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MyVault\MyVault-Open\01_project\MGMT 319 Hong Seh Project\"/>
    </mc:Choice>
  </mc:AlternateContent>
  <xr:revisionPtr revIDLastSave="0" documentId="13_ncr:1_{CE589330-41CD-4990-9BFD-0FB933B9F6D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sults" sheetId="1" r:id="rId1"/>
    <sheet name="Fleet register" sheetId="2" r:id="rId2"/>
    <sheet name="Replacement plan" sheetId="3" r:id="rId3"/>
    <sheet name="Energy and charging" sheetId="4" r:id="rId4"/>
    <sheet name="Operating costs" sheetId="5" r:id="rId5"/>
    <sheet name="Products" sheetId="6" r:id="rId6"/>
    <sheet name="Paths" sheetId="7" r:id="rId7"/>
    <sheet name="Annual build" sheetId="8" r:id="rId8"/>
    <sheet name="Review" sheetId="9" r:id="rId9"/>
    <sheet name="Service cost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4" i="10" l="1"/>
  <c r="Z14" i="10" s="1"/>
  <c r="Y13" i="10"/>
  <c r="Z13" i="10" s="1"/>
  <c r="Y12" i="10"/>
  <c r="Z12" i="10" s="1"/>
  <c r="Y11" i="10"/>
  <c r="Z11" i="10" s="1"/>
  <c r="Y10" i="10"/>
  <c r="Z10" i="10" s="1"/>
  <c r="Y9" i="10"/>
  <c r="Z9" i="10" s="1"/>
  <c r="Y8" i="10"/>
  <c r="Z8" i="10" s="1"/>
  <c r="Y7" i="10"/>
  <c r="Z7" i="10" s="1"/>
  <c r="B16" i="9" s="1"/>
  <c r="D16" i="9" s="1"/>
  <c r="B8" i="9"/>
  <c r="C7" i="9"/>
  <c r="B4406" i="8"/>
  <c r="B4405" i="8"/>
  <c r="B4404" i="8"/>
  <c r="B4403" i="8"/>
  <c r="B4402" i="8"/>
  <c r="B4401" i="8"/>
  <c r="B4400" i="8"/>
  <c r="B4399" i="8"/>
  <c r="B4398" i="8"/>
  <c r="B4397" i="8"/>
  <c r="B4396" i="8"/>
  <c r="B4395" i="8"/>
  <c r="B4394" i="8"/>
  <c r="B4393" i="8"/>
  <c r="B4392" i="8"/>
  <c r="B4391" i="8"/>
  <c r="B4390" i="8"/>
  <c r="B4389" i="8"/>
  <c r="B4388" i="8"/>
  <c r="B4387" i="8"/>
  <c r="B4386" i="8"/>
  <c r="B4385" i="8"/>
  <c r="B4384" i="8"/>
  <c r="B4383" i="8"/>
  <c r="B4382" i="8"/>
  <c r="B4381" i="8"/>
  <c r="B4380" i="8"/>
  <c r="B4379" i="8"/>
  <c r="B4378" i="8"/>
  <c r="B4377" i="8"/>
  <c r="B4376" i="8"/>
  <c r="B4375" i="8"/>
  <c r="B4374" i="8"/>
  <c r="B4373" i="8"/>
  <c r="B4372" i="8"/>
  <c r="B4371" i="8"/>
  <c r="B4370" i="8"/>
  <c r="B4369" i="8"/>
  <c r="B4368" i="8"/>
  <c r="B4367" i="8"/>
  <c r="B4366" i="8"/>
  <c r="B4365" i="8"/>
  <c r="B4364" i="8"/>
  <c r="B4363" i="8"/>
  <c r="B4362" i="8"/>
  <c r="B4361" i="8"/>
  <c r="B4360" i="8"/>
  <c r="B4359" i="8"/>
  <c r="B4358" i="8"/>
  <c r="B4357" i="8"/>
  <c r="B4356" i="8"/>
  <c r="B4355" i="8"/>
  <c r="B4354" i="8"/>
  <c r="B4353" i="8"/>
  <c r="B4352" i="8"/>
  <c r="B4351" i="8"/>
  <c r="B4350" i="8"/>
  <c r="B4349" i="8"/>
  <c r="B4348" i="8"/>
  <c r="B4347" i="8"/>
  <c r="B4346" i="8"/>
  <c r="B4345" i="8"/>
  <c r="B4344" i="8"/>
  <c r="B4343" i="8"/>
  <c r="B4342" i="8"/>
  <c r="B4341" i="8"/>
  <c r="B4340" i="8"/>
  <c r="B4339" i="8"/>
  <c r="B4338" i="8"/>
  <c r="B4337" i="8"/>
  <c r="B4336" i="8"/>
  <c r="B4335" i="8"/>
  <c r="B4334" i="8"/>
  <c r="B4333" i="8"/>
  <c r="B4332" i="8"/>
  <c r="B4331" i="8"/>
  <c r="B4330" i="8"/>
  <c r="B4329" i="8"/>
  <c r="B4328" i="8"/>
  <c r="B4327" i="8"/>
  <c r="B4326" i="8"/>
  <c r="B4325" i="8"/>
  <c r="B4324" i="8"/>
  <c r="B4323" i="8"/>
  <c r="B4322" i="8"/>
  <c r="B4321" i="8"/>
  <c r="B4320" i="8"/>
  <c r="B4319" i="8"/>
  <c r="B4318" i="8"/>
  <c r="B4317" i="8"/>
  <c r="B4316" i="8"/>
  <c r="B4315" i="8"/>
  <c r="B4314" i="8"/>
  <c r="B4313" i="8"/>
  <c r="B4312" i="8"/>
  <c r="B4311" i="8"/>
  <c r="B4310" i="8"/>
  <c r="B4309" i="8"/>
  <c r="B4308" i="8"/>
  <c r="B4307" i="8"/>
  <c r="B4306" i="8"/>
  <c r="B4305" i="8"/>
  <c r="B4304" i="8"/>
  <c r="B4303" i="8"/>
  <c r="B4302" i="8"/>
  <c r="B4301" i="8"/>
  <c r="B4300" i="8"/>
  <c r="B4299" i="8"/>
  <c r="B4298" i="8"/>
  <c r="B4297" i="8"/>
  <c r="B4296" i="8"/>
  <c r="B4295" i="8"/>
  <c r="B4294" i="8"/>
  <c r="B4293" i="8"/>
  <c r="B4292" i="8"/>
  <c r="B4291" i="8"/>
  <c r="B4290" i="8"/>
  <c r="B4289" i="8"/>
  <c r="B4288" i="8"/>
  <c r="B4287" i="8"/>
  <c r="B4286" i="8"/>
  <c r="B4285" i="8"/>
  <c r="B4284" i="8"/>
  <c r="B4283" i="8"/>
  <c r="B4282" i="8"/>
  <c r="B4281" i="8"/>
  <c r="B4280" i="8"/>
  <c r="B4279" i="8"/>
  <c r="B4278" i="8"/>
  <c r="B4277" i="8"/>
  <c r="B4276" i="8"/>
  <c r="B4275" i="8"/>
  <c r="B4274" i="8"/>
  <c r="B4273" i="8"/>
  <c r="B4272" i="8"/>
  <c r="B4271" i="8"/>
  <c r="B4270" i="8"/>
  <c r="B4269" i="8"/>
  <c r="B4268" i="8"/>
  <c r="B4267" i="8"/>
  <c r="B4266" i="8"/>
  <c r="B4265" i="8"/>
  <c r="B4264" i="8"/>
  <c r="B4263" i="8"/>
  <c r="B4262" i="8"/>
  <c r="B4261" i="8"/>
  <c r="B4260" i="8"/>
  <c r="B4259" i="8"/>
  <c r="B4258" i="8"/>
  <c r="B4257" i="8"/>
  <c r="B4256" i="8"/>
  <c r="B4255" i="8"/>
  <c r="B4254" i="8"/>
  <c r="B4253" i="8"/>
  <c r="B4252" i="8"/>
  <c r="B4251" i="8"/>
  <c r="B4250" i="8"/>
  <c r="B4249" i="8"/>
  <c r="B4248" i="8"/>
  <c r="B4247" i="8"/>
  <c r="B4246" i="8"/>
  <c r="B4245" i="8"/>
  <c r="B4244" i="8"/>
  <c r="B4243" i="8"/>
  <c r="B4242" i="8"/>
  <c r="B4241" i="8"/>
  <c r="B4240" i="8"/>
  <c r="B4239" i="8"/>
  <c r="B4238" i="8"/>
  <c r="B4237" i="8"/>
  <c r="B4236" i="8"/>
  <c r="B4235" i="8"/>
  <c r="B4234" i="8"/>
  <c r="B4233" i="8"/>
  <c r="B4232" i="8"/>
  <c r="B4231" i="8"/>
  <c r="B4230" i="8"/>
  <c r="B4229" i="8"/>
  <c r="B4228" i="8"/>
  <c r="B4227" i="8"/>
  <c r="B4226" i="8"/>
  <c r="B4225" i="8"/>
  <c r="B4224" i="8"/>
  <c r="B4223" i="8"/>
  <c r="B4222" i="8"/>
  <c r="B4221" i="8"/>
  <c r="B4220" i="8"/>
  <c r="B4219" i="8"/>
  <c r="B4218" i="8"/>
  <c r="B4217" i="8"/>
  <c r="B4216" i="8"/>
  <c r="B4215" i="8"/>
  <c r="B4214" i="8"/>
  <c r="B4213" i="8"/>
  <c r="B4212" i="8"/>
  <c r="B4211" i="8"/>
  <c r="B4210" i="8"/>
  <c r="B4209" i="8"/>
  <c r="B4208" i="8"/>
  <c r="B4207" i="8"/>
  <c r="B4206" i="8"/>
  <c r="B4205" i="8"/>
  <c r="B4204" i="8"/>
  <c r="B4203" i="8"/>
  <c r="B4202" i="8"/>
  <c r="B4201" i="8"/>
  <c r="B4200" i="8"/>
  <c r="B4199" i="8"/>
  <c r="B4198" i="8"/>
  <c r="B4197" i="8"/>
  <c r="B4196" i="8"/>
  <c r="B4195" i="8"/>
  <c r="B4194" i="8"/>
  <c r="B4193" i="8"/>
  <c r="B4192" i="8"/>
  <c r="B4191" i="8"/>
  <c r="B4190" i="8"/>
  <c r="B4189" i="8"/>
  <c r="B4188" i="8"/>
  <c r="B4187" i="8"/>
  <c r="B4186" i="8"/>
  <c r="B4185" i="8"/>
  <c r="B4184" i="8"/>
  <c r="B4183" i="8"/>
  <c r="B4182" i="8"/>
  <c r="B4181" i="8"/>
  <c r="B4180" i="8"/>
  <c r="B4179" i="8"/>
  <c r="B4178" i="8"/>
  <c r="B4177" i="8"/>
  <c r="B4176" i="8"/>
  <c r="B4175" i="8"/>
  <c r="B4174" i="8"/>
  <c r="B4173" i="8"/>
  <c r="B4172" i="8"/>
  <c r="B4171" i="8"/>
  <c r="B4170" i="8"/>
  <c r="B4169" i="8"/>
  <c r="B4168" i="8"/>
  <c r="B4167" i="8"/>
  <c r="B4166" i="8"/>
  <c r="B4165" i="8"/>
  <c r="B4164" i="8"/>
  <c r="B4163" i="8"/>
  <c r="B4162" i="8"/>
  <c r="B4161" i="8"/>
  <c r="B4160" i="8"/>
  <c r="B4159" i="8"/>
  <c r="B4158" i="8"/>
  <c r="B4157" i="8"/>
  <c r="B4156" i="8"/>
  <c r="B4155" i="8"/>
  <c r="B4154" i="8"/>
  <c r="B4153" i="8"/>
  <c r="B4152" i="8"/>
  <c r="B4151" i="8"/>
  <c r="B4150" i="8"/>
  <c r="B4149" i="8"/>
  <c r="B4148" i="8"/>
  <c r="B4147" i="8"/>
  <c r="B4146" i="8"/>
  <c r="B4145" i="8"/>
  <c r="B4144" i="8"/>
  <c r="B4143" i="8"/>
  <c r="B4142" i="8"/>
  <c r="B4141" i="8"/>
  <c r="B4140" i="8"/>
  <c r="B4139" i="8"/>
  <c r="B4138" i="8"/>
  <c r="B4137" i="8"/>
  <c r="B4136" i="8"/>
  <c r="B4135" i="8"/>
  <c r="B4134" i="8"/>
  <c r="B4133" i="8"/>
  <c r="B4132" i="8"/>
  <c r="B4131" i="8"/>
  <c r="B4130" i="8"/>
  <c r="B4129" i="8"/>
  <c r="B4128" i="8"/>
  <c r="B4127" i="8"/>
  <c r="B4126" i="8"/>
  <c r="B4125" i="8"/>
  <c r="B4124" i="8"/>
  <c r="B4123" i="8"/>
  <c r="B4122" i="8"/>
  <c r="B4121" i="8"/>
  <c r="B4120" i="8"/>
  <c r="B4119" i="8"/>
  <c r="B4118" i="8"/>
  <c r="B4117" i="8"/>
  <c r="B4116" i="8"/>
  <c r="B4115" i="8"/>
  <c r="B4114" i="8"/>
  <c r="B4113" i="8"/>
  <c r="B4112" i="8"/>
  <c r="B4111" i="8"/>
  <c r="B4110" i="8"/>
  <c r="B4109" i="8"/>
  <c r="B4108" i="8"/>
  <c r="B4107" i="8"/>
  <c r="B4106" i="8"/>
  <c r="B4105" i="8"/>
  <c r="B4104" i="8"/>
  <c r="B4103" i="8"/>
  <c r="B4102" i="8"/>
  <c r="B4101" i="8"/>
  <c r="B4100" i="8"/>
  <c r="B4099" i="8"/>
  <c r="B4098" i="8"/>
  <c r="B4097" i="8"/>
  <c r="B4096" i="8"/>
  <c r="B4095" i="8"/>
  <c r="B4094" i="8"/>
  <c r="B4093" i="8"/>
  <c r="B4092" i="8"/>
  <c r="B4091" i="8"/>
  <c r="B4090" i="8"/>
  <c r="B4089" i="8"/>
  <c r="B4088" i="8"/>
  <c r="B4087" i="8"/>
  <c r="B4086" i="8"/>
  <c r="B4085" i="8"/>
  <c r="B4084" i="8"/>
  <c r="B4083" i="8"/>
  <c r="B4082" i="8"/>
  <c r="B4081" i="8"/>
  <c r="B4080" i="8"/>
  <c r="B4079" i="8"/>
  <c r="B4078" i="8"/>
  <c r="B4077" i="8"/>
  <c r="B4076" i="8"/>
  <c r="B4075" i="8"/>
  <c r="B4074" i="8"/>
  <c r="B4073" i="8"/>
  <c r="B4072" i="8"/>
  <c r="B4071" i="8"/>
  <c r="B4070" i="8"/>
  <c r="B4069" i="8"/>
  <c r="B4068" i="8"/>
  <c r="B4067" i="8"/>
  <c r="B4066" i="8"/>
  <c r="B4065" i="8"/>
  <c r="B4064" i="8"/>
  <c r="B4063" i="8"/>
  <c r="B4062" i="8"/>
  <c r="B4061" i="8"/>
  <c r="B4060" i="8"/>
  <c r="B4059" i="8"/>
  <c r="B4058" i="8"/>
  <c r="B4057" i="8"/>
  <c r="B4056" i="8"/>
  <c r="B4055" i="8"/>
  <c r="B4054" i="8"/>
  <c r="B4053" i="8"/>
  <c r="B4052" i="8"/>
  <c r="B4051" i="8"/>
  <c r="B4050" i="8"/>
  <c r="B4049" i="8"/>
  <c r="B4048" i="8"/>
  <c r="B4047" i="8"/>
  <c r="B4046" i="8"/>
  <c r="B4045" i="8"/>
  <c r="B4044" i="8"/>
  <c r="B4043" i="8"/>
  <c r="B4042" i="8"/>
  <c r="B4041" i="8"/>
  <c r="B4040" i="8"/>
  <c r="B4039" i="8"/>
  <c r="B4038" i="8"/>
  <c r="B4037" i="8"/>
  <c r="B4036" i="8"/>
  <c r="B4035" i="8"/>
  <c r="B4034" i="8"/>
  <c r="B4033" i="8"/>
  <c r="B4032" i="8"/>
  <c r="B4031" i="8"/>
  <c r="B4030" i="8"/>
  <c r="B4029" i="8"/>
  <c r="B4028" i="8"/>
  <c r="B4027" i="8"/>
  <c r="B4026" i="8"/>
  <c r="B4025" i="8"/>
  <c r="B4024" i="8"/>
  <c r="B4023" i="8"/>
  <c r="B4022" i="8"/>
  <c r="B4021" i="8"/>
  <c r="B4020" i="8"/>
  <c r="B4019" i="8"/>
  <c r="B4018" i="8"/>
  <c r="B4017" i="8"/>
  <c r="B4016" i="8"/>
  <c r="B4015" i="8"/>
  <c r="B4014" i="8"/>
  <c r="B4013" i="8"/>
  <c r="B4012" i="8"/>
  <c r="B4011" i="8"/>
  <c r="B4010" i="8"/>
  <c r="B4009" i="8"/>
  <c r="B4008" i="8"/>
  <c r="B4007" i="8"/>
  <c r="B4006" i="8"/>
  <c r="B4005" i="8"/>
  <c r="B4004" i="8"/>
  <c r="B4003" i="8"/>
  <c r="B4002" i="8"/>
  <c r="B4001" i="8"/>
  <c r="B4000" i="8"/>
  <c r="B3999" i="8"/>
  <c r="B3998" i="8"/>
  <c r="B3997" i="8"/>
  <c r="B3996" i="8"/>
  <c r="B3995" i="8"/>
  <c r="B3994" i="8"/>
  <c r="B3993" i="8"/>
  <c r="B3992" i="8"/>
  <c r="B3991" i="8"/>
  <c r="B3990" i="8"/>
  <c r="B3989" i="8"/>
  <c r="B3988" i="8"/>
  <c r="B3987" i="8"/>
  <c r="B3986" i="8"/>
  <c r="B3985" i="8"/>
  <c r="B3984" i="8"/>
  <c r="B3983" i="8"/>
  <c r="B3982" i="8"/>
  <c r="B3981" i="8"/>
  <c r="B3980" i="8"/>
  <c r="B3979" i="8"/>
  <c r="B3978" i="8"/>
  <c r="B3977" i="8"/>
  <c r="B3976" i="8"/>
  <c r="B3975" i="8"/>
  <c r="B3974" i="8"/>
  <c r="B3973" i="8"/>
  <c r="B3972" i="8"/>
  <c r="B3971" i="8"/>
  <c r="B3970" i="8"/>
  <c r="B3969" i="8"/>
  <c r="B3968" i="8"/>
  <c r="B3967" i="8"/>
  <c r="B3966" i="8"/>
  <c r="B3965" i="8"/>
  <c r="B3964" i="8"/>
  <c r="B3963" i="8"/>
  <c r="B3962" i="8"/>
  <c r="B3961" i="8"/>
  <c r="B3960" i="8"/>
  <c r="B3959" i="8"/>
  <c r="B3958" i="8"/>
  <c r="B3957" i="8"/>
  <c r="B3956" i="8"/>
  <c r="B3955" i="8"/>
  <c r="B3954" i="8"/>
  <c r="B3953" i="8"/>
  <c r="B3952" i="8"/>
  <c r="B3951" i="8"/>
  <c r="B3950" i="8"/>
  <c r="B3949" i="8"/>
  <c r="B3948" i="8"/>
  <c r="B3947" i="8"/>
  <c r="B3946" i="8"/>
  <c r="B3945" i="8"/>
  <c r="B3944" i="8"/>
  <c r="B3943" i="8"/>
  <c r="B3942" i="8"/>
  <c r="B3941" i="8"/>
  <c r="B3940" i="8"/>
  <c r="B3939" i="8"/>
  <c r="B3938" i="8"/>
  <c r="B3937" i="8"/>
  <c r="B3936" i="8"/>
  <c r="B3935" i="8"/>
  <c r="B3934" i="8"/>
  <c r="B3933" i="8"/>
  <c r="B3932" i="8"/>
  <c r="B3931" i="8"/>
  <c r="B3930" i="8"/>
  <c r="B3929" i="8"/>
  <c r="B3928" i="8"/>
  <c r="B3927" i="8"/>
  <c r="B3926" i="8"/>
  <c r="B3925" i="8"/>
  <c r="B3924" i="8"/>
  <c r="B3923" i="8"/>
  <c r="B3922" i="8"/>
  <c r="B3921" i="8"/>
  <c r="B3920" i="8"/>
  <c r="B3919" i="8"/>
  <c r="B3918" i="8"/>
  <c r="B3917" i="8"/>
  <c r="B3916" i="8"/>
  <c r="B3915" i="8"/>
  <c r="B3914" i="8"/>
  <c r="B3913" i="8"/>
  <c r="B3912" i="8"/>
  <c r="B3911" i="8"/>
  <c r="B3910" i="8"/>
  <c r="B3909" i="8"/>
  <c r="B3908" i="8"/>
  <c r="B3907" i="8"/>
  <c r="B3906" i="8"/>
  <c r="B3905" i="8"/>
  <c r="B3904" i="8"/>
  <c r="B3903" i="8"/>
  <c r="B3902" i="8"/>
  <c r="B3901" i="8"/>
  <c r="B3900" i="8"/>
  <c r="B3899" i="8"/>
  <c r="B3898" i="8"/>
  <c r="B3897" i="8"/>
  <c r="B3896" i="8"/>
  <c r="B3895" i="8"/>
  <c r="B3894" i="8"/>
  <c r="B3893" i="8"/>
  <c r="B3892" i="8"/>
  <c r="B3891" i="8"/>
  <c r="B3890" i="8"/>
  <c r="B3889" i="8"/>
  <c r="B3888" i="8"/>
  <c r="B3887" i="8"/>
  <c r="B3886" i="8"/>
  <c r="B3885" i="8"/>
  <c r="B3884" i="8"/>
  <c r="B3883" i="8"/>
  <c r="B3882" i="8"/>
  <c r="B3881" i="8"/>
  <c r="B3880" i="8"/>
  <c r="B3879" i="8"/>
  <c r="B3878" i="8"/>
  <c r="B3877" i="8"/>
  <c r="B3876" i="8"/>
  <c r="B3875" i="8"/>
  <c r="B3874" i="8"/>
  <c r="B3873" i="8"/>
  <c r="B3872" i="8"/>
  <c r="B3871" i="8"/>
  <c r="B3870" i="8"/>
  <c r="B3869" i="8"/>
  <c r="B3868" i="8"/>
  <c r="B3867" i="8"/>
  <c r="B3866" i="8"/>
  <c r="B3865" i="8"/>
  <c r="B3864" i="8"/>
  <c r="B3863" i="8"/>
  <c r="B3862" i="8"/>
  <c r="B3861" i="8"/>
  <c r="B3860" i="8"/>
  <c r="B3859" i="8"/>
  <c r="B3858" i="8"/>
  <c r="B3857" i="8"/>
  <c r="B3856" i="8"/>
  <c r="B3855" i="8"/>
  <c r="B3854" i="8"/>
  <c r="B3853" i="8"/>
  <c r="B3852" i="8"/>
  <c r="B3851" i="8"/>
  <c r="B3850" i="8"/>
  <c r="B3849" i="8"/>
  <c r="B3848" i="8"/>
  <c r="B3847" i="8"/>
  <c r="B3846" i="8"/>
  <c r="B3845" i="8"/>
  <c r="B3844" i="8"/>
  <c r="B3843" i="8"/>
  <c r="B3842" i="8"/>
  <c r="B3841" i="8"/>
  <c r="B3840" i="8"/>
  <c r="B3839" i="8"/>
  <c r="B3838" i="8"/>
  <c r="B3837" i="8"/>
  <c r="B3836" i="8"/>
  <c r="B3835" i="8"/>
  <c r="B3834" i="8"/>
  <c r="B3833" i="8"/>
  <c r="B3832" i="8"/>
  <c r="B3831" i="8"/>
  <c r="B3830" i="8"/>
  <c r="B3829" i="8"/>
  <c r="B3828" i="8"/>
  <c r="B3827" i="8"/>
  <c r="B3826" i="8"/>
  <c r="B3825" i="8"/>
  <c r="B3824" i="8"/>
  <c r="B3823" i="8"/>
  <c r="B3822" i="8"/>
  <c r="B3821" i="8"/>
  <c r="B3820" i="8"/>
  <c r="B3819" i="8"/>
  <c r="B3818" i="8"/>
  <c r="B3817" i="8"/>
  <c r="B3816" i="8"/>
  <c r="B3815" i="8"/>
  <c r="B3814" i="8"/>
  <c r="B3813" i="8"/>
  <c r="B3812" i="8"/>
  <c r="B3811" i="8"/>
  <c r="B3810" i="8"/>
  <c r="B3809" i="8"/>
  <c r="B3808" i="8"/>
  <c r="B3807" i="8"/>
  <c r="B3806" i="8"/>
  <c r="B3805" i="8"/>
  <c r="B3804" i="8"/>
  <c r="B3803" i="8"/>
  <c r="B3802" i="8"/>
  <c r="B3801" i="8"/>
  <c r="B3800" i="8"/>
  <c r="B3799" i="8"/>
  <c r="B3798" i="8"/>
  <c r="B3797" i="8"/>
  <c r="B3796" i="8"/>
  <c r="B3795" i="8"/>
  <c r="B3794" i="8"/>
  <c r="B3793" i="8"/>
  <c r="B3792" i="8"/>
  <c r="B3791" i="8"/>
  <c r="B3790" i="8"/>
  <c r="B3789" i="8"/>
  <c r="B3788" i="8"/>
  <c r="B3787" i="8"/>
  <c r="B3786" i="8"/>
  <c r="B3785" i="8"/>
  <c r="B3784" i="8"/>
  <c r="B3783" i="8"/>
  <c r="B3782" i="8"/>
  <c r="B3781" i="8"/>
  <c r="B3780" i="8"/>
  <c r="B3779" i="8"/>
  <c r="B3778" i="8"/>
  <c r="B3777" i="8"/>
  <c r="B3776" i="8"/>
  <c r="B3775" i="8"/>
  <c r="B3774" i="8"/>
  <c r="B3773" i="8"/>
  <c r="B3772" i="8"/>
  <c r="B3771" i="8"/>
  <c r="B3770" i="8"/>
  <c r="B3769" i="8"/>
  <c r="B3768" i="8"/>
  <c r="B3767" i="8"/>
  <c r="B3766" i="8"/>
  <c r="B3765" i="8"/>
  <c r="B3764" i="8"/>
  <c r="B3763" i="8"/>
  <c r="B3762" i="8"/>
  <c r="B3761" i="8"/>
  <c r="B3760" i="8"/>
  <c r="B3759" i="8"/>
  <c r="B3758" i="8"/>
  <c r="B3757" i="8"/>
  <c r="B3756" i="8"/>
  <c r="B3755" i="8"/>
  <c r="B3754" i="8"/>
  <c r="B3753" i="8"/>
  <c r="B3752" i="8"/>
  <c r="B3751" i="8"/>
  <c r="B3750" i="8"/>
  <c r="B3749" i="8"/>
  <c r="B3748" i="8"/>
  <c r="B3747" i="8"/>
  <c r="B3746" i="8"/>
  <c r="B3745" i="8"/>
  <c r="B3744" i="8"/>
  <c r="B3743" i="8"/>
  <c r="B3742" i="8"/>
  <c r="B3741" i="8"/>
  <c r="B3740" i="8"/>
  <c r="B3739" i="8"/>
  <c r="B3738" i="8"/>
  <c r="B3737" i="8"/>
  <c r="B3736" i="8"/>
  <c r="B3735" i="8"/>
  <c r="B3734" i="8"/>
  <c r="B3733" i="8"/>
  <c r="B3732" i="8"/>
  <c r="B3731" i="8"/>
  <c r="B3730" i="8"/>
  <c r="B3729" i="8"/>
  <c r="B3728" i="8"/>
  <c r="B3727" i="8"/>
  <c r="B3726" i="8"/>
  <c r="B3725" i="8"/>
  <c r="B3724" i="8"/>
  <c r="B3723" i="8"/>
  <c r="B3722" i="8"/>
  <c r="B3721" i="8"/>
  <c r="B3720" i="8"/>
  <c r="B3719" i="8"/>
  <c r="B3718" i="8"/>
  <c r="B3717" i="8"/>
  <c r="B3716" i="8"/>
  <c r="B3715" i="8"/>
  <c r="B3714" i="8"/>
  <c r="B3713" i="8"/>
  <c r="B3712" i="8"/>
  <c r="B3711" i="8"/>
  <c r="B3710" i="8"/>
  <c r="B3709" i="8"/>
  <c r="B3708" i="8"/>
  <c r="B3707" i="8"/>
  <c r="B3706" i="8"/>
  <c r="B3705" i="8"/>
  <c r="B3704" i="8"/>
  <c r="B3703" i="8"/>
  <c r="B3702" i="8"/>
  <c r="B3701" i="8"/>
  <c r="B3700" i="8"/>
  <c r="B3699" i="8"/>
  <c r="B3698" i="8"/>
  <c r="B3697" i="8"/>
  <c r="B3696" i="8"/>
  <c r="B3695" i="8"/>
  <c r="B3694" i="8"/>
  <c r="B3693" i="8"/>
  <c r="B3692" i="8"/>
  <c r="B3691" i="8"/>
  <c r="B3690" i="8"/>
  <c r="B3689" i="8"/>
  <c r="B3688" i="8"/>
  <c r="B3687" i="8"/>
  <c r="B3686" i="8"/>
  <c r="B3685" i="8"/>
  <c r="B3684" i="8"/>
  <c r="B3683" i="8"/>
  <c r="B3682" i="8"/>
  <c r="B3681" i="8"/>
  <c r="B3680" i="8"/>
  <c r="B3679" i="8"/>
  <c r="B3678" i="8"/>
  <c r="B3677" i="8"/>
  <c r="B3676" i="8"/>
  <c r="B3675" i="8"/>
  <c r="B3674" i="8"/>
  <c r="B3673" i="8"/>
  <c r="B3672" i="8"/>
  <c r="B3671" i="8"/>
  <c r="B3670" i="8"/>
  <c r="B3669" i="8"/>
  <c r="B3668" i="8"/>
  <c r="B3667" i="8"/>
  <c r="B3666" i="8"/>
  <c r="B3665" i="8"/>
  <c r="B3664" i="8"/>
  <c r="B3663" i="8"/>
  <c r="B3662" i="8"/>
  <c r="B3661" i="8"/>
  <c r="B3660" i="8"/>
  <c r="B3659" i="8"/>
  <c r="B3658" i="8"/>
  <c r="B3657" i="8"/>
  <c r="B3656" i="8"/>
  <c r="B3655" i="8"/>
  <c r="B3654" i="8"/>
  <c r="B3653" i="8"/>
  <c r="B3652" i="8"/>
  <c r="B3651" i="8"/>
  <c r="B3650" i="8"/>
  <c r="B3649" i="8"/>
  <c r="B3648" i="8"/>
  <c r="B3647" i="8"/>
  <c r="B3646" i="8"/>
  <c r="B3645" i="8"/>
  <c r="B3644" i="8"/>
  <c r="B3643" i="8"/>
  <c r="B3642" i="8"/>
  <c r="B3641" i="8"/>
  <c r="B3640" i="8"/>
  <c r="B3639" i="8"/>
  <c r="B3638" i="8"/>
  <c r="B3637" i="8"/>
  <c r="B3636" i="8"/>
  <c r="B3635" i="8"/>
  <c r="B3634" i="8"/>
  <c r="B3633" i="8"/>
  <c r="B3632" i="8"/>
  <c r="B3631" i="8"/>
  <c r="B3630" i="8"/>
  <c r="B3629" i="8"/>
  <c r="B3628" i="8"/>
  <c r="B3627" i="8"/>
  <c r="B3626" i="8"/>
  <c r="B3625" i="8"/>
  <c r="B3624" i="8"/>
  <c r="B3623" i="8"/>
  <c r="B3622" i="8"/>
  <c r="B3621" i="8"/>
  <c r="B3620" i="8"/>
  <c r="B3619" i="8"/>
  <c r="B3618" i="8"/>
  <c r="B3617" i="8"/>
  <c r="B3616" i="8"/>
  <c r="B3615" i="8"/>
  <c r="B3614" i="8"/>
  <c r="B3613" i="8"/>
  <c r="B3612" i="8"/>
  <c r="B3611" i="8"/>
  <c r="B3610" i="8"/>
  <c r="B3609" i="8"/>
  <c r="B3608" i="8"/>
  <c r="B3607" i="8"/>
  <c r="B3606" i="8"/>
  <c r="B3605" i="8"/>
  <c r="B3604" i="8"/>
  <c r="B3603" i="8"/>
  <c r="B3602" i="8"/>
  <c r="B3601" i="8"/>
  <c r="B3600" i="8"/>
  <c r="B3599" i="8"/>
  <c r="B3598" i="8"/>
  <c r="B3597" i="8"/>
  <c r="B3596" i="8"/>
  <c r="B3595" i="8"/>
  <c r="B3594" i="8"/>
  <c r="B3593" i="8"/>
  <c r="B3592" i="8"/>
  <c r="B3591" i="8"/>
  <c r="B3590" i="8"/>
  <c r="B3589" i="8"/>
  <c r="B3588" i="8"/>
  <c r="B3587" i="8"/>
  <c r="B3586" i="8"/>
  <c r="B3585" i="8"/>
  <c r="B3584" i="8"/>
  <c r="B3583" i="8"/>
  <c r="B3582" i="8"/>
  <c r="B3581" i="8"/>
  <c r="B3580" i="8"/>
  <c r="B3579" i="8"/>
  <c r="B3578" i="8"/>
  <c r="B3577" i="8"/>
  <c r="B3576" i="8"/>
  <c r="B3575" i="8"/>
  <c r="B3574" i="8"/>
  <c r="B3573" i="8"/>
  <c r="B3572" i="8"/>
  <c r="B3571" i="8"/>
  <c r="B3570" i="8"/>
  <c r="B3569" i="8"/>
  <c r="B3568" i="8"/>
  <c r="B3567" i="8"/>
  <c r="B3566" i="8"/>
  <c r="B3565" i="8"/>
  <c r="B3564" i="8"/>
  <c r="B3563" i="8"/>
  <c r="B3562" i="8"/>
  <c r="B3561" i="8"/>
  <c r="B3560" i="8"/>
  <c r="B3559" i="8"/>
  <c r="B3558" i="8"/>
  <c r="B3557" i="8"/>
  <c r="B3556" i="8"/>
  <c r="B3555" i="8"/>
  <c r="B3554" i="8"/>
  <c r="B3553" i="8"/>
  <c r="B3552" i="8"/>
  <c r="B3551" i="8"/>
  <c r="B3550" i="8"/>
  <c r="B3549" i="8"/>
  <c r="B3548" i="8"/>
  <c r="B3547" i="8"/>
  <c r="B3546" i="8"/>
  <c r="B3545" i="8"/>
  <c r="B3544" i="8"/>
  <c r="B3543" i="8"/>
  <c r="B3542" i="8"/>
  <c r="B3541" i="8"/>
  <c r="B3540" i="8"/>
  <c r="B3539" i="8"/>
  <c r="B3538" i="8"/>
  <c r="B3537" i="8"/>
  <c r="B3536" i="8"/>
  <c r="B3535" i="8"/>
  <c r="B3534" i="8"/>
  <c r="B3533" i="8"/>
  <c r="B3532" i="8"/>
  <c r="B3531" i="8"/>
  <c r="B3530" i="8"/>
  <c r="B3529" i="8"/>
  <c r="B3528" i="8"/>
  <c r="B3527" i="8"/>
  <c r="B3526" i="8"/>
  <c r="B3525" i="8"/>
  <c r="B3524" i="8"/>
  <c r="B3523" i="8"/>
  <c r="B3522" i="8"/>
  <c r="B3521" i="8"/>
  <c r="B3520" i="8"/>
  <c r="B3519" i="8"/>
  <c r="B3518" i="8"/>
  <c r="B3517" i="8"/>
  <c r="B3516" i="8"/>
  <c r="B3515" i="8"/>
  <c r="B3514" i="8"/>
  <c r="B3513" i="8"/>
  <c r="B3512" i="8"/>
  <c r="B3511" i="8"/>
  <c r="B3510" i="8"/>
  <c r="B3509" i="8"/>
  <c r="B3508" i="8"/>
  <c r="B3507" i="8"/>
  <c r="B3506" i="8"/>
  <c r="B3505" i="8"/>
  <c r="B3504" i="8"/>
  <c r="B3503" i="8"/>
  <c r="B3502" i="8"/>
  <c r="B3501" i="8"/>
  <c r="B3500" i="8"/>
  <c r="B3499" i="8"/>
  <c r="B3498" i="8"/>
  <c r="B3497" i="8"/>
  <c r="B3496" i="8"/>
  <c r="B3495" i="8"/>
  <c r="B3494" i="8"/>
  <c r="B3493" i="8"/>
  <c r="B3492" i="8"/>
  <c r="B3491" i="8"/>
  <c r="B3490" i="8"/>
  <c r="B3489" i="8"/>
  <c r="B3488" i="8"/>
  <c r="B3487" i="8"/>
  <c r="B3486" i="8"/>
  <c r="B3485" i="8"/>
  <c r="B3484" i="8"/>
  <c r="B3483" i="8"/>
  <c r="B3482" i="8"/>
  <c r="B3481" i="8"/>
  <c r="B3480" i="8"/>
  <c r="B3479" i="8"/>
  <c r="B3478" i="8"/>
  <c r="B3477" i="8"/>
  <c r="B3476" i="8"/>
  <c r="B3475" i="8"/>
  <c r="B3474" i="8"/>
  <c r="B3473" i="8"/>
  <c r="B3472" i="8"/>
  <c r="B3471" i="8"/>
  <c r="B3470" i="8"/>
  <c r="B3469" i="8"/>
  <c r="B3468" i="8"/>
  <c r="B3467" i="8"/>
  <c r="B3466" i="8"/>
  <c r="B3465" i="8"/>
  <c r="B3464" i="8"/>
  <c r="B3463" i="8"/>
  <c r="B3462" i="8"/>
  <c r="B3461" i="8"/>
  <c r="B3460" i="8"/>
  <c r="B3459" i="8"/>
  <c r="B3458" i="8"/>
  <c r="B3457" i="8"/>
  <c r="B3456" i="8"/>
  <c r="B3455" i="8"/>
  <c r="B3454" i="8"/>
  <c r="B3453" i="8"/>
  <c r="B3452" i="8"/>
  <c r="B3451" i="8"/>
  <c r="B3450" i="8"/>
  <c r="B3449" i="8"/>
  <c r="B3448" i="8"/>
  <c r="B3447" i="8"/>
  <c r="B3446" i="8"/>
  <c r="B3445" i="8"/>
  <c r="B3444" i="8"/>
  <c r="B3443" i="8"/>
  <c r="B3442" i="8"/>
  <c r="B3441" i="8"/>
  <c r="B3440" i="8"/>
  <c r="B3439" i="8"/>
  <c r="B3438" i="8"/>
  <c r="B3437" i="8"/>
  <c r="B3436" i="8"/>
  <c r="B3435" i="8"/>
  <c r="B3434" i="8"/>
  <c r="B3433" i="8"/>
  <c r="B3432" i="8"/>
  <c r="B3431" i="8"/>
  <c r="B3430" i="8"/>
  <c r="B3429" i="8"/>
  <c r="B3428" i="8"/>
  <c r="B3427" i="8"/>
  <c r="B3426" i="8"/>
  <c r="B3425" i="8"/>
  <c r="B3424" i="8"/>
  <c r="B3423" i="8"/>
  <c r="B3422" i="8"/>
  <c r="B3421" i="8"/>
  <c r="B3420" i="8"/>
  <c r="B3419" i="8"/>
  <c r="B3418" i="8"/>
  <c r="B3417" i="8"/>
  <c r="B3416" i="8"/>
  <c r="B3415" i="8"/>
  <c r="B3414" i="8"/>
  <c r="B3413" i="8"/>
  <c r="B3412" i="8"/>
  <c r="B3411" i="8"/>
  <c r="B3410" i="8"/>
  <c r="B3409" i="8"/>
  <c r="B3408" i="8"/>
  <c r="B3407" i="8"/>
  <c r="B3406" i="8"/>
  <c r="B3405" i="8"/>
  <c r="B3404" i="8"/>
  <c r="B3403" i="8"/>
  <c r="B3402" i="8"/>
  <c r="B3401" i="8"/>
  <c r="B3400" i="8"/>
  <c r="B3399" i="8"/>
  <c r="B3398" i="8"/>
  <c r="B3397" i="8"/>
  <c r="B3396" i="8"/>
  <c r="B3395" i="8"/>
  <c r="B3394" i="8"/>
  <c r="B3393" i="8"/>
  <c r="B3392" i="8"/>
  <c r="B3391" i="8"/>
  <c r="B3390" i="8"/>
  <c r="B3389" i="8"/>
  <c r="B3388" i="8"/>
  <c r="B3387" i="8"/>
  <c r="B3386" i="8"/>
  <c r="B3385" i="8"/>
  <c r="B3384" i="8"/>
  <c r="B3383" i="8"/>
  <c r="B3382" i="8"/>
  <c r="B3381" i="8"/>
  <c r="B3380" i="8"/>
  <c r="B3379" i="8"/>
  <c r="B3378" i="8"/>
  <c r="B3377" i="8"/>
  <c r="B3376" i="8"/>
  <c r="B3375" i="8"/>
  <c r="B3374" i="8"/>
  <c r="B3373" i="8"/>
  <c r="B3372" i="8"/>
  <c r="B3371" i="8"/>
  <c r="B3370" i="8"/>
  <c r="B3369" i="8"/>
  <c r="B3368" i="8"/>
  <c r="B3367" i="8"/>
  <c r="B3366" i="8"/>
  <c r="B3365" i="8"/>
  <c r="B3364" i="8"/>
  <c r="B3363" i="8"/>
  <c r="B3362" i="8"/>
  <c r="B3361" i="8"/>
  <c r="B3360" i="8"/>
  <c r="B3359" i="8"/>
  <c r="B3358" i="8"/>
  <c r="B3357" i="8"/>
  <c r="B3356" i="8"/>
  <c r="B3355" i="8"/>
  <c r="B3354" i="8"/>
  <c r="B3353" i="8"/>
  <c r="B3352" i="8"/>
  <c r="B3351" i="8"/>
  <c r="B3350" i="8"/>
  <c r="B3349" i="8"/>
  <c r="B3348" i="8"/>
  <c r="B3347" i="8"/>
  <c r="B3346" i="8"/>
  <c r="B3345" i="8"/>
  <c r="B3344" i="8"/>
  <c r="B3343" i="8"/>
  <c r="B3342" i="8"/>
  <c r="B3341" i="8"/>
  <c r="B3340" i="8"/>
  <c r="B3339" i="8"/>
  <c r="B3338" i="8"/>
  <c r="B3337" i="8"/>
  <c r="B3336" i="8"/>
  <c r="B3335" i="8"/>
  <c r="B3334" i="8"/>
  <c r="B3333" i="8"/>
  <c r="B3332" i="8"/>
  <c r="B3331" i="8"/>
  <c r="B3330" i="8"/>
  <c r="B3329" i="8"/>
  <c r="B3328" i="8"/>
  <c r="B3327" i="8"/>
  <c r="B3326" i="8"/>
  <c r="B3325" i="8"/>
  <c r="B3324" i="8"/>
  <c r="B3323" i="8"/>
  <c r="B3322" i="8"/>
  <c r="B3321" i="8"/>
  <c r="B3320" i="8"/>
  <c r="B3319" i="8"/>
  <c r="B3318" i="8"/>
  <c r="B3317" i="8"/>
  <c r="B3316" i="8"/>
  <c r="B3315" i="8"/>
  <c r="B3314" i="8"/>
  <c r="B3313" i="8"/>
  <c r="B3312" i="8"/>
  <c r="B3311" i="8"/>
  <c r="B3310" i="8"/>
  <c r="B3309" i="8"/>
  <c r="B3308" i="8"/>
  <c r="B3307" i="8"/>
  <c r="B3306" i="8"/>
  <c r="B3305" i="8"/>
  <c r="B3304" i="8"/>
  <c r="B3303" i="8"/>
  <c r="B3302" i="8"/>
  <c r="B3301" i="8"/>
  <c r="B3300" i="8"/>
  <c r="B3299" i="8"/>
  <c r="B3298" i="8"/>
  <c r="B3297" i="8"/>
  <c r="B3296" i="8"/>
  <c r="B3295" i="8"/>
  <c r="B3294" i="8"/>
  <c r="B3293" i="8"/>
  <c r="B3292" i="8"/>
  <c r="B3291" i="8"/>
  <c r="B3290" i="8"/>
  <c r="B3289" i="8"/>
  <c r="B3288" i="8"/>
  <c r="B3287" i="8"/>
  <c r="B3286" i="8"/>
  <c r="B3285" i="8"/>
  <c r="B3284" i="8"/>
  <c r="B3283" i="8"/>
  <c r="B3282" i="8"/>
  <c r="B3281" i="8"/>
  <c r="B3280" i="8"/>
  <c r="B3279" i="8"/>
  <c r="B3278" i="8"/>
  <c r="B3277" i="8"/>
  <c r="B3276" i="8"/>
  <c r="B3275" i="8"/>
  <c r="B3274" i="8"/>
  <c r="B3273" i="8"/>
  <c r="B3272" i="8"/>
  <c r="B3271" i="8"/>
  <c r="B3270" i="8"/>
  <c r="B3269" i="8"/>
  <c r="B3268" i="8"/>
  <c r="B3267" i="8"/>
  <c r="B3266" i="8"/>
  <c r="B3265" i="8"/>
  <c r="B3264" i="8"/>
  <c r="B3263" i="8"/>
  <c r="B3262" i="8"/>
  <c r="B3261" i="8"/>
  <c r="B3260" i="8"/>
  <c r="B3259" i="8"/>
  <c r="B3258" i="8"/>
  <c r="B3257" i="8"/>
  <c r="B3256" i="8"/>
  <c r="B3255" i="8"/>
  <c r="B3254" i="8"/>
  <c r="B3253" i="8"/>
  <c r="B3252" i="8"/>
  <c r="B3251" i="8"/>
  <c r="B3250" i="8"/>
  <c r="B3249" i="8"/>
  <c r="B3248" i="8"/>
  <c r="B3247" i="8"/>
  <c r="B3246" i="8"/>
  <c r="B3245" i="8"/>
  <c r="B3244" i="8"/>
  <c r="B3243" i="8"/>
  <c r="B3242" i="8"/>
  <c r="B3241" i="8"/>
  <c r="B3240" i="8"/>
  <c r="B3239" i="8"/>
  <c r="B3238" i="8"/>
  <c r="B3237" i="8"/>
  <c r="B3236" i="8"/>
  <c r="B3235" i="8"/>
  <c r="B3234" i="8"/>
  <c r="B3233" i="8"/>
  <c r="B3232" i="8"/>
  <c r="B3231" i="8"/>
  <c r="B3230" i="8"/>
  <c r="B3229" i="8"/>
  <c r="B3228" i="8"/>
  <c r="B3227" i="8"/>
  <c r="B3226" i="8"/>
  <c r="B3225" i="8"/>
  <c r="B3224" i="8"/>
  <c r="B3223" i="8"/>
  <c r="B3222" i="8"/>
  <c r="B3221" i="8"/>
  <c r="B3220" i="8"/>
  <c r="B3219" i="8"/>
  <c r="B3218" i="8"/>
  <c r="B3217" i="8"/>
  <c r="B3216" i="8"/>
  <c r="B3215" i="8"/>
  <c r="B3214" i="8"/>
  <c r="B3213" i="8"/>
  <c r="B3212" i="8"/>
  <c r="B3211" i="8"/>
  <c r="B3210" i="8"/>
  <c r="B3209" i="8"/>
  <c r="B3208" i="8"/>
  <c r="B3207" i="8"/>
  <c r="B3206" i="8"/>
  <c r="B3205" i="8"/>
  <c r="B3204" i="8"/>
  <c r="B3203" i="8"/>
  <c r="B3202" i="8"/>
  <c r="B3201" i="8"/>
  <c r="B3200" i="8"/>
  <c r="B3199" i="8"/>
  <c r="B3198" i="8"/>
  <c r="B3197" i="8"/>
  <c r="B3196" i="8"/>
  <c r="B3195" i="8"/>
  <c r="B3194" i="8"/>
  <c r="B3193" i="8"/>
  <c r="B3192" i="8"/>
  <c r="B3191" i="8"/>
  <c r="B3190" i="8"/>
  <c r="B3189" i="8"/>
  <c r="B3188" i="8"/>
  <c r="B3187" i="8"/>
  <c r="B3186" i="8"/>
  <c r="B3185" i="8"/>
  <c r="B3184" i="8"/>
  <c r="B3183" i="8"/>
  <c r="B3182" i="8"/>
  <c r="B3181" i="8"/>
  <c r="B3180" i="8"/>
  <c r="B3179" i="8"/>
  <c r="B3178" i="8"/>
  <c r="B3177" i="8"/>
  <c r="B3176" i="8"/>
  <c r="B3175" i="8"/>
  <c r="B3174" i="8"/>
  <c r="B3173" i="8"/>
  <c r="B3172" i="8"/>
  <c r="B3171" i="8"/>
  <c r="B3170" i="8"/>
  <c r="B3169" i="8"/>
  <c r="B3168" i="8"/>
  <c r="B3167" i="8"/>
  <c r="B3166" i="8"/>
  <c r="B3165" i="8"/>
  <c r="B3164" i="8"/>
  <c r="B3163" i="8"/>
  <c r="B3162" i="8"/>
  <c r="B3161" i="8"/>
  <c r="B3160" i="8"/>
  <c r="B3159" i="8"/>
  <c r="B3158" i="8"/>
  <c r="B3157" i="8"/>
  <c r="B3156" i="8"/>
  <c r="B3155" i="8"/>
  <c r="B3154" i="8"/>
  <c r="B3153" i="8"/>
  <c r="B3152" i="8"/>
  <c r="B3151" i="8"/>
  <c r="B3150" i="8"/>
  <c r="B3149" i="8"/>
  <c r="B3148" i="8"/>
  <c r="B3147" i="8"/>
  <c r="B3146" i="8"/>
  <c r="B3145" i="8"/>
  <c r="B3144" i="8"/>
  <c r="B3143" i="8"/>
  <c r="B3142" i="8"/>
  <c r="B3141" i="8"/>
  <c r="B3140" i="8"/>
  <c r="B3139" i="8"/>
  <c r="B3138" i="8"/>
  <c r="B3137" i="8"/>
  <c r="B3136" i="8"/>
  <c r="B3135" i="8"/>
  <c r="B3134" i="8"/>
  <c r="B3133" i="8"/>
  <c r="B3132" i="8"/>
  <c r="B3131" i="8"/>
  <c r="B3130" i="8"/>
  <c r="B3129" i="8"/>
  <c r="B3128" i="8"/>
  <c r="B3127" i="8"/>
  <c r="B3126" i="8"/>
  <c r="B3125" i="8"/>
  <c r="B3124" i="8"/>
  <c r="B3123" i="8"/>
  <c r="B3122" i="8"/>
  <c r="B3121" i="8"/>
  <c r="B3120" i="8"/>
  <c r="B3119" i="8"/>
  <c r="B3118" i="8"/>
  <c r="B3117" i="8"/>
  <c r="B3116" i="8"/>
  <c r="B3115" i="8"/>
  <c r="B3114" i="8"/>
  <c r="B3113" i="8"/>
  <c r="B3112" i="8"/>
  <c r="B3111" i="8"/>
  <c r="B3110" i="8"/>
  <c r="B3109" i="8"/>
  <c r="B3108" i="8"/>
  <c r="B3107" i="8"/>
  <c r="B3106" i="8"/>
  <c r="B3105" i="8"/>
  <c r="B3104" i="8"/>
  <c r="B3103" i="8"/>
  <c r="B3102" i="8"/>
  <c r="B3101" i="8"/>
  <c r="B3100" i="8"/>
  <c r="B3099" i="8"/>
  <c r="B3098" i="8"/>
  <c r="B3097" i="8"/>
  <c r="B3096" i="8"/>
  <c r="B3095" i="8"/>
  <c r="B3094" i="8"/>
  <c r="B3093" i="8"/>
  <c r="B3092" i="8"/>
  <c r="B3091" i="8"/>
  <c r="B3090" i="8"/>
  <c r="B3089" i="8"/>
  <c r="B3088" i="8"/>
  <c r="B3087" i="8"/>
  <c r="B3086" i="8"/>
  <c r="B3085" i="8"/>
  <c r="B3084" i="8"/>
  <c r="B3083" i="8"/>
  <c r="B3082" i="8"/>
  <c r="B3081" i="8"/>
  <c r="B3080" i="8"/>
  <c r="B3079" i="8"/>
  <c r="B3078" i="8"/>
  <c r="B3077" i="8"/>
  <c r="B3076" i="8"/>
  <c r="B3075" i="8"/>
  <c r="B3074" i="8"/>
  <c r="B3073" i="8"/>
  <c r="B3072" i="8"/>
  <c r="B3071" i="8"/>
  <c r="B3070" i="8"/>
  <c r="B3069" i="8"/>
  <c r="B3068" i="8"/>
  <c r="B3067" i="8"/>
  <c r="B3066" i="8"/>
  <c r="B3065" i="8"/>
  <c r="B3064" i="8"/>
  <c r="B3063" i="8"/>
  <c r="B3062" i="8"/>
  <c r="B3061" i="8"/>
  <c r="B3060" i="8"/>
  <c r="B3059" i="8"/>
  <c r="B3058" i="8"/>
  <c r="B3057" i="8"/>
  <c r="B3056" i="8"/>
  <c r="B3055" i="8"/>
  <c r="B3054" i="8"/>
  <c r="B3053" i="8"/>
  <c r="B3052" i="8"/>
  <c r="B3051" i="8"/>
  <c r="B3050" i="8"/>
  <c r="B3049" i="8"/>
  <c r="B3048" i="8"/>
  <c r="B3047" i="8"/>
  <c r="B3046" i="8"/>
  <c r="B3045" i="8"/>
  <c r="B3044" i="8"/>
  <c r="B3043" i="8"/>
  <c r="B3042" i="8"/>
  <c r="B3041" i="8"/>
  <c r="B3040" i="8"/>
  <c r="B3039" i="8"/>
  <c r="B3038" i="8"/>
  <c r="B3037" i="8"/>
  <c r="B3036" i="8"/>
  <c r="B3035" i="8"/>
  <c r="B3034" i="8"/>
  <c r="B3033" i="8"/>
  <c r="B3032" i="8"/>
  <c r="B3031" i="8"/>
  <c r="B3030" i="8"/>
  <c r="B3029" i="8"/>
  <c r="B3028" i="8"/>
  <c r="B3027" i="8"/>
  <c r="B3026" i="8"/>
  <c r="B3025" i="8"/>
  <c r="B3024" i="8"/>
  <c r="B3023" i="8"/>
  <c r="B3022" i="8"/>
  <c r="B3021" i="8"/>
  <c r="B3020" i="8"/>
  <c r="B3019" i="8"/>
  <c r="B3018" i="8"/>
  <c r="B3017" i="8"/>
  <c r="B3016" i="8"/>
  <c r="B3015" i="8"/>
  <c r="B3014" i="8"/>
  <c r="B3013" i="8"/>
  <c r="B3012" i="8"/>
  <c r="B3011" i="8"/>
  <c r="B3010" i="8"/>
  <c r="B3009" i="8"/>
  <c r="B3008" i="8"/>
  <c r="B3007" i="8"/>
  <c r="B3006" i="8"/>
  <c r="B3005" i="8"/>
  <c r="B3004" i="8"/>
  <c r="B3003" i="8"/>
  <c r="B3002" i="8"/>
  <c r="B3001" i="8"/>
  <c r="B3000" i="8"/>
  <c r="B2999" i="8"/>
  <c r="B2998" i="8"/>
  <c r="B2997" i="8"/>
  <c r="B2996" i="8"/>
  <c r="B2995" i="8"/>
  <c r="B2994" i="8"/>
  <c r="B2993" i="8"/>
  <c r="B2992" i="8"/>
  <c r="B2991" i="8"/>
  <c r="B2990" i="8"/>
  <c r="B2989" i="8"/>
  <c r="B2988" i="8"/>
  <c r="B2987" i="8"/>
  <c r="B2986" i="8"/>
  <c r="B2985" i="8"/>
  <c r="B2984" i="8"/>
  <c r="B2983" i="8"/>
  <c r="B2982" i="8"/>
  <c r="B2981" i="8"/>
  <c r="B2980" i="8"/>
  <c r="B2979" i="8"/>
  <c r="B2978" i="8"/>
  <c r="B2977" i="8"/>
  <c r="B2976" i="8"/>
  <c r="B2975" i="8"/>
  <c r="B2974" i="8"/>
  <c r="B2973" i="8"/>
  <c r="B2972" i="8"/>
  <c r="B2971" i="8"/>
  <c r="B2970" i="8"/>
  <c r="B2969" i="8"/>
  <c r="B2968" i="8"/>
  <c r="B2967" i="8"/>
  <c r="B2966" i="8"/>
  <c r="B2965" i="8"/>
  <c r="B2964" i="8"/>
  <c r="B2963" i="8"/>
  <c r="B2962" i="8"/>
  <c r="B2961" i="8"/>
  <c r="B2960" i="8"/>
  <c r="B2959" i="8"/>
  <c r="B2958" i="8"/>
  <c r="B2957" i="8"/>
  <c r="B2956" i="8"/>
  <c r="B2955" i="8"/>
  <c r="B2954" i="8"/>
  <c r="B2953" i="8"/>
  <c r="B2952" i="8"/>
  <c r="B2951" i="8"/>
  <c r="B2950" i="8"/>
  <c r="B2949" i="8"/>
  <c r="B2948" i="8"/>
  <c r="B2947" i="8"/>
  <c r="B2946" i="8"/>
  <c r="B2945" i="8"/>
  <c r="B2944" i="8"/>
  <c r="B2943" i="8"/>
  <c r="B2942" i="8"/>
  <c r="B2941" i="8"/>
  <c r="B2940" i="8"/>
  <c r="B2939" i="8"/>
  <c r="B2938" i="8"/>
  <c r="B2937" i="8"/>
  <c r="B2936" i="8"/>
  <c r="B2935" i="8"/>
  <c r="B2934" i="8"/>
  <c r="B2933" i="8"/>
  <c r="B2932" i="8"/>
  <c r="B2931" i="8"/>
  <c r="B2930" i="8"/>
  <c r="B2929" i="8"/>
  <c r="B2928" i="8"/>
  <c r="B2927" i="8"/>
  <c r="B2926" i="8"/>
  <c r="B2925" i="8"/>
  <c r="B2924" i="8"/>
  <c r="B2923" i="8"/>
  <c r="B2922" i="8"/>
  <c r="B2921" i="8"/>
  <c r="B2920" i="8"/>
  <c r="B2919" i="8"/>
  <c r="B2918" i="8"/>
  <c r="B2917" i="8"/>
  <c r="B2916" i="8"/>
  <c r="B2915" i="8"/>
  <c r="B2914" i="8"/>
  <c r="B2913" i="8"/>
  <c r="B2912" i="8"/>
  <c r="B2911" i="8"/>
  <c r="B2910" i="8"/>
  <c r="B2909" i="8"/>
  <c r="B2908" i="8"/>
  <c r="B2907" i="8"/>
  <c r="B2906" i="8"/>
  <c r="B2905" i="8"/>
  <c r="B2904" i="8"/>
  <c r="B2903" i="8"/>
  <c r="B2902" i="8"/>
  <c r="B2901" i="8"/>
  <c r="B2900" i="8"/>
  <c r="B2899" i="8"/>
  <c r="B2898" i="8"/>
  <c r="B2897" i="8"/>
  <c r="B2896" i="8"/>
  <c r="B2895" i="8"/>
  <c r="B2894" i="8"/>
  <c r="B2893" i="8"/>
  <c r="B2892" i="8"/>
  <c r="B2891" i="8"/>
  <c r="B2890" i="8"/>
  <c r="B2889" i="8"/>
  <c r="B2888" i="8"/>
  <c r="B2887" i="8"/>
  <c r="B2886" i="8"/>
  <c r="B2885" i="8"/>
  <c r="B2884" i="8"/>
  <c r="B2883" i="8"/>
  <c r="B2882" i="8"/>
  <c r="B2881" i="8"/>
  <c r="B2880" i="8"/>
  <c r="B2879" i="8"/>
  <c r="B2878" i="8"/>
  <c r="B2877" i="8"/>
  <c r="B2876" i="8"/>
  <c r="B2875" i="8"/>
  <c r="B2874" i="8"/>
  <c r="B2873" i="8"/>
  <c r="B2872" i="8"/>
  <c r="B2871" i="8"/>
  <c r="B2870" i="8"/>
  <c r="B2869" i="8"/>
  <c r="B2868" i="8"/>
  <c r="B2867" i="8"/>
  <c r="B2866" i="8"/>
  <c r="B2865" i="8"/>
  <c r="B2864" i="8"/>
  <c r="B2863" i="8"/>
  <c r="B2862" i="8"/>
  <c r="B2861" i="8"/>
  <c r="B2860" i="8"/>
  <c r="B2859" i="8"/>
  <c r="B2858" i="8"/>
  <c r="B2857" i="8"/>
  <c r="B2856" i="8"/>
  <c r="B2855" i="8"/>
  <c r="B2854" i="8"/>
  <c r="B2853" i="8"/>
  <c r="B2852" i="8"/>
  <c r="B2851" i="8"/>
  <c r="B2850" i="8"/>
  <c r="B2849" i="8"/>
  <c r="B2848" i="8"/>
  <c r="B2847" i="8"/>
  <c r="B2846" i="8"/>
  <c r="B2845" i="8"/>
  <c r="B2844" i="8"/>
  <c r="B2843" i="8"/>
  <c r="B2842" i="8"/>
  <c r="B2841" i="8"/>
  <c r="B2840" i="8"/>
  <c r="B2839" i="8"/>
  <c r="B2838" i="8"/>
  <c r="B2837" i="8"/>
  <c r="B2836" i="8"/>
  <c r="B2835" i="8"/>
  <c r="B2834" i="8"/>
  <c r="B2833" i="8"/>
  <c r="B2832" i="8"/>
  <c r="B2831" i="8"/>
  <c r="B2830" i="8"/>
  <c r="B2829" i="8"/>
  <c r="B2828" i="8"/>
  <c r="B2827" i="8"/>
  <c r="B2826" i="8"/>
  <c r="B2825" i="8"/>
  <c r="B2824" i="8"/>
  <c r="B2823" i="8"/>
  <c r="B2822" i="8"/>
  <c r="B2821" i="8"/>
  <c r="B2820" i="8"/>
  <c r="B2819" i="8"/>
  <c r="B2818" i="8"/>
  <c r="B2817" i="8"/>
  <c r="B2816" i="8"/>
  <c r="B2815" i="8"/>
  <c r="B2814" i="8"/>
  <c r="B2813" i="8"/>
  <c r="B2812" i="8"/>
  <c r="B2811" i="8"/>
  <c r="B2810" i="8"/>
  <c r="B2809" i="8"/>
  <c r="B2808" i="8"/>
  <c r="B2807" i="8"/>
  <c r="B2806" i="8"/>
  <c r="B2805" i="8"/>
  <c r="B2804" i="8"/>
  <c r="B2803" i="8"/>
  <c r="B2802" i="8"/>
  <c r="B2801" i="8"/>
  <c r="B2800" i="8"/>
  <c r="B2799" i="8"/>
  <c r="B2798" i="8"/>
  <c r="B2797" i="8"/>
  <c r="B2796" i="8"/>
  <c r="B2795" i="8"/>
  <c r="B2794" i="8"/>
  <c r="B2793" i="8"/>
  <c r="B2792" i="8"/>
  <c r="B2791" i="8"/>
  <c r="B2790" i="8"/>
  <c r="B2789" i="8"/>
  <c r="B2788" i="8"/>
  <c r="B2787" i="8"/>
  <c r="B2786" i="8"/>
  <c r="B2785" i="8"/>
  <c r="B2784" i="8"/>
  <c r="B2783" i="8"/>
  <c r="B2782" i="8"/>
  <c r="B2781" i="8"/>
  <c r="B2780" i="8"/>
  <c r="B2779" i="8"/>
  <c r="B2778" i="8"/>
  <c r="B2777" i="8"/>
  <c r="B2776" i="8"/>
  <c r="B2775" i="8"/>
  <c r="B2774" i="8"/>
  <c r="B2773" i="8"/>
  <c r="B2772" i="8"/>
  <c r="B2771" i="8"/>
  <c r="B2770" i="8"/>
  <c r="B2769" i="8"/>
  <c r="B2768" i="8"/>
  <c r="B2767" i="8"/>
  <c r="B2766" i="8"/>
  <c r="B2765" i="8"/>
  <c r="B2764" i="8"/>
  <c r="B2763" i="8"/>
  <c r="B2762" i="8"/>
  <c r="B2761" i="8"/>
  <c r="B2760" i="8"/>
  <c r="B2759" i="8"/>
  <c r="B2758" i="8"/>
  <c r="B2757" i="8"/>
  <c r="B2756" i="8"/>
  <c r="B2755" i="8"/>
  <c r="B2754" i="8"/>
  <c r="B2753" i="8"/>
  <c r="B2752" i="8"/>
  <c r="B2751" i="8"/>
  <c r="B2750" i="8"/>
  <c r="B2749" i="8"/>
  <c r="B2748" i="8"/>
  <c r="B2747" i="8"/>
  <c r="B2746" i="8"/>
  <c r="B2745" i="8"/>
  <c r="B2744" i="8"/>
  <c r="B2743" i="8"/>
  <c r="B2742" i="8"/>
  <c r="B2741" i="8"/>
  <c r="B2740" i="8"/>
  <c r="B2739" i="8"/>
  <c r="B2738" i="8"/>
  <c r="B2737" i="8"/>
  <c r="B2736" i="8"/>
  <c r="B2735" i="8"/>
  <c r="B2734" i="8"/>
  <c r="B2733" i="8"/>
  <c r="B2732" i="8"/>
  <c r="B2731" i="8"/>
  <c r="B2730" i="8"/>
  <c r="B2729" i="8"/>
  <c r="B2728" i="8"/>
  <c r="B2727" i="8"/>
  <c r="B2726" i="8"/>
  <c r="B2725" i="8"/>
  <c r="B2724" i="8"/>
  <c r="B2723" i="8"/>
  <c r="B2722" i="8"/>
  <c r="B2721" i="8"/>
  <c r="B2720" i="8"/>
  <c r="B2719" i="8"/>
  <c r="B2718" i="8"/>
  <c r="B2717" i="8"/>
  <c r="B2716" i="8"/>
  <c r="B2715" i="8"/>
  <c r="B2714" i="8"/>
  <c r="B2713" i="8"/>
  <c r="B2712" i="8"/>
  <c r="B2711" i="8"/>
  <c r="B2710" i="8"/>
  <c r="B2709" i="8"/>
  <c r="B2708" i="8"/>
  <c r="B2707" i="8"/>
  <c r="B2706" i="8"/>
  <c r="B2705" i="8"/>
  <c r="B2704" i="8"/>
  <c r="B2703" i="8"/>
  <c r="B2702" i="8"/>
  <c r="B2701" i="8"/>
  <c r="B2700" i="8"/>
  <c r="B2699" i="8"/>
  <c r="B2698" i="8"/>
  <c r="B2697" i="8"/>
  <c r="B2696" i="8"/>
  <c r="B2695" i="8"/>
  <c r="B2694" i="8"/>
  <c r="B2693" i="8"/>
  <c r="B2692" i="8"/>
  <c r="B2691" i="8"/>
  <c r="B2690" i="8"/>
  <c r="B2689" i="8"/>
  <c r="B2688" i="8"/>
  <c r="B2687" i="8"/>
  <c r="B2686" i="8"/>
  <c r="B2685" i="8"/>
  <c r="B2684" i="8"/>
  <c r="B2683" i="8"/>
  <c r="B2682" i="8"/>
  <c r="B2681" i="8"/>
  <c r="B2680" i="8"/>
  <c r="B2679" i="8"/>
  <c r="B2678" i="8"/>
  <c r="B2677" i="8"/>
  <c r="B2676" i="8"/>
  <c r="B2675" i="8"/>
  <c r="B2674" i="8"/>
  <c r="B2673" i="8"/>
  <c r="B2672" i="8"/>
  <c r="B2671" i="8"/>
  <c r="B2670" i="8"/>
  <c r="B2669" i="8"/>
  <c r="B2668" i="8"/>
  <c r="B2667" i="8"/>
  <c r="B2666" i="8"/>
  <c r="B2665" i="8"/>
  <c r="B2664" i="8"/>
  <c r="B2663" i="8"/>
  <c r="B2662" i="8"/>
  <c r="B2661" i="8"/>
  <c r="B2660" i="8"/>
  <c r="B2659" i="8"/>
  <c r="B2658" i="8"/>
  <c r="B2657" i="8"/>
  <c r="B2656" i="8"/>
  <c r="B2655" i="8"/>
  <c r="B2654" i="8"/>
  <c r="B2653" i="8"/>
  <c r="B2652" i="8"/>
  <c r="B2651" i="8"/>
  <c r="B2650" i="8"/>
  <c r="B2649" i="8"/>
  <c r="B2648" i="8"/>
  <c r="B2647" i="8"/>
  <c r="B2646" i="8"/>
  <c r="B2645" i="8"/>
  <c r="B2644" i="8"/>
  <c r="B2643" i="8"/>
  <c r="B2642" i="8"/>
  <c r="B2641" i="8"/>
  <c r="B2640" i="8"/>
  <c r="B2639" i="8"/>
  <c r="B2638" i="8"/>
  <c r="B2637" i="8"/>
  <c r="B2636" i="8"/>
  <c r="B2635" i="8"/>
  <c r="B2634" i="8"/>
  <c r="B2633" i="8"/>
  <c r="B2632" i="8"/>
  <c r="B2631" i="8"/>
  <c r="B2630" i="8"/>
  <c r="B2629" i="8"/>
  <c r="B2628" i="8"/>
  <c r="B2627" i="8"/>
  <c r="B2626" i="8"/>
  <c r="B2625" i="8"/>
  <c r="B2624" i="8"/>
  <c r="B2623" i="8"/>
  <c r="B2622" i="8"/>
  <c r="B2621" i="8"/>
  <c r="B2620" i="8"/>
  <c r="B2619" i="8"/>
  <c r="B2618" i="8"/>
  <c r="B2617" i="8"/>
  <c r="B2616" i="8"/>
  <c r="B2615" i="8"/>
  <c r="B2614" i="8"/>
  <c r="B2613" i="8"/>
  <c r="B2612" i="8"/>
  <c r="B2611" i="8"/>
  <c r="B2610" i="8"/>
  <c r="B2609" i="8"/>
  <c r="B2608" i="8"/>
  <c r="B2607" i="8"/>
  <c r="B2606" i="8"/>
  <c r="B2605" i="8"/>
  <c r="B2604" i="8"/>
  <c r="B2603" i="8"/>
  <c r="B2602" i="8"/>
  <c r="B2601" i="8"/>
  <c r="B2600" i="8"/>
  <c r="B2599" i="8"/>
  <c r="B2598" i="8"/>
  <c r="B2597" i="8"/>
  <c r="B2596" i="8"/>
  <c r="B2595" i="8"/>
  <c r="B2594" i="8"/>
  <c r="B2593" i="8"/>
  <c r="B2592" i="8"/>
  <c r="B2591" i="8"/>
  <c r="B2590" i="8"/>
  <c r="B2589" i="8"/>
  <c r="B2588" i="8"/>
  <c r="B2587" i="8"/>
  <c r="B2586" i="8"/>
  <c r="B2585" i="8"/>
  <c r="B2584" i="8"/>
  <c r="B2583" i="8"/>
  <c r="B2582" i="8"/>
  <c r="B2581" i="8"/>
  <c r="B2580" i="8"/>
  <c r="B2579" i="8"/>
  <c r="B2578" i="8"/>
  <c r="B2577" i="8"/>
  <c r="B2576" i="8"/>
  <c r="B2575" i="8"/>
  <c r="B2574" i="8"/>
  <c r="B2573" i="8"/>
  <c r="B2572" i="8"/>
  <c r="B2571" i="8"/>
  <c r="B2570" i="8"/>
  <c r="B2569" i="8"/>
  <c r="B2568" i="8"/>
  <c r="B2567" i="8"/>
  <c r="B2566" i="8"/>
  <c r="B2565" i="8"/>
  <c r="B2564" i="8"/>
  <c r="B2563" i="8"/>
  <c r="B2562" i="8"/>
  <c r="B2561" i="8"/>
  <c r="B2560" i="8"/>
  <c r="B2559" i="8"/>
  <c r="B2558" i="8"/>
  <c r="B2557" i="8"/>
  <c r="B2556" i="8"/>
  <c r="B2555" i="8"/>
  <c r="B2554" i="8"/>
  <c r="B2553" i="8"/>
  <c r="B2552" i="8"/>
  <c r="B2551" i="8"/>
  <c r="B2550" i="8"/>
  <c r="B2549" i="8"/>
  <c r="B2548" i="8"/>
  <c r="B2547" i="8"/>
  <c r="B2546" i="8"/>
  <c r="B2545" i="8"/>
  <c r="B2544" i="8"/>
  <c r="B2543" i="8"/>
  <c r="B2542" i="8"/>
  <c r="B2541" i="8"/>
  <c r="B2540" i="8"/>
  <c r="B2539" i="8"/>
  <c r="B2538" i="8"/>
  <c r="B2537" i="8"/>
  <c r="B2536" i="8"/>
  <c r="B2535" i="8"/>
  <c r="B2534" i="8"/>
  <c r="B2533" i="8"/>
  <c r="B2532" i="8"/>
  <c r="B2531" i="8"/>
  <c r="B2530" i="8"/>
  <c r="B2529" i="8"/>
  <c r="B2528" i="8"/>
  <c r="B2527" i="8"/>
  <c r="B2526" i="8"/>
  <c r="B2525" i="8"/>
  <c r="B2524" i="8"/>
  <c r="B2523" i="8"/>
  <c r="B2522" i="8"/>
  <c r="B2521" i="8"/>
  <c r="B2520" i="8"/>
  <c r="B2519" i="8"/>
  <c r="B2518" i="8"/>
  <c r="B2517" i="8"/>
  <c r="B2516" i="8"/>
  <c r="B2515" i="8"/>
  <c r="B2514" i="8"/>
  <c r="B2513" i="8"/>
  <c r="B2512" i="8"/>
  <c r="B2511" i="8"/>
  <c r="B2510" i="8"/>
  <c r="B2509" i="8"/>
  <c r="B2508" i="8"/>
  <c r="B2507" i="8"/>
  <c r="B2506" i="8"/>
  <c r="B2505" i="8"/>
  <c r="B2504" i="8"/>
  <c r="B2503" i="8"/>
  <c r="B2502" i="8"/>
  <c r="B2501" i="8"/>
  <c r="B2500" i="8"/>
  <c r="B2499" i="8"/>
  <c r="B2498" i="8"/>
  <c r="B2497" i="8"/>
  <c r="B2496" i="8"/>
  <c r="B2495" i="8"/>
  <c r="B2494" i="8"/>
  <c r="B2493" i="8"/>
  <c r="B2492" i="8"/>
  <c r="B2491" i="8"/>
  <c r="B2490" i="8"/>
  <c r="B2489" i="8"/>
  <c r="B2488" i="8"/>
  <c r="B2487" i="8"/>
  <c r="B2486" i="8"/>
  <c r="B2485" i="8"/>
  <c r="B2484" i="8"/>
  <c r="B2483" i="8"/>
  <c r="B2482" i="8"/>
  <c r="B2481" i="8"/>
  <c r="B2480" i="8"/>
  <c r="B2479" i="8"/>
  <c r="B2478" i="8"/>
  <c r="B2477" i="8"/>
  <c r="B2476" i="8"/>
  <c r="B2475" i="8"/>
  <c r="B2474" i="8"/>
  <c r="B2473" i="8"/>
  <c r="B2472" i="8"/>
  <c r="B2471" i="8"/>
  <c r="B2470" i="8"/>
  <c r="B2469" i="8"/>
  <c r="B2468" i="8"/>
  <c r="B2467" i="8"/>
  <c r="B2466" i="8"/>
  <c r="B2465" i="8"/>
  <c r="B2464" i="8"/>
  <c r="B2463" i="8"/>
  <c r="B2462" i="8"/>
  <c r="B2461" i="8"/>
  <c r="B2460" i="8"/>
  <c r="B2459" i="8"/>
  <c r="B2458" i="8"/>
  <c r="B2457" i="8"/>
  <c r="B2456" i="8"/>
  <c r="B2455" i="8"/>
  <c r="B2454" i="8"/>
  <c r="B2453" i="8"/>
  <c r="B2452" i="8"/>
  <c r="B2451" i="8"/>
  <c r="B2450" i="8"/>
  <c r="B2449" i="8"/>
  <c r="B2448" i="8"/>
  <c r="B2447" i="8"/>
  <c r="B2446" i="8"/>
  <c r="B2445" i="8"/>
  <c r="B2444" i="8"/>
  <c r="B2443" i="8"/>
  <c r="B2442" i="8"/>
  <c r="B2441" i="8"/>
  <c r="B2440" i="8"/>
  <c r="B2439" i="8"/>
  <c r="B2438" i="8"/>
  <c r="B2437" i="8"/>
  <c r="B2436" i="8"/>
  <c r="B2435" i="8"/>
  <c r="B2434" i="8"/>
  <c r="B2433" i="8"/>
  <c r="B2432" i="8"/>
  <c r="B2431" i="8"/>
  <c r="B2430" i="8"/>
  <c r="B2429" i="8"/>
  <c r="B2428" i="8"/>
  <c r="B2427" i="8"/>
  <c r="B2426" i="8"/>
  <c r="B2425" i="8"/>
  <c r="B2424" i="8"/>
  <c r="B2423" i="8"/>
  <c r="B2422" i="8"/>
  <c r="B2421" i="8"/>
  <c r="B2420" i="8"/>
  <c r="B2419" i="8"/>
  <c r="B2418" i="8"/>
  <c r="B2417" i="8"/>
  <c r="B2416" i="8"/>
  <c r="B2415" i="8"/>
  <c r="B2414" i="8"/>
  <c r="B2413" i="8"/>
  <c r="B2412" i="8"/>
  <c r="B2411" i="8"/>
  <c r="B2410" i="8"/>
  <c r="B2409" i="8"/>
  <c r="B2408" i="8"/>
  <c r="B2407" i="8"/>
  <c r="B2406" i="8"/>
  <c r="B2405" i="8"/>
  <c r="B2404" i="8"/>
  <c r="B2403" i="8"/>
  <c r="B2402" i="8"/>
  <c r="B2401" i="8"/>
  <c r="B2400" i="8"/>
  <c r="B2399" i="8"/>
  <c r="B2398" i="8"/>
  <c r="B2397" i="8"/>
  <c r="B2396" i="8"/>
  <c r="B2395" i="8"/>
  <c r="B2394" i="8"/>
  <c r="B2393" i="8"/>
  <c r="B2392" i="8"/>
  <c r="B2391" i="8"/>
  <c r="B2390" i="8"/>
  <c r="B2389" i="8"/>
  <c r="B2388" i="8"/>
  <c r="B2387" i="8"/>
  <c r="B2386" i="8"/>
  <c r="B2385" i="8"/>
  <c r="B2384" i="8"/>
  <c r="B2383" i="8"/>
  <c r="B2382" i="8"/>
  <c r="B2381" i="8"/>
  <c r="B2380" i="8"/>
  <c r="B2379" i="8"/>
  <c r="B2378" i="8"/>
  <c r="B2377" i="8"/>
  <c r="B2376" i="8"/>
  <c r="B2375" i="8"/>
  <c r="B2374" i="8"/>
  <c r="B2373" i="8"/>
  <c r="B2372" i="8"/>
  <c r="B2371" i="8"/>
  <c r="B2370" i="8"/>
  <c r="B2369" i="8"/>
  <c r="B2368" i="8"/>
  <c r="B2367" i="8"/>
  <c r="B2366" i="8"/>
  <c r="B2365" i="8"/>
  <c r="B2364" i="8"/>
  <c r="B2363" i="8"/>
  <c r="B2362" i="8"/>
  <c r="B2361" i="8"/>
  <c r="B2360" i="8"/>
  <c r="B2359" i="8"/>
  <c r="B2358" i="8"/>
  <c r="B2357" i="8"/>
  <c r="B2356" i="8"/>
  <c r="B2355" i="8"/>
  <c r="B2354" i="8"/>
  <c r="B2353" i="8"/>
  <c r="B2352" i="8"/>
  <c r="B2351" i="8"/>
  <c r="B2350" i="8"/>
  <c r="B2349" i="8"/>
  <c r="B2348" i="8"/>
  <c r="B2347" i="8"/>
  <c r="B2346" i="8"/>
  <c r="B2345" i="8"/>
  <c r="B2344" i="8"/>
  <c r="B2343" i="8"/>
  <c r="B2342" i="8"/>
  <c r="B2341" i="8"/>
  <c r="B2340" i="8"/>
  <c r="B2339" i="8"/>
  <c r="B2338" i="8"/>
  <c r="B2337" i="8"/>
  <c r="B2336" i="8"/>
  <c r="B2335" i="8"/>
  <c r="B2334" i="8"/>
  <c r="B2333" i="8"/>
  <c r="B2332" i="8"/>
  <c r="B2331" i="8"/>
  <c r="B2330" i="8"/>
  <c r="B2329" i="8"/>
  <c r="B2328" i="8"/>
  <c r="B2327" i="8"/>
  <c r="B2326" i="8"/>
  <c r="B2325" i="8"/>
  <c r="B2324" i="8"/>
  <c r="B2323" i="8"/>
  <c r="B2322" i="8"/>
  <c r="B2321" i="8"/>
  <c r="B2320" i="8"/>
  <c r="B2319" i="8"/>
  <c r="B2318" i="8"/>
  <c r="B2317" i="8"/>
  <c r="B2316" i="8"/>
  <c r="B2315" i="8"/>
  <c r="B2314" i="8"/>
  <c r="B2313" i="8"/>
  <c r="B2312" i="8"/>
  <c r="B2311" i="8"/>
  <c r="B2310" i="8"/>
  <c r="B2309" i="8"/>
  <c r="B2308" i="8"/>
  <c r="B2307" i="8"/>
  <c r="B2306" i="8"/>
  <c r="B2305" i="8"/>
  <c r="B2304" i="8"/>
  <c r="B2303" i="8"/>
  <c r="B2302" i="8"/>
  <c r="B2301" i="8"/>
  <c r="B2300" i="8"/>
  <c r="B2299" i="8"/>
  <c r="B2298" i="8"/>
  <c r="B2297" i="8"/>
  <c r="B2296" i="8"/>
  <c r="B2295" i="8"/>
  <c r="B2294" i="8"/>
  <c r="B2293" i="8"/>
  <c r="B2292" i="8"/>
  <c r="B2291" i="8"/>
  <c r="B2290" i="8"/>
  <c r="B2289" i="8"/>
  <c r="B2288" i="8"/>
  <c r="B2287" i="8"/>
  <c r="B2286" i="8"/>
  <c r="B2285" i="8"/>
  <c r="B2284" i="8"/>
  <c r="B2283" i="8"/>
  <c r="B2282" i="8"/>
  <c r="B2281" i="8"/>
  <c r="B2280" i="8"/>
  <c r="B2279" i="8"/>
  <c r="B2278" i="8"/>
  <c r="B2277" i="8"/>
  <c r="B2276" i="8"/>
  <c r="B2275" i="8"/>
  <c r="B2274" i="8"/>
  <c r="B2273" i="8"/>
  <c r="B2272" i="8"/>
  <c r="B2271" i="8"/>
  <c r="B2270" i="8"/>
  <c r="B2269" i="8"/>
  <c r="B2268" i="8"/>
  <c r="B2267" i="8"/>
  <c r="B2266" i="8"/>
  <c r="B2265" i="8"/>
  <c r="B2264" i="8"/>
  <c r="B2263" i="8"/>
  <c r="B2262" i="8"/>
  <c r="B2261" i="8"/>
  <c r="B2260" i="8"/>
  <c r="B2259" i="8"/>
  <c r="B2258" i="8"/>
  <c r="B2257" i="8"/>
  <c r="B2256" i="8"/>
  <c r="B2255" i="8"/>
  <c r="B2254" i="8"/>
  <c r="B2253" i="8"/>
  <c r="B2252" i="8"/>
  <c r="B2251" i="8"/>
  <c r="B2250" i="8"/>
  <c r="B2249" i="8"/>
  <c r="B2248" i="8"/>
  <c r="B2247" i="8"/>
  <c r="B2246" i="8"/>
  <c r="B2245" i="8"/>
  <c r="B2244" i="8"/>
  <c r="B2243" i="8"/>
  <c r="B2242" i="8"/>
  <c r="B2241" i="8"/>
  <c r="B2240" i="8"/>
  <c r="B2239" i="8"/>
  <c r="B2238" i="8"/>
  <c r="B2237" i="8"/>
  <c r="B2236" i="8"/>
  <c r="B2235" i="8"/>
  <c r="B2234" i="8"/>
  <c r="B2233" i="8"/>
  <c r="B2232" i="8"/>
  <c r="B2231" i="8"/>
  <c r="B2230" i="8"/>
  <c r="B2229" i="8"/>
  <c r="B2228" i="8"/>
  <c r="B2227" i="8"/>
  <c r="B2226" i="8"/>
  <c r="B2225" i="8"/>
  <c r="B2224" i="8"/>
  <c r="B2223" i="8"/>
  <c r="B2222" i="8"/>
  <c r="B2221" i="8"/>
  <c r="B2220" i="8"/>
  <c r="B2219" i="8"/>
  <c r="B2218" i="8"/>
  <c r="B2217" i="8"/>
  <c r="B2216" i="8"/>
  <c r="B2215" i="8"/>
  <c r="B2214" i="8"/>
  <c r="B2213" i="8"/>
  <c r="B2212" i="8"/>
  <c r="B2211" i="8"/>
  <c r="B2210" i="8"/>
  <c r="B2209" i="8"/>
  <c r="B2208" i="8"/>
  <c r="B2207" i="8"/>
  <c r="B2206" i="8"/>
  <c r="B2205" i="8"/>
  <c r="B2204" i="8"/>
  <c r="B2203" i="8"/>
  <c r="B2202" i="8"/>
  <c r="B2201" i="8"/>
  <c r="B2200" i="8"/>
  <c r="B2199" i="8"/>
  <c r="B2198" i="8"/>
  <c r="B2197" i="8"/>
  <c r="B2196" i="8"/>
  <c r="B2195" i="8"/>
  <c r="B2194" i="8"/>
  <c r="B2193" i="8"/>
  <c r="B2192" i="8"/>
  <c r="B2191" i="8"/>
  <c r="B2190" i="8"/>
  <c r="B2189" i="8"/>
  <c r="B2188" i="8"/>
  <c r="B2187" i="8"/>
  <c r="B2186" i="8"/>
  <c r="B2185" i="8"/>
  <c r="B2184" i="8"/>
  <c r="B2183" i="8"/>
  <c r="B2182" i="8"/>
  <c r="B2181" i="8"/>
  <c r="B2180" i="8"/>
  <c r="B2179" i="8"/>
  <c r="B2178" i="8"/>
  <c r="B2177" i="8"/>
  <c r="B2176" i="8"/>
  <c r="B2175" i="8"/>
  <c r="B2174" i="8"/>
  <c r="B2173" i="8"/>
  <c r="B2172" i="8"/>
  <c r="B2171" i="8"/>
  <c r="B2170" i="8"/>
  <c r="B2169" i="8"/>
  <c r="B2168" i="8"/>
  <c r="B2167" i="8"/>
  <c r="B2166" i="8"/>
  <c r="B2165" i="8"/>
  <c r="B2164" i="8"/>
  <c r="B2163" i="8"/>
  <c r="B2162" i="8"/>
  <c r="B2161" i="8"/>
  <c r="B2160" i="8"/>
  <c r="B2159" i="8"/>
  <c r="B2158" i="8"/>
  <c r="B2157" i="8"/>
  <c r="B2156" i="8"/>
  <c r="B2155" i="8"/>
  <c r="B2154" i="8"/>
  <c r="B2153" i="8"/>
  <c r="B2152" i="8"/>
  <c r="B2151" i="8"/>
  <c r="B2150" i="8"/>
  <c r="B2149" i="8"/>
  <c r="B2148" i="8"/>
  <c r="B2147" i="8"/>
  <c r="B2146" i="8"/>
  <c r="B2145" i="8"/>
  <c r="B2144" i="8"/>
  <c r="B2143" i="8"/>
  <c r="B2142" i="8"/>
  <c r="B2141" i="8"/>
  <c r="B2140" i="8"/>
  <c r="B2139" i="8"/>
  <c r="B2138" i="8"/>
  <c r="B2137" i="8"/>
  <c r="B2136" i="8"/>
  <c r="B2135" i="8"/>
  <c r="B2134" i="8"/>
  <c r="B2133" i="8"/>
  <c r="B2132" i="8"/>
  <c r="B2131" i="8"/>
  <c r="B2130" i="8"/>
  <c r="B2129" i="8"/>
  <c r="B2128" i="8"/>
  <c r="B2127" i="8"/>
  <c r="B2126" i="8"/>
  <c r="B2125" i="8"/>
  <c r="B2124" i="8"/>
  <c r="B2123" i="8"/>
  <c r="B2122" i="8"/>
  <c r="B2121" i="8"/>
  <c r="B2120" i="8"/>
  <c r="B2119" i="8"/>
  <c r="B2118" i="8"/>
  <c r="B2117" i="8"/>
  <c r="B2116" i="8"/>
  <c r="B2115" i="8"/>
  <c r="B2114" i="8"/>
  <c r="B2113" i="8"/>
  <c r="B2112" i="8"/>
  <c r="B2111" i="8"/>
  <c r="B2110" i="8"/>
  <c r="B2109" i="8"/>
  <c r="B2108" i="8"/>
  <c r="B2107" i="8"/>
  <c r="B2106" i="8"/>
  <c r="B2105" i="8"/>
  <c r="B2104" i="8"/>
  <c r="B2103" i="8"/>
  <c r="B2102" i="8"/>
  <c r="B2101" i="8"/>
  <c r="B2100" i="8"/>
  <c r="B2099" i="8"/>
  <c r="B2098" i="8"/>
  <c r="B2097" i="8"/>
  <c r="B2096" i="8"/>
  <c r="B2095" i="8"/>
  <c r="B2094" i="8"/>
  <c r="B2093" i="8"/>
  <c r="B2092" i="8"/>
  <c r="B2091" i="8"/>
  <c r="B2090" i="8"/>
  <c r="B2089" i="8"/>
  <c r="B2088" i="8"/>
  <c r="B2087" i="8"/>
  <c r="B2086" i="8"/>
  <c r="B2085" i="8"/>
  <c r="B2084" i="8"/>
  <c r="B2083" i="8"/>
  <c r="B2082" i="8"/>
  <c r="B2081" i="8"/>
  <c r="B2080" i="8"/>
  <c r="B2079" i="8"/>
  <c r="B2078" i="8"/>
  <c r="B2077" i="8"/>
  <c r="B2076" i="8"/>
  <c r="B2075" i="8"/>
  <c r="B2074" i="8"/>
  <c r="B2073" i="8"/>
  <c r="B2072" i="8"/>
  <c r="B2071" i="8"/>
  <c r="B2070" i="8"/>
  <c r="B2069" i="8"/>
  <c r="B2068" i="8"/>
  <c r="B2067" i="8"/>
  <c r="B2066" i="8"/>
  <c r="B2065" i="8"/>
  <c r="B2064" i="8"/>
  <c r="B2063" i="8"/>
  <c r="B2062" i="8"/>
  <c r="B2061" i="8"/>
  <c r="B2060" i="8"/>
  <c r="B2059" i="8"/>
  <c r="B2058" i="8"/>
  <c r="B2057" i="8"/>
  <c r="B2056" i="8"/>
  <c r="B2055" i="8"/>
  <c r="B2054" i="8"/>
  <c r="B2053" i="8"/>
  <c r="B2052" i="8"/>
  <c r="B2051" i="8"/>
  <c r="B2050" i="8"/>
  <c r="B2049" i="8"/>
  <c r="B2048" i="8"/>
  <c r="B2047" i="8"/>
  <c r="B2046" i="8"/>
  <c r="B2045" i="8"/>
  <c r="B2044" i="8"/>
  <c r="B2043" i="8"/>
  <c r="B2042" i="8"/>
  <c r="B2041" i="8"/>
  <c r="B2040" i="8"/>
  <c r="B2039" i="8"/>
  <c r="B2038" i="8"/>
  <c r="B2037" i="8"/>
  <c r="B2036" i="8"/>
  <c r="B2035" i="8"/>
  <c r="B2034" i="8"/>
  <c r="B2033" i="8"/>
  <c r="B2032" i="8"/>
  <c r="B2031" i="8"/>
  <c r="B2030" i="8"/>
  <c r="B2029" i="8"/>
  <c r="B2028" i="8"/>
  <c r="B2027" i="8"/>
  <c r="B2026" i="8"/>
  <c r="B2025" i="8"/>
  <c r="B2024" i="8"/>
  <c r="B2023" i="8"/>
  <c r="B2022" i="8"/>
  <c r="B2021" i="8"/>
  <c r="B2020" i="8"/>
  <c r="B2019" i="8"/>
  <c r="B2018" i="8"/>
  <c r="B2017" i="8"/>
  <c r="B2016" i="8"/>
  <c r="B2015" i="8"/>
  <c r="B2014" i="8"/>
  <c r="B2013" i="8"/>
  <c r="B2012" i="8"/>
  <c r="B2011" i="8"/>
  <c r="B2010" i="8"/>
  <c r="B2009" i="8"/>
  <c r="B2008" i="8"/>
  <c r="B2007" i="8"/>
  <c r="B2006" i="8"/>
  <c r="B2005" i="8"/>
  <c r="B2004" i="8"/>
  <c r="B2003" i="8"/>
  <c r="B2002" i="8"/>
  <c r="B2001" i="8"/>
  <c r="B2000" i="8"/>
  <c r="B1999" i="8"/>
  <c r="B1998" i="8"/>
  <c r="B1997" i="8"/>
  <c r="B1996" i="8"/>
  <c r="B1995" i="8"/>
  <c r="B1994" i="8"/>
  <c r="B1993" i="8"/>
  <c r="B1992" i="8"/>
  <c r="B1991" i="8"/>
  <c r="B1990" i="8"/>
  <c r="B1989" i="8"/>
  <c r="B1988" i="8"/>
  <c r="B1987" i="8"/>
  <c r="B1986" i="8"/>
  <c r="B1985" i="8"/>
  <c r="B1984" i="8"/>
  <c r="B1983" i="8"/>
  <c r="B1982" i="8"/>
  <c r="B1981" i="8"/>
  <c r="B1980" i="8"/>
  <c r="B1979" i="8"/>
  <c r="B1978" i="8"/>
  <c r="B1977" i="8"/>
  <c r="B1976" i="8"/>
  <c r="B1975" i="8"/>
  <c r="B1974" i="8"/>
  <c r="B1973" i="8"/>
  <c r="B1972" i="8"/>
  <c r="B1971" i="8"/>
  <c r="B1970" i="8"/>
  <c r="B1969" i="8"/>
  <c r="B1968" i="8"/>
  <c r="B1967" i="8"/>
  <c r="B1966" i="8"/>
  <c r="B1965" i="8"/>
  <c r="B1964" i="8"/>
  <c r="B1963" i="8"/>
  <c r="B1962" i="8"/>
  <c r="B1961" i="8"/>
  <c r="B1960" i="8"/>
  <c r="B1959" i="8"/>
  <c r="B1958" i="8"/>
  <c r="B1957" i="8"/>
  <c r="B1956" i="8"/>
  <c r="B1955" i="8"/>
  <c r="B1954" i="8"/>
  <c r="B1953" i="8"/>
  <c r="B1952" i="8"/>
  <c r="B1951" i="8"/>
  <c r="B1950" i="8"/>
  <c r="B1949" i="8"/>
  <c r="B1948" i="8"/>
  <c r="B1947" i="8"/>
  <c r="B1946" i="8"/>
  <c r="B1945" i="8"/>
  <c r="B1944" i="8"/>
  <c r="B1943" i="8"/>
  <c r="B1942" i="8"/>
  <c r="B1941" i="8"/>
  <c r="B1940" i="8"/>
  <c r="B1939" i="8"/>
  <c r="B1938" i="8"/>
  <c r="B1937" i="8"/>
  <c r="B1936" i="8"/>
  <c r="B1935" i="8"/>
  <c r="B1934" i="8"/>
  <c r="B1933" i="8"/>
  <c r="B1932" i="8"/>
  <c r="B1931" i="8"/>
  <c r="B1930" i="8"/>
  <c r="B1929" i="8"/>
  <c r="B1928" i="8"/>
  <c r="B1927" i="8"/>
  <c r="B1926" i="8"/>
  <c r="B1925" i="8"/>
  <c r="B1924" i="8"/>
  <c r="B1923" i="8"/>
  <c r="B1922" i="8"/>
  <c r="B1921" i="8"/>
  <c r="B1920" i="8"/>
  <c r="B1919" i="8"/>
  <c r="B1918" i="8"/>
  <c r="B1917" i="8"/>
  <c r="B1916" i="8"/>
  <c r="B1915" i="8"/>
  <c r="B1914" i="8"/>
  <c r="B1913" i="8"/>
  <c r="B1912" i="8"/>
  <c r="B1911" i="8"/>
  <c r="B1910" i="8"/>
  <c r="B1909" i="8"/>
  <c r="B1908" i="8"/>
  <c r="B1907" i="8"/>
  <c r="B1906" i="8"/>
  <c r="B1905" i="8"/>
  <c r="B1904" i="8"/>
  <c r="B1903" i="8"/>
  <c r="B1902" i="8"/>
  <c r="B1901" i="8"/>
  <c r="B1900" i="8"/>
  <c r="B1899" i="8"/>
  <c r="B1898" i="8"/>
  <c r="B1897" i="8"/>
  <c r="B1896" i="8"/>
  <c r="B1895" i="8"/>
  <c r="B1894" i="8"/>
  <c r="B1893" i="8"/>
  <c r="B1892" i="8"/>
  <c r="B1891" i="8"/>
  <c r="B1890" i="8"/>
  <c r="B1889" i="8"/>
  <c r="B1888" i="8"/>
  <c r="B1887" i="8"/>
  <c r="B1886" i="8"/>
  <c r="B1885" i="8"/>
  <c r="B1884" i="8"/>
  <c r="B1883" i="8"/>
  <c r="B1882" i="8"/>
  <c r="B1881" i="8"/>
  <c r="B1880" i="8"/>
  <c r="B1879" i="8"/>
  <c r="B1878" i="8"/>
  <c r="B1877" i="8"/>
  <c r="B1876" i="8"/>
  <c r="B1875" i="8"/>
  <c r="B1874" i="8"/>
  <c r="B1873" i="8"/>
  <c r="B1872" i="8"/>
  <c r="B1871" i="8"/>
  <c r="B1870" i="8"/>
  <c r="B1869" i="8"/>
  <c r="B1868" i="8"/>
  <c r="B1867" i="8"/>
  <c r="B1866" i="8"/>
  <c r="B1865" i="8"/>
  <c r="B1864" i="8"/>
  <c r="B1863" i="8"/>
  <c r="B1862" i="8"/>
  <c r="B1861" i="8"/>
  <c r="B1860" i="8"/>
  <c r="B1859" i="8"/>
  <c r="B1858" i="8"/>
  <c r="B1857" i="8"/>
  <c r="B1856" i="8"/>
  <c r="B1855" i="8"/>
  <c r="B1854" i="8"/>
  <c r="B1853" i="8"/>
  <c r="B1852" i="8"/>
  <c r="B1851" i="8"/>
  <c r="B1850" i="8"/>
  <c r="B1849" i="8"/>
  <c r="B1848" i="8"/>
  <c r="B1847" i="8"/>
  <c r="B1846" i="8"/>
  <c r="B1845" i="8"/>
  <c r="B1844" i="8"/>
  <c r="B1843" i="8"/>
  <c r="B1842" i="8"/>
  <c r="B1841" i="8"/>
  <c r="B1840" i="8"/>
  <c r="B1839" i="8"/>
  <c r="B1838" i="8"/>
  <c r="B1837" i="8"/>
  <c r="B1836" i="8"/>
  <c r="B1835" i="8"/>
  <c r="B1834" i="8"/>
  <c r="B1833" i="8"/>
  <c r="B1832" i="8"/>
  <c r="B1831" i="8"/>
  <c r="B1830" i="8"/>
  <c r="B1829" i="8"/>
  <c r="B1828" i="8"/>
  <c r="B1827" i="8"/>
  <c r="B1826" i="8"/>
  <c r="B1825" i="8"/>
  <c r="B1824" i="8"/>
  <c r="B1823" i="8"/>
  <c r="B1822" i="8"/>
  <c r="B1821" i="8"/>
  <c r="B1820" i="8"/>
  <c r="B1819" i="8"/>
  <c r="B1818" i="8"/>
  <c r="B1817" i="8"/>
  <c r="B1816" i="8"/>
  <c r="B1815" i="8"/>
  <c r="B1814" i="8"/>
  <c r="B1813" i="8"/>
  <c r="B1812" i="8"/>
  <c r="B1811" i="8"/>
  <c r="B1810" i="8"/>
  <c r="B1809" i="8"/>
  <c r="B1808" i="8"/>
  <c r="B1807" i="8"/>
  <c r="B1806" i="8"/>
  <c r="B1805" i="8"/>
  <c r="B1804" i="8"/>
  <c r="B1803" i="8"/>
  <c r="B1802" i="8"/>
  <c r="B1801" i="8"/>
  <c r="B1800" i="8"/>
  <c r="B1799" i="8"/>
  <c r="B1798" i="8"/>
  <c r="B1797" i="8"/>
  <c r="B1796" i="8"/>
  <c r="B1795" i="8"/>
  <c r="B1794" i="8"/>
  <c r="B1793" i="8"/>
  <c r="B1792" i="8"/>
  <c r="B1791" i="8"/>
  <c r="B1790" i="8"/>
  <c r="B1789" i="8"/>
  <c r="B1788" i="8"/>
  <c r="B1787" i="8"/>
  <c r="B1786" i="8"/>
  <c r="B1785" i="8"/>
  <c r="B1784" i="8"/>
  <c r="B1783" i="8"/>
  <c r="B1782" i="8"/>
  <c r="B1781" i="8"/>
  <c r="B1780" i="8"/>
  <c r="B1779" i="8"/>
  <c r="B1778" i="8"/>
  <c r="B1777" i="8"/>
  <c r="B1776" i="8"/>
  <c r="B1775" i="8"/>
  <c r="B1774" i="8"/>
  <c r="B1773" i="8"/>
  <c r="B1772" i="8"/>
  <c r="B1771" i="8"/>
  <c r="B1770" i="8"/>
  <c r="B1769" i="8"/>
  <c r="B1768" i="8"/>
  <c r="B1767" i="8"/>
  <c r="B1766" i="8"/>
  <c r="B1765" i="8"/>
  <c r="B1764" i="8"/>
  <c r="B1763" i="8"/>
  <c r="B1762" i="8"/>
  <c r="B1761" i="8"/>
  <c r="B1760" i="8"/>
  <c r="B1759" i="8"/>
  <c r="B1758" i="8"/>
  <c r="B1757" i="8"/>
  <c r="B1756" i="8"/>
  <c r="B1755" i="8"/>
  <c r="B1754" i="8"/>
  <c r="B1753" i="8"/>
  <c r="B1752" i="8"/>
  <c r="B1751" i="8"/>
  <c r="B1750" i="8"/>
  <c r="B1749" i="8"/>
  <c r="B1748" i="8"/>
  <c r="B1747" i="8"/>
  <c r="B1746" i="8"/>
  <c r="B1745" i="8"/>
  <c r="B1744" i="8"/>
  <c r="B1743" i="8"/>
  <c r="B1742" i="8"/>
  <c r="B1741" i="8"/>
  <c r="B1740" i="8"/>
  <c r="B1739" i="8"/>
  <c r="B1738" i="8"/>
  <c r="B1737" i="8"/>
  <c r="B1736" i="8"/>
  <c r="B1735" i="8"/>
  <c r="B1734" i="8"/>
  <c r="B1733" i="8"/>
  <c r="B1732" i="8"/>
  <c r="B1731" i="8"/>
  <c r="B1730" i="8"/>
  <c r="B1729" i="8"/>
  <c r="B1728" i="8"/>
  <c r="B1727" i="8"/>
  <c r="B1726" i="8"/>
  <c r="B1725" i="8"/>
  <c r="B1724" i="8"/>
  <c r="B1723" i="8"/>
  <c r="B1722" i="8"/>
  <c r="B1721" i="8"/>
  <c r="B1720" i="8"/>
  <c r="B1719" i="8"/>
  <c r="B1718" i="8"/>
  <c r="B1717" i="8"/>
  <c r="B1716" i="8"/>
  <c r="B1715" i="8"/>
  <c r="B1714" i="8"/>
  <c r="B1713" i="8"/>
  <c r="B1712" i="8"/>
  <c r="B1711" i="8"/>
  <c r="B1710" i="8"/>
  <c r="B1709" i="8"/>
  <c r="B1708" i="8"/>
  <c r="B1707" i="8"/>
  <c r="B1706" i="8"/>
  <c r="B1705" i="8"/>
  <c r="B1704" i="8"/>
  <c r="B1703" i="8"/>
  <c r="B1702" i="8"/>
  <c r="B1701" i="8"/>
  <c r="B1700" i="8"/>
  <c r="B1699" i="8"/>
  <c r="B1698" i="8"/>
  <c r="B1697" i="8"/>
  <c r="B1696" i="8"/>
  <c r="B1695" i="8"/>
  <c r="B1694" i="8"/>
  <c r="B1693" i="8"/>
  <c r="B1692" i="8"/>
  <c r="B1691" i="8"/>
  <c r="B1690" i="8"/>
  <c r="B1689" i="8"/>
  <c r="B1688" i="8"/>
  <c r="B1687" i="8"/>
  <c r="B1686" i="8"/>
  <c r="B1685" i="8"/>
  <c r="B1684" i="8"/>
  <c r="B1683" i="8"/>
  <c r="B1682" i="8"/>
  <c r="B1681" i="8"/>
  <c r="B1680" i="8"/>
  <c r="B1679" i="8"/>
  <c r="B1678" i="8"/>
  <c r="B1677" i="8"/>
  <c r="B1676" i="8"/>
  <c r="B1675" i="8"/>
  <c r="B1674" i="8"/>
  <c r="B1673" i="8"/>
  <c r="B1672" i="8"/>
  <c r="B1671" i="8"/>
  <c r="B1670" i="8"/>
  <c r="B1669" i="8"/>
  <c r="B1668" i="8"/>
  <c r="B1667" i="8"/>
  <c r="B1666" i="8"/>
  <c r="B1665" i="8"/>
  <c r="B1664" i="8"/>
  <c r="B1663" i="8"/>
  <c r="B1662" i="8"/>
  <c r="B1661" i="8"/>
  <c r="B1660" i="8"/>
  <c r="B1659" i="8"/>
  <c r="B1658" i="8"/>
  <c r="B1657" i="8"/>
  <c r="B1656" i="8"/>
  <c r="B1655" i="8"/>
  <c r="B1654" i="8"/>
  <c r="B1653" i="8"/>
  <c r="B1652" i="8"/>
  <c r="B1651" i="8"/>
  <c r="B1650" i="8"/>
  <c r="B1649" i="8"/>
  <c r="B1648" i="8"/>
  <c r="B1647" i="8"/>
  <c r="B1646" i="8"/>
  <c r="B1645" i="8"/>
  <c r="B1644" i="8"/>
  <c r="B1643" i="8"/>
  <c r="B1642" i="8"/>
  <c r="B1641" i="8"/>
  <c r="B1640" i="8"/>
  <c r="B1639" i="8"/>
  <c r="B1638" i="8"/>
  <c r="B1637" i="8"/>
  <c r="B1636" i="8"/>
  <c r="B1635" i="8"/>
  <c r="B1634" i="8"/>
  <c r="B1633" i="8"/>
  <c r="B1632" i="8"/>
  <c r="B1631" i="8"/>
  <c r="B1630" i="8"/>
  <c r="B1629" i="8"/>
  <c r="B1628" i="8"/>
  <c r="B1627" i="8"/>
  <c r="B1626" i="8"/>
  <c r="B1625" i="8"/>
  <c r="B1624" i="8"/>
  <c r="B1623" i="8"/>
  <c r="B1622" i="8"/>
  <c r="B1621" i="8"/>
  <c r="B1620" i="8"/>
  <c r="B1619" i="8"/>
  <c r="B1618" i="8"/>
  <c r="B1617" i="8"/>
  <c r="B1616" i="8"/>
  <c r="B1615" i="8"/>
  <c r="B1614" i="8"/>
  <c r="B1613" i="8"/>
  <c r="B1612" i="8"/>
  <c r="B1611" i="8"/>
  <c r="B1610" i="8"/>
  <c r="B1609" i="8"/>
  <c r="B1608" i="8"/>
  <c r="B1607" i="8"/>
  <c r="B1606" i="8"/>
  <c r="B1605" i="8"/>
  <c r="B1604" i="8"/>
  <c r="B1603" i="8"/>
  <c r="B1602" i="8"/>
  <c r="B1601" i="8"/>
  <c r="B1600" i="8"/>
  <c r="B1599" i="8"/>
  <c r="B1598" i="8"/>
  <c r="B1597" i="8"/>
  <c r="B1596" i="8"/>
  <c r="B1595" i="8"/>
  <c r="B1594" i="8"/>
  <c r="B1593" i="8"/>
  <c r="B1592" i="8"/>
  <c r="B1591" i="8"/>
  <c r="B1590" i="8"/>
  <c r="B1589" i="8"/>
  <c r="B1588" i="8"/>
  <c r="B1587" i="8"/>
  <c r="B1586" i="8"/>
  <c r="B1585" i="8"/>
  <c r="B1584" i="8"/>
  <c r="B1583" i="8"/>
  <c r="B1582" i="8"/>
  <c r="B1581" i="8"/>
  <c r="B1580" i="8"/>
  <c r="B1579" i="8"/>
  <c r="B1578" i="8"/>
  <c r="B1577" i="8"/>
  <c r="B1576" i="8"/>
  <c r="B1575" i="8"/>
  <c r="B1574" i="8"/>
  <c r="B1573" i="8"/>
  <c r="B1572" i="8"/>
  <c r="B1571" i="8"/>
  <c r="B1570" i="8"/>
  <c r="B1569" i="8"/>
  <c r="B1568" i="8"/>
  <c r="B1567" i="8"/>
  <c r="B1566" i="8"/>
  <c r="B1565" i="8"/>
  <c r="B1564" i="8"/>
  <c r="B1563" i="8"/>
  <c r="B1562" i="8"/>
  <c r="B1561" i="8"/>
  <c r="B1560" i="8"/>
  <c r="B1559" i="8"/>
  <c r="B1558" i="8"/>
  <c r="B1557" i="8"/>
  <c r="B1556" i="8"/>
  <c r="B1555" i="8"/>
  <c r="B1554" i="8"/>
  <c r="B1553" i="8"/>
  <c r="B1552" i="8"/>
  <c r="B1551" i="8"/>
  <c r="B1550" i="8"/>
  <c r="B1549" i="8"/>
  <c r="B1548" i="8"/>
  <c r="B1547" i="8"/>
  <c r="B1546" i="8"/>
  <c r="B1545" i="8"/>
  <c r="B1544" i="8"/>
  <c r="B1543" i="8"/>
  <c r="B1542" i="8"/>
  <c r="B1541" i="8"/>
  <c r="B1540" i="8"/>
  <c r="B1539" i="8"/>
  <c r="B1538" i="8"/>
  <c r="B1537" i="8"/>
  <c r="B1536" i="8"/>
  <c r="B1535" i="8"/>
  <c r="B1534" i="8"/>
  <c r="B1533" i="8"/>
  <c r="B1532" i="8"/>
  <c r="B1531" i="8"/>
  <c r="B1530" i="8"/>
  <c r="B1529" i="8"/>
  <c r="B1528" i="8"/>
  <c r="B1527" i="8"/>
  <c r="B1526" i="8"/>
  <c r="B1525" i="8"/>
  <c r="B1524" i="8"/>
  <c r="B1523" i="8"/>
  <c r="B1522" i="8"/>
  <c r="B1521" i="8"/>
  <c r="B1520" i="8"/>
  <c r="B1519" i="8"/>
  <c r="B1518" i="8"/>
  <c r="B1517" i="8"/>
  <c r="B1516" i="8"/>
  <c r="B1515" i="8"/>
  <c r="B1514" i="8"/>
  <c r="B1513" i="8"/>
  <c r="B1512" i="8"/>
  <c r="B1511" i="8"/>
  <c r="B1510" i="8"/>
  <c r="B1509" i="8"/>
  <c r="B1508" i="8"/>
  <c r="B1507" i="8"/>
  <c r="B1506" i="8"/>
  <c r="B1505" i="8"/>
  <c r="B1504" i="8"/>
  <c r="B1503" i="8"/>
  <c r="B1502" i="8"/>
  <c r="B1501" i="8"/>
  <c r="B1500" i="8"/>
  <c r="B1499" i="8"/>
  <c r="B1498" i="8"/>
  <c r="B1497" i="8"/>
  <c r="B1496" i="8"/>
  <c r="B1495" i="8"/>
  <c r="B1494" i="8"/>
  <c r="B1493" i="8"/>
  <c r="B1492" i="8"/>
  <c r="B1491" i="8"/>
  <c r="B1490" i="8"/>
  <c r="B1489" i="8"/>
  <c r="B1488" i="8"/>
  <c r="B1487" i="8"/>
  <c r="B1486" i="8"/>
  <c r="B1485" i="8"/>
  <c r="B1484" i="8"/>
  <c r="B1483" i="8"/>
  <c r="B1482" i="8"/>
  <c r="B1481" i="8"/>
  <c r="B1480" i="8"/>
  <c r="B1479" i="8"/>
  <c r="B1478" i="8"/>
  <c r="B1477" i="8"/>
  <c r="B1476" i="8"/>
  <c r="B1475" i="8"/>
  <c r="B1474" i="8"/>
  <c r="B1473" i="8"/>
  <c r="B1472" i="8"/>
  <c r="B1471" i="8"/>
  <c r="B1470" i="8"/>
  <c r="B1469" i="8"/>
  <c r="B1468" i="8"/>
  <c r="B1467" i="8"/>
  <c r="B1466" i="8"/>
  <c r="B1465" i="8"/>
  <c r="B1464" i="8"/>
  <c r="B1463" i="8"/>
  <c r="B1462" i="8"/>
  <c r="B1461" i="8"/>
  <c r="B1460" i="8"/>
  <c r="B1459" i="8"/>
  <c r="B1458" i="8"/>
  <c r="B1457" i="8"/>
  <c r="B1456" i="8"/>
  <c r="B1455" i="8"/>
  <c r="B1454" i="8"/>
  <c r="B1453" i="8"/>
  <c r="B1452" i="8"/>
  <c r="B1451" i="8"/>
  <c r="B1450" i="8"/>
  <c r="B1449" i="8"/>
  <c r="B1448" i="8"/>
  <c r="B1447" i="8"/>
  <c r="B1446" i="8"/>
  <c r="B1445" i="8"/>
  <c r="B1444" i="8"/>
  <c r="B1443" i="8"/>
  <c r="B1442" i="8"/>
  <c r="B1441" i="8"/>
  <c r="B1440" i="8"/>
  <c r="B1439" i="8"/>
  <c r="B1438" i="8"/>
  <c r="B1437" i="8"/>
  <c r="B1436" i="8"/>
  <c r="B1435" i="8"/>
  <c r="B1434" i="8"/>
  <c r="B1433" i="8"/>
  <c r="B1432" i="8"/>
  <c r="B1431" i="8"/>
  <c r="B1430" i="8"/>
  <c r="B1429" i="8"/>
  <c r="B1428" i="8"/>
  <c r="B1427" i="8"/>
  <c r="B1426" i="8"/>
  <c r="B1425" i="8"/>
  <c r="B1424" i="8"/>
  <c r="B1423" i="8"/>
  <c r="B1422" i="8"/>
  <c r="B1421" i="8"/>
  <c r="B1420" i="8"/>
  <c r="B1419" i="8"/>
  <c r="B1418" i="8"/>
  <c r="B1417" i="8"/>
  <c r="B1416" i="8"/>
  <c r="B1415" i="8"/>
  <c r="B1414" i="8"/>
  <c r="B1413" i="8"/>
  <c r="B1412" i="8"/>
  <c r="B1411" i="8"/>
  <c r="B1410" i="8"/>
  <c r="B1409" i="8"/>
  <c r="B1408" i="8"/>
  <c r="B1407" i="8"/>
  <c r="B1406" i="8"/>
  <c r="B1405" i="8"/>
  <c r="B1404" i="8"/>
  <c r="B1403" i="8"/>
  <c r="B1402" i="8"/>
  <c r="B1401" i="8"/>
  <c r="B1400" i="8"/>
  <c r="B1399" i="8"/>
  <c r="B1398" i="8"/>
  <c r="B1397" i="8"/>
  <c r="B1396" i="8"/>
  <c r="B1395" i="8"/>
  <c r="B1394" i="8"/>
  <c r="B1393" i="8"/>
  <c r="B1392" i="8"/>
  <c r="B1391" i="8"/>
  <c r="B1390" i="8"/>
  <c r="B1389" i="8"/>
  <c r="B1388" i="8"/>
  <c r="B1387" i="8"/>
  <c r="B1386" i="8"/>
  <c r="B1385" i="8"/>
  <c r="B1384" i="8"/>
  <c r="B1383" i="8"/>
  <c r="B1382" i="8"/>
  <c r="B1381" i="8"/>
  <c r="B1380" i="8"/>
  <c r="B1379" i="8"/>
  <c r="B1378" i="8"/>
  <c r="B1377" i="8"/>
  <c r="B1376" i="8"/>
  <c r="B1375" i="8"/>
  <c r="B1374" i="8"/>
  <c r="B1373" i="8"/>
  <c r="B1372" i="8"/>
  <c r="B1371" i="8"/>
  <c r="B1370" i="8"/>
  <c r="B1369" i="8"/>
  <c r="B1368" i="8"/>
  <c r="B1367" i="8"/>
  <c r="B1366" i="8"/>
  <c r="B1365" i="8"/>
  <c r="B1364" i="8"/>
  <c r="B1363" i="8"/>
  <c r="B1362" i="8"/>
  <c r="B1361" i="8"/>
  <c r="B1360" i="8"/>
  <c r="B1359" i="8"/>
  <c r="B1358" i="8"/>
  <c r="B1357" i="8"/>
  <c r="B1356" i="8"/>
  <c r="B1355" i="8"/>
  <c r="B1354" i="8"/>
  <c r="B1353" i="8"/>
  <c r="B1352" i="8"/>
  <c r="B1351" i="8"/>
  <c r="B1350" i="8"/>
  <c r="B1349" i="8"/>
  <c r="B1348" i="8"/>
  <c r="B1347" i="8"/>
  <c r="B1346" i="8"/>
  <c r="B1345" i="8"/>
  <c r="B1344" i="8"/>
  <c r="B1343" i="8"/>
  <c r="B1342" i="8"/>
  <c r="B1341" i="8"/>
  <c r="B1340" i="8"/>
  <c r="B1339" i="8"/>
  <c r="B1338" i="8"/>
  <c r="B1337" i="8"/>
  <c r="B1336" i="8"/>
  <c r="B1335" i="8"/>
  <c r="B1334" i="8"/>
  <c r="B1333" i="8"/>
  <c r="B1332" i="8"/>
  <c r="B1331" i="8"/>
  <c r="B1330" i="8"/>
  <c r="B1329" i="8"/>
  <c r="B1328" i="8"/>
  <c r="B1327" i="8"/>
  <c r="B1326" i="8"/>
  <c r="B1325" i="8"/>
  <c r="B1324" i="8"/>
  <c r="B1323" i="8"/>
  <c r="B1322" i="8"/>
  <c r="B1321" i="8"/>
  <c r="B1320" i="8"/>
  <c r="B1319" i="8"/>
  <c r="B1318" i="8"/>
  <c r="B1317" i="8"/>
  <c r="B1316" i="8"/>
  <c r="B1315" i="8"/>
  <c r="B1314" i="8"/>
  <c r="B1313" i="8"/>
  <c r="B1312" i="8"/>
  <c r="B1311" i="8"/>
  <c r="B1310" i="8"/>
  <c r="B1309" i="8"/>
  <c r="B1308" i="8"/>
  <c r="B1307" i="8"/>
  <c r="B1306" i="8"/>
  <c r="B1305" i="8"/>
  <c r="B1304" i="8"/>
  <c r="B1303" i="8"/>
  <c r="B1302" i="8"/>
  <c r="B1301" i="8"/>
  <c r="B1300" i="8"/>
  <c r="B1299" i="8"/>
  <c r="B1298" i="8"/>
  <c r="B1297" i="8"/>
  <c r="B1296" i="8"/>
  <c r="B1295" i="8"/>
  <c r="B1294" i="8"/>
  <c r="B1293" i="8"/>
  <c r="B1292" i="8"/>
  <c r="B1291" i="8"/>
  <c r="B1290" i="8"/>
  <c r="B1289" i="8"/>
  <c r="B1288" i="8"/>
  <c r="B1287" i="8"/>
  <c r="B1286" i="8"/>
  <c r="B1285" i="8"/>
  <c r="B1284" i="8"/>
  <c r="B1283" i="8"/>
  <c r="B1282" i="8"/>
  <c r="B1281" i="8"/>
  <c r="B1280" i="8"/>
  <c r="B1279" i="8"/>
  <c r="B1278" i="8"/>
  <c r="B1277" i="8"/>
  <c r="B1276" i="8"/>
  <c r="B1275" i="8"/>
  <c r="B1274" i="8"/>
  <c r="B1273" i="8"/>
  <c r="B1272" i="8"/>
  <c r="B1271" i="8"/>
  <c r="B1270" i="8"/>
  <c r="B1269" i="8"/>
  <c r="B1268" i="8"/>
  <c r="B1267" i="8"/>
  <c r="B1266" i="8"/>
  <c r="B1265" i="8"/>
  <c r="B1264" i="8"/>
  <c r="B1263" i="8"/>
  <c r="B1262" i="8"/>
  <c r="B1261" i="8"/>
  <c r="B1260" i="8"/>
  <c r="B1259" i="8"/>
  <c r="B1258" i="8"/>
  <c r="B1257" i="8"/>
  <c r="B1256" i="8"/>
  <c r="B1255" i="8"/>
  <c r="B1254" i="8"/>
  <c r="B1253" i="8"/>
  <c r="B1252" i="8"/>
  <c r="B1251" i="8"/>
  <c r="B1250" i="8"/>
  <c r="B1249" i="8"/>
  <c r="B1248" i="8"/>
  <c r="B1247" i="8"/>
  <c r="B1246" i="8"/>
  <c r="B1245" i="8"/>
  <c r="B1244" i="8"/>
  <c r="B1243" i="8"/>
  <c r="B1242" i="8"/>
  <c r="B1241" i="8"/>
  <c r="B1240" i="8"/>
  <c r="B1239" i="8"/>
  <c r="B1238" i="8"/>
  <c r="B1237" i="8"/>
  <c r="B1236" i="8"/>
  <c r="B1235" i="8"/>
  <c r="B1234" i="8"/>
  <c r="B1233" i="8"/>
  <c r="B1232" i="8"/>
  <c r="B1231" i="8"/>
  <c r="B1230" i="8"/>
  <c r="B1229" i="8"/>
  <c r="B1228" i="8"/>
  <c r="B1227" i="8"/>
  <c r="B1226" i="8"/>
  <c r="B1225" i="8"/>
  <c r="B1224" i="8"/>
  <c r="B1223" i="8"/>
  <c r="B1222" i="8"/>
  <c r="B1221" i="8"/>
  <c r="B1220" i="8"/>
  <c r="B1219" i="8"/>
  <c r="B1218" i="8"/>
  <c r="B1217" i="8"/>
  <c r="B1216" i="8"/>
  <c r="B1215" i="8"/>
  <c r="B1214" i="8"/>
  <c r="B1213" i="8"/>
  <c r="B1212" i="8"/>
  <c r="B1211" i="8"/>
  <c r="B1210" i="8"/>
  <c r="B1209" i="8"/>
  <c r="B1208" i="8"/>
  <c r="B1207" i="8"/>
  <c r="B1206" i="8"/>
  <c r="B1205" i="8"/>
  <c r="B1204" i="8"/>
  <c r="B1203" i="8"/>
  <c r="B1202" i="8"/>
  <c r="B1201" i="8"/>
  <c r="B1200" i="8"/>
  <c r="B1199" i="8"/>
  <c r="B1198" i="8"/>
  <c r="B1197" i="8"/>
  <c r="B1196" i="8"/>
  <c r="B1195" i="8"/>
  <c r="B1194" i="8"/>
  <c r="B1193" i="8"/>
  <c r="B1192" i="8"/>
  <c r="B1191" i="8"/>
  <c r="B1190" i="8"/>
  <c r="B1189" i="8"/>
  <c r="B1188" i="8"/>
  <c r="B1187" i="8"/>
  <c r="B1186" i="8"/>
  <c r="B1185" i="8"/>
  <c r="B1184" i="8"/>
  <c r="B1183" i="8"/>
  <c r="B1182" i="8"/>
  <c r="B1181" i="8"/>
  <c r="B1180" i="8"/>
  <c r="B1179" i="8"/>
  <c r="B1178" i="8"/>
  <c r="B1177" i="8"/>
  <c r="B1176" i="8"/>
  <c r="B1175" i="8"/>
  <c r="B1174" i="8"/>
  <c r="B1173" i="8"/>
  <c r="B1172" i="8"/>
  <c r="B1171" i="8"/>
  <c r="B1170" i="8"/>
  <c r="B1169" i="8"/>
  <c r="B1168" i="8"/>
  <c r="B1167" i="8"/>
  <c r="B1166" i="8"/>
  <c r="B1165" i="8"/>
  <c r="B1164" i="8"/>
  <c r="B1163" i="8"/>
  <c r="B1162" i="8"/>
  <c r="B1161" i="8"/>
  <c r="B1160" i="8"/>
  <c r="B1159" i="8"/>
  <c r="B1158" i="8"/>
  <c r="B1157" i="8"/>
  <c r="B1156" i="8"/>
  <c r="B1155" i="8"/>
  <c r="B1154" i="8"/>
  <c r="B1153" i="8"/>
  <c r="B1152" i="8"/>
  <c r="B1151" i="8"/>
  <c r="B1150" i="8"/>
  <c r="B1149" i="8"/>
  <c r="B1148" i="8"/>
  <c r="B1147" i="8"/>
  <c r="B1146" i="8"/>
  <c r="B1145" i="8"/>
  <c r="B1144" i="8"/>
  <c r="B1143" i="8"/>
  <c r="B1142" i="8"/>
  <c r="B1141" i="8"/>
  <c r="B1140" i="8"/>
  <c r="B1139" i="8"/>
  <c r="B1138" i="8"/>
  <c r="B1137" i="8"/>
  <c r="B1136" i="8"/>
  <c r="B1135" i="8"/>
  <c r="B1134" i="8"/>
  <c r="B1133" i="8"/>
  <c r="B1132" i="8"/>
  <c r="B1131" i="8"/>
  <c r="B1130" i="8"/>
  <c r="B1129" i="8"/>
  <c r="B1128" i="8"/>
  <c r="B1127" i="8"/>
  <c r="B1126" i="8"/>
  <c r="B1125" i="8"/>
  <c r="B1124" i="8"/>
  <c r="B1123" i="8"/>
  <c r="B1122" i="8"/>
  <c r="B1121" i="8"/>
  <c r="B1120" i="8"/>
  <c r="B1119" i="8"/>
  <c r="B1118" i="8"/>
  <c r="B1117" i="8"/>
  <c r="B1116" i="8"/>
  <c r="B1115" i="8"/>
  <c r="B1114" i="8"/>
  <c r="B1113" i="8"/>
  <c r="B1112" i="8"/>
  <c r="B1111" i="8"/>
  <c r="B1110" i="8"/>
  <c r="B1109" i="8"/>
  <c r="B1108" i="8"/>
  <c r="B1107" i="8"/>
  <c r="B1106" i="8"/>
  <c r="B1105" i="8"/>
  <c r="B1104" i="8"/>
  <c r="B1103" i="8"/>
  <c r="B1102" i="8"/>
  <c r="B1101" i="8"/>
  <c r="B1100" i="8"/>
  <c r="B1099" i="8"/>
  <c r="B1098" i="8"/>
  <c r="B1097" i="8"/>
  <c r="B1096" i="8"/>
  <c r="B1095" i="8"/>
  <c r="B1094" i="8"/>
  <c r="B1093" i="8"/>
  <c r="B1092" i="8"/>
  <c r="B1091" i="8"/>
  <c r="B1090" i="8"/>
  <c r="B1089" i="8"/>
  <c r="B1088" i="8"/>
  <c r="B1087" i="8"/>
  <c r="B1086" i="8"/>
  <c r="B1085" i="8"/>
  <c r="B1084" i="8"/>
  <c r="B1083" i="8"/>
  <c r="B1082" i="8"/>
  <c r="B1081" i="8"/>
  <c r="B1080" i="8"/>
  <c r="B1079" i="8"/>
  <c r="B1078" i="8"/>
  <c r="B1077" i="8"/>
  <c r="B1076" i="8"/>
  <c r="B1075" i="8"/>
  <c r="B1074" i="8"/>
  <c r="B1073" i="8"/>
  <c r="B1072" i="8"/>
  <c r="B1071" i="8"/>
  <c r="B1070" i="8"/>
  <c r="B1069" i="8"/>
  <c r="B1068" i="8"/>
  <c r="B1067" i="8"/>
  <c r="B1066" i="8"/>
  <c r="B1065" i="8"/>
  <c r="B1064" i="8"/>
  <c r="B1063" i="8"/>
  <c r="B1062" i="8"/>
  <c r="B1061" i="8"/>
  <c r="B1060" i="8"/>
  <c r="B1059" i="8"/>
  <c r="B1058" i="8"/>
  <c r="B1057" i="8"/>
  <c r="B1056" i="8"/>
  <c r="B1055" i="8"/>
  <c r="B1054" i="8"/>
  <c r="B1053" i="8"/>
  <c r="B1052" i="8"/>
  <c r="B1051" i="8"/>
  <c r="B1050" i="8"/>
  <c r="B1049" i="8"/>
  <c r="B1048" i="8"/>
  <c r="B1047" i="8"/>
  <c r="B1046" i="8"/>
  <c r="B1045" i="8"/>
  <c r="B1044" i="8"/>
  <c r="B1043" i="8"/>
  <c r="B1042" i="8"/>
  <c r="B1041" i="8"/>
  <c r="B1040" i="8"/>
  <c r="B1039" i="8"/>
  <c r="B1038" i="8"/>
  <c r="B1037" i="8"/>
  <c r="B1036" i="8"/>
  <c r="B1035" i="8"/>
  <c r="B1034" i="8"/>
  <c r="B1033" i="8"/>
  <c r="B1032" i="8"/>
  <c r="B1031" i="8"/>
  <c r="B1030" i="8"/>
  <c r="B1029" i="8"/>
  <c r="B1028" i="8"/>
  <c r="B1027" i="8"/>
  <c r="B1026" i="8"/>
  <c r="B1025" i="8"/>
  <c r="B1024" i="8"/>
  <c r="B1023" i="8"/>
  <c r="B1022" i="8"/>
  <c r="B1021" i="8"/>
  <c r="B1020" i="8"/>
  <c r="B1019" i="8"/>
  <c r="B1018" i="8"/>
  <c r="B1017" i="8"/>
  <c r="B1016" i="8"/>
  <c r="B1015" i="8"/>
  <c r="B1014" i="8"/>
  <c r="B1013" i="8"/>
  <c r="B1012" i="8"/>
  <c r="B1011" i="8"/>
  <c r="B1010" i="8"/>
  <c r="B1009" i="8"/>
  <c r="B1008" i="8"/>
  <c r="B1007" i="8"/>
  <c r="B1006" i="8"/>
  <c r="B1005" i="8"/>
  <c r="B1004" i="8"/>
  <c r="B1003" i="8"/>
  <c r="B1002" i="8"/>
  <c r="B1001" i="8"/>
  <c r="B1000" i="8"/>
  <c r="B999" i="8"/>
  <c r="B998" i="8"/>
  <c r="B997" i="8"/>
  <c r="B996" i="8"/>
  <c r="B995" i="8"/>
  <c r="B994" i="8"/>
  <c r="B993" i="8"/>
  <c r="B992" i="8"/>
  <c r="B991" i="8"/>
  <c r="B990" i="8"/>
  <c r="B989" i="8"/>
  <c r="B988" i="8"/>
  <c r="B987" i="8"/>
  <c r="B986" i="8"/>
  <c r="B985" i="8"/>
  <c r="B984" i="8"/>
  <c r="B983" i="8"/>
  <c r="B982" i="8"/>
  <c r="B981" i="8"/>
  <c r="B980" i="8"/>
  <c r="B979" i="8"/>
  <c r="B978" i="8"/>
  <c r="B977" i="8"/>
  <c r="B976" i="8"/>
  <c r="B975" i="8"/>
  <c r="B974" i="8"/>
  <c r="B973" i="8"/>
  <c r="B972" i="8"/>
  <c r="B971" i="8"/>
  <c r="B970" i="8"/>
  <c r="B969" i="8"/>
  <c r="B968" i="8"/>
  <c r="B967" i="8"/>
  <c r="B966" i="8"/>
  <c r="B965" i="8"/>
  <c r="B964" i="8"/>
  <c r="B963" i="8"/>
  <c r="B962" i="8"/>
  <c r="B961" i="8"/>
  <c r="B960" i="8"/>
  <c r="B959" i="8"/>
  <c r="B958" i="8"/>
  <c r="B957" i="8"/>
  <c r="B956" i="8"/>
  <c r="B955" i="8"/>
  <c r="B954" i="8"/>
  <c r="B953" i="8"/>
  <c r="B952" i="8"/>
  <c r="B951" i="8"/>
  <c r="B950" i="8"/>
  <c r="B949" i="8"/>
  <c r="B948" i="8"/>
  <c r="B947" i="8"/>
  <c r="B946" i="8"/>
  <c r="B945" i="8"/>
  <c r="B944" i="8"/>
  <c r="B943" i="8"/>
  <c r="B942" i="8"/>
  <c r="B941" i="8"/>
  <c r="B940" i="8"/>
  <c r="B939" i="8"/>
  <c r="B938" i="8"/>
  <c r="B937" i="8"/>
  <c r="B936" i="8"/>
  <c r="B935" i="8"/>
  <c r="B934" i="8"/>
  <c r="B933" i="8"/>
  <c r="B932" i="8"/>
  <c r="B931" i="8"/>
  <c r="B930" i="8"/>
  <c r="B929" i="8"/>
  <c r="B928" i="8"/>
  <c r="B927" i="8"/>
  <c r="B926" i="8"/>
  <c r="B925" i="8"/>
  <c r="B924" i="8"/>
  <c r="B923" i="8"/>
  <c r="B922" i="8"/>
  <c r="B921" i="8"/>
  <c r="B920" i="8"/>
  <c r="B919" i="8"/>
  <c r="B918" i="8"/>
  <c r="B917" i="8"/>
  <c r="B916" i="8"/>
  <c r="B915" i="8"/>
  <c r="B914" i="8"/>
  <c r="B913" i="8"/>
  <c r="B912" i="8"/>
  <c r="B911" i="8"/>
  <c r="B910" i="8"/>
  <c r="B909" i="8"/>
  <c r="B908" i="8"/>
  <c r="B907" i="8"/>
  <c r="B906" i="8"/>
  <c r="B905" i="8"/>
  <c r="B904" i="8"/>
  <c r="B903" i="8"/>
  <c r="B902" i="8"/>
  <c r="B901" i="8"/>
  <c r="B900" i="8"/>
  <c r="B899" i="8"/>
  <c r="B898" i="8"/>
  <c r="B897" i="8"/>
  <c r="B896" i="8"/>
  <c r="B895" i="8"/>
  <c r="B894" i="8"/>
  <c r="B893" i="8"/>
  <c r="B892" i="8"/>
  <c r="B891" i="8"/>
  <c r="B890" i="8"/>
  <c r="B889" i="8"/>
  <c r="B888" i="8"/>
  <c r="B887" i="8"/>
  <c r="B886" i="8"/>
  <c r="B885" i="8"/>
  <c r="B884" i="8"/>
  <c r="B883" i="8"/>
  <c r="B882" i="8"/>
  <c r="B881" i="8"/>
  <c r="B880" i="8"/>
  <c r="B879" i="8"/>
  <c r="B878" i="8"/>
  <c r="B877" i="8"/>
  <c r="B876" i="8"/>
  <c r="B875" i="8"/>
  <c r="B874" i="8"/>
  <c r="B873" i="8"/>
  <c r="B872" i="8"/>
  <c r="B871" i="8"/>
  <c r="B870" i="8"/>
  <c r="B869" i="8"/>
  <c r="B868" i="8"/>
  <c r="B867" i="8"/>
  <c r="B866" i="8"/>
  <c r="B865" i="8"/>
  <c r="B864" i="8"/>
  <c r="B863" i="8"/>
  <c r="B862" i="8"/>
  <c r="B861" i="8"/>
  <c r="B860" i="8"/>
  <c r="B859" i="8"/>
  <c r="B858" i="8"/>
  <c r="B857" i="8"/>
  <c r="B856" i="8"/>
  <c r="B855" i="8"/>
  <c r="B854" i="8"/>
  <c r="B853" i="8"/>
  <c r="B852" i="8"/>
  <c r="B851" i="8"/>
  <c r="B850" i="8"/>
  <c r="B849" i="8"/>
  <c r="B848" i="8"/>
  <c r="B847" i="8"/>
  <c r="B846" i="8"/>
  <c r="B845" i="8"/>
  <c r="B844" i="8"/>
  <c r="B843" i="8"/>
  <c r="B842" i="8"/>
  <c r="B841" i="8"/>
  <c r="B840" i="8"/>
  <c r="B839" i="8"/>
  <c r="B838" i="8"/>
  <c r="B837" i="8"/>
  <c r="B836" i="8"/>
  <c r="B835" i="8"/>
  <c r="B834" i="8"/>
  <c r="B833" i="8"/>
  <c r="B832" i="8"/>
  <c r="B831" i="8"/>
  <c r="B830" i="8"/>
  <c r="B829" i="8"/>
  <c r="B828" i="8"/>
  <c r="B827" i="8"/>
  <c r="B826" i="8"/>
  <c r="B825" i="8"/>
  <c r="B824" i="8"/>
  <c r="B823" i="8"/>
  <c r="B822" i="8"/>
  <c r="B821" i="8"/>
  <c r="B820" i="8"/>
  <c r="B819" i="8"/>
  <c r="B818" i="8"/>
  <c r="B817" i="8"/>
  <c r="B816" i="8"/>
  <c r="B815" i="8"/>
  <c r="B814" i="8"/>
  <c r="B813" i="8"/>
  <c r="B812" i="8"/>
  <c r="B811" i="8"/>
  <c r="B810" i="8"/>
  <c r="B809" i="8"/>
  <c r="B808" i="8"/>
  <c r="B807" i="8"/>
  <c r="B806" i="8"/>
  <c r="B805" i="8"/>
  <c r="B804" i="8"/>
  <c r="B803" i="8"/>
  <c r="B802" i="8"/>
  <c r="B801" i="8"/>
  <c r="B800" i="8"/>
  <c r="B799" i="8"/>
  <c r="B798" i="8"/>
  <c r="B797" i="8"/>
  <c r="B796" i="8"/>
  <c r="B795" i="8"/>
  <c r="B794" i="8"/>
  <c r="B793" i="8"/>
  <c r="B792" i="8"/>
  <c r="B791" i="8"/>
  <c r="B790" i="8"/>
  <c r="B789" i="8"/>
  <c r="B788" i="8"/>
  <c r="B787" i="8"/>
  <c r="B786" i="8"/>
  <c r="B785" i="8"/>
  <c r="B784" i="8"/>
  <c r="B783" i="8"/>
  <c r="B782" i="8"/>
  <c r="B781" i="8"/>
  <c r="B780" i="8"/>
  <c r="B779" i="8"/>
  <c r="B778" i="8"/>
  <c r="B777" i="8"/>
  <c r="B776" i="8"/>
  <c r="B775" i="8"/>
  <c r="B774" i="8"/>
  <c r="B773" i="8"/>
  <c r="B772" i="8"/>
  <c r="B771" i="8"/>
  <c r="B770" i="8"/>
  <c r="B769" i="8"/>
  <c r="B768" i="8"/>
  <c r="B767" i="8"/>
  <c r="B766" i="8"/>
  <c r="B765" i="8"/>
  <c r="B764" i="8"/>
  <c r="B763" i="8"/>
  <c r="B762" i="8"/>
  <c r="B761" i="8"/>
  <c r="B760" i="8"/>
  <c r="B759" i="8"/>
  <c r="B758" i="8"/>
  <c r="B757" i="8"/>
  <c r="B756" i="8"/>
  <c r="B755" i="8"/>
  <c r="B754" i="8"/>
  <c r="B753" i="8"/>
  <c r="B752" i="8"/>
  <c r="B751" i="8"/>
  <c r="B750" i="8"/>
  <c r="B749" i="8"/>
  <c r="B748" i="8"/>
  <c r="B747" i="8"/>
  <c r="B746" i="8"/>
  <c r="B745" i="8"/>
  <c r="B744" i="8"/>
  <c r="B743" i="8"/>
  <c r="B742" i="8"/>
  <c r="B741" i="8"/>
  <c r="B740" i="8"/>
  <c r="B739" i="8"/>
  <c r="B738" i="8"/>
  <c r="B737" i="8"/>
  <c r="B736" i="8"/>
  <c r="B735" i="8"/>
  <c r="B734" i="8"/>
  <c r="B733" i="8"/>
  <c r="B732" i="8"/>
  <c r="B731" i="8"/>
  <c r="B730" i="8"/>
  <c r="B729" i="8"/>
  <c r="B728" i="8"/>
  <c r="B727" i="8"/>
  <c r="B726" i="8"/>
  <c r="B725" i="8"/>
  <c r="B724" i="8"/>
  <c r="B723" i="8"/>
  <c r="B722" i="8"/>
  <c r="B721" i="8"/>
  <c r="B720" i="8"/>
  <c r="B719" i="8"/>
  <c r="B718" i="8"/>
  <c r="B717" i="8"/>
  <c r="B716" i="8"/>
  <c r="B715" i="8"/>
  <c r="B714" i="8"/>
  <c r="B713" i="8"/>
  <c r="B712" i="8"/>
  <c r="B711" i="8"/>
  <c r="B710" i="8"/>
  <c r="B709" i="8"/>
  <c r="B708" i="8"/>
  <c r="B707" i="8"/>
  <c r="B706" i="8"/>
  <c r="B705" i="8"/>
  <c r="B704" i="8"/>
  <c r="B703" i="8"/>
  <c r="B702" i="8"/>
  <c r="B701" i="8"/>
  <c r="B700" i="8"/>
  <c r="B699" i="8"/>
  <c r="B698" i="8"/>
  <c r="B697" i="8"/>
  <c r="B696" i="8"/>
  <c r="B695" i="8"/>
  <c r="B694" i="8"/>
  <c r="B693" i="8"/>
  <c r="B692" i="8"/>
  <c r="B691" i="8"/>
  <c r="B690" i="8"/>
  <c r="B689" i="8"/>
  <c r="B688" i="8"/>
  <c r="B687" i="8"/>
  <c r="B686" i="8"/>
  <c r="B685" i="8"/>
  <c r="B684" i="8"/>
  <c r="B683" i="8"/>
  <c r="B682" i="8"/>
  <c r="B681" i="8"/>
  <c r="B680" i="8"/>
  <c r="B679" i="8"/>
  <c r="B678" i="8"/>
  <c r="B677" i="8"/>
  <c r="B676" i="8"/>
  <c r="B675" i="8"/>
  <c r="B674" i="8"/>
  <c r="B673" i="8"/>
  <c r="B672" i="8"/>
  <c r="B671" i="8"/>
  <c r="B670" i="8"/>
  <c r="B669" i="8"/>
  <c r="B668" i="8"/>
  <c r="B667" i="8"/>
  <c r="B666" i="8"/>
  <c r="B665" i="8"/>
  <c r="B664" i="8"/>
  <c r="B663" i="8"/>
  <c r="B662" i="8"/>
  <c r="B661" i="8"/>
  <c r="B660" i="8"/>
  <c r="B659" i="8"/>
  <c r="B658" i="8"/>
  <c r="B657" i="8"/>
  <c r="B656" i="8"/>
  <c r="B655" i="8"/>
  <c r="B654" i="8"/>
  <c r="B653" i="8"/>
  <c r="B652" i="8"/>
  <c r="B651" i="8"/>
  <c r="B650" i="8"/>
  <c r="B649" i="8"/>
  <c r="B648" i="8"/>
  <c r="B647" i="8"/>
  <c r="B646" i="8"/>
  <c r="B645" i="8"/>
  <c r="B644" i="8"/>
  <c r="B643" i="8"/>
  <c r="B642" i="8"/>
  <c r="B641" i="8"/>
  <c r="B640" i="8"/>
  <c r="B639" i="8"/>
  <c r="B638" i="8"/>
  <c r="B637" i="8"/>
  <c r="B636" i="8"/>
  <c r="B635" i="8"/>
  <c r="B634" i="8"/>
  <c r="B633" i="8"/>
  <c r="B632" i="8"/>
  <c r="B631" i="8"/>
  <c r="B630" i="8"/>
  <c r="B629" i="8"/>
  <c r="B628" i="8"/>
  <c r="B627" i="8"/>
  <c r="B626" i="8"/>
  <c r="B625" i="8"/>
  <c r="B624" i="8"/>
  <c r="B623" i="8"/>
  <c r="B622" i="8"/>
  <c r="B621" i="8"/>
  <c r="B620" i="8"/>
  <c r="B619" i="8"/>
  <c r="B618" i="8"/>
  <c r="B617" i="8"/>
  <c r="B616" i="8"/>
  <c r="B615" i="8"/>
  <c r="B614" i="8"/>
  <c r="B613" i="8"/>
  <c r="B612" i="8"/>
  <c r="B611" i="8"/>
  <c r="B610" i="8"/>
  <c r="B609" i="8"/>
  <c r="B608" i="8"/>
  <c r="B607" i="8"/>
  <c r="B606" i="8"/>
  <c r="B605" i="8"/>
  <c r="B604" i="8"/>
  <c r="B603" i="8"/>
  <c r="B602" i="8"/>
  <c r="B601" i="8"/>
  <c r="B600" i="8"/>
  <c r="B599" i="8"/>
  <c r="B598" i="8"/>
  <c r="B597" i="8"/>
  <c r="B596" i="8"/>
  <c r="B595" i="8"/>
  <c r="B594" i="8"/>
  <c r="B593" i="8"/>
  <c r="B592" i="8"/>
  <c r="B591" i="8"/>
  <c r="B590" i="8"/>
  <c r="B589" i="8"/>
  <c r="B588" i="8"/>
  <c r="B587" i="8"/>
  <c r="B586" i="8"/>
  <c r="B585" i="8"/>
  <c r="B584" i="8"/>
  <c r="B583" i="8"/>
  <c r="B582" i="8"/>
  <c r="B581" i="8"/>
  <c r="B580" i="8"/>
  <c r="B579" i="8"/>
  <c r="B578" i="8"/>
  <c r="B577" i="8"/>
  <c r="B576" i="8"/>
  <c r="B575" i="8"/>
  <c r="B574" i="8"/>
  <c r="B573" i="8"/>
  <c r="B572" i="8"/>
  <c r="B571" i="8"/>
  <c r="B570" i="8"/>
  <c r="B569" i="8"/>
  <c r="B568" i="8"/>
  <c r="B567" i="8"/>
  <c r="B566" i="8"/>
  <c r="B565" i="8"/>
  <c r="B564" i="8"/>
  <c r="B563" i="8"/>
  <c r="B562" i="8"/>
  <c r="B561" i="8"/>
  <c r="B560" i="8"/>
  <c r="B559" i="8"/>
  <c r="B558" i="8"/>
  <c r="B557" i="8"/>
  <c r="B556" i="8"/>
  <c r="B555" i="8"/>
  <c r="B554" i="8"/>
  <c r="B553" i="8"/>
  <c r="B552" i="8"/>
  <c r="B551" i="8"/>
  <c r="B550" i="8"/>
  <c r="B549" i="8"/>
  <c r="B548" i="8"/>
  <c r="B547" i="8"/>
  <c r="B546" i="8"/>
  <c r="B545" i="8"/>
  <c r="B544" i="8"/>
  <c r="B543" i="8"/>
  <c r="B542" i="8"/>
  <c r="B541" i="8"/>
  <c r="B540" i="8"/>
  <c r="B539" i="8"/>
  <c r="B538" i="8"/>
  <c r="B537" i="8"/>
  <c r="B536" i="8"/>
  <c r="B535" i="8"/>
  <c r="B534" i="8"/>
  <c r="B533" i="8"/>
  <c r="B532" i="8"/>
  <c r="B531" i="8"/>
  <c r="B530" i="8"/>
  <c r="B529" i="8"/>
  <c r="B528" i="8"/>
  <c r="B527" i="8"/>
  <c r="B526" i="8"/>
  <c r="B525" i="8"/>
  <c r="B524" i="8"/>
  <c r="B523" i="8"/>
  <c r="B522" i="8"/>
  <c r="B521" i="8"/>
  <c r="B520" i="8"/>
  <c r="B519" i="8"/>
  <c r="B518" i="8"/>
  <c r="B517" i="8"/>
  <c r="B516" i="8"/>
  <c r="B515" i="8"/>
  <c r="B514" i="8"/>
  <c r="B513" i="8"/>
  <c r="B512" i="8"/>
  <c r="B511" i="8"/>
  <c r="B510" i="8"/>
  <c r="B509" i="8"/>
  <c r="B508" i="8"/>
  <c r="B507" i="8"/>
  <c r="B506" i="8"/>
  <c r="B505" i="8"/>
  <c r="B504" i="8"/>
  <c r="B503" i="8"/>
  <c r="B502" i="8"/>
  <c r="B501" i="8"/>
  <c r="B500" i="8"/>
  <c r="B499" i="8"/>
  <c r="B498" i="8"/>
  <c r="B497" i="8"/>
  <c r="B496" i="8"/>
  <c r="B495" i="8"/>
  <c r="B494" i="8"/>
  <c r="B493" i="8"/>
  <c r="B492" i="8"/>
  <c r="B491" i="8"/>
  <c r="B490" i="8"/>
  <c r="B489" i="8"/>
  <c r="B488" i="8"/>
  <c r="B487" i="8"/>
  <c r="B486" i="8"/>
  <c r="B485" i="8"/>
  <c r="B484" i="8"/>
  <c r="B483" i="8"/>
  <c r="B482" i="8"/>
  <c r="B481" i="8"/>
  <c r="B480" i="8"/>
  <c r="B479" i="8"/>
  <c r="B478" i="8"/>
  <c r="B477" i="8"/>
  <c r="B476" i="8"/>
  <c r="B475" i="8"/>
  <c r="B474" i="8"/>
  <c r="B473" i="8"/>
  <c r="B472" i="8"/>
  <c r="B471" i="8"/>
  <c r="B470" i="8"/>
  <c r="B469" i="8"/>
  <c r="B468" i="8"/>
  <c r="B467" i="8"/>
  <c r="B466" i="8"/>
  <c r="B465" i="8"/>
  <c r="B464" i="8"/>
  <c r="B463" i="8"/>
  <c r="B462" i="8"/>
  <c r="B461" i="8"/>
  <c r="B460" i="8"/>
  <c r="B459" i="8"/>
  <c r="B458" i="8"/>
  <c r="B457" i="8"/>
  <c r="B456" i="8"/>
  <c r="B455" i="8"/>
  <c r="B454" i="8"/>
  <c r="B453" i="8"/>
  <c r="B452" i="8"/>
  <c r="B451" i="8"/>
  <c r="B450" i="8"/>
  <c r="B449" i="8"/>
  <c r="B448" i="8"/>
  <c r="B447" i="8"/>
  <c r="B446" i="8"/>
  <c r="B445" i="8"/>
  <c r="B444" i="8"/>
  <c r="B443" i="8"/>
  <c r="B442" i="8"/>
  <c r="B441" i="8"/>
  <c r="B440" i="8"/>
  <c r="B439" i="8"/>
  <c r="B438" i="8"/>
  <c r="B437" i="8"/>
  <c r="B436" i="8"/>
  <c r="B435" i="8"/>
  <c r="B434" i="8"/>
  <c r="B433" i="8"/>
  <c r="B432" i="8"/>
  <c r="B431" i="8"/>
  <c r="B430" i="8"/>
  <c r="B429" i="8"/>
  <c r="B428" i="8"/>
  <c r="B427" i="8"/>
  <c r="B426" i="8"/>
  <c r="B425" i="8"/>
  <c r="B424" i="8"/>
  <c r="B423" i="8"/>
  <c r="B422" i="8"/>
  <c r="B421" i="8"/>
  <c r="B420" i="8"/>
  <c r="B419" i="8"/>
  <c r="B418" i="8"/>
  <c r="B417" i="8"/>
  <c r="B416" i="8"/>
  <c r="B415" i="8"/>
  <c r="B414" i="8"/>
  <c r="B413" i="8"/>
  <c r="B412" i="8"/>
  <c r="B411" i="8"/>
  <c r="B410" i="8"/>
  <c r="B409" i="8"/>
  <c r="B408" i="8"/>
  <c r="B407" i="8"/>
  <c r="B406" i="8"/>
  <c r="B405" i="8"/>
  <c r="B404" i="8"/>
  <c r="B403" i="8"/>
  <c r="B402" i="8"/>
  <c r="B401" i="8"/>
  <c r="B400" i="8"/>
  <c r="B399" i="8"/>
  <c r="B398" i="8"/>
  <c r="B397" i="8"/>
  <c r="B396" i="8"/>
  <c r="B395" i="8"/>
  <c r="B394" i="8"/>
  <c r="B393" i="8"/>
  <c r="B392" i="8"/>
  <c r="B391" i="8"/>
  <c r="B390" i="8"/>
  <c r="B389" i="8"/>
  <c r="B388" i="8"/>
  <c r="B387" i="8"/>
  <c r="B386" i="8"/>
  <c r="B385" i="8"/>
  <c r="B384" i="8"/>
  <c r="B383" i="8"/>
  <c r="B382" i="8"/>
  <c r="B381" i="8"/>
  <c r="B380" i="8"/>
  <c r="B379" i="8"/>
  <c r="B378" i="8"/>
  <c r="B377" i="8"/>
  <c r="B376" i="8"/>
  <c r="B375" i="8"/>
  <c r="B374" i="8"/>
  <c r="B373" i="8"/>
  <c r="B372" i="8"/>
  <c r="B371" i="8"/>
  <c r="B370" i="8"/>
  <c r="B369" i="8"/>
  <c r="B368" i="8"/>
  <c r="B367" i="8"/>
  <c r="B366" i="8"/>
  <c r="B365" i="8"/>
  <c r="B364" i="8"/>
  <c r="B363" i="8"/>
  <c r="B362" i="8"/>
  <c r="B361" i="8"/>
  <c r="B360" i="8"/>
  <c r="B359" i="8"/>
  <c r="B358" i="8"/>
  <c r="B357" i="8"/>
  <c r="B356" i="8"/>
  <c r="B355" i="8"/>
  <c r="B354" i="8"/>
  <c r="B353" i="8"/>
  <c r="B352" i="8"/>
  <c r="B351" i="8"/>
  <c r="B350" i="8"/>
  <c r="B349" i="8"/>
  <c r="B348" i="8"/>
  <c r="B347" i="8"/>
  <c r="B346" i="8"/>
  <c r="B345" i="8"/>
  <c r="B344" i="8"/>
  <c r="B343" i="8"/>
  <c r="B342" i="8"/>
  <c r="B341" i="8"/>
  <c r="B340" i="8"/>
  <c r="B339" i="8"/>
  <c r="B338" i="8"/>
  <c r="B337" i="8"/>
  <c r="B336" i="8"/>
  <c r="B335" i="8"/>
  <c r="B334" i="8"/>
  <c r="B333" i="8"/>
  <c r="B332" i="8"/>
  <c r="B331" i="8"/>
  <c r="B330" i="8"/>
  <c r="B329" i="8"/>
  <c r="B328" i="8"/>
  <c r="B327" i="8"/>
  <c r="B326" i="8"/>
  <c r="B325" i="8"/>
  <c r="B324" i="8"/>
  <c r="B323" i="8"/>
  <c r="B322" i="8"/>
  <c r="B321" i="8"/>
  <c r="B320" i="8"/>
  <c r="B319" i="8"/>
  <c r="B318" i="8"/>
  <c r="B317" i="8"/>
  <c r="B316" i="8"/>
  <c r="B315" i="8"/>
  <c r="B314" i="8"/>
  <c r="B313" i="8"/>
  <c r="B312" i="8"/>
  <c r="B311" i="8"/>
  <c r="B310" i="8"/>
  <c r="B309" i="8"/>
  <c r="B308" i="8"/>
  <c r="B307" i="8"/>
  <c r="B306" i="8"/>
  <c r="B305" i="8"/>
  <c r="B304" i="8"/>
  <c r="B303" i="8"/>
  <c r="B302" i="8"/>
  <c r="B301" i="8"/>
  <c r="B300" i="8"/>
  <c r="B299" i="8"/>
  <c r="B298" i="8"/>
  <c r="B297" i="8"/>
  <c r="B296" i="8"/>
  <c r="B295" i="8"/>
  <c r="B294" i="8"/>
  <c r="B293" i="8"/>
  <c r="B292" i="8"/>
  <c r="B291" i="8"/>
  <c r="B290" i="8"/>
  <c r="B289" i="8"/>
  <c r="B288" i="8"/>
  <c r="B287" i="8"/>
  <c r="B286" i="8"/>
  <c r="B285" i="8"/>
  <c r="B284" i="8"/>
  <c r="B283" i="8"/>
  <c r="B282" i="8"/>
  <c r="B281" i="8"/>
  <c r="B280" i="8"/>
  <c r="B279" i="8"/>
  <c r="B278" i="8"/>
  <c r="B277" i="8"/>
  <c r="B276" i="8"/>
  <c r="B275" i="8"/>
  <c r="B274" i="8"/>
  <c r="B273" i="8"/>
  <c r="B272" i="8"/>
  <c r="B271" i="8"/>
  <c r="B270" i="8"/>
  <c r="B269" i="8"/>
  <c r="B268" i="8"/>
  <c r="B267" i="8"/>
  <c r="B266" i="8"/>
  <c r="B265" i="8"/>
  <c r="B264" i="8"/>
  <c r="B263" i="8"/>
  <c r="B262" i="8"/>
  <c r="B261" i="8"/>
  <c r="B260" i="8"/>
  <c r="B259" i="8"/>
  <c r="B258" i="8"/>
  <c r="B257" i="8"/>
  <c r="B256" i="8"/>
  <c r="B255" i="8"/>
  <c r="B254" i="8"/>
  <c r="B253" i="8"/>
  <c r="B252" i="8"/>
  <c r="B251" i="8"/>
  <c r="B250" i="8"/>
  <c r="B249" i="8"/>
  <c r="B248" i="8"/>
  <c r="B247" i="8"/>
  <c r="B246" i="8"/>
  <c r="B245" i="8"/>
  <c r="B244" i="8"/>
  <c r="B243" i="8"/>
  <c r="B242" i="8"/>
  <c r="B241" i="8"/>
  <c r="B240" i="8"/>
  <c r="B239" i="8"/>
  <c r="B238" i="8"/>
  <c r="B237" i="8"/>
  <c r="B236" i="8"/>
  <c r="B235" i="8"/>
  <c r="B234" i="8"/>
  <c r="B233" i="8"/>
  <c r="B232" i="8"/>
  <c r="B231" i="8"/>
  <c r="B230" i="8"/>
  <c r="B229" i="8"/>
  <c r="B228" i="8"/>
  <c r="B227" i="8"/>
  <c r="B226" i="8"/>
  <c r="B225" i="8"/>
  <c r="B224" i="8"/>
  <c r="B223" i="8"/>
  <c r="B222" i="8"/>
  <c r="B221" i="8"/>
  <c r="B220" i="8"/>
  <c r="B219" i="8"/>
  <c r="B218" i="8"/>
  <c r="B217" i="8"/>
  <c r="B216" i="8"/>
  <c r="B215" i="8"/>
  <c r="B214" i="8"/>
  <c r="B213" i="8"/>
  <c r="B212" i="8"/>
  <c r="B211" i="8"/>
  <c r="B210" i="8"/>
  <c r="B209" i="8"/>
  <c r="B208" i="8"/>
  <c r="B207" i="8"/>
  <c r="B206" i="8"/>
  <c r="B205" i="8"/>
  <c r="B204" i="8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AN406" i="7"/>
  <c r="AM406" i="7"/>
  <c r="AG406" i="7"/>
  <c r="AF406" i="7"/>
  <c r="AD406" i="7"/>
  <c r="D406" i="7"/>
  <c r="A406" i="7"/>
  <c r="AN405" i="7"/>
  <c r="AM405" i="7"/>
  <c r="AG405" i="7"/>
  <c r="AF405" i="7"/>
  <c r="AD405" i="7"/>
  <c r="D405" i="7"/>
  <c r="A405" i="7"/>
  <c r="AN404" i="7"/>
  <c r="AM404" i="7"/>
  <c r="AG404" i="7"/>
  <c r="AF404" i="7"/>
  <c r="AD404" i="7"/>
  <c r="D404" i="7"/>
  <c r="A404" i="7"/>
  <c r="AN403" i="7"/>
  <c r="AM403" i="7"/>
  <c r="AG403" i="7"/>
  <c r="AF403" i="7"/>
  <c r="AD403" i="7"/>
  <c r="D403" i="7"/>
  <c r="A403" i="7"/>
  <c r="AN402" i="7"/>
  <c r="AM402" i="7"/>
  <c r="AG402" i="7"/>
  <c r="AF402" i="7"/>
  <c r="AD402" i="7"/>
  <c r="D402" i="7"/>
  <c r="A402" i="7"/>
  <c r="AN401" i="7"/>
  <c r="AM401" i="7"/>
  <c r="AG401" i="7"/>
  <c r="AF401" i="7"/>
  <c r="AD401" i="7"/>
  <c r="D401" i="7"/>
  <c r="A401" i="7"/>
  <c r="AN400" i="7"/>
  <c r="AM400" i="7"/>
  <c r="AG400" i="7"/>
  <c r="AF400" i="7"/>
  <c r="AD400" i="7"/>
  <c r="D400" i="7"/>
  <c r="A400" i="7"/>
  <c r="AN399" i="7"/>
  <c r="AM399" i="7"/>
  <c r="AG399" i="7"/>
  <c r="AF399" i="7"/>
  <c r="AD399" i="7"/>
  <c r="D399" i="7"/>
  <c r="A399" i="7"/>
  <c r="AN398" i="7"/>
  <c r="AM398" i="7"/>
  <c r="AG398" i="7"/>
  <c r="AF398" i="7"/>
  <c r="AD398" i="7"/>
  <c r="D398" i="7"/>
  <c r="A398" i="7"/>
  <c r="AN397" i="7"/>
  <c r="AM397" i="7"/>
  <c r="AG397" i="7"/>
  <c r="AF397" i="7"/>
  <c r="AD397" i="7"/>
  <c r="D397" i="7"/>
  <c r="A397" i="7"/>
  <c r="AN396" i="7"/>
  <c r="AM396" i="7"/>
  <c r="AG396" i="7"/>
  <c r="AF396" i="7"/>
  <c r="AD396" i="7"/>
  <c r="D396" i="7"/>
  <c r="A396" i="7"/>
  <c r="AN395" i="7"/>
  <c r="AM395" i="7"/>
  <c r="AG395" i="7"/>
  <c r="AF395" i="7"/>
  <c r="AD395" i="7"/>
  <c r="D395" i="7"/>
  <c r="A395" i="7"/>
  <c r="AN394" i="7"/>
  <c r="AM394" i="7"/>
  <c r="AG394" i="7"/>
  <c r="AF394" i="7"/>
  <c r="AD394" i="7"/>
  <c r="D394" i="7"/>
  <c r="A394" i="7"/>
  <c r="AN393" i="7"/>
  <c r="AM393" i="7"/>
  <c r="AG393" i="7"/>
  <c r="AF393" i="7"/>
  <c r="AD393" i="7"/>
  <c r="D393" i="7"/>
  <c r="A393" i="7"/>
  <c r="AN392" i="7"/>
  <c r="AM392" i="7"/>
  <c r="AG392" i="7"/>
  <c r="AF392" i="7"/>
  <c r="AD392" i="7"/>
  <c r="D392" i="7"/>
  <c r="A392" i="7"/>
  <c r="AN391" i="7"/>
  <c r="AM391" i="7"/>
  <c r="AG391" i="7"/>
  <c r="AF391" i="7"/>
  <c r="AD391" i="7"/>
  <c r="D391" i="7"/>
  <c r="A391" i="7"/>
  <c r="AN390" i="7"/>
  <c r="AM390" i="7"/>
  <c r="AG390" i="7"/>
  <c r="AF390" i="7"/>
  <c r="AD390" i="7"/>
  <c r="D390" i="7"/>
  <c r="A390" i="7"/>
  <c r="AN389" i="7"/>
  <c r="AM389" i="7"/>
  <c r="AG389" i="7"/>
  <c r="AF389" i="7"/>
  <c r="AD389" i="7"/>
  <c r="D389" i="7"/>
  <c r="A389" i="7"/>
  <c r="AN388" i="7"/>
  <c r="AM388" i="7"/>
  <c r="AG388" i="7"/>
  <c r="AF388" i="7"/>
  <c r="AD388" i="7"/>
  <c r="D388" i="7"/>
  <c r="A388" i="7"/>
  <c r="AN387" i="7"/>
  <c r="AM387" i="7"/>
  <c r="AG387" i="7"/>
  <c r="AF387" i="7"/>
  <c r="AD387" i="7"/>
  <c r="D387" i="7"/>
  <c r="A387" i="7"/>
  <c r="AN386" i="7"/>
  <c r="AM386" i="7"/>
  <c r="AG386" i="7"/>
  <c r="AF386" i="7"/>
  <c r="AD386" i="7"/>
  <c r="D386" i="7"/>
  <c r="A386" i="7"/>
  <c r="AN385" i="7"/>
  <c r="AM385" i="7"/>
  <c r="AG385" i="7"/>
  <c r="AF385" i="7"/>
  <c r="AD385" i="7"/>
  <c r="D385" i="7"/>
  <c r="A385" i="7"/>
  <c r="AN384" i="7"/>
  <c r="AM384" i="7"/>
  <c r="AG384" i="7"/>
  <c r="AF384" i="7"/>
  <c r="AD384" i="7"/>
  <c r="D384" i="7"/>
  <c r="A384" i="7"/>
  <c r="AN383" i="7"/>
  <c r="AM383" i="7"/>
  <c r="AG383" i="7"/>
  <c r="AF383" i="7"/>
  <c r="AD383" i="7"/>
  <c r="D383" i="7"/>
  <c r="A383" i="7"/>
  <c r="AN382" i="7"/>
  <c r="AM382" i="7"/>
  <c r="AG382" i="7"/>
  <c r="AF382" i="7"/>
  <c r="AD382" i="7"/>
  <c r="D382" i="7"/>
  <c r="A382" i="7"/>
  <c r="AN381" i="7"/>
  <c r="AM381" i="7"/>
  <c r="AG381" i="7"/>
  <c r="AF381" i="7"/>
  <c r="AD381" i="7"/>
  <c r="D381" i="7"/>
  <c r="A381" i="7"/>
  <c r="AN380" i="7"/>
  <c r="AM380" i="7"/>
  <c r="AG380" i="7"/>
  <c r="AF380" i="7"/>
  <c r="AD380" i="7"/>
  <c r="D380" i="7"/>
  <c r="A380" i="7"/>
  <c r="AN379" i="7"/>
  <c r="AM379" i="7"/>
  <c r="AG379" i="7"/>
  <c r="AF379" i="7"/>
  <c r="AD379" i="7"/>
  <c r="D379" i="7"/>
  <c r="A379" i="7"/>
  <c r="AN378" i="7"/>
  <c r="AM378" i="7"/>
  <c r="AG378" i="7"/>
  <c r="AF378" i="7"/>
  <c r="AD378" i="7"/>
  <c r="D378" i="7"/>
  <c r="A378" i="7"/>
  <c r="AN377" i="7"/>
  <c r="AM377" i="7"/>
  <c r="AG377" i="7"/>
  <c r="AF377" i="7"/>
  <c r="AD377" i="7"/>
  <c r="D377" i="7"/>
  <c r="A377" i="7"/>
  <c r="AN376" i="7"/>
  <c r="AM376" i="7"/>
  <c r="AG376" i="7"/>
  <c r="AF376" i="7"/>
  <c r="AD376" i="7"/>
  <c r="D376" i="7"/>
  <c r="A376" i="7"/>
  <c r="A4076" i="8" s="1"/>
  <c r="AN375" i="7"/>
  <c r="AM375" i="7"/>
  <c r="AG375" i="7"/>
  <c r="AF375" i="7"/>
  <c r="AD375" i="7"/>
  <c r="D375" i="7"/>
  <c r="A375" i="7"/>
  <c r="AN374" i="7"/>
  <c r="AM374" i="7"/>
  <c r="AG374" i="7"/>
  <c r="AF374" i="7"/>
  <c r="AD374" i="7"/>
  <c r="D374" i="7"/>
  <c r="A374" i="7"/>
  <c r="AN373" i="7"/>
  <c r="AM373" i="7"/>
  <c r="AG373" i="7"/>
  <c r="AF373" i="7"/>
  <c r="AD373" i="7"/>
  <c r="D373" i="7"/>
  <c r="A373" i="7"/>
  <c r="AN372" i="7"/>
  <c r="AM372" i="7"/>
  <c r="AG372" i="7"/>
  <c r="AF372" i="7"/>
  <c r="AD372" i="7"/>
  <c r="D372" i="7"/>
  <c r="A372" i="7"/>
  <c r="AN371" i="7"/>
  <c r="AM371" i="7"/>
  <c r="AG371" i="7"/>
  <c r="AF371" i="7"/>
  <c r="AD371" i="7"/>
  <c r="D371" i="7"/>
  <c r="A371" i="7"/>
  <c r="AN370" i="7"/>
  <c r="AM370" i="7"/>
  <c r="AG370" i="7"/>
  <c r="AF370" i="7"/>
  <c r="AD370" i="7"/>
  <c r="D370" i="7"/>
  <c r="A370" i="7"/>
  <c r="AN369" i="7"/>
  <c r="AM369" i="7"/>
  <c r="AG369" i="7"/>
  <c r="AF369" i="7"/>
  <c r="AD369" i="7"/>
  <c r="D369" i="7"/>
  <c r="A369" i="7"/>
  <c r="AN368" i="7"/>
  <c r="AM368" i="7"/>
  <c r="AG368" i="7"/>
  <c r="AF368" i="7"/>
  <c r="AD368" i="7"/>
  <c r="D368" i="7"/>
  <c r="A368" i="7"/>
  <c r="AN367" i="7"/>
  <c r="AM367" i="7"/>
  <c r="AG367" i="7"/>
  <c r="AF367" i="7"/>
  <c r="AD367" i="7"/>
  <c r="D367" i="7"/>
  <c r="A367" i="7"/>
  <c r="AN366" i="7"/>
  <c r="AM366" i="7"/>
  <c r="AG366" i="7"/>
  <c r="AF366" i="7"/>
  <c r="AD366" i="7"/>
  <c r="D366" i="7"/>
  <c r="A366" i="7"/>
  <c r="AN365" i="7"/>
  <c r="AM365" i="7"/>
  <c r="AG365" i="7"/>
  <c r="AF365" i="7"/>
  <c r="AD365" i="7"/>
  <c r="D365" i="7"/>
  <c r="A365" i="7"/>
  <c r="AN364" i="7"/>
  <c r="AM364" i="7"/>
  <c r="AG364" i="7"/>
  <c r="AF364" i="7"/>
  <c r="AD364" i="7"/>
  <c r="D364" i="7"/>
  <c r="A364" i="7"/>
  <c r="AN363" i="7"/>
  <c r="AM363" i="7"/>
  <c r="AG363" i="7"/>
  <c r="AF363" i="7"/>
  <c r="AD363" i="7"/>
  <c r="D363" i="7"/>
  <c r="A363" i="7"/>
  <c r="AN362" i="7"/>
  <c r="AM362" i="7"/>
  <c r="AG362" i="7"/>
  <c r="AF362" i="7"/>
  <c r="AD362" i="7"/>
  <c r="D362" i="7"/>
  <c r="A362" i="7"/>
  <c r="AN361" i="7"/>
  <c r="AM361" i="7"/>
  <c r="AG361" i="7"/>
  <c r="AF361" i="7"/>
  <c r="AD361" i="7"/>
  <c r="D361" i="7"/>
  <c r="A361" i="7"/>
  <c r="AN360" i="7"/>
  <c r="AM360" i="7"/>
  <c r="AG360" i="7"/>
  <c r="AF360" i="7"/>
  <c r="AD360" i="7"/>
  <c r="D360" i="7"/>
  <c r="A360" i="7"/>
  <c r="AN359" i="7"/>
  <c r="AM359" i="7"/>
  <c r="AG359" i="7"/>
  <c r="AF359" i="7"/>
  <c r="AD359" i="7"/>
  <c r="D359" i="7"/>
  <c r="A359" i="7"/>
  <c r="AN358" i="7"/>
  <c r="AM358" i="7"/>
  <c r="AG358" i="7"/>
  <c r="AF358" i="7"/>
  <c r="AD358" i="7"/>
  <c r="D358" i="7"/>
  <c r="A358" i="7"/>
  <c r="AN357" i="7"/>
  <c r="AM357" i="7"/>
  <c r="AG357" i="7"/>
  <c r="AF357" i="7"/>
  <c r="AD357" i="7"/>
  <c r="D357" i="7"/>
  <c r="A357" i="7"/>
  <c r="AN356" i="7"/>
  <c r="AM356" i="7"/>
  <c r="AG356" i="7"/>
  <c r="AF356" i="7"/>
  <c r="AD356" i="7"/>
  <c r="D356" i="7"/>
  <c r="A356" i="7"/>
  <c r="AN355" i="7"/>
  <c r="AM355" i="7"/>
  <c r="AG355" i="7"/>
  <c r="AF355" i="7"/>
  <c r="AD355" i="7"/>
  <c r="D355" i="7"/>
  <c r="A355" i="7"/>
  <c r="AN354" i="7"/>
  <c r="AM354" i="7"/>
  <c r="AG354" i="7"/>
  <c r="AF354" i="7"/>
  <c r="AD354" i="7"/>
  <c r="D354" i="7"/>
  <c r="A354" i="7"/>
  <c r="AN353" i="7"/>
  <c r="AM353" i="7"/>
  <c r="AG353" i="7"/>
  <c r="AF353" i="7"/>
  <c r="AD353" i="7"/>
  <c r="D353" i="7"/>
  <c r="A353" i="7"/>
  <c r="AN352" i="7"/>
  <c r="AM352" i="7"/>
  <c r="AG352" i="7"/>
  <c r="AF352" i="7"/>
  <c r="AD352" i="7"/>
  <c r="D352" i="7"/>
  <c r="A352" i="7"/>
  <c r="AN351" i="7"/>
  <c r="AM351" i="7"/>
  <c r="AG351" i="7"/>
  <c r="AF351" i="7"/>
  <c r="AD351" i="7"/>
  <c r="D351" i="7"/>
  <c r="A351" i="7"/>
  <c r="AN350" i="7"/>
  <c r="AM350" i="7"/>
  <c r="AG350" i="7"/>
  <c r="AF350" i="7"/>
  <c r="AD350" i="7"/>
  <c r="D350" i="7"/>
  <c r="A350" i="7"/>
  <c r="AN349" i="7"/>
  <c r="AM349" i="7"/>
  <c r="AG349" i="7"/>
  <c r="AF349" i="7"/>
  <c r="AD349" i="7"/>
  <c r="D349" i="7"/>
  <c r="A349" i="7"/>
  <c r="AN348" i="7"/>
  <c r="AM348" i="7"/>
  <c r="AG348" i="7"/>
  <c r="AF348" i="7"/>
  <c r="AD348" i="7"/>
  <c r="D348" i="7"/>
  <c r="A348" i="7"/>
  <c r="AN347" i="7"/>
  <c r="AM347" i="7"/>
  <c r="AG347" i="7"/>
  <c r="AF347" i="7"/>
  <c r="AD347" i="7"/>
  <c r="D347" i="7"/>
  <c r="A347" i="7"/>
  <c r="AN346" i="7"/>
  <c r="AM346" i="7"/>
  <c r="AG346" i="7"/>
  <c r="AF346" i="7"/>
  <c r="AD346" i="7"/>
  <c r="D346" i="7"/>
  <c r="A346" i="7"/>
  <c r="AN345" i="7"/>
  <c r="AM345" i="7"/>
  <c r="AG345" i="7"/>
  <c r="AF345" i="7"/>
  <c r="AD345" i="7"/>
  <c r="D345" i="7"/>
  <c r="A345" i="7"/>
  <c r="AN344" i="7"/>
  <c r="AM344" i="7"/>
  <c r="AG344" i="7"/>
  <c r="AF344" i="7"/>
  <c r="AD344" i="7"/>
  <c r="D344" i="7"/>
  <c r="A344" i="7"/>
  <c r="AN343" i="7"/>
  <c r="AM343" i="7"/>
  <c r="AG343" i="7"/>
  <c r="AF343" i="7"/>
  <c r="AD343" i="7"/>
  <c r="D343" i="7"/>
  <c r="A343" i="7"/>
  <c r="AN342" i="7"/>
  <c r="AM342" i="7"/>
  <c r="AG342" i="7"/>
  <c r="AF342" i="7"/>
  <c r="AD342" i="7"/>
  <c r="D342" i="7"/>
  <c r="A342" i="7"/>
  <c r="AN341" i="7"/>
  <c r="AM341" i="7"/>
  <c r="AG341" i="7"/>
  <c r="AF341" i="7"/>
  <c r="AD341" i="7"/>
  <c r="D341" i="7"/>
  <c r="A341" i="7"/>
  <c r="AN340" i="7"/>
  <c r="AM340" i="7"/>
  <c r="AG340" i="7"/>
  <c r="AF340" i="7"/>
  <c r="AD340" i="7"/>
  <c r="D340" i="7"/>
  <c r="A340" i="7"/>
  <c r="AN339" i="7"/>
  <c r="AM339" i="7"/>
  <c r="AG339" i="7"/>
  <c r="AF339" i="7"/>
  <c r="AD339" i="7"/>
  <c r="D339" i="7"/>
  <c r="A339" i="7"/>
  <c r="AN338" i="7"/>
  <c r="AM338" i="7"/>
  <c r="AG338" i="7"/>
  <c r="AF338" i="7"/>
  <c r="AD338" i="7"/>
  <c r="D338" i="7"/>
  <c r="A338" i="7"/>
  <c r="AN337" i="7"/>
  <c r="AM337" i="7"/>
  <c r="AG337" i="7"/>
  <c r="AF337" i="7"/>
  <c r="AD337" i="7"/>
  <c r="D337" i="7"/>
  <c r="A337" i="7"/>
  <c r="AN336" i="7"/>
  <c r="AM336" i="7"/>
  <c r="AG336" i="7"/>
  <c r="AF336" i="7"/>
  <c r="AD336" i="7"/>
  <c r="D336" i="7"/>
  <c r="A336" i="7"/>
  <c r="AN335" i="7"/>
  <c r="AM335" i="7"/>
  <c r="AG335" i="7"/>
  <c r="AF335" i="7"/>
  <c r="AD335" i="7"/>
  <c r="D335" i="7"/>
  <c r="A335" i="7"/>
  <c r="AN334" i="7"/>
  <c r="AM334" i="7"/>
  <c r="AG334" i="7"/>
  <c r="AF334" i="7"/>
  <c r="AD334" i="7"/>
  <c r="D334" i="7"/>
  <c r="A334" i="7"/>
  <c r="AN333" i="7"/>
  <c r="AM333" i="7"/>
  <c r="AG333" i="7"/>
  <c r="AF333" i="7"/>
  <c r="AD333" i="7"/>
  <c r="D333" i="7"/>
  <c r="A333" i="7"/>
  <c r="AN332" i="7"/>
  <c r="AM332" i="7"/>
  <c r="AG332" i="7"/>
  <c r="AF332" i="7"/>
  <c r="AD332" i="7"/>
  <c r="D332" i="7"/>
  <c r="A332" i="7"/>
  <c r="AN331" i="7"/>
  <c r="AM331" i="7"/>
  <c r="AG331" i="7"/>
  <c r="AF331" i="7"/>
  <c r="AD331" i="7"/>
  <c r="D331" i="7"/>
  <c r="A331" i="7"/>
  <c r="AN330" i="7"/>
  <c r="AM330" i="7"/>
  <c r="AG330" i="7"/>
  <c r="AF330" i="7"/>
  <c r="AD330" i="7"/>
  <c r="D330" i="7"/>
  <c r="A330" i="7"/>
  <c r="AN329" i="7"/>
  <c r="AM329" i="7"/>
  <c r="AG329" i="7"/>
  <c r="AF329" i="7"/>
  <c r="AD329" i="7"/>
  <c r="D329" i="7"/>
  <c r="A329" i="7"/>
  <c r="AN328" i="7"/>
  <c r="AM328" i="7"/>
  <c r="AG328" i="7"/>
  <c r="AF328" i="7"/>
  <c r="AD328" i="7"/>
  <c r="D328" i="7"/>
  <c r="A328" i="7"/>
  <c r="AN327" i="7"/>
  <c r="AM327" i="7"/>
  <c r="AG327" i="7"/>
  <c r="AF327" i="7"/>
  <c r="AD327" i="7"/>
  <c r="D327" i="7"/>
  <c r="A327" i="7"/>
  <c r="AN326" i="7"/>
  <c r="AM326" i="7"/>
  <c r="AG326" i="7"/>
  <c r="AF326" i="7"/>
  <c r="AD326" i="7"/>
  <c r="D326" i="7"/>
  <c r="A326" i="7"/>
  <c r="AN325" i="7"/>
  <c r="AM325" i="7"/>
  <c r="AG325" i="7"/>
  <c r="AF325" i="7"/>
  <c r="AD325" i="7"/>
  <c r="D325" i="7"/>
  <c r="A325" i="7"/>
  <c r="AN324" i="7"/>
  <c r="AM324" i="7"/>
  <c r="AG324" i="7"/>
  <c r="AF324" i="7"/>
  <c r="AD324" i="7"/>
  <c r="D324" i="7"/>
  <c r="A324" i="7"/>
  <c r="AN323" i="7"/>
  <c r="AM323" i="7"/>
  <c r="AG323" i="7"/>
  <c r="AF323" i="7"/>
  <c r="AD323" i="7"/>
  <c r="D323" i="7"/>
  <c r="A323" i="7"/>
  <c r="AN322" i="7"/>
  <c r="AM322" i="7"/>
  <c r="AG322" i="7"/>
  <c r="AF322" i="7"/>
  <c r="AD322" i="7"/>
  <c r="D322" i="7"/>
  <c r="A322" i="7"/>
  <c r="AN321" i="7"/>
  <c r="AM321" i="7"/>
  <c r="AG321" i="7"/>
  <c r="AF321" i="7"/>
  <c r="AD321" i="7"/>
  <c r="D321" i="7"/>
  <c r="A321" i="7"/>
  <c r="AN320" i="7"/>
  <c r="AM320" i="7"/>
  <c r="AG320" i="7"/>
  <c r="AF320" i="7"/>
  <c r="AD320" i="7"/>
  <c r="D320" i="7"/>
  <c r="A320" i="7"/>
  <c r="AN319" i="7"/>
  <c r="AM319" i="7"/>
  <c r="AG319" i="7"/>
  <c r="AF319" i="7"/>
  <c r="AD319" i="7"/>
  <c r="D319" i="7"/>
  <c r="A319" i="7"/>
  <c r="AN318" i="7"/>
  <c r="AM318" i="7"/>
  <c r="AG318" i="7"/>
  <c r="AF318" i="7"/>
  <c r="AD318" i="7"/>
  <c r="D318" i="7"/>
  <c r="A318" i="7"/>
  <c r="AN317" i="7"/>
  <c r="AM317" i="7"/>
  <c r="AG317" i="7"/>
  <c r="AF317" i="7"/>
  <c r="AD317" i="7"/>
  <c r="D317" i="7"/>
  <c r="A317" i="7"/>
  <c r="AN316" i="7"/>
  <c r="AM316" i="7"/>
  <c r="AG316" i="7"/>
  <c r="AF316" i="7"/>
  <c r="AD316" i="7"/>
  <c r="D316" i="7"/>
  <c r="A316" i="7"/>
  <c r="AN315" i="7"/>
  <c r="AM315" i="7"/>
  <c r="AG315" i="7"/>
  <c r="AF315" i="7"/>
  <c r="AD315" i="7"/>
  <c r="D315" i="7"/>
  <c r="A315" i="7"/>
  <c r="AN314" i="7"/>
  <c r="AM314" i="7"/>
  <c r="AG314" i="7"/>
  <c r="AF314" i="7"/>
  <c r="AD314" i="7"/>
  <c r="D314" i="7"/>
  <c r="A314" i="7"/>
  <c r="AN313" i="7"/>
  <c r="AM313" i="7"/>
  <c r="AG313" i="7"/>
  <c r="AF313" i="7"/>
  <c r="AD313" i="7"/>
  <c r="D313" i="7"/>
  <c r="A313" i="7"/>
  <c r="AN312" i="7"/>
  <c r="AM312" i="7"/>
  <c r="AG312" i="7"/>
  <c r="AF312" i="7"/>
  <c r="AD312" i="7"/>
  <c r="D312" i="7"/>
  <c r="A312" i="7"/>
  <c r="AN311" i="7"/>
  <c r="AM311" i="7"/>
  <c r="AG311" i="7"/>
  <c r="AF311" i="7"/>
  <c r="AD311" i="7"/>
  <c r="D311" i="7"/>
  <c r="A311" i="7"/>
  <c r="AN310" i="7"/>
  <c r="AM310" i="7"/>
  <c r="AG310" i="7"/>
  <c r="AF310" i="7"/>
  <c r="AD310" i="7"/>
  <c r="D310" i="7"/>
  <c r="A310" i="7"/>
  <c r="AN309" i="7"/>
  <c r="AM309" i="7"/>
  <c r="AG309" i="7"/>
  <c r="AF309" i="7"/>
  <c r="AD309" i="7"/>
  <c r="D309" i="7"/>
  <c r="A309" i="7"/>
  <c r="AN308" i="7"/>
  <c r="AM308" i="7"/>
  <c r="AG308" i="7"/>
  <c r="AF308" i="7"/>
  <c r="AD308" i="7"/>
  <c r="D308" i="7"/>
  <c r="A308" i="7"/>
  <c r="AN307" i="7"/>
  <c r="AM307" i="7"/>
  <c r="AG307" i="7"/>
  <c r="AF307" i="7"/>
  <c r="AD307" i="7"/>
  <c r="D307" i="7"/>
  <c r="A307" i="7"/>
  <c r="AN306" i="7"/>
  <c r="AM306" i="7"/>
  <c r="AG306" i="7"/>
  <c r="AF306" i="7"/>
  <c r="AD306" i="7"/>
  <c r="D306" i="7"/>
  <c r="A306" i="7"/>
  <c r="AN305" i="7"/>
  <c r="AM305" i="7"/>
  <c r="AG305" i="7"/>
  <c r="AF305" i="7"/>
  <c r="AD305" i="7"/>
  <c r="D305" i="7"/>
  <c r="A305" i="7"/>
  <c r="AN304" i="7"/>
  <c r="AM304" i="7"/>
  <c r="AG304" i="7"/>
  <c r="AF304" i="7"/>
  <c r="AD304" i="7"/>
  <c r="D304" i="7"/>
  <c r="A304" i="7"/>
  <c r="AN303" i="7"/>
  <c r="AM303" i="7"/>
  <c r="AG303" i="7"/>
  <c r="AF303" i="7"/>
  <c r="AD303" i="7"/>
  <c r="D303" i="7"/>
  <c r="A303" i="7"/>
  <c r="AN302" i="7"/>
  <c r="AM302" i="7"/>
  <c r="AG302" i="7"/>
  <c r="AF302" i="7"/>
  <c r="AD302" i="7"/>
  <c r="D302" i="7"/>
  <c r="A302" i="7"/>
  <c r="AN301" i="7"/>
  <c r="AM301" i="7"/>
  <c r="AG301" i="7"/>
  <c r="AF301" i="7"/>
  <c r="AD301" i="7"/>
  <c r="D301" i="7"/>
  <c r="A301" i="7"/>
  <c r="AN300" i="7"/>
  <c r="AM300" i="7"/>
  <c r="AG300" i="7"/>
  <c r="AF300" i="7"/>
  <c r="AD300" i="7"/>
  <c r="D300" i="7"/>
  <c r="A300" i="7"/>
  <c r="AN299" i="7"/>
  <c r="AM299" i="7"/>
  <c r="AG299" i="7"/>
  <c r="AF299" i="7"/>
  <c r="AD299" i="7"/>
  <c r="D299" i="7"/>
  <c r="A299" i="7"/>
  <c r="AN298" i="7"/>
  <c r="AM298" i="7"/>
  <c r="AG298" i="7"/>
  <c r="AF298" i="7"/>
  <c r="AD298" i="7"/>
  <c r="D298" i="7"/>
  <c r="A298" i="7"/>
  <c r="AN297" i="7"/>
  <c r="AM297" i="7"/>
  <c r="AG297" i="7"/>
  <c r="AF297" i="7"/>
  <c r="AD297" i="7"/>
  <c r="D297" i="7"/>
  <c r="A297" i="7"/>
  <c r="AN296" i="7"/>
  <c r="AM296" i="7"/>
  <c r="AG296" i="7"/>
  <c r="AF296" i="7"/>
  <c r="AD296" i="7"/>
  <c r="D296" i="7"/>
  <c r="A296" i="7"/>
  <c r="AN295" i="7"/>
  <c r="AM295" i="7"/>
  <c r="AG295" i="7"/>
  <c r="AF295" i="7"/>
  <c r="AD295" i="7"/>
  <c r="D295" i="7"/>
  <c r="A295" i="7"/>
  <c r="AN294" i="7"/>
  <c r="AM294" i="7"/>
  <c r="AG294" i="7"/>
  <c r="AF294" i="7"/>
  <c r="AD294" i="7"/>
  <c r="D294" i="7"/>
  <c r="A294" i="7"/>
  <c r="AN293" i="7"/>
  <c r="AM293" i="7"/>
  <c r="AG293" i="7"/>
  <c r="AF293" i="7"/>
  <c r="AD293" i="7"/>
  <c r="D293" i="7"/>
  <c r="A293" i="7"/>
  <c r="AN292" i="7"/>
  <c r="AM292" i="7"/>
  <c r="AG292" i="7"/>
  <c r="AF292" i="7"/>
  <c r="AD292" i="7"/>
  <c r="D292" i="7"/>
  <c r="A292" i="7"/>
  <c r="AN291" i="7"/>
  <c r="AM291" i="7"/>
  <c r="AG291" i="7"/>
  <c r="AF291" i="7"/>
  <c r="AD291" i="7"/>
  <c r="D291" i="7"/>
  <c r="A291" i="7"/>
  <c r="AN290" i="7"/>
  <c r="AM290" i="7"/>
  <c r="AG290" i="7"/>
  <c r="AF290" i="7"/>
  <c r="AD290" i="7"/>
  <c r="D290" i="7"/>
  <c r="A290" i="7"/>
  <c r="AN289" i="7"/>
  <c r="AM289" i="7"/>
  <c r="AG289" i="7"/>
  <c r="AF289" i="7"/>
  <c r="AD289" i="7"/>
  <c r="D289" i="7"/>
  <c r="A289" i="7"/>
  <c r="AN288" i="7"/>
  <c r="AM288" i="7"/>
  <c r="AG288" i="7"/>
  <c r="AF288" i="7"/>
  <c r="AD288" i="7"/>
  <c r="D288" i="7"/>
  <c r="A288" i="7"/>
  <c r="AN287" i="7"/>
  <c r="AM287" i="7"/>
  <c r="AG287" i="7"/>
  <c r="AF287" i="7"/>
  <c r="AD287" i="7"/>
  <c r="D287" i="7"/>
  <c r="A287" i="7"/>
  <c r="AN286" i="7"/>
  <c r="AM286" i="7"/>
  <c r="AG286" i="7"/>
  <c r="AF286" i="7"/>
  <c r="AD286" i="7"/>
  <c r="D286" i="7"/>
  <c r="A286" i="7"/>
  <c r="AN285" i="7"/>
  <c r="AM285" i="7"/>
  <c r="AG285" i="7"/>
  <c r="AF285" i="7"/>
  <c r="AD285" i="7"/>
  <c r="D285" i="7"/>
  <c r="A285" i="7"/>
  <c r="AN284" i="7"/>
  <c r="AM284" i="7"/>
  <c r="AG284" i="7"/>
  <c r="AF284" i="7"/>
  <c r="AD284" i="7"/>
  <c r="D284" i="7"/>
  <c r="A284" i="7"/>
  <c r="AN283" i="7"/>
  <c r="AM283" i="7"/>
  <c r="AG283" i="7"/>
  <c r="AF283" i="7"/>
  <c r="AD283" i="7"/>
  <c r="D283" i="7"/>
  <c r="A283" i="7"/>
  <c r="AN282" i="7"/>
  <c r="AM282" i="7"/>
  <c r="AG282" i="7"/>
  <c r="AF282" i="7"/>
  <c r="AD282" i="7"/>
  <c r="D282" i="7"/>
  <c r="A282" i="7"/>
  <c r="AN281" i="7"/>
  <c r="AM281" i="7"/>
  <c r="AG281" i="7"/>
  <c r="AF281" i="7"/>
  <c r="AD281" i="7"/>
  <c r="D281" i="7"/>
  <c r="A281" i="7"/>
  <c r="AN280" i="7"/>
  <c r="AM280" i="7"/>
  <c r="AG280" i="7"/>
  <c r="AF280" i="7"/>
  <c r="AD280" i="7"/>
  <c r="D280" i="7"/>
  <c r="A280" i="7"/>
  <c r="AN279" i="7"/>
  <c r="AM279" i="7"/>
  <c r="AG279" i="7"/>
  <c r="AF279" i="7"/>
  <c r="AD279" i="7"/>
  <c r="D279" i="7"/>
  <c r="A279" i="7"/>
  <c r="AN278" i="7"/>
  <c r="AM278" i="7"/>
  <c r="AG278" i="7"/>
  <c r="AF278" i="7"/>
  <c r="AD278" i="7"/>
  <c r="D278" i="7"/>
  <c r="A278" i="7"/>
  <c r="AN277" i="7"/>
  <c r="AM277" i="7"/>
  <c r="AG277" i="7"/>
  <c r="AF277" i="7"/>
  <c r="AD277" i="7"/>
  <c r="D277" i="7"/>
  <c r="A277" i="7"/>
  <c r="AN276" i="7"/>
  <c r="AM276" i="7"/>
  <c r="AG276" i="7"/>
  <c r="AF276" i="7"/>
  <c r="AD276" i="7"/>
  <c r="D276" i="7"/>
  <c r="A276" i="7"/>
  <c r="AN275" i="7"/>
  <c r="AM275" i="7"/>
  <c r="AG275" i="7"/>
  <c r="AF275" i="7"/>
  <c r="AD275" i="7"/>
  <c r="D275" i="7"/>
  <c r="A275" i="7"/>
  <c r="AN274" i="7"/>
  <c r="AM274" i="7"/>
  <c r="AG274" i="7"/>
  <c r="AF274" i="7"/>
  <c r="AD274" i="7"/>
  <c r="D274" i="7"/>
  <c r="A274" i="7"/>
  <c r="AN273" i="7"/>
  <c r="AM273" i="7"/>
  <c r="AG273" i="7"/>
  <c r="AF273" i="7"/>
  <c r="AD273" i="7"/>
  <c r="D273" i="7"/>
  <c r="A273" i="7"/>
  <c r="AN272" i="7"/>
  <c r="AM272" i="7"/>
  <c r="AG272" i="7"/>
  <c r="AF272" i="7"/>
  <c r="AD272" i="7"/>
  <c r="D272" i="7"/>
  <c r="A272" i="7"/>
  <c r="AN271" i="7"/>
  <c r="AM271" i="7"/>
  <c r="AG271" i="7"/>
  <c r="AF271" i="7"/>
  <c r="AD271" i="7"/>
  <c r="D271" i="7"/>
  <c r="A271" i="7"/>
  <c r="AN270" i="7"/>
  <c r="AM270" i="7"/>
  <c r="AG270" i="7"/>
  <c r="AF270" i="7"/>
  <c r="AD270" i="7"/>
  <c r="D270" i="7"/>
  <c r="A270" i="7"/>
  <c r="AN269" i="7"/>
  <c r="AM269" i="7"/>
  <c r="AG269" i="7"/>
  <c r="AF269" i="7"/>
  <c r="AD269" i="7"/>
  <c r="D269" i="7"/>
  <c r="A269" i="7"/>
  <c r="AN268" i="7"/>
  <c r="AM268" i="7"/>
  <c r="AG268" i="7"/>
  <c r="AF268" i="7"/>
  <c r="AD268" i="7"/>
  <c r="D268" i="7"/>
  <c r="A268" i="7"/>
  <c r="AN267" i="7"/>
  <c r="AM267" i="7"/>
  <c r="AG267" i="7"/>
  <c r="AF267" i="7"/>
  <c r="AD267" i="7"/>
  <c r="D267" i="7"/>
  <c r="A267" i="7"/>
  <c r="AN266" i="7"/>
  <c r="AM266" i="7"/>
  <c r="AG266" i="7"/>
  <c r="AF266" i="7"/>
  <c r="AD266" i="7"/>
  <c r="D266" i="7"/>
  <c r="A266" i="7"/>
  <c r="AN265" i="7"/>
  <c r="AM265" i="7"/>
  <c r="AG265" i="7"/>
  <c r="AF265" i="7"/>
  <c r="AD265" i="7"/>
  <c r="D265" i="7"/>
  <c r="A265" i="7"/>
  <c r="AN264" i="7"/>
  <c r="AM264" i="7"/>
  <c r="AG264" i="7"/>
  <c r="AF264" i="7"/>
  <c r="AD264" i="7"/>
  <c r="D264" i="7"/>
  <c r="A264" i="7"/>
  <c r="AN263" i="7"/>
  <c r="AM263" i="7"/>
  <c r="AG263" i="7"/>
  <c r="AF263" i="7"/>
  <c r="AD263" i="7"/>
  <c r="D263" i="7"/>
  <c r="A263" i="7"/>
  <c r="AN262" i="7"/>
  <c r="AM262" i="7"/>
  <c r="AG262" i="7"/>
  <c r="AF262" i="7"/>
  <c r="AD262" i="7"/>
  <c r="D262" i="7"/>
  <c r="A262" i="7"/>
  <c r="AN261" i="7"/>
  <c r="AM261" i="7"/>
  <c r="AG261" i="7"/>
  <c r="AF261" i="7"/>
  <c r="AD261" i="7"/>
  <c r="D261" i="7"/>
  <c r="A261" i="7"/>
  <c r="AN260" i="7"/>
  <c r="AM260" i="7"/>
  <c r="AG260" i="7"/>
  <c r="AF260" i="7"/>
  <c r="AD260" i="7"/>
  <c r="D260" i="7"/>
  <c r="A260" i="7"/>
  <c r="AN259" i="7"/>
  <c r="AM259" i="7"/>
  <c r="AG259" i="7"/>
  <c r="AF259" i="7"/>
  <c r="AD259" i="7"/>
  <c r="D259" i="7"/>
  <c r="A259" i="7"/>
  <c r="AN258" i="7"/>
  <c r="AM258" i="7"/>
  <c r="AG258" i="7"/>
  <c r="AF258" i="7"/>
  <c r="AD258" i="7"/>
  <c r="D258" i="7"/>
  <c r="A258" i="7"/>
  <c r="AN257" i="7"/>
  <c r="AM257" i="7"/>
  <c r="AG257" i="7"/>
  <c r="AF257" i="7"/>
  <c r="AD257" i="7"/>
  <c r="D257" i="7"/>
  <c r="A257" i="7"/>
  <c r="AN256" i="7"/>
  <c r="AM256" i="7"/>
  <c r="AG256" i="7"/>
  <c r="AF256" i="7"/>
  <c r="AD256" i="7"/>
  <c r="D256" i="7"/>
  <c r="A256" i="7"/>
  <c r="AN255" i="7"/>
  <c r="AM255" i="7"/>
  <c r="AG255" i="7"/>
  <c r="AF255" i="7"/>
  <c r="AD255" i="7"/>
  <c r="D255" i="7"/>
  <c r="A255" i="7"/>
  <c r="AN254" i="7"/>
  <c r="AM254" i="7"/>
  <c r="AG254" i="7"/>
  <c r="AF254" i="7"/>
  <c r="AD254" i="7"/>
  <c r="D254" i="7"/>
  <c r="A254" i="7"/>
  <c r="AN253" i="7"/>
  <c r="AM253" i="7"/>
  <c r="AG253" i="7"/>
  <c r="AF253" i="7"/>
  <c r="AD253" i="7"/>
  <c r="D253" i="7"/>
  <c r="A253" i="7"/>
  <c r="AN252" i="7"/>
  <c r="AM252" i="7"/>
  <c r="AG252" i="7"/>
  <c r="AF252" i="7"/>
  <c r="AD252" i="7"/>
  <c r="D252" i="7"/>
  <c r="A252" i="7"/>
  <c r="AN251" i="7"/>
  <c r="AM251" i="7"/>
  <c r="AG251" i="7"/>
  <c r="AF251" i="7"/>
  <c r="AD251" i="7"/>
  <c r="D251" i="7"/>
  <c r="A251" i="7"/>
  <c r="AN250" i="7"/>
  <c r="AM250" i="7"/>
  <c r="AG250" i="7"/>
  <c r="AF250" i="7"/>
  <c r="AD250" i="7"/>
  <c r="D250" i="7"/>
  <c r="A250" i="7"/>
  <c r="AN249" i="7"/>
  <c r="AM249" i="7"/>
  <c r="AG249" i="7"/>
  <c r="AF249" i="7"/>
  <c r="AD249" i="7"/>
  <c r="D249" i="7"/>
  <c r="A249" i="7"/>
  <c r="AN248" i="7"/>
  <c r="AM248" i="7"/>
  <c r="AG248" i="7"/>
  <c r="AF248" i="7"/>
  <c r="AD248" i="7"/>
  <c r="D248" i="7"/>
  <c r="A248" i="7"/>
  <c r="AN247" i="7"/>
  <c r="AM247" i="7"/>
  <c r="AG247" i="7"/>
  <c r="AF247" i="7"/>
  <c r="AD247" i="7"/>
  <c r="D247" i="7"/>
  <c r="A247" i="7"/>
  <c r="AN246" i="7"/>
  <c r="AM246" i="7"/>
  <c r="AG246" i="7"/>
  <c r="AF246" i="7"/>
  <c r="AD246" i="7"/>
  <c r="D246" i="7"/>
  <c r="A246" i="7"/>
  <c r="AN245" i="7"/>
  <c r="AM245" i="7"/>
  <c r="AG245" i="7"/>
  <c r="AF245" i="7"/>
  <c r="AD245" i="7"/>
  <c r="D245" i="7"/>
  <c r="A245" i="7"/>
  <c r="AN244" i="7"/>
  <c r="AM244" i="7"/>
  <c r="AG244" i="7"/>
  <c r="AF244" i="7"/>
  <c r="AD244" i="7"/>
  <c r="D244" i="7"/>
  <c r="A244" i="7"/>
  <c r="AN243" i="7"/>
  <c r="AM243" i="7"/>
  <c r="AG243" i="7"/>
  <c r="AF243" i="7"/>
  <c r="AD243" i="7"/>
  <c r="D243" i="7"/>
  <c r="A243" i="7"/>
  <c r="AN242" i="7"/>
  <c r="AM242" i="7"/>
  <c r="AG242" i="7"/>
  <c r="AF242" i="7"/>
  <c r="AD242" i="7"/>
  <c r="D242" i="7"/>
  <c r="A242" i="7"/>
  <c r="AN241" i="7"/>
  <c r="AM241" i="7"/>
  <c r="AG241" i="7"/>
  <c r="AF241" i="7"/>
  <c r="AD241" i="7"/>
  <c r="D241" i="7"/>
  <c r="A241" i="7"/>
  <c r="AN240" i="7"/>
  <c r="AM240" i="7"/>
  <c r="AG240" i="7"/>
  <c r="AF240" i="7"/>
  <c r="AD240" i="7"/>
  <c r="D240" i="7"/>
  <c r="A240" i="7"/>
  <c r="AN239" i="7"/>
  <c r="AM239" i="7"/>
  <c r="AG239" i="7"/>
  <c r="AF239" i="7"/>
  <c r="AD239" i="7"/>
  <c r="D239" i="7"/>
  <c r="A239" i="7"/>
  <c r="AN238" i="7"/>
  <c r="AM238" i="7"/>
  <c r="AG238" i="7"/>
  <c r="AF238" i="7"/>
  <c r="AD238" i="7"/>
  <c r="D238" i="7"/>
  <c r="A238" i="7"/>
  <c r="AN237" i="7"/>
  <c r="AM237" i="7"/>
  <c r="AG237" i="7"/>
  <c r="AF237" i="7"/>
  <c r="AD237" i="7"/>
  <c r="D237" i="7"/>
  <c r="A237" i="7"/>
  <c r="AN236" i="7"/>
  <c r="AM236" i="7"/>
  <c r="AG236" i="7"/>
  <c r="AF236" i="7"/>
  <c r="AD236" i="7"/>
  <c r="D236" i="7"/>
  <c r="A236" i="7"/>
  <c r="AN235" i="7"/>
  <c r="AM235" i="7"/>
  <c r="AG235" i="7"/>
  <c r="AF235" i="7"/>
  <c r="AD235" i="7"/>
  <c r="D235" i="7"/>
  <c r="A235" i="7"/>
  <c r="AN234" i="7"/>
  <c r="AM234" i="7"/>
  <c r="AG234" i="7"/>
  <c r="AF234" i="7"/>
  <c r="AD234" i="7"/>
  <c r="D234" i="7"/>
  <c r="A234" i="7"/>
  <c r="AN233" i="7"/>
  <c r="AM233" i="7"/>
  <c r="AG233" i="7"/>
  <c r="AF233" i="7"/>
  <c r="AD233" i="7"/>
  <c r="D233" i="7"/>
  <c r="A233" i="7"/>
  <c r="AN232" i="7"/>
  <c r="AM232" i="7"/>
  <c r="AG232" i="7"/>
  <c r="AF232" i="7"/>
  <c r="AD232" i="7"/>
  <c r="D232" i="7"/>
  <c r="A232" i="7"/>
  <c r="AN231" i="7"/>
  <c r="AM231" i="7"/>
  <c r="AG231" i="7"/>
  <c r="AF231" i="7"/>
  <c r="AD231" i="7"/>
  <c r="D231" i="7"/>
  <c r="A231" i="7"/>
  <c r="AN230" i="7"/>
  <c r="AM230" i="7"/>
  <c r="AG230" i="7"/>
  <c r="AF230" i="7"/>
  <c r="AD230" i="7"/>
  <c r="D230" i="7"/>
  <c r="A230" i="7"/>
  <c r="AN229" i="7"/>
  <c r="AM229" i="7"/>
  <c r="AG229" i="7"/>
  <c r="AF229" i="7"/>
  <c r="AD229" i="7"/>
  <c r="D229" i="7"/>
  <c r="A229" i="7"/>
  <c r="AN228" i="7"/>
  <c r="AM228" i="7"/>
  <c r="AG228" i="7"/>
  <c r="AF228" i="7"/>
  <c r="AD228" i="7"/>
  <c r="D228" i="7"/>
  <c r="A228" i="7"/>
  <c r="AN227" i="7"/>
  <c r="AM227" i="7"/>
  <c r="AG227" i="7"/>
  <c r="AF227" i="7"/>
  <c r="AD227" i="7"/>
  <c r="D227" i="7"/>
  <c r="A227" i="7"/>
  <c r="AN226" i="7"/>
  <c r="AM226" i="7"/>
  <c r="AG226" i="7"/>
  <c r="AF226" i="7"/>
  <c r="AD226" i="7"/>
  <c r="D226" i="7"/>
  <c r="A226" i="7"/>
  <c r="AN225" i="7"/>
  <c r="AM225" i="7"/>
  <c r="AG225" i="7"/>
  <c r="AF225" i="7"/>
  <c r="AD225" i="7"/>
  <c r="D225" i="7"/>
  <c r="A225" i="7"/>
  <c r="AN224" i="7"/>
  <c r="AM224" i="7"/>
  <c r="AG224" i="7"/>
  <c r="AF224" i="7"/>
  <c r="AD224" i="7"/>
  <c r="D224" i="7"/>
  <c r="A224" i="7"/>
  <c r="A2404" i="8" s="1"/>
  <c r="AN223" i="7"/>
  <c r="AM223" i="7"/>
  <c r="AG223" i="7"/>
  <c r="AF223" i="7"/>
  <c r="AD223" i="7"/>
  <c r="D223" i="7"/>
  <c r="A223" i="7"/>
  <c r="AN222" i="7"/>
  <c r="AM222" i="7"/>
  <c r="AG222" i="7"/>
  <c r="AF222" i="7"/>
  <c r="AD222" i="7"/>
  <c r="D222" i="7"/>
  <c r="A222" i="7"/>
  <c r="AN221" i="7"/>
  <c r="AM221" i="7"/>
  <c r="AG221" i="7"/>
  <c r="AF221" i="7"/>
  <c r="AD221" i="7"/>
  <c r="D221" i="7"/>
  <c r="A221" i="7"/>
  <c r="AN220" i="7"/>
  <c r="AM220" i="7"/>
  <c r="AG220" i="7"/>
  <c r="AF220" i="7"/>
  <c r="AD220" i="7"/>
  <c r="D220" i="7"/>
  <c r="A220" i="7"/>
  <c r="AN219" i="7"/>
  <c r="AM219" i="7"/>
  <c r="AG219" i="7"/>
  <c r="AF219" i="7"/>
  <c r="AD219" i="7"/>
  <c r="D219" i="7"/>
  <c r="A219" i="7"/>
  <c r="AN218" i="7"/>
  <c r="AM218" i="7"/>
  <c r="AG218" i="7"/>
  <c r="AF218" i="7"/>
  <c r="AD218" i="7"/>
  <c r="D218" i="7"/>
  <c r="A218" i="7"/>
  <c r="AN217" i="7"/>
  <c r="AM217" i="7"/>
  <c r="AG217" i="7"/>
  <c r="AF217" i="7"/>
  <c r="AD217" i="7"/>
  <c r="D217" i="7"/>
  <c r="A217" i="7"/>
  <c r="AN216" i="7"/>
  <c r="AM216" i="7"/>
  <c r="AG216" i="7"/>
  <c r="AF216" i="7"/>
  <c r="AD216" i="7"/>
  <c r="D216" i="7"/>
  <c r="A216" i="7"/>
  <c r="AN215" i="7"/>
  <c r="AM215" i="7"/>
  <c r="AG215" i="7"/>
  <c r="AF215" i="7"/>
  <c r="AD215" i="7"/>
  <c r="D215" i="7"/>
  <c r="A215" i="7"/>
  <c r="AN214" i="7"/>
  <c r="AM214" i="7"/>
  <c r="AG214" i="7"/>
  <c r="AF214" i="7"/>
  <c r="AD214" i="7"/>
  <c r="D214" i="7"/>
  <c r="A214" i="7"/>
  <c r="AN213" i="7"/>
  <c r="AM213" i="7"/>
  <c r="AG213" i="7"/>
  <c r="AF213" i="7"/>
  <c r="AD213" i="7"/>
  <c r="D213" i="7"/>
  <c r="A213" i="7"/>
  <c r="AN212" i="7"/>
  <c r="AM212" i="7"/>
  <c r="AG212" i="7"/>
  <c r="AF212" i="7"/>
  <c r="AD212" i="7"/>
  <c r="D212" i="7"/>
  <c r="A212" i="7"/>
  <c r="AN211" i="7"/>
  <c r="AM211" i="7"/>
  <c r="AG211" i="7"/>
  <c r="AF211" i="7"/>
  <c r="AD211" i="7"/>
  <c r="D211" i="7"/>
  <c r="A211" i="7"/>
  <c r="AN210" i="7"/>
  <c r="AM210" i="7"/>
  <c r="AG210" i="7"/>
  <c r="AF210" i="7"/>
  <c r="AD210" i="7"/>
  <c r="D210" i="7"/>
  <c r="A210" i="7"/>
  <c r="AN209" i="7"/>
  <c r="AM209" i="7"/>
  <c r="AG209" i="7"/>
  <c r="AF209" i="7"/>
  <c r="AD209" i="7"/>
  <c r="D209" i="7"/>
  <c r="A209" i="7"/>
  <c r="AN208" i="7"/>
  <c r="AM208" i="7"/>
  <c r="AG208" i="7"/>
  <c r="AF208" i="7"/>
  <c r="AD208" i="7"/>
  <c r="D208" i="7"/>
  <c r="A208" i="7"/>
  <c r="AN207" i="7"/>
  <c r="AM207" i="7"/>
  <c r="AG207" i="7"/>
  <c r="AF207" i="7"/>
  <c r="AD207" i="7"/>
  <c r="D207" i="7"/>
  <c r="A207" i="7"/>
  <c r="AN206" i="7"/>
  <c r="AM206" i="7"/>
  <c r="AG206" i="7"/>
  <c r="AF206" i="7"/>
  <c r="AD206" i="7"/>
  <c r="D206" i="7"/>
  <c r="A206" i="7"/>
  <c r="AN205" i="7"/>
  <c r="AM205" i="7"/>
  <c r="AG205" i="7"/>
  <c r="AF205" i="7"/>
  <c r="AD205" i="7"/>
  <c r="D205" i="7"/>
  <c r="A205" i="7"/>
  <c r="AN204" i="7"/>
  <c r="AM204" i="7"/>
  <c r="AG204" i="7"/>
  <c r="AF204" i="7"/>
  <c r="AD204" i="7"/>
  <c r="D204" i="7"/>
  <c r="A204" i="7"/>
  <c r="AN203" i="7"/>
  <c r="AM203" i="7"/>
  <c r="AG203" i="7"/>
  <c r="AF203" i="7"/>
  <c r="AD203" i="7"/>
  <c r="D203" i="7"/>
  <c r="A203" i="7"/>
  <c r="AN202" i="7"/>
  <c r="AM202" i="7"/>
  <c r="AG202" i="7"/>
  <c r="AF202" i="7"/>
  <c r="AD202" i="7"/>
  <c r="D202" i="7"/>
  <c r="A202" i="7"/>
  <c r="AN201" i="7"/>
  <c r="AM201" i="7"/>
  <c r="AG201" i="7"/>
  <c r="AF201" i="7"/>
  <c r="AD201" i="7"/>
  <c r="D201" i="7"/>
  <c r="A201" i="7"/>
  <c r="AN200" i="7"/>
  <c r="AM200" i="7"/>
  <c r="AG200" i="7"/>
  <c r="AF200" i="7"/>
  <c r="AD200" i="7"/>
  <c r="D200" i="7"/>
  <c r="A200" i="7"/>
  <c r="AN199" i="7"/>
  <c r="AM199" i="7"/>
  <c r="AG199" i="7"/>
  <c r="AF199" i="7"/>
  <c r="AD199" i="7"/>
  <c r="D199" i="7"/>
  <c r="A199" i="7"/>
  <c r="AN198" i="7"/>
  <c r="AM198" i="7"/>
  <c r="AG198" i="7"/>
  <c r="AF198" i="7"/>
  <c r="AD198" i="7"/>
  <c r="D198" i="7"/>
  <c r="A198" i="7"/>
  <c r="AN197" i="7"/>
  <c r="AM197" i="7"/>
  <c r="AG197" i="7"/>
  <c r="AF197" i="7"/>
  <c r="AD197" i="7"/>
  <c r="D197" i="7"/>
  <c r="A197" i="7"/>
  <c r="AN196" i="7"/>
  <c r="AM196" i="7"/>
  <c r="AG196" i="7"/>
  <c r="AF196" i="7"/>
  <c r="AD196" i="7"/>
  <c r="D196" i="7"/>
  <c r="A196" i="7"/>
  <c r="AN195" i="7"/>
  <c r="AM195" i="7"/>
  <c r="AG195" i="7"/>
  <c r="AF195" i="7"/>
  <c r="AD195" i="7"/>
  <c r="D195" i="7"/>
  <c r="A195" i="7"/>
  <c r="AN194" i="7"/>
  <c r="AM194" i="7"/>
  <c r="AG194" i="7"/>
  <c r="AF194" i="7"/>
  <c r="AD194" i="7"/>
  <c r="D194" i="7"/>
  <c r="A194" i="7"/>
  <c r="AN193" i="7"/>
  <c r="AM193" i="7"/>
  <c r="AG193" i="7"/>
  <c r="AF193" i="7"/>
  <c r="AD193" i="7"/>
  <c r="D193" i="7"/>
  <c r="A193" i="7"/>
  <c r="AN192" i="7"/>
  <c r="AM192" i="7"/>
  <c r="AG192" i="7"/>
  <c r="AF192" i="7"/>
  <c r="AD192" i="7"/>
  <c r="D192" i="7"/>
  <c r="A192" i="7"/>
  <c r="AN191" i="7"/>
  <c r="AM191" i="7"/>
  <c r="AG191" i="7"/>
  <c r="AF191" i="7"/>
  <c r="AD191" i="7"/>
  <c r="D191" i="7"/>
  <c r="A191" i="7"/>
  <c r="AN190" i="7"/>
  <c r="AM190" i="7"/>
  <c r="AG190" i="7"/>
  <c r="AF190" i="7"/>
  <c r="AD190" i="7"/>
  <c r="D190" i="7"/>
  <c r="A190" i="7"/>
  <c r="AN189" i="7"/>
  <c r="AM189" i="7"/>
  <c r="AG189" i="7"/>
  <c r="AF189" i="7"/>
  <c r="AD189" i="7"/>
  <c r="D189" i="7"/>
  <c r="A189" i="7"/>
  <c r="AN188" i="7"/>
  <c r="AM188" i="7"/>
  <c r="AG188" i="7"/>
  <c r="AF188" i="7"/>
  <c r="AD188" i="7"/>
  <c r="D188" i="7"/>
  <c r="A188" i="7"/>
  <c r="AN187" i="7"/>
  <c r="AM187" i="7"/>
  <c r="AG187" i="7"/>
  <c r="AF187" i="7"/>
  <c r="AD187" i="7"/>
  <c r="D187" i="7"/>
  <c r="A187" i="7"/>
  <c r="AN186" i="7"/>
  <c r="AM186" i="7"/>
  <c r="AG186" i="7"/>
  <c r="AF186" i="7"/>
  <c r="AD186" i="7"/>
  <c r="D186" i="7"/>
  <c r="A186" i="7"/>
  <c r="AN185" i="7"/>
  <c r="AM185" i="7"/>
  <c r="AG185" i="7"/>
  <c r="AF185" i="7"/>
  <c r="AD185" i="7"/>
  <c r="D185" i="7"/>
  <c r="A185" i="7"/>
  <c r="AN184" i="7"/>
  <c r="AM184" i="7"/>
  <c r="AG184" i="7"/>
  <c r="AF184" i="7"/>
  <c r="AD184" i="7"/>
  <c r="D184" i="7"/>
  <c r="A184" i="7"/>
  <c r="AN183" i="7"/>
  <c r="AM183" i="7"/>
  <c r="AG183" i="7"/>
  <c r="AF183" i="7"/>
  <c r="AD183" i="7"/>
  <c r="D183" i="7"/>
  <c r="A183" i="7"/>
  <c r="AN182" i="7"/>
  <c r="AM182" i="7"/>
  <c r="AG182" i="7"/>
  <c r="AF182" i="7"/>
  <c r="AD182" i="7"/>
  <c r="D182" i="7"/>
  <c r="A182" i="7"/>
  <c r="AN181" i="7"/>
  <c r="AM181" i="7"/>
  <c r="AG181" i="7"/>
  <c r="AF181" i="7"/>
  <c r="AD181" i="7"/>
  <c r="D181" i="7"/>
  <c r="A181" i="7"/>
  <c r="AN180" i="7"/>
  <c r="AM180" i="7"/>
  <c r="AG180" i="7"/>
  <c r="AF180" i="7"/>
  <c r="AD180" i="7"/>
  <c r="D180" i="7"/>
  <c r="A180" i="7"/>
  <c r="AN179" i="7"/>
  <c r="AM179" i="7"/>
  <c r="AG179" i="7"/>
  <c r="AF179" i="7"/>
  <c r="AD179" i="7"/>
  <c r="D179" i="7"/>
  <c r="A179" i="7"/>
  <c r="AN178" i="7"/>
  <c r="AM178" i="7"/>
  <c r="AG178" i="7"/>
  <c r="AF178" i="7"/>
  <c r="AD178" i="7"/>
  <c r="D178" i="7"/>
  <c r="A178" i="7"/>
  <c r="AN177" i="7"/>
  <c r="AM177" i="7"/>
  <c r="AG177" i="7"/>
  <c r="AF177" i="7"/>
  <c r="AD177" i="7"/>
  <c r="D177" i="7"/>
  <c r="A177" i="7"/>
  <c r="AN176" i="7"/>
  <c r="AM176" i="7"/>
  <c r="AG176" i="7"/>
  <c r="AF176" i="7"/>
  <c r="AD176" i="7"/>
  <c r="D176" i="7"/>
  <c r="A176" i="7"/>
  <c r="AN175" i="7"/>
  <c r="AM175" i="7"/>
  <c r="AG175" i="7"/>
  <c r="AF175" i="7"/>
  <c r="AD175" i="7"/>
  <c r="D175" i="7"/>
  <c r="A175" i="7"/>
  <c r="AN174" i="7"/>
  <c r="AM174" i="7"/>
  <c r="AG174" i="7"/>
  <c r="AF174" i="7"/>
  <c r="AD174" i="7"/>
  <c r="D174" i="7"/>
  <c r="A174" i="7"/>
  <c r="AN173" i="7"/>
  <c r="AM173" i="7"/>
  <c r="AG173" i="7"/>
  <c r="AF173" i="7"/>
  <c r="AD173" i="7"/>
  <c r="D173" i="7"/>
  <c r="A173" i="7"/>
  <c r="AN172" i="7"/>
  <c r="AM172" i="7"/>
  <c r="AG172" i="7"/>
  <c r="AF172" i="7"/>
  <c r="AD172" i="7"/>
  <c r="D172" i="7"/>
  <c r="A172" i="7"/>
  <c r="AN171" i="7"/>
  <c r="AM171" i="7"/>
  <c r="AG171" i="7"/>
  <c r="AF171" i="7"/>
  <c r="AD171" i="7"/>
  <c r="D171" i="7"/>
  <c r="A171" i="7"/>
  <c r="AN170" i="7"/>
  <c r="AM170" i="7"/>
  <c r="AG170" i="7"/>
  <c r="AF170" i="7"/>
  <c r="AD170" i="7"/>
  <c r="D170" i="7"/>
  <c r="A170" i="7"/>
  <c r="AN169" i="7"/>
  <c r="AM169" i="7"/>
  <c r="AG169" i="7"/>
  <c r="AF169" i="7"/>
  <c r="AD169" i="7"/>
  <c r="D169" i="7"/>
  <c r="A169" i="7"/>
  <c r="AN168" i="7"/>
  <c r="AM168" i="7"/>
  <c r="AG168" i="7"/>
  <c r="AF168" i="7"/>
  <c r="AD168" i="7"/>
  <c r="D168" i="7"/>
  <c r="A168" i="7"/>
  <c r="AN167" i="7"/>
  <c r="AM167" i="7"/>
  <c r="AG167" i="7"/>
  <c r="AF167" i="7"/>
  <c r="AD167" i="7"/>
  <c r="D167" i="7"/>
  <c r="A167" i="7"/>
  <c r="AN166" i="7"/>
  <c r="AM166" i="7"/>
  <c r="AG166" i="7"/>
  <c r="AF166" i="7"/>
  <c r="AD166" i="7"/>
  <c r="D166" i="7"/>
  <c r="A166" i="7"/>
  <c r="AN165" i="7"/>
  <c r="AM165" i="7"/>
  <c r="AG165" i="7"/>
  <c r="AF165" i="7"/>
  <c r="AD165" i="7"/>
  <c r="D165" i="7"/>
  <c r="A165" i="7"/>
  <c r="AN164" i="7"/>
  <c r="AM164" i="7"/>
  <c r="AG164" i="7"/>
  <c r="AF164" i="7"/>
  <c r="AD164" i="7"/>
  <c r="D164" i="7"/>
  <c r="A164" i="7"/>
  <c r="AN163" i="7"/>
  <c r="AM163" i="7"/>
  <c r="AG163" i="7"/>
  <c r="AF163" i="7"/>
  <c r="AD163" i="7"/>
  <c r="D163" i="7"/>
  <c r="A163" i="7"/>
  <c r="AN162" i="7"/>
  <c r="AM162" i="7"/>
  <c r="AG162" i="7"/>
  <c r="AF162" i="7"/>
  <c r="AD162" i="7"/>
  <c r="D162" i="7"/>
  <c r="A162" i="7"/>
  <c r="AN161" i="7"/>
  <c r="AM161" i="7"/>
  <c r="AG161" i="7"/>
  <c r="AF161" i="7"/>
  <c r="AD161" i="7"/>
  <c r="D161" i="7"/>
  <c r="A161" i="7"/>
  <c r="AN160" i="7"/>
  <c r="AM160" i="7"/>
  <c r="AG160" i="7"/>
  <c r="AF160" i="7"/>
  <c r="AD160" i="7"/>
  <c r="D160" i="7"/>
  <c r="A160" i="7"/>
  <c r="AN159" i="7"/>
  <c r="AM159" i="7"/>
  <c r="AG159" i="7"/>
  <c r="AF159" i="7"/>
  <c r="AD159" i="7"/>
  <c r="D159" i="7"/>
  <c r="A159" i="7"/>
  <c r="AN158" i="7"/>
  <c r="AM158" i="7"/>
  <c r="AG158" i="7"/>
  <c r="AF158" i="7"/>
  <c r="AD158" i="7"/>
  <c r="D158" i="7"/>
  <c r="A158" i="7"/>
  <c r="AN157" i="7"/>
  <c r="AM157" i="7"/>
  <c r="AG157" i="7"/>
  <c r="AF157" i="7"/>
  <c r="AD157" i="7"/>
  <c r="D157" i="7"/>
  <c r="A157" i="7"/>
  <c r="AN156" i="7"/>
  <c r="AM156" i="7"/>
  <c r="AG156" i="7"/>
  <c r="AF156" i="7"/>
  <c r="AD156" i="7"/>
  <c r="D156" i="7"/>
  <c r="A156" i="7"/>
  <c r="AN155" i="7"/>
  <c r="AM155" i="7"/>
  <c r="AG155" i="7"/>
  <c r="AF155" i="7"/>
  <c r="AD155" i="7"/>
  <c r="D155" i="7"/>
  <c r="A155" i="7"/>
  <c r="AN154" i="7"/>
  <c r="AM154" i="7"/>
  <c r="AG154" i="7"/>
  <c r="AF154" i="7"/>
  <c r="AD154" i="7"/>
  <c r="D154" i="7"/>
  <c r="A154" i="7"/>
  <c r="AN153" i="7"/>
  <c r="AM153" i="7"/>
  <c r="AG153" i="7"/>
  <c r="AF153" i="7"/>
  <c r="AD153" i="7"/>
  <c r="D153" i="7"/>
  <c r="A153" i="7"/>
  <c r="AN152" i="7"/>
  <c r="AM152" i="7"/>
  <c r="AG152" i="7"/>
  <c r="AF152" i="7"/>
  <c r="AD152" i="7"/>
  <c r="D152" i="7"/>
  <c r="A152" i="7"/>
  <c r="AN151" i="7"/>
  <c r="AM151" i="7"/>
  <c r="AG151" i="7"/>
  <c r="AF151" i="7"/>
  <c r="AD151" i="7"/>
  <c r="D151" i="7"/>
  <c r="A151" i="7"/>
  <c r="AN150" i="7"/>
  <c r="AM150" i="7"/>
  <c r="AG150" i="7"/>
  <c r="AF150" i="7"/>
  <c r="AD150" i="7"/>
  <c r="D150" i="7"/>
  <c r="A150" i="7"/>
  <c r="AN149" i="7"/>
  <c r="AM149" i="7"/>
  <c r="AG149" i="7"/>
  <c r="AF149" i="7"/>
  <c r="AD149" i="7"/>
  <c r="D149" i="7"/>
  <c r="A149" i="7"/>
  <c r="AN148" i="7"/>
  <c r="AM148" i="7"/>
  <c r="AG148" i="7"/>
  <c r="AF148" i="7"/>
  <c r="AD148" i="7"/>
  <c r="D148" i="7"/>
  <c r="A148" i="7"/>
  <c r="AN147" i="7"/>
  <c r="AM147" i="7"/>
  <c r="AG147" i="7"/>
  <c r="AF147" i="7"/>
  <c r="AD147" i="7"/>
  <c r="D147" i="7"/>
  <c r="A147" i="7"/>
  <c r="AN146" i="7"/>
  <c r="AM146" i="7"/>
  <c r="AG146" i="7"/>
  <c r="AF146" i="7"/>
  <c r="AD146" i="7"/>
  <c r="D146" i="7"/>
  <c r="A146" i="7"/>
  <c r="AN145" i="7"/>
  <c r="AM145" i="7"/>
  <c r="AG145" i="7"/>
  <c r="AF145" i="7"/>
  <c r="AD145" i="7"/>
  <c r="D145" i="7"/>
  <c r="A145" i="7"/>
  <c r="AN144" i="7"/>
  <c r="AM144" i="7"/>
  <c r="AG144" i="7"/>
  <c r="AF144" i="7"/>
  <c r="AD144" i="7"/>
  <c r="D144" i="7"/>
  <c r="A144" i="7"/>
  <c r="AN143" i="7"/>
  <c r="AM143" i="7"/>
  <c r="AG143" i="7"/>
  <c r="AF143" i="7"/>
  <c r="AD143" i="7"/>
  <c r="D143" i="7"/>
  <c r="A143" i="7"/>
  <c r="AN142" i="7"/>
  <c r="AM142" i="7"/>
  <c r="AG142" i="7"/>
  <c r="AF142" i="7"/>
  <c r="AD142" i="7"/>
  <c r="D142" i="7"/>
  <c r="A142" i="7"/>
  <c r="AN141" i="7"/>
  <c r="AM141" i="7"/>
  <c r="AG141" i="7"/>
  <c r="AF141" i="7"/>
  <c r="AD141" i="7"/>
  <c r="D141" i="7"/>
  <c r="A141" i="7"/>
  <c r="AN140" i="7"/>
  <c r="AM140" i="7"/>
  <c r="AG140" i="7"/>
  <c r="AF140" i="7"/>
  <c r="AD140" i="7"/>
  <c r="D140" i="7"/>
  <c r="A140" i="7"/>
  <c r="AN139" i="7"/>
  <c r="AM139" i="7"/>
  <c r="AG139" i="7"/>
  <c r="AF139" i="7"/>
  <c r="AD139" i="7"/>
  <c r="D139" i="7"/>
  <c r="A139" i="7"/>
  <c r="AN138" i="7"/>
  <c r="AM138" i="7"/>
  <c r="AG138" i="7"/>
  <c r="AF138" i="7"/>
  <c r="AD138" i="7"/>
  <c r="D138" i="7"/>
  <c r="A138" i="7"/>
  <c r="AN137" i="7"/>
  <c r="AM137" i="7"/>
  <c r="AG137" i="7"/>
  <c r="AF137" i="7"/>
  <c r="AD137" i="7"/>
  <c r="D137" i="7"/>
  <c r="A137" i="7"/>
  <c r="AN136" i="7"/>
  <c r="AM136" i="7"/>
  <c r="AG136" i="7"/>
  <c r="AF136" i="7"/>
  <c r="AD136" i="7"/>
  <c r="D136" i="7"/>
  <c r="A136" i="7"/>
  <c r="AN135" i="7"/>
  <c r="AM135" i="7"/>
  <c r="AG135" i="7"/>
  <c r="AF135" i="7"/>
  <c r="AD135" i="7"/>
  <c r="D135" i="7"/>
  <c r="A135" i="7"/>
  <c r="AN134" i="7"/>
  <c r="AM134" i="7"/>
  <c r="AG134" i="7"/>
  <c r="AF134" i="7"/>
  <c r="AD134" i="7"/>
  <c r="D134" i="7"/>
  <c r="A134" i="7"/>
  <c r="AN133" i="7"/>
  <c r="AM133" i="7"/>
  <c r="AG133" i="7"/>
  <c r="AF133" i="7"/>
  <c r="AD133" i="7"/>
  <c r="D133" i="7"/>
  <c r="A133" i="7"/>
  <c r="AN132" i="7"/>
  <c r="AM132" i="7"/>
  <c r="AG132" i="7"/>
  <c r="AF132" i="7"/>
  <c r="AD132" i="7"/>
  <c r="D132" i="7"/>
  <c r="A132" i="7"/>
  <c r="AN131" i="7"/>
  <c r="AM131" i="7"/>
  <c r="AG131" i="7"/>
  <c r="AF131" i="7"/>
  <c r="AD131" i="7"/>
  <c r="D131" i="7"/>
  <c r="A131" i="7"/>
  <c r="AN130" i="7"/>
  <c r="AM130" i="7"/>
  <c r="AG130" i="7"/>
  <c r="AF130" i="7"/>
  <c r="AD130" i="7"/>
  <c r="D130" i="7"/>
  <c r="A130" i="7"/>
  <c r="AN129" i="7"/>
  <c r="AM129" i="7"/>
  <c r="AG129" i="7"/>
  <c r="AF129" i="7"/>
  <c r="AD129" i="7"/>
  <c r="D129" i="7"/>
  <c r="A129" i="7"/>
  <c r="AN128" i="7"/>
  <c r="AM128" i="7"/>
  <c r="AG128" i="7"/>
  <c r="AF128" i="7"/>
  <c r="AD128" i="7"/>
  <c r="D128" i="7"/>
  <c r="A128" i="7"/>
  <c r="AN127" i="7"/>
  <c r="AM127" i="7"/>
  <c r="AG127" i="7"/>
  <c r="AF127" i="7"/>
  <c r="AD127" i="7"/>
  <c r="D127" i="7"/>
  <c r="A127" i="7"/>
  <c r="AN126" i="7"/>
  <c r="AM126" i="7"/>
  <c r="AG126" i="7"/>
  <c r="AF126" i="7"/>
  <c r="AD126" i="7"/>
  <c r="D126" i="7"/>
  <c r="A126" i="7"/>
  <c r="AN125" i="7"/>
  <c r="AM125" i="7"/>
  <c r="AG125" i="7"/>
  <c r="AF125" i="7"/>
  <c r="AD125" i="7"/>
  <c r="D125" i="7"/>
  <c r="A125" i="7"/>
  <c r="AN124" i="7"/>
  <c r="AM124" i="7"/>
  <c r="AG124" i="7"/>
  <c r="AF124" i="7"/>
  <c r="AD124" i="7"/>
  <c r="D124" i="7"/>
  <c r="A124" i="7"/>
  <c r="AN123" i="7"/>
  <c r="AM123" i="7"/>
  <c r="AG123" i="7"/>
  <c r="AF123" i="7"/>
  <c r="AD123" i="7"/>
  <c r="D123" i="7"/>
  <c r="A123" i="7"/>
  <c r="AN122" i="7"/>
  <c r="AM122" i="7"/>
  <c r="AG122" i="7"/>
  <c r="AF122" i="7"/>
  <c r="AD122" i="7"/>
  <c r="D122" i="7"/>
  <c r="A122" i="7"/>
  <c r="AN121" i="7"/>
  <c r="AM121" i="7"/>
  <c r="AG121" i="7"/>
  <c r="AF121" i="7"/>
  <c r="AD121" i="7"/>
  <c r="D121" i="7"/>
  <c r="A121" i="7"/>
  <c r="AN120" i="7"/>
  <c r="AM120" i="7"/>
  <c r="AG120" i="7"/>
  <c r="AF120" i="7"/>
  <c r="AD120" i="7"/>
  <c r="D120" i="7"/>
  <c r="A120" i="7"/>
  <c r="AN119" i="7"/>
  <c r="AM119" i="7"/>
  <c r="AG119" i="7"/>
  <c r="AF119" i="7"/>
  <c r="AD119" i="7"/>
  <c r="D119" i="7"/>
  <c r="A119" i="7"/>
  <c r="AN118" i="7"/>
  <c r="AM118" i="7"/>
  <c r="AG118" i="7"/>
  <c r="AF118" i="7"/>
  <c r="AD118" i="7"/>
  <c r="D118" i="7"/>
  <c r="A118" i="7"/>
  <c r="AN117" i="7"/>
  <c r="AM117" i="7"/>
  <c r="AG117" i="7"/>
  <c r="AF117" i="7"/>
  <c r="AD117" i="7"/>
  <c r="D117" i="7"/>
  <c r="A117" i="7"/>
  <c r="AN116" i="7"/>
  <c r="AM116" i="7"/>
  <c r="AG116" i="7"/>
  <c r="AF116" i="7"/>
  <c r="AD116" i="7"/>
  <c r="D116" i="7"/>
  <c r="A116" i="7"/>
  <c r="AN115" i="7"/>
  <c r="AM115" i="7"/>
  <c r="AG115" i="7"/>
  <c r="AF115" i="7"/>
  <c r="AD115" i="7"/>
  <c r="D115" i="7"/>
  <c r="A115" i="7"/>
  <c r="AN114" i="7"/>
  <c r="AM114" i="7"/>
  <c r="AG114" i="7"/>
  <c r="AF114" i="7"/>
  <c r="AD114" i="7"/>
  <c r="D114" i="7"/>
  <c r="A114" i="7"/>
  <c r="AN113" i="7"/>
  <c r="AM113" i="7"/>
  <c r="AG113" i="7"/>
  <c r="AF113" i="7"/>
  <c r="AD113" i="7"/>
  <c r="D113" i="7"/>
  <c r="A113" i="7"/>
  <c r="AN112" i="7"/>
  <c r="AM112" i="7"/>
  <c r="AG112" i="7"/>
  <c r="AF112" i="7"/>
  <c r="AD112" i="7"/>
  <c r="D112" i="7"/>
  <c r="A112" i="7"/>
  <c r="AN111" i="7"/>
  <c r="AM111" i="7"/>
  <c r="AG111" i="7"/>
  <c r="AF111" i="7"/>
  <c r="AD111" i="7"/>
  <c r="D111" i="7"/>
  <c r="A111" i="7"/>
  <c r="AN110" i="7"/>
  <c r="AM110" i="7"/>
  <c r="AG110" i="7"/>
  <c r="AF110" i="7"/>
  <c r="AD110" i="7"/>
  <c r="D110" i="7"/>
  <c r="A110" i="7"/>
  <c r="AN109" i="7"/>
  <c r="AM109" i="7"/>
  <c r="AG109" i="7"/>
  <c r="AF109" i="7"/>
  <c r="AD109" i="7"/>
  <c r="D109" i="7"/>
  <c r="A109" i="7"/>
  <c r="AN108" i="7"/>
  <c r="AM108" i="7"/>
  <c r="AG108" i="7"/>
  <c r="AF108" i="7"/>
  <c r="AD108" i="7"/>
  <c r="D108" i="7"/>
  <c r="A108" i="7"/>
  <c r="AN107" i="7"/>
  <c r="AM107" i="7"/>
  <c r="AG107" i="7"/>
  <c r="AF107" i="7"/>
  <c r="AD107" i="7"/>
  <c r="D107" i="7"/>
  <c r="A107" i="7"/>
  <c r="AN106" i="7"/>
  <c r="AM106" i="7"/>
  <c r="AG106" i="7"/>
  <c r="AF106" i="7"/>
  <c r="AD106" i="7"/>
  <c r="D106" i="7"/>
  <c r="A106" i="7"/>
  <c r="AN105" i="7"/>
  <c r="AM105" i="7"/>
  <c r="AG105" i="7"/>
  <c r="AF105" i="7"/>
  <c r="AD105" i="7"/>
  <c r="D105" i="7"/>
  <c r="A105" i="7"/>
  <c r="AN104" i="7"/>
  <c r="AM104" i="7"/>
  <c r="AG104" i="7"/>
  <c r="AF104" i="7"/>
  <c r="AD104" i="7"/>
  <c r="D104" i="7"/>
  <c r="A104" i="7"/>
  <c r="AN103" i="7"/>
  <c r="AM103" i="7"/>
  <c r="AG103" i="7"/>
  <c r="AF103" i="7"/>
  <c r="AD103" i="7"/>
  <c r="D103" i="7"/>
  <c r="A103" i="7"/>
  <c r="AN102" i="7"/>
  <c r="AM102" i="7"/>
  <c r="AG102" i="7"/>
  <c r="AF102" i="7"/>
  <c r="AD102" i="7"/>
  <c r="D102" i="7"/>
  <c r="A102" i="7"/>
  <c r="AN101" i="7"/>
  <c r="AM101" i="7"/>
  <c r="AG101" i="7"/>
  <c r="AF101" i="7"/>
  <c r="AD101" i="7"/>
  <c r="D101" i="7"/>
  <c r="A101" i="7"/>
  <c r="AN100" i="7"/>
  <c r="AM100" i="7"/>
  <c r="AG100" i="7"/>
  <c r="AF100" i="7"/>
  <c r="AD100" i="7"/>
  <c r="D100" i="7"/>
  <c r="A100" i="7"/>
  <c r="AN99" i="7"/>
  <c r="AM99" i="7"/>
  <c r="AG99" i="7"/>
  <c r="AF99" i="7"/>
  <c r="AD99" i="7"/>
  <c r="D99" i="7"/>
  <c r="A99" i="7"/>
  <c r="AN98" i="7"/>
  <c r="AM98" i="7"/>
  <c r="AG98" i="7"/>
  <c r="AF98" i="7"/>
  <c r="AD98" i="7"/>
  <c r="D98" i="7"/>
  <c r="A98" i="7"/>
  <c r="AN97" i="7"/>
  <c r="AM97" i="7"/>
  <c r="AG97" i="7"/>
  <c r="AF97" i="7"/>
  <c r="AD97" i="7"/>
  <c r="D97" i="7"/>
  <c r="A97" i="7"/>
  <c r="AN96" i="7"/>
  <c r="AM96" i="7"/>
  <c r="AG96" i="7"/>
  <c r="AF96" i="7"/>
  <c r="AD96" i="7"/>
  <c r="D96" i="7"/>
  <c r="A96" i="7"/>
  <c r="AN95" i="7"/>
  <c r="AM95" i="7"/>
  <c r="AG95" i="7"/>
  <c r="AF95" i="7"/>
  <c r="AD95" i="7"/>
  <c r="D95" i="7"/>
  <c r="A95" i="7"/>
  <c r="AN94" i="7"/>
  <c r="AM94" i="7"/>
  <c r="AG94" i="7"/>
  <c r="AF94" i="7"/>
  <c r="AD94" i="7"/>
  <c r="D94" i="7"/>
  <c r="A94" i="7"/>
  <c r="AN93" i="7"/>
  <c r="AM93" i="7"/>
  <c r="AG93" i="7"/>
  <c r="AF93" i="7"/>
  <c r="AD93" i="7"/>
  <c r="D93" i="7"/>
  <c r="A93" i="7"/>
  <c r="AN92" i="7"/>
  <c r="AM92" i="7"/>
  <c r="AG92" i="7"/>
  <c r="AF92" i="7"/>
  <c r="AD92" i="7"/>
  <c r="D92" i="7"/>
  <c r="A92" i="7"/>
  <c r="AN91" i="7"/>
  <c r="AM91" i="7"/>
  <c r="AG91" i="7"/>
  <c r="AF91" i="7"/>
  <c r="AD91" i="7"/>
  <c r="D91" i="7"/>
  <c r="A91" i="7"/>
  <c r="AN90" i="7"/>
  <c r="AM90" i="7"/>
  <c r="AG90" i="7"/>
  <c r="AF90" i="7"/>
  <c r="AD90" i="7"/>
  <c r="D90" i="7"/>
  <c r="A90" i="7"/>
  <c r="AN89" i="7"/>
  <c r="AM89" i="7"/>
  <c r="AG89" i="7"/>
  <c r="AF89" i="7"/>
  <c r="AD89" i="7"/>
  <c r="D89" i="7"/>
  <c r="A89" i="7"/>
  <c r="AN88" i="7"/>
  <c r="AM88" i="7"/>
  <c r="AG88" i="7"/>
  <c r="AF88" i="7"/>
  <c r="AD88" i="7"/>
  <c r="D88" i="7"/>
  <c r="A88" i="7"/>
  <c r="AN87" i="7"/>
  <c r="AM87" i="7"/>
  <c r="AG87" i="7"/>
  <c r="AF87" i="7"/>
  <c r="AD87" i="7"/>
  <c r="D87" i="7"/>
  <c r="A87" i="7"/>
  <c r="AN86" i="7"/>
  <c r="AM86" i="7"/>
  <c r="AG86" i="7"/>
  <c r="AF86" i="7"/>
  <c r="AD86" i="7"/>
  <c r="D86" i="7"/>
  <c r="A86" i="7"/>
  <c r="AN85" i="7"/>
  <c r="AM85" i="7"/>
  <c r="AG85" i="7"/>
  <c r="AF85" i="7"/>
  <c r="AD85" i="7"/>
  <c r="D85" i="7"/>
  <c r="A85" i="7"/>
  <c r="AN84" i="7"/>
  <c r="AM84" i="7"/>
  <c r="AG84" i="7"/>
  <c r="AF84" i="7"/>
  <c r="AD84" i="7"/>
  <c r="D84" i="7"/>
  <c r="A84" i="7"/>
  <c r="AN83" i="7"/>
  <c r="AM83" i="7"/>
  <c r="AG83" i="7"/>
  <c r="AF83" i="7"/>
  <c r="AD83" i="7"/>
  <c r="D83" i="7"/>
  <c r="A83" i="7"/>
  <c r="AN82" i="7"/>
  <c r="AM82" i="7"/>
  <c r="AG82" i="7"/>
  <c r="AF82" i="7"/>
  <c r="AD82" i="7"/>
  <c r="D82" i="7"/>
  <c r="A82" i="7"/>
  <c r="AN81" i="7"/>
  <c r="AM81" i="7"/>
  <c r="AG81" i="7"/>
  <c r="AF81" i="7"/>
  <c r="AD81" i="7"/>
  <c r="D81" i="7"/>
  <c r="A81" i="7"/>
  <c r="AN80" i="7"/>
  <c r="AM80" i="7"/>
  <c r="AG80" i="7"/>
  <c r="AF80" i="7"/>
  <c r="AD80" i="7"/>
  <c r="D80" i="7"/>
  <c r="A80" i="7"/>
  <c r="AN79" i="7"/>
  <c r="AM79" i="7"/>
  <c r="AG79" i="7"/>
  <c r="AF79" i="7"/>
  <c r="AD79" i="7"/>
  <c r="D79" i="7"/>
  <c r="A79" i="7"/>
  <c r="AN78" i="7"/>
  <c r="AM78" i="7"/>
  <c r="AG78" i="7"/>
  <c r="AF78" i="7"/>
  <c r="AD78" i="7"/>
  <c r="D78" i="7"/>
  <c r="A78" i="7"/>
  <c r="AN77" i="7"/>
  <c r="AM77" i="7"/>
  <c r="AG77" i="7"/>
  <c r="AF77" i="7"/>
  <c r="AD77" i="7"/>
  <c r="D77" i="7"/>
  <c r="A77" i="7"/>
  <c r="AN76" i="7"/>
  <c r="AM76" i="7"/>
  <c r="AG76" i="7"/>
  <c r="AF76" i="7"/>
  <c r="AD76" i="7"/>
  <c r="D76" i="7"/>
  <c r="A76" i="7"/>
  <c r="AN75" i="7"/>
  <c r="AM75" i="7"/>
  <c r="AG75" i="7"/>
  <c r="AF75" i="7"/>
  <c r="AD75" i="7"/>
  <c r="D75" i="7"/>
  <c r="A75" i="7"/>
  <c r="AN74" i="7"/>
  <c r="AM74" i="7"/>
  <c r="AG74" i="7"/>
  <c r="AF74" i="7"/>
  <c r="AD74" i="7"/>
  <c r="D74" i="7"/>
  <c r="A74" i="7"/>
  <c r="AN73" i="7"/>
  <c r="AM73" i="7"/>
  <c r="AG73" i="7"/>
  <c r="AF73" i="7"/>
  <c r="AD73" i="7"/>
  <c r="D73" i="7"/>
  <c r="A73" i="7"/>
  <c r="AN72" i="7"/>
  <c r="AM72" i="7"/>
  <c r="AG72" i="7"/>
  <c r="AF72" i="7"/>
  <c r="AD72" i="7"/>
  <c r="D72" i="7"/>
  <c r="A72" i="7"/>
  <c r="AN71" i="7"/>
  <c r="AM71" i="7"/>
  <c r="AG71" i="7"/>
  <c r="AF71" i="7"/>
  <c r="AD71" i="7"/>
  <c r="D71" i="7"/>
  <c r="A71" i="7"/>
  <c r="AN70" i="7"/>
  <c r="AM70" i="7"/>
  <c r="AG70" i="7"/>
  <c r="AF70" i="7"/>
  <c r="AD70" i="7"/>
  <c r="D70" i="7"/>
  <c r="A70" i="7"/>
  <c r="AN69" i="7"/>
  <c r="AM69" i="7"/>
  <c r="AG69" i="7"/>
  <c r="AF69" i="7"/>
  <c r="AD69" i="7"/>
  <c r="D69" i="7"/>
  <c r="A69" i="7"/>
  <c r="AN68" i="7"/>
  <c r="AM68" i="7"/>
  <c r="AG68" i="7"/>
  <c r="AF68" i="7"/>
  <c r="AD68" i="7"/>
  <c r="D68" i="7"/>
  <c r="A68" i="7"/>
  <c r="AN67" i="7"/>
  <c r="AM67" i="7"/>
  <c r="AG67" i="7"/>
  <c r="AF67" i="7"/>
  <c r="AD67" i="7"/>
  <c r="D67" i="7"/>
  <c r="A67" i="7"/>
  <c r="AN66" i="7"/>
  <c r="AM66" i="7"/>
  <c r="AG66" i="7"/>
  <c r="AF66" i="7"/>
  <c r="AD66" i="7"/>
  <c r="D66" i="7"/>
  <c r="A66" i="7"/>
  <c r="AN65" i="7"/>
  <c r="AM65" i="7"/>
  <c r="AG65" i="7"/>
  <c r="AF65" i="7"/>
  <c r="AD65" i="7"/>
  <c r="D65" i="7"/>
  <c r="A65" i="7"/>
  <c r="AN64" i="7"/>
  <c r="AM64" i="7"/>
  <c r="AG64" i="7"/>
  <c r="AF64" i="7"/>
  <c r="AD64" i="7"/>
  <c r="D64" i="7"/>
  <c r="A64" i="7"/>
  <c r="AN63" i="7"/>
  <c r="AM63" i="7"/>
  <c r="AG63" i="7"/>
  <c r="AF63" i="7"/>
  <c r="AD63" i="7"/>
  <c r="D63" i="7"/>
  <c r="A63" i="7"/>
  <c r="AN62" i="7"/>
  <c r="AM62" i="7"/>
  <c r="AG62" i="7"/>
  <c r="AF62" i="7"/>
  <c r="AD62" i="7"/>
  <c r="D62" i="7"/>
  <c r="A62" i="7"/>
  <c r="AN61" i="7"/>
  <c r="AM61" i="7"/>
  <c r="AG61" i="7"/>
  <c r="AF61" i="7"/>
  <c r="AD61" i="7"/>
  <c r="D61" i="7"/>
  <c r="A61" i="7"/>
  <c r="AN60" i="7"/>
  <c r="AM60" i="7"/>
  <c r="AG60" i="7"/>
  <c r="AF60" i="7"/>
  <c r="AD60" i="7"/>
  <c r="D60" i="7"/>
  <c r="A60" i="7"/>
  <c r="AN59" i="7"/>
  <c r="AM59" i="7"/>
  <c r="AG59" i="7"/>
  <c r="AF59" i="7"/>
  <c r="AD59" i="7"/>
  <c r="D59" i="7"/>
  <c r="A59" i="7"/>
  <c r="AN58" i="7"/>
  <c r="AM58" i="7"/>
  <c r="AG58" i="7"/>
  <c r="AF58" i="7"/>
  <c r="AD58" i="7"/>
  <c r="D58" i="7"/>
  <c r="A58" i="7"/>
  <c r="AN57" i="7"/>
  <c r="AM57" i="7"/>
  <c r="AG57" i="7"/>
  <c r="AF57" i="7"/>
  <c r="AD57" i="7"/>
  <c r="D57" i="7"/>
  <c r="A57" i="7"/>
  <c r="AN56" i="7"/>
  <c r="AM56" i="7"/>
  <c r="AG56" i="7"/>
  <c r="AF56" i="7"/>
  <c r="AD56" i="7"/>
  <c r="D56" i="7"/>
  <c r="A56" i="7"/>
  <c r="AN55" i="7"/>
  <c r="AM55" i="7"/>
  <c r="AG55" i="7"/>
  <c r="AF55" i="7"/>
  <c r="AD55" i="7"/>
  <c r="D55" i="7"/>
  <c r="A55" i="7"/>
  <c r="AN54" i="7"/>
  <c r="AM54" i="7"/>
  <c r="AG54" i="7"/>
  <c r="AF54" i="7"/>
  <c r="AD54" i="7"/>
  <c r="D54" i="7"/>
  <c r="A54" i="7"/>
  <c r="AN53" i="7"/>
  <c r="AM53" i="7"/>
  <c r="AG53" i="7"/>
  <c r="AF53" i="7"/>
  <c r="AD53" i="7"/>
  <c r="D53" i="7"/>
  <c r="A53" i="7"/>
  <c r="AN52" i="7"/>
  <c r="AM52" i="7"/>
  <c r="AG52" i="7"/>
  <c r="AF52" i="7"/>
  <c r="AD52" i="7"/>
  <c r="D52" i="7"/>
  <c r="A52" i="7"/>
  <c r="AN51" i="7"/>
  <c r="AM51" i="7"/>
  <c r="AG51" i="7"/>
  <c r="AF51" i="7"/>
  <c r="AD51" i="7"/>
  <c r="D51" i="7"/>
  <c r="A51" i="7"/>
  <c r="AN50" i="7"/>
  <c r="AM50" i="7"/>
  <c r="AG50" i="7"/>
  <c r="AF50" i="7"/>
  <c r="AD50" i="7"/>
  <c r="D50" i="7"/>
  <c r="A50" i="7"/>
  <c r="AN49" i="7"/>
  <c r="AM49" i="7"/>
  <c r="AG49" i="7"/>
  <c r="AF49" i="7"/>
  <c r="AD49" i="7"/>
  <c r="D49" i="7"/>
  <c r="A49" i="7"/>
  <c r="AN48" i="7"/>
  <c r="AM48" i="7"/>
  <c r="AG48" i="7"/>
  <c r="AF48" i="7"/>
  <c r="AD48" i="7"/>
  <c r="D48" i="7"/>
  <c r="A48" i="7"/>
  <c r="AN47" i="7"/>
  <c r="AM47" i="7"/>
  <c r="AG47" i="7"/>
  <c r="AF47" i="7"/>
  <c r="AD47" i="7"/>
  <c r="D47" i="7"/>
  <c r="A47" i="7"/>
  <c r="AN46" i="7"/>
  <c r="AM46" i="7"/>
  <c r="AG46" i="7"/>
  <c r="AF46" i="7"/>
  <c r="AD46" i="7"/>
  <c r="D46" i="7"/>
  <c r="A46" i="7"/>
  <c r="AN45" i="7"/>
  <c r="AM45" i="7"/>
  <c r="AG45" i="7"/>
  <c r="AF45" i="7"/>
  <c r="AD45" i="7"/>
  <c r="D45" i="7"/>
  <c r="A45" i="7"/>
  <c r="AN44" i="7"/>
  <c r="AM44" i="7"/>
  <c r="AG44" i="7"/>
  <c r="AF44" i="7"/>
  <c r="AD44" i="7"/>
  <c r="D44" i="7"/>
  <c r="A44" i="7"/>
  <c r="AN43" i="7"/>
  <c r="AM43" i="7"/>
  <c r="AG43" i="7"/>
  <c r="AF43" i="7"/>
  <c r="AD43" i="7"/>
  <c r="D43" i="7"/>
  <c r="A43" i="7"/>
  <c r="AN42" i="7"/>
  <c r="AM42" i="7"/>
  <c r="AG42" i="7"/>
  <c r="AF42" i="7"/>
  <c r="AD42" i="7"/>
  <c r="D42" i="7"/>
  <c r="A42" i="7"/>
  <c r="AN41" i="7"/>
  <c r="AM41" i="7"/>
  <c r="AG41" i="7"/>
  <c r="AF41" i="7"/>
  <c r="AD41" i="7"/>
  <c r="D41" i="7"/>
  <c r="A41" i="7"/>
  <c r="AN40" i="7"/>
  <c r="AM40" i="7"/>
  <c r="AG40" i="7"/>
  <c r="AF40" i="7"/>
  <c r="AD40" i="7"/>
  <c r="D40" i="7"/>
  <c r="A40" i="7"/>
  <c r="AN39" i="7"/>
  <c r="AM39" i="7"/>
  <c r="AG39" i="7"/>
  <c r="AF39" i="7"/>
  <c r="AD39" i="7"/>
  <c r="D39" i="7"/>
  <c r="A39" i="7"/>
  <c r="AN38" i="7"/>
  <c r="AM38" i="7"/>
  <c r="AG38" i="7"/>
  <c r="AF38" i="7"/>
  <c r="AD38" i="7"/>
  <c r="D38" i="7"/>
  <c r="A38" i="7"/>
  <c r="AN37" i="7"/>
  <c r="AM37" i="7"/>
  <c r="AG37" i="7"/>
  <c r="AF37" i="7"/>
  <c r="AD37" i="7"/>
  <c r="D37" i="7"/>
  <c r="A37" i="7"/>
  <c r="AN36" i="7"/>
  <c r="AM36" i="7"/>
  <c r="AG36" i="7"/>
  <c r="AF36" i="7"/>
  <c r="AD36" i="7"/>
  <c r="D36" i="7"/>
  <c r="A36" i="7"/>
  <c r="AN35" i="7"/>
  <c r="AM35" i="7"/>
  <c r="AG35" i="7"/>
  <c r="AF35" i="7"/>
  <c r="AD35" i="7"/>
  <c r="D35" i="7"/>
  <c r="A35" i="7"/>
  <c r="AN34" i="7"/>
  <c r="AM34" i="7"/>
  <c r="AG34" i="7"/>
  <c r="AF34" i="7"/>
  <c r="AD34" i="7"/>
  <c r="D34" i="7"/>
  <c r="A34" i="7"/>
  <c r="AN33" i="7"/>
  <c r="AM33" i="7"/>
  <c r="AG33" i="7"/>
  <c r="AF33" i="7"/>
  <c r="AD33" i="7"/>
  <c r="D33" i="7"/>
  <c r="A33" i="7"/>
  <c r="AN32" i="7"/>
  <c r="AM32" i="7"/>
  <c r="AG32" i="7"/>
  <c r="AF32" i="7"/>
  <c r="AD32" i="7"/>
  <c r="D32" i="7"/>
  <c r="A32" i="7"/>
  <c r="AN31" i="7"/>
  <c r="AM31" i="7"/>
  <c r="AG31" i="7"/>
  <c r="AF31" i="7"/>
  <c r="AD31" i="7"/>
  <c r="D31" i="7"/>
  <c r="A31" i="7"/>
  <c r="AN30" i="7"/>
  <c r="AM30" i="7"/>
  <c r="AG30" i="7"/>
  <c r="AF30" i="7"/>
  <c r="AD30" i="7"/>
  <c r="D30" i="7"/>
  <c r="A30" i="7"/>
  <c r="AN29" i="7"/>
  <c r="AM29" i="7"/>
  <c r="AG29" i="7"/>
  <c r="AF29" i="7"/>
  <c r="AD29" i="7"/>
  <c r="D29" i="7"/>
  <c r="A29" i="7"/>
  <c r="AN28" i="7"/>
  <c r="AM28" i="7"/>
  <c r="AG28" i="7"/>
  <c r="AF28" i="7"/>
  <c r="AD28" i="7"/>
  <c r="D28" i="7"/>
  <c r="A28" i="7"/>
  <c r="AN27" i="7"/>
  <c r="AM27" i="7"/>
  <c r="AG27" i="7"/>
  <c r="AF27" i="7"/>
  <c r="AD27" i="7"/>
  <c r="D27" i="7"/>
  <c r="A27" i="7"/>
  <c r="C27" i="7" s="1"/>
  <c r="AN26" i="7"/>
  <c r="AM26" i="7"/>
  <c r="AG26" i="7"/>
  <c r="AF26" i="7"/>
  <c r="AD26" i="7"/>
  <c r="D26" i="7"/>
  <c r="A26" i="7"/>
  <c r="AN25" i="7"/>
  <c r="AM25" i="7"/>
  <c r="AG25" i="7"/>
  <c r="AF25" i="7"/>
  <c r="AD25" i="7"/>
  <c r="D25" i="7"/>
  <c r="A25" i="7"/>
  <c r="AN24" i="7"/>
  <c r="AM24" i="7"/>
  <c r="AG24" i="7"/>
  <c r="AF24" i="7"/>
  <c r="AD24" i="7"/>
  <c r="D24" i="7"/>
  <c r="A24" i="7"/>
  <c r="AN23" i="7"/>
  <c r="AM23" i="7"/>
  <c r="AG23" i="7"/>
  <c r="AF23" i="7"/>
  <c r="AD23" i="7"/>
  <c r="D23" i="7"/>
  <c r="A23" i="7"/>
  <c r="AN22" i="7"/>
  <c r="AM22" i="7"/>
  <c r="AG22" i="7"/>
  <c r="AF22" i="7"/>
  <c r="AD22" i="7"/>
  <c r="D22" i="7"/>
  <c r="A22" i="7"/>
  <c r="AN21" i="7"/>
  <c r="AM21" i="7"/>
  <c r="AG21" i="7"/>
  <c r="AF21" i="7"/>
  <c r="AD21" i="7"/>
  <c r="D21" i="7"/>
  <c r="A21" i="7"/>
  <c r="AN20" i="7"/>
  <c r="AM20" i="7"/>
  <c r="AG20" i="7"/>
  <c r="AF20" i="7"/>
  <c r="AD20" i="7"/>
  <c r="D20" i="7"/>
  <c r="A20" i="7"/>
  <c r="AN19" i="7"/>
  <c r="AM19" i="7"/>
  <c r="AG19" i="7"/>
  <c r="AF19" i="7"/>
  <c r="AD19" i="7"/>
  <c r="D19" i="7"/>
  <c r="A19" i="7"/>
  <c r="AN18" i="7"/>
  <c r="AM18" i="7"/>
  <c r="AG18" i="7"/>
  <c r="AF18" i="7"/>
  <c r="AD18" i="7"/>
  <c r="D18" i="7"/>
  <c r="A18" i="7"/>
  <c r="AN17" i="7"/>
  <c r="AM17" i="7"/>
  <c r="AG17" i="7"/>
  <c r="AF17" i="7"/>
  <c r="AD17" i="7"/>
  <c r="D17" i="7"/>
  <c r="A17" i="7"/>
  <c r="AN16" i="7"/>
  <c r="AM16" i="7"/>
  <c r="AG16" i="7"/>
  <c r="AF16" i="7"/>
  <c r="AD16" i="7"/>
  <c r="D16" i="7"/>
  <c r="A16" i="7"/>
  <c r="AN15" i="7"/>
  <c r="AM15" i="7"/>
  <c r="AG15" i="7"/>
  <c r="AF15" i="7"/>
  <c r="AD15" i="7"/>
  <c r="D15" i="7"/>
  <c r="A15" i="7"/>
  <c r="AN14" i="7"/>
  <c r="AM14" i="7"/>
  <c r="AG14" i="7"/>
  <c r="AF14" i="7"/>
  <c r="AD14" i="7"/>
  <c r="D14" i="7"/>
  <c r="A14" i="7"/>
  <c r="AN13" i="7"/>
  <c r="AM13" i="7"/>
  <c r="AG13" i="7"/>
  <c r="AF13" i="7"/>
  <c r="AD13" i="7"/>
  <c r="D13" i="7"/>
  <c r="A13" i="7"/>
  <c r="AN12" i="7"/>
  <c r="AM12" i="7"/>
  <c r="AG12" i="7"/>
  <c r="AF12" i="7"/>
  <c r="AD12" i="7"/>
  <c r="D12" i="7"/>
  <c r="A12" i="7"/>
  <c r="AN11" i="7"/>
  <c r="AM11" i="7"/>
  <c r="AG11" i="7"/>
  <c r="AF11" i="7"/>
  <c r="AD11" i="7"/>
  <c r="D11" i="7"/>
  <c r="A11" i="7"/>
  <c r="AN10" i="7"/>
  <c r="AM10" i="7"/>
  <c r="AG10" i="7"/>
  <c r="AF10" i="7"/>
  <c r="AD10" i="7"/>
  <c r="D10" i="7"/>
  <c r="A10" i="7"/>
  <c r="AN9" i="7"/>
  <c r="AM9" i="7"/>
  <c r="AG9" i="7"/>
  <c r="AF9" i="7"/>
  <c r="AD9" i="7"/>
  <c r="D9" i="7"/>
  <c r="A9" i="7"/>
  <c r="AN8" i="7"/>
  <c r="AM8" i="7"/>
  <c r="AG8" i="7"/>
  <c r="AF8" i="7"/>
  <c r="AD8" i="7"/>
  <c r="D8" i="7"/>
  <c r="A8" i="7"/>
  <c r="C8" i="7" s="1"/>
  <c r="AN7" i="7"/>
  <c r="AM7" i="7"/>
  <c r="AG7" i="7"/>
  <c r="AF7" i="7"/>
  <c r="AD7" i="7"/>
  <c r="D7" i="7"/>
  <c r="A7" i="7"/>
  <c r="O13" i="6"/>
  <c r="P13" i="6" s="1"/>
  <c r="O12" i="6"/>
  <c r="P12" i="6" s="1"/>
  <c r="O11" i="6"/>
  <c r="P11" i="6" s="1"/>
  <c r="O10" i="6"/>
  <c r="P10" i="6" s="1"/>
  <c r="O9" i="6"/>
  <c r="P9" i="6" s="1"/>
  <c r="O8" i="6"/>
  <c r="P8" i="6" s="1"/>
  <c r="O7" i="6"/>
  <c r="P7" i="6" s="1"/>
  <c r="B17" i="9" s="1"/>
  <c r="D17" i="9" s="1"/>
  <c r="C63" i="4"/>
  <c r="B63" i="4"/>
  <c r="B34" i="1"/>
  <c r="C22" i="1"/>
  <c r="B22" i="1"/>
  <c r="C13" i="1"/>
  <c r="B13" i="1"/>
  <c r="A6" i="1"/>
  <c r="C241" i="7" l="1"/>
  <c r="A2591" i="8"/>
  <c r="A2590" i="8"/>
  <c r="A2589" i="8"/>
  <c r="A2588" i="8"/>
  <c r="A2587" i="8"/>
  <c r="A2586" i="8"/>
  <c r="A2585" i="8"/>
  <c r="A2584" i="8"/>
  <c r="A2583" i="8"/>
  <c r="A2582" i="8"/>
  <c r="A2581" i="8"/>
  <c r="C240" i="7"/>
  <c r="A2580" i="8"/>
  <c r="A2579" i="8"/>
  <c r="A2578" i="8"/>
  <c r="A2577" i="8"/>
  <c r="A2576" i="8"/>
  <c r="A2575" i="8"/>
  <c r="A2574" i="8"/>
  <c r="A2573" i="8"/>
  <c r="A2572" i="8"/>
  <c r="A2571" i="8"/>
  <c r="A2570" i="8"/>
  <c r="C239" i="7"/>
  <c r="A2569" i="8"/>
  <c r="A2568" i="8"/>
  <c r="A2567" i="8"/>
  <c r="A2566" i="8"/>
  <c r="A2565" i="8"/>
  <c r="A2564" i="8"/>
  <c r="A2563" i="8"/>
  <c r="A2562" i="8"/>
  <c r="A2561" i="8"/>
  <c r="A2560" i="8"/>
  <c r="A2559" i="8"/>
  <c r="C238" i="7"/>
  <c r="A2558" i="8"/>
  <c r="A2557" i="8"/>
  <c r="A2556" i="8"/>
  <c r="A2555" i="8"/>
  <c r="A2554" i="8"/>
  <c r="A2553" i="8"/>
  <c r="A2552" i="8"/>
  <c r="A2551" i="8"/>
  <c r="A2550" i="8"/>
  <c r="A2549" i="8"/>
  <c r="A2548" i="8"/>
  <c r="C237" i="7"/>
  <c r="A2547" i="8"/>
  <c r="A2546" i="8"/>
  <c r="A2545" i="8"/>
  <c r="A2544" i="8"/>
  <c r="A2543" i="8"/>
  <c r="A2542" i="8"/>
  <c r="A2541" i="8"/>
  <c r="A2540" i="8"/>
  <c r="A2539" i="8"/>
  <c r="A2538" i="8"/>
  <c r="A2537" i="8"/>
  <c r="C236" i="7"/>
  <c r="A2536" i="8"/>
  <c r="A2535" i="8"/>
  <c r="A2534" i="8"/>
  <c r="A2533" i="8"/>
  <c r="A2532" i="8"/>
  <c r="A2531" i="8"/>
  <c r="A2530" i="8"/>
  <c r="A2529" i="8"/>
  <c r="A2528" i="8"/>
  <c r="A2527" i="8"/>
  <c r="A2526" i="8"/>
  <c r="C235" i="7"/>
  <c r="A2525" i="8"/>
  <c r="A2524" i="8"/>
  <c r="A2523" i="8"/>
  <c r="A2522" i="8"/>
  <c r="A2521" i="8"/>
  <c r="A2520" i="8"/>
  <c r="A2519" i="8"/>
  <c r="A2518" i="8"/>
  <c r="A2517" i="8"/>
  <c r="A2516" i="8"/>
  <c r="A2515" i="8"/>
  <c r="A4325" i="8"/>
  <c r="A4324" i="8"/>
  <c r="A4323" i="8"/>
  <c r="A4322" i="8"/>
  <c r="A4321" i="8"/>
  <c r="A4320" i="8"/>
  <c r="A4319" i="8"/>
  <c r="C398" i="7"/>
  <c r="A4318" i="8"/>
  <c r="A4317" i="8"/>
  <c r="A4316" i="8"/>
  <c r="A4315" i="8"/>
  <c r="A4314" i="8"/>
  <c r="A4313" i="8"/>
  <c r="A4312" i="8"/>
  <c r="A4311" i="8"/>
  <c r="A4310" i="8"/>
  <c r="A4309" i="8"/>
  <c r="A4308" i="8"/>
  <c r="C397" i="7"/>
  <c r="A4307" i="8"/>
  <c r="A4306" i="8"/>
  <c r="A4305" i="8"/>
  <c r="A4304" i="8"/>
  <c r="A4303" i="8"/>
  <c r="A4302" i="8"/>
  <c r="A4301" i="8"/>
  <c r="A4300" i="8"/>
  <c r="A4299" i="8"/>
  <c r="A4298" i="8"/>
  <c r="A4297" i="8"/>
  <c r="C396" i="7"/>
  <c r="A4296" i="8"/>
  <c r="A4295" i="8"/>
  <c r="A4294" i="8"/>
  <c r="A4293" i="8"/>
  <c r="A4292" i="8"/>
  <c r="A4291" i="8"/>
  <c r="A4290" i="8"/>
  <c r="A4289" i="8"/>
  <c r="A4288" i="8"/>
  <c r="A4287" i="8"/>
  <c r="A4286" i="8"/>
  <c r="C395" i="7"/>
  <c r="A4285" i="8"/>
  <c r="A4284" i="8"/>
  <c r="A4283" i="8"/>
  <c r="A4282" i="8"/>
  <c r="A4281" i="8"/>
  <c r="A4280" i="8"/>
  <c r="A4279" i="8"/>
  <c r="A4278" i="8"/>
  <c r="A4277" i="8"/>
  <c r="A4276" i="8"/>
  <c r="A4275" i="8"/>
  <c r="C394" i="7"/>
  <c r="A4274" i="8"/>
  <c r="A4273" i="8"/>
  <c r="A4272" i="8"/>
  <c r="A4271" i="8"/>
  <c r="A4270" i="8"/>
  <c r="A4269" i="8"/>
  <c r="A4268" i="8"/>
  <c r="A4267" i="8"/>
  <c r="A4266" i="8"/>
  <c r="A4265" i="8"/>
  <c r="A4264" i="8"/>
  <c r="C393" i="7"/>
  <c r="A4263" i="8"/>
  <c r="A4262" i="8"/>
  <c r="A4261" i="8"/>
  <c r="A4260" i="8"/>
  <c r="A4259" i="8"/>
  <c r="A4258" i="8"/>
  <c r="A4257" i="8"/>
  <c r="A4256" i="8"/>
  <c r="A4255" i="8"/>
  <c r="A4254" i="8"/>
  <c r="A4253" i="8"/>
  <c r="C392" i="7"/>
  <c r="A4252" i="8"/>
  <c r="A4251" i="8"/>
  <c r="A4250" i="8"/>
  <c r="A4249" i="8"/>
  <c r="A4248" i="8"/>
  <c r="A4247" i="8"/>
  <c r="A4246" i="8"/>
  <c r="A4245" i="8"/>
  <c r="A4244" i="8"/>
  <c r="A4243" i="8"/>
  <c r="A4242" i="8"/>
  <c r="C391" i="7"/>
  <c r="A4241" i="8"/>
  <c r="A4240" i="8"/>
  <c r="A4239" i="8"/>
  <c r="A4238" i="8"/>
  <c r="A4237" i="8"/>
  <c r="A4236" i="8"/>
  <c r="A4235" i="8"/>
  <c r="A4234" i="8"/>
  <c r="A4233" i="8"/>
  <c r="A4232" i="8"/>
  <c r="A4231" i="8"/>
  <c r="C390" i="7"/>
  <c r="A4230" i="8"/>
  <c r="A4229" i="8"/>
  <c r="A4228" i="8"/>
  <c r="A4227" i="8"/>
  <c r="A4226" i="8"/>
  <c r="A4225" i="8"/>
  <c r="A4224" i="8"/>
  <c r="A4223" i="8"/>
  <c r="A4222" i="8"/>
  <c r="A4221" i="8"/>
  <c r="A4220" i="8"/>
  <c r="C389" i="7"/>
  <c r="A4219" i="8"/>
  <c r="A4218" i="8"/>
  <c r="A4217" i="8"/>
  <c r="A4216" i="8"/>
  <c r="A4215" i="8"/>
  <c r="A4214" i="8"/>
  <c r="A4213" i="8"/>
  <c r="A4212" i="8"/>
  <c r="A4211" i="8"/>
  <c r="A4210" i="8"/>
  <c r="A4209" i="8"/>
  <c r="C388" i="7"/>
  <c r="A4208" i="8"/>
  <c r="A4207" i="8"/>
  <c r="A4206" i="8"/>
  <c r="A4205" i="8"/>
  <c r="A4204" i="8"/>
  <c r="A4203" i="8"/>
  <c r="A4202" i="8"/>
  <c r="A4201" i="8"/>
  <c r="A4200" i="8"/>
  <c r="A4199" i="8"/>
  <c r="A4198" i="8"/>
  <c r="C387" i="7"/>
  <c r="A4197" i="8"/>
  <c r="A4196" i="8"/>
  <c r="A4195" i="8"/>
  <c r="A4194" i="8"/>
  <c r="A4193" i="8"/>
  <c r="A4192" i="8"/>
  <c r="A4191" i="8"/>
  <c r="A4190" i="8"/>
  <c r="A4189" i="8"/>
  <c r="A4188" i="8"/>
  <c r="A4187" i="8"/>
  <c r="C386" i="7"/>
  <c r="A4186" i="8"/>
  <c r="A4185" i="8"/>
  <c r="A4184" i="8"/>
  <c r="A4183" i="8"/>
  <c r="A4182" i="8"/>
  <c r="A4181" i="8"/>
  <c r="A4180" i="8"/>
  <c r="A4179" i="8"/>
  <c r="A4178" i="8"/>
  <c r="A4177" i="8"/>
  <c r="A4176" i="8"/>
  <c r="C385" i="7"/>
  <c r="A4175" i="8"/>
  <c r="A4174" i="8"/>
  <c r="A4173" i="8"/>
  <c r="A4172" i="8"/>
  <c r="A4171" i="8"/>
  <c r="A4170" i="8"/>
  <c r="A4169" i="8"/>
  <c r="A4168" i="8"/>
  <c r="A4167" i="8"/>
  <c r="A4166" i="8"/>
  <c r="A4165" i="8"/>
  <c r="C384" i="7"/>
  <c r="A4164" i="8"/>
  <c r="A4163" i="8"/>
  <c r="A4162" i="8"/>
  <c r="A4161" i="8"/>
  <c r="A4160" i="8"/>
  <c r="A4159" i="8"/>
  <c r="A4158" i="8"/>
  <c r="A4157" i="8"/>
  <c r="A4156" i="8"/>
  <c r="A4155" i="8"/>
  <c r="A4154" i="8"/>
  <c r="C383" i="7"/>
  <c r="A4153" i="8"/>
  <c r="A4152" i="8"/>
  <c r="A4151" i="8"/>
  <c r="A4150" i="8"/>
  <c r="A4149" i="8"/>
  <c r="A4148" i="8"/>
  <c r="A4147" i="8"/>
  <c r="A4146" i="8"/>
  <c r="A4145" i="8"/>
  <c r="A4144" i="8"/>
  <c r="A4143" i="8"/>
  <c r="C382" i="7"/>
  <c r="A4142" i="8"/>
  <c r="A4141" i="8"/>
  <c r="A4140" i="8"/>
  <c r="A4139" i="8"/>
  <c r="A4138" i="8"/>
  <c r="A4137" i="8"/>
  <c r="A4136" i="8"/>
  <c r="A4135" i="8"/>
  <c r="A4134" i="8"/>
  <c r="A4133" i="8"/>
  <c r="A4132" i="8"/>
  <c r="C381" i="7"/>
  <c r="A4131" i="8"/>
  <c r="A4130" i="8"/>
  <c r="A4129" i="8"/>
  <c r="A4128" i="8"/>
  <c r="A4127" i="8"/>
  <c r="A4126" i="8"/>
  <c r="A4125" i="8"/>
  <c r="A4124" i="8"/>
  <c r="A4123" i="8"/>
  <c r="A4122" i="8"/>
  <c r="A4121" i="8"/>
  <c r="C380" i="7"/>
  <c r="A4120" i="8"/>
  <c r="A4119" i="8"/>
  <c r="A4118" i="8"/>
  <c r="A4117" i="8"/>
  <c r="A4116" i="8"/>
  <c r="A4115" i="8"/>
  <c r="A4114" i="8"/>
  <c r="A4113" i="8"/>
  <c r="A4112" i="8"/>
  <c r="A4111" i="8"/>
  <c r="A4110" i="8"/>
  <c r="C379" i="7"/>
  <c r="A4109" i="8"/>
  <c r="A4108" i="8"/>
  <c r="A4107" i="8"/>
  <c r="A4106" i="8"/>
  <c r="A4105" i="8"/>
  <c r="A4104" i="8"/>
  <c r="A4103" i="8"/>
  <c r="A4102" i="8"/>
  <c r="A4101" i="8"/>
  <c r="A4100" i="8"/>
  <c r="A4099" i="8"/>
  <c r="C378" i="7"/>
  <c r="A4098" i="8"/>
  <c r="A4097" i="8"/>
  <c r="A4096" i="8"/>
  <c r="A4095" i="8"/>
  <c r="A4094" i="8"/>
  <c r="A4093" i="8"/>
  <c r="A4092" i="8"/>
  <c r="A4091" i="8"/>
  <c r="A4090" i="8"/>
  <c r="A4089" i="8"/>
  <c r="A4088" i="8"/>
  <c r="C377" i="7"/>
  <c r="A4087" i="8"/>
  <c r="A4086" i="8"/>
  <c r="A4085" i="8"/>
  <c r="A4084" i="8"/>
  <c r="A4077" i="8"/>
  <c r="A4078" i="8"/>
  <c r="A4079" i="8"/>
  <c r="A4080" i="8"/>
  <c r="A4081" i="8"/>
  <c r="A4082" i="8"/>
  <c r="A4083" i="8"/>
  <c r="A3914" i="8"/>
  <c r="A3913" i="8"/>
  <c r="A3912" i="8"/>
  <c r="C361" i="7"/>
  <c r="A3911" i="8"/>
  <c r="A3910" i="8"/>
  <c r="A3909" i="8"/>
  <c r="A3908" i="8"/>
  <c r="A3907" i="8"/>
  <c r="A3906" i="8"/>
  <c r="A3905" i="8"/>
  <c r="A3904" i="8"/>
  <c r="A3903" i="8"/>
  <c r="A3902" i="8"/>
  <c r="A3901" i="8"/>
  <c r="C360" i="7"/>
  <c r="A3900" i="8"/>
  <c r="A3899" i="8"/>
  <c r="A3898" i="8"/>
  <c r="A3897" i="8"/>
  <c r="A3896" i="8"/>
  <c r="A3895" i="8"/>
  <c r="A3894" i="8"/>
  <c r="A3893" i="8"/>
  <c r="A3892" i="8"/>
  <c r="A3891" i="8"/>
  <c r="A3890" i="8"/>
  <c r="C359" i="7"/>
  <c r="A3889" i="8"/>
  <c r="A3888" i="8"/>
  <c r="A3887" i="8"/>
  <c r="A3886" i="8"/>
  <c r="A3885" i="8"/>
  <c r="A3884" i="8"/>
  <c r="A3883" i="8"/>
  <c r="A3882" i="8"/>
  <c r="A3881" i="8"/>
  <c r="A3880" i="8"/>
  <c r="A3879" i="8"/>
  <c r="C358" i="7"/>
  <c r="A3878" i="8"/>
  <c r="A3877" i="8"/>
  <c r="A3876" i="8"/>
  <c r="A3875" i="8"/>
  <c r="A3874" i="8"/>
  <c r="A3873" i="8"/>
  <c r="A3872" i="8"/>
  <c r="A3871" i="8"/>
  <c r="A3870" i="8"/>
  <c r="A3869" i="8"/>
  <c r="A3868" i="8"/>
  <c r="C357" i="7"/>
  <c r="A3861" i="8"/>
  <c r="A3867" i="8"/>
  <c r="A3866" i="8"/>
  <c r="A3865" i="8"/>
  <c r="A3864" i="8"/>
  <c r="A3863" i="8"/>
  <c r="A3862" i="8"/>
  <c r="A3860" i="8"/>
  <c r="A3859" i="8"/>
  <c r="A3858" i="8"/>
  <c r="A3857" i="8"/>
  <c r="C356" i="7"/>
  <c r="A3848" i="8"/>
  <c r="A3856" i="8"/>
  <c r="A3855" i="8"/>
  <c r="A3854" i="8"/>
  <c r="A3853" i="8"/>
  <c r="A3852" i="8"/>
  <c r="A3851" i="8"/>
  <c r="A3850" i="8"/>
  <c r="A3849" i="8"/>
  <c r="A3847" i="8"/>
  <c r="A3846" i="8"/>
  <c r="C355" i="7"/>
  <c r="A3844" i="8"/>
  <c r="A3843" i="8"/>
  <c r="A3835" i="8"/>
  <c r="A3841" i="8"/>
  <c r="A3840" i="8"/>
  <c r="A3839" i="8"/>
  <c r="A3838" i="8"/>
  <c r="A3837" i="8"/>
  <c r="A3842" i="8"/>
  <c r="A3836" i="8"/>
  <c r="A3845" i="8"/>
  <c r="C354" i="7"/>
  <c r="A3833" i="8"/>
  <c r="A3832" i="8"/>
  <c r="A3831" i="8"/>
  <c r="A3830" i="8"/>
  <c r="A3829" i="8"/>
  <c r="A3828" i="8"/>
  <c r="A3827" i="8"/>
  <c r="A3826" i="8"/>
  <c r="A3825" i="8"/>
  <c r="A3824" i="8"/>
  <c r="A3834" i="8"/>
  <c r="C353" i="7"/>
  <c r="A3823" i="8"/>
  <c r="A3818" i="8"/>
  <c r="A3822" i="8"/>
  <c r="A3821" i="8"/>
  <c r="A3820" i="8"/>
  <c r="A3819" i="8"/>
  <c r="A3817" i="8"/>
  <c r="A3816" i="8"/>
  <c r="A3815" i="8"/>
  <c r="A3814" i="8"/>
  <c r="A3813" i="8"/>
  <c r="C352" i="7"/>
  <c r="A3802" i="8"/>
  <c r="A3803" i="8"/>
  <c r="A3804" i="8"/>
  <c r="A3805" i="8"/>
  <c r="A3811" i="8"/>
  <c r="A3806" i="8"/>
  <c r="A3807" i="8"/>
  <c r="A3808" i="8"/>
  <c r="A3809" i="8"/>
  <c r="A3810" i="8"/>
  <c r="A3812" i="8"/>
  <c r="C351" i="7"/>
  <c r="A3795" i="8"/>
  <c r="A3801" i="8"/>
  <c r="A3800" i="8"/>
  <c r="A3799" i="8"/>
  <c r="A3798" i="8"/>
  <c r="A3797" i="8"/>
  <c r="A3796" i="8"/>
  <c r="A3794" i="8"/>
  <c r="A3793" i="8"/>
  <c r="A3792" i="8"/>
  <c r="A3791" i="8"/>
  <c r="C350" i="7"/>
  <c r="A3784" i="8"/>
  <c r="A3781" i="8"/>
  <c r="A3782" i="8"/>
  <c r="A3783" i="8"/>
  <c r="A3785" i="8"/>
  <c r="A3789" i="8"/>
  <c r="A3786" i="8"/>
  <c r="A3787" i="8"/>
  <c r="A3788" i="8"/>
  <c r="A3780" i="8"/>
  <c r="A3790" i="8"/>
  <c r="C349" i="7"/>
  <c r="A3778" i="8"/>
  <c r="A3777" i="8"/>
  <c r="A3776" i="8"/>
  <c r="A3775" i="8"/>
  <c r="A3774" i="8"/>
  <c r="A3773" i="8"/>
  <c r="A3772" i="8"/>
  <c r="A3771" i="8"/>
  <c r="A3770" i="8"/>
  <c r="A3769" i="8"/>
  <c r="A3779" i="8"/>
  <c r="C348" i="7"/>
  <c r="A3765" i="8"/>
  <c r="A3767" i="8"/>
  <c r="A3759" i="8"/>
  <c r="A3758" i="8"/>
  <c r="A3764" i="8"/>
  <c r="A3763" i="8"/>
  <c r="A3766" i="8"/>
  <c r="A3762" i="8"/>
  <c r="A3761" i="8"/>
  <c r="A3760" i="8"/>
  <c r="A3768" i="8"/>
  <c r="C347" i="7"/>
  <c r="A3756" i="8"/>
  <c r="A3755" i="8"/>
  <c r="A3754" i="8"/>
  <c r="A3753" i="8"/>
  <c r="A3751" i="8"/>
  <c r="A3750" i="8"/>
  <c r="A3749" i="8"/>
  <c r="A3748" i="8"/>
  <c r="A3747" i="8"/>
  <c r="A3752" i="8"/>
  <c r="A3757" i="8"/>
  <c r="A3746" i="8"/>
  <c r="A3745" i="8"/>
  <c r="A3744" i="8"/>
  <c r="A3743" i="8"/>
  <c r="A3742" i="8"/>
  <c r="A3741" i="8"/>
  <c r="A3528" i="8"/>
  <c r="A3527" i="8"/>
  <c r="A3519" i="8"/>
  <c r="A3518" i="8"/>
  <c r="A3516" i="8"/>
  <c r="A3517" i="8"/>
  <c r="A3520" i="8"/>
  <c r="A3521" i="8"/>
  <c r="A3522" i="8"/>
  <c r="A3523" i="8"/>
  <c r="A3524" i="8"/>
  <c r="A3525" i="8"/>
  <c r="C325" i="7"/>
  <c r="A3515" i="8"/>
  <c r="A3514" i="8"/>
  <c r="A3512" i="8"/>
  <c r="A3511" i="8"/>
  <c r="A3510" i="8"/>
  <c r="A3513" i="8"/>
  <c r="A3509" i="8"/>
  <c r="A3507" i="8"/>
  <c r="A3506" i="8"/>
  <c r="A3505" i="8"/>
  <c r="A3508" i="8"/>
  <c r="C324" i="7"/>
  <c r="A3502" i="8"/>
  <c r="A3503" i="8"/>
  <c r="A3504" i="8"/>
  <c r="A3494" i="8"/>
  <c r="A3495" i="8"/>
  <c r="A3496" i="8"/>
  <c r="A3497" i="8"/>
  <c r="A3498" i="8"/>
  <c r="A3499" i="8"/>
  <c r="A3500" i="8"/>
  <c r="A3501" i="8"/>
  <c r="C323" i="7"/>
  <c r="A3489" i="8"/>
  <c r="A3488" i="8"/>
  <c r="A3491" i="8"/>
  <c r="A3483" i="8"/>
  <c r="A3493" i="8"/>
  <c r="A3492" i="8"/>
  <c r="A3490" i="8"/>
  <c r="A3484" i="8"/>
  <c r="A3485" i="8"/>
  <c r="A3486" i="8"/>
  <c r="A3487" i="8"/>
  <c r="C322" i="7"/>
  <c r="A3480" i="8"/>
  <c r="A3481" i="8"/>
  <c r="A3479" i="8"/>
  <c r="A3482" i="8"/>
  <c r="A3478" i="8"/>
  <c r="A3477" i="8"/>
  <c r="A3476" i="8"/>
  <c r="A3475" i="8"/>
  <c r="A3474" i="8"/>
  <c r="A3473" i="8"/>
  <c r="A3472" i="8"/>
  <c r="C321" i="7"/>
  <c r="A3471" i="8"/>
  <c r="A3470" i="8"/>
  <c r="A3469" i="8"/>
  <c r="A3468" i="8"/>
  <c r="A3467" i="8"/>
  <c r="A3466" i="8"/>
  <c r="A3465" i="8"/>
  <c r="A3464" i="8"/>
  <c r="A3463" i="8"/>
  <c r="A3462" i="8"/>
  <c r="A3461" i="8"/>
  <c r="C320" i="7"/>
  <c r="A3460" i="8"/>
  <c r="A3459" i="8"/>
  <c r="A3458" i="8"/>
  <c r="A3457" i="8"/>
  <c r="A3456" i="8"/>
  <c r="A3455" i="8"/>
  <c r="A3454" i="8"/>
  <c r="A3453" i="8"/>
  <c r="A3452" i="8"/>
  <c r="A3451" i="8"/>
  <c r="A3450" i="8"/>
  <c r="C319" i="7"/>
  <c r="A3442" i="8"/>
  <c r="A3449" i="8"/>
  <c r="A3448" i="8"/>
  <c r="A3447" i="8"/>
  <c r="A3446" i="8"/>
  <c r="A3445" i="8"/>
  <c r="A3444" i="8"/>
  <c r="A3443" i="8"/>
  <c r="A3441" i="8"/>
  <c r="A3440" i="8"/>
  <c r="A3439" i="8"/>
  <c r="C318" i="7"/>
  <c r="A3431" i="8"/>
  <c r="A3429" i="8"/>
  <c r="A3428" i="8"/>
  <c r="A3432" i="8"/>
  <c r="A3433" i="8"/>
  <c r="A3434" i="8"/>
  <c r="A3435" i="8"/>
  <c r="A3436" i="8"/>
  <c r="A3437" i="8"/>
  <c r="A3438" i="8"/>
  <c r="A3430" i="8"/>
  <c r="C317" i="7"/>
  <c r="A3418" i="8"/>
  <c r="A3419" i="8"/>
  <c r="A3427" i="8"/>
  <c r="A3426" i="8"/>
  <c r="A3420" i="8"/>
  <c r="A3421" i="8"/>
  <c r="A3422" i="8"/>
  <c r="A3423" i="8"/>
  <c r="A3424" i="8"/>
  <c r="A3425" i="8"/>
  <c r="A3417" i="8"/>
  <c r="A3408" i="8"/>
  <c r="A3407" i="8"/>
  <c r="A3412" i="8"/>
  <c r="A3416" i="8"/>
  <c r="A3415" i="8"/>
  <c r="A3414" i="8"/>
  <c r="A3413" i="8"/>
  <c r="A3411" i="8"/>
  <c r="A3410" i="8"/>
  <c r="A3409" i="8"/>
  <c r="A3122" i="8"/>
  <c r="A3121" i="8"/>
  <c r="A3120" i="8"/>
  <c r="C289" i="7"/>
  <c r="A3109" i="8"/>
  <c r="A3113" i="8"/>
  <c r="A3114" i="8"/>
  <c r="A3110" i="8"/>
  <c r="A3111" i="8"/>
  <c r="A3112" i="8"/>
  <c r="A3115" i="8"/>
  <c r="A3119" i="8"/>
  <c r="A3118" i="8"/>
  <c r="A3117" i="8"/>
  <c r="A3116" i="8"/>
  <c r="AJ288" i="7"/>
  <c r="AL288" i="7"/>
  <c r="AH288" i="7"/>
  <c r="T288" i="7"/>
  <c r="AQ288" i="7"/>
  <c r="AB288" i="7"/>
  <c r="C288" i="7"/>
  <c r="A3108" i="8"/>
  <c r="A3103" i="8"/>
  <c r="A3105" i="8"/>
  <c r="A3106" i="8"/>
  <c r="A3107" i="8"/>
  <c r="A3102" i="8"/>
  <c r="A3101" i="8"/>
  <c r="A3100" i="8"/>
  <c r="A3099" i="8"/>
  <c r="A3098" i="8"/>
  <c r="A3104" i="8"/>
  <c r="C287" i="7"/>
  <c r="A3089" i="8"/>
  <c r="A3097" i="8"/>
  <c r="A3087" i="8"/>
  <c r="A3090" i="8"/>
  <c r="A3096" i="8"/>
  <c r="A3095" i="8"/>
  <c r="A3094" i="8"/>
  <c r="A3093" i="8"/>
  <c r="A3092" i="8"/>
  <c r="A3091" i="8"/>
  <c r="A3088" i="8"/>
  <c r="C286" i="7"/>
  <c r="A3079" i="8"/>
  <c r="A3077" i="8"/>
  <c r="A3076" i="8"/>
  <c r="A3083" i="8"/>
  <c r="A3085" i="8"/>
  <c r="A3086" i="8"/>
  <c r="A3084" i="8"/>
  <c r="A3082" i="8"/>
  <c r="A3081" i="8"/>
  <c r="A3080" i="8"/>
  <c r="A3078" i="8"/>
  <c r="A3075" i="8"/>
  <c r="A3073" i="8"/>
  <c r="A3074" i="8"/>
  <c r="A3054" i="8"/>
  <c r="A3058" i="8"/>
  <c r="A3057" i="8"/>
  <c r="A3056" i="8"/>
  <c r="A3055" i="8"/>
  <c r="C283" i="7"/>
  <c r="A3052" i="8"/>
  <c r="A3053" i="8"/>
  <c r="A3051" i="8"/>
  <c r="A3049" i="8"/>
  <c r="A3044" i="8"/>
  <c r="A3045" i="8"/>
  <c r="A3043" i="8"/>
  <c r="A3050" i="8"/>
  <c r="A3047" i="8"/>
  <c r="A3048" i="8"/>
  <c r="A3046" i="8"/>
  <c r="C282" i="7"/>
  <c r="A3040" i="8"/>
  <c r="A3041" i="8"/>
  <c r="A3042" i="8"/>
  <c r="A3038" i="8"/>
  <c r="A3032" i="8"/>
  <c r="A3033" i="8"/>
  <c r="A3034" i="8"/>
  <c r="A3035" i="8"/>
  <c r="A3036" i="8"/>
  <c r="A3037" i="8"/>
  <c r="A3039" i="8"/>
  <c r="C281" i="7"/>
  <c r="A3024" i="8"/>
  <c r="A3028" i="8"/>
  <c r="A3023" i="8"/>
  <c r="A3022" i="8"/>
  <c r="A3021" i="8"/>
  <c r="A3027" i="8"/>
  <c r="A3031" i="8"/>
  <c r="A3029" i="8"/>
  <c r="A3025" i="8"/>
  <c r="A3030" i="8"/>
  <c r="A3026" i="8"/>
  <c r="C280" i="7"/>
  <c r="A3013" i="8"/>
  <c r="A3018" i="8"/>
  <c r="A3010" i="8"/>
  <c r="A3019" i="8"/>
  <c r="A3020" i="8"/>
  <c r="A3011" i="8"/>
  <c r="A3012" i="8"/>
  <c r="A3017" i="8"/>
  <c r="A3014" i="8"/>
  <c r="A3015" i="8"/>
  <c r="A3016" i="8"/>
  <c r="C279" i="7"/>
  <c r="A2999" i="8"/>
  <c r="A3009" i="8"/>
  <c r="A3002" i="8"/>
  <c r="A3005" i="8"/>
  <c r="A3001" i="8"/>
  <c r="A3006" i="8"/>
  <c r="A3003" i="8"/>
  <c r="A3004" i="8"/>
  <c r="A3007" i="8"/>
  <c r="A3000" i="8"/>
  <c r="A3008" i="8"/>
  <c r="C278" i="7"/>
  <c r="A2990" i="8"/>
  <c r="A2991" i="8"/>
  <c r="A2992" i="8"/>
  <c r="A2993" i="8"/>
  <c r="A2995" i="8"/>
  <c r="A2996" i="8"/>
  <c r="A2998" i="8"/>
  <c r="A2994" i="8"/>
  <c r="A2997" i="8"/>
  <c r="A2989" i="8"/>
  <c r="A2988" i="8"/>
  <c r="C277" i="7"/>
  <c r="A2981" i="8"/>
  <c r="A2977" i="8"/>
  <c r="A2978" i="8"/>
  <c r="A2987" i="8"/>
  <c r="A2986" i="8"/>
  <c r="A2985" i="8"/>
  <c r="A2984" i="8"/>
  <c r="A2983" i="8"/>
  <c r="A2980" i="8"/>
  <c r="A2979" i="8"/>
  <c r="A2982" i="8"/>
  <c r="C276" i="7"/>
  <c r="A2973" i="8"/>
  <c r="A2972" i="8"/>
  <c r="A2971" i="8"/>
  <c r="A2970" i="8"/>
  <c r="A2969" i="8"/>
  <c r="A2968" i="8"/>
  <c r="A2967" i="8"/>
  <c r="A2974" i="8"/>
  <c r="A2966" i="8"/>
  <c r="A2975" i="8"/>
  <c r="A2976" i="8"/>
  <c r="C275" i="7"/>
  <c r="A2961" i="8"/>
  <c r="A2959" i="8"/>
  <c r="A2958" i="8"/>
  <c r="A2957" i="8"/>
  <c r="A2955" i="8"/>
  <c r="A2965" i="8"/>
  <c r="A2964" i="8"/>
  <c r="A2963" i="8"/>
  <c r="A2962" i="8"/>
  <c r="A2960" i="8"/>
  <c r="A2956" i="8"/>
  <c r="C274" i="7"/>
  <c r="A2949" i="8"/>
  <c r="A2948" i="8"/>
  <c r="A2952" i="8"/>
  <c r="A2944" i="8"/>
  <c r="A2954" i="8"/>
  <c r="A2953" i="8"/>
  <c r="A2950" i="8"/>
  <c r="A2947" i="8"/>
  <c r="A2946" i="8"/>
  <c r="A2945" i="8"/>
  <c r="A2951" i="8"/>
  <c r="C273" i="7"/>
  <c r="A2933" i="8"/>
  <c r="A2938" i="8"/>
  <c r="A2939" i="8"/>
  <c r="A2942" i="8"/>
  <c r="A2941" i="8"/>
  <c r="A2940" i="8"/>
  <c r="A2943" i="8"/>
  <c r="A2936" i="8"/>
  <c r="A2935" i="8"/>
  <c r="A2937" i="8"/>
  <c r="A2934" i="8"/>
  <c r="C272" i="7"/>
  <c r="A2927" i="8"/>
  <c r="A2928" i="8"/>
  <c r="A2931" i="8"/>
  <c r="A2932" i="8"/>
  <c r="A2929" i="8"/>
  <c r="A2926" i="8"/>
  <c r="A2925" i="8"/>
  <c r="A2924" i="8"/>
  <c r="A2922" i="8"/>
  <c r="A2930" i="8"/>
  <c r="A2923" i="8"/>
  <c r="C271" i="7"/>
  <c r="A2920" i="8"/>
  <c r="A2921" i="8"/>
  <c r="A2918" i="8"/>
  <c r="A2917" i="8"/>
  <c r="A2919" i="8"/>
  <c r="A2911" i="8"/>
  <c r="A2916" i="8"/>
  <c r="A2914" i="8"/>
  <c r="A2912" i="8"/>
  <c r="A2913" i="8"/>
  <c r="A2915" i="8"/>
  <c r="C270" i="7"/>
  <c r="A2908" i="8"/>
  <c r="A2906" i="8"/>
  <c r="A2905" i="8"/>
  <c r="A2902" i="8"/>
  <c r="A2909" i="8"/>
  <c r="A2907" i="8"/>
  <c r="A2901" i="8"/>
  <c r="A2900" i="8"/>
  <c r="A2904" i="8"/>
  <c r="A2903" i="8"/>
  <c r="A2910" i="8"/>
  <c r="C269" i="7"/>
  <c r="A2896" i="8"/>
  <c r="A2890" i="8"/>
  <c r="A2889" i="8"/>
  <c r="A2899" i="8"/>
  <c r="A2898" i="8"/>
  <c r="A2894" i="8"/>
  <c r="A2897" i="8"/>
  <c r="A2891" i="8"/>
  <c r="A2893" i="8"/>
  <c r="A2892" i="8"/>
  <c r="A2895" i="8"/>
  <c r="C268" i="7"/>
  <c r="A2884" i="8"/>
  <c r="A2887" i="8"/>
  <c r="A2883" i="8"/>
  <c r="A2881" i="8"/>
  <c r="A2879" i="8"/>
  <c r="A2878" i="8"/>
  <c r="A2886" i="8"/>
  <c r="A2885" i="8"/>
  <c r="A2888" i="8"/>
  <c r="A2882" i="8"/>
  <c r="A2880" i="8"/>
  <c r="C267" i="7"/>
  <c r="A2875" i="8"/>
  <c r="A2874" i="8"/>
  <c r="A2867" i="8"/>
  <c r="A2876" i="8"/>
  <c r="A2870" i="8"/>
  <c r="A2868" i="8"/>
  <c r="A2869" i="8"/>
  <c r="A2872" i="8"/>
  <c r="A2877" i="8"/>
  <c r="A2873" i="8"/>
  <c r="A2871" i="8"/>
  <c r="C266" i="7"/>
  <c r="A2858" i="8"/>
  <c r="A2866" i="8"/>
  <c r="A2862" i="8"/>
  <c r="A2861" i="8"/>
  <c r="A2856" i="8"/>
  <c r="A2857" i="8"/>
  <c r="A2863" i="8"/>
  <c r="A2864" i="8"/>
  <c r="A2865" i="8"/>
  <c r="A2860" i="8"/>
  <c r="A2859" i="8"/>
  <c r="C265" i="7"/>
  <c r="A2848" i="8"/>
  <c r="A2845" i="8"/>
  <c r="A2846" i="8"/>
  <c r="A2847" i="8"/>
  <c r="A2849" i="8"/>
  <c r="A2850" i="8"/>
  <c r="A2851" i="8"/>
  <c r="A2852" i="8"/>
  <c r="A2853" i="8"/>
  <c r="A2854" i="8"/>
  <c r="A2855" i="8"/>
  <c r="C264" i="7"/>
  <c r="A2839" i="8"/>
  <c r="A2838" i="8"/>
  <c r="A2837" i="8"/>
  <c r="A2835" i="8"/>
  <c r="A2844" i="8"/>
  <c r="A2842" i="8"/>
  <c r="A2834" i="8"/>
  <c r="A2841" i="8"/>
  <c r="A2840" i="8"/>
  <c r="A2843" i="8"/>
  <c r="A2836" i="8"/>
  <c r="C263" i="7"/>
  <c r="A2823" i="8"/>
  <c r="A2833" i="8"/>
  <c r="A2832" i="8"/>
  <c r="A2831" i="8"/>
  <c r="A2830" i="8"/>
  <c r="A2829" i="8"/>
  <c r="A2828" i="8"/>
  <c r="A2827" i="8"/>
  <c r="A2826" i="8"/>
  <c r="A2824" i="8"/>
  <c r="A2825" i="8"/>
  <c r="C262" i="7"/>
  <c r="A2818" i="8"/>
  <c r="A2820" i="8"/>
  <c r="A2819" i="8"/>
  <c r="A2813" i="8"/>
  <c r="A2812" i="8"/>
  <c r="A2822" i="8"/>
  <c r="A2817" i="8"/>
  <c r="A2816" i="8"/>
  <c r="A2815" i="8"/>
  <c r="A2821" i="8"/>
  <c r="A2814" i="8"/>
  <c r="C261" i="7"/>
  <c r="A2806" i="8"/>
  <c r="A2802" i="8"/>
  <c r="A2801" i="8"/>
  <c r="A2811" i="8"/>
  <c r="A2810" i="8"/>
  <c r="A2808" i="8"/>
  <c r="A2805" i="8"/>
  <c r="A2804" i="8"/>
  <c r="A2803" i="8"/>
  <c r="A2809" i="8"/>
  <c r="A2807" i="8"/>
  <c r="C260" i="7"/>
  <c r="A2796" i="8"/>
  <c r="A2794" i="8"/>
  <c r="A2793" i="8"/>
  <c r="A2799" i="8"/>
  <c r="A2790" i="8"/>
  <c r="A2800" i="8"/>
  <c r="A2795" i="8"/>
  <c r="A2792" i="8"/>
  <c r="A2791" i="8"/>
  <c r="A2797" i="8"/>
  <c r="A2798" i="8"/>
  <c r="C259" i="7"/>
  <c r="A2784" i="8"/>
  <c r="A2786" i="8"/>
  <c r="A2787" i="8"/>
  <c r="A2788" i="8"/>
  <c r="A2779" i="8"/>
  <c r="A2789" i="8"/>
  <c r="A2785" i="8"/>
  <c r="A2782" i="8"/>
  <c r="A2780" i="8"/>
  <c r="A2781" i="8"/>
  <c r="A2783" i="8"/>
  <c r="C258" i="7"/>
  <c r="A2773" i="8"/>
  <c r="A2769" i="8"/>
  <c r="A2770" i="8"/>
  <c r="A2771" i="8"/>
  <c r="A2772" i="8"/>
  <c r="A2776" i="8"/>
  <c r="A2777" i="8"/>
  <c r="A2778" i="8"/>
  <c r="A2774" i="8"/>
  <c r="A2775" i="8"/>
  <c r="A2768" i="8"/>
  <c r="C257" i="7"/>
  <c r="A2767" i="8"/>
  <c r="A2764" i="8"/>
  <c r="A2763" i="8"/>
  <c r="A2761" i="8"/>
  <c r="A2760" i="8"/>
  <c r="A2759" i="8"/>
  <c r="A2765" i="8"/>
  <c r="A2766" i="8"/>
  <c r="A2762" i="8"/>
  <c r="A2758" i="8"/>
  <c r="A2757" i="8"/>
  <c r="C256" i="7"/>
  <c r="A2756" i="8"/>
  <c r="A2755" i="8"/>
  <c r="A2752" i="8"/>
  <c r="A2751" i="8"/>
  <c r="A2747" i="8"/>
  <c r="A2750" i="8"/>
  <c r="A2754" i="8"/>
  <c r="A2753" i="8"/>
  <c r="A2746" i="8"/>
  <c r="A2748" i="8"/>
  <c r="A2749" i="8"/>
  <c r="A2739" i="8"/>
  <c r="A2740" i="8"/>
  <c r="A2743" i="8"/>
  <c r="A2742" i="8"/>
  <c r="A2741" i="8"/>
  <c r="A2744" i="8"/>
  <c r="A2745" i="8"/>
  <c r="A2615" i="8"/>
  <c r="A2614" i="8"/>
  <c r="A2616" i="8"/>
  <c r="A2617" i="8"/>
  <c r="C243" i="7"/>
  <c r="A2612" i="8"/>
  <c r="A2613" i="8"/>
  <c r="A2605" i="8"/>
  <c r="A2607" i="8"/>
  <c r="A2609" i="8"/>
  <c r="A2611" i="8"/>
  <c r="A2608" i="8"/>
  <c r="A2603" i="8"/>
  <c r="A2604" i="8"/>
  <c r="A2606" i="8"/>
  <c r="A2610" i="8"/>
  <c r="C242" i="7"/>
  <c r="A2592" i="8"/>
  <c r="A2595" i="8"/>
  <c r="A2598" i="8"/>
  <c r="A2601" i="8"/>
  <c r="A2596" i="8"/>
  <c r="A2599" i="8"/>
  <c r="A2597" i="8"/>
  <c r="A2594" i="8"/>
  <c r="A2602" i="8"/>
  <c r="A2600" i="8"/>
  <c r="A2593" i="8"/>
  <c r="C234" i="7"/>
  <c r="A2511" i="8"/>
  <c r="A2510" i="8"/>
  <c r="A2509" i="8"/>
  <c r="A2508" i="8"/>
  <c r="A2507" i="8"/>
  <c r="A2506" i="8"/>
  <c r="A2505" i="8"/>
  <c r="A2504" i="8"/>
  <c r="A2514" i="8"/>
  <c r="A2513" i="8"/>
  <c r="A2512" i="8"/>
  <c r="C233" i="7"/>
  <c r="A2500" i="8"/>
  <c r="A2499" i="8"/>
  <c r="A2498" i="8"/>
  <c r="A2497" i="8"/>
  <c r="A2496" i="8"/>
  <c r="A2495" i="8"/>
  <c r="A2494" i="8"/>
  <c r="A2493" i="8"/>
  <c r="A2502" i="8"/>
  <c r="A2501" i="8"/>
  <c r="A2503" i="8"/>
  <c r="C232" i="7"/>
  <c r="A2492" i="8"/>
  <c r="A2491" i="8"/>
  <c r="A2490" i="8"/>
  <c r="A2489" i="8"/>
  <c r="A2488" i="8"/>
  <c r="A2487" i="8"/>
  <c r="A2486" i="8"/>
  <c r="A2485" i="8"/>
  <c r="A2483" i="8"/>
  <c r="A2482" i="8"/>
  <c r="A2484" i="8"/>
  <c r="C231" i="7"/>
  <c r="A2481" i="8"/>
  <c r="A2480" i="8"/>
  <c r="A2479" i="8"/>
  <c r="A2478" i="8"/>
  <c r="A2477" i="8"/>
  <c r="A2476" i="8"/>
  <c r="A2475" i="8"/>
  <c r="A2474" i="8"/>
  <c r="A2473" i="8"/>
  <c r="A2472" i="8"/>
  <c r="A2471" i="8"/>
  <c r="C230" i="7"/>
  <c r="A2467" i="8"/>
  <c r="A2466" i="8"/>
  <c r="A2465" i="8"/>
  <c r="A2464" i="8"/>
  <c r="A2463" i="8"/>
  <c r="A2462" i="8"/>
  <c r="A2461" i="8"/>
  <c r="A2460" i="8"/>
  <c r="A2470" i="8"/>
  <c r="A2469" i="8"/>
  <c r="A2468" i="8"/>
  <c r="C229" i="7"/>
  <c r="A2456" i="8"/>
  <c r="A2455" i="8"/>
  <c r="A2454" i="8"/>
  <c r="A2453" i="8"/>
  <c r="A2452" i="8"/>
  <c r="A2451" i="8"/>
  <c r="A2450" i="8"/>
  <c r="A2449" i="8"/>
  <c r="A2459" i="8"/>
  <c r="A2458" i="8"/>
  <c r="A2457" i="8"/>
  <c r="C228" i="7"/>
  <c r="A2446" i="8"/>
  <c r="A2445" i="8"/>
  <c r="A2444" i="8"/>
  <c r="A2443" i="8"/>
  <c r="A2441" i="8"/>
  <c r="A2440" i="8"/>
  <c r="A2439" i="8"/>
  <c r="A2438" i="8"/>
  <c r="A2442" i="8"/>
  <c r="A2448" i="8"/>
  <c r="A2447" i="8"/>
  <c r="C227" i="7"/>
  <c r="A2434" i="8"/>
  <c r="A2437" i="8"/>
  <c r="A2432" i="8"/>
  <c r="A2431" i="8"/>
  <c r="A2430" i="8"/>
  <c r="A2429" i="8"/>
  <c r="A2428" i="8"/>
  <c r="A2427" i="8"/>
  <c r="A2436" i="8"/>
  <c r="A2435" i="8"/>
  <c r="A2433" i="8"/>
  <c r="C226" i="7"/>
  <c r="A2423" i="8"/>
  <c r="A2422" i="8"/>
  <c r="A2421" i="8"/>
  <c r="A2420" i="8"/>
  <c r="A2419" i="8"/>
  <c r="A2418" i="8"/>
  <c r="A2417" i="8"/>
  <c r="A2416" i="8"/>
  <c r="A2426" i="8"/>
  <c r="A2425" i="8"/>
  <c r="A2424" i="8"/>
  <c r="C225" i="7"/>
  <c r="A2412" i="8"/>
  <c r="A2411" i="8"/>
  <c r="A2410" i="8"/>
  <c r="A2409" i="8"/>
  <c r="A2408" i="8"/>
  <c r="A2407" i="8"/>
  <c r="A2406" i="8"/>
  <c r="A2405" i="8"/>
  <c r="A2415" i="8"/>
  <c r="A2414" i="8"/>
  <c r="A2413" i="8"/>
  <c r="A2215" i="8"/>
  <c r="A2214" i="8"/>
  <c r="A2213" i="8"/>
  <c r="A2212" i="8"/>
  <c r="A2211" i="8"/>
  <c r="A2210" i="8"/>
  <c r="A2209" i="8"/>
  <c r="A2208" i="8"/>
  <c r="A2207" i="8"/>
  <c r="C206" i="7"/>
  <c r="A2206" i="8"/>
  <c r="A2205" i="8"/>
  <c r="A2204" i="8"/>
  <c r="A2203" i="8"/>
  <c r="A2202" i="8"/>
  <c r="A2201" i="8"/>
  <c r="A2200" i="8"/>
  <c r="A2199" i="8"/>
  <c r="A2197" i="8"/>
  <c r="A2196" i="8"/>
  <c r="A2198" i="8"/>
  <c r="C205" i="7"/>
  <c r="A2192" i="8"/>
  <c r="A2191" i="8"/>
  <c r="A2190" i="8"/>
  <c r="A2189" i="8"/>
  <c r="A2188" i="8"/>
  <c r="A2187" i="8"/>
  <c r="A2186" i="8"/>
  <c r="A2185" i="8"/>
  <c r="A2195" i="8"/>
  <c r="A2194" i="8"/>
  <c r="A2193" i="8"/>
  <c r="C204" i="7"/>
  <c r="A2181" i="8"/>
  <c r="A2180" i="8"/>
  <c r="A2184" i="8"/>
  <c r="A2178" i="8"/>
  <c r="A2177" i="8"/>
  <c r="A2176" i="8"/>
  <c r="A2175" i="8"/>
  <c r="A2174" i="8"/>
  <c r="A2179" i="8"/>
  <c r="A2183" i="8"/>
  <c r="A2182" i="8"/>
  <c r="C203" i="7"/>
  <c r="A2173" i="8"/>
  <c r="A2172" i="8"/>
  <c r="A2171" i="8"/>
  <c r="A2170" i="8"/>
  <c r="A2169" i="8"/>
  <c r="A2167" i="8"/>
  <c r="A2166" i="8"/>
  <c r="A2165" i="8"/>
  <c r="A2164" i="8"/>
  <c r="A2163" i="8"/>
  <c r="A2168" i="8"/>
  <c r="C202" i="7"/>
  <c r="A2159" i="8"/>
  <c r="A2158" i="8"/>
  <c r="A2157" i="8"/>
  <c r="A2156" i="8"/>
  <c r="A2155" i="8"/>
  <c r="A2154" i="8"/>
  <c r="A2153" i="8"/>
  <c r="A2152" i="8"/>
  <c r="A2162" i="8"/>
  <c r="A2161" i="8"/>
  <c r="A2160" i="8"/>
  <c r="C201" i="7"/>
  <c r="A2148" i="8"/>
  <c r="A2147" i="8"/>
  <c r="A2146" i="8"/>
  <c r="A2145" i="8"/>
  <c r="A2144" i="8"/>
  <c r="A2143" i="8"/>
  <c r="A2142" i="8"/>
  <c r="A2141" i="8"/>
  <c r="A2151" i="8"/>
  <c r="A2150" i="8"/>
  <c r="A2149" i="8"/>
  <c r="C200" i="7"/>
  <c r="A2137" i="8"/>
  <c r="A2136" i="8"/>
  <c r="A2135" i="8"/>
  <c r="A2134" i="8"/>
  <c r="A2133" i="8"/>
  <c r="A2132" i="8"/>
  <c r="A2131" i="8"/>
  <c r="A2130" i="8"/>
  <c r="A2140" i="8"/>
  <c r="A2139" i="8"/>
  <c r="A2138" i="8"/>
  <c r="C199" i="7"/>
  <c r="A2126" i="8"/>
  <c r="A2127" i="8"/>
  <c r="A2129" i="8"/>
  <c r="A2128" i="8"/>
  <c r="A2125" i="8"/>
  <c r="A2124" i="8"/>
  <c r="A2119" i="8"/>
  <c r="A2120" i="8"/>
  <c r="A2121" i="8"/>
  <c r="A2122" i="8"/>
  <c r="A2123" i="8"/>
  <c r="C198" i="7"/>
  <c r="A2113" i="8"/>
  <c r="A2114" i="8"/>
  <c r="A2115" i="8"/>
  <c r="A2116" i="8"/>
  <c r="A2117" i="8"/>
  <c r="A2110" i="8"/>
  <c r="A2109" i="8"/>
  <c r="A2108" i="8"/>
  <c r="A2111" i="8"/>
  <c r="A2112" i="8"/>
  <c r="A2118" i="8"/>
  <c r="C197" i="7"/>
  <c r="A2100" i="8"/>
  <c r="A2099" i="8"/>
  <c r="A2098" i="8"/>
  <c r="A2097" i="8"/>
  <c r="A2107" i="8"/>
  <c r="A2106" i="8"/>
  <c r="A2105" i="8"/>
  <c r="A2104" i="8"/>
  <c r="A2103" i="8"/>
  <c r="A2102" i="8"/>
  <c r="A2101" i="8"/>
  <c r="C196" i="7"/>
  <c r="A2091" i="8"/>
  <c r="A2090" i="8"/>
  <c r="A2089" i="8"/>
  <c r="A2088" i="8"/>
  <c r="A2087" i="8"/>
  <c r="A2086" i="8"/>
  <c r="A2096" i="8"/>
  <c r="A2095" i="8"/>
  <c r="A2094" i="8"/>
  <c r="A2093" i="8"/>
  <c r="A2092" i="8"/>
  <c r="C195" i="7"/>
  <c r="A2084" i="8"/>
  <c r="A2080" i="8"/>
  <c r="A2079" i="8"/>
  <c r="A2078" i="8"/>
  <c r="A2077" i="8"/>
  <c r="A2076" i="8"/>
  <c r="A2075" i="8"/>
  <c r="A2085" i="8"/>
  <c r="A2083" i="8"/>
  <c r="A2082" i="8"/>
  <c r="A2081" i="8"/>
  <c r="A2074" i="8"/>
  <c r="A2073" i="8"/>
  <c r="A2072" i="8"/>
  <c r="A2071" i="8"/>
  <c r="A2070" i="8"/>
  <c r="A1860" i="8"/>
  <c r="A1859" i="8"/>
  <c r="A1858" i="8"/>
  <c r="A1857" i="8"/>
  <c r="A1856" i="8"/>
  <c r="A1855" i="8"/>
  <c r="A1862" i="8"/>
  <c r="A1861" i="8"/>
  <c r="C174" i="7"/>
  <c r="A1844" i="8"/>
  <c r="A1845" i="8"/>
  <c r="A1846" i="8"/>
  <c r="A1847" i="8"/>
  <c r="A1848" i="8"/>
  <c r="A1849" i="8"/>
  <c r="A1850" i="8"/>
  <c r="A1851" i="8"/>
  <c r="A1852" i="8"/>
  <c r="A1853" i="8"/>
  <c r="A1854" i="8"/>
  <c r="C173" i="7"/>
  <c r="A1833" i="8"/>
  <c r="A1837" i="8"/>
  <c r="A1836" i="8"/>
  <c r="A1835" i="8"/>
  <c r="A1834" i="8"/>
  <c r="A1843" i="8"/>
  <c r="A1842" i="8"/>
  <c r="A1841" i="8"/>
  <c r="A1840" i="8"/>
  <c r="A1839" i="8"/>
  <c r="A1838" i="8"/>
  <c r="C172" i="7"/>
  <c r="A1832" i="8"/>
  <c r="A1831" i="8"/>
  <c r="A1830" i="8"/>
  <c r="A1825" i="8"/>
  <c r="A1828" i="8"/>
  <c r="A1829" i="8"/>
  <c r="A1824" i="8"/>
  <c r="A1823" i="8"/>
  <c r="A1822" i="8"/>
  <c r="A1827" i="8"/>
  <c r="A1826" i="8"/>
  <c r="C171" i="7"/>
  <c r="A1821" i="8"/>
  <c r="A1816" i="8"/>
  <c r="A1812" i="8"/>
  <c r="A1813" i="8"/>
  <c r="A1814" i="8"/>
  <c r="A1818" i="8"/>
  <c r="A1820" i="8"/>
  <c r="A1819" i="8"/>
  <c r="A1817" i="8"/>
  <c r="A1815" i="8"/>
  <c r="A1811" i="8"/>
  <c r="C170" i="7"/>
  <c r="A1801" i="8"/>
  <c r="A1805" i="8"/>
  <c r="A1806" i="8"/>
  <c r="A1807" i="8"/>
  <c r="A1810" i="8"/>
  <c r="A1809" i="8"/>
  <c r="A1808" i="8"/>
  <c r="A1804" i="8"/>
  <c r="A1803" i="8"/>
  <c r="A1802" i="8"/>
  <c r="A1800" i="8"/>
  <c r="C169" i="7"/>
  <c r="A1796" i="8"/>
  <c r="A1794" i="8"/>
  <c r="A1793" i="8"/>
  <c r="A1792" i="8"/>
  <c r="A1799" i="8"/>
  <c r="A1798" i="8"/>
  <c r="A1797" i="8"/>
  <c r="A1795" i="8"/>
  <c r="A1791" i="8"/>
  <c r="A1790" i="8"/>
  <c r="A1789" i="8"/>
  <c r="C168" i="7"/>
  <c r="A1786" i="8"/>
  <c r="A1788" i="8"/>
  <c r="A1787" i="8"/>
  <c r="A1779" i="8"/>
  <c r="A1780" i="8"/>
  <c r="A1781" i="8"/>
  <c r="A1782" i="8"/>
  <c r="A1785" i="8"/>
  <c r="A1778" i="8"/>
  <c r="A1783" i="8"/>
  <c r="A1784" i="8"/>
  <c r="C167" i="7"/>
  <c r="A1770" i="8"/>
  <c r="A1772" i="8"/>
  <c r="A1775" i="8"/>
  <c r="A1776" i="8"/>
  <c r="A1771" i="8"/>
  <c r="A1777" i="8"/>
  <c r="A1767" i="8"/>
  <c r="A1773" i="8"/>
  <c r="A1774" i="8"/>
  <c r="A1768" i="8"/>
  <c r="A1769" i="8"/>
  <c r="C166" i="7"/>
  <c r="A1759" i="8"/>
  <c r="A1757" i="8"/>
  <c r="A1756" i="8"/>
  <c r="A1758" i="8"/>
  <c r="A1763" i="8"/>
  <c r="A1764" i="8"/>
  <c r="A1765" i="8"/>
  <c r="A1762" i="8"/>
  <c r="A1761" i="8"/>
  <c r="A1760" i="8"/>
  <c r="A1766" i="8"/>
  <c r="C165" i="7"/>
  <c r="A1751" i="8"/>
  <c r="A1752" i="8"/>
  <c r="A1753" i="8"/>
  <c r="A1755" i="8"/>
  <c r="A1748" i="8"/>
  <c r="A1749" i="8"/>
  <c r="A1750" i="8"/>
  <c r="A1745" i="8"/>
  <c r="A1746" i="8"/>
  <c r="A1747" i="8"/>
  <c r="A1754" i="8"/>
  <c r="A1736" i="8"/>
  <c r="A1737" i="8"/>
  <c r="A1739" i="8"/>
  <c r="A1738" i="8"/>
  <c r="A1744" i="8"/>
  <c r="A1740" i="8"/>
  <c r="A1743" i="8"/>
  <c r="A1742" i="8"/>
  <c r="A1741" i="8"/>
  <c r="A1532" i="8"/>
  <c r="A1531" i="8"/>
  <c r="A1533" i="8"/>
  <c r="A1535" i="8"/>
  <c r="A1534" i="8"/>
  <c r="A1530" i="8"/>
  <c r="A1529" i="8"/>
  <c r="C145" i="7"/>
  <c r="A1528" i="8"/>
  <c r="A1527" i="8"/>
  <c r="A1526" i="8"/>
  <c r="A1525" i="8"/>
  <c r="C144" i="7"/>
  <c r="A1522" i="8"/>
  <c r="A1523" i="8"/>
  <c r="A1524" i="8"/>
  <c r="A1514" i="8"/>
  <c r="A1515" i="8"/>
  <c r="A1516" i="8"/>
  <c r="A1517" i="8"/>
  <c r="A1518" i="8"/>
  <c r="A1519" i="8"/>
  <c r="A1520" i="8"/>
  <c r="A1521" i="8"/>
  <c r="C143" i="7"/>
  <c r="A1504" i="8"/>
  <c r="A1503" i="8"/>
  <c r="A1506" i="8"/>
  <c r="A1513" i="8"/>
  <c r="A1512" i="8"/>
  <c r="A1511" i="8"/>
  <c r="A1510" i="8"/>
  <c r="A1509" i="8"/>
  <c r="A1508" i="8"/>
  <c r="A1507" i="8"/>
  <c r="A1505" i="8"/>
  <c r="C142" i="7"/>
  <c r="A1501" i="8"/>
  <c r="A1502" i="8"/>
  <c r="A1493" i="8"/>
  <c r="A1500" i="8"/>
  <c r="A1499" i="8"/>
  <c r="A1498" i="8"/>
  <c r="A1494" i="8"/>
  <c r="A1496" i="8"/>
  <c r="A1497" i="8"/>
  <c r="A1492" i="8"/>
  <c r="A1495" i="8"/>
  <c r="C141" i="7"/>
  <c r="A1487" i="8"/>
  <c r="A1486" i="8"/>
  <c r="A1484" i="8"/>
  <c r="A1482" i="8"/>
  <c r="A1481" i="8"/>
  <c r="A1483" i="8"/>
  <c r="A1485" i="8"/>
  <c r="A1489" i="8"/>
  <c r="A1491" i="8"/>
  <c r="A1490" i="8"/>
  <c r="A1488" i="8"/>
  <c r="C140" i="7"/>
  <c r="A1470" i="8"/>
  <c r="A1471" i="8"/>
  <c r="A1472" i="8"/>
  <c r="A1473" i="8"/>
  <c r="A1474" i="8"/>
  <c r="A1475" i="8"/>
  <c r="A1476" i="8"/>
  <c r="A1477" i="8"/>
  <c r="A1478" i="8"/>
  <c r="A1479" i="8"/>
  <c r="A1480" i="8"/>
  <c r="C139" i="7"/>
  <c r="A1461" i="8"/>
  <c r="A1465" i="8"/>
  <c r="A1466" i="8"/>
  <c r="A1468" i="8"/>
  <c r="A1460" i="8"/>
  <c r="A1467" i="8"/>
  <c r="A1469" i="8"/>
  <c r="A1459" i="8"/>
  <c r="A1462" i="8"/>
  <c r="A1463" i="8"/>
  <c r="A1464" i="8"/>
  <c r="C138" i="7"/>
  <c r="A1450" i="8"/>
  <c r="A1449" i="8"/>
  <c r="A1448" i="8"/>
  <c r="A1457" i="8"/>
  <c r="A1458" i="8"/>
  <c r="A1456" i="8"/>
  <c r="A1455" i="8"/>
  <c r="A1454" i="8"/>
  <c r="A1453" i="8"/>
  <c r="A1452" i="8"/>
  <c r="A1451" i="8"/>
  <c r="C137" i="7"/>
  <c r="A1437" i="8"/>
  <c r="A1447" i="8"/>
  <c r="A1446" i="8"/>
  <c r="A1442" i="8"/>
  <c r="A1441" i="8"/>
  <c r="A1445" i="8"/>
  <c r="A1444" i="8"/>
  <c r="A1443" i="8"/>
  <c r="A1438" i="8"/>
  <c r="A1439" i="8"/>
  <c r="A1440" i="8"/>
  <c r="C136" i="7"/>
  <c r="A1436" i="8"/>
  <c r="A1435" i="8"/>
  <c r="A1434" i="8"/>
  <c r="A1432" i="8"/>
  <c r="A1433" i="8"/>
  <c r="A1427" i="8"/>
  <c r="A1426" i="8"/>
  <c r="A1428" i="8"/>
  <c r="A1431" i="8"/>
  <c r="A1430" i="8"/>
  <c r="A1429" i="8"/>
  <c r="C135" i="7"/>
  <c r="A1425" i="8"/>
  <c r="A1417" i="8"/>
  <c r="A1415" i="8"/>
  <c r="A1419" i="8"/>
  <c r="A1424" i="8"/>
  <c r="A1423" i="8"/>
  <c r="A1418" i="8"/>
  <c r="A1420" i="8"/>
  <c r="A1422" i="8"/>
  <c r="A1421" i="8"/>
  <c r="A1416" i="8"/>
  <c r="C134" i="7"/>
  <c r="A1412" i="8"/>
  <c r="A1409" i="8"/>
  <c r="A1411" i="8"/>
  <c r="A1410" i="8"/>
  <c r="A1414" i="8"/>
  <c r="A1408" i="8"/>
  <c r="A1404" i="8"/>
  <c r="A1405" i="8"/>
  <c r="A1406" i="8"/>
  <c r="A1407" i="8"/>
  <c r="A1413" i="8"/>
  <c r="A1402" i="8"/>
  <c r="A1403" i="8"/>
  <c r="A1318" i="8"/>
  <c r="A1320" i="8"/>
  <c r="A1317" i="8"/>
  <c r="A1316" i="8"/>
  <c r="A1319" i="8"/>
  <c r="C125" i="7"/>
  <c r="A1314" i="8"/>
  <c r="A1315" i="8"/>
  <c r="A1311" i="8"/>
  <c r="A1306" i="8"/>
  <c r="A1310" i="8"/>
  <c r="A1312" i="8"/>
  <c r="A1308" i="8"/>
  <c r="A1305" i="8"/>
  <c r="A1307" i="8"/>
  <c r="A1309" i="8"/>
  <c r="A1313" i="8"/>
  <c r="C124" i="7"/>
  <c r="A1303" i="8"/>
  <c r="A1297" i="8"/>
  <c r="A1296" i="8"/>
  <c r="A1295" i="8"/>
  <c r="A1294" i="8"/>
  <c r="A1298" i="8"/>
  <c r="A1300" i="8"/>
  <c r="A1299" i="8"/>
  <c r="A1304" i="8"/>
  <c r="A1302" i="8"/>
  <c r="A1301" i="8"/>
  <c r="C123" i="7"/>
  <c r="A1289" i="8"/>
  <c r="A1288" i="8"/>
  <c r="A1287" i="8"/>
  <c r="A1286" i="8"/>
  <c r="A1285" i="8"/>
  <c r="A1284" i="8"/>
  <c r="A1283" i="8"/>
  <c r="A1292" i="8"/>
  <c r="A1293" i="8"/>
  <c r="A1291" i="8"/>
  <c r="A1290" i="8"/>
  <c r="C122" i="7"/>
  <c r="A1276" i="8"/>
  <c r="A1282" i="8"/>
  <c r="A1275" i="8"/>
  <c r="A1277" i="8"/>
  <c r="A1274" i="8"/>
  <c r="A1273" i="8"/>
  <c r="A1272" i="8"/>
  <c r="A1278" i="8"/>
  <c r="A1279" i="8"/>
  <c r="A1280" i="8"/>
  <c r="A1281" i="8"/>
  <c r="C121" i="7"/>
  <c r="A1262" i="8"/>
  <c r="A1261" i="8"/>
  <c r="A1270" i="8"/>
  <c r="A1269" i="8"/>
  <c r="A1268" i="8"/>
  <c r="A1267" i="8"/>
  <c r="A1266" i="8"/>
  <c r="A1265" i="8"/>
  <c r="A1264" i="8"/>
  <c r="A1263" i="8"/>
  <c r="A1271" i="8"/>
  <c r="C120" i="7"/>
  <c r="A1254" i="8"/>
  <c r="A1253" i="8"/>
  <c r="A1252" i="8"/>
  <c r="A1251" i="8"/>
  <c r="A1250" i="8"/>
  <c r="A1256" i="8"/>
  <c r="A1260" i="8"/>
  <c r="A1259" i="8"/>
  <c r="A1258" i="8"/>
  <c r="A1257" i="8"/>
  <c r="A1255" i="8"/>
  <c r="C119" i="7"/>
  <c r="A1243" i="8"/>
  <c r="A1244" i="8"/>
  <c r="A1245" i="8"/>
  <c r="A1246" i="8"/>
  <c r="A1242" i="8"/>
  <c r="A1247" i="8"/>
  <c r="A1241" i="8"/>
  <c r="A1248" i="8"/>
  <c r="A1249" i="8"/>
  <c r="A1239" i="8"/>
  <c r="A1240" i="8"/>
  <c r="C118" i="7"/>
  <c r="A1232" i="8"/>
  <c r="A1236" i="8"/>
  <c r="A1235" i="8"/>
  <c r="A1234" i="8"/>
  <c r="A1230" i="8"/>
  <c r="A1233" i="8"/>
  <c r="A1231" i="8"/>
  <c r="A1237" i="8"/>
  <c r="A1238" i="8"/>
  <c r="A1229" i="8"/>
  <c r="A1228" i="8"/>
  <c r="C117" i="7"/>
  <c r="A1221" i="8"/>
  <c r="A1220" i="8"/>
  <c r="A1219" i="8"/>
  <c r="A1218" i="8"/>
  <c r="A1217" i="8"/>
  <c r="A1222" i="8"/>
  <c r="A1225" i="8"/>
  <c r="A1226" i="8"/>
  <c r="A1227" i="8"/>
  <c r="A1224" i="8"/>
  <c r="A1223" i="8"/>
  <c r="C116" i="7"/>
  <c r="A1214" i="8"/>
  <c r="A1206" i="8"/>
  <c r="A1209" i="8"/>
  <c r="A1215" i="8"/>
  <c r="A1213" i="8"/>
  <c r="A1212" i="8"/>
  <c r="A1208" i="8"/>
  <c r="A1216" i="8"/>
  <c r="A1211" i="8"/>
  <c r="A1207" i="8"/>
  <c r="A1210" i="8"/>
  <c r="C115" i="7"/>
  <c r="A1200" i="8"/>
  <c r="A1204" i="8"/>
  <c r="A1198" i="8"/>
  <c r="A1205" i="8"/>
  <c r="A1202" i="8"/>
  <c r="A1201" i="8"/>
  <c r="A1196" i="8"/>
  <c r="A1199" i="8"/>
  <c r="A1195" i="8"/>
  <c r="A1203" i="8"/>
  <c r="A1197" i="8"/>
  <c r="C114" i="7"/>
  <c r="A1193" i="8"/>
  <c r="A1184" i="8"/>
  <c r="A1189" i="8"/>
  <c r="A1194" i="8"/>
  <c r="A1190" i="8"/>
  <c r="A1187" i="8"/>
  <c r="A1186" i="8"/>
  <c r="A1185" i="8"/>
  <c r="A1188" i="8"/>
  <c r="A1191" i="8"/>
  <c r="A1192" i="8"/>
  <c r="C113" i="7"/>
  <c r="A1182" i="8"/>
  <c r="A1181" i="8"/>
  <c r="A1180" i="8"/>
  <c r="A1179" i="8"/>
  <c r="A1178" i="8"/>
  <c r="A1177" i="8"/>
  <c r="A1176" i="8"/>
  <c r="A1175" i="8"/>
  <c r="A1173" i="8"/>
  <c r="A1174" i="8"/>
  <c r="A1183" i="8"/>
  <c r="C112" i="7"/>
  <c r="A1172" i="8"/>
  <c r="A1171" i="8"/>
  <c r="A1170" i="8"/>
  <c r="A1169" i="8"/>
  <c r="A1163" i="8"/>
  <c r="A1167" i="8"/>
  <c r="A1166" i="8"/>
  <c r="A1165" i="8"/>
  <c r="A1164" i="8"/>
  <c r="A1162" i="8"/>
  <c r="A1168" i="8"/>
  <c r="C111" i="7"/>
  <c r="A1157" i="8"/>
  <c r="A1158" i="8"/>
  <c r="A1159" i="8"/>
  <c r="A1160" i="8"/>
  <c r="A1161" i="8"/>
  <c r="A1154" i="8"/>
  <c r="A1151" i="8"/>
  <c r="A1152" i="8"/>
  <c r="A1153" i="8"/>
  <c r="A1155" i="8"/>
  <c r="A1156" i="8"/>
  <c r="C110" i="7"/>
  <c r="A1150" i="8"/>
  <c r="A1149" i="8"/>
  <c r="A1143" i="8"/>
  <c r="A1148" i="8"/>
  <c r="A1147" i="8"/>
  <c r="A1146" i="8"/>
  <c r="A1145" i="8"/>
  <c r="A1144" i="8"/>
  <c r="A1142" i="8"/>
  <c r="A1141" i="8"/>
  <c r="A1140" i="8"/>
  <c r="C109" i="7"/>
  <c r="A1133" i="8"/>
  <c r="A1132" i="8"/>
  <c r="A1131" i="8"/>
  <c r="A1130" i="8"/>
  <c r="A1134" i="8"/>
  <c r="A1139" i="8"/>
  <c r="A1138" i="8"/>
  <c r="A1129" i="8"/>
  <c r="A1137" i="8"/>
  <c r="A1136" i="8"/>
  <c r="A1135" i="8"/>
  <c r="C108" i="7"/>
  <c r="A1125" i="8"/>
  <c r="A1124" i="8"/>
  <c r="A1123" i="8"/>
  <c r="A1122" i="8"/>
  <c r="A1121" i="8"/>
  <c r="A1120" i="8"/>
  <c r="A1119" i="8"/>
  <c r="A1118" i="8"/>
  <c r="A1126" i="8"/>
  <c r="A1128" i="8"/>
  <c r="A1127" i="8"/>
  <c r="C107" i="7"/>
  <c r="A1114" i="8"/>
  <c r="A1113" i="8"/>
  <c r="A1112" i="8"/>
  <c r="A1111" i="8"/>
  <c r="A1110" i="8"/>
  <c r="A1109" i="8"/>
  <c r="A1108" i="8"/>
  <c r="A1107" i="8"/>
  <c r="A1116" i="8"/>
  <c r="A1117" i="8"/>
  <c r="A1115" i="8"/>
  <c r="C106" i="7"/>
  <c r="A1106" i="8"/>
  <c r="A1104" i="8"/>
  <c r="A1103" i="8"/>
  <c r="A1102" i="8"/>
  <c r="A1101" i="8"/>
  <c r="A1100" i="8"/>
  <c r="A1105" i="8"/>
  <c r="A1098" i="8"/>
  <c r="A1097" i="8"/>
  <c r="A1096" i="8"/>
  <c r="A1099" i="8"/>
  <c r="C105" i="7"/>
  <c r="A1093" i="8"/>
  <c r="A1092" i="8"/>
  <c r="A1091" i="8"/>
  <c r="A1090" i="8"/>
  <c r="A1089" i="8"/>
  <c r="A1088" i="8"/>
  <c r="A1086" i="8"/>
  <c r="A1085" i="8"/>
  <c r="A1087" i="8"/>
  <c r="A1095" i="8"/>
  <c r="A1094" i="8"/>
  <c r="C104" i="7"/>
  <c r="A1077" i="8"/>
  <c r="A1076" i="8"/>
  <c r="A1075" i="8"/>
  <c r="A1074" i="8"/>
  <c r="A1078" i="8"/>
  <c r="A1084" i="8"/>
  <c r="A1083" i="8"/>
  <c r="A1082" i="8"/>
  <c r="A1081" i="8"/>
  <c r="A1080" i="8"/>
  <c r="A1079" i="8"/>
  <c r="A1073" i="8"/>
  <c r="A1072" i="8"/>
  <c r="A1071" i="8"/>
  <c r="A1069" i="8"/>
  <c r="A1070" i="8"/>
  <c r="A1068" i="8"/>
  <c r="A1067" i="8"/>
  <c r="A888" i="8"/>
  <c r="A890" i="8"/>
  <c r="A892" i="8"/>
  <c r="A889" i="8"/>
  <c r="A887" i="8"/>
  <c r="A891" i="8"/>
  <c r="C86" i="7"/>
  <c r="A876" i="8"/>
  <c r="A883" i="8"/>
  <c r="A882" i="8"/>
  <c r="A877" i="8"/>
  <c r="A886" i="8"/>
  <c r="A881" i="8"/>
  <c r="A878" i="8"/>
  <c r="A884" i="8"/>
  <c r="A885" i="8"/>
  <c r="A880" i="8"/>
  <c r="A879" i="8"/>
  <c r="C85" i="7"/>
  <c r="A875" i="8"/>
  <c r="A873" i="8"/>
  <c r="A866" i="8"/>
  <c r="A869" i="8"/>
  <c r="A872" i="8"/>
  <c r="A874" i="8"/>
  <c r="A871" i="8"/>
  <c r="A868" i="8"/>
  <c r="A867" i="8"/>
  <c r="A870" i="8"/>
  <c r="A865" i="8"/>
  <c r="C84" i="7"/>
  <c r="A863" i="8"/>
  <c r="A862" i="8"/>
  <c r="A860" i="8"/>
  <c r="A856" i="8"/>
  <c r="A855" i="8"/>
  <c r="A858" i="8"/>
  <c r="A864" i="8"/>
  <c r="A854" i="8"/>
  <c r="A857" i="8"/>
  <c r="A861" i="8"/>
  <c r="A859" i="8"/>
  <c r="C83" i="7"/>
  <c r="A852" i="8"/>
  <c r="A848" i="8"/>
  <c r="A843" i="8"/>
  <c r="A851" i="8"/>
  <c r="A845" i="8"/>
  <c r="A849" i="8"/>
  <c r="A853" i="8"/>
  <c r="A850" i="8"/>
  <c r="A847" i="8"/>
  <c r="A844" i="8"/>
  <c r="A846" i="8"/>
  <c r="C82" i="7"/>
  <c r="A837" i="8"/>
  <c r="A840" i="8"/>
  <c r="A832" i="8"/>
  <c r="A836" i="8"/>
  <c r="A842" i="8"/>
  <c r="A835" i="8"/>
  <c r="A833" i="8"/>
  <c r="A839" i="8"/>
  <c r="A834" i="8"/>
  <c r="A838" i="8"/>
  <c r="A841" i="8"/>
  <c r="C81" i="7"/>
  <c r="A822" i="8"/>
  <c r="A825" i="8"/>
  <c r="A829" i="8"/>
  <c r="A830" i="8"/>
  <c r="A827" i="8"/>
  <c r="A828" i="8"/>
  <c r="A831" i="8"/>
  <c r="A821" i="8"/>
  <c r="A826" i="8"/>
  <c r="A824" i="8"/>
  <c r="A823" i="8"/>
  <c r="C80" i="7"/>
  <c r="A819" i="8"/>
  <c r="A814" i="8"/>
  <c r="A811" i="8"/>
  <c r="A816" i="8"/>
  <c r="A813" i="8"/>
  <c r="A820" i="8"/>
  <c r="A818" i="8"/>
  <c r="A810" i="8"/>
  <c r="A812" i="8"/>
  <c r="A815" i="8"/>
  <c r="A817" i="8"/>
  <c r="C79" i="7"/>
  <c r="A809" i="8"/>
  <c r="A800" i="8"/>
  <c r="A801" i="8"/>
  <c r="A806" i="8"/>
  <c r="A799" i="8"/>
  <c r="A808" i="8"/>
  <c r="A802" i="8"/>
  <c r="A803" i="8"/>
  <c r="A804" i="8"/>
  <c r="A807" i="8"/>
  <c r="A805" i="8"/>
  <c r="C78" i="7"/>
  <c r="A798" i="8"/>
  <c r="A791" i="8"/>
  <c r="A790" i="8"/>
  <c r="A792" i="8"/>
  <c r="A789" i="8"/>
  <c r="A788" i="8"/>
  <c r="A793" i="8"/>
  <c r="A795" i="8"/>
  <c r="A796" i="8"/>
  <c r="A794" i="8"/>
  <c r="A797" i="8"/>
  <c r="C77" i="7"/>
  <c r="A787" i="8"/>
  <c r="A784" i="8"/>
  <c r="A782" i="8"/>
  <c r="A780" i="8"/>
  <c r="A783" i="8"/>
  <c r="A785" i="8"/>
  <c r="A778" i="8"/>
  <c r="A779" i="8"/>
  <c r="A777" i="8"/>
  <c r="A781" i="8"/>
  <c r="A786" i="8"/>
  <c r="C76" i="7"/>
  <c r="A773" i="8"/>
  <c r="A768" i="8"/>
  <c r="A771" i="8"/>
  <c r="A766" i="8"/>
  <c r="A775" i="8"/>
  <c r="A776" i="8"/>
  <c r="A774" i="8"/>
  <c r="A767" i="8"/>
  <c r="A770" i="8"/>
  <c r="A769" i="8"/>
  <c r="A772" i="8"/>
  <c r="C75" i="7"/>
  <c r="A759" i="8"/>
  <c r="A762" i="8"/>
  <c r="A763" i="8"/>
  <c r="A756" i="8"/>
  <c r="A765" i="8"/>
  <c r="A761" i="8"/>
  <c r="A764" i="8"/>
  <c r="A760" i="8"/>
  <c r="A758" i="8"/>
  <c r="A757" i="8"/>
  <c r="A755" i="8"/>
  <c r="C74" i="7"/>
  <c r="A754" i="8"/>
  <c r="A750" i="8"/>
  <c r="A748" i="8"/>
  <c r="A744" i="8"/>
  <c r="A747" i="8"/>
  <c r="A753" i="8"/>
  <c r="A749" i="8"/>
  <c r="A752" i="8"/>
  <c r="A745" i="8"/>
  <c r="A751" i="8"/>
  <c r="A746" i="8"/>
  <c r="C73" i="7"/>
  <c r="A736" i="8"/>
  <c r="A738" i="8"/>
  <c r="A733" i="8"/>
  <c r="A740" i="8"/>
  <c r="A742" i="8"/>
  <c r="A737" i="8"/>
  <c r="A739" i="8"/>
  <c r="A741" i="8"/>
  <c r="A735" i="8"/>
  <c r="A743" i="8"/>
  <c r="A734" i="8"/>
  <c r="A404" i="8"/>
  <c r="A403" i="8"/>
  <c r="A405" i="8"/>
  <c r="A402" i="8"/>
  <c r="A401" i="8"/>
  <c r="A400" i="8"/>
  <c r="A399" i="8"/>
  <c r="T406" i="7"/>
  <c r="AB406" i="7"/>
  <c r="AQ406" i="7"/>
  <c r="AL406" i="7"/>
  <c r="AJ406" i="7"/>
  <c r="AH406" i="7"/>
  <c r="A4406" i="8"/>
  <c r="A4405" i="8"/>
  <c r="A4404" i="8"/>
  <c r="A4403" i="8"/>
  <c r="A4402" i="8"/>
  <c r="A4401" i="8"/>
  <c r="A4400" i="8"/>
  <c r="A4399" i="8"/>
  <c r="A4398" i="8"/>
  <c r="A4397" i="8"/>
  <c r="A4396" i="8"/>
  <c r="C406" i="7"/>
  <c r="AH405" i="7"/>
  <c r="AB405" i="7"/>
  <c r="AL405" i="7"/>
  <c r="AJ405" i="7"/>
  <c r="AQ405" i="7"/>
  <c r="T405" i="7"/>
  <c r="A4392" i="8"/>
  <c r="A4391" i="8"/>
  <c r="A4390" i="8"/>
  <c r="A4389" i="8"/>
  <c r="A4388" i="8"/>
  <c r="A4387" i="8"/>
  <c r="A4393" i="8"/>
  <c r="C405" i="7"/>
  <c r="A4386" i="8"/>
  <c r="A4385" i="8"/>
  <c r="A4394" i="8"/>
  <c r="A4395" i="8"/>
  <c r="AQ404" i="7"/>
  <c r="AH404" i="7"/>
  <c r="T404" i="7"/>
  <c r="AB404" i="7"/>
  <c r="AJ404" i="7"/>
  <c r="AL404" i="7"/>
  <c r="A4384" i="8"/>
  <c r="A4383" i="8"/>
  <c r="A4382" i="8"/>
  <c r="A4381" i="8"/>
  <c r="A4380" i="8"/>
  <c r="A4379" i="8"/>
  <c r="A4378" i="8"/>
  <c r="A4377" i="8"/>
  <c r="A4376" i="8"/>
  <c r="A4375" i="8"/>
  <c r="A4374" i="8"/>
  <c r="C404" i="7"/>
  <c r="AB403" i="7"/>
  <c r="AH403" i="7"/>
  <c r="AQ403" i="7"/>
  <c r="AL403" i="7"/>
  <c r="AJ403" i="7"/>
  <c r="T403" i="7"/>
  <c r="A4372" i="8"/>
  <c r="A4371" i="8"/>
  <c r="A4370" i="8"/>
  <c r="A4369" i="8"/>
  <c r="A4368" i="8"/>
  <c r="A4367" i="8"/>
  <c r="A4366" i="8"/>
  <c r="A4365" i="8"/>
  <c r="A4364" i="8"/>
  <c r="A4363" i="8"/>
  <c r="C403" i="7"/>
  <c r="A4373" i="8"/>
  <c r="T402" i="7"/>
  <c r="AL402" i="7"/>
  <c r="AQ402" i="7"/>
  <c r="AJ402" i="7"/>
  <c r="AH402" i="7"/>
  <c r="AB402" i="7"/>
  <c r="C402" i="7"/>
  <c r="A4362" i="8"/>
  <c r="A4360" i="8"/>
  <c r="A4361" i="8"/>
  <c r="A4352" i="8"/>
  <c r="A4353" i="8"/>
  <c r="A4354" i="8"/>
  <c r="A4355" i="8"/>
  <c r="A4356" i="8"/>
  <c r="A4357" i="8"/>
  <c r="A4358" i="8"/>
  <c r="A4359" i="8"/>
  <c r="T401" i="7"/>
  <c r="AB401" i="7"/>
  <c r="AH401" i="7"/>
  <c r="AJ401" i="7"/>
  <c r="AL401" i="7"/>
  <c r="AQ401" i="7"/>
  <c r="A4347" i="8"/>
  <c r="A4348" i="8"/>
  <c r="A4350" i="8"/>
  <c r="A4351" i="8"/>
  <c r="C401" i="7"/>
  <c r="A4346" i="8"/>
  <c r="A4349" i="8"/>
  <c r="A4344" i="8"/>
  <c r="A4343" i="8"/>
  <c r="A4345" i="8"/>
  <c r="A4342" i="8"/>
  <c r="A4341" i="8"/>
  <c r="AQ400" i="7"/>
  <c r="AJ400" i="7"/>
  <c r="AH400" i="7"/>
  <c r="AB400" i="7"/>
  <c r="T400" i="7"/>
  <c r="AL400" i="7"/>
  <c r="A4337" i="8"/>
  <c r="A4338" i="8"/>
  <c r="A4339" i="8"/>
  <c r="A4331" i="8"/>
  <c r="A4332" i="8"/>
  <c r="A4333" i="8"/>
  <c r="A4334" i="8"/>
  <c r="A4340" i="8"/>
  <c r="A4330" i="8"/>
  <c r="C400" i="7"/>
  <c r="A4335" i="8"/>
  <c r="A4336" i="8"/>
  <c r="AH399" i="7"/>
  <c r="T399" i="7"/>
  <c r="AB399" i="7"/>
  <c r="AQ399" i="7"/>
  <c r="AL399" i="7"/>
  <c r="AJ399" i="7"/>
  <c r="A4328" i="8"/>
  <c r="A4327" i="8"/>
  <c r="A4326" i="8"/>
  <c r="C399" i="7"/>
  <c r="A4329" i="8"/>
  <c r="AL398" i="7"/>
  <c r="AJ398" i="7"/>
  <c r="AQ398" i="7"/>
  <c r="AH398" i="7"/>
  <c r="AB398" i="7"/>
  <c r="T398" i="7"/>
  <c r="E398" i="7"/>
  <c r="F398" i="7"/>
  <c r="G398" i="7"/>
  <c r="H398" i="7"/>
  <c r="I398" i="7"/>
  <c r="J398" i="7"/>
  <c r="K398" i="7"/>
  <c r="L398" i="7"/>
  <c r="M398" i="7"/>
  <c r="N398" i="7"/>
  <c r="P398" i="7"/>
  <c r="Q398" i="7"/>
  <c r="R398" i="7"/>
  <c r="S398" i="7"/>
  <c r="U398" i="7"/>
  <c r="V398" i="7"/>
  <c r="W398" i="7"/>
  <c r="X398" i="7"/>
  <c r="Y398" i="7"/>
  <c r="Z398" i="7"/>
  <c r="AA398" i="7"/>
  <c r="AC398" i="7"/>
  <c r="AE398" i="7"/>
  <c r="AI398" i="7"/>
  <c r="AO398" i="7"/>
  <c r="AP398" i="7"/>
  <c r="E4308" i="8"/>
  <c r="F4308" i="8"/>
  <c r="G4308" i="8"/>
  <c r="H4308" i="8"/>
  <c r="I4308" i="8"/>
  <c r="J4308" i="8"/>
  <c r="K4308" i="8"/>
  <c r="L4308" i="8"/>
  <c r="M4308" i="8"/>
  <c r="N4308" i="8"/>
  <c r="O4308" i="8"/>
  <c r="P4308" i="8"/>
  <c r="Q4308" i="8"/>
  <c r="R4308" i="8"/>
  <c r="S4308" i="8"/>
  <c r="T4308" i="8"/>
  <c r="E4309" i="8"/>
  <c r="F4309" i="8"/>
  <c r="G4309" i="8"/>
  <c r="H4309" i="8"/>
  <c r="I4309" i="8"/>
  <c r="J4309" i="8"/>
  <c r="K4309" i="8"/>
  <c r="L4309" i="8"/>
  <c r="M4309" i="8"/>
  <c r="N4309" i="8"/>
  <c r="O4309" i="8"/>
  <c r="P4309" i="8"/>
  <c r="Q4309" i="8"/>
  <c r="R4309" i="8"/>
  <c r="S4309" i="8"/>
  <c r="T4309" i="8"/>
  <c r="E4310" i="8"/>
  <c r="F4310" i="8"/>
  <c r="G4310" i="8"/>
  <c r="H4310" i="8"/>
  <c r="I4310" i="8"/>
  <c r="J4310" i="8"/>
  <c r="K4310" i="8"/>
  <c r="L4310" i="8"/>
  <c r="M4310" i="8"/>
  <c r="N4310" i="8"/>
  <c r="O4310" i="8"/>
  <c r="P4310" i="8"/>
  <c r="Q4310" i="8"/>
  <c r="R4310" i="8"/>
  <c r="S4310" i="8"/>
  <c r="T4310" i="8"/>
  <c r="E4311" i="8"/>
  <c r="F4311" i="8"/>
  <c r="G4311" i="8"/>
  <c r="H4311" i="8"/>
  <c r="I4311" i="8"/>
  <c r="J4311" i="8"/>
  <c r="K4311" i="8"/>
  <c r="L4311" i="8"/>
  <c r="M4311" i="8"/>
  <c r="N4311" i="8"/>
  <c r="O4311" i="8"/>
  <c r="P4311" i="8"/>
  <c r="Q4311" i="8"/>
  <c r="R4311" i="8"/>
  <c r="S4311" i="8"/>
  <c r="T4311" i="8"/>
  <c r="E4312" i="8"/>
  <c r="F4312" i="8"/>
  <c r="G4312" i="8"/>
  <c r="H4312" i="8"/>
  <c r="I4312" i="8"/>
  <c r="J4312" i="8"/>
  <c r="K4312" i="8"/>
  <c r="L4312" i="8"/>
  <c r="M4312" i="8"/>
  <c r="N4312" i="8"/>
  <c r="O4312" i="8"/>
  <c r="P4312" i="8"/>
  <c r="Q4312" i="8"/>
  <c r="R4312" i="8"/>
  <c r="S4312" i="8"/>
  <c r="T4312" i="8"/>
  <c r="E4313" i="8"/>
  <c r="F4313" i="8"/>
  <c r="G4313" i="8"/>
  <c r="H4313" i="8"/>
  <c r="I4313" i="8"/>
  <c r="J4313" i="8"/>
  <c r="K4313" i="8"/>
  <c r="L4313" i="8"/>
  <c r="M4313" i="8"/>
  <c r="N4313" i="8"/>
  <c r="O4313" i="8"/>
  <c r="P4313" i="8"/>
  <c r="Q4313" i="8"/>
  <c r="R4313" i="8"/>
  <c r="S4313" i="8"/>
  <c r="T4313" i="8"/>
  <c r="E4314" i="8"/>
  <c r="F4314" i="8"/>
  <c r="G4314" i="8"/>
  <c r="H4314" i="8"/>
  <c r="I4314" i="8"/>
  <c r="J4314" i="8"/>
  <c r="K4314" i="8"/>
  <c r="L4314" i="8"/>
  <c r="M4314" i="8"/>
  <c r="N4314" i="8"/>
  <c r="O4314" i="8"/>
  <c r="P4314" i="8"/>
  <c r="Q4314" i="8"/>
  <c r="R4314" i="8"/>
  <c r="S4314" i="8"/>
  <c r="T4314" i="8"/>
  <c r="E4315" i="8"/>
  <c r="F4315" i="8"/>
  <c r="G4315" i="8"/>
  <c r="H4315" i="8"/>
  <c r="I4315" i="8"/>
  <c r="J4315" i="8"/>
  <c r="K4315" i="8"/>
  <c r="L4315" i="8"/>
  <c r="M4315" i="8"/>
  <c r="N4315" i="8"/>
  <c r="O4315" i="8"/>
  <c r="P4315" i="8"/>
  <c r="Q4315" i="8"/>
  <c r="R4315" i="8"/>
  <c r="S4315" i="8"/>
  <c r="T4315" i="8"/>
  <c r="E4316" i="8"/>
  <c r="F4316" i="8"/>
  <c r="G4316" i="8"/>
  <c r="H4316" i="8"/>
  <c r="I4316" i="8"/>
  <c r="J4316" i="8"/>
  <c r="K4316" i="8"/>
  <c r="L4316" i="8"/>
  <c r="M4316" i="8"/>
  <c r="N4316" i="8"/>
  <c r="O4316" i="8"/>
  <c r="P4316" i="8"/>
  <c r="Q4316" i="8"/>
  <c r="R4316" i="8"/>
  <c r="S4316" i="8"/>
  <c r="T4316" i="8"/>
  <c r="E4317" i="8"/>
  <c r="F4317" i="8"/>
  <c r="G4317" i="8"/>
  <c r="H4317" i="8"/>
  <c r="I4317" i="8"/>
  <c r="J4317" i="8"/>
  <c r="K4317" i="8"/>
  <c r="L4317" i="8"/>
  <c r="M4317" i="8"/>
  <c r="N4317" i="8"/>
  <c r="O4317" i="8"/>
  <c r="P4317" i="8"/>
  <c r="Q4317" i="8"/>
  <c r="R4317" i="8"/>
  <c r="S4317" i="8"/>
  <c r="T4317" i="8"/>
  <c r="E4318" i="8"/>
  <c r="F4318" i="8"/>
  <c r="G4318" i="8"/>
  <c r="H4318" i="8"/>
  <c r="I4318" i="8"/>
  <c r="J4318" i="8"/>
  <c r="K4318" i="8"/>
  <c r="L4318" i="8"/>
  <c r="M4318" i="8"/>
  <c r="N4318" i="8"/>
  <c r="O4318" i="8"/>
  <c r="P4318" i="8"/>
  <c r="Q4318" i="8"/>
  <c r="R4318" i="8"/>
  <c r="S4318" i="8"/>
  <c r="T4318" i="8"/>
  <c r="AQ397" i="7"/>
  <c r="AL397" i="7"/>
  <c r="AJ397" i="7"/>
  <c r="AH397" i="7"/>
  <c r="AB397" i="7"/>
  <c r="T397" i="7"/>
  <c r="E397" i="7"/>
  <c r="F397" i="7"/>
  <c r="G397" i="7"/>
  <c r="H397" i="7"/>
  <c r="I397" i="7"/>
  <c r="J397" i="7"/>
  <c r="K397" i="7"/>
  <c r="L397" i="7"/>
  <c r="M397" i="7"/>
  <c r="N397" i="7"/>
  <c r="P397" i="7"/>
  <c r="Q397" i="7"/>
  <c r="R397" i="7"/>
  <c r="S397" i="7"/>
  <c r="U397" i="7"/>
  <c r="V397" i="7"/>
  <c r="W397" i="7"/>
  <c r="X397" i="7"/>
  <c r="Y397" i="7"/>
  <c r="Z397" i="7"/>
  <c r="AA397" i="7"/>
  <c r="AC397" i="7"/>
  <c r="AE397" i="7"/>
  <c r="AI397" i="7"/>
  <c r="AO397" i="7"/>
  <c r="AP397" i="7"/>
  <c r="E4297" i="8"/>
  <c r="F4297" i="8"/>
  <c r="G4297" i="8"/>
  <c r="H4297" i="8"/>
  <c r="I4297" i="8"/>
  <c r="J4297" i="8"/>
  <c r="K4297" i="8"/>
  <c r="L4297" i="8"/>
  <c r="M4297" i="8"/>
  <c r="N4297" i="8"/>
  <c r="O4297" i="8"/>
  <c r="P4297" i="8"/>
  <c r="Q4297" i="8"/>
  <c r="R4297" i="8"/>
  <c r="S4297" i="8"/>
  <c r="T4297" i="8"/>
  <c r="E4298" i="8"/>
  <c r="F4298" i="8"/>
  <c r="G4298" i="8"/>
  <c r="H4298" i="8"/>
  <c r="I4298" i="8"/>
  <c r="J4298" i="8"/>
  <c r="K4298" i="8"/>
  <c r="L4298" i="8"/>
  <c r="M4298" i="8"/>
  <c r="N4298" i="8"/>
  <c r="O4298" i="8"/>
  <c r="P4298" i="8"/>
  <c r="Q4298" i="8"/>
  <c r="R4298" i="8"/>
  <c r="S4298" i="8"/>
  <c r="T4298" i="8"/>
  <c r="E4299" i="8"/>
  <c r="F4299" i="8"/>
  <c r="G4299" i="8"/>
  <c r="H4299" i="8"/>
  <c r="I4299" i="8"/>
  <c r="J4299" i="8"/>
  <c r="K4299" i="8"/>
  <c r="L4299" i="8"/>
  <c r="M4299" i="8"/>
  <c r="N4299" i="8"/>
  <c r="O4299" i="8"/>
  <c r="P4299" i="8"/>
  <c r="Q4299" i="8"/>
  <c r="R4299" i="8"/>
  <c r="S4299" i="8"/>
  <c r="T4299" i="8"/>
  <c r="E4300" i="8"/>
  <c r="F4300" i="8"/>
  <c r="G4300" i="8"/>
  <c r="H4300" i="8"/>
  <c r="I4300" i="8"/>
  <c r="J4300" i="8"/>
  <c r="K4300" i="8"/>
  <c r="L4300" i="8"/>
  <c r="M4300" i="8"/>
  <c r="N4300" i="8"/>
  <c r="O4300" i="8"/>
  <c r="P4300" i="8"/>
  <c r="Q4300" i="8"/>
  <c r="R4300" i="8"/>
  <c r="S4300" i="8"/>
  <c r="T4300" i="8"/>
  <c r="E4301" i="8"/>
  <c r="F4301" i="8"/>
  <c r="G4301" i="8"/>
  <c r="H4301" i="8"/>
  <c r="I4301" i="8"/>
  <c r="J4301" i="8"/>
  <c r="K4301" i="8"/>
  <c r="L4301" i="8"/>
  <c r="M4301" i="8"/>
  <c r="N4301" i="8"/>
  <c r="O4301" i="8"/>
  <c r="P4301" i="8"/>
  <c r="Q4301" i="8"/>
  <c r="R4301" i="8"/>
  <c r="S4301" i="8"/>
  <c r="T4301" i="8"/>
  <c r="E4302" i="8"/>
  <c r="F4302" i="8"/>
  <c r="G4302" i="8"/>
  <c r="H4302" i="8"/>
  <c r="I4302" i="8"/>
  <c r="J4302" i="8"/>
  <c r="K4302" i="8"/>
  <c r="L4302" i="8"/>
  <c r="M4302" i="8"/>
  <c r="N4302" i="8"/>
  <c r="O4302" i="8"/>
  <c r="P4302" i="8"/>
  <c r="Q4302" i="8"/>
  <c r="R4302" i="8"/>
  <c r="S4302" i="8"/>
  <c r="T4302" i="8"/>
  <c r="E4303" i="8"/>
  <c r="F4303" i="8"/>
  <c r="G4303" i="8"/>
  <c r="H4303" i="8"/>
  <c r="I4303" i="8"/>
  <c r="J4303" i="8"/>
  <c r="K4303" i="8"/>
  <c r="L4303" i="8"/>
  <c r="M4303" i="8"/>
  <c r="N4303" i="8"/>
  <c r="O4303" i="8"/>
  <c r="P4303" i="8"/>
  <c r="Q4303" i="8"/>
  <c r="R4303" i="8"/>
  <c r="S4303" i="8"/>
  <c r="T4303" i="8"/>
  <c r="E4304" i="8"/>
  <c r="F4304" i="8"/>
  <c r="G4304" i="8"/>
  <c r="H4304" i="8"/>
  <c r="I4304" i="8"/>
  <c r="J4304" i="8"/>
  <c r="K4304" i="8"/>
  <c r="L4304" i="8"/>
  <c r="M4304" i="8"/>
  <c r="N4304" i="8"/>
  <c r="O4304" i="8"/>
  <c r="P4304" i="8"/>
  <c r="Q4304" i="8"/>
  <c r="R4304" i="8"/>
  <c r="S4304" i="8"/>
  <c r="T4304" i="8"/>
  <c r="E4305" i="8"/>
  <c r="F4305" i="8"/>
  <c r="G4305" i="8"/>
  <c r="H4305" i="8"/>
  <c r="I4305" i="8"/>
  <c r="J4305" i="8"/>
  <c r="K4305" i="8"/>
  <c r="L4305" i="8"/>
  <c r="M4305" i="8"/>
  <c r="N4305" i="8"/>
  <c r="O4305" i="8"/>
  <c r="P4305" i="8"/>
  <c r="Q4305" i="8"/>
  <c r="R4305" i="8"/>
  <c r="S4305" i="8"/>
  <c r="T4305" i="8"/>
  <c r="E4306" i="8"/>
  <c r="F4306" i="8"/>
  <c r="G4306" i="8"/>
  <c r="H4306" i="8"/>
  <c r="I4306" i="8"/>
  <c r="J4306" i="8"/>
  <c r="K4306" i="8"/>
  <c r="L4306" i="8"/>
  <c r="M4306" i="8"/>
  <c r="N4306" i="8"/>
  <c r="O4306" i="8"/>
  <c r="P4306" i="8"/>
  <c r="Q4306" i="8"/>
  <c r="R4306" i="8"/>
  <c r="S4306" i="8"/>
  <c r="T4306" i="8"/>
  <c r="E4307" i="8"/>
  <c r="F4307" i="8"/>
  <c r="G4307" i="8"/>
  <c r="H4307" i="8"/>
  <c r="I4307" i="8"/>
  <c r="J4307" i="8"/>
  <c r="K4307" i="8"/>
  <c r="L4307" i="8"/>
  <c r="M4307" i="8"/>
  <c r="N4307" i="8"/>
  <c r="O4307" i="8"/>
  <c r="P4307" i="8"/>
  <c r="Q4307" i="8"/>
  <c r="R4307" i="8"/>
  <c r="S4307" i="8"/>
  <c r="T4307" i="8"/>
  <c r="AJ396" i="7"/>
  <c r="AH396" i="7"/>
  <c r="T396" i="7"/>
  <c r="AB396" i="7"/>
  <c r="AQ396" i="7"/>
  <c r="AL396" i="7"/>
  <c r="E396" i="7"/>
  <c r="F396" i="7"/>
  <c r="G396" i="7"/>
  <c r="H396" i="7"/>
  <c r="I396" i="7"/>
  <c r="J396" i="7"/>
  <c r="K396" i="7"/>
  <c r="L396" i="7"/>
  <c r="M396" i="7"/>
  <c r="N396" i="7"/>
  <c r="P396" i="7"/>
  <c r="Q396" i="7"/>
  <c r="R396" i="7"/>
  <c r="S396" i="7"/>
  <c r="U396" i="7"/>
  <c r="V396" i="7"/>
  <c r="W396" i="7"/>
  <c r="X396" i="7"/>
  <c r="Y396" i="7"/>
  <c r="Z396" i="7"/>
  <c r="AA396" i="7"/>
  <c r="AC396" i="7"/>
  <c r="AE396" i="7"/>
  <c r="AI396" i="7"/>
  <c r="AO396" i="7"/>
  <c r="AP396" i="7"/>
  <c r="E4286" i="8"/>
  <c r="F4286" i="8"/>
  <c r="G4286" i="8"/>
  <c r="H4286" i="8"/>
  <c r="I4286" i="8"/>
  <c r="J4286" i="8"/>
  <c r="K4286" i="8"/>
  <c r="L4286" i="8"/>
  <c r="M4286" i="8"/>
  <c r="N4286" i="8"/>
  <c r="O4286" i="8"/>
  <c r="P4286" i="8"/>
  <c r="Q4286" i="8"/>
  <c r="R4286" i="8"/>
  <c r="S4286" i="8"/>
  <c r="T4286" i="8"/>
  <c r="E4287" i="8"/>
  <c r="F4287" i="8"/>
  <c r="G4287" i="8"/>
  <c r="H4287" i="8"/>
  <c r="I4287" i="8"/>
  <c r="J4287" i="8"/>
  <c r="K4287" i="8"/>
  <c r="L4287" i="8"/>
  <c r="M4287" i="8"/>
  <c r="N4287" i="8"/>
  <c r="O4287" i="8"/>
  <c r="P4287" i="8"/>
  <c r="Q4287" i="8"/>
  <c r="R4287" i="8"/>
  <c r="S4287" i="8"/>
  <c r="T4287" i="8"/>
  <c r="E4288" i="8"/>
  <c r="F4288" i="8"/>
  <c r="G4288" i="8"/>
  <c r="H4288" i="8"/>
  <c r="I4288" i="8"/>
  <c r="J4288" i="8"/>
  <c r="K4288" i="8"/>
  <c r="L4288" i="8"/>
  <c r="M4288" i="8"/>
  <c r="N4288" i="8"/>
  <c r="O4288" i="8"/>
  <c r="P4288" i="8"/>
  <c r="Q4288" i="8"/>
  <c r="R4288" i="8"/>
  <c r="S4288" i="8"/>
  <c r="T4288" i="8"/>
  <c r="E4289" i="8"/>
  <c r="F4289" i="8"/>
  <c r="G4289" i="8"/>
  <c r="H4289" i="8"/>
  <c r="I4289" i="8"/>
  <c r="J4289" i="8"/>
  <c r="K4289" i="8"/>
  <c r="L4289" i="8"/>
  <c r="M4289" i="8"/>
  <c r="N4289" i="8"/>
  <c r="O4289" i="8"/>
  <c r="P4289" i="8"/>
  <c r="Q4289" i="8"/>
  <c r="R4289" i="8"/>
  <c r="S4289" i="8"/>
  <c r="T4289" i="8"/>
  <c r="E4290" i="8"/>
  <c r="F4290" i="8"/>
  <c r="G4290" i="8"/>
  <c r="H4290" i="8"/>
  <c r="I4290" i="8"/>
  <c r="J4290" i="8"/>
  <c r="K4290" i="8"/>
  <c r="L4290" i="8"/>
  <c r="M4290" i="8"/>
  <c r="N4290" i="8"/>
  <c r="O4290" i="8"/>
  <c r="P4290" i="8"/>
  <c r="Q4290" i="8"/>
  <c r="R4290" i="8"/>
  <c r="S4290" i="8"/>
  <c r="T4290" i="8"/>
  <c r="E4291" i="8"/>
  <c r="F4291" i="8"/>
  <c r="G4291" i="8"/>
  <c r="H4291" i="8"/>
  <c r="I4291" i="8"/>
  <c r="J4291" i="8"/>
  <c r="K4291" i="8"/>
  <c r="L4291" i="8"/>
  <c r="M4291" i="8"/>
  <c r="N4291" i="8"/>
  <c r="O4291" i="8"/>
  <c r="P4291" i="8"/>
  <c r="Q4291" i="8"/>
  <c r="R4291" i="8"/>
  <c r="S4291" i="8"/>
  <c r="T4291" i="8"/>
  <c r="E4292" i="8"/>
  <c r="F4292" i="8"/>
  <c r="G4292" i="8"/>
  <c r="H4292" i="8"/>
  <c r="I4292" i="8"/>
  <c r="J4292" i="8"/>
  <c r="K4292" i="8"/>
  <c r="L4292" i="8"/>
  <c r="M4292" i="8"/>
  <c r="N4292" i="8"/>
  <c r="O4292" i="8"/>
  <c r="P4292" i="8"/>
  <c r="Q4292" i="8"/>
  <c r="R4292" i="8"/>
  <c r="S4292" i="8"/>
  <c r="T4292" i="8"/>
  <c r="E4293" i="8"/>
  <c r="F4293" i="8"/>
  <c r="G4293" i="8"/>
  <c r="H4293" i="8"/>
  <c r="I4293" i="8"/>
  <c r="J4293" i="8"/>
  <c r="K4293" i="8"/>
  <c r="L4293" i="8"/>
  <c r="M4293" i="8"/>
  <c r="N4293" i="8"/>
  <c r="O4293" i="8"/>
  <c r="P4293" i="8"/>
  <c r="Q4293" i="8"/>
  <c r="R4293" i="8"/>
  <c r="S4293" i="8"/>
  <c r="T4293" i="8"/>
  <c r="E4294" i="8"/>
  <c r="F4294" i="8"/>
  <c r="G4294" i="8"/>
  <c r="H4294" i="8"/>
  <c r="I4294" i="8"/>
  <c r="J4294" i="8"/>
  <c r="K4294" i="8"/>
  <c r="L4294" i="8"/>
  <c r="M4294" i="8"/>
  <c r="N4294" i="8"/>
  <c r="O4294" i="8"/>
  <c r="P4294" i="8"/>
  <c r="Q4294" i="8"/>
  <c r="R4294" i="8"/>
  <c r="S4294" i="8"/>
  <c r="T4294" i="8"/>
  <c r="E4295" i="8"/>
  <c r="F4295" i="8"/>
  <c r="G4295" i="8"/>
  <c r="H4295" i="8"/>
  <c r="I4295" i="8"/>
  <c r="J4295" i="8"/>
  <c r="K4295" i="8"/>
  <c r="L4295" i="8"/>
  <c r="M4295" i="8"/>
  <c r="N4295" i="8"/>
  <c r="O4295" i="8"/>
  <c r="P4295" i="8"/>
  <c r="Q4295" i="8"/>
  <c r="R4295" i="8"/>
  <c r="S4295" i="8"/>
  <c r="T4295" i="8"/>
  <c r="E4296" i="8"/>
  <c r="F4296" i="8"/>
  <c r="G4296" i="8"/>
  <c r="H4296" i="8"/>
  <c r="I4296" i="8"/>
  <c r="J4296" i="8"/>
  <c r="K4296" i="8"/>
  <c r="L4296" i="8"/>
  <c r="M4296" i="8"/>
  <c r="N4296" i="8"/>
  <c r="O4296" i="8"/>
  <c r="P4296" i="8"/>
  <c r="Q4296" i="8"/>
  <c r="R4296" i="8"/>
  <c r="S4296" i="8"/>
  <c r="T4296" i="8"/>
  <c r="AQ395" i="7"/>
  <c r="AL395" i="7"/>
  <c r="AJ395" i="7"/>
  <c r="AH395" i="7"/>
  <c r="AB395" i="7"/>
  <c r="T395" i="7"/>
  <c r="E395" i="7"/>
  <c r="F395" i="7"/>
  <c r="G395" i="7"/>
  <c r="H395" i="7"/>
  <c r="I395" i="7"/>
  <c r="J395" i="7"/>
  <c r="K395" i="7"/>
  <c r="L395" i="7"/>
  <c r="M395" i="7"/>
  <c r="N395" i="7"/>
  <c r="P395" i="7"/>
  <c r="Q395" i="7"/>
  <c r="R395" i="7"/>
  <c r="S395" i="7"/>
  <c r="U395" i="7"/>
  <c r="V395" i="7"/>
  <c r="W395" i="7"/>
  <c r="X395" i="7"/>
  <c r="Y395" i="7"/>
  <c r="Z395" i="7"/>
  <c r="AA395" i="7"/>
  <c r="AC395" i="7"/>
  <c r="AE395" i="7"/>
  <c r="AI395" i="7"/>
  <c r="AO395" i="7"/>
  <c r="AP395" i="7"/>
  <c r="E4275" i="8"/>
  <c r="F4275" i="8"/>
  <c r="G4275" i="8"/>
  <c r="H4275" i="8"/>
  <c r="I4275" i="8"/>
  <c r="J4275" i="8"/>
  <c r="K4275" i="8"/>
  <c r="L4275" i="8"/>
  <c r="M4275" i="8"/>
  <c r="N4275" i="8"/>
  <c r="O4275" i="8"/>
  <c r="P4275" i="8"/>
  <c r="Q4275" i="8"/>
  <c r="R4275" i="8"/>
  <c r="S4275" i="8"/>
  <c r="T4275" i="8"/>
  <c r="E4276" i="8"/>
  <c r="F4276" i="8"/>
  <c r="G4276" i="8"/>
  <c r="H4276" i="8"/>
  <c r="I4276" i="8"/>
  <c r="J4276" i="8"/>
  <c r="K4276" i="8"/>
  <c r="L4276" i="8"/>
  <c r="M4276" i="8"/>
  <c r="N4276" i="8"/>
  <c r="O4276" i="8"/>
  <c r="P4276" i="8"/>
  <c r="Q4276" i="8"/>
  <c r="R4276" i="8"/>
  <c r="S4276" i="8"/>
  <c r="T4276" i="8"/>
  <c r="E4277" i="8"/>
  <c r="F4277" i="8"/>
  <c r="G4277" i="8"/>
  <c r="H4277" i="8"/>
  <c r="I4277" i="8"/>
  <c r="J4277" i="8"/>
  <c r="K4277" i="8"/>
  <c r="L4277" i="8"/>
  <c r="M4277" i="8"/>
  <c r="N4277" i="8"/>
  <c r="O4277" i="8"/>
  <c r="P4277" i="8"/>
  <c r="Q4277" i="8"/>
  <c r="R4277" i="8"/>
  <c r="S4277" i="8"/>
  <c r="T4277" i="8"/>
  <c r="E4278" i="8"/>
  <c r="F4278" i="8"/>
  <c r="G4278" i="8"/>
  <c r="H4278" i="8"/>
  <c r="I4278" i="8"/>
  <c r="J4278" i="8"/>
  <c r="K4278" i="8"/>
  <c r="L4278" i="8"/>
  <c r="M4278" i="8"/>
  <c r="N4278" i="8"/>
  <c r="O4278" i="8"/>
  <c r="P4278" i="8"/>
  <c r="Q4278" i="8"/>
  <c r="R4278" i="8"/>
  <c r="S4278" i="8"/>
  <c r="T4278" i="8"/>
  <c r="E4279" i="8"/>
  <c r="F4279" i="8"/>
  <c r="G4279" i="8"/>
  <c r="H4279" i="8"/>
  <c r="I4279" i="8"/>
  <c r="J4279" i="8"/>
  <c r="K4279" i="8"/>
  <c r="L4279" i="8"/>
  <c r="M4279" i="8"/>
  <c r="N4279" i="8"/>
  <c r="O4279" i="8"/>
  <c r="P4279" i="8"/>
  <c r="Q4279" i="8"/>
  <c r="R4279" i="8"/>
  <c r="S4279" i="8"/>
  <c r="T4279" i="8"/>
  <c r="E4280" i="8"/>
  <c r="F4280" i="8"/>
  <c r="G4280" i="8"/>
  <c r="H4280" i="8"/>
  <c r="I4280" i="8"/>
  <c r="J4280" i="8"/>
  <c r="K4280" i="8"/>
  <c r="L4280" i="8"/>
  <c r="M4280" i="8"/>
  <c r="N4280" i="8"/>
  <c r="O4280" i="8"/>
  <c r="P4280" i="8"/>
  <c r="Q4280" i="8"/>
  <c r="R4280" i="8"/>
  <c r="S4280" i="8"/>
  <c r="T4280" i="8"/>
  <c r="E4281" i="8"/>
  <c r="F4281" i="8"/>
  <c r="G4281" i="8"/>
  <c r="H4281" i="8"/>
  <c r="I4281" i="8"/>
  <c r="J4281" i="8"/>
  <c r="K4281" i="8"/>
  <c r="L4281" i="8"/>
  <c r="M4281" i="8"/>
  <c r="N4281" i="8"/>
  <c r="O4281" i="8"/>
  <c r="P4281" i="8"/>
  <c r="Q4281" i="8"/>
  <c r="R4281" i="8"/>
  <c r="S4281" i="8"/>
  <c r="T4281" i="8"/>
  <c r="E4282" i="8"/>
  <c r="F4282" i="8"/>
  <c r="G4282" i="8"/>
  <c r="H4282" i="8"/>
  <c r="I4282" i="8"/>
  <c r="J4282" i="8"/>
  <c r="K4282" i="8"/>
  <c r="L4282" i="8"/>
  <c r="M4282" i="8"/>
  <c r="N4282" i="8"/>
  <c r="O4282" i="8"/>
  <c r="P4282" i="8"/>
  <c r="Q4282" i="8"/>
  <c r="R4282" i="8"/>
  <c r="S4282" i="8"/>
  <c r="T4282" i="8"/>
  <c r="E4283" i="8"/>
  <c r="F4283" i="8"/>
  <c r="G4283" i="8"/>
  <c r="H4283" i="8"/>
  <c r="I4283" i="8"/>
  <c r="J4283" i="8"/>
  <c r="K4283" i="8"/>
  <c r="L4283" i="8"/>
  <c r="M4283" i="8"/>
  <c r="N4283" i="8"/>
  <c r="O4283" i="8"/>
  <c r="P4283" i="8"/>
  <c r="Q4283" i="8"/>
  <c r="R4283" i="8"/>
  <c r="S4283" i="8"/>
  <c r="T4283" i="8"/>
  <c r="E4284" i="8"/>
  <c r="F4284" i="8"/>
  <c r="G4284" i="8"/>
  <c r="H4284" i="8"/>
  <c r="I4284" i="8"/>
  <c r="J4284" i="8"/>
  <c r="K4284" i="8"/>
  <c r="L4284" i="8"/>
  <c r="M4284" i="8"/>
  <c r="N4284" i="8"/>
  <c r="O4284" i="8"/>
  <c r="P4284" i="8"/>
  <c r="Q4284" i="8"/>
  <c r="R4284" i="8"/>
  <c r="S4284" i="8"/>
  <c r="T4284" i="8"/>
  <c r="E4285" i="8"/>
  <c r="F4285" i="8"/>
  <c r="G4285" i="8"/>
  <c r="H4285" i="8"/>
  <c r="I4285" i="8"/>
  <c r="J4285" i="8"/>
  <c r="K4285" i="8"/>
  <c r="L4285" i="8"/>
  <c r="M4285" i="8"/>
  <c r="N4285" i="8"/>
  <c r="O4285" i="8"/>
  <c r="P4285" i="8"/>
  <c r="Q4285" i="8"/>
  <c r="R4285" i="8"/>
  <c r="S4285" i="8"/>
  <c r="T4285" i="8"/>
  <c r="AQ394" i="7"/>
  <c r="AL394" i="7"/>
  <c r="AJ394" i="7"/>
  <c r="AH394" i="7"/>
  <c r="AB394" i="7"/>
  <c r="T394" i="7"/>
  <c r="E394" i="7"/>
  <c r="F394" i="7"/>
  <c r="G394" i="7"/>
  <c r="H394" i="7"/>
  <c r="I394" i="7"/>
  <c r="J394" i="7"/>
  <c r="K394" i="7"/>
  <c r="L394" i="7"/>
  <c r="M394" i="7"/>
  <c r="N394" i="7"/>
  <c r="P394" i="7"/>
  <c r="Q394" i="7"/>
  <c r="R394" i="7"/>
  <c r="S394" i="7"/>
  <c r="U394" i="7"/>
  <c r="V394" i="7"/>
  <c r="W394" i="7"/>
  <c r="X394" i="7"/>
  <c r="Y394" i="7"/>
  <c r="Z394" i="7"/>
  <c r="AA394" i="7"/>
  <c r="AC394" i="7"/>
  <c r="AE394" i="7"/>
  <c r="AI394" i="7"/>
  <c r="AO394" i="7"/>
  <c r="AP394" i="7"/>
  <c r="E4264" i="8"/>
  <c r="F4264" i="8"/>
  <c r="G4264" i="8"/>
  <c r="H4264" i="8"/>
  <c r="I4264" i="8"/>
  <c r="J4264" i="8"/>
  <c r="K4264" i="8"/>
  <c r="L4264" i="8"/>
  <c r="M4264" i="8"/>
  <c r="N4264" i="8"/>
  <c r="O4264" i="8"/>
  <c r="P4264" i="8"/>
  <c r="Q4264" i="8"/>
  <c r="R4264" i="8"/>
  <c r="S4264" i="8"/>
  <c r="T4264" i="8"/>
  <c r="E4265" i="8"/>
  <c r="F4265" i="8"/>
  <c r="G4265" i="8"/>
  <c r="H4265" i="8"/>
  <c r="I4265" i="8"/>
  <c r="J4265" i="8"/>
  <c r="K4265" i="8"/>
  <c r="L4265" i="8"/>
  <c r="M4265" i="8"/>
  <c r="N4265" i="8"/>
  <c r="O4265" i="8"/>
  <c r="P4265" i="8"/>
  <c r="Q4265" i="8"/>
  <c r="R4265" i="8"/>
  <c r="S4265" i="8"/>
  <c r="T4265" i="8"/>
  <c r="E4266" i="8"/>
  <c r="F4266" i="8"/>
  <c r="G4266" i="8"/>
  <c r="H4266" i="8"/>
  <c r="I4266" i="8"/>
  <c r="J4266" i="8"/>
  <c r="K4266" i="8"/>
  <c r="L4266" i="8"/>
  <c r="M4266" i="8"/>
  <c r="N4266" i="8"/>
  <c r="O4266" i="8"/>
  <c r="P4266" i="8"/>
  <c r="Q4266" i="8"/>
  <c r="R4266" i="8"/>
  <c r="S4266" i="8"/>
  <c r="T4266" i="8"/>
  <c r="E4267" i="8"/>
  <c r="F4267" i="8"/>
  <c r="G4267" i="8"/>
  <c r="H4267" i="8"/>
  <c r="I4267" i="8"/>
  <c r="J4267" i="8"/>
  <c r="K4267" i="8"/>
  <c r="L4267" i="8"/>
  <c r="M4267" i="8"/>
  <c r="N4267" i="8"/>
  <c r="O4267" i="8"/>
  <c r="P4267" i="8"/>
  <c r="Q4267" i="8"/>
  <c r="R4267" i="8"/>
  <c r="S4267" i="8"/>
  <c r="T4267" i="8"/>
  <c r="E4268" i="8"/>
  <c r="F4268" i="8"/>
  <c r="G4268" i="8"/>
  <c r="H4268" i="8"/>
  <c r="I4268" i="8"/>
  <c r="J4268" i="8"/>
  <c r="K4268" i="8"/>
  <c r="L4268" i="8"/>
  <c r="M4268" i="8"/>
  <c r="N4268" i="8"/>
  <c r="O4268" i="8"/>
  <c r="P4268" i="8"/>
  <c r="Q4268" i="8"/>
  <c r="R4268" i="8"/>
  <c r="S4268" i="8"/>
  <c r="T4268" i="8"/>
  <c r="E4269" i="8"/>
  <c r="F4269" i="8"/>
  <c r="G4269" i="8"/>
  <c r="H4269" i="8"/>
  <c r="I4269" i="8"/>
  <c r="J4269" i="8"/>
  <c r="K4269" i="8"/>
  <c r="L4269" i="8"/>
  <c r="M4269" i="8"/>
  <c r="N4269" i="8"/>
  <c r="O4269" i="8"/>
  <c r="P4269" i="8"/>
  <c r="Q4269" i="8"/>
  <c r="R4269" i="8"/>
  <c r="S4269" i="8"/>
  <c r="T4269" i="8"/>
  <c r="E4270" i="8"/>
  <c r="F4270" i="8"/>
  <c r="G4270" i="8"/>
  <c r="H4270" i="8"/>
  <c r="I4270" i="8"/>
  <c r="J4270" i="8"/>
  <c r="K4270" i="8"/>
  <c r="L4270" i="8"/>
  <c r="M4270" i="8"/>
  <c r="N4270" i="8"/>
  <c r="O4270" i="8"/>
  <c r="P4270" i="8"/>
  <c r="Q4270" i="8"/>
  <c r="R4270" i="8"/>
  <c r="S4270" i="8"/>
  <c r="T4270" i="8"/>
  <c r="E4271" i="8"/>
  <c r="F4271" i="8"/>
  <c r="G4271" i="8"/>
  <c r="H4271" i="8"/>
  <c r="I4271" i="8"/>
  <c r="J4271" i="8"/>
  <c r="K4271" i="8"/>
  <c r="L4271" i="8"/>
  <c r="M4271" i="8"/>
  <c r="N4271" i="8"/>
  <c r="O4271" i="8"/>
  <c r="P4271" i="8"/>
  <c r="Q4271" i="8"/>
  <c r="R4271" i="8"/>
  <c r="S4271" i="8"/>
  <c r="T4271" i="8"/>
  <c r="E4272" i="8"/>
  <c r="F4272" i="8"/>
  <c r="G4272" i="8"/>
  <c r="H4272" i="8"/>
  <c r="I4272" i="8"/>
  <c r="J4272" i="8"/>
  <c r="K4272" i="8"/>
  <c r="L4272" i="8"/>
  <c r="M4272" i="8"/>
  <c r="N4272" i="8"/>
  <c r="O4272" i="8"/>
  <c r="P4272" i="8"/>
  <c r="Q4272" i="8"/>
  <c r="R4272" i="8"/>
  <c r="S4272" i="8"/>
  <c r="T4272" i="8"/>
  <c r="E4273" i="8"/>
  <c r="F4273" i="8"/>
  <c r="G4273" i="8"/>
  <c r="H4273" i="8"/>
  <c r="I4273" i="8"/>
  <c r="J4273" i="8"/>
  <c r="K4273" i="8"/>
  <c r="L4273" i="8"/>
  <c r="M4273" i="8"/>
  <c r="N4273" i="8"/>
  <c r="O4273" i="8"/>
  <c r="P4273" i="8"/>
  <c r="Q4273" i="8"/>
  <c r="R4273" i="8"/>
  <c r="S4273" i="8"/>
  <c r="T4273" i="8"/>
  <c r="E4274" i="8"/>
  <c r="F4274" i="8"/>
  <c r="G4274" i="8"/>
  <c r="H4274" i="8"/>
  <c r="I4274" i="8"/>
  <c r="J4274" i="8"/>
  <c r="K4274" i="8"/>
  <c r="L4274" i="8"/>
  <c r="M4274" i="8"/>
  <c r="N4274" i="8"/>
  <c r="O4274" i="8"/>
  <c r="P4274" i="8"/>
  <c r="Q4274" i="8"/>
  <c r="R4274" i="8"/>
  <c r="S4274" i="8"/>
  <c r="T4274" i="8"/>
  <c r="AL393" i="7"/>
  <c r="AJ393" i="7"/>
  <c r="AH393" i="7"/>
  <c r="AB393" i="7"/>
  <c r="T393" i="7"/>
  <c r="AQ393" i="7"/>
  <c r="E393" i="7"/>
  <c r="F393" i="7"/>
  <c r="G393" i="7"/>
  <c r="H393" i="7"/>
  <c r="I393" i="7"/>
  <c r="J393" i="7"/>
  <c r="K393" i="7"/>
  <c r="L393" i="7"/>
  <c r="M393" i="7"/>
  <c r="N393" i="7"/>
  <c r="P393" i="7"/>
  <c r="Q393" i="7"/>
  <c r="R393" i="7"/>
  <c r="S393" i="7"/>
  <c r="U393" i="7"/>
  <c r="V393" i="7"/>
  <c r="W393" i="7"/>
  <c r="X393" i="7"/>
  <c r="Y393" i="7"/>
  <c r="Z393" i="7"/>
  <c r="AA393" i="7"/>
  <c r="AC393" i="7"/>
  <c r="AE393" i="7"/>
  <c r="AI393" i="7"/>
  <c r="AO393" i="7"/>
  <c r="AP393" i="7"/>
  <c r="E4253" i="8"/>
  <c r="F4253" i="8"/>
  <c r="G4253" i="8"/>
  <c r="H4253" i="8"/>
  <c r="I4253" i="8"/>
  <c r="J4253" i="8"/>
  <c r="K4253" i="8"/>
  <c r="L4253" i="8"/>
  <c r="M4253" i="8"/>
  <c r="N4253" i="8"/>
  <c r="O4253" i="8"/>
  <c r="P4253" i="8"/>
  <c r="Q4253" i="8"/>
  <c r="R4253" i="8"/>
  <c r="S4253" i="8"/>
  <c r="T4253" i="8"/>
  <c r="E4254" i="8"/>
  <c r="F4254" i="8"/>
  <c r="G4254" i="8"/>
  <c r="H4254" i="8"/>
  <c r="I4254" i="8"/>
  <c r="J4254" i="8"/>
  <c r="K4254" i="8"/>
  <c r="L4254" i="8"/>
  <c r="M4254" i="8"/>
  <c r="N4254" i="8"/>
  <c r="O4254" i="8"/>
  <c r="P4254" i="8"/>
  <c r="Q4254" i="8"/>
  <c r="R4254" i="8"/>
  <c r="S4254" i="8"/>
  <c r="T4254" i="8"/>
  <c r="E4255" i="8"/>
  <c r="F4255" i="8"/>
  <c r="G4255" i="8"/>
  <c r="H4255" i="8"/>
  <c r="I4255" i="8"/>
  <c r="J4255" i="8"/>
  <c r="K4255" i="8"/>
  <c r="L4255" i="8"/>
  <c r="M4255" i="8"/>
  <c r="N4255" i="8"/>
  <c r="O4255" i="8"/>
  <c r="P4255" i="8"/>
  <c r="Q4255" i="8"/>
  <c r="R4255" i="8"/>
  <c r="S4255" i="8"/>
  <c r="T4255" i="8"/>
  <c r="E4256" i="8"/>
  <c r="F4256" i="8"/>
  <c r="G4256" i="8"/>
  <c r="H4256" i="8"/>
  <c r="I4256" i="8"/>
  <c r="J4256" i="8"/>
  <c r="K4256" i="8"/>
  <c r="L4256" i="8"/>
  <c r="M4256" i="8"/>
  <c r="N4256" i="8"/>
  <c r="O4256" i="8"/>
  <c r="P4256" i="8"/>
  <c r="Q4256" i="8"/>
  <c r="R4256" i="8"/>
  <c r="S4256" i="8"/>
  <c r="T4256" i="8"/>
  <c r="E4257" i="8"/>
  <c r="F4257" i="8"/>
  <c r="G4257" i="8"/>
  <c r="H4257" i="8"/>
  <c r="I4257" i="8"/>
  <c r="J4257" i="8"/>
  <c r="K4257" i="8"/>
  <c r="L4257" i="8"/>
  <c r="M4257" i="8"/>
  <c r="N4257" i="8"/>
  <c r="O4257" i="8"/>
  <c r="P4257" i="8"/>
  <c r="Q4257" i="8"/>
  <c r="R4257" i="8"/>
  <c r="S4257" i="8"/>
  <c r="T4257" i="8"/>
  <c r="E4258" i="8"/>
  <c r="F4258" i="8"/>
  <c r="G4258" i="8"/>
  <c r="H4258" i="8"/>
  <c r="I4258" i="8"/>
  <c r="J4258" i="8"/>
  <c r="K4258" i="8"/>
  <c r="L4258" i="8"/>
  <c r="M4258" i="8"/>
  <c r="N4258" i="8"/>
  <c r="O4258" i="8"/>
  <c r="P4258" i="8"/>
  <c r="Q4258" i="8"/>
  <c r="R4258" i="8"/>
  <c r="S4258" i="8"/>
  <c r="T4258" i="8"/>
  <c r="E4259" i="8"/>
  <c r="F4259" i="8"/>
  <c r="G4259" i="8"/>
  <c r="H4259" i="8"/>
  <c r="I4259" i="8"/>
  <c r="J4259" i="8"/>
  <c r="K4259" i="8"/>
  <c r="L4259" i="8"/>
  <c r="M4259" i="8"/>
  <c r="N4259" i="8"/>
  <c r="O4259" i="8"/>
  <c r="P4259" i="8"/>
  <c r="Q4259" i="8"/>
  <c r="R4259" i="8"/>
  <c r="S4259" i="8"/>
  <c r="T4259" i="8"/>
  <c r="E4260" i="8"/>
  <c r="F4260" i="8"/>
  <c r="G4260" i="8"/>
  <c r="H4260" i="8"/>
  <c r="I4260" i="8"/>
  <c r="J4260" i="8"/>
  <c r="K4260" i="8"/>
  <c r="L4260" i="8"/>
  <c r="M4260" i="8"/>
  <c r="N4260" i="8"/>
  <c r="O4260" i="8"/>
  <c r="P4260" i="8"/>
  <c r="Q4260" i="8"/>
  <c r="R4260" i="8"/>
  <c r="S4260" i="8"/>
  <c r="T4260" i="8"/>
  <c r="E4261" i="8"/>
  <c r="F4261" i="8"/>
  <c r="G4261" i="8"/>
  <c r="H4261" i="8"/>
  <c r="I4261" i="8"/>
  <c r="J4261" i="8"/>
  <c r="K4261" i="8"/>
  <c r="L4261" i="8"/>
  <c r="M4261" i="8"/>
  <c r="N4261" i="8"/>
  <c r="O4261" i="8"/>
  <c r="P4261" i="8"/>
  <c r="Q4261" i="8"/>
  <c r="R4261" i="8"/>
  <c r="S4261" i="8"/>
  <c r="T4261" i="8"/>
  <c r="E4262" i="8"/>
  <c r="F4262" i="8"/>
  <c r="G4262" i="8"/>
  <c r="H4262" i="8"/>
  <c r="I4262" i="8"/>
  <c r="J4262" i="8"/>
  <c r="K4262" i="8"/>
  <c r="L4262" i="8"/>
  <c r="M4262" i="8"/>
  <c r="N4262" i="8"/>
  <c r="O4262" i="8"/>
  <c r="P4262" i="8"/>
  <c r="Q4262" i="8"/>
  <c r="R4262" i="8"/>
  <c r="S4262" i="8"/>
  <c r="T4262" i="8"/>
  <c r="E4263" i="8"/>
  <c r="F4263" i="8"/>
  <c r="G4263" i="8"/>
  <c r="H4263" i="8"/>
  <c r="I4263" i="8"/>
  <c r="J4263" i="8"/>
  <c r="K4263" i="8"/>
  <c r="L4263" i="8"/>
  <c r="M4263" i="8"/>
  <c r="N4263" i="8"/>
  <c r="O4263" i="8"/>
  <c r="P4263" i="8"/>
  <c r="Q4263" i="8"/>
  <c r="R4263" i="8"/>
  <c r="S4263" i="8"/>
  <c r="T4263" i="8"/>
  <c r="AL392" i="7"/>
  <c r="AJ392" i="7"/>
  <c r="AH392" i="7"/>
  <c r="AB392" i="7"/>
  <c r="AQ392" i="7"/>
  <c r="T392" i="7"/>
  <c r="E392" i="7"/>
  <c r="F392" i="7"/>
  <c r="G392" i="7"/>
  <c r="H392" i="7"/>
  <c r="I392" i="7"/>
  <c r="J392" i="7"/>
  <c r="K392" i="7"/>
  <c r="L392" i="7"/>
  <c r="M392" i="7"/>
  <c r="N392" i="7"/>
  <c r="P392" i="7"/>
  <c r="Q392" i="7"/>
  <c r="R392" i="7"/>
  <c r="S392" i="7"/>
  <c r="U392" i="7"/>
  <c r="V392" i="7"/>
  <c r="W392" i="7"/>
  <c r="X392" i="7"/>
  <c r="Y392" i="7"/>
  <c r="Z392" i="7"/>
  <c r="AA392" i="7"/>
  <c r="AC392" i="7"/>
  <c r="AE392" i="7"/>
  <c r="AI392" i="7"/>
  <c r="AO392" i="7"/>
  <c r="AP392" i="7"/>
  <c r="E4242" i="8"/>
  <c r="F4242" i="8"/>
  <c r="G4242" i="8"/>
  <c r="H4242" i="8"/>
  <c r="I4242" i="8"/>
  <c r="J4242" i="8"/>
  <c r="K4242" i="8"/>
  <c r="L4242" i="8"/>
  <c r="M4242" i="8"/>
  <c r="N4242" i="8"/>
  <c r="O4242" i="8"/>
  <c r="P4242" i="8"/>
  <c r="Q4242" i="8"/>
  <c r="R4242" i="8"/>
  <c r="S4242" i="8"/>
  <c r="T4242" i="8"/>
  <c r="E4243" i="8"/>
  <c r="F4243" i="8"/>
  <c r="G4243" i="8"/>
  <c r="H4243" i="8"/>
  <c r="I4243" i="8"/>
  <c r="J4243" i="8"/>
  <c r="K4243" i="8"/>
  <c r="L4243" i="8"/>
  <c r="M4243" i="8"/>
  <c r="N4243" i="8"/>
  <c r="O4243" i="8"/>
  <c r="P4243" i="8"/>
  <c r="Q4243" i="8"/>
  <c r="R4243" i="8"/>
  <c r="S4243" i="8"/>
  <c r="T4243" i="8"/>
  <c r="E4244" i="8"/>
  <c r="F4244" i="8"/>
  <c r="G4244" i="8"/>
  <c r="H4244" i="8"/>
  <c r="I4244" i="8"/>
  <c r="J4244" i="8"/>
  <c r="K4244" i="8"/>
  <c r="L4244" i="8"/>
  <c r="M4244" i="8"/>
  <c r="N4244" i="8"/>
  <c r="O4244" i="8"/>
  <c r="P4244" i="8"/>
  <c r="Q4244" i="8"/>
  <c r="R4244" i="8"/>
  <c r="S4244" i="8"/>
  <c r="T4244" i="8"/>
  <c r="E4245" i="8"/>
  <c r="F4245" i="8"/>
  <c r="G4245" i="8"/>
  <c r="H4245" i="8"/>
  <c r="I4245" i="8"/>
  <c r="J4245" i="8"/>
  <c r="K4245" i="8"/>
  <c r="L4245" i="8"/>
  <c r="M4245" i="8"/>
  <c r="N4245" i="8"/>
  <c r="O4245" i="8"/>
  <c r="P4245" i="8"/>
  <c r="Q4245" i="8"/>
  <c r="R4245" i="8"/>
  <c r="S4245" i="8"/>
  <c r="T4245" i="8"/>
  <c r="E4246" i="8"/>
  <c r="F4246" i="8"/>
  <c r="G4246" i="8"/>
  <c r="H4246" i="8"/>
  <c r="I4246" i="8"/>
  <c r="J4246" i="8"/>
  <c r="K4246" i="8"/>
  <c r="L4246" i="8"/>
  <c r="M4246" i="8"/>
  <c r="N4246" i="8"/>
  <c r="O4246" i="8"/>
  <c r="P4246" i="8"/>
  <c r="Q4246" i="8"/>
  <c r="R4246" i="8"/>
  <c r="S4246" i="8"/>
  <c r="T4246" i="8"/>
  <c r="E4247" i="8"/>
  <c r="F4247" i="8"/>
  <c r="G4247" i="8"/>
  <c r="H4247" i="8"/>
  <c r="I4247" i="8"/>
  <c r="J4247" i="8"/>
  <c r="K4247" i="8"/>
  <c r="L4247" i="8"/>
  <c r="M4247" i="8"/>
  <c r="N4247" i="8"/>
  <c r="O4247" i="8"/>
  <c r="P4247" i="8"/>
  <c r="Q4247" i="8"/>
  <c r="R4247" i="8"/>
  <c r="S4247" i="8"/>
  <c r="T4247" i="8"/>
  <c r="E4248" i="8"/>
  <c r="F4248" i="8"/>
  <c r="G4248" i="8"/>
  <c r="H4248" i="8"/>
  <c r="I4248" i="8"/>
  <c r="J4248" i="8"/>
  <c r="K4248" i="8"/>
  <c r="L4248" i="8"/>
  <c r="M4248" i="8"/>
  <c r="N4248" i="8"/>
  <c r="O4248" i="8"/>
  <c r="P4248" i="8"/>
  <c r="Q4248" i="8"/>
  <c r="R4248" i="8"/>
  <c r="S4248" i="8"/>
  <c r="T4248" i="8"/>
  <c r="E4249" i="8"/>
  <c r="F4249" i="8"/>
  <c r="G4249" i="8"/>
  <c r="H4249" i="8"/>
  <c r="I4249" i="8"/>
  <c r="J4249" i="8"/>
  <c r="K4249" i="8"/>
  <c r="L4249" i="8"/>
  <c r="M4249" i="8"/>
  <c r="N4249" i="8"/>
  <c r="O4249" i="8"/>
  <c r="P4249" i="8"/>
  <c r="Q4249" i="8"/>
  <c r="R4249" i="8"/>
  <c r="S4249" i="8"/>
  <c r="T4249" i="8"/>
  <c r="E4250" i="8"/>
  <c r="F4250" i="8"/>
  <c r="G4250" i="8"/>
  <c r="H4250" i="8"/>
  <c r="I4250" i="8"/>
  <c r="J4250" i="8"/>
  <c r="K4250" i="8"/>
  <c r="L4250" i="8"/>
  <c r="M4250" i="8"/>
  <c r="N4250" i="8"/>
  <c r="O4250" i="8"/>
  <c r="P4250" i="8"/>
  <c r="Q4250" i="8"/>
  <c r="R4250" i="8"/>
  <c r="S4250" i="8"/>
  <c r="T4250" i="8"/>
  <c r="E4251" i="8"/>
  <c r="F4251" i="8"/>
  <c r="G4251" i="8"/>
  <c r="H4251" i="8"/>
  <c r="I4251" i="8"/>
  <c r="J4251" i="8"/>
  <c r="K4251" i="8"/>
  <c r="L4251" i="8"/>
  <c r="M4251" i="8"/>
  <c r="N4251" i="8"/>
  <c r="O4251" i="8"/>
  <c r="P4251" i="8"/>
  <c r="Q4251" i="8"/>
  <c r="R4251" i="8"/>
  <c r="S4251" i="8"/>
  <c r="T4251" i="8"/>
  <c r="E4252" i="8"/>
  <c r="F4252" i="8"/>
  <c r="G4252" i="8"/>
  <c r="H4252" i="8"/>
  <c r="I4252" i="8"/>
  <c r="J4252" i="8"/>
  <c r="K4252" i="8"/>
  <c r="L4252" i="8"/>
  <c r="M4252" i="8"/>
  <c r="N4252" i="8"/>
  <c r="O4252" i="8"/>
  <c r="P4252" i="8"/>
  <c r="Q4252" i="8"/>
  <c r="R4252" i="8"/>
  <c r="S4252" i="8"/>
  <c r="T4252" i="8"/>
  <c r="AL391" i="7"/>
  <c r="AQ391" i="7"/>
  <c r="AB391" i="7"/>
  <c r="T391" i="7"/>
  <c r="AH391" i="7"/>
  <c r="AJ391" i="7"/>
  <c r="E391" i="7"/>
  <c r="F391" i="7"/>
  <c r="G391" i="7"/>
  <c r="H391" i="7"/>
  <c r="I391" i="7"/>
  <c r="J391" i="7"/>
  <c r="K391" i="7"/>
  <c r="L391" i="7"/>
  <c r="M391" i="7"/>
  <c r="N391" i="7"/>
  <c r="P391" i="7"/>
  <c r="Q391" i="7"/>
  <c r="R391" i="7"/>
  <c r="S391" i="7"/>
  <c r="U391" i="7"/>
  <c r="V391" i="7"/>
  <c r="W391" i="7"/>
  <c r="X391" i="7"/>
  <c r="Y391" i="7"/>
  <c r="Z391" i="7"/>
  <c r="AA391" i="7"/>
  <c r="AC391" i="7"/>
  <c r="AE391" i="7"/>
  <c r="AI391" i="7"/>
  <c r="AO391" i="7"/>
  <c r="AP391" i="7"/>
  <c r="E4231" i="8"/>
  <c r="F4231" i="8"/>
  <c r="G4231" i="8"/>
  <c r="H4231" i="8"/>
  <c r="I4231" i="8"/>
  <c r="J4231" i="8"/>
  <c r="K4231" i="8"/>
  <c r="L4231" i="8"/>
  <c r="M4231" i="8"/>
  <c r="N4231" i="8"/>
  <c r="O4231" i="8"/>
  <c r="P4231" i="8"/>
  <c r="Q4231" i="8"/>
  <c r="R4231" i="8"/>
  <c r="S4231" i="8"/>
  <c r="T4231" i="8"/>
  <c r="E4232" i="8"/>
  <c r="F4232" i="8"/>
  <c r="G4232" i="8"/>
  <c r="H4232" i="8"/>
  <c r="I4232" i="8"/>
  <c r="J4232" i="8"/>
  <c r="K4232" i="8"/>
  <c r="L4232" i="8"/>
  <c r="M4232" i="8"/>
  <c r="N4232" i="8"/>
  <c r="O4232" i="8"/>
  <c r="P4232" i="8"/>
  <c r="Q4232" i="8"/>
  <c r="R4232" i="8"/>
  <c r="S4232" i="8"/>
  <c r="T4232" i="8"/>
  <c r="E4233" i="8"/>
  <c r="F4233" i="8"/>
  <c r="G4233" i="8"/>
  <c r="H4233" i="8"/>
  <c r="I4233" i="8"/>
  <c r="J4233" i="8"/>
  <c r="K4233" i="8"/>
  <c r="L4233" i="8"/>
  <c r="M4233" i="8"/>
  <c r="N4233" i="8"/>
  <c r="O4233" i="8"/>
  <c r="P4233" i="8"/>
  <c r="Q4233" i="8"/>
  <c r="R4233" i="8"/>
  <c r="S4233" i="8"/>
  <c r="T4233" i="8"/>
  <c r="E4234" i="8"/>
  <c r="F4234" i="8"/>
  <c r="G4234" i="8"/>
  <c r="H4234" i="8"/>
  <c r="I4234" i="8"/>
  <c r="J4234" i="8"/>
  <c r="K4234" i="8"/>
  <c r="L4234" i="8"/>
  <c r="M4234" i="8"/>
  <c r="N4234" i="8"/>
  <c r="O4234" i="8"/>
  <c r="P4234" i="8"/>
  <c r="Q4234" i="8"/>
  <c r="R4234" i="8"/>
  <c r="S4234" i="8"/>
  <c r="T4234" i="8"/>
  <c r="E4235" i="8"/>
  <c r="F4235" i="8"/>
  <c r="G4235" i="8"/>
  <c r="H4235" i="8"/>
  <c r="I4235" i="8"/>
  <c r="J4235" i="8"/>
  <c r="K4235" i="8"/>
  <c r="L4235" i="8"/>
  <c r="M4235" i="8"/>
  <c r="N4235" i="8"/>
  <c r="O4235" i="8"/>
  <c r="P4235" i="8"/>
  <c r="Q4235" i="8"/>
  <c r="R4235" i="8"/>
  <c r="S4235" i="8"/>
  <c r="T4235" i="8"/>
  <c r="E4236" i="8"/>
  <c r="F4236" i="8"/>
  <c r="G4236" i="8"/>
  <c r="H4236" i="8"/>
  <c r="I4236" i="8"/>
  <c r="J4236" i="8"/>
  <c r="K4236" i="8"/>
  <c r="L4236" i="8"/>
  <c r="M4236" i="8"/>
  <c r="N4236" i="8"/>
  <c r="O4236" i="8"/>
  <c r="P4236" i="8"/>
  <c r="Q4236" i="8"/>
  <c r="R4236" i="8"/>
  <c r="S4236" i="8"/>
  <c r="T4236" i="8"/>
  <c r="E4237" i="8"/>
  <c r="F4237" i="8"/>
  <c r="G4237" i="8"/>
  <c r="H4237" i="8"/>
  <c r="I4237" i="8"/>
  <c r="J4237" i="8"/>
  <c r="K4237" i="8"/>
  <c r="L4237" i="8"/>
  <c r="M4237" i="8"/>
  <c r="N4237" i="8"/>
  <c r="O4237" i="8"/>
  <c r="P4237" i="8"/>
  <c r="Q4237" i="8"/>
  <c r="R4237" i="8"/>
  <c r="S4237" i="8"/>
  <c r="T4237" i="8"/>
  <c r="E4238" i="8"/>
  <c r="F4238" i="8"/>
  <c r="G4238" i="8"/>
  <c r="H4238" i="8"/>
  <c r="I4238" i="8"/>
  <c r="J4238" i="8"/>
  <c r="K4238" i="8"/>
  <c r="L4238" i="8"/>
  <c r="M4238" i="8"/>
  <c r="N4238" i="8"/>
  <c r="O4238" i="8"/>
  <c r="P4238" i="8"/>
  <c r="Q4238" i="8"/>
  <c r="R4238" i="8"/>
  <c r="S4238" i="8"/>
  <c r="T4238" i="8"/>
  <c r="E4239" i="8"/>
  <c r="F4239" i="8"/>
  <c r="G4239" i="8"/>
  <c r="H4239" i="8"/>
  <c r="I4239" i="8"/>
  <c r="J4239" i="8"/>
  <c r="K4239" i="8"/>
  <c r="L4239" i="8"/>
  <c r="M4239" i="8"/>
  <c r="N4239" i="8"/>
  <c r="O4239" i="8"/>
  <c r="P4239" i="8"/>
  <c r="Q4239" i="8"/>
  <c r="R4239" i="8"/>
  <c r="S4239" i="8"/>
  <c r="T4239" i="8"/>
  <c r="E4240" i="8"/>
  <c r="F4240" i="8"/>
  <c r="G4240" i="8"/>
  <c r="H4240" i="8"/>
  <c r="I4240" i="8"/>
  <c r="J4240" i="8"/>
  <c r="K4240" i="8"/>
  <c r="L4240" i="8"/>
  <c r="M4240" i="8"/>
  <c r="N4240" i="8"/>
  <c r="O4240" i="8"/>
  <c r="P4240" i="8"/>
  <c r="Q4240" i="8"/>
  <c r="R4240" i="8"/>
  <c r="S4240" i="8"/>
  <c r="T4240" i="8"/>
  <c r="E4241" i="8"/>
  <c r="F4241" i="8"/>
  <c r="G4241" i="8"/>
  <c r="H4241" i="8"/>
  <c r="I4241" i="8"/>
  <c r="J4241" i="8"/>
  <c r="K4241" i="8"/>
  <c r="L4241" i="8"/>
  <c r="M4241" i="8"/>
  <c r="N4241" i="8"/>
  <c r="O4241" i="8"/>
  <c r="P4241" i="8"/>
  <c r="Q4241" i="8"/>
  <c r="R4241" i="8"/>
  <c r="S4241" i="8"/>
  <c r="T4241" i="8"/>
  <c r="T390" i="7"/>
  <c r="AB390" i="7"/>
  <c r="AH390" i="7"/>
  <c r="AJ390" i="7"/>
  <c r="AL390" i="7"/>
  <c r="AQ390" i="7"/>
  <c r="E390" i="7"/>
  <c r="F390" i="7"/>
  <c r="G390" i="7"/>
  <c r="H390" i="7"/>
  <c r="I390" i="7"/>
  <c r="J390" i="7"/>
  <c r="K390" i="7"/>
  <c r="L390" i="7"/>
  <c r="M390" i="7"/>
  <c r="N390" i="7"/>
  <c r="P390" i="7"/>
  <c r="Q390" i="7"/>
  <c r="R390" i="7"/>
  <c r="S390" i="7"/>
  <c r="U390" i="7"/>
  <c r="V390" i="7"/>
  <c r="W390" i="7"/>
  <c r="X390" i="7"/>
  <c r="Y390" i="7"/>
  <c r="Z390" i="7"/>
  <c r="AA390" i="7"/>
  <c r="AC390" i="7"/>
  <c r="AE390" i="7"/>
  <c r="AI390" i="7"/>
  <c r="AO390" i="7"/>
  <c r="AP390" i="7"/>
  <c r="E4220" i="8"/>
  <c r="F4220" i="8"/>
  <c r="G4220" i="8"/>
  <c r="H4220" i="8"/>
  <c r="I4220" i="8"/>
  <c r="J4220" i="8"/>
  <c r="K4220" i="8"/>
  <c r="L4220" i="8"/>
  <c r="M4220" i="8"/>
  <c r="N4220" i="8"/>
  <c r="O4220" i="8"/>
  <c r="P4220" i="8"/>
  <c r="Q4220" i="8"/>
  <c r="R4220" i="8"/>
  <c r="S4220" i="8"/>
  <c r="T4220" i="8"/>
  <c r="E4221" i="8"/>
  <c r="F4221" i="8"/>
  <c r="G4221" i="8"/>
  <c r="H4221" i="8"/>
  <c r="I4221" i="8"/>
  <c r="J4221" i="8"/>
  <c r="K4221" i="8"/>
  <c r="L4221" i="8"/>
  <c r="M4221" i="8"/>
  <c r="N4221" i="8"/>
  <c r="O4221" i="8"/>
  <c r="P4221" i="8"/>
  <c r="Q4221" i="8"/>
  <c r="R4221" i="8"/>
  <c r="S4221" i="8"/>
  <c r="T4221" i="8"/>
  <c r="E4222" i="8"/>
  <c r="F4222" i="8"/>
  <c r="G4222" i="8"/>
  <c r="H4222" i="8"/>
  <c r="I4222" i="8"/>
  <c r="J4222" i="8"/>
  <c r="K4222" i="8"/>
  <c r="L4222" i="8"/>
  <c r="M4222" i="8"/>
  <c r="N4222" i="8"/>
  <c r="O4222" i="8"/>
  <c r="P4222" i="8"/>
  <c r="Q4222" i="8"/>
  <c r="R4222" i="8"/>
  <c r="S4222" i="8"/>
  <c r="T4222" i="8"/>
  <c r="E4223" i="8"/>
  <c r="F4223" i="8"/>
  <c r="G4223" i="8"/>
  <c r="H4223" i="8"/>
  <c r="I4223" i="8"/>
  <c r="J4223" i="8"/>
  <c r="K4223" i="8"/>
  <c r="L4223" i="8"/>
  <c r="M4223" i="8"/>
  <c r="N4223" i="8"/>
  <c r="O4223" i="8"/>
  <c r="P4223" i="8"/>
  <c r="Q4223" i="8"/>
  <c r="R4223" i="8"/>
  <c r="S4223" i="8"/>
  <c r="T4223" i="8"/>
  <c r="E4224" i="8"/>
  <c r="F4224" i="8"/>
  <c r="G4224" i="8"/>
  <c r="H4224" i="8"/>
  <c r="I4224" i="8"/>
  <c r="J4224" i="8"/>
  <c r="K4224" i="8"/>
  <c r="L4224" i="8"/>
  <c r="M4224" i="8"/>
  <c r="N4224" i="8"/>
  <c r="O4224" i="8"/>
  <c r="P4224" i="8"/>
  <c r="Q4224" i="8"/>
  <c r="R4224" i="8"/>
  <c r="S4224" i="8"/>
  <c r="T4224" i="8"/>
  <c r="E4225" i="8"/>
  <c r="F4225" i="8"/>
  <c r="G4225" i="8"/>
  <c r="H4225" i="8"/>
  <c r="I4225" i="8"/>
  <c r="J4225" i="8"/>
  <c r="K4225" i="8"/>
  <c r="L4225" i="8"/>
  <c r="M4225" i="8"/>
  <c r="N4225" i="8"/>
  <c r="O4225" i="8"/>
  <c r="P4225" i="8"/>
  <c r="Q4225" i="8"/>
  <c r="R4225" i="8"/>
  <c r="S4225" i="8"/>
  <c r="T4225" i="8"/>
  <c r="E4226" i="8"/>
  <c r="F4226" i="8"/>
  <c r="G4226" i="8"/>
  <c r="H4226" i="8"/>
  <c r="I4226" i="8"/>
  <c r="J4226" i="8"/>
  <c r="K4226" i="8"/>
  <c r="L4226" i="8"/>
  <c r="M4226" i="8"/>
  <c r="N4226" i="8"/>
  <c r="O4226" i="8"/>
  <c r="P4226" i="8"/>
  <c r="Q4226" i="8"/>
  <c r="R4226" i="8"/>
  <c r="S4226" i="8"/>
  <c r="T4226" i="8"/>
  <c r="E4227" i="8"/>
  <c r="F4227" i="8"/>
  <c r="G4227" i="8"/>
  <c r="H4227" i="8"/>
  <c r="I4227" i="8"/>
  <c r="J4227" i="8"/>
  <c r="K4227" i="8"/>
  <c r="L4227" i="8"/>
  <c r="M4227" i="8"/>
  <c r="N4227" i="8"/>
  <c r="O4227" i="8"/>
  <c r="P4227" i="8"/>
  <c r="Q4227" i="8"/>
  <c r="R4227" i="8"/>
  <c r="S4227" i="8"/>
  <c r="T4227" i="8"/>
  <c r="E4228" i="8"/>
  <c r="F4228" i="8"/>
  <c r="G4228" i="8"/>
  <c r="H4228" i="8"/>
  <c r="I4228" i="8"/>
  <c r="J4228" i="8"/>
  <c r="K4228" i="8"/>
  <c r="L4228" i="8"/>
  <c r="M4228" i="8"/>
  <c r="N4228" i="8"/>
  <c r="O4228" i="8"/>
  <c r="P4228" i="8"/>
  <c r="Q4228" i="8"/>
  <c r="R4228" i="8"/>
  <c r="S4228" i="8"/>
  <c r="T4228" i="8"/>
  <c r="E4229" i="8"/>
  <c r="F4229" i="8"/>
  <c r="G4229" i="8"/>
  <c r="H4229" i="8"/>
  <c r="I4229" i="8"/>
  <c r="J4229" i="8"/>
  <c r="K4229" i="8"/>
  <c r="L4229" i="8"/>
  <c r="M4229" i="8"/>
  <c r="N4229" i="8"/>
  <c r="O4229" i="8"/>
  <c r="P4229" i="8"/>
  <c r="Q4229" i="8"/>
  <c r="R4229" i="8"/>
  <c r="S4229" i="8"/>
  <c r="T4229" i="8"/>
  <c r="E4230" i="8"/>
  <c r="F4230" i="8"/>
  <c r="G4230" i="8"/>
  <c r="H4230" i="8"/>
  <c r="I4230" i="8"/>
  <c r="J4230" i="8"/>
  <c r="K4230" i="8"/>
  <c r="L4230" i="8"/>
  <c r="M4230" i="8"/>
  <c r="N4230" i="8"/>
  <c r="O4230" i="8"/>
  <c r="P4230" i="8"/>
  <c r="Q4230" i="8"/>
  <c r="R4230" i="8"/>
  <c r="S4230" i="8"/>
  <c r="T4230" i="8"/>
  <c r="AH389" i="7"/>
  <c r="AL389" i="7"/>
  <c r="AQ389" i="7"/>
  <c r="AJ389" i="7"/>
  <c r="T389" i="7"/>
  <c r="AB389" i="7"/>
  <c r="E389" i="7"/>
  <c r="F389" i="7"/>
  <c r="G389" i="7"/>
  <c r="H389" i="7"/>
  <c r="I389" i="7"/>
  <c r="J389" i="7"/>
  <c r="K389" i="7"/>
  <c r="L389" i="7"/>
  <c r="M389" i="7"/>
  <c r="N389" i="7"/>
  <c r="P389" i="7"/>
  <c r="Q389" i="7"/>
  <c r="R389" i="7"/>
  <c r="S389" i="7"/>
  <c r="U389" i="7"/>
  <c r="V389" i="7"/>
  <c r="W389" i="7"/>
  <c r="X389" i="7"/>
  <c r="Y389" i="7"/>
  <c r="Z389" i="7"/>
  <c r="AA389" i="7"/>
  <c r="AC389" i="7"/>
  <c r="AE389" i="7"/>
  <c r="AI389" i="7"/>
  <c r="AO389" i="7"/>
  <c r="AP389" i="7"/>
  <c r="E4209" i="8"/>
  <c r="F4209" i="8"/>
  <c r="G4209" i="8"/>
  <c r="H4209" i="8"/>
  <c r="I4209" i="8"/>
  <c r="J4209" i="8"/>
  <c r="K4209" i="8"/>
  <c r="L4209" i="8"/>
  <c r="M4209" i="8"/>
  <c r="N4209" i="8"/>
  <c r="O4209" i="8"/>
  <c r="P4209" i="8"/>
  <c r="Q4209" i="8"/>
  <c r="R4209" i="8"/>
  <c r="S4209" i="8"/>
  <c r="T4209" i="8"/>
  <c r="E4210" i="8"/>
  <c r="F4210" i="8"/>
  <c r="G4210" i="8"/>
  <c r="H4210" i="8"/>
  <c r="I4210" i="8"/>
  <c r="J4210" i="8"/>
  <c r="K4210" i="8"/>
  <c r="L4210" i="8"/>
  <c r="M4210" i="8"/>
  <c r="N4210" i="8"/>
  <c r="O4210" i="8"/>
  <c r="P4210" i="8"/>
  <c r="Q4210" i="8"/>
  <c r="R4210" i="8"/>
  <c r="S4210" i="8"/>
  <c r="T4210" i="8"/>
  <c r="E4211" i="8"/>
  <c r="F4211" i="8"/>
  <c r="G4211" i="8"/>
  <c r="H4211" i="8"/>
  <c r="I4211" i="8"/>
  <c r="J4211" i="8"/>
  <c r="K4211" i="8"/>
  <c r="L4211" i="8"/>
  <c r="M4211" i="8"/>
  <c r="N4211" i="8"/>
  <c r="O4211" i="8"/>
  <c r="P4211" i="8"/>
  <c r="Q4211" i="8"/>
  <c r="R4211" i="8"/>
  <c r="S4211" i="8"/>
  <c r="T4211" i="8"/>
  <c r="E4212" i="8"/>
  <c r="F4212" i="8"/>
  <c r="G4212" i="8"/>
  <c r="H4212" i="8"/>
  <c r="I4212" i="8"/>
  <c r="J4212" i="8"/>
  <c r="K4212" i="8"/>
  <c r="L4212" i="8"/>
  <c r="M4212" i="8"/>
  <c r="N4212" i="8"/>
  <c r="O4212" i="8"/>
  <c r="P4212" i="8"/>
  <c r="Q4212" i="8"/>
  <c r="R4212" i="8"/>
  <c r="S4212" i="8"/>
  <c r="T4212" i="8"/>
  <c r="E4213" i="8"/>
  <c r="F4213" i="8"/>
  <c r="G4213" i="8"/>
  <c r="H4213" i="8"/>
  <c r="I4213" i="8"/>
  <c r="J4213" i="8"/>
  <c r="K4213" i="8"/>
  <c r="L4213" i="8"/>
  <c r="M4213" i="8"/>
  <c r="N4213" i="8"/>
  <c r="O4213" i="8"/>
  <c r="P4213" i="8"/>
  <c r="Q4213" i="8"/>
  <c r="R4213" i="8"/>
  <c r="S4213" i="8"/>
  <c r="T4213" i="8"/>
  <c r="E4214" i="8"/>
  <c r="F4214" i="8"/>
  <c r="G4214" i="8"/>
  <c r="H4214" i="8"/>
  <c r="I4214" i="8"/>
  <c r="J4214" i="8"/>
  <c r="K4214" i="8"/>
  <c r="L4214" i="8"/>
  <c r="M4214" i="8"/>
  <c r="N4214" i="8"/>
  <c r="O4214" i="8"/>
  <c r="P4214" i="8"/>
  <c r="Q4214" i="8"/>
  <c r="R4214" i="8"/>
  <c r="S4214" i="8"/>
  <c r="T4214" i="8"/>
  <c r="E4215" i="8"/>
  <c r="F4215" i="8"/>
  <c r="G4215" i="8"/>
  <c r="H4215" i="8"/>
  <c r="I4215" i="8"/>
  <c r="J4215" i="8"/>
  <c r="K4215" i="8"/>
  <c r="L4215" i="8"/>
  <c r="M4215" i="8"/>
  <c r="N4215" i="8"/>
  <c r="O4215" i="8"/>
  <c r="P4215" i="8"/>
  <c r="Q4215" i="8"/>
  <c r="R4215" i="8"/>
  <c r="S4215" i="8"/>
  <c r="T4215" i="8"/>
  <c r="E4216" i="8"/>
  <c r="F4216" i="8"/>
  <c r="G4216" i="8"/>
  <c r="H4216" i="8"/>
  <c r="I4216" i="8"/>
  <c r="J4216" i="8"/>
  <c r="K4216" i="8"/>
  <c r="L4216" i="8"/>
  <c r="M4216" i="8"/>
  <c r="N4216" i="8"/>
  <c r="O4216" i="8"/>
  <c r="P4216" i="8"/>
  <c r="Q4216" i="8"/>
  <c r="R4216" i="8"/>
  <c r="S4216" i="8"/>
  <c r="T4216" i="8"/>
  <c r="E4217" i="8"/>
  <c r="F4217" i="8"/>
  <c r="G4217" i="8"/>
  <c r="H4217" i="8"/>
  <c r="I4217" i="8"/>
  <c r="J4217" i="8"/>
  <c r="K4217" i="8"/>
  <c r="L4217" i="8"/>
  <c r="M4217" i="8"/>
  <c r="N4217" i="8"/>
  <c r="O4217" i="8"/>
  <c r="P4217" i="8"/>
  <c r="Q4217" i="8"/>
  <c r="R4217" i="8"/>
  <c r="S4217" i="8"/>
  <c r="T4217" i="8"/>
  <c r="E4218" i="8"/>
  <c r="F4218" i="8"/>
  <c r="G4218" i="8"/>
  <c r="H4218" i="8"/>
  <c r="I4218" i="8"/>
  <c r="J4218" i="8"/>
  <c r="K4218" i="8"/>
  <c r="L4218" i="8"/>
  <c r="M4218" i="8"/>
  <c r="N4218" i="8"/>
  <c r="O4218" i="8"/>
  <c r="P4218" i="8"/>
  <c r="Q4218" i="8"/>
  <c r="R4218" i="8"/>
  <c r="S4218" i="8"/>
  <c r="T4218" i="8"/>
  <c r="E4219" i="8"/>
  <c r="F4219" i="8"/>
  <c r="G4219" i="8"/>
  <c r="H4219" i="8"/>
  <c r="I4219" i="8"/>
  <c r="J4219" i="8"/>
  <c r="K4219" i="8"/>
  <c r="L4219" i="8"/>
  <c r="M4219" i="8"/>
  <c r="N4219" i="8"/>
  <c r="O4219" i="8"/>
  <c r="P4219" i="8"/>
  <c r="Q4219" i="8"/>
  <c r="R4219" i="8"/>
  <c r="S4219" i="8"/>
  <c r="T4219" i="8"/>
  <c r="T388" i="7"/>
  <c r="AL388" i="7"/>
  <c r="AB388" i="7"/>
  <c r="AH388" i="7"/>
  <c r="AJ388" i="7"/>
  <c r="AQ388" i="7"/>
  <c r="E388" i="7"/>
  <c r="F388" i="7"/>
  <c r="G388" i="7"/>
  <c r="H388" i="7"/>
  <c r="I388" i="7"/>
  <c r="J388" i="7"/>
  <c r="K388" i="7"/>
  <c r="L388" i="7"/>
  <c r="M388" i="7"/>
  <c r="N388" i="7"/>
  <c r="P388" i="7"/>
  <c r="Q388" i="7"/>
  <c r="R388" i="7"/>
  <c r="S388" i="7"/>
  <c r="U388" i="7"/>
  <c r="V388" i="7"/>
  <c r="W388" i="7"/>
  <c r="X388" i="7"/>
  <c r="Y388" i="7"/>
  <c r="Z388" i="7"/>
  <c r="AA388" i="7"/>
  <c r="AC388" i="7"/>
  <c r="AE388" i="7"/>
  <c r="AI388" i="7"/>
  <c r="AO388" i="7"/>
  <c r="AP388" i="7"/>
  <c r="E4198" i="8"/>
  <c r="F4198" i="8"/>
  <c r="G4198" i="8"/>
  <c r="H4198" i="8"/>
  <c r="I4198" i="8"/>
  <c r="J4198" i="8"/>
  <c r="K4198" i="8"/>
  <c r="L4198" i="8"/>
  <c r="M4198" i="8"/>
  <c r="N4198" i="8"/>
  <c r="O4198" i="8"/>
  <c r="P4198" i="8"/>
  <c r="Q4198" i="8"/>
  <c r="R4198" i="8"/>
  <c r="S4198" i="8"/>
  <c r="T4198" i="8"/>
  <c r="E4199" i="8"/>
  <c r="F4199" i="8"/>
  <c r="G4199" i="8"/>
  <c r="H4199" i="8"/>
  <c r="I4199" i="8"/>
  <c r="J4199" i="8"/>
  <c r="K4199" i="8"/>
  <c r="L4199" i="8"/>
  <c r="M4199" i="8"/>
  <c r="N4199" i="8"/>
  <c r="O4199" i="8"/>
  <c r="P4199" i="8"/>
  <c r="Q4199" i="8"/>
  <c r="R4199" i="8"/>
  <c r="S4199" i="8"/>
  <c r="T4199" i="8"/>
  <c r="E4200" i="8"/>
  <c r="F4200" i="8"/>
  <c r="G4200" i="8"/>
  <c r="H4200" i="8"/>
  <c r="I4200" i="8"/>
  <c r="J4200" i="8"/>
  <c r="K4200" i="8"/>
  <c r="L4200" i="8"/>
  <c r="M4200" i="8"/>
  <c r="N4200" i="8"/>
  <c r="O4200" i="8"/>
  <c r="P4200" i="8"/>
  <c r="Q4200" i="8"/>
  <c r="R4200" i="8"/>
  <c r="S4200" i="8"/>
  <c r="T4200" i="8"/>
  <c r="E4201" i="8"/>
  <c r="F4201" i="8"/>
  <c r="G4201" i="8"/>
  <c r="H4201" i="8"/>
  <c r="I4201" i="8"/>
  <c r="J4201" i="8"/>
  <c r="K4201" i="8"/>
  <c r="L4201" i="8"/>
  <c r="M4201" i="8"/>
  <c r="N4201" i="8"/>
  <c r="O4201" i="8"/>
  <c r="P4201" i="8"/>
  <c r="Q4201" i="8"/>
  <c r="R4201" i="8"/>
  <c r="S4201" i="8"/>
  <c r="T4201" i="8"/>
  <c r="E4202" i="8"/>
  <c r="F4202" i="8"/>
  <c r="G4202" i="8"/>
  <c r="H4202" i="8"/>
  <c r="I4202" i="8"/>
  <c r="J4202" i="8"/>
  <c r="K4202" i="8"/>
  <c r="L4202" i="8"/>
  <c r="M4202" i="8"/>
  <c r="N4202" i="8"/>
  <c r="O4202" i="8"/>
  <c r="P4202" i="8"/>
  <c r="Q4202" i="8"/>
  <c r="R4202" i="8"/>
  <c r="S4202" i="8"/>
  <c r="T4202" i="8"/>
  <c r="E4203" i="8"/>
  <c r="F4203" i="8"/>
  <c r="G4203" i="8"/>
  <c r="H4203" i="8"/>
  <c r="I4203" i="8"/>
  <c r="J4203" i="8"/>
  <c r="K4203" i="8"/>
  <c r="L4203" i="8"/>
  <c r="M4203" i="8"/>
  <c r="N4203" i="8"/>
  <c r="O4203" i="8"/>
  <c r="P4203" i="8"/>
  <c r="Q4203" i="8"/>
  <c r="R4203" i="8"/>
  <c r="S4203" i="8"/>
  <c r="T4203" i="8"/>
  <c r="E4204" i="8"/>
  <c r="F4204" i="8"/>
  <c r="G4204" i="8"/>
  <c r="H4204" i="8"/>
  <c r="I4204" i="8"/>
  <c r="J4204" i="8"/>
  <c r="K4204" i="8"/>
  <c r="L4204" i="8"/>
  <c r="M4204" i="8"/>
  <c r="N4204" i="8"/>
  <c r="O4204" i="8"/>
  <c r="P4204" i="8"/>
  <c r="Q4204" i="8"/>
  <c r="R4204" i="8"/>
  <c r="S4204" i="8"/>
  <c r="T4204" i="8"/>
  <c r="E4205" i="8"/>
  <c r="F4205" i="8"/>
  <c r="G4205" i="8"/>
  <c r="H4205" i="8"/>
  <c r="I4205" i="8"/>
  <c r="J4205" i="8"/>
  <c r="K4205" i="8"/>
  <c r="L4205" i="8"/>
  <c r="M4205" i="8"/>
  <c r="N4205" i="8"/>
  <c r="O4205" i="8"/>
  <c r="P4205" i="8"/>
  <c r="Q4205" i="8"/>
  <c r="R4205" i="8"/>
  <c r="S4205" i="8"/>
  <c r="T4205" i="8"/>
  <c r="E4206" i="8"/>
  <c r="F4206" i="8"/>
  <c r="G4206" i="8"/>
  <c r="H4206" i="8"/>
  <c r="I4206" i="8"/>
  <c r="J4206" i="8"/>
  <c r="K4206" i="8"/>
  <c r="L4206" i="8"/>
  <c r="M4206" i="8"/>
  <c r="N4206" i="8"/>
  <c r="O4206" i="8"/>
  <c r="P4206" i="8"/>
  <c r="Q4206" i="8"/>
  <c r="R4206" i="8"/>
  <c r="S4206" i="8"/>
  <c r="T4206" i="8"/>
  <c r="E4207" i="8"/>
  <c r="F4207" i="8"/>
  <c r="G4207" i="8"/>
  <c r="H4207" i="8"/>
  <c r="I4207" i="8"/>
  <c r="J4207" i="8"/>
  <c r="K4207" i="8"/>
  <c r="L4207" i="8"/>
  <c r="M4207" i="8"/>
  <c r="N4207" i="8"/>
  <c r="O4207" i="8"/>
  <c r="P4207" i="8"/>
  <c r="Q4207" i="8"/>
  <c r="R4207" i="8"/>
  <c r="S4207" i="8"/>
  <c r="T4207" i="8"/>
  <c r="E4208" i="8"/>
  <c r="F4208" i="8"/>
  <c r="G4208" i="8"/>
  <c r="H4208" i="8"/>
  <c r="I4208" i="8"/>
  <c r="J4208" i="8"/>
  <c r="K4208" i="8"/>
  <c r="L4208" i="8"/>
  <c r="M4208" i="8"/>
  <c r="N4208" i="8"/>
  <c r="O4208" i="8"/>
  <c r="P4208" i="8"/>
  <c r="Q4208" i="8"/>
  <c r="R4208" i="8"/>
  <c r="S4208" i="8"/>
  <c r="T4208" i="8"/>
  <c r="T387" i="7"/>
  <c r="AQ387" i="7"/>
  <c r="AL387" i="7"/>
  <c r="AJ387" i="7"/>
  <c r="AH387" i="7"/>
  <c r="AB387" i="7"/>
  <c r="E387" i="7"/>
  <c r="F387" i="7"/>
  <c r="G387" i="7"/>
  <c r="H387" i="7"/>
  <c r="I387" i="7"/>
  <c r="J387" i="7"/>
  <c r="K387" i="7"/>
  <c r="L387" i="7"/>
  <c r="M387" i="7"/>
  <c r="N387" i="7"/>
  <c r="P387" i="7"/>
  <c r="Q387" i="7"/>
  <c r="R387" i="7"/>
  <c r="S387" i="7"/>
  <c r="U387" i="7"/>
  <c r="V387" i="7"/>
  <c r="W387" i="7"/>
  <c r="X387" i="7"/>
  <c r="Y387" i="7"/>
  <c r="AA387" i="7"/>
  <c r="AE387" i="7"/>
  <c r="E4187" i="8"/>
  <c r="F4187" i="8"/>
  <c r="G4187" i="8"/>
  <c r="H4187" i="8"/>
  <c r="I4187" i="8"/>
  <c r="J4187" i="8"/>
  <c r="K4187" i="8"/>
  <c r="L4187" i="8"/>
  <c r="M4187" i="8"/>
  <c r="N4187" i="8"/>
  <c r="O4187" i="8"/>
  <c r="P4187" i="8"/>
  <c r="Q4187" i="8"/>
  <c r="R4187" i="8"/>
  <c r="S4187" i="8"/>
  <c r="T4187" i="8"/>
  <c r="E4188" i="8"/>
  <c r="F4188" i="8"/>
  <c r="G4188" i="8"/>
  <c r="H4188" i="8"/>
  <c r="I4188" i="8"/>
  <c r="J4188" i="8"/>
  <c r="K4188" i="8"/>
  <c r="L4188" i="8"/>
  <c r="M4188" i="8"/>
  <c r="N4188" i="8"/>
  <c r="O4188" i="8"/>
  <c r="P4188" i="8"/>
  <c r="Q4188" i="8"/>
  <c r="R4188" i="8"/>
  <c r="S4188" i="8"/>
  <c r="T4188" i="8"/>
  <c r="E4189" i="8"/>
  <c r="F4189" i="8"/>
  <c r="G4189" i="8"/>
  <c r="H4189" i="8"/>
  <c r="I4189" i="8"/>
  <c r="J4189" i="8"/>
  <c r="K4189" i="8"/>
  <c r="L4189" i="8"/>
  <c r="M4189" i="8"/>
  <c r="N4189" i="8"/>
  <c r="O4189" i="8"/>
  <c r="P4189" i="8"/>
  <c r="Q4189" i="8"/>
  <c r="R4189" i="8"/>
  <c r="S4189" i="8"/>
  <c r="T4189" i="8"/>
  <c r="E4190" i="8"/>
  <c r="F4190" i="8"/>
  <c r="G4190" i="8"/>
  <c r="H4190" i="8"/>
  <c r="I4190" i="8"/>
  <c r="J4190" i="8"/>
  <c r="K4190" i="8"/>
  <c r="L4190" i="8"/>
  <c r="M4190" i="8"/>
  <c r="N4190" i="8"/>
  <c r="O4190" i="8"/>
  <c r="P4190" i="8"/>
  <c r="Q4190" i="8"/>
  <c r="R4190" i="8"/>
  <c r="S4190" i="8"/>
  <c r="T4190" i="8"/>
  <c r="E4191" i="8"/>
  <c r="F4191" i="8"/>
  <c r="G4191" i="8"/>
  <c r="H4191" i="8"/>
  <c r="I4191" i="8"/>
  <c r="J4191" i="8"/>
  <c r="K4191" i="8"/>
  <c r="L4191" i="8"/>
  <c r="M4191" i="8"/>
  <c r="N4191" i="8"/>
  <c r="O4191" i="8"/>
  <c r="P4191" i="8"/>
  <c r="Q4191" i="8"/>
  <c r="R4191" i="8"/>
  <c r="S4191" i="8"/>
  <c r="T4191" i="8"/>
  <c r="E4192" i="8"/>
  <c r="F4192" i="8"/>
  <c r="G4192" i="8"/>
  <c r="H4192" i="8"/>
  <c r="I4192" i="8"/>
  <c r="J4192" i="8"/>
  <c r="K4192" i="8"/>
  <c r="L4192" i="8"/>
  <c r="M4192" i="8"/>
  <c r="N4192" i="8"/>
  <c r="O4192" i="8"/>
  <c r="P4192" i="8"/>
  <c r="Q4192" i="8"/>
  <c r="R4192" i="8"/>
  <c r="S4192" i="8"/>
  <c r="T4192" i="8"/>
  <c r="E4193" i="8"/>
  <c r="F4193" i="8"/>
  <c r="G4193" i="8"/>
  <c r="H4193" i="8"/>
  <c r="I4193" i="8"/>
  <c r="J4193" i="8"/>
  <c r="K4193" i="8"/>
  <c r="L4193" i="8"/>
  <c r="M4193" i="8"/>
  <c r="N4193" i="8"/>
  <c r="O4193" i="8"/>
  <c r="P4193" i="8"/>
  <c r="Q4193" i="8"/>
  <c r="R4193" i="8"/>
  <c r="S4193" i="8"/>
  <c r="T4193" i="8"/>
  <c r="E4194" i="8"/>
  <c r="F4194" i="8"/>
  <c r="G4194" i="8"/>
  <c r="H4194" i="8"/>
  <c r="I4194" i="8"/>
  <c r="J4194" i="8"/>
  <c r="K4194" i="8"/>
  <c r="L4194" i="8"/>
  <c r="M4194" i="8"/>
  <c r="N4194" i="8"/>
  <c r="O4194" i="8"/>
  <c r="P4194" i="8"/>
  <c r="Q4194" i="8"/>
  <c r="R4194" i="8"/>
  <c r="S4194" i="8"/>
  <c r="T4194" i="8"/>
  <c r="E4195" i="8"/>
  <c r="F4195" i="8"/>
  <c r="G4195" i="8"/>
  <c r="H4195" i="8"/>
  <c r="I4195" i="8"/>
  <c r="J4195" i="8"/>
  <c r="K4195" i="8"/>
  <c r="L4195" i="8"/>
  <c r="M4195" i="8"/>
  <c r="N4195" i="8"/>
  <c r="O4195" i="8"/>
  <c r="P4195" i="8"/>
  <c r="Q4195" i="8"/>
  <c r="R4195" i="8"/>
  <c r="S4195" i="8"/>
  <c r="T4195" i="8"/>
  <c r="E4196" i="8"/>
  <c r="F4196" i="8"/>
  <c r="G4196" i="8"/>
  <c r="H4196" i="8"/>
  <c r="I4196" i="8"/>
  <c r="J4196" i="8"/>
  <c r="K4196" i="8"/>
  <c r="L4196" i="8"/>
  <c r="M4196" i="8"/>
  <c r="N4196" i="8"/>
  <c r="O4196" i="8"/>
  <c r="P4196" i="8"/>
  <c r="Q4196" i="8"/>
  <c r="R4196" i="8"/>
  <c r="S4196" i="8"/>
  <c r="T4196" i="8"/>
  <c r="E4197" i="8"/>
  <c r="F4197" i="8"/>
  <c r="G4197" i="8"/>
  <c r="H4197" i="8"/>
  <c r="I4197" i="8"/>
  <c r="J4197" i="8"/>
  <c r="K4197" i="8"/>
  <c r="L4197" i="8"/>
  <c r="M4197" i="8"/>
  <c r="N4197" i="8"/>
  <c r="O4197" i="8"/>
  <c r="P4197" i="8"/>
  <c r="Q4197" i="8"/>
  <c r="R4197" i="8"/>
  <c r="S4197" i="8"/>
  <c r="T4197" i="8"/>
  <c r="AB386" i="7"/>
  <c r="AH386" i="7"/>
  <c r="AQ386" i="7"/>
  <c r="AL386" i="7"/>
  <c r="AJ386" i="7"/>
  <c r="T386" i="7"/>
  <c r="E386" i="7"/>
  <c r="F386" i="7"/>
  <c r="G386" i="7"/>
  <c r="H386" i="7"/>
  <c r="I386" i="7"/>
  <c r="J386" i="7"/>
  <c r="K386" i="7"/>
  <c r="L386" i="7"/>
  <c r="M386" i="7"/>
  <c r="N386" i="7"/>
  <c r="P386" i="7"/>
  <c r="Q386" i="7"/>
  <c r="R386" i="7"/>
  <c r="S386" i="7"/>
  <c r="U386" i="7"/>
  <c r="V386" i="7"/>
  <c r="W386" i="7"/>
  <c r="X386" i="7"/>
  <c r="Y386" i="7"/>
  <c r="Z386" i="7"/>
  <c r="AA386" i="7"/>
  <c r="AC386" i="7"/>
  <c r="AE386" i="7"/>
  <c r="AI386" i="7"/>
  <c r="AO386" i="7"/>
  <c r="AP386" i="7"/>
  <c r="E4176" i="8"/>
  <c r="F4176" i="8"/>
  <c r="G4176" i="8"/>
  <c r="H4176" i="8"/>
  <c r="I4176" i="8"/>
  <c r="J4176" i="8"/>
  <c r="K4176" i="8"/>
  <c r="L4176" i="8"/>
  <c r="M4176" i="8"/>
  <c r="N4176" i="8"/>
  <c r="O4176" i="8"/>
  <c r="P4176" i="8"/>
  <c r="Q4176" i="8"/>
  <c r="R4176" i="8"/>
  <c r="S4176" i="8"/>
  <c r="T4176" i="8"/>
  <c r="E4177" i="8"/>
  <c r="F4177" i="8"/>
  <c r="G4177" i="8"/>
  <c r="H4177" i="8"/>
  <c r="I4177" i="8"/>
  <c r="J4177" i="8"/>
  <c r="K4177" i="8"/>
  <c r="L4177" i="8"/>
  <c r="M4177" i="8"/>
  <c r="N4177" i="8"/>
  <c r="O4177" i="8"/>
  <c r="P4177" i="8"/>
  <c r="Q4177" i="8"/>
  <c r="R4177" i="8"/>
  <c r="S4177" i="8"/>
  <c r="T4177" i="8"/>
  <c r="E4178" i="8"/>
  <c r="F4178" i="8"/>
  <c r="G4178" i="8"/>
  <c r="H4178" i="8"/>
  <c r="I4178" i="8"/>
  <c r="J4178" i="8"/>
  <c r="K4178" i="8"/>
  <c r="L4178" i="8"/>
  <c r="M4178" i="8"/>
  <c r="N4178" i="8"/>
  <c r="O4178" i="8"/>
  <c r="P4178" i="8"/>
  <c r="Q4178" i="8"/>
  <c r="R4178" i="8"/>
  <c r="S4178" i="8"/>
  <c r="T4178" i="8"/>
  <c r="E4179" i="8"/>
  <c r="F4179" i="8"/>
  <c r="G4179" i="8"/>
  <c r="H4179" i="8"/>
  <c r="I4179" i="8"/>
  <c r="J4179" i="8"/>
  <c r="K4179" i="8"/>
  <c r="L4179" i="8"/>
  <c r="M4179" i="8"/>
  <c r="N4179" i="8"/>
  <c r="O4179" i="8"/>
  <c r="P4179" i="8"/>
  <c r="Q4179" i="8"/>
  <c r="R4179" i="8"/>
  <c r="S4179" i="8"/>
  <c r="T4179" i="8"/>
  <c r="E4180" i="8"/>
  <c r="F4180" i="8"/>
  <c r="G4180" i="8"/>
  <c r="H4180" i="8"/>
  <c r="I4180" i="8"/>
  <c r="J4180" i="8"/>
  <c r="K4180" i="8"/>
  <c r="L4180" i="8"/>
  <c r="M4180" i="8"/>
  <c r="N4180" i="8"/>
  <c r="O4180" i="8"/>
  <c r="P4180" i="8"/>
  <c r="Q4180" i="8"/>
  <c r="R4180" i="8"/>
  <c r="S4180" i="8"/>
  <c r="T4180" i="8"/>
  <c r="E4181" i="8"/>
  <c r="F4181" i="8"/>
  <c r="G4181" i="8"/>
  <c r="H4181" i="8"/>
  <c r="I4181" i="8"/>
  <c r="J4181" i="8"/>
  <c r="K4181" i="8"/>
  <c r="L4181" i="8"/>
  <c r="M4181" i="8"/>
  <c r="N4181" i="8"/>
  <c r="O4181" i="8"/>
  <c r="P4181" i="8"/>
  <c r="Q4181" i="8"/>
  <c r="R4181" i="8"/>
  <c r="S4181" i="8"/>
  <c r="T4181" i="8"/>
  <c r="E4182" i="8"/>
  <c r="F4182" i="8"/>
  <c r="G4182" i="8"/>
  <c r="H4182" i="8"/>
  <c r="I4182" i="8"/>
  <c r="J4182" i="8"/>
  <c r="K4182" i="8"/>
  <c r="L4182" i="8"/>
  <c r="M4182" i="8"/>
  <c r="N4182" i="8"/>
  <c r="O4182" i="8"/>
  <c r="P4182" i="8"/>
  <c r="Q4182" i="8"/>
  <c r="R4182" i="8"/>
  <c r="S4182" i="8"/>
  <c r="T4182" i="8"/>
  <c r="E4183" i="8"/>
  <c r="F4183" i="8"/>
  <c r="G4183" i="8"/>
  <c r="H4183" i="8"/>
  <c r="I4183" i="8"/>
  <c r="J4183" i="8"/>
  <c r="K4183" i="8"/>
  <c r="L4183" i="8"/>
  <c r="M4183" i="8"/>
  <c r="N4183" i="8"/>
  <c r="O4183" i="8"/>
  <c r="P4183" i="8"/>
  <c r="Q4183" i="8"/>
  <c r="R4183" i="8"/>
  <c r="S4183" i="8"/>
  <c r="T4183" i="8"/>
  <c r="E4184" i="8"/>
  <c r="F4184" i="8"/>
  <c r="G4184" i="8"/>
  <c r="H4184" i="8"/>
  <c r="I4184" i="8"/>
  <c r="J4184" i="8"/>
  <c r="K4184" i="8"/>
  <c r="L4184" i="8"/>
  <c r="M4184" i="8"/>
  <c r="N4184" i="8"/>
  <c r="O4184" i="8"/>
  <c r="P4184" i="8"/>
  <c r="Q4184" i="8"/>
  <c r="R4184" i="8"/>
  <c r="S4184" i="8"/>
  <c r="T4184" i="8"/>
  <c r="E4185" i="8"/>
  <c r="F4185" i="8"/>
  <c r="G4185" i="8"/>
  <c r="H4185" i="8"/>
  <c r="I4185" i="8"/>
  <c r="J4185" i="8"/>
  <c r="K4185" i="8"/>
  <c r="L4185" i="8"/>
  <c r="M4185" i="8"/>
  <c r="N4185" i="8"/>
  <c r="O4185" i="8"/>
  <c r="P4185" i="8"/>
  <c r="Q4185" i="8"/>
  <c r="R4185" i="8"/>
  <c r="S4185" i="8"/>
  <c r="T4185" i="8"/>
  <c r="E4186" i="8"/>
  <c r="F4186" i="8"/>
  <c r="G4186" i="8"/>
  <c r="H4186" i="8"/>
  <c r="I4186" i="8"/>
  <c r="J4186" i="8"/>
  <c r="K4186" i="8"/>
  <c r="L4186" i="8"/>
  <c r="M4186" i="8"/>
  <c r="N4186" i="8"/>
  <c r="O4186" i="8"/>
  <c r="P4186" i="8"/>
  <c r="Q4186" i="8"/>
  <c r="R4186" i="8"/>
  <c r="S4186" i="8"/>
  <c r="T4186" i="8"/>
  <c r="AB385" i="7"/>
  <c r="T385" i="7"/>
  <c r="AQ385" i="7"/>
  <c r="AL385" i="7"/>
  <c r="AJ385" i="7"/>
  <c r="AH385" i="7"/>
  <c r="E385" i="7"/>
  <c r="F385" i="7"/>
  <c r="G385" i="7"/>
  <c r="H385" i="7"/>
  <c r="I385" i="7"/>
  <c r="J385" i="7"/>
  <c r="K385" i="7"/>
  <c r="L385" i="7"/>
  <c r="M385" i="7"/>
  <c r="N385" i="7"/>
  <c r="P385" i="7"/>
  <c r="Q385" i="7"/>
  <c r="R385" i="7"/>
  <c r="S385" i="7"/>
  <c r="U385" i="7"/>
  <c r="V385" i="7"/>
  <c r="W385" i="7"/>
  <c r="X385" i="7"/>
  <c r="Y385" i="7"/>
  <c r="Z385" i="7"/>
  <c r="AA385" i="7"/>
  <c r="AC385" i="7"/>
  <c r="AE385" i="7"/>
  <c r="AI385" i="7"/>
  <c r="AO385" i="7"/>
  <c r="AP385" i="7"/>
  <c r="E4165" i="8"/>
  <c r="F4165" i="8"/>
  <c r="G4165" i="8"/>
  <c r="H4165" i="8"/>
  <c r="I4165" i="8"/>
  <c r="J4165" i="8"/>
  <c r="K4165" i="8"/>
  <c r="L4165" i="8"/>
  <c r="M4165" i="8"/>
  <c r="N4165" i="8"/>
  <c r="O4165" i="8"/>
  <c r="P4165" i="8"/>
  <c r="Q4165" i="8"/>
  <c r="R4165" i="8"/>
  <c r="S4165" i="8"/>
  <c r="T4165" i="8"/>
  <c r="E4166" i="8"/>
  <c r="F4166" i="8"/>
  <c r="G4166" i="8"/>
  <c r="H4166" i="8"/>
  <c r="I4166" i="8"/>
  <c r="J4166" i="8"/>
  <c r="K4166" i="8"/>
  <c r="L4166" i="8"/>
  <c r="M4166" i="8"/>
  <c r="N4166" i="8"/>
  <c r="O4166" i="8"/>
  <c r="P4166" i="8"/>
  <c r="Q4166" i="8"/>
  <c r="R4166" i="8"/>
  <c r="S4166" i="8"/>
  <c r="T4166" i="8"/>
  <c r="E4167" i="8"/>
  <c r="F4167" i="8"/>
  <c r="G4167" i="8"/>
  <c r="H4167" i="8"/>
  <c r="I4167" i="8"/>
  <c r="J4167" i="8"/>
  <c r="K4167" i="8"/>
  <c r="L4167" i="8"/>
  <c r="M4167" i="8"/>
  <c r="N4167" i="8"/>
  <c r="O4167" i="8"/>
  <c r="P4167" i="8"/>
  <c r="Q4167" i="8"/>
  <c r="R4167" i="8"/>
  <c r="S4167" i="8"/>
  <c r="T4167" i="8"/>
  <c r="E4168" i="8"/>
  <c r="F4168" i="8"/>
  <c r="G4168" i="8"/>
  <c r="H4168" i="8"/>
  <c r="I4168" i="8"/>
  <c r="J4168" i="8"/>
  <c r="K4168" i="8"/>
  <c r="L4168" i="8"/>
  <c r="M4168" i="8"/>
  <c r="N4168" i="8"/>
  <c r="O4168" i="8"/>
  <c r="P4168" i="8"/>
  <c r="Q4168" i="8"/>
  <c r="R4168" i="8"/>
  <c r="S4168" i="8"/>
  <c r="T4168" i="8"/>
  <c r="E4169" i="8"/>
  <c r="F4169" i="8"/>
  <c r="G4169" i="8"/>
  <c r="H4169" i="8"/>
  <c r="I4169" i="8"/>
  <c r="J4169" i="8"/>
  <c r="K4169" i="8"/>
  <c r="L4169" i="8"/>
  <c r="M4169" i="8"/>
  <c r="N4169" i="8"/>
  <c r="O4169" i="8"/>
  <c r="P4169" i="8"/>
  <c r="Q4169" i="8"/>
  <c r="R4169" i="8"/>
  <c r="S4169" i="8"/>
  <c r="T4169" i="8"/>
  <c r="E4170" i="8"/>
  <c r="F4170" i="8"/>
  <c r="G4170" i="8"/>
  <c r="H4170" i="8"/>
  <c r="I4170" i="8"/>
  <c r="J4170" i="8"/>
  <c r="K4170" i="8"/>
  <c r="L4170" i="8"/>
  <c r="M4170" i="8"/>
  <c r="N4170" i="8"/>
  <c r="O4170" i="8"/>
  <c r="P4170" i="8"/>
  <c r="Q4170" i="8"/>
  <c r="R4170" i="8"/>
  <c r="S4170" i="8"/>
  <c r="T4170" i="8"/>
  <c r="E4171" i="8"/>
  <c r="F4171" i="8"/>
  <c r="G4171" i="8"/>
  <c r="H4171" i="8"/>
  <c r="I4171" i="8"/>
  <c r="J4171" i="8"/>
  <c r="K4171" i="8"/>
  <c r="L4171" i="8"/>
  <c r="M4171" i="8"/>
  <c r="N4171" i="8"/>
  <c r="O4171" i="8"/>
  <c r="P4171" i="8"/>
  <c r="Q4171" i="8"/>
  <c r="R4171" i="8"/>
  <c r="S4171" i="8"/>
  <c r="T4171" i="8"/>
  <c r="E4172" i="8"/>
  <c r="F4172" i="8"/>
  <c r="G4172" i="8"/>
  <c r="H4172" i="8"/>
  <c r="I4172" i="8"/>
  <c r="J4172" i="8"/>
  <c r="T384" i="7"/>
  <c r="AB384" i="7"/>
  <c r="AH384" i="7"/>
  <c r="AJ384" i="7"/>
  <c r="AL384" i="7"/>
  <c r="AQ384" i="7"/>
  <c r="T383" i="7"/>
  <c r="AB383" i="7"/>
  <c r="AH383" i="7"/>
  <c r="AJ383" i="7"/>
  <c r="AL383" i="7"/>
  <c r="AQ383" i="7"/>
  <c r="AL382" i="7"/>
  <c r="AJ382" i="7"/>
  <c r="AQ382" i="7"/>
  <c r="AB382" i="7"/>
  <c r="AH382" i="7"/>
  <c r="T382" i="7"/>
  <c r="T381" i="7"/>
  <c r="AB381" i="7"/>
  <c r="AH381" i="7"/>
  <c r="AJ381" i="7"/>
  <c r="AL381" i="7"/>
  <c r="AQ381" i="7"/>
  <c r="E4121" i="8"/>
  <c r="F4121" i="8"/>
  <c r="G4121" i="8"/>
  <c r="H4121" i="8"/>
  <c r="I4121" i="8"/>
  <c r="J4121" i="8"/>
  <c r="K4121" i="8"/>
  <c r="L4121" i="8"/>
  <c r="M4121" i="8"/>
  <c r="N4121" i="8"/>
  <c r="O4121" i="8"/>
  <c r="P4121" i="8"/>
  <c r="Q4121" i="8"/>
  <c r="R4121" i="8"/>
  <c r="S4121" i="8"/>
  <c r="T4121" i="8"/>
  <c r="E4122" i="8"/>
  <c r="F4122" i="8"/>
  <c r="G4122" i="8"/>
  <c r="H4122" i="8"/>
  <c r="I4122" i="8"/>
  <c r="J4122" i="8"/>
  <c r="K4122" i="8"/>
  <c r="L4122" i="8"/>
  <c r="M4122" i="8"/>
  <c r="N4122" i="8"/>
  <c r="O4122" i="8"/>
  <c r="P4122" i="8"/>
  <c r="Q4122" i="8"/>
  <c r="R4122" i="8"/>
  <c r="S4122" i="8"/>
  <c r="T4122" i="8"/>
  <c r="E4123" i="8"/>
  <c r="F4123" i="8"/>
  <c r="G4123" i="8"/>
  <c r="H4123" i="8"/>
  <c r="I4123" i="8"/>
  <c r="J4123" i="8"/>
  <c r="K4123" i="8"/>
  <c r="L4123" i="8"/>
  <c r="M4123" i="8"/>
  <c r="N4123" i="8"/>
  <c r="O4123" i="8"/>
  <c r="P4123" i="8"/>
  <c r="Q4123" i="8"/>
  <c r="R4123" i="8"/>
  <c r="S4123" i="8"/>
  <c r="T4123" i="8"/>
  <c r="E4124" i="8"/>
  <c r="F4124" i="8"/>
  <c r="G4124" i="8"/>
  <c r="H4124" i="8"/>
  <c r="I4124" i="8"/>
  <c r="J4124" i="8"/>
  <c r="K4124" i="8"/>
  <c r="L4124" i="8"/>
  <c r="M4124" i="8"/>
  <c r="N4124" i="8"/>
  <c r="O4124" i="8"/>
  <c r="P4124" i="8"/>
  <c r="Q4124" i="8"/>
  <c r="R4124" i="8"/>
  <c r="S4124" i="8"/>
  <c r="T4124" i="8"/>
  <c r="E4125" i="8"/>
  <c r="F4125" i="8"/>
  <c r="G4125" i="8"/>
  <c r="H4125" i="8"/>
  <c r="I4125" i="8"/>
  <c r="J4125" i="8"/>
  <c r="K4125" i="8"/>
  <c r="L4125" i="8"/>
  <c r="M4125" i="8"/>
  <c r="N4125" i="8"/>
  <c r="O4125" i="8"/>
  <c r="P4125" i="8"/>
  <c r="Q4125" i="8"/>
  <c r="R4125" i="8"/>
  <c r="S4125" i="8"/>
  <c r="T4125" i="8"/>
  <c r="E4126" i="8"/>
  <c r="F4126" i="8"/>
  <c r="G4126" i="8"/>
  <c r="H4126" i="8"/>
  <c r="I4126" i="8"/>
  <c r="J4126" i="8"/>
  <c r="K4126" i="8"/>
  <c r="L4126" i="8"/>
  <c r="M4126" i="8"/>
  <c r="N4126" i="8"/>
  <c r="O4126" i="8"/>
  <c r="P4126" i="8"/>
  <c r="Q4126" i="8"/>
  <c r="R4126" i="8"/>
  <c r="S4126" i="8"/>
  <c r="T4126" i="8"/>
  <c r="E4127" i="8"/>
  <c r="F4127" i="8"/>
  <c r="G4127" i="8"/>
  <c r="H4127" i="8"/>
  <c r="I4127" i="8"/>
  <c r="J4127" i="8"/>
  <c r="K4127" i="8"/>
  <c r="L4127" i="8"/>
  <c r="M4127" i="8"/>
  <c r="N4127" i="8"/>
  <c r="O4127" i="8"/>
  <c r="P4127" i="8"/>
  <c r="Q4127" i="8"/>
  <c r="R4127" i="8"/>
  <c r="S4127" i="8"/>
  <c r="T4127" i="8"/>
  <c r="E4128" i="8"/>
  <c r="F4128" i="8"/>
  <c r="G4128" i="8"/>
  <c r="H4128" i="8"/>
  <c r="I4128" i="8"/>
  <c r="J4128" i="8"/>
  <c r="K4128" i="8"/>
  <c r="L4128" i="8"/>
  <c r="M4128" i="8"/>
  <c r="N4128" i="8"/>
  <c r="O4128" i="8"/>
  <c r="P4128" i="8"/>
  <c r="Q4128" i="8"/>
  <c r="R4128" i="8"/>
  <c r="S4128" i="8"/>
  <c r="T4128" i="8"/>
  <c r="E4129" i="8"/>
  <c r="F4129" i="8"/>
  <c r="G4129" i="8"/>
  <c r="H4129" i="8"/>
  <c r="I4129" i="8"/>
  <c r="J4129" i="8"/>
  <c r="K4129" i="8"/>
  <c r="L4129" i="8"/>
  <c r="M4129" i="8"/>
  <c r="N4129" i="8"/>
  <c r="O4129" i="8"/>
  <c r="P4129" i="8"/>
  <c r="Q4129" i="8"/>
  <c r="R4129" i="8"/>
  <c r="S4129" i="8"/>
  <c r="T4129" i="8"/>
  <c r="E4130" i="8"/>
  <c r="F4130" i="8"/>
  <c r="G4130" i="8"/>
  <c r="H4130" i="8"/>
  <c r="I4130" i="8"/>
  <c r="J4130" i="8"/>
  <c r="K4130" i="8"/>
  <c r="L4130" i="8"/>
  <c r="M4130" i="8"/>
  <c r="N4130" i="8"/>
  <c r="O4130" i="8"/>
  <c r="P4130" i="8"/>
  <c r="Q4130" i="8"/>
  <c r="R4130" i="8"/>
  <c r="S4130" i="8"/>
  <c r="T4130" i="8"/>
  <c r="E4131" i="8"/>
  <c r="F4131" i="8"/>
  <c r="G4131" i="8"/>
  <c r="H4131" i="8"/>
  <c r="I4131" i="8"/>
  <c r="J4131" i="8"/>
  <c r="K4131" i="8"/>
  <c r="L4131" i="8"/>
  <c r="M4131" i="8"/>
  <c r="N4131" i="8"/>
  <c r="O4131" i="8"/>
  <c r="P4131" i="8"/>
  <c r="Q4131" i="8"/>
  <c r="R4131" i="8"/>
  <c r="S4131" i="8"/>
  <c r="T4131" i="8"/>
  <c r="AL380" i="7"/>
  <c r="AH380" i="7"/>
  <c r="AJ380" i="7"/>
  <c r="AB380" i="7"/>
  <c r="T380" i="7"/>
  <c r="AQ380" i="7"/>
  <c r="E380" i="7"/>
  <c r="F380" i="7"/>
  <c r="G380" i="7"/>
  <c r="H380" i="7"/>
  <c r="I380" i="7"/>
  <c r="J380" i="7"/>
  <c r="K380" i="7"/>
  <c r="L380" i="7"/>
  <c r="M380" i="7"/>
  <c r="N380" i="7"/>
  <c r="P380" i="7"/>
  <c r="Q380" i="7"/>
  <c r="R380" i="7"/>
  <c r="S380" i="7"/>
  <c r="U380" i="7"/>
  <c r="V380" i="7"/>
  <c r="W380" i="7"/>
  <c r="X380" i="7"/>
  <c r="Y380" i="7"/>
  <c r="Z380" i="7"/>
  <c r="AA380" i="7"/>
  <c r="AC380" i="7"/>
  <c r="AE380" i="7"/>
  <c r="AI380" i="7"/>
  <c r="AO380" i="7"/>
  <c r="AP380" i="7"/>
  <c r="F4110" i="8"/>
  <c r="K4110" i="8"/>
  <c r="Q4111" i="8"/>
  <c r="N4112" i="8"/>
  <c r="H4113" i="8"/>
  <c r="K4113" i="8"/>
  <c r="P4114" i="8"/>
  <c r="F4116" i="8"/>
  <c r="N4110" i="8"/>
  <c r="T4111" i="8"/>
  <c r="I4112" i="8"/>
  <c r="M4114" i="8"/>
  <c r="H4115" i="8"/>
  <c r="O4110" i="8"/>
  <c r="S4110" i="8"/>
  <c r="E4111" i="8"/>
  <c r="J4111" i="8"/>
  <c r="L4112" i="8"/>
  <c r="O4112" i="8"/>
  <c r="S4112" i="8"/>
  <c r="R4113" i="8"/>
  <c r="H4114" i="8"/>
  <c r="K4114" i="8"/>
  <c r="R4114" i="8"/>
  <c r="N4115" i="8"/>
  <c r="L4110" i="8"/>
  <c r="R4110" i="8"/>
  <c r="H4111" i="8"/>
  <c r="G4110" i="8"/>
  <c r="M4111" i="8"/>
  <c r="H4112" i="8"/>
  <c r="Q4113" i="8"/>
  <c r="G4114" i="8"/>
  <c r="L4115" i="8"/>
  <c r="P4115" i="8"/>
  <c r="I4110" i="8"/>
  <c r="M4110" i="8"/>
  <c r="N4111" i="8"/>
  <c r="F4113" i="8"/>
  <c r="P4113" i="8"/>
  <c r="E4114" i="8"/>
  <c r="S4114" i="8"/>
  <c r="I4115" i="8"/>
  <c r="R4115" i="8"/>
  <c r="J4110" i="8"/>
  <c r="G4111" i="8"/>
  <c r="E4112" i="8"/>
  <c r="P4112" i="8"/>
  <c r="E4113" i="8"/>
  <c r="G4113" i="8"/>
  <c r="F4114" i="8"/>
  <c r="J4114" i="8"/>
  <c r="O4114" i="8"/>
  <c r="K4115" i="8"/>
  <c r="G4116" i="8"/>
  <c r="E4110" i="8"/>
  <c r="P4110" i="8"/>
  <c r="R4111" i="8"/>
  <c r="G4112" i="8"/>
  <c r="T4112" i="8"/>
  <c r="O4113" i="8"/>
  <c r="N4114" i="8"/>
  <c r="J4115" i="8"/>
  <c r="E4116" i="8"/>
  <c r="Q4110" i="8"/>
  <c r="F4111" i="8"/>
  <c r="I4111" i="8"/>
  <c r="S4111" i="8"/>
  <c r="J4112" i="8"/>
  <c r="R4112" i="8"/>
  <c r="L4113" i="8"/>
  <c r="T4113" i="8"/>
  <c r="I4114" i="8"/>
  <c r="F4112" i="8"/>
  <c r="Q4112" i="8"/>
  <c r="N4113" i="8"/>
  <c r="M4115" i="8"/>
  <c r="O4115" i="8"/>
  <c r="T4115" i="8"/>
  <c r="H4116" i="8"/>
  <c r="I4116" i="8"/>
  <c r="J4116" i="8"/>
  <c r="K4116" i="8"/>
  <c r="L4116" i="8"/>
  <c r="M4116" i="8"/>
  <c r="N4116" i="8"/>
  <c r="O4116" i="8"/>
  <c r="P4116" i="8"/>
  <c r="Q4116" i="8"/>
  <c r="R4116" i="8"/>
  <c r="S4116" i="8"/>
  <c r="T4116" i="8"/>
  <c r="E4117" i="8"/>
  <c r="F4117" i="8"/>
  <c r="G4117" i="8"/>
  <c r="H4117" i="8"/>
  <c r="I4117" i="8"/>
  <c r="J4117" i="8"/>
  <c r="K4117" i="8"/>
  <c r="L4117" i="8"/>
  <c r="M4117" i="8"/>
  <c r="N4117" i="8"/>
  <c r="O4117" i="8"/>
  <c r="P4117" i="8"/>
  <c r="Q4117" i="8"/>
  <c r="R4117" i="8"/>
  <c r="S4117" i="8"/>
  <c r="T4117" i="8"/>
  <c r="E4118" i="8"/>
  <c r="F4118" i="8"/>
  <c r="G4118" i="8"/>
  <c r="H4118" i="8"/>
  <c r="I4118" i="8"/>
  <c r="J4118" i="8"/>
  <c r="K4118" i="8"/>
  <c r="L4118" i="8"/>
  <c r="M4118" i="8"/>
  <c r="N4118" i="8"/>
  <c r="O4118" i="8"/>
  <c r="P4118" i="8"/>
  <c r="Q4118" i="8"/>
  <c r="R4118" i="8"/>
  <c r="S4118" i="8"/>
  <c r="T4118" i="8"/>
  <c r="E4119" i="8"/>
  <c r="F4119" i="8"/>
  <c r="G4119" i="8"/>
  <c r="H4119" i="8"/>
  <c r="I4119" i="8"/>
  <c r="J4119" i="8"/>
  <c r="K4119" i="8"/>
  <c r="L4119" i="8"/>
  <c r="M4119" i="8"/>
  <c r="N4119" i="8"/>
  <c r="O4119" i="8"/>
  <c r="P4119" i="8"/>
  <c r="Q4119" i="8"/>
  <c r="R4119" i="8"/>
  <c r="S4119" i="8"/>
  <c r="T4119" i="8"/>
  <c r="E4120" i="8"/>
  <c r="F4120" i="8"/>
  <c r="G4120" i="8"/>
  <c r="H4120" i="8"/>
  <c r="I4120" i="8"/>
  <c r="J4120" i="8"/>
  <c r="K4120" i="8"/>
  <c r="L4120" i="8"/>
  <c r="M4120" i="8"/>
  <c r="N4120" i="8"/>
  <c r="O4120" i="8"/>
  <c r="P4120" i="8"/>
  <c r="Q4120" i="8"/>
  <c r="R4120" i="8"/>
  <c r="S4120" i="8"/>
  <c r="T4120" i="8"/>
  <c r="L4111" i="8"/>
  <c r="M4113" i="8"/>
  <c r="E4115" i="8"/>
  <c r="K4111" i="8"/>
  <c r="P4111" i="8"/>
  <c r="J4113" i="8"/>
  <c r="Q4114" i="8"/>
  <c r="G4115" i="8"/>
  <c r="S4115" i="8"/>
  <c r="H4110" i="8"/>
  <c r="T4110" i="8"/>
  <c r="O4111" i="8"/>
  <c r="K4112" i="8"/>
  <c r="M4112" i="8"/>
  <c r="I4113" i="8"/>
  <c r="S4113" i="8"/>
  <c r="L4114" i="8"/>
  <c r="T4114" i="8"/>
  <c r="F4115" i="8"/>
  <c r="Q4115" i="8"/>
  <c r="AQ379" i="7"/>
  <c r="AL379" i="7"/>
  <c r="AJ379" i="7"/>
  <c r="AH379" i="7"/>
  <c r="AB379" i="7"/>
  <c r="T379" i="7"/>
  <c r="E379" i="7"/>
  <c r="F379" i="7"/>
  <c r="G379" i="7"/>
  <c r="H379" i="7"/>
  <c r="I379" i="7"/>
  <c r="J379" i="7"/>
  <c r="K379" i="7"/>
  <c r="L379" i="7"/>
  <c r="M379" i="7"/>
  <c r="N379" i="7"/>
  <c r="P379" i="7"/>
  <c r="Q379" i="7"/>
  <c r="R379" i="7"/>
  <c r="S379" i="7"/>
  <c r="U379" i="7"/>
  <c r="V379" i="7"/>
  <c r="W379" i="7"/>
  <c r="X379" i="7"/>
  <c r="Y379" i="7"/>
  <c r="Z379" i="7"/>
  <c r="AA379" i="7"/>
  <c r="AC379" i="7"/>
  <c r="AE379" i="7"/>
  <c r="AI379" i="7"/>
  <c r="AO379" i="7"/>
  <c r="AP379" i="7"/>
  <c r="I4099" i="8"/>
  <c r="S4099" i="8"/>
  <c r="L4100" i="8"/>
  <c r="T4100" i="8"/>
  <c r="N4101" i="8"/>
  <c r="K4102" i="8"/>
  <c r="P4102" i="8"/>
  <c r="I4103" i="8"/>
  <c r="R4103" i="8"/>
  <c r="M4104" i="8"/>
  <c r="P4106" i="8"/>
  <c r="S4107" i="8"/>
  <c r="E4108" i="8"/>
  <c r="M4108" i="8"/>
  <c r="R4108" i="8"/>
  <c r="M4099" i="8"/>
  <c r="M4100" i="8"/>
  <c r="S4101" i="8"/>
  <c r="K4103" i="8"/>
  <c r="H4105" i="8"/>
  <c r="I4106" i="8"/>
  <c r="R4106" i="8"/>
  <c r="R4107" i="8"/>
  <c r="T4108" i="8"/>
  <c r="R4109" i="8"/>
  <c r="Q4099" i="8"/>
  <c r="G4100" i="8"/>
  <c r="O4100" i="8"/>
  <c r="G4101" i="8"/>
  <c r="L4101" i="8"/>
  <c r="P4101" i="8"/>
  <c r="G4104" i="8"/>
  <c r="K4104" i="8"/>
  <c r="K4105" i="8"/>
  <c r="J4106" i="8"/>
  <c r="Q4106" i="8"/>
  <c r="G4107" i="8"/>
  <c r="N4107" i="8"/>
  <c r="P4107" i="8"/>
  <c r="P4108" i="8"/>
  <c r="N4109" i="8"/>
  <c r="S4109" i="8"/>
  <c r="H4099" i="8"/>
  <c r="L4099" i="8"/>
  <c r="T4101" i="8"/>
  <c r="M4102" i="8"/>
  <c r="O4103" i="8"/>
  <c r="L4104" i="8"/>
  <c r="G4105" i="8"/>
  <c r="T4105" i="8"/>
  <c r="L4106" i="8"/>
  <c r="J4107" i="8"/>
  <c r="L4108" i="8"/>
  <c r="I4109" i="8"/>
  <c r="M4109" i="8"/>
  <c r="E4099" i="8"/>
  <c r="K4099" i="8"/>
  <c r="J4101" i="8"/>
  <c r="O4101" i="8"/>
  <c r="I4102" i="8"/>
  <c r="O4102" i="8"/>
  <c r="H4103" i="8"/>
  <c r="M4103" i="8"/>
  <c r="Q4104" i="8"/>
  <c r="O4105" i="8"/>
  <c r="K4106" i="8"/>
  <c r="S4106" i="8"/>
  <c r="F4108" i="8"/>
  <c r="Q4109" i="8"/>
  <c r="J4099" i="8"/>
  <c r="F4100" i="8"/>
  <c r="K4100" i="8"/>
  <c r="S4100" i="8"/>
  <c r="E4101" i="8"/>
  <c r="K4101" i="8"/>
  <c r="J4102" i="8"/>
  <c r="E4103" i="8"/>
  <c r="F4104" i="8"/>
  <c r="S4104" i="8"/>
  <c r="F4105" i="8"/>
  <c r="I4105" i="8"/>
  <c r="M4105" i="8"/>
  <c r="R4105" i="8"/>
  <c r="H4107" i="8"/>
  <c r="K4107" i="8"/>
  <c r="Q4107" i="8"/>
  <c r="G4108" i="8"/>
  <c r="N4108" i="8"/>
  <c r="H4109" i="8"/>
  <c r="L4109" i="8"/>
  <c r="P4109" i="8"/>
  <c r="O4099" i="8"/>
  <c r="E4100" i="8"/>
  <c r="N4100" i="8"/>
  <c r="I4101" i="8"/>
  <c r="R4101" i="8"/>
  <c r="H4102" i="8"/>
  <c r="T4102" i="8"/>
  <c r="S4103" i="8"/>
  <c r="O4104" i="8"/>
  <c r="T4104" i="8"/>
  <c r="E4105" i="8"/>
  <c r="N4105" i="8"/>
  <c r="M4106" i="8"/>
  <c r="O4107" i="8"/>
  <c r="I4108" i="8"/>
  <c r="O4108" i="8"/>
  <c r="S4108" i="8"/>
  <c r="G4109" i="8"/>
  <c r="K4109" i="8"/>
  <c r="N4099" i="8"/>
  <c r="H4100" i="8"/>
  <c r="M4101" i="8"/>
  <c r="Q4101" i="8"/>
  <c r="F4102" i="8"/>
  <c r="J4103" i="8"/>
  <c r="E4104" i="8"/>
  <c r="Q4105" i="8"/>
  <c r="F4106" i="8"/>
  <c r="J4108" i="8"/>
  <c r="Q4108" i="8"/>
  <c r="F4099" i="8"/>
  <c r="R4099" i="8"/>
  <c r="N4102" i="8"/>
  <c r="R4102" i="8"/>
  <c r="N4103" i="8"/>
  <c r="P4104" i="8"/>
  <c r="J4105" i="8"/>
  <c r="I4107" i="8"/>
  <c r="M4107" i="8"/>
  <c r="F4109" i="8"/>
  <c r="J4109" i="8"/>
  <c r="R4100" i="8"/>
  <c r="F4101" i="8"/>
  <c r="L4102" i="8"/>
  <c r="Q4102" i="8"/>
  <c r="L4103" i="8"/>
  <c r="P4103" i="8"/>
  <c r="I4104" i="8"/>
  <c r="O4106" i="8"/>
  <c r="T4106" i="8"/>
  <c r="E4109" i="8"/>
  <c r="O4109" i="8"/>
  <c r="T4099" i="8"/>
  <c r="H4101" i="8"/>
  <c r="E4102" i="8"/>
  <c r="H4104" i="8"/>
  <c r="P4105" i="8"/>
  <c r="E4106" i="8"/>
  <c r="N4106" i="8"/>
  <c r="L4107" i="8"/>
  <c r="T4109" i="8"/>
  <c r="P4099" i="8"/>
  <c r="J4100" i="8"/>
  <c r="Q4100" i="8"/>
  <c r="G4102" i="8"/>
  <c r="G4103" i="8"/>
  <c r="Q4103" i="8"/>
  <c r="R4104" i="8"/>
  <c r="S4105" i="8"/>
  <c r="G4106" i="8"/>
  <c r="F4107" i="8"/>
  <c r="H4108" i="8"/>
  <c r="G4099" i="8"/>
  <c r="I4100" i="8"/>
  <c r="P4100" i="8"/>
  <c r="S4102" i="8"/>
  <c r="F4103" i="8"/>
  <c r="T4103" i="8"/>
  <c r="J4104" i="8"/>
  <c r="N4104" i="8"/>
  <c r="L4105" i="8"/>
  <c r="H4106" i="8"/>
  <c r="E4107" i="8"/>
  <c r="T4107" i="8"/>
  <c r="K4108" i="8"/>
  <c r="AQ378" i="7"/>
  <c r="AL378" i="7"/>
  <c r="AJ378" i="7"/>
  <c r="AH378" i="7"/>
  <c r="AB378" i="7"/>
  <c r="T378" i="7"/>
  <c r="E378" i="7"/>
  <c r="F378" i="7"/>
  <c r="G378" i="7"/>
  <c r="H378" i="7"/>
  <c r="I378" i="7"/>
  <c r="J378" i="7"/>
  <c r="K378" i="7"/>
  <c r="L378" i="7"/>
  <c r="M378" i="7"/>
  <c r="N378" i="7"/>
  <c r="P378" i="7"/>
  <c r="Q378" i="7"/>
  <c r="R378" i="7"/>
  <c r="S378" i="7"/>
  <c r="U378" i="7"/>
  <c r="V378" i="7"/>
  <c r="W378" i="7"/>
  <c r="X378" i="7"/>
  <c r="Y378" i="7"/>
  <c r="Z378" i="7"/>
  <c r="AA378" i="7"/>
  <c r="AC378" i="7"/>
  <c r="AE378" i="7"/>
  <c r="AI378" i="7"/>
  <c r="AO378" i="7"/>
  <c r="AP378" i="7"/>
  <c r="F4088" i="8"/>
  <c r="S4088" i="8"/>
  <c r="M4089" i="8"/>
  <c r="T4089" i="8"/>
  <c r="S4090" i="8"/>
  <c r="M4091" i="8"/>
  <c r="G4092" i="8"/>
  <c r="P4092" i="8"/>
  <c r="R4094" i="8"/>
  <c r="E4095" i="8"/>
  <c r="H4095" i="8"/>
  <c r="P4095" i="8"/>
  <c r="I4096" i="8"/>
  <c r="R4096" i="8"/>
  <c r="S4097" i="8"/>
  <c r="I4098" i="8"/>
  <c r="H4088" i="8"/>
  <c r="E4089" i="8"/>
  <c r="H4089" i="8"/>
  <c r="N4089" i="8"/>
  <c r="R4089" i="8"/>
  <c r="K4090" i="8"/>
  <c r="H4091" i="8"/>
  <c r="N4091" i="8"/>
  <c r="S4091" i="8"/>
  <c r="S4092" i="8"/>
  <c r="I4094" i="8"/>
  <c r="S4095" i="8"/>
  <c r="K4097" i="8"/>
  <c r="J4088" i="8"/>
  <c r="N4088" i="8"/>
  <c r="F4089" i="8"/>
  <c r="I4090" i="8"/>
  <c r="R4090" i="8"/>
  <c r="F4092" i="8"/>
  <c r="O4092" i="8"/>
  <c r="K4093" i="8"/>
  <c r="P4093" i="8"/>
  <c r="M4094" i="8"/>
  <c r="O4095" i="8"/>
  <c r="H4096" i="8"/>
  <c r="Q4097" i="8"/>
  <c r="L4098" i="8"/>
  <c r="R4088" i="8"/>
  <c r="J4089" i="8"/>
  <c r="Q4089" i="8"/>
  <c r="O4090" i="8"/>
  <c r="L4092" i="8"/>
  <c r="F4093" i="8"/>
  <c r="K4094" i="8"/>
  <c r="P4094" i="8"/>
  <c r="K4096" i="8"/>
  <c r="Q4096" i="8"/>
  <c r="J4097" i="8"/>
  <c r="J4098" i="8"/>
  <c r="L4088" i="8"/>
  <c r="O4088" i="8"/>
  <c r="O4091" i="8"/>
  <c r="T4091" i="8"/>
  <c r="S4093" i="8"/>
  <c r="F4094" i="8"/>
  <c r="N4094" i="8"/>
  <c r="M4095" i="8"/>
  <c r="E4098" i="8"/>
  <c r="M4088" i="8"/>
  <c r="T4088" i="8"/>
  <c r="S4089" i="8"/>
  <c r="P4090" i="8"/>
  <c r="K4091" i="8"/>
  <c r="H4092" i="8"/>
  <c r="G4093" i="8"/>
  <c r="M4093" i="8"/>
  <c r="J4094" i="8"/>
  <c r="O4094" i="8"/>
  <c r="J4095" i="8"/>
  <c r="N4095" i="8"/>
  <c r="F4096" i="8"/>
  <c r="J4096" i="8"/>
  <c r="N4096" i="8"/>
  <c r="S4096" i="8"/>
  <c r="F4097" i="8"/>
  <c r="R4097" i="8"/>
  <c r="K4098" i="8"/>
  <c r="Q4098" i="8"/>
  <c r="H4090" i="8"/>
  <c r="Q4090" i="8"/>
  <c r="G4091" i="8"/>
  <c r="R4091" i="8"/>
  <c r="I4092" i="8"/>
  <c r="Q4092" i="8"/>
  <c r="T4092" i="8"/>
  <c r="R4093" i="8"/>
  <c r="G4094" i="8"/>
  <c r="Q4095" i="8"/>
  <c r="E4096" i="8"/>
  <c r="P4096" i="8"/>
  <c r="I4097" i="8"/>
  <c r="T4097" i="8"/>
  <c r="H4098" i="8"/>
  <c r="P4098" i="8"/>
  <c r="T4098" i="8"/>
  <c r="G4089" i="8"/>
  <c r="L4089" i="8"/>
  <c r="F4091" i="8"/>
  <c r="L4091" i="8"/>
  <c r="M4092" i="8"/>
  <c r="R4092" i="8"/>
  <c r="Q4093" i="8"/>
  <c r="L4094" i="8"/>
  <c r="T4094" i="8"/>
  <c r="R4095" i="8"/>
  <c r="L4096" i="8"/>
  <c r="O4097" i="8"/>
  <c r="M4098" i="8"/>
  <c r="P4088" i="8"/>
  <c r="K4089" i="8"/>
  <c r="M4090" i="8"/>
  <c r="H4093" i="8"/>
  <c r="S4094" i="8"/>
  <c r="G4095" i="8"/>
  <c r="N4097" i="8"/>
  <c r="S4098" i="8"/>
  <c r="G4088" i="8"/>
  <c r="Q4088" i="8"/>
  <c r="I4089" i="8"/>
  <c r="G4090" i="8"/>
  <c r="T4090" i="8"/>
  <c r="Q4091" i="8"/>
  <c r="I4093" i="8"/>
  <c r="T4093" i="8"/>
  <c r="Q4094" i="8"/>
  <c r="K4095" i="8"/>
  <c r="G4096" i="8"/>
  <c r="O4096" i="8"/>
  <c r="E4097" i="8"/>
  <c r="O4098" i="8"/>
  <c r="E4088" i="8"/>
  <c r="I4088" i="8"/>
  <c r="O4089" i="8"/>
  <c r="E4090" i="8"/>
  <c r="L4090" i="8"/>
  <c r="J4091" i="8"/>
  <c r="J4092" i="8"/>
  <c r="E4093" i="8"/>
  <c r="L4093" i="8"/>
  <c r="O4093" i="8"/>
  <c r="H4094" i="8"/>
  <c r="I4095" i="8"/>
  <c r="T4096" i="8"/>
  <c r="H4097" i="8"/>
  <c r="L4097" i="8"/>
  <c r="P4097" i="8"/>
  <c r="F4098" i="8"/>
  <c r="J4090" i="8"/>
  <c r="N4090" i="8"/>
  <c r="E4091" i="8"/>
  <c r="I4091" i="8"/>
  <c r="P4091" i="8"/>
  <c r="N4093" i="8"/>
  <c r="E4094" i="8"/>
  <c r="G4097" i="8"/>
  <c r="M4097" i="8"/>
  <c r="G4098" i="8"/>
  <c r="N4098" i="8"/>
  <c r="K4088" i="8"/>
  <c r="P4089" i="8"/>
  <c r="F4090" i="8"/>
  <c r="E4092" i="8"/>
  <c r="K4092" i="8"/>
  <c r="N4092" i="8"/>
  <c r="J4093" i="8"/>
  <c r="F4095" i="8"/>
  <c r="L4095" i="8"/>
  <c r="T4095" i="8"/>
  <c r="M4096" i="8"/>
  <c r="R4098" i="8"/>
  <c r="AJ377" i="7"/>
  <c r="AQ377" i="7"/>
  <c r="AL377" i="7"/>
  <c r="AH377" i="7"/>
  <c r="AB377" i="7"/>
  <c r="T377" i="7"/>
  <c r="E377" i="7"/>
  <c r="F377" i="7"/>
  <c r="G377" i="7"/>
  <c r="H377" i="7"/>
  <c r="I377" i="7"/>
  <c r="J377" i="7"/>
  <c r="K377" i="7"/>
  <c r="L377" i="7"/>
  <c r="M377" i="7"/>
  <c r="N377" i="7"/>
  <c r="P377" i="7"/>
  <c r="Q377" i="7"/>
  <c r="R377" i="7"/>
  <c r="S377" i="7"/>
  <c r="U377" i="7"/>
  <c r="V377" i="7"/>
  <c r="W377" i="7"/>
  <c r="X377" i="7"/>
  <c r="Y377" i="7"/>
  <c r="Z377" i="7"/>
  <c r="AA377" i="7"/>
  <c r="AC377" i="7"/>
  <c r="AE377" i="7"/>
  <c r="AI377" i="7"/>
  <c r="AO377" i="7"/>
  <c r="AP377" i="7"/>
  <c r="M4077" i="8"/>
  <c r="G4079" i="8"/>
  <c r="Q4079" i="8"/>
  <c r="J4080" i="8"/>
  <c r="T4082" i="8"/>
  <c r="T4083" i="8"/>
  <c r="E4084" i="8"/>
  <c r="O4085" i="8"/>
  <c r="S4086" i="8"/>
  <c r="F4087" i="8"/>
  <c r="O4087" i="8"/>
  <c r="F4077" i="8"/>
  <c r="P4077" i="8"/>
  <c r="L4078" i="8"/>
  <c r="G4080" i="8"/>
  <c r="K4080" i="8"/>
  <c r="Q4081" i="8"/>
  <c r="H4083" i="8"/>
  <c r="M4084" i="8"/>
  <c r="S4084" i="8"/>
  <c r="E4085" i="8"/>
  <c r="L4086" i="8"/>
  <c r="G4087" i="8"/>
  <c r="Q4087" i="8"/>
  <c r="K4077" i="8"/>
  <c r="O4077" i="8"/>
  <c r="H4078" i="8"/>
  <c r="P4078" i="8"/>
  <c r="T4078" i="8"/>
  <c r="E4079" i="8"/>
  <c r="I4079" i="8"/>
  <c r="P4079" i="8"/>
  <c r="T4079" i="8"/>
  <c r="F4080" i="8"/>
  <c r="L4080" i="8"/>
  <c r="S4080" i="8"/>
  <c r="K4081" i="8"/>
  <c r="R4081" i="8"/>
  <c r="F4082" i="8"/>
  <c r="P4082" i="8"/>
  <c r="E4083" i="8"/>
  <c r="K4083" i="8"/>
  <c r="O4083" i="8"/>
  <c r="G4084" i="8"/>
  <c r="L4084" i="8"/>
  <c r="T4085" i="8"/>
  <c r="O4086" i="8"/>
  <c r="T4086" i="8"/>
  <c r="K4087" i="8"/>
  <c r="T4077" i="8"/>
  <c r="I4078" i="8"/>
  <c r="Q4078" i="8"/>
  <c r="H4080" i="8"/>
  <c r="M4080" i="8"/>
  <c r="P4080" i="8"/>
  <c r="I4083" i="8"/>
  <c r="J4084" i="8"/>
  <c r="Q4084" i="8"/>
  <c r="Q4086" i="8"/>
  <c r="H4087" i="8"/>
  <c r="H4077" i="8"/>
  <c r="R4077" i="8"/>
  <c r="F4079" i="8"/>
  <c r="I4081" i="8"/>
  <c r="L4081" i="8"/>
  <c r="O4081" i="8"/>
  <c r="S4081" i="8"/>
  <c r="H4082" i="8"/>
  <c r="M4082" i="8"/>
  <c r="M4083" i="8"/>
  <c r="H4085" i="8"/>
  <c r="P4085" i="8"/>
  <c r="K4086" i="8"/>
  <c r="N4087" i="8"/>
  <c r="G4077" i="8"/>
  <c r="Q4077" i="8"/>
  <c r="E4078" i="8"/>
  <c r="J4078" i="8"/>
  <c r="H4079" i="8"/>
  <c r="M4079" i="8"/>
  <c r="T4081" i="8"/>
  <c r="G4082" i="8"/>
  <c r="R4082" i="8"/>
  <c r="G4083" i="8"/>
  <c r="L4083" i="8"/>
  <c r="Q4083" i="8"/>
  <c r="K4084" i="8"/>
  <c r="I4085" i="8"/>
  <c r="M4085" i="8"/>
  <c r="H4086" i="8"/>
  <c r="I4087" i="8"/>
  <c r="P4087" i="8"/>
  <c r="G4078" i="8"/>
  <c r="N4078" i="8"/>
  <c r="O4079" i="8"/>
  <c r="E4080" i="8"/>
  <c r="Q4080" i="8"/>
  <c r="E4081" i="8"/>
  <c r="E4082" i="8"/>
  <c r="I4082" i="8"/>
  <c r="N4082" i="8"/>
  <c r="F4083" i="8"/>
  <c r="F4084" i="8"/>
  <c r="O4084" i="8"/>
  <c r="J4085" i="8"/>
  <c r="L4087" i="8"/>
  <c r="R4087" i="8"/>
  <c r="J4077" i="8"/>
  <c r="M4078" i="8"/>
  <c r="R4078" i="8"/>
  <c r="R4079" i="8"/>
  <c r="I4080" i="8"/>
  <c r="R4083" i="8"/>
  <c r="I4084" i="8"/>
  <c r="P4084" i="8"/>
  <c r="T4084" i="8"/>
  <c r="G4085" i="8"/>
  <c r="K4085" i="8"/>
  <c r="S4085" i="8"/>
  <c r="G4086" i="8"/>
  <c r="P4086" i="8"/>
  <c r="E4087" i="8"/>
  <c r="S4077" i="8"/>
  <c r="N4080" i="8"/>
  <c r="R4080" i="8"/>
  <c r="L4082" i="8"/>
  <c r="S4082" i="8"/>
  <c r="P4083" i="8"/>
  <c r="S4083" i="8"/>
  <c r="N4084" i="8"/>
  <c r="N4085" i="8"/>
  <c r="K4078" i="8"/>
  <c r="S4078" i="8"/>
  <c r="J4079" i="8"/>
  <c r="T4080" i="8"/>
  <c r="G4081" i="8"/>
  <c r="J4082" i="8"/>
  <c r="N4083" i="8"/>
  <c r="H4084" i="8"/>
  <c r="F4085" i="8"/>
  <c r="L4085" i="8"/>
  <c r="J4086" i="8"/>
  <c r="N4086" i="8"/>
  <c r="M4087" i="8"/>
  <c r="S4087" i="8"/>
  <c r="I4077" i="8"/>
  <c r="O4078" i="8"/>
  <c r="N4079" i="8"/>
  <c r="S4079" i="8"/>
  <c r="O4080" i="8"/>
  <c r="H4081" i="8"/>
  <c r="M4081" i="8"/>
  <c r="P4081" i="8"/>
  <c r="K4082" i="8"/>
  <c r="O4082" i="8"/>
  <c r="J4083" i="8"/>
  <c r="R4084" i="8"/>
  <c r="Q4085" i="8"/>
  <c r="E4086" i="8"/>
  <c r="I4086" i="8"/>
  <c r="R4086" i="8"/>
  <c r="F4078" i="8"/>
  <c r="K4079" i="8"/>
  <c r="J4081" i="8"/>
  <c r="N4081" i="8"/>
  <c r="F4086" i="8"/>
  <c r="M4086" i="8"/>
  <c r="T4087" i="8"/>
  <c r="E4077" i="8"/>
  <c r="L4077" i="8"/>
  <c r="N4077" i="8"/>
  <c r="L4079" i="8"/>
  <c r="F4081" i="8"/>
  <c r="Q4082" i="8"/>
  <c r="R4085" i="8"/>
  <c r="J4087" i="8"/>
  <c r="T376" i="7"/>
  <c r="AQ376" i="7"/>
  <c r="AB376" i="7"/>
  <c r="AH376" i="7"/>
  <c r="AJ376" i="7"/>
  <c r="AL376" i="7"/>
  <c r="C376" i="7"/>
  <c r="A4068" i="8"/>
  <c r="A4069" i="8"/>
  <c r="A4070" i="8"/>
  <c r="A4071" i="8"/>
  <c r="A4075" i="8"/>
  <c r="A4074" i="8"/>
  <c r="A4073" i="8"/>
  <c r="A4072" i="8"/>
  <c r="A4066" i="8"/>
  <c r="A4067" i="8"/>
  <c r="AB375" i="7"/>
  <c r="AL375" i="7"/>
  <c r="AJ375" i="7"/>
  <c r="AH375" i="7"/>
  <c r="T375" i="7"/>
  <c r="AQ375" i="7"/>
  <c r="A4063" i="8"/>
  <c r="A4061" i="8"/>
  <c r="A4065" i="8"/>
  <c r="A4060" i="8"/>
  <c r="A4059" i="8"/>
  <c r="A4064" i="8"/>
  <c r="A4058" i="8"/>
  <c r="A4057" i="8"/>
  <c r="A4056" i="8"/>
  <c r="A4062" i="8"/>
  <c r="C375" i="7"/>
  <c r="A4055" i="8"/>
  <c r="T374" i="7"/>
  <c r="AB374" i="7"/>
  <c r="AH374" i="7"/>
  <c r="AL374" i="7"/>
  <c r="AQ374" i="7"/>
  <c r="AJ374" i="7"/>
  <c r="A4054" i="8"/>
  <c r="A4053" i="8"/>
  <c r="A4052" i="8"/>
  <c r="A4051" i="8"/>
  <c r="A4050" i="8"/>
  <c r="A4049" i="8"/>
  <c r="A4047" i="8"/>
  <c r="A4046" i="8"/>
  <c r="A4045" i="8"/>
  <c r="A4044" i="8"/>
  <c r="C374" i="7"/>
  <c r="A4048" i="8"/>
  <c r="T373" i="7"/>
  <c r="AQ373" i="7"/>
  <c r="AL373" i="7"/>
  <c r="AJ373" i="7"/>
  <c r="AH373" i="7"/>
  <c r="AB373" i="7"/>
  <c r="C373" i="7"/>
  <c r="A4040" i="8"/>
  <c r="A4039" i="8"/>
  <c r="A4038" i="8"/>
  <c r="A4037" i="8"/>
  <c r="A4036" i="8"/>
  <c r="A4033" i="8"/>
  <c r="A4034" i="8"/>
  <c r="A4035" i="8"/>
  <c r="A4043" i="8"/>
  <c r="A4042" i="8"/>
  <c r="A4041" i="8"/>
  <c r="AQ372" i="7"/>
  <c r="AL372" i="7"/>
  <c r="AJ372" i="7"/>
  <c r="AH372" i="7"/>
  <c r="AB372" i="7"/>
  <c r="T372" i="7"/>
  <c r="A4025" i="8"/>
  <c r="A4026" i="8"/>
  <c r="A4027" i="8"/>
  <c r="A4028" i="8"/>
  <c r="A4029" i="8"/>
  <c r="A4030" i="8"/>
  <c r="A4031" i="8"/>
  <c r="A4032" i="8"/>
  <c r="A4022" i="8"/>
  <c r="C372" i="7"/>
  <c r="A4023" i="8"/>
  <c r="A4024" i="8"/>
  <c r="T371" i="7"/>
  <c r="AB371" i="7"/>
  <c r="AH371" i="7"/>
  <c r="AL371" i="7"/>
  <c r="AQ371" i="7"/>
  <c r="AJ371" i="7"/>
  <c r="A4017" i="8"/>
  <c r="C371" i="7"/>
  <c r="A4021" i="8"/>
  <c r="A4011" i="8"/>
  <c r="A4012" i="8"/>
  <c r="A4013" i="8"/>
  <c r="A4014" i="8"/>
  <c r="A4015" i="8"/>
  <c r="A4016" i="8"/>
  <c r="A4020" i="8"/>
  <c r="A4019" i="8"/>
  <c r="A4018" i="8"/>
  <c r="AJ370" i="7"/>
  <c r="AH370" i="7"/>
  <c r="AB370" i="7"/>
  <c r="T370" i="7"/>
  <c r="AL370" i="7"/>
  <c r="AQ370" i="7"/>
  <c r="A4000" i="8"/>
  <c r="A4002" i="8"/>
  <c r="A4003" i="8"/>
  <c r="A4004" i="8"/>
  <c r="A4005" i="8"/>
  <c r="A4006" i="8"/>
  <c r="A4007" i="8"/>
  <c r="A4008" i="8"/>
  <c r="A4010" i="8"/>
  <c r="A4001" i="8"/>
  <c r="A4009" i="8"/>
  <c r="C370" i="7"/>
  <c r="AB369" i="7"/>
  <c r="T369" i="7"/>
  <c r="AH369" i="7"/>
  <c r="AJ369" i="7"/>
  <c r="AL369" i="7"/>
  <c r="AQ369" i="7"/>
  <c r="A3999" i="8"/>
  <c r="C369" i="7"/>
  <c r="A3998" i="8"/>
  <c r="A3989" i="8"/>
  <c r="A3990" i="8"/>
  <c r="A3991" i="8"/>
  <c r="A3992" i="8"/>
  <c r="A3993" i="8"/>
  <c r="A3994" i="8"/>
  <c r="A3995" i="8"/>
  <c r="A3996" i="8"/>
  <c r="A3997" i="8"/>
  <c r="AQ368" i="7"/>
  <c r="AL368" i="7"/>
  <c r="AJ368" i="7"/>
  <c r="AH368" i="7"/>
  <c r="T368" i="7"/>
  <c r="AB368" i="7"/>
  <c r="A3979" i="8"/>
  <c r="A3980" i="8"/>
  <c r="A3981" i="8"/>
  <c r="A3982" i="8"/>
  <c r="A3983" i="8"/>
  <c r="A3985" i="8"/>
  <c r="A3986" i="8"/>
  <c r="A3987" i="8"/>
  <c r="A3988" i="8"/>
  <c r="C368" i="7"/>
  <c r="A3978" i="8"/>
  <c r="A3984" i="8"/>
  <c r="AL367" i="7"/>
  <c r="AJ367" i="7"/>
  <c r="AH367" i="7"/>
  <c r="AB367" i="7"/>
  <c r="T367" i="7"/>
  <c r="AQ367" i="7"/>
  <c r="A3967" i="8"/>
  <c r="A3975" i="8"/>
  <c r="A3976" i="8"/>
  <c r="A3977" i="8"/>
  <c r="C367" i="7"/>
  <c r="A3972" i="8"/>
  <c r="A3971" i="8"/>
  <c r="A3970" i="8"/>
  <c r="A3974" i="8"/>
  <c r="A3969" i="8"/>
  <c r="A3968" i="8"/>
  <c r="A3973" i="8"/>
  <c r="AQ366" i="7"/>
  <c r="AL366" i="7"/>
  <c r="AJ366" i="7"/>
  <c r="AH366" i="7"/>
  <c r="AB366" i="7"/>
  <c r="T366" i="7"/>
  <c r="A3958" i="8"/>
  <c r="A3965" i="8"/>
  <c r="A3964" i="8"/>
  <c r="A3963" i="8"/>
  <c r="A3962" i="8"/>
  <c r="A3956" i="8"/>
  <c r="A3961" i="8"/>
  <c r="A3960" i="8"/>
  <c r="A3959" i="8"/>
  <c r="A3957" i="8"/>
  <c r="C366" i="7"/>
  <c r="A3966" i="8"/>
  <c r="AB365" i="7"/>
  <c r="T365" i="7"/>
  <c r="AH365" i="7"/>
  <c r="AJ365" i="7"/>
  <c r="AL365" i="7"/>
  <c r="AQ365" i="7"/>
  <c r="A3947" i="8"/>
  <c r="A3948" i="8"/>
  <c r="A3951" i="8"/>
  <c r="A3952" i="8"/>
  <c r="A3953" i="8"/>
  <c r="A3954" i="8"/>
  <c r="A3955" i="8"/>
  <c r="C365" i="7"/>
  <c r="A3950" i="8"/>
  <c r="A3949" i="8"/>
  <c r="A3945" i="8"/>
  <c r="A3946" i="8"/>
  <c r="AQ364" i="7"/>
  <c r="AL364" i="7"/>
  <c r="AJ364" i="7"/>
  <c r="AH364" i="7"/>
  <c r="AB364" i="7"/>
  <c r="T364" i="7"/>
  <c r="A3939" i="8"/>
  <c r="A3938" i="8"/>
  <c r="A3937" i="8"/>
  <c r="A3936" i="8"/>
  <c r="A3935" i="8"/>
  <c r="A3934" i="8"/>
  <c r="C364" i="7"/>
  <c r="A3944" i="8"/>
  <c r="A3941" i="8"/>
  <c r="A3942" i="8"/>
  <c r="A3943" i="8"/>
  <c r="A3940" i="8"/>
  <c r="AB363" i="7"/>
  <c r="T363" i="7"/>
  <c r="AJ363" i="7"/>
  <c r="AH363" i="7"/>
  <c r="AQ363" i="7"/>
  <c r="AL363" i="7"/>
  <c r="C363" i="7"/>
  <c r="A3924" i="8"/>
  <c r="A3931" i="8"/>
  <c r="A3930" i="8"/>
  <c r="A3928" i="8"/>
  <c r="A3927" i="8"/>
  <c r="A3926" i="8"/>
  <c r="A3925" i="8"/>
  <c r="A3929" i="8"/>
  <c r="A3933" i="8"/>
  <c r="A3932" i="8"/>
  <c r="A3923" i="8"/>
  <c r="AQ362" i="7"/>
  <c r="AL362" i="7"/>
  <c r="AJ362" i="7"/>
  <c r="AH362" i="7"/>
  <c r="AB362" i="7"/>
  <c r="T362" i="7"/>
  <c r="A3915" i="8"/>
  <c r="A3916" i="8"/>
  <c r="A3917" i="8"/>
  <c r="A3918" i="8"/>
  <c r="A3919" i="8"/>
  <c r="A3920" i="8"/>
  <c r="A3921" i="8"/>
  <c r="A3922" i="8"/>
  <c r="C362" i="7"/>
  <c r="AQ361" i="7"/>
  <c r="AL361" i="7"/>
  <c r="AJ361" i="7"/>
  <c r="AH361" i="7"/>
  <c r="AB361" i="7"/>
  <c r="T361" i="7"/>
  <c r="E361" i="7"/>
  <c r="F361" i="7"/>
  <c r="G361" i="7"/>
  <c r="H361" i="7"/>
  <c r="I361" i="7"/>
  <c r="J361" i="7"/>
  <c r="K361" i="7"/>
  <c r="L361" i="7"/>
  <c r="M361" i="7"/>
  <c r="N361" i="7"/>
  <c r="P361" i="7"/>
  <c r="Q361" i="7"/>
  <c r="R361" i="7"/>
  <c r="S361" i="7"/>
  <c r="U361" i="7"/>
  <c r="V361" i="7"/>
  <c r="W361" i="7"/>
  <c r="X361" i="7"/>
  <c r="Y361" i="7"/>
  <c r="Z361" i="7"/>
  <c r="AA361" i="7"/>
  <c r="AC361" i="7"/>
  <c r="AE361" i="7"/>
  <c r="AI361" i="7"/>
  <c r="AO361" i="7"/>
  <c r="AP361" i="7"/>
  <c r="E3901" i="8"/>
  <c r="F3901" i="8"/>
  <c r="G3901" i="8"/>
  <c r="H3901" i="8"/>
  <c r="I3901" i="8"/>
  <c r="J3901" i="8"/>
  <c r="K3901" i="8"/>
  <c r="L3901" i="8"/>
  <c r="M3901" i="8"/>
  <c r="N3901" i="8"/>
  <c r="O3901" i="8"/>
  <c r="P3901" i="8"/>
  <c r="Q3901" i="8"/>
  <c r="R3901" i="8"/>
  <c r="S3901" i="8"/>
  <c r="T3901" i="8"/>
  <c r="E3902" i="8"/>
  <c r="F3902" i="8"/>
  <c r="G3902" i="8"/>
  <c r="H3902" i="8"/>
  <c r="I3902" i="8"/>
  <c r="J3902" i="8"/>
  <c r="K3902" i="8"/>
  <c r="L3902" i="8"/>
  <c r="M3902" i="8"/>
  <c r="N3902" i="8"/>
  <c r="O3902" i="8"/>
  <c r="P3902" i="8"/>
  <c r="Q3902" i="8"/>
  <c r="R3902" i="8"/>
  <c r="S3902" i="8"/>
  <c r="T3902" i="8"/>
  <c r="E3903" i="8"/>
  <c r="F3903" i="8"/>
  <c r="G3903" i="8"/>
  <c r="H3903" i="8"/>
  <c r="I3903" i="8"/>
  <c r="J3903" i="8"/>
  <c r="K3903" i="8"/>
  <c r="L3903" i="8"/>
  <c r="M3903" i="8"/>
  <c r="N3903" i="8"/>
  <c r="O3903" i="8"/>
  <c r="P3903" i="8"/>
  <c r="Q3903" i="8"/>
  <c r="R3903" i="8"/>
  <c r="S3903" i="8"/>
  <c r="T3903" i="8"/>
  <c r="E3904" i="8"/>
  <c r="F3904" i="8"/>
  <c r="G3904" i="8"/>
  <c r="H3904" i="8"/>
  <c r="I3904" i="8"/>
  <c r="J3904" i="8"/>
  <c r="K3904" i="8"/>
  <c r="L3904" i="8"/>
  <c r="M3904" i="8"/>
  <c r="N3904" i="8"/>
  <c r="O3904" i="8"/>
  <c r="P3904" i="8"/>
  <c r="Q3904" i="8"/>
  <c r="R3904" i="8"/>
  <c r="S3904" i="8"/>
  <c r="T3904" i="8"/>
  <c r="E3905" i="8"/>
  <c r="F3905" i="8"/>
  <c r="G3905" i="8"/>
  <c r="H3905" i="8"/>
  <c r="I3905" i="8"/>
  <c r="J3905" i="8"/>
  <c r="K3905" i="8"/>
  <c r="L3905" i="8"/>
  <c r="M3905" i="8"/>
  <c r="N3905" i="8"/>
  <c r="O3905" i="8"/>
  <c r="P3905" i="8"/>
  <c r="Q3905" i="8"/>
  <c r="R3905" i="8"/>
  <c r="S3905" i="8"/>
  <c r="T3905" i="8"/>
  <c r="E3906" i="8"/>
  <c r="F3906" i="8"/>
  <c r="G3906" i="8"/>
  <c r="H3906" i="8"/>
  <c r="I3906" i="8"/>
  <c r="J3906" i="8"/>
  <c r="K3906" i="8"/>
  <c r="L3906" i="8"/>
  <c r="M3906" i="8"/>
  <c r="N3906" i="8"/>
  <c r="O3906" i="8"/>
  <c r="P3906" i="8"/>
  <c r="Q3906" i="8"/>
  <c r="R3906" i="8"/>
  <c r="S3906" i="8"/>
  <c r="T3906" i="8"/>
  <c r="E3907" i="8"/>
  <c r="F3907" i="8"/>
  <c r="G3907" i="8"/>
  <c r="H3907" i="8"/>
  <c r="I3907" i="8"/>
  <c r="J3907" i="8"/>
  <c r="K3907" i="8"/>
  <c r="L3907" i="8"/>
  <c r="M3907" i="8"/>
  <c r="N3907" i="8"/>
  <c r="O3907" i="8"/>
  <c r="P3907" i="8"/>
  <c r="Q3907" i="8"/>
  <c r="R3907" i="8"/>
  <c r="S3907" i="8"/>
  <c r="T3907" i="8"/>
  <c r="E3908" i="8"/>
  <c r="F3908" i="8"/>
  <c r="G3908" i="8"/>
  <c r="H3908" i="8"/>
  <c r="I3908" i="8"/>
  <c r="J3908" i="8"/>
  <c r="K3908" i="8"/>
  <c r="L3908" i="8"/>
  <c r="M3908" i="8"/>
  <c r="N3908" i="8"/>
  <c r="O3908" i="8"/>
  <c r="P3908" i="8"/>
  <c r="Q3908" i="8"/>
  <c r="R3908" i="8"/>
  <c r="S3908" i="8"/>
  <c r="T3908" i="8"/>
  <c r="E3909" i="8"/>
  <c r="F3909" i="8"/>
  <c r="G3909" i="8"/>
  <c r="H3909" i="8"/>
  <c r="I3909" i="8"/>
  <c r="J3909" i="8"/>
  <c r="K3909" i="8"/>
  <c r="L3909" i="8"/>
  <c r="M3909" i="8"/>
  <c r="N3909" i="8"/>
  <c r="O3909" i="8"/>
  <c r="P3909" i="8"/>
  <c r="Q3909" i="8"/>
  <c r="R3909" i="8"/>
  <c r="S3909" i="8"/>
  <c r="T3909" i="8"/>
  <c r="E3910" i="8"/>
  <c r="F3910" i="8"/>
  <c r="G3910" i="8"/>
  <c r="H3910" i="8"/>
  <c r="I3910" i="8"/>
  <c r="J3910" i="8"/>
  <c r="K3910" i="8"/>
  <c r="L3910" i="8"/>
  <c r="M3910" i="8"/>
  <c r="N3910" i="8"/>
  <c r="O3910" i="8"/>
  <c r="P3910" i="8"/>
  <c r="Q3910" i="8"/>
  <c r="R3910" i="8"/>
  <c r="S3910" i="8"/>
  <c r="T3910" i="8"/>
  <c r="E3911" i="8"/>
  <c r="F3911" i="8"/>
  <c r="G3911" i="8"/>
  <c r="H3911" i="8"/>
  <c r="I3911" i="8"/>
  <c r="J3911" i="8"/>
  <c r="K3911" i="8"/>
  <c r="L3911" i="8"/>
  <c r="M3911" i="8"/>
  <c r="N3911" i="8"/>
  <c r="O3911" i="8"/>
  <c r="P3911" i="8"/>
  <c r="Q3911" i="8"/>
  <c r="R3911" i="8"/>
  <c r="S3911" i="8"/>
  <c r="T3911" i="8"/>
  <c r="T360" i="7"/>
  <c r="AQ360" i="7"/>
  <c r="AL360" i="7"/>
  <c r="AJ360" i="7"/>
  <c r="AH360" i="7"/>
  <c r="AB360" i="7"/>
  <c r="E360" i="7"/>
  <c r="F360" i="7"/>
  <c r="G360" i="7"/>
  <c r="H360" i="7"/>
  <c r="I360" i="7"/>
  <c r="J360" i="7"/>
  <c r="K360" i="7"/>
  <c r="L360" i="7"/>
  <c r="M360" i="7"/>
  <c r="N360" i="7"/>
  <c r="P360" i="7"/>
  <c r="Q360" i="7"/>
  <c r="R360" i="7"/>
  <c r="S360" i="7"/>
  <c r="U360" i="7"/>
  <c r="V360" i="7"/>
  <c r="W360" i="7"/>
  <c r="X360" i="7"/>
  <c r="Y360" i="7"/>
  <c r="Z360" i="7"/>
  <c r="AA360" i="7"/>
  <c r="AC360" i="7"/>
  <c r="AE360" i="7"/>
  <c r="AI360" i="7"/>
  <c r="AO360" i="7"/>
  <c r="AP360" i="7"/>
  <c r="E3890" i="8"/>
  <c r="F3890" i="8"/>
  <c r="G3890" i="8"/>
  <c r="H3890" i="8"/>
  <c r="I3890" i="8"/>
  <c r="J3890" i="8"/>
  <c r="K3890" i="8"/>
  <c r="L3890" i="8"/>
  <c r="M3890" i="8"/>
  <c r="N3890" i="8"/>
  <c r="O3890" i="8"/>
  <c r="P3890" i="8"/>
  <c r="Q3890" i="8"/>
  <c r="R3890" i="8"/>
  <c r="S3890" i="8"/>
  <c r="T3890" i="8"/>
  <c r="E3891" i="8"/>
  <c r="F3891" i="8"/>
  <c r="G3891" i="8"/>
  <c r="H3891" i="8"/>
  <c r="I3891" i="8"/>
  <c r="J3891" i="8"/>
  <c r="K3891" i="8"/>
  <c r="L3891" i="8"/>
  <c r="M3891" i="8"/>
  <c r="N3891" i="8"/>
  <c r="O3891" i="8"/>
  <c r="P3891" i="8"/>
  <c r="Q3891" i="8"/>
  <c r="R3891" i="8"/>
  <c r="S3891" i="8"/>
  <c r="T3891" i="8"/>
  <c r="E3892" i="8"/>
  <c r="F3892" i="8"/>
  <c r="G3892" i="8"/>
  <c r="H3892" i="8"/>
  <c r="I3892" i="8"/>
  <c r="J3892" i="8"/>
  <c r="K3892" i="8"/>
  <c r="L3892" i="8"/>
  <c r="M3892" i="8"/>
  <c r="N3892" i="8"/>
  <c r="O3892" i="8"/>
  <c r="P3892" i="8"/>
  <c r="Q3892" i="8"/>
  <c r="R3892" i="8"/>
  <c r="S3892" i="8"/>
  <c r="T3892" i="8"/>
  <c r="E3893" i="8"/>
  <c r="F3893" i="8"/>
  <c r="G3893" i="8"/>
  <c r="H3893" i="8"/>
  <c r="I3893" i="8"/>
  <c r="J3893" i="8"/>
  <c r="K3893" i="8"/>
  <c r="L3893" i="8"/>
  <c r="M3893" i="8"/>
  <c r="N3893" i="8"/>
  <c r="O3893" i="8"/>
  <c r="P3893" i="8"/>
  <c r="Q3893" i="8"/>
  <c r="R3893" i="8"/>
  <c r="S3893" i="8"/>
  <c r="T3893" i="8"/>
  <c r="E3894" i="8"/>
  <c r="F3894" i="8"/>
  <c r="G3894" i="8"/>
  <c r="H3894" i="8"/>
  <c r="I3894" i="8"/>
  <c r="J3894" i="8"/>
  <c r="K3894" i="8"/>
  <c r="L3894" i="8"/>
  <c r="M3894" i="8"/>
  <c r="N3894" i="8"/>
  <c r="O3894" i="8"/>
  <c r="P3894" i="8"/>
  <c r="Q3894" i="8"/>
  <c r="R3894" i="8"/>
  <c r="S3894" i="8"/>
  <c r="T3894" i="8"/>
  <c r="E3895" i="8"/>
  <c r="F3895" i="8"/>
  <c r="G3895" i="8"/>
  <c r="H3895" i="8"/>
  <c r="I3895" i="8"/>
  <c r="J3895" i="8"/>
  <c r="K3895" i="8"/>
  <c r="L3895" i="8"/>
  <c r="M3895" i="8"/>
  <c r="N3895" i="8"/>
  <c r="O3895" i="8"/>
  <c r="P3895" i="8"/>
  <c r="Q3895" i="8"/>
  <c r="R3895" i="8"/>
  <c r="S3895" i="8"/>
  <c r="T3895" i="8"/>
  <c r="E3896" i="8"/>
  <c r="F3896" i="8"/>
  <c r="G3896" i="8"/>
  <c r="H3896" i="8"/>
  <c r="I3896" i="8"/>
  <c r="J3896" i="8"/>
  <c r="K3896" i="8"/>
  <c r="L3896" i="8"/>
  <c r="M3896" i="8"/>
  <c r="N3896" i="8"/>
  <c r="O3896" i="8"/>
  <c r="P3896" i="8"/>
  <c r="Q3896" i="8"/>
  <c r="R3896" i="8"/>
  <c r="S3896" i="8"/>
  <c r="T3896" i="8"/>
  <c r="E3897" i="8"/>
  <c r="F3897" i="8"/>
  <c r="G3897" i="8"/>
  <c r="H3897" i="8"/>
  <c r="I3897" i="8"/>
  <c r="J3897" i="8"/>
  <c r="K3897" i="8"/>
  <c r="L3897" i="8"/>
  <c r="M3897" i="8"/>
  <c r="N3897" i="8"/>
  <c r="O3897" i="8"/>
  <c r="P3897" i="8"/>
  <c r="Q3897" i="8"/>
  <c r="R3897" i="8"/>
  <c r="S3897" i="8"/>
  <c r="T3897" i="8"/>
  <c r="E3898" i="8"/>
  <c r="F3898" i="8"/>
  <c r="G3898" i="8"/>
  <c r="H3898" i="8"/>
  <c r="I3898" i="8"/>
  <c r="J3898" i="8"/>
  <c r="K3898" i="8"/>
  <c r="L3898" i="8"/>
  <c r="M3898" i="8"/>
  <c r="N3898" i="8"/>
  <c r="O3898" i="8"/>
  <c r="P3898" i="8"/>
  <c r="Q3898" i="8"/>
  <c r="R3898" i="8"/>
  <c r="S3898" i="8"/>
  <c r="T3898" i="8"/>
  <c r="E3899" i="8"/>
  <c r="F3899" i="8"/>
  <c r="G3899" i="8"/>
  <c r="H3899" i="8"/>
  <c r="I3899" i="8"/>
  <c r="J3899" i="8"/>
  <c r="K3899" i="8"/>
  <c r="L3899" i="8"/>
  <c r="M3899" i="8"/>
  <c r="N3899" i="8"/>
  <c r="O3899" i="8"/>
  <c r="P3899" i="8"/>
  <c r="Q3899" i="8"/>
  <c r="R3899" i="8"/>
  <c r="S3899" i="8"/>
  <c r="T3899" i="8"/>
  <c r="E3900" i="8"/>
  <c r="F3900" i="8"/>
  <c r="G3900" i="8"/>
  <c r="H3900" i="8"/>
  <c r="I3900" i="8"/>
  <c r="J3900" i="8"/>
  <c r="K3900" i="8"/>
  <c r="L3900" i="8"/>
  <c r="M3900" i="8"/>
  <c r="N3900" i="8"/>
  <c r="O3900" i="8"/>
  <c r="P3900" i="8"/>
  <c r="Q3900" i="8"/>
  <c r="R3900" i="8"/>
  <c r="S3900" i="8"/>
  <c r="T3900" i="8"/>
  <c r="T359" i="7"/>
  <c r="AB359" i="7"/>
  <c r="AJ359" i="7"/>
  <c r="AQ359" i="7"/>
  <c r="AH359" i="7"/>
  <c r="AL359" i="7"/>
  <c r="E359" i="7"/>
  <c r="F359" i="7"/>
  <c r="G359" i="7"/>
  <c r="H359" i="7"/>
  <c r="I359" i="7"/>
  <c r="J359" i="7"/>
  <c r="K359" i="7"/>
  <c r="L359" i="7"/>
  <c r="M359" i="7"/>
  <c r="N359" i="7"/>
  <c r="P359" i="7"/>
  <c r="Q359" i="7"/>
  <c r="R359" i="7"/>
  <c r="S359" i="7"/>
  <c r="U359" i="7"/>
  <c r="V359" i="7"/>
  <c r="W359" i="7"/>
  <c r="X359" i="7"/>
  <c r="Y359" i="7"/>
  <c r="Z359" i="7"/>
  <c r="AA359" i="7"/>
  <c r="AC359" i="7"/>
  <c r="AE359" i="7"/>
  <c r="AI359" i="7"/>
  <c r="AO359" i="7"/>
  <c r="AP359" i="7"/>
  <c r="E3879" i="8"/>
  <c r="F3879" i="8"/>
  <c r="G3879" i="8"/>
  <c r="H3879" i="8"/>
  <c r="I3879" i="8"/>
  <c r="J3879" i="8"/>
  <c r="K3879" i="8"/>
  <c r="L3879" i="8"/>
  <c r="M3879" i="8"/>
  <c r="N3879" i="8"/>
  <c r="O3879" i="8"/>
  <c r="P3879" i="8"/>
  <c r="Q3879" i="8"/>
  <c r="R3879" i="8"/>
  <c r="S3879" i="8"/>
  <c r="T3879" i="8"/>
  <c r="E3880" i="8"/>
  <c r="F3880" i="8"/>
  <c r="G3880" i="8"/>
  <c r="H3880" i="8"/>
  <c r="I3880" i="8"/>
  <c r="J3880" i="8"/>
  <c r="K3880" i="8"/>
  <c r="L3880" i="8"/>
  <c r="M3880" i="8"/>
  <c r="N3880" i="8"/>
  <c r="O3880" i="8"/>
  <c r="P3880" i="8"/>
  <c r="Q3880" i="8"/>
  <c r="R3880" i="8"/>
  <c r="S3880" i="8"/>
  <c r="T3880" i="8"/>
  <c r="E3881" i="8"/>
  <c r="F3881" i="8"/>
  <c r="G3881" i="8"/>
  <c r="H3881" i="8"/>
  <c r="I3881" i="8"/>
  <c r="J3881" i="8"/>
  <c r="K3881" i="8"/>
  <c r="L3881" i="8"/>
  <c r="M3881" i="8"/>
  <c r="N3881" i="8"/>
  <c r="O3881" i="8"/>
  <c r="P3881" i="8"/>
  <c r="Q3881" i="8"/>
  <c r="R3881" i="8"/>
  <c r="S3881" i="8"/>
  <c r="T3881" i="8"/>
  <c r="E3882" i="8"/>
  <c r="F3882" i="8"/>
  <c r="G3882" i="8"/>
  <c r="H3882" i="8"/>
  <c r="I3882" i="8"/>
  <c r="J3882" i="8"/>
  <c r="K3882" i="8"/>
  <c r="L3882" i="8"/>
  <c r="M3882" i="8"/>
  <c r="N3882" i="8"/>
  <c r="O3882" i="8"/>
  <c r="P3882" i="8"/>
  <c r="Q3882" i="8"/>
  <c r="R3882" i="8"/>
  <c r="S3882" i="8"/>
  <c r="T3882" i="8"/>
  <c r="E3883" i="8"/>
  <c r="F3883" i="8"/>
  <c r="G3883" i="8"/>
  <c r="H3883" i="8"/>
  <c r="I3883" i="8"/>
  <c r="J3883" i="8"/>
  <c r="K3883" i="8"/>
  <c r="L3883" i="8"/>
  <c r="M3883" i="8"/>
  <c r="N3883" i="8"/>
  <c r="O3883" i="8"/>
  <c r="P3883" i="8"/>
  <c r="Q3883" i="8"/>
  <c r="R3883" i="8"/>
  <c r="S3883" i="8"/>
  <c r="T3883" i="8"/>
  <c r="E3884" i="8"/>
  <c r="F3884" i="8"/>
  <c r="G3884" i="8"/>
  <c r="H3884" i="8"/>
  <c r="I3884" i="8"/>
  <c r="J3884" i="8"/>
  <c r="K3884" i="8"/>
  <c r="L3884" i="8"/>
  <c r="M3884" i="8"/>
  <c r="N3884" i="8"/>
  <c r="O3884" i="8"/>
  <c r="P3884" i="8"/>
  <c r="Q3884" i="8"/>
  <c r="R3884" i="8"/>
  <c r="S3884" i="8"/>
  <c r="T3884" i="8"/>
  <c r="E3885" i="8"/>
  <c r="F3885" i="8"/>
  <c r="G3885" i="8"/>
  <c r="H3885" i="8"/>
  <c r="I3885" i="8"/>
  <c r="J3885" i="8"/>
  <c r="K3885" i="8"/>
  <c r="L3885" i="8"/>
  <c r="M3885" i="8"/>
  <c r="N3885" i="8"/>
  <c r="O3885" i="8"/>
  <c r="P3885" i="8"/>
  <c r="Q3885" i="8"/>
  <c r="R3885" i="8"/>
  <c r="S3885" i="8"/>
  <c r="T3885" i="8"/>
  <c r="E3886" i="8"/>
  <c r="F3886" i="8"/>
  <c r="G3886" i="8"/>
  <c r="H3886" i="8"/>
  <c r="I3886" i="8"/>
  <c r="J3886" i="8"/>
  <c r="K3886" i="8"/>
  <c r="L3886" i="8"/>
  <c r="M3886" i="8"/>
  <c r="N3886" i="8"/>
  <c r="O3886" i="8"/>
  <c r="P3886" i="8"/>
  <c r="Q3886" i="8"/>
  <c r="R3886" i="8"/>
  <c r="S3886" i="8"/>
  <c r="AL358" i="7"/>
  <c r="AQ358" i="7"/>
  <c r="T358" i="7"/>
  <c r="AB358" i="7"/>
  <c r="AH358" i="7"/>
  <c r="AJ358" i="7"/>
  <c r="T357" i="7"/>
  <c r="AB357" i="7"/>
  <c r="AH357" i="7"/>
  <c r="AJ357" i="7"/>
  <c r="AL357" i="7"/>
  <c r="AQ357" i="7"/>
  <c r="AH356" i="7"/>
  <c r="AQ356" i="7"/>
  <c r="AB356" i="7"/>
  <c r="AJ356" i="7"/>
  <c r="AL356" i="7"/>
  <c r="T356" i="7"/>
  <c r="AQ355" i="7"/>
  <c r="AJ355" i="7"/>
  <c r="AH355" i="7"/>
  <c r="AB355" i="7"/>
  <c r="T355" i="7"/>
  <c r="AL355" i="7"/>
  <c r="AL354" i="7"/>
  <c r="AJ354" i="7"/>
  <c r="AH354" i="7"/>
  <c r="AB354" i="7"/>
  <c r="AQ354" i="7"/>
  <c r="T354" i="7"/>
  <c r="T353" i="7"/>
  <c r="AB353" i="7"/>
  <c r="AH353" i="7"/>
  <c r="AQ353" i="7"/>
  <c r="AL353" i="7"/>
  <c r="AJ353" i="7"/>
  <c r="G3823" i="8"/>
  <c r="H3823" i="8"/>
  <c r="I3823" i="8"/>
  <c r="J3823" i="8"/>
  <c r="K3823" i="8"/>
  <c r="L3823" i="8"/>
  <c r="M3823" i="8"/>
  <c r="N3823" i="8"/>
  <c r="O3823" i="8"/>
  <c r="P3823" i="8"/>
  <c r="Q3823" i="8"/>
  <c r="R3823" i="8"/>
  <c r="S3823" i="8"/>
  <c r="T3823" i="8"/>
  <c r="T352" i="7"/>
  <c r="AQ352" i="7"/>
  <c r="AL352" i="7"/>
  <c r="AJ352" i="7"/>
  <c r="AH352" i="7"/>
  <c r="AB352" i="7"/>
  <c r="K352" i="7"/>
  <c r="L352" i="7"/>
  <c r="M352" i="7"/>
  <c r="P352" i="7"/>
  <c r="Q352" i="7"/>
  <c r="R352" i="7"/>
  <c r="S352" i="7"/>
  <c r="U352" i="7"/>
  <c r="V352" i="7"/>
  <c r="W352" i="7"/>
  <c r="X352" i="7"/>
  <c r="AA352" i="7"/>
  <c r="AE352" i="7"/>
  <c r="E3802" i="8"/>
  <c r="F3802" i="8"/>
  <c r="G3802" i="8"/>
  <c r="H3802" i="8"/>
  <c r="I3802" i="8"/>
  <c r="J3802" i="8"/>
  <c r="K3802" i="8"/>
  <c r="L3802" i="8"/>
  <c r="M3802" i="8"/>
  <c r="N3802" i="8"/>
  <c r="O3802" i="8"/>
  <c r="P3802" i="8"/>
  <c r="Q3802" i="8"/>
  <c r="R3802" i="8"/>
  <c r="S3802" i="8"/>
  <c r="T3802" i="8"/>
  <c r="E3803" i="8"/>
  <c r="F3803" i="8"/>
  <c r="G3803" i="8"/>
  <c r="H3803" i="8"/>
  <c r="I3803" i="8"/>
  <c r="J3803" i="8"/>
  <c r="K3803" i="8"/>
  <c r="L3803" i="8"/>
  <c r="M3803" i="8"/>
  <c r="N3803" i="8"/>
  <c r="O3803" i="8"/>
  <c r="P3803" i="8"/>
  <c r="Q3803" i="8"/>
  <c r="R3803" i="8"/>
  <c r="S3803" i="8"/>
  <c r="T3803" i="8"/>
  <c r="E3804" i="8"/>
  <c r="F3804" i="8"/>
  <c r="G3804" i="8"/>
  <c r="H3804" i="8"/>
  <c r="I3804" i="8"/>
  <c r="J3804" i="8"/>
  <c r="K3804" i="8"/>
  <c r="L3804" i="8"/>
  <c r="M3804" i="8"/>
  <c r="N3804" i="8"/>
  <c r="O3804" i="8"/>
  <c r="P3804" i="8"/>
  <c r="Q3804" i="8"/>
  <c r="R3804" i="8"/>
  <c r="S3804" i="8"/>
  <c r="T3804" i="8"/>
  <c r="E3805" i="8"/>
  <c r="F3805" i="8"/>
  <c r="G3805" i="8"/>
  <c r="H3805" i="8"/>
  <c r="I3805" i="8"/>
  <c r="J3805" i="8"/>
  <c r="K3805" i="8"/>
  <c r="L3805" i="8"/>
  <c r="M3805" i="8"/>
  <c r="N3805" i="8"/>
  <c r="O3805" i="8"/>
  <c r="P3805" i="8"/>
  <c r="Q3805" i="8"/>
  <c r="R3805" i="8"/>
  <c r="S3805" i="8"/>
  <c r="T3805" i="8"/>
  <c r="E3806" i="8"/>
  <c r="F3806" i="8"/>
  <c r="G3806" i="8"/>
  <c r="H3806" i="8"/>
  <c r="I3806" i="8"/>
  <c r="J3806" i="8"/>
  <c r="K3806" i="8"/>
  <c r="L3806" i="8"/>
  <c r="M3806" i="8"/>
  <c r="N3806" i="8"/>
  <c r="O3806" i="8"/>
  <c r="P3806" i="8"/>
  <c r="Q3806" i="8"/>
  <c r="R3806" i="8"/>
  <c r="S3806" i="8"/>
  <c r="T3806" i="8"/>
  <c r="E3807" i="8"/>
  <c r="F3807" i="8"/>
  <c r="G3807" i="8"/>
  <c r="H3807" i="8"/>
  <c r="I3807" i="8"/>
  <c r="J3807" i="8"/>
  <c r="K3807" i="8"/>
  <c r="L3807" i="8"/>
  <c r="M3807" i="8"/>
  <c r="N3807" i="8"/>
  <c r="O3807" i="8"/>
  <c r="P3807" i="8"/>
  <c r="Q3807" i="8"/>
  <c r="R3807" i="8"/>
  <c r="S3807" i="8"/>
  <c r="T3807" i="8"/>
  <c r="E3808" i="8"/>
  <c r="F3808" i="8"/>
  <c r="G3808" i="8"/>
  <c r="H3808" i="8"/>
  <c r="I3808" i="8"/>
  <c r="J3808" i="8"/>
  <c r="K3808" i="8"/>
  <c r="L3808" i="8"/>
  <c r="M3808" i="8"/>
  <c r="N3808" i="8"/>
  <c r="O3808" i="8"/>
  <c r="P3808" i="8"/>
  <c r="Q3808" i="8"/>
  <c r="R3808" i="8"/>
  <c r="S3808" i="8"/>
  <c r="T3808" i="8"/>
  <c r="E3809" i="8"/>
  <c r="F3809" i="8"/>
  <c r="G3809" i="8"/>
  <c r="H3809" i="8"/>
  <c r="I3809" i="8"/>
  <c r="J3809" i="8"/>
  <c r="K3809" i="8"/>
  <c r="L3809" i="8"/>
  <c r="M3809" i="8"/>
  <c r="N3809" i="8"/>
  <c r="O3809" i="8"/>
  <c r="P3809" i="8"/>
  <c r="Q3809" i="8"/>
  <c r="R3809" i="8"/>
  <c r="S3809" i="8"/>
  <c r="T3809" i="8"/>
  <c r="E3810" i="8"/>
  <c r="F3810" i="8"/>
  <c r="G3810" i="8"/>
  <c r="H3810" i="8"/>
  <c r="I3810" i="8"/>
  <c r="J3810" i="8"/>
  <c r="K3810" i="8"/>
  <c r="L3810" i="8"/>
  <c r="M3810" i="8"/>
  <c r="N3810" i="8"/>
  <c r="O3810" i="8"/>
  <c r="P3810" i="8"/>
  <c r="Q3810" i="8"/>
  <c r="R3810" i="8"/>
  <c r="S3810" i="8"/>
  <c r="T3810" i="8"/>
  <c r="E3811" i="8"/>
  <c r="F3811" i="8"/>
  <c r="G3811" i="8"/>
  <c r="H3811" i="8"/>
  <c r="I3811" i="8"/>
  <c r="J3811" i="8"/>
  <c r="K3811" i="8"/>
  <c r="L3811" i="8"/>
  <c r="M3811" i="8"/>
  <c r="N3811" i="8"/>
  <c r="O3811" i="8"/>
  <c r="P3811" i="8"/>
  <c r="Q3811" i="8"/>
  <c r="R3811" i="8"/>
  <c r="S3811" i="8"/>
  <c r="T3811" i="8"/>
  <c r="E3812" i="8"/>
  <c r="F3812" i="8"/>
  <c r="G3812" i="8"/>
  <c r="H3812" i="8"/>
  <c r="I3812" i="8"/>
  <c r="J3812" i="8"/>
  <c r="K3812" i="8"/>
  <c r="L3812" i="8"/>
  <c r="M3812" i="8"/>
  <c r="N3812" i="8"/>
  <c r="O3812" i="8"/>
  <c r="P3812" i="8"/>
  <c r="Q3812" i="8"/>
  <c r="R3812" i="8"/>
  <c r="S3812" i="8"/>
  <c r="T3812" i="8"/>
  <c r="AH351" i="7"/>
  <c r="AQ351" i="7"/>
  <c r="AL351" i="7"/>
  <c r="AJ351" i="7"/>
  <c r="AB351" i="7"/>
  <c r="T351" i="7"/>
  <c r="E351" i="7"/>
  <c r="F351" i="7"/>
  <c r="G351" i="7"/>
  <c r="H351" i="7"/>
  <c r="I351" i="7"/>
  <c r="J351" i="7"/>
  <c r="K351" i="7"/>
  <c r="L351" i="7"/>
  <c r="M351" i="7"/>
  <c r="N351" i="7"/>
  <c r="P351" i="7"/>
  <c r="Q351" i="7"/>
  <c r="R351" i="7"/>
  <c r="S351" i="7"/>
  <c r="U351" i="7"/>
  <c r="V351" i="7"/>
  <c r="W351" i="7"/>
  <c r="X351" i="7"/>
  <c r="Y351" i="7"/>
  <c r="Z351" i="7"/>
  <c r="AA351" i="7"/>
  <c r="AC351" i="7"/>
  <c r="AE351" i="7"/>
  <c r="AI351" i="7"/>
  <c r="AO351" i="7"/>
  <c r="AP351" i="7"/>
  <c r="E3791" i="8"/>
  <c r="F3791" i="8"/>
  <c r="G3791" i="8"/>
  <c r="H3791" i="8"/>
  <c r="I3791" i="8"/>
  <c r="J3791" i="8"/>
  <c r="K3791" i="8"/>
  <c r="L3791" i="8"/>
  <c r="M3791" i="8"/>
  <c r="N3791" i="8"/>
  <c r="O3791" i="8"/>
  <c r="P3791" i="8"/>
  <c r="Q3791" i="8"/>
  <c r="R3791" i="8"/>
  <c r="S3791" i="8"/>
  <c r="T3791" i="8"/>
  <c r="E3792" i="8"/>
  <c r="F3792" i="8"/>
  <c r="G3792" i="8"/>
  <c r="H3792" i="8"/>
  <c r="I3792" i="8"/>
  <c r="J3792" i="8"/>
  <c r="K3792" i="8"/>
  <c r="L3792" i="8"/>
  <c r="M3792" i="8"/>
  <c r="N3792" i="8"/>
  <c r="O3792" i="8"/>
  <c r="P3792" i="8"/>
  <c r="Q3792" i="8"/>
  <c r="R3792" i="8"/>
  <c r="S3792" i="8"/>
  <c r="T3792" i="8"/>
  <c r="E3793" i="8"/>
  <c r="F3793" i="8"/>
  <c r="G3793" i="8"/>
  <c r="H3793" i="8"/>
  <c r="I3793" i="8"/>
  <c r="J3793" i="8"/>
  <c r="K3793" i="8"/>
  <c r="L3793" i="8"/>
  <c r="M3793" i="8"/>
  <c r="N3793" i="8"/>
  <c r="O3793" i="8"/>
  <c r="P3793" i="8"/>
  <c r="Q3793" i="8"/>
  <c r="R3793" i="8"/>
  <c r="S3793" i="8"/>
  <c r="T3793" i="8"/>
  <c r="E3794" i="8"/>
  <c r="F3794" i="8"/>
  <c r="G3794" i="8"/>
  <c r="H3794" i="8"/>
  <c r="I3794" i="8"/>
  <c r="J3794" i="8"/>
  <c r="K3794" i="8"/>
  <c r="L3794" i="8"/>
  <c r="M3794" i="8"/>
  <c r="N3794" i="8"/>
  <c r="O3794" i="8"/>
  <c r="P3794" i="8"/>
  <c r="Q3794" i="8"/>
  <c r="R3794" i="8"/>
  <c r="S3794" i="8"/>
  <c r="T3794" i="8"/>
  <c r="E3795" i="8"/>
  <c r="F3795" i="8"/>
  <c r="G3795" i="8"/>
  <c r="H3795" i="8"/>
  <c r="I3795" i="8"/>
  <c r="J3795" i="8"/>
  <c r="K3795" i="8"/>
  <c r="L3795" i="8"/>
  <c r="M3795" i="8"/>
  <c r="N3795" i="8"/>
  <c r="O3795" i="8"/>
  <c r="P3795" i="8"/>
  <c r="Q3795" i="8"/>
  <c r="R3795" i="8"/>
  <c r="S3795" i="8"/>
  <c r="T3795" i="8"/>
  <c r="E3796" i="8"/>
  <c r="F3796" i="8"/>
  <c r="G3796" i="8"/>
  <c r="H3796" i="8"/>
  <c r="I3796" i="8"/>
  <c r="J3796" i="8"/>
  <c r="K3796" i="8"/>
  <c r="L3796" i="8"/>
  <c r="M3796" i="8"/>
  <c r="N3796" i="8"/>
  <c r="O3796" i="8"/>
  <c r="P3796" i="8"/>
  <c r="Q3796" i="8"/>
  <c r="R3796" i="8"/>
  <c r="S3796" i="8"/>
  <c r="T3796" i="8"/>
  <c r="E3797" i="8"/>
  <c r="F3797" i="8"/>
  <c r="G3797" i="8"/>
  <c r="H3797" i="8"/>
  <c r="I3797" i="8"/>
  <c r="J3797" i="8"/>
  <c r="K3797" i="8"/>
  <c r="L3797" i="8"/>
  <c r="M3797" i="8"/>
  <c r="N3797" i="8"/>
  <c r="O3797" i="8"/>
  <c r="P3797" i="8"/>
  <c r="Q3797" i="8"/>
  <c r="R3797" i="8"/>
  <c r="S3797" i="8"/>
  <c r="T3797" i="8"/>
  <c r="E3798" i="8"/>
  <c r="F3798" i="8"/>
  <c r="G3798" i="8"/>
  <c r="H3798" i="8"/>
  <c r="I3798" i="8"/>
  <c r="J3798" i="8"/>
  <c r="K3798" i="8"/>
  <c r="L3798" i="8"/>
  <c r="M3798" i="8"/>
  <c r="N3798" i="8"/>
  <c r="O3798" i="8"/>
  <c r="P3798" i="8"/>
  <c r="Q3798" i="8"/>
  <c r="R3798" i="8"/>
  <c r="S3798" i="8"/>
  <c r="T3798" i="8"/>
  <c r="E3799" i="8"/>
  <c r="F3799" i="8"/>
  <c r="G3799" i="8"/>
  <c r="H3799" i="8"/>
  <c r="I3799" i="8"/>
  <c r="J3799" i="8"/>
  <c r="K3799" i="8"/>
  <c r="L3799" i="8"/>
  <c r="M3799" i="8"/>
  <c r="N3799" i="8"/>
  <c r="O3799" i="8"/>
  <c r="P3799" i="8"/>
  <c r="Q3799" i="8"/>
  <c r="R3799" i="8"/>
  <c r="S3799" i="8"/>
  <c r="T3799" i="8"/>
  <c r="E3800" i="8"/>
  <c r="F3800" i="8"/>
  <c r="G3800" i="8"/>
  <c r="H3800" i="8"/>
  <c r="I3800" i="8"/>
  <c r="J3800" i="8"/>
  <c r="K3800" i="8"/>
  <c r="L3800" i="8"/>
  <c r="M3800" i="8"/>
  <c r="N3800" i="8"/>
  <c r="O3800" i="8"/>
  <c r="P3800" i="8"/>
  <c r="Q3800" i="8"/>
  <c r="R3800" i="8"/>
  <c r="S3800" i="8"/>
  <c r="T3800" i="8"/>
  <c r="E3801" i="8"/>
  <c r="F3801" i="8"/>
  <c r="G3801" i="8"/>
  <c r="H3801" i="8"/>
  <c r="I3801" i="8"/>
  <c r="J3801" i="8"/>
  <c r="K3801" i="8"/>
  <c r="L3801" i="8"/>
  <c r="M3801" i="8"/>
  <c r="N3801" i="8"/>
  <c r="O3801" i="8"/>
  <c r="P3801" i="8"/>
  <c r="Q3801" i="8"/>
  <c r="R3801" i="8"/>
  <c r="S3801" i="8"/>
  <c r="T3801" i="8"/>
  <c r="T350" i="7"/>
  <c r="AQ350" i="7"/>
  <c r="AL350" i="7"/>
  <c r="AJ350" i="7"/>
  <c r="AH350" i="7"/>
  <c r="AB350" i="7"/>
  <c r="E350" i="7"/>
  <c r="F350" i="7"/>
  <c r="G350" i="7"/>
  <c r="H350" i="7"/>
  <c r="I350" i="7"/>
  <c r="J350" i="7"/>
  <c r="K350" i="7"/>
  <c r="L350" i="7"/>
  <c r="M350" i="7"/>
  <c r="N350" i="7"/>
  <c r="P350" i="7"/>
  <c r="Q350" i="7"/>
  <c r="R350" i="7"/>
  <c r="S350" i="7"/>
  <c r="U350" i="7"/>
  <c r="V350" i="7"/>
  <c r="W350" i="7"/>
  <c r="X350" i="7"/>
  <c r="Y350" i="7"/>
  <c r="Z350" i="7"/>
  <c r="AA350" i="7"/>
  <c r="AC350" i="7"/>
  <c r="AE350" i="7"/>
  <c r="AI350" i="7"/>
  <c r="AO350" i="7"/>
  <c r="AP350" i="7"/>
  <c r="E3780" i="8"/>
  <c r="F3780" i="8"/>
  <c r="G3780" i="8"/>
  <c r="H3780" i="8"/>
  <c r="I3780" i="8"/>
  <c r="J3780" i="8"/>
  <c r="K3780" i="8"/>
  <c r="L3780" i="8"/>
  <c r="M3780" i="8"/>
  <c r="N3780" i="8"/>
  <c r="O3780" i="8"/>
  <c r="P3780" i="8"/>
  <c r="Q3780" i="8"/>
  <c r="R3780" i="8"/>
  <c r="S3780" i="8"/>
  <c r="T3780" i="8"/>
  <c r="E3781" i="8"/>
  <c r="F3781" i="8"/>
  <c r="G3781" i="8"/>
  <c r="H3781" i="8"/>
  <c r="I3781" i="8"/>
  <c r="J3781" i="8"/>
  <c r="K3781" i="8"/>
  <c r="L3781" i="8"/>
  <c r="M3781" i="8"/>
  <c r="N3781" i="8"/>
  <c r="O3781" i="8"/>
  <c r="P3781" i="8"/>
  <c r="Q3781" i="8"/>
  <c r="R3781" i="8"/>
  <c r="S3781" i="8"/>
  <c r="T3781" i="8"/>
  <c r="E3782" i="8"/>
  <c r="F3782" i="8"/>
  <c r="G3782" i="8"/>
  <c r="H3782" i="8"/>
  <c r="I3782" i="8"/>
  <c r="J3782" i="8"/>
  <c r="K3782" i="8"/>
  <c r="L3782" i="8"/>
  <c r="M3782" i="8"/>
  <c r="N3782" i="8"/>
  <c r="O3782" i="8"/>
  <c r="P3782" i="8"/>
  <c r="Q3782" i="8"/>
  <c r="R3782" i="8"/>
  <c r="S3782" i="8"/>
  <c r="T3782" i="8"/>
  <c r="E3783" i="8"/>
  <c r="F3783" i="8"/>
  <c r="G3783" i="8"/>
  <c r="H3783" i="8"/>
  <c r="I3783" i="8"/>
  <c r="J3783" i="8"/>
  <c r="K3783" i="8"/>
  <c r="L3783" i="8"/>
  <c r="M3783" i="8"/>
  <c r="N3783" i="8"/>
  <c r="O3783" i="8"/>
  <c r="P3783" i="8"/>
  <c r="Q3783" i="8"/>
  <c r="R3783" i="8"/>
  <c r="S3783" i="8"/>
  <c r="T3783" i="8"/>
  <c r="E3784" i="8"/>
  <c r="F3784" i="8"/>
  <c r="G3784" i="8"/>
  <c r="H3784" i="8"/>
  <c r="I3784" i="8"/>
  <c r="J3784" i="8"/>
  <c r="K3784" i="8"/>
  <c r="L3784" i="8"/>
  <c r="M3784" i="8"/>
  <c r="N3784" i="8"/>
  <c r="O3784" i="8"/>
  <c r="P3784" i="8"/>
  <c r="Q3784" i="8"/>
  <c r="R3784" i="8"/>
  <c r="S3784" i="8"/>
  <c r="T3784" i="8"/>
  <c r="E3785" i="8"/>
  <c r="F3785" i="8"/>
  <c r="G3785" i="8"/>
  <c r="H3785" i="8"/>
  <c r="I3785" i="8"/>
  <c r="J3785" i="8"/>
  <c r="K3785" i="8"/>
  <c r="L3785" i="8"/>
  <c r="M3785" i="8"/>
  <c r="N3785" i="8"/>
  <c r="O3785" i="8"/>
  <c r="P3785" i="8"/>
  <c r="Q3785" i="8"/>
  <c r="R3785" i="8"/>
  <c r="S3785" i="8"/>
  <c r="T3785" i="8"/>
  <c r="E3786" i="8"/>
  <c r="F3786" i="8"/>
  <c r="G3786" i="8"/>
  <c r="H3786" i="8"/>
  <c r="I3786" i="8"/>
  <c r="J3786" i="8"/>
  <c r="K3786" i="8"/>
  <c r="L3786" i="8"/>
  <c r="M3786" i="8"/>
  <c r="N3786" i="8"/>
  <c r="O3786" i="8"/>
  <c r="P3786" i="8"/>
  <c r="Q3786" i="8"/>
  <c r="R3786" i="8"/>
  <c r="S3786" i="8"/>
  <c r="T3786" i="8"/>
  <c r="E3787" i="8"/>
  <c r="F3787" i="8"/>
  <c r="G3787" i="8"/>
  <c r="H3787" i="8"/>
  <c r="I3787" i="8"/>
  <c r="J3787" i="8"/>
  <c r="K3787" i="8"/>
  <c r="L3787" i="8"/>
  <c r="M3787" i="8"/>
  <c r="N3787" i="8"/>
  <c r="O3787" i="8"/>
  <c r="P3787" i="8"/>
  <c r="Q3787" i="8"/>
  <c r="R3787" i="8"/>
  <c r="S3787" i="8"/>
  <c r="T3787" i="8"/>
  <c r="E3788" i="8"/>
  <c r="F3788" i="8"/>
  <c r="G3788" i="8"/>
  <c r="H3788" i="8"/>
  <c r="I3788" i="8"/>
  <c r="J3788" i="8"/>
  <c r="K3788" i="8"/>
  <c r="L3788" i="8"/>
  <c r="M3788" i="8"/>
  <c r="N3788" i="8"/>
  <c r="O3788" i="8"/>
  <c r="P3788" i="8"/>
  <c r="Q3788" i="8"/>
  <c r="R3788" i="8"/>
  <c r="S3788" i="8"/>
  <c r="T3788" i="8"/>
  <c r="E3789" i="8"/>
  <c r="F3789" i="8"/>
  <c r="G3789" i="8"/>
  <c r="H3789" i="8"/>
  <c r="I3789" i="8"/>
  <c r="J3789" i="8"/>
  <c r="K3789" i="8"/>
  <c r="L3789" i="8"/>
  <c r="M3789" i="8"/>
  <c r="N3789" i="8"/>
  <c r="O3789" i="8"/>
  <c r="P3789" i="8"/>
  <c r="Q3789" i="8"/>
  <c r="R3789" i="8"/>
  <c r="S3789" i="8"/>
  <c r="T3789" i="8"/>
  <c r="E3790" i="8"/>
  <c r="F3790" i="8"/>
  <c r="G3790" i="8"/>
  <c r="H3790" i="8"/>
  <c r="I3790" i="8"/>
  <c r="J3790" i="8"/>
  <c r="K3790" i="8"/>
  <c r="L3790" i="8"/>
  <c r="M3790" i="8"/>
  <c r="N3790" i="8"/>
  <c r="O3790" i="8"/>
  <c r="P3790" i="8"/>
  <c r="Q3790" i="8"/>
  <c r="R3790" i="8"/>
  <c r="S3790" i="8"/>
  <c r="T3790" i="8"/>
  <c r="AL349" i="7"/>
  <c r="T349" i="7"/>
  <c r="AQ349" i="7"/>
  <c r="AB349" i="7"/>
  <c r="AH349" i="7"/>
  <c r="AJ349" i="7"/>
  <c r="E349" i="7"/>
  <c r="F349" i="7"/>
  <c r="G349" i="7"/>
  <c r="H349" i="7"/>
  <c r="I349" i="7"/>
  <c r="J349" i="7"/>
  <c r="K349" i="7"/>
  <c r="L349" i="7"/>
  <c r="M349" i="7"/>
  <c r="N349" i="7"/>
  <c r="P349" i="7"/>
  <c r="Q349" i="7"/>
  <c r="R349" i="7"/>
  <c r="S349" i="7"/>
  <c r="U349" i="7"/>
  <c r="V349" i="7"/>
  <c r="W349" i="7"/>
  <c r="X349" i="7"/>
  <c r="Y349" i="7"/>
  <c r="Z349" i="7"/>
  <c r="AA349" i="7"/>
  <c r="AC349" i="7"/>
  <c r="AE349" i="7"/>
  <c r="AI349" i="7"/>
  <c r="AO349" i="7"/>
  <c r="AP349" i="7"/>
  <c r="E3769" i="8"/>
  <c r="F3769" i="8"/>
  <c r="G3769" i="8"/>
  <c r="H3769" i="8"/>
  <c r="I3769" i="8"/>
  <c r="J3769" i="8"/>
  <c r="K3769" i="8"/>
  <c r="L3769" i="8"/>
  <c r="M3769" i="8"/>
  <c r="N3769" i="8"/>
  <c r="O3769" i="8"/>
  <c r="P3769" i="8"/>
  <c r="Q3769" i="8"/>
  <c r="R3769" i="8"/>
  <c r="S3769" i="8"/>
  <c r="T3769" i="8"/>
  <c r="E3770" i="8"/>
  <c r="F3770" i="8"/>
  <c r="G3770" i="8"/>
  <c r="H3770" i="8"/>
  <c r="I3770" i="8"/>
  <c r="J3770" i="8"/>
  <c r="K3770" i="8"/>
  <c r="L3770" i="8"/>
  <c r="M3770" i="8"/>
  <c r="N3770" i="8"/>
  <c r="O3770" i="8"/>
  <c r="P3770" i="8"/>
  <c r="Q3770" i="8"/>
  <c r="R3770" i="8"/>
  <c r="S3770" i="8"/>
  <c r="T3770" i="8"/>
  <c r="E3771" i="8"/>
  <c r="F3771" i="8"/>
  <c r="G3771" i="8"/>
  <c r="H3771" i="8"/>
  <c r="I3771" i="8"/>
  <c r="J3771" i="8"/>
  <c r="K3771" i="8"/>
  <c r="L3771" i="8"/>
  <c r="M3771" i="8"/>
  <c r="N3771" i="8"/>
  <c r="O3771" i="8"/>
  <c r="P3771" i="8"/>
  <c r="Q3771" i="8"/>
  <c r="R3771" i="8"/>
  <c r="S3771" i="8"/>
  <c r="T3771" i="8"/>
  <c r="E3772" i="8"/>
  <c r="F3772" i="8"/>
  <c r="G3772" i="8"/>
  <c r="H3772" i="8"/>
  <c r="I3772" i="8"/>
  <c r="J3772" i="8"/>
  <c r="K3772" i="8"/>
  <c r="L3772" i="8"/>
  <c r="M3772" i="8"/>
  <c r="N3772" i="8"/>
  <c r="O3772" i="8"/>
  <c r="P3772" i="8"/>
  <c r="Q3772" i="8"/>
  <c r="R3772" i="8"/>
  <c r="S3772" i="8"/>
  <c r="T3772" i="8"/>
  <c r="E3773" i="8"/>
  <c r="F3773" i="8"/>
  <c r="G3773" i="8"/>
  <c r="H3773" i="8"/>
  <c r="I3773" i="8"/>
  <c r="J3773" i="8"/>
  <c r="K3773" i="8"/>
  <c r="L3773" i="8"/>
  <c r="M3773" i="8"/>
  <c r="N3773" i="8"/>
  <c r="O3773" i="8"/>
  <c r="P3773" i="8"/>
  <c r="Q3773" i="8"/>
  <c r="R3773" i="8"/>
  <c r="S3773" i="8"/>
  <c r="T3773" i="8"/>
  <c r="E3774" i="8"/>
  <c r="F3774" i="8"/>
  <c r="G3774" i="8"/>
  <c r="H3774" i="8"/>
  <c r="I3774" i="8"/>
  <c r="J3774" i="8"/>
  <c r="K3774" i="8"/>
  <c r="L3774" i="8"/>
  <c r="M3774" i="8"/>
  <c r="N3774" i="8"/>
  <c r="O3774" i="8"/>
  <c r="P3774" i="8"/>
  <c r="Q3774" i="8"/>
  <c r="R3774" i="8"/>
  <c r="S3774" i="8"/>
  <c r="T3774" i="8"/>
  <c r="E3775" i="8"/>
  <c r="F3775" i="8"/>
  <c r="G3775" i="8"/>
  <c r="H3775" i="8"/>
  <c r="I3775" i="8"/>
  <c r="J3775" i="8"/>
  <c r="K3775" i="8"/>
  <c r="L3775" i="8"/>
  <c r="M3775" i="8"/>
  <c r="N3775" i="8"/>
  <c r="O3775" i="8"/>
  <c r="P3775" i="8"/>
  <c r="Q3775" i="8"/>
  <c r="R3775" i="8"/>
  <c r="S3775" i="8"/>
  <c r="T3775" i="8"/>
  <c r="E3776" i="8"/>
  <c r="F3776" i="8"/>
  <c r="G3776" i="8"/>
  <c r="H3776" i="8"/>
  <c r="I3776" i="8"/>
  <c r="J3776" i="8"/>
  <c r="K3776" i="8"/>
  <c r="L3776" i="8"/>
  <c r="M3776" i="8"/>
  <c r="N3776" i="8"/>
  <c r="O3776" i="8"/>
  <c r="P3776" i="8"/>
  <c r="Q3776" i="8"/>
  <c r="R3776" i="8"/>
  <c r="S3776" i="8"/>
  <c r="T3776" i="8"/>
  <c r="E3777" i="8"/>
  <c r="F3777" i="8"/>
  <c r="G3777" i="8"/>
  <c r="H3777" i="8"/>
  <c r="I3777" i="8"/>
  <c r="J3777" i="8"/>
  <c r="K3777" i="8"/>
  <c r="L3777" i="8"/>
  <c r="M3777" i="8"/>
  <c r="N3777" i="8"/>
  <c r="O3777" i="8"/>
  <c r="P3777" i="8"/>
  <c r="Q3777" i="8"/>
  <c r="R3777" i="8"/>
  <c r="S3777" i="8"/>
  <c r="T3777" i="8"/>
  <c r="E3778" i="8"/>
  <c r="F3778" i="8"/>
  <c r="G3778" i="8"/>
  <c r="H3778" i="8"/>
  <c r="I3778" i="8"/>
  <c r="J3778" i="8"/>
  <c r="K3778" i="8"/>
  <c r="L3778" i="8"/>
  <c r="M3778" i="8"/>
  <c r="N3778" i="8"/>
  <c r="O3778" i="8"/>
  <c r="P3778" i="8"/>
  <c r="Q3778" i="8"/>
  <c r="R3778" i="8"/>
  <c r="S3778" i="8"/>
  <c r="T3778" i="8"/>
  <c r="E3779" i="8"/>
  <c r="F3779" i="8"/>
  <c r="G3779" i="8"/>
  <c r="H3779" i="8"/>
  <c r="I3779" i="8"/>
  <c r="J3779" i="8"/>
  <c r="K3779" i="8"/>
  <c r="L3779" i="8"/>
  <c r="M3779" i="8"/>
  <c r="N3779" i="8"/>
  <c r="O3779" i="8"/>
  <c r="P3779" i="8"/>
  <c r="Q3779" i="8"/>
  <c r="R3779" i="8"/>
  <c r="S3779" i="8"/>
  <c r="T3779" i="8"/>
  <c r="AH348" i="7"/>
  <c r="T348" i="7"/>
  <c r="AB348" i="7"/>
  <c r="AQ348" i="7"/>
  <c r="AL348" i="7"/>
  <c r="AJ348" i="7"/>
  <c r="E348" i="7"/>
  <c r="F348" i="7"/>
  <c r="G348" i="7"/>
  <c r="H348" i="7"/>
  <c r="I348" i="7"/>
  <c r="J348" i="7"/>
  <c r="K348" i="7"/>
  <c r="L348" i="7"/>
  <c r="M348" i="7"/>
  <c r="N348" i="7"/>
  <c r="P348" i="7"/>
  <c r="Q348" i="7"/>
  <c r="R348" i="7"/>
  <c r="S348" i="7"/>
  <c r="U348" i="7"/>
  <c r="V348" i="7"/>
  <c r="W348" i="7"/>
  <c r="X348" i="7"/>
  <c r="Y348" i="7"/>
  <c r="Z348" i="7"/>
  <c r="AA348" i="7"/>
  <c r="AC348" i="7"/>
  <c r="AE348" i="7"/>
  <c r="AI348" i="7"/>
  <c r="AO348" i="7"/>
  <c r="AP348" i="7"/>
  <c r="E3758" i="8"/>
  <c r="F3758" i="8"/>
  <c r="G3758" i="8"/>
  <c r="H3758" i="8"/>
  <c r="I3758" i="8"/>
  <c r="J3758" i="8"/>
  <c r="K3758" i="8"/>
  <c r="L3758" i="8"/>
  <c r="M3758" i="8"/>
  <c r="N3758" i="8"/>
  <c r="O3758" i="8"/>
  <c r="P3758" i="8"/>
  <c r="Q3758" i="8"/>
  <c r="R3758" i="8"/>
  <c r="S3758" i="8"/>
  <c r="T3758" i="8"/>
  <c r="E3759" i="8"/>
  <c r="F3759" i="8"/>
  <c r="G3759" i="8"/>
  <c r="H3759" i="8"/>
  <c r="I3759" i="8"/>
  <c r="J3759" i="8"/>
  <c r="K3759" i="8"/>
  <c r="L3759" i="8"/>
  <c r="M3759" i="8"/>
  <c r="N3759" i="8"/>
  <c r="O3759" i="8"/>
  <c r="P3759" i="8"/>
  <c r="Q3759" i="8"/>
  <c r="R3759" i="8"/>
  <c r="S3759" i="8"/>
  <c r="T3759" i="8"/>
  <c r="E3760" i="8"/>
  <c r="F3760" i="8"/>
  <c r="G3760" i="8"/>
  <c r="H3760" i="8"/>
  <c r="I3760" i="8"/>
  <c r="J3760" i="8"/>
  <c r="K3760" i="8"/>
  <c r="L3760" i="8"/>
  <c r="M3760" i="8"/>
  <c r="N3760" i="8"/>
  <c r="O3760" i="8"/>
  <c r="P3760" i="8"/>
  <c r="Q3760" i="8"/>
  <c r="R3760" i="8"/>
  <c r="S3760" i="8"/>
  <c r="T3760" i="8"/>
  <c r="E3761" i="8"/>
  <c r="F3761" i="8"/>
  <c r="G3761" i="8"/>
  <c r="H3761" i="8"/>
  <c r="I3761" i="8"/>
  <c r="J3761" i="8"/>
  <c r="K3761" i="8"/>
  <c r="L3761" i="8"/>
  <c r="M3761" i="8"/>
  <c r="N3761" i="8"/>
  <c r="O3761" i="8"/>
  <c r="P3761" i="8"/>
  <c r="Q3761" i="8"/>
  <c r="R3761" i="8"/>
  <c r="S3761" i="8"/>
  <c r="T3761" i="8"/>
  <c r="E3762" i="8"/>
  <c r="F3762" i="8"/>
  <c r="G3762" i="8"/>
  <c r="H3762" i="8"/>
  <c r="I3762" i="8"/>
  <c r="J3762" i="8"/>
  <c r="K3762" i="8"/>
  <c r="L3762" i="8"/>
  <c r="M3762" i="8"/>
  <c r="N3762" i="8"/>
  <c r="O3762" i="8"/>
  <c r="P3762" i="8"/>
  <c r="Q3762" i="8"/>
  <c r="R3762" i="8"/>
  <c r="S3762" i="8"/>
  <c r="T3762" i="8"/>
  <c r="E3763" i="8"/>
  <c r="F3763" i="8"/>
  <c r="G3763" i="8"/>
  <c r="H3763" i="8"/>
  <c r="I3763" i="8"/>
  <c r="J3763" i="8"/>
  <c r="K3763" i="8"/>
  <c r="L3763" i="8"/>
  <c r="M3763" i="8"/>
  <c r="N3763" i="8"/>
  <c r="O3763" i="8"/>
  <c r="P3763" i="8"/>
  <c r="Q3763" i="8"/>
  <c r="R3763" i="8"/>
  <c r="S3763" i="8"/>
  <c r="T3763" i="8"/>
  <c r="E3764" i="8"/>
  <c r="F3764" i="8"/>
  <c r="G3764" i="8"/>
  <c r="H3764" i="8"/>
  <c r="I3764" i="8"/>
  <c r="J3764" i="8"/>
  <c r="K3764" i="8"/>
  <c r="L3764" i="8"/>
  <c r="M3764" i="8"/>
  <c r="N3764" i="8"/>
  <c r="O3764" i="8"/>
  <c r="P3764" i="8"/>
  <c r="Q3764" i="8"/>
  <c r="R3764" i="8"/>
  <c r="S3764" i="8"/>
  <c r="T3764" i="8"/>
  <c r="E3765" i="8"/>
  <c r="F3765" i="8"/>
  <c r="G3765" i="8"/>
  <c r="H3765" i="8"/>
  <c r="I3765" i="8"/>
  <c r="J3765" i="8"/>
  <c r="K3765" i="8"/>
  <c r="L3765" i="8"/>
  <c r="M3765" i="8"/>
  <c r="N3765" i="8"/>
  <c r="O3765" i="8"/>
  <c r="P3765" i="8"/>
  <c r="Q3765" i="8"/>
  <c r="R3765" i="8"/>
  <c r="S3765" i="8"/>
  <c r="T3765" i="8"/>
  <c r="E3766" i="8"/>
  <c r="F3766" i="8"/>
  <c r="G3766" i="8"/>
  <c r="H3766" i="8"/>
  <c r="I3766" i="8"/>
  <c r="J3766" i="8"/>
  <c r="K3766" i="8"/>
  <c r="L3766" i="8"/>
  <c r="M3766" i="8"/>
  <c r="N3766" i="8"/>
  <c r="O3766" i="8"/>
  <c r="P3766" i="8"/>
  <c r="Q3766" i="8"/>
  <c r="R3766" i="8"/>
  <c r="S3766" i="8"/>
  <c r="T3766" i="8"/>
  <c r="E3767" i="8"/>
  <c r="F3767" i="8"/>
  <c r="G3767" i="8"/>
  <c r="H3767" i="8"/>
  <c r="I3767" i="8"/>
  <c r="J3767" i="8"/>
  <c r="K3767" i="8"/>
  <c r="L3767" i="8"/>
  <c r="M3767" i="8"/>
  <c r="N3767" i="8"/>
  <c r="O3767" i="8"/>
  <c r="P3767" i="8"/>
  <c r="Q3767" i="8"/>
  <c r="R3767" i="8"/>
  <c r="S3767" i="8"/>
  <c r="T3767" i="8"/>
  <c r="E3768" i="8"/>
  <c r="F3768" i="8"/>
  <c r="G3768" i="8"/>
  <c r="H3768" i="8"/>
  <c r="I3768" i="8"/>
  <c r="J3768" i="8"/>
  <c r="K3768" i="8"/>
  <c r="L3768" i="8"/>
  <c r="M3768" i="8"/>
  <c r="N3768" i="8"/>
  <c r="O3768" i="8"/>
  <c r="P3768" i="8"/>
  <c r="Q3768" i="8"/>
  <c r="R3768" i="8"/>
  <c r="S3768" i="8"/>
  <c r="T3768" i="8"/>
  <c r="AQ347" i="7"/>
  <c r="AB347" i="7"/>
  <c r="AH347" i="7"/>
  <c r="AJ347" i="7"/>
  <c r="AL347" i="7"/>
  <c r="T347" i="7"/>
  <c r="E347" i="7"/>
  <c r="F347" i="7"/>
  <c r="G347" i="7"/>
  <c r="H347" i="7"/>
  <c r="I347" i="7"/>
  <c r="J347" i="7"/>
  <c r="K347" i="7"/>
  <c r="L347" i="7"/>
  <c r="M347" i="7"/>
  <c r="N347" i="7"/>
  <c r="P347" i="7"/>
  <c r="Q347" i="7"/>
  <c r="R347" i="7"/>
  <c r="S347" i="7"/>
  <c r="U347" i="7"/>
  <c r="V347" i="7"/>
  <c r="W347" i="7"/>
  <c r="X347" i="7"/>
  <c r="Y347" i="7"/>
  <c r="Z347" i="7"/>
  <c r="AA347" i="7"/>
  <c r="AC347" i="7"/>
  <c r="AE347" i="7"/>
  <c r="AI347" i="7"/>
  <c r="AO347" i="7"/>
  <c r="AP347" i="7"/>
  <c r="E3747" i="8"/>
  <c r="F3747" i="8"/>
  <c r="G3747" i="8"/>
  <c r="H3747" i="8"/>
  <c r="I3747" i="8"/>
  <c r="J3747" i="8"/>
  <c r="K3747" i="8"/>
  <c r="L3747" i="8"/>
  <c r="M3747" i="8"/>
  <c r="N3747" i="8"/>
  <c r="O3747" i="8"/>
  <c r="P3747" i="8"/>
  <c r="Q3747" i="8"/>
  <c r="R3747" i="8"/>
  <c r="S3747" i="8"/>
  <c r="T3747" i="8"/>
  <c r="E3748" i="8"/>
  <c r="F3748" i="8"/>
  <c r="G3748" i="8"/>
  <c r="H3748" i="8"/>
  <c r="I3748" i="8"/>
  <c r="J3748" i="8"/>
  <c r="K3748" i="8"/>
  <c r="L3748" i="8"/>
  <c r="M3748" i="8"/>
  <c r="N3748" i="8"/>
  <c r="O3748" i="8"/>
  <c r="P3748" i="8"/>
  <c r="Q3748" i="8"/>
  <c r="R3748" i="8"/>
  <c r="S3748" i="8"/>
  <c r="T3748" i="8"/>
  <c r="E3749" i="8"/>
  <c r="F3749" i="8"/>
  <c r="G3749" i="8"/>
  <c r="H3749" i="8"/>
  <c r="I3749" i="8"/>
  <c r="J3749" i="8"/>
  <c r="K3749" i="8"/>
  <c r="L3749" i="8"/>
  <c r="M3749" i="8"/>
  <c r="N3749" i="8"/>
  <c r="O3749" i="8"/>
  <c r="P3749" i="8"/>
  <c r="Q3749" i="8"/>
  <c r="R3749" i="8"/>
  <c r="S3749" i="8"/>
  <c r="T3749" i="8"/>
  <c r="E3750" i="8"/>
  <c r="F3750" i="8"/>
  <c r="G3750" i="8"/>
  <c r="H3750" i="8"/>
  <c r="I3750" i="8"/>
  <c r="J3750" i="8"/>
  <c r="K3750" i="8"/>
  <c r="L3750" i="8"/>
  <c r="M3750" i="8"/>
  <c r="N3750" i="8"/>
  <c r="O3750" i="8"/>
  <c r="P3750" i="8"/>
  <c r="Q3750" i="8"/>
  <c r="R3750" i="8"/>
  <c r="S3750" i="8"/>
  <c r="T3750" i="8"/>
  <c r="E3751" i="8"/>
  <c r="F3751" i="8"/>
  <c r="G3751" i="8"/>
  <c r="H3751" i="8"/>
  <c r="I3751" i="8"/>
  <c r="J3751" i="8"/>
  <c r="K3751" i="8"/>
  <c r="L3751" i="8"/>
  <c r="M3751" i="8"/>
  <c r="N3751" i="8"/>
  <c r="O3751" i="8"/>
  <c r="P3751" i="8"/>
  <c r="Q3751" i="8"/>
  <c r="R3751" i="8"/>
  <c r="S3751" i="8"/>
  <c r="T3751" i="8"/>
  <c r="E3752" i="8"/>
  <c r="F3752" i="8"/>
  <c r="G3752" i="8"/>
  <c r="H3752" i="8"/>
  <c r="I3752" i="8"/>
  <c r="J3752" i="8"/>
  <c r="K3752" i="8"/>
  <c r="L3752" i="8"/>
  <c r="M3752" i="8"/>
  <c r="N3752" i="8"/>
  <c r="O3752" i="8"/>
  <c r="P3752" i="8"/>
  <c r="Q3752" i="8"/>
  <c r="R3752" i="8"/>
  <c r="S3752" i="8"/>
  <c r="T3752" i="8"/>
  <c r="E3753" i="8"/>
  <c r="F3753" i="8"/>
  <c r="G3753" i="8"/>
  <c r="H3753" i="8"/>
  <c r="I3753" i="8"/>
  <c r="J3753" i="8"/>
  <c r="K3753" i="8"/>
  <c r="L3753" i="8"/>
  <c r="M3753" i="8"/>
  <c r="N3753" i="8"/>
  <c r="O3753" i="8"/>
  <c r="P3753" i="8"/>
  <c r="Q3753" i="8"/>
  <c r="R3753" i="8"/>
  <c r="S3753" i="8"/>
  <c r="T3753" i="8"/>
  <c r="E3754" i="8"/>
  <c r="F3754" i="8"/>
  <c r="G3754" i="8"/>
  <c r="H3754" i="8"/>
  <c r="I3754" i="8"/>
  <c r="J3754" i="8"/>
  <c r="K3754" i="8"/>
  <c r="L3754" i="8"/>
  <c r="M3754" i="8"/>
  <c r="N3754" i="8"/>
  <c r="O3754" i="8"/>
  <c r="P3754" i="8"/>
  <c r="Q3754" i="8"/>
  <c r="R3754" i="8"/>
  <c r="S3754" i="8"/>
  <c r="T3754" i="8"/>
  <c r="E3755" i="8"/>
  <c r="F3755" i="8"/>
  <c r="G3755" i="8"/>
  <c r="H3755" i="8"/>
  <c r="I3755" i="8"/>
  <c r="J3755" i="8"/>
  <c r="K3755" i="8"/>
  <c r="L3755" i="8"/>
  <c r="M3755" i="8"/>
  <c r="N3755" i="8"/>
  <c r="O3755" i="8"/>
  <c r="P3755" i="8"/>
  <c r="Q3755" i="8"/>
  <c r="R3755" i="8"/>
  <c r="S3755" i="8"/>
  <c r="T3755" i="8"/>
  <c r="E3756" i="8"/>
  <c r="F3756" i="8"/>
  <c r="G3756" i="8"/>
  <c r="H3756" i="8"/>
  <c r="I3756" i="8"/>
  <c r="J3756" i="8"/>
  <c r="K3756" i="8"/>
  <c r="L3756" i="8"/>
  <c r="M3756" i="8"/>
  <c r="N3756" i="8"/>
  <c r="O3756" i="8"/>
  <c r="P3756" i="8"/>
  <c r="Q3756" i="8"/>
  <c r="R3756" i="8"/>
  <c r="S3756" i="8"/>
  <c r="T3756" i="8"/>
  <c r="E3757" i="8"/>
  <c r="F3757" i="8"/>
  <c r="G3757" i="8"/>
  <c r="H3757" i="8"/>
  <c r="I3757" i="8"/>
  <c r="J3757" i="8"/>
  <c r="K3757" i="8"/>
  <c r="L3757" i="8"/>
  <c r="M3757" i="8"/>
  <c r="N3757" i="8"/>
  <c r="O3757" i="8"/>
  <c r="P3757" i="8"/>
  <c r="Q3757" i="8"/>
  <c r="R3757" i="8"/>
  <c r="S3757" i="8"/>
  <c r="T3757" i="8"/>
  <c r="T346" i="7"/>
  <c r="AB346" i="7"/>
  <c r="AH346" i="7"/>
  <c r="AJ346" i="7"/>
  <c r="AL346" i="7"/>
  <c r="AQ346" i="7"/>
  <c r="A3739" i="8"/>
  <c r="A3738" i="8"/>
  <c r="A3736" i="8"/>
  <c r="C346" i="7"/>
  <c r="A3740" i="8"/>
  <c r="A3737" i="8"/>
  <c r="AJ345" i="7"/>
  <c r="T345" i="7"/>
  <c r="AB345" i="7"/>
  <c r="AH345" i="7"/>
  <c r="AL345" i="7"/>
  <c r="AQ345" i="7"/>
  <c r="A3735" i="8"/>
  <c r="A3734" i="8"/>
  <c r="A3733" i="8"/>
  <c r="A3729" i="8"/>
  <c r="A3727" i="8"/>
  <c r="A3732" i="8"/>
  <c r="A3731" i="8"/>
  <c r="A3725" i="8"/>
  <c r="A3726" i="8"/>
  <c r="A3728" i="8"/>
  <c r="A3730" i="8"/>
  <c r="C345" i="7"/>
  <c r="AQ344" i="7"/>
  <c r="AL344" i="7"/>
  <c r="AH344" i="7"/>
  <c r="AB344" i="7"/>
  <c r="T344" i="7"/>
  <c r="AJ344" i="7"/>
  <c r="A3715" i="8"/>
  <c r="A3716" i="8"/>
  <c r="A3717" i="8"/>
  <c r="A3718" i="8"/>
  <c r="A3719" i="8"/>
  <c r="A3720" i="8"/>
  <c r="A3721" i="8"/>
  <c r="A3722" i="8"/>
  <c r="A3724" i="8"/>
  <c r="A3723" i="8"/>
  <c r="C344" i="7"/>
  <c r="A3714" i="8"/>
  <c r="T343" i="7"/>
  <c r="AB343" i="7"/>
  <c r="AH343" i="7"/>
  <c r="AQ343" i="7"/>
  <c r="AL343" i="7"/>
  <c r="AJ343" i="7"/>
  <c r="C343" i="7"/>
  <c r="A3712" i="8"/>
  <c r="A3711" i="8"/>
  <c r="A3708" i="8"/>
  <c r="A3710" i="8"/>
  <c r="A3709" i="8"/>
  <c r="A3707" i="8"/>
  <c r="A3706" i="8"/>
  <c r="A3705" i="8"/>
  <c r="A3713" i="8"/>
  <c r="A3703" i="8"/>
  <c r="A3704" i="8"/>
  <c r="T342" i="7"/>
  <c r="AB342" i="7"/>
  <c r="AH342" i="7"/>
  <c r="AJ342" i="7"/>
  <c r="AL342" i="7"/>
  <c r="AQ342" i="7"/>
  <c r="A3701" i="8"/>
  <c r="A3700" i="8"/>
  <c r="A3699" i="8"/>
  <c r="A3698" i="8"/>
  <c r="A3697" i="8"/>
  <c r="A3696" i="8"/>
  <c r="A3695" i="8"/>
  <c r="A3694" i="8"/>
  <c r="A3693" i="8"/>
  <c r="A3692" i="8"/>
  <c r="C342" i="7"/>
  <c r="A3702" i="8"/>
  <c r="T341" i="7"/>
  <c r="AB341" i="7"/>
  <c r="AH341" i="7"/>
  <c r="AJ341" i="7"/>
  <c r="AQ341" i="7"/>
  <c r="AL341" i="7"/>
  <c r="A3691" i="8"/>
  <c r="A3690" i="8"/>
  <c r="A3689" i="8"/>
  <c r="A3688" i="8"/>
  <c r="A3687" i="8"/>
  <c r="A3686" i="8"/>
  <c r="A3685" i="8"/>
  <c r="A3684" i="8"/>
  <c r="A3683" i="8"/>
  <c r="A3682" i="8"/>
  <c r="A3681" i="8"/>
  <c r="C341" i="7"/>
  <c r="AQ340" i="7"/>
  <c r="T340" i="7"/>
  <c r="AB340" i="7"/>
  <c r="AH340" i="7"/>
  <c r="AJ340" i="7"/>
  <c r="AL340" i="7"/>
  <c r="C340" i="7"/>
  <c r="A3676" i="8"/>
  <c r="A3677" i="8"/>
  <c r="A3678" i="8"/>
  <c r="A3679" i="8"/>
  <c r="A3680" i="8"/>
  <c r="A3672" i="8"/>
  <c r="A3671" i="8"/>
  <c r="A3670" i="8"/>
  <c r="A3674" i="8"/>
  <c r="A3675" i="8"/>
  <c r="A3673" i="8"/>
  <c r="T339" i="7"/>
  <c r="AL339" i="7"/>
  <c r="AJ339" i="7"/>
  <c r="AH339" i="7"/>
  <c r="AB339" i="7"/>
  <c r="AQ339" i="7"/>
  <c r="A3662" i="8"/>
  <c r="A3663" i="8"/>
  <c r="A3664" i="8"/>
  <c r="A3669" i="8"/>
  <c r="A3665" i="8"/>
  <c r="A3661" i="8"/>
  <c r="A3666" i="8"/>
  <c r="C339" i="7"/>
  <c r="A3668" i="8"/>
  <c r="A3667" i="8"/>
  <c r="A3660" i="8"/>
  <c r="A3659" i="8"/>
  <c r="AQ338" i="7"/>
  <c r="AL338" i="7"/>
  <c r="AH338" i="7"/>
  <c r="AB338" i="7"/>
  <c r="T338" i="7"/>
  <c r="AJ338" i="7"/>
  <c r="A3658" i="8"/>
  <c r="A3657" i="8"/>
  <c r="A3655" i="8"/>
  <c r="A3656" i="8"/>
  <c r="A3648" i="8"/>
  <c r="A3649" i="8"/>
  <c r="C338" i="7"/>
  <c r="A3650" i="8"/>
  <c r="A3651" i="8"/>
  <c r="A3652" i="8"/>
  <c r="A3653" i="8"/>
  <c r="A3654" i="8"/>
  <c r="AQ337" i="7"/>
  <c r="AB337" i="7"/>
  <c r="T337" i="7"/>
  <c r="AL337" i="7"/>
  <c r="AJ337" i="7"/>
  <c r="AH337" i="7"/>
  <c r="A3639" i="8"/>
  <c r="A3638" i="8"/>
  <c r="A3637" i="8"/>
  <c r="A3640" i="8"/>
  <c r="C337" i="7"/>
  <c r="A3641" i="8"/>
  <c r="A3642" i="8"/>
  <c r="A3643" i="8"/>
  <c r="A3644" i="8"/>
  <c r="A3646" i="8"/>
  <c r="A3647" i="8"/>
  <c r="A3645" i="8"/>
  <c r="AH336" i="7"/>
  <c r="AB336" i="7"/>
  <c r="T336" i="7"/>
  <c r="AQ336" i="7"/>
  <c r="AL336" i="7"/>
  <c r="AJ336" i="7"/>
  <c r="A3630" i="8"/>
  <c r="A3635" i="8"/>
  <c r="A3634" i="8"/>
  <c r="C336" i="7"/>
  <c r="A3626" i="8"/>
  <c r="A3627" i="8"/>
  <c r="A3628" i="8"/>
  <c r="A3636" i="8"/>
  <c r="A3629" i="8"/>
  <c r="A3631" i="8"/>
  <c r="A3632" i="8"/>
  <c r="A3633" i="8"/>
  <c r="AQ335" i="7"/>
  <c r="AL335" i="7"/>
  <c r="AJ335" i="7"/>
  <c r="AB335" i="7"/>
  <c r="T335" i="7"/>
  <c r="AH335" i="7"/>
  <c r="A3625" i="8"/>
  <c r="C335" i="7"/>
  <c r="A3615" i="8"/>
  <c r="A3616" i="8"/>
  <c r="A3617" i="8"/>
  <c r="A3618" i="8"/>
  <c r="A3619" i="8"/>
  <c r="A3620" i="8"/>
  <c r="A3621" i="8"/>
  <c r="A3622" i="8"/>
  <c r="A3623" i="8"/>
  <c r="A3624" i="8"/>
  <c r="AQ334" i="7"/>
  <c r="AJ334" i="7"/>
  <c r="AH334" i="7"/>
  <c r="AB334" i="7"/>
  <c r="AL334" i="7"/>
  <c r="T334" i="7"/>
  <c r="A3613" i="8"/>
  <c r="A3610" i="8"/>
  <c r="A3609" i="8"/>
  <c r="A3608" i="8"/>
  <c r="A3614" i="8"/>
  <c r="C334" i="7"/>
  <c r="A3604" i="8"/>
  <c r="A3605" i="8"/>
  <c r="A3606" i="8"/>
  <c r="A3612" i="8"/>
  <c r="A3611" i="8"/>
  <c r="A3607" i="8"/>
  <c r="AJ333" i="7"/>
  <c r="AQ333" i="7"/>
  <c r="AL333" i="7"/>
  <c r="AH333" i="7"/>
  <c r="T333" i="7"/>
  <c r="AB333" i="7"/>
  <c r="A3601" i="8"/>
  <c r="C333" i="7"/>
  <c r="A3602" i="8"/>
  <c r="A3597" i="8"/>
  <c r="A3595" i="8"/>
  <c r="A3599" i="8"/>
  <c r="A3596" i="8"/>
  <c r="A3593" i="8"/>
  <c r="A3594" i="8"/>
  <c r="A3603" i="8"/>
  <c r="A3598" i="8"/>
  <c r="A3600" i="8"/>
  <c r="AL332" i="7"/>
  <c r="AH332" i="7"/>
  <c r="AQ332" i="7"/>
  <c r="T332" i="7"/>
  <c r="AB332" i="7"/>
  <c r="AJ332" i="7"/>
  <c r="A3583" i="8"/>
  <c r="A3582" i="8"/>
  <c r="A3588" i="8"/>
  <c r="C332" i="7"/>
  <c r="A3585" i="8"/>
  <c r="A3587" i="8"/>
  <c r="A3584" i="8"/>
  <c r="A3592" i="8"/>
  <c r="A3591" i="8"/>
  <c r="A3590" i="8"/>
  <c r="A3589" i="8"/>
  <c r="A3586" i="8"/>
  <c r="AL331" i="7"/>
  <c r="AQ331" i="7"/>
  <c r="T331" i="7"/>
  <c r="AB331" i="7"/>
  <c r="AH331" i="7"/>
  <c r="AJ331" i="7"/>
  <c r="A3574" i="8"/>
  <c r="A3573" i="8"/>
  <c r="A3572" i="8"/>
  <c r="A3571" i="8"/>
  <c r="C331" i="7"/>
  <c r="A3581" i="8"/>
  <c r="A3580" i="8"/>
  <c r="A3579" i="8"/>
  <c r="A3578" i="8"/>
  <c r="A3577" i="8"/>
  <c r="A3576" i="8"/>
  <c r="A3575" i="8"/>
  <c r="AL330" i="7"/>
  <c r="AQ330" i="7"/>
  <c r="T330" i="7"/>
  <c r="AB330" i="7"/>
  <c r="AH330" i="7"/>
  <c r="AJ330" i="7"/>
  <c r="A3570" i="8"/>
  <c r="A3562" i="8"/>
  <c r="C330" i="7"/>
  <c r="A3568" i="8"/>
  <c r="A3560" i="8"/>
  <c r="A3561" i="8"/>
  <c r="A3563" i="8"/>
  <c r="A3564" i="8"/>
  <c r="A3565" i="8"/>
  <c r="A3566" i="8"/>
  <c r="A3567" i="8"/>
  <c r="A3569" i="8"/>
  <c r="AH329" i="7"/>
  <c r="AB329" i="7"/>
  <c r="T329" i="7"/>
  <c r="AQ329" i="7"/>
  <c r="AL329" i="7"/>
  <c r="AJ329" i="7"/>
  <c r="A3553" i="8"/>
  <c r="A3554" i="8"/>
  <c r="A3555" i="8"/>
  <c r="A3557" i="8"/>
  <c r="A3559" i="8"/>
  <c r="A3558" i="8"/>
  <c r="A3556" i="8"/>
  <c r="A3549" i="8"/>
  <c r="C329" i="7"/>
  <c r="A3552" i="8"/>
  <c r="A3551" i="8"/>
  <c r="A3550" i="8"/>
  <c r="AL328" i="7"/>
  <c r="AJ328" i="7"/>
  <c r="AH328" i="7"/>
  <c r="AB328" i="7"/>
  <c r="T328" i="7"/>
  <c r="AQ328" i="7"/>
  <c r="A3539" i="8"/>
  <c r="A3540" i="8"/>
  <c r="A3541" i="8"/>
  <c r="A3542" i="8"/>
  <c r="A3543" i="8"/>
  <c r="A3544" i="8"/>
  <c r="A3545" i="8"/>
  <c r="A3546" i="8"/>
  <c r="A3547" i="8"/>
  <c r="A3548" i="8"/>
  <c r="C328" i="7"/>
  <c r="A3538" i="8"/>
  <c r="T327" i="7"/>
  <c r="AB327" i="7"/>
  <c r="AH327" i="7"/>
  <c r="AJ327" i="7"/>
  <c r="AL327" i="7"/>
  <c r="AQ327" i="7"/>
  <c r="A3536" i="8"/>
  <c r="A3535" i="8"/>
  <c r="A3534" i="8"/>
  <c r="C327" i="7"/>
  <c r="A3529" i="8"/>
  <c r="A3533" i="8"/>
  <c r="A3532" i="8"/>
  <c r="A3531" i="8"/>
  <c r="A3530" i="8"/>
  <c r="A3537" i="8"/>
  <c r="T326" i="7"/>
  <c r="AQ326" i="7"/>
  <c r="AB326" i="7"/>
  <c r="AH326" i="7"/>
  <c r="AJ326" i="7"/>
  <c r="AL326" i="7"/>
  <c r="C326" i="7"/>
  <c r="A3526" i="8"/>
  <c r="AQ325" i="7"/>
  <c r="AL325" i="7"/>
  <c r="AJ325" i="7"/>
  <c r="AH325" i="7"/>
  <c r="AB325" i="7"/>
  <c r="T325" i="7"/>
  <c r="AH324" i="7"/>
  <c r="T324" i="7"/>
  <c r="AB324" i="7"/>
  <c r="AJ324" i="7"/>
  <c r="AQ324" i="7"/>
  <c r="AL324" i="7"/>
  <c r="AL323" i="7"/>
  <c r="T323" i="7"/>
  <c r="AB323" i="7"/>
  <c r="AH323" i="7"/>
  <c r="AJ323" i="7"/>
  <c r="AQ323" i="7"/>
  <c r="G3492" i="8"/>
  <c r="H3492" i="8"/>
  <c r="I3492" i="8"/>
  <c r="J3492" i="8"/>
  <c r="K3492" i="8"/>
  <c r="L3492" i="8"/>
  <c r="M3492" i="8"/>
  <c r="N3492" i="8"/>
  <c r="O3492" i="8"/>
  <c r="P3492" i="8"/>
  <c r="Q3492" i="8"/>
  <c r="R3492" i="8"/>
  <c r="S3492" i="8"/>
  <c r="T3492" i="8"/>
  <c r="E3493" i="8"/>
  <c r="F3493" i="8"/>
  <c r="G3493" i="8"/>
  <c r="H3493" i="8"/>
  <c r="I3493" i="8"/>
  <c r="J3493" i="8"/>
  <c r="K3493" i="8"/>
  <c r="L3493" i="8"/>
  <c r="M3493" i="8"/>
  <c r="N3493" i="8"/>
  <c r="O3493" i="8"/>
  <c r="P3493" i="8"/>
  <c r="Q3493" i="8"/>
  <c r="R3493" i="8"/>
  <c r="S3493" i="8"/>
  <c r="T3493" i="8"/>
  <c r="AJ322" i="7"/>
  <c r="AB322" i="7"/>
  <c r="AH322" i="7"/>
  <c r="T322" i="7"/>
  <c r="AQ322" i="7"/>
  <c r="AL322" i="7"/>
  <c r="E322" i="7"/>
  <c r="F322" i="7"/>
  <c r="G322" i="7"/>
  <c r="H322" i="7"/>
  <c r="I322" i="7"/>
  <c r="J322" i="7"/>
  <c r="K322" i="7"/>
  <c r="L322" i="7"/>
  <c r="M322" i="7"/>
  <c r="N322" i="7"/>
  <c r="P322" i="7"/>
  <c r="Q322" i="7"/>
  <c r="R322" i="7"/>
  <c r="S322" i="7"/>
  <c r="U322" i="7"/>
  <c r="V322" i="7"/>
  <c r="W322" i="7"/>
  <c r="X322" i="7"/>
  <c r="Y322" i="7"/>
  <c r="Z322" i="7"/>
  <c r="AA322" i="7"/>
  <c r="AC322" i="7"/>
  <c r="AE322" i="7"/>
  <c r="AI322" i="7"/>
  <c r="AO322" i="7"/>
  <c r="AP322" i="7"/>
  <c r="E3472" i="8"/>
  <c r="F3472" i="8"/>
  <c r="G3472" i="8"/>
  <c r="H3472" i="8"/>
  <c r="I3472" i="8"/>
  <c r="J3472" i="8"/>
  <c r="K3472" i="8"/>
  <c r="L3472" i="8"/>
  <c r="M3472" i="8"/>
  <c r="N3472" i="8"/>
  <c r="O3472" i="8"/>
  <c r="P3472" i="8"/>
  <c r="Q3472" i="8"/>
  <c r="R3472" i="8"/>
  <c r="S3472" i="8"/>
  <c r="T3472" i="8"/>
  <c r="E3473" i="8"/>
  <c r="F3473" i="8"/>
  <c r="G3473" i="8"/>
  <c r="H3473" i="8"/>
  <c r="I3473" i="8"/>
  <c r="J3473" i="8"/>
  <c r="K3473" i="8"/>
  <c r="L3473" i="8"/>
  <c r="M3473" i="8"/>
  <c r="N3473" i="8"/>
  <c r="O3473" i="8"/>
  <c r="P3473" i="8"/>
  <c r="Q3473" i="8"/>
  <c r="R3473" i="8"/>
  <c r="S3473" i="8"/>
  <c r="T3473" i="8"/>
  <c r="E3474" i="8"/>
  <c r="F3474" i="8"/>
  <c r="G3474" i="8"/>
  <c r="H3474" i="8"/>
  <c r="I3474" i="8"/>
  <c r="J3474" i="8"/>
  <c r="K3474" i="8"/>
  <c r="L3474" i="8"/>
  <c r="M3474" i="8"/>
  <c r="N3474" i="8"/>
  <c r="O3474" i="8"/>
  <c r="P3474" i="8"/>
  <c r="Q3474" i="8"/>
  <c r="R3474" i="8"/>
  <c r="S3474" i="8"/>
  <c r="T3474" i="8"/>
  <c r="E3475" i="8"/>
  <c r="F3475" i="8"/>
  <c r="G3475" i="8"/>
  <c r="H3475" i="8"/>
  <c r="I3475" i="8"/>
  <c r="J3475" i="8"/>
  <c r="K3475" i="8"/>
  <c r="L3475" i="8"/>
  <c r="M3475" i="8"/>
  <c r="N3475" i="8"/>
  <c r="O3475" i="8"/>
  <c r="P3475" i="8"/>
  <c r="Q3475" i="8"/>
  <c r="R3475" i="8"/>
  <c r="S3475" i="8"/>
  <c r="T3475" i="8"/>
  <c r="E3476" i="8"/>
  <c r="F3476" i="8"/>
  <c r="G3476" i="8"/>
  <c r="H3476" i="8"/>
  <c r="I3476" i="8"/>
  <c r="J3476" i="8"/>
  <c r="K3476" i="8"/>
  <c r="L3476" i="8"/>
  <c r="M3476" i="8"/>
  <c r="N3476" i="8"/>
  <c r="O3476" i="8"/>
  <c r="P3476" i="8"/>
  <c r="Q3476" i="8"/>
  <c r="R3476" i="8"/>
  <c r="S3476" i="8"/>
  <c r="T3476" i="8"/>
  <c r="E3477" i="8"/>
  <c r="F3477" i="8"/>
  <c r="G3477" i="8"/>
  <c r="H3477" i="8"/>
  <c r="I3477" i="8"/>
  <c r="J3477" i="8"/>
  <c r="K3477" i="8"/>
  <c r="L3477" i="8"/>
  <c r="M3477" i="8"/>
  <c r="N3477" i="8"/>
  <c r="O3477" i="8"/>
  <c r="P3477" i="8"/>
  <c r="Q3477" i="8"/>
  <c r="R3477" i="8"/>
  <c r="S3477" i="8"/>
  <c r="T3477" i="8"/>
  <c r="E3478" i="8"/>
  <c r="F3478" i="8"/>
  <c r="G3478" i="8"/>
  <c r="H3478" i="8"/>
  <c r="I3478" i="8"/>
  <c r="J3478" i="8"/>
  <c r="K3478" i="8"/>
  <c r="L3478" i="8"/>
  <c r="M3478" i="8"/>
  <c r="N3478" i="8"/>
  <c r="O3478" i="8"/>
  <c r="P3478" i="8"/>
  <c r="Q3478" i="8"/>
  <c r="R3478" i="8"/>
  <c r="S3478" i="8"/>
  <c r="T3478" i="8"/>
  <c r="E3479" i="8"/>
  <c r="F3479" i="8"/>
  <c r="G3479" i="8"/>
  <c r="H3479" i="8"/>
  <c r="I3479" i="8"/>
  <c r="J3479" i="8"/>
  <c r="K3479" i="8"/>
  <c r="L3479" i="8"/>
  <c r="M3479" i="8"/>
  <c r="N3479" i="8"/>
  <c r="O3479" i="8"/>
  <c r="P3479" i="8"/>
  <c r="Q3479" i="8"/>
  <c r="R3479" i="8"/>
  <c r="S3479" i="8"/>
  <c r="T3479" i="8"/>
  <c r="E3480" i="8"/>
  <c r="F3480" i="8"/>
  <c r="G3480" i="8"/>
  <c r="H3480" i="8"/>
  <c r="I3480" i="8"/>
  <c r="J3480" i="8"/>
  <c r="K3480" i="8"/>
  <c r="L3480" i="8"/>
  <c r="M3480" i="8"/>
  <c r="N3480" i="8"/>
  <c r="O3480" i="8"/>
  <c r="P3480" i="8"/>
  <c r="Q3480" i="8"/>
  <c r="R3480" i="8"/>
  <c r="S3480" i="8"/>
  <c r="T3480" i="8"/>
  <c r="E3481" i="8"/>
  <c r="F3481" i="8"/>
  <c r="G3481" i="8"/>
  <c r="H3481" i="8"/>
  <c r="I3481" i="8"/>
  <c r="J3481" i="8"/>
  <c r="K3481" i="8"/>
  <c r="L3481" i="8"/>
  <c r="M3481" i="8"/>
  <c r="N3481" i="8"/>
  <c r="O3481" i="8"/>
  <c r="P3481" i="8"/>
  <c r="Q3481" i="8"/>
  <c r="R3481" i="8"/>
  <c r="S3481" i="8"/>
  <c r="T3481" i="8"/>
  <c r="E3482" i="8"/>
  <c r="F3482" i="8"/>
  <c r="G3482" i="8"/>
  <c r="H3482" i="8"/>
  <c r="I3482" i="8"/>
  <c r="J3482" i="8"/>
  <c r="K3482" i="8"/>
  <c r="L3482" i="8"/>
  <c r="M3482" i="8"/>
  <c r="N3482" i="8"/>
  <c r="O3482" i="8"/>
  <c r="P3482" i="8"/>
  <c r="Q3482" i="8"/>
  <c r="R3482" i="8"/>
  <c r="S3482" i="8"/>
  <c r="T3482" i="8"/>
  <c r="AJ321" i="7"/>
  <c r="T321" i="7"/>
  <c r="AB321" i="7"/>
  <c r="AH321" i="7"/>
  <c r="AL321" i="7"/>
  <c r="AQ321" i="7"/>
  <c r="E321" i="7"/>
  <c r="F321" i="7"/>
  <c r="G321" i="7"/>
  <c r="H321" i="7"/>
  <c r="I321" i="7"/>
  <c r="J321" i="7"/>
  <c r="K321" i="7"/>
  <c r="L321" i="7"/>
  <c r="M321" i="7"/>
  <c r="N321" i="7"/>
  <c r="P321" i="7"/>
  <c r="Q321" i="7"/>
  <c r="R321" i="7"/>
  <c r="S321" i="7"/>
  <c r="U321" i="7"/>
  <c r="V321" i="7"/>
  <c r="W321" i="7"/>
  <c r="X321" i="7"/>
  <c r="Y321" i="7"/>
  <c r="Z321" i="7"/>
  <c r="AA321" i="7"/>
  <c r="AC321" i="7"/>
  <c r="AE321" i="7"/>
  <c r="AI321" i="7"/>
  <c r="AO321" i="7"/>
  <c r="AP321" i="7"/>
  <c r="E3461" i="8"/>
  <c r="F3461" i="8"/>
  <c r="G3461" i="8"/>
  <c r="H3461" i="8"/>
  <c r="I3461" i="8"/>
  <c r="J3461" i="8"/>
  <c r="K3461" i="8"/>
  <c r="L3461" i="8"/>
  <c r="M3461" i="8"/>
  <c r="N3461" i="8"/>
  <c r="O3461" i="8"/>
  <c r="P3461" i="8"/>
  <c r="Q3461" i="8"/>
  <c r="R3461" i="8"/>
  <c r="S3461" i="8"/>
  <c r="T3461" i="8"/>
  <c r="E3462" i="8"/>
  <c r="F3462" i="8"/>
  <c r="G3462" i="8"/>
  <c r="H3462" i="8"/>
  <c r="I3462" i="8"/>
  <c r="J3462" i="8"/>
  <c r="K3462" i="8"/>
  <c r="L3462" i="8"/>
  <c r="M3462" i="8"/>
  <c r="N3462" i="8"/>
  <c r="O3462" i="8"/>
  <c r="P3462" i="8"/>
  <c r="Q3462" i="8"/>
  <c r="R3462" i="8"/>
  <c r="S3462" i="8"/>
  <c r="T3462" i="8"/>
  <c r="E3463" i="8"/>
  <c r="F3463" i="8"/>
  <c r="G3463" i="8"/>
  <c r="H3463" i="8"/>
  <c r="I3463" i="8"/>
  <c r="J3463" i="8"/>
  <c r="K3463" i="8"/>
  <c r="L3463" i="8"/>
  <c r="M3463" i="8"/>
  <c r="N3463" i="8"/>
  <c r="O3463" i="8"/>
  <c r="P3463" i="8"/>
  <c r="Q3463" i="8"/>
  <c r="R3463" i="8"/>
  <c r="S3463" i="8"/>
  <c r="T3463" i="8"/>
  <c r="E3464" i="8"/>
  <c r="F3464" i="8"/>
  <c r="G3464" i="8"/>
  <c r="H3464" i="8"/>
  <c r="I3464" i="8"/>
  <c r="J3464" i="8"/>
  <c r="K3464" i="8"/>
  <c r="L3464" i="8"/>
  <c r="M3464" i="8"/>
  <c r="N3464" i="8"/>
  <c r="O3464" i="8"/>
  <c r="P3464" i="8"/>
  <c r="Q3464" i="8"/>
  <c r="R3464" i="8"/>
  <c r="S3464" i="8"/>
  <c r="T3464" i="8"/>
  <c r="E3465" i="8"/>
  <c r="F3465" i="8"/>
  <c r="G3465" i="8"/>
  <c r="H3465" i="8"/>
  <c r="I3465" i="8"/>
  <c r="J3465" i="8"/>
  <c r="K3465" i="8"/>
  <c r="L3465" i="8"/>
  <c r="M3465" i="8"/>
  <c r="N3465" i="8"/>
  <c r="O3465" i="8"/>
  <c r="P3465" i="8"/>
  <c r="Q3465" i="8"/>
  <c r="R3465" i="8"/>
  <c r="S3465" i="8"/>
  <c r="T3465" i="8"/>
  <c r="E3466" i="8"/>
  <c r="F3466" i="8"/>
  <c r="G3466" i="8"/>
  <c r="H3466" i="8"/>
  <c r="I3466" i="8"/>
  <c r="J3466" i="8"/>
  <c r="K3466" i="8"/>
  <c r="L3466" i="8"/>
  <c r="M3466" i="8"/>
  <c r="N3466" i="8"/>
  <c r="O3466" i="8"/>
  <c r="P3466" i="8"/>
  <c r="Q3466" i="8"/>
  <c r="R3466" i="8"/>
  <c r="S3466" i="8"/>
  <c r="T3466" i="8"/>
  <c r="E3467" i="8"/>
  <c r="F3467" i="8"/>
  <c r="G3467" i="8"/>
  <c r="H3467" i="8"/>
  <c r="I3467" i="8"/>
  <c r="J3467" i="8"/>
  <c r="K3467" i="8"/>
  <c r="L3467" i="8"/>
  <c r="M3467" i="8"/>
  <c r="N3467" i="8"/>
  <c r="O3467" i="8"/>
  <c r="P3467" i="8"/>
  <c r="Q3467" i="8"/>
  <c r="R3467" i="8"/>
  <c r="S3467" i="8"/>
  <c r="T3467" i="8"/>
  <c r="E3468" i="8"/>
  <c r="F3468" i="8"/>
  <c r="G3468" i="8"/>
  <c r="H3468" i="8"/>
  <c r="I3468" i="8"/>
  <c r="J3468" i="8"/>
  <c r="K3468" i="8"/>
  <c r="L3468" i="8"/>
  <c r="M3468" i="8"/>
  <c r="N3468" i="8"/>
  <c r="O3468" i="8"/>
  <c r="P3468" i="8"/>
  <c r="Q3468" i="8"/>
  <c r="R3468" i="8"/>
  <c r="S3468" i="8"/>
  <c r="T3468" i="8"/>
  <c r="E3469" i="8"/>
  <c r="F3469" i="8"/>
  <c r="G3469" i="8"/>
  <c r="H3469" i="8"/>
  <c r="I3469" i="8"/>
  <c r="J3469" i="8"/>
  <c r="K3469" i="8"/>
  <c r="L3469" i="8"/>
  <c r="M3469" i="8"/>
  <c r="N3469" i="8"/>
  <c r="O3469" i="8"/>
  <c r="P3469" i="8"/>
  <c r="Q3469" i="8"/>
  <c r="R3469" i="8"/>
  <c r="S3469" i="8"/>
  <c r="T3469" i="8"/>
  <c r="E3470" i="8"/>
  <c r="F3470" i="8"/>
  <c r="G3470" i="8"/>
  <c r="H3470" i="8"/>
  <c r="I3470" i="8"/>
  <c r="J3470" i="8"/>
  <c r="K3470" i="8"/>
  <c r="L3470" i="8"/>
  <c r="M3470" i="8"/>
  <c r="N3470" i="8"/>
  <c r="O3470" i="8"/>
  <c r="P3470" i="8"/>
  <c r="Q3470" i="8"/>
  <c r="R3470" i="8"/>
  <c r="S3470" i="8"/>
  <c r="T3470" i="8"/>
  <c r="E3471" i="8"/>
  <c r="F3471" i="8"/>
  <c r="G3471" i="8"/>
  <c r="H3471" i="8"/>
  <c r="I3471" i="8"/>
  <c r="J3471" i="8"/>
  <c r="K3471" i="8"/>
  <c r="L3471" i="8"/>
  <c r="M3471" i="8"/>
  <c r="N3471" i="8"/>
  <c r="O3471" i="8"/>
  <c r="P3471" i="8"/>
  <c r="Q3471" i="8"/>
  <c r="R3471" i="8"/>
  <c r="S3471" i="8"/>
  <c r="T3471" i="8"/>
  <c r="T320" i="7"/>
  <c r="AQ320" i="7"/>
  <c r="AB320" i="7"/>
  <c r="AH320" i="7"/>
  <c r="AJ320" i="7"/>
  <c r="AL320" i="7"/>
  <c r="E320" i="7"/>
  <c r="F320" i="7"/>
  <c r="G320" i="7"/>
  <c r="H320" i="7"/>
  <c r="I320" i="7"/>
  <c r="J320" i="7"/>
  <c r="K320" i="7"/>
  <c r="L320" i="7"/>
  <c r="M320" i="7"/>
  <c r="N320" i="7"/>
  <c r="P320" i="7"/>
  <c r="Q320" i="7"/>
  <c r="R320" i="7"/>
  <c r="S320" i="7"/>
  <c r="U320" i="7"/>
  <c r="V320" i="7"/>
  <c r="W320" i="7"/>
  <c r="X320" i="7"/>
  <c r="Y320" i="7"/>
  <c r="Z320" i="7"/>
  <c r="AA320" i="7"/>
  <c r="AC320" i="7"/>
  <c r="AE320" i="7"/>
  <c r="AI320" i="7"/>
  <c r="AO320" i="7"/>
  <c r="AP320" i="7"/>
  <c r="E3450" i="8"/>
  <c r="F3450" i="8"/>
  <c r="G3450" i="8"/>
  <c r="H3450" i="8"/>
  <c r="I3450" i="8"/>
  <c r="J3450" i="8"/>
  <c r="K3450" i="8"/>
  <c r="L3450" i="8"/>
  <c r="M3450" i="8"/>
  <c r="N3450" i="8"/>
  <c r="O3450" i="8"/>
  <c r="P3450" i="8"/>
  <c r="Q3450" i="8"/>
  <c r="R3450" i="8"/>
  <c r="S3450" i="8"/>
  <c r="T3450" i="8"/>
  <c r="E3451" i="8"/>
  <c r="F3451" i="8"/>
  <c r="G3451" i="8"/>
  <c r="H3451" i="8"/>
  <c r="I3451" i="8"/>
  <c r="J3451" i="8"/>
  <c r="K3451" i="8"/>
  <c r="L3451" i="8"/>
  <c r="M3451" i="8"/>
  <c r="N3451" i="8"/>
  <c r="O3451" i="8"/>
  <c r="P3451" i="8"/>
  <c r="Q3451" i="8"/>
  <c r="R3451" i="8"/>
  <c r="S3451" i="8"/>
  <c r="T3451" i="8"/>
  <c r="E3452" i="8"/>
  <c r="F3452" i="8"/>
  <c r="G3452" i="8"/>
  <c r="H3452" i="8"/>
  <c r="I3452" i="8"/>
  <c r="J3452" i="8"/>
  <c r="K3452" i="8"/>
  <c r="L3452" i="8"/>
  <c r="M3452" i="8"/>
  <c r="N3452" i="8"/>
  <c r="O3452" i="8"/>
  <c r="P3452" i="8"/>
  <c r="Q3452" i="8"/>
  <c r="R3452" i="8"/>
  <c r="S3452" i="8"/>
  <c r="T3452" i="8"/>
  <c r="E3453" i="8"/>
  <c r="F3453" i="8"/>
  <c r="G3453" i="8"/>
  <c r="H3453" i="8"/>
  <c r="I3453" i="8"/>
  <c r="J3453" i="8"/>
  <c r="K3453" i="8"/>
  <c r="L3453" i="8"/>
  <c r="M3453" i="8"/>
  <c r="N3453" i="8"/>
  <c r="O3453" i="8"/>
  <c r="P3453" i="8"/>
  <c r="Q3453" i="8"/>
  <c r="R3453" i="8"/>
  <c r="S3453" i="8"/>
  <c r="T3453" i="8"/>
  <c r="E3454" i="8"/>
  <c r="F3454" i="8"/>
  <c r="G3454" i="8"/>
  <c r="H3454" i="8"/>
  <c r="I3454" i="8"/>
  <c r="J3454" i="8"/>
  <c r="K3454" i="8"/>
  <c r="L3454" i="8"/>
  <c r="M3454" i="8"/>
  <c r="N3454" i="8"/>
  <c r="O3454" i="8"/>
  <c r="P3454" i="8"/>
  <c r="Q3454" i="8"/>
  <c r="R3454" i="8"/>
  <c r="S3454" i="8"/>
  <c r="T3454" i="8"/>
  <c r="E3455" i="8"/>
  <c r="F3455" i="8"/>
  <c r="G3455" i="8"/>
  <c r="H3455" i="8"/>
  <c r="I3455" i="8"/>
  <c r="J3455" i="8"/>
  <c r="K3455" i="8"/>
  <c r="L3455" i="8"/>
  <c r="M3455" i="8"/>
  <c r="N3455" i="8"/>
  <c r="O3455" i="8"/>
  <c r="P3455" i="8"/>
  <c r="Q3455" i="8"/>
  <c r="R3455" i="8"/>
  <c r="S3455" i="8"/>
  <c r="T3455" i="8"/>
  <c r="E3456" i="8"/>
  <c r="F3456" i="8"/>
  <c r="G3456" i="8"/>
  <c r="H3456" i="8"/>
  <c r="I3456" i="8"/>
  <c r="J3456" i="8"/>
  <c r="K3456" i="8"/>
  <c r="L3456" i="8"/>
  <c r="M3456" i="8"/>
  <c r="N3456" i="8"/>
  <c r="O3456" i="8"/>
  <c r="P3456" i="8"/>
  <c r="Q3456" i="8"/>
  <c r="R3456" i="8"/>
  <c r="S3456" i="8"/>
  <c r="T3456" i="8"/>
  <c r="E3457" i="8"/>
  <c r="F3457" i="8"/>
  <c r="G3457" i="8"/>
  <c r="H3457" i="8"/>
  <c r="I3457" i="8"/>
  <c r="J3457" i="8"/>
  <c r="K3457" i="8"/>
  <c r="L3457" i="8"/>
  <c r="M3457" i="8"/>
  <c r="N3457" i="8"/>
  <c r="O3457" i="8"/>
  <c r="P3457" i="8"/>
  <c r="Q3457" i="8"/>
  <c r="R3457" i="8"/>
  <c r="S3457" i="8"/>
  <c r="T3457" i="8"/>
  <c r="E3458" i="8"/>
  <c r="F3458" i="8"/>
  <c r="G3458" i="8"/>
  <c r="H3458" i="8"/>
  <c r="I3458" i="8"/>
  <c r="J3458" i="8"/>
  <c r="K3458" i="8"/>
  <c r="L3458" i="8"/>
  <c r="M3458" i="8"/>
  <c r="N3458" i="8"/>
  <c r="O3458" i="8"/>
  <c r="P3458" i="8"/>
  <c r="Q3458" i="8"/>
  <c r="R3458" i="8"/>
  <c r="S3458" i="8"/>
  <c r="T3458" i="8"/>
  <c r="E3459" i="8"/>
  <c r="F3459" i="8"/>
  <c r="G3459" i="8"/>
  <c r="H3459" i="8"/>
  <c r="I3459" i="8"/>
  <c r="J3459" i="8"/>
  <c r="K3459" i="8"/>
  <c r="L3459" i="8"/>
  <c r="M3459" i="8"/>
  <c r="N3459" i="8"/>
  <c r="O3459" i="8"/>
  <c r="P3459" i="8"/>
  <c r="Q3459" i="8"/>
  <c r="R3459" i="8"/>
  <c r="S3459" i="8"/>
  <c r="T3459" i="8"/>
  <c r="E3460" i="8"/>
  <c r="F3460" i="8"/>
  <c r="G3460" i="8"/>
  <c r="H3460" i="8"/>
  <c r="I3460" i="8"/>
  <c r="J3460" i="8"/>
  <c r="K3460" i="8"/>
  <c r="L3460" i="8"/>
  <c r="M3460" i="8"/>
  <c r="N3460" i="8"/>
  <c r="O3460" i="8"/>
  <c r="P3460" i="8"/>
  <c r="Q3460" i="8"/>
  <c r="R3460" i="8"/>
  <c r="S3460" i="8"/>
  <c r="T3460" i="8"/>
  <c r="AL319" i="7"/>
  <c r="AQ319" i="7"/>
  <c r="AH319" i="7"/>
  <c r="AB319" i="7"/>
  <c r="AJ319" i="7"/>
  <c r="T319" i="7"/>
  <c r="E319" i="7"/>
  <c r="F319" i="7"/>
  <c r="G319" i="7"/>
  <c r="H319" i="7"/>
  <c r="I319" i="7"/>
  <c r="J319" i="7"/>
  <c r="K319" i="7"/>
  <c r="L319" i="7"/>
  <c r="M319" i="7"/>
  <c r="N319" i="7"/>
  <c r="P319" i="7"/>
  <c r="Q319" i="7"/>
  <c r="R319" i="7"/>
  <c r="S319" i="7"/>
  <c r="U319" i="7"/>
  <c r="V319" i="7"/>
  <c r="W319" i="7"/>
  <c r="X319" i="7"/>
  <c r="Y319" i="7"/>
  <c r="Z319" i="7"/>
  <c r="AA319" i="7"/>
  <c r="AC319" i="7"/>
  <c r="AE319" i="7"/>
  <c r="AI319" i="7"/>
  <c r="AO319" i="7"/>
  <c r="AP319" i="7"/>
  <c r="E3439" i="8"/>
  <c r="F3439" i="8"/>
  <c r="G3439" i="8"/>
  <c r="H3439" i="8"/>
  <c r="I3439" i="8"/>
  <c r="J3439" i="8"/>
  <c r="K3439" i="8"/>
  <c r="L3439" i="8"/>
  <c r="M3439" i="8"/>
  <c r="N3439" i="8"/>
  <c r="O3439" i="8"/>
  <c r="P3439" i="8"/>
  <c r="Q3439" i="8"/>
  <c r="R3439" i="8"/>
  <c r="S3439" i="8"/>
  <c r="T3439" i="8"/>
  <c r="E3440" i="8"/>
  <c r="F3440" i="8"/>
  <c r="G3440" i="8"/>
  <c r="H3440" i="8"/>
  <c r="I3440" i="8"/>
  <c r="J3440" i="8"/>
  <c r="K3440" i="8"/>
  <c r="L3440" i="8"/>
  <c r="M3440" i="8"/>
  <c r="N3440" i="8"/>
  <c r="O3440" i="8"/>
  <c r="P3440" i="8"/>
  <c r="Q3440" i="8"/>
  <c r="R3440" i="8"/>
  <c r="S3440" i="8"/>
  <c r="T3440" i="8"/>
  <c r="E3441" i="8"/>
  <c r="F3441" i="8"/>
  <c r="G3441" i="8"/>
  <c r="H3441" i="8"/>
  <c r="I3441" i="8"/>
  <c r="J3441" i="8"/>
  <c r="K3441" i="8"/>
  <c r="L3441" i="8"/>
  <c r="M3441" i="8"/>
  <c r="N3441" i="8"/>
  <c r="O3441" i="8"/>
  <c r="P3441" i="8"/>
  <c r="Q3441" i="8"/>
  <c r="R3441" i="8"/>
  <c r="S3441" i="8"/>
  <c r="T3441" i="8"/>
  <c r="E3442" i="8"/>
  <c r="F3442" i="8"/>
  <c r="G3442" i="8"/>
  <c r="H3442" i="8"/>
  <c r="I3442" i="8"/>
  <c r="J3442" i="8"/>
  <c r="K3442" i="8"/>
  <c r="L3442" i="8"/>
  <c r="M3442" i="8"/>
  <c r="N3442" i="8"/>
  <c r="O3442" i="8"/>
  <c r="P3442" i="8"/>
  <c r="Q3442" i="8"/>
  <c r="R3442" i="8"/>
  <c r="S3442" i="8"/>
  <c r="T3442" i="8"/>
  <c r="E3443" i="8"/>
  <c r="F3443" i="8"/>
  <c r="G3443" i="8"/>
  <c r="H3443" i="8"/>
  <c r="I3443" i="8"/>
  <c r="J3443" i="8"/>
  <c r="K3443" i="8"/>
  <c r="L3443" i="8"/>
  <c r="M3443" i="8"/>
  <c r="N3443" i="8"/>
  <c r="O3443" i="8"/>
  <c r="P3443" i="8"/>
  <c r="Q3443" i="8"/>
  <c r="R3443" i="8"/>
  <c r="S3443" i="8"/>
  <c r="T3443" i="8"/>
  <c r="E3444" i="8"/>
  <c r="F3444" i="8"/>
  <c r="G3444" i="8"/>
  <c r="H3444" i="8"/>
  <c r="I3444" i="8"/>
  <c r="J3444" i="8"/>
  <c r="K3444" i="8"/>
  <c r="L3444" i="8"/>
  <c r="M3444" i="8"/>
  <c r="N3444" i="8"/>
  <c r="O3444" i="8"/>
  <c r="P3444" i="8"/>
  <c r="Q3444" i="8"/>
  <c r="R3444" i="8"/>
  <c r="S3444" i="8"/>
  <c r="T3444" i="8"/>
  <c r="E3445" i="8"/>
  <c r="F3445" i="8"/>
  <c r="G3445" i="8"/>
  <c r="H3445" i="8"/>
  <c r="I3445" i="8"/>
  <c r="J3445" i="8"/>
  <c r="K3445" i="8"/>
  <c r="L3445" i="8"/>
  <c r="M3445" i="8"/>
  <c r="N3445" i="8"/>
  <c r="O3445" i="8"/>
  <c r="P3445" i="8"/>
  <c r="Q3445" i="8"/>
  <c r="R3445" i="8"/>
  <c r="S3445" i="8"/>
  <c r="T3445" i="8"/>
  <c r="E3446" i="8"/>
  <c r="F3446" i="8"/>
  <c r="G3446" i="8"/>
  <c r="H3446" i="8"/>
  <c r="I3446" i="8"/>
  <c r="J3446" i="8"/>
  <c r="K3446" i="8"/>
  <c r="L3446" i="8"/>
  <c r="M3446" i="8"/>
  <c r="N3446" i="8"/>
  <c r="O3446" i="8"/>
  <c r="P3446" i="8"/>
  <c r="Q3446" i="8"/>
  <c r="R3446" i="8"/>
  <c r="S3446" i="8"/>
  <c r="T3446" i="8"/>
  <c r="E3447" i="8"/>
  <c r="F3447" i="8"/>
  <c r="G3447" i="8"/>
  <c r="H3447" i="8"/>
  <c r="I3447" i="8"/>
  <c r="J3447" i="8"/>
  <c r="K3447" i="8"/>
  <c r="L3447" i="8"/>
  <c r="M3447" i="8"/>
  <c r="N3447" i="8"/>
  <c r="O3447" i="8"/>
  <c r="P3447" i="8"/>
  <c r="Q3447" i="8"/>
  <c r="R3447" i="8"/>
  <c r="S3447" i="8"/>
  <c r="T3447" i="8"/>
  <c r="E3448" i="8"/>
  <c r="F3448" i="8"/>
  <c r="G3448" i="8"/>
  <c r="H3448" i="8"/>
  <c r="I3448" i="8"/>
  <c r="J3448" i="8"/>
  <c r="K3448" i="8"/>
  <c r="L3448" i="8"/>
  <c r="M3448" i="8"/>
  <c r="N3448" i="8"/>
  <c r="O3448" i="8"/>
  <c r="P3448" i="8"/>
  <c r="Q3448" i="8"/>
  <c r="R3448" i="8"/>
  <c r="S3448" i="8"/>
  <c r="T3448" i="8"/>
  <c r="E3449" i="8"/>
  <c r="F3449" i="8"/>
  <c r="G3449" i="8"/>
  <c r="H3449" i="8"/>
  <c r="I3449" i="8"/>
  <c r="J3449" i="8"/>
  <c r="K3449" i="8"/>
  <c r="L3449" i="8"/>
  <c r="M3449" i="8"/>
  <c r="N3449" i="8"/>
  <c r="O3449" i="8"/>
  <c r="P3449" i="8"/>
  <c r="Q3449" i="8"/>
  <c r="R3449" i="8"/>
  <c r="S3449" i="8"/>
  <c r="T3449" i="8"/>
  <c r="AJ318" i="7"/>
  <c r="T318" i="7"/>
  <c r="AB318" i="7"/>
  <c r="AL318" i="7"/>
  <c r="AH318" i="7"/>
  <c r="AQ318" i="7"/>
  <c r="E318" i="7"/>
  <c r="F318" i="7"/>
  <c r="G318" i="7"/>
  <c r="H318" i="7"/>
  <c r="I318" i="7"/>
  <c r="J318" i="7"/>
  <c r="K318" i="7"/>
  <c r="L318" i="7"/>
  <c r="M318" i="7"/>
  <c r="N318" i="7"/>
  <c r="P318" i="7"/>
  <c r="Q318" i="7"/>
  <c r="R318" i="7"/>
  <c r="S318" i="7"/>
  <c r="U318" i="7"/>
  <c r="V318" i="7"/>
  <c r="W318" i="7"/>
  <c r="X318" i="7"/>
  <c r="Y318" i="7"/>
  <c r="Z318" i="7"/>
  <c r="AA318" i="7"/>
  <c r="AC318" i="7"/>
  <c r="AE318" i="7"/>
  <c r="AI318" i="7"/>
  <c r="AO318" i="7"/>
  <c r="AP318" i="7"/>
  <c r="E3428" i="8"/>
  <c r="F3428" i="8"/>
  <c r="G3428" i="8"/>
  <c r="H3428" i="8"/>
  <c r="I3428" i="8"/>
  <c r="J3428" i="8"/>
  <c r="K3428" i="8"/>
  <c r="L3428" i="8"/>
  <c r="M3428" i="8"/>
  <c r="N3428" i="8"/>
  <c r="O3428" i="8"/>
  <c r="P3428" i="8"/>
  <c r="Q3428" i="8"/>
  <c r="R3428" i="8"/>
  <c r="S3428" i="8"/>
  <c r="T3428" i="8"/>
  <c r="E3429" i="8"/>
  <c r="F3429" i="8"/>
  <c r="G3429" i="8"/>
  <c r="H3429" i="8"/>
  <c r="I3429" i="8"/>
  <c r="J3429" i="8"/>
  <c r="K3429" i="8"/>
  <c r="L3429" i="8"/>
  <c r="M3429" i="8"/>
  <c r="N3429" i="8"/>
  <c r="O3429" i="8"/>
  <c r="P3429" i="8"/>
  <c r="Q3429" i="8"/>
  <c r="R3429" i="8"/>
  <c r="S3429" i="8"/>
  <c r="T3429" i="8"/>
  <c r="E3430" i="8"/>
  <c r="F3430" i="8"/>
  <c r="G3430" i="8"/>
  <c r="H3430" i="8"/>
  <c r="I3430" i="8"/>
  <c r="J3430" i="8"/>
  <c r="K3430" i="8"/>
  <c r="L3430" i="8"/>
  <c r="M3430" i="8"/>
  <c r="N3430" i="8"/>
  <c r="O3430" i="8"/>
  <c r="P3430" i="8"/>
  <c r="Q3430" i="8"/>
  <c r="R3430" i="8"/>
  <c r="S3430" i="8"/>
  <c r="T3430" i="8"/>
  <c r="E3431" i="8"/>
  <c r="F3431" i="8"/>
  <c r="G3431" i="8"/>
  <c r="H3431" i="8"/>
  <c r="I3431" i="8"/>
  <c r="J3431" i="8"/>
  <c r="K3431" i="8"/>
  <c r="L3431" i="8"/>
  <c r="M3431" i="8"/>
  <c r="N3431" i="8"/>
  <c r="O3431" i="8"/>
  <c r="P3431" i="8"/>
  <c r="Q3431" i="8"/>
  <c r="R3431" i="8"/>
  <c r="S3431" i="8"/>
  <c r="T3431" i="8"/>
  <c r="E3432" i="8"/>
  <c r="F3432" i="8"/>
  <c r="G3432" i="8"/>
  <c r="H3432" i="8"/>
  <c r="I3432" i="8"/>
  <c r="J3432" i="8"/>
  <c r="K3432" i="8"/>
  <c r="L3432" i="8"/>
  <c r="M3432" i="8"/>
  <c r="N3432" i="8"/>
  <c r="O3432" i="8"/>
  <c r="P3432" i="8"/>
  <c r="Q3432" i="8"/>
  <c r="R3432" i="8"/>
  <c r="S3432" i="8"/>
  <c r="T3432" i="8"/>
  <c r="E3433" i="8"/>
  <c r="F3433" i="8"/>
  <c r="G3433" i="8"/>
  <c r="H3433" i="8"/>
  <c r="I3433" i="8"/>
  <c r="J3433" i="8"/>
  <c r="K3433" i="8"/>
  <c r="L3433" i="8"/>
  <c r="M3433" i="8"/>
  <c r="N3433" i="8"/>
  <c r="O3433" i="8"/>
  <c r="P3433" i="8"/>
  <c r="Q3433" i="8"/>
  <c r="R3433" i="8"/>
  <c r="S3433" i="8"/>
  <c r="T3433" i="8"/>
  <c r="E3434" i="8"/>
  <c r="F3434" i="8"/>
  <c r="G3434" i="8"/>
  <c r="H3434" i="8"/>
  <c r="I3434" i="8"/>
  <c r="J3434" i="8"/>
  <c r="K3434" i="8"/>
  <c r="L3434" i="8"/>
  <c r="M3434" i="8"/>
  <c r="N3434" i="8"/>
  <c r="O3434" i="8"/>
  <c r="P3434" i="8"/>
  <c r="Q3434" i="8"/>
  <c r="R3434" i="8"/>
  <c r="S3434" i="8"/>
  <c r="T3434" i="8"/>
  <c r="E3435" i="8"/>
  <c r="F3435" i="8"/>
  <c r="G3435" i="8"/>
  <c r="H3435" i="8"/>
  <c r="I3435" i="8"/>
  <c r="J3435" i="8"/>
  <c r="K3435" i="8"/>
  <c r="L3435" i="8"/>
  <c r="M3435" i="8"/>
  <c r="N3435" i="8"/>
  <c r="O3435" i="8"/>
  <c r="P3435" i="8"/>
  <c r="Q3435" i="8"/>
  <c r="R3435" i="8"/>
  <c r="S3435" i="8"/>
  <c r="T3435" i="8"/>
  <c r="E3436" i="8"/>
  <c r="F3436" i="8"/>
  <c r="G3436" i="8"/>
  <c r="H3436" i="8"/>
  <c r="I3436" i="8"/>
  <c r="J3436" i="8"/>
  <c r="K3436" i="8"/>
  <c r="L3436" i="8"/>
  <c r="M3436" i="8"/>
  <c r="N3436" i="8"/>
  <c r="O3436" i="8"/>
  <c r="P3436" i="8"/>
  <c r="Q3436" i="8"/>
  <c r="R3436" i="8"/>
  <c r="S3436" i="8"/>
  <c r="T3436" i="8"/>
  <c r="E3437" i="8"/>
  <c r="F3437" i="8"/>
  <c r="G3437" i="8"/>
  <c r="H3437" i="8"/>
  <c r="I3437" i="8"/>
  <c r="J3437" i="8"/>
  <c r="K3437" i="8"/>
  <c r="L3437" i="8"/>
  <c r="M3437" i="8"/>
  <c r="N3437" i="8"/>
  <c r="O3437" i="8"/>
  <c r="P3437" i="8"/>
  <c r="Q3437" i="8"/>
  <c r="R3437" i="8"/>
  <c r="S3437" i="8"/>
  <c r="T3437" i="8"/>
  <c r="E3438" i="8"/>
  <c r="F3438" i="8"/>
  <c r="G3438" i="8"/>
  <c r="H3438" i="8"/>
  <c r="I3438" i="8"/>
  <c r="J3438" i="8"/>
  <c r="K3438" i="8"/>
  <c r="L3438" i="8"/>
  <c r="M3438" i="8"/>
  <c r="N3438" i="8"/>
  <c r="O3438" i="8"/>
  <c r="P3438" i="8"/>
  <c r="Q3438" i="8"/>
  <c r="R3438" i="8"/>
  <c r="S3438" i="8"/>
  <c r="T3438" i="8"/>
  <c r="AJ317" i="7"/>
  <c r="AH317" i="7"/>
  <c r="AB317" i="7"/>
  <c r="T317" i="7"/>
  <c r="AQ317" i="7"/>
  <c r="AL317" i="7"/>
  <c r="E317" i="7"/>
  <c r="F317" i="7"/>
  <c r="G317" i="7"/>
  <c r="H317" i="7"/>
  <c r="I317" i="7"/>
  <c r="J317" i="7"/>
  <c r="K317" i="7"/>
  <c r="L317" i="7"/>
  <c r="M317" i="7"/>
  <c r="N317" i="7"/>
  <c r="P317" i="7"/>
  <c r="Q317" i="7"/>
  <c r="R317" i="7"/>
  <c r="S317" i="7"/>
  <c r="U317" i="7"/>
  <c r="V317" i="7"/>
  <c r="W317" i="7"/>
  <c r="X317" i="7"/>
  <c r="Y317" i="7"/>
  <c r="Z317" i="7"/>
  <c r="AA317" i="7"/>
  <c r="AC317" i="7"/>
  <c r="AE317" i="7"/>
  <c r="AI317" i="7"/>
  <c r="AO317" i="7"/>
  <c r="AP317" i="7"/>
  <c r="E3417" i="8"/>
  <c r="F3417" i="8"/>
  <c r="G3417" i="8"/>
  <c r="H3417" i="8"/>
  <c r="I3417" i="8"/>
  <c r="J3417" i="8"/>
  <c r="K3417" i="8"/>
  <c r="L3417" i="8"/>
  <c r="M3417" i="8"/>
  <c r="N3417" i="8"/>
  <c r="O3417" i="8"/>
  <c r="P3417" i="8"/>
  <c r="Q3417" i="8"/>
  <c r="R3417" i="8"/>
  <c r="S3417" i="8"/>
  <c r="T3417" i="8"/>
  <c r="E3418" i="8"/>
  <c r="F3418" i="8"/>
  <c r="G3418" i="8"/>
  <c r="H3418" i="8"/>
  <c r="I3418" i="8"/>
  <c r="J3418" i="8"/>
  <c r="K3418" i="8"/>
  <c r="L3418" i="8"/>
  <c r="M3418" i="8"/>
  <c r="N3418" i="8"/>
  <c r="O3418" i="8"/>
  <c r="P3418" i="8"/>
  <c r="Q3418" i="8"/>
  <c r="R3418" i="8"/>
  <c r="S3418" i="8"/>
  <c r="T3418" i="8"/>
  <c r="E3419" i="8"/>
  <c r="F3419" i="8"/>
  <c r="G3419" i="8"/>
  <c r="H3419" i="8"/>
  <c r="I3419" i="8"/>
  <c r="J3419" i="8"/>
  <c r="K3419" i="8"/>
  <c r="L3419" i="8"/>
  <c r="M3419" i="8"/>
  <c r="N3419" i="8"/>
  <c r="O3419" i="8"/>
  <c r="P3419" i="8"/>
  <c r="Q3419" i="8"/>
  <c r="R3419" i="8"/>
  <c r="S3419" i="8"/>
  <c r="T3419" i="8"/>
  <c r="E3420" i="8"/>
  <c r="F3420" i="8"/>
  <c r="G3420" i="8"/>
  <c r="H3420" i="8"/>
  <c r="I3420" i="8"/>
  <c r="J3420" i="8"/>
  <c r="K3420" i="8"/>
  <c r="L3420" i="8"/>
  <c r="M3420" i="8"/>
  <c r="N3420" i="8"/>
  <c r="O3420" i="8"/>
  <c r="P3420" i="8"/>
  <c r="Q3420" i="8"/>
  <c r="R3420" i="8"/>
  <c r="S3420" i="8"/>
  <c r="T3420" i="8"/>
  <c r="E3421" i="8"/>
  <c r="F3421" i="8"/>
  <c r="G3421" i="8"/>
  <c r="H3421" i="8"/>
  <c r="I3421" i="8"/>
  <c r="J3421" i="8"/>
  <c r="K3421" i="8"/>
  <c r="L3421" i="8"/>
  <c r="M3421" i="8"/>
  <c r="N3421" i="8"/>
  <c r="O3421" i="8"/>
  <c r="P3421" i="8"/>
  <c r="Q3421" i="8"/>
  <c r="R3421" i="8"/>
  <c r="S3421" i="8"/>
  <c r="T3421" i="8"/>
  <c r="E3422" i="8"/>
  <c r="F3422" i="8"/>
  <c r="G3422" i="8"/>
  <c r="H3422" i="8"/>
  <c r="I3422" i="8"/>
  <c r="J3422" i="8"/>
  <c r="K3422" i="8"/>
  <c r="L3422" i="8"/>
  <c r="M3422" i="8"/>
  <c r="N3422" i="8"/>
  <c r="O3422" i="8"/>
  <c r="P3422" i="8"/>
  <c r="Q3422" i="8"/>
  <c r="R3422" i="8"/>
  <c r="S3422" i="8"/>
  <c r="T3422" i="8"/>
  <c r="E3423" i="8"/>
  <c r="F3423" i="8"/>
  <c r="G3423" i="8"/>
  <c r="H3423" i="8"/>
  <c r="I3423" i="8"/>
  <c r="J3423" i="8"/>
  <c r="K3423" i="8"/>
  <c r="L3423" i="8"/>
  <c r="M3423" i="8"/>
  <c r="N3423" i="8"/>
  <c r="O3423" i="8"/>
  <c r="P3423" i="8"/>
  <c r="Q3423" i="8"/>
  <c r="R3423" i="8"/>
  <c r="S3423" i="8"/>
  <c r="T3423" i="8"/>
  <c r="E3424" i="8"/>
  <c r="F3424" i="8"/>
  <c r="G3424" i="8"/>
  <c r="H3424" i="8"/>
  <c r="I3424" i="8"/>
  <c r="J3424" i="8"/>
  <c r="K3424" i="8"/>
  <c r="L3424" i="8"/>
  <c r="M3424" i="8"/>
  <c r="N3424" i="8"/>
  <c r="O3424" i="8"/>
  <c r="P3424" i="8"/>
  <c r="Q3424" i="8"/>
  <c r="R3424" i="8"/>
  <c r="S3424" i="8"/>
  <c r="T3424" i="8"/>
  <c r="E3425" i="8"/>
  <c r="F3425" i="8"/>
  <c r="G3425" i="8"/>
  <c r="H3425" i="8"/>
  <c r="I3425" i="8"/>
  <c r="J3425" i="8"/>
  <c r="K3425" i="8"/>
  <c r="L3425" i="8"/>
  <c r="M3425" i="8"/>
  <c r="N3425" i="8"/>
  <c r="O3425" i="8"/>
  <c r="P3425" i="8"/>
  <c r="Q3425" i="8"/>
  <c r="R3425" i="8"/>
  <c r="S3425" i="8"/>
  <c r="T3425" i="8"/>
  <c r="E3426" i="8"/>
  <c r="F3426" i="8"/>
  <c r="G3426" i="8"/>
  <c r="H3426" i="8"/>
  <c r="I3426" i="8"/>
  <c r="J3426" i="8"/>
  <c r="K3426" i="8"/>
  <c r="L3426" i="8"/>
  <c r="M3426" i="8"/>
  <c r="N3426" i="8"/>
  <c r="O3426" i="8"/>
  <c r="P3426" i="8"/>
  <c r="Q3426" i="8"/>
  <c r="R3426" i="8"/>
  <c r="S3426" i="8"/>
  <c r="T3426" i="8"/>
  <c r="E3427" i="8"/>
  <c r="F3427" i="8"/>
  <c r="G3427" i="8"/>
  <c r="H3427" i="8"/>
  <c r="I3427" i="8"/>
  <c r="J3427" i="8"/>
  <c r="K3427" i="8"/>
  <c r="L3427" i="8"/>
  <c r="M3427" i="8"/>
  <c r="N3427" i="8"/>
  <c r="O3427" i="8"/>
  <c r="P3427" i="8"/>
  <c r="Q3427" i="8"/>
  <c r="R3427" i="8"/>
  <c r="S3427" i="8"/>
  <c r="T3427" i="8"/>
  <c r="T316" i="7"/>
  <c r="AQ316" i="7"/>
  <c r="AH316" i="7"/>
  <c r="AB316" i="7"/>
  <c r="AJ316" i="7"/>
  <c r="AL316" i="7"/>
  <c r="A3406" i="8"/>
  <c r="C316" i="7"/>
  <c r="AQ315" i="7"/>
  <c r="AL315" i="7"/>
  <c r="AJ315" i="7"/>
  <c r="AH315" i="7"/>
  <c r="AB315" i="7"/>
  <c r="T315" i="7"/>
  <c r="A3405" i="8"/>
  <c r="A3404" i="8"/>
  <c r="A3403" i="8"/>
  <c r="A3402" i="8"/>
  <c r="A3401" i="8"/>
  <c r="A3400" i="8"/>
  <c r="A3399" i="8"/>
  <c r="A3398" i="8"/>
  <c r="A3397" i="8"/>
  <c r="A3396" i="8"/>
  <c r="A3395" i="8"/>
  <c r="C315" i="7"/>
  <c r="AH314" i="7"/>
  <c r="AB314" i="7"/>
  <c r="T314" i="7"/>
  <c r="AL314" i="7"/>
  <c r="AQ314" i="7"/>
  <c r="AJ314" i="7"/>
  <c r="A3384" i="8"/>
  <c r="A3385" i="8"/>
  <c r="A3386" i="8"/>
  <c r="A3388" i="8"/>
  <c r="C314" i="7"/>
  <c r="A3391" i="8"/>
  <c r="A3392" i="8"/>
  <c r="A3393" i="8"/>
  <c r="A3394" i="8"/>
  <c r="A3389" i="8"/>
  <c r="A3387" i="8"/>
  <c r="A3390" i="8"/>
  <c r="AL313" i="7"/>
  <c r="AJ313" i="7"/>
  <c r="AH313" i="7"/>
  <c r="AB313" i="7"/>
  <c r="AQ313" i="7"/>
  <c r="T313" i="7"/>
  <c r="A3383" i="8"/>
  <c r="A3382" i="8"/>
  <c r="A3381" i="8"/>
  <c r="A3380" i="8"/>
  <c r="A3379" i="8"/>
  <c r="A3378" i="8"/>
  <c r="A3377" i="8"/>
  <c r="A3376" i="8"/>
  <c r="A3374" i="8"/>
  <c r="A3373" i="8"/>
  <c r="C313" i="7"/>
  <c r="A3375" i="8"/>
  <c r="AH312" i="7"/>
  <c r="AJ312" i="7"/>
  <c r="AL312" i="7"/>
  <c r="AQ312" i="7"/>
  <c r="AB312" i="7"/>
  <c r="T312" i="7"/>
  <c r="A3372" i="8"/>
  <c r="A3371" i="8"/>
  <c r="A3370" i="8"/>
  <c r="A3369" i="8"/>
  <c r="A3368" i="8"/>
  <c r="A3367" i="8"/>
  <c r="A3366" i="8"/>
  <c r="A3365" i="8"/>
  <c r="A3364" i="8"/>
  <c r="A3363" i="8"/>
  <c r="A3362" i="8"/>
  <c r="C312" i="7"/>
  <c r="AQ311" i="7"/>
  <c r="AJ311" i="7"/>
  <c r="AH311" i="7"/>
  <c r="AL311" i="7"/>
  <c r="T311" i="7"/>
  <c r="AB311" i="7"/>
  <c r="A3357" i="8"/>
  <c r="A3353" i="8"/>
  <c r="A3358" i="8"/>
  <c r="A3359" i="8"/>
  <c r="A3360" i="8"/>
  <c r="A3361" i="8"/>
  <c r="A3352" i="8"/>
  <c r="A3351" i="8"/>
  <c r="C311" i="7"/>
  <c r="A3355" i="8"/>
  <c r="A3356" i="8"/>
  <c r="A3354" i="8"/>
  <c r="AJ310" i="7"/>
  <c r="AB310" i="7"/>
  <c r="T310" i="7"/>
  <c r="AH310" i="7"/>
  <c r="AQ310" i="7"/>
  <c r="AL310" i="7"/>
  <c r="A3350" i="8"/>
  <c r="A3349" i="8"/>
  <c r="A3348" i="8"/>
  <c r="A3347" i="8"/>
  <c r="A3346" i="8"/>
  <c r="A3345" i="8"/>
  <c r="A3344" i="8"/>
  <c r="A3343" i="8"/>
  <c r="A3342" i="8"/>
  <c r="A3341" i="8"/>
  <c r="A3340" i="8"/>
  <c r="C310" i="7"/>
  <c r="AQ309" i="7"/>
  <c r="T309" i="7"/>
  <c r="AB309" i="7"/>
  <c r="AH309" i="7"/>
  <c r="AJ309" i="7"/>
  <c r="AL309" i="7"/>
  <c r="A3339" i="8"/>
  <c r="A3338" i="8"/>
  <c r="A3337" i="8"/>
  <c r="A3336" i="8"/>
  <c r="A3335" i="8"/>
  <c r="A3334" i="8"/>
  <c r="A3329" i="8"/>
  <c r="C309" i="7"/>
  <c r="A3333" i="8"/>
  <c r="A3331" i="8"/>
  <c r="A3330" i="8"/>
  <c r="A3332" i="8"/>
  <c r="AB308" i="7"/>
  <c r="AL308" i="7"/>
  <c r="AQ308" i="7"/>
  <c r="AJ308" i="7"/>
  <c r="T308" i="7"/>
  <c r="AH308" i="7"/>
  <c r="A3328" i="8"/>
  <c r="A3327" i="8"/>
  <c r="C308" i="7"/>
  <c r="A3324" i="8"/>
  <c r="A3325" i="8"/>
  <c r="A3326" i="8"/>
  <c r="A3320" i="8"/>
  <c r="A3321" i="8"/>
  <c r="A3322" i="8"/>
  <c r="A3319" i="8"/>
  <c r="A3318" i="8"/>
  <c r="A3323" i="8"/>
  <c r="AH307" i="7"/>
  <c r="AJ307" i="7"/>
  <c r="AQ307" i="7"/>
  <c r="AL307" i="7"/>
  <c r="T307" i="7"/>
  <c r="AB307" i="7"/>
  <c r="A3307" i="8"/>
  <c r="A3308" i="8"/>
  <c r="A3309" i="8"/>
  <c r="A3316" i="8"/>
  <c r="A3317" i="8"/>
  <c r="A3313" i="8"/>
  <c r="A3314" i="8"/>
  <c r="A3311" i="8"/>
  <c r="C307" i="7"/>
  <c r="A3310" i="8"/>
  <c r="A3315" i="8"/>
  <c r="A3312" i="8"/>
  <c r="AQ306" i="7"/>
  <c r="AL306" i="7"/>
  <c r="AJ306" i="7"/>
  <c r="AH306" i="7"/>
  <c r="AB306" i="7"/>
  <c r="T306" i="7"/>
  <c r="A3298" i="8"/>
  <c r="A3297" i="8"/>
  <c r="A3296" i="8"/>
  <c r="C306" i="7"/>
  <c r="A3306" i="8"/>
  <c r="A3305" i="8"/>
  <c r="A3304" i="8"/>
  <c r="A3303" i="8"/>
  <c r="A3302" i="8"/>
  <c r="A3301" i="8"/>
  <c r="A3300" i="8"/>
  <c r="A3299" i="8"/>
  <c r="T305" i="7"/>
  <c r="AB305" i="7"/>
  <c r="AH305" i="7"/>
  <c r="AJ305" i="7"/>
  <c r="AL305" i="7"/>
  <c r="AQ305" i="7"/>
  <c r="C305" i="7"/>
  <c r="A3285" i="8"/>
  <c r="A3288" i="8"/>
  <c r="A3289" i="8"/>
  <c r="A3295" i="8"/>
  <c r="A3290" i="8"/>
  <c r="A3292" i="8"/>
  <c r="A3291" i="8"/>
  <c r="A3287" i="8"/>
  <c r="A3293" i="8"/>
  <c r="A3294" i="8"/>
  <c r="A3286" i="8"/>
  <c r="AB304" i="7"/>
  <c r="AH304" i="7"/>
  <c r="AJ304" i="7"/>
  <c r="AL304" i="7"/>
  <c r="AQ304" i="7"/>
  <c r="T304" i="7"/>
  <c r="A3279" i="8"/>
  <c r="A3278" i="8"/>
  <c r="A3277" i="8"/>
  <c r="A3276" i="8"/>
  <c r="A3275" i="8"/>
  <c r="A3274" i="8"/>
  <c r="A3280" i="8"/>
  <c r="A3284" i="8"/>
  <c r="A3283" i="8"/>
  <c r="A3282" i="8"/>
  <c r="C304" i="7"/>
  <c r="A3281" i="8"/>
  <c r="AB303" i="7"/>
  <c r="T303" i="7"/>
  <c r="AQ303" i="7"/>
  <c r="AH303" i="7"/>
  <c r="AJ303" i="7"/>
  <c r="AL303" i="7"/>
  <c r="A3266" i="8"/>
  <c r="A3273" i="8"/>
  <c r="A3268" i="8"/>
  <c r="A3269" i="8"/>
  <c r="A3270" i="8"/>
  <c r="A3271" i="8"/>
  <c r="A3272" i="8"/>
  <c r="A3267" i="8"/>
  <c r="A3265" i="8"/>
  <c r="C303" i="7"/>
  <c r="A3264" i="8"/>
  <c r="A3263" i="8"/>
  <c r="AH302" i="7"/>
  <c r="AJ302" i="7"/>
  <c r="AL302" i="7"/>
  <c r="AQ302" i="7"/>
  <c r="T302" i="7"/>
  <c r="AB302" i="7"/>
  <c r="A3262" i="8"/>
  <c r="A3261" i="8"/>
  <c r="A3260" i="8"/>
  <c r="A3259" i="8"/>
  <c r="A3258" i="8"/>
  <c r="A3257" i="8"/>
  <c r="A3256" i="8"/>
  <c r="A3255" i="8"/>
  <c r="A3254" i="8"/>
  <c r="A3253" i="8"/>
  <c r="A3252" i="8"/>
  <c r="C302" i="7"/>
  <c r="T301" i="7"/>
  <c r="AB301" i="7"/>
  <c r="AH301" i="7"/>
  <c r="AJ301" i="7"/>
  <c r="AL301" i="7"/>
  <c r="AQ301" i="7"/>
  <c r="A3241" i="8"/>
  <c r="A3249" i="8"/>
  <c r="A3247" i="8"/>
  <c r="C301" i="7"/>
  <c r="A3246" i="8"/>
  <c r="A3248" i="8"/>
  <c r="A3242" i="8"/>
  <c r="A3243" i="8"/>
  <c r="A3244" i="8"/>
  <c r="A3251" i="8"/>
  <c r="A3245" i="8"/>
  <c r="A3250" i="8"/>
  <c r="AB300" i="7"/>
  <c r="T300" i="7"/>
  <c r="AQ300" i="7"/>
  <c r="AL300" i="7"/>
  <c r="AJ300" i="7"/>
  <c r="AH300" i="7"/>
  <c r="A3235" i="8"/>
  <c r="A3236" i="8"/>
  <c r="A3237" i="8"/>
  <c r="A3238" i="8"/>
  <c r="A3239" i="8"/>
  <c r="A3240" i="8"/>
  <c r="C300" i="7"/>
  <c r="A3231" i="8"/>
  <c r="A3232" i="8"/>
  <c r="A3234" i="8"/>
  <c r="A3233" i="8"/>
  <c r="A3230" i="8"/>
  <c r="T299" i="7"/>
  <c r="AQ299" i="7"/>
  <c r="AL299" i="7"/>
  <c r="AJ299" i="7"/>
  <c r="AB299" i="7"/>
  <c r="AH299" i="7"/>
  <c r="A3219" i="8"/>
  <c r="C299" i="7"/>
  <c r="A3229" i="8"/>
  <c r="A3228" i="8"/>
  <c r="A3227" i="8"/>
  <c r="A3226" i="8"/>
  <c r="A3225" i="8"/>
  <c r="A3224" i="8"/>
  <c r="A3223" i="8"/>
  <c r="A3222" i="8"/>
  <c r="A3221" i="8"/>
  <c r="A3220" i="8"/>
  <c r="AB298" i="7"/>
  <c r="T298" i="7"/>
  <c r="AQ298" i="7"/>
  <c r="AL298" i="7"/>
  <c r="AJ298" i="7"/>
  <c r="AH298" i="7"/>
  <c r="C298" i="7"/>
  <c r="A3208" i="8"/>
  <c r="A3218" i="8"/>
  <c r="A3217" i="8"/>
  <c r="A3216" i="8"/>
  <c r="A3215" i="8"/>
  <c r="A3214" i="8"/>
  <c r="A3213" i="8"/>
  <c r="A3212" i="8"/>
  <c r="A3211" i="8"/>
  <c r="A3210" i="8"/>
  <c r="A3209" i="8"/>
  <c r="AB297" i="7"/>
  <c r="AQ297" i="7"/>
  <c r="AH297" i="7"/>
  <c r="AJ297" i="7"/>
  <c r="AL297" i="7"/>
  <c r="T297" i="7"/>
  <c r="A3202" i="8"/>
  <c r="A3203" i="8"/>
  <c r="A3204" i="8"/>
  <c r="A3206" i="8"/>
  <c r="A3207" i="8"/>
  <c r="A3197" i="8"/>
  <c r="A3198" i="8"/>
  <c r="A3199" i="8"/>
  <c r="C297" i="7"/>
  <c r="A3200" i="8"/>
  <c r="A3201" i="8"/>
  <c r="A3205" i="8"/>
  <c r="AH296" i="7"/>
  <c r="AJ296" i="7"/>
  <c r="T296" i="7"/>
  <c r="AQ296" i="7"/>
  <c r="AL296" i="7"/>
  <c r="AB296" i="7"/>
  <c r="A3196" i="8"/>
  <c r="A3195" i="8"/>
  <c r="A3191" i="8"/>
  <c r="A3190" i="8"/>
  <c r="C296" i="7"/>
  <c r="A3189" i="8"/>
  <c r="A3188" i="8"/>
  <c r="A3187" i="8"/>
  <c r="A3186" i="8"/>
  <c r="A3194" i="8"/>
  <c r="A3193" i="8"/>
  <c r="A3192" i="8"/>
  <c r="AQ295" i="7"/>
  <c r="T295" i="7"/>
  <c r="AL295" i="7"/>
  <c r="AJ295" i="7"/>
  <c r="AH295" i="7"/>
  <c r="AB295" i="7"/>
  <c r="A3178" i="8"/>
  <c r="A3177" i="8"/>
  <c r="A3175" i="8"/>
  <c r="A3176" i="8"/>
  <c r="A3181" i="8"/>
  <c r="A3185" i="8"/>
  <c r="A3184" i="8"/>
  <c r="A3183" i="8"/>
  <c r="A3182" i="8"/>
  <c r="A3180" i="8"/>
  <c r="A3179" i="8"/>
  <c r="C295" i="7"/>
  <c r="T294" i="7"/>
  <c r="AQ294" i="7"/>
  <c r="AL294" i="7"/>
  <c r="AJ294" i="7"/>
  <c r="AH294" i="7"/>
  <c r="AB294" i="7"/>
  <c r="A3169" i="8"/>
  <c r="A3164" i="8"/>
  <c r="A3173" i="8"/>
  <c r="A3167" i="8"/>
  <c r="A3166" i="8"/>
  <c r="A3168" i="8"/>
  <c r="A3165" i="8"/>
  <c r="A3171" i="8"/>
  <c r="A3174" i="8"/>
  <c r="A3172" i="8"/>
  <c r="A3170" i="8"/>
  <c r="C294" i="7"/>
  <c r="AJ293" i="7"/>
  <c r="AQ293" i="7"/>
  <c r="AH293" i="7"/>
  <c r="T293" i="7"/>
  <c r="AB293" i="7"/>
  <c r="AL293" i="7"/>
  <c r="A3154" i="8"/>
  <c r="A3155" i="8"/>
  <c r="A3157" i="8"/>
  <c r="A3158" i="8"/>
  <c r="A3159" i="8"/>
  <c r="A3160" i="8"/>
  <c r="A3163" i="8"/>
  <c r="A3161" i="8"/>
  <c r="A3162" i="8"/>
  <c r="A3153" i="8"/>
  <c r="A3156" i="8"/>
  <c r="C293" i="7"/>
  <c r="AB292" i="7"/>
  <c r="AH292" i="7"/>
  <c r="AJ292" i="7"/>
  <c r="AL292" i="7"/>
  <c r="T292" i="7"/>
  <c r="AQ292" i="7"/>
  <c r="A3144" i="8"/>
  <c r="A3142" i="8"/>
  <c r="C292" i="7"/>
  <c r="A3145" i="8"/>
  <c r="A3146" i="8"/>
  <c r="A3143" i="8"/>
  <c r="A3147" i="8"/>
  <c r="A3148" i="8"/>
  <c r="A3152" i="8"/>
  <c r="A3151" i="8"/>
  <c r="A3150" i="8"/>
  <c r="A3149" i="8"/>
  <c r="AQ291" i="7"/>
  <c r="AL291" i="7"/>
  <c r="AJ291" i="7"/>
  <c r="AH291" i="7"/>
  <c r="AB291" i="7"/>
  <c r="T291" i="7"/>
  <c r="A3135" i="8"/>
  <c r="A3136" i="8"/>
  <c r="A3137" i="8"/>
  <c r="A3139" i="8"/>
  <c r="A3140" i="8"/>
  <c r="A3141" i="8"/>
  <c r="A3138" i="8"/>
  <c r="A3131" i="8"/>
  <c r="A3132" i="8"/>
  <c r="A3133" i="8"/>
  <c r="A3134" i="8"/>
  <c r="C291" i="7"/>
  <c r="AQ290" i="7"/>
  <c r="T290" i="7"/>
  <c r="AL290" i="7"/>
  <c r="AJ290" i="7"/>
  <c r="AH290" i="7"/>
  <c r="AB290" i="7"/>
  <c r="A3124" i="8"/>
  <c r="A3126" i="8"/>
  <c r="A3125" i="8"/>
  <c r="A3129" i="8"/>
  <c r="A3128" i="8"/>
  <c r="A3123" i="8"/>
  <c r="A3127" i="8"/>
  <c r="A3130" i="8"/>
  <c r="C290" i="7"/>
  <c r="T289" i="7"/>
  <c r="AQ289" i="7"/>
  <c r="AL289" i="7"/>
  <c r="AB289" i="7"/>
  <c r="AH289" i="7"/>
  <c r="AJ289" i="7"/>
  <c r="AB287" i="7"/>
  <c r="AL287" i="7"/>
  <c r="T287" i="7"/>
  <c r="AH287" i="7"/>
  <c r="AJ287" i="7"/>
  <c r="AQ287" i="7"/>
  <c r="AL286" i="7"/>
  <c r="AJ286" i="7"/>
  <c r="T286" i="7"/>
  <c r="AB286" i="7"/>
  <c r="AH286" i="7"/>
  <c r="AQ286" i="7"/>
  <c r="AH285" i="7"/>
  <c r="T285" i="7"/>
  <c r="AJ285" i="7"/>
  <c r="AL285" i="7"/>
  <c r="AQ285" i="7"/>
  <c r="AB285" i="7"/>
  <c r="A3070" i="8"/>
  <c r="A3071" i="8"/>
  <c r="A3068" i="8"/>
  <c r="A3067" i="8"/>
  <c r="A3066" i="8"/>
  <c r="A3065" i="8"/>
  <c r="A3069" i="8"/>
  <c r="A3072" i="8"/>
  <c r="C285" i="7"/>
  <c r="T284" i="7"/>
  <c r="AL284" i="7"/>
  <c r="AQ284" i="7"/>
  <c r="AJ284" i="7"/>
  <c r="AH284" i="7"/>
  <c r="AB284" i="7"/>
  <c r="A3062" i="8"/>
  <c r="A3061" i="8"/>
  <c r="A3064" i="8"/>
  <c r="A3063" i="8"/>
  <c r="C284" i="7"/>
  <c r="A3059" i="8"/>
  <c r="A3060" i="8"/>
  <c r="T283" i="7"/>
  <c r="AB283" i="7"/>
  <c r="AL283" i="7"/>
  <c r="AH283" i="7"/>
  <c r="AQ283" i="7"/>
  <c r="AJ283" i="7"/>
  <c r="AQ282" i="7"/>
  <c r="AJ282" i="7"/>
  <c r="AB282" i="7"/>
  <c r="T282" i="7"/>
  <c r="AH282" i="7"/>
  <c r="AL282" i="7"/>
  <c r="AL281" i="7"/>
  <c r="AQ281" i="7"/>
  <c r="AJ281" i="7"/>
  <c r="AH281" i="7"/>
  <c r="T281" i="7"/>
  <c r="AB281" i="7"/>
  <c r="F3029" i="8"/>
  <c r="G3029" i="8"/>
  <c r="H3029" i="8"/>
  <c r="I3029" i="8"/>
  <c r="J3029" i="8"/>
  <c r="K3029" i="8"/>
  <c r="L3029" i="8"/>
  <c r="M3029" i="8"/>
  <c r="N3029" i="8"/>
  <c r="O3029" i="8"/>
  <c r="P3029" i="8"/>
  <c r="Q3029" i="8"/>
  <c r="R3029" i="8"/>
  <c r="S3029" i="8"/>
  <c r="T3029" i="8"/>
  <c r="E3030" i="8"/>
  <c r="F3030" i="8"/>
  <c r="G3030" i="8"/>
  <c r="H3030" i="8"/>
  <c r="I3030" i="8"/>
  <c r="J3030" i="8"/>
  <c r="K3030" i="8"/>
  <c r="L3030" i="8"/>
  <c r="M3030" i="8"/>
  <c r="N3030" i="8"/>
  <c r="O3030" i="8"/>
  <c r="P3030" i="8"/>
  <c r="Q3030" i="8"/>
  <c r="R3030" i="8"/>
  <c r="S3030" i="8"/>
  <c r="T3030" i="8"/>
  <c r="E3031" i="8"/>
  <c r="F3031" i="8"/>
  <c r="G3031" i="8"/>
  <c r="H3031" i="8"/>
  <c r="I3031" i="8"/>
  <c r="J3031" i="8"/>
  <c r="K3031" i="8"/>
  <c r="L3031" i="8"/>
  <c r="M3031" i="8"/>
  <c r="N3031" i="8"/>
  <c r="O3031" i="8"/>
  <c r="P3031" i="8"/>
  <c r="Q3031" i="8"/>
  <c r="R3031" i="8"/>
  <c r="S3031" i="8"/>
  <c r="T3031" i="8"/>
  <c r="T280" i="7"/>
  <c r="AH280" i="7"/>
  <c r="AQ280" i="7"/>
  <c r="AJ280" i="7"/>
  <c r="AB280" i="7"/>
  <c r="AL280" i="7"/>
  <c r="E280" i="7"/>
  <c r="F280" i="7"/>
  <c r="G280" i="7"/>
  <c r="H280" i="7"/>
  <c r="I280" i="7"/>
  <c r="J280" i="7"/>
  <c r="K280" i="7"/>
  <c r="L280" i="7"/>
  <c r="M280" i="7"/>
  <c r="N280" i="7"/>
  <c r="P280" i="7"/>
  <c r="Q280" i="7"/>
  <c r="R280" i="7"/>
  <c r="S280" i="7"/>
  <c r="U280" i="7"/>
  <c r="V280" i="7"/>
  <c r="W280" i="7"/>
  <c r="X280" i="7"/>
  <c r="Y280" i="7"/>
  <c r="Z280" i="7"/>
  <c r="AA280" i="7"/>
  <c r="AC280" i="7"/>
  <c r="AE280" i="7"/>
  <c r="AI280" i="7"/>
  <c r="AO280" i="7"/>
  <c r="AP280" i="7"/>
  <c r="E3010" i="8"/>
  <c r="F3010" i="8"/>
  <c r="G3010" i="8"/>
  <c r="H3010" i="8"/>
  <c r="I3010" i="8"/>
  <c r="J3010" i="8"/>
  <c r="K3010" i="8"/>
  <c r="L3010" i="8"/>
  <c r="M3010" i="8"/>
  <c r="N3010" i="8"/>
  <c r="O3010" i="8"/>
  <c r="P3010" i="8"/>
  <c r="Q3010" i="8"/>
  <c r="R3010" i="8"/>
  <c r="S3010" i="8"/>
  <c r="T3010" i="8"/>
  <c r="E3011" i="8"/>
  <c r="F3011" i="8"/>
  <c r="G3011" i="8"/>
  <c r="H3011" i="8"/>
  <c r="I3011" i="8"/>
  <c r="J3011" i="8"/>
  <c r="K3011" i="8"/>
  <c r="L3011" i="8"/>
  <c r="M3011" i="8"/>
  <c r="N3011" i="8"/>
  <c r="O3011" i="8"/>
  <c r="P3011" i="8"/>
  <c r="Q3011" i="8"/>
  <c r="R3011" i="8"/>
  <c r="S3011" i="8"/>
  <c r="T3011" i="8"/>
  <c r="E3012" i="8"/>
  <c r="F3012" i="8"/>
  <c r="G3012" i="8"/>
  <c r="H3012" i="8"/>
  <c r="I3012" i="8"/>
  <c r="J3012" i="8"/>
  <c r="K3012" i="8"/>
  <c r="L3012" i="8"/>
  <c r="M3012" i="8"/>
  <c r="N3012" i="8"/>
  <c r="O3012" i="8"/>
  <c r="P3012" i="8"/>
  <c r="Q3012" i="8"/>
  <c r="R3012" i="8"/>
  <c r="S3012" i="8"/>
  <c r="T3012" i="8"/>
  <c r="E3013" i="8"/>
  <c r="F3013" i="8"/>
  <c r="G3013" i="8"/>
  <c r="H3013" i="8"/>
  <c r="I3013" i="8"/>
  <c r="J3013" i="8"/>
  <c r="K3013" i="8"/>
  <c r="L3013" i="8"/>
  <c r="M3013" i="8"/>
  <c r="N3013" i="8"/>
  <c r="O3013" i="8"/>
  <c r="P3013" i="8"/>
  <c r="Q3013" i="8"/>
  <c r="R3013" i="8"/>
  <c r="S3013" i="8"/>
  <c r="T3013" i="8"/>
  <c r="E3014" i="8"/>
  <c r="F3014" i="8"/>
  <c r="G3014" i="8"/>
  <c r="H3014" i="8"/>
  <c r="I3014" i="8"/>
  <c r="J3014" i="8"/>
  <c r="K3014" i="8"/>
  <c r="L3014" i="8"/>
  <c r="M3014" i="8"/>
  <c r="N3014" i="8"/>
  <c r="O3014" i="8"/>
  <c r="P3014" i="8"/>
  <c r="Q3014" i="8"/>
  <c r="R3014" i="8"/>
  <c r="S3014" i="8"/>
  <c r="T3014" i="8"/>
  <c r="E3015" i="8"/>
  <c r="F3015" i="8"/>
  <c r="G3015" i="8"/>
  <c r="H3015" i="8"/>
  <c r="I3015" i="8"/>
  <c r="J3015" i="8"/>
  <c r="K3015" i="8"/>
  <c r="L3015" i="8"/>
  <c r="M3015" i="8"/>
  <c r="N3015" i="8"/>
  <c r="O3015" i="8"/>
  <c r="P3015" i="8"/>
  <c r="Q3015" i="8"/>
  <c r="R3015" i="8"/>
  <c r="S3015" i="8"/>
  <c r="T3015" i="8"/>
  <c r="E3016" i="8"/>
  <c r="F3016" i="8"/>
  <c r="G3016" i="8"/>
  <c r="H3016" i="8"/>
  <c r="I3016" i="8"/>
  <c r="J3016" i="8"/>
  <c r="K3016" i="8"/>
  <c r="L3016" i="8"/>
  <c r="M3016" i="8"/>
  <c r="N3016" i="8"/>
  <c r="O3016" i="8"/>
  <c r="P3016" i="8"/>
  <c r="Q3016" i="8"/>
  <c r="R3016" i="8"/>
  <c r="S3016" i="8"/>
  <c r="T3016" i="8"/>
  <c r="E3017" i="8"/>
  <c r="F3017" i="8"/>
  <c r="G3017" i="8"/>
  <c r="H3017" i="8"/>
  <c r="I3017" i="8"/>
  <c r="J3017" i="8"/>
  <c r="K3017" i="8"/>
  <c r="L3017" i="8"/>
  <c r="M3017" i="8"/>
  <c r="N3017" i="8"/>
  <c r="O3017" i="8"/>
  <c r="P3017" i="8"/>
  <c r="Q3017" i="8"/>
  <c r="R3017" i="8"/>
  <c r="S3017" i="8"/>
  <c r="T3017" i="8"/>
  <c r="E3018" i="8"/>
  <c r="F3018" i="8"/>
  <c r="G3018" i="8"/>
  <c r="H3018" i="8"/>
  <c r="I3018" i="8"/>
  <c r="J3018" i="8"/>
  <c r="K3018" i="8"/>
  <c r="L3018" i="8"/>
  <c r="M3018" i="8"/>
  <c r="N3018" i="8"/>
  <c r="O3018" i="8"/>
  <c r="P3018" i="8"/>
  <c r="Q3018" i="8"/>
  <c r="R3018" i="8"/>
  <c r="S3018" i="8"/>
  <c r="T3018" i="8"/>
  <c r="E3019" i="8"/>
  <c r="F3019" i="8"/>
  <c r="G3019" i="8"/>
  <c r="H3019" i="8"/>
  <c r="I3019" i="8"/>
  <c r="J3019" i="8"/>
  <c r="K3019" i="8"/>
  <c r="L3019" i="8"/>
  <c r="M3019" i="8"/>
  <c r="N3019" i="8"/>
  <c r="O3019" i="8"/>
  <c r="P3019" i="8"/>
  <c r="Q3019" i="8"/>
  <c r="R3019" i="8"/>
  <c r="S3019" i="8"/>
  <c r="T3019" i="8"/>
  <c r="E3020" i="8"/>
  <c r="F3020" i="8"/>
  <c r="G3020" i="8"/>
  <c r="H3020" i="8"/>
  <c r="I3020" i="8"/>
  <c r="J3020" i="8"/>
  <c r="K3020" i="8"/>
  <c r="L3020" i="8"/>
  <c r="M3020" i="8"/>
  <c r="N3020" i="8"/>
  <c r="O3020" i="8"/>
  <c r="P3020" i="8"/>
  <c r="Q3020" i="8"/>
  <c r="R3020" i="8"/>
  <c r="S3020" i="8"/>
  <c r="T3020" i="8"/>
  <c r="AQ279" i="7"/>
  <c r="AL279" i="7"/>
  <c r="AH279" i="7"/>
  <c r="AB279" i="7"/>
  <c r="T279" i="7"/>
  <c r="AJ279" i="7"/>
  <c r="E279" i="7"/>
  <c r="F279" i="7"/>
  <c r="G279" i="7"/>
  <c r="H279" i="7"/>
  <c r="I279" i="7"/>
  <c r="J279" i="7"/>
  <c r="K279" i="7"/>
  <c r="L279" i="7"/>
  <c r="M279" i="7"/>
  <c r="N279" i="7"/>
  <c r="P279" i="7"/>
  <c r="Q279" i="7"/>
  <c r="R279" i="7"/>
  <c r="S279" i="7"/>
  <c r="U279" i="7"/>
  <c r="V279" i="7"/>
  <c r="W279" i="7"/>
  <c r="X279" i="7"/>
  <c r="Y279" i="7"/>
  <c r="Z279" i="7"/>
  <c r="AA279" i="7"/>
  <c r="AC279" i="7"/>
  <c r="AE279" i="7"/>
  <c r="AI279" i="7"/>
  <c r="AO279" i="7"/>
  <c r="AP279" i="7"/>
  <c r="E2999" i="8"/>
  <c r="F2999" i="8"/>
  <c r="G2999" i="8"/>
  <c r="H2999" i="8"/>
  <c r="I2999" i="8"/>
  <c r="J2999" i="8"/>
  <c r="K2999" i="8"/>
  <c r="L2999" i="8"/>
  <c r="M2999" i="8"/>
  <c r="N2999" i="8"/>
  <c r="O2999" i="8"/>
  <c r="P2999" i="8"/>
  <c r="Q2999" i="8"/>
  <c r="R2999" i="8"/>
  <c r="S2999" i="8"/>
  <c r="T2999" i="8"/>
  <c r="E3000" i="8"/>
  <c r="F3000" i="8"/>
  <c r="G3000" i="8"/>
  <c r="H3000" i="8"/>
  <c r="I3000" i="8"/>
  <c r="J3000" i="8"/>
  <c r="K3000" i="8"/>
  <c r="L3000" i="8"/>
  <c r="M3000" i="8"/>
  <c r="N3000" i="8"/>
  <c r="O3000" i="8"/>
  <c r="P3000" i="8"/>
  <c r="Q3000" i="8"/>
  <c r="R3000" i="8"/>
  <c r="S3000" i="8"/>
  <c r="T3000" i="8"/>
  <c r="E3001" i="8"/>
  <c r="F3001" i="8"/>
  <c r="G3001" i="8"/>
  <c r="H3001" i="8"/>
  <c r="I3001" i="8"/>
  <c r="J3001" i="8"/>
  <c r="K3001" i="8"/>
  <c r="L3001" i="8"/>
  <c r="M3001" i="8"/>
  <c r="N3001" i="8"/>
  <c r="O3001" i="8"/>
  <c r="P3001" i="8"/>
  <c r="Q3001" i="8"/>
  <c r="R3001" i="8"/>
  <c r="S3001" i="8"/>
  <c r="T3001" i="8"/>
  <c r="E3002" i="8"/>
  <c r="F3002" i="8"/>
  <c r="G3002" i="8"/>
  <c r="H3002" i="8"/>
  <c r="I3002" i="8"/>
  <c r="J3002" i="8"/>
  <c r="K3002" i="8"/>
  <c r="L3002" i="8"/>
  <c r="M3002" i="8"/>
  <c r="N3002" i="8"/>
  <c r="O3002" i="8"/>
  <c r="P3002" i="8"/>
  <c r="Q3002" i="8"/>
  <c r="R3002" i="8"/>
  <c r="S3002" i="8"/>
  <c r="T3002" i="8"/>
  <c r="E3003" i="8"/>
  <c r="F3003" i="8"/>
  <c r="G3003" i="8"/>
  <c r="H3003" i="8"/>
  <c r="I3003" i="8"/>
  <c r="J3003" i="8"/>
  <c r="K3003" i="8"/>
  <c r="L3003" i="8"/>
  <c r="M3003" i="8"/>
  <c r="N3003" i="8"/>
  <c r="O3003" i="8"/>
  <c r="P3003" i="8"/>
  <c r="Q3003" i="8"/>
  <c r="R3003" i="8"/>
  <c r="S3003" i="8"/>
  <c r="T3003" i="8"/>
  <c r="E3004" i="8"/>
  <c r="F3004" i="8"/>
  <c r="G3004" i="8"/>
  <c r="H3004" i="8"/>
  <c r="I3004" i="8"/>
  <c r="J3004" i="8"/>
  <c r="K3004" i="8"/>
  <c r="L3004" i="8"/>
  <c r="M3004" i="8"/>
  <c r="N3004" i="8"/>
  <c r="O3004" i="8"/>
  <c r="P3004" i="8"/>
  <c r="Q3004" i="8"/>
  <c r="R3004" i="8"/>
  <c r="S3004" i="8"/>
  <c r="T3004" i="8"/>
  <c r="E3005" i="8"/>
  <c r="F3005" i="8"/>
  <c r="G3005" i="8"/>
  <c r="H3005" i="8"/>
  <c r="I3005" i="8"/>
  <c r="J3005" i="8"/>
  <c r="K3005" i="8"/>
  <c r="L3005" i="8"/>
  <c r="M3005" i="8"/>
  <c r="N3005" i="8"/>
  <c r="O3005" i="8"/>
  <c r="P3005" i="8"/>
  <c r="Q3005" i="8"/>
  <c r="R3005" i="8"/>
  <c r="S3005" i="8"/>
  <c r="T3005" i="8"/>
  <c r="E3006" i="8"/>
  <c r="F3006" i="8"/>
  <c r="G3006" i="8"/>
  <c r="H3006" i="8"/>
  <c r="I3006" i="8"/>
  <c r="J3006" i="8"/>
  <c r="K3006" i="8"/>
  <c r="L3006" i="8"/>
  <c r="M3006" i="8"/>
  <c r="N3006" i="8"/>
  <c r="O3006" i="8"/>
  <c r="P3006" i="8"/>
  <c r="Q3006" i="8"/>
  <c r="R3006" i="8"/>
  <c r="S3006" i="8"/>
  <c r="T3006" i="8"/>
  <c r="E3007" i="8"/>
  <c r="F3007" i="8"/>
  <c r="G3007" i="8"/>
  <c r="H3007" i="8"/>
  <c r="I3007" i="8"/>
  <c r="J3007" i="8"/>
  <c r="K3007" i="8"/>
  <c r="L3007" i="8"/>
  <c r="M3007" i="8"/>
  <c r="N3007" i="8"/>
  <c r="O3007" i="8"/>
  <c r="P3007" i="8"/>
  <c r="Q3007" i="8"/>
  <c r="R3007" i="8"/>
  <c r="S3007" i="8"/>
  <c r="T3007" i="8"/>
  <c r="E3008" i="8"/>
  <c r="F3008" i="8"/>
  <c r="G3008" i="8"/>
  <c r="H3008" i="8"/>
  <c r="I3008" i="8"/>
  <c r="J3008" i="8"/>
  <c r="K3008" i="8"/>
  <c r="L3008" i="8"/>
  <c r="M3008" i="8"/>
  <c r="N3008" i="8"/>
  <c r="O3008" i="8"/>
  <c r="P3008" i="8"/>
  <c r="Q3008" i="8"/>
  <c r="R3008" i="8"/>
  <c r="S3008" i="8"/>
  <c r="T3008" i="8"/>
  <c r="E3009" i="8"/>
  <c r="F3009" i="8"/>
  <c r="G3009" i="8"/>
  <c r="H3009" i="8"/>
  <c r="I3009" i="8"/>
  <c r="J3009" i="8"/>
  <c r="K3009" i="8"/>
  <c r="L3009" i="8"/>
  <c r="M3009" i="8"/>
  <c r="N3009" i="8"/>
  <c r="O3009" i="8"/>
  <c r="P3009" i="8"/>
  <c r="Q3009" i="8"/>
  <c r="R3009" i="8"/>
  <c r="S3009" i="8"/>
  <c r="T3009" i="8"/>
  <c r="AB278" i="7"/>
  <c r="AQ278" i="7"/>
  <c r="AL278" i="7"/>
  <c r="AJ278" i="7"/>
  <c r="AH278" i="7"/>
  <c r="T278" i="7"/>
  <c r="E278" i="7"/>
  <c r="F278" i="7"/>
  <c r="G278" i="7"/>
  <c r="H278" i="7"/>
  <c r="I278" i="7"/>
  <c r="J278" i="7"/>
  <c r="K278" i="7"/>
  <c r="L278" i="7"/>
  <c r="M278" i="7"/>
  <c r="N278" i="7"/>
  <c r="P278" i="7"/>
  <c r="Q278" i="7"/>
  <c r="R278" i="7"/>
  <c r="S278" i="7"/>
  <c r="U278" i="7"/>
  <c r="V278" i="7"/>
  <c r="W278" i="7"/>
  <c r="X278" i="7"/>
  <c r="Y278" i="7"/>
  <c r="Z278" i="7"/>
  <c r="AA278" i="7"/>
  <c r="AC278" i="7"/>
  <c r="AE278" i="7"/>
  <c r="AI278" i="7"/>
  <c r="AO278" i="7"/>
  <c r="AP278" i="7"/>
  <c r="E2988" i="8"/>
  <c r="F2988" i="8"/>
  <c r="G2988" i="8"/>
  <c r="H2988" i="8"/>
  <c r="I2988" i="8"/>
  <c r="J2988" i="8"/>
  <c r="K2988" i="8"/>
  <c r="L2988" i="8"/>
  <c r="M2988" i="8"/>
  <c r="N2988" i="8"/>
  <c r="O2988" i="8"/>
  <c r="P2988" i="8"/>
  <c r="Q2988" i="8"/>
  <c r="R2988" i="8"/>
  <c r="S2988" i="8"/>
  <c r="T2988" i="8"/>
  <c r="E2989" i="8"/>
  <c r="F2989" i="8"/>
  <c r="G2989" i="8"/>
  <c r="H2989" i="8"/>
  <c r="I2989" i="8"/>
  <c r="J2989" i="8"/>
  <c r="K2989" i="8"/>
  <c r="L2989" i="8"/>
  <c r="M2989" i="8"/>
  <c r="N2989" i="8"/>
  <c r="O2989" i="8"/>
  <c r="P2989" i="8"/>
  <c r="Q2989" i="8"/>
  <c r="R2989" i="8"/>
  <c r="S2989" i="8"/>
  <c r="T2989" i="8"/>
  <c r="E2990" i="8"/>
  <c r="F2990" i="8"/>
  <c r="G2990" i="8"/>
  <c r="H2990" i="8"/>
  <c r="I2990" i="8"/>
  <c r="J2990" i="8"/>
  <c r="K2990" i="8"/>
  <c r="L2990" i="8"/>
  <c r="M2990" i="8"/>
  <c r="N2990" i="8"/>
  <c r="O2990" i="8"/>
  <c r="P2990" i="8"/>
  <c r="Q2990" i="8"/>
  <c r="R2990" i="8"/>
  <c r="S2990" i="8"/>
  <c r="T2990" i="8"/>
  <c r="E2991" i="8"/>
  <c r="F2991" i="8"/>
  <c r="G2991" i="8"/>
  <c r="H2991" i="8"/>
  <c r="I2991" i="8"/>
  <c r="J2991" i="8"/>
  <c r="K2991" i="8"/>
  <c r="L2991" i="8"/>
  <c r="M2991" i="8"/>
  <c r="N2991" i="8"/>
  <c r="O2991" i="8"/>
  <c r="P2991" i="8"/>
  <c r="Q2991" i="8"/>
  <c r="R2991" i="8"/>
  <c r="S2991" i="8"/>
  <c r="T2991" i="8"/>
  <c r="E2992" i="8"/>
  <c r="F2992" i="8"/>
  <c r="G2992" i="8"/>
  <c r="H2992" i="8"/>
  <c r="I2992" i="8"/>
  <c r="J2992" i="8"/>
  <c r="K2992" i="8"/>
  <c r="L2992" i="8"/>
  <c r="M2992" i="8"/>
  <c r="N2992" i="8"/>
  <c r="O2992" i="8"/>
  <c r="P2992" i="8"/>
  <c r="Q2992" i="8"/>
  <c r="R2992" i="8"/>
  <c r="S2992" i="8"/>
  <c r="T2992" i="8"/>
  <c r="E2993" i="8"/>
  <c r="F2993" i="8"/>
  <c r="G2993" i="8"/>
  <c r="H2993" i="8"/>
  <c r="I2993" i="8"/>
  <c r="J2993" i="8"/>
  <c r="K2993" i="8"/>
  <c r="L2993" i="8"/>
  <c r="M2993" i="8"/>
  <c r="N2993" i="8"/>
  <c r="O2993" i="8"/>
  <c r="P2993" i="8"/>
  <c r="Q2993" i="8"/>
  <c r="R2993" i="8"/>
  <c r="S2993" i="8"/>
  <c r="T2993" i="8"/>
  <c r="E2994" i="8"/>
  <c r="F2994" i="8"/>
  <c r="G2994" i="8"/>
  <c r="H2994" i="8"/>
  <c r="I2994" i="8"/>
  <c r="J2994" i="8"/>
  <c r="K2994" i="8"/>
  <c r="L2994" i="8"/>
  <c r="M2994" i="8"/>
  <c r="N2994" i="8"/>
  <c r="O2994" i="8"/>
  <c r="P2994" i="8"/>
  <c r="Q2994" i="8"/>
  <c r="R2994" i="8"/>
  <c r="S2994" i="8"/>
  <c r="T2994" i="8"/>
  <c r="E2995" i="8"/>
  <c r="F2995" i="8"/>
  <c r="G2995" i="8"/>
  <c r="H2995" i="8"/>
  <c r="I2995" i="8"/>
  <c r="J2995" i="8"/>
  <c r="K2995" i="8"/>
  <c r="L2995" i="8"/>
  <c r="M2995" i="8"/>
  <c r="N2995" i="8"/>
  <c r="O2995" i="8"/>
  <c r="P2995" i="8"/>
  <c r="Q2995" i="8"/>
  <c r="R2995" i="8"/>
  <c r="S2995" i="8"/>
  <c r="T2995" i="8"/>
  <c r="E2996" i="8"/>
  <c r="F2996" i="8"/>
  <c r="G2996" i="8"/>
  <c r="H2996" i="8"/>
  <c r="I2996" i="8"/>
  <c r="J2996" i="8"/>
  <c r="K2996" i="8"/>
  <c r="L2996" i="8"/>
  <c r="M2996" i="8"/>
  <c r="N2996" i="8"/>
  <c r="O2996" i="8"/>
  <c r="P2996" i="8"/>
  <c r="Q2996" i="8"/>
  <c r="R2996" i="8"/>
  <c r="S2996" i="8"/>
  <c r="T2996" i="8"/>
  <c r="E2997" i="8"/>
  <c r="F2997" i="8"/>
  <c r="G2997" i="8"/>
  <c r="H2997" i="8"/>
  <c r="I2997" i="8"/>
  <c r="J2997" i="8"/>
  <c r="K2997" i="8"/>
  <c r="L2997" i="8"/>
  <c r="M2997" i="8"/>
  <c r="N2997" i="8"/>
  <c r="O2997" i="8"/>
  <c r="P2997" i="8"/>
  <c r="Q2997" i="8"/>
  <c r="R2997" i="8"/>
  <c r="S2997" i="8"/>
  <c r="T2997" i="8"/>
  <c r="E2998" i="8"/>
  <c r="F2998" i="8"/>
  <c r="G2998" i="8"/>
  <c r="H2998" i="8"/>
  <c r="I2998" i="8"/>
  <c r="J2998" i="8"/>
  <c r="K2998" i="8"/>
  <c r="L2998" i="8"/>
  <c r="M2998" i="8"/>
  <c r="N2998" i="8"/>
  <c r="O2998" i="8"/>
  <c r="P2998" i="8"/>
  <c r="Q2998" i="8"/>
  <c r="R2998" i="8"/>
  <c r="S2998" i="8"/>
  <c r="T2998" i="8"/>
  <c r="T277" i="7"/>
  <c r="AQ277" i="7"/>
  <c r="AL277" i="7"/>
  <c r="AJ277" i="7"/>
  <c r="AH277" i="7"/>
  <c r="AB277" i="7"/>
  <c r="E277" i="7"/>
  <c r="F277" i="7"/>
  <c r="G277" i="7"/>
  <c r="H277" i="7"/>
  <c r="I277" i="7"/>
  <c r="J277" i="7"/>
  <c r="K277" i="7"/>
  <c r="L277" i="7"/>
  <c r="M277" i="7"/>
  <c r="N277" i="7"/>
  <c r="P277" i="7"/>
  <c r="Q277" i="7"/>
  <c r="R277" i="7"/>
  <c r="S277" i="7"/>
  <c r="U277" i="7"/>
  <c r="V277" i="7"/>
  <c r="W277" i="7"/>
  <c r="X277" i="7"/>
  <c r="Y277" i="7"/>
  <c r="Z277" i="7"/>
  <c r="AA277" i="7"/>
  <c r="AC277" i="7"/>
  <c r="AE277" i="7"/>
  <c r="AI277" i="7"/>
  <c r="AO277" i="7"/>
  <c r="AP277" i="7"/>
  <c r="E2977" i="8"/>
  <c r="F2977" i="8"/>
  <c r="G2977" i="8"/>
  <c r="H2977" i="8"/>
  <c r="I2977" i="8"/>
  <c r="J2977" i="8"/>
  <c r="K2977" i="8"/>
  <c r="L2977" i="8"/>
  <c r="M2977" i="8"/>
  <c r="N2977" i="8"/>
  <c r="O2977" i="8"/>
  <c r="P2977" i="8"/>
  <c r="Q2977" i="8"/>
  <c r="R2977" i="8"/>
  <c r="S2977" i="8"/>
  <c r="T2977" i="8"/>
  <c r="E2978" i="8"/>
  <c r="F2978" i="8"/>
  <c r="G2978" i="8"/>
  <c r="H2978" i="8"/>
  <c r="I2978" i="8"/>
  <c r="J2978" i="8"/>
  <c r="K2978" i="8"/>
  <c r="L2978" i="8"/>
  <c r="M2978" i="8"/>
  <c r="N2978" i="8"/>
  <c r="O2978" i="8"/>
  <c r="P2978" i="8"/>
  <c r="Q2978" i="8"/>
  <c r="R2978" i="8"/>
  <c r="S2978" i="8"/>
  <c r="T2978" i="8"/>
  <c r="E2979" i="8"/>
  <c r="F2979" i="8"/>
  <c r="G2979" i="8"/>
  <c r="H2979" i="8"/>
  <c r="I2979" i="8"/>
  <c r="J2979" i="8"/>
  <c r="K2979" i="8"/>
  <c r="L2979" i="8"/>
  <c r="M2979" i="8"/>
  <c r="N2979" i="8"/>
  <c r="O2979" i="8"/>
  <c r="P2979" i="8"/>
  <c r="Q2979" i="8"/>
  <c r="R2979" i="8"/>
  <c r="S2979" i="8"/>
  <c r="T2979" i="8"/>
  <c r="E2980" i="8"/>
  <c r="F2980" i="8"/>
  <c r="G2980" i="8"/>
  <c r="H2980" i="8"/>
  <c r="I2980" i="8"/>
  <c r="J2980" i="8"/>
  <c r="K2980" i="8"/>
  <c r="L2980" i="8"/>
  <c r="M2980" i="8"/>
  <c r="N2980" i="8"/>
  <c r="O2980" i="8"/>
  <c r="P2980" i="8"/>
  <c r="Q2980" i="8"/>
  <c r="R2980" i="8"/>
  <c r="S2980" i="8"/>
  <c r="T2980" i="8"/>
  <c r="E2981" i="8"/>
  <c r="F2981" i="8"/>
  <c r="G2981" i="8"/>
  <c r="H2981" i="8"/>
  <c r="I2981" i="8"/>
  <c r="J2981" i="8"/>
  <c r="K2981" i="8"/>
  <c r="L2981" i="8"/>
  <c r="M2981" i="8"/>
  <c r="N2981" i="8"/>
  <c r="O2981" i="8"/>
  <c r="P2981" i="8"/>
  <c r="Q2981" i="8"/>
  <c r="R2981" i="8"/>
  <c r="S2981" i="8"/>
  <c r="T2981" i="8"/>
  <c r="E2982" i="8"/>
  <c r="F2982" i="8"/>
  <c r="G2982" i="8"/>
  <c r="H2982" i="8"/>
  <c r="I2982" i="8"/>
  <c r="J2982" i="8"/>
  <c r="K2982" i="8"/>
  <c r="L2982" i="8"/>
  <c r="M2982" i="8"/>
  <c r="N2982" i="8"/>
  <c r="O2982" i="8"/>
  <c r="P2982" i="8"/>
  <c r="Q2982" i="8"/>
  <c r="R2982" i="8"/>
  <c r="S2982" i="8"/>
  <c r="T2982" i="8"/>
  <c r="E2983" i="8"/>
  <c r="F2983" i="8"/>
  <c r="G2983" i="8"/>
  <c r="H2983" i="8"/>
  <c r="I2983" i="8"/>
  <c r="J2983" i="8"/>
  <c r="K2983" i="8"/>
  <c r="L2983" i="8"/>
  <c r="M2983" i="8"/>
  <c r="N2983" i="8"/>
  <c r="O2983" i="8"/>
  <c r="P2983" i="8"/>
  <c r="Q2983" i="8"/>
  <c r="R2983" i="8"/>
  <c r="S2983" i="8"/>
  <c r="T2983" i="8"/>
  <c r="E2984" i="8"/>
  <c r="F2984" i="8"/>
  <c r="G2984" i="8"/>
  <c r="H2984" i="8"/>
  <c r="I2984" i="8"/>
  <c r="J2984" i="8"/>
  <c r="K2984" i="8"/>
  <c r="L2984" i="8"/>
  <c r="M2984" i="8"/>
  <c r="N2984" i="8"/>
  <c r="O2984" i="8"/>
  <c r="P2984" i="8"/>
  <c r="Q2984" i="8"/>
  <c r="R2984" i="8"/>
  <c r="S2984" i="8"/>
  <c r="T2984" i="8"/>
  <c r="E2985" i="8"/>
  <c r="F2985" i="8"/>
  <c r="G2985" i="8"/>
  <c r="H2985" i="8"/>
  <c r="I2985" i="8"/>
  <c r="J2985" i="8"/>
  <c r="K2985" i="8"/>
  <c r="L2985" i="8"/>
  <c r="M2985" i="8"/>
  <c r="N2985" i="8"/>
  <c r="O2985" i="8"/>
  <c r="P2985" i="8"/>
  <c r="Q2985" i="8"/>
  <c r="R2985" i="8"/>
  <c r="S2985" i="8"/>
  <c r="T2985" i="8"/>
  <c r="E2986" i="8"/>
  <c r="F2986" i="8"/>
  <c r="G2986" i="8"/>
  <c r="H2986" i="8"/>
  <c r="I2986" i="8"/>
  <c r="J2986" i="8"/>
  <c r="K2986" i="8"/>
  <c r="L2986" i="8"/>
  <c r="M2986" i="8"/>
  <c r="N2986" i="8"/>
  <c r="O2986" i="8"/>
  <c r="P2986" i="8"/>
  <c r="Q2986" i="8"/>
  <c r="R2986" i="8"/>
  <c r="S2986" i="8"/>
  <c r="T2986" i="8"/>
  <c r="E2987" i="8"/>
  <c r="F2987" i="8"/>
  <c r="G2987" i="8"/>
  <c r="H2987" i="8"/>
  <c r="I2987" i="8"/>
  <c r="J2987" i="8"/>
  <c r="K2987" i="8"/>
  <c r="L2987" i="8"/>
  <c r="M2987" i="8"/>
  <c r="N2987" i="8"/>
  <c r="O2987" i="8"/>
  <c r="P2987" i="8"/>
  <c r="Q2987" i="8"/>
  <c r="R2987" i="8"/>
  <c r="S2987" i="8"/>
  <c r="T2987" i="8"/>
  <c r="AL276" i="7"/>
  <c r="AQ276" i="7"/>
  <c r="AB276" i="7"/>
  <c r="T276" i="7"/>
  <c r="AH276" i="7"/>
  <c r="AJ276" i="7"/>
  <c r="E276" i="7"/>
  <c r="F276" i="7"/>
  <c r="G276" i="7"/>
  <c r="H276" i="7"/>
  <c r="I276" i="7"/>
  <c r="J276" i="7"/>
  <c r="K276" i="7"/>
  <c r="L276" i="7"/>
  <c r="M276" i="7"/>
  <c r="N276" i="7"/>
  <c r="P276" i="7"/>
  <c r="Q276" i="7"/>
  <c r="R276" i="7"/>
  <c r="S276" i="7"/>
  <c r="U276" i="7"/>
  <c r="V276" i="7"/>
  <c r="W276" i="7"/>
  <c r="X276" i="7"/>
  <c r="Y276" i="7"/>
  <c r="Z276" i="7"/>
  <c r="AA276" i="7"/>
  <c r="AC276" i="7"/>
  <c r="AE276" i="7"/>
  <c r="AI276" i="7"/>
  <c r="AO276" i="7"/>
  <c r="AP276" i="7"/>
  <c r="E2966" i="8"/>
  <c r="F2966" i="8"/>
  <c r="G2966" i="8"/>
  <c r="H2966" i="8"/>
  <c r="I2966" i="8"/>
  <c r="J2966" i="8"/>
  <c r="K2966" i="8"/>
  <c r="L2966" i="8"/>
  <c r="M2966" i="8"/>
  <c r="N2966" i="8"/>
  <c r="O2966" i="8"/>
  <c r="P2966" i="8"/>
  <c r="Q2966" i="8"/>
  <c r="R2966" i="8"/>
  <c r="S2966" i="8"/>
  <c r="T2966" i="8"/>
  <c r="E2967" i="8"/>
  <c r="F2967" i="8"/>
  <c r="G2967" i="8"/>
  <c r="H2967" i="8"/>
  <c r="I2967" i="8"/>
  <c r="J2967" i="8"/>
  <c r="K2967" i="8"/>
  <c r="L2967" i="8"/>
  <c r="M2967" i="8"/>
  <c r="N2967" i="8"/>
  <c r="O2967" i="8"/>
  <c r="P2967" i="8"/>
  <c r="Q2967" i="8"/>
  <c r="R2967" i="8"/>
  <c r="S2967" i="8"/>
  <c r="T2967" i="8"/>
  <c r="E2968" i="8"/>
  <c r="F2968" i="8"/>
  <c r="G2968" i="8"/>
  <c r="H2968" i="8"/>
  <c r="I2968" i="8"/>
  <c r="J2968" i="8"/>
  <c r="K2968" i="8"/>
  <c r="L2968" i="8"/>
  <c r="M2968" i="8"/>
  <c r="N2968" i="8"/>
  <c r="O2968" i="8"/>
  <c r="P2968" i="8"/>
  <c r="Q2968" i="8"/>
  <c r="R2968" i="8"/>
  <c r="S2968" i="8"/>
  <c r="T2968" i="8"/>
  <c r="E2969" i="8"/>
  <c r="F2969" i="8"/>
  <c r="G2969" i="8"/>
  <c r="H2969" i="8"/>
  <c r="I2969" i="8"/>
  <c r="J2969" i="8"/>
  <c r="K2969" i="8"/>
  <c r="L2969" i="8"/>
  <c r="M2969" i="8"/>
  <c r="N2969" i="8"/>
  <c r="O2969" i="8"/>
  <c r="P2969" i="8"/>
  <c r="Q2969" i="8"/>
  <c r="R2969" i="8"/>
  <c r="S2969" i="8"/>
  <c r="T2969" i="8"/>
  <c r="E2970" i="8"/>
  <c r="F2970" i="8"/>
  <c r="G2970" i="8"/>
  <c r="H2970" i="8"/>
  <c r="I2970" i="8"/>
  <c r="J2970" i="8"/>
  <c r="K2970" i="8"/>
  <c r="L2970" i="8"/>
  <c r="M2970" i="8"/>
  <c r="N2970" i="8"/>
  <c r="O2970" i="8"/>
  <c r="P2970" i="8"/>
  <c r="Q2970" i="8"/>
  <c r="R2970" i="8"/>
  <c r="S2970" i="8"/>
  <c r="T2970" i="8"/>
  <c r="E2971" i="8"/>
  <c r="F2971" i="8"/>
  <c r="G2971" i="8"/>
  <c r="H2971" i="8"/>
  <c r="I2971" i="8"/>
  <c r="J2971" i="8"/>
  <c r="K2971" i="8"/>
  <c r="L2971" i="8"/>
  <c r="T275" i="7"/>
  <c r="AB275" i="7"/>
  <c r="AH275" i="7"/>
  <c r="AJ275" i="7"/>
  <c r="AL275" i="7"/>
  <c r="AQ275" i="7"/>
  <c r="AJ274" i="7"/>
  <c r="AH274" i="7"/>
  <c r="AB274" i="7"/>
  <c r="T274" i="7"/>
  <c r="AQ274" i="7"/>
  <c r="AL274" i="7"/>
  <c r="AQ273" i="7"/>
  <c r="AL273" i="7"/>
  <c r="AH273" i="7"/>
  <c r="T273" i="7"/>
  <c r="AB273" i="7"/>
  <c r="AJ273" i="7"/>
  <c r="AH272" i="7"/>
  <c r="AB272" i="7"/>
  <c r="T272" i="7"/>
  <c r="AJ272" i="7"/>
  <c r="AQ272" i="7"/>
  <c r="AL272" i="7"/>
  <c r="AQ271" i="7"/>
  <c r="AJ271" i="7"/>
  <c r="AH271" i="7"/>
  <c r="AL271" i="7"/>
  <c r="AB271" i="7"/>
  <c r="T271" i="7"/>
  <c r="T270" i="7"/>
  <c r="AB270" i="7"/>
  <c r="AH270" i="7"/>
  <c r="AJ270" i="7"/>
  <c r="AL270" i="7"/>
  <c r="AQ270" i="7"/>
  <c r="AL269" i="7"/>
  <c r="AQ269" i="7"/>
  <c r="T269" i="7"/>
  <c r="AJ269" i="7"/>
  <c r="AH269" i="7"/>
  <c r="AB269" i="7"/>
  <c r="AQ268" i="7"/>
  <c r="AL268" i="7"/>
  <c r="AJ268" i="7"/>
  <c r="AH268" i="7"/>
  <c r="AB268" i="7"/>
  <c r="T268" i="7"/>
  <c r="AH267" i="7"/>
  <c r="AB267" i="7"/>
  <c r="T267" i="7"/>
  <c r="AQ267" i="7"/>
  <c r="AJ267" i="7"/>
  <c r="AL267" i="7"/>
  <c r="AQ266" i="7"/>
  <c r="AJ266" i="7"/>
  <c r="AH266" i="7"/>
  <c r="AB266" i="7"/>
  <c r="T266" i="7"/>
  <c r="AL266" i="7"/>
  <c r="AQ265" i="7"/>
  <c r="AL265" i="7"/>
  <c r="AJ265" i="7"/>
  <c r="AH265" i="7"/>
  <c r="AB265" i="7"/>
  <c r="T265" i="7"/>
  <c r="T264" i="7"/>
  <c r="AL264" i="7"/>
  <c r="AJ264" i="7"/>
  <c r="AH264" i="7"/>
  <c r="AB264" i="7"/>
  <c r="AQ264" i="7"/>
  <c r="AH263" i="7"/>
  <c r="AB263" i="7"/>
  <c r="T263" i="7"/>
  <c r="AQ263" i="7"/>
  <c r="AL263" i="7"/>
  <c r="AJ263" i="7"/>
  <c r="AQ262" i="7"/>
  <c r="AL262" i="7"/>
  <c r="AJ262" i="7"/>
  <c r="AH262" i="7"/>
  <c r="AB262" i="7"/>
  <c r="T262" i="7"/>
  <c r="AQ261" i="7"/>
  <c r="AL261" i="7"/>
  <c r="AJ261" i="7"/>
  <c r="AH261" i="7"/>
  <c r="AB261" i="7"/>
  <c r="T261" i="7"/>
  <c r="AB260" i="7"/>
  <c r="T260" i="7"/>
  <c r="AL260" i="7"/>
  <c r="AQ260" i="7"/>
  <c r="AJ260" i="7"/>
  <c r="AH260" i="7"/>
  <c r="AB259" i="7"/>
  <c r="AH259" i="7"/>
  <c r="T259" i="7"/>
  <c r="AQ259" i="7"/>
  <c r="AL259" i="7"/>
  <c r="AJ259" i="7"/>
  <c r="AH258" i="7"/>
  <c r="AB258" i="7"/>
  <c r="T258" i="7"/>
  <c r="AQ258" i="7"/>
  <c r="AL258" i="7"/>
  <c r="AJ258" i="7"/>
  <c r="T257" i="7"/>
  <c r="AQ257" i="7"/>
  <c r="AL257" i="7"/>
  <c r="AJ257" i="7"/>
  <c r="AH257" i="7"/>
  <c r="AB257" i="7"/>
  <c r="AQ256" i="7"/>
  <c r="AL256" i="7"/>
  <c r="AJ256" i="7"/>
  <c r="AH256" i="7"/>
  <c r="AB256" i="7"/>
  <c r="T256" i="7"/>
  <c r="AQ255" i="7"/>
  <c r="T255" i="7"/>
  <c r="AB255" i="7"/>
  <c r="AH255" i="7"/>
  <c r="AJ255" i="7"/>
  <c r="AL255" i="7"/>
  <c r="C255" i="7"/>
  <c r="A2738" i="8"/>
  <c r="A2737" i="8"/>
  <c r="A2736" i="8"/>
  <c r="A2735" i="8"/>
  <c r="AQ254" i="7"/>
  <c r="AL254" i="7"/>
  <c r="AJ254" i="7"/>
  <c r="AH254" i="7"/>
  <c r="AB254" i="7"/>
  <c r="T254" i="7"/>
  <c r="A2733" i="8"/>
  <c r="A2732" i="8"/>
  <c r="A2731" i="8"/>
  <c r="A2730" i="8"/>
  <c r="A2729" i="8"/>
  <c r="C254" i="7"/>
  <c r="A2728" i="8"/>
  <c r="A2727" i="8"/>
  <c r="A2724" i="8"/>
  <c r="A2726" i="8"/>
  <c r="A2725" i="8"/>
  <c r="A2734" i="8"/>
  <c r="AQ253" i="7"/>
  <c r="AL253" i="7"/>
  <c r="AH253" i="7"/>
  <c r="AB253" i="7"/>
  <c r="T253" i="7"/>
  <c r="AJ253" i="7"/>
  <c r="A2722" i="8"/>
  <c r="A2723" i="8"/>
  <c r="C253" i="7"/>
  <c r="A2717" i="8"/>
  <c r="A2716" i="8"/>
  <c r="A2714" i="8"/>
  <c r="A2719" i="8"/>
  <c r="A2713" i="8"/>
  <c r="A2718" i="8"/>
  <c r="A2720" i="8"/>
  <c r="A2721" i="8"/>
  <c r="A2715" i="8"/>
  <c r="AL252" i="7"/>
  <c r="AQ252" i="7"/>
  <c r="T252" i="7"/>
  <c r="AB252" i="7"/>
  <c r="AH252" i="7"/>
  <c r="AJ252" i="7"/>
  <c r="A2704" i="8"/>
  <c r="A2703" i="8"/>
  <c r="A2702" i="8"/>
  <c r="C252" i="7"/>
  <c r="A2712" i="8"/>
  <c r="A2711" i="8"/>
  <c r="A2710" i="8"/>
  <c r="A2709" i="8"/>
  <c r="A2708" i="8"/>
  <c r="A2707" i="8"/>
  <c r="A2706" i="8"/>
  <c r="A2705" i="8"/>
  <c r="AB251" i="7"/>
  <c r="T251" i="7"/>
  <c r="AH251" i="7"/>
  <c r="AQ251" i="7"/>
  <c r="AL251" i="7"/>
  <c r="AJ251" i="7"/>
  <c r="A2699" i="8"/>
  <c r="A2694" i="8"/>
  <c r="A2700" i="8"/>
  <c r="A2701" i="8"/>
  <c r="C251" i="7"/>
  <c r="A2691" i="8"/>
  <c r="A2692" i="8"/>
  <c r="A2693" i="8"/>
  <c r="A2695" i="8"/>
  <c r="A2696" i="8"/>
  <c r="A2697" i="8"/>
  <c r="A2698" i="8"/>
  <c r="AH250" i="7"/>
  <c r="AB250" i="7"/>
  <c r="T250" i="7"/>
  <c r="AJ250" i="7"/>
  <c r="AQ250" i="7"/>
  <c r="AL250" i="7"/>
  <c r="C250" i="7"/>
  <c r="A2689" i="8"/>
  <c r="A2688" i="8"/>
  <c r="A2687" i="8"/>
  <c r="A2686" i="8"/>
  <c r="A2685" i="8"/>
  <c r="A2684" i="8"/>
  <c r="A2683" i="8"/>
  <c r="A2682" i="8"/>
  <c r="A2681" i="8"/>
  <c r="A2680" i="8"/>
  <c r="A2690" i="8"/>
  <c r="AQ249" i="7"/>
  <c r="AL249" i="7"/>
  <c r="T249" i="7"/>
  <c r="AB249" i="7"/>
  <c r="AH249" i="7"/>
  <c r="AJ249" i="7"/>
  <c r="A2678" i="8"/>
  <c r="A2677" i="8"/>
  <c r="A2676" i="8"/>
  <c r="A2675" i="8"/>
  <c r="A2679" i="8"/>
  <c r="C249" i="7"/>
  <c r="A2669" i="8"/>
  <c r="A2674" i="8"/>
  <c r="A2673" i="8"/>
  <c r="A2672" i="8"/>
  <c r="A2671" i="8"/>
  <c r="A2670" i="8"/>
  <c r="AH248" i="7"/>
  <c r="T248" i="7"/>
  <c r="AQ248" i="7"/>
  <c r="AL248" i="7"/>
  <c r="AJ248" i="7"/>
  <c r="AB248" i="7"/>
  <c r="A2661" i="8"/>
  <c r="A2662" i="8"/>
  <c r="A2664" i="8"/>
  <c r="A2665" i="8"/>
  <c r="A2666" i="8"/>
  <c r="A2667" i="8"/>
  <c r="A2668" i="8"/>
  <c r="A2660" i="8"/>
  <c r="A2663" i="8"/>
  <c r="A2658" i="8"/>
  <c r="A2659" i="8"/>
  <c r="C248" i="7"/>
  <c r="T247" i="7"/>
  <c r="AB247" i="7"/>
  <c r="AH247" i="7"/>
  <c r="AJ247" i="7"/>
  <c r="AL247" i="7"/>
  <c r="AQ247" i="7"/>
  <c r="C247" i="7"/>
  <c r="A2647" i="8"/>
  <c r="A2648" i="8"/>
  <c r="A2649" i="8"/>
  <c r="A2650" i="8"/>
  <c r="A2651" i="8"/>
  <c r="A2652" i="8"/>
  <c r="A2653" i="8"/>
  <c r="A2654" i="8"/>
  <c r="A2655" i="8"/>
  <c r="A2656" i="8"/>
  <c r="A2657" i="8"/>
  <c r="AQ246" i="7"/>
  <c r="AL246" i="7"/>
  <c r="AJ246" i="7"/>
  <c r="AH246" i="7"/>
  <c r="AB246" i="7"/>
  <c r="T246" i="7"/>
  <c r="C246" i="7"/>
  <c r="A2642" i="8"/>
  <c r="A2643" i="8"/>
  <c r="A2644" i="8"/>
  <c r="A2645" i="8"/>
  <c r="A2646" i="8"/>
  <c r="A2640" i="8"/>
  <c r="A2639" i="8"/>
  <c r="A2638" i="8"/>
  <c r="A2637" i="8"/>
  <c r="A2636" i="8"/>
  <c r="A2641" i="8"/>
  <c r="AQ245" i="7"/>
  <c r="AL245" i="7"/>
  <c r="AJ245" i="7"/>
  <c r="AH245" i="7"/>
  <c r="AB245" i="7"/>
  <c r="T245" i="7"/>
  <c r="C245" i="7"/>
  <c r="A2625" i="8"/>
  <c r="A2626" i="8"/>
  <c r="A2627" i="8"/>
  <c r="A2629" i="8"/>
  <c r="A2630" i="8"/>
  <c r="A2631" i="8"/>
  <c r="A2633" i="8"/>
  <c r="A2628" i="8"/>
  <c r="A2635" i="8"/>
  <c r="A2634" i="8"/>
  <c r="A2632" i="8"/>
  <c r="AQ244" i="7"/>
  <c r="AL244" i="7"/>
  <c r="AJ244" i="7"/>
  <c r="AH244" i="7"/>
  <c r="AB244" i="7"/>
  <c r="T244" i="7"/>
  <c r="C244" i="7"/>
  <c r="A2619" i="8"/>
  <c r="A2618" i="8"/>
  <c r="A2620" i="8"/>
  <c r="A2621" i="8"/>
  <c r="A2622" i="8"/>
  <c r="A2623" i="8"/>
  <c r="A2624" i="8"/>
  <c r="AQ243" i="7"/>
  <c r="AL243" i="7"/>
  <c r="AH243" i="7"/>
  <c r="AB243" i="7"/>
  <c r="T243" i="7"/>
  <c r="AJ243" i="7"/>
  <c r="AQ242" i="7"/>
  <c r="T242" i="7"/>
  <c r="AB242" i="7"/>
  <c r="AH242" i="7"/>
  <c r="AJ242" i="7"/>
  <c r="AL242" i="7"/>
  <c r="AL241" i="7"/>
  <c r="AQ241" i="7"/>
  <c r="T241" i="7"/>
  <c r="AB241" i="7"/>
  <c r="AH241" i="7"/>
  <c r="AJ241" i="7"/>
  <c r="E241" i="7"/>
  <c r="F241" i="7"/>
  <c r="G241" i="7"/>
  <c r="H241" i="7"/>
  <c r="I241" i="7"/>
  <c r="J241" i="7"/>
  <c r="K241" i="7"/>
  <c r="L241" i="7"/>
  <c r="M241" i="7"/>
  <c r="N241" i="7"/>
  <c r="P241" i="7"/>
  <c r="Q241" i="7"/>
  <c r="R241" i="7"/>
  <c r="S241" i="7"/>
  <c r="U241" i="7"/>
  <c r="V241" i="7"/>
  <c r="W241" i="7"/>
  <c r="X241" i="7"/>
  <c r="Y241" i="7"/>
  <c r="Z241" i="7"/>
  <c r="AA241" i="7"/>
  <c r="AC241" i="7"/>
  <c r="AE241" i="7"/>
  <c r="AI241" i="7"/>
  <c r="AO241" i="7"/>
  <c r="AP241" i="7"/>
  <c r="E2581" i="8"/>
  <c r="F2581" i="8"/>
  <c r="G2581" i="8"/>
  <c r="H2581" i="8"/>
  <c r="I2581" i="8"/>
  <c r="J2581" i="8"/>
  <c r="K2581" i="8"/>
  <c r="L2581" i="8"/>
  <c r="M2581" i="8"/>
  <c r="N2581" i="8"/>
  <c r="O2581" i="8"/>
  <c r="P2581" i="8"/>
  <c r="Q2581" i="8"/>
  <c r="R2581" i="8"/>
  <c r="S2581" i="8"/>
  <c r="T2581" i="8"/>
  <c r="E2582" i="8"/>
  <c r="F2582" i="8"/>
  <c r="G2582" i="8"/>
  <c r="H2582" i="8"/>
  <c r="I2582" i="8"/>
  <c r="J2582" i="8"/>
  <c r="K2582" i="8"/>
  <c r="L2582" i="8"/>
  <c r="M2582" i="8"/>
  <c r="N2582" i="8"/>
  <c r="O2582" i="8"/>
  <c r="P2582" i="8"/>
  <c r="Q2582" i="8"/>
  <c r="R2582" i="8"/>
  <c r="S2582" i="8"/>
  <c r="T2582" i="8"/>
  <c r="E2583" i="8"/>
  <c r="F2583" i="8"/>
  <c r="G2583" i="8"/>
  <c r="H2583" i="8"/>
  <c r="I2583" i="8"/>
  <c r="J2583" i="8"/>
  <c r="K2583" i="8"/>
  <c r="L2583" i="8"/>
  <c r="M2583" i="8"/>
  <c r="N2583" i="8"/>
  <c r="O2583" i="8"/>
  <c r="P2583" i="8"/>
  <c r="Q2583" i="8"/>
  <c r="R2583" i="8"/>
  <c r="S2583" i="8"/>
  <c r="T2583" i="8"/>
  <c r="E2584" i="8"/>
  <c r="F2584" i="8"/>
  <c r="G2584" i="8"/>
  <c r="H2584" i="8"/>
  <c r="I2584" i="8"/>
  <c r="J2584" i="8"/>
  <c r="K2584" i="8"/>
  <c r="L2584" i="8"/>
  <c r="M2584" i="8"/>
  <c r="N2584" i="8"/>
  <c r="O2584" i="8"/>
  <c r="P2584" i="8"/>
  <c r="Q2584" i="8"/>
  <c r="R2584" i="8"/>
  <c r="S2584" i="8"/>
  <c r="T2584" i="8"/>
  <c r="E2585" i="8"/>
  <c r="F2585" i="8"/>
  <c r="G2585" i="8"/>
  <c r="H2585" i="8"/>
  <c r="I2585" i="8"/>
  <c r="J2585" i="8"/>
  <c r="K2585" i="8"/>
  <c r="L2585" i="8"/>
  <c r="M2585" i="8"/>
  <c r="N2585" i="8"/>
  <c r="O2585" i="8"/>
  <c r="P2585" i="8"/>
  <c r="Q2585" i="8"/>
  <c r="R2585" i="8"/>
  <c r="S2585" i="8"/>
  <c r="T2585" i="8"/>
  <c r="E2586" i="8"/>
  <c r="F2586" i="8"/>
  <c r="G2586" i="8"/>
  <c r="H2586" i="8"/>
  <c r="I2586" i="8"/>
  <c r="J2586" i="8"/>
  <c r="K2586" i="8"/>
  <c r="L2586" i="8"/>
  <c r="M2586" i="8"/>
  <c r="N2586" i="8"/>
  <c r="O2586" i="8"/>
  <c r="P2586" i="8"/>
  <c r="Q2586" i="8"/>
  <c r="R2586" i="8"/>
  <c r="S2586" i="8"/>
  <c r="T2586" i="8"/>
  <c r="E2587" i="8"/>
  <c r="F2587" i="8"/>
  <c r="G2587" i="8"/>
  <c r="H2587" i="8"/>
  <c r="I2587" i="8"/>
  <c r="J2587" i="8"/>
  <c r="K2587" i="8"/>
  <c r="L2587" i="8"/>
  <c r="M2587" i="8"/>
  <c r="N2587" i="8"/>
  <c r="O2587" i="8"/>
  <c r="P2587" i="8"/>
  <c r="Q2587" i="8"/>
  <c r="R2587" i="8"/>
  <c r="S2587" i="8"/>
  <c r="T2587" i="8"/>
  <c r="E2588" i="8"/>
  <c r="F2588" i="8"/>
  <c r="G2588" i="8"/>
  <c r="H2588" i="8"/>
  <c r="I2588" i="8"/>
  <c r="J2588" i="8"/>
  <c r="K2588" i="8"/>
  <c r="L2588" i="8"/>
  <c r="M2588" i="8"/>
  <c r="N2588" i="8"/>
  <c r="O2588" i="8"/>
  <c r="P2588" i="8"/>
  <c r="Q2588" i="8"/>
  <c r="R2588" i="8"/>
  <c r="S2588" i="8"/>
  <c r="T2588" i="8"/>
  <c r="E2589" i="8"/>
  <c r="F2589" i="8"/>
  <c r="G2589" i="8"/>
  <c r="H2589" i="8"/>
  <c r="I2589" i="8"/>
  <c r="J2589" i="8"/>
  <c r="K2589" i="8"/>
  <c r="L2589" i="8"/>
  <c r="M2589" i="8"/>
  <c r="N2589" i="8"/>
  <c r="O2589" i="8"/>
  <c r="P2589" i="8"/>
  <c r="Q2589" i="8"/>
  <c r="R2589" i="8"/>
  <c r="S2589" i="8"/>
  <c r="T2589" i="8"/>
  <c r="E2590" i="8"/>
  <c r="F2590" i="8"/>
  <c r="G2590" i="8"/>
  <c r="H2590" i="8"/>
  <c r="I2590" i="8"/>
  <c r="J2590" i="8"/>
  <c r="K2590" i="8"/>
  <c r="L2590" i="8"/>
  <c r="M2590" i="8"/>
  <c r="N2590" i="8"/>
  <c r="O2590" i="8"/>
  <c r="P2590" i="8"/>
  <c r="Q2590" i="8"/>
  <c r="R2590" i="8"/>
  <c r="S2590" i="8"/>
  <c r="T2590" i="8"/>
  <c r="E2591" i="8"/>
  <c r="F2591" i="8"/>
  <c r="G2591" i="8"/>
  <c r="H2591" i="8"/>
  <c r="I2591" i="8"/>
  <c r="J2591" i="8"/>
  <c r="K2591" i="8"/>
  <c r="L2591" i="8"/>
  <c r="M2591" i="8"/>
  <c r="N2591" i="8"/>
  <c r="O2591" i="8"/>
  <c r="P2591" i="8"/>
  <c r="Q2591" i="8"/>
  <c r="R2591" i="8"/>
  <c r="S2591" i="8"/>
  <c r="T2591" i="8"/>
  <c r="AH240" i="7"/>
  <c r="AQ240" i="7"/>
  <c r="AL240" i="7"/>
  <c r="AJ240" i="7"/>
  <c r="T240" i="7"/>
  <c r="AB240" i="7"/>
  <c r="E240" i="7"/>
  <c r="F240" i="7"/>
  <c r="G240" i="7"/>
  <c r="H240" i="7"/>
  <c r="I240" i="7"/>
  <c r="J240" i="7"/>
  <c r="K240" i="7"/>
  <c r="L240" i="7"/>
  <c r="M240" i="7"/>
  <c r="N240" i="7"/>
  <c r="P240" i="7"/>
  <c r="Q240" i="7"/>
  <c r="R240" i="7"/>
  <c r="S240" i="7"/>
  <c r="U240" i="7"/>
  <c r="V240" i="7"/>
  <c r="W240" i="7"/>
  <c r="X240" i="7"/>
  <c r="Y240" i="7"/>
  <c r="Z240" i="7"/>
  <c r="AA240" i="7"/>
  <c r="AC240" i="7"/>
  <c r="AE240" i="7"/>
  <c r="AI240" i="7"/>
  <c r="AO240" i="7"/>
  <c r="AP240" i="7"/>
  <c r="E2570" i="8"/>
  <c r="F2570" i="8"/>
  <c r="G2570" i="8"/>
  <c r="H2570" i="8"/>
  <c r="I2570" i="8"/>
  <c r="J2570" i="8"/>
  <c r="K2570" i="8"/>
  <c r="L2570" i="8"/>
  <c r="M2570" i="8"/>
  <c r="N2570" i="8"/>
  <c r="O2570" i="8"/>
  <c r="P2570" i="8"/>
  <c r="Q2570" i="8"/>
  <c r="R2570" i="8"/>
  <c r="S2570" i="8"/>
  <c r="T2570" i="8"/>
  <c r="E2571" i="8"/>
  <c r="F2571" i="8"/>
  <c r="G2571" i="8"/>
  <c r="H2571" i="8"/>
  <c r="I2571" i="8"/>
  <c r="J2571" i="8"/>
  <c r="K2571" i="8"/>
  <c r="L2571" i="8"/>
  <c r="M2571" i="8"/>
  <c r="N2571" i="8"/>
  <c r="O2571" i="8"/>
  <c r="P2571" i="8"/>
  <c r="Q2571" i="8"/>
  <c r="R2571" i="8"/>
  <c r="S2571" i="8"/>
  <c r="T2571" i="8"/>
  <c r="E2572" i="8"/>
  <c r="F2572" i="8"/>
  <c r="G2572" i="8"/>
  <c r="H2572" i="8"/>
  <c r="I2572" i="8"/>
  <c r="J2572" i="8"/>
  <c r="K2572" i="8"/>
  <c r="L2572" i="8"/>
  <c r="M2572" i="8"/>
  <c r="N2572" i="8"/>
  <c r="O2572" i="8"/>
  <c r="P2572" i="8"/>
  <c r="Q2572" i="8"/>
  <c r="R2572" i="8"/>
  <c r="S2572" i="8"/>
  <c r="T2572" i="8"/>
  <c r="E2573" i="8"/>
  <c r="F2573" i="8"/>
  <c r="G2573" i="8"/>
  <c r="H2573" i="8"/>
  <c r="I2573" i="8"/>
  <c r="J2573" i="8"/>
  <c r="K2573" i="8"/>
  <c r="L2573" i="8"/>
  <c r="M2573" i="8"/>
  <c r="N2573" i="8"/>
  <c r="O2573" i="8"/>
  <c r="P2573" i="8"/>
  <c r="Q2573" i="8"/>
  <c r="R2573" i="8"/>
  <c r="S2573" i="8"/>
  <c r="T2573" i="8"/>
  <c r="E2574" i="8"/>
  <c r="F2574" i="8"/>
  <c r="G2574" i="8"/>
  <c r="H2574" i="8"/>
  <c r="I2574" i="8"/>
  <c r="J2574" i="8"/>
  <c r="K2574" i="8"/>
  <c r="L2574" i="8"/>
  <c r="M2574" i="8"/>
  <c r="N2574" i="8"/>
  <c r="O2574" i="8"/>
  <c r="P2574" i="8"/>
  <c r="Q2574" i="8"/>
  <c r="R2574" i="8"/>
  <c r="S2574" i="8"/>
  <c r="T2574" i="8"/>
  <c r="E2575" i="8"/>
  <c r="F2575" i="8"/>
  <c r="G2575" i="8"/>
  <c r="H2575" i="8"/>
  <c r="I2575" i="8"/>
  <c r="J2575" i="8"/>
  <c r="K2575" i="8"/>
  <c r="L2575" i="8"/>
  <c r="M2575" i="8"/>
  <c r="N2575" i="8"/>
  <c r="O2575" i="8"/>
  <c r="P2575" i="8"/>
  <c r="Q2575" i="8"/>
  <c r="R2575" i="8"/>
  <c r="S2575" i="8"/>
  <c r="T2575" i="8"/>
  <c r="E2576" i="8"/>
  <c r="F2576" i="8"/>
  <c r="G2576" i="8"/>
  <c r="H2576" i="8"/>
  <c r="I2576" i="8"/>
  <c r="J2576" i="8"/>
  <c r="K2576" i="8"/>
  <c r="L2576" i="8"/>
  <c r="M2576" i="8"/>
  <c r="N2576" i="8"/>
  <c r="O2576" i="8"/>
  <c r="P2576" i="8"/>
  <c r="Q2576" i="8"/>
  <c r="R2576" i="8"/>
  <c r="S2576" i="8"/>
  <c r="T2576" i="8"/>
  <c r="E2577" i="8"/>
  <c r="F2577" i="8"/>
  <c r="G2577" i="8"/>
  <c r="H2577" i="8"/>
  <c r="I2577" i="8"/>
  <c r="J2577" i="8"/>
  <c r="K2577" i="8"/>
  <c r="L2577" i="8"/>
  <c r="M2577" i="8"/>
  <c r="N2577" i="8"/>
  <c r="O2577" i="8"/>
  <c r="P2577" i="8"/>
  <c r="Q2577" i="8"/>
  <c r="R2577" i="8"/>
  <c r="S2577" i="8"/>
  <c r="T2577" i="8"/>
  <c r="E2578" i="8"/>
  <c r="F2578" i="8"/>
  <c r="G2578" i="8"/>
  <c r="H2578" i="8"/>
  <c r="I2578" i="8"/>
  <c r="J2578" i="8"/>
  <c r="K2578" i="8"/>
  <c r="L2578" i="8"/>
  <c r="M2578" i="8"/>
  <c r="N2578" i="8"/>
  <c r="O2578" i="8"/>
  <c r="P2578" i="8"/>
  <c r="Q2578" i="8"/>
  <c r="R2578" i="8"/>
  <c r="S2578" i="8"/>
  <c r="T2578" i="8"/>
  <c r="E2579" i="8"/>
  <c r="F2579" i="8"/>
  <c r="G2579" i="8"/>
  <c r="H2579" i="8"/>
  <c r="I2579" i="8"/>
  <c r="J2579" i="8"/>
  <c r="K2579" i="8"/>
  <c r="L2579" i="8"/>
  <c r="M2579" i="8"/>
  <c r="N2579" i="8"/>
  <c r="O2579" i="8"/>
  <c r="P2579" i="8"/>
  <c r="Q2579" i="8"/>
  <c r="R2579" i="8"/>
  <c r="S2579" i="8"/>
  <c r="T2579" i="8"/>
  <c r="E2580" i="8"/>
  <c r="F2580" i="8"/>
  <c r="G2580" i="8"/>
  <c r="H2580" i="8"/>
  <c r="I2580" i="8"/>
  <c r="J2580" i="8"/>
  <c r="K2580" i="8"/>
  <c r="L2580" i="8"/>
  <c r="M2580" i="8"/>
  <c r="N2580" i="8"/>
  <c r="O2580" i="8"/>
  <c r="P2580" i="8"/>
  <c r="Q2580" i="8"/>
  <c r="R2580" i="8"/>
  <c r="S2580" i="8"/>
  <c r="T2580" i="8"/>
  <c r="T239" i="7"/>
  <c r="AB239" i="7"/>
  <c r="AH239" i="7"/>
  <c r="AL239" i="7"/>
  <c r="AQ239" i="7"/>
  <c r="AJ239" i="7"/>
  <c r="E239" i="7"/>
  <c r="F239" i="7"/>
  <c r="G239" i="7"/>
  <c r="H239" i="7"/>
  <c r="I239" i="7"/>
  <c r="J239" i="7"/>
  <c r="K239" i="7"/>
  <c r="L239" i="7"/>
  <c r="M239" i="7"/>
  <c r="N239" i="7"/>
  <c r="P239" i="7"/>
  <c r="Q239" i="7"/>
  <c r="R239" i="7"/>
  <c r="S239" i="7"/>
  <c r="U239" i="7"/>
  <c r="V239" i="7"/>
  <c r="W239" i="7"/>
  <c r="X239" i="7"/>
  <c r="Y239" i="7"/>
  <c r="Z239" i="7"/>
  <c r="AA239" i="7"/>
  <c r="AC239" i="7"/>
  <c r="AE239" i="7"/>
  <c r="AI239" i="7"/>
  <c r="AO239" i="7"/>
  <c r="AP239" i="7"/>
  <c r="E2559" i="8"/>
  <c r="F2559" i="8"/>
  <c r="G2559" i="8"/>
  <c r="H2559" i="8"/>
  <c r="I2559" i="8"/>
  <c r="J2559" i="8"/>
  <c r="K2559" i="8"/>
  <c r="L2559" i="8"/>
  <c r="M2559" i="8"/>
  <c r="N2559" i="8"/>
  <c r="O2559" i="8"/>
  <c r="P2559" i="8"/>
  <c r="Q2559" i="8"/>
  <c r="R2559" i="8"/>
  <c r="S2559" i="8"/>
  <c r="T2559" i="8"/>
  <c r="E2560" i="8"/>
  <c r="F2560" i="8"/>
  <c r="G2560" i="8"/>
  <c r="H2560" i="8"/>
  <c r="I2560" i="8"/>
  <c r="J2560" i="8"/>
  <c r="K2560" i="8"/>
  <c r="L2560" i="8"/>
  <c r="M2560" i="8"/>
  <c r="N2560" i="8"/>
  <c r="O2560" i="8"/>
  <c r="P2560" i="8"/>
  <c r="Q2560" i="8"/>
  <c r="R2560" i="8"/>
  <c r="S2560" i="8"/>
  <c r="T2560" i="8"/>
  <c r="E2561" i="8"/>
  <c r="F2561" i="8"/>
  <c r="G2561" i="8"/>
  <c r="H2561" i="8"/>
  <c r="I2561" i="8"/>
  <c r="J2561" i="8"/>
  <c r="K2561" i="8"/>
  <c r="L2561" i="8"/>
  <c r="M2561" i="8"/>
  <c r="N2561" i="8"/>
  <c r="O2561" i="8"/>
  <c r="P2561" i="8"/>
  <c r="Q2561" i="8"/>
  <c r="R2561" i="8"/>
  <c r="S2561" i="8"/>
  <c r="T2561" i="8"/>
  <c r="E2562" i="8"/>
  <c r="F2562" i="8"/>
  <c r="G2562" i="8"/>
  <c r="H2562" i="8"/>
  <c r="I2562" i="8"/>
  <c r="J2562" i="8"/>
  <c r="K2562" i="8"/>
  <c r="L2562" i="8"/>
  <c r="M2562" i="8"/>
  <c r="N2562" i="8"/>
  <c r="O2562" i="8"/>
  <c r="P2562" i="8"/>
  <c r="Q2562" i="8"/>
  <c r="R2562" i="8"/>
  <c r="S2562" i="8"/>
  <c r="T2562" i="8"/>
  <c r="E2563" i="8"/>
  <c r="F2563" i="8"/>
  <c r="G2563" i="8"/>
  <c r="H2563" i="8"/>
  <c r="I2563" i="8"/>
  <c r="J2563" i="8"/>
  <c r="K2563" i="8"/>
  <c r="L2563" i="8"/>
  <c r="M2563" i="8"/>
  <c r="N2563" i="8"/>
  <c r="O2563" i="8"/>
  <c r="P2563" i="8"/>
  <c r="Q2563" i="8"/>
  <c r="R2563" i="8"/>
  <c r="S2563" i="8"/>
  <c r="T2563" i="8"/>
  <c r="E2564" i="8"/>
  <c r="F2564" i="8"/>
  <c r="G2564" i="8"/>
  <c r="H2564" i="8"/>
  <c r="I2564" i="8"/>
  <c r="J2564" i="8"/>
  <c r="K2564" i="8"/>
  <c r="L2564" i="8"/>
  <c r="M2564" i="8"/>
  <c r="N2564" i="8"/>
  <c r="O2564" i="8"/>
  <c r="P2564" i="8"/>
  <c r="Q2564" i="8"/>
  <c r="R2564" i="8"/>
  <c r="S2564" i="8"/>
  <c r="T2564" i="8"/>
  <c r="E2565" i="8"/>
  <c r="F2565" i="8"/>
  <c r="G2565" i="8"/>
  <c r="H2565" i="8"/>
  <c r="I2565" i="8"/>
  <c r="J2565" i="8"/>
  <c r="K2565" i="8"/>
  <c r="L2565" i="8"/>
  <c r="M2565" i="8"/>
  <c r="N2565" i="8"/>
  <c r="O2565" i="8"/>
  <c r="P2565" i="8"/>
  <c r="Q2565" i="8"/>
  <c r="R2565" i="8"/>
  <c r="S2565" i="8"/>
  <c r="T2565" i="8"/>
  <c r="E2566" i="8"/>
  <c r="F2566" i="8"/>
  <c r="G2566" i="8"/>
  <c r="H2566" i="8"/>
  <c r="I2566" i="8"/>
  <c r="J2566" i="8"/>
  <c r="K2566" i="8"/>
  <c r="L2566" i="8"/>
  <c r="M2566" i="8"/>
  <c r="N2566" i="8"/>
  <c r="O2566" i="8"/>
  <c r="P2566" i="8"/>
  <c r="Q2566" i="8"/>
  <c r="R2566" i="8"/>
  <c r="S2566" i="8"/>
  <c r="T2566" i="8"/>
  <c r="E2567" i="8"/>
  <c r="F2567" i="8"/>
  <c r="G2567" i="8"/>
  <c r="H2567" i="8"/>
  <c r="I2567" i="8"/>
  <c r="J2567" i="8"/>
  <c r="K2567" i="8"/>
  <c r="L2567" i="8"/>
  <c r="M2567" i="8"/>
  <c r="N2567" i="8"/>
  <c r="O2567" i="8"/>
  <c r="P2567" i="8"/>
  <c r="Q2567" i="8"/>
  <c r="R2567" i="8"/>
  <c r="S2567" i="8"/>
  <c r="T2567" i="8"/>
  <c r="E2568" i="8"/>
  <c r="F2568" i="8"/>
  <c r="G2568" i="8"/>
  <c r="H2568" i="8"/>
  <c r="I2568" i="8"/>
  <c r="J2568" i="8"/>
  <c r="K2568" i="8"/>
  <c r="L2568" i="8"/>
  <c r="M2568" i="8"/>
  <c r="N2568" i="8"/>
  <c r="O2568" i="8"/>
  <c r="P2568" i="8"/>
  <c r="Q2568" i="8"/>
  <c r="R2568" i="8"/>
  <c r="S2568" i="8"/>
  <c r="T2568" i="8"/>
  <c r="E2569" i="8"/>
  <c r="F2569" i="8"/>
  <c r="G2569" i="8"/>
  <c r="H2569" i="8"/>
  <c r="I2569" i="8"/>
  <c r="J2569" i="8"/>
  <c r="K2569" i="8"/>
  <c r="L2569" i="8"/>
  <c r="M2569" i="8"/>
  <c r="N2569" i="8"/>
  <c r="O2569" i="8"/>
  <c r="P2569" i="8"/>
  <c r="Q2569" i="8"/>
  <c r="R2569" i="8"/>
  <c r="S2569" i="8"/>
  <c r="T2569" i="8"/>
  <c r="AJ238" i="7"/>
  <c r="AL238" i="7"/>
  <c r="AQ238" i="7"/>
  <c r="AH238" i="7"/>
  <c r="T238" i="7"/>
  <c r="AB238" i="7"/>
  <c r="E238" i="7"/>
  <c r="F238" i="7"/>
  <c r="G238" i="7"/>
  <c r="H238" i="7"/>
  <c r="I238" i="7"/>
  <c r="J238" i="7"/>
  <c r="K238" i="7"/>
  <c r="L238" i="7"/>
  <c r="M238" i="7"/>
  <c r="N238" i="7"/>
  <c r="P238" i="7"/>
  <c r="Q238" i="7"/>
  <c r="R238" i="7"/>
  <c r="S238" i="7"/>
  <c r="U238" i="7"/>
  <c r="V238" i="7"/>
  <c r="W238" i="7"/>
  <c r="X238" i="7"/>
  <c r="Y238" i="7"/>
  <c r="Z238" i="7"/>
  <c r="AA238" i="7"/>
  <c r="AC238" i="7"/>
  <c r="AE238" i="7"/>
  <c r="AI238" i="7"/>
  <c r="AO238" i="7"/>
  <c r="AP238" i="7"/>
  <c r="E2548" i="8"/>
  <c r="F2548" i="8"/>
  <c r="G2548" i="8"/>
  <c r="H2548" i="8"/>
  <c r="I2548" i="8"/>
  <c r="J2548" i="8"/>
  <c r="K2548" i="8"/>
  <c r="L2548" i="8"/>
  <c r="M2548" i="8"/>
  <c r="N2548" i="8"/>
  <c r="O2548" i="8"/>
  <c r="P2548" i="8"/>
  <c r="Q2548" i="8"/>
  <c r="R2548" i="8"/>
  <c r="S2548" i="8"/>
  <c r="T2548" i="8"/>
  <c r="E2549" i="8"/>
  <c r="F2549" i="8"/>
  <c r="G2549" i="8"/>
  <c r="H2549" i="8"/>
  <c r="I2549" i="8"/>
  <c r="J2549" i="8"/>
  <c r="K2549" i="8"/>
  <c r="L2549" i="8"/>
  <c r="M2549" i="8"/>
  <c r="N2549" i="8"/>
  <c r="O2549" i="8"/>
  <c r="P2549" i="8"/>
  <c r="Q2549" i="8"/>
  <c r="R2549" i="8"/>
  <c r="S2549" i="8"/>
  <c r="T2549" i="8"/>
  <c r="E2550" i="8"/>
  <c r="F2550" i="8"/>
  <c r="G2550" i="8"/>
  <c r="H2550" i="8"/>
  <c r="I2550" i="8"/>
  <c r="J2550" i="8"/>
  <c r="K2550" i="8"/>
  <c r="L2550" i="8"/>
  <c r="M2550" i="8"/>
  <c r="N2550" i="8"/>
  <c r="O2550" i="8"/>
  <c r="P2550" i="8"/>
  <c r="Q2550" i="8"/>
  <c r="R2550" i="8"/>
  <c r="S2550" i="8"/>
  <c r="T2550" i="8"/>
  <c r="E2551" i="8"/>
  <c r="F2551" i="8"/>
  <c r="G2551" i="8"/>
  <c r="H2551" i="8"/>
  <c r="I2551" i="8"/>
  <c r="J2551" i="8"/>
  <c r="K2551" i="8"/>
  <c r="L2551" i="8"/>
  <c r="M2551" i="8"/>
  <c r="N2551" i="8"/>
  <c r="O2551" i="8"/>
  <c r="P2551" i="8"/>
  <c r="Q2551" i="8"/>
  <c r="R2551" i="8"/>
  <c r="S2551" i="8"/>
  <c r="T2551" i="8"/>
  <c r="E2552" i="8"/>
  <c r="F2552" i="8"/>
  <c r="G2552" i="8"/>
  <c r="H2552" i="8"/>
  <c r="I2552" i="8"/>
  <c r="J2552" i="8"/>
  <c r="K2552" i="8"/>
  <c r="L2552" i="8"/>
  <c r="M2552" i="8"/>
  <c r="N2552" i="8"/>
  <c r="O2552" i="8"/>
  <c r="P2552" i="8"/>
  <c r="Q2552" i="8"/>
  <c r="R2552" i="8"/>
  <c r="S2552" i="8"/>
  <c r="T2552" i="8"/>
  <c r="E2553" i="8"/>
  <c r="F2553" i="8"/>
  <c r="G2553" i="8"/>
  <c r="H2553" i="8"/>
  <c r="I2553" i="8"/>
  <c r="J2553" i="8"/>
  <c r="K2553" i="8"/>
  <c r="L2553" i="8"/>
  <c r="M2553" i="8"/>
  <c r="N2553" i="8"/>
  <c r="O2553" i="8"/>
  <c r="P2553" i="8"/>
  <c r="Q2553" i="8"/>
  <c r="R2553" i="8"/>
  <c r="S2553" i="8"/>
  <c r="T2553" i="8"/>
  <c r="E2554" i="8"/>
  <c r="F2554" i="8"/>
  <c r="G2554" i="8"/>
  <c r="H2554" i="8"/>
  <c r="I2554" i="8"/>
  <c r="J2554" i="8"/>
  <c r="K2554" i="8"/>
  <c r="L2554" i="8"/>
  <c r="M2554" i="8"/>
  <c r="N2554" i="8"/>
  <c r="O2554" i="8"/>
  <c r="P2554" i="8"/>
  <c r="Q2554" i="8"/>
  <c r="R2554" i="8"/>
  <c r="S2554" i="8"/>
  <c r="T2554" i="8"/>
  <c r="E2555" i="8"/>
  <c r="F2555" i="8"/>
  <c r="G2555" i="8"/>
  <c r="H2555" i="8"/>
  <c r="I2555" i="8"/>
  <c r="J2555" i="8"/>
  <c r="K2555" i="8"/>
  <c r="L2555" i="8"/>
  <c r="M2555" i="8"/>
  <c r="N2555" i="8"/>
  <c r="O2555" i="8"/>
  <c r="P2555" i="8"/>
  <c r="Q2555" i="8"/>
  <c r="R2555" i="8"/>
  <c r="S2555" i="8"/>
  <c r="T2555" i="8"/>
  <c r="E2556" i="8"/>
  <c r="F2556" i="8"/>
  <c r="G2556" i="8"/>
  <c r="H2556" i="8"/>
  <c r="I2556" i="8"/>
  <c r="J2556" i="8"/>
  <c r="K2556" i="8"/>
  <c r="L2556" i="8"/>
  <c r="M2556" i="8"/>
  <c r="N2556" i="8"/>
  <c r="O2556" i="8"/>
  <c r="P2556" i="8"/>
  <c r="Q2556" i="8"/>
  <c r="R2556" i="8"/>
  <c r="S2556" i="8"/>
  <c r="T2556" i="8"/>
  <c r="E2557" i="8"/>
  <c r="F2557" i="8"/>
  <c r="G2557" i="8"/>
  <c r="H2557" i="8"/>
  <c r="I2557" i="8"/>
  <c r="J2557" i="8"/>
  <c r="K2557" i="8"/>
  <c r="L2557" i="8"/>
  <c r="M2557" i="8"/>
  <c r="N2557" i="8"/>
  <c r="O2557" i="8"/>
  <c r="P2557" i="8"/>
  <c r="Q2557" i="8"/>
  <c r="R2557" i="8"/>
  <c r="S2557" i="8"/>
  <c r="T2557" i="8"/>
  <c r="E2558" i="8"/>
  <c r="F2558" i="8"/>
  <c r="G2558" i="8"/>
  <c r="H2558" i="8"/>
  <c r="I2558" i="8"/>
  <c r="J2558" i="8"/>
  <c r="K2558" i="8"/>
  <c r="L2558" i="8"/>
  <c r="M2558" i="8"/>
  <c r="N2558" i="8"/>
  <c r="O2558" i="8"/>
  <c r="P2558" i="8"/>
  <c r="Q2558" i="8"/>
  <c r="R2558" i="8"/>
  <c r="S2558" i="8"/>
  <c r="T2558" i="8"/>
  <c r="AB237" i="7"/>
  <c r="AH237" i="7"/>
  <c r="AJ237" i="7"/>
  <c r="AQ237" i="7"/>
  <c r="T237" i="7"/>
  <c r="AL237" i="7"/>
  <c r="E237" i="7"/>
  <c r="F237" i="7"/>
  <c r="G237" i="7"/>
  <c r="H237" i="7"/>
  <c r="I237" i="7"/>
  <c r="J237" i="7"/>
  <c r="K237" i="7"/>
  <c r="L237" i="7"/>
  <c r="M237" i="7"/>
  <c r="N237" i="7"/>
  <c r="P237" i="7"/>
  <c r="Q237" i="7"/>
  <c r="R237" i="7"/>
  <c r="S237" i="7"/>
  <c r="U237" i="7"/>
  <c r="V237" i="7"/>
  <c r="W237" i="7"/>
  <c r="X237" i="7"/>
  <c r="Y237" i="7"/>
  <c r="Z237" i="7"/>
  <c r="AA237" i="7"/>
  <c r="AC237" i="7"/>
  <c r="AE237" i="7"/>
  <c r="AI237" i="7"/>
  <c r="AO237" i="7"/>
  <c r="AP237" i="7"/>
  <c r="E2537" i="8"/>
  <c r="F2537" i="8"/>
  <c r="G2537" i="8"/>
  <c r="H2537" i="8"/>
  <c r="I2537" i="8"/>
  <c r="J2537" i="8"/>
  <c r="K2537" i="8"/>
  <c r="L2537" i="8"/>
  <c r="M2537" i="8"/>
  <c r="N2537" i="8"/>
  <c r="O2537" i="8"/>
  <c r="P2537" i="8"/>
  <c r="Q2537" i="8"/>
  <c r="R2537" i="8"/>
  <c r="S2537" i="8"/>
  <c r="T2537" i="8"/>
  <c r="E2538" i="8"/>
  <c r="F2538" i="8"/>
  <c r="G2538" i="8"/>
  <c r="H2538" i="8"/>
  <c r="I2538" i="8"/>
  <c r="J2538" i="8"/>
  <c r="K2538" i="8"/>
  <c r="L2538" i="8"/>
  <c r="M2538" i="8"/>
  <c r="N2538" i="8"/>
  <c r="O2538" i="8"/>
  <c r="P2538" i="8"/>
  <c r="Q2538" i="8"/>
  <c r="R2538" i="8"/>
  <c r="S2538" i="8"/>
  <c r="T2538" i="8"/>
  <c r="E2539" i="8"/>
  <c r="F2539" i="8"/>
  <c r="G2539" i="8"/>
  <c r="H2539" i="8"/>
  <c r="I2539" i="8"/>
  <c r="J2539" i="8"/>
  <c r="K2539" i="8"/>
  <c r="L2539" i="8"/>
  <c r="M2539" i="8"/>
  <c r="N2539" i="8"/>
  <c r="O2539" i="8"/>
  <c r="P2539" i="8"/>
  <c r="Q2539" i="8"/>
  <c r="R2539" i="8"/>
  <c r="S2539" i="8"/>
  <c r="T2539" i="8"/>
  <c r="E2540" i="8"/>
  <c r="F2540" i="8"/>
  <c r="G2540" i="8"/>
  <c r="H2540" i="8"/>
  <c r="I2540" i="8"/>
  <c r="J2540" i="8"/>
  <c r="K2540" i="8"/>
  <c r="L2540" i="8"/>
  <c r="M2540" i="8"/>
  <c r="N2540" i="8"/>
  <c r="O2540" i="8"/>
  <c r="P2540" i="8"/>
  <c r="Q2540" i="8"/>
  <c r="R2540" i="8"/>
  <c r="S2540" i="8"/>
  <c r="T2540" i="8"/>
  <c r="E2541" i="8"/>
  <c r="F2541" i="8"/>
  <c r="G2541" i="8"/>
  <c r="H2541" i="8"/>
  <c r="I2541" i="8"/>
  <c r="J2541" i="8"/>
  <c r="K2541" i="8"/>
  <c r="L2541" i="8"/>
  <c r="M2541" i="8"/>
  <c r="N2541" i="8"/>
  <c r="O2541" i="8"/>
  <c r="P2541" i="8"/>
  <c r="Q2541" i="8"/>
  <c r="R2541" i="8"/>
  <c r="S2541" i="8"/>
  <c r="T2541" i="8"/>
  <c r="E2542" i="8"/>
  <c r="F2542" i="8"/>
  <c r="G2542" i="8"/>
  <c r="H2542" i="8"/>
  <c r="I2542" i="8"/>
  <c r="J2542" i="8"/>
  <c r="K2542" i="8"/>
  <c r="L2542" i="8"/>
  <c r="M2542" i="8"/>
  <c r="N2542" i="8"/>
  <c r="O2542" i="8"/>
  <c r="P2542" i="8"/>
  <c r="Q2542" i="8"/>
  <c r="R2542" i="8"/>
  <c r="S2542" i="8"/>
  <c r="T2542" i="8"/>
  <c r="E2543" i="8"/>
  <c r="F2543" i="8"/>
  <c r="G2543" i="8"/>
  <c r="H2543" i="8"/>
  <c r="I2543" i="8"/>
  <c r="J2543" i="8"/>
  <c r="K2543" i="8"/>
  <c r="L2543" i="8"/>
  <c r="M2543" i="8"/>
  <c r="N2543" i="8"/>
  <c r="O2543" i="8"/>
  <c r="P2543" i="8"/>
  <c r="Q2543" i="8"/>
  <c r="R2543" i="8"/>
  <c r="S2543" i="8"/>
  <c r="T2543" i="8"/>
  <c r="E2544" i="8"/>
  <c r="F2544" i="8"/>
  <c r="G2544" i="8"/>
  <c r="H2544" i="8"/>
  <c r="I2544" i="8"/>
  <c r="J2544" i="8"/>
  <c r="K2544" i="8"/>
  <c r="L2544" i="8"/>
  <c r="M2544" i="8"/>
  <c r="N2544" i="8"/>
  <c r="O2544" i="8"/>
  <c r="P2544" i="8"/>
  <c r="Q2544" i="8"/>
  <c r="R2544" i="8"/>
  <c r="S2544" i="8"/>
  <c r="T2544" i="8"/>
  <c r="E2545" i="8"/>
  <c r="F2545" i="8"/>
  <c r="G2545" i="8"/>
  <c r="H2545" i="8"/>
  <c r="I2545" i="8"/>
  <c r="J2545" i="8"/>
  <c r="K2545" i="8"/>
  <c r="L2545" i="8"/>
  <c r="M2545" i="8"/>
  <c r="N2545" i="8"/>
  <c r="O2545" i="8"/>
  <c r="P2545" i="8"/>
  <c r="Q2545" i="8"/>
  <c r="R2545" i="8"/>
  <c r="S2545" i="8"/>
  <c r="T2545" i="8"/>
  <c r="E2546" i="8"/>
  <c r="F2546" i="8"/>
  <c r="G2546" i="8"/>
  <c r="H2546" i="8"/>
  <c r="I2546" i="8"/>
  <c r="J2546" i="8"/>
  <c r="K2546" i="8"/>
  <c r="L2546" i="8"/>
  <c r="M2546" i="8"/>
  <c r="N2546" i="8"/>
  <c r="O2546" i="8"/>
  <c r="P2546" i="8"/>
  <c r="Q2546" i="8"/>
  <c r="R2546" i="8"/>
  <c r="S2546" i="8"/>
  <c r="T2546" i="8"/>
  <c r="E2547" i="8"/>
  <c r="F2547" i="8"/>
  <c r="G2547" i="8"/>
  <c r="H2547" i="8"/>
  <c r="I2547" i="8"/>
  <c r="J2547" i="8"/>
  <c r="K2547" i="8"/>
  <c r="L2547" i="8"/>
  <c r="M2547" i="8"/>
  <c r="N2547" i="8"/>
  <c r="O2547" i="8"/>
  <c r="P2547" i="8"/>
  <c r="Q2547" i="8"/>
  <c r="R2547" i="8"/>
  <c r="S2547" i="8"/>
  <c r="T2547" i="8"/>
  <c r="AQ236" i="7"/>
  <c r="AJ236" i="7"/>
  <c r="AH236" i="7"/>
  <c r="AB236" i="7"/>
  <c r="T236" i="7"/>
  <c r="AL236" i="7"/>
  <c r="E236" i="7"/>
  <c r="F236" i="7"/>
  <c r="G236" i="7"/>
  <c r="H236" i="7"/>
  <c r="I236" i="7"/>
  <c r="J236" i="7"/>
  <c r="K236" i="7"/>
  <c r="L236" i="7"/>
  <c r="M236" i="7"/>
  <c r="N236" i="7"/>
  <c r="P236" i="7"/>
  <c r="Q236" i="7"/>
  <c r="R236" i="7"/>
  <c r="S236" i="7"/>
  <c r="U236" i="7"/>
  <c r="V236" i="7"/>
  <c r="W236" i="7"/>
  <c r="X236" i="7"/>
  <c r="Y236" i="7"/>
  <c r="Z236" i="7"/>
  <c r="AA236" i="7"/>
  <c r="AC236" i="7"/>
  <c r="AE236" i="7"/>
  <c r="AI236" i="7"/>
  <c r="AO236" i="7"/>
  <c r="AP236" i="7"/>
  <c r="E2526" i="8"/>
  <c r="F2526" i="8"/>
  <c r="G2526" i="8"/>
  <c r="H2526" i="8"/>
  <c r="I2526" i="8"/>
  <c r="J2526" i="8"/>
  <c r="K2526" i="8"/>
  <c r="L2526" i="8"/>
  <c r="M2526" i="8"/>
  <c r="N2526" i="8"/>
  <c r="O2526" i="8"/>
  <c r="P2526" i="8"/>
  <c r="Q2526" i="8"/>
  <c r="R2526" i="8"/>
  <c r="S2526" i="8"/>
  <c r="T2526" i="8"/>
  <c r="E2527" i="8"/>
  <c r="F2527" i="8"/>
  <c r="G2527" i="8"/>
  <c r="H2527" i="8"/>
  <c r="I2527" i="8"/>
  <c r="J2527" i="8"/>
  <c r="K2527" i="8"/>
  <c r="L2527" i="8"/>
  <c r="M2527" i="8"/>
  <c r="N2527" i="8"/>
  <c r="O2527" i="8"/>
  <c r="P2527" i="8"/>
  <c r="Q2527" i="8"/>
  <c r="R2527" i="8"/>
  <c r="S2527" i="8"/>
  <c r="T2527" i="8"/>
  <c r="E2528" i="8"/>
  <c r="F2528" i="8"/>
  <c r="G2528" i="8"/>
  <c r="H2528" i="8"/>
  <c r="I2528" i="8"/>
  <c r="J2528" i="8"/>
  <c r="K2528" i="8"/>
  <c r="L2528" i="8"/>
  <c r="M2528" i="8"/>
  <c r="N2528" i="8"/>
  <c r="O2528" i="8"/>
  <c r="P2528" i="8"/>
  <c r="Q2528" i="8"/>
  <c r="R2528" i="8"/>
  <c r="S2528" i="8"/>
  <c r="T2528" i="8"/>
  <c r="E2529" i="8"/>
  <c r="F2529" i="8"/>
  <c r="G2529" i="8"/>
  <c r="H2529" i="8"/>
  <c r="I2529" i="8"/>
  <c r="J2529" i="8"/>
  <c r="K2529" i="8"/>
  <c r="L2529" i="8"/>
  <c r="M2529" i="8"/>
  <c r="N2529" i="8"/>
  <c r="O2529" i="8"/>
  <c r="P2529" i="8"/>
  <c r="Q2529" i="8"/>
  <c r="R2529" i="8"/>
  <c r="S2529" i="8"/>
  <c r="T2529" i="8"/>
  <c r="E2530" i="8"/>
  <c r="F2530" i="8"/>
  <c r="G2530" i="8"/>
  <c r="H2530" i="8"/>
  <c r="I2530" i="8"/>
  <c r="J2530" i="8"/>
  <c r="K2530" i="8"/>
  <c r="L2530" i="8"/>
  <c r="M2530" i="8"/>
  <c r="N2530" i="8"/>
  <c r="O2530" i="8"/>
  <c r="P2530" i="8"/>
  <c r="Q2530" i="8"/>
  <c r="R2530" i="8"/>
  <c r="S2530" i="8"/>
  <c r="T2530" i="8"/>
  <c r="E2531" i="8"/>
  <c r="F2531" i="8"/>
  <c r="G2531" i="8"/>
  <c r="H2531" i="8"/>
  <c r="I2531" i="8"/>
  <c r="J2531" i="8"/>
  <c r="K2531" i="8"/>
  <c r="L2531" i="8"/>
  <c r="M2531" i="8"/>
  <c r="N2531" i="8"/>
  <c r="O2531" i="8"/>
  <c r="P2531" i="8"/>
  <c r="Q2531" i="8"/>
  <c r="R2531" i="8"/>
  <c r="S2531" i="8"/>
  <c r="T2531" i="8"/>
  <c r="E2532" i="8"/>
  <c r="F2532" i="8"/>
  <c r="G2532" i="8"/>
  <c r="H2532" i="8"/>
  <c r="I2532" i="8"/>
  <c r="J2532" i="8"/>
  <c r="K2532" i="8"/>
  <c r="L2532" i="8"/>
  <c r="M2532" i="8"/>
  <c r="N2532" i="8"/>
  <c r="O2532" i="8"/>
  <c r="P2532" i="8"/>
  <c r="Q2532" i="8"/>
  <c r="R2532" i="8"/>
  <c r="S2532" i="8"/>
  <c r="T2532" i="8"/>
  <c r="E2533" i="8"/>
  <c r="F2533" i="8"/>
  <c r="G2533" i="8"/>
  <c r="H2533" i="8"/>
  <c r="I2533" i="8"/>
  <c r="J2533" i="8"/>
  <c r="K2533" i="8"/>
  <c r="L2533" i="8"/>
  <c r="M2533" i="8"/>
  <c r="N2533" i="8"/>
  <c r="O2533" i="8"/>
  <c r="P2533" i="8"/>
  <c r="Q2533" i="8"/>
  <c r="R2533" i="8"/>
  <c r="S2533" i="8"/>
  <c r="T2533" i="8"/>
  <c r="E2534" i="8"/>
  <c r="F2534" i="8"/>
  <c r="G2534" i="8"/>
  <c r="H2534" i="8"/>
  <c r="I2534" i="8"/>
  <c r="J2534" i="8"/>
  <c r="K2534" i="8"/>
  <c r="L2534" i="8"/>
  <c r="M2534" i="8"/>
  <c r="N2534" i="8"/>
  <c r="O2534" i="8"/>
  <c r="P2534" i="8"/>
  <c r="Q2534" i="8"/>
  <c r="R2534" i="8"/>
  <c r="S2534" i="8"/>
  <c r="T2534" i="8"/>
  <c r="E2535" i="8"/>
  <c r="F2535" i="8"/>
  <c r="G2535" i="8"/>
  <c r="H2535" i="8"/>
  <c r="I2535" i="8"/>
  <c r="J2535" i="8"/>
  <c r="K2535" i="8"/>
  <c r="L2535" i="8"/>
  <c r="M2535" i="8"/>
  <c r="N2535" i="8"/>
  <c r="O2535" i="8"/>
  <c r="P2535" i="8"/>
  <c r="Q2535" i="8"/>
  <c r="R2535" i="8"/>
  <c r="S2535" i="8"/>
  <c r="T2535" i="8"/>
  <c r="E2536" i="8"/>
  <c r="F2536" i="8"/>
  <c r="G2536" i="8"/>
  <c r="H2536" i="8"/>
  <c r="I2536" i="8"/>
  <c r="J2536" i="8"/>
  <c r="K2536" i="8"/>
  <c r="L2536" i="8"/>
  <c r="M2536" i="8"/>
  <c r="N2536" i="8"/>
  <c r="O2536" i="8"/>
  <c r="P2536" i="8"/>
  <c r="Q2536" i="8"/>
  <c r="R2536" i="8"/>
  <c r="S2536" i="8"/>
  <c r="T2536" i="8"/>
  <c r="AB235" i="7"/>
  <c r="AL235" i="7"/>
  <c r="AQ235" i="7"/>
  <c r="T235" i="7"/>
  <c r="AJ235" i="7"/>
  <c r="AH235" i="7"/>
  <c r="E235" i="7"/>
  <c r="F235" i="7"/>
  <c r="G235" i="7"/>
  <c r="H235" i="7"/>
  <c r="I235" i="7"/>
  <c r="J235" i="7"/>
  <c r="K235" i="7"/>
  <c r="L235" i="7"/>
  <c r="M235" i="7"/>
  <c r="N235" i="7"/>
  <c r="P235" i="7"/>
  <c r="Q235" i="7"/>
  <c r="R235" i="7"/>
  <c r="S235" i="7"/>
  <c r="U235" i="7"/>
  <c r="V235" i="7"/>
  <c r="W235" i="7"/>
  <c r="X235" i="7"/>
  <c r="Y235" i="7"/>
  <c r="Z235" i="7"/>
  <c r="AA235" i="7"/>
  <c r="AC235" i="7"/>
  <c r="AE235" i="7"/>
  <c r="AI235" i="7"/>
  <c r="AO235" i="7"/>
  <c r="AP235" i="7"/>
  <c r="E2515" i="8"/>
  <c r="F2515" i="8"/>
  <c r="G2515" i="8"/>
  <c r="H2515" i="8"/>
  <c r="I2515" i="8"/>
  <c r="J2515" i="8"/>
  <c r="K2515" i="8"/>
  <c r="L2515" i="8"/>
  <c r="M2515" i="8"/>
  <c r="N2515" i="8"/>
  <c r="O2515" i="8"/>
  <c r="P2515" i="8"/>
  <c r="Q2515" i="8"/>
  <c r="R2515" i="8"/>
  <c r="S2515" i="8"/>
  <c r="T2515" i="8"/>
  <c r="E2516" i="8"/>
  <c r="F2516" i="8"/>
  <c r="G2516" i="8"/>
  <c r="H2516" i="8"/>
  <c r="I2516" i="8"/>
  <c r="J2516" i="8"/>
  <c r="K2516" i="8"/>
  <c r="L2516" i="8"/>
  <c r="M2516" i="8"/>
  <c r="N2516" i="8"/>
  <c r="O2516" i="8"/>
  <c r="P2516" i="8"/>
  <c r="Q2516" i="8"/>
  <c r="R2516" i="8"/>
  <c r="S2516" i="8"/>
  <c r="T2516" i="8"/>
  <c r="E2517" i="8"/>
  <c r="F2517" i="8"/>
  <c r="G2517" i="8"/>
  <c r="H2517" i="8"/>
  <c r="I2517" i="8"/>
  <c r="J2517" i="8"/>
  <c r="K2517" i="8"/>
  <c r="L2517" i="8"/>
  <c r="M2517" i="8"/>
  <c r="N2517" i="8"/>
  <c r="O2517" i="8"/>
  <c r="P2517" i="8"/>
  <c r="Q2517" i="8"/>
  <c r="R2517" i="8"/>
  <c r="S2517" i="8"/>
  <c r="T2517" i="8"/>
  <c r="E2518" i="8"/>
  <c r="F2518" i="8"/>
  <c r="G2518" i="8"/>
  <c r="H2518" i="8"/>
  <c r="I2518" i="8"/>
  <c r="J2518" i="8"/>
  <c r="K2518" i="8"/>
  <c r="L2518" i="8"/>
  <c r="M2518" i="8"/>
  <c r="N2518" i="8"/>
  <c r="O2518" i="8"/>
  <c r="P2518" i="8"/>
  <c r="Q2518" i="8"/>
  <c r="R2518" i="8"/>
  <c r="S2518" i="8"/>
  <c r="T2518" i="8"/>
  <c r="E2519" i="8"/>
  <c r="F2519" i="8"/>
  <c r="G2519" i="8"/>
  <c r="H2519" i="8"/>
  <c r="I2519" i="8"/>
  <c r="J2519" i="8"/>
  <c r="K2519" i="8"/>
  <c r="L2519" i="8"/>
  <c r="M2519" i="8"/>
  <c r="N2519" i="8"/>
  <c r="O2519" i="8"/>
  <c r="P2519" i="8"/>
  <c r="Q2519" i="8"/>
  <c r="R2519" i="8"/>
  <c r="S2519" i="8"/>
  <c r="T2519" i="8"/>
  <c r="E2520" i="8"/>
  <c r="F2520" i="8"/>
  <c r="G2520" i="8"/>
  <c r="H2520" i="8"/>
  <c r="I2520" i="8"/>
  <c r="J2520" i="8"/>
  <c r="K2520" i="8"/>
  <c r="L2520" i="8"/>
  <c r="M2520" i="8"/>
  <c r="N2520" i="8"/>
  <c r="O2520" i="8"/>
  <c r="P2520" i="8"/>
  <c r="Q2520" i="8"/>
  <c r="R2520" i="8"/>
  <c r="S2520" i="8"/>
  <c r="T2520" i="8"/>
  <c r="E2521" i="8"/>
  <c r="F2521" i="8"/>
  <c r="G2521" i="8"/>
  <c r="H2521" i="8"/>
  <c r="I2521" i="8"/>
  <c r="J2521" i="8"/>
  <c r="K2521" i="8"/>
  <c r="L2521" i="8"/>
  <c r="M2521" i="8"/>
  <c r="N2521" i="8"/>
  <c r="O2521" i="8"/>
  <c r="P2521" i="8"/>
  <c r="Q2521" i="8"/>
  <c r="R2521" i="8"/>
  <c r="S2521" i="8"/>
  <c r="T2521" i="8"/>
  <c r="E2522" i="8"/>
  <c r="F2522" i="8"/>
  <c r="G2522" i="8"/>
  <c r="H2522" i="8"/>
  <c r="I2522" i="8"/>
  <c r="J2522" i="8"/>
  <c r="K2522" i="8"/>
  <c r="L2522" i="8"/>
  <c r="M2522" i="8"/>
  <c r="N2522" i="8"/>
  <c r="O2522" i="8"/>
  <c r="P2522" i="8"/>
  <c r="Q2522" i="8"/>
  <c r="R2522" i="8"/>
  <c r="S2522" i="8"/>
  <c r="T2522" i="8"/>
  <c r="E2523" i="8"/>
  <c r="F2523" i="8"/>
  <c r="G2523" i="8"/>
  <c r="H2523" i="8"/>
  <c r="I2523" i="8"/>
  <c r="J2523" i="8"/>
  <c r="K2523" i="8"/>
  <c r="L2523" i="8"/>
  <c r="M2523" i="8"/>
  <c r="N2523" i="8"/>
  <c r="O2523" i="8"/>
  <c r="P2523" i="8"/>
  <c r="Q2523" i="8"/>
  <c r="R2523" i="8"/>
  <c r="S2523" i="8"/>
  <c r="T2523" i="8"/>
  <c r="E2524" i="8"/>
  <c r="F2524" i="8"/>
  <c r="G2524" i="8"/>
  <c r="H2524" i="8"/>
  <c r="I2524" i="8"/>
  <c r="J2524" i="8"/>
  <c r="K2524" i="8"/>
  <c r="L2524" i="8"/>
  <c r="M2524" i="8"/>
  <c r="N2524" i="8"/>
  <c r="O2524" i="8"/>
  <c r="P2524" i="8"/>
  <c r="Q2524" i="8"/>
  <c r="R2524" i="8"/>
  <c r="S2524" i="8"/>
  <c r="T2524" i="8"/>
  <c r="E2525" i="8"/>
  <c r="F2525" i="8"/>
  <c r="G2525" i="8"/>
  <c r="H2525" i="8"/>
  <c r="I2525" i="8"/>
  <c r="J2525" i="8"/>
  <c r="K2525" i="8"/>
  <c r="L2525" i="8"/>
  <c r="M2525" i="8"/>
  <c r="N2525" i="8"/>
  <c r="O2525" i="8"/>
  <c r="P2525" i="8"/>
  <c r="Q2525" i="8"/>
  <c r="R2525" i="8"/>
  <c r="S2525" i="8"/>
  <c r="T2525" i="8"/>
  <c r="AH234" i="7"/>
  <c r="AQ234" i="7"/>
  <c r="T234" i="7"/>
  <c r="AJ234" i="7"/>
  <c r="AL234" i="7"/>
  <c r="AB234" i="7"/>
  <c r="AJ233" i="7"/>
  <c r="AQ233" i="7"/>
  <c r="AL233" i="7"/>
  <c r="AH233" i="7"/>
  <c r="AB233" i="7"/>
  <c r="T233" i="7"/>
  <c r="AH232" i="7"/>
  <c r="AJ232" i="7"/>
  <c r="AQ232" i="7"/>
  <c r="AL232" i="7"/>
  <c r="AB232" i="7"/>
  <c r="T232" i="7"/>
  <c r="T231" i="7"/>
  <c r="AQ231" i="7"/>
  <c r="AJ231" i="7"/>
  <c r="AH231" i="7"/>
  <c r="AL231" i="7"/>
  <c r="AB231" i="7"/>
  <c r="AH230" i="7"/>
  <c r="T230" i="7"/>
  <c r="AQ230" i="7"/>
  <c r="AL230" i="7"/>
  <c r="AJ230" i="7"/>
  <c r="AB230" i="7"/>
  <c r="T229" i="7"/>
  <c r="AB229" i="7"/>
  <c r="AH229" i="7"/>
  <c r="AJ229" i="7"/>
  <c r="AL229" i="7"/>
  <c r="AQ229" i="7"/>
  <c r="AH228" i="7"/>
  <c r="AQ228" i="7"/>
  <c r="AL228" i="7"/>
  <c r="AJ228" i="7"/>
  <c r="AB228" i="7"/>
  <c r="T228" i="7"/>
  <c r="AJ227" i="7"/>
  <c r="AH227" i="7"/>
  <c r="AB227" i="7"/>
  <c r="T227" i="7"/>
  <c r="AL227" i="7"/>
  <c r="AQ227" i="7"/>
  <c r="AQ226" i="7"/>
  <c r="AL226" i="7"/>
  <c r="AJ226" i="7"/>
  <c r="AH226" i="7"/>
  <c r="AB226" i="7"/>
  <c r="T226" i="7"/>
  <c r="AQ225" i="7"/>
  <c r="AL225" i="7"/>
  <c r="AJ225" i="7"/>
  <c r="AH225" i="7"/>
  <c r="AB225" i="7"/>
  <c r="T225" i="7"/>
  <c r="T224" i="7"/>
  <c r="AQ224" i="7"/>
  <c r="AL224" i="7"/>
  <c r="AJ224" i="7"/>
  <c r="AH224" i="7"/>
  <c r="AB224" i="7"/>
  <c r="C224" i="7"/>
  <c r="A2395" i="8"/>
  <c r="A2394" i="8"/>
  <c r="A2403" i="8"/>
  <c r="A2402" i="8"/>
  <c r="A2396" i="8"/>
  <c r="A2398" i="8"/>
  <c r="A2397" i="8"/>
  <c r="A2400" i="8"/>
  <c r="A2401" i="8"/>
  <c r="A2399" i="8"/>
  <c r="AH223" i="7"/>
  <c r="AB223" i="7"/>
  <c r="T223" i="7"/>
  <c r="AQ223" i="7"/>
  <c r="AL223" i="7"/>
  <c r="AJ223" i="7"/>
  <c r="A2388" i="8"/>
  <c r="A2389" i="8"/>
  <c r="A2393" i="8"/>
  <c r="A2391" i="8"/>
  <c r="A2387" i="8"/>
  <c r="A2386" i="8"/>
  <c r="A2384" i="8"/>
  <c r="C223" i="7"/>
  <c r="A2383" i="8"/>
  <c r="A2390" i="8"/>
  <c r="A2385" i="8"/>
  <c r="A2392" i="8"/>
  <c r="AB222" i="7"/>
  <c r="AH222" i="7"/>
  <c r="T222" i="7"/>
  <c r="AJ222" i="7"/>
  <c r="AL222" i="7"/>
  <c r="AQ222" i="7"/>
  <c r="A2373" i="8"/>
  <c r="A2372" i="8"/>
  <c r="A2376" i="8"/>
  <c r="A2382" i="8"/>
  <c r="A2381" i="8"/>
  <c r="A2380" i="8"/>
  <c r="A2379" i="8"/>
  <c r="A2378" i="8"/>
  <c r="A2377" i="8"/>
  <c r="A2375" i="8"/>
  <c r="C222" i="7"/>
  <c r="A2374" i="8"/>
  <c r="AQ221" i="7"/>
  <c r="AL221" i="7"/>
  <c r="AJ221" i="7"/>
  <c r="AH221" i="7"/>
  <c r="AB221" i="7"/>
  <c r="T221" i="7"/>
  <c r="A2363" i="8"/>
  <c r="A2366" i="8"/>
  <c r="A2367" i="8"/>
  <c r="A2365" i="8"/>
  <c r="A2370" i="8"/>
  <c r="A2361" i="8"/>
  <c r="A2368" i="8"/>
  <c r="C221" i="7"/>
  <c r="A2369" i="8"/>
  <c r="A2364" i="8"/>
  <c r="A2371" i="8"/>
  <c r="A2362" i="8"/>
  <c r="AQ220" i="7"/>
  <c r="AL220" i="7"/>
  <c r="AJ220" i="7"/>
  <c r="AH220" i="7"/>
  <c r="T220" i="7"/>
  <c r="AB220" i="7"/>
  <c r="A2352" i="8"/>
  <c r="A2357" i="8"/>
  <c r="A2358" i="8"/>
  <c r="A2359" i="8"/>
  <c r="A2360" i="8"/>
  <c r="A2356" i="8"/>
  <c r="C220" i="7"/>
  <c r="A2355" i="8"/>
  <c r="A2354" i="8"/>
  <c r="A2353" i="8"/>
  <c r="A2351" i="8"/>
  <c r="A2350" i="8"/>
  <c r="AJ219" i="7"/>
  <c r="AH219" i="7"/>
  <c r="AB219" i="7"/>
  <c r="T219" i="7"/>
  <c r="AL219" i="7"/>
  <c r="AQ219" i="7"/>
  <c r="A2349" i="8"/>
  <c r="C219" i="7"/>
  <c r="A2348" i="8"/>
  <c r="A2339" i="8"/>
  <c r="A2346" i="8"/>
  <c r="A2345" i="8"/>
  <c r="A2344" i="8"/>
  <c r="A2343" i="8"/>
  <c r="A2342" i="8"/>
  <c r="A2341" i="8"/>
  <c r="A2340" i="8"/>
  <c r="A2347" i="8"/>
  <c r="AQ218" i="7"/>
  <c r="AL218" i="7"/>
  <c r="AJ218" i="7"/>
  <c r="AH218" i="7"/>
  <c r="AB218" i="7"/>
  <c r="T218" i="7"/>
  <c r="A2331" i="8"/>
  <c r="A2330" i="8"/>
  <c r="A2329" i="8"/>
  <c r="A2328" i="8"/>
  <c r="A2337" i="8"/>
  <c r="A2336" i="8"/>
  <c r="A2335" i="8"/>
  <c r="A2333" i="8"/>
  <c r="A2332" i="8"/>
  <c r="A2334" i="8"/>
  <c r="A2338" i="8"/>
  <c r="C218" i="7"/>
  <c r="AB217" i="7"/>
  <c r="T217" i="7"/>
  <c r="AQ217" i="7"/>
  <c r="AL217" i="7"/>
  <c r="AJ217" i="7"/>
  <c r="AH217" i="7"/>
  <c r="A2319" i="8"/>
  <c r="A2327" i="8"/>
  <c r="A2318" i="8"/>
  <c r="C217" i="7"/>
  <c r="A2320" i="8"/>
  <c r="A2321" i="8"/>
  <c r="A2322" i="8"/>
  <c r="A2323" i="8"/>
  <c r="A2324" i="8"/>
  <c r="A2325" i="8"/>
  <c r="A2326" i="8"/>
  <c r="A2317" i="8"/>
  <c r="AL216" i="7"/>
  <c r="T216" i="7"/>
  <c r="AB216" i="7"/>
  <c r="AH216" i="7"/>
  <c r="AJ216" i="7"/>
  <c r="AQ216" i="7"/>
  <c r="C216" i="7"/>
  <c r="A2309" i="8"/>
  <c r="A2310" i="8"/>
  <c r="A2311" i="8"/>
  <c r="A2308" i="8"/>
  <c r="A2313" i="8"/>
  <c r="A2314" i="8"/>
  <c r="A2315" i="8"/>
  <c r="A2316" i="8"/>
  <c r="A2312" i="8"/>
  <c r="A2306" i="8"/>
  <c r="A2307" i="8"/>
  <c r="AQ215" i="7"/>
  <c r="AL215" i="7"/>
  <c r="T215" i="7"/>
  <c r="AB215" i="7"/>
  <c r="AH215" i="7"/>
  <c r="AJ215" i="7"/>
  <c r="A2298" i="8"/>
  <c r="A2299" i="8"/>
  <c r="A2300" i="8"/>
  <c r="A2301" i="8"/>
  <c r="A2302" i="8"/>
  <c r="A2303" i="8"/>
  <c r="A2304" i="8"/>
  <c r="A2305" i="8"/>
  <c r="A2295" i="8"/>
  <c r="A2296" i="8"/>
  <c r="A2297" i="8"/>
  <c r="C215" i="7"/>
  <c r="T214" i="7"/>
  <c r="AB214" i="7"/>
  <c r="AH214" i="7"/>
  <c r="AJ214" i="7"/>
  <c r="AL214" i="7"/>
  <c r="AQ214" i="7"/>
  <c r="C214" i="7"/>
  <c r="A2288" i="8"/>
  <c r="A2287" i="8"/>
  <c r="A2286" i="8"/>
  <c r="A2284" i="8"/>
  <c r="A2285" i="8"/>
  <c r="A2294" i="8"/>
  <c r="A2293" i="8"/>
  <c r="A2292" i="8"/>
  <c r="A2291" i="8"/>
  <c r="A2290" i="8"/>
  <c r="A2289" i="8"/>
  <c r="AL213" i="7"/>
  <c r="T213" i="7"/>
  <c r="AB213" i="7"/>
  <c r="AQ213" i="7"/>
  <c r="AH213" i="7"/>
  <c r="AJ213" i="7"/>
  <c r="A2274" i="8"/>
  <c r="A2275" i="8"/>
  <c r="A2276" i="8"/>
  <c r="A2278" i="8"/>
  <c r="A2279" i="8"/>
  <c r="A2280" i="8"/>
  <c r="A2281" i="8"/>
  <c r="A2282" i="8"/>
  <c r="A2283" i="8"/>
  <c r="A2277" i="8"/>
  <c r="C213" i="7"/>
  <c r="A2273" i="8"/>
  <c r="T212" i="7"/>
  <c r="AB212" i="7"/>
  <c r="AH212" i="7"/>
  <c r="AJ212" i="7"/>
  <c r="AL212" i="7"/>
  <c r="AQ212" i="7"/>
  <c r="A2262" i="8"/>
  <c r="C212" i="7"/>
  <c r="A2264" i="8"/>
  <c r="A2265" i="8"/>
  <c r="A2263" i="8"/>
  <c r="A2272" i="8"/>
  <c r="A2271" i="8"/>
  <c r="A2270" i="8"/>
  <c r="A2269" i="8"/>
  <c r="A2268" i="8"/>
  <c r="A2267" i="8"/>
  <c r="A2266" i="8"/>
  <c r="AB211" i="7"/>
  <c r="T211" i="7"/>
  <c r="AQ211" i="7"/>
  <c r="AJ211" i="7"/>
  <c r="AL211" i="7"/>
  <c r="AH211" i="7"/>
  <c r="C211" i="7"/>
  <c r="A2256" i="8"/>
  <c r="A2257" i="8"/>
  <c r="A2251" i="8"/>
  <c r="A2259" i="8"/>
  <c r="A2253" i="8"/>
  <c r="A2260" i="8"/>
  <c r="A2261" i="8"/>
  <c r="A2252" i="8"/>
  <c r="A2258" i="8"/>
  <c r="A2254" i="8"/>
  <c r="A2255" i="8"/>
  <c r="AQ210" i="7"/>
  <c r="AL210" i="7"/>
  <c r="AJ210" i="7"/>
  <c r="AB210" i="7"/>
  <c r="T210" i="7"/>
  <c r="AH210" i="7"/>
  <c r="C210" i="7"/>
  <c r="A2240" i="8"/>
  <c r="A2245" i="8"/>
  <c r="A2248" i="8"/>
  <c r="A2246" i="8"/>
  <c r="A2241" i="8"/>
  <c r="A2250" i="8"/>
  <c r="A2242" i="8"/>
  <c r="A2247" i="8"/>
  <c r="A2243" i="8"/>
  <c r="A2244" i="8"/>
  <c r="A2249" i="8"/>
  <c r="AL209" i="7"/>
  <c r="AH209" i="7"/>
  <c r="AB209" i="7"/>
  <c r="T209" i="7"/>
  <c r="AJ209" i="7"/>
  <c r="AQ209" i="7"/>
  <c r="C209" i="7"/>
  <c r="A2234" i="8"/>
  <c r="A2237" i="8"/>
  <c r="A2238" i="8"/>
  <c r="A2239" i="8"/>
  <c r="A2236" i="8"/>
  <c r="A2235" i="8"/>
  <c r="A2230" i="8"/>
  <c r="A2231" i="8"/>
  <c r="A2232" i="8"/>
  <c r="A2233" i="8"/>
  <c r="A2229" i="8"/>
  <c r="AQ208" i="7"/>
  <c r="AL208" i="7"/>
  <c r="AH208" i="7"/>
  <c r="AB208" i="7"/>
  <c r="AJ208" i="7"/>
  <c r="T208" i="7"/>
  <c r="A2227" i="8"/>
  <c r="A2228" i="8"/>
  <c r="C208" i="7"/>
  <c r="A2226" i="8"/>
  <c r="A2218" i="8"/>
  <c r="A2219" i="8"/>
  <c r="A2220" i="8"/>
  <c r="A2221" i="8"/>
  <c r="A2222" i="8"/>
  <c r="A2223" i="8"/>
  <c r="A2224" i="8"/>
  <c r="A2225" i="8"/>
  <c r="AB207" i="7"/>
  <c r="T207" i="7"/>
  <c r="AH207" i="7"/>
  <c r="AJ207" i="7"/>
  <c r="AL207" i="7"/>
  <c r="AQ207" i="7"/>
  <c r="A2217" i="8"/>
  <c r="C207" i="7"/>
  <c r="A2216" i="8"/>
  <c r="T206" i="7"/>
  <c r="AB206" i="7"/>
  <c r="AJ206" i="7"/>
  <c r="AH206" i="7"/>
  <c r="AL206" i="7"/>
  <c r="AQ206" i="7"/>
  <c r="AH205" i="7"/>
  <c r="T205" i="7"/>
  <c r="AB205" i="7"/>
  <c r="AJ205" i="7"/>
  <c r="AL205" i="7"/>
  <c r="AQ205" i="7"/>
  <c r="AL204" i="7"/>
  <c r="AQ204" i="7"/>
  <c r="T204" i="7"/>
  <c r="AB204" i="7"/>
  <c r="AH204" i="7"/>
  <c r="AJ204" i="7"/>
  <c r="AB203" i="7"/>
  <c r="T203" i="7"/>
  <c r="AH203" i="7"/>
  <c r="AJ203" i="7"/>
  <c r="AL203" i="7"/>
  <c r="AQ203" i="7"/>
  <c r="T202" i="7"/>
  <c r="AB202" i="7"/>
  <c r="AH202" i="7"/>
  <c r="AJ202" i="7"/>
  <c r="AL202" i="7"/>
  <c r="AQ202" i="7"/>
  <c r="AQ201" i="7"/>
  <c r="T201" i="7"/>
  <c r="AL201" i="7"/>
  <c r="AB201" i="7"/>
  <c r="AH201" i="7"/>
  <c r="AJ201" i="7"/>
  <c r="AH200" i="7"/>
  <c r="AQ200" i="7"/>
  <c r="AL200" i="7"/>
  <c r="AJ200" i="7"/>
  <c r="AB200" i="7"/>
  <c r="T200" i="7"/>
  <c r="AQ199" i="7"/>
  <c r="AL199" i="7"/>
  <c r="AJ199" i="7"/>
  <c r="AH199" i="7"/>
  <c r="AB199" i="7"/>
  <c r="T199" i="7"/>
  <c r="AQ198" i="7"/>
  <c r="AL198" i="7"/>
  <c r="AJ198" i="7"/>
  <c r="AH198" i="7"/>
  <c r="AB198" i="7"/>
  <c r="T198" i="7"/>
  <c r="AB197" i="7"/>
  <c r="AH197" i="7"/>
  <c r="T197" i="7"/>
  <c r="AQ197" i="7"/>
  <c r="AL197" i="7"/>
  <c r="AJ197" i="7"/>
  <c r="AJ196" i="7"/>
  <c r="AH196" i="7"/>
  <c r="AB196" i="7"/>
  <c r="T196" i="7"/>
  <c r="AQ196" i="7"/>
  <c r="AL196" i="7"/>
  <c r="AH195" i="7"/>
  <c r="AB195" i="7"/>
  <c r="T195" i="7"/>
  <c r="AQ195" i="7"/>
  <c r="AL195" i="7"/>
  <c r="AJ195" i="7"/>
  <c r="T194" i="7"/>
  <c r="AB194" i="7"/>
  <c r="AH194" i="7"/>
  <c r="AL194" i="7"/>
  <c r="AJ194" i="7"/>
  <c r="AQ194" i="7"/>
  <c r="C194" i="7"/>
  <c r="A2066" i="8"/>
  <c r="A2064" i="8"/>
  <c r="A2065" i="8"/>
  <c r="A2067" i="8"/>
  <c r="A2068" i="8"/>
  <c r="A2069" i="8"/>
  <c r="T193" i="7"/>
  <c r="AQ193" i="7"/>
  <c r="AB193" i="7"/>
  <c r="AH193" i="7"/>
  <c r="AJ193" i="7"/>
  <c r="AL193" i="7"/>
  <c r="A2056" i="8"/>
  <c r="A2055" i="8"/>
  <c r="A2053" i="8"/>
  <c r="C193" i="7"/>
  <c r="A2058" i="8"/>
  <c r="A2054" i="8"/>
  <c r="A2061" i="8"/>
  <c r="A2063" i="8"/>
  <c r="A2062" i="8"/>
  <c r="A2060" i="8"/>
  <c r="A2059" i="8"/>
  <c r="A2057" i="8"/>
  <c r="AQ192" i="7"/>
  <c r="AL192" i="7"/>
  <c r="AJ192" i="7"/>
  <c r="AH192" i="7"/>
  <c r="AB192" i="7"/>
  <c r="T192" i="7"/>
  <c r="A2044" i="8"/>
  <c r="A2045" i="8"/>
  <c r="A2046" i="8"/>
  <c r="A2043" i="8"/>
  <c r="C192" i="7"/>
  <c r="A2048" i="8"/>
  <c r="A2052" i="8"/>
  <c r="A2047" i="8"/>
  <c r="A2051" i="8"/>
  <c r="A2050" i="8"/>
  <c r="A2049" i="8"/>
  <c r="A2042" i="8"/>
  <c r="AQ191" i="7"/>
  <c r="AL191" i="7"/>
  <c r="AH191" i="7"/>
  <c r="AB191" i="7"/>
  <c r="AJ191" i="7"/>
  <c r="T191" i="7"/>
  <c r="A2034" i="8"/>
  <c r="A2040" i="8"/>
  <c r="A2041" i="8"/>
  <c r="A2036" i="8"/>
  <c r="A2035" i="8"/>
  <c r="A2033" i="8"/>
  <c r="A2032" i="8"/>
  <c r="A2031" i="8"/>
  <c r="C191" i="7"/>
  <c r="A2039" i="8"/>
  <c r="A2038" i="8"/>
  <c r="A2037" i="8"/>
  <c r="T190" i="7"/>
  <c r="AB190" i="7"/>
  <c r="AJ190" i="7"/>
  <c r="AH190" i="7"/>
  <c r="AQ190" i="7"/>
  <c r="AL190" i="7"/>
  <c r="C190" i="7"/>
  <c r="A2030" i="8"/>
  <c r="A2029" i="8"/>
  <c r="A2028" i="8"/>
  <c r="A2027" i="8"/>
  <c r="A2026" i="8"/>
  <c r="A2025" i="8"/>
  <c r="A2024" i="8"/>
  <c r="A2023" i="8"/>
  <c r="A2022" i="8"/>
  <c r="A2021" i="8"/>
  <c r="A2020" i="8"/>
  <c r="AH189" i="7"/>
  <c r="AB189" i="7"/>
  <c r="T189" i="7"/>
  <c r="AQ189" i="7"/>
  <c r="AL189" i="7"/>
  <c r="AJ189" i="7"/>
  <c r="A2009" i="8"/>
  <c r="C189" i="7"/>
  <c r="A2019" i="8"/>
  <c r="A2017" i="8"/>
  <c r="A2016" i="8"/>
  <c r="A2015" i="8"/>
  <c r="A2014" i="8"/>
  <c r="A2013" i="8"/>
  <c r="A2018" i="8"/>
  <c r="A2012" i="8"/>
  <c r="A2011" i="8"/>
  <c r="A2010" i="8"/>
  <c r="AH188" i="7"/>
  <c r="AQ188" i="7"/>
  <c r="AL188" i="7"/>
  <c r="AJ188" i="7"/>
  <c r="AB188" i="7"/>
  <c r="T188" i="7"/>
  <c r="A2000" i="8"/>
  <c r="A2001" i="8"/>
  <c r="A2003" i="8"/>
  <c r="A2004" i="8"/>
  <c r="A2006" i="8"/>
  <c r="A2007" i="8"/>
  <c r="A2008" i="8"/>
  <c r="A2005" i="8"/>
  <c r="A2002" i="8"/>
  <c r="A1998" i="8"/>
  <c r="A1999" i="8"/>
  <c r="C188" i="7"/>
  <c r="AH187" i="7"/>
  <c r="AL187" i="7"/>
  <c r="AQ187" i="7"/>
  <c r="AJ187" i="7"/>
  <c r="T187" i="7"/>
  <c r="AB187" i="7"/>
  <c r="A1987" i="8"/>
  <c r="A1992" i="8"/>
  <c r="A1993" i="8"/>
  <c r="A1989" i="8"/>
  <c r="A1995" i="8"/>
  <c r="A1996" i="8"/>
  <c r="A1990" i="8"/>
  <c r="A1997" i="8"/>
  <c r="C187" i="7"/>
  <c r="A1988" i="8"/>
  <c r="A1994" i="8"/>
  <c r="A1991" i="8"/>
  <c r="T186" i="7"/>
  <c r="AB186" i="7"/>
  <c r="AH186" i="7"/>
  <c r="AL186" i="7"/>
  <c r="AQ186" i="7"/>
  <c r="AJ186" i="7"/>
  <c r="C186" i="7"/>
  <c r="A1976" i="8"/>
  <c r="A1984" i="8"/>
  <c r="A1982" i="8"/>
  <c r="A1986" i="8"/>
  <c r="A1980" i="8"/>
  <c r="A1979" i="8"/>
  <c r="A1978" i="8"/>
  <c r="A1983" i="8"/>
  <c r="A1977" i="8"/>
  <c r="A1985" i="8"/>
  <c r="A1981" i="8"/>
  <c r="AJ185" i="7"/>
  <c r="AL185" i="7"/>
  <c r="AQ185" i="7"/>
  <c r="AH185" i="7"/>
  <c r="AB185" i="7"/>
  <c r="T185" i="7"/>
  <c r="A1971" i="8"/>
  <c r="A1972" i="8"/>
  <c r="A1973" i="8"/>
  <c r="A1974" i="8"/>
  <c r="A1975" i="8"/>
  <c r="A1967" i="8"/>
  <c r="A1965" i="8"/>
  <c r="A1966" i="8"/>
  <c r="A1968" i="8"/>
  <c r="A1969" i="8"/>
  <c r="A1970" i="8"/>
  <c r="C185" i="7"/>
  <c r="AL184" i="7"/>
  <c r="AQ184" i="7"/>
  <c r="T184" i="7"/>
  <c r="AB184" i="7"/>
  <c r="AH184" i="7"/>
  <c r="AJ184" i="7"/>
  <c r="A1958" i="8"/>
  <c r="A1957" i="8"/>
  <c r="A1962" i="8"/>
  <c r="A1954" i="8"/>
  <c r="A1961" i="8"/>
  <c r="A1960" i="8"/>
  <c r="A1959" i="8"/>
  <c r="C184" i="7"/>
  <c r="A1956" i="8"/>
  <c r="A1955" i="8"/>
  <c r="A1964" i="8"/>
  <c r="A1963" i="8"/>
  <c r="AQ183" i="7"/>
  <c r="AL183" i="7"/>
  <c r="AJ183" i="7"/>
  <c r="AH183" i="7"/>
  <c r="AB183" i="7"/>
  <c r="T183" i="7"/>
  <c r="A1951" i="8"/>
  <c r="A1950" i="8"/>
  <c r="A1953" i="8"/>
  <c r="A1949" i="8"/>
  <c r="A1948" i="8"/>
  <c r="A1943" i="8"/>
  <c r="A1944" i="8"/>
  <c r="A1945" i="8"/>
  <c r="A1946" i="8"/>
  <c r="A1947" i="8"/>
  <c r="A1952" i="8"/>
  <c r="C183" i="7"/>
  <c r="AJ182" i="7"/>
  <c r="AQ182" i="7"/>
  <c r="AL182" i="7"/>
  <c r="AH182" i="7"/>
  <c r="AB182" i="7"/>
  <c r="T182" i="7"/>
  <c r="A1940" i="8"/>
  <c r="C182" i="7"/>
  <c r="A1941" i="8"/>
  <c r="A1933" i="8"/>
  <c r="A1939" i="8"/>
  <c r="A1934" i="8"/>
  <c r="A1935" i="8"/>
  <c r="A1936" i="8"/>
  <c r="A1938" i="8"/>
  <c r="A1942" i="8"/>
  <c r="A1937" i="8"/>
  <c r="A1932" i="8"/>
  <c r="AJ181" i="7"/>
  <c r="AL181" i="7"/>
  <c r="AQ181" i="7"/>
  <c r="AH181" i="7"/>
  <c r="AB181" i="7"/>
  <c r="T181" i="7"/>
  <c r="A1925" i="8"/>
  <c r="A1931" i="8"/>
  <c r="A1928" i="8"/>
  <c r="A1924" i="8"/>
  <c r="A1923" i="8"/>
  <c r="A1922" i="8"/>
  <c r="A1921" i="8"/>
  <c r="A1930" i="8"/>
  <c r="A1929" i="8"/>
  <c r="A1927" i="8"/>
  <c r="A1926" i="8"/>
  <c r="C181" i="7"/>
  <c r="AQ180" i="7"/>
  <c r="AL180" i="7"/>
  <c r="AJ180" i="7"/>
  <c r="AH180" i="7"/>
  <c r="AB180" i="7"/>
  <c r="T180" i="7"/>
  <c r="A1917" i="8"/>
  <c r="A1916" i="8"/>
  <c r="A1915" i="8"/>
  <c r="A1910" i="8"/>
  <c r="A1911" i="8"/>
  <c r="A1912" i="8"/>
  <c r="A1913" i="8"/>
  <c r="A1920" i="8"/>
  <c r="A1919" i="8"/>
  <c r="A1918" i="8"/>
  <c r="A1914" i="8"/>
  <c r="C180" i="7"/>
  <c r="AL179" i="7"/>
  <c r="AQ179" i="7"/>
  <c r="AJ179" i="7"/>
  <c r="AH179" i="7"/>
  <c r="AB179" i="7"/>
  <c r="T179" i="7"/>
  <c r="A1903" i="8"/>
  <c r="A1899" i="8"/>
  <c r="A1909" i="8"/>
  <c r="A1901" i="8"/>
  <c r="C179" i="7"/>
  <c r="A1900" i="8"/>
  <c r="A1902" i="8"/>
  <c r="A1907" i="8"/>
  <c r="A1908" i="8"/>
  <c r="A1906" i="8"/>
  <c r="A1905" i="8"/>
  <c r="A1904" i="8"/>
  <c r="AB178" i="7"/>
  <c r="AH178" i="7"/>
  <c r="AJ178" i="7"/>
  <c r="AL178" i="7"/>
  <c r="AQ178" i="7"/>
  <c r="T178" i="7"/>
  <c r="A1896" i="8"/>
  <c r="A1895" i="8"/>
  <c r="A1888" i="8"/>
  <c r="A1890" i="8"/>
  <c r="A1891" i="8"/>
  <c r="A1892" i="8"/>
  <c r="A1893" i="8"/>
  <c r="A1894" i="8"/>
  <c r="A1898" i="8"/>
  <c r="A1889" i="8"/>
  <c r="A1897" i="8"/>
  <c r="C178" i="7"/>
  <c r="AQ177" i="7"/>
  <c r="AL177" i="7"/>
  <c r="AJ177" i="7"/>
  <c r="AH177" i="7"/>
  <c r="AB177" i="7"/>
  <c r="T177" i="7"/>
  <c r="A1877" i="8"/>
  <c r="A1878" i="8"/>
  <c r="A1879" i="8"/>
  <c r="A1886" i="8"/>
  <c r="A1885" i="8"/>
  <c r="A1884" i="8"/>
  <c r="A1882" i="8"/>
  <c r="A1881" i="8"/>
  <c r="A1880" i="8"/>
  <c r="A1883" i="8"/>
  <c r="A1887" i="8"/>
  <c r="C177" i="7"/>
  <c r="AQ176" i="7"/>
  <c r="AL176" i="7"/>
  <c r="AJ176" i="7"/>
  <c r="AH176" i="7"/>
  <c r="AB176" i="7"/>
  <c r="T176" i="7"/>
  <c r="A1869" i="8"/>
  <c r="A1868" i="8"/>
  <c r="A1867" i="8"/>
  <c r="A1866" i="8"/>
  <c r="A1876" i="8"/>
  <c r="A1875" i="8"/>
  <c r="A1874" i="8"/>
  <c r="A1873" i="8"/>
  <c r="A1872" i="8"/>
  <c r="A1871" i="8"/>
  <c r="A1870" i="8"/>
  <c r="C176" i="7"/>
  <c r="AL175" i="7"/>
  <c r="T175" i="7"/>
  <c r="AH175" i="7"/>
  <c r="AJ175" i="7"/>
  <c r="AB175" i="7"/>
  <c r="AQ175" i="7"/>
  <c r="A1864" i="8"/>
  <c r="A1865" i="8"/>
  <c r="A1863" i="8"/>
  <c r="C175" i="7"/>
  <c r="T174" i="7"/>
  <c r="AB174" i="7"/>
  <c r="AH174" i="7"/>
  <c r="AJ174" i="7"/>
  <c r="AQ174" i="7"/>
  <c r="AL174" i="7"/>
  <c r="AJ173" i="7"/>
  <c r="AB173" i="7"/>
  <c r="T173" i="7"/>
  <c r="AQ173" i="7"/>
  <c r="AH173" i="7"/>
  <c r="AL173" i="7"/>
  <c r="AJ172" i="7"/>
  <c r="AH172" i="7"/>
  <c r="AL172" i="7"/>
  <c r="AQ172" i="7"/>
  <c r="T172" i="7"/>
  <c r="AB172" i="7"/>
  <c r="AB171" i="7"/>
  <c r="AQ171" i="7"/>
  <c r="AL171" i="7"/>
  <c r="AH171" i="7"/>
  <c r="T171" i="7"/>
  <c r="AJ171" i="7"/>
  <c r="AQ170" i="7"/>
  <c r="AL170" i="7"/>
  <c r="AJ170" i="7"/>
  <c r="AH170" i="7"/>
  <c r="AB170" i="7"/>
  <c r="T170" i="7"/>
  <c r="AH169" i="7"/>
  <c r="AB169" i="7"/>
  <c r="T169" i="7"/>
  <c r="AJ169" i="7"/>
  <c r="AL169" i="7"/>
  <c r="AQ169" i="7"/>
  <c r="AQ168" i="7"/>
  <c r="AB168" i="7"/>
  <c r="AJ168" i="7"/>
  <c r="T168" i="7"/>
  <c r="AH168" i="7"/>
  <c r="AL168" i="7"/>
  <c r="AL167" i="7"/>
  <c r="AJ167" i="7"/>
  <c r="AH167" i="7"/>
  <c r="T167" i="7"/>
  <c r="AB167" i="7"/>
  <c r="AQ167" i="7"/>
  <c r="AH166" i="7"/>
  <c r="AB166" i="7"/>
  <c r="T166" i="7"/>
  <c r="AQ166" i="7"/>
  <c r="AL166" i="7"/>
  <c r="AJ166" i="7"/>
  <c r="AQ165" i="7"/>
  <c r="AL165" i="7"/>
  <c r="AJ165" i="7"/>
  <c r="AH165" i="7"/>
  <c r="AB165" i="7"/>
  <c r="T165" i="7"/>
  <c r="AQ164" i="7"/>
  <c r="AL164" i="7"/>
  <c r="AJ164" i="7"/>
  <c r="AH164" i="7"/>
  <c r="AB164" i="7"/>
  <c r="T164" i="7"/>
  <c r="A1734" i="8"/>
  <c r="A1735" i="8"/>
  <c r="C164" i="7"/>
  <c r="AJ163" i="7"/>
  <c r="AL163" i="7"/>
  <c r="AQ163" i="7"/>
  <c r="T163" i="7"/>
  <c r="AB163" i="7"/>
  <c r="AH163" i="7"/>
  <c r="A1731" i="8"/>
  <c r="A1730" i="8"/>
  <c r="A1729" i="8"/>
  <c r="A1728" i="8"/>
  <c r="A1727" i="8"/>
  <c r="A1726" i="8"/>
  <c r="A1725" i="8"/>
  <c r="A1724" i="8"/>
  <c r="A1723" i="8"/>
  <c r="A1733" i="8"/>
  <c r="C163" i="7"/>
  <c r="A1732" i="8"/>
  <c r="AQ162" i="7"/>
  <c r="AL162" i="7"/>
  <c r="AJ162" i="7"/>
  <c r="AH162" i="7"/>
  <c r="AB162" i="7"/>
  <c r="T162" i="7"/>
  <c r="A1722" i="8"/>
  <c r="A1721" i="8"/>
  <c r="A1720" i="8"/>
  <c r="A1719" i="8"/>
  <c r="A1718" i="8"/>
  <c r="A1713" i="8"/>
  <c r="A1714" i="8"/>
  <c r="A1715" i="8"/>
  <c r="A1716" i="8"/>
  <c r="A1717" i="8"/>
  <c r="A1712" i="8"/>
  <c r="C162" i="7"/>
  <c r="AQ161" i="7"/>
  <c r="AL161" i="7"/>
  <c r="AJ161" i="7"/>
  <c r="AH161" i="7"/>
  <c r="AB161" i="7"/>
  <c r="T161" i="7"/>
  <c r="A1702" i="8"/>
  <c r="A1703" i="8"/>
  <c r="A1704" i="8"/>
  <c r="A1705" i="8"/>
  <c r="A1706" i="8"/>
  <c r="A1707" i="8"/>
  <c r="A1708" i="8"/>
  <c r="A1710" i="8"/>
  <c r="A1711" i="8"/>
  <c r="A1709" i="8"/>
  <c r="A1701" i="8"/>
  <c r="C161" i="7"/>
  <c r="AJ160" i="7"/>
  <c r="AQ160" i="7"/>
  <c r="AL160" i="7"/>
  <c r="T160" i="7"/>
  <c r="AB160" i="7"/>
  <c r="AH160" i="7"/>
  <c r="A1692" i="8"/>
  <c r="A1691" i="8"/>
  <c r="A1690" i="8"/>
  <c r="A1693" i="8"/>
  <c r="A1694" i="8"/>
  <c r="A1695" i="8"/>
  <c r="A1700" i="8"/>
  <c r="A1696" i="8"/>
  <c r="A1697" i="8"/>
  <c r="A1698" i="8"/>
  <c r="A1699" i="8"/>
  <c r="C160" i="7"/>
  <c r="T159" i="7"/>
  <c r="AB159" i="7"/>
  <c r="AH159" i="7"/>
  <c r="AJ159" i="7"/>
  <c r="AL159" i="7"/>
  <c r="AQ159" i="7"/>
  <c r="A1689" i="8"/>
  <c r="A1688" i="8"/>
  <c r="A1687" i="8"/>
  <c r="A1686" i="8"/>
  <c r="A1685" i="8"/>
  <c r="A1684" i="8"/>
  <c r="A1680" i="8"/>
  <c r="A1679" i="8"/>
  <c r="A1681" i="8"/>
  <c r="C159" i="7"/>
  <c r="A1682" i="8"/>
  <c r="A1683" i="8"/>
  <c r="T158" i="7"/>
  <c r="AB158" i="7"/>
  <c r="AH158" i="7"/>
  <c r="AJ158" i="7"/>
  <c r="AL158" i="7"/>
  <c r="AQ158" i="7"/>
  <c r="A1678" i="8"/>
  <c r="A1677" i="8"/>
  <c r="A1674" i="8"/>
  <c r="A1675" i="8"/>
  <c r="A1676" i="8"/>
  <c r="C158" i="7"/>
  <c r="A1668" i="8"/>
  <c r="A1669" i="8"/>
  <c r="A1670" i="8"/>
  <c r="A1671" i="8"/>
  <c r="A1672" i="8"/>
  <c r="A1673" i="8"/>
  <c r="AQ157" i="7"/>
  <c r="AL157" i="7"/>
  <c r="AJ157" i="7"/>
  <c r="AH157" i="7"/>
  <c r="AB157" i="7"/>
  <c r="T157" i="7"/>
  <c r="A1658" i="8"/>
  <c r="A1657" i="8"/>
  <c r="A1660" i="8"/>
  <c r="A1661" i="8"/>
  <c r="A1667" i="8"/>
  <c r="A1666" i="8"/>
  <c r="A1663" i="8"/>
  <c r="A1665" i="8"/>
  <c r="A1664" i="8"/>
  <c r="A1662" i="8"/>
  <c r="A1659" i="8"/>
  <c r="C157" i="7"/>
  <c r="AB156" i="7"/>
  <c r="AQ156" i="7"/>
  <c r="AL156" i="7"/>
  <c r="AJ156" i="7"/>
  <c r="AH156" i="7"/>
  <c r="T156" i="7"/>
  <c r="A1651" i="8"/>
  <c r="A1646" i="8"/>
  <c r="A1652" i="8"/>
  <c r="A1655" i="8"/>
  <c r="A1647" i="8"/>
  <c r="A1653" i="8"/>
  <c r="A1654" i="8"/>
  <c r="A1648" i="8"/>
  <c r="A1649" i="8"/>
  <c r="C156" i="7"/>
  <c r="A1650" i="8"/>
  <c r="A1656" i="8"/>
  <c r="AJ155" i="7"/>
  <c r="T155" i="7"/>
  <c r="AB155" i="7"/>
  <c r="AL155" i="7"/>
  <c r="AQ155" i="7"/>
  <c r="AH155" i="7"/>
  <c r="C155" i="7"/>
  <c r="A1640" i="8"/>
  <c r="A1635" i="8"/>
  <c r="A1641" i="8"/>
  <c r="A1642" i="8"/>
  <c r="A1643" i="8"/>
  <c r="A1644" i="8"/>
  <c r="A1645" i="8"/>
  <c r="A1636" i="8"/>
  <c r="A1637" i="8"/>
  <c r="A1638" i="8"/>
  <c r="A1639" i="8"/>
  <c r="T154" i="7"/>
  <c r="AB154" i="7"/>
  <c r="AJ154" i="7"/>
  <c r="AL154" i="7"/>
  <c r="AQ154" i="7"/>
  <c r="AH154" i="7"/>
  <c r="A1628" i="8"/>
  <c r="A1626" i="8"/>
  <c r="A1625" i="8"/>
  <c r="A1624" i="8"/>
  <c r="A1633" i="8"/>
  <c r="C154" i="7"/>
  <c r="A1627" i="8"/>
  <c r="A1634" i="8"/>
  <c r="A1632" i="8"/>
  <c r="A1631" i="8"/>
  <c r="A1630" i="8"/>
  <c r="A1629" i="8"/>
  <c r="AL153" i="7"/>
  <c r="T153" i="7"/>
  <c r="AB153" i="7"/>
  <c r="AH153" i="7"/>
  <c r="AQ153" i="7"/>
  <c r="AJ153" i="7"/>
  <c r="A1613" i="8"/>
  <c r="A1614" i="8"/>
  <c r="C153" i="7"/>
  <c r="A1622" i="8"/>
  <c r="A1621" i="8"/>
  <c r="A1620" i="8"/>
  <c r="A1619" i="8"/>
  <c r="A1623" i="8"/>
  <c r="A1618" i="8"/>
  <c r="A1617" i="8"/>
  <c r="A1616" i="8"/>
  <c r="A1615" i="8"/>
  <c r="AB152" i="7"/>
  <c r="T152" i="7"/>
  <c r="AQ152" i="7"/>
  <c r="AL152" i="7"/>
  <c r="AJ152" i="7"/>
  <c r="AH152" i="7"/>
  <c r="A1607" i="8"/>
  <c r="A1609" i="8"/>
  <c r="A1602" i="8"/>
  <c r="A1603" i="8"/>
  <c r="A1604" i="8"/>
  <c r="A1605" i="8"/>
  <c r="A1606" i="8"/>
  <c r="A1608" i="8"/>
  <c r="A1610" i="8"/>
  <c r="A1612" i="8"/>
  <c r="A1611" i="8"/>
  <c r="C152" i="7"/>
  <c r="AJ151" i="7"/>
  <c r="AL151" i="7"/>
  <c r="T151" i="7"/>
  <c r="AB151" i="7"/>
  <c r="AH151" i="7"/>
  <c r="AQ151" i="7"/>
  <c r="A1601" i="8"/>
  <c r="C151" i="7"/>
  <c r="A1599" i="8"/>
  <c r="A1598" i="8"/>
  <c r="A1600" i="8"/>
  <c r="A1596" i="8"/>
  <c r="A1595" i="8"/>
  <c r="A1594" i="8"/>
  <c r="A1593" i="8"/>
  <c r="A1592" i="8"/>
  <c r="A1591" i="8"/>
  <c r="A1597" i="8"/>
  <c r="T150" i="7"/>
  <c r="AB150" i="7"/>
  <c r="AJ150" i="7"/>
  <c r="AL150" i="7"/>
  <c r="AQ150" i="7"/>
  <c r="AH150" i="7"/>
  <c r="C150" i="7"/>
  <c r="A1590" i="8"/>
  <c r="A1589" i="8"/>
  <c r="A1588" i="8"/>
  <c r="A1587" i="8"/>
  <c r="A1586" i="8"/>
  <c r="A1584" i="8"/>
  <c r="A1583" i="8"/>
  <c r="A1582" i="8"/>
  <c r="A1581" i="8"/>
  <c r="A1580" i="8"/>
  <c r="A1585" i="8"/>
  <c r="AJ149" i="7"/>
  <c r="AH149" i="7"/>
  <c r="AB149" i="7"/>
  <c r="T149" i="7"/>
  <c r="AQ149" i="7"/>
  <c r="AL149" i="7"/>
  <c r="A1569" i="8"/>
  <c r="C149" i="7"/>
  <c r="A1579" i="8"/>
  <c r="A1578" i="8"/>
  <c r="A1577" i="8"/>
  <c r="A1576" i="8"/>
  <c r="A1575" i="8"/>
  <c r="A1574" i="8"/>
  <c r="A1573" i="8"/>
  <c r="A1572" i="8"/>
  <c r="A1571" i="8"/>
  <c r="A1570" i="8"/>
  <c r="AQ148" i="7"/>
  <c r="AL148" i="7"/>
  <c r="AJ148" i="7"/>
  <c r="AH148" i="7"/>
  <c r="AB148" i="7"/>
  <c r="T148" i="7"/>
  <c r="A1564" i="8"/>
  <c r="A1563" i="8"/>
  <c r="A1562" i="8"/>
  <c r="A1561" i="8"/>
  <c r="A1560" i="8"/>
  <c r="A1558" i="8"/>
  <c r="A1568" i="8"/>
  <c r="A1559" i="8"/>
  <c r="A1567" i="8"/>
  <c r="A1566" i="8"/>
  <c r="A1565" i="8"/>
  <c r="C148" i="7"/>
  <c r="AQ147" i="7"/>
  <c r="AL147" i="7"/>
  <c r="AJ147" i="7"/>
  <c r="AH147" i="7"/>
  <c r="AB147" i="7"/>
  <c r="T147" i="7"/>
  <c r="A1557" i="8"/>
  <c r="A1556" i="8"/>
  <c r="A1555" i="8"/>
  <c r="A1554" i="8"/>
  <c r="A1553" i="8"/>
  <c r="A1552" i="8"/>
  <c r="A1551" i="8"/>
  <c r="A1550" i="8"/>
  <c r="A1549" i="8"/>
  <c r="A1548" i="8"/>
  <c r="A1547" i="8"/>
  <c r="C147" i="7"/>
  <c r="AQ146" i="7"/>
  <c r="AL146" i="7"/>
  <c r="AJ146" i="7"/>
  <c r="AH146" i="7"/>
  <c r="AB146" i="7"/>
  <c r="T146" i="7"/>
  <c r="A1545" i="8"/>
  <c r="A1544" i="8"/>
  <c r="A1543" i="8"/>
  <c r="A1542" i="8"/>
  <c r="A1541" i="8"/>
  <c r="A1540" i="8"/>
  <c r="A1539" i="8"/>
  <c r="A1538" i="8"/>
  <c r="A1537" i="8"/>
  <c r="A1536" i="8"/>
  <c r="A1546" i="8"/>
  <c r="C146" i="7"/>
  <c r="AQ145" i="7"/>
  <c r="AL145" i="7"/>
  <c r="AJ145" i="7"/>
  <c r="AH145" i="7"/>
  <c r="AB145" i="7"/>
  <c r="T145" i="7"/>
  <c r="T144" i="7"/>
  <c r="AB144" i="7"/>
  <c r="AH144" i="7"/>
  <c r="AJ144" i="7"/>
  <c r="AQ144" i="7"/>
  <c r="AL144" i="7"/>
  <c r="AL143" i="7"/>
  <c r="AJ143" i="7"/>
  <c r="AH143" i="7"/>
  <c r="AB143" i="7"/>
  <c r="T143" i="7"/>
  <c r="AQ143" i="7"/>
  <c r="AQ142" i="7"/>
  <c r="AL142" i="7"/>
  <c r="AJ142" i="7"/>
  <c r="AH142" i="7"/>
  <c r="T142" i="7"/>
  <c r="AB142" i="7"/>
  <c r="AL141" i="7"/>
  <c r="T141" i="7"/>
  <c r="AH141" i="7"/>
  <c r="AJ141" i="7"/>
  <c r="AB141" i="7"/>
  <c r="AQ141" i="7"/>
  <c r="AQ140" i="7"/>
  <c r="T140" i="7"/>
  <c r="AB140" i="7"/>
  <c r="AH140" i="7"/>
  <c r="AJ140" i="7"/>
  <c r="AL140" i="7"/>
  <c r="AJ139" i="7"/>
  <c r="AB139" i="7"/>
  <c r="T139" i="7"/>
  <c r="AL139" i="7"/>
  <c r="AQ139" i="7"/>
  <c r="AH139" i="7"/>
  <c r="AQ138" i="7"/>
  <c r="AL138" i="7"/>
  <c r="AH138" i="7"/>
  <c r="AB138" i="7"/>
  <c r="T138" i="7"/>
  <c r="AJ138" i="7"/>
  <c r="AB137" i="7"/>
  <c r="AH137" i="7"/>
  <c r="AJ137" i="7"/>
  <c r="AL137" i="7"/>
  <c r="AQ137" i="7"/>
  <c r="T137" i="7"/>
  <c r="AL136" i="7"/>
  <c r="AQ136" i="7"/>
  <c r="AJ136" i="7"/>
  <c r="AH136" i="7"/>
  <c r="AB136" i="7"/>
  <c r="T136" i="7"/>
  <c r="AQ135" i="7"/>
  <c r="AL135" i="7"/>
  <c r="AJ135" i="7"/>
  <c r="AH135" i="7"/>
  <c r="AB135" i="7"/>
  <c r="T135" i="7"/>
  <c r="AQ134" i="7"/>
  <c r="AL134" i="7"/>
  <c r="AH134" i="7"/>
  <c r="AB134" i="7"/>
  <c r="T134" i="7"/>
  <c r="AJ134" i="7"/>
  <c r="T133" i="7"/>
  <c r="AQ133" i="7"/>
  <c r="AL133" i="7"/>
  <c r="AJ133" i="7"/>
  <c r="AH133" i="7"/>
  <c r="AB133" i="7"/>
  <c r="A1399" i="8"/>
  <c r="A1400" i="8"/>
  <c r="A1398" i="8"/>
  <c r="A1397" i="8"/>
  <c r="A1396" i="8"/>
  <c r="A1395" i="8"/>
  <c r="A1394" i="8"/>
  <c r="A1393" i="8"/>
  <c r="A1401" i="8"/>
  <c r="C133" i="7"/>
  <c r="T132" i="7"/>
  <c r="AJ132" i="7"/>
  <c r="AL132" i="7"/>
  <c r="AH132" i="7"/>
  <c r="AQ132" i="7"/>
  <c r="AB132" i="7"/>
  <c r="A1388" i="8"/>
  <c r="A1386" i="8"/>
  <c r="A1385" i="8"/>
  <c r="A1384" i="8"/>
  <c r="A1387" i="8"/>
  <c r="A1382" i="8"/>
  <c r="A1392" i="8"/>
  <c r="A1391" i="8"/>
  <c r="A1390" i="8"/>
  <c r="A1389" i="8"/>
  <c r="A1383" i="8"/>
  <c r="C132" i="7"/>
  <c r="T131" i="7"/>
  <c r="AB131" i="7"/>
  <c r="AH131" i="7"/>
  <c r="AQ131" i="7"/>
  <c r="AL131" i="7"/>
  <c r="AJ131" i="7"/>
  <c r="C131" i="7"/>
  <c r="A1375" i="8"/>
  <c r="A1376" i="8"/>
  <c r="A1374" i="8"/>
  <c r="A1377" i="8"/>
  <c r="A1379" i="8"/>
  <c r="A1381" i="8"/>
  <c r="A1380" i="8"/>
  <c r="A1378" i="8"/>
  <c r="A1371" i="8"/>
  <c r="A1372" i="8"/>
  <c r="A1373" i="8"/>
  <c r="AB130" i="7"/>
  <c r="AQ130" i="7"/>
  <c r="AL130" i="7"/>
  <c r="AJ130" i="7"/>
  <c r="AH130" i="7"/>
  <c r="T130" i="7"/>
  <c r="A1365" i="8"/>
  <c r="A1364" i="8"/>
  <c r="A1366" i="8"/>
  <c r="A1363" i="8"/>
  <c r="A1362" i="8"/>
  <c r="A1361" i="8"/>
  <c r="A1360" i="8"/>
  <c r="A1370" i="8"/>
  <c r="A1369" i="8"/>
  <c r="A1368" i="8"/>
  <c r="A1367" i="8"/>
  <c r="C130" i="7"/>
  <c r="AQ129" i="7"/>
  <c r="AL129" i="7"/>
  <c r="AJ129" i="7"/>
  <c r="AH129" i="7"/>
  <c r="AB129" i="7"/>
  <c r="T129" i="7"/>
  <c r="A1353" i="8"/>
  <c r="A1352" i="8"/>
  <c r="A1349" i="8"/>
  <c r="A1350" i="8"/>
  <c r="A1351" i="8"/>
  <c r="A1359" i="8"/>
  <c r="A1358" i="8"/>
  <c r="A1357" i="8"/>
  <c r="A1356" i="8"/>
  <c r="A1354" i="8"/>
  <c r="A1355" i="8"/>
  <c r="C129" i="7"/>
  <c r="AQ128" i="7"/>
  <c r="AL128" i="7"/>
  <c r="AJ128" i="7"/>
  <c r="AH128" i="7"/>
  <c r="AB128" i="7"/>
  <c r="T128" i="7"/>
  <c r="A1338" i="8"/>
  <c r="A1339" i="8"/>
  <c r="A1340" i="8"/>
  <c r="A1341" i="8"/>
  <c r="A1342" i="8"/>
  <c r="A1343" i="8"/>
  <c r="A1344" i="8"/>
  <c r="A1348" i="8"/>
  <c r="A1345" i="8"/>
  <c r="A1346" i="8"/>
  <c r="A1347" i="8"/>
  <c r="C128" i="7"/>
  <c r="AQ127" i="7"/>
  <c r="AL127" i="7"/>
  <c r="AJ127" i="7"/>
  <c r="AH127" i="7"/>
  <c r="AB127" i="7"/>
  <c r="T127" i="7"/>
  <c r="A1329" i="8"/>
  <c r="A1330" i="8"/>
  <c r="A1331" i="8"/>
  <c r="A1332" i="8"/>
  <c r="A1333" i="8"/>
  <c r="A1334" i="8"/>
  <c r="A1335" i="8"/>
  <c r="A1336" i="8"/>
  <c r="A1337" i="8"/>
  <c r="A1327" i="8"/>
  <c r="A1328" i="8"/>
  <c r="C127" i="7"/>
  <c r="AJ126" i="7"/>
  <c r="AQ126" i="7"/>
  <c r="AL126" i="7"/>
  <c r="AH126" i="7"/>
  <c r="AB126" i="7"/>
  <c r="T126" i="7"/>
  <c r="A1325" i="8"/>
  <c r="C126" i="7"/>
  <c r="A1322" i="8"/>
  <c r="A1323" i="8"/>
  <c r="A1324" i="8"/>
  <c r="A1321" i="8"/>
  <c r="A1326" i="8"/>
  <c r="T125" i="7"/>
  <c r="AJ125" i="7"/>
  <c r="AB125" i="7"/>
  <c r="AH125" i="7"/>
  <c r="AQ125" i="7"/>
  <c r="AL125" i="7"/>
  <c r="AL124" i="7"/>
  <c r="AQ124" i="7"/>
  <c r="AH124" i="7"/>
  <c r="AB124" i="7"/>
  <c r="T124" i="7"/>
  <c r="AJ124" i="7"/>
  <c r="T123" i="7"/>
  <c r="AH123" i="7"/>
  <c r="AJ123" i="7"/>
  <c r="AL123" i="7"/>
  <c r="AQ123" i="7"/>
  <c r="AB123" i="7"/>
  <c r="AB122" i="7"/>
  <c r="AQ122" i="7"/>
  <c r="AL122" i="7"/>
  <c r="AH122" i="7"/>
  <c r="T122" i="7"/>
  <c r="AJ122" i="7"/>
  <c r="AQ121" i="7"/>
  <c r="AL121" i="7"/>
  <c r="AJ121" i="7"/>
  <c r="AH121" i="7"/>
  <c r="AB121" i="7"/>
  <c r="T121" i="7"/>
  <c r="AB120" i="7"/>
  <c r="AH120" i="7"/>
  <c r="AJ120" i="7"/>
  <c r="AL120" i="7"/>
  <c r="AQ120" i="7"/>
  <c r="T120" i="7"/>
  <c r="AB119" i="7"/>
  <c r="AH119" i="7"/>
  <c r="AJ119" i="7"/>
  <c r="AL119" i="7"/>
  <c r="AQ119" i="7"/>
  <c r="T119" i="7"/>
  <c r="AB118" i="7"/>
  <c r="AQ118" i="7"/>
  <c r="T118" i="7"/>
  <c r="AH118" i="7"/>
  <c r="AJ118" i="7"/>
  <c r="AL118" i="7"/>
  <c r="T117" i="7"/>
  <c r="AH117" i="7"/>
  <c r="AB117" i="7"/>
  <c r="AJ117" i="7"/>
  <c r="AL117" i="7"/>
  <c r="AQ117" i="7"/>
  <c r="AL116" i="7"/>
  <c r="T116" i="7"/>
  <c r="AB116" i="7"/>
  <c r="AH116" i="7"/>
  <c r="AJ116" i="7"/>
  <c r="AQ116" i="7"/>
  <c r="AJ115" i="7"/>
  <c r="AH115" i="7"/>
  <c r="T115" i="7"/>
  <c r="AQ115" i="7"/>
  <c r="AB115" i="7"/>
  <c r="AL115" i="7"/>
  <c r="AB114" i="7"/>
  <c r="T114" i="7"/>
  <c r="AH114" i="7"/>
  <c r="AJ114" i="7"/>
  <c r="AL114" i="7"/>
  <c r="AQ114" i="7"/>
  <c r="T113" i="7"/>
  <c r="AH113" i="7"/>
  <c r="AL113" i="7"/>
  <c r="AQ113" i="7"/>
  <c r="AB113" i="7"/>
  <c r="AJ113" i="7"/>
  <c r="AQ112" i="7"/>
  <c r="AL112" i="7"/>
  <c r="AJ112" i="7"/>
  <c r="AH112" i="7"/>
  <c r="AB112" i="7"/>
  <c r="T112" i="7"/>
  <c r="AL111" i="7"/>
  <c r="AQ111" i="7"/>
  <c r="T111" i="7"/>
  <c r="AB111" i="7"/>
  <c r="AH111" i="7"/>
  <c r="AJ111" i="7"/>
  <c r="T110" i="7"/>
  <c r="AQ110" i="7"/>
  <c r="AL110" i="7"/>
  <c r="AJ110" i="7"/>
  <c r="AH110" i="7"/>
  <c r="AB110" i="7"/>
  <c r="AH109" i="7"/>
  <c r="AL109" i="7"/>
  <c r="AJ109" i="7"/>
  <c r="T109" i="7"/>
  <c r="AB109" i="7"/>
  <c r="AQ109" i="7"/>
  <c r="AJ108" i="7"/>
  <c r="AQ108" i="7"/>
  <c r="AL108" i="7"/>
  <c r="AH108" i="7"/>
  <c r="AB108" i="7"/>
  <c r="T108" i="7"/>
  <c r="AH107" i="7"/>
  <c r="AB107" i="7"/>
  <c r="T107" i="7"/>
  <c r="AJ107" i="7"/>
  <c r="AL107" i="7"/>
  <c r="AQ107" i="7"/>
  <c r="AL106" i="7"/>
  <c r="AJ106" i="7"/>
  <c r="AH106" i="7"/>
  <c r="AB106" i="7"/>
  <c r="T106" i="7"/>
  <c r="AQ106" i="7"/>
  <c r="AH105" i="7"/>
  <c r="AJ105" i="7"/>
  <c r="AQ105" i="7"/>
  <c r="AL105" i="7"/>
  <c r="T105" i="7"/>
  <c r="AB105" i="7"/>
  <c r="AJ104" i="7"/>
  <c r="AL104" i="7"/>
  <c r="AH104" i="7"/>
  <c r="T104" i="7"/>
  <c r="AB104" i="7"/>
  <c r="AQ104" i="7"/>
  <c r="T103" i="7"/>
  <c r="AH103" i="7"/>
  <c r="AJ103" i="7"/>
  <c r="AL103" i="7"/>
  <c r="AQ103" i="7"/>
  <c r="AB103" i="7"/>
  <c r="C103" i="7"/>
  <c r="A1066" i="8"/>
  <c r="A1063" i="8"/>
  <c r="A1064" i="8"/>
  <c r="A1065" i="8"/>
  <c r="AQ102" i="7"/>
  <c r="AL102" i="7"/>
  <c r="AJ102" i="7"/>
  <c r="AH102" i="7"/>
  <c r="AB102" i="7"/>
  <c r="T102" i="7"/>
  <c r="A1060" i="8"/>
  <c r="A1061" i="8"/>
  <c r="C102" i="7"/>
  <c r="A1062" i="8"/>
  <c r="A1052" i="8"/>
  <c r="A1053" i="8"/>
  <c r="A1054" i="8"/>
  <c r="A1055" i="8"/>
  <c r="A1056" i="8"/>
  <c r="A1057" i="8"/>
  <c r="A1058" i="8"/>
  <c r="A1059" i="8"/>
  <c r="AH101" i="7"/>
  <c r="AL101" i="7"/>
  <c r="AQ101" i="7"/>
  <c r="AJ101" i="7"/>
  <c r="T101" i="7"/>
  <c r="AB101" i="7"/>
  <c r="A1043" i="8"/>
  <c r="A1044" i="8"/>
  <c r="A1051" i="8"/>
  <c r="A1050" i="8"/>
  <c r="A1049" i="8"/>
  <c r="A1048" i="8"/>
  <c r="A1042" i="8"/>
  <c r="A1047" i="8"/>
  <c r="A1046" i="8"/>
  <c r="A1041" i="8"/>
  <c r="C101" i="7"/>
  <c r="A1045" i="8"/>
  <c r="AL100" i="7"/>
  <c r="AH100" i="7"/>
  <c r="AJ100" i="7"/>
  <c r="T100" i="7"/>
  <c r="AB100" i="7"/>
  <c r="AQ100" i="7"/>
  <c r="A1032" i="8"/>
  <c r="A1040" i="8"/>
  <c r="A1039" i="8"/>
  <c r="A1038" i="8"/>
  <c r="A1037" i="8"/>
  <c r="A1036" i="8"/>
  <c r="A1035" i="8"/>
  <c r="A1030" i="8"/>
  <c r="A1033" i="8"/>
  <c r="C100" i="7"/>
  <c r="A1034" i="8"/>
  <c r="A1031" i="8"/>
  <c r="AH99" i="7"/>
  <c r="T99" i="7"/>
  <c r="AQ99" i="7"/>
  <c r="AL99" i="7"/>
  <c r="AJ99" i="7"/>
  <c r="AB99" i="7"/>
  <c r="C99" i="7"/>
  <c r="A1029" i="8"/>
  <c r="A1028" i="8"/>
  <c r="A1027" i="8"/>
  <c r="A1026" i="8"/>
  <c r="A1025" i="8"/>
  <c r="A1023" i="8"/>
  <c r="A1022" i="8"/>
  <c r="A1021" i="8"/>
  <c r="A1020" i="8"/>
  <c r="A1019" i="8"/>
  <c r="A1024" i="8"/>
  <c r="T98" i="7"/>
  <c r="AB98" i="7"/>
  <c r="AH98" i="7"/>
  <c r="AJ98" i="7"/>
  <c r="AL98" i="7"/>
  <c r="AQ98" i="7"/>
  <c r="A1018" i="8"/>
  <c r="A1017" i="8"/>
  <c r="C98" i="7"/>
  <c r="A1015" i="8"/>
  <c r="A1014" i="8"/>
  <c r="A1013" i="8"/>
  <c r="A1012" i="8"/>
  <c r="A1011" i="8"/>
  <c r="A1010" i="8"/>
  <c r="A1009" i="8"/>
  <c r="A1008" i="8"/>
  <c r="A1016" i="8"/>
  <c r="AL97" i="7"/>
  <c r="T97" i="7"/>
  <c r="AB97" i="7"/>
  <c r="AH97" i="7"/>
  <c r="AJ97" i="7"/>
  <c r="AQ97" i="7"/>
  <c r="A1007" i="8"/>
  <c r="A1006" i="8"/>
  <c r="A1005" i="8"/>
  <c r="A1004" i="8"/>
  <c r="A1003" i="8"/>
  <c r="A1002" i="8"/>
  <c r="A1001" i="8"/>
  <c r="A1000" i="8"/>
  <c r="A999" i="8"/>
  <c r="A998" i="8"/>
  <c r="A997" i="8"/>
  <c r="C97" i="7"/>
  <c r="AQ96" i="7"/>
  <c r="AL96" i="7"/>
  <c r="AJ96" i="7"/>
  <c r="AH96" i="7"/>
  <c r="AB96" i="7"/>
  <c r="T96" i="7"/>
  <c r="A990" i="8"/>
  <c r="A989" i="8"/>
  <c r="A988" i="8"/>
  <c r="A987" i="8"/>
  <c r="A986" i="8"/>
  <c r="A996" i="8"/>
  <c r="A995" i="8"/>
  <c r="A994" i="8"/>
  <c r="A993" i="8"/>
  <c r="A992" i="8"/>
  <c r="A991" i="8"/>
  <c r="C96" i="7"/>
  <c r="AJ95" i="7"/>
  <c r="AH95" i="7"/>
  <c r="AB95" i="7"/>
  <c r="AQ95" i="7"/>
  <c r="T95" i="7"/>
  <c r="AL95" i="7"/>
  <c r="A978" i="8"/>
  <c r="A977" i="8"/>
  <c r="A976" i="8"/>
  <c r="A975" i="8"/>
  <c r="A982" i="8"/>
  <c r="C95" i="7"/>
  <c r="A979" i="8"/>
  <c r="A980" i="8"/>
  <c r="A981" i="8"/>
  <c r="A983" i="8"/>
  <c r="A984" i="8"/>
  <c r="A985" i="8"/>
  <c r="AL94" i="7"/>
  <c r="AQ94" i="7"/>
  <c r="T94" i="7"/>
  <c r="AB94" i="7"/>
  <c r="AH94" i="7"/>
  <c r="AJ94" i="7"/>
  <c r="A974" i="8"/>
  <c r="A973" i="8"/>
  <c r="A972" i="8"/>
  <c r="A971" i="8"/>
  <c r="A970" i="8"/>
  <c r="A964" i="8"/>
  <c r="A965" i="8"/>
  <c r="A966" i="8"/>
  <c r="A967" i="8"/>
  <c r="A968" i="8"/>
  <c r="A969" i="8"/>
  <c r="C94" i="7"/>
  <c r="AJ93" i="7"/>
  <c r="AH93" i="7"/>
  <c r="AB93" i="7"/>
  <c r="T93" i="7"/>
  <c r="AQ93" i="7"/>
  <c r="AL93" i="7"/>
  <c r="A963" i="8"/>
  <c r="A962" i="8"/>
  <c r="A961" i="8"/>
  <c r="C93" i="7"/>
  <c r="A953" i="8"/>
  <c r="A954" i="8"/>
  <c r="A955" i="8"/>
  <c r="A956" i="8"/>
  <c r="A957" i="8"/>
  <c r="A958" i="8"/>
  <c r="A959" i="8"/>
  <c r="A960" i="8"/>
  <c r="AQ92" i="7"/>
  <c r="AL92" i="7"/>
  <c r="AJ92" i="7"/>
  <c r="AH92" i="7"/>
  <c r="AB92" i="7"/>
  <c r="T92" i="7"/>
  <c r="A943" i="8"/>
  <c r="A944" i="8"/>
  <c r="A945" i="8"/>
  <c r="A946" i="8"/>
  <c r="A949" i="8"/>
  <c r="A950" i="8"/>
  <c r="A951" i="8"/>
  <c r="A952" i="8"/>
  <c r="A947" i="8"/>
  <c r="A948" i="8"/>
  <c r="A942" i="8"/>
  <c r="C92" i="7"/>
  <c r="T91" i="7"/>
  <c r="AB91" i="7"/>
  <c r="AH91" i="7"/>
  <c r="AJ91" i="7"/>
  <c r="AL91" i="7"/>
  <c r="AQ91" i="7"/>
  <c r="A936" i="8"/>
  <c r="A935" i="8"/>
  <c r="A934" i="8"/>
  <c r="A933" i="8"/>
  <c r="A932" i="8"/>
  <c r="A931" i="8"/>
  <c r="C91" i="7"/>
  <c r="A941" i="8"/>
  <c r="A940" i="8"/>
  <c r="A939" i="8"/>
  <c r="A938" i="8"/>
  <c r="A937" i="8"/>
  <c r="T90" i="7"/>
  <c r="AL90" i="7"/>
  <c r="AJ90" i="7"/>
  <c r="AH90" i="7"/>
  <c r="AB90" i="7"/>
  <c r="AQ90" i="7"/>
  <c r="C90" i="7"/>
  <c r="A928" i="8"/>
  <c r="A929" i="8"/>
  <c r="A930" i="8"/>
  <c r="A923" i="8"/>
  <c r="A920" i="8"/>
  <c r="A921" i="8"/>
  <c r="A922" i="8"/>
  <c r="A924" i="8"/>
  <c r="A925" i="8"/>
  <c r="A926" i="8"/>
  <c r="A927" i="8"/>
  <c r="AQ89" i="7"/>
  <c r="AL89" i="7"/>
  <c r="AJ89" i="7"/>
  <c r="T89" i="7"/>
  <c r="AB89" i="7"/>
  <c r="AH89" i="7"/>
  <c r="A915" i="8"/>
  <c r="C89" i="7"/>
  <c r="A909" i="8"/>
  <c r="A910" i="8"/>
  <c r="A911" i="8"/>
  <c r="A912" i="8"/>
  <c r="A913" i="8"/>
  <c r="A914" i="8"/>
  <c r="A916" i="8"/>
  <c r="A917" i="8"/>
  <c r="A918" i="8"/>
  <c r="A919" i="8"/>
  <c r="AQ88" i="7"/>
  <c r="AL88" i="7"/>
  <c r="AH88" i="7"/>
  <c r="AB88" i="7"/>
  <c r="T88" i="7"/>
  <c r="AJ88" i="7"/>
  <c r="A899" i="8"/>
  <c r="A898" i="8"/>
  <c r="A900" i="8"/>
  <c r="A901" i="8"/>
  <c r="A902" i="8"/>
  <c r="A903" i="8"/>
  <c r="A904" i="8"/>
  <c r="A905" i="8"/>
  <c r="A906" i="8"/>
  <c r="C88" i="7"/>
  <c r="A908" i="8"/>
  <c r="A907" i="8"/>
  <c r="AQ87" i="7"/>
  <c r="AL87" i="7"/>
  <c r="AJ87" i="7"/>
  <c r="AH87" i="7"/>
  <c r="AB87" i="7"/>
  <c r="T87" i="7"/>
  <c r="A893" i="8"/>
  <c r="A897" i="8"/>
  <c r="A896" i="8"/>
  <c r="A895" i="8"/>
  <c r="C87" i="7"/>
  <c r="A894" i="8"/>
  <c r="AB86" i="7"/>
  <c r="T86" i="7"/>
  <c r="AH86" i="7"/>
  <c r="AJ86" i="7"/>
  <c r="AL86" i="7"/>
  <c r="AQ86" i="7"/>
  <c r="AJ85" i="7"/>
  <c r="AL85" i="7"/>
  <c r="AQ85" i="7"/>
  <c r="T85" i="7"/>
  <c r="AB85" i="7"/>
  <c r="AH85" i="7"/>
  <c r="AQ84" i="7"/>
  <c r="AL84" i="7"/>
  <c r="AJ84" i="7"/>
  <c r="AH84" i="7"/>
  <c r="AB84" i="7"/>
  <c r="T84" i="7"/>
  <c r="AL83" i="7"/>
  <c r="AJ83" i="7"/>
  <c r="AH83" i="7"/>
  <c r="AB83" i="7"/>
  <c r="T83" i="7"/>
  <c r="AQ83" i="7"/>
  <c r="AL82" i="7"/>
  <c r="AQ82" i="7"/>
  <c r="T82" i="7"/>
  <c r="AB82" i="7"/>
  <c r="AH82" i="7"/>
  <c r="AJ82" i="7"/>
  <c r="AQ81" i="7"/>
  <c r="AL81" i="7"/>
  <c r="AJ81" i="7"/>
  <c r="AH81" i="7"/>
  <c r="AB81" i="7"/>
  <c r="T81" i="7"/>
  <c r="AQ80" i="7"/>
  <c r="T80" i="7"/>
  <c r="AL80" i="7"/>
  <c r="AJ80" i="7"/>
  <c r="AH80" i="7"/>
  <c r="AB80" i="7"/>
  <c r="AQ79" i="7"/>
  <c r="AL79" i="7"/>
  <c r="AJ79" i="7"/>
  <c r="AH79" i="7"/>
  <c r="AB79" i="7"/>
  <c r="T79" i="7"/>
  <c r="AQ78" i="7"/>
  <c r="T78" i="7"/>
  <c r="AB78" i="7"/>
  <c r="AH78" i="7"/>
  <c r="AJ78" i="7"/>
  <c r="AL78" i="7"/>
  <c r="AH77" i="7"/>
  <c r="AB77" i="7"/>
  <c r="T77" i="7"/>
  <c r="AJ77" i="7"/>
  <c r="AQ77" i="7"/>
  <c r="AL77" i="7"/>
  <c r="T76" i="7"/>
  <c r="AH76" i="7"/>
  <c r="AJ76" i="7"/>
  <c r="AL76" i="7"/>
  <c r="AQ76" i="7"/>
  <c r="AB76" i="7"/>
  <c r="AH75" i="7"/>
  <c r="AJ75" i="7"/>
  <c r="AL75" i="7"/>
  <c r="AB75" i="7"/>
  <c r="AQ75" i="7"/>
  <c r="T75" i="7"/>
  <c r="AQ74" i="7"/>
  <c r="AL74" i="7"/>
  <c r="AJ74" i="7"/>
  <c r="AH74" i="7"/>
  <c r="AB74" i="7"/>
  <c r="T74" i="7"/>
  <c r="AH73" i="7"/>
  <c r="AQ73" i="7"/>
  <c r="AL73" i="7"/>
  <c r="AJ73" i="7"/>
  <c r="AB73" i="7"/>
  <c r="T73" i="7"/>
  <c r="AL72" i="7"/>
  <c r="AQ72" i="7"/>
  <c r="AJ72" i="7"/>
  <c r="AH72" i="7"/>
  <c r="AB72" i="7"/>
  <c r="T72" i="7"/>
  <c r="A725" i="8"/>
  <c r="A723" i="8"/>
  <c r="A722" i="8"/>
  <c r="A724" i="8"/>
  <c r="A732" i="8"/>
  <c r="A731" i="8"/>
  <c r="A730" i="8"/>
  <c r="A729" i="8"/>
  <c r="A728" i="8"/>
  <c r="A727" i="8"/>
  <c r="A726" i="8"/>
  <c r="C72" i="7"/>
  <c r="AL71" i="7"/>
  <c r="AQ71" i="7"/>
  <c r="AH71" i="7"/>
  <c r="AJ71" i="7"/>
  <c r="AB71" i="7"/>
  <c r="T71" i="7"/>
  <c r="A715" i="8"/>
  <c r="C71" i="7"/>
  <c r="A711" i="8"/>
  <c r="A713" i="8"/>
  <c r="A714" i="8"/>
  <c r="A720" i="8"/>
  <c r="A716" i="8"/>
  <c r="A717" i="8"/>
  <c r="A718" i="8"/>
  <c r="A719" i="8"/>
  <c r="A712" i="8"/>
  <c r="A721" i="8"/>
  <c r="AH70" i="7"/>
  <c r="AJ70" i="7"/>
  <c r="T70" i="7"/>
  <c r="AB70" i="7"/>
  <c r="AQ70" i="7"/>
  <c r="AL70" i="7"/>
  <c r="A710" i="8"/>
  <c r="A709" i="8"/>
  <c r="A700" i="8"/>
  <c r="A701" i="8"/>
  <c r="A702" i="8"/>
  <c r="A703" i="8"/>
  <c r="C70" i="7"/>
  <c r="A705" i="8"/>
  <c r="A706" i="8"/>
  <c r="A707" i="8"/>
  <c r="A704" i="8"/>
  <c r="A708" i="8"/>
  <c r="T69" i="7"/>
  <c r="AQ69" i="7"/>
  <c r="AB69" i="7"/>
  <c r="AH69" i="7"/>
  <c r="AJ69" i="7"/>
  <c r="AL69" i="7"/>
  <c r="A693" i="8"/>
  <c r="A692" i="8"/>
  <c r="A691" i="8"/>
  <c r="A690" i="8"/>
  <c r="A689" i="8"/>
  <c r="C69" i="7"/>
  <c r="A699" i="8"/>
  <c r="A698" i="8"/>
  <c r="A697" i="8"/>
  <c r="A696" i="8"/>
  <c r="A695" i="8"/>
  <c r="A694" i="8"/>
  <c r="AQ68" i="7"/>
  <c r="AJ68" i="7"/>
  <c r="AH68" i="7"/>
  <c r="AL68" i="7"/>
  <c r="AB68" i="7"/>
  <c r="T68" i="7"/>
  <c r="A683" i="8"/>
  <c r="A682" i="8"/>
  <c r="A681" i="8"/>
  <c r="A680" i="8"/>
  <c r="A679" i="8"/>
  <c r="A678" i="8"/>
  <c r="C68" i="7"/>
  <c r="A687" i="8"/>
  <c r="A686" i="8"/>
  <c r="A685" i="8"/>
  <c r="A684" i="8"/>
  <c r="A688" i="8"/>
  <c r="AH67" i="7"/>
  <c r="AL67" i="7"/>
  <c r="AJ67" i="7"/>
  <c r="AB67" i="7"/>
  <c r="T67" i="7"/>
  <c r="AQ67" i="7"/>
  <c r="A672" i="8"/>
  <c r="A677" i="8"/>
  <c r="A676" i="8"/>
  <c r="A675" i="8"/>
  <c r="A674" i="8"/>
  <c r="A673" i="8"/>
  <c r="A671" i="8"/>
  <c r="A670" i="8"/>
  <c r="A669" i="8"/>
  <c r="A668" i="8"/>
  <c r="A667" i="8"/>
  <c r="C67" i="7"/>
  <c r="AJ66" i="7"/>
  <c r="AH66" i="7"/>
  <c r="AB66" i="7"/>
  <c r="T66" i="7"/>
  <c r="AL66" i="7"/>
  <c r="AQ66" i="7"/>
  <c r="A663" i="8"/>
  <c r="A666" i="8"/>
  <c r="A665" i="8"/>
  <c r="C66" i="7"/>
  <c r="A662" i="8"/>
  <c r="A661" i="8"/>
  <c r="A660" i="8"/>
  <c r="A659" i="8"/>
  <c r="A658" i="8"/>
  <c r="A657" i="8"/>
  <c r="A656" i="8"/>
  <c r="A664" i="8"/>
  <c r="AJ65" i="7"/>
  <c r="AQ65" i="7"/>
  <c r="AL65" i="7"/>
  <c r="AH65" i="7"/>
  <c r="AB65" i="7"/>
  <c r="T65" i="7"/>
  <c r="A654" i="8"/>
  <c r="A650" i="8"/>
  <c r="A649" i="8"/>
  <c r="A648" i="8"/>
  <c r="A653" i="8"/>
  <c r="A652" i="8"/>
  <c r="A651" i="8"/>
  <c r="A647" i="8"/>
  <c r="A646" i="8"/>
  <c r="C65" i="7"/>
  <c r="A645" i="8"/>
  <c r="A655" i="8"/>
  <c r="AQ64" i="7"/>
  <c r="T64" i="7"/>
  <c r="AB64" i="7"/>
  <c r="AH64" i="7"/>
  <c r="AJ64" i="7"/>
  <c r="AL64" i="7"/>
  <c r="A639" i="8"/>
  <c r="A638" i="8"/>
  <c r="A637" i="8"/>
  <c r="A636" i="8"/>
  <c r="A635" i="8"/>
  <c r="A634" i="8"/>
  <c r="A640" i="8"/>
  <c r="A641" i="8"/>
  <c r="A642" i="8"/>
  <c r="A643" i="8"/>
  <c r="A644" i="8"/>
  <c r="C64" i="7"/>
  <c r="T63" i="7"/>
  <c r="AQ63" i="7"/>
  <c r="AL63" i="7"/>
  <c r="AJ63" i="7"/>
  <c r="AH63" i="7"/>
  <c r="AB63" i="7"/>
  <c r="A633" i="8"/>
  <c r="A631" i="8"/>
  <c r="A626" i="8"/>
  <c r="A632" i="8"/>
  <c r="C63" i="7"/>
  <c r="A628" i="8"/>
  <c r="A623" i="8"/>
  <c r="A624" i="8"/>
  <c r="A625" i="8"/>
  <c r="A627" i="8"/>
  <c r="A630" i="8"/>
  <c r="A629" i="8"/>
  <c r="AJ62" i="7"/>
  <c r="AL62" i="7"/>
  <c r="AQ62" i="7"/>
  <c r="AB62" i="7"/>
  <c r="T62" i="7"/>
  <c r="AH62" i="7"/>
  <c r="C62" i="7"/>
  <c r="A618" i="8"/>
  <c r="A612" i="8"/>
  <c r="A613" i="8"/>
  <c r="A614" i="8"/>
  <c r="A615" i="8"/>
  <c r="A616" i="8"/>
  <c r="A617" i="8"/>
  <c r="A619" i="8"/>
  <c r="A620" i="8"/>
  <c r="A621" i="8"/>
  <c r="A622" i="8"/>
  <c r="AQ61" i="7"/>
  <c r="AL61" i="7"/>
  <c r="AJ61" i="7"/>
  <c r="AH61" i="7"/>
  <c r="AB61" i="7"/>
  <c r="T61" i="7"/>
  <c r="A601" i="8"/>
  <c r="A602" i="8"/>
  <c r="A603" i="8"/>
  <c r="A604" i="8"/>
  <c r="A605" i="8"/>
  <c r="A606" i="8"/>
  <c r="A607" i="8"/>
  <c r="A609" i="8"/>
  <c r="A611" i="8"/>
  <c r="A610" i="8"/>
  <c r="C61" i="7"/>
  <c r="A608" i="8"/>
  <c r="AJ60" i="7"/>
  <c r="AH60" i="7"/>
  <c r="AB60" i="7"/>
  <c r="T60" i="7"/>
  <c r="AQ60" i="7"/>
  <c r="AL60" i="7"/>
  <c r="A594" i="8"/>
  <c r="A591" i="8"/>
  <c r="A595" i="8"/>
  <c r="A596" i="8"/>
  <c r="A597" i="8"/>
  <c r="A598" i="8"/>
  <c r="A599" i="8"/>
  <c r="A600" i="8"/>
  <c r="A590" i="8"/>
  <c r="C60" i="7"/>
  <c r="A593" i="8"/>
  <c r="A592" i="8"/>
  <c r="AB59" i="7"/>
  <c r="AH59" i="7"/>
  <c r="AJ59" i="7"/>
  <c r="AQ59" i="7"/>
  <c r="AL59" i="7"/>
  <c r="T59" i="7"/>
  <c r="A582" i="8"/>
  <c r="C59" i="7"/>
  <c r="A583" i="8"/>
  <c r="A585" i="8"/>
  <c r="A586" i="8"/>
  <c r="A587" i="8"/>
  <c r="A589" i="8"/>
  <c r="A584" i="8"/>
  <c r="A579" i="8"/>
  <c r="A580" i="8"/>
  <c r="A588" i="8"/>
  <c r="A581" i="8"/>
  <c r="AQ58" i="7"/>
  <c r="AB58" i="7"/>
  <c r="AH58" i="7"/>
  <c r="AL58" i="7"/>
  <c r="AJ58" i="7"/>
  <c r="T58" i="7"/>
  <c r="A570" i="8"/>
  <c r="A571" i="8"/>
  <c r="A572" i="8"/>
  <c r="A575" i="8"/>
  <c r="A573" i="8"/>
  <c r="A574" i="8"/>
  <c r="A576" i="8"/>
  <c r="A577" i="8"/>
  <c r="A578" i="8"/>
  <c r="C58" i="7"/>
  <c r="A568" i="8"/>
  <c r="A569" i="8"/>
  <c r="T57" i="7"/>
  <c r="AQ57" i="7"/>
  <c r="AL57" i="7"/>
  <c r="AB57" i="7"/>
  <c r="AJ57" i="7"/>
  <c r="AH57" i="7"/>
  <c r="C57" i="7"/>
  <c r="A564" i="8"/>
  <c r="A557" i="8"/>
  <c r="A559" i="8"/>
  <c r="A560" i="8"/>
  <c r="A561" i="8"/>
  <c r="A562" i="8"/>
  <c r="A558" i="8"/>
  <c r="A565" i="8"/>
  <c r="A566" i="8"/>
  <c r="A567" i="8"/>
  <c r="A563" i="8"/>
  <c r="AQ56" i="7"/>
  <c r="AL56" i="7"/>
  <c r="AJ56" i="7"/>
  <c r="AB56" i="7"/>
  <c r="T56" i="7"/>
  <c r="AH56" i="7"/>
  <c r="A556" i="8"/>
  <c r="A551" i="8"/>
  <c r="A552" i="8"/>
  <c r="A554" i="8"/>
  <c r="A553" i="8"/>
  <c r="A555" i="8"/>
  <c r="A546" i="8"/>
  <c r="A547" i="8"/>
  <c r="A548" i="8"/>
  <c r="C56" i="7"/>
  <c r="A549" i="8"/>
  <c r="A550" i="8"/>
  <c r="AB55" i="7"/>
  <c r="T55" i="7"/>
  <c r="AQ55" i="7"/>
  <c r="AL55" i="7"/>
  <c r="AJ55" i="7"/>
  <c r="AH55" i="7"/>
  <c r="A542" i="8"/>
  <c r="A541" i="8"/>
  <c r="A540" i="8"/>
  <c r="A539" i="8"/>
  <c r="A538" i="8"/>
  <c r="A536" i="8"/>
  <c r="A537" i="8"/>
  <c r="A543" i="8"/>
  <c r="A545" i="8"/>
  <c r="A544" i="8"/>
  <c r="A535" i="8"/>
  <c r="C55" i="7"/>
  <c r="AQ54" i="7"/>
  <c r="T54" i="7"/>
  <c r="AB54" i="7"/>
  <c r="AH54" i="7"/>
  <c r="AJ54" i="7"/>
  <c r="AL54" i="7"/>
  <c r="C54" i="7"/>
  <c r="A532" i="8"/>
  <c r="A534" i="8"/>
  <c r="A525" i="8"/>
  <c r="A531" i="8"/>
  <c r="A530" i="8"/>
  <c r="A529" i="8"/>
  <c r="A527" i="8"/>
  <c r="A526" i="8"/>
  <c r="A524" i="8"/>
  <c r="A528" i="8"/>
  <c r="A533" i="8"/>
  <c r="AH53" i="7"/>
  <c r="T53" i="7"/>
  <c r="AB53" i="7"/>
  <c r="AQ53" i="7"/>
  <c r="AJ53" i="7"/>
  <c r="AL53" i="7"/>
  <c r="A523" i="8"/>
  <c r="A521" i="8"/>
  <c r="A520" i="8"/>
  <c r="A519" i="8"/>
  <c r="A518" i="8"/>
  <c r="A514" i="8"/>
  <c r="A516" i="8"/>
  <c r="C53" i="7"/>
  <c r="A517" i="8"/>
  <c r="A522" i="8"/>
  <c r="A515" i="8"/>
  <c r="A513" i="8"/>
  <c r="AL52" i="7"/>
  <c r="AJ52" i="7"/>
  <c r="AB52" i="7"/>
  <c r="AH52" i="7"/>
  <c r="AQ52" i="7"/>
  <c r="T52" i="7"/>
  <c r="A512" i="8"/>
  <c r="C52" i="7"/>
  <c r="A510" i="8"/>
  <c r="A511" i="8"/>
  <c r="A509" i="8"/>
  <c r="A508" i="8"/>
  <c r="A507" i="8"/>
  <c r="A506" i="8"/>
  <c r="A505" i="8"/>
  <c r="A504" i="8"/>
  <c r="A503" i="8"/>
  <c r="A502" i="8"/>
  <c r="T51" i="7"/>
  <c r="AB51" i="7"/>
  <c r="AH51" i="7"/>
  <c r="AJ51" i="7"/>
  <c r="AL51" i="7"/>
  <c r="AQ51" i="7"/>
  <c r="A498" i="8"/>
  <c r="A497" i="8"/>
  <c r="A496" i="8"/>
  <c r="A495" i="8"/>
  <c r="A494" i="8"/>
  <c r="A493" i="8"/>
  <c r="A492" i="8"/>
  <c r="A491" i="8"/>
  <c r="C51" i="7"/>
  <c r="A500" i="8"/>
  <c r="A501" i="8"/>
  <c r="A499" i="8"/>
  <c r="AJ50" i="7"/>
  <c r="AL50" i="7"/>
  <c r="AQ50" i="7"/>
  <c r="T50" i="7"/>
  <c r="AB50" i="7"/>
  <c r="AH50" i="7"/>
  <c r="A484" i="8"/>
  <c r="A482" i="8"/>
  <c r="A483" i="8"/>
  <c r="A485" i="8"/>
  <c r="C50" i="7"/>
  <c r="A490" i="8"/>
  <c r="A489" i="8"/>
  <c r="A488" i="8"/>
  <c r="A487" i="8"/>
  <c r="A486" i="8"/>
  <c r="A480" i="8"/>
  <c r="A481" i="8"/>
  <c r="AH49" i="7"/>
  <c r="AQ49" i="7"/>
  <c r="AJ49" i="7"/>
  <c r="AB49" i="7"/>
  <c r="AL49" i="7"/>
  <c r="T49" i="7"/>
  <c r="A471" i="8"/>
  <c r="A469" i="8"/>
  <c r="A470" i="8"/>
  <c r="A472" i="8"/>
  <c r="A473" i="8"/>
  <c r="A474" i="8"/>
  <c r="A475" i="8"/>
  <c r="A476" i="8"/>
  <c r="A477" i="8"/>
  <c r="A478" i="8"/>
  <c r="A479" i="8"/>
  <c r="C49" i="7"/>
  <c r="AJ48" i="7"/>
  <c r="AL48" i="7"/>
  <c r="AQ48" i="7"/>
  <c r="T48" i="7"/>
  <c r="AB48" i="7"/>
  <c r="AH48" i="7"/>
  <c r="A467" i="8"/>
  <c r="A465" i="8"/>
  <c r="A466" i="8"/>
  <c r="A458" i="8"/>
  <c r="A464" i="8"/>
  <c r="C48" i="7"/>
  <c r="A463" i="8"/>
  <c r="A468" i="8"/>
  <c r="A462" i="8"/>
  <c r="A461" i="8"/>
  <c r="A460" i="8"/>
  <c r="A459" i="8"/>
  <c r="AQ47" i="7"/>
  <c r="AL47" i="7"/>
  <c r="AJ47" i="7"/>
  <c r="AH47" i="7"/>
  <c r="AB47" i="7"/>
  <c r="T47" i="7"/>
  <c r="A455" i="8"/>
  <c r="A454" i="8"/>
  <c r="A456" i="8"/>
  <c r="A453" i="8"/>
  <c r="A457" i="8"/>
  <c r="C47" i="7"/>
  <c r="A447" i="8"/>
  <c r="A448" i="8"/>
  <c r="A449" i="8"/>
  <c r="A450" i="8"/>
  <c r="A451" i="8"/>
  <c r="A452" i="8"/>
  <c r="AL46" i="7"/>
  <c r="AQ46" i="7"/>
  <c r="T46" i="7"/>
  <c r="AH46" i="7"/>
  <c r="AJ46" i="7"/>
  <c r="AB46" i="7"/>
  <c r="A443" i="8"/>
  <c r="A444" i="8"/>
  <c r="A445" i="8"/>
  <c r="A446" i="8"/>
  <c r="C46" i="7"/>
  <c r="A438" i="8"/>
  <c r="A436" i="8"/>
  <c r="A437" i="8"/>
  <c r="A439" i="8"/>
  <c r="A440" i="8"/>
  <c r="A441" i="8"/>
  <c r="A442" i="8"/>
  <c r="AL45" i="7"/>
  <c r="AH45" i="7"/>
  <c r="T45" i="7"/>
  <c r="AB45" i="7"/>
  <c r="AJ45" i="7"/>
  <c r="AQ45" i="7"/>
  <c r="A432" i="8"/>
  <c r="A431" i="8"/>
  <c r="A435" i="8"/>
  <c r="A430" i="8"/>
  <c r="A426" i="8"/>
  <c r="A434" i="8"/>
  <c r="A433" i="8"/>
  <c r="A429" i="8"/>
  <c r="A428" i="8"/>
  <c r="A427" i="8"/>
  <c r="A425" i="8"/>
  <c r="C45" i="7"/>
  <c r="T44" i="7"/>
  <c r="AL44" i="7"/>
  <c r="AJ44" i="7"/>
  <c r="AH44" i="7"/>
  <c r="AB44" i="7"/>
  <c r="AQ44" i="7"/>
  <c r="A416" i="8"/>
  <c r="A417" i="8"/>
  <c r="A421" i="8"/>
  <c r="A420" i="8"/>
  <c r="C44" i="7"/>
  <c r="A415" i="8"/>
  <c r="A419" i="8"/>
  <c r="A423" i="8"/>
  <c r="A418" i="8"/>
  <c r="A424" i="8"/>
  <c r="A414" i="8"/>
  <c r="A422" i="8"/>
  <c r="T43" i="7"/>
  <c r="AB43" i="7"/>
  <c r="AJ43" i="7"/>
  <c r="AL43" i="7"/>
  <c r="AQ43" i="7"/>
  <c r="AH43" i="7"/>
  <c r="A410" i="8"/>
  <c r="C43" i="7"/>
  <c r="A406" i="8"/>
  <c r="A407" i="8"/>
  <c r="A408" i="8"/>
  <c r="A411" i="8"/>
  <c r="A412" i="8"/>
  <c r="A413" i="8"/>
  <c r="A409" i="8"/>
  <c r="AJ42" i="7"/>
  <c r="AL42" i="7"/>
  <c r="T42" i="7"/>
  <c r="AQ42" i="7"/>
  <c r="AB42" i="7"/>
  <c r="AH42" i="7"/>
  <c r="A393" i="8"/>
  <c r="A397" i="8"/>
  <c r="A396" i="8"/>
  <c r="A395" i="8"/>
  <c r="A394" i="8"/>
  <c r="A398" i="8"/>
  <c r="C42" i="7"/>
  <c r="A392" i="8"/>
  <c r="AJ41" i="7"/>
  <c r="AL41" i="7"/>
  <c r="AQ41" i="7"/>
  <c r="AH41" i="7"/>
  <c r="AB41" i="7"/>
  <c r="T41" i="7"/>
  <c r="A388" i="8"/>
  <c r="A389" i="8"/>
  <c r="A381" i="8"/>
  <c r="A383" i="8"/>
  <c r="A390" i="8"/>
  <c r="A387" i="8"/>
  <c r="A382" i="8"/>
  <c r="A391" i="8"/>
  <c r="A384" i="8"/>
  <c r="A385" i="8"/>
  <c r="A386" i="8"/>
  <c r="C41" i="7"/>
  <c r="AH40" i="7"/>
  <c r="AL40" i="7"/>
  <c r="AJ40" i="7"/>
  <c r="T40" i="7"/>
  <c r="AB40" i="7"/>
  <c r="AQ40" i="7"/>
  <c r="A372" i="8"/>
  <c r="A373" i="8"/>
  <c r="A374" i="8"/>
  <c r="A380" i="8"/>
  <c r="A379" i="8"/>
  <c r="A378" i="8"/>
  <c r="A377" i="8"/>
  <c r="A376" i="8"/>
  <c r="A375" i="8"/>
  <c r="C40" i="7"/>
  <c r="A370" i="8"/>
  <c r="A371" i="8"/>
  <c r="AQ39" i="7"/>
  <c r="T39" i="7"/>
  <c r="AB39" i="7"/>
  <c r="AH39" i="7"/>
  <c r="AJ39" i="7"/>
  <c r="AL39" i="7"/>
  <c r="A364" i="8"/>
  <c r="A363" i="8"/>
  <c r="A367" i="8"/>
  <c r="A369" i="8"/>
  <c r="A365" i="8"/>
  <c r="C39" i="7"/>
  <c r="A366" i="8"/>
  <c r="A362" i="8"/>
  <c r="A359" i="8"/>
  <c r="A360" i="8"/>
  <c r="A361" i="8"/>
  <c r="A368" i="8"/>
  <c r="AQ38" i="7"/>
  <c r="AL38" i="7"/>
  <c r="AJ38" i="7"/>
  <c r="AH38" i="7"/>
  <c r="AB38" i="7"/>
  <c r="T38" i="7"/>
  <c r="A354" i="8"/>
  <c r="A355" i="8"/>
  <c r="A348" i="8"/>
  <c r="A356" i="8"/>
  <c r="A357" i="8"/>
  <c r="A358" i="8"/>
  <c r="A349" i="8"/>
  <c r="C38" i="7"/>
  <c r="A350" i="8"/>
  <c r="A351" i="8"/>
  <c r="A352" i="8"/>
  <c r="A353" i="8"/>
  <c r="AL37" i="7"/>
  <c r="AQ37" i="7"/>
  <c r="AJ37" i="7"/>
  <c r="AH37" i="7"/>
  <c r="AB37" i="7"/>
  <c r="T37" i="7"/>
  <c r="A337" i="8"/>
  <c r="A338" i="8"/>
  <c r="A339" i="8"/>
  <c r="A340" i="8"/>
  <c r="A341" i="8"/>
  <c r="A342" i="8"/>
  <c r="A343" i="8"/>
  <c r="A344" i="8"/>
  <c r="A346" i="8"/>
  <c r="A347" i="8"/>
  <c r="A345" i="8"/>
  <c r="C37" i="7"/>
  <c r="AB36" i="7"/>
  <c r="T36" i="7"/>
  <c r="AH36" i="7"/>
  <c r="AJ36" i="7"/>
  <c r="AL36" i="7"/>
  <c r="AQ36" i="7"/>
  <c r="A332" i="8"/>
  <c r="A328" i="8"/>
  <c r="A329" i="8"/>
  <c r="A330" i="8"/>
  <c r="A331" i="8"/>
  <c r="A333" i="8"/>
  <c r="A334" i="8"/>
  <c r="A335" i="8"/>
  <c r="A326" i="8"/>
  <c r="C36" i="7"/>
  <c r="A336" i="8"/>
  <c r="A327" i="8"/>
  <c r="T35" i="7"/>
  <c r="AB35" i="7"/>
  <c r="AQ35" i="7"/>
  <c r="AL35" i="7"/>
  <c r="AJ35" i="7"/>
  <c r="AH35" i="7"/>
  <c r="A316" i="8"/>
  <c r="A317" i="8"/>
  <c r="A315" i="8"/>
  <c r="C35" i="7"/>
  <c r="A325" i="8"/>
  <c r="A324" i="8"/>
  <c r="A323" i="8"/>
  <c r="A322" i="8"/>
  <c r="A321" i="8"/>
  <c r="A320" i="8"/>
  <c r="A319" i="8"/>
  <c r="A318" i="8"/>
  <c r="AH34" i="7"/>
  <c r="AB34" i="7"/>
  <c r="AQ34" i="7"/>
  <c r="T34" i="7"/>
  <c r="AL34" i="7"/>
  <c r="AJ34" i="7"/>
  <c r="A312" i="8"/>
  <c r="A304" i="8"/>
  <c r="A310" i="8"/>
  <c r="C34" i="7"/>
  <c r="A311" i="8"/>
  <c r="A309" i="8"/>
  <c r="A308" i="8"/>
  <c r="A307" i="8"/>
  <c r="A306" i="8"/>
  <c r="A314" i="8"/>
  <c r="A313" i="8"/>
  <c r="A305" i="8"/>
  <c r="AL33" i="7"/>
  <c r="AJ33" i="7"/>
  <c r="AH33" i="7"/>
  <c r="AB33" i="7"/>
  <c r="T33" i="7"/>
  <c r="AQ33" i="7"/>
  <c r="A297" i="8"/>
  <c r="A296" i="8"/>
  <c r="A294" i="8"/>
  <c r="A295" i="8"/>
  <c r="A293" i="8"/>
  <c r="C33" i="7"/>
  <c r="A303" i="8"/>
  <c r="A302" i="8"/>
  <c r="A301" i="8"/>
  <c r="A300" i="8"/>
  <c r="A299" i="8"/>
  <c r="A298" i="8"/>
  <c r="AL32" i="7"/>
  <c r="AQ32" i="7"/>
  <c r="AJ32" i="7"/>
  <c r="AH32" i="7"/>
  <c r="T32" i="7"/>
  <c r="AB32" i="7"/>
  <c r="A283" i="8"/>
  <c r="A284" i="8"/>
  <c r="A285" i="8"/>
  <c r="A286" i="8"/>
  <c r="A287" i="8"/>
  <c r="C32" i="7"/>
  <c r="A288" i="8"/>
  <c r="A289" i="8"/>
  <c r="A290" i="8"/>
  <c r="A291" i="8"/>
  <c r="A292" i="8"/>
  <c r="A282" i="8"/>
  <c r="AB31" i="7"/>
  <c r="AL31" i="7"/>
  <c r="AJ31" i="7"/>
  <c r="AH31" i="7"/>
  <c r="AQ31" i="7"/>
  <c r="T31" i="7"/>
  <c r="A279" i="8"/>
  <c r="A278" i="8"/>
  <c r="A277" i="8"/>
  <c r="A276" i="8"/>
  <c r="A275" i="8"/>
  <c r="A274" i="8"/>
  <c r="A273" i="8"/>
  <c r="A272" i="8"/>
  <c r="A271" i="8"/>
  <c r="C31" i="7"/>
  <c r="A281" i="8"/>
  <c r="A280" i="8"/>
  <c r="AB30" i="7"/>
  <c r="AH30" i="7"/>
  <c r="AJ30" i="7"/>
  <c r="AL30" i="7"/>
  <c r="AQ30" i="7"/>
  <c r="T30" i="7"/>
  <c r="A264" i="8"/>
  <c r="A263" i="8"/>
  <c r="A267" i="8"/>
  <c r="A261" i="8"/>
  <c r="A260" i="8"/>
  <c r="C30" i="7"/>
  <c r="A262" i="8"/>
  <c r="A270" i="8"/>
  <c r="A269" i="8"/>
  <c r="A268" i="8"/>
  <c r="A266" i="8"/>
  <c r="A265" i="8"/>
  <c r="AH29" i="7"/>
  <c r="AB29" i="7"/>
  <c r="T29" i="7"/>
  <c r="AJ29" i="7"/>
  <c r="AQ29" i="7"/>
  <c r="AL29" i="7"/>
  <c r="C29" i="7"/>
  <c r="A249" i="8"/>
  <c r="A256" i="8"/>
  <c r="A255" i="8"/>
  <c r="A254" i="8"/>
  <c r="A253" i="8"/>
  <c r="A252" i="8"/>
  <c r="A251" i="8"/>
  <c r="A250" i="8"/>
  <c r="A259" i="8"/>
  <c r="A258" i="8"/>
  <c r="A257" i="8"/>
  <c r="AH28" i="7"/>
  <c r="AJ28" i="7"/>
  <c r="AQ28" i="7"/>
  <c r="AL28" i="7"/>
  <c r="AB28" i="7"/>
  <c r="T28" i="7"/>
  <c r="A240" i="8"/>
  <c r="A241" i="8"/>
  <c r="A245" i="8"/>
  <c r="A248" i="8"/>
  <c r="A247" i="8"/>
  <c r="A238" i="8"/>
  <c r="A244" i="8"/>
  <c r="A243" i="8"/>
  <c r="A242" i="8"/>
  <c r="A239" i="8"/>
  <c r="A246" i="8"/>
  <c r="C28" i="7"/>
  <c r="AB27" i="7"/>
  <c r="AH27" i="7"/>
  <c r="AJ27" i="7"/>
  <c r="T27" i="7"/>
  <c r="AQ27" i="7"/>
  <c r="AL27" i="7"/>
  <c r="F227" i="8"/>
  <c r="E227" i="8"/>
  <c r="AE27" i="7"/>
  <c r="S27" i="7"/>
  <c r="F27" i="7"/>
  <c r="V27" i="7"/>
  <c r="R27" i="7"/>
  <c r="E27" i="7"/>
  <c r="E232" i="8"/>
  <c r="F232" i="8" s="1"/>
  <c r="E233" i="8"/>
  <c r="F233" i="8" s="1"/>
  <c r="E234" i="8"/>
  <c r="F234" i="8" s="1"/>
  <c r="AO27" i="7"/>
  <c r="AI27" i="7"/>
  <c r="Y27" i="7"/>
  <c r="U27" i="7"/>
  <c r="I27" i="7"/>
  <c r="A234" i="8"/>
  <c r="A229" i="8"/>
  <c r="A228" i="8"/>
  <c r="A230" i="8"/>
  <c r="A227" i="8"/>
  <c r="A232" i="8"/>
  <c r="A233" i="8"/>
  <c r="A231" i="8"/>
  <c r="A237" i="8"/>
  <c r="A236" i="8"/>
  <c r="A235" i="8"/>
  <c r="T26" i="7"/>
  <c r="AB26" i="7"/>
  <c r="AQ26" i="7"/>
  <c r="AL26" i="7"/>
  <c r="AH26" i="7"/>
  <c r="AJ26" i="7"/>
  <c r="A218" i="8"/>
  <c r="A226" i="8"/>
  <c r="A224" i="8"/>
  <c r="A223" i="8"/>
  <c r="A216" i="8"/>
  <c r="A219" i="8"/>
  <c r="A220" i="8"/>
  <c r="A221" i="8"/>
  <c r="A222" i="8"/>
  <c r="C26" i="7"/>
  <c r="A225" i="8"/>
  <c r="A217" i="8"/>
  <c r="AQ25" i="7"/>
  <c r="AL25" i="7"/>
  <c r="T25" i="7"/>
  <c r="AH25" i="7"/>
  <c r="AJ25" i="7"/>
  <c r="AB25" i="7"/>
  <c r="A215" i="8"/>
  <c r="A214" i="8"/>
  <c r="A213" i="8"/>
  <c r="A212" i="8"/>
  <c r="A210" i="8"/>
  <c r="A209" i="8"/>
  <c r="A208" i="8"/>
  <c r="A207" i="8"/>
  <c r="A211" i="8"/>
  <c r="A205" i="8"/>
  <c r="C25" i="7"/>
  <c r="A206" i="8"/>
  <c r="T24" i="7"/>
  <c r="AQ24" i="7"/>
  <c r="AH24" i="7"/>
  <c r="AB24" i="7"/>
  <c r="AJ24" i="7"/>
  <c r="AL24" i="7"/>
  <c r="A194" i="8"/>
  <c r="A203" i="8"/>
  <c r="A199" i="8"/>
  <c r="A204" i="8"/>
  <c r="A198" i="8"/>
  <c r="A197" i="8"/>
  <c r="A202" i="8"/>
  <c r="A200" i="8"/>
  <c r="A201" i="8"/>
  <c r="C24" i="7"/>
  <c r="A196" i="8"/>
  <c r="A195" i="8"/>
  <c r="AJ23" i="7"/>
  <c r="AL23" i="7"/>
  <c r="T23" i="7"/>
  <c r="AB23" i="7"/>
  <c r="AH23" i="7"/>
  <c r="AQ23" i="7"/>
  <c r="A188" i="8"/>
  <c r="A189" i="8"/>
  <c r="A190" i="8"/>
  <c r="A191" i="8"/>
  <c r="A192" i="8"/>
  <c r="A193" i="8"/>
  <c r="A187" i="8"/>
  <c r="C23" i="7"/>
  <c r="A183" i="8"/>
  <c r="A184" i="8"/>
  <c r="A185" i="8"/>
  <c r="A186" i="8"/>
  <c r="AL22" i="7"/>
  <c r="AQ22" i="7"/>
  <c r="AJ22" i="7"/>
  <c r="AH22" i="7"/>
  <c r="AB22" i="7"/>
  <c r="T22" i="7"/>
  <c r="C22" i="7"/>
  <c r="A182" i="8"/>
  <c r="A173" i="8"/>
  <c r="A174" i="8"/>
  <c r="A175" i="8"/>
  <c r="A172" i="8"/>
  <c r="A177" i="8"/>
  <c r="A178" i="8"/>
  <c r="A179" i="8"/>
  <c r="A181" i="8"/>
  <c r="A180" i="8"/>
  <c r="A176" i="8"/>
  <c r="AH21" i="7"/>
  <c r="T21" i="7"/>
  <c r="AJ21" i="7"/>
  <c r="AB21" i="7"/>
  <c r="AQ21" i="7"/>
  <c r="AL21" i="7"/>
  <c r="A162" i="8"/>
  <c r="A171" i="8"/>
  <c r="A170" i="8"/>
  <c r="A169" i="8"/>
  <c r="A168" i="8"/>
  <c r="A167" i="8"/>
  <c r="A166" i="8"/>
  <c r="A163" i="8"/>
  <c r="C21" i="7"/>
  <c r="A165" i="8"/>
  <c r="A161" i="8"/>
  <c r="A164" i="8"/>
  <c r="AH20" i="7"/>
  <c r="AL20" i="7"/>
  <c r="T20" i="7"/>
  <c r="AB20" i="7"/>
  <c r="AJ20" i="7"/>
  <c r="AQ20" i="7"/>
  <c r="A152" i="8"/>
  <c r="A155" i="8"/>
  <c r="A150" i="8"/>
  <c r="A160" i="8"/>
  <c r="A159" i="8"/>
  <c r="A158" i="8"/>
  <c r="A157" i="8"/>
  <c r="A151" i="8"/>
  <c r="A153" i="8"/>
  <c r="A154" i="8"/>
  <c r="C20" i="7"/>
  <c r="A156" i="8"/>
  <c r="AJ19" i="7"/>
  <c r="T19" i="7"/>
  <c r="AL19" i="7"/>
  <c r="AQ19" i="7"/>
  <c r="AB19" i="7"/>
  <c r="AH19" i="7"/>
  <c r="A148" i="8"/>
  <c r="A147" i="8"/>
  <c r="A146" i="8"/>
  <c r="A145" i="8"/>
  <c r="A144" i="8"/>
  <c r="A143" i="8"/>
  <c r="A142" i="8"/>
  <c r="A140" i="8"/>
  <c r="A139" i="8"/>
  <c r="A141" i="8"/>
  <c r="C19" i="7"/>
  <c r="A149" i="8"/>
  <c r="AQ18" i="7"/>
  <c r="AH18" i="7"/>
  <c r="AJ18" i="7"/>
  <c r="AL18" i="7"/>
  <c r="T18" i="7"/>
  <c r="A138" i="8"/>
  <c r="A137" i="8"/>
  <c r="A136" i="8"/>
  <c r="A135" i="8"/>
  <c r="A134" i="8"/>
  <c r="A133" i="8"/>
  <c r="A131" i="8"/>
  <c r="A130" i="8"/>
  <c r="A129" i="8"/>
  <c r="A128" i="8"/>
  <c r="A132" i="8"/>
  <c r="C18" i="7"/>
  <c r="AJ17" i="7"/>
  <c r="AH17" i="7"/>
  <c r="AL17" i="7"/>
  <c r="AB17" i="7"/>
  <c r="AQ17" i="7"/>
  <c r="T17" i="7"/>
  <c r="A120" i="8"/>
  <c r="A118" i="8"/>
  <c r="A117" i="8"/>
  <c r="C17" i="7"/>
  <c r="A127" i="8"/>
  <c r="A126" i="8"/>
  <c r="A119" i="8"/>
  <c r="A125" i="8"/>
  <c r="A124" i="8"/>
  <c r="A123" i="8"/>
  <c r="A122" i="8"/>
  <c r="A121" i="8"/>
  <c r="AH16" i="7"/>
  <c r="T16" i="7"/>
  <c r="AQ16" i="7"/>
  <c r="AB16" i="7"/>
  <c r="AL16" i="7"/>
  <c r="AJ16" i="7"/>
  <c r="A110" i="8"/>
  <c r="A115" i="8"/>
  <c r="A113" i="8"/>
  <c r="A116" i="8"/>
  <c r="A112" i="8"/>
  <c r="A114" i="8"/>
  <c r="A106" i="8"/>
  <c r="A107" i="8"/>
  <c r="A108" i="8"/>
  <c r="C16" i="7"/>
  <c r="A109" i="8"/>
  <c r="A111" i="8"/>
  <c r="AB15" i="7"/>
  <c r="AQ15" i="7"/>
  <c r="AJ15" i="7"/>
  <c r="AL15" i="7"/>
  <c r="AH15" i="7"/>
  <c r="T15" i="7"/>
  <c r="A102" i="8"/>
  <c r="A105" i="8"/>
  <c r="A96" i="8"/>
  <c r="A97" i="8"/>
  <c r="A104" i="8"/>
  <c r="A103" i="8"/>
  <c r="A101" i="8"/>
  <c r="A98" i="8"/>
  <c r="C15" i="7"/>
  <c r="A100" i="8"/>
  <c r="A95" i="8"/>
  <c r="A99" i="8"/>
  <c r="AL14" i="7"/>
  <c r="T14" i="7"/>
  <c r="AH14" i="7"/>
  <c r="AQ14" i="7"/>
  <c r="AJ14" i="7"/>
  <c r="A86" i="8"/>
  <c r="A87" i="8"/>
  <c r="A88" i="8"/>
  <c r="A90" i="8"/>
  <c r="A91" i="8"/>
  <c r="A92" i="8"/>
  <c r="A93" i="8"/>
  <c r="C14" i="7"/>
  <c r="A89" i="8"/>
  <c r="A94" i="8"/>
  <c r="A84" i="8"/>
  <c r="A85" i="8"/>
  <c r="AQ13" i="7"/>
  <c r="AH13" i="7"/>
  <c r="AB13" i="7"/>
  <c r="AL13" i="7"/>
  <c r="AJ13" i="7"/>
  <c r="T13" i="7"/>
  <c r="A83" i="8"/>
  <c r="A82" i="8"/>
  <c r="A81" i="8"/>
  <c r="A79" i="8"/>
  <c r="A78" i="8"/>
  <c r="A74" i="8"/>
  <c r="A75" i="8"/>
  <c r="A73" i="8"/>
  <c r="C13" i="7"/>
  <c r="A77" i="8"/>
  <c r="A80" i="8"/>
  <c r="A76" i="8"/>
  <c r="AB12" i="7"/>
  <c r="AJ12" i="7"/>
  <c r="AQ12" i="7"/>
  <c r="AL12" i="7"/>
  <c r="AH12" i="7"/>
  <c r="T12" i="7"/>
  <c r="A63" i="8"/>
  <c r="A62" i="8"/>
  <c r="A70" i="8"/>
  <c r="A66" i="8"/>
  <c r="A67" i="8"/>
  <c r="A65" i="8"/>
  <c r="A72" i="8"/>
  <c r="A68" i="8"/>
  <c r="A69" i="8"/>
  <c r="C12" i="7"/>
  <c r="A71" i="8"/>
  <c r="A64" i="8"/>
  <c r="AL11" i="7"/>
  <c r="AJ11" i="7"/>
  <c r="AH11" i="7"/>
  <c r="T11" i="7"/>
  <c r="AQ11" i="7"/>
  <c r="AB11" i="7"/>
  <c r="A54" i="8"/>
  <c r="A61" i="8"/>
  <c r="A52" i="8"/>
  <c r="A51" i="8"/>
  <c r="A57" i="8"/>
  <c r="A56" i="8"/>
  <c r="A55" i="8"/>
  <c r="A59" i="8"/>
  <c r="A60" i="8"/>
  <c r="A58" i="8"/>
  <c r="A53" i="8"/>
  <c r="C11" i="7"/>
  <c r="AL10" i="7"/>
  <c r="T10" i="7"/>
  <c r="AH10" i="7"/>
  <c r="AJ10" i="7"/>
  <c r="AQ10" i="7"/>
  <c r="A47" i="8"/>
  <c r="A46" i="8"/>
  <c r="A42" i="8"/>
  <c r="A40" i="8"/>
  <c r="A41" i="8"/>
  <c r="A43" i="8"/>
  <c r="A44" i="8"/>
  <c r="A45" i="8"/>
  <c r="C10" i="7"/>
  <c r="A48" i="8"/>
  <c r="A50" i="8"/>
  <c r="A49" i="8"/>
  <c r="AH9" i="7"/>
  <c r="AQ9" i="7"/>
  <c r="T9" i="7"/>
  <c r="AL9" i="7"/>
  <c r="AJ9" i="7"/>
  <c r="A29" i="8"/>
  <c r="A30" i="8"/>
  <c r="A31" i="8"/>
  <c r="A32" i="8"/>
  <c r="A34" i="8"/>
  <c r="A35" i="8"/>
  <c r="A36" i="8"/>
  <c r="A37" i="8"/>
  <c r="A38" i="8"/>
  <c r="A39" i="8"/>
  <c r="C9" i="7"/>
  <c r="A33" i="8"/>
  <c r="AH8" i="7"/>
  <c r="AQ8" i="7"/>
  <c r="T8" i="7"/>
  <c r="AJ8" i="7"/>
  <c r="AB8" i="7"/>
  <c r="AL8" i="7"/>
  <c r="F8" i="7"/>
  <c r="AE8" i="7"/>
  <c r="V8" i="7"/>
  <c r="R8" i="7"/>
  <c r="U8" i="7"/>
  <c r="F18" i="8"/>
  <c r="E18" i="8"/>
  <c r="S8" i="7"/>
  <c r="E8" i="7"/>
  <c r="H8" i="7" s="1"/>
  <c r="A20" i="8"/>
  <c r="A27" i="8"/>
  <c r="A22" i="8"/>
  <c r="A21" i="8"/>
  <c r="A23" i="8"/>
  <c r="A19" i="8"/>
  <c r="A28" i="8"/>
  <c r="A18" i="8"/>
  <c r="A24" i="8"/>
  <c r="A26" i="8"/>
  <c r="A25" i="8"/>
  <c r="AB7" i="7"/>
  <c r="AJ7" i="7"/>
  <c r="AH7" i="7"/>
  <c r="AL7" i="7"/>
  <c r="T7" i="7"/>
  <c r="AQ7" i="7"/>
  <c r="A13" i="8"/>
  <c r="A12" i="8"/>
  <c r="A11" i="8"/>
  <c r="A9" i="8"/>
  <c r="A8" i="8"/>
  <c r="A7" i="8"/>
  <c r="C7" i="7"/>
  <c r="A10" i="8"/>
  <c r="A17" i="8"/>
  <c r="A16" i="8"/>
  <c r="A15" i="8"/>
  <c r="A14" i="8"/>
  <c r="K4172" i="8" l="1"/>
  <c r="L4172" i="8"/>
  <c r="M4172" i="8"/>
  <c r="N4172" i="8"/>
  <c r="O4172" i="8"/>
  <c r="P4172" i="8"/>
  <c r="Q4172" i="8"/>
  <c r="R4172" i="8"/>
  <c r="S4172" i="8"/>
  <c r="T4172" i="8"/>
  <c r="E4173" i="8"/>
  <c r="F4173" i="8"/>
  <c r="G4173" i="8"/>
  <c r="H4173" i="8"/>
  <c r="I4173" i="8"/>
  <c r="J4173" i="8"/>
  <c r="K4173" i="8"/>
  <c r="L4173" i="8"/>
  <c r="M4173" i="8"/>
  <c r="N4173" i="8"/>
  <c r="O4173" i="8"/>
  <c r="P4173" i="8"/>
  <c r="Q4173" i="8"/>
  <c r="R4173" i="8"/>
  <c r="S4173" i="8"/>
  <c r="T4173" i="8"/>
  <c r="E4174" i="8"/>
  <c r="F4174" i="8"/>
  <c r="G4174" i="8"/>
  <c r="H4174" i="8"/>
  <c r="I4174" i="8"/>
  <c r="J4174" i="8"/>
  <c r="K4174" i="8"/>
  <c r="L4174" i="8"/>
  <c r="M4174" i="8"/>
  <c r="N4174" i="8"/>
  <c r="O4174" i="8"/>
  <c r="P4174" i="8"/>
  <c r="Q4174" i="8"/>
  <c r="R4174" i="8"/>
  <c r="S4174" i="8"/>
  <c r="T4174" i="8"/>
  <c r="E4175" i="8"/>
  <c r="F4175" i="8"/>
  <c r="G4175" i="8"/>
  <c r="H4175" i="8"/>
  <c r="I4175" i="8"/>
  <c r="J4175" i="8"/>
  <c r="K4175" i="8"/>
  <c r="L4175" i="8"/>
  <c r="M4175" i="8"/>
  <c r="N4175" i="8"/>
  <c r="O4175" i="8"/>
  <c r="P4175" i="8"/>
  <c r="Q4175" i="8"/>
  <c r="R4175" i="8"/>
  <c r="S4175" i="8"/>
  <c r="T4175" i="8"/>
  <c r="E384" i="7"/>
  <c r="F384" i="7"/>
  <c r="G384" i="7"/>
  <c r="H384" i="7"/>
  <c r="I384" i="7"/>
  <c r="J384" i="7"/>
  <c r="K384" i="7"/>
  <c r="L384" i="7"/>
  <c r="M384" i="7"/>
  <c r="N384" i="7"/>
  <c r="P384" i="7"/>
  <c r="Q384" i="7"/>
  <c r="R384" i="7"/>
  <c r="S384" i="7"/>
  <c r="U384" i="7"/>
  <c r="V384" i="7"/>
  <c r="W384" i="7"/>
  <c r="X384" i="7"/>
  <c r="AA384" i="7"/>
  <c r="AE384" i="7"/>
  <c r="E4154" i="8"/>
  <c r="F4154" i="8"/>
  <c r="G4154" i="8"/>
  <c r="H4154" i="8"/>
  <c r="I4154" i="8"/>
  <c r="J4154" i="8"/>
  <c r="K4154" i="8"/>
  <c r="L4154" i="8"/>
  <c r="M4154" i="8"/>
  <c r="N4154" i="8"/>
  <c r="O4154" i="8"/>
  <c r="P4154" i="8"/>
  <c r="Q4154" i="8"/>
  <c r="R4154" i="8"/>
  <c r="S4154" i="8"/>
  <c r="T4154" i="8"/>
  <c r="E4155" i="8"/>
  <c r="F4155" i="8"/>
  <c r="G4155" i="8"/>
  <c r="H4155" i="8"/>
  <c r="I4155" i="8"/>
  <c r="J4155" i="8"/>
  <c r="K4155" i="8"/>
  <c r="L4155" i="8"/>
  <c r="M4155" i="8"/>
  <c r="N4155" i="8"/>
  <c r="O4155" i="8"/>
  <c r="P4155" i="8"/>
  <c r="Q4155" i="8"/>
  <c r="R4155" i="8"/>
  <c r="S4155" i="8"/>
  <c r="T4155" i="8"/>
  <c r="E4156" i="8"/>
  <c r="F4156" i="8"/>
  <c r="G4156" i="8"/>
  <c r="H4156" i="8"/>
  <c r="I4156" i="8"/>
  <c r="J4156" i="8"/>
  <c r="K4156" i="8"/>
  <c r="L4156" i="8"/>
  <c r="M4156" i="8"/>
  <c r="N4156" i="8"/>
  <c r="O4156" i="8"/>
  <c r="P4156" i="8"/>
  <c r="Q4156" i="8"/>
  <c r="R4156" i="8"/>
  <c r="S4156" i="8"/>
  <c r="T4156" i="8"/>
  <c r="E4157" i="8"/>
  <c r="F4157" i="8"/>
  <c r="G4157" i="8"/>
  <c r="H4157" i="8"/>
  <c r="I4157" i="8"/>
  <c r="J4157" i="8"/>
  <c r="K4157" i="8"/>
  <c r="L4157" i="8"/>
  <c r="M4157" i="8"/>
  <c r="N4157" i="8"/>
  <c r="O4157" i="8"/>
  <c r="P4157" i="8"/>
  <c r="Q4157" i="8"/>
  <c r="R4157" i="8"/>
  <c r="S4157" i="8"/>
  <c r="T4157" i="8"/>
  <c r="E4158" i="8"/>
  <c r="F4158" i="8"/>
  <c r="G4158" i="8"/>
  <c r="H4158" i="8"/>
  <c r="I4158" i="8"/>
  <c r="J4158" i="8"/>
  <c r="K4158" i="8"/>
  <c r="L4158" i="8"/>
  <c r="M4158" i="8"/>
  <c r="N4158" i="8"/>
  <c r="O4158" i="8"/>
  <c r="P4158" i="8"/>
  <c r="Q4158" i="8"/>
  <c r="R4158" i="8"/>
  <c r="S4158" i="8"/>
  <c r="T4158" i="8"/>
  <c r="E4159" i="8"/>
  <c r="F4159" i="8"/>
  <c r="G4159" i="8"/>
  <c r="H4159" i="8"/>
  <c r="I4159" i="8"/>
  <c r="J4159" i="8"/>
  <c r="K4159" i="8"/>
  <c r="L4159" i="8"/>
  <c r="M4159" i="8"/>
  <c r="N4159" i="8"/>
  <c r="O4159" i="8"/>
  <c r="P4159" i="8"/>
  <c r="Q4159" i="8"/>
  <c r="R4159" i="8"/>
  <c r="S4159" i="8"/>
  <c r="T4159" i="8"/>
  <c r="E4160" i="8"/>
  <c r="F4160" i="8"/>
  <c r="G4160" i="8"/>
  <c r="H4160" i="8"/>
  <c r="I4160" i="8"/>
  <c r="J4160" i="8"/>
  <c r="K4160" i="8"/>
  <c r="L4160" i="8"/>
  <c r="M4160" i="8"/>
  <c r="N4160" i="8"/>
  <c r="O4160" i="8"/>
  <c r="P4160" i="8"/>
  <c r="Q4160" i="8"/>
  <c r="R4160" i="8"/>
  <c r="S4160" i="8"/>
  <c r="T4160" i="8"/>
  <c r="E4161" i="8"/>
  <c r="F4161" i="8"/>
  <c r="G4161" i="8"/>
  <c r="H4161" i="8"/>
  <c r="I4161" i="8"/>
  <c r="J4161" i="8"/>
  <c r="K4161" i="8"/>
  <c r="L4161" i="8"/>
  <c r="M4161" i="8"/>
  <c r="N4161" i="8"/>
  <c r="O4161" i="8"/>
  <c r="P4161" i="8"/>
  <c r="Q4161" i="8"/>
  <c r="R4161" i="8"/>
  <c r="S4161" i="8"/>
  <c r="T4161" i="8"/>
  <c r="E4162" i="8"/>
  <c r="F4162" i="8"/>
  <c r="G4162" i="8"/>
  <c r="H4162" i="8"/>
  <c r="I4162" i="8"/>
  <c r="J4162" i="8"/>
  <c r="K4162" i="8"/>
  <c r="L4162" i="8"/>
  <c r="M4162" i="8"/>
  <c r="N4162" i="8"/>
  <c r="O4162" i="8"/>
  <c r="P4162" i="8"/>
  <c r="Q4162" i="8"/>
  <c r="R4162" i="8"/>
  <c r="S4162" i="8"/>
  <c r="T4162" i="8"/>
  <c r="E4163" i="8"/>
  <c r="F4163" i="8"/>
  <c r="G4163" i="8"/>
  <c r="H4163" i="8"/>
  <c r="I4163" i="8"/>
  <c r="J4163" i="8"/>
  <c r="K4163" i="8"/>
  <c r="L4163" i="8"/>
  <c r="M4163" i="8"/>
  <c r="N4163" i="8"/>
  <c r="O4163" i="8"/>
  <c r="P4163" i="8"/>
  <c r="Q4163" i="8"/>
  <c r="R4163" i="8"/>
  <c r="S4163" i="8"/>
  <c r="T4163" i="8"/>
  <c r="E4164" i="8"/>
  <c r="F4164" i="8"/>
  <c r="G4164" i="8"/>
  <c r="H4164" i="8"/>
  <c r="I4164" i="8"/>
  <c r="J4164" i="8"/>
  <c r="K4164" i="8"/>
  <c r="L4164" i="8"/>
  <c r="M4164" i="8"/>
  <c r="N4164" i="8"/>
  <c r="O4164" i="8"/>
  <c r="P4164" i="8"/>
  <c r="Q4164" i="8"/>
  <c r="R4164" i="8"/>
  <c r="S4164" i="8"/>
  <c r="T4164" i="8"/>
  <c r="E383" i="7"/>
  <c r="F383" i="7"/>
  <c r="G383" i="7"/>
  <c r="H383" i="7"/>
  <c r="I383" i="7"/>
  <c r="J383" i="7"/>
  <c r="K383" i="7"/>
  <c r="L383" i="7"/>
  <c r="M383" i="7"/>
  <c r="N383" i="7"/>
  <c r="P383" i="7"/>
  <c r="Q383" i="7"/>
  <c r="R383" i="7"/>
  <c r="S383" i="7"/>
  <c r="U383" i="7"/>
  <c r="V383" i="7"/>
  <c r="W383" i="7"/>
  <c r="X383" i="7"/>
  <c r="Y383" i="7"/>
  <c r="Z383" i="7"/>
  <c r="AA383" i="7"/>
  <c r="AC383" i="7"/>
  <c r="AE383" i="7"/>
  <c r="AI383" i="7"/>
  <c r="AO383" i="7"/>
  <c r="AP383" i="7"/>
  <c r="E4143" i="8"/>
  <c r="F4143" i="8"/>
  <c r="G4143" i="8"/>
  <c r="H4143" i="8"/>
  <c r="I4143" i="8"/>
  <c r="J4143" i="8"/>
  <c r="K4143" i="8"/>
  <c r="L4143" i="8"/>
  <c r="M4143" i="8"/>
  <c r="N4143" i="8"/>
  <c r="O4143" i="8"/>
  <c r="P4143" i="8"/>
  <c r="Q4143" i="8"/>
  <c r="R4143" i="8"/>
  <c r="S4143" i="8"/>
  <c r="T4143" i="8"/>
  <c r="E4144" i="8"/>
  <c r="F4144" i="8"/>
  <c r="G4144" i="8"/>
  <c r="H4144" i="8"/>
  <c r="I4144" i="8"/>
  <c r="J4144" i="8"/>
  <c r="K4144" i="8"/>
  <c r="L4144" i="8"/>
  <c r="M4144" i="8"/>
  <c r="N4144" i="8"/>
  <c r="O4144" i="8"/>
  <c r="P4144" i="8"/>
  <c r="Q4144" i="8"/>
  <c r="R4144" i="8"/>
  <c r="S4144" i="8"/>
  <c r="T4144" i="8"/>
  <c r="E4145" i="8"/>
  <c r="F4145" i="8"/>
  <c r="G4145" i="8"/>
  <c r="H4145" i="8"/>
  <c r="I4145" i="8"/>
  <c r="J4145" i="8"/>
  <c r="K4145" i="8"/>
  <c r="L4145" i="8"/>
  <c r="M4145" i="8"/>
  <c r="N4145" i="8"/>
  <c r="O4145" i="8"/>
  <c r="P4145" i="8"/>
  <c r="Q4145" i="8"/>
  <c r="R4145" i="8"/>
  <c r="S4145" i="8"/>
  <c r="T4145" i="8"/>
  <c r="E4146" i="8"/>
  <c r="F4146" i="8"/>
  <c r="G4146" i="8"/>
  <c r="H4146" i="8"/>
  <c r="I4146" i="8"/>
  <c r="J4146" i="8"/>
  <c r="K4146" i="8"/>
  <c r="L4146" i="8"/>
  <c r="M4146" i="8"/>
  <c r="N4146" i="8"/>
  <c r="O4146" i="8"/>
  <c r="P4146" i="8"/>
  <c r="Q4146" i="8"/>
  <c r="R4146" i="8"/>
  <c r="S4146" i="8"/>
  <c r="T4146" i="8"/>
  <c r="E4147" i="8"/>
  <c r="F4147" i="8"/>
  <c r="G4147" i="8"/>
  <c r="H4147" i="8"/>
  <c r="I4147" i="8"/>
  <c r="J4147" i="8"/>
  <c r="K4147" i="8"/>
  <c r="L4147" i="8"/>
  <c r="M4147" i="8"/>
  <c r="N4147" i="8"/>
  <c r="O4147" i="8"/>
  <c r="P4147" i="8"/>
  <c r="Q4147" i="8"/>
  <c r="R4147" i="8"/>
  <c r="S4147" i="8"/>
  <c r="T4147" i="8"/>
  <c r="E4148" i="8"/>
  <c r="F4148" i="8"/>
  <c r="G4148" i="8"/>
  <c r="H4148" i="8"/>
  <c r="I4148" i="8"/>
  <c r="J4148" i="8"/>
  <c r="K4148" i="8"/>
  <c r="L4148" i="8"/>
  <c r="M4148" i="8"/>
  <c r="N4148" i="8"/>
  <c r="O4148" i="8"/>
  <c r="P4148" i="8"/>
  <c r="Q4148" i="8"/>
  <c r="R4148" i="8"/>
  <c r="S4148" i="8"/>
  <c r="T4148" i="8"/>
  <c r="E4149" i="8"/>
  <c r="F4149" i="8"/>
  <c r="G4149" i="8"/>
  <c r="H4149" i="8"/>
  <c r="I4149" i="8"/>
  <c r="J4149" i="8"/>
  <c r="K4149" i="8"/>
  <c r="L4149" i="8"/>
  <c r="M4149" i="8"/>
  <c r="N4149" i="8"/>
  <c r="O4149" i="8"/>
  <c r="P4149" i="8"/>
  <c r="Q4149" i="8"/>
  <c r="R4149" i="8"/>
  <c r="S4149" i="8"/>
  <c r="T4149" i="8"/>
  <c r="E4150" i="8"/>
  <c r="F4150" i="8"/>
  <c r="G4150" i="8"/>
  <c r="H4150" i="8"/>
  <c r="I4150" i="8"/>
  <c r="J4150" i="8"/>
  <c r="K4150" i="8"/>
  <c r="L4150" i="8"/>
  <c r="M4150" i="8"/>
  <c r="N4150" i="8"/>
  <c r="O4150" i="8"/>
  <c r="P4150" i="8"/>
  <c r="Q4150" i="8"/>
  <c r="R4150" i="8"/>
  <c r="S4150" i="8"/>
  <c r="T4150" i="8"/>
  <c r="E4151" i="8"/>
  <c r="F4151" i="8"/>
  <c r="G4151" i="8"/>
  <c r="H4151" i="8"/>
  <c r="I4151" i="8"/>
  <c r="J4151" i="8"/>
  <c r="K4151" i="8"/>
  <c r="L4151" i="8"/>
  <c r="M4151" i="8"/>
  <c r="N4151" i="8"/>
  <c r="O4151" i="8"/>
  <c r="P4151" i="8"/>
  <c r="Q4151" i="8"/>
  <c r="R4151" i="8"/>
  <c r="S4151" i="8"/>
  <c r="T4151" i="8"/>
  <c r="E4152" i="8"/>
  <c r="F4152" i="8"/>
  <c r="G4152" i="8"/>
  <c r="H4152" i="8"/>
  <c r="I4152" i="8"/>
  <c r="J4152" i="8"/>
  <c r="K4152" i="8"/>
  <c r="L4152" i="8"/>
  <c r="M4152" i="8"/>
  <c r="N4152" i="8"/>
  <c r="O4152" i="8"/>
  <c r="P4152" i="8"/>
  <c r="Q4152" i="8"/>
  <c r="R4152" i="8"/>
  <c r="S4152" i="8"/>
  <c r="T4152" i="8"/>
  <c r="E4153" i="8"/>
  <c r="F4153" i="8"/>
  <c r="G4153" i="8"/>
  <c r="H4153" i="8"/>
  <c r="I4153" i="8"/>
  <c r="J4153" i="8"/>
  <c r="K4153" i="8"/>
  <c r="L4153" i="8"/>
  <c r="M4153" i="8"/>
  <c r="N4153" i="8"/>
  <c r="O4153" i="8"/>
  <c r="P4153" i="8"/>
  <c r="Q4153" i="8"/>
  <c r="R4153" i="8"/>
  <c r="S4153" i="8"/>
  <c r="T4153" i="8"/>
  <c r="E382" i="7"/>
  <c r="F382" i="7"/>
  <c r="G382" i="7"/>
  <c r="H382" i="7"/>
  <c r="I382" i="7"/>
  <c r="J382" i="7"/>
  <c r="K382" i="7"/>
  <c r="L382" i="7"/>
  <c r="M382" i="7"/>
  <c r="N382" i="7"/>
  <c r="P382" i="7"/>
  <c r="Q382" i="7"/>
  <c r="R382" i="7"/>
  <c r="S382" i="7"/>
  <c r="U382" i="7"/>
  <c r="V382" i="7"/>
  <c r="W382" i="7"/>
  <c r="X382" i="7"/>
  <c r="Y382" i="7"/>
  <c r="Z382" i="7"/>
  <c r="AA382" i="7"/>
  <c r="AC382" i="7"/>
  <c r="AE382" i="7"/>
  <c r="AI382" i="7"/>
  <c r="AO382" i="7"/>
  <c r="AP382" i="7"/>
  <c r="E4132" i="8"/>
  <c r="F4132" i="8"/>
  <c r="G4132" i="8"/>
  <c r="H4132" i="8"/>
  <c r="I4132" i="8"/>
  <c r="J4132" i="8"/>
  <c r="K4132" i="8"/>
  <c r="L4132" i="8"/>
  <c r="M4132" i="8"/>
  <c r="N4132" i="8"/>
  <c r="O4132" i="8"/>
  <c r="P4132" i="8"/>
  <c r="Q4132" i="8"/>
  <c r="R4132" i="8"/>
  <c r="S4132" i="8"/>
  <c r="T4132" i="8"/>
  <c r="E4133" i="8"/>
  <c r="F4133" i="8"/>
  <c r="G4133" i="8"/>
  <c r="H4133" i="8"/>
  <c r="I4133" i="8"/>
  <c r="J4133" i="8"/>
  <c r="K4133" i="8"/>
  <c r="L4133" i="8"/>
  <c r="M4133" i="8"/>
  <c r="N4133" i="8"/>
  <c r="O4133" i="8"/>
  <c r="P4133" i="8"/>
  <c r="Q4133" i="8"/>
  <c r="R4133" i="8"/>
  <c r="S4133" i="8"/>
  <c r="T4133" i="8"/>
  <c r="E4134" i="8"/>
  <c r="F4134" i="8"/>
  <c r="G4134" i="8"/>
  <c r="H4134" i="8"/>
  <c r="I4134" i="8"/>
  <c r="J4134" i="8"/>
  <c r="K4134" i="8"/>
  <c r="L4134" i="8"/>
  <c r="M4134" i="8"/>
  <c r="N4134" i="8"/>
  <c r="O4134" i="8"/>
  <c r="P4134" i="8"/>
  <c r="Q4134" i="8"/>
  <c r="R4134" i="8"/>
  <c r="S4134" i="8"/>
  <c r="T4134" i="8"/>
  <c r="E4135" i="8"/>
  <c r="F4135" i="8"/>
  <c r="G4135" i="8"/>
  <c r="H4135" i="8"/>
  <c r="I4135" i="8"/>
  <c r="J4135" i="8"/>
  <c r="K4135" i="8"/>
  <c r="L4135" i="8"/>
  <c r="M4135" i="8"/>
  <c r="N4135" i="8"/>
  <c r="O4135" i="8"/>
  <c r="P4135" i="8"/>
  <c r="Q4135" i="8"/>
  <c r="R4135" i="8"/>
  <c r="S4135" i="8"/>
  <c r="T4135" i="8"/>
  <c r="E4136" i="8"/>
  <c r="F4136" i="8"/>
  <c r="G4136" i="8"/>
  <c r="H4136" i="8"/>
  <c r="I4136" i="8"/>
  <c r="J4136" i="8"/>
  <c r="K4136" i="8"/>
  <c r="L4136" i="8"/>
  <c r="M4136" i="8"/>
  <c r="N4136" i="8"/>
  <c r="O4136" i="8"/>
  <c r="P4136" i="8"/>
  <c r="Q4136" i="8"/>
  <c r="R4136" i="8"/>
  <c r="S4136" i="8"/>
  <c r="T4136" i="8"/>
  <c r="E4137" i="8"/>
  <c r="F4137" i="8"/>
  <c r="G4137" i="8"/>
  <c r="H4137" i="8"/>
  <c r="I4137" i="8"/>
  <c r="J4137" i="8"/>
  <c r="K4137" i="8"/>
  <c r="L4137" i="8"/>
  <c r="M4137" i="8"/>
  <c r="N4137" i="8"/>
  <c r="O4137" i="8"/>
  <c r="P4137" i="8"/>
  <c r="Q4137" i="8"/>
  <c r="R4137" i="8"/>
  <c r="S4137" i="8"/>
  <c r="T4137" i="8"/>
  <c r="E4138" i="8"/>
  <c r="F4138" i="8"/>
  <c r="G4138" i="8"/>
  <c r="H4138" i="8"/>
  <c r="I4138" i="8"/>
  <c r="J4138" i="8"/>
  <c r="K4138" i="8"/>
  <c r="L4138" i="8"/>
  <c r="M4138" i="8"/>
  <c r="N4138" i="8"/>
  <c r="O4138" i="8"/>
  <c r="P4138" i="8"/>
  <c r="Q4138" i="8"/>
  <c r="R4138" i="8"/>
  <c r="S4138" i="8"/>
  <c r="T4138" i="8"/>
  <c r="E4139" i="8"/>
  <c r="F4139" i="8"/>
  <c r="G4139" i="8"/>
  <c r="H4139" i="8"/>
  <c r="I4139" i="8"/>
  <c r="J4139" i="8"/>
  <c r="K4139" i="8"/>
  <c r="L4139" i="8"/>
  <c r="M4139" i="8"/>
  <c r="N4139" i="8"/>
  <c r="O4139" i="8"/>
  <c r="P4139" i="8"/>
  <c r="Q4139" i="8"/>
  <c r="R4139" i="8"/>
  <c r="S4139" i="8"/>
  <c r="T4139" i="8"/>
  <c r="E4140" i="8"/>
  <c r="F4140" i="8"/>
  <c r="G4140" i="8"/>
  <c r="H4140" i="8"/>
  <c r="I4140" i="8"/>
  <c r="J4140" i="8"/>
  <c r="K4140" i="8"/>
  <c r="L4140" i="8"/>
  <c r="M4140" i="8"/>
  <c r="N4140" i="8"/>
  <c r="O4140" i="8"/>
  <c r="P4140" i="8"/>
  <c r="Q4140" i="8"/>
  <c r="R4140" i="8"/>
  <c r="S4140" i="8"/>
  <c r="T4140" i="8"/>
  <c r="E4141" i="8"/>
  <c r="F4141" i="8"/>
  <c r="G4141" i="8"/>
  <c r="H4141" i="8"/>
  <c r="I4141" i="8"/>
  <c r="J4141" i="8"/>
  <c r="K4141" i="8"/>
  <c r="L4141" i="8"/>
  <c r="M4141" i="8"/>
  <c r="N4141" i="8"/>
  <c r="O4141" i="8"/>
  <c r="P4141" i="8"/>
  <c r="Q4141" i="8"/>
  <c r="R4141" i="8"/>
  <c r="S4141" i="8"/>
  <c r="T4141" i="8"/>
  <c r="E4142" i="8"/>
  <c r="F4142" i="8"/>
  <c r="G4142" i="8"/>
  <c r="H4142" i="8"/>
  <c r="I4142" i="8"/>
  <c r="J4142" i="8"/>
  <c r="K4142" i="8"/>
  <c r="L4142" i="8"/>
  <c r="M4142" i="8"/>
  <c r="N4142" i="8"/>
  <c r="O4142" i="8"/>
  <c r="P4142" i="8"/>
  <c r="Q4142" i="8"/>
  <c r="R4142" i="8"/>
  <c r="S4142" i="8"/>
  <c r="T4142" i="8"/>
  <c r="E381" i="7"/>
  <c r="F381" i="7"/>
  <c r="G381" i="7"/>
  <c r="H381" i="7"/>
  <c r="I381" i="7"/>
  <c r="J381" i="7"/>
  <c r="K381" i="7"/>
  <c r="L381" i="7"/>
  <c r="M381" i="7"/>
  <c r="N381" i="7"/>
  <c r="P381" i="7"/>
  <c r="Q381" i="7"/>
  <c r="R381" i="7"/>
  <c r="S381" i="7"/>
  <c r="U381" i="7"/>
  <c r="V381" i="7"/>
  <c r="W381" i="7"/>
  <c r="X381" i="7"/>
  <c r="Y381" i="7"/>
  <c r="Z381" i="7"/>
  <c r="AA381" i="7"/>
  <c r="AC381" i="7"/>
  <c r="AE381" i="7"/>
  <c r="AI381" i="7"/>
  <c r="T3886" i="8"/>
  <c r="E3887" i="8"/>
  <c r="F3887" i="8"/>
  <c r="G3887" i="8"/>
  <c r="H3887" i="8"/>
  <c r="I3887" i="8"/>
  <c r="J3887" i="8"/>
  <c r="K3887" i="8"/>
  <c r="L3887" i="8"/>
  <c r="M3887" i="8"/>
  <c r="N3887" i="8"/>
  <c r="O3887" i="8"/>
  <c r="P3887" i="8"/>
  <c r="Q3887" i="8"/>
  <c r="R3887" i="8"/>
  <c r="S3887" i="8"/>
  <c r="T3887" i="8"/>
  <c r="E3888" i="8"/>
  <c r="F3888" i="8"/>
  <c r="G3888" i="8"/>
  <c r="H3888" i="8"/>
  <c r="I3888" i="8"/>
  <c r="J3888" i="8"/>
  <c r="K3888" i="8"/>
  <c r="L3888" i="8"/>
  <c r="M3888" i="8"/>
  <c r="N3888" i="8"/>
  <c r="O3888" i="8"/>
  <c r="P3888" i="8"/>
  <c r="Q3888" i="8"/>
  <c r="R3888" i="8"/>
  <c r="S3888" i="8"/>
  <c r="T3888" i="8"/>
  <c r="E3889" i="8"/>
  <c r="F3889" i="8"/>
  <c r="G3889" i="8"/>
  <c r="H3889" i="8"/>
  <c r="I3889" i="8"/>
  <c r="J3889" i="8"/>
  <c r="K3889" i="8"/>
  <c r="L3889" i="8"/>
  <c r="M3889" i="8"/>
  <c r="N3889" i="8"/>
  <c r="O3889" i="8"/>
  <c r="P3889" i="8"/>
  <c r="Q3889" i="8"/>
  <c r="R3889" i="8"/>
  <c r="S3889" i="8"/>
  <c r="T3889" i="8"/>
  <c r="E358" i="7"/>
  <c r="F358" i="7"/>
  <c r="G358" i="7"/>
  <c r="H358" i="7"/>
  <c r="I358" i="7"/>
  <c r="J358" i="7"/>
  <c r="K358" i="7"/>
  <c r="L358" i="7"/>
  <c r="M358" i="7"/>
  <c r="N358" i="7"/>
  <c r="P358" i="7"/>
  <c r="Q358" i="7"/>
  <c r="R358" i="7"/>
  <c r="S358" i="7"/>
  <c r="U358" i="7"/>
  <c r="V358" i="7"/>
  <c r="W358" i="7"/>
  <c r="X358" i="7"/>
  <c r="AA358" i="7"/>
  <c r="AE358" i="7"/>
  <c r="E3868" i="8"/>
  <c r="F3868" i="8"/>
  <c r="G3868" i="8"/>
  <c r="H3868" i="8"/>
  <c r="I3868" i="8"/>
  <c r="J3868" i="8"/>
  <c r="K3868" i="8"/>
  <c r="L3868" i="8"/>
  <c r="M3868" i="8"/>
  <c r="N3868" i="8"/>
  <c r="O3868" i="8"/>
  <c r="P3868" i="8"/>
  <c r="Q3868" i="8"/>
  <c r="R3868" i="8"/>
  <c r="S3868" i="8"/>
  <c r="T3868" i="8"/>
  <c r="E3869" i="8"/>
  <c r="F3869" i="8"/>
  <c r="G3869" i="8"/>
  <c r="H3869" i="8"/>
  <c r="I3869" i="8"/>
  <c r="J3869" i="8"/>
  <c r="K3869" i="8"/>
  <c r="L3869" i="8"/>
  <c r="M3869" i="8"/>
  <c r="N3869" i="8"/>
  <c r="O3869" i="8"/>
  <c r="P3869" i="8"/>
  <c r="Q3869" i="8"/>
  <c r="R3869" i="8"/>
  <c r="S3869" i="8"/>
  <c r="T3869" i="8"/>
  <c r="E3870" i="8"/>
  <c r="F3870" i="8"/>
  <c r="G3870" i="8"/>
  <c r="H3870" i="8"/>
  <c r="I3870" i="8"/>
  <c r="J3870" i="8"/>
  <c r="K3870" i="8"/>
  <c r="L3870" i="8"/>
  <c r="M3870" i="8"/>
  <c r="N3870" i="8"/>
  <c r="O3870" i="8"/>
  <c r="P3870" i="8"/>
  <c r="Q3870" i="8"/>
  <c r="R3870" i="8"/>
  <c r="S3870" i="8"/>
  <c r="T3870" i="8"/>
  <c r="E3871" i="8"/>
  <c r="F3871" i="8"/>
  <c r="G3871" i="8"/>
  <c r="H3871" i="8"/>
  <c r="I3871" i="8"/>
  <c r="J3871" i="8"/>
  <c r="K3871" i="8"/>
  <c r="L3871" i="8"/>
  <c r="M3871" i="8"/>
  <c r="N3871" i="8"/>
  <c r="O3871" i="8"/>
  <c r="P3871" i="8"/>
  <c r="Q3871" i="8"/>
  <c r="R3871" i="8"/>
  <c r="S3871" i="8"/>
  <c r="T3871" i="8"/>
  <c r="E3872" i="8"/>
  <c r="F3872" i="8"/>
  <c r="G3872" i="8"/>
  <c r="H3872" i="8"/>
  <c r="I3872" i="8"/>
  <c r="J3872" i="8"/>
  <c r="K3872" i="8"/>
  <c r="L3872" i="8"/>
  <c r="M3872" i="8"/>
  <c r="N3872" i="8"/>
  <c r="O3872" i="8"/>
  <c r="P3872" i="8"/>
  <c r="Q3872" i="8"/>
  <c r="R3872" i="8"/>
  <c r="S3872" i="8"/>
  <c r="T3872" i="8"/>
  <c r="E3873" i="8"/>
  <c r="F3873" i="8"/>
  <c r="G3873" i="8"/>
  <c r="H3873" i="8"/>
  <c r="I3873" i="8"/>
  <c r="J3873" i="8"/>
  <c r="K3873" i="8"/>
  <c r="L3873" i="8"/>
  <c r="M3873" i="8"/>
  <c r="N3873" i="8"/>
  <c r="O3873" i="8"/>
  <c r="P3873" i="8"/>
  <c r="Q3873" i="8"/>
  <c r="R3873" i="8"/>
  <c r="S3873" i="8"/>
  <c r="T3873" i="8"/>
  <c r="E3874" i="8"/>
  <c r="F3874" i="8"/>
  <c r="G3874" i="8"/>
  <c r="H3874" i="8"/>
  <c r="I3874" i="8"/>
  <c r="J3874" i="8"/>
  <c r="K3874" i="8"/>
  <c r="L3874" i="8"/>
  <c r="M3874" i="8"/>
  <c r="N3874" i="8"/>
  <c r="O3874" i="8"/>
  <c r="P3874" i="8"/>
  <c r="Q3874" i="8"/>
  <c r="R3874" i="8"/>
  <c r="S3874" i="8"/>
  <c r="T3874" i="8"/>
  <c r="E3875" i="8"/>
  <c r="F3875" i="8"/>
  <c r="G3875" i="8"/>
  <c r="H3875" i="8"/>
  <c r="I3875" i="8"/>
  <c r="J3875" i="8"/>
  <c r="K3875" i="8"/>
  <c r="L3875" i="8"/>
  <c r="M3875" i="8"/>
  <c r="N3875" i="8"/>
  <c r="O3875" i="8"/>
  <c r="P3875" i="8"/>
  <c r="Q3875" i="8"/>
  <c r="R3875" i="8"/>
  <c r="S3875" i="8"/>
  <c r="T3875" i="8"/>
  <c r="E3876" i="8"/>
  <c r="F3876" i="8"/>
  <c r="G3876" i="8"/>
  <c r="H3876" i="8"/>
  <c r="I3876" i="8"/>
  <c r="J3876" i="8"/>
  <c r="K3876" i="8"/>
  <c r="L3876" i="8"/>
  <c r="M3876" i="8"/>
  <c r="N3876" i="8"/>
  <c r="O3876" i="8"/>
  <c r="P3876" i="8"/>
  <c r="Q3876" i="8"/>
  <c r="R3876" i="8"/>
  <c r="S3876" i="8"/>
  <c r="T3876" i="8"/>
  <c r="E3877" i="8"/>
  <c r="F3877" i="8"/>
  <c r="G3877" i="8"/>
  <c r="H3877" i="8"/>
  <c r="I3877" i="8"/>
  <c r="J3877" i="8"/>
  <c r="K3877" i="8"/>
  <c r="L3877" i="8"/>
  <c r="M3877" i="8"/>
  <c r="N3877" i="8"/>
  <c r="O3877" i="8"/>
  <c r="P3877" i="8"/>
  <c r="Q3877" i="8"/>
  <c r="R3877" i="8"/>
  <c r="S3877" i="8"/>
  <c r="T3877" i="8"/>
  <c r="E3878" i="8"/>
  <c r="F3878" i="8"/>
  <c r="G3878" i="8"/>
  <c r="H3878" i="8"/>
  <c r="I3878" i="8"/>
  <c r="J3878" i="8"/>
  <c r="K3878" i="8"/>
  <c r="L3878" i="8"/>
  <c r="M3878" i="8"/>
  <c r="N3878" i="8"/>
  <c r="O3878" i="8"/>
  <c r="P3878" i="8"/>
  <c r="Q3878" i="8"/>
  <c r="R3878" i="8"/>
  <c r="S3878" i="8"/>
  <c r="T3878" i="8"/>
  <c r="E357" i="7"/>
  <c r="F357" i="7"/>
  <c r="G357" i="7"/>
  <c r="H357" i="7"/>
  <c r="I357" i="7"/>
  <c r="J357" i="7"/>
  <c r="K357" i="7"/>
  <c r="L357" i="7"/>
  <c r="M357" i="7"/>
  <c r="N357" i="7"/>
  <c r="P357" i="7"/>
  <c r="Q357" i="7"/>
  <c r="R357" i="7"/>
  <c r="S357" i="7"/>
  <c r="U357" i="7"/>
  <c r="V357" i="7"/>
  <c r="W357" i="7"/>
  <c r="X357" i="7"/>
  <c r="Y357" i="7"/>
  <c r="Z357" i="7"/>
  <c r="AA357" i="7"/>
  <c r="AC357" i="7"/>
  <c r="AE357" i="7"/>
  <c r="AI357" i="7"/>
  <c r="AO357" i="7"/>
  <c r="AP357" i="7"/>
  <c r="E3857" i="8"/>
  <c r="F3857" i="8"/>
  <c r="G3857" i="8"/>
  <c r="H3857" i="8"/>
  <c r="I3857" i="8"/>
  <c r="J3857" i="8"/>
  <c r="K3857" i="8"/>
  <c r="L3857" i="8"/>
  <c r="M3857" i="8"/>
  <c r="N3857" i="8"/>
  <c r="O3857" i="8"/>
  <c r="P3857" i="8"/>
  <c r="Q3857" i="8"/>
  <c r="R3857" i="8"/>
  <c r="S3857" i="8"/>
  <c r="T3857" i="8"/>
  <c r="E3858" i="8"/>
  <c r="F3858" i="8"/>
  <c r="G3858" i="8"/>
  <c r="H3858" i="8"/>
  <c r="I3858" i="8"/>
  <c r="J3858" i="8"/>
  <c r="K3858" i="8"/>
  <c r="L3858" i="8"/>
  <c r="M3858" i="8"/>
  <c r="N3858" i="8"/>
  <c r="O3858" i="8"/>
  <c r="P3858" i="8"/>
  <c r="Q3858" i="8"/>
  <c r="R3858" i="8"/>
  <c r="S3858" i="8"/>
  <c r="T3858" i="8"/>
  <c r="E3859" i="8"/>
  <c r="F3859" i="8"/>
  <c r="G3859" i="8"/>
  <c r="H3859" i="8"/>
  <c r="I3859" i="8"/>
  <c r="J3859" i="8"/>
  <c r="K3859" i="8"/>
  <c r="L3859" i="8"/>
  <c r="M3859" i="8"/>
  <c r="N3859" i="8"/>
  <c r="O3859" i="8"/>
  <c r="P3859" i="8"/>
  <c r="Q3859" i="8"/>
  <c r="R3859" i="8"/>
  <c r="S3859" i="8"/>
  <c r="T3859" i="8"/>
  <c r="E3860" i="8"/>
  <c r="F3860" i="8"/>
  <c r="G3860" i="8"/>
  <c r="H3860" i="8"/>
  <c r="I3860" i="8"/>
  <c r="J3860" i="8"/>
  <c r="K3860" i="8"/>
  <c r="L3860" i="8"/>
  <c r="M3860" i="8"/>
  <c r="N3860" i="8"/>
  <c r="O3860" i="8"/>
  <c r="P3860" i="8"/>
  <c r="Q3860" i="8"/>
  <c r="R3860" i="8"/>
  <c r="S3860" i="8"/>
  <c r="T3860" i="8"/>
  <c r="E3861" i="8"/>
  <c r="F3861" i="8"/>
  <c r="G3861" i="8"/>
  <c r="H3861" i="8"/>
  <c r="I3861" i="8"/>
  <c r="J3861" i="8"/>
  <c r="K3861" i="8"/>
  <c r="L3861" i="8"/>
  <c r="M3861" i="8"/>
  <c r="N3861" i="8"/>
  <c r="O3861" i="8"/>
  <c r="P3861" i="8"/>
  <c r="Q3861" i="8"/>
  <c r="R3861" i="8"/>
  <c r="S3861" i="8"/>
  <c r="T3861" i="8"/>
  <c r="E3862" i="8"/>
  <c r="F3862" i="8"/>
  <c r="G3862" i="8"/>
  <c r="H3862" i="8"/>
  <c r="I3862" i="8"/>
  <c r="J3862" i="8"/>
  <c r="K3862" i="8"/>
  <c r="L3862" i="8"/>
  <c r="M3862" i="8"/>
  <c r="N3862" i="8"/>
  <c r="O3862" i="8"/>
  <c r="P3862" i="8"/>
  <c r="Q3862" i="8"/>
  <c r="R3862" i="8"/>
  <c r="S3862" i="8"/>
  <c r="T3862" i="8"/>
  <c r="E3863" i="8"/>
  <c r="F3863" i="8"/>
  <c r="G3863" i="8"/>
  <c r="H3863" i="8"/>
  <c r="I3863" i="8"/>
  <c r="J3863" i="8"/>
  <c r="K3863" i="8"/>
  <c r="L3863" i="8"/>
  <c r="M3863" i="8"/>
  <c r="N3863" i="8"/>
  <c r="O3863" i="8"/>
  <c r="P3863" i="8"/>
  <c r="Q3863" i="8"/>
  <c r="R3863" i="8"/>
  <c r="S3863" i="8"/>
  <c r="T3863" i="8"/>
  <c r="E3864" i="8"/>
  <c r="F3864" i="8"/>
  <c r="G3864" i="8"/>
  <c r="H3864" i="8"/>
  <c r="I3864" i="8"/>
  <c r="J3864" i="8"/>
  <c r="K3864" i="8"/>
  <c r="L3864" i="8"/>
  <c r="M3864" i="8"/>
  <c r="N3864" i="8"/>
  <c r="O3864" i="8"/>
  <c r="P3864" i="8"/>
  <c r="Q3864" i="8"/>
  <c r="R3864" i="8"/>
  <c r="S3864" i="8"/>
  <c r="T3864" i="8"/>
  <c r="E3865" i="8"/>
  <c r="F3865" i="8"/>
  <c r="G3865" i="8"/>
  <c r="H3865" i="8"/>
  <c r="I3865" i="8"/>
  <c r="J3865" i="8"/>
  <c r="K3865" i="8"/>
  <c r="L3865" i="8"/>
  <c r="M3865" i="8"/>
  <c r="N3865" i="8"/>
  <c r="O3865" i="8"/>
  <c r="P3865" i="8"/>
  <c r="Q3865" i="8"/>
  <c r="R3865" i="8"/>
  <c r="S3865" i="8"/>
  <c r="T3865" i="8"/>
  <c r="E3866" i="8"/>
  <c r="F3866" i="8"/>
  <c r="G3866" i="8"/>
  <c r="H3866" i="8"/>
  <c r="I3866" i="8"/>
  <c r="J3866" i="8"/>
  <c r="K3866" i="8"/>
  <c r="L3866" i="8"/>
  <c r="M3866" i="8"/>
  <c r="N3866" i="8"/>
  <c r="O3866" i="8"/>
  <c r="P3866" i="8"/>
  <c r="Q3866" i="8"/>
  <c r="R3866" i="8"/>
  <c r="S3866" i="8"/>
  <c r="T3866" i="8"/>
  <c r="E3867" i="8"/>
  <c r="F3867" i="8"/>
  <c r="G3867" i="8"/>
  <c r="H3867" i="8"/>
  <c r="I3867" i="8"/>
  <c r="J3867" i="8"/>
  <c r="K3867" i="8"/>
  <c r="L3867" i="8"/>
  <c r="M3867" i="8"/>
  <c r="N3867" i="8"/>
  <c r="O3867" i="8"/>
  <c r="P3867" i="8"/>
  <c r="Q3867" i="8"/>
  <c r="R3867" i="8"/>
  <c r="S3867" i="8"/>
  <c r="T3867" i="8"/>
  <c r="E356" i="7"/>
  <c r="F356" i="7"/>
  <c r="G356" i="7"/>
  <c r="H356" i="7"/>
  <c r="I356" i="7"/>
  <c r="J356" i="7"/>
  <c r="K356" i="7"/>
  <c r="L356" i="7"/>
  <c r="M356" i="7"/>
  <c r="N356" i="7"/>
  <c r="P356" i="7"/>
  <c r="Q356" i="7"/>
  <c r="R356" i="7"/>
  <c r="S356" i="7"/>
  <c r="U356" i="7"/>
  <c r="V356" i="7"/>
  <c r="W356" i="7"/>
  <c r="X356" i="7"/>
  <c r="Y356" i="7"/>
  <c r="Z356" i="7"/>
  <c r="AA356" i="7"/>
  <c r="AC356" i="7"/>
  <c r="AE356" i="7"/>
  <c r="AI356" i="7"/>
  <c r="AO356" i="7"/>
  <c r="AP356" i="7"/>
  <c r="E3846" i="8"/>
  <c r="F3846" i="8"/>
  <c r="G3846" i="8"/>
  <c r="H3846" i="8"/>
  <c r="I3846" i="8"/>
  <c r="J3846" i="8"/>
  <c r="K3846" i="8"/>
  <c r="L3846" i="8"/>
  <c r="M3846" i="8"/>
  <c r="N3846" i="8"/>
  <c r="O3846" i="8"/>
  <c r="P3846" i="8"/>
  <c r="Q3846" i="8"/>
  <c r="R3846" i="8"/>
  <c r="S3846" i="8"/>
  <c r="T3846" i="8"/>
  <c r="E3847" i="8"/>
  <c r="F3847" i="8"/>
  <c r="G3847" i="8"/>
  <c r="H3847" i="8"/>
  <c r="I3847" i="8"/>
  <c r="J3847" i="8"/>
  <c r="K3847" i="8"/>
  <c r="L3847" i="8"/>
  <c r="M3847" i="8"/>
  <c r="N3847" i="8"/>
  <c r="O3847" i="8"/>
  <c r="P3847" i="8"/>
  <c r="Q3847" i="8"/>
  <c r="R3847" i="8"/>
  <c r="S3847" i="8"/>
  <c r="T3847" i="8"/>
  <c r="E3848" i="8"/>
  <c r="F3848" i="8"/>
  <c r="G3848" i="8"/>
  <c r="H3848" i="8"/>
  <c r="I3848" i="8"/>
  <c r="J3848" i="8"/>
  <c r="K3848" i="8"/>
  <c r="L3848" i="8"/>
  <c r="M3848" i="8"/>
  <c r="N3848" i="8"/>
  <c r="O3848" i="8"/>
  <c r="P3848" i="8"/>
  <c r="Q3848" i="8"/>
  <c r="R3848" i="8"/>
  <c r="S3848" i="8"/>
  <c r="T3848" i="8"/>
  <c r="E3849" i="8"/>
  <c r="F3849" i="8"/>
  <c r="G3849" i="8"/>
  <c r="H3849" i="8"/>
  <c r="I3849" i="8"/>
  <c r="J3849" i="8"/>
  <c r="K3849" i="8"/>
  <c r="L3849" i="8"/>
  <c r="M3849" i="8"/>
  <c r="N3849" i="8"/>
  <c r="O3849" i="8"/>
  <c r="P3849" i="8"/>
  <c r="Q3849" i="8"/>
  <c r="R3849" i="8"/>
  <c r="S3849" i="8"/>
  <c r="T3849" i="8"/>
  <c r="E3850" i="8"/>
  <c r="F3850" i="8"/>
  <c r="G3850" i="8"/>
  <c r="H3850" i="8"/>
  <c r="I3850" i="8"/>
  <c r="J3850" i="8"/>
  <c r="K3850" i="8"/>
  <c r="L3850" i="8"/>
  <c r="M3850" i="8"/>
  <c r="N3850" i="8"/>
  <c r="O3850" i="8"/>
  <c r="P3850" i="8"/>
  <c r="Q3850" i="8"/>
  <c r="R3850" i="8"/>
  <c r="S3850" i="8"/>
  <c r="T3850" i="8"/>
  <c r="E3851" i="8"/>
  <c r="F3851" i="8"/>
  <c r="G3851" i="8"/>
  <c r="H3851" i="8"/>
  <c r="I3851" i="8"/>
  <c r="J3851" i="8"/>
  <c r="K3851" i="8"/>
  <c r="L3851" i="8"/>
  <c r="M3851" i="8"/>
  <c r="N3851" i="8"/>
  <c r="O3851" i="8"/>
  <c r="P3851" i="8"/>
  <c r="Q3851" i="8"/>
  <c r="R3851" i="8"/>
  <c r="S3851" i="8"/>
  <c r="T3851" i="8"/>
  <c r="E3852" i="8"/>
  <c r="F3852" i="8"/>
  <c r="G3852" i="8"/>
  <c r="H3852" i="8"/>
  <c r="I3852" i="8"/>
  <c r="J3852" i="8"/>
  <c r="K3852" i="8"/>
  <c r="L3852" i="8"/>
  <c r="M3852" i="8"/>
  <c r="N3852" i="8"/>
  <c r="O3852" i="8"/>
  <c r="P3852" i="8"/>
  <c r="Q3852" i="8"/>
  <c r="R3852" i="8"/>
  <c r="S3852" i="8"/>
  <c r="T3852" i="8"/>
  <c r="E3853" i="8"/>
  <c r="F3853" i="8"/>
  <c r="G3853" i="8"/>
  <c r="H3853" i="8"/>
  <c r="I3853" i="8"/>
  <c r="J3853" i="8"/>
  <c r="K3853" i="8"/>
  <c r="L3853" i="8"/>
  <c r="M3853" i="8"/>
  <c r="N3853" i="8"/>
  <c r="O3853" i="8"/>
  <c r="P3853" i="8"/>
  <c r="Q3853" i="8"/>
  <c r="R3853" i="8"/>
  <c r="S3853" i="8"/>
  <c r="T3853" i="8"/>
  <c r="E3854" i="8"/>
  <c r="F3854" i="8"/>
  <c r="G3854" i="8"/>
  <c r="H3854" i="8"/>
  <c r="I3854" i="8"/>
  <c r="J3854" i="8"/>
  <c r="K3854" i="8"/>
  <c r="L3854" i="8"/>
  <c r="M3854" i="8"/>
  <c r="N3854" i="8"/>
  <c r="O3854" i="8"/>
  <c r="P3854" i="8"/>
  <c r="Q3854" i="8"/>
  <c r="R3854" i="8"/>
  <c r="S3854" i="8"/>
  <c r="T3854" i="8"/>
  <c r="E3855" i="8"/>
  <c r="F3855" i="8"/>
  <c r="G3855" i="8"/>
  <c r="H3855" i="8"/>
  <c r="I3855" i="8"/>
  <c r="J3855" i="8"/>
  <c r="K3855" i="8"/>
  <c r="L3855" i="8"/>
  <c r="M3855" i="8"/>
  <c r="N3855" i="8"/>
  <c r="O3855" i="8"/>
  <c r="P3855" i="8"/>
  <c r="Q3855" i="8"/>
  <c r="R3855" i="8"/>
  <c r="S3855" i="8"/>
  <c r="T3855" i="8"/>
  <c r="E3856" i="8"/>
  <c r="F3856" i="8"/>
  <c r="G3856" i="8"/>
  <c r="H3856" i="8"/>
  <c r="I3856" i="8"/>
  <c r="J3856" i="8"/>
  <c r="K3856" i="8"/>
  <c r="L3856" i="8"/>
  <c r="M3856" i="8"/>
  <c r="N3856" i="8"/>
  <c r="O3856" i="8"/>
  <c r="P3856" i="8"/>
  <c r="Q3856" i="8"/>
  <c r="R3856" i="8"/>
  <c r="S3856" i="8"/>
  <c r="T3856" i="8"/>
  <c r="E355" i="7"/>
  <c r="F355" i="7"/>
  <c r="G355" i="7"/>
  <c r="H355" i="7"/>
  <c r="I355" i="7"/>
  <c r="J355" i="7"/>
  <c r="K355" i="7"/>
  <c r="L355" i="7"/>
  <c r="M355" i="7"/>
  <c r="N355" i="7"/>
  <c r="P355" i="7"/>
  <c r="Q355" i="7"/>
  <c r="R355" i="7"/>
  <c r="S355" i="7"/>
  <c r="U355" i="7"/>
  <c r="V355" i="7"/>
  <c r="W355" i="7"/>
  <c r="X355" i="7"/>
  <c r="Y355" i="7"/>
  <c r="Z355" i="7"/>
  <c r="AA355" i="7"/>
  <c r="AC355" i="7"/>
  <c r="AE355" i="7"/>
  <c r="AI355" i="7"/>
  <c r="AO355" i="7"/>
  <c r="AP355" i="7"/>
  <c r="E3835" i="8"/>
  <c r="F3835" i="8"/>
  <c r="G3835" i="8"/>
  <c r="H3835" i="8"/>
  <c r="I3835" i="8"/>
  <c r="J3835" i="8"/>
  <c r="K3835" i="8"/>
  <c r="L3835" i="8"/>
  <c r="M3835" i="8"/>
  <c r="N3835" i="8"/>
  <c r="O3835" i="8"/>
  <c r="P3835" i="8"/>
  <c r="Q3835" i="8"/>
  <c r="R3835" i="8"/>
  <c r="S3835" i="8"/>
  <c r="T3835" i="8"/>
  <c r="E3836" i="8"/>
  <c r="F3836" i="8"/>
  <c r="G3836" i="8"/>
  <c r="H3836" i="8"/>
  <c r="I3836" i="8"/>
  <c r="J3836" i="8"/>
  <c r="K3836" i="8"/>
  <c r="L3836" i="8"/>
  <c r="M3836" i="8"/>
  <c r="N3836" i="8"/>
  <c r="O3836" i="8"/>
  <c r="P3836" i="8"/>
  <c r="Q3836" i="8"/>
  <c r="R3836" i="8"/>
  <c r="S3836" i="8"/>
  <c r="T3836" i="8"/>
  <c r="E3837" i="8"/>
  <c r="F3837" i="8"/>
  <c r="G3837" i="8"/>
  <c r="H3837" i="8"/>
  <c r="I3837" i="8"/>
  <c r="J3837" i="8"/>
  <c r="K3837" i="8"/>
  <c r="L3837" i="8"/>
  <c r="M3837" i="8"/>
  <c r="N3837" i="8"/>
  <c r="O3837" i="8"/>
  <c r="P3837" i="8"/>
  <c r="Q3837" i="8"/>
  <c r="R3837" i="8"/>
  <c r="S3837" i="8"/>
  <c r="T3837" i="8"/>
  <c r="E3838" i="8"/>
  <c r="F3838" i="8"/>
  <c r="G3838" i="8"/>
  <c r="H3838" i="8"/>
  <c r="I3838" i="8"/>
  <c r="J3838" i="8"/>
  <c r="K3838" i="8"/>
  <c r="L3838" i="8"/>
  <c r="M3838" i="8"/>
  <c r="N3838" i="8"/>
  <c r="O3838" i="8"/>
  <c r="P3838" i="8"/>
  <c r="Q3838" i="8"/>
  <c r="R3838" i="8"/>
  <c r="S3838" i="8"/>
  <c r="T3838" i="8"/>
  <c r="E3839" i="8"/>
  <c r="F3839" i="8"/>
  <c r="G3839" i="8"/>
  <c r="H3839" i="8"/>
  <c r="I3839" i="8"/>
  <c r="J3839" i="8"/>
  <c r="K3839" i="8"/>
  <c r="L3839" i="8"/>
  <c r="M3839" i="8"/>
  <c r="N3839" i="8"/>
  <c r="O3839" i="8"/>
  <c r="P3839" i="8"/>
  <c r="Q3839" i="8"/>
  <c r="R3839" i="8"/>
  <c r="S3839" i="8"/>
  <c r="T3839" i="8"/>
  <c r="E3840" i="8"/>
  <c r="F3840" i="8"/>
  <c r="G3840" i="8"/>
  <c r="H3840" i="8"/>
  <c r="I3840" i="8"/>
  <c r="J3840" i="8"/>
  <c r="K3840" i="8"/>
  <c r="L3840" i="8"/>
  <c r="M3840" i="8"/>
  <c r="N3840" i="8"/>
  <c r="O3840" i="8"/>
  <c r="P3840" i="8"/>
  <c r="Q3840" i="8"/>
  <c r="R3840" i="8"/>
  <c r="S3840" i="8"/>
  <c r="T3840" i="8"/>
  <c r="E3841" i="8"/>
  <c r="F3841" i="8"/>
  <c r="G3841" i="8"/>
  <c r="H3841" i="8"/>
  <c r="I3841" i="8"/>
  <c r="J3841" i="8"/>
  <c r="K3841" i="8"/>
  <c r="L3841" i="8"/>
  <c r="M3841" i="8"/>
  <c r="N3841" i="8"/>
  <c r="O3841" i="8"/>
  <c r="P3841" i="8"/>
  <c r="Q3841" i="8"/>
  <c r="R3841" i="8"/>
  <c r="S3841" i="8"/>
  <c r="T3841" i="8"/>
  <c r="E3842" i="8"/>
  <c r="F3842" i="8"/>
  <c r="G3842" i="8"/>
  <c r="H3842" i="8"/>
  <c r="I3842" i="8"/>
  <c r="J3842" i="8"/>
  <c r="K3842" i="8"/>
  <c r="L3842" i="8"/>
  <c r="M3842" i="8"/>
  <c r="N3842" i="8"/>
  <c r="O3842" i="8"/>
  <c r="P3842" i="8"/>
  <c r="Q3842" i="8"/>
  <c r="R3842" i="8"/>
  <c r="S3842" i="8"/>
  <c r="T3842" i="8"/>
  <c r="E3843" i="8"/>
  <c r="F3843" i="8"/>
  <c r="G3843" i="8"/>
  <c r="H3843" i="8"/>
  <c r="I3843" i="8"/>
  <c r="J3843" i="8"/>
  <c r="K3843" i="8"/>
  <c r="L3843" i="8"/>
  <c r="M3843" i="8"/>
  <c r="N3843" i="8"/>
  <c r="O3843" i="8"/>
  <c r="P3843" i="8"/>
  <c r="Q3843" i="8"/>
  <c r="R3843" i="8"/>
  <c r="S3843" i="8"/>
  <c r="T3843" i="8"/>
  <c r="E3844" i="8"/>
  <c r="F3844" i="8"/>
  <c r="G3844" i="8"/>
  <c r="H3844" i="8"/>
  <c r="I3844" i="8"/>
  <c r="J3844" i="8"/>
  <c r="K3844" i="8"/>
  <c r="L3844" i="8"/>
  <c r="M3844" i="8"/>
  <c r="N3844" i="8"/>
  <c r="O3844" i="8"/>
  <c r="P3844" i="8"/>
  <c r="Q3844" i="8"/>
  <c r="R3844" i="8"/>
  <c r="S3844" i="8"/>
  <c r="T3844" i="8"/>
  <c r="E3845" i="8"/>
  <c r="F3845" i="8"/>
  <c r="G3845" i="8"/>
  <c r="H3845" i="8"/>
  <c r="I3845" i="8"/>
  <c r="J3845" i="8"/>
  <c r="K3845" i="8"/>
  <c r="L3845" i="8"/>
  <c r="M3845" i="8"/>
  <c r="N3845" i="8"/>
  <c r="O3845" i="8"/>
  <c r="P3845" i="8"/>
  <c r="Q3845" i="8"/>
  <c r="R3845" i="8"/>
  <c r="S3845" i="8"/>
  <c r="T3845" i="8"/>
  <c r="E354" i="7"/>
  <c r="F354" i="7"/>
  <c r="G354" i="7"/>
  <c r="H354" i="7"/>
  <c r="I354" i="7"/>
  <c r="J354" i="7"/>
  <c r="K354" i="7"/>
  <c r="L354" i="7"/>
  <c r="M354" i="7"/>
  <c r="N354" i="7"/>
  <c r="P354" i="7"/>
  <c r="Q354" i="7"/>
  <c r="R354" i="7"/>
  <c r="S354" i="7"/>
  <c r="U354" i="7"/>
  <c r="V354" i="7"/>
  <c r="W354" i="7"/>
  <c r="X354" i="7"/>
  <c r="Y354" i="7"/>
  <c r="Z354" i="7"/>
  <c r="AA354" i="7"/>
  <c r="AC354" i="7"/>
  <c r="AE354" i="7"/>
  <c r="AI354" i="7"/>
  <c r="AO354" i="7"/>
  <c r="AP354" i="7"/>
  <c r="E3824" i="8"/>
  <c r="F3824" i="8"/>
  <c r="G3824" i="8"/>
  <c r="H3824" i="8"/>
  <c r="I3824" i="8"/>
  <c r="J3824" i="8"/>
  <c r="K3824" i="8"/>
  <c r="L3824" i="8"/>
  <c r="M3824" i="8"/>
  <c r="N3824" i="8"/>
  <c r="O3824" i="8"/>
  <c r="P3824" i="8"/>
  <c r="Q3824" i="8"/>
  <c r="R3824" i="8"/>
  <c r="S3824" i="8"/>
  <c r="T3824" i="8"/>
  <c r="E3825" i="8"/>
  <c r="F3825" i="8"/>
  <c r="G3825" i="8"/>
  <c r="H3825" i="8"/>
  <c r="I3825" i="8"/>
  <c r="J3825" i="8"/>
  <c r="K3825" i="8"/>
  <c r="L3825" i="8"/>
  <c r="M3825" i="8"/>
  <c r="N3825" i="8"/>
  <c r="O3825" i="8"/>
  <c r="P3825" i="8"/>
  <c r="Q3825" i="8"/>
  <c r="R3825" i="8"/>
  <c r="S3825" i="8"/>
  <c r="T3825" i="8"/>
  <c r="E3826" i="8"/>
  <c r="F3826" i="8"/>
  <c r="G3826" i="8"/>
  <c r="H3826" i="8"/>
  <c r="I3826" i="8"/>
  <c r="J3826" i="8"/>
  <c r="K3826" i="8"/>
  <c r="L3826" i="8"/>
  <c r="M3826" i="8"/>
  <c r="N3826" i="8"/>
  <c r="O3826" i="8"/>
  <c r="P3826" i="8"/>
  <c r="Q3826" i="8"/>
  <c r="R3826" i="8"/>
  <c r="S3826" i="8"/>
  <c r="T3826" i="8"/>
  <c r="E3827" i="8"/>
  <c r="F3827" i="8"/>
  <c r="G3827" i="8"/>
  <c r="H3827" i="8"/>
  <c r="I3827" i="8"/>
  <c r="J3827" i="8"/>
  <c r="K3827" i="8"/>
  <c r="L3827" i="8"/>
  <c r="M3827" i="8"/>
  <c r="N3827" i="8"/>
  <c r="O3827" i="8"/>
  <c r="P3827" i="8"/>
  <c r="Q3827" i="8"/>
  <c r="R3827" i="8"/>
  <c r="S3827" i="8"/>
  <c r="T3827" i="8"/>
  <c r="E3828" i="8"/>
  <c r="F3828" i="8"/>
  <c r="G3828" i="8"/>
  <c r="H3828" i="8"/>
  <c r="I3828" i="8"/>
  <c r="J3828" i="8"/>
  <c r="K3828" i="8"/>
  <c r="L3828" i="8"/>
  <c r="M3828" i="8"/>
  <c r="N3828" i="8"/>
  <c r="O3828" i="8"/>
  <c r="P3828" i="8"/>
  <c r="Q3828" i="8"/>
  <c r="R3828" i="8"/>
  <c r="S3828" i="8"/>
  <c r="T3828" i="8"/>
  <c r="E3829" i="8"/>
  <c r="F3829" i="8"/>
  <c r="G3829" i="8"/>
  <c r="H3829" i="8"/>
  <c r="I3829" i="8"/>
  <c r="J3829" i="8"/>
  <c r="K3829" i="8"/>
  <c r="L3829" i="8"/>
  <c r="M3829" i="8"/>
  <c r="N3829" i="8"/>
  <c r="O3829" i="8"/>
  <c r="P3829" i="8"/>
  <c r="Q3829" i="8"/>
  <c r="R3829" i="8"/>
  <c r="S3829" i="8"/>
  <c r="T3829" i="8"/>
  <c r="E3830" i="8"/>
  <c r="F3830" i="8"/>
  <c r="G3830" i="8"/>
  <c r="H3830" i="8"/>
  <c r="I3830" i="8"/>
  <c r="J3830" i="8"/>
  <c r="K3830" i="8"/>
  <c r="L3830" i="8"/>
  <c r="M3830" i="8"/>
  <c r="N3830" i="8"/>
  <c r="O3830" i="8"/>
  <c r="P3830" i="8"/>
  <c r="Q3830" i="8"/>
  <c r="R3830" i="8"/>
  <c r="S3830" i="8"/>
  <c r="T3830" i="8"/>
  <c r="E3831" i="8"/>
  <c r="F3831" i="8"/>
  <c r="G3831" i="8"/>
  <c r="H3831" i="8"/>
  <c r="I3831" i="8"/>
  <c r="J3831" i="8"/>
  <c r="K3831" i="8"/>
  <c r="L3831" i="8"/>
  <c r="M3831" i="8"/>
  <c r="N3831" i="8"/>
  <c r="O3831" i="8"/>
  <c r="P3831" i="8"/>
  <c r="Q3831" i="8"/>
  <c r="R3831" i="8"/>
  <c r="S3831" i="8"/>
  <c r="T3831" i="8"/>
  <c r="E3832" i="8"/>
  <c r="F3832" i="8"/>
  <c r="G3832" i="8"/>
  <c r="H3832" i="8"/>
  <c r="I3832" i="8"/>
  <c r="J3832" i="8"/>
  <c r="K3832" i="8"/>
  <c r="L3832" i="8"/>
  <c r="M3832" i="8"/>
  <c r="N3832" i="8"/>
  <c r="O3832" i="8"/>
  <c r="P3832" i="8"/>
  <c r="Q3832" i="8"/>
  <c r="R3832" i="8"/>
  <c r="S3832" i="8"/>
  <c r="T3832" i="8"/>
  <c r="E3833" i="8"/>
  <c r="F3833" i="8"/>
  <c r="G3833" i="8"/>
  <c r="H3833" i="8"/>
  <c r="I3833" i="8"/>
  <c r="J3833" i="8"/>
  <c r="K3833" i="8"/>
  <c r="L3833" i="8"/>
  <c r="M3833" i="8"/>
  <c r="N3833" i="8"/>
  <c r="O3833" i="8"/>
  <c r="P3833" i="8"/>
  <c r="Q3833" i="8"/>
  <c r="R3833" i="8"/>
  <c r="S3833" i="8"/>
  <c r="T3833" i="8"/>
  <c r="E3834" i="8"/>
  <c r="F3834" i="8"/>
  <c r="G3834" i="8"/>
  <c r="H3834" i="8"/>
  <c r="I3834" i="8"/>
  <c r="J3834" i="8"/>
  <c r="K3834" i="8"/>
  <c r="L3834" i="8"/>
  <c r="M3834" i="8"/>
  <c r="N3834" i="8"/>
  <c r="O3834" i="8"/>
  <c r="P3834" i="8"/>
  <c r="Q3834" i="8"/>
  <c r="R3834" i="8"/>
  <c r="S3834" i="8"/>
  <c r="T3834" i="8"/>
  <c r="E353" i="7"/>
  <c r="F353" i="7"/>
  <c r="G353" i="7"/>
  <c r="H353" i="7"/>
  <c r="I353" i="7"/>
  <c r="J353" i="7"/>
  <c r="K353" i="7"/>
  <c r="L353" i="7"/>
  <c r="M353" i="7"/>
  <c r="N353" i="7"/>
  <c r="P353" i="7"/>
  <c r="Q353" i="7"/>
  <c r="R353" i="7"/>
  <c r="S353" i="7"/>
  <c r="U353" i="7"/>
  <c r="V353" i="7"/>
  <c r="W353" i="7"/>
  <c r="X353" i="7"/>
  <c r="Y353" i="7"/>
  <c r="Z353" i="7"/>
  <c r="AA353" i="7"/>
  <c r="AC353" i="7"/>
  <c r="AE353" i="7"/>
  <c r="AI353" i="7"/>
  <c r="AO353" i="7"/>
  <c r="AP353" i="7"/>
  <c r="E3813" i="8"/>
  <c r="F3813" i="8"/>
  <c r="G3813" i="8"/>
  <c r="H3813" i="8"/>
  <c r="I3813" i="8"/>
  <c r="J3813" i="8"/>
  <c r="K3813" i="8"/>
  <c r="L3813" i="8"/>
  <c r="M3813" i="8"/>
  <c r="N3813" i="8"/>
  <c r="O3813" i="8"/>
  <c r="P3813" i="8"/>
  <c r="Q3813" i="8"/>
  <c r="R3813" i="8"/>
  <c r="S3813" i="8"/>
  <c r="T3813" i="8"/>
  <c r="E3814" i="8"/>
  <c r="F3814" i="8"/>
  <c r="G3814" i="8"/>
  <c r="H3814" i="8"/>
  <c r="I3814" i="8"/>
  <c r="J3814" i="8"/>
  <c r="K3814" i="8"/>
  <c r="L3814" i="8"/>
  <c r="M3814" i="8"/>
  <c r="N3814" i="8"/>
  <c r="O3814" i="8"/>
  <c r="P3814" i="8"/>
  <c r="Q3814" i="8"/>
  <c r="R3814" i="8"/>
  <c r="S3814" i="8"/>
  <c r="T3814" i="8"/>
  <c r="E3815" i="8"/>
  <c r="F3815" i="8"/>
  <c r="G3815" i="8"/>
  <c r="H3815" i="8"/>
  <c r="I3815" i="8"/>
  <c r="J3815" i="8"/>
  <c r="K3815" i="8"/>
  <c r="L3815" i="8"/>
  <c r="M3815" i="8"/>
  <c r="N3815" i="8"/>
  <c r="O3815" i="8"/>
  <c r="P3815" i="8"/>
  <c r="Q3815" i="8"/>
  <c r="R3815" i="8"/>
  <c r="S3815" i="8"/>
  <c r="T3815" i="8"/>
  <c r="E3816" i="8"/>
  <c r="F3816" i="8"/>
  <c r="G3816" i="8"/>
  <c r="H3816" i="8"/>
  <c r="I3816" i="8"/>
  <c r="J3816" i="8"/>
  <c r="K3816" i="8"/>
  <c r="L3816" i="8"/>
  <c r="M3816" i="8"/>
  <c r="N3816" i="8"/>
  <c r="O3816" i="8"/>
  <c r="P3816" i="8"/>
  <c r="Q3816" i="8"/>
  <c r="R3816" i="8"/>
  <c r="S3816" i="8"/>
  <c r="T3816" i="8"/>
  <c r="E3817" i="8"/>
  <c r="F3817" i="8"/>
  <c r="G3817" i="8"/>
  <c r="H3817" i="8"/>
  <c r="I3817" i="8"/>
  <c r="J3817" i="8"/>
  <c r="K3817" i="8"/>
  <c r="L3817" i="8"/>
  <c r="M3817" i="8"/>
  <c r="N3817" i="8"/>
  <c r="O3817" i="8"/>
  <c r="P3817" i="8"/>
  <c r="Q3817" i="8"/>
  <c r="R3817" i="8"/>
  <c r="S3817" i="8"/>
  <c r="T3817" i="8"/>
  <c r="E3818" i="8"/>
  <c r="F3818" i="8"/>
  <c r="G3818" i="8"/>
  <c r="H3818" i="8"/>
  <c r="I3818" i="8"/>
  <c r="J3818" i="8"/>
  <c r="K3818" i="8"/>
  <c r="L3818" i="8"/>
  <c r="M3818" i="8"/>
  <c r="N3818" i="8"/>
  <c r="O3818" i="8"/>
  <c r="P3818" i="8"/>
  <c r="Q3818" i="8"/>
  <c r="R3818" i="8"/>
  <c r="S3818" i="8"/>
  <c r="T3818" i="8"/>
  <c r="E3819" i="8"/>
  <c r="F3819" i="8"/>
  <c r="G3819" i="8"/>
  <c r="H3819" i="8"/>
  <c r="I3819" i="8"/>
  <c r="J3819" i="8"/>
  <c r="K3819" i="8"/>
  <c r="L3819" i="8"/>
  <c r="M3819" i="8"/>
  <c r="N3819" i="8"/>
  <c r="O3819" i="8"/>
  <c r="P3819" i="8"/>
  <c r="Q3819" i="8"/>
  <c r="R3819" i="8"/>
  <c r="S3819" i="8"/>
  <c r="T3819" i="8"/>
  <c r="E3820" i="8"/>
  <c r="F3820" i="8"/>
  <c r="G3820" i="8"/>
  <c r="H3820" i="8"/>
  <c r="I3820" i="8"/>
  <c r="J3820" i="8"/>
  <c r="K3820" i="8"/>
  <c r="L3820" i="8"/>
  <c r="M3820" i="8"/>
  <c r="N3820" i="8"/>
  <c r="O3820" i="8"/>
  <c r="P3820" i="8"/>
  <c r="Q3820" i="8"/>
  <c r="R3820" i="8"/>
  <c r="S3820" i="8"/>
  <c r="T3820" i="8"/>
  <c r="E3821" i="8"/>
  <c r="F3821" i="8"/>
  <c r="G3821" i="8"/>
  <c r="H3821" i="8"/>
  <c r="I3821" i="8"/>
  <c r="J3821" i="8"/>
  <c r="K3821" i="8"/>
  <c r="L3821" i="8"/>
  <c r="M3821" i="8"/>
  <c r="N3821" i="8"/>
  <c r="O3821" i="8"/>
  <c r="P3821" i="8"/>
  <c r="Q3821" i="8"/>
  <c r="R3821" i="8"/>
  <c r="S3821" i="8"/>
  <c r="T3821" i="8"/>
  <c r="E3822" i="8"/>
  <c r="F3822" i="8"/>
  <c r="G3822" i="8"/>
  <c r="H3822" i="8"/>
  <c r="I3822" i="8"/>
  <c r="J3822" i="8"/>
  <c r="K3822" i="8"/>
  <c r="L3822" i="8"/>
  <c r="M3822" i="8"/>
  <c r="N3822" i="8"/>
  <c r="O3822" i="8"/>
  <c r="P3822" i="8"/>
  <c r="Q3822" i="8"/>
  <c r="R3822" i="8"/>
  <c r="S3822" i="8"/>
  <c r="T3822" i="8"/>
  <c r="E3823" i="8"/>
  <c r="F3823" i="8"/>
  <c r="E352" i="7"/>
  <c r="F352" i="7"/>
  <c r="G352" i="7"/>
  <c r="H352" i="7"/>
  <c r="I352" i="7"/>
  <c r="J352" i="7"/>
  <c r="E325" i="7"/>
  <c r="F325" i="7"/>
  <c r="G325" i="7"/>
  <c r="H325" i="7"/>
  <c r="I325" i="7"/>
  <c r="J325" i="7"/>
  <c r="K325" i="7"/>
  <c r="L325" i="7"/>
  <c r="M325" i="7"/>
  <c r="N325" i="7"/>
  <c r="P325" i="7"/>
  <c r="Q325" i="7"/>
  <c r="R325" i="7"/>
  <c r="S325" i="7"/>
  <c r="U325" i="7"/>
  <c r="V325" i="7"/>
  <c r="W325" i="7"/>
  <c r="X325" i="7"/>
  <c r="Y325" i="7"/>
  <c r="Z325" i="7"/>
  <c r="AA325" i="7"/>
  <c r="AC325" i="7"/>
  <c r="AE325" i="7"/>
  <c r="AI325" i="7"/>
  <c r="AO325" i="7"/>
  <c r="AP325" i="7"/>
  <c r="E3505" i="8"/>
  <c r="F3505" i="8"/>
  <c r="G3505" i="8"/>
  <c r="H3505" i="8"/>
  <c r="I3505" i="8"/>
  <c r="J3505" i="8"/>
  <c r="K3505" i="8"/>
  <c r="L3505" i="8"/>
  <c r="M3505" i="8"/>
  <c r="N3505" i="8"/>
  <c r="O3505" i="8"/>
  <c r="P3505" i="8"/>
  <c r="Q3505" i="8"/>
  <c r="R3505" i="8"/>
  <c r="S3505" i="8"/>
  <c r="T3505" i="8"/>
  <c r="E3506" i="8"/>
  <c r="F3506" i="8"/>
  <c r="G3506" i="8"/>
  <c r="H3506" i="8"/>
  <c r="I3506" i="8"/>
  <c r="J3506" i="8"/>
  <c r="K3506" i="8"/>
  <c r="L3506" i="8"/>
  <c r="M3506" i="8"/>
  <c r="N3506" i="8"/>
  <c r="O3506" i="8"/>
  <c r="P3506" i="8"/>
  <c r="Q3506" i="8"/>
  <c r="R3506" i="8"/>
  <c r="S3506" i="8"/>
  <c r="T3506" i="8"/>
  <c r="E3507" i="8"/>
  <c r="F3507" i="8"/>
  <c r="G3507" i="8"/>
  <c r="H3507" i="8"/>
  <c r="I3507" i="8"/>
  <c r="J3507" i="8"/>
  <c r="K3507" i="8"/>
  <c r="L3507" i="8"/>
  <c r="M3507" i="8"/>
  <c r="N3507" i="8"/>
  <c r="O3507" i="8"/>
  <c r="P3507" i="8"/>
  <c r="Q3507" i="8"/>
  <c r="R3507" i="8"/>
  <c r="S3507" i="8"/>
  <c r="T3507" i="8"/>
  <c r="E3508" i="8"/>
  <c r="F3508" i="8"/>
  <c r="G3508" i="8"/>
  <c r="H3508" i="8"/>
  <c r="I3508" i="8"/>
  <c r="J3508" i="8"/>
  <c r="K3508" i="8"/>
  <c r="L3508" i="8"/>
  <c r="M3508" i="8"/>
  <c r="N3508" i="8"/>
  <c r="O3508" i="8"/>
  <c r="P3508" i="8"/>
  <c r="Q3508" i="8"/>
  <c r="R3508" i="8"/>
  <c r="S3508" i="8"/>
  <c r="T3508" i="8"/>
  <c r="E3509" i="8"/>
  <c r="F3509" i="8"/>
  <c r="G3509" i="8"/>
  <c r="H3509" i="8"/>
  <c r="I3509" i="8"/>
  <c r="J3509" i="8"/>
  <c r="K3509" i="8"/>
  <c r="L3509" i="8"/>
  <c r="M3509" i="8"/>
  <c r="N3509" i="8"/>
  <c r="O3509" i="8"/>
  <c r="P3509" i="8"/>
  <c r="Q3509" i="8"/>
  <c r="R3509" i="8"/>
  <c r="S3509" i="8"/>
  <c r="T3509" i="8"/>
  <c r="E3510" i="8"/>
  <c r="F3510" i="8"/>
  <c r="G3510" i="8"/>
  <c r="H3510" i="8"/>
  <c r="I3510" i="8"/>
  <c r="J3510" i="8"/>
  <c r="K3510" i="8"/>
  <c r="L3510" i="8"/>
  <c r="M3510" i="8"/>
  <c r="N3510" i="8"/>
  <c r="O3510" i="8"/>
  <c r="P3510" i="8"/>
  <c r="Q3510" i="8"/>
  <c r="R3510" i="8"/>
  <c r="S3510" i="8"/>
  <c r="T3510" i="8"/>
  <c r="E3511" i="8"/>
  <c r="F3511" i="8"/>
  <c r="G3511" i="8"/>
  <c r="H3511" i="8"/>
  <c r="I3511" i="8"/>
  <c r="J3511" i="8"/>
  <c r="K3511" i="8"/>
  <c r="L3511" i="8"/>
  <c r="M3511" i="8"/>
  <c r="N3511" i="8"/>
  <c r="O3511" i="8"/>
  <c r="P3511" i="8"/>
  <c r="Q3511" i="8"/>
  <c r="R3511" i="8"/>
  <c r="S3511" i="8"/>
  <c r="T3511" i="8"/>
  <c r="E3512" i="8"/>
  <c r="F3512" i="8"/>
  <c r="G3512" i="8"/>
  <c r="H3512" i="8"/>
  <c r="I3512" i="8"/>
  <c r="J3512" i="8"/>
  <c r="K3512" i="8"/>
  <c r="L3512" i="8"/>
  <c r="M3512" i="8"/>
  <c r="N3512" i="8"/>
  <c r="O3512" i="8"/>
  <c r="P3512" i="8"/>
  <c r="Q3512" i="8"/>
  <c r="R3512" i="8"/>
  <c r="S3512" i="8"/>
  <c r="T3512" i="8"/>
  <c r="E3513" i="8"/>
  <c r="F3513" i="8"/>
  <c r="G3513" i="8"/>
  <c r="H3513" i="8"/>
  <c r="I3513" i="8"/>
  <c r="J3513" i="8"/>
  <c r="K3513" i="8"/>
  <c r="L3513" i="8"/>
  <c r="M3513" i="8"/>
  <c r="N3513" i="8"/>
  <c r="O3513" i="8"/>
  <c r="P3513" i="8"/>
  <c r="Q3513" i="8"/>
  <c r="R3513" i="8"/>
  <c r="S3513" i="8"/>
  <c r="T3513" i="8"/>
  <c r="E3514" i="8"/>
  <c r="F3514" i="8"/>
  <c r="G3514" i="8"/>
  <c r="H3514" i="8"/>
  <c r="I3514" i="8"/>
  <c r="J3514" i="8"/>
  <c r="K3514" i="8"/>
  <c r="L3514" i="8"/>
  <c r="M3514" i="8"/>
  <c r="N3514" i="8"/>
  <c r="O3514" i="8"/>
  <c r="P3514" i="8"/>
  <c r="Q3514" i="8"/>
  <c r="R3514" i="8"/>
  <c r="S3514" i="8"/>
  <c r="T3514" i="8"/>
  <c r="E3515" i="8"/>
  <c r="F3515" i="8"/>
  <c r="G3515" i="8"/>
  <c r="H3515" i="8"/>
  <c r="I3515" i="8"/>
  <c r="J3515" i="8"/>
  <c r="K3515" i="8"/>
  <c r="L3515" i="8"/>
  <c r="M3515" i="8"/>
  <c r="N3515" i="8"/>
  <c r="O3515" i="8"/>
  <c r="P3515" i="8"/>
  <c r="Q3515" i="8"/>
  <c r="R3515" i="8"/>
  <c r="S3515" i="8"/>
  <c r="T3515" i="8"/>
  <c r="E324" i="7"/>
  <c r="F324" i="7"/>
  <c r="G324" i="7"/>
  <c r="H324" i="7"/>
  <c r="I324" i="7"/>
  <c r="J324" i="7"/>
  <c r="K324" i="7"/>
  <c r="L324" i="7"/>
  <c r="M324" i="7"/>
  <c r="N324" i="7"/>
  <c r="P324" i="7"/>
  <c r="Q324" i="7"/>
  <c r="R324" i="7"/>
  <c r="S324" i="7"/>
  <c r="U324" i="7"/>
  <c r="V324" i="7"/>
  <c r="W324" i="7"/>
  <c r="X324" i="7"/>
  <c r="Y324" i="7"/>
  <c r="Z324" i="7"/>
  <c r="AA324" i="7"/>
  <c r="AC324" i="7"/>
  <c r="AE324" i="7"/>
  <c r="AI324" i="7"/>
  <c r="AO324" i="7"/>
  <c r="AP324" i="7"/>
  <c r="E3494" i="8"/>
  <c r="F3494" i="8"/>
  <c r="G3494" i="8"/>
  <c r="H3494" i="8"/>
  <c r="I3494" i="8"/>
  <c r="J3494" i="8"/>
  <c r="K3494" i="8"/>
  <c r="L3494" i="8"/>
  <c r="M3494" i="8"/>
  <c r="N3494" i="8"/>
  <c r="O3494" i="8"/>
  <c r="P3494" i="8"/>
  <c r="Q3494" i="8"/>
  <c r="R3494" i="8"/>
  <c r="S3494" i="8"/>
  <c r="T3494" i="8"/>
  <c r="E3495" i="8"/>
  <c r="F3495" i="8"/>
  <c r="G3495" i="8"/>
  <c r="H3495" i="8"/>
  <c r="I3495" i="8"/>
  <c r="J3495" i="8"/>
  <c r="K3495" i="8"/>
  <c r="L3495" i="8"/>
  <c r="M3495" i="8"/>
  <c r="N3495" i="8"/>
  <c r="O3495" i="8"/>
  <c r="P3495" i="8"/>
  <c r="Q3495" i="8"/>
  <c r="R3495" i="8"/>
  <c r="S3495" i="8"/>
  <c r="T3495" i="8"/>
  <c r="E3496" i="8"/>
  <c r="F3496" i="8"/>
  <c r="G3496" i="8"/>
  <c r="H3496" i="8"/>
  <c r="I3496" i="8"/>
  <c r="J3496" i="8"/>
  <c r="K3496" i="8"/>
  <c r="L3496" i="8"/>
  <c r="M3496" i="8"/>
  <c r="N3496" i="8"/>
  <c r="O3496" i="8"/>
  <c r="P3496" i="8"/>
  <c r="Q3496" i="8"/>
  <c r="R3496" i="8"/>
  <c r="S3496" i="8"/>
  <c r="T3496" i="8"/>
  <c r="E3497" i="8"/>
  <c r="F3497" i="8"/>
  <c r="G3497" i="8"/>
  <c r="H3497" i="8"/>
  <c r="I3497" i="8"/>
  <c r="J3497" i="8"/>
  <c r="K3497" i="8"/>
  <c r="L3497" i="8"/>
  <c r="M3497" i="8"/>
  <c r="N3497" i="8"/>
  <c r="O3497" i="8"/>
  <c r="P3497" i="8"/>
  <c r="Q3497" i="8"/>
  <c r="R3497" i="8"/>
  <c r="S3497" i="8"/>
  <c r="T3497" i="8"/>
  <c r="E3498" i="8"/>
  <c r="F3498" i="8"/>
  <c r="G3498" i="8"/>
  <c r="H3498" i="8"/>
  <c r="I3498" i="8"/>
  <c r="J3498" i="8"/>
  <c r="K3498" i="8"/>
  <c r="L3498" i="8"/>
  <c r="M3498" i="8"/>
  <c r="N3498" i="8"/>
  <c r="O3498" i="8"/>
  <c r="P3498" i="8"/>
  <c r="Q3498" i="8"/>
  <c r="R3498" i="8"/>
  <c r="S3498" i="8"/>
  <c r="T3498" i="8"/>
  <c r="E3499" i="8"/>
  <c r="F3499" i="8"/>
  <c r="G3499" i="8"/>
  <c r="H3499" i="8"/>
  <c r="I3499" i="8"/>
  <c r="J3499" i="8"/>
  <c r="K3499" i="8"/>
  <c r="L3499" i="8"/>
  <c r="M3499" i="8"/>
  <c r="N3499" i="8"/>
  <c r="O3499" i="8"/>
  <c r="P3499" i="8"/>
  <c r="Q3499" i="8"/>
  <c r="R3499" i="8"/>
  <c r="S3499" i="8"/>
  <c r="T3499" i="8"/>
  <c r="E3500" i="8"/>
  <c r="F3500" i="8"/>
  <c r="G3500" i="8"/>
  <c r="H3500" i="8"/>
  <c r="I3500" i="8"/>
  <c r="J3500" i="8"/>
  <c r="K3500" i="8"/>
  <c r="L3500" i="8"/>
  <c r="M3500" i="8"/>
  <c r="N3500" i="8"/>
  <c r="O3500" i="8"/>
  <c r="P3500" i="8"/>
  <c r="Q3500" i="8"/>
  <c r="R3500" i="8"/>
  <c r="S3500" i="8"/>
  <c r="T3500" i="8"/>
  <c r="E3501" i="8"/>
  <c r="F3501" i="8"/>
  <c r="G3501" i="8"/>
  <c r="H3501" i="8"/>
  <c r="I3501" i="8"/>
  <c r="J3501" i="8"/>
  <c r="K3501" i="8"/>
  <c r="L3501" i="8"/>
  <c r="M3501" i="8"/>
  <c r="N3501" i="8"/>
  <c r="O3501" i="8"/>
  <c r="P3501" i="8"/>
  <c r="Q3501" i="8"/>
  <c r="R3501" i="8"/>
  <c r="S3501" i="8"/>
  <c r="T3501" i="8"/>
  <c r="E3502" i="8"/>
  <c r="F3502" i="8"/>
  <c r="G3502" i="8"/>
  <c r="H3502" i="8"/>
  <c r="I3502" i="8"/>
  <c r="J3502" i="8"/>
  <c r="K3502" i="8"/>
  <c r="L3502" i="8"/>
  <c r="M3502" i="8"/>
  <c r="N3502" i="8"/>
  <c r="O3502" i="8"/>
  <c r="P3502" i="8"/>
  <c r="Q3502" i="8"/>
  <c r="R3502" i="8"/>
  <c r="S3502" i="8"/>
  <c r="T3502" i="8"/>
  <c r="E3503" i="8"/>
  <c r="F3503" i="8"/>
  <c r="G3503" i="8"/>
  <c r="H3503" i="8"/>
  <c r="I3503" i="8"/>
  <c r="J3503" i="8"/>
  <c r="K3503" i="8"/>
  <c r="L3503" i="8"/>
  <c r="M3503" i="8"/>
  <c r="N3503" i="8"/>
  <c r="O3503" i="8"/>
  <c r="P3503" i="8"/>
  <c r="Q3503" i="8"/>
  <c r="R3503" i="8"/>
  <c r="S3503" i="8"/>
  <c r="T3503" i="8"/>
  <c r="E3504" i="8"/>
  <c r="F3504" i="8"/>
  <c r="G3504" i="8"/>
  <c r="H3504" i="8"/>
  <c r="I3504" i="8"/>
  <c r="J3504" i="8"/>
  <c r="K3504" i="8"/>
  <c r="L3504" i="8"/>
  <c r="M3504" i="8"/>
  <c r="N3504" i="8"/>
  <c r="O3504" i="8"/>
  <c r="P3504" i="8"/>
  <c r="Q3504" i="8"/>
  <c r="R3504" i="8"/>
  <c r="S3504" i="8"/>
  <c r="T3504" i="8"/>
  <c r="E323" i="7"/>
  <c r="F323" i="7"/>
  <c r="G323" i="7"/>
  <c r="H323" i="7"/>
  <c r="I323" i="7"/>
  <c r="J323" i="7"/>
  <c r="K323" i="7"/>
  <c r="L323" i="7"/>
  <c r="M323" i="7"/>
  <c r="N323" i="7"/>
  <c r="P323" i="7"/>
  <c r="Q323" i="7"/>
  <c r="R323" i="7"/>
  <c r="S323" i="7"/>
  <c r="U323" i="7"/>
  <c r="V323" i="7"/>
  <c r="W323" i="7"/>
  <c r="X323" i="7"/>
  <c r="Y323" i="7"/>
  <c r="Z323" i="7"/>
  <c r="AA323" i="7"/>
  <c r="AC323" i="7"/>
  <c r="AE323" i="7"/>
  <c r="AI323" i="7"/>
  <c r="AO323" i="7"/>
  <c r="AP323" i="7"/>
  <c r="E3483" i="8"/>
  <c r="F3483" i="8"/>
  <c r="G3483" i="8"/>
  <c r="H3483" i="8"/>
  <c r="I3483" i="8"/>
  <c r="J3483" i="8"/>
  <c r="K3483" i="8"/>
  <c r="L3483" i="8"/>
  <c r="M3483" i="8"/>
  <c r="N3483" i="8"/>
  <c r="O3483" i="8"/>
  <c r="P3483" i="8"/>
  <c r="Q3483" i="8"/>
  <c r="R3483" i="8"/>
  <c r="S3483" i="8"/>
  <c r="T3483" i="8"/>
  <c r="E3484" i="8"/>
  <c r="F3484" i="8"/>
  <c r="G3484" i="8"/>
  <c r="H3484" i="8"/>
  <c r="I3484" i="8"/>
  <c r="J3484" i="8"/>
  <c r="K3484" i="8"/>
  <c r="L3484" i="8"/>
  <c r="M3484" i="8"/>
  <c r="N3484" i="8"/>
  <c r="O3484" i="8"/>
  <c r="P3484" i="8"/>
  <c r="Q3484" i="8"/>
  <c r="R3484" i="8"/>
  <c r="S3484" i="8"/>
  <c r="T3484" i="8"/>
  <c r="E3485" i="8"/>
  <c r="F3485" i="8"/>
  <c r="G3485" i="8"/>
  <c r="H3485" i="8"/>
  <c r="I3485" i="8"/>
  <c r="J3485" i="8"/>
  <c r="K3485" i="8"/>
  <c r="L3485" i="8"/>
  <c r="M3485" i="8"/>
  <c r="N3485" i="8"/>
  <c r="O3485" i="8"/>
  <c r="P3485" i="8"/>
  <c r="Q3485" i="8"/>
  <c r="R3485" i="8"/>
  <c r="S3485" i="8"/>
  <c r="T3485" i="8"/>
  <c r="E3486" i="8"/>
  <c r="F3486" i="8"/>
  <c r="G3486" i="8"/>
  <c r="H3486" i="8"/>
  <c r="I3486" i="8"/>
  <c r="J3486" i="8"/>
  <c r="K3486" i="8"/>
  <c r="L3486" i="8"/>
  <c r="M3486" i="8"/>
  <c r="N3486" i="8"/>
  <c r="O3486" i="8"/>
  <c r="P3486" i="8"/>
  <c r="Q3486" i="8"/>
  <c r="R3486" i="8"/>
  <c r="S3486" i="8"/>
  <c r="T3486" i="8"/>
  <c r="E3487" i="8"/>
  <c r="F3487" i="8"/>
  <c r="G3487" i="8"/>
  <c r="H3487" i="8"/>
  <c r="I3487" i="8"/>
  <c r="J3487" i="8"/>
  <c r="K3487" i="8"/>
  <c r="L3487" i="8"/>
  <c r="M3487" i="8"/>
  <c r="N3487" i="8"/>
  <c r="O3487" i="8"/>
  <c r="P3487" i="8"/>
  <c r="Q3487" i="8"/>
  <c r="R3487" i="8"/>
  <c r="S3487" i="8"/>
  <c r="T3487" i="8"/>
  <c r="E3488" i="8"/>
  <c r="F3488" i="8"/>
  <c r="G3488" i="8"/>
  <c r="H3488" i="8"/>
  <c r="I3488" i="8"/>
  <c r="J3488" i="8"/>
  <c r="K3488" i="8"/>
  <c r="L3488" i="8"/>
  <c r="M3488" i="8"/>
  <c r="N3488" i="8"/>
  <c r="O3488" i="8"/>
  <c r="P3488" i="8"/>
  <c r="Q3488" i="8"/>
  <c r="R3488" i="8"/>
  <c r="S3488" i="8"/>
  <c r="T3488" i="8"/>
  <c r="E3489" i="8"/>
  <c r="F3489" i="8"/>
  <c r="G3489" i="8"/>
  <c r="H3489" i="8"/>
  <c r="I3489" i="8"/>
  <c r="J3489" i="8"/>
  <c r="K3489" i="8"/>
  <c r="L3489" i="8"/>
  <c r="M3489" i="8"/>
  <c r="N3489" i="8"/>
  <c r="O3489" i="8"/>
  <c r="P3489" i="8"/>
  <c r="Q3489" i="8"/>
  <c r="R3489" i="8"/>
  <c r="S3489" i="8"/>
  <c r="T3489" i="8"/>
  <c r="E3490" i="8"/>
  <c r="F3490" i="8"/>
  <c r="G3490" i="8"/>
  <c r="H3490" i="8"/>
  <c r="I3490" i="8"/>
  <c r="J3490" i="8"/>
  <c r="K3490" i="8"/>
  <c r="L3490" i="8"/>
  <c r="M3490" i="8"/>
  <c r="N3490" i="8"/>
  <c r="O3490" i="8"/>
  <c r="P3490" i="8"/>
  <c r="Q3490" i="8"/>
  <c r="R3490" i="8"/>
  <c r="S3490" i="8"/>
  <c r="T3490" i="8"/>
  <c r="E3491" i="8"/>
  <c r="F3491" i="8"/>
  <c r="G3491" i="8"/>
  <c r="H3491" i="8"/>
  <c r="I3491" i="8"/>
  <c r="J3491" i="8"/>
  <c r="K3491" i="8"/>
  <c r="L3491" i="8"/>
  <c r="M3491" i="8"/>
  <c r="N3491" i="8"/>
  <c r="O3491" i="8"/>
  <c r="P3491" i="8"/>
  <c r="Q3491" i="8"/>
  <c r="R3491" i="8"/>
  <c r="S3491" i="8"/>
  <c r="T3491" i="8"/>
  <c r="E3492" i="8"/>
  <c r="F3492" i="8"/>
  <c r="E289" i="7"/>
  <c r="G289" i="7"/>
  <c r="J289" i="7"/>
  <c r="L289" i="7"/>
  <c r="N289" i="7"/>
  <c r="P289" i="7"/>
  <c r="R289" i="7"/>
  <c r="U289" i="7"/>
  <c r="W289" i="7"/>
  <c r="Y289" i="7"/>
  <c r="AA289" i="7"/>
  <c r="AC289" i="7"/>
  <c r="AO289" i="7"/>
  <c r="F289" i="7"/>
  <c r="H289" i="7"/>
  <c r="I289" i="7"/>
  <c r="K289" i="7"/>
  <c r="M289" i="7"/>
  <c r="Q289" i="7"/>
  <c r="S289" i="7"/>
  <c r="V289" i="7"/>
  <c r="X289" i="7"/>
  <c r="Z289" i="7"/>
  <c r="AE289" i="7"/>
  <c r="AI289" i="7"/>
  <c r="AP289" i="7"/>
  <c r="E3109" i="8"/>
  <c r="F3109" i="8"/>
  <c r="G3109" i="8"/>
  <c r="H3109" i="8"/>
  <c r="I3109" i="8"/>
  <c r="J3109" i="8"/>
  <c r="K3109" i="8"/>
  <c r="L3109" i="8"/>
  <c r="M3109" i="8"/>
  <c r="N3109" i="8"/>
  <c r="O3109" i="8"/>
  <c r="P3109" i="8"/>
  <c r="Q3109" i="8"/>
  <c r="R3109" i="8"/>
  <c r="S3109" i="8"/>
  <c r="T3109" i="8"/>
  <c r="E3110" i="8"/>
  <c r="F3110" i="8"/>
  <c r="G3110" i="8"/>
  <c r="H3110" i="8"/>
  <c r="I3110" i="8"/>
  <c r="J3110" i="8"/>
  <c r="K3110" i="8"/>
  <c r="L3110" i="8"/>
  <c r="M3110" i="8"/>
  <c r="N3110" i="8"/>
  <c r="O3110" i="8"/>
  <c r="P3110" i="8"/>
  <c r="Q3110" i="8"/>
  <c r="R3110" i="8"/>
  <c r="S3110" i="8"/>
  <c r="T3110" i="8"/>
  <c r="E3111" i="8"/>
  <c r="F3111" i="8"/>
  <c r="G3111" i="8"/>
  <c r="H3111" i="8"/>
  <c r="I3111" i="8"/>
  <c r="J3111" i="8"/>
  <c r="K3111" i="8"/>
  <c r="L3111" i="8"/>
  <c r="M3111" i="8"/>
  <c r="N3111" i="8"/>
  <c r="O3111" i="8"/>
  <c r="P3111" i="8"/>
  <c r="Q3111" i="8"/>
  <c r="R3111" i="8"/>
  <c r="S3111" i="8"/>
  <c r="T3111" i="8"/>
  <c r="E3112" i="8"/>
  <c r="F3112" i="8"/>
  <c r="G3112" i="8"/>
  <c r="H3112" i="8"/>
  <c r="I3112" i="8"/>
  <c r="J3112" i="8"/>
  <c r="K3112" i="8"/>
  <c r="L3112" i="8"/>
  <c r="M3112" i="8"/>
  <c r="N3112" i="8"/>
  <c r="O3112" i="8"/>
  <c r="P3112" i="8"/>
  <c r="Q3112" i="8"/>
  <c r="R3112" i="8"/>
  <c r="S3112" i="8"/>
  <c r="T3112" i="8"/>
  <c r="E3113" i="8"/>
  <c r="F3113" i="8"/>
  <c r="G3113" i="8"/>
  <c r="H3113" i="8"/>
  <c r="I3113" i="8"/>
  <c r="J3113" i="8"/>
  <c r="K3113" i="8"/>
  <c r="L3113" i="8"/>
  <c r="M3113" i="8"/>
  <c r="N3113" i="8"/>
  <c r="O3113" i="8"/>
  <c r="P3113" i="8"/>
  <c r="Q3113" i="8"/>
  <c r="R3113" i="8"/>
  <c r="S3113" i="8"/>
  <c r="T3113" i="8"/>
  <c r="E3114" i="8"/>
  <c r="F3114" i="8"/>
  <c r="G3114" i="8"/>
  <c r="H3114" i="8"/>
  <c r="I3114" i="8"/>
  <c r="J3114" i="8"/>
  <c r="K3114" i="8"/>
  <c r="L3114" i="8"/>
  <c r="M3114" i="8"/>
  <c r="N3114" i="8"/>
  <c r="O3114" i="8"/>
  <c r="P3114" i="8"/>
  <c r="Q3114" i="8"/>
  <c r="R3114" i="8"/>
  <c r="S3114" i="8"/>
  <c r="T3114" i="8"/>
  <c r="E3115" i="8"/>
  <c r="F3115" i="8"/>
  <c r="G3115" i="8"/>
  <c r="H3115" i="8"/>
  <c r="I3115" i="8"/>
  <c r="J3115" i="8"/>
  <c r="K3115" i="8"/>
  <c r="L3115" i="8"/>
  <c r="M3115" i="8"/>
  <c r="N3115" i="8"/>
  <c r="O3115" i="8"/>
  <c r="P3115" i="8"/>
  <c r="Q3115" i="8"/>
  <c r="R3115" i="8"/>
  <c r="S3115" i="8"/>
  <c r="T3115" i="8"/>
  <c r="E3116" i="8"/>
  <c r="F3116" i="8"/>
  <c r="G3116" i="8"/>
  <c r="H3116" i="8"/>
  <c r="I3116" i="8"/>
  <c r="J3116" i="8"/>
  <c r="K3116" i="8"/>
  <c r="L3116" i="8"/>
  <c r="M3116" i="8"/>
  <c r="N3116" i="8"/>
  <c r="O3116" i="8"/>
  <c r="P3116" i="8"/>
  <c r="Q3116" i="8"/>
  <c r="R3116" i="8"/>
  <c r="S3116" i="8"/>
  <c r="T3116" i="8"/>
  <c r="E3117" i="8"/>
  <c r="F3117" i="8"/>
  <c r="G3117" i="8"/>
  <c r="H3117" i="8"/>
  <c r="I3117" i="8"/>
  <c r="J3117" i="8"/>
  <c r="K3117" i="8"/>
  <c r="L3117" i="8"/>
  <c r="M3117" i="8"/>
  <c r="N3117" i="8"/>
  <c r="O3117" i="8"/>
  <c r="P3117" i="8"/>
  <c r="Q3117" i="8"/>
  <c r="R3117" i="8"/>
  <c r="S3117" i="8"/>
  <c r="T3117" i="8"/>
  <c r="E3118" i="8"/>
  <c r="F3118" i="8"/>
  <c r="G3118" i="8"/>
  <c r="H3118" i="8"/>
  <c r="I3118" i="8"/>
  <c r="J3118" i="8"/>
  <c r="K3118" i="8"/>
  <c r="L3118" i="8"/>
  <c r="M3118" i="8"/>
  <c r="N3118" i="8"/>
  <c r="O3118" i="8"/>
  <c r="P3118" i="8"/>
  <c r="Q3118" i="8"/>
  <c r="R3118" i="8"/>
  <c r="S3118" i="8"/>
  <c r="T3118" i="8"/>
  <c r="E3119" i="8"/>
  <c r="F3119" i="8"/>
  <c r="G3119" i="8"/>
  <c r="H3119" i="8"/>
  <c r="I3119" i="8"/>
  <c r="J3119" i="8"/>
  <c r="K3119" i="8"/>
  <c r="L3119" i="8"/>
  <c r="M3119" i="8"/>
  <c r="N3119" i="8"/>
  <c r="O3119" i="8"/>
  <c r="P3119" i="8"/>
  <c r="Q3119" i="8"/>
  <c r="R3119" i="8"/>
  <c r="S3119" i="8"/>
  <c r="T3119" i="8"/>
  <c r="E288" i="7"/>
  <c r="F288" i="7"/>
  <c r="G288" i="7"/>
  <c r="H288" i="7"/>
  <c r="I288" i="7"/>
  <c r="J288" i="7"/>
  <c r="K288" i="7"/>
  <c r="L288" i="7"/>
  <c r="N288" i="7"/>
  <c r="R288" i="7"/>
  <c r="V288" i="7"/>
  <c r="Y288" i="7"/>
  <c r="AA288" i="7"/>
  <c r="AO288" i="7"/>
  <c r="AP288" i="7"/>
  <c r="P288" i="7"/>
  <c r="Q288" i="7"/>
  <c r="S288" i="7"/>
  <c r="U288" i="7"/>
  <c r="W288" i="7"/>
  <c r="M288" i="7"/>
  <c r="X288" i="7"/>
  <c r="AE288" i="7"/>
  <c r="AI288" i="7"/>
  <c r="E3098" i="8"/>
  <c r="F3098" i="8"/>
  <c r="G3098" i="8"/>
  <c r="H3098" i="8"/>
  <c r="I3098" i="8"/>
  <c r="J3098" i="8"/>
  <c r="K3098" i="8"/>
  <c r="L3098" i="8"/>
  <c r="M3098" i="8"/>
  <c r="N3098" i="8"/>
  <c r="O3098" i="8"/>
  <c r="P3098" i="8"/>
  <c r="Q3098" i="8"/>
  <c r="R3098" i="8"/>
  <c r="S3098" i="8"/>
  <c r="T3098" i="8"/>
  <c r="E3099" i="8"/>
  <c r="F3099" i="8"/>
  <c r="G3099" i="8"/>
  <c r="H3099" i="8"/>
  <c r="I3099" i="8"/>
  <c r="J3099" i="8"/>
  <c r="K3099" i="8"/>
  <c r="L3099" i="8"/>
  <c r="M3099" i="8"/>
  <c r="N3099" i="8"/>
  <c r="O3099" i="8"/>
  <c r="P3099" i="8"/>
  <c r="Q3099" i="8"/>
  <c r="R3099" i="8"/>
  <c r="S3099" i="8"/>
  <c r="T3099" i="8"/>
  <c r="E3100" i="8"/>
  <c r="F3100" i="8"/>
  <c r="G3100" i="8"/>
  <c r="H3100" i="8"/>
  <c r="I3100" i="8"/>
  <c r="J3100" i="8"/>
  <c r="K3100" i="8"/>
  <c r="L3100" i="8"/>
  <c r="M3100" i="8"/>
  <c r="N3100" i="8"/>
  <c r="O3100" i="8"/>
  <c r="P3100" i="8"/>
  <c r="Q3100" i="8"/>
  <c r="R3100" i="8"/>
  <c r="S3100" i="8"/>
  <c r="T3100" i="8"/>
  <c r="E3101" i="8"/>
  <c r="F3101" i="8"/>
  <c r="G3101" i="8"/>
  <c r="H3101" i="8"/>
  <c r="I3101" i="8"/>
  <c r="J3101" i="8"/>
  <c r="K3101" i="8"/>
  <c r="L3101" i="8"/>
  <c r="M3101" i="8"/>
  <c r="N3101" i="8"/>
  <c r="O3101" i="8"/>
  <c r="P3101" i="8"/>
  <c r="Q3101" i="8"/>
  <c r="R3101" i="8"/>
  <c r="S3101" i="8"/>
  <c r="T3101" i="8"/>
  <c r="E3102" i="8"/>
  <c r="F3102" i="8"/>
  <c r="G3102" i="8"/>
  <c r="H3102" i="8"/>
  <c r="I3102" i="8"/>
  <c r="J3102" i="8"/>
  <c r="K3102" i="8"/>
  <c r="L3102" i="8"/>
  <c r="M3102" i="8"/>
  <c r="N3102" i="8"/>
  <c r="O3102" i="8"/>
  <c r="P3102" i="8"/>
  <c r="Q3102" i="8"/>
  <c r="R3102" i="8"/>
  <c r="S3102" i="8"/>
  <c r="T3102" i="8"/>
  <c r="E3103" i="8"/>
  <c r="F3103" i="8"/>
  <c r="G3103" i="8"/>
  <c r="H3103" i="8"/>
  <c r="I3103" i="8"/>
  <c r="J3103" i="8"/>
  <c r="K3103" i="8"/>
  <c r="L3103" i="8"/>
  <c r="M3103" i="8"/>
  <c r="N3103" i="8"/>
  <c r="O3103" i="8"/>
  <c r="P3103" i="8"/>
  <c r="Q3103" i="8"/>
  <c r="R3103" i="8"/>
  <c r="S3103" i="8"/>
  <c r="T3103" i="8"/>
  <c r="E3104" i="8"/>
  <c r="F3104" i="8"/>
  <c r="G3104" i="8"/>
  <c r="H3104" i="8"/>
  <c r="I3104" i="8"/>
  <c r="J3104" i="8"/>
  <c r="K3104" i="8"/>
  <c r="L3104" i="8"/>
  <c r="M3104" i="8"/>
  <c r="N3104" i="8"/>
  <c r="O3104" i="8"/>
  <c r="P3104" i="8"/>
  <c r="Q3104" i="8"/>
  <c r="R3104" i="8"/>
  <c r="S3104" i="8"/>
  <c r="T3104" i="8"/>
  <c r="E3105" i="8"/>
  <c r="F3105" i="8"/>
  <c r="G3105" i="8"/>
  <c r="H3105" i="8"/>
  <c r="I3105" i="8"/>
  <c r="J3105" i="8"/>
  <c r="K3105" i="8"/>
  <c r="L3105" i="8"/>
  <c r="M3105" i="8"/>
  <c r="N3105" i="8"/>
  <c r="O3105" i="8"/>
  <c r="P3105" i="8"/>
  <c r="Q3105" i="8"/>
  <c r="R3105" i="8"/>
  <c r="S3105" i="8"/>
  <c r="T3105" i="8"/>
  <c r="E3106" i="8"/>
  <c r="F3106" i="8"/>
  <c r="G3106" i="8"/>
  <c r="H3106" i="8"/>
  <c r="I3106" i="8"/>
  <c r="J3106" i="8"/>
  <c r="K3106" i="8"/>
  <c r="L3106" i="8"/>
  <c r="M3106" i="8"/>
  <c r="N3106" i="8"/>
  <c r="O3106" i="8"/>
  <c r="P3106" i="8"/>
  <c r="Q3106" i="8"/>
  <c r="R3106" i="8"/>
  <c r="S3106" i="8"/>
  <c r="T3106" i="8"/>
  <c r="E3107" i="8"/>
  <c r="F3107" i="8"/>
  <c r="G3107" i="8"/>
  <c r="H3107" i="8"/>
  <c r="I3107" i="8"/>
  <c r="J3107" i="8"/>
  <c r="K3107" i="8"/>
  <c r="L3107" i="8"/>
  <c r="M3107" i="8"/>
  <c r="N3107" i="8"/>
  <c r="O3107" i="8"/>
  <c r="P3107" i="8"/>
  <c r="Q3107" i="8"/>
  <c r="R3107" i="8"/>
  <c r="S3107" i="8"/>
  <c r="T3107" i="8"/>
  <c r="E3108" i="8"/>
  <c r="F3108" i="8"/>
  <c r="G3108" i="8"/>
  <c r="H3108" i="8"/>
  <c r="I3108" i="8"/>
  <c r="J3108" i="8"/>
  <c r="K3108" i="8"/>
  <c r="L3108" i="8"/>
  <c r="M3108" i="8"/>
  <c r="N3108" i="8"/>
  <c r="O3108" i="8"/>
  <c r="P3108" i="8"/>
  <c r="Q3108" i="8"/>
  <c r="R3108" i="8"/>
  <c r="S3108" i="8"/>
  <c r="T3108" i="8"/>
  <c r="E287" i="7"/>
  <c r="F287" i="7"/>
  <c r="G287" i="7"/>
  <c r="H287" i="7"/>
  <c r="I287" i="7"/>
  <c r="J287" i="7"/>
  <c r="K287" i="7"/>
  <c r="L287" i="7"/>
  <c r="M287" i="7"/>
  <c r="N287" i="7"/>
  <c r="P287" i="7"/>
  <c r="Q287" i="7"/>
  <c r="R287" i="7"/>
  <c r="S287" i="7"/>
  <c r="U287" i="7"/>
  <c r="V287" i="7"/>
  <c r="W287" i="7"/>
  <c r="X287" i="7"/>
  <c r="Y287" i="7"/>
  <c r="Z287" i="7"/>
  <c r="AA287" i="7"/>
  <c r="AC287" i="7"/>
  <c r="AE287" i="7"/>
  <c r="AI287" i="7"/>
  <c r="AO287" i="7"/>
  <c r="AP287" i="7"/>
  <c r="E3087" i="8"/>
  <c r="F3087" i="8"/>
  <c r="G3087" i="8"/>
  <c r="H3087" i="8"/>
  <c r="I3087" i="8"/>
  <c r="J3087" i="8"/>
  <c r="K3087" i="8"/>
  <c r="L3087" i="8"/>
  <c r="M3087" i="8"/>
  <c r="N3087" i="8"/>
  <c r="O3087" i="8"/>
  <c r="P3087" i="8"/>
  <c r="Q3087" i="8"/>
  <c r="R3087" i="8"/>
  <c r="S3087" i="8"/>
  <c r="T3087" i="8"/>
  <c r="E3088" i="8"/>
  <c r="F3088" i="8"/>
  <c r="G3088" i="8"/>
  <c r="H3088" i="8"/>
  <c r="I3088" i="8"/>
  <c r="J3088" i="8"/>
  <c r="K3088" i="8"/>
  <c r="L3088" i="8"/>
  <c r="M3088" i="8"/>
  <c r="N3088" i="8"/>
  <c r="O3088" i="8"/>
  <c r="P3088" i="8"/>
  <c r="Q3088" i="8"/>
  <c r="R3088" i="8"/>
  <c r="S3088" i="8"/>
  <c r="T3088" i="8"/>
  <c r="E3089" i="8"/>
  <c r="F3089" i="8"/>
  <c r="G3089" i="8"/>
  <c r="H3089" i="8"/>
  <c r="I3089" i="8"/>
  <c r="J3089" i="8"/>
  <c r="K3089" i="8"/>
  <c r="L3089" i="8"/>
  <c r="M3089" i="8"/>
  <c r="N3089" i="8"/>
  <c r="O3089" i="8"/>
  <c r="P3089" i="8"/>
  <c r="Q3089" i="8"/>
  <c r="R3089" i="8"/>
  <c r="S3089" i="8"/>
  <c r="T3089" i="8"/>
  <c r="E3090" i="8"/>
  <c r="F3090" i="8"/>
  <c r="G3090" i="8"/>
  <c r="H3090" i="8"/>
  <c r="I3090" i="8"/>
  <c r="J3090" i="8"/>
  <c r="K3090" i="8"/>
  <c r="L3090" i="8"/>
  <c r="M3090" i="8"/>
  <c r="N3090" i="8"/>
  <c r="O3090" i="8"/>
  <c r="P3090" i="8"/>
  <c r="Q3090" i="8"/>
  <c r="R3090" i="8"/>
  <c r="S3090" i="8"/>
  <c r="T3090" i="8"/>
  <c r="E3091" i="8"/>
  <c r="F3091" i="8"/>
  <c r="G3091" i="8"/>
  <c r="H3091" i="8"/>
  <c r="I3091" i="8"/>
  <c r="J3091" i="8"/>
  <c r="K3091" i="8"/>
  <c r="L3091" i="8"/>
  <c r="M3091" i="8"/>
  <c r="N3091" i="8"/>
  <c r="O3091" i="8"/>
  <c r="P3091" i="8"/>
  <c r="Q3091" i="8"/>
  <c r="R3091" i="8"/>
  <c r="S3091" i="8"/>
  <c r="T3091" i="8"/>
  <c r="E3092" i="8"/>
  <c r="F3092" i="8"/>
  <c r="G3092" i="8"/>
  <c r="H3092" i="8"/>
  <c r="I3092" i="8"/>
  <c r="J3092" i="8"/>
  <c r="K3092" i="8"/>
  <c r="L3092" i="8"/>
  <c r="M3092" i="8"/>
  <c r="N3092" i="8"/>
  <c r="O3092" i="8"/>
  <c r="P3092" i="8"/>
  <c r="Q3092" i="8"/>
  <c r="R3092" i="8"/>
  <c r="S3092" i="8"/>
  <c r="T3092" i="8"/>
  <c r="E3093" i="8"/>
  <c r="F3093" i="8"/>
  <c r="G3093" i="8"/>
  <c r="H3093" i="8"/>
  <c r="I3093" i="8"/>
  <c r="J3093" i="8"/>
  <c r="K3093" i="8"/>
  <c r="L3093" i="8"/>
  <c r="M3093" i="8"/>
  <c r="N3093" i="8"/>
  <c r="O3093" i="8"/>
  <c r="P3093" i="8"/>
  <c r="Q3093" i="8"/>
  <c r="R3093" i="8"/>
  <c r="S3093" i="8"/>
  <c r="T3093" i="8"/>
  <c r="E3094" i="8"/>
  <c r="F3094" i="8"/>
  <c r="G3094" i="8"/>
  <c r="H3094" i="8"/>
  <c r="I3094" i="8"/>
  <c r="J3094" i="8"/>
  <c r="K3094" i="8"/>
  <c r="L3094" i="8"/>
  <c r="M3094" i="8"/>
  <c r="N3094" i="8"/>
  <c r="O3094" i="8"/>
  <c r="P3094" i="8"/>
  <c r="Q3094" i="8"/>
  <c r="R3094" i="8"/>
  <c r="S3094" i="8"/>
  <c r="T3094" i="8"/>
  <c r="E3095" i="8"/>
  <c r="F3095" i="8"/>
  <c r="G3095" i="8"/>
  <c r="H3095" i="8"/>
  <c r="I3095" i="8"/>
  <c r="J3095" i="8"/>
  <c r="K3095" i="8"/>
  <c r="L3095" i="8"/>
  <c r="M3095" i="8"/>
  <c r="N3095" i="8"/>
  <c r="O3095" i="8"/>
  <c r="P3095" i="8"/>
  <c r="Q3095" i="8"/>
  <c r="R3095" i="8"/>
  <c r="S3095" i="8"/>
  <c r="T3095" i="8"/>
  <c r="E3096" i="8"/>
  <c r="F3096" i="8"/>
  <c r="G3096" i="8"/>
  <c r="H3096" i="8"/>
  <c r="I3096" i="8"/>
  <c r="J3096" i="8"/>
  <c r="K3096" i="8"/>
  <c r="L3096" i="8"/>
  <c r="M3096" i="8"/>
  <c r="N3096" i="8"/>
  <c r="O3096" i="8"/>
  <c r="P3096" i="8"/>
  <c r="Q3096" i="8"/>
  <c r="R3096" i="8"/>
  <c r="S3096" i="8"/>
  <c r="T3096" i="8"/>
  <c r="E3097" i="8"/>
  <c r="F3097" i="8"/>
  <c r="G3097" i="8"/>
  <c r="H3097" i="8"/>
  <c r="I3097" i="8"/>
  <c r="J3097" i="8"/>
  <c r="K3097" i="8"/>
  <c r="L3097" i="8"/>
  <c r="M3097" i="8"/>
  <c r="N3097" i="8"/>
  <c r="O3097" i="8"/>
  <c r="P3097" i="8"/>
  <c r="Q3097" i="8"/>
  <c r="R3097" i="8"/>
  <c r="S3097" i="8"/>
  <c r="T3097" i="8"/>
  <c r="E286" i="7"/>
  <c r="F286" i="7"/>
  <c r="G286" i="7"/>
  <c r="H286" i="7"/>
  <c r="I286" i="7"/>
  <c r="J286" i="7"/>
  <c r="K286" i="7"/>
  <c r="L286" i="7"/>
  <c r="M286" i="7"/>
  <c r="N286" i="7"/>
  <c r="P286" i="7"/>
  <c r="Q286" i="7"/>
  <c r="R286" i="7"/>
  <c r="S286" i="7"/>
  <c r="U286" i="7"/>
  <c r="V286" i="7"/>
  <c r="W286" i="7"/>
  <c r="X286" i="7"/>
  <c r="Y286" i="7"/>
  <c r="Z286" i="7"/>
  <c r="AA286" i="7"/>
  <c r="AC286" i="7"/>
  <c r="AE286" i="7"/>
  <c r="AI286" i="7"/>
  <c r="AO286" i="7"/>
  <c r="AP286" i="7"/>
  <c r="F3083" i="8"/>
  <c r="G3083" i="8"/>
  <c r="H3083" i="8"/>
  <c r="I3083" i="8"/>
  <c r="J3083" i="8"/>
  <c r="K3083" i="8"/>
  <c r="L3083" i="8"/>
  <c r="M3083" i="8"/>
  <c r="N3083" i="8"/>
  <c r="O3083" i="8"/>
  <c r="P3083" i="8"/>
  <c r="Q3083" i="8"/>
  <c r="R3083" i="8"/>
  <c r="S3083" i="8"/>
  <c r="T3083" i="8"/>
  <c r="E3084" i="8"/>
  <c r="F3084" i="8"/>
  <c r="G3084" i="8"/>
  <c r="H3084" i="8"/>
  <c r="I3084" i="8"/>
  <c r="J3084" i="8"/>
  <c r="K3084" i="8"/>
  <c r="L3084" i="8"/>
  <c r="M3084" i="8"/>
  <c r="N3084" i="8"/>
  <c r="O3084" i="8"/>
  <c r="P3084" i="8"/>
  <c r="Q3084" i="8"/>
  <c r="R3084" i="8"/>
  <c r="S3084" i="8"/>
  <c r="T3084" i="8"/>
  <c r="E3085" i="8"/>
  <c r="F3085" i="8"/>
  <c r="G3085" i="8"/>
  <c r="H3085" i="8"/>
  <c r="I3085" i="8"/>
  <c r="J3085" i="8"/>
  <c r="K3085" i="8"/>
  <c r="L3085" i="8"/>
  <c r="M3085" i="8"/>
  <c r="N3085" i="8"/>
  <c r="O3085" i="8"/>
  <c r="P3085" i="8"/>
  <c r="Q3085" i="8"/>
  <c r="R3085" i="8"/>
  <c r="S3085" i="8"/>
  <c r="T3085" i="8"/>
  <c r="E3086" i="8"/>
  <c r="F3086" i="8"/>
  <c r="G3086" i="8"/>
  <c r="H3086" i="8"/>
  <c r="I3086" i="8"/>
  <c r="J3086" i="8"/>
  <c r="K3086" i="8"/>
  <c r="L3086" i="8"/>
  <c r="M3086" i="8"/>
  <c r="N3086" i="8"/>
  <c r="O3086" i="8"/>
  <c r="P3086" i="8"/>
  <c r="Q3086" i="8"/>
  <c r="R3086" i="8"/>
  <c r="S3086" i="8"/>
  <c r="T3086" i="8"/>
  <c r="E3076" i="8"/>
  <c r="F3076" i="8"/>
  <c r="G3076" i="8"/>
  <c r="H3076" i="8"/>
  <c r="I3076" i="8"/>
  <c r="J3076" i="8"/>
  <c r="K3076" i="8"/>
  <c r="L3076" i="8"/>
  <c r="M3076" i="8"/>
  <c r="N3076" i="8"/>
  <c r="O3076" i="8"/>
  <c r="P3076" i="8"/>
  <c r="Q3076" i="8"/>
  <c r="R3076" i="8"/>
  <c r="S3076" i="8"/>
  <c r="T3076" i="8"/>
  <c r="E3077" i="8"/>
  <c r="F3077" i="8"/>
  <c r="G3077" i="8"/>
  <c r="H3077" i="8"/>
  <c r="I3077" i="8"/>
  <c r="J3077" i="8"/>
  <c r="K3077" i="8"/>
  <c r="L3077" i="8"/>
  <c r="M3077" i="8"/>
  <c r="N3077" i="8"/>
  <c r="O3077" i="8"/>
  <c r="P3077" i="8"/>
  <c r="Q3077" i="8"/>
  <c r="R3077" i="8"/>
  <c r="S3077" i="8"/>
  <c r="T3077" i="8"/>
  <c r="E3078" i="8"/>
  <c r="F3078" i="8"/>
  <c r="G3078" i="8"/>
  <c r="H3078" i="8"/>
  <c r="I3078" i="8"/>
  <c r="J3078" i="8"/>
  <c r="K3078" i="8"/>
  <c r="L3078" i="8"/>
  <c r="M3078" i="8"/>
  <c r="N3078" i="8"/>
  <c r="O3078" i="8"/>
  <c r="P3078" i="8"/>
  <c r="Q3078" i="8"/>
  <c r="R3078" i="8"/>
  <c r="S3078" i="8"/>
  <c r="T3078" i="8"/>
  <c r="E3079" i="8"/>
  <c r="F3079" i="8"/>
  <c r="G3079" i="8"/>
  <c r="H3079" i="8"/>
  <c r="I3079" i="8"/>
  <c r="J3079" i="8"/>
  <c r="K3079" i="8"/>
  <c r="L3079" i="8"/>
  <c r="M3079" i="8"/>
  <c r="N3079" i="8"/>
  <c r="O3079" i="8"/>
  <c r="P3079" i="8"/>
  <c r="Q3079" i="8"/>
  <c r="R3079" i="8"/>
  <c r="S3079" i="8"/>
  <c r="T3079" i="8"/>
  <c r="E3080" i="8"/>
  <c r="F3080" i="8"/>
  <c r="G3080" i="8"/>
  <c r="H3080" i="8"/>
  <c r="I3080" i="8"/>
  <c r="J3080" i="8"/>
  <c r="K3080" i="8"/>
  <c r="L3080" i="8"/>
  <c r="M3080" i="8"/>
  <c r="N3080" i="8"/>
  <c r="O3080" i="8"/>
  <c r="P3080" i="8"/>
  <c r="Q3080" i="8"/>
  <c r="R3080" i="8"/>
  <c r="S3080" i="8"/>
  <c r="T3080" i="8"/>
  <c r="E3081" i="8"/>
  <c r="F3081" i="8"/>
  <c r="G3081" i="8"/>
  <c r="H3081" i="8"/>
  <c r="I3081" i="8"/>
  <c r="J3081" i="8"/>
  <c r="K3081" i="8"/>
  <c r="L3081" i="8"/>
  <c r="M3081" i="8"/>
  <c r="N3081" i="8"/>
  <c r="O3081" i="8"/>
  <c r="P3081" i="8"/>
  <c r="Q3081" i="8"/>
  <c r="R3081" i="8"/>
  <c r="S3081" i="8"/>
  <c r="T3081" i="8"/>
  <c r="E3082" i="8"/>
  <c r="F3082" i="8"/>
  <c r="G3082" i="8"/>
  <c r="H3082" i="8"/>
  <c r="I3082" i="8"/>
  <c r="J3082" i="8"/>
  <c r="K3082" i="8"/>
  <c r="L3082" i="8"/>
  <c r="M3082" i="8"/>
  <c r="N3082" i="8"/>
  <c r="O3082" i="8"/>
  <c r="P3082" i="8"/>
  <c r="Q3082" i="8"/>
  <c r="R3082" i="8"/>
  <c r="S3082" i="8"/>
  <c r="T3082" i="8"/>
  <c r="E3083" i="8"/>
  <c r="E283" i="7"/>
  <c r="F283" i="7"/>
  <c r="G283" i="7"/>
  <c r="H283" i="7"/>
  <c r="I283" i="7"/>
  <c r="J283" i="7"/>
  <c r="K283" i="7"/>
  <c r="L283" i="7"/>
  <c r="M283" i="7"/>
  <c r="N283" i="7"/>
  <c r="P283" i="7"/>
  <c r="Q283" i="7"/>
  <c r="R283" i="7"/>
  <c r="S283" i="7"/>
  <c r="U283" i="7"/>
  <c r="V283" i="7"/>
  <c r="W283" i="7"/>
  <c r="X283" i="7"/>
  <c r="Y283" i="7"/>
  <c r="Z283" i="7"/>
  <c r="AA283" i="7"/>
  <c r="AC283" i="7"/>
  <c r="AE283" i="7"/>
  <c r="AI283" i="7"/>
  <c r="AO283" i="7"/>
  <c r="AP283" i="7"/>
  <c r="E3043" i="8"/>
  <c r="F3043" i="8"/>
  <c r="G3043" i="8"/>
  <c r="H3043" i="8"/>
  <c r="I3043" i="8"/>
  <c r="J3043" i="8"/>
  <c r="K3043" i="8"/>
  <c r="L3043" i="8"/>
  <c r="M3043" i="8"/>
  <c r="N3043" i="8"/>
  <c r="O3043" i="8"/>
  <c r="P3043" i="8"/>
  <c r="Q3043" i="8"/>
  <c r="R3043" i="8"/>
  <c r="S3043" i="8"/>
  <c r="T3043" i="8"/>
  <c r="E3044" i="8"/>
  <c r="F3044" i="8"/>
  <c r="G3044" i="8"/>
  <c r="H3044" i="8"/>
  <c r="I3044" i="8"/>
  <c r="J3044" i="8"/>
  <c r="K3044" i="8"/>
  <c r="L3044" i="8"/>
  <c r="M3044" i="8"/>
  <c r="N3044" i="8"/>
  <c r="O3044" i="8"/>
  <c r="P3044" i="8"/>
  <c r="Q3044" i="8"/>
  <c r="R3044" i="8"/>
  <c r="S3044" i="8"/>
  <c r="T3044" i="8"/>
  <c r="E3045" i="8"/>
  <c r="F3045" i="8"/>
  <c r="G3045" i="8"/>
  <c r="H3045" i="8"/>
  <c r="I3045" i="8"/>
  <c r="J3045" i="8"/>
  <c r="K3045" i="8"/>
  <c r="L3045" i="8"/>
  <c r="M3045" i="8"/>
  <c r="N3045" i="8"/>
  <c r="O3045" i="8"/>
  <c r="P3045" i="8"/>
  <c r="Q3045" i="8"/>
  <c r="R3045" i="8"/>
  <c r="S3045" i="8"/>
  <c r="T3045" i="8"/>
  <c r="E3046" i="8"/>
  <c r="F3046" i="8"/>
  <c r="G3046" i="8"/>
  <c r="H3046" i="8"/>
  <c r="I3046" i="8"/>
  <c r="J3046" i="8"/>
  <c r="K3046" i="8"/>
  <c r="L3046" i="8"/>
  <c r="M3046" i="8"/>
  <c r="N3046" i="8"/>
  <c r="O3046" i="8"/>
  <c r="P3046" i="8"/>
  <c r="Q3046" i="8"/>
  <c r="R3046" i="8"/>
  <c r="S3046" i="8"/>
  <c r="T3046" i="8"/>
  <c r="E3047" i="8"/>
  <c r="F3047" i="8"/>
  <c r="G3047" i="8"/>
  <c r="H3047" i="8"/>
  <c r="I3047" i="8"/>
  <c r="J3047" i="8"/>
  <c r="K3047" i="8"/>
  <c r="L3047" i="8"/>
  <c r="M3047" i="8"/>
  <c r="N3047" i="8"/>
  <c r="O3047" i="8"/>
  <c r="P3047" i="8"/>
  <c r="Q3047" i="8"/>
  <c r="R3047" i="8"/>
  <c r="S3047" i="8"/>
  <c r="T3047" i="8"/>
  <c r="E3048" i="8"/>
  <c r="F3048" i="8"/>
  <c r="G3048" i="8"/>
  <c r="H3048" i="8"/>
  <c r="I3048" i="8"/>
  <c r="J3048" i="8"/>
  <c r="K3048" i="8"/>
  <c r="L3048" i="8"/>
  <c r="M3048" i="8"/>
  <c r="N3048" i="8"/>
  <c r="O3048" i="8"/>
  <c r="P3048" i="8"/>
  <c r="Q3048" i="8"/>
  <c r="R3048" i="8"/>
  <c r="S3048" i="8"/>
  <c r="T3048" i="8"/>
  <c r="E3049" i="8"/>
  <c r="F3049" i="8"/>
  <c r="G3049" i="8"/>
  <c r="H3049" i="8"/>
  <c r="I3049" i="8"/>
  <c r="J3049" i="8"/>
  <c r="K3049" i="8"/>
  <c r="L3049" i="8"/>
  <c r="M3049" i="8"/>
  <c r="N3049" i="8"/>
  <c r="O3049" i="8"/>
  <c r="P3049" i="8"/>
  <c r="Q3049" i="8"/>
  <c r="R3049" i="8"/>
  <c r="S3049" i="8"/>
  <c r="T3049" i="8"/>
  <c r="E3050" i="8"/>
  <c r="F3050" i="8"/>
  <c r="G3050" i="8"/>
  <c r="H3050" i="8"/>
  <c r="I3050" i="8"/>
  <c r="J3050" i="8"/>
  <c r="K3050" i="8"/>
  <c r="L3050" i="8"/>
  <c r="M3050" i="8"/>
  <c r="N3050" i="8"/>
  <c r="O3050" i="8"/>
  <c r="P3050" i="8"/>
  <c r="Q3050" i="8"/>
  <c r="R3050" i="8"/>
  <c r="S3050" i="8"/>
  <c r="T3050" i="8"/>
  <c r="E3051" i="8"/>
  <c r="F3051" i="8"/>
  <c r="G3051" i="8"/>
  <c r="H3051" i="8"/>
  <c r="I3051" i="8"/>
  <c r="J3051" i="8"/>
  <c r="K3051" i="8"/>
  <c r="L3051" i="8"/>
  <c r="M3051" i="8"/>
  <c r="N3051" i="8"/>
  <c r="O3051" i="8"/>
  <c r="P3051" i="8"/>
  <c r="Q3051" i="8"/>
  <c r="R3051" i="8"/>
  <c r="S3051" i="8"/>
  <c r="T3051" i="8"/>
  <c r="E3052" i="8"/>
  <c r="F3052" i="8"/>
  <c r="G3052" i="8"/>
  <c r="H3052" i="8"/>
  <c r="I3052" i="8"/>
  <c r="J3052" i="8"/>
  <c r="K3052" i="8"/>
  <c r="L3052" i="8"/>
  <c r="M3052" i="8"/>
  <c r="N3052" i="8"/>
  <c r="O3052" i="8"/>
  <c r="P3052" i="8"/>
  <c r="Q3052" i="8"/>
  <c r="R3052" i="8"/>
  <c r="S3052" i="8"/>
  <c r="T3052" i="8"/>
  <c r="E3053" i="8"/>
  <c r="F3053" i="8"/>
  <c r="G3053" i="8"/>
  <c r="H3053" i="8"/>
  <c r="I3053" i="8"/>
  <c r="J3053" i="8"/>
  <c r="K3053" i="8"/>
  <c r="L3053" i="8"/>
  <c r="M3053" i="8"/>
  <c r="N3053" i="8"/>
  <c r="O3053" i="8"/>
  <c r="P3053" i="8"/>
  <c r="Q3053" i="8"/>
  <c r="R3053" i="8"/>
  <c r="S3053" i="8"/>
  <c r="T3053" i="8"/>
  <c r="E282" i="7"/>
  <c r="F282" i="7"/>
  <c r="G282" i="7"/>
  <c r="H282" i="7"/>
  <c r="I282" i="7"/>
  <c r="J282" i="7"/>
  <c r="K282" i="7"/>
  <c r="L282" i="7"/>
  <c r="M282" i="7"/>
  <c r="N282" i="7"/>
  <c r="P282" i="7"/>
  <c r="Q282" i="7"/>
  <c r="R282" i="7"/>
  <c r="S282" i="7"/>
  <c r="U282" i="7"/>
  <c r="V282" i="7"/>
  <c r="W282" i="7"/>
  <c r="X282" i="7"/>
  <c r="Y282" i="7"/>
  <c r="Z282" i="7"/>
  <c r="AA282" i="7"/>
  <c r="AC282" i="7"/>
  <c r="AE282" i="7"/>
  <c r="AI282" i="7"/>
  <c r="AO282" i="7"/>
  <c r="AP282" i="7"/>
  <c r="E3032" i="8"/>
  <c r="F3032" i="8"/>
  <c r="G3032" i="8"/>
  <c r="H3032" i="8"/>
  <c r="I3032" i="8"/>
  <c r="J3032" i="8"/>
  <c r="K3032" i="8"/>
  <c r="L3032" i="8"/>
  <c r="M3032" i="8"/>
  <c r="N3032" i="8"/>
  <c r="O3032" i="8"/>
  <c r="P3032" i="8"/>
  <c r="Q3032" i="8"/>
  <c r="R3032" i="8"/>
  <c r="S3032" i="8"/>
  <c r="T3032" i="8"/>
  <c r="E3033" i="8"/>
  <c r="F3033" i="8"/>
  <c r="G3033" i="8"/>
  <c r="H3033" i="8"/>
  <c r="I3033" i="8"/>
  <c r="J3033" i="8"/>
  <c r="K3033" i="8"/>
  <c r="L3033" i="8"/>
  <c r="M3033" i="8"/>
  <c r="N3033" i="8"/>
  <c r="O3033" i="8"/>
  <c r="P3033" i="8"/>
  <c r="Q3033" i="8"/>
  <c r="R3033" i="8"/>
  <c r="S3033" i="8"/>
  <c r="T3033" i="8"/>
  <c r="E3034" i="8"/>
  <c r="F3034" i="8"/>
  <c r="G3034" i="8"/>
  <c r="H3034" i="8"/>
  <c r="I3034" i="8"/>
  <c r="J3034" i="8"/>
  <c r="K3034" i="8"/>
  <c r="L3034" i="8"/>
  <c r="M3034" i="8"/>
  <c r="N3034" i="8"/>
  <c r="O3034" i="8"/>
  <c r="P3034" i="8"/>
  <c r="Q3034" i="8"/>
  <c r="R3034" i="8"/>
  <c r="S3034" i="8"/>
  <c r="T3034" i="8"/>
  <c r="E3035" i="8"/>
  <c r="F3035" i="8"/>
  <c r="G3035" i="8"/>
  <c r="H3035" i="8"/>
  <c r="I3035" i="8"/>
  <c r="J3035" i="8"/>
  <c r="K3035" i="8"/>
  <c r="L3035" i="8"/>
  <c r="M3035" i="8"/>
  <c r="N3035" i="8"/>
  <c r="O3035" i="8"/>
  <c r="P3035" i="8"/>
  <c r="Q3035" i="8"/>
  <c r="R3035" i="8"/>
  <c r="S3035" i="8"/>
  <c r="T3035" i="8"/>
  <c r="E3036" i="8"/>
  <c r="F3036" i="8"/>
  <c r="G3036" i="8"/>
  <c r="H3036" i="8"/>
  <c r="I3036" i="8"/>
  <c r="J3036" i="8"/>
  <c r="K3036" i="8"/>
  <c r="L3036" i="8"/>
  <c r="M3036" i="8"/>
  <c r="N3036" i="8"/>
  <c r="O3036" i="8"/>
  <c r="P3036" i="8"/>
  <c r="Q3036" i="8"/>
  <c r="R3036" i="8"/>
  <c r="S3036" i="8"/>
  <c r="T3036" i="8"/>
  <c r="E3037" i="8"/>
  <c r="F3037" i="8"/>
  <c r="G3037" i="8"/>
  <c r="H3037" i="8"/>
  <c r="I3037" i="8"/>
  <c r="J3037" i="8"/>
  <c r="K3037" i="8"/>
  <c r="L3037" i="8"/>
  <c r="M3037" i="8"/>
  <c r="N3037" i="8"/>
  <c r="O3037" i="8"/>
  <c r="P3037" i="8"/>
  <c r="Q3037" i="8"/>
  <c r="R3037" i="8"/>
  <c r="S3037" i="8"/>
  <c r="T3037" i="8"/>
  <c r="E3038" i="8"/>
  <c r="F3038" i="8"/>
  <c r="G3038" i="8"/>
  <c r="H3038" i="8"/>
  <c r="I3038" i="8"/>
  <c r="J3038" i="8"/>
  <c r="K3038" i="8"/>
  <c r="L3038" i="8"/>
  <c r="M3038" i="8"/>
  <c r="N3038" i="8"/>
  <c r="O3038" i="8"/>
  <c r="P3038" i="8"/>
  <c r="Q3038" i="8"/>
  <c r="R3038" i="8"/>
  <c r="S3038" i="8"/>
  <c r="T3038" i="8"/>
  <c r="E3039" i="8"/>
  <c r="F3039" i="8"/>
  <c r="G3039" i="8"/>
  <c r="H3039" i="8"/>
  <c r="I3039" i="8"/>
  <c r="J3039" i="8"/>
  <c r="K3039" i="8"/>
  <c r="L3039" i="8"/>
  <c r="M3039" i="8"/>
  <c r="N3039" i="8"/>
  <c r="O3039" i="8"/>
  <c r="P3039" i="8"/>
  <c r="Q3039" i="8"/>
  <c r="R3039" i="8"/>
  <c r="S3039" i="8"/>
  <c r="T3039" i="8"/>
  <c r="E3040" i="8"/>
  <c r="F3040" i="8"/>
  <c r="G3040" i="8"/>
  <c r="H3040" i="8"/>
  <c r="I3040" i="8"/>
  <c r="J3040" i="8"/>
  <c r="K3040" i="8"/>
  <c r="L3040" i="8"/>
  <c r="M3040" i="8"/>
  <c r="N3040" i="8"/>
  <c r="O3040" i="8"/>
  <c r="P3040" i="8"/>
  <c r="Q3040" i="8"/>
  <c r="R3040" i="8"/>
  <c r="S3040" i="8"/>
  <c r="T3040" i="8"/>
  <c r="E3041" i="8"/>
  <c r="F3041" i="8"/>
  <c r="G3041" i="8"/>
  <c r="H3041" i="8"/>
  <c r="I3041" i="8"/>
  <c r="J3041" i="8"/>
  <c r="K3041" i="8"/>
  <c r="L3041" i="8"/>
  <c r="M3041" i="8"/>
  <c r="N3041" i="8"/>
  <c r="O3041" i="8"/>
  <c r="P3041" i="8"/>
  <c r="Q3041" i="8"/>
  <c r="R3041" i="8"/>
  <c r="S3041" i="8"/>
  <c r="T3041" i="8"/>
  <c r="E3042" i="8"/>
  <c r="F3042" i="8"/>
  <c r="G3042" i="8"/>
  <c r="H3042" i="8"/>
  <c r="I3042" i="8"/>
  <c r="J3042" i="8"/>
  <c r="K3042" i="8"/>
  <c r="L3042" i="8"/>
  <c r="M3042" i="8"/>
  <c r="N3042" i="8"/>
  <c r="O3042" i="8"/>
  <c r="P3042" i="8"/>
  <c r="Q3042" i="8"/>
  <c r="R3042" i="8"/>
  <c r="S3042" i="8"/>
  <c r="T3042" i="8"/>
  <c r="E281" i="7"/>
  <c r="F281" i="7"/>
  <c r="G281" i="7"/>
  <c r="H281" i="7"/>
  <c r="I281" i="7"/>
  <c r="J281" i="7"/>
  <c r="K281" i="7"/>
  <c r="L281" i="7"/>
  <c r="M281" i="7"/>
  <c r="N281" i="7"/>
  <c r="P281" i="7"/>
  <c r="Q281" i="7"/>
  <c r="R281" i="7"/>
  <c r="S281" i="7"/>
  <c r="U281" i="7"/>
  <c r="V281" i="7"/>
  <c r="W281" i="7"/>
  <c r="X281" i="7"/>
  <c r="Y281" i="7"/>
  <c r="Z281" i="7"/>
  <c r="AA281" i="7"/>
  <c r="AC281" i="7"/>
  <c r="AE281" i="7"/>
  <c r="AI281" i="7"/>
  <c r="AO281" i="7"/>
  <c r="AP281" i="7"/>
  <c r="E3021" i="8"/>
  <c r="F3021" i="8"/>
  <c r="G3021" i="8"/>
  <c r="H3021" i="8"/>
  <c r="I3021" i="8"/>
  <c r="J3021" i="8"/>
  <c r="K3021" i="8"/>
  <c r="L3021" i="8"/>
  <c r="M3021" i="8"/>
  <c r="N3021" i="8"/>
  <c r="O3021" i="8"/>
  <c r="P3021" i="8"/>
  <c r="Q3021" i="8"/>
  <c r="R3021" i="8"/>
  <c r="S3021" i="8"/>
  <c r="T3021" i="8"/>
  <c r="E3022" i="8"/>
  <c r="F3022" i="8"/>
  <c r="G3022" i="8"/>
  <c r="H3022" i="8"/>
  <c r="I3022" i="8"/>
  <c r="J3022" i="8"/>
  <c r="K3022" i="8"/>
  <c r="L3022" i="8"/>
  <c r="M3022" i="8"/>
  <c r="N3022" i="8"/>
  <c r="O3022" i="8"/>
  <c r="P3022" i="8"/>
  <c r="Q3022" i="8"/>
  <c r="R3022" i="8"/>
  <c r="S3022" i="8"/>
  <c r="T3022" i="8"/>
  <c r="E3023" i="8"/>
  <c r="F3023" i="8"/>
  <c r="G3023" i="8"/>
  <c r="H3023" i="8"/>
  <c r="I3023" i="8"/>
  <c r="J3023" i="8"/>
  <c r="K3023" i="8"/>
  <c r="L3023" i="8"/>
  <c r="M3023" i="8"/>
  <c r="N3023" i="8"/>
  <c r="O3023" i="8"/>
  <c r="P3023" i="8"/>
  <c r="Q3023" i="8"/>
  <c r="R3023" i="8"/>
  <c r="S3023" i="8"/>
  <c r="T3023" i="8"/>
  <c r="E3024" i="8"/>
  <c r="F3024" i="8"/>
  <c r="G3024" i="8"/>
  <c r="H3024" i="8"/>
  <c r="I3024" i="8"/>
  <c r="J3024" i="8"/>
  <c r="K3024" i="8"/>
  <c r="L3024" i="8"/>
  <c r="M3024" i="8"/>
  <c r="N3024" i="8"/>
  <c r="O3024" i="8"/>
  <c r="P3024" i="8"/>
  <c r="Q3024" i="8"/>
  <c r="R3024" i="8"/>
  <c r="S3024" i="8"/>
  <c r="T3024" i="8"/>
  <c r="E3025" i="8"/>
  <c r="F3025" i="8"/>
  <c r="G3025" i="8"/>
  <c r="H3025" i="8"/>
  <c r="I3025" i="8"/>
  <c r="J3025" i="8"/>
  <c r="K3025" i="8"/>
  <c r="L3025" i="8"/>
  <c r="M3025" i="8"/>
  <c r="N3025" i="8"/>
  <c r="O3025" i="8"/>
  <c r="P3025" i="8"/>
  <c r="Q3025" i="8"/>
  <c r="R3025" i="8"/>
  <c r="S3025" i="8"/>
  <c r="T3025" i="8"/>
  <c r="E3026" i="8"/>
  <c r="F3026" i="8"/>
  <c r="G3026" i="8"/>
  <c r="H3026" i="8"/>
  <c r="I3026" i="8"/>
  <c r="J3026" i="8"/>
  <c r="K3026" i="8"/>
  <c r="L3026" i="8"/>
  <c r="M3026" i="8"/>
  <c r="N3026" i="8"/>
  <c r="O3026" i="8"/>
  <c r="P3026" i="8"/>
  <c r="Q3026" i="8"/>
  <c r="R3026" i="8"/>
  <c r="S3026" i="8"/>
  <c r="T3026" i="8"/>
  <c r="E3027" i="8"/>
  <c r="F3027" i="8"/>
  <c r="G3027" i="8"/>
  <c r="H3027" i="8"/>
  <c r="I3027" i="8"/>
  <c r="J3027" i="8"/>
  <c r="K3027" i="8"/>
  <c r="L3027" i="8"/>
  <c r="M3027" i="8"/>
  <c r="N3027" i="8"/>
  <c r="O3027" i="8"/>
  <c r="P3027" i="8"/>
  <c r="Q3027" i="8"/>
  <c r="R3027" i="8"/>
  <c r="S3027" i="8"/>
  <c r="T3027" i="8"/>
  <c r="E3028" i="8"/>
  <c r="F3028" i="8"/>
  <c r="G3028" i="8"/>
  <c r="H3028" i="8"/>
  <c r="I3028" i="8"/>
  <c r="J3028" i="8"/>
  <c r="K3028" i="8"/>
  <c r="L3028" i="8"/>
  <c r="M3028" i="8"/>
  <c r="N3028" i="8"/>
  <c r="O3028" i="8"/>
  <c r="P3028" i="8"/>
  <c r="Q3028" i="8"/>
  <c r="R3028" i="8"/>
  <c r="S3028" i="8"/>
  <c r="T3028" i="8"/>
  <c r="E3029" i="8"/>
  <c r="M2971" i="8"/>
  <c r="N2971" i="8"/>
  <c r="O2971" i="8"/>
  <c r="P2971" i="8"/>
  <c r="Q2971" i="8"/>
  <c r="R2971" i="8"/>
  <c r="S2971" i="8"/>
  <c r="T2971" i="8"/>
  <c r="E2972" i="8"/>
  <c r="F2972" i="8"/>
  <c r="G2972" i="8"/>
  <c r="H2972" i="8"/>
  <c r="I2972" i="8"/>
  <c r="J2972" i="8"/>
  <c r="K2972" i="8"/>
  <c r="L2972" i="8"/>
  <c r="M2972" i="8"/>
  <c r="N2972" i="8"/>
  <c r="O2972" i="8"/>
  <c r="P2972" i="8"/>
  <c r="Q2972" i="8"/>
  <c r="R2972" i="8"/>
  <c r="S2972" i="8"/>
  <c r="T2972" i="8"/>
  <c r="E2973" i="8"/>
  <c r="F2973" i="8"/>
  <c r="G2973" i="8"/>
  <c r="H2973" i="8"/>
  <c r="I2973" i="8"/>
  <c r="J2973" i="8"/>
  <c r="K2973" i="8"/>
  <c r="L2973" i="8"/>
  <c r="M2973" i="8"/>
  <c r="N2973" i="8"/>
  <c r="O2973" i="8"/>
  <c r="P2973" i="8"/>
  <c r="Q2973" i="8"/>
  <c r="R2973" i="8"/>
  <c r="S2973" i="8"/>
  <c r="T2973" i="8"/>
  <c r="E2974" i="8"/>
  <c r="F2974" i="8"/>
  <c r="G2974" i="8"/>
  <c r="H2974" i="8"/>
  <c r="I2974" i="8"/>
  <c r="J2974" i="8"/>
  <c r="K2974" i="8"/>
  <c r="L2974" i="8"/>
  <c r="M2974" i="8"/>
  <c r="N2974" i="8"/>
  <c r="O2974" i="8"/>
  <c r="P2974" i="8"/>
  <c r="Q2974" i="8"/>
  <c r="R2974" i="8"/>
  <c r="S2974" i="8"/>
  <c r="T2974" i="8"/>
  <c r="E2975" i="8"/>
  <c r="F2975" i="8"/>
  <c r="G2975" i="8"/>
  <c r="H2975" i="8"/>
  <c r="I2975" i="8"/>
  <c r="J2975" i="8"/>
  <c r="K2975" i="8"/>
  <c r="L2975" i="8"/>
  <c r="M2975" i="8"/>
  <c r="N2975" i="8"/>
  <c r="O2975" i="8"/>
  <c r="P2975" i="8"/>
  <c r="Q2975" i="8"/>
  <c r="R2975" i="8"/>
  <c r="S2975" i="8"/>
  <c r="T2975" i="8"/>
  <c r="E2976" i="8"/>
  <c r="F2976" i="8"/>
  <c r="G2976" i="8"/>
  <c r="H2976" i="8"/>
  <c r="I2976" i="8"/>
  <c r="J2976" i="8"/>
  <c r="K2976" i="8"/>
  <c r="L2976" i="8"/>
  <c r="M2976" i="8"/>
  <c r="N2976" i="8"/>
  <c r="O2976" i="8"/>
  <c r="P2976" i="8"/>
  <c r="Q2976" i="8"/>
  <c r="R2976" i="8"/>
  <c r="S2976" i="8"/>
  <c r="T2976" i="8"/>
  <c r="E275" i="7"/>
  <c r="F275" i="7"/>
  <c r="G275" i="7"/>
  <c r="H275" i="7"/>
  <c r="I275" i="7"/>
  <c r="J275" i="7"/>
  <c r="K275" i="7"/>
  <c r="L275" i="7"/>
  <c r="M275" i="7"/>
  <c r="N275" i="7"/>
  <c r="P275" i="7"/>
  <c r="Q275" i="7"/>
  <c r="R275" i="7"/>
  <c r="S275" i="7"/>
  <c r="U275" i="7"/>
  <c r="V275" i="7"/>
  <c r="W275" i="7"/>
  <c r="X275" i="7"/>
  <c r="Y275" i="7"/>
  <c r="Z275" i="7"/>
  <c r="AA275" i="7"/>
  <c r="AC275" i="7"/>
  <c r="AE275" i="7"/>
  <c r="AI275" i="7"/>
  <c r="AO275" i="7"/>
  <c r="AP275" i="7"/>
  <c r="E2955" i="8"/>
  <c r="F2955" i="8"/>
  <c r="G2955" i="8"/>
  <c r="H2955" i="8"/>
  <c r="I2955" i="8"/>
  <c r="J2955" i="8"/>
  <c r="K2955" i="8"/>
  <c r="L2955" i="8"/>
  <c r="M2955" i="8"/>
  <c r="N2955" i="8"/>
  <c r="O2955" i="8"/>
  <c r="P2955" i="8"/>
  <c r="Q2955" i="8"/>
  <c r="R2955" i="8"/>
  <c r="S2955" i="8"/>
  <c r="T2955" i="8"/>
  <c r="E2956" i="8"/>
  <c r="F2956" i="8"/>
  <c r="G2956" i="8"/>
  <c r="H2956" i="8"/>
  <c r="I2956" i="8"/>
  <c r="J2956" i="8"/>
  <c r="K2956" i="8"/>
  <c r="L2956" i="8"/>
  <c r="M2956" i="8"/>
  <c r="N2956" i="8"/>
  <c r="O2956" i="8"/>
  <c r="P2956" i="8"/>
  <c r="Q2956" i="8"/>
  <c r="R2956" i="8"/>
  <c r="S2956" i="8"/>
  <c r="T2956" i="8"/>
  <c r="E2957" i="8"/>
  <c r="F2957" i="8"/>
  <c r="G2957" i="8"/>
  <c r="H2957" i="8"/>
  <c r="I2957" i="8"/>
  <c r="J2957" i="8"/>
  <c r="K2957" i="8"/>
  <c r="L2957" i="8"/>
  <c r="M2957" i="8"/>
  <c r="N2957" i="8"/>
  <c r="O2957" i="8"/>
  <c r="P2957" i="8"/>
  <c r="Q2957" i="8"/>
  <c r="R2957" i="8"/>
  <c r="S2957" i="8"/>
  <c r="T2957" i="8"/>
  <c r="E2958" i="8"/>
  <c r="F2958" i="8"/>
  <c r="G2958" i="8"/>
  <c r="H2958" i="8"/>
  <c r="I2958" i="8"/>
  <c r="J2958" i="8"/>
  <c r="K2958" i="8"/>
  <c r="L2958" i="8"/>
  <c r="M2958" i="8"/>
  <c r="N2958" i="8"/>
  <c r="O2958" i="8"/>
  <c r="P2958" i="8"/>
  <c r="Q2958" i="8"/>
  <c r="R2958" i="8"/>
  <c r="S2958" i="8"/>
  <c r="T2958" i="8"/>
  <c r="E2959" i="8"/>
  <c r="F2959" i="8"/>
  <c r="G2959" i="8"/>
  <c r="H2959" i="8"/>
  <c r="I2959" i="8"/>
  <c r="J2959" i="8"/>
  <c r="K2959" i="8"/>
  <c r="L2959" i="8"/>
  <c r="M2959" i="8"/>
  <c r="N2959" i="8"/>
  <c r="O2959" i="8"/>
  <c r="P2959" i="8"/>
  <c r="Q2959" i="8"/>
  <c r="R2959" i="8"/>
  <c r="S2959" i="8"/>
  <c r="T2959" i="8"/>
  <c r="E2960" i="8"/>
  <c r="F2960" i="8"/>
  <c r="G2960" i="8"/>
  <c r="H2960" i="8"/>
  <c r="I2960" i="8"/>
  <c r="J2960" i="8"/>
  <c r="K2960" i="8"/>
  <c r="L2960" i="8"/>
  <c r="M2960" i="8"/>
  <c r="N2960" i="8"/>
  <c r="O2960" i="8"/>
  <c r="P2960" i="8"/>
  <c r="Q2960" i="8"/>
  <c r="R2960" i="8"/>
  <c r="S2960" i="8"/>
  <c r="T2960" i="8"/>
  <c r="E2961" i="8"/>
  <c r="F2961" i="8"/>
  <c r="G2961" i="8"/>
  <c r="H2961" i="8"/>
  <c r="I2961" i="8"/>
  <c r="J2961" i="8"/>
  <c r="K2961" i="8"/>
  <c r="L2961" i="8"/>
  <c r="M2961" i="8"/>
  <c r="N2961" i="8"/>
  <c r="O2961" i="8"/>
  <c r="P2961" i="8"/>
  <c r="Q2961" i="8"/>
  <c r="R2961" i="8"/>
  <c r="S2961" i="8"/>
  <c r="T2961" i="8"/>
  <c r="E2962" i="8"/>
  <c r="F2962" i="8"/>
  <c r="G2962" i="8"/>
  <c r="H2962" i="8"/>
  <c r="I2962" i="8"/>
  <c r="J2962" i="8"/>
  <c r="K2962" i="8"/>
  <c r="L2962" i="8"/>
  <c r="M2962" i="8"/>
  <c r="N2962" i="8"/>
  <c r="O2962" i="8"/>
  <c r="P2962" i="8"/>
  <c r="Q2962" i="8"/>
  <c r="R2962" i="8"/>
  <c r="S2962" i="8"/>
  <c r="T2962" i="8"/>
  <c r="E2963" i="8"/>
  <c r="F2963" i="8"/>
  <c r="G2963" i="8"/>
  <c r="H2963" i="8"/>
  <c r="I2963" i="8"/>
  <c r="J2963" i="8"/>
  <c r="K2963" i="8"/>
  <c r="L2963" i="8"/>
  <c r="M2963" i="8"/>
  <c r="N2963" i="8"/>
  <c r="O2963" i="8"/>
  <c r="P2963" i="8"/>
  <c r="Q2963" i="8"/>
  <c r="R2963" i="8"/>
  <c r="S2963" i="8"/>
  <c r="T2963" i="8"/>
  <c r="E2964" i="8"/>
  <c r="F2964" i="8"/>
  <c r="G2964" i="8"/>
  <c r="H2964" i="8"/>
  <c r="I2964" i="8"/>
  <c r="J2964" i="8"/>
  <c r="K2964" i="8"/>
  <c r="L2964" i="8"/>
  <c r="M2964" i="8"/>
  <c r="N2964" i="8"/>
  <c r="O2964" i="8"/>
  <c r="P2964" i="8"/>
  <c r="Q2964" i="8"/>
  <c r="R2964" i="8"/>
  <c r="S2964" i="8"/>
  <c r="T2964" i="8"/>
  <c r="E2965" i="8"/>
  <c r="F2965" i="8"/>
  <c r="G2965" i="8"/>
  <c r="H2965" i="8"/>
  <c r="I2965" i="8"/>
  <c r="J2965" i="8"/>
  <c r="K2965" i="8"/>
  <c r="L2965" i="8"/>
  <c r="M2965" i="8"/>
  <c r="N2965" i="8"/>
  <c r="O2965" i="8"/>
  <c r="P2965" i="8"/>
  <c r="Q2965" i="8"/>
  <c r="R2965" i="8"/>
  <c r="S2965" i="8"/>
  <c r="T2965" i="8"/>
  <c r="E274" i="7"/>
  <c r="F274" i="7"/>
  <c r="G274" i="7"/>
  <c r="H274" i="7"/>
  <c r="I274" i="7"/>
  <c r="J274" i="7"/>
  <c r="K274" i="7"/>
  <c r="L274" i="7"/>
  <c r="M274" i="7"/>
  <c r="N274" i="7"/>
  <c r="P274" i="7"/>
  <c r="Q274" i="7"/>
  <c r="R274" i="7"/>
  <c r="S274" i="7"/>
  <c r="U274" i="7"/>
  <c r="V274" i="7"/>
  <c r="W274" i="7"/>
  <c r="X274" i="7"/>
  <c r="Y274" i="7"/>
  <c r="Z274" i="7"/>
  <c r="AA274" i="7"/>
  <c r="AC274" i="7"/>
  <c r="AE274" i="7"/>
  <c r="AI274" i="7"/>
  <c r="AO274" i="7"/>
  <c r="AP274" i="7"/>
  <c r="E2944" i="8"/>
  <c r="F2944" i="8"/>
  <c r="G2944" i="8"/>
  <c r="H2944" i="8"/>
  <c r="I2944" i="8"/>
  <c r="J2944" i="8"/>
  <c r="K2944" i="8"/>
  <c r="L2944" i="8"/>
  <c r="M2944" i="8"/>
  <c r="N2944" i="8"/>
  <c r="O2944" i="8"/>
  <c r="P2944" i="8"/>
  <c r="Q2944" i="8"/>
  <c r="R2944" i="8"/>
  <c r="S2944" i="8"/>
  <c r="T2944" i="8"/>
  <c r="E2945" i="8"/>
  <c r="F2945" i="8"/>
  <c r="G2945" i="8"/>
  <c r="H2945" i="8"/>
  <c r="I2945" i="8"/>
  <c r="J2945" i="8"/>
  <c r="K2945" i="8"/>
  <c r="L2945" i="8"/>
  <c r="M2945" i="8"/>
  <c r="N2945" i="8"/>
  <c r="O2945" i="8"/>
  <c r="P2945" i="8"/>
  <c r="Q2945" i="8"/>
  <c r="R2945" i="8"/>
  <c r="S2945" i="8"/>
  <c r="T2945" i="8"/>
  <c r="E2946" i="8"/>
  <c r="F2946" i="8"/>
  <c r="G2946" i="8"/>
  <c r="H2946" i="8"/>
  <c r="I2946" i="8"/>
  <c r="J2946" i="8"/>
  <c r="K2946" i="8"/>
  <c r="L2946" i="8"/>
  <c r="M2946" i="8"/>
  <c r="N2946" i="8"/>
  <c r="O2946" i="8"/>
  <c r="P2946" i="8"/>
  <c r="Q2946" i="8"/>
  <c r="R2946" i="8"/>
  <c r="S2946" i="8"/>
  <c r="T2946" i="8"/>
  <c r="E2947" i="8"/>
  <c r="F2947" i="8"/>
  <c r="G2947" i="8"/>
  <c r="H2947" i="8"/>
  <c r="I2947" i="8"/>
  <c r="J2947" i="8"/>
  <c r="K2947" i="8"/>
  <c r="L2947" i="8"/>
  <c r="M2947" i="8"/>
  <c r="N2947" i="8"/>
  <c r="O2947" i="8"/>
  <c r="P2947" i="8"/>
  <c r="Q2947" i="8"/>
  <c r="R2947" i="8"/>
  <c r="S2947" i="8"/>
  <c r="T2947" i="8"/>
  <c r="E2948" i="8"/>
  <c r="F2948" i="8"/>
  <c r="G2948" i="8"/>
  <c r="H2948" i="8"/>
  <c r="I2948" i="8"/>
  <c r="J2948" i="8"/>
  <c r="K2948" i="8"/>
  <c r="L2948" i="8"/>
  <c r="M2948" i="8"/>
  <c r="N2948" i="8"/>
  <c r="O2948" i="8"/>
  <c r="P2948" i="8"/>
  <c r="Q2948" i="8"/>
  <c r="R2948" i="8"/>
  <c r="S2948" i="8"/>
  <c r="T2948" i="8"/>
  <c r="E2949" i="8"/>
  <c r="F2949" i="8"/>
  <c r="G2949" i="8"/>
  <c r="H2949" i="8"/>
  <c r="I2949" i="8"/>
  <c r="J2949" i="8"/>
  <c r="K2949" i="8"/>
  <c r="L2949" i="8"/>
  <c r="M2949" i="8"/>
  <c r="N2949" i="8"/>
  <c r="O2949" i="8"/>
  <c r="P2949" i="8"/>
  <c r="Q2949" i="8"/>
  <c r="R2949" i="8"/>
  <c r="S2949" i="8"/>
  <c r="T2949" i="8"/>
  <c r="E2950" i="8"/>
  <c r="F2950" i="8"/>
  <c r="G2950" i="8"/>
  <c r="H2950" i="8"/>
  <c r="I2950" i="8"/>
  <c r="J2950" i="8"/>
  <c r="K2950" i="8"/>
  <c r="L2950" i="8"/>
  <c r="M2950" i="8"/>
  <c r="N2950" i="8"/>
  <c r="O2950" i="8"/>
  <c r="P2950" i="8"/>
  <c r="Q2950" i="8"/>
  <c r="R2950" i="8"/>
  <c r="S2950" i="8"/>
  <c r="T2950" i="8"/>
  <c r="E2951" i="8"/>
  <c r="F2951" i="8"/>
  <c r="G2951" i="8"/>
  <c r="H2951" i="8"/>
  <c r="I2951" i="8"/>
  <c r="J2951" i="8"/>
  <c r="K2951" i="8"/>
  <c r="L2951" i="8"/>
  <c r="M2951" i="8"/>
  <c r="N2951" i="8"/>
  <c r="O2951" i="8"/>
  <c r="P2951" i="8"/>
  <c r="Q2951" i="8"/>
  <c r="R2951" i="8"/>
  <c r="S2951" i="8"/>
  <c r="T2951" i="8"/>
  <c r="E2952" i="8"/>
  <c r="F2952" i="8"/>
  <c r="G2952" i="8"/>
  <c r="H2952" i="8"/>
  <c r="I2952" i="8"/>
  <c r="J2952" i="8"/>
  <c r="K2952" i="8"/>
  <c r="L2952" i="8"/>
  <c r="M2952" i="8"/>
  <c r="N2952" i="8"/>
  <c r="O2952" i="8"/>
  <c r="P2952" i="8"/>
  <c r="Q2952" i="8"/>
  <c r="R2952" i="8"/>
  <c r="S2952" i="8"/>
  <c r="T2952" i="8"/>
  <c r="E2953" i="8"/>
  <c r="F2953" i="8"/>
  <c r="G2953" i="8"/>
  <c r="H2953" i="8"/>
  <c r="I2953" i="8"/>
  <c r="J2953" i="8"/>
  <c r="K2953" i="8"/>
  <c r="L2953" i="8"/>
  <c r="M2953" i="8"/>
  <c r="N2953" i="8"/>
  <c r="O2953" i="8"/>
  <c r="P2953" i="8"/>
  <c r="Q2953" i="8"/>
  <c r="R2953" i="8"/>
  <c r="S2953" i="8"/>
  <c r="T2953" i="8"/>
  <c r="E2954" i="8"/>
  <c r="F2954" i="8"/>
  <c r="G2954" i="8"/>
  <c r="H2954" i="8"/>
  <c r="I2954" i="8"/>
  <c r="J2954" i="8"/>
  <c r="K2954" i="8"/>
  <c r="L2954" i="8"/>
  <c r="M2954" i="8"/>
  <c r="N2954" i="8"/>
  <c r="O2954" i="8"/>
  <c r="P2954" i="8"/>
  <c r="Q2954" i="8"/>
  <c r="R2954" i="8"/>
  <c r="S2954" i="8"/>
  <c r="T2954" i="8"/>
  <c r="E273" i="7"/>
  <c r="F273" i="7"/>
  <c r="G273" i="7"/>
  <c r="H273" i="7"/>
  <c r="I273" i="7"/>
  <c r="J273" i="7"/>
  <c r="K273" i="7"/>
  <c r="L273" i="7"/>
  <c r="M273" i="7"/>
  <c r="N273" i="7"/>
  <c r="P273" i="7"/>
  <c r="Q273" i="7"/>
  <c r="R273" i="7"/>
  <c r="S273" i="7"/>
  <c r="U273" i="7"/>
  <c r="V273" i="7"/>
  <c r="W273" i="7"/>
  <c r="X273" i="7"/>
  <c r="Y273" i="7"/>
  <c r="Z273" i="7"/>
  <c r="AA273" i="7"/>
  <c r="AC273" i="7"/>
  <c r="AE273" i="7"/>
  <c r="AI273" i="7"/>
  <c r="AO273" i="7"/>
  <c r="AP273" i="7"/>
  <c r="E2933" i="8"/>
  <c r="F2933" i="8"/>
  <c r="G2933" i="8"/>
  <c r="H2933" i="8"/>
  <c r="I2933" i="8"/>
  <c r="J2933" i="8"/>
  <c r="K2933" i="8"/>
  <c r="L2933" i="8"/>
  <c r="M2933" i="8"/>
  <c r="N2933" i="8"/>
  <c r="O2933" i="8"/>
  <c r="P2933" i="8"/>
  <c r="Q2933" i="8"/>
  <c r="R2933" i="8"/>
  <c r="S2933" i="8"/>
  <c r="T2933" i="8"/>
  <c r="E2934" i="8"/>
  <c r="F2934" i="8"/>
  <c r="G2934" i="8"/>
  <c r="H2934" i="8"/>
  <c r="I2934" i="8"/>
  <c r="J2934" i="8"/>
  <c r="K2934" i="8"/>
  <c r="L2934" i="8"/>
  <c r="M2934" i="8"/>
  <c r="N2934" i="8"/>
  <c r="O2934" i="8"/>
  <c r="P2934" i="8"/>
  <c r="Q2934" i="8"/>
  <c r="R2934" i="8"/>
  <c r="S2934" i="8"/>
  <c r="T2934" i="8"/>
  <c r="E2935" i="8"/>
  <c r="F2935" i="8"/>
  <c r="G2935" i="8"/>
  <c r="H2935" i="8"/>
  <c r="I2935" i="8"/>
  <c r="J2935" i="8"/>
  <c r="K2935" i="8"/>
  <c r="L2935" i="8"/>
  <c r="M2935" i="8"/>
  <c r="N2935" i="8"/>
  <c r="O2935" i="8"/>
  <c r="P2935" i="8"/>
  <c r="Q2935" i="8"/>
  <c r="R2935" i="8"/>
  <c r="S2935" i="8"/>
  <c r="T2935" i="8"/>
  <c r="E2936" i="8"/>
  <c r="F2936" i="8"/>
  <c r="G2936" i="8"/>
  <c r="H2936" i="8"/>
  <c r="I2936" i="8"/>
  <c r="J2936" i="8"/>
  <c r="K2936" i="8"/>
  <c r="L2936" i="8"/>
  <c r="M2936" i="8"/>
  <c r="N2936" i="8"/>
  <c r="O2936" i="8"/>
  <c r="P2936" i="8"/>
  <c r="Q2936" i="8"/>
  <c r="R2936" i="8"/>
  <c r="S2936" i="8"/>
  <c r="T2936" i="8"/>
  <c r="E2937" i="8"/>
  <c r="F2937" i="8"/>
  <c r="G2937" i="8"/>
  <c r="H2937" i="8"/>
  <c r="I2937" i="8"/>
  <c r="J2937" i="8"/>
  <c r="K2937" i="8"/>
  <c r="L2937" i="8"/>
  <c r="M2937" i="8"/>
  <c r="N2937" i="8"/>
  <c r="O2937" i="8"/>
  <c r="P2937" i="8"/>
  <c r="Q2937" i="8"/>
  <c r="R2937" i="8"/>
  <c r="S2937" i="8"/>
  <c r="T2937" i="8"/>
  <c r="E2938" i="8"/>
  <c r="F2938" i="8"/>
  <c r="G2938" i="8"/>
  <c r="H2938" i="8"/>
  <c r="I2938" i="8"/>
  <c r="J2938" i="8"/>
  <c r="K2938" i="8"/>
  <c r="L2938" i="8"/>
  <c r="M2938" i="8"/>
  <c r="N2938" i="8"/>
  <c r="O2938" i="8"/>
  <c r="P2938" i="8"/>
  <c r="Q2938" i="8"/>
  <c r="R2938" i="8"/>
  <c r="S2938" i="8"/>
  <c r="T2938" i="8"/>
  <c r="E2939" i="8"/>
  <c r="F2939" i="8"/>
  <c r="G2939" i="8"/>
  <c r="H2939" i="8"/>
  <c r="I2939" i="8"/>
  <c r="J2939" i="8"/>
  <c r="K2939" i="8"/>
  <c r="L2939" i="8"/>
  <c r="M2939" i="8"/>
  <c r="N2939" i="8"/>
  <c r="O2939" i="8"/>
  <c r="P2939" i="8"/>
  <c r="Q2939" i="8"/>
  <c r="R2939" i="8"/>
  <c r="S2939" i="8"/>
  <c r="T2939" i="8"/>
  <c r="E2940" i="8"/>
  <c r="F2940" i="8"/>
  <c r="G2940" i="8"/>
  <c r="H2940" i="8"/>
  <c r="I2940" i="8"/>
  <c r="J2940" i="8"/>
  <c r="K2940" i="8"/>
  <c r="L2940" i="8"/>
  <c r="M2940" i="8"/>
  <c r="N2940" i="8"/>
  <c r="O2940" i="8"/>
  <c r="P2940" i="8"/>
  <c r="Q2940" i="8"/>
  <c r="R2940" i="8"/>
  <c r="S2940" i="8"/>
  <c r="T2940" i="8"/>
  <c r="E2941" i="8"/>
  <c r="F2941" i="8"/>
  <c r="G2941" i="8"/>
  <c r="H2941" i="8"/>
  <c r="I2941" i="8"/>
  <c r="J2941" i="8"/>
  <c r="K2941" i="8"/>
  <c r="L2941" i="8"/>
  <c r="M2941" i="8"/>
  <c r="N2941" i="8"/>
  <c r="O2941" i="8"/>
  <c r="P2941" i="8"/>
  <c r="Q2941" i="8"/>
  <c r="R2941" i="8"/>
  <c r="S2941" i="8"/>
  <c r="T2941" i="8"/>
  <c r="E2942" i="8"/>
  <c r="F2942" i="8"/>
  <c r="G2942" i="8"/>
  <c r="H2942" i="8"/>
  <c r="I2942" i="8"/>
  <c r="J2942" i="8"/>
  <c r="K2942" i="8"/>
  <c r="L2942" i="8"/>
  <c r="M2942" i="8"/>
  <c r="N2942" i="8"/>
  <c r="O2942" i="8"/>
  <c r="P2942" i="8"/>
  <c r="Q2942" i="8"/>
  <c r="R2942" i="8"/>
  <c r="S2942" i="8"/>
  <c r="T2942" i="8"/>
  <c r="E2943" i="8"/>
  <c r="F2943" i="8"/>
  <c r="G2943" i="8"/>
  <c r="H2943" i="8"/>
  <c r="I2943" i="8"/>
  <c r="J2943" i="8"/>
  <c r="K2943" i="8"/>
  <c r="L2943" i="8"/>
  <c r="M2943" i="8"/>
  <c r="N2943" i="8"/>
  <c r="O2943" i="8"/>
  <c r="P2943" i="8"/>
  <c r="Q2943" i="8"/>
  <c r="R2943" i="8"/>
  <c r="S2943" i="8"/>
  <c r="T2943" i="8"/>
  <c r="E272" i="7"/>
  <c r="F272" i="7"/>
  <c r="G272" i="7"/>
  <c r="H272" i="7"/>
  <c r="I272" i="7"/>
  <c r="J272" i="7"/>
  <c r="K272" i="7"/>
  <c r="L272" i="7"/>
  <c r="M272" i="7"/>
  <c r="N272" i="7"/>
  <c r="P272" i="7"/>
  <c r="Q272" i="7"/>
  <c r="R272" i="7"/>
  <c r="S272" i="7"/>
  <c r="U272" i="7"/>
  <c r="V272" i="7"/>
  <c r="W272" i="7"/>
  <c r="X272" i="7"/>
  <c r="Y272" i="7"/>
  <c r="Z272" i="7"/>
  <c r="AA272" i="7"/>
  <c r="AC272" i="7"/>
  <c r="AE272" i="7"/>
  <c r="AI272" i="7"/>
  <c r="AO272" i="7"/>
  <c r="AP272" i="7"/>
  <c r="E2922" i="8"/>
  <c r="F2922" i="8"/>
  <c r="G2922" i="8"/>
  <c r="H2922" i="8"/>
  <c r="I2922" i="8"/>
  <c r="J2922" i="8"/>
  <c r="K2922" i="8"/>
  <c r="L2922" i="8"/>
  <c r="M2922" i="8"/>
  <c r="N2922" i="8"/>
  <c r="O2922" i="8"/>
  <c r="P2922" i="8"/>
  <c r="Q2922" i="8"/>
  <c r="R2922" i="8"/>
  <c r="S2922" i="8"/>
  <c r="T2922" i="8"/>
  <c r="E2923" i="8"/>
  <c r="F2923" i="8"/>
  <c r="G2923" i="8"/>
  <c r="H2923" i="8"/>
  <c r="I2923" i="8"/>
  <c r="J2923" i="8"/>
  <c r="K2923" i="8"/>
  <c r="L2923" i="8"/>
  <c r="M2923" i="8"/>
  <c r="N2923" i="8"/>
  <c r="O2923" i="8"/>
  <c r="P2923" i="8"/>
  <c r="Q2923" i="8"/>
  <c r="R2923" i="8"/>
  <c r="S2923" i="8"/>
  <c r="T2923" i="8"/>
  <c r="E2924" i="8"/>
  <c r="F2924" i="8"/>
  <c r="G2924" i="8"/>
  <c r="H2924" i="8"/>
  <c r="I2924" i="8"/>
  <c r="J2924" i="8"/>
  <c r="K2924" i="8"/>
  <c r="L2924" i="8"/>
  <c r="M2924" i="8"/>
  <c r="N2924" i="8"/>
  <c r="O2924" i="8"/>
  <c r="P2924" i="8"/>
  <c r="Q2924" i="8"/>
  <c r="R2924" i="8"/>
  <c r="S2924" i="8"/>
  <c r="T2924" i="8"/>
  <c r="E2925" i="8"/>
  <c r="F2925" i="8"/>
  <c r="G2925" i="8"/>
  <c r="H2925" i="8"/>
  <c r="I2925" i="8"/>
  <c r="J2925" i="8"/>
  <c r="K2925" i="8"/>
  <c r="L2925" i="8"/>
  <c r="M2925" i="8"/>
  <c r="N2925" i="8"/>
  <c r="O2925" i="8"/>
  <c r="P2925" i="8"/>
  <c r="Q2925" i="8"/>
  <c r="R2925" i="8"/>
  <c r="S2925" i="8"/>
  <c r="T2925" i="8"/>
  <c r="E2926" i="8"/>
  <c r="F2926" i="8"/>
  <c r="G2926" i="8"/>
  <c r="H2926" i="8"/>
  <c r="I2926" i="8"/>
  <c r="J2926" i="8"/>
  <c r="K2926" i="8"/>
  <c r="L2926" i="8"/>
  <c r="M2926" i="8"/>
  <c r="N2926" i="8"/>
  <c r="O2926" i="8"/>
  <c r="P2926" i="8"/>
  <c r="Q2926" i="8"/>
  <c r="R2926" i="8"/>
  <c r="S2926" i="8"/>
  <c r="T2926" i="8"/>
  <c r="E2927" i="8"/>
  <c r="F2927" i="8"/>
  <c r="G2927" i="8"/>
  <c r="H2927" i="8"/>
  <c r="I2927" i="8"/>
  <c r="J2927" i="8"/>
  <c r="K2927" i="8"/>
  <c r="L2927" i="8"/>
  <c r="M2927" i="8"/>
  <c r="N2927" i="8"/>
  <c r="O2927" i="8"/>
  <c r="P2927" i="8"/>
  <c r="Q2927" i="8"/>
  <c r="R2927" i="8"/>
  <c r="S2927" i="8"/>
  <c r="T2927" i="8"/>
  <c r="E2928" i="8"/>
  <c r="F2928" i="8"/>
  <c r="G2928" i="8"/>
  <c r="H2928" i="8"/>
  <c r="I2928" i="8"/>
  <c r="J2928" i="8"/>
  <c r="K2928" i="8"/>
  <c r="L2928" i="8"/>
  <c r="M2928" i="8"/>
  <c r="N2928" i="8"/>
  <c r="O2928" i="8"/>
  <c r="P2928" i="8"/>
  <c r="Q2928" i="8"/>
  <c r="R2928" i="8"/>
  <c r="S2928" i="8"/>
  <c r="T2928" i="8"/>
  <c r="E2929" i="8"/>
  <c r="F2929" i="8"/>
  <c r="G2929" i="8"/>
  <c r="H2929" i="8"/>
  <c r="I2929" i="8"/>
  <c r="J2929" i="8"/>
  <c r="K2929" i="8"/>
  <c r="L2929" i="8"/>
  <c r="M2929" i="8"/>
  <c r="N2929" i="8"/>
  <c r="O2929" i="8"/>
  <c r="P2929" i="8"/>
  <c r="Q2929" i="8"/>
  <c r="R2929" i="8"/>
  <c r="S2929" i="8"/>
  <c r="T2929" i="8"/>
  <c r="E2930" i="8"/>
  <c r="F2930" i="8"/>
  <c r="G2930" i="8"/>
  <c r="H2930" i="8"/>
  <c r="I2930" i="8"/>
  <c r="J2930" i="8"/>
  <c r="K2930" i="8"/>
  <c r="L2930" i="8"/>
  <c r="M2930" i="8"/>
  <c r="N2930" i="8"/>
  <c r="O2930" i="8"/>
  <c r="P2930" i="8"/>
  <c r="Q2930" i="8"/>
  <c r="R2930" i="8"/>
  <c r="S2930" i="8"/>
  <c r="T2930" i="8"/>
  <c r="E2931" i="8"/>
  <c r="F2931" i="8"/>
  <c r="G2931" i="8"/>
  <c r="H2931" i="8"/>
  <c r="I2931" i="8"/>
  <c r="J2931" i="8"/>
  <c r="K2931" i="8"/>
  <c r="L2931" i="8"/>
  <c r="M2931" i="8"/>
  <c r="N2931" i="8"/>
  <c r="O2931" i="8"/>
  <c r="P2931" i="8"/>
  <c r="Q2931" i="8"/>
  <c r="R2931" i="8"/>
  <c r="S2931" i="8"/>
  <c r="T2931" i="8"/>
  <c r="E2932" i="8"/>
  <c r="F2932" i="8"/>
  <c r="G2932" i="8"/>
  <c r="H2932" i="8"/>
  <c r="I2932" i="8"/>
  <c r="J2932" i="8"/>
  <c r="K2932" i="8"/>
  <c r="L2932" i="8"/>
  <c r="M2932" i="8"/>
  <c r="N2932" i="8"/>
  <c r="O2932" i="8"/>
  <c r="P2932" i="8"/>
  <c r="Q2932" i="8"/>
  <c r="R2932" i="8"/>
  <c r="S2932" i="8"/>
  <c r="T2932" i="8"/>
  <c r="E271" i="7"/>
  <c r="F271" i="7"/>
  <c r="G271" i="7"/>
  <c r="H271" i="7"/>
  <c r="I271" i="7"/>
  <c r="J271" i="7"/>
  <c r="K271" i="7"/>
  <c r="L271" i="7"/>
  <c r="M271" i="7"/>
  <c r="N271" i="7"/>
  <c r="P271" i="7"/>
  <c r="Q271" i="7"/>
  <c r="R271" i="7"/>
  <c r="S271" i="7"/>
  <c r="U271" i="7"/>
  <c r="V271" i="7"/>
  <c r="W271" i="7"/>
  <c r="X271" i="7"/>
  <c r="Y271" i="7"/>
  <c r="Z271" i="7"/>
  <c r="AA271" i="7"/>
  <c r="AC271" i="7"/>
  <c r="AE271" i="7"/>
  <c r="AI271" i="7"/>
  <c r="AO271" i="7"/>
  <c r="AP271" i="7"/>
  <c r="E2911" i="8"/>
  <c r="F2911" i="8"/>
  <c r="G2911" i="8"/>
  <c r="H2911" i="8"/>
  <c r="I2911" i="8"/>
  <c r="J2911" i="8"/>
  <c r="K2911" i="8"/>
  <c r="L2911" i="8"/>
  <c r="M2911" i="8"/>
  <c r="N2911" i="8"/>
  <c r="O2911" i="8"/>
  <c r="P2911" i="8"/>
  <c r="Q2911" i="8"/>
  <c r="R2911" i="8"/>
  <c r="S2911" i="8"/>
  <c r="T2911" i="8"/>
  <c r="E2912" i="8"/>
  <c r="F2912" i="8"/>
  <c r="G2912" i="8"/>
  <c r="H2912" i="8"/>
  <c r="I2912" i="8"/>
  <c r="J2912" i="8"/>
  <c r="K2912" i="8"/>
  <c r="L2912" i="8"/>
  <c r="M2912" i="8"/>
  <c r="N2912" i="8"/>
  <c r="O2912" i="8"/>
  <c r="P2912" i="8"/>
  <c r="Q2912" i="8"/>
  <c r="R2912" i="8"/>
  <c r="S2912" i="8"/>
  <c r="T2912" i="8"/>
  <c r="E2913" i="8"/>
  <c r="F2913" i="8"/>
  <c r="G2913" i="8"/>
  <c r="H2913" i="8"/>
  <c r="I2913" i="8"/>
  <c r="J2913" i="8"/>
  <c r="K2913" i="8"/>
  <c r="L2913" i="8"/>
  <c r="M2913" i="8"/>
  <c r="N2913" i="8"/>
  <c r="O2913" i="8"/>
  <c r="P2913" i="8"/>
  <c r="Q2913" i="8"/>
  <c r="R2913" i="8"/>
  <c r="S2913" i="8"/>
  <c r="T2913" i="8"/>
  <c r="E2914" i="8"/>
  <c r="F2914" i="8"/>
  <c r="G2914" i="8"/>
  <c r="H2914" i="8"/>
  <c r="I2914" i="8"/>
  <c r="J2914" i="8"/>
  <c r="K2914" i="8"/>
  <c r="L2914" i="8"/>
  <c r="M2914" i="8"/>
  <c r="N2914" i="8"/>
  <c r="O2914" i="8"/>
  <c r="P2914" i="8"/>
  <c r="Q2914" i="8"/>
  <c r="R2914" i="8"/>
  <c r="S2914" i="8"/>
  <c r="T2914" i="8"/>
  <c r="E2915" i="8"/>
  <c r="F2915" i="8"/>
  <c r="G2915" i="8"/>
  <c r="H2915" i="8"/>
  <c r="I2915" i="8"/>
  <c r="J2915" i="8"/>
  <c r="K2915" i="8"/>
  <c r="L2915" i="8"/>
  <c r="M2915" i="8"/>
  <c r="N2915" i="8"/>
  <c r="O2915" i="8"/>
  <c r="P2915" i="8"/>
  <c r="Q2915" i="8"/>
  <c r="R2915" i="8"/>
  <c r="S2915" i="8"/>
  <c r="T2915" i="8"/>
  <c r="E2916" i="8"/>
  <c r="F2916" i="8"/>
  <c r="G2916" i="8"/>
  <c r="H2916" i="8"/>
  <c r="I2916" i="8"/>
  <c r="J2916" i="8"/>
  <c r="K2916" i="8"/>
  <c r="L2916" i="8"/>
  <c r="M2916" i="8"/>
  <c r="N2916" i="8"/>
  <c r="O2916" i="8"/>
  <c r="P2916" i="8"/>
  <c r="Q2916" i="8"/>
  <c r="R2916" i="8"/>
  <c r="S2916" i="8"/>
  <c r="T2916" i="8"/>
  <c r="E2917" i="8"/>
  <c r="F2917" i="8"/>
  <c r="G2917" i="8"/>
  <c r="H2917" i="8"/>
  <c r="I2917" i="8"/>
  <c r="J2917" i="8"/>
  <c r="K2917" i="8"/>
  <c r="L2917" i="8"/>
  <c r="M2917" i="8"/>
  <c r="N2917" i="8"/>
  <c r="O2917" i="8"/>
  <c r="P2917" i="8"/>
  <c r="Q2917" i="8"/>
  <c r="R2917" i="8"/>
  <c r="S2917" i="8"/>
  <c r="T2917" i="8"/>
  <c r="E2918" i="8"/>
  <c r="F2918" i="8"/>
  <c r="G2918" i="8"/>
  <c r="H2918" i="8"/>
  <c r="I2918" i="8"/>
  <c r="J2918" i="8"/>
  <c r="K2918" i="8"/>
  <c r="L2918" i="8"/>
  <c r="M2918" i="8"/>
  <c r="N2918" i="8"/>
  <c r="O2918" i="8"/>
  <c r="P2918" i="8"/>
  <c r="Q2918" i="8"/>
  <c r="R2918" i="8"/>
  <c r="S2918" i="8"/>
  <c r="T2918" i="8"/>
  <c r="E2919" i="8"/>
  <c r="F2919" i="8"/>
  <c r="G2919" i="8"/>
  <c r="H2919" i="8"/>
  <c r="I2919" i="8"/>
  <c r="J2919" i="8"/>
  <c r="K2919" i="8"/>
  <c r="L2919" i="8"/>
  <c r="M2919" i="8"/>
  <c r="N2919" i="8"/>
  <c r="O2919" i="8"/>
  <c r="P2919" i="8"/>
  <c r="Q2919" i="8"/>
  <c r="R2919" i="8"/>
  <c r="S2919" i="8"/>
  <c r="T2919" i="8"/>
  <c r="E2920" i="8"/>
  <c r="F2920" i="8"/>
  <c r="G2920" i="8"/>
  <c r="H2920" i="8"/>
  <c r="I2920" i="8"/>
  <c r="J2920" i="8"/>
  <c r="K2920" i="8"/>
  <c r="L2920" i="8"/>
  <c r="M2920" i="8"/>
  <c r="N2920" i="8"/>
  <c r="O2920" i="8"/>
  <c r="P2920" i="8"/>
  <c r="Q2920" i="8"/>
  <c r="R2920" i="8"/>
  <c r="S2920" i="8"/>
  <c r="T2920" i="8"/>
  <c r="E2921" i="8"/>
  <c r="F2921" i="8"/>
  <c r="G2921" i="8"/>
  <c r="H2921" i="8"/>
  <c r="I2921" i="8"/>
  <c r="J2921" i="8"/>
  <c r="K2921" i="8"/>
  <c r="L2921" i="8"/>
  <c r="M2921" i="8"/>
  <c r="N2921" i="8"/>
  <c r="O2921" i="8"/>
  <c r="P2921" i="8"/>
  <c r="Q2921" i="8"/>
  <c r="R2921" i="8"/>
  <c r="S2921" i="8"/>
  <c r="T2921" i="8"/>
  <c r="E270" i="7"/>
  <c r="F270" i="7"/>
  <c r="G270" i="7"/>
  <c r="H270" i="7"/>
  <c r="I270" i="7"/>
  <c r="J270" i="7"/>
  <c r="K270" i="7"/>
  <c r="L270" i="7"/>
  <c r="M270" i="7"/>
  <c r="N270" i="7"/>
  <c r="P270" i="7"/>
  <c r="Q270" i="7"/>
  <c r="R270" i="7"/>
  <c r="S270" i="7"/>
  <c r="U270" i="7"/>
  <c r="V270" i="7"/>
  <c r="W270" i="7"/>
  <c r="X270" i="7"/>
  <c r="Y270" i="7"/>
  <c r="Z270" i="7"/>
  <c r="AA270" i="7"/>
  <c r="AC270" i="7"/>
  <c r="AE270" i="7"/>
  <c r="AI270" i="7"/>
  <c r="AO270" i="7"/>
  <c r="AP270" i="7"/>
  <c r="E2900" i="8"/>
  <c r="F2900" i="8"/>
  <c r="G2900" i="8"/>
  <c r="H2900" i="8"/>
  <c r="I2900" i="8"/>
  <c r="J2900" i="8"/>
  <c r="K2900" i="8"/>
  <c r="L2900" i="8"/>
  <c r="M2900" i="8"/>
  <c r="N2900" i="8"/>
  <c r="O2900" i="8"/>
  <c r="P2900" i="8"/>
  <c r="Q2900" i="8"/>
  <c r="R2900" i="8"/>
  <c r="S2900" i="8"/>
  <c r="T2900" i="8"/>
  <c r="E2901" i="8"/>
  <c r="F2901" i="8"/>
  <c r="G2901" i="8"/>
  <c r="H2901" i="8"/>
  <c r="I2901" i="8"/>
  <c r="J2901" i="8"/>
  <c r="K2901" i="8"/>
  <c r="L2901" i="8"/>
  <c r="M2901" i="8"/>
  <c r="N2901" i="8"/>
  <c r="O2901" i="8"/>
  <c r="P2901" i="8"/>
  <c r="Q2901" i="8"/>
  <c r="R2901" i="8"/>
  <c r="S2901" i="8"/>
  <c r="T2901" i="8"/>
  <c r="E2902" i="8"/>
  <c r="F2902" i="8"/>
  <c r="G2902" i="8"/>
  <c r="H2902" i="8"/>
  <c r="I2902" i="8"/>
  <c r="J2902" i="8"/>
  <c r="K2902" i="8"/>
  <c r="L2902" i="8"/>
  <c r="M2902" i="8"/>
  <c r="N2902" i="8"/>
  <c r="O2902" i="8"/>
  <c r="P2902" i="8"/>
  <c r="Q2902" i="8"/>
  <c r="R2902" i="8"/>
  <c r="S2902" i="8"/>
  <c r="T2902" i="8"/>
  <c r="E2903" i="8"/>
  <c r="F2903" i="8"/>
  <c r="G2903" i="8"/>
  <c r="H2903" i="8"/>
  <c r="I2903" i="8"/>
  <c r="J2903" i="8"/>
  <c r="K2903" i="8"/>
  <c r="L2903" i="8"/>
  <c r="M2903" i="8"/>
  <c r="N2903" i="8"/>
  <c r="O2903" i="8"/>
  <c r="P2903" i="8"/>
  <c r="Q2903" i="8"/>
  <c r="R2903" i="8"/>
  <c r="S2903" i="8"/>
  <c r="T2903" i="8"/>
  <c r="E2904" i="8"/>
  <c r="F2904" i="8"/>
  <c r="G2904" i="8"/>
  <c r="H2904" i="8"/>
  <c r="I2904" i="8"/>
  <c r="J2904" i="8"/>
  <c r="K2904" i="8"/>
  <c r="L2904" i="8"/>
  <c r="M2904" i="8"/>
  <c r="N2904" i="8"/>
  <c r="O2904" i="8"/>
  <c r="P2904" i="8"/>
  <c r="Q2904" i="8"/>
  <c r="R2904" i="8"/>
  <c r="S2904" i="8"/>
  <c r="T2904" i="8"/>
  <c r="E2905" i="8"/>
  <c r="F2905" i="8"/>
  <c r="G2905" i="8"/>
  <c r="H2905" i="8"/>
  <c r="I2905" i="8"/>
  <c r="J2905" i="8"/>
  <c r="K2905" i="8"/>
  <c r="L2905" i="8"/>
  <c r="M2905" i="8"/>
  <c r="N2905" i="8"/>
  <c r="O2905" i="8"/>
  <c r="P2905" i="8"/>
  <c r="Q2905" i="8"/>
  <c r="R2905" i="8"/>
  <c r="S2905" i="8"/>
  <c r="T2905" i="8"/>
  <c r="E2906" i="8"/>
  <c r="F2906" i="8"/>
  <c r="G2906" i="8"/>
  <c r="H2906" i="8"/>
  <c r="I2906" i="8"/>
  <c r="J2906" i="8"/>
  <c r="K2906" i="8"/>
  <c r="L2906" i="8"/>
  <c r="M2906" i="8"/>
  <c r="N2906" i="8"/>
  <c r="O2906" i="8"/>
  <c r="P2906" i="8"/>
  <c r="Q2906" i="8"/>
  <c r="R2906" i="8"/>
  <c r="S2906" i="8"/>
  <c r="T2906" i="8"/>
  <c r="E2907" i="8"/>
  <c r="F2907" i="8"/>
  <c r="G2907" i="8"/>
  <c r="H2907" i="8"/>
  <c r="I2907" i="8"/>
  <c r="J2907" i="8"/>
  <c r="K2907" i="8"/>
  <c r="L2907" i="8"/>
  <c r="M2907" i="8"/>
  <c r="N2907" i="8"/>
  <c r="O2907" i="8"/>
  <c r="P2907" i="8"/>
  <c r="Q2907" i="8"/>
  <c r="R2907" i="8"/>
  <c r="S2907" i="8"/>
  <c r="T2907" i="8"/>
  <c r="E2908" i="8"/>
  <c r="F2908" i="8"/>
  <c r="G2908" i="8"/>
  <c r="H2908" i="8"/>
  <c r="I2908" i="8"/>
  <c r="J2908" i="8"/>
  <c r="K2908" i="8"/>
  <c r="L2908" i="8"/>
  <c r="M2908" i="8"/>
  <c r="N2908" i="8"/>
  <c r="O2908" i="8"/>
  <c r="P2908" i="8"/>
  <c r="Q2908" i="8"/>
  <c r="R2908" i="8"/>
  <c r="S2908" i="8"/>
  <c r="T2908" i="8"/>
  <c r="E2909" i="8"/>
  <c r="F2909" i="8"/>
  <c r="G2909" i="8"/>
  <c r="H2909" i="8"/>
  <c r="I2909" i="8"/>
  <c r="J2909" i="8"/>
  <c r="K2909" i="8"/>
  <c r="L2909" i="8"/>
  <c r="M2909" i="8"/>
  <c r="N2909" i="8"/>
  <c r="O2909" i="8"/>
  <c r="P2909" i="8"/>
  <c r="Q2909" i="8"/>
  <c r="R2909" i="8"/>
  <c r="S2909" i="8"/>
  <c r="T2909" i="8"/>
  <c r="E2910" i="8"/>
  <c r="F2910" i="8"/>
  <c r="G2910" i="8"/>
  <c r="H2910" i="8"/>
  <c r="I2910" i="8"/>
  <c r="J2910" i="8"/>
  <c r="K2910" i="8"/>
  <c r="L2910" i="8"/>
  <c r="M2910" i="8"/>
  <c r="N2910" i="8"/>
  <c r="O2910" i="8"/>
  <c r="P2910" i="8"/>
  <c r="Q2910" i="8"/>
  <c r="R2910" i="8"/>
  <c r="S2910" i="8"/>
  <c r="T2910" i="8"/>
  <c r="E269" i="7"/>
  <c r="F269" i="7"/>
  <c r="G269" i="7"/>
  <c r="H269" i="7"/>
  <c r="I269" i="7"/>
  <c r="J269" i="7"/>
  <c r="K269" i="7"/>
  <c r="L269" i="7"/>
  <c r="M269" i="7"/>
  <c r="N269" i="7"/>
  <c r="P269" i="7"/>
  <c r="Q269" i="7"/>
  <c r="R269" i="7"/>
  <c r="S269" i="7"/>
  <c r="U269" i="7"/>
  <c r="V269" i="7"/>
  <c r="W269" i="7"/>
  <c r="X269" i="7"/>
  <c r="Y269" i="7"/>
  <c r="Z269" i="7"/>
  <c r="AA269" i="7"/>
  <c r="AC269" i="7"/>
  <c r="AE269" i="7"/>
  <c r="AI269" i="7"/>
  <c r="AO269" i="7"/>
  <c r="AP269" i="7"/>
  <c r="E2889" i="8"/>
  <c r="F2889" i="8"/>
  <c r="G2889" i="8"/>
  <c r="H2889" i="8"/>
  <c r="I2889" i="8"/>
  <c r="J2889" i="8"/>
  <c r="K2889" i="8"/>
  <c r="L2889" i="8"/>
  <c r="M2889" i="8"/>
  <c r="N2889" i="8"/>
  <c r="O2889" i="8"/>
  <c r="P2889" i="8"/>
  <c r="Q2889" i="8"/>
  <c r="R2889" i="8"/>
  <c r="S2889" i="8"/>
  <c r="T2889" i="8"/>
  <c r="E2890" i="8"/>
  <c r="F2890" i="8"/>
  <c r="G2890" i="8"/>
  <c r="H2890" i="8"/>
  <c r="I2890" i="8"/>
  <c r="J2890" i="8"/>
  <c r="K2890" i="8"/>
  <c r="L2890" i="8"/>
  <c r="M2890" i="8"/>
  <c r="N2890" i="8"/>
  <c r="O2890" i="8"/>
  <c r="P2890" i="8"/>
  <c r="Q2890" i="8"/>
  <c r="R2890" i="8"/>
  <c r="S2890" i="8"/>
  <c r="T2890" i="8"/>
  <c r="E2891" i="8"/>
  <c r="F2891" i="8"/>
  <c r="G2891" i="8"/>
  <c r="H2891" i="8"/>
  <c r="I2891" i="8"/>
  <c r="J2891" i="8"/>
  <c r="K2891" i="8"/>
  <c r="L2891" i="8"/>
  <c r="M2891" i="8"/>
  <c r="N2891" i="8"/>
  <c r="O2891" i="8"/>
  <c r="P2891" i="8"/>
  <c r="Q2891" i="8"/>
  <c r="R2891" i="8"/>
  <c r="S2891" i="8"/>
  <c r="T2891" i="8"/>
  <c r="E2892" i="8"/>
  <c r="F2892" i="8"/>
  <c r="G2892" i="8"/>
  <c r="H2892" i="8"/>
  <c r="I2892" i="8"/>
  <c r="J2892" i="8"/>
  <c r="K2892" i="8"/>
  <c r="L2892" i="8"/>
  <c r="M2892" i="8"/>
  <c r="N2892" i="8"/>
  <c r="O2892" i="8"/>
  <c r="P2892" i="8"/>
  <c r="Q2892" i="8"/>
  <c r="R2892" i="8"/>
  <c r="S2892" i="8"/>
  <c r="T2892" i="8"/>
  <c r="E2893" i="8"/>
  <c r="F2893" i="8"/>
  <c r="G2893" i="8"/>
  <c r="H2893" i="8"/>
  <c r="I2893" i="8"/>
  <c r="J2893" i="8"/>
  <c r="K2893" i="8"/>
  <c r="L2893" i="8"/>
  <c r="M2893" i="8"/>
  <c r="N2893" i="8"/>
  <c r="O2893" i="8"/>
  <c r="P2893" i="8"/>
  <c r="Q2893" i="8"/>
  <c r="R2893" i="8"/>
  <c r="S2893" i="8"/>
  <c r="T2893" i="8"/>
  <c r="E2894" i="8"/>
  <c r="F2894" i="8"/>
  <c r="G2894" i="8"/>
  <c r="H2894" i="8"/>
  <c r="I2894" i="8"/>
  <c r="J2894" i="8"/>
  <c r="K2894" i="8"/>
  <c r="L2894" i="8"/>
  <c r="M2894" i="8"/>
  <c r="N2894" i="8"/>
  <c r="O2894" i="8"/>
  <c r="P2894" i="8"/>
  <c r="Q2894" i="8"/>
  <c r="R2894" i="8"/>
  <c r="S2894" i="8"/>
  <c r="T2894" i="8"/>
  <c r="E2895" i="8"/>
  <c r="F2895" i="8"/>
  <c r="G2895" i="8"/>
  <c r="H2895" i="8"/>
  <c r="I2895" i="8"/>
  <c r="J2895" i="8"/>
  <c r="K2895" i="8"/>
  <c r="L2895" i="8"/>
  <c r="M2895" i="8"/>
  <c r="N2895" i="8"/>
  <c r="O2895" i="8"/>
  <c r="P2895" i="8"/>
  <c r="Q2895" i="8"/>
  <c r="R2895" i="8"/>
  <c r="S2895" i="8"/>
  <c r="T2895" i="8"/>
  <c r="E2896" i="8"/>
  <c r="F2896" i="8"/>
  <c r="G2896" i="8"/>
  <c r="H2896" i="8"/>
  <c r="I2896" i="8"/>
  <c r="J2896" i="8"/>
  <c r="K2896" i="8"/>
  <c r="L2896" i="8"/>
  <c r="M2896" i="8"/>
  <c r="N2896" i="8"/>
  <c r="O2896" i="8"/>
  <c r="P2896" i="8"/>
  <c r="Q2896" i="8"/>
  <c r="R2896" i="8"/>
  <c r="S2896" i="8"/>
  <c r="T2896" i="8"/>
  <c r="E2897" i="8"/>
  <c r="F2897" i="8"/>
  <c r="G2897" i="8"/>
  <c r="H2897" i="8"/>
  <c r="I2897" i="8"/>
  <c r="J2897" i="8"/>
  <c r="K2897" i="8"/>
  <c r="L2897" i="8"/>
  <c r="M2897" i="8"/>
  <c r="N2897" i="8"/>
  <c r="O2897" i="8"/>
  <c r="P2897" i="8"/>
  <c r="Q2897" i="8"/>
  <c r="R2897" i="8"/>
  <c r="S2897" i="8"/>
  <c r="T2897" i="8"/>
  <c r="E2898" i="8"/>
  <c r="F2898" i="8"/>
  <c r="G2898" i="8"/>
  <c r="H2898" i="8"/>
  <c r="I2898" i="8"/>
  <c r="J2898" i="8"/>
  <c r="K2898" i="8"/>
  <c r="L2898" i="8"/>
  <c r="M2898" i="8"/>
  <c r="N2898" i="8"/>
  <c r="O2898" i="8"/>
  <c r="P2898" i="8"/>
  <c r="Q2898" i="8"/>
  <c r="R2898" i="8"/>
  <c r="S2898" i="8"/>
  <c r="T2898" i="8"/>
  <c r="E2899" i="8"/>
  <c r="F2899" i="8"/>
  <c r="G2899" i="8"/>
  <c r="H2899" i="8"/>
  <c r="I2899" i="8"/>
  <c r="J2899" i="8"/>
  <c r="K2899" i="8"/>
  <c r="L2899" i="8"/>
  <c r="M2899" i="8"/>
  <c r="N2899" i="8"/>
  <c r="O2899" i="8"/>
  <c r="P2899" i="8"/>
  <c r="Q2899" i="8"/>
  <c r="R2899" i="8"/>
  <c r="S2899" i="8"/>
  <c r="T2899" i="8"/>
  <c r="E268" i="7"/>
  <c r="F268" i="7"/>
  <c r="G268" i="7"/>
  <c r="H268" i="7"/>
  <c r="I268" i="7"/>
  <c r="J268" i="7"/>
  <c r="K268" i="7"/>
  <c r="L268" i="7"/>
  <c r="M268" i="7"/>
  <c r="N268" i="7"/>
  <c r="P268" i="7"/>
  <c r="Q268" i="7"/>
  <c r="R268" i="7"/>
  <c r="S268" i="7"/>
  <c r="U268" i="7"/>
  <c r="V268" i="7"/>
  <c r="W268" i="7"/>
  <c r="X268" i="7"/>
  <c r="Y268" i="7"/>
  <c r="Z268" i="7"/>
  <c r="AA268" i="7"/>
  <c r="AC268" i="7"/>
  <c r="AE268" i="7"/>
  <c r="AI268" i="7"/>
  <c r="AO268" i="7"/>
  <c r="AP268" i="7"/>
  <c r="E2878" i="8"/>
  <c r="F2878" i="8"/>
  <c r="G2878" i="8"/>
  <c r="H2878" i="8"/>
  <c r="I2878" i="8"/>
  <c r="J2878" i="8"/>
  <c r="K2878" i="8"/>
  <c r="L2878" i="8"/>
  <c r="M2878" i="8"/>
  <c r="N2878" i="8"/>
  <c r="O2878" i="8"/>
  <c r="P2878" i="8"/>
  <c r="Q2878" i="8"/>
  <c r="R2878" i="8"/>
  <c r="S2878" i="8"/>
  <c r="T2878" i="8"/>
  <c r="E2879" i="8"/>
  <c r="F2879" i="8"/>
  <c r="G2879" i="8"/>
  <c r="H2879" i="8"/>
  <c r="I2879" i="8"/>
  <c r="J2879" i="8"/>
  <c r="K2879" i="8"/>
  <c r="L2879" i="8"/>
  <c r="M2879" i="8"/>
  <c r="N2879" i="8"/>
  <c r="O2879" i="8"/>
  <c r="P2879" i="8"/>
  <c r="Q2879" i="8"/>
  <c r="R2879" i="8"/>
  <c r="S2879" i="8"/>
  <c r="T2879" i="8"/>
  <c r="E2880" i="8"/>
  <c r="F2880" i="8"/>
  <c r="G2880" i="8"/>
  <c r="H2880" i="8"/>
  <c r="I2880" i="8"/>
  <c r="J2880" i="8"/>
  <c r="K2880" i="8"/>
  <c r="L2880" i="8"/>
  <c r="M2880" i="8"/>
  <c r="N2880" i="8"/>
  <c r="O2880" i="8"/>
  <c r="P2880" i="8"/>
  <c r="Q2880" i="8"/>
  <c r="R2880" i="8"/>
  <c r="S2880" i="8"/>
  <c r="T2880" i="8"/>
  <c r="E2881" i="8"/>
  <c r="F2881" i="8"/>
  <c r="G2881" i="8"/>
  <c r="H2881" i="8"/>
  <c r="I2881" i="8"/>
  <c r="J2881" i="8"/>
  <c r="K2881" i="8"/>
  <c r="L2881" i="8"/>
  <c r="M2881" i="8"/>
  <c r="N2881" i="8"/>
  <c r="O2881" i="8"/>
  <c r="P2881" i="8"/>
  <c r="Q2881" i="8"/>
  <c r="R2881" i="8"/>
  <c r="S2881" i="8"/>
  <c r="T2881" i="8"/>
  <c r="E2882" i="8"/>
  <c r="F2882" i="8"/>
  <c r="G2882" i="8"/>
  <c r="H2882" i="8"/>
  <c r="I2882" i="8"/>
  <c r="J2882" i="8"/>
  <c r="K2882" i="8"/>
  <c r="L2882" i="8"/>
  <c r="M2882" i="8"/>
  <c r="N2882" i="8"/>
  <c r="O2882" i="8"/>
  <c r="P2882" i="8"/>
  <c r="Q2882" i="8"/>
  <c r="R2882" i="8"/>
  <c r="S2882" i="8"/>
  <c r="T2882" i="8"/>
  <c r="E2883" i="8"/>
  <c r="F2883" i="8"/>
  <c r="G2883" i="8"/>
  <c r="H2883" i="8"/>
  <c r="I2883" i="8"/>
  <c r="J2883" i="8"/>
  <c r="K2883" i="8"/>
  <c r="L2883" i="8"/>
  <c r="M2883" i="8"/>
  <c r="N2883" i="8"/>
  <c r="O2883" i="8"/>
  <c r="P2883" i="8"/>
  <c r="Q2883" i="8"/>
  <c r="R2883" i="8"/>
  <c r="S2883" i="8"/>
  <c r="T2883" i="8"/>
  <c r="E2884" i="8"/>
  <c r="F2884" i="8"/>
  <c r="G2884" i="8"/>
  <c r="H2884" i="8"/>
  <c r="I2884" i="8"/>
  <c r="J2884" i="8"/>
  <c r="K2884" i="8"/>
  <c r="L2884" i="8"/>
  <c r="M2884" i="8"/>
  <c r="N2884" i="8"/>
  <c r="O2884" i="8"/>
  <c r="P2884" i="8"/>
  <c r="Q2884" i="8"/>
  <c r="R2884" i="8"/>
  <c r="S2884" i="8"/>
  <c r="T2884" i="8"/>
  <c r="E2885" i="8"/>
  <c r="F2885" i="8"/>
  <c r="G2885" i="8"/>
  <c r="H2885" i="8"/>
  <c r="I2885" i="8"/>
  <c r="J2885" i="8"/>
  <c r="K2885" i="8"/>
  <c r="L2885" i="8"/>
  <c r="M2885" i="8"/>
  <c r="N2885" i="8"/>
  <c r="O2885" i="8"/>
  <c r="P2885" i="8"/>
  <c r="Q2885" i="8"/>
  <c r="R2885" i="8"/>
  <c r="S2885" i="8"/>
  <c r="T2885" i="8"/>
  <c r="E2886" i="8"/>
  <c r="F2886" i="8"/>
  <c r="G2886" i="8"/>
  <c r="H2886" i="8"/>
  <c r="I2886" i="8"/>
  <c r="J2886" i="8"/>
  <c r="K2886" i="8"/>
  <c r="L2886" i="8"/>
  <c r="M2886" i="8"/>
  <c r="N2886" i="8"/>
  <c r="O2886" i="8"/>
  <c r="P2886" i="8"/>
  <c r="Q2886" i="8"/>
  <c r="R2886" i="8"/>
  <c r="S2886" i="8"/>
  <c r="T2886" i="8"/>
  <c r="E2887" i="8"/>
  <c r="F2887" i="8"/>
  <c r="G2887" i="8"/>
  <c r="H2887" i="8"/>
  <c r="I2887" i="8"/>
  <c r="J2887" i="8"/>
  <c r="K2887" i="8"/>
  <c r="L2887" i="8"/>
  <c r="M2887" i="8"/>
  <c r="N2887" i="8"/>
  <c r="O2887" i="8"/>
  <c r="P2887" i="8"/>
  <c r="Q2887" i="8"/>
  <c r="R2887" i="8"/>
  <c r="S2887" i="8"/>
  <c r="T2887" i="8"/>
  <c r="E2888" i="8"/>
  <c r="F2888" i="8"/>
  <c r="G2888" i="8"/>
  <c r="H2888" i="8"/>
  <c r="I2888" i="8"/>
  <c r="J2888" i="8"/>
  <c r="K2888" i="8"/>
  <c r="L2888" i="8"/>
  <c r="M2888" i="8"/>
  <c r="N2888" i="8"/>
  <c r="O2888" i="8"/>
  <c r="P2888" i="8"/>
  <c r="Q2888" i="8"/>
  <c r="R2888" i="8"/>
  <c r="S2888" i="8"/>
  <c r="T2888" i="8"/>
  <c r="E267" i="7"/>
  <c r="F267" i="7"/>
  <c r="G267" i="7"/>
  <c r="H267" i="7"/>
  <c r="I267" i="7"/>
  <c r="J267" i="7"/>
  <c r="K267" i="7"/>
  <c r="L267" i="7"/>
  <c r="M267" i="7"/>
  <c r="N267" i="7"/>
  <c r="P267" i="7"/>
  <c r="Q267" i="7"/>
  <c r="R267" i="7"/>
  <c r="S267" i="7"/>
  <c r="U267" i="7"/>
  <c r="V267" i="7"/>
  <c r="W267" i="7"/>
  <c r="X267" i="7"/>
  <c r="Y267" i="7"/>
  <c r="Z267" i="7"/>
  <c r="AA267" i="7"/>
  <c r="AC267" i="7"/>
  <c r="AE267" i="7"/>
  <c r="AI267" i="7"/>
  <c r="AO267" i="7"/>
  <c r="AP267" i="7"/>
  <c r="E2867" i="8"/>
  <c r="F2867" i="8"/>
  <c r="G2867" i="8"/>
  <c r="H2867" i="8"/>
  <c r="I2867" i="8"/>
  <c r="J2867" i="8"/>
  <c r="K2867" i="8"/>
  <c r="L2867" i="8"/>
  <c r="M2867" i="8"/>
  <c r="N2867" i="8"/>
  <c r="O2867" i="8"/>
  <c r="P2867" i="8"/>
  <c r="Q2867" i="8"/>
  <c r="R2867" i="8"/>
  <c r="S2867" i="8"/>
  <c r="T2867" i="8"/>
  <c r="E2868" i="8"/>
  <c r="F2868" i="8"/>
  <c r="G2868" i="8"/>
  <c r="H2868" i="8"/>
  <c r="I2868" i="8"/>
  <c r="J2868" i="8"/>
  <c r="K2868" i="8"/>
  <c r="L2868" i="8"/>
  <c r="M2868" i="8"/>
  <c r="N2868" i="8"/>
  <c r="O2868" i="8"/>
  <c r="P2868" i="8"/>
  <c r="Q2868" i="8"/>
  <c r="R2868" i="8"/>
  <c r="S2868" i="8"/>
  <c r="T2868" i="8"/>
  <c r="E2869" i="8"/>
  <c r="F2869" i="8"/>
  <c r="G2869" i="8"/>
  <c r="H2869" i="8"/>
  <c r="I2869" i="8"/>
  <c r="J2869" i="8"/>
  <c r="K2869" i="8"/>
  <c r="L2869" i="8"/>
  <c r="M2869" i="8"/>
  <c r="N2869" i="8"/>
  <c r="O2869" i="8"/>
  <c r="P2869" i="8"/>
  <c r="Q2869" i="8"/>
  <c r="R2869" i="8"/>
  <c r="S2869" i="8"/>
  <c r="T2869" i="8"/>
  <c r="E2870" i="8"/>
  <c r="F2870" i="8"/>
  <c r="G2870" i="8"/>
  <c r="H2870" i="8"/>
  <c r="I2870" i="8"/>
  <c r="J2870" i="8"/>
  <c r="K2870" i="8"/>
  <c r="L2870" i="8"/>
  <c r="M2870" i="8"/>
  <c r="N2870" i="8"/>
  <c r="O2870" i="8"/>
  <c r="P2870" i="8"/>
  <c r="Q2870" i="8"/>
  <c r="R2870" i="8"/>
  <c r="S2870" i="8"/>
  <c r="T2870" i="8"/>
  <c r="E2871" i="8"/>
  <c r="F2871" i="8"/>
  <c r="G2871" i="8"/>
  <c r="H2871" i="8"/>
  <c r="I2871" i="8"/>
  <c r="J2871" i="8"/>
  <c r="K2871" i="8"/>
  <c r="L2871" i="8"/>
  <c r="M2871" i="8"/>
  <c r="N2871" i="8"/>
  <c r="O2871" i="8"/>
  <c r="P2871" i="8"/>
  <c r="Q2871" i="8"/>
  <c r="R2871" i="8"/>
  <c r="S2871" i="8"/>
  <c r="T2871" i="8"/>
  <c r="E2872" i="8"/>
  <c r="F2872" i="8"/>
  <c r="G2872" i="8"/>
  <c r="H2872" i="8"/>
  <c r="I2872" i="8"/>
  <c r="J2872" i="8"/>
  <c r="K2872" i="8"/>
  <c r="L2872" i="8"/>
  <c r="M2872" i="8"/>
  <c r="N2872" i="8"/>
  <c r="O2872" i="8"/>
  <c r="P2872" i="8"/>
  <c r="Q2872" i="8"/>
  <c r="R2872" i="8"/>
  <c r="S2872" i="8"/>
  <c r="T2872" i="8"/>
  <c r="E2873" i="8"/>
  <c r="F2873" i="8"/>
  <c r="G2873" i="8"/>
  <c r="H2873" i="8"/>
  <c r="I2873" i="8"/>
  <c r="J2873" i="8"/>
  <c r="K2873" i="8"/>
  <c r="L2873" i="8"/>
  <c r="M2873" i="8"/>
  <c r="N2873" i="8"/>
  <c r="O2873" i="8"/>
  <c r="P2873" i="8"/>
  <c r="Q2873" i="8"/>
  <c r="R2873" i="8"/>
  <c r="S2873" i="8"/>
  <c r="T2873" i="8"/>
  <c r="E2874" i="8"/>
  <c r="F2874" i="8"/>
  <c r="G2874" i="8"/>
  <c r="H2874" i="8"/>
  <c r="I2874" i="8"/>
  <c r="J2874" i="8"/>
  <c r="K2874" i="8"/>
  <c r="L2874" i="8"/>
  <c r="M2874" i="8"/>
  <c r="N2874" i="8"/>
  <c r="O2874" i="8"/>
  <c r="P2874" i="8"/>
  <c r="Q2874" i="8"/>
  <c r="R2874" i="8"/>
  <c r="S2874" i="8"/>
  <c r="T2874" i="8"/>
  <c r="E2875" i="8"/>
  <c r="F2875" i="8"/>
  <c r="G2875" i="8"/>
  <c r="H2875" i="8"/>
  <c r="I2875" i="8"/>
  <c r="J2875" i="8"/>
  <c r="K2875" i="8"/>
  <c r="L2875" i="8"/>
  <c r="M2875" i="8"/>
  <c r="N2875" i="8"/>
  <c r="O2875" i="8"/>
  <c r="P2875" i="8"/>
  <c r="Q2875" i="8"/>
  <c r="R2875" i="8"/>
  <c r="S2875" i="8"/>
  <c r="T2875" i="8"/>
  <c r="E2876" i="8"/>
  <c r="F2876" i="8"/>
  <c r="G2876" i="8"/>
  <c r="H2876" i="8"/>
  <c r="I2876" i="8"/>
  <c r="J2876" i="8"/>
  <c r="K2876" i="8"/>
  <c r="L2876" i="8"/>
  <c r="M2876" i="8"/>
  <c r="N2876" i="8"/>
  <c r="O2876" i="8"/>
  <c r="P2876" i="8"/>
  <c r="Q2876" i="8"/>
  <c r="R2876" i="8"/>
  <c r="S2876" i="8"/>
  <c r="T2876" i="8"/>
  <c r="E2877" i="8"/>
  <c r="F2877" i="8"/>
  <c r="G2877" i="8"/>
  <c r="H2877" i="8"/>
  <c r="I2877" i="8"/>
  <c r="J2877" i="8"/>
  <c r="K2877" i="8"/>
  <c r="L2877" i="8"/>
  <c r="M2877" i="8"/>
  <c r="N2877" i="8"/>
  <c r="O2877" i="8"/>
  <c r="P2877" i="8"/>
  <c r="Q2877" i="8"/>
  <c r="R2877" i="8"/>
  <c r="S2877" i="8"/>
  <c r="T2877" i="8"/>
  <c r="E266" i="7"/>
  <c r="F266" i="7"/>
  <c r="G266" i="7"/>
  <c r="H266" i="7"/>
  <c r="I266" i="7"/>
  <c r="J266" i="7"/>
  <c r="K266" i="7"/>
  <c r="L266" i="7"/>
  <c r="M266" i="7"/>
  <c r="N266" i="7"/>
  <c r="P266" i="7"/>
  <c r="Q266" i="7"/>
  <c r="R266" i="7"/>
  <c r="S266" i="7"/>
  <c r="U266" i="7"/>
  <c r="V266" i="7"/>
  <c r="W266" i="7"/>
  <c r="X266" i="7"/>
  <c r="Y266" i="7"/>
  <c r="Z266" i="7"/>
  <c r="AA266" i="7"/>
  <c r="AC266" i="7"/>
  <c r="AE266" i="7"/>
  <c r="AI266" i="7"/>
  <c r="AO266" i="7"/>
  <c r="AP266" i="7"/>
  <c r="E2856" i="8"/>
  <c r="F2856" i="8"/>
  <c r="G2856" i="8"/>
  <c r="H2856" i="8"/>
  <c r="I2856" i="8"/>
  <c r="J2856" i="8"/>
  <c r="K2856" i="8"/>
  <c r="L2856" i="8"/>
  <c r="M2856" i="8"/>
  <c r="N2856" i="8"/>
  <c r="O2856" i="8"/>
  <c r="P2856" i="8"/>
  <c r="Q2856" i="8"/>
  <c r="R2856" i="8"/>
  <c r="S2856" i="8"/>
  <c r="T2856" i="8"/>
  <c r="E2857" i="8"/>
  <c r="F2857" i="8"/>
  <c r="G2857" i="8"/>
  <c r="H2857" i="8"/>
  <c r="I2857" i="8"/>
  <c r="J2857" i="8"/>
  <c r="K2857" i="8"/>
  <c r="L2857" i="8"/>
  <c r="M2857" i="8"/>
  <c r="N2857" i="8"/>
  <c r="O2857" i="8"/>
  <c r="P2857" i="8"/>
  <c r="Q2857" i="8"/>
  <c r="R2857" i="8"/>
  <c r="S2857" i="8"/>
  <c r="T2857" i="8"/>
  <c r="E2858" i="8"/>
  <c r="F2858" i="8"/>
  <c r="G2858" i="8"/>
  <c r="H2858" i="8"/>
  <c r="I2858" i="8"/>
  <c r="J2858" i="8"/>
  <c r="K2858" i="8"/>
  <c r="L2858" i="8"/>
  <c r="M2858" i="8"/>
  <c r="N2858" i="8"/>
  <c r="O2858" i="8"/>
  <c r="P2858" i="8"/>
  <c r="Q2858" i="8"/>
  <c r="R2858" i="8"/>
  <c r="S2858" i="8"/>
  <c r="T2858" i="8"/>
  <c r="E2859" i="8"/>
  <c r="F2859" i="8"/>
  <c r="G2859" i="8"/>
  <c r="H2859" i="8"/>
  <c r="I2859" i="8"/>
  <c r="J2859" i="8"/>
  <c r="K2859" i="8"/>
  <c r="L2859" i="8"/>
  <c r="M2859" i="8"/>
  <c r="N2859" i="8"/>
  <c r="O2859" i="8"/>
  <c r="P2859" i="8"/>
  <c r="Q2859" i="8"/>
  <c r="R2859" i="8"/>
  <c r="S2859" i="8"/>
  <c r="T2859" i="8"/>
  <c r="E2860" i="8"/>
  <c r="F2860" i="8"/>
  <c r="G2860" i="8"/>
  <c r="H2860" i="8"/>
  <c r="I2860" i="8"/>
  <c r="J2860" i="8"/>
  <c r="K2860" i="8"/>
  <c r="L2860" i="8"/>
  <c r="M2860" i="8"/>
  <c r="N2860" i="8"/>
  <c r="O2860" i="8"/>
  <c r="P2860" i="8"/>
  <c r="Q2860" i="8"/>
  <c r="R2860" i="8"/>
  <c r="S2860" i="8"/>
  <c r="T2860" i="8"/>
  <c r="E2861" i="8"/>
  <c r="F2861" i="8"/>
  <c r="G2861" i="8"/>
  <c r="H2861" i="8"/>
  <c r="I2861" i="8"/>
  <c r="J2861" i="8"/>
  <c r="K2861" i="8"/>
  <c r="L2861" i="8"/>
  <c r="M2861" i="8"/>
  <c r="N2861" i="8"/>
  <c r="O2861" i="8"/>
  <c r="P2861" i="8"/>
  <c r="Q2861" i="8"/>
  <c r="R2861" i="8"/>
  <c r="S2861" i="8"/>
  <c r="T2861" i="8"/>
  <c r="E2862" i="8"/>
  <c r="F2862" i="8"/>
  <c r="G2862" i="8"/>
  <c r="H2862" i="8"/>
  <c r="I2862" i="8"/>
  <c r="J2862" i="8"/>
  <c r="K2862" i="8"/>
  <c r="L2862" i="8"/>
  <c r="M2862" i="8"/>
  <c r="N2862" i="8"/>
  <c r="O2862" i="8"/>
  <c r="P2862" i="8"/>
  <c r="Q2862" i="8"/>
  <c r="R2862" i="8"/>
  <c r="S2862" i="8"/>
  <c r="T2862" i="8"/>
  <c r="E2863" i="8"/>
  <c r="F2863" i="8"/>
  <c r="G2863" i="8"/>
  <c r="H2863" i="8"/>
  <c r="I2863" i="8"/>
  <c r="J2863" i="8"/>
  <c r="K2863" i="8"/>
  <c r="L2863" i="8"/>
  <c r="M2863" i="8"/>
  <c r="N2863" i="8"/>
  <c r="O2863" i="8"/>
  <c r="P2863" i="8"/>
  <c r="Q2863" i="8"/>
  <c r="R2863" i="8"/>
  <c r="S2863" i="8"/>
  <c r="T2863" i="8"/>
  <c r="E2864" i="8"/>
  <c r="F2864" i="8"/>
  <c r="G2864" i="8"/>
  <c r="H2864" i="8"/>
  <c r="I2864" i="8"/>
  <c r="J2864" i="8"/>
  <c r="K2864" i="8"/>
  <c r="L2864" i="8"/>
  <c r="M2864" i="8"/>
  <c r="N2864" i="8"/>
  <c r="O2864" i="8"/>
  <c r="P2864" i="8"/>
  <c r="Q2864" i="8"/>
  <c r="R2864" i="8"/>
  <c r="S2864" i="8"/>
  <c r="T2864" i="8"/>
  <c r="E2865" i="8"/>
  <c r="F2865" i="8"/>
  <c r="G2865" i="8"/>
  <c r="H2865" i="8"/>
  <c r="I2865" i="8"/>
  <c r="J2865" i="8"/>
  <c r="K2865" i="8"/>
  <c r="L2865" i="8"/>
  <c r="M2865" i="8"/>
  <c r="N2865" i="8"/>
  <c r="O2865" i="8"/>
  <c r="P2865" i="8"/>
  <c r="Q2865" i="8"/>
  <c r="R2865" i="8"/>
  <c r="S2865" i="8"/>
  <c r="T2865" i="8"/>
  <c r="E2866" i="8"/>
  <c r="F2866" i="8"/>
  <c r="G2866" i="8"/>
  <c r="H2866" i="8"/>
  <c r="I2866" i="8"/>
  <c r="J2866" i="8"/>
  <c r="K2866" i="8"/>
  <c r="L2866" i="8"/>
  <c r="M2866" i="8"/>
  <c r="N2866" i="8"/>
  <c r="O2866" i="8"/>
  <c r="P2866" i="8"/>
  <c r="Q2866" i="8"/>
  <c r="R2866" i="8"/>
  <c r="S2866" i="8"/>
  <c r="T2866" i="8"/>
  <c r="E265" i="7"/>
  <c r="F265" i="7"/>
  <c r="G265" i="7"/>
  <c r="H265" i="7"/>
  <c r="I265" i="7"/>
  <c r="J265" i="7"/>
  <c r="K265" i="7"/>
  <c r="L265" i="7"/>
  <c r="M265" i="7"/>
  <c r="N265" i="7"/>
  <c r="P265" i="7"/>
  <c r="Q265" i="7"/>
  <c r="R265" i="7"/>
  <c r="S265" i="7"/>
  <c r="U265" i="7"/>
  <c r="V265" i="7"/>
  <c r="W265" i="7"/>
  <c r="X265" i="7"/>
  <c r="Y265" i="7"/>
  <c r="Z265" i="7"/>
  <c r="AA265" i="7"/>
  <c r="AC265" i="7"/>
  <c r="AE265" i="7"/>
  <c r="AI265" i="7"/>
  <c r="AO265" i="7"/>
  <c r="AP265" i="7"/>
  <c r="E2845" i="8"/>
  <c r="F2845" i="8"/>
  <c r="G2845" i="8"/>
  <c r="H2845" i="8"/>
  <c r="I2845" i="8"/>
  <c r="J2845" i="8"/>
  <c r="K2845" i="8"/>
  <c r="L2845" i="8"/>
  <c r="M2845" i="8"/>
  <c r="N2845" i="8"/>
  <c r="O2845" i="8"/>
  <c r="P2845" i="8"/>
  <c r="Q2845" i="8"/>
  <c r="R2845" i="8"/>
  <c r="S2845" i="8"/>
  <c r="T2845" i="8"/>
  <c r="E2846" i="8"/>
  <c r="F2846" i="8"/>
  <c r="G2846" i="8"/>
  <c r="H2846" i="8"/>
  <c r="I2846" i="8"/>
  <c r="J2846" i="8"/>
  <c r="K2846" i="8"/>
  <c r="L2846" i="8"/>
  <c r="M2846" i="8"/>
  <c r="N2846" i="8"/>
  <c r="O2846" i="8"/>
  <c r="P2846" i="8"/>
  <c r="Q2846" i="8"/>
  <c r="R2846" i="8"/>
  <c r="S2846" i="8"/>
  <c r="T2846" i="8"/>
  <c r="E2847" i="8"/>
  <c r="F2847" i="8"/>
  <c r="G2847" i="8"/>
  <c r="H2847" i="8"/>
  <c r="I2847" i="8"/>
  <c r="J2847" i="8"/>
  <c r="K2847" i="8"/>
  <c r="L2847" i="8"/>
  <c r="M2847" i="8"/>
  <c r="N2847" i="8"/>
  <c r="O2847" i="8"/>
  <c r="P2847" i="8"/>
  <c r="Q2847" i="8"/>
  <c r="R2847" i="8"/>
  <c r="S2847" i="8"/>
  <c r="T2847" i="8"/>
  <c r="E2848" i="8"/>
  <c r="F2848" i="8"/>
  <c r="G2848" i="8"/>
  <c r="H2848" i="8"/>
  <c r="I2848" i="8"/>
  <c r="J2848" i="8"/>
  <c r="K2848" i="8"/>
  <c r="L2848" i="8"/>
  <c r="M2848" i="8"/>
  <c r="N2848" i="8"/>
  <c r="O2848" i="8"/>
  <c r="P2848" i="8"/>
  <c r="Q2848" i="8"/>
  <c r="R2848" i="8"/>
  <c r="S2848" i="8"/>
  <c r="T2848" i="8"/>
  <c r="E2849" i="8"/>
  <c r="F2849" i="8"/>
  <c r="G2849" i="8"/>
  <c r="H2849" i="8"/>
  <c r="I2849" i="8"/>
  <c r="J2849" i="8"/>
  <c r="K2849" i="8"/>
  <c r="L2849" i="8"/>
  <c r="M2849" i="8"/>
  <c r="N2849" i="8"/>
  <c r="O2849" i="8"/>
  <c r="P2849" i="8"/>
  <c r="Q2849" i="8"/>
  <c r="R2849" i="8"/>
  <c r="S2849" i="8"/>
  <c r="T2849" i="8"/>
  <c r="E2850" i="8"/>
  <c r="F2850" i="8"/>
  <c r="G2850" i="8"/>
  <c r="H2850" i="8"/>
  <c r="I2850" i="8"/>
  <c r="J2850" i="8"/>
  <c r="K2850" i="8"/>
  <c r="L2850" i="8"/>
  <c r="M2850" i="8"/>
  <c r="N2850" i="8"/>
  <c r="O2850" i="8"/>
  <c r="P2850" i="8"/>
  <c r="Q2850" i="8"/>
  <c r="R2850" i="8"/>
  <c r="S2850" i="8"/>
  <c r="T2850" i="8"/>
  <c r="E2851" i="8"/>
  <c r="F2851" i="8"/>
  <c r="G2851" i="8"/>
  <c r="H2851" i="8"/>
  <c r="I2851" i="8"/>
  <c r="J2851" i="8"/>
  <c r="K2851" i="8"/>
  <c r="L2851" i="8"/>
  <c r="M2851" i="8"/>
  <c r="N2851" i="8"/>
  <c r="O2851" i="8"/>
  <c r="P2851" i="8"/>
  <c r="Q2851" i="8"/>
  <c r="R2851" i="8"/>
  <c r="S2851" i="8"/>
  <c r="T2851" i="8"/>
  <c r="E2852" i="8"/>
  <c r="F2852" i="8"/>
  <c r="G2852" i="8"/>
  <c r="H2852" i="8"/>
  <c r="I2852" i="8"/>
  <c r="J2852" i="8"/>
  <c r="K2852" i="8"/>
  <c r="L2852" i="8"/>
  <c r="M2852" i="8"/>
  <c r="N2852" i="8"/>
  <c r="O2852" i="8"/>
  <c r="P2852" i="8"/>
  <c r="Q2852" i="8"/>
  <c r="R2852" i="8"/>
  <c r="S2852" i="8"/>
  <c r="T2852" i="8"/>
  <c r="E2853" i="8"/>
  <c r="F2853" i="8"/>
  <c r="G2853" i="8"/>
  <c r="H2853" i="8"/>
  <c r="I2853" i="8"/>
  <c r="J2853" i="8"/>
  <c r="K2853" i="8"/>
  <c r="L2853" i="8"/>
  <c r="M2853" i="8"/>
  <c r="N2853" i="8"/>
  <c r="O2853" i="8"/>
  <c r="P2853" i="8"/>
  <c r="Q2853" i="8"/>
  <c r="R2853" i="8"/>
  <c r="S2853" i="8"/>
  <c r="T2853" i="8"/>
  <c r="E2854" i="8"/>
  <c r="F2854" i="8"/>
  <c r="G2854" i="8"/>
  <c r="H2854" i="8"/>
  <c r="I2854" i="8"/>
  <c r="J2854" i="8"/>
  <c r="K2854" i="8"/>
  <c r="L2854" i="8"/>
  <c r="M2854" i="8"/>
  <c r="N2854" i="8"/>
  <c r="O2854" i="8"/>
  <c r="P2854" i="8"/>
  <c r="Q2854" i="8"/>
  <c r="R2854" i="8"/>
  <c r="S2854" i="8"/>
  <c r="T2854" i="8"/>
  <c r="E2855" i="8"/>
  <c r="F2855" i="8"/>
  <c r="G2855" i="8"/>
  <c r="H2855" i="8"/>
  <c r="I2855" i="8"/>
  <c r="J2855" i="8"/>
  <c r="K2855" i="8"/>
  <c r="L2855" i="8"/>
  <c r="M2855" i="8"/>
  <c r="N2855" i="8"/>
  <c r="O2855" i="8"/>
  <c r="P2855" i="8"/>
  <c r="Q2855" i="8"/>
  <c r="R2855" i="8"/>
  <c r="S2855" i="8"/>
  <c r="T2855" i="8"/>
  <c r="E264" i="7"/>
  <c r="F264" i="7"/>
  <c r="G264" i="7"/>
  <c r="H264" i="7"/>
  <c r="I264" i="7"/>
  <c r="J264" i="7"/>
  <c r="K264" i="7"/>
  <c r="L264" i="7"/>
  <c r="M264" i="7"/>
  <c r="N264" i="7"/>
  <c r="P264" i="7"/>
  <c r="Q264" i="7"/>
  <c r="R264" i="7"/>
  <c r="S264" i="7"/>
  <c r="U264" i="7"/>
  <c r="V264" i="7"/>
  <c r="W264" i="7"/>
  <c r="X264" i="7"/>
  <c r="Y264" i="7"/>
  <c r="Z264" i="7"/>
  <c r="AA264" i="7"/>
  <c r="AC264" i="7"/>
  <c r="AE264" i="7"/>
  <c r="AI264" i="7"/>
  <c r="AO264" i="7"/>
  <c r="AP264" i="7"/>
  <c r="E2834" i="8"/>
  <c r="F2834" i="8"/>
  <c r="G2834" i="8"/>
  <c r="H2834" i="8"/>
  <c r="I2834" i="8"/>
  <c r="J2834" i="8"/>
  <c r="K2834" i="8"/>
  <c r="L2834" i="8"/>
  <c r="M2834" i="8"/>
  <c r="N2834" i="8"/>
  <c r="O2834" i="8"/>
  <c r="P2834" i="8"/>
  <c r="Q2834" i="8"/>
  <c r="R2834" i="8"/>
  <c r="S2834" i="8"/>
  <c r="T2834" i="8"/>
  <c r="E2835" i="8"/>
  <c r="F2835" i="8"/>
  <c r="G2835" i="8"/>
  <c r="H2835" i="8"/>
  <c r="I2835" i="8"/>
  <c r="J2835" i="8"/>
  <c r="K2835" i="8"/>
  <c r="L2835" i="8"/>
  <c r="M2835" i="8"/>
  <c r="N2835" i="8"/>
  <c r="O2835" i="8"/>
  <c r="P2835" i="8"/>
  <c r="Q2835" i="8"/>
  <c r="R2835" i="8"/>
  <c r="S2835" i="8"/>
  <c r="T2835" i="8"/>
  <c r="E2836" i="8"/>
  <c r="F2836" i="8"/>
  <c r="G2836" i="8"/>
  <c r="H2836" i="8"/>
  <c r="I2836" i="8"/>
  <c r="J2836" i="8"/>
  <c r="K2836" i="8"/>
  <c r="L2836" i="8"/>
  <c r="M2836" i="8"/>
  <c r="N2836" i="8"/>
  <c r="O2836" i="8"/>
  <c r="P2836" i="8"/>
  <c r="Q2836" i="8"/>
  <c r="R2836" i="8"/>
  <c r="S2836" i="8"/>
  <c r="T2836" i="8"/>
  <c r="E2837" i="8"/>
  <c r="F2837" i="8"/>
  <c r="G2837" i="8"/>
  <c r="H2837" i="8"/>
  <c r="I2837" i="8"/>
  <c r="J2837" i="8"/>
  <c r="K2837" i="8"/>
  <c r="L2837" i="8"/>
  <c r="M2837" i="8"/>
  <c r="N2837" i="8"/>
  <c r="O2837" i="8"/>
  <c r="P2837" i="8"/>
  <c r="Q2837" i="8"/>
  <c r="R2837" i="8"/>
  <c r="S2837" i="8"/>
  <c r="T2837" i="8"/>
  <c r="E2838" i="8"/>
  <c r="F2838" i="8"/>
  <c r="G2838" i="8"/>
  <c r="H2838" i="8"/>
  <c r="I2838" i="8"/>
  <c r="J2838" i="8"/>
  <c r="K2838" i="8"/>
  <c r="L2838" i="8"/>
  <c r="M2838" i="8"/>
  <c r="N2838" i="8"/>
  <c r="O2838" i="8"/>
  <c r="P2838" i="8"/>
  <c r="Q2838" i="8"/>
  <c r="R2838" i="8"/>
  <c r="S2838" i="8"/>
  <c r="T2838" i="8"/>
  <c r="E2839" i="8"/>
  <c r="F2839" i="8"/>
  <c r="G2839" i="8"/>
  <c r="H2839" i="8"/>
  <c r="I2839" i="8"/>
  <c r="J2839" i="8"/>
  <c r="K2839" i="8"/>
  <c r="L2839" i="8"/>
  <c r="M2839" i="8"/>
  <c r="N2839" i="8"/>
  <c r="O2839" i="8"/>
  <c r="P2839" i="8"/>
  <c r="Q2839" i="8"/>
  <c r="R2839" i="8"/>
  <c r="S2839" i="8"/>
  <c r="T2839" i="8"/>
  <c r="E2840" i="8"/>
  <c r="F2840" i="8"/>
  <c r="G2840" i="8"/>
  <c r="H2840" i="8"/>
  <c r="I2840" i="8"/>
  <c r="J2840" i="8"/>
  <c r="K2840" i="8"/>
  <c r="L2840" i="8"/>
  <c r="M2840" i="8"/>
  <c r="N2840" i="8"/>
  <c r="O2840" i="8"/>
  <c r="P2840" i="8"/>
  <c r="Q2840" i="8"/>
  <c r="R2840" i="8"/>
  <c r="S2840" i="8"/>
  <c r="T2840" i="8"/>
  <c r="E2841" i="8"/>
  <c r="F2841" i="8"/>
  <c r="G2841" i="8"/>
  <c r="H2841" i="8"/>
  <c r="I2841" i="8"/>
  <c r="J2841" i="8"/>
  <c r="K2841" i="8"/>
  <c r="L2841" i="8"/>
  <c r="M2841" i="8"/>
  <c r="N2841" i="8"/>
  <c r="O2841" i="8"/>
  <c r="P2841" i="8"/>
  <c r="Q2841" i="8"/>
  <c r="R2841" i="8"/>
  <c r="S2841" i="8"/>
  <c r="T2841" i="8"/>
  <c r="E2842" i="8"/>
  <c r="F2842" i="8"/>
  <c r="G2842" i="8"/>
  <c r="H2842" i="8"/>
  <c r="I2842" i="8"/>
  <c r="J2842" i="8"/>
  <c r="K2842" i="8"/>
  <c r="L2842" i="8"/>
  <c r="M2842" i="8"/>
  <c r="N2842" i="8"/>
  <c r="O2842" i="8"/>
  <c r="P2842" i="8"/>
  <c r="Q2842" i="8"/>
  <c r="R2842" i="8"/>
  <c r="S2842" i="8"/>
  <c r="T2842" i="8"/>
  <c r="E2843" i="8"/>
  <c r="F2843" i="8"/>
  <c r="G2843" i="8"/>
  <c r="H2843" i="8"/>
  <c r="I2843" i="8"/>
  <c r="T2844" i="8"/>
  <c r="S2844" i="8"/>
  <c r="J2843" i="8"/>
  <c r="K2843" i="8"/>
  <c r="L2843" i="8"/>
  <c r="M2843" i="8"/>
  <c r="N2843" i="8"/>
  <c r="O2843" i="8"/>
  <c r="P2843" i="8"/>
  <c r="Q2843" i="8"/>
  <c r="R2843" i="8"/>
  <c r="S2843" i="8"/>
  <c r="T2843" i="8"/>
  <c r="E2844" i="8"/>
  <c r="F2844" i="8"/>
  <c r="G2844" i="8"/>
  <c r="H2844" i="8"/>
  <c r="I2844" i="8"/>
  <c r="J2844" i="8"/>
  <c r="K2844" i="8"/>
  <c r="L2844" i="8"/>
  <c r="M2844" i="8"/>
  <c r="N2844" i="8"/>
  <c r="O2844" i="8"/>
  <c r="P2844" i="8"/>
  <c r="Q2844" i="8"/>
  <c r="R2844" i="8"/>
  <c r="K2823" i="8"/>
  <c r="L2823" i="8"/>
  <c r="M2823" i="8"/>
  <c r="N2823" i="8"/>
  <c r="O2823" i="8"/>
  <c r="P2823" i="8"/>
  <c r="Q2823" i="8"/>
  <c r="R2823" i="8"/>
  <c r="S2823" i="8"/>
  <c r="T2823" i="8"/>
  <c r="E2824" i="8"/>
  <c r="F2824" i="8"/>
  <c r="G2824" i="8"/>
  <c r="H2824" i="8"/>
  <c r="I2824" i="8"/>
  <c r="J2824" i="8"/>
  <c r="K2824" i="8"/>
  <c r="L2824" i="8"/>
  <c r="M2824" i="8"/>
  <c r="N2824" i="8"/>
  <c r="O2824" i="8"/>
  <c r="P2824" i="8"/>
  <c r="Q2824" i="8"/>
  <c r="R2824" i="8"/>
  <c r="S2824" i="8"/>
  <c r="T2824" i="8"/>
  <c r="E2825" i="8"/>
  <c r="F2825" i="8"/>
  <c r="G2825" i="8"/>
  <c r="H2825" i="8"/>
  <c r="I2825" i="8"/>
  <c r="J2825" i="8"/>
  <c r="K2825" i="8"/>
  <c r="L2825" i="8"/>
  <c r="M2825" i="8"/>
  <c r="N2825" i="8"/>
  <c r="O2825" i="8"/>
  <c r="P2825" i="8"/>
  <c r="Q2825" i="8"/>
  <c r="R2825" i="8"/>
  <c r="S2825" i="8"/>
  <c r="T2825" i="8"/>
  <c r="E2826" i="8"/>
  <c r="F2826" i="8"/>
  <c r="G2826" i="8"/>
  <c r="H2826" i="8"/>
  <c r="I2826" i="8"/>
  <c r="J2826" i="8"/>
  <c r="K2826" i="8"/>
  <c r="L2826" i="8"/>
  <c r="M2826" i="8"/>
  <c r="N2826" i="8"/>
  <c r="O2826" i="8"/>
  <c r="P2826" i="8"/>
  <c r="Q2826" i="8"/>
  <c r="R2826" i="8"/>
  <c r="S2826" i="8"/>
  <c r="T2826" i="8"/>
  <c r="E2827" i="8"/>
  <c r="F2827" i="8"/>
  <c r="G2827" i="8"/>
  <c r="H2827" i="8"/>
  <c r="I2827" i="8"/>
  <c r="J2827" i="8"/>
  <c r="K2827" i="8"/>
  <c r="L2827" i="8"/>
  <c r="M2827" i="8"/>
  <c r="N2827" i="8"/>
  <c r="O2827" i="8"/>
  <c r="P2827" i="8"/>
  <c r="Q2827" i="8"/>
  <c r="R2827" i="8"/>
  <c r="S2827" i="8"/>
  <c r="T2827" i="8"/>
  <c r="E2828" i="8"/>
  <c r="F2828" i="8"/>
  <c r="G2828" i="8"/>
  <c r="H2828" i="8"/>
  <c r="I2828" i="8"/>
  <c r="J2828" i="8"/>
  <c r="K2828" i="8"/>
  <c r="L2828" i="8"/>
  <c r="M2828" i="8"/>
  <c r="N2828" i="8"/>
  <c r="O2828" i="8"/>
  <c r="P2828" i="8"/>
  <c r="Q2828" i="8"/>
  <c r="R2828" i="8"/>
  <c r="S2828" i="8"/>
  <c r="T2828" i="8"/>
  <c r="E2829" i="8"/>
  <c r="F2829" i="8"/>
  <c r="G2829" i="8"/>
  <c r="H2829" i="8"/>
  <c r="I2829" i="8"/>
  <c r="J2829" i="8"/>
  <c r="K2829" i="8"/>
  <c r="E263" i="7"/>
  <c r="M2829" i="8"/>
  <c r="N2829" i="8"/>
  <c r="O2829" i="8"/>
  <c r="P2829" i="8"/>
  <c r="Q2829" i="8"/>
  <c r="R2829" i="8"/>
  <c r="S2829" i="8"/>
  <c r="T2829" i="8"/>
  <c r="E2830" i="8"/>
  <c r="F2830" i="8"/>
  <c r="G2830" i="8"/>
  <c r="H2830" i="8"/>
  <c r="I2830" i="8"/>
  <c r="J2830" i="8"/>
  <c r="K2830" i="8"/>
  <c r="L2830" i="8"/>
  <c r="M2830" i="8"/>
  <c r="N2830" i="8"/>
  <c r="O2830" i="8"/>
  <c r="P2830" i="8"/>
  <c r="Q2830" i="8"/>
  <c r="R2830" i="8"/>
  <c r="S2830" i="8"/>
  <c r="T2830" i="8"/>
  <c r="E2831" i="8"/>
  <c r="F2831" i="8"/>
  <c r="G2831" i="8"/>
  <c r="H2831" i="8"/>
  <c r="I2831" i="8"/>
  <c r="J2831" i="8"/>
  <c r="K2831" i="8"/>
  <c r="L2831" i="8"/>
  <c r="M2831" i="8"/>
  <c r="N2831" i="8"/>
  <c r="O2831" i="8"/>
  <c r="P2831" i="8"/>
  <c r="Q2831" i="8"/>
  <c r="R2831" i="8"/>
  <c r="S2831" i="8"/>
  <c r="T2831" i="8"/>
  <c r="E2832" i="8"/>
  <c r="F2832" i="8"/>
  <c r="G2832" i="8"/>
  <c r="H2832" i="8"/>
  <c r="I2832" i="8"/>
  <c r="J2832" i="8"/>
  <c r="K2832" i="8"/>
  <c r="L2832" i="8"/>
  <c r="L2829" i="8"/>
  <c r="N2832" i="8"/>
  <c r="O2832" i="8"/>
  <c r="P2832" i="8"/>
  <c r="Q2832" i="8"/>
  <c r="R2832" i="8"/>
  <c r="S2832" i="8"/>
  <c r="T2832" i="8"/>
  <c r="E2833" i="8"/>
  <c r="F2833" i="8"/>
  <c r="G2833" i="8"/>
  <c r="H2833" i="8"/>
  <c r="I2833" i="8"/>
  <c r="J2833" i="8"/>
  <c r="K2833" i="8"/>
  <c r="L2833" i="8"/>
  <c r="M2833" i="8"/>
  <c r="N2833" i="8"/>
  <c r="O2833" i="8"/>
  <c r="P2833" i="8"/>
  <c r="Q2833" i="8"/>
  <c r="R2833" i="8"/>
  <c r="S2833" i="8"/>
  <c r="T2833" i="8"/>
  <c r="F263" i="7"/>
  <c r="G263" i="7"/>
  <c r="H263" i="7"/>
  <c r="I263" i="7"/>
  <c r="J263" i="7"/>
  <c r="K263" i="7"/>
  <c r="L263" i="7"/>
  <c r="M263" i="7"/>
  <c r="N263" i="7"/>
  <c r="P263" i="7"/>
  <c r="Q263" i="7"/>
  <c r="R263" i="7"/>
  <c r="S263" i="7"/>
  <c r="U263" i="7"/>
  <c r="V263" i="7"/>
  <c r="W263" i="7"/>
  <c r="X263" i="7"/>
  <c r="AA263" i="7"/>
  <c r="AE263" i="7"/>
  <c r="E2823" i="8"/>
  <c r="F2823" i="8"/>
  <c r="G2823" i="8"/>
  <c r="H2823" i="8"/>
  <c r="I2823" i="8"/>
  <c r="J2823" i="8"/>
  <c r="M2832" i="8"/>
  <c r="J262" i="7"/>
  <c r="K262" i="7"/>
  <c r="L262" i="7"/>
  <c r="M262" i="7"/>
  <c r="P262" i="7"/>
  <c r="Q262" i="7"/>
  <c r="R262" i="7"/>
  <c r="S262" i="7"/>
  <c r="U262" i="7"/>
  <c r="V262" i="7"/>
  <c r="W262" i="7"/>
  <c r="X262" i="7"/>
  <c r="AA262" i="7"/>
  <c r="AE262" i="7"/>
  <c r="E2812" i="8"/>
  <c r="F2812" i="8"/>
  <c r="G2812" i="8"/>
  <c r="H2812" i="8"/>
  <c r="I2812" i="8"/>
  <c r="J2812" i="8"/>
  <c r="K2812" i="8"/>
  <c r="L2812" i="8"/>
  <c r="M2812" i="8"/>
  <c r="N2812" i="8"/>
  <c r="O2812" i="8"/>
  <c r="P2812" i="8"/>
  <c r="Q2812" i="8"/>
  <c r="R2812" i="8"/>
  <c r="S2812" i="8"/>
  <c r="T2812" i="8"/>
  <c r="E2813" i="8"/>
  <c r="F2813" i="8"/>
  <c r="G2813" i="8"/>
  <c r="H2813" i="8"/>
  <c r="I2813" i="8"/>
  <c r="J2813" i="8"/>
  <c r="K2813" i="8"/>
  <c r="L2813" i="8"/>
  <c r="M2813" i="8"/>
  <c r="N2813" i="8"/>
  <c r="O2813" i="8"/>
  <c r="P2813" i="8"/>
  <c r="Q2813" i="8"/>
  <c r="R2813" i="8"/>
  <c r="S2813" i="8"/>
  <c r="T2813" i="8"/>
  <c r="E2814" i="8"/>
  <c r="F2814" i="8"/>
  <c r="G2814" i="8"/>
  <c r="H2814" i="8"/>
  <c r="I2814" i="8"/>
  <c r="J2814" i="8"/>
  <c r="K2814" i="8"/>
  <c r="L2814" i="8"/>
  <c r="M2814" i="8"/>
  <c r="N2814" i="8"/>
  <c r="O2814" i="8"/>
  <c r="P2814" i="8"/>
  <c r="Q2814" i="8"/>
  <c r="R2814" i="8"/>
  <c r="S2814" i="8"/>
  <c r="T2814" i="8"/>
  <c r="E2815" i="8"/>
  <c r="F2815" i="8"/>
  <c r="G2815" i="8"/>
  <c r="H2815" i="8"/>
  <c r="I2815" i="8"/>
  <c r="J2815" i="8"/>
  <c r="K2815" i="8"/>
  <c r="L2815" i="8"/>
  <c r="M2815" i="8"/>
  <c r="N2815" i="8"/>
  <c r="O2815" i="8"/>
  <c r="P2815" i="8"/>
  <c r="Q2815" i="8"/>
  <c r="R2815" i="8"/>
  <c r="S2815" i="8"/>
  <c r="T2815" i="8"/>
  <c r="E2816" i="8"/>
  <c r="F2816" i="8"/>
  <c r="G2816" i="8"/>
  <c r="H2816" i="8"/>
  <c r="I2816" i="8"/>
  <c r="J2816" i="8"/>
  <c r="K2816" i="8"/>
  <c r="L2816" i="8"/>
  <c r="M2816" i="8"/>
  <c r="N2816" i="8"/>
  <c r="O2816" i="8"/>
  <c r="P2816" i="8"/>
  <c r="Q2816" i="8"/>
  <c r="R2816" i="8"/>
  <c r="S2816" i="8"/>
  <c r="T2816" i="8"/>
  <c r="E2817" i="8"/>
  <c r="F2817" i="8"/>
  <c r="G2817" i="8"/>
  <c r="I2817" i="8"/>
  <c r="J2817" i="8"/>
  <c r="K2817" i="8"/>
  <c r="L2817" i="8"/>
  <c r="M2817" i="8"/>
  <c r="N2817" i="8"/>
  <c r="O2817" i="8"/>
  <c r="P2817" i="8"/>
  <c r="Q2817" i="8"/>
  <c r="R2817" i="8"/>
  <c r="S2817" i="8"/>
  <c r="T2817" i="8"/>
  <c r="E2818" i="8"/>
  <c r="F2818" i="8"/>
  <c r="G2818" i="8"/>
  <c r="H2818" i="8"/>
  <c r="I2818" i="8"/>
  <c r="J2818" i="8"/>
  <c r="K2818" i="8"/>
  <c r="L2818" i="8"/>
  <c r="M2818" i="8"/>
  <c r="N2818" i="8"/>
  <c r="O2818" i="8"/>
  <c r="P2818" i="8"/>
  <c r="Q2818" i="8"/>
  <c r="R2818" i="8"/>
  <c r="S2818" i="8"/>
  <c r="T2818" i="8"/>
  <c r="E2819" i="8"/>
  <c r="F2819" i="8"/>
  <c r="G2819" i="8"/>
  <c r="H2819" i="8"/>
  <c r="I2819" i="8"/>
  <c r="J2819" i="8"/>
  <c r="K2819" i="8"/>
  <c r="L2819" i="8"/>
  <c r="M2819" i="8"/>
  <c r="N2819" i="8"/>
  <c r="O2819" i="8"/>
  <c r="P2819" i="8"/>
  <c r="Q2819" i="8"/>
  <c r="R2819" i="8"/>
  <c r="S2819" i="8"/>
  <c r="T2819" i="8"/>
  <c r="E2820" i="8"/>
  <c r="F2820" i="8"/>
  <c r="G2820" i="8"/>
  <c r="H2820" i="8"/>
  <c r="I2820" i="8"/>
  <c r="J2820" i="8"/>
  <c r="K2820" i="8"/>
  <c r="L2820" i="8"/>
  <c r="M2820" i="8"/>
  <c r="N2820" i="8"/>
  <c r="O2820" i="8"/>
  <c r="P2820" i="8"/>
  <c r="Q2820" i="8"/>
  <c r="R2820" i="8"/>
  <c r="S2820" i="8"/>
  <c r="T2820" i="8"/>
  <c r="E2821" i="8"/>
  <c r="F2821" i="8"/>
  <c r="G2821" i="8"/>
  <c r="H2821" i="8"/>
  <c r="I2821" i="8"/>
  <c r="J2821" i="8"/>
  <c r="K2821" i="8"/>
  <c r="L2821" i="8"/>
  <c r="M2821" i="8"/>
  <c r="N2821" i="8"/>
  <c r="O2821" i="8"/>
  <c r="P2821" i="8"/>
  <c r="Q2821" i="8"/>
  <c r="H2817" i="8"/>
  <c r="R2821" i="8"/>
  <c r="S2821" i="8"/>
  <c r="T2821" i="8"/>
  <c r="E2822" i="8"/>
  <c r="F2822" i="8"/>
  <c r="G2822" i="8"/>
  <c r="H2822" i="8"/>
  <c r="I2822" i="8"/>
  <c r="J2822" i="8"/>
  <c r="K2822" i="8"/>
  <c r="L2822" i="8"/>
  <c r="M2822" i="8"/>
  <c r="N2822" i="8"/>
  <c r="O2822" i="8"/>
  <c r="P2822" i="8"/>
  <c r="Q2822" i="8"/>
  <c r="R2822" i="8"/>
  <c r="S2822" i="8"/>
  <c r="T2822" i="8"/>
  <c r="E262" i="7"/>
  <c r="F262" i="7"/>
  <c r="G262" i="7"/>
  <c r="H262" i="7"/>
  <c r="I262" i="7"/>
  <c r="J261" i="7"/>
  <c r="K261" i="7"/>
  <c r="L261" i="7"/>
  <c r="M261" i="7"/>
  <c r="P261" i="7"/>
  <c r="Q261" i="7"/>
  <c r="R261" i="7"/>
  <c r="S261" i="7"/>
  <c r="U261" i="7"/>
  <c r="V261" i="7"/>
  <c r="W261" i="7"/>
  <c r="X261" i="7"/>
  <c r="AA261" i="7"/>
  <c r="AE261" i="7"/>
  <c r="E2801" i="8"/>
  <c r="F2801" i="8"/>
  <c r="G2801" i="8"/>
  <c r="H2801" i="8"/>
  <c r="I2801" i="8"/>
  <c r="J2801" i="8"/>
  <c r="K2801" i="8"/>
  <c r="L2801" i="8"/>
  <c r="M2801" i="8"/>
  <c r="N2801" i="8"/>
  <c r="O2801" i="8"/>
  <c r="P2801" i="8"/>
  <c r="Q2801" i="8"/>
  <c r="R2801" i="8"/>
  <c r="S2801" i="8"/>
  <c r="T2801" i="8"/>
  <c r="E2802" i="8"/>
  <c r="F2802" i="8"/>
  <c r="G2802" i="8"/>
  <c r="H2802" i="8"/>
  <c r="I2802" i="8"/>
  <c r="J2802" i="8"/>
  <c r="K2802" i="8"/>
  <c r="L2802" i="8"/>
  <c r="M2802" i="8"/>
  <c r="N2802" i="8"/>
  <c r="O2802" i="8"/>
  <c r="P2802" i="8"/>
  <c r="Q2802" i="8"/>
  <c r="R2802" i="8"/>
  <c r="S2802" i="8"/>
  <c r="T2802" i="8"/>
  <c r="E2803" i="8"/>
  <c r="F2803" i="8"/>
  <c r="G2803" i="8"/>
  <c r="H2803" i="8"/>
  <c r="I2803" i="8"/>
  <c r="J2803" i="8"/>
  <c r="K2803" i="8"/>
  <c r="L2803" i="8"/>
  <c r="M2803" i="8"/>
  <c r="N2803" i="8"/>
  <c r="O2803" i="8"/>
  <c r="P2803" i="8"/>
  <c r="Q2803" i="8"/>
  <c r="R2803" i="8"/>
  <c r="S2803" i="8"/>
  <c r="T2803" i="8"/>
  <c r="E2804" i="8"/>
  <c r="F2804" i="8"/>
  <c r="G2804" i="8"/>
  <c r="H2804" i="8"/>
  <c r="I2804" i="8"/>
  <c r="J2804" i="8"/>
  <c r="E2806" i="8"/>
  <c r="K2804" i="8"/>
  <c r="L2804" i="8"/>
  <c r="M2804" i="8"/>
  <c r="N2804" i="8"/>
  <c r="O2804" i="8"/>
  <c r="P2804" i="8"/>
  <c r="Q2804" i="8"/>
  <c r="R2804" i="8"/>
  <c r="S2804" i="8"/>
  <c r="T2804" i="8"/>
  <c r="E2805" i="8"/>
  <c r="F2805" i="8"/>
  <c r="G2805" i="8"/>
  <c r="H2805" i="8"/>
  <c r="I2805" i="8"/>
  <c r="J2805" i="8"/>
  <c r="K2805" i="8"/>
  <c r="L2805" i="8"/>
  <c r="M2805" i="8"/>
  <c r="N2805" i="8"/>
  <c r="O2805" i="8"/>
  <c r="P2805" i="8"/>
  <c r="Q2805" i="8"/>
  <c r="R2805" i="8"/>
  <c r="S2805" i="8"/>
  <c r="T2805" i="8"/>
  <c r="T2811" i="8"/>
  <c r="S2811" i="8"/>
  <c r="R2811" i="8"/>
  <c r="Q2811" i="8"/>
  <c r="P2811" i="8"/>
  <c r="O2811" i="8"/>
  <c r="N2811" i="8"/>
  <c r="M2811" i="8"/>
  <c r="L2811" i="8"/>
  <c r="K2811" i="8"/>
  <c r="J2811" i="8"/>
  <c r="I2811" i="8"/>
  <c r="H2811" i="8"/>
  <c r="G2811" i="8"/>
  <c r="F2811" i="8"/>
  <c r="E2811" i="8"/>
  <c r="T2810" i="8"/>
  <c r="S2810" i="8"/>
  <c r="R2810" i="8"/>
  <c r="Q2810" i="8"/>
  <c r="P2810" i="8"/>
  <c r="O2810" i="8"/>
  <c r="N2810" i="8"/>
  <c r="M2810" i="8"/>
  <c r="L2810" i="8"/>
  <c r="K2810" i="8"/>
  <c r="J2810" i="8"/>
  <c r="I2810" i="8"/>
  <c r="H2810" i="8"/>
  <c r="G2810" i="8"/>
  <c r="F2810" i="8"/>
  <c r="E2810" i="8"/>
  <c r="T2809" i="8"/>
  <c r="S2809" i="8"/>
  <c r="R2809" i="8"/>
  <c r="Q2809" i="8"/>
  <c r="P2809" i="8"/>
  <c r="O2809" i="8"/>
  <c r="N2809" i="8"/>
  <c r="M2809" i="8"/>
  <c r="L2809" i="8"/>
  <c r="K2809" i="8"/>
  <c r="J2809" i="8"/>
  <c r="I2809" i="8"/>
  <c r="H2809" i="8"/>
  <c r="G2809" i="8"/>
  <c r="F2809" i="8"/>
  <c r="E2809" i="8"/>
  <c r="T2808" i="8"/>
  <c r="S2808" i="8"/>
  <c r="R2808" i="8"/>
  <c r="Q2808" i="8"/>
  <c r="P2808" i="8"/>
  <c r="O2808" i="8"/>
  <c r="N2808" i="8"/>
  <c r="M2808" i="8"/>
  <c r="L2808" i="8"/>
  <c r="K2808" i="8"/>
  <c r="J2808" i="8"/>
  <c r="I2808" i="8"/>
  <c r="H2808" i="8"/>
  <c r="G2808" i="8"/>
  <c r="F2808" i="8"/>
  <c r="E2808" i="8"/>
  <c r="T2807" i="8"/>
  <c r="S2807" i="8"/>
  <c r="R2807" i="8"/>
  <c r="Q2807" i="8"/>
  <c r="P2807" i="8"/>
  <c r="O2807" i="8"/>
  <c r="N2807" i="8"/>
  <c r="M2807" i="8"/>
  <c r="L2807" i="8"/>
  <c r="K2807" i="8"/>
  <c r="J2807" i="8"/>
  <c r="I2807" i="8"/>
  <c r="H2807" i="8"/>
  <c r="G2807" i="8"/>
  <c r="F2807" i="8"/>
  <c r="E2807" i="8"/>
  <c r="T2806" i="8"/>
  <c r="S2806" i="8"/>
  <c r="R2806" i="8"/>
  <c r="Q2806" i="8"/>
  <c r="P2806" i="8"/>
  <c r="O2806" i="8"/>
  <c r="N2806" i="8"/>
  <c r="M2806" i="8"/>
  <c r="L2806" i="8"/>
  <c r="K2806" i="8"/>
  <c r="J2806" i="8"/>
  <c r="I2806" i="8"/>
  <c r="H2806" i="8"/>
  <c r="G2806" i="8"/>
  <c r="F2806" i="8"/>
  <c r="E261" i="7"/>
  <c r="F261" i="7"/>
  <c r="G261" i="7"/>
  <c r="H261" i="7"/>
  <c r="I261" i="7"/>
  <c r="O2794" i="8"/>
  <c r="P2794" i="8"/>
  <c r="Q2794" i="8"/>
  <c r="R2794" i="8"/>
  <c r="S2794" i="8"/>
  <c r="T2794" i="8"/>
  <c r="E2795" i="8"/>
  <c r="F2795" i="8"/>
  <c r="G2795" i="8"/>
  <c r="H2795" i="8"/>
  <c r="I2795" i="8"/>
  <c r="J2795" i="8"/>
  <c r="K2795" i="8"/>
  <c r="L2795" i="8"/>
  <c r="M2795" i="8"/>
  <c r="N2795" i="8"/>
  <c r="O2795" i="8"/>
  <c r="P2795" i="8"/>
  <c r="Q2795" i="8"/>
  <c r="R2795" i="8"/>
  <c r="S2795" i="8"/>
  <c r="T2795" i="8"/>
  <c r="E2796" i="8"/>
  <c r="F2796" i="8"/>
  <c r="G2796" i="8"/>
  <c r="H2796" i="8"/>
  <c r="I2796" i="8"/>
  <c r="J2796" i="8"/>
  <c r="K2796" i="8"/>
  <c r="L2796" i="8"/>
  <c r="M2796" i="8"/>
  <c r="O2796" i="8"/>
  <c r="P2796" i="8"/>
  <c r="Q2796" i="8"/>
  <c r="R2796" i="8"/>
  <c r="S2796" i="8"/>
  <c r="T2796" i="8"/>
  <c r="E2797" i="8"/>
  <c r="F2797" i="8"/>
  <c r="G2797" i="8"/>
  <c r="H2797" i="8"/>
  <c r="I2797" i="8"/>
  <c r="J2797" i="8"/>
  <c r="K2797" i="8"/>
  <c r="L2797" i="8"/>
  <c r="M2797" i="8"/>
  <c r="N2797" i="8"/>
  <c r="O2797" i="8"/>
  <c r="P2797" i="8"/>
  <c r="Q2797" i="8"/>
  <c r="R2797" i="8"/>
  <c r="S2797" i="8"/>
  <c r="T2797" i="8"/>
  <c r="E2798" i="8"/>
  <c r="F2798" i="8"/>
  <c r="G2798" i="8"/>
  <c r="H2798" i="8"/>
  <c r="I2798" i="8"/>
  <c r="J2798" i="8"/>
  <c r="K2798" i="8"/>
  <c r="L2798" i="8"/>
  <c r="M2798" i="8"/>
  <c r="N2798" i="8"/>
  <c r="O2798" i="8"/>
  <c r="P2798" i="8"/>
  <c r="Q2798" i="8"/>
  <c r="R2798" i="8"/>
  <c r="S2798" i="8"/>
  <c r="T2798" i="8"/>
  <c r="E2799" i="8"/>
  <c r="F2799" i="8"/>
  <c r="G2799" i="8"/>
  <c r="H2799" i="8"/>
  <c r="I2799" i="8"/>
  <c r="J2799" i="8"/>
  <c r="K2799" i="8"/>
  <c r="L2799" i="8"/>
  <c r="M2799" i="8"/>
  <c r="N2799" i="8"/>
  <c r="O2799" i="8"/>
  <c r="P2799" i="8"/>
  <c r="Q2799" i="8"/>
  <c r="R2799" i="8"/>
  <c r="S2799" i="8"/>
  <c r="T2799" i="8"/>
  <c r="E2800" i="8"/>
  <c r="F2800" i="8"/>
  <c r="G2800" i="8"/>
  <c r="H2800" i="8"/>
  <c r="I2800" i="8"/>
  <c r="J2800" i="8"/>
  <c r="K2800" i="8"/>
  <c r="L2800" i="8"/>
  <c r="M2800" i="8"/>
  <c r="N2800" i="8"/>
  <c r="O2800" i="8"/>
  <c r="P2800" i="8"/>
  <c r="Q2800" i="8"/>
  <c r="R2800" i="8"/>
  <c r="S2800" i="8"/>
  <c r="T2800" i="8"/>
  <c r="N2796" i="8"/>
  <c r="E260" i="7"/>
  <c r="F260" i="7"/>
  <c r="G260" i="7"/>
  <c r="H260" i="7"/>
  <c r="I260" i="7"/>
  <c r="J260" i="7"/>
  <c r="K260" i="7"/>
  <c r="L260" i="7"/>
  <c r="M260" i="7"/>
  <c r="N260" i="7"/>
  <c r="P260" i="7"/>
  <c r="Q260" i="7"/>
  <c r="R260" i="7"/>
  <c r="S260" i="7"/>
  <c r="U260" i="7"/>
  <c r="V260" i="7"/>
  <c r="W260" i="7"/>
  <c r="X260" i="7"/>
  <c r="Y260" i="7"/>
  <c r="Z260" i="7"/>
  <c r="AA260" i="7"/>
  <c r="AC260" i="7"/>
  <c r="AE260" i="7"/>
  <c r="AI260" i="7"/>
  <c r="AO260" i="7"/>
  <c r="AP260" i="7"/>
  <c r="E2790" i="8"/>
  <c r="F2790" i="8"/>
  <c r="G2790" i="8"/>
  <c r="H2790" i="8"/>
  <c r="I2790" i="8"/>
  <c r="J2790" i="8"/>
  <c r="K2790" i="8"/>
  <c r="L2790" i="8"/>
  <c r="M2790" i="8"/>
  <c r="N2790" i="8"/>
  <c r="O2790" i="8"/>
  <c r="P2790" i="8"/>
  <c r="Q2790" i="8"/>
  <c r="R2790" i="8"/>
  <c r="S2790" i="8"/>
  <c r="T2790" i="8"/>
  <c r="E2791" i="8"/>
  <c r="F2791" i="8"/>
  <c r="G2791" i="8"/>
  <c r="H2791" i="8"/>
  <c r="I2791" i="8"/>
  <c r="J2791" i="8"/>
  <c r="K2791" i="8"/>
  <c r="L2791" i="8"/>
  <c r="M2791" i="8"/>
  <c r="N2791" i="8"/>
  <c r="O2791" i="8"/>
  <c r="P2791" i="8"/>
  <c r="Q2791" i="8"/>
  <c r="R2791" i="8"/>
  <c r="S2791" i="8"/>
  <c r="T2791" i="8"/>
  <c r="E2792" i="8"/>
  <c r="F2792" i="8"/>
  <c r="G2792" i="8"/>
  <c r="H2792" i="8"/>
  <c r="I2792" i="8"/>
  <c r="J2792" i="8"/>
  <c r="K2792" i="8"/>
  <c r="L2792" i="8"/>
  <c r="M2792" i="8"/>
  <c r="N2792" i="8"/>
  <c r="O2792" i="8"/>
  <c r="P2792" i="8"/>
  <c r="Q2792" i="8"/>
  <c r="R2792" i="8"/>
  <c r="S2792" i="8"/>
  <c r="T2792" i="8"/>
  <c r="E2793" i="8"/>
  <c r="F2793" i="8"/>
  <c r="G2793" i="8"/>
  <c r="H2793" i="8"/>
  <c r="I2793" i="8"/>
  <c r="J2793" i="8"/>
  <c r="K2793" i="8"/>
  <c r="L2793" i="8"/>
  <c r="M2793" i="8"/>
  <c r="N2793" i="8"/>
  <c r="O2793" i="8"/>
  <c r="P2793" i="8"/>
  <c r="Q2793" i="8"/>
  <c r="R2793" i="8"/>
  <c r="S2793" i="8"/>
  <c r="T2793" i="8"/>
  <c r="E2794" i="8"/>
  <c r="F2794" i="8"/>
  <c r="G2794" i="8"/>
  <c r="H2794" i="8"/>
  <c r="I2794" i="8"/>
  <c r="J2794" i="8"/>
  <c r="K2794" i="8"/>
  <c r="L2794" i="8"/>
  <c r="M2794" i="8"/>
  <c r="N2794" i="8"/>
  <c r="J259" i="7"/>
  <c r="K259" i="7"/>
  <c r="L259" i="7"/>
  <c r="M259" i="7"/>
  <c r="P259" i="7"/>
  <c r="Q259" i="7"/>
  <c r="R259" i="7"/>
  <c r="S259" i="7"/>
  <c r="U259" i="7"/>
  <c r="V259" i="7"/>
  <c r="W259" i="7"/>
  <c r="X259" i="7"/>
  <c r="AA259" i="7"/>
  <c r="AE259" i="7"/>
  <c r="E2779" i="8"/>
  <c r="F2779" i="8"/>
  <c r="G2779" i="8"/>
  <c r="H2779" i="8"/>
  <c r="I2779" i="8"/>
  <c r="J2779" i="8"/>
  <c r="K2779" i="8"/>
  <c r="L2779" i="8"/>
  <c r="M2779" i="8"/>
  <c r="N2779" i="8"/>
  <c r="O2779" i="8"/>
  <c r="P2779" i="8"/>
  <c r="Q2779" i="8"/>
  <c r="R2779" i="8"/>
  <c r="S2779" i="8"/>
  <c r="T2779" i="8"/>
  <c r="E2780" i="8"/>
  <c r="F2780" i="8"/>
  <c r="G2780" i="8"/>
  <c r="H2780" i="8"/>
  <c r="I2780" i="8"/>
  <c r="J2780" i="8"/>
  <c r="K2780" i="8"/>
  <c r="L2780" i="8"/>
  <c r="M2780" i="8"/>
  <c r="N2780" i="8"/>
  <c r="O2780" i="8"/>
  <c r="P2780" i="8"/>
  <c r="Q2780" i="8"/>
  <c r="R2780" i="8"/>
  <c r="S2780" i="8"/>
  <c r="T2780" i="8"/>
  <c r="E2781" i="8"/>
  <c r="F2781" i="8"/>
  <c r="G2781" i="8"/>
  <c r="H2781" i="8"/>
  <c r="I2781" i="8"/>
  <c r="J2781" i="8"/>
  <c r="K2781" i="8"/>
  <c r="L2781" i="8"/>
  <c r="M2781" i="8"/>
  <c r="N2781" i="8"/>
  <c r="O2781" i="8"/>
  <c r="P2781" i="8"/>
  <c r="Q2781" i="8"/>
  <c r="R2781" i="8"/>
  <c r="S2781" i="8"/>
  <c r="T2781" i="8"/>
  <c r="E2782" i="8"/>
  <c r="F2782" i="8"/>
  <c r="G2782" i="8"/>
  <c r="H2782" i="8"/>
  <c r="I2782" i="8"/>
  <c r="J2782" i="8"/>
  <c r="L2782" i="8"/>
  <c r="M2782" i="8"/>
  <c r="N2782" i="8"/>
  <c r="O2782" i="8"/>
  <c r="P2782" i="8"/>
  <c r="Q2782" i="8"/>
  <c r="R2782" i="8"/>
  <c r="S2782" i="8"/>
  <c r="T2782" i="8"/>
  <c r="E2783" i="8"/>
  <c r="F2783" i="8"/>
  <c r="G2783" i="8"/>
  <c r="H2783" i="8"/>
  <c r="I2783" i="8"/>
  <c r="J2783" i="8"/>
  <c r="K2783" i="8"/>
  <c r="L2783" i="8"/>
  <c r="M2783" i="8"/>
  <c r="N2783" i="8"/>
  <c r="O2783" i="8"/>
  <c r="P2783" i="8"/>
  <c r="Q2783" i="8"/>
  <c r="R2783" i="8"/>
  <c r="S2783" i="8"/>
  <c r="T2783" i="8"/>
  <c r="E2784" i="8"/>
  <c r="I2789" i="8"/>
  <c r="H2789" i="8"/>
  <c r="G2789" i="8"/>
  <c r="F2789" i="8"/>
  <c r="E2789" i="8"/>
  <c r="T2788" i="8"/>
  <c r="S2788" i="8"/>
  <c r="R2788" i="8"/>
  <c r="Q2788" i="8"/>
  <c r="P2788" i="8"/>
  <c r="O2788" i="8"/>
  <c r="N2788" i="8"/>
  <c r="M2788" i="8"/>
  <c r="L2788" i="8"/>
  <c r="K2788" i="8"/>
  <c r="J2788" i="8"/>
  <c r="I2788" i="8"/>
  <c r="H2788" i="8"/>
  <c r="G2788" i="8"/>
  <c r="F2788" i="8"/>
  <c r="E2788" i="8"/>
  <c r="T2787" i="8"/>
  <c r="S2787" i="8"/>
  <c r="R2787" i="8"/>
  <c r="Q2787" i="8"/>
  <c r="K2782" i="8"/>
  <c r="P2787" i="8"/>
  <c r="O2787" i="8"/>
  <c r="N2787" i="8"/>
  <c r="M2787" i="8"/>
  <c r="L2787" i="8"/>
  <c r="K2787" i="8"/>
  <c r="J2787" i="8"/>
  <c r="I2787" i="8"/>
  <c r="H2787" i="8"/>
  <c r="G2787" i="8"/>
  <c r="F2787" i="8"/>
  <c r="E2787" i="8"/>
  <c r="T2786" i="8"/>
  <c r="S2786" i="8"/>
  <c r="R2786" i="8"/>
  <c r="Q2786" i="8"/>
  <c r="P2786" i="8"/>
  <c r="O2786" i="8"/>
  <c r="N2786" i="8"/>
  <c r="M2786" i="8"/>
  <c r="L2786" i="8"/>
  <c r="K2786" i="8"/>
  <c r="J2786" i="8"/>
  <c r="I2786" i="8"/>
  <c r="H2786" i="8"/>
  <c r="G2786" i="8"/>
  <c r="F2786" i="8"/>
  <c r="E2786" i="8"/>
  <c r="T2785" i="8"/>
  <c r="S2785" i="8"/>
  <c r="R2785" i="8"/>
  <c r="Q2785" i="8"/>
  <c r="P2785" i="8"/>
  <c r="O2785" i="8"/>
  <c r="N2785" i="8"/>
  <c r="M2785" i="8"/>
  <c r="L2785" i="8"/>
  <c r="K2785" i="8"/>
  <c r="J2785" i="8"/>
  <c r="I2785" i="8"/>
  <c r="H2785" i="8"/>
  <c r="G2785" i="8"/>
  <c r="F2785" i="8"/>
  <c r="E2785" i="8"/>
  <c r="T2784" i="8"/>
  <c r="S2784" i="8"/>
  <c r="R2784" i="8"/>
  <c r="Q2784" i="8"/>
  <c r="P2784" i="8"/>
  <c r="O2784" i="8"/>
  <c r="N2784" i="8"/>
  <c r="M2784" i="8"/>
  <c r="L2784" i="8"/>
  <c r="K2784" i="8"/>
  <c r="J2784" i="8"/>
  <c r="I2784" i="8"/>
  <c r="H2784" i="8"/>
  <c r="G2784" i="8"/>
  <c r="F2784" i="8"/>
  <c r="T2789" i="8"/>
  <c r="S2789" i="8"/>
  <c r="R2789" i="8"/>
  <c r="Q2789" i="8"/>
  <c r="P2789" i="8"/>
  <c r="O2789" i="8"/>
  <c r="N2789" i="8"/>
  <c r="M2789" i="8"/>
  <c r="L2789" i="8"/>
  <c r="K2789" i="8"/>
  <c r="J2789" i="8"/>
  <c r="E259" i="7"/>
  <c r="F259" i="7"/>
  <c r="G259" i="7"/>
  <c r="H259" i="7"/>
  <c r="I259" i="7"/>
  <c r="J258" i="7"/>
  <c r="K258" i="7"/>
  <c r="L258" i="7"/>
  <c r="M258" i="7"/>
  <c r="P258" i="7"/>
  <c r="Q258" i="7"/>
  <c r="R258" i="7"/>
  <c r="S258" i="7"/>
  <c r="U258" i="7"/>
  <c r="V258" i="7"/>
  <c r="W258" i="7"/>
  <c r="X258" i="7"/>
  <c r="AA258" i="7"/>
  <c r="AE258" i="7"/>
  <c r="E2768" i="8"/>
  <c r="F2768" i="8"/>
  <c r="G2768" i="8"/>
  <c r="H2768" i="8"/>
  <c r="I2768" i="8"/>
  <c r="J2768" i="8"/>
  <c r="K2768" i="8"/>
  <c r="L2768" i="8"/>
  <c r="M2768" i="8"/>
  <c r="N2768" i="8"/>
  <c r="O2768" i="8"/>
  <c r="P2768" i="8"/>
  <c r="Q2768" i="8"/>
  <c r="R2768" i="8"/>
  <c r="S2768" i="8"/>
  <c r="T2768" i="8"/>
  <c r="E2769" i="8"/>
  <c r="F2769" i="8"/>
  <c r="G2769" i="8"/>
  <c r="H2769" i="8"/>
  <c r="I2769" i="8"/>
  <c r="J2769" i="8"/>
  <c r="K2769" i="8"/>
  <c r="L2769" i="8"/>
  <c r="M2769" i="8"/>
  <c r="N2769" i="8"/>
  <c r="O2769" i="8"/>
  <c r="P2769" i="8"/>
  <c r="Q2769" i="8"/>
  <c r="R2769" i="8"/>
  <c r="S2769" i="8"/>
  <c r="T2769" i="8"/>
  <c r="E2770" i="8"/>
  <c r="F2770" i="8"/>
  <c r="G2770" i="8"/>
  <c r="H2770" i="8"/>
  <c r="I2770" i="8"/>
  <c r="J2770" i="8"/>
  <c r="K2770" i="8"/>
  <c r="L2770" i="8"/>
  <c r="M2770" i="8"/>
  <c r="N2770" i="8"/>
  <c r="O2770" i="8"/>
  <c r="P2770" i="8"/>
  <c r="Q2770" i="8"/>
  <c r="R2770" i="8"/>
  <c r="S2770" i="8"/>
  <c r="T2770" i="8"/>
  <c r="E2771" i="8"/>
  <c r="F2771" i="8"/>
  <c r="G2771" i="8"/>
  <c r="H2771" i="8"/>
  <c r="I2771" i="8"/>
  <c r="J2771" i="8"/>
  <c r="K2771" i="8"/>
  <c r="L2771" i="8"/>
  <c r="M2771" i="8"/>
  <c r="N2771" i="8"/>
  <c r="O2771" i="8"/>
  <c r="P2771" i="8"/>
  <c r="Q2771" i="8"/>
  <c r="R2771" i="8"/>
  <c r="S2771" i="8"/>
  <c r="T2771" i="8"/>
  <c r="E2772" i="8"/>
  <c r="F2772" i="8"/>
  <c r="G2772" i="8"/>
  <c r="H2772" i="8"/>
  <c r="I2772" i="8"/>
  <c r="J2772" i="8"/>
  <c r="K2772" i="8"/>
  <c r="L2772" i="8"/>
  <c r="M2772" i="8"/>
  <c r="N2772" i="8"/>
  <c r="O2772" i="8"/>
  <c r="P2772" i="8"/>
  <c r="Q2772" i="8"/>
  <c r="R2772" i="8"/>
  <c r="S2772" i="8"/>
  <c r="T2772" i="8"/>
  <c r="E2773" i="8"/>
  <c r="F2773" i="8"/>
  <c r="G2773" i="8"/>
  <c r="H2773" i="8"/>
  <c r="I2773" i="8"/>
  <c r="J2773" i="8"/>
  <c r="K2773" i="8"/>
  <c r="L2773" i="8"/>
  <c r="M2773" i="8"/>
  <c r="N2773" i="8"/>
  <c r="O2773" i="8"/>
  <c r="P2773" i="8"/>
  <c r="Q2773" i="8"/>
  <c r="R2773" i="8"/>
  <c r="S2773" i="8"/>
  <c r="T2773" i="8"/>
  <c r="E2774" i="8"/>
  <c r="F2774" i="8"/>
  <c r="G2774" i="8"/>
  <c r="H2774" i="8"/>
  <c r="I2774" i="8"/>
  <c r="J2774" i="8"/>
  <c r="K2774" i="8"/>
  <c r="L2774" i="8"/>
  <c r="M2774" i="8"/>
  <c r="N2774" i="8"/>
  <c r="O2774" i="8"/>
  <c r="P2774" i="8"/>
  <c r="Q2774" i="8"/>
  <c r="R2774" i="8"/>
  <c r="S2774" i="8"/>
  <c r="T2774" i="8"/>
  <c r="E2775" i="8"/>
  <c r="F2775" i="8"/>
  <c r="G2775" i="8"/>
  <c r="H2775" i="8"/>
  <c r="I2775" i="8"/>
  <c r="J2775" i="8"/>
  <c r="K2775" i="8"/>
  <c r="L2775" i="8"/>
  <c r="M2775" i="8"/>
  <c r="N2775" i="8"/>
  <c r="O2775" i="8"/>
  <c r="P2775" i="8"/>
  <c r="Q2775" i="8"/>
  <c r="R2775" i="8"/>
  <c r="S2775" i="8"/>
  <c r="T2775" i="8"/>
  <c r="E2776" i="8"/>
  <c r="F2776" i="8"/>
  <c r="G2776" i="8"/>
  <c r="H2776" i="8"/>
  <c r="I2776" i="8"/>
  <c r="J2776" i="8"/>
  <c r="K2776" i="8"/>
  <c r="L2776" i="8"/>
  <c r="M2776" i="8"/>
  <c r="N2776" i="8"/>
  <c r="O2776" i="8"/>
  <c r="P2776" i="8"/>
  <c r="Q2776" i="8"/>
  <c r="R2776" i="8"/>
  <c r="S2776" i="8"/>
  <c r="T2776" i="8"/>
  <c r="E2777" i="8"/>
  <c r="F2777" i="8"/>
  <c r="G2777" i="8"/>
  <c r="H2777" i="8"/>
  <c r="I2777" i="8"/>
  <c r="J2777" i="8"/>
  <c r="K2777" i="8"/>
  <c r="L2777" i="8"/>
  <c r="M2777" i="8"/>
  <c r="N2777" i="8"/>
  <c r="O2777" i="8"/>
  <c r="P2777" i="8"/>
  <c r="Q2777" i="8"/>
  <c r="R2777" i="8"/>
  <c r="S2777" i="8"/>
  <c r="T2777" i="8"/>
  <c r="E2778" i="8"/>
  <c r="F2778" i="8"/>
  <c r="G2778" i="8"/>
  <c r="H2778" i="8"/>
  <c r="I2778" i="8"/>
  <c r="J2778" i="8"/>
  <c r="K2778" i="8"/>
  <c r="L2778" i="8"/>
  <c r="M2778" i="8"/>
  <c r="N2778" i="8"/>
  <c r="O2778" i="8"/>
  <c r="P2778" i="8"/>
  <c r="Q2778" i="8"/>
  <c r="R2778" i="8"/>
  <c r="S2778" i="8"/>
  <c r="T2778" i="8"/>
  <c r="E258" i="7"/>
  <c r="F258" i="7"/>
  <c r="G258" i="7"/>
  <c r="H258" i="7"/>
  <c r="I258" i="7"/>
  <c r="F2765" i="8"/>
  <c r="J257" i="7"/>
  <c r="K257" i="7"/>
  <c r="L257" i="7"/>
  <c r="M257" i="7"/>
  <c r="P257" i="7"/>
  <c r="Q257" i="7"/>
  <c r="R257" i="7"/>
  <c r="S257" i="7"/>
  <c r="U257" i="7"/>
  <c r="V257" i="7"/>
  <c r="W257" i="7"/>
  <c r="X257" i="7"/>
  <c r="AA257" i="7"/>
  <c r="AE257" i="7"/>
  <c r="E2757" i="8"/>
  <c r="F2757" i="8"/>
  <c r="G2757" i="8"/>
  <c r="H2757" i="8"/>
  <c r="I2757" i="8"/>
  <c r="J2757" i="8"/>
  <c r="K2757" i="8"/>
  <c r="L2757" i="8"/>
  <c r="M2757" i="8"/>
  <c r="N2757" i="8"/>
  <c r="O2757" i="8"/>
  <c r="P2757" i="8"/>
  <c r="Q2757" i="8"/>
  <c r="R2757" i="8"/>
  <c r="S2757" i="8"/>
  <c r="T2757" i="8"/>
  <c r="E2758" i="8"/>
  <c r="F2758" i="8"/>
  <c r="G2758" i="8"/>
  <c r="H2758" i="8"/>
  <c r="I2758" i="8"/>
  <c r="J2758" i="8"/>
  <c r="K2758" i="8"/>
  <c r="L2758" i="8"/>
  <c r="M2758" i="8"/>
  <c r="N2758" i="8"/>
  <c r="O2758" i="8"/>
  <c r="P2758" i="8"/>
  <c r="Q2758" i="8"/>
  <c r="R2758" i="8"/>
  <c r="S2758" i="8"/>
  <c r="T2758" i="8"/>
  <c r="E2759" i="8"/>
  <c r="F2759" i="8"/>
  <c r="G2759" i="8"/>
  <c r="H2759" i="8"/>
  <c r="I2759" i="8"/>
  <c r="J2759" i="8"/>
  <c r="K2759" i="8"/>
  <c r="L2759" i="8"/>
  <c r="M2759" i="8"/>
  <c r="N2759" i="8"/>
  <c r="O2759" i="8"/>
  <c r="P2759" i="8"/>
  <c r="Q2759" i="8"/>
  <c r="R2759" i="8"/>
  <c r="S2759" i="8"/>
  <c r="T2759" i="8"/>
  <c r="E2760" i="8"/>
  <c r="F2760" i="8"/>
  <c r="G2760" i="8"/>
  <c r="H2760" i="8"/>
  <c r="I2760" i="8"/>
  <c r="E2762" i="8"/>
  <c r="J2760" i="8"/>
  <c r="K2760" i="8"/>
  <c r="L2760" i="8"/>
  <c r="M2760" i="8"/>
  <c r="N2760" i="8"/>
  <c r="O2760" i="8"/>
  <c r="P2760" i="8"/>
  <c r="Q2760" i="8"/>
  <c r="R2760" i="8"/>
  <c r="S2760" i="8"/>
  <c r="T2760" i="8"/>
  <c r="E2761" i="8"/>
  <c r="F2761" i="8"/>
  <c r="G2761" i="8"/>
  <c r="H2761" i="8"/>
  <c r="I2761" i="8"/>
  <c r="J2761" i="8"/>
  <c r="K2761" i="8"/>
  <c r="L2761" i="8"/>
  <c r="M2761" i="8"/>
  <c r="N2761" i="8"/>
  <c r="O2761" i="8"/>
  <c r="P2761" i="8"/>
  <c r="Q2761" i="8"/>
  <c r="R2761" i="8"/>
  <c r="S2761" i="8"/>
  <c r="T2761" i="8"/>
  <c r="T2767" i="8"/>
  <c r="S2767" i="8"/>
  <c r="R2767" i="8"/>
  <c r="Q2767" i="8"/>
  <c r="P2767" i="8"/>
  <c r="O2767" i="8"/>
  <c r="N2767" i="8"/>
  <c r="M2767" i="8"/>
  <c r="L2767" i="8"/>
  <c r="K2767" i="8"/>
  <c r="J2767" i="8"/>
  <c r="I2767" i="8"/>
  <c r="H2767" i="8"/>
  <c r="G2767" i="8"/>
  <c r="F2767" i="8"/>
  <c r="E2767" i="8"/>
  <c r="T2766" i="8"/>
  <c r="S2766" i="8"/>
  <c r="R2766" i="8"/>
  <c r="Q2766" i="8"/>
  <c r="P2766" i="8"/>
  <c r="O2766" i="8"/>
  <c r="N2766" i="8"/>
  <c r="M2766" i="8"/>
  <c r="L2766" i="8"/>
  <c r="K2766" i="8"/>
  <c r="J2766" i="8"/>
  <c r="I2766" i="8"/>
  <c r="H2766" i="8"/>
  <c r="G2766" i="8"/>
  <c r="F2766" i="8"/>
  <c r="E2766" i="8"/>
  <c r="T2765" i="8"/>
  <c r="S2765" i="8"/>
  <c r="R2765" i="8"/>
  <c r="Q2765" i="8"/>
  <c r="P2765" i="8"/>
  <c r="O2765" i="8"/>
  <c r="N2765" i="8"/>
  <c r="M2765" i="8"/>
  <c r="L2765" i="8"/>
  <c r="K2765" i="8"/>
  <c r="J2765" i="8"/>
  <c r="I2765" i="8"/>
  <c r="H2765" i="8"/>
  <c r="G2765" i="8"/>
  <c r="E2765" i="8"/>
  <c r="T2764" i="8"/>
  <c r="S2764" i="8"/>
  <c r="R2764" i="8"/>
  <c r="Q2764" i="8"/>
  <c r="P2764" i="8"/>
  <c r="O2764" i="8"/>
  <c r="N2764" i="8"/>
  <c r="M2764" i="8"/>
  <c r="L2764" i="8"/>
  <c r="K2764" i="8"/>
  <c r="J2764" i="8"/>
  <c r="I2764" i="8"/>
  <c r="H2764" i="8"/>
  <c r="G2764" i="8"/>
  <c r="F2764" i="8"/>
  <c r="E2764" i="8"/>
  <c r="T2763" i="8"/>
  <c r="S2763" i="8"/>
  <c r="R2763" i="8"/>
  <c r="Q2763" i="8"/>
  <c r="P2763" i="8"/>
  <c r="O2763" i="8"/>
  <c r="N2763" i="8"/>
  <c r="M2763" i="8"/>
  <c r="L2763" i="8"/>
  <c r="K2763" i="8"/>
  <c r="J2763" i="8"/>
  <c r="I2763" i="8"/>
  <c r="H2763" i="8"/>
  <c r="G2763" i="8"/>
  <c r="F2763" i="8"/>
  <c r="E2763" i="8"/>
  <c r="T2762" i="8"/>
  <c r="S2762" i="8"/>
  <c r="R2762" i="8"/>
  <c r="Q2762" i="8"/>
  <c r="P2762" i="8"/>
  <c r="O2762" i="8"/>
  <c r="N2762" i="8"/>
  <c r="M2762" i="8"/>
  <c r="L2762" i="8"/>
  <c r="K2762" i="8"/>
  <c r="J2762" i="8"/>
  <c r="I2762" i="8"/>
  <c r="H2762" i="8"/>
  <c r="G2762" i="8"/>
  <c r="F2762" i="8"/>
  <c r="E257" i="7"/>
  <c r="F257" i="7"/>
  <c r="G257" i="7"/>
  <c r="H257" i="7"/>
  <c r="I257" i="7"/>
  <c r="O2750" i="8"/>
  <c r="P2750" i="8"/>
  <c r="Q2750" i="8"/>
  <c r="R2750" i="8"/>
  <c r="S2750" i="8"/>
  <c r="T2750" i="8"/>
  <c r="E2751" i="8"/>
  <c r="F2751" i="8"/>
  <c r="G2751" i="8"/>
  <c r="H2751" i="8"/>
  <c r="I2751" i="8"/>
  <c r="J2751" i="8"/>
  <c r="K2751" i="8"/>
  <c r="L2751" i="8"/>
  <c r="M2751" i="8"/>
  <c r="N2751" i="8"/>
  <c r="O2751" i="8"/>
  <c r="P2751" i="8"/>
  <c r="Q2751" i="8"/>
  <c r="R2751" i="8"/>
  <c r="S2751" i="8"/>
  <c r="T2751" i="8"/>
  <c r="E2752" i="8"/>
  <c r="F2752" i="8"/>
  <c r="G2752" i="8"/>
  <c r="H2752" i="8"/>
  <c r="I2752" i="8"/>
  <c r="J2752" i="8"/>
  <c r="K2752" i="8"/>
  <c r="L2752" i="8"/>
  <c r="M2752" i="8"/>
  <c r="O2752" i="8"/>
  <c r="P2752" i="8"/>
  <c r="Q2752" i="8"/>
  <c r="R2752" i="8"/>
  <c r="S2752" i="8"/>
  <c r="T2752" i="8"/>
  <c r="E2753" i="8"/>
  <c r="F2753" i="8"/>
  <c r="G2753" i="8"/>
  <c r="H2753" i="8"/>
  <c r="I2753" i="8"/>
  <c r="J2753" i="8"/>
  <c r="K2753" i="8"/>
  <c r="L2753" i="8"/>
  <c r="M2753" i="8"/>
  <c r="N2753" i="8"/>
  <c r="O2753" i="8"/>
  <c r="P2753" i="8"/>
  <c r="Q2753" i="8"/>
  <c r="R2753" i="8"/>
  <c r="S2753" i="8"/>
  <c r="T2753" i="8"/>
  <c r="E2754" i="8"/>
  <c r="F2754" i="8"/>
  <c r="G2754" i="8"/>
  <c r="H2754" i="8"/>
  <c r="I2754" i="8"/>
  <c r="J2754" i="8"/>
  <c r="K2754" i="8"/>
  <c r="L2754" i="8"/>
  <c r="M2754" i="8"/>
  <c r="N2754" i="8"/>
  <c r="O2754" i="8"/>
  <c r="P2754" i="8"/>
  <c r="Q2754" i="8"/>
  <c r="R2754" i="8"/>
  <c r="S2754" i="8"/>
  <c r="T2754" i="8"/>
  <c r="E2755" i="8"/>
  <c r="F2755" i="8"/>
  <c r="G2755" i="8"/>
  <c r="H2755" i="8"/>
  <c r="I2755" i="8"/>
  <c r="J2755" i="8"/>
  <c r="K2755" i="8"/>
  <c r="L2755" i="8"/>
  <c r="M2755" i="8"/>
  <c r="N2755" i="8"/>
  <c r="O2755" i="8"/>
  <c r="P2755" i="8"/>
  <c r="Q2755" i="8"/>
  <c r="R2755" i="8"/>
  <c r="S2755" i="8"/>
  <c r="T2755" i="8"/>
  <c r="E2756" i="8"/>
  <c r="F2756" i="8"/>
  <c r="G2756" i="8"/>
  <c r="H2756" i="8"/>
  <c r="I2756" i="8"/>
  <c r="J2756" i="8"/>
  <c r="K2756" i="8"/>
  <c r="L2756" i="8"/>
  <c r="M2756" i="8"/>
  <c r="N2756" i="8"/>
  <c r="O2756" i="8"/>
  <c r="P2756" i="8"/>
  <c r="Q2756" i="8"/>
  <c r="R2756" i="8"/>
  <c r="S2756" i="8"/>
  <c r="T2756" i="8"/>
  <c r="N2752" i="8"/>
  <c r="E256" i="7"/>
  <c r="F256" i="7"/>
  <c r="G256" i="7"/>
  <c r="H256" i="7"/>
  <c r="I256" i="7"/>
  <c r="J256" i="7"/>
  <c r="K256" i="7"/>
  <c r="L256" i="7"/>
  <c r="M256" i="7"/>
  <c r="N256" i="7"/>
  <c r="P256" i="7"/>
  <c r="Q256" i="7"/>
  <c r="R256" i="7"/>
  <c r="S256" i="7"/>
  <c r="U256" i="7"/>
  <c r="V256" i="7"/>
  <c r="W256" i="7"/>
  <c r="X256" i="7"/>
  <c r="Y256" i="7"/>
  <c r="Z256" i="7"/>
  <c r="AA256" i="7"/>
  <c r="AC256" i="7"/>
  <c r="AE256" i="7"/>
  <c r="AI256" i="7"/>
  <c r="AO256" i="7"/>
  <c r="AP256" i="7"/>
  <c r="E2746" i="8"/>
  <c r="F2746" i="8"/>
  <c r="G2746" i="8"/>
  <c r="H2746" i="8"/>
  <c r="I2746" i="8"/>
  <c r="J2746" i="8"/>
  <c r="K2746" i="8"/>
  <c r="L2746" i="8"/>
  <c r="M2746" i="8"/>
  <c r="N2746" i="8"/>
  <c r="O2746" i="8"/>
  <c r="P2746" i="8"/>
  <c r="Q2746" i="8"/>
  <c r="R2746" i="8"/>
  <c r="S2746" i="8"/>
  <c r="T2746" i="8"/>
  <c r="E2747" i="8"/>
  <c r="F2747" i="8"/>
  <c r="G2747" i="8"/>
  <c r="H2747" i="8"/>
  <c r="I2747" i="8"/>
  <c r="J2747" i="8"/>
  <c r="K2747" i="8"/>
  <c r="L2747" i="8"/>
  <c r="M2747" i="8"/>
  <c r="N2747" i="8"/>
  <c r="O2747" i="8"/>
  <c r="P2747" i="8"/>
  <c r="Q2747" i="8"/>
  <c r="R2747" i="8"/>
  <c r="S2747" i="8"/>
  <c r="T2747" i="8"/>
  <c r="E2748" i="8"/>
  <c r="F2748" i="8"/>
  <c r="G2748" i="8"/>
  <c r="H2748" i="8"/>
  <c r="I2748" i="8"/>
  <c r="J2748" i="8"/>
  <c r="K2748" i="8"/>
  <c r="L2748" i="8"/>
  <c r="M2748" i="8"/>
  <c r="N2748" i="8"/>
  <c r="O2748" i="8"/>
  <c r="P2748" i="8"/>
  <c r="Q2748" i="8"/>
  <c r="R2748" i="8"/>
  <c r="S2748" i="8"/>
  <c r="T2748" i="8"/>
  <c r="E2749" i="8"/>
  <c r="F2749" i="8"/>
  <c r="G2749" i="8"/>
  <c r="H2749" i="8"/>
  <c r="I2749" i="8"/>
  <c r="J2749" i="8"/>
  <c r="K2749" i="8"/>
  <c r="L2749" i="8"/>
  <c r="M2749" i="8"/>
  <c r="N2749" i="8"/>
  <c r="O2749" i="8"/>
  <c r="P2749" i="8"/>
  <c r="Q2749" i="8"/>
  <c r="R2749" i="8"/>
  <c r="S2749" i="8"/>
  <c r="T2749" i="8"/>
  <c r="E2750" i="8"/>
  <c r="F2750" i="8"/>
  <c r="G2750" i="8"/>
  <c r="H2750" i="8"/>
  <c r="I2750" i="8"/>
  <c r="J2750" i="8"/>
  <c r="K2750" i="8"/>
  <c r="L2750" i="8"/>
  <c r="M2750" i="8"/>
  <c r="N2750" i="8"/>
  <c r="J243" i="7"/>
  <c r="K243" i="7"/>
  <c r="L243" i="7"/>
  <c r="M243" i="7"/>
  <c r="P243" i="7"/>
  <c r="Q243" i="7"/>
  <c r="R243" i="7"/>
  <c r="S243" i="7"/>
  <c r="U243" i="7"/>
  <c r="V243" i="7"/>
  <c r="W243" i="7"/>
  <c r="X243" i="7"/>
  <c r="AA243" i="7"/>
  <c r="AE243" i="7"/>
  <c r="E2603" i="8"/>
  <c r="F2603" i="8"/>
  <c r="G2603" i="8"/>
  <c r="H2603" i="8"/>
  <c r="I2603" i="8"/>
  <c r="J2603" i="8"/>
  <c r="K2603" i="8"/>
  <c r="L2603" i="8"/>
  <c r="M2603" i="8"/>
  <c r="N2603" i="8"/>
  <c r="O2603" i="8"/>
  <c r="P2603" i="8"/>
  <c r="Q2603" i="8"/>
  <c r="R2603" i="8"/>
  <c r="S2603" i="8"/>
  <c r="T2603" i="8"/>
  <c r="E2604" i="8"/>
  <c r="F2604" i="8"/>
  <c r="G2604" i="8"/>
  <c r="H2604" i="8"/>
  <c r="I2604" i="8"/>
  <c r="J2604" i="8"/>
  <c r="K2604" i="8"/>
  <c r="L2604" i="8"/>
  <c r="M2604" i="8"/>
  <c r="N2604" i="8"/>
  <c r="O2604" i="8"/>
  <c r="P2604" i="8"/>
  <c r="Q2604" i="8"/>
  <c r="R2604" i="8"/>
  <c r="S2604" i="8"/>
  <c r="T2604" i="8"/>
  <c r="E2605" i="8"/>
  <c r="F2605" i="8"/>
  <c r="G2605" i="8"/>
  <c r="H2605" i="8"/>
  <c r="I2605" i="8"/>
  <c r="J2605" i="8"/>
  <c r="K2605" i="8"/>
  <c r="L2605" i="8"/>
  <c r="M2605" i="8"/>
  <c r="N2605" i="8"/>
  <c r="O2605" i="8"/>
  <c r="P2605" i="8"/>
  <c r="Q2605" i="8"/>
  <c r="R2605" i="8"/>
  <c r="S2605" i="8"/>
  <c r="T2605" i="8"/>
  <c r="E2606" i="8"/>
  <c r="F2606" i="8"/>
  <c r="G2606" i="8"/>
  <c r="H2606" i="8"/>
  <c r="I2606" i="8"/>
  <c r="K2606" i="8"/>
  <c r="L2606" i="8"/>
  <c r="M2606" i="8"/>
  <c r="N2606" i="8"/>
  <c r="O2606" i="8"/>
  <c r="P2606" i="8"/>
  <c r="Q2606" i="8"/>
  <c r="R2606" i="8"/>
  <c r="S2606" i="8"/>
  <c r="T2606" i="8"/>
  <c r="E2607" i="8"/>
  <c r="F2607" i="8"/>
  <c r="G2607" i="8"/>
  <c r="H2607" i="8"/>
  <c r="I2607" i="8"/>
  <c r="J2607" i="8"/>
  <c r="K2607" i="8"/>
  <c r="L2607" i="8"/>
  <c r="M2607" i="8"/>
  <c r="N2607" i="8"/>
  <c r="O2607" i="8"/>
  <c r="P2607" i="8"/>
  <c r="Q2607" i="8"/>
  <c r="R2607" i="8"/>
  <c r="S2607" i="8"/>
  <c r="T2607" i="8"/>
  <c r="T2613" i="8"/>
  <c r="R2608" i="8"/>
  <c r="S2608" i="8"/>
  <c r="T2608" i="8"/>
  <c r="E2609" i="8"/>
  <c r="F2609" i="8"/>
  <c r="G2609" i="8"/>
  <c r="H2609" i="8"/>
  <c r="I2609" i="8"/>
  <c r="J2609" i="8"/>
  <c r="E2608" i="8"/>
  <c r="K2609" i="8"/>
  <c r="L2609" i="8"/>
  <c r="M2609" i="8"/>
  <c r="N2609" i="8"/>
  <c r="O2609" i="8"/>
  <c r="P2609" i="8"/>
  <c r="Q2609" i="8"/>
  <c r="R2609" i="8"/>
  <c r="S2609" i="8"/>
  <c r="T2609" i="8"/>
  <c r="E2610" i="8"/>
  <c r="F2610" i="8"/>
  <c r="G2610" i="8"/>
  <c r="H2610" i="8"/>
  <c r="I2610" i="8"/>
  <c r="J2606" i="8"/>
  <c r="J2610" i="8"/>
  <c r="K2610" i="8"/>
  <c r="L2610" i="8"/>
  <c r="M2610" i="8"/>
  <c r="N2610" i="8"/>
  <c r="O2610" i="8"/>
  <c r="P2610" i="8"/>
  <c r="Q2610" i="8"/>
  <c r="R2610" i="8"/>
  <c r="S2610" i="8"/>
  <c r="T2610" i="8"/>
  <c r="E2611" i="8"/>
  <c r="F2608" i="8"/>
  <c r="F2611" i="8"/>
  <c r="G2611" i="8"/>
  <c r="H2611" i="8"/>
  <c r="I2611" i="8"/>
  <c r="J2611" i="8"/>
  <c r="K2611" i="8"/>
  <c r="L2611" i="8"/>
  <c r="M2611" i="8"/>
  <c r="N2611" i="8"/>
  <c r="O2611" i="8"/>
  <c r="P2611" i="8"/>
  <c r="Q2611" i="8"/>
  <c r="R2611" i="8"/>
  <c r="S2611" i="8"/>
  <c r="T2611" i="8"/>
  <c r="E2612" i="8"/>
  <c r="F2612" i="8"/>
  <c r="G2612" i="8"/>
  <c r="H2612" i="8"/>
  <c r="I2612" i="8"/>
  <c r="J2612" i="8"/>
  <c r="K2612" i="8"/>
  <c r="L2612" i="8"/>
  <c r="M2612" i="8"/>
  <c r="N2612" i="8"/>
  <c r="O2612" i="8"/>
  <c r="P2612" i="8"/>
  <c r="Q2612" i="8"/>
  <c r="R2612" i="8"/>
  <c r="S2612" i="8"/>
  <c r="T2612" i="8"/>
  <c r="E2613" i="8"/>
  <c r="F2613" i="8"/>
  <c r="G2613" i="8"/>
  <c r="H2613" i="8"/>
  <c r="I2613" i="8"/>
  <c r="J2613" i="8"/>
  <c r="K2613" i="8"/>
  <c r="L2613" i="8"/>
  <c r="M2613" i="8"/>
  <c r="N2613" i="8"/>
  <c r="O2613" i="8"/>
  <c r="P2613" i="8"/>
  <c r="Q2613" i="8"/>
  <c r="R2613" i="8"/>
  <c r="S2613" i="8"/>
  <c r="G2608" i="8"/>
  <c r="H2608" i="8"/>
  <c r="I2608" i="8"/>
  <c r="J2608" i="8"/>
  <c r="K2608" i="8"/>
  <c r="L2608" i="8"/>
  <c r="M2608" i="8"/>
  <c r="N2608" i="8"/>
  <c r="O2608" i="8"/>
  <c r="P2608" i="8"/>
  <c r="Q2608" i="8"/>
  <c r="E243" i="7"/>
  <c r="F243" i="7"/>
  <c r="G243" i="7"/>
  <c r="H243" i="7"/>
  <c r="I243" i="7"/>
  <c r="E2592" i="8"/>
  <c r="G2592" i="8"/>
  <c r="I2592" i="8"/>
  <c r="K2592" i="8"/>
  <c r="M2592" i="8"/>
  <c r="O2592" i="8"/>
  <c r="Q2592" i="8"/>
  <c r="S2592" i="8"/>
  <c r="E2593" i="8"/>
  <c r="G2593" i="8"/>
  <c r="H2593" i="8"/>
  <c r="I2593" i="8"/>
  <c r="J2593" i="8"/>
  <c r="K2593" i="8"/>
  <c r="L2593" i="8"/>
  <c r="M2593" i="8"/>
  <c r="N2593" i="8"/>
  <c r="O2593" i="8"/>
  <c r="Q2593" i="8"/>
  <c r="S2593" i="8"/>
  <c r="E2594" i="8"/>
  <c r="G2594" i="8"/>
  <c r="I2594" i="8"/>
  <c r="J2594" i="8"/>
  <c r="L2594" i="8"/>
  <c r="N2594" i="8"/>
  <c r="P2594" i="8"/>
  <c r="R2594" i="8"/>
  <c r="T2594" i="8"/>
  <c r="F2595" i="8"/>
  <c r="H2595" i="8"/>
  <c r="I2595" i="8"/>
  <c r="K2595" i="8"/>
  <c r="N2595" i="8"/>
  <c r="O2595" i="8"/>
  <c r="Q2595" i="8"/>
  <c r="S2595" i="8"/>
  <c r="E2596" i="8"/>
  <c r="H2596" i="8"/>
  <c r="J2596" i="8"/>
  <c r="L2596" i="8"/>
  <c r="O2596" i="8"/>
  <c r="Q2596" i="8"/>
  <c r="S2596" i="8"/>
  <c r="E2597" i="8"/>
  <c r="G2597" i="8"/>
  <c r="I2597" i="8"/>
  <c r="K2597" i="8"/>
  <c r="M2597" i="8"/>
  <c r="N2597" i="8"/>
  <c r="P2597" i="8"/>
  <c r="R2597" i="8"/>
  <c r="T2597" i="8"/>
  <c r="F2598" i="8"/>
  <c r="H2598" i="8"/>
  <c r="J2598" i="8"/>
  <c r="L2598" i="8"/>
  <c r="N2598" i="8"/>
  <c r="P2598" i="8"/>
  <c r="R2598" i="8"/>
  <c r="T2598" i="8"/>
  <c r="F2599" i="8"/>
  <c r="H2599" i="8"/>
  <c r="J2599" i="8"/>
  <c r="K2599" i="8"/>
  <c r="M2599" i="8"/>
  <c r="P2599" i="8"/>
  <c r="R2599" i="8"/>
  <c r="T2599" i="8"/>
  <c r="E2600" i="8"/>
  <c r="N2600" i="8"/>
  <c r="O2600" i="8"/>
  <c r="Q2600" i="8"/>
  <c r="S2600" i="8"/>
  <c r="E2601" i="8"/>
  <c r="G2601" i="8"/>
  <c r="I2601" i="8"/>
  <c r="K2601" i="8"/>
  <c r="M2601" i="8"/>
  <c r="O2601" i="8"/>
  <c r="Q2601" i="8"/>
  <c r="R2601" i="8"/>
  <c r="T2601" i="8"/>
  <c r="F2602" i="8"/>
  <c r="H2602" i="8"/>
  <c r="J2602" i="8"/>
  <c r="L2602" i="8"/>
  <c r="N2602" i="8"/>
  <c r="P2602" i="8"/>
  <c r="R2602" i="8"/>
  <c r="T2602" i="8"/>
  <c r="P2601" i="8"/>
  <c r="S2601" i="8"/>
  <c r="E2602" i="8"/>
  <c r="G2602" i="8"/>
  <c r="I2602" i="8"/>
  <c r="K2602" i="8"/>
  <c r="M2602" i="8"/>
  <c r="O2602" i="8"/>
  <c r="Q2602" i="8"/>
  <c r="S2602" i="8"/>
  <c r="E242" i="7"/>
  <c r="AO242" i="7" s="1"/>
  <c r="F242" i="7"/>
  <c r="G242" i="7"/>
  <c r="H242" i="7"/>
  <c r="I242" i="7"/>
  <c r="J242" i="7"/>
  <c r="K242" i="7"/>
  <c r="L242" i="7"/>
  <c r="M242" i="7"/>
  <c r="N242" i="7"/>
  <c r="P242" i="7"/>
  <c r="Q242" i="7"/>
  <c r="R242" i="7"/>
  <c r="S242" i="7"/>
  <c r="U242" i="7"/>
  <c r="V242" i="7"/>
  <c r="W242" i="7"/>
  <c r="X242" i="7"/>
  <c r="Y242" i="7"/>
  <c r="Z242" i="7"/>
  <c r="AA242" i="7"/>
  <c r="AC242" i="7"/>
  <c r="AE242" i="7"/>
  <c r="AI242" i="7"/>
  <c r="AP242" i="7"/>
  <c r="F2592" i="8"/>
  <c r="H2592" i="8"/>
  <c r="J2592" i="8"/>
  <c r="L2592" i="8"/>
  <c r="N2592" i="8"/>
  <c r="P2592" i="8"/>
  <c r="R2592" i="8"/>
  <c r="T2592" i="8"/>
  <c r="F2593" i="8"/>
  <c r="P2593" i="8"/>
  <c r="R2593" i="8"/>
  <c r="T2593" i="8"/>
  <c r="F2594" i="8"/>
  <c r="H2594" i="8"/>
  <c r="K2594" i="8"/>
  <c r="M2594" i="8"/>
  <c r="O2594" i="8"/>
  <c r="Q2594" i="8"/>
  <c r="S2594" i="8"/>
  <c r="E2595" i="8"/>
  <c r="G2595" i="8"/>
  <c r="J2595" i="8"/>
  <c r="L2595" i="8"/>
  <c r="M2595" i="8"/>
  <c r="P2595" i="8"/>
  <c r="R2595" i="8"/>
  <c r="T2595" i="8"/>
  <c r="F2596" i="8"/>
  <c r="G2596" i="8"/>
  <c r="I2596" i="8"/>
  <c r="K2596" i="8"/>
  <c r="M2596" i="8"/>
  <c r="N2596" i="8"/>
  <c r="P2596" i="8"/>
  <c r="R2596" i="8"/>
  <c r="T2596" i="8"/>
  <c r="F2597" i="8"/>
  <c r="H2597" i="8"/>
  <c r="J2597" i="8"/>
  <c r="L2597" i="8"/>
  <c r="O2597" i="8"/>
  <c r="Q2597" i="8"/>
  <c r="S2597" i="8"/>
  <c r="E2598" i="8"/>
  <c r="G2598" i="8"/>
  <c r="I2598" i="8"/>
  <c r="K2598" i="8"/>
  <c r="M2598" i="8"/>
  <c r="O2598" i="8"/>
  <c r="Q2598" i="8"/>
  <c r="S2598" i="8"/>
  <c r="E2599" i="8"/>
  <c r="G2599" i="8"/>
  <c r="I2599" i="8"/>
  <c r="L2599" i="8"/>
  <c r="N2599" i="8"/>
  <c r="O2599" i="8"/>
  <c r="Q2599" i="8"/>
  <c r="S2599" i="8"/>
  <c r="F2600" i="8"/>
  <c r="G2600" i="8"/>
  <c r="H2600" i="8"/>
  <c r="I2600" i="8"/>
  <c r="J2600" i="8"/>
  <c r="K2600" i="8"/>
  <c r="L2600" i="8"/>
  <c r="M2600" i="8"/>
  <c r="P2600" i="8"/>
  <c r="R2600" i="8"/>
  <c r="T2600" i="8"/>
  <c r="F2601" i="8"/>
  <c r="H2601" i="8"/>
  <c r="J2601" i="8"/>
  <c r="L2601" i="8"/>
  <c r="N2601" i="8"/>
  <c r="G234" i="7"/>
  <c r="H234" i="7"/>
  <c r="I234" i="7"/>
  <c r="J234" i="7"/>
  <c r="K234" i="7"/>
  <c r="L234" i="7"/>
  <c r="M234" i="7"/>
  <c r="N234" i="7"/>
  <c r="P234" i="7"/>
  <c r="Q234" i="7"/>
  <c r="R234" i="7"/>
  <c r="S234" i="7"/>
  <c r="U234" i="7"/>
  <c r="V234" i="7"/>
  <c r="W234" i="7"/>
  <c r="X234" i="7"/>
  <c r="Y234" i="7"/>
  <c r="Z234" i="7"/>
  <c r="AA234" i="7"/>
  <c r="AC234" i="7"/>
  <c r="AE234" i="7"/>
  <c r="AI234" i="7"/>
  <c r="AO234" i="7"/>
  <c r="AP234" i="7"/>
  <c r="E2504" i="8"/>
  <c r="F2504" i="8"/>
  <c r="G2504" i="8"/>
  <c r="H2504" i="8"/>
  <c r="I2504" i="8"/>
  <c r="J2504" i="8"/>
  <c r="K2504" i="8"/>
  <c r="L2504" i="8"/>
  <c r="M2504" i="8"/>
  <c r="N2504" i="8"/>
  <c r="O2504" i="8"/>
  <c r="P2504" i="8"/>
  <c r="Q2504" i="8"/>
  <c r="R2504" i="8"/>
  <c r="S2504" i="8"/>
  <c r="T2504" i="8"/>
  <c r="E2505" i="8"/>
  <c r="F2505" i="8"/>
  <c r="G2505" i="8"/>
  <c r="H2505" i="8"/>
  <c r="I2505" i="8"/>
  <c r="J2505" i="8"/>
  <c r="K2505" i="8"/>
  <c r="L2505" i="8"/>
  <c r="M2505" i="8"/>
  <c r="N2505" i="8"/>
  <c r="O2505" i="8"/>
  <c r="P2505" i="8"/>
  <c r="Q2505" i="8"/>
  <c r="R2505" i="8"/>
  <c r="S2505" i="8"/>
  <c r="T2505" i="8"/>
  <c r="E2506" i="8"/>
  <c r="F2506" i="8"/>
  <c r="G2506" i="8"/>
  <c r="H2506" i="8"/>
  <c r="I2506" i="8"/>
  <c r="J2506" i="8"/>
  <c r="K2506" i="8"/>
  <c r="L2506" i="8"/>
  <c r="M2506" i="8"/>
  <c r="N2506" i="8"/>
  <c r="O2506" i="8"/>
  <c r="P2506" i="8"/>
  <c r="Q2506" i="8"/>
  <c r="R2506" i="8"/>
  <c r="S2506" i="8"/>
  <c r="T2506" i="8"/>
  <c r="E2507" i="8"/>
  <c r="F2507" i="8"/>
  <c r="G2507" i="8"/>
  <c r="R2508" i="8"/>
  <c r="H2507" i="8"/>
  <c r="I2507" i="8"/>
  <c r="J2507" i="8"/>
  <c r="K2507" i="8"/>
  <c r="L2507" i="8"/>
  <c r="M2507" i="8"/>
  <c r="N2507" i="8"/>
  <c r="O2507" i="8"/>
  <c r="P2507" i="8"/>
  <c r="Q2507" i="8"/>
  <c r="R2507" i="8"/>
  <c r="S2507" i="8"/>
  <c r="T2507" i="8"/>
  <c r="E2508" i="8"/>
  <c r="F2508" i="8"/>
  <c r="G2508" i="8"/>
  <c r="H2508" i="8"/>
  <c r="I2508" i="8"/>
  <c r="J2508" i="8"/>
  <c r="K2508" i="8"/>
  <c r="L2508" i="8"/>
  <c r="M2508" i="8"/>
  <c r="N2508" i="8"/>
  <c r="O2508" i="8"/>
  <c r="P2508" i="8"/>
  <c r="Q2508" i="8"/>
  <c r="T2514" i="8"/>
  <c r="S2514" i="8"/>
  <c r="R2514" i="8"/>
  <c r="Q2514" i="8"/>
  <c r="P2514" i="8"/>
  <c r="O2514" i="8"/>
  <c r="N2514" i="8"/>
  <c r="M2514" i="8"/>
  <c r="L2514" i="8"/>
  <c r="K2514" i="8"/>
  <c r="J2514" i="8"/>
  <c r="I2514" i="8"/>
  <c r="H2514" i="8"/>
  <c r="G2514" i="8"/>
  <c r="F2514" i="8"/>
  <c r="E2514" i="8"/>
  <c r="T2513" i="8"/>
  <c r="S2513" i="8"/>
  <c r="R2513" i="8"/>
  <c r="Q2513" i="8"/>
  <c r="P2513" i="8"/>
  <c r="O2513" i="8"/>
  <c r="N2513" i="8"/>
  <c r="M2513" i="8"/>
  <c r="L2513" i="8"/>
  <c r="K2513" i="8"/>
  <c r="J2513" i="8"/>
  <c r="I2513" i="8"/>
  <c r="H2513" i="8"/>
  <c r="G2513" i="8"/>
  <c r="F2513" i="8"/>
  <c r="E2513" i="8"/>
  <c r="T2512" i="8"/>
  <c r="S2512" i="8"/>
  <c r="R2512" i="8"/>
  <c r="Q2512" i="8"/>
  <c r="P2512" i="8"/>
  <c r="O2512" i="8"/>
  <c r="N2512" i="8"/>
  <c r="M2512" i="8"/>
  <c r="L2512" i="8"/>
  <c r="K2512" i="8"/>
  <c r="J2512" i="8"/>
  <c r="I2512" i="8"/>
  <c r="H2512" i="8"/>
  <c r="G2512" i="8"/>
  <c r="F2512" i="8"/>
  <c r="E2512" i="8"/>
  <c r="T2511" i="8"/>
  <c r="S2511" i="8"/>
  <c r="R2511" i="8"/>
  <c r="Q2511" i="8"/>
  <c r="P2511" i="8"/>
  <c r="O2511" i="8"/>
  <c r="N2511" i="8"/>
  <c r="M2511" i="8"/>
  <c r="L2511" i="8"/>
  <c r="K2511" i="8"/>
  <c r="J2511" i="8"/>
  <c r="I2511" i="8"/>
  <c r="H2511" i="8"/>
  <c r="G2511" i="8"/>
  <c r="F2511" i="8"/>
  <c r="E2511" i="8"/>
  <c r="T2510" i="8"/>
  <c r="S2510" i="8"/>
  <c r="R2510" i="8"/>
  <c r="Q2510" i="8"/>
  <c r="P2510" i="8"/>
  <c r="O2510" i="8"/>
  <c r="N2510" i="8"/>
  <c r="M2510" i="8"/>
  <c r="L2510" i="8"/>
  <c r="K2510" i="8"/>
  <c r="J2510" i="8"/>
  <c r="I2510" i="8"/>
  <c r="H2510" i="8"/>
  <c r="G2510" i="8"/>
  <c r="F2510" i="8"/>
  <c r="E2510" i="8"/>
  <c r="T2509" i="8"/>
  <c r="S2509" i="8"/>
  <c r="R2509" i="8"/>
  <c r="Q2509" i="8"/>
  <c r="P2509" i="8"/>
  <c r="O2509" i="8"/>
  <c r="N2509" i="8"/>
  <c r="M2509" i="8"/>
  <c r="L2509" i="8"/>
  <c r="K2509" i="8"/>
  <c r="J2509" i="8"/>
  <c r="I2509" i="8"/>
  <c r="H2509" i="8"/>
  <c r="G2509" i="8"/>
  <c r="F2509" i="8"/>
  <c r="E2509" i="8"/>
  <c r="T2508" i="8"/>
  <c r="S2508" i="8"/>
  <c r="E234" i="7"/>
  <c r="F234" i="7"/>
  <c r="O2497" i="8"/>
  <c r="P2497" i="8"/>
  <c r="Q2497" i="8"/>
  <c r="R2497" i="8"/>
  <c r="S2497" i="8"/>
  <c r="T2497" i="8"/>
  <c r="E2498" i="8"/>
  <c r="F2498" i="8"/>
  <c r="G2498" i="8"/>
  <c r="H2498" i="8"/>
  <c r="I2498" i="8"/>
  <c r="J2498" i="8"/>
  <c r="K2498" i="8"/>
  <c r="L2498" i="8"/>
  <c r="M2498" i="8"/>
  <c r="N2498" i="8"/>
  <c r="O2498" i="8"/>
  <c r="P2498" i="8"/>
  <c r="Q2498" i="8"/>
  <c r="R2498" i="8"/>
  <c r="S2498" i="8"/>
  <c r="T2498" i="8"/>
  <c r="E2499" i="8"/>
  <c r="F2499" i="8"/>
  <c r="G2499" i="8"/>
  <c r="H2499" i="8"/>
  <c r="I2499" i="8"/>
  <c r="J2499" i="8"/>
  <c r="L2499" i="8"/>
  <c r="M2499" i="8"/>
  <c r="N2499" i="8"/>
  <c r="O2499" i="8"/>
  <c r="P2499" i="8"/>
  <c r="Q2499" i="8"/>
  <c r="R2499" i="8"/>
  <c r="S2499" i="8"/>
  <c r="T2499" i="8"/>
  <c r="E2500" i="8"/>
  <c r="F2500" i="8"/>
  <c r="G2500" i="8"/>
  <c r="H2500" i="8"/>
  <c r="I2500" i="8"/>
  <c r="J2500" i="8"/>
  <c r="K2500" i="8"/>
  <c r="L2500" i="8"/>
  <c r="M2500" i="8"/>
  <c r="N2500" i="8"/>
  <c r="O2500" i="8"/>
  <c r="P2500" i="8"/>
  <c r="Q2500" i="8"/>
  <c r="R2500" i="8"/>
  <c r="S2500" i="8"/>
  <c r="T2500" i="8"/>
  <c r="E2501" i="8"/>
  <c r="F2501" i="8"/>
  <c r="G2501" i="8"/>
  <c r="H2501" i="8"/>
  <c r="I2501" i="8"/>
  <c r="J2501" i="8"/>
  <c r="K2501" i="8"/>
  <c r="L2501" i="8"/>
  <c r="M2501" i="8"/>
  <c r="N2501" i="8"/>
  <c r="O2501" i="8"/>
  <c r="P2501" i="8"/>
  <c r="Q2501" i="8"/>
  <c r="R2501" i="8"/>
  <c r="S2501" i="8"/>
  <c r="T2501" i="8"/>
  <c r="E2502" i="8"/>
  <c r="F2502" i="8"/>
  <c r="G2502" i="8"/>
  <c r="H2502" i="8"/>
  <c r="I2502" i="8"/>
  <c r="J2502" i="8"/>
  <c r="K2502" i="8"/>
  <c r="L2502" i="8"/>
  <c r="M2502" i="8"/>
  <c r="N2502" i="8"/>
  <c r="O2502" i="8"/>
  <c r="P2502" i="8"/>
  <c r="Q2502" i="8"/>
  <c r="R2502" i="8"/>
  <c r="S2502" i="8"/>
  <c r="T2502" i="8"/>
  <c r="E2503" i="8"/>
  <c r="F2503" i="8"/>
  <c r="G2503" i="8"/>
  <c r="H2503" i="8"/>
  <c r="I2503" i="8"/>
  <c r="J2503" i="8"/>
  <c r="K2503" i="8"/>
  <c r="L2503" i="8"/>
  <c r="M2503" i="8"/>
  <c r="N2503" i="8"/>
  <c r="O2503" i="8"/>
  <c r="P2503" i="8"/>
  <c r="Q2503" i="8"/>
  <c r="R2503" i="8"/>
  <c r="S2503" i="8"/>
  <c r="T2503" i="8"/>
  <c r="K2499" i="8"/>
  <c r="E233" i="7"/>
  <c r="F233" i="7"/>
  <c r="G233" i="7"/>
  <c r="H233" i="7"/>
  <c r="I233" i="7"/>
  <c r="J233" i="7"/>
  <c r="K233" i="7"/>
  <c r="L233" i="7"/>
  <c r="M233" i="7"/>
  <c r="N233" i="7"/>
  <c r="P233" i="7"/>
  <c r="Q233" i="7"/>
  <c r="R233" i="7"/>
  <c r="S233" i="7"/>
  <c r="U233" i="7"/>
  <c r="V233" i="7"/>
  <c r="W233" i="7"/>
  <c r="X233" i="7"/>
  <c r="Y233" i="7"/>
  <c r="Z233" i="7"/>
  <c r="AA233" i="7"/>
  <c r="AC233" i="7"/>
  <c r="AE233" i="7"/>
  <c r="AI233" i="7"/>
  <c r="AO233" i="7"/>
  <c r="AP233" i="7"/>
  <c r="E2493" i="8"/>
  <c r="F2493" i="8"/>
  <c r="G2493" i="8"/>
  <c r="H2493" i="8"/>
  <c r="I2493" i="8"/>
  <c r="J2493" i="8"/>
  <c r="K2493" i="8"/>
  <c r="L2493" i="8"/>
  <c r="M2493" i="8"/>
  <c r="N2493" i="8"/>
  <c r="O2493" i="8"/>
  <c r="P2493" i="8"/>
  <c r="Q2493" i="8"/>
  <c r="R2493" i="8"/>
  <c r="S2493" i="8"/>
  <c r="T2493" i="8"/>
  <c r="E2494" i="8"/>
  <c r="F2494" i="8"/>
  <c r="G2494" i="8"/>
  <c r="H2494" i="8"/>
  <c r="I2494" i="8"/>
  <c r="J2494" i="8"/>
  <c r="K2494" i="8"/>
  <c r="L2494" i="8"/>
  <c r="M2494" i="8"/>
  <c r="N2494" i="8"/>
  <c r="O2494" i="8"/>
  <c r="P2494" i="8"/>
  <c r="Q2494" i="8"/>
  <c r="R2494" i="8"/>
  <c r="S2494" i="8"/>
  <c r="T2494" i="8"/>
  <c r="E2495" i="8"/>
  <c r="F2495" i="8"/>
  <c r="G2495" i="8"/>
  <c r="H2495" i="8"/>
  <c r="I2495" i="8"/>
  <c r="J2495" i="8"/>
  <c r="K2495" i="8"/>
  <c r="L2495" i="8"/>
  <c r="M2495" i="8"/>
  <c r="N2495" i="8"/>
  <c r="O2495" i="8"/>
  <c r="P2495" i="8"/>
  <c r="Q2495" i="8"/>
  <c r="R2495" i="8"/>
  <c r="S2495" i="8"/>
  <c r="T2495" i="8"/>
  <c r="E2496" i="8"/>
  <c r="F2496" i="8"/>
  <c r="G2496" i="8"/>
  <c r="H2496" i="8"/>
  <c r="I2496" i="8"/>
  <c r="J2496" i="8"/>
  <c r="K2496" i="8"/>
  <c r="L2496" i="8"/>
  <c r="M2496" i="8"/>
  <c r="N2496" i="8"/>
  <c r="O2496" i="8"/>
  <c r="P2496" i="8"/>
  <c r="Q2496" i="8"/>
  <c r="R2496" i="8"/>
  <c r="S2496" i="8"/>
  <c r="T2496" i="8"/>
  <c r="E2497" i="8"/>
  <c r="F2497" i="8"/>
  <c r="G2497" i="8"/>
  <c r="H2497" i="8"/>
  <c r="I2497" i="8"/>
  <c r="J2497" i="8"/>
  <c r="K2497" i="8"/>
  <c r="L2497" i="8"/>
  <c r="M2497" i="8"/>
  <c r="N2497" i="8"/>
  <c r="G232" i="7"/>
  <c r="H232" i="7"/>
  <c r="I232" i="7"/>
  <c r="J232" i="7"/>
  <c r="K232" i="7"/>
  <c r="L232" i="7"/>
  <c r="M232" i="7"/>
  <c r="P232" i="7"/>
  <c r="Q232" i="7"/>
  <c r="H2486" i="8"/>
  <c r="G2486" i="8"/>
  <c r="F2486" i="8"/>
  <c r="E2486" i="8"/>
  <c r="T2485" i="8"/>
  <c r="S2485" i="8"/>
  <c r="P2485" i="8"/>
  <c r="O2485" i="8"/>
  <c r="N2485" i="8"/>
  <c r="M2485" i="8"/>
  <c r="L2485" i="8"/>
  <c r="K2485" i="8"/>
  <c r="J2485" i="8"/>
  <c r="I2485" i="8"/>
  <c r="H2485" i="8"/>
  <c r="G2485" i="8"/>
  <c r="F2485" i="8"/>
  <c r="E2485" i="8"/>
  <c r="T2484" i="8"/>
  <c r="S2484" i="8"/>
  <c r="R2484" i="8"/>
  <c r="Q2484" i="8"/>
  <c r="P2484" i="8"/>
  <c r="O2484" i="8"/>
  <c r="N2484" i="8"/>
  <c r="M2484" i="8"/>
  <c r="L2484" i="8"/>
  <c r="K2484" i="8"/>
  <c r="J2484" i="8"/>
  <c r="I2484" i="8"/>
  <c r="H2484" i="8"/>
  <c r="G2484" i="8"/>
  <c r="F2484" i="8"/>
  <c r="E2484" i="8"/>
  <c r="T2483" i="8"/>
  <c r="S2483" i="8"/>
  <c r="R2483" i="8"/>
  <c r="Q2483" i="8"/>
  <c r="P2483" i="8"/>
  <c r="O2483" i="8"/>
  <c r="N2483" i="8"/>
  <c r="M2483" i="8"/>
  <c r="L2483" i="8"/>
  <c r="K2483" i="8"/>
  <c r="J2483" i="8"/>
  <c r="I2483" i="8"/>
  <c r="H2483" i="8"/>
  <c r="G2483" i="8"/>
  <c r="F2483" i="8"/>
  <c r="E2483" i="8"/>
  <c r="T2482" i="8"/>
  <c r="S2482" i="8"/>
  <c r="R2482" i="8"/>
  <c r="Q2482" i="8"/>
  <c r="P2482" i="8"/>
  <c r="O2482" i="8"/>
  <c r="N2482" i="8"/>
  <c r="M2482" i="8"/>
  <c r="L2482" i="8"/>
  <c r="K2482" i="8"/>
  <c r="J2482" i="8"/>
  <c r="I2482" i="8"/>
  <c r="H2482" i="8"/>
  <c r="G2482" i="8"/>
  <c r="F2482" i="8"/>
  <c r="AE232" i="7"/>
  <c r="AA232" i="7"/>
  <c r="X232" i="7"/>
  <c r="W232" i="7"/>
  <c r="V232" i="7"/>
  <c r="U232" i="7"/>
  <c r="S232" i="7"/>
  <c r="R232" i="7"/>
  <c r="Q2485" i="8"/>
  <c r="R2485" i="8"/>
  <c r="E2487" i="8"/>
  <c r="T2486" i="8"/>
  <c r="S2486" i="8"/>
  <c r="R2486" i="8"/>
  <c r="Q2486" i="8"/>
  <c r="P2486" i="8"/>
  <c r="O2486" i="8"/>
  <c r="N2486" i="8"/>
  <c r="M2486" i="8"/>
  <c r="L2486" i="8"/>
  <c r="O2492" i="8"/>
  <c r="N2492" i="8"/>
  <c r="M2492" i="8"/>
  <c r="L2492" i="8"/>
  <c r="K2492" i="8"/>
  <c r="J2492" i="8"/>
  <c r="I2492" i="8"/>
  <c r="H2492" i="8"/>
  <c r="G2492" i="8"/>
  <c r="F2492" i="8"/>
  <c r="E2492" i="8"/>
  <c r="T2491" i="8"/>
  <c r="S2491" i="8"/>
  <c r="R2491" i="8"/>
  <c r="Q2491" i="8"/>
  <c r="P2491" i="8"/>
  <c r="O2491" i="8"/>
  <c r="N2491" i="8"/>
  <c r="M2491" i="8"/>
  <c r="L2491" i="8"/>
  <c r="K2491" i="8"/>
  <c r="J2491" i="8"/>
  <c r="I2491" i="8"/>
  <c r="H2491" i="8"/>
  <c r="G2491" i="8"/>
  <c r="E2482" i="8"/>
  <c r="F2491" i="8"/>
  <c r="E2491" i="8"/>
  <c r="T2490" i="8"/>
  <c r="S2490" i="8"/>
  <c r="R2490" i="8"/>
  <c r="Q2490" i="8"/>
  <c r="P2490" i="8"/>
  <c r="O2490" i="8"/>
  <c r="N2490" i="8"/>
  <c r="M2490" i="8"/>
  <c r="L2490" i="8"/>
  <c r="K2490" i="8"/>
  <c r="J2490" i="8"/>
  <c r="I2490" i="8"/>
  <c r="H2490" i="8"/>
  <c r="G2490" i="8"/>
  <c r="F2490" i="8"/>
  <c r="E2490" i="8"/>
  <c r="T2489" i="8"/>
  <c r="S2489" i="8"/>
  <c r="R2489" i="8"/>
  <c r="Q2489" i="8"/>
  <c r="P2489" i="8"/>
  <c r="O2489" i="8"/>
  <c r="N2489" i="8"/>
  <c r="M2489" i="8"/>
  <c r="L2489" i="8"/>
  <c r="K2489" i="8"/>
  <c r="J2489" i="8"/>
  <c r="I2489" i="8"/>
  <c r="H2489" i="8"/>
  <c r="G2489" i="8"/>
  <c r="F2489" i="8"/>
  <c r="E2489" i="8"/>
  <c r="T2488" i="8"/>
  <c r="S2488" i="8"/>
  <c r="R2488" i="8"/>
  <c r="Q2488" i="8"/>
  <c r="P2488" i="8"/>
  <c r="O2488" i="8"/>
  <c r="N2488" i="8"/>
  <c r="M2488" i="8"/>
  <c r="L2488" i="8"/>
  <c r="K2488" i="8"/>
  <c r="J2488" i="8"/>
  <c r="I2488" i="8"/>
  <c r="H2488" i="8"/>
  <c r="G2488" i="8"/>
  <c r="F2488" i="8"/>
  <c r="E2488" i="8"/>
  <c r="T2487" i="8"/>
  <c r="S2487" i="8"/>
  <c r="R2487" i="8"/>
  <c r="Q2487" i="8"/>
  <c r="P2487" i="8"/>
  <c r="O2487" i="8"/>
  <c r="N2487" i="8"/>
  <c r="M2487" i="8"/>
  <c r="L2487" i="8"/>
  <c r="K2487" i="8"/>
  <c r="J2487" i="8"/>
  <c r="I2487" i="8"/>
  <c r="H2487" i="8"/>
  <c r="G2487" i="8"/>
  <c r="F2487" i="8"/>
  <c r="I2486" i="8"/>
  <c r="J2486" i="8"/>
  <c r="K2486" i="8"/>
  <c r="T2492" i="8"/>
  <c r="S2492" i="8"/>
  <c r="R2492" i="8"/>
  <c r="Q2492" i="8"/>
  <c r="P2492" i="8"/>
  <c r="E232" i="7"/>
  <c r="F232" i="7"/>
  <c r="G231" i="7"/>
  <c r="H231" i="7"/>
  <c r="I231" i="7"/>
  <c r="J231" i="7"/>
  <c r="K231" i="7"/>
  <c r="L231" i="7"/>
  <c r="M231" i="7"/>
  <c r="P231" i="7"/>
  <c r="Q231" i="7"/>
  <c r="R231" i="7"/>
  <c r="S231" i="7"/>
  <c r="U231" i="7"/>
  <c r="V231" i="7"/>
  <c r="W231" i="7"/>
  <c r="X231" i="7"/>
  <c r="AA231" i="7"/>
  <c r="AE231" i="7"/>
  <c r="E2471" i="8"/>
  <c r="F2471" i="8"/>
  <c r="G2471" i="8"/>
  <c r="H2471" i="8"/>
  <c r="I2471" i="8"/>
  <c r="J2471" i="8"/>
  <c r="K2471" i="8"/>
  <c r="L2471" i="8"/>
  <c r="M2471" i="8"/>
  <c r="N2471" i="8"/>
  <c r="O2471" i="8"/>
  <c r="P2471" i="8"/>
  <c r="Q2471" i="8"/>
  <c r="R2471" i="8"/>
  <c r="S2471" i="8"/>
  <c r="T2471" i="8"/>
  <c r="E2472" i="8"/>
  <c r="F2472" i="8"/>
  <c r="G2472" i="8"/>
  <c r="H2472" i="8"/>
  <c r="I2472" i="8"/>
  <c r="J2472" i="8"/>
  <c r="K2472" i="8"/>
  <c r="L2472" i="8"/>
  <c r="M2472" i="8"/>
  <c r="N2472" i="8"/>
  <c r="O2472" i="8"/>
  <c r="P2472" i="8"/>
  <c r="Q2472" i="8"/>
  <c r="R2472" i="8"/>
  <c r="S2472" i="8"/>
  <c r="T2472" i="8"/>
  <c r="E2473" i="8"/>
  <c r="F2473" i="8"/>
  <c r="G2473" i="8"/>
  <c r="H2473" i="8"/>
  <c r="I2473" i="8"/>
  <c r="J2473" i="8"/>
  <c r="K2473" i="8"/>
  <c r="L2473" i="8"/>
  <c r="M2473" i="8"/>
  <c r="N2473" i="8"/>
  <c r="O2473" i="8"/>
  <c r="P2473" i="8"/>
  <c r="Q2473" i="8"/>
  <c r="R2473" i="8"/>
  <c r="S2473" i="8"/>
  <c r="T2473" i="8"/>
  <c r="E2474" i="8"/>
  <c r="F2474" i="8"/>
  <c r="G2474" i="8"/>
  <c r="H2474" i="8"/>
  <c r="I2474" i="8"/>
  <c r="J2474" i="8"/>
  <c r="K2474" i="8"/>
  <c r="L2474" i="8"/>
  <c r="M2474" i="8"/>
  <c r="N2474" i="8"/>
  <c r="O2474" i="8"/>
  <c r="P2474" i="8"/>
  <c r="Q2474" i="8"/>
  <c r="R2474" i="8"/>
  <c r="S2474" i="8"/>
  <c r="T2474" i="8"/>
  <c r="E2475" i="8"/>
  <c r="F2475" i="8"/>
  <c r="G2475" i="8"/>
  <c r="H2475" i="8"/>
  <c r="I2475" i="8"/>
  <c r="J2475" i="8"/>
  <c r="K2475" i="8"/>
  <c r="L2475" i="8"/>
  <c r="M2475" i="8"/>
  <c r="N2475" i="8"/>
  <c r="O2475" i="8"/>
  <c r="P2475" i="8"/>
  <c r="Q2475" i="8"/>
  <c r="R2475" i="8"/>
  <c r="S2475" i="8"/>
  <c r="T2475" i="8"/>
  <c r="E2476" i="8"/>
  <c r="F2476" i="8"/>
  <c r="G2476" i="8"/>
  <c r="H2476" i="8"/>
  <c r="I2476" i="8"/>
  <c r="J2476" i="8"/>
  <c r="K2476" i="8"/>
  <c r="L2476" i="8"/>
  <c r="M2476" i="8"/>
  <c r="N2476" i="8"/>
  <c r="O2476" i="8"/>
  <c r="P2476" i="8"/>
  <c r="Q2476" i="8"/>
  <c r="R2476" i="8"/>
  <c r="S2476" i="8"/>
  <c r="T2476" i="8"/>
  <c r="E2477" i="8"/>
  <c r="F2477" i="8"/>
  <c r="G2477" i="8"/>
  <c r="H2477" i="8"/>
  <c r="I2477" i="8"/>
  <c r="J2477" i="8"/>
  <c r="K2477" i="8"/>
  <c r="L2477" i="8"/>
  <c r="M2477" i="8"/>
  <c r="N2477" i="8"/>
  <c r="O2477" i="8"/>
  <c r="P2477" i="8"/>
  <c r="Q2477" i="8"/>
  <c r="R2477" i="8"/>
  <c r="S2477" i="8"/>
  <c r="T2477" i="8"/>
  <c r="E2478" i="8"/>
  <c r="F2478" i="8"/>
  <c r="G2478" i="8"/>
  <c r="H2478" i="8"/>
  <c r="I2478" i="8"/>
  <c r="J2478" i="8"/>
  <c r="K2478" i="8"/>
  <c r="L2478" i="8"/>
  <c r="M2478" i="8"/>
  <c r="N2478" i="8"/>
  <c r="O2478" i="8"/>
  <c r="P2478" i="8"/>
  <c r="Q2478" i="8"/>
  <c r="R2478" i="8"/>
  <c r="S2478" i="8"/>
  <c r="T2478" i="8"/>
  <c r="E2479" i="8"/>
  <c r="F2479" i="8"/>
  <c r="G2479" i="8"/>
  <c r="H2479" i="8"/>
  <c r="I2479" i="8"/>
  <c r="J2479" i="8"/>
  <c r="K2479" i="8"/>
  <c r="L2479" i="8"/>
  <c r="M2479" i="8"/>
  <c r="N2479" i="8"/>
  <c r="O2479" i="8"/>
  <c r="P2479" i="8"/>
  <c r="Q2479" i="8"/>
  <c r="R2479" i="8"/>
  <c r="S2479" i="8"/>
  <c r="T2479" i="8"/>
  <c r="E2480" i="8"/>
  <c r="F2480" i="8"/>
  <c r="G2480" i="8"/>
  <c r="H2480" i="8"/>
  <c r="I2480" i="8"/>
  <c r="J2480" i="8"/>
  <c r="K2480" i="8"/>
  <c r="L2480" i="8"/>
  <c r="M2480" i="8"/>
  <c r="N2480" i="8"/>
  <c r="O2480" i="8"/>
  <c r="P2480" i="8"/>
  <c r="Q2480" i="8"/>
  <c r="R2480" i="8"/>
  <c r="S2480" i="8"/>
  <c r="T2480" i="8"/>
  <c r="E2481" i="8"/>
  <c r="F2481" i="8"/>
  <c r="G2481" i="8"/>
  <c r="H2481" i="8"/>
  <c r="I2481" i="8"/>
  <c r="J2481" i="8"/>
  <c r="K2481" i="8"/>
  <c r="L2481" i="8"/>
  <c r="M2481" i="8"/>
  <c r="N2481" i="8"/>
  <c r="O2481" i="8"/>
  <c r="P2481" i="8"/>
  <c r="Q2481" i="8"/>
  <c r="R2481" i="8"/>
  <c r="S2481" i="8"/>
  <c r="T2481" i="8"/>
  <c r="E231" i="7"/>
  <c r="F231" i="7"/>
  <c r="N2470" i="8"/>
  <c r="Q2470" i="8"/>
  <c r="T2470" i="8"/>
  <c r="Q2464" i="8"/>
  <c r="L2466" i="8"/>
  <c r="K2466" i="8"/>
  <c r="J2466" i="8"/>
  <c r="S2467" i="8"/>
  <c r="I2466" i="8"/>
  <c r="H2466" i="8"/>
  <c r="G2466" i="8"/>
  <c r="F2466" i="8"/>
  <c r="E2466" i="8"/>
  <c r="T2465" i="8"/>
  <c r="S2465" i="8"/>
  <c r="R2465" i="8"/>
  <c r="Q2465" i="8"/>
  <c r="P2465" i="8"/>
  <c r="O2465" i="8"/>
  <c r="N2465" i="8"/>
  <c r="M2465" i="8"/>
  <c r="L2465" i="8"/>
  <c r="K2465" i="8"/>
  <c r="J2465" i="8"/>
  <c r="I2465" i="8"/>
  <c r="H2465" i="8"/>
  <c r="G2465" i="8"/>
  <c r="F2465" i="8"/>
  <c r="E2465" i="8"/>
  <c r="T2464" i="8"/>
  <c r="S2464" i="8"/>
  <c r="E230" i="7"/>
  <c r="F230" i="7"/>
  <c r="G230" i="7"/>
  <c r="H230" i="7"/>
  <c r="I230" i="7"/>
  <c r="J230" i="7"/>
  <c r="K230" i="7"/>
  <c r="L230" i="7"/>
  <c r="M230" i="7"/>
  <c r="N230" i="7"/>
  <c r="P230" i="7"/>
  <c r="Q230" i="7"/>
  <c r="R230" i="7"/>
  <c r="S230" i="7"/>
  <c r="U230" i="7"/>
  <c r="V230" i="7"/>
  <c r="W230" i="7"/>
  <c r="X230" i="7"/>
  <c r="Y230" i="7"/>
  <c r="Z230" i="7"/>
  <c r="AA230" i="7"/>
  <c r="AC230" i="7"/>
  <c r="AE230" i="7"/>
  <c r="AI230" i="7"/>
  <c r="AO230" i="7"/>
  <c r="AP230" i="7"/>
  <c r="E2460" i="8"/>
  <c r="F2460" i="8"/>
  <c r="G2460" i="8"/>
  <c r="H2460" i="8"/>
  <c r="I2460" i="8"/>
  <c r="J2460" i="8"/>
  <c r="K2460" i="8"/>
  <c r="L2460" i="8"/>
  <c r="M2460" i="8"/>
  <c r="N2460" i="8"/>
  <c r="O2460" i="8"/>
  <c r="P2460" i="8"/>
  <c r="Q2468" i="8"/>
  <c r="P2468" i="8"/>
  <c r="O2468" i="8"/>
  <c r="N2468" i="8"/>
  <c r="M2468" i="8"/>
  <c r="L2468" i="8"/>
  <c r="R2464" i="8"/>
  <c r="K2468" i="8"/>
  <c r="J2468" i="8"/>
  <c r="I2468" i="8"/>
  <c r="H2468" i="8"/>
  <c r="G2468" i="8"/>
  <c r="F2468" i="8"/>
  <c r="E2468" i="8"/>
  <c r="T2467" i="8"/>
  <c r="R2467" i="8"/>
  <c r="Q2467" i="8"/>
  <c r="P2467" i="8"/>
  <c r="O2467" i="8"/>
  <c r="N2467" i="8"/>
  <c r="M2467" i="8"/>
  <c r="L2467" i="8"/>
  <c r="K2467" i="8"/>
  <c r="J2467" i="8"/>
  <c r="I2467" i="8"/>
  <c r="H2467" i="8"/>
  <c r="G2467" i="8"/>
  <c r="F2467" i="8"/>
  <c r="E2467" i="8"/>
  <c r="T2466" i="8"/>
  <c r="S2466" i="8"/>
  <c r="R2466" i="8"/>
  <c r="Q2466" i="8"/>
  <c r="P2466" i="8"/>
  <c r="O2466" i="8"/>
  <c r="N2466" i="8"/>
  <c r="O2470" i="8"/>
  <c r="S2470" i="8"/>
  <c r="Q2460" i="8"/>
  <c r="R2460" i="8"/>
  <c r="S2460" i="8"/>
  <c r="T2460" i="8"/>
  <c r="E2461" i="8"/>
  <c r="F2461" i="8"/>
  <c r="G2461" i="8"/>
  <c r="H2461" i="8"/>
  <c r="I2461" i="8"/>
  <c r="J2461" i="8"/>
  <c r="K2461" i="8"/>
  <c r="L2461" i="8"/>
  <c r="M2461" i="8"/>
  <c r="N2461" i="8"/>
  <c r="O2461" i="8"/>
  <c r="P2461" i="8"/>
  <c r="Q2461" i="8"/>
  <c r="R2461" i="8"/>
  <c r="S2461" i="8"/>
  <c r="T2461" i="8"/>
  <c r="E2462" i="8"/>
  <c r="F2462" i="8"/>
  <c r="G2462" i="8"/>
  <c r="H2462" i="8"/>
  <c r="I2462" i="8"/>
  <c r="J2462" i="8"/>
  <c r="K2462" i="8"/>
  <c r="L2462" i="8"/>
  <c r="M2462" i="8"/>
  <c r="N2462" i="8"/>
  <c r="O2462" i="8"/>
  <c r="P2462" i="8"/>
  <c r="Q2462" i="8"/>
  <c r="R2462" i="8"/>
  <c r="S2462" i="8"/>
  <c r="T2462" i="8"/>
  <c r="E2463" i="8"/>
  <c r="F2463" i="8"/>
  <c r="G2463" i="8"/>
  <c r="H2463" i="8"/>
  <c r="I2463" i="8"/>
  <c r="J2463" i="8"/>
  <c r="K2463" i="8"/>
  <c r="M2466" i="8"/>
  <c r="L2463" i="8"/>
  <c r="M2463" i="8"/>
  <c r="N2463" i="8"/>
  <c r="O2463" i="8"/>
  <c r="P2463" i="8"/>
  <c r="Q2463" i="8"/>
  <c r="R2463" i="8"/>
  <c r="S2463" i="8"/>
  <c r="T2463" i="8"/>
  <c r="E2464" i="8"/>
  <c r="F2464" i="8"/>
  <c r="G2464" i="8"/>
  <c r="H2464" i="8"/>
  <c r="I2464" i="8"/>
  <c r="J2464" i="8"/>
  <c r="K2464" i="8"/>
  <c r="L2464" i="8"/>
  <c r="M2464" i="8"/>
  <c r="N2464" i="8"/>
  <c r="O2464" i="8"/>
  <c r="P2464" i="8"/>
  <c r="R2468" i="8"/>
  <c r="S2468" i="8"/>
  <c r="T2468" i="8"/>
  <c r="E2469" i="8"/>
  <c r="F2469" i="8"/>
  <c r="G2469" i="8"/>
  <c r="H2469" i="8"/>
  <c r="I2469" i="8"/>
  <c r="J2469" i="8"/>
  <c r="K2469" i="8"/>
  <c r="L2469" i="8"/>
  <c r="M2469" i="8"/>
  <c r="N2469" i="8"/>
  <c r="O2469" i="8"/>
  <c r="P2469" i="8"/>
  <c r="Q2469" i="8"/>
  <c r="R2469" i="8"/>
  <c r="S2469" i="8"/>
  <c r="T2469" i="8"/>
  <c r="E2470" i="8"/>
  <c r="F2470" i="8"/>
  <c r="G2470" i="8"/>
  <c r="H2470" i="8"/>
  <c r="I2470" i="8"/>
  <c r="J2470" i="8"/>
  <c r="K2470" i="8"/>
  <c r="L2470" i="8"/>
  <c r="M2470" i="8"/>
  <c r="P2470" i="8"/>
  <c r="R2470" i="8"/>
  <c r="K2453" i="8"/>
  <c r="M2453" i="8"/>
  <c r="Q2453" i="8"/>
  <c r="T2453" i="8"/>
  <c r="I2454" i="8"/>
  <c r="L2454" i="8"/>
  <c r="O2454" i="8"/>
  <c r="R2454" i="8"/>
  <c r="E2455" i="8"/>
  <c r="H2455" i="8"/>
  <c r="J2455" i="8"/>
  <c r="M2455" i="8"/>
  <c r="Q2455" i="8"/>
  <c r="T2455" i="8"/>
  <c r="F2456" i="8"/>
  <c r="G2456" i="8"/>
  <c r="J2456" i="8"/>
  <c r="M2456" i="8"/>
  <c r="O2456" i="8"/>
  <c r="R2456" i="8"/>
  <c r="E2457" i="8"/>
  <c r="H2457" i="8"/>
  <c r="K2457" i="8"/>
  <c r="N2457" i="8"/>
  <c r="Q2457" i="8"/>
  <c r="S2457" i="8"/>
  <c r="E2458" i="8"/>
  <c r="I2458" i="8"/>
  <c r="M2458" i="8"/>
  <c r="P2458" i="8"/>
  <c r="S2458" i="8"/>
  <c r="E2459" i="8"/>
  <c r="H2459" i="8"/>
  <c r="K2459" i="8"/>
  <c r="O2459" i="8"/>
  <c r="R2459" i="8"/>
  <c r="F229" i="7"/>
  <c r="I229" i="7"/>
  <c r="J229" i="7"/>
  <c r="M229" i="7"/>
  <c r="Q229" i="7"/>
  <c r="V229" i="7"/>
  <c r="AA229" i="7"/>
  <c r="F2449" i="8"/>
  <c r="H2449" i="8"/>
  <c r="K2449" i="8"/>
  <c r="O2449" i="8"/>
  <c r="R2449" i="8"/>
  <c r="E2450" i="8"/>
  <c r="H2450" i="8"/>
  <c r="J2450" i="8"/>
  <c r="P2450" i="8"/>
  <c r="S2450" i="8"/>
  <c r="G2451" i="8"/>
  <c r="J2451" i="8"/>
  <c r="M2451" i="8"/>
  <c r="O2451" i="8"/>
  <c r="S2451" i="8"/>
  <c r="E2452" i="8"/>
  <c r="I2452" i="8"/>
  <c r="L2452" i="8"/>
  <c r="O2452" i="8"/>
  <c r="R2452" i="8"/>
  <c r="T2452" i="8"/>
  <c r="G2453" i="8"/>
  <c r="J2453" i="8"/>
  <c r="O2453" i="8"/>
  <c r="R2453" i="8"/>
  <c r="E2454" i="8"/>
  <c r="G2454" i="8"/>
  <c r="J2454" i="8"/>
  <c r="M2454" i="8"/>
  <c r="P2454" i="8"/>
  <c r="S2454" i="8"/>
  <c r="F2455" i="8"/>
  <c r="I2455" i="8"/>
  <c r="L2455" i="8"/>
  <c r="P2455" i="8"/>
  <c r="S2455" i="8"/>
  <c r="H2456" i="8"/>
  <c r="L2456" i="8"/>
  <c r="P2456" i="8"/>
  <c r="S2456" i="8"/>
  <c r="F2457" i="8"/>
  <c r="I2457" i="8"/>
  <c r="L2457" i="8"/>
  <c r="P2457" i="8"/>
  <c r="T2457" i="8"/>
  <c r="F2458" i="8"/>
  <c r="H2458" i="8"/>
  <c r="K2458" i="8"/>
  <c r="N2458" i="8"/>
  <c r="Q2458" i="8"/>
  <c r="T2458" i="8"/>
  <c r="G2459" i="8"/>
  <c r="J2459" i="8"/>
  <c r="M2459" i="8"/>
  <c r="P2459" i="8"/>
  <c r="S2459" i="8"/>
  <c r="O2455" i="8"/>
  <c r="H229" i="7"/>
  <c r="K229" i="7"/>
  <c r="P229" i="7"/>
  <c r="S229" i="7"/>
  <c r="W229" i="7"/>
  <c r="E2449" i="8"/>
  <c r="I2449" i="8"/>
  <c r="J2449" i="8"/>
  <c r="N2449" i="8"/>
  <c r="Q2449" i="8"/>
  <c r="T2449" i="8"/>
  <c r="F2450" i="8"/>
  <c r="I2450" i="8"/>
  <c r="O2450" i="8"/>
  <c r="R2450" i="8"/>
  <c r="E2451" i="8"/>
  <c r="I2451" i="8"/>
  <c r="L2451" i="8"/>
  <c r="P2451" i="8"/>
  <c r="T2451" i="8"/>
  <c r="F2452" i="8"/>
  <c r="H2452" i="8"/>
  <c r="K2452" i="8"/>
  <c r="N2452" i="8"/>
  <c r="Q2452" i="8"/>
  <c r="S2452" i="8"/>
  <c r="E2453" i="8"/>
  <c r="H2453" i="8"/>
  <c r="E229" i="7"/>
  <c r="G229" i="7"/>
  <c r="L229" i="7"/>
  <c r="N229" i="7"/>
  <c r="R229" i="7"/>
  <c r="U229" i="7"/>
  <c r="X229" i="7"/>
  <c r="Z229" i="7"/>
  <c r="AE229" i="7"/>
  <c r="AP229" i="7"/>
  <c r="G2449" i="8"/>
  <c r="L2449" i="8"/>
  <c r="M2449" i="8"/>
  <c r="P2449" i="8"/>
  <c r="S2449" i="8"/>
  <c r="G2450" i="8"/>
  <c r="K2450" i="8"/>
  <c r="L2450" i="8"/>
  <c r="M2450" i="8"/>
  <c r="N2450" i="8"/>
  <c r="Q2450" i="8"/>
  <c r="T2450" i="8"/>
  <c r="F2451" i="8"/>
  <c r="H2451" i="8"/>
  <c r="K2451" i="8"/>
  <c r="N2451" i="8"/>
  <c r="Q2451" i="8"/>
  <c r="R2451" i="8"/>
  <c r="G2452" i="8"/>
  <c r="J2452" i="8"/>
  <c r="M2452" i="8"/>
  <c r="P2452" i="8"/>
  <c r="F2453" i="8"/>
  <c r="I2453" i="8"/>
  <c r="L2453" i="8"/>
  <c r="N2453" i="8"/>
  <c r="P2453" i="8"/>
  <c r="S2453" i="8"/>
  <c r="F2454" i="8"/>
  <c r="H2454" i="8"/>
  <c r="K2454" i="8"/>
  <c r="N2454" i="8"/>
  <c r="Q2454" i="8"/>
  <c r="T2454" i="8"/>
  <c r="G2455" i="8"/>
  <c r="K2455" i="8"/>
  <c r="N2455" i="8"/>
  <c r="R2455" i="8"/>
  <c r="E2456" i="8"/>
  <c r="I2456" i="8"/>
  <c r="K2456" i="8"/>
  <c r="N2456" i="8"/>
  <c r="Q2456" i="8"/>
  <c r="T2456" i="8"/>
  <c r="G2457" i="8"/>
  <c r="J2457" i="8"/>
  <c r="M2457" i="8"/>
  <c r="O2457" i="8"/>
  <c r="R2457" i="8"/>
  <c r="G2458" i="8"/>
  <c r="J2458" i="8"/>
  <c r="L2458" i="8"/>
  <c r="O2458" i="8"/>
  <c r="R2458" i="8"/>
  <c r="F2459" i="8"/>
  <c r="I2459" i="8"/>
  <c r="L2459" i="8"/>
  <c r="N2459" i="8"/>
  <c r="Q2459" i="8"/>
  <c r="T2459" i="8"/>
  <c r="F2441" i="8"/>
  <c r="S2440" i="8"/>
  <c r="P2440" i="8"/>
  <c r="M2440" i="8"/>
  <c r="J2440" i="8"/>
  <c r="G2440" i="8"/>
  <c r="S2439" i="8"/>
  <c r="P2439" i="8"/>
  <c r="L2439" i="8"/>
  <c r="I2439" i="8"/>
  <c r="E2439" i="8"/>
  <c r="M228" i="7"/>
  <c r="S2438" i="8"/>
  <c r="P2438" i="8"/>
  <c r="M2438" i="8"/>
  <c r="I2438" i="8"/>
  <c r="E2438" i="8"/>
  <c r="AA228" i="7"/>
  <c r="W228" i="7"/>
  <c r="R228" i="7"/>
  <c r="K228" i="7"/>
  <c r="H228" i="7"/>
  <c r="F228" i="7"/>
  <c r="K2441" i="8"/>
  <c r="H2441" i="8"/>
  <c r="T2440" i="8"/>
  <c r="Q2440" i="8"/>
  <c r="N2440" i="8"/>
  <c r="K2440" i="8"/>
  <c r="H2440" i="8"/>
  <c r="E2440" i="8"/>
  <c r="R2439" i="8"/>
  <c r="O2439" i="8"/>
  <c r="M2439" i="8"/>
  <c r="J2439" i="8"/>
  <c r="G2439" i="8"/>
  <c r="T2438" i="8"/>
  <c r="Q2438" i="8"/>
  <c r="N2438" i="8"/>
  <c r="K2438" i="8"/>
  <c r="H2438" i="8"/>
  <c r="X228" i="7"/>
  <c r="U228" i="7"/>
  <c r="Q228" i="7"/>
  <c r="J228" i="7"/>
  <c r="G228" i="7"/>
  <c r="E228" i="7"/>
  <c r="Z228" i="7"/>
  <c r="M2442" i="8"/>
  <c r="K2442" i="8"/>
  <c r="I2442" i="8"/>
  <c r="G2442" i="8"/>
  <c r="E2442" i="8"/>
  <c r="Q2441" i="8"/>
  <c r="P2441" i="8"/>
  <c r="N2441" i="8"/>
  <c r="L2441" i="8"/>
  <c r="I2441" i="8"/>
  <c r="I228" i="7"/>
  <c r="L228" i="7"/>
  <c r="P228" i="7"/>
  <c r="S228" i="7"/>
  <c r="V228" i="7"/>
  <c r="Y228" i="7"/>
  <c r="AE228" i="7"/>
  <c r="F2438" i="8"/>
  <c r="G2438" i="8"/>
  <c r="J2438" i="8"/>
  <c r="L2438" i="8"/>
  <c r="O2438" i="8"/>
  <c r="R2438" i="8"/>
  <c r="F2439" i="8"/>
  <c r="H2439" i="8"/>
  <c r="K2439" i="8"/>
  <c r="N2439" i="8"/>
  <c r="Q2439" i="8"/>
  <c r="T2439" i="8"/>
  <c r="F2440" i="8"/>
  <c r="I2440" i="8"/>
  <c r="L2440" i="8"/>
  <c r="O2440" i="8"/>
  <c r="R2440" i="8"/>
  <c r="E2441" i="8"/>
  <c r="G2441" i="8"/>
  <c r="J2441" i="8"/>
  <c r="M2441" i="8"/>
  <c r="O2441" i="8"/>
  <c r="R2441" i="8"/>
  <c r="S2441" i="8"/>
  <c r="T2441" i="8"/>
  <c r="F2442" i="8"/>
  <c r="H2442" i="8"/>
  <c r="J2442" i="8"/>
  <c r="L2442" i="8"/>
  <c r="N2442" i="8"/>
  <c r="O2442" i="8"/>
  <c r="P2442" i="8"/>
  <c r="Q2442" i="8"/>
  <c r="R2442" i="8"/>
  <c r="S2442" i="8"/>
  <c r="T2442" i="8"/>
  <c r="E2443" i="8"/>
  <c r="F2443" i="8"/>
  <c r="G2443" i="8"/>
  <c r="H2443" i="8"/>
  <c r="I2443" i="8"/>
  <c r="J2443" i="8"/>
  <c r="K2443" i="8"/>
  <c r="L2443" i="8"/>
  <c r="M2443" i="8"/>
  <c r="N2443" i="8"/>
  <c r="O2443" i="8"/>
  <c r="P2443" i="8"/>
  <c r="Q2443" i="8"/>
  <c r="R2443" i="8"/>
  <c r="S2443" i="8"/>
  <c r="T2443" i="8"/>
  <c r="E2444" i="8"/>
  <c r="F2444" i="8"/>
  <c r="G2444" i="8"/>
  <c r="H2444" i="8"/>
  <c r="I2444" i="8"/>
  <c r="J2444" i="8"/>
  <c r="K2444" i="8"/>
  <c r="L2444" i="8"/>
  <c r="M2444" i="8"/>
  <c r="N2444" i="8"/>
  <c r="O2444" i="8"/>
  <c r="P2444" i="8"/>
  <c r="Q2444" i="8"/>
  <c r="R2444" i="8"/>
  <c r="S2444" i="8"/>
  <c r="T2444" i="8"/>
  <c r="E2445" i="8"/>
  <c r="F2445" i="8"/>
  <c r="G2445" i="8"/>
  <c r="H2445" i="8"/>
  <c r="I2445" i="8"/>
  <c r="J2445" i="8"/>
  <c r="K2445" i="8"/>
  <c r="L2445" i="8"/>
  <c r="M2445" i="8"/>
  <c r="N2445" i="8"/>
  <c r="O2445" i="8"/>
  <c r="P2445" i="8"/>
  <c r="Q2445" i="8"/>
  <c r="R2445" i="8"/>
  <c r="S2445" i="8"/>
  <c r="T2445" i="8"/>
  <c r="E2446" i="8"/>
  <c r="F2446" i="8"/>
  <c r="G2446" i="8"/>
  <c r="H2446" i="8"/>
  <c r="I2446" i="8"/>
  <c r="J2446" i="8"/>
  <c r="K2446" i="8"/>
  <c r="L2446" i="8"/>
  <c r="M2446" i="8"/>
  <c r="N2446" i="8"/>
  <c r="O2446" i="8"/>
  <c r="P2446" i="8"/>
  <c r="Q2446" i="8"/>
  <c r="R2446" i="8"/>
  <c r="S2446" i="8"/>
  <c r="T2446" i="8"/>
  <c r="E2447" i="8"/>
  <c r="F2447" i="8"/>
  <c r="G2447" i="8"/>
  <c r="H2447" i="8"/>
  <c r="I2447" i="8"/>
  <c r="J2447" i="8"/>
  <c r="K2447" i="8"/>
  <c r="L2447" i="8"/>
  <c r="M2447" i="8"/>
  <c r="N2447" i="8"/>
  <c r="O2447" i="8"/>
  <c r="P2447" i="8"/>
  <c r="Q2447" i="8"/>
  <c r="R2447" i="8"/>
  <c r="S2447" i="8"/>
  <c r="T2447" i="8"/>
  <c r="E2448" i="8"/>
  <c r="F2448" i="8"/>
  <c r="G2448" i="8"/>
  <c r="H2448" i="8"/>
  <c r="I2448" i="8"/>
  <c r="J2448" i="8"/>
  <c r="K2448" i="8"/>
  <c r="L2448" i="8"/>
  <c r="M2448" i="8"/>
  <c r="N2448" i="8"/>
  <c r="O2448" i="8"/>
  <c r="P2448" i="8"/>
  <c r="Q2448" i="8"/>
  <c r="R2448" i="8"/>
  <c r="S2448" i="8"/>
  <c r="T2448" i="8"/>
  <c r="E227" i="7"/>
  <c r="F227" i="7"/>
  <c r="G227" i="7"/>
  <c r="H227" i="7"/>
  <c r="I227" i="7"/>
  <c r="J227" i="7"/>
  <c r="K227" i="7"/>
  <c r="L227" i="7"/>
  <c r="M227" i="7"/>
  <c r="N227" i="7"/>
  <c r="P227" i="7"/>
  <c r="Q227" i="7"/>
  <c r="R227" i="7"/>
  <c r="S227" i="7"/>
  <c r="U227" i="7"/>
  <c r="V227" i="7"/>
  <c r="W227" i="7"/>
  <c r="X227" i="7"/>
  <c r="Y227" i="7"/>
  <c r="Z227" i="7"/>
  <c r="AA227" i="7"/>
  <c r="AC227" i="7"/>
  <c r="AE227" i="7"/>
  <c r="AI227" i="7"/>
  <c r="AO227" i="7"/>
  <c r="AP227" i="7"/>
  <c r="E2427" i="8"/>
  <c r="F2427" i="8"/>
  <c r="G2427" i="8"/>
  <c r="H2427" i="8"/>
  <c r="I2427" i="8"/>
  <c r="J2427" i="8"/>
  <c r="K2427" i="8"/>
  <c r="L2427" i="8"/>
  <c r="M2427" i="8"/>
  <c r="N2427" i="8"/>
  <c r="O2427" i="8"/>
  <c r="P2427" i="8"/>
  <c r="Q2427" i="8"/>
  <c r="R2427" i="8"/>
  <c r="S2427" i="8"/>
  <c r="T2427" i="8"/>
  <c r="E2428" i="8"/>
  <c r="F2428" i="8"/>
  <c r="G2428" i="8"/>
  <c r="H2428" i="8"/>
  <c r="I2428" i="8"/>
  <c r="J2428" i="8"/>
  <c r="K2428" i="8"/>
  <c r="L2428" i="8"/>
  <c r="M2428" i="8"/>
  <c r="N2428" i="8"/>
  <c r="O2428" i="8"/>
  <c r="P2428" i="8"/>
  <c r="Q2428" i="8"/>
  <c r="R2428" i="8"/>
  <c r="S2428" i="8"/>
  <c r="T2428" i="8"/>
  <c r="E2429" i="8"/>
  <c r="F2429" i="8"/>
  <c r="G2429" i="8"/>
  <c r="H2429" i="8"/>
  <c r="I2429" i="8"/>
  <c r="J2429" i="8"/>
  <c r="K2429" i="8"/>
  <c r="L2429" i="8"/>
  <c r="M2429" i="8"/>
  <c r="N2429" i="8"/>
  <c r="O2429" i="8"/>
  <c r="P2429" i="8"/>
  <c r="Q2429" i="8"/>
  <c r="R2429" i="8"/>
  <c r="S2429" i="8"/>
  <c r="T2429" i="8"/>
  <c r="E2430" i="8"/>
  <c r="F2430" i="8"/>
  <c r="G2430" i="8"/>
  <c r="H2430" i="8"/>
  <c r="I2430" i="8"/>
  <c r="J2430" i="8"/>
  <c r="K2430" i="8"/>
  <c r="L2430" i="8"/>
  <c r="M2430" i="8"/>
  <c r="N2430" i="8"/>
  <c r="O2430" i="8"/>
  <c r="P2430" i="8"/>
  <c r="Q2430" i="8"/>
  <c r="R2430" i="8"/>
  <c r="S2430" i="8"/>
  <c r="T2430" i="8"/>
  <c r="E2431" i="8"/>
  <c r="F2431" i="8"/>
  <c r="G2431" i="8"/>
  <c r="H2431" i="8"/>
  <c r="I2431" i="8"/>
  <c r="J2431" i="8"/>
  <c r="K2431" i="8"/>
  <c r="L2431" i="8"/>
  <c r="M2431" i="8"/>
  <c r="N2431" i="8"/>
  <c r="O2431" i="8"/>
  <c r="P2431" i="8"/>
  <c r="Q2431" i="8"/>
  <c r="R2431" i="8"/>
  <c r="S2431" i="8"/>
  <c r="T2431" i="8"/>
  <c r="E2432" i="8"/>
  <c r="F2432" i="8"/>
  <c r="G2432" i="8"/>
  <c r="H2432" i="8"/>
  <c r="I2432" i="8"/>
  <c r="J2432" i="8"/>
  <c r="K2432" i="8"/>
  <c r="L2432" i="8"/>
  <c r="M2432" i="8"/>
  <c r="N2432" i="8"/>
  <c r="O2432" i="8"/>
  <c r="P2432" i="8"/>
  <c r="Q2432" i="8"/>
  <c r="R2432" i="8"/>
  <c r="S2432" i="8"/>
  <c r="T2432" i="8"/>
  <c r="E2433" i="8"/>
  <c r="F2433" i="8"/>
  <c r="G2433" i="8"/>
  <c r="H2433" i="8"/>
  <c r="I2433" i="8"/>
  <c r="J2433" i="8"/>
  <c r="K2433" i="8"/>
  <c r="L2433" i="8"/>
  <c r="M2433" i="8"/>
  <c r="N2433" i="8"/>
  <c r="O2433" i="8"/>
  <c r="P2433" i="8"/>
  <c r="Q2433" i="8"/>
  <c r="R2433" i="8"/>
  <c r="S2433" i="8"/>
  <c r="T2433" i="8"/>
  <c r="E2434" i="8"/>
  <c r="F2434" i="8"/>
  <c r="G2434" i="8"/>
  <c r="H2434" i="8"/>
  <c r="I2434" i="8"/>
  <c r="J2434" i="8"/>
  <c r="K2434" i="8"/>
  <c r="L2434" i="8"/>
  <c r="M2434" i="8"/>
  <c r="N2434" i="8"/>
  <c r="O2434" i="8"/>
  <c r="P2434" i="8"/>
  <c r="Q2434" i="8"/>
  <c r="R2434" i="8"/>
  <c r="S2434" i="8"/>
  <c r="T2434" i="8"/>
  <c r="E2435" i="8"/>
  <c r="F2435" i="8"/>
  <c r="G2435" i="8"/>
  <c r="H2435" i="8"/>
  <c r="I2435" i="8"/>
  <c r="J2435" i="8"/>
  <c r="K2435" i="8"/>
  <c r="L2435" i="8"/>
  <c r="M2435" i="8"/>
  <c r="N2435" i="8"/>
  <c r="O2435" i="8"/>
  <c r="P2435" i="8"/>
  <c r="Q2435" i="8"/>
  <c r="R2435" i="8"/>
  <c r="S2435" i="8"/>
  <c r="T2435" i="8"/>
  <c r="E2436" i="8"/>
  <c r="F2436" i="8"/>
  <c r="G2436" i="8"/>
  <c r="H2436" i="8"/>
  <c r="I2436" i="8"/>
  <c r="J2436" i="8"/>
  <c r="K2436" i="8"/>
  <c r="L2436" i="8"/>
  <c r="M2436" i="8"/>
  <c r="N2436" i="8"/>
  <c r="O2436" i="8"/>
  <c r="P2436" i="8"/>
  <c r="Q2436" i="8"/>
  <c r="R2436" i="8"/>
  <c r="S2436" i="8"/>
  <c r="T2436" i="8"/>
  <c r="E2437" i="8"/>
  <c r="F2437" i="8"/>
  <c r="G2437" i="8"/>
  <c r="H2437" i="8"/>
  <c r="I2437" i="8"/>
  <c r="J2437" i="8"/>
  <c r="K2437" i="8"/>
  <c r="L2437" i="8"/>
  <c r="M2437" i="8"/>
  <c r="N2437" i="8"/>
  <c r="O2437" i="8"/>
  <c r="P2437" i="8"/>
  <c r="Q2437" i="8"/>
  <c r="R2437" i="8"/>
  <c r="S2437" i="8"/>
  <c r="T2437" i="8"/>
  <c r="E226" i="7"/>
  <c r="F226" i="7"/>
  <c r="G226" i="7"/>
  <c r="H226" i="7"/>
  <c r="I226" i="7"/>
  <c r="J226" i="7"/>
  <c r="K226" i="7"/>
  <c r="L226" i="7"/>
  <c r="M226" i="7"/>
  <c r="N226" i="7"/>
  <c r="P226" i="7"/>
  <c r="Q226" i="7"/>
  <c r="R226" i="7"/>
  <c r="S226" i="7"/>
  <c r="U226" i="7"/>
  <c r="V226" i="7"/>
  <c r="W226" i="7"/>
  <c r="X226" i="7"/>
  <c r="Y226" i="7"/>
  <c r="Z226" i="7"/>
  <c r="AA226" i="7"/>
  <c r="AC226" i="7"/>
  <c r="AE226" i="7"/>
  <c r="AI226" i="7"/>
  <c r="AO226" i="7"/>
  <c r="AP226" i="7"/>
  <c r="E2416" i="8"/>
  <c r="F2416" i="8"/>
  <c r="G2416" i="8"/>
  <c r="H2416" i="8"/>
  <c r="I2416" i="8"/>
  <c r="J2416" i="8"/>
  <c r="K2416" i="8"/>
  <c r="L2416" i="8"/>
  <c r="M2416" i="8"/>
  <c r="N2416" i="8"/>
  <c r="O2416" i="8"/>
  <c r="P2416" i="8"/>
  <c r="Q2416" i="8"/>
  <c r="R2416" i="8"/>
  <c r="S2416" i="8"/>
  <c r="T2416" i="8"/>
  <c r="E2417" i="8"/>
  <c r="F2417" i="8"/>
  <c r="G2417" i="8"/>
  <c r="H2417" i="8"/>
  <c r="I2417" i="8"/>
  <c r="J2417" i="8"/>
  <c r="K2417" i="8"/>
  <c r="L2417" i="8"/>
  <c r="M2417" i="8"/>
  <c r="N2417" i="8"/>
  <c r="O2417" i="8"/>
  <c r="P2417" i="8"/>
  <c r="Q2417" i="8"/>
  <c r="R2417" i="8"/>
  <c r="S2417" i="8"/>
  <c r="T2417" i="8"/>
  <c r="E2418" i="8"/>
  <c r="F2418" i="8"/>
  <c r="G2418" i="8"/>
  <c r="H2418" i="8"/>
  <c r="I2418" i="8"/>
  <c r="J2418" i="8"/>
  <c r="K2418" i="8"/>
  <c r="L2418" i="8"/>
  <c r="M2418" i="8"/>
  <c r="N2418" i="8"/>
  <c r="O2418" i="8"/>
  <c r="P2418" i="8"/>
  <c r="Q2418" i="8"/>
  <c r="R2418" i="8"/>
  <c r="S2418" i="8"/>
  <c r="T2418" i="8"/>
  <c r="E2419" i="8"/>
  <c r="F2419" i="8"/>
  <c r="G2419" i="8"/>
  <c r="H2419" i="8"/>
  <c r="I2419" i="8"/>
  <c r="J2419" i="8"/>
  <c r="K2419" i="8"/>
  <c r="L2419" i="8"/>
  <c r="M2419" i="8"/>
  <c r="N2419" i="8"/>
  <c r="O2419" i="8"/>
  <c r="P2419" i="8"/>
  <c r="Q2419" i="8"/>
  <c r="R2419" i="8"/>
  <c r="S2419" i="8"/>
  <c r="T2419" i="8"/>
  <c r="E2420" i="8"/>
  <c r="F2420" i="8"/>
  <c r="G2420" i="8"/>
  <c r="H2420" i="8"/>
  <c r="I2420" i="8"/>
  <c r="J2420" i="8"/>
  <c r="K2420" i="8"/>
  <c r="L2420" i="8"/>
  <c r="M2420" i="8"/>
  <c r="N2420" i="8"/>
  <c r="O2420" i="8"/>
  <c r="P2420" i="8"/>
  <c r="Q2420" i="8"/>
  <c r="R2420" i="8"/>
  <c r="S2420" i="8"/>
  <c r="T2420" i="8"/>
  <c r="E2421" i="8"/>
  <c r="F2421" i="8"/>
  <c r="G2421" i="8"/>
  <c r="H2421" i="8"/>
  <c r="I2421" i="8"/>
  <c r="J2421" i="8"/>
  <c r="K2421" i="8"/>
  <c r="L2421" i="8"/>
  <c r="M2421" i="8"/>
  <c r="N2421" i="8"/>
  <c r="O2421" i="8"/>
  <c r="P2421" i="8"/>
  <c r="Q2421" i="8"/>
  <c r="R2421" i="8"/>
  <c r="S2421" i="8"/>
  <c r="T2421" i="8"/>
  <c r="E2422" i="8"/>
  <c r="F2422" i="8"/>
  <c r="G2422" i="8"/>
  <c r="H2422" i="8"/>
  <c r="I2422" i="8"/>
  <c r="J2422" i="8"/>
  <c r="K2422" i="8"/>
  <c r="L2422" i="8"/>
  <c r="M2422" i="8"/>
  <c r="N2422" i="8"/>
  <c r="O2422" i="8"/>
  <c r="P2422" i="8"/>
  <c r="Q2422" i="8"/>
  <c r="R2422" i="8"/>
  <c r="S2422" i="8"/>
  <c r="T2422" i="8"/>
  <c r="E2423" i="8"/>
  <c r="F2423" i="8"/>
  <c r="G2423" i="8"/>
  <c r="H2423" i="8"/>
  <c r="I2423" i="8"/>
  <c r="J2423" i="8"/>
  <c r="K2423" i="8"/>
  <c r="L2423" i="8"/>
  <c r="M2423" i="8"/>
  <c r="N2423" i="8"/>
  <c r="O2423" i="8"/>
  <c r="P2423" i="8"/>
  <c r="Q2423" i="8"/>
  <c r="R2423" i="8"/>
  <c r="S2423" i="8"/>
  <c r="T2423" i="8"/>
  <c r="E2424" i="8"/>
  <c r="F2424" i="8"/>
  <c r="G2424" i="8"/>
  <c r="H2424" i="8"/>
  <c r="I2424" i="8"/>
  <c r="J2424" i="8"/>
  <c r="K2424" i="8"/>
  <c r="L2424" i="8"/>
  <c r="M2424" i="8"/>
  <c r="N2424" i="8"/>
  <c r="O2424" i="8"/>
  <c r="P2424" i="8"/>
  <c r="Q2424" i="8"/>
  <c r="R2424" i="8"/>
  <c r="S2424" i="8"/>
  <c r="T2424" i="8"/>
  <c r="E2425" i="8"/>
  <c r="F2425" i="8"/>
  <c r="G2425" i="8"/>
  <c r="H2425" i="8"/>
  <c r="I2425" i="8"/>
  <c r="J2425" i="8"/>
  <c r="K2425" i="8"/>
  <c r="L2425" i="8"/>
  <c r="M2425" i="8"/>
  <c r="N2425" i="8"/>
  <c r="O2425" i="8"/>
  <c r="P2425" i="8"/>
  <c r="Q2425" i="8"/>
  <c r="R2425" i="8"/>
  <c r="S2425" i="8"/>
  <c r="T2425" i="8"/>
  <c r="E2426" i="8"/>
  <c r="F2426" i="8"/>
  <c r="G2426" i="8"/>
  <c r="H2426" i="8"/>
  <c r="I2426" i="8"/>
  <c r="J2426" i="8"/>
  <c r="K2426" i="8"/>
  <c r="L2426" i="8"/>
  <c r="M2426" i="8"/>
  <c r="N2426" i="8"/>
  <c r="O2426" i="8"/>
  <c r="P2426" i="8"/>
  <c r="Q2426" i="8"/>
  <c r="R2426" i="8"/>
  <c r="S2426" i="8"/>
  <c r="T2426" i="8"/>
  <c r="E225" i="7"/>
  <c r="F225" i="7"/>
  <c r="G225" i="7"/>
  <c r="H225" i="7"/>
  <c r="I225" i="7"/>
  <c r="J225" i="7"/>
  <c r="K225" i="7"/>
  <c r="L225" i="7"/>
  <c r="M225" i="7"/>
  <c r="N225" i="7"/>
  <c r="P225" i="7"/>
  <c r="Q225" i="7"/>
  <c r="R225" i="7"/>
  <c r="S225" i="7"/>
  <c r="U225" i="7"/>
  <c r="V225" i="7"/>
  <c r="W225" i="7"/>
  <c r="X225" i="7"/>
  <c r="Y225" i="7"/>
  <c r="Z225" i="7"/>
  <c r="AA225" i="7"/>
  <c r="AC225" i="7"/>
  <c r="AE225" i="7"/>
  <c r="AI225" i="7"/>
  <c r="AO225" i="7"/>
  <c r="AP225" i="7"/>
  <c r="F2405" i="8"/>
  <c r="H2405" i="8"/>
  <c r="J2405" i="8"/>
  <c r="L2405" i="8"/>
  <c r="O2405" i="8"/>
  <c r="P2405" i="8"/>
  <c r="S2405" i="8"/>
  <c r="T2405" i="8"/>
  <c r="F2406" i="8"/>
  <c r="H2406" i="8"/>
  <c r="J2406" i="8"/>
  <c r="L2406" i="8"/>
  <c r="N2406" i="8"/>
  <c r="Q2406" i="8"/>
  <c r="S2406" i="8"/>
  <c r="T2406" i="8"/>
  <c r="F2407" i="8"/>
  <c r="H2407" i="8"/>
  <c r="K2407" i="8"/>
  <c r="L2407" i="8"/>
  <c r="N2407" i="8"/>
  <c r="P2407" i="8"/>
  <c r="R2407" i="8"/>
  <c r="F2408" i="8"/>
  <c r="H2408" i="8"/>
  <c r="J2408" i="8"/>
  <c r="K2408" i="8"/>
  <c r="M2408" i="8"/>
  <c r="O2408" i="8"/>
  <c r="Q2408" i="8"/>
  <c r="S2408" i="8"/>
  <c r="T2408" i="8"/>
  <c r="E2409" i="8"/>
  <c r="G2409" i="8"/>
  <c r="H2409" i="8"/>
  <c r="I2409" i="8"/>
  <c r="J2409" i="8"/>
  <c r="K2409" i="8"/>
  <c r="L2409" i="8"/>
  <c r="M2409" i="8"/>
  <c r="N2409" i="8"/>
  <c r="O2409" i="8"/>
  <c r="P2409" i="8"/>
  <c r="Q2409" i="8"/>
  <c r="R2409" i="8"/>
  <c r="S2409" i="8"/>
  <c r="T2409" i="8"/>
  <c r="E2410" i="8"/>
  <c r="F2410" i="8"/>
  <c r="G2410" i="8"/>
  <c r="H2410" i="8"/>
  <c r="I2410" i="8"/>
  <c r="J2410" i="8"/>
  <c r="K2410" i="8"/>
  <c r="L2410" i="8"/>
  <c r="M2410" i="8"/>
  <c r="N2410" i="8"/>
  <c r="O2410" i="8"/>
  <c r="P2410" i="8"/>
  <c r="Q2410" i="8"/>
  <c r="R2410" i="8"/>
  <c r="S2410" i="8"/>
  <c r="T2410" i="8"/>
  <c r="E2411" i="8"/>
  <c r="F2411" i="8"/>
  <c r="G2411" i="8"/>
  <c r="H2411" i="8"/>
  <c r="I2411" i="8"/>
  <c r="J2411" i="8"/>
  <c r="K2411" i="8"/>
  <c r="L2411" i="8"/>
  <c r="M2411" i="8"/>
  <c r="N2411" i="8"/>
  <c r="O2411" i="8"/>
  <c r="P2411" i="8"/>
  <c r="Q2411" i="8"/>
  <c r="R2411" i="8"/>
  <c r="S2411" i="8"/>
  <c r="T2411" i="8"/>
  <c r="E2412" i="8"/>
  <c r="F2412" i="8"/>
  <c r="G2412" i="8"/>
  <c r="H2412" i="8"/>
  <c r="I2412" i="8"/>
  <c r="J2412" i="8"/>
  <c r="K2412" i="8"/>
  <c r="L2412" i="8"/>
  <c r="M2412" i="8"/>
  <c r="N2412" i="8"/>
  <c r="O2412" i="8"/>
  <c r="P2412" i="8"/>
  <c r="Q2412" i="8"/>
  <c r="R2412" i="8"/>
  <c r="S2412" i="8"/>
  <c r="T2412" i="8"/>
  <c r="E2413" i="8"/>
  <c r="F2413" i="8"/>
  <c r="G2413" i="8"/>
  <c r="H2413" i="8"/>
  <c r="I2413" i="8"/>
  <c r="J2413" i="8"/>
  <c r="K2413" i="8"/>
  <c r="L2413" i="8"/>
  <c r="M2413" i="8"/>
  <c r="N2413" i="8"/>
  <c r="O2413" i="8"/>
  <c r="P2413" i="8"/>
  <c r="Q2413" i="8"/>
  <c r="R2413" i="8"/>
  <c r="S2413" i="8"/>
  <c r="T2413" i="8"/>
  <c r="E2414" i="8"/>
  <c r="F2414" i="8"/>
  <c r="G2414" i="8"/>
  <c r="H2414" i="8"/>
  <c r="I2414" i="8"/>
  <c r="J2414" i="8"/>
  <c r="K2414" i="8"/>
  <c r="L2414" i="8"/>
  <c r="M2414" i="8"/>
  <c r="N2414" i="8"/>
  <c r="O2414" i="8"/>
  <c r="P2414" i="8"/>
  <c r="Q2414" i="8"/>
  <c r="R2414" i="8"/>
  <c r="S2414" i="8"/>
  <c r="T2414" i="8"/>
  <c r="E2415" i="8"/>
  <c r="F2415" i="8"/>
  <c r="G2415" i="8"/>
  <c r="H2415" i="8"/>
  <c r="I2415" i="8"/>
  <c r="J2415" i="8"/>
  <c r="K2415" i="8"/>
  <c r="L2415" i="8"/>
  <c r="M2415" i="8"/>
  <c r="N2415" i="8"/>
  <c r="O2415" i="8"/>
  <c r="P2415" i="8"/>
  <c r="Q2415" i="8"/>
  <c r="R2415" i="8"/>
  <c r="S2415" i="8"/>
  <c r="T2415" i="8"/>
  <c r="E2405" i="8"/>
  <c r="G2405" i="8"/>
  <c r="I2405" i="8"/>
  <c r="K2405" i="8"/>
  <c r="M2405" i="8"/>
  <c r="N2405" i="8"/>
  <c r="Q2405" i="8"/>
  <c r="R2405" i="8"/>
  <c r="E2406" i="8"/>
  <c r="G2406" i="8"/>
  <c r="I2406" i="8"/>
  <c r="K2406" i="8"/>
  <c r="M2406" i="8"/>
  <c r="O2406" i="8"/>
  <c r="P2406" i="8"/>
  <c r="R2406" i="8"/>
  <c r="E2407" i="8"/>
  <c r="G2407" i="8"/>
  <c r="I2407" i="8"/>
  <c r="J2407" i="8"/>
  <c r="M2407" i="8"/>
  <c r="O2407" i="8"/>
  <c r="Q2407" i="8"/>
  <c r="S2407" i="8"/>
  <c r="T2407" i="8"/>
  <c r="E2408" i="8"/>
  <c r="G2408" i="8"/>
  <c r="I2408" i="8"/>
  <c r="L2408" i="8"/>
  <c r="N2408" i="8"/>
  <c r="P2408" i="8"/>
  <c r="R2408" i="8"/>
  <c r="F2409" i="8"/>
  <c r="E206" i="7"/>
  <c r="F206" i="7"/>
  <c r="G206" i="7"/>
  <c r="H206" i="7"/>
  <c r="I206" i="7"/>
  <c r="J206" i="7"/>
  <c r="K206" i="7"/>
  <c r="L206" i="7"/>
  <c r="M206" i="7"/>
  <c r="N206" i="7"/>
  <c r="P206" i="7"/>
  <c r="Q206" i="7"/>
  <c r="R206" i="7"/>
  <c r="S206" i="7"/>
  <c r="U206" i="7"/>
  <c r="V206" i="7"/>
  <c r="W206" i="7"/>
  <c r="X206" i="7"/>
  <c r="Y206" i="7"/>
  <c r="Z206" i="7"/>
  <c r="AA206" i="7"/>
  <c r="AC206" i="7"/>
  <c r="AE206" i="7"/>
  <c r="AI206" i="7"/>
  <c r="AO206" i="7"/>
  <c r="AP206" i="7"/>
  <c r="E2196" i="8"/>
  <c r="F2196" i="8"/>
  <c r="G2196" i="8"/>
  <c r="H2196" i="8"/>
  <c r="I2196" i="8"/>
  <c r="J2196" i="8"/>
  <c r="K2196" i="8"/>
  <c r="L2196" i="8"/>
  <c r="M2196" i="8"/>
  <c r="N2196" i="8"/>
  <c r="O2196" i="8"/>
  <c r="P2196" i="8"/>
  <c r="Q2196" i="8"/>
  <c r="R2196" i="8"/>
  <c r="S2196" i="8"/>
  <c r="T2196" i="8"/>
  <c r="E2197" i="8"/>
  <c r="F2197" i="8"/>
  <c r="G2197" i="8"/>
  <c r="H2197" i="8"/>
  <c r="I2197" i="8"/>
  <c r="J2197" i="8"/>
  <c r="K2197" i="8"/>
  <c r="L2197" i="8"/>
  <c r="M2197" i="8"/>
  <c r="N2197" i="8"/>
  <c r="O2197" i="8"/>
  <c r="P2197" i="8"/>
  <c r="Q2197" i="8"/>
  <c r="R2197" i="8"/>
  <c r="S2197" i="8"/>
  <c r="T2197" i="8"/>
  <c r="E2198" i="8"/>
  <c r="F2198" i="8"/>
  <c r="G2198" i="8"/>
  <c r="H2198" i="8"/>
  <c r="I2198" i="8"/>
  <c r="J2198" i="8"/>
  <c r="K2198" i="8"/>
  <c r="L2198" i="8"/>
  <c r="M2198" i="8"/>
  <c r="N2198" i="8"/>
  <c r="O2198" i="8"/>
  <c r="P2198" i="8"/>
  <c r="Q2198" i="8"/>
  <c r="R2198" i="8"/>
  <c r="S2198" i="8"/>
  <c r="T2198" i="8"/>
  <c r="E2199" i="8"/>
  <c r="F2199" i="8"/>
  <c r="G2199" i="8"/>
  <c r="H2199" i="8"/>
  <c r="I2199" i="8"/>
  <c r="J2199" i="8"/>
  <c r="K2199" i="8"/>
  <c r="L2199" i="8"/>
  <c r="M2199" i="8"/>
  <c r="N2199" i="8"/>
  <c r="O2199" i="8"/>
  <c r="P2199" i="8"/>
  <c r="Q2199" i="8"/>
  <c r="R2199" i="8"/>
  <c r="S2199" i="8"/>
  <c r="T2199" i="8"/>
  <c r="E2200" i="8"/>
  <c r="F2200" i="8"/>
  <c r="G2200" i="8"/>
  <c r="H2200" i="8"/>
  <c r="I2200" i="8"/>
  <c r="J2200" i="8"/>
  <c r="K2200" i="8"/>
  <c r="L2200" i="8"/>
  <c r="M2200" i="8"/>
  <c r="N2200" i="8"/>
  <c r="O2200" i="8"/>
  <c r="P2200" i="8"/>
  <c r="Q2200" i="8"/>
  <c r="R2200" i="8"/>
  <c r="S2200" i="8"/>
  <c r="T2200" i="8"/>
  <c r="E2201" i="8"/>
  <c r="F2201" i="8"/>
  <c r="G2201" i="8"/>
  <c r="H2201" i="8"/>
  <c r="I2201" i="8"/>
  <c r="J2201" i="8"/>
  <c r="K2201" i="8"/>
  <c r="L2201" i="8"/>
  <c r="M2201" i="8"/>
  <c r="N2201" i="8"/>
  <c r="O2201" i="8"/>
  <c r="P2201" i="8"/>
  <c r="Q2201" i="8"/>
  <c r="R2201" i="8"/>
  <c r="S2201" i="8"/>
  <c r="T2201" i="8"/>
  <c r="E2202" i="8"/>
  <c r="F2202" i="8"/>
  <c r="G2202" i="8"/>
  <c r="H2202" i="8"/>
  <c r="I2202" i="8"/>
  <c r="J2202" i="8"/>
  <c r="K2202" i="8"/>
  <c r="L2202" i="8"/>
  <c r="M2202" i="8"/>
  <c r="N2202" i="8"/>
  <c r="O2202" i="8"/>
  <c r="P2202" i="8"/>
  <c r="Q2202" i="8"/>
  <c r="R2202" i="8"/>
  <c r="S2202" i="8"/>
  <c r="T2202" i="8"/>
  <c r="E2203" i="8"/>
  <c r="F2203" i="8"/>
  <c r="G2203" i="8"/>
  <c r="H2203" i="8"/>
  <c r="I2203" i="8"/>
  <c r="J2203" i="8"/>
  <c r="K2203" i="8"/>
  <c r="L2203" i="8"/>
  <c r="M2203" i="8"/>
  <c r="N2203" i="8"/>
  <c r="O2203" i="8"/>
  <c r="P2203" i="8"/>
  <c r="Q2203" i="8"/>
  <c r="R2203" i="8"/>
  <c r="S2203" i="8"/>
  <c r="T2203" i="8"/>
  <c r="E2204" i="8"/>
  <c r="F2204" i="8"/>
  <c r="G2204" i="8"/>
  <c r="H2204" i="8"/>
  <c r="I2204" i="8"/>
  <c r="J2204" i="8"/>
  <c r="K2204" i="8"/>
  <c r="L2204" i="8"/>
  <c r="M2204" i="8"/>
  <c r="N2204" i="8"/>
  <c r="O2204" i="8"/>
  <c r="P2204" i="8"/>
  <c r="Q2204" i="8"/>
  <c r="R2204" i="8"/>
  <c r="S2204" i="8"/>
  <c r="T2204" i="8"/>
  <c r="E2205" i="8"/>
  <c r="F2205" i="8"/>
  <c r="G2205" i="8"/>
  <c r="H2205" i="8"/>
  <c r="I2205" i="8"/>
  <c r="J2205" i="8"/>
  <c r="K2205" i="8"/>
  <c r="L2205" i="8"/>
  <c r="M2205" i="8"/>
  <c r="N2205" i="8"/>
  <c r="O2205" i="8"/>
  <c r="P2205" i="8"/>
  <c r="Q2205" i="8"/>
  <c r="R2205" i="8"/>
  <c r="S2205" i="8"/>
  <c r="T2205" i="8"/>
  <c r="E2206" i="8"/>
  <c r="F2206" i="8"/>
  <c r="G2206" i="8"/>
  <c r="H2206" i="8"/>
  <c r="I2206" i="8"/>
  <c r="J2206" i="8"/>
  <c r="K2206" i="8"/>
  <c r="L2206" i="8"/>
  <c r="M2206" i="8"/>
  <c r="N2206" i="8"/>
  <c r="O2206" i="8"/>
  <c r="P2206" i="8"/>
  <c r="Q2206" i="8"/>
  <c r="R2206" i="8"/>
  <c r="S2206" i="8"/>
  <c r="T2206" i="8"/>
  <c r="E205" i="7"/>
  <c r="F205" i="7"/>
  <c r="G205" i="7"/>
  <c r="H205" i="7"/>
  <c r="I205" i="7"/>
  <c r="J205" i="7"/>
  <c r="K205" i="7"/>
  <c r="L205" i="7"/>
  <c r="M205" i="7"/>
  <c r="N205" i="7"/>
  <c r="P205" i="7"/>
  <c r="Q205" i="7"/>
  <c r="R205" i="7"/>
  <c r="S205" i="7"/>
  <c r="U205" i="7"/>
  <c r="V205" i="7"/>
  <c r="W205" i="7"/>
  <c r="X205" i="7"/>
  <c r="Y205" i="7"/>
  <c r="Z205" i="7"/>
  <c r="AA205" i="7"/>
  <c r="AC205" i="7"/>
  <c r="AE205" i="7"/>
  <c r="AI205" i="7"/>
  <c r="AO205" i="7"/>
  <c r="AP205" i="7"/>
  <c r="E2185" i="8"/>
  <c r="F2185" i="8"/>
  <c r="G2185" i="8"/>
  <c r="H2185" i="8"/>
  <c r="I2185" i="8"/>
  <c r="J2185" i="8"/>
  <c r="K2185" i="8"/>
  <c r="L2185" i="8"/>
  <c r="M2185" i="8"/>
  <c r="N2185" i="8"/>
  <c r="O2185" i="8"/>
  <c r="P2185" i="8"/>
  <c r="Q2185" i="8"/>
  <c r="R2185" i="8"/>
  <c r="S2185" i="8"/>
  <c r="T2185" i="8"/>
  <c r="E2186" i="8"/>
  <c r="F2186" i="8"/>
  <c r="G2186" i="8"/>
  <c r="H2186" i="8"/>
  <c r="I2186" i="8"/>
  <c r="J2186" i="8"/>
  <c r="K2186" i="8"/>
  <c r="L2186" i="8"/>
  <c r="M2186" i="8"/>
  <c r="N2186" i="8"/>
  <c r="O2186" i="8"/>
  <c r="P2186" i="8"/>
  <c r="Q2186" i="8"/>
  <c r="R2186" i="8"/>
  <c r="S2186" i="8"/>
  <c r="T2186" i="8"/>
  <c r="E2187" i="8"/>
  <c r="F2187" i="8"/>
  <c r="G2187" i="8"/>
  <c r="H2187" i="8"/>
  <c r="I2187" i="8"/>
  <c r="J2187" i="8"/>
  <c r="K2187" i="8"/>
  <c r="L2187" i="8"/>
  <c r="M2187" i="8"/>
  <c r="N2187" i="8"/>
  <c r="O2187" i="8"/>
  <c r="P2187" i="8"/>
  <c r="Q2187" i="8"/>
  <c r="R2187" i="8"/>
  <c r="S2187" i="8"/>
  <c r="T2187" i="8"/>
  <c r="E2188" i="8"/>
  <c r="F2188" i="8"/>
  <c r="G2188" i="8"/>
  <c r="H2188" i="8"/>
  <c r="I2188" i="8"/>
  <c r="J2188" i="8"/>
  <c r="K2188" i="8"/>
  <c r="L2188" i="8"/>
  <c r="M2188" i="8"/>
  <c r="N2188" i="8"/>
  <c r="O2188" i="8"/>
  <c r="P2188" i="8"/>
  <c r="Q2188" i="8"/>
  <c r="R2188" i="8"/>
  <c r="S2188" i="8"/>
  <c r="T2188" i="8"/>
  <c r="E2189" i="8"/>
  <c r="F2189" i="8"/>
  <c r="G2189" i="8"/>
  <c r="H2189" i="8"/>
  <c r="I2189" i="8"/>
  <c r="J2189" i="8"/>
  <c r="K2189" i="8"/>
  <c r="L2189" i="8"/>
  <c r="M2189" i="8"/>
  <c r="N2189" i="8"/>
  <c r="O2189" i="8"/>
  <c r="P2189" i="8"/>
  <c r="Q2189" i="8"/>
  <c r="R2189" i="8"/>
  <c r="S2189" i="8"/>
  <c r="T2189" i="8"/>
  <c r="E2190" i="8"/>
  <c r="F2190" i="8"/>
  <c r="G2190" i="8"/>
  <c r="H2190" i="8"/>
  <c r="I2190" i="8"/>
  <c r="J2190" i="8"/>
  <c r="K2190" i="8"/>
  <c r="L2190" i="8"/>
  <c r="M2190" i="8"/>
  <c r="N2190" i="8"/>
  <c r="O2190" i="8"/>
  <c r="P2190" i="8"/>
  <c r="Q2190" i="8"/>
  <c r="R2190" i="8"/>
  <c r="S2190" i="8"/>
  <c r="T2190" i="8"/>
  <c r="E2191" i="8"/>
  <c r="F2191" i="8"/>
  <c r="G2191" i="8"/>
  <c r="H2191" i="8"/>
  <c r="I2191" i="8"/>
  <c r="J2191" i="8"/>
  <c r="K2191" i="8"/>
  <c r="L2191" i="8"/>
  <c r="M2191" i="8"/>
  <c r="N2191" i="8"/>
  <c r="O2191" i="8"/>
  <c r="P2191" i="8"/>
  <c r="Q2191" i="8"/>
  <c r="R2191" i="8"/>
  <c r="S2191" i="8"/>
  <c r="T2191" i="8"/>
  <c r="E2192" i="8"/>
  <c r="F2192" i="8"/>
  <c r="G2192" i="8"/>
  <c r="H2192" i="8"/>
  <c r="I2192" i="8"/>
  <c r="J2192" i="8"/>
  <c r="K2192" i="8"/>
  <c r="L2192" i="8"/>
  <c r="M2192" i="8"/>
  <c r="N2192" i="8"/>
  <c r="O2192" i="8"/>
  <c r="P2192" i="8"/>
  <c r="Q2192" i="8"/>
  <c r="R2192" i="8"/>
  <c r="S2192" i="8"/>
  <c r="T2192" i="8"/>
  <c r="E2193" i="8"/>
  <c r="F2193" i="8"/>
  <c r="G2193" i="8"/>
  <c r="H2193" i="8"/>
  <c r="I2193" i="8"/>
  <c r="J2193" i="8"/>
  <c r="K2193" i="8"/>
  <c r="L2193" i="8"/>
  <c r="M2193" i="8"/>
  <c r="N2193" i="8"/>
  <c r="O2193" i="8"/>
  <c r="P2193" i="8"/>
  <c r="Q2193" i="8"/>
  <c r="R2193" i="8"/>
  <c r="S2193" i="8"/>
  <c r="T2193" i="8"/>
  <c r="E2194" i="8"/>
  <c r="F2194" i="8"/>
  <c r="G2194" i="8"/>
  <c r="H2194" i="8"/>
  <c r="I2194" i="8"/>
  <c r="J2194" i="8"/>
  <c r="K2194" i="8"/>
  <c r="L2194" i="8"/>
  <c r="M2194" i="8"/>
  <c r="N2194" i="8"/>
  <c r="O2194" i="8"/>
  <c r="P2194" i="8"/>
  <c r="Q2194" i="8"/>
  <c r="R2194" i="8"/>
  <c r="S2194" i="8"/>
  <c r="T2194" i="8"/>
  <c r="E2195" i="8"/>
  <c r="F2195" i="8"/>
  <c r="G2195" i="8"/>
  <c r="H2195" i="8"/>
  <c r="I2195" i="8"/>
  <c r="J2195" i="8"/>
  <c r="K2195" i="8"/>
  <c r="L2195" i="8"/>
  <c r="M2195" i="8"/>
  <c r="N2195" i="8"/>
  <c r="O2195" i="8"/>
  <c r="P2195" i="8"/>
  <c r="Q2195" i="8"/>
  <c r="R2195" i="8"/>
  <c r="S2195" i="8"/>
  <c r="T2195" i="8"/>
  <c r="E204" i="7"/>
  <c r="F204" i="7"/>
  <c r="G204" i="7"/>
  <c r="H204" i="7"/>
  <c r="I204" i="7"/>
  <c r="J204" i="7"/>
  <c r="K204" i="7"/>
  <c r="L204" i="7"/>
  <c r="M204" i="7"/>
  <c r="N204" i="7"/>
  <c r="P204" i="7"/>
  <c r="Q204" i="7"/>
  <c r="R204" i="7"/>
  <c r="S204" i="7"/>
  <c r="U204" i="7"/>
  <c r="V204" i="7"/>
  <c r="W204" i="7"/>
  <c r="X204" i="7"/>
  <c r="Y204" i="7"/>
  <c r="Z204" i="7"/>
  <c r="AA204" i="7"/>
  <c r="AC204" i="7"/>
  <c r="AE204" i="7"/>
  <c r="AI204" i="7"/>
  <c r="AO204" i="7"/>
  <c r="AP204" i="7"/>
  <c r="E2174" i="8"/>
  <c r="F2174" i="8"/>
  <c r="G2174" i="8"/>
  <c r="H2174" i="8"/>
  <c r="I2174" i="8"/>
  <c r="J2174" i="8"/>
  <c r="K2174" i="8"/>
  <c r="L2174" i="8"/>
  <c r="M2174" i="8"/>
  <c r="N2174" i="8"/>
  <c r="O2174" i="8"/>
  <c r="P2174" i="8"/>
  <c r="Q2174" i="8"/>
  <c r="R2174" i="8"/>
  <c r="S2174" i="8"/>
  <c r="T2174" i="8"/>
  <c r="E2175" i="8"/>
  <c r="F2175" i="8"/>
  <c r="G2175" i="8"/>
  <c r="H2175" i="8"/>
  <c r="I2175" i="8"/>
  <c r="J2175" i="8"/>
  <c r="K2175" i="8"/>
  <c r="L2175" i="8"/>
  <c r="M2175" i="8"/>
  <c r="N2175" i="8"/>
  <c r="O2175" i="8"/>
  <c r="P2175" i="8"/>
  <c r="Q2175" i="8"/>
  <c r="R2175" i="8"/>
  <c r="S2175" i="8"/>
  <c r="T2175" i="8"/>
  <c r="E2176" i="8"/>
  <c r="F2176" i="8"/>
  <c r="G2176" i="8"/>
  <c r="H2176" i="8"/>
  <c r="I2176" i="8"/>
  <c r="J2176" i="8"/>
  <c r="K2176" i="8"/>
  <c r="L2176" i="8"/>
  <c r="M2176" i="8"/>
  <c r="N2176" i="8"/>
  <c r="O2176" i="8"/>
  <c r="P2176" i="8"/>
  <c r="Q2176" i="8"/>
  <c r="R2176" i="8"/>
  <c r="S2176" i="8"/>
  <c r="T2176" i="8"/>
  <c r="E2177" i="8"/>
  <c r="F2177" i="8"/>
  <c r="G2177" i="8"/>
  <c r="H2177" i="8"/>
  <c r="I2177" i="8"/>
  <c r="J2177" i="8"/>
  <c r="K2177" i="8"/>
  <c r="L2177" i="8"/>
  <c r="M2177" i="8"/>
  <c r="N2177" i="8"/>
  <c r="O2177" i="8"/>
  <c r="P2177" i="8"/>
  <c r="Q2177" i="8"/>
  <c r="R2177" i="8"/>
  <c r="S2177" i="8"/>
  <c r="T2177" i="8"/>
  <c r="E2178" i="8"/>
  <c r="F2178" i="8"/>
  <c r="G2178" i="8"/>
  <c r="H2178" i="8"/>
  <c r="I2178" i="8"/>
  <c r="J2178" i="8"/>
  <c r="K2178" i="8"/>
  <c r="L2178" i="8"/>
  <c r="M2178" i="8"/>
  <c r="N2178" i="8"/>
  <c r="O2178" i="8"/>
  <c r="P2178" i="8"/>
  <c r="Q2178" i="8"/>
  <c r="R2178" i="8"/>
  <c r="S2178" i="8"/>
  <c r="T2178" i="8"/>
  <c r="E2179" i="8"/>
  <c r="F2179" i="8"/>
  <c r="G2179" i="8"/>
  <c r="H2179" i="8"/>
  <c r="I2179" i="8"/>
  <c r="J2179" i="8"/>
  <c r="K2179" i="8"/>
  <c r="L2179" i="8"/>
  <c r="M2179" i="8"/>
  <c r="N2179" i="8"/>
  <c r="O2179" i="8"/>
  <c r="P2179" i="8"/>
  <c r="Q2179" i="8"/>
  <c r="R2179" i="8"/>
  <c r="S2179" i="8"/>
  <c r="T2179" i="8"/>
  <c r="E2180" i="8"/>
  <c r="F2180" i="8"/>
  <c r="G2180" i="8"/>
  <c r="H2180" i="8"/>
  <c r="I2180" i="8"/>
  <c r="J2180" i="8"/>
  <c r="K2180" i="8"/>
  <c r="L2180" i="8"/>
  <c r="M2180" i="8"/>
  <c r="N2180" i="8"/>
  <c r="O2180" i="8"/>
  <c r="P2180" i="8"/>
  <c r="Q2180" i="8"/>
  <c r="R2180" i="8"/>
  <c r="S2180" i="8"/>
  <c r="T2180" i="8"/>
  <c r="E2181" i="8"/>
  <c r="F2181" i="8"/>
  <c r="G2181" i="8"/>
  <c r="H2181" i="8"/>
  <c r="I2181" i="8"/>
  <c r="J2181" i="8"/>
  <c r="K2181" i="8"/>
  <c r="L2181" i="8"/>
  <c r="M2181" i="8"/>
  <c r="N2181" i="8"/>
  <c r="O2181" i="8"/>
  <c r="P2181" i="8"/>
  <c r="Q2181" i="8"/>
  <c r="R2181" i="8"/>
  <c r="S2181" i="8"/>
  <c r="T2181" i="8"/>
  <c r="E2182" i="8"/>
  <c r="F2182" i="8"/>
  <c r="G2182" i="8"/>
  <c r="H2182" i="8"/>
  <c r="I2182" i="8"/>
  <c r="J2182" i="8"/>
  <c r="K2182" i="8"/>
  <c r="L2182" i="8"/>
  <c r="M2182" i="8"/>
  <c r="N2182" i="8"/>
  <c r="O2182" i="8"/>
  <c r="P2182" i="8"/>
  <c r="Q2182" i="8"/>
  <c r="R2182" i="8"/>
  <c r="S2182" i="8"/>
  <c r="T2182" i="8"/>
  <c r="E2183" i="8"/>
  <c r="F2183" i="8"/>
  <c r="G2183" i="8"/>
  <c r="H2183" i="8"/>
  <c r="I2183" i="8"/>
  <c r="J2183" i="8"/>
  <c r="K2183" i="8"/>
  <c r="L2183" i="8"/>
  <c r="M2183" i="8"/>
  <c r="N2183" i="8"/>
  <c r="O2183" i="8"/>
  <c r="P2183" i="8"/>
  <c r="Q2183" i="8"/>
  <c r="R2183" i="8"/>
  <c r="S2183" i="8"/>
  <c r="T2183" i="8"/>
  <c r="E2184" i="8"/>
  <c r="F2184" i="8"/>
  <c r="G2184" i="8"/>
  <c r="H2184" i="8"/>
  <c r="I2184" i="8"/>
  <c r="J2184" i="8"/>
  <c r="K2184" i="8"/>
  <c r="L2184" i="8"/>
  <c r="M2184" i="8"/>
  <c r="N2184" i="8"/>
  <c r="O2184" i="8"/>
  <c r="P2184" i="8"/>
  <c r="Q2184" i="8"/>
  <c r="R2184" i="8"/>
  <c r="S2184" i="8"/>
  <c r="T2184" i="8"/>
  <c r="E203" i="7"/>
  <c r="F203" i="7"/>
  <c r="G203" i="7"/>
  <c r="H203" i="7"/>
  <c r="I203" i="7"/>
  <c r="J203" i="7"/>
  <c r="K203" i="7"/>
  <c r="L203" i="7"/>
  <c r="M203" i="7"/>
  <c r="N203" i="7"/>
  <c r="P203" i="7"/>
  <c r="Q203" i="7"/>
  <c r="R203" i="7"/>
  <c r="S203" i="7"/>
  <c r="U203" i="7"/>
  <c r="V203" i="7"/>
  <c r="W203" i="7"/>
  <c r="X203" i="7"/>
  <c r="Y203" i="7"/>
  <c r="Z203" i="7"/>
  <c r="AA203" i="7"/>
  <c r="AC203" i="7"/>
  <c r="AE203" i="7"/>
  <c r="AI203" i="7"/>
  <c r="AO203" i="7"/>
  <c r="AP203" i="7"/>
  <c r="E2163" i="8"/>
  <c r="F2163" i="8"/>
  <c r="G2163" i="8"/>
  <c r="H2163" i="8"/>
  <c r="I2163" i="8"/>
  <c r="J2163" i="8"/>
  <c r="K2163" i="8"/>
  <c r="L2163" i="8"/>
  <c r="M2163" i="8"/>
  <c r="N2163" i="8"/>
  <c r="O2163" i="8"/>
  <c r="P2163" i="8"/>
  <c r="Q2163" i="8"/>
  <c r="R2163" i="8"/>
  <c r="S2163" i="8"/>
  <c r="T2163" i="8"/>
  <c r="E2164" i="8"/>
  <c r="F2164" i="8"/>
  <c r="G2164" i="8"/>
  <c r="H2164" i="8"/>
  <c r="I2164" i="8"/>
  <c r="J2164" i="8"/>
  <c r="K2164" i="8"/>
  <c r="L2164" i="8"/>
  <c r="M2164" i="8"/>
  <c r="N2164" i="8"/>
  <c r="O2164" i="8"/>
  <c r="P2164" i="8"/>
  <c r="Q2164" i="8"/>
  <c r="R2164" i="8"/>
  <c r="S2164" i="8"/>
  <c r="T2164" i="8"/>
  <c r="E2165" i="8"/>
  <c r="F2165" i="8"/>
  <c r="G2165" i="8"/>
  <c r="H2165" i="8"/>
  <c r="I2165" i="8"/>
  <c r="J2165" i="8"/>
  <c r="K2165" i="8"/>
  <c r="L2165" i="8"/>
  <c r="M2165" i="8"/>
  <c r="N2165" i="8"/>
  <c r="O2165" i="8"/>
  <c r="P2165" i="8"/>
  <c r="Q2165" i="8"/>
  <c r="R2165" i="8"/>
  <c r="S2165" i="8"/>
  <c r="T2165" i="8"/>
  <c r="E2166" i="8"/>
  <c r="F2166" i="8"/>
  <c r="G2166" i="8"/>
  <c r="H2166" i="8"/>
  <c r="I2166" i="8"/>
  <c r="J2166" i="8"/>
  <c r="K2166" i="8"/>
  <c r="L2166" i="8"/>
  <c r="M2166" i="8"/>
  <c r="N2166" i="8"/>
  <c r="O2166" i="8"/>
  <c r="P2166" i="8"/>
  <c r="Q2166" i="8"/>
  <c r="R2166" i="8"/>
  <c r="S2166" i="8"/>
  <c r="T2166" i="8"/>
  <c r="E2167" i="8"/>
  <c r="F2167" i="8"/>
  <c r="G2167" i="8"/>
  <c r="H2167" i="8"/>
  <c r="I2167" i="8"/>
  <c r="J2167" i="8"/>
  <c r="K2167" i="8"/>
  <c r="L2167" i="8"/>
  <c r="M2167" i="8"/>
  <c r="N2167" i="8"/>
  <c r="O2167" i="8"/>
  <c r="P2167" i="8"/>
  <c r="Q2167" i="8"/>
  <c r="R2167" i="8"/>
  <c r="S2167" i="8"/>
  <c r="T2167" i="8"/>
  <c r="E2168" i="8"/>
  <c r="F2168" i="8"/>
  <c r="G2168" i="8"/>
  <c r="H2168" i="8"/>
  <c r="I2168" i="8"/>
  <c r="J2168" i="8"/>
  <c r="K2168" i="8"/>
  <c r="L2168" i="8"/>
  <c r="M2168" i="8"/>
  <c r="N2168" i="8"/>
  <c r="O2168" i="8"/>
  <c r="P2168" i="8"/>
  <c r="Q2168" i="8"/>
  <c r="R2168" i="8"/>
  <c r="S2168" i="8"/>
  <c r="T2168" i="8"/>
  <c r="E2169" i="8"/>
  <c r="F2169" i="8"/>
  <c r="G2169" i="8"/>
  <c r="H2169" i="8"/>
  <c r="I2169" i="8"/>
  <c r="J2169" i="8"/>
  <c r="K2169" i="8"/>
  <c r="L2169" i="8"/>
  <c r="M2169" i="8"/>
  <c r="N2169" i="8"/>
  <c r="O2169" i="8"/>
  <c r="P2169" i="8"/>
  <c r="Q2169" i="8"/>
  <c r="R2169" i="8"/>
  <c r="S2169" i="8"/>
  <c r="T2169" i="8"/>
  <c r="E2170" i="8"/>
  <c r="F2170" i="8"/>
  <c r="G2170" i="8"/>
  <c r="H2170" i="8"/>
  <c r="I2170" i="8"/>
  <c r="J2170" i="8"/>
  <c r="K2170" i="8"/>
  <c r="L2170" i="8"/>
  <c r="M2170" i="8"/>
  <c r="N2170" i="8"/>
  <c r="O2170" i="8"/>
  <c r="P2170" i="8"/>
  <c r="Q2170" i="8"/>
  <c r="R2170" i="8"/>
  <c r="S2170" i="8"/>
  <c r="T2170" i="8"/>
  <c r="E2171" i="8"/>
  <c r="F2171" i="8"/>
  <c r="G2171" i="8"/>
  <c r="H2171" i="8"/>
  <c r="I2171" i="8"/>
  <c r="J2171" i="8"/>
  <c r="K2171" i="8"/>
  <c r="L2171" i="8"/>
  <c r="M2171" i="8"/>
  <c r="N2171" i="8"/>
  <c r="O2171" i="8"/>
  <c r="P2171" i="8"/>
  <c r="Q2171" i="8"/>
  <c r="R2171" i="8"/>
  <c r="S2171" i="8"/>
  <c r="T2171" i="8"/>
  <c r="E2172" i="8"/>
  <c r="F2172" i="8"/>
  <c r="G2172" i="8"/>
  <c r="H2172" i="8"/>
  <c r="I2172" i="8"/>
  <c r="J2172" i="8"/>
  <c r="K2172" i="8"/>
  <c r="L2172" i="8"/>
  <c r="M2172" i="8"/>
  <c r="N2172" i="8"/>
  <c r="O2172" i="8"/>
  <c r="P2172" i="8"/>
  <c r="Q2172" i="8"/>
  <c r="R2172" i="8"/>
  <c r="S2172" i="8"/>
  <c r="T2172" i="8"/>
  <c r="E2173" i="8"/>
  <c r="F2173" i="8"/>
  <c r="G2173" i="8"/>
  <c r="H2173" i="8"/>
  <c r="I2173" i="8"/>
  <c r="J2173" i="8"/>
  <c r="K2173" i="8"/>
  <c r="L2173" i="8"/>
  <c r="M2173" i="8"/>
  <c r="N2173" i="8"/>
  <c r="O2173" i="8"/>
  <c r="P2173" i="8"/>
  <c r="Q2173" i="8"/>
  <c r="R2173" i="8"/>
  <c r="S2173" i="8"/>
  <c r="T2173" i="8"/>
  <c r="E202" i="7"/>
  <c r="F202" i="7"/>
  <c r="G202" i="7"/>
  <c r="H202" i="7"/>
  <c r="I202" i="7"/>
  <c r="J202" i="7"/>
  <c r="K202" i="7"/>
  <c r="L202" i="7"/>
  <c r="M202" i="7"/>
  <c r="N202" i="7"/>
  <c r="P202" i="7"/>
  <c r="Q202" i="7"/>
  <c r="R202" i="7"/>
  <c r="S202" i="7"/>
  <c r="U202" i="7"/>
  <c r="V202" i="7"/>
  <c r="W202" i="7"/>
  <c r="X202" i="7"/>
  <c r="Y202" i="7"/>
  <c r="Z202" i="7"/>
  <c r="AA202" i="7"/>
  <c r="AC202" i="7"/>
  <c r="AE202" i="7"/>
  <c r="AI202" i="7"/>
  <c r="AO202" i="7"/>
  <c r="AP202" i="7"/>
  <c r="E2152" i="8"/>
  <c r="F2152" i="8"/>
  <c r="G2152" i="8"/>
  <c r="H2152" i="8"/>
  <c r="I2152" i="8"/>
  <c r="J2152" i="8"/>
  <c r="K2152" i="8"/>
  <c r="L2152" i="8"/>
  <c r="M2152" i="8"/>
  <c r="N2152" i="8"/>
  <c r="O2152" i="8"/>
  <c r="P2152" i="8"/>
  <c r="Q2152" i="8"/>
  <c r="R2152" i="8"/>
  <c r="S2152" i="8"/>
  <c r="T2152" i="8"/>
  <c r="E2153" i="8"/>
  <c r="F2153" i="8"/>
  <c r="G2153" i="8"/>
  <c r="H2153" i="8"/>
  <c r="I2153" i="8"/>
  <c r="J2153" i="8"/>
  <c r="K2153" i="8"/>
  <c r="L2153" i="8"/>
  <c r="M2153" i="8"/>
  <c r="N2153" i="8"/>
  <c r="O2153" i="8"/>
  <c r="P2153" i="8"/>
  <c r="Q2153" i="8"/>
  <c r="R2153" i="8"/>
  <c r="S2153" i="8"/>
  <c r="T2153" i="8"/>
  <c r="E2154" i="8"/>
  <c r="F2154" i="8"/>
  <c r="G2154" i="8"/>
  <c r="H2154" i="8"/>
  <c r="I2154" i="8"/>
  <c r="J2154" i="8"/>
  <c r="K2154" i="8"/>
  <c r="L2154" i="8"/>
  <c r="M2154" i="8"/>
  <c r="N2154" i="8"/>
  <c r="O2154" i="8"/>
  <c r="P2154" i="8"/>
  <c r="Q2154" i="8"/>
  <c r="R2154" i="8"/>
  <c r="S2154" i="8"/>
  <c r="T2154" i="8"/>
  <c r="E2155" i="8"/>
  <c r="F2155" i="8"/>
  <c r="G2155" i="8"/>
  <c r="H2155" i="8"/>
  <c r="I2155" i="8"/>
  <c r="J2155" i="8"/>
  <c r="K2155" i="8"/>
  <c r="L2155" i="8"/>
  <c r="M2155" i="8"/>
  <c r="N2155" i="8"/>
  <c r="O2155" i="8"/>
  <c r="P2155" i="8"/>
  <c r="Q2155" i="8"/>
  <c r="R2155" i="8"/>
  <c r="S2155" i="8"/>
  <c r="T2155" i="8"/>
  <c r="E2156" i="8"/>
  <c r="F2156" i="8"/>
  <c r="G2156" i="8"/>
  <c r="H2156" i="8"/>
  <c r="I2156" i="8"/>
  <c r="J2156" i="8"/>
  <c r="K2156" i="8"/>
  <c r="L2156" i="8"/>
  <c r="M2156" i="8"/>
  <c r="N2156" i="8"/>
  <c r="O2156" i="8"/>
  <c r="P2156" i="8"/>
  <c r="Q2156" i="8"/>
  <c r="R2156" i="8"/>
  <c r="S2156" i="8"/>
  <c r="T2156" i="8"/>
  <c r="E2157" i="8"/>
  <c r="F2157" i="8"/>
  <c r="G2157" i="8"/>
  <c r="H2157" i="8"/>
  <c r="I2157" i="8"/>
  <c r="J2157" i="8"/>
  <c r="K2157" i="8"/>
  <c r="L2157" i="8"/>
  <c r="M2157" i="8"/>
  <c r="N2157" i="8"/>
  <c r="O2157" i="8"/>
  <c r="P2157" i="8"/>
  <c r="Q2157" i="8"/>
  <c r="R2157" i="8"/>
  <c r="S2157" i="8"/>
  <c r="T2157" i="8"/>
  <c r="E2158" i="8"/>
  <c r="F2158" i="8"/>
  <c r="G2158" i="8"/>
  <c r="H2158" i="8"/>
  <c r="I2158" i="8"/>
  <c r="J2158" i="8"/>
  <c r="K2158" i="8"/>
  <c r="L2158" i="8"/>
  <c r="M2158" i="8"/>
  <c r="N2158" i="8"/>
  <c r="O2158" i="8"/>
  <c r="P2158" i="8"/>
  <c r="Q2158" i="8"/>
  <c r="R2158" i="8"/>
  <c r="S2158" i="8"/>
  <c r="T2158" i="8"/>
  <c r="E2159" i="8"/>
  <c r="F2159" i="8"/>
  <c r="G2159" i="8"/>
  <c r="H2159" i="8"/>
  <c r="I2159" i="8"/>
  <c r="J2159" i="8"/>
  <c r="K2159" i="8"/>
  <c r="L2159" i="8"/>
  <c r="M2159" i="8"/>
  <c r="N2159" i="8"/>
  <c r="O2159" i="8"/>
  <c r="P2159" i="8"/>
  <c r="Q2159" i="8"/>
  <c r="R2159" i="8"/>
  <c r="S2159" i="8"/>
  <c r="T2159" i="8"/>
  <c r="E2160" i="8"/>
  <c r="F2160" i="8"/>
  <c r="G2160" i="8"/>
  <c r="H2160" i="8"/>
  <c r="I2160" i="8"/>
  <c r="J2160" i="8"/>
  <c r="K2160" i="8"/>
  <c r="L2160" i="8"/>
  <c r="M2160" i="8"/>
  <c r="N2160" i="8"/>
  <c r="O2160" i="8"/>
  <c r="P2160" i="8"/>
  <c r="Q2160" i="8"/>
  <c r="R2160" i="8"/>
  <c r="S2160" i="8"/>
  <c r="T2160" i="8"/>
  <c r="E2161" i="8"/>
  <c r="F2161" i="8"/>
  <c r="G2161" i="8"/>
  <c r="H2161" i="8"/>
  <c r="I2161" i="8"/>
  <c r="J2161" i="8"/>
  <c r="K2161" i="8"/>
  <c r="L2161" i="8"/>
  <c r="M2161" i="8"/>
  <c r="N2161" i="8"/>
  <c r="O2161" i="8"/>
  <c r="P2161" i="8"/>
  <c r="Q2161" i="8"/>
  <c r="R2161" i="8"/>
  <c r="S2161" i="8"/>
  <c r="T2161" i="8"/>
  <c r="E2162" i="8"/>
  <c r="F2162" i="8"/>
  <c r="G2162" i="8"/>
  <c r="H2162" i="8"/>
  <c r="I2162" i="8"/>
  <c r="J2162" i="8"/>
  <c r="K2162" i="8"/>
  <c r="L2162" i="8"/>
  <c r="M2162" i="8"/>
  <c r="N2162" i="8"/>
  <c r="O2162" i="8"/>
  <c r="P2162" i="8"/>
  <c r="Q2162" i="8"/>
  <c r="R2162" i="8"/>
  <c r="S2162" i="8"/>
  <c r="T2162" i="8"/>
  <c r="E201" i="7"/>
  <c r="F201" i="7"/>
  <c r="G201" i="7"/>
  <c r="H201" i="7"/>
  <c r="I201" i="7"/>
  <c r="J201" i="7"/>
  <c r="K201" i="7"/>
  <c r="L201" i="7"/>
  <c r="M201" i="7"/>
  <c r="N201" i="7"/>
  <c r="P201" i="7"/>
  <c r="Q201" i="7"/>
  <c r="R201" i="7"/>
  <c r="S201" i="7"/>
  <c r="U201" i="7"/>
  <c r="V201" i="7"/>
  <c r="W201" i="7"/>
  <c r="X201" i="7"/>
  <c r="Y201" i="7"/>
  <c r="Z201" i="7"/>
  <c r="AA201" i="7"/>
  <c r="AC201" i="7"/>
  <c r="AE201" i="7"/>
  <c r="AI201" i="7"/>
  <c r="AO201" i="7"/>
  <c r="AP201" i="7"/>
  <c r="E2141" i="8"/>
  <c r="F2141" i="8"/>
  <c r="G2141" i="8"/>
  <c r="H2141" i="8"/>
  <c r="I2141" i="8"/>
  <c r="J2141" i="8"/>
  <c r="K2141" i="8"/>
  <c r="L2141" i="8"/>
  <c r="M2141" i="8"/>
  <c r="N2141" i="8"/>
  <c r="O2141" i="8"/>
  <c r="P2141" i="8"/>
  <c r="Q2141" i="8"/>
  <c r="R2141" i="8"/>
  <c r="S2141" i="8"/>
  <c r="T2141" i="8"/>
  <c r="E2142" i="8"/>
  <c r="F2142" i="8"/>
  <c r="G2142" i="8"/>
  <c r="H2142" i="8"/>
  <c r="I2142" i="8"/>
  <c r="J2142" i="8"/>
  <c r="K2142" i="8"/>
  <c r="L2142" i="8"/>
  <c r="M2142" i="8"/>
  <c r="N2142" i="8"/>
  <c r="O2142" i="8"/>
  <c r="P2142" i="8"/>
  <c r="Q2142" i="8"/>
  <c r="R2142" i="8"/>
  <c r="S2142" i="8"/>
  <c r="T2142" i="8"/>
  <c r="E2143" i="8"/>
  <c r="F2143" i="8"/>
  <c r="G2143" i="8"/>
  <c r="H2143" i="8"/>
  <c r="I2143" i="8"/>
  <c r="J2143" i="8"/>
  <c r="K2143" i="8"/>
  <c r="L2143" i="8"/>
  <c r="M2143" i="8"/>
  <c r="N2143" i="8"/>
  <c r="O2143" i="8"/>
  <c r="P2143" i="8"/>
  <c r="Q2143" i="8"/>
  <c r="R2143" i="8"/>
  <c r="S2143" i="8"/>
  <c r="T2143" i="8"/>
  <c r="E2144" i="8"/>
  <c r="F2144" i="8"/>
  <c r="G2144" i="8"/>
  <c r="H2144" i="8"/>
  <c r="I2144" i="8"/>
  <c r="J2144" i="8"/>
  <c r="K2144" i="8"/>
  <c r="L2144" i="8"/>
  <c r="M2144" i="8"/>
  <c r="N2144" i="8"/>
  <c r="O2144" i="8"/>
  <c r="P2144" i="8"/>
  <c r="Q2144" i="8"/>
  <c r="R2144" i="8"/>
  <c r="S2144" i="8"/>
  <c r="T2144" i="8"/>
  <c r="E2145" i="8"/>
  <c r="F2145" i="8"/>
  <c r="G2145" i="8"/>
  <c r="H2145" i="8"/>
  <c r="I2145" i="8"/>
  <c r="J2145" i="8"/>
  <c r="K2145" i="8"/>
  <c r="L2145" i="8"/>
  <c r="M2145" i="8"/>
  <c r="N2145" i="8"/>
  <c r="O2145" i="8"/>
  <c r="P2145" i="8"/>
  <c r="Q2145" i="8"/>
  <c r="R2145" i="8"/>
  <c r="S2145" i="8"/>
  <c r="T2145" i="8"/>
  <c r="E2146" i="8"/>
  <c r="F2146" i="8"/>
  <c r="G2146" i="8"/>
  <c r="H2146" i="8"/>
  <c r="I2146" i="8"/>
  <c r="J2146" i="8"/>
  <c r="K2146" i="8"/>
  <c r="L2146" i="8"/>
  <c r="M2146" i="8"/>
  <c r="N2146" i="8"/>
  <c r="O2146" i="8"/>
  <c r="P2146" i="8"/>
  <c r="Q2146" i="8"/>
  <c r="R2146" i="8"/>
  <c r="S2146" i="8"/>
  <c r="T2146" i="8"/>
  <c r="E2147" i="8"/>
  <c r="F2147" i="8"/>
  <c r="G2147" i="8"/>
  <c r="H2147" i="8"/>
  <c r="I2147" i="8"/>
  <c r="J2147" i="8"/>
  <c r="K2147" i="8"/>
  <c r="L2147" i="8"/>
  <c r="M2147" i="8"/>
  <c r="N2147" i="8"/>
  <c r="O2147" i="8"/>
  <c r="P2147" i="8"/>
  <c r="Q2147" i="8"/>
  <c r="R2147" i="8"/>
  <c r="S2147" i="8"/>
  <c r="T2147" i="8"/>
  <c r="E2148" i="8"/>
  <c r="F2148" i="8"/>
  <c r="G2148" i="8"/>
  <c r="H2148" i="8"/>
  <c r="I2148" i="8"/>
  <c r="J2148" i="8"/>
  <c r="K2148" i="8"/>
  <c r="L2148" i="8"/>
  <c r="M2148" i="8"/>
  <c r="N2148" i="8"/>
  <c r="O2148" i="8"/>
  <c r="P2148" i="8"/>
  <c r="Q2148" i="8"/>
  <c r="R2148" i="8"/>
  <c r="S2148" i="8"/>
  <c r="T2148" i="8"/>
  <c r="E2149" i="8"/>
  <c r="F2149" i="8"/>
  <c r="G2149" i="8"/>
  <c r="H2149" i="8"/>
  <c r="I2149" i="8"/>
  <c r="J2149" i="8"/>
  <c r="K2149" i="8"/>
  <c r="L2149" i="8"/>
  <c r="M2149" i="8"/>
  <c r="N2149" i="8"/>
  <c r="O2149" i="8"/>
  <c r="P2149" i="8"/>
  <c r="Q2149" i="8"/>
  <c r="R2149" i="8"/>
  <c r="S2149" i="8"/>
  <c r="T2149" i="8"/>
  <c r="E2150" i="8"/>
  <c r="F2150" i="8"/>
  <c r="G2150" i="8"/>
  <c r="H2150" i="8"/>
  <c r="I2150" i="8"/>
  <c r="J2150" i="8"/>
  <c r="K2150" i="8"/>
  <c r="L2150" i="8"/>
  <c r="M2150" i="8"/>
  <c r="N2150" i="8"/>
  <c r="O2150" i="8"/>
  <c r="P2150" i="8"/>
  <c r="Q2150" i="8"/>
  <c r="R2150" i="8"/>
  <c r="S2150" i="8"/>
  <c r="T2150" i="8"/>
  <c r="E2151" i="8"/>
  <c r="F2151" i="8"/>
  <c r="G2151" i="8"/>
  <c r="H2151" i="8"/>
  <c r="I2151" i="8"/>
  <c r="J2151" i="8"/>
  <c r="K2151" i="8"/>
  <c r="L2151" i="8"/>
  <c r="M2151" i="8"/>
  <c r="N2151" i="8"/>
  <c r="O2151" i="8"/>
  <c r="P2151" i="8"/>
  <c r="Q2151" i="8"/>
  <c r="R2151" i="8"/>
  <c r="S2151" i="8"/>
  <c r="T2151" i="8"/>
  <c r="E200" i="7"/>
  <c r="F200" i="7"/>
  <c r="G200" i="7"/>
  <c r="H200" i="7"/>
  <c r="I200" i="7"/>
  <c r="J200" i="7"/>
  <c r="K200" i="7"/>
  <c r="L200" i="7"/>
  <c r="M200" i="7"/>
  <c r="N200" i="7"/>
  <c r="P200" i="7"/>
  <c r="Q200" i="7"/>
  <c r="R200" i="7"/>
  <c r="S200" i="7"/>
  <c r="U200" i="7"/>
  <c r="V200" i="7"/>
  <c r="W200" i="7"/>
  <c r="X200" i="7"/>
  <c r="Y200" i="7"/>
  <c r="Z200" i="7"/>
  <c r="AA200" i="7"/>
  <c r="AC200" i="7"/>
  <c r="AE200" i="7"/>
  <c r="AI200" i="7"/>
  <c r="AO200" i="7"/>
  <c r="AP200" i="7"/>
  <c r="E2130" i="8"/>
  <c r="F2130" i="8"/>
  <c r="G2130" i="8"/>
  <c r="H2130" i="8"/>
  <c r="I2130" i="8"/>
  <c r="J2130" i="8"/>
  <c r="K2130" i="8"/>
  <c r="L2130" i="8"/>
  <c r="M2130" i="8"/>
  <c r="N2130" i="8"/>
  <c r="O2130" i="8"/>
  <c r="P2130" i="8"/>
  <c r="Q2130" i="8"/>
  <c r="R2130" i="8"/>
  <c r="S2130" i="8"/>
  <c r="T2130" i="8"/>
  <c r="E2131" i="8"/>
  <c r="F2131" i="8"/>
  <c r="G2131" i="8"/>
  <c r="H2131" i="8"/>
  <c r="I2131" i="8"/>
  <c r="J2131" i="8"/>
  <c r="K2131" i="8"/>
  <c r="L2131" i="8"/>
  <c r="M2131" i="8"/>
  <c r="N2131" i="8"/>
  <c r="O2131" i="8"/>
  <c r="P2131" i="8"/>
  <c r="Q2131" i="8"/>
  <c r="R2131" i="8"/>
  <c r="S2131" i="8"/>
  <c r="T2131" i="8"/>
  <c r="E2132" i="8"/>
  <c r="F2132" i="8"/>
  <c r="G2132" i="8"/>
  <c r="H2132" i="8"/>
  <c r="I2132" i="8"/>
  <c r="J2132" i="8"/>
  <c r="K2132" i="8"/>
  <c r="L2132" i="8"/>
  <c r="M2132" i="8"/>
  <c r="N2132" i="8"/>
  <c r="O2132" i="8"/>
  <c r="P2132" i="8"/>
  <c r="Q2132" i="8"/>
  <c r="R2132" i="8"/>
  <c r="S2132" i="8"/>
  <c r="T2132" i="8"/>
  <c r="E2133" i="8"/>
  <c r="F2133" i="8"/>
  <c r="G2133" i="8"/>
  <c r="H2133" i="8"/>
  <c r="I2133" i="8"/>
  <c r="J2133" i="8"/>
  <c r="K2133" i="8"/>
  <c r="L2133" i="8"/>
  <c r="M2133" i="8"/>
  <c r="N2133" i="8"/>
  <c r="O2133" i="8"/>
  <c r="P2133" i="8"/>
  <c r="Q2133" i="8"/>
  <c r="R2133" i="8"/>
  <c r="S2133" i="8"/>
  <c r="T2133" i="8"/>
  <c r="E2134" i="8"/>
  <c r="F2134" i="8"/>
  <c r="G2134" i="8"/>
  <c r="H2134" i="8"/>
  <c r="I2134" i="8"/>
  <c r="J2134" i="8"/>
  <c r="K2134" i="8"/>
  <c r="L2134" i="8"/>
  <c r="M2134" i="8"/>
  <c r="N2134" i="8"/>
  <c r="O2134" i="8"/>
  <c r="P2134" i="8"/>
  <c r="Q2134" i="8"/>
  <c r="R2134" i="8"/>
  <c r="S2134" i="8"/>
  <c r="T2134" i="8"/>
  <c r="E2135" i="8"/>
  <c r="F2135" i="8"/>
  <c r="G2135" i="8"/>
  <c r="H2135" i="8"/>
  <c r="I2135" i="8"/>
  <c r="J2135" i="8"/>
  <c r="K2135" i="8"/>
  <c r="L2135" i="8"/>
  <c r="M2135" i="8"/>
  <c r="N2135" i="8"/>
  <c r="O2135" i="8"/>
  <c r="P2135" i="8"/>
  <c r="Q2135" i="8"/>
  <c r="R2135" i="8"/>
  <c r="S2135" i="8"/>
  <c r="T2135" i="8"/>
  <c r="E2136" i="8"/>
  <c r="F2136" i="8"/>
  <c r="G2136" i="8"/>
  <c r="H2136" i="8"/>
  <c r="I2136" i="8"/>
  <c r="J2136" i="8"/>
  <c r="K2136" i="8"/>
  <c r="L2136" i="8"/>
  <c r="M2136" i="8"/>
  <c r="N2136" i="8"/>
  <c r="O2136" i="8"/>
  <c r="P2136" i="8"/>
  <c r="Q2136" i="8"/>
  <c r="R2136" i="8"/>
  <c r="S2136" i="8"/>
  <c r="T2136" i="8"/>
  <c r="E2137" i="8"/>
  <c r="F2137" i="8"/>
  <c r="G2137" i="8"/>
  <c r="H2137" i="8"/>
  <c r="I2137" i="8"/>
  <c r="J2137" i="8"/>
  <c r="K2137" i="8"/>
  <c r="L2137" i="8"/>
  <c r="M2137" i="8"/>
  <c r="N2137" i="8"/>
  <c r="O2137" i="8"/>
  <c r="P2137" i="8"/>
  <c r="Q2137" i="8"/>
  <c r="R2137" i="8"/>
  <c r="S2137" i="8"/>
  <c r="T2137" i="8"/>
  <c r="E2138" i="8"/>
  <c r="F2138" i="8"/>
  <c r="G2138" i="8"/>
  <c r="H2138" i="8"/>
  <c r="I2138" i="8"/>
  <c r="J2138" i="8"/>
  <c r="K2138" i="8"/>
  <c r="L2138" i="8"/>
  <c r="M2138" i="8"/>
  <c r="N2138" i="8"/>
  <c r="O2138" i="8"/>
  <c r="P2138" i="8"/>
  <c r="Q2138" i="8"/>
  <c r="R2138" i="8"/>
  <c r="S2138" i="8"/>
  <c r="T2138" i="8"/>
  <c r="E2139" i="8"/>
  <c r="F2139" i="8"/>
  <c r="G2139" i="8"/>
  <c r="H2139" i="8"/>
  <c r="I2139" i="8"/>
  <c r="J2139" i="8"/>
  <c r="K2139" i="8"/>
  <c r="L2139" i="8"/>
  <c r="M2139" i="8"/>
  <c r="N2139" i="8"/>
  <c r="O2139" i="8"/>
  <c r="P2139" i="8"/>
  <c r="Q2139" i="8"/>
  <c r="R2139" i="8"/>
  <c r="S2139" i="8"/>
  <c r="T2139" i="8"/>
  <c r="E2140" i="8"/>
  <c r="F2140" i="8"/>
  <c r="G2140" i="8"/>
  <c r="H2140" i="8"/>
  <c r="I2140" i="8"/>
  <c r="J2140" i="8"/>
  <c r="K2140" i="8"/>
  <c r="L2140" i="8"/>
  <c r="M2140" i="8"/>
  <c r="N2140" i="8"/>
  <c r="O2140" i="8"/>
  <c r="P2140" i="8"/>
  <c r="Q2140" i="8"/>
  <c r="R2140" i="8"/>
  <c r="S2140" i="8"/>
  <c r="T2140" i="8"/>
  <c r="E199" i="7"/>
  <c r="F199" i="7"/>
  <c r="G199" i="7"/>
  <c r="H199" i="7"/>
  <c r="I199" i="7"/>
  <c r="J199" i="7"/>
  <c r="K199" i="7"/>
  <c r="L199" i="7"/>
  <c r="M199" i="7"/>
  <c r="N199" i="7"/>
  <c r="P199" i="7"/>
  <c r="Q199" i="7"/>
  <c r="R199" i="7"/>
  <c r="S199" i="7"/>
  <c r="U199" i="7"/>
  <c r="V199" i="7"/>
  <c r="W199" i="7"/>
  <c r="X199" i="7"/>
  <c r="Y199" i="7"/>
  <c r="Z199" i="7"/>
  <c r="AA199" i="7"/>
  <c r="AC199" i="7"/>
  <c r="AE199" i="7"/>
  <c r="AI199" i="7"/>
  <c r="AO199" i="7"/>
  <c r="AP199" i="7"/>
  <c r="E2119" i="8"/>
  <c r="F2119" i="8"/>
  <c r="G2119" i="8"/>
  <c r="H2119" i="8"/>
  <c r="I2119" i="8"/>
  <c r="J2119" i="8"/>
  <c r="K2119" i="8"/>
  <c r="L2119" i="8"/>
  <c r="M2119" i="8"/>
  <c r="N2119" i="8"/>
  <c r="O2119" i="8"/>
  <c r="P2119" i="8"/>
  <c r="Q2119" i="8"/>
  <c r="R2119" i="8"/>
  <c r="S2119" i="8"/>
  <c r="T2119" i="8"/>
  <c r="E2120" i="8"/>
  <c r="F2120" i="8"/>
  <c r="G2120" i="8"/>
  <c r="H2120" i="8"/>
  <c r="I2120" i="8"/>
  <c r="J2120" i="8"/>
  <c r="K2120" i="8"/>
  <c r="L2120" i="8"/>
  <c r="M2120" i="8"/>
  <c r="N2120" i="8"/>
  <c r="O2120" i="8"/>
  <c r="P2120" i="8"/>
  <c r="Q2120" i="8"/>
  <c r="R2120" i="8"/>
  <c r="S2120" i="8"/>
  <c r="T2120" i="8"/>
  <c r="E2121" i="8"/>
  <c r="F2121" i="8"/>
  <c r="G2121" i="8"/>
  <c r="H2121" i="8"/>
  <c r="I2121" i="8"/>
  <c r="J2121" i="8"/>
  <c r="K2121" i="8"/>
  <c r="L2121" i="8"/>
  <c r="M2121" i="8"/>
  <c r="N2121" i="8"/>
  <c r="O2121" i="8"/>
  <c r="P2121" i="8"/>
  <c r="Q2121" i="8"/>
  <c r="R2121" i="8"/>
  <c r="S2121" i="8"/>
  <c r="T2121" i="8"/>
  <c r="E2122" i="8"/>
  <c r="F2122" i="8"/>
  <c r="G2122" i="8"/>
  <c r="H2122" i="8"/>
  <c r="I2122" i="8"/>
  <c r="J2122" i="8"/>
  <c r="K2122" i="8"/>
  <c r="L2122" i="8"/>
  <c r="M2122" i="8"/>
  <c r="N2122" i="8"/>
  <c r="O2122" i="8"/>
  <c r="P2122" i="8"/>
  <c r="Q2122" i="8"/>
  <c r="R2122" i="8"/>
  <c r="S2122" i="8"/>
  <c r="T2122" i="8"/>
  <c r="E2123" i="8"/>
  <c r="F2123" i="8"/>
  <c r="G2123" i="8"/>
  <c r="H2123" i="8"/>
  <c r="I2123" i="8"/>
  <c r="J2123" i="8"/>
  <c r="K2123" i="8"/>
  <c r="L2123" i="8"/>
  <c r="M2123" i="8"/>
  <c r="N2123" i="8"/>
  <c r="O2123" i="8"/>
  <c r="P2123" i="8"/>
  <c r="Q2123" i="8"/>
  <c r="R2123" i="8"/>
  <c r="S2123" i="8"/>
  <c r="T2123" i="8"/>
  <c r="E2124" i="8"/>
  <c r="F2124" i="8"/>
  <c r="G2124" i="8"/>
  <c r="H2124" i="8"/>
  <c r="I2124" i="8"/>
  <c r="J2124" i="8"/>
  <c r="K2124" i="8"/>
  <c r="L2124" i="8"/>
  <c r="M2124" i="8"/>
  <c r="N2124" i="8"/>
  <c r="O2124" i="8"/>
  <c r="P2124" i="8"/>
  <c r="Q2124" i="8"/>
  <c r="R2124" i="8"/>
  <c r="S2124" i="8"/>
  <c r="T2124" i="8"/>
  <c r="E2125" i="8"/>
  <c r="F2125" i="8"/>
  <c r="G2125" i="8"/>
  <c r="H2125" i="8"/>
  <c r="I2125" i="8"/>
  <c r="J2125" i="8"/>
  <c r="K2125" i="8"/>
  <c r="L2125" i="8"/>
  <c r="M2125" i="8"/>
  <c r="N2125" i="8"/>
  <c r="O2125" i="8"/>
  <c r="P2125" i="8"/>
  <c r="Q2125" i="8"/>
  <c r="R2125" i="8"/>
  <c r="S2125" i="8"/>
  <c r="T2125" i="8"/>
  <c r="E2126" i="8"/>
  <c r="F2126" i="8"/>
  <c r="G2126" i="8"/>
  <c r="H2126" i="8"/>
  <c r="I2126" i="8"/>
  <c r="J2126" i="8"/>
  <c r="K2126" i="8"/>
  <c r="L2126" i="8"/>
  <c r="M2126" i="8"/>
  <c r="N2126" i="8"/>
  <c r="O2126" i="8"/>
  <c r="P2126" i="8"/>
  <c r="Q2126" i="8"/>
  <c r="R2126" i="8"/>
  <c r="S2126" i="8"/>
  <c r="T2126" i="8"/>
  <c r="E2127" i="8"/>
  <c r="F2127" i="8"/>
  <c r="G2127" i="8"/>
  <c r="H2127" i="8"/>
  <c r="I2127" i="8"/>
  <c r="J2127" i="8"/>
  <c r="K2127" i="8"/>
  <c r="L2127" i="8"/>
  <c r="M2127" i="8"/>
  <c r="N2127" i="8"/>
  <c r="O2127" i="8"/>
  <c r="P2127" i="8"/>
  <c r="Q2127" i="8"/>
  <c r="R2127" i="8"/>
  <c r="S2127" i="8"/>
  <c r="T2127" i="8"/>
  <c r="E2128" i="8"/>
  <c r="F2128" i="8"/>
  <c r="G2128" i="8"/>
  <c r="H2128" i="8"/>
  <c r="I2128" i="8"/>
  <c r="J2128" i="8"/>
  <c r="K2128" i="8"/>
  <c r="L2128" i="8"/>
  <c r="M2128" i="8"/>
  <c r="N2128" i="8"/>
  <c r="O2128" i="8"/>
  <c r="P2128" i="8"/>
  <c r="Q2128" i="8"/>
  <c r="R2128" i="8"/>
  <c r="S2128" i="8"/>
  <c r="T2128" i="8"/>
  <c r="E2129" i="8"/>
  <c r="F2129" i="8"/>
  <c r="G2129" i="8"/>
  <c r="H2129" i="8"/>
  <c r="I2129" i="8"/>
  <c r="J2129" i="8"/>
  <c r="K2129" i="8"/>
  <c r="L2129" i="8"/>
  <c r="M2129" i="8"/>
  <c r="N2129" i="8"/>
  <c r="O2129" i="8"/>
  <c r="P2129" i="8"/>
  <c r="Q2129" i="8"/>
  <c r="R2129" i="8"/>
  <c r="S2129" i="8"/>
  <c r="T2129" i="8"/>
  <c r="E198" i="7"/>
  <c r="F198" i="7"/>
  <c r="G198" i="7"/>
  <c r="H198" i="7"/>
  <c r="I198" i="7"/>
  <c r="J198" i="7"/>
  <c r="K198" i="7"/>
  <c r="L198" i="7"/>
  <c r="M198" i="7"/>
  <c r="N198" i="7"/>
  <c r="P198" i="7"/>
  <c r="Q198" i="7"/>
  <c r="R198" i="7"/>
  <c r="S198" i="7"/>
  <c r="U198" i="7"/>
  <c r="V198" i="7"/>
  <c r="W198" i="7"/>
  <c r="X198" i="7"/>
  <c r="Y198" i="7"/>
  <c r="Z198" i="7"/>
  <c r="AA198" i="7"/>
  <c r="AC198" i="7"/>
  <c r="AE198" i="7"/>
  <c r="AI198" i="7"/>
  <c r="AO198" i="7"/>
  <c r="AP198" i="7"/>
  <c r="E2108" i="8"/>
  <c r="F2108" i="8"/>
  <c r="G2108" i="8"/>
  <c r="H2108" i="8"/>
  <c r="I2108" i="8"/>
  <c r="J2108" i="8"/>
  <c r="K2108" i="8"/>
  <c r="L2108" i="8"/>
  <c r="M2108" i="8"/>
  <c r="N2108" i="8"/>
  <c r="O2108" i="8"/>
  <c r="P2108" i="8"/>
  <c r="Q2108" i="8"/>
  <c r="R2108" i="8"/>
  <c r="S2108" i="8"/>
  <c r="T2108" i="8"/>
  <c r="E2109" i="8"/>
  <c r="F2109" i="8"/>
  <c r="G2109" i="8"/>
  <c r="H2109" i="8"/>
  <c r="I2109" i="8"/>
  <c r="J2109" i="8"/>
  <c r="K2109" i="8"/>
  <c r="L2109" i="8"/>
  <c r="M2109" i="8"/>
  <c r="N2109" i="8"/>
  <c r="O2109" i="8"/>
  <c r="P2109" i="8"/>
  <c r="Q2109" i="8"/>
  <c r="R2109" i="8"/>
  <c r="S2109" i="8"/>
  <c r="T2109" i="8"/>
  <c r="E2110" i="8"/>
  <c r="F2110" i="8"/>
  <c r="G2110" i="8"/>
  <c r="H2110" i="8"/>
  <c r="I2110" i="8"/>
  <c r="J2110" i="8"/>
  <c r="K2110" i="8"/>
  <c r="L2110" i="8"/>
  <c r="M2110" i="8"/>
  <c r="N2110" i="8"/>
  <c r="O2110" i="8"/>
  <c r="P2110" i="8"/>
  <c r="Q2110" i="8"/>
  <c r="R2110" i="8"/>
  <c r="S2110" i="8"/>
  <c r="T2110" i="8"/>
  <c r="E2111" i="8"/>
  <c r="F2111" i="8"/>
  <c r="G2111" i="8"/>
  <c r="H2111" i="8"/>
  <c r="I2111" i="8"/>
  <c r="J2111" i="8"/>
  <c r="K2111" i="8"/>
  <c r="L2111" i="8"/>
  <c r="M2111" i="8"/>
  <c r="N2111" i="8"/>
  <c r="O2111" i="8"/>
  <c r="P2111" i="8"/>
  <c r="Q2111" i="8"/>
  <c r="R2111" i="8"/>
  <c r="S2111" i="8"/>
  <c r="T2111" i="8"/>
  <c r="E2112" i="8"/>
  <c r="F2112" i="8"/>
  <c r="G2112" i="8"/>
  <c r="H2112" i="8"/>
  <c r="I2112" i="8"/>
  <c r="J2112" i="8"/>
  <c r="K2112" i="8"/>
  <c r="L2112" i="8"/>
  <c r="M2112" i="8"/>
  <c r="N2112" i="8"/>
  <c r="O2112" i="8"/>
  <c r="P2112" i="8"/>
  <c r="Q2112" i="8"/>
  <c r="R2112" i="8"/>
  <c r="S2112" i="8"/>
  <c r="T2112" i="8"/>
  <c r="E2113" i="8"/>
  <c r="F2113" i="8"/>
  <c r="G2113" i="8"/>
  <c r="H2113" i="8"/>
  <c r="I2113" i="8"/>
  <c r="J2113" i="8"/>
  <c r="K2113" i="8"/>
  <c r="L2113" i="8"/>
  <c r="M2113" i="8"/>
  <c r="N2113" i="8"/>
  <c r="O2113" i="8"/>
  <c r="P2113" i="8"/>
  <c r="Q2113" i="8"/>
  <c r="R2113" i="8"/>
  <c r="S2113" i="8"/>
  <c r="T2113" i="8"/>
  <c r="E2114" i="8"/>
  <c r="F2114" i="8"/>
  <c r="G2114" i="8"/>
  <c r="H2114" i="8"/>
  <c r="I2114" i="8"/>
  <c r="J2114" i="8"/>
  <c r="K2114" i="8"/>
  <c r="L2114" i="8"/>
  <c r="M2114" i="8"/>
  <c r="N2114" i="8"/>
  <c r="O2114" i="8"/>
  <c r="P2114" i="8"/>
  <c r="Q2114" i="8"/>
  <c r="R2114" i="8"/>
  <c r="S2114" i="8"/>
  <c r="T2114" i="8"/>
  <c r="E2115" i="8"/>
  <c r="F2115" i="8"/>
  <c r="G2115" i="8"/>
  <c r="H2115" i="8"/>
  <c r="I2115" i="8"/>
  <c r="J2115" i="8"/>
  <c r="K2115" i="8"/>
  <c r="L2115" i="8"/>
  <c r="M2115" i="8"/>
  <c r="N2115" i="8"/>
  <c r="O2115" i="8"/>
  <c r="P2115" i="8"/>
  <c r="Q2115" i="8"/>
  <c r="R2115" i="8"/>
  <c r="S2115" i="8"/>
  <c r="T2115" i="8"/>
  <c r="E2116" i="8"/>
  <c r="F2116" i="8"/>
  <c r="G2116" i="8"/>
  <c r="H2116" i="8"/>
  <c r="I2116" i="8"/>
  <c r="J2116" i="8"/>
  <c r="K2116" i="8"/>
  <c r="L2116" i="8"/>
  <c r="M2116" i="8"/>
  <c r="N2116" i="8"/>
  <c r="O2116" i="8"/>
  <c r="P2116" i="8"/>
  <c r="Q2116" i="8"/>
  <c r="R2116" i="8"/>
  <c r="S2116" i="8"/>
  <c r="T2116" i="8"/>
  <c r="E2117" i="8"/>
  <c r="F2117" i="8"/>
  <c r="G2117" i="8"/>
  <c r="H2117" i="8"/>
  <c r="I2117" i="8"/>
  <c r="J2117" i="8"/>
  <c r="K2117" i="8"/>
  <c r="L2117" i="8"/>
  <c r="M2117" i="8"/>
  <c r="N2117" i="8"/>
  <c r="O2117" i="8"/>
  <c r="P2117" i="8"/>
  <c r="Q2117" i="8"/>
  <c r="R2117" i="8"/>
  <c r="S2117" i="8"/>
  <c r="T2117" i="8"/>
  <c r="E2118" i="8"/>
  <c r="F2118" i="8"/>
  <c r="G2118" i="8"/>
  <c r="H2118" i="8"/>
  <c r="I2118" i="8"/>
  <c r="J2118" i="8"/>
  <c r="K2118" i="8"/>
  <c r="L2118" i="8"/>
  <c r="M2118" i="8"/>
  <c r="N2118" i="8"/>
  <c r="O2118" i="8"/>
  <c r="P2118" i="8"/>
  <c r="Q2118" i="8"/>
  <c r="R2118" i="8"/>
  <c r="S2118" i="8"/>
  <c r="T2118" i="8"/>
  <c r="E197" i="7"/>
  <c r="F197" i="7"/>
  <c r="G197" i="7"/>
  <c r="H197" i="7"/>
  <c r="I197" i="7"/>
  <c r="J197" i="7"/>
  <c r="K197" i="7"/>
  <c r="L197" i="7"/>
  <c r="M197" i="7"/>
  <c r="N197" i="7"/>
  <c r="P197" i="7"/>
  <c r="Q197" i="7"/>
  <c r="R197" i="7"/>
  <c r="S197" i="7"/>
  <c r="U197" i="7"/>
  <c r="V197" i="7"/>
  <c r="W197" i="7"/>
  <c r="X197" i="7"/>
  <c r="Y197" i="7"/>
  <c r="Z197" i="7"/>
  <c r="AA197" i="7"/>
  <c r="AC197" i="7"/>
  <c r="AE197" i="7"/>
  <c r="AI197" i="7"/>
  <c r="AO197" i="7"/>
  <c r="AP197" i="7"/>
  <c r="E2097" i="8"/>
  <c r="F2097" i="8"/>
  <c r="G2097" i="8"/>
  <c r="H2097" i="8"/>
  <c r="I2097" i="8"/>
  <c r="J2097" i="8"/>
  <c r="K2097" i="8"/>
  <c r="L2097" i="8"/>
  <c r="M2097" i="8"/>
  <c r="N2097" i="8"/>
  <c r="O2097" i="8"/>
  <c r="P2097" i="8"/>
  <c r="Q2097" i="8"/>
  <c r="R2097" i="8"/>
  <c r="S2097" i="8"/>
  <c r="T2097" i="8"/>
  <c r="E2098" i="8"/>
  <c r="F2098" i="8"/>
  <c r="G2098" i="8"/>
  <c r="H2098" i="8"/>
  <c r="I2098" i="8"/>
  <c r="J2098" i="8"/>
  <c r="K2098" i="8"/>
  <c r="L2098" i="8"/>
  <c r="M2098" i="8"/>
  <c r="N2098" i="8"/>
  <c r="O2098" i="8"/>
  <c r="P2098" i="8"/>
  <c r="Q2098" i="8"/>
  <c r="R2098" i="8"/>
  <c r="S2098" i="8"/>
  <c r="T2098" i="8"/>
  <c r="E2099" i="8"/>
  <c r="F2099" i="8"/>
  <c r="G2099" i="8"/>
  <c r="H2099" i="8"/>
  <c r="I2099" i="8"/>
  <c r="J2099" i="8"/>
  <c r="K2099" i="8"/>
  <c r="L2099" i="8"/>
  <c r="M2099" i="8"/>
  <c r="N2099" i="8"/>
  <c r="O2099" i="8"/>
  <c r="P2099" i="8"/>
  <c r="Q2099" i="8"/>
  <c r="R2099" i="8"/>
  <c r="S2099" i="8"/>
  <c r="T2099" i="8"/>
  <c r="E2100" i="8"/>
  <c r="F2100" i="8"/>
  <c r="G2100" i="8"/>
  <c r="H2100" i="8"/>
  <c r="I2100" i="8"/>
  <c r="J2100" i="8"/>
  <c r="K2100" i="8"/>
  <c r="L2100" i="8"/>
  <c r="M2100" i="8"/>
  <c r="N2100" i="8"/>
  <c r="O2100" i="8"/>
  <c r="P2100" i="8"/>
  <c r="Q2100" i="8"/>
  <c r="R2100" i="8"/>
  <c r="S2100" i="8"/>
  <c r="T2100" i="8"/>
  <c r="E2101" i="8"/>
  <c r="F2101" i="8"/>
  <c r="G2101" i="8"/>
  <c r="H2101" i="8"/>
  <c r="I2101" i="8"/>
  <c r="J2101" i="8"/>
  <c r="K2101" i="8"/>
  <c r="L2101" i="8"/>
  <c r="M2101" i="8"/>
  <c r="N2101" i="8"/>
  <c r="O2101" i="8"/>
  <c r="P2101" i="8"/>
  <c r="Q2101" i="8"/>
  <c r="R2101" i="8"/>
  <c r="S2101" i="8"/>
  <c r="T2101" i="8"/>
  <c r="E2102" i="8"/>
  <c r="F2102" i="8"/>
  <c r="G2102" i="8"/>
  <c r="H2102" i="8"/>
  <c r="I2102" i="8"/>
  <c r="J2102" i="8"/>
  <c r="K2102" i="8"/>
  <c r="L2102" i="8"/>
  <c r="M2102" i="8"/>
  <c r="N2102" i="8"/>
  <c r="O2102" i="8"/>
  <c r="P2102" i="8"/>
  <c r="Q2102" i="8"/>
  <c r="R2102" i="8"/>
  <c r="S2102" i="8"/>
  <c r="T2102" i="8"/>
  <c r="E2103" i="8"/>
  <c r="F2103" i="8"/>
  <c r="G2103" i="8"/>
  <c r="H2103" i="8"/>
  <c r="I2103" i="8"/>
  <c r="J2103" i="8"/>
  <c r="K2103" i="8"/>
  <c r="L2103" i="8"/>
  <c r="M2103" i="8"/>
  <c r="N2103" i="8"/>
  <c r="O2103" i="8"/>
  <c r="P2103" i="8"/>
  <c r="Q2103" i="8"/>
  <c r="R2103" i="8"/>
  <c r="S2103" i="8"/>
  <c r="T2103" i="8"/>
  <c r="E2104" i="8"/>
  <c r="F2104" i="8"/>
  <c r="G2104" i="8"/>
  <c r="H2104" i="8"/>
  <c r="I2104" i="8"/>
  <c r="J2104" i="8"/>
  <c r="K2104" i="8"/>
  <c r="L2104" i="8"/>
  <c r="M2104" i="8"/>
  <c r="N2104" i="8"/>
  <c r="O2104" i="8"/>
  <c r="P2104" i="8"/>
  <c r="Q2104" i="8"/>
  <c r="R2104" i="8"/>
  <c r="S2104" i="8"/>
  <c r="T2104" i="8"/>
  <c r="E2105" i="8"/>
  <c r="F2105" i="8"/>
  <c r="G2105" i="8"/>
  <c r="H2105" i="8"/>
  <c r="I2105" i="8"/>
  <c r="J2105" i="8"/>
  <c r="K2105" i="8"/>
  <c r="L2105" i="8"/>
  <c r="M2105" i="8"/>
  <c r="N2105" i="8"/>
  <c r="O2105" i="8"/>
  <c r="P2105" i="8"/>
  <c r="Q2105" i="8"/>
  <c r="R2105" i="8"/>
  <c r="S2105" i="8"/>
  <c r="T2105" i="8"/>
  <c r="E2106" i="8"/>
  <c r="F2106" i="8"/>
  <c r="G2106" i="8"/>
  <c r="H2106" i="8"/>
  <c r="I2106" i="8"/>
  <c r="J2106" i="8"/>
  <c r="K2106" i="8"/>
  <c r="L2106" i="8"/>
  <c r="M2106" i="8"/>
  <c r="N2106" i="8"/>
  <c r="O2106" i="8"/>
  <c r="P2106" i="8"/>
  <c r="Q2106" i="8"/>
  <c r="R2106" i="8"/>
  <c r="S2106" i="8"/>
  <c r="T2106" i="8"/>
  <c r="E2107" i="8"/>
  <c r="F2107" i="8"/>
  <c r="G2107" i="8"/>
  <c r="H2107" i="8"/>
  <c r="I2107" i="8"/>
  <c r="J2107" i="8"/>
  <c r="K2107" i="8"/>
  <c r="L2107" i="8"/>
  <c r="M2107" i="8"/>
  <c r="N2107" i="8"/>
  <c r="O2107" i="8"/>
  <c r="P2107" i="8"/>
  <c r="Q2107" i="8"/>
  <c r="R2107" i="8"/>
  <c r="S2107" i="8"/>
  <c r="T2107" i="8"/>
  <c r="E196" i="7"/>
  <c r="F196" i="7"/>
  <c r="G196" i="7"/>
  <c r="H196" i="7"/>
  <c r="I196" i="7"/>
  <c r="J196" i="7"/>
  <c r="K196" i="7"/>
  <c r="L196" i="7"/>
  <c r="M196" i="7"/>
  <c r="N196" i="7"/>
  <c r="P196" i="7"/>
  <c r="Q196" i="7"/>
  <c r="R196" i="7"/>
  <c r="S196" i="7"/>
  <c r="U196" i="7"/>
  <c r="V196" i="7"/>
  <c r="W196" i="7"/>
  <c r="X196" i="7"/>
  <c r="Y196" i="7"/>
  <c r="Z196" i="7"/>
  <c r="AA196" i="7"/>
  <c r="AC196" i="7"/>
  <c r="AE196" i="7"/>
  <c r="AI196" i="7"/>
  <c r="AO196" i="7"/>
  <c r="AP196" i="7"/>
  <c r="E2086" i="8"/>
  <c r="F2086" i="8"/>
  <c r="G2086" i="8"/>
  <c r="H2086" i="8"/>
  <c r="I2086" i="8"/>
  <c r="J2086" i="8"/>
  <c r="K2086" i="8"/>
  <c r="L2086" i="8"/>
  <c r="M2086" i="8"/>
  <c r="N2086" i="8"/>
  <c r="O2086" i="8"/>
  <c r="P2086" i="8"/>
  <c r="Q2086" i="8"/>
  <c r="R2086" i="8"/>
  <c r="S2086" i="8"/>
  <c r="T2086" i="8"/>
  <c r="E2087" i="8"/>
  <c r="F2087" i="8"/>
  <c r="G2087" i="8"/>
  <c r="H2087" i="8"/>
  <c r="I2087" i="8"/>
  <c r="J2087" i="8"/>
  <c r="K2087" i="8"/>
  <c r="L2087" i="8"/>
  <c r="M2087" i="8"/>
  <c r="N2087" i="8"/>
  <c r="O2087" i="8"/>
  <c r="P2087" i="8"/>
  <c r="Q2087" i="8"/>
  <c r="R2087" i="8"/>
  <c r="S2087" i="8"/>
  <c r="T2087" i="8"/>
  <c r="E2088" i="8"/>
  <c r="F2088" i="8"/>
  <c r="G2088" i="8"/>
  <c r="H2088" i="8"/>
  <c r="I2088" i="8"/>
  <c r="J2088" i="8"/>
  <c r="K2088" i="8"/>
  <c r="L2088" i="8"/>
  <c r="M2088" i="8"/>
  <c r="N2088" i="8"/>
  <c r="O2088" i="8"/>
  <c r="P2088" i="8"/>
  <c r="Q2088" i="8"/>
  <c r="R2088" i="8"/>
  <c r="S2088" i="8"/>
  <c r="T2088" i="8"/>
  <c r="E2089" i="8"/>
  <c r="F2089" i="8"/>
  <c r="G2089" i="8"/>
  <c r="H2089" i="8"/>
  <c r="I2089" i="8"/>
  <c r="J2089" i="8"/>
  <c r="K2089" i="8"/>
  <c r="L2089" i="8"/>
  <c r="M2089" i="8"/>
  <c r="N2089" i="8"/>
  <c r="O2089" i="8"/>
  <c r="P2089" i="8"/>
  <c r="Q2089" i="8"/>
  <c r="R2089" i="8"/>
  <c r="S2089" i="8"/>
  <c r="T2089" i="8"/>
  <c r="E2090" i="8"/>
  <c r="F2090" i="8"/>
  <c r="G2090" i="8"/>
  <c r="H2090" i="8"/>
  <c r="I2090" i="8"/>
  <c r="J2090" i="8"/>
  <c r="K2090" i="8"/>
  <c r="L2090" i="8"/>
  <c r="M2090" i="8"/>
  <c r="N2090" i="8"/>
  <c r="O2090" i="8"/>
  <c r="P2090" i="8"/>
  <c r="Q2090" i="8"/>
  <c r="R2090" i="8"/>
  <c r="S2090" i="8"/>
  <c r="T2090" i="8"/>
  <c r="E2091" i="8"/>
  <c r="F2091" i="8"/>
  <c r="G2091" i="8"/>
  <c r="H2091" i="8"/>
  <c r="I2091" i="8"/>
  <c r="J2091" i="8"/>
  <c r="K2091" i="8"/>
  <c r="L2091" i="8"/>
  <c r="M2091" i="8"/>
  <c r="N2091" i="8"/>
  <c r="O2091" i="8"/>
  <c r="P2091" i="8"/>
  <c r="Q2091" i="8"/>
  <c r="R2091" i="8"/>
  <c r="S2091" i="8"/>
  <c r="T2091" i="8"/>
  <c r="E2092" i="8"/>
  <c r="F2092" i="8"/>
  <c r="G2092" i="8"/>
  <c r="H2092" i="8"/>
  <c r="I2092" i="8"/>
  <c r="J2092" i="8"/>
  <c r="K2092" i="8"/>
  <c r="L2092" i="8"/>
  <c r="M2092" i="8"/>
  <c r="N2092" i="8"/>
  <c r="O2092" i="8"/>
  <c r="P2092" i="8"/>
  <c r="Q2092" i="8"/>
  <c r="R2092" i="8"/>
  <c r="S2092" i="8"/>
  <c r="T2092" i="8"/>
  <c r="E2093" i="8"/>
  <c r="F2093" i="8"/>
  <c r="G2093" i="8"/>
  <c r="H2093" i="8"/>
  <c r="I2093" i="8"/>
  <c r="J2093" i="8"/>
  <c r="K2093" i="8"/>
  <c r="L2093" i="8"/>
  <c r="M2093" i="8"/>
  <c r="N2093" i="8"/>
  <c r="O2093" i="8"/>
  <c r="P2093" i="8"/>
  <c r="Q2093" i="8"/>
  <c r="R2093" i="8"/>
  <c r="S2093" i="8"/>
  <c r="T2093" i="8"/>
  <c r="E2094" i="8"/>
  <c r="F2094" i="8"/>
  <c r="G2094" i="8"/>
  <c r="H2094" i="8"/>
  <c r="I2094" i="8"/>
  <c r="J2094" i="8"/>
  <c r="K2094" i="8"/>
  <c r="L2094" i="8"/>
  <c r="M2094" i="8"/>
  <c r="N2094" i="8"/>
  <c r="O2094" i="8"/>
  <c r="P2094" i="8"/>
  <c r="Q2094" i="8"/>
  <c r="R2094" i="8"/>
  <c r="S2094" i="8"/>
  <c r="T2094" i="8"/>
  <c r="E2095" i="8"/>
  <c r="F2095" i="8"/>
  <c r="G2095" i="8"/>
  <c r="H2095" i="8"/>
  <c r="I2095" i="8"/>
  <c r="J2095" i="8"/>
  <c r="K2095" i="8"/>
  <c r="L2095" i="8"/>
  <c r="M2095" i="8"/>
  <c r="N2095" i="8"/>
  <c r="O2095" i="8"/>
  <c r="P2095" i="8"/>
  <c r="Q2095" i="8"/>
  <c r="R2095" i="8"/>
  <c r="S2095" i="8"/>
  <c r="T2095" i="8"/>
  <c r="E2096" i="8"/>
  <c r="F2096" i="8"/>
  <c r="G2096" i="8"/>
  <c r="H2096" i="8"/>
  <c r="I2096" i="8"/>
  <c r="J2096" i="8"/>
  <c r="K2096" i="8"/>
  <c r="L2096" i="8"/>
  <c r="M2096" i="8"/>
  <c r="N2096" i="8"/>
  <c r="O2096" i="8"/>
  <c r="P2096" i="8"/>
  <c r="Q2096" i="8"/>
  <c r="R2096" i="8"/>
  <c r="S2096" i="8"/>
  <c r="T2096" i="8"/>
  <c r="E195" i="7"/>
  <c r="F195" i="7"/>
  <c r="G195" i="7"/>
  <c r="H195" i="7"/>
  <c r="I195" i="7"/>
  <c r="J195" i="7"/>
  <c r="K195" i="7"/>
  <c r="L195" i="7"/>
  <c r="M195" i="7"/>
  <c r="N195" i="7"/>
  <c r="P195" i="7"/>
  <c r="Q195" i="7"/>
  <c r="R195" i="7"/>
  <c r="S195" i="7"/>
  <c r="U195" i="7"/>
  <c r="V195" i="7"/>
  <c r="W195" i="7"/>
  <c r="X195" i="7"/>
  <c r="Y195" i="7"/>
  <c r="Z195" i="7"/>
  <c r="AA195" i="7"/>
  <c r="AC195" i="7"/>
  <c r="AE195" i="7"/>
  <c r="AI195" i="7"/>
  <c r="AO195" i="7"/>
  <c r="AP195" i="7"/>
  <c r="E2075" i="8"/>
  <c r="F2075" i="8"/>
  <c r="G2075" i="8"/>
  <c r="H2075" i="8"/>
  <c r="I2075" i="8"/>
  <c r="J2075" i="8"/>
  <c r="K2075" i="8"/>
  <c r="L2075" i="8"/>
  <c r="M2075" i="8"/>
  <c r="N2075" i="8"/>
  <c r="O2075" i="8"/>
  <c r="P2075" i="8"/>
  <c r="Q2075" i="8"/>
  <c r="R2075" i="8"/>
  <c r="S2075" i="8"/>
  <c r="T2075" i="8"/>
  <c r="E2076" i="8"/>
  <c r="F2076" i="8"/>
  <c r="G2076" i="8"/>
  <c r="H2076" i="8"/>
  <c r="I2076" i="8"/>
  <c r="J2076" i="8"/>
  <c r="K2076" i="8"/>
  <c r="L2076" i="8"/>
  <c r="M2076" i="8"/>
  <c r="N2076" i="8"/>
  <c r="O2076" i="8"/>
  <c r="P2076" i="8"/>
  <c r="Q2076" i="8"/>
  <c r="R2076" i="8"/>
  <c r="S2076" i="8"/>
  <c r="T2076" i="8"/>
  <c r="E2077" i="8"/>
  <c r="F2077" i="8"/>
  <c r="G2077" i="8"/>
  <c r="H2077" i="8"/>
  <c r="I2077" i="8"/>
  <c r="J2077" i="8"/>
  <c r="K2077" i="8"/>
  <c r="L2077" i="8"/>
  <c r="M2077" i="8"/>
  <c r="N2077" i="8"/>
  <c r="O2077" i="8"/>
  <c r="P2077" i="8"/>
  <c r="Q2077" i="8"/>
  <c r="R2077" i="8"/>
  <c r="S2077" i="8"/>
  <c r="T2077" i="8"/>
  <c r="E2078" i="8"/>
  <c r="F2078" i="8"/>
  <c r="G2078" i="8"/>
  <c r="H2078" i="8"/>
  <c r="I2078" i="8"/>
  <c r="J2078" i="8"/>
  <c r="K2078" i="8"/>
  <c r="L2078" i="8"/>
  <c r="M2078" i="8"/>
  <c r="N2078" i="8"/>
  <c r="O2078" i="8"/>
  <c r="P2078" i="8"/>
  <c r="Q2078" i="8"/>
  <c r="R2078" i="8"/>
  <c r="S2078" i="8"/>
  <c r="T2078" i="8"/>
  <c r="E2079" i="8"/>
  <c r="F2079" i="8"/>
  <c r="G2079" i="8"/>
  <c r="H2079" i="8"/>
  <c r="I2079" i="8"/>
  <c r="J2079" i="8"/>
  <c r="K2079" i="8"/>
  <c r="L2079" i="8"/>
  <c r="M2079" i="8"/>
  <c r="N2079" i="8"/>
  <c r="O2079" i="8"/>
  <c r="P2079" i="8"/>
  <c r="Q2079" i="8"/>
  <c r="R2079" i="8"/>
  <c r="S2079" i="8"/>
  <c r="T2079" i="8"/>
  <c r="E2080" i="8"/>
  <c r="F2080" i="8"/>
  <c r="G2080" i="8"/>
  <c r="H2080" i="8"/>
  <c r="I2080" i="8"/>
  <c r="J2080" i="8"/>
  <c r="K2080" i="8"/>
  <c r="L2080" i="8"/>
  <c r="M2080" i="8"/>
  <c r="N2080" i="8"/>
  <c r="O2080" i="8"/>
  <c r="P2080" i="8"/>
  <c r="Q2080" i="8"/>
  <c r="R2080" i="8"/>
  <c r="S2080" i="8"/>
  <c r="T2080" i="8"/>
  <c r="E2081" i="8"/>
  <c r="F2081" i="8"/>
  <c r="G2081" i="8"/>
  <c r="H2081" i="8"/>
  <c r="I2081" i="8"/>
  <c r="J2081" i="8"/>
  <c r="K2081" i="8"/>
  <c r="L2081" i="8"/>
  <c r="M2081" i="8"/>
  <c r="N2081" i="8"/>
  <c r="O2081" i="8"/>
  <c r="P2081" i="8"/>
  <c r="Q2081" i="8"/>
  <c r="R2081" i="8"/>
  <c r="S2081" i="8"/>
  <c r="T2081" i="8"/>
  <c r="E2082" i="8"/>
  <c r="F2082" i="8"/>
  <c r="G2082" i="8"/>
  <c r="H2082" i="8"/>
  <c r="I2082" i="8"/>
  <c r="J2082" i="8"/>
  <c r="K2082" i="8"/>
  <c r="L2082" i="8"/>
  <c r="M2082" i="8"/>
  <c r="N2082" i="8"/>
  <c r="O2082" i="8"/>
  <c r="P2082" i="8"/>
  <c r="Q2082" i="8"/>
  <c r="R2082" i="8"/>
  <c r="S2082" i="8"/>
  <c r="T2082" i="8"/>
  <c r="E2083" i="8"/>
  <c r="F2083" i="8"/>
  <c r="G2083" i="8"/>
  <c r="H2083" i="8"/>
  <c r="I2083" i="8"/>
  <c r="J2083" i="8"/>
  <c r="K2083" i="8"/>
  <c r="L2083" i="8"/>
  <c r="M2083" i="8"/>
  <c r="N2083" i="8"/>
  <c r="O2083" i="8"/>
  <c r="P2083" i="8"/>
  <c r="Q2083" i="8"/>
  <c r="R2083" i="8"/>
  <c r="S2083" i="8"/>
  <c r="T2083" i="8"/>
  <c r="E2084" i="8"/>
  <c r="F2084" i="8"/>
  <c r="G2084" i="8"/>
  <c r="H2084" i="8"/>
  <c r="I2084" i="8"/>
  <c r="J2084" i="8"/>
  <c r="K2084" i="8"/>
  <c r="L2084" i="8"/>
  <c r="M2084" i="8"/>
  <c r="N2084" i="8"/>
  <c r="O2084" i="8"/>
  <c r="P2084" i="8"/>
  <c r="Q2084" i="8"/>
  <c r="R2084" i="8"/>
  <c r="S2084" i="8"/>
  <c r="T2084" i="8"/>
  <c r="E2085" i="8"/>
  <c r="F2085" i="8"/>
  <c r="G2085" i="8"/>
  <c r="H2085" i="8"/>
  <c r="I2085" i="8"/>
  <c r="J2085" i="8"/>
  <c r="K2085" i="8"/>
  <c r="L2085" i="8"/>
  <c r="M2085" i="8"/>
  <c r="N2085" i="8"/>
  <c r="O2085" i="8"/>
  <c r="P2085" i="8"/>
  <c r="Q2085" i="8"/>
  <c r="R2085" i="8"/>
  <c r="S2085" i="8"/>
  <c r="T2085" i="8"/>
  <c r="E174" i="7"/>
  <c r="F174" i="7"/>
  <c r="G174" i="7"/>
  <c r="H174" i="7"/>
  <c r="I174" i="7"/>
  <c r="J174" i="7"/>
  <c r="K174" i="7"/>
  <c r="L174" i="7"/>
  <c r="M174" i="7"/>
  <c r="N174" i="7"/>
  <c r="P174" i="7"/>
  <c r="Q174" i="7"/>
  <c r="R174" i="7"/>
  <c r="S174" i="7"/>
  <c r="U174" i="7"/>
  <c r="V174" i="7"/>
  <c r="W174" i="7"/>
  <c r="X174" i="7"/>
  <c r="Y174" i="7"/>
  <c r="Z174" i="7"/>
  <c r="AA174" i="7"/>
  <c r="AC174" i="7"/>
  <c r="AE174" i="7"/>
  <c r="AI174" i="7"/>
  <c r="AO174" i="7"/>
  <c r="AP174" i="7"/>
  <c r="E1844" i="8"/>
  <c r="F1844" i="8"/>
  <c r="G1844" i="8"/>
  <c r="H1844" i="8"/>
  <c r="I1844" i="8"/>
  <c r="J1844" i="8"/>
  <c r="K1844" i="8"/>
  <c r="L1844" i="8"/>
  <c r="M1844" i="8"/>
  <c r="N1844" i="8"/>
  <c r="O1844" i="8"/>
  <c r="P1844" i="8"/>
  <c r="Q1844" i="8"/>
  <c r="R1844" i="8"/>
  <c r="S1844" i="8"/>
  <c r="T1844" i="8"/>
  <c r="E1845" i="8"/>
  <c r="F1845" i="8"/>
  <c r="G1845" i="8"/>
  <c r="H1845" i="8"/>
  <c r="I1845" i="8"/>
  <c r="J1845" i="8"/>
  <c r="K1845" i="8"/>
  <c r="L1845" i="8"/>
  <c r="M1845" i="8"/>
  <c r="N1845" i="8"/>
  <c r="O1845" i="8"/>
  <c r="P1845" i="8"/>
  <c r="Q1845" i="8"/>
  <c r="R1845" i="8"/>
  <c r="S1845" i="8"/>
  <c r="T1845" i="8"/>
  <c r="E1846" i="8"/>
  <c r="F1846" i="8"/>
  <c r="G1846" i="8"/>
  <c r="H1846" i="8"/>
  <c r="I1846" i="8"/>
  <c r="J1846" i="8"/>
  <c r="K1846" i="8"/>
  <c r="L1846" i="8"/>
  <c r="M1846" i="8"/>
  <c r="N1846" i="8"/>
  <c r="O1846" i="8"/>
  <c r="P1846" i="8"/>
  <c r="Q1846" i="8"/>
  <c r="R1846" i="8"/>
  <c r="S1846" i="8"/>
  <c r="T1846" i="8"/>
  <c r="E1847" i="8"/>
  <c r="F1847" i="8"/>
  <c r="G1847" i="8"/>
  <c r="H1847" i="8"/>
  <c r="I1847" i="8"/>
  <c r="J1847" i="8"/>
  <c r="K1847" i="8"/>
  <c r="L1847" i="8"/>
  <c r="M1847" i="8"/>
  <c r="N1847" i="8"/>
  <c r="O1847" i="8"/>
  <c r="P1847" i="8"/>
  <c r="Q1847" i="8"/>
  <c r="R1847" i="8"/>
  <c r="S1847" i="8"/>
  <c r="T1847" i="8"/>
  <c r="E1848" i="8"/>
  <c r="F1848" i="8"/>
  <c r="G1848" i="8"/>
  <c r="H1848" i="8"/>
  <c r="I1848" i="8"/>
  <c r="J1848" i="8"/>
  <c r="K1848" i="8"/>
  <c r="L1848" i="8"/>
  <c r="M1848" i="8"/>
  <c r="N1848" i="8"/>
  <c r="O1848" i="8"/>
  <c r="P1848" i="8"/>
  <c r="Q1848" i="8"/>
  <c r="R1848" i="8"/>
  <c r="S1848" i="8"/>
  <c r="T1848" i="8"/>
  <c r="E1849" i="8"/>
  <c r="F1849" i="8"/>
  <c r="G1849" i="8"/>
  <c r="H1849" i="8"/>
  <c r="I1849" i="8"/>
  <c r="J1849" i="8"/>
  <c r="K1849" i="8"/>
  <c r="L1849" i="8"/>
  <c r="M1849" i="8"/>
  <c r="N1849" i="8"/>
  <c r="O1849" i="8"/>
  <c r="P1849" i="8"/>
  <c r="Q1849" i="8"/>
  <c r="R1849" i="8"/>
  <c r="S1849" i="8"/>
  <c r="T1849" i="8"/>
  <c r="E1850" i="8"/>
  <c r="F1850" i="8"/>
  <c r="G1850" i="8"/>
  <c r="H1850" i="8"/>
  <c r="I1850" i="8"/>
  <c r="J1850" i="8"/>
  <c r="K1850" i="8"/>
  <c r="L1850" i="8"/>
  <c r="M1850" i="8"/>
  <c r="N1850" i="8"/>
  <c r="O1850" i="8"/>
  <c r="P1850" i="8"/>
  <c r="Q1850" i="8"/>
  <c r="R1850" i="8"/>
  <c r="S1850" i="8"/>
  <c r="T1850" i="8"/>
  <c r="E1851" i="8"/>
  <c r="F1851" i="8"/>
  <c r="G1851" i="8"/>
  <c r="H1851" i="8"/>
  <c r="I1851" i="8"/>
  <c r="J1851" i="8"/>
  <c r="K1851" i="8"/>
  <c r="L1851" i="8"/>
  <c r="M1851" i="8"/>
  <c r="N1851" i="8"/>
  <c r="O1851" i="8"/>
  <c r="P1851" i="8"/>
  <c r="Q1851" i="8"/>
  <c r="R1851" i="8"/>
  <c r="S1851" i="8"/>
  <c r="T1851" i="8"/>
  <c r="E1852" i="8"/>
  <c r="F1852" i="8"/>
  <c r="G1852" i="8"/>
  <c r="H1852" i="8"/>
  <c r="I1852" i="8"/>
  <c r="J1852" i="8"/>
  <c r="K1852" i="8"/>
  <c r="L1852" i="8"/>
  <c r="M1852" i="8"/>
  <c r="N1852" i="8"/>
  <c r="O1852" i="8"/>
  <c r="P1852" i="8"/>
  <c r="Q1852" i="8"/>
  <c r="R1852" i="8"/>
  <c r="S1852" i="8"/>
  <c r="T1852" i="8"/>
  <c r="E1853" i="8"/>
  <c r="F1853" i="8"/>
  <c r="G1853" i="8"/>
  <c r="H1853" i="8"/>
  <c r="I1853" i="8"/>
  <c r="J1853" i="8"/>
  <c r="K1853" i="8"/>
  <c r="L1853" i="8"/>
  <c r="M1853" i="8"/>
  <c r="N1853" i="8"/>
  <c r="O1853" i="8"/>
  <c r="P1853" i="8"/>
  <c r="Q1853" i="8"/>
  <c r="R1853" i="8"/>
  <c r="S1853" i="8"/>
  <c r="T1853" i="8"/>
  <c r="E1854" i="8"/>
  <c r="F1854" i="8"/>
  <c r="G1854" i="8"/>
  <c r="H1854" i="8"/>
  <c r="I1854" i="8"/>
  <c r="J1854" i="8"/>
  <c r="K1854" i="8"/>
  <c r="L1854" i="8"/>
  <c r="M1854" i="8"/>
  <c r="N1854" i="8"/>
  <c r="O1854" i="8"/>
  <c r="P1854" i="8"/>
  <c r="Q1854" i="8"/>
  <c r="R1854" i="8"/>
  <c r="S1854" i="8"/>
  <c r="T1854" i="8"/>
  <c r="E173" i="7"/>
  <c r="F173" i="7"/>
  <c r="G173" i="7"/>
  <c r="H173" i="7"/>
  <c r="I173" i="7"/>
  <c r="J173" i="7"/>
  <c r="K173" i="7"/>
  <c r="L173" i="7"/>
  <c r="M173" i="7"/>
  <c r="N173" i="7"/>
  <c r="P173" i="7"/>
  <c r="Q173" i="7"/>
  <c r="R173" i="7"/>
  <c r="S173" i="7"/>
  <c r="U173" i="7"/>
  <c r="V173" i="7"/>
  <c r="W173" i="7"/>
  <c r="X173" i="7"/>
  <c r="Y173" i="7"/>
  <c r="Z173" i="7"/>
  <c r="AA173" i="7"/>
  <c r="AC173" i="7"/>
  <c r="AE173" i="7"/>
  <c r="AI173" i="7"/>
  <c r="AO173" i="7"/>
  <c r="AP173" i="7"/>
  <c r="E1833" i="8"/>
  <c r="F1833" i="8"/>
  <c r="G1833" i="8"/>
  <c r="H1833" i="8"/>
  <c r="I1833" i="8"/>
  <c r="J1833" i="8"/>
  <c r="K1833" i="8"/>
  <c r="L1833" i="8"/>
  <c r="M1833" i="8"/>
  <c r="N1833" i="8"/>
  <c r="O1833" i="8"/>
  <c r="P1833" i="8"/>
  <c r="Q1833" i="8"/>
  <c r="R1833" i="8"/>
  <c r="S1833" i="8"/>
  <c r="T1833" i="8"/>
  <c r="E1834" i="8"/>
  <c r="F1834" i="8"/>
  <c r="G1834" i="8"/>
  <c r="H1834" i="8"/>
  <c r="I1834" i="8"/>
  <c r="J1834" i="8"/>
  <c r="K1834" i="8"/>
  <c r="L1834" i="8"/>
  <c r="M1834" i="8"/>
  <c r="N1834" i="8"/>
  <c r="O1834" i="8"/>
  <c r="P1834" i="8"/>
  <c r="Q1834" i="8"/>
  <c r="R1834" i="8"/>
  <c r="S1834" i="8"/>
  <c r="T1834" i="8"/>
  <c r="E1835" i="8"/>
  <c r="F1835" i="8"/>
  <c r="G1835" i="8"/>
  <c r="H1835" i="8"/>
  <c r="I1835" i="8"/>
  <c r="J1835" i="8"/>
  <c r="K1835" i="8"/>
  <c r="L1835" i="8"/>
  <c r="M1835" i="8"/>
  <c r="N1835" i="8"/>
  <c r="O1835" i="8"/>
  <c r="P1835" i="8"/>
  <c r="Q1835" i="8"/>
  <c r="R1835" i="8"/>
  <c r="S1835" i="8"/>
  <c r="T1835" i="8"/>
  <c r="E1836" i="8"/>
  <c r="F1836" i="8"/>
  <c r="G1836" i="8"/>
  <c r="H1836" i="8"/>
  <c r="I1836" i="8"/>
  <c r="J1836" i="8"/>
  <c r="K1836" i="8"/>
  <c r="L1836" i="8"/>
  <c r="M1836" i="8"/>
  <c r="N1836" i="8"/>
  <c r="O1836" i="8"/>
  <c r="P1836" i="8"/>
  <c r="Q1836" i="8"/>
  <c r="R1836" i="8"/>
  <c r="S1836" i="8"/>
  <c r="T1836" i="8"/>
  <c r="E1837" i="8"/>
  <c r="F1837" i="8"/>
  <c r="G1837" i="8"/>
  <c r="H1837" i="8"/>
  <c r="I1837" i="8"/>
  <c r="J1837" i="8"/>
  <c r="K1837" i="8"/>
  <c r="L1837" i="8"/>
  <c r="M1837" i="8"/>
  <c r="N1837" i="8"/>
  <c r="O1837" i="8"/>
  <c r="P1837" i="8"/>
  <c r="Q1837" i="8"/>
  <c r="R1837" i="8"/>
  <c r="S1837" i="8"/>
  <c r="T1837" i="8"/>
  <c r="E1838" i="8"/>
  <c r="F1838" i="8"/>
  <c r="G1838" i="8"/>
  <c r="H1838" i="8"/>
  <c r="I1838" i="8"/>
  <c r="J1838" i="8"/>
  <c r="K1838" i="8"/>
  <c r="L1838" i="8"/>
  <c r="M1838" i="8"/>
  <c r="N1838" i="8"/>
  <c r="O1838" i="8"/>
  <c r="P1838" i="8"/>
  <c r="Q1838" i="8"/>
  <c r="R1838" i="8"/>
  <c r="S1838" i="8"/>
  <c r="T1838" i="8"/>
  <c r="E1839" i="8"/>
  <c r="F1839" i="8"/>
  <c r="G1839" i="8"/>
  <c r="H1839" i="8"/>
  <c r="I1839" i="8"/>
  <c r="J1839" i="8"/>
  <c r="K1839" i="8"/>
  <c r="L1839" i="8"/>
  <c r="M1839" i="8"/>
  <c r="N1839" i="8"/>
  <c r="O1839" i="8"/>
  <c r="P1839" i="8"/>
  <c r="Q1839" i="8"/>
  <c r="R1839" i="8"/>
  <c r="S1839" i="8"/>
  <c r="T1839" i="8"/>
  <c r="E1840" i="8"/>
  <c r="F1840" i="8"/>
  <c r="G1840" i="8"/>
  <c r="H1840" i="8"/>
  <c r="I1840" i="8"/>
  <c r="J1840" i="8"/>
  <c r="K1840" i="8"/>
  <c r="L1840" i="8"/>
  <c r="M1840" i="8"/>
  <c r="N1840" i="8"/>
  <c r="O1840" i="8"/>
  <c r="P1840" i="8"/>
  <c r="Q1840" i="8"/>
  <c r="R1840" i="8"/>
  <c r="S1840" i="8"/>
  <c r="T1840" i="8"/>
  <c r="E1841" i="8"/>
  <c r="F1841" i="8"/>
  <c r="G1841" i="8"/>
  <c r="H1841" i="8"/>
  <c r="I1841" i="8"/>
  <c r="J1841" i="8"/>
  <c r="K1841" i="8"/>
  <c r="L1841" i="8"/>
  <c r="M1841" i="8"/>
  <c r="N1841" i="8"/>
  <c r="O1841" i="8"/>
  <c r="P1841" i="8"/>
  <c r="Q1841" i="8"/>
  <c r="R1841" i="8"/>
  <c r="S1841" i="8"/>
  <c r="T1841" i="8"/>
  <c r="E1842" i="8"/>
  <c r="F1842" i="8"/>
  <c r="G1842" i="8"/>
  <c r="H1842" i="8"/>
  <c r="I1842" i="8"/>
  <c r="J1842" i="8"/>
  <c r="K1842" i="8"/>
  <c r="L1842" i="8"/>
  <c r="M1842" i="8"/>
  <c r="N1842" i="8"/>
  <c r="O1842" i="8"/>
  <c r="P1842" i="8"/>
  <c r="Q1842" i="8"/>
  <c r="R1842" i="8"/>
  <c r="S1842" i="8"/>
  <c r="T1842" i="8"/>
  <c r="E1843" i="8"/>
  <c r="F1843" i="8"/>
  <c r="G1843" i="8"/>
  <c r="H1843" i="8"/>
  <c r="I1843" i="8"/>
  <c r="J1843" i="8"/>
  <c r="K1843" i="8"/>
  <c r="L1843" i="8"/>
  <c r="M1843" i="8"/>
  <c r="N1843" i="8"/>
  <c r="O1843" i="8"/>
  <c r="P1843" i="8"/>
  <c r="Q1843" i="8"/>
  <c r="R1843" i="8"/>
  <c r="S1843" i="8"/>
  <c r="T1843" i="8"/>
  <c r="E172" i="7"/>
  <c r="F172" i="7"/>
  <c r="G172" i="7"/>
  <c r="H172" i="7"/>
  <c r="I172" i="7"/>
  <c r="J172" i="7"/>
  <c r="K172" i="7"/>
  <c r="L172" i="7"/>
  <c r="M172" i="7"/>
  <c r="N172" i="7"/>
  <c r="P172" i="7"/>
  <c r="Q172" i="7"/>
  <c r="R172" i="7"/>
  <c r="S172" i="7"/>
  <c r="U172" i="7"/>
  <c r="V172" i="7"/>
  <c r="W172" i="7"/>
  <c r="X172" i="7"/>
  <c r="Y172" i="7"/>
  <c r="Z172" i="7"/>
  <c r="AA172" i="7"/>
  <c r="AC172" i="7"/>
  <c r="AE172" i="7"/>
  <c r="AI172" i="7"/>
  <c r="AO172" i="7"/>
  <c r="AP172" i="7"/>
  <c r="E1822" i="8"/>
  <c r="F1822" i="8"/>
  <c r="G1822" i="8"/>
  <c r="H1822" i="8"/>
  <c r="I1822" i="8"/>
  <c r="J1822" i="8"/>
  <c r="K1822" i="8"/>
  <c r="L1822" i="8"/>
  <c r="M1822" i="8"/>
  <c r="N1822" i="8"/>
  <c r="O1822" i="8"/>
  <c r="P1822" i="8"/>
  <c r="Q1822" i="8"/>
  <c r="R1822" i="8"/>
  <c r="S1822" i="8"/>
  <c r="T1822" i="8"/>
  <c r="E1823" i="8"/>
  <c r="F1823" i="8"/>
  <c r="G1823" i="8"/>
  <c r="H1823" i="8"/>
  <c r="I1823" i="8"/>
  <c r="J1823" i="8"/>
  <c r="K1823" i="8"/>
  <c r="L1823" i="8"/>
  <c r="M1823" i="8"/>
  <c r="N1823" i="8"/>
  <c r="O1823" i="8"/>
  <c r="P1823" i="8"/>
  <c r="Q1823" i="8"/>
  <c r="R1823" i="8"/>
  <c r="S1823" i="8"/>
  <c r="T1823" i="8"/>
  <c r="E1824" i="8"/>
  <c r="F1824" i="8"/>
  <c r="G1824" i="8"/>
  <c r="H1824" i="8"/>
  <c r="I1824" i="8"/>
  <c r="J1824" i="8"/>
  <c r="K1824" i="8"/>
  <c r="L1824" i="8"/>
  <c r="M1824" i="8"/>
  <c r="N1824" i="8"/>
  <c r="O1824" i="8"/>
  <c r="P1824" i="8"/>
  <c r="Q1824" i="8"/>
  <c r="R1824" i="8"/>
  <c r="S1824" i="8"/>
  <c r="T1824" i="8"/>
  <c r="E1825" i="8"/>
  <c r="F1825" i="8"/>
  <c r="G1825" i="8"/>
  <c r="H1825" i="8"/>
  <c r="I1825" i="8"/>
  <c r="J1825" i="8"/>
  <c r="K1825" i="8"/>
  <c r="L1825" i="8"/>
  <c r="M1825" i="8"/>
  <c r="N1825" i="8"/>
  <c r="O1825" i="8"/>
  <c r="P1825" i="8"/>
  <c r="Q1825" i="8"/>
  <c r="R1825" i="8"/>
  <c r="S1825" i="8"/>
  <c r="T1825" i="8"/>
  <c r="E1826" i="8"/>
  <c r="F1826" i="8"/>
  <c r="G1826" i="8"/>
  <c r="H1826" i="8"/>
  <c r="I1826" i="8"/>
  <c r="J1826" i="8"/>
  <c r="K1826" i="8"/>
  <c r="L1826" i="8"/>
  <c r="M1826" i="8"/>
  <c r="N1826" i="8"/>
  <c r="O1826" i="8"/>
  <c r="P1826" i="8"/>
  <c r="Q1826" i="8"/>
  <c r="R1826" i="8"/>
  <c r="S1826" i="8"/>
  <c r="T1826" i="8"/>
  <c r="E1827" i="8"/>
  <c r="F1827" i="8"/>
  <c r="G1827" i="8"/>
  <c r="H1827" i="8"/>
  <c r="I1827" i="8"/>
  <c r="J1827" i="8"/>
  <c r="K1827" i="8"/>
  <c r="L1827" i="8"/>
  <c r="M1827" i="8"/>
  <c r="N1827" i="8"/>
  <c r="O1827" i="8"/>
  <c r="P1827" i="8"/>
  <c r="Q1827" i="8"/>
  <c r="R1827" i="8"/>
  <c r="S1827" i="8"/>
  <c r="T1827" i="8"/>
  <c r="E1828" i="8"/>
  <c r="F1828" i="8"/>
  <c r="G1828" i="8"/>
  <c r="H1828" i="8"/>
  <c r="I1828" i="8"/>
  <c r="J1828" i="8"/>
  <c r="K1828" i="8"/>
  <c r="L1828" i="8"/>
  <c r="M1828" i="8"/>
  <c r="N1828" i="8"/>
  <c r="O1828" i="8"/>
  <c r="P1828" i="8"/>
  <c r="Q1828" i="8"/>
  <c r="R1828" i="8"/>
  <c r="S1828" i="8"/>
  <c r="T1828" i="8"/>
  <c r="E1829" i="8"/>
  <c r="F1829" i="8"/>
  <c r="G1829" i="8"/>
  <c r="H1829" i="8"/>
  <c r="I1829" i="8"/>
  <c r="J1829" i="8"/>
  <c r="K1829" i="8"/>
  <c r="L1829" i="8"/>
  <c r="M1829" i="8"/>
  <c r="N1829" i="8"/>
  <c r="O1829" i="8"/>
  <c r="P1829" i="8"/>
  <c r="Q1829" i="8"/>
  <c r="R1829" i="8"/>
  <c r="S1829" i="8"/>
  <c r="T1829" i="8"/>
  <c r="E1830" i="8"/>
  <c r="F1830" i="8"/>
  <c r="G1830" i="8"/>
  <c r="H1830" i="8"/>
  <c r="I1830" i="8"/>
  <c r="J1830" i="8"/>
  <c r="K1830" i="8"/>
  <c r="L1830" i="8"/>
  <c r="M1830" i="8"/>
  <c r="N1830" i="8"/>
  <c r="O1830" i="8"/>
  <c r="P1830" i="8"/>
  <c r="Q1830" i="8"/>
  <c r="R1830" i="8"/>
  <c r="S1830" i="8"/>
  <c r="T1830" i="8"/>
  <c r="E1831" i="8"/>
  <c r="F1831" i="8"/>
  <c r="G1831" i="8"/>
  <c r="H1831" i="8"/>
  <c r="I1831" i="8"/>
  <c r="J1831" i="8"/>
  <c r="K1831" i="8"/>
  <c r="L1831" i="8"/>
  <c r="M1831" i="8"/>
  <c r="N1831" i="8"/>
  <c r="O1831" i="8"/>
  <c r="P1831" i="8"/>
  <c r="Q1831" i="8"/>
  <c r="R1831" i="8"/>
  <c r="S1831" i="8"/>
  <c r="T1831" i="8"/>
  <c r="E1832" i="8"/>
  <c r="F1832" i="8"/>
  <c r="G1832" i="8"/>
  <c r="H1832" i="8"/>
  <c r="I1832" i="8"/>
  <c r="J1832" i="8"/>
  <c r="K1832" i="8"/>
  <c r="L1832" i="8"/>
  <c r="M1832" i="8"/>
  <c r="N1832" i="8"/>
  <c r="O1832" i="8"/>
  <c r="P1832" i="8"/>
  <c r="Q1832" i="8"/>
  <c r="R1832" i="8"/>
  <c r="S1832" i="8"/>
  <c r="T1832" i="8"/>
  <c r="E171" i="7"/>
  <c r="F171" i="7"/>
  <c r="G171" i="7"/>
  <c r="H171" i="7"/>
  <c r="I171" i="7"/>
  <c r="J171" i="7"/>
  <c r="K171" i="7"/>
  <c r="L171" i="7"/>
  <c r="M171" i="7"/>
  <c r="N171" i="7"/>
  <c r="P171" i="7"/>
  <c r="Q171" i="7"/>
  <c r="R171" i="7"/>
  <c r="S171" i="7"/>
  <c r="U171" i="7"/>
  <c r="V171" i="7"/>
  <c r="W171" i="7"/>
  <c r="X171" i="7"/>
  <c r="Y171" i="7"/>
  <c r="Z171" i="7"/>
  <c r="AA171" i="7"/>
  <c r="AC171" i="7"/>
  <c r="AE171" i="7"/>
  <c r="AI171" i="7"/>
  <c r="AO171" i="7"/>
  <c r="AP171" i="7"/>
  <c r="E1811" i="8"/>
  <c r="F1811" i="8"/>
  <c r="G1811" i="8"/>
  <c r="H1811" i="8"/>
  <c r="I1811" i="8"/>
  <c r="J1811" i="8"/>
  <c r="K1811" i="8"/>
  <c r="L1811" i="8"/>
  <c r="M1811" i="8"/>
  <c r="N1811" i="8"/>
  <c r="O1811" i="8"/>
  <c r="P1811" i="8"/>
  <c r="Q1811" i="8"/>
  <c r="R1811" i="8"/>
  <c r="S1811" i="8"/>
  <c r="T1811" i="8"/>
  <c r="E1812" i="8"/>
  <c r="F1812" i="8"/>
  <c r="G1812" i="8"/>
  <c r="H1812" i="8"/>
  <c r="I1812" i="8"/>
  <c r="J1812" i="8"/>
  <c r="K1812" i="8"/>
  <c r="L1812" i="8"/>
  <c r="M1812" i="8"/>
  <c r="N1812" i="8"/>
  <c r="O1812" i="8"/>
  <c r="P1812" i="8"/>
  <c r="Q1812" i="8"/>
  <c r="R1812" i="8"/>
  <c r="S1812" i="8"/>
  <c r="T1812" i="8"/>
  <c r="E1813" i="8"/>
  <c r="F1813" i="8"/>
  <c r="G1813" i="8"/>
  <c r="H1813" i="8"/>
  <c r="I1813" i="8"/>
  <c r="J1813" i="8"/>
  <c r="K1813" i="8"/>
  <c r="L1813" i="8"/>
  <c r="M1813" i="8"/>
  <c r="N1813" i="8"/>
  <c r="O1813" i="8"/>
  <c r="P1813" i="8"/>
  <c r="Q1813" i="8"/>
  <c r="R1813" i="8"/>
  <c r="S1813" i="8"/>
  <c r="T1813" i="8"/>
  <c r="E1814" i="8"/>
  <c r="F1814" i="8"/>
  <c r="G1814" i="8"/>
  <c r="H1814" i="8"/>
  <c r="I1814" i="8"/>
  <c r="J1814" i="8"/>
  <c r="K1814" i="8"/>
  <c r="L1814" i="8"/>
  <c r="M1814" i="8"/>
  <c r="N1814" i="8"/>
  <c r="O1814" i="8"/>
  <c r="P1814" i="8"/>
  <c r="Q1814" i="8"/>
  <c r="R1814" i="8"/>
  <c r="S1814" i="8"/>
  <c r="T1814" i="8"/>
  <c r="E1815" i="8"/>
  <c r="F1815" i="8"/>
  <c r="G1815" i="8"/>
  <c r="H1815" i="8"/>
  <c r="I1815" i="8"/>
  <c r="J1815" i="8"/>
  <c r="K1815" i="8"/>
  <c r="L1815" i="8"/>
  <c r="M1815" i="8"/>
  <c r="N1815" i="8"/>
  <c r="O1815" i="8"/>
  <c r="P1815" i="8"/>
  <c r="Q1815" i="8"/>
  <c r="R1815" i="8"/>
  <c r="S1815" i="8"/>
  <c r="T1815" i="8"/>
  <c r="E1816" i="8"/>
  <c r="F1816" i="8"/>
  <c r="G1816" i="8"/>
  <c r="H1816" i="8"/>
  <c r="I1816" i="8"/>
  <c r="J1816" i="8"/>
  <c r="K1816" i="8"/>
  <c r="L1816" i="8"/>
  <c r="M1816" i="8"/>
  <c r="N1816" i="8"/>
  <c r="O1816" i="8"/>
  <c r="P1816" i="8"/>
  <c r="Q1816" i="8"/>
  <c r="R1816" i="8"/>
  <c r="S1816" i="8"/>
  <c r="T1816" i="8"/>
  <c r="E1817" i="8"/>
  <c r="F1817" i="8"/>
  <c r="G1817" i="8"/>
  <c r="H1817" i="8"/>
  <c r="I1817" i="8"/>
  <c r="J1817" i="8"/>
  <c r="K1817" i="8"/>
  <c r="L1817" i="8"/>
  <c r="M1817" i="8"/>
  <c r="N1817" i="8"/>
  <c r="O1817" i="8"/>
  <c r="P1817" i="8"/>
  <c r="Q1817" i="8"/>
  <c r="R1817" i="8"/>
  <c r="S1817" i="8"/>
  <c r="T1817" i="8"/>
  <c r="E1818" i="8"/>
  <c r="F1818" i="8"/>
  <c r="G1818" i="8"/>
  <c r="H1818" i="8"/>
  <c r="I1818" i="8"/>
  <c r="J1818" i="8"/>
  <c r="K1818" i="8"/>
  <c r="L1818" i="8"/>
  <c r="M1818" i="8"/>
  <c r="N1818" i="8"/>
  <c r="O1818" i="8"/>
  <c r="P1818" i="8"/>
  <c r="Q1818" i="8"/>
  <c r="R1818" i="8"/>
  <c r="S1818" i="8"/>
  <c r="T1818" i="8"/>
  <c r="E1819" i="8"/>
  <c r="F1819" i="8"/>
  <c r="G1819" i="8"/>
  <c r="H1819" i="8"/>
  <c r="I1819" i="8"/>
  <c r="J1819" i="8"/>
  <c r="K1819" i="8"/>
  <c r="L1819" i="8"/>
  <c r="M1819" i="8"/>
  <c r="N1819" i="8"/>
  <c r="O1819" i="8"/>
  <c r="P1819" i="8"/>
  <c r="Q1819" i="8"/>
  <c r="R1819" i="8"/>
  <c r="S1819" i="8"/>
  <c r="T1819" i="8"/>
  <c r="E1820" i="8"/>
  <c r="F1820" i="8"/>
  <c r="G1820" i="8"/>
  <c r="H1820" i="8"/>
  <c r="I1820" i="8"/>
  <c r="J1820" i="8"/>
  <c r="K1820" i="8"/>
  <c r="L1820" i="8"/>
  <c r="M1820" i="8"/>
  <c r="N1820" i="8"/>
  <c r="O1820" i="8"/>
  <c r="P1820" i="8"/>
  <c r="Q1820" i="8"/>
  <c r="R1820" i="8"/>
  <c r="S1820" i="8"/>
  <c r="T1820" i="8"/>
  <c r="E1821" i="8"/>
  <c r="F1821" i="8"/>
  <c r="G1821" i="8"/>
  <c r="H1821" i="8"/>
  <c r="I1821" i="8"/>
  <c r="J1821" i="8"/>
  <c r="K1821" i="8"/>
  <c r="L1821" i="8"/>
  <c r="M1821" i="8"/>
  <c r="N1821" i="8"/>
  <c r="O1821" i="8"/>
  <c r="P1821" i="8"/>
  <c r="Q1821" i="8"/>
  <c r="R1821" i="8"/>
  <c r="S1821" i="8"/>
  <c r="T1821" i="8"/>
  <c r="E170" i="7"/>
  <c r="F170" i="7"/>
  <c r="G170" i="7"/>
  <c r="H170" i="7"/>
  <c r="I170" i="7"/>
  <c r="J170" i="7"/>
  <c r="K170" i="7"/>
  <c r="L170" i="7"/>
  <c r="M170" i="7"/>
  <c r="N170" i="7"/>
  <c r="P170" i="7"/>
  <c r="Q170" i="7"/>
  <c r="R170" i="7"/>
  <c r="S170" i="7"/>
  <c r="U170" i="7"/>
  <c r="V170" i="7"/>
  <c r="W170" i="7"/>
  <c r="X170" i="7"/>
  <c r="Y170" i="7"/>
  <c r="Z170" i="7"/>
  <c r="AA170" i="7"/>
  <c r="AC170" i="7"/>
  <c r="AE170" i="7"/>
  <c r="AI170" i="7"/>
  <c r="AO170" i="7"/>
  <c r="AP170" i="7"/>
  <c r="E1800" i="8"/>
  <c r="F1800" i="8"/>
  <c r="G1800" i="8"/>
  <c r="H1800" i="8"/>
  <c r="I1800" i="8"/>
  <c r="J1800" i="8"/>
  <c r="K1800" i="8"/>
  <c r="L1800" i="8"/>
  <c r="M1800" i="8"/>
  <c r="N1800" i="8"/>
  <c r="O1800" i="8"/>
  <c r="P1800" i="8"/>
  <c r="Q1800" i="8"/>
  <c r="R1800" i="8"/>
  <c r="S1800" i="8"/>
  <c r="T1800" i="8"/>
  <c r="E1801" i="8"/>
  <c r="F1801" i="8"/>
  <c r="G1801" i="8"/>
  <c r="H1801" i="8"/>
  <c r="I1801" i="8"/>
  <c r="J1801" i="8"/>
  <c r="K1801" i="8"/>
  <c r="L1801" i="8"/>
  <c r="M1801" i="8"/>
  <c r="N1801" i="8"/>
  <c r="O1801" i="8"/>
  <c r="P1801" i="8"/>
  <c r="Q1801" i="8"/>
  <c r="R1801" i="8"/>
  <c r="S1801" i="8"/>
  <c r="T1801" i="8"/>
  <c r="E1802" i="8"/>
  <c r="F1802" i="8"/>
  <c r="G1802" i="8"/>
  <c r="H1802" i="8"/>
  <c r="I1802" i="8"/>
  <c r="J1802" i="8"/>
  <c r="K1802" i="8"/>
  <c r="L1802" i="8"/>
  <c r="M1802" i="8"/>
  <c r="N1802" i="8"/>
  <c r="O1802" i="8"/>
  <c r="P1802" i="8"/>
  <c r="Q1802" i="8"/>
  <c r="R1802" i="8"/>
  <c r="S1802" i="8"/>
  <c r="T1802" i="8"/>
  <c r="E1803" i="8"/>
  <c r="F1803" i="8"/>
  <c r="G1803" i="8"/>
  <c r="H1803" i="8"/>
  <c r="I1803" i="8"/>
  <c r="J1803" i="8"/>
  <c r="K1803" i="8"/>
  <c r="L1803" i="8"/>
  <c r="M1803" i="8"/>
  <c r="N1803" i="8"/>
  <c r="O1803" i="8"/>
  <c r="P1803" i="8"/>
  <c r="Q1803" i="8"/>
  <c r="R1803" i="8"/>
  <c r="S1803" i="8"/>
  <c r="T1803" i="8"/>
  <c r="E1804" i="8"/>
  <c r="F1804" i="8"/>
  <c r="G1804" i="8"/>
  <c r="H1804" i="8"/>
  <c r="I1804" i="8"/>
  <c r="J1804" i="8"/>
  <c r="K1804" i="8"/>
  <c r="L1804" i="8"/>
  <c r="M1804" i="8"/>
  <c r="N1804" i="8"/>
  <c r="O1804" i="8"/>
  <c r="P1804" i="8"/>
  <c r="Q1804" i="8"/>
  <c r="R1804" i="8"/>
  <c r="S1804" i="8"/>
  <c r="T1804" i="8"/>
  <c r="E1805" i="8"/>
  <c r="F1805" i="8"/>
  <c r="G1805" i="8"/>
  <c r="H1805" i="8"/>
  <c r="I1805" i="8"/>
  <c r="J1805" i="8"/>
  <c r="K1805" i="8"/>
  <c r="L1805" i="8"/>
  <c r="M1805" i="8"/>
  <c r="N1805" i="8"/>
  <c r="O1805" i="8"/>
  <c r="P1805" i="8"/>
  <c r="Q1805" i="8"/>
  <c r="R1805" i="8"/>
  <c r="S1805" i="8"/>
  <c r="T1805" i="8"/>
  <c r="E1806" i="8"/>
  <c r="F1806" i="8"/>
  <c r="G1806" i="8"/>
  <c r="H1806" i="8"/>
  <c r="I1806" i="8"/>
  <c r="J1806" i="8"/>
  <c r="K1806" i="8"/>
  <c r="L1806" i="8"/>
  <c r="M1806" i="8"/>
  <c r="N1806" i="8"/>
  <c r="O1806" i="8"/>
  <c r="P1806" i="8"/>
  <c r="Q1806" i="8"/>
  <c r="R1806" i="8"/>
  <c r="S1806" i="8"/>
  <c r="T1806" i="8"/>
  <c r="E1807" i="8"/>
  <c r="F1807" i="8"/>
  <c r="G1807" i="8"/>
  <c r="H1807" i="8"/>
  <c r="I1807" i="8"/>
  <c r="J1807" i="8"/>
  <c r="K1807" i="8"/>
  <c r="L1807" i="8"/>
  <c r="M1807" i="8"/>
  <c r="N1807" i="8"/>
  <c r="O1807" i="8"/>
  <c r="P1807" i="8"/>
  <c r="Q1807" i="8"/>
  <c r="R1807" i="8"/>
  <c r="S1807" i="8"/>
  <c r="T1807" i="8"/>
  <c r="E1808" i="8"/>
  <c r="F1808" i="8"/>
  <c r="G1808" i="8"/>
  <c r="H1808" i="8"/>
  <c r="I1808" i="8"/>
  <c r="J1808" i="8"/>
  <c r="K1808" i="8"/>
  <c r="L1808" i="8"/>
  <c r="M1808" i="8"/>
  <c r="N1808" i="8"/>
  <c r="O1808" i="8"/>
  <c r="P1808" i="8"/>
  <c r="Q1808" i="8"/>
  <c r="R1808" i="8"/>
  <c r="S1808" i="8"/>
  <c r="T1808" i="8"/>
  <c r="E1809" i="8"/>
  <c r="F1809" i="8"/>
  <c r="G1809" i="8"/>
  <c r="H1809" i="8"/>
  <c r="I1809" i="8"/>
  <c r="J1809" i="8"/>
  <c r="K1809" i="8"/>
  <c r="L1809" i="8"/>
  <c r="M1809" i="8"/>
  <c r="N1809" i="8"/>
  <c r="O1809" i="8"/>
  <c r="P1809" i="8"/>
  <c r="Q1809" i="8"/>
  <c r="R1809" i="8"/>
  <c r="S1809" i="8"/>
  <c r="T1809" i="8"/>
  <c r="E1810" i="8"/>
  <c r="F1810" i="8"/>
  <c r="G1810" i="8"/>
  <c r="H1810" i="8"/>
  <c r="I1810" i="8"/>
  <c r="J1810" i="8"/>
  <c r="K1810" i="8"/>
  <c r="L1810" i="8"/>
  <c r="M1810" i="8"/>
  <c r="N1810" i="8"/>
  <c r="O1810" i="8"/>
  <c r="P1810" i="8"/>
  <c r="Q1810" i="8"/>
  <c r="R1810" i="8"/>
  <c r="S1810" i="8"/>
  <c r="T1810" i="8"/>
  <c r="E169" i="7"/>
  <c r="F169" i="7"/>
  <c r="G169" i="7"/>
  <c r="H169" i="7"/>
  <c r="I169" i="7"/>
  <c r="J169" i="7"/>
  <c r="K169" i="7"/>
  <c r="L169" i="7"/>
  <c r="M169" i="7"/>
  <c r="N169" i="7"/>
  <c r="P169" i="7"/>
  <c r="Q169" i="7"/>
  <c r="R169" i="7"/>
  <c r="S169" i="7"/>
  <c r="U169" i="7"/>
  <c r="V169" i="7"/>
  <c r="W169" i="7"/>
  <c r="X169" i="7"/>
  <c r="Y169" i="7"/>
  <c r="Z169" i="7"/>
  <c r="AA169" i="7"/>
  <c r="AC169" i="7"/>
  <c r="AE169" i="7"/>
  <c r="AI169" i="7"/>
  <c r="AO169" i="7"/>
  <c r="AP169" i="7"/>
  <c r="E1789" i="8"/>
  <c r="G1789" i="8"/>
  <c r="I1789" i="8"/>
  <c r="J1789" i="8"/>
  <c r="L1789" i="8"/>
  <c r="N1789" i="8"/>
  <c r="P1789" i="8"/>
  <c r="R1789" i="8"/>
  <c r="F1790" i="8"/>
  <c r="H1790" i="8"/>
  <c r="J1790" i="8"/>
  <c r="L1790" i="8"/>
  <c r="N1790" i="8"/>
  <c r="P1790" i="8"/>
  <c r="R1790" i="8"/>
  <c r="E1791" i="8"/>
  <c r="G1791" i="8"/>
  <c r="K1791" i="8"/>
  <c r="L1791" i="8"/>
  <c r="O1791" i="8"/>
  <c r="P1791" i="8"/>
  <c r="R1791" i="8"/>
  <c r="S1791" i="8"/>
  <c r="T1791" i="8"/>
  <c r="F1792" i="8"/>
  <c r="H1792" i="8"/>
  <c r="I1792" i="8"/>
  <c r="L1792" i="8"/>
  <c r="M1792" i="8"/>
  <c r="N1792" i="8"/>
  <c r="O1792" i="8"/>
  <c r="P1792" i="8"/>
  <c r="Q1792" i="8"/>
  <c r="S1792" i="8"/>
  <c r="E1793" i="8"/>
  <c r="G1793" i="8"/>
  <c r="I1793" i="8"/>
  <c r="K1793" i="8"/>
  <c r="M1793" i="8"/>
  <c r="O1793" i="8"/>
  <c r="R1793" i="8"/>
  <c r="E1794" i="8"/>
  <c r="G1794" i="8"/>
  <c r="O1794" i="8"/>
  <c r="P1794" i="8"/>
  <c r="Q1794" i="8"/>
  <c r="R1794" i="8"/>
  <c r="S1794" i="8"/>
  <c r="T1794" i="8"/>
  <c r="E1795" i="8"/>
  <c r="F1795" i="8"/>
  <c r="G1795" i="8"/>
  <c r="H1795" i="8"/>
  <c r="I1795" i="8"/>
  <c r="J1795" i="8"/>
  <c r="K1795" i="8"/>
  <c r="L1795" i="8"/>
  <c r="M1795" i="8"/>
  <c r="N1795" i="8"/>
  <c r="O1795" i="8"/>
  <c r="P1795" i="8"/>
  <c r="Q1795" i="8"/>
  <c r="R1795" i="8"/>
  <c r="S1795" i="8"/>
  <c r="T1795" i="8"/>
  <c r="E1796" i="8"/>
  <c r="F1796" i="8"/>
  <c r="G1796" i="8"/>
  <c r="H1796" i="8"/>
  <c r="I1796" i="8"/>
  <c r="J1796" i="8"/>
  <c r="K1796" i="8"/>
  <c r="L1796" i="8"/>
  <c r="M1796" i="8"/>
  <c r="N1796" i="8"/>
  <c r="O1796" i="8"/>
  <c r="P1796" i="8"/>
  <c r="Q1796" i="8"/>
  <c r="R1796" i="8"/>
  <c r="S1796" i="8"/>
  <c r="T1796" i="8"/>
  <c r="E1797" i="8"/>
  <c r="F1797" i="8"/>
  <c r="G1797" i="8"/>
  <c r="H1797" i="8"/>
  <c r="I1797" i="8"/>
  <c r="J1797" i="8"/>
  <c r="K1797" i="8"/>
  <c r="L1797" i="8"/>
  <c r="M1797" i="8"/>
  <c r="N1797" i="8"/>
  <c r="O1797" i="8"/>
  <c r="P1797" i="8"/>
  <c r="Q1797" i="8"/>
  <c r="R1797" i="8"/>
  <c r="S1797" i="8"/>
  <c r="T1797" i="8"/>
  <c r="E1798" i="8"/>
  <c r="F1798" i="8"/>
  <c r="G1798" i="8"/>
  <c r="H1798" i="8"/>
  <c r="I1798" i="8"/>
  <c r="J1798" i="8"/>
  <c r="K1798" i="8"/>
  <c r="L1798" i="8"/>
  <c r="M1798" i="8"/>
  <c r="N1798" i="8"/>
  <c r="O1798" i="8"/>
  <c r="P1798" i="8"/>
  <c r="Q1798" i="8"/>
  <c r="R1798" i="8"/>
  <c r="S1798" i="8"/>
  <c r="T1798" i="8"/>
  <c r="E1799" i="8"/>
  <c r="F1799" i="8"/>
  <c r="G1799" i="8"/>
  <c r="H1799" i="8"/>
  <c r="I1799" i="8"/>
  <c r="J1799" i="8"/>
  <c r="K1799" i="8"/>
  <c r="L1799" i="8"/>
  <c r="M1799" i="8"/>
  <c r="N1799" i="8"/>
  <c r="O1799" i="8"/>
  <c r="P1799" i="8"/>
  <c r="Q1799" i="8"/>
  <c r="R1799" i="8"/>
  <c r="S1799" i="8"/>
  <c r="T1799" i="8"/>
  <c r="F1789" i="8"/>
  <c r="H1789" i="8"/>
  <c r="K1789" i="8"/>
  <c r="M1789" i="8"/>
  <c r="O1789" i="8"/>
  <c r="Q1789" i="8"/>
  <c r="S1789" i="8"/>
  <c r="T1789" i="8"/>
  <c r="E1790" i="8"/>
  <c r="G1790" i="8"/>
  <c r="I1790" i="8"/>
  <c r="K1790" i="8"/>
  <c r="M1790" i="8"/>
  <c r="O1790" i="8"/>
  <c r="Q1790" i="8"/>
  <c r="S1790" i="8"/>
  <c r="T1790" i="8"/>
  <c r="F1791" i="8"/>
  <c r="H1791" i="8"/>
  <c r="I1791" i="8"/>
  <c r="J1791" i="8"/>
  <c r="M1791" i="8"/>
  <c r="N1791" i="8"/>
  <c r="Q1791" i="8"/>
  <c r="E1792" i="8"/>
  <c r="G1792" i="8"/>
  <c r="J1792" i="8"/>
  <c r="M1794" i="8"/>
  <c r="K1792" i="8"/>
  <c r="H1794" i="8"/>
  <c r="I1794" i="8"/>
  <c r="J1794" i="8"/>
  <c r="K1794" i="8"/>
  <c r="L1794" i="8"/>
  <c r="N1794" i="8"/>
  <c r="R1792" i="8"/>
  <c r="T1792" i="8"/>
  <c r="F1793" i="8"/>
  <c r="H1793" i="8"/>
  <c r="J1793" i="8"/>
  <c r="L1793" i="8"/>
  <c r="N1793" i="8"/>
  <c r="P1793" i="8"/>
  <c r="Q1793" i="8"/>
  <c r="S1793" i="8"/>
  <c r="T1793" i="8"/>
  <c r="F1794" i="8"/>
  <c r="F1779" i="8"/>
  <c r="H1779" i="8"/>
  <c r="J1779" i="8"/>
  <c r="L1779" i="8"/>
  <c r="N1779" i="8"/>
  <c r="P1779" i="8"/>
  <c r="R1779" i="8"/>
  <c r="E1780" i="8"/>
  <c r="G1780" i="8"/>
  <c r="I1780" i="8"/>
  <c r="J1780" i="8"/>
  <c r="L1780" i="8"/>
  <c r="N1780" i="8"/>
  <c r="O1780" i="8"/>
  <c r="Q1780" i="8"/>
  <c r="R1780" i="8"/>
  <c r="F1781" i="8"/>
  <c r="G1781" i="8"/>
  <c r="I1781" i="8"/>
  <c r="K1781" i="8"/>
  <c r="N1781" i="8"/>
  <c r="P1781" i="8"/>
  <c r="R1781" i="8"/>
  <c r="T1781" i="8"/>
  <c r="F1782" i="8"/>
  <c r="G1782" i="8"/>
  <c r="J1782" i="8"/>
  <c r="L1782" i="8"/>
  <c r="N1782" i="8"/>
  <c r="P1782" i="8"/>
  <c r="R1782" i="8"/>
  <c r="F1783" i="8"/>
  <c r="H1783" i="8"/>
  <c r="J1783" i="8"/>
  <c r="L1783" i="8"/>
  <c r="N1783" i="8"/>
  <c r="P1783" i="8"/>
  <c r="R1783" i="8"/>
  <c r="G1784" i="8"/>
  <c r="H1784" i="8"/>
  <c r="J1784" i="8"/>
  <c r="F1778" i="8"/>
  <c r="L1784" i="8"/>
  <c r="N1784" i="8"/>
  <c r="O1784" i="8"/>
  <c r="R1784" i="8"/>
  <c r="F1785" i="8"/>
  <c r="I1785" i="8"/>
  <c r="K1785" i="8"/>
  <c r="M1785" i="8"/>
  <c r="O1785" i="8"/>
  <c r="P1785" i="8"/>
  <c r="R1785" i="8"/>
  <c r="E1786" i="8"/>
  <c r="G1786" i="8"/>
  <c r="I1786" i="8"/>
  <c r="K1786" i="8"/>
  <c r="M1786" i="8"/>
  <c r="O1786" i="8"/>
  <c r="Q1786" i="8"/>
  <c r="S1786" i="8"/>
  <c r="E1787" i="8"/>
  <c r="G1787" i="8"/>
  <c r="I1787" i="8"/>
  <c r="K1787" i="8"/>
  <c r="M1787" i="8"/>
  <c r="N1787" i="8"/>
  <c r="P1787" i="8"/>
  <c r="R1787" i="8"/>
  <c r="E1788" i="8"/>
  <c r="G1788" i="8"/>
  <c r="I1788" i="8"/>
  <c r="K1788" i="8"/>
  <c r="M1788" i="8"/>
  <c r="P1788" i="8"/>
  <c r="Q1788" i="8"/>
  <c r="S1788" i="8"/>
  <c r="T1788" i="8"/>
  <c r="E168" i="7"/>
  <c r="F168" i="7"/>
  <c r="G168" i="7"/>
  <c r="H168" i="7"/>
  <c r="I168" i="7"/>
  <c r="J168" i="7"/>
  <c r="K168" i="7"/>
  <c r="L168" i="7"/>
  <c r="M168" i="7"/>
  <c r="P168" i="7"/>
  <c r="Q168" i="7"/>
  <c r="R168" i="7"/>
  <c r="S168" i="7"/>
  <c r="U168" i="7"/>
  <c r="V168" i="7"/>
  <c r="W168" i="7"/>
  <c r="X168" i="7"/>
  <c r="AA168" i="7"/>
  <c r="AE168" i="7"/>
  <c r="T1786" i="8"/>
  <c r="G1778" i="8"/>
  <c r="J1778" i="8"/>
  <c r="L1778" i="8"/>
  <c r="N1778" i="8"/>
  <c r="P1778" i="8"/>
  <c r="R1778" i="8"/>
  <c r="E1779" i="8"/>
  <c r="G1779" i="8"/>
  <c r="I1779" i="8"/>
  <c r="K1779" i="8"/>
  <c r="M1779" i="8"/>
  <c r="O1779" i="8"/>
  <c r="Q1779" i="8"/>
  <c r="S1779" i="8"/>
  <c r="T1779" i="8"/>
  <c r="F1780" i="8"/>
  <c r="H1780" i="8"/>
  <c r="K1780" i="8"/>
  <c r="M1780" i="8"/>
  <c r="P1780" i="8"/>
  <c r="S1780" i="8"/>
  <c r="T1780" i="8"/>
  <c r="E1781" i="8"/>
  <c r="H1781" i="8"/>
  <c r="J1781" i="8"/>
  <c r="L1781" i="8"/>
  <c r="M1781" i="8"/>
  <c r="O1781" i="8"/>
  <c r="Q1781" i="8"/>
  <c r="S1781" i="8"/>
  <c r="E1782" i="8"/>
  <c r="H1782" i="8"/>
  <c r="I1782" i="8"/>
  <c r="K1782" i="8"/>
  <c r="M1782" i="8"/>
  <c r="O1782" i="8"/>
  <c r="Q1782" i="8"/>
  <c r="S1782" i="8"/>
  <c r="T1782" i="8"/>
  <c r="E1783" i="8"/>
  <c r="G1783" i="8"/>
  <c r="I1783" i="8"/>
  <c r="K1783" i="8"/>
  <c r="M1783" i="8"/>
  <c r="O1783" i="8"/>
  <c r="Q1783" i="8"/>
  <c r="S1783" i="8"/>
  <c r="T1783" i="8"/>
  <c r="E1784" i="8"/>
  <c r="F1784" i="8"/>
  <c r="I1784" i="8"/>
  <c r="K1784" i="8"/>
  <c r="M1784" i="8"/>
  <c r="P1784" i="8"/>
  <c r="Q1784" i="8"/>
  <c r="S1784" i="8"/>
  <c r="T1784" i="8"/>
  <c r="E1785" i="8"/>
  <c r="G1785" i="8"/>
  <c r="H1785" i="8"/>
  <c r="J1785" i="8"/>
  <c r="L1785" i="8"/>
  <c r="N1785" i="8"/>
  <c r="Q1785" i="8"/>
  <c r="S1785" i="8"/>
  <c r="T1785" i="8"/>
  <c r="F1786" i="8"/>
  <c r="H1786" i="8"/>
  <c r="J1786" i="8"/>
  <c r="L1786" i="8"/>
  <c r="N1786" i="8"/>
  <c r="P1786" i="8"/>
  <c r="R1786" i="8"/>
  <c r="F1787" i="8"/>
  <c r="H1787" i="8"/>
  <c r="J1787" i="8"/>
  <c r="L1787" i="8"/>
  <c r="O1787" i="8"/>
  <c r="Q1787" i="8"/>
  <c r="S1787" i="8"/>
  <c r="T1787" i="8"/>
  <c r="F1788" i="8"/>
  <c r="H1788" i="8"/>
  <c r="J1788" i="8"/>
  <c r="L1788" i="8"/>
  <c r="N1788" i="8"/>
  <c r="O1788" i="8"/>
  <c r="R1788" i="8"/>
  <c r="E1778" i="8"/>
  <c r="H1778" i="8"/>
  <c r="I1778" i="8"/>
  <c r="K1778" i="8"/>
  <c r="M1778" i="8"/>
  <c r="O1778" i="8"/>
  <c r="Q1778" i="8"/>
  <c r="S1778" i="8"/>
  <c r="T1778" i="8"/>
  <c r="S1768" i="8"/>
  <c r="T1768" i="8"/>
  <c r="G1769" i="8"/>
  <c r="I1769" i="8"/>
  <c r="K1769" i="8"/>
  <c r="M1769" i="8"/>
  <c r="O1769" i="8"/>
  <c r="Q1769" i="8"/>
  <c r="S1769" i="8"/>
  <c r="T1769" i="8"/>
  <c r="F1770" i="8"/>
  <c r="H1770" i="8"/>
  <c r="K1770" i="8"/>
  <c r="O1770" i="8"/>
  <c r="Q1770" i="8"/>
  <c r="S1770" i="8"/>
  <c r="T1770" i="8"/>
  <c r="F1771" i="8"/>
  <c r="H1771" i="8"/>
  <c r="J1771" i="8"/>
  <c r="L1771" i="8"/>
  <c r="N1771" i="8"/>
  <c r="P1771" i="8"/>
  <c r="R1771" i="8"/>
  <c r="F1772" i="8"/>
  <c r="H1772" i="8"/>
  <c r="J1772" i="8"/>
  <c r="L1772" i="8"/>
  <c r="M1772" i="8"/>
  <c r="N1772" i="8"/>
  <c r="O1772" i="8"/>
  <c r="P1772" i="8"/>
  <c r="Q1772" i="8"/>
  <c r="R1772" i="8"/>
  <c r="S1772" i="8"/>
  <c r="T1772" i="8"/>
  <c r="E1773" i="8"/>
  <c r="F1773" i="8"/>
  <c r="G1773" i="8"/>
  <c r="H1773" i="8"/>
  <c r="I1773" i="8"/>
  <c r="K1773" i="8"/>
  <c r="L1773" i="8"/>
  <c r="M1773" i="8"/>
  <c r="N1773" i="8"/>
  <c r="Q1773" i="8"/>
  <c r="R1773" i="8"/>
  <c r="F1774" i="8"/>
  <c r="H1774" i="8"/>
  <c r="J1774" i="8"/>
  <c r="L1774" i="8"/>
  <c r="N1774" i="8"/>
  <c r="P1774" i="8"/>
  <c r="R1774" i="8"/>
  <c r="T1774" i="8"/>
  <c r="F1775" i="8"/>
  <c r="H1775" i="8"/>
  <c r="K1775" i="8"/>
  <c r="L1775" i="8"/>
  <c r="N1775" i="8"/>
  <c r="Q1775" i="8"/>
  <c r="S1775" i="8"/>
  <c r="E1776" i="8"/>
  <c r="G1776" i="8"/>
  <c r="I1776" i="8"/>
  <c r="K1776" i="8"/>
  <c r="M1776" i="8"/>
  <c r="O1776" i="8"/>
  <c r="R1776" i="8"/>
  <c r="T1776" i="8"/>
  <c r="F1777" i="8"/>
  <c r="H1777" i="8"/>
  <c r="K1777" i="8"/>
  <c r="L1777" i="8"/>
  <c r="N1777" i="8"/>
  <c r="P1777" i="8"/>
  <c r="R1777" i="8"/>
  <c r="J1773" i="8"/>
  <c r="E167" i="7"/>
  <c r="F167" i="7"/>
  <c r="G167" i="7"/>
  <c r="H167" i="7"/>
  <c r="I167" i="7"/>
  <c r="J167" i="7"/>
  <c r="K167" i="7"/>
  <c r="L167" i="7"/>
  <c r="M167" i="7"/>
  <c r="N167" i="7"/>
  <c r="P167" i="7"/>
  <c r="Q167" i="7"/>
  <c r="R167" i="7"/>
  <c r="S167" i="7"/>
  <c r="U167" i="7"/>
  <c r="V167" i="7"/>
  <c r="W167" i="7"/>
  <c r="X167" i="7"/>
  <c r="Y167" i="7"/>
  <c r="Z167" i="7"/>
  <c r="AA167" i="7"/>
  <c r="AC167" i="7"/>
  <c r="AE167" i="7"/>
  <c r="AI167" i="7"/>
  <c r="AO167" i="7"/>
  <c r="AP167" i="7"/>
  <c r="F1767" i="8"/>
  <c r="G1767" i="8"/>
  <c r="I1767" i="8"/>
  <c r="K1767" i="8"/>
  <c r="N1767" i="8"/>
  <c r="P1767" i="8"/>
  <c r="R1767" i="8"/>
  <c r="F1768" i="8"/>
  <c r="H1768" i="8"/>
  <c r="J1768" i="8"/>
  <c r="L1768" i="8"/>
  <c r="N1768" i="8"/>
  <c r="P1768" i="8"/>
  <c r="R1768" i="8"/>
  <c r="E1769" i="8"/>
  <c r="F1769" i="8"/>
  <c r="H1769" i="8"/>
  <c r="J1769" i="8"/>
  <c r="L1769" i="8"/>
  <c r="N1769" i="8"/>
  <c r="P1769" i="8"/>
  <c r="R1769" i="8"/>
  <c r="E1770" i="8"/>
  <c r="G1770" i="8"/>
  <c r="I1770" i="8"/>
  <c r="J1770" i="8"/>
  <c r="L1770" i="8"/>
  <c r="M1770" i="8"/>
  <c r="N1770" i="8"/>
  <c r="P1770" i="8"/>
  <c r="R1770" i="8"/>
  <c r="E1771" i="8"/>
  <c r="G1771" i="8"/>
  <c r="I1771" i="8"/>
  <c r="K1771" i="8"/>
  <c r="M1771" i="8"/>
  <c r="O1771" i="8"/>
  <c r="Q1771" i="8"/>
  <c r="S1771" i="8"/>
  <c r="T1771" i="8"/>
  <c r="E1772" i="8"/>
  <c r="G1772" i="8"/>
  <c r="I1772" i="8"/>
  <c r="K1772" i="8"/>
  <c r="O1773" i="8"/>
  <c r="P1773" i="8"/>
  <c r="S1773" i="8"/>
  <c r="T1773" i="8"/>
  <c r="E1774" i="8"/>
  <c r="G1774" i="8"/>
  <c r="I1774" i="8"/>
  <c r="K1774" i="8"/>
  <c r="M1774" i="8"/>
  <c r="O1774" i="8"/>
  <c r="Q1774" i="8"/>
  <c r="S1774" i="8"/>
  <c r="E1775" i="8"/>
  <c r="G1775" i="8"/>
  <c r="I1775" i="8"/>
  <c r="J1775" i="8"/>
  <c r="M1775" i="8"/>
  <c r="O1775" i="8"/>
  <c r="P1775" i="8"/>
  <c r="R1775" i="8"/>
  <c r="T1775" i="8"/>
  <c r="F1776" i="8"/>
  <c r="H1776" i="8"/>
  <c r="J1776" i="8"/>
  <c r="L1776" i="8"/>
  <c r="N1776" i="8"/>
  <c r="P1776" i="8"/>
  <c r="Q1776" i="8"/>
  <c r="S1776" i="8"/>
  <c r="E1777" i="8"/>
  <c r="G1777" i="8"/>
  <c r="I1777" i="8"/>
  <c r="J1777" i="8"/>
  <c r="M1777" i="8"/>
  <c r="O1777" i="8"/>
  <c r="Q1777" i="8"/>
  <c r="S1777" i="8"/>
  <c r="T1777" i="8"/>
  <c r="E1767" i="8"/>
  <c r="H1767" i="8"/>
  <c r="J1767" i="8"/>
  <c r="L1767" i="8"/>
  <c r="M1767" i="8"/>
  <c r="O1767" i="8"/>
  <c r="Q1767" i="8"/>
  <c r="S1767" i="8"/>
  <c r="T1767" i="8"/>
  <c r="E1768" i="8"/>
  <c r="G1768" i="8"/>
  <c r="I1768" i="8"/>
  <c r="K1768" i="8"/>
  <c r="M1768" i="8"/>
  <c r="O1768" i="8"/>
  <c r="Q1768" i="8"/>
  <c r="I1757" i="8"/>
  <c r="K1757" i="8"/>
  <c r="M1757" i="8"/>
  <c r="N1757" i="8"/>
  <c r="P1757" i="8"/>
  <c r="R1757" i="8"/>
  <c r="T1757" i="8"/>
  <c r="F1758" i="8"/>
  <c r="H1758" i="8"/>
  <c r="J1758" i="8"/>
  <c r="K1758" i="8"/>
  <c r="N1758" i="8"/>
  <c r="P1758" i="8"/>
  <c r="S1758" i="8"/>
  <c r="T1758" i="8"/>
  <c r="F1759" i="8"/>
  <c r="H1759" i="8"/>
  <c r="J1759" i="8"/>
  <c r="L1759" i="8"/>
  <c r="N1759" i="8"/>
  <c r="P1759" i="8"/>
  <c r="R1759" i="8"/>
  <c r="T1759" i="8"/>
  <c r="F1760" i="8"/>
  <c r="H1760" i="8"/>
  <c r="J1760" i="8"/>
  <c r="M1760" i="8"/>
  <c r="O1760" i="8"/>
  <c r="Q1760" i="8"/>
  <c r="S1760" i="8"/>
  <c r="T1760" i="8"/>
  <c r="G1761" i="8"/>
  <c r="I1761" i="8"/>
  <c r="K1761" i="8"/>
  <c r="M1761" i="8"/>
  <c r="O1761" i="8"/>
  <c r="P1761" i="8"/>
  <c r="R1761" i="8"/>
  <c r="T1761" i="8"/>
  <c r="F1762" i="8"/>
  <c r="G1762" i="8"/>
  <c r="I1762" i="8"/>
  <c r="K1762" i="8"/>
  <c r="N1762" i="8"/>
  <c r="O1762" i="8"/>
  <c r="Q1762" i="8"/>
  <c r="S1762" i="8"/>
  <c r="E1763" i="8"/>
  <c r="H1763" i="8"/>
  <c r="I1763" i="8"/>
  <c r="K1763" i="8"/>
  <c r="L1763" i="8"/>
  <c r="N1763" i="8"/>
  <c r="P1763" i="8"/>
  <c r="R1763" i="8"/>
  <c r="F1764" i="8"/>
  <c r="I1764" i="8"/>
  <c r="K1764" i="8"/>
  <c r="M1764" i="8"/>
  <c r="O1764" i="8"/>
  <c r="Q1764" i="8"/>
  <c r="R1764" i="8"/>
  <c r="T1764" i="8"/>
  <c r="F1765" i="8"/>
  <c r="H1765" i="8"/>
  <c r="J1765" i="8"/>
  <c r="L1765" i="8"/>
  <c r="O1765" i="8"/>
  <c r="Q1765" i="8"/>
  <c r="S1765" i="8"/>
  <c r="E1766" i="8"/>
  <c r="G1766" i="8"/>
  <c r="I1766" i="8"/>
  <c r="K1766" i="8"/>
  <c r="M1766" i="8"/>
  <c r="P1766" i="8"/>
  <c r="Q1766" i="8"/>
  <c r="S1766" i="8"/>
  <c r="E166" i="7"/>
  <c r="F166" i="7"/>
  <c r="G166" i="7"/>
  <c r="H166" i="7"/>
  <c r="I166" i="7"/>
  <c r="J166" i="7"/>
  <c r="K166" i="7"/>
  <c r="L166" i="7"/>
  <c r="M166" i="7"/>
  <c r="N166" i="7"/>
  <c r="P166" i="7"/>
  <c r="Q166" i="7"/>
  <c r="R166" i="7"/>
  <c r="S166" i="7"/>
  <c r="U166" i="7"/>
  <c r="V166" i="7"/>
  <c r="W166" i="7"/>
  <c r="X166" i="7"/>
  <c r="Y166" i="7"/>
  <c r="Z166" i="7"/>
  <c r="AA166" i="7"/>
  <c r="AC166" i="7"/>
  <c r="AE166" i="7"/>
  <c r="AI166" i="7"/>
  <c r="AO166" i="7"/>
  <c r="AP166" i="7"/>
  <c r="F1756" i="8"/>
  <c r="H1756" i="8"/>
  <c r="J1756" i="8"/>
  <c r="L1756" i="8"/>
  <c r="N1756" i="8"/>
  <c r="P1756" i="8"/>
  <c r="R1756" i="8"/>
  <c r="F1757" i="8"/>
  <c r="H1757" i="8"/>
  <c r="J1757" i="8"/>
  <c r="L1757" i="8"/>
  <c r="O1757" i="8"/>
  <c r="Q1757" i="8"/>
  <c r="S1757" i="8"/>
  <c r="E1758" i="8"/>
  <c r="G1758" i="8"/>
  <c r="I1758" i="8"/>
  <c r="L1758" i="8"/>
  <c r="M1758" i="8"/>
  <c r="O1758" i="8"/>
  <c r="Q1758" i="8"/>
  <c r="R1758" i="8"/>
  <c r="E1759" i="8"/>
  <c r="G1759" i="8"/>
  <c r="I1759" i="8"/>
  <c r="K1759" i="8"/>
  <c r="M1759" i="8"/>
  <c r="O1759" i="8"/>
  <c r="Q1759" i="8"/>
  <c r="S1759" i="8"/>
  <c r="E1760" i="8"/>
  <c r="G1760" i="8"/>
  <c r="I1760" i="8"/>
  <c r="K1760" i="8"/>
  <c r="L1760" i="8"/>
  <c r="N1760" i="8"/>
  <c r="P1760" i="8"/>
  <c r="R1760" i="8"/>
  <c r="E1761" i="8"/>
  <c r="F1761" i="8"/>
  <c r="H1761" i="8"/>
  <c r="J1761" i="8"/>
  <c r="L1761" i="8"/>
  <c r="N1761" i="8"/>
  <c r="Q1761" i="8"/>
  <c r="S1761" i="8"/>
  <c r="E1762" i="8"/>
  <c r="H1762" i="8"/>
  <c r="J1762" i="8"/>
  <c r="L1762" i="8"/>
  <c r="M1762" i="8"/>
  <c r="P1762" i="8"/>
  <c r="R1762" i="8"/>
  <c r="T1762" i="8"/>
  <c r="F1763" i="8"/>
  <c r="G1763" i="8"/>
  <c r="J1763" i="8"/>
  <c r="M1763" i="8"/>
  <c r="O1763" i="8"/>
  <c r="Q1763" i="8"/>
  <c r="S1763" i="8"/>
  <c r="T1763" i="8"/>
  <c r="E1764" i="8"/>
  <c r="G1764" i="8"/>
  <c r="H1764" i="8"/>
  <c r="J1764" i="8"/>
  <c r="L1764" i="8"/>
  <c r="N1764" i="8"/>
  <c r="P1764" i="8"/>
  <c r="S1764" i="8"/>
  <c r="E1765" i="8"/>
  <c r="G1765" i="8"/>
  <c r="I1765" i="8"/>
  <c r="K1765" i="8"/>
  <c r="M1765" i="8"/>
  <c r="N1765" i="8"/>
  <c r="P1765" i="8"/>
  <c r="R1765" i="8"/>
  <c r="T1765" i="8"/>
  <c r="F1766" i="8"/>
  <c r="H1766" i="8"/>
  <c r="J1766" i="8"/>
  <c r="L1766" i="8"/>
  <c r="N1766" i="8"/>
  <c r="O1766" i="8"/>
  <c r="R1766" i="8"/>
  <c r="T1766" i="8"/>
  <c r="E1756" i="8"/>
  <c r="G1756" i="8"/>
  <c r="I1756" i="8"/>
  <c r="K1756" i="8"/>
  <c r="M1756" i="8"/>
  <c r="O1756" i="8"/>
  <c r="Q1756" i="8"/>
  <c r="S1756" i="8"/>
  <c r="T1756" i="8"/>
  <c r="E1757" i="8"/>
  <c r="G1757" i="8"/>
  <c r="E1755" i="8"/>
  <c r="N1755" i="8"/>
  <c r="O1755" i="8"/>
  <c r="Q1755" i="8"/>
  <c r="S1755" i="8"/>
  <c r="T1755" i="8"/>
  <c r="E1745" i="8"/>
  <c r="H1745" i="8"/>
  <c r="K1745" i="8"/>
  <c r="N1745" i="8"/>
  <c r="R1745" i="8"/>
  <c r="T1745" i="8"/>
  <c r="E1746" i="8"/>
  <c r="G1746" i="8"/>
  <c r="J1746" i="8"/>
  <c r="N1746" i="8"/>
  <c r="Q1746" i="8"/>
  <c r="E1747" i="8"/>
  <c r="G1747" i="8"/>
  <c r="I1747" i="8"/>
  <c r="K1747" i="8"/>
  <c r="M1747" i="8"/>
  <c r="P1747" i="8"/>
  <c r="Q1747" i="8"/>
  <c r="S1747" i="8"/>
  <c r="T1747" i="8"/>
  <c r="G1748" i="8"/>
  <c r="I1748" i="8"/>
  <c r="K1748" i="8"/>
  <c r="M1748" i="8"/>
  <c r="N1748" i="8"/>
  <c r="P1748" i="8"/>
  <c r="R1748" i="8"/>
  <c r="E1749" i="8"/>
  <c r="H1749" i="8"/>
  <c r="K1749" i="8"/>
  <c r="O1749" i="8"/>
  <c r="Q1749" i="8"/>
  <c r="S1749" i="8"/>
  <c r="E1750" i="8"/>
  <c r="H1750" i="8"/>
  <c r="L1750" i="8"/>
  <c r="O1750" i="8"/>
  <c r="R1750" i="8"/>
  <c r="T1750" i="8"/>
  <c r="F1751" i="8"/>
  <c r="J1751" i="8"/>
  <c r="M1751" i="8"/>
  <c r="R1751" i="8"/>
  <c r="T1751" i="8"/>
  <c r="H1752" i="8"/>
  <c r="K1752" i="8"/>
  <c r="L1752" i="8"/>
  <c r="O1752" i="8"/>
  <c r="R1752" i="8"/>
  <c r="G1753" i="8"/>
  <c r="L1753" i="8"/>
  <c r="F1754" i="8"/>
  <c r="I1754" i="8"/>
  <c r="S1752" i="8"/>
  <c r="F1753" i="8"/>
  <c r="H1753" i="8"/>
  <c r="K1753" i="8"/>
  <c r="N1753" i="8"/>
  <c r="O1753" i="8"/>
  <c r="Q1753" i="8"/>
  <c r="T1753" i="8"/>
  <c r="E1754" i="8"/>
  <c r="G1754" i="8"/>
  <c r="K1754" i="8"/>
  <c r="M1754" i="8"/>
  <c r="P1754" i="8"/>
  <c r="R1754" i="8"/>
  <c r="S1754" i="8"/>
  <c r="T1754" i="8"/>
  <c r="F1755" i="8"/>
  <c r="H1755" i="8"/>
  <c r="I1755" i="8"/>
  <c r="E165" i="7"/>
  <c r="F165" i="7"/>
  <c r="G165" i="7"/>
  <c r="H165" i="7"/>
  <c r="I165" i="7"/>
  <c r="J165" i="7"/>
  <c r="K165" i="7"/>
  <c r="L165" i="7"/>
  <c r="M165" i="7"/>
  <c r="N165" i="7"/>
  <c r="P165" i="7"/>
  <c r="Q165" i="7"/>
  <c r="R165" i="7"/>
  <c r="S165" i="7"/>
  <c r="U165" i="7"/>
  <c r="V165" i="7"/>
  <c r="W165" i="7"/>
  <c r="X165" i="7"/>
  <c r="Y165" i="7"/>
  <c r="Z165" i="7"/>
  <c r="AA165" i="7"/>
  <c r="AC165" i="7"/>
  <c r="AE165" i="7"/>
  <c r="AI165" i="7"/>
  <c r="AO165" i="7"/>
  <c r="AP165" i="7"/>
  <c r="F1745" i="8"/>
  <c r="I1745" i="8"/>
  <c r="L1745" i="8"/>
  <c r="O1745" i="8"/>
  <c r="Q1745" i="8"/>
  <c r="S1745" i="8"/>
  <c r="H1746" i="8"/>
  <c r="K1746" i="8"/>
  <c r="M1746" i="8"/>
  <c r="P1746" i="8"/>
  <c r="R1746" i="8"/>
  <c r="T1746" i="8"/>
  <c r="G1749" i="8"/>
  <c r="J1749" i="8"/>
  <c r="N1749" i="8"/>
  <c r="F1750" i="8"/>
  <c r="I1750" i="8"/>
  <c r="K1750" i="8"/>
  <c r="N1750" i="8"/>
  <c r="P1750" i="8"/>
  <c r="H1751" i="8"/>
  <c r="K1751" i="8"/>
  <c r="N1751" i="8"/>
  <c r="Q1751" i="8"/>
  <c r="S1751" i="8"/>
  <c r="E1752" i="8"/>
  <c r="G1752" i="8"/>
  <c r="J1752" i="8"/>
  <c r="M1752" i="8"/>
  <c r="Q1752" i="8"/>
  <c r="T1752" i="8"/>
  <c r="E1753" i="8"/>
  <c r="I1753" i="8"/>
  <c r="J1753" i="8"/>
  <c r="M1753" i="8"/>
  <c r="P1753" i="8"/>
  <c r="R1753" i="8"/>
  <c r="S1753" i="8"/>
  <c r="H1754" i="8"/>
  <c r="J1754" i="8"/>
  <c r="L1754" i="8"/>
  <c r="N1754" i="8"/>
  <c r="O1754" i="8"/>
  <c r="Q1754" i="8"/>
  <c r="K1755" i="8"/>
  <c r="G1755" i="8"/>
  <c r="J1755" i="8"/>
  <c r="L1755" i="8"/>
  <c r="M1755" i="8"/>
  <c r="P1755" i="8"/>
  <c r="R1755" i="8"/>
  <c r="G1745" i="8"/>
  <c r="J1745" i="8"/>
  <c r="M1745" i="8"/>
  <c r="P1745" i="8"/>
  <c r="F1746" i="8"/>
  <c r="I1746" i="8"/>
  <c r="L1746" i="8"/>
  <c r="O1746" i="8"/>
  <c r="S1746" i="8"/>
  <c r="F1747" i="8"/>
  <c r="H1747" i="8"/>
  <c r="J1747" i="8"/>
  <c r="L1747" i="8"/>
  <c r="N1747" i="8"/>
  <c r="O1747" i="8"/>
  <c r="R1747" i="8"/>
  <c r="E1748" i="8"/>
  <c r="F1748" i="8"/>
  <c r="H1748" i="8"/>
  <c r="J1748" i="8"/>
  <c r="L1748" i="8"/>
  <c r="O1748" i="8"/>
  <c r="Q1748" i="8"/>
  <c r="S1748" i="8"/>
  <c r="T1748" i="8"/>
  <c r="F1749" i="8"/>
  <c r="I1749" i="8"/>
  <c r="L1749" i="8"/>
  <c r="M1749" i="8"/>
  <c r="P1749" i="8"/>
  <c r="R1749" i="8"/>
  <c r="T1749" i="8"/>
  <c r="G1750" i="8"/>
  <c r="J1750" i="8"/>
  <c r="M1750" i="8"/>
  <c r="Q1750" i="8"/>
  <c r="S1750" i="8"/>
  <c r="E1751" i="8"/>
  <c r="G1751" i="8"/>
  <c r="I1751" i="8"/>
  <c r="L1751" i="8"/>
  <c r="O1751" i="8"/>
  <c r="P1751" i="8"/>
  <c r="F1752" i="8"/>
  <c r="I1752" i="8"/>
  <c r="N1752" i="8"/>
  <c r="P1752" i="8"/>
  <c r="L1534" i="8"/>
  <c r="K1534" i="8"/>
  <c r="J1534" i="8"/>
  <c r="I1534" i="8"/>
  <c r="H1534" i="8"/>
  <c r="G1534" i="8"/>
  <c r="F1534" i="8"/>
  <c r="E1534" i="8"/>
  <c r="T1533" i="8"/>
  <c r="S1533" i="8"/>
  <c r="R1533" i="8"/>
  <c r="Q1533" i="8"/>
  <c r="P1533" i="8"/>
  <c r="O1533" i="8"/>
  <c r="N1533" i="8"/>
  <c r="I1533" i="8"/>
  <c r="M1533" i="8"/>
  <c r="L1533" i="8"/>
  <c r="K1533" i="8"/>
  <c r="J1533" i="8"/>
  <c r="H1533" i="8"/>
  <c r="G1533" i="8"/>
  <c r="F1533" i="8"/>
  <c r="E1533" i="8"/>
  <c r="T1532" i="8"/>
  <c r="S1532" i="8"/>
  <c r="R1532" i="8"/>
  <c r="Q1532" i="8"/>
  <c r="O1532" i="8"/>
  <c r="N1532" i="8"/>
  <c r="M1532" i="8"/>
  <c r="L1532" i="8"/>
  <c r="K1532" i="8"/>
  <c r="J1532" i="8"/>
  <c r="I1532" i="8"/>
  <c r="H1532" i="8"/>
  <c r="G1532" i="8"/>
  <c r="F1532" i="8"/>
  <c r="E1532" i="8"/>
  <c r="T1531" i="8"/>
  <c r="S1531" i="8"/>
  <c r="R1531" i="8"/>
  <c r="Q1531" i="8"/>
  <c r="P1531" i="8"/>
  <c r="O1531" i="8"/>
  <c r="N1531" i="8"/>
  <c r="M1531" i="8"/>
  <c r="L1531" i="8"/>
  <c r="K1531" i="8"/>
  <c r="J1531" i="8"/>
  <c r="I1531" i="8"/>
  <c r="H1531" i="8"/>
  <c r="G1531" i="8"/>
  <c r="F1531" i="8"/>
  <c r="E1531" i="8"/>
  <c r="T1530" i="8"/>
  <c r="S1530" i="8"/>
  <c r="R1530" i="8"/>
  <c r="Q1530" i="8"/>
  <c r="P1530" i="8"/>
  <c r="O1530" i="8"/>
  <c r="N1530" i="8"/>
  <c r="M1530" i="8"/>
  <c r="L1530" i="8"/>
  <c r="K1530" i="8"/>
  <c r="J1530" i="8"/>
  <c r="I1530" i="8"/>
  <c r="H1530" i="8"/>
  <c r="G1530" i="8"/>
  <c r="F1530" i="8"/>
  <c r="E1530" i="8"/>
  <c r="T1529" i="8"/>
  <c r="S1529" i="8"/>
  <c r="R1529" i="8"/>
  <c r="Q1529" i="8"/>
  <c r="P1529" i="8"/>
  <c r="O1529" i="8"/>
  <c r="N1529" i="8"/>
  <c r="M1529" i="8"/>
  <c r="L1529" i="8"/>
  <c r="K1529" i="8"/>
  <c r="J1529" i="8"/>
  <c r="I1529" i="8"/>
  <c r="H1529" i="8"/>
  <c r="G1529" i="8"/>
  <c r="F1529" i="8"/>
  <c r="E1529" i="8"/>
  <c r="T1528" i="8"/>
  <c r="S1528" i="8"/>
  <c r="Q1528" i="8"/>
  <c r="P1528" i="8"/>
  <c r="O1528" i="8"/>
  <c r="N1528" i="8"/>
  <c r="M1528" i="8"/>
  <c r="L1528" i="8"/>
  <c r="K1528" i="8"/>
  <c r="J1528" i="8"/>
  <c r="I1528" i="8"/>
  <c r="H1528" i="8"/>
  <c r="G1528" i="8"/>
  <c r="F1528" i="8"/>
  <c r="E1528" i="8"/>
  <c r="P1532" i="8"/>
  <c r="S1527" i="8"/>
  <c r="R1527" i="8"/>
  <c r="Q1527" i="8"/>
  <c r="P1527" i="8"/>
  <c r="O1527" i="8"/>
  <c r="N1527" i="8"/>
  <c r="M1527" i="8"/>
  <c r="L1527" i="8"/>
  <c r="K1527" i="8"/>
  <c r="J1527" i="8"/>
  <c r="I1527" i="8"/>
  <c r="H1527" i="8"/>
  <c r="G1527" i="8"/>
  <c r="F1527" i="8"/>
  <c r="E1527" i="8"/>
  <c r="T1526" i="8"/>
  <c r="S1526" i="8"/>
  <c r="R1526" i="8"/>
  <c r="Q1526" i="8"/>
  <c r="P1526" i="8"/>
  <c r="O1526" i="8"/>
  <c r="N1526" i="8"/>
  <c r="M1526" i="8"/>
  <c r="L1526" i="8"/>
  <c r="K1526" i="8"/>
  <c r="J1526" i="8"/>
  <c r="I1526" i="8"/>
  <c r="H1526" i="8"/>
  <c r="G1526" i="8"/>
  <c r="F1526" i="8"/>
  <c r="E1526" i="8"/>
  <c r="T1525" i="8"/>
  <c r="S1525" i="8"/>
  <c r="R1525" i="8"/>
  <c r="Q1525" i="8"/>
  <c r="P1525" i="8"/>
  <c r="O1525" i="8"/>
  <c r="N1525" i="8"/>
  <c r="M1525" i="8"/>
  <c r="L1525" i="8"/>
  <c r="K1525" i="8"/>
  <c r="J1525" i="8"/>
  <c r="I1525" i="8"/>
  <c r="H1525" i="8"/>
  <c r="G1525" i="8"/>
  <c r="F1525" i="8"/>
  <c r="E1525" i="8"/>
  <c r="T1527" i="8"/>
  <c r="R1528" i="8"/>
  <c r="T1535" i="8"/>
  <c r="S1535" i="8"/>
  <c r="R1535" i="8"/>
  <c r="Q1535" i="8"/>
  <c r="P1535" i="8"/>
  <c r="O1535" i="8"/>
  <c r="N1535" i="8"/>
  <c r="M1535" i="8"/>
  <c r="L1535" i="8"/>
  <c r="K1535" i="8"/>
  <c r="J1535" i="8"/>
  <c r="I1535" i="8"/>
  <c r="H1535" i="8"/>
  <c r="G1535" i="8"/>
  <c r="F1535" i="8"/>
  <c r="E1535" i="8"/>
  <c r="T1534" i="8"/>
  <c r="S1534" i="8"/>
  <c r="R1534" i="8"/>
  <c r="Q1534" i="8"/>
  <c r="P1534" i="8"/>
  <c r="O1534" i="8"/>
  <c r="AE145" i="7"/>
  <c r="N1534" i="8"/>
  <c r="AA145" i="7"/>
  <c r="X145" i="7"/>
  <c r="W145" i="7"/>
  <c r="V145" i="7"/>
  <c r="U145" i="7"/>
  <c r="M1534" i="8"/>
  <c r="S145" i="7"/>
  <c r="R145" i="7"/>
  <c r="Q145" i="7"/>
  <c r="P145" i="7"/>
  <c r="M145" i="7"/>
  <c r="L145" i="7"/>
  <c r="K145" i="7"/>
  <c r="J145" i="7"/>
  <c r="I145" i="7"/>
  <c r="H145" i="7"/>
  <c r="G145" i="7"/>
  <c r="F145" i="7"/>
  <c r="E145" i="7"/>
  <c r="K1521" i="8"/>
  <c r="L1521" i="8"/>
  <c r="M1521" i="8"/>
  <c r="N1521" i="8"/>
  <c r="O1521" i="8"/>
  <c r="P1521" i="8"/>
  <c r="Q1521" i="8"/>
  <c r="R1521" i="8"/>
  <c r="S1521" i="8"/>
  <c r="T1521" i="8"/>
  <c r="E1522" i="8"/>
  <c r="F1522" i="8"/>
  <c r="G1522" i="8"/>
  <c r="H1522" i="8"/>
  <c r="I1522" i="8"/>
  <c r="J1522" i="8"/>
  <c r="K1522" i="8"/>
  <c r="L1522" i="8"/>
  <c r="M1522" i="8"/>
  <c r="N1522" i="8"/>
  <c r="O1522" i="8"/>
  <c r="P1522" i="8"/>
  <c r="Q1522" i="8"/>
  <c r="R1522" i="8"/>
  <c r="S1522" i="8"/>
  <c r="T1522" i="8"/>
  <c r="E1523" i="8"/>
  <c r="F1523" i="8"/>
  <c r="G1523" i="8"/>
  <c r="H1523" i="8"/>
  <c r="I1523" i="8"/>
  <c r="J1523" i="8"/>
  <c r="K1523" i="8"/>
  <c r="L1523" i="8"/>
  <c r="M1523" i="8"/>
  <c r="N1523" i="8"/>
  <c r="O1523" i="8"/>
  <c r="P1523" i="8"/>
  <c r="Q1523" i="8"/>
  <c r="R1523" i="8"/>
  <c r="S1523" i="8"/>
  <c r="T1523" i="8"/>
  <c r="E1524" i="8"/>
  <c r="F1524" i="8"/>
  <c r="G1524" i="8"/>
  <c r="H1524" i="8"/>
  <c r="I1524" i="8"/>
  <c r="J1524" i="8"/>
  <c r="K1524" i="8"/>
  <c r="L1524" i="8"/>
  <c r="M1524" i="8"/>
  <c r="N1524" i="8"/>
  <c r="O1524" i="8"/>
  <c r="P1524" i="8"/>
  <c r="R1524" i="8"/>
  <c r="S1524" i="8"/>
  <c r="T1524" i="8"/>
  <c r="Q1524" i="8"/>
  <c r="G1520" i="8"/>
  <c r="H1520" i="8"/>
  <c r="I1520" i="8"/>
  <c r="J1520" i="8"/>
  <c r="K1520" i="8"/>
  <c r="L1520" i="8"/>
  <c r="M1520" i="8"/>
  <c r="N1520" i="8"/>
  <c r="O1520" i="8"/>
  <c r="P1520" i="8"/>
  <c r="Q1520" i="8"/>
  <c r="R1520" i="8"/>
  <c r="S1520" i="8"/>
  <c r="T1520" i="8"/>
  <c r="E1521" i="8"/>
  <c r="F1521" i="8"/>
  <c r="G1521" i="8"/>
  <c r="H1521" i="8"/>
  <c r="I1521" i="8"/>
  <c r="J1521" i="8"/>
  <c r="E144" i="7"/>
  <c r="F144" i="7"/>
  <c r="G144" i="7"/>
  <c r="H144" i="7"/>
  <c r="I144" i="7"/>
  <c r="J144" i="7"/>
  <c r="K144" i="7"/>
  <c r="L144" i="7"/>
  <c r="M144" i="7"/>
  <c r="N144" i="7"/>
  <c r="P144" i="7"/>
  <c r="Q144" i="7"/>
  <c r="R144" i="7"/>
  <c r="S144" i="7"/>
  <c r="U144" i="7"/>
  <c r="V144" i="7"/>
  <c r="W144" i="7"/>
  <c r="X144" i="7"/>
  <c r="Y144" i="7"/>
  <c r="Z144" i="7"/>
  <c r="AA144" i="7"/>
  <c r="AC144" i="7"/>
  <c r="AE144" i="7"/>
  <c r="AI144" i="7"/>
  <c r="AO144" i="7"/>
  <c r="AP144" i="7"/>
  <c r="E1514" i="8"/>
  <c r="F1514" i="8"/>
  <c r="G1514" i="8"/>
  <c r="H1514" i="8"/>
  <c r="I1514" i="8"/>
  <c r="J1514" i="8"/>
  <c r="K1514" i="8"/>
  <c r="L1514" i="8"/>
  <c r="M1514" i="8"/>
  <c r="N1514" i="8"/>
  <c r="O1514" i="8"/>
  <c r="P1514" i="8"/>
  <c r="Q1514" i="8"/>
  <c r="R1514" i="8"/>
  <c r="S1514" i="8"/>
  <c r="T1514" i="8"/>
  <c r="E1515" i="8"/>
  <c r="F1515" i="8"/>
  <c r="G1515" i="8"/>
  <c r="H1515" i="8"/>
  <c r="I1515" i="8"/>
  <c r="J1515" i="8"/>
  <c r="K1515" i="8"/>
  <c r="L1515" i="8"/>
  <c r="M1515" i="8"/>
  <c r="N1515" i="8"/>
  <c r="O1515" i="8"/>
  <c r="P1515" i="8"/>
  <c r="Q1515" i="8"/>
  <c r="R1515" i="8"/>
  <c r="S1515" i="8"/>
  <c r="T1515" i="8"/>
  <c r="E1516" i="8"/>
  <c r="F1516" i="8"/>
  <c r="G1516" i="8"/>
  <c r="H1516" i="8"/>
  <c r="I1516" i="8"/>
  <c r="J1516" i="8"/>
  <c r="K1516" i="8"/>
  <c r="L1516" i="8"/>
  <c r="M1516" i="8"/>
  <c r="N1516" i="8"/>
  <c r="O1516" i="8"/>
  <c r="P1516" i="8"/>
  <c r="Q1516" i="8"/>
  <c r="R1516" i="8"/>
  <c r="S1516" i="8"/>
  <c r="T1516" i="8"/>
  <c r="E1517" i="8"/>
  <c r="F1517" i="8"/>
  <c r="G1517" i="8"/>
  <c r="H1517" i="8"/>
  <c r="I1517" i="8"/>
  <c r="J1517" i="8"/>
  <c r="K1517" i="8"/>
  <c r="L1517" i="8"/>
  <c r="M1517" i="8"/>
  <c r="N1517" i="8"/>
  <c r="O1517" i="8"/>
  <c r="P1517" i="8"/>
  <c r="Q1517" i="8"/>
  <c r="R1517" i="8"/>
  <c r="S1517" i="8"/>
  <c r="T1517" i="8"/>
  <c r="E1518" i="8"/>
  <c r="F1518" i="8"/>
  <c r="G1518" i="8"/>
  <c r="H1518" i="8"/>
  <c r="I1518" i="8"/>
  <c r="J1518" i="8"/>
  <c r="K1518" i="8"/>
  <c r="L1518" i="8"/>
  <c r="M1518" i="8"/>
  <c r="N1518" i="8"/>
  <c r="O1518" i="8"/>
  <c r="P1518" i="8"/>
  <c r="Q1518" i="8"/>
  <c r="R1518" i="8"/>
  <c r="S1518" i="8"/>
  <c r="T1518" i="8"/>
  <c r="E1519" i="8"/>
  <c r="F1519" i="8"/>
  <c r="G1519" i="8"/>
  <c r="H1519" i="8"/>
  <c r="I1519" i="8"/>
  <c r="J1519" i="8"/>
  <c r="K1519" i="8"/>
  <c r="L1519" i="8"/>
  <c r="M1519" i="8"/>
  <c r="N1519" i="8"/>
  <c r="O1519" i="8"/>
  <c r="P1519" i="8"/>
  <c r="Q1519" i="8"/>
  <c r="R1519" i="8"/>
  <c r="S1519" i="8"/>
  <c r="T1519" i="8"/>
  <c r="E1520" i="8"/>
  <c r="F1520" i="8"/>
  <c r="G1509" i="8"/>
  <c r="H1509" i="8"/>
  <c r="I1509" i="8"/>
  <c r="J1509" i="8"/>
  <c r="K1509" i="8"/>
  <c r="L1509" i="8"/>
  <c r="M1509" i="8"/>
  <c r="N1509" i="8"/>
  <c r="O1509" i="8"/>
  <c r="P1509" i="8"/>
  <c r="Q1509" i="8"/>
  <c r="R1509" i="8"/>
  <c r="S1509" i="8"/>
  <c r="T1509" i="8"/>
  <c r="E1510" i="8"/>
  <c r="F1510" i="8"/>
  <c r="G1510" i="8"/>
  <c r="H1510" i="8"/>
  <c r="I1510" i="8"/>
  <c r="J1510" i="8"/>
  <c r="K1510" i="8"/>
  <c r="L1510" i="8"/>
  <c r="M1510" i="8"/>
  <c r="N1510" i="8"/>
  <c r="O1510" i="8"/>
  <c r="P1510" i="8"/>
  <c r="Q1510" i="8"/>
  <c r="R1510" i="8"/>
  <c r="S1510" i="8"/>
  <c r="T1510" i="8"/>
  <c r="E1511" i="8"/>
  <c r="F1511" i="8"/>
  <c r="G1511" i="8"/>
  <c r="H1511" i="8"/>
  <c r="I1511" i="8"/>
  <c r="J1511" i="8"/>
  <c r="K1511" i="8"/>
  <c r="L1511" i="8"/>
  <c r="M1511" i="8"/>
  <c r="N1511" i="8"/>
  <c r="O1511" i="8"/>
  <c r="P1511" i="8"/>
  <c r="Q1511" i="8"/>
  <c r="R1511" i="8"/>
  <c r="S1511" i="8"/>
  <c r="T1511" i="8"/>
  <c r="E1512" i="8"/>
  <c r="F1512" i="8"/>
  <c r="G1512" i="8"/>
  <c r="H1512" i="8"/>
  <c r="I1512" i="8"/>
  <c r="J1512" i="8"/>
  <c r="K1512" i="8"/>
  <c r="L1512" i="8"/>
  <c r="M1512" i="8"/>
  <c r="N1512" i="8"/>
  <c r="O1512" i="8"/>
  <c r="P1512" i="8"/>
  <c r="Q1512" i="8"/>
  <c r="R1512" i="8"/>
  <c r="S1512" i="8"/>
  <c r="T1512" i="8"/>
  <c r="E1513" i="8"/>
  <c r="F1513" i="8"/>
  <c r="G1513" i="8"/>
  <c r="H1513" i="8"/>
  <c r="I1513" i="8"/>
  <c r="J1513" i="8"/>
  <c r="K1513" i="8"/>
  <c r="L1513" i="8"/>
  <c r="M1513" i="8"/>
  <c r="N1513" i="8"/>
  <c r="O1513" i="8"/>
  <c r="P1513" i="8"/>
  <c r="Q1513" i="8"/>
  <c r="R1513" i="8"/>
  <c r="S1513" i="8"/>
  <c r="T1513" i="8"/>
  <c r="E143" i="7"/>
  <c r="F143" i="7"/>
  <c r="G143" i="7"/>
  <c r="H143" i="7"/>
  <c r="I143" i="7"/>
  <c r="J143" i="7"/>
  <c r="K143" i="7"/>
  <c r="L143" i="7"/>
  <c r="M143" i="7"/>
  <c r="N143" i="7"/>
  <c r="P143" i="7"/>
  <c r="Q143" i="7"/>
  <c r="R143" i="7"/>
  <c r="S143" i="7"/>
  <c r="U143" i="7"/>
  <c r="V143" i="7"/>
  <c r="W143" i="7"/>
  <c r="X143" i="7"/>
  <c r="Y143" i="7"/>
  <c r="Z143" i="7"/>
  <c r="AA143" i="7"/>
  <c r="AC143" i="7"/>
  <c r="AE143" i="7"/>
  <c r="AI143" i="7"/>
  <c r="AO143" i="7"/>
  <c r="AP143" i="7"/>
  <c r="E1503" i="8"/>
  <c r="F1503" i="8"/>
  <c r="G1503" i="8"/>
  <c r="H1503" i="8"/>
  <c r="I1503" i="8"/>
  <c r="J1503" i="8"/>
  <c r="K1503" i="8"/>
  <c r="L1503" i="8"/>
  <c r="M1503" i="8"/>
  <c r="N1503" i="8"/>
  <c r="O1503" i="8"/>
  <c r="P1503" i="8"/>
  <c r="Q1503" i="8"/>
  <c r="R1503" i="8"/>
  <c r="S1503" i="8"/>
  <c r="T1503" i="8"/>
  <c r="E1504" i="8"/>
  <c r="F1504" i="8"/>
  <c r="G1504" i="8"/>
  <c r="H1504" i="8"/>
  <c r="I1504" i="8"/>
  <c r="J1504" i="8"/>
  <c r="K1504" i="8"/>
  <c r="L1504" i="8"/>
  <c r="M1504" i="8"/>
  <c r="N1504" i="8"/>
  <c r="O1504" i="8"/>
  <c r="P1504" i="8"/>
  <c r="Q1504" i="8"/>
  <c r="R1504" i="8"/>
  <c r="S1504" i="8"/>
  <c r="T1504" i="8"/>
  <c r="E1505" i="8"/>
  <c r="F1505" i="8"/>
  <c r="G1505" i="8"/>
  <c r="H1505" i="8"/>
  <c r="I1505" i="8"/>
  <c r="J1505" i="8"/>
  <c r="K1505" i="8"/>
  <c r="L1505" i="8"/>
  <c r="M1505" i="8"/>
  <c r="N1505" i="8"/>
  <c r="O1505" i="8"/>
  <c r="P1505" i="8"/>
  <c r="Q1505" i="8"/>
  <c r="R1505" i="8"/>
  <c r="S1505" i="8"/>
  <c r="T1505" i="8"/>
  <c r="E1506" i="8"/>
  <c r="F1506" i="8"/>
  <c r="G1506" i="8"/>
  <c r="H1506" i="8"/>
  <c r="I1506" i="8"/>
  <c r="J1506" i="8"/>
  <c r="K1506" i="8"/>
  <c r="L1506" i="8"/>
  <c r="M1506" i="8"/>
  <c r="N1506" i="8"/>
  <c r="O1506" i="8"/>
  <c r="P1506" i="8"/>
  <c r="Q1506" i="8"/>
  <c r="R1506" i="8"/>
  <c r="S1506" i="8"/>
  <c r="T1506" i="8"/>
  <c r="E1507" i="8"/>
  <c r="F1507" i="8"/>
  <c r="G1507" i="8"/>
  <c r="H1507" i="8"/>
  <c r="I1507" i="8"/>
  <c r="J1507" i="8"/>
  <c r="K1507" i="8"/>
  <c r="L1507" i="8"/>
  <c r="M1507" i="8"/>
  <c r="N1507" i="8"/>
  <c r="O1507" i="8"/>
  <c r="P1507" i="8"/>
  <c r="Q1507" i="8"/>
  <c r="R1507" i="8"/>
  <c r="S1507" i="8"/>
  <c r="T1507" i="8"/>
  <c r="E1508" i="8"/>
  <c r="F1508" i="8"/>
  <c r="G1508" i="8"/>
  <c r="H1508" i="8"/>
  <c r="I1508" i="8"/>
  <c r="J1508" i="8"/>
  <c r="K1508" i="8"/>
  <c r="L1508" i="8"/>
  <c r="M1508" i="8"/>
  <c r="N1508" i="8"/>
  <c r="O1508" i="8"/>
  <c r="P1508" i="8"/>
  <c r="Q1508" i="8"/>
  <c r="R1508" i="8"/>
  <c r="S1508" i="8"/>
  <c r="T1508" i="8"/>
  <c r="E1509" i="8"/>
  <c r="F1509" i="8"/>
  <c r="M1496" i="8"/>
  <c r="G1498" i="8"/>
  <c r="H1498" i="8"/>
  <c r="I1498" i="8"/>
  <c r="J1498" i="8"/>
  <c r="K1498" i="8"/>
  <c r="L1498" i="8"/>
  <c r="M1498" i="8"/>
  <c r="N1498" i="8"/>
  <c r="O1498" i="8"/>
  <c r="P1498" i="8"/>
  <c r="Q1498" i="8"/>
  <c r="R1498" i="8"/>
  <c r="S1498" i="8"/>
  <c r="T1498" i="8"/>
  <c r="E1499" i="8"/>
  <c r="F1499" i="8"/>
  <c r="G1499" i="8"/>
  <c r="H1499" i="8"/>
  <c r="I1499" i="8"/>
  <c r="J1499" i="8"/>
  <c r="K1499" i="8"/>
  <c r="L1499" i="8"/>
  <c r="M1499" i="8"/>
  <c r="N1499" i="8"/>
  <c r="O1499" i="8"/>
  <c r="P1499" i="8"/>
  <c r="Q1499" i="8"/>
  <c r="R1499" i="8"/>
  <c r="S1499" i="8"/>
  <c r="T1499" i="8"/>
  <c r="E1500" i="8"/>
  <c r="F1500" i="8"/>
  <c r="G1500" i="8"/>
  <c r="H1500" i="8"/>
  <c r="I1500" i="8"/>
  <c r="J1500" i="8"/>
  <c r="K1500" i="8"/>
  <c r="L1500" i="8"/>
  <c r="M1500" i="8"/>
  <c r="N1500" i="8"/>
  <c r="O1500" i="8"/>
  <c r="P1500" i="8"/>
  <c r="Q1500" i="8"/>
  <c r="R1500" i="8"/>
  <c r="S1500" i="8"/>
  <c r="T1500" i="8"/>
  <c r="E1501" i="8"/>
  <c r="F1501" i="8"/>
  <c r="G1501" i="8"/>
  <c r="H1501" i="8"/>
  <c r="I1501" i="8"/>
  <c r="J1501" i="8"/>
  <c r="K1501" i="8"/>
  <c r="L1501" i="8"/>
  <c r="M1501" i="8"/>
  <c r="N1501" i="8"/>
  <c r="O1501" i="8"/>
  <c r="P1501" i="8"/>
  <c r="Q1501" i="8"/>
  <c r="R1501" i="8"/>
  <c r="S1501" i="8"/>
  <c r="T1501" i="8"/>
  <c r="E1502" i="8"/>
  <c r="F1502" i="8"/>
  <c r="G1502" i="8"/>
  <c r="H1502" i="8"/>
  <c r="I1502" i="8"/>
  <c r="J1502" i="8"/>
  <c r="K1502" i="8"/>
  <c r="L1502" i="8"/>
  <c r="M1502" i="8"/>
  <c r="N1502" i="8"/>
  <c r="O1502" i="8"/>
  <c r="P1502" i="8"/>
  <c r="S1494" i="8"/>
  <c r="Q1502" i="8"/>
  <c r="R1502" i="8"/>
  <c r="E142" i="7"/>
  <c r="F142" i="7"/>
  <c r="G142" i="7"/>
  <c r="H142" i="7"/>
  <c r="I142" i="7"/>
  <c r="J142" i="7"/>
  <c r="K142" i="7"/>
  <c r="L142" i="7"/>
  <c r="M142" i="7"/>
  <c r="N142" i="7"/>
  <c r="P142" i="7"/>
  <c r="Q142" i="7"/>
  <c r="R142" i="7"/>
  <c r="S142" i="7"/>
  <c r="U142" i="7"/>
  <c r="V142" i="7"/>
  <c r="W142" i="7"/>
  <c r="X142" i="7"/>
  <c r="Y142" i="7"/>
  <c r="Z142" i="7"/>
  <c r="AA142" i="7"/>
  <c r="AC142" i="7"/>
  <c r="AE142" i="7"/>
  <c r="AI142" i="7"/>
  <c r="AO142" i="7"/>
  <c r="AP142" i="7"/>
  <c r="E1492" i="8"/>
  <c r="F1492" i="8"/>
  <c r="G1492" i="8"/>
  <c r="H1492" i="8"/>
  <c r="I1492" i="8"/>
  <c r="J1492" i="8"/>
  <c r="K1492" i="8"/>
  <c r="L1492" i="8"/>
  <c r="M1492" i="8"/>
  <c r="N1492" i="8"/>
  <c r="O1492" i="8"/>
  <c r="P1492" i="8"/>
  <c r="Q1492" i="8"/>
  <c r="R1492" i="8"/>
  <c r="S1492" i="8"/>
  <c r="T1492" i="8"/>
  <c r="E1493" i="8"/>
  <c r="F1493" i="8"/>
  <c r="G1493" i="8"/>
  <c r="H1493" i="8"/>
  <c r="I1493" i="8"/>
  <c r="J1493" i="8"/>
  <c r="K1493" i="8"/>
  <c r="L1493" i="8"/>
  <c r="M1493" i="8"/>
  <c r="N1493" i="8"/>
  <c r="O1493" i="8"/>
  <c r="P1493" i="8"/>
  <c r="Q1493" i="8"/>
  <c r="R1493" i="8"/>
  <c r="S1493" i="8"/>
  <c r="T1493" i="8"/>
  <c r="E1494" i="8"/>
  <c r="F1494" i="8"/>
  <c r="G1494" i="8"/>
  <c r="H1494" i="8"/>
  <c r="I1494" i="8"/>
  <c r="J1494" i="8"/>
  <c r="K1494" i="8"/>
  <c r="L1494" i="8"/>
  <c r="M1494" i="8"/>
  <c r="N1494" i="8"/>
  <c r="O1494" i="8"/>
  <c r="P1494" i="8"/>
  <c r="Q1494" i="8"/>
  <c r="R1494" i="8"/>
  <c r="S1502" i="8"/>
  <c r="T1494" i="8"/>
  <c r="E1495" i="8"/>
  <c r="F1495" i="8"/>
  <c r="G1495" i="8"/>
  <c r="H1495" i="8"/>
  <c r="I1495" i="8"/>
  <c r="J1495" i="8"/>
  <c r="K1495" i="8"/>
  <c r="L1495" i="8"/>
  <c r="M1495" i="8"/>
  <c r="N1495" i="8"/>
  <c r="O1495" i="8"/>
  <c r="P1495" i="8"/>
  <c r="Q1495" i="8"/>
  <c r="R1495" i="8"/>
  <c r="S1495" i="8"/>
  <c r="T1495" i="8"/>
  <c r="E1496" i="8"/>
  <c r="F1496" i="8"/>
  <c r="G1496" i="8"/>
  <c r="H1496" i="8"/>
  <c r="I1496" i="8"/>
  <c r="J1496" i="8"/>
  <c r="K1496" i="8"/>
  <c r="L1496" i="8"/>
  <c r="T1502" i="8"/>
  <c r="N1496" i="8"/>
  <c r="O1496" i="8"/>
  <c r="P1496" i="8"/>
  <c r="Q1496" i="8"/>
  <c r="R1496" i="8"/>
  <c r="S1496" i="8"/>
  <c r="T1496" i="8"/>
  <c r="E1497" i="8"/>
  <c r="F1497" i="8"/>
  <c r="G1497" i="8"/>
  <c r="H1497" i="8"/>
  <c r="I1497" i="8"/>
  <c r="J1497" i="8"/>
  <c r="K1497" i="8"/>
  <c r="L1497" i="8"/>
  <c r="M1497" i="8"/>
  <c r="N1497" i="8"/>
  <c r="O1497" i="8"/>
  <c r="P1497" i="8"/>
  <c r="Q1497" i="8"/>
  <c r="R1497" i="8"/>
  <c r="S1497" i="8"/>
  <c r="T1497" i="8"/>
  <c r="E1498" i="8"/>
  <c r="F1498" i="8"/>
  <c r="H1487" i="8"/>
  <c r="I1487" i="8"/>
  <c r="J1487" i="8"/>
  <c r="K1487" i="8"/>
  <c r="L1487" i="8"/>
  <c r="M1487" i="8"/>
  <c r="N1487" i="8"/>
  <c r="O1487" i="8"/>
  <c r="P1487" i="8"/>
  <c r="Q1487" i="8"/>
  <c r="R1487" i="8"/>
  <c r="S1487" i="8"/>
  <c r="T1487" i="8"/>
  <c r="E1488" i="8"/>
  <c r="F1488" i="8"/>
  <c r="G1488" i="8"/>
  <c r="H1488" i="8"/>
  <c r="I1488" i="8"/>
  <c r="J1488" i="8"/>
  <c r="K1488" i="8"/>
  <c r="L1488" i="8"/>
  <c r="M1488" i="8"/>
  <c r="N1488" i="8"/>
  <c r="O1488" i="8"/>
  <c r="P1488" i="8"/>
  <c r="Q1488" i="8"/>
  <c r="R1488" i="8"/>
  <c r="S1488" i="8"/>
  <c r="T1488" i="8"/>
  <c r="E1489" i="8"/>
  <c r="F1489" i="8"/>
  <c r="G1489" i="8"/>
  <c r="H1489" i="8"/>
  <c r="I1489" i="8"/>
  <c r="J1489" i="8"/>
  <c r="K1489" i="8"/>
  <c r="L1489" i="8"/>
  <c r="M1489" i="8"/>
  <c r="N1489" i="8"/>
  <c r="O1489" i="8"/>
  <c r="P1489" i="8"/>
  <c r="Q1489" i="8"/>
  <c r="R1489" i="8"/>
  <c r="S1489" i="8"/>
  <c r="T1489" i="8"/>
  <c r="E1490" i="8"/>
  <c r="F1490" i="8"/>
  <c r="G1490" i="8"/>
  <c r="H1490" i="8"/>
  <c r="I1490" i="8"/>
  <c r="J1490" i="8"/>
  <c r="K1490" i="8"/>
  <c r="L1490" i="8"/>
  <c r="M1490" i="8"/>
  <c r="N1490" i="8"/>
  <c r="O1490" i="8"/>
  <c r="P1490" i="8"/>
  <c r="Q1490" i="8"/>
  <c r="R1490" i="8"/>
  <c r="S1490" i="8"/>
  <c r="T1490" i="8"/>
  <c r="E1491" i="8"/>
  <c r="F1491" i="8"/>
  <c r="G1491" i="8"/>
  <c r="H1491" i="8"/>
  <c r="I1491" i="8"/>
  <c r="J1491" i="8"/>
  <c r="K1491" i="8"/>
  <c r="L1491" i="8"/>
  <c r="M1491" i="8"/>
  <c r="N1491" i="8"/>
  <c r="O1491" i="8"/>
  <c r="P1491" i="8"/>
  <c r="Q1491" i="8"/>
  <c r="R1491" i="8"/>
  <c r="S1491" i="8"/>
  <c r="T1491" i="8"/>
  <c r="M1485" i="8"/>
  <c r="E141" i="7"/>
  <c r="F141" i="7"/>
  <c r="G141" i="7"/>
  <c r="H141" i="7"/>
  <c r="I141" i="7"/>
  <c r="J141" i="7"/>
  <c r="K141" i="7"/>
  <c r="L141" i="7"/>
  <c r="M141" i="7"/>
  <c r="N141" i="7"/>
  <c r="P141" i="7"/>
  <c r="Q141" i="7"/>
  <c r="R141" i="7"/>
  <c r="S141" i="7"/>
  <c r="U141" i="7"/>
  <c r="V141" i="7"/>
  <c r="W141" i="7"/>
  <c r="X141" i="7"/>
  <c r="Y141" i="7"/>
  <c r="Z141" i="7"/>
  <c r="AA141" i="7"/>
  <c r="AC141" i="7"/>
  <c r="AE141" i="7"/>
  <c r="AI141" i="7"/>
  <c r="AO141" i="7"/>
  <c r="AP141" i="7"/>
  <c r="E1481" i="8"/>
  <c r="F1481" i="8"/>
  <c r="G1481" i="8"/>
  <c r="H1481" i="8"/>
  <c r="I1481" i="8"/>
  <c r="J1481" i="8"/>
  <c r="K1481" i="8"/>
  <c r="L1481" i="8"/>
  <c r="M1481" i="8"/>
  <c r="N1481" i="8"/>
  <c r="O1481" i="8"/>
  <c r="P1481" i="8"/>
  <c r="Q1481" i="8"/>
  <c r="R1481" i="8"/>
  <c r="S1481" i="8"/>
  <c r="T1481" i="8"/>
  <c r="E1482" i="8"/>
  <c r="F1482" i="8"/>
  <c r="G1482" i="8"/>
  <c r="H1482" i="8"/>
  <c r="I1482" i="8"/>
  <c r="J1482" i="8"/>
  <c r="K1482" i="8"/>
  <c r="L1482" i="8"/>
  <c r="M1482" i="8"/>
  <c r="N1482" i="8"/>
  <c r="O1482" i="8"/>
  <c r="P1482" i="8"/>
  <c r="Q1482" i="8"/>
  <c r="R1482" i="8"/>
  <c r="S1482" i="8"/>
  <c r="T1482" i="8"/>
  <c r="E1483" i="8"/>
  <c r="F1483" i="8"/>
  <c r="G1483" i="8"/>
  <c r="H1483" i="8"/>
  <c r="I1483" i="8"/>
  <c r="J1483" i="8"/>
  <c r="K1483" i="8"/>
  <c r="L1483" i="8"/>
  <c r="M1483" i="8"/>
  <c r="N1483" i="8"/>
  <c r="O1483" i="8"/>
  <c r="P1483" i="8"/>
  <c r="Q1483" i="8"/>
  <c r="R1483" i="8"/>
  <c r="S1483" i="8"/>
  <c r="T1483" i="8"/>
  <c r="E1484" i="8"/>
  <c r="F1484" i="8"/>
  <c r="G1484" i="8"/>
  <c r="H1484" i="8"/>
  <c r="I1484" i="8"/>
  <c r="J1484" i="8"/>
  <c r="K1484" i="8"/>
  <c r="L1484" i="8"/>
  <c r="M1484" i="8"/>
  <c r="N1484" i="8"/>
  <c r="O1484" i="8"/>
  <c r="P1484" i="8"/>
  <c r="Q1484" i="8"/>
  <c r="R1484" i="8"/>
  <c r="S1484" i="8"/>
  <c r="T1484" i="8"/>
  <c r="E1485" i="8"/>
  <c r="F1485" i="8"/>
  <c r="G1485" i="8"/>
  <c r="H1485" i="8"/>
  <c r="I1485" i="8"/>
  <c r="J1485" i="8"/>
  <c r="K1485" i="8"/>
  <c r="L1485" i="8"/>
  <c r="N1485" i="8"/>
  <c r="O1485" i="8"/>
  <c r="P1485" i="8"/>
  <c r="Q1485" i="8"/>
  <c r="R1485" i="8"/>
  <c r="S1485" i="8"/>
  <c r="T1485" i="8"/>
  <c r="E1486" i="8"/>
  <c r="F1486" i="8"/>
  <c r="G1486" i="8"/>
  <c r="H1486" i="8"/>
  <c r="I1486" i="8"/>
  <c r="J1486" i="8"/>
  <c r="K1486" i="8"/>
  <c r="L1486" i="8"/>
  <c r="M1486" i="8"/>
  <c r="N1486" i="8"/>
  <c r="O1486" i="8"/>
  <c r="P1486" i="8"/>
  <c r="Q1486" i="8"/>
  <c r="R1486" i="8"/>
  <c r="S1486" i="8"/>
  <c r="T1486" i="8"/>
  <c r="E1487" i="8"/>
  <c r="F1487" i="8"/>
  <c r="G1487" i="8"/>
  <c r="M1479" i="8"/>
  <c r="P1479" i="8"/>
  <c r="R1479" i="8"/>
  <c r="E1480" i="8"/>
  <c r="G1480" i="8"/>
  <c r="I1480" i="8"/>
  <c r="K1480" i="8"/>
  <c r="M1480" i="8"/>
  <c r="O1480" i="8"/>
  <c r="Q1480" i="8"/>
  <c r="S1480" i="8"/>
  <c r="G1476" i="8"/>
  <c r="H1476" i="8"/>
  <c r="I1476" i="8"/>
  <c r="J1476" i="8"/>
  <c r="K1476" i="8"/>
  <c r="L1476" i="8"/>
  <c r="M1476" i="8"/>
  <c r="N1476" i="8"/>
  <c r="O1476" i="8"/>
  <c r="P1476" i="8"/>
  <c r="Q1476" i="8"/>
  <c r="R1476" i="8"/>
  <c r="S1476" i="8"/>
  <c r="T1476" i="8"/>
  <c r="E1477" i="8"/>
  <c r="F1477" i="8"/>
  <c r="G1477" i="8"/>
  <c r="H1477" i="8"/>
  <c r="I1477" i="8"/>
  <c r="J1477" i="8"/>
  <c r="K1477" i="8"/>
  <c r="L1477" i="8"/>
  <c r="M1477" i="8"/>
  <c r="N1477" i="8"/>
  <c r="O1477" i="8"/>
  <c r="P1477" i="8"/>
  <c r="Q1477" i="8"/>
  <c r="R1477" i="8"/>
  <c r="S1477" i="8"/>
  <c r="T1477" i="8"/>
  <c r="E1478" i="8"/>
  <c r="F1478" i="8"/>
  <c r="G1478" i="8"/>
  <c r="H1478" i="8"/>
  <c r="I1478" i="8"/>
  <c r="J1478" i="8"/>
  <c r="K1478" i="8"/>
  <c r="L1478" i="8"/>
  <c r="M1478" i="8"/>
  <c r="N1478" i="8"/>
  <c r="O1478" i="8"/>
  <c r="P1478" i="8"/>
  <c r="Q1478" i="8"/>
  <c r="R1478" i="8"/>
  <c r="S1478" i="8"/>
  <c r="T1478" i="8"/>
  <c r="E1479" i="8"/>
  <c r="F1479" i="8"/>
  <c r="G1479" i="8"/>
  <c r="H1479" i="8"/>
  <c r="I1479" i="8"/>
  <c r="K1479" i="8"/>
  <c r="L1479" i="8"/>
  <c r="N1479" i="8"/>
  <c r="O1479" i="8"/>
  <c r="Q1479" i="8"/>
  <c r="S1479" i="8"/>
  <c r="T1479" i="8"/>
  <c r="F1480" i="8"/>
  <c r="H1480" i="8"/>
  <c r="J1480" i="8"/>
  <c r="L1480" i="8"/>
  <c r="N1480" i="8"/>
  <c r="R1480" i="8"/>
  <c r="T1480" i="8"/>
  <c r="P1480" i="8"/>
  <c r="J1479" i="8"/>
  <c r="E140" i="7"/>
  <c r="F140" i="7"/>
  <c r="G140" i="7"/>
  <c r="H140" i="7"/>
  <c r="I140" i="7"/>
  <c r="J140" i="7"/>
  <c r="K140" i="7"/>
  <c r="L140" i="7"/>
  <c r="M140" i="7"/>
  <c r="N140" i="7"/>
  <c r="P140" i="7"/>
  <c r="Q140" i="7"/>
  <c r="R140" i="7"/>
  <c r="S140" i="7"/>
  <c r="U140" i="7"/>
  <c r="V140" i="7"/>
  <c r="W140" i="7"/>
  <c r="X140" i="7"/>
  <c r="Y140" i="7"/>
  <c r="Z140" i="7"/>
  <c r="AA140" i="7"/>
  <c r="AC140" i="7"/>
  <c r="AE140" i="7"/>
  <c r="AI140" i="7"/>
  <c r="AO140" i="7"/>
  <c r="AP140" i="7"/>
  <c r="E1470" i="8"/>
  <c r="F1470" i="8"/>
  <c r="G1470" i="8"/>
  <c r="H1470" i="8"/>
  <c r="I1470" i="8"/>
  <c r="J1470" i="8"/>
  <c r="K1470" i="8"/>
  <c r="L1470" i="8"/>
  <c r="M1470" i="8"/>
  <c r="N1470" i="8"/>
  <c r="O1470" i="8"/>
  <c r="P1470" i="8"/>
  <c r="Q1470" i="8"/>
  <c r="R1470" i="8"/>
  <c r="S1470" i="8"/>
  <c r="T1470" i="8"/>
  <c r="E1471" i="8"/>
  <c r="F1471" i="8"/>
  <c r="G1471" i="8"/>
  <c r="H1471" i="8"/>
  <c r="I1471" i="8"/>
  <c r="J1471" i="8"/>
  <c r="K1471" i="8"/>
  <c r="L1471" i="8"/>
  <c r="M1471" i="8"/>
  <c r="N1471" i="8"/>
  <c r="O1471" i="8"/>
  <c r="P1471" i="8"/>
  <c r="Q1471" i="8"/>
  <c r="R1471" i="8"/>
  <c r="S1471" i="8"/>
  <c r="T1471" i="8"/>
  <c r="E1472" i="8"/>
  <c r="F1472" i="8"/>
  <c r="G1472" i="8"/>
  <c r="H1472" i="8"/>
  <c r="I1472" i="8"/>
  <c r="J1472" i="8"/>
  <c r="K1472" i="8"/>
  <c r="L1472" i="8"/>
  <c r="M1472" i="8"/>
  <c r="N1472" i="8"/>
  <c r="O1472" i="8"/>
  <c r="P1472" i="8"/>
  <c r="Q1472" i="8"/>
  <c r="R1472" i="8"/>
  <c r="S1472" i="8"/>
  <c r="T1472" i="8"/>
  <c r="E1473" i="8"/>
  <c r="F1473" i="8"/>
  <c r="G1473" i="8"/>
  <c r="H1473" i="8"/>
  <c r="I1473" i="8"/>
  <c r="J1473" i="8"/>
  <c r="K1473" i="8"/>
  <c r="L1473" i="8"/>
  <c r="M1473" i="8"/>
  <c r="N1473" i="8"/>
  <c r="O1473" i="8"/>
  <c r="P1473" i="8"/>
  <c r="Q1473" i="8"/>
  <c r="R1473" i="8"/>
  <c r="S1473" i="8"/>
  <c r="T1473" i="8"/>
  <c r="E1474" i="8"/>
  <c r="F1474" i="8"/>
  <c r="G1474" i="8"/>
  <c r="H1474" i="8"/>
  <c r="I1474" i="8"/>
  <c r="J1474" i="8"/>
  <c r="K1474" i="8"/>
  <c r="L1474" i="8"/>
  <c r="M1474" i="8"/>
  <c r="N1474" i="8"/>
  <c r="O1474" i="8"/>
  <c r="P1474" i="8"/>
  <c r="Q1474" i="8"/>
  <c r="R1474" i="8"/>
  <c r="S1474" i="8"/>
  <c r="T1474" i="8"/>
  <c r="E1475" i="8"/>
  <c r="F1475" i="8"/>
  <c r="G1475" i="8"/>
  <c r="H1475" i="8"/>
  <c r="I1475" i="8"/>
  <c r="J1475" i="8"/>
  <c r="K1475" i="8"/>
  <c r="L1475" i="8"/>
  <c r="M1475" i="8"/>
  <c r="N1475" i="8"/>
  <c r="O1475" i="8"/>
  <c r="P1475" i="8"/>
  <c r="Q1475" i="8"/>
  <c r="R1475" i="8"/>
  <c r="S1475" i="8"/>
  <c r="T1475" i="8"/>
  <c r="E1476" i="8"/>
  <c r="F1476" i="8"/>
  <c r="F139" i="7"/>
  <c r="I139" i="7"/>
  <c r="K139" i="7"/>
  <c r="Q139" i="7"/>
  <c r="S139" i="7"/>
  <c r="U139" i="7"/>
  <c r="W139" i="7"/>
  <c r="AA139" i="7"/>
  <c r="AE139" i="7"/>
  <c r="F1459" i="8"/>
  <c r="G1459" i="8"/>
  <c r="I1459" i="8"/>
  <c r="L1459" i="8"/>
  <c r="N1459" i="8"/>
  <c r="P1459" i="8"/>
  <c r="R1459" i="8"/>
  <c r="T1459" i="8"/>
  <c r="F1460" i="8"/>
  <c r="H1460" i="8"/>
  <c r="J1460" i="8"/>
  <c r="L1460" i="8"/>
  <c r="N1460" i="8"/>
  <c r="P1460" i="8"/>
  <c r="Q1460" i="8"/>
  <c r="S1460" i="8"/>
  <c r="E1461" i="8"/>
  <c r="G1461" i="8"/>
  <c r="K1461" i="8"/>
  <c r="L1461" i="8"/>
  <c r="M1461" i="8"/>
  <c r="N1461" i="8"/>
  <c r="O1461" i="8"/>
  <c r="P1461" i="8"/>
  <c r="Q1461" i="8"/>
  <c r="S1461" i="8"/>
  <c r="T1461" i="8"/>
  <c r="F1462" i="8"/>
  <c r="H1462" i="8"/>
  <c r="J1462" i="8"/>
  <c r="L1462" i="8"/>
  <c r="N1462" i="8"/>
  <c r="P1462" i="8"/>
  <c r="R1462" i="8"/>
  <c r="T1462" i="8"/>
  <c r="F1463" i="8"/>
  <c r="H1463" i="8"/>
  <c r="J1463" i="8"/>
  <c r="L1463" i="8"/>
  <c r="T1463" i="8"/>
  <c r="G1464" i="8"/>
  <c r="I1464" i="8"/>
  <c r="K1464" i="8"/>
  <c r="M1464" i="8"/>
  <c r="O1464" i="8"/>
  <c r="Q1464" i="8"/>
  <c r="S1464" i="8"/>
  <c r="E1465" i="8"/>
  <c r="H1465" i="8"/>
  <c r="J1465" i="8"/>
  <c r="M1465" i="8"/>
  <c r="O1465" i="8"/>
  <c r="Q1465" i="8"/>
  <c r="E139" i="7"/>
  <c r="G139" i="7"/>
  <c r="H139" i="7"/>
  <c r="J139" i="7"/>
  <c r="L139" i="7"/>
  <c r="M139" i="7"/>
  <c r="P139" i="7"/>
  <c r="R139" i="7"/>
  <c r="V139" i="7"/>
  <c r="X139" i="7"/>
  <c r="Z139" i="7"/>
  <c r="AC139" i="7"/>
  <c r="AI139" i="7"/>
  <c r="E1459" i="8"/>
  <c r="H1459" i="8"/>
  <c r="J1459" i="8"/>
  <c r="K1459" i="8"/>
  <c r="M1459" i="8"/>
  <c r="O1459" i="8"/>
  <c r="Q1459" i="8"/>
  <c r="S1459" i="8"/>
  <c r="E1460" i="8"/>
  <c r="G1460" i="8"/>
  <c r="I1460" i="8"/>
  <c r="K1460" i="8"/>
  <c r="M1460" i="8"/>
  <c r="O1460" i="8"/>
  <c r="R1460" i="8"/>
  <c r="T1460" i="8"/>
  <c r="F1461" i="8"/>
  <c r="H1461" i="8"/>
  <c r="I1461" i="8"/>
  <c r="J1461" i="8"/>
  <c r="R1461" i="8"/>
  <c r="E1462" i="8"/>
  <c r="G1462" i="8"/>
  <c r="I1462" i="8"/>
  <c r="K1462" i="8"/>
  <c r="M1462" i="8"/>
  <c r="O1462" i="8"/>
  <c r="Q1462" i="8"/>
  <c r="S1462" i="8"/>
  <c r="E1463" i="8"/>
  <c r="G1463" i="8"/>
  <c r="I1463" i="8"/>
  <c r="K1463" i="8"/>
  <c r="M1463" i="8"/>
  <c r="N1463" i="8"/>
  <c r="O1463" i="8"/>
  <c r="P1463" i="8"/>
  <c r="Q1463" i="8"/>
  <c r="R1463" i="8"/>
  <c r="S1463" i="8"/>
  <c r="E1464" i="8"/>
  <c r="F1464" i="8"/>
  <c r="H1464" i="8"/>
  <c r="J1464" i="8"/>
  <c r="L1464" i="8"/>
  <c r="N1464" i="8"/>
  <c r="P1464" i="8"/>
  <c r="R1464" i="8"/>
  <c r="T1464" i="8"/>
  <c r="F1465" i="8"/>
  <c r="G1465" i="8"/>
  <c r="I1465" i="8"/>
  <c r="K1465" i="8"/>
  <c r="L1465" i="8"/>
  <c r="N1465" i="8"/>
  <c r="P1465" i="8"/>
  <c r="R1465" i="8"/>
  <c r="S1465" i="8"/>
  <c r="T1465" i="8"/>
  <c r="E1466" i="8"/>
  <c r="F1466" i="8"/>
  <c r="G1466" i="8"/>
  <c r="H1466" i="8"/>
  <c r="I1466" i="8"/>
  <c r="J1466" i="8"/>
  <c r="K1466" i="8"/>
  <c r="L1466" i="8"/>
  <c r="M1466" i="8"/>
  <c r="N1466" i="8"/>
  <c r="O1466" i="8"/>
  <c r="P1466" i="8"/>
  <c r="Q1466" i="8"/>
  <c r="R1466" i="8"/>
  <c r="S1466" i="8"/>
  <c r="T1466" i="8"/>
  <c r="E1467" i="8"/>
  <c r="F1467" i="8"/>
  <c r="G1467" i="8"/>
  <c r="H1467" i="8"/>
  <c r="I1467" i="8"/>
  <c r="J1467" i="8"/>
  <c r="K1467" i="8"/>
  <c r="L1467" i="8"/>
  <c r="M1467" i="8"/>
  <c r="N1467" i="8"/>
  <c r="O1467" i="8"/>
  <c r="P1467" i="8"/>
  <c r="Q1467" i="8"/>
  <c r="R1467" i="8"/>
  <c r="S1467" i="8"/>
  <c r="T1467" i="8"/>
  <c r="E1468" i="8"/>
  <c r="F1468" i="8"/>
  <c r="G1468" i="8"/>
  <c r="H1468" i="8"/>
  <c r="I1468" i="8"/>
  <c r="J1468" i="8"/>
  <c r="K1468" i="8"/>
  <c r="L1468" i="8"/>
  <c r="M1468" i="8"/>
  <c r="N1468" i="8"/>
  <c r="O1468" i="8"/>
  <c r="P1468" i="8"/>
  <c r="Q1468" i="8"/>
  <c r="R1468" i="8"/>
  <c r="S1468" i="8"/>
  <c r="T1468" i="8"/>
  <c r="E1469" i="8"/>
  <c r="F1469" i="8"/>
  <c r="G1469" i="8"/>
  <c r="H1469" i="8"/>
  <c r="I1469" i="8"/>
  <c r="J1469" i="8"/>
  <c r="K1469" i="8"/>
  <c r="L1469" i="8"/>
  <c r="M1469" i="8"/>
  <c r="N1469" i="8"/>
  <c r="O1469" i="8"/>
  <c r="P1469" i="8"/>
  <c r="Q1469" i="8"/>
  <c r="R1469" i="8"/>
  <c r="S1469" i="8"/>
  <c r="T1469" i="8"/>
  <c r="E138" i="7"/>
  <c r="F138" i="7"/>
  <c r="G138" i="7"/>
  <c r="H138" i="7"/>
  <c r="I138" i="7"/>
  <c r="J138" i="7"/>
  <c r="K138" i="7"/>
  <c r="L138" i="7"/>
  <c r="M138" i="7"/>
  <c r="N138" i="7"/>
  <c r="P138" i="7"/>
  <c r="Q138" i="7"/>
  <c r="R138" i="7"/>
  <c r="S138" i="7"/>
  <c r="U138" i="7"/>
  <c r="V138" i="7"/>
  <c r="W138" i="7"/>
  <c r="X138" i="7"/>
  <c r="Y138" i="7"/>
  <c r="Z138" i="7"/>
  <c r="AA138" i="7"/>
  <c r="AC138" i="7"/>
  <c r="AE138" i="7"/>
  <c r="AI138" i="7"/>
  <c r="AO138" i="7"/>
  <c r="AP138" i="7"/>
  <c r="E1448" i="8"/>
  <c r="F1448" i="8"/>
  <c r="G1448" i="8"/>
  <c r="H1448" i="8"/>
  <c r="I1448" i="8"/>
  <c r="J1448" i="8"/>
  <c r="K1448" i="8"/>
  <c r="L1448" i="8"/>
  <c r="M1448" i="8"/>
  <c r="N1448" i="8"/>
  <c r="O1448" i="8"/>
  <c r="P1448" i="8"/>
  <c r="Q1448" i="8"/>
  <c r="R1448" i="8"/>
  <c r="S1448" i="8"/>
  <c r="T1448" i="8"/>
  <c r="E1449" i="8"/>
  <c r="F1449" i="8"/>
  <c r="G1449" i="8"/>
  <c r="H1449" i="8"/>
  <c r="I1449" i="8"/>
  <c r="J1449" i="8"/>
  <c r="K1449" i="8"/>
  <c r="L1449" i="8"/>
  <c r="M1449" i="8"/>
  <c r="N1449" i="8"/>
  <c r="O1449" i="8"/>
  <c r="P1449" i="8"/>
  <c r="Q1449" i="8"/>
  <c r="R1449" i="8"/>
  <c r="S1449" i="8"/>
  <c r="T1449" i="8"/>
  <c r="E1450" i="8"/>
  <c r="F1450" i="8"/>
  <c r="G1450" i="8"/>
  <c r="H1450" i="8"/>
  <c r="I1450" i="8"/>
  <c r="J1450" i="8"/>
  <c r="K1450" i="8"/>
  <c r="L1450" i="8"/>
  <c r="M1450" i="8"/>
  <c r="N1450" i="8"/>
  <c r="O1450" i="8"/>
  <c r="P1450" i="8"/>
  <c r="Q1450" i="8"/>
  <c r="R1450" i="8"/>
  <c r="S1450" i="8"/>
  <c r="T1450" i="8"/>
  <c r="E1451" i="8"/>
  <c r="F1451" i="8"/>
  <c r="G1451" i="8"/>
  <c r="H1451" i="8"/>
  <c r="I1451" i="8"/>
  <c r="J1451" i="8"/>
  <c r="K1451" i="8"/>
  <c r="L1451" i="8"/>
  <c r="M1451" i="8"/>
  <c r="N1451" i="8"/>
  <c r="O1451" i="8"/>
  <c r="P1451" i="8"/>
  <c r="Q1451" i="8"/>
  <c r="R1451" i="8"/>
  <c r="S1451" i="8"/>
  <c r="T1451" i="8"/>
  <c r="E1452" i="8"/>
  <c r="F1452" i="8"/>
  <c r="G1452" i="8"/>
  <c r="H1452" i="8"/>
  <c r="I1452" i="8"/>
  <c r="J1452" i="8"/>
  <c r="K1452" i="8"/>
  <c r="L1452" i="8"/>
  <c r="M1452" i="8"/>
  <c r="N1452" i="8"/>
  <c r="O1452" i="8"/>
  <c r="P1452" i="8"/>
  <c r="Q1452" i="8"/>
  <c r="R1452" i="8"/>
  <c r="S1452" i="8"/>
  <c r="T1452" i="8"/>
  <c r="E1453" i="8"/>
  <c r="F1453" i="8"/>
  <c r="G1453" i="8"/>
  <c r="H1453" i="8"/>
  <c r="I1453" i="8"/>
  <c r="J1453" i="8"/>
  <c r="K1453" i="8"/>
  <c r="L1453" i="8"/>
  <c r="M1453" i="8"/>
  <c r="N1453" i="8"/>
  <c r="O1453" i="8"/>
  <c r="P1453" i="8"/>
  <c r="Q1453" i="8"/>
  <c r="R1453" i="8"/>
  <c r="S1453" i="8"/>
  <c r="T1453" i="8"/>
  <c r="E1454" i="8"/>
  <c r="F1454" i="8"/>
  <c r="G1454" i="8"/>
  <c r="H1454" i="8"/>
  <c r="I1454" i="8"/>
  <c r="J1454" i="8"/>
  <c r="K1454" i="8"/>
  <c r="L1454" i="8"/>
  <c r="M1454" i="8"/>
  <c r="N1454" i="8"/>
  <c r="O1454" i="8"/>
  <c r="P1454" i="8"/>
  <c r="Q1454" i="8"/>
  <c r="R1454" i="8"/>
  <c r="S1454" i="8"/>
  <c r="T1454" i="8"/>
  <c r="E1455" i="8"/>
  <c r="F1455" i="8"/>
  <c r="G1455" i="8"/>
  <c r="H1455" i="8"/>
  <c r="I1455" i="8"/>
  <c r="J1455" i="8"/>
  <c r="K1455" i="8"/>
  <c r="L1455" i="8"/>
  <c r="M1455" i="8"/>
  <c r="N1455" i="8"/>
  <c r="O1455" i="8"/>
  <c r="P1455" i="8"/>
  <c r="Q1455" i="8"/>
  <c r="R1455" i="8"/>
  <c r="S1455" i="8"/>
  <c r="T1455" i="8"/>
  <c r="E1456" i="8"/>
  <c r="F1456" i="8"/>
  <c r="G1456" i="8"/>
  <c r="H1456" i="8"/>
  <c r="I1456" i="8"/>
  <c r="J1456" i="8"/>
  <c r="K1456" i="8"/>
  <c r="L1456" i="8"/>
  <c r="M1456" i="8"/>
  <c r="N1456" i="8"/>
  <c r="O1456" i="8"/>
  <c r="P1456" i="8"/>
  <c r="Q1456" i="8"/>
  <c r="R1456" i="8"/>
  <c r="S1456" i="8"/>
  <c r="T1456" i="8"/>
  <c r="E1457" i="8"/>
  <c r="F1457" i="8"/>
  <c r="G1457" i="8"/>
  <c r="H1457" i="8"/>
  <c r="I1457" i="8"/>
  <c r="J1457" i="8"/>
  <c r="K1457" i="8"/>
  <c r="L1457" i="8"/>
  <c r="M1457" i="8"/>
  <c r="N1457" i="8"/>
  <c r="O1457" i="8"/>
  <c r="P1457" i="8"/>
  <c r="Q1457" i="8"/>
  <c r="R1457" i="8"/>
  <c r="S1457" i="8"/>
  <c r="T1457" i="8"/>
  <c r="E1458" i="8"/>
  <c r="F1458" i="8"/>
  <c r="G1458" i="8"/>
  <c r="H1458" i="8"/>
  <c r="I1458" i="8"/>
  <c r="J1458" i="8"/>
  <c r="K1458" i="8"/>
  <c r="L1458" i="8"/>
  <c r="M1458" i="8"/>
  <c r="N1458" i="8"/>
  <c r="O1458" i="8"/>
  <c r="P1458" i="8"/>
  <c r="Q1458" i="8"/>
  <c r="R1458" i="8"/>
  <c r="S1458" i="8"/>
  <c r="T1458" i="8"/>
  <c r="E137" i="7"/>
  <c r="F137" i="7"/>
  <c r="G137" i="7"/>
  <c r="H137" i="7"/>
  <c r="I137" i="7"/>
  <c r="J137" i="7"/>
  <c r="K137" i="7"/>
  <c r="L137" i="7"/>
  <c r="M137" i="7"/>
  <c r="N137" i="7"/>
  <c r="P137" i="7"/>
  <c r="Q137" i="7"/>
  <c r="R137" i="7"/>
  <c r="S137" i="7"/>
  <c r="U137" i="7"/>
  <c r="V137" i="7"/>
  <c r="W137" i="7"/>
  <c r="X137" i="7"/>
  <c r="Y137" i="7"/>
  <c r="Z137" i="7"/>
  <c r="AA137" i="7"/>
  <c r="AC137" i="7"/>
  <c r="AE137" i="7"/>
  <c r="AI137" i="7"/>
  <c r="AO137" i="7"/>
  <c r="AP137" i="7"/>
  <c r="E1437" i="8"/>
  <c r="F1437" i="8"/>
  <c r="G1437" i="8"/>
  <c r="H1437" i="8"/>
  <c r="I1437" i="8"/>
  <c r="J1437" i="8"/>
  <c r="K1437" i="8"/>
  <c r="L1437" i="8"/>
  <c r="M1437" i="8"/>
  <c r="N1437" i="8"/>
  <c r="O1437" i="8"/>
  <c r="P1437" i="8"/>
  <c r="Q1437" i="8"/>
  <c r="R1437" i="8"/>
  <c r="S1437" i="8"/>
  <c r="T1437" i="8"/>
  <c r="E1438" i="8"/>
  <c r="F1438" i="8"/>
  <c r="G1438" i="8"/>
  <c r="H1438" i="8"/>
  <c r="I1438" i="8"/>
  <c r="J1438" i="8"/>
  <c r="K1438" i="8"/>
  <c r="L1438" i="8"/>
  <c r="M1438" i="8"/>
  <c r="N1438" i="8"/>
  <c r="O1438" i="8"/>
  <c r="P1438" i="8"/>
  <c r="Q1438" i="8"/>
  <c r="R1438" i="8"/>
  <c r="S1438" i="8"/>
  <c r="T1438" i="8"/>
  <c r="E1439" i="8"/>
  <c r="F1439" i="8"/>
  <c r="G1439" i="8"/>
  <c r="H1439" i="8"/>
  <c r="I1439" i="8"/>
  <c r="J1439" i="8"/>
  <c r="K1439" i="8"/>
  <c r="L1439" i="8"/>
  <c r="M1439" i="8"/>
  <c r="N1439" i="8"/>
  <c r="O1439" i="8"/>
  <c r="P1439" i="8"/>
  <c r="Q1439" i="8"/>
  <c r="R1439" i="8"/>
  <c r="S1439" i="8"/>
  <c r="T1439" i="8"/>
  <c r="E1440" i="8"/>
  <c r="F1440" i="8"/>
  <c r="G1440" i="8"/>
  <c r="H1440" i="8"/>
  <c r="I1440" i="8"/>
  <c r="J1440" i="8"/>
  <c r="K1440" i="8"/>
  <c r="L1440" i="8"/>
  <c r="M1440" i="8"/>
  <c r="N1440" i="8"/>
  <c r="O1440" i="8"/>
  <c r="P1440" i="8"/>
  <c r="Q1440" i="8"/>
  <c r="R1440" i="8"/>
  <c r="S1440" i="8"/>
  <c r="T1440" i="8"/>
  <c r="E1441" i="8"/>
  <c r="F1441" i="8"/>
  <c r="G1441" i="8"/>
  <c r="H1441" i="8"/>
  <c r="I1441" i="8"/>
  <c r="J1441" i="8"/>
  <c r="K1441" i="8"/>
  <c r="L1441" i="8"/>
  <c r="M1441" i="8"/>
  <c r="N1441" i="8"/>
  <c r="O1441" i="8"/>
  <c r="P1441" i="8"/>
  <c r="Q1441" i="8"/>
  <c r="R1441" i="8"/>
  <c r="S1441" i="8"/>
  <c r="T1441" i="8"/>
  <c r="E1442" i="8"/>
  <c r="F1442" i="8"/>
  <c r="G1442" i="8"/>
  <c r="H1442" i="8"/>
  <c r="I1442" i="8"/>
  <c r="J1442" i="8"/>
  <c r="K1442" i="8"/>
  <c r="L1442" i="8"/>
  <c r="M1442" i="8"/>
  <c r="N1442" i="8"/>
  <c r="O1442" i="8"/>
  <c r="P1442" i="8"/>
  <c r="Q1442" i="8"/>
  <c r="R1442" i="8"/>
  <c r="S1442" i="8"/>
  <c r="T1442" i="8"/>
  <c r="E1443" i="8"/>
  <c r="F1443" i="8"/>
  <c r="G1443" i="8"/>
  <c r="H1443" i="8"/>
  <c r="I1443" i="8"/>
  <c r="J1443" i="8"/>
  <c r="K1443" i="8"/>
  <c r="L1443" i="8"/>
  <c r="M1443" i="8"/>
  <c r="N1443" i="8"/>
  <c r="O1443" i="8"/>
  <c r="P1443" i="8"/>
  <c r="Q1443" i="8"/>
  <c r="R1443" i="8"/>
  <c r="S1443" i="8"/>
  <c r="T1443" i="8"/>
  <c r="E1444" i="8"/>
  <c r="F1444" i="8"/>
  <c r="G1444" i="8"/>
  <c r="H1444" i="8"/>
  <c r="I1444" i="8"/>
  <c r="J1444" i="8"/>
  <c r="K1444" i="8"/>
  <c r="L1444" i="8"/>
  <c r="M1444" i="8"/>
  <c r="N1444" i="8"/>
  <c r="O1444" i="8"/>
  <c r="P1444" i="8"/>
  <c r="Q1444" i="8"/>
  <c r="R1444" i="8"/>
  <c r="S1444" i="8"/>
  <c r="T1444" i="8"/>
  <c r="E1445" i="8"/>
  <c r="F1445" i="8"/>
  <c r="G1445" i="8"/>
  <c r="H1445" i="8"/>
  <c r="I1445" i="8"/>
  <c r="J1445" i="8"/>
  <c r="K1445" i="8"/>
  <c r="L1445" i="8"/>
  <c r="M1445" i="8"/>
  <c r="N1445" i="8"/>
  <c r="O1445" i="8"/>
  <c r="P1445" i="8"/>
  <c r="Q1445" i="8"/>
  <c r="R1445" i="8"/>
  <c r="S1445" i="8"/>
  <c r="T1445" i="8"/>
  <c r="E1446" i="8"/>
  <c r="F1446" i="8"/>
  <c r="G1446" i="8"/>
  <c r="H1446" i="8"/>
  <c r="I1446" i="8"/>
  <c r="J1446" i="8"/>
  <c r="K1446" i="8"/>
  <c r="L1446" i="8"/>
  <c r="M1446" i="8"/>
  <c r="N1446" i="8"/>
  <c r="O1446" i="8"/>
  <c r="P1446" i="8"/>
  <c r="Q1446" i="8"/>
  <c r="R1446" i="8"/>
  <c r="S1446" i="8"/>
  <c r="T1446" i="8"/>
  <c r="E1447" i="8"/>
  <c r="F1447" i="8"/>
  <c r="G1447" i="8"/>
  <c r="H1447" i="8"/>
  <c r="I1447" i="8"/>
  <c r="J1447" i="8"/>
  <c r="K1447" i="8"/>
  <c r="L1447" i="8"/>
  <c r="M1447" i="8"/>
  <c r="N1447" i="8"/>
  <c r="O1447" i="8"/>
  <c r="P1447" i="8"/>
  <c r="Q1447" i="8"/>
  <c r="R1447" i="8"/>
  <c r="S1447" i="8"/>
  <c r="T1447" i="8"/>
  <c r="E136" i="7"/>
  <c r="F136" i="7"/>
  <c r="G136" i="7"/>
  <c r="H136" i="7"/>
  <c r="I136" i="7"/>
  <c r="J136" i="7"/>
  <c r="K136" i="7"/>
  <c r="L136" i="7"/>
  <c r="M136" i="7"/>
  <c r="N136" i="7"/>
  <c r="P136" i="7"/>
  <c r="Q136" i="7"/>
  <c r="R136" i="7"/>
  <c r="S136" i="7"/>
  <c r="U136" i="7"/>
  <c r="V136" i="7"/>
  <c r="W136" i="7"/>
  <c r="X136" i="7"/>
  <c r="Y136" i="7"/>
  <c r="Z136" i="7"/>
  <c r="AA136" i="7"/>
  <c r="AC136" i="7"/>
  <c r="AE136" i="7"/>
  <c r="AI136" i="7"/>
  <c r="AO136" i="7"/>
  <c r="AP136" i="7"/>
  <c r="E1426" i="8"/>
  <c r="F1426" i="8"/>
  <c r="G1426" i="8"/>
  <c r="H1426" i="8"/>
  <c r="I1426" i="8"/>
  <c r="J1426" i="8"/>
  <c r="K1426" i="8"/>
  <c r="L1426" i="8"/>
  <c r="M1426" i="8"/>
  <c r="N1426" i="8"/>
  <c r="O1426" i="8"/>
  <c r="P1426" i="8"/>
  <c r="Q1426" i="8"/>
  <c r="R1426" i="8"/>
  <c r="S1426" i="8"/>
  <c r="T1426" i="8"/>
  <c r="E1427" i="8"/>
  <c r="F1427" i="8"/>
  <c r="G1427" i="8"/>
  <c r="H1427" i="8"/>
  <c r="I1427" i="8"/>
  <c r="J1427" i="8"/>
  <c r="K1427" i="8"/>
  <c r="L1427" i="8"/>
  <c r="M1427" i="8"/>
  <c r="N1427" i="8"/>
  <c r="O1427" i="8"/>
  <c r="P1427" i="8"/>
  <c r="Q1427" i="8"/>
  <c r="R1427" i="8"/>
  <c r="S1427" i="8"/>
  <c r="T1427" i="8"/>
  <c r="E1428" i="8"/>
  <c r="F1428" i="8"/>
  <c r="G1428" i="8"/>
  <c r="H1428" i="8"/>
  <c r="I1428" i="8"/>
  <c r="J1428" i="8"/>
  <c r="K1428" i="8"/>
  <c r="L1428" i="8"/>
  <c r="M1428" i="8"/>
  <c r="N1428" i="8"/>
  <c r="O1428" i="8"/>
  <c r="P1428" i="8"/>
  <c r="Q1428" i="8"/>
  <c r="R1428" i="8"/>
  <c r="S1428" i="8"/>
  <c r="T1428" i="8"/>
  <c r="E1429" i="8"/>
  <c r="F1429" i="8"/>
  <c r="G1429" i="8"/>
  <c r="H1429" i="8"/>
  <c r="I1429" i="8"/>
  <c r="J1429" i="8"/>
  <c r="K1429" i="8"/>
  <c r="L1429" i="8"/>
  <c r="M1429" i="8"/>
  <c r="N1429" i="8"/>
  <c r="O1429" i="8"/>
  <c r="P1429" i="8"/>
  <c r="Q1429" i="8"/>
  <c r="R1429" i="8"/>
  <c r="S1429" i="8"/>
  <c r="T1429" i="8"/>
  <c r="E1430" i="8"/>
  <c r="F1430" i="8"/>
  <c r="G1430" i="8"/>
  <c r="H1430" i="8"/>
  <c r="I1430" i="8"/>
  <c r="J1430" i="8"/>
  <c r="K1430" i="8"/>
  <c r="L1430" i="8"/>
  <c r="M1430" i="8"/>
  <c r="N1430" i="8"/>
  <c r="O1430" i="8"/>
  <c r="P1430" i="8"/>
  <c r="Q1430" i="8"/>
  <c r="R1430" i="8"/>
  <c r="S1430" i="8"/>
  <c r="T1430" i="8"/>
  <c r="E1431" i="8"/>
  <c r="F1431" i="8"/>
  <c r="G1431" i="8"/>
  <c r="H1431" i="8"/>
  <c r="I1431" i="8"/>
  <c r="J1431" i="8"/>
  <c r="K1431" i="8"/>
  <c r="L1431" i="8"/>
  <c r="M1431" i="8"/>
  <c r="N1431" i="8"/>
  <c r="O1431" i="8"/>
  <c r="P1431" i="8"/>
  <c r="Q1431" i="8"/>
  <c r="R1431" i="8"/>
  <c r="S1431" i="8"/>
  <c r="T1431" i="8"/>
  <c r="E1432" i="8"/>
  <c r="F1432" i="8"/>
  <c r="G1432" i="8"/>
  <c r="H1432" i="8"/>
  <c r="I1432" i="8"/>
  <c r="J1432" i="8"/>
  <c r="K1432" i="8"/>
  <c r="L1432" i="8"/>
  <c r="M1432" i="8"/>
  <c r="N1432" i="8"/>
  <c r="O1432" i="8"/>
  <c r="P1432" i="8"/>
  <c r="Q1432" i="8"/>
  <c r="R1432" i="8"/>
  <c r="S1432" i="8"/>
  <c r="T1432" i="8"/>
  <c r="E1433" i="8"/>
  <c r="F1433" i="8"/>
  <c r="G1433" i="8"/>
  <c r="H1433" i="8"/>
  <c r="I1433" i="8"/>
  <c r="J1433" i="8"/>
  <c r="K1433" i="8"/>
  <c r="L1433" i="8"/>
  <c r="M1433" i="8"/>
  <c r="N1433" i="8"/>
  <c r="O1433" i="8"/>
  <c r="P1433" i="8"/>
  <c r="Q1433" i="8"/>
  <c r="R1433" i="8"/>
  <c r="S1433" i="8"/>
  <c r="T1433" i="8"/>
  <c r="E1434" i="8"/>
  <c r="F1434" i="8"/>
  <c r="G1434" i="8"/>
  <c r="H1434" i="8"/>
  <c r="I1434" i="8"/>
  <c r="J1434" i="8"/>
  <c r="K1434" i="8"/>
  <c r="L1434" i="8"/>
  <c r="M1434" i="8"/>
  <c r="N1434" i="8"/>
  <c r="O1434" i="8"/>
  <c r="P1434" i="8"/>
  <c r="Q1434" i="8"/>
  <c r="R1434" i="8"/>
  <c r="S1434" i="8"/>
  <c r="T1434" i="8"/>
  <c r="E1435" i="8"/>
  <c r="F1435" i="8"/>
  <c r="G1435" i="8"/>
  <c r="H1435" i="8"/>
  <c r="I1435" i="8"/>
  <c r="J1435" i="8"/>
  <c r="K1435" i="8"/>
  <c r="L1435" i="8"/>
  <c r="M1435" i="8"/>
  <c r="N1435" i="8"/>
  <c r="O1435" i="8"/>
  <c r="P1435" i="8"/>
  <c r="Q1435" i="8"/>
  <c r="R1435" i="8"/>
  <c r="S1435" i="8"/>
  <c r="T1435" i="8"/>
  <c r="E1436" i="8"/>
  <c r="F1436" i="8"/>
  <c r="G1436" i="8"/>
  <c r="H1436" i="8"/>
  <c r="I1436" i="8"/>
  <c r="J1436" i="8"/>
  <c r="K1436" i="8"/>
  <c r="L1436" i="8"/>
  <c r="M1436" i="8"/>
  <c r="N1436" i="8"/>
  <c r="O1436" i="8"/>
  <c r="P1436" i="8"/>
  <c r="Q1436" i="8"/>
  <c r="R1436" i="8"/>
  <c r="S1436" i="8"/>
  <c r="T1436" i="8"/>
  <c r="E135" i="7"/>
  <c r="F135" i="7"/>
  <c r="G135" i="7"/>
  <c r="H135" i="7"/>
  <c r="I135" i="7"/>
  <c r="J135" i="7"/>
  <c r="K135" i="7"/>
  <c r="L135" i="7"/>
  <c r="M135" i="7"/>
  <c r="N135" i="7"/>
  <c r="P135" i="7"/>
  <c r="Q135" i="7"/>
  <c r="R135" i="7"/>
  <c r="S135" i="7"/>
  <c r="U135" i="7"/>
  <c r="V135" i="7"/>
  <c r="W135" i="7"/>
  <c r="X135" i="7"/>
  <c r="Y135" i="7"/>
  <c r="Z135" i="7"/>
  <c r="AA135" i="7"/>
  <c r="AC135" i="7"/>
  <c r="AE135" i="7"/>
  <c r="AI135" i="7"/>
  <c r="AO135" i="7"/>
  <c r="AP135" i="7"/>
  <c r="E1415" i="8"/>
  <c r="F1415" i="8"/>
  <c r="G1415" i="8"/>
  <c r="H1415" i="8"/>
  <c r="I1415" i="8"/>
  <c r="J1415" i="8"/>
  <c r="K1415" i="8"/>
  <c r="L1415" i="8"/>
  <c r="M1415" i="8"/>
  <c r="N1415" i="8"/>
  <c r="O1415" i="8"/>
  <c r="P1415" i="8"/>
  <c r="Q1415" i="8"/>
  <c r="R1415" i="8"/>
  <c r="S1415" i="8"/>
  <c r="T1415" i="8"/>
  <c r="E1416" i="8"/>
  <c r="F1416" i="8"/>
  <c r="G1416" i="8"/>
  <c r="H1416" i="8"/>
  <c r="I1416" i="8"/>
  <c r="J1416" i="8"/>
  <c r="K1416" i="8"/>
  <c r="L1416" i="8"/>
  <c r="M1416" i="8"/>
  <c r="N1416" i="8"/>
  <c r="O1416" i="8"/>
  <c r="P1416" i="8"/>
  <c r="Q1416" i="8"/>
  <c r="R1416" i="8"/>
  <c r="S1416" i="8"/>
  <c r="T1416" i="8"/>
  <c r="E1417" i="8"/>
  <c r="F1417" i="8"/>
  <c r="G1417" i="8"/>
  <c r="H1417" i="8"/>
  <c r="I1417" i="8"/>
  <c r="J1417" i="8"/>
  <c r="K1417" i="8"/>
  <c r="L1417" i="8"/>
  <c r="M1417" i="8"/>
  <c r="N1417" i="8"/>
  <c r="O1417" i="8"/>
  <c r="P1417" i="8"/>
  <c r="Q1417" i="8"/>
  <c r="R1417" i="8"/>
  <c r="S1417" i="8"/>
  <c r="T1417" i="8"/>
  <c r="E1418" i="8"/>
  <c r="F1418" i="8"/>
  <c r="G1418" i="8"/>
  <c r="H1418" i="8"/>
  <c r="I1418" i="8"/>
  <c r="J1418" i="8"/>
  <c r="K1418" i="8"/>
  <c r="L1418" i="8"/>
  <c r="M1418" i="8"/>
  <c r="N1418" i="8"/>
  <c r="O1418" i="8"/>
  <c r="P1418" i="8"/>
  <c r="Q1418" i="8"/>
  <c r="R1418" i="8"/>
  <c r="S1418" i="8"/>
  <c r="T1418" i="8"/>
  <c r="E1419" i="8"/>
  <c r="F1419" i="8"/>
  <c r="G1419" i="8"/>
  <c r="H1419" i="8"/>
  <c r="I1419" i="8"/>
  <c r="J1419" i="8"/>
  <c r="K1419" i="8"/>
  <c r="L1419" i="8"/>
  <c r="M1419" i="8"/>
  <c r="N1419" i="8"/>
  <c r="O1419" i="8"/>
  <c r="P1419" i="8"/>
  <c r="Q1419" i="8"/>
  <c r="R1419" i="8"/>
  <c r="S1419" i="8"/>
  <c r="T1419" i="8"/>
  <c r="E1420" i="8"/>
  <c r="F1420" i="8"/>
  <c r="G1420" i="8"/>
  <c r="H1420" i="8"/>
  <c r="I1420" i="8"/>
  <c r="J1420" i="8"/>
  <c r="K1420" i="8"/>
  <c r="L1420" i="8"/>
  <c r="M1420" i="8"/>
  <c r="N1420" i="8"/>
  <c r="O1420" i="8"/>
  <c r="P1420" i="8"/>
  <c r="Q1420" i="8"/>
  <c r="R1420" i="8"/>
  <c r="S1420" i="8"/>
  <c r="T1420" i="8"/>
  <c r="E1421" i="8"/>
  <c r="F1421" i="8"/>
  <c r="G1421" i="8"/>
  <c r="H1421" i="8"/>
  <c r="I1421" i="8"/>
  <c r="J1421" i="8"/>
  <c r="K1421" i="8"/>
  <c r="L1421" i="8"/>
  <c r="M1421" i="8"/>
  <c r="N1421" i="8"/>
  <c r="O1421" i="8"/>
  <c r="P1421" i="8"/>
  <c r="Q1421" i="8"/>
  <c r="R1421" i="8"/>
  <c r="S1421" i="8"/>
  <c r="T1421" i="8"/>
  <c r="E1422" i="8"/>
  <c r="F1422" i="8"/>
  <c r="G1422" i="8"/>
  <c r="H1422" i="8"/>
  <c r="I1422" i="8"/>
  <c r="J1422" i="8"/>
  <c r="K1422" i="8"/>
  <c r="L1422" i="8"/>
  <c r="M1422" i="8"/>
  <c r="N1422" i="8"/>
  <c r="O1422" i="8"/>
  <c r="P1422" i="8"/>
  <c r="Q1422" i="8"/>
  <c r="R1422" i="8"/>
  <c r="S1422" i="8"/>
  <c r="T1422" i="8"/>
  <c r="E1423" i="8"/>
  <c r="F1423" i="8"/>
  <c r="G1423" i="8"/>
  <c r="H1423" i="8"/>
  <c r="I1423" i="8"/>
  <c r="J1423" i="8"/>
  <c r="K1423" i="8"/>
  <c r="L1423" i="8"/>
  <c r="M1423" i="8"/>
  <c r="N1423" i="8"/>
  <c r="O1423" i="8"/>
  <c r="P1423" i="8"/>
  <c r="Q1423" i="8"/>
  <c r="R1423" i="8"/>
  <c r="S1423" i="8"/>
  <c r="T1423" i="8"/>
  <c r="E1424" i="8"/>
  <c r="F1424" i="8"/>
  <c r="G1424" i="8"/>
  <c r="H1424" i="8"/>
  <c r="I1424" i="8"/>
  <c r="J1424" i="8"/>
  <c r="K1424" i="8"/>
  <c r="L1424" i="8"/>
  <c r="M1424" i="8"/>
  <c r="N1424" i="8"/>
  <c r="O1424" i="8"/>
  <c r="P1424" i="8"/>
  <c r="Q1424" i="8"/>
  <c r="R1424" i="8"/>
  <c r="S1424" i="8"/>
  <c r="T1424" i="8"/>
  <c r="E1425" i="8"/>
  <c r="F1425" i="8"/>
  <c r="G1425" i="8"/>
  <c r="H1425" i="8"/>
  <c r="I1425" i="8"/>
  <c r="J1425" i="8"/>
  <c r="K1425" i="8"/>
  <c r="L1425" i="8"/>
  <c r="M1425" i="8"/>
  <c r="N1425" i="8"/>
  <c r="O1425" i="8"/>
  <c r="P1425" i="8"/>
  <c r="Q1425" i="8"/>
  <c r="R1425" i="8"/>
  <c r="S1425" i="8"/>
  <c r="T1425" i="8"/>
  <c r="E134" i="7"/>
  <c r="F134" i="7"/>
  <c r="G134" i="7"/>
  <c r="H134" i="7"/>
  <c r="I134" i="7"/>
  <c r="J134" i="7"/>
  <c r="K134" i="7"/>
  <c r="L134" i="7"/>
  <c r="M134" i="7"/>
  <c r="N134" i="7"/>
  <c r="P134" i="7"/>
  <c r="Q134" i="7"/>
  <c r="R134" i="7"/>
  <c r="S134" i="7"/>
  <c r="U134" i="7"/>
  <c r="V134" i="7"/>
  <c r="W134" i="7"/>
  <c r="X134" i="7"/>
  <c r="Y134" i="7"/>
  <c r="Z134" i="7"/>
  <c r="AA134" i="7"/>
  <c r="AC134" i="7"/>
  <c r="AE134" i="7"/>
  <c r="AI134" i="7"/>
  <c r="AO134" i="7"/>
  <c r="AP134" i="7"/>
  <c r="M1406" i="8"/>
  <c r="N1406" i="8"/>
  <c r="O1406" i="8"/>
  <c r="P1406" i="8"/>
  <c r="Q1406" i="8"/>
  <c r="R1406" i="8"/>
  <c r="S1406" i="8"/>
  <c r="T1406" i="8"/>
  <c r="E1407" i="8"/>
  <c r="F1407" i="8"/>
  <c r="G1407" i="8"/>
  <c r="H1407" i="8"/>
  <c r="I1407" i="8"/>
  <c r="J1407" i="8"/>
  <c r="K1407" i="8"/>
  <c r="L1407" i="8"/>
  <c r="M1407" i="8"/>
  <c r="N1407" i="8"/>
  <c r="O1407" i="8"/>
  <c r="P1407" i="8"/>
  <c r="Q1407" i="8"/>
  <c r="R1407" i="8"/>
  <c r="S1407" i="8"/>
  <c r="T1407" i="8"/>
  <c r="E1408" i="8"/>
  <c r="F1408" i="8"/>
  <c r="G1408" i="8"/>
  <c r="H1408" i="8"/>
  <c r="I1408" i="8"/>
  <c r="J1408" i="8"/>
  <c r="K1408" i="8"/>
  <c r="L1408" i="8"/>
  <c r="M1408" i="8"/>
  <c r="N1408" i="8"/>
  <c r="O1408" i="8"/>
  <c r="P1408" i="8"/>
  <c r="Q1408" i="8"/>
  <c r="R1408" i="8"/>
  <c r="S1408" i="8"/>
  <c r="T1408" i="8"/>
  <c r="E1409" i="8"/>
  <c r="F1409" i="8"/>
  <c r="G1409" i="8"/>
  <c r="H1409" i="8"/>
  <c r="I1409" i="8"/>
  <c r="J1409" i="8"/>
  <c r="K1409" i="8"/>
  <c r="L1409" i="8"/>
  <c r="M1409" i="8"/>
  <c r="N1409" i="8"/>
  <c r="O1409" i="8"/>
  <c r="P1409" i="8"/>
  <c r="Q1409" i="8"/>
  <c r="R1409" i="8"/>
  <c r="S1409" i="8"/>
  <c r="T1409" i="8"/>
  <c r="E1410" i="8"/>
  <c r="F1410" i="8"/>
  <c r="G1410" i="8"/>
  <c r="H1410" i="8"/>
  <c r="I1410" i="8"/>
  <c r="J1410" i="8"/>
  <c r="K1410" i="8"/>
  <c r="L1410" i="8"/>
  <c r="M1410" i="8"/>
  <c r="N1410" i="8"/>
  <c r="O1410" i="8"/>
  <c r="P1410" i="8"/>
  <c r="Q1410" i="8"/>
  <c r="R1410" i="8"/>
  <c r="S1410" i="8"/>
  <c r="T1410" i="8"/>
  <c r="E1411" i="8"/>
  <c r="F1411" i="8"/>
  <c r="G1411" i="8"/>
  <c r="H1411" i="8"/>
  <c r="I1411" i="8"/>
  <c r="J1411" i="8"/>
  <c r="K1411" i="8"/>
  <c r="L1411" i="8"/>
  <c r="M1411" i="8"/>
  <c r="N1411" i="8"/>
  <c r="O1411" i="8"/>
  <c r="P1411" i="8"/>
  <c r="Q1411" i="8"/>
  <c r="R1411" i="8"/>
  <c r="S1411" i="8"/>
  <c r="T1411" i="8"/>
  <c r="E1412" i="8"/>
  <c r="F1412" i="8"/>
  <c r="G1412" i="8"/>
  <c r="H1412" i="8"/>
  <c r="I1412" i="8"/>
  <c r="J1412" i="8"/>
  <c r="K1412" i="8"/>
  <c r="L1412" i="8"/>
  <c r="M1412" i="8"/>
  <c r="N1412" i="8"/>
  <c r="O1412" i="8"/>
  <c r="P1412" i="8"/>
  <c r="Q1412" i="8"/>
  <c r="R1412" i="8"/>
  <c r="S1412" i="8"/>
  <c r="T1412" i="8"/>
  <c r="E1413" i="8"/>
  <c r="F1413" i="8"/>
  <c r="G1413" i="8"/>
  <c r="H1413" i="8"/>
  <c r="I1413" i="8"/>
  <c r="J1413" i="8"/>
  <c r="K1413" i="8"/>
  <c r="L1413" i="8"/>
  <c r="M1413" i="8"/>
  <c r="N1413" i="8"/>
  <c r="O1413" i="8"/>
  <c r="P1413" i="8"/>
  <c r="Q1413" i="8"/>
  <c r="R1413" i="8"/>
  <c r="S1413" i="8"/>
  <c r="T1413" i="8"/>
  <c r="E1414" i="8"/>
  <c r="F1414" i="8"/>
  <c r="G1414" i="8"/>
  <c r="H1414" i="8"/>
  <c r="I1414" i="8"/>
  <c r="J1414" i="8"/>
  <c r="K1414" i="8"/>
  <c r="L1414" i="8"/>
  <c r="M1414" i="8"/>
  <c r="N1414" i="8"/>
  <c r="O1414" i="8"/>
  <c r="P1414" i="8"/>
  <c r="Q1414" i="8"/>
  <c r="R1414" i="8"/>
  <c r="S1414" i="8"/>
  <c r="T1414" i="8"/>
  <c r="F1404" i="8"/>
  <c r="J1404" i="8"/>
  <c r="L1404" i="8"/>
  <c r="P1404" i="8"/>
  <c r="T1404" i="8"/>
  <c r="I1405" i="8"/>
  <c r="K1405" i="8"/>
  <c r="P1405" i="8"/>
  <c r="S1405" i="8"/>
  <c r="E1406" i="8"/>
  <c r="J1406" i="8"/>
  <c r="I1404" i="8"/>
  <c r="K1404" i="8"/>
  <c r="O1404" i="8"/>
  <c r="R1404" i="8"/>
  <c r="E1405" i="8"/>
  <c r="H1405" i="8"/>
  <c r="L1405" i="8"/>
  <c r="O1405" i="8"/>
  <c r="R1405" i="8"/>
  <c r="H1406" i="8"/>
  <c r="L1406" i="8"/>
  <c r="G1404" i="8"/>
  <c r="M1404" i="8"/>
  <c r="Q1404" i="8"/>
  <c r="F1405" i="8"/>
  <c r="J1405" i="8"/>
  <c r="N1405" i="8"/>
  <c r="G1406" i="8"/>
  <c r="K1406" i="8"/>
  <c r="E1404" i="8"/>
  <c r="H1404" i="8"/>
  <c r="N1404" i="8"/>
  <c r="S1404" i="8"/>
  <c r="G1405" i="8"/>
  <c r="M1405" i="8"/>
  <c r="Q1405" i="8"/>
  <c r="T1405" i="8"/>
  <c r="F1406" i="8"/>
  <c r="I1406" i="8"/>
  <c r="E125" i="7"/>
  <c r="F125" i="7"/>
  <c r="G125" i="7"/>
  <c r="H125" i="7"/>
  <c r="I125" i="7"/>
  <c r="J125" i="7"/>
  <c r="K125" i="7"/>
  <c r="L125" i="7"/>
  <c r="M125" i="7"/>
  <c r="N125" i="7"/>
  <c r="P125" i="7"/>
  <c r="Q125" i="7"/>
  <c r="R125" i="7"/>
  <c r="S125" i="7"/>
  <c r="U125" i="7"/>
  <c r="V125" i="7"/>
  <c r="W125" i="7"/>
  <c r="X125" i="7"/>
  <c r="Y125" i="7"/>
  <c r="Z125" i="7"/>
  <c r="AA125" i="7"/>
  <c r="AC125" i="7"/>
  <c r="AE125" i="7"/>
  <c r="AI125" i="7"/>
  <c r="AO125" i="7"/>
  <c r="AP125" i="7"/>
  <c r="E1305" i="8"/>
  <c r="F1305" i="8"/>
  <c r="G1305" i="8"/>
  <c r="H1305" i="8"/>
  <c r="I1305" i="8"/>
  <c r="J1305" i="8"/>
  <c r="K1305" i="8"/>
  <c r="L1305" i="8"/>
  <c r="M1305" i="8"/>
  <c r="N1305" i="8"/>
  <c r="O1305" i="8"/>
  <c r="P1305" i="8"/>
  <c r="Q1305" i="8"/>
  <c r="R1305" i="8"/>
  <c r="S1305" i="8"/>
  <c r="T1305" i="8"/>
  <c r="E1306" i="8"/>
  <c r="F1306" i="8"/>
  <c r="G1306" i="8"/>
  <c r="H1306" i="8"/>
  <c r="I1306" i="8"/>
  <c r="J1306" i="8"/>
  <c r="K1306" i="8"/>
  <c r="L1306" i="8"/>
  <c r="M1306" i="8"/>
  <c r="N1306" i="8"/>
  <c r="O1306" i="8"/>
  <c r="P1306" i="8"/>
  <c r="Q1306" i="8"/>
  <c r="R1306" i="8"/>
  <c r="S1306" i="8"/>
  <c r="T1306" i="8"/>
  <c r="E1307" i="8"/>
  <c r="F1307" i="8"/>
  <c r="G1307" i="8"/>
  <c r="H1307" i="8"/>
  <c r="I1307" i="8"/>
  <c r="J1307" i="8"/>
  <c r="K1307" i="8"/>
  <c r="L1307" i="8"/>
  <c r="M1307" i="8"/>
  <c r="N1307" i="8"/>
  <c r="O1307" i="8"/>
  <c r="P1307" i="8"/>
  <c r="Q1307" i="8"/>
  <c r="R1307" i="8"/>
  <c r="S1307" i="8"/>
  <c r="T1307" i="8"/>
  <c r="E1308" i="8"/>
  <c r="F1308" i="8"/>
  <c r="G1308" i="8"/>
  <c r="H1308" i="8"/>
  <c r="I1308" i="8"/>
  <c r="J1308" i="8"/>
  <c r="K1308" i="8"/>
  <c r="L1308" i="8"/>
  <c r="M1308" i="8"/>
  <c r="N1308" i="8"/>
  <c r="O1308" i="8"/>
  <c r="P1308" i="8"/>
  <c r="Q1308" i="8"/>
  <c r="R1308" i="8"/>
  <c r="S1308" i="8"/>
  <c r="T1308" i="8"/>
  <c r="E1309" i="8"/>
  <c r="F1309" i="8"/>
  <c r="G1309" i="8"/>
  <c r="H1309" i="8"/>
  <c r="I1309" i="8"/>
  <c r="J1309" i="8"/>
  <c r="K1309" i="8"/>
  <c r="L1309" i="8"/>
  <c r="M1309" i="8"/>
  <c r="N1309" i="8"/>
  <c r="O1309" i="8"/>
  <c r="P1309" i="8"/>
  <c r="Q1309" i="8"/>
  <c r="R1309" i="8"/>
  <c r="S1309" i="8"/>
  <c r="T1309" i="8"/>
  <c r="E1310" i="8"/>
  <c r="F1310" i="8"/>
  <c r="G1310" i="8"/>
  <c r="H1310" i="8"/>
  <c r="I1310" i="8"/>
  <c r="J1310" i="8"/>
  <c r="K1310" i="8"/>
  <c r="L1310" i="8"/>
  <c r="M1310" i="8"/>
  <c r="N1310" i="8"/>
  <c r="O1310" i="8"/>
  <c r="P1310" i="8"/>
  <c r="Q1310" i="8"/>
  <c r="R1310" i="8"/>
  <c r="S1310" i="8"/>
  <c r="T1310" i="8"/>
  <c r="E1311" i="8"/>
  <c r="F1311" i="8"/>
  <c r="G1311" i="8"/>
  <c r="H1311" i="8"/>
  <c r="I1311" i="8"/>
  <c r="J1311" i="8"/>
  <c r="K1311" i="8"/>
  <c r="L1311" i="8"/>
  <c r="M1311" i="8"/>
  <c r="N1311" i="8"/>
  <c r="O1311" i="8"/>
  <c r="P1311" i="8"/>
  <c r="Q1311" i="8"/>
  <c r="R1311" i="8"/>
  <c r="S1311" i="8"/>
  <c r="T1311" i="8"/>
  <c r="E1312" i="8"/>
  <c r="F1312" i="8"/>
  <c r="G1312" i="8"/>
  <c r="H1312" i="8"/>
  <c r="I1312" i="8"/>
  <c r="J1312" i="8"/>
  <c r="K1312" i="8"/>
  <c r="L1312" i="8"/>
  <c r="M1312" i="8"/>
  <c r="N1312" i="8"/>
  <c r="O1312" i="8"/>
  <c r="P1312" i="8"/>
  <c r="Q1312" i="8"/>
  <c r="R1312" i="8"/>
  <c r="S1312" i="8"/>
  <c r="T1312" i="8"/>
  <c r="E1313" i="8"/>
  <c r="F1313" i="8"/>
  <c r="G1313" i="8"/>
  <c r="H1313" i="8"/>
  <c r="I1313" i="8"/>
  <c r="J1313" i="8"/>
  <c r="K1313" i="8"/>
  <c r="L1313" i="8"/>
  <c r="M1313" i="8"/>
  <c r="N1313" i="8"/>
  <c r="O1313" i="8"/>
  <c r="P1313" i="8"/>
  <c r="Q1313" i="8"/>
  <c r="R1313" i="8"/>
  <c r="S1313" i="8"/>
  <c r="T1313" i="8"/>
  <c r="E1314" i="8"/>
  <c r="F1314" i="8"/>
  <c r="G1314" i="8"/>
  <c r="H1314" i="8"/>
  <c r="I1314" i="8"/>
  <c r="J1314" i="8"/>
  <c r="K1314" i="8"/>
  <c r="L1314" i="8"/>
  <c r="M1314" i="8"/>
  <c r="N1314" i="8"/>
  <c r="O1314" i="8"/>
  <c r="P1314" i="8"/>
  <c r="Q1314" i="8"/>
  <c r="R1314" i="8"/>
  <c r="S1314" i="8"/>
  <c r="T1314" i="8"/>
  <c r="E1315" i="8"/>
  <c r="F1315" i="8"/>
  <c r="G1315" i="8"/>
  <c r="H1315" i="8"/>
  <c r="I1315" i="8"/>
  <c r="J1315" i="8"/>
  <c r="K1315" i="8"/>
  <c r="L1315" i="8"/>
  <c r="M1315" i="8"/>
  <c r="N1315" i="8"/>
  <c r="O1315" i="8"/>
  <c r="P1315" i="8"/>
  <c r="Q1315" i="8"/>
  <c r="R1315" i="8"/>
  <c r="S1315" i="8"/>
  <c r="T1315" i="8"/>
  <c r="E124" i="7"/>
  <c r="F124" i="7"/>
  <c r="G124" i="7"/>
  <c r="H124" i="7"/>
  <c r="I124" i="7"/>
  <c r="J124" i="7"/>
  <c r="K124" i="7"/>
  <c r="L124" i="7"/>
  <c r="M124" i="7"/>
  <c r="N124" i="7"/>
  <c r="P124" i="7"/>
  <c r="Q124" i="7"/>
  <c r="R124" i="7"/>
  <c r="S124" i="7"/>
  <c r="U124" i="7"/>
  <c r="V124" i="7"/>
  <c r="W124" i="7"/>
  <c r="X124" i="7"/>
  <c r="Y124" i="7"/>
  <c r="Z124" i="7"/>
  <c r="AA124" i="7"/>
  <c r="AC124" i="7"/>
  <c r="AE124" i="7"/>
  <c r="AI124" i="7"/>
  <c r="AO124" i="7"/>
  <c r="AP124" i="7"/>
  <c r="E1294" i="8"/>
  <c r="F1294" i="8"/>
  <c r="G1294" i="8"/>
  <c r="H1294" i="8"/>
  <c r="I1294" i="8"/>
  <c r="J1294" i="8"/>
  <c r="K1294" i="8"/>
  <c r="L1294" i="8"/>
  <c r="M1294" i="8"/>
  <c r="N1294" i="8"/>
  <c r="O1294" i="8"/>
  <c r="P1294" i="8"/>
  <c r="Q1294" i="8"/>
  <c r="R1294" i="8"/>
  <c r="S1294" i="8"/>
  <c r="T1294" i="8"/>
  <c r="E1295" i="8"/>
  <c r="F1295" i="8"/>
  <c r="G1295" i="8"/>
  <c r="H1295" i="8"/>
  <c r="I1295" i="8"/>
  <c r="J1295" i="8"/>
  <c r="K1295" i="8"/>
  <c r="L1295" i="8"/>
  <c r="M1295" i="8"/>
  <c r="N1295" i="8"/>
  <c r="O1295" i="8"/>
  <c r="P1295" i="8"/>
  <c r="Q1295" i="8"/>
  <c r="R1295" i="8"/>
  <c r="S1295" i="8"/>
  <c r="T1295" i="8"/>
  <c r="E1296" i="8"/>
  <c r="F1296" i="8"/>
  <c r="G1296" i="8"/>
  <c r="H1296" i="8"/>
  <c r="I1296" i="8"/>
  <c r="J1296" i="8"/>
  <c r="K1296" i="8"/>
  <c r="L1296" i="8"/>
  <c r="M1296" i="8"/>
  <c r="N1296" i="8"/>
  <c r="O1296" i="8"/>
  <c r="P1296" i="8"/>
  <c r="Q1296" i="8"/>
  <c r="R1296" i="8"/>
  <c r="S1296" i="8"/>
  <c r="T1296" i="8"/>
  <c r="E1297" i="8"/>
  <c r="F1297" i="8"/>
  <c r="G1297" i="8"/>
  <c r="H1297" i="8"/>
  <c r="I1297" i="8"/>
  <c r="J1297" i="8"/>
  <c r="K1297" i="8"/>
  <c r="L1297" i="8"/>
  <c r="M1297" i="8"/>
  <c r="N1297" i="8"/>
  <c r="O1297" i="8"/>
  <c r="P1297" i="8"/>
  <c r="Q1297" i="8"/>
  <c r="R1297" i="8"/>
  <c r="S1297" i="8"/>
  <c r="T1297" i="8"/>
  <c r="E1298" i="8"/>
  <c r="F1298" i="8"/>
  <c r="G1298" i="8"/>
  <c r="H1298" i="8"/>
  <c r="I1298" i="8"/>
  <c r="J1298" i="8"/>
  <c r="K1298" i="8"/>
  <c r="L1298" i="8"/>
  <c r="M1298" i="8"/>
  <c r="N1298" i="8"/>
  <c r="O1298" i="8"/>
  <c r="P1298" i="8"/>
  <c r="Q1298" i="8"/>
  <c r="R1298" i="8"/>
  <c r="S1298" i="8"/>
  <c r="T1298" i="8"/>
  <c r="E1299" i="8"/>
  <c r="F1299" i="8"/>
  <c r="G1299" i="8"/>
  <c r="H1299" i="8"/>
  <c r="I1299" i="8"/>
  <c r="J1299" i="8"/>
  <c r="K1299" i="8"/>
  <c r="L1299" i="8"/>
  <c r="M1299" i="8"/>
  <c r="N1299" i="8"/>
  <c r="O1299" i="8"/>
  <c r="P1299" i="8"/>
  <c r="Q1299" i="8"/>
  <c r="R1299" i="8"/>
  <c r="S1299" i="8"/>
  <c r="T1299" i="8"/>
  <c r="E1300" i="8"/>
  <c r="F1300" i="8"/>
  <c r="G1300" i="8"/>
  <c r="H1300" i="8"/>
  <c r="I1300" i="8"/>
  <c r="J1300" i="8"/>
  <c r="K1300" i="8"/>
  <c r="L1300" i="8"/>
  <c r="M1300" i="8"/>
  <c r="N1300" i="8"/>
  <c r="O1300" i="8"/>
  <c r="P1300" i="8"/>
  <c r="Q1300" i="8"/>
  <c r="R1300" i="8"/>
  <c r="S1300" i="8"/>
  <c r="T1300" i="8"/>
  <c r="E1301" i="8"/>
  <c r="F1301" i="8"/>
  <c r="G1301" i="8"/>
  <c r="H1301" i="8"/>
  <c r="I1301" i="8"/>
  <c r="J1301" i="8"/>
  <c r="K1301" i="8"/>
  <c r="L1301" i="8"/>
  <c r="M1301" i="8"/>
  <c r="N1301" i="8"/>
  <c r="O1301" i="8"/>
  <c r="P1301" i="8"/>
  <c r="Q1301" i="8"/>
  <c r="R1301" i="8"/>
  <c r="S1301" i="8"/>
  <c r="T1301" i="8"/>
  <c r="E1302" i="8"/>
  <c r="F1302" i="8"/>
  <c r="G1302" i="8"/>
  <c r="H1302" i="8"/>
  <c r="I1302" i="8"/>
  <c r="J1302" i="8"/>
  <c r="K1302" i="8"/>
  <c r="L1302" i="8"/>
  <c r="M1302" i="8"/>
  <c r="N1302" i="8"/>
  <c r="O1302" i="8"/>
  <c r="P1302" i="8"/>
  <c r="Q1302" i="8"/>
  <c r="R1302" i="8"/>
  <c r="S1302" i="8"/>
  <c r="T1302" i="8"/>
  <c r="E1303" i="8"/>
  <c r="F1303" i="8"/>
  <c r="G1303" i="8"/>
  <c r="H1303" i="8"/>
  <c r="I1303" i="8"/>
  <c r="J1303" i="8"/>
  <c r="K1303" i="8"/>
  <c r="L1303" i="8"/>
  <c r="M1303" i="8"/>
  <c r="N1303" i="8"/>
  <c r="O1303" i="8"/>
  <c r="P1303" i="8"/>
  <c r="Q1303" i="8"/>
  <c r="R1303" i="8"/>
  <c r="S1303" i="8"/>
  <c r="T1303" i="8"/>
  <c r="E1304" i="8"/>
  <c r="F1304" i="8"/>
  <c r="G1304" i="8"/>
  <c r="H1304" i="8"/>
  <c r="I1304" i="8"/>
  <c r="J1304" i="8"/>
  <c r="K1304" i="8"/>
  <c r="L1304" i="8"/>
  <c r="M1304" i="8"/>
  <c r="N1304" i="8"/>
  <c r="O1304" i="8"/>
  <c r="P1304" i="8"/>
  <c r="Q1304" i="8"/>
  <c r="R1304" i="8"/>
  <c r="S1304" i="8"/>
  <c r="T1304" i="8"/>
  <c r="E123" i="7"/>
  <c r="F123" i="7"/>
  <c r="G123" i="7"/>
  <c r="H123" i="7"/>
  <c r="I123" i="7"/>
  <c r="J123" i="7"/>
  <c r="K123" i="7"/>
  <c r="L123" i="7"/>
  <c r="M123" i="7"/>
  <c r="N123" i="7"/>
  <c r="P123" i="7"/>
  <c r="Q123" i="7"/>
  <c r="R123" i="7"/>
  <c r="S123" i="7"/>
  <c r="U123" i="7"/>
  <c r="V123" i="7"/>
  <c r="W123" i="7"/>
  <c r="X123" i="7"/>
  <c r="Y123" i="7"/>
  <c r="Z123" i="7"/>
  <c r="AA123" i="7"/>
  <c r="AC123" i="7"/>
  <c r="AE123" i="7"/>
  <c r="AI123" i="7"/>
  <c r="AO123" i="7"/>
  <c r="AP123" i="7"/>
  <c r="E1283" i="8"/>
  <c r="F1283" i="8"/>
  <c r="G1283" i="8"/>
  <c r="H1283" i="8"/>
  <c r="I1283" i="8"/>
  <c r="J1283" i="8"/>
  <c r="K1283" i="8"/>
  <c r="L1283" i="8"/>
  <c r="M1283" i="8"/>
  <c r="N1283" i="8"/>
  <c r="O1283" i="8"/>
  <c r="P1283" i="8"/>
  <c r="Q1283" i="8"/>
  <c r="R1283" i="8"/>
  <c r="S1283" i="8"/>
  <c r="T1283" i="8"/>
  <c r="E1284" i="8"/>
  <c r="F1284" i="8"/>
  <c r="G1284" i="8"/>
  <c r="H1284" i="8"/>
  <c r="I1284" i="8"/>
  <c r="J1284" i="8"/>
  <c r="K1284" i="8"/>
  <c r="L1284" i="8"/>
  <c r="M1284" i="8"/>
  <c r="N1284" i="8"/>
  <c r="O1284" i="8"/>
  <c r="P1284" i="8"/>
  <c r="Q1284" i="8"/>
  <c r="R1284" i="8"/>
  <c r="S1284" i="8"/>
  <c r="T1284" i="8"/>
  <c r="E1285" i="8"/>
  <c r="F1285" i="8"/>
  <c r="G1285" i="8"/>
  <c r="H1285" i="8"/>
  <c r="I1285" i="8"/>
  <c r="J1285" i="8"/>
  <c r="K1285" i="8"/>
  <c r="L1285" i="8"/>
  <c r="M1285" i="8"/>
  <c r="N1285" i="8"/>
  <c r="O1285" i="8"/>
  <c r="P1285" i="8"/>
  <c r="Q1285" i="8"/>
  <c r="R1285" i="8"/>
  <c r="S1285" i="8"/>
  <c r="T1285" i="8"/>
  <c r="E1286" i="8"/>
  <c r="F1286" i="8"/>
  <c r="G1286" i="8"/>
  <c r="H1286" i="8"/>
  <c r="I1286" i="8"/>
  <c r="J1286" i="8"/>
  <c r="K1286" i="8"/>
  <c r="L1286" i="8"/>
  <c r="M1286" i="8"/>
  <c r="N1286" i="8"/>
  <c r="O1286" i="8"/>
  <c r="P1286" i="8"/>
  <c r="Q1286" i="8"/>
  <c r="R1286" i="8"/>
  <c r="S1286" i="8"/>
  <c r="T1286" i="8"/>
  <c r="E1287" i="8"/>
  <c r="F1287" i="8"/>
  <c r="G1287" i="8"/>
  <c r="H1287" i="8"/>
  <c r="I1287" i="8"/>
  <c r="J1287" i="8"/>
  <c r="K1287" i="8"/>
  <c r="L1287" i="8"/>
  <c r="M1287" i="8"/>
  <c r="N1287" i="8"/>
  <c r="O1287" i="8"/>
  <c r="P1287" i="8"/>
  <c r="Q1287" i="8"/>
  <c r="R1287" i="8"/>
  <c r="S1287" i="8"/>
  <c r="T1287" i="8"/>
  <c r="E1288" i="8"/>
  <c r="F1288" i="8"/>
  <c r="G1288" i="8"/>
  <c r="H1288" i="8"/>
  <c r="I1288" i="8"/>
  <c r="J1288" i="8"/>
  <c r="K1288" i="8"/>
  <c r="L1288" i="8"/>
  <c r="M1288" i="8"/>
  <c r="N1288" i="8"/>
  <c r="O1288" i="8"/>
  <c r="P1288" i="8"/>
  <c r="Q1288" i="8"/>
  <c r="R1288" i="8"/>
  <c r="S1288" i="8"/>
  <c r="T1288" i="8"/>
  <c r="E1289" i="8"/>
  <c r="F1289" i="8"/>
  <c r="G1289" i="8"/>
  <c r="H1289" i="8"/>
  <c r="I1289" i="8"/>
  <c r="J1289" i="8"/>
  <c r="K1289" i="8"/>
  <c r="L1289" i="8"/>
  <c r="M1289" i="8"/>
  <c r="N1289" i="8"/>
  <c r="O1289" i="8"/>
  <c r="P1289" i="8"/>
  <c r="Q1289" i="8"/>
  <c r="R1289" i="8"/>
  <c r="S1289" i="8"/>
  <c r="T1289" i="8"/>
  <c r="E1290" i="8"/>
  <c r="F1290" i="8"/>
  <c r="G1290" i="8"/>
  <c r="H1290" i="8"/>
  <c r="I1290" i="8"/>
  <c r="J1290" i="8"/>
  <c r="K1290" i="8"/>
  <c r="L1290" i="8"/>
  <c r="M1290" i="8"/>
  <c r="N1290" i="8"/>
  <c r="O1290" i="8"/>
  <c r="P1290" i="8"/>
  <c r="Q1290" i="8"/>
  <c r="R1290" i="8"/>
  <c r="S1290" i="8"/>
  <c r="T1290" i="8"/>
  <c r="E1291" i="8"/>
  <c r="F1291" i="8"/>
  <c r="G1291" i="8"/>
  <c r="H1291" i="8"/>
  <c r="I1291" i="8"/>
  <c r="J1291" i="8"/>
  <c r="K1291" i="8"/>
  <c r="L1291" i="8"/>
  <c r="M1291" i="8"/>
  <c r="N1291" i="8"/>
  <c r="O1291" i="8"/>
  <c r="P1291" i="8"/>
  <c r="Q1291" i="8"/>
  <c r="R1291" i="8"/>
  <c r="S1291" i="8"/>
  <c r="T1291" i="8"/>
  <c r="E1292" i="8"/>
  <c r="F1292" i="8"/>
  <c r="G1292" i="8"/>
  <c r="H1292" i="8"/>
  <c r="I1292" i="8"/>
  <c r="J1292" i="8"/>
  <c r="K1292" i="8"/>
  <c r="L1292" i="8"/>
  <c r="M1292" i="8"/>
  <c r="N1292" i="8"/>
  <c r="O1292" i="8"/>
  <c r="P1292" i="8"/>
  <c r="Q1292" i="8"/>
  <c r="R1292" i="8"/>
  <c r="S1292" i="8"/>
  <c r="T1292" i="8"/>
  <c r="E1293" i="8"/>
  <c r="F1293" i="8"/>
  <c r="G1293" i="8"/>
  <c r="H1293" i="8"/>
  <c r="I1293" i="8"/>
  <c r="J1293" i="8"/>
  <c r="K1293" i="8"/>
  <c r="L1293" i="8"/>
  <c r="M1293" i="8"/>
  <c r="N1293" i="8"/>
  <c r="O1293" i="8"/>
  <c r="P1293" i="8"/>
  <c r="Q1293" i="8"/>
  <c r="R1293" i="8"/>
  <c r="S1293" i="8"/>
  <c r="T1293" i="8"/>
  <c r="E122" i="7"/>
  <c r="F122" i="7"/>
  <c r="G122" i="7"/>
  <c r="H122" i="7"/>
  <c r="I122" i="7"/>
  <c r="J122" i="7"/>
  <c r="K122" i="7"/>
  <c r="L122" i="7"/>
  <c r="M122" i="7"/>
  <c r="N122" i="7"/>
  <c r="P122" i="7"/>
  <c r="Q122" i="7"/>
  <c r="R122" i="7"/>
  <c r="S122" i="7"/>
  <c r="U122" i="7"/>
  <c r="V122" i="7"/>
  <c r="W122" i="7"/>
  <c r="X122" i="7"/>
  <c r="Y122" i="7"/>
  <c r="Z122" i="7"/>
  <c r="AA122" i="7"/>
  <c r="AC122" i="7"/>
  <c r="AE122" i="7"/>
  <c r="AI122" i="7"/>
  <c r="AO122" i="7"/>
  <c r="AP122" i="7"/>
  <c r="E1272" i="8"/>
  <c r="F1272" i="8"/>
  <c r="G1272" i="8"/>
  <c r="H1272" i="8"/>
  <c r="I1272" i="8"/>
  <c r="J1272" i="8"/>
  <c r="K1272" i="8"/>
  <c r="L1272" i="8"/>
  <c r="M1272" i="8"/>
  <c r="N1272" i="8"/>
  <c r="O1272" i="8"/>
  <c r="P1272" i="8"/>
  <c r="Q1272" i="8"/>
  <c r="R1272" i="8"/>
  <c r="S1272" i="8"/>
  <c r="T1272" i="8"/>
  <c r="E1273" i="8"/>
  <c r="F1273" i="8"/>
  <c r="G1273" i="8"/>
  <c r="H1273" i="8"/>
  <c r="I1273" i="8"/>
  <c r="J1273" i="8"/>
  <c r="K1273" i="8"/>
  <c r="L1273" i="8"/>
  <c r="M1273" i="8"/>
  <c r="N1273" i="8"/>
  <c r="O1273" i="8"/>
  <c r="P1273" i="8"/>
  <c r="Q1273" i="8"/>
  <c r="R1273" i="8"/>
  <c r="S1273" i="8"/>
  <c r="T1273" i="8"/>
  <c r="E1274" i="8"/>
  <c r="F1274" i="8"/>
  <c r="G1274" i="8"/>
  <c r="H1274" i="8"/>
  <c r="I1274" i="8"/>
  <c r="J1274" i="8"/>
  <c r="K1274" i="8"/>
  <c r="L1274" i="8"/>
  <c r="M1274" i="8"/>
  <c r="N1274" i="8"/>
  <c r="O1274" i="8"/>
  <c r="P1274" i="8"/>
  <c r="Q1274" i="8"/>
  <c r="R1274" i="8"/>
  <c r="S1274" i="8"/>
  <c r="T1274" i="8"/>
  <c r="E1275" i="8"/>
  <c r="F1275" i="8"/>
  <c r="G1275" i="8"/>
  <c r="H1275" i="8"/>
  <c r="I1275" i="8"/>
  <c r="J1275" i="8"/>
  <c r="K1275" i="8"/>
  <c r="L1275" i="8"/>
  <c r="M1275" i="8"/>
  <c r="N1275" i="8"/>
  <c r="O1275" i="8"/>
  <c r="P1275" i="8"/>
  <c r="Q1275" i="8"/>
  <c r="R1275" i="8"/>
  <c r="S1275" i="8"/>
  <c r="T1275" i="8"/>
  <c r="E1276" i="8"/>
  <c r="F1276" i="8"/>
  <c r="G1276" i="8"/>
  <c r="H1276" i="8"/>
  <c r="I1276" i="8"/>
  <c r="J1276" i="8"/>
  <c r="K1276" i="8"/>
  <c r="L1276" i="8"/>
  <c r="M1276" i="8"/>
  <c r="N1276" i="8"/>
  <c r="O1276" i="8"/>
  <c r="P1276" i="8"/>
  <c r="Q1276" i="8"/>
  <c r="R1276" i="8"/>
  <c r="S1276" i="8"/>
  <c r="T1276" i="8"/>
  <c r="E1277" i="8"/>
  <c r="F1277" i="8"/>
  <c r="G1277" i="8"/>
  <c r="H1277" i="8"/>
  <c r="I1277" i="8"/>
  <c r="J1277" i="8"/>
  <c r="K1277" i="8"/>
  <c r="L1277" i="8"/>
  <c r="M1277" i="8"/>
  <c r="N1277" i="8"/>
  <c r="O1277" i="8"/>
  <c r="P1277" i="8"/>
  <c r="Q1277" i="8"/>
  <c r="R1277" i="8"/>
  <c r="S1277" i="8"/>
  <c r="T1277" i="8"/>
  <c r="E1278" i="8"/>
  <c r="F1278" i="8"/>
  <c r="G1278" i="8"/>
  <c r="H1278" i="8"/>
  <c r="I1278" i="8"/>
  <c r="J1278" i="8"/>
  <c r="K1278" i="8"/>
  <c r="L1278" i="8"/>
  <c r="M1278" i="8"/>
  <c r="N1278" i="8"/>
  <c r="O1278" i="8"/>
  <c r="P1278" i="8"/>
  <c r="Q1278" i="8"/>
  <c r="R1278" i="8"/>
  <c r="S1278" i="8"/>
  <c r="T1278" i="8"/>
  <c r="E1279" i="8"/>
  <c r="F1279" i="8"/>
  <c r="G1279" i="8"/>
  <c r="H1279" i="8"/>
  <c r="I1279" i="8"/>
  <c r="J1279" i="8"/>
  <c r="K1279" i="8"/>
  <c r="L1279" i="8"/>
  <c r="M1279" i="8"/>
  <c r="N1279" i="8"/>
  <c r="O1279" i="8"/>
  <c r="P1279" i="8"/>
  <c r="Q1279" i="8"/>
  <c r="R1279" i="8"/>
  <c r="S1279" i="8"/>
  <c r="T1279" i="8"/>
  <c r="E1280" i="8"/>
  <c r="F1280" i="8"/>
  <c r="G1280" i="8"/>
  <c r="H1280" i="8"/>
  <c r="I1280" i="8"/>
  <c r="J1280" i="8"/>
  <c r="K1280" i="8"/>
  <c r="L1280" i="8"/>
  <c r="M1280" i="8"/>
  <c r="N1280" i="8"/>
  <c r="O1280" i="8"/>
  <c r="P1280" i="8"/>
  <c r="Q1280" i="8"/>
  <c r="R1280" i="8"/>
  <c r="S1280" i="8"/>
  <c r="T1280" i="8"/>
  <c r="E1281" i="8"/>
  <c r="F1281" i="8"/>
  <c r="G1281" i="8"/>
  <c r="H1281" i="8"/>
  <c r="I1281" i="8"/>
  <c r="J1281" i="8"/>
  <c r="K1281" i="8"/>
  <c r="L1281" i="8"/>
  <c r="M1281" i="8"/>
  <c r="N1281" i="8"/>
  <c r="O1281" i="8"/>
  <c r="P1281" i="8"/>
  <c r="Q1281" i="8"/>
  <c r="R1281" i="8"/>
  <c r="S1281" i="8"/>
  <c r="T1281" i="8"/>
  <c r="E1282" i="8"/>
  <c r="F1282" i="8"/>
  <c r="G1282" i="8"/>
  <c r="H1282" i="8"/>
  <c r="I1282" i="8"/>
  <c r="J1282" i="8"/>
  <c r="K1282" i="8"/>
  <c r="L1282" i="8"/>
  <c r="M1282" i="8"/>
  <c r="N1282" i="8"/>
  <c r="O1282" i="8"/>
  <c r="P1282" i="8"/>
  <c r="Q1282" i="8"/>
  <c r="R1282" i="8"/>
  <c r="S1282" i="8"/>
  <c r="T1282" i="8"/>
  <c r="E121" i="7"/>
  <c r="F121" i="7"/>
  <c r="G121" i="7"/>
  <c r="H121" i="7"/>
  <c r="I121" i="7"/>
  <c r="J121" i="7"/>
  <c r="K121" i="7"/>
  <c r="L121" i="7"/>
  <c r="M121" i="7"/>
  <c r="N121" i="7"/>
  <c r="P121" i="7"/>
  <c r="Q121" i="7"/>
  <c r="R121" i="7"/>
  <c r="S121" i="7"/>
  <c r="U121" i="7"/>
  <c r="V121" i="7"/>
  <c r="W121" i="7"/>
  <c r="X121" i="7"/>
  <c r="Y121" i="7"/>
  <c r="Z121" i="7"/>
  <c r="AA121" i="7"/>
  <c r="AC121" i="7"/>
  <c r="AE121" i="7"/>
  <c r="AI121" i="7"/>
  <c r="AO121" i="7"/>
  <c r="AP121" i="7"/>
  <c r="E1261" i="8"/>
  <c r="F1261" i="8"/>
  <c r="G1261" i="8"/>
  <c r="H1261" i="8"/>
  <c r="I1261" i="8"/>
  <c r="J1261" i="8"/>
  <c r="K1261" i="8"/>
  <c r="L1261" i="8"/>
  <c r="M1261" i="8"/>
  <c r="N1261" i="8"/>
  <c r="O1261" i="8"/>
  <c r="P1261" i="8"/>
  <c r="Q1261" i="8"/>
  <c r="R1261" i="8"/>
  <c r="S1261" i="8"/>
  <c r="T1261" i="8"/>
  <c r="E1262" i="8"/>
  <c r="F1262" i="8"/>
  <c r="G1262" i="8"/>
  <c r="H1262" i="8"/>
  <c r="I1262" i="8"/>
  <c r="J1262" i="8"/>
  <c r="K1262" i="8"/>
  <c r="L1262" i="8"/>
  <c r="M1262" i="8"/>
  <c r="N1262" i="8"/>
  <c r="O1262" i="8"/>
  <c r="P1262" i="8"/>
  <c r="Q1262" i="8"/>
  <c r="R1262" i="8"/>
  <c r="S1262" i="8"/>
  <c r="T1262" i="8"/>
  <c r="E1263" i="8"/>
  <c r="F1263" i="8"/>
  <c r="G1263" i="8"/>
  <c r="H1263" i="8"/>
  <c r="I1263" i="8"/>
  <c r="J1263" i="8"/>
  <c r="K1263" i="8"/>
  <c r="L1263" i="8"/>
  <c r="M1263" i="8"/>
  <c r="N1263" i="8"/>
  <c r="O1263" i="8"/>
  <c r="P1263" i="8"/>
  <c r="Q1263" i="8"/>
  <c r="R1263" i="8"/>
  <c r="S1263" i="8"/>
  <c r="T1263" i="8"/>
  <c r="E1264" i="8"/>
  <c r="F1264" i="8"/>
  <c r="G1264" i="8"/>
  <c r="H1264" i="8"/>
  <c r="I1264" i="8"/>
  <c r="J1264" i="8"/>
  <c r="K1264" i="8"/>
  <c r="L1264" i="8"/>
  <c r="M1264" i="8"/>
  <c r="N1264" i="8"/>
  <c r="O1264" i="8"/>
  <c r="P1264" i="8"/>
  <c r="Q1264" i="8"/>
  <c r="R1264" i="8"/>
  <c r="S1264" i="8"/>
  <c r="T1264" i="8"/>
  <c r="E1265" i="8"/>
  <c r="F1265" i="8"/>
  <c r="G1265" i="8"/>
  <c r="H1265" i="8"/>
  <c r="I1265" i="8"/>
  <c r="J1265" i="8"/>
  <c r="K1265" i="8"/>
  <c r="L1265" i="8"/>
  <c r="M1265" i="8"/>
  <c r="N1265" i="8"/>
  <c r="O1265" i="8"/>
  <c r="P1265" i="8"/>
  <c r="Q1265" i="8"/>
  <c r="R1265" i="8"/>
  <c r="S1265" i="8"/>
  <c r="T1265" i="8"/>
  <c r="E1266" i="8"/>
  <c r="F1266" i="8"/>
  <c r="G1266" i="8"/>
  <c r="H1266" i="8"/>
  <c r="I1266" i="8"/>
  <c r="J1266" i="8"/>
  <c r="K1266" i="8"/>
  <c r="L1266" i="8"/>
  <c r="M1266" i="8"/>
  <c r="N1266" i="8"/>
  <c r="O1266" i="8"/>
  <c r="P1266" i="8"/>
  <c r="Q1266" i="8"/>
  <c r="R1266" i="8"/>
  <c r="S1266" i="8"/>
  <c r="T1266" i="8"/>
  <c r="E1267" i="8"/>
  <c r="F1267" i="8"/>
  <c r="G1267" i="8"/>
  <c r="H1267" i="8"/>
  <c r="I1267" i="8"/>
  <c r="J1267" i="8"/>
  <c r="K1267" i="8"/>
  <c r="L1267" i="8"/>
  <c r="M1267" i="8"/>
  <c r="N1267" i="8"/>
  <c r="O1267" i="8"/>
  <c r="P1267" i="8"/>
  <c r="Q1267" i="8"/>
  <c r="R1267" i="8"/>
  <c r="S1267" i="8"/>
  <c r="T1267" i="8"/>
  <c r="E1268" i="8"/>
  <c r="F1268" i="8"/>
  <c r="G1268" i="8"/>
  <c r="H1268" i="8"/>
  <c r="I1268" i="8"/>
  <c r="J1268" i="8"/>
  <c r="K1268" i="8"/>
  <c r="L1268" i="8"/>
  <c r="M1268" i="8"/>
  <c r="N1268" i="8"/>
  <c r="O1268" i="8"/>
  <c r="P1268" i="8"/>
  <c r="Q1268" i="8"/>
  <c r="R1268" i="8"/>
  <c r="S1268" i="8"/>
  <c r="T1268" i="8"/>
  <c r="E1269" i="8"/>
  <c r="F1269" i="8"/>
  <c r="G1269" i="8"/>
  <c r="H1269" i="8"/>
  <c r="I1269" i="8"/>
  <c r="J1269" i="8"/>
  <c r="K1269" i="8"/>
  <c r="L1269" i="8"/>
  <c r="M1269" i="8"/>
  <c r="N1269" i="8"/>
  <c r="O1269" i="8"/>
  <c r="P1269" i="8"/>
  <c r="Q1269" i="8"/>
  <c r="R1269" i="8"/>
  <c r="S1269" i="8"/>
  <c r="T1269" i="8"/>
  <c r="E1270" i="8"/>
  <c r="F1270" i="8"/>
  <c r="G1270" i="8"/>
  <c r="H1270" i="8"/>
  <c r="I1270" i="8"/>
  <c r="J1270" i="8"/>
  <c r="K1270" i="8"/>
  <c r="L1270" i="8"/>
  <c r="M1270" i="8"/>
  <c r="N1270" i="8"/>
  <c r="O1270" i="8"/>
  <c r="P1270" i="8"/>
  <c r="Q1270" i="8"/>
  <c r="R1270" i="8"/>
  <c r="S1270" i="8"/>
  <c r="T1270" i="8"/>
  <c r="E1271" i="8"/>
  <c r="F1271" i="8"/>
  <c r="G1271" i="8"/>
  <c r="H1271" i="8"/>
  <c r="I1271" i="8"/>
  <c r="J1271" i="8"/>
  <c r="K1271" i="8"/>
  <c r="L1271" i="8"/>
  <c r="M1271" i="8"/>
  <c r="N1271" i="8"/>
  <c r="O1271" i="8"/>
  <c r="P1271" i="8"/>
  <c r="Q1271" i="8"/>
  <c r="R1271" i="8"/>
  <c r="S1271" i="8"/>
  <c r="T1271" i="8"/>
  <c r="E120" i="7"/>
  <c r="F120" i="7"/>
  <c r="G120" i="7"/>
  <c r="H120" i="7"/>
  <c r="I120" i="7"/>
  <c r="J120" i="7"/>
  <c r="K120" i="7"/>
  <c r="L120" i="7"/>
  <c r="M120" i="7"/>
  <c r="N120" i="7"/>
  <c r="P120" i="7"/>
  <c r="Q120" i="7"/>
  <c r="R120" i="7"/>
  <c r="S120" i="7"/>
  <c r="U120" i="7"/>
  <c r="V120" i="7"/>
  <c r="W120" i="7"/>
  <c r="X120" i="7"/>
  <c r="Y120" i="7"/>
  <c r="Z120" i="7"/>
  <c r="AA120" i="7"/>
  <c r="AC120" i="7"/>
  <c r="AE120" i="7"/>
  <c r="AI120" i="7"/>
  <c r="AO120" i="7"/>
  <c r="AP120" i="7"/>
  <c r="E1250" i="8"/>
  <c r="F1250" i="8"/>
  <c r="G1250" i="8"/>
  <c r="H1250" i="8"/>
  <c r="I1250" i="8"/>
  <c r="J1250" i="8"/>
  <c r="K1250" i="8"/>
  <c r="L1250" i="8"/>
  <c r="M1250" i="8"/>
  <c r="N1250" i="8"/>
  <c r="O1250" i="8"/>
  <c r="P1250" i="8"/>
  <c r="Q1250" i="8"/>
  <c r="R1250" i="8"/>
  <c r="S1250" i="8"/>
  <c r="T1250" i="8"/>
  <c r="E1251" i="8"/>
  <c r="F1251" i="8"/>
  <c r="G1251" i="8"/>
  <c r="H1251" i="8"/>
  <c r="I1251" i="8"/>
  <c r="J1251" i="8"/>
  <c r="K1251" i="8"/>
  <c r="L1251" i="8"/>
  <c r="M1251" i="8"/>
  <c r="N1251" i="8"/>
  <c r="O1251" i="8"/>
  <c r="P1251" i="8"/>
  <c r="Q1251" i="8"/>
  <c r="R1251" i="8"/>
  <c r="S1251" i="8"/>
  <c r="T1251" i="8"/>
  <c r="E1252" i="8"/>
  <c r="F1252" i="8"/>
  <c r="G1252" i="8"/>
  <c r="H1252" i="8"/>
  <c r="I1252" i="8"/>
  <c r="J1252" i="8"/>
  <c r="K1252" i="8"/>
  <c r="L1252" i="8"/>
  <c r="M1252" i="8"/>
  <c r="N1252" i="8"/>
  <c r="O1252" i="8"/>
  <c r="P1252" i="8"/>
  <c r="Q1252" i="8"/>
  <c r="R1252" i="8"/>
  <c r="S1252" i="8"/>
  <c r="T1252" i="8"/>
  <c r="E1253" i="8"/>
  <c r="F1253" i="8"/>
  <c r="G1253" i="8"/>
  <c r="H1253" i="8"/>
  <c r="I1253" i="8"/>
  <c r="J1253" i="8"/>
  <c r="K1253" i="8"/>
  <c r="L1253" i="8"/>
  <c r="M1253" i="8"/>
  <c r="N1253" i="8"/>
  <c r="O1253" i="8"/>
  <c r="P1253" i="8"/>
  <c r="Q1253" i="8"/>
  <c r="R1253" i="8"/>
  <c r="S1253" i="8"/>
  <c r="T1253" i="8"/>
  <c r="E1254" i="8"/>
  <c r="F1254" i="8"/>
  <c r="G1254" i="8"/>
  <c r="H1254" i="8"/>
  <c r="I1254" i="8"/>
  <c r="J1254" i="8"/>
  <c r="K1254" i="8"/>
  <c r="L1254" i="8"/>
  <c r="M1254" i="8"/>
  <c r="N1254" i="8"/>
  <c r="O1254" i="8"/>
  <c r="P1254" i="8"/>
  <c r="Q1254" i="8"/>
  <c r="R1254" i="8"/>
  <c r="S1254" i="8"/>
  <c r="T1254" i="8"/>
  <c r="E1255" i="8"/>
  <c r="F1255" i="8"/>
  <c r="G1255" i="8"/>
  <c r="H1255" i="8"/>
  <c r="I1255" i="8"/>
  <c r="J1255" i="8"/>
  <c r="K1255" i="8"/>
  <c r="L1255" i="8"/>
  <c r="M1255" i="8"/>
  <c r="N1255" i="8"/>
  <c r="O1255" i="8"/>
  <c r="P1255" i="8"/>
  <c r="Q1255" i="8"/>
  <c r="R1255" i="8"/>
  <c r="S1255" i="8"/>
  <c r="T1255" i="8"/>
  <c r="E1256" i="8"/>
  <c r="F1256" i="8"/>
  <c r="G1256" i="8"/>
  <c r="H1256" i="8"/>
  <c r="I1256" i="8"/>
  <c r="J1256" i="8"/>
  <c r="K1256" i="8"/>
  <c r="L1256" i="8"/>
  <c r="M1256" i="8"/>
  <c r="N1256" i="8"/>
  <c r="O1256" i="8"/>
  <c r="P1256" i="8"/>
  <c r="Q1256" i="8"/>
  <c r="R1256" i="8"/>
  <c r="S1256" i="8"/>
  <c r="T1256" i="8"/>
  <c r="E1257" i="8"/>
  <c r="F1257" i="8"/>
  <c r="G1257" i="8"/>
  <c r="H1257" i="8"/>
  <c r="I1257" i="8"/>
  <c r="J1257" i="8"/>
  <c r="K1257" i="8"/>
  <c r="L1257" i="8"/>
  <c r="M1257" i="8"/>
  <c r="N1257" i="8"/>
  <c r="O1257" i="8"/>
  <c r="P1257" i="8"/>
  <c r="Q1257" i="8"/>
  <c r="R1257" i="8"/>
  <c r="S1257" i="8"/>
  <c r="T1257" i="8"/>
  <c r="E1258" i="8"/>
  <c r="F1258" i="8"/>
  <c r="G1258" i="8"/>
  <c r="H1258" i="8"/>
  <c r="I1258" i="8"/>
  <c r="J1258" i="8"/>
  <c r="K1258" i="8"/>
  <c r="L1258" i="8"/>
  <c r="M1258" i="8"/>
  <c r="N1258" i="8"/>
  <c r="O1258" i="8"/>
  <c r="P1258" i="8"/>
  <c r="Q1258" i="8"/>
  <c r="R1258" i="8"/>
  <c r="S1258" i="8"/>
  <c r="T1258" i="8"/>
  <c r="E1259" i="8"/>
  <c r="F1259" i="8"/>
  <c r="G1259" i="8"/>
  <c r="H1259" i="8"/>
  <c r="I1259" i="8"/>
  <c r="J1259" i="8"/>
  <c r="K1259" i="8"/>
  <c r="L1259" i="8"/>
  <c r="M1259" i="8"/>
  <c r="N1259" i="8"/>
  <c r="O1259" i="8"/>
  <c r="P1259" i="8"/>
  <c r="Q1259" i="8"/>
  <c r="R1259" i="8"/>
  <c r="S1259" i="8"/>
  <c r="T1259" i="8"/>
  <c r="E1260" i="8"/>
  <c r="F1260" i="8"/>
  <c r="G1260" i="8"/>
  <c r="H1260" i="8"/>
  <c r="I1260" i="8"/>
  <c r="J1260" i="8"/>
  <c r="K1260" i="8"/>
  <c r="L1260" i="8"/>
  <c r="M1260" i="8"/>
  <c r="N1260" i="8"/>
  <c r="O1260" i="8"/>
  <c r="P1260" i="8"/>
  <c r="Q1260" i="8"/>
  <c r="R1260" i="8"/>
  <c r="S1260" i="8"/>
  <c r="T1260" i="8"/>
  <c r="E119" i="7"/>
  <c r="F119" i="7"/>
  <c r="G119" i="7"/>
  <c r="H119" i="7"/>
  <c r="I119" i="7"/>
  <c r="J119" i="7"/>
  <c r="K119" i="7"/>
  <c r="L119" i="7"/>
  <c r="M119" i="7"/>
  <c r="N119" i="7"/>
  <c r="P119" i="7"/>
  <c r="Q119" i="7"/>
  <c r="R119" i="7"/>
  <c r="S119" i="7"/>
  <c r="U119" i="7"/>
  <c r="V119" i="7"/>
  <c r="W119" i="7"/>
  <c r="X119" i="7"/>
  <c r="Y119" i="7"/>
  <c r="Z119" i="7"/>
  <c r="AA119" i="7"/>
  <c r="AC119" i="7"/>
  <c r="AE119" i="7"/>
  <c r="AI119" i="7"/>
  <c r="AO119" i="7"/>
  <c r="AP119" i="7"/>
  <c r="E1239" i="8"/>
  <c r="F1239" i="8"/>
  <c r="G1239" i="8"/>
  <c r="H1239" i="8"/>
  <c r="I1239" i="8"/>
  <c r="J1239" i="8"/>
  <c r="K1239" i="8"/>
  <c r="L1239" i="8"/>
  <c r="M1239" i="8"/>
  <c r="N1239" i="8"/>
  <c r="O1239" i="8"/>
  <c r="P1239" i="8"/>
  <c r="Q1239" i="8"/>
  <c r="R1239" i="8"/>
  <c r="S1239" i="8"/>
  <c r="T1239" i="8"/>
  <c r="E1240" i="8"/>
  <c r="F1240" i="8"/>
  <c r="G1240" i="8"/>
  <c r="H1240" i="8"/>
  <c r="I1240" i="8"/>
  <c r="J1240" i="8"/>
  <c r="K1240" i="8"/>
  <c r="L1240" i="8"/>
  <c r="M1240" i="8"/>
  <c r="N1240" i="8"/>
  <c r="O1240" i="8"/>
  <c r="P1240" i="8"/>
  <c r="Q1240" i="8"/>
  <c r="R1240" i="8"/>
  <c r="S1240" i="8"/>
  <c r="T1240" i="8"/>
  <c r="E1241" i="8"/>
  <c r="F1241" i="8"/>
  <c r="G1241" i="8"/>
  <c r="H1241" i="8"/>
  <c r="I1241" i="8"/>
  <c r="J1241" i="8"/>
  <c r="K1241" i="8"/>
  <c r="L1241" i="8"/>
  <c r="M1241" i="8"/>
  <c r="N1241" i="8"/>
  <c r="O1241" i="8"/>
  <c r="P1241" i="8"/>
  <c r="Q1241" i="8"/>
  <c r="R1241" i="8"/>
  <c r="S1241" i="8"/>
  <c r="T1241" i="8"/>
  <c r="E1242" i="8"/>
  <c r="F1242" i="8"/>
  <c r="G1242" i="8"/>
  <c r="H1242" i="8"/>
  <c r="I1242" i="8"/>
  <c r="J1242" i="8"/>
  <c r="K1242" i="8"/>
  <c r="L1242" i="8"/>
  <c r="M1242" i="8"/>
  <c r="N1242" i="8"/>
  <c r="O1242" i="8"/>
  <c r="P1242" i="8"/>
  <c r="Q1242" i="8"/>
  <c r="R1242" i="8"/>
  <c r="S1242" i="8"/>
  <c r="T1242" i="8"/>
  <c r="E1243" i="8"/>
  <c r="F1243" i="8"/>
  <c r="G1243" i="8"/>
  <c r="H1243" i="8"/>
  <c r="I1243" i="8"/>
  <c r="J1243" i="8"/>
  <c r="K1243" i="8"/>
  <c r="L1243" i="8"/>
  <c r="M1243" i="8"/>
  <c r="N1243" i="8"/>
  <c r="O1243" i="8"/>
  <c r="P1243" i="8"/>
  <c r="Q1243" i="8"/>
  <c r="R1243" i="8"/>
  <c r="S1243" i="8"/>
  <c r="T1243" i="8"/>
  <c r="E1244" i="8"/>
  <c r="F1244" i="8"/>
  <c r="G1244" i="8"/>
  <c r="H1244" i="8"/>
  <c r="I1244" i="8"/>
  <c r="J1244" i="8"/>
  <c r="K1244" i="8"/>
  <c r="L1244" i="8"/>
  <c r="M1244" i="8"/>
  <c r="N1244" i="8"/>
  <c r="O1244" i="8"/>
  <c r="P1244" i="8"/>
  <c r="Q1244" i="8"/>
  <c r="R1244" i="8"/>
  <c r="S1244" i="8"/>
  <c r="T1244" i="8"/>
  <c r="E1245" i="8"/>
  <c r="F1245" i="8"/>
  <c r="G1245" i="8"/>
  <c r="H1245" i="8"/>
  <c r="I1245" i="8"/>
  <c r="J1245" i="8"/>
  <c r="K1245" i="8"/>
  <c r="L1245" i="8"/>
  <c r="M1245" i="8"/>
  <c r="N1245" i="8"/>
  <c r="O1245" i="8"/>
  <c r="P1245" i="8"/>
  <c r="Q1245" i="8"/>
  <c r="R1245" i="8"/>
  <c r="S1245" i="8"/>
  <c r="T1245" i="8"/>
  <c r="E1246" i="8"/>
  <c r="F1246" i="8"/>
  <c r="G1246" i="8"/>
  <c r="H1246" i="8"/>
  <c r="I1246" i="8"/>
  <c r="J1246" i="8"/>
  <c r="K1246" i="8"/>
  <c r="L1246" i="8"/>
  <c r="M1246" i="8"/>
  <c r="N1246" i="8"/>
  <c r="O1246" i="8"/>
  <c r="P1246" i="8"/>
  <c r="Q1246" i="8"/>
  <c r="R1246" i="8"/>
  <c r="S1246" i="8"/>
  <c r="T1246" i="8"/>
  <c r="E1247" i="8"/>
  <c r="F1247" i="8"/>
  <c r="G1247" i="8"/>
  <c r="H1247" i="8"/>
  <c r="I1247" i="8"/>
  <c r="J1247" i="8"/>
  <c r="K1247" i="8"/>
  <c r="L1247" i="8"/>
  <c r="M1247" i="8"/>
  <c r="N1247" i="8"/>
  <c r="O1247" i="8"/>
  <c r="P1247" i="8"/>
  <c r="Q1247" i="8"/>
  <c r="R1247" i="8"/>
  <c r="S1247" i="8"/>
  <c r="T1247" i="8"/>
  <c r="E1248" i="8"/>
  <c r="F1248" i="8"/>
  <c r="G1248" i="8"/>
  <c r="H1248" i="8"/>
  <c r="I1248" i="8"/>
  <c r="J1248" i="8"/>
  <c r="K1248" i="8"/>
  <c r="L1248" i="8"/>
  <c r="M1248" i="8"/>
  <c r="N1248" i="8"/>
  <c r="O1248" i="8"/>
  <c r="P1248" i="8"/>
  <c r="Q1248" i="8"/>
  <c r="R1248" i="8"/>
  <c r="S1248" i="8"/>
  <c r="T1248" i="8"/>
  <c r="E1249" i="8"/>
  <c r="F1249" i="8"/>
  <c r="G1249" i="8"/>
  <c r="H1249" i="8"/>
  <c r="I1249" i="8"/>
  <c r="J1249" i="8"/>
  <c r="K1249" i="8"/>
  <c r="L1249" i="8"/>
  <c r="M1249" i="8"/>
  <c r="N1249" i="8"/>
  <c r="O1249" i="8"/>
  <c r="P1249" i="8"/>
  <c r="Q1249" i="8"/>
  <c r="R1249" i="8"/>
  <c r="S1249" i="8"/>
  <c r="T1249" i="8"/>
  <c r="S1233" i="8"/>
  <c r="F1237" i="8"/>
  <c r="G1237" i="8"/>
  <c r="H1237" i="8"/>
  <c r="I1237" i="8"/>
  <c r="J1237" i="8"/>
  <c r="K1237" i="8"/>
  <c r="L1237" i="8"/>
  <c r="M1237" i="8"/>
  <c r="N1237" i="8"/>
  <c r="O1237" i="8"/>
  <c r="P1237" i="8"/>
  <c r="Q1237" i="8"/>
  <c r="R1237" i="8"/>
  <c r="S1237" i="8"/>
  <c r="T1237" i="8"/>
  <c r="E1238" i="8"/>
  <c r="F1238" i="8"/>
  <c r="G1238" i="8"/>
  <c r="H1238" i="8"/>
  <c r="I1238" i="8"/>
  <c r="J1238" i="8"/>
  <c r="K1238" i="8"/>
  <c r="L1238" i="8"/>
  <c r="M1238" i="8"/>
  <c r="N1238" i="8"/>
  <c r="O1238" i="8"/>
  <c r="P1238" i="8"/>
  <c r="Q1238" i="8"/>
  <c r="R1238" i="8"/>
  <c r="S1238" i="8"/>
  <c r="E118" i="7"/>
  <c r="F118" i="7"/>
  <c r="G118" i="7"/>
  <c r="H118" i="7"/>
  <c r="I118" i="7"/>
  <c r="J118" i="7"/>
  <c r="K118" i="7"/>
  <c r="L118" i="7"/>
  <c r="M118" i="7"/>
  <c r="N118" i="7"/>
  <c r="P118" i="7"/>
  <c r="Q118" i="7"/>
  <c r="R118" i="7"/>
  <c r="S118" i="7"/>
  <c r="U118" i="7"/>
  <c r="V118" i="7"/>
  <c r="W118" i="7"/>
  <c r="X118" i="7"/>
  <c r="Y118" i="7"/>
  <c r="Z118" i="7"/>
  <c r="AA118" i="7"/>
  <c r="AC118" i="7"/>
  <c r="AE118" i="7"/>
  <c r="AI118" i="7"/>
  <c r="AO118" i="7"/>
  <c r="AP118" i="7"/>
  <c r="E1228" i="8"/>
  <c r="F1228" i="8"/>
  <c r="G1228" i="8"/>
  <c r="H1228" i="8"/>
  <c r="I1228" i="8"/>
  <c r="J1228" i="8"/>
  <c r="K1228" i="8"/>
  <c r="L1228" i="8"/>
  <c r="M1228" i="8"/>
  <c r="N1228" i="8"/>
  <c r="O1228" i="8"/>
  <c r="P1228" i="8"/>
  <c r="Q1228" i="8"/>
  <c r="R1228" i="8"/>
  <c r="S1228" i="8"/>
  <c r="T1228" i="8"/>
  <c r="E1229" i="8"/>
  <c r="F1229" i="8"/>
  <c r="G1229" i="8"/>
  <c r="H1229" i="8"/>
  <c r="I1229" i="8"/>
  <c r="J1229" i="8"/>
  <c r="K1229" i="8"/>
  <c r="L1229" i="8"/>
  <c r="M1229" i="8"/>
  <c r="N1229" i="8"/>
  <c r="O1229" i="8"/>
  <c r="P1229" i="8"/>
  <c r="Q1229" i="8"/>
  <c r="R1229" i="8"/>
  <c r="S1229" i="8"/>
  <c r="T1229" i="8"/>
  <c r="E1230" i="8"/>
  <c r="F1230" i="8"/>
  <c r="G1230" i="8"/>
  <c r="H1230" i="8"/>
  <c r="I1230" i="8"/>
  <c r="J1230" i="8"/>
  <c r="K1230" i="8"/>
  <c r="L1230" i="8"/>
  <c r="M1230" i="8"/>
  <c r="N1230" i="8"/>
  <c r="O1230" i="8"/>
  <c r="P1230" i="8"/>
  <c r="Q1230" i="8"/>
  <c r="R1230" i="8"/>
  <c r="S1230" i="8"/>
  <c r="T1230" i="8"/>
  <c r="E1231" i="8"/>
  <c r="F1231" i="8"/>
  <c r="G1231" i="8"/>
  <c r="H1231" i="8"/>
  <c r="I1231" i="8"/>
  <c r="J1231" i="8"/>
  <c r="K1231" i="8"/>
  <c r="L1231" i="8"/>
  <c r="M1231" i="8"/>
  <c r="N1231" i="8"/>
  <c r="O1231" i="8"/>
  <c r="P1231" i="8"/>
  <c r="Q1231" i="8"/>
  <c r="R1231" i="8"/>
  <c r="S1231" i="8"/>
  <c r="T1231" i="8"/>
  <c r="E1232" i="8"/>
  <c r="F1232" i="8"/>
  <c r="G1232" i="8"/>
  <c r="H1232" i="8"/>
  <c r="I1232" i="8"/>
  <c r="J1232" i="8"/>
  <c r="K1232" i="8"/>
  <c r="L1232" i="8"/>
  <c r="M1232" i="8"/>
  <c r="N1232" i="8"/>
  <c r="O1232" i="8"/>
  <c r="P1232" i="8"/>
  <c r="Q1232" i="8"/>
  <c r="R1232" i="8"/>
  <c r="S1232" i="8"/>
  <c r="T1232" i="8"/>
  <c r="E1233" i="8"/>
  <c r="F1233" i="8"/>
  <c r="G1233" i="8"/>
  <c r="H1233" i="8"/>
  <c r="I1233" i="8"/>
  <c r="J1233" i="8"/>
  <c r="K1233" i="8"/>
  <c r="L1233" i="8"/>
  <c r="M1233" i="8"/>
  <c r="N1233" i="8"/>
  <c r="O1233" i="8"/>
  <c r="P1233" i="8"/>
  <c r="Q1233" i="8"/>
  <c r="R1233" i="8"/>
  <c r="T1238" i="8"/>
  <c r="T1233" i="8"/>
  <c r="E1234" i="8"/>
  <c r="F1234" i="8"/>
  <c r="G1234" i="8"/>
  <c r="H1234" i="8"/>
  <c r="I1234" i="8"/>
  <c r="J1234" i="8"/>
  <c r="K1234" i="8"/>
  <c r="L1234" i="8"/>
  <c r="M1234" i="8"/>
  <c r="N1234" i="8"/>
  <c r="O1234" i="8"/>
  <c r="P1234" i="8"/>
  <c r="Q1234" i="8"/>
  <c r="R1234" i="8"/>
  <c r="S1234" i="8"/>
  <c r="T1234" i="8"/>
  <c r="E1235" i="8"/>
  <c r="F1235" i="8"/>
  <c r="G1235" i="8"/>
  <c r="H1235" i="8"/>
  <c r="I1235" i="8"/>
  <c r="J1235" i="8"/>
  <c r="K1235" i="8"/>
  <c r="L1235" i="8"/>
  <c r="M1235" i="8"/>
  <c r="N1235" i="8"/>
  <c r="O1235" i="8"/>
  <c r="P1235" i="8"/>
  <c r="Q1235" i="8"/>
  <c r="R1235" i="8"/>
  <c r="S1235" i="8"/>
  <c r="T1235" i="8"/>
  <c r="E1236" i="8"/>
  <c r="F1236" i="8"/>
  <c r="G1236" i="8"/>
  <c r="H1236" i="8"/>
  <c r="I1236" i="8"/>
  <c r="J1236" i="8"/>
  <c r="K1236" i="8"/>
  <c r="L1236" i="8"/>
  <c r="M1236" i="8"/>
  <c r="N1236" i="8"/>
  <c r="O1236" i="8"/>
  <c r="P1236" i="8"/>
  <c r="Q1236" i="8"/>
  <c r="R1236" i="8"/>
  <c r="S1236" i="8"/>
  <c r="T1236" i="8"/>
  <c r="E1237" i="8"/>
  <c r="F1226" i="8"/>
  <c r="G1226" i="8"/>
  <c r="H1226" i="8"/>
  <c r="I1226" i="8"/>
  <c r="J1226" i="8"/>
  <c r="K1226" i="8"/>
  <c r="L1226" i="8"/>
  <c r="M1226" i="8"/>
  <c r="N1226" i="8"/>
  <c r="O1226" i="8"/>
  <c r="P1226" i="8"/>
  <c r="Q1226" i="8"/>
  <c r="R1226" i="8"/>
  <c r="S1226" i="8"/>
  <c r="T1226" i="8"/>
  <c r="E1227" i="8"/>
  <c r="F1227" i="8"/>
  <c r="G1227" i="8"/>
  <c r="H1227" i="8"/>
  <c r="I1227" i="8"/>
  <c r="J1227" i="8"/>
  <c r="K1227" i="8"/>
  <c r="L1227" i="8"/>
  <c r="M1227" i="8"/>
  <c r="N1227" i="8"/>
  <c r="O1227" i="8"/>
  <c r="P1227" i="8"/>
  <c r="Q1227" i="8"/>
  <c r="R1227" i="8"/>
  <c r="S1227" i="8"/>
  <c r="J1221" i="8"/>
  <c r="E117" i="7"/>
  <c r="F117" i="7"/>
  <c r="G117" i="7"/>
  <c r="H117" i="7"/>
  <c r="I117" i="7"/>
  <c r="J117" i="7"/>
  <c r="K117" i="7"/>
  <c r="L117" i="7"/>
  <c r="M117" i="7"/>
  <c r="N117" i="7"/>
  <c r="P117" i="7"/>
  <c r="Q117" i="7"/>
  <c r="R117" i="7"/>
  <c r="S117" i="7"/>
  <c r="U117" i="7"/>
  <c r="V117" i="7"/>
  <c r="W117" i="7"/>
  <c r="X117" i="7"/>
  <c r="Y117" i="7"/>
  <c r="Z117" i="7"/>
  <c r="AA117" i="7"/>
  <c r="AC117" i="7"/>
  <c r="AE117" i="7"/>
  <c r="AI117" i="7"/>
  <c r="AO117" i="7"/>
  <c r="AP117" i="7"/>
  <c r="E1217" i="8"/>
  <c r="F1217" i="8"/>
  <c r="G1217" i="8"/>
  <c r="H1217" i="8"/>
  <c r="I1217" i="8"/>
  <c r="J1217" i="8"/>
  <c r="K1217" i="8"/>
  <c r="L1217" i="8"/>
  <c r="M1217" i="8"/>
  <c r="N1217" i="8"/>
  <c r="O1217" i="8"/>
  <c r="P1217" i="8"/>
  <c r="Q1217" i="8"/>
  <c r="R1217" i="8"/>
  <c r="S1217" i="8"/>
  <c r="T1217" i="8"/>
  <c r="E1218" i="8"/>
  <c r="F1218" i="8"/>
  <c r="G1218" i="8"/>
  <c r="H1218" i="8"/>
  <c r="I1218" i="8"/>
  <c r="J1218" i="8"/>
  <c r="K1218" i="8"/>
  <c r="L1218" i="8"/>
  <c r="M1218" i="8"/>
  <c r="N1218" i="8"/>
  <c r="O1218" i="8"/>
  <c r="P1218" i="8"/>
  <c r="Q1218" i="8"/>
  <c r="R1218" i="8"/>
  <c r="S1218" i="8"/>
  <c r="T1218" i="8"/>
  <c r="E1219" i="8"/>
  <c r="F1219" i="8"/>
  <c r="G1219" i="8"/>
  <c r="H1219" i="8"/>
  <c r="I1219" i="8"/>
  <c r="J1219" i="8"/>
  <c r="K1219" i="8"/>
  <c r="L1219" i="8"/>
  <c r="M1219" i="8"/>
  <c r="N1219" i="8"/>
  <c r="O1219" i="8"/>
  <c r="P1219" i="8"/>
  <c r="Q1219" i="8"/>
  <c r="R1219" i="8"/>
  <c r="S1219" i="8"/>
  <c r="T1219" i="8"/>
  <c r="E1220" i="8"/>
  <c r="F1220" i="8"/>
  <c r="G1220" i="8"/>
  <c r="H1220" i="8"/>
  <c r="I1220" i="8"/>
  <c r="J1220" i="8"/>
  <c r="K1220" i="8"/>
  <c r="L1220" i="8"/>
  <c r="M1220" i="8"/>
  <c r="N1220" i="8"/>
  <c r="O1220" i="8"/>
  <c r="P1220" i="8"/>
  <c r="Q1220" i="8"/>
  <c r="R1220" i="8"/>
  <c r="S1220" i="8"/>
  <c r="T1220" i="8"/>
  <c r="E1221" i="8"/>
  <c r="F1221" i="8"/>
  <c r="G1221" i="8"/>
  <c r="H1221" i="8"/>
  <c r="I1221" i="8"/>
  <c r="T1227" i="8"/>
  <c r="K1221" i="8"/>
  <c r="L1221" i="8"/>
  <c r="M1221" i="8"/>
  <c r="N1221" i="8"/>
  <c r="O1221" i="8"/>
  <c r="P1221" i="8"/>
  <c r="Q1221" i="8"/>
  <c r="R1221" i="8"/>
  <c r="S1221" i="8"/>
  <c r="T1221" i="8"/>
  <c r="E1222" i="8"/>
  <c r="F1222" i="8"/>
  <c r="G1222" i="8"/>
  <c r="H1222" i="8"/>
  <c r="I1222" i="8"/>
  <c r="J1222" i="8"/>
  <c r="K1222" i="8"/>
  <c r="L1222" i="8"/>
  <c r="M1222" i="8"/>
  <c r="N1222" i="8"/>
  <c r="O1222" i="8"/>
  <c r="P1222" i="8"/>
  <c r="Q1222" i="8"/>
  <c r="R1222" i="8"/>
  <c r="S1222" i="8"/>
  <c r="T1222" i="8"/>
  <c r="E1223" i="8"/>
  <c r="F1223" i="8"/>
  <c r="G1223" i="8"/>
  <c r="H1223" i="8"/>
  <c r="I1223" i="8"/>
  <c r="J1223" i="8"/>
  <c r="K1223" i="8"/>
  <c r="L1223" i="8"/>
  <c r="M1223" i="8"/>
  <c r="N1223" i="8"/>
  <c r="O1223" i="8"/>
  <c r="P1223" i="8"/>
  <c r="Q1223" i="8"/>
  <c r="R1223" i="8"/>
  <c r="S1223" i="8"/>
  <c r="T1223" i="8"/>
  <c r="E1224" i="8"/>
  <c r="F1224" i="8"/>
  <c r="G1224" i="8"/>
  <c r="H1224" i="8"/>
  <c r="I1224" i="8"/>
  <c r="J1224" i="8"/>
  <c r="K1224" i="8"/>
  <c r="L1224" i="8"/>
  <c r="M1224" i="8"/>
  <c r="N1224" i="8"/>
  <c r="O1224" i="8"/>
  <c r="P1224" i="8"/>
  <c r="Q1224" i="8"/>
  <c r="R1224" i="8"/>
  <c r="S1224" i="8"/>
  <c r="T1224" i="8"/>
  <c r="E1225" i="8"/>
  <c r="F1225" i="8"/>
  <c r="G1225" i="8"/>
  <c r="H1225" i="8"/>
  <c r="I1225" i="8"/>
  <c r="J1225" i="8"/>
  <c r="K1225" i="8"/>
  <c r="L1225" i="8"/>
  <c r="M1225" i="8"/>
  <c r="N1225" i="8"/>
  <c r="O1225" i="8"/>
  <c r="P1225" i="8"/>
  <c r="Q1225" i="8"/>
  <c r="R1225" i="8"/>
  <c r="S1225" i="8"/>
  <c r="T1225" i="8"/>
  <c r="E1226" i="8"/>
  <c r="F1215" i="8"/>
  <c r="G1215" i="8"/>
  <c r="H1215" i="8"/>
  <c r="I1215" i="8"/>
  <c r="J1215" i="8"/>
  <c r="K1215" i="8"/>
  <c r="L1215" i="8"/>
  <c r="M1215" i="8"/>
  <c r="N1215" i="8"/>
  <c r="O1215" i="8"/>
  <c r="P1215" i="8"/>
  <c r="Q1215" i="8"/>
  <c r="R1215" i="8"/>
  <c r="S1215" i="8"/>
  <c r="T1215" i="8"/>
  <c r="E1216" i="8"/>
  <c r="F1216" i="8"/>
  <c r="G1216" i="8"/>
  <c r="H1216" i="8"/>
  <c r="I1216" i="8"/>
  <c r="J1216" i="8"/>
  <c r="K1216" i="8"/>
  <c r="L1216" i="8"/>
  <c r="M1216" i="8"/>
  <c r="N1216" i="8"/>
  <c r="O1216" i="8"/>
  <c r="P1216" i="8"/>
  <c r="Q1216" i="8"/>
  <c r="R1216" i="8"/>
  <c r="S1216" i="8"/>
  <c r="T1216" i="8"/>
  <c r="E116" i="7"/>
  <c r="F116" i="7"/>
  <c r="G116" i="7"/>
  <c r="H116" i="7"/>
  <c r="I116" i="7"/>
  <c r="J116" i="7"/>
  <c r="K116" i="7"/>
  <c r="L116" i="7"/>
  <c r="M116" i="7"/>
  <c r="N116" i="7"/>
  <c r="P116" i="7"/>
  <c r="Q116" i="7"/>
  <c r="R116" i="7"/>
  <c r="S116" i="7"/>
  <c r="U116" i="7"/>
  <c r="V116" i="7"/>
  <c r="W116" i="7"/>
  <c r="X116" i="7"/>
  <c r="Y116" i="7"/>
  <c r="Z116" i="7"/>
  <c r="AA116" i="7"/>
  <c r="AC116" i="7"/>
  <c r="AE116" i="7"/>
  <c r="AI116" i="7"/>
  <c r="AO116" i="7"/>
  <c r="AP116" i="7"/>
  <c r="E1206" i="8"/>
  <c r="F1206" i="8"/>
  <c r="G1206" i="8"/>
  <c r="H1206" i="8"/>
  <c r="I1206" i="8"/>
  <c r="J1206" i="8"/>
  <c r="K1206" i="8"/>
  <c r="L1206" i="8"/>
  <c r="M1206" i="8"/>
  <c r="N1206" i="8"/>
  <c r="O1206" i="8"/>
  <c r="P1206" i="8"/>
  <c r="Q1206" i="8"/>
  <c r="R1206" i="8"/>
  <c r="S1206" i="8"/>
  <c r="T1206" i="8"/>
  <c r="E1207" i="8"/>
  <c r="F1207" i="8"/>
  <c r="G1207" i="8"/>
  <c r="H1207" i="8"/>
  <c r="I1207" i="8"/>
  <c r="J1207" i="8"/>
  <c r="K1207" i="8"/>
  <c r="L1207" i="8"/>
  <c r="M1207" i="8"/>
  <c r="N1207" i="8"/>
  <c r="O1207" i="8"/>
  <c r="P1207" i="8"/>
  <c r="Q1207" i="8"/>
  <c r="R1207" i="8"/>
  <c r="S1207" i="8"/>
  <c r="T1207" i="8"/>
  <c r="E1208" i="8"/>
  <c r="F1208" i="8"/>
  <c r="G1208" i="8"/>
  <c r="H1208" i="8"/>
  <c r="I1208" i="8"/>
  <c r="J1208" i="8"/>
  <c r="K1208" i="8"/>
  <c r="L1208" i="8"/>
  <c r="M1208" i="8"/>
  <c r="N1208" i="8"/>
  <c r="O1208" i="8"/>
  <c r="P1208" i="8"/>
  <c r="Q1208" i="8"/>
  <c r="R1208" i="8"/>
  <c r="S1208" i="8"/>
  <c r="T1208" i="8"/>
  <c r="E1209" i="8"/>
  <c r="F1209" i="8"/>
  <c r="G1209" i="8"/>
  <c r="H1209" i="8"/>
  <c r="I1209" i="8"/>
  <c r="J1209" i="8"/>
  <c r="K1209" i="8"/>
  <c r="L1209" i="8"/>
  <c r="M1209" i="8"/>
  <c r="N1209" i="8"/>
  <c r="O1209" i="8"/>
  <c r="P1209" i="8"/>
  <c r="Q1209" i="8"/>
  <c r="R1209" i="8"/>
  <c r="S1209" i="8"/>
  <c r="T1209" i="8"/>
  <c r="E1210" i="8"/>
  <c r="F1210" i="8"/>
  <c r="G1210" i="8"/>
  <c r="H1210" i="8"/>
  <c r="I1210" i="8"/>
  <c r="J1210" i="8"/>
  <c r="K1210" i="8"/>
  <c r="L1210" i="8"/>
  <c r="M1210" i="8"/>
  <c r="N1210" i="8"/>
  <c r="O1210" i="8"/>
  <c r="P1210" i="8"/>
  <c r="Q1210" i="8"/>
  <c r="R1210" i="8"/>
  <c r="S1210" i="8"/>
  <c r="T1210" i="8"/>
  <c r="E1211" i="8"/>
  <c r="F1211" i="8"/>
  <c r="G1211" i="8"/>
  <c r="H1211" i="8"/>
  <c r="I1211" i="8"/>
  <c r="J1211" i="8"/>
  <c r="K1211" i="8"/>
  <c r="L1211" i="8"/>
  <c r="M1211" i="8"/>
  <c r="N1211" i="8"/>
  <c r="O1211" i="8"/>
  <c r="P1211" i="8"/>
  <c r="Q1211" i="8"/>
  <c r="R1211" i="8"/>
  <c r="S1211" i="8"/>
  <c r="T1211" i="8"/>
  <c r="E1212" i="8"/>
  <c r="F1212" i="8"/>
  <c r="G1212" i="8"/>
  <c r="H1212" i="8"/>
  <c r="I1212" i="8"/>
  <c r="J1212" i="8"/>
  <c r="K1212" i="8"/>
  <c r="L1212" i="8"/>
  <c r="M1212" i="8"/>
  <c r="N1212" i="8"/>
  <c r="O1212" i="8"/>
  <c r="P1212" i="8"/>
  <c r="Q1212" i="8"/>
  <c r="R1212" i="8"/>
  <c r="S1212" i="8"/>
  <c r="T1212" i="8"/>
  <c r="E1213" i="8"/>
  <c r="F1213" i="8"/>
  <c r="G1213" i="8"/>
  <c r="H1213" i="8"/>
  <c r="I1213" i="8"/>
  <c r="J1213" i="8"/>
  <c r="K1213" i="8"/>
  <c r="L1213" i="8"/>
  <c r="M1213" i="8"/>
  <c r="N1213" i="8"/>
  <c r="O1213" i="8"/>
  <c r="P1213" i="8"/>
  <c r="Q1213" i="8"/>
  <c r="R1213" i="8"/>
  <c r="S1213" i="8"/>
  <c r="T1213" i="8"/>
  <c r="E1214" i="8"/>
  <c r="F1214" i="8"/>
  <c r="G1214" i="8"/>
  <c r="H1214" i="8"/>
  <c r="I1214" i="8"/>
  <c r="J1214" i="8"/>
  <c r="K1214" i="8"/>
  <c r="L1214" i="8"/>
  <c r="M1214" i="8"/>
  <c r="N1214" i="8"/>
  <c r="O1214" i="8"/>
  <c r="P1214" i="8"/>
  <c r="Q1214" i="8"/>
  <c r="R1214" i="8"/>
  <c r="S1214" i="8"/>
  <c r="T1214" i="8"/>
  <c r="E1215" i="8"/>
  <c r="G1196" i="8"/>
  <c r="F1204" i="8"/>
  <c r="G1204" i="8"/>
  <c r="H1204" i="8"/>
  <c r="I1204" i="8"/>
  <c r="J1204" i="8"/>
  <c r="K1204" i="8"/>
  <c r="L1204" i="8"/>
  <c r="M1204" i="8"/>
  <c r="N1204" i="8"/>
  <c r="O1204" i="8"/>
  <c r="P1204" i="8"/>
  <c r="Q1204" i="8"/>
  <c r="R1204" i="8"/>
  <c r="S1204" i="8"/>
  <c r="T1204" i="8"/>
  <c r="E1205" i="8"/>
  <c r="F1205" i="8"/>
  <c r="G1205" i="8"/>
  <c r="H1205" i="8"/>
  <c r="I1205" i="8"/>
  <c r="J1205" i="8"/>
  <c r="K1205" i="8"/>
  <c r="L1205" i="8"/>
  <c r="M1205" i="8"/>
  <c r="N1205" i="8"/>
  <c r="O1205" i="8"/>
  <c r="P1205" i="8"/>
  <c r="Q1205" i="8"/>
  <c r="R1205" i="8"/>
  <c r="J1199" i="8"/>
  <c r="E115" i="7"/>
  <c r="F115" i="7"/>
  <c r="G115" i="7"/>
  <c r="H115" i="7"/>
  <c r="I115" i="7"/>
  <c r="J115" i="7"/>
  <c r="K115" i="7"/>
  <c r="L115" i="7"/>
  <c r="M115" i="7"/>
  <c r="N115" i="7"/>
  <c r="P115" i="7"/>
  <c r="Q115" i="7"/>
  <c r="R115" i="7"/>
  <c r="S115" i="7"/>
  <c r="U115" i="7"/>
  <c r="V115" i="7"/>
  <c r="W115" i="7"/>
  <c r="X115" i="7"/>
  <c r="Y115" i="7"/>
  <c r="Z115" i="7"/>
  <c r="AA115" i="7"/>
  <c r="AC115" i="7"/>
  <c r="AE115" i="7"/>
  <c r="AI115" i="7"/>
  <c r="AO115" i="7"/>
  <c r="AP115" i="7"/>
  <c r="E1195" i="8"/>
  <c r="F1195" i="8"/>
  <c r="G1195" i="8"/>
  <c r="H1195" i="8"/>
  <c r="I1195" i="8"/>
  <c r="J1195" i="8"/>
  <c r="K1195" i="8"/>
  <c r="L1195" i="8"/>
  <c r="M1195" i="8"/>
  <c r="N1195" i="8"/>
  <c r="O1195" i="8"/>
  <c r="P1195" i="8"/>
  <c r="Q1195" i="8"/>
  <c r="R1195" i="8"/>
  <c r="S1195" i="8"/>
  <c r="T1195" i="8"/>
  <c r="E1196" i="8"/>
  <c r="F1196" i="8"/>
  <c r="R1200" i="8"/>
  <c r="H1196" i="8"/>
  <c r="I1196" i="8"/>
  <c r="J1196" i="8"/>
  <c r="K1196" i="8"/>
  <c r="L1196" i="8"/>
  <c r="M1196" i="8"/>
  <c r="N1196" i="8"/>
  <c r="O1196" i="8"/>
  <c r="P1196" i="8"/>
  <c r="Q1196" i="8"/>
  <c r="R1196" i="8"/>
  <c r="S1196" i="8"/>
  <c r="T1196" i="8"/>
  <c r="E1197" i="8"/>
  <c r="F1197" i="8"/>
  <c r="G1197" i="8"/>
  <c r="H1197" i="8"/>
  <c r="I1197" i="8"/>
  <c r="J1197" i="8"/>
  <c r="K1197" i="8"/>
  <c r="L1197" i="8"/>
  <c r="M1197" i="8"/>
  <c r="N1197" i="8"/>
  <c r="O1197" i="8"/>
  <c r="P1197" i="8"/>
  <c r="Q1197" i="8"/>
  <c r="R1197" i="8"/>
  <c r="S1197" i="8"/>
  <c r="T1197" i="8"/>
  <c r="E1198" i="8"/>
  <c r="F1198" i="8"/>
  <c r="G1198" i="8"/>
  <c r="H1198" i="8"/>
  <c r="I1198" i="8"/>
  <c r="J1198" i="8"/>
  <c r="K1198" i="8"/>
  <c r="L1198" i="8"/>
  <c r="M1198" i="8"/>
  <c r="N1198" i="8"/>
  <c r="O1198" i="8"/>
  <c r="P1198" i="8"/>
  <c r="Q1198" i="8"/>
  <c r="R1198" i="8"/>
  <c r="S1198" i="8"/>
  <c r="T1198" i="8"/>
  <c r="E1199" i="8"/>
  <c r="F1199" i="8"/>
  <c r="G1199" i="8"/>
  <c r="H1199" i="8"/>
  <c r="I1199" i="8"/>
  <c r="S1205" i="8"/>
  <c r="K1199" i="8"/>
  <c r="L1199" i="8"/>
  <c r="M1199" i="8"/>
  <c r="N1199" i="8"/>
  <c r="O1199" i="8"/>
  <c r="P1199" i="8"/>
  <c r="Q1199" i="8"/>
  <c r="R1199" i="8"/>
  <c r="S1199" i="8"/>
  <c r="T1199" i="8"/>
  <c r="E1200" i="8"/>
  <c r="F1200" i="8"/>
  <c r="G1200" i="8"/>
  <c r="H1200" i="8"/>
  <c r="I1200" i="8"/>
  <c r="J1200" i="8"/>
  <c r="K1200" i="8"/>
  <c r="L1200" i="8"/>
  <c r="M1200" i="8"/>
  <c r="N1200" i="8"/>
  <c r="O1200" i="8"/>
  <c r="P1200" i="8"/>
  <c r="Q1200" i="8"/>
  <c r="T1205" i="8"/>
  <c r="S1200" i="8"/>
  <c r="T1200" i="8"/>
  <c r="E1201" i="8"/>
  <c r="F1201" i="8"/>
  <c r="G1201" i="8"/>
  <c r="H1201" i="8"/>
  <c r="I1201" i="8"/>
  <c r="J1201" i="8"/>
  <c r="K1201" i="8"/>
  <c r="L1201" i="8"/>
  <c r="M1201" i="8"/>
  <c r="N1201" i="8"/>
  <c r="O1201" i="8"/>
  <c r="P1201" i="8"/>
  <c r="Q1201" i="8"/>
  <c r="R1201" i="8"/>
  <c r="S1201" i="8"/>
  <c r="T1201" i="8"/>
  <c r="E1202" i="8"/>
  <c r="F1202" i="8"/>
  <c r="G1202" i="8"/>
  <c r="H1202" i="8"/>
  <c r="I1202" i="8"/>
  <c r="J1202" i="8"/>
  <c r="K1202" i="8"/>
  <c r="L1202" i="8"/>
  <c r="M1202" i="8"/>
  <c r="N1202" i="8"/>
  <c r="O1202" i="8"/>
  <c r="P1202" i="8"/>
  <c r="Q1202" i="8"/>
  <c r="R1202" i="8"/>
  <c r="S1202" i="8"/>
  <c r="T1202" i="8"/>
  <c r="E1203" i="8"/>
  <c r="F1203" i="8"/>
  <c r="G1203" i="8"/>
  <c r="H1203" i="8"/>
  <c r="I1203" i="8"/>
  <c r="J1203" i="8"/>
  <c r="K1203" i="8"/>
  <c r="L1203" i="8"/>
  <c r="M1203" i="8"/>
  <c r="N1203" i="8"/>
  <c r="O1203" i="8"/>
  <c r="P1203" i="8"/>
  <c r="Q1203" i="8"/>
  <c r="R1203" i="8"/>
  <c r="S1203" i="8"/>
  <c r="T1203" i="8"/>
  <c r="E1204" i="8"/>
  <c r="F1193" i="8"/>
  <c r="G1193" i="8"/>
  <c r="H1193" i="8"/>
  <c r="I1193" i="8"/>
  <c r="J1193" i="8"/>
  <c r="K1193" i="8"/>
  <c r="L1193" i="8"/>
  <c r="M1193" i="8"/>
  <c r="N1193" i="8"/>
  <c r="O1193" i="8"/>
  <c r="P1193" i="8"/>
  <c r="Q1193" i="8"/>
  <c r="R1193" i="8"/>
  <c r="S1193" i="8"/>
  <c r="T1193" i="8"/>
  <c r="E1194" i="8"/>
  <c r="F1194" i="8"/>
  <c r="G1194" i="8"/>
  <c r="H1194" i="8"/>
  <c r="I1194" i="8"/>
  <c r="J1194" i="8"/>
  <c r="K1194" i="8"/>
  <c r="L1194" i="8"/>
  <c r="M1194" i="8"/>
  <c r="N1194" i="8"/>
  <c r="O1194" i="8"/>
  <c r="P1194" i="8"/>
  <c r="Q1194" i="8"/>
  <c r="R1194" i="8"/>
  <c r="S1194" i="8"/>
  <c r="T1194" i="8"/>
  <c r="E114" i="7"/>
  <c r="F114" i="7"/>
  <c r="G114" i="7"/>
  <c r="H114" i="7"/>
  <c r="I114" i="7"/>
  <c r="J114" i="7"/>
  <c r="K114" i="7"/>
  <c r="L114" i="7"/>
  <c r="M114" i="7"/>
  <c r="N114" i="7"/>
  <c r="P114" i="7"/>
  <c r="Q114" i="7"/>
  <c r="R114" i="7"/>
  <c r="S114" i="7"/>
  <c r="U114" i="7"/>
  <c r="V114" i="7"/>
  <c r="W114" i="7"/>
  <c r="X114" i="7"/>
  <c r="Y114" i="7"/>
  <c r="Z114" i="7"/>
  <c r="AA114" i="7"/>
  <c r="AC114" i="7"/>
  <c r="AE114" i="7"/>
  <c r="AI114" i="7"/>
  <c r="AO114" i="7"/>
  <c r="AP114" i="7"/>
  <c r="E1184" i="8"/>
  <c r="F1184" i="8"/>
  <c r="G1184" i="8"/>
  <c r="H1184" i="8"/>
  <c r="I1184" i="8"/>
  <c r="J1184" i="8"/>
  <c r="K1184" i="8"/>
  <c r="L1184" i="8"/>
  <c r="M1184" i="8"/>
  <c r="N1184" i="8"/>
  <c r="O1184" i="8"/>
  <c r="P1184" i="8"/>
  <c r="Q1184" i="8"/>
  <c r="R1184" i="8"/>
  <c r="S1184" i="8"/>
  <c r="T1184" i="8"/>
  <c r="E1185" i="8"/>
  <c r="F1185" i="8"/>
  <c r="G1185" i="8"/>
  <c r="H1185" i="8"/>
  <c r="I1185" i="8"/>
  <c r="J1185" i="8"/>
  <c r="K1185" i="8"/>
  <c r="L1185" i="8"/>
  <c r="M1185" i="8"/>
  <c r="N1185" i="8"/>
  <c r="O1185" i="8"/>
  <c r="P1185" i="8"/>
  <c r="Q1185" i="8"/>
  <c r="R1185" i="8"/>
  <c r="S1185" i="8"/>
  <c r="T1185" i="8"/>
  <c r="E1186" i="8"/>
  <c r="F1186" i="8"/>
  <c r="G1186" i="8"/>
  <c r="H1186" i="8"/>
  <c r="I1186" i="8"/>
  <c r="J1186" i="8"/>
  <c r="K1186" i="8"/>
  <c r="L1186" i="8"/>
  <c r="M1186" i="8"/>
  <c r="N1186" i="8"/>
  <c r="O1186" i="8"/>
  <c r="P1186" i="8"/>
  <c r="Q1186" i="8"/>
  <c r="R1186" i="8"/>
  <c r="S1186" i="8"/>
  <c r="T1186" i="8"/>
  <c r="E1187" i="8"/>
  <c r="F1187" i="8"/>
  <c r="G1187" i="8"/>
  <c r="H1187" i="8"/>
  <c r="I1187" i="8"/>
  <c r="J1187" i="8"/>
  <c r="K1187" i="8"/>
  <c r="L1187" i="8"/>
  <c r="M1187" i="8"/>
  <c r="N1187" i="8"/>
  <c r="O1187" i="8"/>
  <c r="P1187" i="8"/>
  <c r="Q1187" i="8"/>
  <c r="R1187" i="8"/>
  <c r="S1187" i="8"/>
  <c r="T1187" i="8"/>
  <c r="E1188" i="8"/>
  <c r="F1188" i="8"/>
  <c r="G1188" i="8"/>
  <c r="H1188" i="8"/>
  <c r="I1188" i="8"/>
  <c r="J1188" i="8"/>
  <c r="K1188" i="8"/>
  <c r="L1188" i="8"/>
  <c r="M1188" i="8"/>
  <c r="N1188" i="8"/>
  <c r="O1188" i="8"/>
  <c r="P1188" i="8"/>
  <c r="Q1188" i="8"/>
  <c r="R1188" i="8"/>
  <c r="S1188" i="8"/>
  <c r="T1188" i="8"/>
  <c r="E1189" i="8"/>
  <c r="F1189" i="8"/>
  <c r="G1189" i="8"/>
  <c r="H1189" i="8"/>
  <c r="I1189" i="8"/>
  <c r="J1189" i="8"/>
  <c r="K1189" i="8"/>
  <c r="L1189" i="8"/>
  <c r="M1189" i="8"/>
  <c r="N1189" i="8"/>
  <c r="O1189" i="8"/>
  <c r="P1189" i="8"/>
  <c r="Q1189" i="8"/>
  <c r="R1189" i="8"/>
  <c r="S1189" i="8"/>
  <c r="T1189" i="8"/>
  <c r="E1190" i="8"/>
  <c r="F1190" i="8"/>
  <c r="G1190" i="8"/>
  <c r="H1190" i="8"/>
  <c r="I1190" i="8"/>
  <c r="J1190" i="8"/>
  <c r="K1190" i="8"/>
  <c r="L1190" i="8"/>
  <c r="M1190" i="8"/>
  <c r="N1190" i="8"/>
  <c r="O1190" i="8"/>
  <c r="P1190" i="8"/>
  <c r="Q1190" i="8"/>
  <c r="R1190" i="8"/>
  <c r="S1190" i="8"/>
  <c r="T1190" i="8"/>
  <c r="E1191" i="8"/>
  <c r="F1191" i="8"/>
  <c r="G1191" i="8"/>
  <c r="H1191" i="8"/>
  <c r="I1191" i="8"/>
  <c r="J1191" i="8"/>
  <c r="K1191" i="8"/>
  <c r="L1191" i="8"/>
  <c r="M1191" i="8"/>
  <c r="N1191" i="8"/>
  <c r="O1191" i="8"/>
  <c r="P1191" i="8"/>
  <c r="Q1191" i="8"/>
  <c r="R1191" i="8"/>
  <c r="S1191" i="8"/>
  <c r="T1191" i="8"/>
  <c r="E1192" i="8"/>
  <c r="F1192" i="8"/>
  <c r="G1192" i="8"/>
  <c r="H1192" i="8"/>
  <c r="I1192" i="8"/>
  <c r="J1192" i="8"/>
  <c r="K1192" i="8"/>
  <c r="L1192" i="8"/>
  <c r="M1192" i="8"/>
  <c r="N1192" i="8"/>
  <c r="O1192" i="8"/>
  <c r="P1192" i="8"/>
  <c r="Q1192" i="8"/>
  <c r="R1192" i="8"/>
  <c r="S1192" i="8"/>
  <c r="T1192" i="8"/>
  <c r="E1193" i="8"/>
  <c r="G1182" i="8"/>
  <c r="H1182" i="8"/>
  <c r="I1182" i="8"/>
  <c r="J1182" i="8"/>
  <c r="K1182" i="8"/>
  <c r="L1182" i="8"/>
  <c r="M1182" i="8"/>
  <c r="N1182" i="8"/>
  <c r="O1182" i="8"/>
  <c r="P1182" i="8"/>
  <c r="Q1182" i="8"/>
  <c r="R1182" i="8"/>
  <c r="S1182" i="8"/>
  <c r="T1182" i="8"/>
  <c r="E1183" i="8"/>
  <c r="F1183" i="8"/>
  <c r="G1183" i="8"/>
  <c r="H1183" i="8"/>
  <c r="I1183" i="8"/>
  <c r="J1183" i="8"/>
  <c r="K1183" i="8"/>
  <c r="L1183" i="8"/>
  <c r="M1183" i="8"/>
  <c r="N1183" i="8"/>
  <c r="O1183" i="8"/>
  <c r="P1183" i="8"/>
  <c r="Q1183" i="8"/>
  <c r="R1183" i="8"/>
  <c r="S1183" i="8"/>
  <c r="T1183" i="8"/>
  <c r="F1182" i="8"/>
  <c r="E113" i="7"/>
  <c r="F113" i="7"/>
  <c r="G113" i="7"/>
  <c r="H113" i="7"/>
  <c r="I113" i="7"/>
  <c r="J113" i="7"/>
  <c r="K113" i="7"/>
  <c r="L113" i="7"/>
  <c r="M113" i="7"/>
  <c r="N113" i="7"/>
  <c r="P113" i="7"/>
  <c r="Q113" i="7"/>
  <c r="R113" i="7"/>
  <c r="S113" i="7"/>
  <c r="U113" i="7"/>
  <c r="V113" i="7"/>
  <c r="W113" i="7"/>
  <c r="X113" i="7"/>
  <c r="Y113" i="7"/>
  <c r="Z113" i="7"/>
  <c r="AA113" i="7"/>
  <c r="AC113" i="7"/>
  <c r="AE113" i="7"/>
  <c r="AI113" i="7"/>
  <c r="AO113" i="7"/>
  <c r="AP113" i="7"/>
  <c r="E1173" i="8"/>
  <c r="F1173" i="8"/>
  <c r="G1173" i="8"/>
  <c r="H1173" i="8"/>
  <c r="I1173" i="8"/>
  <c r="J1173" i="8"/>
  <c r="K1173" i="8"/>
  <c r="L1173" i="8"/>
  <c r="M1173" i="8"/>
  <c r="N1173" i="8"/>
  <c r="O1173" i="8"/>
  <c r="P1173" i="8"/>
  <c r="Q1173" i="8"/>
  <c r="R1173" i="8"/>
  <c r="S1173" i="8"/>
  <c r="T1173" i="8"/>
  <c r="E1174" i="8"/>
  <c r="F1174" i="8"/>
  <c r="G1174" i="8"/>
  <c r="H1174" i="8"/>
  <c r="I1174" i="8"/>
  <c r="J1174" i="8"/>
  <c r="K1174" i="8"/>
  <c r="L1174" i="8"/>
  <c r="M1174" i="8"/>
  <c r="N1174" i="8"/>
  <c r="O1174" i="8"/>
  <c r="P1174" i="8"/>
  <c r="Q1174" i="8"/>
  <c r="R1174" i="8"/>
  <c r="S1174" i="8"/>
  <c r="T1174" i="8"/>
  <c r="E1175" i="8"/>
  <c r="F1175" i="8"/>
  <c r="G1175" i="8"/>
  <c r="H1175" i="8"/>
  <c r="I1175" i="8"/>
  <c r="J1175" i="8"/>
  <c r="K1175" i="8"/>
  <c r="L1175" i="8"/>
  <c r="M1175" i="8"/>
  <c r="N1175" i="8"/>
  <c r="O1175" i="8"/>
  <c r="P1175" i="8"/>
  <c r="Q1175" i="8"/>
  <c r="R1175" i="8"/>
  <c r="S1175" i="8"/>
  <c r="T1175" i="8"/>
  <c r="E1176" i="8"/>
  <c r="F1176" i="8"/>
  <c r="G1176" i="8"/>
  <c r="H1176" i="8"/>
  <c r="I1176" i="8"/>
  <c r="J1176" i="8"/>
  <c r="K1176" i="8"/>
  <c r="L1176" i="8"/>
  <c r="M1176" i="8"/>
  <c r="N1176" i="8"/>
  <c r="O1176" i="8"/>
  <c r="P1176" i="8"/>
  <c r="Q1176" i="8"/>
  <c r="R1176" i="8"/>
  <c r="S1176" i="8"/>
  <c r="T1176" i="8"/>
  <c r="E1177" i="8"/>
  <c r="F1177" i="8"/>
  <c r="G1177" i="8"/>
  <c r="H1177" i="8"/>
  <c r="I1177" i="8"/>
  <c r="J1177" i="8"/>
  <c r="K1177" i="8"/>
  <c r="L1177" i="8"/>
  <c r="M1177" i="8"/>
  <c r="N1177" i="8"/>
  <c r="O1177" i="8"/>
  <c r="P1177" i="8"/>
  <c r="Q1177" i="8"/>
  <c r="R1177" i="8"/>
  <c r="S1177" i="8"/>
  <c r="T1177" i="8"/>
  <c r="E1178" i="8"/>
  <c r="F1178" i="8"/>
  <c r="G1178" i="8"/>
  <c r="H1178" i="8"/>
  <c r="I1178" i="8"/>
  <c r="J1178" i="8"/>
  <c r="K1178" i="8"/>
  <c r="L1178" i="8"/>
  <c r="M1178" i="8"/>
  <c r="N1178" i="8"/>
  <c r="O1178" i="8"/>
  <c r="P1178" i="8"/>
  <c r="Q1178" i="8"/>
  <c r="R1178" i="8"/>
  <c r="S1178" i="8"/>
  <c r="T1178" i="8"/>
  <c r="E1179" i="8"/>
  <c r="F1179" i="8"/>
  <c r="G1179" i="8"/>
  <c r="H1179" i="8"/>
  <c r="I1179" i="8"/>
  <c r="J1179" i="8"/>
  <c r="K1179" i="8"/>
  <c r="L1179" i="8"/>
  <c r="M1179" i="8"/>
  <c r="N1179" i="8"/>
  <c r="O1179" i="8"/>
  <c r="P1179" i="8"/>
  <c r="Q1179" i="8"/>
  <c r="R1179" i="8"/>
  <c r="S1179" i="8"/>
  <c r="T1179" i="8"/>
  <c r="E1180" i="8"/>
  <c r="F1180" i="8"/>
  <c r="G1180" i="8"/>
  <c r="H1180" i="8"/>
  <c r="I1180" i="8"/>
  <c r="J1180" i="8"/>
  <c r="K1180" i="8"/>
  <c r="L1180" i="8"/>
  <c r="M1180" i="8"/>
  <c r="N1180" i="8"/>
  <c r="O1180" i="8"/>
  <c r="P1180" i="8"/>
  <c r="Q1180" i="8"/>
  <c r="R1180" i="8"/>
  <c r="S1180" i="8"/>
  <c r="T1180" i="8"/>
  <c r="E1181" i="8"/>
  <c r="F1181" i="8"/>
  <c r="G1181" i="8"/>
  <c r="H1181" i="8"/>
  <c r="I1181" i="8"/>
  <c r="J1181" i="8"/>
  <c r="K1181" i="8"/>
  <c r="L1181" i="8"/>
  <c r="M1181" i="8"/>
  <c r="N1181" i="8"/>
  <c r="O1181" i="8"/>
  <c r="P1181" i="8"/>
  <c r="Q1181" i="8"/>
  <c r="R1181" i="8"/>
  <c r="S1181" i="8"/>
  <c r="T1181" i="8"/>
  <c r="E1182" i="8"/>
  <c r="F1171" i="8"/>
  <c r="G1171" i="8"/>
  <c r="H1171" i="8"/>
  <c r="I1171" i="8"/>
  <c r="J1171" i="8"/>
  <c r="K1171" i="8"/>
  <c r="L1171" i="8"/>
  <c r="M1171" i="8"/>
  <c r="N1171" i="8"/>
  <c r="O1171" i="8"/>
  <c r="P1171" i="8"/>
  <c r="Q1171" i="8"/>
  <c r="R1171" i="8"/>
  <c r="S1171" i="8"/>
  <c r="T1171" i="8"/>
  <c r="E1172" i="8"/>
  <c r="F1172" i="8"/>
  <c r="G1172" i="8"/>
  <c r="H1172" i="8"/>
  <c r="I1172" i="8"/>
  <c r="J1172" i="8"/>
  <c r="K1172" i="8"/>
  <c r="L1172" i="8"/>
  <c r="M1172" i="8"/>
  <c r="N1172" i="8"/>
  <c r="O1172" i="8"/>
  <c r="P1172" i="8"/>
  <c r="Q1172" i="8"/>
  <c r="R1172" i="8"/>
  <c r="S1172" i="8"/>
  <c r="T1172" i="8"/>
  <c r="E112" i="7"/>
  <c r="F112" i="7"/>
  <c r="G112" i="7"/>
  <c r="H112" i="7"/>
  <c r="I112" i="7"/>
  <c r="J112" i="7"/>
  <c r="K112" i="7"/>
  <c r="L112" i="7"/>
  <c r="M112" i="7"/>
  <c r="N112" i="7"/>
  <c r="P112" i="7"/>
  <c r="Q112" i="7"/>
  <c r="R112" i="7"/>
  <c r="S112" i="7"/>
  <c r="U112" i="7"/>
  <c r="V112" i="7"/>
  <c r="W112" i="7"/>
  <c r="X112" i="7"/>
  <c r="Y112" i="7"/>
  <c r="Z112" i="7"/>
  <c r="AA112" i="7"/>
  <c r="AC112" i="7"/>
  <c r="AE112" i="7"/>
  <c r="AI112" i="7"/>
  <c r="AO112" i="7"/>
  <c r="AP112" i="7"/>
  <c r="E1162" i="8"/>
  <c r="F1162" i="8"/>
  <c r="G1162" i="8"/>
  <c r="H1162" i="8"/>
  <c r="I1162" i="8"/>
  <c r="J1162" i="8"/>
  <c r="K1162" i="8"/>
  <c r="L1162" i="8"/>
  <c r="M1162" i="8"/>
  <c r="N1162" i="8"/>
  <c r="O1162" i="8"/>
  <c r="P1162" i="8"/>
  <c r="Q1162" i="8"/>
  <c r="R1162" i="8"/>
  <c r="S1162" i="8"/>
  <c r="T1162" i="8"/>
  <c r="E1163" i="8"/>
  <c r="F1163" i="8"/>
  <c r="G1163" i="8"/>
  <c r="H1163" i="8"/>
  <c r="I1163" i="8"/>
  <c r="J1163" i="8"/>
  <c r="K1163" i="8"/>
  <c r="L1163" i="8"/>
  <c r="M1163" i="8"/>
  <c r="N1163" i="8"/>
  <c r="O1163" i="8"/>
  <c r="P1163" i="8"/>
  <c r="Q1163" i="8"/>
  <c r="R1163" i="8"/>
  <c r="S1163" i="8"/>
  <c r="T1163" i="8"/>
  <c r="E1164" i="8"/>
  <c r="F1164" i="8"/>
  <c r="G1164" i="8"/>
  <c r="H1164" i="8"/>
  <c r="I1164" i="8"/>
  <c r="J1164" i="8"/>
  <c r="K1164" i="8"/>
  <c r="L1164" i="8"/>
  <c r="M1164" i="8"/>
  <c r="N1164" i="8"/>
  <c r="O1164" i="8"/>
  <c r="P1164" i="8"/>
  <c r="Q1164" i="8"/>
  <c r="R1164" i="8"/>
  <c r="S1164" i="8"/>
  <c r="T1164" i="8"/>
  <c r="E1165" i="8"/>
  <c r="F1165" i="8"/>
  <c r="G1165" i="8"/>
  <c r="H1165" i="8"/>
  <c r="I1165" i="8"/>
  <c r="J1165" i="8"/>
  <c r="K1165" i="8"/>
  <c r="L1165" i="8"/>
  <c r="M1165" i="8"/>
  <c r="N1165" i="8"/>
  <c r="O1165" i="8"/>
  <c r="P1165" i="8"/>
  <c r="Q1165" i="8"/>
  <c r="R1165" i="8"/>
  <c r="S1165" i="8"/>
  <c r="T1165" i="8"/>
  <c r="E1166" i="8"/>
  <c r="F1166" i="8"/>
  <c r="G1166" i="8"/>
  <c r="H1166" i="8"/>
  <c r="I1166" i="8"/>
  <c r="J1166" i="8"/>
  <c r="K1166" i="8"/>
  <c r="L1166" i="8"/>
  <c r="M1166" i="8"/>
  <c r="N1166" i="8"/>
  <c r="O1166" i="8"/>
  <c r="P1166" i="8"/>
  <c r="Q1166" i="8"/>
  <c r="R1166" i="8"/>
  <c r="S1166" i="8"/>
  <c r="T1166" i="8"/>
  <c r="E1167" i="8"/>
  <c r="F1167" i="8"/>
  <c r="G1167" i="8"/>
  <c r="H1167" i="8"/>
  <c r="I1167" i="8"/>
  <c r="J1167" i="8"/>
  <c r="K1167" i="8"/>
  <c r="L1167" i="8"/>
  <c r="M1167" i="8"/>
  <c r="N1167" i="8"/>
  <c r="O1167" i="8"/>
  <c r="P1167" i="8"/>
  <c r="Q1167" i="8"/>
  <c r="R1167" i="8"/>
  <c r="S1167" i="8"/>
  <c r="T1167" i="8"/>
  <c r="E1168" i="8"/>
  <c r="F1168" i="8"/>
  <c r="G1168" i="8"/>
  <c r="H1168" i="8"/>
  <c r="I1168" i="8"/>
  <c r="J1168" i="8"/>
  <c r="K1168" i="8"/>
  <c r="L1168" i="8"/>
  <c r="M1168" i="8"/>
  <c r="N1168" i="8"/>
  <c r="O1168" i="8"/>
  <c r="P1168" i="8"/>
  <c r="Q1168" i="8"/>
  <c r="R1168" i="8"/>
  <c r="S1168" i="8"/>
  <c r="T1168" i="8"/>
  <c r="E1169" i="8"/>
  <c r="F1169" i="8"/>
  <c r="G1169" i="8"/>
  <c r="H1169" i="8"/>
  <c r="I1169" i="8"/>
  <c r="J1169" i="8"/>
  <c r="K1169" i="8"/>
  <c r="L1169" i="8"/>
  <c r="M1169" i="8"/>
  <c r="N1169" i="8"/>
  <c r="O1169" i="8"/>
  <c r="P1169" i="8"/>
  <c r="Q1169" i="8"/>
  <c r="R1169" i="8"/>
  <c r="S1169" i="8"/>
  <c r="T1169" i="8"/>
  <c r="E1170" i="8"/>
  <c r="F1170" i="8"/>
  <c r="G1170" i="8"/>
  <c r="H1170" i="8"/>
  <c r="I1170" i="8"/>
  <c r="J1170" i="8"/>
  <c r="K1170" i="8"/>
  <c r="L1170" i="8"/>
  <c r="M1170" i="8"/>
  <c r="N1170" i="8"/>
  <c r="O1170" i="8"/>
  <c r="P1170" i="8"/>
  <c r="Q1170" i="8"/>
  <c r="R1170" i="8"/>
  <c r="S1170" i="8"/>
  <c r="T1170" i="8"/>
  <c r="E1171" i="8"/>
  <c r="S1156" i="8"/>
  <c r="F1160" i="8"/>
  <c r="G1160" i="8"/>
  <c r="H1160" i="8"/>
  <c r="I1160" i="8"/>
  <c r="J1160" i="8"/>
  <c r="K1160" i="8"/>
  <c r="L1160" i="8"/>
  <c r="M1160" i="8"/>
  <c r="N1160" i="8"/>
  <c r="O1160" i="8"/>
  <c r="P1160" i="8"/>
  <c r="Q1160" i="8"/>
  <c r="R1160" i="8"/>
  <c r="S1160" i="8"/>
  <c r="T1160" i="8"/>
  <c r="E1161" i="8"/>
  <c r="F1161" i="8"/>
  <c r="G1161" i="8"/>
  <c r="H1161" i="8"/>
  <c r="I1161" i="8"/>
  <c r="J1161" i="8"/>
  <c r="K1161" i="8"/>
  <c r="L1161" i="8"/>
  <c r="M1161" i="8"/>
  <c r="N1161" i="8"/>
  <c r="O1161" i="8"/>
  <c r="P1161" i="8"/>
  <c r="Q1161" i="8"/>
  <c r="R1161" i="8"/>
  <c r="Z111" i="7"/>
  <c r="E111" i="7"/>
  <c r="F111" i="7"/>
  <c r="G111" i="7"/>
  <c r="H111" i="7"/>
  <c r="I111" i="7"/>
  <c r="J111" i="7"/>
  <c r="K111" i="7"/>
  <c r="L111" i="7"/>
  <c r="M111" i="7"/>
  <c r="N111" i="7"/>
  <c r="P111" i="7"/>
  <c r="Q111" i="7"/>
  <c r="R111" i="7"/>
  <c r="S111" i="7"/>
  <c r="U111" i="7"/>
  <c r="V111" i="7"/>
  <c r="W111" i="7"/>
  <c r="X111" i="7"/>
  <c r="Y111" i="7"/>
  <c r="P1153" i="8"/>
  <c r="AA111" i="7"/>
  <c r="AC111" i="7"/>
  <c r="AE111" i="7"/>
  <c r="AI111" i="7"/>
  <c r="AO111" i="7"/>
  <c r="AP111" i="7"/>
  <c r="E1151" i="8"/>
  <c r="F1151" i="8"/>
  <c r="G1151" i="8"/>
  <c r="H1151" i="8"/>
  <c r="I1151" i="8"/>
  <c r="J1151" i="8"/>
  <c r="K1151" i="8"/>
  <c r="L1151" i="8"/>
  <c r="M1151" i="8"/>
  <c r="N1151" i="8"/>
  <c r="O1151" i="8"/>
  <c r="P1151" i="8"/>
  <c r="Q1151" i="8"/>
  <c r="R1151" i="8"/>
  <c r="S1151" i="8"/>
  <c r="T1151" i="8"/>
  <c r="E1152" i="8"/>
  <c r="F1152" i="8"/>
  <c r="G1152" i="8"/>
  <c r="H1152" i="8"/>
  <c r="I1152" i="8"/>
  <c r="J1152" i="8"/>
  <c r="K1152" i="8"/>
  <c r="L1152" i="8"/>
  <c r="M1152" i="8"/>
  <c r="N1152" i="8"/>
  <c r="O1152" i="8"/>
  <c r="P1152" i="8"/>
  <c r="Q1152" i="8"/>
  <c r="R1152" i="8"/>
  <c r="S1152" i="8"/>
  <c r="T1152" i="8"/>
  <c r="E1153" i="8"/>
  <c r="F1153" i="8"/>
  <c r="G1153" i="8"/>
  <c r="H1153" i="8"/>
  <c r="I1153" i="8"/>
  <c r="J1153" i="8"/>
  <c r="K1153" i="8"/>
  <c r="L1153" i="8"/>
  <c r="M1153" i="8"/>
  <c r="N1153" i="8"/>
  <c r="O1153" i="8"/>
  <c r="S1161" i="8"/>
  <c r="Q1153" i="8"/>
  <c r="R1153" i="8"/>
  <c r="S1153" i="8"/>
  <c r="T1153" i="8"/>
  <c r="E1154" i="8"/>
  <c r="F1154" i="8"/>
  <c r="G1154" i="8"/>
  <c r="H1154" i="8"/>
  <c r="I1154" i="8"/>
  <c r="J1154" i="8"/>
  <c r="K1154" i="8"/>
  <c r="L1154" i="8"/>
  <c r="M1154" i="8"/>
  <c r="N1154" i="8"/>
  <c r="O1154" i="8"/>
  <c r="P1154" i="8"/>
  <c r="Q1154" i="8"/>
  <c r="R1154" i="8"/>
  <c r="S1154" i="8"/>
  <c r="T1154" i="8"/>
  <c r="E1155" i="8"/>
  <c r="F1155" i="8"/>
  <c r="G1155" i="8"/>
  <c r="H1155" i="8"/>
  <c r="I1155" i="8"/>
  <c r="J1155" i="8"/>
  <c r="K1155" i="8"/>
  <c r="L1155" i="8"/>
  <c r="M1155" i="8"/>
  <c r="N1155" i="8"/>
  <c r="O1155" i="8"/>
  <c r="P1155" i="8"/>
  <c r="Q1155" i="8"/>
  <c r="R1155" i="8"/>
  <c r="S1155" i="8"/>
  <c r="T1155" i="8"/>
  <c r="E1156" i="8"/>
  <c r="F1156" i="8"/>
  <c r="G1156" i="8"/>
  <c r="H1156" i="8"/>
  <c r="I1156" i="8"/>
  <c r="J1156" i="8"/>
  <c r="K1156" i="8"/>
  <c r="L1156" i="8"/>
  <c r="M1156" i="8"/>
  <c r="N1156" i="8"/>
  <c r="O1156" i="8"/>
  <c r="P1156" i="8"/>
  <c r="Q1156" i="8"/>
  <c r="R1156" i="8"/>
  <c r="T1161" i="8"/>
  <c r="T1156" i="8"/>
  <c r="E1157" i="8"/>
  <c r="F1157" i="8"/>
  <c r="G1157" i="8"/>
  <c r="H1157" i="8"/>
  <c r="I1157" i="8"/>
  <c r="J1157" i="8"/>
  <c r="K1157" i="8"/>
  <c r="L1157" i="8"/>
  <c r="M1157" i="8"/>
  <c r="N1157" i="8"/>
  <c r="O1157" i="8"/>
  <c r="P1157" i="8"/>
  <c r="Q1157" i="8"/>
  <c r="R1157" i="8"/>
  <c r="S1157" i="8"/>
  <c r="T1157" i="8"/>
  <c r="E1158" i="8"/>
  <c r="F1158" i="8"/>
  <c r="G1158" i="8"/>
  <c r="H1158" i="8"/>
  <c r="I1158" i="8"/>
  <c r="J1158" i="8"/>
  <c r="K1158" i="8"/>
  <c r="L1158" i="8"/>
  <c r="M1158" i="8"/>
  <c r="N1158" i="8"/>
  <c r="O1158" i="8"/>
  <c r="P1158" i="8"/>
  <c r="Q1158" i="8"/>
  <c r="R1158" i="8"/>
  <c r="S1158" i="8"/>
  <c r="T1158" i="8"/>
  <c r="E1159" i="8"/>
  <c r="F1159" i="8"/>
  <c r="G1159" i="8"/>
  <c r="H1159" i="8"/>
  <c r="I1159" i="8"/>
  <c r="J1159" i="8"/>
  <c r="K1159" i="8"/>
  <c r="L1159" i="8"/>
  <c r="M1159" i="8"/>
  <c r="N1159" i="8"/>
  <c r="O1159" i="8"/>
  <c r="P1159" i="8"/>
  <c r="Q1159" i="8"/>
  <c r="R1159" i="8"/>
  <c r="S1159" i="8"/>
  <c r="T1159" i="8"/>
  <c r="E1160" i="8"/>
  <c r="F1149" i="8"/>
  <c r="G1149" i="8"/>
  <c r="H1149" i="8"/>
  <c r="I1149" i="8"/>
  <c r="J1149" i="8"/>
  <c r="K1149" i="8"/>
  <c r="L1149" i="8"/>
  <c r="M1149" i="8"/>
  <c r="N1149" i="8"/>
  <c r="O1149" i="8"/>
  <c r="P1149" i="8"/>
  <c r="Q1149" i="8"/>
  <c r="R1149" i="8"/>
  <c r="S1149" i="8"/>
  <c r="T1149" i="8"/>
  <c r="E1150" i="8"/>
  <c r="F1150" i="8"/>
  <c r="G1150" i="8"/>
  <c r="H1150" i="8"/>
  <c r="I1150" i="8"/>
  <c r="J1150" i="8"/>
  <c r="K1150" i="8"/>
  <c r="L1150" i="8"/>
  <c r="M1150" i="8"/>
  <c r="N1150" i="8"/>
  <c r="O1150" i="8"/>
  <c r="P1150" i="8"/>
  <c r="Q1150" i="8"/>
  <c r="R1150" i="8"/>
  <c r="S1150" i="8"/>
  <c r="P1142" i="8"/>
  <c r="E110" i="7"/>
  <c r="F110" i="7"/>
  <c r="G110" i="7"/>
  <c r="H110" i="7"/>
  <c r="I110" i="7"/>
  <c r="J110" i="7"/>
  <c r="K110" i="7"/>
  <c r="L110" i="7"/>
  <c r="M110" i="7"/>
  <c r="N110" i="7"/>
  <c r="P110" i="7"/>
  <c r="Q110" i="7"/>
  <c r="R110" i="7"/>
  <c r="S110" i="7"/>
  <c r="U110" i="7"/>
  <c r="V110" i="7"/>
  <c r="W110" i="7"/>
  <c r="X110" i="7"/>
  <c r="Y110" i="7"/>
  <c r="Z110" i="7"/>
  <c r="AA110" i="7"/>
  <c r="AC110" i="7"/>
  <c r="AE110" i="7"/>
  <c r="AI110" i="7"/>
  <c r="AO110" i="7"/>
  <c r="AP110" i="7"/>
  <c r="E1140" i="8"/>
  <c r="F1140" i="8"/>
  <c r="G1140" i="8"/>
  <c r="H1140" i="8"/>
  <c r="I1140" i="8"/>
  <c r="J1140" i="8"/>
  <c r="K1140" i="8"/>
  <c r="L1140" i="8"/>
  <c r="M1140" i="8"/>
  <c r="N1140" i="8"/>
  <c r="O1140" i="8"/>
  <c r="P1140" i="8"/>
  <c r="Q1140" i="8"/>
  <c r="R1140" i="8"/>
  <c r="S1140" i="8"/>
  <c r="T1140" i="8"/>
  <c r="E1141" i="8"/>
  <c r="F1141" i="8"/>
  <c r="G1141" i="8"/>
  <c r="H1141" i="8"/>
  <c r="I1141" i="8"/>
  <c r="J1141" i="8"/>
  <c r="K1141" i="8"/>
  <c r="L1141" i="8"/>
  <c r="M1141" i="8"/>
  <c r="N1141" i="8"/>
  <c r="O1141" i="8"/>
  <c r="P1141" i="8"/>
  <c r="Q1141" i="8"/>
  <c r="R1141" i="8"/>
  <c r="S1141" i="8"/>
  <c r="T1141" i="8"/>
  <c r="E1142" i="8"/>
  <c r="F1142" i="8"/>
  <c r="G1142" i="8"/>
  <c r="H1142" i="8"/>
  <c r="I1142" i="8"/>
  <c r="J1142" i="8"/>
  <c r="K1142" i="8"/>
  <c r="L1142" i="8"/>
  <c r="M1142" i="8"/>
  <c r="N1142" i="8"/>
  <c r="O1142" i="8"/>
  <c r="T1150" i="8"/>
  <c r="Q1142" i="8"/>
  <c r="R1142" i="8"/>
  <c r="S1142" i="8"/>
  <c r="T1142" i="8"/>
  <c r="E1143" i="8"/>
  <c r="F1143" i="8"/>
  <c r="G1143" i="8"/>
  <c r="H1143" i="8"/>
  <c r="I1143" i="8"/>
  <c r="J1143" i="8"/>
  <c r="K1143" i="8"/>
  <c r="L1143" i="8"/>
  <c r="M1143" i="8"/>
  <c r="N1143" i="8"/>
  <c r="O1143" i="8"/>
  <c r="P1143" i="8"/>
  <c r="Q1143" i="8"/>
  <c r="R1143" i="8"/>
  <c r="S1143" i="8"/>
  <c r="T1143" i="8"/>
  <c r="E1144" i="8"/>
  <c r="F1144" i="8"/>
  <c r="G1144" i="8"/>
  <c r="H1144" i="8"/>
  <c r="I1144" i="8"/>
  <c r="J1144" i="8"/>
  <c r="K1144" i="8"/>
  <c r="L1144" i="8"/>
  <c r="M1144" i="8"/>
  <c r="N1144" i="8"/>
  <c r="O1144" i="8"/>
  <c r="P1144" i="8"/>
  <c r="Q1144" i="8"/>
  <c r="R1144" i="8"/>
  <c r="S1144" i="8"/>
  <c r="T1144" i="8"/>
  <c r="E1145" i="8"/>
  <c r="F1145" i="8"/>
  <c r="G1145" i="8"/>
  <c r="H1145" i="8"/>
  <c r="I1145" i="8"/>
  <c r="J1145" i="8"/>
  <c r="K1145" i="8"/>
  <c r="L1145" i="8"/>
  <c r="M1145" i="8"/>
  <c r="N1145" i="8"/>
  <c r="O1145" i="8"/>
  <c r="P1145" i="8"/>
  <c r="Q1145" i="8"/>
  <c r="R1145" i="8"/>
  <c r="S1145" i="8"/>
  <c r="T1145" i="8"/>
  <c r="E1146" i="8"/>
  <c r="F1146" i="8"/>
  <c r="G1146" i="8"/>
  <c r="H1146" i="8"/>
  <c r="I1146" i="8"/>
  <c r="J1146" i="8"/>
  <c r="K1146" i="8"/>
  <c r="L1146" i="8"/>
  <c r="M1146" i="8"/>
  <c r="N1146" i="8"/>
  <c r="O1146" i="8"/>
  <c r="P1146" i="8"/>
  <c r="Q1146" i="8"/>
  <c r="R1146" i="8"/>
  <c r="S1146" i="8"/>
  <c r="T1146" i="8"/>
  <c r="E1147" i="8"/>
  <c r="F1147" i="8"/>
  <c r="G1147" i="8"/>
  <c r="H1147" i="8"/>
  <c r="I1147" i="8"/>
  <c r="J1147" i="8"/>
  <c r="K1147" i="8"/>
  <c r="L1147" i="8"/>
  <c r="M1147" i="8"/>
  <c r="N1147" i="8"/>
  <c r="O1147" i="8"/>
  <c r="P1147" i="8"/>
  <c r="Q1147" i="8"/>
  <c r="R1147" i="8"/>
  <c r="S1147" i="8"/>
  <c r="T1147" i="8"/>
  <c r="E1148" i="8"/>
  <c r="F1148" i="8"/>
  <c r="G1148" i="8"/>
  <c r="H1148" i="8"/>
  <c r="I1148" i="8"/>
  <c r="J1148" i="8"/>
  <c r="K1148" i="8"/>
  <c r="L1148" i="8"/>
  <c r="M1148" i="8"/>
  <c r="N1148" i="8"/>
  <c r="O1148" i="8"/>
  <c r="P1148" i="8"/>
  <c r="Q1148" i="8"/>
  <c r="R1148" i="8"/>
  <c r="S1148" i="8"/>
  <c r="T1148" i="8"/>
  <c r="E1149" i="8"/>
  <c r="F1138" i="8"/>
  <c r="G1138" i="8"/>
  <c r="H1138" i="8"/>
  <c r="I1138" i="8"/>
  <c r="J1138" i="8"/>
  <c r="K1138" i="8"/>
  <c r="L1138" i="8"/>
  <c r="M1138" i="8"/>
  <c r="N1138" i="8"/>
  <c r="O1138" i="8"/>
  <c r="P1138" i="8"/>
  <c r="Q1138" i="8"/>
  <c r="R1138" i="8"/>
  <c r="S1138" i="8"/>
  <c r="T1138" i="8"/>
  <c r="E1139" i="8"/>
  <c r="F1139" i="8"/>
  <c r="G1139" i="8"/>
  <c r="H1139" i="8"/>
  <c r="I1139" i="8"/>
  <c r="J1139" i="8"/>
  <c r="K1139" i="8"/>
  <c r="L1139" i="8"/>
  <c r="M1139" i="8"/>
  <c r="N1139" i="8"/>
  <c r="O1139" i="8"/>
  <c r="P1139" i="8"/>
  <c r="Q1139" i="8"/>
  <c r="R1139" i="8"/>
  <c r="S1139" i="8"/>
  <c r="T1139" i="8"/>
  <c r="E109" i="7"/>
  <c r="F109" i="7"/>
  <c r="G109" i="7"/>
  <c r="H109" i="7"/>
  <c r="I109" i="7"/>
  <c r="J109" i="7"/>
  <c r="K109" i="7"/>
  <c r="L109" i="7"/>
  <c r="M109" i="7"/>
  <c r="N109" i="7"/>
  <c r="P109" i="7"/>
  <c r="Q109" i="7"/>
  <c r="R109" i="7"/>
  <c r="S109" i="7"/>
  <c r="U109" i="7"/>
  <c r="V109" i="7"/>
  <c r="W109" i="7"/>
  <c r="X109" i="7"/>
  <c r="Y109" i="7"/>
  <c r="Z109" i="7"/>
  <c r="AA109" i="7"/>
  <c r="AC109" i="7"/>
  <c r="AE109" i="7"/>
  <c r="AI109" i="7"/>
  <c r="AO109" i="7"/>
  <c r="AP109" i="7"/>
  <c r="E1129" i="8"/>
  <c r="F1129" i="8"/>
  <c r="G1129" i="8"/>
  <c r="H1129" i="8"/>
  <c r="I1129" i="8"/>
  <c r="J1129" i="8"/>
  <c r="K1129" i="8"/>
  <c r="L1129" i="8"/>
  <c r="M1129" i="8"/>
  <c r="N1129" i="8"/>
  <c r="O1129" i="8"/>
  <c r="P1129" i="8"/>
  <c r="Q1129" i="8"/>
  <c r="R1129" i="8"/>
  <c r="S1129" i="8"/>
  <c r="T1129" i="8"/>
  <c r="E1130" i="8"/>
  <c r="F1130" i="8"/>
  <c r="G1130" i="8"/>
  <c r="H1130" i="8"/>
  <c r="I1130" i="8"/>
  <c r="J1130" i="8"/>
  <c r="K1130" i="8"/>
  <c r="L1130" i="8"/>
  <c r="M1130" i="8"/>
  <c r="N1130" i="8"/>
  <c r="O1130" i="8"/>
  <c r="P1130" i="8"/>
  <c r="Q1130" i="8"/>
  <c r="R1130" i="8"/>
  <c r="S1130" i="8"/>
  <c r="T1130" i="8"/>
  <c r="E1131" i="8"/>
  <c r="F1131" i="8"/>
  <c r="G1131" i="8"/>
  <c r="H1131" i="8"/>
  <c r="I1131" i="8"/>
  <c r="J1131" i="8"/>
  <c r="K1131" i="8"/>
  <c r="L1131" i="8"/>
  <c r="M1131" i="8"/>
  <c r="N1131" i="8"/>
  <c r="O1131" i="8"/>
  <c r="P1131" i="8"/>
  <c r="Q1131" i="8"/>
  <c r="R1131" i="8"/>
  <c r="S1131" i="8"/>
  <c r="T1131" i="8"/>
  <c r="E1132" i="8"/>
  <c r="F1132" i="8"/>
  <c r="G1132" i="8"/>
  <c r="H1132" i="8"/>
  <c r="I1132" i="8"/>
  <c r="J1132" i="8"/>
  <c r="K1132" i="8"/>
  <c r="L1132" i="8"/>
  <c r="M1132" i="8"/>
  <c r="N1132" i="8"/>
  <c r="O1132" i="8"/>
  <c r="P1132" i="8"/>
  <c r="Q1132" i="8"/>
  <c r="R1132" i="8"/>
  <c r="S1132" i="8"/>
  <c r="T1132" i="8"/>
  <c r="E1133" i="8"/>
  <c r="F1133" i="8"/>
  <c r="G1133" i="8"/>
  <c r="H1133" i="8"/>
  <c r="I1133" i="8"/>
  <c r="J1133" i="8"/>
  <c r="K1133" i="8"/>
  <c r="L1133" i="8"/>
  <c r="M1133" i="8"/>
  <c r="N1133" i="8"/>
  <c r="O1133" i="8"/>
  <c r="P1133" i="8"/>
  <c r="Q1133" i="8"/>
  <c r="R1133" i="8"/>
  <c r="S1133" i="8"/>
  <c r="T1133" i="8"/>
  <c r="E1134" i="8"/>
  <c r="F1134" i="8"/>
  <c r="G1134" i="8"/>
  <c r="H1134" i="8"/>
  <c r="I1134" i="8"/>
  <c r="J1134" i="8"/>
  <c r="K1134" i="8"/>
  <c r="L1134" i="8"/>
  <c r="M1134" i="8"/>
  <c r="N1134" i="8"/>
  <c r="O1134" i="8"/>
  <c r="P1134" i="8"/>
  <c r="Q1134" i="8"/>
  <c r="R1134" i="8"/>
  <c r="S1134" i="8"/>
  <c r="T1134" i="8"/>
  <c r="E1135" i="8"/>
  <c r="F1135" i="8"/>
  <c r="G1135" i="8"/>
  <c r="H1135" i="8"/>
  <c r="I1135" i="8"/>
  <c r="J1135" i="8"/>
  <c r="K1135" i="8"/>
  <c r="L1135" i="8"/>
  <c r="M1135" i="8"/>
  <c r="N1135" i="8"/>
  <c r="O1135" i="8"/>
  <c r="P1135" i="8"/>
  <c r="Q1135" i="8"/>
  <c r="R1135" i="8"/>
  <c r="S1135" i="8"/>
  <c r="T1135" i="8"/>
  <c r="E1136" i="8"/>
  <c r="F1136" i="8"/>
  <c r="G1136" i="8"/>
  <c r="H1136" i="8"/>
  <c r="I1136" i="8"/>
  <c r="J1136" i="8"/>
  <c r="K1136" i="8"/>
  <c r="L1136" i="8"/>
  <c r="M1136" i="8"/>
  <c r="N1136" i="8"/>
  <c r="O1136" i="8"/>
  <c r="P1136" i="8"/>
  <c r="Q1136" i="8"/>
  <c r="R1136" i="8"/>
  <c r="S1136" i="8"/>
  <c r="T1136" i="8"/>
  <c r="E1137" i="8"/>
  <c r="F1137" i="8"/>
  <c r="G1137" i="8"/>
  <c r="H1137" i="8"/>
  <c r="I1137" i="8"/>
  <c r="J1137" i="8"/>
  <c r="K1137" i="8"/>
  <c r="L1137" i="8"/>
  <c r="M1137" i="8"/>
  <c r="N1137" i="8"/>
  <c r="O1137" i="8"/>
  <c r="P1137" i="8"/>
  <c r="Q1137" i="8"/>
  <c r="R1137" i="8"/>
  <c r="S1137" i="8"/>
  <c r="T1137" i="8"/>
  <c r="E1138" i="8"/>
  <c r="G1119" i="8"/>
  <c r="F1127" i="8"/>
  <c r="G1127" i="8"/>
  <c r="H1127" i="8"/>
  <c r="I1127" i="8"/>
  <c r="J1127" i="8"/>
  <c r="K1127" i="8"/>
  <c r="L1127" i="8"/>
  <c r="M1127" i="8"/>
  <c r="N1127" i="8"/>
  <c r="O1127" i="8"/>
  <c r="P1127" i="8"/>
  <c r="Q1127" i="8"/>
  <c r="R1127" i="8"/>
  <c r="S1127" i="8"/>
  <c r="T1127" i="8"/>
  <c r="E1128" i="8"/>
  <c r="F1128" i="8"/>
  <c r="G1128" i="8"/>
  <c r="H1128" i="8"/>
  <c r="I1128" i="8"/>
  <c r="J1128" i="8"/>
  <c r="K1128" i="8"/>
  <c r="L1128" i="8"/>
  <c r="M1128" i="8"/>
  <c r="N1128" i="8"/>
  <c r="O1128" i="8"/>
  <c r="P1128" i="8"/>
  <c r="Q1128" i="8"/>
  <c r="R1128" i="8"/>
  <c r="S1128" i="8"/>
  <c r="E108" i="7"/>
  <c r="F108" i="7"/>
  <c r="G108" i="7"/>
  <c r="H108" i="7"/>
  <c r="I108" i="7"/>
  <c r="J108" i="7"/>
  <c r="K108" i="7"/>
  <c r="L108" i="7"/>
  <c r="M108" i="7"/>
  <c r="N108" i="7"/>
  <c r="P108" i="7"/>
  <c r="Q108" i="7"/>
  <c r="R108" i="7"/>
  <c r="S108" i="7"/>
  <c r="U108" i="7"/>
  <c r="V108" i="7"/>
  <c r="W108" i="7"/>
  <c r="X108" i="7"/>
  <c r="Y108" i="7"/>
  <c r="Z108" i="7"/>
  <c r="AA108" i="7"/>
  <c r="AC108" i="7"/>
  <c r="AE108" i="7"/>
  <c r="AI108" i="7"/>
  <c r="AO108" i="7"/>
  <c r="AP108" i="7"/>
  <c r="E1118" i="8"/>
  <c r="F1118" i="8"/>
  <c r="G1118" i="8"/>
  <c r="H1118" i="8"/>
  <c r="I1118" i="8"/>
  <c r="J1118" i="8"/>
  <c r="K1118" i="8"/>
  <c r="L1118" i="8"/>
  <c r="M1118" i="8"/>
  <c r="N1118" i="8"/>
  <c r="O1118" i="8"/>
  <c r="P1118" i="8"/>
  <c r="Q1118" i="8"/>
  <c r="R1118" i="8"/>
  <c r="S1118" i="8"/>
  <c r="T1118" i="8"/>
  <c r="E1119" i="8"/>
  <c r="F1119" i="8"/>
  <c r="R1123" i="8"/>
  <c r="H1119" i="8"/>
  <c r="I1119" i="8"/>
  <c r="J1119" i="8"/>
  <c r="K1119" i="8"/>
  <c r="L1119" i="8"/>
  <c r="M1119" i="8"/>
  <c r="N1119" i="8"/>
  <c r="O1119" i="8"/>
  <c r="P1119" i="8"/>
  <c r="Q1119" i="8"/>
  <c r="R1119" i="8"/>
  <c r="S1119" i="8"/>
  <c r="T1119" i="8"/>
  <c r="E1120" i="8"/>
  <c r="F1120" i="8"/>
  <c r="G1120" i="8"/>
  <c r="H1120" i="8"/>
  <c r="I1120" i="8"/>
  <c r="J1120" i="8"/>
  <c r="K1120" i="8"/>
  <c r="L1120" i="8"/>
  <c r="M1120" i="8"/>
  <c r="N1120" i="8"/>
  <c r="O1120" i="8"/>
  <c r="P1120" i="8"/>
  <c r="Q1120" i="8"/>
  <c r="R1120" i="8"/>
  <c r="S1120" i="8"/>
  <c r="T1120" i="8"/>
  <c r="E1121" i="8"/>
  <c r="F1121" i="8"/>
  <c r="G1121" i="8"/>
  <c r="H1121" i="8"/>
  <c r="I1121" i="8"/>
  <c r="J1121" i="8"/>
  <c r="K1121" i="8"/>
  <c r="L1121" i="8"/>
  <c r="M1121" i="8"/>
  <c r="N1121" i="8"/>
  <c r="O1121" i="8"/>
  <c r="P1121" i="8"/>
  <c r="Q1121" i="8"/>
  <c r="R1121" i="8"/>
  <c r="S1121" i="8"/>
  <c r="T1121" i="8"/>
  <c r="E1122" i="8"/>
  <c r="F1122" i="8"/>
  <c r="G1122" i="8"/>
  <c r="H1122" i="8"/>
  <c r="I1122" i="8"/>
  <c r="J1122" i="8"/>
  <c r="K1122" i="8"/>
  <c r="L1122" i="8"/>
  <c r="M1122" i="8"/>
  <c r="N1122" i="8"/>
  <c r="O1122" i="8"/>
  <c r="P1122" i="8"/>
  <c r="Q1122" i="8"/>
  <c r="R1122" i="8"/>
  <c r="S1122" i="8"/>
  <c r="T1122" i="8"/>
  <c r="E1123" i="8"/>
  <c r="F1123" i="8"/>
  <c r="G1123" i="8"/>
  <c r="H1123" i="8"/>
  <c r="I1123" i="8"/>
  <c r="J1123" i="8"/>
  <c r="K1123" i="8"/>
  <c r="L1123" i="8"/>
  <c r="M1123" i="8"/>
  <c r="N1123" i="8"/>
  <c r="O1123" i="8"/>
  <c r="P1123" i="8"/>
  <c r="Q1123" i="8"/>
  <c r="T1128" i="8"/>
  <c r="S1123" i="8"/>
  <c r="T1123" i="8"/>
  <c r="E1124" i="8"/>
  <c r="F1124" i="8"/>
  <c r="G1124" i="8"/>
  <c r="H1124" i="8"/>
  <c r="I1124" i="8"/>
  <c r="J1124" i="8"/>
  <c r="K1124" i="8"/>
  <c r="L1124" i="8"/>
  <c r="M1124" i="8"/>
  <c r="N1124" i="8"/>
  <c r="O1124" i="8"/>
  <c r="P1124" i="8"/>
  <c r="Q1124" i="8"/>
  <c r="R1124" i="8"/>
  <c r="S1124" i="8"/>
  <c r="T1124" i="8"/>
  <c r="E1125" i="8"/>
  <c r="F1125" i="8"/>
  <c r="G1125" i="8"/>
  <c r="H1125" i="8"/>
  <c r="I1125" i="8"/>
  <c r="J1125" i="8"/>
  <c r="K1125" i="8"/>
  <c r="L1125" i="8"/>
  <c r="M1125" i="8"/>
  <c r="N1125" i="8"/>
  <c r="O1125" i="8"/>
  <c r="P1125" i="8"/>
  <c r="Q1125" i="8"/>
  <c r="R1125" i="8"/>
  <c r="S1125" i="8"/>
  <c r="T1125" i="8"/>
  <c r="E1126" i="8"/>
  <c r="F1126" i="8"/>
  <c r="G1126" i="8"/>
  <c r="H1126" i="8"/>
  <c r="I1126" i="8"/>
  <c r="J1126" i="8"/>
  <c r="K1126" i="8"/>
  <c r="L1126" i="8"/>
  <c r="M1126" i="8"/>
  <c r="N1126" i="8"/>
  <c r="O1126" i="8"/>
  <c r="P1126" i="8"/>
  <c r="Q1126" i="8"/>
  <c r="R1126" i="8"/>
  <c r="S1126" i="8"/>
  <c r="T1126" i="8"/>
  <c r="E1127" i="8"/>
  <c r="L1113" i="8"/>
  <c r="M1113" i="8"/>
  <c r="N1113" i="8"/>
  <c r="O1113" i="8"/>
  <c r="P1113" i="8"/>
  <c r="Q1113" i="8"/>
  <c r="R1113" i="8"/>
  <c r="S1113" i="8"/>
  <c r="T1113" i="8"/>
  <c r="E1114" i="8"/>
  <c r="F1114" i="8"/>
  <c r="G1114" i="8"/>
  <c r="H1114" i="8"/>
  <c r="I1114" i="8"/>
  <c r="J1114" i="8"/>
  <c r="K1114" i="8"/>
  <c r="L1114" i="8"/>
  <c r="M1114" i="8"/>
  <c r="N1114" i="8"/>
  <c r="O1114" i="8"/>
  <c r="P1114" i="8"/>
  <c r="Q1114" i="8"/>
  <c r="R1114" i="8"/>
  <c r="S1114" i="8"/>
  <c r="T1114" i="8"/>
  <c r="E1115" i="8"/>
  <c r="F1115" i="8"/>
  <c r="G1115" i="8"/>
  <c r="H1115" i="8"/>
  <c r="J1113" i="8"/>
  <c r="K1113" i="8"/>
  <c r="E107" i="7"/>
  <c r="F107" i="7"/>
  <c r="G107" i="7"/>
  <c r="H107" i="7"/>
  <c r="I107" i="7"/>
  <c r="J107" i="7"/>
  <c r="K107" i="7"/>
  <c r="L107" i="7"/>
  <c r="M107" i="7"/>
  <c r="N107" i="7"/>
  <c r="P107" i="7"/>
  <c r="Q107" i="7"/>
  <c r="R107" i="7"/>
  <c r="S107" i="7"/>
  <c r="U107" i="7"/>
  <c r="V107" i="7"/>
  <c r="W107" i="7"/>
  <c r="X107" i="7"/>
  <c r="Y107" i="7"/>
  <c r="Z107" i="7"/>
  <c r="AA107" i="7"/>
  <c r="AC107" i="7"/>
  <c r="AE107" i="7"/>
  <c r="AI107" i="7"/>
  <c r="AO107" i="7"/>
  <c r="AP107" i="7"/>
  <c r="E1107" i="8"/>
  <c r="F1107" i="8"/>
  <c r="G1107" i="8"/>
  <c r="H1107" i="8"/>
  <c r="I1107" i="8"/>
  <c r="J1107" i="8"/>
  <c r="K1107" i="8"/>
  <c r="L1107" i="8"/>
  <c r="M1107" i="8"/>
  <c r="N1107" i="8"/>
  <c r="O1107" i="8"/>
  <c r="P1107" i="8"/>
  <c r="Q1107" i="8"/>
  <c r="R1107" i="8"/>
  <c r="S1107" i="8"/>
  <c r="T1107" i="8"/>
  <c r="E1108" i="8"/>
  <c r="F1108" i="8"/>
  <c r="G1108" i="8"/>
  <c r="H1108" i="8"/>
  <c r="I1108" i="8"/>
  <c r="J1108" i="8"/>
  <c r="K1108" i="8"/>
  <c r="L1108" i="8"/>
  <c r="M1108" i="8"/>
  <c r="N1108" i="8"/>
  <c r="O1108" i="8"/>
  <c r="P1108" i="8"/>
  <c r="Q1108" i="8"/>
  <c r="R1108" i="8"/>
  <c r="S1108" i="8"/>
  <c r="T1108" i="8"/>
  <c r="E1109" i="8"/>
  <c r="F1109" i="8"/>
  <c r="G1109" i="8"/>
  <c r="H1109" i="8"/>
  <c r="I1109" i="8"/>
  <c r="J1109" i="8"/>
  <c r="K1109" i="8"/>
  <c r="L1109" i="8"/>
  <c r="M1109" i="8"/>
  <c r="N1109" i="8"/>
  <c r="O1109" i="8"/>
  <c r="P1109" i="8"/>
  <c r="Q1109" i="8"/>
  <c r="R1109" i="8"/>
  <c r="S1109" i="8"/>
  <c r="T1109" i="8"/>
  <c r="E1110" i="8"/>
  <c r="F1110" i="8"/>
  <c r="G1110" i="8"/>
  <c r="H1110" i="8"/>
  <c r="I1110" i="8"/>
  <c r="J1110" i="8"/>
  <c r="K1110" i="8"/>
  <c r="L1110" i="8"/>
  <c r="M1110" i="8"/>
  <c r="N1110" i="8"/>
  <c r="O1110" i="8"/>
  <c r="P1110" i="8"/>
  <c r="Q1110" i="8"/>
  <c r="R1110" i="8"/>
  <c r="S1110" i="8"/>
  <c r="T1110" i="8"/>
  <c r="E1111" i="8"/>
  <c r="F1111" i="8"/>
  <c r="G1111" i="8"/>
  <c r="H1111" i="8"/>
  <c r="I1111" i="8"/>
  <c r="J1111" i="8"/>
  <c r="K1111" i="8"/>
  <c r="L1111" i="8"/>
  <c r="M1111" i="8"/>
  <c r="N1111" i="8"/>
  <c r="O1111" i="8"/>
  <c r="P1111" i="8"/>
  <c r="Q1111" i="8"/>
  <c r="R1111" i="8"/>
  <c r="S1111" i="8"/>
  <c r="T1111" i="8"/>
  <c r="E1112" i="8"/>
  <c r="F1112" i="8"/>
  <c r="G1112" i="8"/>
  <c r="H1112" i="8"/>
  <c r="I1112" i="8"/>
  <c r="J1112" i="8"/>
  <c r="K1112" i="8"/>
  <c r="L1112" i="8"/>
  <c r="M1112" i="8"/>
  <c r="N1112" i="8"/>
  <c r="O1112" i="8"/>
  <c r="P1112" i="8"/>
  <c r="Q1112" i="8"/>
  <c r="R1112" i="8"/>
  <c r="I1115" i="8"/>
  <c r="J1115" i="8"/>
  <c r="K1115" i="8"/>
  <c r="L1115" i="8"/>
  <c r="M1115" i="8"/>
  <c r="N1115" i="8"/>
  <c r="O1115" i="8"/>
  <c r="P1115" i="8"/>
  <c r="Q1115" i="8"/>
  <c r="R1115" i="8"/>
  <c r="S1115" i="8"/>
  <c r="T1115" i="8"/>
  <c r="E1116" i="8"/>
  <c r="F1116" i="8"/>
  <c r="G1116" i="8"/>
  <c r="H1116" i="8"/>
  <c r="I1116" i="8"/>
  <c r="J1116" i="8"/>
  <c r="K1116" i="8"/>
  <c r="L1116" i="8"/>
  <c r="M1116" i="8"/>
  <c r="N1116" i="8"/>
  <c r="O1116" i="8"/>
  <c r="P1116" i="8"/>
  <c r="Q1116" i="8"/>
  <c r="R1116" i="8"/>
  <c r="S1116" i="8"/>
  <c r="T1116" i="8"/>
  <c r="E1117" i="8"/>
  <c r="F1117" i="8"/>
  <c r="G1117" i="8"/>
  <c r="H1117" i="8"/>
  <c r="I1117" i="8"/>
  <c r="J1117" i="8"/>
  <c r="K1117" i="8"/>
  <c r="L1117" i="8"/>
  <c r="M1117" i="8"/>
  <c r="N1117" i="8"/>
  <c r="O1117" i="8"/>
  <c r="P1117" i="8"/>
  <c r="Q1117" i="8"/>
  <c r="R1117" i="8"/>
  <c r="S1117" i="8"/>
  <c r="T1117" i="8"/>
  <c r="I1113" i="8"/>
  <c r="S1112" i="8"/>
  <c r="T1112" i="8"/>
  <c r="E1113" i="8"/>
  <c r="F1113" i="8"/>
  <c r="G1113" i="8"/>
  <c r="H1113" i="8"/>
  <c r="L106" i="7"/>
  <c r="M106" i="7"/>
  <c r="P106" i="7"/>
  <c r="Q106" i="7"/>
  <c r="R106" i="7"/>
  <c r="S106" i="7"/>
  <c r="U106" i="7"/>
  <c r="V106" i="7"/>
  <c r="W106" i="7"/>
  <c r="X106" i="7"/>
  <c r="AA106" i="7"/>
  <c r="AE106" i="7"/>
  <c r="E1096" i="8"/>
  <c r="F1096" i="8"/>
  <c r="G1096" i="8"/>
  <c r="H1096" i="8"/>
  <c r="I1096" i="8"/>
  <c r="J1096" i="8"/>
  <c r="K1096" i="8"/>
  <c r="L1096" i="8"/>
  <c r="M1096" i="8"/>
  <c r="N1096" i="8"/>
  <c r="O1096" i="8"/>
  <c r="P1096" i="8"/>
  <c r="Q1096" i="8"/>
  <c r="R1096" i="8"/>
  <c r="S1096" i="8"/>
  <c r="T1096" i="8"/>
  <c r="E1097" i="8"/>
  <c r="F1097" i="8"/>
  <c r="G1097" i="8"/>
  <c r="H1097" i="8"/>
  <c r="I1097" i="8"/>
  <c r="J1097" i="8"/>
  <c r="K1097" i="8"/>
  <c r="L1097" i="8"/>
  <c r="M1097" i="8"/>
  <c r="N1097" i="8"/>
  <c r="O1097" i="8"/>
  <c r="P1097" i="8"/>
  <c r="Q1097" i="8"/>
  <c r="R1097" i="8"/>
  <c r="S1097" i="8"/>
  <c r="E106" i="7"/>
  <c r="E1098" i="8"/>
  <c r="F1098" i="8"/>
  <c r="G1098" i="8"/>
  <c r="H1098" i="8"/>
  <c r="I1098" i="8"/>
  <c r="J1098" i="8"/>
  <c r="K1098" i="8"/>
  <c r="L1098" i="8"/>
  <c r="M1098" i="8"/>
  <c r="N1098" i="8"/>
  <c r="O1098" i="8"/>
  <c r="P1098" i="8"/>
  <c r="Q1098" i="8"/>
  <c r="R1098" i="8"/>
  <c r="S1098" i="8"/>
  <c r="T1098" i="8"/>
  <c r="E1099" i="8"/>
  <c r="F1099" i="8"/>
  <c r="G1099" i="8"/>
  <c r="H1099" i="8"/>
  <c r="I1099" i="8"/>
  <c r="J1099" i="8"/>
  <c r="K1099" i="8"/>
  <c r="L1099" i="8"/>
  <c r="M1099" i="8"/>
  <c r="N1099" i="8"/>
  <c r="O1099" i="8"/>
  <c r="P1099" i="8"/>
  <c r="Q1099" i="8"/>
  <c r="R1099" i="8"/>
  <c r="S1099" i="8"/>
  <c r="T1099" i="8"/>
  <c r="E1100" i="8"/>
  <c r="F1100" i="8"/>
  <c r="G1100" i="8"/>
  <c r="H1100" i="8"/>
  <c r="I1100" i="8"/>
  <c r="J1100" i="8"/>
  <c r="K1100" i="8"/>
  <c r="L1100" i="8"/>
  <c r="M1100" i="8"/>
  <c r="N1100" i="8"/>
  <c r="O1100" i="8"/>
  <c r="P1100" i="8"/>
  <c r="Q1100" i="8"/>
  <c r="R1100" i="8"/>
  <c r="S1100" i="8"/>
  <c r="T1100" i="8"/>
  <c r="E1101" i="8"/>
  <c r="F1101" i="8"/>
  <c r="G1101" i="8"/>
  <c r="H1101" i="8"/>
  <c r="I1101" i="8"/>
  <c r="J1101" i="8"/>
  <c r="K1101" i="8"/>
  <c r="L1101" i="8"/>
  <c r="M1101" i="8"/>
  <c r="N1101" i="8"/>
  <c r="O1101" i="8"/>
  <c r="P1101" i="8"/>
  <c r="Q1101" i="8"/>
  <c r="R1101" i="8"/>
  <c r="S1101" i="8"/>
  <c r="T1101" i="8"/>
  <c r="E1102" i="8"/>
  <c r="F1102" i="8"/>
  <c r="G1102" i="8"/>
  <c r="H1102" i="8"/>
  <c r="I1102" i="8"/>
  <c r="J1102" i="8"/>
  <c r="K1102" i="8"/>
  <c r="L1102" i="8"/>
  <c r="M1102" i="8"/>
  <c r="N1102" i="8"/>
  <c r="O1102" i="8"/>
  <c r="P1102" i="8"/>
  <c r="Q1102" i="8"/>
  <c r="R1102" i="8"/>
  <c r="S1102" i="8"/>
  <c r="T1102" i="8"/>
  <c r="E1103" i="8"/>
  <c r="F1103" i="8"/>
  <c r="G1103" i="8"/>
  <c r="H1103" i="8"/>
  <c r="I1103" i="8"/>
  <c r="J1103" i="8"/>
  <c r="K1103" i="8"/>
  <c r="L1103" i="8"/>
  <c r="M1103" i="8"/>
  <c r="N1103" i="8"/>
  <c r="O1103" i="8"/>
  <c r="P1103" i="8"/>
  <c r="Q1103" i="8"/>
  <c r="R1103" i="8"/>
  <c r="S1103" i="8"/>
  <c r="T1103" i="8"/>
  <c r="E1104" i="8"/>
  <c r="F1104" i="8"/>
  <c r="G1104" i="8"/>
  <c r="H1104" i="8"/>
  <c r="I1104" i="8"/>
  <c r="J1104" i="8"/>
  <c r="K1104" i="8"/>
  <c r="L1104" i="8"/>
  <c r="M1104" i="8"/>
  <c r="N1104" i="8"/>
  <c r="O1104" i="8"/>
  <c r="P1104" i="8"/>
  <c r="Q1104" i="8"/>
  <c r="R1104" i="8"/>
  <c r="S1104" i="8"/>
  <c r="T1104" i="8"/>
  <c r="E1105" i="8"/>
  <c r="F1105" i="8"/>
  <c r="G1105" i="8"/>
  <c r="H1105" i="8"/>
  <c r="I1105" i="8"/>
  <c r="J1105" i="8"/>
  <c r="K1105" i="8"/>
  <c r="L1105" i="8"/>
  <c r="M1105" i="8"/>
  <c r="N1105" i="8"/>
  <c r="O1105" i="8"/>
  <c r="P1105" i="8"/>
  <c r="Q1105" i="8"/>
  <c r="R1105" i="8"/>
  <c r="S1105" i="8"/>
  <c r="T1105" i="8"/>
  <c r="E1106" i="8"/>
  <c r="F1106" i="8"/>
  <c r="G1106" i="8"/>
  <c r="H1106" i="8"/>
  <c r="I1106" i="8"/>
  <c r="J1106" i="8"/>
  <c r="K1106" i="8"/>
  <c r="L1106" i="8"/>
  <c r="M1106" i="8"/>
  <c r="N1106" i="8"/>
  <c r="O1106" i="8"/>
  <c r="P1106" i="8"/>
  <c r="Q1106" i="8"/>
  <c r="R1106" i="8"/>
  <c r="S1106" i="8"/>
  <c r="T1106" i="8"/>
  <c r="F106" i="7"/>
  <c r="G106" i="7"/>
  <c r="H106" i="7"/>
  <c r="I106" i="7"/>
  <c r="J106" i="7"/>
  <c r="K106" i="7"/>
  <c r="T1097" i="8"/>
  <c r="J1091" i="8"/>
  <c r="K1091" i="8"/>
  <c r="L1091" i="8"/>
  <c r="M1091" i="8"/>
  <c r="N1091" i="8"/>
  <c r="O1091" i="8"/>
  <c r="P1091" i="8"/>
  <c r="Q1091" i="8"/>
  <c r="R1091" i="8"/>
  <c r="S1091" i="8"/>
  <c r="T1091" i="8"/>
  <c r="E1092" i="8"/>
  <c r="F1092" i="8"/>
  <c r="G1092" i="8"/>
  <c r="H1092" i="8"/>
  <c r="I1092" i="8"/>
  <c r="J1092" i="8"/>
  <c r="K1092" i="8"/>
  <c r="L1092" i="8"/>
  <c r="M1092" i="8"/>
  <c r="N1092" i="8"/>
  <c r="O1092" i="8"/>
  <c r="P1092" i="8"/>
  <c r="Q1092" i="8"/>
  <c r="R1092" i="8"/>
  <c r="S1092" i="8"/>
  <c r="T1092" i="8"/>
  <c r="E1093" i="8"/>
  <c r="F1093" i="8"/>
  <c r="G1093" i="8"/>
  <c r="H1093" i="8"/>
  <c r="I1093" i="8"/>
  <c r="J1093" i="8"/>
  <c r="K1093" i="8"/>
  <c r="L1093" i="8"/>
  <c r="M1093" i="8"/>
  <c r="N1093" i="8"/>
  <c r="O1093" i="8"/>
  <c r="P1093" i="8"/>
  <c r="Q1093" i="8"/>
  <c r="R1093" i="8"/>
  <c r="S1093" i="8"/>
  <c r="T1093" i="8"/>
  <c r="E1094" i="8"/>
  <c r="F1094" i="8"/>
  <c r="G1094" i="8"/>
  <c r="H1094" i="8"/>
  <c r="I1094" i="8"/>
  <c r="J1094" i="8"/>
  <c r="K1094" i="8"/>
  <c r="L1094" i="8"/>
  <c r="M1094" i="8"/>
  <c r="N1094" i="8"/>
  <c r="O1094" i="8"/>
  <c r="P1094" i="8"/>
  <c r="Q1094" i="8"/>
  <c r="R1094" i="8"/>
  <c r="S1094" i="8"/>
  <c r="T1094" i="8"/>
  <c r="E1095" i="8"/>
  <c r="F1095" i="8"/>
  <c r="G1095" i="8"/>
  <c r="H1095" i="8"/>
  <c r="I1095" i="8"/>
  <c r="J1095" i="8"/>
  <c r="K1095" i="8"/>
  <c r="L1095" i="8"/>
  <c r="M1095" i="8"/>
  <c r="N1095" i="8"/>
  <c r="O1095" i="8"/>
  <c r="P1095" i="8"/>
  <c r="Q1095" i="8"/>
  <c r="R1095" i="8"/>
  <c r="S1095" i="8"/>
  <c r="T1095" i="8"/>
  <c r="E105" i="7"/>
  <c r="F105" i="7"/>
  <c r="G105" i="7"/>
  <c r="H105" i="7"/>
  <c r="I105" i="7"/>
  <c r="J105" i="7"/>
  <c r="K105" i="7"/>
  <c r="L105" i="7"/>
  <c r="M105" i="7"/>
  <c r="N105" i="7"/>
  <c r="P105" i="7"/>
  <c r="Q105" i="7"/>
  <c r="R105" i="7"/>
  <c r="S105" i="7"/>
  <c r="U105" i="7"/>
  <c r="V105" i="7"/>
  <c r="W105" i="7"/>
  <c r="X105" i="7"/>
  <c r="Y105" i="7"/>
  <c r="Z105" i="7"/>
  <c r="AA105" i="7"/>
  <c r="AC105" i="7"/>
  <c r="AE105" i="7"/>
  <c r="AI105" i="7"/>
  <c r="AO105" i="7"/>
  <c r="AP105" i="7"/>
  <c r="E1085" i="8"/>
  <c r="F1085" i="8"/>
  <c r="G1085" i="8"/>
  <c r="H1085" i="8"/>
  <c r="I1085" i="8"/>
  <c r="J1085" i="8"/>
  <c r="K1085" i="8"/>
  <c r="L1085" i="8"/>
  <c r="M1085" i="8"/>
  <c r="N1085" i="8"/>
  <c r="O1085" i="8"/>
  <c r="P1085" i="8"/>
  <c r="Q1085" i="8"/>
  <c r="R1085" i="8"/>
  <c r="S1085" i="8"/>
  <c r="T1085" i="8"/>
  <c r="E1086" i="8"/>
  <c r="F1086" i="8"/>
  <c r="G1086" i="8"/>
  <c r="H1086" i="8"/>
  <c r="I1086" i="8"/>
  <c r="J1086" i="8"/>
  <c r="K1086" i="8"/>
  <c r="L1086" i="8"/>
  <c r="M1086" i="8"/>
  <c r="N1086" i="8"/>
  <c r="O1086" i="8"/>
  <c r="P1086" i="8"/>
  <c r="Q1086" i="8"/>
  <c r="R1086" i="8"/>
  <c r="S1086" i="8"/>
  <c r="T1086" i="8"/>
  <c r="E1087" i="8"/>
  <c r="F1087" i="8"/>
  <c r="G1087" i="8"/>
  <c r="H1087" i="8"/>
  <c r="I1087" i="8"/>
  <c r="J1087" i="8"/>
  <c r="K1087" i="8"/>
  <c r="L1087" i="8"/>
  <c r="M1087" i="8"/>
  <c r="N1087" i="8"/>
  <c r="O1087" i="8"/>
  <c r="P1087" i="8"/>
  <c r="Q1087" i="8"/>
  <c r="R1087" i="8"/>
  <c r="S1087" i="8"/>
  <c r="T1087" i="8"/>
  <c r="E1088" i="8"/>
  <c r="F1088" i="8"/>
  <c r="G1088" i="8"/>
  <c r="H1088" i="8"/>
  <c r="I1088" i="8"/>
  <c r="J1088" i="8"/>
  <c r="K1088" i="8"/>
  <c r="L1088" i="8"/>
  <c r="M1088" i="8"/>
  <c r="N1088" i="8"/>
  <c r="O1088" i="8"/>
  <c r="P1088" i="8"/>
  <c r="Q1088" i="8"/>
  <c r="R1088" i="8"/>
  <c r="S1088" i="8"/>
  <c r="T1088" i="8"/>
  <c r="E1089" i="8"/>
  <c r="F1089" i="8"/>
  <c r="G1089" i="8"/>
  <c r="H1089" i="8"/>
  <c r="I1089" i="8"/>
  <c r="J1089" i="8"/>
  <c r="K1089" i="8"/>
  <c r="L1089" i="8"/>
  <c r="M1089" i="8"/>
  <c r="N1089" i="8"/>
  <c r="O1089" i="8"/>
  <c r="P1089" i="8"/>
  <c r="Q1089" i="8"/>
  <c r="R1089" i="8"/>
  <c r="S1089" i="8"/>
  <c r="T1089" i="8"/>
  <c r="E1090" i="8"/>
  <c r="F1090" i="8"/>
  <c r="G1090" i="8"/>
  <c r="H1090" i="8"/>
  <c r="I1090" i="8"/>
  <c r="J1090" i="8"/>
  <c r="K1090" i="8"/>
  <c r="L1090" i="8"/>
  <c r="M1090" i="8"/>
  <c r="N1090" i="8"/>
  <c r="O1090" i="8"/>
  <c r="P1090" i="8"/>
  <c r="Q1090" i="8"/>
  <c r="R1090" i="8"/>
  <c r="S1090" i="8"/>
  <c r="T1090" i="8"/>
  <c r="E1091" i="8"/>
  <c r="F1091" i="8"/>
  <c r="G1091" i="8"/>
  <c r="H1091" i="8"/>
  <c r="I1091" i="8"/>
  <c r="P1078" i="8"/>
  <c r="H1080" i="8"/>
  <c r="I1080" i="8"/>
  <c r="J1080" i="8"/>
  <c r="K1080" i="8"/>
  <c r="L1080" i="8"/>
  <c r="M1080" i="8"/>
  <c r="N1080" i="8"/>
  <c r="O1080" i="8"/>
  <c r="P1080" i="8"/>
  <c r="Q1080" i="8"/>
  <c r="R1080" i="8"/>
  <c r="S1080" i="8"/>
  <c r="T1080" i="8"/>
  <c r="E1081" i="8"/>
  <c r="F1081" i="8"/>
  <c r="G1081" i="8"/>
  <c r="H1081" i="8"/>
  <c r="I1081" i="8"/>
  <c r="J1081" i="8"/>
  <c r="K1081" i="8"/>
  <c r="L1081" i="8"/>
  <c r="M1081" i="8"/>
  <c r="N1081" i="8"/>
  <c r="O1081" i="8"/>
  <c r="P1081" i="8"/>
  <c r="Q1081" i="8"/>
  <c r="R1081" i="8"/>
  <c r="S1081" i="8"/>
  <c r="T1081" i="8"/>
  <c r="E1082" i="8"/>
  <c r="F1082" i="8"/>
  <c r="G1082" i="8"/>
  <c r="H1082" i="8"/>
  <c r="I1082" i="8"/>
  <c r="J1082" i="8"/>
  <c r="K1082" i="8"/>
  <c r="L1082" i="8"/>
  <c r="M1082" i="8"/>
  <c r="N1082" i="8"/>
  <c r="O1082" i="8"/>
  <c r="P1082" i="8"/>
  <c r="Q1082" i="8"/>
  <c r="R1082" i="8"/>
  <c r="S1082" i="8"/>
  <c r="T1082" i="8"/>
  <c r="E1083" i="8"/>
  <c r="F1083" i="8"/>
  <c r="G1083" i="8"/>
  <c r="H1083" i="8"/>
  <c r="I1083" i="8"/>
  <c r="J1083" i="8"/>
  <c r="K1083" i="8"/>
  <c r="L1083" i="8"/>
  <c r="M1083" i="8"/>
  <c r="N1083" i="8"/>
  <c r="O1083" i="8"/>
  <c r="P1083" i="8"/>
  <c r="Q1083" i="8"/>
  <c r="R1083" i="8"/>
  <c r="S1083" i="8"/>
  <c r="T1083" i="8"/>
  <c r="E1084" i="8"/>
  <c r="F1084" i="8"/>
  <c r="G1084" i="8"/>
  <c r="H1084" i="8"/>
  <c r="I1084" i="8"/>
  <c r="J1084" i="8"/>
  <c r="K1084" i="8"/>
  <c r="L1084" i="8"/>
  <c r="M1084" i="8"/>
  <c r="N1084" i="8"/>
  <c r="O1084" i="8"/>
  <c r="P1084" i="8"/>
  <c r="Q1084" i="8"/>
  <c r="R1084" i="8"/>
  <c r="E104" i="7"/>
  <c r="F104" i="7"/>
  <c r="G104" i="7"/>
  <c r="H104" i="7"/>
  <c r="I104" i="7"/>
  <c r="J104" i="7"/>
  <c r="K104" i="7"/>
  <c r="L104" i="7"/>
  <c r="M104" i="7"/>
  <c r="N104" i="7"/>
  <c r="P104" i="7"/>
  <c r="Q104" i="7"/>
  <c r="R104" i="7"/>
  <c r="S104" i="7"/>
  <c r="U104" i="7"/>
  <c r="V104" i="7"/>
  <c r="W104" i="7"/>
  <c r="X104" i="7"/>
  <c r="Y104" i="7"/>
  <c r="Z104" i="7"/>
  <c r="AA104" i="7"/>
  <c r="AC104" i="7"/>
  <c r="AE104" i="7"/>
  <c r="AI104" i="7"/>
  <c r="AO104" i="7"/>
  <c r="S1084" i="8"/>
  <c r="E1074" i="8"/>
  <c r="F1074" i="8"/>
  <c r="G1074" i="8"/>
  <c r="H1074" i="8"/>
  <c r="I1074" i="8"/>
  <c r="J1074" i="8"/>
  <c r="K1074" i="8"/>
  <c r="L1074" i="8"/>
  <c r="M1074" i="8"/>
  <c r="N1074" i="8"/>
  <c r="O1074" i="8"/>
  <c r="P1074" i="8"/>
  <c r="Q1074" i="8"/>
  <c r="R1074" i="8"/>
  <c r="S1074" i="8"/>
  <c r="T1074" i="8"/>
  <c r="E1075" i="8"/>
  <c r="F1075" i="8"/>
  <c r="G1075" i="8"/>
  <c r="H1075" i="8"/>
  <c r="I1075" i="8"/>
  <c r="J1075" i="8"/>
  <c r="K1075" i="8"/>
  <c r="L1075" i="8"/>
  <c r="M1075" i="8"/>
  <c r="N1075" i="8"/>
  <c r="O1075" i="8"/>
  <c r="P1075" i="8"/>
  <c r="Q1075" i="8"/>
  <c r="R1075" i="8"/>
  <c r="S1075" i="8"/>
  <c r="T1075" i="8"/>
  <c r="E1076" i="8"/>
  <c r="F1076" i="8"/>
  <c r="G1076" i="8"/>
  <c r="H1076" i="8"/>
  <c r="I1076" i="8"/>
  <c r="J1076" i="8"/>
  <c r="K1076" i="8"/>
  <c r="L1076" i="8"/>
  <c r="M1076" i="8"/>
  <c r="N1076" i="8"/>
  <c r="O1076" i="8"/>
  <c r="P1076" i="8"/>
  <c r="Q1076" i="8"/>
  <c r="R1076" i="8"/>
  <c r="S1076" i="8"/>
  <c r="T1076" i="8"/>
  <c r="E1077" i="8"/>
  <c r="AP104" i="7"/>
  <c r="F1077" i="8"/>
  <c r="G1077" i="8"/>
  <c r="H1077" i="8"/>
  <c r="I1077" i="8"/>
  <c r="J1077" i="8"/>
  <c r="K1077" i="8"/>
  <c r="L1077" i="8"/>
  <c r="M1077" i="8"/>
  <c r="N1077" i="8"/>
  <c r="O1077" i="8"/>
  <c r="P1077" i="8"/>
  <c r="Q1077" i="8"/>
  <c r="R1077" i="8"/>
  <c r="S1077" i="8"/>
  <c r="T1077" i="8"/>
  <c r="E1078" i="8"/>
  <c r="F1078" i="8"/>
  <c r="G1078" i="8"/>
  <c r="H1078" i="8"/>
  <c r="I1078" i="8"/>
  <c r="J1078" i="8"/>
  <c r="K1078" i="8"/>
  <c r="L1078" i="8"/>
  <c r="M1078" i="8"/>
  <c r="N1078" i="8"/>
  <c r="O1078" i="8"/>
  <c r="T1084" i="8"/>
  <c r="Q1078" i="8"/>
  <c r="R1078" i="8"/>
  <c r="S1078" i="8"/>
  <c r="T1078" i="8"/>
  <c r="E1079" i="8"/>
  <c r="F1079" i="8"/>
  <c r="G1079" i="8"/>
  <c r="H1079" i="8"/>
  <c r="I1079" i="8"/>
  <c r="J1079" i="8"/>
  <c r="K1079" i="8"/>
  <c r="L1079" i="8"/>
  <c r="M1079" i="8"/>
  <c r="N1079" i="8"/>
  <c r="O1079" i="8"/>
  <c r="P1079" i="8"/>
  <c r="Q1079" i="8"/>
  <c r="R1079" i="8"/>
  <c r="S1079" i="8"/>
  <c r="T1079" i="8"/>
  <c r="E1080" i="8"/>
  <c r="F1080" i="8"/>
  <c r="G1080" i="8"/>
  <c r="J882" i="8"/>
  <c r="K882" i="8"/>
  <c r="L882" i="8"/>
  <c r="M882" i="8"/>
  <c r="N882" i="8"/>
  <c r="O882" i="8"/>
  <c r="P882" i="8"/>
  <c r="Q882" i="8"/>
  <c r="R882" i="8"/>
  <c r="S882" i="8"/>
  <c r="T882" i="8"/>
  <c r="E883" i="8"/>
  <c r="F883" i="8"/>
  <c r="G883" i="8"/>
  <c r="H883" i="8"/>
  <c r="I883" i="8"/>
  <c r="J883" i="8"/>
  <c r="K883" i="8"/>
  <c r="L883" i="8"/>
  <c r="M883" i="8"/>
  <c r="N883" i="8"/>
  <c r="O883" i="8"/>
  <c r="P883" i="8"/>
  <c r="Q883" i="8"/>
  <c r="R883" i="8"/>
  <c r="S883" i="8"/>
  <c r="T883" i="8"/>
  <c r="E884" i="8"/>
  <c r="F884" i="8"/>
  <c r="G884" i="8"/>
  <c r="H884" i="8"/>
  <c r="I884" i="8"/>
  <c r="J884" i="8"/>
  <c r="K884" i="8"/>
  <c r="L884" i="8"/>
  <c r="M884" i="8"/>
  <c r="N884" i="8"/>
  <c r="O884" i="8"/>
  <c r="P884" i="8"/>
  <c r="Q884" i="8"/>
  <c r="R884" i="8"/>
  <c r="S884" i="8"/>
  <c r="T884" i="8"/>
  <c r="E885" i="8"/>
  <c r="F885" i="8"/>
  <c r="G885" i="8"/>
  <c r="H885" i="8"/>
  <c r="I885" i="8"/>
  <c r="J885" i="8"/>
  <c r="K885" i="8"/>
  <c r="L885" i="8"/>
  <c r="M885" i="8"/>
  <c r="N885" i="8"/>
  <c r="O885" i="8"/>
  <c r="P885" i="8"/>
  <c r="Q885" i="8"/>
  <c r="R885" i="8"/>
  <c r="S885" i="8"/>
  <c r="T885" i="8"/>
  <c r="E886" i="8"/>
  <c r="F886" i="8"/>
  <c r="G886" i="8"/>
  <c r="H886" i="8"/>
  <c r="I886" i="8"/>
  <c r="J886" i="8"/>
  <c r="K886" i="8"/>
  <c r="L886" i="8"/>
  <c r="M886" i="8"/>
  <c r="N886" i="8"/>
  <c r="O886" i="8"/>
  <c r="P886" i="8"/>
  <c r="Q886" i="8"/>
  <c r="R886" i="8"/>
  <c r="S886" i="8"/>
  <c r="T886" i="8"/>
  <c r="E86" i="7"/>
  <c r="F86" i="7"/>
  <c r="G86" i="7"/>
  <c r="H86" i="7"/>
  <c r="I86" i="7"/>
  <c r="J86" i="7"/>
  <c r="K86" i="7"/>
  <c r="L86" i="7"/>
  <c r="M86" i="7"/>
  <c r="N86" i="7"/>
  <c r="P86" i="7"/>
  <c r="Q86" i="7"/>
  <c r="R86" i="7"/>
  <c r="S86" i="7"/>
  <c r="U86" i="7"/>
  <c r="V86" i="7"/>
  <c r="W86" i="7"/>
  <c r="X86" i="7"/>
  <c r="Y86" i="7"/>
  <c r="Z86" i="7"/>
  <c r="AA86" i="7"/>
  <c r="AC86" i="7"/>
  <c r="AE86" i="7"/>
  <c r="AI86" i="7"/>
  <c r="AO86" i="7"/>
  <c r="AP86" i="7"/>
  <c r="E876" i="8"/>
  <c r="F876" i="8"/>
  <c r="G876" i="8"/>
  <c r="H876" i="8"/>
  <c r="I876" i="8"/>
  <c r="J876" i="8"/>
  <c r="K876" i="8"/>
  <c r="L876" i="8"/>
  <c r="M876" i="8"/>
  <c r="N876" i="8"/>
  <c r="O876" i="8"/>
  <c r="P876" i="8"/>
  <c r="Q876" i="8"/>
  <c r="R876" i="8"/>
  <c r="S876" i="8"/>
  <c r="T876" i="8"/>
  <c r="E877" i="8"/>
  <c r="F877" i="8"/>
  <c r="G877" i="8"/>
  <c r="H877" i="8"/>
  <c r="I877" i="8"/>
  <c r="J877" i="8"/>
  <c r="K877" i="8"/>
  <c r="L877" i="8"/>
  <c r="M877" i="8"/>
  <c r="N877" i="8"/>
  <c r="O877" i="8"/>
  <c r="P877" i="8"/>
  <c r="Q877" i="8"/>
  <c r="R877" i="8"/>
  <c r="S877" i="8"/>
  <c r="T877" i="8"/>
  <c r="E878" i="8"/>
  <c r="F878" i="8"/>
  <c r="G878" i="8"/>
  <c r="H878" i="8"/>
  <c r="I878" i="8"/>
  <c r="J878" i="8"/>
  <c r="K878" i="8"/>
  <c r="L878" i="8"/>
  <c r="M878" i="8"/>
  <c r="N878" i="8"/>
  <c r="O878" i="8"/>
  <c r="P878" i="8"/>
  <c r="Q878" i="8"/>
  <c r="R878" i="8"/>
  <c r="S878" i="8"/>
  <c r="T878" i="8"/>
  <c r="E879" i="8"/>
  <c r="F879" i="8"/>
  <c r="G879" i="8"/>
  <c r="H879" i="8"/>
  <c r="I879" i="8"/>
  <c r="J879" i="8"/>
  <c r="K879" i="8"/>
  <c r="L879" i="8"/>
  <c r="M879" i="8"/>
  <c r="N879" i="8"/>
  <c r="O879" i="8"/>
  <c r="P879" i="8"/>
  <c r="Q879" i="8"/>
  <c r="R879" i="8"/>
  <c r="S879" i="8"/>
  <c r="T879" i="8"/>
  <c r="E880" i="8"/>
  <c r="F880" i="8"/>
  <c r="G880" i="8"/>
  <c r="H880" i="8"/>
  <c r="I880" i="8"/>
  <c r="J880" i="8"/>
  <c r="K880" i="8"/>
  <c r="L880" i="8"/>
  <c r="M880" i="8"/>
  <c r="N880" i="8"/>
  <c r="O880" i="8"/>
  <c r="P880" i="8"/>
  <c r="Q880" i="8"/>
  <c r="R880" i="8"/>
  <c r="S880" i="8"/>
  <c r="T880" i="8"/>
  <c r="E881" i="8"/>
  <c r="F881" i="8"/>
  <c r="G881" i="8"/>
  <c r="H881" i="8"/>
  <c r="I881" i="8"/>
  <c r="J881" i="8"/>
  <c r="K881" i="8"/>
  <c r="L881" i="8"/>
  <c r="M881" i="8"/>
  <c r="N881" i="8"/>
  <c r="O881" i="8"/>
  <c r="P881" i="8"/>
  <c r="Q881" i="8"/>
  <c r="R881" i="8"/>
  <c r="S881" i="8"/>
  <c r="T881" i="8"/>
  <c r="E882" i="8"/>
  <c r="F882" i="8"/>
  <c r="G882" i="8"/>
  <c r="H882" i="8"/>
  <c r="I882" i="8"/>
  <c r="P866" i="8"/>
  <c r="Q866" i="8"/>
  <c r="R866" i="8"/>
  <c r="S866" i="8"/>
  <c r="T866" i="8"/>
  <c r="E867" i="8"/>
  <c r="F867" i="8"/>
  <c r="G867" i="8"/>
  <c r="H867" i="8"/>
  <c r="I867" i="8"/>
  <c r="J867" i="8"/>
  <c r="K867" i="8"/>
  <c r="L867" i="8"/>
  <c r="M867" i="8"/>
  <c r="N867" i="8"/>
  <c r="O867" i="8"/>
  <c r="P867" i="8"/>
  <c r="Q867" i="8"/>
  <c r="R867" i="8"/>
  <c r="S867" i="8"/>
  <c r="T867" i="8"/>
  <c r="E868" i="8"/>
  <c r="K871" i="8"/>
  <c r="G868" i="8"/>
  <c r="H868" i="8"/>
  <c r="I868" i="8"/>
  <c r="J868" i="8"/>
  <c r="K868" i="8"/>
  <c r="L868" i="8"/>
  <c r="M868" i="8"/>
  <c r="F870" i="8"/>
  <c r="G870" i="8"/>
  <c r="H870" i="8"/>
  <c r="I870" i="8"/>
  <c r="J870" i="8"/>
  <c r="K870" i="8"/>
  <c r="L870" i="8"/>
  <c r="M870" i="8"/>
  <c r="N870" i="8"/>
  <c r="O870" i="8"/>
  <c r="P870" i="8"/>
  <c r="Q870" i="8"/>
  <c r="R870" i="8"/>
  <c r="S870" i="8"/>
  <c r="T870" i="8"/>
  <c r="E871" i="8"/>
  <c r="F871" i="8"/>
  <c r="G871" i="8"/>
  <c r="H871" i="8"/>
  <c r="I871" i="8"/>
  <c r="R868" i="8"/>
  <c r="N868" i="8"/>
  <c r="O868" i="8"/>
  <c r="P868" i="8"/>
  <c r="Q868" i="8"/>
  <c r="S872" i="8"/>
  <c r="J871" i="8"/>
  <c r="S868" i="8"/>
  <c r="T868" i="8"/>
  <c r="E869" i="8"/>
  <c r="F869" i="8"/>
  <c r="G869" i="8"/>
  <c r="H869" i="8"/>
  <c r="I869" i="8"/>
  <c r="J869" i="8"/>
  <c r="K869" i="8"/>
  <c r="L869" i="8"/>
  <c r="M869" i="8"/>
  <c r="N869" i="8"/>
  <c r="O869" i="8"/>
  <c r="P869" i="8"/>
  <c r="Q869" i="8"/>
  <c r="R869" i="8"/>
  <c r="S869" i="8"/>
  <c r="T869" i="8"/>
  <c r="E870" i="8"/>
  <c r="T875" i="8"/>
  <c r="S875" i="8"/>
  <c r="R875" i="8"/>
  <c r="Q875" i="8"/>
  <c r="P875" i="8"/>
  <c r="O875" i="8"/>
  <c r="N875" i="8"/>
  <c r="M875" i="8"/>
  <c r="L875" i="8"/>
  <c r="K875" i="8"/>
  <c r="J875" i="8"/>
  <c r="I875" i="8"/>
  <c r="H875" i="8"/>
  <c r="G875" i="8"/>
  <c r="F875" i="8"/>
  <c r="E875" i="8"/>
  <c r="T874" i="8"/>
  <c r="S874" i="8"/>
  <c r="R874" i="8"/>
  <c r="Q874" i="8"/>
  <c r="P874" i="8"/>
  <c r="O874" i="8"/>
  <c r="N874" i="8"/>
  <c r="M874" i="8"/>
  <c r="L874" i="8"/>
  <c r="K874" i="8"/>
  <c r="J874" i="8"/>
  <c r="I874" i="8"/>
  <c r="H874" i="8"/>
  <c r="G874" i="8"/>
  <c r="F874" i="8"/>
  <c r="E874" i="8"/>
  <c r="T873" i="8"/>
  <c r="S873" i="8"/>
  <c r="R873" i="8"/>
  <c r="Q873" i="8"/>
  <c r="P873" i="8"/>
  <c r="O873" i="8"/>
  <c r="N873" i="8"/>
  <c r="M873" i="8"/>
  <c r="L873" i="8"/>
  <c r="K873" i="8"/>
  <c r="J873" i="8"/>
  <c r="I873" i="8"/>
  <c r="H873" i="8"/>
  <c r="G873" i="8"/>
  <c r="F873" i="8"/>
  <c r="E873" i="8"/>
  <c r="T872" i="8"/>
  <c r="R872" i="8"/>
  <c r="Q872" i="8"/>
  <c r="P872" i="8"/>
  <c r="O872" i="8"/>
  <c r="N872" i="8"/>
  <c r="M872" i="8"/>
  <c r="L872" i="8"/>
  <c r="K872" i="8"/>
  <c r="J872" i="8"/>
  <c r="I872" i="8"/>
  <c r="H872" i="8"/>
  <c r="G872" i="8"/>
  <c r="F872" i="8"/>
  <c r="E872" i="8"/>
  <c r="T871" i="8"/>
  <c r="S871" i="8"/>
  <c r="R871" i="8"/>
  <c r="Q871" i="8"/>
  <c r="P871" i="8"/>
  <c r="O871" i="8"/>
  <c r="N871" i="8"/>
  <c r="M871" i="8"/>
  <c r="L871" i="8"/>
  <c r="F868" i="8"/>
  <c r="E85" i="7"/>
  <c r="F85" i="7"/>
  <c r="G85" i="7"/>
  <c r="H85" i="7"/>
  <c r="I85" i="7"/>
  <c r="J85" i="7"/>
  <c r="K85" i="7"/>
  <c r="L85" i="7"/>
  <c r="M85" i="7"/>
  <c r="N85" i="7"/>
  <c r="P85" i="7"/>
  <c r="Q85" i="7"/>
  <c r="R85" i="7"/>
  <c r="S85" i="7"/>
  <c r="U85" i="7"/>
  <c r="V85" i="7"/>
  <c r="W85" i="7"/>
  <c r="X85" i="7"/>
  <c r="Y85" i="7"/>
  <c r="Z85" i="7"/>
  <c r="AA85" i="7"/>
  <c r="AC85" i="7"/>
  <c r="AE85" i="7"/>
  <c r="AI85" i="7"/>
  <c r="AO85" i="7"/>
  <c r="AP85" i="7"/>
  <c r="E865" i="8"/>
  <c r="F865" i="8"/>
  <c r="G865" i="8"/>
  <c r="H865" i="8"/>
  <c r="I865" i="8"/>
  <c r="J865" i="8"/>
  <c r="K865" i="8"/>
  <c r="L865" i="8"/>
  <c r="M865" i="8"/>
  <c r="N865" i="8"/>
  <c r="O865" i="8"/>
  <c r="P865" i="8"/>
  <c r="Q865" i="8"/>
  <c r="R865" i="8"/>
  <c r="S865" i="8"/>
  <c r="T865" i="8"/>
  <c r="E866" i="8"/>
  <c r="F866" i="8"/>
  <c r="G866" i="8"/>
  <c r="H866" i="8"/>
  <c r="I866" i="8"/>
  <c r="J866" i="8"/>
  <c r="K866" i="8"/>
  <c r="L866" i="8"/>
  <c r="M866" i="8"/>
  <c r="N866" i="8"/>
  <c r="O866" i="8"/>
  <c r="M855" i="8"/>
  <c r="J860" i="8"/>
  <c r="I860" i="8"/>
  <c r="H860" i="8"/>
  <c r="G860" i="8"/>
  <c r="F860" i="8"/>
  <c r="E860" i="8"/>
  <c r="T859" i="8"/>
  <c r="S859" i="8"/>
  <c r="R859" i="8"/>
  <c r="Q859" i="8"/>
  <c r="P859" i="8"/>
  <c r="O859" i="8"/>
  <c r="N859" i="8"/>
  <c r="M859" i="8"/>
  <c r="L859" i="8"/>
  <c r="K859" i="8"/>
  <c r="J859" i="8"/>
  <c r="I859" i="8"/>
  <c r="H859" i="8"/>
  <c r="G859" i="8"/>
  <c r="E859" i="8"/>
  <c r="T858" i="8"/>
  <c r="S858" i="8"/>
  <c r="R858" i="8"/>
  <c r="Q858" i="8"/>
  <c r="P858" i="8"/>
  <c r="O858" i="8"/>
  <c r="N858" i="8"/>
  <c r="M858" i="8"/>
  <c r="L858" i="8"/>
  <c r="K858" i="8"/>
  <c r="J858" i="8"/>
  <c r="I858" i="8"/>
  <c r="H858" i="8"/>
  <c r="G858" i="8"/>
  <c r="F858" i="8"/>
  <c r="E858" i="8"/>
  <c r="T857" i="8"/>
  <c r="S857" i="8"/>
  <c r="R857" i="8"/>
  <c r="Q857" i="8"/>
  <c r="P857" i="8"/>
  <c r="O857" i="8"/>
  <c r="N857" i="8"/>
  <c r="M857" i="8"/>
  <c r="L857" i="8"/>
  <c r="K857" i="8"/>
  <c r="J857" i="8"/>
  <c r="I857" i="8"/>
  <c r="E84" i="7"/>
  <c r="H857" i="8"/>
  <c r="G857" i="8"/>
  <c r="F857" i="8"/>
  <c r="E857" i="8"/>
  <c r="T856" i="8"/>
  <c r="S856" i="8"/>
  <c r="R856" i="8"/>
  <c r="Q856" i="8"/>
  <c r="P856" i="8"/>
  <c r="O856" i="8"/>
  <c r="N856" i="8"/>
  <c r="M856" i="8"/>
  <c r="L856" i="8"/>
  <c r="K856" i="8"/>
  <c r="J856" i="8"/>
  <c r="I856" i="8"/>
  <c r="F859" i="8"/>
  <c r="H856" i="8"/>
  <c r="G856" i="8"/>
  <c r="F856" i="8"/>
  <c r="E856" i="8"/>
  <c r="T855" i="8"/>
  <c r="S855" i="8"/>
  <c r="R855" i="8"/>
  <c r="Q855" i="8"/>
  <c r="P855" i="8"/>
  <c r="O855" i="8"/>
  <c r="N855" i="8"/>
  <c r="L855" i="8"/>
  <c r="K855" i="8"/>
  <c r="J855" i="8"/>
  <c r="I855" i="8"/>
  <c r="H855" i="8"/>
  <c r="G855" i="8"/>
  <c r="F855" i="8"/>
  <c r="E855" i="8"/>
  <c r="T854" i="8"/>
  <c r="S854" i="8"/>
  <c r="R854" i="8"/>
  <c r="Q854" i="8"/>
  <c r="P854" i="8"/>
  <c r="O854" i="8"/>
  <c r="N854" i="8"/>
  <c r="M854" i="8"/>
  <c r="L854" i="8"/>
  <c r="K854" i="8"/>
  <c r="J854" i="8"/>
  <c r="I854" i="8"/>
  <c r="H854" i="8"/>
  <c r="G854" i="8"/>
  <c r="F854" i="8"/>
  <c r="E854" i="8"/>
  <c r="AP84" i="7"/>
  <c r="AO84" i="7"/>
  <c r="AI84" i="7"/>
  <c r="AE84" i="7"/>
  <c r="AC84" i="7"/>
  <c r="AA84" i="7"/>
  <c r="Z84" i="7"/>
  <c r="Y84" i="7"/>
  <c r="X84" i="7"/>
  <c r="W84" i="7"/>
  <c r="V84" i="7"/>
  <c r="U84" i="7"/>
  <c r="S84" i="7"/>
  <c r="R84" i="7"/>
  <c r="Q84" i="7"/>
  <c r="P84" i="7"/>
  <c r="N84" i="7"/>
  <c r="M84" i="7"/>
  <c r="L84" i="7"/>
  <c r="K84" i="7"/>
  <c r="J84" i="7"/>
  <c r="I84" i="7"/>
  <c r="H84" i="7"/>
  <c r="G84" i="7"/>
  <c r="F84" i="7"/>
  <c r="K860" i="8"/>
  <c r="L860" i="8"/>
  <c r="M860" i="8"/>
  <c r="N860" i="8"/>
  <c r="O860" i="8"/>
  <c r="P860" i="8"/>
  <c r="Q860" i="8"/>
  <c r="R860" i="8"/>
  <c r="S860" i="8"/>
  <c r="T860" i="8"/>
  <c r="E861" i="8"/>
  <c r="F861" i="8"/>
  <c r="G861" i="8"/>
  <c r="H861" i="8"/>
  <c r="I861" i="8"/>
  <c r="J861" i="8"/>
  <c r="K861" i="8"/>
  <c r="L861" i="8"/>
  <c r="M861" i="8"/>
  <c r="N861" i="8"/>
  <c r="O861" i="8"/>
  <c r="P861" i="8"/>
  <c r="Q861" i="8"/>
  <c r="R861" i="8"/>
  <c r="S861" i="8"/>
  <c r="T861" i="8"/>
  <c r="E862" i="8"/>
  <c r="F862" i="8"/>
  <c r="G862" i="8"/>
  <c r="H862" i="8"/>
  <c r="I862" i="8"/>
  <c r="J862" i="8"/>
  <c r="K862" i="8"/>
  <c r="L862" i="8"/>
  <c r="M862" i="8"/>
  <c r="N862" i="8"/>
  <c r="O862" i="8"/>
  <c r="P862" i="8"/>
  <c r="Q862" i="8"/>
  <c r="R862" i="8"/>
  <c r="S862" i="8"/>
  <c r="T862" i="8"/>
  <c r="E863" i="8"/>
  <c r="F863" i="8"/>
  <c r="G863" i="8"/>
  <c r="H863" i="8"/>
  <c r="I863" i="8"/>
  <c r="J863" i="8"/>
  <c r="K863" i="8"/>
  <c r="L863" i="8"/>
  <c r="M863" i="8"/>
  <c r="N863" i="8"/>
  <c r="O863" i="8"/>
  <c r="P863" i="8"/>
  <c r="Q863" i="8"/>
  <c r="R863" i="8"/>
  <c r="S863" i="8"/>
  <c r="T863" i="8"/>
  <c r="E864" i="8"/>
  <c r="F864" i="8"/>
  <c r="G864" i="8"/>
  <c r="H864" i="8"/>
  <c r="I864" i="8"/>
  <c r="J864" i="8"/>
  <c r="K864" i="8"/>
  <c r="L864" i="8"/>
  <c r="M864" i="8"/>
  <c r="N864" i="8"/>
  <c r="O864" i="8"/>
  <c r="P864" i="8"/>
  <c r="Q864" i="8"/>
  <c r="R864" i="8"/>
  <c r="S864" i="8"/>
  <c r="T864" i="8"/>
  <c r="M851" i="8"/>
  <c r="J849" i="8"/>
  <c r="K849" i="8"/>
  <c r="L849" i="8"/>
  <c r="M849" i="8"/>
  <c r="N849" i="8"/>
  <c r="O849" i="8"/>
  <c r="P849" i="8"/>
  <c r="Q849" i="8"/>
  <c r="R849" i="8"/>
  <c r="S849" i="8"/>
  <c r="T849" i="8"/>
  <c r="E850" i="8"/>
  <c r="F850" i="8"/>
  <c r="G850" i="8"/>
  <c r="H850" i="8"/>
  <c r="I850" i="8"/>
  <c r="J850" i="8"/>
  <c r="K850" i="8"/>
  <c r="L850" i="8"/>
  <c r="M850" i="8"/>
  <c r="N850" i="8"/>
  <c r="O850" i="8"/>
  <c r="P850" i="8"/>
  <c r="Q850" i="8"/>
  <c r="R850" i="8"/>
  <c r="S850" i="8"/>
  <c r="T850" i="8"/>
  <c r="E851" i="8"/>
  <c r="F851" i="8"/>
  <c r="G851" i="8"/>
  <c r="H851" i="8"/>
  <c r="I851" i="8"/>
  <c r="J851" i="8"/>
  <c r="K851" i="8"/>
  <c r="L851" i="8"/>
  <c r="N851" i="8"/>
  <c r="O851" i="8"/>
  <c r="P851" i="8"/>
  <c r="Q851" i="8"/>
  <c r="R851" i="8"/>
  <c r="S851" i="8"/>
  <c r="T851" i="8"/>
  <c r="E852" i="8"/>
  <c r="F852" i="8"/>
  <c r="G852" i="8"/>
  <c r="H852" i="8"/>
  <c r="I852" i="8"/>
  <c r="J852" i="8"/>
  <c r="K852" i="8"/>
  <c r="L852" i="8"/>
  <c r="M852" i="8"/>
  <c r="N852" i="8"/>
  <c r="O852" i="8"/>
  <c r="P852" i="8"/>
  <c r="Q852" i="8"/>
  <c r="R852" i="8"/>
  <c r="S852" i="8"/>
  <c r="T852" i="8"/>
  <c r="E853" i="8"/>
  <c r="F853" i="8"/>
  <c r="G853" i="8"/>
  <c r="H853" i="8"/>
  <c r="I853" i="8"/>
  <c r="J853" i="8"/>
  <c r="K853" i="8"/>
  <c r="L853" i="8"/>
  <c r="M853" i="8"/>
  <c r="N853" i="8"/>
  <c r="O853" i="8"/>
  <c r="P853" i="8"/>
  <c r="Q853" i="8"/>
  <c r="R853" i="8"/>
  <c r="S853" i="8"/>
  <c r="T853" i="8"/>
  <c r="E83" i="7"/>
  <c r="F83" i="7"/>
  <c r="G83" i="7"/>
  <c r="H83" i="7"/>
  <c r="I83" i="7"/>
  <c r="J83" i="7"/>
  <c r="K83" i="7"/>
  <c r="L83" i="7"/>
  <c r="M83" i="7"/>
  <c r="N83" i="7"/>
  <c r="P83" i="7"/>
  <c r="Q83" i="7"/>
  <c r="R83" i="7"/>
  <c r="S83" i="7"/>
  <c r="U83" i="7"/>
  <c r="V83" i="7"/>
  <c r="W83" i="7"/>
  <c r="X83" i="7"/>
  <c r="Y83" i="7"/>
  <c r="Z83" i="7"/>
  <c r="AA83" i="7"/>
  <c r="AC83" i="7"/>
  <c r="AE83" i="7"/>
  <c r="AI83" i="7"/>
  <c r="AO83" i="7"/>
  <c r="AP83" i="7"/>
  <c r="E843" i="8"/>
  <c r="F843" i="8"/>
  <c r="G843" i="8"/>
  <c r="H843" i="8"/>
  <c r="I843" i="8"/>
  <c r="J843" i="8"/>
  <c r="K843" i="8"/>
  <c r="L843" i="8"/>
  <c r="M843" i="8"/>
  <c r="N843" i="8"/>
  <c r="O843" i="8"/>
  <c r="P843" i="8"/>
  <c r="Q843" i="8"/>
  <c r="R843" i="8"/>
  <c r="S843" i="8"/>
  <c r="T843" i="8"/>
  <c r="E844" i="8"/>
  <c r="F844" i="8"/>
  <c r="G844" i="8"/>
  <c r="H844" i="8"/>
  <c r="I844" i="8"/>
  <c r="J844" i="8"/>
  <c r="K844" i="8"/>
  <c r="L844" i="8"/>
  <c r="M844" i="8"/>
  <c r="N844" i="8"/>
  <c r="O844" i="8"/>
  <c r="P844" i="8"/>
  <c r="Q844" i="8"/>
  <c r="R844" i="8"/>
  <c r="S844" i="8"/>
  <c r="T844" i="8"/>
  <c r="E845" i="8"/>
  <c r="F845" i="8"/>
  <c r="G845" i="8"/>
  <c r="H845" i="8"/>
  <c r="I845" i="8"/>
  <c r="J845" i="8"/>
  <c r="K845" i="8"/>
  <c r="L845" i="8"/>
  <c r="M845" i="8"/>
  <c r="N845" i="8"/>
  <c r="O845" i="8"/>
  <c r="P845" i="8"/>
  <c r="Q845" i="8"/>
  <c r="R845" i="8"/>
  <c r="S845" i="8"/>
  <c r="T845" i="8"/>
  <c r="E846" i="8"/>
  <c r="F846" i="8"/>
  <c r="G846" i="8"/>
  <c r="H846" i="8"/>
  <c r="I846" i="8"/>
  <c r="J846" i="8"/>
  <c r="K846" i="8"/>
  <c r="L846" i="8"/>
  <c r="M846" i="8"/>
  <c r="N846" i="8"/>
  <c r="O846" i="8"/>
  <c r="P846" i="8"/>
  <c r="Q846" i="8"/>
  <c r="R846" i="8"/>
  <c r="S846" i="8"/>
  <c r="T846" i="8"/>
  <c r="E847" i="8"/>
  <c r="F847" i="8"/>
  <c r="G847" i="8"/>
  <c r="H847" i="8"/>
  <c r="I847" i="8"/>
  <c r="J847" i="8"/>
  <c r="K847" i="8"/>
  <c r="L847" i="8"/>
  <c r="M847" i="8"/>
  <c r="N847" i="8"/>
  <c r="O847" i="8"/>
  <c r="P847" i="8"/>
  <c r="Q847" i="8"/>
  <c r="R847" i="8"/>
  <c r="S847" i="8"/>
  <c r="T847" i="8"/>
  <c r="E848" i="8"/>
  <c r="F848" i="8"/>
  <c r="G848" i="8"/>
  <c r="H848" i="8"/>
  <c r="I848" i="8"/>
  <c r="J848" i="8"/>
  <c r="K848" i="8"/>
  <c r="L848" i="8"/>
  <c r="M848" i="8"/>
  <c r="N848" i="8"/>
  <c r="O848" i="8"/>
  <c r="P848" i="8"/>
  <c r="Q848" i="8"/>
  <c r="R848" i="8"/>
  <c r="S848" i="8"/>
  <c r="T848" i="8"/>
  <c r="E849" i="8"/>
  <c r="F849" i="8"/>
  <c r="G849" i="8"/>
  <c r="H849" i="8"/>
  <c r="I849" i="8"/>
  <c r="Q834" i="8"/>
  <c r="S842" i="8"/>
  <c r="P842" i="8"/>
  <c r="N842" i="8"/>
  <c r="L842" i="8"/>
  <c r="J842" i="8"/>
  <c r="H842" i="8"/>
  <c r="F842" i="8"/>
  <c r="T841" i="8"/>
  <c r="R841" i="8"/>
  <c r="Q841" i="8"/>
  <c r="O841" i="8"/>
  <c r="M841" i="8"/>
  <c r="J841" i="8"/>
  <c r="H841" i="8"/>
  <c r="G841" i="8"/>
  <c r="E841" i="8"/>
  <c r="S840" i="8"/>
  <c r="P840" i="8"/>
  <c r="N840" i="8"/>
  <c r="L840" i="8"/>
  <c r="K840" i="8"/>
  <c r="I840" i="8"/>
  <c r="G840" i="8"/>
  <c r="F840" i="8"/>
  <c r="T839" i="8"/>
  <c r="R839" i="8"/>
  <c r="O839" i="8"/>
  <c r="M839" i="8"/>
  <c r="K839" i="8"/>
  <c r="I839" i="8"/>
  <c r="G839" i="8"/>
  <c r="E839" i="8"/>
  <c r="S838" i="8"/>
  <c r="Q838" i="8"/>
  <c r="O838" i="8"/>
  <c r="L838" i="8"/>
  <c r="J838" i="8"/>
  <c r="H838" i="8"/>
  <c r="G838" i="8"/>
  <c r="E838" i="8"/>
  <c r="R837" i="8"/>
  <c r="Q837" i="8"/>
  <c r="O837" i="8"/>
  <c r="M837" i="8"/>
  <c r="K837" i="8"/>
  <c r="I837" i="8"/>
  <c r="G837" i="8"/>
  <c r="E837" i="8"/>
  <c r="S836" i="8"/>
  <c r="P836" i="8"/>
  <c r="N836" i="8"/>
  <c r="L836" i="8"/>
  <c r="J836" i="8"/>
  <c r="H836" i="8"/>
  <c r="F836" i="8"/>
  <c r="T835" i="8"/>
  <c r="R835" i="8"/>
  <c r="P835" i="8"/>
  <c r="N835" i="8"/>
  <c r="L835" i="8"/>
  <c r="K835" i="8"/>
  <c r="I835" i="8"/>
  <c r="G835" i="8"/>
  <c r="E835" i="8"/>
  <c r="S834" i="8"/>
  <c r="R834" i="8"/>
  <c r="P834" i="8"/>
  <c r="O834" i="8"/>
  <c r="N834" i="8"/>
  <c r="M834" i="8"/>
  <c r="L834" i="8"/>
  <c r="K834" i="8"/>
  <c r="J834" i="8"/>
  <c r="I834" i="8"/>
  <c r="H834" i="8"/>
  <c r="G834" i="8"/>
  <c r="F834" i="8"/>
  <c r="E834" i="8"/>
  <c r="T833" i="8"/>
  <c r="S833" i="8"/>
  <c r="R833" i="8"/>
  <c r="Q833" i="8"/>
  <c r="P833" i="8"/>
  <c r="O833" i="8"/>
  <c r="N833" i="8"/>
  <c r="M833" i="8"/>
  <c r="L833" i="8"/>
  <c r="K833" i="8"/>
  <c r="J833" i="8"/>
  <c r="I833" i="8"/>
  <c r="H833" i="8"/>
  <c r="G833" i="8"/>
  <c r="F833" i="8"/>
  <c r="E833" i="8"/>
  <c r="T832" i="8"/>
  <c r="S832" i="8"/>
  <c r="R832" i="8"/>
  <c r="Q832" i="8"/>
  <c r="P832" i="8"/>
  <c r="O832" i="8"/>
  <c r="N832" i="8"/>
  <c r="M832" i="8"/>
  <c r="L832" i="8"/>
  <c r="K832" i="8"/>
  <c r="J832" i="8"/>
  <c r="I832" i="8"/>
  <c r="H832" i="8"/>
  <c r="G832" i="8"/>
  <c r="F832" i="8"/>
  <c r="E832" i="8"/>
  <c r="AE82" i="7"/>
  <c r="AA82" i="7"/>
  <c r="X82" i="7"/>
  <c r="W82" i="7"/>
  <c r="V82" i="7"/>
  <c r="U82" i="7"/>
  <c r="S82" i="7"/>
  <c r="R82" i="7"/>
  <c r="Q82" i="7"/>
  <c r="P82" i="7"/>
  <c r="M82" i="7"/>
  <c r="L82" i="7"/>
  <c r="K82" i="7"/>
  <c r="J82" i="7"/>
  <c r="I82" i="7"/>
  <c r="H82" i="7"/>
  <c r="G82" i="7"/>
  <c r="F82" i="7"/>
  <c r="E82" i="7"/>
  <c r="T842" i="8"/>
  <c r="R842" i="8"/>
  <c r="Q842" i="8"/>
  <c r="O842" i="8"/>
  <c r="M842" i="8"/>
  <c r="K842" i="8"/>
  <c r="I842" i="8"/>
  <c r="G842" i="8"/>
  <c r="E842" i="8"/>
  <c r="S841" i="8"/>
  <c r="P841" i="8"/>
  <c r="N841" i="8"/>
  <c r="L841" i="8"/>
  <c r="K841" i="8"/>
  <c r="I841" i="8"/>
  <c r="F841" i="8"/>
  <c r="T840" i="8"/>
  <c r="R840" i="8"/>
  <c r="Q840" i="8"/>
  <c r="O840" i="8"/>
  <c r="M840" i="8"/>
  <c r="J840" i="8"/>
  <c r="H840" i="8"/>
  <c r="E840" i="8"/>
  <c r="S839" i="8"/>
  <c r="Q839" i="8"/>
  <c r="P839" i="8"/>
  <c r="N839" i="8"/>
  <c r="L839" i="8"/>
  <c r="J839" i="8"/>
  <c r="H839" i="8"/>
  <c r="F839" i="8"/>
  <c r="T838" i="8"/>
  <c r="R838" i="8"/>
  <c r="P838" i="8"/>
  <c r="N838" i="8"/>
  <c r="M838" i="8"/>
  <c r="K838" i="8"/>
  <c r="I838" i="8"/>
  <c r="F838" i="8"/>
  <c r="T837" i="8"/>
  <c r="S837" i="8"/>
  <c r="P837" i="8"/>
  <c r="N837" i="8"/>
  <c r="L837" i="8"/>
  <c r="J837" i="8"/>
  <c r="H837" i="8"/>
  <c r="F837" i="8"/>
  <c r="T836" i="8"/>
  <c r="R836" i="8"/>
  <c r="Q836" i="8"/>
  <c r="O836" i="8"/>
  <c r="M836" i="8"/>
  <c r="K836" i="8"/>
  <c r="I836" i="8"/>
  <c r="G836" i="8"/>
  <c r="E836" i="8"/>
  <c r="S835" i="8"/>
  <c r="Q835" i="8"/>
  <c r="O835" i="8"/>
  <c r="M835" i="8"/>
  <c r="J835" i="8"/>
  <c r="H835" i="8"/>
  <c r="F835" i="8"/>
  <c r="T834" i="8"/>
  <c r="S830" i="8"/>
  <c r="E831" i="8"/>
  <c r="G831" i="8"/>
  <c r="I831" i="8"/>
  <c r="K831" i="8"/>
  <c r="M831" i="8"/>
  <c r="O831" i="8"/>
  <c r="Q831" i="8"/>
  <c r="S831" i="8"/>
  <c r="E81" i="7"/>
  <c r="G81" i="7"/>
  <c r="I81" i="7"/>
  <c r="J81" i="7"/>
  <c r="L81" i="7"/>
  <c r="N81" i="7"/>
  <c r="Q81" i="7"/>
  <c r="S81" i="7"/>
  <c r="V81" i="7"/>
  <c r="X81" i="7"/>
  <c r="Z81" i="7"/>
  <c r="AA81" i="7"/>
  <c r="AE81" i="7"/>
  <c r="AO81" i="7"/>
  <c r="AP81" i="7"/>
  <c r="F821" i="8"/>
  <c r="H821" i="8"/>
  <c r="J821" i="8"/>
  <c r="L821" i="8"/>
  <c r="N821" i="8"/>
  <c r="P821" i="8"/>
  <c r="F81" i="7"/>
  <c r="H81" i="7"/>
  <c r="K81" i="7"/>
  <c r="M81" i="7"/>
  <c r="P81" i="7"/>
  <c r="R81" i="7"/>
  <c r="U81" i="7"/>
  <c r="W81" i="7"/>
  <c r="Y81" i="7"/>
  <c r="AC81" i="7"/>
  <c r="AI81" i="7"/>
  <c r="E821" i="8"/>
  <c r="G821" i="8"/>
  <c r="I821" i="8"/>
  <c r="K821" i="8"/>
  <c r="M821" i="8"/>
  <c r="O821" i="8"/>
  <c r="Q821" i="8"/>
  <c r="T821" i="8"/>
  <c r="F822" i="8"/>
  <c r="H822" i="8"/>
  <c r="J822" i="8"/>
  <c r="L822" i="8"/>
  <c r="N822" i="8"/>
  <c r="P822" i="8"/>
  <c r="R822" i="8"/>
  <c r="T822" i="8"/>
  <c r="F823" i="8"/>
  <c r="H823" i="8"/>
  <c r="J823" i="8"/>
  <c r="L823" i="8"/>
  <c r="N823" i="8"/>
  <c r="P823" i="8"/>
  <c r="Q823" i="8"/>
  <c r="S823" i="8"/>
  <c r="F824" i="8"/>
  <c r="G824" i="8"/>
  <c r="I824" i="8"/>
  <c r="K824" i="8"/>
  <c r="M824" i="8"/>
  <c r="P824" i="8"/>
  <c r="R824" i="8"/>
  <c r="T824" i="8"/>
  <c r="F825" i="8"/>
  <c r="G825" i="8"/>
  <c r="I825" i="8"/>
  <c r="J825" i="8"/>
  <c r="L825" i="8"/>
  <c r="N825" i="8"/>
  <c r="P825" i="8"/>
  <c r="R825" i="8"/>
  <c r="T825" i="8"/>
  <c r="F826" i="8"/>
  <c r="H826" i="8"/>
  <c r="J826" i="8"/>
  <c r="L826" i="8"/>
  <c r="N826" i="8"/>
  <c r="P826" i="8"/>
  <c r="Q826" i="8"/>
  <c r="T826" i="8"/>
  <c r="F827" i="8"/>
  <c r="G827" i="8"/>
  <c r="I827" i="8"/>
  <c r="K827" i="8"/>
  <c r="L827" i="8"/>
  <c r="O827" i="8"/>
  <c r="Q827" i="8"/>
  <c r="S827" i="8"/>
  <c r="E828" i="8"/>
  <c r="F828" i="8"/>
  <c r="H828" i="8"/>
  <c r="J828" i="8"/>
  <c r="L828" i="8"/>
  <c r="M828" i="8"/>
  <c r="P828" i="8"/>
  <c r="R828" i="8"/>
  <c r="S828" i="8"/>
  <c r="E829" i="8"/>
  <c r="G829" i="8"/>
  <c r="I829" i="8"/>
  <c r="K829" i="8"/>
  <c r="M829" i="8"/>
  <c r="O829" i="8"/>
  <c r="P829" i="8"/>
  <c r="Q829" i="8"/>
  <c r="R829" i="8"/>
  <c r="S829" i="8"/>
  <c r="T829" i="8"/>
  <c r="E830" i="8"/>
  <c r="F830" i="8"/>
  <c r="H830" i="8"/>
  <c r="J830" i="8"/>
  <c r="L830" i="8"/>
  <c r="N830" i="8"/>
  <c r="P830" i="8"/>
  <c r="R830" i="8"/>
  <c r="T830" i="8"/>
  <c r="F831" i="8"/>
  <c r="H831" i="8"/>
  <c r="J831" i="8"/>
  <c r="L831" i="8"/>
  <c r="N831" i="8"/>
  <c r="P831" i="8"/>
  <c r="R831" i="8"/>
  <c r="T831" i="8"/>
  <c r="R821" i="8"/>
  <c r="S821" i="8"/>
  <c r="E822" i="8"/>
  <c r="G822" i="8"/>
  <c r="I822" i="8"/>
  <c r="K822" i="8"/>
  <c r="M822" i="8"/>
  <c r="O822" i="8"/>
  <c r="Q822" i="8"/>
  <c r="S822" i="8"/>
  <c r="E823" i="8"/>
  <c r="G823" i="8"/>
  <c r="I823" i="8"/>
  <c r="K823" i="8"/>
  <c r="M823" i="8"/>
  <c r="O823" i="8"/>
  <c r="R823" i="8"/>
  <c r="T823" i="8"/>
  <c r="E824" i="8"/>
  <c r="H824" i="8"/>
  <c r="J824" i="8"/>
  <c r="L824" i="8"/>
  <c r="N824" i="8"/>
  <c r="O824" i="8"/>
  <c r="Q824" i="8"/>
  <c r="S824" i="8"/>
  <c r="E825" i="8"/>
  <c r="H825" i="8"/>
  <c r="K825" i="8"/>
  <c r="M825" i="8"/>
  <c r="O825" i="8"/>
  <c r="Q825" i="8"/>
  <c r="S825" i="8"/>
  <c r="E826" i="8"/>
  <c r="G826" i="8"/>
  <c r="I826" i="8"/>
  <c r="K826" i="8"/>
  <c r="M826" i="8"/>
  <c r="O826" i="8"/>
  <c r="R826" i="8"/>
  <c r="S826" i="8"/>
  <c r="E827" i="8"/>
  <c r="H827" i="8"/>
  <c r="J827" i="8"/>
  <c r="M827" i="8"/>
  <c r="N827" i="8"/>
  <c r="P827" i="8"/>
  <c r="R827" i="8"/>
  <c r="T827" i="8"/>
  <c r="G828" i="8"/>
  <c r="I828" i="8"/>
  <c r="K828" i="8"/>
  <c r="N828" i="8"/>
  <c r="O828" i="8"/>
  <c r="Q828" i="8"/>
  <c r="T828" i="8"/>
  <c r="F829" i="8"/>
  <c r="H829" i="8"/>
  <c r="J829" i="8"/>
  <c r="L829" i="8"/>
  <c r="N829" i="8"/>
  <c r="G830" i="8"/>
  <c r="I830" i="8"/>
  <c r="K830" i="8"/>
  <c r="M830" i="8"/>
  <c r="O830" i="8"/>
  <c r="Q830" i="8"/>
  <c r="F819" i="8"/>
  <c r="E817" i="8"/>
  <c r="G817" i="8"/>
  <c r="I817" i="8"/>
  <c r="K817" i="8"/>
  <c r="L817" i="8"/>
  <c r="M817" i="8"/>
  <c r="N817" i="8"/>
  <c r="O817" i="8"/>
  <c r="P817" i="8"/>
  <c r="Q817" i="8"/>
  <c r="R817" i="8"/>
  <c r="S817" i="8"/>
  <c r="T817" i="8"/>
  <c r="E818" i="8"/>
  <c r="F818" i="8"/>
  <c r="G818" i="8"/>
  <c r="H818" i="8"/>
  <c r="I818" i="8"/>
  <c r="J818" i="8"/>
  <c r="K818" i="8"/>
  <c r="L818" i="8"/>
  <c r="M818" i="8"/>
  <c r="N818" i="8"/>
  <c r="O818" i="8"/>
  <c r="P818" i="8"/>
  <c r="Q818" i="8"/>
  <c r="R818" i="8"/>
  <c r="S818" i="8"/>
  <c r="T818" i="8"/>
  <c r="E80" i="7"/>
  <c r="F80" i="7"/>
  <c r="H80" i="7"/>
  <c r="J80" i="7"/>
  <c r="L80" i="7"/>
  <c r="N80" i="7"/>
  <c r="P80" i="7"/>
  <c r="R80" i="7"/>
  <c r="U80" i="7"/>
  <c r="W80" i="7"/>
  <c r="Y80" i="7"/>
  <c r="Z80" i="7"/>
  <c r="AA80" i="7"/>
  <c r="AE80" i="7"/>
  <c r="AO80" i="7"/>
  <c r="E810" i="8"/>
  <c r="G810" i="8"/>
  <c r="I810" i="8"/>
  <c r="J810" i="8"/>
  <c r="L810" i="8"/>
  <c r="N810" i="8"/>
  <c r="O810" i="8"/>
  <c r="Q810" i="8"/>
  <c r="S810" i="8"/>
  <c r="E811" i="8"/>
  <c r="G811" i="8"/>
  <c r="I811" i="8"/>
  <c r="K811" i="8"/>
  <c r="M811" i="8"/>
  <c r="O811" i="8"/>
  <c r="Q811" i="8"/>
  <c r="S811" i="8"/>
  <c r="E812" i="8"/>
  <c r="G812" i="8"/>
  <c r="I812" i="8"/>
  <c r="K812" i="8"/>
  <c r="M812" i="8"/>
  <c r="O812" i="8"/>
  <c r="Q812" i="8"/>
  <c r="S812" i="8"/>
  <c r="E813" i="8"/>
  <c r="G813" i="8"/>
  <c r="I813" i="8"/>
  <c r="K813" i="8"/>
  <c r="M813" i="8"/>
  <c r="O813" i="8"/>
  <c r="R813" i="8"/>
  <c r="T813" i="8"/>
  <c r="F814" i="8"/>
  <c r="G814" i="8"/>
  <c r="J814" i="8"/>
  <c r="K814" i="8"/>
  <c r="M814" i="8"/>
  <c r="O814" i="8"/>
  <c r="Q814" i="8"/>
  <c r="S814" i="8"/>
  <c r="E815" i="8"/>
  <c r="G815" i="8"/>
  <c r="J815" i="8"/>
  <c r="L815" i="8"/>
  <c r="M815" i="8"/>
  <c r="P815" i="8"/>
  <c r="R815" i="8"/>
  <c r="T815" i="8"/>
  <c r="F816" i="8"/>
  <c r="H816" i="8"/>
  <c r="J816" i="8"/>
  <c r="L816" i="8"/>
  <c r="N816" i="8"/>
  <c r="P816" i="8"/>
  <c r="R816" i="8"/>
  <c r="T816" i="8"/>
  <c r="F817" i="8"/>
  <c r="H817" i="8"/>
  <c r="J817" i="8"/>
  <c r="E819" i="8"/>
  <c r="G80" i="7"/>
  <c r="I80" i="7"/>
  <c r="K80" i="7"/>
  <c r="M80" i="7"/>
  <c r="Q80" i="7"/>
  <c r="S80" i="7"/>
  <c r="V80" i="7"/>
  <c r="X80" i="7"/>
  <c r="AC80" i="7"/>
  <c r="AI80" i="7"/>
  <c r="AP80" i="7"/>
  <c r="F810" i="8"/>
  <c r="H810" i="8"/>
  <c r="K810" i="8"/>
  <c r="M810" i="8"/>
  <c r="P810" i="8"/>
  <c r="R810" i="8"/>
  <c r="T810" i="8"/>
  <c r="F811" i="8"/>
  <c r="H811" i="8"/>
  <c r="J811" i="8"/>
  <c r="L811" i="8"/>
  <c r="N811" i="8"/>
  <c r="P811" i="8"/>
  <c r="R811" i="8"/>
  <c r="T811" i="8"/>
  <c r="F812" i="8"/>
  <c r="H812" i="8"/>
  <c r="J812" i="8"/>
  <c r="L812" i="8"/>
  <c r="N812" i="8"/>
  <c r="P812" i="8"/>
  <c r="R812" i="8"/>
  <c r="T812" i="8"/>
  <c r="F813" i="8"/>
  <c r="H813" i="8"/>
  <c r="J813" i="8"/>
  <c r="L813" i="8"/>
  <c r="N813" i="8"/>
  <c r="P813" i="8"/>
  <c r="Q813" i="8"/>
  <c r="S813" i="8"/>
  <c r="E814" i="8"/>
  <c r="H814" i="8"/>
  <c r="I814" i="8"/>
  <c r="L814" i="8"/>
  <c r="N814" i="8"/>
  <c r="P814" i="8"/>
  <c r="R814" i="8"/>
  <c r="T814" i="8"/>
  <c r="F815" i="8"/>
  <c r="H815" i="8"/>
  <c r="I815" i="8"/>
  <c r="K815" i="8"/>
  <c r="N815" i="8"/>
  <c r="O815" i="8"/>
  <c r="Q815" i="8"/>
  <c r="S815" i="8"/>
  <c r="E816" i="8"/>
  <c r="G816" i="8"/>
  <c r="I816" i="8"/>
  <c r="K816" i="8"/>
  <c r="M816" i="8"/>
  <c r="O816" i="8"/>
  <c r="Q816" i="8"/>
  <c r="S816" i="8"/>
  <c r="G819" i="8"/>
  <c r="H819" i="8"/>
  <c r="I819" i="8"/>
  <c r="J819" i="8"/>
  <c r="K819" i="8"/>
  <c r="L819" i="8"/>
  <c r="M819" i="8"/>
  <c r="N819" i="8"/>
  <c r="O819" i="8"/>
  <c r="P819" i="8"/>
  <c r="Q819" i="8"/>
  <c r="R819" i="8"/>
  <c r="S819" i="8"/>
  <c r="T819" i="8"/>
  <c r="E820" i="8"/>
  <c r="F820" i="8"/>
  <c r="G820" i="8"/>
  <c r="H820" i="8"/>
  <c r="I820" i="8"/>
  <c r="J820" i="8"/>
  <c r="K820" i="8"/>
  <c r="L820" i="8"/>
  <c r="M820" i="8"/>
  <c r="N820" i="8"/>
  <c r="O820" i="8"/>
  <c r="P820" i="8"/>
  <c r="Q820" i="8"/>
  <c r="R820" i="8"/>
  <c r="S820" i="8"/>
  <c r="T820" i="8"/>
  <c r="H802" i="8"/>
  <c r="J802" i="8"/>
  <c r="L802" i="8"/>
  <c r="N802" i="8"/>
  <c r="P802" i="8"/>
  <c r="R802" i="8"/>
  <c r="T802" i="8"/>
  <c r="F803" i="8"/>
  <c r="G803" i="8"/>
  <c r="I803" i="8"/>
  <c r="L799" i="8"/>
  <c r="O799" i="8"/>
  <c r="Q799" i="8"/>
  <c r="T799" i="8"/>
  <c r="F800" i="8"/>
  <c r="H800" i="8"/>
  <c r="J800" i="8"/>
  <c r="L800" i="8"/>
  <c r="N800" i="8"/>
  <c r="P800" i="8"/>
  <c r="S800" i="8"/>
  <c r="E801" i="8"/>
  <c r="G801" i="8"/>
  <c r="I801" i="8"/>
  <c r="K801" i="8"/>
  <c r="M801" i="8"/>
  <c r="O801" i="8"/>
  <c r="P801" i="8"/>
  <c r="R801" i="8"/>
  <c r="T801" i="8"/>
  <c r="F802" i="8"/>
  <c r="E79" i="7"/>
  <c r="F79" i="7"/>
  <c r="G79" i="7"/>
  <c r="H79" i="7"/>
  <c r="I79" i="7"/>
  <c r="J79" i="7"/>
  <c r="K79" i="7"/>
  <c r="L79" i="7"/>
  <c r="M79" i="7"/>
  <c r="N79" i="7"/>
  <c r="P79" i="7"/>
  <c r="Q79" i="7"/>
  <c r="R79" i="7"/>
  <c r="S79" i="7"/>
  <c r="U79" i="7"/>
  <c r="V79" i="7"/>
  <c r="W79" i="7"/>
  <c r="X79" i="7"/>
  <c r="Y79" i="7"/>
  <c r="Z79" i="7"/>
  <c r="AA79" i="7"/>
  <c r="AC79" i="7"/>
  <c r="AE79" i="7"/>
  <c r="AI79" i="7"/>
  <c r="AO79" i="7"/>
  <c r="AP79" i="7"/>
  <c r="E799" i="8"/>
  <c r="F799" i="8"/>
  <c r="G799" i="8"/>
  <c r="H799" i="8"/>
  <c r="I799" i="8"/>
  <c r="J799" i="8"/>
  <c r="K799" i="8"/>
  <c r="M799" i="8"/>
  <c r="N799" i="8"/>
  <c r="P799" i="8"/>
  <c r="R799" i="8"/>
  <c r="S799" i="8"/>
  <c r="E800" i="8"/>
  <c r="G800" i="8"/>
  <c r="I800" i="8"/>
  <c r="K800" i="8"/>
  <c r="M800" i="8"/>
  <c r="O800" i="8"/>
  <c r="Q800" i="8"/>
  <c r="R800" i="8"/>
  <c r="T800" i="8"/>
  <c r="F801" i="8"/>
  <c r="H801" i="8"/>
  <c r="J801" i="8"/>
  <c r="L801" i="8"/>
  <c r="N801" i="8"/>
  <c r="Q801" i="8"/>
  <c r="S801" i="8"/>
  <c r="E802" i="8"/>
  <c r="G802" i="8"/>
  <c r="I802" i="8"/>
  <c r="K802" i="8"/>
  <c r="M802" i="8"/>
  <c r="O802" i="8"/>
  <c r="Q802" i="8"/>
  <c r="S802" i="8"/>
  <c r="E803" i="8"/>
  <c r="H803" i="8"/>
  <c r="J803" i="8"/>
  <c r="K803" i="8"/>
  <c r="L803" i="8"/>
  <c r="M803" i="8"/>
  <c r="N803" i="8"/>
  <c r="O803" i="8"/>
  <c r="P803" i="8"/>
  <c r="Q803" i="8"/>
  <c r="R803" i="8"/>
  <c r="S803" i="8"/>
  <c r="T803" i="8"/>
  <c r="E804" i="8"/>
  <c r="F804" i="8"/>
  <c r="G804" i="8"/>
  <c r="H804" i="8"/>
  <c r="I804" i="8"/>
  <c r="J804" i="8"/>
  <c r="K804" i="8"/>
  <c r="L804" i="8"/>
  <c r="M804" i="8"/>
  <c r="N804" i="8"/>
  <c r="O804" i="8"/>
  <c r="P804" i="8"/>
  <c r="Q804" i="8"/>
  <c r="R804" i="8"/>
  <c r="S804" i="8"/>
  <c r="T804" i="8"/>
  <c r="E805" i="8"/>
  <c r="F805" i="8"/>
  <c r="G805" i="8"/>
  <c r="H805" i="8"/>
  <c r="I805" i="8"/>
  <c r="J805" i="8"/>
  <c r="K805" i="8"/>
  <c r="L805" i="8"/>
  <c r="M805" i="8"/>
  <c r="N805" i="8"/>
  <c r="O805" i="8"/>
  <c r="P805" i="8"/>
  <c r="Q805" i="8"/>
  <c r="R805" i="8"/>
  <c r="S805" i="8"/>
  <c r="T805" i="8"/>
  <c r="E806" i="8"/>
  <c r="F806" i="8"/>
  <c r="G806" i="8"/>
  <c r="H806" i="8"/>
  <c r="I806" i="8"/>
  <c r="J806" i="8"/>
  <c r="K806" i="8"/>
  <c r="L806" i="8"/>
  <c r="M806" i="8"/>
  <c r="N806" i="8"/>
  <c r="O806" i="8"/>
  <c r="P806" i="8"/>
  <c r="Q806" i="8"/>
  <c r="R806" i="8"/>
  <c r="S806" i="8"/>
  <c r="T806" i="8"/>
  <c r="E807" i="8"/>
  <c r="F807" i="8"/>
  <c r="G807" i="8"/>
  <c r="H807" i="8"/>
  <c r="I807" i="8"/>
  <c r="J807" i="8"/>
  <c r="K807" i="8"/>
  <c r="L807" i="8"/>
  <c r="M807" i="8"/>
  <c r="N807" i="8"/>
  <c r="O807" i="8"/>
  <c r="P807" i="8"/>
  <c r="Q807" i="8"/>
  <c r="R807" i="8"/>
  <c r="S807" i="8"/>
  <c r="T807" i="8"/>
  <c r="E808" i="8"/>
  <c r="F808" i="8"/>
  <c r="G808" i="8"/>
  <c r="H808" i="8"/>
  <c r="I808" i="8"/>
  <c r="J808" i="8"/>
  <c r="K808" i="8"/>
  <c r="L808" i="8"/>
  <c r="M808" i="8"/>
  <c r="N808" i="8"/>
  <c r="O808" i="8"/>
  <c r="P808" i="8"/>
  <c r="Q808" i="8"/>
  <c r="R808" i="8"/>
  <c r="S808" i="8"/>
  <c r="T808" i="8"/>
  <c r="E809" i="8"/>
  <c r="F809" i="8"/>
  <c r="G809" i="8"/>
  <c r="H809" i="8"/>
  <c r="I809" i="8"/>
  <c r="J809" i="8"/>
  <c r="K809" i="8"/>
  <c r="L809" i="8"/>
  <c r="M809" i="8"/>
  <c r="N809" i="8"/>
  <c r="O809" i="8"/>
  <c r="P809" i="8"/>
  <c r="Q809" i="8"/>
  <c r="R809" i="8"/>
  <c r="S809" i="8"/>
  <c r="T809" i="8"/>
  <c r="E78" i="7"/>
  <c r="F78" i="7"/>
  <c r="G78" i="7"/>
  <c r="H78" i="7"/>
  <c r="I78" i="7"/>
  <c r="J78" i="7"/>
  <c r="K78" i="7"/>
  <c r="L78" i="7"/>
  <c r="M78" i="7"/>
  <c r="N78" i="7"/>
  <c r="P78" i="7"/>
  <c r="Q78" i="7"/>
  <c r="R78" i="7"/>
  <c r="S78" i="7"/>
  <c r="U78" i="7"/>
  <c r="V78" i="7"/>
  <c r="W78" i="7"/>
  <c r="X78" i="7"/>
  <c r="Y78" i="7"/>
  <c r="Z78" i="7"/>
  <c r="AA78" i="7"/>
  <c r="AC78" i="7"/>
  <c r="AE78" i="7"/>
  <c r="AI78" i="7"/>
  <c r="AO78" i="7"/>
  <c r="AP78" i="7"/>
  <c r="E788" i="8"/>
  <c r="F788" i="8"/>
  <c r="G788" i="8"/>
  <c r="H788" i="8"/>
  <c r="I788" i="8"/>
  <c r="J788" i="8"/>
  <c r="K788" i="8"/>
  <c r="L788" i="8"/>
  <c r="M788" i="8"/>
  <c r="N788" i="8"/>
  <c r="O788" i="8"/>
  <c r="P788" i="8"/>
  <c r="Q788" i="8"/>
  <c r="R788" i="8"/>
  <c r="S788" i="8"/>
  <c r="T788" i="8"/>
  <c r="E789" i="8"/>
  <c r="F789" i="8"/>
  <c r="G789" i="8"/>
  <c r="H789" i="8"/>
  <c r="I789" i="8"/>
  <c r="J789" i="8"/>
  <c r="K789" i="8"/>
  <c r="L789" i="8"/>
  <c r="M789" i="8"/>
  <c r="N789" i="8"/>
  <c r="O789" i="8"/>
  <c r="P789" i="8"/>
  <c r="Q789" i="8"/>
  <c r="R789" i="8"/>
  <c r="S789" i="8"/>
  <c r="T789" i="8"/>
  <c r="E790" i="8"/>
  <c r="F790" i="8"/>
  <c r="G790" i="8"/>
  <c r="H790" i="8"/>
  <c r="I790" i="8"/>
  <c r="J790" i="8"/>
  <c r="K790" i="8"/>
  <c r="L790" i="8"/>
  <c r="M790" i="8"/>
  <c r="N790" i="8"/>
  <c r="O790" i="8"/>
  <c r="P790" i="8"/>
  <c r="Q790" i="8"/>
  <c r="R790" i="8"/>
  <c r="S790" i="8"/>
  <c r="T790" i="8"/>
  <c r="E791" i="8"/>
  <c r="F791" i="8"/>
  <c r="G791" i="8"/>
  <c r="H791" i="8"/>
  <c r="I791" i="8"/>
  <c r="J791" i="8"/>
  <c r="K791" i="8"/>
  <c r="L791" i="8"/>
  <c r="M791" i="8"/>
  <c r="N791" i="8"/>
  <c r="O791" i="8"/>
  <c r="P791" i="8"/>
  <c r="Q791" i="8"/>
  <c r="R791" i="8"/>
  <c r="S791" i="8"/>
  <c r="T791" i="8"/>
  <c r="E792" i="8"/>
  <c r="F792" i="8"/>
  <c r="G792" i="8"/>
  <c r="H792" i="8"/>
  <c r="I792" i="8"/>
  <c r="J792" i="8"/>
  <c r="K792" i="8"/>
  <c r="L792" i="8"/>
  <c r="M792" i="8"/>
  <c r="N792" i="8"/>
  <c r="O792" i="8"/>
  <c r="P792" i="8"/>
  <c r="Q792" i="8"/>
  <c r="R792" i="8"/>
  <c r="S792" i="8"/>
  <c r="T792" i="8"/>
  <c r="E793" i="8"/>
  <c r="F793" i="8"/>
  <c r="G793" i="8"/>
  <c r="H793" i="8"/>
  <c r="I793" i="8"/>
  <c r="J793" i="8"/>
  <c r="K793" i="8"/>
  <c r="L793" i="8"/>
  <c r="M793" i="8"/>
  <c r="N793" i="8"/>
  <c r="O793" i="8"/>
  <c r="P793" i="8"/>
  <c r="Q793" i="8"/>
  <c r="R793" i="8"/>
  <c r="S793" i="8"/>
  <c r="T793" i="8"/>
  <c r="E794" i="8"/>
  <c r="F794" i="8"/>
  <c r="G794" i="8"/>
  <c r="H794" i="8"/>
  <c r="I794" i="8"/>
  <c r="J794" i="8"/>
  <c r="K794" i="8"/>
  <c r="L794" i="8"/>
  <c r="M794" i="8"/>
  <c r="N794" i="8"/>
  <c r="O794" i="8"/>
  <c r="P794" i="8"/>
  <c r="Q794" i="8"/>
  <c r="R794" i="8"/>
  <c r="S794" i="8"/>
  <c r="T794" i="8"/>
  <c r="E795" i="8"/>
  <c r="F795" i="8"/>
  <c r="G795" i="8"/>
  <c r="H795" i="8"/>
  <c r="I795" i="8"/>
  <c r="J795" i="8"/>
  <c r="K795" i="8"/>
  <c r="L795" i="8"/>
  <c r="M795" i="8"/>
  <c r="N795" i="8"/>
  <c r="O795" i="8"/>
  <c r="P795" i="8"/>
  <c r="Q795" i="8"/>
  <c r="R795" i="8"/>
  <c r="S795" i="8"/>
  <c r="T795" i="8"/>
  <c r="E796" i="8"/>
  <c r="F796" i="8"/>
  <c r="G796" i="8"/>
  <c r="H796" i="8"/>
  <c r="I796" i="8"/>
  <c r="J796" i="8"/>
  <c r="K796" i="8"/>
  <c r="L796" i="8"/>
  <c r="M796" i="8"/>
  <c r="N796" i="8"/>
  <c r="O796" i="8"/>
  <c r="P796" i="8"/>
  <c r="Q796" i="8"/>
  <c r="R796" i="8"/>
  <c r="S796" i="8"/>
  <c r="T796" i="8"/>
  <c r="E797" i="8"/>
  <c r="F797" i="8"/>
  <c r="G797" i="8"/>
  <c r="H797" i="8"/>
  <c r="I797" i="8"/>
  <c r="J797" i="8"/>
  <c r="K797" i="8"/>
  <c r="L797" i="8"/>
  <c r="M797" i="8"/>
  <c r="N797" i="8"/>
  <c r="O797" i="8"/>
  <c r="P797" i="8"/>
  <c r="Q797" i="8"/>
  <c r="R797" i="8"/>
  <c r="S797" i="8"/>
  <c r="T797" i="8"/>
  <c r="E798" i="8"/>
  <c r="F798" i="8"/>
  <c r="G798" i="8"/>
  <c r="H798" i="8"/>
  <c r="I798" i="8"/>
  <c r="J798" i="8"/>
  <c r="K798" i="8"/>
  <c r="L798" i="8"/>
  <c r="M798" i="8"/>
  <c r="N798" i="8"/>
  <c r="O798" i="8"/>
  <c r="P798" i="8"/>
  <c r="Q798" i="8"/>
  <c r="R798" i="8"/>
  <c r="S798" i="8"/>
  <c r="T798" i="8"/>
  <c r="E77" i="7"/>
  <c r="F77" i="7"/>
  <c r="G77" i="7"/>
  <c r="H77" i="7"/>
  <c r="I77" i="7"/>
  <c r="J77" i="7"/>
  <c r="K77" i="7"/>
  <c r="L77" i="7"/>
  <c r="M77" i="7"/>
  <c r="N77" i="7"/>
  <c r="P77" i="7"/>
  <c r="Q77" i="7"/>
  <c r="R77" i="7"/>
  <c r="S77" i="7"/>
  <c r="U77" i="7"/>
  <c r="V77" i="7"/>
  <c r="W77" i="7"/>
  <c r="X77" i="7"/>
  <c r="Y77" i="7"/>
  <c r="Z77" i="7"/>
  <c r="AA77" i="7"/>
  <c r="AC77" i="7"/>
  <c r="AE77" i="7"/>
  <c r="AI77" i="7"/>
  <c r="AO77" i="7"/>
  <c r="AP77" i="7"/>
  <c r="E777" i="8"/>
  <c r="F777" i="8"/>
  <c r="G777" i="8"/>
  <c r="H777" i="8"/>
  <c r="I777" i="8"/>
  <c r="J777" i="8"/>
  <c r="K777" i="8"/>
  <c r="L777" i="8"/>
  <c r="M777" i="8"/>
  <c r="N777" i="8"/>
  <c r="O777" i="8"/>
  <c r="P777" i="8"/>
  <c r="Q777" i="8"/>
  <c r="R777" i="8"/>
  <c r="S777" i="8"/>
  <c r="T777" i="8"/>
  <c r="E778" i="8"/>
  <c r="F778" i="8"/>
  <c r="G778" i="8"/>
  <c r="H778" i="8"/>
  <c r="I778" i="8"/>
  <c r="J778" i="8"/>
  <c r="K778" i="8"/>
  <c r="L778" i="8"/>
  <c r="M778" i="8"/>
  <c r="N778" i="8"/>
  <c r="O778" i="8"/>
  <c r="P778" i="8"/>
  <c r="Q778" i="8"/>
  <c r="R778" i="8"/>
  <c r="S778" i="8"/>
  <c r="T778" i="8"/>
  <c r="E779" i="8"/>
  <c r="F779" i="8"/>
  <c r="G779" i="8"/>
  <c r="H779" i="8"/>
  <c r="I779" i="8"/>
  <c r="J779" i="8"/>
  <c r="K779" i="8"/>
  <c r="L779" i="8"/>
  <c r="M779" i="8"/>
  <c r="N779" i="8"/>
  <c r="O779" i="8"/>
  <c r="P779" i="8"/>
  <c r="Q779" i="8"/>
  <c r="R779" i="8"/>
  <c r="S779" i="8"/>
  <c r="T779" i="8"/>
  <c r="E780" i="8"/>
  <c r="F780" i="8"/>
  <c r="G780" i="8"/>
  <c r="H780" i="8"/>
  <c r="I780" i="8"/>
  <c r="J780" i="8"/>
  <c r="K780" i="8"/>
  <c r="L780" i="8"/>
  <c r="M780" i="8"/>
  <c r="N780" i="8"/>
  <c r="O780" i="8"/>
  <c r="P780" i="8"/>
  <c r="Q780" i="8"/>
  <c r="R780" i="8"/>
  <c r="S780" i="8"/>
  <c r="T780" i="8"/>
  <c r="E781" i="8"/>
  <c r="F781" i="8"/>
  <c r="G781" i="8"/>
  <c r="H781" i="8"/>
  <c r="I781" i="8"/>
  <c r="J781" i="8"/>
  <c r="K781" i="8"/>
  <c r="L781" i="8"/>
  <c r="M781" i="8"/>
  <c r="N781" i="8"/>
  <c r="O781" i="8"/>
  <c r="P781" i="8"/>
  <c r="Q781" i="8"/>
  <c r="R781" i="8"/>
  <c r="S781" i="8"/>
  <c r="T781" i="8"/>
  <c r="E782" i="8"/>
  <c r="F782" i="8"/>
  <c r="G782" i="8"/>
  <c r="H782" i="8"/>
  <c r="I782" i="8"/>
  <c r="J782" i="8"/>
  <c r="K782" i="8"/>
  <c r="L782" i="8"/>
  <c r="M782" i="8"/>
  <c r="N782" i="8"/>
  <c r="O782" i="8"/>
  <c r="P782" i="8"/>
  <c r="Q782" i="8"/>
  <c r="R782" i="8"/>
  <c r="S782" i="8"/>
  <c r="T782" i="8"/>
  <c r="E783" i="8"/>
  <c r="F783" i="8"/>
  <c r="G783" i="8"/>
  <c r="H783" i="8"/>
  <c r="I783" i="8"/>
  <c r="J783" i="8"/>
  <c r="K783" i="8"/>
  <c r="L783" i="8"/>
  <c r="M783" i="8"/>
  <c r="N783" i="8"/>
  <c r="O783" i="8"/>
  <c r="P783" i="8"/>
  <c r="Q783" i="8"/>
  <c r="R783" i="8"/>
  <c r="S783" i="8"/>
  <c r="T783" i="8"/>
  <c r="E784" i="8"/>
  <c r="F784" i="8"/>
  <c r="G784" i="8"/>
  <c r="H784" i="8"/>
  <c r="I784" i="8"/>
  <c r="J784" i="8"/>
  <c r="K784" i="8"/>
  <c r="L784" i="8"/>
  <c r="M784" i="8"/>
  <c r="N784" i="8"/>
  <c r="O784" i="8"/>
  <c r="P784" i="8"/>
  <c r="Q784" i="8"/>
  <c r="R784" i="8"/>
  <c r="S784" i="8"/>
  <c r="T784" i="8"/>
  <c r="E785" i="8"/>
  <c r="F785" i="8"/>
  <c r="G785" i="8"/>
  <c r="H785" i="8"/>
  <c r="I785" i="8"/>
  <c r="J785" i="8"/>
  <c r="K785" i="8"/>
  <c r="L785" i="8"/>
  <c r="M785" i="8"/>
  <c r="N785" i="8"/>
  <c r="O785" i="8"/>
  <c r="P785" i="8"/>
  <c r="Q785" i="8"/>
  <c r="R785" i="8"/>
  <c r="S785" i="8"/>
  <c r="T785" i="8"/>
  <c r="E786" i="8"/>
  <c r="F786" i="8"/>
  <c r="G786" i="8"/>
  <c r="H786" i="8"/>
  <c r="I786" i="8"/>
  <c r="J786" i="8"/>
  <c r="K786" i="8"/>
  <c r="L786" i="8"/>
  <c r="M786" i="8"/>
  <c r="N786" i="8"/>
  <c r="O786" i="8"/>
  <c r="P786" i="8"/>
  <c r="Q786" i="8"/>
  <c r="R786" i="8"/>
  <c r="S786" i="8"/>
  <c r="T786" i="8"/>
  <c r="E787" i="8"/>
  <c r="F787" i="8"/>
  <c r="G787" i="8"/>
  <c r="H787" i="8"/>
  <c r="I787" i="8"/>
  <c r="J787" i="8"/>
  <c r="K787" i="8"/>
  <c r="L787" i="8"/>
  <c r="M787" i="8"/>
  <c r="N787" i="8"/>
  <c r="O787" i="8"/>
  <c r="P787" i="8"/>
  <c r="Q787" i="8"/>
  <c r="R787" i="8"/>
  <c r="S787" i="8"/>
  <c r="T787" i="8"/>
  <c r="E76" i="7"/>
  <c r="F76" i="7"/>
  <c r="G76" i="7"/>
  <c r="H76" i="7"/>
  <c r="I76" i="7"/>
  <c r="J76" i="7"/>
  <c r="K76" i="7"/>
  <c r="L76" i="7"/>
  <c r="M76" i="7"/>
  <c r="N76" i="7"/>
  <c r="P76" i="7"/>
  <c r="Q76" i="7"/>
  <c r="R76" i="7"/>
  <c r="S76" i="7"/>
  <c r="U76" i="7"/>
  <c r="V76" i="7"/>
  <c r="W76" i="7"/>
  <c r="X76" i="7"/>
  <c r="Y76" i="7"/>
  <c r="Z76" i="7"/>
  <c r="AA76" i="7"/>
  <c r="AC76" i="7"/>
  <c r="AE76" i="7"/>
  <c r="AI76" i="7"/>
  <c r="AO76" i="7"/>
  <c r="AP76" i="7"/>
  <c r="E766" i="8"/>
  <c r="F766" i="8"/>
  <c r="G766" i="8"/>
  <c r="H766" i="8"/>
  <c r="I766" i="8"/>
  <c r="J766" i="8"/>
  <c r="K766" i="8"/>
  <c r="L766" i="8"/>
  <c r="M766" i="8"/>
  <c r="N766" i="8"/>
  <c r="O766" i="8"/>
  <c r="P766" i="8"/>
  <c r="Q766" i="8"/>
  <c r="R766" i="8"/>
  <c r="S766" i="8"/>
  <c r="T766" i="8"/>
  <c r="E767" i="8"/>
  <c r="F767" i="8"/>
  <c r="G767" i="8"/>
  <c r="H767" i="8"/>
  <c r="I767" i="8"/>
  <c r="J767" i="8"/>
  <c r="K767" i="8"/>
  <c r="L767" i="8"/>
  <c r="M767" i="8"/>
  <c r="N767" i="8"/>
  <c r="O767" i="8"/>
  <c r="P767" i="8"/>
  <c r="Q767" i="8"/>
  <c r="R767" i="8"/>
  <c r="S767" i="8"/>
  <c r="T767" i="8"/>
  <c r="E768" i="8"/>
  <c r="F768" i="8"/>
  <c r="G768" i="8"/>
  <c r="H768" i="8"/>
  <c r="I768" i="8"/>
  <c r="J768" i="8"/>
  <c r="K768" i="8"/>
  <c r="L768" i="8"/>
  <c r="M768" i="8"/>
  <c r="N768" i="8"/>
  <c r="O768" i="8"/>
  <c r="P768" i="8"/>
  <c r="Q768" i="8"/>
  <c r="R768" i="8"/>
  <c r="S768" i="8"/>
  <c r="T768" i="8"/>
  <c r="E769" i="8"/>
  <c r="F769" i="8"/>
  <c r="G769" i="8"/>
  <c r="H769" i="8"/>
  <c r="I769" i="8"/>
  <c r="J769" i="8"/>
  <c r="K769" i="8"/>
  <c r="L769" i="8"/>
  <c r="M769" i="8"/>
  <c r="N769" i="8"/>
  <c r="O769" i="8"/>
  <c r="P769" i="8"/>
  <c r="Q769" i="8"/>
  <c r="R769" i="8"/>
  <c r="S769" i="8"/>
  <c r="T769" i="8"/>
  <c r="E770" i="8"/>
  <c r="F770" i="8"/>
  <c r="G770" i="8"/>
  <c r="H770" i="8"/>
  <c r="I770" i="8"/>
  <c r="J770" i="8"/>
  <c r="K770" i="8"/>
  <c r="L770" i="8"/>
  <c r="M770" i="8"/>
  <c r="N770" i="8"/>
  <c r="O770" i="8"/>
  <c r="P770" i="8"/>
  <c r="Q770" i="8"/>
  <c r="R770" i="8"/>
  <c r="S770" i="8"/>
  <c r="T770" i="8"/>
  <c r="E771" i="8"/>
  <c r="F771" i="8"/>
  <c r="G771" i="8"/>
  <c r="H771" i="8"/>
  <c r="I771" i="8"/>
  <c r="J771" i="8"/>
  <c r="K771" i="8"/>
  <c r="L771" i="8"/>
  <c r="M771" i="8"/>
  <c r="N771" i="8"/>
  <c r="O771" i="8"/>
  <c r="P771" i="8"/>
  <c r="Q771" i="8"/>
  <c r="R771" i="8"/>
  <c r="S771" i="8"/>
  <c r="T771" i="8"/>
  <c r="E772" i="8"/>
  <c r="F772" i="8"/>
  <c r="G772" i="8"/>
  <c r="H772" i="8"/>
  <c r="I772" i="8"/>
  <c r="J772" i="8"/>
  <c r="K772" i="8"/>
  <c r="L772" i="8"/>
  <c r="M772" i="8"/>
  <c r="N772" i="8"/>
  <c r="O772" i="8"/>
  <c r="P772" i="8"/>
  <c r="Q772" i="8"/>
  <c r="R772" i="8"/>
  <c r="S772" i="8"/>
  <c r="T772" i="8"/>
  <c r="E773" i="8"/>
  <c r="F773" i="8"/>
  <c r="G773" i="8"/>
  <c r="H773" i="8"/>
  <c r="I773" i="8"/>
  <c r="J773" i="8"/>
  <c r="K773" i="8"/>
  <c r="L773" i="8"/>
  <c r="M773" i="8"/>
  <c r="N773" i="8"/>
  <c r="O773" i="8"/>
  <c r="P773" i="8"/>
  <c r="Q773" i="8"/>
  <c r="R773" i="8"/>
  <c r="S773" i="8"/>
  <c r="T773" i="8"/>
  <c r="E774" i="8"/>
  <c r="F774" i="8"/>
  <c r="G774" i="8"/>
  <c r="H774" i="8"/>
  <c r="I774" i="8"/>
  <c r="J774" i="8"/>
  <c r="K774" i="8"/>
  <c r="L774" i="8"/>
  <c r="M774" i="8"/>
  <c r="N774" i="8"/>
  <c r="O774" i="8"/>
  <c r="P774" i="8"/>
  <c r="Q774" i="8"/>
  <c r="R774" i="8"/>
  <c r="S774" i="8"/>
  <c r="T774" i="8"/>
  <c r="E775" i="8"/>
  <c r="F775" i="8"/>
  <c r="G775" i="8"/>
  <c r="H775" i="8"/>
  <c r="I775" i="8"/>
  <c r="J775" i="8"/>
  <c r="K775" i="8"/>
  <c r="L775" i="8"/>
  <c r="M775" i="8"/>
  <c r="N775" i="8"/>
  <c r="O775" i="8"/>
  <c r="P775" i="8"/>
  <c r="Q775" i="8"/>
  <c r="R775" i="8"/>
  <c r="S775" i="8"/>
  <c r="T775" i="8"/>
  <c r="E776" i="8"/>
  <c r="F776" i="8"/>
  <c r="G776" i="8"/>
  <c r="H776" i="8"/>
  <c r="I776" i="8"/>
  <c r="J776" i="8"/>
  <c r="K776" i="8"/>
  <c r="L776" i="8"/>
  <c r="M776" i="8"/>
  <c r="N776" i="8"/>
  <c r="O776" i="8"/>
  <c r="P776" i="8"/>
  <c r="Q776" i="8"/>
  <c r="R776" i="8"/>
  <c r="S776" i="8"/>
  <c r="T776" i="8"/>
  <c r="E75" i="7"/>
  <c r="F75" i="7"/>
  <c r="G75" i="7"/>
  <c r="H75" i="7"/>
  <c r="I75" i="7"/>
  <c r="J75" i="7"/>
  <c r="K75" i="7"/>
  <c r="L75" i="7"/>
  <c r="M75" i="7"/>
  <c r="N75" i="7"/>
  <c r="P75" i="7"/>
  <c r="Q75" i="7"/>
  <c r="R75" i="7"/>
  <c r="S75" i="7"/>
  <c r="U75" i="7"/>
  <c r="V75" i="7"/>
  <c r="W75" i="7"/>
  <c r="X75" i="7"/>
  <c r="Y75" i="7"/>
  <c r="Z75" i="7"/>
  <c r="AA75" i="7"/>
  <c r="AC75" i="7"/>
  <c r="AE75" i="7"/>
  <c r="AI75" i="7"/>
  <c r="AO75" i="7"/>
  <c r="AP75" i="7"/>
  <c r="E755" i="8"/>
  <c r="F755" i="8"/>
  <c r="G755" i="8"/>
  <c r="H755" i="8"/>
  <c r="I755" i="8"/>
  <c r="J755" i="8"/>
  <c r="K755" i="8"/>
  <c r="L755" i="8"/>
  <c r="M755" i="8"/>
  <c r="N755" i="8"/>
  <c r="O755" i="8"/>
  <c r="P755" i="8"/>
  <c r="Q755" i="8"/>
  <c r="R755" i="8"/>
  <c r="S755" i="8"/>
  <c r="T755" i="8"/>
  <c r="E756" i="8"/>
  <c r="F756" i="8"/>
  <c r="G756" i="8"/>
  <c r="H756" i="8"/>
  <c r="I756" i="8"/>
  <c r="J756" i="8"/>
  <c r="K756" i="8"/>
  <c r="L756" i="8"/>
  <c r="M756" i="8"/>
  <c r="N756" i="8"/>
  <c r="O756" i="8"/>
  <c r="P756" i="8"/>
  <c r="Q756" i="8"/>
  <c r="R756" i="8"/>
  <c r="S756" i="8"/>
  <c r="T756" i="8"/>
  <c r="E757" i="8"/>
  <c r="F757" i="8"/>
  <c r="G757" i="8"/>
  <c r="H757" i="8"/>
  <c r="I757" i="8"/>
  <c r="J757" i="8"/>
  <c r="K757" i="8"/>
  <c r="L757" i="8"/>
  <c r="M757" i="8"/>
  <c r="N757" i="8"/>
  <c r="O757" i="8"/>
  <c r="P757" i="8"/>
  <c r="Q757" i="8"/>
  <c r="R757" i="8"/>
  <c r="S757" i="8"/>
  <c r="T757" i="8"/>
  <c r="E758" i="8"/>
  <c r="F758" i="8"/>
  <c r="G758" i="8"/>
  <c r="H758" i="8"/>
  <c r="I758" i="8"/>
  <c r="J758" i="8"/>
  <c r="K758" i="8"/>
  <c r="L758" i="8"/>
  <c r="M758" i="8"/>
  <c r="N758" i="8"/>
  <c r="O758" i="8"/>
  <c r="P758" i="8"/>
  <c r="Q758" i="8"/>
  <c r="R758" i="8"/>
  <c r="S758" i="8"/>
  <c r="T758" i="8"/>
  <c r="E759" i="8"/>
  <c r="F759" i="8"/>
  <c r="G759" i="8"/>
  <c r="H759" i="8"/>
  <c r="I759" i="8"/>
  <c r="J759" i="8"/>
  <c r="K759" i="8"/>
  <c r="L759" i="8"/>
  <c r="M759" i="8"/>
  <c r="N759" i="8"/>
  <c r="O759" i="8"/>
  <c r="P759" i="8"/>
  <c r="Q759" i="8"/>
  <c r="R759" i="8"/>
  <c r="S759" i="8"/>
  <c r="T759" i="8"/>
  <c r="E760" i="8"/>
  <c r="F760" i="8"/>
  <c r="G760" i="8"/>
  <c r="H760" i="8"/>
  <c r="I760" i="8"/>
  <c r="J760" i="8"/>
  <c r="K760" i="8"/>
  <c r="L760" i="8"/>
  <c r="M760" i="8"/>
  <c r="N760" i="8"/>
  <c r="O760" i="8"/>
  <c r="P760" i="8"/>
  <c r="Q760" i="8"/>
  <c r="R760" i="8"/>
  <c r="S760" i="8"/>
  <c r="T760" i="8"/>
  <c r="E761" i="8"/>
  <c r="F761" i="8"/>
  <c r="G761" i="8"/>
  <c r="H761" i="8"/>
  <c r="I761" i="8"/>
  <c r="J761" i="8"/>
  <c r="K761" i="8"/>
  <c r="L761" i="8"/>
  <c r="M761" i="8"/>
  <c r="N761" i="8"/>
  <c r="O761" i="8"/>
  <c r="P761" i="8"/>
  <c r="Q761" i="8"/>
  <c r="R761" i="8"/>
  <c r="S761" i="8"/>
  <c r="T761" i="8"/>
  <c r="E762" i="8"/>
  <c r="F762" i="8"/>
  <c r="G762" i="8"/>
  <c r="H762" i="8"/>
  <c r="I762" i="8"/>
  <c r="J762" i="8"/>
  <c r="K762" i="8"/>
  <c r="L762" i="8"/>
  <c r="M762" i="8"/>
  <c r="N762" i="8"/>
  <c r="O762" i="8"/>
  <c r="P762" i="8"/>
  <c r="Q762" i="8"/>
  <c r="R762" i="8"/>
  <c r="S762" i="8"/>
  <c r="T762" i="8"/>
  <c r="E763" i="8"/>
  <c r="F763" i="8"/>
  <c r="G763" i="8"/>
  <c r="H763" i="8"/>
  <c r="I763" i="8"/>
  <c r="J763" i="8"/>
  <c r="K763" i="8"/>
  <c r="L763" i="8"/>
  <c r="M763" i="8"/>
  <c r="N763" i="8"/>
  <c r="O763" i="8"/>
  <c r="P763" i="8"/>
  <c r="Q763" i="8"/>
  <c r="R763" i="8"/>
  <c r="S763" i="8"/>
  <c r="T763" i="8"/>
  <c r="E764" i="8"/>
  <c r="F764" i="8"/>
  <c r="G764" i="8"/>
  <c r="H764" i="8"/>
  <c r="I764" i="8"/>
  <c r="J764" i="8"/>
  <c r="K764" i="8"/>
  <c r="L764" i="8"/>
  <c r="M764" i="8"/>
  <c r="N764" i="8"/>
  <c r="O764" i="8"/>
  <c r="P764" i="8"/>
  <c r="Q764" i="8"/>
  <c r="R764" i="8"/>
  <c r="S764" i="8"/>
  <c r="T764" i="8"/>
  <c r="E765" i="8"/>
  <c r="F765" i="8"/>
  <c r="G765" i="8"/>
  <c r="H765" i="8"/>
  <c r="I765" i="8"/>
  <c r="J765" i="8"/>
  <c r="K765" i="8"/>
  <c r="L765" i="8"/>
  <c r="M765" i="8"/>
  <c r="N765" i="8"/>
  <c r="O765" i="8"/>
  <c r="P765" i="8"/>
  <c r="Q765" i="8"/>
  <c r="R765" i="8"/>
  <c r="S765" i="8"/>
  <c r="T765" i="8"/>
  <c r="E74" i="7"/>
  <c r="F74" i="7"/>
  <c r="G74" i="7"/>
  <c r="H74" i="7"/>
  <c r="I74" i="7"/>
  <c r="J74" i="7"/>
  <c r="K74" i="7"/>
  <c r="L74" i="7"/>
  <c r="M74" i="7"/>
  <c r="N74" i="7"/>
  <c r="P74" i="7"/>
  <c r="Q74" i="7"/>
  <c r="R74" i="7"/>
  <c r="S74" i="7"/>
  <c r="U74" i="7"/>
  <c r="V74" i="7"/>
  <c r="W74" i="7"/>
  <c r="X74" i="7"/>
  <c r="Y74" i="7"/>
  <c r="Z74" i="7"/>
  <c r="AA74" i="7"/>
  <c r="AC74" i="7"/>
  <c r="AE74" i="7"/>
  <c r="AI74" i="7"/>
  <c r="AO74" i="7"/>
  <c r="AP74" i="7"/>
  <c r="E744" i="8"/>
  <c r="F744" i="8"/>
  <c r="G744" i="8"/>
  <c r="H744" i="8"/>
  <c r="I744" i="8"/>
  <c r="J744" i="8"/>
  <c r="K744" i="8"/>
  <c r="L744" i="8"/>
  <c r="M744" i="8"/>
  <c r="N744" i="8"/>
  <c r="O744" i="8"/>
  <c r="P744" i="8"/>
  <c r="Q744" i="8"/>
  <c r="R744" i="8"/>
  <c r="S744" i="8"/>
  <c r="T744" i="8"/>
  <c r="E745" i="8"/>
  <c r="F745" i="8"/>
  <c r="G745" i="8"/>
  <c r="H745" i="8"/>
  <c r="I745" i="8"/>
  <c r="J745" i="8"/>
  <c r="K745" i="8"/>
  <c r="L745" i="8"/>
  <c r="M745" i="8"/>
  <c r="N745" i="8"/>
  <c r="O745" i="8"/>
  <c r="P745" i="8"/>
  <c r="Q745" i="8"/>
  <c r="R745" i="8"/>
  <c r="S745" i="8"/>
  <c r="T745" i="8"/>
  <c r="E746" i="8"/>
  <c r="F746" i="8"/>
  <c r="G746" i="8"/>
  <c r="H746" i="8"/>
  <c r="I746" i="8"/>
  <c r="J746" i="8"/>
  <c r="K746" i="8"/>
  <c r="L746" i="8"/>
  <c r="M746" i="8"/>
  <c r="N746" i="8"/>
  <c r="O746" i="8"/>
  <c r="P746" i="8"/>
  <c r="Q746" i="8"/>
  <c r="R746" i="8"/>
  <c r="S746" i="8"/>
  <c r="T746" i="8"/>
  <c r="E747" i="8"/>
  <c r="F747" i="8"/>
  <c r="G747" i="8"/>
  <c r="H747" i="8"/>
  <c r="I747" i="8"/>
  <c r="J747" i="8"/>
  <c r="K747" i="8"/>
  <c r="L747" i="8"/>
  <c r="M747" i="8"/>
  <c r="N747" i="8"/>
  <c r="O747" i="8"/>
  <c r="P747" i="8"/>
  <c r="Q747" i="8"/>
  <c r="R747" i="8"/>
  <c r="S747" i="8"/>
  <c r="T747" i="8"/>
  <c r="E748" i="8"/>
  <c r="F748" i="8"/>
  <c r="G748" i="8"/>
  <c r="H748" i="8"/>
  <c r="I748" i="8"/>
  <c r="J748" i="8"/>
  <c r="K748" i="8"/>
  <c r="L748" i="8"/>
  <c r="M748" i="8"/>
  <c r="N748" i="8"/>
  <c r="O748" i="8"/>
  <c r="P748" i="8"/>
  <c r="Q748" i="8"/>
  <c r="R748" i="8"/>
  <c r="S748" i="8"/>
  <c r="T748" i="8"/>
  <c r="E749" i="8"/>
  <c r="F749" i="8"/>
  <c r="G749" i="8"/>
  <c r="H749" i="8"/>
  <c r="I749" i="8"/>
  <c r="J749" i="8"/>
  <c r="K749" i="8"/>
  <c r="L749" i="8"/>
  <c r="M749" i="8"/>
  <c r="N749" i="8"/>
  <c r="O749" i="8"/>
  <c r="P749" i="8"/>
  <c r="Q749" i="8"/>
  <c r="R749" i="8"/>
  <c r="S749" i="8"/>
  <c r="T749" i="8"/>
  <c r="E750" i="8"/>
  <c r="F750" i="8"/>
  <c r="G750" i="8"/>
  <c r="H750" i="8"/>
  <c r="I750" i="8"/>
  <c r="J750" i="8"/>
  <c r="K750" i="8"/>
  <c r="L750" i="8"/>
  <c r="M750" i="8"/>
  <c r="N750" i="8"/>
  <c r="O750" i="8"/>
  <c r="P750" i="8"/>
  <c r="Q750" i="8"/>
  <c r="R750" i="8"/>
  <c r="S750" i="8"/>
  <c r="T750" i="8"/>
  <c r="E751" i="8"/>
  <c r="F751" i="8"/>
  <c r="G751" i="8"/>
  <c r="H751" i="8"/>
  <c r="I751" i="8"/>
  <c r="J751" i="8"/>
  <c r="K751" i="8"/>
  <c r="L751" i="8"/>
  <c r="M751" i="8"/>
  <c r="N751" i="8"/>
  <c r="O751" i="8"/>
  <c r="P751" i="8"/>
  <c r="Q751" i="8"/>
  <c r="R751" i="8"/>
  <c r="S751" i="8"/>
  <c r="T751" i="8"/>
  <c r="E752" i="8"/>
  <c r="F752" i="8"/>
  <c r="G752" i="8"/>
  <c r="H752" i="8"/>
  <c r="I752" i="8"/>
  <c r="J752" i="8"/>
  <c r="K752" i="8"/>
  <c r="L752" i="8"/>
  <c r="M752" i="8"/>
  <c r="N752" i="8"/>
  <c r="O752" i="8"/>
  <c r="P752" i="8"/>
  <c r="Q752" i="8"/>
  <c r="R752" i="8"/>
  <c r="S752" i="8"/>
  <c r="T752" i="8"/>
  <c r="E753" i="8"/>
  <c r="F753" i="8"/>
  <c r="G753" i="8"/>
  <c r="H753" i="8"/>
  <c r="I753" i="8"/>
  <c r="J753" i="8"/>
  <c r="K753" i="8"/>
  <c r="L753" i="8"/>
  <c r="M753" i="8"/>
  <c r="N753" i="8"/>
  <c r="O753" i="8"/>
  <c r="P753" i="8"/>
  <c r="Q753" i="8"/>
  <c r="R753" i="8"/>
  <c r="S753" i="8"/>
  <c r="T753" i="8"/>
  <c r="E754" i="8"/>
  <c r="F754" i="8"/>
  <c r="G754" i="8"/>
  <c r="H754" i="8"/>
  <c r="I754" i="8"/>
  <c r="J754" i="8"/>
  <c r="K754" i="8"/>
  <c r="L754" i="8"/>
  <c r="M754" i="8"/>
  <c r="N754" i="8"/>
  <c r="O754" i="8"/>
  <c r="P754" i="8"/>
  <c r="Q754" i="8"/>
  <c r="R754" i="8"/>
  <c r="S754" i="8"/>
  <c r="T754" i="8"/>
  <c r="E73" i="7"/>
  <c r="F73" i="7"/>
  <c r="G73" i="7"/>
  <c r="H73" i="7"/>
  <c r="I73" i="7"/>
  <c r="J73" i="7"/>
  <c r="K73" i="7"/>
  <c r="L73" i="7"/>
  <c r="M73" i="7"/>
  <c r="N73" i="7"/>
  <c r="P73" i="7"/>
  <c r="Q73" i="7"/>
  <c r="R73" i="7"/>
  <c r="S73" i="7"/>
  <c r="U73" i="7"/>
  <c r="V73" i="7"/>
  <c r="W73" i="7"/>
  <c r="X73" i="7"/>
  <c r="Y73" i="7"/>
  <c r="Z73" i="7"/>
  <c r="AA73" i="7"/>
  <c r="AC73" i="7"/>
  <c r="AE73" i="7"/>
  <c r="AI73" i="7"/>
  <c r="AO73" i="7"/>
  <c r="AP73" i="7"/>
  <c r="L736" i="8"/>
  <c r="M736" i="8"/>
  <c r="N736" i="8"/>
  <c r="O736" i="8"/>
  <c r="P736" i="8"/>
  <c r="Q736" i="8"/>
  <c r="R736" i="8"/>
  <c r="S736" i="8"/>
  <c r="T736" i="8"/>
  <c r="E737" i="8"/>
  <c r="F737" i="8"/>
  <c r="G737" i="8"/>
  <c r="H737" i="8"/>
  <c r="I737" i="8"/>
  <c r="J737" i="8"/>
  <c r="K737" i="8"/>
  <c r="L737" i="8"/>
  <c r="M737" i="8"/>
  <c r="N737" i="8"/>
  <c r="O737" i="8"/>
  <c r="P737" i="8"/>
  <c r="Q737" i="8"/>
  <c r="R737" i="8"/>
  <c r="S737" i="8"/>
  <c r="T737" i="8"/>
  <c r="E738" i="8"/>
  <c r="F738" i="8"/>
  <c r="G738" i="8"/>
  <c r="H738" i="8"/>
  <c r="I738" i="8"/>
  <c r="J738" i="8"/>
  <c r="K738" i="8"/>
  <c r="L738" i="8"/>
  <c r="M738" i="8"/>
  <c r="N738" i="8"/>
  <c r="O738" i="8"/>
  <c r="P738" i="8"/>
  <c r="Q738" i="8"/>
  <c r="R738" i="8"/>
  <c r="S738" i="8"/>
  <c r="T738" i="8"/>
  <c r="E739" i="8"/>
  <c r="F739" i="8"/>
  <c r="G739" i="8"/>
  <c r="H739" i="8"/>
  <c r="I739" i="8"/>
  <c r="J739" i="8"/>
  <c r="K739" i="8"/>
  <c r="L739" i="8"/>
  <c r="M739" i="8"/>
  <c r="N739" i="8"/>
  <c r="O739" i="8"/>
  <c r="P739" i="8"/>
  <c r="Q739" i="8"/>
  <c r="R739" i="8"/>
  <c r="S739" i="8"/>
  <c r="T739" i="8"/>
  <c r="E740" i="8"/>
  <c r="F740" i="8"/>
  <c r="G740" i="8"/>
  <c r="H740" i="8"/>
  <c r="I740" i="8"/>
  <c r="J740" i="8"/>
  <c r="K740" i="8"/>
  <c r="L740" i="8"/>
  <c r="M740" i="8"/>
  <c r="N740" i="8"/>
  <c r="O740" i="8"/>
  <c r="P740" i="8"/>
  <c r="Q740" i="8"/>
  <c r="R740" i="8"/>
  <c r="S740" i="8"/>
  <c r="T740" i="8"/>
  <c r="E741" i="8"/>
  <c r="F741" i="8"/>
  <c r="G741" i="8"/>
  <c r="H741" i="8"/>
  <c r="I741" i="8"/>
  <c r="J741" i="8"/>
  <c r="K741" i="8"/>
  <c r="L741" i="8"/>
  <c r="M741" i="8"/>
  <c r="N741" i="8"/>
  <c r="O741" i="8"/>
  <c r="P741" i="8"/>
  <c r="Q741" i="8"/>
  <c r="R741" i="8"/>
  <c r="S741" i="8"/>
  <c r="T741" i="8"/>
  <c r="E742" i="8"/>
  <c r="F742" i="8"/>
  <c r="G742" i="8"/>
  <c r="H742" i="8"/>
  <c r="I742" i="8"/>
  <c r="J742" i="8"/>
  <c r="K742" i="8"/>
  <c r="L742" i="8"/>
  <c r="M742" i="8"/>
  <c r="N742" i="8"/>
  <c r="O742" i="8"/>
  <c r="P742" i="8"/>
  <c r="Q742" i="8"/>
  <c r="R742" i="8"/>
  <c r="S742" i="8"/>
  <c r="T742" i="8"/>
  <c r="E743" i="8"/>
  <c r="F743" i="8"/>
  <c r="G743" i="8"/>
  <c r="H743" i="8"/>
  <c r="I743" i="8"/>
  <c r="J743" i="8"/>
  <c r="K743" i="8"/>
  <c r="L743" i="8"/>
  <c r="M743" i="8"/>
  <c r="N743" i="8"/>
  <c r="O743" i="8"/>
  <c r="P743" i="8"/>
  <c r="Q743" i="8"/>
  <c r="R743" i="8"/>
  <c r="S743" i="8"/>
  <c r="T743" i="8"/>
  <c r="J734" i="8"/>
  <c r="K734" i="8"/>
  <c r="L734" i="8"/>
  <c r="M734" i="8"/>
  <c r="N734" i="8"/>
  <c r="O734" i="8"/>
  <c r="P734" i="8"/>
  <c r="Q734" i="8"/>
  <c r="R734" i="8"/>
  <c r="S734" i="8"/>
  <c r="T734" i="8"/>
  <c r="E735" i="8"/>
  <c r="F735" i="8"/>
  <c r="G735" i="8"/>
  <c r="H735" i="8"/>
  <c r="I735" i="8"/>
  <c r="J735" i="8"/>
  <c r="K735" i="8"/>
  <c r="L735" i="8"/>
  <c r="M735" i="8"/>
  <c r="N735" i="8"/>
  <c r="O735" i="8"/>
  <c r="P735" i="8"/>
  <c r="Q735" i="8"/>
  <c r="R735" i="8"/>
  <c r="S735" i="8"/>
  <c r="T735" i="8"/>
  <c r="E736" i="8"/>
  <c r="F736" i="8"/>
  <c r="G736" i="8"/>
  <c r="H736" i="8"/>
  <c r="I736" i="8"/>
  <c r="J736" i="8"/>
  <c r="K736" i="8"/>
  <c r="F733" i="8"/>
  <c r="K733" i="8"/>
  <c r="M733" i="8"/>
  <c r="P733" i="8"/>
  <c r="S733" i="8"/>
  <c r="E734" i="8"/>
  <c r="I734" i="8"/>
  <c r="G733" i="8"/>
  <c r="J733" i="8"/>
  <c r="N733" i="8"/>
  <c r="Q733" i="8"/>
  <c r="H734" i="8"/>
  <c r="I733" i="8"/>
  <c r="L733" i="8"/>
  <c r="O733" i="8"/>
  <c r="R733" i="8"/>
  <c r="T733" i="8"/>
  <c r="F734" i="8"/>
  <c r="E733" i="8"/>
  <c r="H733" i="8"/>
  <c r="G734" i="8"/>
  <c r="AC288" i="7"/>
  <c r="Z288" i="7"/>
  <c r="Y384" i="7"/>
  <c r="Z384" i="7"/>
  <c r="AC384" i="7"/>
  <c r="AI384" i="7"/>
  <c r="AO384" i="7"/>
  <c r="AP384" i="7"/>
  <c r="Y358" i="7"/>
  <c r="Z358" i="7"/>
  <c r="AC358" i="7"/>
  <c r="AI358" i="7"/>
  <c r="AO358" i="7"/>
  <c r="AP358" i="7"/>
  <c r="Y263" i="7"/>
  <c r="Z263" i="7"/>
  <c r="AC263" i="7"/>
  <c r="AI263" i="7"/>
  <c r="AO263" i="7"/>
  <c r="AP263" i="7"/>
  <c r="N168" i="7"/>
  <c r="Y168" i="7"/>
  <c r="Z168" i="7"/>
  <c r="AC168" i="7"/>
  <c r="AI168" i="7"/>
  <c r="AO168" i="7"/>
  <c r="AP168" i="7"/>
  <c r="E406" i="7"/>
  <c r="F406" i="7"/>
  <c r="G406" i="7"/>
  <c r="H406" i="7"/>
  <c r="I406" i="7"/>
  <c r="J406" i="7"/>
  <c r="K406" i="7"/>
  <c r="L406" i="7"/>
  <c r="M406" i="7"/>
  <c r="N406" i="7"/>
  <c r="P406" i="7"/>
  <c r="Q406" i="7"/>
  <c r="R406" i="7"/>
  <c r="S406" i="7"/>
  <c r="U406" i="7"/>
  <c r="V406" i="7"/>
  <c r="W406" i="7"/>
  <c r="X406" i="7"/>
  <c r="Y406" i="7"/>
  <c r="Z406" i="7"/>
  <c r="AA406" i="7"/>
  <c r="AC406" i="7"/>
  <c r="AE406" i="7"/>
  <c r="AI406" i="7"/>
  <c r="AO406" i="7"/>
  <c r="AP406" i="7"/>
  <c r="E4396" i="8"/>
  <c r="F4396" i="8"/>
  <c r="G4396" i="8"/>
  <c r="H4396" i="8"/>
  <c r="I4396" i="8"/>
  <c r="J4396" i="8"/>
  <c r="K4396" i="8"/>
  <c r="L4396" i="8"/>
  <c r="M4396" i="8"/>
  <c r="N4396" i="8"/>
  <c r="O4396" i="8"/>
  <c r="P4396" i="8"/>
  <c r="Q4396" i="8"/>
  <c r="R4396" i="8"/>
  <c r="S4396" i="8"/>
  <c r="T4396" i="8"/>
  <c r="E4397" i="8"/>
  <c r="F4397" i="8"/>
  <c r="G4397" i="8"/>
  <c r="H4397" i="8"/>
  <c r="I4397" i="8"/>
  <c r="J4397" i="8"/>
  <c r="K4397" i="8"/>
  <c r="L4397" i="8"/>
  <c r="M4397" i="8"/>
  <c r="N4397" i="8"/>
  <c r="O4397" i="8"/>
  <c r="P4397" i="8"/>
  <c r="Q4397" i="8"/>
  <c r="R4397" i="8"/>
  <c r="S4397" i="8"/>
  <c r="T4397" i="8"/>
  <c r="E4398" i="8"/>
  <c r="F4398" i="8"/>
  <c r="G4398" i="8"/>
  <c r="H4398" i="8"/>
  <c r="I4398" i="8"/>
  <c r="J4398" i="8"/>
  <c r="K4398" i="8"/>
  <c r="L4398" i="8"/>
  <c r="M4398" i="8"/>
  <c r="N4398" i="8"/>
  <c r="O4398" i="8"/>
  <c r="P4398" i="8"/>
  <c r="Q4398" i="8"/>
  <c r="R4398" i="8"/>
  <c r="S4398" i="8"/>
  <c r="T4398" i="8"/>
  <c r="E4399" i="8"/>
  <c r="F4399" i="8"/>
  <c r="G4399" i="8"/>
  <c r="H4399" i="8"/>
  <c r="I4399" i="8"/>
  <c r="J4399" i="8"/>
  <c r="K4399" i="8"/>
  <c r="L4399" i="8"/>
  <c r="M4399" i="8"/>
  <c r="N4399" i="8"/>
  <c r="O4399" i="8"/>
  <c r="P4399" i="8"/>
  <c r="Q4399" i="8"/>
  <c r="R4399" i="8"/>
  <c r="S4399" i="8"/>
  <c r="T4399" i="8"/>
  <c r="E4400" i="8"/>
  <c r="F4400" i="8"/>
  <c r="G4400" i="8"/>
  <c r="H4400" i="8"/>
  <c r="I4400" i="8"/>
  <c r="J4400" i="8"/>
  <c r="K4400" i="8"/>
  <c r="L4400" i="8"/>
  <c r="M4400" i="8"/>
  <c r="N4400" i="8"/>
  <c r="O4400" i="8"/>
  <c r="P4400" i="8"/>
  <c r="Q4400" i="8"/>
  <c r="R4400" i="8"/>
  <c r="S4400" i="8"/>
  <c r="T4400" i="8"/>
  <c r="E4401" i="8"/>
  <c r="F4401" i="8"/>
  <c r="G4401" i="8"/>
  <c r="H4401" i="8"/>
  <c r="I4401" i="8"/>
  <c r="J4401" i="8"/>
  <c r="K4401" i="8"/>
  <c r="L4401" i="8"/>
  <c r="M4401" i="8"/>
  <c r="N4401" i="8"/>
  <c r="O4401" i="8"/>
  <c r="P4401" i="8"/>
  <c r="Q4401" i="8"/>
  <c r="R4401" i="8"/>
  <c r="S4401" i="8"/>
  <c r="T4401" i="8"/>
  <c r="E4402" i="8"/>
  <c r="F4402" i="8"/>
  <c r="G4402" i="8"/>
  <c r="H4402" i="8"/>
  <c r="I4402" i="8"/>
  <c r="J4402" i="8"/>
  <c r="K4402" i="8"/>
  <c r="L4402" i="8"/>
  <c r="M4402" i="8"/>
  <c r="N4402" i="8"/>
  <c r="O4402" i="8"/>
  <c r="P4402" i="8"/>
  <c r="Q4402" i="8"/>
  <c r="R4402" i="8"/>
  <c r="S4402" i="8"/>
  <c r="T4402" i="8"/>
  <c r="E4403" i="8"/>
  <c r="F4403" i="8"/>
  <c r="G4403" i="8"/>
  <c r="H4403" i="8"/>
  <c r="I4403" i="8"/>
  <c r="J4403" i="8"/>
  <c r="K4403" i="8"/>
  <c r="L4403" i="8"/>
  <c r="M4403" i="8"/>
  <c r="N4403" i="8"/>
  <c r="O4403" i="8"/>
  <c r="P4403" i="8"/>
  <c r="Q4403" i="8"/>
  <c r="R4403" i="8"/>
  <c r="S4403" i="8"/>
  <c r="T4403" i="8"/>
  <c r="E4404" i="8"/>
  <c r="F4404" i="8"/>
  <c r="G4404" i="8"/>
  <c r="H4404" i="8"/>
  <c r="I4404" i="8"/>
  <c r="J4404" i="8"/>
  <c r="K4404" i="8"/>
  <c r="L4404" i="8"/>
  <c r="M4404" i="8"/>
  <c r="N4404" i="8"/>
  <c r="O4404" i="8"/>
  <c r="P4404" i="8"/>
  <c r="Q4404" i="8"/>
  <c r="R4404" i="8"/>
  <c r="S4404" i="8"/>
  <c r="T4404" i="8"/>
  <c r="E4405" i="8"/>
  <c r="F4405" i="8"/>
  <c r="G4405" i="8"/>
  <c r="H4405" i="8"/>
  <c r="I4405" i="8"/>
  <c r="J4405" i="8"/>
  <c r="K4405" i="8"/>
  <c r="L4405" i="8"/>
  <c r="M4405" i="8"/>
  <c r="N4405" i="8"/>
  <c r="O4405" i="8"/>
  <c r="P4405" i="8"/>
  <c r="Q4405" i="8"/>
  <c r="R4405" i="8"/>
  <c r="S4405" i="8"/>
  <c r="T4405" i="8"/>
  <c r="E4406" i="8"/>
  <c r="F4406" i="8"/>
  <c r="G4406" i="8"/>
  <c r="H4406" i="8"/>
  <c r="I4406" i="8"/>
  <c r="J4406" i="8"/>
  <c r="K4406" i="8"/>
  <c r="L4406" i="8"/>
  <c r="M4406" i="8"/>
  <c r="N4406" i="8"/>
  <c r="O4406" i="8"/>
  <c r="P4406" i="8"/>
  <c r="Q4406" i="8"/>
  <c r="R4406" i="8"/>
  <c r="S4406" i="8"/>
  <c r="T4406" i="8"/>
  <c r="E405" i="7"/>
  <c r="F405" i="7"/>
  <c r="G405" i="7"/>
  <c r="H405" i="7"/>
  <c r="I405" i="7"/>
  <c r="J405" i="7"/>
  <c r="K405" i="7"/>
  <c r="L405" i="7"/>
  <c r="M405" i="7"/>
  <c r="N405" i="7"/>
  <c r="P405" i="7"/>
  <c r="Q405" i="7"/>
  <c r="R405" i="7"/>
  <c r="S405" i="7"/>
  <c r="U405" i="7"/>
  <c r="V405" i="7"/>
  <c r="W405" i="7"/>
  <c r="X405" i="7"/>
  <c r="Y405" i="7"/>
  <c r="Z405" i="7"/>
  <c r="AA405" i="7"/>
  <c r="AC405" i="7"/>
  <c r="AE405" i="7"/>
  <c r="AI405" i="7"/>
  <c r="AO405" i="7"/>
  <c r="AP405" i="7"/>
  <c r="E4385" i="8"/>
  <c r="F4385" i="8"/>
  <c r="G4385" i="8"/>
  <c r="H4385" i="8"/>
  <c r="I4385" i="8"/>
  <c r="J4385" i="8"/>
  <c r="K4385" i="8"/>
  <c r="L4385" i="8"/>
  <c r="M4385" i="8"/>
  <c r="N4385" i="8"/>
  <c r="O4385" i="8"/>
  <c r="P4385" i="8"/>
  <c r="Q4385" i="8"/>
  <c r="R4385" i="8"/>
  <c r="S4385" i="8"/>
  <c r="T4385" i="8"/>
  <c r="E4386" i="8"/>
  <c r="F4386" i="8"/>
  <c r="G4386" i="8"/>
  <c r="H4386" i="8"/>
  <c r="I4386" i="8"/>
  <c r="J4386" i="8"/>
  <c r="K4386" i="8"/>
  <c r="L4386" i="8"/>
  <c r="M4386" i="8"/>
  <c r="N4386" i="8"/>
  <c r="O4386" i="8"/>
  <c r="P4386" i="8"/>
  <c r="Q4386" i="8"/>
  <c r="R4386" i="8"/>
  <c r="S4386" i="8"/>
  <c r="T4386" i="8"/>
  <c r="E4387" i="8"/>
  <c r="F4387" i="8"/>
  <c r="G4387" i="8"/>
  <c r="H4387" i="8"/>
  <c r="I4387" i="8"/>
  <c r="J4387" i="8"/>
  <c r="K4387" i="8"/>
  <c r="L4387" i="8"/>
  <c r="M4387" i="8"/>
  <c r="N4387" i="8"/>
  <c r="O4387" i="8"/>
  <c r="P4387" i="8"/>
  <c r="Q4387" i="8"/>
  <c r="R4387" i="8"/>
  <c r="S4387" i="8"/>
  <c r="T4387" i="8"/>
  <c r="E4388" i="8"/>
  <c r="F4388" i="8"/>
  <c r="G4388" i="8"/>
  <c r="H4388" i="8"/>
  <c r="I4388" i="8"/>
  <c r="J4388" i="8"/>
  <c r="K4388" i="8"/>
  <c r="L4388" i="8"/>
  <c r="M4388" i="8"/>
  <c r="N4388" i="8"/>
  <c r="O4388" i="8"/>
  <c r="P4388" i="8"/>
  <c r="Q4388" i="8"/>
  <c r="R4388" i="8"/>
  <c r="S4388" i="8"/>
  <c r="T4388" i="8"/>
  <c r="E4389" i="8"/>
  <c r="F4389" i="8"/>
  <c r="G4389" i="8"/>
  <c r="H4389" i="8"/>
  <c r="I4389" i="8"/>
  <c r="J4389" i="8"/>
  <c r="K4389" i="8"/>
  <c r="L4389" i="8"/>
  <c r="M4389" i="8"/>
  <c r="N4389" i="8"/>
  <c r="O4389" i="8"/>
  <c r="P4389" i="8"/>
  <c r="Q4389" i="8"/>
  <c r="R4389" i="8"/>
  <c r="S4389" i="8"/>
  <c r="T4389" i="8"/>
  <c r="E4390" i="8"/>
  <c r="F4390" i="8"/>
  <c r="G4390" i="8"/>
  <c r="H4390" i="8"/>
  <c r="I4390" i="8"/>
  <c r="J4390" i="8"/>
  <c r="K4390" i="8"/>
  <c r="L4390" i="8"/>
  <c r="M4390" i="8"/>
  <c r="N4390" i="8"/>
  <c r="O4390" i="8"/>
  <c r="P4390" i="8"/>
  <c r="Q4390" i="8"/>
  <c r="R4390" i="8"/>
  <c r="S4390" i="8"/>
  <c r="T4390" i="8"/>
  <c r="E4391" i="8"/>
  <c r="F4391" i="8"/>
  <c r="G4391" i="8"/>
  <c r="H4391" i="8"/>
  <c r="I4391" i="8"/>
  <c r="J4391" i="8"/>
  <c r="K4391" i="8"/>
  <c r="L4391" i="8"/>
  <c r="M4391" i="8"/>
  <c r="N4391" i="8"/>
  <c r="O4391" i="8"/>
  <c r="P4391" i="8"/>
  <c r="Q4391" i="8"/>
  <c r="R4391" i="8"/>
  <c r="S4391" i="8"/>
  <c r="T4391" i="8"/>
  <c r="E4392" i="8"/>
  <c r="F4392" i="8"/>
  <c r="G4392" i="8"/>
  <c r="H4392" i="8"/>
  <c r="I4392" i="8"/>
  <c r="J4392" i="8"/>
  <c r="K4392" i="8"/>
  <c r="L4392" i="8"/>
  <c r="M4392" i="8"/>
  <c r="N4392" i="8"/>
  <c r="O4392" i="8"/>
  <c r="P4392" i="8"/>
  <c r="Q4392" i="8"/>
  <c r="R4392" i="8"/>
  <c r="S4392" i="8"/>
  <c r="T4392" i="8"/>
  <c r="E4393" i="8"/>
  <c r="F4393" i="8"/>
  <c r="G4393" i="8"/>
  <c r="H4393" i="8"/>
  <c r="I4393" i="8"/>
  <c r="J4393" i="8"/>
  <c r="K4393" i="8"/>
  <c r="L4393" i="8"/>
  <c r="M4393" i="8"/>
  <c r="N4393" i="8"/>
  <c r="O4393" i="8"/>
  <c r="P4393" i="8"/>
  <c r="Q4393" i="8"/>
  <c r="R4393" i="8"/>
  <c r="S4393" i="8"/>
  <c r="T4393" i="8"/>
  <c r="E4394" i="8"/>
  <c r="F4394" i="8"/>
  <c r="G4394" i="8"/>
  <c r="H4394" i="8"/>
  <c r="I4394" i="8"/>
  <c r="J4394" i="8"/>
  <c r="K4394" i="8"/>
  <c r="L4394" i="8"/>
  <c r="M4394" i="8"/>
  <c r="N4394" i="8"/>
  <c r="O4394" i="8"/>
  <c r="P4394" i="8"/>
  <c r="Q4394" i="8"/>
  <c r="R4394" i="8"/>
  <c r="S4394" i="8"/>
  <c r="T4394" i="8"/>
  <c r="E4395" i="8"/>
  <c r="F4395" i="8"/>
  <c r="G4395" i="8"/>
  <c r="H4395" i="8"/>
  <c r="I4395" i="8"/>
  <c r="J4395" i="8"/>
  <c r="K4395" i="8"/>
  <c r="L4395" i="8"/>
  <c r="M4395" i="8"/>
  <c r="N4395" i="8"/>
  <c r="O4395" i="8"/>
  <c r="P4395" i="8"/>
  <c r="Q4395" i="8"/>
  <c r="R4395" i="8"/>
  <c r="S4395" i="8"/>
  <c r="T4395" i="8"/>
  <c r="E404" i="7"/>
  <c r="F404" i="7"/>
  <c r="G404" i="7"/>
  <c r="H404" i="7"/>
  <c r="I404" i="7"/>
  <c r="J404" i="7"/>
  <c r="K404" i="7"/>
  <c r="L404" i="7"/>
  <c r="M404" i="7"/>
  <c r="N404" i="7"/>
  <c r="P404" i="7"/>
  <c r="Q404" i="7"/>
  <c r="R404" i="7"/>
  <c r="S404" i="7"/>
  <c r="U404" i="7"/>
  <c r="V404" i="7"/>
  <c r="W404" i="7"/>
  <c r="X404" i="7"/>
  <c r="Y404" i="7"/>
  <c r="Z404" i="7"/>
  <c r="AA404" i="7"/>
  <c r="AC404" i="7"/>
  <c r="AE404" i="7"/>
  <c r="AI404" i="7"/>
  <c r="AO404" i="7"/>
  <c r="AP404" i="7"/>
  <c r="E4374" i="8"/>
  <c r="F4374" i="8"/>
  <c r="G4374" i="8"/>
  <c r="H4374" i="8"/>
  <c r="I4374" i="8"/>
  <c r="J4374" i="8"/>
  <c r="K4374" i="8"/>
  <c r="L4374" i="8"/>
  <c r="M4374" i="8"/>
  <c r="N4374" i="8"/>
  <c r="O4374" i="8"/>
  <c r="P4374" i="8"/>
  <c r="Q4374" i="8"/>
  <c r="R4374" i="8"/>
  <c r="S4374" i="8"/>
  <c r="T4374" i="8"/>
  <c r="E4375" i="8"/>
  <c r="F4375" i="8"/>
  <c r="G4375" i="8"/>
  <c r="H4375" i="8"/>
  <c r="I4375" i="8"/>
  <c r="J4375" i="8"/>
  <c r="K4375" i="8"/>
  <c r="L4375" i="8"/>
  <c r="M4375" i="8"/>
  <c r="N4375" i="8"/>
  <c r="O4375" i="8"/>
  <c r="P4375" i="8"/>
  <c r="Q4375" i="8"/>
  <c r="R4375" i="8"/>
  <c r="S4375" i="8"/>
  <c r="T4375" i="8"/>
  <c r="E4376" i="8"/>
  <c r="F4376" i="8"/>
  <c r="G4376" i="8"/>
  <c r="H4376" i="8"/>
  <c r="I4376" i="8"/>
  <c r="J4376" i="8"/>
  <c r="K4376" i="8"/>
  <c r="L4376" i="8"/>
  <c r="M4376" i="8"/>
  <c r="N4376" i="8"/>
  <c r="O4376" i="8"/>
  <c r="P4376" i="8"/>
  <c r="Q4376" i="8"/>
  <c r="R4376" i="8"/>
  <c r="S4376" i="8"/>
  <c r="T4376" i="8"/>
  <c r="E4377" i="8"/>
  <c r="F4377" i="8"/>
  <c r="G4377" i="8"/>
  <c r="H4377" i="8"/>
  <c r="I4377" i="8"/>
  <c r="J4377" i="8"/>
  <c r="K4377" i="8"/>
  <c r="L4377" i="8"/>
  <c r="M4377" i="8"/>
  <c r="N4377" i="8"/>
  <c r="O4377" i="8"/>
  <c r="P4377" i="8"/>
  <c r="Q4377" i="8"/>
  <c r="R4377" i="8"/>
  <c r="S4377" i="8"/>
  <c r="T4377" i="8"/>
  <c r="E4378" i="8"/>
  <c r="F4378" i="8"/>
  <c r="G4378" i="8"/>
  <c r="H4378" i="8"/>
  <c r="I4378" i="8"/>
  <c r="J4378" i="8"/>
  <c r="K4378" i="8"/>
  <c r="L4378" i="8"/>
  <c r="M4378" i="8"/>
  <c r="N4378" i="8"/>
  <c r="O4378" i="8"/>
  <c r="P4378" i="8"/>
  <c r="Q4378" i="8"/>
  <c r="R4378" i="8"/>
  <c r="S4378" i="8"/>
  <c r="T4378" i="8"/>
  <c r="E4379" i="8"/>
  <c r="F4379" i="8"/>
  <c r="G4379" i="8"/>
  <c r="H4379" i="8"/>
  <c r="I4379" i="8"/>
  <c r="J4379" i="8"/>
  <c r="K4379" i="8"/>
  <c r="L4379" i="8"/>
  <c r="M4379" i="8"/>
  <c r="N4379" i="8"/>
  <c r="O4379" i="8"/>
  <c r="P4379" i="8"/>
  <c r="Q4379" i="8"/>
  <c r="R4379" i="8"/>
  <c r="S4379" i="8"/>
  <c r="T4379" i="8"/>
  <c r="E4380" i="8"/>
  <c r="F4380" i="8"/>
  <c r="G4380" i="8"/>
  <c r="H4380" i="8"/>
  <c r="I4380" i="8"/>
  <c r="J4380" i="8"/>
  <c r="K4380" i="8"/>
  <c r="L4380" i="8"/>
  <c r="M4380" i="8"/>
  <c r="N4380" i="8"/>
  <c r="O4380" i="8"/>
  <c r="P4380" i="8"/>
  <c r="Q4380" i="8"/>
  <c r="R4380" i="8"/>
  <c r="S4380" i="8"/>
  <c r="T4380" i="8"/>
  <c r="E4381" i="8"/>
  <c r="F4381" i="8"/>
  <c r="G4381" i="8"/>
  <c r="H4381" i="8"/>
  <c r="I4381" i="8"/>
  <c r="J4381" i="8"/>
  <c r="K4381" i="8"/>
  <c r="L4381" i="8"/>
  <c r="M4381" i="8"/>
  <c r="N4381" i="8"/>
  <c r="O4381" i="8"/>
  <c r="P4381" i="8"/>
  <c r="Q4381" i="8"/>
  <c r="R4381" i="8"/>
  <c r="S4381" i="8"/>
  <c r="T4381" i="8"/>
  <c r="E4382" i="8"/>
  <c r="F4382" i="8"/>
  <c r="G4382" i="8"/>
  <c r="H4382" i="8"/>
  <c r="I4382" i="8"/>
  <c r="J4382" i="8"/>
  <c r="K4382" i="8"/>
  <c r="L4382" i="8"/>
  <c r="M4382" i="8"/>
  <c r="N4382" i="8"/>
  <c r="O4382" i="8"/>
  <c r="P4382" i="8"/>
  <c r="Q4382" i="8"/>
  <c r="R4382" i="8"/>
  <c r="S4382" i="8"/>
  <c r="T4382" i="8"/>
  <c r="E4383" i="8"/>
  <c r="F4383" i="8"/>
  <c r="G4383" i="8"/>
  <c r="H4383" i="8"/>
  <c r="I4383" i="8"/>
  <c r="J4383" i="8"/>
  <c r="K4383" i="8"/>
  <c r="L4383" i="8"/>
  <c r="M4383" i="8"/>
  <c r="N4383" i="8"/>
  <c r="O4383" i="8"/>
  <c r="P4383" i="8"/>
  <c r="Q4383" i="8"/>
  <c r="R4383" i="8"/>
  <c r="S4383" i="8"/>
  <c r="T4383" i="8"/>
  <c r="E4384" i="8"/>
  <c r="F4384" i="8"/>
  <c r="G4384" i="8"/>
  <c r="H4384" i="8"/>
  <c r="I4384" i="8"/>
  <c r="J4384" i="8"/>
  <c r="K4384" i="8"/>
  <c r="L4384" i="8"/>
  <c r="M4384" i="8"/>
  <c r="N4384" i="8"/>
  <c r="O4384" i="8"/>
  <c r="P4384" i="8"/>
  <c r="Q4384" i="8"/>
  <c r="R4384" i="8"/>
  <c r="S4384" i="8"/>
  <c r="T4384" i="8"/>
  <c r="E403" i="7"/>
  <c r="F403" i="7"/>
  <c r="G403" i="7"/>
  <c r="H403" i="7"/>
  <c r="I403" i="7"/>
  <c r="J403" i="7"/>
  <c r="K403" i="7"/>
  <c r="L403" i="7"/>
  <c r="M403" i="7"/>
  <c r="N403" i="7"/>
  <c r="P403" i="7"/>
  <c r="Q403" i="7"/>
  <c r="R403" i="7"/>
  <c r="S403" i="7"/>
  <c r="U403" i="7"/>
  <c r="V403" i="7"/>
  <c r="W403" i="7"/>
  <c r="X403" i="7"/>
  <c r="Y403" i="7"/>
  <c r="Z403" i="7"/>
  <c r="AA403" i="7"/>
  <c r="AC403" i="7"/>
  <c r="AE403" i="7"/>
  <c r="AI403" i="7"/>
  <c r="AO403" i="7"/>
  <c r="AP403" i="7"/>
  <c r="E4363" i="8"/>
  <c r="F4363" i="8"/>
  <c r="G4363" i="8"/>
  <c r="H4363" i="8"/>
  <c r="I4363" i="8"/>
  <c r="J4363" i="8"/>
  <c r="K4363" i="8"/>
  <c r="L4363" i="8"/>
  <c r="M4363" i="8"/>
  <c r="N4363" i="8"/>
  <c r="O4363" i="8"/>
  <c r="P4363" i="8"/>
  <c r="Q4363" i="8"/>
  <c r="R4363" i="8"/>
  <c r="S4363" i="8"/>
  <c r="T4363" i="8"/>
  <c r="E4364" i="8"/>
  <c r="F4364" i="8"/>
  <c r="G4364" i="8"/>
  <c r="H4364" i="8"/>
  <c r="I4364" i="8"/>
  <c r="J4364" i="8"/>
  <c r="K4364" i="8"/>
  <c r="L4364" i="8"/>
  <c r="M4364" i="8"/>
  <c r="N4364" i="8"/>
  <c r="O4364" i="8"/>
  <c r="P4364" i="8"/>
  <c r="Q4364" i="8"/>
  <c r="R4364" i="8"/>
  <c r="S4364" i="8"/>
  <c r="T4364" i="8"/>
  <c r="E4365" i="8"/>
  <c r="F4365" i="8"/>
  <c r="G4365" i="8"/>
  <c r="H4365" i="8"/>
  <c r="I4365" i="8"/>
  <c r="J4365" i="8"/>
  <c r="K4365" i="8"/>
  <c r="L4365" i="8"/>
  <c r="M4365" i="8"/>
  <c r="N4365" i="8"/>
  <c r="O4365" i="8"/>
  <c r="P4365" i="8"/>
  <c r="Q4365" i="8"/>
  <c r="R4365" i="8"/>
  <c r="S4365" i="8"/>
  <c r="T4365" i="8"/>
  <c r="E4366" i="8"/>
  <c r="F4366" i="8"/>
  <c r="G4366" i="8"/>
  <c r="H4366" i="8"/>
  <c r="I4366" i="8"/>
  <c r="J4366" i="8"/>
  <c r="K4366" i="8"/>
  <c r="L4366" i="8"/>
  <c r="M4366" i="8"/>
  <c r="N4366" i="8"/>
  <c r="O4366" i="8"/>
  <c r="P4366" i="8"/>
  <c r="Q4366" i="8"/>
  <c r="R4366" i="8"/>
  <c r="S4366" i="8"/>
  <c r="T4366" i="8"/>
  <c r="E4367" i="8"/>
  <c r="F4367" i="8"/>
  <c r="G4367" i="8"/>
  <c r="H4367" i="8"/>
  <c r="I4367" i="8"/>
  <c r="J4367" i="8"/>
  <c r="K4367" i="8"/>
  <c r="L4367" i="8"/>
  <c r="M4367" i="8"/>
  <c r="N4367" i="8"/>
  <c r="O4367" i="8"/>
  <c r="P4367" i="8"/>
  <c r="Q4367" i="8"/>
  <c r="R4367" i="8"/>
  <c r="S4367" i="8"/>
  <c r="T4367" i="8"/>
  <c r="E4368" i="8"/>
  <c r="F4368" i="8"/>
  <c r="G4368" i="8"/>
  <c r="H4368" i="8"/>
  <c r="I4368" i="8"/>
  <c r="J4368" i="8"/>
  <c r="K4368" i="8"/>
  <c r="L4368" i="8"/>
  <c r="M4368" i="8"/>
  <c r="N4368" i="8"/>
  <c r="O4368" i="8"/>
  <c r="P4368" i="8"/>
  <c r="Q4368" i="8"/>
  <c r="R4368" i="8"/>
  <c r="S4368" i="8"/>
  <c r="T4368" i="8"/>
  <c r="E4369" i="8"/>
  <c r="F4369" i="8"/>
  <c r="G4369" i="8"/>
  <c r="H4369" i="8"/>
  <c r="I4369" i="8"/>
  <c r="J4369" i="8"/>
  <c r="K4369" i="8"/>
  <c r="L4369" i="8"/>
  <c r="M4369" i="8"/>
  <c r="N4369" i="8"/>
  <c r="O4369" i="8"/>
  <c r="P4369" i="8"/>
  <c r="Q4369" i="8"/>
  <c r="R4369" i="8"/>
  <c r="S4369" i="8"/>
  <c r="T4369" i="8"/>
  <c r="E4370" i="8"/>
  <c r="F4370" i="8"/>
  <c r="G4370" i="8"/>
  <c r="H4370" i="8"/>
  <c r="I4370" i="8"/>
  <c r="J4370" i="8"/>
  <c r="K4370" i="8"/>
  <c r="L4370" i="8"/>
  <c r="M4370" i="8"/>
  <c r="N4370" i="8"/>
  <c r="O4370" i="8"/>
  <c r="P4370" i="8"/>
  <c r="Q4370" i="8"/>
  <c r="R4370" i="8"/>
  <c r="S4370" i="8"/>
  <c r="T4370" i="8"/>
  <c r="E4371" i="8"/>
  <c r="F4371" i="8"/>
  <c r="G4371" i="8"/>
  <c r="H4371" i="8"/>
  <c r="I4371" i="8"/>
  <c r="J4371" i="8"/>
  <c r="K4371" i="8"/>
  <c r="L4371" i="8"/>
  <c r="M4371" i="8"/>
  <c r="N4371" i="8"/>
  <c r="O4371" i="8"/>
  <c r="P4371" i="8"/>
  <c r="Q4371" i="8"/>
  <c r="R4371" i="8"/>
  <c r="S4371" i="8"/>
  <c r="T4371" i="8"/>
  <c r="E4372" i="8"/>
  <c r="F4372" i="8"/>
  <c r="G4372" i="8"/>
  <c r="H4372" i="8"/>
  <c r="I4372" i="8"/>
  <c r="J4372" i="8"/>
  <c r="K4372" i="8"/>
  <c r="L4372" i="8"/>
  <c r="M4372" i="8"/>
  <c r="N4372" i="8"/>
  <c r="O4372" i="8"/>
  <c r="P4372" i="8"/>
  <c r="Q4372" i="8"/>
  <c r="R4372" i="8"/>
  <c r="S4372" i="8"/>
  <c r="T4372" i="8"/>
  <c r="E4373" i="8"/>
  <c r="F4373" i="8"/>
  <c r="G4373" i="8"/>
  <c r="H4373" i="8"/>
  <c r="I4373" i="8"/>
  <c r="J4373" i="8"/>
  <c r="K4373" i="8"/>
  <c r="L4373" i="8"/>
  <c r="M4373" i="8"/>
  <c r="N4373" i="8"/>
  <c r="O4373" i="8"/>
  <c r="P4373" i="8"/>
  <c r="Q4373" i="8"/>
  <c r="R4373" i="8"/>
  <c r="S4373" i="8"/>
  <c r="T4373" i="8"/>
  <c r="E402" i="7"/>
  <c r="F402" i="7"/>
  <c r="G402" i="7"/>
  <c r="H402" i="7"/>
  <c r="I402" i="7"/>
  <c r="J402" i="7"/>
  <c r="K402" i="7"/>
  <c r="L402" i="7"/>
  <c r="M402" i="7"/>
  <c r="N402" i="7"/>
  <c r="P402" i="7"/>
  <c r="Q402" i="7"/>
  <c r="R402" i="7"/>
  <c r="S402" i="7"/>
  <c r="U402" i="7"/>
  <c r="V402" i="7"/>
  <c r="W402" i="7"/>
  <c r="X402" i="7"/>
  <c r="Y402" i="7"/>
  <c r="Z402" i="7"/>
  <c r="AA402" i="7"/>
  <c r="AC402" i="7"/>
  <c r="AE402" i="7"/>
  <c r="AI402" i="7"/>
  <c r="AO402" i="7"/>
  <c r="AP402" i="7"/>
  <c r="E4352" i="8"/>
  <c r="F4352" i="8"/>
  <c r="G4352" i="8"/>
  <c r="H4352" i="8"/>
  <c r="I4352" i="8"/>
  <c r="J4352" i="8"/>
  <c r="K4352" i="8"/>
  <c r="L4352" i="8"/>
  <c r="M4352" i="8"/>
  <c r="N4352" i="8"/>
  <c r="O4352" i="8"/>
  <c r="P4352" i="8"/>
  <c r="Q4352" i="8"/>
  <c r="R4352" i="8"/>
  <c r="S4352" i="8"/>
  <c r="T4352" i="8"/>
  <c r="E4353" i="8"/>
  <c r="F4353" i="8"/>
  <c r="G4353" i="8"/>
  <c r="H4353" i="8"/>
  <c r="I4353" i="8"/>
  <c r="J4353" i="8"/>
  <c r="K4353" i="8"/>
  <c r="L4353" i="8"/>
  <c r="M4353" i="8"/>
  <c r="N4353" i="8"/>
  <c r="O4353" i="8"/>
  <c r="P4353" i="8"/>
  <c r="Q4353" i="8"/>
  <c r="R4353" i="8"/>
  <c r="S4353" i="8"/>
  <c r="T4353" i="8"/>
  <c r="E4354" i="8"/>
  <c r="F4354" i="8"/>
  <c r="G4354" i="8"/>
  <c r="H4354" i="8"/>
  <c r="I4354" i="8"/>
  <c r="J4354" i="8"/>
  <c r="K4354" i="8"/>
  <c r="L4354" i="8"/>
  <c r="M4354" i="8"/>
  <c r="N4354" i="8"/>
  <c r="O4354" i="8"/>
  <c r="P4354" i="8"/>
  <c r="Q4354" i="8"/>
  <c r="R4354" i="8"/>
  <c r="S4354" i="8"/>
  <c r="T4354" i="8"/>
  <c r="E4355" i="8"/>
  <c r="F4355" i="8"/>
  <c r="G4355" i="8"/>
  <c r="H4355" i="8"/>
  <c r="I4355" i="8"/>
  <c r="J4355" i="8"/>
  <c r="K4355" i="8"/>
  <c r="L4355" i="8"/>
  <c r="M4355" i="8"/>
  <c r="N4355" i="8"/>
  <c r="O4355" i="8"/>
  <c r="P4355" i="8"/>
  <c r="Q4355" i="8"/>
  <c r="R4355" i="8"/>
  <c r="S4355" i="8"/>
  <c r="T4355" i="8"/>
  <c r="E4356" i="8"/>
  <c r="F4356" i="8"/>
  <c r="G4356" i="8"/>
  <c r="H4356" i="8"/>
  <c r="I4356" i="8"/>
  <c r="J4356" i="8"/>
  <c r="K4356" i="8"/>
  <c r="L4356" i="8"/>
  <c r="M4356" i="8"/>
  <c r="N4356" i="8"/>
  <c r="O4356" i="8"/>
  <c r="P4356" i="8"/>
  <c r="Q4356" i="8"/>
  <c r="R4356" i="8"/>
  <c r="S4356" i="8"/>
  <c r="T4356" i="8"/>
  <c r="E4357" i="8"/>
  <c r="F4357" i="8"/>
  <c r="G4357" i="8"/>
  <c r="H4357" i="8"/>
  <c r="I4357" i="8"/>
  <c r="J4357" i="8"/>
  <c r="K4357" i="8"/>
  <c r="L4357" i="8"/>
  <c r="M4357" i="8"/>
  <c r="N4357" i="8"/>
  <c r="O4357" i="8"/>
  <c r="P4357" i="8"/>
  <c r="Q4357" i="8"/>
  <c r="R4357" i="8"/>
  <c r="S4357" i="8"/>
  <c r="T4357" i="8"/>
  <c r="E4358" i="8"/>
  <c r="F4358" i="8"/>
  <c r="G4358" i="8"/>
  <c r="H4358" i="8"/>
  <c r="I4358" i="8"/>
  <c r="J4358" i="8"/>
  <c r="K4358" i="8"/>
  <c r="L4358" i="8"/>
  <c r="M4358" i="8"/>
  <c r="N4358" i="8"/>
  <c r="O4358" i="8"/>
  <c r="P4358" i="8"/>
  <c r="Q4358" i="8"/>
  <c r="R4358" i="8"/>
  <c r="S4358" i="8"/>
  <c r="T4358" i="8"/>
  <c r="E4359" i="8"/>
  <c r="F4359" i="8"/>
  <c r="G4359" i="8"/>
  <c r="H4359" i="8"/>
  <c r="I4359" i="8"/>
  <c r="J4359" i="8"/>
  <c r="K4359" i="8"/>
  <c r="L4359" i="8"/>
  <c r="M4359" i="8"/>
  <c r="N4359" i="8"/>
  <c r="O4359" i="8"/>
  <c r="P4359" i="8"/>
  <c r="Q4359" i="8"/>
  <c r="R4359" i="8"/>
  <c r="S4359" i="8"/>
  <c r="T4359" i="8"/>
  <c r="E4360" i="8"/>
  <c r="F4360" i="8"/>
  <c r="G4360" i="8"/>
  <c r="H4360" i="8"/>
  <c r="I4360" i="8"/>
  <c r="J4360" i="8"/>
  <c r="K4360" i="8"/>
  <c r="L4360" i="8"/>
  <c r="M4360" i="8"/>
  <c r="N4360" i="8"/>
  <c r="O4360" i="8"/>
  <c r="P4360" i="8"/>
  <c r="Q4360" i="8"/>
  <c r="R4360" i="8"/>
  <c r="S4360" i="8"/>
  <c r="T4360" i="8"/>
  <c r="E4361" i="8"/>
  <c r="F4361" i="8"/>
  <c r="G4361" i="8"/>
  <c r="H4361" i="8"/>
  <c r="I4361" i="8"/>
  <c r="J4361" i="8"/>
  <c r="K4361" i="8"/>
  <c r="L4361" i="8"/>
  <c r="M4361" i="8"/>
  <c r="N4361" i="8"/>
  <c r="O4361" i="8"/>
  <c r="P4361" i="8"/>
  <c r="Q4361" i="8"/>
  <c r="R4361" i="8"/>
  <c r="S4361" i="8"/>
  <c r="T4361" i="8"/>
  <c r="E4362" i="8"/>
  <c r="F4362" i="8"/>
  <c r="G4362" i="8"/>
  <c r="H4362" i="8"/>
  <c r="I4362" i="8"/>
  <c r="J4362" i="8"/>
  <c r="K4362" i="8"/>
  <c r="L4362" i="8"/>
  <c r="M4362" i="8"/>
  <c r="N4362" i="8"/>
  <c r="O4362" i="8"/>
  <c r="P4362" i="8"/>
  <c r="Q4362" i="8"/>
  <c r="R4362" i="8"/>
  <c r="S4362" i="8"/>
  <c r="T4362" i="8"/>
  <c r="E401" i="7"/>
  <c r="F401" i="7"/>
  <c r="G401" i="7"/>
  <c r="H401" i="7"/>
  <c r="I401" i="7"/>
  <c r="J401" i="7"/>
  <c r="K401" i="7"/>
  <c r="L401" i="7"/>
  <c r="M401" i="7"/>
  <c r="N401" i="7"/>
  <c r="P401" i="7"/>
  <c r="Q401" i="7"/>
  <c r="R401" i="7"/>
  <c r="S401" i="7"/>
  <c r="U401" i="7"/>
  <c r="V401" i="7"/>
  <c r="W401" i="7"/>
  <c r="X401" i="7"/>
  <c r="Y401" i="7"/>
  <c r="Z401" i="7"/>
  <c r="AA401" i="7"/>
  <c r="AC401" i="7"/>
  <c r="AE401" i="7"/>
  <c r="AI401" i="7"/>
  <c r="AO401" i="7"/>
  <c r="AP401" i="7"/>
  <c r="E4341" i="8"/>
  <c r="F4341" i="8"/>
  <c r="G4341" i="8"/>
  <c r="H4341" i="8"/>
  <c r="I4341" i="8"/>
  <c r="J4341" i="8"/>
  <c r="K4341" i="8"/>
  <c r="L4341" i="8"/>
  <c r="M4341" i="8"/>
  <c r="N4341" i="8"/>
  <c r="O4341" i="8"/>
  <c r="P4341" i="8"/>
  <c r="Q4341" i="8"/>
  <c r="R4341" i="8"/>
  <c r="S4341" i="8"/>
  <c r="T4341" i="8"/>
  <c r="E4342" i="8"/>
  <c r="F4342" i="8"/>
  <c r="G4342" i="8"/>
  <c r="H4342" i="8"/>
  <c r="I4342" i="8"/>
  <c r="J4342" i="8"/>
  <c r="K4342" i="8"/>
  <c r="L4342" i="8"/>
  <c r="M4342" i="8"/>
  <c r="N4342" i="8"/>
  <c r="O4342" i="8"/>
  <c r="P4342" i="8"/>
  <c r="Q4342" i="8"/>
  <c r="R4342" i="8"/>
  <c r="S4342" i="8"/>
  <c r="T4342" i="8"/>
  <c r="E4343" i="8"/>
  <c r="F4343" i="8"/>
  <c r="G4343" i="8"/>
  <c r="H4343" i="8"/>
  <c r="I4343" i="8"/>
  <c r="J4343" i="8"/>
  <c r="K4343" i="8"/>
  <c r="L4343" i="8"/>
  <c r="M4343" i="8"/>
  <c r="N4343" i="8"/>
  <c r="O4343" i="8"/>
  <c r="P4343" i="8"/>
  <c r="Q4343" i="8"/>
  <c r="R4343" i="8"/>
  <c r="S4343" i="8"/>
  <c r="T4343" i="8"/>
  <c r="E4344" i="8"/>
  <c r="F4344" i="8"/>
  <c r="G4344" i="8"/>
  <c r="H4344" i="8"/>
  <c r="I4344" i="8"/>
  <c r="J4344" i="8"/>
  <c r="K4344" i="8"/>
  <c r="L4344" i="8"/>
  <c r="M4344" i="8"/>
  <c r="N4344" i="8"/>
  <c r="O4344" i="8"/>
  <c r="P4344" i="8"/>
  <c r="Q4344" i="8"/>
  <c r="R4344" i="8"/>
  <c r="S4344" i="8"/>
  <c r="T4344" i="8"/>
  <c r="E4345" i="8"/>
  <c r="F4345" i="8"/>
  <c r="G4345" i="8"/>
  <c r="H4345" i="8"/>
  <c r="I4345" i="8"/>
  <c r="J4345" i="8"/>
  <c r="K4345" i="8"/>
  <c r="L4345" i="8"/>
  <c r="M4345" i="8"/>
  <c r="N4345" i="8"/>
  <c r="O4345" i="8"/>
  <c r="P4345" i="8"/>
  <c r="Q4345" i="8"/>
  <c r="R4345" i="8"/>
  <c r="S4345" i="8"/>
  <c r="T4345" i="8"/>
  <c r="E4346" i="8"/>
  <c r="F4346" i="8"/>
  <c r="G4346" i="8"/>
  <c r="H4346" i="8"/>
  <c r="I4346" i="8"/>
  <c r="J4346" i="8"/>
  <c r="K4346" i="8"/>
  <c r="L4346" i="8"/>
  <c r="M4346" i="8"/>
  <c r="N4346" i="8"/>
  <c r="O4346" i="8"/>
  <c r="P4346" i="8"/>
  <c r="Q4346" i="8"/>
  <c r="R4346" i="8"/>
  <c r="S4346" i="8"/>
  <c r="T4346" i="8"/>
  <c r="E4347" i="8"/>
  <c r="F4347" i="8"/>
  <c r="G4347" i="8"/>
  <c r="H4347" i="8"/>
  <c r="I4347" i="8"/>
  <c r="J4347" i="8"/>
  <c r="K4347" i="8"/>
  <c r="L4347" i="8"/>
  <c r="M4347" i="8"/>
  <c r="N4347" i="8"/>
  <c r="O4347" i="8"/>
  <c r="P4347" i="8"/>
  <c r="Q4347" i="8"/>
  <c r="R4347" i="8"/>
  <c r="S4347" i="8"/>
  <c r="T4347" i="8"/>
  <c r="E4348" i="8"/>
  <c r="F4348" i="8"/>
  <c r="G4348" i="8"/>
  <c r="H4348" i="8"/>
  <c r="I4348" i="8"/>
  <c r="J4348" i="8"/>
  <c r="K4348" i="8"/>
  <c r="L4348" i="8"/>
  <c r="M4348" i="8"/>
  <c r="N4348" i="8"/>
  <c r="O4348" i="8"/>
  <c r="P4348" i="8"/>
  <c r="Q4348" i="8"/>
  <c r="R4348" i="8"/>
  <c r="S4348" i="8"/>
  <c r="T4348" i="8"/>
  <c r="E4349" i="8"/>
  <c r="F4349" i="8"/>
  <c r="G4349" i="8"/>
  <c r="H4349" i="8"/>
  <c r="I4349" i="8"/>
  <c r="J4349" i="8"/>
  <c r="K4349" i="8"/>
  <c r="L4349" i="8"/>
  <c r="M4349" i="8"/>
  <c r="N4349" i="8"/>
  <c r="O4349" i="8"/>
  <c r="P4349" i="8"/>
  <c r="Q4349" i="8"/>
  <c r="R4349" i="8"/>
  <c r="S4349" i="8"/>
  <c r="T4349" i="8"/>
  <c r="E4350" i="8"/>
  <c r="F4350" i="8"/>
  <c r="G4350" i="8"/>
  <c r="H4350" i="8"/>
  <c r="I4350" i="8"/>
  <c r="J4350" i="8"/>
  <c r="K4350" i="8"/>
  <c r="L4350" i="8"/>
  <c r="M4350" i="8"/>
  <c r="N4350" i="8"/>
  <c r="O4350" i="8"/>
  <c r="P4350" i="8"/>
  <c r="Q4350" i="8"/>
  <c r="R4350" i="8"/>
  <c r="S4350" i="8"/>
  <c r="T4350" i="8"/>
  <c r="E4351" i="8"/>
  <c r="F4351" i="8"/>
  <c r="G4351" i="8"/>
  <c r="H4351" i="8"/>
  <c r="I4351" i="8"/>
  <c r="J4351" i="8"/>
  <c r="K4351" i="8"/>
  <c r="L4351" i="8"/>
  <c r="M4351" i="8"/>
  <c r="N4351" i="8"/>
  <c r="O4351" i="8"/>
  <c r="P4351" i="8"/>
  <c r="Q4351" i="8"/>
  <c r="R4351" i="8"/>
  <c r="S4351" i="8"/>
  <c r="T4351" i="8"/>
  <c r="E400" i="7"/>
  <c r="F400" i="7"/>
  <c r="G400" i="7"/>
  <c r="H400" i="7"/>
  <c r="I400" i="7"/>
  <c r="J400" i="7"/>
  <c r="K400" i="7"/>
  <c r="L400" i="7"/>
  <c r="M400" i="7"/>
  <c r="N400" i="7"/>
  <c r="P400" i="7"/>
  <c r="Q400" i="7"/>
  <c r="R400" i="7"/>
  <c r="S400" i="7"/>
  <c r="U400" i="7"/>
  <c r="V400" i="7"/>
  <c r="W400" i="7"/>
  <c r="X400" i="7"/>
  <c r="Y400" i="7"/>
  <c r="Z400" i="7"/>
  <c r="AA400" i="7"/>
  <c r="AC400" i="7"/>
  <c r="AE400" i="7"/>
  <c r="AI400" i="7"/>
  <c r="AO400" i="7"/>
  <c r="AP400" i="7"/>
  <c r="E4330" i="8"/>
  <c r="F4330" i="8"/>
  <c r="G4330" i="8"/>
  <c r="H4330" i="8"/>
  <c r="I4330" i="8"/>
  <c r="J4330" i="8"/>
  <c r="K4330" i="8"/>
  <c r="L4330" i="8"/>
  <c r="M4330" i="8"/>
  <c r="N4330" i="8"/>
  <c r="O4330" i="8"/>
  <c r="P4330" i="8"/>
  <c r="Q4330" i="8"/>
  <c r="R4330" i="8"/>
  <c r="S4330" i="8"/>
  <c r="T4330" i="8"/>
  <c r="E4331" i="8"/>
  <c r="F4331" i="8"/>
  <c r="G4331" i="8"/>
  <c r="H4331" i="8"/>
  <c r="I4331" i="8"/>
  <c r="J4331" i="8"/>
  <c r="K4331" i="8"/>
  <c r="L4331" i="8"/>
  <c r="M4331" i="8"/>
  <c r="N4331" i="8"/>
  <c r="O4331" i="8"/>
  <c r="P4331" i="8"/>
  <c r="Q4331" i="8"/>
  <c r="R4331" i="8"/>
  <c r="S4331" i="8"/>
  <c r="T4331" i="8"/>
  <c r="E4332" i="8"/>
  <c r="F4332" i="8"/>
  <c r="G4332" i="8"/>
  <c r="H4332" i="8"/>
  <c r="I4332" i="8"/>
  <c r="J4332" i="8"/>
  <c r="K4332" i="8"/>
  <c r="L4332" i="8"/>
  <c r="M4332" i="8"/>
  <c r="N4332" i="8"/>
  <c r="O4332" i="8"/>
  <c r="P4332" i="8"/>
  <c r="Q4332" i="8"/>
  <c r="R4332" i="8"/>
  <c r="S4332" i="8"/>
  <c r="T4332" i="8"/>
  <c r="E4333" i="8"/>
  <c r="F4333" i="8"/>
  <c r="G4333" i="8"/>
  <c r="H4333" i="8"/>
  <c r="I4333" i="8"/>
  <c r="J4333" i="8"/>
  <c r="K4333" i="8"/>
  <c r="L4333" i="8"/>
  <c r="M4333" i="8"/>
  <c r="N4333" i="8"/>
  <c r="O4333" i="8"/>
  <c r="P4333" i="8"/>
  <c r="Q4333" i="8"/>
  <c r="R4333" i="8"/>
  <c r="S4333" i="8"/>
  <c r="T4333" i="8"/>
  <c r="E4334" i="8"/>
  <c r="F4334" i="8"/>
  <c r="G4334" i="8"/>
  <c r="H4334" i="8"/>
  <c r="I4334" i="8"/>
  <c r="J4334" i="8"/>
  <c r="K4334" i="8"/>
  <c r="L4334" i="8"/>
  <c r="M4334" i="8"/>
  <c r="N4334" i="8"/>
  <c r="O4334" i="8"/>
  <c r="P4334" i="8"/>
  <c r="Q4334" i="8"/>
  <c r="R4334" i="8"/>
  <c r="S4334" i="8"/>
  <c r="T4334" i="8"/>
  <c r="E4335" i="8"/>
  <c r="F4335" i="8"/>
  <c r="G4335" i="8"/>
  <c r="H4335" i="8"/>
  <c r="I4335" i="8"/>
  <c r="J4335" i="8"/>
  <c r="K4335" i="8"/>
  <c r="L4335" i="8"/>
  <c r="M4335" i="8"/>
  <c r="N4335" i="8"/>
  <c r="O4335" i="8"/>
  <c r="P4335" i="8"/>
  <c r="Q4335" i="8"/>
  <c r="R4335" i="8"/>
  <c r="S4335" i="8"/>
  <c r="T4335" i="8"/>
  <c r="E4336" i="8"/>
  <c r="F4336" i="8"/>
  <c r="G4336" i="8"/>
  <c r="H4336" i="8"/>
  <c r="I4336" i="8"/>
  <c r="J4336" i="8"/>
  <c r="K4336" i="8"/>
  <c r="L4336" i="8"/>
  <c r="M4336" i="8"/>
  <c r="N4336" i="8"/>
  <c r="O4336" i="8"/>
  <c r="P4336" i="8"/>
  <c r="Q4336" i="8"/>
  <c r="R4336" i="8"/>
  <c r="S4336" i="8"/>
  <c r="T4336" i="8"/>
  <c r="E4337" i="8"/>
  <c r="F4337" i="8"/>
  <c r="G4337" i="8"/>
  <c r="H4337" i="8"/>
  <c r="I4337" i="8"/>
  <c r="J4337" i="8"/>
  <c r="K4337" i="8"/>
  <c r="L4337" i="8"/>
  <c r="M4337" i="8"/>
  <c r="N4337" i="8"/>
  <c r="O4337" i="8"/>
  <c r="P4337" i="8"/>
  <c r="Q4337" i="8"/>
  <c r="R4337" i="8"/>
  <c r="S4337" i="8"/>
  <c r="T4337" i="8"/>
  <c r="E4338" i="8"/>
  <c r="F4338" i="8"/>
  <c r="G4338" i="8"/>
  <c r="H4338" i="8"/>
  <c r="I4338" i="8"/>
  <c r="J4338" i="8"/>
  <c r="K4338" i="8"/>
  <c r="L4338" i="8"/>
  <c r="M4338" i="8"/>
  <c r="N4338" i="8"/>
  <c r="O4338" i="8"/>
  <c r="P4338" i="8"/>
  <c r="Q4338" i="8"/>
  <c r="R4338" i="8"/>
  <c r="S4338" i="8"/>
  <c r="T4338" i="8"/>
  <c r="E4339" i="8"/>
  <c r="F4339" i="8"/>
  <c r="G4339" i="8"/>
  <c r="H4339" i="8"/>
  <c r="I4339" i="8"/>
  <c r="J4339" i="8"/>
  <c r="K4339" i="8"/>
  <c r="L4339" i="8"/>
  <c r="M4339" i="8"/>
  <c r="N4339" i="8"/>
  <c r="O4339" i="8"/>
  <c r="P4339" i="8"/>
  <c r="Q4339" i="8"/>
  <c r="R4339" i="8"/>
  <c r="S4339" i="8"/>
  <c r="T4339" i="8"/>
  <c r="E4340" i="8"/>
  <c r="F4340" i="8"/>
  <c r="G4340" i="8"/>
  <c r="H4340" i="8"/>
  <c r="I4340" i="8"/>
  <c r="J4340" i="8"/>
  <c r="K4340" i="8"/>
  <c r="L4340" i="8"/>
  <c r="M4340" i="8"/>
  <c r="N4340" i="8"/>
  <c r="O4340" i="8"/>
  <c r="P4340" i="8"/>
  <c r="Q4340" i="8"/>
  <c r="R4340" i="8"/>
  <c r="S4340" i="8"/>
  <c r="T4340" i="8"/>
  <c r="E399" i="7"/>
  <c r="F399" i="7"/>
  <c r="G399" i="7"/>
  <c r="H399" i="7"/>
  <c r="I399" i="7"/>
  <c r="J399" i="7"/>
  <c r="K399" i="7"/>
  <c r="L399" i="7"/>
  <c r="M399" i="7"/>
  <c r="N399" i="7"/>
  <c r="P399" i="7"/>
  <c r="Q399" i="7"/>
  <c r="R399" i="7"/>
  <c r="S399" i="7"/>
  <c r="U399" i="7"/>
  <c r="V399" i="7"/>
  <c r="W399" i="7"/>
  <c r="X399" i="7"/>
  <c r="Y399" i="7"/>
  <c r="Z399" i="7"/>
  <c r="AA399" i="7"/>
  <c r="AC399" i="7"/>
  <c r="AE399" i="7"/>
  <c r="AI399" i="7"/>
  <c r="AO399" i="7"/>
  <c r="AP399" i="7"/>
  <c r="E4319" i="8"/>
  <c r="F4319" i="8"/>
  <c r="G4319" i="8"/>
  <c r="H4319" i="8"/>
  <c r="I4319" i="8"/>
  <c r="J4319" i="8"/>
  <c r="K4319" i="8"/>
  <c r="L4319" i="8"/>
  <c r="M4319" i="8"/>
  <c r="N4319" i="8"/>
  <c r="O4319" i="8"/>
  <c r="P4319" i="8"/>
  <c r="Q4319" i="8"/>
  <c r="R4319" i="8"/>
  <c r="S4319" i="8"/>
  <c r="T4319" i="8"/>
  <c r="E4320" i="8"/>
  <c r="F4320" i="8"/>
  <c r="G4320" i="8"/>
  <c r="H4320" i="8"/>
  <c r="I4320" i="8"/>
  <c r="J4320" i="8"/>
  <c r="K4320" i="8"/>
  <c r="L4320" i="8"/>
  <c r="M4320" i="8"/>
  <c r="N4320" i="8"/>
  <c r="O4320" i="8"/>
  <c r="P4320" i="8"/>
  <c r="Q4320" i="8"/>
  <c r="R4320" i="8"/>
  <c r="S4320" i="8"/>
  <c r="T4320" i="8"/>
  <c r="E4321" i="8"/>
  <c r="F4321" i="8"/>
  <c r="G4321" i="8"/>
  <c r="H4321" i="8"/>
  <c r="I4321" i="8"/>
  <c r="J4321" i="8"/>
  <c r="K4321" i="8"/>
  <c r="L4321" i="8"/>
  <c r="M4321" i="8"/>
  <c r="N4321" i="8"/>
  <c r="O4321" i="8"/>
  <c r="P4321" i="8"/>
  <c r="Q4321" i="8"/>
  <c r="R4321" i="8"/>
  <c r="S4321" i="8"/>
  <c r="T4321" i="8"/>
  <c r="E4322" i="8"/>
  <c r="F4322" i="8"/>
  <c r="G4322" i="8"/>
  <c r="H4322" i="8"/>
  <c r="I4322" i="8"/>
  <c r="J4322" i="8"/>
  <c r="K4322" i="8"/>
  <c r="L4322" i="8"/>
  <c r="M4322" i="8"/>
  <c r="N4322" i="8"/>
  <c r="O4322" i="8"/>
  <c r="P4322" i="8"/>
  <c r="Q4322" i="8"/>
  <c r="R4322" i="8"/>
  <c r="S4322" i="8"/>
  <c r="T4322" i="8"/>
  <c r="E4323" i="8"/>
  <c r="F4323" i="8"/>
  <c r="G4323" i="8"/>
  <c r="H4323" i="8"/>
  <c r="I4323" i="8"/>
  <c r="J4323" i="8"/>
  <c r="K4323" i="8"/>
  <c r="L4323" i="8"/>
  <c r="M4323" i="8"/>
  <c r="N4323" i="8"/>
  <c r="O4323" i="8"/>
  <c r="P4323" i="8"/>
  <c r="Q4323" i="8"/>
  <c r="R4323" i="8"/>
  <c r="S4323" i="8"/>
  <c r="T4323" i="8"/>
  <c r="E4324" i="8"/>
  <c r="F4324" i="8"/>
  <c r="G4324" i="8"/>
  <c r="H4324" i="8"/>
  <c r="I4324" i="8"/>
  <c r="J4324" i="8"/>
  <c r="K4324" i="8"/>
  <c r="L4324" i="8"/>
  <c r="M4324" i="8"/>
  <c r="N4324" i="8"/>
  <c r="O4324" i="8"/>
  <c r="P4324" i="8"/>
  <c r="Q4324" i="8"/>
  <c r="R4324" i="8"/>
  <c r="S4324" i="8"/>
  <c r="T4324" i="8"/>
  <c r="E4325" i="8"/>
  <c r="F4325" i="8"/>
  <c r="G4325" i="8"/>
  <c r="H4325" i="8"/>
  <c r="I4325" i="8"/>
  <c r="J4325" i="8"/>
  <c r="K4325" i="8"/>
  <c r="L4325" i="8"/>
  <c r="M4325" i="8"/>
  <c r="N4325" i="8"/>
  <c r="O4325" i="8"/>
  <c r="P4325" i="8"/>
  <c r="Q4325" i="8"/>
  <c r="R4325" i="8"/>
  <c r="S4325" i="8"/>
  <c r="T4325" i="8"/>
  <c r="E4326" i="8"/>
  <c r="F4326" i="8"/>
  <c r="G4326" i="8"/>
  <c r="H4326" i="8"/>
  <c r="I4326" i="8"/>
  <c r="J4326" i="8"/>
  <c r="K4326" i="8"/>
  <c r="L4326" i="8"/>
  <c r="M4326" i="8"/>
  <c r="N4326" i="8"/>
  <c r="O4326" i="8"/>
  <c r="P4326" i="8"/>
  <c r="Q4326" i="8"/>
  <c r="R4326" i="8"/>
  <c r="S4326" i="8"/>
  <c r="T4326" i="8"/>
  <c r="E4327" i="8"/>
  <c r="F4327" i="8"/>
  <c r="G4327" i="8"/>
  <c r="H4327" i="8"/>
  <c r="I4327" i="8"/>
  <c r="J4327" i="8"/>
  <c r="K4327" i="8"/>
  <c r="L4327" i="8"/>
  <c r="M4327" i="8"/>
  <c r="N4327" i="8"/>
  <c r="O4327" i="8"/>
  <c r="P4327" i="8"/>
  <c r="Q4327" i="8"/>
  <c r="R4327" i="8"/>
  <c r="S4327" i="8"/>
  <c r="T4327" i="8"/>
  <c r="E4328" i="8"/>
  <c r="F4328" i="8"/>
  <c r="G4328" i="8"/>
  <c r="H4328" i="8"/>
  <c r="I4328" i="8"/>
  <c r="J4328" i="8"/>
  <c r="K4328" i="8"/>
  <c r="L4328" i="8"/>
  <c r="M4328" i="8"/>
  <c r="N4328" i="8"/>
  <c r="O4328" i="8"/>
  <c r="P4328" i="8"/>
  <c r="Q4328" i="8"/>
  <c r="R4328" i="8"/>
  <c r="S4328" i="8"/>
  <c r="T4328" i="8"/>
  <c r="E4329" i="8"/>
  <c r="F4329" i="8"/>
  <c r="G4329" i="8"/>
  <c r="H4329" i="8"/>
  <c r="I4329" i="8"/>
  <c r="J4329" i="8"/>
  <c r="K4329" i="8"/>
  <c r="L4329" i="8"/>
  <c r="M4329" i="8"/>
  <c r="N4329" i="8"/>
  <c r="O4329" i="8"/>
  <c r="P4329" i="8"/>
  <c r="Q4329" i="8"/>
  <c r="R4329" i="8"/>
  <c r="S4329" i="8"/>
  <c r="T4329" i="8"/>
  <c r="O398" i="7"/>
  <c r="AK398" i="7"/>
  <c r="O397" i="7"/>
  <c r="AK397" i="7"/>
  <c r="O396" i="7"/>
  <c r="AK396" i="7"/>
  <c r="O395" i="7"/>
  <c r="AK395" i="7"/>
  <c r="O394" i="7"/>
  <c r="AK394" i="7"/>
  <c r="O393" i="7"/>
  <c r="AK393" i="7"/>
  <c r="O392" i="7"/>
  <c r="AK392" i="7"/>
  <c r="O391" i="7"/>
  <c r="AK391" i="7"/>
  <c r="O390" i="7"/>
  <c r="AK390" i="7"/>
  <c r="O389" i="7"/>
  <c r="AK389" i="7"/>
  <c r="O388" i="7"/>
  <c r="AK388" i="7"/>
  <c r="O387" i="7"/>
  <c r="AK387" i="7"/>
  <c r="O386" i="7"/>
  <c r="AK386" i="7"/>
  <c r="O385" i="7"/>
  <c r="AK385" i="7"/>
  <c r="O384" i="7"/>
  <c r="AK384" i="7"/>
  <c r="O383" i="7"/>
  <c r="AK383" i="7"/>
  <c r="O382" i="7"/>
  <c r="AK382" i="7"/>
  <c r="O381" i="7"/>
  <c r="AK381" i="7"/>
  <c r="O380" i="7"/>
  <c r="AK380" i="7"/>
  <c r="O379" i="7"/>
  <c r="AK379" i="7"/>
  <c r="O378" i="7"/>
  <c r="AK378" i="7"/>
  <c r="O377" i="7"/>
  <c r="AK377" i="7"/>
  <c r="E376" i="7"/>
  <c r="F376" i="7"/>
  <c r="G376" i="7"/>
  <c r="H376" i="7"/>
  <c r="I376" i="7"/>
  <c r="J376" i="7"/>
  <c r="K376" i="7"/>
  <c r="L376" i="7"/>
  <c r="M376" i="7"/>
  <c r="N376" i="7"/>
  <c r="P376" i="7"/>
  <c r="Q376" i="7"/>
  <c r="R376" i="7"/>
  <c r="S376" i="7"/>
  <c r="U376" i="7"/>
  <c r="V376" i="7"/>
  <c r="W376" i="7"/>
  <c r="X376" i="7"/>
  <c r="Y376" i="7"/>
  <c r="Z376" i="7"/>
  <c r="AA376" i="7"/>
  <c r="AC376" i="7"/>
  <c r="AE376" i="7"/>
  <c r="AI376" i="7"/>
  <c r="AO376" i="7"/>
  <c r="AP376" i="7"/>
  <c r="E4076" i="8"/>
  <c r="I4075" i="8"/>
  <c r="P4075" i="8"/>
  <c r="R4075" i="8"/>
  <c r="I4076" i="8"/>
  <c r="N4076" i="8"/>
  <c r="S4076" i="8"/>
  <c r="M4075" i="8"/>
  <c r="L4076" i="8"/>
  <c r="Q4076" i="8"/>
  <c r="T4075" i="8"/>
  <c r="H4076" i="8"/>
  <c r="O4075" i="8"/>
  <c r="S4075" i="8"/>
  <c r="J4076" i="8"/>
  <c r="O4076" i="8"/>
  <c r="G4075" i="8"/>
  <c r="N4075" i="8"/>
  <c r="Q4075" i="8"/>
  <c r="F4076" i="8"/>
  <c r="K4076" i="8"/>
  <c r="R4076" i="8"/>
  <c r="E4066" i="8"/>
  <c r="F4066" i="8"/>
  <c r="G4066" i="8"/>
  <c r="H4066" i="8"/>
  <c r="I4066" i="8"/>
  <c r="J4066" i="8"/>
  <c r="K4066" i="8"/>
  <c r="L4066" i="8"/>
  <c r="M4066" i="8"/>
  <c r="N4066" i="8"/>
  <c r="O4066" i="8"/>
  <c r="P4066" i="8"/>
  <c r="Q4066" i="8"/>
  <c r="R4066" i="8"/>
  <c r="S4066" i="8"/>
  <c r="T4066" i="8"/>
  <c r="E4067" i="8"/>
  <c r="F4067" i="8"/>
  <c r="G4067" i="8"/>
  <c r="H4067" i="8"/>
  <c r="I4067" i="8"/>
  <c r="J4067" i="8"/>
  <c r="K4067" i="8"/>
  <c r="L4067" i="8"/>
  <c r="M4067" i="8"/>
  <c r="N4067" i="8"/>
  <c r="O4067" i="8"/>
  <c r="P4067" i="8"/>
  <c r="Q4067" i="8"/>
  <c r="R4067" i="8"/>
  <c r="S4067" i="8"/>
  <c r="T4067" i="8"/>
  <c r="E4068" i="8"/>
  <c r="F4068" i="8"/>
  <c r="G4068" i="8"/>
  <c r="H4068" i="8"/>
  <c r="I4068" i="8"/>
  <c r="J4068" i="8"/>
  <c r="K4068" i="8"/>
  <c r="L4068" i="8"/>
  <c r="M4068" i="8"/>
  <c r="N4068" i="8"/>
  <c r="O4068" i="8"/>
  <c r="P4068" i="8"/>
  <c r="Q4068" i="8"/>
  <c r="R4068" i="8"/>
  <c r="S4068" i="8"/>
  <c r="T4068" i="8"/>
  <c r="E4069" i="8"/>
  <c r="F4069" i="8"/>
  <c r="G4069" i="8"/>
  <c r="H4069" i="8"/>
  <c r="I4069" i="8"/>
  <c r="J4069" i="8"/>
  <c r="K4069" i="8"/>
  <c r="L4069" i="8"/>
  <c r="M4069" i="8"/>
  <c r="N4069" i="8"/>
  <c r="O4069" i="8"/>
  <c r="P4069" i="8"/>
  <c r="Q4069" i="8"/>
  <c r="R4069" i="8"/>
  <c r="S4069" i="8"/>
  <c r="T4069" i="8"/>
  <c r="E4070" i="8"/>
  <c r="F4070" i="8"/>
  <c r="G4070" i="8"/>
  <c r="H4070" i="8"/>
  <c r="I4070" i="8"/>
  <c r="J4070" i="8"/>
  <c r="K4070" i="8"/>
  <c r="L4070" i="8"/>
  <c r="M4070" i="8"/>
  <c r="N4070" i="8"/>
  <c r="O4070" i="8"/>
  <c r="P4070" i="8"/>
  <c r="Q4070" i="8"/>
  <c r="R4070" i="8"/>
  <c r="S4070" i="8"/>
  <c r="T4070" i="8"/>
  <c r="E4071" i="8"/>
  <c r="F4071" i="8"/>
  <c r="G4071" i="8"/>
  <c r="H4071" i="8"/>
  <c r="I4071" i="8"/>
  <c r="J4071" i="8"/>
  <c r="K4071" i="8"/>
  <c r="L4071" i="8"/>
  <c r="M4071" i="8"/>
  <c r="N4071" i="8"/>
  <c r="O4071" i="8"/>
  <c r="P4071" i="8"/>
  <c r="Q4071" i="8"/>
  <c r="R4071" i="8"/>
  <c r="S4071" i="8"/>
  <c r="T4071" i="8"/>
  <c r="E4072" i="8"/>
  <c r="F4072" i="8"/>
  <c r="G4072" i="8"/>
  <c r="H4072" i="8"/>
  <c r="I4072" i="8"/>
  <c r="J4072" i="8"/>
  <c r="K4072" i="8"/>
  <c r="L4072" i="8"/>
  <c r="M4072" i="8"/>
  <c r="N4072" i="8"/>
  <c r="O4072" i="8"/>
  <c r="P4072" i="8"/>
  <c r="Q4072" i="8"/>
  <c r="R4072" i="8"/>
  <c r="S4072" i="8"/>
  <c r="T4072" i="8"/>
  <c r="E4073" i="8"/>
  <c r="F4073" i="8"/>
  <c r="G4073" i="8"/>
  <c r="H4073" i="8"/>
  <c r="I4073" i="8"/>
  <c r="J4073" i="8"/>
  <c r="K4073" i="8"/>
  <c r="L4073" i="8"/>
  <c r="M4073" i="8"/>
  <c r="N4073" i="8"/>
  <c r="O4073" i="8"/>
  <c r="P4073" i="8"/>
  <c r="Q4073" i="8"/>
  <c r="R4073" i="8"/>
  <c r="S4073" i="8"/>
  <c r="T4073" i="8"/>
  <c r="E4074" i="8"/>
  <c r="F4074" i="8"/>
  <c r="G4074" i="8"/>
  <c r="H4074" i="8"/>
  <c r="I4074" i="8"/>
  <c r="J4074" i="8"/>
  <c r="K4074" i="8"/>
  <c r="L4074" i="8"/>
  <c r="M4074" i="8"/>
  <c r="N4074" i="8"/>
  <c r="O4074" i="8"/>
  <c r="P4074" i="8"/>
  <c r="Q4074" i="8"/>
  <c r="R4074" i="8"/>
  <c r="S4074" i="8"/>
  <c r="T4074" i="8"/>
  <c r="E4075" i="8"/>
  <c r="F4075" i="8"/>
  <c r="M4076" i="8"/>
  <c r="T4076" i="8"/>
  <c r="K4075" i="8"/>
  <c r="H4075" i="8"/>
  <c r="L4075" i="8"/>
  <c r="G4076" i="8"/>
  <c r="P4076" i="8"/>
  <c r="J4075" i="8"/>
  <c r="E375" i="7"/>
  <c r="F375" i="7"/>
  <c r="G375" i="7"/>
  <c r="H375" i="7"/>
  <c r="I375" i="7"/>
  <c r="J375" i="7"/>
  <c r="K375" i="7"/>
  <c r="L375" i="7"/>
  <c r="M375" i="7"/>
  <c r="N375" i="7"/>
  <c r="P375" i="7"/>
  <c r="Q375" i="7"/>
  <c r="R375" i="7"/>
  <c r="S375" i="7"/>
  <c r="U375" i="7"/>
  <c r="V375" i="7"/>
  <c r="W375" i="7"/>
  <c r="X375" i="7"/>
  <c r="Y375" i="7"/>
  <c r="Z375" i="7"/>
  <c r="AA375" i="7"/>
  <c r="AC375" i="7"/>
  <c r="AE375" i="7"/>
  <c r="AI375" i="7"/>
  <c r="AO375" i="7"/>
  <c r="AP375" i="7"/>
  <c r="E4055" i="8"/>
  <c r="F4055" i="8"/>
  <c r="G4055" i="8"/>
  <c r="H4055" i="8"/>
  <c r="I4055" i="8"/>
  <c r="J4055" i="8"/>
  <c r="K4055" i="8"/>
  <c r="L4055" i="8"/>
  <c r="M4055" i="8"/>
  <c r="N4055" i="8"/>
  <c r="O4055" i="8"/>
  <c r="P4055" i="8"/>
  <c r="Q4055" i="8"/>
  <c r="R4055" i="8"/>
  <c r="S4055" i="8"/>
  <c r="T4055" i="8"/>
  <c r="E4056" i="8"/>
  <c r="F4056" i="8"/>
  <c r="G4056" i="8"/>
  <c r="H4056" i="8"/>
  <c r="I4056" i="8"/>
  <c r="J4056" i="8"/>
  <c r="K4056" i="8"/>
  <c r="L4056" i="8"/>
  <c r="M4056" i="8"/>
  <c r="N4056" i="8"/>
  <c r="O4056" i="8"/>
  <c r="P4056" i="8"/>
  <c r="Q4056" i="8"/>
  <c r="R4056" i="8"/>
  <c r="S4056" i="8"/>
  <c r="T4056" i="8"/>
  <c r="E4057" i="8"/>
  <c r="F4057" i="8"/>
  <c r="G4057" i="8"/>
  <c r="H4057" i="8"/>
  <c r="I4057" i="8"/>
  <c r="J4057" i="8"/>
  <c r="K4057" i="8"/>
  <c r="L4057" i="8"/>
  <c r="M4057" i="8"/>
  <c r="N4057" i="8"/>
  <c r="O4057" i="8"/>
  <c r="P4057" i="8"/>
  <c r="Q4057" i="8"/>
  <c r="R4057" i="8"/>
  <c r="S4057" i="8"/>
  <c r="T4057" i="8"/>
  <c r="E4058" i="8"/>
  <c r="F4058" i="8"/>
  <c r="G4058" i="8"/>
  <c r="H4058" i="8"/>
  <c r="I4058" i="8"/>
  <c r="J4058" i="8"/>
  <c r="K4058" i="8"/>
  <c r="L4058" i="8"/>
  <c r="M4058" i="8"/>
  <c r="N4058" i="8"/>
  <c r="O4058" i="8"/>
  <c r="P4058" i="8"/>
  <c r="Q4058" i="8"/>
  <c r="R4058" i="8"/>
  <c r="S4058" i="8"/>
  <c r="T4058" i="8"/>
  <c r="E4059" i="8"/>
  <c r="F4059" i="8"/>
  <c r="G4059" i="8"/>
  <c r="H4059" i="8"/>
  <c r="I4059" i="8"/>
  <c r="J4059" i="8"/>
  <c r="K4059" i="8"/>
  <c r="L4059" i="8"/>
  <c r="M4059" i="8"/>
  <c r="N4059" i="8"/>
  <c r="O4059" i="8"/>
  <c r="P4059" i="8"/>
  <c r="Q4059" i="8"/>
  <c r="R4059" i="8"/>
  <c r="S4059" i="8"/>
  <c r="T4059" i="8"/>
  <c r="E4060" i="8"/>
  <c r="F4060" i="8"/>
  <c r="G4060" i="8"/>
  <c r="H4060" i="8"/>
  <c r="I4060" i="8"/>
  <c r="J4060" i="8"/>
  <c r="K4060" i="8"/>
  <c r="L4060" i="8"/>
  <c r="M4060" i="8"/>
  <c r="N4060" i="8"/>
  <c r="O4060" i="8"/>
  <c r="P4060" i="8"/>
  <c r="Q4060" i="8"/>
  <c r="R4060" i="8"/>
  <c r="S4060" i="8"/>
  <c r="T4060" i="8"/>
  <c r="E4061" i="8"/>
  <c r="F4061" i="8"/>
  <c r="G4061" i="8"/>
  <c r="H4061" i="8"/>
  <c r="I4061" i="8"/>
  <c r="J4061" i="8"/>
  <c r="K4061" i="8"/>
  <c r="L4061" i="8"/>
  <c r="M4061" i="8"/>
  <c r="N4061" i="8"/>
  <c r="O4061" i="8"/>
  <c r="P4061" i="8"/>
  <c r="Q4061" i="8"/>
  <c r="R4061" i="8"/>
  <c r="S4061" i="8"/>
  <c r="T4061" i="8"/>
  <c r="E4062" i="8"/>
  <c r="F4062" i="8"/>
  <c r="G4062" i="8"/>
  <c r="H4062" i="8"/>
  <c r="I4062" i="8"/>
  <c r="J4062" i="8"/>
  <c r="K4062" i="8"/>
  <c r="L4062" i="8"/>
  <c r="M4062" i="8"/>
  <c r="N4062" i="8"/>
  <c r="O4062" i="8"/>
  <c r="P4062" i="8"/>
  <c r="Q4062" i="8"/>
  <c r="R4062" i="8"/>
  <c r="S4062" i="8"/>
  <c r="T4062" i="8"/>
  <c r="E4063" i="8"/>
  <c r="F4063" i="8"/>
  <c r="G4063" i="8"/>
  <c r="H4063" i="8"/>
  <c r="I4063" i="8"/>
  <c r="J4063" i="8"/>
  <c r="K4063" i="8"/>
  <c r="L4063" i="8"/>
  <c r="M4063" i="8"/>
  <c r="N4063" i="8"/>
  <c r="O4063" i="8"/>
  <c r="P4063" i="8"/>
  <c r="Q4063" i="8"/>
  <c r="R4063" i="8"/>
  <c r="S4063" i="8"/>
  <c r="T4063" i="8"/>
  <c r="E4064" i="8"/>
  <c r="F4064" i="8"/>
  <c r="G4064" i="8"/>
  <c r="H4064" i="8"/>
  <c r="I4064" i="8"/>
  <c r="J4064" i="8"/>
  <c r="K4064" i="8"/>
  <c r="L4064" i="8"/>
  <c r="M4064" i="8"/>
  <c r="N4064" i="8"/>
  <c r="O4064" i="8"/>
  <c r="P4064" i="8"/>
  <c r="Q4064" i="8"/>
  <c r="R4064" i="8"/>
  <c r="S4064" i="8"/>
  <c r="T4064" i="8"/>
  <c r="E4065" i="8"/>
  <c r="F4065" i="8"/>
  <c r="G4065" i="8"/>
  <c r="H4065" i="8"/>
  <c r="I4065" i="8"/>
  <c r="J4065" i="8"/>
  <c r="K4065" i="8"/>
  <c r="L4065" i="8"/>
  <c r="M4065" i="8"/>
  <c r="N4065" i="8"/>
  <c r="O4065" i="8"/>
  <c r="P4065" i="8"/>
  <c r="Q4065" i="8"/>
  <c r="R4065" i="8"/>
  <c r="S4065" i="8"/>
  <c r="T4065" i="8"/>
  <c r="E374" i="7"/>
  <c r="F374" i="7"/>
  <c r="G374" i="7"/>
  <c r="H374" i="7"/>
  <c r="I374" i="7"/>
  <c r="J374" i="7"/>
  <c r="K374" i="7"/>
  <c r="L374" i="7"/>
  <c r="M374" i="7"/>
  <c r="N374" i="7"/>
  <c r="P374" i="7"/>
  <c r="Q374" i="7"/>
  <c r="R374" i="7"/>
  <c r="S374" i="7"/>
  <c r="U374" i="7"/>
  <c r="V374" i="7"/>
  <c r="W374" i="7"/>
  <c r="X374" i="7"/>
  <c r="Y374" i="7"/>
  <c r="Z374" i="7"/>
  <c r="AA374" i="7"/>
  <c r="AC374" i="7"/>
  <c r="AE374" i="7"/>
  <c r="AI374" i="7"/>
  <c r="AO374" i="7"/>
  <c r="AP374" i="7"/>
  <c r="E4044" i="8"/>
  <c r="F4044" i="8"/>
  <c r="G4044" i="8"/>
  <c r="H4044" i="8"/>
  <c r="I4044" i="8"/>
  <c r="J4044" i="8"/>
  <c r="K4044" i="8"/>
  <c r="L4044" i="8"/>
  <c r="M4044" i="8"/>
  <c r="N4044" i="8"/>
  <c r="O4044" i="8"/>
  <c r="P4044" i="8"/>
  <c r="Q4044" i="8"/>
  <c r="R4044" i="8"/>
  <c r="S4044" i="8"/>
  <c r="T4044" i="8"/>
  <c r="E4045" i="8"/>
  <c r="F4045" i="8"/>
  <c r="G4045" i="8"/>
  <c r="H4045" i="8"/>
  <c r="I4045" i="8"/>
  <c r="J4045" i="8"/>
  <c r="K4045" i="8"/>
  <c r="L4045" i="8"/>
  <c r="M4045" i="8"/>
  <c r="N4045" i="8"/>
  <c r="O4045" i="8"/>
  <c r="P4045" i="8"/>
  <c r="Q4045" i="8"/>
  <c r="R4045" i="8"/>
  <c r="S4045" i="8"/>
  <c r="T4045" i="8"/>
  <c r="E4046" i="8"/>
  <c r="F4046" i="8"/>
  <c r="G4046" i="8"/>
  <c r="H4046" i="8"/>
  <c r="I4046" i="8"/>
  <c r="J4046" i="8"/>
  <c r="K4046" i="8"/>
  <c r="L4046" i="8"/>
  <c r="M4046" i="8"/>
  <c r="N4046" i="8"/>
  <c r="O4046" i="8"/>
  <c r="P4046" i="8"/>
  <c r="Q4046" i="8"/>
  <c r="R4046" i="8"/>
  <c r="S4046" i="8"/>
  <c r="T4046" i="8"/>
  <c r="E4047" i="8"/>
  <c r="F4047" i="8"/>
  <c r="G4047" i="8"/>
  <c r="H4047" i="8"/>
  <c r="I4047" i="8"/>
  <c r="J4047" i="8"/>
  <c r="K4047" i="8"/>
  <c r="L4047" i="8"/>
  <c r="M4047" i="8"/>
  <c r="N4047" i="8"/>
  <c r="O4047" i="8"/>
  <c r="P4047" i="8"/>
  <c r="Q4047" i="8"/>
  <c r="R4047" i="8"/>
  <c r="S4047" i="8"/>
  <c r="T4047" i="8"/>
  <c r="E4048" i="8"/>
  <c r="F4048" i="8"/>
  <c r="G4048" i="8"/>
  <c r="H4048" i="8"/>
  <c r="I4048" i="8"/>
  <c r="J4048" i="8"/>
  <c r="K4048" i="8"/>
  <c r="L4048" i="8"/>
  <c r="M4048" i="8"/>
  <c r="N4048" i="8"/>
  <c r="O4048" i="8"/>
  <c r="P4048" i="8"/>
  <c r="Q4048" i="8"/>
  <c r="R4048" i="8"/>
  <c r="S4048" i="8"/>
  <c r="T4048" i="8"/>
  <c r="E4049" i="8"/>
  <c r="F4049" i="8"/>
  <c r="G4049" i="8"/>
  <c r="H4049" i="8"/>
  <c r="I4049" i="8"/>
  <c r="J4049" i="8"/>
  <c r="K4049" i="8"/>
  <c r="L4049" i="8"/>
  <c r="M4049" i="8"/>
  <c r="N4049" i="8"/>
  <c r="O4049" i="8"/>
  <c r="P4049" i="8"/>
  <c r="Q4049" i="8"/>
  <c r="R4049" i="8"/>
  <c r="S4049" i="8"/>
  <c r="T4049" i="8"/>
  <c r="E4050" i="8"/>
  <c r="F4050" i="8"/>
  <c r="G4050" i="8"/>
  <c r="H4050" i="8"/>
  <c r="I4050" i="8"/>
  <c r="J4050" i="8"/>
  <c r="K4050" i="8"/>
  <c r="L4050" i="8"/>
  <c r="M4050" i="8"/>
  <c r="N4050" i="8"/>
  <c r="O4050" i="8"/>
  <c r="P4050" i="8"/>
  <c r="Q4050" i="8"/>
  <c r="R4050" i="8"/>
  <c r="S4050" i="8"/>
  <c r="T4050" i="8"/>
  <c r="E4051" i="8"/>
  <c r="F4051" i="8"/>
  <c r="G4051" i="8"/>
  <c r="H4051" i="8"/>
  <c r="I4051" i="8"/>
  <c r="J4051" i="8"/>
  <c r="K4051" i="8"/>
  <c r="L4051" i="8"/>
  <c r="M4051" i="8"/>
  <c r="N4051" i="8"/>
  <c r="O4051" i="8"/>
  <c r="P4051" i="8"/>
  <c r="Q4051" i="8"/>
  <c r="R4051" i="8"/>
  <c r="S4051" i="8"/>
  <c r="T4051" i="8"/>
  <c r="E4052" i="8"/>
  <c r="F4052" i="8"/>
  <c r="G4052" i="8"/>
  <c r="H4052" i="8"/>
  <c r="I4052" i="8"/>
  <c r="J4052" i="8"/>
  <c r="K4052" i="8"/>
  <c r="L4052" i="8"/>
  <c r="M4052" i="8"/>
  <c r="N4052" i="8"/>
  <c r="O4052" i="8"/>
  <c r="P4052" i="8"/>
  <c r="Q4052" i="8"/>
  <c r="R4052" i="8"/>
  <c r="S4052" i="8"/>
  <c r="T4052" i="8"/>
  <c r="E4053" i="8"/>
  <c r="F4053" i="8"/>
  <c r="G4053" i="8"/>
  <c r="H4053" i="8"/>
  <c r="I4053" i="8"/>
  <c r="J4053" i="8"/>
  <c r="K4053" i="8"/>
  <c r="L4053" i="8"/>
  <c r="M4053" i="8"/>
  <c r="N4053" i="8"/>
  <c r="O4053" i="8"/>
  <c r="P4053" i="8"/>
  <c r="Q4053" i="8"/>
  <c r="R4053" i="8"/>
  <c r="S4053" i="8"/>
  <c r="T4053" i="8"/>
  <c r="E4054" i="8"/>
  <c r="F4054" i="8"/>
  <c r="G4054" i="8"/>
  <c r="H4054" i="8"/>
  <c r="I4054" i="8"/>
  <c r="J4054" i="8"/>
  <c r="K4054" i="8"/>
  <c r="L4054" i="8"/>
  <c r="M4054" i="8"/>
  <c r="N4054" i="8"/>
  <c r="O4054" i="8"/>
  <c r="P4054" i="8"/>
  <c r="Q4054" i="8"/>
  <c r="R4054" i="8"/>
  <c r="S4054" i="8"/>
  <c r="T4054" i="8"/>
  <c r="E373" i="7"/>
  <c r="F373" i="7"/>
  <c r="G373" i="7"/>
  <c r="H373" i="7"/>
  <c r="I373" i="7"/>
  <c r="J373" i="7"/>
  <c r="K373" i="7"/>
  <c r="L373" i="7"/>
  <c r="M373" i="7"/>
  <c r="N373" i="7"/>
  <c r="P373" i="7"/>
  <c r="Q373" i="7"/>
  <c r="R373" i="7"/>
  <c r="S373" i="7"/>
  <c r="U373" i="7"/>
  <c r="V373" i="7"/>
  <c r="W373" i="7"/>
  <c r="X373" i="7"/>
  <c r="Y373" i="7"/>
  <c r="Z373" i="7"/>
  <c r="AA373" i="7"/>
  <c r="AC373" i="7"/>
  <c r="AE373" i="7"/>
  <c r="AI373" i="7"/>
  <c r="AO373" i="7"/>
  <c r="AP373" i="7"/>
  <c r="E4033" i="8"/>
  <c r="F4033" i="8"/>
  <c r="G4033" i="8"/>
  <c r="H4033" i="8"/>
  <c r="I4033" i="8"/>
  <c r="J4033" i="8"/>
  <c r="K4033" i="8"/>
  <c r="L4033" i="8"/>
  <c r="M4033" i="8"/>
  <c r="N4033" i="8"/>
  <c r="O4033" i="8"/>
  <c r="P4033" i="8"/>
  <c r="Q4033" i="8"/>
  <c r="R4033" i="8"/>
  <c r="S4033" i="8"/>
  <c r="T4033" i="8"/>
  <c r="E4034" i="8"/>
  <c r="F4034" i="8"/>
  <c r="G4034" i="8"/>
  <c r="H4034" i="8"/>
  <c r="I4034" i="8"/>
  <c r="J4034" i="8"/>
  <c r="K4034" i="8"/>
  <c r="L4034" i="8"/>
  <c r="M4034" i="8"/>
  <c r="N4034" i="8"/>
  <c r="O4034" i="8"/>
  <c r="P4034" i="8"/>
  <c r="Q4034" i="8"/>
  <c r="R4034" i="8"/>
  <c r="S4034" i="8"/>
  <c r="T4034" i="8"/>
  <c r="E4035" i="8"/>
  <c r="F4035" i="8"/>
  <c r="G4035" i="8"/>
  <c r="H4035" i="8"/>
  <c r="I4035" i="8"/>
  <c r="J4035" i="8"/>
  <c r="K4035" i="8"/>
  <c r="L4035" i="8"/>
  <c r="M4035" i="8"/>
  <c r="N4035" i="8"/>
  <c r="O4035" i="8"/>
  <c r="P4035" i="8"/>
  <c r="Q4035" i="8"/>
  <c r="R4035" i="8"/>
  <c r="S4035" i="8"/>
  <c r="T4035" i="8"/>
  <c r="E4036" i="8"/>
  <c r="F4036" i="8"/>
  <c r="G4036" i="8"/>
  <c r="H4036" i="8"/>
  <c r="I4036" i="8"/>
  <c r="J4036" i="8"/>
  <c r="K4036" i="8"/>
  <c r="L4036" i="8"/>
  <c r="M4036" i="8"/>
  <c r="N4036" i="8"/>
  <c r="O4036" i="8"/>
  <c r="P4036" i="8"/>
  <c r="Q4036" i="8"/>
  <c r="R4036" i="8"/>
  <c r="S4036" i="8"/>
  <c r="T4036" i="8"/>
  <c r="E4037" i="8"/>
  <c r="F4037" i="8"/>
  <c r="G4037" i="8"/>
  <c r="H4037" i="8"/>
  <c r="I4037" i="8"/>
  <c r="J4037" i="8"/>
  <c r="K4037" i="8"/>
  <c r="L4037" i="8"/>
  <c r="M4037" i="8"/>
  <c r="N4037" i="8"/>
  <c r="O4037" i="8"/>
  <c r="P4037" i="8"/>
  <c r="Q4037" i="8"/>
  <c r="R4037" i="8"/>
  <c r="S4037" i="8"/>
  <c r="T4037" i="8"/>
  <c r="E4038" i="8"/>
  <c r="F4038" i="8"/>
  <c r="G4038" i="8"/>
  <c r="H4038" i="8"/>
  <c r="I4038" i="8"/>
  <c r="J4038" i="8"/>
  <c r="K4038" i="8"/>
  <c r="L4038" i="8"/>
  <c r="M4038" i="8"/>
  <c r="N4038" i="8"/>
  <c r="O4038" i="8"/>
  <c r="P4038" i="8"/>
  <c r="Q4038" i="8"/>
  <c r="R4038" i="8"/>
  <c r="S4038" i="8"/>
  <c r="T4038" i="8"/>
  <c r="E4039" i="8"/>
  <c r="F4039" i="8"/>
  <c r="G4039" i="8"/>
  <c r="H4039" i="8"/>
  <c r="I4039" i="8"/>
  <c r="J4039" i="8"/>
  <c r="K4039" i="8"/>
  <c r="L4039" i="8"/>
  <c r="M4039" i="8"/>
  <c r="N4039" i="8"/>
  <c r="O4039" i="8"/>
  <c r="P4039" i="8"/>
  <c r="Q4039" i="8"/>
  <c r="R4039" i="8"/>
  <c r="S4039" i="8"/>
  <c r="T4039" i="8"/>
  <c r="E4040" i="8"/>
  <c r="F4040" i="8"/>
  <c r="G4040" i="8"/>
  <c r="H4040" i="8"/>
  <c r="I4040" i="8"/>
  <c r="J4040" i="8"/>
  <c r="K4040" i="8"/>
  <c r="L4040" i="8"/>
  <c r="M4040" i="8"/>
  <c r="N4040" i="8"/>
  <c r="O4040" i="8"/>
  <c r="P4040" i="8"/>
  <c r="Q4040" i="8"/>
  <c r="R4040" i="8"/>
  <c r="S4040" i="8"/>
  <c r="T4040" i="8"/>
  <c r="E4041" i="8"/>
  <c r="F4041" i="8"/>
  <c r="G4041" i="8"/>
  <c r="H4041" i="8"/>
  <c r="I4041" i="8"/>
  <c r="J4041" i="8"/>
  <c r="K4041" i="8"/>
  <c r="L4041" i="8"/>
  <c r="M4041" i="8"/>
  <c r="N4041" i="8"/>
  <c r="O4041" i="8"/>
  <c r="P4041" i="8"/>
  <c r="Q4041" i="8"/>
  <c r="R4041" i="8"/>
  <c r="S4041" i="8"/>
  <c r="T4041" i="8"/>
  <c r="E4042" i="8"/>
  <c r="F4042" i="8"/>
  <c r="G4042" i="8"/>
  <c r="H4042" i="8"/>
  <c r="I4042" i="8"/>
  <c r="J4042" i="8"/>
  <c r="K4042" i="8"/>
  <c r="L4042" i="8"/>
  <c r="M4042" i="8"/>
  <c r="N4042" i="8"/>
  <c r="O4042" i="8"/>
  <c r="P4042" i="8"/>
  <c r="Q4042" i="8"/>
  <c r="R4042" i="8"/>
  <c r="S4042" i="8"/>
  <c r="T4042" i="8"/>
  <c r="E4043" i="8"/>
  <c r="F4043" i="8"/>
  <c r="G4043" i="8"/>
  <c r="H4043" i="8"/>
  <c r="I4043" i="8"/>
  <c r="J4043" i="8"/>
  <c r="K4043" i="8"/>
  <c r="L4043" i="8"/>
  <c r="M4043" i="8"/>
  <c r="N4043" i="8"/>
  <c r="O4043" i="8"/>
  <c r="P4043" i="8"/>
  <c r="Q4043" i="8"/>
  <c r="R4043" i="8"/>
  <c r="S4043" i="8"/>
  <c r="T4043" i="8"/>
  <c r="E372" i="7"/>
  <c r="F372" i="7"/>
  <c r="G372" i="7"/>
  <c r="H372" i="7"/>
  <c r="I372" i="7"/>
  <c r="J372" i="7"/>
  <c r="K372" i="7"/>
  <c r="L372" i="7"/>
  <c r="M372" i="7"/>
  <c r="N372" i="7"/>
  <c r="P372" i="7"/>
  <c r="Q372" i="7"/>
  <c r="R372" i="7"/>
  <c r="S372" i="7"/>
  <c r="U372" i="7"/>
  <c r="V372" i="7"/>
  <c r="W372" i="7"/>
  <c r="X372" i="7"/>
  <c r="Y372" i="7"/>
  <c r="Z372" i="7"/>
  <c r="AA372" i="7"/>
  <c r="AC372" i="7"/>
  <c r="AE372" i="7"/>
  <c r="AI372" i="7"/>
  <c r="AO372" i="7"/>
  <c r="AP372" i="7"/>
  <c r="E4022" i="8"/>
  <c r="F4022" i="8"/>
  <c r="G4022" i="8"/>
  <c r="H4022" i="8"/>
  <c r="I4022" i="8"/>
  <c r="J4022" i="8"/>
  <c r="K4022" i="8"/>
  <c r="L4022" i="8"/>
  <c r="M4022" i="8"/>
  <c r="N4022" i="8"/>
  <c r="O4022" i="8"/>
  <c r="P4022" i="8"/>
  <c r="Q4022" i="8"/>
  <c r="R4022" i="8"/>
  <c r="S4022" i="8"/>
  <c r="T4022" i="8"/>
  <c r="E4023" i="8"/>
  <c r="F4023" i="8"/>
  <c r="G4023" i="8"/>
  <c r="H4023" i="8"/>
  <c r="I4023" i="8"/>
  <c r="J4023" i="8"/>
  <c r="K4023" i="8"/>
  <c r="L4023" i="8"/>
  <c r="M4023" i="8"/>
  <c r="N4023" i="8"/>
  <c r="O4023" i="8"/>
  <c r="P4023" i="8"/>
  <c r="Q4023" i="8"/>
  <c r="R4023" i="8"/>
  <c r="S4023" i="8"/>
  <c r="T4023" i="8"/>
  <c r="E4024" i="8"/>
  <c r="F4024" i="8"/>
  <c r="G4024" i="8"/>
  <c r="H4024" i="8"/>
  <c r="I4024" i="8"/>
  <c r="J4024" i="8"/>
  <c r="K4024" i="8"/>
  <c r="L4024" i="8"/>
  <c r="M4024" i="8"/>
  <c r="N4024" i="8"/>
  <c r="O4024" i="8"/>
  <c r="P4024" i="8"/>
  <c r="Q4024" i="8"/>
  <c r="R4024" i="8"/>
  <c r="S4024" i="8"/>
  <c r="T4024" i="8"/>
  <c r="E4025" i="8"/>
  <c r="F4025" i="8"/>
  <c r="G4025" i="8"/>
  <c r="H4025" i="8"/>
  <c r="I4025" i="8"/>
  <c r="J4025" i="8"/>
  <c r="K4025" i="8"/>
  <c r="L4025" i="8"/>
  <c r="M4025" i="8"/>
  <c r="N4025" i="8"/>
  <c r="O4025" i="8"/>
  <c r="P4025" i="8"/>
  <c r="Q4025" i="8"/>
  <c r="R4025" i="8"/>
  <c r="S4025" i="8"/>
  <c r="T4025" i="8"/>
  <c r="E4026" i="8"/>
  <c r="F4026" i="8"/>
  <c r="G4026" i="8"/>
  <c r="H4026" i="8"/>
  <c r="I4026" i="8"/>
  <c r="J4026" i="8"/>
  <c r="K4026" i="8"/>
  <c r="L4026" i="8"/>
  <c r="M4026" i="8"/>
  <c r="N4026" i="8"/>
  <c r="O4026" i="8"/>
  <c r="P4026" i="8"/>
  <c r="Q4026" i="8"/>
  <c r="R4026" i="8"/>
  <c r="S4026" i="8"/>
  <c r="T4026" i="8"/>
  <c r="E4027" i="8"/>
  <c r="F4027" i="8"/>
  <c r="G4027" i="8"/>
  <c r="H4027" i="8"/>
  <c r="I4027" i="8"/>
  <c r="J4027" i="8"/>
  <c r="K4027" i="8"/>
  <c r="L4027" i="8"/>
  <c r="M4027" i="8"/>
  <c r="N4027" i="8"/>
  <c r="O4027" i="8"/>
  <c r="P4027" i="8"/>
  <c r="Q4027" i="8"/>
  <c r="R4027" i="8"/>
  <c r="S4027" i="8"/>
  <c r="T4027" i="8"/>
  <c r="E4028" i="8"/>
  <c r="F4028" i="8"/>
  <c r="G4028" i="8"/>
  <c r="H4028" i="8"/>
  <c r="I4028" i="8"/>
  <c r="J4028" i="8"/>
  <c r="K4028" i="8"/>
  <c r="L4028" i="8"/>
  <c r="M4028" i="8"/>
  <c r="N4028" i="8"/>
  <c r="O4028" i="8"/>
  <c r="P4028" i="8"/>
  <c r="Q4028" i="8"/>
  <c r="R4028" i="8"/>
  <c r="S4028" i="8"/>
  <c r="T4028" i="8"/>
  <c r="E4029" i="8"/>
  <c r="F4029" i="8"/>
  <c r="G4029" i="8"/>
  <c r="H4029" i="8"/>
  <c r="I4029" i="8"/>
  <c r="J4029" i="8"/>
  <c r="K4029" i="8"/>
  <c r="L4029" i="8"/>
  <c r="M4029" i="8"/>
  <c r="N4029" i="8"/>
  <c r="O4029" i="8"/>
  <c r="P4029" i="8"/>
  <c r="Q4029" i="8"/>
  <c r="R4029" i="8"/>
  <c r="S4029" i="8"/>
  <c r="T4029" i="8"/>
  <c r="E4030" i="8"/>
  <c r="F4030" i="8"/>
  <c r="G4030" i="8"/>
  <c r="H4030" i="8"/>
  <c r="I4030" i="8"/>
  <c r="J4030" i="8"/>
  <c r="K4030" i="8"/>
  <c r="L4030" i="8"/>
  <c r="M4030" i="8"/>
  <c r="N4030" i="8"/>
  <c r="O4030" i="8"/>
  <c r="P4030" i="8"/>
  <c r="Q4030" i="8"/>
  <c r="R4030" i="8"/>
  <c r="S4030" i="8"/>
  <c r="T4030" i="8"/>
  <c r="E4031" i="8"/>
  <c r="F4031" i="8"/>
  <c r="G4031" i="8"/>
  <c r="H4031" i="8"/>
  <c r="I4031" i="8"/>
  <c r="J4031" i="8"/>
  <c r="K4031" i="8"/>
  <c r="L4031" i="8"/>
  <c r="M4031" i="8"/>
  <c r="N4031" i="8"/>
  <c r="O4031" i="8"/>
  <c r="P4031" i="8"/>
  <c r="Q4031" i="8"/>
  <c r="R4031" i="8"/>
  <c r="S4031" i="8"/>
  <c r="T4031" i="8"/>
  <c r="E4032" i="8"/>
  <c r="F4032" i="8"/>
  <c r="G4032" i="8"/>
  <c r="H4032" i="8"/>
  <c r="I4032" i="8"/>
  <c r="J4032" i="8"/>
  <c r="K4032" i="8"/>
  <c r="L4032" i="8"/>
  <c r="M4032" i="8"/>
  <c r="N4032" i="8"/>
  <c r="O4032" i="8"/>
  <c r="P4032" i="8"/>
  <c r="Q4032" i="8"/>
  <c r="R4032" i="8"/>
  <c r="S4032" i="8"/>
  <c r="T4032" i="8"/>
  <c r="E371" i="7"/>
  <c r="F371" i="7"/>
  <c r="G371" i="7"/>
  <c r="H371" i="7"/>
  <c r="I371" i="7"/>
  <c r="J371" i="7"/>
  <c r="K371" i="7"/>
  <c r="L371" i="7"/>
  <c r="M371" i="7"/>
  <c r="P371" i="7"/>
  <c r="Q371" i="7"/>
  <c r="R371" i="7"/>
  <c r="S371" i="7"/>
  <c r="U371" i="7"/>
  <c r="V371" i="7"/>
  <c r="W371" i="7"/>
  <c r="X371" i="7"/>
  <c r="AA371" i="7"/>
  <c r="AE371" i="7"/>
  <c r="E4011" i="8"/>
  <c r="F4011" i="8"/>
  <c r="G4011" i="8"/>
  <c r="H4011" i="8"/>
  <c r="I4011" i="8"/>
  <c r="J4011" i="8"/>
  <c r="K4011" i="8"/>
  <c r="L4011" i="8"/>
  <c r="M4011" i="8"/>
  <c r="N4011" i="8"/>
  <c r="O4011" i="8"/>
  <c r="P4011" i="8"/>
  <c r="Q4011" i="8"/>
  <c r="R4011" i="8"/>
  <c r="S4011" i="8"/>
  <c r="T4011" i="8"/>
  <c r="E4012" i="8"/>
  <c r="F4012" i="8"/>
  <c r="G4012" i="8"/>
  <c r="H4012" i="8"/>
  <c r="I4012" i="8"/>
  <c r="J4012" i="8"/>
  <c r="K4012" i="8"/>
  <c r="L4012" i="8"/>
  <c r="M4012" i="8"/>
  <c r="N4012" i="8"/>
  <c r="O4012" i="8"/>
  <c r="P4012" i="8"/>
  <c r="Q4012" i="8"/>
  <c r="R4012" i="8"/>
  <c r="S4012" i="8"/>
  <c r="T4012" i="8"/>
  <c r="E4013" i="8"/>
  <c r="F4013" i="8"/>
  <c r="G4013" i="8"/>
  <c r="H4013" i="8"/>
  <c r="I4013" i="8"/>
  <c r="J4013" i="8"/>
  <c r="K4013" i="8"/>
  <c r="L4013" i="8"/>
  <c r="M4013" i="8"/>
  <c r="N4013" i="8"/>
  <c r="O4013" i="8"/>
  <c r="P4013" i="8"/>
  <c r="Q4013" i="8"/>
  <c r="R4013" i="8"/>
  <c r="S4013" i="8"/>
  <c r="T4013" i="8"/>
  <c r="E4014" i="8"/>
  <c r="F4014" i="8"/>
  <c r="G4014" i="8"/>
  <c r="H4014" i="8"/>
  <c r="I4014" i="8"/>
  <c r="J4014" i="8"/>
  <c r="K4014" i="8"/>
  <c r="L4014" i="8"/>
  <c r="M4014" i="8"/>
  <c r="N4014" i="8"/>
  <c r="O4014" i="8"/>
  <c r="P4014" i="8"/>
  <c r="Q4014" i="8"/>
  <c r="R4014" i="8"/>
  <c r="S4014" i="8"/>
  <c r="T4014" i="8"/>
  <c r="E4015" i="8"/>
  <c r="F4015" i="8"/>
  <c r="G4015" i="8"/>
  <c r="H4015" i="8"/>
  <c r="I4015" i="8"/>
  <c r="J4015" i="8"/>
  <c r="K4015" i="8"/>
  <c r="L4015" i="8"/>
  <c r="M4015" i="8"/>
  <c r="N4015" i="8"/>
  <c r="O4015" i="8"/>
  <c r="P4015" i="8"/>
  <c r="Q4015" i="8"/>
  <c r="R4015" i="8"/>
  <c r="S4015" i="8"/>
  <c r="T4015" i="8"/>
  <c r="E4016" i="8"/>
  <c r="F4016" i="8"/>
  <c r="G4016" i="8"/>
  <c r="H4016" i="8"/>
  <c r="I4016" i="8"/>
  <c r="J4016" i="8"/>
  <c r="K4016" i="8"/>
  <c r="L4016" i="8"/>
  <c r="M4016" i="8"/>
  <c r="N4016" i="8"/>
  <c r="O4016" i="8"/>
  <c r="P4016" i="8"/>
  <c r="Q4016" i="8"/>
  <c r="R4016" i="8"/>
  <c r="S4016" i="8"/>
  <c r="T4016" i="8"/>
  <c r="E4017" i="8"/>
  <c r="F4017" i="8"/>
  <c r="G4017" i="8"/>
  <c r="H4017" i="8"/>
  <c r="I4017" i="8"/>
  <c r="J4017" i="8"/>
  <c r="K4017" i="8"/>
  <c r="L4017" i="8"/>
  <c r="M4017" i="8"/>
  <c r="N4017" i="8"/>
  <c r="O4017" i="8"/>
  <c r="P4017" i="8"/>
  <c r="Q4017" i="8"/>
  <c r="R4017" i="8"/>
  <c r="S4017" i="8"/>
  <c r="T4017" i="8"/>
  <c r="E4018" i="8"/>
  <c r="F4018" i="8"/>
  <c r="G4018" i="8"/>
  <c r="H4018" i="8"/>
  <c r="I4018" i="8"/>
  <c r="J4018" i="8"/>
  <c r="K4018" i="8"/>
  <c r="L4018" i="8"/>
  <c r="M4018" i="8"/>
  <c r="N4018" i="8"/>
  <c r="O4018" i="8"/>
  <c r="P4018" i="8"/>
  <c r="Q4018" i="8"/>
  <c r="R4018" i="8"/>
  <c r="S4018" i="8"/>
  <c r="T4018" i="8"/>
  <c r="E4019" i="8"/>
  <c r="F4019" i="8"/>
  <c r="G4019" i="8"/>
  <c r="H4019" i="8"/>
  <c r="I4019" i="8"/>
  <c r="J4019" i="8"/>
  <c r="K4019" i="8"/>
  <c r="L4019" i="8"/>
  <c r="M4019" i="8"/>
  <c r="N4019" i="8"/>
  <c r="O4019" i="8"/>
  <c r="P4019" i="8"/>
  <c r="Q4019" i="8"/>
  <c r="R4019" i="8"/>
  <c r="S4019" i="8"/>
  <c r="T4019" i="8"/>
  <c r="E4020" i="8"/>
  <c r="F4020" i="8"/>
  <c r="G4020" i="8"/>
  <c r="H4020" i="8"/>
  <c r="I4020" i="8"/>
  <c r="J4020" i="8"/>
  <c r="K4020" i="8"/>
  <c r="L4020" i="8"/>
  <c r="M4020" i="8"/>
  <c r="N4020" i="8"/>
  <c r="O4020" i="8"/>
  <c r="P4020" i="8"/>
  <c r="Q4020" i="8"/>
  <c r="R4020" i="8"/>
  <c r="S4020" i="8"/>
  <c r="T4020" i="8"/>
  <c r="E4021" i="8"/>
  <c r="F4021" i="8"/>
  <c r="G4021" i="8"/>
  <c r="H4021" i="8"/>
  <c r="I4021" i="8"/>
  <c r="J4021" i="8"/>
  <c r="K4021" i="8"/>
  <c r="L4021" i="8"/>
  <c r="M4021" i="8"/>
  <c r="N4021" i="8"/>
  <c r="O4021" i="8"/>
  <c r="P4021" i="8"/>
  <c r="Q4021" i="8"/>
  <c r="R4021" i="8"/>
  <c r="S4021" i="8"/>
  <c r="T4021" i="8"/>
  <c r="E370" i="7"/>
  <c r="F370" i="7"/>
  <c r="G370" i="7"/>
  <c r="H370" i="7"/>
  <c r="I370" i="7"/>
  <c r="J370" i="7"/>
  <c r="K370" i="7"/>
  <c r="L370" i="7"/>
  <c r="M370" i="7"/>
  <c r="N370" i="7"/>
  <c r="P370" i="7"/>
  <c r="Q370" i="7"/>
  <c r="R370" i="7"/>
  <c r="S370" i="7"/>
  <c r="U370" i="7"/>
  <c r="V370" i="7"/>
  <c r="W370" i="7"/>
  <c r="X370" i="7"/>
  <c r="Y370" i="7"/>
  <c r="Z370" i="7"/>
  <c r="AA370" i="7"/>
  <c r="AC370" i="7"/>
  <c r="AE370" i="7"/>
  <c r="AI370" i="7"/>
  <c r="AO370" i="7"/>
  <c r="AP370" i="7"/>
  <c r="E4000" i="8"/>
  <c r="F4000" i="8"/>
  <c r="G4000" i="8"/>
  <c r="H4000" i="8"/>
  <c r="I4000" i="8"/>
  <c r="J4000" i="8"/>
  <c r="K4000" i="8"/>
  <c r="L4000" i="8"/>
  <c r="M4000" i="8"/>
  <c r="N4000" i="8"/>
  <c r="O4000" i="8"/>
  <c r="P4000" i="8"/>
  <c r="Q4000" i="8"/>
  <c r="R4000" i="8"/>
  <c r="S4000" i="8"/>
  <c r="T4000" i="8"/>
  <c r="E4001" i="8"/>
  <c r="F4001" i="8"/>
  <c r="G4001" i="8"/>
  <c r="H4001" i="8"/>
  <c r="I4001" i="8"/>
  <c r="J4001" i="8"/>
  <c r="K4001" i="8"/>
  <c r="L4001" i="8"/>
  <c r="M4001" i="8"/>
  <c r="N4001" i="8"/>
  <c r="O4001" i="8"/>
  <c r="P4001" i="8"/>
  <c r="Q4001" i="8"/>
  <c r="R4001" i="8"/>
  <c r="S4001" i="8"/>
  <c r="T4001" i="8"/>
  <c r="E4002" i="8"/>
  <c r="F4002" i="8"/>
  <c r="G4002" i="8"/>
  <c r="H4002" i="8"/>
  <c r="I4002" i="8"/>
  <c r="J4002" i="8"/>
  <c r="K4002" i="8"/>
  <c r="L4002" i="8"/>
  <c r="M4002" i="8"/>
  <c r="N4002" i="8"/>
  <c r="O4002" i="8"/>
  <c r="P4002" i="8"/>
  <c r="Q4002" i="8"/>
  <c r="R4002" i="8"/>
  <c r="S4002" i="8"/>
  <c r="T4002" i="8"/>
  <c r="E4003" i="8"/>
  <c r="F4003" i="8"/>
  <c r="G4003" i="8"/>
  <c r="H4003" i="8"/>
  <c r="I4003" i="8"/>
  <c r="J4003" i="8"/>
  <c r="K4003" i="8"/>
  <c r="L4003" i="8"/>
  <c r="M4003" i="8"/>
  <c r="N4003" i="8"/>
  <c r="O4003" i="8"/>
  <c r="P4003" i="8"/>
  <c r="Q4003" i="8"/>
  <c r="R4003" i="8"/>
  <c r="S4003" i="8"/>
  <c r="T4003" i="8"/>
  <c r="E4004" i="8"/>
  <c r="F4004" i="8"/>
  <c r="G4004" i="8"/>
  <c r="H4004" i="8"/>
  <c r="I4004" i="8"/>
  <c r="J4004" i="8"/>
  <c r="K4004" i="8"/>
  <c r="L4004" i="8"/>
  <c r="M4004" i="8"/>
  <c r="N4004" i="8"/>
  <c r="O4004" i="8"/>
  <c r="P4004" i="8"/>
  <c r="Q4004" i="8"/>
  <c r="R4004" i="8"/>
  <c r="S4004" i="8"/>
  <c r="T4004" i="8"/>
  <c r="E4005" i="8"/>
  <c r="F4005" i="8"/>
  <c r="G4005" i="8"/>
  <c r="H4005" i="8"/>
  <c r="I4005" i="8"/>
  <c r="J4005" i="8"/>
  <c r="K4005" i="8"/>
  <c r="L4005" i="8"/>
  <c r="M4005" i="8"/>
  <c r="N4005" i="8"/>
  <c r="O4005" i="8"/>
  <c r="P4005" i="8"/>
  <c r="Q4005" i="8"/>
  <c r="R4005" i="8"/>
  <c r="S4005" i="8"/>
  <c r="T4005" i="8"/>
  <c r="E4006" i="8"/>
  <c r="F4006" i="8"/>
  <c r="G4006" i="8"/>
  <c r="H4006" i="8"/>
  <c r="I4006" i="8"/>
  <c r="J4006" i="8"/>
  <c r="K4006" i="8"/>
  <c r="L4006" i="8"/>
  <c r="M4006" i="8"/>
  <c r="N4006" i="8"/>
  <c r="O4006" i="8"/>
  <c r="P4006" i="8"/>
  <c r="Q4006" i="8"/>
  <c r="R4006" i="8"/>
  <c r="S4006" i="8"/>
  <c r="T4006" i="8"/>
  <c r="E4007" i="8"/>
  <c r="F4007" i="8"/>
  <c r="G4007" i="8"/>
  <c r="H4007" i="8"/>
  <c r="I4007" i="8"/>
  <c r="J4007" i="8"/>
  <c r="K4007" i="8"/>
  <c r="L4007" i="8"/>
  <c r="M4007" i="8"/>
  <c r="N4007" i="8"/>
  <c r="O4007" i="8"/>
  <c r="P4007" i="8"/>
  <c r="Q4007" i="8"/>
  <c r="R4007" i="8"/>
  <c r="S4007" i="8"/>
  <c r="T4007" i="8"/>
  <c r="E4008" i="8"/>
  <c r="F4008" i="8"/>
  <c r="G4008" i="8"/>
  <c r="H4008" i="8"/>
  <c r="I4008" i="8"/>
  <c r="J4008" i="8"/>
  <c r="K4008" i="8"/>
  <c r="L4008" i="8"/>
  <c r="M4008" i="8"/>
  <c r="N4008" i="8"/>
  <c r="O4008" i="8"/>
  <c r="P4008" i="8"/>
  <c r="Q4008" i="8"/>
  <c r="R4008" i="8"/>
  <c r="S4008" i="8"/>
  <c r="T4008" i="8"/>
  <c r="E4009" i="8"/>
  <c r="F4009" i="8"/>
  <c r="G4009" i="8"/>
  <c r="H4009" i="8"/>
  <c r="I4009" i="8"/>
  <c r="J4009" i="8"/>
  <c r="K4009" i="8"/>
  <c r="L4009" i="8"/>
  <c r="M4009" i="8"/>
  <c r="N4009" i="8"/>
  <c r="O4009" i="8"/>
  <c r="P4009" i="8"/>
  <c r="Q4009" i="8"/>
  <c r="R4009" i="8"/>
  <c r="S4009" i="8"/>
  <c r="T4009" i="8"/>
  <c r="E4010" i="8"/>
  <c r="F4010" i="8"/>
  <c r="G4010" i="8"/>
  <c r="H4010" i="8"/>
  <c r="I4010" i="8"/>
  <c r="J4010" i="8"/>
  <c r="K4010" i="8"/>
  <c r="L4010" i="8"/>
  <c r="M4010" i="8"/>
  <c r="N4010" i="8"/>
  <c r="O4010" i="8"/>
  <c r="P4010" i="8"/>
  <c r="Q4010" i="8"/>
  <c r="R4010" i="8"/>
  <c r="S4010" i="8"/>
  <c r="T4010" i="8"/>
  <c r="E369" i="7"/>
  <c r="F369" i="7"/>
  <c r="G369" i="7"/>
  <c r="H369" i="7"/>
  <c r="I369" i="7"/>
  <c r="J369" i="7"/>
  <c r="K369" i="7"/>
  <c r="L369" i="7"/>
  <c r="M369" i="7"/>
  <c r="N369" i="7"/>
  <c r="P369" i="7"/>
  <c r="Q369" i="7"/>
  <c r="R369" i="7"/>
  <c r="S369" i="7"/>
  <c r="U369" i="7"/>
  <c r="V369" i="7"/>
  <c r="W369" i="7"/>
  <c r="X369" i="7"/>
  <c r="Y369" i="7"/>
  <c r="Z369" i="7"/>
  <c r="AA369" i="7"/>
  <c r="AC369" i="7"/>
  <c r="AE369" i="7"/>
  <c r="AI369" i="7"/>
  <c r="AO369" i="7"/>
  <c r="AP369" i="7"/>
  <c r="E3989" i="8"/>
  <c r="F3989" i="8"/>
  <c r="G3989" i="8"/>
  <c r="H3989" i="8"/>
  <c r="I3989" i="8"/>
  <c r="J3989" i="8"/>
  <c r="K3989" i="8"/>
  <c r="L3989" i="8"/>
  <c r="M3989" i="8"/>
  <c r="N3989" i="8"/>
  <c r="O3989" i="8"/>
  <c r="P3989" i="8"/>
  <c r="Q3989" i="8"/>
  <c r="R3989" i="8"/>
  <c r="S3989" i="8"/>
  <c r="T3989" i="8"/>
  <c r="E3990" i="8"/>
  <c r="F3990" i="8"/>
  <c r="G3990" i="8"/>
  <c r="H3990" i="8"/>
  <c r="I3990" i="8"/>
  <c r="J3990" i="8"/>
  <c r="K3990" i="8"/>
  <c r="L3990" i="8"/>
  <c r="M3990" i="8"/>
  <c r="N3990" i="8"/>
  <c r="O3990" i="8"/>
  <c r="P3990" i="8"/>
  <c r="Q3990" i="8"/>
  <c r="R3990" i="8"/>
  <c r="S3990" i="8"/>
  <c r="T3990" i="8"/>
  <c r="E3991" i="8"/>
  <c r="F3991" i="8"/>
  <c r="G3991" i="8"/>
  <c r="H3991" i="8"/>
  <c r="I3991" i="8"/>
  <c r="J3991" i="8"/>
  <c r="K3991" i="8"/>
  <c r="L3991" i="8"/>
  <c r="M3991" i="8"/>
  <c r="N3991" i="8"/>
  <c r="O3991" i="8"/>
  <c r="P3991" i="8"/>
  <c r="Q3991" i="8"/>
  <c r="R3991" i="8"/>
  <c r="S3991" i="8"/>
  <c r="T3991" i="8"/>
  <c r="E3992" i="8"/>
  <c r="F3992" i="8"/>
  <c r="G3992" i="8"/>
  <c r="H3992" i="8"/>
  <c r="I3992" i="8"/>
  <c r="J3992" i="8"/>
  <c r="K3992" i="8"/>
  <c r="L3992" i="8"/>
  <c r="M3992" i="8"/>
  <c r="N3992" i="8"/>
  <c r="O3992" i="8"/>
  <c r="P3992" i="8"/>
  <c r="Q3992" i="8"/>
  <c r="R3992" i="8"/>
  <c r="S3992" i="8"/>
  <c r="T3992" i="8"/>
  <c r="E3993" i="8"/>
  <c r="F3993" i="8"/>
  <c r="G3993" i="8"/>
  <c r="H3993" i="8"/>
  <c r="I3993" i="8"/>
  <c r="J3993" i="8"/>
  <c r="K3993" i="8"/>
  <c r="L3993" i="8"/>
  <c r="M3993" i="8"/>
  <c r="N3993" i="8"/>
  <c r="O3993" i="8"/>
  <c r="P3993" i="8"/>
  <c r="Q3993" i="8"/>
  <c r="R3993" i="8"/>
  <c r="S3993" i="8"/>
  <c r="T3993" i="8"/>
  <c r="E3994" i="8"/>
  <c r="F3994" i="8"/>
  <c r="G3994" i="8"/>
  <c r="H3994" i="8"/>
  <c r="I3994" i="8"/>
  <c r="J3994" i="8"/>
  <c r="K3994" i="8"/>
  <c r="L3994" i="8"/>
  <c r="M3994" i="8"/>
  <c r="N3994" i="8"/>
  <c r="O3994" i="8"/>
  <c r="P3994" i="8"/>
  <c r="Q3994" i="8"/>
  <c r="R3994" i="8"/>
  <c r="S3994" i="8"/>
  <c r="T3994" i="8"/>
  <c r="E3995" i="8"/>
  <c r="F3995" i="8"/>
  <c r="G3995" i="8"/>
  <c r="H3995" i="8"/>
  <c r="I3995" i="8"/>
  <c r="J3995" i="8"/>
  <c r="K3995" i="8"/>
  <c r="L3995" i="8"/>
  <c r="M3995" i="8"/>
  <c r="N3995" i="8"/>
  <c r="O3995" i="8"/>
  <c r="P3995" i="8"/>
  <c r="Q3995" i="8"/>
  <c r="R3995" i="8"/>
  <c r="S3995" i="8"/>
  <c r="T3995" i="8"/>
  <c r="E3996" i="8"/>
  <c r="F3996" i="8"/>
  <c r="G3996" i="8"/>
  <c r="H3996" i="8"/>
  <c r="I3996" i="8"/>
  <c r="J3996" i="8"/>
  <c r="K3996" i="8"/>
  <c r="L3996" i="8"/>
  <c r="M3996" i="8"/>
  <c r="N3996" i="8"/>
  <c r="O3996" i="8"/>
  <c r="P3996" i="8"/>
  <c r="Q3996" i="8"/>
  <c r="R3996" i="8"/>
  <c r="S3996" i="8"/>
  <c r="T3996" i="8"/>
  <c r="E3997" i="8"/>
  <c r="F3997" i="8"/>
  <c r="G3997" i="8"/>
  <c r="H3997" i="8"/>
  <c r="I3997" i="8"/>
  <c r="J3997" i="8"/>
  <c r="K3997" i="8"/>
  <c r="L3997" i="8"/>
  <c r="M3997" i="8"/>
  <c r="N3997" i="8"/>
  <c r="O3997" i="8"/>
  <c r="P3997" i="8"/>
  <c r="Q3997" i="8"/>
  <c r="R3997" i="8"/>
  <c r="S3997" i="8"/>
  <c r="T3997" i="8"/>
  <c r="E3998" i="8"/>
  <c r="F3998" i="8"/>
  <c r="G3998" i="8"/>
  <c r="H3998" i="8"/>
  <c r="I3998" i="8"/>
  <c r="J3998" i="8"/>
  <c r="K3998" i="8"/>
  <c r="L3998" i="8"/>
  <c r="M3998" i="8"/>
  <c r="N3998" i="8"/>
  <c r="O3998" i="8"/>
  <c r="P3998" i="8"/>
  <c r="Q3998" i="8"/>
  <c r="R3998" i="8"/>
  <c r="S3998" i="8"/>
  <c r="T3998" i="8"/>
  <c r="E3999" i="8"/>
  <c r="F3999" i="8"/>
  <c r="G3999" i="8"/>
  <c r="H3999" i="8"/>
  <c r="I3999" i="8"/>
  <c r="J3999" i="8"/>
  <c r="K3999" i="8"/>
  <c r="L3999" i="8"/>
  <c r="M3999" i="8"/>
  <c r="N3999" i="8"/>
  <c r="O3999" i="8"/>
  <c r="P3999" i="8"/>
  <c r="Q3999" i="8"/>
  <c r="R3999" i="8"/>
  <c r="S3999" i="8"/>
  <c r="T3999" i="8"/>
  <c r="E368" i="7"/>
  <c r="F368" i="7"/>
  <c r="G368" i="7"/>
  <c r="H368" i="7"/>
  <c r="I368" i="7"/>
  <c r="J368" i="7"/>
  <c r="K368" i="7"/>
  <c r="L368" i="7"/>
  <c r="M368" i="7"/>
  <c r="N368" i="7"/>
  <c r="P368" i="7"/>
  <c r="Q368" i="7"/>
  <c r="R368" i="7"/>
  <c r="S368" i="7"/>
  <c r="U368" i="7"/>
  <c r="V368" i="7"/>
  <c r="W368" i="7"/>
  <c r="X368" i="7"/>
  <c r="Y368" i="7"/>
  <c r="Z368" i="7"/>
  <c r="AA368" i="7"/>
  <c r="AC368" i="7"/>
  <c r="AE368" i="7"/>
  <c r="AI368" i="7"/>
  <c r="AO368" i="7"/>
  <c r="AP368" i="7"/>
  <c r="E3978" i="8"/>
  <c r="F3978" i="8"/>
  <c r="G3978" i="8"/>
  <c r="H3978" i="8"/>
  <c r="I3978" i="8"/>
  <c r="J3978" i="8"/>
  <c r="K3978" i="8"/>
  <c r="L3978" i="8"/>
  <c r="M3978" i="8"/>
  <c r="N3978" i="8"/>
  <c r="O3978" i="8"/>
  <c r="P3978" i="8"/>
  <c r="Q3978" i="8"/>
  <c r="R3978" i="8"/>
  <c r="S3978" i="8"/>
  <c r="T3978" i="8"/>
  <c r="E3979" i="8"/>
  <c r="F3979" i="8"/>
  <c r="G3979" i="8"/>
  <c r="H3979" i="8"/>
  <c r="I3979" i="8"/>
  <c r="J3979" i="8"/>
  <c r="K3979" i="8"/>
  <c r="L3979" i="8"/>
  <c r="M3979" i="8"/>
  <c r="N3979" i="8"/>
  <c r="O3979" i="8"/>
  <c r="P3979" i="8"/>
  <c r="Q3979" i="8"/>
  <c r="R3979" i="8"/>
  <c r="S3979" i="8"/>
  <c r="T3979" i="8"/>
  <c r="E3980" i="8"/>
  <c r="F3980" i="8"/>
  <c r="G3980" i="8"/>
  <c r="H3980" i="8"/>
  <c r="I3980" i="8"/>
  <c r="J3980" i="8"/>
  <c r="K3980" i="8"/>
  <c r="L3980" i="8"/>
  <c r="M3980" i="8"/>
  <c r="N3980" i="8"/>
  <c r="O3980" i="8"/>
  <c r="P3980" i="8"/>
  <c r="Q3980" i="8"/>
  <c r="R3980" i="8"/>
  <c r="S3980" i="8"/>
  <c r="T3980" i="8"/>
  <c r="E3981" i="8"/>
  <c r="F3981" i="8"/>
  <c r="G3981" i="8"/>
  <c r="H3981" i="8"/>
  <c r="I3981" i="8"/>
  <c r="J3981" i="8"/>
  <c r="K3981" i="8"/>
  <c r="L3981" i="8"/>
  <c r="M3981" i="8"/>
  <c r="N3981" i="8"/>
  <c r="O3981" i="8"/>
  <c r="P3981" i="8"/>
  <c r="Q3981" i="8"/>
  <c r="R3981" i="8"/>
  <c r="S3981" i="8"/>
  <c r="T3981" i="8"/>
  <c r="E3982" i="8"/>
  <c r="F3982" i="8"/>
  <c r="G3982" i="8"/>
  <c r="H3982" i="8"/>
  <c r="I3982" i="8"/>
  <c r="J3982" i="8"/>
  <c r="K3982" i="8"/>
  <c r="L3982" i="8"/>
  <c r="M3982" i="8"/>
  <c r="N3982" i="8"/>
  <c r="O3982" i="8"/>
  <c r="P3982" i="8"/>
  <c r="Q3982" i="8"/>
  <c r="R3982" i="8"/>
  <c r="S3982" i="8"/>
  <c r="T3982" i="8"/>
  <c r="E3983" i="8"/>
  <c r="F3983" i="8"/>
  <c r="G3983" i="8"/>
  <c r="H3983" i="8"/>
  <c r="I3983" i="8"/>
  <c r="J3983" i="8"/>
  <c r="K3983" i="8"/>
  <c r="L3983" i="8"/>
  <c r="M3983" i="8"/>
  <c r="N3983" i="8"/>
  <c r="O3983" i="8"/>
  <c r="P3983" i="8"/>
  <c r="Q3983" i="8"/>
  <c r="R3983" i="8"/>
  <c r="S3983" i="8"/>
  <c r="T3983" i="8"/>
  <c r="E3984" i="8"/>
  <c r="F3984" i="8"/>
  <c r="G3984" i="8"/>
  <c r="H3984" i="8"/>
  <c r="I3984" i="8"/>
  <c r="J3984" i="8"/>
  <c r="K3984" i="8"/>
  <c r="L3984" i="8"/>
  <c r="M3984" i="8"/>
  <c r="N3984" i="8"/>
  <c r="O3984" i="8"/>
  <c r="P3984" i="8"/>
  <c r="Q3984" i="8"/>
  <c r="R3984" i="8"/>
  <c r="S3984" i="8"/>
  <c r="T3984" i="8"/>
  <c r="E3985" i="8"/>
  <c r="F3985" i="8"/>
  <c r="G3985" i="8"/>
  <c r="H3985" i="8"/>
  <c r="I3985" i="8"/>
  <c r="J3985" i="8"/>
  <c r="K3985" i="8"/>
  <c r="L3985" i="8"/>
  <c r="M3985" i="8"/>
  <c r="N3985" i="8"/>
  <c r="O3985" i="8"/>
  <c r="P3985" i="8"/>
  <c r="Q3985" i="8"/>
  <c r="R3985" i="8"/>
  <c r="S3985" i="8"/>
  <c r="T3985" i="8"/>
  <c r="E3986" i="8"/>
  <c r="F3986" i="8"/>
  <c r="G3986" i="8"/>
  <c r="H3986" i="8"/>
  <c r="I3986" i="8"/>
  <c r="J3986" i="8"/>
  <c r="K3986" i="8"/>
  <c r="L3986" i="8"/>
  <c r="M3986" i="8"/>
  <c r="N3986" i="8"/>
  <c r="O3986" i="8"/>
  <c r="P3986" i="8"/>
  <c r="Q3986" i="8"/>
  <c r="R3986" i="8"/>
  <c r="S3986" i="8"/>
  <c r="T3986" i="8"/>
  <c r="E3987" i="8"/>
  <c r="F3987" i="8"/>
  <c r="G3987" i="8"/>
  <c r="H3987" i="8"/>
  <c r="I3987" i="8"/>
  <c r="J3987" i="8"/>
  <c r="K3987" i="8"/>
  <c r="L3987" i="8"/>
  <c r="M3987" i="8"/>
  <c r="N3987" i="8"/>
  <c r="O3987" i="8"/>
  <c r="P3987" i="8"/>
  <c r="Q3987" i="8"/>
  <c r="R3987" i="8"/>
  <c r="S3987" i="8"/>
  <c r="T3987" i="8"/>
  <c r="E3988" i="8"/>
  <c r="F3988" i="8"/>
  <c r="G3988" i="8"/>
  <c r="H3988" i="8"/>
  <c r="I3988" i="8"/>
  <c r="J3988" i="8"/>
  <c r="K3988" i="8"/>
  <c r="L3988" i="8"/>
  <c r="M3988" i="8"/>
  <c r="N3988" i="8"/>
  <c r="O3988" i="8"/>
  <c r="P3988" i="8"/>
  <c r="Q3988" i="8"/>
  <c r="R3988" i="8"/>
  <c r="S3988" i="8"/>
  <c r="T3988" i="8"/>
  <c r="E367" i="7"/>
  <c r="F367" i="7"/>
  <c r="G367" i="7"/>
  <c r="H367" i="7"/>
  <c r="I367" i="7"/>
  <c r="J367" i="7"/>
  <c r="K367" i="7"/>
  <c r="L367" i="7"/>
  <c r="M367" i="7"/>
  <c r="N367" i="7"/>
  <c r="P367" i="7"/>
  <c r="Q367" i="7"/>
  <c r="R367" i="7"/>
  <c r="S367" i="7"/>
  <c r="U367" i="7"/>
  <c r="V367" i="7"/>
  <c r="W367" i="7"/>
  <c r="X367" i="7"/>
  <c r="Y367" i="7"/>
  <c r="Z367" i="7"/>
  <c r="AA367" i="7"/>
  <c r="AC367" i="7"/>
  <c r="AE367" i="7"/>
  <c r="AI367" i="7"/>
  <c r="AO367" i="7"/>
  <c r="AP367" i="7"/>
  <c r="E3967" i="8"/>
  <c r="F3967" i="8"/>
  <c r="G3967" i="8"/>
  <c r="H3967" i="8"/>
  <c r="I3967" i="8"/>
  <c r="J3967" i="8"/>
  <c r="K3967" i="8"/>
  <c r="L3967" i="8"/>
  <c r="M3967" i="8"/>
  <c r="N3967" i="8"/>
  <c r="O3967" i="8"/>
  <c r="P3967" i="8"/>
  <c r="Q3967" i="8"/>
  <c r="R3967" i="8"/>
  <c r="S3967" i="8"/>
  <c r="T3967" i="8"/>
  <c r="E3968" i="8"/>
  <c r="F3968" i="8"/>
  <c r="G3968" i="8"/>
  <c r="H3968" i="8"/>
  <c r="I3968" i="8"/>
  <c r="J3968" i="8"/>
  <c r="K3968" i="8"/>
  <c r="L3968" i="8"/>
  <c r="M3968" i="8"/>
  <c r="N3968" i="8"/>
  <c r="O3968" i="8"/>
  <c r="P3968" i="8"/>
  <c r="Q3968" i="8"/>
  <c r="R3968" i="8"/>
  <c r="S3968" i="8"/>
  <c r="T3968" i="8"/>
  <c r="E3969" i="8"/>
  <c r="F3969" i="8"/>
  <c r="G3969" i="8"/>
  <c r="H3969" i="8"/>
  <c r="I3969" i="8"/>
  <c r="J3969" i="8"/>
  <c r="K3969" i="8"/>
  <c r="L3969" i="8"/>
  <c r="M3969" i="8"/>
  <c r="N3969" i="8"/>
  <c r="O3969" i="8"/>
  <c r="P3969" i="8"/>
  <c r="Q3969" i="8"/>
  <c r="R3969" i="8"/>
  <c r="S3969" i="8"/>
  <c r="T3969" i="8"/>
  <c r="E3970" i="8"/>
  <c r="F3970" i="8"/>
  <c r="G3970" i="8"/>
  <c r="H3970" i="8"/>
  <c r="I3970" i="8"/>
  <c r="J3970" i="8"/>
  <c r="K3970" i="8"/>
  <c r="L3970" i="8"/>
  <c r="M3970" i="8"/>
  <c r="N3970" i="8"/>
  <c r="O3970" i="8"/>
  <c r="P3970" i="8"/>
  <c r="Q3970" i="8"/>
  <c r="R3970" i="8"/>
  <c r="S3970" i="8"/>
  <c r="T3970" i="8"/>
  <c r="E3971" i="8"/>
  <c r="F3971" i="8"/>
  <c r="G3971" i="8"/>
  <c r="H3971" i="8"/>
  <c r="I3971" i="8"/>
  <c r="J3971" i="8"/>
  <c r="K3971" i="8"/>
  <c r="L3971" i="8"/>
  <c r="M3971" i="8"/>
  <c r="N3971" i="8"/>
  <c r="O3971" i="8"/>
  <c r="P3971" i="8"/>
  <c r="Q3971" i="8"/>
  <c r="R3971" i="8"/>
  <c r="S3971" i="8"/>
  <c r="T3971" i="8"/>
  <c r="E3972" i="8"/>
  <c r="F3972" i="8"/>
  <c r="G3972" i="8"/>
  <c r="H3972" i="8"/>
  <c r="I3972" i="8"/>
  <c r="J3972" i="8"/>
  <c r="K3972" i="8"/>
  <c r="L3972" i="8"/>
  <c r="M3972" i="8"/>
  <c r="N3972" i="8"/>
  <c r="O3972" i="8"/>
  <c r="P3972" i="8"/>
  <c r="Q3972" i="8"/>
  <c r="R3972" i="8"/>
  <c r="S3972" i="8"/>
  <c r="T3972" i="8"/>
  <c r="E3973" i="8"/>
  <c r="F3973" i="8"/>
  <c r="G3973" i="8"/>
  <c r="H3973" i="8"/>
  <c r="I3973" i="8"/>
  <c r="J3973" i="8"/>
  <c r="K3973" i="8"/>
  <c r="L3973" i="8"/>
  <c r="M3973" i="8"/>
  <c r="N3973" i="8"/>
  <c r="O3973" i="8"/>
  <c r="P3973" i="8"/>
  <c r="Q3973" i="8"/>
  <c r="R3973" i="8"/>
  <c r="S3973" i="8"/>
  <c r="T3973" i="8"/>
  <c r="E3974" i="8"/>
  <c r="F3974" i="8"/>
  <c r="G3974" i="8"/>
  <c r="H3974" i="8"/>
  <c r="I3974" i="8"/>
  <c r="J3974" i="8"/>
  <c r="K3974" i="8"/>
  <c r="L3974" i="8"/>
  <c r="M3974" i="8"/>
  <c r="N3974" i="8"/>
  <c r="O3974" i="8"/>
  <c r="P3974" i="8"/>
  <c r="Q3974" i="8"/>
  <c r="R3974" i="8"/>
  <c r="S3974" i="8"/>
  <c r="T3974" i="8"/>
  <c r="E3975" i="8"/>
  <c r="F3975" i="8"/>
  <c r="G3975" i="8"/>
  <c r="H3975" i="8"/>
  <c r="I3975" i="8"/>
  <c r="J3975" i="8"/>
  <c r="K3975" i="8"/>
  <c r="L3975" i="8"/>
  <c r="M3975" i="8"/>
  <c r="N3975" i="8"/>
  <c r="O3975" i="8"/>
  <c r="P3975" i="8"/>
  <c r="Q3975" i="8"/>
  <c r="R3975" i="8"/>
  <c r="S3975" i="8"/>
  <c r="T3975" i="8"/>
  <c r="E3976" i="8"/>
  <c r="F3976" i="8"/>
  <c r="G3976" i="8"/>
  <c r="H3976" i="8"/>
  <c r="I3976" i="8"/>
  <c r="J3976" i="8"/>
  <c r="K3976" i="8"/>
  <c r="L3976" i="8"/>
  <c r="M3976" i="8"/>
  <c r="N3976" i="8"/>
  <c r="O3976" i="8"/>
  <c r="P3976" i="8"/>
  <c r="Q3976" i="8"/>
  <c r="R3976" i="8"/>
  <c r="S3976" i="8"/>
  <c r="T3976" i="8"/>
  <c r="E3977" i="8"/>
  <c r="F3977" i="8"/>
  <c r="G3977" i="8"/>
  <c r="H3977" i="8"/>
  <c r="I3977" i="8"/>
  <c r="J3977" i="8"/>
  <c r="K3977" i="8"/>
  <c r="L3977" i="8"/>
  <c r="M3977" i="8"/>
  <c r="N3977" i="8"/>
  <c r="O3977" i="8"/>
  <c r="P3977" i="8"/>
  <c r="Q3977" i="8"/>
  <c r="R3977" i="8"/>
  <c r="S3977" i="8"/>
  <c r="T3977" i="8"/>
  <c r="E366" i="7"/>
  <c r="F366" i="7"/>
  <c r="G366" i="7"/>
  <c r="H366" i="7"/>
  <c r="I366" i="7"/>
  <c r="J366" i="7"/>
  <c r="K366" i="7"/>
  <c r="L366" i="7"/>
  <c r="M366" i="7"/>
  <c r="N366" i="7"/>
  <c r="P366" i="7"/>
  <c r="Q366" i="7"/>
  <c r="R366" i="7"/>
  <c r="S366" i="7"/>
  <c r="U366" i="7"/>
  <c r="V366" i="7"/>
  <c r="W366" i="7"/>
  <c r="X366" i="7"/>
  <c r="Y366" i="7"/>
  <c r="Z366" i="7"/>
  <c r="AA366" i="7"/>
  <c r="AC366" i="7"/>
  <c r="AE366" i="7"/>
  <c r="AI366" i="7"/>
  <c r="AO366" i="7"/>
  <c r="AP366" i="7"/>
  <c r="E3956" i="8"/>
  <c r="F3956" i="8"/>
  <c r="G3956" i="8"/>
  <c r="H3956" i="8"/>
  <c r="I3956" i="8"/>
  <c r="J3956" i="8"/>
  <c r="K3956" i="8"/>
  <c r="L3956" i="8"/>
  <c r="M3956" i="8"/>
  <c r="N3956" i="8"/>
  <c r="O3956" i="8"/>
  <c r="P3956" i="8"/>
  <c r="Q3956" i="8"/>
  <c r="R3956" i="8"/>
  <c r="S3956" i="8"/>
  <c r="T3956" i="8"/>
  <c r="E3957" i="8"/>
  <c r="F3957" i="8"/>
  <c r="G3957" i="8"/>
  <c r="H3957" i="8"/>
  <c r="I3957" i="8"/>
  <c r="J3957" i="8"/>
  <c r="K3957" i="8"/>
  <c r="L3957" i="8"/>
  <c r="M3957" i="8"/>
  <c r="N3957" i="8"/>
  <c r="O3957" i="8"/>
  <c r="P3957" i="8"/>
  <c r="Q3957" i="8"/>
  <c r="R3957" i="8"/>
  <c r="S3957" i="8"/>
  <c r="T3957" i="8"/>
  <c r="E3958" i="8"/>
  <c r="F3958" i="8"/>
  <c r="G3958" i="8"/>
  <c r="H3958" i="8"/>
  <c r="I3958" i="8"/>
  <c r="J3958" i="8"/>
  <c r="K3958" i="8"/>
  <c r="L3958" i="8"/>
  <c r="M3958" i="8"/>
  <c r="N3958" i="8"/>
  <c r="O3958" i="8"/>
  <c r="P3958" i="8"/>
  <c r="Q3958" i="8"/>
  <c r="R3958" i="8"/>
  <c r="S3958" i="8"/>
  <c r="T3958" i="8"/>
  <c r="E3959" i="8"/>
  <c r="F3959" i="8"/>
  <c r="G3959" i="8"/>
  <c r="H3959" i="8"/>
  <c r="I3959" i="8"/>
  <c r="J3959" i="8"/>
  <c r="K3959" i="8"/>
  <c r="L3959" i="8"/>
  <c r="M3959" i="8"/>
  <c r="N3959" i="8"/>
  <c r="O3959" i="8"/>
  <c r="P3959" i="8"/>
  <c r="Q3959" i="8"/>
  <c r="R3959" i="8"/>
  <c r="S3959" i="8"/>
  <c r="T3959" i="8"/>
  <c r="E3960" i="8"/>
  <c r="F3960" i="8"/>
  <c r="G3960" i="8"/>
  <c r="H3960" i="8"/>
  <c r="I3960" i="8"/>
  <c r="J3960" i="8"/>
  <c r="K3960" i="8"/>
  <c r="L3960" i="8"/>
  <c r="M3960" i="8"/>
  <c r="N3960" i="8"/>
  <c r="O3960" i="8"/>
  <c r="P3960" i="8"/>
  <c r="Q3960" i="8"/>
  <c r="R3960" i="8"/>
  <c r="S3960" i="8"/>
  <c r="T3960" i="8"/>
  <c r="E3961" i="8"/>
  <c r="F3961" i="8"/>
  <c r="G3961" i="8"/>
  <c r="H3961" i="8"/>
  <c r="I3961" i="8"/>
  <c r="J3961" i="8"/>
  <c r="K3961" i="8"/>
  <c r="L3961" i="8"/>
  <c r="M3961" i="8"/>
  <c r="N3961" i="8"/>
  <c r="O3961" i="8"/>
  <c r="P3961" i="8"/>
  <c r="Q3961" i="8"/>
  <c r="R3961" i="8"/>
  <c r="S3961" i="8"/>
  <c r="T3961" i="8"/>
  <c r="E3962" i="8"/>
  <c r="F3962" i="8"/>
  <c r="G3962" i="8"/>
  <c r="H3962" i="8"/>
  <c r="I3962" i="8"/>
  <c r="J3962" i="8"/>
  <c r="K3962" i="8"/>
  <c r="L3962" i="8"/>
  <c r="M3962" i="8"/>
  <c r="N3962" i="8"/>
  <c r="O3962" i="8"/>
  <c r="P3962" i="8"/>
  <c r="Q3962" i="8"/>
  <c r="R3962" i="8"/>
  <c r="S3962" i="8"/>
  <c r="T3962" i="8"/>
  <c r="E3963" i="8"/>
  <c r="F3963" i="8"/>
  <c r="G3963" i="8"/>
  <c r="H3963" i="8"/>
  <c r="I3963" i="8"/>
  <c r="J3963" i="8"/>
  <c r="K3963" i="8"/>
  <c r="L3963" i="8"/>
  <c r="M3963" i="8"/>
  <c r="N3963" i="8"/>
  <c r="O3963" i="8"/>
  <c r="P3963" i="8"/>
  <c r="Q3963" i="8"/>
  <c r="R3963" i="8"/>
  <c r="S3963" i="8"/>
  <c r="T3963" i="8"/>
  <c r="E3964" i="8"/>
  <c r="F3964" i="8"/>
  <c r="G3964" i="8"/>
  <c r="H3964" i="8"/>
  <c r="I3964" i="8"/>
  <c r="J3964" i="8"/>
  <c r="K3964" i="8"/>
  <c r="L3964" i="8"/>
  <c r="M3964" i="8"/>
  <c r="N3964" i="8"/>
  <c r="O3964" i="8"/>
  <c r="P3964" i="8"/>
  <c r="Q3964" i="8"/>
  <c r="R3964" i="8"/>
  <c r="S3964" i="8"/>
  <c r="T3964" i="8"/>
  <c r="E3965" i="8"/>
  <c r="F3965" i="8"/>
  <c r="G3965" i="8"/>
  <c r="H3965" i="8"/>
  <c r="I3965" i="8"/>
  <c r="J3965" i="8"/>
  <c r="K3965" i="8"/>
  <c r="L3965" i="8"/>
  <c r="M3965" i="8"/>
  <c r="N3965" i="8"/>
  <c r="O3965" i="8"/>
  <c r="P3965" i="8"/>
  <c r="Q3965" i="8"/>
  <c r="R3965" i="8"/>
  <c r="S3965" i="8"/>
  <c r="T3965" i="8"/>
  <c r="E3966" i="8"/>
  <c r="F3966" i="8"/>
  <c r="G3966" i="8"/>
  <c r="H3966" i="8"/>
  <c r="I3966" i="8"/>
  <c r="J3966" i="8"/>
  <c r="K3966" i="8"/>
  <c r="L3966" i="8"/>
  <c r="M3966" i="8"/>
  <c r="N3966" i="8"/>
  <c r="O3966" i="8"/>
  <c r="P3966" i="8"/>
  <c r="Q3966" i="8"/>
  <c r="R3966" i="8"/>
  <c r="S3966" i="8"/>
  <c r="T3966" i="8"/>
  <c r="E365" i="7"/>
  <c r="F365" i="7"/>
  <c r="G365" i="7"/>
  <c r="H365" i="7"/>
  <c r="I365" i="7"/>
  <c r="J365" i="7"/>
  <c r="K365" i="7"/>
  <c r="L365" i="7"/>
  <c r="M365" i="7"/>
  <c r="N365" i="7"/>
  <c r="P365" i="7"/>
  <c r="Q365" i="7"/>
  <c r="R365" i="7"/>
  <c r="S365" i="7"/>
  <c r="U365" i="7"/>
  <c r="V365" i="7"/>
  <c r="W365" i="7"/>
  <c r="X365" i="7"/>
  <c r="Y365" i="7"/>
  <c r="Z365" i="7"/>
  <c r="AA365" i="7"/>
  <c r="AC365" i="7"/>
  <c r="AE365" i="7"/>
  <c r="AI365" i="7"/>
  <c r="AO365" i="7"/>
  <c r="AP365" i="7"/>
  <c r="E3945" i="8"/>
  <c r="F3945" i="8"/>
  <c r="G3945" i="8"/>
  <c r="H3945" i="8"/>
  <c r="I3945" i="8"/>
  <c r="J3945" i="8"/>
  <c r="K3945" i="8"/>
  <c r="L3945" i="8"/>
  <c r="M3945" i="8"/>
  <c r="N3945" i="8"/>
  <c r="O3945" i="8"/>
  <c r="P3945" i="8"/>
  <c r="Q3945" i="8"/>
  <c r="R3945" i="8"/>
  <c r="S3945" i="8"/>
  <c r="T3945" i="8"/>
  <c r="E3946" i="8"/>
  <c r="F3946" i="8"/>
  <c r="G3946" i="8"/>
  <c r="H3946" i="8"/>
  <c r="I3946" i="8"/>
  <c r="J3946" i="8"/>
  <c r="K3946" i="8"/>
  <c r="L3946" i="8"/>
  <c r="M3946" i="8"/>
  <c r="N3946" i="8"/>
  <c r="O3946" i="8"/>
  <c r="P3946" i="8"/>
  <c r="Q3946" i="8"/>
  <c r="R3946" i="8"/>
  <c r="S3946" i="8"/>
  <c r="T3946" i="8"/>
  <c r="E3947" i="8"/>
  <c r="F3947" i="8"/>
  <c r="G3947" i="8"/>
  <c r="H3947" i="8"/>
  <c r="I3947" i="8"/>
  <c r="J3947" i="8"/>
  <c r="K3947" i="8"/>
  <c r="L3947" i="8"/>
  <c r="M3947" i="8"/>
  <c r="N3947" i="8"/>
  <c r="O3947" i="8"/>
  <c r="P3947" i="8"/>
  <c r="Q3947" i="8"/>
  <c r="R3947" i="8"/>
  <c r="S3947" i="8"/>
  <c r="T3947" i="8"/>
  <c r="E3948" i="8"/>
  <c r="F3948" i="8"/>
  <c r="G3948" i="8"/>
  <c r="H3948" i="8"/>
  <c r="I3948" i="8"/>
  <c r="J3948" i="8"/>
  <c r="K3948" i="8"/>
  <c r="L3948" i="8"/>
  <c r="M3948" i="8"/>
  <c r="N3948" i="8"/>
  <c r="O3948" i="8"/>
  <c r="P3948" i="8"/>
  <c r="Q3948" i="8"/>
  <c r="R3948" i="8"/>
  <c r="S3948" i="8"/>
  <c r="T3948" i="8"/>
  <c r="E3949" i="8"/>
  <c r="F3949" i="8"/>
  <c r="G3949" i="8"/>
  <c r="H3949" i="8"/>
  <c r="I3949" i="8"/>
  <c r="J3949" i="8"/>
  <c r="K3949" i="8"/>
  <c r="L3949" i="8"/>
  <c r="M3949" i="8"/>
  <c r="N3949" i="8"/>
  <c r="O3949" i="8"/>
  <c r="P3949" i="8"/>
  <c r="Q3949" i="8"/>
  <c r="R3949" i="8"/>
  <c r="S3949" i="8"/>
  <c r="T3949" i="8"/>
  <c r="E3950" i="8"/>
  <c r="F3950" i="8"/>
  <c r="G3950" i="8"/>
  <c r="H3950" i="8"/>
  <c r="I3950" i="8"/>
  <c r="J3950" i="8"/>
  <c r="K3950" i="8"/>
  <c r="L3950" i="8"/>
  <c r="M3950" i="8"/>
  <c r="N3950" i="8"/>
  <c r="O3950" i="8"/>
  <c r="P3950" i="8"/>
  <c r="Q3950" i="8"/>
  <c r="R3950" i="8"/>
  <c r="S3950" i="8"/>
  <c r="T3950" i="8"/>
  <c r="E3951" i="8"/>
  <c r="F3951" i="8"/>
  <c r="G3951" i="8"/>
  <c r="H3951" i="8"/>
  <c r="I3951" i="8"/>
  <c r="J3951" i="8"/>
  <c r="K3951" i="8"/>
  <c r="L3951" i="8"/>
  <c r="M3951" i="8"/>
  <c r="N3951" i="8"/>
  <c r="O3951" i="8"/>
  <c r="P3951" i="8"/>
  <c r="Q3951" i="8"/>
  <c r="R3951" i="8"/>
  <c r="S3951" i="8"/>
  <c r="T3951" i="8"/>
  <c r="E3952" i="8"/>
  <c r="F3952" i="8"/>
  <c r="G3952" i="8"/>
  <c r="H3952" i="8"/>
  <c r="I3952" i="8"/>
  <c r="J3952" i="8"/>
  <c r="K3952" i="8"/>
  <c r="L3952" i="8"/>
  <c r="M3952" i="8"/>
  <c r="N3952" i="8"/>
  <c r="O3952" i="8"/>
  <c r="P3952" i="8"/>
  <c r="Q3952" i="8"/>
  <c r="R3952" i="8"/>
  <c r="S3952" i="8"/>
  <c r="T3952" i="8"/>
  <c r="E3953" i="8"/>
  <c r="F3953" i="8"/>
  <c r="G3953" i="8"/>
  <c r="H3953" i="8"/>
  <c r="I3953" i="8"/>
  <c r="J3953" i="8"/>
  <c r="K3953" i="8"/>
  <c r="L3953" i="8"/>
  <c r="M3953" i="8"/>
  <c r="N3953" i="8"/>
  <c r="O3953" i="8"/>
  <c r="P3953" i="8"/>
  <c r="Q3953" i="8"/>
  <c r="R3953" i="8"/>
  <c r="S3953" i="8"/>
  <c r="T3953" i="8"/>
  <c r="E3954" i="8"/>
  <c r="F3954" i="8"/>
  <c r="G3954" i="8"/>
  <c r="H3954" i="8"/>
  <c r="I3954" i="8"/>
  <c r="J3954" i="8"/>
  <c r="K3954" i="8"/>
  <c r="L3954" i="8"/>
  <c r="M3954" i="8"/>
  <c r="N3954" i="8"/>
  <c r="O3954" i="8"/>
  <c r="P3954" i="8"/>
  <c r="Q3954" i="8"/>
  <c r="R3954" i="8"/>
  <c r="S3954" i="8"/>
  <c r="T3954" i="8"/>
  <c r="E3955" i="8"/>
  <c r="F3955" i="8"/>
  <c r="G3955" i="8"/>
  <c r="H3955" i="8"/>
  <c r="I3955" i="8"/>
  <c r="J3955" i="8"/>
  <c r="K3955" i="8"/>
  <c r="L3955" i="8"/>
  <c r="M3955" i="8"/>
  <c r="N3955" i="8"/>
  <c r="O3955" i="8"/>
  <c r="P3955" i="8"/>
  <c r="Q3955" i="8"/>
  <c r="R3955" i="8"/>
  <c r="S3955" i="8"/>
  <c r="T3955" i="8"/>
  <c r="E364" i="7"/>
  <c r="F364" i="7"/>
  <c r="G364" i="7"/>
  <c r="H364" i="7"/>
  <c r="I364" i="7"/>
  <c r="J364" i="7"/>
  <c r="K364" i="7"/>
  <c r="L364" i="7"/>
  <c r="M364" i="7"/>
  <c r="N364" i="7"/>
  <c r="P364" i="7"/>
  <c r="Q364" i="7"/>
  <c r="R364" i="7"/>
  <c r="S364" i="7"/>
  <c r="U364" i="7"/>
  <c r="V364" i="7"/>
  <c r="W364" i="7"/>
  <c r="X364" i="7"/>
  <c r="Y364" i="7"/>
  <c r="Z364" i="7"/>
  <c r="AA364" i="7"/>
  <c r="AC364" i="7"/>
  <c r="AE364" i="7"/>
  <c r="AI364" i="7"/>
  <c r="AO364" i="7"/>
  <c r="AP364" i="7"/>
  <c r="E3934" i="8"/>
  <c r="F3934" i="8"/>
  <c r="G3934" i="8"/>
  <c r="H3934" i="8"/>
  <c r="I3934" i="8"/>
  <c r="J3934" i="8"/>
  <c r="K3934" i="8"/>
  <c r="L3934" i="8"/>
  <c r="M3934" i="8"/>
  <c r="N3934" i="8"/>
  <c r="O3934" i="8"/>
  <c r="P3934" i="8"/>
  <c r="Q3934" i="8"/>
  <c r="R3934" i="8"/>
  <c r="S3934" i="8"/>
  <c r="T3934" i="8"/>
  <c r="E3935" i="8"/>
  <c r="F3935" i="8"/>
  <c r="G3935" i="8"/>
  <c r="H3935" i="8"/>
  <c r="I3935" i="8"/>
  <c r="J3935" i="8"/>
  <c r="K3935" i="8"/>
  <c r="L3935" i="8"/>
  <c r="M3935" i="8"/>
  <c r="N3935" i="8"/>
  <c r="O3935" i="8"/>
  <c r="P3935" i="8"/>
  <c r="Q3935" i="8"/>
  <c r="R3935" i="8"/>
  <c r="S3935" i="8"/>
  <c r="T3935" i="8"/>
  <c r="E3936" i="8"/>
  <c r="F3936" i="8"/>
  <c r="G3936" i="8"/>
  <c r="H3936" i="8"/>
  <c r="I3936" i="8"/>
  <c r="J3936" i="8"/>
  <c r="K3936" i="8"/>
  <c r="L3936" i="8"/>
  <c r="M3936" i="8"/>
  <c r="N3936" i="8"/>
  <c r="O3936" i="8"/>
  <c r="P3936" i="8"/>
  <c r="Q3936" i="8"/>
  <c r="R3936" i="8"/>
  <c r="S3936" i="8"/>
  <c r="T3936" i="8"/>
  <c r="E3937" i="8"/>
  <c r="F3937" i="8"/>
  <c r="G3937" i="8"/>
  <c r="H3937" i="8"/>
  <c r="I3937" i="8"/>
  <c r="J3937" i="8"/>
  <c r="K3937" i="8"/>
  <c r="L3937" i="8"/>
  <c r="M3937" i="8"/>
  <c r="N3937" i="8"/>
  <c r="O3937" i="8"/>
  <c r="P3937" i="8"/>
  <c r="Q3937" i="8"/>
  <c r="R3937" i="8"/>
  <c r="S3937" i="8"/>
  <c r="T3937" i="8"/>
  <c r="E3938" i="8"/>
  <c r="F3938" i="8"/>
  <c r="G3938" i="8"/>
  <c r="H3938" i="8"/>
  <c r="I3938" i="8"/>
  <c r="J3938" i="8"/>
  <c r="K3938" i="8"/>
  <c r="L3938" i="8"/>
  <c r="M3938" i="8"/>
  <c r="N3938" i="8"/>
  <c r="O3938" i="8"/>
  <c r="P3938" i="8"/>
  <c r="Q3938" i="8"/>
  <c r="R3938" i="8"/>
  <c r="S3938" i="8"/>
  <c r="T3938" i="8"/>
  <c r="E3939" i="8"/>
  <c r="F3939" i="8"/>
  <c r="G3939" i="8"/>
  <c r="H3939" i="8"/>
  <c r="I3939" i="8"/>
  <c r="J3939" i="8"/>
  <c r="K3939" i="8"/>
  <c r="L3939" i="8"/>
  <c r="M3939" i="8"/>
  <c r="N3939" i="8"/>
  <c r="O3939" i="8"/>
  <c r="P3939" i="8"/>
  <c r="Q3939" i="8"/>
  <c r="R3939" i="8"/>
  <c r="S3939" i="8"/>
  <c r="T3939" i="8"/>
  <c r="E3940" i="8"/>
  <c r="F3940" i="8"/>
  <c r="G3940" i="8"/>
  <c r="H3940" i="8"/>
  <c r="I3940" i="8"/>
  <c r="J3940" i="8"/>
  <c r="K3940" i="8"/>
  <c r="L3940" i="8"/>
  <c r="M3940" i="8"/>
  <c r="N3940" i="8"/>
  <c r="O3940" i="8"/>
  <c r="P3940" i="8"/>
  <c r="Q3940" i="8"/>
  <c r="R3940" i="8"/>
  <c r="S3940" i="8"/>
  <c r="T3940" i="8"/>
  <c r="E3941" i="8"/>
  <c r="F3941" i="8"/>
  <c r="G3941" i="8"/>
  <c r="H3941" i="8"/>
  <c r="I3941" i="8"/>
  <c r="J3941" i="8"/>
  <c r="K3941" i="8"/>
  <c r="L3941" i="8"/>
  <c r="M3941" i="8"/>
  <c r="N3941" i="8"/>
  <c r="O3941" i="8"/>
  <c r="P3941" i="8"/>
  <c r="Q3941" i="8"/>
  <c r="R3941" i="8"/>
  <c r="S3941" i="8"/>
  <c r="T3941" i="8"/>
  <c r="E3942" i="8"/>
  <c r="F3942" i="8"/>
  <c r="G3942" i="8"/>
  <c r="H3942" i="8"/>
  <c r="I3942" i="8"/>
  <c r="J3942" i="8"/>
  <c r="K3942" i="8"/>
  <c r="L3942" i="8"/>
  <c r="M3942" i="8"/>
  <c r="N3942" i="8"/>
  <c r="O3942" i="8"/>
  <c r="P3942" i="8"/>
  <c r="Q3942" i="8"/>
  <c r="R3942" i="8"/>
  <c r="S3942" i="8"/>
  <c r="T3942" i="8"/>
  <c r="E3943" i="8"/>
  <c r="F3943" i="8"/>
  <c r="G3943" i="8"/>
  <c r="H3943" i="8"/>
  <c r="I3943" i="8"/>
  <c r="J3943" i="8"/>
  <c r="K3943" i="8"/>
  <c r="L3943" i="8"/>
  <c r="M3943" i="8"/>
  <c r="N3943" i="8"/>
  <c r="O3943" i="8"/>
  <c r="P3943" i="8"/>
  <c r="Q3943" i="8"/>
  <c r="R3943" i="8"/>
  <c r="S3943" i="8"/>
  <c r="T3943" i="8"/>
  <c r="E3944" i="8"/>
  <c r="F3944" i="8"/>
  <c r="G3944" i="8"/>
  <c r="H3944" i="8"/>
  <c r="I3944" i="8"/>
  <c r="J3944" i="8"/>
  <c r="K3944" i="8"/>
  <c r="L3944" i="8"/>
  <c r="M3944" i="8"/>
  <c r="N3944" i="8"/>
  <c r="O3944" i="8"/>
  <c r="P3944" i="8"/>
  <c r="Q3944" i="8"/>
  <c r="R3944" i="8"/>
  <c r="S3944" i="8"/>
  <c r="T3944" i="8"/>
  <c r="E363" i="7"/>
  <c r="F363" i="7"/>
  <c r="G363" i="7"/>
  <c r="H363" i="7"/>
  <c r="I363" i="7"/>
  <c r="J363" i="7"/>
  <c r="K363" i="7"/>
  <c r="L363" i="7"/>
  <c r="M363" i="7"/>
  <c r="N363" i="7"/>
  <c r="P363" i="7"/>
  <c r="Q363" i="7"/>
  <c r="R363" i="7"/>
  <c r="S363" i="7"/>
  <c r="U363" i="7"/>
  <c r="V363" i="7"/>
  <c r="W363" i="7"/>
  <c r="X363" i="7"/>
  <c r="Y363" i="7"/>
  <c r="Z363" i="7"/>
  <c r="AA363" i="7"/>
  <c r="AC363" i="7"/>
  <c r="AE363" i="7"/>
  <c r="AI363" i="7"/>
  <c r="AO363" i="7"/>
  <c r="AP363" i="7"/>
  <c r="E3923" i="8"/>
  <c r="F3923" i="8"/>
  <c r="G3923" i="8"/>
  <c r="H3923" i="8"/>
  <c r="I3923" i="8"/>
  <c r="J3923" i="8"/>
  <c r="K3923" i="8"/>
  <c r="L3923" i="8"/>
  <c r="M3923" i="8"/>
  <c r="N3923" i="8"/>
  <c r="O3923" i="8"/>
  <c r="P3923" i="8"/>
  <c r="Q3923" i="8"/>
  <c r="R3923" i="8"/>
  <c r="S3923" i="8"/>
  <c r="T3923" i="8"/>
  <c r="E3924" i="8"/>
  <c r="F3924" i="8"/>
  <c r="G3924" i="8"/>
  <c r="H3924" i="8"/>
  <c r="I3924" i="8"/>
  <c r="J3924" i="8"/>
  <c r="K3924" i="8"/>
  <c r="L3924" i="8"/>
  <c r="M3924" i="8"/>
  <c r="N3924" i="8"/>
  <c r="O3924" i="8"/>
  <c r="P3924" i="8"/>
  <c r="Q3924" i="8"/>
  <c r="R3924" i="8"/>
  <c r="S3924" i="8"/>
  <c r="T3924" i="8"/>
  <c r="E3925" i="8"/>
  <c r="F3925" i="8"/>
  <c r="G3925" i="8"/>
  <c r="H3925" i="8"/>
  <c r="I3925" i="8"/>
  <c r="J3925" i="8"/>
  <c r="K3925" i="8"/>
  <c r="L3925" i="8"/>
  <c r="M3925" i="8"/>
  <c r="N3925" i="8"/>
  <c r="O3925" i="8"/>
  <c r="P3925" i="8"/>
  <c r="Q3925" i="8"/>
  <c r="R3925" i="8"/>
  <c r="S3925" i="8"/>
  <c r="T3925" i="8"/>
  <c r="E3926" i="8"/>
  <c r="F3926" i="8"/>
  <c r="G3926" i="8"/>
  <c r="H3926" i="8"/>
  <c r="I3926" i="8"/>
  <c r="J3926" i="8"/>
  <c r="K3926" i="8"/>
  <c r="L3926" i="8"/>
  <c r="M3926" i="8"/>
  <c r="N3926" i="8"/>
  <c r="O3926" i="8"/>
  <c r="P3926" i="8"/>
  <c r="Q3926" i="8"/>
  <c r="R3926" i="8"/>
  <c r="S3926" i="8"/>
  <c r="T3926" i="8"/>
  <c r="E3927" i="8"/>
  <c r="F3927" i="8"/>
  <c r="G3927" i="8"/>
  <c r="H3927" i="8"/>
  <c r="I3927" i="8"/>
  <c r="J3927" i="8"/>
  <c r="K3927" i="8"/>
  <c r="L3927" i="8"/>
  <c r="M3927" i="8"/>
  <c r="N3927" i="8"/>
  <c r="O3927" i="8"/>
  <c r="P3927" i="8"/>
  <c r="Q3927" i="8"/>
  <c r="R3927" i="8"/>
  <c r="S3927" i="8"/>
  <c r="T3927" i="8"/>
  <c r="E3928" i="8"/>
  <c r="F3928" i="8"/>
  <c r="G3928" i="8"/>
  <c r="H3928" i="8"/>
  <c r="I3928" i="8"/>
  <c r="J3928" i="8"/>
  <c r="K3928" i="8"/>
  <c r="L3928" i="8"/>
  <c r="M3928" i="8"/>
  <c r="N3928" i="8"/>
  <c r="O3928" i="8"/>
  <c r="P3928" i="8"/>
  <c r="Q3928" i="8"/>
  <c r="R3928" i="8"/>
  <c r="S3928" i="8"/>
  <c r="T3928" i="8"/>
  <c r="E3929" i="8"/>
  <c r="F3929" i="8"/>
  <c r="G3929" i="8"/>
  <c r="H3929" i="8"/>
  <c r="I3929" i="8"/>
  <c r="J3929" i="8"/>
  <c r="K3929" i="8"/>
  <c r="L3929" i="8"/>
  <c r="M3929" i="8"/>
  <c r="N3929" i="8"/>
  <c r="O3929" i="8"/>
  <c r="P3929" i="8"/>
  <c r="Q3929" i="8"/>
  <c r="R3929" i="8"/>
  <c r="S3929" i="8"/>
  <c r="T3929" i="8"/>
  <c r="E3930" i="8"/>
  <c r="F3930" i="8"/>
  <c r="G3930" i="8"/>
  <c r="H3930" i="8"/>
  <c r="I3930" i="8"/>
  <c r="J3930" i="8"/>
  <c r="K3930" i="8"/>
  <c r="L3930" i="8"/>
  <c r="M3930" i="8"/>
  <c r="N3930" i="8"/>
  <c r="O3930" i="8"/>
  <c r="P3930" i="8"/>
  <c r="Q3930" i="8"/>
  <c r="R3930" i="8"/>
  <c r="S3930" i="8"/>
  <c r="T3930" i="8"/>
  <c r="E3931" i="8"/>
  <c r="F3931" i="8"/>
  <c r="G3931" i="8"/>
  <c r="H3931" i="8"/>
  <c r="I3931" i="8"/>
  <c r="J3931" i="8"/>
  <c r="K3931" i="8"/>
  <c r="L3931" i="8"/>
  <c r="M3931" i="8"/>
  <c r="N3931" i="8"/>
  <c r="O3931" i="8"/>
  <c r="P3931" i="8"/>
  <c r="Q3931" i="8"/>
  <c r="R3931" i="8"/>
  <c r="S3931" i="8"/>
  <c r="T3931" i="8"/>
  <c r="E3932" i="8"/>
  <c r="F3932" i="8"/>
  <c r="G3932" i="8"/>
  <c r="H3932" i="8"/>
  <c r="I3932" i="8"/>
  <c r="J3932" i="8"/>
  <c r="K3932" i="8"/>
  <c r="L3932" i="8"/>
  <c r="M3932" i="8"/>
  <c r="N3932" i="8"/>
  <c r="O3932" i="8"/>
  <c r="P3932" i="8"/>
  <c r="Q3932" i="8"/>
  <c r="R3932" i="8"/>
  <c r="S3932" i="8"/>
  <c r="T3932" i="8"/>
  <c r="E3933" i="8"/>
  <c r="F3933" i="8"/>
  <c r="G3933" i="8"/>
  <c r="H3933" i="8"/>
  <c r="I3933" i="8"/>
  <c r="J3933" i="8"/>
  <c r="K3933" i="8"/>
  <c r="L3933" i="8"/>
  <c r="M3933" i="8"/>
  <c r="N3933" i="8"/>
  <c r="O3933" i="8"/>
  <c r="P3933" i="8"/>
  <c r="Q3933" i="8"/>
  <c r="R3933" i="8"/>
  <c r="S3933" i="8"/>
  <c r="T3933" i="8"/>
  <c r="E362" i="7"/>
  <c r="F362" i="7"/>
  <c r="G362" i="7"/>
  <c r="H362" i="7"/>
  <c r="I362" i="7"/>
  <c r="J362" i="7"/>
  <c r="K362" i="7"/>
  <c r="L362" i="7"/>
  <c r="M362" i="7"/>
  <c r="N362" i="7"/>
  <c r="P362" i="7"/>
  <c r="Q362" i="7"/>
  <c r="R362" i="7"/>
  <c r="S362" i="7"/>
  <c r="U362" i="7"/>
  <c r="V362" i="7"/>
  <c r="W362" i="7"/>
  <c r="X362" i="7"/>
  <c r="Y362" i="7"/>
  <c r="Z362" i="7"/>
  <c r="AA362" i="7"/>
  <c r="AC362" i="7"/>
  <c r="AE362" i="7"/>
  <c r="AI362" i="7"/>
  <c r="AO362" i="7"/>
  <c r="AP362" i="7"/>
  <c r="E3912" i="8"/>
  <c r="F3912" i="8"/>
  <c r="G3912" i="8"/>
  <c r="H3912" i="8"/>
  <c r="I3912" i="8"/>
  <c r="J3912" i="8"/>
  <c r="K3912" i="8"/>
  <c r="L3912" i="8"/>
  <c r="M3912" i="8"/>
  <c r="N3912" i="8"/>
  <c r="O3912" i="8"/>
  <c r="P3912" i="8"/>
  <c r="Q3912" i="8"/>
  <c r="R3912" i="8"/>
  <c r="S3912" i="8"/>
  <c r="T3912" i="8"/>
  <c r="E3913" i="8"/>
  <c r="F3913" i="8"/>
  <c r="G3913" i="8"/>
  <c r="H3913" i="8"/>
  <c r="I3913" i="8"/>
  <c r="J3913" i="8"/>
  <c r="K3913" i="8"/>
  <c r="L3913" i="8"/>
  <c r="M3913" i="8"/>
  <c r="N3913" i="8"/>
  <c r="O3913" i="8"/>
  <c r="P3913" i="8"/>
  <c r="Q3913" i="8"/>
  <c r="R3913" i="8"/>
  <c r="S3913" i="8"/>
  <c r="T3913" i="8"/>
  <c r="E3914" i="8"/>
  <c r="F3914" i="8"/>
  <c r="G3914" i="8"/>
  <c r="H3914" i="8"/>
  <c r="I3914" i="8"/>
  <c r="J3914" i="8"/>
  <c r="K3914" i="8"/>
  <c r="L3914" i="8"/>
  <c r="M3914" i="8"/>
  <c r="N3914" i="8"/>
  <c r="O3914" i="8"/>
  <c r="P3914" i="8"/>
  <c r="Q3914" i="8"/>
  <c r="R3914" i="8"/>
  <c r="S3914" i="8"/>
  <c r="T3914" i="8"/>
  <c r="E3915" i="8"/>
  <c r="F3915" i="8"/>
  <c r="G3915" i="8"/>
  <c r="H3915" i="8"/>
  <c r="I3915" i="8"/>
  <c r="J3915" i="8"/>
  <c r="K3915" i="8"/>
  <c r="L3915" i="8"/>
  <c r="M3915" i="8"/>
  <c r="N3915" i="8"/>
  <c r="O3915" i="8"/>
  <c r="P3915" i="8"/>
  <c r="Q3915" i="8"/>
  <c r="R3915" i="8"/>
  <c r="S3915" i="8"/>
  <c r="T3915" i="8"/>
  <c r="E3916" i="8"/>
  <c r="F3916" i="8"/>
  <c r="G3916" i="8"/>
  <c r="H3916" i="8"/>
  <c r="I3916" i="8"/>
  <c r="J3916" i="8"/>
  <c r="K3916" i="8"/>
  <c r="L3916" i="8"/>
  <c r="M3916" i="8"/>
  <c r="N3916" i="8"/>
  <c r="O3916" i="8"/>
  <c r="P3916" i="8"/>
  <c r="Q3916" i="8"/>
  <c r="R3916" i="8"/>
  <c r="S3916" i="8"/>
  <c r="T3916" i="8"/>
  <c r="E3917" i="8"/>
  <c r="F3917" i="8"/>
  <c r="G3917" i="8"/>
  <c r="H3917" i="8"/>
  <c r="I3917" i="8"/>
  <c r="J3917" i="8"/>
  <c r="K3917" i="8"/>
  <c r="L3917" i="8"/>
  <c r="M3917" i="8"/>
  <c r="N3917" i="8"/>
  <c r="O3917" i="8"/>
  <c r="P3917" i="8"/>
  <c r="Q3917" i="8"/>
  <c r="R3917" i="8"/>
  <c r="S3917" i="8"/>
  <c r="T3917" i="8"/>
  <c r="E3918" i="8"/>
  <c r="F3918" i="8"/>
  <c r="G3918" i="8"/>
  <c r="H3918" i="8"/>
  <c r="I3918" i="8"/>
  <c r="J3918" i="8"/>
  <c r="K3918" i="8"/>
  <c r="L3918" i="8"/>
  <c r="M3918" i="8"/>
  <c r="N3918" i="8"/>
  <c r="O3918" i="8"/>
  <c r="P3918" i="8"/>
  <c r="Q3918" i="8"/>
  <c r="R3918" i="8"/>
  <c r="S3918" i="8"/>
  <c r="T3918" i="8"/>
  <c r="E3919" i="8"/>
  <c r="F3919" i="8"/>
  <c r="G3919" i="8"/>
  <c r="H3919" i="8"/>
  <c r="I3919" i="8"/>
  <c r="J3919" i="8"/>
  <c r="K3919" i="8"/>
  <c r="L3919" i="8"/>
  <c r="M3919" i="8"/>
  <c r="N3919" i="8"/>
  <c r="O3919" i="8"/>
  <c r="P3919" i="8"/>
  <c r="Q3919" i="8"/>
  <c r="R3919" i="8"/>
  <c r="S3919" i="8"/>
  <c r="T3919" i="8"/>
  <c r="E3920" i="8"/>
  <c r="F3920" i="8"/>
  <c r="G3920" i="8"/>
  <c r="H3920" i="8"/>
  <c r="I3920" i="8"/>
  <c r="J3920" i="8"/>
  <c r="K3920" i="8"/>
  <c r="L3920" i="8"/>
  <c r="M3920" i="8"/>
  <c r="N3920" i="8"/>
  <c r="O3920" i="8"/>
  <c r="P3920" i="8"/>
  <c r="Q3920" i="8"/>
  <c r="R3920" i="8"/>
  <c r="S3920" i="8"/>
  <c r="T3920" i="8"/>
  <c r="E3921" i="8"/>
  <c r="F3921" i="8"/>
  <c r="G3921" i="8"/>
  <c r="H3921" i="8"/>
  <c r="I3921" i="8"/>
  <c r="J3921" i="8"/>
  <c r="K3921" i="8"/>
  <c r="L3921" i="8"/>
  <c r="M3921" i="8"/>
  <c r="N3921" i="8"/>
  <c r="O3921" i="8"/>
  <c r="P3921" i="8"/>
  <c r="Q3921" i="8"/>
  <c r="R3921" i="8"/>
  <c r="S3921" i="8"/>
  <c r="T3921" i="8"/>
  <c r="E3922" i="8"/>
  <c r="F3922" i="8"/>
  <c r="G3922" i="8"/>
  <c r="H3922" i="8"/>
  <c r="I3922" i="8"/>
  <c r="J3922" i="8"/>
  <c r="K3922" i="8"/>
  <c r="L3922" i="8"/>
  <c r="M3922" i="8"/>
  <c r="N3922" i="8"/>
  <c r="O3922" i="8"/>
  <c r="P3922" i="8"/>
  <c r="Q3922" i="8"/>
  <c r="R3922" i="8"/>
  <c r="S3922" i="8"/>
  <c r="T3922" i="8"/>
  <c r="O361" i="7"/>
  <c r="AK361" i="7"/>
  <c r="O360" i="7"/>
  <c r="AK360" i="7"/>
  <c r="O359" i="7"/>
  <c r="AK359" i="7"/>
  <c r="O358" i="7"/>
  <c r="AK358" i="7"/>
  <c r="O357" i="7"/>
  <c r="AK357" i="7"/>
  <c r="O356" i="7"/>
  <c r="AK356" i="7"/>
  <c r="O355" i="7"/>
  <c r="AK355" i="7"/>
  <c r="O354" i="7"/>
  <c r="AK354" i="7"/>
  <c r="O353" i="7"/>
  <c r="AK353" i="7"/>
  <c r="O352" i="7"/>
  <c r="AK352" i="7"/>
  <c r="O351" i="7"/>
  <c r="AK351" i="7"/>
  <c r="O350" i="7"/>
  <c r="AK350" i="7"/>
  <c r="O349" i="7"/>
  <c r="AK349" i="7"/>
  <c r="O348" i="7"/>
  <c r="AK348" i="7"/>
  <c r="O347" i="7"/>
  <c r="AK347" i="7"/>
  <c r="E346" i="7"/>
  <c r="F346" i="7"/>
  <c r="G346" i="7"/>
  <c r="H346" i="7"/>
  <c r="I346" i="7"/>
  <c r="J346" i="7"/>
  <c r="K346" i="7"/>
  <c r="L346" i="7"/>
  <c r="M346" i="7"/>
  <c r="N346" i="7"/>
  <c r="P346" i="7"/>
  <c r="Q346" i="7"/>
  <c r="R346" i="7"/>
  <c r="S346" i="7"/>
  <c r="U346" i="7"/>
  <c r="V346" i="7"/>
  <c r="W346" i="7"/>
  <c r="X346" i="7"/>
  <c r="Y346" i="7"/>
  <c r="Z346" i="7"/>
  <c r="AA346" i="7"/>
  <c r="AC346" i="7"/>
  <c r="AE346" i="7"/>
  <c r="AI346" i="7"/>
  <c r="AO346" i="7"/>
  <c r="AP346" i="7"/>
  <c r="N3741" i="8"/>
  <c r="S3741" i="8"/>
  <c r="F3742" i="8"/>
  <c r="I3742" i="8"/>
  <c r="N3743" i="8"/>
  <c r="K3741" i="8"/>
  <c r="T3741" i="8"/>
  <c r="K3742" i="8"/>
  <c r="T3742" i="8"/>
  <c r="H3741" i="8"/>
  <c r="P3741" i="8"/>
  <c r="P3742" i="8"/>
  <c r="E3743" i="8"/>
  <c r="J3743" i="8"/>
  <c r="S3742" i="8"/>
  <c r="I3743" i="8"/>
  <c r="I3741" i="8"/>
  <c r="G3742" i="8"/>
  <c r="N3742" i="8"/>
  <c r="O3743" i="8"/>
  <c r="E3741" i="8"/>
  <c r="P3743" i="8"/>
  <c r="M3741" i="8"/>
  <c r="R3742" i="8"/>
  <c r="F3743" i="8"/>
  <c r="M3743" i="8"/>
  <c r="Q3743" i="8"/>
  <c r="F3741" i="8"/>
  <c r="L3741" i="8"/>
  <c r="R3741" i="8"/>
  <c r="Q3742" i="8"/>
  <c r="K3743" i="8"/>
  <c r="G3743" i="8"/>
  <c r="E3736" i="8"/>
  <c r="F3736" i="8"/>
  <c r="G3736" i="8"/>
  <c r="H3736" i="8"/>
  <c r="I3736" i="8"/>
  <c r="J3736" i="8"/>
  <c r="K3736" i="8"/>
  <c r="L3736" i="8"/>
  <c r="M3736" i="8"/>
  <c r="N3736" i="8"/>
  <c r="O3736" i="8"/>
  <c r="P3736" i="8"/>
  <c r="Q3736" i="8"/>
  <c r="R3736" i="8"/>
  <c r="S3736" i="8"/>
  <c r="T3736" i="8"/>
  <c r="E3737" i="8"/>
  <c r="F3737" i="8"/>
  <c r="G3737" i="8"/>
  <c r="H3737" i="8"/>
  <c r="I3737" i="8"/>
  <c r="J3737" i="8"/>
  <c r="K3737" i="8"/>
  <c r="L3737" i="8"/>
  <c r="M3737" i="8"/>
  <c r="N3737" i="8"/>
  <c r="O3737" i="8"/>
  <c r="P3737" i="8"/>
  <c r="Q3737" i="8"/>
  <c r="R3737" i="8"/>
  <c r="S3737" i="8"/>
  <c r="T3737" i="8"/>
  <c r="E3738" i="8"/>
  <c r="F3738" i="8"/>
  <c r="G3738" i="8"/>
  <c r="H3738" i="8"/>
  <c r="I3738" i="8"/>
  <c r="J3738" i="8"/>
  <c r="K3738" i="8"/>
  <c r="L3738" i="8"/>
  <c r="M3738" i="8"/>
  <c r="N3738" i="8"/>
  <c r="O3738" i="8"/>
  <c r="P3738" i="8"/>
  <c r="Q3738" i="8"/>
  <c r="R3738" i="8"/>
  <c r="S3738" i="8"/>
  <c r="T3738" i="8"/>
  <c r="E3739" i="8"/>
  <c r="F3739" i="8"/>
  <c r="G3739" i="8"/>
  <c r="H3739" i="8"/>
  <c r="I3739" i="8"/>
  <c r="J3739" i="8"/>
  <c r="K3739" i="8"/>
  <c r="L3739" i="8"/>
  <c r="M3739" i="8"/>
  <c r="N3739" i="8"/>
  <c r="O3739" i="8"/>
  <c r="P3739" i="8"/>
  <c r="Q3739" i="8"/>
  <c r="R3739" i="8"/>
  <c r="S3739" i="8"/>
  <c r="T3739" i="8"/>
  <c r="E3740" i="8"/>
  <c r="F3740" i="8"/>
  <c r="G3740" i="8"/>
  <c r="H3740" i="8"/>
  <c r="I3740" i="8"/>
  <c r="J3740" i="8"/>
  <c r="K3740" i="8"/>
  <c r="L3740" i="8"/>
  <c r="M3740" i="8"/>
  <c r="N3740" i="8"/>
  <c r="O3740" i="8"/>
  <c r="P3740" i="8"/>
  <c r="Q3740" i="8"/>
  <c r="R3740" i="8"/>
  <c r="S3740" i="8"/>
  <c r="R3743" i="8"/>
  <c r="S3743" i="8"/>
  <c r="T3743" i="8"/>
  <c r="E3744" i="8"/>
  <c r="F3744" i="8"/>
  <c r="G3744" i="8"/>
  <c r="H3744" i="8"/>
  <c r="I3744" i="8"/>
  <c r="J3744" i="8"/>
  <c r="K3744" i="8"/>
  <c r="L3744" i="8"/>
  <c r="M3744" i="8"/>
  <c r="N3744" i="8"/>
  <c r="O3744" i="8"/>
  <c r="P3744" i="8"/>
  <c r="Q3744" i="8"/>
  <c r="R3744" i="8"/>
  <c r="S3744" i="8"/>
  <c r="T3744" i="8"/>
  <c r="E3745" i="8"/>
  <c r="F3745" i="8"/>
  <c r="G3745" i="8"/>
  <c r="H3745" i="8"/>
  <c r="I3745" i="8"/>
  <c r="J3745" i="8"/>
  <c r="K3745" i="8"/>
  <c r="L3745" i="8"/>
  <c r="M3745" i="8"/>
  <c r="N3745" i="8"/>
  <c r="O3745" i="8"/>
  <c r="P3745" i="8"/>
  <c r="Q3745" i="8"/>
  <c r="R3745" i="8"/>
  <c r="S3745" i="8"/>
  <c r="T3745" i="8"/>
  <c r="E3746" i="8"/>
  <c r="F3746" i="8"/>
  <c r="G3746" i="8"/>
  <c r="H3746" i="8"/>
  <c r="I3746" i="8"/>
  <c r="J3746" i="8"/>
  <c r="K3746" i="8"/>
  <c r="L3746" i="8"/>
  <c r="M3746" i="8"/>
  <c r="N3746" i="8"/>
  <c r="O3746" i="8"/>
  <c r="P3746" i="8"/>
  <c r="Q3746" i="8"/>
  <c r="R3746" i="8"/>
  <c r="S3746" i="8"/>
  <c r="T3746" i="8"/>
  <c r="G3741" i="8"/>
  <c r="J3741" i="8"/>
  <c r="O3742" i="8"/>
  <c r="T3740" i="8"/>
  <c r="E3742" i="8"/>
  <c r="J3742" i="8"/>
  <c r="H3743" i="8"/>
  <c r="Q3741" i="8"/>
  <c r="L3742" i="8"/>
  <c r="O3741" i="8"/>
  <c r="H3742" i="8"/>
  <c r="M3742" i="8"/>
  <c r="L3743" i="8"/>
  <c r="E345" i="7"/>
  <c r="F345" i="7"/>
  <c r="G345" i="7"/>
  <c r="H345" i="7"/>
  <c r="I345" i="7"/>
  <c r="J345" i="7"/>
  <c r="K345" i="7"/>
  <c r="L345" i="7"/>
  <c r="M345" i="7"/>
  <c r="N345" i="7"/>
  <c r="P345" i="7"/>
  <c r="Q345" i="7"/>
  <c r="R345" i="7"/>
  <c r="S345" i="7"/>
  <c r="U345" i="7"/>
  <c r="V345" i="7"/>
  <c r="W345" i="7"/>
  <c r="X345" i="7"/>
  <c r="Y345" i="7"/>
  <c r="Z345" i="7"/>
  <c r="AA345" i="7"/>
  <c r="AC345" i="7"/>
  <c r="AE345" i="7"/>
  <c r="AI345" i="7"/>
  <c r="AO345" i="7"/>
  <c r="AP345" i="7"/>
  <c r="E3725" i="8"/>
  <c r="F3725" i="8"/>
  <c r="G3725" i="8"/>
  <c r="H3725" i="8"/>
  <c r="I3725" i="8"/>
  <c r="J3725" i="8"/>
  <c r="K3725" i="8"/>
  <c r="L3725" i="8"/>
  <c r="M3725" i="8"/>
  <c r="N3725" i="8"/>
  <c r="O3725" i="8"/>
  <c r="P3725" i="8"/>
  <c r="Q3725" i="8"/>
  <c r="R3725" i="8"/>
  <c r="S3725" i="8"/>
  <c r="T3725" i="8"/>
  <c r="E3726" i="8"/>
  <c r="F3726" i="8"/>
  <c r="G3726" i="8"/>
  <c r="H3726" i="8"/>
  <c r="I3726" i="8"/>
  <c r="J3726" i="8"/>
  <c r="K3726" i="8"/>
  <c r="L3726" i="8"/>
  <c r="M3726" i="8"/>
  <c r="N3726" i="8"/>
  <c r="O3726" i="8"/>
  <c r="P3726" i="8"/>
  <c r="Q3726" i="8"/>
  <c r="R3726" i="8"/>
  <c r="S3726" i="8"/>
  <c r="T3726" i="8"/>
  <c r="E3727" i="8"/>
  <c r="F3727" i="8"/>
  <c r="G3727" i="8"/>
  <c r="H3727" i="8"/>
  <c r="I3727" i="8"/>
  <c r="J3727" i="8"/>
  <c r="K3727" i="8"/>
  <c r="L3727" i="8"/>
  <c r="M3727" i="8"/>
  <c r="N3727" i="8"/>
  <c r="O3727" i="8"/>
  <c r="P3727" i="8"/>
  <c r="Q3727" i="8"/>
  <c r="R3727" i="8"/>
  <c r="S3727" i="8"/>
  <c r="T3727" i="8"/>
  <c r="E3728" i="8"/>
  <c r="F3728" i="8"/>
  <c r="G3728" i="8"/>
  <c r="H3728" i="8"/>
  <c r="I3728" i="8"/>
  <c r="J3728" i="8"/>
  <c r="K3728" i="8"/>
  <c r="L3728" i="8"/>
  <c r="M3728" i="8"/>
  <c r="N3728" i="8"/>
  <c r="O3728" i="8"/>
  <c r="P3728" i="8"/>
  <c r="Q3728" i="8"/>
  <c r="R3728" i="8"/>
  <c r="S3728" i="8"/>
  <c r="T3728" i="8"/>
  <c r="E3729" i="8"/>
  <c r="F3729" i="8"/>
  <c r="G3729" i="8"/>
  <c r="H3729" i="8"/>
  <c r="I3729" i="8"/>
  <c r="J3729" i="8"/>
  <c r="K3729" i="8"/>
  <c r="L3729" i="8"/>
  <c r="M3729" i="8"/>
  <c r="N3729" i="8"/>
  <c r="O3729" i="8"/>
  <c r="P3729" i="8"/>
  <c r="Q3729" i="8"/>
  <c r="R3729" i="8"/>
  <c r="S3729" i="8"/>
  <c r="T3729" i="8"/>
  <c r="E3730" i="8"/>
  <c r="F3730" i="8"/>
  <c r="G3730" i="8"/>
  <c r="H3730" i="8"/>
  <c r="I3730" i="8"/>
  <c r="J3730" i="8"/>
  <c r="K3730" i="8"/>
  <c r="L3730" i="8"/>
  <c r="M3730" i="8"/>
  <c r="N3730" i="8"/>
  <c r="O3730" i="8"/>
  <c r="P3730" i="8"/>
  <c r="Q3730" i="8"/>
  <c r="R3730" i="8"/>
  <c r="S3730" i="8"/>
  <c r="T3730" i="8"/>
  <c r="E3731" i="8"/>
  <c r="F3731" i="8"/>
  <c r="G3731" i="8"/>
  <c r="H3731" i="8"/>
  <c r="I3731" i="8"/>
  <c r="J3731" i="8"/>
  <c r="K3731" i="8"/>
  <c r="L3731" i="8"/>
  <c r="M3731" i="8"/>
  <c r="N3731" i="8"/>
  <c r="O3731" i="8"/>
  <c r="P3731" i="8"/>
  <c r="Q3731" i="8"/>
  <c r="R3731" i="8"/>
  <c r="S3731" i="8"/>
  <c r="T3731" i="8"/>
  <c r="E3732" i="8"/>
  <c r="F3732" i="8"/>
  <c r="G3732" i="8"/>
  <c r="H3732" i="8"/>
  <c r="I3732" i="8"/>
  <c r="J3732" i="8"/>
  <c r="K3732" i="8"/>
  <c r="L3732" i="8"/>
  <c r="M3732" i="8"/>
  <c r="N3732" i="8"/>
  <c r="O3732" i="8"/>
  <c r="P3732" i="8"/>
  <c r="Q3732" i="8"/>
  <c r="R3732" i="8"/>
  <c r="S3732" i="8"/>
  <c r="T3732" i="8"/>
  <c r="E3733" i="8"/>
  <c r="F3733" i="8"/>
  <c r="G3733" i="8"/>
  <c r="H3733" i="8"/>
  <c r="I3733" i="8"/>
  <c r="J3733" i="8"/>
  <c r="K3733" i="8"/>
  <c r="L3733" i="8"/>
  <c r="M3733" i="8"/>
  <c r="N3733" i="8"/>
  <c r="O3733" i="8"/>
  <c r="P3733" i="8"/>
  <c r="Q3733" i="8"/>
  <c r="R3733" i="8"/>
  <c r="S3733" i="8"/>
  <c r="T3733" i="8"/>
  <c r="E3734" i="8"/>
  <c r="F3734" i="8"/>
  <c r="G3734" i="8"/>
  <c r="H3734" i="8"/>
  <c r="I3734" i="8"/>
  <c r="J3734" i="8"/>
  <c r="K3734" i="8"/>
  <c r="L3734" i="8"/>
  <c r="M3734" i="8"/>
  <c r="N3734" i="8"/>
  <c r="O3734" i="8"/>
  <c r="P3734" i="8"/>
  <c r="Q3734" i="8"/>
  <c r="R3734" i="8"/>
  <c r="S3734" i="8"/>
  <c r="T3734" i="8"/>
  <c r="E3735" i="8"/>
  <c r="F3735" i="8"/>
  <c r="G3735" i="8"/>
  <c r="H3735" i="8"/>
  <c r="I3735" i="8"/>
  <c r="J3735" i="8"/>
  <c r="K3735" i="8"/>
  <c r="L3735" i="8"/>
  <c r="M3735" i="8"/>
  <c r="N3735" i="8"/>
  <c r="O3735" i="8"/>
  <c r="P3735" i="8"/>
  <c r="Q3735" i="8"/>
  <c r="R3735" i="8"/>
  <c r="S3735" i="8"/>
  <c r="T3735" i="8"/>
  <c r="E344" i="7"/>
  <c r="F344" i="7"/>
  <c r="G344" i="7"/>
  <c r="H344" i="7"/>
  <c r="I344" i="7"/>
  <c r="J344" i="7"/>
  <c r="K344" i="7"/>
  <c r="L344" i="7"/>
  <c r="M344" i="7"/>
  <c r="N344" i="7"/>
  <c r="P344" i="7"/>
  <c r="Q344" i="7"/>
  <c r="R344" i="7"/>
  <c r="S344" i="7"/>
  <c r="U344" i="7"/>
  <c r="V344" i="7"/>
  <c r="W344" i="7"/>
  <c r="X344" i="7"/>
  <c r="Y344" i="7"/>
  <c r="Z344" i="7"/>
  <c r="AA344" i="7"/>
  <c r="AC344" i="7"/>
  <c r="AE344" i="7"/>
  <c r="AI344" i="7"/>
  <c r="AO344" i="7"/>
  <c r="AP344" i="7"/>
  <c r="E3714" i="8"/>
  <c r="F3714" i="8"/>
  <c r="G3714" i="8"/>
  <c r="H3714" i="8"/>
  <c r="I3714" i="8"/>
  <c r="J3714" i="8"/>
  <c r="K3714" i="8"/>
  <c r="L3714" i="8"/>
  <c r="M3714" i="8"/>
  <c r="N3714" i="8"/>
  <c r="O3714" i="8"/>
  <c r="P3714" i="8"/>
  <c r="Q3714" i="8"/>
  <c r="R3714" i="8"/>
  <c r="S3714" i="8"/>
  <c r="T3714" i="8"/>
  <c r="E3715" i="8"/>
  <c r="F3715" i="8"/>
  <c r="G3715" i="8"/>
  <c r="H3715" i="8"/>
  <c r="I3715" i="8"/>
  <c r="J3715" i="8"/>
  <c r="K3715" i="8"/>
  <c r="L3715" i="8"/>
  <c r="M3715" i="8"/>
  <c r="N3715" i="8"/>
  <c r="O3715" i="8"/>
  <c r="P3715" i="8"/>
  <c r="Q3715" i="8"/>
  <c r="R3715" i="8"/>
  <c r="S3715" i="8"/>
  <c r="T3715" i="8"/>
  <c r="E3716" i="8"/>
  <c r="F3716" i="8"/>
  <c r="G3716" i="8"/>
  <c r="H3716" i="8"/>
  <c r="I3716" i="8"/>
  <c r="J3716" i="8"/>
  <c r="K3716" i="8"/>
  <c r="L3716" i="8"/>
  <c r="M3716" i="8"/>
  <c r="N3716" i="8"/>
  <c r="O3716" i="8"/>
  <c r="P3716" i="8"/>
  <c r="Q3716" i="8"/>
  <c r="R3716" i="8"/>
  <c r="S3716" i="8"/>
  <c r="T3716" i="8"/>
  <c r="E3717" i="8"/>
  <c r="F3717" i="8"/>
  <c r="G3717" i="8"/>
  <c r="H3717" i="8"/>
  <c r="I3717" i="8"/>
  <c r="J3717" i="8"/>
  <c r="K3717" i="8"/>
  <c r="L3717" i="8"/>
  <c r="M3717" i="8"/>
  <c r="N3717" i="8"/>
  <c r="O3717" i="8"/>
  <c r="P3717" i="8"/>
  <c r="Q3717" i="8"/>
  <c r="R3717" i="8"/>
  <c r="S3717" i="8"/>
  <c r="T3717" i="8"/>
  <c r="E3718" i="8"/>
  <c r="F3718" i="8"/>
  <c r="G3718" i="8"/>
  <c r="H3718" i="8"/>
  <c r="I3718" i="8"/>
  <c r="J3718" i="8"/>
  <c r="K3718" i="8"/>
  <c r="L3718" i="8"/>
  <c r="M3718" i="8"/>
  <c r="N3718" i="8"/>
  <c r="O3718" i="8"/>
  <c r="P3718" i="8"/>
  <c r="Q3718" i="8"/>
  <c r="R3718" i="8"/>
  <c r="S3718" i="8"/>
  <c r="T3718" i="8"/>
  <c r="E3719" i="8"/>
  <c r="F3719" i="8"/>
  <c r="G3719" i="8"/>
  <c r="H3719" i="8"/>
  <c r="I3719" i="8"/>
  <c r="J3719" i="8"/>
  <c r="K3719" i="8"/>
  <c r="L3719" i="8"/>
  <c r="M3719" i="8"/>
  <c r="N3719" i="8"/>
  <c r="O3719" i="8"/>
  <c r="P3719" i="8"/>
  <c r="Q3719" i="8"/>
  <c r="R3719" i="8"/>
  <c r="S3719" i="8"/>
  <c r="T3719" i="8"/>
  <c r="E3720" i="8"/>
  <c r="F3720" i="8"/>
  <c r="G3720" i="8"/>
  <c r="H3720" i="8"/>
  <c r="I3720" i="8"/>
  <c r="J3720" i="8"/>
  <c r="K3720" i="8"/>
  <c r="L3720" i="8"/>
  <c r="M3720" i="8"/>
  <c r="N3720" i="8"/>
  <c r="O3720" i="8"/>
  <c r="P3720" i="8"/>
  <c r="Q3720" i="8"/>
  <c r="R3720" i="8"/>
  <c r="S3720" i="8"/>
  <c r="T3720" i="8"/>
  <c r="E3721" i="8"/>
  <c r="F3721" i="8"/>
  <c r="G3721" i="8"/>
  <c r="H3721" i="8"/>
  <c r="I3721" i="8"/>
  <c r="J3721" i="8"/>
  <c r="K3721" i="8"/>
  <c r="L3721" i="8"/>
  <c r="M3721" i="8"/>
  <c r="N3721" i="8"/>
  <c r="O3721" i="8"/>
  <c r="P3721" i="8"/>
  <c r="Q3721" i="8"/>
  <c r="R3721" i="8"/>
  <c r="S3721" i="8"/>
  <c r="T3721" i="8"/>
  <c r="E3722" i="8"/>
  <c r="F3722" i="8"/>
  <c r="G3722" i="8"/>
  <c r="H3722" i="8"/>
  <c r="I3722" i="8"/>
  <c r="J3722" i="8"/>
  <c r="K3722" i="8"/>
  <c r="L3722" i="8"/>
  <c r="M3722" i="8"/>
  <c r="N3722" i="8"/>
  <c r="O3722" i="8"/>
  <c r="P3722" i="8"/>
  <c r="Q3722" i="8"/>
  <c r="R3722" i="8"/>
  <c r="S3722" i="8"/>
  <c r="T3722" i="8"/>
  <c r="E3723" i="8"/>
  <c r="F3723" i="8"/>
  <c r="G3723" i="8"/>
  <c r="H3723" i="8"/>
  <c r="I3723" i="8"/>
  <c r="J3723" i="8"/>
  <c r="K3723" i="8"/>
  <c r="L3723" i="8"/>
  <c r="M3723" i="8"/>
  <c r="N3723" i="8"/>
  <c r="O3723" i="8"/>
  <c r="P3723" i="8"/>
  <c r="Q3723" i="8"/>
  <c r="R3723" i="8"/>
  <c r="S3723" i="8"/>
  <c r="T3723" i="8"/>
  <c r="E3724" i="8"/>
  <c r="F3724" i="8"/>
  <c r="G3724" i="8"/>
  <c r="H3724" i="8"/>
  <c r="I3724" i="8"/>
  <c r="J3724" i="8"/>
  <c r="K3724" i="8"/>
  <c r="L3724" i="8"/>
  <c r="M3724" i="8"/>
  <c r="N3724" i="8"/>
  <c r="O3724" i="8"/>
  <c r="P3724" i="8"/>
  <c r="Q3724" i="8"/>
  <c r="R3724" i="8"/>
  <c r="S3724" i="8"/>
  <c r="T3724" i="8"/>
  <c r="E343" i="7"/>
  <c r="F343" i="7"/>
  <c r="G343" i="7"/>
  <c r="H343" i="7"/>
  <c r="I343" i="7"/>
  <c r="J343" i="7"/>
  <c r="K343" i="7"/>
  <c r="L343" i="7"/>
  <c r="M343" i="7"/>
  <c r="N343" i="7"/>
  <c r="P343" i="7"/>
  <c r="Q343" i="7"/>
  <c r="R343" i="7"/>
  <c r="S343" i="7"/>
  <c r="U343" i="7"/>
  <c r="V343" i="7"/>
  <c r="W343" i="7"/>
  <c r="X343" i="7"/>
  <c r="Y343" i="7"/>
  <c r="Z343" i="7"/>
  <c r="AA343" i="7"/>
  <c r="AC343" i="7"/>
  <c r="AE343" i="7"/>
  <c r="AI343" i="7"/>
  <c r="AO343" i="7"/>
  <c r="AP343" i="7"/>
  <c r="E3703" i="8"/>
  <c r="F3703" i="8"/>
  <c r="G3703" i="8"/>
  <c r="H3703" i="8"/>
  <c r="I3703" i="8"/>
  <c r="J3703" i="8"/>
  <c r="K3703" i="8"/>
  <c r="L3703" i="8"/>
  <c r="M3703" i="8"/>
  <c r="N3703" i="8"/>
  <c r="O3703" i="8"/>
  <c r="P3703" i="8"/>
  <c r="Q3703" i="8"/>
  <c r="R3703" i="8"/>
  <c r="S3703" i="8"/>
  <c r="T3703" i="8"/>
  <c r="E3704" i="8"/>
  <c r="F3704" i="8"/>
  <c r="G3704" i="8"/>
  <c r="H3704" i="8"/>
  <c r="I3704" i="8"/>
  <c r="J3704" i="8"/>
  <c r="K3704" i="8"/>
  <c r="L3704" i="8"/>
  <c r="M3704" i="8"/>
  <c r="N3704" i="8"/>
  <c r="O3704" i="8"/>
  <c r="P3704" i="8"/>
  <c r="Q3704" i="8"/>
  <c r="R3704" i="8"/>
  <c r="S3704" i="8"/>
  <c r="T3704" i="8"/>
  <c r="E3705" i="8"/>
  <c r="F3705" i="8"/>
  <c r="G3705" i="8"/>
  <c r="H3705" i="8"/>
  <c r="I3705" i="8"/>
  <c r="J3705" i="8"/>
  <c r="K3705" i="8"/>
  <c r="L3705" i="8"/>
  <c r="M3705" i="8"/>
  <c r="N3705" i="8"/>
  <c r="O3705" i="8"/>
  <c r="P3705" i="8"/>
  <c r="Q3705" i="8"/>
  <c r="R3705" i="8"/>
  <c r="S3705" i="8"/>
  <c r="T3705" i="8"/>
  <c r="E3706" i="8"/>
  <c r="F3706" i="8"/>
  <c r="G3706" i="8"/>
  <c r="H3706" i="8"/>
  <c r="I3706" i="8"/>
  <c r="J3706" i="8"/>
  <c r="K3706" i="8"/>
  <c r="L3706" i="8"/>
  <c r="M3706" i="8"/>
  <c r="N3706" i="8"/>
  <c r="O3706" i="8"/>
  <c r="P3706" i="8"/>
  <c r="Q3706" i="8"/>
  <c r="R3706" i="8"/>
  <c r="S3706" i="8"/>
  <c r="T3706" i="8"/>
  <c r="E3707" i="8"/>
  <c r="F3707" i="8"/>
  <c r="G3707" i="8"/>
  <c r="H3707" i="8"/>
  <c r="I3707" i="8"/>
  <c r="J3707" i="8"/>
  <c r="K3707" i="8"/>
  <c r="L3707" i="8"/>
  <c r="M3707" i="8"/>
  <c r="N3707" i="8"/>
  <c r="O3707" i="8"/>
  <c r="P3707" i="8"/>
  <c r="Q3707" i="8"/>
  <c r="R3707" i="8"/>
  <c r="S3707" i="8"/>
  <c r="T3707" i="8"/>
  <c r="E3708" i="8"/>
  <c r="F3708" i="8"/>
  <c r="G3708" i="8"/>
  <c r="H3708" i="8"/>
  <c r="I3708" i="8"/>
  <c r="J3708" i="8"/>
  <c r="K3708" i="8"/>
  <c r="L3708" i="8"/>
  <c r="M3708" i="8"/>
  <c r="N3708" i="8"/>
  <c r="O3708" i="8"/>
  <c r="P3708" i="8"/>
  <c r="Q3708" i="8"/>
  <c r="R3708" i="8"/>
  <c r="S3708" i="8"/>
  <c r="T3708" i="8"/>
  <c r="E3709" i="8"/>
  <c r="F3709" i="8"/>
  <c r="G3709" i="8"/>
  <c r="H3709" i="8"/>
  <c r="I3709" i="8"/>
  <c r="J3709" i="8"/>
  <c r="K3709" i="8"/>
  <c r="L3709" i="8"/>
  <c r="M3709" i="8"/>
  <c r="N3709" i="8"/>
  <c r="O3709" i="8"/>
  <c r="P3709" i="8"/>
  <c r="Q3709" i="8"/>
  <c r="R3709" i="8"/>
  <c r="S3709" i="8"/>
  <c r="T3709" i="8"/>
  <c r="E3710" i="8"/>
  <c r="F3710" i="8"/>
  <c r="G3710" i="8"/>
  <c r="H3710" i="8"/>
  <c r="I3710" i="8"/>
  <c r="J3710" i="8"/>
  <c r="K3710" i="8"/>
  <c r="L3710" i="8"/>
  <c r="M3710" i="8"/>
  <c r="N3710" i="8"/>
  <c r="O3710" i="8"/>
  <c r="P3710" i="8"/>
  <c r="Q3710" i="8"/>
  <c r="R3710" i="8"/>
  <c r="S3710" i="8"/>
  <c r="T3710" i="8"/>
  <c r="E3711" i="8"/>
  <c r="F3711" i="8"/>
  <c r="G3711" i="8"/>
  <c r="H3711" i="8"/>
  <c r="I3711" i="8"/>
  <c r="J3711" i="8"/>
  <c r="K3711" i="8"/>
  <c r="L3711" i="8"/>
  <c r="M3711" i="8"/>
  <c r="N3711" i="8"/>
  <c r="O3711" i="8"/>
  <c r="P3711" i="8"/>
  <c r="Q3711" i="8"/>
  <c r="R3711" i="8"/>
  <c r="S3711" i="8"/>
  <c r="T3711" i="8"/>
  <c r="E3712" i="8"/>
  <c r="F3712" i="8"/>
  <c r="G3712" i="8"/>
  <c r="H3712" i="8"/>
  <c r="I3712" i="8"/>
  <c r="J3712" i="8"/>
  <c r="K3712" i="8"/>
  <c r="L3712" i="8"/>
  <c r="M3712" i="8"/>
  <c r="N3712" i="8"/>
  <c r="O3712" i="8"/>
  <c r="P3712" i="8"/>
  <c r="Q3712" i="8"/>
  <c r="R3712" i="8"/>
  <c r="S3712" i="8"/>
  <c r="T3712" i="8"/>
  <c r="E3713" i="8"/>
  <c r="F3713" i="8"/>
  <c r="G3713" i="8"/>
  <c r="H3713" i="8"/>
  <c r="I3713" i="8"/>
  <c r="J3713" i="8"/>
  <c r="K3713" i="8"/>
  <c r="L3713" i="8"/>
  <c r="M3713" i="8"/>
  <c r="N3713" i="8"/>
  <c r="O3713" i="8"/>
  <c r="P3713" i="8"/>
  <c r="Q3713" i="8"/>
  <c r="R3713" i="8"/>
  <c r="S3713" i="8"/>
  <c r="T3713" i="8"/>
  <c r="E342" i="7"/>
  <c r="F342" i="7"/>
  <c r="G342" i="7"/>
  <c r="H342" i="7"/>
  <c r="I342" i="7"/>
  <c r="J342" i="7"/>
  <c r="K342" i="7"/>
  <c r="L342" i="7"/>
  <c r="M342" i="7"/>
  <c r="N342" i="7"/>
  <c r="P342" i="7"/>
  <c r="Q342" i="7"/>
  <c r="R342" i="7"/>
  <c r="S342" i="7"/>
  <c r="U342" i="7"/>
  <c r="V342" i="7"/>
  <c r="W342" i="7"/>
  <c r="X342" i="7"/>
  <c r="Y342" i="7"/>
  <c r="Z342" i="7"/>
  <c r="AA342" i="7"/>
  <c r="AC342" i="7"/>
  <c r="AE342" i="7"/>
  <c r="AI342" i="7"/>
  <c r="AO342" i="7"/>
  <c r="AP342" i="7"/>
  <c r="E3692" i="8"/>
  <c r="F3692" i="8"/>
  <c r="G3692" i="8"/>
  <c r="H3692" i="8"/>
  <c r="I3692" i="8"/>
  <c r="J3692" i="8"/>
  <c r="K3692" i="8"/>
  <c r="L3692" i="8"/>
  <c r="M3692" i="8"/>
  <c r="N3692" i="8"/>
  <c r="O3692" i="8"/>
  <c r="P3692" i="8"/>
  <c r="Q3692" i="8"/>
  <c r="R3692" i="8"/>
  <c r="S3692" i="8"/>
  <c r="T3692" i="8"/>
  <c r="E3693" i="8"/>
  <c r="F3693" i="8"/>
  <c r="G3693" i="8"/>
  <c r="H3693" i="8"/>
  <c r="I3693" i="8"/>
  <c r="J3693" i="8"/>
  <c r="K3693" i="8"/>
  <c r="L3693" i="8"/>
  <c r="M3693" i="8"/>
  <c r="N3693" i="8"/>
  <c r="O3693" i="8"/>
  <c r="P3693" i="8"/>
  <c r="Q3693" i="8"/>
  <c r="R3693" i="8"/>
  <c r="S3693" i="8"/>
  <c r="T3693" i="8"/>
  <c r="E3694" i="8"/>
  <c r="F3694" i="8"/>
  <c r="G3694" i="8"/>
  <c r="H3694" i="8"/>
  <c r="I3694" i="8"/>
  <c r="J3694" i="8"/>
  <c r="K3694" i="8"/>
  <c r="L3694" i="8"/>
  <c r="M3694" i="8"/>
  <c r="N3694" i="8"/>
  <c r="O3694" i="8"/>
  <c r="P3694" i="8"/>
  <c r="Q3694" i="8"/>
  <c r="R3694" i="8"/>
  <c r="S3694" i="8"/>
  <c r="T3694" i="8"/>
  <c r="E3695" i="8"/>
  <c r="F3695" i="8"/>
  <c r="G3695" i="8"/>
  <c r="H3695" i="8"/>
  <c r="I3695" i="8"/>
  <c r="J3695" i="8"/>
  <c r="K3695" i="8"/>
  <c r="L3695" i="8"/>
  <c r="M3695" i="8"/>
  <c r="N3695" i="8"/>
  <c r="O3695" i="8"/>
  <c r="P3695" i="8"/>
  <c r="Q3695" i="8"/>
  <c r="R3695" i="8"/>
  <c r="S3695" i="8"/>
  <c r="T3695" i="8"/>
  <c r="E3696" i="8"/>
  <c r="F3696" i="8"/>
  <c r="G3696" i="8"/>
  <c r="H3696" i="8"/>
  <c r="I3696" i="8"/>
  <c r="J3696" i="8"/>
  <c r="K3696" i="8"/>
  <c r="L3696" i="8"/>
  <c r="M3696" i="8"/>
  <c r="N3696" i="8"/>
  <c r="O3696" i="8"/>
  <c r="P3696" i="8"/>
  <c r="Q3696" i="8"/>
  <c r="R3696" i="8"/>
  <c r="S3696" i="8"/>
  <c r="T3696" i="8"/>
  <c r="E3697" i="8"/>
  <c r="F3697" i="8"/>
  <c r="G3697" i="8"/>
  <c r="H3697" i="8"/>
  <c r="I3697" i="8"/>
  <c r="J3697" i="8"/>
  <c r="K3697" i="8"/>
  <c r="L3697" i="8"/>
  <c r="M3697" i="8"/>
  <c r="N3697" i="8"/>
  <c r="O3697" i="8"/>
  <c r="P3697" i="8"/>
  <c r="Q3697" i="8"/>
  <c r="R3697" i="8"/>
  <c r="S3697" i="8"/>
  <c r="T3697" i="8"/>
  <c r="E3698" i="8"/>
  <c r="F3698" i="8"/>
  <c r="G3698" i="8"/>
  <c r="H3698" i="8"/>
  <c r="I3698" i="8"/>
  <c r="J3698" i="8"/>
  <c r="K3698" i="8"/>
  <c r="L3698" i="8"/>
  <c r="M3698" i="8"/>
  <c r="N3698" i="8"/>
  <c r="O3698" i="8"/>
  <c r="P3698" i="8"/>
  <c r="Q3698" i="8"/>
  <c r="R3698" i="8"/>
  <c r="S3698" i="8"/>
  <c r="T3698" i="8"/>
  <c r="E3699" i="8"/>
  <c r="F3699" i="8"/>
  <c r="G3699" i="8"/>
  <c r="H3699" i="8"/>
  <c r="I3699" i="8"/>
  <c r="J3699" i="8"/>
  <c r="K3699" i="8"/>
  <c r="L3699" i="8"/>
  <c r="M3699" i="8"/>
  <c r="N3699" i="8"/>
  <c r="O3699" i="8"/>
  <c r="P3699" i="8"/>
  <c r="Q3699" i="8"/>
  <c r="R3699" i="8"/>
  <c r="S3699" i="8"/>
  <c r="T3699" i="8"/>
  <c r="E3700" i="8"/>
  <c r="F3700" i="8"/>
  <c r="G3700" i="8"/>
  <c r="H3700" i="8"/>
  <c r="I3700" i="8"/>
  <c r="J3700" i="8"/>
  <c r="K3700" i="8"/>
  <c r="L3700" i="8"/>
  <c r="M3700" i="8"/>
  <c r="N3700" i="8"/>
  <c r="O3700" i="8"/>
  <c r="P3700" i="8"/>
  <c r="Q3700" i="8"/>
  <c r="R3700" i="8"/>
  <c r="S3700" i="8"/>
  <c r="T3700" i="8"/>
  <c r="E3701" i="8"/>
  <c r="F3701" i="8"/>
  <c r="G3701" i="8"/>
  <c r="H3701" i="8"/>
  <c r="I3701" i="8"/>
  <c r="J3701" i="8"/>
  <c r="K3701" i="8"/>
  <c r="L3701" i="8"/>
  <c r="M3701" i="8"/>
  <c r="N3701" i="8"/>
  <c r="O3701" i="8"/>
  <c r="P3701" i="8"/>
  <c r="Q3701" i="8"/>
  <c r="R3701" i="8"/>
  <c r="S3701" i="8"/>
  <c r="T3701" i="8"/>
  <c r="E3702" i="8"/>
  <c r="F3702" i="8"/>
  <c r="G3702" i="8"/>
  <c r="H3702" i="8"/>
  <c r="I3702" i="8"/>
  <c r="J3702" i="8"/>
  <c r="K3702" i="8"/>
  <c r="L3702" i="8"/>
  <c r="M3702" i="8"/>
  <c r="N3702" i="8"/>
  <c r="O3702" i="8"/>
  <c r="P3702" i="8"/>
  <c r="Q3702" i="8"/>
  <c r="R3702" i="8"/>
  <c r="S3702" i="8"/>
  <c r="T3702" i="8"/>
  <c r="E341" i="7"/>
  <c r="F341" i="7"/>
  <c r="G341" i="7"/>
  <c r="H341" i="7"/>
  <c r="I341" i="7"/>
  <c r="J341" i="7"/>
  <c r="K341" i="7"/>
  <c r="L341" i="7"/>
  <c r="M341" i="7"/>
  <c r="N341" i="7"/>
  <c r="P341" i="7"/>
  <c r="Q341" i="7"/>
  <c r="R341" i="7"/>
  <c r="S341" i="7"/>
  <c r="U341" i="7"/>
  <c r="V341" i="7"/>
  <c r="W341" i="7"/>
  <c r="X341" i="7"/>
  <c r="Y341" i="7"/>
  <c r="Z341" i="7"/>
  <c r="AA341" i="7"/>
  <c r="AC341" i="7"/>
  <c r="AE341" i="7"/>
  <c r="AI341" i="7"/>
  <c r="AO341" i="7"/>
  <c r="AP341" i="7"/>
  <c r="E3681" i="8"/>
  <c r="F3681" i="8"/>
  <c r="G3681" i="8"/>
  <c r="H3681" i="8"/>
  <c r="I3681" i="8"/>
  <c r="J3681" i="8"/>
  <c r="K3681" i="8"/>
  <c r="L3681" i="8"/>
  <c r="M3681" i="8"/>
  <c r="N3681" i="8"/>
  <c r="O3681" i="8"/>
  <c r="P3681" i="8"/>
  <c r="Q3681" i="8"/>
  <c r="R3681" i="8"/>
  <c r="S3681" i="8"/>
  <c r="T3681" i="8"/>
  <c r="E3682" i="8"/>
  <c r="F3682" i="8"/>
  <c r="G3682" i="8"/>
  <c r="H3682" i="8"/>
  <c r="I3682" i="8"/>
  <c r="J3682" i="8"/>
  <c r="K3682" i="8"/>
  <c r="L3682" i="8"/>
  <c r="M3682" i="8"/>
  <c r="N3682" i="8"/>
  <c r="O3682" i="8"/>
  <c r="P3682" i="8"/>
  <c r="Q3682" i="8"/>
  <c r="R3682" i="8"/>
  <c r="S3682" i="8"/>
  <c r="T3682" i="8"/>
  <c r="E3683" i="8"/>
  <c r="F3683" i="8"/>
  <c r="G3683" i="8"/>
  <c r="H3683" i="8"/>
  <c r="I3683" i="8"/>
  <c r="J3683" i="8"/>
  <c r="K3683" i="8"/>
  <c r="L3683" i="8"/>
  <c r="M3683" i="8"/>
  <c r="N3683" i="8"/>
  <c r="O3683" i="8"/>
  <c r="P3683" i="8"/>
  <c r="Q3683" i="8"/>
  <c r="R3683" i="8"/>
  <c r="S3683" i="8"/>
  <c r="T3683" i="8"/>
  <c r="E3684" i="8"/>
  <c r="F3684" i="8"/>
  <c r="G3684" i="8"/>
  <c r="H3684" i="8"/>
  <c r="I3684" i="8"/>
  <c r="J3684" i="8"/>
  <c r="K3684" i="8"/>
  <c r="L3684" i="8"/>
  <c r="M3684" i="8"/>
  <c r="N3684" i="8"/>
  <c r="O3684" i="8"/>
  <c r="P3684" i="8"/>
  <c r="Q3684" i="8"/>
  <c r="R3684" i="8"/>
  <c r="S3684" i="8"/>
  <c r="T3684" i="8"/>
  <c r="E3685" i="8"/>
  <c r="F3685" i="8"/>
  <c r="G3685" i="8"/>
  <c r="H3685" i="8"/>
  <c r="I3685" i="8"/>
  <c r="J3685" i="8"/>
  <c r="K3685" i="8"/>
  <c r="L3685" i="8"/>
  <c r="M3685" i="8"/>
  <c r="N3685" i="8"/>
  <c r="O3685" i="8"/>
  <c r="P3685" i="8"/>
  <c r="Q3685" i="8"/>
  <c r="R3685" i="8"/>
  <c r="S3685" i="8"/>
  <c r="T3685" i="8"/>
  <c r="E3686" i="8"/>
  <c r="F3686" i="8"/>
  <c r="G3686" i="8"/>
  <c r="H3686" i="8"/>
  <c r="I3686" i="8"/>
  <c r="J3686" i="8"/>
  <c r="K3686" i="8"/>
  <c r="L3686" i="8"/>
  <c r="M3686" i="8"/>
  <c r="N3686" i="8"/>
  <c r="O3686" i="8"/>
  <c r="P3686" i="8"/>
  <c r="Q3686" i="8"/>
  <c r="R3686" i="8"/>
  <c r="S3686" i="8"/>
  <c r="T3686" i="8"/>
  <c r="E3687" i="8"/>
  <c r="F3687" i="8"/>
  <c r="G3687" i="8"/>
  <c r="H3687" i="8"/>
  <c r="I3687" i="8"/>
  <c r="J3687" i="8"/>
  <c r="K3687" i="8"/>
  <c r="L3687" i="8"/>
  <c r="M3687" i="8"/>
  <c r="N3687" i="8"/>
  <c r="O3687" i="8"/>
  <c r="P3687" i="8"/>
  <c r="Q3687" i="8"/>
  <c r="R3687" i="8"/>
  <c r="S3687" i="8"/>
  <c r="T3687" i="8"/>
  <c r="E3688" i="8"/>
  <c r="F3688" i="8"/>
  <c r="G3688" i="8"/>
  <c r="H3688" i="8"/>
  <c r="I3688" i="8"/>
  <c r="J3688" i="8"/>
  <c r="K3688" i="8"/>
  <c r="L3688" i="8"/>
  <c r="M3688" i="8"/>
  <c r="N3688" i="8"/>
  <c r="O3688" i="8"/>
  <c r="P3688" i="8"/>
  <c r="Q3688" i="8"/>
  <c r="R3688" i="8"/>
  <c r="S3688" i="8"/>
  <c r="T3688" i="8"/>
  <c r="E3689" i="8"/>
  <c r="F3689" i="8"/>
  <c r="G3689" i="8"/>
  <c r="H3689" i="8"/>
  <c r="I3689" i="8"/>
  <c r="J3689" i="8"/>
  <c r="K3689" i="8"/>
  <c r="L3689" i="8"/>
  <c r="M3689" i="8"/>
  <c r="N3689" i="8"/>
  <c r="O3689" i="8"/>
  <c r="P3689" i="8"/>
  <c r="Q3689" i="8"/>
  <c r="R3689" i="8"/>
  <c r="S3689" i="8"/>
  <c r="T3689" i="8"/>
  <c r="E3690" i="8"/>
  <c r="F3690" i="8"/>
  <c r="G3690" i="8"/>
  <c r="H3690" i="8"/>
  <c r="I3690" i="8"/>
  <c r="J3690" i="8"/>
  <c r="K3690" i="8"/>
  <c r="L3690" i="8"/>
  <c r="M3690" i="8"/>
  <c r="N3690" i="8"/>
  <c r="O3690" i="8"/>
  <c r="P3690" i="8"/>
  <c r="Q3690" i="8"/>
  <c r="R3690" i="8"/>
  <c r="S3690" i="8"/>
  <c r="T3690" i="8"/>
  <c r="E3691" i="8"/>
  <c r="F3691" i="8"/>
  <c r="G3691" i="8"/>
  <c r="H3691" i="8"/>
  <c r="I3691" i="8"/>
  <c r="J3691" i="8"/>
  <c r="K3691" i="8"/>
  <c r="L3691" i="8"/>
  <c r="M3691" i="8"/>
  <c r="N3691" i="8"/>
  <c r="O3691" i="8"/>
  <c r="P3691" i="8"/>
  <c r="Q3691" i="8"/>
  <c r="R3691" i="8"/>
  <c r="S3691" i="8"/>
  <c r="T3691" i="8"/>
  <c r="E340" i="7"/>
  <c r="F340" i="7"/>
  <c r="G340" i="7"/>
  <c r="H340" i="7"/>
  <c r="I340" i="7"/>
  <c r="J340" i="7"/>
  <c r="K340" i="7"/>
  <c r="L340" i="7"/>
  <c r="M340" i="7"/>
  <c r="N340" i="7"/>
  <c r="P340" i="7"/>
  <c r="Q340" i="7"/>
  <c r="R340" i="7"/>
  <c r="S340" i="7"/>
  <c r="U340" i="7"/>
  <c r="V340" i="7"/>
  <c r="W340" i="7"/>
  <c r="X340" i="7"/>
  <c r="Y340" i="7"/>
  <c r="Z340" i="7"/>
  <c r="AA340" i="7"/>
  <c r="AC340" i="7"/>
  <c r="AE340" i="7"/>
  <c r="AI340" i="7"/>
  <c r="AO340" i="7"/>
  <c r="AP340" i="7"/>
  <c r="E3670" i="8"/>
  <c r="F3670" i="8"/>
  <c r="G3670" i="8"/>
  <c r="H3670" i="8"/>
  <c r="I3670" i="8"/>
  <c r="J3670" i="8"/>
  <c r="K3670" i="8"/>
  <c r="L3670" i="8"/>
  <c r="M3670" i="8"/>
  <c r="N3670" i="8"/>
  <c r="O3670" i="8"/>
  <c r="P3670" i="8"/>
  <c r="Q3670" i="8"/>
  <c r="R3670" i="8"/>
  <c r="S3670" i="8"/>
  <c r="T3670" i="8"/>
  <c r="E3671" i="8"/>
  <c r="F3671" i="8"/>
  <c r="G3671" i="8"/>
  <c r="H3671" i="8"/>
  <c r="I3671" i="8"/>
  <c r="J3671" i="8"/>
  <c r="K3671" i="8"/>
  <c r="L3671" i="8"/>
  <c r="M3671" i="8"/>
  <c r="N3671" i="8"/>
  <c r="O3671" i="8"/>
  <c r="P3671" i="8"/>
  <c r="Q3671" i="8"/>
  <c r="R3671" i="8"/>
  <c r="S3671" i="8"/>
  <c r="T3671" i="8"/>
  <c r="E3672" i="8"/>
  <c r="F3672" i="8"/>
  <c r="G3672" i="8"/>
  <c r="H3672" i="8"/>
  <c r="I3672" i="8"/>
  <c r="J3672" i="8"/>
  <c r="K3672" i="8"/>
  <c r="L3672" i="8"/>
  <c r="M3672" i="8"/>
  <c r="N3672" i="8"/>
  <c r="O3672" i="8"/>
  <c r="P3672" i="8"/>
  <c r="Q3672" i="8"/>
  <c r="R3672" i="8"/>
  <c r="S3672" i="8"/>
  <c r="T3672" i="8"/>
  <c r="E3673" i="8"/>
  <c r="F3673" i="8"/>
  <c r="G3673" i="8"/>
  <c r="H3673" i="8"/>
  <c r="I3673" i="8"/>
  <c r="J3673" i="8"/>
  <c r="K3673" i="8"/>
  <c r="L3673" i="8"/>
  <c r="M3673" i="8"/>
  <c r="N3673" i="8"/>
  <c r="O3673" i="8"/>
  <c r="P3673" i="8"/>
  <c r="Q3673" i="8"/>
  <c r="R3673" i="8"/>
  <c r="S3673" i="8"/>
  <c r="T3673" i="8"/>
  <c r="E3674" i="8"/>
  <c r="F3674" i="8"/>
  <c r="G3674" i="8"/>
  <c r="H3674" i="8"/>
  <c r="I3674" i="8"/>
  <c r="J3674" i="8"/>
  <c r="K3674" i="8"/>
  <c r="L3674" i="8"/>
  <c r="M3674" i="8"/>
  <c r="N3674" i="8"/>
  <c r="O3674" i="8"/>
  <c r="P3674" i="8"/>
  <c r="Q3674" i="8"/>
  <c r="R3674" i="8"/>
  <c r="S3674" i="8"/>
  <c r="T3674" i="8"/>
  <c r="E3675" i="8"/>
  <c r="F3675" i="8"/>
  <c r="G3675" i="8"/>
  <c r="H3675" i="8"/>
  <c r="I3675" i="8"/>
  <c r="J3675" i="8"/>
  <c r="K3675" i="8"/>
  <c r="L3675" i="8"/>
  <c r="M3675" i="8"/>
  <c r="N3675" i="8"/>
  <c r="O3675" i="8"/>
  <c r="P3675" i="8"/>
  <c r="Q3675" i="8"/>
  <c r="R3675" i="8"/>
  <c r="S3675" i="8"/>
  <c r="T3675" i="8"/>
  <c r="E3676" i="8"/>
  <c r="F3676" i="8"/>
  <c r="G3676" i="8"/>
  <c r="H3676" i="8"/>
  <c r="I3676" i="8"/>
  <c r="J3676" i="8"/>
  <c r="K3676" i="8"/>
  <c r="L3676" i="8"/>
  <c r="M3676" i="8"/>
  <c r="N3676" i="8"/>
  <c r="O3676" i="8"/>
  <c r="P3676" i="8"/>
  <c r="Q3676" i="8"/>
  <c r="R3676" i="8"/>
  <c r="S3676" i="8"/>
  <c r="T3676" i="8"/>
  <c r="E3677" i="8"/>
  <c r="F3677" i="8"/>
  <c r="G3677" i="8"/>
  <c r="H3677" i="8"/>
  <c r="I3677" i="8"/>
  <c r="J3677" i="8"/>
  <c r="K3677" i="8"/>
  <c r="L3677" i="8"/>
  <c r="M3677" i="8"/>
  <c r="N3677" i="8"/>
  <c r="O3677" i="8"/>
  <c r="P3677" i="8"/>
  <c r="Q3677" i="8"/>
  <c r="R3677" i="8"/>
  <c r="S3677" i="8"/>
  <c r="T3677" i="8"/>
  <c r="E3678" i="8"/>
  <c r="F3678" i="8"/>
  <c r="G3678" i="8"/>
  <c r="H3678" i="8"/>
  <c r="I3678" i="8"/>
  <c r="J3678" i="8"/>
  <c r="K3678" i="8"/>
  <c r="L3678" i="8"/>
  <c r="M3678" i="8"/>
  <c r="N3678" i="8"/>
  <c r="O3678" i="8"/>
  <c r="P3678" i="8"/>
  <c r="Q3678" i="8"/>
  <c r="R3678" i="8"/>
  <c r="S3678" i="8"/>
  <c r="T3678" i="8"/>
  <c r="E3679" i="8"/>
  <c r="F3679" i="8"/>
  <c r="G3679" i="8"/>
  <c r="H3679" i="8"/>
  <c r="I3679" i="8"/>
  <c r="J3679" i="8"/>
  <c r="K3679" i="8"/>
  <c r="L3679" i="8"/>
  <c r="M3679" i="8"/>
  <c r="N3679" i="8"/>
  <c r="O3679" i="8"/>
  <c r="P3679" i="8"/>
  <c r="Q3679" i="8"/>
  <c r="R3679" i="8"/>
  <c r="S3679" i="8"/>
  <c r="T3679" i="8"/>
  <c r="E3680" i="8"/>
  <c r="F3680" i="8"/>
  <c r="G3680" i="8"/>
  <c r="H3680" i="8"/>
  <c r="I3680" i="8"/>
  <c r="J3680" i="8"/>
  <c r="K3680" i="8"/>
  <c r="L3680" i="8"/>
  <c r="M3680" i="8"/>
  <c r="N3680" i="8"/>
  <c r="O3680" i="8"/>
  <c r="P3680" i="8"/>
  <c r="Q3680" i="8"/>
  <c r="R3680" i="8"/>
  <c r="S3680" i="8"/>
  <c r="T3680" i="8"/>
  <c r="E339" i="7"/>
  <c r="F339" i="7"/>
  <c r="G339" i="7"/>
  <c r="H339" i="7"/>
  <c r="I339" i="7"/>
  <c r="J339" i="7"/>
  <c r="K339" i="7"/>
  <c r="L339" i="7"/>
  <c r="M339" i="7"/>
  <c r="N339" i="7"/>
  <c r="P339" i="7"/>
  <c r="Q339" i="7"/>
  <c r="R339" i="7"/>
  <c r="S339" i="7"/>
  <c r="U339" i="7"/>
  <c r="V339" i="7"/>
  <c r="W339" i="7"/>
  <c r="X339" i="7"/>
  <c r="Y339" i="7"/>
  <c r="Z339" i="7"/>
  <c r="AA339" i="7"/>
  <c r="AC339" i="7"/>
  <c r="AE339" i="7"/>
  <c r="AI339" i="7"/>
  <c r="AO339" i="7"/>
  <c r="AP339" i="7"/>
  <c r="E3659" i="8"/>
  <c r="F3659" i="8"/>
  <c r="G3659" i="8"/>
  <c r="H3659" i="8"/>
  <c r="I3659" i="8"/>
  <c r="J3659" i="8"/>
  <c r="K3659" i="8"/>
  <c r="L3659" i="8"/>
  <c r="M3659" i="8"/>
  <c r="N3659" i="8"/>
  <c r="O3659" i="8"/>
  <c r="P3659" i="8"/>
  <c r="Q3659" i="8"/>
  <c r="R3659" i="8"/>
  <c r="S3659" i="8"/>
  <c r="T3659" i="8"/>
  <c r="E3660" i="8"/>
  <c r="F3660" i="8"/>
  <c r="G3660" i="8"/>
  <c r="H3660" i="8"/>
  <c r="I3660" i="8"/>
  <c r="J3660" i="8"/>
  <c r="K3660" i="8"/>
  <c r="L3660" i="8"/>
  <c r="M3660" i="8"/>
  <c r="N3660" i="8"/>
  <c r="O3660" i="8"/>
  <c r="P3660" i="8"/>
  <c r="Q3660" i="8"/>
  <c r="R3660" i="8"/>
  <c r="S3660" i="8"/>
  <c r="T3660" i="8"/>
  <c r="E3661" i="8"/>
  <c r="F3661" i="8"/>
  <c r="G3661" i="8"/>
  <c r="H3661" i="8"/>
  <c r="I3661" i="8"/>
  <c r="J3661" i="8"/>
  <c r="K3661" i="8"/>
  <c r="L3661" i="8"/>
  <c r="M3661" i="8"/>
  <c r="N3661" i="8"/>
  <c r="O3661" i="8"/>
  <c r="P3661" i="8"/>
  <c r="Q3661" i="8"/>
  <c r="R3661" i="8"/>
  <c r="S3661" i="8"/>
  <c r="T3661" i="8"/>
  <c r="E3662" i="8"/>
  <c r="F3662" i="8"/>
  <c r="G3662" i="8"/>
  <c r="H3662" i="8"/>
  <c r="I3662" i="8"/>
  <c r="J3662" i="8"/>
  <c r="K3662" i="8"/>
  <c r="L3662" i="8"/>
  <c r="M3662" i="8"/>
  <c r="N3662" i="8"/>
  <c r="O3662" i="8"/>
  <c r="P3662" i="8"/>
  <c r="Q3662" i="8"/>
  <c r="R3662" i="8"/>
  <c r="S3662" i="8"/>
  <c r="T3662" i="8"/>
  <c r="E3663" i="8"/>
  <c r="F3663" i="8"/>
  <c r="G3663" i="8"/>
  <c r="H3663" i="8"/>
  <c r="I3663" i="8"/>
  <c r="J3663" i="8"/>
  <c r="K3663" i="8"/>
  <c r="L3663" i="8"/>
  <c r="M3663" i="8"/>
  <c r="N3663" i="8"/>
  <c r="O3663" i="8"/>
  <c r="P3663" i="8"/>
  <c r="Q3663" i="8"/>
  <c r="R3663" i="8"/>
  <c r="S3663" i="8"/>
  <c r="T3663" i="8"/>
  <c r="E3664" i="8"/>
  <c r="F3664" i="8"/>
  <c r="G3664" i="8"/>
  <c r="H3664" i="8"/>
  <c r="I3664" i="8"/>
  <c r="J3664" i="8"/>
  <c r="K3664" i="8"/>
  <c r="L3664" i="8"/>
  <c r="M3664" i="8"/>
  <c r="N3664" i="8"/>
  <c r="O3664" i="8"/>
  <c r="P3664" i="8"/>
  <c r="Q3664" i="8"/>
  <c r="R3664" i="8"/>
  <c r="S3664" i="8"/>
  <c r="T3664" i="8"/>
  <c r="E3665" i="8"/>
  <c r="F3665" i="8"/>
  <c r="G3665" i="8"/>
  <c r="H3665" i="8"/>
  <c r="I3665" i="8"/>
  <c r="J3665" i="8"/>
  <c r="K3665" i="8"/>
  <c r="L3665" i="8"/>
  <c r="M3665" i="8"/>
  <c r="N3665" i="8"/>
  <c r="O3665" i="8"/>
  <c r="P3665" i="8"/>
  <c r="Q3665" i="8"/>
  <c r="R3665" i="8"/>
  <c r="S3665" i="8"/>
  <c r="T3665" i="8"/>
  <c r="E3666" i="8"/>
  <c r="F3666" i="8"/>
  <c r="G3666" i="8"/>
  <c r="H3666" i="8"/>
  <c r="I3666" i="8"/>
  <c r="J3666" i="8"/>
  <c r="K3666" i="8"/>
  <c r="L3666" i="8"/>
  <c r="M3666" i="8"/>
  <c r="N3666" i="8"/>
  <c r="O3666" i="8"/>
  <c r="P3666" i="8"/>
  <c r="Q3666" i="8"/>
  <c r="R3666" i="8"/>
  <c r="S3666" i="8"/>
  <c r="T3666" i="8"/>
  <c r="E3667" i="8"/>
  <c r="F3667" i="8"/>
  <c r="G3667" i="8"/>
  <c r="H3667" i="8"/>
  <c r="I3667" i="8"/>
  <c r="J3667" i="8"/>
  <c r="K3667" i="8"/>
  <c r="L3667" i="8"/>
  <c r="M3667" i="8"/>
  <c r="N3667" i="8"/>
  <c r="O3667" i="8"/>
  <c r="P3667" i="8"/>
  <c r="Q3667" i="8"/>
  <c r="R3667" i="8"/>
  <c r="S3667" i="8"/>
  <c r="T3667" i="8"/>
  <c r="E3668" i="8"/>
  <c r="F3668" i="8"/>
  <c r="G3668" i="8"/>
  <c r="H3668" i="8"/>
  <c r="I3668" i="8"/>
  <c r="J3668" i="8"/>
  <c r="K3668" i="8"/>
  <c r="L3668" i="8"/>
  <c r="M3668" i="8"/>
  <c r="N3668" i="8"/>
  <c r="O3668" i="8"/>
  <c r="P3668" i="8"/>
  <c r="Q3668" i="8"/>
  <c r="R3668" i="8"/>
  <c r="S3668" i="8"/>
  <c r="T3668" i="8"/>
  <c r="E3669" i="8"/>
  <c r="F3669" i="8"/>
  <c r="G3669" i="8"/>
  <c r="H3669" i="8"/>
  <c r="I3669" i="8"/>
  <c r="J3669" i="8"/>
  <c r="K3669" i="8"/>
  <c r="L3669" i="8"/>
  <c r="M3669" i="8"/>
  <c r="N3669" i="8"/>
  <c r="O3669" i="8"/>
  <c r="P3669" i="8"/>
  <c r="Q3669" i="8"/>
  <c r="R3669" i="8"/>
  <c r="S3669" i="8"/>
  <c r="T3669" i="8"/>
  <c r="E338" i="7"/>
  <c r="F338" i="7"/>
  <c r="G338" i="7"/>
  <c r="H338" i="7"/>
  <c r="I338" i="7"/>
  <c r="J338" i="7"/>
  <c r="K338" i="7"/>
  <c r="L338" i="7"/>
  <c r="M338" i="7"/>
  <c r="N338" i="7"/>
  <c r="P338" i="7"/>
  <c r="Q338" i="7"/>
  <c r="R338" i="7"/>
  <c r="S338" i="7"/>
  <c r="U338" i="7"/>
  <c r="V338" i="7"/>
  <c r="W338" i="7"/>
  <c r="X338" i="7"/>
  <c r="Y338" i="7"/>
  <c r="Z338" i="7"/>
  <c r="AA338" i="7"/>
  <c r="AC338" i="7"/>
  <c r="AE338" i="7"/>
  <c r="AI338" i="7"/>
  <c r="AO338" i="7"/>
  <c r="AP338" i="7"/>
  <c r="E3648" i="8"/>
  <c r="F3648" i="8"/>
  <c r="G3648" i="8"/>
  <c r="H3648" i="8"/>
  <c r="I3648" i="8"/>
  <c r="J3648" i="8"/>
  <c r="K3648" i="8"/>
  <c r="L3648" i="8"/>
  <c r="M3648" i="8"/>
  <c r="N3648" i="8"/>
  <c r="O3648" i="8"/>
  <c r="P3648" i="8"/>
  <c r="Q3648" i="8"/>
  <c r="R3648" i="8"/>
  <c r="S3648" i="8"/>
  <c r="T3648" i="8"/>
  <c r="E3649" i="8"/>
  <c r="F3649" i="8"/>
  <c r="G3649" i="8"/>
  <c r="H3649" i="8"/>
  <c r="I3649" i="8"/>
  <c r="J3649" i="8"/>
  <c r="K3649" i="8"/>
  <c r="L3649" i="8"/>
  <c r="M3649" i="8"/>
  <c r="N3649" i="8"/>
  <c r="O3649" i="8"/>
  <c r="P3649" i="8"/>
  <c r="Q3649" i="8"/>
  <c r="R3649" i="8"/>
  <c r="S3649" i="8"/>
  <c r="T3649" i="8"/>
  <c r="E3650" i="8"/>
  <c r="F3650" i="8"/>
  <c r="G3650" i="8"/>
  <c r="H3650" i="8"/>
  <c r="I3650" i="8"/>
  <c r="J3650" i="8"/>
  <c r="K3650" i="8"/>
  <c r="L3650" i="8"/>
  <c r="M3650" i="8"/>
  <c r="N3650" i="8"/>
  <c r="O3650" i="8"/>
  <c r="P3650" i="8"/>
  <c r="Q3650" i="8"/>
  <c r="R3650" i="8"/>
  <c r="S3650" i="8"/>
  <c r="T3650" i="8"/>
  <c r="E3651" i="8"/>
  <c r="F3651" i="8"/>
  <c r="G3651" i="8"/>
  <c r="H3651" i="8"/>
  <c r="I3651" i="8"/>
  <c r="J3651" i="8"/>
  <c r="K3651" i="8"/>
  <c r="L3651" i="8"/>
  <c r="M3651" i="8"/>
  <c r="N3651" i="8"/>
  <c r="O3651" i="8"/>
  <c r="P3651" i="8"/>
  <c r="Q3651" i="8"/>
  <c r="R3651" i="8"/>
  <c r="S3651" i="8"/>
  <c r="T3651" i="8"/>
  <c r="E3652" i="8"/>
  <c r="F3652" i="8"/>
  <c r="G3652" i="8"/>
  <c r="H3652" i="8"/>
  <c r="I3652" i="8"/>
  <c r="J3652" i="8"/>
  <c r="K3652" i="8"/>
  <c r="L3652" i="8"/>
  <c r="M3652" i="8"/>
  <c r="N3652" i="8"/>
  <c r="O3652" i="8"/>
  <c r="P3652" i="8"/>
  <c r="Q3652" i="8"/>
  <c r="R3652" i="8"/>
  <c r="S3652" i="8"/>
  <c r="T3652" i="8"/>
  <c r="E3653" i="8"/>
  <c r="F3653" i="8"/>
  <c r="G3653" i="8"/>
  <c r="H3653" i="8"/>
  <c r="I3653" i="8"/>
  <c r="J3653" i="8"/>
  <c r="K3653" i="8"/>
  <c r="L3653" i="8"/>
  <c r="M3653" i="8"/>
  <c r="N3653" i="8"/>
  <c r="O3653" i="8"/>
  <c r="P3653" i="8"/>
  <c r="Q3653" i="8"/>
  <c r="R3653" i="8"/>
  <c r="S3653" i="8"/>
  <c r="T3653" i="8"/>
  <c r="E3654" i="8"/>
  <c r="F3654" i="8"/>
  <c r="G3654" i="8"/>
  <c r="H3654" i="8"/>
  <c r="I3654" i="8"/>
  <c r="J3654" i="8"/>
  <c r="K3654" i="8"/>
  <c r="L3654" i="8"/>
  <c r="M3654" i="8"/>
  <c r="N3654" i="8"/>
  <c r="O3654" i="8"/>
  <c r="P3654" i="8"/>
  <c r="Q3654" i="8"/>
  <c r="R3654" i="8"/>
  <c r="S3654" i="8"/>
  <c r="T3654" i="8"/>
  <c r="E3655" i="8"/>
  <c r="F3655" i="8"/>
  <c r="G3655" i="8"/>
  <c r="H3655" i="8"/>
  <c r="I3655" i="8"/>
  <c r="J3655" i="8"/>
  <c r="K3655" i="8"/>
  <c r="L3655" i="8"/>
  <c r="M3655" i="8"/>
  <c r="N3655" i="8"/>
  <c r="O3655" i="8"/>
  <c r="P3655" i="8"/>
  <c r="Q3655" i="8"/>
  <c r="R3655" i="8"/>
  <c r="S3655" i="8"/>
  <c r="T3655" i="8"/>
  <c r="E3656" i="8"/>
  <c r="F3656" i="8"/>
  <c r="G3656" i="8"/>
  <c r="H3656" i="8"/>
  <c r="I3656" i="8"/>
  <c r="J3656" i="8"/>
  <c r="K3656" i="8"/>
  <c r="L3656" i="8"/>
  <c r="M3656" i="8"/>
  <c r="N3656" i="8"/>
  <c r="O3656" i="8"/>
  <c r="P3656" i="8"/>
  <c r="Q3656" i="8"/>
  <c r="R3656" i="8"/>
  <c r="S3656" i="8"/>
  <c r="T3656" i="8"/>
  <c r="E3657" i="8"/>
  <c r="F3657" i="8"/>
  <c r="G3657" i="8"/>
  <c r="H3657" i="8"/>
  <c r="I3657" i="8"/>
  <c r="J3657" i="8"/>
  <c r="K3657" i="8"/>
  <c r="L3657" i="8"/>
  <c r="M3657" i="8"/>
  <c r="N3657" i="8"/>
  <c r="O3657" i="8"/>
  <c r="P3657" i="8"/>
  <c r="Q3657" i="8"/>
  <c r="R3657" i="8"/>
  <c r="S3657" i="8"/>
  <c r="T3657" i="8"/>
  <c r="E3658" i="8"/>
  <c r="F3658" i="8"/>
  <c r="G3658" i="8"/>
  <c r="H3658" i="8"/>
  <c r="I3658" i="8"/>
  <c r="J3658" i="8"/>
  <c r="K3658" i="8"/>
  <c r="L3658" i="8"/>
  <c r="M3658" i="8"/>
  <c r="N3658" i="8"/>
  <c r="O3658" i="8"/>
  <c r="P3658" i="8"/>
  <c r="Q3658" i="8"/>
  <c r="R3658" i="8"/>
  <c r="S3658" i="8"/>
  <c r="T3658" i="8"/>
  <c r="E337" i="7"/>
  <c r="F337" i="7"/>
  <c r="G337" i="7"/>
  <c r="H337" i="7"/>
  <c r="I337" i="7"/>
  <c r="J337" i="7"/>
  <c r="K337" i="7"/>
  <c r="L337" i="7"/>
  <c r="M337" i="7"/>
  <c r="N337" i="7"/>
  <c r="P337" i="7"/>
  <c r="Q337" i="7"/>
  <c r="R337" i="7"/>
  <c r="S337" i="7"/>
  <c r="U337" i="7"/>
  <c r="V337" i="7"/>
  <c r="W337" i="7"/>
  <c r="X337" i="7"/>
  <c r="Y337" i="7"/>
  <c r="Z337" i="7"/>
  <c r="AA337" i="7"/>
  <c r="AC337" i="7"/>
  <c r="AE337" i="7"/>
  <c r="AI337" i="7"/>
  <c r="AO337" i="7"/>
  <c r="AP337" i="7"/>
  <c r="E3637" i="8"/>
  <c r="F3637" i="8"/>
  <c r="G3637" i="8"/>
  <c r="H3637" i="8"/>
  <c r="I3637" i="8"/>
  <c r="J3637" i="8"/>
  <c r="K3637" i="8"/>
  <c r="L3637" i="8"/>
  <c r="M3637" i="8"/>
  <c r="N3637" i="8"/>
  <c r="O3637" i="8"/>
  <c r="P3637" i="8"/>
  <c r="Q3637" i="8"/>
  <c r="R3637" i="8"/>
  <c r="S3637" i="8"/>
  <c r="T3637" i="8"/>
  <c r="E3638" i="8"/>
  <c r="F3638" i="8"/>
  <c r="G3638" i="8"/>
  <c r="H3638" i="8"/>
  <c r="I3638" i="8"/>
  <c r="J3638" i="8"/>
  <c r="K3638" i="8"/>
  <c r="L3638" i="8"/>
  <c r="M3638" i="8"/>
  <c r="N3638" i="8"/>
  <c r="O3638" i="8"/>
  <c r="P3638" i="8"/>
  <c r="Q3638" i="8"/>
  <c r="R3638" i="8"/>
  <c r="S3638" i="8"/>
  <c r="T3638" i="8"/>
  <c r="E3639" i="8"/>
  <c r="F3639" i="8"/>
  <c r="G3639" i="8"/>
  <c r="H3639" i="8"/>
  <c r="I3639" i="8"/>
  <c r="J3639" i="8"/>
  <c r="K3639" i="8"/>
  <c r="L3639" i="8"/>
  <c r="M3639" i="8"/>
  <c r="N3639" i="8"/>
  <c r="O3639" i="8"/>
  <c r="P3639" i="8"/>
  <c r="Q3639" i="8"/>
  <c r="R3639" i="8"/>
  <c r="S3639" i="8"/>
  <c r="T3639" i="8"/>
  <c r="E3640" i="8"/>
  <c r="F3640" i="8"/>
  <c r="G3640" i="8"/>
  <c r="H3640" i="8"/>
  <c r="I3640" i="8"/>
  <c r="J3640" i="8"/>
  <c r="K3640" i="8"/>
  <c r="L3640" i="8"/>
  <c r="M3640" i="8"/>
  <c r="N3640" i="8"/>
  <c r="O3640" i="8"/>
  <c r="P3640" i="8"/>
  <c r="Q3640" i="8"/>
  <c r="R3640" i="8"/>
  <c r="S3640" i="8"/>
  <c r="T3640" i="8"/>
  <c r="E3641" i="8"/>
  <c r="F3641" i="8"/>
  <c r="G3641" i="8"/>
  <c r="H3641" i="8"/>
  <c r="I3641" i="8"/>
  <c r="J3641" i="8"/>
  <c r="K3641" i="8"/>
  <c r="L3641" i="8"/>
  <c r="M3641" i="8"/>
  <c r="N3641" i="8"/>
  <c r="O3641" i="8"/>
  <c r="P3641" i="8"/>
  <c r="Q3641" i="8"/>
  <c r="R3641" i="8"/>
  <c r="S3641" i="8"/>
  <c r="T3641" i="8"/>
  <c r="E3642" i="8"/>
  <c r="F3642" i="8"/>
  <c r="G3642" i="8"/>
  <c r="H3642" i="8"/>
  <c r="I3642" i="8"/>
  <c r="J3642" i="8"/>
  <c r="K3642" i="8"/>
  <c r="L3642" i="8"/>
  <c r="M3642" i="8"/>
  <c r="N3642" i="8"/>
  <c r="O3642" i="8"/>
  <c r="P3642" i="8"/>
  <c r="Q3642" i="8"/>
  <c r="R3642" i="8"/>
  <c r="S3642" i="8"/>
  <c r="T3642" i="8"/>
  <c r="E3643" i="8"/>
  <c r="F3643" i="8"/>
  <c r="G3643" i="8"/>
  <c r="H3643" i="8"/>
  <c r="I3643" i="8"/>
  <c r="J3643" i="8"/>
  <c r="K3643" i="8"/>
  <c r="L3643" i="8"/>
  <c r="M3643" i="8"/>
  <c r="N3643" i="8"/>
  <c r="O3643" i="8"/>
  <c r="P3643" i="8"/>
  <c r="Q3643" i="8"/>
  <c r="R3643" i="8"/>
  <c r="S3643" i="8"/>
  <c r="T3643" i="8"/>
  <c r="E3644" i="8"/>
  <c r="F3644" i="8"/>
  <c r="G3644" i="8"/>
  <c r="H3644" i="8"/>
  <c r="I3644" i="8"/>
  <c r="J3644" i="8"/>
  <c r="K3644" i="8"/>
  <c r="L3644" i="8"/>
  <c r="M3644" i="8"/>
  <c r="N3644" i="8"/>
  <c r="O3644" i="8"/>
  <c r="P3644" i="8"/>
  <c r="Q3644" i="8"/>
  <c r="R3644" i="8"/>
  <c r="S3644" i="8"/>
  <c r="T3644" i="8"/>
  <c r="E3645" i="8"/>
  <c r="F3645" i="8"/>
  <c r="G3645" i="8"/>
  <c r="H3645" i="8"/>
  <c r="I3645" i="8"/>
  <c r="J3645" i="8"/>
  <c r="K3645" i="8"/>
  <c r="L3645" i="8"/>
  <c r="M3645" i="8"/>
  <c r="N3645" i="8"/>
  <c r="O3645" i="8"/>
  <c r="P3645" i="8"/>
  <c r="Q3645" i="8"/>
  <c r="R3645" i="8"/>
  <c r="S3645" i="8"/>
  <c r="T3645" i="8"/>
  <c r="E3646" i="8"/>
  <c r="F3646" i="8"/>
  <c r="G3646" i="8"/>
  <c r="H3646" i="8"/>
  <c r="I3646" i="8"/>
  <c r="J3646" i="8"/>
  <c r="K3646" i="8"/>
  <c r="L3646" i="8"/>
  <c r="M3646" i="8"/>
  <c r="N3646" i="8"/>
  <c r="O3646" i="8"/>
  <c r="P3646" i="8"/>
  <c r="Q3646" i="8"/>
  <c r="R3646" i="8"/>
  <c r="S3646" i="8"/>
  <c r="T3646" i="8"/>
  <c r="E3647" i="8"/>
  <c r="F3647" i="8"/>
  <c r="G3647" i="8"/>
  <c r="H3647" i="8"/>
  <c r="I3647" i="8"/>
  <c r="J3647" i="8"/>
  <c r="K3647" i="8"/>
  <c r="L3647" i="8"/>
  <c r="M3647" i="8"/>
  <c r="N3647" i="8"/>
  <c r="O3647" i="8"/>
  <c r="P3647" i="8"/>
  <c r="Q3647" i="8"/>
  <c r="R3647" i="8"/>
  <c r="S3647" i="8"/>
  <c r="T3647" i="8"/>
  <c r="E336" i="7"/>
  <c r="F336" i="7"/>
  <c r="G336" i="7"/>
  <c r="H336" i="7"/>
  <c r="I336" i="7"/>
  <c r="J336" i="7"/>
  <c r="K336" i="7"/>
  <c r="L336" i="7"/>
  <c r="M336" i="7"/>
  <c r="N336" i="7"/>
  <c r="P336" i="7"/>
  <c r="Q336" i="7"/>
  <c r="R336" i="7"/>
  <c r="S336" i="7"/>
  <c r="U336" i="7"/>
  <c r="V336" i="7"/>
  <c r="W336" i="7"/>
  <c r="X336" i="7"/>
  <c r="Y336" i="7"/>
  <c r="Z336" i="7"/>
  <c r="AA336" i="7"/>
  <c r="AC336" i="7"/>
  <c r="AE336" i="7"/>
  <c r="AI336" i="7"/>
  <c r="AO336" i="7"/>
  <c r="AP336" i="7"/>
  <c r="E3626" i="8"/>
  <c r="F3626" i="8"/>
  <c r="G3626" i="8"/>
  <c r="H3626" i="8"/>
  <c r="I3626" i="8"/>
  <c r="J3626" i="8"/>
  <c r="K3626" i="8"/>
  <c r="L3626" i="8"/>
  <c r="M3626" i="8"/>
  <c r="N3626" i="8"/>
  <c r="O3626" i="8"/>
  <c r="P3626" i="8"/>
  <c r="Q3626" i="8"/>
  <c r="R3626" i="8"/>
  <c r="S3626" i="8"/>
  <c r="T3626" i="8"/>
  <c r="E3627" i="8"/>
  <c r="F3627" i="8"/>
  <c r="G3627" i="8"/>
  <c r="H3627" i="8"/>
  <c r="I3627" i="8"/>
  <c r="J3627" i="8"/>
  <c r="K3627" i="8"/>
  <c r="L3627" i="8"/>
  <c r="M3627" i="8"/>
  <c r="N3627" i="8"/>
  <c r="O3627" i="8"/>
  <c r="P3627" i="8"/>
  <c r="Q3627" i="8"/>
  <c r="R3627" i="8"/>
  <c r="S3627" i="8"/>
  <c r="T3627" i="8"/>
  <c r="E3628" i="8"/>
  <c r="F3628" i="8"/>
  <c r="G3628" i="8"/>
  <c r="H3628" i="8"/>
  <c r="I3628" i="8"/>
  <c r="J3628" i="8"/>
  <c r="K3628" i="8"/>
  <c r="L3628" i="8"/>
  <c r="M3628" i="8"/>
  <c r="N3628" i="8"/>
  <c r="O3628" i="8"/>
  <c r="P3628" i="8"/>
  <c r="Q3628" i="8"/>
  <c r="R3628" i="8"/>
  <c r="S3628" i="8"/>
  <c r="T3628" i="8"/>
  <c r="E3629" i="8"/>
  <c r="F3629" i="8"/>
  <c r="G3629" i="8"/>
  <c r="H3629" i="8"/>
  <c r="I3629" i="8"/>
  <c r="J3629" i="8"/>
  <c r="K3629" i="8"/>
  <c r="L3629" i="8"/>
  <c r="M3629" i="8"/>
  <c r="N3629" i="8"/>
  <c r="O3629" i="8"/>
  <c r="P3629" i="8"/>
  <c r="Q3629" i="8"/>
  <c r="R3629" i="8"/>
  <c r="S3629" i="8"/>
  <c r="T3629" i="8"/>
  <c r="E3630" i="8"/>
  <c r="F3630" i="8"/>
  <c r="G3630" i="8"/>
  <c r="H3630" i="8"/>
  <c r="I3630" i="8"/>
  <c r="J3630" i="8"/>
  <c r="K3630" i="8"/>
  <c r="L3630" i="8"/>
  <c r="M3630" i="8"/>
  <c r="N3630" i="8"/>
  <c r="O3630" i="8"/>
  <c r="P3630" i="8"/>
  <c r="Q3630" i="8"/>
  <c r="R3630" i="8"/>
  <c r="S3630" i="8"/>
  <c r="T3630" i="8"/>
  <c r="E3631" i="8"/>
  <c r="F3631" i="8"/>
  <c r="G3631" i="8"/>
  <c r="H3631" i="8"/>
  <c r="I3631" i="8"/>
  <c r="J3631" i="8"/>
  <c r="K3631" i="8"/>
  <c r="L3631" i="8"/>
  <c r="M3631" i="8"/>
  <c r="N3631" i="8"/>
  <c r="O3631" i="8"/>
  <c r="P3631" i="8"/>
  <c r="Q3631" i="8"/>
  <c r="R3631" i="8"/>
  <c r="S3631" i="8"/>
  <c r="T3631" i="8"/>
  <c r="E3632" i="8"/>
  <c r="F3632" i="8"/>
  <c r="G3632" i="8"/>
  <c r="H3632" i="8"/>
  <c r="I3632" i="8"/>
  <c r="J3632" i="8"/>
  <c r="K3632" i="8"/>
  <c r="L3632" i="8"/>
  <c r="M3632" i="8"/>
  <c r="N3632" i="8"/>
  <c r="O3632" i="8"/>
  <c r="P3632" i="8"/>
  <c r="Q3632" i="8"/>
  <c r="R3632" i="8"/>
  <c r="S3632" i="8"/>
  <c r="T3632" i="8"/>
  <c r="E3633" i="8"/>
  <c r="F3633" i="8"/>
  <c r="G3633" i="8"/>
  <c r="H3633" i="8"/>
  <c r="I3633" i="8"/>
  <c r="J3633" i="8"/>
  <c r="K3633" i="8"/>
  <c r="L3633" i="8"/>
  <c r="M3633" i="8"/>
  <c r="N3633" i="8"/>
  <c r="O3633" i="8"/>
  <c r="P3633" i="8"/>
  <c r="Q3633" i="8"/>
  <c r="R3633" i="8"/>
  <c r="S3633" i="8"/>
  <c r="T3633" i="8"/>
  <c r="E3634" i="8"/>
  <c r="F3634" i="8"/>
  <c r="G3634" i="8"/>
  <c r="H3634" i="8"/>
  <c r="I3634" i="8"/>
  <c r="J3634" i="8"/>
  <c r="K3634" i="8"/>
  <c r="L3634" i="8"/>
  <c r="M3634" i="8"/>
  <c r="N3634" i="8"/>
  <c r="O3634" i="8"/>
  <c r="P3634" i="8"/>
  <c r="Q3634" i="8"/>
  <c r="R3634" i="8"/>
  <c r="S3634" i="8"/>
  <c r="T3634" i="8"/>
  <c r="E3635" i="8"/>
  <c r="F3635" i="8"/>
  <c r="G3635" i="8"/>
  <c r="H3635" i="8"/>
  <c r="I3635" i="8"/>
  <c r="J3635" i="8"/>
  <c r="K3635" i="8"/>
  <c r="L3635" i="8"/>
  <c r="M3635" i="8"/>
  <c r="N3635" i="8"/>
  <c r="O3635" i="8"/>
  <c r="P3635" i="8"/>
  <c r="Q3635" i="8"/>
  <c r="R3635" i="8"/>
  <c r="S3635" i="8"/>
  <c r="T3635" i="8"/>
  <c r="E3636" i="8"/>
  <c r="F3636" i="8"/>
  <c r="G3636" i="8"/>
  <c r="H3636" i="8"/>
  <c r="I3636" i="8"/>
  <c r="J3636" i="8"/>
  <c r="K3636" i="8"/>
  <c r="L3636" i="8"/>
  <c r="M3636" i="8"/>
  <c r="N3636" i="8"/>
  <c r="O3636" i="8"/>
  <c r="P3636" i="8"/>
  <c r="Q3636" i="8"/>
  <c r="R3636" i="8"/>
  <c r="S3636" i="8"/>
  <c r="T3636" i="8"/>
  <c r="E335" i="7"/>
  <c r="F335" i="7"/>
  <c r="G335" i="7"/>
  <c r="H335" i="7"/>
  <c r="I335" i="7"/>
  <c r="J335" i="7"/>
  <c r="K335" i="7"/>
  <c r="L335" i="7"/>
  <c r="M335" i="7"/>
  <c r="N335" i="7"/>
  <c r="P335" i="7"/>
  <c r="Q335" i="7"/>
  <c r="R335" i="7"/>
  <c r="S335" i="7"/>
  <c r="U335" i="7"/>
  <c r="V335" i="7"/>
  <c r="W335" i="7"/>
  <c r="X335" i="7"/>
  <c r="Y335" i="7"/>
  <c r="Z335" i="7"/>
  <c r="AA335" i="7"/>
  <c r="AC335" i="7"/>
  <c r="AE335" i="7"/>
  <c r="AI335" i="7"/>
  <c r="AO335" i="7"/>
  <c r="AP335" i="7"/>
  <c r="E3615" i="8"/>
  <c r="F3615" i="8"/>
  <c r="G3615" i="8"/>
  <c r="H3615" i="8"/>
  <c r="I3615" i="8"/>
  <c r="J3615" i="8"/>
  <c r="K3615" i="8"/>
  <c r="L3615" i="8"/>
  <c r="M3615" i="8"/>
  <c r="N3615" i="8"/>
  <c r="O3615" i="8"/>
  <c r="P3615" i="8"/>
  <c r="Q3615" i="8"/>
  <c r="R3615" i="8"/>
  <c r="S3615" i="8"/>
  <c r="T3615" i="8"/>
  <c r="E3616" i="8"/>
  <c r="F3616" i="8"/>
  <c r="G3616" i="8"/>
  <c r="H3616" i="8"/>
  <c r="I3616" i="8"/>
  <c r="J3616" i="8"/>
  <c r="K3616" i="8"/>
  <c r="L3616" i="8"/>
  <c r="M3616" i="8"/>
  <c r="N3616" i="8"/>
  <c r="O3616" i="8"/>
  <c r="P3616" i="8"/>
  <c r="Q3616" i="8"/>
  <c r="R3616" i="8"/>
  <c r="S3616" i="8"/>
  <c r="T3616" i="8"/>
  <c r="E3617" i="8"/>
  <c r="F3617" i="8"/>
  <c r="G3617" i="8"/>
  <c r="H3617" i="8"/>
  <c r="I3617" i="8"/>
  <c r="J3617" i="8"/>
  <c r="K3617" i="8"/>
  <c r="L3617" i="8"/>
  <c r="M3617" i="8"/>
  <c r="N3617" i="8"/>
  <c r="O3617" i="8"/>
  <c r="P3617" i="8"/>
  <c r="Q3617" i="8"/>
  <c r="R3617" i="8"/>
  <c r="S3617" i="8"/>
  <c r="T3617" i="8"/>
  <c r="E3618" i="8"/>
  <c r="F3618" i="8"/>
  <c r="G3618" i="8"/>
  <c r="H3618" i="8"/>
  <c r="I3618" i="8"/>
  <c r="J3618" i="8"/>
  <c r="K3618" i="8"/>
  <c r="L3618" i="8"/>
  <c r="M3618" i="8"/>
  <c r="N3618" i="8"/>
  <c r="O3618" i="8"/>
  <c r="P3618" i="8"/>
  <c r="Q3618" i="8"/>
  <c r="R3618" i="8"/>
  <c r="S3618" i="8"/>
  <c r="T3618" i="8"/>
  <c r="E3619" i="8"/>
  <c r="F3619" i="8"/>
  <c r="G3619" i="8"/>
  <c r="H3619" i="8"/>
  <c r="I3619" i="8"/>
  <c r="J3619" i="8"/>
  <c r="K3619" i="8"/>
  <c r="L3619" i="8"/>
  <c r="M3619" i="8"/>
  <c r="N3619" i="8"/>
  <c r="O3619" i="8"/>
  <c r="P3619" i="8"/>
  <c r="Q3619" i="8"/>
  <c r="R3619" i="8"/>
  <c r="S3619" i="8"/>
  <c r="T3619" i="8"/>
  <c r="E3620" i="8"/>
  <c r="F3620" i="8"/>
  <c r="G3620" i="8"/>
  <c r="H3620" i="8"/>
  <c r="I3620" i="8"/>
  <c r="J3620" i="8"/>
  <c r="K3620" i="8"/>
  <c r="L3620" i="8"/>
  <c r="M3620" i="8"/>
  <c r="N3620" i="8"/>
  <c r="O3620" i="8"/>
  <c r="P3620" i="8"/>
  <c r="Q3620" i="8"/>
  <c r="R3620" i="8"/>
  <c r="S3620" i="8"/>
  <c r="T3620" i="8"/>
  <c r="E3621" i="8"/>
  <c r="F3621" i="8"/>
  <c r="G3621" i="8"/>
  <c r="H3621" i="8"/>
  <c r="I3621" i="8"/>
  <c r="J3621" i="8"/>
  <c r="K3621" i="8"/>
  <c r="L3621" i="8"/>
  <c r="M3621" i="8"/>
  <c r="N3621" i="8"/>
  <c r="O3621" i="8"/>
  <c r="P3621" i="8"/>
  <c r="Q3621" i="8"/>
  <c r="R3621" i="8"/>
  <c r="S3621" i="8"/>
  <c r="T3621" i="8"/>
  <c r="E3622" i="8"/>
  <c r="F3622" i="8"/>
  <c r="G3622" i="8"/>
  <c r="H3622" i="8"/>
  <c r="I3622" i="8"/>
  <c r="J3622" i="8"/>
  <c r="K3622" i="8"/>
  <c r="L3622" i="8"/>
  <c r="M3622" i="8"/>
  <c r="N3622" i="8"/>
  <c r="O3622" i="8"/>
  <c r="P3622" i="8"/>
  <c r="Q3622" i="8"/>
  <c r="R3622" i="8"/>
  <c r="S3622" i="8"/>
  <c r="T3622" i="8"/>
  <c r="E3623" i="8"/>
  <c r="F3623" i="8"/>
  <c r="G3623" i="8"/>
  <c r="H3623" i="8"/>
  <c r="I3623" i="8"/>
  <c r="J3623" i="8"/>
  <c r="K3623" i="8"/>
  <c r="L3623" i="8"/>
  <c r="M3623" i="8"/>
  <c r="N3623" i="8"/>
  <c r="O3623" i="8"/>
  <c r="P3623" i="8"/>
  <c r="Q3623" i="8"/>
  <c r="R3623" i="8"/>
  <c r="S3623" i="8"/>
  <c r="T3623" i="8"/>
  <c r="E3624" i="8"/>
  <c r="F3624" i="8"/>
  <c r="G3624" i="8"/>
  <c r="H3624" i="8"/>
  <c r="I3624" i="8"/>
  <c r="J3624" i="8"/>
  <c r="K3624" i="8"/>
  <c r="L3624" i="8"/>
  <c r="M3624" i="8"/>
  <c r="N3624" i="8"/>
  <c r="O3624" i="8"/>
  <c r="P3624" i="8"/>
  <c r="Q3624" i="8"/>
  <c r="R3624" i="8"/>
  <c r="S3624" i="8"/>
  <c r="T3624" i="8"/>
  <c r="E3625" i="8"/>
  <c r="F3625" i="8"/>
  <c r="G3625" i="8"/>
  <c r="H3625" i="8"/>
  <c r="I3625" i="8"/>
  <c r="J3625" i="8"/>
  <c r="K3625" i="8"/>
  <c r="L3625" i="8"/>
  <c r="M3625" i="8"/>
  <c r="N3625" i="8"/>
  <c r="O3625" i="8"/>
  <c r="P3625" i="8"/>
  <c r="Q3625" i="8"/>
  <c r="R3625" i="8"/>
  <c r="S3625" i="8"/>
  <c r="T3625" i="8"/>
  <c r="E334" i="7"/>
  <c r="F334" i="7"/>
  <c r="G334" i="7"/>
  <c r="H334" i="7"/>
  <c r="I334" i="7"/>
  <c r="J334" i="7"/>
  <c r="K334" i="7"/>
  <c r="L334" i="7"/>
  <c r="M334" i="7"/>
  <c r="N334" i="7"/>
  <c r="P334" i="7"/>
  <c r="Q334" i="7"/>
  <c r="R334" i="7"/>
  <c r="S334" i="7"/>
  <c r="U334" i="7"/>
  <c r="V334" i="7"/>
  <c r="W334" i="7"/>
  <c r="X334" i="7"/>
  <c r="Y334" i="7"/>
  <c r="Z334" i="7"/>
  <c r="AA334" i="7"/>
  <c r="AC334" i="7"/>
  <c r="AE334" i="7"/>
  <c r="AI334" i="7"/>
  <c r="AO334" i="7"/>
  <c r="AP334" i="7"/>
  <c r="E3604" i="8"/>
  <c r="F3604" i="8"/>
  <c r="G3604" i="8"/>
  <c r="H3604" i="8"/>
  <c r="I3604" i="8"/>
  <c r="J3604" i="8"/>
  <c r="K3604" i="8"/>
  <c r="L3604" i="8"/>
  <c r="M3604" i="8"/>
  <c r="N3604" i="8"/>
  <c r="O3604" i="8"/>
  <c r="P3604" i="8"/>
  <c r="Q3604" i="8"/>
  <c r="R3604" i="8"/>
  <c r="S3604" i="8"/>
  <c r="T3604" i="8"/>
  <c r="E3605" i="8"/>
  <c r="F3605" i="8"/>
  <c r="G3605" i="8"/>
  <c r="H3605" i="8"/>
  <c r="I3605" i="8"/>
  <c r="J3605" i="8"/>
  <c r="K3605" i="8"/>
  <c r="L3605" i="8"/>
  <c r="M3605" i="8"/>
  <c r="N3605" i="8"/>
  <c r="O3605" i="8"/>
  <c r="P3605" i="8"/>
  <c r="Q3605" i="8"/>
  <c r="R3605" i="8"/>
  <c r="S3605" i="8"/>
  <c r="T3605" i="8"/>
  <c r="E3606" i="8"/>
  <c r="F3606" i="8"/>
  <c r="G3606" i="8"/>
  <c r="H3606" i="8"/>
  <c r="I3606" i="8"/>
  <c r="J3606" i="8"/>
  <c r="K3606" i="8"/>
  <c r="L3606" i="8"/>
  <c r="M3606" i="8"/>
  <c r="N3606" i="8"/>
  <c r="O3606" i="8"/>
  <c r="P3606" i="8"/>
  <c r="Q3606" i="8"/>
  <c r="R3606" i="8"/>
  <c r="S3606" i="8"/>
  <c r="T3606" i="8"/>
  <c r="E3607" i="8"/>
  <c r="F3607" i="8"/>
  <c r="G3607" i="8"/>
  <c r="H3607" i="8"/>
  <c r="I3607" i="8"/>
  <c r="J3607" i="8"/>
  <c r="K3607" i="8"/>
  <c r="L3607" i="8"/>
  <c r="M3607" i="8"/>
  <c r="N3607" i="8"/>
  <c r="O3607" i="8"/>
  <c r="P3607" i="8"/>
  <c r="Q3607" i="8"/>
  <c r="R3607" i="8"/>
  <c r="S3607" i="8"/>
  <c r="T3607" i="8"/>
  <c r="E3608" i="8"/>
  <c r="F3608" i="8"/>
  <c r="G3608" i="8"/>
  <c r="H3608" i="8"/>
  <c r="I3608" i="8"/>
  <c r="J3608" i="8"/>
  <c r="K3608" i="8"/>
  <c r="L3608" i="8"/>
  <c r="M3608" i="8"/>
  <c r="N3608" i="8"/>
  <c r="O3608" i="8"/>
  <c r="P3608" i="8"/>
  <c r="Q3608" i="8"/>
  <c r="R3608" i="8"/>
  <c r="S3608" i="8"/>
  <c r="T3608" i="8"/>
  <c r="E3609" i="8"/>
  <c r="F3609" i="8"/>
  <c r="G3609" i="8"/>
  <c r="H3609" i="8"/>
  <c r="I3609" i="8"/>
  <c r="J3609" i="8"/>
  <c r="K3609" i="8"/>
  <c r="L3609" i="8"/>
  <c r="M3609" i="8"/>
  <c r="N3609" i="8"/>
  <c r="O3609" i="8"/>
  <c r="P3609" i="8"/>
  <c r="Q3609" i="8"/>
  <c r="R3609" i="8"/>
  <c r="S3609" i="8"/>
  <c r="T3609" i="8"/>
  <c r="E3610" i="8"/>
  <c r="F3610" i="8"/>
  <c r="G3610" i="8"/>
  <c r="H3610" i="8"/>
  <c r="I3610" i="8"/>
  <c r="J3610" i="8"/>
  <c r="K3610" i="8"/>
  <c r="L3610" i="8"/>
  <c r="M3610" i="8"/>
  <c r="N3610" i="8"/>
  <c r="O3610" i="8"/>
  <c r="P3610" i="8"/>
  <c r="Q3610" i="8"/>
  <c r="R3610" i="8"/>
  <c r="S3610" i="8"/>
  <c r="T3610" i="8"/>
  <c r="E3611" i="8"/>
  <c r="F3611" i="8"/>
  <c r="G3611" i="8"/>
  <c r="H3611" i="8"/>
  <c r="I3611" i="8"/>
  <c r="J3611" i="8"/>
  <c r="K3611" i="8"/>
  <c r="L3611" i="8"/>
  <c r="M3611" i="8"/>
  <c r="N3611" i="8"/>
  <c r="O3611" i="8"/>
  <c r="P3611" i="8"/>
  <c r="Q3611" i="8"/>
  <c r="R3611" i="8"/>
  <c r="S3611" i="8"/>
  <c r="T3611" i="8"/>
  <c r="E3612" i="8"/>
  <c r="F3612" i="8"/>
  <c r="G3612" i="8"/>
  <c r="H3612" i="8"/>
  <c r="I3612" i="8"/>
  <c r="J3612" i="8"/>
  <c r="K3612" i="8"/>
  <c r="L3612" i="8"/>
  <c r="M3612" i="8"/>
  <c r="N3612" i="8"/>
  <c r="O3612" i="8"/>
  <c r="P3612" i="8"/>
  <c r="Q3612" i="8"/>
  <c r="R3612" i="8"/>
  <c r="S3612" i="8"/>
  <c r="T3612" i="8"/>
  <c r="E3613" i="8"/>
  <c r="F3613" i="8"/>
  <c r="G3613" i="8"/>
  <c r="H3613" i="8"/>
  <c r="I3613" i="8"/>
  <c r="J3613" i="8"/>
  <c r="K3613" i="8"/>
  <c r="L3613" i="8"/>
  <c r="M3613" i="8"/>
  <c r="N3613" i="8"/>
  <c r="O3613" i="8"/>
  <c r="P3613" i="8"/>
  <c r="Q3613" i="8"/>
  <c r="R3613" i="8"/>
  <c r="S3613" i="8"/>
  <c r="T3613" i="8"/>
  <c r="E3614" i="8"/>
  <c r="F3614" i="8"/>
  <c r="G3614" i="8"/>
  <c r="H3614" i="8"/>
  <c r="I3614" i="8"/>
  <c r="J3614" i="8"/>
  <c r="K3614" i="8"/>
  <c r="L3614" i="8"/>
  <c r="M3614" i="8"/>
  <c r="N3614" i="8"/>
  <c r="O3614" i="8"/>
  <c r="P3614" i="8"/>
  <c r="Q3614" i="8"/>
  <c r="R3614" i="8"/>
  <c r="S3614" i="8"/>
  <c r="T3614" i="8"/>
  <c r="E333" i="7"/>
  <c r="F333" i="7"/>
  <c r="G333" i="7"/>
  <c r="H333" i="7"/>
  <c r="I333" i="7"/>
  <c r="J333" i="7"/>
  <c r="K333" i="7"/>
  <c r="L333" i="7"/>
  <c r="M333" i="7"/>
  <c r="N333" i="7"/>
  <c r="P333" i="7"/>
  <c r="Q333" i="7"/>
  <c r="R333" i="7"/>
  <c r="S333" i="7"/>
  <c r="U333" i="7"/>
  <c r="V333" i="7"/>
  <c r="W333" i="7"/>
  <c r="X333" i="7"/>
  <c r="Y333" i="7"/>
  <c r="Z333" i="7"/>
  <c r="AA333" i="7"/>
  <c r="AC333" i="7"/>
  <c r="AE333" i="7"/>
  <c r="AI333" i="7"/>
  <c r="AO333" i="7"/>
  <c r="AP333" i="7"/>
  <c r="E3593" i="8"/>
  <c r="F3593" i="8"/>
  <c r="G3593" i="8"/>
  <c r="H3593" i="8"/>
  <c r="I3593" i="8"/>
  <c r="J3593" i="8"/>
  <c r="K3593" i="8"/>
  <c r="L3593" i="8"/>
  <c r="M3593" i="8"/>
  <c r="N3593" i="8"/>
  <c r="O3593" i="8"/>
  <c r="P3593" i="8"/>
  <c r="Q3593" i="8"/>
  <c r="R3593" i="8"/>
  <c r="S3593" i="8"/>
  <c r="T3593" i="8"/>
  <c r="E3594" i="8"/>
  <c r="F3594" i="8"/>
  <c r="G3594" i="8"/>
  <c r="H3594" i="8"/>
  <c r="I3594" i="8"/>
  <c r="J3594" i="8"/>
  <c r="K3594" i="8"/>
  <c r="L3594" i="8"/>
  <c r="M3594" i="8"/>
  <c r="N3594" i="8"/>
  <c r="O3594" i="8"/>
  <c r="P3594" i="8"/>
  <c r="Q3594" i="8"/>
  <c r="R3594" i="8"/>
  <c r="S3594" i="8"/>
  <c r="T3594" i="8"/>
  <c r="E3595" i="8"/>
  <c r="F3595" i="8"/>
  <c r="G3595" i="8"/>
  <c r="H3595" i="8"/>
  <c r="I3595" i="8"/>
  <c r="J3595" i="8"/>
  <c r="K3595" i="8"/>
  <c r="L3595" i="8"/>
  <c r="M3595" i="8"/>
  <c r="N3595" i="8"/>
  <c r="O3595" i="8"/>
  <c r="P3595" i="8"/>
  <c r="Q3595" i="8"/>
  <c r="R3595" i="8"/>
  <c r="S3595" i="8"/>
  <c r="T3595" i="8"/>
  <c r="E3596" i="8"/>
  <c r="F3596" i="8"/>
  <c r="G3596" i="8"/>
  <c r="H3596" i="8"/>
  <c r="I3596" i="8"/>
  <c r="J3596" i="8"/>
  <c r="K3596" i="8"/>
  <c r="L3596" i="8"/>
  <c r="M3596" i="8"/>
  <c r="N3596" i="8"/>
  <c r="O3596" i="8"/>
  <c r="P3596" i="8"/>
  <c r="Q3596" i="8"/>
  <c r="R3596" i="8"/>
  <c r="S3596" i="8"/>
  <c r="T3596" i="8"/>
  <c r="E3597" i="8"/>
  <c r="F3597" i="8"/>
  <c r="G3597" i="8"/>
  <c r="H3597" i="8"/>
  <c r="I3597" i="8"/>
  <c r="J3597" i="8"/>
  <c r="K3597" i="8"/>
  <c r="L3597" i="8"/>
  <c r="M3597" i="8"/>
  <c r="N3597" i="8"/>
  <c r="O3597" i="8"/>
  <c r="P3597" i="8"/>
  <c r="Q3597" i="8"/>
  <c r="R3597" i="8"/>
  <c r="S3597" i="8"/>
  <c r="T3597" i="8"/>
  <c r="E3598" i="8"/>
  <c r="F3598" i="8"/>
  <c r="G3598" i="8"/>
  <c r="H3598" i="8"/>
  <c r="I3598" i="8"/>
  <c r="J3598" i="8"/>
  <c r="K3598" i="8"/>
  <c r="L3598" i="8"/>
  <c r="M3598" i="8"/>
  <c r="N3598" i="8"/>
  <c r="O3598" i="8"/>
  <c r="P3598" i="8"/>
  <c r="Q3598" i="8"/>
  <c r="R3598" i="8"/>
  <c r="S3598" i="8"/>
  <c r="T3598" i="8"/>
  <c r="E3599" i="8"/>
  <c r="F3599" i="8"/>
  <c r="G3599" i="8"/>
  <c r="H3599" i="8"/>
  <c r="I3599" i="8"/>
  <c r="J3599" i="8"/>
  <c r="K3599" i="8"/>
  <c r="L3599" i="8"/>
  <c r="M3599" i="8"/>
  <c r="N3599" i="8"/>
  <c r="O3599" i="8"/>
  <c r="P3599" i="8"/>
  <c r="Q3599" i="8"/>
  <c r="R3599" i="8"/>
  <c r="S3599" i="8"/>
  <c r="T3599" i="8"/>
  <c r="E3600" i="8"/>
  <c r="F3600" i="8"/>
  <c r="G3600" i="8"/>
  <c r="H3600" i="8"/>
  <c r="I3600" i="8"/>
  <c r="J3600" i="8"/>
  <c r="K3600" i="8"/>
  <c r="L3600" i="8"/>
  <c r="M3600" i="8"/>
  <c r="N3600" i="8"/>
  <c r="O3600" i="8"/>
  <c r="P3600" i="8"/>
  <c r="Q3600" i="8"/>
  <c r="R3600" i="8"/>
  <c r="S3600" i="8"/>
  <c r="T3600" i="8"/>
  <c r="E3601" i="8"/>
  <c r="F3601" i="8"/>
  <c r="G3601" i="8"/>
  <c r="H3601" i="8"/>
  <c r="I3601" i="8"/>
  <c r="J3601" i="8"/>
  <c r="K3601" i="8"/>
  <c r="L3601" i="8"/>
  <c r="M3601" i="8"/>
  <c r="N3601" i="8"/>
  <c r="O3601" i="8"/>
  <c r="P3601" i="8"/>
  <c r="Q3601" i="8"/>
  <c r="R3601" i="8"/>
  <c r="S3601" i="8"/>
  <c r="T3601" i="8"/>
  <c r="E3602" i="8"/>
  <c r="F3602" i="8"/>
  <c r="G3602" i="8"/>
  <c r="H3602" i="8"/>
  <c r="I3602" i="8"/>
  <c r="J3602" i="8"/>
  <c r="K3602" i="8"/>
  <c r="L3602" i="8"/>
  <c r="M3602" i="8"/>
  <c r="N3602" i="8"/>
  <c r="O3602" i="8"/>
  <c r="P3602" i="8"/>
  <c r="Q3602" i="8"/>
  <c r="R3602" i="8"/>
  <c r="S3602" i="8"/>
  <c r="T3602" i="8"/>
  <c r="E3603" i="8"/>
  <c r="F3603" i="8"/>
  <c r="G3603" i="8"/>
  <c r="H3603" i="8"/>
  <c r="I3603" i="8"/>
  <c r="J3603" i="8"/>
  <c r="K3603" i="8"/>
  <c r="L3603" i="8"/>
  <c r="M3603" i="8"/>
  <c r="N3603" i="8"/>
  <c r="O3603" i="8"/>
  <c r="P3603" i="8"/>
  <c r="Q3603" i="8"/>
  <c r="R3603" i="8"/>
  <c r="S3603" i="8"/>
  <c r="T3603" i="8"/>
  <c r="E332" i="7"/>
  <c r="F332" i="7"/>
  <c r="G332" i="7"/>
  <c r="H332" i="7"/>
  <c r="I332" i="7"/>
  <c r="J332" i="7"/>
  <c r="K332" i="7"/>
  <c r="L332" i="7"/>
  <c r="M332" i="7"/>
  <c r="N332" i="7"/>
  <c r="P332" i="7"/>
  <c r="Q332" i="7"/>
  <c r="R332" i="7"/>
  <c r="S332" i="7"/>
  <c r="U332" i="7"/>
  <c r="V332" i="7"/>
  <c r="W332" i="7"/>
  <c r="X332" i="7"/>
  <c r="Y332" i="7"/>
  <c r="Z332" i="7"/>
  <c r="AA332" i="7"/>
  <c r="AC332" i="7"/>
  <c r="AE332" i="7"/>
  <c r="AI332" i="7"/>
  <c r="AO332" i="7"/>
  <c r="AP332" i="7"/>
  <c r="E3582" i="8"/>
  <c r="F3582" i="8"/>
  <c r="G3582" i="8"/>
  <c r="H3582" i="8"/>
  <c r="I3582" i="8"/>
  <c r="J3582" i="8"/>
  <c r="K3582" i="8"/>
  <c r="L3582" i="8"/>
  <c r="M3582" i="8"/>
  <c r="N3582" i="8"/>
  <c r="O3582" i="8"/>
  <c r="P3582" i="8"/>
  <c r="Q3582" i="8"/>
  <c r="R3582" i="8"/>
  <c r="S3582" i="8"/>
  <c r="T3582" i="8"/>
  <c r="E3583" i="8"/>
  <c r="F3583" i="8"/>
  <c r="G3583" i="8"/>
  <c r="H3583" i="8"/>
  <c r="I3583" i="8"/>
  <c r="J3583" i="8"/>
  <c r="K3583" i="8"/>
  <c r="L3583" i="8"/>
  <c r="M3583" i="8"/>
  <c r="N3583" i="8"/>
  <c r="O3583" i="8"/>
  <c r="P3583" i="8"/>
  <c r="Q3583" i="8"/>
  <c r="R3583" i="8"/>
  <c r="S3583" i="8"/>
  <c r="T3583" i="8"/>
  <c r="E3584" i="8"/>
  <c r="F3584" i="8"/>
  <c r="G3584" i="8"/>
  <c r="H3584" i="8"/>
  <c r="I3584" i="8"/>
  <c r="J3584" i="8"/>
  <c r="K3584" i="8"/>
  <c r="L3584" i="8"/>
  <c r="M3584" i="8"/>
  <c r="N3584" i="8"/>
  <c r="O3584" i="8"/>
  <c r="P3584" i="8"/>
  <c r="Q3584" i="8"/>
  <c r="R3584" i="8"/>
  <c r="S3584" i="8"/>
  <c r="T3584" i="8"/>
  <c r="E3585" i="8"/>
  <c r="F3585" i="8"/>
  <c r="G3585" i="8"/>
  <c r="H3585" i="8"/>
  <c r="I3585" i="8"/>
  <c r="J3585" i="8"/>
  <c r="K3585" i="8"/>
  <c r="L3585" i="8"/>
  <c r="M3585" i="8"/>
  <c r="N3585" i="8"/>
  <c r="O3585" i="8"/>
  <c r="P3585" i="8"/>
  <c r="Q3585" i="8"/>
  <c r="R3585" i="8"/>
  <c r="S3585" i="8"/>
  <c r="T3585" i="8"/>
  <c r="E3586" i="8"/>
  <c r="F3586" i="8"/>
  <c r="G3586" i="8"/>
  <c r="H3586" i="8"/>
  <c r="I3586" i="8"/>
  <c r="J3586" i="8"/>
  <c r="K3586" i="8"/>
  <c r="L3586" i="8"/>
  <c r="M3586" i="8"/>
  <c r="N3586" i="8"/>
  <c r="O3586" i="8"/>
  <c r="P3586" i="8"/>
  <c r="Q3586" i="8"/>
  <c r="R3586" i="8"/>
  <c r="S3586" i="8"/>
  <c r="T3586" i="8"/>
  <c r="E3587" i="8"/>
  <c r="F3587" i="8"/>
  <c r="G3587" i="8"/>
  <c r="H3587" i="8"/>
  <c r="I3587" i="8"/>
  <c r="J3587" i="8"/>
  <c r="K3587" i="8"/>
  <c r="L3587" i="8"/>
  <c r="M3587" i="8"/>
  <c r="N3587" i="8"/>
  <c r="O3587" i="8"/>
  <c r="P3587" i="8"/>
  <c r="Q3587" i="8"/>
  <c r="R3587" i="8"/>
  <c r="S3587" i="8"/>
  <c r="T3587" i="8"/>
  <c r="E3588" i="8"/>
  <c r="F3588" i="8"/>
  <c r="G3588" i="8"/>
  <c r="H3588" i="8"/>
  <c r="I3588" i="8"/>
  <c r="J3588" i="8"/>
  <c r="K3588" i="8"/>
  <c r="L3588" i="8"/>
  <c r="M3588" i="8"/>
  <c r="N3588" i="8"/>
  <c r="O3588" i="8"/>
  <c r="P3588" i="8"/>
  <c r="Q3588" i="8"/>
  <c r="R3588" i="8"/>
  <c r="S3588" i="8"/>
  <c r="T3588" i="8"/>
  <c r="E3589" i="8"/>
  <c r="F3589" i="8"/>
  <c r="G3589" i="8"/>
  <c r="H3589" i="8"/>
  <c r="I3589" i="8"/>
  <c r="J3589" i="8"/>
  <c r="K3589" i="8"/>
  <c r="L3589" i="8"/>
  <c r="M3589" i="8"/>
  <c r="N3589" i="8"/>
  <c r="O3589" i="8"/>
  <c r="P3589" i="8"/>
  <c r="Q3589" i="8"/>
  <c r="R3589" i="8"/>
  <c r="S3589" i="8"/>
  <c r="T3589" i="8"/>
  <c r="E3590" i="8"/>
  <c r="F3590" i="8"/>
  <c r="G3590" i="8"/>
  <c r="H3590" i="8"/>
  <c r="I3590" i="8"/>
  <c r="J3590" i="8"/>
  <c r="K3590" i="8"/>
  <c r="L3590" i="8"/>
  <c r="M3590" i="8"/>
  <c r="N3590" i="8"/>
  <c r="O3590" i="8"/>
  <c r="P3590" i="8"/>
  <c r="Q3590" i="8"/>
  <c r="R3590" i="8"/>
  <c r="S3590" i="8"/>
  <c r="T3590" i="8"/>
  <c r="E3591" i="8"/>
  <c r="F3591" i="8"/>
  <c r="G3591" i="8"/>
  <c r="H3591" i="8"/>
  <c r="I3591" i="8"/>
  <c r="J3591" i="8"/>
  <c r="K3591" i="8"/>
  <c r="L3591" i="8"/>
  <c r="M3591" i="8"/>
  <c r="N3591" i="8"/>
  <c r="O3591" i="8"/>
  <c r="P3591" i="8"/>
  <c r="Q3591" i="8"/>
  <c r="R3591" i="8"/>
  <c r="S3591" i="8"/>
  <c r="T3591" i="8"/>
  <c r="E3592" i="8"/>
  <c r="F3592" i="8"/>
  <c r="G3592" i="8"/>
  <c r="H3592" i="8"/>
  <c r="I3592" i="8"/>
  <c r="J3592" i="8"/>
  <c r="K3592" i="8"/>
  <c r="L3592" i="8"/>
  <c r="M3592" i="8"/>
  <c r="N3592" i="8"/>
  <c r="O3592" i="8"/>
  <c r="P3592" i="8"/>
  <c r="Q3592" i="8"/>
  <c r="R3592" i="8"/>
  <c r="S3592" i="8"/>
  <c r="T3592" i="8"/>
  <c r="E331" i="7"/>
  <c r="F331" i="7"/>
  <c r="G331" i="7"/>
  <c r="H331" i="7"/>
  <c r="I331" i="7"/>
  <c r="J331" i="7"/>
  <c r="K331" i="7"/>
  <c r="L331" i="7"/>
  <c r="M331" i="7"/>
  <c r="N331" i="7"/>
  <c r="P331" i="7"/>
  <c r="Q331" i="7"/>
  <c r="R331" i="7"/>
  <c r="S331" i="7"/>
  <c r="U331" i="7"/>
  <c r="V331" i="7"/>
  <c r="W331" i="7"/>
  <c r="X331" i="7"/>
  <c r="Y331" i="7"/>
  <c r="Z331" i="7"/>
  <c r="AA331" i="7"/>
  <c r="AC331" i="7"/>
  <c r="AE331" i="7"/>
  <c r="AI331" i="7"/>
  <c r="AO331" i="7"/>
  <c r="AP331" i="7"/>
  <c r="E3571" i="8"/>
  <c r="F3571" i="8"/>
  <c r="G3571" i="8"/>
  <c r="H3571" i="8"/>
  <c r="I3571" i="8"/>
  <c r="J3571" i="8"/>
  <c r="K3571" i="8"/>
  <c r="L3571" i="8"/>
  <c r="M3571" i="8"/>
  <c r="N3571" i="8"/>
  <c r="O3571" i="8"/>
  <c r="P3571" i="8"/>
  <c r="Q3571" i="8"/>
  <c r="R3571" i="8"/>
  <c r="S3571" i="8"/>
  <c r="T3571" i="8"/>
  <c r="E3572" i="8"/>
  <c r="F3572" i="8"/>
  <c r="G3572" i="8"/>
  <c r="H3572" i="8"/>
  <c r="I3572" i="8"/>
  <c r="J3572" i="8"/>
  <c r="K3572" i="8"/>
  <c r="L3572" i="8"/>
  <c r="M3572" i="8"/>
  <c r="N3572" i="8"/>
  <c r="O3572" i="8"/>
  <c r="P3572" i="8"/>
  <c r="Q3572" i="8"/>
  <c r="R3572" i="8"/>
  <c r="S3572" i="8"/>
  <c r="T3572" i="8"/>
  <c r="E3573" i="8"/>
  <c r="F3573" i="8"/>
  <c r="G3573" i="8"/>
  <c r="H3573" i="8"/>
  <c r="I3573" i="8"/>
  <c r="J3573" i="8"/>
  <c r="K3573" i="8"/>
  <c r="L3573" i="8"/>
  <c r="M3573" i="8"/>
  <c r="N3573" i="8"/>
  <c r="O3573" i="8"/>
  <c r="P3573" i="8"/>
  <c r="Q3573" i="8"/>
  <c r="R3573" i="8"/>
  <c r="S3573" i="8"/>
  <c r="T3573" i="8"/>
  <c r="E3574" i="8"/>
  <c r="F3574" i="8"/>
  <c r="G3574" i="8"/>
  <c r="H3574" i="8"/>
  <c r="I3574" i="8"/>
  <c r="J3574" i="8"/>
  <c r="K3574" i="8"/>
  <c r="L3574" i="8"/>
  <c r="M3574" i="8"/>
  <c r="N3574" i="8"/>
  <c r="O3574" i="8"/>
  <c r="P3574" i="8"/>
  <c r="Q3574" i="8"/>
  <c r="R3574" i="8"/>
  <c r="S3574" i="8"/>
  <c r="T3574" i="8"/>
  <c r="E3575" i="8"/>
  <c r="F3575" i="8"/>
  <c r="G3575" i="8"/>
  <c r="H3575" i="8"/>
  <c r="I3575" i="8"/>
  <c r="J3575" i="8"/>
  <c r="K3575" i="8"/>
  <c r="L3575" i="8"/>
  <c r="M3575" i="8"/>
  <c r="N3575" i="8"/>
  <c r="O3575" i="8"/>
  <c r="P3575" i="8"/>
  <c r="Q3575" i="8"/>
  <c r="R3575" i="8"/>
  <c r="S3575" i="8"/>
  <c r="T3575" i="8"/>
  <c r="E3576" i="8"/>
  <c r="F3576" i="8"/>
  <c r="G3576" i="8"/>
  <c r="H3576" i="8"/>
  <c r="I3576" i="8"/>
  <c r="J3576" i="8"/>
  <c r="K3576" i="8"/>
  <c r="L3576" i="8"/>
  <c r="M3576" i="8"/>
  <c r="N3576" i="8"/>
  <c r="O3576" i="8"/>
  <c r="P3576" i="8"/>
  <c r="Q3576" i="8"/>
  <c r="R3576" i="8"/>
  <c r="S3576" i="8"/>
  <c r="T3576" i="8"/>
  <c r="E3577" i="8"/>
  <c r="F3577" i="8"/>
  <c r="G3577" i="8"/>
  <c r="H3577" i="8"/>
  <c r="I3577" i="8"/>
  <c r="J3577" i="8"/>
  <c r="K3577" i="8"/>
  <c r="L3577" i="8"/>
  <c r="M3577" i="8"/>
  <c r="N3577" i="8"/>
  <c r="O3577" i="8"/>
  <c r="P3577" i="8"/>
  <c r="Q3577" i="8"/>
  <c r="R3577" i="8"/>
  <c r="S3577" i="8"/>
  <c r="T3577" i="8"/>
  <c r="E3578" i="8"/>
  <c r="F3578" i="8"/>
  <c r="G3578" i="8"/>
  <c r="H3578" i="8"/>
  <c r="I3578" i="8"/>
  <c r="J3578" i="8"/>
  <c r="K3578" i="8"/>
  <c r="L3578" i="8"/>
  <c r="M3578" i="8"/>
  <c r="N3578" i="8"/>
  <c r="O3578" i="8"/>
  <c r="P3578" i="8"/>
  <c r="Q3578" i="8"/>
  <c r="R3578" i="8"/>
  <c r="S3578" i="8"/>
  <c r="T3578" i="8"/>
  <c r="E3579" i="8"/>
  <c r="F3579" i="8"/>
  <c r="G3579" i="8"/>
  <c r="H3579" i="8"/>
  <c r="I3579" i="8"/>
  <c r="J3579" i="8"/>
  <c r="K3579" i="8"/>
  <c r="L3579" i="8"/>
  <c r="M3579" i="8"/>
  <c r="N3579" i="8"/>
  <c r="O3579" i="8"/>
  <c r="P3579" i="8"/>
  <c r="Q3579" i="8"/>
  <c r="R3579" i="8"/>
  <c r="S3579" i="8"/>
  <c r="T3579" i="8"/>
  <c r="E3580" i="8"/>
  <c r="F3580" i="8"/>
  <c r="G3580" i="8"/>
  <c r="H3580" i="8"/>
  <c r="I3580" i="8"/>
  <c r="J3580" i="8"/>
  <c r="K3580" i="8"/>
  <c r="L3580" i="8"/>
  <c r="M3580" i="8"/>
  <c r="N3580" i="8"/>
  <c r="O3580" i="8"/>
  <c r="P3580" i="8"/>
  <c r="Q3580" i="8"/>
  <c r="R3580" i="8"/>
  <c r="S3580" i="8"/>
  <c r="T3580" i="8"/>
  <c r="E3581" i="8"/>
  <c r="F3581" i="8"/>
  <c r="G3581" i="8"/>
  <c r="H3581" i="8"/>
  <c r="I3581" i="8"/>
  <c r="J3581" i="8"/>
  <c r="K3581" i="8"/>
  <c r="L3581" i="8"/>
  <c r="M3581" i="8"/>
  <c r="N3581" i="8"/>
  <c r="O3581" i="8"/>
  <c r="P3581" i="8"/>
  <c r="Q3581" i="8"/>
  <c r="R3581" i="8"/>
  <c r="S3581" i="8"/>
  <c r="T3581" i="8"/>
  <c r="E330" i="7"/>
  <c r="F330" i="7"/>
  <c r="G330" i="7"/>
  <c r="H330" i="7"/>
  <c r="I330" i="7"/>
  <c r="J330" i="7"/>
  <c r="K330" i="7"/>
  <c r="L330" i="7"/>
  <c r="M330" i="7"/>
  <c r="N330" i="7"/>
  <c r="P330" i="7"/>
  <c r="Q330" i="7"/>
  <c r="R330" i="7"/>
  <c r="S330" i="7"/>
  <c r="U330" i="7"/>
  <c r="V330" i="7"/>
  <c r="W330" i="7"/>
  <c r="X330" i="7"/>
  <c r="Y330" i="7"/>
  <c r="Z330" i="7"/>
  <c r="AA330" i="7"/>
  <c r="AC330" i="7"/>
  <c r="AE330" i="7"/>
  <c r="AI330" i="7"/>
  <c r="AO330" i="7"/>
  <c r="AP330" i="7"/>
  <c r="E3560" i="8"/>
  <c r="F3560" i="8"/>
  <c r="G3560" i="8"/>
  <c r="H3560" i="8"/>
  <c r="I3560" i="8"/>
  <c r="J3560" i="8"/>
  <c r="K3560" i="8"/>
  <c r="L3560" i="8"/>
  <c r="M3560" i="8"/>
  <c r="N3560" i="8"/>
  <c r="O3560" i="8"/>
  <c r="P3560" i="8"/>
  <c r="Q3560" i="8"/>
  <c r="R3560" i="8"/>
  <c r="S3560" i="8"/>
  <c r="T3560" i="8"/>
  <c r="E3561" i="8"/>
  <c r="F3561" i="8"/>
  <c r="G3561" i="8"/>
  <c r="H3561" i="8"/>
  <c r="I3561" i="8"/>
  <c r="J3561" i="8"/>
  <c r="K3561" i="8"/>
  <c r="L3561" i="8"/>
  <c r="M3561" i="8"/>
  <c r="N3561" i="8"/>
  <c r="O3561" i="8"/>
  <c r="P3561" i="8"/>
  <c r="Q3561" i="8"/>
  <c r="R3561" i="8"/>
  <c r="S3561" i="8"/>
  <c r="T3561" i="8"/>
  <c r="E3562" i="8"/>
  <c r="F3562" i="8"/>
  <c r="G3562" i="8"/>
  <c r="H3562" i="8"/>
  <c r="I3562" i="8"/>
  <c r="J3562" i="8"/>
  <c r="K3562" i="8"/>
  <c r="L3562" i="8"/>
  <c r="M3562" i="8"/>
  <c r="N3562" i="8"/>
  <c r="O3562" i="8"/>
  <c r="P3562" i="8"/>
  <c r="Q3562" i="8"/>
  <c r="R3562" i="8"/>
  <c r="S3562" i="8"/>
  <c r="T3562" i="8"/>
  <c r="E3563" i="8"/>
  <c r="F3563" i="8"/>
  <c r="G3563" i="8"/>
  <c r="H3563" i="8"/>
  <c r="I3563" i="8"/>
  <c r="J3563" i="8"/>
  <c r="K3563" i="8"/>
  <c r="L3563" i="8"/>
  <c r="M3563" i="8"/>
  <c r="N3563" i="8"/>
  <c r="O3563" i="8"/>
  <c r="P3563" i="8"/>
  <c r="Q3563" i="8"/>
  <c r="R3563" i="8"/>
  <c r="S3563" i="8"/>
  <c r="T3563" i="8"/>
  <c r="E3564" i="8"/>
  <c r="F3564" i="8"/>
  <c r="G3564" i="8"/>
  <c r="H3564" i="8"/>
  <c r="I3564" i="8"/>
  <c r="J3564" i="8"/>
  <c r="K3564" i="8"/>
  <c r="L3564" i="8"/>
  <c r="M3564" i="8"/>
  <c r="N3564" i="8"/>
  <c r="O3564" i="8"/>
  <c r="P3564" i="8"/>
  <c r="Q3564" i="8"/>
  <c r="R3564" i="8"/>
  <c r="S3564" i="8"/>
  <c r="T3564" i="8"/>
  <c r="E3565" i="8"/>
  <c r="F3565" i="8"/>
  <c r="G3565" i="8"/>
  <c r="H3565" i="8"/>
  <c r="I3565" i="8"/>
  <c r="J3565" i="8"/>
  <c r="K3565" i="8"/>
  <c r="L3565" i="8"/>
  <c r="M3565" i="8"/>
  <c r="N3565" i="8"/>
  <c r="O3565" i="8"/>
  <c r="P3565" i="8"/>
  <c r="Q3565" i="8"/>
  <c r="R3565" i="8"/>
  <c r="S3565" i="8"/>
  <c r="T3565" i="8"/>
  <c r="E3566" i="8"/>
  <c r="F3566" i="8"/>
  <c r="G3566" i="8"/>
  <c r="H3566" i="8"/>
  <c r="I3566" i="8"/>
  <c r="J3566" i="8"/>
  <c r="K3566" i="8"/>
  <c r="L3566" i="8"/>
  <c r="M3566" i="8"/>
  <c r="N3566" i="8"/>
  <c r="O3566" i="8"/>
  <c r="P3566" i="8"/>
  <c r="Q3566" i="8"/>
  <c r="R3566" i="8"/>
  <c r="S3566" i="8"/>
  <c r="T3566" i="8"/>
  <c r="E3567" i="8"/>
  <c r="F3567" i="8"/>
  <c r="G3567" i="8"/>
  <c r="H3567" i="8"/>
  <c r="I3567" i="8"/>
  <c r="J3567" i="8"/>
  <c r="K3567" i="8"/>
  <c r="L3567" i="8"/>
  <c r="M3567" i="8"/>
  <c r="N3567" i="8"/>
  <c r="O3567" i="8"/>
  <c r="P3567" i="8"/>
  <c r="Q3567" i="8"/>
  <c r="R3567" i="8"/>
  <c r="S3567" i="8"/>
  <c r="T3567" i="8"/>
  <c r="E3568" i="8"/>
  <c r="F3568" i="8"/>
  <c r="G3568" i="8"/>
  <c r="H3568" i="8"/>
  <c r="I3568" i="8"/>
  <c r="J3568" i="8"/>
  <c r="K3568" i="8"/>
  <c r="L3568" i="8"/>
  <c r="M3568" i="8"/>
  <c r="N3568" i="8"/>
  <c r="O3568" i="8"/>
  <c r="P3568" i="8"/>
  <c r="Q3568" i="8"/>
  <c r="R3568" i="8"/>
  <c r="S3568" i="8"/>
  <c r="T3568" i="8"/>
  <c r="E3569" i="8"/>
  <c r="F3569" i="8"/>
  <c r="G3569" i="8"/>
  <c r="H3569" i="8"/>
  <c r="I3569" i="8"/>
  <c r="J3569" i="8"/>
  <c r="K3569" i="8"/>
  <c r="L3569" i="8"/>
  <c r="M3569" i="8"/>
  <c r="N3569" i="8"/>
  <c r="O3569" i="8"/>
  <c r="P3569" i="8"/>
  <c r="Q3569" i="8"/>
  <c r="R3569" i="8"/>
  <c r="S3569" i="8"/>
  <c r="T3569" i="8"/>
  <c r="E3570" i="8"/>
  <c r="F3570" i="8"/>
  <c r="G3570" i="8"/>
  <c r="H3570" i="8"/>
  <c r="I3570" i="8"/>
  <c r="J3570" i="8"/>
  <c r="K3570" i="8"/>
  <c r="L3570" i="8"/>
  <c r="M3570" i="8"/>
  <c r="N3570" i="8"/>
  <c r="O3570" i="8"/>
  <c r="P3570" i="8"/>
  <c r="Q3570" i="8"/>
  <c r="R3570" i="8"/>
  <c r="S3570" i="8"/>
  <c r="T3570" i="8"/>
  <c r="E329" i="7"/>
  <c r="F329" i="7"/>
  <c r="G329" i="7"/>
  <c r="H329" i="7"/>
  <c r="I329" i="7"/>
  <c r="J329" i="7"/>
  <c r="K329" i="7"/>
  <c r="L329" i="7"/>
  <c r="M329" i="7"/>
  <c r="N329" i="7"/>
  <c r="P329" i="7"/>
  <c r="Q329" i="7"/>
  <c r="R329" i="7"/>
  <c r="S329" i="7"/>
  <c r="U329" i="7"/>
  <c r="V329" i="7"/>
  <c r="W329" i="7"/>
  <c r="X329" i="7"/>
  <c r="Y329" i="7"/>
  <c r="Z329" i="7"/>
  <c r="AA329" i="7"/>
  <c r="AC329" i="7"/>
  <c r="AE329" i="7"/>
  <c r="AI329" i="7"/>
  <c r="AO329" i="7"/>
  <c r="AP329" i="7"/>
  <c r="E3549" i="8"/>
  <c r="F3549" i="8"/>
  <c r="G3549" i="8"/>
  <c r="H3549" i="8"/>
  <c r="I3549" i="8"/>
  <c r="J3549" i="8"/>
  <c r="K3549" i="8"/>
  <c r="L3549" i="8"/>
  <c r="M3549" i="8"/>
  <c r="N3549" i="8"/>
  <c r="O3549" i="8"/>
  <c r="P3549" i="8"/>
  <c r="Q3549" i="8"/>
  <c r="R3549" i="8"/>
  <c r="S3549" i="8"/>
  <c r="T3549" i="8"/>
  <c r="E3550" i="8"/>
  <c r="F3550" i="8"/>
  <c r="G3550" i="8"/>
  <c r="H3550" i="8"/>
  <c r="I3550" i="8"/>
  <c r="J3550" i="8"/>
  <c r="K3550" i="8"/>
  <c r="L3550" i="8"/>
  <c r="M3550" i="8"/>
  <c r="N3550" i="8"/>
  <c r="O3550" i="8"/>
  <c r="P3550" i="8"/>
  <c r="Q3550" i="8"/>
  <c r="R3550" i="8"/>
  <c r="S3550" i="8"/>
  <c r="T3550" i="8"/>
  <c r="E3551" i="8"/>
  <c r="F3551" i="8"/>
  <c r="G3551" i="8"/>
  <c r="H3551" i="8"/>
  <c r="I3551" i="8"/>
  <c r="J3551" i="8"/>
  <c r="K3551" i="8"/>
  <c r="L3551" i="8"/>
  <c r="M3551" i="8"/>
  <c r="N3551" i="8"/>
  <c r="O3551" i="8"/>
  <c r="P3551" i="8"/>
  <c r="Q3551" i="8"/>
  <c r="R3551" i="8"/>
  <c r="S3551" i="8"/>
  <c r="T3551" i="8"/>
  <c r="E3552" i="8"/>
  <c r="F3552" i="8"/>
  <c r="G3552" i="8"/>
  <c r="H3552" i="8"/>
  <c r="I3552" i="8"/>
  <c r="J3552" i="8"/>
  <c r="K3552" i="8"/>
  <c r="L3552" i="8"/>
  <c r="M3552" i="8"/>
  <c r="N3552" i="8"/>
  <c r="O3552" i="8"/>
  <c r="P3552" i="8"/>
  <c r="Q3552" i="8"/>
  <c r="R3552" i="8"/>
  <c r="S3552" i="8"/>
  <c r="T3552" i="8"/>
  <c r="E3553" i="8"/>
  <c r="F3553" i="8"/>
  <c r="G3553" i="8"/>
  <c r="H3553" i="8"/>
  <c r="I3553" i="8"/>
  <c r="J3553" i="8"/>
  <c r="K3553" i="8"/>
  <c r="L3553" i="8"/>
  <c r="M3553" i="8"/>
  <c r="N3553" i="8"/>
  <c r="O3553" i="8"/>
  <c r="P3553" i="8"/>
  <c r="Q3553" i="8"/>
  <c r="R3553" i="8"/>
  <c r="S3553" i="8"/>
  <c r="T3553" i="8"/>
  <c r="E3554" i="8"/>
  <c r="F3554" i="8"/>
  <c r="G3554" i="8"/>
  <c r="H3554" i="8"/>
  <c r="I3554" i="8"/>
  <c r="J3554" i="8"/>
  <c r="K3554" i="8"/>
  <c r="L3554" i="8"/>
  <c r="M3554" i="8"/>
  <c r="N3554" i="8"/>
  <c r="O3554" i="8"/>
  <c r="P3554" i="8"/>
  <c r="Q3554" i="8"/>
  <c r="R3554" i="8"/>
  <c r="S3554" i="8"/>
  <c r="T3554" i="8"/>
  <c r="E3555" i="8"/>
  <c r="F3555" i="8"/>
  <c r="G3555" i="8"/>
  <c r="H3555" i="8"/>
  <c r="I3555" i="8"/>
  <c r="J3555" i="8"/>
  <c r="K3555" i="8"/>
  <c r="L3555" i="8"/>
  <c r="M3555" i="8"/>
  <c r="N3555" i="8"/>
  <c r="O3555" i="8"/>
  <c r="P3555" i="8"/>
  <c r="Q3555" i="8"/>
  <c r="R3555" i="8"/>
  <c r="S3555" i="8"/>
  <c r="T3555" i="8"/>
  <c r="E3556" i="8"/>
  <c r="F3556" i="8"/>
  <c r="G3556" i="8"/>
  <c r="H3556" i="8"/>
  <c r="I3556" i="8"/>
  <c r="J3556" i="8"/>
  <c r="K3556" i="8"/>
  <c r="L3556" i="8"/>
  <c r="M3556" i="8"/>
  <c r="N3556" i="8"/>
  <c r="O3556" i="8"/>
  <c r="P3556" i="8"/>
  <c r="Q3556" i="8"/>
  <c r="R3556" i="8"/>
  <c r="S3556" i="8"/>
  <c r="T3556" i="8"/>
  <c r="E3557" i="8"/>
  <c r="F3557" i="8"/>
  <c r="G3557" i="8"/>
  <c r="H3557" i="8"/>
  <c r="I3557" i="8"/>
  <c r="J3557" i="8"/>
  <c r="K3557" i="8"/>
  <c r="L3557" i="8"/>
  <c r="M3557" i="8"/>
  <c r="N3557" i="8"/>
  <c r="O3557" i="8"/>
  <c r="P3557" i="8"/>
  <c r="Q3557" i="8"/>
  <c r="R3557" i="8"/>
  <c r="S3557" i="8"/>
  <c r="T3557" i="8"/>
  <c r="E3558" i="8"/>
  <c r="F3558" i="8"/>
  <c r="G3558" i="8"/>
  <c r="H3558" i="8"/>
  <c r="I3558" i="8"/>
  <c r="J3558" i="8"/>
  <c r="K3558" i="8"/>
  <c r="L3558" i="8"/>
  <c r="M3558" i="8"/>
  <c r="N3558" i="8"/>
  <c r="O3558" i="8"/>
  <c r="P3558" i="8"/>
  <c r="Q3558" i="8"/>
  <c r="R3558" i="8"/>
  <c r="S3558" i="8"/>
  <c r="T3558" i="8"/>
  <c r="E3559" i="8"/>
  <c r="F3559" i="8"/>
  <c r="G3559" i="8"/>
  <c r="H3559" i="8"/>
  <c r="I3559" i="8"/>
  <c r="J3559" i="8"/>
  <c r="K3559" i="8"/>
  <c r="L3559" i="8"/>
  <c r="M3559" i="8"/>
  <c r="N3559" i="8"/>
  <c r="O3559" i="8"/>
  <c r="P3559" i="8"/>
  <c r="Q3559" i="8"/>
  <c r="R3559" i="8"/>
  <c r="S3559" i="8"/>
  <c r="T3559" i="8"/>
  <c r="E328" i="7"/>
  <c r="F328" i="7"/>
  <c r="G328" i="7"/>
  <c r="H328" i="7"/>
  <c r="I328" i="7"/>
  <c r="J328" i="7"/>
  <c r="K328" i="7"/>
  <c r="L328" i="7"/>
  <c r="M328" i="7"/>
  <c r="N328" i="7"/>
  <c r="P328" i="7"/>
  <c r="Q328" i="7"/>
  <c r="R328" i="7"/>
  <c r="S328" i="7"/>
  <c r="U328" i="7"/>
  <c r="V328" i="7"/>
  <c r="W328" i="7"/>
  <c r="X328" i="7"/>
  <c r="Y328" i="7"/>
  <c r="Z328" i="7"/>
  <c r="AA328" i="7"/>
  <c r="AC328" i="7"/>
  <c r="AE328" i="7"/>
  <c r="AI328" i="7"/>
  <c r="AO328" i="7"/>
  <c r="AP328" i="7"/>
  <c r="E3538" i="8"/>
  <c r="F3538" i="8"/>
  <c r="G3538" i="8"/>
  <c r="H3538" i="8"/>
  <c r="I3538" i="8"/>
  <c r="J3538" i="8"/>
  <c r="K3538" i="8"/>
  <c r="L3538" i="8"/>
  <c r="M3538" i="8"/>
  <c r="N3538" i="8"/>
  <c r="O3538" i="8"/>
  <c r="P3538" i="8"/>
  <c r="Q3538" i="8"/>
  <c r="R3538" i="8"/>
  <c r="S3538" i="8"/>
  <c r="T3538" i="8"/>
  <c r="E3539" i="8"/>
  <c r="F3539" i="8"/>
  <c r="G3539" i="8"/>
  <c r="H3539" i="8"/>
  <c r="I3539" i="8"/>
  <c r="J3539" i="8"/>
  <c r="K3539" i="8"/>
  <c r="L3539" i="8"/>
  <c r="M3539" i="8"/>
  <c r="N3539" i="8"/>
  <c r="O3539" i="8"/>
  <c r="P3539" i="8"/>
  <c r="Q3539" i="8"/>
  <c r="R3539" i="8"/>
  <c r="S3539" i="8"/>
  <c r="T3539" i="8"/>
  <c r="E3540" i="8"/>
  <c r="F3540" i="8"/>
  <c r="G3540" i="8"/>
  <c r="H3540" i="8"/>
  <c r="I3540" i="8"/>
  <c r="J3540" i="8"/>
  <c r="K3540" i="8"/>
  <c r="L3540" i="8"/>
  <c r="M3540" i="8"/>
  <c r="N3540" i="8"/>
  <c r="O3540" i="8"/>
  <c r="P3540" i="8"/>
  <c r="Q3540" i="8"/>
  <c r="R3540" i="8"/>
  <c r="S3540" i="8"/>
  <c r="T3540" i="8"/>
  <c r="E3541" i="8"/>
  <c r="F3541" i="8"/>
  <c r="G3541" i="8"/>
  <c r="H3541" i="8"/>
  <c r="I3541" i="8"/>
  <c r="J3541" i="8"/>
  <c r="K3541" i="8"/>
  <c r="L3541" i="8"/>
  <c r="M3541" i="8"/>
  <c r="N3541" i="8"/>
  <c r="O3541" i="8"/>
  <c r="P3541" i="8"/>
  <c r="Q3541" i="8"/>
  <c r="R3541" i="8"/>
  <c r="S3541" i="8"/>
  <c r="T3541" i="8"/>
  <c r="E3542" i="8"/>
  <c r="F3542" i="8"/>
  <c r="G3542" i="8"/>
  <c r="H3542" i="8"/>
  <c r="I3542" i="8"/>
  <c r="J3542" i="8"/>
  <c r="K3542" i="8"/>
  <c r="L3542" i="8"/>
  <c r="M3542" i="8"/>
  <c r="N3542" i="8"/>
  <c r="O3542" i="8"/>
  <c r="P3542" i="8"/>
  <c r="Q3542" i="8"/>
  <c r="R3542" i="8"/>
  <c r="S3542" i="8"/>
  <c r="T3542" i="8"/>
  <c r="E3543" i="8"/>
  <c r="F3543" i="8"/>
  <c r="G3543" i="8"/>
  <c r="H3543" i="8"/>
  <c r="I3543" i="8"/>
  <c r="J3543" i="8"/>
  <c r="K3543" i="8"/>
  <c r="L3543" i="8"/>
  <c r="M3543" i="8"/>
  <c r="N3543" i="8"/>
  <c r="O3543" i="8"/>
  <c r="P3543" i="8"/>
  <c r="Q3543" i="8"/>
  <c r="R3543" i="8"/>
  <c r="S3543" i="8"/>
  <c r="T3543" i="8"/>
  <c r="E3544" i="8"/>
  <c r="F3544" i="8"/>
  <c r="G3544" i="8"/>
  <c r="H3544" i="8"/>
  <c r="I3544" i="8"/>
  <c r="J3544" i="8"/>
  <c r="K3544" i="8"/>
  <c r="L3544" i="8"/>
  <c r="M3544" i="8"/>
  <c r="N3544" i="8"/>
  <c r="O3544" i="8"/>
  <c r="P3544" i="8"/>
  <c r="Q3544" i="8"/>
  <c r="R3544" i="8"/>
  <c r="S3544" i="8"/>
  <c r="T3544" i="8"/>
  <c r="E3545" i="8"/>
  <c r="F3545" i="8"/>
  <c r="G3545" i="8"/>
  <c r="H3545" i="8"/>
  <c r="I3545" i="8"/>
  <c r="J3545" i="8"/>
  <c r="K3545" i="8"/>
  <c r="L3545" i="8"/>
  <c r="M3545" i="8"/>
  <c r="N3545" i="8"/>
  <c r="O3545" i="8"/>
  <c r="P3545" i="8"/>
  <c r="Q3545" i="8"/>
  <c r="R3545" i="8"/>
  <c r="S3545" i="8"/>
  <c r="T3545" i="8"/>
  <c r="E3546" i="8"/>
  <c r="F3546" i="8"/>
  <c r="G3546" i="8"/>
  <c r="H3546" i="8"/>
  <c r="I3546" i="8"/>
  <c r="J3546" i="8"/>
  <c r="K3546" i="8"/>
  <c r="L3546" i="8"/>
  <c r="M3546" i="8"/>
  <c r="N3546" i="8"/>
  <c r="O3546" i="8"/>
  <c r="P3546" i="8"/>
  <c r="Q3546" i="8"/>
  <c r="R3546" i="8"/>
  <c r="S3546" i="8"/>
  <c r="T3546" i="8"/>
  <c r="E3547" i="8"/>
  <c r="F3547" i="8"/>
  <c r="G3547" i="8"/>
  <c r="H3547" i="8"/>
  <c r="I3547" i="8"/>
  <c r="J3547" i="8"/>
  <c r="K3547" i="8"/>
  <c r="L3547" i="8"/>
  <c r="M3547" i="8"/>
  <c r="N3547" i="8"/>
  <c r="O3547" i="8"/>
  <c r="P3547" i="8"/>
  <c r="Q3547" i="8"/>
  <c r="R3547" i="8"/>
  <c r="S3547" i="8"/>
  <c r="T3547" i="8"/>
  <c r="E3548" i="8"/>
  <c r="F3548" i="8"/>
  <c r="G3548" i="8"/>
  <c r="H3548" i="8"/>
  <c r="I3548" i="8"/>
  <c r="J3548" i="8"/>
  <c r="K3548" i="8"/>
  <c r="L3548" i="8"/>
  <c r="M3548" i="8"/>
  <c r="N3548" i="8"/>
  <c r="O3548" i="8"/>
  <c r="P3548" i="8"/>
  <c r="Q3548" i="8"/>
  <c r="R3548" i="8"/>
  <c r="S3548" i="8"/>
  <c r="T3548" i="8"/>
  <c r="E327" i="7"/>
  <c r="F327" i="7"/>
  <c r="G327" i="7"/>
  <c r="H327" i="7"/>
  <c r="I327" i="7"/>
  <c r="J327" i="7"/>
  <c r="K327" i="7"/>
  <c r="L327" i="7"/>
  <c r="M327" i="7"/>
  <c r="N327" i="7"/>
  <c r="P327" i="7"/>
  <c r="Q327" i="7"/>
  <c r="R327" i="7"/>
  <c r="S327" i="7"/>
  <c r="U327" i="7"/>
  <c r="V327" i="7"/>
  <c r="W327" i="7"/>
  <c r="X327" i="7"/>
  <c r="Y327" i="7"/>
  <c r="Z327" i="7"/>
  <c r="AA327" i="7"/>
  <c r="AC327" i="7"/>
  <c r="AE327" i="7"/>
  <c r="AI327" i="7"/>
  <c r="AO327" i="7"/>
  <c r="AP327" i="7"/>
  <c r="E3527" i="8"/>
  <c r="F3527" i="8"/>
  <c r="G3527" i="8"/>
  <c r="H3527" i="8"/>
  <c r="I3527" i="8"/>
  <c r="J3527" i="8"/>
  <c r="K3527" i="8"/>
  <c r="L3527" i="8"/>
  <c r="M3527" i="8"/>
  <c r="N3527" i="8"/>
  <c r="O3527" i="8"/>
  <c r="P3527" i="8"/>
  <c r="Q3527" i="8"/>
  <c r="R3527" i="8"/>
  <c r="S3527" i="8"/>
  <c r="T3527" i="8"/>
  <c r="E3528" i="8"/>
  <c r="F3528" i="8"/>
  <c r="G3528" i="8"/>
  <c r="H3528" i="8"/>
  <c r="I3528" i="8"/>
  <c r="J3528" i="8"/>
  <c r="K3528" i="8"/>
  <c r="L3528" i="8"/>
  <c r="M3528" i="8"/>
  <c r="N3528" i="8"/>
  <c r="O3528" i="8"/>
  <c r="P3528" i="8"/>
  <c r="Q3528" i="8"/>
  <c r="R3528" i="8"/>
  <c r="S3528" i="8"/>
  <c r="T3528" i="8"/>
  <c r="E3529" i="8"/>
  <c r="F3529" i="8"/>
  <c r="G3529" i="8"/>
  <c r="H3529" i="8"/>
  <c r="I3529" i="8"/>
  <c r="J3529" i="8"/>
  <c r="K3529" i="8"/>
  <c r="L3529" i="8"/>
  <c r="M3529" i="8"/>
  <c r="N3529" i="8"/>
  <c r="O3529" i="8"/>
  <c r="P3529" i="8"/>
  <c r="Q3529" i="8"/>
  <c r="R3529" i="8"/>
  <c r="S3529" i="8"/>
  <c r="T3529" i="8"/>
  <c r="E3530" i="8"/>
  <c r="F3530" i="8"/>
  <c r="G3530" i="8"/>
  <c r="H3530" i="8"/>
  <c r="I3530" i="8"/>
  <c r="J3530" i="8"/>
  <c r="K3530" i="8"/>
  <c r="L3530" i="8"/>
  <c r="M3530" i="8"/>
  <c r="N3530" i="8"/>
  <c r="O3530" i="8"/>
  <c r="P3530" i="8"/>
  <c r="Q3530" i="8"/>
  <c r="R3530" i="8"/>
  <c r="S3530" i="8"/>
  <c r="T3530" i="8"/>
  <c r="E3531" i="8"/>
  <c r="F3531" i="8"/>
  <c r="G3531" i="8"/>
  <c r="H3531" i="8"/>
  <c r="I3531" i="8"/>
  <c r="J3531" i="8"/>
  <c r="K3531" i="8"/>
  <c r="L3531" i="8"/>
  <c r="M3531" i="8"/>
  <c r="N3531" i="8"/>
  <c r="O3531" i="8"/>
  <c r="P3531" i="8"/>
  <c r="Q3531" i="8"/>
  <c r="R3531" i="8"/>
  <c r="S3531" i="8"/>
  <c r="T3531" i="8"/>
  <c r="E3532" i="8"/>
  <c r="F3532" i="8"/>
  <c r="G3532" i="8"/>
  <c r="H3532" i="8"/>
  <c r="I3532" i="8"/>
  <c r="J3532" i="8"/>
  <c r="K3532" i="8"/>
  <c r="L3532" i="8"/>
  <c r="M3532" i="8"/>
  <c r="N3532" i="8"/>
  <c r="O3532" i="8"/>
  <c r="P3532" i="8"/>
  <c r="Q3532" i="8"/>
  <c r="R3532" i="8"/>
  <c r="S3532" i="8"/>
  <c r="T3532" i="8"/>
  <c r="E3533" i="8"/>
  <c r="F3533" i="8"/>
  <c r="G3533" i="8"/>
  <c r="H3533" i="8"/>
  <c r="I3533" i="8"/>
  <c r="J3533" i="8"/>
  <c r="K3533" i="8"/>
  <c r="L3533" i="8"/>
  <c r="M3533" i="8"/>
  <c r="N3533" i="8"/>
  <c r="O3533" i="8"/>
  <c r="P3533" i="8"/>
  <c r="Q3533" i="8"/>
  <c r="R3533" i="8"/>
  <c r="S3533" i="8"/>
  <c r="T3533" i="8"/>
  <c r="E3534" i="8"/>
  <c r="F3534" i="8"/>
  <c r="G3534" i="8"/>
  <c r="H3534" i="8"/>
  <c r="I3534" i="8"/>
  <c r="J3534" i="8"/>
  <c r="K3534" i="8"/>
  <c r="L3534" i="8"/>
  <c r="M3534" i="8"/>
  <c r="N3534" i="8"/>
  <c r="O3534" i="8"/>
  <c r="P3534" i="8"/>
  <c r="Q3534" i="8"/>
  <c r="R3534" i="8"/>
  <c r="S3534" i="8"/>
  <c r="T3534" i="8"/>
  <c r="E3535" i="8"/>
  <c r="F3535" i="8"/>
  <c r="G3535" i="8"/>
  <c r="H3535" i="8"/>
  <c r="I3535" i="8"/>
  <c r="J3535" i="8"/>
  <c r="K3535" i="8"/>
  <c r="L3535" i="8"/>
  <c r="M3535" i="8"/>
  <c r="N3535" i="8"/>
  <c r="O3535" i="8"/>
  <c r="P3535" i="8"/>
  <c r="Q3535" i="8"/>
  <c r="R3535" i="8"/>
  <c r="S3535" i="8"/>
  <c r="T3535" i="8"/>
  <c r="E3536" i="8"/>
  <c r="F3536" i="8"/>
  <c r="G3536" i="8"/>
  <c r="H3536" i="8"/>
  <c r="I3536" i="8"/>
  <c r="J3536" i="8"/>
  <c r="K3536" i="8"/>
  <c r="L3536" i="8"/>
  <c r="M3536" i="8"/>
  <c r="N3536" i="8"/>
  <c r="O3536" i="8"/>
  <c r="P3536" i="8"/>
  <c r="Q3536" i="8"/>
  <c r="R3536" i="8"/>
  <c r="S3536" i="8"/>
  <c r="T3536" i="8"/>
  <c r="E3537" i="8"/>
  <c r="F3537" i="8"/>
  <c r="G3537" i="8"/>
  <c r="H3537" i="8"/>
  <c r="I3537" i="8"/>
  <c r="J3537" i="8"/>
  <c r="K3537" i="8"/>
  <c r="L3537" i="8"/>
  <c r="M3537" i="8"/>
  <c r="N3537" i="8"/>
  <c r="O3537" i="8"/>
  <c r="P3537" i="8"/>
  <c r="Q3537" i="8"/>
  <c r="R3537" i="8"/>
  <c r="S3537" i="8"/>
  <c r="T3537" i="8"/>
  <c r="E326" i="7"/>
  <c r="F326" i="7"/>
  <c r="G326" i="7"/>
  <c r="H326" i="7"/>
  <c r="I326" i="7"/>
  <c r="J326" i="7"/>
  <c r="K326" i="7"/>
  <c r="L326" i="7"/>
  <c r="M326" i="7"/>
  <c r="N326" i="7"/>
  <c r="P326" i="7"/>
  <c r="Q326" i="7"/>
  <c r="R326" i="7"/>
  <c r="S326" i="7"/>
  <c r="U326" i="7"/>
  <c r="V326" i="7"/>
  <c r="W326" i="7"/>
  <c r="X326" i="7"/>
  <c r="Y326" i="7"/>
  <c r="Z326" i="7"/>
  <c r="AA326" i="7"/>
  <c r="AC326" i="7"/>
  <c r="AE326" i="7"/>
  <c r="AI326" i="7"/>
  <c r="AO326" i="7"/>
  <c r="AP326" i="7"/>
  <c r="E3516" i="8"/>
  <c r="F3516" i="8"/>
  <c r="G3516" i="8"/>
  <c r="H3516" i="8"/>
  <c r="I3516" i="8"/>
  <c r="J3516" i="8"/>
  <c r="K3516" i="8"/>
  <c r="L3516" i="8"/>
  <c r="M3516" i="8"/>
  <c r="N3516" i="8"/>
  <c r="O3516" i="8"/>
  <c r="P3516" i="8"/>
  <c r="Q3516" i="8"/>
  <c r="R3516" i="8"/>
  <c r="S3516" i="8"/>
  <c r="T3516" i="8"/>
  <c r="E3517" i="8"/>
  <c r="F3517" i="8"/>
  <c r="G3517" i="8"/>
  <c r="H3517" i="8"/>
  <c r="I3517" i="8"/>
  <c r="J3517" i="8"/>
  <c r="K3517" i="8"/>
  <c r="L3517" i="8"/>
  <c r="M3517" i="8"/>
  <c r="N3517" i="8"/>
  <c r="O3517" i="8"/>
  <c r="P3517" i="8"/>
  <c r="Q3517" i="8"/>
  <c r="R3517" i="8"/>
  <c r="S3517" i="8"/>
  <c r="T3517" i="8"/>
  <c r="E3518" i="8"/>
  <c r="F3518" i="8"/>
  <c r="G3518" i="8"/>
  <c r="H3518" i="8"/>
  <c r="I3518" i="8"/>
  <c r="J3518" i="8"/>
  <c r="K3518" i="8"/>
  <c r="L3518" i="8"/>
  <c r="M3518" i="8"/>
  <c r="N3518" i="8"/>
  <c r="O3518" i="8"/>
  <c r="P3518" i="8"/>
  <c r="Q3518" i="8"/>
  <c r="R3518" i="8"/>
  <c r="S3518" i="8"/>
  <c r="T3518" i="8"/>
  <c r="E3519" i="8"/>
  <c r="F3519" i="8"/>
  <c r="G3519" i="8"/>
  <c r="H3519" i="8"/>
  <c r="I3519" i="8"/>
  <c r="J3519" i="8"/>
  <c r="K3519" i="8"/>
  <c r="L3519" i="8"/>
  <c r="M3519" i="8"/>
  <c r="N3519" i="8"/>
  <c r="O3519" i="8"/>
  <c r="P3519" i="8"/>
  <c r="Q3519" i="8"/>
  <c r="R3519" i="8"/>
  <c r="S3519" i="8"/>
  <c r="T3519" i="8"/>
  <c r="E3520" i="8"/>
  <c r="F3520" i="8"/>
  <c r="G3520" i="8"/>
  <c r="H3520" i="8"/>
  <c r="I3520" i="8"/>
  <c r="J3520" i="8"/>
  <c r="K3520" i="8"/>
  <c r="L3520" i="8"/>
  <c r="M3520" i="8"/>
  <c r="N3520" i="8"/>
  <c r="O3520" i="8"/>
  <c r="P3520" i="8"/>
  <c r="Q3520" i="8"/>
  <c r="R3520" i="8"/>
  <c r="S3520" i="8"/>
  <c r="T3520" i="8"/>
  <c r="E3521" i="8"/>
  <c r="F3521" i="8"/>
  <c r="G3521" i="8"/>
  <c r="H3521" i="8"/>
  <c r="I3521" i="8"/>
  <c r="J3521" i="8"/>
  <c r="K3521" i="8"/>
  <c r="L3521" i="8"/>
  <c r="M3521" i="8"/>
  <c r="N3521" i="8"/>
  <c r="O3521" i="8"/>
  <c r="P3521" i="8"/>
  <c r="Q3521" i="8"/>
  <c r="R3521" i="8"/>
  <c r="S3521" i="8"/>
  <c r="T3521" i="8"/>
  <c r="E3522" i="8"/>
  <c r="F3522" i="8"/>
  <c r="G3522" i="8"/>
  <c r="H3522" i="8"/>
  <c r="I3522" i="8"/>
  <c r="J3522" i="8"/>
  <c r="K3522" i="8"/>
  <c r="L3522" i="8"/>
  <c r="M3522" i="8"/>
  <c r="N3522" i="8"/>
  <c r="O3522" i="8"/>
  <c r="P3522" i="8"/>
  <c r="Q3522" i="8"/>
  <c r="R3522" i="8"/>
  <c r="S3522" i="8"/>
  <c r="T3522" i="8"/>
  <c r="E3523" i="8"/>
  <c r="F3523" i="8"/>
  <c r="G3523" i="8"/>
  <c r="H3523" i="8"/>
  <c r="I3523" i="8"/>
  <c r="J3523" i="8"/>
  <c r="K3523" i="8"/>
  <c r="L3523" i="8"/>
  <c r="M3523" i="8"/>
  <c r="N3523" i="8"/>
  <c r="O3523" i="8"/>
  <c r="P3523" i="8"/>
  <c r="Q3523" i="8"/>
  <c r="R3523" i="8"/>
  <c r="S3523" i="8"/>
  <c r="T3523" i="8"/>
  <c r="E3524" i="8"/>
  <c r="F3524" i="8"/>
  <c r="G3524" i="8"/>
  <c r="H3524" i="8"/>
  <c r="I3524" i="8"/>
  <c r="J3524" i="8"/>
  <c r="K3524" i="8"/>
  <c r="L3524" i="8"/>
  <c r="M3524" i="8"/>
  <c r="N3524" i="8"/>
  <c r="O3524" i="8"/>
  <c r="P3524" i="8"/>
  <c r="Q3524" i="8"/>
  <c r="R3524" i="8"/>
  <c r="S3524" i="8"/>
  <c r="T3524" i="8"/>
  <c r="E3525" i="8"/>
  <c r="F3525" i="8"/>
  <c r="G3525" i="8"/>
  <c r="H3525" i="8"/>
  <c r="I3525" i="8"/>
  <c r="J3525" i="8"/>
  <c r="K3525" i="8"/>
  <c r="L3525" i="8"/>
  <c r="M3525" i="8"/>
  <c r="N3525" i="8"/>
  <c r="O3525" i="8"/>
  <c r="P3525" i="8"/>
  <c r="Q3525" i="8"/>
  <c r="R3525" i="8"/>
  <c r="S3525" i="8"/>
  <c r="T3525" i="8"/>
  <c r="E3526" i="8"/>
  <c r="F3526" i="8"/>
  <c r="G3526" i="8"/>
  <c r="H3526" i="8"/>
  <c r="I3526" i="8"/>
  <c r="J3526" i="8"/>
  <c r="K3526" i="8"/>
  <c r="L3526" i="8"/>
  <c r="M3526" i="8"/>
  <c r="N3526" i="8"/>
  <c r="O3526" i="8"/>
  <c r="P3526" i="8"/>
  <c r="Q3526" i="8"/>
  <c r="R3526" i="8"/>
  <c r="S3526" i="8"/>
  <c r="T3526" i="8"/>
  <c r="O325" i="7"/>
  <c r="AK325" i="7"/>
  <c r="O324" i="7"/>
  <c r="AK324" i="7"/>
  <c r="O323" i="7"/>
  <c r="AK323" i="7"/>
  <c r="O322" i="7"/>
  <c r="AK322" i="7"/>
  <c r="O321" i="7"/>
  <c r="AK321" i="7"/>
  <c r="O320" i="7"/>
  <c r="AK320" i="7"/>
  <c r="O319" i="7"/>
  <c r="AK319" i="7"/>
  <c r="O318" i="7"/>
  <c r="AK318" i="7"/>
  <c r="O317" i="7"/>
  <c r="AK317" i="7"/>
  <c r="E316" i="7"/>
  <c r="F316" i="7"/>
  <c r="G316" i="7"/>
  <c r="H316" i="7"/>
  <c r="I316" i="7"/>
  <c r="J316" i="7"/>
  <c r="K316" i="7"/>
  <c r="L316" i="7"/>
  <c r="M316" i="7"/>
  <c r="N316" i="7"/>
  <c r="P316" i="7"/>
  <c r="Q316" i="7"/>
  <c r="R316" i="7"/>
  <c r="S316" i="7"/>
  <c r="U316" i="7"/>
  <c r="V316" i="7"/>
  <c r="W316" i="7"/>
  <c r="X316" i="7"/>
  <c r="Y316" i="7"/>
  <c r="Z316" i="7"/>
  <c r="AA316" i="7"/>
  <c r="AC316" i="7"/>
  <c r="AE316" i="7"/>
  <c r="AI316" i="7"/>
  <c r="AO316" i="7"/>
  <c r="AP316" i="7"/>
  <c r="E3406" i="8"/>
  <c r="F3406" i="8"/>
  <c r="G3406" i="8"/>
  <c r="H3406" i="8"/>
  <c r="I3406" i="8"/>
  <c r="J3406" i="8"/>
  <c r="K3406" i="8"/>
  <c r="L3406" i="8"/>
  <c r="M3406" i="8"/>
  <c r="N3406" i="8"/>
  <c r="O3406" i="8"/>
  <c r="P3406" i="8"/>
  <c r="Q3406" i="8"/>
  <c r="R3406" i="8"/>
  <c r="S3406" i="8"/>
  <c r="T3406" i="8"/>
  <c r="E3407" i="8"/>
  <c r="F3407" i="8"/>
  <c r="G3407" i="8"/>
  <c r="H3407" i="8"/>
  <c r="I3407" i="8"/>
  <c r="J3407" i="8"/>
  <c r="K3407" i="8"/>
  <c r="L3407" i="8"/>
  <c r="M3407" i="8"/>
  <c r="N3407" i="8"/>
  <c r="O3407" i="8"/>
  <c r="P3407" i="8"/>
  <c r="Q3407" i="8"/>
  <c r="R3407" i="8"/>
  <c r="S3407" i="8"/>
  <c r="T3407" i="8"/>
  <c r="E3408" i="8"/>
  <c r="F3408" i="8"/>
  <c r="G3408" i="8"/>
  <c r="H3408" i="8"/>
  <c r="I3408" i="8"/>
  <c r="J3408" i="8"/>
  <c r="K3408" i="8"/>
  <c r="L3408" i="8"/>
  <c r="M3408" i="8"/>
  <c r="N3408" i="8"/>
  <c r="O3408" i="8"/>
  <c r="P3408" i="8"/>
  <c r="Q3408" i="8"/>
  <c r="R3408" i="8"/>
  <c r="S3408" i="8"/>
  <c r="T3408" i="8"/>
  <c r="E3409" i="8"/>
  <c r="F3409" i="8"/>
  <c r="G3409" i="8"/>
  <c r="H3409" i="8"/>
  <c r="I3409" i="8"/>
  <c r="J3409" i="8"/>
  <c r="K3409" i="8"/>
  <c r="L3409" i="8"/>
  <c r="M3409" i="8"/>
  <c r="N3409" i="8"/>
  <c r="O3409" i="8"/>
  <c r="P3409" i="8"/>
  <c r="Q3409" i="8"/>
  <c r="R3409" i="8"/>
  <c r="S3409" i="8"/>
  <c r="T3409" i="8"/>
  <c r="E3410" i="8"/>
  <c r="F3410" i="8"/>
  <c r="G3410" i="8"/>
  <c r="H3410" i="8"/>
  <c r="I3410" i="8"/>
  <c r="J3410" i="8"/>
  <c r="K3410" i="8"/>
  <c r="L3410" i="8"/>
  <c r="M3410" i="8"/>
  <c r="N3410" i="8"/>
  <c r="O3410" i="8"/>
  <c r="P3410" i="8"/>
  <c r="Q3410" i="8"/>
  <c r="R3410" i="8"/>
  <c r="S3410" i="8"/>
  <c r="T3410" i="8"/>
  <c r="E3411" i="8"/>
  <c r="F3411" i="8"/>
  <c r="G3411" i="8"/>
  <c r="H3411" i="8"/>
  <c r="I3411" i="8"/>
  <c r="J3411" i="8"/>
  <c r="K3411" i="8"/>
  <c r="L3411" i="8"/>
  <c r="M3411" i="8"/>
  <c r="N3411" i="8"/>
  <c r="O3411" i="8"/>
  <c r="P3411" i="8"/>
  <c r="Q3411" i="8"/>
  <c r="R3411" i="8"/>
  <c r="S3411" i="8"/>
  <c r="T3411" i="8"/>
  <c r="E3412" i="8"/>
  <c r="F3412" i="8"/>
  <c r="G3412" i="8"/>
  <c r="H3412" i="8"/>
  <c r="I3412" i="8"/>
  <c r="J3412" i="8"/>
  <c r="K3412" i="8"/>
  <c r="L3412" i="8"/>
  <c r="M3412" i="8"/>
  <c r="N3412" i="8"/>
  <c r="O3412" i="8"/>
  <c r="P3412" i="8"/>
  <c r="Q3412" i="8"/>
  <c r="R3412" i="8"/>
  <c r="S3412" i="8"/>
  <c r="T3412" i="8"/>
  <c r="E3413" i="8"/>
  <c r="F3413" i="8"/>
  <c r="G3413" i="8"/>
  <c r="H3413" i="8"/>
  <c r="I3413" i="8"/>
  <c r="J3413" i="8"/>
  <c r="K3413" i="8"/>
  <c r="L3413" i="8"/>
  <c r="M3413" i="8"/>
  <c r="N3413" i="8"/>
  <c r="O3413" i="8"/>
  <c r="P3413" i="8"/>
  <c r="Q3413" i="8"/>
  <c r="R3413" i="8"/>
  <c r="S3413" i="8"/>
  <c r="T3413" i="8"/>
  <c r="E3414" i="8"/>
  <c r="F3414" i="8"/>
  <c r="G3414" i="8"/>
  <c r="H3414" i="8"/>
  <c r="I3414" i="8"/>
  <c r="J3414" i="8"/>
  <c r="K3414" i="8"/>
  <c r="L3414" i="8"/>
  <c r="M3414" i="8"/>
  <c r="N3414" i="8"/>
  <c r="O3414" i="8"/>
  <c r="P3414" i="8"/>
  <c r="Q3414" i="8"/>
  <c r="R3414" i="8"/>
  <c r="S3414" i="8"/>
  <c r="T3414" i="8"/>
  <c r="E3415" i="8"/>
  <c r="F3415" i="8"/>
  <c r="G3415" i="8"/>
  <c r="H3415" i="8"/>
  <c r="I3415" i="8"/>
  <c r="J3415" i="8"/>
  <c r="K3415" i="8"/>
  <c r="L3415" i="8"/>
  <c r="M3415" i="8"/>
  <c r="N3415" i="8"/>
  <c r="O3415" i="8"/>
  <c r="P3415" i="8"/>
  <c r="Q3415" i="8"/>
  <c r="R3415" i="8"/>
  <c r="S3415" i="8"/>
  <c r="T3415" i="8"/>
  <c r="E3416" i="8"/>
  <c r="F3416" i="8"/>
  <c r="G3416" i="8"/>
  <c r="H3416" i="8"/>
  <c r="I3416" i="8"/>
  <c r="J3416" i="8"/>
  <c r="K3416" i="8"/>
  <c r="L3416" i="8"/>
  <c r="M3416" i="8"/>
  <c r="N3416" i="8"/>
  <c r="O3416" i="8"/>
  <c r="P3416" i="8"/>
  <c r="Q3416" i="8"/>
  <c r="R3416" i="8"/>
  <c r="S3416" i="8"/>
  <c r="T3416" i="8"/>
  <c r="E315" i="7"/>
  <c r="F315" i="7"/>
  <c r="G315" i="7"/>
  <c r="H315" i="7"/>
  <c r="I315" i="7"/>
  <c r="J315" i="7"/>
  <c r="K315" i="7"/>
  <c r="L315" i="7"/>
  <c r="M315" i="7"/>
  <c r="N315" i="7"/>
  <c r="P315" i="7"/>
  <c r="Q315" i="7"/>
  <c r="R315" i="7"/>
  <c r="S315" i="7"/>
  <c r="U315" i="7"/>
  <c r="V315" i="7"/>
  <c r="W315" i="7"/>
  <c r="X315" i="7"/>
  <c r="Y315" i="7"/>
  <c r="Z315" i="7"/>
  <c r="AA315" i="7"/>
  <c r="AC315" i="7"/>
  <c r="AE315" i="7"/>
  <c r="AI315" i="7"/>
  <c r="AO315" i="7"/>
  <c r="AP315" i="7"/>
  <c r="E3395" i="8"/>
  <c r="F3395" i="8"/>
  <c r="G3395" i="8"/>
  <c r="H3395" i="8"/>
  <c r="I3395" i="8"/>
  <c r="J3395" i="8"/>
  <c r="K3395" i="8"/>
  <c r="L3395" i="8"/>
  <c r="M3395" i="8"/>
  <c r="N3395" i="8"/>
  <c r="O3395" i="8"/>
  <c r="P3395" i="8"/>
  <c r="Q3395" i="8"/>
  <c r="R3395" i="8"/>
  <c r="S3395" i="8"/>
  <c r="T3395" i="8"/>
  <c r="E3396" i="8"/>
  <c r="F3396" i="8"/>
  <c r="G3396" i="8"/>
  <c r="H3396" i="8"/>
  <c r="I3396" i="8"/>
  <c r="J3396" i="8"/>
  <c r="K3396" i="8"/>
  <c r="L3396" i="8"/>
  <c r="M3396" i="8"/>
  <c r="N3396" i="8"/>
  <c r="O3396" i="8"/>
  <c r="P3396" i="8"/>
  <c r="Q3396" i="8"/>
  <c r="R3396" i="8"/>
  <c r="S3396" i="8"/>
  <c r="T3396" i="8"/>
  <c r="E3397" i="8"/>
  <c r="F3397" i="8"/>
  <c r="G3397" i="8"/>
  <c r="H3397" i="8"/>
  <c r="I3397" i="8"/>
  <c r="J3397" i="8"/>
  <c r="K3397" i="8"/>
  <c r="L3397" i="8"/>
  <c r="M3397" i="8"/>
  <c r="N3397" i="8"/>
  <c r="O3397" i="8"/>
  <c r="P3397" i="8"/>
  <c r="Q3397" i="8"/>
  <c r="R3397" i="8"/>
  <c r="S3397" i="8"/>
  <c r="T3397" i="8"/>
  <c r="E3398" i="8"/>
  <c r="F3398" i="8"/>
  <c r="G3398" i="8"/>
  <c r="H3398" i="8"/>
  <c r="I3398" i="8"/>
  <c r="J3398" i="8"/>
  <c r="K3398" i="8"/>
  <c r="L3398" i="8"/>
  <c r="M3398" i="8"/>
  <c r="N3398" i="8"/>
  <c r="O3398" i="8"/>
  <c r="P3398" i="8"/>
  <c r="Q3398" i="8"/>
  <c r="R3398" i="8"/>
  <c r="S3398" i="8"/>
  <c r="T3398" i="8"/>
  <c r="E3399" i="8"/>
  <c r="F3399" i="8"/>
  <c r="G3399" i="8"/>
  <c r="H3399" i="8"/>
  <c r="I3399" i="8"/>
  <c r="J3399" i="8"/>
  <c r="K3399" i="8"/>
  <c r="L3399" i="8"/>
  <c r="M3399" i="8"/>
  <c r="N3399" i="8"/>
  <c r="O3399" i="8"/>
  <c r="P3399" i="8"/>
  <c r="Q3399" i="8"/>
  <c r="R3399" i="8"/>
  <c r="S3399" i="8"/>
  <c r="T3399" i="8"/>
  <c r="E3400" i="8"/>
  <c r="F3400" i="8"/>
  <c r="G3400" i="8"/>
  <c r="H3400" i="8"/>
  <c r="I3400" i="8"/>
  <c r="J3400" i="8"/>
  <c r="K3400" i="8"/>
  <c r="L3400" i="8"/>
  <c r="M3400" i="8"/>
  <c r="N3400" i="8"/>
  <c r="O3400" i="8"/>
  <c r="P3400" i="8"/>
  <c r="Q3400" i="8"/>
  <c r="R3400" i="8"/>
  <c r="S3400" i="8"/>
  <c r="T3400" i="8"/>
  <c r="E3401" i="8"/>
  <c r="F3401" i="8"/>
  <c r="G3401" i="8"/>
  <c r="H3401" i="8"/>
  <c r="I3401" i="8"/>
  <c r="J3401" i="8"/>
  <c r="K3401" i="8"/>
  <c r="L3401" i="8"/>
  <c r="M3401" i="8"/>
  <c r="N3401" i="8"/>
  <c r="O3401" i="8"/>
  <c r="P3401" i="8"/>
  <c r="Q3401" i="8"/>
  <c r="R3401" i="8"/>
  <c r="S3401" i="8"/>
  <c r="T3401" i="8"/>
  <c r="E3402" i="8"/>
  <c r="F3402" i="8"/>
  <c r="G3402" i="8"/>
  <c r="H3402" i="8"/>
  <c r="I3402" i="8"/>
  <c r="J3402" i="8"/>
  <c r="K3402" i="8"/>
  <c r="L3402" i="8"/>
  <c r="M3402" i="8"/>
  <c r="N3402" i="8"/>
  <c r="O3402" i="8"/>
  <c r="P3402" i="8"/>
  <c r="Q3402" i="8"/>
  <c r="R3402" i="8"/>
  <c r="S3402" i="8"/>
  <c r="T3402" i="8"/>
  <c r="E3403" i="8"/>
  <c r="F3403" i="8"/>
  <c r="G3403" i="8"/>
  <c r="H3403" i="8"/>
  <c r="I3403" i="8"/>
  <c r="J3403" i="8"/>
  <c r="K3403" i="8"/>
  <c r="L3403" i="8"/>
  <c r="M3403" i="8"/>
  <c r="N3403" i="8"/>
  <c r="O3403" i="8"/>
  <c r="P3403" i="8"/>
  <c r="Q3403" i="8"/>
  <c r="R3403" i="8"/>
  <c r="S3403" i="8"/>
  <c r="T3403" i="8"/>
  <c r="E3404" i="8"/>
  <c r="F3404" i="8"/>
  <c r="G3404" i="8"/>
  <c r="H3404" i="8"/>
  <c r="I3404" i="8"/>
  <c r="J3404" i="8"/>
  <c r="K3404" i="8"/>
  <c r="L3404" i="8"/>
  <c r="M3404" i="8"/>
  <c r="N3404" i="8"/>
  <c r="O3404" i="8"/>
  <c r="P3404" i="8"/>
  <c r="Q3404" i="8"/>
  <c r="R3404" i="8"/>
  <c r="S3404" i="8"/>
  <c r="T3404" i="8"/>
  <c r="E3405" i="8"/>
  <c r="F3405" i="8"/>
  <c r="G3405" i="8"/>
  <c r="H3405" i="8"/>
  <c r="I3405" i="8"/>
  <c r="J3405" i="8"/>
  <c r="K3405" i="8"/>
  <c r="L3405" i="8"/>
  <c r="M3405" i="8"/>
  <c r="N3405" i="8"/>
  <c r="O3405" i="8"/>
  <c r="P3405" i="8"/>
  <c r="Q3405" i="8"/>
  <c r="R3405" i="8"/>
  <c r="S3405" i="8"/>
  <c r="T3405" i="8"/>
  <c r="E314" i="7"/>
  <c r="F314" i="7"/>
  <c r="G314" i="7"/>
  <c r="H314" i="7"/>
  <c r="I314" i="7"/>
  <c r="J314" i="7"/>
  <c r="K314" i="7"/>
  <c r="L314" i="7"/>
  <c r="M314" i="7"/>
  <c r="N314" i="7"/>
  <c r="P314" i="7"/>
  <c r="Q314" i="7"/>
  <c r="R314" i="7"/>
  <c r="S314" i="7"/>
  <c r="U314" i="7"/>
  <c r="V314" i="7"/>
  <c r="W314" i="7"/>
  <c r="X314" i="7"/>
  <c r="Y314" i="7"/>
  <c r="Z314" i="7"/>
  <c r="AA314" i="7"/>
  <c r="AC314" i="7"/>
  <c r="AE314" i="7"/>
  <c r="AI314" i="7"/>
  <c r="AO314" i="7"/>
  <c r="AP314" i="7"/>
  <c r="E3384" i="8"/>
  <c r="F3384" i="8"/>
  <c r="G3384" i="8"/>
  <c r="H3384" i="8"/>
  <c r="I3384" i="8"/>
  <c r="J3384" i="8"/>
  <c r="K3384" i="8"/>
  <c r="L3384" i="8"/>
  <c r="M3384" i="8"/>
  <c r="N3384" i="8"/>
  <c r="O3384" i="8"/>
  <c r="P3384" i="8"/>
  <c r="Q3384" i="8"/>
  <c r="R3384" i="8"/>
  <c r="S3384" i="8"/>
  <c r="T3384" i="8"/>
  <c r="E3385" i="8"/>
  <c r="F3385" i="8"/>
  <c r="G3385" i="8"/>
  <c r="H3385" i="8"/>
  <c r="I3385" i="8"/>
  <c r="J3385" i="8"/>
  <c r="K3385" i="8"/>
  <c r="L3385" i="8"/>
  <c r="M3385" i="8"/>
  <c r="N3385" i="8"/>
  <c r="O3385" i="8"/>
  <c r="P3385" i="8"/>
  <c r="Q3385" i="8"/>
  <c r="R3385" i="8"/>
  <c r="S3385" i="8"/>
  <c r="T3385" i="8"/>
  <c r="E3386" i="8"/>
  <c r="F3386" i="8"/>
  <c r="G3386" i="8"/>
  <c r="H3386" i="8"/>
  <c r="I3386" i="8"/>
  <c r="J3386" i="8"/>
  <c r="K3386" i="8"/>
  <c r="L3386" i="8"/>
  <c r="M3386" i="8"/>
  <c r="N3386" i="8"/>
  <c r="O3386" i="8"/>
  <c r="P3386" i="8"/>
  <c r="Q3386" i="8"/>
  <c r="R3386" i="8"/>
  <c r="S3386" i="8"/>
  <c r="T3386" i="8"/>
  <c r="E3387" i="8"/>
  <c r="F3387" i="8"/>
  <c r="G3387" i="8"/>
  <c r="H3387" i="8"/>
  <c r="I3387" i="8"/>
  <c r="J3387" i="8"/>
  <c r="K3387" i="8"/>
  <c r="L3387" i="8"/>
  <c r="M3387" i="8"/>
  <c r="N3387" i="8"/>
  <c r="O3387" i="8"/>
  <c r="P3387" i="8"/>
  <c r="Q3387" i="8"/>
  <c r="R3387" i="8"/>
  <c r="S3387" i="8"/>
  <c r="T3387" i="8"/>
  <c r="E3388" i="8"/>
  <c r="F3388" i="8"/>
  <c r="G3388" i="8"/>
  <c r="H3388" i="8"/>
  <c r="I3388" i="8"/>
  <c r="J3388" i="8"/>
  <c r="K3388" i="8"/>
  <c r="L3388" i="8"/>
  <c r="M3388" i="8"/>
  <c r="N3388" i="8"/>
  <c r="O3388" i="8"/>
  <c r="P3388" i="8"/>
  <c r="Q3388" i="8"/>
  <c r="R3388" i="8"/>
  <c r="S3388" i="8"/>
  <c r="T3388" i="8"/>
  <c r="E3389" i="8"/>
  <c r="F3389" i="8"/>
  <c r="G3389" i="8"/>
  <c r="H3389" i="8"/>
  <c r="I3389" i="8"/>
  <c r="J3389" i="8"/>
  <c r="K3389" i="8"/>
  <c r="L3389" i="8"/>
  <c r="M3389" i="8"/>
  <c r="N3389" i="8"/>
  <c r="O3389" i="8"/>
  <c r="P3389" i="8"/>
  <c r="Q3389" i="8"/>
  <c r="R3389" i="8"/>
  <c r="S3389" i="8"/>
  <c r="T3389" i="8"/>
  <c r="E3390" i="8"/>
  <c r="F3390" i="8"/>
  <c r="G3390" i="8"/>
  <c r="H3390" i="8"/>
  <c r="I3390" i="8"/>
  <c r="J3390" i="8"/>
  <c r="K3390" i="8"/>
  <c r="L3390" i="8"/>
  <c r="M3390" i="8"/>
  <c r="N3390" i="8"/>
  <c r="O3390" i="8"/>
  <c r="P3390" i="8"/>
  <c r="Q3390" i="8"/>
  <c r="R3390" i="8"/>
  <c r="S3390" i="8"/>
  <c r="T3390" i="8"/>
  <c r="E3391" i="8"/>
  <c r="F3391" i="8"/>
  <c r="G3391" i="8"/>
  <c r="H3391" i="8"/>
  <c r="I3391" i="8"/>
  <c r="J3391" i="8"/>
  <c r="K3391" i="8"/>
  <c r="L3391" i="8"/>
  <c r="M3391" i="8"/>
  <c r="N3391" i="8"/>
  <c r="O3391" i="8"/>
  <c r="P3391" i="8"/>
  <c r="Q3391" i="8"/>
  <c r="R3391" i="8"/>
  <c r="S3391" i="8"/>
  <c r="T3391" i="8"/>
  <c r="E3392" i="8"/>
  <c r="F3392" i="8"/>
  <c r="G3392" i="8"/>
  <c r="H3392" i="8"/>
  <c r="I3392" i="8"/>
  <c r="J3392" i="8"/>
  <c r="K3392" i="8"/>
  <c r="L3392" i="8"/>
  <c r="M3392" i="8"/>
  <c r="N3392" i="8"/>
  <c r="O3392" i="8"/>
  <c r="P3392" i="8"/>
  <c r="Q3392" i="8"/>
  <c r="R3392" i="8"/>
  <c r="S3392" i="8"/>
  <c r="T3392" i="8"/>
  <c r="E3393" i="8"/>
  <c r="F3393" i="8"/>
  <c r="G3393" i="8"/>
  <c r="H3393" i="8"/>
  <c r="I3393" i="8"/>
  <c r="J3393" i="8"/>
  <c r="K3393" i="8"/>
  <c r="L3393" i="8"/>
  <c r="M3393" i="8"/>
  <c r="N3393" i="8"/>
  <c r="O3393" i="8"/>
  <c r="P3393" i="8"/>
  <c r="Q3393" i="8"/>
  <c r="R3393" i="8"/>
  <c r="S3393" i="8"/>
  <c r="T3393" i="8"/>
  <c r="E3394" i="8"/>
  <c r="F3394" i="8"/>
  <c r="G3394" i="8"/>
  <c r="H3394" i="8"/>
  <c r="I3394" i="8"/>
  <c r="J3394" i="8"/>
  <c r="K3394" i="8"/>
  <c r="L3394" i="8"/>
  <c r="M3394" i="8"/>
  <c r="N3394" i="8"/>
  <c r="O3394" i="8"/>
  <c r="P3394" i="8"/>
  <c r="Q3394" i="8"/>
  <c r="R3394" i="8"/>
  <c r="S3394" i="8"/>
  <c r="T3394" i="8"/>
  <c r="E313" i="7"/>
  <c r="F313" i="7"/>
  <c r="G313" i="7"/>
  <c r="H313" i="7"/>
  <c r="I313" i="7"/>
  <c r="J313" i="7"/>
  <c r="K313" i="7"/>
  <c r="L313" i="7"/>
  <c r="M313" i="7"/>
  <c r="N313" i="7"/>
  <c r="P313" i="7"/>
  <c r="Q313" i="7"/>
  <c r="R313" i="7"/>
  <c r="S313" i="7"/>
  <c r="U313" i="7"/>
  <c r="V313" i="7"/>
  <c r="W313" i="7"/>
  <c r="X313" i="7"/>
  <c r="Y313" i="7"/>
  <c r="Z313" i="7"/>
  <c r="AA313" i="7"/>
  <c r="AC313" i="7"/>
  <c r="AE313" i="7"/>
  <c r="AI313" i="7"/>
  <c r="AO313" i="7"/>
  <c r="AP313" i="7"/>
  <c r="E3373" i="8"/>
  <c r="F3373" i="8"/>
  <c r="G3373" i="8"/>
  <c r="H3373" i="8"/>
  <c r="I3373" i="8"/>
  <c r="J3373" i="8"/>
  <c r="K3373" i="8"/>
  <c r="L3373" i="8"/>
  <c r="M3373" i="8"/>
  <c r="N3373" i="8"/>
  <c r="O3373" i="8"/>
  <c r="P3373" i="8"/>
  <c r="Q3373" i="8"/>
  <c r="R3373" i="8"/>
  <c r="S3373" i="8"/>
  <c r="T3373" i="8"/>
  <c r="E3374" i="8"/>
  <c r="F3374" i="8"/>
  <c r="G3374" i="8"/>
  <c r="H3374" i="8"/>
  <c r="I3374" i="8"/>
  <c r="J3374" i="8"/>
  <c r="K3374" i="8"/>
  <c r="L3374" i="8"/>
  <c r="M3374" i="8"/>
  <c r="N3374" i="8"/>
  <c r="O3374" i="8"/>
  <c r="P3374" i="8"/>
  <c r="Q3374" i="8"/>
  <c r="R3374" i="8"/>
  <c r="S3374" i="8"/>
  <c r="T3374" i="8"/>
  <c r="E3375" i="8"/>
  <c r="F3375" i="8"/>
  <c r="G3375" i="8"/>
  <c r="H3375" i="8"/>
  <c r="I3375" i="8"/>
  <c r="J3375" i="8"/>
  <c r="K3375" i="8"/>
  <c r="L3375" i="8"/>
  <c r="M3375" i="8"/>
  <c r="N3375" i="8"/>
  <c r="O3375" i="8"/>
  <c r="P3375" i="8"/>
  <c r="Q3375" i="8"/>
  <c r="R3375" i="8"/>
  <c r="S3375" i="8"/>
  <c r="T3375" i="8"/>
  <c r="E3376" i="8"/>
  <c r="F3376" i="8"/>
  <c r="G3376" i="8"/>
  <c r="H3376" i="8"/>
  <c r="I3376" i="8"/>
  <c r="J3376" i="8"/>
  <c r="K3376" i="8"/>
  <c r="L3376" i="8"/>
  <c r="M3376" i="8"/>
  <c r="N3376" i="8"/>
  <c r="O3376" i="8"/>
  <c r="P3376" i="8"/>
  <c r="Q3376" i="8"/>
  <c r="R3376" i="8"/>
  <c r="S3376" i="8"/>
  <c r="T3376" i="8"/>
  <c r="E3377" i="8"/>
  <c r="F3377" i="8"/>
  <c r="G3377" i="8"/>
  <c r="H3377" i="8"/>
  <c r="I3377" i="8"/>
  <c r="J3377" i="8"/>
  <c r="K3377" i="8"/>
  <c r="L3377" i="8"/>
  <c r="M3377" i="8"/>
  <c r="N3377" i="8"/>
  <c r="O3377" i="8"/>
  <c r="P3377" i="8"/>
  <c r="Q3377" i="8"/>
  <c r="R3377" i="8"/>
  <c r="S3377" i="8"/>
  <c r="T3377" i="8"/>
  <c r="E3378" i="8"/>
  <c r="F3378" i="8"/>
  <c r="G3378" i="8"/>
  <c r="H3378" i="8"/>
  <c r="I3378" i="8"/>
  <c r="J3378" i="8"/>
  <c r="K3378" i="8"/>
  <c r="L3378" i="8"/>
  <c r="M3378" i="8"/>
  <c r="N3378" i="8"/>
  <c r="O3378" i="8"/>
  <c r="P3378" i="8"/>
  <c r="Q3378" i="8"/>
  <c r="R3378" i="8"/>
  <c r="S3378" i="8"/>
  <c r="T3378" i="8"/>
  <c r="E3379" i="8"/>
  <c r="F3379" i="8"/>
  <c r="G3379" i="8"/>
  <c r="H3379" i="8"/>
  <c r="I3379" i="8"/>
  <c r="J3379" i="8"/>
  <c r="K3379" i="8"/>
  <c r="L3379" i="8"/>
  <c r="M3379" i="8"/>
  <c r="N3379" i="8"/>
  <c r="O3379" i="8"/>
  <c r="P3379" i="8"/>
  <c r="Q3379" i="8"/>
  <c r="R3379" i="8"/>
  <c r="S3379" i="8"/>
  <c r="T3379" i="8"/>
  <c r="E3380" i="8"/>
  <c r="F3380" i="8"/>
  <c r="G3380" i="8"/>
  <c r="H3380" i="8"/>
  <c r="I3380" i="8"/>
  <c r="J3380" i="8"/>
  <c r="K3380" i="8"/>
  <c r="L3380" i="8"/>
  <c r="M3380" i="8"/>
  <c r="N3380" i="8"/>
  <c r="O3380" i="8"/>
  <c r="P3380" i="8"/>
  <c r="Q3380" i="8"/>
  <c r="R3380" i="8"/>
  <c r="S3380" i="8"/>
  <c r="T3380" i="8"/>
  <c r="E3381" i="8"/>
  <c r="F3381" i="8"/>
  <c r="G3381" i="8"/>
  <c r="H3381" i="8"/>
  <c r="I3381" i="8"/>
  <c r="J3381" i="8"/>
  <c r="K3381" i="8"/>
  <c r="L3381" i="8"/>
  <c r="M3381" i="8"/>
  <c r="N3381" i="8"/>
  <c r="O3381" i="8"/>
  <c r="P3381" i="8"/>
  <c r="Q3381" i="8"/>
  <c r="R3381" i="8"/>
  <c r="S3381" i="8"/>
  <c r="T3381" i="8"/>
  <c r="E3382" i="8"/>
  <c r="F3382" i="8"/>
  <c r="G3382" i="8"/>
  <c r="H3382" i="8"/>
  <c r="I3382" i="8"/>
  <c r="J3382" i="8"/>
  <c r="K3382" i="8"/>
  <c r="L3382" i="8"/>
  <c r="M3382" i="8"/>
  <c r="N3382" i="8"/>
  <c r="O3382" i="8"/>
  <c r="P3382" i="8"/>
  <c r="Q3382" i="8"/>
  <c r="R3382" i="8"/>
  <c r="S3382" i="8"/>
  <c r="T3382" i="8"/>
  <c r="E3383" i="8"/>
  <c r="F3383" i="8"/>
  <c r="G3383" i="8"/>
  <c r="H3383" i="8"/>
  <c r="I3383" i="8"/>
  <c r="J3383" i="8"/>
  <c r="K3383" i="8"/>
  <c r="L3383" i="8"/>
  <c r="M3383" i="8"/>
  <c r="N3383" i="8"/>
  <c r="O3383" i="8"/>
  <c r="P3383" i="8"/>
  <c r="Q3383" i="8"/>
  <c r="R3383" i="8"/>
  <c r="S3383" i="8"/>
  <c r="T3383" i="8"/>
  <c r="E312" i="7"/>
  <c r="F312" i="7"/>
  <c r="G312" i="7"/>
  <c r="H312" i="7"/>
  <c r="I312" i="7"/>
  <c r="J312" i="7"/>
  <c r="K312" i="7"/>
  <c r="L312" i="7"/>
  <c r="M312" i="7"/>
  <c r="N312" i="7"/>
  <c r="P312" i="7"/>
  <c r="Q312" i="7"/>
  <c r="R312" i="7"/>
  <c r="S312" i="7"/>
  <c r="U312" i="7"/>
  <c r="V312" i="7"/>
  <c r="W312" i="7"/>
  <c r="X312" i="7"/>
  <c r="Y312" i="7"/>
  <c r="Z312" i="7"/>
  <c r="AA312" i="7"/>
  <c r="AC312" i="7"/>
  <c r="AE312" i="7"/>
  <c r="AI312" i="7"/>
  <c r="AO312" i="7"/>
  <c r="AP312" i="7"/>
  <c r="E3362" i="8"/>
  <c r="F3362" i="8"/>
  <c r="G3362" i="8"/>
  <c r="H3362" i="8"/>
  <c r="I3362" i="8"/>
  <c r="J3362" i="8"/>
  <c r="K3362" i="8"/>
  <c r="L3362" i="8"/>
  <c r="M3362" i="8"/>
  <c r="N3362" i="8"/>
  <c r="O3362" i="8"/>
  <c r="P3362" i="8"/>
  <c r="Q3362" i="8"/>
  <c r="R3362" i="8"/>
  <c r="S3362" i="8"/>
  <c r="T3362" i="8"/>
  <c r="E3363" i="8"/>
  <c r="F3363" i="8"/>
  <c r="G3363" i="8"/>
  <c r="H3363" i="8"/>
  <c r="I3363" i="8"/>
  <c r="J3363" i="8"/>
  <c r="K3363" i="8"/>
  <c r="L3363" i="8"/>
  <c r="M3363" i="8"/>
  <c r="N3363" i="8"/>
  <c r="O3363" i="8"/>
  <c r="P3363" i="8"/>
  <c r="Q3363" i="8"/>
  <c r="R3363" i="8"/>
  <c r="S3363" i="8"/>
  <c r="T3363" i="8"/>
  <c r="E3364" i="8"/>
  <c r="F3364" i="8"/>
  <c r="G3364" i="8"/>
  <c r="H3364" i="8"/>
  <c r="I3364" i="8"/>
  <c r="J3364" i="8"/>
  <c r="K3364" i="8"/>
  <c r="L3364" i="8"/>
  <c r="M3364" i="8"/>
  <c r="N3364" i="8"/>
  <c r="O3364" i="8"/>
  <c r="P3364" i="8"/>
  <c r="Q3364" i="8"/>
  <c r="R3364" i="8"/>
  <c r="S3364" i="8"/>
  <c r="T3364" i="8"/>
  <c r="E3365" i="8"/>
  <c r="F3365" i="8"/>
  <c r="G3365" i="8"/>
  <c r="H3365" i="8"/>
  <c r="I3365" i="8"/>
  <c r="J3365" i="8"/>
  <c r="K3365" i="8"/>
  <c r="L3365" i="8"/>
  <c r="M3365" i="8"/>
  <c r="N3365" i="8"/>
  <c r="O3365" i="8"/>
  <c r="P3365" i="8"/>
  <c r="Q3365" i="8"/>
  <c r="R3365" i="8"/>
  <c r="S3365" i="8"/>
  <c r="T3365" i="8"/>
  <c r="E3366" i="8"/>
  <c r="F3366" i="8"/>
  <c r="G3366" i="8"/>
  <c r="H3366" i="8"/>
  <c r="I3366" i="8"/>
  <c r="J3366" i="8"/>
  <c r="K3366" i="8"/>
  <c r="L3366" i="8"/>
  <c r="M3366" i="8"/>
  <c r="N3366" i="8"/>
  <c r="O3366" i="8"/>
  <c r="P3366" i="8"/>
  <c r="Q3366" i="8"/>
  <c r="R3366" i="8"/>
  <c r="S3366" i="8"/>
  <c r="T3366" i="8"/>
  <c r="E3367" i="8"/>
  <c r="F3367" i="8"/>
  <c r="G3367" i="8"/>
  <c r="H3367" i="8"/>
  <c r="I3367" i="8"/>
  <c r="J3367" i="8"/>
  <c r="K3367" i="8"/>
  <c r="L3367" i="8"/>
  <c r="M3367" i="8"/>
  <c r="N3367" i="8"/>
  <c r="O3367" i="8"/>
  <c r="P3367" i="8"/>
  <c r="Q3367" i="8"/>
  <c r="R3367" i="8"/>
  <c r="S3367" i="8"/>
  <c r="T3367" i="8"/>
  <c r="E3368" i="8"/>
  <c r="F3368" i="8"/>
  <c r="G3368" i="8"/>
  <c r="H3368" i="8"/>
  <c r="I3368" i="8"/>
  <c r="J3368" i="8"/>
  <c r="K3368" i="8"/>
  <c r="L3368" i="8"/>
  <c r="M3368" i="8"/>
  <c r="N3368" i="8"/>
  <c r="O3368" i="8"/>
  <c r="P3368" i="8"/>
  <c r="Q3368" i="8"/>
  <c r="R3368" i="8"/>
  <c r="S3368" i="8"/>
  <c r="T3368" i="8"/>
  <c r="E3369" i="8"/>
  <c r="F3369" i="8"/>
  <c r="G3369" i="8"/>
  <c r="H3369" i="8"/>
  <c r="I3369" i="8"/>
  <c r="J3369" i="8"/>
  <c r="K3369" i="8"/>
  <c r="L3369" i="8"/>
  <c r="M3369" i="8"/>
  <c r="N3369" i="8"/>
  <c r="O3369" i="8"/>
  <c r="P3369" i="8"/>
  <c r="Q3369" i="8"/>
  <c r="R3369" i="8"/>
  <c r="S3369" i="8"/>
  <c r="T3369" i="8"/>
  <c r="E3370" i="8"/>
  <c r="F3370" i="8"/>
  <c r="G3370" i="8"/>
  <c r="H3370" i="8"/>
  <c r="I3370" i="8"/>
  <c r="J3370" i="8"/>
  <c r="K3370" i="8"/>
  <c r="L3370" i="8"/>
  <c r="M3370" i="8"/>
  <c r="N3370" i="8"/>
  <c r="O3370" i="8"/>
  <c r="P3370" i="8"/>
  <c r="Q3370" i="8"/>
  <c r="R3370" i="8"/>
  <c r="S3370" i="8"/>
  <c r="T3370" i="8"/>
  <c r="E3371" i="8"/>
  <c r="F3371" i="8"/>
  <c r="G3371" i="8"/>
  <c r="H3371" i="8"/>
  <c r="I3371" i="8"/>
  <c r="J3371" i="8"/>
  <c r="K3371" i="8"/>
  <c r="L3371" i="8"/>
  <c r="M3371" i="8"/>
  <c r="N3371" i="8"/>
  <c r="O3371" i="8"/>
  <c r="P3371" i="8"/>
  <c r="Q3371" i="8"/>
  <c r="R3371" i="8"/>
  <c r="S3371" i="8"/>
  <c r="T3371" i="8"/>
  <c r="E3372" i="8"/>
  <c r="F3372" i="8"/>
  <c r="G3372" i="8"/>
  <c r="H3372" i="8"/>
  <c r="I3372" i="8"/>
  <c r="J3372" i="8"/>
  <c r="K3372" i="8"/>
  <c r="L3372" i="8"/>
  <c r="M3372" i="8"/>
  <c r="N3372" i="8"/>
  <c r="O3372" i="8"/>
  <c r="P3372" i="8"/>
  <c r="Q3372" i="8"/>
  <c r="R3372" i="8"/>
  <c r="S3372" i="8"/>
  <c r="T3372" i="8"/>
  <c r="E311" i="7"/>
  <c r="F311" i="7"/>
  <c r="G311" i="7"/>
  <c r="H311" i="7"/>
  <c r="I311" i="7"/>
  <c r="J311" i="7"/>
  <c r="K311" i="7"/>
  <c r="L311" i="7"/>
  <c r="M311" i="7"/>
  <c r="N311" i="7"/>
  <c r="P311" i="7"/>
  <c r="Q311" i="7"/>
  <c r="R311" i="7"/>
  <c r="S311" i="7"/>
  <c r="U311" i="7"/>
  <c r="V311" i="7"/>
  <c r="W311" i="7"/>
  <c r="X311" i="7"/>
  <c r="Y311" i="7"/>
  <c r="Z311" i="7"/>
  <c r="AA311" i="7"/>
  <c r="AC311" i="7"/>
  <c r="AE311" i="7"/>
  <c r="AI311" i="7"/>
  <c r="AO311" i="7"/>
  <c r="AP311" i="7"/>
  <c r="E3351" i="8"/>
  <c r="F3351" i="8"/>
  <c r="G3351" i="8"/>
  <c r="H3351" i="8"/>
  <c r="I3351" i="8"/>
  <c r="J3351" i="8"/>
  <c r="K3351" i="8"/>
  <c r="L3351" i="8"/>
  <c r="M3351" i="8"/>
  <c r="N3351" i="8"/>
  <c r="O3351" i="8"/>
  <c r="P3351" i="8"/>
  <c r="Q3351" i="8"/>
  <c r="R3351" i="8"/>
  <c r="S3351" i="8"/>
  <c r="T3351" i="8"/>
  <c r="E3352" i="8"/>
  <c r="F3352" i="8"/>
  <c r="G3352" i="8"/>
  <c r="H3352" i="8"/>
  <c r="I3352" i="8"/>
  <c r="J3352" i="8"/>
  <c r="K3352" i="8"/>
  <c r="L3352" i="8"/>
  <c r="M3352" i="8"/>
  <c r="N3352" i="8"/>
  <c r="O3352" i="8"/>
  <c r="P3352" i="8"/>
  <c r="Q3352" i="8"/>
  <c r="R3352" i="8"/>
  <c r="S3352" i="8"/>
  <c r="T3352" i="8"/>
  <c r="E3353" i="8"/>
  <c r="F3353" i="8"/>
  <c r="G3353" i="8"/>
  <c r="H3353" i="8"/>
  <c r="I3353" i="8"/>
  <c r="J3353" i="8"/>
  <c r="K3353" i="8"/>
  <c r="L3353" i="8"/>
  <c r="M3353" i="8"/>
  <c r="N3353" i="8"/>
  <c r="O3353" i="8"/>
  <c r="P3353" i="8"/>
  <c r="Q3353" i="8"/>
  <c r="R3353" i="8"/>
  <c r="S3353" i="8"/>
  <c r="T3353" i="8"/>
  <c r="E3354" i="8"/>
  <c r="F3354" i="8"/>
  <c r="G3354" i="8"/>
  <c r="H3354" i="8"/>
  <c r="I3354" i="8"/>
  <c r="J3354" i="8"/>
  <c r="K3354" i="8"/>
  <c r="L3354" i="8"/>
  <c r="M3354" i="8"/>
  <c r="N3354" i="8"/>
  <c r="O3354" i="8"/>
  <c r="P3354" i="8"/>
  <c r="Q3354" i="8"/>
  <c r="R3354" i="8"/>
  <c r="S3354" i="8"/>
  <c r="T3354" i="8"/>
  <c r="E3355" i="8"/>
  <c r="F3355" i="8"/>
  <c r="G3355" i="8"/>
  <c r="H3355" i="8"/>
  <c r="I3355" i="8"/>
  <c r="J3355" i="8"/>
  <c r="K3355" i="8"/>
  <c r="L3355" i="8"/>
  <c r="M3355" i="8"/>
  <c r="N3355" i="8"/>
  <c r="O3355" i="8"/>
  <c r="P3355" i="8"/>
  <c r="Q3355" i="8"/>
  <c r="R3355" i="8"/>
  <c r="S3355" i="8"/>
  <c r="T3355" i="8"/>
  <c r="E3356" i="8"/>
  <c r="F3356" i="8"/>
  <c r="G3356" i="8"/>
  <c r="H3356" i="8"/>
  <c r="I3356" i="8"/>
  <c r="J3356" i="8"/>
  <c r="K3356" i="8"/>
  <c r="L3356" i="8"/>
  <c r="M3356" i="8"/>
  <c r="N3356" i="8"/>
  <c r="O3356" i="8"/>
  <c r="P3356" i="8"/>
  <c r="Q3356" i="8"/>
  <c r="R3356" i="8"/>
  <c r="S3356" i="8"/>
  <c r="T3356" i="8"/>
  <c r="E3357" i="8"/>
  <c r="F3357" i="8"/>
  <c r="G3357" i="8"/>
  <c r="H3357" i="8"/>
  <c r="I3357" i="8"/>
  <c r="J3357" i="8"/>
  <c r="K3357" i="8"/>
  <c r="L3357" i="8"/>
  <c r="M3357" i="8"/>
  <c r="N3357" i="8"/>
  <c r="O3357" i="8"/>
  <c r="P3357" i="8"/>
  <c r="Q3357" i="8"/>
  <c r="R3357" i="8"/>
  <c r="S3357" i="8"/>
  <c r="T3357" i="8"/>
  <c r="E3358" i="8"/>
  <c r="F3358" i="8"/>
  <c r="G3358" i="8"/>
  <c r="H3358" i="8"/>
  <c r="I3358" i="8"/>
  <c r="J3358" i="8"/>
  <c r="K3358" i="8"/>
  <c r="L3358" i="8"/>
  <c r="M3358" i="8"/>
  <c r="N3358" i="8"/>
  <c r="O3358" i="8"/>
  <c r="P3358" i="8"/>
  <c r="Q3358" i="8"/>
  <c r="R3358" i="8"/>
  <c r="S3358" i="8"/>
  <c r="T3358" i="8"/>
  <c r="E3359" i="8"/>
  <c r="F3359" i="8"/>
  <c r="G3359" i="8"/>
  <c r="H3359" i="8"/>
  <c r="I3359" i="8"/>
  <c r="J3359" i="8"/>
  <c r="K3359" i="8"/>
  <c r="L3359" i="8"/>
  <c r="M3359" i="8"/>
  <c r="N3359" i="8"/>
  <c r="O3359" i="8"/>
  <c r="P3359" i="8"/>
  <c r="Q3359" i="8"/>
  <c r="R3359" i="8"/>
  <c r="S3359" i="8"/>
  <c r="T3359" i="8"/>
  <c r="E3360" i="8"/>
  <c r="F3360" i="8"/>
  <c r="G3360" i="8"/>
  <c r="H3360" i="8"/>
  <c r="I3360" i="8"/>
  <c r="J3360" i="8"/>
  <c r="K3360" i="8"/>
  <c r="L3360" i="8"/>
  <c r="M3360" i="8"/>
  <c r="N3360" i="8"/>
  <c r="O3360" i="8"/>
  <c r="P3360" i="8"/>
  <c r="Q3360" i="8"/>
  <c r="R3360" i="8"/>
  <c r="S3360" i="8"/>
  <c r="T3360" i="8"/>
  <c r="E3361" i="8"/>
  <c r="F3361" i="8"/>
  <c r="G3361" i="8"/>
  <c r="H3361" i="8"/>
  <c r="I3361" i="8"/>
  <c r="J3361" i="8"/>
  <c r="K3361" i="8"/>
  <c r="L3361" i="8"/>
  <c r="M3361" i="8"/>
  <c r="N3361" i="8"/>
  <c r="O3361" i="8"/>
  <c r="P3361" i="8"/>
  <c r="Q3361" i="8"/>
  <c r="R3361" i="8"/>
  <c r="S3361" i="8"/>
  <c r="T3361" i="8"/>
  <c r="E310" i="7"/>
  <c r="F310" i="7"/>
  <c r="G310" i="7"/>
  <c r="H310" i="7"/>
  <c r="I310" i="7"/>
  <c r="J310" i="7"/>
  <c r="K310" i="7"/>
  <c r="L310" i="7"/>
  <c r="M310" i="7"/>
  <c r="N310" i="7"/>
  <c r="P310" i="7"/>
  <c r="Q310" i="7"/>
  <c r="R310" i="7"/>
  <c r="S310" i="7"/>
  <c r="U310" i="7"/>
  <c r="V310" i="7"/>
  <c r="W310" i="7"/>
  <c r="X310" i="7"/>
  <c r="Y310" i="7"/>
  <c r="Z310" i="7"/>
  <c r="AA310" i="7"/>
  <c r="AC310" i="7"/>
  <c r="AE310" i="7"/>
  <c r="AI310" i="7"/>
  <c r="AO310" i="7"/>
  <c r="AP310" i="7"/>
  <c r="E3340" i="8"/>
  <c r="F3340" i="8"/>
  <c r="G3340" i="8"/>
  <c r="H3340" i="8"/>
  <c r="I3340" i="8"/>
  <c r="J3340" i="8"/>
  <c r="K3340" i="8"/>
  <c r="L3340" i="8"/>
  <c r="M3340" i="8"/>
  <c r="N3340" i="8"/>
  <c r="O3340" i="8"/>
  <c r="P3340" i="8"/>
  <c r="Q3340" i="8"/>
  <c r="R3340" i="8"/>
  <c r="S3340" i="8"/>
  <c r="T3340" i="8"/>
  <c r="E3341" i="8"/>
  <c r="F3341" i="8"/>
  <c r="G3341" i="8"/>
  <c r="H3341" i="8"/>
  <c r="I3341" i="8"/>
  <c r="J3341" i="8"/>
  <c r="K3341" i="8"/>
  <c r="L3341" i="8"/>
  <c r="M3341" i="8"/>
  <c r="N3341" i="8"/>
  <c r="O3341" i="8"/>
  <c r="P3341" i="8"/>
  <c r="Q3341" i="8"/>
  <c r="R3341" i="8"/>
  <c r="S3341" i="8"/>
  <c r="T3341" i="8"/>
  <c r="E3342" i="8"/>
  <c r="F3342" i="8"/>
  <c r="G3342" i="8"/>
  <c r="H3342" i="8"/>
  <c r="I3342" i="8"/>
  <c r="J3342" i="8"/>
  <c r="K3342" i="8"/>
  <c r="L3342" i="8"/>
  <c r="M3342" i="8"/>
  <c r="N3342" i="8"/>
  <c r="O3342" i="8"/>
  <c r="P3342" i="8"/>
  <c r="Q3342" i="8"/>
  <c r="R3342" i="8"/>
  <c r="S3342" i="8"/>
  <c r="T3342" i="8"/>
  <c r="E3343" i="8"/>
  <c r="F3343" i="8"/>
  <c r="G3343" i="8"/>
  <c r="H3343" i="8"/>
  <c r="I3343" i="8"/>
  <c r="J3343" i="8"/>
  <c r="K3343" i="8"/>
  <c r="L3343" i="8"/>
  <c r="M3343" i="8"/>
  <c r="N3343" i="8"/>
  <c r="O3343" i="8"/>
  <c r="P3343" i="8"/>
  <c r="Q3343" i="8"/>
  <c r="R3343" i="8"/>
  <c r="S3343" i="8"/>
  <c r="T3343" i="8"/>
  <c r="E3344" i="8"/>
  <c r="F3344" i="8"/>
  <c r="G3344" i="8"/>
  <c r="H3344" i="8"/>
  <c r="I3344" i="8"/>
  <c r="J3344" i="8"/>
  <c r="K3344" i="8"/>
  <c r="L3344" i="8"/>
  <c r="M3344" i="8"/>
  <c r="N3344" i="8"/>
  <c r="O3344" i="8"/>
  <c r="P3344" i="8"/>
  <c r="Q3344" i="8"/>
  <c r="R3344" i="8"/>
  <c r="S3344" i="8"/>
  <c r="T3344" i="8"/>
  <c r="E3345" i="8"/>
  <c r="F3345" i="8"/>
  <c r="G3345" i="8"/>
  <c r="H3345" i="8"/>
  <c r="I3345" i="8"/>
  <c r="J3345" i="8"/>
  <c r="K3345" i="8"/>
  <c r="L3345" i="8"/>
  <c r="M3345" i="8"/>
  <c r="N3345" i="8"/>
  <c r="O3345" i="8"/>
  <c r="P3345" i="8"/>
  <c r="Q3345" i="8"/>
  <c r="R3345" i="8"/>
  <c r="S3345" i="8"/>
  <c r="T3345" i="8"/>
  <c r="E3346" i="8"/>
  <c r="F3346" i="8"/>
  <c r="G3346" i="8"/>
  <c r="H3346" i="8"/>
  <c r="I3346" i="8"/>
  <c r="J3346" i="8"/>
  <c r="K3346" i="8"/>
  <c r="L3346" i="8"/>
  <c r="M3346" i="8"/>
  <c r="N3346" i="8"/>
  <c r="O3346" i="8"/>
  <c r="P3346" i="8"/>
  <c r="Q3346" i="8"/>
  <c r="R3346" i="8"/>
  <c r="S3346" i="8"/>
  <c r="T3346" i="8"/>
  <c r="E3347" i="8"/>
  <c r="F3347" i="8"/>
  <c r="G3347" i="8"/>
  <c r="H3347" i="8"/>
  <c r="I3347" i="8"/>
  <c r="J3347" i="8"/>
  <c r="K3347" i="8"/>
  <c r="L3347" i="8"/>
  <c r="M3347" i="8"/>
  <c r="N3347" i="8"/>
  <c r="O3347" i="8"/>
  <c r="P3347" i="8"/>
  <c r="Q3347" i="8"/>
  <c r="R3347" i="8"/>
  <c r="S3347" i="8"/>
  <c r="T3347" i="8"/>
  <c r="E3348" i="8"/>
  <c r="F3348" i="8"/>
  <c r="G3348" i="8"/>
  <c r="H3348" i="8"/>
  <c r="I3348" i="8"/>
  <c r="J3348" i="8"/>
  <c r="K3348" i="8"/>
  <c r="L3348" i="8"/>
  <c r="M3348" i="8"/>
  <c r="N3348" i="8"/>
  <c r="O3348" i="8"/>
  <c r="P3348" i="8"/>
  <c r="Q3348" i="8"/>
  <c r="R3348" i="8"/>
  <c r="S3348" i="8"/>
  <c r="T3348" i="8"/>
  <c r="E3349" i="8"/>
  <c r="F3349" i="8"/>
  <c r="G3349" i="8"/>
  <c r="H3349" i="8"/>
  <c r="I3349" i="8"/>
  <c r="J3349" i="8"/>
  <c r="K3349" i="8"/>
  <c r="L3349" i="8"/>
  <c r="M3349" i="8"/>
  <c r="N3349" i="8"/>
  <c r="O3349" i="8"/>
  <c r="P3349" i="8"/>
  <c r="Q3349" i="8"/>
  <c r="R3349" i="8"/>
  <c r="S3349" i="8"/>
  <c r="T3349" i="8"/>
  <c r="E3350" i="8"/>
  <c r="F3350" i="8"/>
  <c r="G3350" i="8"/>
  <c r="H3350" i="8"/>
  <c r="I3350" i="8"/>
  <c r="J3350" i="8"/>
  <c r="K3350" i="8"/>
  <c r="L3350" i="8"/>
  <c r="M3350" i="8"/>
  <c r="N3350" i="8"/>
  <c r="O3350" i="8"/>
  <c r="P3350" i="8"/>
  <c r="Q3350" i="8"/>
  <c r="R3350" i="8"/>
  <c r="S3350" i="8"/>
  <c r="T3350" i="8"/>
  <c r="E309" i="7"/>
  <c r="F309" i="7"/>
  <c r="G309" i="7"/>
  <c r="H309" i="7"/>
  <c r="I309" i="7"/>
  <c r="J309" i="7"/>
  <c r="K309" i="7"/>
  <c r="L309" i="7"/>
  <c r="M309" i="7"/>
  <c r="N309" i="7"/>
  <c r="P309" i="7"/>
  <c r="Q309" i="7"/>
  <c r="R309" i="7"/>
  <c r="S309" i="7"/>
  <c r="U309" i="7"/>
  <c r="V309" i="7"/>
  <c r="W309" i="7"/>
  <c r="X309" i="7"/>
  <c r="Y309" i="7"/>
  <c r="Z309" i="7"/>
  <c r="AA309" i="7"/>
  <c r="AC309" i="7"/>
  <c r="AE309" i="7"/>
  <c r="AI309" i="7"/>
  <c r="AO309" i="7"/>
  <c r="AP309" i="7"/>
  <c r="E3329" i="8"/>
  <c r="F3329" i="8"/>
  <c r="G3329" i="8"/>
  <c r="H3329" i="8"/>
  <c r="I3329" i="8"/>
  <c r="J3329" i="8"/>
  <c r="K3329" i="8"/>
  <c r="L3329" i="8"/>
  <c r="M3329" i="8"/>
  <c r="N3329" i="8"/>
  <c r="O3329" i="8"/>
  <c r="P3329" i="8"/>
  <c r="Q3329" i="8"/>
  <c r="R3329" i="8"/>
  <c r="S3329" i="8"/>
  <c r="T3329" i="8"/>
  <c r="E3330" i="8"/>
  <c r="F3330" i="8"/>
  <c r="G3330" i="8"/>
  <c r="H3330" i="8"/>
  <c r="I3330" i="8"/>
  <c r="J3330" i="8"/>
  <c r="K3330" i="8"/>
  <c r="L3330" i="8"/>
  <c r="M3330" i="8"/>
  <c r="N3330" i="8"/>
  <c r="O3330" i="8"/>
  <c r="P3330" i="8"/>
  <c r="Q3330" i="8"/>
  <c r="R3330" i="8"/>
  <c r="S3330" i="8"/>
  <c r="T3330" i="8"/>
  <c r="E3331" i="8"/>
  <c r="F3331" i="8"/>
  <c r="G3331" i="8"/>
  <c r="H3331" i="8"/>
  <c r="I3331" i="8"/>
  <c r="J3331" i="8"/>
  <c r="K3331" i="8"/>
  <c r="L3331" i="8"/>
  <c r="M3331" i="8"/>
  <c r="N3331" i="8"/>
  <c r="O3331" i="8"/>
  <c r="P3331" i="8"/>
  <c r="Q3331" i="8"/>
  <c r="R3331" i="8"/>
  <c r="S3331" i="8"/>
  <c r="T3331" i="8"/>
  <c r="E3332" i="8"/>
  <c r="F3332" i="8"/>
  <c r="G3332" i="8"/>
  <c r="H3332" i="8"/>
  <c r="I3332" i="8"/>
  <c r="J3332" i="8"/>
  <c r="K3332" i="8"/>
  <c r="L3332" i="8"/>
  <c r="M3332" i="8"/>
  <c r="N3332" i="8"/>
  <c r="O3332" i="8"/>
  <c r="P3332" i="8"/>
  <c r="Q3332" i="8"/>
  <c r="R3332" i="8"/>
  <c r="S3332" i="8"/>
  <c r="T3332" i="8"/>
  <c r="E3333" i="8"/>
  <c r="F3333" i="8"/>
  <c r="G3333" i="8"/>
  <c r="H3333" i="8"/>
  <c r="I3333" i="8"/>
  <c r="J3333" i="8"/>
  <c r="K3333" i="8"/>
  <c r="L3333" i="8"/>
  <c r="M3333" i="8"/>
  <c r="N3333" i="8"/>
  <c r="O3333" i="8"/>
  <c r="P3333" i="8"/>
  <c r="Q3333" i="8"/>
  <c r="R3333" i="8"/>
  <c r="S3333" i="8"/>
  <c r="T3333" i="8"/>
  <c r="E3334" i="8"/>
  <c r="F3334" i="8"/>
  <c r="G3334" i="8"/>
  <c r="H3334" i="8"/>
  <c r="I3334" i="8"/>
  <c r="J3334" i="8"/>
  <c r="K3334" i="8"/>
  <c r="L3334" i="8"/>
  <c r="M3334" i="8"/>
  <c r="N3334" i="8"/>
  <c r="O3334" i="8"/>
  <c r="P3334" i="8"/>
  <c r="Q3334" i="8"/>
  <c r="R3334" i="8"/>
  <c r="S3334" i="8"/>
  <c r="T3334" i="8"/>
  <c r="E3335" i="8"/>
  <c r="F3335" i="8"/>
  <c r="G3335" i="8"/>
  <c r="H3335" i="8"/>
  <c r="I3335" i="8"/>
  <c r="J3335" i="8"/>
  <c r="K3335" i="8"/>
  <c r="L3335" i="8"/>
  <c r="M3335" i="8"/>
  <c r="N3335" i="8"/>
  <c r="O3335" i="8"/>
  <c r="P3335" i="8"/>
  <c r="Q3335" i="8"/>
  <c r="R3335" i="8"/>
  <c r="S3335" i="8"/>
  <c r="T3335" i="8"/>
  <c r="E3336" i="8"/>
  <c r="F3336" i="8"/>
  <c r="G3336" i="8"/>
  <c r="H3336" i="8"/>
  <c r="I3336" i="8"/>
  <c r="J3336" i="8"/>
  <c r="K3336" i="8"/>
  <c r="L3336" i="8"/>
  <c r="M3336" i="8"/>
  <c r="N3336" i="8"/>
  <c r="O3336" i="8"/>
  <c r="P3336" i="8"/>
  <c r="Q3336" i="8"/>
  <c r="R3336" i="8"/>
  <c r="S3336" i="8"/>
  <c r="T3336" i="8"/>
  <c r="E3337" i="8"/>
  <c r="F3337" i="8"/>
  <c r="G3337" i="8"/>
  <c r="H3337" i="8"/>
  <c r="I3337" i="8"/>
  <c r="J3337" i="8"/>
  <c r="K3337" i="8"/>
  <c r="L3337" i="8"/>
  <c r="M3337" i="8"/>
  <c r="N3337" i="8"/>
  <c r="O3337" i="8"/>
  <c r="P3337" i="8"/>
  <c r="Q3337" i="8"/>
  <c r="R3337" i="8"/>
  <c r="S3337" i="8"/>
  <c r="T3337" i="8"/>
  <c r="E3338" i="8"/>
  <c r="F3338" i="8"/>
  <c r="G3338" i="8"/>
  <c r="H3338" i="8"/>
  <c r="I3338" i="8"/>
  <c r="J3338" i="8"/>
  <c r="K3338" i="8"/>
  <c r="L3338" i="8"/>
  <c r="M3338" i="8"/>
  <c r="N3338" i="8"/>
  <c r="O3338" i="8"/>
  <c r="P3338" i="8"/>
  <c r="Q3338" i="8"/>
  <c r="R3338" i="8"/>
  <c r="S3338" i="8"/>
  <c r="T3338" i="8"/>
  <c r="E3339" i="8"/>
  <c r="F3339" i="8"/>
  <c r="G3339" i="8"/>
  <c r="H3339" i="8"/>
  <c r="I3339" i="8"/>
  <c r="J3339" i="8"/>
  <c r="K3339" i="8"/>
  <c r="L3339" i="8"/>
  <c r="M3339" i="8"/>
  <c r="N3339" i="8"/>
  <c r="O3339" i="8"/>
  <c r="P3339" i="8"/>
  <c r="Q3339" i="8"/>
  <c r="R3339" i="8"/>
  <c r="S3339" i="8"/>
  <c r="T3339" i="8"/>
  <c r="E308" i="7"/>
  <c r="F308" i="7"/>
  <c r="G308" i="7"/>
  <c r="H308" i="7"/>
  <c r="I308" i="7"/>
  <c r="J308" i="7"/>
  <c r="K308" i="7"/>
  <c r="L308" i="7"/>
  <c r="M308" i="7"/>
  <c r="N308" i="7"/>
  <c r="P308" i="7"/>
  <c r="Q308" i="7"/>
  <c r="R308" i="7"/>
  <c r="S308" i="7"/>
  <c r="U308" i="7"/>
  <c r="V308" i="7"/>
  <c r="W308" i="7"/>
  <c r="X308" i="7"/>
  <c r="Y308" i="7"/>
  <c r="Z308" i="7"/>
  <c r="AA308" i="7"/>
  <c r="AC308" i="7"/>
  <c r="AE308" i="7"/>
  <c r="AI308" i="7"/>
  <c r="AO308" i="7"/>
  <c r="AP308" i="7"/>
  <c r="E3318" i="8"/>
  <c r="F3318" i="8"/>
  <c r="G3318" i="8"/>
  <c r="H3318" i="8"/>
  <c r="I3318" i="8"/>
  <c r="J3318" i="8"/>
  <c r="K3318" i="8"/>
  <c r="L3318" i="8"/>
  <c r="M3318" i="8"/>
  <c r="N3318" i="8"/>
  <c r="O3318" i="8"/>
  <c r="P3318" i="8"/>
  <c r="Q3318" i="8"/>
  <c r="R3318" i="8"/>
  <c r="S3318" i="8"/>
  <c r="T3318" i="8"/>
  <c r="E3319" i="8"/>
  <c r="F3319" i="8"/>
  <c r="G3319" i="8"/>
  <c r="H3319" i="8"/>
  <c r="I3319" i="8"/>
  <c r="J3319" i="8"/>
  <c r="K3319" i="8"/>
  <c r="L3319" i="8"/>
  <c r="M3319" i="8"/>
  <c r="N3319" i="8"/>
  <c r="O3319" i="8"/>
  <c r="P3319" i="8"/>
  <c r="Q3319" i="8"/>
  <c r="R3319" i="8"/>
  <c r="S3319" i="8"/>
  <c r="T3319" i="8"/>
  <c r="E3320" i="8"/>
  <c r="F3320" i="8"/>
  <c r="G3320" i="8"/>
  <c r="H3320" i="8"/>
  <c r="I3320" i="8"/>
  <c r="J3320" i="8"/>
  <c r="K3320" i="8"/>
  <c r="L3320" i="8"/>
  <c r="M3320" i="8"/>
  <c r="N3320" i="8"/>
  <c r="O3320" i="8"/>
  <c r="P3320" i="8"/>
  <c r="Q3320" i="8"/>
  <c r="R3320" i="8"/>
  <c r="S3320" i="8"/>
  <c r="T3320" i="8"/>
  <c r="E3321" i="8"/>
  <c r="F3321" i="8"/>
  <c r="G3321" i="8"/>
  <c r="H3321" i="8"/>
  <c r="I3321" i="8"/>
  <c r="J3321" i="8"/>
  <c r="K3321" i="8"/>
  <c r="L3321" i="8"/>
  <c r="M3321" i="8"/>
  <c r="N3321" i="8"/>
  <c r="O3321" i="8"/>
  <c r="P3321" i="8"/>
  <c r="Q3321" i="8"/>
  <c r="R3321" i="8"/>
  <c r="S3321" i="8"/>
  <c r="T3321" i="8"/>
  <c r="E3322" i="8"/>
  <c r="F3322" i="8"/>
  <c r="G3322" i="8"/>
  <c r="H3322" i="8"/>
  <c r="I3322" i="8"/>
  <c r="J3322" i="8"/>
  <c r="K3322" i="8"/>
  <c r="L3322" i="8"/>
  <c r="M3322" i="8"/>
  <c r="N3322" i="8"/>
  <c r="O3322" i="8"/>
  <c r="P3322" i="8"/>
  <c r="Q3322" i="8"/>
  <c r="R3322" i="8"/>
  <c r="S3322" i="8"/>
  <c r="T3322" i="8"/>
  <c r="E3323" i="8"/>
  <c r="F3323" i="8"/>
  <c r="G3323" i="8"/>
  <c r="H3323" i="8"/>
  <c r="I3323" i="8"/>
  <c r="J3323" i="8"/>
  <c r="K3323" i="8"/>
  <c r="L3323" i="8"/>
  <c r="M3323" i="8"/>
  <c r="N3323" i="8"/>
  <c r="O3323" i="8"/>
  <c r="P3323" i="8"/>
  <c r="Q3323" i="8"/>
  <c r="R3323" i="8"/>
  <c r="S3323" i="8"/>
  <c r="T3323" i="8"/>
  <c r="E3324" i="8"/>
  <c r="F3324" i="8"/>
  <c r="G3324" i="8"/>
  <c r="H3324" i="8"/>
  <c r="I3324" i="8"/>
  <c r="J3324" i="8"/>
  <c r="K3324" i="8"/>
  <c r="L3324" i="8"/>
  <c r="M3324" i="8"/>
  <c r="N3324" i="8"/>
  <c r="O3324" i="8"/>
  <c r="P3324" i="8"/>
  <c r="Q3324" i="8"/>
  <c r="R3324" i="8"/>
  <c r="S3324" i="8"/>
  <c r="T3324" i="8"/>
  <c r="E3325" i="8"/>
  <c r="F3325" i="8"/>
  <c r="G3325" i="8"/>
  <c r="H3325" i="8"/>
  <c r="I3325" i="8"/>
  <c r="J3325" i="8"/>
  <c r="K3325" i="8"/>
  <c r="L3325" i="8"/>
  <c r="M3325" i="8"/>
  <c r="N3325" i="8"/>
  <c r="O3325" i="8"/>
  <c r="P3325" i="8"/>
  <c r="Q3325" i="8"/>
  <c r="R3325" i="8"/>
  <c r="S3325" i="8"/>
  <c r="T3325" i="8"/>
  <c r="E3326" i="8"/>
  <c r="F3326" i="8"/>
  <c r="G3326" i="8"/>
  <c r="H3326" i="8"/>
  <c r="I3326" i="8"/>
  <c r="J3326" i="8"/>
  <c r="K3326" i="8"/>
  <c r="L3326" i="8"/>
  <c r="M3326" i="8"/>
  <c r="N3326" i="8"/>
  <c r="O3326" i="8"/>
  <c r="P3326" i="8"/>
  <c r="Q3326" i="8"/>
  <c r="R3326" i="8"/>
  <c r="S3326" i="8"/>
  <c r="T3326" i="8"/>
  <c r="E3327" i="8"/>
  <c r="F3327" i="8"/>
  <c r="G3327" i="8"/>
  <c r="H3327" i="8"/>
  <c r="I3327" i="8"/>
  <c r="J3327" i="8"/>
  <c r="K3327" i="8"/>
  <c r="L3327" i="8"/>
  <c r="M3327" i="8"/>
  <c r="N3327" i="8"/>
  <c r="O3327" i="8"/>
  <c r="P3327" i="8"/>
  <c r="Q3327" i="8"/>
  <c r="R3327" i="8"/>
  <c r="S3327" i="8"/>
  <c r="T3327" i="8"/>
  <c r="E3328" i="8"/>
  <c r="F3328" i="8"/>
  <c r="G3328" i="8"/>
  <c r="H3328" i="8"/>
  <c r="I3328" i="8"/>
  <c r="J3328" i="8"/>
  <c r="K3328" i="8"/>
  <c r="L3328" i="8"/>
  <c r="M3328" i="8"/>
  <c r="N3328" i="8"/>
  <c r="O3328" i="8"/>
  <c r="P3328" i="8"/>
  <c r="Q3328" i="8"/>
  <c r="R3328" i="8"/>
  <c r="S3328" i="8"/>
  <c r="T3328" i="8"/>
  <c r="E307" i="7"/>
  <c r="F307" i="7"/>
  <c r="G307" i="7"/>
  <c r="H307" i="7"/>
  <c r="I307" i="7"/>
  <c r="J307" i="7"/>
  <c r="K307" i="7"/>
  <c r="L307" i="7"/>
  <c r="M307" i="7"/>
  <c r="N307" i="7"/>
  <c r="P307" i="7"/>
  <c r="Q307" i="7"/>
  <c r="R307" i="7"/>
  <c r="S307" i="7"/>
  <c r="U307" i="7"/>
  <c r="V307" i="7"/>
  <c r="W307" i="7"/>
  <c r="X307" i="7"/>
  <c r="Y307" i="7"/>
  <c r="Z307" i="7"/>
  <c r="AA307" i="7"/>
  <c r="AC307" i="7"/>
  <c r="AE307" i="7"/>
  <c r="AI307" i="7"/>
  <c r="AO307" i="7"/>
  <c r="AP307" i="7"/>
  <c r="E3307" i="8"/>
  <c r="F3307" i="8"/>
  <c r="G3307" i="8"/>
  <c r="H3307" i="8"/>
  <c r="I3307" i="8"/>
  <c r="J3307" i="8"/>
  <c r="K3307" i="8"/>
  <c r="L3307" i="8"/>
  <c r="M3307" i="8"/>
  <c r="N3307" i="8"/>
  <c r="O3307" i="8"/>
  <c r="P3307" i="8"/>
  <c r="Q3307" i="8"/>
  <c r="R3307" i="8"/>
  <c r="S3307" i="8"/>
  <c r="T3307" i="8"/>
  <c r="E3308" i="8"/>
  <c r="F3308" i="8"/>
  <c r="G3308" i="8"/>
  <c r="H3308" i="8"/>
  <c r="I3308" i="8"/>
  <c r="J3308" i="8"/>
  <c r="K3308" i="8"/>
  <c r="L3308" i="8"/>
  <c r="M3308" i="8"/>
  <c r="N3308" i="8"/>
  <c r="O3308" i="8"/>
  <c r="P3308" i="8"/>
  <c r="Q3308" i="8"/>
  <c r="R3308" i="8"/>
  <c r="S3308" i="8"/>
  <c r="T3308" i="8"/>
  <c r="E3309" i="8"/>
  <c r="F3309" i="8"/>
  <c r="G3309" i="8"/>
  <c r="H3309" i="8"/>
  <c r="I3309" i="8"/>
  <c r="J3309" i="8"/>
  <c r="K3309" i="8"/>
  <c r="L3309" i="8"/>
  <c r="M3309" i="8"/>
  <c r="N3309" i="8"/>
  <c r="O3309" i="8"/>
  <c r="P3309" i="8"/>
  <c r="Q3309" i="8"/>
  <c r="R3309" i="8"/>
  <c r="S3309" i="8"/>
  <c r="T3309" i="8"/>
  <c r="E3310" i="8"/>
  <c r="F3310" i="8"/>
  <c r="G3310" i="8"/>
  <c r="H3310" i="8"/>
  <c r="I3310" i="8"/>
  <c r="J3310" i="8"/>
  <c r="K3310" i="8"/>
  <c r="L3310" i="8"/>
  <c r="M3310" i="8"/>
  <c r="N3310" i="8"/>
  <c r="O3310" i="8"/>
  <c r="P3310" i="8"/>
  <c r="Q3310" i="8"/>
  <c r="R3310" i="8"/>
  <c r="S3310" i="8"/>
  <c r="T3310" i="8"/>
  <c r="E3311" i="8"/>
  <c r="F3311" i="8"/>
  <c r="G3311" i="8"/>
  <c r="H3311" i="8"/>
  <c r="I3311" i="8"/>
  <c r="J3311" i="8"/>
  <c r="K3311" i="8"/>
  <c r="L3311" i="8"/>
  <c r="M3311" i="8"/>
  <c r="N3311" i="8"/>
  <c r="O3311" i="8"/>
  <c r="P3311" i="8"/>
  <c r="Q3311" i="8"/>
  <c r="R3311" i="8"/>
  <c r="S3311" i="8"/>
  <c r="T3311" i="8"/>
  <c r="E3312" i="8"/>
  <c r="F3312" i="8"/>
  <c r="G3312" i="8"/>
  <c r="H3312" i="8"/>
  <c r="I3312" i="8"/>
  <c r="J3312" i="8"/>
  <c r="K3312" i="8"/>
  <c r="L3312" i="8"/>
  <c r="M3312" i="8"/>
  <c r="N3312" i="8"/>
  <c r="O3312" i="8"/>
  <c r="P3312" i="8"/>
  <c r="Q3312" i="8"/>
  <c r="R3312" i="8"/>
  <c r="S3312" i="8"/>
  <c r="T3312" i="8"/>
  <c r="E3313" i="8"/>
  <c r="F3313" i="8"/>
  <c r="G3313" i="8"/>
  <c r="H3313" i="8"/>
  <c r="I3313" i="8"/>
  <c r="J3313" i="8"/>
  <c r="K3313" i="8"/>
  <c r="L3313" i="8"/>
  <c r="M3313" i="8"/>
  <c r="N3313" i="8"/>
  <c r="O3313" i="8"/>
  <c r="P3313" i="8"/>
  <c r="Q3313" i="8"/>
  <c r="R3313" i="8"/>
  <c r="S3313" i="8"/>
  <c r="T3313" i="8"/>
  <c r="E3314" i="8"/>
  <c r="F3314" i="8"/>
  <c r="G3314" i="8"/>
  <c r="H3314" i="8"/>
  <c r="I3314" i="8"/>
  <c r="J3314" i="8"/>
  <c r="K3314" i="8"/>
  <c r="L3314" i="8"/>
  <c r="M3314" i="8"/>
  <c r="N3314" i="8"/>
  <c r="O3314" i="8"/>
  <c r="P3314" i="8"/>
  <c r="Q3314" i="8"/>
  <c r="R3314" i="8"/>
  <c r="S3314" i="8"/>
  <c r="T3314" i="8"/>
  <c r="E3315" i="8"/>
  <c r="F3315" i="8"/>
  <c r="G3315" i="8"/>
  <c r="H3315" i="8"/>
  <c r="I3315" i="8"/>
  <c r="J3315" i="8"/>
  <c r="K3315" i="8"/>
  <c r="L3315" i="8"/>
  <c r="M3315" i="8"/>
  <c r="N3315" i="8"/>
  <c r="O3315" i="8"/>
  <c r="P3315" i="8"/>
  <c r="Q3315" i="8"/>
  <c r="R3315" i="8"/>
  <c r="S3315" i="8"/>
  <c r="T3315" i="8"/>
  <c r="E3316" i="8"/>
  <c r="F3316" i="8"/>
  <c r="G3316" i="8"/>
  <c r="H3316" i="8"/>
  <c r="I3316" i="8"/>
  <c r="J3316" i="8"/>
  <c r="K3316" i="8"/>
  <c r="L3316" i="8"/>
  <c r="M3316" i="8"/>
  <c r="N3316" i="8"/>
  <c r="O3316" i="8"/>
  <c r="P3316" i="8"/>
  <c r="Q3316" i="8"/>
  <c r="R3316" i="8"/>
  <c r="S3316" i="8"/>
  <c r="T3316" i="8"/>
  <c r="E3317" i="8"/>
  <c r="F3317" i="8"/>
  <c r="G3317" i="8"/>
  <c r="H3317" i="8"/>
  <c r="I3317" i="8"/>
  <c r="J3317" i="8"/>
  <c r="K3317" i="8"/>
  <c r="L3317" i="8"/>
  <c r="M3317" i="8"/>
  <c r="N3317" i="8"/>
  <c r="O3317" i="8"/>
  <c r="P3317" i="8"/>
  <c r="Q3317" i="8"/>
  <c r="R3317" i="8"/>
  <c r="S3317" i="8"/>
  <c r="T3317" i="8"/>
  <c r="E306" i="7"/>
  <c r="F306" i="7"/>
  <c r="G306" i="7"/>
  <c r="H306" i="7"/>
  <c r="I306" i="7"/>
  <c r="J306" i="7"/>
  <c r="K306" i="7"/>
  <c r="L306" i="7"/>
  <c r="M306" i="7"/>
  <c r="N306" i="7"/>
  <c r="P306" i="7"/>
  <c r="Q306" i="7"/>
  <c r="R306" i="7"/>
  <c r="S306" i="7"/>
  <c r="U306" i="7"/>
  <c r="V306" i="7"/>
  <c r="W306" i="7"/>
  <c r="X306" i="7"/>
  <c r="Y306" i="7"/>
  <c r="Z306" i="7"/>
  <c r="AA306" i="7"/>
  <c r="AC306" i="7"/>
  <c r="AE306" i="7"/>
  <c r="AI306" i="7"/>
  <c r="AO306" i="7"/>
  <c r="AP306" i="7"/>
  <c r="E3296" i="8"/>
  <c r="F3296" i="8"/>
  <c r="G3296" i="8"/>
  <c r="H3296" i="8"/>
  <c r="I3296" i="8"/>
  <c r="J3296" i="8"/>
  <c r="K3296" i="8"/>
  <c r="L3296" i="8"/>
  <c r="M3296" i="8"/>
  <c r="N3296" i="8"/>
  <c r="O3296" i="8"/>
  <c r="P3296" i="8"/>
  <c r="Q3296" i="8"/>
  <c r="R3296" i="8"/>
  <c r="S3296" i="8"/>
  <c r="T3296" i="8"/>
  <c r="E3297" i="8"/>
  <c r="F3297" i="8"/>
  <c r="G3297" i="8"/>
  <c r="H3297" i="8"/>
  <c r="I3297" i="8"/>
  <c r="J3297" i="8"/>
  <c r="K3297" i="8"/>
  <c r="L3297" i="8"/>
  <c r="M3297" i="8"/>
  <c r="N3297" i="8"/>
  <c r="O3297" i="8"/>
  <c r="P3297" i="8"/>
  <c r="Q3297" i="8"/>
  <c r="R3297" i="8"/>
  <c r="S3297" i="8"/>
  <c r="T3297" i="8"/>
  <c r="E3298" i="8"/>
  <c r="F3298" i="8"/>
  <c r="G3298" i="8"/>
  <c r="H3298" i="8"/>
  <c r="I3298" i="8"/>
  <c r="J3298" i="8"/>
  <c r="K3298" i="8"/>
  <c r="L3298" i="8"/>
  <c r="M3298" i="8"/>
  <c r="N3298" i="8"/>
  <c r="O3298" i="8"/>
  <c r="P3298" i="8"/>
  <c r="Q3298" i="8"/>
  <c r="R3298" i="8"/>
  <c r="S3298" i="8"/>
  <c r="T3298" i="8"/>
  <c r="E3299" i="8"/>
  <c r="F3299" i="8"/>
  <c r="G3299" i="8"/>
  <c r="H3299" i="8"/>
  <c r="I3299" i="8"/>
  <c r="J3299" i="8"/>
  <c r="K3299" i="8"/>
  <c r="L3299" i="8"/>
  <c r="M3299" i="8"/>
  <c r="N3299" i="8"/>
  <c r="O3299" i="8"/>
  <c r="P3299" i="8"/>
  <c r="Q3299" i="8"/>
  <c r="R3299" i="8"/>
  <c r="S3299" i="8"/>
  <c r="T3299" i="8"/>
  <c r="E3300" i="8"/>
  <c r="F3300" i="8"/>
  <c r="G3300" i="8"/>
  <c r="H3300" i="8"/>
  <c r="I3300" i="8"/>
  <c r="J3300" i="8"/>
  <c r="K3300" i="8"/>
  <c r="L3300" i="8"/>
  <c r="M3300" i="8"/>
  <c r="N3300" i="8"/>
  <c r="O3300" i="8"/>
  <c r="P3300" i="8"/>
  <c r="Q3300" i="8"/>
  <c r="R3300" i="8"/>
  <c r="S3300" i="8"/>
  <c r="T3300" i="8"/>
  <c r="E3301" i="8"/>
  <c r="F3301" i="8"/>
  <c r="G3301" i="8"/>
  <c r="H3301" i="8"/>
  <c r="I3301" i="8"/>
  <c r="J3301" i="8"/>
  <c r="K3301" i="8"/>
  <c r="L3301" i="8"/>
  <c r="M3301" i="8"/>
  <c r="N3301" i="8"/>
  <c r="O3301" i="8"/>
  <c r="P3301" i="8"/>
  <c r="Q3301" i="8"/>
  <c r="R3301" i="8"/>
  <c r="S3301" i="8"/>
  <c r="T3301" i="8"/>
  <c r="E3302" i="8"/>
  <c r="F3302" i="8"/>
  <c r="G3302" i="8"/>
  <c r="H3302" i="8"/>
  <c r="I3302" i="8"/>
  <c r="J3302" i="8"/>
  <c r="K3302" i="8"/>
  <c r="L3302" i="8"/>
  <c r="M3302" i="8"/>
  <c r="N3302" i="8"/>
  <c r="O3302" i="8"/>
  <c r="P3302" i="8"/>
  <c r="Q3302" i="8"/>
  <c r="R3302" i="8"/>
  <c r="S3302" i="8"/>
  <c r="T3302" i="8"/>
  <c r="E3303" i="8"/>
  <c r="F3303" i="8"/>
  <c r="G3303" i="8"/>
  <c r="H3303" i="8"/>
  <c r="I3303" i="8"/>
  <c r="J3303" i="8"/>
  <c r="K3303" i="8"/>
  <c r="L3303" i="8"/>
  <c r="M3303" i="8"/>
  <c r="N3303" i="8"/>
  <c r="O3303" i="8"/>
  <c r="P3303" i="8"/>
  <c r="Q3303" i="8"/>
  <c r="R3303" i="8"/>
  <c r="S3303" i="8"/>
  <c r="T3303" i="8"/>
  <c r="E3304" i="8"/>
  <c r="F3304" i="8"/>
  <c r="G3304" i="8"/>
  <c r="H3304" i="8"/>
  <c r="I3304" i="8"/>
  <c r="J3304" i="8"/>
  <c r="K3304" i="8"/>
  <c r="L3304" i="8"/>
  <c r="M3304" i="8"/>
  <c r="N3304" i="8"/>
  <c r="O3304" i="8"/>
  <c r="P3304" i="8"/>
  <c r="Q3304" i="8"/>
  <c r="R3304" i="8"/>
  <c r="S3304" i="8"/>
  <c r="T3304" i="8"/>
  <c r="E3305" i="8"/>
  <c r="F3305" i="8"/>
  <c r="G3305" i="8"/>
  <c r="H3305" i="8"/>
  <c r="I3305" i="8"/>
  <c r="J3305" i="8"/>
  <c r="K3305" i="8"/>
  <c r="L3305" i="8"/>
  <c r="M3305" i="8"/>
  <c r="N3305" i="8"/>
  <c r="O3305" i="8"/>
  <c r="P3305" i="8"/>
  <c r="Q3305" i="8"/>
  <c r="R3305" i="8"/>
  <c r="S3305" i="8"/>
  <c r="T3305" i="8"/>
  <c r="E3306" i="8"/>
  <c r="F3306" i="8"/>
  <c r="G3306" i="8"/>
  <c r="H3306" i="8"/>
  <c r="I3306" i="8"/>
  <c r="J3306" i="8"/>
  <c r="K3306" i="8"/>
  <c r="L3306" i="8"/>
  <c r="M3306" i="8"/>
  <c r="N3306" i="8"/>
  <c r="O3306" i="8"/>
  <c r="P3306" i="8"/>
  <c r="Q3306" i="8"/>
  <c r="R3306" i="8"/>
  <c r="S3306" i="8"/>
  <c r="T3306" i="8"/>
  <c r="E305" i="7"/>
  <c r="F305" i="7"/>
  <c r="G305" i="7"/>
  <c r="H305" i="7"/>
  <c r="I305" i="7"/>
  <c r="J305" i="7"/>
  <c r="K305" i="7"/>
  <c r="L305" i="7"/>
  <c r="M305" i="7"/>
  <c r="N305" i="7"/>
  <c r="P305" i="7"/>
  <c r="Q305" i="7"/>
  <c r="R305" i="7"/>
  <c r="S305" i="7"/>
  <c r="U305" i="7"/>
  <c r="V305" i="7"/>
  <c r="W305" i="7"/>
  <c r="X305" i="7"/>
  <c r="Y305" i="7"/>
  <c r="Z305" i="7"/>
  <c r="AA305" i="7"/>
  <c r="AC305" i="7"/>
  <c r="AE305" i="7"/>
  <c r="AI305" i="7"/>
  <c r="AO305" i="7"/>
  <c r="AP305" i="7"/>
  <c r="E3285" i="8"/>
  <c r="F3285" i="8"/>
  <c r="G3285" i="8"/>
  <c r="H3285" i="8"/>
  <c r="I3285" i="8"/>
  <c r="J3285" i="8"/>
  <c r="K3285" i="8"/>
  <c r="L3285" i="8"/>
  <c r="M3285" i="8"/>
  <c r="N3285" i="8"/>
  <c r="O3285" i="8"/>
  <c r="P3285" i="8"/>
  <c r="Q3285" i="8"/>
  <c r="R3285" i="8"/>
  <c r="S3285" i="8"/>
  <c r="T3285" i="8"/>
  <c r="E3286" i="8"/>
  <c r="F3286" i="8"/>
  <c r="G3286" i="8"/>
  <c r="H3286" i="8"/>
  <c r="I3286" i="8"/>
  <c r="J3286" i="8"/>
  <c r="K3286" i="8"/>
  <c r="L3286" i="8"/>
  <c r="M3286" i="8"/>
  <c r="N3286" i="8"/>
  <c r="O3286" i="8"/>
  <c r="P3286" i="8"/>
  <c r="Q3286" i="8"/>
  <c r="R3286" i="8"/>
  <c r="S3286" i="8"/>
  <c r="T3286" i="8"/>
  <c r="E3287" i="8"/>
  <c r="F3287" i="8"/>
  <c r="G3287" i="8"/>
  <c r="H3287" i="8"/>
  <c r="I3287" i="8"/>
  <c r="J3287" i="8"/>
  <c r="K3287" i="8"/>
  <c r="L3287" i="8"/>
  <c r="M3287" i="8"/>
  <c r="N3287" i="8"/>
  <c r="O3287" i="8"/>
  <c r="P3287" i="8"/>
  <c r="Q3287" i="8"/>
  <c r="R3287" i="8"/>
  <c r="S3287" i="8"/>
  <c r="T3287" i="8"/>
  <c r="E3288" i="8"/>
  <c r="F3288" i="8"/>
  <c r="G3288" i="8"/>
  <c r="H3288" i="8"/>
  <c r="I3288" i="8"/>
  <c r="J3288" i="8"/>
  <c r="K3288" i="8"/>
  <c r="L3288" i="8"/>
  <c r="M3288" i="8"/>
  <c r="N3288" i="8"/>
  <c r="O3288" i="8"/>
  <c r="P3288" i="8"/>
  <c r="Q3288" i="8"/>
  <c r="R3288" i="8"/>
  <c r="S3288" i="8"/>
  <c r="T3288" i="8"/>
  <c r="E3289" i="8"/>
  <c r="F3289" i="8"/>
  <c r="G3289" i="8"/>
  <c r="H3289" i="8"/>
  <c r="I3289" i="8"/>
  <c r="J3289" i="8"/>
  <c r="K3289" i="8"/>
  <c r="L3289" i="8"/>
  <c r="M3289" i="8"/>
  <c r="N3289" i="8"/>
  <c r="O3289" i="8"/>
  <c r="P3289" i="8"/>
  <c r="Q3289" i="8"/>
  <c r="R3289" i="8"/>
  <c r="S3289" i="8"/>
  <c r="T3289" i="8"/>
  <c r="E3290" i="8"/>
  <c r="F3290" i="8"/>
  <c r="G3290" i="8"/>
  <c r="H3290" i="8"/>
  <c r="I3290" i="8"/>
  <c r="J3290" i="8"/>
  <c r="K3290" i="8"/>
  <c r="L3290" i="8"/>
  <c r="M3290" i="8"/>
  <c r="N3290" i="8"/>
  <c r="O3290" i="8"/>
  <c r="P3290" i="8"/>
  <c r="Q3290" i="8"/>
  <c r="R3290" i="8"/>
  <c r="S3290" i="8"/>
  <c r="T3290" i="8"/>
  <c r="E3291" i="8"/>
  <c r="F3291" i="8"/>
  <c r="G3291" i="8"/>
  <c r="H3291" i="8"/>
  <c r="I3291" i="8"/>
  <c r="J3291" i="8"/>
  <c r="K3291" i="8"/>
  <c r="L3291" i="8"/>
  <c r="M3291" i="8"/>
  <c r="N3291" i="8"/>
  <c r="O3291" i="8"/>
  <c r="P3291" i="8"/>
  <c r="Q3291" i="8"/>
  <c r="R3291" i="8"/>
  <c r="S3291" i="8"/>
  <c r="T3291" i="8"/>
  <c r="E3292" i="8"/>
  <c r="F3292" i="8"/>
  <c r="G3292" i="8"/>
  <c r="H3292" i="8"/>
  <c r="I3292" i="8"/>
  <c r="J3292" i="8"/>
  <c r="K3292" i="8"/>
  <c r="L3292" i="8"/>
  <c r="M3292" i="8"/>
  <c r="N3292" i="8"/>
  <c r="O3292" i="8"/>
  <c r="P3292" i="8"/>
  <c r="Q3292" i="8"/>
  <c r="R3292" i="8"/>
  <c r="S3292" i="8"/>
  <c r="T3292" i="8"/>
  <c r="E3293" i="8"/>
  <c r="F3293" i="8"/>
  <c r="G3293" i="8"/>
  <c r="H3293" i="8"/>
  <c r="I3293" i="8"/>
  <c r="J3293" i="8"/>
  <c r="K3293" i="8"/>
  <c r="L3293" i="8"/>
  <c r="M3293" i="8"/>
  <c r="N3293" i="8"/>
  <c r="O3293" i="8"/>
  <c r="P3293" i="8"/>
  <c r="Q3293" i="8"/>
  <c r="R3293" i="8"/>
  <c r="S3293" i="8"/>
  <c r="T3293" i="8"/>
  <c r="E3294" i="8"/>
  <c r="F3294" i="8"/>
  <c r="G3294" i="8"/>
  <c r="H3294" i="8"/>
  <c r="I3294" i="8"/>
  <c r="J3294" i="8"/>
  <c r="K3294" i="8"/>
  <c r="L3294" i="8"/>
  <c r="M3294" i="8"/>
  <c r="N3294" i="8"/>
  <c r="O3294" i="8"/>
  <c r="P3294" i="8"/>
  <c r="Q3294" i="8"/>
  <c r="R3294" i="8"/>
  <c r="S3294" i="8"/>
  <c r="T3294" i="8"/>
  <c r="E3295" i="8"/>
  <c r="F3295" i="8"/>
  <c r="G3295" i="8"/>
  <c r="H3295" i="8"/>
  <c r="I3295" i="8"/>
  <c r="J3295" i="8"/>
  <c r="K3295" i="8"/>
  <c r="L3295" i="8"/>
  <c r="M3295" i="8"/>
  <c r="N3295" i="8"/>
  <c r="O3295" i="8"/>
  <c r="P3295" i="8"/>
  <c r="Q3295" i="8"/>
  <c r="R3295" i="8"/>
  <c r="S3295" i="8"/>
  <c r="T3295" i="8"/>
  <c r="E304" i="7"/>
  <c r="F304" i="7"/>
  <c r="G304" i="7"/>
  <c r="H304" i="7"/>
  <c r="I304" i="7"/>
  <c r="J304" i="7"/>
  <c r="K304" i="7"/>
  <c r="L304" i="7"/>
  <c r="M304" i="7"/>
  <c r="N304" i="7"/>
  <c r="P304" i="7"/>
  <c r="Q304" i="7"/>
  <c r="R304" i="7"/>
  <c r="S304" i="7"/>
  <c r="U304" i="7"/>
  <c r="V304" i="7"/>
  <c r="W304" i="7"/>
  <c r="X304" i="7"/>
  <c r="Y304" i="7"/>
  <c r="Z304" i="7"/>
  <c r="AA304" i="7"/>
  <c r="AC304" i="7"/>
  <c r="AE304" i="7"/>
  <c r="AI304" i="7"/>
  <c r="AO304" i="7"/>
  <c r="AP304" i="7"/>
  <c r="E3274" i="8"/>
  <c r="F3274" i="8"/>
  <c r="G3274" i="8"/>
  <c r="H3274" i="8"/>
  <c r="I3274" i="8"/>
  <c r="J3274" i="8"/>
  <c r="K3274" i="8"/>
  <c r="L3274" i="8"/>
  <c r="M3274" i="8"/>
  <c r="N3274" i="8"/>
  <c r="O3274" i="8"/>
  <c r="P3274" i="8"/>
  <c r="Q3274" i="8"/>
  <c r="R3274" i="8"/>
  <c r="S3274" i="8"/>
  <c r="T3274" i="8"/>
  <c r="E3275" i="8"/>
  <c r="F3275" i="8"/>
  <c r="G3275" i="8"/>
  <c r="H3275" i="8"/>
  <c r="I3275" i="8"/>
  <c r="J3275" i="8"/>
  <c r="K3275" i="8"/>
  <c r="L3275" i="8"/>
  <c r="M3275" i="8"/>
  <c r="N3275" i="8"/>
  <c r="O3275" i="8"/>
  <c r="P3275" i="8"/>
  <c r="Q3275" i="8"/>
  <c r="R3275" i="8"/>
  <c r="S3275" i="8"/>
  <c r="T3275" i="8"/>
  <c r="E3276" i="8"/>
  <c r="F3276" i="8"/>
  <c r="G3276" i="8"/>
  <c r="H3276" i="8"/>
  <c r="I3276" i="8"/>
  <c r="J3276" i="8"/>
  <c r="K3276" i="8"/>
  <c r="L3276" i="8"/>
  <c r="M3276" i="8"/>
  <c r="N3276" i="8"/>
  <c r="O3276" i="8"/>
  <c r="P3276" i="8"/>
  <c r="Q3276" i="8"/>
  <c r="R3276" i="8"/>
  <c r="S3276" i="8"/>
  <c r="T3276" i="8"/>
  <c r="E3277" i="8"/>
  <c r="F3277" i="8"/>
  <c r="G3277" i="8"/>
  <c r="H3277" i="8"/>
  <c r="I3277" i="8"/>
  <c r="J3277" i="8"/>
  <c r="K3277" i="8"/>
  <c r="L3277" i="8"/>
  <c r="M3277" i="8"/>
  <c r="N3277" i="8"/>
  <c r="O3277" i="8"/>
  <c r="P3277" i="8"/>
  <c r="Q3277" i="8"/>
  <c r="R3277" i="8"/>
  <c r="S3277" i="8"/>
  <c r="T3277" i="8"/>
  <c r="E3278" i="8"/>
  <c r="F3278" i="8"/>
  <c r="G3278" i="8"/>
  <c r="H3278" i="8"/>
  <c r="I3278" i="8"/>
  <c r="J3278" i="8"/>
  <c r="K3278" i="8"/>
  <c r="L3278" i="8"/>
  <c r="M3278" i="8"/>
  <c r="N3278" i="8"/>
  <c r="O3278" i="8"/>
  <c r="P3278" i="8"/>
  <c r="Q3278" i="8"/>
  <c r="R3278" i="8"/>
  <c r="S3278" i="8"/>
  <c r="T3278" i="8"/>
  <c r="E3279" i="8"/>
  <c r="F3279" i="8"/>
  <c r="G3279" i="8"/>
  <c r="H3279" i="8"/>
  <c r="I3279" i="8"/>
  <c r="J3279" i="8"/>
  <c r="K3279" i="8"/>
  <c r="L3279" i="8"/>
  <c r="M3279" i="8"/>
  <c r="N3279" i="8"/>
  <c r="O3279" i="8"/>
  <c r="P3279" i="8"/>
  <c r="Q3279" i="8"/>
  <c r="R3279" i="8"/>
  <c r="S3279" i="8"/>
  <c r="T3279" i="8"/>
  <c r="E3280" i="8"/>
  <c r="F3280" i="8"/>
  <c r="G3280" i="8"/>
  <c r="H3280" i="8"/>
  <c r="I3280" i="8"/>
  <c r="J3280" i="8"/>
  <c r="K3280" i="8"/>
  <c r="L3280" i="8"/>
  <c r="M3280" i="8"/>
  <c r="N3280" i="8"/>
  <c r="O3280" i="8"/>
  <c r="P3280" i="8"/>
  <c r="Q3280" i="8"/>
  <c r="R3280" i="8"/>
  <c r="S3280" i="8"/>
  <c r="T3280" i="8"/>
  <c r="E3281" i="8"/>
  <c r="F3281" i="8"/>
  <c r="G3281" i="8"/>
  <c r="H3281" i="8"/>
  <c r="I3281" i="8"/>
  <c r="J3281" i="8"/>
  <c r="K3281" i="8"/>
  <c r="L3281" i="8"/>
  <c r="M3281" i="8"/>
  <c r="N3281" i="8"/>
  <c r="O3281" i="8"/>
  <c r="P3281" i="8"/>
  <c r="Q3281" i="8"/>
  <c r="R3281" i="8"/>
  <c r="S3281" i="8"/>
  <c r="T3281" i="8"/>
  <c r="E3282" i="8"/>
  <c r="F3282" i="8"/>
  <c r="G3282" i="8"/>
  <c r="H3282" i="8"/>
  <c r="I3282" i="8"/>
  <c r="J3282" i="8"/>
  <c r="K3282" i="8"/>
  <c r="L3282" i="8"/>
  <c r="M3282" i="8"/>
  <c r="N3282" i="8"/>
  <c r="O3282" i="8"/>
  <c r="P3282" i="8"/>
  <c r="Q3282" i="8"/>
  <c r="R3282" i="8"/>
  <c r="S3282" i="8"/>
  <c r="T3282" i="8"/>
  <c r="E3283" i="8"/>
  <c r="F3283" i="8"/>
  <c r="G3283" i="8"/>
  <c r="H3283" i="8"/>
  <c r="I3283" i="8"/>
  <c r="J3283" i="8"/>
  <c r="K3283" i="8"/>
  <c r="L3283" i="8"/>
  <c r="M3283" i="8"/>
  <c r="N3283" i="8"/>
  <c r="O3283" i="8"/>
  <c r="P3283" i="8"/>
  <c r="Q3283" i="8"/>
  <c r="R3283" i="8"/>
  <c r="S3283" i="8"/>
  <c r="T3283" i="8"/>
  <c r="E3284" i="8"/>
  <c r="F3284" i="8"/>
  <c r="G3284" i="8"/>
  <c r="H3284" i="8"/>
  <c r="I3284" i="8"/>
  <c r="J3284" i="8"/>
  <c r="K3284" i="8"/>
  <c r="L3284" i="8"/>
  <c r="M3284" i="8"/>
  <c r="N3284" i="8"/>
  <c r="O3284" i="8"/>
  <c r="P3284" i="8"/>
  <c r="Q3284" i="8"/>
  <c r="R3284" i="8"/>
  <c r="S3284" i="8"/>
  <c r="T3284" i="8"/>
  <c r="E303" i="7"/>
  <c r="F303" i="7"/>
  <c r="G303" i="7"/>
  <c r="H303" i="7"/>
  <c r="I303" i="7"/>
  <c r="J303" i="7"/>
  <c r="K303" i="7"/>
  <c r="L303" i="7"/>
  <c r="M303" i="7"/>
  <c r="N303" i="7"/>
  <c r="P303" i="7"/>
  <c r="Q303" i="7"/>
  <c r="R303" i="7"/>
  <c r="S303" i="7"/>
  <c r="U303" i="7"/>
  <c r="V303" i="7"/>
  <c r="W303" i="7"/>
  <c r="X303" i="7"/>
  <c r="Y303" i="7"/>
  <c r="Z303" i="7"/>
  <c r="AA303" i="7"/>
  <c r="AC303" i="7"/>
  <c r="AE303" i="7"/>
  <c r="AI303" i="7"/>
  <c r="AO303" i="7"/>
  <c r="AP303" i="7"/>
  <c r="E3263" i="8"/>
  <c r="F3263" i="8"/>
  <c r="G3263" i="8"/>
  <c r="H3263" i="8"/>
  <c r="I3263" i="8"/>
  <c r="J3263" i="8"/>
  <c r="K3263" i="8"/>
  <c r="L3263" i="8"/>
  <c r="M3263" i="8"/>
  <c r="N3263" i="8"/>
  <c r="O3263" i="8"/>
  <c r="P3263" i="8"/>
  <c r="Q3263" i="8"/>
  <c r="R3263" i="8"/>
  <c r="S3263" i="8"/>
  <c r="T3263" i="8"/>
  <c r="E3264" i="8"/>
  <c r="F3264" i="8"/>
  <c r="G3264" i="8"/>
  <c r="H3264" i="8"/>
  <c r="I3264" i="8"/>
  <c r="J3264" i="8"/>
  <c r="K3264" i="8"/>
  <c r="L3264" i="8"/>
  <c r="M3264" i="8"/>
  <c r="N3264" i="8"/>
  <c r="O3264" i="8"/>
  <c r="P3264" i="8"/>
  <c r="Q3264" i="8"/>
  <c r="R3264" i="8"/>
  <c r="S3264" i="8"/>
  <c r="T3264" i="8"/>
  <c r="E3265" i="8"/>
  <c r="F3265" i="8"/>
  <c r="G3265" i="8"/>
  <c r="H3265" i="8"/>
  <c r="I3265" i="8"/>
  <c r="J3265" i="8"/>
  <c r="K3265" i="8"/>
  <c r="L3265" i="8"/>
  <c r="M3265" i="8"/>
  <c r="N3265" i="8"/>
  <c r="O3265" i="8"/>
  <c r="P3265" i="8"/>
  <c r="Q3265" i="8"/>
  <c r="R3265" i="8"/>
  <c r="S3265" i="8"/>
  <c r="T3265" i="8"/>
  <c r="E3266" i="8"/>
  <c r="F3266" i="8"/>
  <c r="G3266" i="8"/>
  <c r="H3266" i="8"/>
  <c r="I3266" i="8"/>
  <c r="J3266" i="8"/>
  <c r="K3266" i="8"/>
  <c r="L3266" i="8"/>
  <c r="M3266" i="8"/>
  <c r="N3266" i="8"/>
  <c r="O3266" i="8"/>
  <c r="P3266" i="8"/>
  <c r="Q3266" i="8"/>
  <c r="R3266" i="8"/>
  <c r="S3266" i="8"/>
  <c r="T3266" i="8"/>
  <c r="E3267" i="8"/>
  <c r="F3267" i="8"/>
  <c r="G3267" i="8"/>
  <c r="H3267" i="8"/>
  <c r="I3267" i="8"/>
  <c r="J3267" i="8"/>
  <c r="K3267" i="8"/>
  <c r="L3267" i="8"/>
  <c r="M3267" i="8"/>
  <c r="N3267" i="8"/>
  <c r="O3267" i="8"/>
  <c r="P3267" i="8"/>
  <c r="Q3267" i="8"/>
  <c r="R3267" i="8"/>
  <c r="S3267" i="8"/>
  <c r="T3267" i="8"/>
  <c r="E3268" i="8"/>
  <c r="F3268" i="8"/>
  <c r="G3268" i="8"/>
  <c r="H3268" i="8"/>
  <c r="I3268" i="8"/>
  <c r="J3268" i="8"/>
  <c r="K3268" i="8"/>
  <c r="L3268" i="8"/>
  <c r="M3268" i="8"/>
  <c r="N3268" i="8"/>
  <c r="O3268" i="8"/>
  <c r="P3268" i="8"/>
  <c r="Q3268" i="8"/>
  <c r="R3268" i="8"/>
  <c r="S3268" i="8"/>
  <c r="T3268" i="8"/>
  <c r="E3269" i="8"/>
  <c r="F3269" i="8"/>
  <c r="G3269" i="8"/>
  <c r="H3269" i="8"/>
  <c r="I3269" i="8"/>
  <c r="J3269" i="8"/>
  <c r="K3269" i="8"/>
  <c r="L3269" i="8"/>
  <c r="M3269" i="8"/>
  <c r="N3269" i="8"/>
  <c r="O3269" i="8"/>
  <c r="P3269" i="8"/>
  <c r="Q3269" i="8"/>
  <c r="R3269" i="8"/>
  <c r="S3269" i="8"/>
  <c r="T3269" i="8"/>
  <c r="E3270" i="8"/>
  <c r="F3270" i="8"/>
  <c r="G3270" i="8"/>
  <c r="H3270" i="8"/>
  <c r="I3270" i="8"/>
  <c r="J3270" i="8"/>
  <c r="K3270" i="8"/>
  <c r="L3270" i="8"/>
  <c r="M3270" i="8"/>
  <c r="N3270" i="8"/>
  <c r="O3270" i="8"/>
  <c r="P3270" i="8"/>
  <c r="Q3270" i="8"/>
  <c r="R3270" i="8"/>
  <c r="S3270" i="8"/>
  <c r="T3270" i="8"/>
  <c r="E3271" i="8"/>
  <c r="F3271" i="8"/>
  <c r="G3271" i="8"/>
  <c r="H3271" i="8"/>
  <c r="I3271" i="8"/>
  <c r="J3271" i="8"/>
  <c r="K3271" i="8"/>
  <c r="L3271" i="8"/>
  <c r="M3271" i="8"/>
  <c r="N3271" i="8"/>
  <c r="O3271" i="8"/>
  <c r="P3271" i="8"/>
  <c r="Q3271" i="8"/>
  <c r="R3271" i="8"/>
  <c r="S3271" i="8"/>
  <c r="T3271" i="8"/>
  <c r="E3272" i="8"/>
  <c r="F3272" i="8"/>
  <c r="G3272" i="8"/>
  <c r="H3272" i="8"/>
  <c r="I3272" i="8"/>
  <c r="J3272" i="8"/>
  <c r="K3272" i="8"/>
  <c r="L3272" i="8"/>
  <c r="M3272" i="8"/>
  <c r="N3272" i="8"/>
  <c r="O3272" i="8"/>
  <c r="P3272" i="8"/>
  <c r="Q3272" i="8"/>
  <c r="R3272" i="8"/>
  <c r="S3272" i="8"/>
  <c r="T3272" i="8"/>
  <c r="E3273" i="8"/>
  <c r="F3273" i="8"/>
  <c r="G3273" i="8"/>
  <c r="H3273" i="8"/>
  <c r="I3273" i="8"/>
  <c r="J3273" i="8"/>
  <c r="K3273" i="8"/>
  <c r="L3273" i="8"/>
  <c r="M3273" i="8"/>
  <c r="N3273" i="8"/>
  <c r="O3273" i="8"/>
  <c r="P3273" i="8"/>
  <c r="Q3273" i="8"/>
  <c r="R3273" i="8"/>
  <c r="S3273" i="8"/>
  <c r="T3273" i="8"/>
  <c r="E302" i="7"/>
  <c r="F302" i="7"/>
  <c r="G302" i="7"/>
  <c r="H302" i="7"/>
  <c r="I302" i="7"/>
  <c r="J302" i="7"/>
  <c r="K302" i="7"/>
  <c r="L302" i="7"/>
  <c r="M302" i="7"/>
  <c r="N302" i="7"/>
  <c r="P302" i="7"/>
  <c r="Q302" i="7"/>
  <c r="R302" i="7"/>
  <c r="S302" i="7"/>
  <c r="U302" i="7"/>
  <c r="V302" i="7"/>
  <c r="W302" i="7"/>
  <c r="X302" i="7"/>
  <c r="Y302" i="7"/>
  <c r="Z302" i="7"/>
  <c r="AA302" i="7"/>
  <c r="AC302" i="7"/>
  <c r="AE302" i="7"/>
  <c r="AI302" i="7"/>
  <c r="AO302" i="7"/>
  <c r="AP302" i="7"/>
  <c r="E3252" i="8"/>
  <c r="F3252" i="8"/>
  <c r="G3252" i="8"/>
  <c r="H3252" i="8"/>
  <c r="I3252" i="8"/>
  <c r="J3252" i="8"/>
  <c r="K3252" i="8"/>
  <c r="L3252" i="8"/>
  <c r="M3252" i="8"/>
  <c r="N3252" i="8"/>
  <c r="O3252" i="8"/>
  <c r="P3252" i="8"/>
  <c r="Q3252" i="8"/>
  <c r="R3252" i="8"/>
  <c r="S3252" i="8"/>
  <c r="T3252" i="8"/>
  <c r="E3253" i="8"/>
  <c r="F3253" i="8"/>
  <c r="G3253" i="8"/>
  <c r="H3253" i="8"/>
  <c r="I3253" i="8"/>
  <c r="J3253" i="8"/>
  <c r="K3253" i="8"/>
  <c r="L3253" i="8"/>
  <c r="M3253" i="8"/>
  <c r="N3253" i="8"/>
  <c r="O3253" i="8"/>
  <c r="P3253" i="8"/>
  <c r="Q3253" i="8"/>
  <c r="R3253" i="8"/>
  <c r="S3253" i="8"/>
  <c r="T3253" i="8"/>
  <c r="E3254" i="8"/>
  <c r="F3254" i="8"/>
  <c r="G3254" i="8"/>
  <c r="H3254" i="8"/>
  <c r="I3254" i="8"/>
  <c r="J3254" i="8"/>
  <c r="K3254" i="8"/>
  <c r="L3254" i="8"/>
  <c r="M3254" i="8"/>
  <c r="N3254" i="8"/>
  <c r="O3254" i="8"/>
  <c r="P3254" i="8"/>
  <c r="Q3254" i="8"/>
  <c r="R3254" i="8"/>
  <c r="S3254" i="8"/>
  <c r="T3254" i="8"/>
  <c r="E3255" i="8"/>
  <c r="F3255" i="8"/>
  <c r="G3255" i="8"/>
  <c r="H3255" i="8"/>
  <c r="I3255" i="8"/>
  <c r="J3255" i="8"/>
  <c r="K3255" i="8"/>
  <c r="L3255" i="8"/>
  <c r="M3255" i="8"/>
  <c r="N3255" i="8"/>
  <c r="O3255" i="8"/>
  <c r="P3255" i="8"/>
  <c r="Q3255" i="8"/>
  <c r="R3255" i="8"/>
  <c r="S3255" i="8"/>
  <c r="T3255" i="8"/>
  <c r="E3256" i="8"/>
  <c r="F3256" i="8"/>
  <c r="G3256" i="8"/>
  <c r="H3256" i="8"/>
  <c r="I3256" i="8"/>
  <c r="J3256" i="8"/>
  <c r="K3256" i="8"/>
  <c r="L3256" i="8"/>
  <c r="M3256" i="8"/>
  <c r="N3256" i="8"/>
  <c r="O3256" i="8"/>
  <c r="P3256" i="8"/>
  <c r="Q3256" i="8"/>
  <c r="R3256" i="8"/>
  <c r="S3256" i="8"/>
  <c r="T3256" i="8"/>
  <c r="E3257" i="8"/>
  <c r="F3257" i="8"/>
  <c r="G3257" i="8"/>
  <c r="H3257" i="8"/>
  <c r="I3257" i="8"/>
  <c r="J3257" i="8"/>
  <c r="K3257" i="8"/>
  <c r="L3257" i="8"/>
  <c r="M3257" i="8"/>
  <c r="N3257" i="8"/>
  <c r="O3257" i="8"/>
  <c r="P3257" i="8"/>
  <c r="Q3257" i="8"/>
  <c r="R3257" i="8"/>
  <c r="S3257" i="8"/>
  <c r="T3257" i="8"/>
  <c r="E3258" i="8"/>
  <c r="F3258" i="8"/>
  <c r="G3258" i="8"/>
  <c r="H3258" i="8"/>
  <c r="I3258" i="8"/>
  <c r="J3258" i="8"/>
  <c r="K3258" i="8"/>
  <c r="L3258" i="8"/>
  <c r="M3258" i="8"/>
  <c r="N3258" i="8"/>
  <c r="O3258" i="8"/>
  <c r="P3258" i="8"/>
  <c r="Q3258" i="8"/>
  <c r="R3258" i="8"/>
  <c r="S3258" i="8"/>
  <c r="T3258" i="8"/>
  <c r="E3259" i="8"/>
  <c r="F3259" i="8"/>
  <c r="G3259" i="8"/>
  <c r="H3259" i="8"/>
  <c r="I3259" i="8"/>
  <c r="J3259" i="8"/>
  <c r="K3259" i="8"/>
  <c r="L3259" i="8"/>
  <c r="M3259" i="8"/>
  <c r="N3259" i="8"/>
  <c r="O3259" i="8"/>
  <c r="P3259" i="8"/>
  <c r="Q3259" i="8"/>
  <c r="R3259" i="8"/>
  <c r="S3259" i="8"/>
  <c r="T3259" i="8"/>
  <c r="E3260" i="8"/>
  <c r="F3260" i="8"/>
  <c r="G3260" i="8"/>
  <c r="H3260" i="8"/>
  <c r="I3260" i="8"/>
  <c r="J3260" i="8"/>
  <c r="K3260" i="8"/>
  <c r="L3260" i="8"/>
  <c r="M3260" i="8"/>
  <c r="N3260" i="8"/>
  <c r="O3260" i="8"/>
  <c r="P3260" i="8"/>
  <c r="Q3260" i="8"/>
  <c r="R3260" i="8"/>
  <c r="S3260" i="8"/>
  <c r="T3260" i="8"/>
  <c r="E3261" i="8"/>
  <c r="F3261" i="8"/>
  <c r="G3261" i="8"/>
  <c r="H3261" i="8"/>
  <c r="I3261" i="8"/>
  <c r="J3261" i="8"/>
  <c r="K3261" i="8"/>
  <c r="L3261" i="8"/>
  <c r="M3261" i="8"/>
  <c r="N3261" i="8"/>
  <c r="O3261" i="8"/>
  <c r="P3261" i="8"/>
  <c r="Q3261" i="8"/>
  <c r="R3261" i="8"/>
  <c r="S3261" i="8"/>
  <c r="T3261" i="8"/>
  <c r="E3262" i="8"/>
  <c r="F3262" i="8"/>
  <c r="G3262" i="8"/>
  <c r="H3262" i="8"/>
  <c r="I3262" i="8"/>
  <c r="J3262" i="8"/>
  <c r="K3262" i="8"/>
  <c r="L3262" i="8"/>
  <c r="M3262" i="8"/>
  <c r="N3262" i="8"/>
  <c r="O3262" i="8"/>
  <c r="P3262" i="8"/>
  <c r="Q3262" i="8"/>
  <c r="R3262" i="8"/>
  <c r="S3262" i="8"/>
  <c r="T3262" i="8"/>
  <c r="E301" i="7"/>
  <c r="F301" i="7"/>
  <c r="G301" i="7"/>
  <c r="H301" i="7"/>
  <c r="I301" i="7"/>
  <c r="J301" i="7"/>
  <c r="K301" i="7"/>
  <c r="L301" i="7"/>
  <c r="M301" i="7"/>
  <c r="N301" i="7"/>
  <c r="P301" i="7"/>
  <c r="Q301" i="7"/>
  <c r="R301" i="7"/>
  <c r="S301" i="7"/>
  <c r="U301" i="7"/>
  <c r="V301" i="7"/>
  <c r="W301" i="7"/>
  <c r="X301" i="7"/>
  <c r="Y301" i="7"/>
  <c r="Z301" i="7"/>
  <c r="AA301" i="7"/>
  <c r="AC301" i="7"/>
  <c r="AE301" i="7"/>
  <c r="AI301" i="7"/>
  <c r="AO301" i="7"/>
  <c r="AP301" i="7"/>
  <c r="E3241" i="8"/>
  <c r="F3241" i="8"/>
  <c r="G3241" i="8"/>
  <c r="H3241" i="8"/>
  <c r="I3241" i="8"/>
  <c r="J3241" i="8"/>
  <c r="K3241" i="8"/>
  <c r="L3241" i="8"/>
  <c r="M3241" i="8"/>
  <c r="N3241" i="8"/>
  <c r="O3241" i="8"/>
  <c r="P3241" i="8"/>
  <c r="Q3241" i="8"/>
  <c r="R3241" i="8"/>
  <c r="S3241" i="8"/>
  <c r="T3241" i="8"/>
  <c r="E3242" i="8"/>
  <c r="F3242" i="8"/>
  <c r="G3242" i="8"/>
  <c r="H3242" i="8"/>
  <c r="I3242" i="8"/>
  <c r="J3242" i="8"/>
  <c r="K3242" i="8"/>
  <c r="L3242" i="8"/>
  <c r="M3242" i="8"/>
  <c r="N3242" i="8"/>
  <c r="O3242" i="8"/>
  <c r="P3242" i="8"/>
  <c r="Q3242" i="8"/>
  <c r="R3242" i="8"/>
  <c r="S3242" i="8"/>
  <c r="T3242" i="8"/>
  <c r="E3243" i="8"/>
  <c r="F3243" i="8"/>
  <c r="G3243" i="8"/>
  <c r="H3243" i="8"/>
  <c r="I3243" i="8"/>
  <c r="J3243" i="8"/>
  <c r="K3243" i="8"/>
  <c r="L3243" i="8"/>
  <c r="M3243" i="8"/>
  <c r="N3243" i="8"/>
  <c r="O3243" i="8"/>
  <c r="P3243" i="8"/>
  <c r="Q3243" i="8"/>
  <c r="R3243" i="8"/>
  <c r="S3243" i="8"/>
  <c r="T3243" i="8"/>
  <c r="E3244" i="8"/>
  <c r="F3244" i="8"/>
  <c r="G3244" i="8"/>
  <c r="H3244" i="8"/>
  <c r="I3244" i="8"/>
  <c r="J3244" i="8"/>
  <c r="K3244" i="8"/>
  <c r="L3244" i="8"/>
  <c r="M3244" i="8"/>
  <c r="N3244" i="8"/>
  <c r="O3244" i="8"/>
  <c r="P3244" i="8"/>
  <c r="Q3244" i="8"/>
  <c r="R3244" i="8"/>
  <c r="S3244" i="8"/>
  <c r="T3244" i="8"/>
  <c r="E3245" i="8"/>
  <c r="F3245" i="8"/>
  <c r="G3245" i="8"/>
  <c r="H3245" i="8"/>
  <c r="I3245" i="8"/>
  <c r="J3245" i="8"/>
  <c r="K3245" i="8"/>
  <c r="L3245" i="8"/>
  <c r="M3245" i="8"/>
  <c r="N3245" i="8"/>
  <c r="O3245" i="8"/>
  <c r="P3245" i="8"/>
  <c r="Q3245" i="8"/>
  <c r="R3245" i="8"/>
  <c r="S3245" i="8"/>
  <c r="T3245" i="8"/>
  <c r="E3246" i="8"/>
  <c r="F3246" i="8"/>
  <c r="G3246" i="8"/>
  <c r="H3246" i="8"/>
  <c r="I3246" i="8"/>
  <c r="J3246" i="8"/>
  <c r="K3246" i="8"/>
  <c r="L3246" i="8"/>
  <c r="M3246" i="8"/>
  <c r="N3246" i="8"/>
  <c r="O3246" i="8"/>
  <c r="P3246" i="8"/>
  <c r="Q3246" i="8"/>
  <c r="R3246" i="8"/>
  <c r="S3246" i="8"/>
  <c r="T3246" i="8"/>
  <c r="E3247" i="8"/>
  <c r="F3247" i="8"/>
  <c r="G3247" i="8"/>
  <c r="H3247" i="8"/>
  <c r="I3247" i="8"/>
  <c r="J3247" i="8"/>
  <c r="K3247" i="8"/>
  <c r="L3247" i="8"/>
  <c r="M3247" i="8"/>
  <c r="N3247" i="8"/>
  <c r="O3247" i="8"/>
  <c r="P3247" i="8"/>
  <c r="Q3247" i="8"/>
  <c r="R3247" i="8"/>
  <c r="S3247" i="8"/>
  <c r="T3247" i="8"/>
  <c r="E3248" i="8"/>
  <c r="F3248" i="8"/>
  <c r="G3248" i="8"/>
  <c r="H3248" i="8"/>
  <c r="I3248" i="8"/>
  <c r="J3248" i="8"/>
  <c r="K3248" i="8"/>
  <c r="L3248" i="8"/>
  <c r="M3248" i="8"/>
  <c r="N3248" i="8"/>
  <c r="O3248" i="8"/>
  <c r="P3248" i="8"/>
  <c r="Q3248" i="8"/>
  <c r="R3248" i="8"/>
  <c r="S3248" i="8"/>
  <c r="T3248" i="8"/>
  <c r="E3249" i="8"/>
  <c r="F3249" i="8"/>
  <c r="G3249" i="8"/>
  <c r="H3249" i="8"/>
  <c r="I3249" i="8"/>
  <c r="J3249" i="8"/>
  <c r="K3249" i="8"/>
  <c r="L3249" i="8"/>
  <c r="M3249" i="8"/>
  <c r="N3249" i="8"/>
  <c r="O3249" i="8"/>
  <c r="P3249" i="8"/>
  <c r="Q3249" i="8"/>
  <c r="R3249" i="8"/>
  <c r="S3249" i="8"/>
  <c r="T3249" i="8"/>
  <c r="E3250" i="8"/>
  <c r="F3250" i="8"/>
  <c r="G3250" i="8"/>
  <c r="H3250" i="8"/>
  <c r="I3250" i="8"/>
  <c r="J3250" i="8"/>
  <c r="K3250" i="8"/>
  <c r="L3250" i="8"/>
  <c r="M3250" i="8"/>
  <c r="N3250" i="8"/>
  <c r="O3250" i="8"/>
  <c r="P3250" i="8"/>
  <c r="Q3250" i="8"/>
  <c r="R3250" i="8"/>
  <c r="S3250" i="8"/>
  <c r="T3250" i="8"/>
  <c r="E3251" i="8"/>
  <c r="F3251" i="8"/>
  <c r="G3251" i="8"/>
  <c r="H3251" i="8"/>
  <c r="I3251" i="8"/>
  <c r="J3251" i="8"/>
  <c r="K3251" i="8"/>
  <c r="L3251" i="8"/>
  <c r="M3251" i="8"/>
  <c r="N3251" i="8"/>
  <c r="O3251" i="8"/>
  <c r="P3251" i="8"/>
  <c r="Q3251" i="8"/>
  <c r="R3251" i="8"/>
  <c r="S3251" i="8"/>
  <c r="T3251" i="8"/>
  <c r="E300" i="7"/>
  <c r="F300" i="7"/>
  <c r="G300" i="7"/>
  <c r="H300" i="7"/>
  <c r="I300" i="7"/>
  <c r="J300" i="7"/>
  <c r="K300" i="7"/>
  <c r="L300" i="7"/>
  <c r="M300" i="7"/>
  <c r="N300" i="7"/>
  <c r="P300" i="7"/>
  <c r="Q300" i="7"/>
  <c r="R300" i="7"/>
  <c r="S300" i="7"/>
  <c r="U300" i="7"/>
  <c r="V300" i="7"/>
  <c r="W300" i="7"/>
  <c r="X300" i="7"/>
  <c r="Y300" i="7"/>
  <c r="Z300" i="7"/>
  <c r="AA300" i="7"/>
  <c r="AC300" i="7"/>
  <c r="AE300" i="7"/>
  <c r="AI300" i="7"/>
  <c r="AO300" i="7"/>
  <c r="AP300" i="7"/>
  <c r="E3230" i="8"/>
  <c r="F3230" i="8"/>
  <c r="G3230" i="8"/>
  <c r="H3230" i="8"/>
  <c r="I3230" i="8"/>
  <c r="J3230" i="8"/>
  <c r="K3230" i="8"/>
  <c r="L3230" i="8"/>
  <c r="M3230" i="8"/>
  <c r="N3230" i="8"/>
  <c r="O3230" i="8"/>
  <c r="P3230" i="8"/>
  <c r="Q3230" i="8"/>
  <c r="R3230" i="8"/>
  <c r="S3230" i="8"/>
  <c r="T3230" i="8"/>
  <c r="E3231" i="8"/>
  <c r="F3231" i="8"/>
  <c r="G3231" i="8"/>
  <c r="H3231" i="8"/>
  <c r="I3231" i="8"/>
  <c r="J3231" i="8"/>
  <c r="K3231" i="8"/>
  <c r="L3231" i="8"/>
  <c r="M3231" i="8"/>
  <c r="N3231" i="8"/>
  <c r="O3231" i="8"/>
  <c r="P3231" i="8"/>
  <c r="Q3231" i="8"/>
  <c r="R3231" i="8"/>
  <c r="S3231" i="8"/>
  <c r="T3231" i="8"/>
  <c r="E3232" i="8"/>
  <c r="F3232" i="8"/>
  <c r="G3232" i="8"/>
  <c r="H3232" i="8"/>
  <c r="I3232" i="8"/>
  <c r="J3232" i="8"/>
  <c r="K3232" i="8"/>
  <c r="L3232" i="8"/>
  <c r="M3232" i="8"/>
  <c r="N3232" i="8"/>
  <c r="O3232" i="8"/>
  <c r="P3232" i="8"/>
  <c r="Q3232" i="8"/>
  <c r="R3232" i="8"/>
  <c r="S3232" i="8"/>
  <c r="T3232" i="8"/>
  <c r="E3233" i="8"/>
  <c r="F3233" i="8"/>
  <c r="G3233" i="8"/>
  <c r="H3233" i="8"/>
  <c r="I3233" i="8"/>
  <c r="J3233" i="8"/>
  <c r="K3233" i="8"/>
  <c r="L3233" i="8"/>
  <c r="M3233" i="8"/>
  <c r="N3233" i="8"/>
  <c r="O3233" i="8"/>
  <c r="P3233" i="8"/>
  <c r="Q3233" i="8"/>
  <c r="R3233" i="8"/>
  <c r="S3233" i="8"/>
  <c r="T3233" i="8"/>
  <c r="E3234" i="8"/>
  <c r="F3234" i="8"/>
  <c r="G3234" i="8"/>
  <c r="H3234" i="8"/>
  <c r="I3234" i="8"/>
  <c r="J3234" i="8"/>
  <c r="K3234" i="8"/>
  <c r="L3234" i="8"/>
  <c r="M3234" i="8"/>
  <c r="N3234" i="8"/>
  <c r="O3234" i="8"/>
  <c r="P3234" i="8"/>
  <c r="Q3234" i="8"/>
  <c r="R3234" i="8"/>
  <c r="S3234" i="8"/>
  <c r="T3234" i="8"/>
  <c r="E3235" i="8"/>
  <c r="F3235" i="8"/>
  <c r="G3235" i="8"/>
  <c r="H3235" i="8"/>
  <c r="I3235" i="8"/>
  <c r="J3235" i="8"/>
  <c r="K3235" i="8"/>
  <c r="L3235" i="8"/>
  <c r="M3235" i="8"/>
  <c r="N3235" i="8"/>
  <c r="O3235" i="8"/>
  <c r="P3235" i="8"/>
  <c r="Q3235" i="8"/>
  <c r="R3235" i="8"/>
  <c r="S3235" i="8"/>
  <c r="T3235" i="8"/>
  <c r="E3236" i="8"/>
  <c r="F3236" i="8"/>
  <c r="G3236" i="8"/>
  <c r="H3236" i="8"/>
  <c r="I3236" i="8"/>
  <c r="J3236" i="8"/>
  <c r="K3236" i="8"/>
  <c r="L3236" i="8"/>
  <c r="M3236" i="8"/>
  <c r="N3236" i="8"/>
  <c r="O3236" i="8"/>
  <c r="P3236" i="8"/>
  <c r="Q3236" i="8"/>
  <c r="R3236" i="8"/>
  <c r="S3236" i="8"/>
  <c r="T3236" i="8"/>
  <c r="E3237" i="8"/>
  <c r="F3237" i="8"/>
  <c r="G3237" i="8"/>
  <c r="H3237" i="8"/>
  <c r="I3237" i="8"/>
  <c r="J3237" i="8"/>
  <c r="K3237" i="8"/>
  <c r="L3237" i="8"/>
  <c r="M3237" i="8"/>
  <c r="N3237" i="8"/>
  <c r="O3237" i="8"/>
  <c r="P3237" i="8"/>
  <c r="Q3237" i="8"/>
  <c r="R3237" i="8"/>
  <c r="S3237" i="8"/>
  <c r="T3237" i="8"/>
  <c r="E3238" i="8"/>
  <c r="F3238" i="8"/>
  <c r="G3238" i="8"/>
  <c r="H3238" i="8"/>
  <c r="I3238" i="8"/>
  <c r="J3238" i="8"/>
  <c r="K3238" i="8"/>
  <c r="L3238" i="8"/>
  <c r="M3238" i="8"/>
  <c r="N3238" i="8"/>
  <c r="O3238" i="8"/>
  <c r="P3238" i="8"/>
  <c r="Q3238" i="8"/>
  <c r="R3238" i="8"/>
  <c r="S3238" i="8"/>
  <c r="T3238" i="8"/>
  <c r="E3239" i="8"/>
  <c r="F3239" i="8"/>
  <c r="G3239" i="8"/>
  <c r="H3239" i="8"/>
  <c r="I3239" i="8"/>
  <c r="J3239" i="8"/>
  <c r="K3239" i="8"/>
  <c r="L3239" i="8"/>
  <c r="M3239" i="8"/>
  <c r="N3239" i="8"/>
  <c r="O3239" i="8"/>
  <c r="P3239" i="8"/>
  <c r="Q3239" i="8"/>
  <c r="R3239" i="8"/>
  <c r="S3239" i="8"/>
  <c r="T3239" i="8"/>
  <c r="E3240" i="8"/>
  <c r="F3240" i="8"/>
  <c r="G3240" i="8"/>
  <c r="H3240" i="8"/>
  <c r="I3240" i="8"/>
  <c r="J3240" i="8"/>
  <c r="K3240" i="8"/>
  <c r="L3240" i="8"/>
  <c r="M3240" i="8"/>
  <c r="N3240" i="8"/>
  <c r="O3240" i="8"/>
  <c r="P3240" i="8"/>
  <c r="Q3240" i="8"/>
  <c r="R3240" i="8"/>
  <c r="S3240" i="8"/>
  <c r="T3240" i="8"/>
  <c r="E299" i="7"/>
  <c r="F299" i="7"/>
  <c r="G299" i="7"/>
  <c r="H299" i="7"/>
  <c r="I299" i="7"/>
  <c r="J299" i="7"/>
  <c r="K299" i="7"/>
  <c r="L299" i="7"/>
  <c r="M299" i="7"/>
  <c r="N299" i="7"/>
  <c r="P299" i="7"/>
  <c r="Q299" i="7"/>
  <c r="R299" i="7"/>
  <c r="S299" i="7"/>
  <c r="U299" i="7"/>
  <c r="V299" i="7"/>
  <c r="W299" i="7"/>
  <c r="X299" i="7"/>
  <c r="Y299" i="7"/>
  <c r="Z299" i="7"/>
  <c r="AA299" i="7"/>
  <c r="AC299" i="7"/>
  <c r="AE299" i="7"/>
  <c r="AI299" i="7"/>
  <c r="AO299" i="7"/>
  <c r="AP299" i="7"/>
  <c r="E3219" i="8"/>
  <c r="F3219" i="8"/>
  <c r="G3219" i="8"/>
  <c r="H3219" i="8"/>
  <c r="I3219" i="8"/>
  <c r="J3219" i="8"/>
  <c r="K3219" i="8"/>
  <c r="L3219" i="8"/>
  <c r="M3219" i="8"/>
  <c r="N3219" i="8"/>
  <c r="O3219" i="8"/>
  <c r="P3219" i="8"/>
  <c r="Q3219" i="8"/>
  <c r="R3219" i="8"/>
  <c r="S3219" i="8"/>
  <c r="T3219" i="8"/>
  <c r="E3220" i="8"/>
  <c r="F3220" i="8"/>
  <c r="G3220" i="8"/>
  <c r="H3220" i="8"/>
  <c r="I3220" i="8"/>
  <c r="J3220" i="8"/>
  <c r="K3220" i="8"/>
  <c r="L3220" i="8"/>
  <c r="M3220" i="8"/>
  <c r="N3220" i="8"/>
  <c r="O3220" i="8"/>
  <c r="P3220" i="8"/>
  <c r="Q3220" i="8"/>
  <c r="R3220" i="8"/>
  <c r="S3220" i="8"/>
  <c r="T3220" i="8"/>
  <c r="E3221" i="8"/>
  <c r="F3221" i="8"/>
  <c r="G3221" i="8"/>
  <c r="H3221" i="8"/>
  <c r="I3221" i="8"/>
  <c r="J3221" i="8"/>
  <c r="K3221" i="8"/>
  <c r="L3221" i="8"/>
  <c r="M3221" i="8"/>
  <c r="N3221" i="8"/>
  <c r="O3221" i="8"/>
  <c r="P3221" i="8"/>
  <c r="Q3221" i="8"/>
  <c r="R3221" i="8"/>
  <c r="S3221" i="8"/>
  <c r="T3221" i="8"/>
  <c r="E3222" i="8"/>
  <c r="F3222" i="8"/>
  <c r="G3222" i="8"/>
  <c r="H3222" i="8"/>
  <c r="I3222" i="8"/>
  <c r="J3222" i="8"/>
  <c r="K3222" i="8"/>
  <c r="L3222" i="8"/>
  <c r="M3222" i="8"/>
  <c r="N3222" i="8"/>
  <c r="O3222" i="8"/>
  <c r="P3222" i="8"/>
  <c r="Q3222" i="8"/>
  <c r="R3222" i="8"/>
  <c r="S3222" i="8"/>
  <c r="T3222" i="8"/>
  <c r="E3223" i="8"/>
  <c r="F3223" i="8"/>
  <c r="G3223" i="8"/>
  <c r="H3223" i="8"/>
  <c r="I3223" i="8"/>
  <c r="J3223" i="8"/>
  <c r="K3223" i="8"/>
  <c r="L3223" i="8"/>
  <c r="M3223" i="8"/>
  <c r="N3223" i="8"/>
  <c r="O3223" i="8"/>
  <c r="P3223" i="8"/>
  <c r="Q3223" i="8"/>
  <c r="R3223" i="8"/>
  <c r="S3223" i="8"/>
  <c r="T3223" i="8"/>
  <c r="E3224" i="8"/>
  <c r="F3224" i="8"/>
  <c r="G3224" i="8"/>
  <c r="H3224" i="8"/>
  <c r="I3224" i="8"/>
  <c r="J3224" i="8"/>
  <c r="K3224" i="8"/>
  <c r="L3224" i="8"/>
  <c r="M3224" i="8"/>
  <c r="N3224" i="8"/>
  <c r="O3224" i="8"/>
  <c r="P3224" i="8"/>
  <c r="Q3224" i="8"/>
  <c r="R3224" i="8"/>
  <c r="S3224" i="8"/>
  <c r="T3224" i="8"/>
  <c r="E3225" i="8"/>
  <c r="F3225" i="8"/>
  <c r="G3225" i="8"/>
  <c r="H3225" i="8"/>
  <c r="I3225" i="8"/>
  <c r="J3225" i="8"/>
  <c r="K3225" i="8"/>
  <c r="L3225" i="8"/>
  <c r="M3225" i="8"/>
  <c r="N3225" i="8"/>
  <c r="O3225" i="8"/>
  <c r="P3225" i="8"/>
  <c r="Q3225" i="8"/>
  <c r="R3225" i="8"/>
  <c r="S3225" i="8"/>
  <c r="T3225" i="8"/>
  <c r="E3226" i="8"/>
  <c r="F3226" i="8"/>
  <c r="G3226" i="8"/>
  <c r="H3226" i="8"/>
  <c r="I3226" i="8"/>
  <c r="J3226" i="8"/>
  <c r="K3226" i="8"/>
  <c r="L3226" i="8"/>
  <c r="M3226" i="8"/>
  <c r="N3226" i="8"/>
  <c r="O3226" i="8"/>
  <c r="P3226" i="8"/>
  <c r="Q3226" i="8"/>
  <c r="R3226" i="8"/>
  <c r="S3226" i="8"/>
  <c r="T3226" i="8"/>
  <c r="E3227" i="8"/>
  <c r="F3227" i="8"/>
  <c r="G3227" i="8"/>
  <c r="H3227" i="8"/>
  <c r="I3227" i="8"/>
  <c r="J3227" i="8"/>
  <c r="K3227" i="8"/>
  <c r="L3227" i="8"/>
  <c r="M3227" i="8"/>
  <c r="N3227" i="8"/>
  <c r="O3227" i="8"/>
  <c r="P3227" i="8"/>
  <c r="Q3227" i="8"/>
  <c r="R3227" i="8"/>
  <c r="S3227" i="8"/>
  <c r="T3227" i="8"/>
  <c r="E3228" i="8"/>
  <c r="F3228" i="8"/>
  <c r="G3228" i="8"/>
  <c r="H3228" i="8"/>
  <c r="I3228" i="8"/>
  <c r="J3228" i="8"/>
  <c r="K3228" i="8"/>
  <c r="L3228" i="8"/>
  <c r="M3228" i="8"/>
  <c r="N3228" i="8"/>
  <c r="O3228" i="8"/>
  <c r="P3228" i="8"/>
  <c r="Q3228" i="8"/>
  <c r="R3228" i="8"/>
  <c r="S3228" i="8"/>
  <c r="T3228" i="8"/>
  <c r="E3229" i="8"/>
  <c r="F3229" i="8"/>
  <c r="G3229" i="8"/>
  <c r="H3229" i="8"/>
  <c r="I3229" i="8"/>
  <c r="J3229" i="8"/>
  <c r="K3229" i="8"/>
  <c r="L3229" i="8"/>
  <c r="M3229" i="8"/>
  <c r="N3229" i="8"/>
  <c r="O3229" i="8"/>
  <c r="P3229" i="8"/>
  <c r="Q3229" i="8"/>
  <c r="R3229" i="8"/>
  <c r="S3229" i="8"/>
  <c r="T3229" i="8"/>
  <c r="E298" i="7"/>
  <c r="F298" i="7"/>
  <c r="G298" i="7"/>
  <c r="H298" i="7"/>
  <c r="I298" i="7"/>
  <c r="J298" i="7"/>
  <c r="K298" i="7"/>
  <c r="L298" i="7"/>
  <c r="M298" i="7"/>
  <c r="N298" i="7"/>
  <c r="P298" i="7"/>
  <c r="Q298" i="7"/>
  <c r="R298" i="7"/>
  <c r="S298" i="7"/>
  <c r="U298" i="7"/>
  <c r="V298" i="7"/>
  <c r="W298" i="7"/>
  <c r="X298" i="7"/>
  <c r="Y298" i="7"/>
  <c r="Z298" i="7"/>
  <c r="AA298" i="7"/>
  <c r="AC298" i="7"/>
  <c r="AE298" i="7"/>
  <c r="AI298" i="7"/>
  <c r="AO298" i="7"/>
  <c r="AP298" i="7"/>
  <c r="E3208" i="8"/>
  <c r="F3208" i="8"/>
  <c r="G3208" i="8"/>
  <c r="H3208" i="8"/>
  <c r="I3208" i="8"/>
  <c r="J3208" i="8"/>
  <c r="K3208" i="8"/>
  <c r="L3208" i="8"/>
  <c r="M3208" i="8"/>
  <c r="N3208" i="8"/>
  <c r="O3208" i="8"/>
  <c r="P3208" i="8"/>
  <c r="Q3208" i="8"/>
  <c r="R3208" i="8"/>
  <c r="S3208" i="8"/>
  <c r="T3208" i="8"/>
  <c r="E3209" i="8"/>
  <c r="F3209" i="8"/>
  <c r="G3209" i="8"/>
  <c r="H3209" i="8"/>
  <c r="I3209" i="8"/>
  <c r="J3209" i="8"/>
  <c r="K3209" i="8"/>
  <c r="L3209" i="8"/>
  <c r="M3209" i="8"/>
  <c r="N3209" i="8"/>
  <c r="O3209" i="8"/>
  <c r="P3209" i="8"/>
  <c r="Q3209" i="8"/>
  <c r="R3209" i="8"/>
  <c r="S3209" i="8"/>
  <c r="T3209" i="8"/>
  <c r="E3210" i="8"/>
  <c r="F3210" i="8"/>
  <c r="G3210" i="8"/>
  <c r="H3210" i="8"/>
  <c r="I3210" i="8"/>
  <c r="J3210" i="8"/>
  <c r="K3210" i="8"/>
  <c r="L3210" i="8"/>
  <c r="M3210" i="8"/>
  <c r="N3210" i="8"/>
  <c r="O3210" i="8"/>
  <c r="P3210" i="8"/>
  <c r="Q3210" i="8"/>
  <c r="R3210" i="8"/>
  <c r="S3210" i="8"/>
  <c r="T3210" i="8"/>
  <c r="E3211" i="8"/>
  <c r="F3211" i="8"/>
  <c r="G3211" i="8"/>
  <c r="H3211" i="8"/>
  <c r="I3211" i="8"/>
  <c r="J3211" i="8"/>
  <c r="K3211" i="8"/>
  <c r="L3211" i="8"/>
  <c r="M3211" i="8"/>
  <c r="N3211" i="8"/>
  <c r="O3211" i="8"/>
  <c r="P3211" i="8"/>
  <c r="Q3211" i="8"/>
  <c r="R3211" i="8"/>
  <c r="S3211" i="8"/>
  <c r="T3211" i="8"/>
  <c r="E3212" i="8"/>
  <c r="F3212" i="8"/>
  <c r="G3212" i="8"/>
  <c r="H3212" i="8"/>
  <c r="I3212" i="8"/>
  <c r="J3212" i="8"/>
  <c r="K3212" i="8"/>
  <c r="L3212" i="8"/>
  <c r="M3212" i="8"/>
  <c r="N3212" i="8"/>
  <c r="O3212" i="8"/>
  <c r="P3212" i="8"/>
  <c r="Q3212" i="8"/>
  <c r="R3212" i="8"/>
  <c r="S3212" i="8"/>
  <c r="T3212" i="8"/>
  <c r="E3213" i="8"/>
  <c r="F3213" i="8"/>
  <c r="G3213" i="8"/>
  <c r="H3213" i="8"/>
  <c r="I3213" i="8"/>
  <c r="J3213" i="8"/>
  <c r="K3213" i="8"/>
  <c r="L3213" i="8"/>
  <c r="M3213" i="8"/>
  <c r="N3213" i="8"/>
  <c r="O3213" i="8"/>
  <c r="P3213" i="8"/>
  <c r="Q3213" i="8"/>
  <c r="R3213" i="8"/>
  <c r="S3213" i="8"/>
  <c r="T3213" i="8"/>
  <c r="E3214" i="8"/>
  <c r="F3214" i="8"/>
  <c r="G3214" i="8"/>
  <c r="H3214" i="8"/>
  <c r="I3214" i="8"/>
  <c r="J3214" i="8"/>
  <c r="K3214" i="8"/>
  <c r="L3214" i="8"/>
  <c r="M3214" i="8"/>
  <c r="N3214" i="8"/>
  <c r="O3214" i="8"/>
  <c r="P3214" i="8"/>
  <c r="Q3214" i="8"/>
  <c r="R3214" i="8"/>
  <c r="S3214" i="8"/>
  <c r="T3214" i="8"/>
  <c r="E3215" i="8"/>
  <c r="F3215" i="8"/>
  <c r="G3215" i="8"/>
  <c r="H3215" i="8"/>
  <c r="I3215" i="8"/>
  <c r="J3215" i="8"/>
  <c r="K3215" i="8"/>
  <c r="L3215" i="8"/>
  <c r="M3215" i="8"/>
  <c r="N3215" i="8"/>
  <c r="O3215" i="8"/>
  <c r="P3215" i="8"/>
  <c r="Q3215" i="8"/>
  <c r="R3215" i="8"/>
  <c r="S3215" i="8"/>
  <c r="T3215" i="8"/>
  <c r="E3216" i="8"/>
  <c r="F3216" i="8"/>
  <c r="G3216" i="8"/>
  <c r="H3216" i="8"/>
  <c r="I3216" i="8"/>
  <c r="J3216" i="8"/>
  <c r="K3216" i="8"/>
  <c r="L3216" i="8"/>
  <c r="M3216" i="8"/>
  <c r="N3216" i="8"/>
  <c r="O3216" i="8"/>
  <c r="P3216" i="8"/>
  <c r="Q3216" i="8"/>
  <c r="R3216" i="8"/>
  <c r="S3216" i="8"/>
  <c r="T3216" i="8"/>
  <c r="E3217" i="8"/>
  <c r="F3217" i="8"/>
  <c r="G3217" i="8"/>
  <c r="H3217" i="8"/>
  <c r="I3217" i="8"/>
  <c r="J3217" i="8"/>
  <c r="K3217" i="8"/>
  <c r="L3217" i="8"/>
  <c r="M3217" i="8"/>
  <c r="N3217" i="8"/>
  <c r="O3217" i="8"/>
  <c r="P3217" i="8"/>
  <c r="Q3217" i="8"/>
  <c r="R3217" i="8"/>
  <c r="S3217" i="8"/>
  <c r="T3217" i="8"/>
  <c r="E3218" i="8"/>
  <c r="F3218" i="8"/>
  <c r="G3218" i="8"/>
  <c r="H3218" i="8"/>
  <c r="I3218" i="8"/>
  <c r="J3218" i="8"/>
  <c r="K3218" i="8"/>
  <c r="L3218" i="8"/>
  <c r="M3218" i="8"/>
  <c r="N3218" i="8"/>
  <c r="O3218" i="8"/>
  <c r="P3218" i="8"/>
  <c r="Q3218" i="8"/>
  <c r="R3218" i="8"/>
  <c r="S3218" i="8"/>
  <c r="T3218" i="8"/>
  <c r="G297" i="7"/>
  <c r="E3197" i="8"/>
  <c r="F3197" i="8"/>
  <c r="G3197" i="8"/>
  <c r="H3197" i="8"/>
  <c r="I3197" i="8"/>
  <c r="J3197" i="8"/>
  <c r="K3197" i="8"/>
  <c r="L3197" i="8"/>
  <c r="M3197" i="8"/>
  <c r="N3197" i="8"/>
  <c r="O3197" i="8"/>
  <c r="P3197" i="8"/>
  <c r="Q3197" i="8"/>
  <c r="R3197" i="8"/>
  <c r="S3197" i="8"/>
  <c r="T3197" i="8"/>
  <c r="E3198" i="8"/>
  <c r="F3198" i="8"/>
  <c r="G3198" i="8"/>
  <c r="H3198" i="8"/>
  <c r="I3198" i="8"/>
  <c r="J3198" i="8"/>
  <c r="K3198" i="8"/>
  <c r="L3198" i="8"/>
  <c r="M3198" i="8"/>
  <c r="N3198" i="8"/>
  <c r="O3198" i="8"/>
  <c r="P3198" i="8"/>
  <c r="Q3198" i="8"/>
  <c r="R3198" i="8"/>
  <c r="S3198" i="8"/>
  <c r="T3198" i="8"/>
  <c r="E3199" i="8"/>
  <c r="F3199" i="8"/>
  <c r="G3199" i="8"/>
  <c r="H3199" i="8"/>
  <c r="I3199" i="8"/>
  <c r="J3199" i="8"/>
  <c r="K3199" i="8"/>
  <c r="L3199" i="8"/>
  <c r="M3199" i="8"/>
  <c r="N3199" i="8"/>
  <c r="O3199" i="8"/>
  <c r="P3199" i="8"/>
  <c r="Q3199" i="8"/>
  <c r="R3199" i="8"/>
  <c r="S3199" i="8"/>
  <c r="T3199" i="8"/>
  <c r="E3200" i="8"/>
  <c r="F3200" i="8"/>
  <c r="G3200" i="8"/>
  <c r="H3200" i="8"/>
  <c r="I3200" i="8"/>
  <c r="J3200" i="8"/>
  <c r="K3200" i="8"/>
  <c r="L3200" i="8"/>
  <c r="M3200" i="8"/>
  <c r="N3200" i="8"/>
  <c r="O3200" i="8"/>
  <c r="P3200" i="8"/>
  <c r="Q3200" i="8"/>
  <c r="R3200" i="8"/>
  <c r="S3200" i="8"/>
  <c r="T3200" i="8"/>
  <c r="E3201" i="8"/>
  <c r="F3201" i="8"/>
  <c r="G3201" i="8"/>
  <c r="H3201" i="8"/>
  <c r="I3201" i="8"/>
  <c r="J3201" i="8"/>
  <c r="K3201" i="8"/>
  <c r="L3201" i="8"/>
  <c r="M3201" i="8"/>
  <c r="N3201" i="8"/>
  <c r="O3201" i="8"/>
  <c r="P3201" i="8"/>
  <c r="Q3201" i="8"/>
  <c r="R3201" i="8"/>
  <c r="S3201" i="8"/>
  <c r="T3201" i="8"/>
  <c r="E3202" i="8"/>
  <c r="F3202" i="8"/>
  <c r="G3202" i="8"/>
  <c r="H3202" i="8"/>
  <c r="I3202" i="8"/>
  <c r="J3202" i="8"/>
  <c r="K3202" i="8"/>
  <c r="L3202" i="8"/>
  <c r="M3202" i="8"/>
  <c r="N3202" i="8"/>
  <c r="O3202" i="8"/>
  <c r="P3202" i="8"/>
  <c r="Q3202" i="8"/>
  <c r="R3202" i="8"/>
  <c r="S3202" i="8"/>
  <c r="T3202" i="8"/>
  <c r="E3203" i="8"/>
  <c r="F3203" i="8"/>
  <c r="G3203" i="8"/>
  <c r="H3203" i="8"/>
  <c r="I3203" i="8"/>
  <c r="J3203" i="8"/>
  <c r="K3203" i="8"/>
  <c r="L3203" i="8"/>
  <c r="M3203" i="8"/>
  <c r="N3203" i="8"/>
  <c r="O3203" i="8"/>
  <c r="P3203" i="8"/>
  <c r="Q3203" i="8"/>
  <c r="R3203" i="8"/>
  <c r="S3203" i="8"/>
  <c r="T3203" i="8"/>
  <c r="E3204" i="8"/>
  <c r="F3204" i="8"/>
  <c r="G3204" i="8"/>
  <c r="H3204" i="8"/>
  <c r="I3204" i="8"/>
  <c r="J3204" i="8"/>
  <c r="K3204" i="8"/>
  <c r="L3204" i="8"/>
  <c r="M3204" i="8"/>
  <c r="N3204" i="8"/>
  <c r="O3204" i="8"/>
  <c r="P3204" i="8"/>
  <c r="Q3204" i="8"/>
  <c r="R3204" i="8"/>
  <c r="S3204" i="8"/>
  <c r="T3204" i="8"/>
  <c r="E3205" i="8"/>
  <c r="F3205" i="8"/>
  <c r="G3205" i="8"/>
  <c r="H3205" i="8"/>
  <c r="I3205" i="8"/>
  <c r="J3205" i="8"/>
  <c r="K3205" i="8"/>
  <c r="L3205" i="8"/>
  <c r="M3205" i="8"/>
  <c r="N3205" i="8"/>
  <c r="O3205" i="8"/>
  <c r="P3205" i="8"/>
  <c r="Q3205" i="8"/>
  <c r="R3205" i="8"/>
  <c r="S3205" i="8"/>
  <c r="T3205" i="8"/>
  <c r="E3206" i="8"/>
  <c r="F3206" i="8"/>
  <c r="G3206" i="8"/>
  <c r="H3206" i="8"/>
  <c r="I3206" i="8"/>
  <c r="J3206" i="8"/>
  <c r="K3206" i="8"/>
  <c r="L3206" i="8"/>
  <c r="M3206" i="8"/>
  <c r="N3206" i="8"/>
  <c r="O3206" i="8"/>
  <c r="P3206" i="8"/>
  <c r="Q3206" i="8"/>
  <c r="R3206" i="8"/>
  <c r="S3206" i="8"/>
  <c r="T3206" i="8"/>
  <c r="E3207" i="8"/>
  <c r="F3207" i="8"/>
  <c r="G3207" i="8"/>
  <c r="H3207" i="8"/>
  <c r="I3207" i="8"/>
  <c r="J3207" i="8"/>
  <c r="K3207" i="8"/>
  <c r="L3207" i="8"/>
  <c r="M3207" i="8"/>
  <c r="N3207" i="8"/>
  <c r="O3207" i="8"/>
  <c r="P3207" i="8"/>
  <c r="Q3207" i="8"/>
  <c r="R3207" i="8"/>
  <c r="S3207" i="8"/>
  <c r="T3207" i="8"/>
  <c r="E297" i="7"/>
  <c r="F297" i="7"/>
  <c r="H297" i="7"/>
  <c r="I297" i="7"/>
  <c r="J297" i="7"/>
  <c r="K297" i="7"/>
  <c r="L297" i="7"/>
  <c r="M297" i="7"/>
  <c r="N297" i="7"/>
  <c r="P297" i="7"/>
  <c r="Q297" i="7"/>
  <c r="R297" i="7"/>
  <c r="S297" i="7"/>
  <c r="U297" i="7"/>
  <c r="V297" i="7"/>
  <c r="W297" i="7"/>
  <c r="X297" i="7"/>
  <c r="Y297" i="7"/>
  <c r="Z297" i="7"/>
  <c r="AA297" i="7"/>
  <c r="AC297" i="7"/>
  <c r="AE297" i="7"/>
  <c r="AI297" i="7"/>
  <c r="AO297" i="7"/>
  <c r="AP297" i="7"/>
  <c r="F296" i="7"/>
  <c r="H296" i="7"/>
  <c r="J296" i="7"/>
  <c r="L296" i="7"/>
  <c r="P296" i="7"/>
  <c r="R296" i="7"/>
  <c r="V296" i="7"/>
  <c r="X296" i="7"/>
  <c r="AA296" i="7"/>
  <c r="AE296" i="7"/>
  <c r="E296" i="7"/>
  <c r="G296" i="7"/>
  <c r="I296" i="7"/>
  <c r="K296" i="7"/>
  <c r="M296" i="7"/>
  <c r="Q296" i="7"/>
  <c r="S296" i="7"/>
  <c r="U296" i="7"/>
  <c r="W296" i="7"/>
  <c r="AI296" i="7"/>
  <c r="AO296" i="7"/>
  <c r="AP296" i="7"/>
  <c r="E3186" i="8"/>
  <c r="F3186" i="8"/>
  <c r="G3186" i="8"/>
  <c r="H3186" i="8"/>
  <c r="I3186" i="8"/>
  <c r="J3186" i="8"/>
  <c r="K3186" i="8"/>
  <c r="L3186" i="8"/>
  <c r="M3186" i="8"/>
  <c r="N3186" i="8"/>
  <c r="O3186" i="8"/>
  <c r="P3186" i="8"/>
  <c r="Q3186" i="8"/>
  <c r="R3186" i="8"/>
  <c r="S3186" i="8"/>
  <c r="T3186" i="8"/>
  <c r="E3187" i="8"/>
  <c r="F3187" i="8"/>
  <c r="G3187" i="8"/>
  <c r="H3187" i="8"/>
  <c r="I3187" i="8"/>
  <c r="J3187" i="8"/>
  <c r="K3187" i="8"/>
  <c r="L3187" i="8"/>
  <c r="M3187" i="8"/>
  <c r="N3187" i="8"/>
  <c r="O3187" i="8"/>
  <c r="P3187" i="8"/>
  <c r="Q3187" i="8"/>
  <c r="R3187" i="8"/>
  <c r="S3187" i="8"/>
  <c r="T3187" i="8"/>
  <c r="E3188" i="8"/>
  <c r="F3188" i="8"/>
  <c r="G3188" i="8"/>
  <c r="H3188" i="8"/>
  <c r="I3188" i="8"/>
  <c r="J3188" i="8"/>
  <c r="K3188" i="8"/>
  <c r="L3188" i="8"/>
  <c r="M3188" i="8"/>
  <c r="N3188" i="8"/>
  <c r="O3188" i="8"/>
  <c r="P3188" i="8"/>
  <c r="Q3188" i="8"/>
  <c r="R3188" i="8"/>
  <c r="S3188" i="8"/>
  <c r="T3188" i="8"/>
  <c r="E3189" i="8"/>
  <c r="F3189" i="8"/>
  <c r="G3189" i="8"/>
  <c r="H3189" i="8"/>
  <c r="I3189" i="8"/>
  <c r="J3189" i="8"/>
  <c r="K3189" i="8"/>
  <c r="L3189" i="8"/>
  <c r="M3189" i="8"/>
  <c r="N3189" i="8"/>
  <c r="O3189" i="8"/>
  <c r="P3189" i="8"/>
  <c r="Q3189" i="8"/>
  <c r="R3189" i="8"/>
  <c r="S3189" i="8"/>
  <c r="T3189" i="8"/>
  <c r="E3190" i="8"/>
  <c r="F3190" i="8"/>
  <c r="G3190" i="8"/>
  <c r="H3190" i="8"/>
  <c r="I3190" i="8"/>
  <c r="J3190" i="8"/>
  <c r="K3190" i="8"/>
  <c r="L3190" i="8"/>
  <c r="M3190" i="8"/>
  <c r="N3190" i="8"/>
  <c r="O3190" i="8"/>
  <c r="P3190" i="8"/>
  <c r="Q3190" i="8"/>
  <c r="R3190" i="8"/>
  <c r="S3190" i="8"/>
  <c r="T3190" i="8"/>
  <c r="E3191" i="8"/>
  <c r="F3191" i="8"/>
  <c r="G3191" i="8"/>
  <c r="H3191" i="8"/>
  <c r="I3191" i="8"/>
  <c r="J3191" i="8"/>
  <c r="K3191" i="8"/>
  <c r="L3191" i="8"/>
  <c r="M3191" i="8"/>
  <c r="N3191" i="8"/>
  <c r="O3191" i="8"/>
  <c r="P3191" i="8"/>
  <c r="Q3191" i="8"/>
  <c r="R3191" i="8"/>
  <c r="S3191" i="8"/>
  <c r="T3191" i="8"/>
  <c r="E3192" i="8"/>
  <c r="F3192" i="8"/>
  <c r="G3192" i="8"/>
  <c r="H3192" i="8"/>
  <c r="I3192" i="8"/>
  <c r="J3192" i="8"/>
  <c r="K3192" i="8"/>
  <c r="L3192" i="8"/>
  <c r="M3192" i="8"/>
  <c r="N3192" i="8"/>
  <c r="O3192" i="8"/>
  <c r="P3192" i="8"/>
  <c r="Q3192" i="8"/>
  <c r="R3192" i="8"/>
  <c r="S3192" i="8"/>
  <c r="T3192" i="8"/>
  <c r="E3193" i="8"/>
  <c r="F3193" i="8"/>
  <c r="G3193" i="8"/>
  <c r="H3193" i="8"/>
  <c r="I3193" i="8"/>
  <c r="J3193" i="8"/>
  <c r="K3193" i="8"/>
  <c r="L3193" i="8"/>
  <c r="M3193" i="8"/>
  <c r="N3193" i="8"/>
  <c r="O3193" i="8"/>
  <c r="P3193" i="8"/>
  <c r="Q3193" i="8"/>
  <c r="R3193" i="8"/>
  <c r="S3193" i="8"/>
  <c r="T3193" i="8"/>
  <c r="E3194" i="8"/>
  <c r="F3194" i="8"/>
  <c r="G3194" i="8"/>
  <c r="H3194" i="8"/>
  <c r="I3194" i="8"/>
  <c r="J3194" i="8"/>
  <c r="K3194" i="8"/>
  <c r="L3194" i="8"/>
  <c r="M3194" i="8"/>
  <c r="N3194" i="8"/>
  <c r="O3194" i="8"/>
  <c r="P3194" i="8"/>
  <c r="Q3194" i="8"/>
  <c r="R3194" i="8"/>
  <c r="S3194" i="8"/>
  <c r="T3194" i="8"/>
  <c r="E3195" i="8"/>
  <c r="F3195" i="8"/>
  <c r="G3195" i="8"/>
  <c r="H3195" i="8"/>
  <c r="I3195" i="8"/>
  <c r="J3195" i="8"/>
  <c r="K3195" i="8"/>
  <c r="L3195" i="8"/>
  <c r="M3195" i="8"/>
  <c r="N3195" i="8"/>
  <c r="O3195" i="8"/>
  <c r="P3195" i="8"/>
  <c r="Q3195" i="8"/>
  <c r="R3195" i="8"/>
  <c r="S3195" i="8"/>
  <c r="T3195" i="8"/>
  <c r="E3196" i="8"/>
  <c r="F3196" i="8"/>
  <c r="G3196" i="8"/>
  <c r="H3196" i="8"/>
  <c r="I3196" i="8"/>
  <c r="J3196" i="8"/>
  <c r="K3196" i="8"/>
  <c r="L3196" i="8"/>
  <c r="M3196" i="8"/>
  <c r="N3196" i="8"/>
  <c r="O3196" i="8"/>
  <c r="P3196" i="8"/>
  <c r="Q3196" i="8"/>
  <c r="R3196" i="8"/>
  <c r="S3196" i="8"/>
  <c r="T3196" i="8"/>
  <c r="E295" i="7"/>
  <c r="G295" i="7"/>
  <c r="I295" i="7"/>
  <c r="K295" i="7"/>
  <c r="M295" i="7"/>
  <c r="Q295" i="7"/>
  <c r="S295" i="7"/>
  <c r="V295" i="7"/>
  <c r="W295" i="7"/>
  <c r="X295" i="7"/>
  <c r="Y295" i="7"/>
  <c r="Z295" i="7"/>
  <c r="AA295" i="7"/>
  <c r="AC295" i="7"/>
  <c r="AE295" i="7"/>
  <c r="AI295" i="7"/>
  <c r="AO295" i="7"/>
  <c r="F295" i="7"/>
  <c r="H295" i="7"/>
  <c r="J295" i="7"/>
  <c r="L295" i="7"/>
  <c r="N295" i="7"/>
  <c r="P295" i="7"/>
  <c r="R295" i="7"/>
  <c r="U295" i="7"/>
  <c r="AP295" i="7"/>
  <c r="E3175" i="8"/>
  <c r="F3175" i="8"/>
  <c r="G3175" i="8"/>
  <c r="H3175" i="8"/>
  <c r="I3175" i="8"/>
  <c r="J3175" i="8"/>
  <c r="K3175" i="8"/>
  <c r="L3175" i="8"/>
  <c r="M3175" i="8"/>
  <c r="N3175" i="8"/>
  <c r="O3175" i="8"/>
  <c r="P3175" i="8"/>
  <c r="Q3175" i="8"/>
  <c r="R3175" i="8"/>
  <c r="S3175" i="8"/>
  <c r="T3175" i="8"/>
  <c r="E3176" i="8"/>
  <c r="F3176" i="8"/>
  <c r="G3176" i="8"/>
  <c r="H3176" i="8"/>
  <c r="I3176" i="8"/>
  <c r="J3176" i="8"/>
  <c r="K3176" i="8"/>
  <c r="L3176" i="8"/>
  <c r="M3176" i="8"/>
  <c r="N3176" i="8"/>
  <c r="O3176" i="8"/>
  <c r="P3176" i="8"/>
  <c r="Q3176" i="8"/>
  <c r="R3176" i="8"/>
  <c r="S3176" i="8"/>
  <c r="T3176" i="8"/>
  <c r="E3177" i="8"/>
  <c r="F3177" i="8"/>
  <c r="G3177" i="8"/>
  <c r="H3177" i="8"/>
  <c r="I3177" i="8"/>
  <c r="J3177" i="8"/>
  <c r="K3177" i="8"/>
  <c r="L3177" i="8"/>
  <c r="M3177" i="8"/>
  <c r="N3177" i="8"/>
  <c r="O3177" i="8"/>
  <c r="P3177" i="8"/>
  <c r="Q3177" i="8"/>
  <c r="R3177" i="8"/>
  <c r="S3177" i="8"/>
  <c r="T3177" i="8"/>
  <c r="E3178" i="8"/>
  <c r="F3178" i="8"/>
  <c r="G3178" i="8"/>
  <c r="H3178" i="8"/>
  <c r="I3178" i="8"/>
  <c r="J3178" i="8"/>
  <c r="K3178" i="8"/>
  <c r="L3178" i="8"/>
  <c r="M3178" i="8"/>
  <c r="N3178" i="8"/>
  <c r="O3178" i="8"/>
  <c r="P3178" i="8"/>
  <c r="Q3178" i="8"/>
  <c r="R3178" i="8"/>
  <c r="S3178" i="8"/>
  <c r="T3178" i="8"/>
  <c r="E3179" i="8"/>
  <c r="F3179" i="8"/>
  <c r="G3179" i="8"/>
  <c r="H3179" i="8"/>
  <c r="I3179" i="8"/>
  <c r="J3179" i="8"/>
  <c r="K3179" i="8"/>
  <c r="L3179" i="8"/>
  <c r="M3179" i="8"/>
  <c r="N3179" i="8"/>
  <c r="O3179" i="8"/>
  <c r="P3179" i="8"/>
  <c r="Q3179" i="8"/>
  <c r="R3179" i="8"/>
  <c r="S3179" i="8"/>
  <c r="T3179" i="8"/>
  <c r="E3180" i="8"/>
  <c r="F3180" i="8"/>
  <c r="G3180" i="8"/>
  <c r="H3180" i="8"/>
  <c r="I3180" i="8"/>
  <c r="J3180" i="8"/>
  <c r="K3180" i="8"/>
  <c r="L3180" i="8"/>
  <c r="M3180" i="8"/>
  <c r="N3180" i="8"/>
  <c r="O3180" i="8"/>
  <c r="P3180" i="8"/>
  <c r="Q3180" i="8"/>
  <c r="R3180" i="8"/>
  <c r="S3180" i="8"/>
  <c r="T3180" i="8"/>
  <c r="E3181" i="8"/>
  <c r="F3181" i="8"/>
  <c r="G3181" i="8"/>
  <c r="H3181" i="8"/>
  <c r="I3181" i="8"/>
  <c r="J3181" i="8"/>
  <c r="K3181" i="8"/>
  <c r="L3181" i="8"/>
  <c r="M3181" i="8"/>
  <c r="N3181" i="8"/>
  <c r="O3181" i="8"/>
  <c r="P3181" i="8"/>
  <c r="Q3181" i="8"/>
  <c r="R3181" i="8"/>
  <c r="S3181" i="8"/>
  <c r="T3181" i="8"/>
  <c r="E3182" i="8"/>
  <c r="F3182" i="8"/>
  <c r="G3182" i="8"/>
  <c r="H3182" i="8"/>
  <c r="I3182" i="8"/>
  <c r="J3182" i="8"/>
  <c r="K3182" i="8"/>
  <c r="L3182" i="8"/>
  <c r="M3182" i="8"/>
  <c r="N3182" i="8"/>
  <c r="O3182" i="8"/>
  <c r="P3182" i="8"/>
  <c r="Q3182" i="8"/>
  <c r="R3182" i="8"/>
  <c r="S3182" i="8"/>
  <c r="T3182" i="8"/>
  <c r="E3183" i="8"/>
  <c r="F3183" i="8"/>
  <c r="G3183" i="8"/>
  <c r="H3183" i="8"/>
  <c r="I3183" i="8"/>
  <c r="J3183" i="8"/>
  <c r="K3183" i="8"/>
  <c r="L3183" i="8"/>
  <c r="M3183" i="8"/>
  <c r="N3183" i="8"/>
  <c r="O3183" i="8"/>
  <c r="P3183" i="8"/>
  <c r="Q3183" i="8"/>
  <c r="R3183" i="8"/>
  <c r="S3183" i="8"/>
  <c r="T3183" i="8"/>
  <c r="E3184" i="8"/>
  <c r="F3184" i="8"/>
  <c r="G3184" i="8"/>
  <c r="H3184" i="8"/>
  <c r="I3184" i="8"/>
  <c r="J3184" i="8"/>
  <c r="K3184" i="8"/>
  <c r="L3184" i="8"/>
  <c r="M3184" i="8"/>
  <c r="N3184" i="8"/>
  <c r="O3184" i="8"/>
  <c r="P3184" i="8"/>
  <c r="Q3184" i="8"/>
  <c r="R3184" i="8"/>
  <c r="S3184" i="8"/>
  <c r="T3184" i="8"/>
  <c r="E3185" i="8"/>
  <c r="F3185" i="8"/>
  <c r="G3185" i="8"/>
  <c r="H3185" i="8"/>
  <c r="I3185" i="8"/>
  <c r="J3185" i="8"/>
  <c r="K3185" i="8"/>
  <c r="L3185" i="8"/>
  <c r="M3185" i="8"/>
  <c r="N3185" i="8"/>
  <c r="O3185" i="8"/>
  <c r="P3185" i="8"/>
  <c r="Q3185" i="8"/>
  <c r="R3185" i="8"/>
  <c r="S3185" i="8"/>
  <c r="T3185" i="8"/>
  <c r="E294" i="7"/>
  <c r="G294" i="7"/>
  <c r="I294" i="7"/>
  <c r="K294" i="7"/>
  <c r="N294" i="7"/>
  <c r="P294" i="7"/>
  <c r="Q294" i="7"/>
  <c r="S294" i="7"/>
  <c r="V294" i="7"/>
  <c r="Y294" i="7"/>
  <c r="Z294" i="7"/>
  <c r="AA294" i="7"/>
  <c r="AC294" i="7"/>
  <c r="AI294" i="7"/>
  <c r="AP294" i="7"/>
  <c r="F294" i="7"/>
  <c r="H294" i="7"/>
  <c r="J294" i="7"/>
  <c r="L294" i="7"/>
  <c r="M294" i="7"/>
  <c r="R294" i="7"/>
  <c r="U294" i="7"/>
  <c r="W294" i="7"/>
  <c r="X294" i="7"/>
  <c r="AE294" i="7"/>
  <c r="AO294" i="7"/>
  <c r="E3164" i="8"/>
  <c r="F3164" i="8"/>
  <c r="G3164" i="8"/>
  <c r="H3164" i="8"/>
  <c r="I3164" i="8"/>
  <c r="J3164" i="8"/>
  <c r="K3164" i="8"/>
  <c r="L3164" i="8"/>
  <c r="M3164" i="8"/>
  <c r="N3164" i="8"/>
  <c r="O3164" i="8"/>
  <c r="P3164" i="8"/>
  <c r="Q3164" i="8"/>
  <c r="R3164" i="8"/>
  <c r="S3164" i="8"/>
  <c r="T3164" i="8"/>
  <c r="E3165" i="8"/>
  <c r="F3165" i="8"/>
  <c r="G3165" i="8"/>
  <c r="H3165" i="8"/>
  <c r="I3165" i="8"/>
  <c r="J3165" i="8"/>
  <c r="K3165" i="8"/>
  <c r="L3165" i="8"/>
  <c r="M3165" i="8"/>
  <c r="N3165" i="8"/>
  <c r="O3165" i="8"/>
  <c r="P3165" i="8"/>
  <c r="Q3165" i="8"/>
  <c r="R3165" i="8"/>
  <c r="S3165" i="8"/>
  <c r="T3165" i="8"/>
  <c r="E3166" i="8"/>
  <c r="F3166" i="8"/>
  <c r="G3166" i="8"/>
  <c r="H3166" i="8"/>
  <c r="I3166" i="8"/>
  <c r="J3166" i="8"/>
  <c r="K3166" i="8"/>
  <c r="L3166" i="8"/>
  <c r="M3166" i="8"/>
  <c r="N3166" i="8"/>
  <c r="O3166" i="8"/>
  <c r="P3166" i="8"/>
  <c r="Q3166" i="8"/>
  <c r="R3166" i="8"/>
  <c r="S3166" i="8"/>
  <c r="T3166" i="8"/>
  <c r="E3167" i="8"/>
  <c r="F3167" i="8"/>
  <c r="G3167" i="8"/>
  <c r="H3167" i="8"/>
  <c r="I3167" i="8"/>
  <c r="J3167" i="8"/>
  <c r="K3167" i="8"/>
  <c r="L3167" i="8"/>
  <c r="M3167" i="8"/>
  <c r="N3167" i="8"/>
  <c r="O3167" i="8"/>
  <c r="P3167" i="8"/>
  <c r="Q3167" i="8"/>
  <c r="R3167" i="8"/>
  <c r="S3167" i="8"/>
  <c r="T3167" i="8"/>
  <c r="E3168" i="8"/>
  <c r="F3168" i="8"/>
  <c r="G3168" i="8"/>
  <c r="H3168" i="8"/>
  <c r="I3168" i="8"/>
  <c r="J3168" i="8"/>
  <c r="K3168" i="8"/>
  <c r="L3168" i="8"/>
  <c r="M3168" i="8"/>
  <c r="N3168" i="8"/>
  <c r="O3168" i="8"/>
  <c r="P3168" i="8"/>
  <c r="Q3168" i="8"/>
  <c r="R3168" i="8"/>
  <c r="S3168" i="8"/>
  <c r="T3168" i="8"/>
  <c r="E3169" i="8"/>
  <c r="F3169" i="8"/>
  <c r="G3169" i="8"/>
  <c r="H3169" i="8"/>
  <c r="I3169" i="8"/>
  <c r="J3169" i="8"/>
  <c r="K3169" i="8"/>
  <c r="L3169" i="8"/>
  <c r="M3169" i="8"/>
  <c r="N3169" i="8"/>
  <c r="O3169" i="8"/>
  <c r="P3169" i="8"/>
  <c r="Q3169" i="8"/>
  <c r="R3169" i="8"/>
  <c r="S3169" i="8"/>
  <c r="T3169" i="8"/>
  <c r="E3170" i="8"/>
  <c r="F3170" i="8"/>
  <c r="G3170" i="8"/>
  <c r="H3170" i="8"/>
  <c r="I3170" i="8"/>
  <c r="J3170" i="8"/>
  <c r="K3170" i="8"/>
  <c r="L3170" i="8"/>
  <c r="M3170" i="8"/>
  <c r="N3170" i="8"/>
  <c r="O3170" i="8"/>
  <c r="P3170" i="8"/>
  <c r="Q3170" i="8"/>
  <c r="R3170" i="8"/>
  <c r="S3170" i="8"/>
  <c r="T3170" i="8"/>
  <c r="E3171" i="8"/>
  <c r="F3171" i="8"/>
  <c r="G3171" i="8"/>
  <c r="H3171" i="8"/>
  <c r="I3171" i="8"/>
  <c r="J3171" i="8"/>
  <c r="K3171" i="8"/>
  <c r="L3171" i="8"/>
  <c r="M3171" i="8"/>
  <c r="N3171" i="8"/>
  <c r="O3171" i="8"/>
  <c r="P3171" i="8"/>
  <c r="Q3171" i="8"/>
  <c r="R3171" i="8"/>
  <c r="S3171" i="8"/>
  <c r="T3171" i="8"/>
  <c r="E3172" i="8"/>
  <c r="F3172" i="8"/>
  <c r="G3172" i="8"/>
  <c r="H3172" i="8"/>
  <c r="I3172" i="8"/>
  <c r="J3172" i="8"/>
  <c r="K3172" i="8"/>
  <c r="L3172" i="8"/>
  <c r="M3172" i="8"/>
  <c r="N3172" i="8"/>
  <c r="O3172" i="8"/>
  <c r="P3172" i="8"/>
  <c r="Q3172" i="8"/>
  <c r="R3172" i="8"/>
  <c r="S3172" i="8"/>
  <c r="T3172" i="8"/>
  <c r="E3173" i="8"/>
  <c r="F3173" i="8"/>
  <c r="G3173" i="8"/>
  <c r="H3173" i="8"/>
  <c r="I3173" i="8"/>
  <c r="J3173" i="8"/>
  <c r="K3173" i="8"/>
  <c r="L3173" i="8"/>
  <c r="M3173" i="8"/>
  <c r="N3173" i="8"/>
  <c r="O3173" i="8"/>
  <c r="P3173" i="8"/>
  <c r="Q3173" i="8"/>
  <c r="R3173" i="8"/>
  <c r="S3173" i="8"/>
  <c r="T3173" i="8"/>
  <c r="E3174" i="8"/>
  <c r="F3174" i="8"/>
  <c r="G3174" i="8"/>
  <c r="H3174" i="8"/>
  <c r="I3174" i="8"/>
  <c r="J3174" i="8"/>
  <c r="K3174" i="8"/>
  <c r="L3174" i="8"/>
  <c r="M3174" i="8"/>
  <c r="N3174" i="8"/>
  <c r="O3174" i="8"/>
  <c r="P3174" i="8"/>
  <c r="Q3174" i="8"/>
  <c r="R3174" i="8"/>
  <c r="S3174" i="8"/>
  <c r="T3174" i="8"/>
  <c r="E293" i="7"/>
  <c r="G293" i="7"/>
  <c r="H293" i="7"/>
  <c r="J293" i="7"/>
  <c r="L293" i="7"/>
  <c r="N293" i="7"/>
  <c r="P293" i="7"/>
  <c r="S293" i="7"/>
  <c r="U293" i="7"/>
  <c r="W293" i="7"/>
  <c r="Y293" i="7"/>
  <c r="Z293" i="7"/>
  <c r="AC293" i="7"/>
  <c r="AE293" i="7"/>
  <c r="AP293" i="7"/>
  <c r="F293" i="7"/>
  <c r="I293" i="7"/>
  <c r="K293" i="7"/>
  <c r="M293" i="7"/>
  <c r="Q293" i="7"/>
  <c r="R293" i="7"/>
  <c r="V293" i="7"/>
  <c r="X293" i="7"/>
  <c r="AA293" i="7"/>
  <c r="AI293" i="7"/>
  <c r="AO293" i="7"/>
  <c r="E3153" i="8"/>
  <c r="F3153" i="8"/>
  <c r="G3153" i="8"/>
  <c r="H3153" i="8"/>
  <c r="I3153" i="8"/>
  <c r="J3153" i="8"/>
  <c r="K3153" i="8"/>
  <c r="L3153" i="8"/>
  <c r="M3153" i="8"/>
  <c r="N3153" i="8"/>
  <c r="O3153" i="8"/>
  <c r="P3153" i="8"/>
  <c r="Q3153" i="8"/>
  <c r="R3153" i="8"/>
  <c r="S3153" i="8"/>
  <c r="T3153" i="8"/>
  <c r="E3154" i="8"/>
  <c r="F3154" i="8"/>
  <c r="G3154" i="8"/>
  <c r="H3154" i="8"/>
  <c r="I3154" i="8"/>
  <c r="J3154" i="8"/>
  <c r="K3154" i="8"/>
  <c r="L3154" i="8"/>
  <c r="M3154" i="8"/>
  <c r="N3154" i="8"/>
  <c r="O3154" i="8"/>
  <c r="P3154" i="8"/>
  <c r="Q3154" i="8"/>
  <c r="R3154" i="8"/>
  <c r="S3154" i="8"/>
  <c r="T3154" i="8"/>
  <c r="E3155" i="8"/>
  <c r="F3155" i="8"/>
  <c r="G3155" i="8"/>
  <c r="H3155" i="8"/>
  <c r="I3155" i="8"/>
  <c r="J3155" i="8"/>
  <c r="K3155" i="8"/>
  <c r="L3155" i="8"/>
  <c r="M3155" i="8"/>
  <c r="N3155" i="8"/>
  <c r="O3155" i="8"/>
  <c r="P3155" i="8"/>
  <c r="Q3155" i="8"/>
  <c r="R3155" i="8"/>
  <c r="S3155" i="8"/>
  <c r="T3155" i="8"/>
  <c r="E3156" i="8"/>
  <c r="F3156" i="8"/>
  <c r="G3156" i="8"/>
  <c r="H3156" i="8"/>
  <c r="I3156" i="8"/>
  <c r="J3156" i="8"/>
  <c r="K3156" i="8"/>
  <c r="L3156" i="8"/>
  <c r="M3156" i="8"/>
  <c r="N3156" i="8"/>
  <c r="O3156" i="8"/>
  <c r="P3156" i="8"/>
  <c r="Q3156" i="8"/>
  <c r="R3156" i="8"/>
  <c r="S3156" i="8"/>
  <c r="T3156" i="8"/>
  <c r="E3157" i="8"/>
  <c r="F3157" i="8"/>
  <c r="G3157" i="8"/>
  <c r="H3157" i="8"/>
  <c r="I3157" i="8"/>
  <c r="J3157" i="8"/>
  <c r="K3157" i="8"/>
  <c r="L3157" i="8"/>
  <c r="M3157" i="8"/>
  <c r="N3157" i="8"/>
  <c r="O3157" i="8"/>
  <c r="P3157" i="8"/>
  <c r="Q3157" i="8"/>
  <c r="R3157" i="8"/>
  <c r="S3157" i="8"/>
  <c r="T3157" i="8"/>
  <c r="E3158" i="8"/>
  <c r="F3158" i="8"/>
  <c r="G3158" i="8"/>
  <c r="H3158" i="8"/>
  <c r="I3158" i="8"/>
  <c r="J3158" i="8"/>
  <c r="K3158" i="8"/>
  <c r="L3158" i="8"/>
  <c r="M3158" i="8"/>
  <c r="N3158" i="8"/>
  <c r="O3158" i="8"/>
  <c r="P3158" i="8"/>
  <c r="Q3158" i="8"/>
  <c r="R3158" i="8"/>
  <c r="S3158" i="8"/>
  <c r="T3158" i="8"/>
  <c r="E3159" i="8"/>
  <c r="F3159" i="8"/>
  <c r="G3159" i="8"/>
  <c r="H3159" i="8"/>
  <c r="I3159" i="8"/>
  <c r="J3159" i="8"/>
  <c r="K3159" i="8"/>
  <c r="L3159" i="8"/>
  <c r="M3159" i="8"/>
  <c r="N3159" i="8"/>
  <c r="O3159" i="8"/>
  <c r="P3159" i="8"/>
  <c r="Q3159" i="8"/>
  <c r="R3159" i="8"/>
  <c r="S3159" i="8"/>
  <c r="T3159" i="8"/>
  <c r="E3160" i="8"/>
  <c r="F3160" i="8"/>
  <c r="G3160" i="8"/>
  <c r="H3160" i="8"/>
  <c r="I3160" i="8"/>
  <c r="J3160" i="8"/>
  <c r="K3160" i="8"/>
  <c r="L3160" i="8"/>
  <c r="M3160" i="8"/>
  <c r="N3160" i="8"/>
  <c r="O3160" i="8"/>
  <c r="P3160" i="8"/>
  <c r="Q3160" i="8"/>
  <c r="R3160" i="8"/>
  <c r="S3160" i="8"/>
  <c r="T3160" i="8"/>
  <c r="E3161" i="8"/>
  <c r="F3161" i="8"/>
  <c r="G3161" i="8"/>
  <c r="H3161" i="8"/>
  <c r="I3161" i="8"/>
  <c r="J3161" i="8"/>
  <c r="K3161" i="8"/>
  <c r="L3161" i="8"/>
  <c r="M3161" i="8"/>
  <c r="N3161" i="8"/>
  <c r="O3161" i="8"/>
  <c r="P3161" i="8"/>
  <c r="Q3161" i="8"/>
  <c r="R3161" i="8"/>
  <c r="S3161" i="8"/>
  <c r="T3161" i="8"/>
  <c r="E3162" i="8"/>
  <c r="F3162" i="8"/>
  <c r="G3162" i="8"/>
  <c r="H3162" i="8"/>
  <c r="I3162" i="8"/>
  <c r="J3162" i="8"/>
  <c r="K3162" i="8"/>
  <c r="L3162" i="8"/>
  <c r="M3162" i="8"/>
  <c r="N3162" i="8"/>
  <c r="O3162" i="8"/>
  <c r="P3162" i="8"/>
  <c r="Q3162" i="8"/>
  <c r="R3162" i="8"/>
  <c r="S3162" i="8"/>
  <c r="T3162" i="8"/>
  <c r="E3163" i="8"/>
  <c r="F3163" i="8"/>
  <c r="G3163" i="8"/>
  <c r="H3163" i="8"/>
  <c r="I3163" i="8"/>
  <c r="J3163" i="8"/>
  <c r="K3163" i="8"/>
  <c r="L3163" i="8"/>
  <c r="M3163" i="8"/>
  <c r="N3163" i="8"/>
  <c r="O3163" i="8"/>
  <c r="P3163" i="8"/>
  <c r="Q3163" i="8"/>
  <c r="R3163" i="8"/>
  <c r="S3163" i="8"/>
  <c r="T3163" i="8"/>
  <c r="E292" i="7"/>
  <c r="G292" i="7"/>
  <c r="J292" i="7"/>
  <c r="M292" i="7"/>
  <c r="Q292" i="7"/>
  <c r="S292" i="7"/>
  <c r="U292" i="7"/>
  <c r="W292" i="7"/>
  <c r="X292" i="7"/>
  <c r="Y292" i="7"/>
  <c r="AA292" i="7"/>
  <c r="AE292" i="7"/>
  <c r="AI292" i="7"/>
  <c r="F292" i="7"/>
  <c r="H292" i="7"/>
  <c r="I292" i="7"/>
  <c r="K292" i="7"/>
  <c r="L292" i="7"/>
  <c r="N292" i="7"/>
  <c r="P292" i="7"/>
  <c r="R292" i="7"/>
  <c r="V292" i="7"/>
  <c r="Z292" i="7"/>
  <c r="AC292" i="7"/>
  <c r="AO292" i="7"/>
  <c r="AP292" i="7"/>
  <c r="E3142" i="8"/>
  <c r="F3142" i="8"/>
  <c r="G3142" i="8"/>
  <c r="H3142" i="8"/>
  <c r="I3142" i="8"/>
  <c r="J3142" i="8"/>
  <c r="K3142" i="8"/>
  <c r="L3142" i="8"/>
  <c r="M3142" i="8"/>
  <c r="N3142" i="8"/>
  <c r="O3142" i="8"/>
  <c r="P3142" i="8"/>
  <c r="Q3142" i="8"/>
  <c r="R3142" i="8"/>
  <c r="S3142" i="8"/>
  <c r="T3142" i="8"/>
  <c r="E3143" i="8"/>
  <c r="F3143" i="8"/>
  <c r="G3143" i="8"/>
  <c r="H3143" i="8"/>
  <c r="I3143" i="8"/>
  <c r="J3143" i="8"/>
  <c r="K3143" i="8"/>
  <c r="L3143" i="8"/>
  <c r="M3143" i="8"/>
  <c r="N3143" i="8"/>
  <c r="O3143" i="8"/>
  <c r="P3143" i="8"/>
  <c r="Q3143" i="8"/>
  <c r="R3143" i="8"/>
  <c r="S3143" i="8"/>
  <c r="T3143" i="8"/>
  <c r="E3144" i="8"/>
  <c r="F3144" i="8"/>
  <c r="G3144" i="8"/>
  <c r="H3144" i="8"/>
  <c r="I3144" i="8"/>
  <c r="J3144" i="8"/>
  <c r="K3144" i="8"/>
  <c r="L3144" i="8"/>
  <c r="M3144" i="8"/>
  <c r="N3144" i="8"/>
  <c r="O3144" i="8"/>
  <c r="P3144" i="8"/>
  <c r="Q3144" i="8"/>
  <c r="R3144" i="8"/>
  <c r="S3144" i="8"/>
  <c r="T3144" i="8"/>
  <c r="E3145" i="8"/>
  <c r="F3145" i="8"/>
  <c r="G3145" i="8"/>
  <c r="H3145" i="8"/>
  <c r="I3145" i="8"/>
  <c r="J3145" i="8"/>
  <c r="K3145" i="8"/>
  <c r="L3145" i="8"/>
  <c r="M3145" i="8"/>
  <c r="N3145" i="8"/>
  <c r="O3145" i="8"/>
  <c r="P3145" i="8"/>
  <c r="Q3145" i="8"/>
  <c r="R3145" i="8"/>
  <c r="S3145" i="8"/>
  <c r="T3145" i="8"/>
  <c r="E3146" i="8"/>
  <c r="F3146" i="8"/>
  <c r="G3146" i="8"/>
  <c r="H3146" i="8"/>
  <c r="I3146" i="8"/>
  <c r="J3146" i="8"/>
  <c r="K3146" i="8"/>
  <c r="L3146" i="8"/>
  <c r="M3146" i="8"/>
  <c r="N3146" i="8"/>
  <c r="O3146" i="8"/>
  <c r="P3146" i="8"/>
  <c r="Q3146" i="8"/>
  <c r="R3146" i="8"/>
  <c r="S3146" i="8"/>
  <c r="T3146" i="8"/>
  <c r="E3147" i="8"/>
  <c r="F3147" i="8"/>
  <c r="G3147" i="8"/>
  <c r="H3147" i="8"/>
  <c r="I3147" i="8"/>
  <c r="J3147" i="8"/>
  <c r="K3147" i="8"/>
  <c r="L3147" i="8"/>
  <c r="M3147" i="8"/>
  <c r="N3147" i="8"/>
  <c r="O3147" i="8"/>
  <c r="P3147" i="8"/>
  <c r="Q3147" i="8"/>
  <c r="R3147" i="8"/>
  <c r="S3147" i="8"/>
  <c r="T3147" i="8"/>
  <c r="E3148" i="8"/>
  <c r="F3148" i="8"/>
  <c r="G3148" i="8"/>
  <c r="H3148" i="8"/>
  <c r="I3148" i="8"/>
  <c r="J3148" i="8"/>
  <c r="K3148" i="8"/>
  <c r="L3148" i="8"/>
  <c r="M3148" i="8"/>
  <c r="N3148" i="8"/>
  <c r="O3148" i="8"/>
  <c r="P3148" i="8"/>
  <c r="Q3148" i="8"/>
  <c r="R3148" i="8"/>
  <c r="S3148" i="8"/>
  <c r="T3148" i="8"/>
  <c r="E3149" i="8"/>
  <c r="F3149" i="8"/>
  <c r="G3149" i="8"/>
  <c r="H3149" i="8"/>
  <c r="I3149" i="8"/>
  <c r="J3149" i="8"/>
  <c r="K3149" i="8"/>
  <c r="L3149" i="8"/>
  <c r="M3149" i="8"/>
  <c r="N3149" i="8"/>
  <c r="O3149" i="8"/>
  <c r="P3149" i="8"/>
  <c r="Q3149" i="8"/>
  <c r="R3149" i="8"/>
  <c r="S3149" i="8"/>
  <c r="T3149" i="8"/>
  <c r="E3150" i="8"/>
  <c r="F3150" i="8"/>
  <c r="G3150" i="8"/>
  <c r="H3150" i="8"/>
  <c r="I3150" i="8"/>
  <c r="J3150" i="8"/>
  <c r="K3150" i="8"/>
  <c r="L3150" i="8"/>
  <c r="M3150" i="8"/>
  <c r="N3150" i="8"/>
  <c r="O3150" i="8"/>
  <c r="P3150" i="8"/>
  <c r="Q3150" i="8"/>
  <c r="R3150" i="8"/>
  <c r="S3150" i="8"/>
  <c r="T3150" i="8"/>
  <c r="E3151" i="8"/>
  <c r="F3151" i="8"/>
  <c r="G3151" i="8"/>
  <c r="H3151" i="8"/>
  <c r="I3151" i="8"/>
  <c r="J3151" i="8"/>
  <c r="K3151" i="8"/>
  <c r="L3151" i="8"/>
  <c r="M3151" i="8"/>
  <c r="N3151" i="8"/>
  <c r="O3151" i="8"/>
  <c r="P3151" i="8"/>
  <c r="Q3151" i="8"/>
  <c r="R3151" i="8"/>
  <c r="S3151" i="8"/>
  <c r="T3151" i="8"/>
  <c r="E3152" i="8"/>
  <c r="F3152" i="8"/>
  <c r="G3152" i="8"/>
  <c r="H3152" i="8"/>
  <c r="I3152" i="8"/>
  <c r="J3152" i="8"/>
  <c r="K3152" i="8"/>
  <c r="L3152" i="8"/>
  <c r="M3152" i="8"/>
  <c r="N3152" i="8"/>
  <c r="O3152" i="8"/>
  <c r="P3152" i="8"/>
  <c r="Q3152" i="8"/>
  <c r="R3152" i="8"/>
  <c r="S3152" i="8"/>
  <c r="T3152" i="8"/>
  <c r="E291" i="7"/>
  <c r="G291" i="7"/>
  <c r="I291" i="7"/>
  <c r="K291" i="7"/>
  <c r="L291" i="7"/>
  <c r="N291" i="7"/>
  <c r="P291" i="7"/>
  <c r="R291" i="7"/>
  <c r="V291" i="7"/>
  <c r="Y291" i="7"/>
  <c r="AA291" i="7"/>
  <c r="AC291" i="7"/>
  <c r="AI291" i="7"/>
  <c r="AO291" i="7"/>
  <c r="F291" i="7"/>
  <c r="H291" i="7"/>
  <c r="J291" i="7"/>
  <c r="M291" i="7"/>
  <c r="Q291" i="7"/>
  <c r="S291" i="7"/>
  <c r="U291" i="7"/>
  <c r="W291" i="7"/>
  <c r="X291" i="7"/>
  <c r="Z291" i="7"/>
  <c r="AE291" i="7"/>
  <c r="AP291" i="7"/>
  <c r="E3131" i="8"/>
  <c r="F3131" i="8"/>
  <c r="G3131" i="8"/>
  <c r="H3131" i="8"/>
  <c r="I3131" i="8"/>
  <c r="J3131" i="8"/>
  <c r="K3131" i="8"/>
  <c r="L3131" i="8"/>
  <c r="M3131" i="8"/>
  <c r="N3131" i="8"/>
  <c r="O3131" i="8"/>
  <c r="P3131" i="8"/>
  <c r="Q3131" i="8"/>
  <c r="R3131" i="8"/>
  <c r="S3131" i="8"/>
  <c r="T3131" i="8"/>
  <c r="E3132" i="8"/>
  <c r="F3132" i="8"/>
  <c r="G3132" i="8"/>
  <c r="H3132" i="8"/>
  <c r="I3132" i="8"/>
  <c r="J3132" i="8"/>
  <c r="K3132" i="8"/>
  <c r="L3132" i="8"/>
  <c r="M3132" i="8"/>
  <c r="N3132" i="8"/>
  <c r="O3132" i="8"/>
  <c r="P3132" i="8"/>
  <c r="Q3132" i="8"/>
  <c r="R3132" i="8"/>
  <c r="S3132" i="8"/>
  <c r="T3132" i="8"/>
  <c r="E3133" i="8"/>
  <c r="F3133" i="8"/>
  <c r="G3133" i="8"/>
  <c r="H3133" i="8"/>
  <c r="I3133" i="8"/>
  <c r="J3133" i="8"/>
  <c r="K3133" i="8"/>
  <c r="L3133" i="8"/>
  <c r="M3133" i="8"/>
  <c r="N3133" i="8"/>
  <c r="O3133" i="8"/>
  <c r="P3133" i="8"/>
  <c r="Q3133" i="8"/>
  <c r="R3133" i="8"/>
  <c r="S3133" i="8"/>
  <c r="T3133" i="8"/>
  <c r="E3134" i="8"/>
  <c r="F3134" i="8"/>
  <c r="G3134" i="8"/>
  <c r="H3134" i="8"/>
  <c r="I3134" i="8"/>
  <c r="J3134" i="8"/>
  <c r="K3134" i="8"/>
  <c r="L3134" i="8"/>
  <c r="M3134" i="8"/>
  <c r="N3134" i="8"/>
  <c r="O3134" i="8"/>
  <c r="P3134" i="8"/>
  <c r="Q3134" i="8"/>
  <c r="R3134" i="8"/>
  <c r="S3134" i="8"/>
  <c r="T3134" i="8"/>
  <c r="E3135" i="8"/>
  <c r="F3135" i="8"/>
  <c r="G3135" i="8"/>
  <c r="H3135" i="8"/>
  <c r="I3135" i="8"/>
  <c r="J3135" i="8"/>
  <c r="K3135" i="8"/>
  <c r="L3135" i="8"/>
  <c r="M3135" i="8"/>
  <c r="N3135" i="8"/>
  <c r="O3135" i="8"/>
  <c r="P3135" i="8"/>
  <c r="Q3135" i="8"/>
  <c r="R3135" i="8"/>
  <c r="S3135" i="8"/>
  <c r="T3135" i="8"/>
  <c r="E3136" i="8"/>
  <c r="F3136" i="8"/>
  <c r="G3136" i="8"/>
  <c r="H3136" i="8"/>
  <c r="I3136" i="8"/>
  <c r="J3136" i="8"/>
  <c r="K3136" i="8"/>
  <c r="L3136" i="8"/>
  <c r="M3136" i="8"/>
  <c r="N3136" i="8"/>
  <c r="O3136" i="8"/>
  <c r="P3136" i="8"/>
  <c r="Q3136" i="8"/>
  <c r="R3136" i="8"/>
  <c r="S3136" i="8"/>
  <c r="T3136" i="8"/>
  <c r="E3137" i="8"/>
  <c r="F3137" i="8"/>
  <c r="G3137" i="8"/>
  <c r="H3137" i="8"/>
  <c r="I3137" i="8"/>
  <c r="J3137" i="8"/>
  <c r="K3137" i="8"/>
  <c r="L3137" i="8"/>
  <c r="M3137" i="8"/>
  <c r="N3137" i="8"/>
  <c r="O3137" i="8"/>
  <c r="P3137" i="8"/>
  <c r="Q3137" i="8"/>
  <c r="R3137" i="8"/>
  <c r="S3137" i="8"/>
  <c r="T3137" i="8"/>
  <c r="E3138" i="8"/>
  <c r="F3138" i="8"/>
  <c r="G3138" i="8"/>
  <c r="H3138" i="8"/>
  <c r="I3138" i="8"/>
  <c r="J3138" i="8"/>
  <c r="K3138" i="8"/>
  <c r="L3138" i="8"/>
  <c r="M3138" i="8"/>
  <c r="N3138" i="8"/>
  <c r="O3138" i="8"/>
  <c r="P3138" i="8"/>
  <c r="Q3138" i="8"/>
  <c r="R3138" i="8"/>
  <c r="S3138" i="8"/>
  <c r="T3138" i="8"/>
  <c r="E3139" i="8"/>
  <c r="F3139" i="8"/>
  <c r="G3139" i="8"/>
  <c r="H3139" i="8"/>
  <c r="I3139" i="8"/>
  <c r="J3139" i="8"/>
  <c r="K3139" i="8"/>
  <c r="L3139" i="8"/>
  <c r="M3139" i="8"/>
  <c r="N3139" i="8"/>
  <c r="O3139" i="8"/>
  <c r="P3139" i="8"/>
  <c r="Q3139" i="8"/>
  <c r="R3139" i="8"/>
  <c r="S3139" i="8"/>
  <c r="T3139" i="8"/>
  <c r="E3140" i="8"/>
  <c r="F3140" i="8"/>
  <c r="G3140" i="8"/>
  <c r="H3140" i="8"/>
  <c r="I3140" i="8"/>
  <c r="J3140" i="8"/>
  <c r="K3140" i="8"/>
  <c r="L3140" i="8"/>
  <c r="M3140" i="8"/>
  <c r="N3140" i="8"/>
  <c r="O3140" i="8"/>
  <c r="P3140" i="8"/>
  <c r="Q3140" i="8"/>
  <c r="R3140" i="8"/>
  <c r="S3140" i="8"/>
  <c r="T3140" i="8"/>
  <c r="E3141" i="8"/>
  <c r="F3141" i="8"/>
  <c r="G3141" i="8"/>
  <c r="H3141" i="8"/>
  <c r="I3141" i="8"/>
  <c r="J3141" i="8"/>
  <c r="K3141" i="8"/>
  <c r="L3141" i="8"/>
  <c r="M3141" i="8"/>
  <c r="N3141" i="8"/>
  <c r="O3141" i="8"/>
  <c r="P3141" i="8"/>
  <c r="Q3141" i="8"/>
  <c r="R3141" i="8"/>
  <c r="S3141" i="8"/>
  <c r="T3141" i="8"/>
  <c r="E290" i="7"/>
  <c r="G290" i="7"/>
  <c r="I290" i="7"/>
  <c r="K290" i="7"/>
  <c r="M290" i="7"/>
  <c r="P290" i="7"/>
  <c r="R290" i="7"/>
  <c r="U290" i="7"/>
  <c r="V290" i="7"/>
  <c r="W290" i="7"/>
  <c r="X290" i="7"/>
  <c r="Y290" i="7"/>
  <c r="Z290" i="7"/>
  <c r="AA290" i="7"/>
  <c r="AE290" i="7"/>
  <c r="AO290" i="7"/>
  <c r="E3120" i="8"/>
  <c r="F3120" i="8"/>
  <c r="G3120" i="8"/>
  <c r="H3120" i="8"/>
  <c r="I3120" i="8"/>
  <c r="J3120" i="8"/>
  <c r="K3120" i="8"/>
  <c r="L3120" i="8"/>
  <c r="M3120" i="8"/>
  <c r="N3120" i="8"/>
  <c r="O3120" i="8"/>
  <c r="P3120" i="8"/>
  <c r="Q3120" i="8"/>
  <c r="R3120" i="8"/>
  <c r="S3120" i="8"/>
  <c r="T3120" i="8"/>
  <c r="E3121" i="8"/>
  <c r="F3121" i="8"/>
  <c r="G3121" i="8"/>
  <c r="H3121" i="8"/>
  <c r="I3121" i="8"/>
  <c r="J3121" i="8"/>
  <c r="K3121" i="8"/>
  <c r="L3121" i="8"/>
  <c r="M3121" i="8"/>
  <c r="N3121" i="8"/>
  <c r="O3121" i="8"/>
  <c r="P3121" i="8"/>
  <c r="Q3121" i="8"/>
  <c r="R3121" i="8"/>
  <c r="S3121" i="8"/>
  <c r="T3121" i="8"/>
  <c r="E3122" i="8"/>
  <c r="F3122" i="8"/>
  <c r="G3122" i="8"/>
  <c r="H3122" i="8"/>
  <c r="I3122" i="8"/>
  <c r="J3122" i="8"/>
  <c r="K3122" i="8"/>
  <c r="L3122" i="8"/>
  <c r="M3122" i="8"/>
  <c r="N3122" i="8"/>
  <c r="O3122" i="8"/>
  <c r="P3122" i="8"/>
  <c r="Q3122" i="8"/>
  <c r="R3122" i="8"/>
  <c r="S3122" i="8"/>
  <c r="T3122" i="8"/>
  <c r="E3123" i="8"/>
  <c r="F3123" i="8"/>
  <c r="G3123" i="8"/>
  <c r="H3123" i="8"/>
  <c r="I3123" i="8"/>
  <c r="J3123" i="8"/>
  <c r="K3123" i="8"/>
  <c r="L3123" i="8"/>
  <c r="M3123" i="8"/>
  <c r="N3123" i="8"/>
  <c r="O3123" i="8"/>
  <c r="P3123" i="8"/>
  <c r="Q3123" i="8"/>
  <c r="R3123" i="8"/>
  <c r="S3123" i="8"/>
  <c r="T3123" i="8"/>
  <c r="E3124" i="8"/>
  <c r="F3124" i="8"/>
  <c r="G3124" i="8"/>
  <c r="H3124" i="8"/>
  <c r="I3124" i="8"/>
  <c r="J3124" i="8"/>
  <c r="K3124" i="8"/>
  <c r="L3124" i="8"/>
  <c r="M3124" i="8"/>
  <c r="N3124" i="8"/>
  <c r="O3124" i="8"/>
  <c r="P3124" i="8"/>
  <c r="Q3124" i="8"/>
  <c r="R3124" i="8"/>
  <c r="S3124" i="8"/>
  <c r="T3124" i="8"/>
  <c r="E3125" i="8"/>
  <c r="F3125" i="8"/>
  <c r="G3125" i="8"/>
  <c r="H3125" i="8"/>
  <c r="I3125" i="8"/>
  <c r="J3125" i="8"/>
  <c r="K3125" i="8"/>
  <c r="L3125" i="8"/>
  <c r="M3125" i="8"/>
  <c r="N3125" i="8"/>
  <c r="O3125" i="8"/>
  <c r="P3125" i="8"/>
  <c r="Q3125" i="8"/>
  <c r="R3125" i="8"/>
  <c r="S3125" i="8"/>
  <c r="T3125" i="8"/>
  <c r="E3126" i="8"/>
  <c r="F3126" i="8"/>
  <c r="G3126" i="8"/>
  <c r="H3126" i="8"/>
  <c r="I3126" i="8"/>
  <c r="J3126" i="8"/>
  <c r="K3126" i="8"/>
  <c r="L3126" i="8"/>
  <c r="M3126" i="8"/>
  <c r="N3126" i="8"/>
  <c r="O3126" i="8"/>
  <c r="P3126" i="8"/>
  <c r="Q3126" i="8"/>
  <c r="R3126" i="8"/>
  <c r="S3126" i="8"/>
  <c r="T3126" i="8"/>
  <c r="E3127" i="8"/>
  <c r="F3127" i="8"/>
  <c r="G3127" i="8"/>
  <c r="H3127" i="8"/>
  <c r="I3127" i="8"/>
  <c r="J3127" i="8"/>
  <c r="K3127" i="8"/>
  <c r="L3127" i="8"/>
  <c r="M3127" i="8"/>
  <c r="N3127" i="8"/>
  <c r="O3127" i="8"/>
  <c r="P3127" i="8"/>
  <c r="Q3127" i="8"/>
  <c r="R3127" i="8"/>
  <c r="S3127" i="8"/>
  <c r="T3127" i="8"/>
  <c r="E3128" i="8"/>
  <c r="F3128" i="8"/>
  <c r="G3128" i="8"/>
  <c r="H3128" i="8"/>
  <c r="I3128" i="8"/>
  <c r="J3128" i="8"/>
  <c r="K3128" i="8"/>
  <c r="L3128" i="8"/>
  <c r="M3128" i="8"/>
  <c r="N3128" i="8"/>
  <c r="O3128" i="8"/>
  <c r="P3128" i="8"/>
  <c r="Q3128" i="8"/>
  <c r="R3128" i="8"/>
  <c r="S3128" i="8"/>
  <c r="T3128" i="8"/>
  <c r="E3129" i="8"/>
  <c r="F3129" i="8"/>
  <c r="G3129" i="8"/>
  <c r="H3129" i="8"/>
  <c r="I3129" i="8"/>
  <c r="J3129" i="8"/>
  <c r="K3129" i="8"/>
  <c r="L3129" i="8"/>
  <c r="M3129" i="8"/>
  <c r="N3129" i="8"/>
  <c r="O3129" i="8"/>
  <c r="P3129" i="8"/>
  <c r="Q3129" i="8"/>
  <c r="R3129" i="8"/>
  <c r="S3129" i="8"/>
  <c r="T3129" i="8"/>
  <c r="E3130" i="8"/>
  <c r="F3130" i="8"/>
  <c r="G3130" i="8"/>
  <c r="H3130" i="8"/>
  <c r="I3130" i="8"/>
  <c r="J3130" i="8"/>
  <c r="K3130" i="8"/>
  <c r="L3130" i="8"/>
  <c r="M3130" i="8"/>
  <c r="N3130" i="8"/>
  <c r="O3130" i="8"/>
  <c r="P3130" i="8"/>
  <c r="Q3130" i="8"/>
  <c r="R3130" i="8"/>
  <c r="S3130" i="8"/>
  <c r="T3130" i="8"/>
  <c r="F290" i="7"/>
  <c r="H290" i="7"/>
  <c r="J290" i="7"/>
  <c r="L290" i="7"/>
  <c r="N290" i="7"/>
  <c r="Q290" i="7"/>
  <c r="S290" i="7"/>
  <c r="AC290" i="7"/>
  <c r="AI290" i="7"/>
  <c r="AP290" i="7"/>
  <c r="E285" i="7"/>
  <c r="F285" i="7"/>
  <c r="G285" i="7"/>
  <c r="H285" i="7"/>
  <c r="I285" i="7"/>
  <c r="J285" i="7"/>
  <c r="K285" i="7"/>
  <c r="L285" i="7"/>
  <c r="M285" i="7"/>
  <c r="N285" i="7"/>
  <c r="P285" i="7"/>
  <c r="Q285" i="7"/>
  <c r="R285" i="7"/>
  <c r="S285" i="7"/>
  <c r="U285" i="7"/>
  <c r="V285" i="7"/>
  <c r="W285" i="7"/>
  <c r="X285" i="7"/>
  <c r="Y285" i="7"/>
  <c r="Z285" i="7"/>
  <c r="AA285" i="7"/>
  <c r="AC285" i="7"/>
  <c r="AE285" i="7"/>
  <c r="AI285" i="7"/>
  <c r="AO285" i="7"/>
  <c r="AP285" i="7"/>
  <c r="E3065" i="8"/>
  <c r="F3065" i="8"/>
  <c r="G3065" i="8"/>
  <c r="H3065" i="8"/>
  <c r="I3065" i="8"/>
  <c r="J3065" i="8"/>
  <c r="K3065" i="8"/>
  <c r="L3065" i="8"/>
  <c r="M3065" i="8"/>
  <c r="N3065" i="8"/>
  <c r="O3065" i="8"/>
  <c r="P3065" i="8"/>
  <c r="Q3065" i="8"/>
  <c r="R3065" i="8"/>
  <c r="S3065" i="8"/>
  <c r="T3065" i="8"/>
  <c r="E3066" i="8"/>
  <c r="F3066" i="8"/>
  <c r="G3066" i="8"/>
  <c r="H3066" i="8"/>
  <c r="I3066" i="8"/>
  <c r="J3066" i="8"/>
  <c r="K3066" i="8"/>
  <c r="L3066" i="8"/>
  <c r="M3066" i="8"/>
  <c r="N3066" i="8"/>
  <c r="O3066" i="8"/>
  <c r="P3066" i="8"/>
  <c r="Q3066" i="8"/>
  <c r="R3066" i="8"/>
  <c r="S3066" i="8"/>
  <c r="T3066" i="8"/>
  <c r="E3067" i="8"/>
  <c r="F3067" i="8"/>
  <c r="G3067" i="8"/>
  <c r="H3067" i="8"/>
  <c r="I3067" i="8"/>
  <c r="J3067" i="8"/>
  <c r="K3067" i="8"/>
  <c r="L3067" i="8"/>
  <c r="M3067" i="8"/>
  <c r="N3067" i="8"/>
  <c r="O3067" i="8"/>
  <c r="P3067" i="8"/>
  <c r="Q3067" i="8"/>
  <c r="R3067" i="8"/>
  <c r="S3067" i="8"/>
  <c r="T3067" i="8"/>
  <c r="E3068" i="8"/>
  <c r="F3068" i="8"/>
  <c r="G3068" i="8"/>
  <c r="H3068" i="8"/>
  <c r="I3068" i="8"/>
  <c r="J3068" i="8"/>
  <c r="K3068" i="8"/>
  <c r="L3068" i="8"/>
  <c r="M3068" i="8"/>
  <c r="N3068" i="8"/>
  <c r="O3068" i="8"/>
  <c r="P3068" i="8"/>
  <c r="Q3068" i="8"/>
  <c r="R3068" i="8"/>
  <c r="S3068" i="8"/>
  <c r="T3068" i="8"/>
  <c r="E3069" i="8"/>
  <c r="F3069" i="8"/>
  <c r="G3069" i="8"/>
  <c r="H3069" i="8"/>
  <c r="I3069" i="8"/>
  <c r="J3069" i="8"/>
  <c r="K3069" i="8"/>
  <c r="L3069" i="8"/>
  <c r="M3069" i="8"/>
  <c r="N3069" i="8"/>
  <c r="O3069" i="8"/>
  <c r="P3069" i="8"/>
  <c r="Q3069" i="8"/>
  <c r="R3069" i="8"/>
  <c r="S3069" i="8"/>
  <c r="T3069" i="8"/>
  <c r="E3070" i="8"/>
  <c r="F3070" i="8"/>
  <c r="G3070" i="8"/>
  <c r="H3070" i="8"/>
  <c r="I3070" i="8"/>
  <c r="J3070" i="8"/>
  <c r="K3070" i="8"/>
  <c r="L3070" i="8"/>
  <c r="M3070" i="8"/>
  <c r="N3070" i="8"/>
  <c r="O3070" i="8"/>
  <c r="P3070" i="8"/>
  <c r="Q3070" i="8"/>
  <c r="R3070" i="8"/>
  <c r="S3070" i="8"/>
  <c r="T3070" i="8"/>
  <c r="E3071" i="8"/>
  <c r="F3071" i="8"/>
  <c r="G3071" i="8"/>
  <c r="H3071" i="8"/>
  <c r="I3071" i="8"/>
  <c r="J3071" i="8"/>
  <c r="K3071" i="8"/>
  <c r="L3071" i="8"/>
  <c r="M3071" i="8"/>
  <c r="N3071" i="8"/>
  <c r="O3071" i="8"/>
  <c r="P3071" i="8"/>
  <c r="Q3071" i="8"/>
  <c r="R3071" i="8"/>
  <c r="S3071" i="8"/>
  <c r="T3071" i="8"/>
  <c r="E3072" i="8"/>
  <c r="F3072" i="8"/>
  <c r="G3072" i="8"/>
  <c r="H3072" i="8"/>
  <c r="I3072" i="8"/>
  <c r="J3072" i="8"/>
  <c r="K3072" i="8"/>
  <c r="L3072" i="8"/>
  <c r="M3072" i="8"/>
  <c r="N3072" i="8"/>
  <c r="O3072" i="8"/>
  <c r="P3072" i="8"/>
  <c r="Q3072" i="8"/>
  <c r="R3072" i="8"/>
  <c r="S3072" i="8"/>
  <c r="T3072" i="8"/>
  <c r="E3073" i="8"/>
  <c r="F3073" i="8"/>
  <c r="G3073" i="8"/>
  <c r="H3073" i="8"/>
  <c r="I3073" i="8"/>
  <c r="J3073" i="8"/>
  <c r="K3073" i="8"/>
  <c r="L3073" i="8"/>
  <c r="M3073" i="8"/>
  <c r="N3073" i="8"/>
  <c r="O3073" i="8"/>
  <c r="P3073" i="8"/>
  <c r="Q3073" i="8"/>
  <c r="R3073" i="8"/>
  <c r="S3073" i="8"/>
  <c r="T3073" i="8"/>
  <c r="E3074" i="8"/>
  <c r="F3074" i="8"/>
  <c r="G3074" i="8"/>
  <c r="H3074" i="8"/>
  <c r="I3074" i="8"/>
  <c r="J3074" i="8"/>
  <c r="K3074" i="8"/>
  <c r="L3074" i="8"/>
  <c r="M3074" i="8"/>
  <c r="N3074" i="8"/>
  <c r="O3074" i="8"/>
  <c r="P3074" i="8"/>
  <c r="Q3074" i="8"/>
  <c r="R3074" i="8"/>
  <c r="S3074" i="8"/>
  <c r="T3074" i="8"/>
  <c r="E3075" i="8"/>
  <c r="F3075" i="8"/>
  <c r="G3075" i="8"/>
  <c r="H3075" i="8"/>
  <c r="I3075" i="8"/>
  <c r="J3075" i="8"/>
  <c r="K3075" i="8"/>
  <c r="L3075" i="8"/>
  <c r="M3075" i="8"/>
  <c r="N3075" i="8"/>
  <c r="O3075" i="8"/>
  <c r="P3075" i="8"/>
  <c r="Q3075" i="8"/>
  <c r="R3075" i="8"/>
  <c r="S3075" i="8"/>
  <c r="T3075" i="8"/>
  <c r="E284" i="7"/>
  <c r="F284" i="7"/>
  <c r="G284" i="7"/>
  <c r="H284" i="7"/>
  <c r="I284" i="7"/>
  <c r="J284" i="7"/>
  <c r="K284" i="7"/>
  <c r="L284" i="7"/>
  <c r="M284" i="7"/>
  <c r="N284" i="7"/>
  <c r="P284" i="7"/>
  <c r="Q284" i="7"/>
  <c r="R284" i="7"/>
  <c r="S284" i="7"/>
  <c r="U284" i="7"/>
  <c r="V284" i="7"/>
  <c r="W284" i="7"/>
  <c r="X284" i="7"/>
  <c r="Y284" i="7"/>
  <c r="Z284" i="7"/>
  <c r="AA284" i="7"/>
  <c r="AC284" i="7"/>
  <c r="AE284" i="7"/>
  <c r="AI284" i="7"/>
  <c r="AO284" i="7"/>
  <c r="AP284" i="7"/>
  <c r="E3054" i="8"/>
  <c r="F3054" i="8"/>
  <c r="G3054" i="8"/>
  <c r="H3054" i="8"/>
  <c r="I3054" i="8"/>
  <c r="J3054" i="8"/>
  <c r="K3054" i="8"/>
  <c r="L3054" i="8"/>
  <c r="M3054" i="8"/>
  <c r="N3054" i="8"/>
  <c r="O3054" i="8"/>
  <c r="P3054" i="8"/>
  <c r="Q3054" i="8"/>
  <c r="R3054" i="8"/>
  <c r="S3054" i="8"/>
  <c r="T3054" i="8"/>
  <c r="E3055" i="8"/>
  <c r="F3055" i="8"/>
  <c r="G3055" i="8"/>
  <c r="H3055" i="8"/>
  <c r="I3055" i="8"/>
  <c r="J3055" i="8"/>
  <c r="K3055" i="8"/>
  <c r="L3055" i="8"/>
  <c r="M3055" i="8"/>
  <c r="N3055" i="8"/>
  <c r="O3055" i="8"/>
  <c r="P3055" i="8"/>
  <c r="Q3055" i="8"/>
  <c r="R3055" i="8"/>
  <c r="S3055" i="8"/>
  <c r="T3055" i="8"/>
  <c r="E3056" i="8"/>
  <c r="F3056" i="8"/>
  <c r="G3056" i="8"/>
  <c r="H3056" i="8"/>
  <c r="I3056" i="8"/>
  <c r="J3056" i="8"/>
  <c r="K3056" i="8"/>
  <c r="L3056" i="8"/>
  <c r="M3056" i="8"/>
  <c r="N3056" i="8"/>
  <c r="O3056" i="8"/>
  <c r="P3056" i="8"/>
  <c r="Q3056" i="8"/>
  <c r="R3056" i="8"/>
  <c r="S3056" i="8"/>
  <c r="T3056" i="8"/>
  <c r="E3057" i="8"/>
  <c r="F3057" i="8"/>
  <c r="G3057" i="8"/>
  <c r="H3057" i="8"/>
  <c r="I3057" i="8"/>
  <c r="J3057" i="8"/>
  <c r="K3057" i="8"/>
  <c r="L3057" i="8"/>
  <c r="M3057" i="8"/>
  <c r="N3057" i="8"/>
  <c r="O3057" i="8"/>
  <c r="P3057" i="8"/>
  <c r="Q3057" i="8"/>
  <c r="R3057" i="8"/>
  <c r="S3057" i="8"/>
  <c r="T3057" i="8"/>
  <c r="E3058" i="8"/>
  <c r="F3058" i="8"/>
  <c r="G3058" i="8"/>
  <c r="H3058" i="8"/>
  <c r="I3058" i="8"/>
  <c r="J3058" i="8"/>
  <c r="K3058" i="8"/>
  <c r="L3058" i="8"/>
  <c r="M3058" i="8"/>
  <c r="N3058" i="8"/>
  <c r="O3058" i="8"/>
  <c r="P3058" i="8"/>
  <c r="Q3058" i="8"/>
  <c r="R3058" i="8"/>
  <c r="S3058" i="8"/>
  <c r="T3058" i="8"/>
  <c r="E3059" i="8"/>
  <c r="F3059" i="8"/>
  <c r="G3059" i="8"/>
  <c r="H3059" i="8"/>
  <c r="I3059" i="8"/>
  <c r="J3059" i="8"/>
  <c r="K3059" i="8"/>
  <c r="L3059" i="8"/>
  <c r="M3059" i="8"/>
  <c r="N3059" i="8"/>
  <c r="O3059" i="8"/>
  <c r="P3059" i="8"/>
  <c r="Q3059" i="8"/>
  <c r="R3059" i="8"/>
  <c r="S3059" i="8"/>
  <c r="T3059" i="8"/>
  <c r="E3060" i="8"/>
  <c r="F3060" i="8"/>
  <c r="G3060" i="8"/>
  <c r="H3060" i="8"/>
  <c r="I3060" i="8"/>
  <c r="J3060" i="8"/>
  <c r="K3060" i="8"/>
  <c r="L3060" i="8"/>
  <c r="M3060" i="8"/>
  <c r="N3060" i="8"/>
  <c r="O3060" i="8"/>
  <c r="P3060" i="8"/>
  <c r="Q3060" i="8"/>
  <c r="R3060" i="8"/>
  <c r="S3060" i="8"/>
  <c r="T3060" i="8"/>
  <c r="E3061" i="8"/>
  <c r="F3061" i="8"/>
  <c r="G3061" i="8"/>
  <c r="H3061" i="8"/>
  <c r="I3061" i="8"/>
  <c r="J3061" i="8"/>
  <c r="K3061" i="8"/>
  <c r="L3061" i="8"/>
  <c r="M3061" i="8"/>
  <c r="N3061" i="8"/>
  <c r="O3061" i="8"/>
  <c r="P3061" i="8"/>
  <c r="Q3061" i="8"/>
  <c r="R3061" i="8"/>
  <c r="S3061" i="8"/>
  <c r="T3061" i="8"/>
  <c r="E3062" i="8"/>
  <c r="F3062" i="8"/>
  <c r="G3062" i="8"/>
  <c r="H3062" i="8"/>
  <c r="I3062" i="8"/>
  <c r="J3062" i="8"/>
  <c r="K3062" i="8"/>
  <c r="L3062" i="8"/>
  <c r="M3062" i="8"/>
  <c r="N3062" i="8"/>
  <c r="O3062" i="8"/>
  <c r="P3062" i="8"/>
  <c r="Q3062" i="8"/>
  <c r="R3062" i="8"/>
  <c r="S3062" i="8"/>
  <c r="T3062" i="8"/>
  <c r="E3063" i="8"/>
  <c r="F3063" i="8"/>
  <c r="G3063" i="8"/>
  <c r="H3063" i="8"/>
  <c r="I3063" i="8"/>
  <c r="J3063" i="8"/>
  <c r="K3063" i="8"/>
  <c r="L3063" i="8"/>
  <c r="M3063" i="8"/>
  <c r="N3063" i="8"/>
  <c r="O3063" i="8"/>
  <c r="P3063" i="8"/>
  <c r="Q3063" i="8"/>
  <c r="R3063" i="8"/>
  <c r="S3063" i="8"/>
  <c r="T3063" i="8"/>
  <c r="E3064" i="8"/>
  <c r="F3064" i="8"/>
  <c r="G3064" i="8"/>
  <c r="H3064" i="8"/>
  <c r="I3064" i="8"/>
  <c r="J3064" i="8"/>
  <c r="K3064" i="8"/>
  <c r="L3064" i="8"/>
  <c r="M3064" i="8"/>
  <c r="N3064" i="8"/>
  <c r="O3064" i="8"/>
  <c r="P3064" i="8"/>
  <c r="Q3064" i="8"/>
  <c r="R3064" i="8"/>
  <c r="S3064" i="8"/>
  <c r="T3064" i="8"/>
  <c r="O280" i="7"/>
  <c r="AK280" i="7"/>
  <c r="O279" i="7"/>
  <c r="AK279" i="7"/>
  <c r="O278" i="7"/>
  <c r="AK278" i="7"/>
  <c r="O277" i="7"/>
  <c r="AK277" i="7"/>
  <c r="O276" i="7"/>
  <c r="AK276" i="7"/>
  <c r="O273" i="7"/>
  <c r="AK273" i="7"/>
  <c r="O272" i="7"/>
  <c r="AK272" i="7"/>
  <c r="O271" i="7"/>
  <c r="AK271" i="7"/>
  <c r="O270" i="7"/>
  <c r="AK270" i="7"/>
  <c r="O269" i="7"/>
  <c r="AK269" i="7"/>
  <c r="O268" i="7"/>
  <c r="AK268" i="7"/>
  <c r="O267" i="7"/>
  <c r="AK267" i="7"/>
  <c r="O266" i="7"/>
  <c r="AK266" i="7"/>
  <c r="O265" i="7"/>
  <c r="AK265" i="7"/>
  <c r="O264" i="7"/>
  <c r="AK264" i="7"/>
  <c r="E255" i="7"/>
  <c r="F255" i="7"/>
  <c r="G255" i="7"/>
  <c r="H255" i="7"/>
  <c r="I255" i="7"/>
  <c r="J255" i="7"/>
  <c r="K255" i="7"/>
  <c r="L255" i="7"/>
  <c r="M255" i="7"/>
  <c r="N255" i="7"/>
  <c r="P255" i="7"/>
  <c r="Q255" i="7"/>
  <c r="R255" i="7"/>
  <c r="S255" i="7"/>
  <c r="U255" i="7"/>
  <c r="V255" i="7"/>
  <c r="W255" i="7"/>
  <c r="X255" i="7"/>
  <c r="Y255" i="7"/>
  <c r="Z255" i="7"/>
  <c r="AA255" i="7"/>
  <c r="AC255" i="7"/>
  <c r="AE255" i="7"/>
  <c r="AI255" i="7"/>
  <c r="AO255" i="7"/>
  <c r="AP255" i="7"/>
  <c r="E2735" i="8"/>
  <c r="F2735" i="8"/>
  <c r="G2735" i="8"/>
  <c r="H2735" i="8"/>
  <c r="I2735" i="8"/>
  <c r="J2735" i="8"/>
  <c r="K2735" i="8"/>
  <c r="L2735" i="8"/>
  <c r="M2735" i="8"/>
  <c r="N2735" i="8"/>
  <c r="O2735" i="8"/>
  <c r="P2735" i="8"/>
  <c r="Q2735" i="8"/>
  <c r="R2735" i="8"/>
  <c r="S2735" i="8"/>
  <c r="T2735" i="8"/>
  <c r="E2736" i="8"/>
  <c r="F2736" i="8"/>
  <c r="G2736" i="8"/>
  <c r="H2736" i="8"/>
  <c r="I2736" i="8"/>
  <c r="J2736" i="8"/>
  <c r="K2736" i="8"/>
  <c r="L2736" i="8"/>
  <c r="M2736" i="8"/>
  <c r="N2736" i="8"/>
  <c r="O2736" i="8"/>
  <c r="P2736" i="8"/>
  <c r="Q2736" i="8"/>
  <c r="R2736" i="8"/>
  <c r="S2736" i="8"/>
  <c r="T2736" i="8"/>
  <c r="E2737" i="8"/>
  <c r="F2737" i="8"/>
  <c r="G2737" i="8"/>
  <c r="H2737" i="8"/>
  <c r="I2737" i="8"/>
  <c r="J2737" i="8"/>
  <c r="K2737" i="8"/>
  <c r="L2737" i="8"/>
  <c r="M2737" i="8"/>
  <c r="N2737" i="8"/>
  <c r="O2737" i="8"/>
  <c r="P2737" i="8"/>
  <c r="Q2737" i="8"/>
  <c r="R2737" i="8"/>
  <c r="S2737" i="8"/>
  <c r="T2737" i="8"/>
  <c r="E2738" i="8"/>
  <c r="F2738" i="8"/>
  <c r="G2738" i="8"/>
  <c r="H2738" i="8"/>
  <c r="I2738" i="8"/>
  <c r="J2738" i="8"/>
  <c r="K2738" i="8"/>
  <c r="L2738" i="8"/>
  <c r="M2738" i="8"/>
  <c r="N2738" i="8"/>
  <c r="O2738" i="8"/>
  <c r="P2738" i="8"/>
  <c r="Q2738" i="8"/>
  <c r="R2738" i="8"/>
  <c r="S2738" i="8"/>
  <c r="T2738" i="8"/>
  <c r="E2739" i="8"/>
  <c r="F2739" i="8"/>
  <c r="G2739" i="8"/>
  <c r="H2739" i="8"/>
  <c r="I2739" i="8"/>
  <c r="J2739" i="8"/>
  <c r="K2739" i="8"/>
  <c r="L2739" i="8"/>
  <c r="M2739" i="8"/>
  <c r="N2739" i="8"/>
  <c r="O2739" i="8"/>
  <c r="P2739" i="8"/>
  <c r="Q2739" i="8"/>
  <c r="R2739" i="8"/>
  <c r="S2739" i="8"/>
  <c r="T2739" i="8"/>
  <c r="E2740" i="8"/>
  <c r="F2740" i="8"/>
  <c r="G2740" i="8"/>
  <c r="H2740" i="8"/>
  <c r="I2740" i="8"/>
  <c r="J2740" i="8"/>
  <c r="K2740" i="8"/>
  <c r="L2740" i="8"/>
  <c r="M2740" i="8"/>
  <c r="N2740" i="8"/>
  <c r="O2740" i="8"/>
  <c r="P2740" i="8"/>
  <c r="Q2740" i="8"/>
  <c r="R2740" i="8"/>
  <c r="S2740" i="8"/>
  <c r="T2740" i="8"/>
  <c r="E2741" i="8"/>
  <c r="F2741" i="8"/>
  <c r="G2741" i="8"/>
  <c r="H2741" i="8"/>
  <c r="I2741" i="8"/>
  <c r="J2741" i="8"/>
  <c r="K2741" i="8"/>
  <c r="L2741" i="8"/>
  <c r="M2741" i="8"/>
  <c r="N2741" i="8"/>
  <c r="O2741" i="8"/>
  <c r="P2741" i="8"/>
  <c r="Q2741" i="8"/>
  <c r="R2741" i="8"/>
  <c r="S2741" i="8"/>
  <c r="T2741" i="8"/>
  <c r="E2742" i="8"/>
  <c r="F2742" i="8"/>
  <c r="G2742" i="8"/>
  <c r="H2742" i="8"/>
  <c r="I2742" i="8"/>
  <c r="J2742" i="8"/>
  <c r="K2742" i="8"/>
  <c r="L2742" i="8"/>
  <c r="M2742" i="8"/>
  <c r="N2742" i="8"/>
  <c r="O2742" i="8"/>
  <c r="P2742" i="8"/>
  <c r="Q2742" i="8"/>
  <c r="R2742" i="8"/>
  <c r="S2742" i="8"/>
  <c r="T2742" i="8"/>
  <c r="E2743" i="8"/>
  <c r="F2743" i="8"/>
  <c r="G2743" i="8"/>
  <c r="H2743" i="8"/>
  <c r="I2743" i="8"/>
  <c r="J2743" i="8"/>
  <c r="K2743" i="8"/>
  <c r="L2743" i="8"/>
  <c r="M2743" i="8"/>
  <c r="N2743" i="8"/>
  <c r="O2743" i="8"/>
  <c r="P2743" i="8"/>
  <c r="Q2743" i="8"/>
  <c r="R2743" i="8"/>
  <c r="S2743" i="8"/>
  <c r="T2743" i="8"/>
  <c r="E2744" i="8"/>
  <c r="F2744" i="8"/>
  <c r="G2744" i="8"/>
  <c r="H2744" i="8"/>
  <c r="I2744" i="8"/>
  <c r="J2744" i="8"/>
  <c r="K2744" i="8"/>
  <c r="L2744" i="8"/>
  <c r="M2744" i="8"/>
  <c r="N2744" i="8"/>
  <c r="O2744" i="8"/>
  <c r="P2744" i="8"/>
  <c r="Q2744" i="8"/>
  <c r="R2744" i="8"/>
  <c r="S2744" i="8"/>
  <c r="T2744" i="8"/>
  <c r="E2745" i="8"/>
  <c r="F2745" i="8"/>
  <c r="G2745" i="8"/>
  <c r="H2745" i="8"/>
  <c r="I2745" i="8"/>
  <c r="J2745" i="8"/>
  <c r="K2745" i="8"/>
  <c r="L2745" i="8"/>
  <c r="M2745" i="8"/>
  <c r="N2745" i="8"/>
  <c r="O2745" i="8"/>
  <c r="P2745" i="8"/>
  <c r="Q2745" i="8"/>
  <c r="R2745" i="8"/>
  <c r="S2745" i="8"/>
  <c r="T2745" i="8"/>
  <c r="E254" i="7"/>
  <c r="F254" i="7"/>
  <c r="G254" i="7"/>
  <c r="H254" i="7"/>
  <c r="I254" i="7"/>
  <c r="J254" i="7"/>
  <c r="K254" i="7"/>
  <c r="L254" i="7"/>
  <c r="M254" i="7"/>
  <c r="N254" i="7"/>
  <c r="P254" i="7"/>
  <c r="Q254" i="7"/>
  <c r="R254" i="7"/>
  <c r="S254" i="7"/>
  <c r="U254" i="7"/>
  <c r="V254" i="7"/>
  <c r="W254" i="7"/>
  <c r="X254" i="7"/>
  <c r="Y254" i="7"/>
  <c r="Z254" i="7"/>
  <c r="AA254" i="7"/>
  <c r="AC254" i="7"/>
  <c r="AE254" i="7"/>
  <c r="AI254" i="7"/>
  <c r="AO254" i="7"/>
  <c r="AP254" i="7"/>
  <c r="E2724" i="8"/>
  <c r="F2724" i="8"/>
  <c r="G2724" i="8"/>
  <c r="H2724" i="8"/>
  <c r="I2724" i="8"/>
  <c r="J2724" i="8"/>
  <c r="K2724" i="8"/>
  <c r="L2724" i="8"/>
  <c r="M2724" i="8"/>
  <c r="N2724" i="8"/>
  <c r="O2724" i="8"/>
  <c r="P2724" i="8"/>
  <c r="Q2724" i="8"/>
  <c r="R2724" i="8"/>
  <c r="S2724" i="8"/>
  <c r="T2724" i="8"/>
  <c r="E2725" i="8"/>
  <c r="F2725" i="8"/>
  <c r="G2725" i="8"/>
  <c r="H2725" i="8"/>
  <c r="I2725" i="8"/>
  <c r="J2725" i="8"/>
  <c r="K2725" i="8"/>
  <c r="L2725" i="8"/>
  <c r="M2725" i="8"/>
  <c r="N2725" i="8"/>
  <c r="O2725" i="8"/>
  <c r="P2725" i="8"/>
  <c r="Q2725" i="8"/>
  <c r="R2725" i="8"/>
  <c r="S2725" i="8"/>
  <c r="T2725" i="8"/>
  <c r="E2726" i="8"/>
  <c r="F2726" i="8"/>
  <c r="G2726" i="8"/>
  <c r="H2726" i="8"/>
  <c r="I2726" i="8"/>
  <c r="J2726" i="8"/>
  <c r="K2726" i="8"/>
  <c r="L2726" i="8"/>
  <c r="M2726" i="8"/>
  <c r="N2726" i="8"/>
  <c r="O2726" i="8"/>
  <c r="P2726" i="8"/>
  <c r="Q2726" i="8"/>
  <c r="R2726" i="8"/>
  <c r="S2726" i="8"/>
  <c r="T2726" i="8"/>
  <c r="E2727" i="8"/>
  <c r="F2727" i="8"/>
  <c r="G2727" i="8"/>
  <c r="H2727" i="8"/>
  <c r="I2727" i="8"/>
  <c r="J2727" i="8"/>
  <c r="K2727" i="8"/>
  <c r="L2727" i="8"/>
  <c r="M2727" i="8"/>
  <c r="N2727" i="8"/>
  <c r="O2727" i="8"/>
  <c r="P2727" i="8"/>
  <c r="Q2727" i="8"/>
  <c r="R2727" i="8"/>
  <c r="S2727" i="8"/>
  <c r="T2727" i="8"/>
  <c r="E2728" i="8"/>
  <c r="F2728" i="8"/>
  <c r="G2728" i="8"/>
  <c r="H2728" i="8"/>
  <c r="I2728" i="8"/>
  <c r="J2728" i="8"/>
  <c r="K2728" i="8"/>
  <c r="L2728" i="8"/>
  <c r="M2728" i="8"/>
  <c r="N2728" i="8"/>
  <c r="O2728" i="8"/>
  <c r="P2728" i="8"/>
  <c r="Q2728" i="8"/>
  <c r="R2728" i="8"/>
  <c r="S2728" i="8"/>
  <c r="T2728" i="8"/>
  <c r="E2729" i="8"/>
  <c r="F2729" i="8"/>
  <c r="G2729" i="8"/>
  <c r="H2729" i="8"/>
  <c r="I2729" i="8"/>
  <c r="J2729" i="8"/>
  <c r="K2729" i="8"/>
  <c r="L2729" i="8"/>
  <c r="M2729" i="8"/>
  <c r="N2729" i="8"/>
  <c r="O2729" i="8"/>
  <c r="P2729" i="8"/>
  <c r="Q2729" i="8"/>
  <c r="R2729" i="8"/>
  <c r="S2729" i="8"/>
  <c r="T2729" i="8"/>
  <c r="E2730" i="8"/>
  <c r="F2730" i="8"/>
  <c r="G2730" i="8"/>
  <c r="H2730" i="8"/>
  <c r="I2730" i="8"/>
  <c r="J2730" i="8"/>
  <c r="K2730" i="8"/>
  <c r="L2730" i="8"/>
  <c r="M2730" i="8"/>
  <c r="N2730" i="8"/>
  <c r="O2730" i="8"/>
  <c r="P2730" i="8"/>
  <c r="Q2730" i="8"/>
  <c r="R2730" i="8"/>
  <c r="S2730" i="8"/>
  <c r="T2730" i="8"/>
  <c r="E2731" i="8"/>
  <c r="F2731" i="8"/>
  <c r="G2731" i="8"/>
  <c r="H2731" i="8"/>
  <c r="I2731" i="8"/>
  <c r="J2731" i="8"/>
  <c r="K2731" i="8"/>
  <c r="L2731" i="8"/>
  <c r="M2731" i="8"/>
  <c r="N2731" i="8"/>
  <c r="O2731" i="8"/>
  <c r="P2731" i="8"/>
  <c r="Q2731" i="8"/>
  <c r="R2731" i="8"/>
  <c r="S2731" i="8"/>
  <c r="T2731" i="8"/>
  <c r="E2732" i="8"/>
  <c r="F2732" i="8"/>
  <c r="G2732" i="8"/>
  <c r="H2732" i="8"/>
  <c r="I2732" i="8"/>
  <c r="J2732" i="8"/>
  <c r="K2732" i="8"/>
  <c r="L2732" i="8"/>
  <c r="M2732" i="8"/>
  <c r="N2732" i="8"/>
  <c r="O2732" i="8"/>
  <c r="P2732" i="8"/>
  <c r="Q2732" i="8"/>
  <c r="R2732" i="8"/>
  <c r="S2732" i="8"/>
  <c r="T2732" i="8"/>
  <c r="E2733" i="8"/>
  <c r="F2733" i="8"/>
  <c r="G2733" i="8"/>
  <c r="H2733" i="8"/>
  <c r="I2733" i="8"/>
  <c r="J2733" i="8"/>
  <c r="K2733" i="8"/>
  <c r="L2733" i="8"/>
  <c r="M2733" i="8"/>
  <c r="N2733" i="8"/>
  <c r="O2733" i="8"/>
  <c r="P2733" i="8"/>
  <c r="Q2733" i="8"/>
  <c r="R2733" i="8"/>
  <c r="S2733" i="8"/>
  <c r="T2733" i="8"/>
  <c r="E2734" i="8"/>
  <c r="F2734" i="8"/>
  <c r="G2734" i="8"/>
  <c r="H2734" i="8"/>
  <c r="I2734" i="8"/>
  <c r="J2734" i="8"/>
  <c r="K2734" i="8"/>
  <c r="L2734" i="8"/>
  <c r="M2734" i="8"/>
  <c r="N2734" i="8"/>
  <c r="O2734" i="8"/>
  <c r="P2734" i="8"/>
  <c r="Q2734" i="8"/>
  <c r="R2734" i="8"/>
  <c r="S2734" i="8"/>
  <c r="T2734" i="8"/>
  <c r="E253" i="7"/>
  <c r="F253" i="7"/>
  <c r="G253" i="7"/>
  <c r="H253" i="7"/>
  <c r="I253" i="7"/>
  <c r="J253" i="7"/>
  <c r="K253" i="7"/>
  <c r="L253" i="7"/>
  <c r="M253" i="7"/>
  <c r="N253" i="7"/>
  <c r="P253" i="7"/>
  <c r="Q253" i="7"/>
  <c r="R253" i="7"/>
  <c r="S253" i="7"/>
  <c r="U253" i="7"/>
  <c r="V253" i="7"/>
  <c r="W253" i="7"/>
  <c r="X253" i="7"/>
  <c r="Y253" i="7"/>
  <c r="Z253" i="7"/>
  <c r="AA253" i="7"/>
  <c r="AC253" i="7"/>
  <c r="AE253" i="7"/>
  <c r="AI253" i="7"/>
  <c r="AO253" i="7"/>
  <c r="AP253" i="7"/>
  <c r="E2713" i="8"/>
  <c r="F2713" i="8"/>
  <c r="G2713" i="8"/>
  <c r="H2713" i="8"/>
  <c r="I2713" i="8"/>
  <c r="J2713" i="8"/>
  <c r="K2713" i="8"/>
  <c r="L2713" i="8"/>
  <c r="M2713" i="8"/>
  <c r="N2713" i="8"/>
  <c r="O2713" i="8"/>
  <c r="P2713" i="8"/>
  <c r="Q2713" i="8"/>
  <c r="R2713" i="8"/>
  <c r="S2713" i="8"/>
  <c r="T2713" i="8"/>
  <c r="E2714" i="8"/>
  <c r="F2714" i="8"/>
  <c r="G2714" i="8"/>
  <c r="H2714" i="8"/>
  <c r="I2714" i="8"/>
  <c r="J2714" i="8"/>
  <c r="K2714" i="8"/>
  <c r="L2714" i="8"/>
  <c r="M2714" i="8"/>
  <c r="N2714" i="8"/>
  <c r="O2714" i="8"/>
  <c r="P2714" i="8"/>
  <c r="Q2714" i="8"/>
  <c r="R2714" i="8"/>
  <c r="S2714" i="8"/>
  <c r="T2714" i="8"/>
  <c r="E2715" i="8"/>
  <c r="F2715" i="8"/>
  <c r="G2715" i="8"/>
  <c r="H2715" i="8"/>
  <c r="I2715" i="8"/>
  <c r="J2715" i="8"/>
  <c r="K2715" i="8"/>
  <c r="L2715" i="8"/>
  <c r="M2715" i="8"/>
  <c r="N2715" i="8"/>
  <c r="O2715" i="8"/>
  <c r="P2715" i="8"/>
  <c r="Q2715" i="8"/>
  <c r="R2715" i="8"/>
  <c r="S2715" i="8"/>
  <c r="T2715" i="8"/>
  <c r="E2716" i="8"/>
  <c r="F2716" i="8"/>
  <c r="G2716" i="8"/>
  <c r="H2716" i="8"/>
  <c r="I2716" i="8"/>
  <c r="J2716" i="8"/>
  <c r="K2716" i="8"/>
  <c r="L2716" i="8"/>
  <c r="M2716" i="8"/>
  <c r="N2716" i="8"/>
  <c r="O2716" i="8"/>
  <c r="P2716" i="8"/>
  <c r="Q2716" i="8"/>
  <c r="R2716" i="8"/>
  <c r="S2716" i="8"/>
  <c r="T2716" i="8"/>
  <c r="E2717" i="8"/>
  <c r="F2717" i="8"/>
  <c r="G2717" i="8"/>
  <c r="H2717" i="8"/>
  <c r="I2717" i="8"/>
  <c r="J2717" i="8"/>
  <c r="K2717" i="8"/>
  <c r="L2717" i="8"/>
  <c r="M2717" i="8"/>
  <c r="N2717" i="8"/>
  <c r="O2717" i="8"/>
  <c r="P2717" i="8"/>
  <c r="Q2717" i="8"/>
  <c r="R2717" i="8"/>
  <c r="S2717" i="8"/>
  <c r="T2717" i="8"/>
  <c r="E2718" i="8"/>
  <c r="F2718" i="8"/>
  <c r="G2718" i="8"/>
  <c r="H2718" i="8"/>
  <c r="I2718" i="8"/>
  <c r="J2718" i="8"/>
  <c r="K2718" i="8"/>
  <c r="L2718" i="8"/>
  <c r="M2718" i="8"/>
  <c r="N2718" i="8"/>
  <c r="O2718" i="8"/>
  <c r="P2718" i="8"/>
  <c r="Q2718" i="8"/>
  <c r="R2718" i="8"/>
  <c r="S2718" i="8"/>
  <c r="T2718" i="8"/>
  <c r="E2719" i="8"/>
  <c r="F2719" i="8"/>
  <c r="G2719" i="8"/>
  <c r="H2719" i="8"/>
  <c r="I2719" i="8"/>
  <c r="J2719" i="8"/>
  <c r="K2719" i="8"/>
  <c r="L2719" i="8"/>
  <c r="M2719" i="8"/>
  <c r="N2719" i="8"/>
  <c r="O2719" i="8"/>
  <c r="P2719" i="8"/>
  <c r="Q2719" i="8"/>
  <c r="R2719" i="8"/>
  <c r="S2719" i="8"/>
  <c r="T2719" i="8"/>
  <c r="E2720" i="8"/>
  <c r="F2720" i="8"/>
  <c r="G2720" i="8"/>
  <c r="H2720" i="8"/>
  <c r="I2720" i="8"/>
  <c r="J2720" i="8"/>
  <c r="K2720" i="8"/>
  <c r="L2720" i="8"/>
  <c r="M2720" i="8"/>
  <c r="N2720" i="8"/>
  <c r="O2720" i="8"/>
  <c r="P2720" i="8"/>
  <c r="Q2720" i="8"/>
  <c r="R2720" i="8"/>
  <c r="S2720" i="8"/>
  <c r="T2720" i="8"/>
  <c r="E2721" i="8"/>
  <c r="F2721" i="8"/>
  <c r="G2721" i="8"/>
  <c r="H2721" i="8"/>
  <c r="I2721" i="8"/>
  <c r="J2721" i="8"/>
  <c r="K2721" i="8"/>
  <c r="L2721" i="8"/>
  <c r="M2721" i="8"/>
  <c r="N2721" i="8"/>
  <c r="O2721" i="8"/>
  <c r="P2721" i="8"/>
  <c r="Q2721" i="8"/>
  <c r="R2721" i="8"/>
  <c r="S2721" i="8"/>
  <c r="T2721" i="8"/>
  <c r="E2722" i="8"/>
  <c r="F2722" i="8"/>
  <c r="G2722" i="8"/>
  <c r="H2722" i="8"/>
  <c r="I2722" i="8"/>
  <c r="J2722" i="8"/>
  <c r="K2722" i="8"/>
  <c r="L2722" i="8"/>
  <c r="M2722" i="8"/>
  <c r="N2722" i="8"/>
  <c r="O2722" i="8"/>
  <c r="P2722" i="8"/>
  <c r="Q2722" i="8"/>
  <c r="R2722" i="8"/>
  <c r="S2722" i="8"/>
  <c r="T2722" i="8"/>
  <c r="E2723" i="8"/>
  <c r="F2723" i="8"/>
  <c r="G2723" i="8"/>
  <c r="H2723" i="8"/>
  <c r="I2723" i="8"/>
  <c r="J2723" i="8"/>
  <c r="K2723" i="8"/>
  <c r="L2723" i="8"/>
  <c r="M2723" i="8"/>
  <c r="N2723" i="8"/>
  <c r="O2723" i="8"/>
  <c r="P2723" i="8"/>
  <c r="Q2723" i="8"/>
  <c r="R2723" i="8"/>
  <c r="S2723" i="8"/>
  <c r="T2723" i="8"/>
  <c r="E252" i="7"/>
  <c r="F252" i="7"/>
  <c r="G252" i="7"/>
  <c r="H252" i="7"/>
  <c r="I252" i="7"/>
  <c r="J252" i="7"/>
  <c r="K252" i="7"/>
  <c r="L252" i="7"/>
  <c r="M252" i="7"/>
  <c r="N252" i="7"/>
  <c r="P252" i="7"/>
  <c r="Q252" i="7"/>
  <c r="R252" i="7"/>
  <c r="S252" i="7"/>
  <c r="U252" i="7"/>
  <c r="V252" i="7"/>
  <c r="W252" i="7"/>
  <c r="X252" i="7"/>
  <c r="Y252" i="7"/>
  <c r="Z252" i="7"/>
  <c r="AA252" i="7"/>
  <c r="AC252" i="7"/>
  <c r="AE252" i="7"/>
  <c r="AI252" i="7"/>
  <c r="AO252" i="7"/>
  <c r="AP252" i="7"/>
  <c r="E2702" i="8"/>
  <c r="F2702" i="8"/>
  <c r="G2702" i="8"/>
  <c r="H2702" i="8"/>
  <c r="I2702" i="8"/>
  <c r="J2702" i="8"/>
  <c r="K2702" i="8"/>
  <c r="L2702" i="8"/>
  <c r="M2702" i="8"/>
  <c r="N2702" i="8"/>
  <c r="O2702" i="8"/>
  <c r="P2702" i="8"/>
  <c r="Q2702" i="8"/>
  <c r="R2702" i="8"/>
  <c r="S2702" i="8"/>
  <c r="T2702" i="8"/>
  <c r="E2703" i="8"/>
  <c r="F2703" i="8"/>
  <c r="G2703" i="8"/>
  <c r="H2703" i="8"/>
  <c r="I2703" i="8"/>
  <c r="J2703" i="8"/>
  <c r="K2703" i="8"/>
  <c r="L2703" i="8"/>
  <c r="M2703" i="8"/>
  <c r="N2703" i="8"/>
  <c r="O2703" i="8"/>
  <c r="P2703" i="8"/>
  <c r="Q2703" i="8"/>
  <c r="R2703" i="8"/>
  <c r="S2703" i="8"/>
  <c r="T2703" i="8"/>
  <c r="E2704" i="8"/>
  <c r="F2704" i="8"/>
  <c r="G2704" i="8"/>
  <c r="H2704" i="8"/>
  <c r="I2704" i="8"/>
  <c r="J2704" i="8"/>
  <c r="K2704" i="8"/>
  <c r="L2704" i="8"/>
  <c r="M2704" i="8"/>
  <c r="N2704" i="8"/>
  <c r="O2704" i="8"/>
  <c r="P2704" i="8"/>
  <c r="Q2704" i="8"/>
  <c r="R2704" i="8"/>
  <c r="S2704" i="8"/>
  <c r="T2704" i="8"/>
  <c r="E2705" i="8"/>
  <c r="F2705" i="8"/>
  <c r="G2705" i="8"/>
  <c r="H2705" i="8"/>
  <c r="I2705" i="8"/>
  <c r="J2705" i="8"/>
  <c r="K2705" i="8"/>
  <c r="L2705" i="8"/>
  <c r="M2705" i="8"/>
  <c r="N2705" i="8"/>
  <c r="O2705" i="8"/>
  <c r="P2705" i="8"/>
  <c r="Q2705" i="8"/>
  <c r="R2705" i="8"/>
  <c r="S2705" i="8"/>
  <c r="T2705" i="8"/>
  <c r="E2706" i="8"/>
  <c r="F2706" i="8"/>
  <c r="G2706" i="8"/>
  <c r="H2706" i="8"/>
  <c r="I2706" i="8"/>
  <c r="J2706" i="8"/>
  <c r="K2706" i="8"/>
  <c r="L2706" i="8"/>
  <c r="M2706" i="8"/>
  <c r="N2706" i="8"/>
  <c r="O2706" i="8"/>
  <c r="P2706" i="8"/>
  <c r="Q2706" i="8"/>
  <c r="R2706" i="8"/>
  <c r="S2706" i="8"/>
  <c r="T2706" i="8"/>
  <c r="E2707" i="8"/>
  <c r="F2707" i="8"/>
  <c r="G2707" i="8"/>
  <c r="H2707" i="8"/>
  <c r="I2707" i="8"/>
  <c r="J2707" i="8"/>
  <c r="K2707" i="8"/>
  <c r="L2707" i="8"/>
  <c r="M2707" i="8"/>
  <c r="N2707" i="8"/>
  <c r="O2707" i="8"/>
  <c r="P2707" i="8"/>
  <c r="Q2707" i="8"/>
  <c r="R2707" i="8"/>
  <c r="S2707" i="8"/>
  <c r="T2707" i="8"/>
  <c r="E2708" i="8"/>
  <c r="F2708" i="8"/>
  <c r="G2708" i="8"/>
  <c r="H2708" i="8"/>
  <c r="I2708" i="8"/>
  <c r="J2708" i="8"/>
  <c r="K2708" i="8"/>
  <c r="L2708" i="8"/>
  <c r="M2708" i="8"/>
  <c r="N2708" i="8"/>
  <c r="O2708" i="8"/>
  <c r="P2708" i="8"/>
  <c r="Q2708" i="8"/>
  <c r="R2708" i="8"/>
  <c r="S2708" i="8"/>
  <c r="T2708" i="8"/>
  <c r="E2709" i="8"/>
  <c r="F2709" i="8"/>
  <c r="G2709" i="8"/>
  <c r="H2709" i="8"/>
  <c r="I2709" i="8"/>
  <c r="J2709" i="8"/>
  <c r="K2709" i="8"/>
  <c r="L2709" i="8"/>
  <c r="M2709" i="8"/>
  <c r="N2709" i="8"/>
  <c r="O2709" i="8"/>
  <c r="P2709" i="8"/>
  <c r="Q2709" i="8"/>
  <c r="R2709" i="8"/>
  <c r="S2709" i="8"/>
  <c r="T2709" i="8"/>
  <c r="E2710" i="8"/>
  <c r="F2710" i="8"/>
  <c r="G2710" i="8"/>
  <c r="H2710" i="8"/>
  <c r="I2710" i="8"/>
  <c r="J2710" i="8"/>
  <c r="K2710" i="8"/>
  <c r="L2710" i="8"/>
  <c r="M2710" i="8"/>
  <c r="N2710" i="8"/>
  <c r="O2710" i="8"/>
  <c r="P2710" i="8"/>
  <c r="Q2710" i="8"/>
  <c r="R2710" i="8"/>
  <c r="S2710" i="8"/>
  <c r="T2710" i="8"/>
  <c r="E2711" i="8"/>
  <c r="F2711" i="8"/>
  <c r="G2711" i="8"/>
  <c r="H2711" i="8"/>
  <c r="I2711" i="8"/>
  <c r="J2711" i="8"/>
  <c r="K2711" i="8"/>
  <c r="L2711" i="8"/>
  <c r="M2711" i="8"/>
  <c r="N2711" i="8"/>
  <c r="O2711" i="8"/>
  <c r="P2711" i="8"/>
  <c r="Q2711" i="8"/>
  <c r="R2711" i="8"/>
  <c r="S2711" i="8"/>
  <c r="T2711" i="8"/>
  <c r="E2712" i="8"/>
  <c r="F2712" i="8"/>
  <c r="G2712" i="8"/>
  <c r="H2712" i="8"/>
  <c r="I2712" i="8"/>
  <c r="J2712" i="8"/>
  <c r="K2712" i="8"/>
  <c r="L2712" i="8"/>
  <c r="M2712" i="8"/>
  <c r="N2712" i="8"/>
  <c r="O2712" i="8"/>
  <c r="P2712" i="8"/>
  <c r="Q2712" i="8"/>
  <c r="R2712" i="8"/>
  <c r="S2712" i="8"/>
  <c r="T2712" i="8"/>
  <c r="E251" i="7"/>
  <c r="F251" i="7"/>
  <c r="G251" i="7"/>
  <c r="H251" i="7"/>
  <c r="I251" i="7"/>
  <c r="J251" i="7"/>
  <c r="K251" i="7"/>
  <c r="L251" i="7"/>
  <c r="M251" i="7"/>
  <c r="N251" i="7"/>
  <c r="P251" i="7"/>
  <c r="Q251" i="7"/>
  <c r="R251" i="7"/>
  <c r="S251" i="7"/>
  <c r="U251" i="7"/>
  <c r="V251" i="7"/>
  <c r="W251" i="7"/>
  <c r="X251" i="7"/>
  <c r="Y251" i="7"/>
  <c r="Z251" i="7"/>
  <c r="AA251" i="7"/>
  <c r="AC251" i="7"/>
  <c r="AE251" i="7"/>
  <c r="AI251" i="7"/>
  <c r="AO251" i="7"/>
  <c r="AP251" i="7"/>
  <c r="E2691" i="8"/>
  <c r="F2691" i="8"/>
  <c r="G2691" i="8"/>
  <c r="H2691" i="8"/>
  <c r="I2691" i="8"/>
  <c r="J2691" i="8"/>
  <c r="K2691" i="8"/>
  <c r="L2691" i="8"/>
  <c r="M2691" i="8"/>
  <c r="N2691" i="8"/>
  <c r="O2691" i="8"/>
  <c r="P2691" i="8"/>
  <c r="Q2691" i="8"/>
  <c r="R2691" i="8"/>
  <c r="S2691" i="8"/>
  <c r="T2691" i="8"/>
  <c r="E2692" i="8"/>
  <c r="F2692" i="8"/>
  <c r="G2692" i="8"/>
  <c r="H2692" i="8"/>
  <c r="I2692" i="8"/>
  <c r="J2692" i="8"/>
  <c r="K2692" i="8"/>
  <c r="L2692" i="8"/>
  <c r="M2692" i="8"/>
  <c r="N2692" i="8"/>
  <c r="O2692" i="8"/>
  <c r="P2692" i="8"/>
  <c r="Q2692" i="8"/>
  <c r="R2692" i="8"/>
  <c r="S2692" i="8"/>
  <c r="T2692" i="8"/>
  <c r="E2693" i="8"/>
  <c r="F2693" i="8"/>
  <c r="G2693" i="8"/>
  <c r="H2693" i="8"/>
  <c r="I2693" i="8"/>
  <c r="J2693" i="8"/>
  <c r="K2693" i="8"/>
  <c r="L2693" i="8"/>
  <c r="M2693" i="8"/>
  <c r="N2693" i="8"/>
  <c r="O2693" i="8"/>
  <c r="P2693" i="8"/>
  <c r="Q2693" i="8"/>
  <c r="R2693" i="8"/>
  <c r="S2693" i="8"/>
  <c r="T2693" i="8"/>
  <c r="E2694" i="8"/>
  <c r="F2694" i="8"/>
  <c r="G2694" i="8"/>
  <c r="H2694" i="8"/>
  <c r="I2694" i="8"/>
  <c r="J2694" i="8"/>
  <c r="K2694" i="8"/>
  <c r="L2694" i="8"/>
  <c r="M2694" i="8"/>
  <c r="N2694" i="8"/>
  <c r="O2694" i="8"/>
  <c r="P2694" i="8"/>
  <c r="Q2694" i="8"/>
  <c r="R2694" i="8"/>
  <c r="S2694" i="8"/>
  <c r="T2694" i="8"/>
  <c r="E2695" i="8"/>
  <c r="F2695" i="8"/>
  <c r="G2695" i="8"/>
  <c r="H2695" i="8"/>
  <c r="I2695" i="8"/>
  <c r="J2695" i="8"/>
  <c r="K2695" i="8"/>
  <c r="L2695" i="8"/>
  <c r="M2695" i="8"/>
  <c r="N2695" i="8"/>
  <c r="O2695" i="8"/>
  <c r="P2695" i="8"/>
  <c r="Q2695" i="8"/>
  <c r="R2695" i="8"/>
  <c r="S2695" i="8"/>
  <c r="T2695" i="8"/>
  <c r="E2696" i="8"/>
  <c r="F2696" i="8"/>
  <c r="G2696" i="8"/>
  <c r="H2696" i="8"/>
  <c r="I2696" i="8"/>
  <c r="J2696" i="8"/>
  <c r="K2696" i="8"/>
  <c r="L2696" i="8"/>
  <c r="M2696" i="8"/>
  <c r="N2696" i="8"/>
  <c r="O2696" i="8"/>
  <c r="P2696" i="8"/>
  <c r="Q2696" i="8"/>
  <c r="R2696" i="8"/>
  <c r="S2696" i="8"/>
  <c r="T2696" i="8"/>
  <c r="E2697" i="8"/>
  <c r="F2697" i="8"/>
  <c r="G2697" i="8"/>
  <c r="H2697" i="8"/>
  <c r="I2697" i="8"/>
  <c r="J2697" i="8"/>
  <c r="K2697" i="8"/>
  <c r="L2697" i="8"/>
  <c r="M2697" i="8"/>
  <c r="N2697" i="8"/>
  <c r="O2697" i="8"/>
  <c r="P2697" i="8"/>
  <c r="Q2697" i="8"/>
  <c r="R2697" i="8"/>
  <c r="S2697" i="8"/>
  <c r="T2697" i="8"/>
  <c r="E2698" i="8"/>
  <c r="F2698" i="8"/>
  <c r="G2698" i="8"/>
  <c r="H2698" i="8"/>
  <c r="I2698" i="8"/>
  <c r="J2698" i="8"/>
  <c r="K2698" i="8"/>
  <c r="L2698" i="8"/>
  <c r="M2698" i="8"/>
  <c r="N2698" i="8"/>
  <c r="O2698" i="8"/>
  <c r="P2698" i="8"/>
  <c r="Q2698" i="8"/>
  <c r="R2698" i="8"/>
  <c r="S2698" i="8"/>
  <c r="T2698" i="8"/>
  <c r="E2699" i="8"/>
  <c r="F2699" i="8"/>
  <c r="G2699" i="8"/>
  <c r="H2699" i="8"/>
  <c r="I2699" i="8"/>
  <c r="J2699" i="8"/>
  <c r="K2699" i="8"/>
  <c r="L2699" i="8"/>
  <c r="M2699" i="8"/>
  <c r="N2699" i="8"/>
  <c r="O2699" i="8"/>
  <c r="P2699" i="8"/>
  <c r="Q2699" i="8"/>
  <c r="R2699" i="8"/>
  <c r="S2699" i="8"/>
  <c r="T2699" i="8"/>
  <c r="E2700" i="8"/>
  <c r="F2700" i="8"/>
  <c r="G2700" i="8"/>
  <c r="H2700" i="8"/>
  <c r="I2700" i="8"/>
  <c r="J2700" i="8"/>
  <c r="K2700" i="8"/>
  <c r="L2700" i="8"/>
  <c r="M2700" i="8"/>
  <c r="N2700" i="8"/>
  <c r="O2700" i="8"/>
  <c r="P2700" i="8"/>
  <c r="Q2700" i="8"/>
  <c r="R2700" i="8"/>
  <c r="S2700" i="8"/>
  <c r="T2700" i="8"/>
  <c r="E2701" i="8"/>
  <c r="F2701" i="8"/>
  <c r="G2701" i="8"/>
  <c r="H2701" i="8"/>
  <c r="I2701" i="8"/>
  <c r="J2701" i="8"/>
  <c r="K2701" i="8"/>
  <c r="L2701" i="8"/>
  <c r="M2701" i="8"/>
  <c r="N2701" i="8"/>
  <c r="O2701" i="8"/>
  <c r="P2701" i="8"/>
  <c r="Q2701" i="8"/>
  <c r="R2701" i="8"/>
  <c r="S2701" i="8"/>
  <c r="T2701" i="8"/>
  <c r="E250" i="7"/>
  <c r="F250" i="7"/>
  <c r="G250" i="7"/>
  <c r="H250" i="7"/>
  <c r="I250" i="7"/>
  <c r="J250" i="7"/>
  <c r="K250" i="7"/>
  <c r="L250" i="7"/>
  <c r="M250" i="7"/>
  <c r="N250" i="7"/>
  <c r="P250" i="7"/>
  <c r="Q250" i="7"/>
  <c r="R250" i="7"/>
  <c r="S250" i="7"/>
  <c r="U250" i="7"/>
  <c r="V250" i="7"/>
  <c r="W250" i="7"/>
  <c r="X250" i="7"/>
  <c r="Y250" i="7"/>
  <c r="Z250" i="7"/>
  <c r="AA250" i="7"/>
  <c r="AC250" i="7"/>
  <c r="AE250" i="7"/>
  <c r="AI250" i="7"/>
  <c r="AO250" i="7"/>
  <c r="AP250" i="7"/>
  <c r="E2680" i="8"/>
  <c r="F2680" i="8"/>
  <c r="G2680" i="8"/>
  <c r="H2680" i="8"/>
  <c r="I2680" i="8"/>
  <c r="J2680" i="8"/>
  <c r="K2680" i="8"/>
  <c r="L2680" i="8"/>
  <c r="M2680" i="8"/>
  <c r="N2680" i="8"/>
  <c r="O2680" i="8"/>
  <c r="P2680" i="8"/>
  <c r="Q2680" i="8"/>
  <c r="R2680" i="8"/>
  <c r="S2680" i="8"/>
  <c r="T2680" i="8"/>
  <c r="E2681" i="8"/>
  <c r="F2681" i="8"/>
  <c r="G2681" i="8"/>
  <c r="H2681" i="8"/>
  <c r="I2681" i="8"/>
  <c r="J2681" i="8"/>
  <c r="K2681" i="8"/>
  <c r="L2681" i="8"/>
  <c r="M2681" i="8"/>
  <c r="N2681" i="8"/>
  <c r="O2681" i="8"/>
  <c r="P2681" i="8"/>
  <c r="Q2681" i="8"/>
  <c r="R2681" i="8"/>
  <c r="S2681" i="8"/>
  <c r="T2681" i="8"/>
  <c r="E2682" i="8"/>
  <c r="F2682" i="8"/>
  <c r="G2682" i="8"/>
  <c r="H2682" i="8"/>
  <c r="I2682" i="8"/>
  <c r="J2682" i="8"/>
  <c r="K2682" i="8"/>
  <c r="L2682" i="8"/>
  <c r="M2682" i="8"/>
  <c r="N2682" i="8"/>
  <c r="O2682" i="8"/>
  <c r="P2682" i="8"/>
  <c r="Q2682" i="8"/>
  <c r="R2682" i="8"/>
  <c r="S2682" i="8"/>
  <c r="T2682" i="8"/>
  <c r="E2683" i="8"/>
  <c r="F2683" i="8"/>
  <c r="G2683" i="8"/>
  <c r="H2683" i="8"/>
  <c r="I2683" i="8"/>
  <c r="J2683" i="8"/>
  <c r="K2683" i="8"/>
  <c r="L2683" i="8"/>
  <c r="M2683" i="8"/>
  <c r="N2683" i="8"/>
  <c r="O2683" i="8"/>
  <c r="P2683" i="8"/>
  <c r="Q2683" i="8"/>
  <c r="R2683" i="8"/>
  <c r="S2683" i="8"/>
  <c r="T2683" i="8"/>
  <c r="E2684" i="8"/>
  <c r="F2684" i="8"/>
  <c r="G2684" i="8"/>
  <c r="H2684" i="8"/>
  <c r="I2684" i="8"/>
  <c r="J2684" i="8"/>
  <c r="K2684" i="8"/>
  <c r="L2684" i="8"/>
  <c r="M2684" i="8"/>
  <c r="N2684" i="8"/>
  <c r="O2684" i="8"/>
  <c r="P2684" i="8"/>
  <c r="Q2684" i="8"/>
  <c r="R2684" i="8"/>
  <c r="S2684" i="8"/>
  <c r="T2684" i="8"/>
  <c r="E2685" i="8"/>
  <c r="F2685" i="8"/>
  <c r="G2685" i="8"/>
  <c r="H2685" i="8"/>
  <c r="I2685" i="8"/>
  <c r="J2685" i="8"/>
  <c r="K2685" i="8"/>
  <c r="L2685" i="8"/>
  <c r="M2685" i="8"/>
  <c r="N2685" i="8"/>
  <c r="O2685" i="8"/>
  <c r="P2685" i="8"/>
  <c r="Q2685" i="8"/>
  <c r="R2685" i="8"/>
  <c r="S2685" i="8"/>
  <c r="T2685" i="8"/>
  <c r="E2686" i="8"/>
  <c r="F2686" i="8"/>
  <c r="G2686" i="8"/>
  <c r="H2686" i="8"/>
  <c r="I2686" i="8"/>
  <c r="J2686" i="8"/>
  <c r="K2686" i="8"/>
  <c r="L2686" i="8"/>
  <c r="M2686" i="8"/>
  <c r="N2686" i="8"/>
  <c r="O2686" i="8"/>
  <c r="P2686" i="8"/>
  <c r="Q2686" i="8"/>
  <c r="R2686" i="8"/>
  <c r="S2686" i="8"/>
  <c r="T2686" i="8"/>
  <c r="E2687" i="8"/>
  <c r="F2687" i="8"/>
  <c r="G2687" i="8"/>
  <c r="H2687" i="8"/>
  <c r="I2687" i="8"/>
  <c r="J2687" i="8"/>
  <c r="K2687" i="8"/>
  <c r="L2687" i="8"/>
  <c r="M2687" i="8"/>
  <c r="N2687" i="8"/>
  <c r="O2687" i="8"/>
  <c r="P2687" i="8"/>
  <c r="Q2687" i="8"/>
  <c r="R2687" i="8"/>
  <c r="S2687" i="8"/>
  <c r="T2687" i="8"/>
  <c r="E2688" i="8"/>
  <c r="F2688" i="8"/>
  <c r="G2688" i="8"/>
  <c r="H2688" i="8"/>
  <c r="I2688" i="8"/>
  <c r="J2688" i="8"/>
  <c r="K2688" i="8"/>
  <c r="L2688" i="8"/>
  <c r="M2688" i="8"/>
  <c r="N2688" i="8"/>
  <c r="O2688" i="8"/>
  <c r="P2688" i="8"/>
  <c r="Q2688" i="8"/>
  <c r="R2688" i="8"/>
  <c r="S2688" i="8"/>
  <c r="T2688" i="8"/>
  <c r="E2689" i="8"/>
  <c r="F2689" i="8"/>
  <c r="G2689" i="8"/>
  <c r="H2689" i="8"/>
  <c r="I2689" i="8"/>
  <c r="J2689" i="8"/>
  <c r="K2689" i="8"/>
  <c r="L2689" i="8"/>
  <c r="M2689" i="8"/>
  <c r="N2689" i="8"/>
  <c r="O2689" i="8"/>
  <c r="P2689" i="8"/>
  <c r="Q2689" i="8"/>
  <c r="R2689" i="8"/>
  <c r="S2689" i="8"/>
  <c r="T2689" i="8"/>
  <c r="E2690" i="8"/>
  <c r="F2690" i="8"/>
  <c r="G2690" i="8"/>
  <c r="H2690" i="8"/>
  <c r="I2690" i="8"/>
  <c r="J2690" i="8"/>
  <c r="K2690" i="8"/>
  <c r="L2690" i="8"/>
  <c r="M2690" i="8"/>
  <c r="N2690" i="8"/>
  <c r="O2690" i="8"/>
  <c r="P2690" i="8"/>
  <c r="Q2690" i="8"/>
  <c r="R2690" i="8"/>
  <c r="S2690" i="8"/>
  <c r="T2690" i="8"/>
  <c r="E249" i="7"/>
  <c r="F249" i="7"/>
  <c r="G249" i="7"/>
  <c r="H249" i="7"/>
  <c r="I249" i="7"/>
  <c r="J249" i="7"/>
  <c r="K249" i="7"/>
  <c r="L249" i="7"/>
  <c r="M249" i="7"/>
  <c r="N249" i="7"/>
  <c r="P249" i="7"/>
  <c r="Q249" i="7"/>
  <c r="R249" i="7"/>
  <c r="S249" i="7"/>
  <c r="U249" i="7"/>
  <c r="V249" i="7"/>
  <c r="W249" i="7"/>
  <c r="X249" i="7"/>
  <c r="Y249" i="7"/>
  <c r="Z249" i="7"/>
  <c r="AA249" i="7"/>
  <c r="AC249" i="7"/>
  <c r="AE249" i="7"/>
  <c r="AI249" i="7"/>
  <c r="AO249" i="7"/>
  <c r="AP249" i="7"/>
  <c r="E2669" i="8"/>
  <c r="F2669" i="8"/>
  <c r="G2669" i="8"/>
  <c r="H2669" i="8"/>
  <c r="I2669" i="8"/>
  <c r="J2669" i="8"/>
  <c r="K2669" i="8"/>
  <c r="L2669" i="8"/>
  <c r="M2669" i="8"/>
  <c r="N2669" i="8"/>
  <c r="O2669" i="8"/>
  <c r="P2669" i="8"/>
  <c r="Q2669" i="8"/>
  <c r="R2669" i="8"/>
  <c r="S2669" i="8"/>
  <c r="T2669" i="8"/>
  <c r="E2670" i="8"/>
  <c r="F2670" i="8"/>
  <c r="G2670" i="8"/>
  <c r="H2670" i="8"/>
  <c r="I2670" i="8"/>
  <c r="J2670" i="8"/>
  <c r="K2670" i="8"/>
  <c r="L2670" i="8"/>
  <c r="M2670" i="8"/>
  <c r="N2670" i="8"/>
  <c r="O2670" i="8"/>
  <c r="P2670" i="8"/>
  <c r="Q2670" i="8"/>
  <c r="R2670" i="8"/>
  <c r="S2670" i="8"/>
  <c r="T2670" i="8"/>
  <c r="E2671" i="8"/>
  <c r="F2671" i="8"/>
  <c r="G2671" i="8"/>
  <c r="H2671" i="8"/>
  <c r="I2671" i="8"/>
  <c r="J2671" i="8"/>
  <c r="K2671" i="8"/>
  <c r="L2671" i="8"/>
  <c r="M2671" i="8"/>
  <c r="N2671" i="8"/>
  <c r="O2671" i="8"/>
  <c r="P2671" i="8"/>
  <c r="Q2671" i="8"/>
  <c r="R2671" i="8"/>
  <c r="S2671" i="8"/>
  <c r="T2671" i="8"/>
  <c r="E2672" i="8"/>
  <c r="F2672" i="8"/>
  <c r="G2672" i="8"/>
  <c r="H2672" i="8"/>
  <c r="I2672" i="8"/>
  <c r="J2672" i="8"/>
  <c r="K2672" i="8"/>
  <c r="L2672" i="8"/>
  <c r="M2672" i="8"/>
  <c r="N2672" i="8"/>
  <c r="O2672" i="8"/>
  <c r="P2672" i="8"/>
  <c r="Q2672" i="8"/>
  <c r="R2672" i="8"/>
  <c r="S2672" i="8"/>
  <c r="T2672" i="8"/>
  <c r="E2673" i="8"/>
  <c r="F2673" i="8"/>
  <c r="G2673" i="8"/>
  <c r="H2673" i="8"/>
  <c r="I2673" i="8"/>
  <c r="J2673" i="8"/>
  <c r="K2673" i="8"/>
  <c r="L2673" i="8"/>
  <c r="M2673" i="8"/>
  <c r="N2673" i="8"/>
  <c r="O2673" i="8"/>
  <c r="P2673" i="8"/>
  <c r="Q2673" i="8"/>
  <c r="R2673" i="8"/>
  <c r="S2673" i="8"/>
  <c r="T2673" i="8"/>
  <c r="E2674" i="8"/>
  <c r="F2674" i="8"/>
  <c r="G2674" i="8"/>
  <c r="H2674" i="8"/>
  <c r="I2674" i="8"/>
  <c r="J2674" i="8"/>
  <c r="K2674" i="8"/>
  <c r="L2674" i="8"/>
  <c r="M2674" i="8"/>
  <c r="N2674" i="8"/>
  <c r="O2674" i="8"/>
  <c r="P2674" i="8"/>
  <c r="Q2674" i="8"/>
  <c r="R2674" i="8"/>
  <c r="S2674" i="8"/>
  <c r="T2674" i="8"/>
  <c r="E2675" i="8"/>
  <c r="F2675" i="8"/>
  <c r="G2675" i="8"/>
  <c r="H2675" i="8"/>
  <c r="I2675" i="8"/>
  <c r="J2675" i="8"/>
  <c r="K2675" i="8"/>
  <c r="L2675" i="8"/>
  <c r="M2675" i="8"/>
  <c r="N2675" i="8"/>
  <c r="O2675" i="8"/>
  <c r="P2675" i="8"/>
  <c r="Q2675" i="8"/>
  <c r="R2675" i="8"/>
  <c r="S2675" i="8"/>
  <c r="T2675" i="8"/>
  <c r="E2676" i="8"/>
  <c r="F2676" i="8"/>
  <c r="G2676" i="8"/>
  <c r="H2676" i="8"/>
  <c r="I2676" i="8"/>
  <c r="J2676" i="8"/>
  <c r="K2676" i="8"/>
  <c r="L2676" i="8"/>
  <c r="M2676" i="8"/>
  <c r="N2676" i="8"/>
  <c r="O2676" i="8"/>
  <c r="P2676" i="8"/>
  <c r="Q2676" i="8"/>
  <c r="R2676" i="8"/>
  <c r="S2676" i="8"/>
  <c r="T2676" i="8"/>
  <c r="E2677" i="8"/>
  <c r="F2677" i="8"/>
  <c r="G2677" i="8"/>
  <c r="H2677" i="8"/>
  <c r="I2677" i="8"/>
  <c r="J2677" i="8"/>
  <c r="K2677" i="8"/>
  <c r="L2677" i="8"/>
  <c r="M2677" i="8"/>
  <c r="N2677" i="8"/>
  <c r="O2677" i="8"/>
  <c r="P2677" i="8"/>
  <c r="Q2677" i="8"/>
  <c r="R2677" i="8"/>
  <c r="S2677" i="8"/>
  <c r="T2677" i="8"/>
  <c r="E2678" i="8"/>
  <c r="F2678" i="8"/>
  <c r="G2678" i="8"/>
  <c r="H2678" i="8"/>
  <c r="I2678" i="8"/>
  <c r="J2678" i="8"/>
  <c r="K2678" i="8"/>
  <c r="L2678" i="8"/>
  <c r="M2678" i="8"/>
  <c r="N2678" i="8"/>
  <c r="O2678" i="8"/>
  <c r="P2678" i="8"/>
  <c r="Q2678" i="8"/>
  <c r="R2678" i="8"/>
  <c r="S2678" i="8"/>
  <c r="T2678" i="8"/>
  <c r="E2679" i="8"/>
  <c r="F2679" i="8"/>
  <c r="G2679" i="8"/>
  <c r="H2679" i="8"/>
  <c r="I2679" i="8"/>
  <c r="J2679" i="8"/>
  <c r="K2679" i="8"/>
  <c r="L2679" i="8"/>
  <c r="M2679" i="8"/>
  <c r="N2679" i="8"/>
  <c r="O2679" i="8"/>
  <c r="P2679" i="8"/>
  <c r="Q2679" i="8"/>
  <c r="R2679" i="8"/>
  <c r="S2679" i="8"/>
  <c r="T2679" i="8"/>
  <c r="E248" i="7"/>
  <c r="F248" i="7"/>
  <c r="G248" i="7"/>
  <c r="H248" i="7"/>
  <c r="I248" i="7"/>
  <c r="J248" i="7"/>
  <c r="K248" i="7"/>
  <c r="L248" i="7"/>
  <c r="M248" i="7"/>
  <c r="N248" i="7"/>
  <c r="P248" i="7"/>
  <c r="Q248" i="7"/>
  <c r="R248" i="7"/>
  <c r="S248" i="7"/>
  <c r="U248" i="7"/>
  <c r="V248" i="7"/>
  <c r="W248" i="7"/>
  <c r="X248" i="7"/>
  <c r="Y248" i="7"/>
  <c r="Z248" i="7"/>
  <c r="AA248" i="7"/>
  <c r="AC248" i="7"/>
  <c r="AE248" i="7"/>
  <c r="AI248" i="7"/>
  <c r="AO248" i="7"/>
  <c r="AP248" i="7"/>
  <c r="E2658" i="8"/>
  <c r="F2658" i="8"/>
  <c r="G2658" i="8"/>
  <c r="H2658" i="8"/>
  <c r="I2658" i="8"/>
  <c r="J2658" i="8"/>
  <c r="K2658" i="8"/>
  <c r="L2658" i="8"/>
  <c r="M2658" i="8"/>
  <c r="N2658" i="8"/>
  <c r="O2658" i="8"/>
  <c r="P2658" i="8"/>
  <c r="Q2658" i="8"/>
  <c r="R2658" i="8"/>
  <c r="S2658" i="8"/>
  <c r="T2658" i="8"/>
  <c r="E2659" i="8"/>
  <c r="F2659" i="8"/>
  <c r="G2659" i="8"/>
  <c r="H2659" i="8"/>
  <c r="I2659" i="8"/>
  <c r="J2659" i="8"/>
  <c r="K2659" i="8"/>
  <c r="L2659" i="8"/>
  <c r="M2659" i="8"/>
  <c r="N2659" i="8"/>
  <c r="O2659" i="8"/>
  <c r="P2659" i="8"/>
  <c r="Q2659" i="8"/>
  <c r="R2659" i="8"/>
  <c r="S2659" i="8"/>
  <c r="T2659" i="8"/>
  <c r="E2660" i="8"/>
  <c r="F2660" i="8"/>
  <c r="G2660" i="8"/>
  <c r="H2660" i="8"/>
  <c r="I2660" i="8"/>
  <c r="J2660" i="8"/>
  <c r="K2660" i="8"/>
  <c r="L2660" i="8"/>
  <c r="M2660" i="8"/>
  <c r="N2660" i="8"/>
  <c r="O2660" i="8"/>
  <c r="P2660" i="8"/>
  <c r="Q2660" i="8"/>
  <c r="R2660" i="8"/>
  <c r="S2660" i="8"/>
  <c r="T2660" i="8"/>
  <c r="E2661" i="8"/>
  <c r="F2661" i="8"/>
  <c r="G2661" i="8"/>
  <c r="H2661" i="8"/>
  <c r="I2661" i="8"/>
  <c r="J2661" i="8"/>
  <c r="K2661" i="8"/>
  <c r="L2661" i="8"/>
  <c r="M2661" i="8"/>
  <c r="N2661" i="8"/>
  <c r="O2661" i="8"/>
  <c r="P2661" i="8"/>
  <c r="Q2661" i="8"/>
  <c r="R2661" i="8"/>
  <c r="S2661" i="8"/>
  <c r="T2661" i="8"/>
  <c r="E2662" i="8"/>
  <c r="F2662" i="8"/>
  <c r="G2662" i="8"/>
  <c r="H2662" i="8"/>
  <c r="I2662" i="8"/>
  <c r="J2662" i="8"/>
  <c r="K2662" i="8"/>
  <c r="L2662" i="8"/>
  <c r="M2662" i="8"/>
  <c r="N2662" i="8"/>
  <c r="O2662" i="8"/>
  <c r="P2662" i="8"/>
  <c r="Q2662" i="8"/>
  <c r="R2662" i="8"/>
  <c r="S2662" i="8"/>
  <c r="T2662" i="8"/>
  <c r="E2663" i="8"/>
  <c r="F2663" i="8"/>
  <c r="G2663" i="8"/>
  <c r="H2663" i="8"/>
  <c r="I2663" i="8"/>
  <c r="J2663" i="8"/>
  <c r="K2663" i="8"/>
  <c r="L2663" i="8"/>
  <c r="M2663" i="8"/>
  <c r="N2663" i="8"/>
  <c r="O2663" i="8"/>
  <c r="P2663" i="8"/>
  <c r="Q2663" i="8"/>
  <c r="R2663" i="8"/>
  <c r="S2663" i="8"/>
  <c r="T2663" i="8"/>
  <c r="E2664" i="8"/>
  <c r="F2664" i="8"/>
  <c r="G2664" i="8"/>
  <c r="H2664" i="8"/>
  <c r="I2664" i="8"/>
  <c r="J2664" i="8"/>
  <c r="K2664" i="8"/>
  <c r="L2664" i="8"/>
  <c r="M2664" i="8"/>
  <c r="N2664" i="8"/>
  <c r="O2664" i="8"/>
  <c r="P2664" i="8"/>
  <c r="Q2664" i="8"/>
  <c r="R2664" i="8"/>
  <c r="S2664" i="8"/>
  <c r="T2664" i="8"/>
  <c r="E2665" i="8"/>
  <c r="F2665" i="8"/>
  <c r="G2665" i="8"/>
  <c r="H2665" i="8"/>
  <c r="I2665" i="8"/>
  <c r="J2665" i="8"/>
  <c r="K2665" i="8"/>
  <c r="L2665" i="8"/>
  <c r="M2665" i="8"/>
  <c r="N2665" i="8"/>
  <c r="O2665" i="8"/>
  <c r="P2665" i="8"/>
  <c r="Q2665" i="8"/>
  <c r="R2665" i="8"/>
  <c r="S2665" i="8"/>
  <c r="T2665" i="8"/>
  <c r="E2666" i="8"/>
  <c r="F2666" i="8"/>
  <c r="G2666" i="8"/>
  <c r="H2666" i="8"/>
  <c r="I2666" i="8"/>
  <c r="J2666" i="8"/>
  <c r="K2666" i="8"/>
  <c r="L2666" i="8"/>
  <c r="M2666" i="8"/>
  <c r="N2666" i="8"/>
  <c r="O2666" i="8"/>
  <c r="P2666" i="8"/>
  <c r="Q2666" i="8"/>
  <c r="R2666" i="8"/>
  <c r="S2666" i="8"/>
  <c r="T2666" i="8"/>
  <c r="E2667" i="8"/>
  <c r="F2667" i="8"/>
  <c r="G2667" i="8"/>
  <c r="H2667" i="8"/>
  <c r="I2667" i="8"/>
  <c r="J2667" i="8"/>
  <c r="K2667" i="8"/>
  <c r="L2667" i="8"/>
  <c r="M2667" i="8"/>
  <c r="N2667" i="8"/>
  <c r="O2667" i="8"/>
  <c r="P2667" i="8"/>
  <c r="Q2667" i="8"/>
  <c r="R2667" i="8"/>
  <c r="S2667" i="8"/>
  <c r="T2667" i="8"/>
  <c r="E2668" i="8"/>
  <c r="F2668" i="8"/>
  <c r="G2668" i="8"/>
  <c r="H2668" i="8"/>
  <c r="I2668" i="8"/>
  <c r="J2668" i="8"/>
  <c r="K2668" i="8"/>
  <c r="L2668" i="8"/>
  <c r="M2668" i="8"/>
  <c r="N2668" i="8"/>
  <c r="O2668" i="8"/>
  <c r="P2668" i="8"/>
  <c r="Q2668" i="8"/>
  <c r="R2668" i="8"/>
  <c r="S2668" i="8"/>
  <c r="T2668" i="8"/>
  <c r="E247" i="7"/>
  <c r="F247" i="7"/>
  <c r="G247" i="7"/>
  <c r="H247" i="7"/>
  <c r="I247" i="7"/>
  <c r="J247" i="7"/>
  <c r="K247" i="7"/>
  <c r="L247" i="7"/>
  <c r="M247" i="7"/>
  <c r="N247" i="7"/>
  <c r="P247" i="7"/>
  <c r="Q247" i="7"/>
  <c r="R247" i="7"/>
  <c r="S247" i="7"/>
  <c r="U247" i="7"/>
  <c r="V247" i="7"/>
  <c r="W247" i="7"/>
  <c r="X247" i="7"/>
  <c r="Y247" i="7"/>
  <c r="Z247" i="7"/>
  <c r="AA247" i="7"/>
  <c r="AC247" i="7"/>
  <c r="AE247" i="7"/>
  <c r="AI247" i="7"/>
  <c r="AO247" i="7"/>
  <c r="AP247" i="7"/>
  <c r="E2647" i="8"/>
  <c r="F2647" i="8"/>
  <c r="G2647" i="8"/>
  <c r="H2647" i="8"/>
  <c r="I2647" i="8"/>
  <c r="J2647" i="8"/>
  <c r="K2647" i="8"/>
  <c r="L2647" i="8"/>
  <c r="M2647" i="8"/>
  <c r="N2647" i="8"/>
  <c r="O2647" i="8"/>
  <c r="P2647" i="8"/>
  <c r="Q2647" i="8"/>
  <c r="R2647" i="8"/>
  <c r="S2647" i="8"/>
  <c r="T2647" i="8"/>
  <c r="E2648" i="8"/>
  <c r="F2648" i="8"/>
  <c r="G2648" i="8"/>
  <c r="H2648" i="8"/>
  <c r="I2648" i="8"/>
  <c r="J2648" i="8"/>
  <c r="K2648" i="8"/>
  <c r="L2648" i="8"/>
  <c r="M2648" i="8"/>
  <c r="N2648" i="8"/>
  <c r="O2648" i="8"/>
  <c r="P2648" i="8"/>
  <c r="Q2648" i="8"/>
  <c r="R2648" i="8"/>
  <c r="S2648" i="8"/>
  <c r="T2648" i="8"/>
  <c r="E2649" i="8"/>
  <c r="F2649" i="8"/>
  <c r="G2649" i="8"/>
  <c r="H2649" i="8"/>
  <c r="I2649" i="8"/>
  <c r="J2649" i="8"/>
  <c r="K2649" i="8"/>
  <c r="L2649" i="8"/>
  <c r="M2649" i="8"/>
  <c r="N2649" i="8"/>
  <c r="O2649" i="8"/>
  <c r="P2649" i="8"/>
  <c r="Q2649" i="8"/>
  <c r="R2649" i="8"/>
  <c r="S2649" i="8"/>
  <c r="T2649" i="8"/>
  <c r="E2650" i="8"/>
  <c r="F2650" i="8"/>
  <c r="G2650" i="8"/>
  <c r="H2650" i="8"/>
  <c r="I2650" i="8"/>
  <c r="J2650" i="8"/>
  <c r="K2650" i="8"/>
  <c r="L2650" i="8"/>
  <c r="M2650" i="8"/>
  <c r="N2650" i="8"/>
  <c r="O2650" i="8"/>
  <c r="P2650" i="8"/>
  <c r="Q2650" i="8"/>
  <c r="R2650" i="8"/>
  <c r="S2650" i="8"/>
  <c r="T2650" i="8"/>
  <c r="E2651" i="8"/>
  <c r="F2651" i="8"/>
  <c r="G2651" i="8"/>
  <c r="H2651" i="8"/>
  <c r="I2651" i="8"/>
  <c r="J2651" i="8"/>
  <c r="K2651" i="8"/>
  <c r="L2651" i="8"/>
  <c r="M2651" i="8"/>
  <c r="N2651" i="8"/>
  <c r="O2651" i="8"/>
  <c r="P2651" i="8"/>
  <c r="Q2651" i="8"/>
  <c r="R2651" i="8"/>
  <c r="S2651" i="8"/>
  <c r="T2651" i="8"/>
  <c r="E2652" i="8"/>
  <c r="F2652" i="8"/>
  <c r="G2652" i="8"/>
  <c r="H2652" i="8"/>
  <c r="I2652" i="8"/>
  <c r="J2652" i="8"/>
  <c r="K2652" i="8"/>
  <c r="L2652" i="8"/>
  <c r="M2652" i="8"/>
  <c r="N2652" i="8"/>
  <c r="O2652" i="8"/>
  <c r="P2652" i="8"/>
  <c r="Q2652" i="8"/>
  <c r="R2652" i="8"/>
  <c r="S2652" i="8"/>
  <c r="T2652" i="8"/>
  <c r="E2653" i="8"/>
  <c r="F2653" i="8"/>
  <c r="G2653" i="8"/>
  <c r="H2653" i="8"/>
  <c r="I2653" i="8"/>
  <c r="J2653" i="8"/>
  <c r="K2653" i="8"/>
  <c r="L2653" i="8"/>
  <c r="M2653" i="8"/>
  <c r="N2653" i="8"/>
  <c r="O2653" i="8"/>
  <c r="P2653" i="8"/>
  <c r="Q2653" i="8"/>
  <c r="R2653" i="8"/>
  <c r="S2653" i="8"/>
  <c r="T2653" i="8"/>
  <c r="E2654" i="8"/>
  <c r="F2654" i="8"/>
  <c r="G2654" i="8"/>
  <c r="H2654" i="8"/>
  <c r="I2654" i="8"/>
  <c r="J2654" i="8"/>
  <c r="K2654" i="8"/>
  <c r="L2654" i="8"/>
  <c r="M2654" i="8"/>
  <c r="N2654" i="8"/>
  <c r="O2654" i="8"/>
  <c r="P2654" i="8"/>
  <c r="Q2654" i="8"/>
  <c r="R2654" i="8"/>
  <c r="S2654" i="8"/>
  <c r="T2654" i="8"/>
  <c r="E2655" i="8"/>
  <c r="F2655" i="8"/>
  <c r="G2655" i="8"/>
  <c r="H2655" i="8"/>
  <c r="I2655" i="8"/>
  <c r="J2655" i="8"/>
  <c r="K2655" i="8"/>
  <c r="L2655" i="8"/>
  <c r="M2655" i="8"/>
  <c r="N2655" i="8"/>
  <c r="O2655" i="8"/>
  <c r="P2655" i="8"/>
  <c r="Q2655" i="8"/>
  <c r="R2655" i="8"/>
  <c r="S2655" i="8"/>
  <c r="T2655" i="8"/>
  <c r="E2656" i="8"/>
  <c r="F2656" i="8"/>
  <c r="G2656" i="8"/>
  <c r="H2656" i="8"/>
  <c r="I2656" i="8"/>
  <c r="J2656" i="8"/>
  <c r="K2656" i="8"/>
  <c r="L2656" i="8"/>
  <c r="M2656" i="8"/>
  <c r="N2656" i="8"/>
  <c r="O2656" i="8"/>
  <c r="P2656" i="8"/>
  <c r="Q2656" i="8"/>
  <c r="R2656" i="8"/>
  <c r="S2656" i="8"/>
  <c r="T2656" i="8"/>
  <c r="E2657" i="8"/>
  <c r="F2657" i="8"/>
  <c r="G2657" i="8"/>
  <c r="H2657" i="8"/>
  <c r="I2657" i="8"/>
  <c r="J2657" i="8"/>
  <c r="K2657" i="8"/>
  <c r="L2657" i="8"/>
  <c r="M2657" i="8"/>
  <c r="N2657" i="8"/>
  <c r="O2657" i="8"/>
  <c r="P2657" i="8"/>
  <c r="Q2657" i="8"/>
  <c r="R2657" i="8"/>
  <c r="S2657" i="8"/>
  <c r="T2657" i="8"/>
  <c r="E246" i="7"/>
  <c r="F246" i="7"/>
  <c r="G246" i="7"/>
  <c r="H246" i="7"/>
  <c r="I246" i="7"/>
  <c r="J246" i="7"/>
  <c r="K246" i="7"/>
  <c r="L246" i="7"/>
  <c r="M246" i="7"/>
  <c r="N246" i="7"/>
  <c r="P246" i="7"/>
  <c r="Q246" i="7"/>
  <c r="R246" i="7"/>
  <c r="S246" i="7"/>
  <c r="U246" i="7"/>
  <c r="V246" i="7"/>
  <c r="W246" i="7"/>
  <c r="X246" i="7"/>
  <c r="Y246" i="7"/>
  <c r="Z246" i="7"/>
  <c r="AA246" i="7"/>
  <c r="AC246" i="7"/>
  <c r="AE246" i="7"/>
  <c r="AI246" i="7"/>
  <c r="AO246" i="7"/>
  <c r="AP246" i="7"/>
  <c r="E2636" i="8"/>
  <c r="F2636" i="8"/>
  <c r="G2636" i="8"/>
  <c r="H2636" i="8"/>
  <c r="I2636" i="8"/>
  <c r="J2636" i="8"/>
  <c r="K2636" i="8"/>
  <c r="L2636" i="8"/>
  <c r="M2636" i="8"/>
  <c r="N2636" i="8"/>
  <c r="O2636" i="8"/>
  <c r="P2636" i="8"/>
  <c r="Q2636" i="8"/>
  <c r="R2636" i="8"/>
  <c r="S2636" i="8"/>
  <c r="T2636" i="8"/>
  <c r="E2637" i="8"/>
  <c r="F2637" i="8"/>
  <c r="G2637" i="8"/>
  <c r="H2637" i="8"/>
  <c r="I2637" i="8"/>
  <c r="J2637" i="8"/>
  <c r="K2637" i="8"/>
  <c r="L2637" i="8"/>
  <c r="M2637" i="8"/>
  <c r="N2637" i="8"/>
  <c r="O2637" i="8"/>
  <c r="P2637" i="8"/>
  <c r="Q2637" i="8"/>
  <c r="R2637" i="8"/>
  <c r="S2637" i="8"/>
  <c r="T2637" i="8"/>
  <c r="E2638" i="8"/>
  <c r="F2638" i="8"/>
  <c r="G2638" i="8"/>
  <c r="H2638" i="8"/>
  <c r="I2638" i="8"/>
  <c r="J2638" i="8"/>
  <c r="K2638" i="8"/>
  <c r="L2638" i="8"/>
  <c r="M2638" i="8"/>
  <c r="N2638" i="8"/>
  <c r="O2638" i="8"/>
  <c r="P2638" i="8"/>
  <c r="Q2638" i="8"/>
  <c r="R2638" i="8"/>
  <c r="S2638" i="8"/>
  <c r="T2638" i="8"/>
  <c r="E2639" i="8"/>
  <c r="F2639" i="8"/>
  <c r="G2639" i="8"/>
  <c r="H2639" i="8"/>
  <c r="I2639" i="8"/>
  <c r="J2639" i="8"/>
  <c r="K2639" i="8"/>
  <c r="L2639" i="8"/>
  <c r="M2639" i="8"/>
  <c r="N2639" i="8"/>
  <c r="O2639" i="8"/>
  <c r="P2639" i="8"/>
  <c r="Q2639" i="8"/>
  <c r="R2639" i="8"/>
  <c r="S2639" i="8"/>
  <c r="T2639" i="8"/>
  <c r="E2640" i="8"/>
  <c r="F2640" i="8"/>
  <c r="G2640" i="8"/>
  <c r="H2640" i="8"/>
  <c r="I2640" i="8"/>
  <c r="J2640" i="8"/>
  <c r="K2640" i="8"/>
  <c r="L2640" i="8"/>
  <c r="M2640" i="8"/>
  <c r="N2640" i="8"/>
  <c r="O2640" i="8"/>
  <c r="P2640" i="8"/>
  <c r="Q2640" i="8"/>
  <c r="R2640" i="8"/>
  <c r="S2640" i="8"/>
  <c r="T2640" i="8"/>
  <c r="E2641" i="8"/>
  <c r="F2641" i="8"/>
  <c r="G2641" i="8"/>
  <c r="H2641" i="8"/>
  <c r="I2641" i="8"/>
  <c r="J2641" i="8"/>
  <c r="K2641" i="8"/>
  <c r="L2641" i="8"/>
  <c r="M2641" i="8"/>
  <c r="N2641" i="8"/>
  <c r="O2641" i="8"/>
  <c r="P2641" i="8"/>
  <c r="Q2641" i="8"/>
  <c r="R2641" i="8"/>
  <c r="S2641" i="8"/>
  <c r="T2641" i="8"/>
  <c r="E2642" i="8"/>
  <c r="F2642" i="8"/>
  <c r="G2642" i="8"/>
  <c r="H2642" i="8"/>
  <c r="I2642" i="8"/>
  <c r="J2642" i="8"/>
  <c r="K2642" i="8"/>
  <c r="L2642" i="8"/>
  <c r="M2642" i="8"/>
  <c r="N2642" i="8"/>
  <c r="O2642" i="8"/>
  <c r="P2642" i="8"/>
  <c r="Q2642" i="8"/>
  <c r="R2642" i="8"/>
  <c r="S2642" i="8"/>
  <c r="T2642" i="8"/>
  <c r="E2643" i="8"/>
  <c r="F2643" i="8"/>
  <c r="G2643" i="8"/>
  <c r="H2643" i="8"/>
  <c r="I2643" i="8"/>
  <c r="J2643" i="8"/>
  <c r="K2643" i="8"/>
  <c r="L2643" i="8"/>
  <c r="M2643" i="8"/>
  <c r="N2643" i="8"/>
  <c r="O2643" i="8"/>
  <c r="P2643" i="8"/>
  <c r="Q2643" i="8"/>
  <c r="R2643" i="8"/>
  <c r="S2643" i="8"/>
  <c r="T2643" i="8"/>
  <c r="E2644" i="8"/>
  <c r="F2644" i="8"/>
  <c r="G2644" i="8"/>
  <c r="H2644" i="8"/>
  <c r="I2644" i="8"/>
  <c r="J2644" i="8"/>
  <c r="K2644" i="8"/>
  <c r="L2644" i="8"/>
  <c r="M2644" i="8"/>
  <c r="N2644" i="8"/>
  <c r="O2644" i="8"/>
  <c r="P2644" i="8"/>
  <c r="Q2644" i="8"/>
  <c r="R2644" i="8"/>
  <c r="S2644" i="8"/>
  <c r="T2644" i="8"/>
  <c r="E2645" i="8"/>
  <c r="F2645" i="8"/>
  <c r="G2645" i="8"/>
  <c r="H2645" i="8"/>
  <c r="I2645" i="8"/>
  <c r="J2645" i="8"/>
  <c r="K2645" i="8"/>
  <c r="L2645" i="8"/>
  <c r="M2645" i="8"/>
  <c r="N2645" i="8"/>
  <c r="O2645" i="8"/>
  <c r="P2645" i="8"/>
  <c r="Q2645" i="8"/>
  <c r="R2645" i="8"/>
  <c r="S2645" i="8"/>
  <c r="T2645" i="8"/>
  <c r="E2646" i="8"/>
  <c r="F2646" i="8"/>
  <c r="G2646" i="8"/>
  <c r="H2646" i="8"/>
  <c r="I2646" i="8"/>
  <c r="J2646" i="8"/>
  <c r="K2646" i="8"/>
  <c r="L2646" i="8"/>
  <c r="M2646" i="8"/>
  <c r="N2646" i="8"/>
  <c r="O2646" i="8"/>
  <c r="P2646" i="8"/>
  <c r="Q2646" i="8"/>
  <c r="R2646" i="8"/>
  <c r="S2646" i="8"/>
  <c r="T2646" i="8"/>
  <c r="E245" i="7"/>
  <c r="F245" i="7"/>
  <c r="G245" i="7"/>
  <c r="H245" i="7"/>
  <c r="I245" i="7"/>
  <c r="J245" i="7"/>
  <c r="K245" i="7"/>
  <c r="L245" i="7"/>
  <c r="M245" i="7"/>
  <c r="N245" i="7"/>
  <c r="P245" i="7"/>
  <c r="Q245" i="7"/>
  <c r="R245" i="7"/>
  <c r="S245" i="7"/>
  <c r="U245" i="7"/>
  <c r="V245" i="7"/>
  <c r="W245" i="7"/>
  <c r="X245" i="7"/>
  <c r="Y245" i="7"/>
  <c r="Z245" i="7"/>
  <c r="AA245" i="7"/>
  <c r="AC245" i="7"/>
  <c r="AE245" i="7"/>
  <c r="AI245" i="7"/>
  <c r="AO245" i="7"/>
  <c r="AP245" i="7"/>
  <c r="E2625" i="8"/>
  <c r="F2625" i="8"/>
  <c r="G2625" i="8"/>
  <c r="H2625" i="8"/>
  <c r="I2625" i="8"/>
  <c r="J2625" i="8"/>
  <c r="K2625" i="8"/>
  <c r="L2625" i="8"/>
  <c r="M2625" i="8"/>
  <c r="N2625" i="8"/>
  <c r="O2625" i="8"/>
  <c r="P2625" i="8"/>
  <c r="Q2625" i="8"/>
  <c r="R2625" i="8"/>
  <c r="S2625" i="8"/>
  <c r="T2625" i="8"/>
  <c r="E2626" i="8"/>
  <c r="F2626" i="8"/>
  <c r="G2626" i="8"/>
  <c r="H2626" i="8"/>
  <c r="I2626" i="8"/>
  <c r="J2626" i="8"/>
  <c r="K2626" i="8"/>
  <c r="L2626" i="8"/>
  <c r="M2626" i="8"/>
  <c r="N2626" i="8"/>
  <c r="O2626" i="8"/>
  <c r="P2626" i="8"/>
  <c r="Q2626" i="8"/>
  <c r="R2626" i="8"/>
  <c r="S2626" i="8"/>
  <c r="T2626" i="8"/>
  <c r="E2627" i="8"/>
  <c r="F2627" i="8"/>
  <c r="G2627" i="8"/>
  <c r="H2627" i="8"/>
  <c r="I2627" i="8"/>
  <c r="J2627" i="8"/>
  <c r="K2627" i="8"/>
  <c r="L2627" i="8"/>
  <c r="M2627" i="8"/>
  <c r="N2627" i="8"/>
  <c r="O2627" i="8"/>
  <c r="P2627" i="8"/>
  <c r="Q2627" i="8"/>
  <c r="R2627" i="8"/>
  <c r="S2627" i="8"/>
  <c r="T2627" i="8"/>
  <c r="E2628" i="8"/>
  <c r="F2628" i="8"/>
  <c r="G2628" i="8"/>
  <c r="H2628" i="8"/>
  <c r="I2628" i="8"/>
  <c r="J2628" i="8"/>
  <c r="K2628" i="8"/>
  <c r="L2628" i="8"/>
  <c r="M2628" i="8"/>
  <c r="N2628" i="8"/>
  <c r="O2628" i="8"/>
  <c r="P2628" i="8"/>
  <c r="Q2628" i="8"/>
  <c r="R2628" i="8"/>
  <c r="S2628" i="8"/>
  <c r="T2628" i="8"/>
  <c r="E2629" i="8"/>
  <c r="F2629" i="8"/>
  <c r="G2629" i="8"/>
  <c r="H2629" i="8"/>
  <c r="I2629" i="8"/>
  <c r="J2629" i="8"/>
  <c r="K2629" i="8"/>
  <c r="L2629" i="8"/>
  <c r="M2629" i="8"/>
  <c r="N2629" i="8"/>
  <c r="O2629" i="8"/>
  <c r="P2629" i="8"/>
  <c r="Q2629" i="8"/>
  <c r="R2629" i="8"/>
  <c r="S2629" i="8"/>
  <c r="T2629" i="8"/>
  <c r="E2630" i="8"/>
  <c r="F2630" i="8"/>
  <c r="G2630" i="8"/>
  <c r="H2630" i="8"/>
  <c r="I2630" i="8"/>
  <c r="J2630" i="8"/>
  <c r="K2630" i="8"/>
  <c r="L2630" i="8"/>
  <c r="M2630" i="8"/>
  <c r="N2630" i="8"/>
  <c r="O2630" i="8"/>
  <c r="P2630" i="8"/>
  <c r="Q2630" i="8"/>
  <c r="R2630" i="8"/>
  <c r="S2630" i="8"/>
  <c r="T2630" i="8"/>
  <c r="E2631" i="8"/>
  <c r="F2631" i="8"/>
  <c r="G2631" i="8"/>
  <c r="H2631" i="8"/>
  <c r="I2631" i="8"/>
  <c r="J2631" i="8"/>
  <c r="K2631" i="8"/>
  <c r="L2631" i="8"/>
  <c r="M2631" i="8"/>
  <c r="N2631" i="8"/>
  <c r="O2631" i="8"/>
  <c r="P2631" i="8"/>
  <c r="Q2631" i="8"/>
  <c r="R2631" i="8"/>
  <c r="S2631" i="8"/>
  <c r="T2631" i="8"/>
  <c r="E2632" i="8"/>
  <c r="F2632" i="8"/>
  <c r="G2632" i="8"/>
  <c r="H2632" i="8"/>
  <c r="I2632" i="8"/>
  <c r="J2632" i="8"/>
  <c r="K2632" i="8"/>
  <c r="L2632" i="8"/>
  <c r="M2632" i="8"/>
  <c r="N2632" i="8"/>
  <c r="O2632" i="8"/>
  <c r="P2632" i="8"/>
  <c r="Q2632" i="8"/>
  <c r="R2632" i="8"/>
  <c r="S2632" i="8"/>
  <c r="T2632" i="8"/>
  <c r="E2633" i="8"/>
  <c r="F2633" i="8"/>
  <c r="G2633" i="8"/>
  <c r="H2633" i="8"/>
  <c r="I2633" i="8"/>
  <c r="J2633" i="8"/>
  <c r="K2633" i="8"/>
  <c r="L2633" i="8"/>
  <c r="M2633" i="8"/>
  <c r="N2633" i="8"/>
  <c r="O2633" i="8"/>
  <c r="P2633" i="8"/>
  <c r="Q2633" i="8"/>
  <c r="R2633" i="8"/>
  <c r="S2633" i="8"/>
  <c r="T2633" i="8"/>
  <c r="E2634" i="8"/>
  <c r="F2634" i="8"/>
  <c r="G2634" i="8"/>
  <c r="H2634" i="8"/>
  <c r="I2634" i="8"/>
  <c r="J2634" i="8"/>
  <c r="K2634" i="8"/>
  <c r="L2634" i="8"/>
  <c r="M2634" i="8"/>
  <c r="N2634" i="8"/>
  <c r="O2634" i="8"/>
  <c r="P2634" i="8"/>
  <c r="Q2634" i="8"/>
  <c r="R2634" i="8"/>
  <c r="S2634" i="8"/>
  <c r="T2634" i="8"/>
  <c r="E2635" i="8"/>
  <c r="F2635" i="8"/>
  <c r="G2635" i="8"/>
  <c r="H2635" i="8"/>
  <c r="I2635" i="8"/>
  <c r="J2635" i="8"/>
  <c r="K2635" i="8"/>
  <c r="L2635" i="8"/>
  <c r="M2635" i="8"/>
  <c r="N2635" i="8"/>
  <c r="O2635" i="8"/>
  <c r="P2635" i="8"/>
  <c r="Q2635" i="8"/>
  <c r="R2635" i="8"/>
  <c r="S2635" i="8"/>
  <c r="T2635" i="8"/>
  <c r="E244" i="7"/>
  <c r="F244" i="7"/>
  <c r="G244" i="7"/>
  <c r="H244" i="7"/>
  <c r="I244" i="7"/>
  <c r="J244" i="7"/>
  <c r="K244" i="7"/>
  <c r="L244" i="7"/>
  <c r="M244" i="7"/>
  <c r="N244" i="7"/>
  <c r="P244" i="7"/>
  <c r="Q244" i="7"/>
  <c r="R244" i="7"/>
  <c r="S244" i="7"/>
  <c r="U244" i="7"/>
  <c r="V244" i="7"/>
  <c r="W244" i="7"/>
  <c r="X244" i="7"/>
  <c r="Y244" i="7"/>
  <c r="Z244" i="7"/>
  <c r="AA244" i="7"/>
  <c r="AC244" i="7"/>
  <c r="AE244" i="7"/>
  <c r="AI244" i="7"/>
  <c r="AO244" i="7"/>
  <c r="AP244" i="7"/>
  <c r="E2614" i="8"/>
  <c r="F2614" i="8"/>
  <c r="G2614" i="8"/>
  <c r="H2614" i="8"/>
  <c r="I2614" i="8"/>
  <c r="J2614" i="8"/>
  <c r="K2614" i="8"/>
  <c r="L2614" i="8"/>
  <c r="M2614" i="8"/>
  <c r="N2614" i="8"/>
  <c r="O2614" i="8"/>
  <c r="P2614" i="8"/>
  <c r="Q2614" i="8"/>
  <c r="R2614" i="8"/>
  <c r="S2614" i="8"/>
  <c r="T2614" i="8"/>
  <c r="E2615" i="8"/>
  <c r="F2615" i="8"/>
  <c r="G2615" i="8"/>
  <c r="H2615" i="8"/>
  <c r="I2615" i="8"/>
  <c r="J2615" i="8"/>
  <c r="K2615" i="8"/>
  <c r="L2615" i="8"/>
  <c r="M2615" i="8"/>
  <c r="N2615" i="8"/>
  <c r="O2615" i="8"/>
  <c r="P2615" i="8"/>
  <c r="Q2615" i="8"/>
  <c r="R2615" i="8"/>
  <c r="S2615" i="8"/>
  <c r="T2615" i="8"/>
  <c r="E2616" i="8"/>
  <c r="F2616" i="8"/>
  <c r="G2616" i="8"/>
  <c r="H2616" i="8"/>
  <c r="I2616" i="8"/>
  <c r="J2616" i="8"/>
  <c r="K2616" i="8"/>
  <c r="L2616" i="8"/>
  <c r="M2616" i="8"/>
  <c r="N2616" i="8"/>
  <c r="O2616" i="8"/>
  <c r="P2616" i="8"/>
  <c r="Q2616" i="8"/>
  <c r="R2616" i="8"/>
  <c r="S2616" i="8"/>
  <c r="T2616" i="8"/>
  <c r="E2617" i="8"/>
  <c r="F2617" i="8"/>
  <c r="G2617" i="8"/>
  <c r="H2617" i="8"/>
  <c r="I2617" i="8"/>
  <c r="J2617" i="8"/>
  <c r="K2617" i="8"/>
  <c r="L2617" i="8"/>
  <c r="M2617" i="8"/>
  <c r="N2617" i="8"/>
  <c r="O2617" i="8"/>
  <c r="P2617" i="8"/>
  <c r="Q2617" i="8"/>
  <c r="R2617" i="8"/>
  <c r="S2617" i="8"/>
  <c r="T2617" i="8"/>
  <c r="E2618" i="8"/>
  <c r="F2618" i="8"/>
  <c r="G2618" i="8"/>
  <c r="H2618" i="8"/>
  <c r="I2618" i="8"/>
  <c r="J2618" i="8"/>
  <c r="K2618" i="8"/>
  <c r="L2618" i="8"/>
  <c r="M2618" i="8"/>
  <c r="N2618" i="8"/>
  <c r="O2618" i="8"/>
  <c r="P2618" i="8"/>
  <c r="Q2618" i="8"/>
  <c r="R2618" i="8"/>
  <c r="S2618" i="8"/>
  <c r="T2618" i="8"/>
  <c r="E2619" i="8"/>
  <c r="F2619" i="8"/>
  <c r="G2619" i="8"/>
  <c r="H2619" i="8"/>
  <c r="I2619" i="8"/>
  <c r="J2619" i="8"/>
  <c r="K2619" i="8"/>
  <c r="L2619" i="8"/>
  <c r="M2619" i="8"/>
  <c r="N2619" i="8"/>
  <c r="O2619" i="8"/>
  <c r="P2619" i="8"/>
  <c r="Q2619" i="8"/>
  <c r="R2619" i="8"/>
  <c r="S2619" i="8"/>
  <c r="T2619" i="8"/>
  <c r="E2620" i="8"/>
  <c r="F2620" i="8"/>
  <c r="G2620" i="8"/>
  <c r="H2620" i="8"/>
  <c r="I2620" i="8"/>
  <c r="J2620" i="8"/>
  <c r="K2620" i="8"/>
  <c r="L2620" i="8"/>
  <c r="M2620" i="8"/>
  <c r="N2620" i="8"/>
  <c r="O2620" i="8"/>
  <c r="P2620" i="8"/>
  <c r="Q2620" i="8"/>
  <c r="R2620" i="8"/>
  <c r="S2620" i="8"/>
  <c r="T2620" i="8"/>
  <c r="E2621" i="8"/>
  <c r="F2621" i="8"/>
  <c r="G2621" i="8"/>
  <c r="H2621" i="8"/>
  <c r="I2621" i="8"/>
  <c r="J2621" i="8"/>
  <c r="K2621" i="8"/>
  <c r="L2621" i="8"/>
  <c r="M2621" i="8"/>
  <c r="N2621" i="8"/>
  <c r="O2621" i="8"/>
  <c r="P2621" i="8"/>
  <c r="Q2621" i="8"/>
  <c r="R2621" i="8"/>
  <c r="S2621" i="8"/>
  <c r="T2621" i="8"/>
  <c r="E2622" i="8"/>
  <c r="F2622" i="8"/>
  <c r="G2622" i="8"/>
  <c r="H2622" i="8"/>
  <c r="I2622" i="8"/>
  <c r="J2622" i="8"/>
  <c r="K2622" i="8"/>
  <c r="L2622" i="8"/>
  <c r="M2622" i="8"/>
  <c r="N2622" i="8"/>
  <c r="O2622" i="8"/>
  <c r="P2622" i="8"/>
  <c r="Q2622" i="8"/>
  <c r="R2622" i="8"/>
  <c r="S2622" i="8"/>
  <c r="T2622" i="8"/>
  <c r="E2623" i="8"/>
  <c r="F2623" i="8"/>
  <c r="G2623" i="8"/>
  <c r="H2623" i="8"/>
  <c r="I2623" i="8"/>
  <c r="J2623" i="8"/>
  <c r="K2623" i="8"/>
  <c r="L2623" i="8"/>
  <c r="M2623" i="8"/>
  <c r="N2623" i="8"/>
  <c r="O2623" i="8"/>
  <c r="P2623" i="8"/>
  <c r="Q2623" i="8"/>
  <c r="R2623" i="8"/>
  <c r="S2623" i="8"/>
  <c r="T2623" i="8"/>
  <c r="E2624" i="8"/>
  <c r="F2624" i="8"/>
  <c r="G2624" i="8"/>
  <c r="H2624" i="8"/>
  <c r="I2624" i="8"/>
  <c r="J2624" i="8"/>
  <c r="K2624" i="8"/>
  <c r="L2624" i="8"/>
  <c r="M2624" i="8"/>
  <c r="N2624" i="8"/>
  <c r="O2624" i="8"/>
  <c r="P2624" i="8"/>
  <c r="Q2624" i="8"/>
  <c r="R2624" i="8"/>
  <c r="S2624" i="8"/>
  <c r="T2624" i="8"/>
  <c r="O243" i="7"/>
  <c r="AK243" i="7"/>
  <c r="O242" i="7"/>
  <c r="AK242" i="7"/>
  <c r="O241" i="7"/>
  <c r="AK241" i="7"/>
  <c r="O240" i="7"/>
  <c r="AK240" i="7"/>
  <c r="O239" i="7"/>
  <c r="AK239" i="7"/>
  <c r="O238" i="7"/>
  <c r="AK238" i="7"/>
  <c r="O237" i="7"/>
  <c r="AK237" i="7"/>
  <c r="O236" i="7"/>
  <c r="AK236" i="7"/>
  <c r="O235" i="7"/>
  <c r="AK235" i="7"/>
  <c r="O234" i="7"/>
  <c r="AK234" i="7"/>
  <c r="O233" i="7"/>
  <c r="AK233" i="7"/>
  <c r="O232" i="7"/>
  <c r="AK232" i="7"/>
  <c r="O231" i="7"/>
  <c r="AK231" i="7"/>
  <c r="O230" i="7"/>
  <c r="AK230" i="7"/>
  <c r="O229" i="7"/>
  <c r="AK229" i="7"/>
  <c r="O228" i="7"/>
  <c r="AK228" i="7"/>
  <c r="O227" i="7"/>
  <c r="AK227" i="7"/>
  <c r="O226" i="7"/>
  <c r="AK226" i="7"/>
  <c r="O225" i="7"/>
  <c r="AK225" i="7"/>
  <c r="E224" i="7"/>
  <c r="F224" i="7"/>
  <c r="G224" i="7"/>
  <c r="H224" i="7"/>
  <c r="I224" i="7"/>
  <c r="J224" i="7"/>
  <c r="K224" i="7"/>
  <c r="L224" i="7"/>
  <c r="M224" i="7"/>
  <c r="P224" i="7"/>
  <c r="Q224" i="7"/>
  <c r="R224" i="7"/>
  <c r="S224" i="7"/>
  <c r="U224" i="7"/>
  <c r="V224" i="7"/>
  <c r="W224" i="7"/>
  <c r="X224" i="7"/>
  <c r="AA224" i="7"/>
  <c r="AE224" i="7"/>
  <c r="E2394" i="8"/>
  <c r="F2394" i="8"/>
  <c r="G2394" i="8"/>
  <c r="H2394" i="8"/>
  <c r="I2394" i="8"/>
  <c r="J2394" i="8"/>
  <c r="K2394" i="8"/>
  <c r="L2394" i="8"/>
  <c r="M2394" i="8"/>
  <c r="N2394" i="8"/>
  <c r="O2394" i="8"/>
  <c r="P2394" i="8"/>
  <c r="Q2394" i="8"/>
  <c r="R2394" i="8"/>
  <c r="S2394" i="8"/>
  <c r="T2394" i="8"/>
  <c r="E2395" i="8"/>
  <c r="F2395" i="8"/>
  <c r="G2395" i="8"/>
  <c r="H2395" i="8"/>
  <c r="I2395" i="8"/>
  <c r="J2395" i="8"/>
  <c r="K2395" i="8"/>
  <c r="L2395" i="8"/>
  <c r="M2395" i="8"/>
  <c r="N2395" i="8"/>
  <c r="O2395" i="8"/>
  <c r="P2395" i="8"/>
  <c r="Q2395" i="8"/>
  <c r="R2395" i="8"/>
  <c r="S2395" i="8"/>
  <c r="T2395" i="8"/>
  <c r="E2396" i="8"/>
  <c r="F2396" i="8"/>
  <c r="G2396" i="8"/>
  <c r="H2396" i="8"/>
  <c r="I2396" i="8"/>
  <c r="J2396" i="8"/>
  <c r="K2396" i="8"/>
  <c r="L2396" i="8"/>
  <c r="M2396" i="8"/>
  <c r="N2396" i="8"/>
  <c r="O2396" i="8"/>
  <c r="P2396" i="8"/>
  <c r="Q2396" i="8"/>
  <c r="R2396" i="8"/>
  <c r="S2396" i="8"/>
  <c r="T2396" i="8"/>
  <c r="E2397" i="8"/>
  <c r="F2397" i="8"/>
  <c r="G2397" i="8"/>
  <c r="H2397" i="8"/>
  <c r="I2397" i="8"/>
  <c r="J2397" i="8"/>
  <c r="K2397" i="8"/>
  <c r="L2397" i="8"/>
  <c r="M2397" i="8"/>
  <c r="N2397" i="8"/>
  <c r="O2397" i="8"/>
  <c r="P2397" i="8"/>
  <c r="Q2397" i="8"/>
  <c r="R2397" i="8"/>
  <c r="S2397" i="8"/>
  <c r="T2397" i="8"/>
  <c r="E2398" i="8"/>
  <c r="F2398" i="8"/>
  <c r="G2398" i="8"/>
  <c r="H2398" i="8"/>
  <c r="I2398" i="8"/>
  <c r="J2398" i="8"/>
  <c r="K2398" i="8"/>
  <c r="L2398" i="8"/>
  <c r="M2398" i="8"/>
  <c r="N2398" i="8"/>
  <c r="O2398" i="8"/>
  <c r="P2398" i="8"/>
  <c r="Q2398" i="8"/>
  <c r="R2398" i="8"/>
  <c r="S2398" i="8"/>
  <c r="T2398" i="8"/>
  <c r="E2399" i="8"/>
  <c r="F2399" i="8"/>
  <c r="G2399" i="8"/>
  <c r="H2399" i="8"/>
  <c r="I2399" i="8"/>
  <c r="J2399" i="8"/>
  <c r="K2399" i="8"/>
  <c r="L2399" i="8"/>
  <c r="M2399" i="8"/>
  <c r="N2399" i="8"/>
  <c r="O2399" i="8"/>
  <c r="P2399" i="8"/>
  <c r="Q2399" i="8"/>
  <c r="R2399" i="8"/>
  <c r="S2399" i="8"/>
  <c r="T2399" i="8"/>
  <c r="E2400" i="8"/>
  <c r="F2400" i="8"/>
  <c r="G2400" i="8"/>
  <c r="H2400" i="8"/>
  <c r="I2400" i="8"/>
  <c r="J2400" i="8"/>
  <c r="K2400" i="8"/>
  <c r="L2400" i="8"/>
  <c r="M2400" i="8"/>
  <c r="N2400" i="8"/>
  <c r="O2400" i="8"/>
  <c r="P2400" i="8"/>
  <c r="Q2400" i="8"/>
  <c r="R2400" i="8"/>
  <c r="S2400" i="8"/>
  <c r="T2400" i="8"/>
  <c r="E2401" i="8"/>
  <c r="F2401" i="8"/>
  <c r="G2401" i="8"/>
  <c r="H2401" i="8"/>
  <c r="I2401" i="8"/>
  <c r="J2401" i="8"/>
  <c r="K2401" i="8"/>
  <c r="L2401" i="8"/>
  <c r="M2401" i="8"/>
  <c r="N2401" i="8"/>
  <c r="O2401" i="8"/>
  <c r="P2401" i="8"/>
  <c r="Q2401" i="8"/>
  <c r="R2401" i="8"/>
  <c r="S2401" i="8"/>
  <c r="T2401" i="8"/>
  <c r="E2402" i="8"/>
  <c r="F2402" i="8"/>
  <c r="G2402" i="8"/>
  <c r="H2402" i="8"/>
  <c r="I2402" i="8"/>
  <c r="J2402" i="8"/>
  <c r="K2402" i="8"/>
  <c r="L2402" i="8"/>
  <c r="M2402" i="8"/>
  <c r="N2402" i="8"/>
  <c r="O2402" i="8"/>
  <c r="P2402" i="8"/>
  <c r="Q2402" i="8"/>
  <c r="R2402" i="8"/>
  <c r="S2402" i="8"/>
  <c r="T2402" i="8"/>
  <c r="E2403" i="8"/>
  <c r="F2403" i="8"/>
  <c r="G2403" i="8"/>
  <c r="H2403" i="8"/>
  <c r="I2403" i="8"/>
  <c r="J2403" i="8"/>
  <c r="K2403" i="8"/>
  <c r="L2403" i="8"/>
  <c r="M2403" i="8"/>
  <c r="N2403" i="8"/>
  <c r="O2403" i="8"/>
  <c r="P2403" i="8"/>
  <c r="Q2403" i="8"/>
  <c r="R2403" i="8"/>
  <c r="S2403" i="8"/>
  <c r="T2403" i="8"/>
  <c r="G2404" i="8"/>
  <c r="I2404" i="8"/>
  <c r="J2404" i="8"/>
  <c r="L2404" i="8"/>
  <c r="N2404" i="8"/>
  <c r="P2404" i="8"/>
  <c r="R2404" i="8"/>
  <c r="T2404" i="8"/>
  <c r="E2404" i="8"/>
  <c r="F2404" i="8"/>
  <c r="H2404" i="8"/>
  <c r="K2404" i="8"/>
  <c r="M2404" i="8"/>
  <c r="O2404" i="8"/>
  <c r="Q2404" i="8"/>
  <c r="S2404" i="8"/>
  <c r="E223" i="7"/>
  <c r="F223" i="7"/>
  <c r="G223" i="7"/>
  <c r="H223" i="7"/>
  <c r="I223" i="7"/>
  <c r="J223" i="7"/>
  <c r="K223" i="7"/>
  <c r="L223" i="7"/>
  <c r="M223" i="7"/>
  <c r="N223" i="7"/>
  <c r="P223" i="7"/>
  <c r="Q223" i="7"/>
  <c r="R223" i="7"/>
  <c r="S223" i="7"/>
  <c r="U223" i="7"/>
  <c r="V223" i="7"/>
  <c r="W223" i="7"/>
  <c r="X223" i="7"/>
  <c r="Y223" i="7"/>
  <c r="Z223" i="7"/>
  <c r="AA223" i="7"/>
  <c r="AC223" i="7"/>
  <c r="AE223" i="7"/>
  <c r="AI223" i="7"/>
  <c r="AO223" i="7"/>
  <c r="AP223" i="7"/>
  <c r="E2383" i="8"/>
  <c r="F2383" i="8"/>
  <c r="G2383" i="8"/>
  <c r="H2383" i="8"/>
  <c r="I2383" i="8"/>
  <c r="J2383" i="8"/>
  <c r="K2383" i="8"/>
  <c r="L2383" i="8"/>
  <c r="M2383" i="8"/>
  <c r="N2383" i="8"/>
  <c r="O2383" i="8"/>
  <c r="P2383" i="8"/>
  <c r="Q2383" i="8"/>
  <c r="R2383" i="8"/>
  <c r="S2383" i="8"/>
  <c r="T2383" i="8"/>
  <c r="E2384" i="8"/>
  <c r="F2384" i="8"/>
  <c r="G2384" i="8"/>
  <c r="H2384" i="8"/>
  <c r="I2384" i="8"/>
  <c r="J2384" i="8"/>
  <c r="K2384" i="8"/>
  <c r="L2384" i="8"/>
  <c r="M2384" i="8"/>
  <c r="N2384" i="8"/>
  <c r="O2384" i="8"/>
  <c r="P2384" i="8"/>
  <c r="Q2384" i="8"/>
  <c r="R2384" i="8"/>
  <c r="S2384" i="8"/>
  <c r="T2384" i="8"/>
  <c r="E2385" i="8"/>
  <c r="F2385" i="8"/>
  <c r="G2385" i="8"/>
  <c r="H2385" i="8"/>
  <c r="I2385" i="8"/>
  <c r="J2385" i="8"/>
  <c r="K2385" i="8"/>
  <c r="L2385" i="8"/>
  <c r="M2385" i="8"/>
  <c r="N2385" i="8"/>
  <c r="O2385" i="8"/>
  <c r="P2385" i="8"/>
  <c r="Q2385" i="8"/>
  <c r="R2385" i="8"/>
  <c r="S2385" i="8"/>
  <c r="T2385" i="8"/>
  <c r="E2386" i="8"/>
  <c r="F2386" i="8"/>
  <c r="G2386" i="8"/>
  <c r="H2386" i="8"/>
  <c r="I2386" i="8"/>
  <c r="J2386" i="8"/>
  <c r="K2386" i="8"/>
  <c r="L2386" i="8"/>
  <c r="M2386" i="8"/>
  <c r="N2386" i="8"/>
  <c r="O2386" i="8"/>
  <c r="P2386" i="8"/>
  <c r="Q2386" i="8"/>
  <c r="R2386" i="8"/>
  <c r="S2386" i="8"/>
  <c r="T2386" i="8"/>
  <c r="E2387" i="8"/>
  <c r="F2387" i="8"/>
  <c r="G2387" i="8"/>
  <c r="H2387" i="8"/>
  <c r="I2387" i="8"/>
  <c r="J2387" i="8"/>
  <c r="K2387" i="8"/>
  <c r="L2387" i="8"/>
  <c r="M2387" i="8"/>
  <c r="N2387" i="8"/>
  <c r="O2387" i="8"/>
  <c r="P2387" i="8"/>
  <c r="Q2387" i="8"/>
  <c r="R2387" i="8"/>
  <c r="S2387" i="8"/>
  <c r="T2387" i="8"/>
  <c r="E2388" i="8"/>
  <c r="F2388" i="8"/>
  <c r="G2388" i="8"/>
  <c r="H2388" i="8"/>
  <c r="I2388" i="8"/>
  <c r="J2388" i="8"/>
  <c r="K2388" i="8"/>
  <c r="L2388" i="8"/>
  <c r="M2388" i="8"/>
  <c r="N2388" i="8"/>
  <c r="O2388" i="8"/>
  <c r="P2388" i="8"/>
  <c r="Q2388" i="8"/>
  <c r="R2388" i="8"/>
  <c r="S2388" i="8"/>
  <c r="T2388" i="8"/>
  <c r="E2389" i="8"/>
  <c r="F2389" i="8"/>
  <c r="G2389" i="8"/>
  <c r="H2389" i="8"/>
  <c r="I2389" i="8"/>
  <c r="J2389" i="8"/>
  <c r="K2389" i="8"/>
  <c r="L2389" i="8"/>
  <c r="M2389" i="8"/>
  <c r="N2389" i="8"/>
  <c r="O2389" i="8"/>
  <c r="P2389" i="8"/>
  <c r="Q2389" i="8"/>
  <c r="R2389" i="8"/>
  <c r="S2389" i="8"/>
  <c r="T2389" i="8"/>
  <c r="E2390" i="8"/>
  <c r="F2390" i="8"/>
  <c r="G2390" i="8"/>
  <c r="H2390" i="8"/>
  <c r="I2390" i="8"/>
  <c r="J2390" i="8"/>
  <c r="K2390" i="8"/>
  <c r="L2390" i="8"/>
  <c r="M2390" i="8"/>
  <c r="N2390" i="8"/>
  <c r="O2390" i="8"/>
  <c r="P2390" i="8"/>
  <c r="Q2390" i="8"/>
  <c r="R2390" i="8"/>
  <c r="S2390" i="8"/>
  <c r="T2390" i="8"/>
  <c r="E2391" i="8"/>
  <c r="F2391" i="8"/>
  <c r="G2391" i="8"/>
  <c r="H2391" i="8"/>
  <c r="I2391" i="8"/>
  <c r="J2391" i="8"/>
  <c r="K2391" i="8"/>
  <c r="L2391" i="8"/>
  <c r="M2391" i="8"/>
  <c r="N2391" i="8"/>
  <c r="O2391" i="8"/>
  <c r="P2391" i="8"/>
  <c r="Q2391" i="8"/>
  <c r="R2391" i="8"/>
  <c r="S2391" i="8"/>
  <c r="T2391" i="8"/>
  <c r="E2392" i="8"/>
  <c r="F2392" i="8"/>
  <c r="G2392" i="8"/>
  <c r="H2392" i="8"/>
  <c r="I2392" i="8"/>
  <c r="J2392" i="8"/>
  <c r="K2392" i="8"/>
  <c r="L2392" i="8"/>
  <c r="M2392" i="8"/>
  <c r="N2392" i="8"/>
  <c r="O2392" i="8"/>
  <c r="P2392" i="8"/>
  <c r="Q2392" i="8"/>
  <c r="R2392" i="8"/>
  <c r="S2392" i="8"/>
  <c r="T2392" i="8"/>
  <c r="E2393" i="8"/>
  <c r="F2393" i="8"/>
  <c r="G2393" i="8"/>
  <c r="H2393" i="8"/>
  <c r="I2393" i="8"/>
  <c r="J2393" i="8"/>
  <c r="K2393" i="8"/>
  <c r="L2393" i="8"/>
  <c r="M2393" i="8"/>
  <c r="N2393" i="8"/>
  <c r="O2393" i="8"/>
  <c r="P2393" i="8"/>
  <c r="Q2393" i="8"/>
  <c r="R2393" i="8"/>
  <c r="S2393" i="8"/>
  <c r="T2393" i="8"/>
  <c r="E222" i="7"/>
  <c r="F222" i="7"/>
  <c r="G222" i="7"/>
  <c r="H222" i="7"/>
  <c r="I222" i="7"/>
  <c r="J222" i="7"/>
  <c r="K222" i="7"/>
  <c r="L222" i="7"/>
  <c r="M222" i="7"/>
  <c r="N222" i="7"/>
  <c r="P222" i="7"/>
  <c r="Q222" i="7"/>
  <c r="R222" i="7"/>
  <c r="S222" i="7"/>
  <c r="U222" i="7"/>
  <c r="V222" i="7"/>
  <c r="W222" i="7"/>
  <c r="X222" i="7"/>
  <c r="Y222" i="7"/>
  <c r="Z222" i="7"/>
  <c r="AA222" i="7"/>
  <c r="AC222" i="7"/>
  <c r="AE222" i="7"/>
  <c r="AI222" i="7"/>
  <c r="AO222" i="7"/>
  <c r="AP222" i="7"/>
  <c r="E2372" i="8"/>
  <c r="F2372" i="8"/>
  <c r="G2372" i="8"/>
  <c r="H2372" i="8"/>
  <c r="I2372" i="8"/>
  <c r="J2372" i="8"/>
  <c r="K2372" i="8"/>
  <c r="L2372" i="8"/>
  <c r="M2372" i="8"/>
  <c r="N2372" i="8"/>
  <c r="O2372" i="8"/>
  <c r="P2372" i="8"/>
  <c r="Q2372" i="8"/>
  <c r="R2372" i="8"/>
  <c r="S2372" i="8"/>
  <c r="T2372" i="8"/>
  <c r="E2373" i="8"/>
  <c r="F2373" i="8"/>
  <c r="G2373" i="8"/>
  <c r="H2373" i="8"/>
  <c r="I2373" i="8"/>
  <c r="J2373" i="8"/>
  <c r="K2373" i="8"/>
  <c r="L2373" i="8"/>
  <c r="M2373" i="8"/>
  <c r="N2373" i="8"/>
  <c r="O2373" i="8"/>
  <c r="P2373" i="8"/>
  <c r="Q2373" i="8"/>
  <c r="R2373" i="8"/>
  <c r="S2373" i="8"/>
  <c r="T2373" i="8"/>
  <c r="E2374" i="8"/>
  <c r="F2374" i="8"/>
  <c r="G2374" i="8"/>
  <c r="H2374" i="8"/>
  <c r="I2374" i="8"/>
  <c r="J2374" i="8"/>
  <c r="K2374" i="8"/>
  <c r="L2374" i="8"/>
  <c r="M2374" i="8"/>
  <c r="N2374" i="8"/>
  <c r="O2374" i="8"/>
  <c r="P2374" i="8"/>
  <c r="Q2374" i="8"/>
  <c r="R2374" i="8"/>
  <c r="S2374" i="8"/>
  <c r="T2374" i="8"/>
  <c r="E2375" i="8"/>
  <c r="F2375" i="8"/>
  <c r="G2375" i="8"/>
  <c r="H2375" i="8"/>
  <c r="I2375" i="8"/>
  <c r="J2375" i="8"/>
  <c r="K2375" i="8"/>
  <c r="L2375" i="8"/>
  <c r="M2375" i="8"/>
  <c r="N2375" i="8"/>
  <c r="O2375" i="8"/>
  <c r="P2375" i="8"/>
  <c r="Q2375" i="8"/>
  <c r="R2375" i="8"/>
  <c r="S2375" i="8"/>
  <c r="T2375" i="8"/>
  <c r="E2376" i="8"/>
  <c r="F2376" i="8"/>
  <c r="G2376" i="8"/>
  <c r="H2376" i="8"/>
  <c r="I2376" i="8"/>
  <c r="J2376" i="8"/>
  <c r="K2376" i="8"/>
  <c r="L2376" i="8"/>
  <c r="M2376" i="8"/>
  <c r="N2376" i="8"/>
  <c r="O2376" i="8"/>
  <c r="P2376" i="8"/>
  <c r="Q2376" i="8"/>
  <c r="R2376" i="8"/>
  <c r="S2376" i="8"/>
  <c r="T2376" i="8"/>
  <c r="E2377" i="8"/>
  <c r="F2377" i="8"/>
  <c r="G2377" i="8"/>
  <c r="H2377" i="8"/>
  <c r="I2377" i="8"/>
  <c r="J2377" i="8"/>
  <c r="K2377" i="8"/>
  <c r="L2377" i="8"/>
  <c r="M2377" i="8"/>
  <c r="N2377" i="8"/>
  <c r="O2377" i="8"/>
  <c r="P2377" i="8"/>
  <c r="Q2377" i="8"/>
  <c r="R2377" i="8"/>
  <c r="S2377" i="8"/>
  <c r="T2377" i="8"/>
  <c r="E2378" i="8"/>
  <c r="F2378" i="8"/>
  <c r="G2378" i="8"/>
  <c r="H2378" i="8"/>
  <c r="I2378" i="8"/>
  <c r="J2378" i="8"/>
  <c r="K2378" i="8"/>
  <c r="L2378" i="8"/>
  <c r="M2378" i="8"/>
  <c r="N2378" i="8"/>
  <c r="O2378" i="8"/>
  <c r="P2378" i="8"/>
  <c r="Q2378" i="8"/>
  <c r="R2378" i="8"/>
  <c r="S2378" i="8"/>
  <c r="T2378" i="8"/>
  <c r="E2379" i="8"/>
  <c r="F2379" i="8"/>
  <c r="G2379" i="8"/>
  <c r="H2379" i="8"/>
  <c r="I2379" i="8"/>
  <c r="J2379" i="8"/>
  <c r="K2379" i="8"/>
  <c r="L2379" i="8"/>
  <c r="M2379" i="8"/>
  <c r="N2379" i="8"/>
  <c r="O2379" i="8"/>
  <c r="P2379" i="8"/>
  <c r="Q2379" i="8"/>
  <c r="R2379" i="8"/>
  <c r="S2379" i="8"/>
  <c r="T2379" i="8"/>
  <c r="E2380" i="8"/>
  <c r="F2380" i="8"/>
  <c r="G2380" i="8"/>
  <c r="H2380" i="8"/>
  <c r="I2380" i="8"/>
  <c r="J2380" i="8"/>
  <c r="K2380" i="8"/>
  <c r="L2380" i="8"/>
  <c r="M2380" i="8"/>
  <c r="N2380" i="8"/>
  <c r="O2380" i="8"/>
  <c r="P2380" i="8"/>
  <c r="Q2380" i="8"/>
  <c r="R2380" i="8"/>
  <c r="S2380" i="8"/>
  <c r="T2380" i="8"/>
  <c r="E2381" i="8"/>
  <c r="F2381" i="8"/>
  <c r="G2381" i="8"/>
  <c r="H2381" i="8"/>
  <c r="I2381" i="8"/>
  <c r="J2381" i="8"/>
  <c r="K2381" i="8"/>
  <c r="L2381" i="8"/>
  <c r="M2381" i="8"/>
  <c r="N2381" i="8"/>
  <c r="O2381" i="8"/>
  <c r="P2381" i="8"/>
  <c r="Q2381" i="8"/>
  <c r="R2381" i="8"/>
  <c r="S2381" i="8"/>
  <c r="T2381" i="8"/>
  <c r="E2382" i="8"/>
  <c r="F2382" i="8"/>
  <c r="G2382" i="8"/>
  <c r="H2382" i="8"/>
  <c r="I2382" i="8"/>
  <c r="J2382" i="8"/>
  <c r="K2382" i="8"/>
  <c r="L2382" i="8"/>
  <c r="M2382" i="8"/>
  <c r="N2382" i="8"/>
  <c r="O2382" i="8"/>
  <c r="P2382" i="8"/>
  <c r="Q2382" i="8"/>
  <c r="R2382" i="8"/>
  <c r="S2382" i="8"/>
  <c r="T2382" i="8"/>
  <c r="E221" i="7"/>
  <c r="F221" i="7"/>
  <c r="G221" i="7"/>
  <c r="H221" i="7"/>
  <c r="I221" i="7"/>
  <c r="J221" i="7"/>
  <c r="K221" i="7"/>
  <c r="L221" i="7"/>
  <c r="M221" i="7"/>
  <c r="N221" i="7"/>
  <c r="P221" i="7"/>
  <c r="Q221" i="7"/>
  <c r="R221" i="7"/>
  <c r="S221" i="7"/>
  <c r="U221" i="7"/>
  <c r="V221" i="7"/>
  <c r="W221" i="7"/>
  <c r="X221" i="7"/>
  <c r="Y221" i="7"/>
  <c r="Z221" i="7"/>
  <c r="AA221" i="7"/>
  <c r="AC221" i="7"/>
  <c r="AE221" i="7"/>
  <c r="AI221" i="7"/>
  <c r="AO221" i="7"/>
  <c r="AP221" i="7"/>
  <c r="E2361" i="8"/>
  <c r="F2361" i="8"/>
  <c r="G2361" i="8"/>
  <c r="H2361" i="8"/>
  <c r="I2361" i="8"/>
  <c r="J2361" i="8"/>
  <c r="K2361" i="8"/>
  <c r="L2361" i="8"/>
  <c r="M2361" i="8"/>
  <c r="N2361" i="8"/>
  <c r="O2361" i="8"/>
  <c r="P2361" i="8"/>
  <c r="Q2361" i="8"/>
  <c r="R2361" i="8"/>
  <c r="S2361" i="8"/>
  <c r="T2361" i="8"/>
  <c r="E2362" i="8"/>
  <c r="F2362" i="8"/>
  <c r="G2362" i="8"/>
  <c r="H2362" i="8"/>
  <c r="I2362" i="8"/>
  <c r="J2362" i="8"/>
  <c r="K2362" i="8"/>
  <c r="L2362" i="8"/>
  <c r="M2362" i="8"/>
  <c r="N2362" i="8"/>
  <c r="O2362" i="8"/>
  <c r="P2362" i="8"/>
  <c r="Q2362" i="8"/>
  <c r="R2362" i="8"/>
  <c r="S2362" i="8"/>
  <c r="T2362" i="8"/>
  <c r="E2363" i="8"/>
  <c r="F2363" i="8"/>
  <c r="G2363" i="8"/>
  <c r="H2363" i="8"/>
  <c r="I2363" i="8"/>
  <c r="J2363" i="8"/>
  <c r="K2363" i="8"/>
  <c r="L2363" i="8"/>
  <c r="M2363" i="8"/>
  <c r="N2363" i="8"/>
  <c r="O2363" i="8"/>
  <c r="P2363" i="8"/>
  <c r="Q2363" i="8"/>
  <c r="R2363" i="8"/>
  <c r="S2363" i="8"/>
  <c r="T2363" i="8"/>
  <c r="E2364" i="8"/>
  <c r="F2364" i="8"/>
  <c r="G2364" i="8"/>
  <c r="H2364" i="8"/>
  <c r="I2364" i="8"/>
  <c r="J2364" i="8"/>
  <c r="K2364" i="8"/>
  <c r="L2364" i="8"/>
  <c r="M2364" i="8"/>
  <c r="N2364" i="8"/>
  <c r="O2364" i="8"/>
  <c r="P2364" i="8"/>
  <c r="Q2364" i="8"/>
  <c r="R2364" i="8"/>
  <c r="S2364" i="8"/>
  <c r="T2364" i="8"/>
  <c r="E2365" i="8"/>
  <c r="F2365" i="8"/>
  <c r="G2365" i="8"/>
  <c r="H2365" i="8"/>
  <c r="I2365" i="8"/>
  <c r="J2365" i="8"/>
  <c r="K2365" i="8"/>
  <c r="L2365" i="8"/>
  <c r="M2365" i="8"/>
  <c r="N2365" i="8"/>
  <c r="O2365" i="8"/>
  <c r="P2365" i="8"/>
  <c r="Q2365" i="8"/>
  <c r="R2365" i="8"/>
  <c r="S2365" i="8"/>
  <c r="T2365" i="8"/>
  <c r="E2366" i="8"/>
  <c r="F2366" i="8"/>
  <c r="G2366" i="8"/>
  <c r="H2366" i="8"/>
  <c r="I2366" i="8"/>
  <c r="J2366" i="8"/>
  <c r="K2366" i="8"/>
  <c r="L2366" i="8"/>
  <c r="M2366" i="8"/>
  <c r="N2366" i="8"/>
  <c r="O2366" i="8"/>
  <c r="P2366" i="8"/>
  <c r="Q2366" i="8"/>
  <c r="R2366" i="8"/>
  <c r="S2366" i="8"/>
  <c r="T2366" i="8"/>
  <c r="E2367" i="8"/>
  <c r="F2367" i="8"/>
  <c r="G2367" i="8"/>
  <c r="H2367" i="8"/>
  <c r="I2367" i="8"/>
  <c r="J2367" i="8"/>
  <c r="K2367" i="8"/>
  <c r="L2367" i="8"/>
  <c r="M2367" i="8"/>
  <c r="N2367" i="8"/>
  <c r="O2367" i="8"/>
  <c r="P2367" i="8"/>
  <c r="Q2367" i="8"/>
  <c r="R2367" i="8"/>
  <c r="S2367" i="8"/>
  <c r="T2367" i="8"/>
  <c r="E2368" i="8"/>
  <c r="F2368" i="8"/>
  <c r="G2368" i="8"/>
  <c r="H2368" i="8"/>
  <c r="I2368" i="8"/>
  <c r="J2368" i="8"/>
  <c r="K2368" i="8"/>
  <c r="L2368" i="8"/>
  <c r="M2368" i="8"/>
  <c r="N2368" i="8"/>
  <c r="O2368" i="8"/>
  <c r="P2368" i="8"/>
  <c r="Q2368" i="8"/>
  <c r="R2368" i="8"/>
  <c r="S2368" i="8"/>
  <c r="T2368" i="8"/>
  <c r="E2369" i="8"/>
  <c r="F2369" i="8"/>
  <c r="G2369" i="8"/>
  <c r="H2369" i="8"/>
  <c r="I2369" i="8"/>
  <c r="J2369" i="8"/>
  <c r="K2369" i="8"/>
  <c r="L2369" i="8"/>
  <c r="M2369" i="8"/>
  <c r="N2369" i="8"/>
  <c r="O2369" i="8"/>
  <c r="P2369" i="8"/>
  <c r="Q2369" i="8"/>
  <c r="R2369" i="8"/>
  <c r="S2369" i="8"/>
  <c r="T2369" i="8"/>
  <c r="E2370" i="8"/>
  <c r="F2370" i="8"/>
  <c r="G2370" i="8"/>
  <c r="H2370" i="8"/>
  <c r="I2370" i="8"/>
  <c r="J2370" i="8"/>
  <c r="K2370" i="8"/>
  <c r="L2370" i="8"/>
  <c r="M2370" i="8"/>
  <c r="N2370" i="8"/>
  <c r="O2370" i="8"/>
  <c r="P2370" i="8"/>
  <c r="Q2370" i="8"/>
  <c r="R2370" i="8"/>
  <c r="S2370" i="8"/>
  <c r="T2370" i="8"/>
  <c r="E2371" i="8"/>
  <c r="F2371" i="8"/>
  <c r="G2371" i="8"/>
  <c r="H2371" i="8"/>
  <c r="I2371" i="8"/>
  <c r="J2371" i="8"/>
  <c r="K2371" i="8"/>
  <c r="L2371" i="8"/>
  <c r="M2371" i="8"/>
  <c r="N2371" i="8"/>
  <c r="O2371" i="8"/>
  <c r="P2371" i="8"/>
  <c r="Q2371" i="8"/>
  <c r="R2371" i="8"/>
  <c r="S2371" i="8"/>
  <c r="T2371" i="8"/>
  <c r="E220" i="7"/>
  <c r="F220" i="7"/>
  <c r="G220" i="7"/>
  <c r="H220" i="7"/>
  <c r="I220" i="7"/>
  <c r="J220" i="7"/>
  <c r="K220" i="7"/>
  <c r="L220" i="7"/>
  <c r="M220" i="7"/>
  <c r="N220" i="7"/>
  <c r="P220" i="7"/>
  <c r="Q220" i="7"/>
  <c r="R220" i="7"/>
  <c r="S220" i="7"/>
  <c r="U220" i="7"/>
  <c r="V220" i="7"/>
  <c r="W220" i="7"/>
  <c r="X220" i="7"/>
  <c r="Y220" i="7"/>
  <c r="Z220" i="7"/>
  <c r="AA220" i="7"/>
  <c r="AC220" i="7"/>
  <c r="AE220" i="7"/>
  <c r="AI220" i="7"/>
  <c r="AO220" i="7"/>
  <c r="AP220" i="7"/>
  <c r="E2350" i="8"/>
  <c r="F2350" i="8"/>
  <c r="G2350" i="8"/>
  <c r="H2350" i="8"/>
  <c r="I2350" i="8"/>
  <c r="J2350" i="8"/>
  <c r="K2350" i="8"/>
  <c r="L2350" i="8"/>
  <c r="M2350" i="8"/>
  <c r="N2350" i="8"/>
  <c r="O2350" i="8"/>
  <c r="P2350" i="8"/>
  <c r="Q2350" i="8"/>
  <c r="R2350" i="8"/>
  <c r="S2350" i="8"/>
  <c r="T2350" i="8"/>
  <c r="E2351" i="8"/>
  <c r="F2351" i="8"/>
  <c r="G2351" i="8"/>
  <c r="H2351" i="8"/>
  <c r="I2351" i="8"/>
  <c r="J2351" i="8"/>
  <c r="K2351" i="8"/>
  <c r="L2351" i="8"/>
  <c r="M2351" i="8"/>
  <c r="N2351" i="8"/>
  <c r="O2351" i="8"/>
  <c r="P2351" i="8"/>
  <c r="Q2351" i="8"/>
  <c r="R2351" i="8"/>
  <c r="S2351" i="8"/>
  <c r="T2351" i="8"/>
  <c r="E2352" i="8"/>
  <c r="F2352" i="8"/>
  <c r="G2352" i="8"/>
  <c r="H2352" i="8"/>
  <c r="I2352" i="8"/>
  <c r="J2352" i="8"/>
  <c r="K2352" i="8"/>
  <c r="L2352" i="8"/>
  <c r="M2352" i="8"/>
  <c r="N2352" i="8"/>
  <c r="O2352" i="8"/>
  <c r="P2352" i="8"/>
  <c r="Q2352" i="8"/>
  <c r="R2352" i="8"/>
  <c r="S2352" i="8"/>
  <c r="T2352" i="8"/>
  <c r="E2353" i="8"/>
  <c r="F2353" i="8"/>
  <c r="G2353" i="8"/>
  <c r="H2353" i="8"/>
  <c r="I2353" i="8"/>
  <c r="J2353" i="8"/>
  <c r="K2353" i="8"/>
  <c r="L2353" i="8"/>
  <c r="M2353" i="8"/>
  <c r="N2353" i="8"/>
  <c r="O2353" i="8"/>
  <c r="P2353" i="8"/>
  <c r="Q2353" i="8"/>
  <c r="R2353" i="8"/>
  <c r="S2353" i="8"/>
  <c r="T2353" i="8"/>
  <c r="E2354" i="8"/>
  <c r="F2354" i="8"/>
  <c r="G2354" i="8"/>
  <c r="H2354" i="8"/>
  <c r="I2354" i="8"/>
  <c r="J2354" i="8"/>
  <c r="K2354" i="8"/>
  <c r="L2354" i="8"/>
  <c r="M2354" i="8"/>
  <c r="N2354" i="8"/>
  <c r="O2354" i="8"/>
  <c r="P2354" i="8"/>
  <c r="Q2354" i="8"/>
  <c r="R2354" i="8"/>
  <c r="S2354" i="8"/>
  <c r="T2354" i="8"/>
  <c r="E2355" i="8"/>
  <c r="F2355" i="8"/>
  <c r="G2355" i="8"/>
  <c r="H2355" i="8"/>
  <c r="I2355" i="8"/>
  <c r="J2355" i="8"/>
  <c r="K2355" i="8"/>
  <c r="L2355" i="8"/>
  <c r="M2355" i="8"/>
  <c r="N2355" i="8"/>
  <c r="O2355" i="8"/>
  <c r="P2355" i="8"/>
  <c r="Q2355" i="8"/>
  <c r="R2355" i="8"/>
  <c r="S2355" i="8"/>
  <c r="T2355" i="8"/>
  <c r="E2356" i="8"/>
  <c r="F2356" i="8"/>
  <c r="G2356" i="8"/>
  <c r="H2356" i="8"/>
  <c r="I2356" i="8"/>
  <c r="J2356" i="8"/>
  <c r="K2356" i="8"/>
  <c r="L2356" i="8"/>
  <c r="M2356" i="8"/>
  <c r="N2356" i="8"/>
  <c r="O2356" i="8"/>
  <c r="P2356" i="8"/>
  <c r="Q2356" i="8"/>
  <c r="R2356" i="8"/>
  <c r="S2356" i="8"/>
  <c r="T2356" i="8"/>
  <c r="E2357" i="8"/>
  <c r="F2357" i="8"/>
  <c r="G2357" i="8"/>
  <c r="H2357" i="8"/>
  <c r="I2357" i="8"/>
  <c r="J2357" i="8"/>
  <c r="K2357" i="8"/>
  <c r="L2357" i="8"/>
  <c r="M2357" i="8"/>
  <c r="N2357" i="8"/>
  <c r="O2357" i="8"/>
  <c r="P2357" i="8"/>
  <c r="Q2357" i="8"/>
  <c r="R2357" i="8"/>
  <c r="S2357" i="8"/>
  <c r="T2357" i="8"/>
  <c r="E2358" i="8"/>
  <c r="F2358" i="8"/>
  <c r="G2358" i="8"/>
  <c r="H2358" i="8"/>
  <c r="I2358" i="8"/>
  <c r="J2358" i="8"/>
  <c r="K2358" i="8"/>
  <c r="L2358" i="8"/>
  <c r="M2358" i="8"/>
  <c r="N2358" i="8"/>
  <c r="O2358" i="8"/>
  <c r="P2358" i="8"/>
  <c r="Q2358" i="8"/>
  <c r="R2358" i="8"/>
  <c r="S2358" i="8"/>
  <c r="T2358" i="8"/>
  <c r="E2359" i="8"/>
  <c r="F2359" i="8"/>
  <c r="G2359" i="8"/>
  <c r="H2359" i="8"/>
  <c r="I2359" i="8"/>
  <c r="J2359" i="8"/>
  <c r="K2359" i="8"/>
  <c r="L2359" i="8"/>
  <c r="M2359" i="8"/>
  <c r="N2359" i="8"/>
  <c r="O2359" i="8"/>
  <c r="P2359" i="8"/>
  <c r="Q2359" i="8"/>
  <c r="R2359" i="8"/>
  <c r="S2359" i="8"/>
  <c r="T2359" i="8"/>
  <c r="E2360" i="8"/>
  <c r="F2360" i="8"/>
  <c r="G2360" i="8"/>
  <c r="H2360" i="8"/>
  <c r="I2360" i="8"/>
  <c r="J2360" i="8"/>
  <c r="K2360" i="8"/>
  <c r="L2360" i="8"/>
  <c r="M2360" i="8"/>
  <c r="N2360" i="8"/>
  <c r="O2360" i="8"/>
  <c r="P2360" i="8"/>
  <c r="Q2360" i="8"/>
  <c r="R2360" i="8"/>
  <c r="S2360" i="8"/>
  <c r="T2360" i="8"/>
  <c r="E219" i="7"/>
  <c r="F219" i="7"/>
  <c r="G219" i="7"/>
  <c r="H219" i="7"/>
  <c r="I219" i="7"/>
  <c r="J219" i="7"/>
  <c r="K219" i="7"/>
  <c r="L219" i="7"/>
  <c r="M219" i="7"/>
  <c r="N219" i="7"/>
  <c r="P219" i="7"/>
  <c r="Q219" i="7"/>
  <c r="R219" i="7"/>
  <c r="S219" i="7"/>
  <c r="U219" i="7"/>
  <c r="V219" i="7"/>
  <c r="W219" i="7"/>
  <c r="X219" i="7"/>
  <c r="Y219" i="7"/>
  <c r="Z219" i="7"/>
  <c r="AA219" i="7"/>
  <c r="AC219" i="7"/>
  <c r="AE219" i="7"/>
  <c r="AI219" i="7"/>
  <c r="AO219" i="7"/>
  <c r="AP219" i="7"/>
  <c r="E2339" i="8"/>
  <c r="F2339" i="8"/>
  <c r="G2339" i="8"/>
  <c r="H2339" i="8"/>
  <c r="I2339" i="8"/>
  <c r="J2339" i="8"/>
  <c r="K2339" i="8"/>
  <c r="L2339" i="8"/>
  <c r="M2339" i="8"/>
  <c r="N2339" i="8"/>
  <c r="O2339" i="8"/>
  <c r="P2339" i="8"/>
  <c r="Q2339" i="8"/>
  <c r="R2339" i="8"/>
  <c r="S2339" i="8"/>
  <c r="T2339" i="8"/>
  <c r="E2340" i="8"/>
  <c r="F2340" i="8"/>
  <c r="G2340" i="8"/>
  <c r="H2340" i="8"/>
  <c r="I2340" i="8"/>
  <c r="J2340" i="8"/>
  <c r="K2340" i="8"/>
  <c r="L2340" i="8"/>
  <c r="M2340" i="8"/>
  <c r="N2340" i="8"/>
  <c r="O2340" i="8"/>
  <c r="P2340" i="8"/>
  <c r="Q2340" i="8"/>
  <c r="R2340" i="8"/>
  <c r="S2340" i="8"/>
  <c r="T2340" i="8"/>
  <c r="E2341" i="8"/>
  <c r="F2341" i="8"/>
  <c r="G2341" i="8"/>
  <c r="H2341" i="8"/>
  <c r="I2341" i="8"/>
  <c r="J2341" i="8"/>
  <c r="K2341" i="8"/>
  <c r="L2341" i="8"/>
  <c r="M2341" i="8"/>
  <c r="N2341" i="8"/>
  <c r="O2341" i="8"/>
  <c r="P2341" i="8"/>
  <c r="Q2341" i="8"/>
  <c r="R2341" i="8"/>
  <c r="S2341" i="8"/>
  <c r="T2341" i="8"/>
  <c r="E2342" i="8"/>
  <c r="F2342" i="8"/>
  <c r="G2342" i="8"/>
  <c r="H2342" i="8"/>
  <c r="I2342" i="8"/>
  <c r="J2342" i="8"/>
  <c r="K2342" i="8"/>
  <c r="L2342" i="8"/>
  <c r="M2342" i="8"/>
  <c r="N2342" i="8"/>
  <c r="O2342" i="8"/>
  <c r="P2342" i="8"/>
  <c r="Q2342" i="8"/>
  <c r="R2342" i="8"/>
  <c r="S2342" i="8"/>
  <c r="T2342" i="8"/>
  <c r="E2343" i="8"/>
  <c r="F2343" i="8"/>
  <c r="G2343" i="8"/>
  <c r="H2343" i="8"/>
  <c r="I2343" i="8"/>
  <c r="J2343" i="8"/>
  <c r="K2343" i="8"/>
  <c r="L2343" i="8"/>
  <c r="M2343" i="8"/>
  <c r="N2343" i="8"/>
  <c r="O2343" i="8"/>
  <c r="P2343" i="8"/>
  <c r="Q2343" i="8"/>
  <c r="R2343" i="8"/>
  <c r="S2343" i="8"/>
  <c r="T2343" i="8"/>
  <c r="E2344" i="8"/>
  <c r="F2344" i="8"/>
  <c r="G2344" i="8"/>
  <c r="H2344" i="8"/>
  <c r="I2344" i="8"/>
  <c r="J2344" i="8"/>
  <c r="K2344" i="8"/>
  <c r="L2344" i="8"/>
  <c r="M2344" i="8"/>
  <c r="N2344" i="8"/>
  <c r="O2344" i="8"/>
  <c r="P2344" i="8"/>
  <c r="Q2344" i="8"/>
  <c r="R2344" i="8"/>
  <c r="S2344" i="8"/>
  <c r="T2344" i="8"/>
  <c r="E2345" i="8"/>
  <c r="F2345" i="8"/>
  <c r="G2345" i="8"/>
  <c r="H2345" i="8"/>
  <c r="I2345" i="8"/>
  <c r="J2345" i="8"/>
  <c r="K2345" i="8"/>
  <c r="L2345" i="8"/>
  <c r="M2345" i="8"/>
  <c r="N2345" i="8"/>
  <c r="O2345" i="8"/>
  <c r="P2345" i="8"/>
  <c r="Q2345" i="8"/>
  <c r="R2345" i="8"/>
  <c r="S2345" i="8"/>
  <c r="T2345" i="8"/>
  <c r="E2346" i="8"/>
  <c r="F2346" i="8"/>
  <c r="G2346" i="8"/>
  <c r="H2346" i="8"/>
  <c r="I2346" i="8"/>
  <c r="J2346" i="8"/>
  <c r="K2346" i="8"/>
  <c r="L2346" i="8"/>
  <c r="M2346" i="8"/>
  <c r="N2346" i="8"/>
  <c r="O2346" i="8"/>
  <c r="P2346" i="8"/>
  <c r="Q2346" i="8"/>
  <c r="R2346" i="8"/>
  <c r="S2346" i="8"/>
  <c r="T2346" i="8"/>
  <c r="E2347" i="8"/>
  <c r="F2347" i="8"/>
  <c r="G2347" i="8"/>
  <c r="H2347" i="8"/>
  <c r="I2347" i="8"/>
  <c r="J2347" i="8"/>
  <c r="K2347" i="8"/>
  <c r="L2347" i="8"/>
  <c r="M2347" i="8"/>
  <c r="N2347" i="8"/>
  <c r="O2347" i="8"/>
  <c r="P2347" i="8"/>
  <c r="Q2347" i="8"/>
  <c r="R2347" i="8"/>
  <c r="S2347" i="8"/>
  <c r="T2347" i="8"/>
  <c r="E2348" i="8"/>
  <c r="F2348" i="8"/>
  <c r="G2348" i="8"/>
  <c r="H2348" i="8"/>
  <c r="I2348" i="8"/>
  <c r="J2348" i="8"/>
  <c r="K2348" i="8"/>
  <c r="L2348" i="8"/>
  <c r="M2348" i="8"/>
  <c r="N2348" i="8"/>
  <c r="O2348" i="8"/>
  <c r="P2348" i="8"/>
  <c r="Q2348" i="8"/>
  <c r="R2348" i="8"/>
  <c r="S2348" i="8"/>
  <c r="T2348" i="8"/>
  <c r="E2349" i="8"/>
  <c r="F2349" i="8"/>
  <c r="G2349" i="8"/>
  <c r="H2349" i="8"/>
  <c r="I2349" i="8"/>
  <c r="J2349" i="8"/>
  <c r="K2349" i="8"/>
  <c r="L2349" i="8"/>
  <c r="M2349" i="8"/>
  <c r="N2349" i="8"/>
  <c r="O2349" i="8"/>
  <c r="P2349" i="8"/>
  <c r="Q2349" i="8"/>
  <c r="R2349" i="8"/>
  <c r="S2349" i="8"/>
  <c r="T2349" i="8"/>
  <c r="E218" i="7"/>
  <c r="F218" i="7"/>
  <c r="G218" i="7"/>
  <c r="H218" i="7"/>
  <c r="I218" i="7"/>
  <c r="J218" i="7"/>
  <c r="K218" i="7"/>
  <c r="L218" i="7"/>
  <c r="M218" i="7"/>
  <c r="N218" i="7"/>
  <c r="P218" i="7"/>
  <c r="Q218" i="7"/>
  <c r="R218" i="7"/>
  <c r="S218" i="7"/>
  <c r="U218" i="7"/>
  <c r="V218" i="7"/>
  <c r="W218" i="7"/>
  <c r="X218" i="7"/>
  <c r="Y218" i="7"/>
  <c r="Z218" i="7"/>
  <c r="AA218" i="7"/>
  <c r="AC218" i="7"/>
  <c r="AE218" i="7"/>
  <c r="AI218" i="7"/>
  <c r="AO218" i="7"/>
  <c r="AP218" i="7"/>
  <c r="E2328" i="8"/>
  <c r="F2328" i="8"/>
  <c r="G2328" i="8"/>
  <c r="H2328" i="8"/>
  <c r="I2328" i="8"/>
  <c r="J2328" i="8"/>
  <c r="K2328" i="8"/>
  <c r="L2328" i="8"/>
  <c r="M2328" i="8"/>
  <c r="N2328" i="8"/>
  <c r="O2328" i="8"/>
  <c r="P2328" i="8"/>
  <c r="Q2328" i="8"/>
  <c r="R2328" i="8"/>
  <c r="S2328" i="8"/>
  <c r="T2328" i="8"/>
  <c r="E2329" i="8"/>
  <c r="F2329" i="8"/>
  <c r="G2329" i="8"/>
  <c r="H2329" i="8"/>
  <c r="I2329" i="8"/>
  <c r="J2329" i="8"/>
  <c r="K2329" i="8"/>
  <c r="L2329" i="8"/>
  <c r="M2329" i="8"/>
  <c r="N2329" i="8"/>
  <c r="O2329" i="8"/>
  <c r="P2329" i="8"/>
  <c r="Q2329" i="8"/>
  <c r="R2329" i="8"/>
  <c r="S2329" i="8"/>
  <c r="T2329" i="8"/>
  <c r="E2330" i="8"/>
  <c r="F2330" i="8"/>
  <c r="G2330" i="8"/>
  <c r="H2330" i="8"/>
  <c r="I2330" i="8"/>
  <c r="J2330" i="8"/>
  <c r="K2330" i="8"/>
  <c r="L2330" i="8"/>
  <c r="M2330" i="8"/>
  <c r="N2330" i="8"/>
  <c r="O2330" i="8"/>
  <c r="P2330" i="8"/>
  <c r="Q2330" i="8"/>
  <c r="R2330" i="8"/>
  <c r="S2330" i="8"/>
  <c r="T2330" i="8"/>
  <c r="E2331" i="8"/>
  <c r="F2331" i="8"/>
  <c r="G2331" i="8"/>
  <c r="H2331" i="8"/>
  <c r="I2331" i="8"/>
  <c r="J2331" i="8"/>
  <c r="K2331" i="8"/>
  <c r="L2331" i="8"/>
  <c r="M2331" i="8"/>
  <c r="N2331" i="8"/>
  <c r="O2331" i="8"/>
  <c r="P2331" i="8"/>
  <c r="Q2331" i="8"/>
  <c r="R2331" i="8"/>
  <c r="S2331" i="8"/>
  <c r="T2331" i="8"/>
  <c r="E2332" i="8"/>
  <c r="F2332" i="8"/>
  <c r="G2332" i="8"/>
  <c r="H2332" i="8"/>
  <c r="I2332" i="8"/>
  <c r="J2332" i="8"/>
  <c r="K2332" i="8"/>
  <c r="L2332" i="8"/>
  <c r="M2332" i="8"/>
  <c r="N2332" i="8"/>
  <c r="O2332" i="8"/>
  <c r="P2332" i="8"/>
  <c r="Q2332" i="8"/>
  <c r="R2332" i="8"/>
  <c r="S2332" i="8"/>
  <c r="T2332" i="8"/>
  <c r="E2333" i="8"/>
  <c r="F2333" i="8"/>
  <c r="G2333" i="8"/>
  <c r="H2333" i="8"/>
  <c r="I2333" i="8"/>
  <c r="J2333" i="8"/>
  <c r="K2333" i="8"/>
  <c r="L2333" i="8"/>
  <c r="M2333" i="8"/>
  <c r="N2333" i="8"/>
  <c r="O2333" i="8"/>
  <c r="P2333" i="8"/>
  <c r="Q2333" i="8"/>
  <c r="R2333" i="8"/>
  <c r="S2333" i="8"/>
  <c r="T2333" i="8"/>
  <c r="E2334" i="8"/>
  <c r="F2334" i="8"/>
  <c r="G2334" i="8"/>
  <c r="H2334" i="8"/>
  <c r="I2334" i="8"/>
  <c r="J2334" i="8"/>
  <c r="K2334" i="8"/>
  <c r="L2334" i="8"/>
  <c r="M2334" i="8"/>
  <c r="N2334" i="8"/>
  <c r="O2334" i="8"/>
  <c r="P2334" i="8"/>
  <c r="Q2334" i="8"/>
  <c r="R2334" i="8"/>
  <c r="S2334" i="8"/>
  <c r="T2334" i="8"/>
  <c r="E2335" i="8"/>
  <c r="F2335" i="8"/>
  <c r="G2335" i="8"/>
  <c r="H2335" i="8"/>
  <c r="I2335" i="8"/>
  <c r="J2335" i="8"/>
  <c r="K2335" i="8"/>
  <c r="L2335" i="8"/>
  <c r="M2335" i="8"/>
  <c r="N2335" i="8"/>
  <c r="O2335" i="8"/>
  <c r="P2335" i="8"/>
  <c r="Q2335" i="8"/>
  <c r="R2335" i="8"/>
  <c r="S2335" i="8"/>
  <c r="T2335" i="8"/>
  <c r="E2336" i="8"/>
  <c r="F2336" i="8"/>
  <c r="G2336" i="8"/>
  <c r="H2336" i="8"/>
  <c r="I2336" i="8"/>
  <c r="J2336" i="8"/>
  <c r="K2336" i="8"/>
  <c r="L2336" i="8"/>
  <c r="M2336" i="8"/>
  <c r="N2336" i="8"/>
  <c r="O2336" i="8"/>
  <c r="P2336" i="8"/>
  <c r="Q2336" i="8"/>
  <c r="R2336" i="8"/>
  <c r="S2336" i="8"/>
  <c r="T2336" i="8"/>
  <c r="E2337" i="8"/>
  <c r="F2337" i="8"/>
  <c r="G2337" i="8"/>
  <c r="H2337" i="8"/>
  <c r="I2337" i="8"/>
  <c r="J2337" i="8"/>
  <c r="K2337" i="8"/>
  <c r="L2337" i="8"/>
  <c r="M2337" i="8"/>
  <c r="N2337" i="8"/>
  <c r="O2337" i="8"/>
  <c r="P2337" i="8"/>
  <c r="Q2337" i="8"/>
  <c r="R2337" i="8"/>
  <c r="S2337" i="8"/>
  <c r="T2337" i="8"/>
  <c r="E2338" i="8"/>
  <c r="F2338" i="8"/>
  <c r="G2338" i="8"/>
  <c r="H2338" i="8"/>
  <c r="I2338" i="8"/>
  <c r="J2338" i="8"/>
  <c r="K2338" i="8"/>
  <c r="L2338" i="8"/>
  <c r="M2338" i="8"/>
  <c r="N2338" i="8"/>
  <c r="O2338" i="8"/>
  <c r="P2338" i="8"/>
  <c r="Q2338" i="8"/>
  <c r="R2338" i="8"/>
  <c r="S2338" i="8"/>
  <c r="T2338" i="8"/>
  <c r="E217" i="7"/>
  <c r="F217" i="7"/>
  <c r="G217" i="7"/>
  <c r="H217" i="7"/>
  <c r="I217" i="7"/>
  <c r="J217" i="7"/>
  <c r="K217" i="7"/>
  <c r="L217" i="7"/>
  <c r="M217" i="7"/>
  <c r="N217" i="7"/>
  <c r="P217" i="7"/>
  <c r="Q217" i="7"/>
  <c r="R217" i="7"/>
  <c r="S217" i="7"/>
  <c r="U217" i="7"/>
  <c r="V217" i="7"/>
  <c r="W217" i="7"/>
  <c r="X217" i="7"/>
  <c r="Y217" i="7"/>
  <c r="Z217" i="7"/>
  <c r="AA217" i="7"/>
  <c r="AC217" i="7"/>
  <c r="AE217" i="7"/>
  <c r="AI217" i="7"/>
  <c r="AO217" i="7"/>
  <c r="AP217" i="7"/>
  <c r="E2317" i="8"/>
  <c r="F2317" i="8"/>
  <c r="G2317" i="8"/>
  <c r="H2317" i="8"/>
  <c r="I2317" i="8"/>
  <c r="J2317" i="8"/>
  <c r="K2317" i="8"/>
  <c r="L2317" i="8"/>
  <c r="M2317" i="8"/>
  <c r="N2317" i="8"/>
  <c r="O2317" i="8"/>
  <c r="P2317" i="8"/>
  <c r="Q2317" i="8"/>
  <c r="R2317" i="8"/>
  <c r="S2317" i="8"/>
  <c r="T2317" i="8"/>
  <c r="E2318" i="8"/>
  <c r="F2318" i="8"/>
  <c r="G2318" i="8"/>
  <c r="H2318" i="8"/>
  <c r="I2318" i="8"/>
  <c r="J2318" i="8"/>
  <c r="K2318" i="8"/>
  <c r="L2318" i="8"/>
  <c r="M2318" i="8"/>
  <c r="N2318" i="8"/>
  <c r="O2318" i="8"/>
  <c r="P2318" i="8"/>
  <c r="Q2318" i="8"/>
  <c r="R2318" i="8"/>
  <c r="S2318" i="8"/>
  <c r="T2318" i="8"/>
  <c r="E2319" i="8"/>
  <c r="F2319" i="8"/>
  <c r="G2319" i="8"/>
  <c r="H2319" i="8"/>
  <c r="I2319" i="8"/>
  <c r="J2319" i="8"/>
  <c r="K2319" i="8"/>
  <c r="L2319" i="8"/>
  <c r="M2319" i="8"/>
  <c r="N2319" i="8"/>
  <c r="O2319" i="8"/>
  <c r="P2319" i="8"/>
  <c r="Q2319" i="8"/>
  <c r="R2319" i="8"/>
  <c r="S2319" i="8"/>
  <c r="T2319" i="8"/>
  <c r="E2320" i="8"/>
  <c r="F2320" i="8"/>
  <c r="G2320" i="8"/>
  <c r="H2320" i="8"/>
  <c r="I2320" i="8"/>
  <c r="J2320" i="8"/>
  <c r="K2320" i="8"/>
  <c r="L2320" i="8"/>
  <c r="M2320" i="8"/>
  <c r="N2320" i="8"/>
  <c r="O2320" i="8"/>
  <c r="P2320" i="8"/>
  <c r="Q2320" i="8"/>
  <c r="R2320" i="8"/>
  <c r="S2320" i="8"/>
  <c r="T2320" i="8"/>
  <c r="E2321" i="8"/>
  <c r="F2321" i="8"/>
  <c r="G2321" i="8"/>
  <c r="H2321" i="8"/>
  <c r="I2321" i="8"/>
  <c r="J2321" i="8"/>
  <c r="K2321" i="8"/>
  <c r="L2321" i="8"/>
  <c r="M2321" i="8"/>
  <c r="N2321" i="8"/>
  <c r="O2321" i="8"/>
  <c r="P2321" i="8"/>
  <c r="Q2321" i="8"/>
  <c r="R2321" i="8"/>
  <c r="S2321" i="8"/>
  <c r="T2321" i="8"/>
  <c r="E2322" i="8"/>
  <c r="F2322" i="8"/>
  <c r="G2322" i="8"/>
  <c r="H2322" i="8"/>
  <c r="I2322" i="8"/>
  <c r="J2322" i="8"/>
  <c r="K2322" i="8"/>
  <c r="L2322" i="8"/>
  <c r="M2322" i="8"/>
  <c r="N2322" i="8"/>
  <c r="O2322" i="8"/>
  <c r="P2322" i="8"/>
  <c r="Q2322" i="8"/>
  <c r="R2322" i="8"/>
  <c r="S2322" i="8"/>
  <c r="T2322" i="8"/>
  <c r="E2323" i="8"/>
  <c r="F2323" i="8"/>
  <c r="G2323" i="8"/>
  <c r="H2323" i="8"/>
  <c r="I2323" i="8"/>
  <c r="J2323" i="8"/>
  <c r="K2323" i="8"/>
  <c r="L2323" i="8"/>
  <c r="M2323" i="8"/>
  <c r="N2323" i="8"/>
  <c r="O2323" i="8"/>
  <c r="P2323" i="8"/>
  <c r="Q2323" i="8"/>
  <c r="R2323" i="8"/>
  <c r="S2323" i="8"/>
  <c r="T2323" i="8"/>
  <c r="E2324" i="8"/>
  <c r="F2324" i="8"/>
  <c r="G2324" i="8"/>
  <c r="H2324" i="8"/>
  <c r="I2324" i="8"/>
  <c r="J2324" i="8"/>
  <c r="K2324" i="8"/>
  <c r="L2324" i="8"/>
  <c r="M2324" i="8"/>
  <c r="N2324" i="8"/>
  <c r="O2324" i="8"/>
  <c r="P2324" i="8"/>
  <c r="Q2324" i="8"/>
  <c r="R2324" i="8"/>
  <c r="S2324" i="8"/>
  <c r="T2324" i="8"/>
  <c r="E2325" i="8"/>
  <c r="F2325" i="8"/>
  <c r="G2325" i="8"/>
  <c r="H2325" i="8"/>
  <c r="I2325" i="8"/>
  <c r="J2325" i="8"/>
  <c r="K2325" i="8"/>
  <c r="L2325" i="8"/>
  <c r="M2325" i="8"/>
  <c r="N2325" i="8"/>
  <c r="O2325" i="8"/>
  <c r="P2325" i="8"/>
  <c r="Q2325" i="8"/>
  <c r="R2325" i="8"/>
  <c r="S2325" i="8"/>
  <c r="T2325" i="8"/>
  <c r="E2326" i="8"/>
  <c r="F2326" i="8"/>
  <c r="G2326" i="8"/>
  <c r="H2326" i="8"/>
  <c r="I2326" i="8"/>
  <c r="J2326" i="8"/>
  <c r="K2326" i="8"/>
  <c r="L2326" i="8"/>
  <c r="M2326" i="8"/>
  <c r="N2326" i="8"/>
  <c r="O2326" i="8"/>
  <c r="P2326" i="8"/>
  <c r="Q2326" i="8"/>
  <c r="R2326" i="8"/>
  <c r="S2326" i="8"/>
  <c r="T2326" i="8"/>
  <c r="E2327" i="8"/>
  <c r="F2327" i="8"/>
  <c r="G2327" i="8"/>
  <c r="H2327" i="8"/>
  <c r="I2327" i="8"/>
  <c r="J2327" i="8"/>
  <c r="K2327" i="8"/>
  <c r="L2327" i="8"/>
  <c r="M2327" i="8"/>
  <c r="N2327" i="8"/>
  <c r="O2327" i="8"/>
  <c r="P2327" i="8"/>
  <c r="Q2327" i="8"/>
  <c r="R2327" i="8"/>
  <c r="S2327" i="8"/>
  <c r="T2327" i="8"/>
  <c r="E216" i="7"/>
  <c r="F216" i="7"/>
  <c r="G216" i="7"/>
  <c r="H216" i="7"/>
  <c r="I216" i="7"/>
  <c r="J216" i="7"/>
  <c r="K216" i="7"/>
  <c r="L216" i="7"/>
  <c r="M216" i="7"/>
  <c r="N216" i="7"/>
  <c r="P216" i="7"/>
  <c r="Q216" i="7"/>
  <c r="R216" i="7"/>
  <c r="S216" i="7"/>
  <c r="U216" i="7"/>
  <c r="V216" i="7"/>
  <c r="W216" i="7"/>
  <c r="X216" i="7"/>
  <c r="Y216" i="7"/>
  <c r="Z216" i="7"/>
  <c r="AA216" i="7"/>
  <c r="AC216" i="7"/>
  <c r="AE216" i="7"/>
  <c r="AI216" i="7"/>
  <c r="AO216" i="7"/>
  <c r="AP216" i="7"/>
  <c r="E2306" i="8"/>
  <c r="F2306" i="8"/>
  <c r="G2306" i="8"/>
  <c r="H2306" i="8"/>
  <c r="I2306" i="8"/>
  <c r="J2306" i="8"/>
  <c r="K2306" i="8"/>
  <c r="L2306" i="8"/>
  <c r="M2306" i="8"/>
  <c r="N2306" i="8"/>
  <c r="O2306" i="8"/>
  <c r="P2306" i="8"/>
  <c r="Q2306" i="8"/>
  <c r="R2306" i="8"/>
  <c r="S2306" i="8"/>
  <c r="T2306" i="8"/>
  <c r="E2307" i="8"/>
  <c r="F2307" i="8"/>
  <c r="G2307" i="8"/>
  <c r="H2307" i="8"/>
  <c r="I2307" i="8"/>
  <c r="J2307" i="8"/>
  <c r="K2307" i="8"/>
  <c r="L2307" i="8"/>
  <c r="M2307" i="8"/>
  <c r="N2307" i="8"/>
  <c r="O2307" i="8"/>
  <c r="P2307" i="8"/>
  <c r="Q2307" i="8"/>
  <c r="R2307" i="8"/>
  <c r="S2307" i="8"/>
  <c r="T2307" i="8"/>
  <c r="E2308" i="8"/>
  <c r="F2308" i="8"/>
  <c r="G2308" i="8"/>
  <c r="H2308" i="8"/>
  <c r="I2308" i="8"/>
  <c r="J2308" i="8"/>
  <c r="K2308" i="8"/>
  <c r="L2308" i="8"/>
  <c r="M2308" i="8"/>
  <c r="N2308" i="8"/>
  <c r="O2308" i="8"/>
  <c r="P2308" i="8"/>
  <c r="Q2308" i="8"/>
  <c r="R2308" i="8"/>
  <c r="S2308" i="8"/>
  <c r="T2308" i="8"/>
  <c r="E2309" i="8"/>
  <c r="F2309" i="8"/>
  <c r="G2309" i="8"/>
  <c r="H2309" i="8"/>
  <c r="I2309" i="8"/>
  <c r="J2309" i="8"/>
  <c r="K2309" i="8"/>
  <c r="L2309" i="8"/>
  <c r="M2309" i="8"/>
  <c r="N2309" i="8"/>
  <c r="O2309" i="8"/>
  <c r="P2309" i="8"/>
  <c r="Q2309" i="8"/>
  <c r="R2309" i="8"/>
  <c r="S2309" i="8"/>
  <c r="T2309" i="8"/>
  <c r="E2310" i="8"/>
  <c r="F2310" i="8"/>
  <c r="G2310" i="8"/>
  <c r="H2310" i="8"/>
  <c r="I2310" i="8"/>
  <c r="J2310" i="8"/>
  <c r="K2310" i="8"/>
  <c r="L2310" i="8"/>
  <c r="M2310" i="8"/>
  <c r="N2310" i="8"/>
  <c r="O2310" i="8"/>
  <c r="P2310" i="8"/>
  <c r="Q2310" i="8"/>
  <c r="R2310" i="8"/>
  <c r="S2310" i="8"/>
  <c r="T2310" i="8"/>
  <c r="E2311" i="8"/>
  <c r="F2311" i="8"/>
  <c r="G2311" i="8"/>
  <c r="H2311" i="8"/>
  <c r="I2311" i="8"/>
  <c r="J2311" i="8"/>
  <c r="K2311" i="8"/>
  <c r="L2311" i="8"/>
  <c r="M2311" i="8"/>
  <c r="N2311" i="8"/>
  <c r="O2311" i="8"/>
  <c r="P2311" i="8"/>
  <c r="Q2311" i="8"/>
  <c r="R2311" i="8"/>
  <c r="S2311" i="8"/>
  <c r="T2311" i="8"/>
  <c r="E2312" i="8"/>
  <c r="F2312" i="8"/>
  <c r="G2312" i="8"/>
  <c r="H2312" i="8"/>
  <c r="I2312" i="8"/>
  <c r="J2312" i="8"/>
  <c r="K2312" i="8"/>
  <c r="L2312" i="8"/>
  <c r="M2312" i="8"/>
  <c r="N2312" i="8"/>
  <c r="O2312" i="8"/>
  <c r="P2312" i="8"/>
  <c r="Q2312" i="8"/>
  <c r="R2312" i="8"/>
  <c r="S2312" i="8"/>
  <c r="T2312" i="8"/>
  <c r="E2313" i="8"/>
  <c r="F2313" i="8"/>
  <c r="G2313" i="8"/>
  <c r="H2313" i="8"/>
  <c r="I2313" i="8"/>
  <c r="J2313" i="8"/>
  <c r="K2313" i="8"/>
  <c r="L2313" i="8"/>
  <c r="M2313" i="8"/>
  <c r="N2313" i="8"/>
  <c r="O2313" i="8"/>
  <c r="P2313" i="8"/>
  <c r="Q2313" i="8"/>
  <c r="R2313" i="8"/>
  <c r="S2313" i="8"/>
  <c r="T2313" i="8"/>
  <c r="E2314" i="8"/>
  <c r="F2314" i="8"/>
  <c r="G2314" i="8"/>
  <c r="H2314" i="8"/>
  <c r="I2314" i="8"/>
  <c r="J2314" i="8"/>
  <c r="K2314" i="8"/>
  <c r="L2314" i="8"/>
  <c r="M2314" i="8"/>
  <c r="N2314" i="8"/>
  <c r="O2314" i="8"/>
  <c r="P2314" i="8"/>
  <c r="Q2314" i="8"/>
  <c r="R2314" i="8"/>
  <c r="S2314" i="8"/>
  <c r="T2314" i="8"/>
  <c r="E2315" i="8"/>
  <c r="F2315" i="8"/>
  <c r="G2315" i="8"/>
  <c r="H2315" i="8"/>
  <c r="I2315" i="8"/>
  <c r="J2315" i="8"/>
  <c r="K2315" i="8"/>
  <c r="L2315" i="8"/>
  <c r="M2315" i="8"/>
  <c r="N2315" i="8"/>
  <c r="O2315" i="8"/>
  <c r="P2315" i="8"/>
  <c r="Q2315" i="8"/>
  <c r="R2315" i="8"/>
  <c r="S2315" i="8"/>
  <c r="T2315" i="8"/>
  <c r="E2316" i="8"/>
  <c r="F2316" i="8"/>
  <c r="G2316" i="8"/>
  <c r="H2316" i="8"/>
  <c r="I2316" i="8"/>
  <c r="J2316" i="8"/>
  <c r="K2316" i="8"/>
  <c r="L2316" i="8"/>
  <c r="M2316" i="8"/>
  <c r="N2316" i="8"/>
  <c r="O2316" i="8"/>
  <c r="P2316" i="8"/>
  <c r="Q2316" i="8"/>
  <c r="R2316" i="8"/>
  <c r="S2316" i="8"/>
  <c r="T2316" i="8"/>
  <c r="E215" i="7"/>
  <c r="F215" i="7"/>
  <c r="G215" i="7"/>
  <c r="H215" i="7"/>
  <c r="I215" i="7"/>
  <c r="J215" i="7"/>
  <c r="K215" i="7"/>
  <c r="L215" i="7"/>
  <c r="M215" i="7"/>
  <c r="N215" i="7"/>
  <c r="P215" i="7"/>
  <c r="Q215" i="7"/>
  <c r="R215" i="7"/>
  <c r="S215" i="7"/>
  <c r="U215" i="7"/>
  <c r="V215" i="7"/>
  <c r="W215" i="7"/>
  <c r="X215" i="7"/>
  <c r="Y215" i="7"/>
  <c r="Z215" i="7"/>
  <c r="AA215" i="7"/>
  <c r="AC215" i="7"/>
  <c r="AE215" i="7"/>
  <c r="AI215" i="7"/>
  <c r="AO215" i="7"/>
  <c r="AP215" i="7"/>
  <c r="E2295" i="8"/>
  <c r="F2295" i="8"/>
  <c r="G2295" i="8"/>
  <c r="H2295" i="8"/>
  <c r="I2295" i="8"/>
  <c r="J2295" i="8"/>
  <c r="K2295" i="8"/>
  <c r="L2295" i="8"/>
  <c r="M2295" i="8"/>
  <c r="N2295" i="8"/>
  <c r="O2295" i="8"/>
  <c r="P2295" i="8"/>
  <c r="Q2295" i="8"/>
  <c r="R2295" i="8"/>
  <c r="S2295" i="8"/>
  <c r="T2295" i="8"/>
  <c r="E2296" i="8"/>
  <c r="F2296" i="8"/>
  <c r="G2296" i="8"/>
  <c r="H2296" i="8"/>
  <c r="I2296" i="8"/>
  <c r="J2296" i="8"/>
  <c r="K2296" i="8"/>
  <c r="L2296" i="8"/>
  <c r="M2296" i="8"/>
  <c r="N2296" i="8"/>
  <c r="O2296" i="8"/>
  <c r="P2296" i="8"/>
  <c r="Q2296" i="8"/>
  <c r="R2296" i="8"/>
  <c r="S2296" i="8"/>
  <c r="T2296" i="8"/>
  <c r="E2297" i="8"/>
  <c r="F2297" i="8"/>
  <c r="G2297" i="8"/>
  <c r="H2297" i="8"/>
  <c r="I2297" i="8"/>
  <c r="J2297" i="8"/>
  <c r="K2297" i="8"/>
  <c r="L2297" i="8"/>
  <c r="M2297" i="8"/>
  <c r="N2297" i="8"/>
  <c r="O2297" i="8"/>
  <c r="P2297" i="8"/>
  <c r="Q2297" i="8"/>
  <c r="R2297" i="8"/>
  <c r="S2297" i="8"/>
  <c r="T2297" i="8"/>
  <c r="E2298" i="8"/>
  <c r="F2298" i="8"/>
  <c r="G2298" i="8"/>
  <c r="H2298" i="8"/>
  <c r="I2298" i="8"/>
  <c r="J2298" i="8"/>
  <c r="K2298" i="8"/>
  <c r="L2298" i="8"/>
  <c r="M2298" i="8"/>
  <c r="N2298" i="8"/>
  <c r="O2298" i="8"/>
  <c r="P2298" i="8"/>
  <c r="Q2298" i="8"/>
  <c r="R2298" i="8"/>
  <c r="S2298" i="8"/>
  <c r="T2298" i="8"/>
  <c r="E2299" i="8"/>
  <c r="F2299" i="8"/>
  <c r="G2299" i="8"/>
  <c r="H2299" i="8"/>
  <c r="I2299" i="8"/>
  <c r="J2299" i="8"/>
  <c r="K2299" i="8"/>
  <c r="L2299" i="8"/>
  <c r="M2299" i="8"/>
  <c r="N2299" i="8"/>
  <c r="O2299" i="8"/>
  <c r="P2299" i="8"/>
  <c r="Q2299" i="8"/>
  <c r="R2299" i="8"/>
  <c r="S2299" i="8"/>
  <c r="T2299" i="8"/>
  <c r="E2300" i="8"/>
  <c r="F2300" i="8"/>
  <c r="G2300" i="8"/>
  <c r="H2300" i="8"/>
  <c r="I2300" i="8"/>
  <c r="J2300" i="8"/>
  <c r="K2300" i="8"/>
  <c r="L2300" i="8"/>
  <c r="M2300" i="8"/>
  <c r="N2300" i="8"/>
  <c r="O2300" i="8"/>
  <c r="P2300" i="8"/>
  <c r="Q2300" i="8"/>
  <c r="R2300" i="8"/>
  <c r="S2300" i="8"/>
  <c r="T2300" i="8"/>
  <c r="E2301" i="8"/>
  <c r="F2301" i="8"/>
  <c r="G2301" i="8"/>
  <c r="H2301" i="8"/>
  <c r="I2301" i="8"/>
  <c r="J2301" i="8"/>
  <c r="K2301" i="8"/>
  <c r="L2301" i="8"/>
  <c r="M2301" i="8"/>
  <c r="N2301" i="8"/>
  <c r="O2301" i="8"/>
  <c r="P2301" i="8"/>
  <c r="Q2301" i="8"/>
  <c r="R2301" i="8"/>
  <c r="S2301" i="8"/>
  <c r="T2301" i="8"/>
  <c r="E2302" i="8"/>
  <c r="F2302" i="8"/>
  <c r="G2302" i="8"/>
  <c r="H2302" i="8"/>
  <c r="I2302" i="8"/>
  <c r="J2302" i="8"/>
  <c r="K2302" i="8"/>
  <c r="L2302" i="8"/>
  <c r="M2302" i="8"/>
  <c r="N2302" i="8"/>
  <c r="O2302" i="8"/>
  <c r="P2302" i="8"/>
  <c r="Q2302" i="8"/>
  <c r="R2302" i="8"/>
  <c r="S2302" i="8"/>
  <c r="T2302" i="8"/>
  <c r="E2303" i="8"/>
  <c r="F2303" i="8"/>
  <c r="G2303" i="8"/>
  <c r="H2303" i="8"/>
  <c r="I2303" i="8"/>
  <c r="J2303" i="8"/>
  <c r="K2303" i="8"/>
  <c r="L2303" i="8"/>
  <c r="M2303" i="8"/>
  <c r="N2303" i="8"/>
  <c r="O2303" i="8"/>
  <c r="P2303" i="8"/>
  <c r="Q2303" i="8"/>
  <c r="R2303" i="8"/>
  <c r="S2303" i="8"/>
  <c r="T2303" i="8"/>
  <c r="E2304" i="8"/>
  <c r="F2304" i="8"/>
  <c r="G2304" i="8"/>
  <c r="H2304" i="8"/>
  <c r="I2304" i="8"/>
  <c r="J2304" i="8"/>
  <c r="K2304" i="8"/>
  <c r="L2304" i="8"/>
  <c r="M2304" i="8"/>
  <c r="N2304" i="8"/>
  <c r="O2304" i="8"/>
  <c r="P2304" i="8"/>
  <c r="Q2304" i="8"/>
  <c r="R2304" i="8"/>
  <c r="S2304" i="8"/>
  <c r="T2304" i="8"/>
  <c r="E2305" i="8"/>
  <c r="F2305" i="8"/>
  <c r="G2305" i="8"/>
  <c r="H2305" i="8"/>
  <c r="I2305" i="8"/>
  <c r="J2305" i="8"/>
  <c r="K2305" i="8"/>
  <c r="L2305" i="8"/>
  <c r="M2305" i="8"/>
  <c r="N2305" i="8"/>
  <c r="O2305" i="8"/>
  <c r="P2305" i="8"/>
  <c r="Q2305" i="8"/>
  <c r="R2305" i="8"/>
  <c r="S2305" i="8"/>
  <c r="T2305" i="8"/>
  <c r="E214" i="7"/>
  <c r="F214" i="7"/>
  <c r="G214" i="7"/>
  <c r="H214" i="7"/>
  <c r="I214" i="7"/>
  <c r="J214" i="7"/>
  <c r="K214" i="7"/>
  <c r="L214" i="7"/>
  <c r="M214" i="7"/>
  <c r="N214" i="7"/>
  <c r="P214" i="7"/>
  <c r="Q214" i="7"/>
  <c r="R214" i="7"/>
  <c r="S214" i="7"/>
  <c r="U214" i="7"/>
  <c r="V214" i="7"/>
  <c r="W214" i="7"/>
  <c r="X214" i="7"/>
  <c r="Y214" i="7"/>
  <c r="Z214" i="7"/>
  <c r="AA214" i="7"/>
  <c r="AC214" i="7"/>
  <c r="AE214" i="7"/>
  <c r="AI214" i="7"/>
  <c r="AO214" i="7"/>
  <c r="AP214" i="7"/>
  <c r="E2284" i="8"/>
  <c r="F2284" i="8"/>
  <c r="G2284" i="8"/>
  <c r="H2284" i="8"/>
  <c r="I2284" i="8"/>
  <c r="J2284" i="8"/>
  <c r="K2284" i="8"/>
  <c r="L2284" i="8"/>
  <c r="M2284" i="8"/>
  <c r="N2284" i="8"/>
  <c r="O2284" i="8"/>
  <c r="P2284" i="8"/>
  <c r="Q2284" i="8"/>
  <c r="R2284" i="8"/>
  <c r="S2284" i="8"/>
  <c r="T2284" i="8"/>
  <c r="E2285" i="8"/>
  <c r="F2285" i="8"/>
  <c r="G2285" i="8"/>
  <c r="H2285" i="8"/>
  <c r="I2285" i="8"/>
  <c r="J2285" i="8"/>
  <c r="K2285" i="8"/>
  <c r="L2285" i="8"/>
  <c r="M2285" i="8"/>
  <c r="N2285" i="8"/>
  <c r="O2285" i="8"/>
  <c r="P2285" i="8"/>
  <c r="Q2285" i="8"/>
  <c r="R2285" i="8"/>
  <c r="S2285" i="8"/>
  <c r="T2285" i="8"/>
  <c r="E2286" i="8"/>
  <c r="F2286" i="8"/>
  <c r="G2286" i="8"/>
  <c r="H2286" i="8"/>
  <c r="I2286" i="8"/>
  <c r="J2286" i="8"/>
  <c r="K2286" i="8"/>
  <c r="L2286" i="8"/>
  <c r="M2286" i="8"/>
  <c r="N2286" i="8"/>
  <c r="O2286" i="8"/>
  <c r="P2286" i="8"/>
  <c r="Q2286" i="8"/>
  <c r="R2286" i="8"/>
  <c r="S2286" i="8"/>
  <c r="T2286" i="8"/>
  <c r="E2287" i="8"/>
  <c r="F2287" i="8"/>
  <c r="G2287" i="8"/>
  <c r="H2287" i="8"/>
  <c r="I2287" i="8"/>
  <c r="J2287" i="8"/>
  <c r="K2287" i="8"/>
  <c r="L2287" i="8"/>
  <c r="M2287" i="8"/>
  <c r="N2287" i="8"/>
  <c r="O2287" i="8"/>
  <c r="P2287" i="8"/>
  <c r="Q2287" i="8"/>
  <c r="R2287" i="8"/>
  <c r="S2287" i="8"/>
  <c r="T2287" i="8"/>
  <c r="E2288" i="8"/>
  <c r="F2288" i="8"/>
  <c r="G2288" i="8"/>
  <c r="H2288" i="8"/>
  <c r="I2288" i="8"/>
  <c r="J2288" i="8"/>
  <c r="K2288" i="8"/>
  <c r="L2288" i="8"/>
  <c r="M2288" i="8"/>
  <c r="N2288" i="8"/>
  <c r="O2288" i="8"/>
  <c r="P2288" i="8"/>
  <c r="Q2288" i="8"/>
  <c r="R2288" i="8"/>
  <c r="S2288" i="8"/>
  <c r="T2288" i="8"/>
  <c r="E2289" i="8"/>
  <c r="F2289" i="8"/>
  <c r="G2289" i="8"/>
  <c r="H2289" i="8"/>
  <c r="I2289" i="8"/>
  <c r="J2289" i="8"/>
  <c r="K2289" i="8"/>
  <c r="L2289" i="8"/>
  <c r="M2289" i="8"/>
  <c r="N2289" i="8"/>
  <c r="O2289" i="8"/>
  <c r="P2289" i="8"/>
  <c r="Q2289" i="8"/>
  <c r="R2289" i="8"/>
  <c r="S2289" i="8"/>
  <c r="T2289" i="8"/>
  <c r="E2290" i="8"/>
  <c r="F2290" i="8"/>
  <c r="G2290" i="8"/>
  <c r="H2290" i="8"/>
  <c r="I2290" i="8"/>
  <c r="J2290" i="8"/>
  <c r="K2290" i="8"/>
  <c r="L2290" i="8"/>
  <c r="M2290" i="8"/>
  <c r="N2290" i="8"/>
  <c r="O2290" i="8"/>
  <c r="P2290" i="8"/>
  <c r="Q2290" i="8"/>
  <c r="R2290" i="8"/>
  <c r="S2290" i="8"/>
  <c r="T2290" i="8"/>
  <c r="E2291" i="8"/>
  <c r="F2291" i="8"/>
  <c r="G2291" i="8"/>
  <c r="H2291" i="8"/>
  <c r="I2291" i="8"/>
  <c r="J2291" i="8"/>
  <c r="K2291" i="8"/>
  <c r="L2291" i="8"/>
  <c r="M2291" i="8"/>
  <c r="N2291" i="8"/>
  <c r="O2291" i="8"/>
  <c r="P2291" i="8"/>
  <c r="Q2291" i="8"/>
  <c r="R2291" i="8"/>
  <c r="S2291" i="8"/>
  <c r="T2291" i="8"/>
  <c r="E2292" i="8"/>
  <c r="F2292" i="8"/>
  <c r="G2292" i="8"/>
  <c r="H2292" i="8"/>
  <c r="I2292" i="8"/>
  <c r="J2292" i="8"/>
  <c r="K2292" i="8"/>
  <c r="L2292" i="8"/>
  <c r="M2292" i="8"/>
  <c r="N2292" i="8"/>
  <c r="O2292" i="8"/>
  <c r="P2292" i="8"/>
  <c r="Q2292" i="8"/>
  <c r="R2292" i="8"/>
  <c r="S2292" i="8"/>
  <c r="T2292" i="8"/>
  <c r="E2293" i="8"/>
  <c r="F2293" i="8"/>
  <c r="G2293" i="8"/>
  <c r="H2293" i="8"/>
  <c r="I2293" i="8"/>
  <c r="J2293" i="8"/>
  <c r="K2293" i="8"/>
  <c r="L2293" i="8"/>
  <c r="M2293" i="8"/>
  <c r="N2293" i="8"/>
  <c r="O2293" i="8"/>
  <c r="P2293" i="8"/>
  <c r="Q2293" i="8"/>
  <c r="R2293" i="8"/>
  <c r="S2293" i="8"/>
  <c r="T2293" i="8"/>
  <c r="E2294" i="8"/>
  <c r="F2294" i="8"/>
  <c r="G2294" i="8"/>
  <c r="H2294" i="8"/>
  <c r="I2294" i="8"/>
  <c r="J2294" i="8"/>
  <c r="K2294" i="8"/>
  <c r="L2294" i="8"/>
  <c r="M2294" i="8"/>
  <c r="N2294" i="8"/>
  <c r="O2294" i="8"/>
  <c r="P2294" i="8"/>
  <c r="Q2294" i="8"/>
  <c r="R2294" i="8"/>
  <c r="S2294" i="8"/>
  <c r="T2294" i="8"/>
  <c r="E213" i="7"/>
  <c r="F213" i="7"/>
  <c r="G213" i="7"/>
  <c r="H213" i="7"/>
  <c r="I213" i="7"/>
  <c r="J213" i="7"/>
  <c r="K213" i="7"/>
  <c r="L213" i="7"/>
  <c r="M213" i="7"/>
  <c r="N213" i="7"/>
  <c r="P213" i="7"/>
  <c r="Q213" i="7"/>
  <c r="R213" i="7"/>
  <c r="S213" i="7"/>
  <c r="U213" i="7"/>
  <c r="V213" i="7"/>
  <c r="W213" i="7"/>
  <c r="X213" i="7"/>
  <c r="Y213" i="7"/>
  <c r="Z213" i="7"/>
  <c r="AA213" i="7"/>
  <c r="AC213" i="7"/>
  <c r="AE213" i="7"/>
  <c r="AI213" i="7"/>
  <c r="AO213" i="7"/>
  <c r="AP213" i="7"/>
  <c r="E2273" i="8"/>
  <c r="F2273" i="8"/>
  <c r="G2273" i="8"/>
  <c r="H2273" i="8"/>
  <c r="I2273" i="8"/>
  <c r="J2273" i="8"/>
  <c r="K2273" i="8"/>
  <c r="L2273" i="8"/>
  <c r="M2273" i="8"/>
  <c r="N2273" i="8"/>
  <c r="O2273" i="8"/>
  <c r="P2273" i="8"/>
  <c r="Q2273" i="8"/>
  <c r="R2273" i="8"/>
  <c r="S2273" i="8"/>
  <c r="T2273" i="8"/>
  <c r="E2274" i="8"/>
  <c r="F2274" i="8"/>
  <c r="G2274" i="8"/>
  <c r="H2274" i="8"/>
  <c r="I2274" i="8"/>
  <c r="J2274" i="8"/>
  <c r="K2274" i="8"/>
  <c r="L2274" i="8"/>
  <c r="M2274" i="8"/>
  <c r="N2274" i="8"/>
  <c r="O2274" i="8"/>
  <c r="P2274" i="8"/>
  <c r="Q2274" i="8"/>
  <c r="R2274" i="8"/>
  <c r="S2274" i="8"/>
  <c r="T2274" i="8"/>
  <c r="E2275" i="8"/>
  <c r="F2275" i="8"/>
  <c r="G2275" i="8"/>
  <c r="H2275" i="8"/>
  <c r="I2275" i="8"/>
  <c r="J2275" i="8"/>
  <c r="K2275" i="8"/>
  <c r="L2275" i="8"/>
  <c r="M2275" i="8"/>
  <c r="N2275" i="8"/>
  <c r="O2275" i="8"/>
  <c r="P2275" i="8"/>
  <c r="Q2275" i="8"/>
  <c r="R2275" i="8"/>
  <c r="S2275" i="8"/>
  <c r="T2275" i="8"/>
  <c r="E2276" i="8"/>
  <c r="F2276" i="8"/>
  <c r="G2276" i="8"/>
  <c r="H2276" i="8"/>
  <c r="I2276" i="8"/>
  <c r="J2276" i="8"/>
  <c r="K2276" i="8"/>
  <c r="L2276" i="8"/>
  <c r="M2276" i="8"/>
  <c r="N2276" i="8"/>
  <c r="O2276" i="8"/>
  <c r="P2276" i="8"/>
  <c r="Q2276" i="8"/>
  <c r="R2276" i="8"/>
  <c r="S2276" i="8"/>
  <c r="T2276" i="8"/>
  <c r="E2277" i="8"/>
  <c r="F2277" i="8"/>
  <c r="G2277" i="8"/>
  <c r="H2277" i="8"/>
  <c r="I2277" i="8"/>
  <c r="J2277" i="8"/>
  <c r="K2277" i="8"/>
  <c r="L2277" i="8"/>
  <c r="M2277" i="8"/>
  <c r="N2277" i="8"/>
  <c r="O2277" i="8"/>
  <c r="P2277" i="8"/>
  <c r="Q2277" i="8"/>
  <c r="R2277" i="8"/>
  <c r="S2277" i="8"/>
  <c r="T2277" i="8"/>
  <c r="E2278" i="8"/>
  <c r="F2278" i="8"/>
  <c r="G2278" i="8"/>
  <c r="H2278" i="8"/>
  <c r="I2278" i="8"/>
  <c r="J2278" i="8"/>
  <c r="K2278" i="8"/>
  <c r="L2278" i="8"/>
  <c r="M2278" i="8"/>
  <c r="N2278" i="8"/>
  <c r="O2278" i="8"/>
  <c r="P2278" i="8"/>
  <c r="Q2278" i="8"/>
  <c r="R2278" i="8"/>
  <c r="S2278" i="8"/>
  <c r="T2278" i="8"/>
  <c r="E2279" i="8"/>
  <c r="F2279" i="8"/>
  <c r="G2279" i="8"/>
  <c r="H2279" i="8"/>
  <c r="I2279" i="8"/>
  <c r="J2279" i="8"/>
  <c r="K2279" i="8"/>
  <c r="L2279" i="8"/>
  <c r="M2279" i="8"/>
  <c r="N2279" i="8"/>
  <c r="O2279" i="8"/>
  <c r="P2279" i="8"/>
  <c r="Q2279" i="8"/>
  <c r="R2279" i="8"/>
  <c r="S2279" i="8"/>
  <c r="T2279" i="8"/>
  <c r="E2280" i="8"/>
  <c r="F2280" i="8"/>
  <c r="G2280" i="8"/>
  <c r="H2280" i="8"/>
  <c r="I2280" i="8"/>
  <c r="J2280" i="8"/>
  <c r="K2280" i="8"/>
  <c r="L2280" i="8"/>
  <c r="M2280" i="8"/>
  <c r="N2280" i="8"/>
  <c r="O2280" i="8"/>
  <c r="P2280" i="8"/>
  <c r="Q2280" i="8"/>
  <c r="R2280" i="8"/>
  <c r="S2280" i="8"/>
  <c r="T2280" i="8"/>
  <c r="E2281" i="8"/>
  <c r="F2281" i="8"/>
  <c r="G2281" i="8"/>
  <c r="H2281" i="8"/>
  <c r="I2281" i="8"/>
  <c r="J2281" i="8"/>
  <c r="K2281" i="8"/>
  <c r="L2281" i="8"/>
  <c r="M2281" i="8"/>
  <c r="N2281" i="8"/>
  <c r="O2281" i="8"/>
  <c r="P2281" i="8"/>
  <c r="Q2281" i="8"/>
  <c r="R2281" i="8"/>
  <c r="S2281" i="8"/>
  <c r="T2281" i="8"/>
  <c r="E2282" i="8"/>
  <c r="F2282" i="8"/>
  <c r="G2282" i="8"/>
  <c r="H2282" i="8"/>
  <c r="I2282" i="8"/>
  <c r="J2282" i="8"/>
  <c r="K2282" i="8"/>
  <c r="L2282" i="8"/>
  <c r="M2282" i="8"/>
  <c r="N2282" i="8"/>
  <c r="O2282" i="8"/>
  <c r="P2282" i="8"/>
  <c r="Q2282" i="8"/>
  <c r="R2282" i="8"/>
  <c r="S2282" i="8"/>
  <c r="T2282" i="8"/>
  <c r="E2283" i="8"/>
  <c r="F2283" i="8"/>
  <c r="G2283" i="8"/>
  <c r="H2283" i="8"/>
  <c r="I2283" i="8"/>
  <c r="J2283" i="8"/>
  <c r="K2283" i="8"/>
  <c r="L2283" i="8"/>
  <c r="M2283" i="8"/>
  <c r="N2283" i="8"/>
  <c r="O2283" i="8"/>
  <c r="P2283" i="8"/>
  <c r="Q2283" i="8"/>
  <c r="R2283" i="8"/>
  <c r="S2283" i="8"/>
  <c r="T2283" i="8"/>
  <c r="E212" i="7"/>
  <c r="F212" i="7"/>
  <c r="G212" i="7"/>
  <c r="H212" i="7"/>
  <c r="I212" i="7"/>
  <c r="J212" i="7"/>
  <c r="K212" i="7"/>
  <c r="L212" i="7"/>
  <c r="M212" i="7"/>
  <c r="N212" i="7"/>
  <c r="P212" i="7"/>
  <c r="Q212" i="7"/>
  <c r="R212" i="7"/>
  <c r="S212" i="7"/>
  <c r="U212" i="7"/>
  <c r="V212" i="7"/>
  <c r="W212" i="7"/>
  <c r="X212" i="7"/>
  <c r="Y212" i="7"/>
  <c r="Z212" i="7"/>
  <c r="AA212" i="7"/>
  <c r="AC212" i="7"/>
  <c r="AE212" i="7"/>
  <c r="AI212" i="7"/>
  <c r="AO212" i="7"/>
  <c r="AP212" i="7"/>
  <c r="E2262" i="8"/>
  <c r="F2262" i="8"/>
  <c r="G2262" i="8"/>
  <c r="H2262" i="8"/>
  <c r="I2262" i="8"/>
  <c r="J2262" i="8"/>
  <c r="K2262" i="8"/>
  <c r="L2262" i="8"/>
  <c r="M2262" i="8"/>
  <c r="N2262" i="8"/>
  <c r="O2262" i="8"/>
  <c r="P2262" i="8"/>
  <c r="Q2262" i="8"/>
  <c r="R2262" i="8"/>
  <c r="S2262" i="8"/>
  <c r="T2262" i="8"/>
  <c r="E2263" i="8"/>
  <c r="F2263" i="8"/>
  <c r="G2263" i="8"/>
  <c r="H2263" i="8"/>
  <c r="I2263" i="8"/>
  <c r="J2263" i="8"/>
  <c r="K2263" i="8"/>
  <c r="L2263" i="8"/>
  <c r="M2263" i="8"/>
  <c r="N2263" i="8"/>
  <c r="O2263" i="8"/>
  <c r="P2263" i="8"/>
  <c r="Q2263" i="8"/>
  <c r="R2263" i="8"/>
  <c r="S2263" i="8"/>
  <c r="T2263" i="8"/>
  <c r="E2264" i="8"/>
  <c r="F2264" i="8"/>
  <c r="G2264" i="8"/>
  <c r="H2264" i="8"/>
  <c r="I2264" i="8"/>
  <c r="J2264" i="8"/>
  <c r="K2264" i="8"/>
  <c r="L2264" i="8"/>
  <c r="M2264" i="8"/>
  <c r="N2264" i="8"/>
  <c r="O2264" i="8"/>
  <c r="P2264" i="8"/>
  <c r="Q2264" i="8"/>
  <c r="R2264" i="8"/>
  <c r="S2264" i="8"/>
  <c r="T2264" i="8"/>
  <c r="E2265" i="8"/>
  <c r="F2265" i="8"/>
  <c r="G2265" i="8"/>
  <c r="H2265" i="8"/>
  <c r="I2265" i="8"/>
  <c r="J2265" i="8"/>
  <c r="K2265" i="8"/>
  <c r="L2265" i="8"/>
  <c r="M2265" i="8"/>
  <c r="N2265" i="8"/>
  <c r="O2265" i="8"/>
  <c r="P2265" i="8"/>
  <c r="Q2265" i="8"/>
  <c r="R2265" i="8"/>
  <c r="S2265" i="8"/>
  <c r="T2265" i="8"/>
  <c r="E2266" i="8"/>
  <c r="F2266" i="8"/>
  <c r="G2266" i="8"/>
  <c r="H2266" i="8"/>
  <c r="I2266" i="8"/>
  <c r="J2266" i="8"/>
  <c r="K2266" i="8"/>
  <c r="L2266" i="8"/>
  <c r="M2266" i="8"/>
  <c r="N2266" i="8"/>
  <c r="O2266" i="8"/>
  <c r="P2266" i="8"/>
  <c r="Q2266" i="8"/>
  <c r="R2266" i="8"/>
  <c r="S2266" i="8"/>
  <c r="T2266" i="8"/>
  <c r="E2267" i="8"/>
  <c r="F2267" i="8"/>
  <c r="G2267" i="8"/>
  <c r="H2267" i="8"/>
  <c r="I2267" i="8"/>
  <c r="J2267" i="8"/>
  <c r="K2267" i="8"/>
  <c r="L2267" i="8"/>
  <c r="M2267" i="8"/>
  <c r="N2267" i="8"/>
  <c r="O2267" i="8"/>
  <c r="P2267" i="8"/>
  <c r="Q2267" i="8"/>
  <c r="R2267" i="8"/>
  <c r="S2267" i="8"/>
  <c r="T2267" i="8"/>
  <c r="E2268" i="8"/>
  <c r="F2268" i="8"/>
  <c r="G2268" i="8"/>
  <c r="H2268" i="8"/>
  <c r="I2268" i="8"/>
  <c r="J2268" i="8"/>
  <c r="K2268" i="8"/>
  <c r="L2268" i="8"/>
  <c r="M2268" i="8"/>
  <c r="N2268" i="8"/>
  <c r="O2268" i="8"/>
  <c r="P2268" i="8"/>
  <c r="Q2268" i="8"/>
  <c r="R2268" i="8"/>
  <c r="S2268" i="8"/>
  <c r="T2268" i="8"/>
  <c r="E2269" i="8"/>
  <c r="F2269" i="8"/>
  <c r="G2269" i="8"/>
  <c r="H2269" i="8"/>
  <c r="I2269" i="8"/>
  <c r="J2269" i="8"/>
  <c r="K2269" i="8"/>
  <c r="L2269" i="8"/>
  <c r="M2269" i="8"/>
  <c r="N2269" i="8"/>
  <c r="O2269" i="8"/>
  <c r="P2269" i="8"/>
  <c r="Q2269" i="8"/>
  <c r="R2269" i="8"/>
  <c r="S2269" i="8"/>
  <c r="T2269" i="8"/>
  <c r="E2270" i="8"/>
  <c r="F2270" i="8"/>
  <c r="G2270" i="8"/>
  <c r="H2270" i="8"/>
  <c r="I2270" i="8"/>
  <c r="J2270" i="8"/>
  <c r="K2270" i="8"/>
  <c r="L2270" i="8"/>
  <c r="M2270" i="8"/>
  <c r="N2270" i="8"/>
  <c r="O2270" i="8"/>
  <c r="P2270" i="8"/>
  <c r="Q2270" i="8"/>
  <c r="R2270" i="8"/>
  <c r="S2270" i="8"/>
  <c r="T2270" i="8"/>
  <c r="E2271" i="8"/>
  <c r="F2271" i="8"/>
  <c r="G2271" i="8"/>
  <c r="H2271" i="8"/>
  <c r="I2271" i="8"/>
  <c r="J2271" i="8"/>
  <c r="K2271" i="8"/>
  <c r="L2271" i="8"/>
  <c r="M2271" i="8"/>
  <c r="N2271" i="8"/>
  <c r="O2271" i="8"/>
  <c r="P2271" i="8"/>
  <c r="Q2271" i="8"/>
  <c r="R2271" i="8"/>
  <c r="S2271" i="8"/>
  <c r="T2271" i="8"/>
  <c r="E2272" i="8"/>
  <c r="F2272" i="8"/>
  <c r="G2272" i="8"/>
  <c r="H2272" i="8"/>
  <c r="I2272" i="8"/>
  <c r="J2272" i="8"/>
  <c r="K2272" i="8"/>
  <c r="L2272" i="8"/>
  <c r="M2272" i="8"/>
  <c r="N2272" i="8"/>
  <c r="O2272" i="8"/>
  <c r="P2272" i="8"/>
  <c r="Q2272" i="8"/>
  <c r="R2272" i="8"/>
  <c r="S2272" i="8"/>
  <c r="T2272" i="8"/>
  <c r="E211" i="7"/>
  <c r="F211" i="7"/>
  <c r="G211" i="7"/>
  <c r="H211" i="7"/>
  <c r="I211" i="7"/>
  <c r="J211" i="7"/>
  <c r="K211" i="7"/>
  <c r="L211" i="7"/>
  <c r="M211" i="7"/>
  <c r="N211" i="7"/>
  <c r="P211" i="7"/>
  <c r="Q211" i="7"/>
  <c r="R211" i="7"/>
  <c r="S211" i="7"/>
  <c r="U211" i="7"/>
  <c r="V211" i="7"/>
  <c r="W211" i="7"/>
  <c r="X211" i="7"/>
  <c r="Y211" i="7"/>
  <c r="Z211" i="7"/>
  <c r="AA211" i="7"/>
  <c r="AC211" i="7"/>
  <c r="AE211" i="7"/>
  <c r="AI211" i="7"/>
  <c r="AO211" i="7"/>
  <c r="AP211" i="7"/>
  <c r="E2251" i="8"/>
  <c r="F2251" i="8"/>
  <c r="G2251" i="8"/>
  <c r="H2251" i="8"/>
  <c r="I2251" i="8"/>
  <c r="J2251" i="8"/>
  <c r="K2251" i="8"/>
  <c r="L2251" i="8"/>
  <c r="M2251" i="8"/>
  <c r="N2251" i="8"/>
  <c r="O2251" i="8"/>
  <c r="P2251" i="8"/>
  <c r="Q2251" i="8"/>
  <c r="R2251" i="8"/>
  <c r="S2251" i="8"/>
  <c r="T2251" i="8"/>
  <c r="E2252" i="8"/>
  <c r="F2252" i="8"/>
  <c r="G2252" i="8"/>
  <c r="H2252" i="8"/>
  <c r="I2252" i="8"/>
  <c r="J2252" i="8"/>
  <c r="K2252" i="8"/>
  <c r="L2252" i="8"/>
  <c r="M2252" i="8"/>
  <c r="N2252" i="8"/>
  <c r="O2252" i="8"/>
  <c r="P2252" i="8"/>
  <c r="Q2252" i="8"/>
  <c r="R2252" i="8"/>
  <c r="S2252" i="8"/>
  <c r="T2252" i="8"/>
  <c r="E2253" i="8"/>
  <c r="F2253" i="8"/>
  <c r="G2253" i="8"/>
  <c r="H2253" i="8"/>
  <c r="I2253" i="8"/>
  <c r="J2253" i="8"/>
  <c r="K2253" i="8"/>
  <c r="L2253" i="8"/>
  <c r="M2253" i="8"/>
  <c r="N2253" i="8"/>
  <c r="O2253" i="8"/>
  <c r="P2253" i="8"/>
  <c r="Q2253" i="8"/>
  <c r="R2253" i="8"/>
  <c r="S2253" i="8"/>
  <c r="T2253" i="8"/>
  <c r="E2254" i="8"/>
  <c r="F2254" i="8"/>
  <c r="G2254" i="8"/>
  <c r="H2254" i="8"/>
  <c r="I2254" i="8"/>
  <c r="J2254" i="8"/>
  <c r="K2254" i="8"/>
  <c r="L2254" i="8"/>
  <c r="M2254" i="8"/>
  <c r="N2254" i="8"/>
  <c r="O2254" i="8"/>
  <c r="P2254" i="8"/>
  <c r="Q2254" i="8"/>
  <c r="R2254" i="8"/>
  <c r="S2254" i="8"/>
  <c r="T2254" i="8"/>
  <c r="E2255" i="8"/>
  <c r="F2255" i="8"/>
  <c r="G2255" i="8"/>
  <c r="H2255" i="8"/>
  <c r="I2255" i="8"/>
  <c r="J2255" i="8"/>
  <c r="K2255" i="8"/>
  <c r="L2255" i="8"/>
  <c r="M2255" i="8"/>
  <c r="N2255" i="8"/>
  <c r="O2255" i="8"/>
  <c r="P2255" i="8"/>
  <c r="Q2255" i="8"/>
  <c r="R2255" i="8"/>
  <c r="S2255" i="8"/>
  <c r="T2255" i="8"/>
  <c r="E2256" i="8"/>
  <c r="F2256" i="8"/>
  <c r="G2256" i="8"/>
  <c r="H2256" i="8"/>
  <c r="I2256" i="8"/>
  <c r="J2256" i="8"/>
  <c r="K2256" i="8"/>
  <c r="L2256" i="8"/>
  <c r="M2256" i="8"/>
  <c r="N2256" i="8"/>
  <c r="O2256" i="8"/>
  <c r="P2256" i="8"/>
  <c r="Q2256" i="8"/>
  <c r="R2256" i="8"/>
  <c r="S2256" i="8"/>
  <c r="T2256" i="8"/>
  <c r="E2257" i="8"/>
  <c r="F2257" i="8"/>
  <c r="G2257" i="8"/>
  <c r="H2257" i="8"/>
  <c r="I2257" i="8"/>
  <c r="J2257" i="8"/>
  <c r="K2257" i="8"/>
  <c r="L2257" i="8"/>
  <c r="M2257" i="8"/>
  <c r="N2257" i="8"/>
  <c r="O2257" i="8"/>
  <c r="P2257" i="8"/>
  <c r="Q2257" i="8"/>
  <c r="R2257" i="8"/>
  <c r="S2257" i="8"/>
  <c r="T2257" i="8"/>
  <c r="E2258" i="8"/>
  <c r="F2258" i="8"/>
  <c r="G2258" i="8"/>
  <c r="H2258" i="8"/>
  <c r="I2258" i="8"/>
  <c r="J2258" i="8"/>
  <c r="K2258" i="8"/>
  <c r="L2258" i="8"/>
  <c r="M2258" i="8"/>
  <c r="N2258" i="8"/>
  <c r="O2258" i="8"/>
  <c r="P2258" i="8"/>
  <c r="Q2258" i="8"/>
  <c r="R2258" i="8"/>
  <c r="S2258" i="8"/>
  <c r="T2258" i="8"/>
  <c r="E2259" i="8"/>
  <c r="F2259" i="8"/>
  <c r="G2259" i="8"/>
  <c r="H2259" i="8"/>
  <c r="I2259" i="8"/>
  <c r="J2259" i="8"/>
  <c r="K2259" i="8"/>
  <c r="L2259" i="8"/>
  <c r="M2259" i="8"/>
  <c r="N2259" i="8"/>
  <c r="O2259" i="8"/>
  <c r="P2259" i="8"/>
  <c r="Q2259" i="8"/>
  <c r="R2259" i="8"/>
  <c r="S2259" i="8"/>
  <c r="T2259" i="8"/>
  <c r="E2260" i="8"/>
  <c r="F2260" i="8"/>
  <c r="G2260" i="8"/>
  <c r="H2260" i="8"/>
  <c r="I2260" i="8"/>
  <c r="J2260" i="8"/>
  <c r="K2260" i="8"/>
  <c r="L2260" i="8"/>
  <c r="M2260" i="8"/>
  <c r="N2260" i="8"/>
  <c r="O2260" i="8"/>
  <c r="P2260" i="8"/>
  <c r="Q2260" i="8"/>
  <c r="R2260" i="8"/>
  <c r="S2260" i="8"/>
  <c r="T2260" i="8"/>
  <c r="E2261" i="8"/>
  <c r="F2261" i="8"/>
  <c r="G2261" i="8"/>
  <c r="H2261" i="8"/>
  <c r="I2261" i="8"/>
  <c r="J2261" i="8"/>
  <c r="K2261" i="8"/>
  <c r="L2261" i="8"/>
  <c r="M2261" i="8"/>
  <c r="N2261" i="8"/>
  <c r="O2261" i="8"/>
  <c r="P2261" i="8"/>
  <c r="Q2261" i="8"/>
  <c r="R2261" i="8"/>
  <c r="S2261" i="8"/>
  <c r="T2261" i="8"/>
  <c r="E210" i="7"/>
  <c r="F210" i="7"/>
  <c r="G210" i="7"/>
  <c r="H210" i="7"/>
  <c r="I210" i="7"/>
  <c r="J210" i="7"/>
  <c r="K210" i="7"/>
  <c r="L210" i="7"/>
  <c r="M210" i="7"/>
  <c r="N210" i="7"/>
  <c r="P210" i="7"/>
  <c r="Q210" i="7"/>
  <c r="R210" i="7"/>
  <c r="S210" i="7"/>
  <c r="U210" i="7"/>
  <c r="V210" i="7"/>
  <c r="W210" i="7"/>
  <c r="X210" i="7"/>
  <c r="Y210" i="7"/>
  <c r="Z210" i="7"/>
  <c r="AA210" i="7"/>
  <c r="AC210" i="7"/>
  <c r="AE210" i="7"/>
  <c r="AI210" i="7"/>
  <c r="AO210" i="7"/>
  <c r="AP210" i="7"/>
  <c r="E2240" i="8"/>
  <c r="F2240" i="8"/>
  <c r="G2240" i="8"/>
  <c r="H2240" i="8"/>
  <c r="I2240" i="8"/>
  <c r="J2240" i="8"/>
  <c r="K2240" i="8"/>
  <c r="L2240" i="8"/>
  <c r="M2240" i="8"/>
  <c r="N2240" i="8"/>
  <c r="O2240" i="8"/>
  <c r="P2240" i="8"/>
  <c r="Q2240" i="8"/>
  <c r="R2240" i="8"/>
  <c r="S2240" i="8"/>
  <c r="T2240" i="8"/>
  <c r="E2241" i="8"/>
  <c r="F2241" i="8"/>
  <c r="G2241" i="8"/>
  <c r="H2241" i="8"/>
  <c r="I2241" i="8"/>
  <c r="J2241" i="8"/>
  <c r="K2241" i="8"/>
  <c r="L2241" i="8"/>
  <c r="M2241" i="8"/>
  <c r="N2241" i="8"/>
  <c r="O2241" i="8"/>
  <c r="P2241" i="8"/>
  <c r="Q2241" i="8"/>
  <c r="R2241" i="8"/>
  <c r="S2241" i="8"/>
  <c r="T2241" i="8"/>
  <c r="E2242" i="8"/>
  <c r="F2242" i="8"/>
  <c r="G2242" i="8"/>
  <c r="H2242" i="8"/>
  <c r="I2242" i="8"/>
  <c r="J2242" i="8"/>
  <c r="K2242" i="8"/>
  <c r="L2242" i="8"/>
  <c r="M2242" i="8"/>
  <c r="N2242" i="8"/>
  <c r="O2242" i="8"/>
  <c r="P2242" i="8"/>
  <c r="Q2242" i="8"/>
  <c r="R2242" i="8"/>
  <c r="S2242" i="8"/>
  <c r="T2242" i="8"/>
  <c r="E2243" i="8"/>
  <c r="F2243" i="8"/>
  <c r="G2243" i="8"/>
  <c r="H2243" i="8"/>
  <c r="I2243" i="8"/>
  <c r="J2243" i="8"/>
  <c r="K2243" i="8"/>
  <c r="L2243" i="8"/>
  <c r="M2243" i="8"/>
  <c r="N2243" i="8"/>
  <c r="O2243" i="8"/>
  <c r="P2243" i="8"/>
  <c r="Q2243" i="8"/>
  <c r="R2243" i="8"/>
  <c r="S2243" i="8"/>
  <c r="T2243" i="8"/>
  <c r="E2244" i="8"/>
  <c r="F2244" i="8"/>
  <c r="G2244" i="8"/>
  <c r="H2244" i="8"/>
  <c r="I2244" i="8"/>
  <c r="J2244" i="8"/>
  <c r="K2244" i="8"/>
  <c r="L2244" i="8"/>
  <c r="M2244" i="8"/>
  <c r="N2244" i="8"/>
  <c r="O2244" i="8"/>
  <c r="P2244" i="8"/>
  <c r="Q2244" i="8"/>
  <c r="R2244" i="8"/>
  <c r="S2244" i="8"/>
  <c r="T2244" i="8"/>
  <c r="E2245" i="8"/>
  <c r="F2245" i="8"/>
  <c r="G2245" i="8"/>
  <c r="H2245" i="8"/>
  <c r="I2245" i="8"/>
  <c r="J2245" i="8"/>
  <c r="K2245" i="8"/>
  <c r="L2245" i="8"/>
  <c r="M2245" i="8"/>
  <c r="N2245" i="8"/>
  <c r="O2245" i="8"/>
  <c r="P2245" i="8"/>
  <c r="Q2245" i="8"/>
  <c r="R2245" i="8"/>
  <c r="S2245" i="8"/>
  <c r="T2245" i="8"/>
  <c r="E2246" i="8"/>
  <c r="F2246" i="8"/>
  <c r="G2246" i="8"/>
  <c r="H2246" i="8"/>
  <c r="I2246" i="8"/>
  <c r="J2246" i="8"/>
  <c r="K2246" i="8"/>
  <c r="L2246" i="8"/>
  <c r="M2246" i="8"/>
  <c r="N2246" i="8"/>
  <c r="O2246" i="8"/>
  <c r="P2246" i="8"/>
  <c r="Q2246" i="8"/>
  <c r="R2246" i="8"/>
  <c r="S2246" i="8"/>
  <c r="T2246" i="8"/>
  <c r="E2247" i="8"/>
  <c r="F2247" i="8"/>
  <c r="G2247" i="8"/>
  <c r="H2247" i="8"/>
  <c r="I2247" i="8"/>
  <c r="J2247" i="8"/>
  <c r="K2247" i="8"/>
  <c r="L2247" i="8"/>
  <c r="M2247" i="8"/>
  <c r="N2247" i="8"/>
  <c r="O2247" i="8"/>
  <c r="P2247" i="8"/>
  <c r="Q2247" i="8"/>
  <c r="R2247" i="8"/>
  <c r="S2247" i="8"/>
  <c r="T2247" i="8"/>
  <c r="E2248" i="8"/>
  <c r="F2248" i="8"/>
  <c r="G2248" i="8"/>
  <c r="H2248" i="8"/>
  <c r="I2248" i="8"/>
  <c r="J2248" i="8"/>
  <c r="K2248" i="8"/>
  <c r="L2248" i="8"/>
  <c r="M2248" i="8"/>
  <c r="N2248" i="8"/>
  <c r="O2248" i="8"/>
  <c r="P2248" i="8"/>
  <c r="Q2248" i="8"/>
  <c r="R2248" i="8"/>
  <c r="S2248" i="8"/>
  <c r="T2248" i="8"/>
  <c r="E2249" i="8"/>
  <c r="F2249" i="8"/>
  <c r="G2249" i="8"/>
  <c r="H2249" i="8"/>
  <c r="I2249" i="8"/>
  <c r="J2249" i="8"/>
  <c r="K2249" i="8"/>
  <c r="L2249" i="8"/>
  <c r="M2249" i="8"/>
  <c r="N2249" i="8"/>
  <c r="O2249" i="8"/>
  <c r="P2249" i="8"/>
  <c r="Q2249" i="8"/>
  <c r="R2249" i="8"/>
  <c r="S2249" i="8"/>
  <c r="T2249" i="8"/>
  <c r="E2250" i="8"/>
  <c r="F2250" i="8"/>
  <c r="G2250" i="8"/>
  <c r="H2250" i="8"/>
  <c r="I2250" i="8"/>
  <c r="J2250" i="8"/>
  <c r="K2250" i="8"/>
  <c r="L2250" i="8"/>
  <c r="M2250" i="8"/>
  <c r="N2250" i="8"/>
  <c r="O2250" i="8"/>
  <c r="P2250" i="8"/>
  <c r="Q2250" i="8"/>
  <c r="R2250" i="8"/>
  <c r="S2250" i="8"/>
  <c r="T2250" i="8"/>
  <c r="E209" i="7"/>
  <c r="F209" i="7"/>
  <c r="G209" i="7"/>
  <c r="H209" i="7"/>
  <c r="I209" i="7"/>
  <c r="J209" i="7"/>
  <c r="K209" i="7"/>
  <c r="L209" i="7"/>
  <c r="M209" i="7"/>
  <c r="N209" i="7"/>
  <c r="P209" i="7"/>
  <c r="Q209" i="7"/>
  <c r="R209" i="7"/>
  <c r="S209" i="7"/>
  <c r="U209" i="7"/>
  <c r="V209" i="7"/>
  <c r="W209" i="7"/>
  <c r="X209" i="7"/>
  <c r="Y209" i="7"/>
  <c r="Z209" i="7"/>
  <c r="AA209" i="7"/>
  <c r="AC209" i="7"/>
  <c r="AE209" i="7"/>
  <c r="AI209" i="7"/>
  <c r="AO209" i="7"/>
  <c r="AP209" i="7"/>
  <c r="E2229" i="8"/>
  <c r="F2229" i="8"/>
  <c r="G2229" i="8"/>
  <c r="H2229" i="8"/>
  <c r="I2229" i="8"/>
  <c r="J2229" i="8"/>
  <c r="K2229" i="8"/>
  <c r="L2229" i="8"/>
  <c r="M2229" i="8"/>
  <c r="N2229" i="8"/>
  <c r="O2229" i="8"/>
  <c r="P2229" i="8"/>
  <c r="Q2229" i="8"/>
  <c r="R2229" i="8"/>
  <c r="S2229" i="8"/>
  <c r="T2229" i="8"/>
  <c r="E2230" i="8"/>
  <c r="F2230" i="8"/>
  <c r="G2230" i="8"/>
  <c r="H2230" i="8"/>
  <c r="I2230" i="8"/>
  <c r="J2230" i="8"/>
  <c r="K2230" i="8"/>
  <c r="L2230" i="8"/>
  <c r="M2230" i="8"/>
  <c r="N2230" i="8"/>
  <c r="O2230" i="8"/>
  <c r="P2230" i="8"/>
  <c r="Q2230" i="8"/>
  <c r="R2230" i="8"/>
  <c r="S2230" i="8"/>
  <c r="T2230" i="8"/>
  <c r="E2231" i="8"/>
  <c r="F2231" i="8"/>
  <c r="G2231" i="8"/>
  <c r="H2231" i="8"/>
  <c r="I2231" i="8"/>
  <c r="J2231" i="8"/>
  <c r="K2231" i="8"/>
  <c r="L2231" i="8"/>
  <c r="M2231" i="8"/>
  <c r="N2231" i="8"/>
  <c r="O2231" i="8"/>
  <c r="P2231" i="8"/>
  <c r="Q2231" i="8"/>
  <c r="R2231" i="8"/>
  <c r="S2231" i="8"/>
  <c r="T2231" i="8"/>
  <c r="E2232" i="8"/>
  <c r="F2232" i="8"/>
  <c r="G2232" i="8"/>
  <c r="H2232" i="8"/>
  <c r="I2232" i="8"/>
  <c r="J2232" i="8"/>
  <c r="K2232" i="8"/>
  <c r="L2232" i="8"/>
  <c r="M2232" i="8"/>
  <c r="N2232" i="8"/>
  <c r="O2232" i="8"/>
  <c r="P2232" i="8"/>
  <c r="Q2232" i="8"/>
  <c r="R2232" i="8"/>
  <c r="S2232" i="8"/>
  <c r="T2232" i="8"/>
  <c r="E2233" i="8"/>
  <c r="F2233" i="8"/>
  <c r="G2233" i="8"/>
  <c r="H2233" i="8"/>
  <c r="I2233" i="8"/>
  <c r="J2233" i="8"/>
  <c r="K2233" i="8"/>
  <c r="L2233" i="8"/>
  <c r="M2233" i="8"/>
  <c r="N2233" i="8"/>
  <c r="O2233" i="8"/>
  <c r="P2233" i="8"/>
  <c r="Q2233" i="8"/>
  <c r="R2233" i="8"/>
  <c r="S2233" i="8"/>
  <c r="T2233" i="8"/>
  <c r="E2234" i="8"/>
  <c r="F2234" i="8"/>
  <c r="G2234" i="8"/>
  <c r="H2234" i="8"/>
  <c r="I2234" i="8"/>
  <c r="J2234" i="8"/>
  <c r="K2234" i="8"/>
  <c r="L2234" i="8"/>
  <c r="M2234" i="8"/>
  <c r="N2234" i="8"/>
  <c r="O2234" i="8"/>
  <c r="P2234" i="8"/>
  <c r="Q2234" i="8"/>
  <c r="R2234" i="8"/>
  <c r="S2234" i="8"/>
  <c r="T2234" i="8"/>
  <c r="E2235" i="8"/>
  <c r="F2235" i="8"/>
  <c r="G2235" i="8"/>
  <c r="H2235" i="8"/>
  <c r="I2235" i="8"/>
  <c r="J2235" i="8"/>
  <c r="K2235" i="8"/>
  <c r="L2235" i="8"/>
  <c r="M2235" i="8"/>
  <c r="N2235" i="8"/>
  <c r="O2235" i="8"/>
  <c r="P2235" i="8"/>
  <c r="Q2235" i="8"/>
  <c r="R2235" i="8"/>
  <c r="S2235" i="8"/>
  <c r="T2235" i="8"/>
  <c r="E2236" i="8"/>
  <c r="F2236" i="8"/>
  <c r="G2236" i="8"/>
  <c r="H2236" i="8"/>
  <c r="I2236" i="8"/>
  <c r="J2236" i="8"/>
  <c r="K2236" i="8"/>
  <c r="L2236" i="8"/>
  <c r="M2236" i="8"/>
  <c r="N2236" i="8"/>
  <c r="O2236" i="8"/>
  <c r="P2236" i="8"/>
  <c r="Q2236" i="8"/>
  <c r="R2236" i="8"/>
  <c r="S2236" i="8"/>
  <c r="T2236" i="8"/>
  <c r="E2237" i="8"/>
  <c r="F2237" i="8"/>
  <c r="G2237" i="8"/>
  <c r="H2237" i="8"/>
  <c r="I2237" i="8"/>
  <c r="J2237" i="8"/>
  <c r="K2237" i="8"/>
  <c r="L2237" i="8"/>
  <c r="M2237" i="8"/>
  <c r="N2237" i="8"/>
  <c r="O2237" i="8"/>
  <c r="P2237" i="8"/>
  <c r="Q2237" i="8"/>
  <c r="R2237" i="8"/>
  <c r="S2237" i="8"/>
  <c r="T2237" i="8"/>
  <c r="E2238" i="8"/>
  <c r="F2238" i="8"/>
  <c r="G2238" i="8"/>
  <c r="H2238" i="8"/>
  <c r="I2238" i="8"/>
  <c r="J2238" i="8"/>
  <c r="K2238" i="8"/>
  <c r="L2238" i="8"/>
  <c r="M2238" i="8"/>
  <c r="N2238" i="8"/>
  <c r="O2238" i="8"/>
  <c r="P2238" i="8"/>
  <c r="Q2238" i="8"/>
  <c r="R2238" i="8"/>
  <c r="S2238" i="8"/>
  <c r="T2238" i="8"/>
  <c r="E2239" i="8"/>
  <c r="F2239" i="8"/>
  <c r="G2239" i="8"/>
  <c r="H2239" i="8"/>
  <c r="I2239" i="8"/>
  <c r="J2239" i="8"/>
  <c r="K2239" i="8"/>
  <c r="L2239" i="8"/>
  <c r="M2239" i="8"/>
  <c r="N2239" i="8"/>
  <c r="O2239" i="8"/>
  <c r="P2239" i="8"/>
  <c r="Q2239" i="8"/>
  <c r="R2239" i="8"/>
  <c r="S2239" i="8"/>
  <c r="T2239" i="8"/>
  <c r="E208" i="7"/>
  <c r="F208" i="7"/>
  <c r="G208" i="7"/>
  <c r="H208" i="7"/>
  <c r="I208" i="7"/>
  <c r="J208" i="7"/>
  <c r="K208" i="7"/>
  <c r="L208" i="7"/>
  <c r="M208" i="7"/>
  <c r="N208" i="7"/>
  <c r="P208" i="7"/>
  <c r="Q208" i="7"/>
  <c r="R208" i="7"/>
  <c r="S208" i="7"/>
  <c r="U208" i="7"/>
  <c r="V208" i="7"/>
  <c r="W208" i="7"/>
  <c r="X208" i="7"/>
  <c r="Y208" i="7"/>
  <c r="Z208" i="7"/>
  <c r="AA208" i="7"/>
  <c r="AC208" i="7"/>
  <c r="AE208" i="7"/>
  <c r="AI208" i="7"/>
  <c r="AO208" i="7"/>
  <c r="AP208" i="7"/>
  <c r="E2218" i="8"/>
  <c r="F2218" i="8"/>
  <c r="G2218" i="8"/>
  <c r="H2218" i="8"/>
  <c r="I2218" i="8"/>
  <c r="J2218" i="8"/>
  <c r="K2218" i="8"/>
  <c r="L2218" i="8"/>
  <c r="M2218" i="8"/>
  <c r="N2218" i="8"/>
  <c r="O2218" i="8"/>
  <c r="P2218" i="8"/>
  <c r="Q2218" i="8"/>
  <c r="R2218" i="8"/>
  <c r="S2218" i="8"/>
  <c r="T2218" i="8"/>
  <c r="E2219" i="8"/>
  <c r="F2219" i="8"/>
  <c r="G2219" i="8"/>
  <c r="H2219" i="8"/>
  <c r="I2219" i="8"/>
  <c r="J2219" i="8"/>
  <c r="K2219" i="8"/>
  <c r="L2219" i="8"/>
  <c r="M2219" i="8"/>
  <c r="N2219" i="8"/>
  <c r="O2219" i="8"/>
  <c r="P2219" i="8"/>
  <c r="Q2219" i="8"/>
  <c r="R2219" i="8"/>
  <c r="S2219" i="8"/>
  <c r="T2219" i="8"/>
  <c r="E2220" i="8"/>
  <c r="F2220" i="8"/>
  <c r="G2220" i="8"/>
  <c r="H2220" i="8"/>
  <c r="I2220" i="8"/>
  <c r="J2220" i="8"/>
  <c r="K2220" i="8"/>
  <c r="L2220" i="8"/>
  <c r="M2220" i="8"/>
  <c r="N2220" i="8"/>
  <c r="O2220" i="8"/>
  <c r="P2220" i="8"/>
  <c r="Q2220" i="8"/>
  <c r="R2220" i="8"/>
  <c r="S2220" i="8"/>
  <c r="T2220" i="8"/>
  <c r="E2221" i="8"/>
  <c r="F2221" i="8"/>
  <c r="G2221" i="8"/>
  <c r="H2221" i="8"/>
  <c r="I2221" i="8"/>
  <c r="J2221" i="8"/>
  <c r="K2221" i="8"/>
  <c r="L2221" i="8"/>
  <c r="M2221" i="8"/>
  <c r="N2221" i="8"/>
  <c r="O2221" i="8"/>
  <c r="P2221" i="8"/>
  <c r="Q2221" i="8"/>
  <c r="R2221" i="8"/>
  <c r="S2221" i="8"/>
  <c r="T2221" i="8"/>
  <c r="E2222" i="8"/>
  <c r="F2222" i="8"/>
  <c r="G2222" i="8"/>
  <c r="H2222" i="8"/>
  <c r="I2222" i="8"/>
  <c r="J2222" i="8"/>
  <c r="K2222" i="8"/>
  <c r="L2222" i="8"/>
  <c r="M2222" i="8"/>
  <c r="N2222" i="8"/>
  <c r="O2222" i="8"/>
  <c r="P2222" i="8"/>
  <c r="Q2222" i="8"/>
  <c r="R2222" i="8"/>
  <c r="S2222" i="8"/>
  <c r="T2222" i="8"/>
  <c r="E2223" i="8"/>
  <c r="F2223" i="8"/>
  <c r="G2223" i="8"/>
  <c r="H2223" i="8"/>
  <c r="I2223" i="8"/>
  <c r="J2223" i="8"/>
  <c r="K2223" i="8"/>
  <c r="L2223" i="8"/>
  <c r="M2223" i="8"/>
  <c r="N2223" i="8"/>
  <c r="O2223" i="8"/>
  <c r="P2223" i="8"/>
  <c r="Q2223" i="8"/>
  <c r="R2223" i="8"/>
  <c r="S2223" i="8"/>
  <c r="T2223" i="8"/>
  <c r="E2224" i="8"/>
  <c r="F2224" i="8"/>
  <c r="G2224" i="8"/>
  <c r="H2224" i="8"/>
  <c r="I2224" i="8"/>
  <c r="J2224" i="8"/>
  <c r="K2224" i="8"/>
  <c r="L2224" i="8"/>
  <c r="M2224" i="8"/>
  <c r="N2224" i="8"/>
  <c r="O2224" i="8"/>
  <c r="P2224" i="8"/>
  <c r="Q2224" i="8"/>
  <c r="R2224" i="8"/>
  <c r="S2224" i="8"/>
  <c r="T2224" i="8"/>
  <c r="E2225" i="8"/>
  <c r="F2225" i="8"/>
  <c r="G2225" i="8"/>
  <c r="H2225" i="8"/>
  <c r="I2225" i="8"/>
  <c r="J2225" i="8"/>
  <c r="K2225" i="8"/>
  <c r="L2225" i="8"/>
  <c r="M2225" i="8"/>
  <c r="N2225" i="8"/>
  <c r="O2225" i="8"/>
  <c r="P2225" i="8"/>
  <c r="Q2225" i="8"/>
  <c r="R2225" i="8"/>
  <c r="S2225" i="8"/>
  <c r="T2225" i="8"/>
  <c r="E2226" i="8"/>
  <c r="F2226" i="8"/>
  <c r="G2226" i="8"/>
  <c r="H2226" i="8"/>
  <c r="I2226" i="8"/>
  <c r="J2226" i="8"/>
  <c r="K2226" i="8"/>
  <c r="L2226" i="8"/>
  <c r="M2226" i="8"/>
  <c r="N2226" i="8"/>
  <c r="O2226" i="8"/>
  <c r="P2226" i="8"/>
  <c r="Q2226" i="8"/>
  <c r="R2226" i="8"/>
  <c r="S2226" i="8"/>
  <c r="T2226" i="8"/>
  <c r="E2227" i="8"/>
  <c r="F2227" i="8"/>
  <c r="G2227" i="8"/>
  <c r="H2227" i="8"/>
  <c r="I2227" i="8"/>
  <c r="J2227" i="8"/>
  <c r="K2227" i="8"/>
  <c r="L2227" i="8"/>
  <c r="M2227" i="8"/>
  <c r="N2227" i="8"/>
  <c r="O2227" i="8"/>
  <c r="P2227" i="8"/>
  <c r="Q2227" i="8"/>
  <c r="R2227" i="8"/>
  <c r="S2227" i="8"/>
  <c r="T2227" i="8"/>
  <c r="E2228" i="8"/>
  <c r="F2228" i="8"/>
  <c r="G2228" i="8"/>
  <c r="H2228" i="8"/>
  <c r="I2228" i="8"/>
  <c r="J2228" i="8"/>
  <c r="K2228" i="8"/>
  <c r="L2228" i="8"/>
  <c r="M2228" i="8"/>
  <c r="N2228" i="8"/>
  <c r="O2228" i="8"/>
  <c r="P2228" i="8"/>
  <c r="Q2228" i="8"/>
  <c r="R2228" i="8"/>
  <c r="S2228" i="8"/>
  <c r="T2228" i="8"/>
  <c r="E207" i="7"/>
  <c r="F207" i="7"/>
  <c r="G207" i="7"/>
  <c r="H207" i="7"/>
  <c r="I207" i="7"/>
  <c r="J207" i="7"/>
  <c r="K207" i="7"/>
  <c r="L207" i="7"/>
  <c r="M207" i="7"/>
  <c r="N207" i="7"/>
  <c r="P207" i="7"/>
  <c r="Q207" i="7"/>
  <c r="R207" i="7"/>
  <c r="S207" i="7"/>
  <c r="U207" i="7"/>
  <c r="V207" i="7"/>
  <c r="W207" i="7"/>
  <c r="X207" i="7"/>
  <c r="Y207" i="7"/>
  <c r="Z207" i="7"/>
  <c r="AA207" i="7"/>
  <c r="AC207" i="7"/>
  <c r="AE207" i="7"/>
  <c r="AI207" i="7"/>
  <c r="AO207" i="7"/>
  <c r="AP207" i="7"/>
  <c r="E2207" i="8"/>
  <c r="F2207" i="8"/>
  <c r="G2207" i="8"/>
  <c r="H2207" i="8"/>
  <c r="I2207" i="8"/>
  <c r="J2207" i="8"/>
  <c r="K2207" i="8"/>
  <c r="L2207" i="8"/>
  <c r="M2207" i="8"/>
  <c r="N2207" i="8"/>
  <c r="O2207" i="8"/>
  <c r="P2207" i="8"/>
  <c r="Q2207" i="8"/>
  <c r="R2207" i="8"/>
  <c r="S2207" i="8"/>
  <c r="T2207" i="8"/>
  <c r="E2208" i="8"/>
  <c r="F2208" i="8"/>
  <c r="G2208" i="8"/>
  <c r="H2208" i="8"/>
  <c r="I2208" i="8"/>
  <c r="J2208" i="8"/>
  <c r="K2208" i="8"/>
  <c r="L2208" i="8"/>
  <c r="M2208" i="8"/>
  <c r="N2208" i="8"/>
  <c r="O2208" i="8"/>
  <c r="P2208" i="8"/>
  <c r="Q2208" i="8"/>
  <c r="R2208" i="8"/>
  <c r="S2208" i="8"/>
  <c r="T2208" i="8"/>
  <c r="E2209" i="8"/>
  <c r="F2209" i="8"/>
  <c r="G2209" i="8"/>
  <c r="H2209" i="8"/>
  <c r="I2209" i="8"/>
  <c r="J2209" i="8"/>
  <c r="K2209" i="8"/>
  <c r="L2209" i="8"/>
  <c r="M2209" i="8"/>
  <c r="N2209" i="8"/>
  <c r="O2209" i="8"/>
  <c r="P2209" i="8"/>
  <c r="Q2209" i="8"/>
  <c r="R2209" i="8"/>
  <c r="S2209" i="8"/>
  <c r="T2209" i="8"/>
  <c r="E2210" i="8"/>
  <c r="F2210" i="8"/>
  <c r="G2210" i="8"/>
  <c r="H2210" i="8"/>
  <c r="I2210" i="8"/>
  <c r="J2210" i="8"/>
  <c r="K2210" i="8"/>
  <c r="L2210" i="8"/>
  <c r="M2210" i="8"/>
  <c r="N2210" i="8"/>
  <c r="O2210" i="8"/>
  <c r="P2210" i="8"/>
  <c r="Q2210" i="8"/>
  <c r="R2210" i="8"/>
  <c r="S2210" i="8"/>
  <c r="T2210" i="8"/>
  <c r="E2211" i="8"/>
  <c r="F2211" i="8"/>
  <c r="G2211" i="8"/>
  <c r="H2211" i="8"/>
  <c r="I2211" i="8"/>
  <c r="J2211" i="8"/>
  <c r="K2211" i="8"/>
  <c r="L2211" i="8"/>
  <c r="M2211" i="8"/>
  <c r="N2211" i="8"/>
  <c r="O2211" i="8"/>
  <c r="P2211" i="8"/>
  <c r="Q2211" i="8"/>
  <c r="R2211" i="8"/>
  <c r="S2211" i="8"/>
  <c r="T2211" i="8"/>
  <c r="E2212" i="8"/>
  <c r="F2212" i="8"/>
  <c r="G2212" i="8"/>
  <c r="H2212" i="8"/>
  <c r="I2212" i="8"/>
  <c r="J2212" i="8"/>
  <c r="K2212" i="8"/>
  <c r="L2212" i="8"/>
  <c r="M2212" i="8"/>
  <c r="N2212" i="8"/>
  <c r="O2212" i="8"/>
  <c r="P2212" i="8"/>
  <c r="Q2212" i="8"/>
  <c r="R2212" i="8"/>
  <c r="S2212" i="8"/>
  <c r="T2212" i="8"/>
  <c r="E2213" i="8"/>
  <c r="F2213" i="8"/>
  <c r="G2213" i="8"/>
  <c r="H2213" i="8"/>
  <c r="I2213" i="8"/>
  <c r="J2213" i="8"/>
  <c r="K2213" i="8"/>
  <c r="L2213" i="8"/>
  <c r="M2213" i="8"/>
  <c r="N2213" i="8"/>
  <c r="O2213" i="8"/>
  <c r="P2213" i="8"/>
  <c r="Q2213" i="8"/>
  <c r="R2213" i="8"/>
  <c r="S2213" i="8"/>
  <c r="T2213" i="8"/>
  <c r="E2214" i="8"/>
  <c r="F2214" i="8"/>
  <c r="G2214" i="8"/>
  <c r="H2214" i="8"/>
  <c r="I2214" i="8"/>
  <c r="J2214" i="8"/>
  <c r="K2214" i="8"/>
  <c r="L2214" i="8"/>
  <c r="M2214" i="8"/>
  <c r="N2214" i="8"/>
  <c r="O2214" i="8"/>
  <c r="P2214" i="8"/>
  <c r="Q2214" i="8"/>
  <c r="R2214" i="8"/>
  <c r="S2214" i="8"/>
  <c r="T2214" i="8"/>
  <c r="E2215" i="8"/>
  <c r="F2215" i="8"/>
  <c r="G2215" i="8"/>
  <c r="H2215" i="8"/>
  <c r="I2215" i="8"/>
  <c r="J2215" i="8"/>
  <c r="K2215" i="8"/>
  <c r="L2215" i="8"/>
  <c r="M2215" i="8"/>
  <c r="N2215" i="8"/>
  <c r="O2215" i="8"/>
  <c r="P2215" i="8"/>
  <c r="Q2215" i="8"/>
  <c r="R2215" i="8"/>
  <c r="S2215" i="8"/>
  <c r="T2215" i="8"/>
  <c r="E2216" i="8"/>
  <c r="F2216" i="8"/>
  <c r="G2216" i="8"/>
  <c r="H2216" i="8"/>
  <c r="I2216" i="8"/>
  <c r="J2216" i="8"/>
  <c r="K2216" i="8"/>
  <c r="L2216" i="8"/>
  <c r="M2216" i="8"/>
  <c r="N2216" i="8"/>
  <c r="O2216" i="8"/>
  <c r="P2216" i="8"/>
  <c r="Q2216" i="8"/>
  <c r="R2216" i="8"/>
  <c r="S2216" i="8"/>
  <c r="T2216" i="8"/>
  <c r="E2217" i="8"/>
  <c r="F2217" i="8"/>
  <c r="G2217" i="8"/>
  <c r="H2217" i="8"/>
  <c r="I2217" i="8"/>
  <c r="J2217" i="8"/>
  <c r="K2217" i="8"/>
  <c r="L2217" i="8"/>
  <c r="M2217" i="8"/>
  <c r="N2217" i="8"/>
  <c r="O2217" i="8"/>
  <c r="P2217" i="8"/>
  <c r="Q2217" i="8"/>
  <c r="R2217" i="8"/>
  <c r="S2217" i="8"/>
  <c r="T2217" i="8"/>
  <c r="O206" i="7"/>
  <c r="AK206" i="7"/>
  <c r="O205" i="7"/>
  <c r="AK205" i="7"/>
  <c r="O204" i="7"/>
  <c r="AK204" i="7"/>
  <c r="O203" i="7"/>
  <c r="AK203" i="7"/>
  <c r="O202" i="7"/>
  <c r="AK202" i="7"/>
  <c r="O201" i="7"/>
  <c r="AK201" i="7"/>
  <c r="O200" i="7"/>
  <c r="AK200" i="7"/>
  <c r="O199" i="7"/>
  <c r="AK199" i="7"/>
  <c r="O198" i="7"/>
  <c r="AK198" i="7"/>
  <c r="O197" i="7"/>
  <c r="AK197" i="7"/>
  <c r="O196" i="7"/>
  <c r="AK196" i="7"/>
  <c r="O195" i="7"/>
  <c r="AK195" i="7"/>
  <c r="E194" i="7"/>
  <c r="F194" i="7"/>
  <c r="G194" i="7"/>
  <c r="H194" i="7"/>
  <c r="I194" i="7"/>
  <c r="J194" i="7"/>
  <c r="K194" i="7"/>
  <c r="L194" i="7"/>
  <c r="M194" i="7"/>
  <c r="N194" i="7"/>
  <c r="P194" i="7"/>
  <c r="Q194" i="7"/>
  <c r="R194" i="7"/>
  <c r="S194" i="7"/>
  <c r="U194" i="7"/>
  <c r="V194" i="7"/>
  <c r="W194" i="7"/>
  <c r="X194" i="7"/>
  <c r="Y194" i="7"/>
  <c r="Z194" i="7"/>
  <c r="AA194" i="7"/>
  <c r="AC194" i="7"/>
  <c r="AE194" i="7"/>
  <c r="AI194" i="7"/>
  <c r="AO194" i="7"/>
  <c r="AP194" i="7"/>
  <c r="E2064" i="8"/>
  <c r="F2064" i="8"/>
  <c r="G2064" i="8"/>
  <c r="H2064" i="8"/>
  <c r="I2064" i="8"/>
  <c r="J2064" i="8"/>
  <c r="K2064" i="8"/>
  <c r="L2064" i="8"/>
  <c r="M2064" i="8"/>
  <c r="N2064" i="8"/>
  <c r="O2064" i="8"/>
  <c r="P2064" i="8"/>
  <c r="Q2064" i="8"/>
  <c r="R2064" i="8"/>
  <c r="S2064" i="8"/>
  <c r="T2064" i="8"/>
  <c r="E2065" i="8"/>
  <c r="F2065" i="8"/>
  <c r="G2065" i="8"/>
  <c r="H2065" i="8"/>
  <c r="I2065" i="8"/>
  <c r="J2065" i="8"/>
  <c r="K2065" i="8"/>
  <c r="L2065" i="8"/>
  <c r="M2065" i="8"/>
  <c r="N2065" i="8"/>
  <c r="O2065" i="8"/>
  <c r="P2065" i="8"/>
  <c r="Q2065" i="8"/>
  <c r="R2065" i="8"/>
  <c r="S2065" i="8"/>
  <c r="T2065" i="8"/>
  <c r="E2066" i="8"/>
  <c r="F2066" i="8"/>
  <c r="G2066" i="8"/>
  <c r="H2066" i="8"/>
  <c r="I2066" i="8"/>
  <c r="J2066" i="8"/>
  <c r="K2066" i="8"/>
  <c r="L2066" i="8"/>
  <c r="M2066" i="8"/>
  <c r="N2066" i="8"/>
  <c r="O2066" i="8"/>
  <c r="P2066" i="8"/>
  <c r="Q2066" i="8"/>
  <c r="R2066" i="8"/>
  <c r="S2066" i="8"/>
  <c r="T2066" i="8"/>
  <c r="E2067" i="8"/>
  <c r="F2067" i="8"/>
  <c r="G2067" i="8"/>
  <c r="H2067" i="8"/>
  <c r="I2067" i="8"/>
  <c r="J2067" i="8"/>
  <c r="K2067" i="8"/>
  <c r="L2067" i="8"/>
  <c r="M2067" i="8"/>
  <c r="N2067" i="8"/>
  <c r="O2067" i="8"/>
  <c r="P2067" i="8"/>
  <c r="Q2067" i="8"/>
  <c r="R2067" i="8"/>
  <c r="S2067" i="8"/>
  <c r="T2067" i="8"/>
  <c r="E2068" i="8"/>
  <c r="F2068" i="8"/>
  <c r="G2068" i="8"/>
  <c r="H2068" i="8"/>
  <c r="I2068" i="8"/>
  <c r="J2068" i="8"/>
  <c r="K2068" i="8"/>
  <c r="L2068" i="8"/>
  <c r="M2068" i="8"/>
  <c r="N2068" i="8"/>
  <c r="O2068" i="8"/>
  <c r="P2068" i="8"/>
  <c r="Q2068" i="8"/>
  <c r="R2068" i="8"/>
  <c r="S2068" i="8"/>
  <c r="T2068" i="8"/>
  <c r="E2069" i="8"/>
  <c r="F2069" i="8"/>
  <c r="G2069" i="8"/>
  <c r="H2069" i="8"/>
  <c r="I2069" i="8"/>
  <c r="J2069" i="8"/>
  <c r="K2069" i="8"/>
  <c r="L2069" i="8"/>
  <c r="M2069" i="8"/>
  <c r="N2069" i="8"/>
  <c r="O2069" i="8"/>
  <c r="J2074" i="8"/>
  <c r="K2074" i="8"/>
  <c r="L2074" i="8"/>
  <c r="M2074" i="8"/>
  <c r="N2074" i="8"/>
  <c r="O2074" i="8"/>
  <c r="P2074" i="8"/>
  <c r="Q2074" i="8"/>
  <c r="R2074" i="8"/>
  <c r="S2074" i="8"/>
  <c r="T2074" i="8"/>
  <c r="T2069" i="8"/>
  <c r="F2070" i="8"/>
  <c r="H2070" i="8"/>
  <c r="J2070" i="8"/>
  <c r="L2070" i="8"/>
  <c r="N2070" i="8"/>
  <c r="P2070" i="8"/>
  <c r="R2070" i="8"/>
  <c r="T2070" i="8"/>
  <c r="F2071" i="8"/>
  <c r="H2071" i="8"/>
  <c r="J2071" i="8"/>
  <c r="L2071" i="8"/>
  <c r="N2071" i="8"/>
  <c r="O2071" i="8"/>
  <c r="Q2071" i="8"/>
  <c r="S2071" i="8"/>
  <c r="G2072" i="8"/>
  <c r="I2072" i="8"/>
  <c r="K2072" i="8"/>
  <c r="M2072" i="8"/>
  <c r="O2072" i="8"/>
  <c r="Q2072" i="8"/>
  <c r="E2073" i="8"/>
  <c r="G2073" i="8"/>
  <c r="I2073" i="8"/>
  <c r="K2073" i="8"/>
  <c r="M2073" i="8"/>
  <c r="P2073" i="8"/>
  <c r="R2073" i="8"/>
  <c r="S2073" i="8"/>
  <c r="T2073" i="8"/>
  <c r="G2074" i="8"/>
  <c r="H2074" i="8"/>
  <c r="P2069" i="8"/>
  <c r="Q2069" i="8"/>
  <c r="R2069" i="8"/>
  <c r="S2069" i="8"/>
  <c r="E2070" i="8"/>
  <c r="G2070" i="8"/>
  <c r="I2070" i="8"/>
  <c r="K2070" i="8"/>
  <c r="M2070" i="8"/>
  <c r="O2070" i="8"/>
  <c r="Q2070" i="8"/>
  <c r="S2070" i="8"/>
  <c r="E2071" i="8"/>
  <c r="G2071" i="8"/>
  <c r="I2071" i="8"/>
  <c r="K2071" i="8"/>
  <c r="M2071" i="8"/>
  <c r="P2071" i="8"/>
  <c r="R2071" i="8"/>
  <c r="T2071" i="8"/>
  <c r="E2072" i="8"/>
  <c r="F2072" i="8"/>
  <c r="H2072" i="8"/>
  <c r="J2072" i="8"/>
  <c r="L2072" i="8"/>
  <c r="N2072" i="8"/>
  <c r="P2072" i="8"/>
  <c r="R2072" i="8"/>
  <c r="S2072" i="8"/>
  <c r="T2072" i="8"/>
  <c r="F2073" i="8"/>
  <c r="H2073" i="8"/>
  <c r="J2073" i="8"/>
  <c r="L2073" i="8"/>
  <c r="N2073" i="8"/>
  <c r="O2073" i="8"/>
  <c r="Q2073" i="8"/>
  <c r="E2074" i="8"/>
  <c r="F2074" i="8"/>
  <c r="I2074" i="8"/>
  <c r="E193" i="7"/>
  <c r="F193" i="7"/>
  <c r="G193" i="7"/>
  <c r="H193" i="7"/>
  <c r="I193" i="7"/>
  <c r="J193" i="7"/>
  <c r="K193" i="7"/>
  <c r="L193" i="7"/>
  <c r="M193" i="7"/>
  <c r="N193" i="7"/>
  <c r="P193" i="7"/>
  <c r="Q193" i="7"/>
  <c r="R193" i="7"/>
  <c r="S193" i="7"/>
  <c r="U193" i="7"/>
  <c r="V193" i="7"/>
  <c r="W193" i="7"/>
  <c r="X193" i="7"/>
  <c r="Y193" i="7"/>
  <c r="Z193" i="7"/>
  <c r="AA193" i="7"/>
  <c r="AC193" i="7"/>
  <c r="AE193" i="7"/>
  <c r="AI193" i="7"/>
  <c r="AO193" i="7"/>
  <c r="AP193" i="7"/>
  <c r="E2053" i="8"/>
  <c r="F2053" i="8"/>
  <c r="G2053" i="8"/>
  <c r="H2053" i="8"/>
  <c r="I2053" i="8"/>
  <c r="J2053" i="8"/>
  <c r="K2053" i="8"/>
  <c r="L2053" i="8"/>
  <c r="M2053" i="8"/>
  <c r="N2053" i="8"/>
  <c r="O2053" i="8"/>
  <c r="P2053" i="8"/>
  <c r="Q2053" i="8"/>
  <c r="R2053" i="8"/>
  <c r="S2053" i="8"/>
  <c r="T2053" i="8"/>
  <c r="E2054" i="8"/>
  <c r="F2054" i="8"/>
  <c r="G2054" i="8"/>
  <c r="H2054" i="8"/>
  <c r="I2054" i="8"/>
  <c r="J2054" i="8"/>
  <c r="K2054" i="8"/>
  <c r="L2054" i="8"/>
  <c r="M2054" i="8"/>
  <c r="N2054" i="8"/>
  <c r="O2054" i="8"/>
  <c r="P2054" i="8"/>
  <c r="Q2054" i="8"/>
  <c r="R2054" i="8"/>
  <c r="S2054" i="8"/>
  <c r="T2054" i="8"/>
  <c r="E2055" i="8"/>
  <c r="F2055" i="8"/>
  <c r="G2055" i="8"/>
  <c r="H2055" i="8"/>
  <c r="I2055" i="8"/>
  <c r="J2055" i="8"/>
  <c r="K2055" i="8"/>
  <c r="L2055" i="8"/>
  <c r="M2055" i="8"/>
  <c r="N2055" i="8"/>
  <c r="O2055" i="8"/>
  <c r="P2055" i="8"/>
  <c r="Q2055" i="8"/>
  <c r="R2055" i="8"/>
  <c r="S2055" i="8"/>
  <c r="T2055" i="8"/>
  <c r="E2056" i="8"/>
  <c r="F2056" i="8"/>
  <c r="G2056" i="8"/>
  <c r="H2056" i="8"/>
  <c r="I2056" i="8"/>
  <c r="J2056" i="8"/>
  <c r="K2056" i="8"/>
  <c r="L2056" i="8"/>
  <c r="M2056" i="8"/>
  <c r="N2056" i="8"/>
  <c r="O2056" i="8"/>
  <c r="P2056" i="8"/>
  <c r="Q2056" i="8"/>
  <c r="R2056" i="8"/>
  <c r="S2056" i="8"/>
  <c r="T2056" i="8"/>
  <c r="E2057" i="8"/>
  <c r="F2057" i="8"/>
  <c r="G2057" i="8"/>
  <c r="H2057" i="8"/>
  <c r="I2057" i="8"/>
  <c r="J2057" i="8"/>
  <c r="K2057" i="8"/>
  <c r="L2057" i="8"/>
  <c r="M2057" i="8"/>
  <c r="N2057" i="8"/>
  <c r="O2057" i="8"/>
  <c r="P2057" i="8"/>
  <c r="Q2057" i="8"/>
  <c r="R2057" i="8"/>
  <c r="S2057" i="8"/>
  <c r="T2057" i="8"/>
  <c r="E2058" i="8"/>
  <c r="F2058" i="8"/>
  <c r="G2058" i="8"/>
  <c r="H2058" i="8"/>
  <c r="I2058" i="8"/>
  <c r="J2058" i="8"/>
  <c r="K2058" i="8"/>
  <c r="L2058" i="8"/>
  <c r="M2058" i="8"/>
  <c r="N2058" i="8"/>
  <c r="O2058" i="8"/>
  <c r="P2058" i="8"/>
  <c r="Q2058" i="8"/>
  <c r="R2058" i="8"/>
  <c r="S2058" i="8"/>
  <c r="T2058" i="8"/>
  <c r="E2059" i="8"/>
  <c r="F2059" i="8"/>
  <c r="G2059" i="8"/>
  <c r="H2059" i="8"/>
  <c r="I2059" i="8"/>
  <c r="J2059" i="8"/>
  <c r="K2059" i="8"/>
  <c r="L2059" i="8"/>
  <c r="M2059" i="8"/>
  <c r="N2059" i="8"/>
  <c r="O2059" i="8"/>
  <c r="P2059" i="8"/>
  <c r="Q2059" i="8"/>
  <c r="R2059" i="8"/>
  <c r="S2059" i="8"/>
  <c r="T2059" i="8"/>
  <c r="E2060" i="8"/>
  <c r="F2060" i="8"/>
  <c r="G2060" i="8"/>
  <c r="H2060" i="8"/>
  <c r="I2060" i="8"/>
  <c r="J2060" i="8"/>
  <c r="K2060" i="8"/>
  <c r="L2060" i="8"/>
  <c r="M2060" i="8"/>
  <c r="N2060" i="8"/>
  <c r="O2060" i="8"/>
  <c r="P2060" i="8"/>
  <c r="Q2060" i="8"/>
  <c r="R2060" i="8"/>
  <c r="S2060" i="8"/>
  <c r="T2060" i="8"/>
  <c r="E2061" i="8"/>
  <c r="F2061" i="8"/>
  <c r="G2061" i="8"/>
  <c r="H2061" i="8"/>
  <c r="I2061" i="8"/>
  <c r="J2061" i="8"/>
  <c r="K2061" i="8"/>
  <c r="L2061" i="8"/>
  <c r="M2061" i="8"/>
  <c r="N2061" i="8"/>
  <c r="O2061" i="8"/>
  <c r="P2061" i="8"/>
  <c r="Q2061" i="8"/>
  <c r="R2061" i="8"/>
  <c r="S2061" i="8"/>
  <c r="T2061" i="8"/>
  <c r="E2062" i="8"/>
  <c r="F2062" i="8"/>
  <c r="G2062" i="8"/>
  <c r="H2062" i="8"/>
  <c r="I2062" i="8"/>
  <c r="J2062" i="8"/>
  <c r="K2062" i="8"/>
  <c r="L2062" i="8"/>
  <c r="M2062" i="8"/>
  <c r="N2062" i="8"/>
  <c r="O2062" i="8"/>
  <c r="P2062" i="8"/>
  <c r="Q2062" i="8"/>
  <c r="R2062" i="8"/>
  <c r="S2062" i="8"/>
  <c r="T2062" i="8"/>
  <c r="E2063" i="8"/>
  <c r="F2063" i="8"/>
  <c r="G2063" i="8"/>
  <c r="H2063" i="8"/>
  <c r="I2063" i="8"/>
  <c r="J2063" i="8"/>
  <c r="K2063" i="8"/>
  <c r="L2063" i="8"/>
  <c r="M2063" i="8"/>
  <c r="N2063" i="8"/>
  <c r="O2063" i="8"/>
  <c r="P2063" i="8"/>
  <c r="Q2063" i="8"/>
  <c r="R2063" i="8"/>
  <c r="S2063" i="8"/>
  <c r="T2063" i="8"/>
  <c r="E192" i="7"/>
  <c r="F192" i="7"/>
  <c r="G192" i="7"/>
  <c r="H192" i="7"/>
  <c r="I192" i="7"/>
  <c r="J192" i="7"/>
  <c r="K192" i="7"/>
  <c r="L192" i="7"/>
  <c r="M192" i="7"/>
  <c r="N192" i="7"/>
  <c r="P192" i="7"/>
  <c r="Q192" i="7"/>
  <c r="R192" i="7"/>
  <c r="S192" i="7"/>
  <c r="U192" i="7"/>
  <c r="V192" i="7"/>
  <c r="W192" i="7"/>
  <c r="X192" i="7"/>
  <c r="Y192" i="7"/>
  <c r="Z192" i="7"/>
  <c r="AA192" i="7"/>
  <c r="AC192" i="7"/>
  <c r="AE192" i="7"/>
  <c r="AI192" i="7"/>
  <c r="AO192" i="7"/>
  <c r="AP192" i="7"/>
  <c r="E2042" i="8"/>
  <c r="F2042" i="8"/>
  <c r="G2042" i="8"/>
  <c r="H2042" i="8"/>
  <c r="I2042" i="8"/>
  <c r="J2042" i="8"/>
  <c r="K2042" i="8"/>
  <c r="L2042" i="8"/>
  <c r="M2042" i="8"/>
  <c r="N2042" i="8"/>
  <c r="O2042" i="8"/>
  <c r="P2042" i="8"/>
  <c r="Q2042" i="8"/>
  <c r="R2042" i="8"/>
  <c r="S2042" i="8"/>
  <c r="T2042" i="8"/>
  <c r="E2043" i="8"/>
  <c r="F2043" i="8"/>
  <c r="G2043" i="8"/>
  <c r="H2043" i="8"/>
  <c r="I2043" i="8"/>
  <c r="J2043" i="8"/>
  <c r="K2043" i="8"/>
  <c r="L2043" i="8"/>
  <c r="M2043" i="8"/>
  <c r="N2043" i="8"/>
  <c r="O2043" i="8"/>
  <c r="P2043" i="8"/>
  <c r="Q2043" i="8"/>
  <c r="R2043" i="8"/>
  <c r="S2043" i="8"/>
  <c r="T2043" i="8"/>
  <c r="E2044" i="8"/>
  <c r="F2044" i="8"/>
  <c r="G2044" i="8"/>
  <c r="H2044" i="8"/>
  <c r="I2044" i="8"/>
  <c r="J2044" i="8"/>
  <c r="K2044" i="8"/>
  <c r="L2044" i="8"/>
  <c r="M2044" i="8"/>
  <c r="N2044" i="8"/>
  <c r="O2044" i="8"/>
  <c r="P2044" i="8"/>
  <c r="Q2044" i="8"/>
  <c r="R2044" i="8"/>
  <c r="S2044" i="8"/>
  <c r="T2044" i="8"/>
  <c r="E2045" i="8"/>
  <c r="F2045" i="8"/>
  <c r="G2045" i="8"/>
  <c r="H2045" i="8"/>
  <c r="I2045" i="8"/>
  <c r="J2045" i="8"/>
  <c r="K2045" i="8"/>
  <c r="L2045" i="8"/>
  <c r="M2045" i="8"/>
  <c r="N2045" i="8"/>
  <c r="O2045" i="8"/>
  <c r="P2045" i="8"/>
  <c r="Q2045" i="8"/>
  <c r="R2045" i="8"/>
  <c r="S2045" i="8"/>
  <c r="T2045" i="8"/>
  <c r="E2046" i="8"/>
  <c r="F2046" i="8"/>
  <c r="G2046" i="8"/>
  <c r="H2046" i="8"/>
  <c r="I2046" i="8"/>
  <c r="J2046" i="8"/>
  <c r="K2046" i="8"/>
  <c r="L2046" i="8"/>
  <c r="M2046" i="8"/>
  <c r="N2046" i="8"/>
  <c r="O2046" i="8"/>
  <c r="P2046" i="8"/>
  <c r="Q2046" i="8"/>
  <c r="R2046" i="8"/>
  <c r="S2046" i="8"/>
  <c r="T2046" i="8"/>
  <c r="E2047" i="8"/>
  <c r="F2047" i="8"/>
  <c r="G2047" i="8"/>
  <c r="H2047" i="8"/>
  <c r="I2047" i="8"/>
  <c r="J2047" i="8"/>
  <c r="K2047" i="8"/>
  <c r="L2047" i="8"/>
  <c r="M2047" i="8"/>
  <c r="N2047" i="8"/>
  <c r="O2047" i="8"/>
  <c r="P2047" i="8"/>
  <c r="Q2047" i="8"/>
  <c r="R2047" i="8"/>
  <c r="S2047" i="8"/>
  <c r="T2047" i="8"/>
  <c r="E2048" i="8"/>
  <c r="F2048" i="8"/>
  <c r="G2048" i="8"/>
  <c r="H2048" i="8"/>
  <c r="I2048" i="8"/>
  <c r="J2048" i="8"/>
  <c r="K2048" i="8"/>
  <c r="L2048" i="8"/>
  <c r="M2048" i="8"/>
  <c r="N2048" i="8"/>
  <c r="O2048" i="8"/>
  <c r="P2048" i="8"/>
  <c r="Q2048" i="8"/>
  <c r="R2048" i="8"/>
  <c r="S2048" i="8"/>
  <c r="T2048" i="8"/>
  <c r="E2049" i="8"/>
  <c r="F2049" i="8"/>
  <c r="G2049" i="8"/>
  <c r="H2049" i="8"/>
  <c r="I2049" i="8"/>
  <c r="J2049" i="8"/>
  <c r="K2049" i="8"/>
  <c r="L2049" i="8"/>
  <c r="M2049" i="8"/>
  <c r="N2049" i="8"/>
  <c r="O2049" i="8"/>
  <c r="P2049" i="8"/>
  <c r="Q2049" i="8"/>
  <c r="R2049" i="8"/>
  <c r="S2049" i="8"/>
  <c r="T2049" i="8"/>
  <c r="E2050" i="8"/>
  <c r="F2050" i="8"/>
  <c r="G2050" i="8"/>
  <c r="H2050" i="8"/>
  <c r="I2050" i="8"/>
  <c r="J2050" i="8"/>
  <c r="K2050" i="8"/>
  <c r="L2050" i="8"/>
  <c r="M2050" i="8"/>
  <c r="N2050" i="8"/>
  <c r="O2050" i="8"/>
  <c r="P2050" i="8"/>
  <c r="Q2050" i="8"/>
  <c r="R2050" i="8"/>
  <c r="S2050" i="8"/>
  <c r="T2050" i="8"/>
  <c r="E2051" i="8"/>
  <c r="F2051" i="8"/>
  <c r="G2051" i="8"/>
  <c r="H2051" i="8"/>
  <c r="I2051" i="8"/>
  <c r="J2051" i="8"/>
  <c r="K2051" i="8"/>
  <c r="L2051" i="8"/>
  <c r="M2051" i="8"/>
  <c r="N2051" i="8"/>
  <c r="O2051" i="8"/>
  <c r="P2051" i="8"/>
  <c r="Q2051" i="8"/>
  <c r="R2051" i="8"/>
  <c r="S2051" i="8"/>
  <c r="T2051" i="8"/>
  <c r="E2052" i="8"/>
  <c r="F2052" i="8"/>
  <c r="G2052" i="8"/>
  <c r="H2052" i="8"/>
  <c r="I2052" i="8"/>
  <c r="J2052" i="8"/>
  <c r="K2052" i="8"/>
  <c r="L2052" i="8"/>
  <c r="M2052" i="8"/>
  <c r="N2052" i="8"/>
  <c r="O2052" i="8"/>
  <c r="P2052" i="8"/>
  <c r="Q2052" i="8"/>
  <c r="R2052" i="8"/>
  <c r="S2052" i="8"/>
  <c r="T2052" i="8"/>
  <c r="E191" i="7"/>
  <c r="F191" i="7"/>
  <c r="G191" i="7"/>
  <c r="H191" i="7"/>
  <c r="I191" i="7"/>
  <c r="J191" i="7"/>
  <c r="K191" i="7"/>
  <c r="L191" i="7"/>
  <c r="M191" i="7"/>
  <c r="N191" i="7"/>
  <c r="P191" i="7"/>
  <c r="Q191" i="7"/>
  <c r="R191" i="7"/>
  <c r="S191" i="7"/>
  <c r="U191" i="7"/>
  <c r="V191" i="7"/>
  <c r="W191" i="7"/>
  <c r="X191" i="7"/>
  <c r="Y191" i="7"/>
  <c r="Z191" i="7"/>
  <c r="AA191" i="7"/>
  <c r="AC191" i="7"/>
  <c r="AE191" i="7"/>
  <c r="AI191" i="7"/>
  <c r="AO191" i="7"/>
  <c r="AP191" i="7"/>
  <c r="E2031" i="8"/>
  <c r="F2031" i="8"/>
  <c r="G2031" i="8"/>
  <c r="H2031" i="8"/>
  <c r="I2031" i="8"/>
  <c r="J2031" i="8"/>
  <c r="K2031" i="8"/>
  <c r="L2031" i="8"/>
  <c r="M2031" i="8"/>
  <c r="N2031" i="8"/>
  <c r="O2031" i="8"/>
  <c r="P2031" i="8"/>
  <c r="Q2031" i="8"/>
  <c r="R2031" i="8"/>
  <c r="S2031" i="8"/>
  <c r="T2031" i="8"/>
  <c r="E2032" i="8"/>
  <c r="F2032" i="8"/>
  <c r="G2032" i="8"/>
  <c r="H2032" i="8"/>
  <c r="I2032" i="8"/>
  <c r="J2032" i="8"/>
  <c r="K2032" i="8"/>
  <c r="L2032" i="8"/>
  <c r="M2032" i="8"/>
  <c r="N2032" i="8"/>
  <c r="O2032" i="8"/>
  <c r="P2032" i="8"/>
  <c r="Q2032" i="8"/>
  <c r="R2032" i="8"/>
  <c r="S2032" i="8"/>
  <c r="T2032" i="8"/>
  <c r="E2033" i="8"/>
  <c r="F2033" i="8"/>
  <c r="G2033" i="8"/>
  <c r="H2033" i="8"/>
  <c r="I2033" i="8"/>
  <c r="J2033" i="8"/>
  <c r="K2033" i="8"/>
  <c r="L2033" i="8"/>
  <c r="M2033" i="8"/>
  <c r="N2033" i="8"/>
  <c r="O2033" i="8"/>
  <c r="P2033" i="8"/>
  <c r="Q2033" i="8"/>
  <c r="R2033" i="8"/>
  <c r="S2033" i="8"/>
  <c r="T2033" i="8"/>
  <c r="E2034" i="8"/>
  <c r="F2034" i="8"/>
  <c r="G2034" i="8"/>
  <c r="H2034" i="8"/>
  <c r="I2034" i="8"/>
  <c r="J2034" i="8"/>
  <c r="K2034" i="8"/>
  <c r="L2034" i="8"/>
  <c r="M2034" i="8"/>
  <c r="N2034" i="8"/>
  <c r="O2034" i="8"/>
  <c r="P2034" i="8"/>
  <c r="Q2034" i="8"/>
  <c r="R2034" i="8"/>
  <c r="S2034" i="8"/>
  <c r="T2034" i="8"/>
  <c r="E2035" i="8"/>
  <c r="F2035" i="8"/>
  <c r="G2035" i="8"/>
  <c r="H2035" i="8"/>
  <c r="I2035" i="8"/>
  <c r="J2035" i="8"/>
  <c r="K2035" i="8"/>
  <c r="L2035" i="8"/>
  <c r="M2035" i="8"/>
  <c r="N2035" i="8"/>
  <c r="O2035" i="8"/>
  <c r="P2035" i="8"/>
  <c r="Q2035" i="8"/>
  <c r="R2035" i="8"/>
  <c r="S2035" i="8"/>
  <c r="T2035" i="8"/>
  <c r="E2036" i="8"/>
  <c r="F2036" i="8"/>
  <c r="G2036" i="8"/>
  <c r="H2036" i="8"/>
  <c r="I2036" i="8"/>
  <c r="J2036" i="8"/>
  <c r="K2036" i="8"/>
  <c r="L2036" i="8"/>
  <c r="M2036" i="8"/>
  <c r="N2036" i="8"/>
  <c r="O2036" i="8"/>
  <c r="P2036" i="8"/>
  <c r="Q2036" i="8"/>
  <c r="R2036" i="8"/>
  <c r="S2036" i="8"/>
  <c r="T2036" i="8"/>
  <c r="E2037" i="8"/>
  <c r="F2037" i="8"/>
  <c r="G2037" i="8"/>
  <c r="H2037" i="8"/>
  <c r="I2037" i="8"/>
  <c r="J2037" i="8"/>
  <c r="K2037" i="8"/>
  <c r="L2037" i="8"/>
  <c r="M2037" i="8"/>
  <c r="N2037" i="8"/>
  <c r="O2037" i="8"/>
  <c r="P2037" i="8"/>
  <c r="Q2037" i="8"/>
  <c r="R2037" i="8"/>
  <c r="S2037" i="8"/>
  <c r="T2037" i="8"/>
  <c r="E2038" i="8"/>
  <c r="F2038" i="8"/>
  <c r="G2038" i="8"/>
  <c r="H2038" i="8"/>
  <c r="I2038" i="8"/>
  <c r="J2038" i="8"/>
  <c r="K2038" i="8"/>
  <c r="L2038" i="8"/>
  <c r="M2038" i="8"/>
  <c r="N2038" i="8"/>
  <c r="O2038" i="8"/>
  <c r="P2038" i="8"/>
  <c r="Q2038" i="8"/>
  <c r="R2038" i="8"/>
  <c r="S2038" i="8"/>
  <c r="T2038" i="8"/>
  <c r="E2039" i="8"/>
  <c r="F2039" i="8"/>
  <c r="G2039" i="8"/>
  <c r="H2039" i="8"/>
  <c r="I2039" i="8"/>
  <c r="J2039" i="8"/>
  <c r="K2039" i="8"/>
  <c r="L2039" i="8"/>
  <c r="M2039" i="8"/>
  <c r="N2039" i="8"/>
  <c r="O2039" i="8"/>
  <c r="P2039" i="8"/>
  <c r="Q2039" i="8"/>
  <c r="R2039" i="8"/>
  <c r="S2039" i="8"/>
  <c r="T2039" i="8"/>
  <c r="E2040" i="8"/>
  <c r="F2040" i="8"/>
  <c r="G2040" i="8"/>
  <c r="H2040" i="8"/>
  <c r="I2040" i="8"/>
  <c r="J2040" i="8"/>
  <c r="K2040" i="8"/>
  <c r="L2040" i="8"/>
  <c r="M2040" i="8"/>
  <c r="N2040" i="8"/>
  <c r="O2040" i="8"/>
  <c r="P2040" i="8"/>
  <c r="Q2040" i="8"/>
  <c r="R2040" i="8"/>
  <c r="S2040" i="8"/>
  <c r="T2040" i="8"/>
  <c r="E2041" i="8"/>
  <c r="F2041" i="8"/>
  <c r="G2041" i="8"/>
  <c r="H2041" i="8"/>
  <c r="I2041" i="8"/>
  <c r="J2041" i="8"/>
  <c r="K2041" i="8"/>
  <c r="L2041" i="8"/>
  <c r="M2041" i="8"/>
  <c r="N2041" i="8"/>
  <c r="O2041" i="8"/>
  <c r="P2041" i="8"/>
  <c r="Q2041" i="8"/>
  <c r="R2041" i="8"/>
  <c r="S2041" i="8"/>
  <c r="T2041" i="8"/>
  <c r="E190" i="7"/>
  <c r="F190" i="7"/>
  <c r="G190" i="7"/>
  <c r="H190" i="7"/>
  <c r="I190" i="7"/>
  <c r="J190" i="7"/>
  <c r="K190" i="7"/>
  <c r="L190" i="7"/>
  <c r="M190" i="7"/>
  <c r="N190" i="7"/>
  <c r="P190" i="7"/>
  <c r="Q190" i="7"/>
  <c r="R190" i="7"/>
  <c r="S190" i="7"/>
  <c r="U190" i="7"/>
  <c r="V190" i="7"/>
  <c r="W190" i="7"/>
  <c r="X190" i="7"/>
  <c r="Y190" i="7"/>
  <c r="Z190" i="7"/>
  <c r="AA190" i="7"/>
  <c r="AC190" i="7"/>
  <c r="AE190" i="7"/>
  <c r="AI190" i="7"/>
  <c r="AO190" i="7"/>
  <c r="AP190" i="7"/>
  <c r="E2020" i="8"/>
  <c r="F2020" i="8"/>
  <c r="G2020" i="8"/>
  <c r="H2020" i="8"/>
  <c r="I2020" i="8"/>
  <c r="J2020" i="8"/>
  <c r="K2020" i="8"/>
  <c r="L2020" i="8"/>
  <c r="M2020" i="8"/>
  <c r="N2020" i="8"/>
  <c r="O2020" i="8"/>
  <c r="P2020" i="8"/>
  <c r="Q2020" i="8"/>
  <c r="R2020" i="8"/>
  <c r="S2020" i="8"/>
  <c r="T2020" i="8"/>
  <c r="E2021" i="8"/>
  <c r="F2021" i="8"/>
  <c r="G2021" i="8"/>
  <c r="H2021" i="8"/>
  <c r="I2021" i="8"/>
  <c r="J2021" i="8"/>
  <c r="K2021" i="8"/>
  <c r="L2021" i="8"/>
  <c r="M2021" i="8"/>
  <c r="N2021" i="8"/>
  <c r="O2021" i="8"/>
  <c r="P2021" i="8"/>
  <c r="Q2021" i="8"/>
  <c r="R2021" i="8"/>
  <c r="S2021" i="8"/>
  <c r="T2021" i="8"/>
  <c r="E2022" i="8"/>
  <c r="F2022" i="8"/>
  <c r="G2022" i="8"/>
  <c r="H2022" i="8"/>
  <c r="I2022" i="8"/>
  <c r="J2022" i="8"/>
  <c r="K2022" i="8"/>
  <c r="L2022" i="8"/>
  <c r="M2022" i="8"/>
  <c r="N2022" i="8"/>
  <c r="O2022" i="8"/>
  <c r="P2022" i="8"/>
  <c r="Q2022" i="8"/>
  <c r="R2022" i="8"/>
  <c r="S2022" i="8"/>
  <c r="T2022" i="8"/>
  <c r="E2023" i="8"/>
  <c r="F2023" i="8"/>
  <c r="G2023" i="8"/>
  <c r="H2023" i="8"/>
  <c r="I2023" i="8"/>
  <c r="J2023" i="8"/>
  <c r="K2023" i="8"/>
  <c r="L2023" i="8"/>
  <c r="M2023" i="8"/>
  <c r="N2023" i="8"/>
  <c r="O2023" i="8"/>
  <c r="P2023" i="8"/>
  <c r="Q2023" i="8"/>
  <c r="R2023" i="8"/>
  <c r="S2023" i="8"/>
  <c r="T2023" i="8"/>
  <c r="E2024" i="8"/>
  <c r="F2024" i="8"/>
  <c r="G2024" i="8"/>
  <c r="H2024" i="8"/>
  <c r="I2024" i="8"/>
  <c r="J2024" i="8"/>
  <c r="K2024" i="8"/>
  <c r="L2024" i="8"/>
  <c r="M2024" i="8"/>
  <c r="N2024" i="8"/>
  <c r="O2024" i="8"/>
  <c r="P2024" i="8"/>
  <c r="Q2024" i="8"/>
  <c r="R2024" i="8"/>
  <c r="S2024" i="8"/>
  <c r="T2024" i="8"/>
  <c r="E2025" i="8"/>
  <c r="F2025" i="8"/>
  <c r="G2025" i="8"/>
  <c r="H2025" i="8"/>
  <c r="I2025" i="8"/>
  <c r="J2025" i="8"/>
  <c r="K2025" i="8"/>
  <c r="L2025" i="8"/>
  <c r="M2025" i="8"/>
  <c r="N2025" i="8"/>
  <c r="O2025" i="8"/>
  <c r="P2025" i="8"/>
  <c r="Q2025" i="8"/>
  <c r="R2025" i="8"/>
  <c r="S2025" i="8"/>
  <c r="T2025" i="8"/>
  <c r="E2026" i="8"/>
  <c r="F2026" i="8"/>
  <c r="G2026" i="8"/>
  <c r="H2026" i="8"/>
  <c r="I2026" i="8"/>
  <c r="J2026" i="8"/>
  <c r="K2026" i="8"/>
  <c r="L2026" i="8"/>
  <c r="M2026" i="8"/>
  <c r="N2026" i="8"/>
  <c r="O2026" i="8"/>
  <c r="P2026" i="8"/>
  <c r="Q2026" i="8"/>
  <c r="R2026" i="8"/>
  <c r="S2026" i="8"/>
  <c r="T2026" i="8"/>
  <c r="E2027" i="8"/>
  <c r="F2027" i="8"/>
  <c r="G2027" i="8"/>
  <c r="H2027" i="8"/>
  <c r="I2027" i="8"/>
  <c r="J2027" i="8"/>
  <c r="K2027" i="8"/>
  <c r="L2027" i="8"/>
  <c r="M2027" i="8"/>
  <c r="N2027" i="8"/>
  <c r="O2027" i="8"/>
  <c r="P2027" i="8"/>
  <c r="Q2027" i="8"/>
  <c r="R2027" i="8"/>
  <c r="S2027" i="8"/>
  <c r="T2027" i="8"/>
  <c r="E2028" i="8"/>
  <c r="F2028" i="8"/>
  <c r="G2028" i="8"/>
  <c r="H2028" i="8"/>
  <c r="I2028" i="8"/>
  <c r="J2028" i="8"/>
  <c r="K2028" i="8"/>
  <c r="L2028" i="8"/>
  <c r="M2028" i="8"/>
  <c r="N2028" i="8"/>
  <c r="O2028" i="8"/>
  <c r="P2028" i="8"/>
  <c r="Q2028" i="8"/>
  <c r="R2028" i="8"/>
  <c r="S2028" i="8"/>
  <c r="T2028" i="8"/>
  <c r="E2029" i="8"/>
  <c r="F2029" i="8"/>
  <c r="G2029" i="8"/>
  <c r="H2029" i="8"/>
  <c r="I2029" i="8"/>
  <c r="J2029" i="8"/>
  <c r="K2029" i="8"/>
  <c r="L2029" i="8"/>
  <c r="M2029" i="8"/>
  <c r="N2029" i="8"/>
  <c r="O2029" i="8"/>
  <c r="P2029" i="8"/>
  <c r="Q2029" i="8"/>
  <c r="R2029" i="8"/>
  <c r="S2029" i="8"/>
  <c r="T2029" i="8"/>
  <c r="E2030" i="8"/>
  <c r="F2030" i="8"/>
  <c r="G2030" i="8"/>
  <c r="H2030" i="8"/>
  <c r="I2030" i="8"/>
  <c r="J2030" i="8"/>
  <c r="K2030" i="8"/>
  <c r="L2030" i="8"/>
  <c r="M2030" i="8"/>
  <c r="N2030" i="8"/>
  <c r="O2030" i="8"/>
  <c r="P2030" i="8"/>
  <c r="Q2030" i="8"/>
  <c r="R2030" i="8"/>
  <c r="S2030" i="8"/>
  <c r="T2030" i="8"/>
  <c r="E189" i="7"/>
  <c r="F189" i="7"/>
  <c r="G189" i="7"/>
  <c r="H189" i="7"/>
  <c r="I189" i="7"/>
  <c r="J189" i="7"/>
  <c r="K189" i="7"/>
  <c r="L189" i="7"/>
  <c r="M189" i="7"/>
  <c r="N189" i="7"/>
  <c r="P189" i="7"/>
  <c r="Q189" i="7"/>
  <c r="R189" i="7"/>
  <c r="S189" i="7"/>
  <c r="U189" i="7"/>
  <c r="V189" i="7"/>
  <c r="W189" i="7"/>
  <c r="X189" i="7"/>
  <c r="Y189" i="7"/>
  <c r="Z189" i="7"/>
  <c r="AA189" i="7"/>
  <c r="AC189" i="7"/>
  <c r="AE189" i="7"/>
  <c r="AI189" i="7"/>
  <c r="AO189" i="7"/>
  <c r="AP189" i="7"/>
  <c r="E2009" i="8"/>
  <c r="F2009" i="8"/>
  <c r="G2009" i="8"/>
  <c r="H2009" i="8"/>
  <c r="I2009" i="8"/>
  <c r="J2009" i="8"/>
  <c r="K2009" i="8"/>
  <c r="L2009" i="8"/>
  <c r="M2009" i="8"/>
  <c r="N2009" i="8"/>
  <c r="O2009" i="8"/>
  <c r="P2009" i="8"/>
  <c r="Q2009" i="8"/>
  <c r="R2009" i="8"/>
  <c r="S2009" i="8"/>
  <c r="T2009" i="8"/>
  <c r="E2010" i="8"/>
  <c r="F2010" i="8"/>
  <c r="G2010" i="8"/>
  <c r="H2010" i="8"/>
  <c r="I2010" i="8"/>
  <c r="J2010" i="8"/>
  <c r="K2010" i="8"/>
  <c r="L2010" i="8"/>
  <c r="M2010" i="8"/>
  <c r="N2010" i="8"/>
  <c r="O2010" i="8"/>
  <c r="P2010" i="8"/>
  <c r="Q2010" i="8"/>
  <c r="R2010" i="8"/>
  <c r="S2010" i="8"/>
  <c r="T2010" i="8"/>
  <c r="E2011" i="8"/>
  <c r="F2011" i="8"/>
  <c r="G2011" i="8"/>
  <c r="H2011" i="8"/>
  <c r="I2011" i="8"/>
  <c r="J2011" i="8"/>
  <c r="K2011" i="8"/>
  <c r="L2011" i="8"/>
  <c r="M2011" i="8"/>
  <c r="N2011" i="8"/>
  <c r="O2011" i="8"/>
  <c r="P2011" i="8"/>
  <c r="Q2011" i="8"/>
  <c r="R2011" i="8"/>
  <c r="S2011" i="8"/>
  <c r="T2011" i="8"/>
  <c r="E2012" i="8"/>
  <c r="F2012" i="8"/>
  <c r="G2012" i="8"/>
  <c r="H2012" i="8"/>
  <c r="I2012" i="8"/>
  <c r="J2012" i="8"/>
  <c r="K2012" i="8"/>
  <c r="L2012" i="8"/>
  <c r="M2012" i="8"/>
  <c r="N2012" i="8"/>
  <c r="O2012" i="8"/>
  <c r="P2012" i="8"/>
  <c r="Q2012" i="8"/>
  <c r="R2012" i="8"/>
  <c r="S2012" i="8"/>
  <c r="T2012" i="8"/>
  <c r="E2013" i="8"/>
  <c r="F2013" i="8"/>
  <c r="G2013" i="8"/>
  <c r="H2013" i="8"/>
  <c r="I2013" i="8"/>
  <c r="J2013" i="8"/>
  <c r="K2013" i="8"/>
  <c r="L2013" i="8"/>
  <c r="M2013" i="8"/>
  <c r="N2013" i="8"/>
  <c r="O2013" i="8"/>
  <c r="P2013" i="8"/>
  <c r="Q2013" i="8"/>
  <c r="R2013" i="8"/>
  <c r="S2013" i="8"/>
  <c r="T2013" i="8"/>
  <c r="E2014" i="8"/>
  <c r="F2014" i="8"/>
  <c r="G2014" i="8"/>
  <c r="H2014" i="8"/>
  <c r="I2014" i="8"/>
  <c r="J2014" i="8"/>
  <c r="K2014" i="8"/>
  <c r="L2014" i="8"/>
  <c r="M2014" i="8"/>
  <c r="N2014" i="8"/>
  <c r="O2014" i="8"/>
  <c r="P2014" i="8"/>
  <c r="Q2014" i="8"/>
  <c r="R2014" i="8"/>
  <c r="S2014" i="8"/>
  <c r="T2014" i="8"/>
  <c r="E2015" i="8"/>
  <c r="F2015" i="8"/>
  <c r="G2015" i="8"/>
  <c r="H2015" i="8"/>
  <c r="I2015" i="8"/>
  <c r="J2015" i="8"/>
  <c r="K2015" i="8"/>
  <c r="L2015" i="8"/>
  <c r="M2015" i="8"/>
  <c r="N2015" i="8"/>
  <c r="O2015" i="8"/>
  <c r="P2015" i="8"/>
  <c r="Q2015" i="8"/>
  <c r="R2015" i="8"/>
  <c r="S2015" i="8"/>
  <c r="T2015" i="8"/>
  <c r="E2016" i="8"/>
  <c r="F2016" i="8"/>
  <c r="G2016" i="8"/>
  <c r="H2016" i="8"/>
  <c r="I2016" i="8"/>
  <c r="J2016" i="8"/>
  <c r="K2016" i="8"/>
  <c r="L2016" i="8"/>
  <c r="M2016" i="8"/>
  <c r="N2016" i="8"/>
  <c r="O2016" i="8"/>
  <c r="P2016" i="8"/>
  <c r="Q2016" i="8"/>
  <c r="R2016" i="8"/>
  <c r="S2016" i="8"/>
  <c r="T2016" i="8"/>
  <c r="E2017" i="8"/>
  <c r="F2017" i="8"/>
  <c r="G2017" i="8"/>
  <c r="H2017" i="8"/>
  <c r="I2017" i="8"/>
  <c r="J2017" i="8"/>
  <c r="K2017" i="8"/>
  <c r="L2017" i="8"/>
  <c r="M2017" i="8"/>
  <c r="N2017" i="8"/>
  <c r="O2017" i="8"/>
  <c r="P2017" i="8"/>
  <c r="Q2017" i="8"/>
  <c r="R2017" i="8"/>
  <c r="S2017" i="8"/>
  <c r="T2017" i="8"/>
  <c r="E2018" i="8"/>
  <c r="F2018" i="8"/>
  <c r="G2018" i="8"/>
  <c r="H2018" i="8"/>
  <c r="I2018" i="8"/>
  <c r="J2018" i="8"/>
  <c r="K2018" i="8"/>
  <c r="L2018" i="8"/>
  <c r="M2018" i="8"/>
  <c r="N2018" i="8"/>
  <c r="O2018" i="8"/>
  <c r="P2018" i="8"/>
  <c r="Q2018" i="8"/>
  <c r="R2018" i="8"/>
  <c r="S2018" i="8"/>
  <c r="T2018" i="8"/>
  <c r="E2019" i="8"/>
  <c r="F2019" i="8"/>
  <c r="G2019" i="8"/>
  <c r="H2019" i="8"/>
  <c r="I2019" i="8"/>
  <c r="J2019" i="8"/>
  <c r="K2019" i="8"/>
  <c r="L2019" i="8"/>
  <c r="M2019" i="8"/>
  <c r="N2019" i="8"/>
  <c r="O2019" i="8"/>
  <c r="P2019" i="8"/>
  <c r="Q2019" i="8"/>
  <c r="R2019" i="8"/>
  <c r="S2019" i="8"/>
  <c r="T2019" i="8"/>
  <c r="E188" i="7"/>
  <c r="F188" i="7"/>
  <c r="G188" i="7"/>
  <c r="H188" i="7"/>
  <c r="I188" i="7"/>
  <c r="J188" i="7"/>
  <c r="K188" i="7"/>
  <c r="L188" i="7"/>
  <c r="M188" i="7"/>
  <c r="N188" i="7"/>
  <c r="P188" i="7"/>
  <c r="Q188" i="7"/>
  <c r="R188" i="7"/>
  <c r="S188" i="7"/>
  <c r="U188" i="7"/>
  <c r="V188" i="7"/>
  <c r="W188" i="7"/>
  <c r="X188" i="7"/>
  <c r="Y188" i="7"/>
  <c r="Z188" i="7"/>
  <c r="AA188" i="7"/>
  <c r="AC188" i="7"/>
  <c r="AE188" i="7"/>
  <c r="AI188" i="7"/>
  <c r="AO188" i="7"/>
  <c r="AP188" i="7"/>
  <c r="E1998" i="8"/>
  <c r="F1998" i="8"/>
  <c r="G1998" i="8"/>
  <c r="H1998" i="8"/>
  <c r="I1998" i="8"/>
  <c r="J1998" i="8"/>
  <c r="K1998" i="8"/>
  <c r="L1998" i="8"/>
  <c r="M1998" i="8"/>
  <c r="N1998" i="8"/>
  <c r="O1998" i="8"/>
  <c r="P1998" i="8"/>
  <c r="Q1998" i="8"/>
  <c r="R1998" i="8"/>
  <c r="S1998" i="8"/>
  <c r="T1998" i="8"/>
  <c r="E1999" i="8"/>
  <c r="F1999" i="8"/>
  <c r="G1999" i="8"/>
  <c r="H1999" i="8"/>
  <c r="I1999" i="8"/>
  <c r="J1999" i="8"/>
  <c r="K1999" i="8"/>
  <c r="L1999" i="8"/>
  <c r="M1999" i="8"/>
  <c r="N1999" i="8"/>
  <c r="O1999" i="8"/>
  <c r="P1999" i="8"/>
  <c r="Q1999" i="8"/>
  <c r="R1999" i="8"/>
  <c r="S1999" i="8"/>
  <c r="T1999" i="8"/>
  <c r="E2000" i="8"/>
  <c r="F2000" i="8"/>
  <c r="G2000" i="8"/>
  <c r="H2000" i="8"/>
  <c r="I2000" i="8"/>
  <c r="J2000" i="8"/>
  <c r="K2000" i="8"/>
  <c r="L2000" i="8"/>
  <c r="M2000" i="8"/>
  <c r="N2000" i="8"/>
  <c r="O2000" i="8"/>
  <c r="P2000" i="8"/>
  <c r="Q2000" i="8"/>
  <c r="R2000" i="8"/>
  <c r="S2000" i="8"/>
  <c r="T2000" i="8"/>
  <c r="E2001" i="8"/>
  <c r="F2001" i="8"/>
  <c r="G2001" i="8"/>
  <c r="H2001" i="8"/>
  <c r="I2001" i="8"/>
  <c r="J2001" i="8"/>
  <c r="K2001" i="8"/>
  <c r="L2001" i="8"/>
  <c r="M2001" i="8"/>
  <c r="N2001" i="8"/>
  <c r="O2001" i="8"/>
  <c r="P2001" i="8"/>
  <c r="Q2001" i="8"/>
  <c r="R2001" i="8"/>
  <c r="S2001" i="8"/>
  <c r="T2001" i="8"/>
  <c r="E2002" i="8"/>
  <c r="F2002" i="8"/>
  <c r="G2002" i="8"/>
  <c r="H2002" i="8"/>
  <c r="I2002" i="8"/>
  <c r="J2002" i="8"/>
  <c r="K2002" i="8"/>
  <c r="L2002" i="8"/>
  <c r="M2002" i="8"/>
  <c r="N2002" i="8"/>
  <c r="O2002" i="8"/>
  <c r="P2002" i="8"/>
  <c r="Q2002" i="8"/>
  <c r="R2002" i="8"/>
  <c r="S2002" i="8"/>
  <c r="T2002" i="8"/>
  <c r="E2003" i="8"/>
  <c r="F2003" i="8"/>
  <c r="G2003" i="8"/>
  <c r="H2003" i="8"/>
  <c r="I2003" i="8"/>
  <c r="J2003" i="8"/>
  <c r="K2003" i="8"/>
  <c r="L2003" i="8"/>
  <c r="M2003" i="8"/>
  <c r="N2003" i="8"/>
  <c r="O2003" i="8"/>
  <c r="P2003" i="8"/>
  <c r="Q2003" i="8"/>
  <c r="R2003" i="8"/>
  <c r="S2003" i="8"/>
  <c r="T2003" i="8"/>
  <c r="E2004" i="8"/>
  <c r="F2004" i="8"/>
  <c r="G2004" i="8"/>
  <c r="H2004" i="8"/>
  <c r="I2004" i="8"/>
  <c r="J2004" i="8"/>
  <c r="K2004" i="8"/>
  <c r="L2004" i="8"/>
  <c r="M2004" i="8"/>
  <c r="N2004" i="8"/>
  <c r="O2004" i="8"/>
  <c r="P2004" i="8"/>
  <c r="Q2004" i="8"/>
  <c r="R2004" i="8"/>
  <c r="S2004" i="8"/>
  <c r="T2004" i="8"/>
  <c r="E2005" i="8"/>
  <c r="F2005" i="8"/>
  <c r="G2005" i="8"/>
  <c r="H2005" i="8"/>
  <c r="I2005" i="8"/>
  <c r="J2005" i="8"/>
  <c r="K2005" i="8"/>
  <c r="L2005" i="8"/>
  <c r="M2005" i="8"/>
  <c r="N2005" i="8"/>
  <c r="O2005" i="8"/>
  <c r="P2005" i="8"/>
  <c r="Q2005" i="8"/>
  <c r="R2005" i="8"/>
  <c r="S2005" i="8"/>
  <c r="T2005" i="8"/>
  <c r="E2006" i="8"/>
  <c r="F2006" i="8"/>
  <c r="G2006" i="8"/>
  <c r="H2006" i="8"/>
  <c r="I2006" i="8"/>
  <c r="J2006" i="8"/>
  <c r="K2006" i="8"/>
  <c r="L2006" i="8"/>
  <c r="M2006" i="8"/>
  <c r="N2006" i="8"/>
  <c r="O2006" i="8"/>
  <c r="P2006" i="8"/>
  <c r="Q2006" i="8"/>
  <c r="R2006" i="8"/>
  <c r="S2006" i="8"/>
  <c r="T2006" i="8"/>
  <c r="E2007" i="8"/>
  <c r="F2007" i="8"/>
  <c r="G2007" i="8"/>
  <c r="H2007" i="8"/>
  <c r="I2007" i="8"/>
  <c r="J2007" i="8"/>
  <c r="K2007" i="8"/>
  <c r="L2007" i="8"/>
  <c r="M2007" i="8"/>
  <c r="N2007" i="8"/>
  <c r="O2007" i="8"/>
  <c r="P2007" i="8"/>
  <c r="Q2007" i="8"/>
  <c r="R2007" i="8"/>
  <c r="S2007" i="8"/>
  <c r="T2007" i="8"/>
  <c r="E2008" i="8"/>
  <c r="F2008" i="8"/>
  <c r="G2008" i="8"/>
  <c r="H2008" i="8"/>
  <c r="I2008" i="8"/>
  <c r="J2008" i="8"/>
  <c r="K2008" i="8"/>
  <c r="L2008" i="8"/>
  <c r="M2008" i="8"/>
  <c r="N2008" i="8"/>
  <c r="O2008" i="8"/>
  <c r="P2008" i="8"/>
  <c r="Q2008" i="8"/>
  <c r="R2008" i="8"/>
  <c r="S2008" i="8"/>
  <c r="T2008" i="8"/>
  <c r="E187" i="7"/>
  <c r="F187" i="7"/>
  <c r="G187" i="7"/>
  <c r="H187" i="7"/>
  <c r="I187" i="7"/>
  <c r="J187" i="7"/>
  <c r="K187" i="7"/>
  <c r="L187" i="7"/>
  <c r="M187" i="7"/>
  <c r="N187" i="7"/>
  <c r="P187" i="7"/>
  <c r="Q187" i="7"/>
  <c r="R187" i="7"/>
  <c r="S187" i="7"/>
  <c r="U187" i="7"/>
  <c r="V187" i="7"/>
  <c r="W187" i="7"/>
  <c r="X187" i="7"/>
  <c r="Y187" i="7"/>
  <c r="Z187" i="7"/>
  <c r="AA187" i="7"/>
  <c r="AC187" i="7"/>
  <c r="AE187" i="7"/>
  <c r="AI187" i="7"/>
  <c r="AO187" i="7"/>
  <c r="AP187" i="7"/>
  <c r="E1987" i="8"/>
  <c r="F1987" i="8"/>
  <c r="G1987" i="8"/>
  <c r="H1987" i="8"/>
  <c r="I1987" i="8"/>
  <c r="J1987" i="8"/>
  <c r="K1987" i="8"/>
  <c r="L1987" i="8"/>
  <c r="M1987" i="8"/>
  <c r="N1987" i="8"/>
  <c r="O1987" i="8"/>
  <c r="P1987" i="8"/>
  <c r="Q1987" i="8"/>
  <c r="R1987" i="8"/>
  <c r="S1987" i="8"/>
  <c r="T1987" i="8"/>
  <c r="E1988" i="8"/>
  <c r="F1988" i="8"/>
  <c r="G1988" i="8"/>
  <c r="H1988" i="8"/>
  <c r="I1988" i="8"/>
  <c r="J1988" i="8"/>
  <c r="K1988" i="8"/>
  <c r="L1988" i="8"/>
  <c r="M1988" i="8"/>
  <c r="N1988" i="8"/>
  <c r="O1988" i="8"/>
  <c r="P1988" i="8"/>
  <c r="Q1988" i="8"/>
  <c r="R1988" i="8"/>
  <c r="S1988" i="8"/>
  <c r="T1988" i="8"/>
  <c r="E1989" i="8"/>
  <c r="F1989" i="8"/>
  <c r="G1989" i="8"/>
  <c r="H1989" i="8"/>
  <c r="I1989" i="8"/>
  <c r="J1989" i="8"/>
  <c r="K1989" i="8"/>
  <c r="L1989" i="8"/>
  <c r="M1989" i="8"/>
  <c r="N1989" i="8"/>
  <c r="O1989" i="8"/>
  <c r="P1989" i="8"/>
  <c r="Q1989" i="8"/>
  <c r="R1989" i="8"/>
  <c r="S1989" i="8"/>
  <c r="T1989" i="8"/>
  <c r="E1990" i="8"/>
  <c r="F1990" i="8"/>
  <c r="G1990" i="8"/>
  <c r="H1990" i="8"/>
  <c r="I1990" i="8"/>
  <c r="J1990" i="8"/>
  <c r="K1990" i="8"/>
  <c r="L1990" i="8"/>
  <c r="M1990" i="8"/>
  <c r="N1990" i="8"/>
  <c r="O1990" i="8"/>
  <c r="P1990" i="8"/>
  <c r="Q1990" i="8"/>
  <c r="R1990" i="8"/>
  <c r="S1990" i="8"/>
  <c r="T1990" i="8"/>
  <c r="E1991" i="8"/>
  <c r="F1991" i="8"/>
  <c r="G1991" i="8"/>
  <c r="H1991" i="8"/>
  <c r="I1991" i="8"/>
  <c r="J1991" i="8"/>
  <c r="K1991" i="8"/>
  <c r="L1991" i="8"/>
  <c r="M1991" i="8"/>
  <c r="N1991" i="8"/>
  <c r="O1991" i="8"/>
  <c r="P1991" i="8"/>
  <c r="Q1991" i="8"/>
  <c r="R1991" i="8"/>
  <c r="S1991" i="8"/>
  <c r="T1991" i="8"/>
  <c r="E1992" i="8"/>
  <c r="F1992" i="8"/>
  <c r="G1992" i="8"/>
  <c r="H1992" i="8"/>
  <c r="I1992" i="8"/>
  <c r="J1992" i="8"/>
  <c r="K1992" i="8"/>
  <c r="L1992" i="8"/>
  <c r="M1992" i="8"/>
  <c r="N1992" i="8"/>
  <c r="O1992" i="8"/>
  <c r="P1992" i="8"/>
  <c r="Q1992" i="8"/>
  <c r="R1992" i="8"/>
  <c r="S1992" i="8"/>
  <c r="T1992" i="8"/>
  <c r="E1993" i="8"/>
  <c r="F1993" i="8"/>
  <c r="G1993" i="8"/>
  <c r="H1993" i="8"/>
  <c r="I1993" i="8"/>
  <c r="J1993" i="8"/>
  <c r="K1993" i="8"/>
  <c r="L1993" i="8"/>
  <c r="M1993" i="8"/>
  <c r="N1993" i="8"/>
  <c r="O1993" i="8"/>
  <c r="P1993" i="8"/>
  <c r="Q1993" i="8"/>
  <c r="R1993" i="8"/>
  <c r="S1993" i="8"/>
  <c r="T1993" i="8"/>
  <c r="E1994" i="8"/>
  <c r="F1994" i="8"/>
  <c r="G1994" i="8"/>
  <c r="H1994" i="8"/>
  <c r="I1994" i="8"/>
  <c r="J1994" i="8"/>
  <c r="K1994" i="8"/>
  <c r="L1994" i="8"/>
  <c r="M1994" i="8"/>
  <c r="N1994" i="8"/>
  <c r="O1994" i="8"/>
  <c r="P1994" i="8"/>
  <c r="Q1994" i="8"/>
  <c r="R1994" i="8"/>
  <c r="S1994" i="8"/>
  <c r="T1994" i="8"/>
  <c r="E1995" i="8"/>
  <c r="F1995" i="8"/>
  <c r="G1995" i="8"/>
  <c r="H1995" i="8"/>
  <c r="I1995" i="8"/>
  <c r="J1995" i="8"/>
  <c r="K1995" i="8"/>
  <c r="L1995" i="8"/>
  <c r="M1995" i="8"/>
  <c r="N1995" i="8"/>
  <c r="O1995" i="8"/>
  <c r="P1995" i="8"/>
  <c r="Q1995" i="8"/>
  <c r="R1995" i="8"/>
  <c r="S1995" i="8"/>
  <c r="T1995" i="8"/>
  <c r="E1996" i="8"/>
  <c r="F1996" i="8"/>
  <c r="G1996" i="8"/>
  <c r="H1996" i="8"/>
  <c r="I1996" i="8"/>
  <c r="J1996" i="8"/>
  <c r="K1996" i="8"/>
  <c r="L1996" i="8"/>
  <c r="M1996" i="8"/>
  <c r="N1996" i="8"/>
  <c r="O1996" i="8"/>
  <c r="P1996" i="8"/>
  <c r="Q1996" i="8"/>
  <c r="R1996" i="8"/>
  <c r="S1996" i="8"/>
  <c r="T1996" i="8"/>
  <c r="E1997" i="8"/>
  <c r="F1997" i="8"/>
  <c r="G1997" i="8"/>
  <c r="H1997" i="8"/>
  <c r="I1997" i="8"/>
  <c r="J1997" i="8"/>
  <c r="K1997" i="8"/>
  <c r="L1997" i="8"/>
  <c r="M1997" i="8"/>
  <c r="N1997" i="8"/>
  <c r="O1997" i="8"/>
  <c r="P1997" i="8"/>
  <c r="Q1997" i="8"/>
  <c r="R1997" i="8"/>
  <c r="S1997" i="8"/>
  <c r="T1997" i="8"/>
  <c r="E186" i="7"/>
  <c r="F186" i="7"/>
  <c r="G186" i="7"/>
  <c r="H186" i="7"/>
  <c r="I186" i="7"/>
  <c r="J186" i="7"/>
  <c r="K186" i="7"/>
  <c r="L186" i="7"/>
  <c r="M186" i="7"/>
  <c r="N186" i="7"/>
  <c r="P186" i="7"/>
  <c r="Q186" i="7"/>
  <c r="R186" i="7"/>
  <c r="S186" i="7"/>
  <c r="U186" i="7"/>
  <c r="V186" i="7"/>
  <c r="W186" i="7"/>
  <c r="X186" i="7"/>
  <c r="Y186" i="7"/>
  <c r="Z186" i="7"/>
  <c r="AA186" i="7"/>
  <c r="AC186" i="7"/>
  <c r="AE186" i="7"/>
  <c r="AI186" i="7"/>
  <c r="AO186" i="7"/>
  <c r="AP186" i="7"/>
  <c r="E1976" i="8"/>
  <c r="F1976" i="8"/>
  <c r="G1976" i="8"/>
  <c r="H1976" i="8"/>
  <c r="I1976" i="8"/>
  <c r="J1976" i="8"/>
  <c r="K1976" i="8"/>
  <c r="L1976" i="8"/>
  <c r="M1976" i="8"/>
  <c r="N1976" i="8"/>
  <c r="O1976" i="8"/>
  <c r="P1976" i="8"/>
  <c r="Q1976" i="8"/>
  <c r="R1976" i="8"/>
  <c r="S1976" i="8"/>
  <c r="T1976" i="8"/>
  <c r="E1977" i="8"/>
  <c r="F1977" i="8"/>
  <c r="G1977" i="8"/>
  <c r="H1977" i="8"/>
  <c r="I1977" i="8"/>
  <c r="J1977" i="8"/>
  <c r="K1977" i="8"/>
  <c r="L1977" i="8"/>
  <c r="M1977" i="8"/>
  <c r="N1977" i="8"/>
  <c r="O1977" i="8"/>
  <c r="P1977" i="8"/>
  <c r="Q1977" i="8"/>
  <c r="R1977" i="8"/>
  <c r="S1977" i="8"/>
  <c r="T1977" i="8"/>
  <c r="E1978" i="8"/>
  <c r="F1978" i="8"/>
  <c r="G1978" i="8"/>
  <c r="H1978" i="8"/>
  <c r="I1978" i="8"/>
  <c r="J1978" i="8"/>
  <c r="K1978" i="8"/>
  <c r="L1978" i="8"/>
  <c r="M1978" i="8"/>
  <c r="N1978" i="8"/>
  <c r="O1978" i="8"/>
  <c r="P1978" i="8"/>
  <c r="Q1978" i="8"/>
  <c r="R1978" i="8"/>
  <c r="S1978" i="8"/>
  <c r="T1978" i="8"/>
  <c r="E1979" i="8"/>
  <c r="F1979" i="8"/>
  <c r="G1979" i="8"/>
  <c r="H1979" i="8"/>
  <c r="I1979" i="8"/>
  <c r="J1979" i="8"/>
  <c r="K1979" i="8"/>
  <c r="L1979" i="8"/>
  <c r="M1979" i="8"/>
  <c r="N1979" i="8"/>
  <c r="O1979" i="8"/>
  <c r="P1979" i="8"/>
  <c r="Q1979" i="8"/>
  <c r="R1979" i="8"/>
  <c r="S1979" i="8"/>
  <c r="T1979" i="8"/>
  <c r="E1980" i="8"/>
  <c r="F1980" i="8"/>
  <c r="G1980" i="8"/>
  <c r="H1980" i="8"/>
  <c r="I1980" i="8"/>
  <c r="J1980" i="8"/>
  <c r="K1980" i="8"/>
  <c r="L1980" i="8"/>
  <c r="M1980" i="8"/>
  <c r="N1980" i="8"/>
  <c r="O1980" i="8"/>
  <c r="P1980" i="8"/>
  <c r="Q1980" i="8"/>
  <c r="R1980" i="8"/>
  <c r="S1980" i="8"/>
  <c r="T1980" i="8"/>
  <c r="E1981" i="8"/>
  <c r="F1981" i="8"/>
  <c r="G1981" i="8"/>
  <c r="H1981" i="8"/>
  <c r="I1981" i="8"/>
  <c r="J1981" i="8"/>
  <c r="K1981" i="8"/>
  <c r="L1981" i="8"/>
  <c r="M1981" i="8"/>
  <c r="N1981" i="8"/>
  <c r="O1981" i="8"/>
  <c r="P1981" i="8"/>
  <c r="Q1981" i="8"/>
  <c r="R1981" i="8"/>
  <c r="S1981" i="8"/>
  <c r="T1981" i="8"/>
  <c r="E1982" i="8"/>
  <c r="F1982" i="8"/>
  <c r="G1982" i="8"/>
  <c r="H1982" i="8"/>
  <c r="I1982" i="8"/>
  <c r="J1982" i="8"/>
  <c r="K1982" i="8"/>
  <c r="L1982" i="8"/>
  <c r="M1982" i="8"/>
  <c r="N1982" i="8"/>
  <c r="O1982" i="8"/>
  <c r="P1982" i="8"/>
  <c r="Q1982" i="8"/>
  <c r="R1982" i="8"/>
  <c r="S1982" i="8"/>
  <c r="T1982" i="8"/>
  <c r="E1983" i="8"/>
  <c r="F1983" i="8"/>
  <c r="G1983" i="8"/>
  <c r="H1983" i="8"/>
  <c r="I1983" i="8"/>
  <c r="J1983" i="8"/>
  <c r="K1983" i="8"/>
  <c r="L1983" i="8"/>
  <c r="M1983" i="8"/>
  <c r="N1983" i="8"/>
  <c r="O1983" i="8"/>
  <c r="P1983" i="8"/>
  <c r="Q1983" i="8"/>
  <c r="R1983" i="8"/>
  <c r="S1983" i="8"/>
  <c r="T1983" i="8"/>
  <c r="E1984" i="8"/>
  <c r="F1984" i="8"/>
  <c r="G1984" i="8"/>
  <c r="H1984" i="8"/>
  <c r="I1984" i="8"/>
  <c r="J1984" i="8"/>
  <c r="K1984" i="8"/>
  <c r="L1984" i="8"/>
  <c r="M1984" i="8"/>
  <c r="N1984" i="8"/>
  <c r="O1984" i="8"/>
  <c r="P1984" i="8"/>
  <c r="Q1984" i="8"/>
  <c r="R1984" i="8"/>
  <c r="S1984" i="8"/>
  <c r="T1984" i="8"/>
  <c r="E1985" i="8"/>
  <c r="F1985" i="8"/>
  <c r="G1985" i="8"/>
  <c r="H1985" i="8"/>
  <c r="I1985" i="8"/>
  <c r="J1985" i="8"/>
  <c r="K1985" i="8"/>
  <c r="L1985" i="8"/>
  <c r="M1985" i="8"/>
  <c r="N1985" i="8"/>
  <c r="O1985" i="8"/>
  <c r="P1985" i="8"/>
  <c r="Q1985" i="8"/>
  <c r="R1985" i="8"/>
  <c r="S1985" i="8"/>
  <c r="T1985" i="8"/>
  <c r="E1986" i="8"/>
  <c r="F1986" i="8"/>
  <c r="G1986" i="8"/>
  <c r="H1986" i="8"/>
  <c r="I1986" i="8"/>
  <c r="J1986" i="8"/>
  <c r="K1986" i="8"/>
  <c r="L1986" i="8"/>
  <c r="M1986" i="8"/>
  <c r="N1986" i="8"/>
  <c r="O1986" i="8"/>
  <c r="P1986" i="8"/>
  <c r="Q1986" i="8"/>
  <c r="R1986" i="8"/>
  <c r="S1986" i="8"/>
  <c r="T1986" i="8"/>
  <c r="E185" i="7"/>
  <c r="F185" i="7"/>
  <c r="G185" i="7"/>
  <c r="H185" i="7"/>
  <c r="I185" i="7"/>
  <c r="J185" i="7"/>
  <c r="K185" i="7"/>
  <c r="L185" i="7"/>
  <c r="M185" i="7"/>
  <c r="N185" i="7"/>
  <c r="P185" i="7"/>
  <c r="Q185" i="7"/>
  <c r="R185" i="7"/>
  <c r="S185" i="7"/>
  <c r="U185" i="7"/>
  <c r="V185" i="7"/>
  <c r="W185" i="7"/>
  <c r="X185" i="7"/>
  <c r="Y185" i="7"/>
  <c r="Z185" i="7"/>
  <c r="AA185" i="7"/>
  <c r="AC185" i="7"/>
  <c r="AE185" i="7"/>
  <c r="AI185" i="7"/>
  <c r="AO185" i="7"/>
  <c r="AP185" i="7"/>
  <c r="E1965" i="8"/>
  <c r="F1965" i="8"/>
  <c r="G1965" i="8"/>
  <c r="H1965" i="8"/>
  <c r="I1965" i="8"/>
  <c r="J1965" i="8"/>
  <c r="K1965" i="8"/>
  <c r="L1965" i="8"/>
  <c r="M1965" i="8"/>
  <c r="N1965" i="8"/>
  <c r="O1965" i="8"/>
  <c r="P1965" i="8"/>
  <c r="Q1965" i="8"/>
  <c r="R1965" i="8"/>
  <c r="S1965" i="8"/>
  <c r="T1965" i="8"/>
  <c r="E1966" i="8"/>
  <c r="F1966" i="8"/>
  <c r="G1966" i="8"/>
  <c r="H1966" i="8"/>
  <c r="I1966" i="8"/>
  <c r="J1966" i="8"/>
  <c r="K1966" i="8"/>
  <c r="L1966" i="8"/>
  <c r="M1966" i="8"/>
  <c r="N1966" i="8"/>
  <c r="O1966" i="8"/>
  <c r="P1966" i="8"/>
  <c r="Q1966" i="8"/>
  <c r="R1966" i="8"/>
  <c r="S1966" i="8"/>
  <c r="T1966" i="8"/>
  <c r="E1967" i="8"/>
  <c r="F1967" i="8"/>
  <c r="G1967" i="8"/>
  <c r="H1967" i="8"/>
  <c r="I1967" i="8"/>
  <c r="J1967" i="8"/>
  <c r="K1967" i="8"/>
  <c r="L1967" i="8"/>
  <c r="M1967" i="8"/>
  <c r="N1967" i="8"/>
  <c r="O1967" i="8"/>
  <c r="P1967" i="8"/>
  <c r="Q1967" i="8"/>
  <c r="R1967" i="8"/>
  <c r="S1967" i="8"/>
  <c r="T1967" i="8"/>
  <c r="E1968" i="8"/>
  <c r="F1968" i="8"/>
  <c r="G1968" i="8"/>
  <c r="H1968" i="8"/>
  <c r="I1968" i="8"/>
  <c r="J1968" i="8"/>
  <c r="K1968" i="8"/>
  <c r="L1968" i="8"/>
  <c r="M1968" i="8"/>
  <c r="N1968" i="8"/>
  <c r="O1968" i="8"/>
  <c r="P1968" i="8"/>
  <c r="Q1968" i="8"/>
  <c r="R1968" i="8"/>
  <c r="S1968" i="8"/>
  <c r="T1968" i="8"/>
  <c r="E1969" i="8"/>
  <c r="F1969" i="8"/>
  <c r="G1969" i="8"/>
  <c r="H1969" i="8"/>
  <c r="I1969" i="8"/>
  <c r="J1969" i="8"/>
  <c r="K1969" i="8"/>
  <c r="L1969" i="8"/>
  <c r="M1969" i="8"/>
  <c r="N1969" i="8"/>
  <c r="O1969" i="8"/>
  <c r="P1969" i="8"/>
  <c r="Q1969" i="8"/>
  <c r="R1969" i="8"/>
  <c r="S1969" i="8"/>
  <c r="T1969" i="8"/>
  <c r="E1970" i="8"/>
  <c r="F1970" i="8"/>
  <c r="G1970" i="8"/>
  <c r="H1970" i="8"/>
  <c r="I1970" i="8"/>
  <c r="J1970" i="8"/>
  <c r="K1970" i="8"/>
  <c r="L1970" i="8"/>
  <c r="M1970" i="8"/>
  <c r="N1970" i="8"/>
  <c r="O1970" i="8"/>
  <c r="P1970" i="8"/>
  <c r="Q1970" i="8"/>
  <c r="R1970" i="8"/>
  <c r="S1970" i="8"/>
  <c r="T1970" i="8"/>
  <c r="E1971" i="8"/>
  <c r="F1971" i="8"/>
  <c r="G1971" i="8"/>
  <c r="H1971" i="8"/>
  <c r="I1971" i="8"/>
  <c r="J1971" i="8"/>
  <c r="K1971" i="8"/>
  <c r="L1971" i="8"/>
  <c r="M1971" i="8"/>
  <c r="N1971" i="8"/>
  <c r="O1971" i="8"/>
  <c r="P1971" i="8"/>
  <c r="Q1971" i="8"/>
  <c r="R1971" i="8"/>
  <c r="S1971" i="8"/>
  <c r="T1971" i="8"/>
  <c r="E1972" i="8"/>
  <c r="F1972" i="8"/>
  <c r="G1972" i="8"/>
  <c r="H1972" i="8"/>
  <c r="I1972" i="8"/>
  <c r="J1972" i="8"/>
  <c r="K1972" i="8"/>
  <c r="L1972" i="8"/>
  <c r="M1972" i="8"/>
  <c r="N1972" i="8"/>
  <c r="O1972" i="8"/>
  <c r="P1972" i="8"/>
  <c r="Q1972" i="8"/>
  <c r="R1972" i="8"/>
  <c r="S1972" i="8"/>
  <c r="T1972" i="8"/>
  <c r="E1973" i="8"/>
  <c r="F1973" i="8"/>
  <c r="G1973" i="8"/>
  <c r="H1973" i="8"/>
  <c r="I1973" i="8"/>
  <c r="J1973" i="8"/>
  <c r="K1973" i="8"/>
  <c r="L1973" i="8"/>
  <c r="M1973" i="8"/>
  <c r="N1973" i="8"/>
  <c r="O1973" i="8"/>
  <c r="P1973" i="8"/>
  <c r="Q1973" i="8"/>
  <c r="R1973" i="8"/>
  <c r="S1973" i="8"/>
  <c r="T1973" i="8"/>
  <c r="E1974" i="8"/>
  <c r="F1974" i="8"/>
  <c r="G1974" i="8"/>
  <c r="H1974" i="8"/>
  <c r="I1974" i="8"/>
  <c r="J1974" i="8"/>
  <c r="K1974" i="8"/>
  <c r="L1974" i="8"/>
  <c r="M1974" i="8"/>
  <c r="N1974" i="8"/>
  <c r="O1974" i="8"/>
  <c r="P1974" i="8"/>
  <c r="Q1974" i="8"/>
  <c r="R1974" i="8"/>
  <c r="S1974" i="8"/>
  <c r="T1974" i="8"/>
  <c r="E1975" i="8"/>
  <c r="F1975" i="8"/>
  <c r="G1975" i="8"/>
  <c r="H1975" i="8"/>
  <c r="I1975" i="8"/>
  <c r="J1975" i="8"/>
  <c r="K1975" i="8"/>
  <c r="L1975" i="8"/>
  <c r="M1975" i="8"/>
  <c r="N1975" i="8"/>
  <c r="O1975" i="8"/>
  <c r="P1975" i="8"/>
  <c r="Q1975" i="8"/>
  <c r="R1975" i="8"/>
  <c r="S1975" i="8"/>
  <c r="T1975" i="8"/>
  <c r="E184" i="7"/>
  <c r="F184" i="7"/>
  <c r="G184" i="7"/>
  <c r="H184" i="7"/>
  <c r="I184" i="7"/>
  <c r="J184" i="7"/>
  <c r="K184" i="7"/>
  <c r="L184" i="7"/>
  <c r="M184" i="7"/>
  <c r="N184" i="7"/>
  <c r="P184" i="7"/>
  <c r="Q184" i="7"/>
  <c r="R184" i="7"/>
  <c r="S184" i="7"/>
  <c r="U184" i="7"/>
  <c r="V184" i="7"/>
  <c r="W184" i="7"/>
  <c r="X184" i="7"/>
  <c r="Y184" i="7"/>
  <c r="Z184" i="7"/>
  <c r="AA184" i="7"/>
  <c r="AC184" i="7"/>
  <c r="AE184" i="7"/>
  <c r="AI184" i="7"/>
  <c r="AO184" i="7"/>
  <c r="AP184" i="7"/>
  <c r="E1954" i="8"/>
  <c r="F1954" i="8"/>
  <c r="G1954" i="8"/>
  <c r="H1954" i="8"/>
  <c r="I1954" i="8"/>
  <c r="J1954" i="8"/>
  <c r="K1954" i="8"/>
  <c r="L1954" i="8"/>
  <c r="M1954" i="8"/>
  <c r="N1954" i="8"/>
  <c r="O1954" i="8"/>
  <c r="P1954" i="8"/>
  <c r="Q1954" i="8"/>
  <c r="R1954" i="8"/>
  <c r="S1954" i="8"/>
  <c r="T1954" i="8"/>
  <c r="E1955" i="8"/>
  <c r="F1955" i="8"/>
  <c r="G1955" i="8"/>
  <c r="H1955" i="8"/>
  <c r="I1955" i="8"/>
  <c r="J1955" i="8"/>
  <c r="K1955" i="8"/>
  <c r="L1955" i="8"/>
  <c r="M1955" i="8"/>
  <c r="N1955" i="8"/>
  <c r="O1955" i="8"/>
  <c r="P1955" i="8"/>
  <c r="Q1955" i="8"/>
  <c r="R1955" i="8"/>
  <c r="S1955" i="8"/>
  <c r="T1955" i="8"/>
  <c r="E1956" i="8"/>
  <c r="F1956" i="8"/>
  <c r="G1956" i="8"/>
  <c r="H1956" i="8"/>
  <c r="I1956" i="8"/>
  <c r="J1956" i="8"/>
  <c r="K1956" i="8"/>
  <c r="L1956" i="8"/>
  <c r="M1956" i="8"/>
  <c r="N1956" i="8"/>
  <c r="O1956" i="8"/>
  <c r="P1956" i="8"/>
  <c r="Q1956" i="8"/>
  <c r="R1956" i="8"/>
  <c r="S1956" i="8"/>
  <c r="T1956" i="8"/>
  <c r="E1957" i="8"/>
  <c r="F1957" i="8"/>
  <c r="G1957" i="8"/>
  <c r="H1957" i="8"/>
  <c r="I1957" i="8"/>
  <c r="J1957" i="8"/>
  <c r="K1957" i="8"/>
  <c r="L1957" i="8"/>
  <c r="M1957" i="8"/>
  <c r="N1957" i="8"/>
  <c r="O1957" i="8"/>
  <c r="P1957" i="8"/>
  <c r="Q1957" i="8"/>
  <c r="R1957" i="8"/>
  <c r="S1957" i="8"/>
  <c r="T1957" i="8"/>
  <c r="E1958" i="8"/>
  <c r="F1958" i="8"/>
  <c r="G1958" i="8"/>
  <c r="H1958" i="8"/>
  <c r="I1958" i="8"/>
  <c r="J1958" i="8"/>
  <c r="K1958" i="8"/>
  <c r="L1958" i="8"/>
  <c r="M1958" i="8"/>
  <c r="N1958" i="8"/>
  <c r="O1958" i="8"/>
  <c r="P1958" i="8"/>
  <c r="Q1958" i="8"/>
  <c r="R1958" i="8"/>
  <c r="S1958" i="8"/>
  <c r="T1958" i="8"/>
  <c r="E1959" i="8"/>
  <c r="F1959" i="8"/>
  <c r="G1959" i="8"/>
  <c r="H1959" i="8"/>
  <c r="I1959" i="8"/>
  <c r="J1959" i="8"/>
  <c r="K1959" i="8"/>
  <c r="L1959" i="8"/>
  <c r="M1959" i="8"/>
  <c r="N1959" i="8"/>
  <c r="O1959" i="8"/>
  <c r="P1959" i="8"/>
  <c r="Q1959" i="8"/>
  <c r="R1959" i="8"/>
  <c r="S1959" i="8"/>
  <c r="T1959" i="8"/>
  <c r="E1960" i="8"/>
  <c r="F1960" i="8"/>
  <c r="G1960" i="8"/>
  <c r="H1960" i="8"/>
  <c r="I1960" i="8"/>
  <c r="J1960" i="8"/>
  <c r="K1960" i="8"/>
  <c r="L1960" i="8"/>
  <c r="M1960" i="8"/>
  <c r="N1960" i="8"/>
  <c r="O1960" i="8"/>
  <c r="P1960" i="8"/>
  <c r="Q1960" i="8"/>
  <c r="R1960" i="8"/>
  <c r="S1960" i="8"/>
  <c r="T1960" i="8"/>
  <c r="E1961" i="8"/>
  <c r="F1961" i="8"/>
  <c r="G1961" i="8"/>
  <c r="H1961" i="8"/>
  <c r="I1961" i="8"/>
  <c r="J1961" i="8"/>
  <c r="K1961" i="8"/>
  <c r="L1961" i="8"/>
  <c r="M1961" i="8"/>
  <c r="N1961" i="8"/>
  <c r="O1961" i="8"/>
  <c r="P1961" i="8"/>
  <c r="Q1961" i="8"/>
  <c r="R1961" i="8"/>
  <c r="S1961" i="8"/>
  <c r="T1961" i="8"/>
  <c r="E1962" i="8"/>
  <c r="F1962" i="8"/>
  <c r="G1962" i="8"/>
  <c r="H1962" i="8"/>
  <c r="I1962" i="8"/>
  <c r="J1962" i="8"/>
  <c r="K1962" i="8"/>
  <c r="L1962" i="8"/>
  <c r="M1962" i="8"/>
  <c r="N1962" i="8"/>
  <c r="O1962" i="8"/>
  <c r="P1962" i="8"/>
  <c r="Q1962" i="8"/>
  <c r="R1962" i="8"/>
  <c r="S1962" i="8"/>
  <c r="T1962" i="8"/>
  <c r="E1963" i="8"/>
  <c r="F1963" i="8"/>
  <c r="G1963" i="8"/>
  <c r="H1963" i="8"/>
  <c r="I1963" i="8"/>
  <c r="J1963" i="8"/>
  <c r="K1963" i="8"/>
  <c r="L1963" i="8"/>
  <c r="M1963" i="8"/>
  <c r="N1963" i="8"/>
  <c r="O1963" i="8"/>
  <c r="P1963" i="8"/>
  <c r="Q1963" i="8"/>
  <c r="R1963" i="8"/>
  <c r="S1963" i="8"/>
  <c r="T1963" i="8"/>
  <c r="E1964" i="8"/>
  <c r="F1964" i="8"/>
  <c r="G1964" i="8"/>
  <c r="H1964" i="8"/>
  <c r="I1964" i="8"/>
  <c r="J1964" i="8"/>
  <c r="K1964" i="8"/>
  <c r="L1964" i="8"/>
  <c r="M1964" i="8"/>
  <c r="N1964" i="8"/>
  <c r="O1964" i="8"/>
  <c r="P1964" i="8"/>
  <c r="Q1964" i="8"/>
  <c r="R1964" i="8"/>
  <c r="S1964" i="8"/>
  <c r="T1964" i="8"/>
  <c r="E183" i="7"/>
  <c r="F183" i="7"/>
  <c r="G183" i="7"/>
  <c r="H183" i="7"/>
  <c r="I183" i="7"/>
  <c r="J183" i="7"/>
  <c r="K183" i="7"/>
  <c r="L183" i="7"/>
  <c r="M183" i="7"/>
  <c r="N183" i="7"/>
  <c r="P183" i="7"/>
  <c r="Q183" i="7"/>
  <c r="R183" i="7"/>
  <c r="S183" i="7"/>
  <c r="U183" i="7"/>
  <c r="V183" i="7"/>
  <c r="W183" i="7"/>
  <c r="X183" i="7"/>
  <c r="Y183" i="7"/>
  <c r="Z183" i="7"/>
  <c r="AA183" i="7"/>
  <c r="AC183" i="7"/>
  <c r="AE183" i="7"/>
  <c r="AI183" i="7"/>
  <c r="AO183" i="7"/>
  <c r="AP183" i="7"/>
  <c r="E1943" i="8"/>
  <c r="F1943" i="8"/>
  <c r="G1943" i="8"/>
  <c r="H1943" i="8"/>
  <c r="I1943" i="8"/>
  <c r="J1943" i="8"/>
  <c r="K1943" i="8"/>
  <c r="L1943" i="8"/>
  <c r="M1943" i="8"/>
  <c r="N1943" i="8"/>
  <c r="O1943" i="8"/>
  <c r="P1943" i="8"/>
  <c r="Q1943" i="8"/>
  <c r="R1943" i="8"/>
  <c r="S1943" i="8"/>
  <c r="T1943" i="8"/>
  <c r="E1944" i="8"/>
  <c r="F1944" i="8"/>
  <c r="G1944" i="8"/>
  <c r="H1944" i="8"/>
  <c r="I1944" i="8"/>
  <c r="J1944" i="8"/>
  <c r="K1944" i="8"/>
  <c r="L1944" i="8"/>
  <c r="M1944" i="8"/>
  <c r="N1944" i="8"/>
  <c r="O1944" i="8"/>
  <c r="P1944" i="8"/>
  <c r="Q1944" i="8"/>
  <c r="R1944" i="8"/>
  <c r="S1944" i="8"/>
  <c r="T1944" i="8"/>
  <c r="E1945" i="8"/>
  <c r="F1945" i="8"/>
  <c r="G1945" i="8"/>
  <c r="H1945" i="8"/>
  <c r="I1945" i="8"/>
  <c r="J1945" i="8"/>
  <c r="K1945" i="8"/>
  <c r="L1945" i="8"/>
  <c r="M1945" i="8"/>
  <c r="N1945" i="8"/>
  <c r="O1945" i="8"/>
  <c r="P1945" i="8"/>
  <c r="Q1945" i="8"/>
  <c r="R1945" i="8"/>
  <c r="S1945" i="8"/>
  <c r="T1945" i="8"/>
  <c r="E1946" i="8"/>
  <c r="F1946" i="8"/>
  <c r="G1946" i="8"/>
  <c r="H1946" i="8"/>
  <c r="I1946" i="8"/>
  <c r="J1946" i="8"/>
  <c r="K1946" i="8"/>
  <c r="L1946" i="8"/>
  <c r="M1946" i="8"/>
  <c r="N1946" i="8"/>
  <c r="O1946" i="8"/>
  <c r="P1946" i="8"/>
  <c r="Q1946" i="8"/>
  <c r="R1946" i="8"/>
  <c r="S1946" i="8"/>
  <c r="T1946" i="8"/>
  <c r="E1947" i="8"/>
  <c r="F1947" i="8"/>
  <c r="G1947" i="8"/>
  <c r="H1947" i="8"/>
  <c r="I1947" i="8"/>
  <c r="J1947" i="8"/>
  <c r="K1947" i="8"/>
  <c r="L1947" i="8"/>
  <c r="M1947" i="8"/>
  <c r="N1947" i="8"/>
  <c r="O1947" i="8"/>
  <c r="P1947" i="8"/>
  <c r="Q1947" i="8"/>
  <c r="R1947" i="8"/>
  <c r="S1947" i="8"/>
  <c r="T1947" i="8"/>
  <c r="E1948" i="8"/>
  <c r="F1948" i="8"/>
  <c r="G1948" i="8"/>
  <c r="H1948" i="8"/>
  <c r="I1948" i="8"/>
  <c r="J1948" i="8"/>
  <c r="K1948" i="8"/>
  <c r="L1948" i="8"/>
  <c r="M1948" i="8"/>
  <c r="N1948" i="8"/>
  <c r="O1948" i="8"/>
  <c r="P1948" i="8"/>
  <c r="Q1948" i="8"/>
  <c r="R1948" i="8"/>
  <c r="S1948" i="8"/>
  <c r="T1948" i="8"/>
  <c r="E1949" i="8"/>
  <c r="F1949" i="8"/>
  <c r="G1949" i="8"/>
  <c r="H1949" i="8"/>
  <c r="I1949" i="8"/>
  <c r="J1949" i="8"/>
  <c r="K1949" i="8"/>
  <c r="L1949" i="8"/>
  <c r="M1949" i="8"/>
  <c r="N1949" i="8"/>
  <c r="O1949" i="8"/>
  <c r="P1949" i="8"/>
  <c r="Q1949" i="8"/>
  <c r="R1949" i="8"/>
  <c r="S1949" i="8"/>
  <c r="T1949" i="8"/>
  <c r="E1950" i="8"/>
  <c r="F1950" i="8"/>
  <c r="G1950" i="8"/>
  <c r="H1950" i="8"/>
  <c r="I1950" i="8"/>
  <c r="J1950" i="8"/>
  <c r="K1950" i="8"/>
  <c r="L1950" i="8"/>
  <c r="M1950" i="8"/>
  <c r="N1950" i="8"/>
  <c r="O1950" i="8"/>
  <c r="P1950" i="8"/>
  <c r="Q1950" i="8"/>
  <c r="R1950" i="8"/>
  <c r="S1950" i="8"/>
  <c r="T1950" i="8"/>
  <c r="E1951" i="8"/>
  <c r="F1951" i="8"/>
  <c r="G1951" i="8"/>
  <c r="H1951" i="8"/>
  <c r="I1951" i="8"/>
  <c r="J1951" i="8"/>
  <c r="K1951" i="8"/>
  <c r="L1951" i="8"/>
  <c r="M1951" i="8"/>
  <c r="N1951" i="8"/>
  <c r="O1951" i="8"/>
  <c r="P1951" i="8"/>
  <c r="Q1951" i="8"/>
  <c r="R1951" i="8"/>
  <c r="S1951" i="8"/>
  <c r="T1951" i="8"/>
  <c r="E1952" i="8"/>
  <c r="F1952" i="8"/>
  <c r="G1952" i="8"/>
  <c r="H1952" i="8"/>
  <c r="I1952" i="8"/>
  <c r="J1952" i="8"/>
  <c r="K1952" i="8"/>
  <c r="L1952" i="8"/>
  <c r="M1952" i="8"/>
  <c r="N1952" i="8"/>
  <c r="O1952" i="8"/>
  <c r="P1952" i="8"/>
  <c r="Q1952" i="8"/>
  <c r="R1952" i="8"/>
  <c r="S1952" i="8"/>
  <c r="T1952" i="8"/>
  <c r="E1953" i="8"/>
  <c r="F1953" i="8"/>
  <c r="G1953" i="8"/>
  <c r="H1953" i="8"/>
  <c r="I1953" i="8"/>
  <c r="J1953" i="8"/>
  <c r="K1953" i="8"/>
  <c r="L1953" i="8"/>
  <c r="M1953" i="8"/>
  <c r="N1953" i="8"/>
  <c r="O1953" i="8"/>
  <c r="P1953" i="8"/>
  <c r="Q1953" i="8"/>
  <c r="R1953" i="8"/>
  <c r="S1953" i="8"/>
  <c r="T1953" i="8"/>
  <c r="E182" i="7"/>
  <c r="F182" i="7"/>
  <c r="G182" i="7"/>
  <c r="H182" i="7"/>
  <c r="I182" i="7"/>
  <c r="J182" i="7"/>
  <c r="K182" i="7"/>
  <c r="L182" i="7"/>
  <c r="M182" i="7"/>
  <c r="N182" i="7"/>
  <c r="P182" i="7"/>
  <c r="Q182" i="7"/>
  <c r="R182" i="7"/>
  <c r="S182" i="7"/>
  <c r="U182" i="7"/>
  <c r="V182" i="7"/>
  <c r="W182" i="7"/>
  <c r="X182" i="7"/>
  <c r="Y182" i="7"/>
  <c r="Z182" i="7"/>
  <c r="AA182" i="7"/>
  <c r="AC182" i="7"/>
  <c r="AE182" i="7"/>
  <c r="AI182" i="7"/>
  <c r="AO182" i="7"/>
  <c r="AP182" i="7"/>
  <c r="E1932" i="8"/>
  <c r="F1932" i="8"/>
  <c r="G1932" i="8"/>
  <c r="H1932" i="8"/>
  <c r="I1932" i="8"/>
  <c r="J1932" i="8"/>
  <c r="K1932" i="8"/>
  <c r="L1932" i="8"/>
  <c r="M1932" i="8"/>
  <c r="N1932" i="8"/>
  <c r="O1932" i="8"/>
  <c r="P1932" i="8"/>
  <c r="Q1932" i="8"/>
  <c r="R1932" i="8"/>
  <c r="S1932" i="8"/>
  <c r="T1932" i="8"/>
  <c r="E1933" i="8"/>
  <c r="F1933" i="8"/>
  <c r="G1933" i="8"/>
  <c r="H1933" i="8"/>
  <c r="I1933" i="8"/>
  <c r="J1933" i="8"/>
  <c r="K1933" i="8"/>
  <c r="L1933" i="8"/>
  <c r="M1933" i="8"/>
  <c r="N1933" i="8"/>
  <c r="O1933" i="8"/>
  <c r="P1933" i="8"/>
  <c r="Q1933" i="8"/>
  <c r="R1933" i="8"/>
  <c r="S1933" i="8"/>
  <c r="T1933" i="8"/>
  <c r="E1934" i="8"/>
  <c r="F1934" i="8"/>
  <c r="G1934" i="8"/>
  <c r="H1934" i="8"/>
  <c r="I1934" i="8"/>
  <c r="J1934" i="8"/>
  <c r="K1934" i="8"/>
  <c r="L1934" i="8"/>
  <c r="M1934" i="8"/>
  <c r="N1934" i="8"/>
  <c r="O1934" i="8"/>
  <c r="P1934" i="8"/>
  <c r="Q1934" i="8"/>
  <c r="R1934" i="8"/>
  <c r="S1934" i="8"/>
  <c r="T1934" i="8"/>
  <c r="E1935" i="8"/>
  <c r="F1935" i="8"/>
  <c r="G1935" i="8"/>
  <c r="H1935" i="8"/>
  <c r="I1935" i="8"/>
  <c r="J1935" i="8"/>
  <c r="K1935" i="8"/>
  <c r="L1935" i="8"/>
  <c r="M1935" i="8"/>
  <c r="N1935" i="8"/>
  <c r="O1935" i="8"/>
  <c r="P1935" i="8"/>
  <c r="Q1935" i="8"/>
  <c r="R1935" i="8"/>
  <c r="S1935" i="8"/>
  <c r="T1935" i="8"/>
  <c r="E1936" i="8"/>
  <c r="F1936" i="8"/>
  <c r="G1936" i="8"/>
  <c r="H1936" i="8"/>
  <c r="I1936" i="8"/>
  <c r="J1936" i="8"/>
  <c r="K1936" i="8"/>
  <c r="L1936" i="8"/>
  <c r="M1936" i="8"/>
  <c r="N1936" i="8"/>
  <c r="O1936" i="8"/>
  <c r="P1936" i="8"/>
  <c r="Q1936" i="8"/>
  <c r="R1936" i="8"/>
  <c r="S1936" i="8"/>
  <c r="T1936" i="8"/>
  <c r="E1937" i="8"/>
  <c r="F1937" i="8"/>
  <c r="G1937" i="8"/>
  <c r="H1937" i="8"/>
  <c r="I1937" i="8"/>
  <c r="J1937" i="8"/>
  <c r="K1937" i="8"/>
  <c r="L1937" i="8"/>
  <c r="M1937" i="8"/>
  <c r="N1937" i="8"/>
  <c r="O1937" i="8"/>
  <c r="P1937" i="8"/>
  <c r="Q1937" i="8"/>
  <c r="R1937" i="8"/>
  <c r="S1937" i="8"/>
  <c r="T1937" i="8"/>
  <c r="E1938" i="8"/>
  <c r="F1938" i="8"/>
  <c r="G1938" i="8"/>
  <c r="H1938" i="8"/>
  <c r="I1938" i="8"/>
  <c r="J1938" i="8"/>
  <c r="K1938" i="8"/>
  <c r="L1938" i="8"/>
  <c r="M1938" i="8"/>
  <c r="N1938" i="8"/>
  <c r="O1938" i="8"/>
  <c r="P1938" i="8"/>
  <c r="Q1938" i="8"/>
  <c r="R1938" i="8"/>
  <c r="S1938" i="8"/>
  <c r="T1938" i="8"/>
  <c r="E1939" i="8"/>
  <c r="F1939" i="8"/>
  <c r="G1939" i="8"/>
  <c r="H1939" i="8"/>
  <c r="I1939" i="8"/>
  <c r="J1939" i="8"/>
  <c r="K1939" i="8"/>
  <c r="L1939" i="8"/>
  <c r="M1939" i="8"/>
  <c r="N1939" i="8"/>
  <c r="O1939" i="8"/>
  <c r="P1939" i="8"/>
  <c r="Q1939" i="8"/>
  <c r="R1939" i="8"/>
  <c r="S1939" i="8"/>
  <c r="T1939" i="8"/>
  <c r="E1940" i="8"/>
  <c r="F1940" i="8"/>
  <c r="G1940" i="8"/>
  <c r="H1940" i="8"/>
  <c r="I1940" i="8"/>
  <c r="J1940" i="8"/>
  <c r="K1940" i="8"/>
  <c r="L1940" i="8"/>
  <c r="M1940" i="8"/>
  <c r="N1940" i="8"/>
  <c r="O1940" i="8"/>
  <c r="P1940" i="8"/>
  <c r="Q1940" i="8"/>
  <c r="R1940" i="8"/>
  <c r="S1940" i="8"/>
  <c r="T1940" i="8"/>
  <c r="E1941" i="8"/>
  <c r="F1941" i="8"/>
  <c r="G1941" i="8"/>
  <c r="H1941" i="8"/>
  <c r="I1941" i="8"/>
  <c r="J1941" i="8"/>
  <c r="K1941" i="8"/>
  <c r="L1941" i="8"/>
  <c r="M1941" i="8"/>
  <c r="N1941" i="8"/>
  <c r="O1941" i="8"/>
  <c r="P1941" i="8"/>
  <c r="Q1941" i="8"/>
  <c r="R1941" i="8"/>
  <c r="S1941" i="8"/>
  <c r="T1941" i="8"/>
  <c r="E1942" i="8"/>
  <c r="F1942" i="8"/>
  <c r="G1942" i="8"/>
  <c r="H1942" i="8"/>
  <c r="I1942" i="8"/>
  <c r="J1942" i="8"/>
  <c r="K1942" i="8"/>
  <c r="L1942" i="8"/>
  <c r="M1942" i="8"/>
  <c r="N1942" i="8"/>
  <c r="O1942" i="8"/>
  <c r="P1942" i="8"/>
  <c r="Q1942" i="8"/>
  <c r="R1942" i="8"/>
  <c r="S1942" i="8"/>
  <c r="T1942" i="8"/>
  <c r="E181" i="7"/>
  <c r="F181" i="7"/>
  <c r="G181" i="7"/>
  <c r="H181" i="7"/>
  <c r="I181" i="7"/>
  <c r="J181" i="7"/>
  <c r="K181" i="7"/>
  <c r="L181" i="7"/>
  <c r="M181" i="7"/>
  <c r="N181" i="7"/>
  <c r="P181" i="7"/>
  <c r="Q181" i="7"/>
  <c r="R181" i="7"/>
  <c r="S181" i="7"/>
  <c r="U181" i="7"/>
  <c r="V181" i="7"/>
  <c r="W181" i="7"/>
  <c r="X181" i="7"/>
  <c r="Y181" i="7"/>
  <c r="Z181" i="7"/>
  <c r="AA181" i="7"/>
  <c r="AC181" i="7"/>
  <c r="AE181" i="7"/>
  <c r="AI181" i="7"/>
  <c r="AO181" i="7"/>
  <c r="AP181" i="7"/>
  <c r="E1921" i="8"/>
  <c r="F1921" i="8"/>
  <c r="G1921" i="8"/>
  <c r="H1921" i="8"/>
  <c r="I1921" i="8"/>
  <c r="J1921" i="8"/>
  <c r="K1921" i="8"/>
  <c r="L1921" i="8"/>
  <c r="M1921" i="8"/>
  <c r="N1921" i="8"/>
  <c r="O1921" i="8"/>
  <c r="P1921" i="8"/>
  <c r="Q1921" i="8"/>
  <c r="R1921" i="8"/>
  <c r="S1921" i="8"/>
  <c r="T1921" i="8"/>
  <c r="E1922" i="8"/>
  <c r="F1922" i="8"/>
  <c r="G1922" i="8"/>
  <c r="H1922" i="8"/>
  <c r="I1922" i="8"/>
  <c r="J1922" i="8"/>
  <c r="K1922" i="8"/>
  <c r="L1922" i="8"/>
  <c r="M1922" i="8"/>
  <c r="N1922" i="8"/>
  <c r="O1922" i="8"/>
  <c r="P1922" i="8"/>
  <c r="Q1922" i="8"/>
  <c r="R1922" i="8"/>
  <c r="S1922" i="8"/>
  <c r="T1922" i="8"/>
  <c r="E1923" i="8"/>
  <c r="F1923" i="8"/>
  <c r="G1923" i="8"/>
  <c r="H1923" i="8"/>
  <c r="I1923" i="8"/>
  <c r="J1923" i="8"/>
  <c r="K1923" i="8"/>
  <c r="L1923" i="8"/>
  <c r="M1923" i="8"/>
  <c r="N1923" i="8"/>
  <c r="O1923" i="8"/>
  <c r="P1923" i="8"/>
  <c r="Q1923" i="8"/>
  <c r="R1923" i="8"/>
  <c r="S1923" i="8"/>
  <c r="T1923" i="8"/>
  <c r="E1924" i="8"/>
  <c r="F1924" i="8"/>
  <c r="G1924" i="8"/>
  <c r="H1924" i="8"/>
  <c r="I1924" i="8"/>
  <c r="J1924" i="8"/>
  <c r="K1924" i="8"/>
  <c r="L1924" i="8"/>
  <c r="M1924" i="8"/>
  <c r="N1924" i="8"/>
  <c r="O1924" i="8"/>
  <c r="P1924" i="8"/>
  <c r="Q1924" i="8"/>
  <c r="R1924" i="8"/>
  <c r="S1924" i="8"/>
  <c r="T1924" i="8"/>
  <c r="E1925" i="8"/>
  <c r="F1925" i="8"/>
  <c r="G1925" i="8"/>
  <c r="H1925" i="8"/>
  <c r="I1925" i="8"/>
  <c r="J1925" i="8"/>
  <c r="K1925" i="8"/>
  <c r="L1925" i="8"/>
  <c r="M1925" i="8"/>
  <c r="N1925" i="8"/>
  <c r="O1925" i="8"/>
  <c r="P1925" i="8"/>
  <c r="Q1925" i="8"/>
  <c r="R1925" i="8"/>
  <c r="S1925" i="8"/>
  <c r="T1925" i="8"/>
  <c r="E1926" i="8"/>
  <c r="F1926" i="8"/>
  <c r="G1926" i="8"/>
  <c r="H1926" i="8"/>
  <c r="I1926" i="8"/>
  <c r="J1926" i="8"/>
  <c r="K1926" i="8"/>
  <c r="L1926" i="8"/>
  <c r="M1926" i="8"/>
  <c r="N1926" i="8"/>
  <c r="O1926" i="8"/>
  <c r="P1926" i="8"/>
  <c r="Q1926" i="8"/>
  <c r="R1926" i="8"/>
  <c r="S1926" i="8"/>
  <c r="T1926" i="8"/>
  <c r="E1927" i="8"/>
  <c r="F1927" i="8"/>
  <c r="G1927" i="8"/>
  <c r="H1927" i="8"/>
  <c r="I1927" i="8"/>
  <c r="J1927" i="8"/>
  <c r="K1927" i="8"/>
  <c r="L1927" i="8"/>
  <c r="M1927" i="8"/>
  <c r="N1927" i="8"/>
  <c r="O1927" i="8"/>
  <c r="P1927" i="8"/>
  <c r="Q1927" i="8"/>
  <c r="R1927" i="8"/>
  <c r="S1927" i="8"/>
  <c r="T1927" i="8"/>
  <c r="E1928" i="8"/>
  <c r="F1928" i="8"/>
  <c r="G1928" i="8"/>
  <c r="H1928" i="8"/>
  <c r="I1928" i="8"/>
  <c r="J1928" i="8"/>
  <c r="K1928" i="8"/>
  <c r="L1928" i="8"/>
  <c r="M1928" i="8"/>
  <c r="N1928" i="8"/>
  <c r="O1928" i="8"/>
  <c r="P1928" i="8"/>
  <c r="Q1928" i="8"/>
  <c r="R1928" i="8"/>
  <c r="S1928" i="8"/>
  <c r="T1928" i="8"/>
  <c r="E1929" i="8"/>
  <c r="F1929" i="8"/>
  <c r="G1929" i="8"/>
  <c r="H1929" i="8"/>
  <c r="I1929" i="8"/>
  <c r="J1929" i="8"/>
  <c r="K1929" i="8"/>
  <c r="L1929" i="8"/>
  <c r="M1929" i="8"/>
  <c r="N1929" i="8"/>
  <c r="O1929" i="8"/>
  <c r="P1929" i="8"/>
  <c r="Q1929" i="8"/>
  <c r="R1929" i="8"/>
  <c r="S1929" i="8"/>
  <c r="T1929" i="8"/>
  <c r="E1930" i="8"/>
  <c r="F1930" i="8"/>
  <c r="G1930" i="8"/>
  <c r="H1930" i="8"/>
  <c r="I1930" i="8"/>
  <c r="J1930" i="8"/>
  <c r="K1930" i="8"/>
  <c r="L1930" i="8"/>
  <c r="M1930" i="8"/>
  <c r="N1930" i="8"/>
  <c r="O1930" i="8"/>
  <c r="P1930" i="8"/>
  <c r="Q1930" i="8"/>
  <c r="R1930" i="8"/>
  <c r="S1930" i="8"/>
  <c r="T1930" i="8"/>
  <c r="E1931" i="8"/>
  <c r="F1931" i="8"/>
  <c r="G1931" i="8"/>
  <c r="H1931" i="8"/>
  <c r="I1931" i="8"/>
  <c r="J1931" i="8"/>
  <c r="K1931" i="8"/>
  <c r="L1931" i="8"/>
  <c r="M1931" i="8"/>
  <c r="N1931" i="8"/>
  <c r="O1931" i="8"/>
  <c r="P1931" i="8"/>
  <c r="Q1931" i="8"/>
  <c r="R1931" i="8"/>
  <c r="S1931" i="8"/>
  <c r="T1931" i="8"/>
  <c r="E180" i="7"/>
  <c r="F180" i="7"/>
  <c r="G180" i="7"/>
  <c r="H180" i="7"/>
  <c r="I180" i="7"/>
  <c r="J180" i="7"/>
  <c r="K180" i="7"/>
  <c r="L180" i="7"/>
  <c r="M180" i="7"/>
  <c r="N180" i="7"/>
  <c r="P180" i="7"/>
  <c r="Q180" i="7"/>
  <c r="R180" i="7"/>
  <c r="S180" i="7"/>
  <c r="U180" i="7"/>
  <c r="V180" i="7"/>
  <c r="W180" i="7"/>
  <c r="X180" i="7"/>
  <c r="Y180" i="7"/>
  <c r="Z180" i="7"/>
  <c r="AA180" i="7"/>
  <c r="AC180" i="7"/>
  <c r="AE180" i="7"/>
  <c r="AI180" i="7"/>
  <c r="AO180" i="7"/>
  <c r="AP180" i="7"/>
  <c r="E1910" i="8"/>
  <c r="F1910" i="8"/>
  <c r="G1910" i="8"/>
  <c r="H1910" i="8"/>
  <c r="I1910" i="8"/>
  <c r="J1910" i="8"/>
  <c r="K1910" i="8"/>
  <c r="L1910" i="8"/>
  <c r="M1910" i="8"/>
  <c r="N1910" i="8"/>
  <c r="O1910" i="8"/>
  <c r="P1910" i="8"/>
  <c r="Q1910" i="8"/>
  <c r="R1910" i="8"/>
  <c r="S1910" i="8"/>
  <c r="T1910" i="8"/>
  <c r="E1911" i="8"/>
  <c r="F1911" i="8"/>
  <c r="G1911" i="8"/>
  <c r="H1911" i="8"/>
  <c r="I1911" i="8"/>
  <c r="J1911" i="8"/>
  <c r="K1911" i="8"/>
  <c r="L1911" i="8"/>
  <c r="M1911" i="8"/>
  <c r="N1911" i="8"/>
  <c r="O1911" i="8"/>
  <c r="P1911" i="8"/>
  <c r="Q1911" i="8"/>
  <c r="R1911" i="8"/>
  <c r="S1911" i="8"/>
  <c r="T1911" i="8"/>
  <c r="E1912" i="8"/>
  <c r="F1912" i="8"/>
  <c r="G1912" i="8"/>
  <c r="H1912" i="8"/>
  <c r="I1912" i="8"/>
  <c r="J1912" i="8"/>
  <c r="K1912" i="8"/>
  <c r="L1912" i="8"/>
  <c r="M1912" i="8"/>
  <c r="N1912" i="8"/>
  <c r="O1912" i="8"/>
  <c r="P1912" i="8"/>
  <c r="Q1912" i="8"/>
  <c r="R1912" i="8"/>
  <c r="S1912" i="8"/>
  <c r="T1912" i="8"/>
  <c r="E1913" i="8"/>
  <c r="F1913" i="8"/>
  <c r="G1913" i="8"/>
  <c r="H1913" i="8"/>
  <c r="I1913" i="8"/>
  <c r="J1913" i="8"/>
  <c r="K1913" i="8"/>
  <c r="L1913" i="8"/>
  <c r="M1913" i="8"/>
  <c r="N1913" i="8"/>
  <c r="O1913" i="8"/>
  <c r="P1913" i="8"/>
  <c r="Q1913" i="8"/>
  <c r="R1913" i="8"/>
  <c r="S1913" i="8"/>
  <c r="T1913" i="8"/>
  <c r="E1914" i="8"/>
  <c r="F1914" i="8"/>
  <c r="G1914" i="8"/>
  <c r="H1914" i="8"/>
  <c r="I1914" i="8"/>
  <c r="J1914" i="8"/>
  <c r="K1914" i="8"/>
  <c r="L1914" i="8"/>
  <c r="M1914" i="8"/>
  <c r="N1914" i="8"/>
  <c r="O1914" i="8"/>
  <c r="P1914" i="8"/>
  <c r="Q1914" i="8"/>
  <c r="R1914" i="8"/>
  <c r="S1914" i="8"/>
  <c r="T1914" i="8"/>
  <c r="E1915" i="8"/>
  <c r="F1915" i="8"/>
  <c r="G1915" i="8"/>
  <c r="H1915" i="8"/>
  <c r="I1915" i="8"/>
  <c r="J1915" i="8"/>
  <c r="K1915" i="8"/>
  <c r="L1915" i="8"/>
  <c r="M1915" i="8"/>
  <c r="N1915" i="8"/>
  <c r="O1915" i="8"/>
  <c r="P1915" i="8"/>
  <c r="Q1915" i="8"/>
  <c r="R1915" i="8"/>
  <c r="S1915" i="8"/>
  <c r="T1915" i="8"/>
  <c r="E1916" i="8"/>
  <c r="F1916" i="8"/>
  <c r="G1916" i="8"/>
  <c r="H1916" i="8"/>
  <c r="I1916" i="8"/>
  <c r="J1916" i="8"/>
  <c r="K1916" i="8"/>
  <c r="L1916" i="8"/>
  <c r="M1916" i="8"/>
  <c r="N1916" i="8"/>
  <c r="O1916" i="8"/>
  <c r="P1916" i="8"/>
  <c r="Q1916" i="8"/>
  <c r="R1916" i="8"/>
  <c r="S1916" i="8"/>
  <c r="T1916" i="8"/>
  <c r="E1917" i="8"/>
  <c r="F1917" i="8"/>
  <c r="G1917" i="8"/>
  <c r="H1917" i="8"/>
  <c r="I1917" i="8"/>
  <c r="J1917" i="8"/>
  <c r="K1917" i="8"/>
  <c r="L1917" i="8"/>
  <c r="M1917" i="8"/>
  <c r="N1917" i="8"/>
  <c r="O1917" i="8"/>
  <c r="P1917" i="8"/>
  <c r="Q1917" i="8"/>
  <c r="R1917" i="8"/>
  <c r="S1917" i="8"/>
  <c r="T1917" i="8"/>
  <c r="E1918" i="8"/>
  <c r="F1918" i="8"/>
  <c r="G1918" i="8"/>
  <c r="H1918" i="8"/>
  <c r="I1918" i="8"/>
  <c r="J1918" i="8"/>
  <c r="K1918" i="8"/>
  <c r="L1918" i="8"/>
  <c r="M1918" i="8"/>
  <c r="N1918" i="8"/>
  <c r="O1918" i="8"/>
  <c r="P1918" i="8"/>
  <c r="Q1918" i="8"/>
  <c r="R1918" i="8"/>
  <c r="S1918" i="8"/>
  <c r="T1918" i="8"/>
  <c r="E1919" i="8"/>
  <c r="F1919" i="8"/>
  <c r="G1919" i="8"/>
  <c r="H1919" i="8"/>
  <c r="I1919" i="8"/>
  <c r="J1919" i="8"/>
  <c r="K1919" i="8"/>
  <c r="L1919" i="8"/>
  <c r="M1919" i="8"/>
  <c r="N1919" i="8"/>
  <c r="O1919" i="8"/>
  <c r="P1919" i="8"/>
  <c r="Q1919" i="8"/>
  <c r="R1919" i="8"/>
  <c r="S1919" i="8"/>
  <c r="T1919" i="8"/>
  <c r="E1920" i="8"/>
  <c r="F1920" i="8"/>
  <c r="G1920" i="8"/>
  <c r="H1920" i="8"/>
  <c r="I1920" i="8"/>
  <c r="J1920" i="8"/>
  <c r="K1920" i="8"/>
  <c r="L1920" i="8"/>
  <c r="M1920" i="8"/>
  <c r="N1920" i="8"/>
  <c r="O1920" i="8"/>
  <c r="P1920" i="8"/>
  <c r="Q1920" i="8"/>
  <c r="R1920" i="8"/>
  <c r="S1920" i="8"/>
  <c r="T1920" i="8"/>
  <c r="E179" i="7"/>
  <c r="F179" i="7"/>
  <c r="G179" i="7"/>
  <c r="H179" i="7"/>
  <c r="I179" i="7"/>
  <c r="J179" i="7"/>
  <c r="K179" i="7"/>
  <c r="L179" i="7"/>
  <c r="M179" i="7"/>
  <c r="N179" i="7"/>
  <c r="P179" i="7"/>
  <c r="Q179" i="7"/>
  <c r="R179" i="7"/>
  <c r="S179" i="7"/>
  <c r="U179" i="7"/>
  <c r="V179" i="7"/>
  <c r="W179" i="7"/>
  <c r="X179" i="7"/>
  <c r="Y179" i="7"/>
  <c r="Z179" i="7"/>
  <c r="AA179" i="7"/>
  <c r="AC179" i="7"/>
  <c r="AE179" i="7"/>
  <c r="AI179" i="7"/>
  <c r="AO179" i="7"/>
  <c r="AP179" i="7"/>
  <c r="E1899" i="8"/>
  <c r="F1899" i="8"/>
  <c r="G1899" i="8"/>
  <c r="H1899" i="8"/>
  <c r="I1899" i="8"/>
  <c r="J1899" i="8"/>
  <c r="K1899" i="8"/>
  <c r="L1899" i="8"/>
  <c r="M1899" i="8"/>
  <c r="N1899" i="8"/>
  <c r="O1899" i="8"/>
  <c r="P1899" i="8"/>
  <c r="Q1899" i="8"/>
  <c r="R1899" i="8"/>
  <c r="S1899" i="8"/>
  <c r="T1899" i="8"/>
  <c r="E1900" i="8"/>
  <c r="F1900" i="8"/>
  <c r="G1900" i="8"/>
  <c r="H1900" i="8"/>
  <c r="I1900" i="8"/>
  <c r="J1900" i="8"/>
  <c r="K1900" i="8"/>
  <c r="L1900" i="8"/>
  <c r="M1900" i="8"/>
  <c r="N1900" i="8"/>
  <c r="O1900" i="8"/>
  <c r="P1900" i="8"/>
  <c r="Q1900" i="8"/>
  <c r="R1900" i="8"/>
  <c r="S1900" i="8"/>
  <c r="T1900" i="8"/>
  <c r="E1901" i="8"/>
  <c r="F1901" i="8"/>
  <c r="G1901" i="8"/>
  <c r="H1901" i="8"/>
  <c r="I1901" i="8"/>
  <c r="J1901" i="8"/>
  <c r="K1901" i="8"/>
  <c r="L1901" i="8"/>
  <c r="M1901" i="8"/>
  <c r="N1901" i="8"/>
  <c r="O1901" i="8"/>
  <c r="P1901" i="8"/>
  <c r="Q1901" i="8"/>
  <c r="R1901" i="8"/>
  <c r="S1901" i="8"/>
  <c r="T1901" i="8"/>
  <c r="E1902" i="8"/>
  <c r="F1902" i="8"/>
  <c r="G1902" i="8"/>
  <c r="H1902" i="8"/>
  <c r="I1902" i="8"/>
  <c r="J1902" i="8"/>
  <c r="K1902" i="8"/>
  <c r="L1902" i="8"/>
  <c r="M1902" i="8"/>
  <c r="N1902" i="8"/>
  <c r="O1902" i="8"/>
  <c r="P1902" i="8"/>
  <c r="Q1902" i="8"/>
  <c r="R1902" i="8"/>
  <c r="S1902" i="8"/>
  <c r="T1902" i="8"/>
  <c r="E1903" i="8"/>
  <c r="F1903" i="8"/>
  <c r="G1903" i="8"/>
  <c r="H1903" i="8"/>
  <c r="I1903" i="8"/>
  <c r="J1903" i="8"/>
  <c r="K1903" i="8"/>
  <c r="L1903" i="8"/>
  <c r="M1903" i="8"/>
  <c r="N1903" i="8"/>
  <c r="O1903" i="8"/>
  <c r="P1903" i="8"/>
  <c r="Q1903" i="8"/>
  <c r="R1903" i="8"/>
  <c r="S1903" i="8"/>
  <c r="T1903" i="8"/>
  <c r="E1904" i="8"/>
  <c r="F1904" i="8"/>
  <c r="G1904" i="8"/>
  <c r="H1904" i="8"/>
  <c r="I1904" i="8"/>
  <c r="J1904" i="8"/>
  <c r="K1904" i="8"/>
  <c r="L1904" i="8"/>
  <c r="M1904" i="8"/>
  <c r="N1904" i="8"/>
  <c r="O1904" i="8"/>
  <c r="P1904" i="8"/>
  <c r="Q1904" i="8"/>
  <c r="R1904" i="8"/>
  <c r="S1904" i="8"/>
  <c r="T1904" i="8"/>
  <c r="E1905" i="8"/>
  <c r="F1905" i="8"/>
  <c r="G1905" i="8"/>
  <c r="H1905" i="8"/>
  <c r="I1905" i="8"/>
  <c r="J1905" i="8"/>
  <c r="K1905" i="8"/>
  <c r="L1905" i="8"/>
  <c r="M1905" i="8"/>
  <c r="N1905" i="8"/>
  <c r="O1905" i="8"/>
  <c r="P1905" i="8"/>
  <c r="Q1905" i="8"/>
  <c r="R1905" i="8"/>
  <c r="S1905" i="8"/>
  <c r="T1905" i="8"/>
  <c r="E1906" i="8"/>
  <c r="F1906" i="8"/>
  <c r="G1906" i="8"/>
  <c r="H1906" i="8"/>
  <c r="I1906" i="8"/>
  <c r="J1906" i="8"/>
  <c r="K1906" i="8"/>
  <c r="L1906" i="8"/>
  <c r="M1906" i="8"/>
  <c r="N1906" i="8"/>
  <c r="O1906" i="8"/>
  <c r="P1906" i="8"/>
  <c r="Q1906" i="8"/>
  <c r="R1906" i="8"/>
  <c r="S1906" i="8"/>
  <c r="T1906" i="8"/>
  <c r="E1907" i="8"/>
  <c r="F1907" i="8"/>
  <c r="G1907" i="8"/>
  <c r="H1907" i="8"/>
  <c r="I1907" i="8"/>
  <c r="J1907" i="8"/>
  <c r="K1907" i="8"/>
  <c r="L1907" i="8"/>
  <c r="M1907" i="8"/>
  <c r="N1907" i="8"/>
  <c r="O1907" i="8"/>
  <c r="P1907" i="8"/>
  <c r="Q1907" i="8"/>
  <c r="R1907" i="8"/>
  <c r="S1907" i="8"/>
  <c r="T1907" i="8"/>
  <c r="E1908" i="8"/>
  <c r="F1908" i="8"/>
  <c r="G1908" i="8"/>
  <c r="H1908" i="8"/>
  <c r="I1908" i="8"/>
  <c r="J1908" i="8"/>
  <c r="K1908" i="8"/>
  <c r="L1908" i="8"/>
  <c r="M1908" i="8"/>
  <c r="N1908" i="8"/>
  <c r="O1908" i="8"/>
  <c r="P1908" i="8"/>
  <c r="Q1908" i="8"/>
  <c r="R1908" i="8"/>
  <c r="S1908" i="8"/>
  <c r="T1908" i="8"/>
  <c r="E1909" i="8"/>
  <c r="F1909" i="8"/>
  <c r="G1909" i="8"/>
  <c r="H1909" i="8"/>
  <c r="I1909" i="8"/>
  <c r="J1909" i="8"/>
  <c r="K1909" i="8"/>
  <c r="L1909" i="8"/>
  <c r="M1909" i="8"/>
  <c r="N1909" i="8"/>
  <c r="O1909" i="8"/>
  <c r="P1909" i="8"/>
  <c r="Q1909" i="8"/>
  <c r="R1909" i="8"/>
  <c r="S1909" i="8"/>
  <c r="T1909" i="8"/>
  <c r="E178" i="7"/>
  <c r="F178" i="7"/>
  <c r="G178" i="7"/>
  <c r="H178" i="7"/>
  <c r="I178" i="7"/>
  <c r="J178" i="7"/>
  <c r="K178" i="7"/>
  <c r="L178" i="7"/>
  <c r="M178" i="7"/>
  <c r="N178" i="7"/>
  <c r="P178" i="7"/>
  <c r="Q178" i="7"/>
  <c r="R178" i="7"/>
  <c r="S178" i="7"/>
  <c r="U178" i="7"/>
  <c r="V178" i="7"/>
  <c r="W178" i="7"/>
  <c r="X178" i="7"/>
  <c r="Y178" i="7"/>
  <c r="Z178" i="7"/>
  <c r="AA178" i="7"/>
  <c r="AC178" i="7"/>
  <c r="AE178" i="7"/>
  <c r="AI178" i="7"/>
  <c r="AO178" i="7"/>
  <c r="AP178" i="7"/>
  <c r="E1888" i="8"/>
  <c r="F1888" i="8"/>
  <c r="G1888" i="8"/>
  <c r="H1888" i="8"/>
  <c r="I1888" i="8"/>
  <c r="J1888" i="8"/>
  <c r="K1888" i="8"/>
  <c r="L1888" i="8"/>
  <c r="M1888" i="8"/>
  <c r="N1888" i="8"/>
  <c r="O1888" i="8"/>
  <c r="P1888" i="8"/>
  <c r="Q1888" i="8"/>
  <c r="R1888" i="8"/>
  <c r="S1888" i="8"/>
  <c r="T1888" i="8"/>
  <c r="E1889" i="8"/>
  <c r="F1889" i="8"/>
  <c r="G1889" i="8"/>
  <c r="H1889" i="8"/>
  <c r="I1889" i="8"/>
  <c r="J1889" i="8"/>
  <c r="K1889" i="8"/>
  <c r="L1889" i="8"/>
  <c r="M1889" i="8"/>
  <c r="N1889" i="8"/>
  <c r="O1889" i="8"/>
  <c r="P1889" i="8"/>
  <c r="Q1889" i="8"/>
  <c r="R1889" i="8"/>
  <c r="S1889" i="8"/>
  <c r="T1889" i="8"/>
  <c r="E1890" i="8"/>
  <c r="F1890" i="8"/>
  <c r="G1890" i="8"/>
  <c r="H1890" i="8"/>
  <c r="I1890" i="8"/>
  <c r="J1890" i="8"/>
  <c r="K1890" i="8"/>
  <c r="L1890" i="8"/>
  <c r="M1890" i="8"/>
  <c r="N1890" i="8"/>
  <c r="O1890" i="8"/>
  <c r="P1890" i="8"/>
  <c r="Q1890" i="8"/>
  <c r="R1890" i="8"/>
  <c r="S1890" i="8"/>
  <c r="T1890" i="8"/>
  <c r="E1891" i="8"/>
  <c r="F1891" i="8"/>
  <c r="G1891" i="8"/>
  <c r="H1891" i="8"/>
  <c r="I1891" i="8"/>
  <c r="J1891" i="8"/>
  <c r="K1891" i="8"/>
  <c r="L1891" i="8"/>
  <c r="M1891" i="8"/>
  <c r="N1891" i="8"/>
  <c r="O1891" i="8"/>
  <c r="P1891" i="8"/>
  <c r="Q1891" i="8"/>
  <c r="R1891" i="8"/>
  <c r="S1891" i="8"/>
  <c r="T1891" i="8"/>
  <c r="E1892" i="8"/>
  <c r="F1892" i="8"/>
  <c r="G1892" i="8"/>
  <c r="H1892" i="8"/>
  <c r="I1892" i="8"/>
  <c r="J1892" i="8"/>
  <c r="K1892" i="8"/>
  <c r="L1892" i="8"/>
  <c r="M1892" i="8"/>
  <c r="N1892" i="8"/>
  <c r="O1892" i="8"/>
  <c r="P1892" i="8"/>
  <c r="Q1892" i="8"/>
  <c r="R1892" i="8"/>
  <c r="S1892" i="8"/>
  <c r="T1892" i="8"/>
  <c r="E1893" i="8"/>
  <c r="F1893" i="8"/>
  <c r="G1893" i="8"/>
  <c r="H1893" i="8"/>
  <c r="I1893" i="8"/>
  <c r="J1893" i="8"/>
  <c r="K1893" i="8"/>
  <c r="L1893" i="8"/>
  <c r="M1893" i="8"/>
  <c r="N1893" i="8"/>
  <c r="O1893" i="8"/>
  <c r="P1893" i="8"/>
  <c r="Q1893" i="8"/>
  <c r="R1893" i="8"/>
  <c r="S1893" i="8"/>
  <c r="T1893" i="8"/>
  <c r="E1894" i="8"/>
  <c r="F1894" i="8"/>
  <c r="G1894" i="8"/>
  <c r="H1894" i="8"/>
  <c r="I1894" i="8"/>
  <c r="J1894" i="8"/>
  <c r="K1894" i="8"/>
  <c r="L1894" i="8"/>
  <c r="M1894" i="8"/>
  <c r="N1894" i="8"/>
  <c r="O1894" i="8"/>
  <c r="P1894" i="8"/>
  <c r="Q1894" i="8"/>
  <c r="R1894" i="8"/>
  <c r="S1894" i="8"/>
  <c r="T1894" i="8"/>
  <c r="E1895" i="8"/>
  <c r="F1895" i="8"/>
  <c r="G1895" i="8"/>
  <c r="H1895" i="8"/>
  <c r="I1895" i="8"/>
  <c r="J1895" i="8"/>
  <c r="K1895" i="8"/>
  <c r="L1895" i="8"/>
  <c r="M1895" i="8"/>
  <c r="N1895" i="8"/>
  <c r="O1895" i="8"/>
  <c r="P1895" i="8"/>
  <c r="Q1895" i="8"/>
  <c r="R1895" i="8"/>
  <c r="S1895" i="8"/>
  <c r="T1895" i="8"/>
  <c r="E1896" i="8"/>
  <c r="F1896" i="8"/>
  <c r="G1896" i="8"/>
  <c r="H1896" i="8"/>
  <c r="I1896" i="8"/>
  <c r="J1896" i="8"/>
  <c r="K1896" i="8"/>
  <c r="L1896" i="8"/>
  <c r="M1896" i="8"/>
  <c r="N1896" i="8"/>
  <c r="O1896" i="8"/>
  <c r="P1896" i="8"/>
  <c r="Q1896" i="8"/>
  <c r="R1896" i="8"/>
  <c r="S1896" i="8"/>
  <c r="T1896" i="8"/>
  <c r="E1897" i="8"/>
  <c r="F1897" i="8"/>
  <c r="G1897" i="8"/>
  <c r="H1897" i="8"/>
  <c r="I1897" i="8"/>
  <c r="J1897" i="8"/>
  <c r="K1897" i="8"/>
  <c r="L1897" i="8"/>
  <c r="M1897" i="8"/>
  <c r="N1897" i="8"/>
  <c r="O1897" i="8"/>
  <c r="P1897" i="8"/>
  <c r="Q1897" i="8"/>
  <c r="R1897" i="8"/>
  <c r="S1897" i="8"/>
  <c r="T1897" i="8"/>
  <c r="E1898" i="8"/>
  <c r="F1898" i="8"/>
  <c r="G1898" i="8"/>
  <c r="H1898" i="8"/>
  <c r="I1898" i="8"/>
  <c r="J1898" i="8"/>
  <c r="K1898" i="8"/>
  <c r="L1898" i="8"/>
  <c r="M1898" i="8"/>
  <c r="N1898" i="8"/>
  <c r="O1898" i="8"/>
  <c r="P1898" i="8"/>
  <c r="Q1898" i="8"/>
  <c r="R1898" i="8"/>
  <c r="S1898" i="8"/>
  <c r="T1898" i="8"/>
  <c r="E177" i="7"/>
  <c r="F177" i="7"/>
  <c r="G177" i="7"/>
  <c r="H177" i="7"/>
  <c r="I177" i="7"/>
  <c r="J177" i="7"/>
  <c r="K177" i="7"/>
  <c r="L177" i="7"/>
  <c r="M177" i="7"/>
  <c r="N177" i="7"/>
  <c r="P177" i="7"/>
  <c r="Q177" i="7"/>
  <c r="R177" i="7"/>
  <c r="S177" i="7"/>
  <c r="U177" i="7"/>
  <c r="V177" i="7"/>
  <c r="W177" i="7"/>
  <c r="X177" i="7"/>
  <c r="Y177" i="7"/>
  <c r="Z177" i="7"/>
  <c r="AA177" i="7"/>
  <c r="AC177" i="7"/>
  <c r="AE177" i="7"/>
  <c r="AI177" i="7"/>
  <c r="AO177" i="7"/>
  <c r="AP177" i="7"/>
  <c r="E1877" i="8"/>
  <c r="F1877" i="8"/>
  <c r="G1877" i="8"/>
  <c r="H1877" i="8"/>
  <c r="I1877" i="8"/>
  <c r="J1877" i="8"/>
  <c r="K1877" i="8"/>
  <c r="L1877" i="8"/>
  <c r="M1877" i="8"/>
  <c r="N1877" i="8"/>
  <c r="O1877" i="8"/>
  <c r="P1877" i="8"/>
  <c r="Q1877" i="8"/>
  <c r="R1877" i="8"/>
  <c r="S1877" i="8"/>
  <c r="T1877" i="8"/>
  <c r="E1878" i="8"/>
  <c r="F1878" i="8"/>
  <c r="G1878" i="8"/>
  <c r="H1878" i="8"/>
  <c r="I1878" i="8"/>
  <c r="J1878" i="8"/>
  <c r="K1878" i="8"/>
  <c r="L1878" i="8"/>
  <c r="M1878" i="8"/>
  <c r="N1878" i="8"/>
  <c r="O1878" i="8"/>
  <c r="P1878" i="8"/>
  <c r="Q1878" i="8"/>
  <c r="R1878" i="8"/>
  <c r="S1878" i="8"/>
  <c r="T1878" i="8"/>
  <c r="E1879" i="8"/>
  <c r="F1879" i="8"/>
  <c r="G1879" i="8"/>
  <c r="H1879" i="8"/>
  <c r="I1879" i="8"/>
  <c r="J1879" i="8"/>
  <c r="K1879" i="8"/>
  <c r="L1879" i="8"/>
  <c r="M1879" i="8"/>
  <c r="N1879" i="8"/>
  <c r="O1879" i="8"/>
  <c r="P1879" i="8"/>
  <c r="Q1879" i="8"/>
  <c r="R1879" i="8"/>
  <c r="S1879" i="8"/>
  <c r="T1879" i="8"/>
  <c r="E1880" i="8"/>
  <c r="F1880" i="8"/>
  <c r="G1880" i="8"/>
  <c r="H1880" i="8"/>
  <c r="I1880" i="8"/>
  <c r="J1880" i="8"/>
  <c r="K1880" i="8"/>
  <c r="L1880" i="8"/>
  <c r="M1880" i="8"/>
  <c r="N1880" i="8"/>
  <c r="O1880" i="8"/>
  <c r="P1880" i="8"/>
  <c r="Q1880" i="8"/>
  <c r="R1880" i="8"/>
  <c r="S1880" i="8"/>
  <c r="T1880" i="8"/>
  <c r="E1881" i="8"/>
  <c r="F1881" i="8"/>
  <c r="G1881" i="8"/>
  <c r="H1881" i="8"/>
  <c r="I1881" i="8"/>
  <c r="J1881" i="8"/>
  <c r="K1881" i="8"/>
  <c r="L1881" i="8"/>
  <c r="M1881" i="8"/>
  <c r="N1881" i="8"/>
  <c r="O1881" i="8"/>
  <c r="P1881" i="8"/>
  <c r="Q1881" i="8"/>
  <c r="R1881" i="8"/>
  <c r="S1881" i="8"/>
  <c r="T1881" i="8"/>
  <c r="E1882" i="8"/>
  <c r="F1882" i="8"/>
  <c r="G1882" i="8"/>
  <c r="H1882" i="8"/>
  <c r="I1882" i="8"/>
  <c r="J1882" i="8"/>
  <c r="K1882" i="8"/>
  <c r="L1882" i="8"/>
  <c r="M1882" i="8"/>
  <c r="N1882" i="8"/>
  <c r="O1882" i="8"/>
  <c r="P1882" i="8"/>
  <c r="Q1882" i="8"/>
  <c r="R1882" i="8"/>
  <c r="S1882" i="8"/>
  <c r="T1882" i="8"/>
  <c r="E1883" i="8"/>
  <c r="F1883" i="8"/>
  <c r="G1883" i="8"/>
  <c r="H1883" i="8"/>
  <c r="I1883" i="8"/>
  <c r="J1883" i="8"/>
  <c r="K1883" i="8"/>
  <c r="L1883" i="8"/>
  <c r="M1883" i="8"/>
  <c r="N1883" i="8"/>
  <c r="O1883" i="8"/>
  <c r="P1883" i="8"/>
  <c r="Q1883" i="8"/>
  <c r="R1883" i="8"/>
  <c r="S1883" i="8"/>
  <c r="T1883" i="8"/>
  <c r="E1884" i="8"/>
  <c r="F1884" i="8"/>
  <c r="G1884" i="8"/>
  <c r="H1884" i="8"/>
  <c r="I1884" i="8"/>
  <c r="J1884" i="8"/>
  <c r="K1884" i="8"/>
  <c r="L1884" i="8"/>
  <c r="M1884" i="8"/>
  <c r="N1884" i="8"/>
  <c r="O1884" i="8"/>
  <c r="P1884" i="8"/>
  <c r="Q1884" i="8"/>
  <c r="R1884" i="8"/>
  <c r="S1884" i="8"/>
  <c r="T1884" i="8"/>
  <c r="E1885" i="8"/>
  <c r="F1885" i="8"/>
  <c r="G1885" i="8"/>
  <c r="H1885" i="8"/>
  <c r="I1885" i="8"/>
  <c r="J1885" i="8"/>
  <c r="K1885" i="8"/>
  <c r="L1885" i="8"/>
  <c r="M1885" i="8"/>
  <c r="N1885" i="8"/>
  <c r="O1885" i="8"/>
  <c r="P1885" i="8"/>
  <c r="Q1885" i="8"/>
  <c r="R1885" i="8"/>
  <c r="S1885" i="8"/>
  <c r="T1885" i="8"/>
  <c r="E1886" i="8"/>
  <c r="F1886" i="8"/>
  <c r="G1886" i="8"/>
  <c r="H1886" i="8"/>
  <c r="I1886" i="8"/>
  <c r="J1886" i="8"/>
  <c r="K1886" i="8"/>
  <c r="L1886" i="8"/>
  <c r="M1886" i="8"/>
  <c r="N1886" i="8"/>
  <c r="O1886" i="8"/>
  <c r="P1886" i="8"/>
  <c r="Q1886" i="8"/>
  <c r="R1886" i="8"/>
  <c r="S1886" i="8"/>
  <c r="T1886" i="8"/>
  <c r="E1887" i="8"/>
  <c r="F1887" i="8"/>
  <c r="G1887" i="8"/>
  <c r="H1887" i="8"/>
  <c r="I1887" i="8"/>
  <c r="J1887" i="8"/>
  <c r="K1887" i="8"/>
  <c r="L1887" i="8"/>
  <c r="M1887" i="8"/>
  <c r="N1887" i="8"/>
  <c r="O1887" i="8"/>
  <c r="P1887" i="8"/>
  <c r="Q1887" i="8"/>
  <c r="R1887" i="8"/>
  <c r="S1887" i="8"/>
  <c r="T1887" i="8"/>
  <c r="E176" i="7"/>
  <c r="F176" i="7"/>
  <c r="G176" i="7"/>
  <c r="H176" i="7"/>
  <c r="I176" i="7"/>
  <c r="J176" i="7"/>
  <c r="K176" i="7"/>
  <c r="L176" i="7"/>
  <c r="M176" i="7"/>
  <c r="N176" i="7"/>
  <c r="P176" i="7"/>
  <c r="Q176" i="7"/>
  <c r="R176" i="7"/>
  <c r="S176" i="7"/>
  <c r="U176" i="7"/>
  <c r="V176" i="7"/>
  <c r="W176" i="7"/>
  <c r="X176" i="7"/>
  <c r="Y176" i="7"/>
  <c r="Z176" i="7"/>
  <c r="AA176" i="7"/>
  <c r="AC176" i="7"/>
  <c r="AE176" i="7"/>
  <c r="AI176" i="7"/>
  <c r="AO176" i="7"/>
  <c r="AP176" i="7"/>
  <c r="E1866" i="8"/>
  <c r="F1866" i="8"/>
  <c r="G1866" i="8"/>
  <c r="H1866" i="8"/>
  <c r="I1866" i="8"/>
  <c r="J1866" i="8"/>
  <c r="K1866" i="8"/>
  <c r="L1866" i="8"/>
  <c r="M1866" i="8"/>
  <c r="N1866" i="8"/>
  <c r="O1866" i="8"/>
  <c r="P1866" i="8"/>
  <c r="Q1866" i="8"/>
  <c r="R1866" i="8"/>
  <c r="S1866" i="8"/>
  <c r="T1866" i="8"/>
  <c r="E1867" i="8"/>
  <c r="F1867" i="8"/>
  <c r="G1867" i="8"/>
  <c r="H1867" i="8"/>
  <c r="I1867" i="8"/>
  <c r="J1867" i="8"/>
  <c r="K1867" i="8"/>
  <c r="L1867" i="8"/>
  <c r="M1867" i="8"/>
  <c r="N1867" i="8"/>
  <c r="O1867" i="8"/>
  <c r="P1867" i="8"/>
  <c r="Q1867" i="8"/>
  <c r="R1867" i="8"/>
  <c r="S1867" i="8"/>
  <c r="T1867" i="8"/>
  <c r="E1868" i="8"/>
  <c r="F1868" i="8"/>
  <c r="G1868" i="8"/>
  <c r="H1868" i="8"/>
  <c r="I1868" i="8"/>
  <c r="J1868" i="8"/>
  <c r="K1868" i="8"/>
  <c r="L1868" i="8"/>
  <c r="M1868" i="8"/>
  <c r="N1868" i="8"/>
  <c r="O1868" i="8"/>
  <c r="P1868" i="8"/>
  <c r="Q1868" i="8"/>
  <c r="R1868" i="8"/>
  <c r="S1868" i="8"/>
  <c r="T1868" i="8"/>
  <c r="E1869" i="8"/>
  <c r="F1869" i="8"/>
  <c r="G1869" i="8"/>
  <c r="H1869" i="8"/>
  <c r="I1869" i="8"/>
  <c r="J1869" i="8"/>
  <c r="K1869" i="8"/>
  <c r="L1869" i="8"/>
  <c r="M1869" i="8"/>
  <c r="N1869" i="8"/>
  <c r="O1869" i="8"/>
  <c r="P1869" i="8"/>
  <c r="Q1869" i="8"/>
  <c r="R1869" i="8"/>
  <c r="S1869" i="8"/>
  <c r="T1869" i="8"/>
  <c r="E1870" i="8"/>
  <c r="F1870" i="8"/>
  <c r="G1870" i="8"/>
  <c r="H1870" i="8"/>
  <c r="I1870" i="8"/>
  <c r="J1870" i="8"/>
  <c r="K1870" i="8"/>
  <c r="L1870" i="8"/>
  <c r="M1870" i="8"/>
  <c r="N1870" i="8"/>
  <c r="O1870" i="8"/>
  <c r="P1870" i="8"/>
  <c r="Q1870" i="8"/>
  <c r="R1870" i="8"/>
  <c r="S1870" i="8"/>
  <c r="T1870" i="8"/>
  <c r="E1871" i="8"/>
  <c r="F1871" i="8"/>
  <c r="G1871" i="8"/>
  <c r="H1871" i="8"/>
  <c r="I1871" i="8"/>
  <c r="J1871" i="8"/>
  <c r="K1871" i="8"/>
  <c r="L1871" i="8"/>
  <c r="M1871" i="8"/>
  <c r="N1871" i="8"/>
  <c r="O1871" i="8"/>
  <c r="P1871" i="8"/>
  <c r="Q1871" i="8"/>
  <c r="R1871" i="8"/>
  <c r="S1871" i="8"/>
  <c r="T1871" i="8"/>
  <c r="E1872" i="8"/>
  <c r="F1872" i="8"/>
  <c r="G1872" i="8"/>
  <c r="H1872" i="8"/>
  <c r="I1872" i="8"/>
  <c r="J1872" i="8"/>
  <c r="K1872" i="8"/>
  <c r="L1872" i="8"/>
  <c r="M1872" i="8"/>
  <c r="N1872" i="8"/>
  <c r="O1872" i="8"/>
  <c r="P1872" i="8"/>
  <c r="Q1872" i="8"/>
  <c r="R1872" i="8"/>
  <c r="S1872" i="8"/>
  <c r="T1872" i="8"/>
  <c r="E1873" i="8"/>
  <c r="F1873" i="8"/>
  <c r="G1873" i="8"/>
  <c r="H1873" i="8"/>
  <c r="I1873" i="8"/>
  <c r="J1873" i="8"/>
  <c r="K1873" i="8"/>
  <c r="L1873" i="8"/>
  <c r="M1873" i="8"/>
  <c r="N1873" i="8"/>
  <c r="O1873" i="8"/>
  <c r="P1873" i="8"/>
  <c r="Q1873" i="8"/>
  <c r="R1873" i="8"/>
  <c r="S1873" i="8"/>
  <c r="T1873" i="8"/>
  <c r="E1874" i="8"/>
  <c r="F1874" i="8"/>
  <c r="G1874" i="8"/>
  <c r="H1874" i="8"/>
  <c r="I1874" i="8"/>
  <c r="J1874" i="8"/>
  <c r="K1874" i="8"/>
  <c r="L1874" i="8"/>
  <c r="M1874" i="8"/>
  <c r="N1874" i="8"/>
  <c r="O1874" i="8"/>
  <c r="P1874" i="8"/>
  <c r="Q1874" i="8"/>
  <c r="R1874" i="8"/>
  <c r="S1874" i="8"/>
  <c r="T1874" i="8"/>
  <c r="E1875" i="8"/>
  <c r="F1875" i="8"/>
  <c r="G1875" i="8"/>
  <c r="H1875" i="8"/>
  <c r="I1875" i="8"/>
  <c r="J1875" i="8"/>
  <c r="K1875" i="8"/>
  <c r="L1875" i="8"/>
  <c r="M1875" i="8"/>
  <c r="N1875" i="8"/>
  <c r="O1875" i="8"/>
  <c r="P1875" i="8"/>
  <c r="Q1875" i="8"/>
  <c r="R1875" i="8"/>
  <c r="S1875" i="8"/>
  <c r="T1875" i="8"/>
  <c r="E1876" i="8"/>
  <c r="F1876" i="8"/>
  <c r="G1876" i="8"/>
  <c r="H1876" i="8"/>
  <c r="I1876" i="8"/>
  <c r="J1876" i="8"/>
  <c r="K1876" i="8"/>
  <c r="L1876" i="8"/>
  <c r="M1876" i="8"/>
  <c r="N1876" i="8"/>
  <c r="O1876" i="8"/>
  <c r="P1876" i="8"/>
  <c r="Q1876" i="8"/>
  <c r="R1876" i="8"/>
  <c r="S1876" i="8"/>
  <c r="T1876" i="8"/>
  <c r="E175" i="7"/>
  <c r="F175" i="7"/>
  <c r="G175" i="7"/>
  <c r="H175" i="7"/>
  <c r="I175" i="7"/>
  <c r="J175" i="7"/>
  <c r="K175" i="7"/>
  <c r="L175" i="7"/>
  <c r="M175" i="7"/>
  <c r="N175" i="7"/>
  <c r="P175" i="7"/>
  <c r="Q175" i="7"/>
  <c r="R175" i="7"/>
  <c r="S175" i="7"/>
  <c r="U175" i="7"/>
  <c r="V175" i="7"/>
  <c r="W175" i="7"/>
  <c r="X175" i="7"/>
  <c r="Y175" i="7"/>
  <c r="Z175" i="7"/>
  <c r="AA175" i="7"/>
  <c r="AC175" i="7"/>
  <c r="AE175" i="7"/>
  <c r="AI175" i="7"/>
  <c r="AO175" i="7"/>
  <c r="AP175" i="7"/>
  <c r="E1855" i="8"/>
  <c r="F1855" i="8"/>
  <c r="G1855" i="8"/>
  <c r="H1855" i="8"/>
  <c r="I1855" i="8"/>
  <c r="J1855" i="8"/>
  <c r="K1855" i="8"/>
  <c r="L1855" i="8"/>
  <c r="M1855" i="8"/>
  <c r="N1855" i="8"/>
  <c r="O1855" i="8"/>
  <c r="P1855" i="8"/>
  <c r="Q1855" i="8"/>
  <c r="R1855" i="8"/>
  <c r="S1855" i="8"/>
  <c r="T1855" i="8"/>
  <c r="E1856" i="8"/>
  <c r="F1856" i="8"/>
  <c r="G1856" i="8"/>
  <c r="H1856" i="8"/>
  <c r="I1856" i="8"/>
  <c r="J1856" i="8"/>
  <c r="K1856" i="8"/>
  <c r="L1856" i="8"/>
  <c r="M1856" i="8"/>
  <c r="N1856" i="8"/>
  <c r="O1856" i="8"/>
  <c r="P1856" i="8"/>
  <c r="Q1856" i="8"/>
  <c r="R1856" i="8"/>
  <c r="S1856" i="8"/>
  <c r="T1856" i="8"/>
  <c r="E1857" i="8"/>
  <c r="F1857" i="8"/>
  <c r="G1857" i="8"/>
  <c r="H1857" i="8"/>
  <c r="I1857" i="8"/>
  <c r="J1857" i="8"/>
  <c r="K1857" i="8"/>
  <c r="L1857" i="8"/>
  <c r="M1857" i="8"/>
  <c r="N1857" i="8"/>
  <c r="O1857" i="8"/>
  <c r="P1857" i="8"/>
  <c r="Q1857" i="8"/>
  <c r="R1857" i="8"/>
  <c r="S1857" i="8"/>
  <c r="T1857" i="8"/>
  <c r="E1858" i="8"/>
  <c r="F1858" i="8"/>
  <c r="G1858" i="8"/>
  <c r="H1858" i="8"/>
  <c r="I1858" i="8"/>
  <c r="J1858" i="8"/>
  <c r="K1858" i="8"/>
  <c r="L1858" i="8"/>
  <c r="M1858" i="8"/>
  <c r="N1858" i="8"/>
  <c r="O1858" i="8"/>
  <c r="P1858" i="8"/>
  <c r="Q1858" i="8"/>
  <c r="R1858" i="8"/>
  <c r="S1858" i="8"/>
  <c r="T1858" i="8"/>
  <c r="E1859" i="8"/>
  <c r="F1859" i="8"/>
  <c r="G1859" i="8"/>
  <c r="H1859" i="8"/>
  <c r="I1859" i="8"/>
  <c r="J1859" i="8"/>
  <c r="K1859" i="8"/>
  <c r="L1859" i="8"/>
  <c r="M1859" i="8"/>
  <c r="N1859" i="8"/>
  <c r="O1859" i="8"/>
  <c r="P1859" i="8"/>
  <c r="Q1859" i="8"/>
  <c r="R1859" i="8"/>
  <c r="S1859" i="8"/>
  <c r="T1859" i="8"/>
  <c r="E1860" i="8"/>
  <c r="F1860" i="8"/>
  <c r="G1860" i="8"/>
  <c r="H1860" i="8"/>
  <c r="I1860" i="8"/>
  <c r="J1860" i="8"/>
  <c r="K1860" i="8"/>
  <c r="L1860" i="8"/>
  <c r="M1860" i="8"/>
  <c r="N1860" i="8"/>
  <c r="O1860" i="8"/>
  <c r="P1860" i="8"/>
  <c r="Q1860" i="8"/>
  <c r="R1860" i="8"/>
  <c r="S1860" i="8"/>
  <c r="T1860" i="8"/>
  <c r="E1861" i="8"/>
  <c r="F1861" i="8"/>
  <c r="G1861" i="8"/>
  <c r="H1861" i="8"/>
  <c r="I1861" i="8"/>
  <c r="J1861" i="8"/>
  <c r="K1861" i="8"/>
  <c r="L1861" i="8"/>
  <c r="M1861" i="8"/>
  <c r="N1861" i="8"/>
  <c r="O1861" i="8"/>
  <c r="P1861" i="8"/>
  <c r="Q1861" i="8"/>
  <c r="R1861" i="8"/>
  <c r="S1861" i="8"/>
  <c r="T1861" i="8"/>
  <c r="E1862" i="8"/>
  <c r="F1862" i="8"/>
  <c r="G1862" i="8"/>
  <c r="H1862" i="8"/>
  <c r="I1862" i="8"/>
  <c r="J1862" i="8"/>
  <c r="K1862" i="8"/>
  <c r="L1862" i="8"/>
  <c r="M1862" i="8"/>
  <c r="N1862" i="8"/>
  <c r="O1862" i="8"/>
  <c r="P1862" i="8"/>
  <c r="Q1862" i="8"/>
  <c r="R1862" i="8"/>
  <c r="S1862" i="8"/>
  <c r="T1862" i="8"/>
  <c r="E1863" i="8"/>
  <c r="F1863" i="8"/>
  <c r="G1863" i="8"/>
  <c r="H1863" i="8"/>
  <c r="I1863" i="8"/>
  <c r="J1863" i="8"/>
  <c r="K1863" i="8"/>
  <c r="L1863" i="8"/>
  <c r="M1863" i="8"/>
  <c r="N1863" i="8"/>
  <c r="O1863" i="8"/>
  <c r="P1863" i="8"/>
  <c r="Q1863" i="8"/>
  <c r="R1863" i="8"/>
  <c r="S1863" i="8"/>
  <c r="T1863" i="8"/>
  <c r="E1864" i="8"/>
  <c r="F1864" i="8"/>
  <c r="G1864" i="8"/>
  <c r="H1864" i="8"/>
  <c r="I1864" i="8"/>
  <c r="J1864" i="8"/>
  <c r="K1864" i="8"/>
  <c r="L1864" i="8"/>
  <c r="M1864" i="8"/>
  <c r="N1864" i="8"/>
  <c r="O1864" i="8"/>
  <c r="P1864" i="8"/>
  <c r="Q1864" i="8"/>
  <c r="R1864" i="8"/>
  <c r="S1864" i="8"/>
  <c r="T1864" i="8"/>
  <c r="E1865" i="8"/>
  <c r="F1865" i="8"/>
  <c r="G1865" i="8"/>
  <c r="H1865" i="8"/>
  <c r="I1865" i="8"/>
  <c r="J1865" i="8"/>
  <c r="K1865" i="8"/>
  <c r="L1865" i="8"/>
  <c r="M1865" i="8"/>
  <c r="N1865" i="8"/>
  <c r="O1865" i="8"/>
  <c r="P1865" i="8"/>
  <c r="Q1865" i="8"/>
  <c r="R1865" i="8"/>
  <c r="S1865" i="8"/>
  <c r="T1865" i="8"/>
  <c r="O174" i="7"/>
  <c r="AK174" i="7"/>
  <c r="O173" i="7"/>
  <c r="AK173" i="7"/>
  <c r="O172" i="7"/>
  <c r="AK172" i="7"/>
  <c r="O171" i="7"/>
  <c r="AK171" i="7"/>
  <c r="O170" i="7"/>
  <c r="AK170" i="7"/>
  <c r="O169" i="7"/>
  <c r="AK169" i="7"/>
  <c r="O168" i="7"/>
  <c r="AK168" i="7"/>
  <c r="O167" i="7"/>
  <c r="AK167" i="7"/>
  <c r="O166" i="7"/>
  <c r="AK166" i="7"/>
  <c r="O165" i="7"/>
  <c r="AK165" i="7"/>
  <c r="E164" i="7"/>
  <c r="F164" i="7"/>
  <c r="G164" i="7"/>
  <c r="H164" i="7"/>
  <c r="I164" i="7"/>
  <c r="J164" i="7"/>
  <c r="K164" i="7"/>
  <c r="L164" i="7"/>
  <c r="M164" i="7"/>
  <c r="N164" i="7"/>
  <c r="P164" i="7"/>
  <c r="Q164" i="7"/>
  <c r="R164" i="7"/>
  <c r="S164" i="7"/>
  <c r="U164" i="7"/>
  <c r="V164" i="7"/>
  <c r="W164" i="7"/>
  <c r="X164" i="7"/>
  <c r="Y164" i="7"/>
  <c r="Z164" i="7"/>
  <c r="AA164" i="7"/>
  <c r="AC164" i="7"/>
  <c r="AE164" i="7"/>
  <c r="AI164" i="7"/>
  <c r="AO164" i="7"/>
  <c r="AP164" i="7"/>
  <c r="E1734" i="8"/>
  <c r="F1734" i="8"/>
  <c r="G1734" i="8"/>
  <c r="H1734" i="8"/>
  <c r="I1734" i="8"/>
  <c r="J1734" i="8"/>
  <c r="K1734" i="8"/>
  <c r="L1734" i="8"/>
  <c r="M1734" i="8"/>
  <c r="N1734" i="8"/>
  <c r="O1734" i="8"/>
  <c r="P1734" i="8"/>
  <c r="Q1734" i="8"/>
  <c r="R1734" i="8"/>
  <c r="S1734" i="8"/>
  <c r="T1734" i="8"/>
  <c r="E1735" i="8"/>
  <c r="F1735" i="8"/>
  <c r="G1735" i="8"/>
  <c r="H1735" i="8"/>
  <c r="I1735" i="8"/>
  <c r="J1735" i="8"/>
  <c r="M1735" i="8"/>
  <c r="Q1735" i="8"/>
  <c r="T1735" i="8"/>
  <c r="E1736" i="8"/>
  <c r="H1736" i="8"/>
  <c r="L1736" i="8"/>
  <c r="O1736" i="8"/>
  <c r="S1736" i="8"/>
  <c r="F1737" i="8"/>
  <c r="I1737" i="8"/>
  <c r="P1737" i="8"/>
  <c r="S1737" i="8"/>
  <c r="G1738" i="8"/>
  <c r="J1738" i="8"/>
  <c r="M1738" i="8"/>
  <c r="Q1738" i="8"/>
  <c r="F1739" i="8"/>
  <c r="H1739" i="8"/>
  <c r="K1739" i="8"/>
  <c r="M1739" i="8"/>
  <c r="Q1739" i="8"/>
  <c r="S1739" i="8"/>
  <c r="G1740" i="8"/>
  <c r="J1740" i="8"/>
  <c r="M1740" i="8"/>
  <c r="P1740" i="8"/>
  <c r="R1740" i="8"/>
  <c r="S1740" i="8"/>
  <c r="G1741" i="8"/>
  <c r="K1741" i="8"/>
  <c r="N1741" i="8"/>
  <c r="F1742" i="8"/>
  <c r="I1742" i="8"/>
  <c r="L1742" i="8"/>
  <c r="P1742" i="8"/>
  <c r="R1742" i="8"/>
  <c r="T1742" i="8"/>
  <c r="E1743" i="8"/>
  <c r="H1743" i="8"/>
  <c r="M1743" i="8"/>
  <c r="P1743" i="8"/>
  <c r="R1743" i="8"/>
  <c r="T1743" i="8"/>
  <c r="E1744" i="8"/>
  <c r="H1744" i="8"/>
  <c r="K1744" i="8"/>
  <c r="N1744" i="8"/>
  <c r="R1744" i="8"/>
  <c r="S1744" i="8"/>
  <c r="N1735" i="8"/>
  <c r="S1735" i="8"/>
  <c r="F1736" i="8"/>
  <c r="J1736" i="8"/>
  <c r="M1736" i="8"/>
  <c r="Q1736" i="8"/>
  <c r="R1736" i="8"/>
  <c r="T1736" i="8"/>
  <c r="E1737" i="8"/>
  <c r="H1737" i="8"/>
  <c r="L1737" i="8"/>
  <c r="O1737" i="8"/>
  <c r="E1738" i="8"/>
  <c r="H1738" i="8"/>
  <c r="K1738" i="8"/>
  <c r="N1738" i="8"/>
  <c r="O1738" i="8"/>
  <c r="R1738" i="8"/>
  <c r="T1738" i="8"/>
  <c r="E1739" i="8"/>
  <c r="I1739" i="8"/>
  <c r="L1739" i="8"/>
  <c r="O1739" i="8"/>
  <c r="F1740" i="8"/>
  <c r="H1740" i="8"/>
  <c r="K1740" i="8"/>
  <c r="N1740" i="8"/>
  <c r="Q1740" i="8"/>
  <c r="T1740" i="8"/>
  <c r="E1741" i="8"/>
  <c r="I1741" i="8"/>
  <c r="L1741" i="8"/>
  <c r="O1741" i="8"/>
  <c r="Q1741" i="8"/>
  <c r="S1741" i="8"/>
  <c r="G1742" i="8"/>
  <c r="K1742" i="8"/>
  <c r="O1742" i="8"/>
  <c r="Q1742" i="8"/>
  <c r="F1743" i="8"/>
  <c r="I1743" i="8"/>
  <c r="K1743" i="8"/>
  <c r="N1743" i="8"/>
  <c r="Q1743" i="8"/>
  <c r="G1744" i="8"/>
  <c r="J1744" i="8"/>
  <c r="M1744" i="8"/>
  <c r="P1744" i="8"/>
  <c r="L1735" i="8"/>
  <c r="P1735" i="8"/>
  <c r="G1736" i="8"/>
  <c r="K1736" i="8"/>
  <c r="P1736" i="8"/>
  <c r="G1737" i="8"/>
  <c r="K1737" i="8"/>
  <c r="N1737" i="8"/>
  <c r="Q1737" i="8"/>
  <c r="T1737" i="8"/>
  <c r="F1738" i="8"/>
  <c r="I1738" i="8"/>
  <c r="L1738" i="8"/>
  <c r="P1738" i="8"/>
  <c r="S1738" i="8"/>
  <c r="G1739" i="8"/>
  <c r="J1739" i="8"/>
  <c r="N1739" i="8"/>
  <c r="P1739" i="8"/>
  <c r="R1739" i="8"/>
  <c r="T1739" i="8"/>
  <c r="E1740" i="8"/>
  <c r="I1740" i="8"/>
  <c r="L1740" i="8"/>
  <c r="O1740" i="8"/>
  <c r="F1741" i="8"/>
  <c r="H1741" i="8"/>
  <c r="J1741" i="8"/>
  <c r="M1741" i="8"/>
  <c r="P1741" i="8"/>
  <c r="R1741" i="8"/>
  <c r="T1741" i="8"/>
  <c r="E1742" i="8"/>
  <c r="H1742" i="8"/>
  <c r="J1742" i="8"/>
  <c r="M1742" i="8"/>
  <c r="N1742" i="8"/>
  <c r="S1742" i="8"/>
  <c r="G1743" i="8"/>
  <c r="J1743" i="8"/>
  <c r="L1743" i="8"/>
  <c r="O1743" i="8"/>
  <c r="S1743" i="8"/>
  <c r="F1744" i="8"/>
  <c r="I1744" i="8"/>
  <c r="L1744" i="8"/>
  <c r="O1744" i="8"/>
  <c r="Q1744" i="8"/>
  <c r="T1744" i="8"/>
  <c r="K1735" i="8"/>
  <c r="O1735" i="8"/>
  <c r="R1735" i="8"/>
  <c r="I1736" i="8"/>
  <c r="N1736" i="8"/>
  <c r="J1737" i="8"/>
  <c r="M1737" i="8"/>
  <c r="R1737" i="8"/>
  <c r="E163" i="7"/>
  <c r="F163" i="7"/>
  <c r="G163" i="7"/>
  <c r="H163" i="7"/>
  <c r="I163" i="7"/>
  <c r="J163" i="7"/>
  <c r="K163" i="7"/>
  <c r="L163" i="7"/>
  <c r="M163" i="7"/>
  <c r="N163" i="7"/>
  <c r="P163" i="7"/>
  <c r="Q163" i="7"/>
  <c r="R163" i="7"/>
  <c r="S163" i="7"/>
  <c r="U163" i="7"/>
  <c r="V163" i="7"/>
  <c r="W163" i="7"/>
  <c r="X163" i="7"/>
  <c r="Y163" i="7"/>
  <c r="Z163" i="7"/>
  <c r="AA163" i="7"/>
  <c r="AC163" i="7"/>
  <c r="AE163" i="7"/>
  <c r="AI163" i="7"/>
  <c r="AO163" i="7"/>
  <c r="AP163" i="7"/>
  <c r="E1723" i="8"/>
  <c r="F1723" i="8"/>
  <c r="G1723" i="8"/>
  <c r="H1723" i="8"/>
  <c r="I1723" i="8"/>
  <c r="J1723" i="8"/>
  <c r="K1723" i="8"/>
  <c r="L1723" i="8"/>
  <c r="M1723" i="8"/>
  <c r="N1723" i="8"/>
  <c r="O1723" i="8"/>
  <c r="P1723" i="8"/>
  <c r="Q1723" i="8"/>
  <c r="R1723" i="8"/>
  <c r="S1723" i="8"/>
  <c r="T1723" i="8"/>
  <c r="E1724" i="8"/>
  <c r="F1724" i="8"/>
  <c r="G1724" i="8"/>
  <c r="H1724" i="8"/>
  <c r="I1724" i="8"/>
  <c r="J1724" i="8"/>
  <c r="K1724" i="8"/>
  <c r="L1724" i="8"/>
  <c r="M1724" i="8"/>
  <c r="N1724" i="8"/>
  <c r="O1724" i="8"/>
  <c r="P1724" i="8"/>
  <c r="Q1724" i="8"/>
  <c r="R1724" i="8"/>
  <c r="S1724" i="8"/>
  <c r="T1724" i="8"/>
  <c r="E1725" i="8"/>
  <c r="F1725" i="8"/>
  <c r="G1725" i="8"/>
  <c r="H1725" i="8"/>
  <c r="I1725" i="8"/>
  <c r="J1725" i="8"/>
  <c r="K1725" i="8"/>
  <c r="L1725" i="8"/>
  <c r="M1725" i="8"/>
  <c r="N1725" i="8"/>
  <c r="O1725" i="8"/>
  <c r="P1725" i="8"/>
  <c r="Q1725" i="8"/>
  <c r="R1725" i="8"/>
  <c r="S1725" i="8"/>
  <c r="T1725" i="8"/>
  <c r="E1726" i="8"/>
  <c r="F1726" i="8"/>
  <c r="G1726" i="8"/>
  <c r="H1726" i="8"/>
  <c r="I1726" i="8"/>
  <c r="J1726" i="8"/>
  <c r="K1726" i="8"/>
  <c r="L1726" i="8"/>
  <c r="M1726" i="8"/>
  <c r="N1726" i="8"/>
  <c r="O1726" i="8"/>
  <c r="P1726" i="8"/>
  <c r="Q1726" i="8"/>
  <c r="R1726" i="8"/>
  <c r="S1726" i="8"/>
  <c r="T1726" i="8"/>
  <c r="E1727" i="8"/>
  <c r="F1727" i="8"/>
  <c r="G1727" i="8"/>
  <c r="H1727" i="8"/>
  <c r="I1727" i="8"/>
  <c r="J1727" i="8"/>
  <c r="K1727" i="8"/>
  <c r="L1727" i="8"/>
  <c r="M1727" i="8"/>
  <c r="N1727" i="8"/>
  <c r="O1727" i="8"/>
  <c r="P1727" i="8"/>
  <c r="Q1727" i="8"/>
  <c r="R1727" i="8"/>
  <c r="S1727" i="8"/>
  <c r="T1727" i="8"/>
  <c r="E1728" i="8"/>
  <c r="F1728" i="8"/>
  <c r="G1728" i="8"/>
  <c r="H1728" i="8"/>
  <c r="I1728" i="8"/>
  <c r="J1728" i="8"/>
  <c r="K1728" i="8"/>
  <c r="L1728" i="8"/>
  <c r="M1728" i="8"/>
  <c r="N1728" i="8"/>
  <c r="O1728" i="8"/>
  <c r="P1728" i="8"/>
  <c r="Q1728" i="8"/>
  <c r="R1728" i="8"/>
  <c r="S1728" i="8"/>
  <c r="T1728" i="8"/>
  <c r="E1729" i="8"/>
  <c r="F1729" i="8"/>
  <c r="G1729" i="8"/>
  <c r="H1729" i="8"/>
  <c r="I1729" i="8"/>
  <c r="J1729" i="8"/>
  <c r="K1729" i="8"/>
  <c r="L1729" i="8"/>
  <c r="M1729" i="8"/>
  <c r="N1729" i="8"/>
  <c r="O1729" i="8"/>
  <c r="P1729" i="8"/>
  <c r="Q1729" i="8"/>
  <c r="R1729" i="8"/>
  <c r="S1729" i="8"/>
  <c r="T1729" i="8"/>
  <c r="E1730" i="8"/>
  <c r="F1730" i="8"/>
  <c r="G1730" i="8"/>
  <c r="H1730" i="8"/>
  <c r="I1730" i="8"/>
  <c r="J1730" i="8"/>
  <c r="K1730" i="8"/>
  <c r="L1730" i="8"/>
  <c r="M1730" i="8"/>
  <c r="N1730" i="8"/>
  <c r="O1730" i="8"/>
  <c r="P1730" i="8"/>
  <c r="Q1730" i="8"/>
  <c r="R1730" i="8"/>
  <c r="S1730" i="8"/>
  <c r="T1730" i="8"/>
  <c r="E1731" i="8"/>
  <c r="F1731" i="8"/>
  <c r="G1731" i="8"/>
  <c r="H1731" i="8"/>
  <c r="I1731" i="8"/>
  <c r="J1731" i="8"/>
  <c r="K1731" i="8"/>
  <c r="L1731" i="8"/>
  <c r="M1731" i="8"/>
  <c r="N1731" i="8"/>
  <c r="O1731" i="8"/>
  <c r="P1731" i="8"/>
  <c r="Q1731" i="8"/>
  <c r="R1731" i="8"/>
  <c r="S1731" i="8"/>
  <c r="T1731" i="8"/>
  <c r="E1732" i="8"/>
  <c r="F1732" i="8"/>
  <c r="G1732" i="8"/>
  <c r="H1732" i="8"/>
  <c r="I1732" i="8"/>
  <c r="J1732" i="8"/>
  <c r="K1732" i="8"/>
  <c r="L1732" i="8"/>
  <c r="M1732" i="8"/>
  <c r="N1732" i="8"/>
  <c r="O1732" i="8"/>
  <c r="P1732" i="8"/>
  <c r="Q1732" i="8"/>
  <c r="R1732" i="8"/>
  <c r="S1732" i="8"/>
  <c r="T1732" i="8"/>
  <c r="E1733" i="8"/>
  <c r="F1733" i="8"/>
  <c r="G1733" i="8"/>
  <c r="H1733" i="8"/>
  <c r="I1733" i="8"/>
  <c r="J1733" i="8"/>
  <c r="K1733" i="8"/>
  <c r="L1733" i="8"/>
  <c r="M1733" i="8"/>
  <c r="N1733" i="8"/>
  <c r="O1733" i="8"/>
  <c r="P1733" i="8"/>
  <c r="Q1733" i="8"/>
  <c r="R1733" i="8"/>
  <c r="S1733" i="8"/>
  <c r="T1733" i="8"/>
  <c r="E162" i="7"/>
  <c r="F162" i="7"/>
  <c r="G162" i="7"/>
  <c r="H162" i="7"/>
  <c r="I162" i="7"/>
  <c r="J162" i="7"/>
  <c r="K162" i="7"/>
  <c r="L162" i="7"/>
  <c r="M162" i="7"/>
  <c r="N162" i="7"/>
  <c r="P162" i="7"/>
  <c r="Q162" i="7"/>
  <c r="R162" i="7"/>
  <c r="S162" i="7"/>
  <c r="U162" i="7"/>
  <c r="V162" i="7"/>
  <c r="W162" i="7"/>
  <c r="X162" i="7"/>
  <c r="Y162" i="7"/>
  <c r="Z162" i="7"/>
  <c r="AA162" i="7"/>
  <c r="AC162" i="7"/>
  <c r="AE162" i="7"/>
  <c r="AI162" i="7"/>
  <c r="AO162" i="7"/>
  <c r="AP162" i="7"/>
  <c r="E1712" i="8"/>
  <c r="F1712" i="8"/>
  <c r="G1712" i="8"/>
  <c r="H1712" i="8"/>
  <c r="I1712" i="8"/>
  <c r="J1712" i="8"/>
  <c r="K1712" i="8"/>
  <c r="L1712" i="8"/>
  <c r="M1712" i="8"/>
  <c r="N1712" i="8"/>
  <c r="O1712" i="8"/>
  <c r="P1712" i="8"/>
  <c r="Q1712" i="8"/>
  <c r="R1712" i="8"/>
  <c r="S1712" i="8"/>
  <c r="T1712" i="8"/>
  <c r="E1713" i="8"/>
  <c r="F1713" i="8"/>
  <c r="G1713" i="8"/>
  <c r="H1713" i="8"/>
  <c r="I1713" i="8"/>
  <c r="J1713" i="8"/>
  <c r="K1713" i="8"/>
  <c r="L1713" i="8"/>
  <c r="M1713" i="8"/>
  <c r="N1713" i="8"/>
  <c r="O1713" i="8"/>
  <c r="P1713" i="8"/>
  <c r="Q1713" i="8"/>
  <c r="R1713" i="8"/>
  <c r="S1713" i="8"/>
  <c r="T1713" i="8"/>
  <c r="E1714" i="8"/>
  <c r="F1714" i="8"/>
  <c r="G1714" i="8"/>
  <c r="H1714" i="8"/>
  <c r="I1714" i="8"/>
  <c r="J1714" i="8"/>
  <c r="K1714" i="8"/>
  <c r="L1714" i="8"/>
  <c r="M1714" i="8"/>
  <c r="N1714" i="8"/>
  <c r="O1714" i="8"/>
  <c r="P1714" i="8"/>
  <c r="Q1714" i="8"/>
  <c r="R1714" i="8"/>
  <c r="S1714" i="8"/>
  <c r="T1714" i="8"/>
  <c r="E1715" i="8"/>
  <c r="F1715" i="8"/>
  <c r="G1715" i="8"/>
  <c r="H1715" i="8"/>
  <c r="I1715" i="8"/>
  <c r="J1715" i="8"/>
  <c r="K1715" i="8"/>
  <c r="L1715" i="8"/>
  <c r="M1715" i="8"/>
  <c r="N1715" i="8"/>
  <c r="O1715" i="8"/>
  <c r="P1715" i="8"/>
  <c r="Q1715" i="8"/>
  <c r="R1715" i="8"/>
  <c r="S1715" i="8"/>
  <c r="T1715" i="8"/>
  <c r="E1716" i="8"/>
  <c r="F1716" i="8"/>
  <c r="G1716" i="8"/>
  <c r="H1716" i="8"/>
  <c r="I1716" i="8"/>
  <c r="J1716" i="8"/>
  <c r="K1716" i="8"/>
  <c r="L1716" i="8"/>
  <c r="M1716" i="8"/>
  <c r="N1716" i="8"/>
  <c r="O1716" i="8"/>
  <c r="P1716" i="8"/>
  <c r="Q1716" i="8"/>
  <c r="R1716" i="8"/>
  <c r="S1716" i="8"/>
  <c r="T1716" i="8"/>
  <c r="E1717" i="8"/>
  <c r="F1717" i="8"/>
  <c r="G1717" i="8"/>
  <c r="H1717" i="8"/>
  <c r="I1717" i="8"/>
  <c r="J1717" i="8"/>
  <c r="K1717" i="8"/>
  <c r="L1717" i="8"/>
  <c r="M1717" i="8"/>
  <c r="N1717" i="8"/>
  <c r="O1717" i="8"/>
  <c r="P1717" i="8"/>
  <c r="Q1717" i="8"/>
  <c r="R1717" i="8"/>
  <c r="S1717" i="8"/>
  <c r="T1717" i="8"/>
  <c r="E1718" i="8"/>
  <c r="F1718" i="8"/>
  <c r="G1718" i="8"/>
  <c r="H1718" i="8"/>
  <c r="I1718" i="8"/>
  <c r="J1718" i="8"/>
  <c r="K1718" i="8"/>
  <c r="L1718" i="8"/>
  <c r="M1718" i="8"/>
  <c r="N1718" i="8"/>
  <c r="O1718" i="8"/>
  <c r="P1718" i="8"/>
  <c r="Q1718" i="8"/>
  <c r="R1718" i="8"/>
  <c r="S1718" i="8"/>
  <c r="T1718" i="8"/>
  <c r="E1719" i="8"/>
  <c r="F1719" i="8"/>
  <c r="G1719" i="8"/>
  <c r="H1719" i="8"/>
  <c r="I1719" i="8"/>
  <c r="J1719" i="8"/>
  <c r="K1719" i="8"/>
  <c r="L1719" i="8"/>
  <c r="M1719" i="8"/>
  <c r="N1719" i="8"/>
  <c r="O1719" i="8"/>
  <c r="P1719" i="8"/>
  <c r="Q1719" i="8"/>
  <c r="R1719" i="8"/>
  <c r="S1719" i="8"/>
  <c r="T1719" i="8"/>
  <c r="E1720" i="8"/>
  <c r="F1720" i="8"/>
  <c r="G1720" i="8"/>
  <c r="H1720" i="8"/>
  <c r="I1720" i="8"/>
  <c r="J1720" i="8"/>
  <c r="K1720" i="8"/>
  <c r="L1720" i="8"/>
  <c r="M1720" i="8"/>
  <c r="N1720" i="8"/>
  <c r="O1720" i="8"/>
  <c r="P1720" i="8"/>
  <c r="Q1720" i="8"/>
  <c r="R1720" i="8"/>
  <c r="S1720" i="8"/>
  <c r="T1720" i="8"/>
  <c r="E1721" i="8"/>
  <c r="F1721" i="8"/>
  <c r="G1721" i="8"/>
  <c r="H1721" i="8"/>
  <c r="I1721" i="8"/>
  <c r="J1721" i="8"/>
  <c r="K1721" i="8"/>
  <c r="L1721" i="8"/>
  <c r="M1721" i="8"/>
  <c r="N1721" i="8"/>
  <c r="O1721" i="8"/>
  <c r="P1721" i="8"/>
  <c r="Q1721" i="8"/>
  <c r="R1721" i="8"/>
  <c r="S1721" i="8"/>
  <c r="T1721" i="8"/>
  <c r="E1722" i="8"/>
  <c r="F1722" i="8"/>
  <c r="G1722" i="8"/>
  <c r="H1722" i="8"/>
  <c r="I1722" i="8"/>
  <c r="J1722" i="8"/>
  <c r="K1722" i="8"/>
  <c r="L1722" i="8"/>
  <c r="M1722" i="8"/>
  <c r="N1722" i="8"/>
  <c r="O1722" i="8"/>
  <c r="P1722" i="8"/>
  <c r="Q1722" i="8"/>
  <c r="R1722" i="8"/>
  <c r="S1722" i="8"/>
  <c r="T1722" i="8"/>
  <c r="E161" i="7"/>
  <c r="F161" i="7"/>
  <c r="G161" i="7"/>
  <c r="H161" i="7"/>
  <c r="I161" i="7"/>
  <c r="J161" i="7"/>
  <c r="K161" i="7"/>
  <c r="L161" i="7"/>
  <c r="M161" i="7"/>
  <c r="N161" i="7"/>
  <c r="P161" i="7"/>
  <c r="Q161" i="7"/>
  <c r="R161" i="7"/>
  <c r="S161" i="7"/>
  <c r="U161" i="7"/>
  <c r="V161" i="7"/>
  <c r="W161" i="7"/>
  <c r="X161" i="7"/>
  <c r="Y161" i="7"/>
  <c r="Z161" i="7"/>
  <c r="AA161" i="7"/>
  <c r="AC161" i="7"/>
  <c r="AE161" i="7"/>
  <c r="AI161" i="7"/>
  <c r="AO161" i="7"/>
  <c r="AP161" i="7"/>
  <c r="E1701" i="8"/>
  <c r="F1701" i="8"/>
  <c r="G1701" i="8"/>
  <c r="H1701" i="8"/>
  <c r="I1701" i="8"/>
  <c r="J1701" i="8"/>
  <c r="K1701" i="8"/>
  <c r="L1701" i="8"/>
  <c r="M1701" i="8"/>
  <c r="N1701" i="8"/>
  <c r="O1701" i="8"/>
  <c r="P1701" i="8"/>
  <c r="Q1701" i="8"/>
  <c r="R1701" i="8"/>
  <c r="S1701" i="8"/>
  <c r="T1701" i="8"/>
  <c r="E1702" i="8"/>
  <c r="F1702" i="8"/>
  <c r="G1702" i="8"/>
  <c r="H1702" i="8"/>
  <c r="I1702" i="8"/>
  <c r="J1702" i="8"/>
  <c r="K1702" i="8"/>
  <c r="L1702" i="8"/>
  <c r="M1702" i="8"/>
  <c r="N1702" i="8"/>
  <c r="O1702" i="8"/>
  <c r="P1702" i="8"/>
  <c r="Q1702" i="8"/>
  <c r="R1702" i="8"/>
  <c r="S1702" i="8"/>
  <c r="T1702" i="8"/>
  <c r="E1703" i="8"/>
  <c r="F1703" i="8"/>
  <c r="G1703" i="8"/>
  <c r="H1703" i="8"/>
  <c r="I1703" i="8"/>
  <c r="J1703" i="8"/>
  <c r="K1703" i="8"/>
  <c r="L1703" i="8"/>
  <c r="M1703" i="8"/>
  <c r="N1703" i="8"/>
  <c r="O1703" i="8"/>
  <c r="P1703" i="8"/>
  <c r="Q1703" i="8"/>
  <c r="R1703" i="8"/>
  <c r="S1703" i="8"/>
  <c r="T1703" i="8"/>
  <c r="E1704" i="8"/>
  <c r="F1704" i="8"/>
  <c r="G1704" i="8"/>
  <c r="H1704" i="8"/>
  <c r="I1704" i="8"/>
  <c r="J1704" i="8"/>
  <c r="K1704" i="8"/>
  <c r="L1704" i="8"/>
  <c r="M1704" i="8"/>
  <c r="N1704" i="8"/>
  <c r="O1704" i="8"/>
  <c r="P1704" i="8"/>
  <c r="Q1704" i="8"/>
  <c r="R1704" i="8"/>
  <c r="S1704" i="8"/>
  <c r="T1704" i="8"/>
  <c r="E1705" i="8"/>
  <c r="F1705" i="8"/>
  <c r="G1705" i="8"/>
  <c r="H1705" i="8"/>
  <c r="I1705" i="8"/>
  <c r="J1705" i="8"/>
  <c r="K1705" i="8"/>
  <c r="L1705" i="8"/>
  <c r="M1705" i="8"/>
  <c r="N1705" i="8"/>
  <c r="O1705" i="8"/>
  <c r="P1705" i="8"/>
  <c r="Q1705" i="8"/>
  <c r="R1705" i="8"/>
  <c r="S1705" i="8"/>
  <c r="T1705" i="8"/>
  <c r="E1706" i="8"/>
  <c r="F1706" i="8"/>
  <c r="G1706" i="8"/>
  <c r="H1706" i="8"/>
  <c r="I1706" i="8"/>
  <c r="J1706" i="8"/>
  <c r="K1706" i="8"/>
  <c r="L1706" i="8"/>
  <c r="M1706" i="8"/>
  <c r="N1706" i="8"/>
  <c r="O1706" i="8"/>
  <c r="P1706" i="8"/>
  <c r="Q1706" i="8"/>
  <c r="R1706" i="8"/>
  <c r="S1706" i="8"/>
  <c r="T1706" i="8"/>
  <c r="E1707" i="8"/>
  <c r="F1707" i="8"/>
  <c r="G1707" i="8"/>
  <c r="H1707" i="8"/>
  <c r="I1707" i="8"/>
  <c r="J1707" i="8"/>
  <c r="K1707" i="8"/>
  <c r="L1707" i="8"/>
  <c r="M1707" i="8"/>
  <c r="N1707" i="8"/>
  <c r="O1707" i="8"/>
  <c r="P1707" i="8"/>
  <c r="Q1707" i="8"/>
  <c r="R1707" i="8"/>
  <c r="S1707" i="8"/>
  <c r="T1707" i="8"/>
  <c r="E1708" i="8"/>
  <c r="F1708" i="8"/>
  <c r="G1708" i="8"/>
  <c r="H1708" i="8"/>
  <c r="I1708" i="8"/>
  <c r="J1708" i="8"/>
  <c r="K1708" i="8"/>
  <c r="L1708" i="8"/>
  <c r="M1708" i="8"/>
  <c r="N1708" i="8"/>
  <c r="O1708" i="8"/>
  <c r="P1708" i="8"/>
  <c r="Q1708" i="8"/>
  <c r="R1708" i="8"/>
  <c r="S1708" i="8"/>
  <c r="T1708" i="8"/>
  <c r="E1709" i="8"/>
  <c r="F1709" i="8"/>
  <c r="G1709" i="8"/>
  <c r="H1709" i="8"/>
  <c r="I1709" i="8"/>
  <c r="J1709" i="8"/>
  <c r="K1709" i="8"/>
  <c r="L1709" i="8"/>
  <c r="M1709" i="8"/>
  <c r="N1709" i="8"/>
  <c r="O1709" i="8"/>
  <c r="P1709" i="8"/>
  <c r="Q1709" i="8"/>
  <c r="R1709" i="8"/>
  <c r="S1709" i="8"/>
  <c r="T1709" i="8"/>
  <c r="E1710" i="8"/>
  <c r="F1710" i="8"/>
  <c r="G1710" i="8"/>
  <c r="H1710" i="8"/>
  <c r="I1710" i="8"/>
  <c r="J1710" i="8"/>
  <c r="K1710" i="8"/>
  <c r="L1710" i="8"/>
  <c r="M1710" i="8"/>
  <c r="N1710" i="8"/>
  <c r="O1710" i="8"/>
  <c r="P1710" i="8"/>
  <c r="Q1710" i="8"/>
  <c r="R1710" i="8"/>
  <c r="S1710" i="8"/>
  <c r="T1710" i="8"/>
  <c r="E1711" i="8"/>
  <c r="F1711" i="8"/>
  <c r="G1711" i="8"/>
  <c r="H1711" i="8"/>
  <c r="I1711" i="8"/>
  <c r="J1711" i="8"/>
  <c r="K1711" i="8"/>
  <c r="L1711" i="8"/>
  <c r="M1711" i="8"/>
  <c r="N1711" i="8"/>
  <c r="O1711" i="8"/>
  <c r="P1711" i="8"/>
  <c r="Q1711" i="8"/>
  <c r="R1711" i="8"/>
  <c r="S1711" i="8"/>
  <c r="T1711" i="8"/>
  <c r="E160" i="7"/>
  <c r="F160" i="7"/>
  <c r="G160" i="7"/>
  <c r="H160" i="7"/>
  <c r="I160" i="7"/>
  <c r="J160" i="7"/>
  <c r="K160" i="7"/>
  <c r="L160" i="7"/>
  <c r="M160" i="7"/>
  <c r="N160" i="7"/>
  <c r="P160" i="7"/>
  <c r="Q160" i="7"/>
  <c r="R160" i="7"/>
  <c r="S160" i="7"/>
  <c r="U160" i="7"/>
  <c r="V160" i="7"/>
  <c r="W160" i="7"/>
  <c r="X160" i="7"/>
  <c r="Y160" i="7"/>
  <c r="Z160" i="7"/>
  <c r="AA160" i="7"/>
  <c r="AC160" i="7"/>
  <c r="AE160" i="7"/>
  <c r="AI160" i="7"/>
  <c r="AO160" i="7"/>
  <c r="AP160" i="7"/>
  <c r="E1690" i="8"/>
  <c r="F1690" i="8"/>
  <c r="G1690" i="8"/>
  <c r="H1690" i="8"/>
  <c r="I1690" i="8"/>
  <c r="J1690" i="8"/>
  <c r="K1690" i="8"/>
  <c r="L1690" i="8"/>
  <c r="M1690" i="8"/>
  <c r="N1690" i="8"/>
  <c r="O1690" i="8"/>
  <c r="P1690" i="8"/>
  <c r="Q1690" i="8"/>
  <c r="R1690" i="8"/>
  <c r="S1690" i="8"/>
  <c r="T1690" i="8"/>
  <c r="E1691" i="8"/>
  <c r="F1691" i="8"/>
  <c r="G1691" i="8"/>
  <c r="H1691" i="8"/>
  <c r="I1691" i="8"/>
  <c r="J1691" i="8"/>
  <c r="K1691" i="8"/>
  <c r="L1691" i="8"/>
  <c r="M1691" i="8"/>
  <c r="N1691" i="8"/>
  <c r="O1691" i="8"/>
  <c r="P1691" i="8"/>
  <c r="Q1691" i="8"/>
  <c r="R1691" i="8"/>
  <c r="S1691" i="8"/>
  <c r="T1691" i="8"/>
  <c r="E1692" i="8"/>
  <c r="F1692" i="8"/>
  <c r="G1692" i="8"/>
  <c r="H1692" i="8"/>
  <c r="I1692" i="8"/>
  <c r="J1692" i="8"/>
  <c r="K1692" i="8"/>
  <c r="L1692" i="8"/>
  <c r="M1692" i="8"/>
  <c r="N1692" i="8"/>
  <c r="O1692" i="8"/>
  <c r="P1692" i="8"/>
  <c r="Q1692" i="8"/>
  <c r="R1692" i="8"/>
  <c r="S1692" i="8"/>
  <c r="T1692" i="8"/>
  <c r="E1693" i="8"/>
  <c r="F1693" i="8"/>
  <c r="G1693" i="8"/>
  <c r="H1693" i="8"/>
  <c r="I1693" i="8"/>
  <c r="J1693" i="8"/>
  <c r="K1693" i="8"/>
  <c r="L1693" i="8"/>
  <c r="M1693" i="8"/>
  <c r="N1693" i="8"/>
  <c r="O1693" i="8"/>
  <c r="P1693" i="8"/>
  <c r="Q1693" i="8"/>
  <c r="R1693" i="8"/>
  <c r="S1693" i="8"/>
  <c r="T1693" i="8"/>
  <c r="E1694" i="8"/>
  <c r="F1694" i="8"/>
  <c r="G1694" i="8"/>
  <c r="H1694" i="8"/>
  <c r="I1694" i="8"/>
  <c r="J1694" i="8"/>
  <c r="K1694" i="8"/>
  <c r="L1694" i="8"/>
  <c r="M1694" i="8"/>
  <c r="N1694" i="8"/>
  <c r="O1694" i="8"/>
  <c r="P1694" i="8"/>
  <c r="Q1694" i="8"/>
  <c r="R1694" i="8"/>
  <c r="S1694" i="8"/>
  <c r="T1694" i="8"/>
  <c r="E1695" i="8"/>
  <c r="F1695" i="8"/>
  <c r="G1695" i="8"/>
  <c r="H1695" i="8"/>
  <c r="I1695" i="8"/>
  <c r="J1695" i="8"/>
  <c r="K1695" i="8"/>
  <c r="L1695" i="8"/>
  <c r="M1695" i="8"/>
  <c r="N1695" i="8"/>
  <c r="O1695" i="8"/>
  <c r="P1695" i="8"/>
  <c r="Q1695" i="8"/>
  <c r="R1695" i="8"/>
  <c r="S1695" i="8"/>
  <c r="T1695" i="8"/>
  <c r="E1696" i="8"/>
  <c r="F1696" i="8"/>
  <c r="G1696" i="8"/>
  <c r="H1696" i="8"/>
  <c r="I1696" i="8"/>
  <c r="J1696" i="8"/>
  <c r="K1696" i="8"/>
  <c r="L1696" i="8"/>
  <c r="M1696" i="8"/>
  <c r="N1696" i="8"/>
  <c r="O1696" i="8"/>
  <c r="P1696" i="8"/>
  <c r="Q1696" i="8"/>
  <c r="R1696" i="8"/>
  <c r="S1696" i="8"/>
  <c r="T1696" i="8"/>
  <c r="E1697" i="8"/>
  <c r="F1697" i="8"/>
  <c r="G1697" i="8"/>
  <c r="H1697" i="8"/>
  <c r="I1697" i="8"/>
  <c r="J1697" i="8"/>
  <c r="K1697" i="8"/>
  <c r="L1697" i="8"/>
  <c r="M1697" i="8"/>
  <c r="N1697" i="8"/>
  <c r="O1697" i="8"/>
  <c r="P1697" i="8"/>
  <c r="Q1697" i="8"/>
  <c r="R1697" i="8"/>
  <c r="S1697" i="8"/>
  <c r="T1697" i="8"/>
  <c r="E1698" i="8"/>
  <c r="F1698" i="8"/>
  <c r="G1698" i="8"/>
  <c r="H1698" i="8"/>
  <c r="I1698" i="8"/>
  <c r="J1698" i="8"/>
  <c r="K1698" i="8"/>
  <c r="L1698" i="8"/>
  <c r="M1698" i="8"/>
  <c r="N1698" i="8"/>
  <c r="O1698" i="8"/>
  <c r="P1698" i="8"/>
  <c r="Q1698" i="8"/>
  <c r="R1698" i="8"/>
  <c r="S1698" i="8"/>
  <c r="T1698" i="8"/>
  <c r="E1699" i="8"/>
  <c r="F1699" i="8"/>
  <c r="G1699" i="8"/>
  <c r="H1699" i="8"/>
  <c r="I1699" i="8"/>
  <c r="J1699" i="8"/>
  <c r="K1699" i="8"/>
  <c r="L1699" i="8"/>
  <c r="M1699" i="8"/>
  <c r="N1699" i="8"/>
  <c r="O1699" i="8"/>
  <c r="P1699" i="8"/>
  <c r="Q1699" i="8"/>
  <c r="R1699" i="8"/>
  <c r="S1699" i="8"/>
  <c r="T1699" i="8"/>
  <c r="E1700" i="8"/>
  <c r="F1700" i="8"/>
  <c r="G1700" i="8"/>
  <c r="H1700" i="8"/>
  <c r="I1700" i="8"/>
  <c r="J1700" i="8"/>
  <c r="K1700" i="8"/>
  <c r="L1700" i="8"/>
  <c r="M1700" i="8"/>
  <c r="N1700" i="8"/>
  <c r="O1700" i="8"/>
  <c r="P1700" i="8"/>
  <c r="Q1700" i="8"/>
  <c r="R1700" i="8"/>
  <c r="S1700" i="8"/>
  <c r="T1700" i="8"/>
  <c r="E159" i="7"/>
  <c r="F159" i="7"/>
  <c r="G159" i="7"/>
  <c r="H159" i="7"/>
  <c r="I159" i="7"/>
  <c r="J159" i="7"/>
  <c r="K159" i="7"/>
  <c r="L159" i="7"/>
  <c r="M159" i="7"/>
  <c r="N159" i="7"/>
  <c r="P159" i="7"/>
  <c r="Q159" i="7"/>
  <c r="R159" i="7"/>
  <c r="S159" i="7"/>
  <c r="U159" i="7"/>
  <c r="V159" i="7"/>
  <c r="W159" i="7"/>
  <c r="X159" i="7"/>
  <c r="Y159" i="7"/>
  <c r="Z159" i="7"/>
  <c r="AA159" i="7"/>
  <c r="AC159" i="7"/>
  <c r="AE159" i="7"/>
  <c r="AI159" i="7"/>
  <c r="AO159" i="7"/>
  <c r="AP159" i="7"/>
  <c r="E1679" i="8"/>
  <c r="F1679" i="8"/>
  <c r="G1679" i="8"/>
  <c r="H1679" i="8"/>
  <c r="I1679" i="8"/>
  <c r="J1679" i="8"/>
  <c r="K1679" i="8"/>
  <c r="L1679" i="8"/>
  <c r="M1679" i="8"/>
  <c r="N1679" i="8"/>
  <c r="O1679" i="8"/>
  <c r="P1679" i="8"/>
  <c r="Q1679" i="8"/>
  <c r="R1679" i="8"/>
  <c r="S1679" i="8"/>
  <c r="T1679" i="8"/>
  <c r="E1680" i="8"/>
  <c r="F1680" i="8"/>
  <c r="G1680" i="8"/>
  <c r="H1680" i="8"/>
  <c r="I1680" i="8"/>
  <c r="J1680" i="8"/>
  <c r="K1680" i="8"/>
  <c r="L1680" i="8"/>
  <c r="M1680" i="8"/>
  <c r="N1680" i="8"/>
  <c r="O1680" i="8"/>
  <c r="P1680" i="8"/>
  <c r="Q1680" i="8"/>
  <c r="R1680" i="8"/>
  <c r="S1680" i="8"/>
  <c r="T1680" i="8"/>
  <c r="E1681" i="8"/>
  <c r="F1681" i="8"/>
  <c r="G1681" i="8"/>
  <c r="H1681" i="8"/>
  <c r="I1681" i="8"/>
  <c r="J1681" i="8"/>
  <c r="K1681" i="8"/>
  <c r="L1681" i="8"/>
  <c r="M1681" i="8"/>
  <c r="N1681" i="8"/>
  <c r="O1681" i="8"/>
  <c r="P1681" i="8"/>
  <c r="Q1681" i="8"/>
  <c r="R1681" i="8"/>
  <c r="S1681" i="8"/>
  <c r="T1681" i="8"/>
  <c r="E1682" i="8"/>
  <c r="F1682" i="8"/>
  <c r="G1682" i="8"/>
  <c r="H1682" i="8"/>
  <c r="I1682" i="8"/>
  <c r="J1682" i="8"/>
  <c r="K1682" i="8"/>
  <c r="L1682" i="8"/>
  <c r="M1682" i="8"/>
  <c r="N1682" i="8"/>
  <c r="O1682" i="8"/>
  <c r="P1682" i="8"/>
  <c r="Q1682" i="8"/>
  <c r="R1682" i="8"/>
  <c r="S1682" i="8"/>
  <c r="T1682" i="8"/>
  <c r="E1683" i="8"/>
  <c r="F1683" i="8"/>
  <c r="G1683" i="8"/>
  <c r="H1683" i="8"/>
  <c r="I1683" i="8"/>
  <c r="J1683" i="8"/>
  <c r="K1683" i="8"/>
  <c r="L1683" i="8"/>
  <c r="M1683" i="8"/>
  <c r="N1683" i="8"/>
  <c r="O1683" i="8"/>
  <c r="P1683" i="8"/>
  <c r="Q1683" i="8"/>
  <c r="R1683" i="8"/>
  <c r="S1683" i="8"/>
  <c r="T1683" i="8"/>
  <c r="E1684" i="8"/>
  <c r="F1684" i="8"/>
  <c r="G1684" i="8"/>
  <c r="H1684" i="8"/>
  <c r="I1684" i="8"/>
  <c r="J1684" i="8"/>
  <c r="K1684" i="8"/>
  <c r="L1684" i="8"/>
  <c r="M1684" i="8"/>
  <c r="N1684" i="8"/>
  <c r="O1684" i="8"/>
  <c r="P1684" i="8"/>
  <c r="Q1684" i="8"/>
  <c r="R1684" i="8"/>
  <c r="S1684" i="8"/>
  <c r="T1684" i="8"/>
  <c r="E1685" i="8"/>
  <c r="F1685" i="8"/>
  <c r="G1685" i="8"/>
  <c r="H1685" i="8"/>
  <c r="I1685" i="8"/>
  <c r="J1685" i="8"/>
  <c r="K1685" i="8"/>
  <c r="L1685" i="8"/>
  <c r="M1685" i="8"/>
  <c r="N1685" i="8"/>
  <c r="O1685" i="8"/>
  <c r="P1685" i="8"/>
  <c r="Q1685" i="8"/>
  <c r="R1685" i="8"/>
  <c r="S1685" i="8"/>
  <c r="T1685" i="8"/>
  <c r="E1686" i="8"/>
  <c r="F1686" i="8"/>
  <c r="G1686" i="8"/>
  <c r="H1686" i="8"/>
  <c r="I1686" i="8"/>
  <c r="J1686" i="8"/>
  <c r="K1686" i="8"/>
  <c r="L1686" i="8"/>
  <c r="M1686" i="8"/>
  <c r="N1686" i="8"/>
  <c r="O1686" i="8"/>
  <c r="P1686" i="8"/>
  <c r="Q1686" i="8"/>
  <c r="R1686" i="8"/>
  <c r="S1686" i="8"/>
  <c r="T1686" i="8"/>
  <c r="E1687" i="8"/>
  <c r="F1687" i="8"/>
  <c r="G1687" i="8"/>
  <c r="H1687" i="8"/>
  <c r="I1687" i="8"/>
  <c r="J1687" i="8"/>
  <c r="K1687" i="8"/>
  <c r="L1687" i="8"/>
  <c r="M1687" i="8"/>
  <c r="N1687" i="8"/>
  <c r="O1687" i="8"/>
  <c r="P1687" i="8"/>
  <c r="Q1687" i="8"/>
  <c r="R1687" i="8"/>
  <c r="S1687" i="8"/>
  <c r="T1687" i="8"/>
  <c r="E1688" i="8"/>
  <c r="F1688" i="8"/>
  <c r="G1688" i="8"/>
  <c r="H1688" i="8"/>
  <c r="I1688" i="8"/>
  <c r="J1688" i="8"/>
  <c r="K1688" i="8"/>
  <c r="L1688" i="8"/>
  <c r="M1688" i="8"/>
  <c r="N1688" i="8"/>
  <c r="O1688" i="8"/>
  <c r="P1688" i="8"/>
  <c r="Q1688" i="8"/>
  <c r="R1688" i="8"/>
  <c r="S1688" i="8"/>
  <c r="T1688" i="8"/>
  <c r="E1689" i="8"/>
  <c r="F1689" i="8"/>
  <c r="G1689" i="8"/>
  <c r="H1689" i="8"/>
  <c r="I1689" i="8"/>
  <c r="J1689" i="8"/>
  <c r="K1689" i="8"/>
  <c r="L1689" i="8"/>
  <c r="M1689" i="8"/>
  <c r="N1689" i="8"/>
  <c r="O1689" i="8"/>
  <c r="P1689" i="8"/>
  <c r="Q1689" i="8"/>
  <c r="R1689" i="8"/>
  <c r="S1689" i="8"/>
  <c r="T1689" i="8"/>
  <c r="E158" i="7"/>
  <c r="F158" i="7"/>
  <c r="G158" i="7"/>
  <c r="H158" i="7"/>
  <c r="I158" i="7"/>
  <c r="J158" i="7"/>
  <c r="K158" i="7"/>
  <c r="L158" i="7"/>
  <c r="M158" i="7"/>
  <c r="P158" i="7"/>
  <c r="Q158" i="7"/>
  <c r="R158" i="7"/>
  <c r="S158" i="7"/>
  <c r="U158" i="7"/>
  <c r="V158" i="7"/>
  <c r="W158" i="7"/>
  <c r="X158" i="7"/>
  <c r="AA158" i="7"/>
  <c r="AE158" i="7"/>
  <c r="E1668" i="8"/>
  <c r="F1668" i="8"/>
  <c r="G1668" i="8"/>
  <c r="H1668" i="8"/>
  <c r="I1668" i="8"/>
  <c r="J1668" i="8"/>
  <c r="K1668" i="8"/>
  <c r="L1668" i="8"/>
  <c r="M1668" i="8"/>
  <c r="N1668" i="8"/>
  <c r="O1668" i="8"/>
  <c r="P1668" i="8"/>
  <c r="Q1668" i="8"/>
  <c r="R1668" i="8"/>
  <c r="S1668" i="8"/>
  <c r="T1668" i="8"/>
  <c r="E1669" i="8"/>
  <c r="F1669" i="8"/>
  <c r="G1669" i="8"/>
  <c r="H1669" i="8"/>
  <c r="I1669" i="8"/>
  <c r="J1669" i="8"/>
  <c r="K1669" i="8"/>
  <c r="L1669" i="8"/>
  <c r="M1669" i="8"/>
  <c r="N1669" i="8"/>
  <c r="O1669" i="8"/>
  <c r="P1669" i="8"/>
  <c r="Q1669" i="8"/>
  <c r="R1669" i="8"/>
  <c r="S1669" i="8"/>
  <c r="T1669" i="8"/>
  <c r="E1670" i="8"/>
  <c r="F1670" i="8"/>
  <c r="G1670" i="8"/>
  <c r="H1670" i="8"/>
  <c r="I1670" i="8"/>
  <c r="J1670" i="8"/>
  <c r="K1670" i="8"/>
  <c r="L1670" i="8"/>
  <c r="M1670" i="8"/>
  <c r="N1670" i="8"/>
  <c r="O1670" i="8"/>
  <c r="P1670" i="8"/>
  <c r="Q1670" i="8"/>
  <c r="R1670" i="8"/>
  <c r="S1670" i="8"/>
  <c r="T1670" i="8"/>
  <c r="E1671" i="8"/>
  <c r="F1671" i="8"/>
  <c r="G1671" i="8"/>
  <c r="H1671" i="8"/>
  <c r="I1671" i="8"/>
  <c r="J1671" i="8"/>
  <c r="K1671" i="8"/>
  <c r="L1671" i="8"/>
  <c r="M1671" i="8"/>
  <c r="N1671" i="8"/>
  <c r="O1671" i="8"/>
  <c r="P1671" i="8"/>
  <c r="Q1671" i="8"/>
  <c r="R1671" i="8"/>
  <c r="S1671" i="8"/>
  <c r="T1671" i="8"/>
  <c r="E1672" i="8"/>
  <c r="F1672" i="8"/>
  <c r="G1672" i="8"/>
  <c r="H1672" i="8"/>
  <c r="I1672" i="8"/>
  <c r="J1672" i="8"/>
  <c r="K1672" i="8"/>
  <c r="L1672" i="8"/>
  <c r="M1672" i="8"/>
  <c r="N1672" i="8"/>
  <c r="O1672" i="8"/>
  <c r="P1672" i="8"/>
  <c r="Q1672" i="8"/>
  <c r="R1672" i="8"/>
  <c r="S1672" i="8"/>
  <c r="T1672" i="8"/>
  <c r="E1673" i="8"/>
  <c r="F1673" i="8"/>
  <c r="G1673" i="8"/>
  <c r="H1673" i="8"/>
  <c r="I1673" i="8"/>
  <c r="J1673" i="8"/>
  <c r="K1673" i="8"/>
  <c r="L1673" i="8"/>
  <c r="M1673" i="8"/>
  <c r="N1673" i="8"/>
  <c r="O1673" i="8"/>
  <c r="P1673" i="8"/>
  <c r="Q1673" i="8"/>
  <c r="R1673" i="8"/>
  <c r="S1673" i="8"/>
  <c r="T1673" i="8"/>
  <c r="E1674" i="8"/>
  <c r="F1674" i="8"/>
  <c r="G1674" i="8"/>
  <c r="H1674" i="8"/>
  <c r="I1674" i="8"/>
  <c r="J1674" i="8"/>
  <c r="K1674" i="8"/>
  <c r="L1674" i="8"/>
  <c r="M1674" i="8"/>
  <c r="N1674" i="8"/>
  <c r="O1674" i="8"/>
  <c r="P1674" i="8"/>
  <c r="Q1674" i="8"/>
  <c r="R1674" i="8"/>
  <c r="S1674" i="8"/>
  <c r="T1674" i="8"/>
  <c r="E1675" i="8"/>
  <c r="F1675" i="8"/>
  <c r="G1675" i="8"/>
  <c r="H1675" i="8"/>
  <c r="I1675" i="8"/>
  <c r="J1675" i="8"/>
  <c r="K1675" i="8"/>
  <c r="L1675" i="8"/>
  <c r="M1675" i="8"/>
  <c r="N1675" i="8"/>
  <c r="O1675" i="8"/>
  <c r="P1675" i="8"/>
  <c r="Q1675" i="8"/>
  <c r="R1675" i="8"/>
  <c r="S1675" i="8"/>
  <c r="T1675" i="8"/>
  <c r="E1676" i="8"/>
  <c r="F1676" i="8"/>
  <c r="G1676" i="8"/>
  <c r="H1676" i="8"/>
  <c r="I1676" i="8"/>
  <c r="J1676" i="8"/>
  <c r="K1676" i="8"/>
  <c r="L1676" i="8"/>
  <c r="M1676" i="8"/>
  <c r="N1676" i="8"/>
  <c r="O1676" i="8"/>
  <c r="P1676" i="8"/>
  <c r="Q1676" i="8"/>
  <c r="R1676" i="8"/>
  <c r="S1676" i="8"/>
  <c r="T1676" i="8"/>
  <c r="E1677" i="8"/>
  <c r="F1677" i="8"/>
  <c r="G1677" i="8"/>
  <c r="H1677" i="8"/>
  <c r="I1677" i="8"/>
  <c r="J1677" i="8"/>
  <c r="K1677" i="8"/>
  <c r="L1677" i="8"/>
  <c r="M1677" i="8"/>
  <c r="N1677" i="8"/>
  <c r="O1677" i="8"/>
  <c r="P1677" i="8"/>
  <c r="Q1677" i="8"/>
  <c r="R1677" i="8"/>
  <c r="S1677" i="8"/>
  <c r="T1677" i="8"/>
  <c r="E1678" i="8"/>
  <c r="F1678" i="8"/>
  <c r="G1678" i="8"/>
  <c r="H1678" i="8"/>
  <c r="I1678" i="8"/>
  <c r="J1678" i="8"/>
  <c r="K1678" i="8"/>
  <c r="L1678" i="8"/>
  <c r="M1678" i="8"/>
  <c r="N1678" i="8"/>
  <c r="O1678" i="8"/>
  <c r="P1678" i="8"/>
  <c r="Q1678" i="8"/>
  <c r="R1678" i="8"/>
  <c r="S1678" i="8"/>
  <c r="T1678" i="8"/>
  <c r="E157" i="7"/>
  <c r="F157" i="7"/>
  <c r="G157" i="7"/>
  <c r="H157" i="7"/>
  <c r="I157" i="7"/>
  <c r="J157" i="7"/>
  <c r="K157" i="7"/>
  <c r="L157" i="7"/>
  <c r="M157" i="7"/>
  <c r="N157" i="7"/>
  <c r="P157" i="7"/>
  <c r="Q157" i="7"/>
  <c r="R157" i="7"/>
  <c r="S157" i="7"/>
  <c r="U157" i="7"/>
  <c r="V157" i="7"/>
  <c r="W157" i="7"/>
  <c r="X157" i="7"/>
  <c r="Y157" i="7"/>
  <c r="AA157" i="7"/>
  <c r="AE157" i="7"/>
  <c r="E1657" i="8"/>
  <c r="F1657" i="8"/>
  <c r="G1657" i="8"/>
  <c r="H1657" i="8"/>
  <c r="I1657" i="8"/>
  <c r="J1657" i="8"/>
  <c r="K1657" i="8"/>
  <c r="L1657" i="8"/>
  <c r="M1657" i="8"/>
  <c r="N1657" i="8"/>
  <c r="O1657" i="8"/>
  <c r="P1657" i="8"/>
  <c r="Q1657" i="8"/>
  <c r="R1657" i="8"/>
  <c r="S1657" i="8"/>
  <c r="T1657" i="8"/>
  <c r="E1658" i="8"/>
  <c r="F1658" i="8"/>
  <c r="G1658" i="8"/>
  <c r="H1658" i="8"/>
  <c r="I1658" i="8"/>
  <c r="J1658" i="8"/>
  <c r="K1658" i="8"/>
  <c r="L1658" i="8"/>
  <c r="M1658" i="8"/>
  <c r="N1658" i="8"/>
  <c r="O1658" i="8"/>
  <c r="P1658" i="8"/>
  <c r="Q1658" i="8"/>
  <c r="R1658" i="8"/>
  <c r="S1658" i="8"/>
  <c r="T1658" i="8"/>
  <c r="E1659" i="8"/>
  <c r="F1659" i="8"/>
  <c r="G1659" i="8"/>
  <c r="H1659" i="8"/>
  <c r="I1659" i="8"/>
  <c r="J1659" i="8"/>
  <c r="K1659" i="8"/>
  <c r="L1659" i="8"/>
  <c r="M1659" i="8"/>
  <c r="N1659" i="8"/>
  <c r="O1659" i="8"/>
  <c r="P1659" i="8"/>
  <c r="Q1659" i="8"/>
  <c r="R1659" i="8"/>
  <c r="S1659" i="8"/>
  <c r="T1659" i="8"/>
  <c r="E1660" i="8"/>
  <c r="F1660" i="8"/>
  <c r="G1660" i="8"/>
  <c r="H1660" i="8"/>
  <c r="I1660" i="8"/>
  <c r="J1660" i="8"/>
  <c r="K1660" i="8"/>
  <c r="L1660" i="8"/>
  <c r="M1660" i="8"/>
  <c r="N1660" i="8"/>
  <c r="O1660" i="8"/>
  <c r="P1660" i="8"/>
  <c r="Q1660" i="8"/>
  <c r="R1660" i="8"/>
  <c r="S1660" i="8"/>
  <c r="T1660" i="8"/>
  <c r="E1661" i="8"/>
  <c r="F1661" i="8"/>
  <c r="G1661" i="8"/>
  <c r="H1661" i="8"/>
  <c r="I1661" i="8"/>
  <c r="J1661" i="8"/>
  <c r="K1661" i="8"/>
  <c r="L1661" i="8"/>
  <c r="M1661" i="8"/>
  <c r="N1661" i="8"/>
  <c r="O1661" i="8"/>
  <c r="P1661" i="8"/>
  <c r="Q1661" i="8"/>
  <c r="R1661" i="8"/>
  <c r="S1661" i="8"/>
  <c r="T1661" i="8"/>
  <c r="E1662" i="8"/>
  <c r="F1662" i="8"/>
  <c r="G1662" i="8"/>
  <c r="H1662" i="8"/>
  <c r="I1662" i="8"/>
  <c r="J1662" i="8"/>
  <c r="K1662" i="8"/>
  <c r="L1662" i="8"/>
  <c r="M1662" i="8"/>
  <c r="N1662" i="8"/>
  <c r="O1662" i="8"/>
  <c r="P1662" i="8"/>
  <c r="Q1662" i="8"/>
  <c r="R1662" i="8"/>
  <c r="S1662" i="8"/>
  <c r="T1662" i="8"/>
  <c r="E1663" i="8"/>
  <c r="F1663" i="8"/>
  <c r="G1663" i="8"/>
  <c r="H1663" i="8"/>
  <c r="I1663" i="8"/>
  <c r="J1663" i="8"/>
  <c r="K1663" i="8"/>
  <c r="L1663" i="8"/>
  <c r="M1663" i="8"/>
  <c r="N1663" i="8"/>
  <c r="O1663" i="8"/>
  <c r="P1663" i="8"/>
  <c r="Q1663" i="8"/>
  <c r="R1663" i="8"/>
  <c r="S1663" i="8"/>
  <c r="T1663" i="8"/>
  <c r="E1664" i="8"/>
  <c r="F1664" i="8"/>
  <c r="G1664" i="8"/>
  <c r="H1664" i="8"/>
  <c r="I1664" i="8"/>
  <c r="J1664" i="8"/>
  <c r="K1664" i="8"/>
  <c r="L1664" i="8"/>
  <c r="M1664" i="8"/>
  <c r="N1664" i="8"/>
  <c r="O1664" i="8"/>
  <c r="P1664" i="8"/>
  <c r="Q1664" i="8"/>
  <c r="R1664" i="8"/>
  <c r="S1664" i="8"/>
  <c r="T1664" i="8"/>
  <c r="E1665" i="8"/>
  <c r="F1665" i="8"/>
  <c r="G1665" i="8"/>
  <c r="H1665" i="8"/>
  <c r="I1665" i="8"/>
  <c r="J1665" i="8"/>
  <c r="K1665" i="8"/>
  <c r="L1665" i="8"/>
  <c r="M1665" i="8"/>
  <c r="N1665" i="8"/>
  <c r="O1665" i="8"/>
  <c r="P1665" i="8"/>
  <c r="Q1665" i="8"/>
  <c r="R1665" i="8"/>
  <c r="S1665" i="8"/>
  <c r="T1665" i="8"/>
  <c r="E1666" i="8"/>
  <c r="F1666" i="8"/>
  <c r="G1666" i="8"/>
  <c r="H1666" i="8"/>
  <c r="I1666" i="8"/>
  <c r="J1666" i="8"/>
  <c r="K1666" i="8"/>
  <c r="L1666" i="8"/>
  <c r="M1666" i="8"/>
  <c r="N1666" i="8"/>
  <c r="O1666" i="8"/>
  <c r="P1666" i="8"/>
  <c r="Q1666" i="8"/>
  <c r="R1666" i="8"/>
  <c r="S1666" i="8"/>
  <c r="T1666" i="8"/>
  <c r="E1667" i="8"/>
  <c r="F1667" i="8"/>
  <c r="G1667" i="8"/>
  <c r="H1667" i="8"/>
  <c r="I1667" i="8"/>
  <c r="J1667" i="8"/>
  <c r="K1667" i="8"/>
  <c r="L1667" i="8"/>
  <c r="M1667" i="8"/>
  <c r="N1667" i="8"/>
  <c r="O1667" i="8"/>
  <c r="P1667" i="8"/>
  <c r="Q1667" i="8"/>
  <c r="R1667" i="8"/>
  <c r="S1667" i="8"/>
  <c r="T1667" i="8"/>
  <c r="E156" i="7"/>
  <c r="F156" i="7"/>
  <c r="G156" i="7"/>
  <c r="H156" i="7"/>
  <c r="I156" i="7"/>
  <c r="J156" i="7"/>
  <c r="K156" i="7"/>
  <c r="L156" i="7"/>
  <c r="M156" i="7"/>
  <c r="N156" i="7"/>
  <c r="P156" i="7"/>
  <c r="Q156" i="7"/>
  <c r="R156" i="7"/>
  <c r="S156" i="7"/>
  <c r="U156" i="7"/>
  <c r="V156" i="7"/>
  <c r="W156" i="7"/>
  <c r="X156" i="7"/>
  <c r="Y156" i="7"/>
  <c r="Z156" i="7"/>
  <c r="AA156" i="7"/>
  <c r="AC156" i="7"/>
  <c r="AE156" i="7"/>
  <c r="AI156" i="7"/>
  <c r="AO156" i="7"/>
  <c r="AP156" i="7"/>
  <c r="E1646" i="8"/>
  <c r="F1646" i="8"/>
  <c r="G1646" i="8"/>
  <c r="H1646" i="8"/>
  <c r="I1646" i="8"/>
  <c r="J1646" i="8"/>
  <c r="K1646" i="8"/>
  <c r="L1646" i="8"/>
  <c r="M1646" i="8"/>
  <c r="N1646" i="8"/>
  <c r="O1646" i="8"/>
  <c r="P1646" i="8"/>
  <c r="Q1646" i="8"/>
  <c r="R1646" i="8"/>
  <c r="S1646" i="8"/>
  <c r="T1646" i="8"/>
  <c r="E1647" i="8"/>
  <c r="F1647" i="8"/>
  <c r="G1647" i="8"/>
  <c r="H1647" i="8"/>
  <c r="I1647" i="8"/>
  <c r="J1647" i="8"/>
  <c r="K1647" i="8"/>
  <c r="L1647" i="8"/>
  <c r="M1647" i="8"/>
  <c r="N1647" i="8"/>
  <c r="O1647" i="8"/>
  <c r="P1647" i="8"/>
  <c r="Q1647" i="8"/>
  <c r="R1647" i="8"/>
  <c r="S1647" i="8"/>
  <c r="T1647" i="8"/>
  <c r="E1648" i="8"/>
  <c r="F1648" i="8"/>
  <c r="G1648" i="8"/>
  <c r="H1648" i="8"/>
  <c r="I1648" i="8"/>
  <c r="J1648" i="8"/>
  <c r="K1648" i="8"/>
  <c r="L1648" i="8"/>
  <c r="M1648" i="8"/>
  <c r="N1648" i="8"/>
  <c r="O1648" i="8"/>
  <c r="P1648" i="8"/>
  <c r="Q1648" i="8"/>
  <c r="R1648" i="8"/>
  <c r="S1648" i="8"/>
  <c r="T1648" i="8"/>
  <c r="E1649" i="8"/>
  <c r="F1649" i="8"/>
  <c r="G1649" i="8"/>
  <c r="H1649" i="8"/>
  <c r="I1649" i="8"/>
  <c r="J1649" i="8"/>
  <c r="K1649" i="8"/>
  <c r="L1649" i="8"/>
  <c r="M1649" i="8"/>
  <c r="N1649" i="8"/>
  <c r="O1649" i="8"/>
  <c r="P1649" i="8"/>
  <c r="Q1649" i="8"/>
  <c r="R1649" i="8"/>
  <c r="S1649" i="8"/>
  <c r="T1649" i="8"/>
  <c r="E1650" i="8"/>
  <c r="F1650" i="8"/>
  <c r="G1650" i="8"/>
  <c r="H1650" i="8"/>
  <c r="I1650" i="8"/>
  <c r="J1650" i="8"/>
  <c r="K1650" i="8"/>
  <c r="L1650" i="8"/>
  <c r="M1650" i="8"/>
  <c r="N1650" i="8"/>
  <c r="O1650" i="8"/>
  <c r="P1650" i="8"/>
  <c r="Q1650" i="8"/>
  <c r="R1650" i="8"/>
  <c r="S1650" i="8"/>
  <c r="T1650" i="8"/>
  <c r="E1651" i="8"/>
  <c r="F1651" i="8"/>
  <c r="G1651" i="8"/>
  <c r="H1651" i="8"/>
  <c r="I1651" i="8"/>
  <c r="J1651" i="8"/>
  <c r="K1651" i="8"/>
  <c r="L1651" i="8"/>
  <c r="M1651" i="8"/>
  <c r="N1651" i="8"/>
  <c r="O1651" i="8"/>
  <c r="P1651" i="8"/>
  <c r="Q1651" i="8"/>
  <c r="R1651" i="8"/>
  <c r="S1651" i="8"/>
  <c r="T1651" i="8"/>
  <c r="E1652" i="8"/>
  <c r="F1652" i="8"/>
  <c r="G1652" i="8"/>
  <c r="H1652" i="8"/>
  <c r="I1652" i="8"/>
  <c r="J1652" i="8"/>
  <c r="K1652" i="8"/>
  <c r="L1652" i="8"/>
  <c r="M1652" i="8"/>
  <c r="N1652" i="8"/>
  <c r="O1652" i="8"/>
  <c r="P1652" i="8"/>
  <c r="Q1652" i="8"/>
  <c r="R1652" i="8"/>
  <c r="S1652" i="8"/>
  <c r="T1652" i="8"/>
  <c r="E1653" i="8"/>
  <c r="F1653" i="8"/>
  <c r="G1653" i="8"/>
  <c r="H1653" i="8"/>
  <c r="I1653" i="8"/>
  <c r="J1653" i="8"/>
  <c r="K1653" i="8"/>
  <c r="L1653" i="8"/>
  <c r="M1653" i="8"/>
  <c r="N1653" i="8"/>
  <c r="O1653" i="8"/>
  <c r="P1653" i="8"/>
  <c r="Q1653" i="8"/>
  <c r="R1653" i="8"/>
  <c r="S1653" i="8"/>
  <c r="T1653" i="8"/>
  <c r="E1654" i="8"/>
  <c r="F1654" i="8"/>
  <c r="G1654" i="8"/>
  <c r="H1654" i="8"/>
  <c r="I1654" i="8"/>
  <c r="J1654" i="8"/>
  <c r="K1654" i="8"/>
  <c r="L1654" i="8"/>
  <c r="M1654" i="8"/>
  <c r="N1654" i="8"/>
  <c r="O1654" i="8"/>
  <c r="P1654" i="8"/>
  <c r="Q1654" i="8"/>
  <c r="R1654" i="8"/>
  <c r="S1654" i="8"/>
  <c r="T1654" i="8"/>
  <c r="E1655" i="8"/>
  <c r="F1655" i="8"/>
  <c r="G1655" i="8"/>
  <c r="H1655" i="8"/>
  <c r="I1655" i="8"/>
  <c r="J1655" i="8"/>
  <c r="K1655" i="8"/>
  <c r="L1655" i="8"/>
  <c r="M1655" i="8"/>
  <c r="N1655" i="8"/>
  <c r="O1655" i="8"/>
  <c r="P1655" i="8"/>
  <c r="Q1655" i="8"/>
  <c r="R1655" i="8"/>
  <c r="S1655" i="8"/>
  <c r="T1655" i="8"/>
  <c r="E1656" i="8"/>
  <c r="F1656" i="8"/>
  <c r="G1656" i="8"/>
  <c r="H1656" i="8"/>
  <c r="I1656" i="8"/>
  <c r="J1656" i="8"/>
  <c r="K1656" i="8"/>
  <c r="L1656" i="8"/>
  <c r="M1656" i="8"/>
  <c r="N1656" i="8"/>
  <c r="O1656" i="8"/>
  <c r="P1656" i="8"/>
  <c r="Q1656" i="8"/>
  <c r="R1656" i="8"/>
  <c r="S1656" i="8"/>
  <c r="T1656" i="8"/>
  <c r="E155" i="7"/>
  <c r="F155" i="7"/>
  <c r="G155" i="7"/>
  <c r="H155" i="7"/>
  <c r="I155" i="7"/>
  <c r="J155" i="7"/>
  <c r="K155" i="7"/>
  <c r="L155" i="7"/>
  <c r="M155" i="7"/>
  <c r="N155" i="7"/>
  <c r="P155" i="7"/>
  <c r="Q155" i="7"/>
  <c r="R155" i="7"/>
  <c r="S155" i="7"/>
  <c r="U155" i="7"/>
  <c r="V155" i="7"/>
  <c r="W155" i="7"/>
  <c r="X155" i="7"/>
  <c r="Y155" i="7"/>
  <c r="Z155" i="7"/>
  <c r="AA155" i="7"/>
  <c r="AC155" i="7"/>
  <c r="AE155" i="7"/>
  <c r="AI155" i="7"/>
  <c r="AO155" i="7"/>
  <c r="AP155" i="7"/>
  <c r="E1635" i="8"/>
  <c r="F1635" i="8"/>
  <c r="G1635" i="8"/>
  <c r="H1635" i="8"/>
  <c r="I1635" i="8"/>
  <c r="J1635" i="8"/>
  <c r="K1635" i="8"/>
  <c r="L1635" i="8"/>
  <c r="M1635" i="8"/>
  <c r="N1635" i="8"/>
  <c r="O1635" i="8"/>
  <c r="P1635" i="8"/>
  <c r="Q1635" i="8"/>
  <c r="R1635" i="8"/>
  <c r="S1635" i="8"/>
  <c r="T1635" i="8"/>
  <c r="E1636" i="8"/>
  <c r="F1636" i="8"/>
  <c r="G1636" i="8"/>
  <c r="H1636" i="8"/>
  <c r="I1636" i="8"/>
  <c r="J1636" i="8"/>
  <c r="K1636" i="8"/>
  <c r="L1636" i="8"/>
  <c r="M1636" i="8"/>
  <c r="N1636" i="8"/>
  <c r="O1636" i="8"/>
  <c r="P1636" i="8"/>
  <c r="Q1636" i="8"/>
  <c r="R1636" i="8"/>
  <c r="S1636" i="8"/>
  <c r="T1636" i="8"/>
  <c r="E1637" i="8"/>
  <c r="F1637" i="8"/>
  <c r="G1637" i="8"/>
  <c r="H1637" i="8"/>
  <c r="I1637" i="8"/>
  <c r="J1637" i="8"/>
  <c r="K1637" i="8"/>
  <c r="L1637" i="8"/>
  <c r="M1637" i="8"/>
  <c r="N1637" i="8"/>
  <c r="O1637" i="8"/>
  <c r="P1637" i="8"/>
  <c r="Q1637" i="8"/>
  <c r="R1637" i="8"/>
  <c r="S1637" i="8"/>
  <c r="T1637" i="8"/>
  <c r="E1638" i="8"/>
  <c r="F1638" i="8"/>
  <c r="G1638" i="8"/>
  <c r="H1638" i="8"/>
  <c r="I1638" i="8"/>
  <c r="J1638" i="8"/>
  <c r="K1638" i="8"/>
  <c r="L1638" i="8"/>
  <c r="M1638" i="8"/>
  <c r="N1638" i="8"/>
  <c r="O1638" i="8"/>
  <c r="P1638" i="8"/>
  <c r="Q1638" i="8"/>
  <c r="R1638" i="8"/>
  <c r="S1638" i="8"/>
  <c r="T1638" i="8"/>
  <c r="E1639" i="8"/>
  <c r="F1639" i="8"/>
  <c r="G1639" i="8"/>
  <c r="H1639" i="8"/>
  <c r="I1639" i="8"/>
  <c r="J1639" i="8"/>
  <c r="K1639" i="8"/>
  <c r="L1639" i="8"/>
  <c r="M1639" i="8"/>
  <c r="N1639" i="8"/>
  <c r="O1639" i="8"/>
  <c r="P1639" i="8"/>
  <c r="Q1639" i="8"/>
  <c r="R1639" i="8"/>
  <c r="S1639" i="8"/>
  <c r="T1639" i="8"/>
  <c r="E1640" i="8"/>
  <c r="F1640" i="8"/>
  <c r="G1640" i="8"/>
  <c r="H1640" i="8"/>
  <c r="I1640" i="8"/>
  <c r="J1640" i="8"/>
  <c r="K1640" i="8"/>
  <c r="L1640" i="8"/>
  <c r="M1640" i="8"/>
  <c r="N1640" i="8"/>
  <c r="O1640" i="8"/>
  <c r="P1640" i="8"/>
  <c r="Q1640" i="8"/>
  <c r="R1640" i="8"/>
  <c r="S1640" i="8"/>
  <c r="T1640" i="8"/>
  <c r="E1641" i="8"/>
  <c r="F1641" i="8"/>
  <c r="G1641" i="8"/>
  <c r="H1641" i="8"/>
  <c r="I1641" i="8"/>
  <c r="J1641" i="8"/>
  <c r="K1641" i="8"/>
  <c r="L1641" i="8"/>
  <c r="M1641" i="8"/>
  <c r="N1641" i="8"/>
  <c r="O1641" i="8"/>
  <c r="P1641" i="8"/>
  <c r="Q1641" i="8"/>
  <c r="R1641" i="8"/>
  <c r="S1641" i="8"/>
  <c r="T1641" i="8"/>
  <c r="E1642" i="8"/>
  <c r="F1642" i="8"/>
  <c r="G1642" i="8"/>
  <c r="H1642" i="8"/>
  <c r="I1642" i="8"/>
  <c r="J1642" i="8"/>
  <c r="K1642" i="8"/>
  <c r="L1642" i="8"/>
  <c r="M1642" i="8"/>
  <c r="N1642" i="8"/>
  <c r="O1642" i="8"/>
  <c r="P1642" i="8"/>
  <c r="Q1642" i="8"/>
  <c r="R1642" i="8"/>
  <c r="S1642" i="8"/>
  <c r="T1642" i="8"/>
  <c r="E1643" i="8"/>
  <c r="F1643" i="8"/>
  <c r="G1643" i="8"/>
  <c r="H1643" i="8"/>
  <c r="I1643" i="8"/>
  <c r="J1643" i="8"/>
  <c r="K1643" i="8"/>
  <c r="L1643" i="8"/>
  <c r="M1643" i="8"/>
  <c r="N1643" i="8"/>
  <c r="O1643" i="8"/>
  <c r="P1643" i="8"/>
  <c r="Q1643" i="8"/>
  <c r="R1643" i="8"/>
  <c r="S1643" i="8"/>
  <c r="T1643" i="8"/>
  <c r="E1644" i="8"/>
  <c r="F1644" i="8"/>
  <c r="G1644" i="8"/>
  <c r="H1644" i="8"/>
  <c r="I1644" i="8"/>
  <c r="J1644" i="8"/>
  <c r="K1644" i="8"/>
  <c r="L1644" i="8"/>
  <c r="M1644" i="8"/>
  <c r="N1644" i="8"/>
  <c r="O1644" i="8"/>
  <c r="P1644" i="8"/>
  <c r="Q1644" i="8"/>
  <c r="R1644" i="8"/>
  <c r="S1644" i="8"/>
  <c r="T1644" i="8"/>
  <c r="E1645" i="8"/>
  <c r="F1645" i="8"/>
  <c r="G1645" i="8"/>
  <c r="H1645" i="8"/>
  <c r="I1645" i="8"/>
  <c r="J1645" i="8"/>
  <c r="K1645" i="8"/>
  <c r="L1645" i="8"/>
  <c r="M1645" i="8"/>
  <c r="N1645" i="8"/>
  <c r="O1645" i="8"/>
  <c r="P1645" i="8"/>
  <c r="Q1645" i="8"/>
  <c r="R1645" i="8"/>
  <c r="S1645" i="8"/>
  <c r="T1645" i="8"/>
  <c r="E154" i="7"/>
  <c r="F154" i="7"/>
  <c r="G154" i="7"/>
  <c r="H154" i="7"/>
  <c r="I154" i="7"/>
  <c r="J154" i="7"/>
  <c r="K154" i="7"/>
  <c r="L154" i="7"/>
  <c r="M154" i="7"/>
  <c r="N154" i="7"/>
  <c r="P154" i="7"/>
  <c r="Q154" i="7"/>
  <c r="R154" i="7"/>
  <c r="S154" i="7"/>
  <c r="U154" i="7"/>
  <c r="V154" i="7"/>
  <c r="W154" i="7"/>
  <c r="X154" i="7"/>
  <c r="Y154" i="7"/>
  <c r="Z154" i="7"/>
  <c r="AA154" i="7"/>
  <c r="AC154" i="7"/>
  <c r="AE154" i="7"/>
  <c r="AI154" i="7"/>
  <c r="AO154" i="7"/>
  <c r="AP154" i="7"/>
  <c r="E1624" i="8"/>
  <c r="F1624" i="8"/>
  <c r="G1624" i="8"/>
  <c r="H1624" i="8"/>
  <c r="I1624" i="8"/>
  <c r="J1624" i="8"/>
  <c r="K1624" i="8"/>
  <c r="L1624" i="8"/>
  <c r="M1624" i="8"/>
  <c r="N1624" i="8"/>
  <c r="O1624" i="8"/>
  <c r="P1624" i="8"/>
  <c r="Q1624" i="8"/>
  <c r="R1624" i="8"/>
  <c r="S1624" i="8"/>
  <c r="T1624" i="8"/>
  <c r="E1625" i="8"/>
  <c r="F1625" i="8"/>
  <c r="G1625" i="8"/>
  <c r="H1625" i="8"/>
  <c r="I1625" i="8"/>
  <c r="J1625" i="8"/>
  <c r="K1625" i="8"/>
  <c r="L1625" i="8"/>
  <c r="M1625" i="8"/>
  <c r="N1625" i="8"/>
  <c r="O1625" i="8"/>
  <c r="P1625" i="8"/>
  <c r="Q1625" i="8"/>
  <c r="R1625" i="8"/>
  <c r="S1625" i="8"/>
  <c r="T1625" i="8"/>
  <c r="E1626" i="8"/>
  <c r="F1626" i="8"/>
  <c r="G1626" i="8"/>
  <c r="H1626" i="8"/>
  <c r="I1626" i="8"/>
  <c r="J1626" i="8"/>
  <c r="K1626" i="8"/>
  <c r="L1626" i="8"/>
  <c r="M1626" i="8"/>
  <c r="N1626" i="8"/>
  <c r="O1626" i="8"/>
  <c r="P1626" i="8"/>
  <c r="Q1626" i="8"/>
  <c r="R1626" i="8"/>
  <c r="S1626" i="8"/>
  <c r="T1626" i="8"/>
  <c r="E1627" i="8"/>
  <c r="F1627" i="8"/>
  <c r="G1627" i="8"/>
  <c r="H1627" i="8"/>
  <c r="I1627" i="8"/>
  <c r="J1627" i="8"/>
  <c r="K1627" i="8"/>
  <c r="L1627" i="8"/>
  <c r="M1627" i="8"/>
  <c r="N1627" i="8"/>
  <c r="O1627" i="8"/>
  <c r="P1627" i="8"/>
  <c r="Q1627" i="8"/>
  <c r="R1627" i="8"/>
  <c r="S1627" i="8"/>
  <c r="T1627" i="8"/>
  <c r="E1628" i="8"/>
  <c r="F1628" i="8"/>
  <c r="G1628" i="8"/>
  <c r="H1628" i="8"/>
  <c r="I1628" i="8"/>
  <c r="J1628" i="8"/>
  <c r="K1628" i="8"/>
  <c r="L1628" i="8"/>
  <c r="M1628" i="8"/>
  <c r="N1628" i="8"/>
  <c r="O1628" i="8"/>
  <c r="P1628" i="8"/>
  <c r="Q1628" i="8"/>
  <c r="R1628" i="8"/>
  <c r="S1628" i="8"/>
  <c r="T1628" i="8"/>
  <c r="E1629" i="8"/>
  <c r="F1629" i="8"/>
  <c r="G1629" i="8"/>
  <c r="H1629" i="8"/>
  <c r="I1629" i="8"/>
  <c r="J1629" i="8"/>
  <c r="K1629" i="8"/>
  <c r="L1629" i="8"/>
  <c r="M1629" i="8"/>
  <c r="N1629" i="8"/>
  <c r="O1629" i="8"/>
  <c r="P1629" i="8"/>
  <c r="Q1629" i="8"/>
  <c r="R1629" i="8"/>
  <c r="S1629" i="8"/>
  <c r="T1629" i="8"/>
  <c r="E1630" i="8"/>
  <c r="F1630" i="8"/>
  <c r="G1630" i="8"/>
  <c r="H1630" i="8"/>
  <c r="I1630" i="8"/>
  <c r="J1630" i="8"/>
  <c r="K1630" i="8"/>
  <c r="L1630" i="8"/>
  <c r="M1630" i="8"/>
  <c r="N1630" i="8"/>
  <c r="O1630" i="8"/>
  <c r="P1630" i="8"/>
  <c r="Q1630" i="8"/>
  <c r="R1630" i="8"/>
  <c r="S1630" i="8"/>
  <c r="T1630" i="8"/>
  <c r="E1631" i="8"/>
  <c r="F1631" i="8"/>
  <c r="G1631" i="8"/>
  <c r="H1631" i="8"/>
  <c r="I1631" i="8"/>
  <c r="J1631" i="8"/>
  <c r="K1631" i="8"/>
  <c r="L1631" i="8"/>
  <c r="M1631" i="8"/>
  <c r="N1631" i="8"/>
  <c r="O1631" i="8"/>
  <c r="P1631" i="8"/>
  <c r="Q1631" i="8"/>
  <c r="R1631" i="8"/>
  <c r="S1631" i="8"/>
  <c r="T1631" i="8"/>
  <c r="E1632" i="8"/>
  <c r="F1632" i="8"/>
  <c r="G1632" i="8"/>
  <c r="H1632" i="8"/>
  <c r="I1632" i="8"/>
  <c r="J1632" i="8"/>
  <c r="K1632" i="8"/>
  <c r="L1632" i="8"/>
  <c r="M1632" i="8"/>
  <c r="N1632" i="8"/>
  <c r="O1632" i="8"/>
  <c r="P1632" i="8"/>
  <c r="Q1632" i="8"/>
  <c r="R1632" i="8"/>
  <c r="S1632" i="8"/>
  <c r="T1632" i="8"/>
  <c r="E1633" i="8"/>
  <c r="F1633" i="8"/>
  <c r="G1633" i="8"/>
  <c r="H1633" i="8"/>
  <c r="I1633" i="8"/>
  <c r="J1633" i="8"/>
  <c r="K1633" i="8"/>
  <c r="L1633" i="8"/>
  <c r="M1633" i="8"/>
  <c r="N1633" i="8"/>
  <c r="O1633" i="8"/>
  <c r="P1633" i="8"/>
  <c r="Q1633" i="8"/>
  <c r="R1633" i="8"/>
  <c r="S1633" i="8"/>
  <c r="T1633" i="8"/>
  <c r="E1634" i="8"/>
  <c r="F1634" i="8"/>
  <c r="G1634" i="8"/>
  <c r="H1634" i="8"/>
  <c r="I1634" i="8"/>
  <c r="J1634" i="8"/>
  <c r="K1634" i="8"/>
  <c r="L1634" i="8"/>
  <c r="M1634" i="8"/>
  <c r="N1634" i="8"/>
  <c r="O1634" i="8"/>
  <c r="P1634" i="8"/>
  <c r="Q1634" i="8"/>
  <c r="R1634" i="8"/>
  <c r="S1634" i="8"/>
  <c r="T1634" i="8"/>
  <c r="E153" i="7"/>
  <c r="F153" i="7"/>
  <c r="G153" i="7"/>
  <c r="H153" i="7"/>
  <c r="I153" i="7"/>
  <c r="J153" i="7"/>
  <c r="K153" i="7"/>
  <c r="L153" i="7"/>
  <c r="M153" i="7"/>
  <c r="N153" i="7"/>
  <c r="P153" i="7"/>
  <c r="Q153" i="7"/>
  <c r="R153" i="7"/>
  <c r="S153" i="7"/>
  <c r="U153" i="7"/>
  <c r="V153" i="7"/>
  <c r="W153" i="7"/>
  <c r="X153" i="7"/>
  <c r="Y153" i="7"/>
  <c r="Z153" i="7"/>
  <c r="AA153" i="7"/>
  <c r="AC153" i="7"/>
  <c r="AE153" i="7"/>
  <c r="AI153" i="7"/>
  <c r="AO153" i="7"/>
  <c r="AP153" i="7"/>
  <c r="E1613" i="8"/>
  <c r="F1613" i="8"/>
  <c r="G1613" i="8"/>
  <c r="H1613" i="8"/>
  <c r="I1613" i="8"/>
  <c r="J1613" i="8"/>
  <c r="K1613" i="8"/>
  <c r="L1613" i="8"/>
  <c r="M1613" i="8"/>
  <c r="N1613" i="8"/>
  <c r="O1613" i="8"/>
  <c r="P1613" i="8"/>
  <c r="Q1613" i="8"/>
  <c r="R1613" i="8"/>
  <c r="S1613" i="8"/>
  <c r="T1613" i="8"/>
  <c r="E1614" i="8"/>
  <c r="F1614" i="8"/>
  <c r="G1614" i="8"/>
  <c r="H1614" i="8"/>
  <c r="I1614" i="8"/>
  <c r="J1614" i="8"/>
  <c r="K1614" i="8"/>
  <c r="L1614" i="8"/>
  <c r="M1614" i="8"/>
  <c r="N1614" i="8"/>
  <c r="O1614" i="8"/>
  <c r="P1614" i="8"/>
  <c r="Q1614" i="8"/>
  <c r="R1614" i="8"/>
  <c r="S1614" i="8"/>
  <c r="T1614" i="8"/>
  <c r="E1615" i="8"/>
  <c r="F1615" i="8"/>
  <c r="G1615" i="8"/>
  <c r="H1615" i="8"/>
  <c r="I1615" i="8"/>
  <c r="J1615" i="8"/>
  <c r="K1615" i="8"/>
  <c r="L1615" i="8"/>
  <c r="M1615" i="8"/>
  <c r="N1615" i="8"/>
  <c r="O1615" i="8"/>
  <c r="P1615" i="8"/>
  <c r="Q1615" i="8"/>
  <c r="R1615" i="8"/>
  <c r="S1615" i="8"/>
  <c r="T1615" i="8"/>
  <c r="E1616" i="8"/>
  <c r="F1616" i="8"/>
  <c r="G1616" i="8"/>
  <c r="H1616" i="8"/>
  <c r="I1616" i="8"/>
  <c r="J1616" i="8"/>
  <c r="K1616" i="8"/>
  <c r="L1616" i="8"/>
  <c r="M1616" i="8"/>
  <c r="N1616" i="8"/>
  <c r="O1616" i="8"/>
  <c r="P1616" i="8"/>
  <c r="Q1616" i="8"/>
  <c r="R1616" i="8"/>
  <c r="S1616" i="8"/>
  <c r="T1616" i="8"/>
  <c r="E1617" i="8"/>
  <c r="F1617" i="8"/>
  <c r="G1617" i="8"/>
  <c r="H1617" i="8"/>
  <c r="I1617" i="8"/>
  <c r="J1617" i="8"/>
  <c r="K1617" i="8"/>
  <c r="L1617" i="8"/>
  <c r="M1617" i="8"/>
  <c r="N1617" i="8"/>
  <c r="O1617" i="8"/>
  <c r="P1617" i="8"/>
  <c r="Q1617" i="8"/>
  <c r="R1617" i="8"/>
  <c r="S1617" i="8"/>
  <c r="T1617" i="8"/>
  <c r="E1618" i="8"/>
  <c r="F1618" i="8"/>
  <c r="G1618" i="8"/>
  <c r="H1618" i="8"/>
  <c r="I1618" i="8"/>
  <c r="J1618" i="8"/>
  <c r="K1618" i="8"/>
  <c r="L1618" i="8"/>
  <c r="M1618" i="8"/>
  <c r="N1618" i="8"/>
  <c r="O1618" i="8"/>
  <c r="P1618" i="8"/>
  <c r="Q1618" i="8"/>
  <c r="R1618" i="8"/>
  <c r="S1618" i="8"/>
  <c r="T1618" i="8"/>
  <c r="E1619" i="8"/>
  <c r="F1619" i="8"/>
  <c r="G1619" i="8"/>
  <c r="H1619" i="8"/>
  <c r="I1619" i="8"/>
  <c r="J1619" i="8"/>
  <c r="K1619" i="8"/>
  <c r="L1619" i="8"/>
  <c r="M1619" i="8"/>
  <c r="N1619" i="8"/>
  <c r="O1619" i="8"/>
  <c r="P1619" i="8"/>
  <c r="Q1619" i="8"/>
  <c r="R1619" i="8"/>
  <c r="S1619" i="8"/>
  <c r="T1619" i="8"/>
  <c r="E1620" i="8"/>
  <c r="F1620" i="8"/>
  <c r="G1620" i="8"/>
  <c r="H1620" i="8"/>
  <c r="I1620" i="8"/>
  <c r="J1620" i="8"/>
  <c r="K1620" i="8"/>
  <c r="L1620" i="8"/>
  <c r="M1620" i="8"/>
  <c r="N1620" i="8"/>
  <c r="O1620" i="8"/>
  <c r="P1620" i="8"/>
  <c r="Q1620" i="8"/>
  <c r="R1620" i="8"/>
  <c r="S1620" i="8"/>
  <c r="T1620" i="8"/>
  <c r="E1621" i="8"/>
  <c r="F1621" i="8"/>
  <c r="G1621" i="8"/>
  <c r="H1621" i="8"/>
  <c r="I1621" i="8"/>
  <c r="J1621" i="8"/>
  <c r="K1621" i="8"/>
  <c r="L1621" i="8"/>
  <c r="M1621" i="8"/>
  <c r="N1621" i="8"/>
  <c r="O1621" i="8"/>
  <c r="P1621" i="8"/>
  <c r="Q1621" i="8"/>
  <c r="R1621" i="8"/>
  <c r="S1621" i="8"/>
  <c r="T1621" i="8"/>
  <c r="E1622" i="8"/>
  <c r="F1622" i="8"/>
  <c r="G1622" i="8"/>
  <c r="H1622" i="8"/>
  <c r="I1622" i="8"/>
  <c r="J1622" i="8"/>
  <c r="K1622" i="8"/>
  <c r="L1622" i="8"/>
  <c r="M1622" i="8"/>
  <c r="N1622" i="8"/>
  <c r="O1622" i="8"/>
  <c r="P1622" i="8"/>
  <c r="Q1622" i="8"/>
  <c r="R1622" i="8"/>
  <c r="S1622" i="8"/>
  <c r="T1622" i="8"/>
  <c r="E1623" i="8"/>
  <c r="F1623" i="8"/>
  <c r="G1623" i="8"/>
  <c r="H1623" i="8"/>
  <c r="I1623" i="8"/>
  <c r="J1623" i="8"/>
  <c r="K1623" i="8"/>
  <c r="L1623" i="8"/>
  <c r="M1623" i="8"/>
  <c r="N1623" i="8"/>
  <c r="O1623" i="8"/>
  <c r="P1623" i="8"/>
  <c r="Q1623" i="8"/>
  <c r="R1623" i="8"/>
  <c r="S1623" i="8"/>
  <c r="T1623" i="8"/>
  <c r="E152" i="7"/>
  <c r="F152" i="7"/>
  <c r="G152" i="7"/>
  <c r="H152" i="7"/>
  <c r="I152" i="7"/>
  <c r="J152" i="7"/>
  <c r="K152" i="7"/>
  <c r="L152" i="7"/>
  <c r="M152" i="7"/>
  <c r="N152" i="7"/>
  <c r="P152" i="7"/>
  <c r="Q152" i="7"/>
  <c r="R152" i="7"/>
  <c r="S152" i="7"/>
  <c r="U152" i="7"/>
  <c r="V152" i="7"/>
  <c r="W152" i="7"/>
  <c r="X152" i="7"/>
  <c r="Y152" i="7"/>
  <c r="Z152" i="7"/>
  <c r="AA152" i="7"/>
  <c r="AC152" i="7"/>
  <c r="AE152" i="7"/>
  <c r="AI152" i="7"/>
  <c r="AO152" i="7"/>
  <c r="AP152" i="7"/>
  <c r="E1602" i="8"/>
  <c r="F1602" i="8"/>
  <c r="G1602" i="8"/>
  <c r="H1602" i="8"/>
  <c r="I1602" i="8"/>
  <c r="J1602" i="8"/>
  <c r="K1602" i="8"/>
  <c r="L1602" i="8"/>
  <c r="M1602" i="8"/>
  <c r="N1602" i="8"/>
  <c r="O1602" i="8"/>
  <c r="P1602" i="8"/>
  <c r="Q1602" i="8"/>
  <c r="R1602" i="8"/>
  <c r="S1602" i="8"/>
  <c r="T1602" i="8"/>
  <c r="E1603" i="8"/>
  <c r="F1603" i="8"/>
  <c r="G1603" i="8"/>
  <c r="H1603" i="8"/>
  <c r="I1603" i="8"/>
  <c r="J1603" i="8"/>
  <c r="K1603" i="8"/>
  <c r="L1603" i="8"/>
  <c r="M1603" i="8"/>
  <c r="N1603" i="8"/>
  <c r="O1603" i="8"/>
  <c r="P1603" i="8"/>
  <c r="Q1603" i="8"/>
  <c r="R1603" i="8"/>
  <c r="S1603" i="8"/>
  <c r="T1603" i="8"/>
  <c r="E1604" i="8"/>
  <c r="F1604" i="8"/>
  <c r="G1604" i="8"/>
  <c r="H1604" i="8"/>
  <c r="I1604" i="8"/>
  <c r="J1604" i="8"/>
  <c r="K1604" i="8"/>
  <c r="L1604" i="8"/>
  <c r="M1604" i="8"/>
  <c r="N1604" i="8"/>
  <c r="O1604" i="8"/>
  <c r="P1604" i="8"/>
  <c r="Q1604" i="8"/>
  <c r="R1604" i="8"/>
  <c r="S1604" i="8"/>
  <c r="T1604" i="8"/>
  <c r="E1605" i="8"/>
  <c r="F1605" i="8"/>
  <c r="G1605" i="8"/>
  <c r="H1605" i="8"/>
  <c r="I1605" i="8"/>
  <c r="J1605" i="8"/>
  <c r="K1605" i="8"/>
  <c r="L1605" i="8"/>
  <c r="M1605" i="8"/>
  <c r="N1605" i="8"/>
  <c r="O1605" i="8"/>
  <c r="P1605" i="8"/>
  <c r="Q1605" i="8"/>
  <c r="R1605" i="8"/>
  <c r="S1605" i="8"/>
  <c r="T1605" i="8"/>
  <c r="E1606" i="8"/>
  <c r="F1606" i="8"/>
  <c r="G1606" i="8"/>
  <c r="H1606" i="8"/>
  <c r="I1606" i="8"/>
  <c r="J1606" i="8"/>
  <c r="K1606" i="8"/>
  <c r="L1606" i="8"/>
  <c r="M1606" i="8"/>
  <c r="N1606" i="8"/>
  <c r="O1606" i="8"/>
  <c r="P1606" i="8"/>
  <c r="Q1606" i="8"/>
  <c r="R1606" i="8"/>
  <c r="S1606" i="8"/>
  <c r="T1606" i="8"/>
  <c r="E1607" i="8"/>
  <c r="F1607" i="8"/>
  <c r="G1607" i="8"/>
  <c r="H1607" i="8"/>
  <c r="I1607" i="8"/>
  <c r="J1607" i="8"/>
  <c r="K1607" i="8"/>
  <c r="L1607" i="8"/>
  <c r="M1607" i="8"/>
  <c r="N1607" i="8"/>
  <c r="O1607" i="8"/>
  <c r="P1607" i="8"/>
  <c r="Q1607" i="8"/>
  <c r="R1607" i="8"/>
  <c r="S1607" i="8"/>
  <c r="T1607" i="8"/>
  <c r="E1608" i="8"/>
  <c r="F1608" i="8"/>
  <c r="G1608" i="8"/>
  <c r="H1608" i="8"/>
  <c r="I1608" i="8"/>
  <c r="J1608" i="8"/>
  <c r="K1608" i="8"/>
  <c r="L1608" i="8"/>
  <c r="M1608" i="8"/>
  <c r="N1608" i="8"/>
  <c r="O1608" i="8"/>
  <c r="P1608" i="8"/>
  <c r="Q1608" i="8"/>
  <c r="R1608" i="8"/>
  <c r="S1608" i="8"/>
  <c r="T1608" i="8"/>
  <c r="E1609" i="8"/>
  <c r="F1609" i="8"/>
  <c r="G1609" i="8"/>
  <c r="H1609" i="8"/>
  <c r="I1609" i="8"/>
  <c r="J1609" i="8"/>
  <c r="K1609" i="8"/>
  <c r="L1609" i="8"/>
  <c r="M1609" i="8"/>
  <c r="N1609" i="8"/>
  <c r="O1609" i="8"/>
  <c r="P1609" i="8"/>
  <c r="Q1609" i="8"/>
  <c r="R1609" i="8"/>
  <c r="S1609" i="8"/>
  <c r="T1609" i="8"/>
  <c r="E1610" i="8"/>
  <c r="F1610" i="8"/>
  <c r="G1610" i="8"/>
  <c r="H1610" i="8"/>
  <c r="I1610" i="8"/>
  <c r="J1610" i="8"/>
  <c r="K1610" i="8"/>
  <c r="L1610" i="8"/>
  <c r="M1610" i="8"/>
  <c r="N1610" i="8"/>
  <c r="O1610" i="8"/>
  <c r="P1610" i="8"/>
  <c r="Q1610" i="8"/>
  <c r="R1610" i="8"/>
  <c r="S1610" i="8"/>
  <c r="T1610" i="8"/>
  <c r="E1611" i="8"/>
  <c r="F1611" i="8"/>
  <c r="G1611" i="8"/>
  <c r="H1611" i="8"/>
  <c r="I1611" i="8"/>
  <c r="J1611" i="8"/>
  <c r="K1611" i="8"/>
  <c r="L1611" i="8"/>
  <c r="M1611" i="8"/>
  <c r="N1611" i="8"/>
  <c r="O1611" i="8"/>
  <c r="P1611" i="8"/>
  <c r="Q1611" i="8"/>
  <c r="R1611" i="8"/>
  <c r="S1611" i="8"/>
  <c r="T1611" i="8"/>
  <c r="E1612" i="8"/>
  <c r="F1612" i="8"/>
  <c r="G1612" i="8"/>
  <c r="H1612" i="8"/>
  <c r="I1612" i="8"/>
  <c r="J1612" i="8"/>
  <c r="K1612" i="8"/>
  <c r="L1612" i="8"/>
  <c r="M1612" i="8"/>
  <c r="N1612" i="8"/>
  <c r="O1612" i="8"/>
  <c r="P1612" i="8"/>
  <c r="Q1612" i="8"/>
  <c r="R1612" i="8"/>
  <c r="S1612" i="8"/>
  <c r="T1612" i="8"/>
  <c r="E151" i="7"/>
  <c r="F151" i="7"/>
  <c r="G151" i="7"/>
  <c r="H151" i="7"/>
  <c r="I151" i="7"/>
  <c r="J151" i="7"/>
  <c r="K151" i="7"/>
  <c r="L151" i="7"/>
  <c r="M151" i="7"/>
  <c r="N151" i="7"/>
  <c r="P151" i="7"/>
  <c r="Q151" i="7"/>
  <c r="R151" i="7"/>
  <c r="S151" i="7"/>
  <c r="U151" i="7"/>
  <c r="V151" i="7"/>
  <c r="W151" i="7"/>
  <c r="X151" i="7"/>
  <c r="Y151" i="7"/>
  <c r="Z151" i="7"/>
  <c r="AA151" i="7"/>
  <c r="AC151" i="7"/>
  <c r="AE151" i="7"/>
  <c r="AI151" i="7"/>
  <c r="AO151" i="7"/>
  <c r="AP151" i="7"/>
  <c r="E1591" i="8"/>
  <c r="F1591" i="8"/>
  <c r="G1591" i="8"/>
  <c r="H1591" i="8"/>
  <c r="I1591" i="8"/>
  <c r="J1591" i="8"/>
  <c r="K1591" i="8"/>
  <c r="L1591" i="8"/>
  <c r="M1591" i="8"/>
  <c r="N1591" i="8"/>
  <c r="O1591" i="8"/>
  <c r="P1591" i="8"/>
  <c r="Q1591" i="8"/>
  <c r="R1591" i="8"/>
  <c r="S1591" i="8"/>
  <c r="T1591" i="8"/>
  <c r="E1592" i="8"/>
  <c r="F1592" i="8"/>
  <c r="G1592" i="8"/>
  <c r="H1592" i="8"/>
  <c r="I1592" i="8"/>
  <c r="J1592" i="8"/>
  <c r="K1592" i="8"/>
  <c r="L1592" i="8"/>
  <c r="M1592" i="8"/>
  <c r="N1592" i="8"/>
  <c r="O1592" i="8"/>
  <c r="P1592" i="8"/>
  <c r="Q1592" i="8"/>
  <c r="R1592" i="8"/>
  <c r="S1592" i="8"/>
  <c r="T1592" i="8"/>
  <c r="E1593" i="8"/>
  <c r="F1593" i="8"/>
  <c r="G1593" i="8"/>
  <c r="H1593" i="8"/>
  <c r="I1593" i="8"/>
  <c r="J1593" i="8"/>
  <c r="K1593" i="8"/>
  <c r="L1593" i="8"/>
  <c r="M1593" i="8"/>
  <c r="N1593" i="8"/>
  <c r="O1593" i="8"/>
  <c r="P1593" i="8"/>
  <c r="Q1593" i="8"/>
  <c r="R1593" i="8"/>
  <c r="S1593" i="8"/>
  <c r="T1593" i="8"/>
  <c r="E1594" i="8"/>
  <c r="F1594" i="8"/>
  <c r="G1594" i="8"/>
  <c r="H1594" i="8"/>
  <c r="I1594" i="8"/>
  <c r="J1594" i="8"/>
  <c r="K1594" i="8"/>
  <c r="L1594" i="8"/>
  <c r="M1594" i="8"/>
  <c r="N1594" i="8"/>
  <c r="O1594" i="8"/>
  <c r="P1594" i="8"/>
  <c r="Q1594" i="8"/>
  <c r="R1594" i="8"/>
  <c r="S1594" i="8"/>
  <c r="T1594" i="8"/>
  <c r="E1595" i="8"/>
  <c r="F1595" i="8"/>
  <c r="G1595" i="8"/>
  <c r="H1595" i="8"/>
  <c r="I1595" i="8"/>
  <c r="J1595" i="8"/>
  <c r="K1595" i="8"/>
  <c r="L1595" i="8"/>
  <c r="M1595" i="8"/>
  <c r="N1595" i="8"/>
  <c r="O1595" i="8"/>
  <c r="P1595" i="8"/>
  <c r="Q1595" i="8"/>
  <c r="R1595" i="8"/>
  <c r="S1595" i="8"/>
  <c r="T1595" i="8"/>
  <c r="E1596" i="8"/>
  <c r="F1596" i="8"/>
  <c r="G1596" i="8"/>
  <c r="H1596" i="8"/>
  <c r="I1596" i="8"/>
  <c r="J1596" i="8"/>
  <c r="K1596" i="8"/>
  <c r="L1596" i="8"/>
  <c r="M1596" i="8"/>
  <c r="N1596" i="8"/>
  <c r="O1596" i="8"/>
  <c r="P1596" i="8"/>
  <c r="Q1596" i="8"/>
  <c r="R1596" i="8"/>
  <c r="S1596" i="8"/>
  <c r="T1596" i="8"/>
  <c r="E1597" i="8"/>
  <c r="F1597" i="8"/>
  <c r="G1597" i="8"/>
  <c r="H1597" i="8"/>
  <c r="I1597" i="8"/>
  <c r="J1597" i="8"/>
  <c r="K1597" i="8"/>
  <c r="L1597" i="8"/>
  <c r="M1597" i="8"/>
  <c r="N1597" i="8"/>
  <c r="O1597" i="8"/>
  <c r="P1597" i="8"/>
  <c r="Q1597" i="8"/>
  <c r="R1597" i="8"/>
  <c r="S1597" i="8"/>
  <c r="T1597" i="8"/>
  <c r="E1598" i="8"/>
  <c r="F1598" i="8"/>
  <c r="G1598" i="8"/>
  <c r="H1598" i="8"/>
  <c r="I1598" i="8"/>
  <c r="J1598" i="8"/>
  <c r="K1598" i="8"/>
  <c r="L1598" i="8"/>
  <c r="M1598" i="8"/>
  <c r="N1598" i="8"/>
  <c r="O1598" i="8"/>
  <c r="P1598" i="8"/>
  <c r="Q1598" i="8"/>
  <c r="R1598" i="8"/>
  <c r="S1598" i="8"/>
  <c r="T1598" i="8"/>
  <c r="E1599" i="8"/>
  <c r="F1599" i="8"/>
  <c r="G1599" i="8"/>
  <c r="H1599" i="8"/>
  <c r="I1599" i="8"/>
  <c r="J1599" i="8"/>
  <c r="K1599" i="8"/>
  <c r="L1599" i="8"/>
  <c r="M1599" i="8"/>
  <c r="N1599" i="8"/>
  <c r="O1599" i="8"/>
  <c r="P1599" i="8"/>
  <c r="Q1599" i="8"/>
  <c r="R1599" i="8"/>
  <c r="S1599" i="8"/>
  <c r="T1599" i="8"/>
  <c r="E1600" i="8"/>
  <c r="F1600" i="8"/>
  <c r="G1600" i="8"/>
  <c r="H1600" i="8"/>
  <c r="I1600" i="8"/>
  <c r="J1600" i="8"/>
  <c r="K1600" i="8"/>
  <c r="L1600" i="8"/>
  <c r="M1600" i="8"/>
  <c r="N1600" i="8"/>
  <c r="O1600" i="8"/>
  <c r="P1600" i="8"/>
  <c r="Q1600" i="8"/>
  <c r="R1600" i="8"/>
  <c r="S1600" i="8"/>
  <c r="T1600" i="8"/>
  <c r="E1601" i="8"/>
  <c r="F1601" i="8"/>
  <c r="G1601" i="8"/>
  <c r="H1601" i="8"/>
  <c r="I1601" i="8"/>
  <c r="J1601" i="8"/>
  <c r="K1601" i="8"/>
  <c r="L1601" i="8"/>
  <c r="M1601" i="8"/>
  <c r="N1601" i="8"/>
  <c r="O1601" i="8"/>
  <c r="P1601" i="8"/>
  <c r="Q1601" i="8"/>
  <c r="R1601" i="8"/>
  <c r="S1601" i="8"/>
  <c r="T1601" i="8"/>
  <c r="E150" i="7"/>
  <c r="F150" i="7"/>
  <c r="G150" i="7"/>
  <c r="H150" i="7"/>
  <c r="I150" i="7"/>
  <c r="J150" i="7"/>
  <c r="K150" i="7"/>
  <c r="L150" i="7"/>
  <c r="M150" i="7"/>
  <c r="N150" i="7"/>
  <c r="P150" i="7"/>
  <c r="Q150" i="7"/>
  <c r="R150" i="7"/>
  <c r="S150" i="7"/>
  <c r="U150" i="7"/>
  <c r="V150" i="7"/>
  <c r="W150" i="7"/>
  <c r="X150" i="7"/>
  <c r="Y150" i="7"/>
  <c r="Z150" i="7"/>
  <c r="AA150" i="7"/>
  <c r="AC150" i="7"/>
  <c r="AE150" i="7"/>
  <c r="AI150" i="7"/>
  <c r="AO150" i="7"/>
  <c r="AP150" i="7"/>
  <c r="E1580" i="8"/>
  <c r="F1580" i="8"/>
  <c r="G1580" i="8"/>
  <c r="H1580" i="8"/>
  <c r="I1580" i="8"/>
  <c r="J1580" i="8"/>
  <c r="K1580" i="8"/>
  <c r="L1580" i="8"/>
  <c r="M1580" i="8"/>
  <c r="N1580" i="8"/>
  <c r="O1580" i="8"/>
  <c r="P1580" i="8"/>
  <c r="Q1580" i="8"/>
  <c r="R1580" i="8"/>
  <c r="S1580" i="8"/>
  <c r="T1580" i="8"/>
  <c r="E1581" i="8"/>
  <c r="F1581" i="8"/>
  <c r="G1581" i="8"/>
  <c r="H1581" i="8"/>
  <c r="I1581" i="8"/>
  <c r="J1581" i="8"/>
  <c r="K1581" i="8"/>
  <c r="L1581" i="8"/>
  <c r="M1581" i="8"/>
  <c r="N1581" i="8"/>
  <c r="O1581" i="8"/>
  <c r="P1581" i="8"/>
  <c r="Q1581" i="8"/>
  <c r="R1581" i="8"/>
  <c r="S1581" i="8"/>
  <c r="T1581" i="8"/>
  <c r="E1582" i="8"/>
  <c r="F1582" i="8"/>
  <c r="G1582" i="8"/>
  <c r="H1582" i="8"/>
  <c r="I1582" i="8"/>
  <c r="J1582" i="8"/>
  <c r="K1582" i="8"/>
  <c r="L1582" i="8"/>
  <c r="M1582" i="8"/>
  <c r="N1582" i="8"/>
  <c r="O1582" i="8"/>
  <c r="P1582" i="8"/>
  <c r="Q1582" i="8"/>
  <c r="R1582" i="8"/>
  <c r="S1582" i="8"/>
  <c r="T1582" i="8"/>
  <c r="E1583" i="8"/>
  <c r="F1583" i="8"/>
  <c r="G1583" i="8"/>
  <c r="H1583" i="8"/>
  <c r="I1583" i="8"/>
  <c r="J1583" i="8"/>
  <c r="K1583" i="8"/>
  <c r="L1583" i="8"/>
  <c r="M1583" i="8"/>
  <c r="N1583" i="8"/>
  <c r="O1583" i="8"/>
  <c r="P1583" i="8"/>
  <c r="Q1583" i="8"/>
  <c r="R1583" i="8"/>
  <c r="S1583" i="8"/>
  <c r="T1583" i="8"/>
  <c r="E1584" i="8"/>
  <c r="F1584" i="8"/>
  <c r="G1584" i="8"/>
  <c r="H1584" i="8"/>
  <c r="I1584" i="8"/>
  <c r="J1584" i="8"/>
  <c r="K1584" i="8"/>
  <c r="L1584" i="8"/>
  <c r="M1584" i="8"/>
  <c r="N1584" i="8"/>
  <c r="O1584" i="8"/>
  <c r="P1584" i="8"/>
  <c r="Q1584" i="8"/>
  <c r="R1584" i="8"/>
  <c r="S1584" i="8"/>
  <c r="T1584" i="8"/>
  <c r="E1585" i="8"/>
  <c r="F1585" i="8"/>
  <c r="G1585" i="8"/>
  <c r="H1585" i="8"/>
  <c r="I1585" i="8"/>
  <c r="J1585" i="8"/>
  <c r="K1585" i="8"/>
  <c r="L1585" i="8"/>
  <c r="M1585" i="8"/>
  <c r="N1585" i="8"/>
  <c r="O1585" i="8"/>
  <c r="P1585" i="8"/>
  <c r="Q1585" i="8"/>
  <c r="R1585" i="8"/>
  <c r="S1585" i="8"/>
  <c r="T1585" i="8"/>
  <c r="E1586" i="8"/>
  <c r="F1586" i="8"/>
  <c r="G1586" i="8"/>
  <c r="H1586" i="8"/>
  <c r="I1586" i="8"/>
  <c r="J1586" i="8"/>
  <c r="K1586" i="8"/>
  <c r="L1586" i="8"/>
  <c r="M1586" i="8"/>
  <c r="N1586" i="8"/>
  <c r="O1586" i="8"/>
  <c r="P1586" i="8"/>
  <c r="Q1586" i="8"/>
  <c r="R1586" i="8"/>
  <c r="S1586" i="8"/>
  <c r="T1586" i="8"/>
  <c r="E1587" i="8"/>
  <c r="F1587" i="8"/>
  <c r="G1587" i="8"/>
  <c r="H1587" i="8"/>
  <c r="I1587" i="8"/>
  <c r="J1587" i="8"/>
  <c r="K1587" i="8"/>
  <c r="L1587" i="8"/>
  <c r="M1587" i="8"/>
  <c r="N1587" i="8"/>
  <c r="O1587" i="8"/>
  <c r="P1587" i="8"/>
  <c r="Q1587" i="8"/>
  <c r="R1587" i="8"/>
  <c r="S1587" i="8"/>
  <c r="T1587" i="8"/>
  <c r="E1588" i="8"/>
  <c r="F1588" i="8"/>
  <c r="G1588" i="8"/>
  <c r="H1588" i="8"/>
  <c r="I1588" i="8"/>
  <c r="J1588" i="8"/>
  <c r="K1588" i="8"/>
  <c r="L1588" i="8"/>
  <c r="M1588" i="8"/>
  <c r="N1588" i="8"/>
  <c r="O1588" i="8"/>
  <c r="P1588" i="8"/>
  <c r="Q1588" i="8"/>
  <c r="R1588" i="8"/>
  <c r="S1588" i="8"/>
  <c r="T1588" i="8"/>
  <c r="E1589" i="8"/>
  <c r="F1589" i="8"/>
  <c r="G1589" i="8"/>
  <c r="H1589" i="8"/>
  <c r="I1589" i="8"/>
  <c r="J1589" i="8"/>
  <c r="K1589" i="8"/>
  <c r="L1589" i="8"/>
  <c r="M1589" i="8"/>
  <c r="N1589" i="8"/>
  <c r="O1589" i="8"/>
  <c r="P1589" i="8"/>
  <c r="Q1589" i="8"/>
  <c r="R1589" i="8"/>
  <c r="S1589" i="8"/>
  <c r="T1589" i="8"/>
  <c r="E1590" i="8"/>
  <c r="F1590" i="8"/>
  <c r="G1590" i="8"/>
  <c r="H1590" i="8"/>
  <c r="I1590" i="8"/>
  <c r="J1590" i="8"/>
  <c r="K1590" i="8"/>
  <c r="L1590" i="8"/>
  <c r="M1590" i="8"/>
  <c r="N1590" i="8"/>
  <c r="O1590" i="8"/>
  <c r="P1590" i="8"/>
  <c r="Q1590" i="8"/>
  <c r="R1590" i="8"/>
  <c r="S1590" i="8"/>
  <c r="T1590" i="8"/>
  <c r="E149" i="7"/>
  <c r="F149" i="7"/>
  <c r="G149" i="7"/>
  <c r="H149" i="7"/>
  <c r="I149" i="7"/>
  <c r="J149" i="7"/>
  <c r="K149" i="7"/>
  <c r="L149" i="7"/>
  <c r="M149" i="7"/>
  <c r="N149" i="7"/>
  <c r="P149" i="7"/>
  <c r="Q149" i="7"/>
  <c r="R149" i="7"/>
  <c r="S149" i="7"/>
  <c r="U149" i="7"/>
  <c r="V149" i="7"/>
  <c r="W149" i="7"/>
  <c r="X149" i="7"/>
  <c r="Y149" i="7"/>
  <c r="Z149" i="7"/>
  <c r="AA149" i="7"/>
  <c r="AC149" i="7"/>
  <c r="AE149" i="7"/>
  <c r="AI149" i="7"/>
  <c r="AO149" i="7"/>
  <c r="AP149" i="7"/>
  <c r="E1569" i="8"/>
  <c r="F1569" i="8"/>
  <c r="G1569" i="8"/>
  <c r="H1569" i="8"/>
  <c r="I1569" i="8"/>
  <c r="J1569" i="8"/>
  <c r="K1569" i="8"/>
  <c r="L1569" i="8"/>
  <c r="M1569" i="8"/>
  <c r="N1569" i="8"/>
  <c r="O1569" i="8"/>
  <c r="P1569" i="8"/>
  <c r="Q1569" i="8"/>
  <c r="R1569" i="8"/>
  <c r="S1569" i="8"/>
  <c r="T1569" i="8"/>
  <c r="E1570" i="8"/>
  <c r="F1570" i="8"/>
  <c r="G1570" i="8"/>
  <c r="H1570" i="8"/>
  <c r="I1570" i="8"/>
  <c r="J1570" i="8"/>
  <c r="K1570" i="8"/>
  <c r="L1570" i="8"/>
  <c r="M1570" i="8"/>
  <c r="N1570" i="8"/>
  <c r="O1570" i="8"/>
  <c r="P1570" i="8"/>
  <c r="Q1570" i="8"/>
  <c r="R1570" i="8"/>
  <c r="S1570" i="8"/>
  <c r="T1570" i="8"/>
  <c r="E1571" i="8"/>
  <c r="F1571" i="8"/>
  <c r="G1571" i="8"/>
  <c r="H1571" i="8"/>
  <c r="I1571" i="8"/>
  <c r="J1571" i="8"/>
  <c r="K1571" i="8"/>
  <c r="L1571" i="8"/>
  <c r="M1571" i="8"/>
  <c r="N1571" i="8"/>
  <c r="O1571" i="8"/>
  <c r="P1571" i="8"/>
  <c r="Q1571" i="8"/>
  <c r="R1571" i="8"/>
  <c r="S1571" i="8"/>
  <c r="T1571" i="8"/>
  <c r="E1572" i="8"/>
  <c r="F1572" i="8"/>
  <c r="G1572" i="8"/>
  <c r="H1572" i="8"/>
  <c r="I1572" i="8"/>
  <c r="J1572" i="8"/>
  <c r="K1572" i="8"/>
  <c r="L1572" i="8"/>
  <c r="M1572" i="8"/>
  <c r="N1572" i="8"/>
  <c r="O1572" i="8"/>
  <c r="P1572" i="8"/>
  <c r="Q1572" i="8"/>
  <c r="R1572" i="8"/>
  <c r="S1572" i="8"/>
  <c r="T1572" i="8"/>
  <c r="E1573" i="8"/>
  <c r="F1573" i="8"/>
  <c r="G1573" i="8"/>
  <c r="H1573" i="8"/>
  <c r="I1573" i="8"/>
  <c r="J1573" i="8"/>
  <c r="K1573" i="8"/>
  <c r="L1573" i="8"/>
  <c r="M1573" i="8"/>
  <c r="N1573" i="8"/>
  <c r="O1573" i="8"/>
  <c r="P1573" i="8"/>
  <c r="Q1573" i="8"/>
  <c r="R1573" i="8"/>
  <c r="S1573" i="8"/>
  <c r="T1573" i="8"/>
  <c r="E1574" i="8"/>
  <c r="F1574" i="8"/>
  <c r="G1574" i="8"/>
  <c r="H1574" i="8"/>
  <c r="I1574" i="8"/>
  <c r="J1574" i="8"/>
  <c r="K1574" i="8"/>
  <c r="L1574" i="8"/>
  <c r="M1574" i="8"/>
  <c r="N1574" i="8"/>
  <c r="O1574" i="8"/>
  <c r="P1574" i="8"/>
  <c r="Q1574" i="8"/>
  <c r="R1574" i="8"/>
  <c r="S1574" i="8"/>
  <c r="T1574" i="8"/>
  <c r="E1575" i="8"/>
  <c r="F1575" i="8"/>
  <c r="G1575" i="8"/>
  <c r="H1575" i="8"/>
  <c r="I1575" i="8"/>
  <c r="J1575" i="8"/>
  <c r="K1575" i="8"/>
  <c r="L1575" i="8"/>
  <c r="M1575" i="8"/>
  <c r="N1575" i="8"/>
  <c r="O1575" i="8"/>
  <c r="P1575" i="8"/>
  <c r="Q1575" i="8"/>
  <c r="R1575" i="8"/>
  <c r="S1575" i="8"/>
  <c r="T1575" i="8"/>
  <c r="E1576" i="8"/>
  <c r="F1576" i="8"/>
  <c r="G1576" i="8"/>
  <c r="H1576" i="8"/>
  <c r="I1576" i="8"/>
  <c r="J1576" i="8"/>
  <c r="K1576" i="8"/>
  <c r="L1576" i="8"/>
  <c r="M1576" i="8"/>
  <c r="N1576" i="8"/>
  <c r="O1576" i="8"/>
  <c r="P1576" i="8"/>
  <c r="Q1576" i="8"/>
  <c r="R1576" i="8"/>
  <c r="S1576" i="8"/>
  <c r="T1576" i="8"/>
  <c r="E1577" i="8"/>
  <c r="F1577" i="8"/>
  <c r="G1577" i="8"/>
  <c r="H1577" i="8"/>
  <c r="I1577" i="8"/>
  <c r="J1577" i="8"/>
  <c r="K1577" i="8"/>
  <c r="L1577" i="8"/>
  <c r="M1577" i="8"/>
  <c r="N1577" i="8"/>
  <c r="O1577" i="8"/>
  <c r="P1577" i="8"/>
  <c r="Q1577" i="8"/>
  <c r="R1577" i="8"/>
  <c r="S1577" i="8"/>
  <c r="T1577" i="8"/>
  <c r="E1578" i="8"/>
  <c r="F1578" i="8"/>
  <c r="G1578" i="8"/>
  <c r="H1578" i="8"/>
  <c r="I1578" i="8"/>
  <c r="J1578" i="8"/>
  <c r="K1578" i="8"/>
  <c r="L1578" i="8"/>
  <c r="M1578" i="8"/>
  <c r="N1578" i="8"/>
  <c r="O1578" i="8"/>
  <c r="P1578" i="8"/>
  <c r="Q1578" i="8"/>
  <c r="R1578" i="8"/>
  <c r="S1578" i="8"/>
  <c r="T1578" i="8"/>
  <c r="E1579" i="8"/>
  <c r="F1579" i="8"/>
  <c r="G1579" i="8"/>
  <c r="H1579" i="8"/>
  <c r="I1579" i="8"/>
  <c r="J1579" i="8"/>
  <c r="K1579" i="8"/>
  <c r="L1579" i="8"/>
  <c r="M1579" i="8"/>
  <c r="N1579" i="8"/>
  <c r="O1579" i="8"/>
  <c r="P1579" i="8"/>
  <c r="Q1579" i="8"/>
  <c r="R1579" i="8"/>
  <c r="S1579" i="8"/>
  <c r="T1579" i="8"/>
  <c r="E148" i="7"/>
  <c r="F148" i="7"/>
  <c r="G148" i="7"/>
  <c r="H148" i="7"/>
  <c r="I148" i="7"/>
  <c r="J148" i="7"/>
  <c r="K148" i="7"/>
  <c r="L148" i="7"/>
  <c r="M148" i="7"/>
  <c r="N148" i="7"/>
  <c r="P148" i="7"/>
  <c r="Q148" i="7"/>
  <c r="R148" i="7"/>
  <c r="S148" i="7"/>
  <c r="U148" i="7"/>
  <c r="V148" i="7"/>
  <c r="W148" i="7"/>
  <c r="X148" i="7"/>
  <c r="Y148" i="7"/>
  <c r="Z148" i="7"/>
  <c r="AA148" i="7"/>
  <c r="AC148" i="7"/>
  <c r="AE148" i="7"/>
  <c r="AI148" i="7"/>
  <c r="AO148" i="7"/>
  <c r="AP148" i="7"/>
  <c r="E1558" i="8"/>
  <c r="F1558" i="8"/>
  <c r="G1558" i="8"/>
  <c r="H1558" i="8"/>
  <c r="I1558" i="8"/>
  <c r="J1558" i="8"/>
  <c r="K1558" i="8"/>
  <c r="L1558" i="8"/>
  <c r="M1558" i="8"/>
  <c r="N1558" i="8"/>
  <c r="O1558" i="8"/>
  <c r="P1558" i="8"/>
  <c r="Q1558" i="8"/>
  <c r="R1558" i="8"/>
  <c r="S1558" i="8"/>
  <c r="T1558" i="8"/>
  <c r="E1559" i="8"/>
  <c r="F1559" i="8"/>
  <c r="G1559" i="8"/>
  <c r="H1559" i="8"/>
  <c r="I1559" i="8"/>
  <c r="J1559" i="8"/>
  <c r="K1559" i="8"/>
  <c r="L1559" i="8"/>
  <c r="M1559" i="8"/>
  <c r="N1559" i="8"/>
  <c r="O1559" i="8"/>
  <c r="P1559" i="8"/>
  <c r="Q1559" i="8"/>
  <c r="R1559" i="8"/>
  <c r="S1559" i="8"/>
  <c r="T1559" i="8"/>
  <c r="E1560" i="8"/>
  <c r="F1560" i="8"/>
  <c r="G1560" i="8"/>
  <c r="H1560" i="8"/>
  <c r="I1560" i="8"/>
  <c r="J1560" i="8"/>
  <c r="K1560" i="8"/>
  <c r="L1560" i="8"/>
  <c r="M1560" i="8"/>
  <c r="N1560" i="8"/>
  <c r="O1560" i="8"/>
  <c r="P1560" i="8"/>
  <c r="Q1560" i="8"/>
  <c r="R1560" i="8"/>
  <c r="S1560" i="8"/>
  <c r="T1560" i="8"/>
  <c r="E1561" i="8"/>
  <c r="F1561" i="8"/>
  <c r="G1561" i="8"/>
  <c r="H1561" i="8"/>
  <c r="I1561" i="8"/>
  <c r="J1561" i="8"/>
  <c r="K1561" i="8"/>
  <c r="L1561" i="8"/>
  <c r="M1561" i="8"/>
  <c r="N1561" i="8"/>
  <c r="O1561" i="8"/>
  <c r="P1561" i="8"/>
  <c r="Q1561" i="8"/>
  <c r="R1561" i="8"/>
  <c r="S1561" i="8"/>
  <c r="T1561" i="8"/>
  <c r="E1562" i="8"/>
  <c r="F1562" i="8"/>
  <c r="G1562" i="8"/>
  <c r="H1562" i="8"/>
  <c r="I1562" i="8"/>
  <c r="J1562" i="8"/>
  <c r="K1562" i="8"/>
  <c r="L1562" i="8"/>
  <c r="M1562" i="8"/>
  <c r="N1562" i="8"/>
  <c r="O1562" i="8"/>
  <c r="P1562" i="8"/>
  <c r="Q1562" i="8"/>
  <c r="R1562" i="8"/>
  <c r="S1562" i="8"/>
  <c r="T1562" i="8"/>
  <c r="E1563" i="8"/>
  <c r="F1563" i="8"/>
  <c r="G1563" i="8"/>
  <c r="H1563" i="8"/>
  <c r="I1563" i="8"/>
  <c r="J1563" i="8"/>
  <c r="K1563" i="8"/>
  <c r="L1563" i="8"/>
  <c r="M1563" i="8"/>
  <c r="N1563" i="8"/>
  <c r="O1563" i="8"/>
  <c r="P1563" i="8"/>
  <c r="Q1563" i="8"/>
  <c r="R1563" i="8"/>
  <c r="S1563" i="8"/>
  <c r="T1563" i="8"/>
  <c r="E1564" i="8"/>
  <c r="F1564" i="8"/>
  <c r="G1564" i="8"/>
  <c r="H1564" i="8"/>
  <c r="I1564" i="8"/>
  <c r="J1564" i="8"/>
  <c r="K1564" i="8"/>
  <c r="L1564" i="8"/>
  <c r="M1564" i="8"/>
  <c r="N1564" i="8"/>
  <c r="O1564" i="8"/>
  <c r="P1564" i="8"/>
  <c r="Q1564" i="8"/>
  <c r="R1564" i="8"/>
  <c r="S1564" i="8"/>
  <c r="T1564" i="8"/>
  <c r="E1565" i="8"/>
  <c r="F1565" i="8"/>
  <c r="G1565" i="8"/>
  <c r="H1565" i="8"/>
  <c r="I1565" i="8"/>
  <c r="J1565" i="8"/>
  <c r="K1565" i="8"/>
  <c r="L1565" i="8"/>
  <c r="M1565" i="8"/>
  <c r="N1565" i="8"/>
  <c r="O1565" i="8"/>
  <c r="P1565" i="8"/>
  <c r="Q1565" i="8"/>
  <c r="R1565" i="8"/>
  <c r="S1565" i="8"/>
  <c r="T1565" i="8"/>
  <c r="E1566" i="8"/>
  <c r="F1566" i="8"/>
  <c r="G1566" i="8"/>
  <c r="H1566" i="8"/>
  <c r="I1566" i="8"/>
  <c r="J1566" i="8"/>
  <c r="K1566" i="8"/>
  <c r="L1566" i="8"/>
  <c r="M1566" i="8"/>
  <c r="N1566" i="8"/>
  <c r="O1566" i="8"/>
  <c r="P1566" i="8"/>
  <c r="Q1566" i="8"/>
  <c r="R1566" i="8"/>
  <c r="S1566" i="8"/>
  <c r="T1566" i="8"/>
  <c r="E1567" i="8"/>
  <c r="F1567" i="8"/>
  <c r="G1567" i="8"/>
  <c r="H1567" i="8"/>
  <c r="I1567" i="8"/>
  <c r="J1567" i="8"/>
  <c r="K1567" i="8"/>
  <c r="L1567" i="8"/>
  <c r="M1567" i="8"/>
  <c r="N1567" i="8"/>
  <c r="O1567" i="8"/>
  <c r="P1567" i="8"/>
  <c r="Q1567" i="8"/>
  <c r="R1567" i="8"/>
  <c r="S1567" i="8"/>
  <c r="T1567" i="8"/>
  <c r="E1568" i="8"/>
  <c r="F1568" i="8"/>
  <c r="G1568" i="8"/>
  <c r="H1568" i="8"/>
  <c r="I1568" i="8"/>
  <c r="J1568" i="8"/>
  <c r="K1568" i="8"/>
  <c r="L1568" i="8"/>
  <c r="M1568" i="8"/>
  <c r="N1568" i="8"/>
  <c r="O1568" i="8"/>
  <c r="P1568" i="8"/>
  <c r="Q1568" i="8"/>
  <c r="R1568" i="8"/>
  <c r="S1568" i="8"/>
  <c r="T1568" i="8"/>
  <c r="E147" i="7"/>
  <c r="F147" i="7"/>
  <c r="G147" i="7"/>
  <c r="H147" i="7"/>
  <c r="I147" i="7"/>
  <c r="J147" i="7"/>
  <c r="K147" i="7"/>
  <c r="L147" i="7"/>
  <c r="M147" i="7"/>
  <c r="N147" i="7"/>
  <c r="P147" i="7"/>
  <c r="Q147" i="7"/>
  <c r="R147" i="7"/>
  <c r="S147" i="7"/>
  <c r="U147" i="7"/>
  <c r="V147" i="7"/>
  <c r="W147" i="7"/>
  <c r="X147" i="7"/>
  <c r="Y147" i="7"/>
  <c r="Z147" i="7"/>
  <c r="AA147" i="7"/>
  <c r="AC147" i="7"/>
  <c r="AE147" i="7"/>
  <c r="AI147" i="7"/>
  <c r="AO147" i="7"/>
  <c r="AP147" i="7"/>
  <c r="E1547" i="8"/>
  <c r="F1547" i="8"/>
  <c r="G1547" i="8"/>
  <c r="H1547" i="8"/>
  <c r="I1547" i="8"/>
  <c r="J1547" i="8"/>
  <c r="K1547" i="8"/>
  <c r="L1547" i="8"/>
  <c r="M1547" i="8"/>
  <c r="N1547" i="8"/>
  <c r="O1547" i="8"/>
  <c r="P1547" i="8"/>
  <c r="Q1547" i="8"/>
  <c r="R1547" i="8"/>
  <c r="S1547" i="8"/>
  <c r="T1547" i="8"/>
  <c r="E1548" i="8"/>
  <c r="F1548" i="8"/>
  <c r="G1548" i="8"/>
  <c r="H1548" i="8"/>
  <c r="I1548" i="8"/>
  <c r="J1548" i="8"/>
  <c r="K1548" i="8"/>
  <c r="L1548" i="8"/>
  <c r="M1548" i="8"/>
  <c r="N1548" i="8"/>
  <c r="O1548" i="8"/>
  <c r="P1548" i="8"/>
  <c r="Q1548" i="8"/>
  <c r="R1548" i="8"/>
  <c r="S1548" i="8"/>
  <c r="T1548" i="8"/>
  <c r="E1549" i="8"/>
  <c r="F1549" i="8"/>
  <c r="G1549" i="8"/>
  <c r="H1549" i="8"/>
  <c r="I1549" i="8"/>
  <c r="J1549" i="8"/>
  <c r="K1549" i="8"/>
  <c r="L1549" i="8"/>
  <c r="M1549" i="8"/>
  <c r="N1549" i="8"/>
  <c r="O1549" i="8"/>
  <c r="P1549" i="8"/>
  <c r="Q1549" i="8"/>
  <c r="R1549" i="8"/>
  <c r="S1549" i="8"/>
  <c r="T1549" i="8"/>
  <c r="E1550" i="8"/>
  <c r="F1550" i="8"/>
  <c r="G1550" i="8"/>
  <c r="H1550" i="8"/>
  <c r="I1550" i="8"/>
  <c r="J1550" i="8"/>
  <c r="K1550" i="8"/>
  <c r="L1550" i="8"/>
  <c r="M1550" i="8"/>
  <c r="N1550" i="8"/>
  <c r="O1550" i="8"/>
  <c r="P1550" i="8"/>
  <c r="Q1550" i="8"/>
  <c r="R1550" i="8"/>
  <c r="S1550" i="8"/>
  <c r="T1550" i="8"/>
  <c r="E1551" i="8"/>
  <c r="F1551" i="8"/>
  <c r="G1551" i="8"/>
  <c r="H1551" i="8"/>
  <c r="I1551" i="8"/>
  <c r="J1551" i="8"/>
  <c r="K1551" i="8"/>
  <c r="L1551" i="8"/>
  <c r="M1551" i="8"/>
  <c r="N1551" i="8"/>
  <c r="O1551" i="8"/>
  <c r="P1551" i="8"/>
  <c r="Q1551" i="8"/>
  <c r="R1551" i="8"/>
  <c r="S1551" i="8"/>
  <c r="T1551" i="8"/>
  <c r="E1552" i="8"/>
  <c r="F1552" i="8"/>
  <c r="G1552" i="8"/>
  <c r="H1552" i="8"/>
  <c r="I1552" i="8"/>
  <c r="J1552" i="8"/>
  <c r="K1552" i="8"/>
  <c r="L1552" i="8"/>
  <c r="M1552" i="8"/>
  <c r="N1552" i="8"/>
  <c r="O1552" i="8"/>
  <c r="P1552" i="8"/>
  <c r="Q1552" i="8"/>
  <c r="R1552" i="8"/>
  <c r="S1552" i="8"/>
  <c r="T1552" i="8"/>
  <c r="E1553" i="8"/>
  <c r="F1553" i="8"/>
  <c r="G1553" i="8"/>
  <c r="H1553" i="8"/>
  <c r="I1553" i="8"/>
  <c r="J1553" i="8"/>
  <c r="K1553" i="8"/>
  <c r="L1553" i="8"/>
  <c r="M1553" i="8"/>
  <c r="N1553" i="8"/>
  <c r="O1553" i="8"/>
  <c r="P1553" i="8"/>
  <c r="Q1553" i="8"/>
  <c r="R1553" i="8"/>
  <c r="S1553" i="8"/>
  <c r="T1553" i="8"/>
  <c r="E1554" i="8"/>
  <c r="F1554" i="8"/>
  <c r="G1554" i="8"/>
  <c r="H1554" i="8"/>
  <c r="I1554" i="8"/>
  <c r="J1554" i="8"/>
  <c r="K1554" i="8"/>
  <c r="L1554" i="8"/>
  <c r="M1554" i="8"/>
  <c r="N1554" i="8"/>
  <c r="O1554" i="8"/>
  <c r="P1554" i="8"/>
  <c r="Q1554" i="8"/>
  <c r="R1554" i="8"/>
  <c r="S1554" i="8"/>
  <c r="T1554" i="8"/>
  <c r="E1555" i="8"/>
  <c r="F1555" i="8"/>
  <c r="G1555" i="8"/>
  <c r="H1555" i="8"/>
  <c r="I1555" i="8"/>
  <c r="J1555" i="8"/>
  <c r="K1555" i="8"/>
  <c r="L1555" i="8"/>
  <c r="M1555" i="8"/>
  <c r="N1555" i="8"/>
  <c r="O1555" i="8"/>
  <c r="P1555" i="8"/>
  <c r="Q1555" i="8"/>
  <c r="R1555" i="8"/>
  <c r="S1555" i="8"/>
  <c r="T1555" i="8"/>
  <c r="E1556" i="8"/>
  <c r="F1556" i="8"/>
  <c r="G1556" i="8"/>
  <c r="H1556" i="8"/>
  <c r="I1556" i="8"/>
  <c r="J1556" i="8"/>
  <c r="K1556" i="8"/>
  <c r="L1556" i="8"/>
  <c r="M1556" i="8"/>
  <c r="N1556" i="8"/>
  <c r="O1556" i="8"/>
  <c r="P1556" i="8"/>
  <c r="Q1556" i="8"/>
  <c r="R1556" i="8"/>
  <c r="S1556" i="8"/>
  <c r="T1556" i="8"/>
  <c r="E1557" i="8"/>
  <c r="F1557" i="8"/>
  <c r="G1557" i="8"/>
  <c r="H1557" i="8"/>
  <c r="I1557" i="8"/>
  <c r="J1557" i="8"/>
  <c r="K1557" i="8"/>
  <c r="L1557" i="8"/>
  <c r="M1557" i="8"/>
  <c r="N1557" i="8"/>
  <c r="O1557" i="8"/>
  <c r="P1557" i="8"/>
  <c r="Q1557" i="8"/>
  <c r="R1557" i="8"/>
  <c r="S1557" i="8"/>
  <c r="T1557" i="8"/>
  <c r="E146" i="7"/>
  <c r="F146" i="7"/>
  <c r="G146" i="7"/>
  <c r="H146" i="7"/>
  <c r="I146" i="7"/>
  <c r="J146" i="7"/>
  <c r="K146" i="7"/>
  <c r="L146" i="7"/>
  <c r="M146" i="7"/>
  <c r="N146" i="7"/>
  <c r="P146" i="7"/>
  <c r="Q146" i="7"/>
  <c r="R146" i="7"/>
  <c r="S146" i="7"/>
  <c r="U146" i="7"/>
  <c r="V146" i="7"/>
  <c r="W146" i="7"/>
  <c r="X146" i="7"/>
  <c r="Y146" i="7"/>
  <c r="Z146" i="7"/>
  <c r="AA146" i="7"/>
  <c r="AC146" i="7"/>
  <c r="AE146" i="7"/>
  <c r="AI146" i="7"/>
  <c r="AO146" i="7"/>
  <c r="AP146" i="7"/>
  <c r="E1536" i="8"/>
  <c r="F1536" i="8"/>
  <c r="G1536" i="8"/>
  <c r="H1536" i="8"/>
  <c r="I1536" i="8"/>
  <c r="J1536" i="8"/>
  <c r="K1536" i="8"/>
  <c r="L1536" i="8"/>
  <c r="M1536" i="8"/>
  <c r="N1536" i="8"/>
  <c r="O1536" i="8"/>
  <c r="P1536" i="8"/>
  <c r="Q1536" i="8"/>
  <c r="R1536" i="8"/>
  <c r="S1536" i="8"/>
  <c r="T1536" i="8"/>
  <c r="E1537" i="8"/>
  <c r="F1537" i="8"/>
  <c r="G1537" i="8"/>
  <c r="H1537" i="8"/>
  <c r="I1537" i="8"/>
  <c r="J1537" i="8"/>
  <c r="K1537" i="8"/>
  <c r="L1537" i="8"/>
  <c r="M1537" i="8"/>
  <c r="N1537" i="8"/>
  <c r="O1537" i="8"/>
  <c r="P1537" i="8"/>
  <c r="Q1537" i="8"/>
  <c r="R1537" i="8"/>
  <c r="S1537" i="8"/>
  <c r="T1537" i="8"/>
  <c r="E1538" i="8"/>
  <c r="F1538" i="8"/>
  <c r="G1538" i="8"/>
  <c r="H1538" i="8"/>
  <c r="I1538" i="8"/>
  <c r="J1538" i="8"/>
  <c r="K1538" i="8"/>
  <c r="L1538" i="8"/>
  <c r="M1538" i="8"/>
  <c r="N1538" i="8"/>
  <c r="O1538" i="8"/>
  <c r="P1538" i="8"/>
  <c r="Q1538" i="8"/>
  <c r="R1538" i="8"/>
  <c r="S1538" i="8"/>
  <c r="T1538" i="8"/>
  <c r="E1539" i="8"/>
  <c r="F1539" i="8"/>
  <c r="G1539" i="8"/>
  <c r="H1539" i="8"/>
  <c r="I1539" i="8"/>
  <c r="J1539" i="8"/>
  <c r="K1539" i="8"/>
  <c r="L1539" i="8"/>
  <c r="M1539" i="8"/>
  <c r="N1539" i="8"/>
  <c r="O1539" i="8"/>
  <c r="P1539" i="8"/>
  <c r="Q1539" i="8"/>
  <c r="R1539" i="8"/>
  <c r="S1539" i="8"/>
  <c r="T1539" i="8"/>
  <c r="E1540" i="8"/>
  <c r="F1540" i="8"/>
  <c r="G1540" i="8"/>
  <c r="H1540" i="8"/>
  <c r="I1540" i="8"/>
  <c r="J1540" i="8"/>
  <c r="K1540" i="8"/>
  <c r="L1540" i="8"/>
  <c r="M1540" i="8"/>
  <c r="N1540" i="8"/>
  <c r="O1540" i="8"/>
  <c r="P1540" i="8"/>
  <c r="Q1540" i="8"/>
  <c r="R1540" i="8"/>
  <c r="S1540" i="8"/>
  <c r="T1540" i="8"/>
  <c r="E1541" i="8"/>
  <c r="F1541" i="8"/>
  <c r="G1541" i="8"/>
  <c r="H1541" i="8"/>
  <c r="I1541" i="8"/>
  <c r="J1541" i="8"/>
  <c r="K1541" i="8"/>
  <c r="L1541" i="8"/>
  <c r="M1541" i="8"/>
  <c r="N1541" i="8"/>
  <c r="O1541" i="8"/>
  <c r="P1541" i="8"/>
  <c r="Q1541" i="8"/>
  <c r="R1541" i="8"/>
  <c r="S1541" i="8"/>
  <c r="T1541" i="8"/>
  <c r="E1542" i="8"/>
  <c r="F1542" i="8"/>
  <c r="G1542" i="8"/>
  <c r="H1542" i="8"/>
  <c r="I1542" i="8"/>
  <c r="J1542" i="8"/>
  <c r="K1542" i="8"/>
  <c r="L1542" i="8"/>
  <c r="M1542" i="8"/>
  <c r="N1542" i="8"/>
  <c r="O1542" i="8"/>
  <c r="P1542" i="8"/>
  <c r="Q1542" i="8"/>
  <c r="R1542" i="8"/>
  <c r="S1542" i="8"/>
  <c r="T1542" i="8"/>
  <c r="E1543" i="8"/>
  <c r="F1543" i="8"/>
  <c r="G1543" i="8"/>
  <c r="H1543" i="8"/>
  <c r="I1543" i="8"/>
  <c r="J1543" i="8"/>
  <c r="K1543" i="8"/>
  <c r="L1543" i="8"/>
  <c r="M1543" i="8"/>
  <c r="N1543" i="8"/>
  <c r="O1543" i="8"/>
  <c r="P1543" i="8"/>
  <c r="Q1543" i="8"/>
  <c r="R1543" i="8"/>
  <c r="S1543" i="8"/>
  <c r="T1543" i="8"/>
  <c r="E1544" i="8"/>
  <c r="F1544" i="8"/>
  <c r="G1544" i="8"/>
  <c r="H1544" i="8"/>
  <c r="I1544" i="8"/>
  <c r="J1544" i="8"/>
  <c r="K1544" i="8"/>
  <c r="L1544" i="8"/>
  <c r="M1544" i="8"/>
  <c r="N1544" i="8"/>
  <c r="O1544" i="8"/>
  <c r="P1544" i="8"/>
  <c r="Q1544" i="8"/>
  <c r="R1544" i="8"/>
  <c r="S1544" i="8"/>
  <c r="T1544" i="8"/>
  <c r="E1545" i="8"/>
  <c r="F1545" i="8"/>
  <c r="G1545" i="8"/>
  <c r="H1545" i="8"/>
  <c r="I1545" i="8"/>
  <c r="J1545" i="8"/>
  <c r="K1545" i="8"/>
  <c r="L1545" i="8"/>
  <c r="M1545" i="8"/>
  <c r="N1545" i="8"/>
  <c r="O1545" i="8"/>
  <c r="P1545" i="8"/>
  <c r="Q1545" i="8"/>
  <c r="R1545" i="8"/>
  <c r="S1545" i="8"/>
  <c r="T1545" i="8"/>
  <c r="E1546" i="8"/>
  <c r="F1546" i="8"/>
  <c r="G1546" i="8"/>
  <c r="H1546" i="8"/>
  <c r="I1546" i="8"/>
  <c r="J1546" i="8"/>
  <c r="K1546" i="8"/>
  <c r="L1546" i="8"/>
  <c r="M1546" i="8"/>
  <c r="N1546" i="8"/>
  <c r="O1546" i="8"/>
  <c r="P1546" i="8"/>
  <c r="Q1546" i="8"/>
  <c r="R1546" i="8"/>
  <c r="S1546" i="8"/>
  <c r="T1546" i="8"/>
  <c r="O145" i="7"/>
  <c r="AK145" i="7"/>
  <c r="O144" i="7"/>
  <c r="AK144" i="7"/>
  <c r="O143" i="7"/>
  <c r="AK143" i="7"/>
  <c r="O142" i="7"/>
  <c r="AK142" i="7"/>
  <c r="O141" i="7"/>
  <c r="AK141" i="7"/>
  <c r="O140" i="7"/>
  <c r="AK140" i="7"/>
  <c r="O139" i="7"/>
  <c r="AK139" i="7"/>
  <c r="O138" i="7"/>
  <c r="AK138" i="7"/>
  <c r="O137" i="7"/>
  <c r="AK137" i="7"/>
  <c r="O136" i="7"/>
  <c r="AK136" i="7"/>
  <c r="O135" i="7"/>
  <c r="AK135" i="7"/>
  <c r="O134" i="7"/>
  <c r="AK134" i="7"/>
  <c r="E133" i="7"/>
  <c r="F133" i="7"/>
  <c r="G133" i="7"/>
  <c r="H133" i="7"/>
  <c r="I133" i="7"/>
  <c r="J133" i="7"/>
  <c r="K133" i="7"/>
  <c r="L133" i="7"/>
  <c r="M133" i="7"/>
  <c r="N133" i="7"/>
  <c r="P133" i="7"/>
  <c r="Q133" i="7"/>
  <c r="R133" i="7"/>
  <c r="S133" i="7"/>
  <c r="U133" i="7"/>
  <c r="V133" i="7"/>
  <c r="W133" i="7"/>
  <c r="X133" i="7"/>
  <c r="Y133" i="7"/>
  <c r="Z133" i="7"/>
  <c r="AA133" i="7"/>
  <c r="AC133" i="7"/>
  <c r="AE133" i="7"/>
  <c r="AI133" i="7"/>
  <c r="AO133" i="7"/>
  <c r="AP133" i="7"/>
  <c r="E1393" i="8"/>
  <c r="F1393" i="8"/>
  <c r="G1393" i="8"/>
  <c r="H1393" i="8"/>
  <c r="I1393" i="8"/>
  <c r="J1393" i="8"/>
  <c r="K1393" i="8"/>
  <c r="L1393" i="8"/>
  <c r="M1393" i="8"/>
  <c r="N1393" i="8"/>
  <c r="O1393" i="8"/>
  <c r="P1393" i="8"/>
  <c r="Q1393" i="8"/>
  <c r="R1393" i="8"/>
  <c r="S1393" i="8"/>
  <c r="T1393" i="8"/>
  <c r="E1394" i="8"/>
  <c r="F1394" i="8"/>
  <c r="G1394" i="8"/>
  <c r="H1394" i="8"/>
  <c r="I1394" i="8"/>
  <c r="J1394" i="8"/>
  <c r="K1394" i="8"/>
  <c r="L1394" i="8"/>
  <c r="M1394" i="8"/>
  <c r="N1394" i="8"/>
  <c r="O1394" i="8"/>
  <c r="P1394" i="8"/>
  <c r="Q1394" i="8"/>
  <c r="R1394" i="8"/>
  <c r="S1394" i="8"/>
  <c r="T1394" i="8"/>
  <c r="E1395" i="8"/>
  <c r="F1395" i="8"/>
  <c r="G1395" i="8"/>
  <c r="H1395" i="8"/>
  <c r="I1395" i="8"/>
  <c r="J1395" i="8"/>
  <c r="K1395" i="8"/>
  <c r="L1395" i="8"/>
  <c r="M1395" i="8"/>
  <c r="N1395" i="8"/>
  <c r="O1395" i="8"/>
  <c r="P1395" i="8"/>
  <c r="Q1395" i="8"/>
  <c r="R1395" i="8"/>
  <c r="S1395" i="8"/>
  <c r="T1395" i="8"/>
  <c r="E1396" i="8"/>
  <c r="F1396" i="8"/>
  <c r="G1396" i="8"/>
  <c r="H1396" i="8"/>
  <c r="I1396" i="8"/>
  <c r="J1396" i="8"/>
  <c r="K1396" i="8"/>
  <c r="L1396" i="8"/>
  <c r="M1396" i="8"/>
  <c r="N1396" i="8"/>
  <c r="O1396" i="8"/>
  <c r="P1396" i="8"/>
  <c r="Q1396" i="8"/>
  <c r="R1396" i="8"/>
  <c r="S1396" i="8"/>
  <c r="T1396" i="8"/>
  <c r="E1397" i="8"/>
  <c r="F1397" i="8"/>
  <c r="G1397" i="8"/>
  <c r="H1397" i="8"/>
  <c r="I1397" i="8"/>
  <c r="J1397" i="8"/>
  <c r="K1397" i="8"/>
  <c r="L1397" i="8"/>
  <c r="M1397" i="8"/>
  <c r="N1397" i="8"/>
  <c r="O1397" i="8"/>
  <c r="P1397" i="8"/>
  <c r="Q1397" i="8"/>
  <c r="R1397" i="8"/>
  <c r="S1397" i="8"/>
  <c r="T1397" i="8"/>
  <c r="E1398" i="8"/>
  <c r="F1398" i="8"/>
  <c r="G1398" i="8"/>
  <c r="H1398" i="8"/>
  <c r="I1398" i="8"/>
  <c r="J1398" i="8"/>
  <c r="K1398" i="8"/>
  <c r="L1398" i="8"/>
  <c r="M1398" i="8"/>
  <c r="N1398" i="8"/>
  <c r="O1398" i="8"/>
  <c r="P1398" i="8"/>
  <c r="Q1398" i="8"/>
  <c r="R1398" i="8"/>
  <c r="S1398" i="8"/>
  <c r="T1398" i="8"/>
  <c r="E1399" i="8"/>
  <c r="F1399" i="8"/>
  <c r="G1399" i="8"/>
  <c r="H1399" i="8"/>
  <c r="I1399" i="8"/>
  <c r="J1399" i="8"/>
  <c r="K1399" i="8"/>
  <c r="L1399" i="8"/>
  <c r="M1399" i="8"/>
  <c r="N1399" i="8"/>
  <c r="O1399" i="8"/>
  <c r="P1399" i="8"/>
  <c r="Q1399" i="8"/>
  <c r="R1399" i="8"/>
  <c r="S1399" i="8"/>
  <c r="T1399" i="8"/>
  <c r="E1400" i="8"/>
  <c r="F1400" i="8"/>
  <c r="G1400" i="8"/>
  <c r="H1400" i="8"/>
  <c r="I1400" i="8"/>
  <c r="J1400" i="8"/>
  <c r="K1400" i="8"/>
  <c r="L1400" i="8"/>
  <c r="M1400" i="8"/>
  <c r="N1400" i="8"/>
  <c r="O1400" i="8"/>
  <c r="P1400" i="8"/>
  <c r="Q1400" i="8"/>
  <c r="R1400" i="8"/>
  <c r="S1400" i="8"/>
  <c r="T1400" i="8"/>
  <c r="E1401" i="8"/>
  <c r="F1401" i="8"/>
  <c r="H1401" i="8"/>
  <c r="L1401" i="8"/>
  <c r="P1401" i="8"/>
  <c r="R1401" i="8"/>
  <c r="I1402" i="8"/>
  <c r="M1402" i="8"/>
  <c r="S1402" i="8"/>
  <c r="F1403" i="8"/>
  <c r="I1403" i="8"/>
  <c r="M1403" i="8"/>
  <c r="Q1403" i="8"/>
  <c r="T1403" i="8"/>
  <c r="J1401" i="8"/>
  <c r="M1401" i="8"/>
  <c r="Q1401" i="8"/>
  <c r="S1401" i="8"/>
  <c r="F1402" i="8"/>
  <c r="J1402" i="8"/>
  <c r="P1402" i="8"/>
  <c r="G1403" i="8"/>
  <c r="N1403" i="8"/>
  <c r="G1401" i="8"/>
  <c r="N1401" i="8"/>
  <c r="G1402" i="8"/>
  <c r="K1402" i="8"/>
  <c r="N1402" i="8"/>
  <c r="R1402" i="8"/>
  <c r="H1403" i="8"/>
  <c r="L1403" i="8"/>
  <c r="P1403" i="8"/>
  <c r="S1403" i="8"/>
  <c r="I1401" i="8"/>
  <c r="K1401" i="8"/>
  <c r="O1401" i="8"/>
  <c r="T1401" i="8"/>
  <c r="E1402" i="8"/>
  <c r="H1402" i="8"/>
  <c r="L1402" i="8"/>
  <c r="O1402" i="8"/>
  <c r="Q1402" i="8"/>
  <c r="T1402" i="8"/>
  <c r="E1403" i="8"/>
  <c r="J1403" i="8"/>
  <c r="K1403" i="8"/>
  <c r="O1403" i="8"/>
  <c r="R1403" i="8"/>
  <c r="E132" i="7"/>
  <c r="F132" i="7"/>
  <c r="G132" i="7"/>
  <c r="H132" i="7"/>
  <c r="I132" i="7"/>
  <c r="J132" i="7"/>
  <c r="K132" i="7"/>
  <c r="L132" i="7"/>
  <c r="M132" i="7"/>
  <c r="N132" i="7"/>
  <c r="P132" i="7"/>
  <c r="Q132" i="7"/>
  <c r="R132" i="7"/>
  <c r="S132" i="7"/>
  <c r="U132" i="7"/>
  <c r="V132" i="7"/>
  <c r="W132" i="7"/>
  <c r="X132" i="7"/>
  <c r="Y132" i="7"/>
  <c r="Z132" i="7"/>
  <c r="AA132" i="7"/>
  <c r="AC132" i="7"/>
  <c r="AE132" i="7"/>
  <c r="AI132" i="7"/>
  <c r="AO132" i="7"/>
  <c r="AP132" i="7"/>
  <c r="E1382" i="8"/>
  <c r="F1382" i="8"/>
  <c r="G1382" i="8"/>
  <c r="H1382" i="8"/>
  <c r="I1382" i="8"/>
  <c r="J1382" i="8"/>
  <c r="K1382" i="8"/>
  <c r="L1382" i="8"/>
  <c r="M1382" i="8"/>
  <c r="N1382" i="8"/>
  <c r="O1382" i="8"/>
  <c r="P1382" i="8"/>
  <c r="Q1382" i="8"/>
  <c r="R1382" i="8"/>
  <c r="S1382" i="8"/>
  <c r="T1382" i="8"/>
  <c r="E1383" i="8"/>
  <c r="F1383" i="8"/>
  <c r="G1383" i="8"/>
  <c r="H1383" i="8"/>
  <c r="I1383" i="8"/>
  <c r="J1383" i="8"/>
  <c r="K1383" i="8"/>
  <c r="L1383" i="8"/>
  <c r="M1383" i="8"/>
  <c r="N1383" i="8"/>
  <c r="O1383" i="8"/>
  <c r="P1383" i="8"/>
  <c r="Q1383" i="8"/>
  <c r="R1383" i="8"/>
  <c r="S1383" i="8"/>
  <c r="T1383" i="8"/>
  <c r="E1384" i="8"/>
  <c r="F1384" i="8"/>
  <c r="G1384" i="8"/>
  <c r="H1384" i="8"/>
  <c r="I1384" i="8"/>
  <c r="J1384" i="8"/>
  <c r="K1384" i="8"/>
  <c r="L1384" i="8"/>
  <c r="M1384" i="8"/>
  <c r="N1384" i="8"/>
  <c r="O1384" i="8"/>
  <c r="P1384" i="8"/>
  <c r="Q1384" i="8"/>
  <c r="R1384" i="8"/>
  <c r="S1384" i="8"/>
  <c r="T1384" i="8"/>
  <c r="E1385" i="8"/>
  <c r="F1385" i="8"/>
  <c r="G1385" i="8"/>
  <c r="H1385" i="8"/>
  <c r="I1385" i="8"/>
  <c r="J1385" i="8"/>
  <c r="K1385" i="8"/>
  <c r="L1385" i="8"/>
  <c r="M1385" i="8"/>
  <c r="N1385" i="8"/>
  <c r="O1385" i="8"/>
  <c r="P1385" i="8"/>
  <c r="Q1385" i="8"/>
  <c r="R1385" i="8"/>
  <c r="S1385" i="8"/>
  <c r="T1385" i="8"/>
  <c r="E1386" i="8"/>
  <c r="F1386" i="8"/>
  <c r="G1386" i="8"/>
  <c r="H1386" i="8"/>
  <c r="I1386" i="8"/>
  <c r="J1386" i="8"/>
  <c r="K1386" i="8"/>
  <c r="L1386" i="8"/>
  <c r="M1386" i="8"/>
  <c r="N1386" i="8"/>
  <c r="O1386" i="8"/>
  <c r="P1386" i="8"/>
  <c r="Q1386" i="8"/>
  <c r="R1386" i="8"/>
  <c r="S1386" i="8"/>
  <c r="T1386" i="8"/>
  <c r="E1387" i="8"/>
  <c r="F1387" i="8"/>
  <c r="G1387" i="8"/>
  <c r="H1387" i="8"/>
  <c r="I1387" i="8"/>
  <c r="J1387" i="8"/>
  <c r="K1387" i="8"/>
  <c r="L1387" i="8"/>
  <c r="M1387" i="8"/>
  <c r="N1387" i="8"/>
  <c r="O1387" i="8"/>
  <c r="P1387" i="8"/>
  <c r="Q1387" i="8"/>
  <c r="R1387" i="8"/>
  <c r="S1387" i="8"/>
  <c r="T1387" i="8"/>
  <c r="E1388" i="8"/>
  <c r="F1388" i="8"/>
  <c r="G1388" i="8"/>
  <c r="H1388" i="8"/>
  <c r="I1388" i="8"/>
  <c r="J1388" i="8"/>
  <c r="K1388" i="8"/>
  <c r="L1388" i="8"/>
  <c r="M1388" i="8"/>
  <c r="N1388" i="8"/>
  <c r="O1388" i="8"/>
  <c r="P1388" i="8"/>
  <c r="Q1388" i="8"/>
  <c r="R1388" i="8"/>
  <c r="S1388" i="8"/>
  <c r="T1388" i="8"/>
  <c r="E1389" i="8"/>
  <c r="F1389" i="8"/>
  <c r="G1389" i="8"/>
  <c r="H1389" i="8"/>
  <c r="I1389" i="8"/>
  <c r="J1389" i="8"/>
  <c r="K1389" i="8"/>
  <c r="L1389" i="8"/>
  <c r="M1389" i="8"/>
  <c r="N1389" i="8"/>
  <c r="O1389" i="8"/>
  <c r="P1389" i="8"/>
  <c r="Q1389" i="8"/>
  <c r="R1389" i="8"/>
  <c r="S1389" i="8"/>
  <c r="T1389" i="8"/>
  <c r="E1390" i="8"/>
  <c r="F1390" i="8"/>
  <c r="G1390" i="8"/>
  <c r="H1390" i="8"/>
  <c r="I1390" i="8"/>
  <c r="J1390" i="8"/>
  <c r="K1390" i="8"/>
  <c r="L1390" i="8"/>
  <c r="M1390" i="8"/>
  <c r="N1390" i="8"/>
  <c r="O1390" i="8"/>
  <c r="P1390" i="8"/>
  <c r="Q1390" i="8"/>
  <c r="R1390" i="8"/>
  <c r="S1390" i="8"/>
  <c r="T1390" i="8"/>
  <c r="E1391" i="8"/>
  <c r="F1391" i="8"/>
  <c r="G1391" i="8"/>
  <c r="H1391" i="8"/>
  <c r="I1391" i="8"/>
  <c r="J1391" i="8"/>
  <c r="K1391" i="8"/>
  <c r="L1391" i="8"/>
  <c r="M1391" i="8"/>
  <c r="N1391" i="8"/>
  <c r="O1391" i="8"/>
  <c r="P1391" i="8"/>
  <c r="Q1391" i="8"/>
  <c r="R1391" i="8"/>
  <c r="S1391" i="8"/>
  <c r="T1391" i="8"/>
  <c r="E1392" i="8"/>
  <c r="F1392" i="8"/>
  <c r="G1392" i="8"/>
  <c r="H1392" i="8"/>
  <c r="I1392" i="8"/>
  <c r="J1392" i="8"/>
  <c r="K1392" i="8"/>
  <c r="L1392" i="8"/>
  <c r="M1392" i="8"/>
  <c r="N1392" i="8"/>
  <c r="O1392" i="8"/>
  <c r="P1392" i="8"/>
  <c r="Q1392" i="8"/>
  <c r="R1392" i="8"/>
  <c r="S1392" i="8"/>
  <c r="T1392" i="8"/>
  <c r="E131" i="7"/>
  <c r="F131" i="7"/>
  <c r="G131" i="7"/>
  <c r="H131" i="7"/>
  <c r="I131" i="7"/>
  <c r="J131" i="7"/>
  <c r="K131" i="7"/>
  <c r="L131" i="7"/>
  <c r="M131" i="7"/>
  <c r="N131" i="7"/>
  <c r="P131" i="7"/>
  <c r="Q131" i="7"/>
  <c r="R131" i="7"/>
  <c r="S131" i="7"/>
  <c r="U131" i="7"/>
  <c r="V131" i="7"/>
  <c r="W131" i="7"/>
  <c r="X131" i="7"/>
  <c r="Y131" i="7"/>
  <c r="Z131" i="7"/>
  <c r="AA131" i="7"/>
  <c r="AC131" i="7"/>
  <c r="AE131" i="7"/>
  <c r="AI131" i="7"/>
  <c r="AO131" i="7"/>
  <c r="AP131" i="7"/>
  <c r="E1371" i="8"/>
  <c r="F1371" i="8"/>
  <c r="G1371" i="8"/>
  <c r="H1371" i="8"/>
  <c r="I1371" i="8"/>
  <c r="J1371" i="8"/>
  <c r="K1371" i="8"/>
  <c r="L1371" i="8"/>
  <c r="M1371" i="8"/>
  <c r="N1371" i="8"/>
  <c r="O1371" i="8"/>
  <c r="P1371" i="8"/>
  <c r="Q1371" i="8"/>
  <c r="R1371" i="8"/>
  <c r="S1371" i="8"/>
  <c r="T1371" i="8"/>
  <c r="E1372" i="8"/>
  <c r="F1372" i="8"/>
  <c r="G1372" i="8"/>
  <c r="H1372" i="8"/>
  <c r="I1372" i="8"/>
  <c r="J1372" i="8"/>
  <c r="K1372" i="8"/>
  <c r="L1372" i="8"/>
  <c r="M1372" i="8"/>
  <c r="N1372" i="8"/>
  <c r="O1372" i="8"/>
  <c r="P1372" i="8"/>
  <c r="Q1372" i="8"/>
  <c r="R1372" i="8"/>
  <c r="S1372" i="8"/>
  <c r="T1372" i="8"/>
  <c r="E1373" i="8"/>
  <c r="F1373" i="8"/>
  <c r="G1373" i="8"/>
  <c r="H1373" i="8"/>
  <c r="I1373" i="8"/>
  <c r="J1373" i="8"/>
  <c r="K1373" i="8"/>
  <c r="L1373" i="8"/>
  <c r="M1373" i="8"/>
  <c r="N1373" i="8"/>
  <c r="O1373" i="8"/>
  <c r="P1373" i="8"/>
  <c r="Q1373" i="8"/>
  <c r="R1373" i="8"/>
  <c r="S1373" i="8"/>
  <c r="T1373" i="8"/>
  <c r="E1374" i="8"/>
  <c r="F1374" i="8"/>
  <c r="G1374" i="8"/>
  <c r="H1374" i="8"/>
  <c r="I1374" i="8"/>
  <c r="J1374" i="8"/>
  <c r="K1374" i="8"/>
  <c r="L1374" i="8"/>
  <c r="M1374" i="8"/>
  <c r="N1374" i="8"/>
  <c r="O1374" i="8"/>
  <c r="P1374" i="8"/>
  <c r="Q1374" i="8"/>
  <c r="R1374" i="8"/>
  <c r="S1374" i="8"/>
  <c r="T1374" i="8"/>
  <c r="E1375" i="8"/>
  <c r="F1375" i="8"/>
  <c r="G1375" i="8"/>
  <c r="H1375" i="8"/>
  <c r="I1375" i="8"/>
  <c r="J1375" i="8"/>
  <c r="K1375" i="8"/>
  <c r="L1375" i="8"/>
  <c r="M1375" i="8"/>
  <c r="N1375" i="8"/>
  <c r="O1375" i="8"/>
  <c r="P1375" i="8"/>
  <c r="Q1375" i="8"/>
  <c r="R1375" i="8"/>
  <c r="S1375" i="8"/>
  <c r="T1375" i="8"/>
  <c r="E1376" i="8"/>
  <c r="F1376" i="8"/>
  <c r="G1376" i="8"/>
  <c r="H1376" i="8"/>
  <c r="I1376" i="8"/>
  <c r="J1376" i="8"/>
  <c r="K1376" i="8"/>
  <c r="L1376" i="8"/>
  <c r="M1376" i="8"/>
  <c r="N1376" i="8"/>
  <c r="O1376" i="8"/>
  <c r="P1376" i="8"/>
  <c r="Q1376" i="8"/>
  <c r="R1376" i="8"/>
  <c r="S1376" i="8"/>
  <c r="T1376" i="8"/>
  <c r="E1377" i="8"/>
  <c r="F1377" i="8"/>
  <c r="G1377" i="8"/>
  <c r="H1377" i="8"/>
  <c r="I1377" i="8"/>
  <c r="J1377" i="8"/>
  <c r="K1377" i="8"/>
  <c r="L1377" i="8"/>
  <c r="M1377" i="8"/>
  <c r="N1377" i="8"/>
  <c r="O1377" i="8"/>
  <c r="P1377" i="8"/>
  <c r="Q1377" i="8"/>
  <c r="R1377" i="8"/>
  <c r="S1377" i="8"/>
  <c r="T1377" i="8"/>
  <c r="E1378" i="8"/>
  <c r="F1378" i="8"/>
  <c r="G1378" i="8"/>
  <c r="H1378" i="8"/>
  <c r="I1378" i="8"/>
  <c r="J1378" i="8"/>
  <c r="K1378" i="8"/>
  <c r="L1378" i="8"/>
  <c r="M1378" i="8"/>
  <c r="N1378" i="8"/>
  <c r="O1378" i="8"/>
  <c r="P1378" i="8"/>
  <c r="Q1378" i="8"/>
  <c r="R1378" i="8"/>
  <c r="S1378" i="8"/>
  <c r="T1378" i="8"/>
  <c r="E1379" i="8"/>
  <c r="F1379" i="8"/>
  <c r="G1379" i="8"/>
  <c r="H1379" i="8"/>
  <c r="I1379" i="8"/>
  <c r="J1379" i="8"/>
  <c r="K1379" i="8"/>
  <c r="L1379" i="8"/>
  <c r="M1379" i="8"/>
  <c r="N1379" i="8"/>
  <c r="O1379" i="8"/>
  <c r="P1379" i="8"/>
  <c r="Q1379" i="8"/>
  <c r="R1379" i="8"/>
  <c r="S1379" i="8"/>
  <c r="T1379" i="8"/>
  <c r="E1380" i="8"/>
  <c r="F1380" i="8"/>
  <c r="G1380" i="8"/>
  <c r="H1380" i="8"/>
  <c r="I1380" i="8"/>
  <c r="J1380" i="8"/>
  <c r="K1380" i="8"/>
  <c r="L1380" i="8"/>
  <c r="M1380" i="8"/>
  <c r="N1380" i="8"/>
  <c r="O1380" i="8"/>
  <c r="P1380" i="8"/>
  <c r="Q1380" i="8"/>
  <c r="R1380" i="8"/>
  <c r="S1380" i="8"/>
  <c r="T1380" i="8"/>
  <c r="E1381" i="8"/>
  <c r="F1381" i="8"/>
  <c r="G1381" i="8"/>
  <c r="H1381" i="8"/>
  <c r="I1381" i="8"/>
  <c r="J1381" i="8"/>
  <c r="K1381" i="8"/>
  <c r="L1381" i="8"/>
  <c r="M1381" i="8"/>
  <c r="N1381" i="8"/>
  <c r="O1381" i="8"/>
  <c r="P1381" i="8"/>
  <c r="Q1381" i="8"/>
  <c r="R1381" i="8"/>
  <c r="S1381" i="8"/>
  <c r="T1381" i="8"/>
  <c r="E130" i="7"/>
  <c r="F130" i="7"/>
  <c r="G130" i="7"/>
  <c r="H130" i="7"/>
  <c r="I130" i="7"/>
  <c r="J130" i="7"/>
  <c r="K130" i="7"/>
  <c r="L130" i="7"/>
  <c r="M130" i="7"/>
  <c r="N130" i="7"/>
  <c r="P130" i="7"/>
  <c r="Q130" i="7"/>
  <c r="R130" i="7"/>
  <c r="S130" i="7"/>
  <c r="U130" i="7"/>
  <c r="V130" i="7"/>
  <c r="W130" i="7"/>
  <c r="X130" i="7"/>
  <c r="Y130" i="7"/>
  <c r="Z130" i="7"/>
  <c r="AA130" i="7"/>
  <c r="AC130" i="7"/>
  <c r="AE130" i="7"/>
  <c r="AI130" i="7"/>
  <c r="AO130" i="7"/>
  <c r="AP130" i="7"/>
  <c r="E1360" i="8"/>
  <c r="F1360" i="8"/>
  <c r="G1360" i="8"/>
  <c r="H1360" i="8"/>
  <c r="I1360" i="8"/>
  <c r="J1360" i="8"/>
  <c r="K1360" i="8"/>
  <c r="L1360" i="8"/>
  <c r="M1360" i="8"/>
  <c r="N1360" i="8"/>
  <c r="O1360" i="8"/>
  <c r="P1360" i="8"/>
  <c r="Q1360" i="8"/>
  <c r="R1360" i="8"/>
  <c r="S1360" i="8"/>
  <c r="T1360" i="8"/>
  <c r="E1361" i="8"/>
  <c r="F1361" i="8"/>
  <c r="G1361" i="8"/>
  <c r="H1361" i="8"/>
  <c r="I1361" i="8"/>
  <c r="J1361" i="8"/>
  <c r="K1361" i="8"/>
  <c r="L1361" i="8"/>
  <c r="M1361" i="8"/>
  <c r="N1361" i="8"/>
  <c r="O1361" i="8"/>
  <c r="P1361" i="8"/>
  <c r="Q1361" i="8"/>
  <c r="R1361" i="8"/>
  <c r="S1361" i="8"/>
  <c r="T1361" i="8"/>
  <c r="E1362" i="8"/>
  <c r="F1362" i="8"/>
  <c r="G1362" i="8"/>
  <c r="H1362" i="8"/>
  <c r="I1362" i="8"/>
  <c r="J1362" i="8"/>
  <c r="K1362" i="8"/>
  <c r="L1362" i="8"/>
  <c r="M1362" i="8"/>
  <c r="N1362" i="8"/>
  <c r="O1362" i="8"/>
  <c r="P1362" i="8"/>
  <c r="Q1362" i="8"/>
  <c r="R1362" i="8"/>
  <c r="S1362" i="8"/>
  <c r="T1362" i="8"/>
  <c r="E1363" i="8"/>
  <c r="F1363" i="8"/>
  <c r="G1363" i="8"/>
  <c r="H1363" i="8"/>
  <c r="I1363" i="8"/>
  <c r="J1363" i="8"/>
  <c r="K1363" i="8"/>
  <c r="L1363" i="8"/>
  <c r="M1363" i="8"/>
  <c r="N1363" i="8"/>
  <c r="O1363" i="8"/>
  <c r="P1363" i="8"/>
  <c r="Q1363" i="8"/>
  <c r="R1363" i="8"/>
  <c r="S1363" i="8"/>
  <c r="T1363" i="8"/>
  <c r="E1364" i="8"/>
  <c r="F1364" i="8"/>
  <c r="G1364" i="8"/>
  <c r="H1364" i="8"/>
  <c r="I1364" i="8"/>
  <c r="J1364" i="8"/>
  <c r="K1364" i="8"/>
  <c r="L1364" i="8"/>
  <c r="M1364" i="8"/>
  <c r="N1364" i="8"/>
  <c r="O1364" i="8"/>
  <c r="P1364" i="8"/>
  <c r="Q1364" i="8"/>
  <c r="R1364" i="8"/>
  <c r="S1364" i="8"/>
  <c r="T1364" i="8"/>
  <c r="E1365" i="8"/>
  <c r="F1365" i="8"/>
  <c r="G1365" i="8"/>
  <c r="H1365" i="8"/>
  <c r="I1365" i="8"/>
  <c r="J1365" i="8"/>
  <c r="K1365" i="8"/>
  <c r="L1365" i="8"/>
  <c r="M1365" i="8"/>
  <c r="N1365" i="8"/>
  <c r="O1365" i="8"/>
  <c r="P1365" i="8"/>
  <c r="Q1365" i="8"/>
  <c r="R1365" i="8"/>
  <c r="S1365" i="8"/>
  <c r="T1365" i="8"/>
  <c r="E1366" i="8"/>
  <c r="F1366" i="8"/>
  <c r="G1366" i="8"/>
  <c r="H1366" i="8"/>
  <c r="I1366" i="8"/>
  <c r="J1366" i="8"/>
  <c r="K1366" i="8"/>
  <c r="L1366" i="8"/>
  <c r="M1366" i="8"/>
  <c r="N1366" i="8"/>
  <c r="O1366" i="8"/>
  <c r="P1366" i="8"/>
  <c r="Q1366" i="8"/>
  <c r="R1366" i="8"/>
  <c r="S1366" i="8"/>
  <c r="T1366" i="8"/>
  <c r="E1367" i="8"/>
  <c r="F1367" i="8"/>
  <c r="G1367" i="8"/>
  <c r="H1367" i="8"/>
  <c r="I1367" i="8"/>
  <c r="J1367" i="8"/>
  <c r="K1367" i="8"/>
  <c r="L1367" i="8"/>
  <c r="M1367" i="8"/>
  <c r="N1367" i="8"/>
  <c r="O1367" i="8"/>
  <c r="P1367" i="8"/>
  <c r="Q1367" i="8"/>
  <c r="R1367" i="8"/>
  <c r="S1367" i="8"/>
  <c r="T1367" i="8"/>
  <c r="E1368" i="8"/>
  <c r="F1368" i="8"/>
  <c r="G1368" i="8"/>
  <c r="H1368" i="8"/>
  <c r="I1368" i="8"/>
  <c r="J1368" i="8"/>
  <c r="K1368" i="8"/>
  <c r="L1368" i="8"/>
  <c r="M1368" i="8"/>
  <c r="N1368" i="8"/>
  <c r="O1368" i="8"/>
  <c r="P1368" i="8"/>
  <c r="Q1368" i="8"/>
  <c r="R1368" i="8"/>
  <c r="S1368" i="8"/>
  <c r="T1368" i="8"/>
  <c r="E1369" i="8"/>
  <c r="F1369" i="8"/>
  <c r="G1369" i="8"/>
  <c r="H1369" i="8"/>
  <c r="I1369" i="8"/>
  <c r="J1369" i="8"/>
  <c r="K1369" i="8"/>
  <c r="L1369" i="8"/>
  <c r="M1369" i="8"/>
  <c r="N1369" i="8"/>
  <c r="O1369" i="8"/>
  <c r="P1369" i="8"/>
  <c r="Q1369" i="8"/>
  <c r="R1369" i="8"/>
  <c r="S1369" i="8"/>
  <c r="T1369" i="8"/>
  <c r="E1370" i="8"/>
  <c r="F1370" i="8"/>
  <c r="G1370" i="8"/>
  <c r="H1370" i="8"/>
  <c r="I1370" i="8"/>
  <c r="J1370" i="8"/>
  <c r="K1370" i="8"/>
  <c r="L1370" i="8"/>
  <c r="M1370" i="8"/>
  <c r="N1370" i="8"/>
  <c r="O1370" i="8"/>
  <c r="P1370" i="8"/>
  <c r="Q1370" i="8"/>
  <c r="R1370" i="8"/>
  <c r="S1370" i="8"/>
  <c r="T1370" i="8"/>
  <c r="E129" i="7"/>
  <c r="F129" i="7"/>
  <c r="G129" i="7"/>
  <c r="H129" i="7"/>
  <c r="I129" i="7"/>
  <c r="J129" i="7"/>
  <c r="K129" i="7"/>
  <c r="L129" i="7"/>
  <c r="M129" i="7"/>
  <c r="N129" i="7"/>
  <c r="P129" i="7"/>
  <c r="Q129" i="7"/>
  <c r="R129" i="7"/>
  <c r="S129" i="7"/>
  <c r="U129" i="7"/>
  <c r="V129" i="7"/>
  <c r="W129" i="7"/>
  <c r="X129" i="7"/>
  <c r="Y129" i="7"/>
  <c r="Z129" i="7"/>
  <c r="AA129" i="7"/>
  <c r="AC129" i="7"/>
  <c r="AE129" i="7"/>
  <c r="AI129" i="7"/>
  <c r="AO129" i="7"/>
  <c r="AP129" i="7"/>
  <c r="E1349" i="8"/>
  <c r="F1349" i="8"/>
  <c r="G1349" i="8"/>
  <c r="H1349" i="8"/>
  <c r="I1349" i="8"/>
  <c r="J1349" i="8"/>
  <c r="K1349" i="8"/>
  <c r="L1349" i="8"/>
  <c r="M1349" i="8"/>
  <c r="N1349" i="8"/>
  <c r="O1349" i="8"/>
  <c r="P1349" i="8"/>
  <c r="Q1349" i="8"/>
  <c r="R1349" i="8"/>
  <c r="S1349" i="8"/>
  <c r="T1349" i="8"/>
  <c r="E1350" i="8"/>
  <c r="F1350" i="8"/>
  <c r="G1350" i="8"/>
  <c r="H1350" i="8"/>
  <c r="I1350" i="8"/>
  <c r="J1350" i="8"/>
  <c r="K1350" i="8"/>
  <c r="L1350" i="8"/>
  <c r="M1350" i="8"/>
  <c r="N1350" i="8"/>
  <c r="O1350" i="8"/>
  <c r="P1350" i="8"/>
  <c r="Q1350" i="8"/>
  <c r="R1350" i="8"/>
  <c r="S1350" i="8"/>
  <c r="T1350" i="8"/>
  <c r="E1351" i="8"/>
  <c r="F1351" i="8"/>
  <c r="G1351" i="8"/>
  <c r="H1351" i="8"/>
  <c r="I1351" i="8"/>
  <c r="J1351" i="8"/>
  <c r="K1351" i="8"/>
  <c r="L1351" i="8"/>
  <c r="M1351" i="8"/>
  <c r="N1351" i="8"/>
  <c r="O1351" i="8"/>
  <c r="P1351" i="8"/>
  <c r="Q1351" i="8"/>
  <c r="R1351" i="8"/>
  <c r="S1351" i="8"/>
  <c r="T1351" i="8"/>
  <c r="E1352" i="8"/>
  <c r="F1352" i="8"/>
  <c r="G1352" i="8"/>
  <c r="H1352" i="8"/>
  <c r="I1352" i="8"/>
  <c r="J1352" i="8"/>
  <c r="K1352" i="8"/>
  <c r="L1352" i="8"/>
  <c r="M1352" i="8"/>
  <c r="N1352" i="8"/>
  <c r="O1352" i="8"/>
  <c r="P1352" i="8"/>
  <c r="Q1352" i="8"/>
  <c r="R1352" i="8"/>
  <c r="S1352" i="8"/>
  <c r="T1352" i="8"/>
  <c r="E1353" i="8"/>
  <c r="F1353" i="8"/>
  <c r="G1353" i="8"/>
  <c r="H1353" i="8"/>
  <c r="I1353" i="8"/>
  <c r="J1353" i="8"/>
  <c r="K1353" i="8"/>
  <c r="L1353" i="8"/>
  <c r="M1353" i="8"/>
  <c r="N1353" i="8"/>
  <c r="O1353" i="8"/>
  <c r="P1353" i="8"/>
  <c r="Q1353" i="8"/>
  <c r="R1353" i="8"/>
  <c r="S1353" i="8"/>
  <c r="T1353" i="8"/>
  <c r="E1354" i="8"/>
  <c r="F1354" i="8"/>
  <c r="G1354" i="8"/>
  <c r="H1354" i="8"/>
  <c r="I1354" i="8"/>
  <c r="J1354" i="8"/>
  <c r="K1354" i="8"/>
  <c r="L1354" i="8"/>
  <c r="M1354" i="8"/>
  <c r="N1354" i="8"/>
  <c r="O1354" i="8"/>
  <c r="P1354" i="8"/>
  <c r="Q1354" i="8"/>
  <c r="R1354" i="8"/>
  <c r="S1354" i="8"/>
  <c r="T1354" i="8"/>
  <c r="E1355" i="8"/>
  <c r="F1355" i="8"/>
  <c r="G1355" i="8"/>
  <c r="H1355" i="8"/>
  <c r="I1355" i="8"/>
  <c r="J1355" i="8"/>
  <c r="K1355" i="8"/>
  <c r="L1355" i="8"/>
  <c r="M1355" i="8"/>
  <c r="N1355" i="8"/>
  <c r="O1355" i="8"/>
  <c r="P1355" i="8"/>
  <c r="Q1355" i="8"/>
  <c r="R1355" i="8"/>
  <c r="S1355" i="8"/>
  <c r="T1355" i="8"/>
  <c r="E1356" i="8"/>
  <c r="F1356" i="8"/>
  <c r="G1356" i="8"/>
  <c r="H1356" i="8"/>
  <c r="I1356" i="8"/>
  <c r="J1356" i="8"/>
  <c r="K1356" i="8"/>
  <c r="L1356" i="8"/>
  <c r="M1356" i="8"/>
  <c r="N1356" i="8"/>
  <c r="O1356" i="8"/>
  <c r="P1356" i="8"/>
  <c r="Q1356" i="8"/>
  <c r="R1356" i="8"/>
  <c r="S1356" i="8"/>
  <c r="T1356" i="8"/>
  <c r="E1357" i="8"/>
  <c r="F1357" i="8"/>
  <c r="G1357" i="8"/>
  <c r="H1357" i="8"/>
  <c r="I1357" i="8"/>
  <c r="J1357" i="8"/>
  <c r="K1357" i="8"/>
  <c r="L1357" i="8"/>
  <c r="M1357" i="8"/>
  <c r="N1357" i="8"/>
  <c r="O1357" i="8"/>
  <c r="P1357" i="8"/>
  <c r="Q1357" i="8"/>
  <c r="R1357" i="8"/>
  <c r="S1357" i="8"/>
  <c r="T1357" i="8"/>
  <c r="E1358" i="8"/>
  <c r="F1358" i="8"/>
  <c r="G1358" i="8"/>
  <c r="H1358" i="8"/>
  <c r="I1358" i="8"/>
  <c r="J1358" i="8"/>
  <c r="K1358" i="8"/>
  <c r="L1358" i="8"/>
  <c r="M1358" i="8"/>
  <c r="N1358" i="8"/>
  <c r="O1358" i="8"/>
  <c r="P1358" i="8"/>
  <c r="Q1358" i="8"/>
  <c r="R1358" i="8"/>
  <c r="S1358" i="8"/>
  <c r="T1358" i="8"/>
  <c r="E1359" i="8"/>
  <c r="F1359" i="8"/>
  <c r="G1359" i="8"/>
  <c r="H1359" i="8"/>
  <c r="I1359" i="8"/>
  <c r="J1359" i="8"/>
  <c r="K1359" i="8"/>
  <c r="L1359" i="8"/>
  <c r="M1359" i="8"/>
  <c r="N1359" i="8"/>
  <c r="O1359" i="8"/>
  <c r="P1359" i="8"/>
  <c r="Q1359" i="8"/>
  <c r="R1359" i="8"/>
  <c r="S1359" i="8"/>
  <c r="T1359" i="8"/>
  <c r="E128" i="7"/>
  <c r="F128" i="7"/>
  <c r="G128" i="7"/>
  <c r="H128" i="7"/>
  <c r="I128" i="7"/>
  <c r="J128" i="7"/>
  <c r="K128" i="7"/>
  <c r="L128" i="7"/>
  <c r="M128" i="7"/>
  <c r="N128" i="7"/>
  <c r="P128" i="7"/>
  <c r="Q128" i="7"/>
  <c r="R128" i="7"/>
  <c r="S128" i="7"/>
  <c r="U128" i="7"/>
  <c r="V128" i="7"/>
  <c r="W128" i="7"/>
  <c r="X128" i="7"/>
  <c r="Y128" i="7"/>
  <c r="Z128" i="7"/>
  <c r="AA128" i="7"/>
  <c r="AC128" i="7"/>
  <c r="AE128" i="7"/>
  <c r="AI128" i="7"/>
  <c r="AO128" i="7"/>
  <c r="AP128" i="7"/>
  <c r="E1338" i="8"/>
  <c r="F1338" i="8"/>
  <c r="G1338" i="8"/>
  <c r="H1338" i="8"/>
  <c r="I1338" i="8"/>
  <c r="J1338" i="8"/>
  <c r="K1338" i="8"/>
  <c r="L1338" i="8"/>
  <c r="M1338" i="8"/>
  <c r="N1338" i="8"/>
  <c r="O1338" i="8"/>
  <c r="P1338" i="8"/>
  <c r="Q1338" i="8"/>
  <c r="R1338" i="8"/>
  <c r="S1338" i="8"/>
  <c r="T1338" i="8"/>
  <c r="E1339" i="8"/>
  <c r="F1339" i="8"/>
  <c r="G1339" i="8"/>
  <c r="H1339" i="8"/>
  <c r="I1339" i="8"/>
  <c r="J1339" i="8"/>
  <c r="K1339" i="8"/>
  <c r="L1339" i="8"/>
  <c r="M1339" i="8"/>
  <c r="N1339" i="8"/>
  <c r="O1339" i="8"/>
  <c r="P1339" i="8"/>
  <c r="Q1339" i="8"/>
  <c r="R1339" i="8"/>
  <c r="S1339" i="8"/>
  <c r="T1339" i="8"/>
  <c r="E1340" i="8"/>
  <c r="F1340" i="8"/>
  <c r="G1340" i="8"/>
  <c r="H1340" i="8"/>
  <c r="I1340" i="8"/>
  <c r="J1340" i="8"/>
  <c r="K1340" i="8"/>
  <c r="L1340" i="8"/>
  <c r="M1340" i="8"/>
  <c r="N1340" i="8"/>
  <c r="O1340" i="8"/>
  <c r="P1340" i="8"/>
  <c r="Q1340" i="8"/>
  <c r="R1340" i="8"/>
  <c r="S1340" i="8"/>
  <c r="T1340" i="8"/>
  <c r="E1341" i="8"/>
  <c r="F1341" i="8"/>
  <c r="G1341" i="8"/>
  <c r="H1341" i="8"/>
  <c r="I1341" i="8"/>
  <c r="J1341" i="8"/>
  <c r="K1341" i="8"/>
  <c r="L1341" i="8"/>
  <c r="M1341" i="8"/>
  <c r="N1341" i="8"/>
  <c r="O1341" i="8"/>
  <c r="P1341" i="8"/>
  <c r="Q1341" i="8"/>
  <c r="R1341" i="8"/>
  <c r="S1341" i="8"/>
  <c r="T1341" i="8"/>
  <c r="E1342" i="8"/>
  <c r="F1342" i="8"/>
  <c r="G1342" i="8"/>
  <c r="H1342" i="8"/>
  <c r="I1342" i="8"/>
  <c r="J1342" i="8"/>
  <c r="K1342" i="8"/>
  <c r="L1342" i="8"/>
  <c r="M1342" i="8"/>
  <c r="N1342" i="8"/>
  <c r="O1342" i="8"/>
  <c r="P1342" i="8"/>
  <c r="Q1342" i="8"/>
  <c r="R1342" i="8"/>
  <c r="S1342" i="8"/>
  <c r="T1342" i="8"/>
  <c r="E1343" i="8"/>
  <c r="F1343" i="8"/>
  <c r="G1343" i="8"/>
  <c r="H1343" i="8"/>
  <c r="I1343" i="8"/>
  <c r="J1343" i="8"/>
  <c r="K1343" i="8"/>
  <c r="L1343" i="8"/>
  <c r="M1343" i="8"/>
  <c r="N1343" i="8"/>
  <c r="O1343" i="8"/>
  <c r="P1343" i="8"/>
  <c r="Q1343" i="8"/>
  <c r="R1343" i="8"/>
  <c r="S1343" i="8"/>
  <c r="T1343" i="8"/>
  <c r="E1344" i="8"/>
  <c r="F1344" i="8"/>
  <c r="G1344" i="8"/>
  <c r="H1344" i="8"/>
  <c r="I1344" i="8"/>
  <c r="J1344" i="8"/>
  <c r="K1344" i="8"/>
  <c r="L1344" i="8"/>
  <c r="M1344" i="8"/>
  <c r="N1344" i="8"/>
  <c r="O1344" i="8"/>
  <c r="P1344" i="8"/>
  <c r="Q1344" i="8"/>
  <c r="R1344" i="8"/>
  <c r="S1344" i="8"/>
  <c r="T1344" i="8"/>
  <c r="E1345" i="8"/>
  <c r="F1345" i="8"/>
  <c r="G1345" i="8"/>
  <c r="H1345" i="8"/>
  <c r="I1345" i="8"/>
  <c r="J1345" i="8"/>
  <c r="K1345" i="8"/>
  <c r="L1345" i="8"/>
  <c r="M1345" i="8"/>
  <c r="N1345" i="8"/>
  <c r="O1345" i="8"/>
  <c r="P1345" i="8"/>
  <c r="Q1345" i="8"/>
  <c r="R1345" i="8"/>
  <c r="S1345" i="8"/>
  <c r="T1345" i="8"/>
  <c r="E1346" i="8"/>
  <c r="F1346" i="8"/>
  <c r="G1346" i="8"/>
  <c r="H1346" i="8"/>
  <c r="I1346" i="8"/>
  <c r="J1346" i="8"/>
  <c r="K1346" i="8"/>
  <c r="L1346" i="8"/>
  <c r="M1346" i="8"/>
  <c r="N1346" i="8"/>
  <c r="O1346" i="8"/>
  <c r="P1346" i="8"/>
  <c r="Q1346" i="8"/>
  <c r="R1346" i="8"/>
  <c r="S1346" i="8"/>
  <c r="T1346" i="8"/>
  <c r="E1347" i="8"/>
  <c r="F1347" i="8"/>
  <c r="G1347" i="8"/>
  <c r="H1347" i="8"/>
  <c r="I1347" i="8"/>
  <c r="J1347" i="8"/>
  <c r="K1347" i="8"/>
  <c r="L1347" i="8"/>
  <c r="M1347" i="8"/>
  <c r="N1347" i="8"/>
  <c r="O1347" i="8"/>
  <c r="P1347" i="8"/>
  <c r="Q1347" i="8"/>
  <c r="R1347" i="8"/>
  <c r="S1347" i="8"/>
  <c r="T1347" i="8"/>
  <c r="E1348" i="8"/>
  <c r="F1348" i="8"/>
  <c r="G1348" i="8"/>
  <c r="H1348" i="8"/>
  <c r="I1348" i="8"/>
  <c r="J1348" i="8"/>
  <c r="K1348" i="8"/>
  <c r="L1348" i="8"/>
  <c r="M1348" i="8"/>
  <c r="N1348" i="8"/>
  <c r="O1348" i="8"/>
  <c r="P1348" i="8"/>
  <c r="Q1348" i="8"/>
  <c r="R1348" i="8"/>
  <c r="S1348" i="8"/>
  <c r="T1348" i="8"/>
  <c r="E127" i="7"/>
  <c r="F127" i="7"/>
  <c r="G127" i="7"/>
  <c r="H127" i="7"/>
  <c r="I127" i="7"/>
  <c r="J127" i="7"/>
  <c r="K127" i="7"/>
  <c r="L127" i="7"/>
  <c r="M127" i="7"/>
  <c r="N127" i="7"/>
  <c r="P127" i="7"/>
  <c r="Q127" i="7"/>
  <c r="R127" i="7"/>
  <c r="S127" i="7"/>
  <c r="U127" i="7"/>
  <c r="V127" i="7"/>
  <c r="W127" i="7"/>
  <c r="X127" i="7"/>
  <c r="Y127" i="7"/>
  <c r="Z127" i="7"/>
  <c r="AA127" i="7"/>
  <c r="AC127" i="7"/>
  <c r="AE127" i="7"/>
  <c r="AI127" i="7"/>
  <c r="AO127" i="7"/>
  <c r="AP127" i="7"/>
  <c r="E1327" i="8"/>
  <c r="F1327" i="8"/>
  <c r="G1327" i="8"/>
  <c r="H1327" i="8"/>
  <c r="I1327" i="8"/>
  <c r="J1327" i="8"/>
  <c r="K1327" i="8"/>
  <c r="L1327" i="8"/>
  <c r="M1327" i="8"/>
  <c r="N1327" i="8"/>
  <c r="O1327" i="8"/>
  <c r="P1327" i="8"/>
  <c r="Q1327" i="8"/>
  <c r="R1327" i="8"/>
  <c r="S1327" i="8"/>
  <c r="T1327" i="8"/>
  <c r="E1328" i="8"/>
  <c r="F1328" i="8"/>
  <c r="G1328" i="8"/>
  <c r="H1328" i="8"/>
  <c r="I1328" i="8"/>
  <c r="J1328" i="8"/>
  <c r="K1328" i="8"/>
  <c r="L1328" i="8"/>
  <c r="M1328" i="8"/>
  <c r="N1328" i="8"/>
  <c r="O1328" i="8"/>
  <c r="P1328" i="8"/>
  <c r="Q1328" i="8"/>
  <c r="R1328" i="8"/>
  <c r="S1328" i="8"/>
  <c r="T1328" i="8"/>
  <c r="E1329" i="8"/>
  <c r="F1329" i="8"/>
  <c r="G1329" i="8"/>
  <c r="H1329" i="8"/>
  <c r="I1329" i="8"/>
  <c r="J1329" i="8"/>
  <c r="K1329" i="8"/>
  <c r="L1329" i="8"/>
  <c r="M1329" i="8"/>
  <c r="N1329" i="8"/>
  <c r="O1329" i="8"/>
  <c r="P1329" i="8"/>
  <c r="Q1329" i="8"/>
  <c r="R1329" i="8"/>
  <c r="S1329" i="8"/>
  <c r="T1329" i="8"/>
  <c r="E1330" i="8"/>
  <c r="F1330" i="8"/>
  <c r="G1330" i="8"/>
  <c r="H1330" i="8"/>
  <c r="I1330" i="8"/>
  <c r="J1330" i="8"/>
  <c r="K1330" i="8"/>
  <c r="L1330" i="8"/>
  <c r="M1330" i="8"/>
  <c r="N1330" i="8"/>
  <c r="O1330" i="8"/>
  <c r="P1330" i="8"/>
  <c r="Q1330" i="8"/>
  <c r="R1330" i="8"/>
  <c r="S1330" i="8"/>
  <c r="T1330" i="8"/>
  <c r="E1331" i="8"/>
  <c r="F1331" i="8"/>
  <c r="G1331" i="8"/>
  <c r="H1331" i="8"/>
  <c r="I1331" i="8"/>
  <c r="J1331" i="8"/>
  <c r="K1331" i="8"/>
  <c r="L1331" i="8"/>
  <c r="M1331" i="8"/>
  <c r="N1331" i="8"/>
  <c r="O1331" i="8"/>
  <c r="P1331" i="8"/>
  <c r="Q1331" i="8"/>
  <c r="R1331" i="8"/>
  <c r="S1331" i="8"/>
  <c r="T1331" i="8"/>
  <c r="E1332" i="8"/>
  <c r="F1332" i="8"/>
  <c r="G1332" i="8"/>
  <c r="H1332" i="8"/>
  <c r="I1332" i="8"/>
  <c r="J1332" i="8"/>
  <c r="K1332" i="8"/>
  <c r="L1332" i="8"/>
  <c r="M1332" i="8"/>
  <c r="N1332" i="8"/>
  <c r="O1332" i="8"/>
  <c r="P1332" i="8"/>
  <c r="Q1332" i="8"/>
  <c r="R1332" i="8"/>
  <c r="S1332" i="8"/>
  <c r="T1332" i="8"/>
  <c r="E1333" i="8"/>
  <c r="F1333" i="8"/>
  <c r="G1333" i="8"/>
  <c r="H1333" i="8"/>
  <c r="I1333" i="8"/>
  <c r="J1333" i="8"/>
  <c r="K1333" i="8"/>
  <c r="L1333" i="8"/>
  <c r="M1333" i="8"/>
  <c r="N1333" i="8"/>
  <c r="O1333" i="8"/>
  <c r="P1333" i="8"/>
  <c r="Q1333" i="8"/>
  <c r="R1333" i="8"/>
  <c r="S1333" i="8"/>
  <c r="T1333" i="8"/>
  <c r="E1334" i="8"/>
  <c r="F1334" i="8"/>
  <c r="G1334" i="8"/>
  <c r="H1334" i="8"/>
  <c r="I1334" i="8"/>
  <c r="J1334" i="8"/>
  <c r="K1334" i="8"/>
  <c r="L1334" i="8"/>
  <c r="M1334" i="8"/>
  <c r="N1334" i="8"/>
  <c r="O1334" i="8"/>
  <c r="P1334" i="8"/>
  <c r="Q1334" i="8"/>
  <c r="R1334" i="8"/>
  <c r="S1334" i="8"/>
  <c r="T1334" i="8"/>
  <c r="E1335" i="8"/>
  <c r="F1335" i="8"/>
  <c r="G1335" i="8"/>
  <c r="H1335" i="8"/>
  <c r="I1335" i="8"/>
  <c r="J1335" i="8"/>
  <c r="K1335" i="8"/>
  <c r="L1335" i="8"/>
  <c r="M1335" i="8"/>
  <c r="N1335" i="8"/>
  <c r="O1335" i="8"/>
  <c r="P1335" i="8"/>
  <c r="Q1335" i="8"/>
  <c r="R1335" i="8"/>
  <c r="S1335" i="8"/>
  <c r="T1335" i="8"/>
  <c r="E1336" i="8"/>
  <c r="F1336" i="8"/>
  <c r="G1336" i="8"/>
  <c r="H1336" i="8"/>
  <c r="I1336" i="8"/>
  <c r="J1336" i="8"/>
  <c r="K1336" i="8"/>
  <c r="L1336" i="8"/>
  <c r="M1336" i="8"/>
  <c r="N1336" i="8"/>
  <c r="O1336" i="8"/>
  <c r="P1336" i="8"/>
  <c r="Q1336" i="8"/>
  <c r="R1336" i="8"/>
  <c r="S1336" i="8"/>
  <c r="T1336" i="8"/>
  <c r="E1337" i="8"/>
  <c r="F1337" i="8"/>
  <c r="G1337" i="8"/>
  <c r="H1337" i="8"/>
  <c r="I1337" i="8"/>
  <c r="J1337" i="8"/>
  <c r="K1337" i="8"/>
  <c r="L1337" i="8"/>
  <c r="M1337" i="8"/>
  <c r="N1337" i="8"/>
  <c r="O1337" i="8"/>
  <c r="P1337" i="8"/>
  <c r="Q1337" i="8"/>
  <c r="R1337" i="8"/>
  <c r="S1337" i="8"/>
  <c r="T1337" i="8"/>
  <c r="E126" i="7"/>
  <c r="F126" i="7"/>
  <c r="G126" i="7"/>
  <c r="H126" i="7"/>
  <c r="I126" i="7"/>
  <c r="J126" i="7"/>
  <c r="K126" i="7"/>
  <c r="L126" i="7"/>
  <c r="M126" i="7"/>
  <c r="N126" i="7"/>
  <c r="P126" i="7"/>
  <c r="Q126" i="7"/>
  <c r="R126" i="7"/>
  <c r="S126" i="7"/>
  <c r="U126" i="7"/>
  <c r="V126" i="7"/>
  <c r="W126" i="7"/>
  <c r="X126" i="7"/>
  <c r="Y126" i="7"/>
  <c r="Z126" i="7"/>
  <c r="AA126" i="7"/>
  <c r="AC126" i="7"/>
  <c r="AE126" i="7"/>
  <c r="AI126" i="7"/>
  <c r="AO126" i="7"/>
  <c r="AP126" i="7"/>
  <c r="E1316" i="8"/>
  <c r="F1316" i="8"/>
  <c r="G1316" i="8"/>
  <c r="H1316" i="8"/>
  <c r="I1316" i="8"/>
  <c r="J1316" i="8"/>
  <c r="K1316" i="8"/>
  <c r="L1316" i="8"/>
  <c r="M1316" i="8"/>
  <c r="N1316" i="8"/>
  <c r="O1316" i="8"/>
  <c r="P1316" i="8"/>
  <c r="Q1316" i="8"/>
  <c r="R1316" i="8"/>
  <c r="S1316" i="8"/>
  <c r="T1316" i="8"/>
  <c r="E1317" i="8"/>
  <c r="F1317" i="8"/>
  <c r="G1317" i="8"/>
  <c r="H1317" i="8"/>
  <c r="I1317" i="8"/>
  <c r="J1317" i="8"/>
  <c r="K1317" i="8"/>
  <c r="L1317" i="8"/>
  <c r="M1317" i="8"/>
  <c r="N1317" i="8"/>
  <c r="O1317" i="8"/>
  <c r="P1317" i="8"/>
  <c r="Q1317" i="8"/>
  <c r="R1317" i="8"/>
  <c r="S1317" i="8"/>
  <c r="T1317" i="8"/>
  <c r="E1318" i="8"/>
  <c r="F1318" i="8"/>
  <c r="G1318" i="8"/>
  <c r="H1318" i="8"/>
  <c r="I1318" i="8"/>
  <c r="J1318" i="8"/>
  <c r="K1318" i="8"/>
  <c r="L1318" i="8"/>
  <c r="M1318" i="8"/>
  <c r="N1318" i="8"/>
  <c r="O1318" i="8"/>
  <c r="P1318" i="8"/>
  <c r="Q1318" i="8"/>
  <c r="R1318" i="8"/>
  <c r="S1318" i="8"/>
  <c r="T1318" i="8"/>
  <c r="E1319" i="8"/>
  <c r="F1319" i="8"/>
  <c r="G1319" i="8"/>
  <c r="H1319" i="8"/>
  <c r="I1319" i="8"/>
  <c r="J1319" i="8"/>
  <c r="K1319" i="8"/>
  <c r="L1319" i="8"/>
  <c r="M1319" i="8"/>
  <c r="N1319" i="8"/>
  <c r="O1319" i="8"/>
  <c r="P1319" i="8"/>
  <c r="Q1319" i="8"/>
  <c r="R1319" i="8"/>
  <c r="S1319" i="8"/>
  <c r="T1319" i="8"/>
  <c r="E1320" i="8"/>
  <c r="F1320" i="8"/>
  <c r="G1320" i="8"/>
  <c r="H1320" i="8"/>
  <c r="I1320" i="8"/>
  <c r="J1320" i="8"/>
  <c r="K1320" i="8"/>
  <c r="L1320" i="8"/>
  <c r="M1320" i="8"/>
  <c r="N1320" i="8"/>
  <c r="O1320" i="8"/>
  <c r="P1320" i="8"/>
  <c r="Q1320" i="8"/>
  <c r="R1320" i="8"/>
  <c r="S1320" i="8"/>
  <c r="T1320" i="8"/>
  <c r="E1321" i="8"/>
  <c r="F1321" i="8"/>
  <c r="G1321" i="8"/>
  <c r="H1321" i="8"/>
  <c r="I1321" i="8"/>
  <c r="J1321" i="8"/>
  <c r="K1321" i="8"/>
  <c r="L1321" i="8"/>
  <c r="M1321" i="8"/>
  <c r="N1321" i="8"/>
  <c r="O1321" i="8"/>
  <c r="P1321" i="8"/>
  <c r="Q1321" i="8"/>
  <c r="R1321" i="8"/>
  <c r="S1321" i="8"/>
  <c r="T1321" i="8"/>
  <c r="E1322" i="8"/>
  <c r="F1322" i="8"/>
  <c r="G1322" i="8"/>
  <c r="H1322" i="8"/>
  <c r="I1322" i="8"/>
  <c r="J1322" i="8"/>
  <c r="K1322" i="8"/>
  <c r="L1322" i="8"/>
  <c r="M1322" i="8"/>
  <c r="N1322" i="8"/>
  <c r="O1322" i="8"/>
  <c r="P1322" i="8"/>
  <c r="Q1322" i="8"/>
  <c r="R1322" i="8"/>
  <c r="S1322" i="8"/>
  <c r="T1322" i="8"/>
  <c r="E1323" i="8"/>
  <c r="F1323" i="8"/>
  <c r="G1323" i="8"/>
  <c r="H1323" i="8"/>
  <c r="I1323" i="8"/>
  <c r="J1323" i="8"/>
  <c r="K1323" i="8"/>
  <c r="L1323" i="8"/>
  <c r="M1323" i="8"/>
  <c r="N1323" i="8"/>
  <c r="O1323" i="8"/>
  <c r="P1323" i="8"/>
  <c r="Q1323" i="8"/>
  <c r="R1323" i="8"/>
  <c r="S1323" i="8"/>
  <c r="T1323" i="8"/>
  <c r="E1324" i="8"/>
  <c r="F1324" i="8"/>
  <c r="G1324" i="8"/>
  <c r="H1324" i="8"/>
  <c r="I1324" i="8"/>
  <c r="J1324" i="8"/>
  <c r="K1324" i="8"/>
  <c r="L1324" i="8"/>
  <c r="M1324" i="8"/>
  <c r="N1324" i="8"/>
  <c r="O1324" i="8"/>
  <c r="P1324" i="8"/>
  <c r="Q1324" i="8"/>
  <c r="R1324" i="8"/>
  <c r="S1324" i="8"/>
  <c r="T1324" i="8"/>
  <c r="E1325" i="8"/>
  <c r="F1325" i="8"/>
  <c r="G1325" i="8"/>
  <c r="H1325" i="8"/>
  <c r="I1325" i="8"/>
  <c r="J1325" i="8"/>
  <c r="K1325" i="8"/>
  <c r="L1325" i="8"/>
  <c r="M1325" i="8"/>
  <c r="N1325" i="8"/>
  <c r="O1325" i="8"/>
  <c r="P1325" i="8"/>
  <c r="Q1325" i="8"/>
  <c r="R1325" i="8"/>
  <c r="S1325" i="8"/>
  <c r="T1325" i="8"/>
  <c r="E1326" i="8"/>
  <c r="F1326" i="8"/>
  <c r="G1326" i="8"/>
  <c r="H1326" i="8"/>
  <c r="I1326" i="8"/>
  <c r="J1326" i="8"/>
  <c r="K1326" i="8"/>
  <c r="L1326" i="8"/>
  <c r="M1326" i="8"/>
  <c r="N1326" i="8"/>
  <c r="O1326" i="8"/>
  <c r="P1326" i="8"/>
  <c r="Q1326" i="8"/>
  <c r="R1326" i="8"/>
  <c r="S1326" i="8"/>
  <c r="T1326" i="8"/>
  <c r="O105" i="7"/>
  <c r="AK105" i="7"/>
  <c r="O104" i="7"/>
  <c r="AK104" i="7"/>
  <c r="E103" i="7"/>
  <c r="F103" i="7"/>
  <c r="G103" i="7"/>
  <c r="H103" i="7"/>
  <c r="I103" i="7"/>
  <c r="J103" i="7"/>
  <c r="K103" i="7"/>
  <c r="L103" i="7"/>
  <c r="M103" i="7"/>
  <c r="N103" i="7"/>
  <c r="P103" i="7"/>
  <c r="Q103" i="7"/>
  <c r="R103" i="7"/>
  <c r="S103" i="7"/>
  <c r="U103" i="7"/>
  <c r="V103" i="7"/>
  <c r="W103" i="7"/>
  <c r="X103" i="7"/>
  <c r="Y103" i="7"/>
  <c r="Z103" i="7"/>
  <c r="AA103" i="7"/>
  <c r="AC103" i="7"/>
  <c r="AE103" i="7"/>
  <c r="AI103" i="7"/>
  <c r="AO103" i="7"/>
  <c r="AP103" i="7"/>
  <c r="E1063" i="8"/>
  <c r="F1063" i="8"/>
  <c r="G1063" i="8"/>
  <c r="H1063" i="8"/>
  <c r="I1063" i="8"/>
  <c r="J1063" i="8"/>
  <c r="K1063" i="8"/>
  <c r="L1063" i="8"/>
  <c r="M1063" i="8"/>
  <c r="N1063" i="8"/>
  <c r="O1063" i="8"/>
  <c r="P1063" i="8"/>
  <c r="Q1063" i="8"/>
  <c r="R1063" i="8"/>
  <c r="S1063" i="8"/>
  <c r="T1063" i="8"/>
  <c r="E1064" i="8"/>
  <c r="F1064" i="8"/>
  <c r="G1064" i="8"/>
  <c r="H1064" i="8"/>
  <c r="I1064" i="8"/>
  <c r="J1064" i="8"/>
  <c r="K1064" i="8"/>
  <c r="L1064" i="8"/>
  <c r="M1064" i="8"/>
  <c r="N1064" i="8"/>
  <c r="O1064" i="8"/>
  <c r="P1064" i="8"/>
  <c r="Q1064" i="8"/>
  <c r="R1064" i="8"/>
  <c r="S1064" i="8"/>
  <c r="T1064" i="8"/>
  <c r="E1065" i="8"/>
  <c r="F1065" i="8"/>
  <c r="G1065" i="8"/>
  <c r="H1065" i="8"/>
  <c r="I1065" i="8"/>
  <c r="J1065" i="8"/>
  <c r="K1065" i="8"/>
  <c r="L1065" i="8"/>
  <c r="M1065" i="8"/>
  <c r="N1065" i="8"/>
  <c r="O1065" i="8"/>
  <c r="P1065" i="8"/>
  <c r="Q1065" i="8"/>
  <c r="R1065" i="8"/>
  <c r="S1065" i="8"/>
  <c r="T1065" i="8"/>
  <c r="E1066" i="8"/>
  <c r="F1066" i="8"/>
  <c r="G1066" i="8"/>
  <c r="H1066" i="8"/>
  <c r="I1066" i="8"/>
  <c r="J1066" i="8"/>
  <c r="K1066" i="8"/>
  <c r="L1066" i="8"/>
  <c r="M1066" i="8"/>
  <c r="N1066" i="8"/>
  <c r="O1066" i="8"/>
  <c r="P1066" i="8"/>
  <c r="Q1066" i="8"/>
  <c r="R1066" i="8"/>
  <c r="S1066" i="8"/>
  <c r="T1066" i="8"/>
  <c r="E1067" i="8"/>
  <c r="F1067" i="8"/>
  <c r="G1067" i="8"/>
  <c r="H1067" i="8"/>
  <c r="I1067" i="8"/>
  <c r="J1067" i="8"/>
  <c r="K1067" i="8"/>
  <c r="L1067" i="8"/>
  <c r="M1067" i="8"/>
  <c r="N1067" i="8"/>
  <c r="O1067" i="8"/>
  <c r="P1067" i="8"/>
  <c r="Q1067" i="8"/>
  <c r="R1067" i="8"/>
  <c r="S1067" i="8"/>
  <c r="T1067" i="8"/>
  <c r="E1068" i="8"/>
  <c r="F1068" i="8"/>
  <c r="G1068" i="8"/>
  <c r="H1068" i="8"/>
  <c r="I1068" i="8"/>
  <c r="J1068" i="8"/>
  <c r="K1068" i="8"/>
  <c r="L1068" i="8"/>
  <c r="M1068" i="8"/>
  <c r="N1068" i="8"/>
  <c r="O1068" i="8"/>
  <c r="P1068" i="8"/>
  <c r="Q1068" i="8"/>
  <c r="R1068" i="8"/>
  <c r="S1068" i="8"/>
  <c r="T1068" i="8"/>
  <c r="E1069" i="8"/>
  <c r="F1069" i="8"/>
  <c r="G1069" i="8"/>
  <c r="H1069" i="8"/>
  <c r="I1069" i="8"/>
  <c r="J1069" i="8"/>
  <c r="K1069" i="8"/>
  <c r="L1069" i="8"/>
  <c r="M1069" i="8"/>
  <c r="N1069" i="8"/>
  <c r="O1069" i="8"/>
  <c r="P1069" i="8"/>
  <c r="Q1069" i="8"/>
  <c r="R1069" i="8"/>
  <c r="S1069" i="8"/>
  <c r="T1069" i="8"/>
  <c r="E1070" i="8"/>
  <c r="F1070" i="8"/>
  <c r="G1070" i="8"/>
  <c r="H1070" i="8"/>
  <c r="I1070" i="8"/>
  <c r="J1070" i="8"/>
  <c r="K1070" i="8"/>
  <c r="L1070" i="8"/>
  <c r="M1070" i="8"/>
  <c r="N1070" i="8"/>
  <c r="O1070" i="8"/>
  <c r="P1070" i="8"/>
  <c r="Q1070" i="8"/>
  <c r="R1070" i="8"/>
  <c r="S1070" i="8"/>
  <c r="T1070" i="8"/>
  <c r="E1071" i="8"/>
  <c r="F1071" i="8"/>
  <c r="G1071" i="8"/>
  <c r="H1071" i="8"/>
  <c r="I1071" i="8"/>
  <c r="J1071" i="8"/>
  <c r="K1071" i="8"/>
  <c r="L1071" i="8"/>
  <c r="M1071" i="8"/>
  <c r="N1071" i="8"/>
  <c r="O1071" i="8"/>
  <c r="P1071" i="8"/>
  <c r="Q1071" i="8"/>
  <c r="R1071" i="8"/>
  <c r="S1071" i="8"/>
  <c r="T1071" i="8"/>
  <c r="E1072" i="8"/>
  <c r="F1072" i="8"/>
  <c r="G1072" i="8"/>
  <c r="H1072" i="8"/>
  <c r="I1072" i="8"/>
  <c r="J1072" i="8"/>
  <c r="K1072" i="8"/>
  <c r="L1072" i="8"/>
  <c r="M1072" i="8"/>
  <c r="N1072" i="8"/>
  <c r="O1072" i="8"/>
  <c r="P1072" i="8"/>
  <c r="Q1072" i="8"/>
  <c r="R1072" i="8"/>
  <c r="S1072" i="8"/>
  <c r="T1072" i="8"/>
  <c r="E1073" i="8"/>
  <c r="F1073" i="8"/>
  <c r="G1073" i="8"/>
  <c r="H1073" i="8"/>
  <c r="I1073" i="8"/>
  <c r="J1073" i="8"/>
  <c r="K1073" i="8"/>
  <c r="L1073" i="8"/>
  <c r="M1073" i="8"/>
  <c r="N1073" i="8"/>
  <c r="O1073" i="8"/>
  <c r="P1073" i="8"/>
  <c r="Q1073" i="8"/>
  <c r="R1073" i="8"/>
  <c r="S1073" i="8"/>
  <c r="T1073" i="8"/>
  <c r="E102" i="7"/>
  <c r="F102" i="7"/>
  <c r="G102" i="7"/>
  <c r="H102" i="7"/>
  <c r="I102" i="7"/>
  <c r="J102" i="7"/>
  <c r="K102" i="7"/>
  <c r="L102" i="7"/>
  <c r="M102" i="7"/>
  <c r="N102" i="7"/>
  <c r="P102" i="7"/>
  <c r="Q102" i="7"/>
  <c r="R102" i="7"/>
  <c r="S102" i="7"/>
  <c r="U102" i="7"/>
  <c r="V102" i="7"/>
  <c r="W102" i="7"/>
  <c r="X102" i="7"/>
  <c r="Y102" i="7"/>
  <c r="Z102" i="7"/>
  <c r="AA102" i="7"/>
  <c r="AC102" i="7"/>
  <c r="AE102" i="7"/>
  <c r="AI102" i="7"/>
  <c r="AO102" i="7"/>
  <c r="AP102" i="7"/>
  <c r="E1052" i="8"/>
  <c r="F1052" i="8"/>
  <c r="G1052" i="8"/>
  <c r="H1052" i="8"/>
  <c r="I1052" i="8"/>
  <c r="J1052" i="8"/>
  <c r="K1052" i="8"/>
  <c r="L1052" i="8"/>
  <c r="M1052" i="8"/>
  <c r="N1052" i="8"/>
  <c r="O1052" i="8"/>
  <c r="P1052" i="8"/>
  <c r="Q1052" i="8"/>
  <c r="R1052" i="8"/>
  <c r="S1052" i="8"/>
  <c r="T1052" i="8"/>
  <c r="E1053" i="8"/>
  <c r="F1053" i="8"/>
  <c r="G1053" i="8"/>
  <c r="H1053" i="8"/>
  <c r="I1053" i="8"/>
  <c r="J1053" i="8"/>
  <c r="K1053" i="8"/>
  <c r="L1053" i="8"/>
  <c r="M1053" i="8"/>
  <c r="N1053" i="8"/>
  <c r="O1053" i="8"/>
  <c r="P1053" i="8"/>
  <c r="Q1053" i="8"/>
  <c r="R1053" i="8"/>
  <c r="S1053" i="8"/>
  <c r="T1053" i="8"/>
  <c r="E1054" i="8"/>
  <c r="F1054" i="8"/>
  <c r="G1054" i="8"/>
  <c r="H1054" i="8"/>
  <c r="I1054" i="8"/>
  <c r="J1054" i="8"/>
  <c r="K1054" i="8"/>
  <c r="L1054" i="8"/>
  <c r="M1054" i="8"/>
  <c r="N1054" i="8"/>
  <c r="O1054" i="8"/>
  <c r="P1054" i="8"/>
  <c r="Q1054" i="8"/>
  <c r="R1054" i="8"/>
  <c r="S1054" i="8"/>
  <c r="T1054" i="8"/>
  <c r="E1055" i="8"/>
  <c r="F1055" i="8"/>
  <c r="G1055" i="8"/>
  <c r="H1055" i="8"/>
  <c r="I1055" i="8"/>
  <c r="J1055" i="8"/>
  <c r="K1055" i="8"/>
  <c r="L1055" i="8"/>
  <c r="M1055" i="8"/>
  <c r="N1055" i="8"/>
  <c r="O1055" i="8"/>
  <c r="P1055" i="8"/>
  <c r="Q1055" i="8"/>
  <c r="R1055" i="8"/>
  <c r="S1055" i="8"/>
  <c r="T1055" i="8"/>
  <c r="E1056" i="8"/>
  <c r="F1056" i="8"/>
  <c r="G1056" i="8"/>
  <c r="H1056" i="8"/>
  <c r="I1056" i="8"/>
  <c r="J1056" i="8"/>
  <c r="K1056" i="8"/>
  <c r="L1056" i="8"/>
  <c r="M1056" i="8"/>
  <c r="N1056" i="8"/>
  <c r="O1056" i="8"/>
  <c r="P1056" i="8"/>
  <c r="Q1056" i="8"/>
  <c r="R1056" i="8"/>
  <c r="S1056" i="8"/>
  <c r="T1056" i="8"/>
  <c r="E1057" i="8"/>
  <c r="F1057" i="8"/>
  <c r="G1057" i="8"/>
  <c r="H1057" i="8"/>
  <c r="I1057" i="8"/>
  <c r="J1057" i="8"/>
  <c r="K1057" i="8"/>
  <c r="L1057" i="8"/>
  <c r="M1057" i="8"/>
  <c r="N1057" i="8"/>
  <c r="O1057" i="8"/>
  <c r="P1057" i="8"/>
  <c r="Q1057" i="8"/>
  <c r="R1057" i="8"/>
  <c r="S1057" i="8"/>
  <c r="T1057" i="8"/>
  <c r="E1058" i="8"/>
  <c r="F1058" i="8"/>
  <c r="G1058" i="8"/>
  <c r="H1058" i="8"/>
  <c r="I1058" i="8"/>
  <c r="J1058" i="8"/>
  <c r="K1058" i="8"/>
  <c r="L1058" i="8"/>
  <c r="M1058" i="8"/>
  <c r="N1058" i="8"/>
  <c r="O1058" i="8"/>
  <c r="P1058" i="8"/>
  <c r="Q1058" i="8"/>
  <c r="R1058" i="8"/>
  <c r="S1058" i="8"/>
  <c r="T1058" i="8"/>
  <c r="E1059" i="8"/>
  <c r="F1059" i="8"/>
  <c r="G1059" i="8"/>
  <c r="H1059" i="8"/>
  <c r="I1059" i="8"/>
  <c r="J1059" i="8"/>
  <c r="K1059" i="8"/>
  <c r="L1059" i="8"/>
  <c r="M1059" i="8"/>
  <c r="N1059" i="8"/>
  <c r="O1059" i="8"/>
  <c r="P1059" i="8"/>
  <c r="Q1059" i="8"/>
  <c r="R1059" i="8"/>
  <c r="S1059" i="8"/>
  <c r="T1059" i="8"/>
  <c r="E1060" i="8"/>
  <c r="F1060" i="8"/>
  <c r="G1060" i="8"/>
  <c r="H1060" i="8"/>
  <c r="I1060" i="8"/>
  <c r="J1060" i="8"/>
  <c r="K1060" i="8"/>
  <c r="L1060" i="8"/>
  <c r="M1060" i="8"/>
  <c r="N1060" i="8"/>
  <c r="O1060" i="8"/>
  <c r="P1060" i="8"/>
  <c r="Q1060" i="8"/>
  <c r="R1060" i="8"/>
  <c r="S1060" i="8"/>
  <c r="T1060" i="8"/>
  <c r="E1061" i="8"/>
  <c r="F1061" i="8"/>
  <c r="G1061" i="8"/>
  <c r="H1061" i="8"/>
  <c r="I1061" i="8"/>
  <c r="J1061" i="8"/>
  <c r="K1061" i="8"/>
  <c r="L1061" i="8"/>
  <c r="M1061" i="8"/>
  <c r="N1061" i="8"/>
  <c r="O1061" i="8"/>
  <c r="P1061" i="8"/>
  <c r="Q1061" i="8"/>
  <c r="R1061" i="8"/>
  <c r="S1061" i="8"/>
  <c r="T1061" i="8"/>
  <c r="E1062" i="8"/>
  <c r="F1062" i="8"/>
  <c r="G1062" i="8"/>
  <c r="H1062" i="8"/>
  <c r="I1062" i="8"/>
  <c r="J1062" i="8"/>
  <c r="K1062" i="8"/>
  <c r="L1062" i="8"/>
  <c r="M1062" i="8"/>
  <c r="N1062" i="8"/>
  <c r="O1062" i="8"/>
  <c r="P1062" i="8"/>
  <c r="Q1062" i="8"/>
  <c r="R1062" i="8"/>
  <c r="S1062" i="8"/>
  <c r="T1062" i="8"/>
  <c r="E101" i="7"/>
  <c r="F101" i="7"/>
  <c r="G101" i="7"/>
  <c r="H101" i="7"/>
  <c r="I101" i="7"/>
  <c r="J101" i="7"/>
  <c r="K101" i="7"/>
  <c r="L101" i="7"/>
  <c r="M101" i="7"/>
  <c r="N101" i="7"/>
  <c r="P101" i="7"/>
  <c r="Q101" i="7"/>
  <c r="R101" i="7"/>
  <c r="S101" i="7"/>
  <c r="U101" i="7"/>
  <c r="V101" i="7"/>
  <c r="W101" i="7"/>
  <c r="X101" i="7"/>
  <c r="Y101" i="7"/>
  <c r="Z101" i="7"/>
  <c r="AA101" i="7"/>
  <c r="AC101" i="7"/>
  <c r="AE101" i="7"/>
  <c r="AI101" i="7"/>
  <c r="AO101" i="7"/>
  <c r="AP101" i="7"/>
  <c r="E1041" i="8"/>
  <c r="F1041" i="8"/>
  <c r="G1041" i="8"/>
  <c r="H1041" i="8"/>
  <c r="I1041" i="8"/>
  <c r="J1041" i="8"/>
  <c r="K1041" i="8"/>
  <c r="L1041" i="8"/>
  <c r="M1041" i="8"/>
  <c r="N1041" i="8"/>
  <c r="O1041" i="8"/>
  <c r="P1041" i="8"/>
  <c r="Q1041" i="8"/>
  <c r="R1041" i="8"/>
  <c r="S1041" i="8"/>
  <c r="T1041" i="8"/>
  <c r="E1042" i="8"/>
  <c r="F1042" i="8"/>
  <c r="G1042" i="8"/>
  <c r="H1042" i="8"/>
  <c r="I1042" i="8"/>
  <c r="J1042" i="8"/>
  <c r="K1042" i="8"/>
  <c r="L1042" i="8"/>
  <c r="M1042" i="8"/>
  <c r="N1042" i="8"/>
  <c r="O1042" i="8"/>
  <c r="P1042" i="8"/>
  <c r="Q1042" i="8"/>
  <c r="R1042" i="8"/>
  <c r="S1042" i="8"/>
  <c r="T1042" i="8"/>
  <c r="E1043" i="8"/>
  <c r="F1043" i="8"/>
  <c r="G1043" i="8"/>
  <c r="H1043" i="8"/>
  <c r="I1043" i="8"/>
  <c r="J1043" i="8"/>
  <c r="K1043" i="8"/>
  <c r="L1043" i="8"/>
  <c r="M1043" i="8"/>
  <c r="N1043" i="8"/>
  <c r="O1043" i="8"/>
  <c r="P1043" i="8"/>
  <c r="Q1043" i="8"/>
  <c r="R1043" i="8"/>
  <c r="S1043" i="8"/>
  <c r="T1043" i="8"/>
  <c r="E1044" i="8"/>
  <c r="F1044" i="8"/>
  <c r="G1044" i="8"/>
  <c r="H1044" i="8"/>
  <c r="I1044" i="8"/>
  <c r="J1044" i="8"/>
  <c r="K1044" i="8"/>
  <c r="L1044" i="8"/>
  <c r="M1044" i="8"/>
  <c r="N1044" i="8"/>
  <c r="O1044" i="8"/>
  <c r="P1044" i="8"/>
  <c r="Q1044" i="8"/>
  <c r="R1044" i="8"/>
  <c r="S1044" i="8"/>
  <c r="T1044" i="8"/>
  <c r="E1045" i="8"/>
  <c r="F1045" i="8"/>
  <c r="G1045" i="8"/>
  <c r="H1045" i="8"/>
  <c r="I1045" i="8"/>
  <c r="J1045" i="8"/>
  <c r="K1045" i="8"/>
  <c r="L1045" i="8"/>
  <c r="M1045" i="8"/>
  <c r="N1045" i="8"/>
  <c r="O1045" i="8"/>
  <c r="P1045" i="8"/>
  <c r="Q1045" i="8"/>
  <c r="R1045" i="8"/>
  <c r="S1045" i="8"/>
  <c r="T1045" i="8"/>
  <c r="E1046" i="8"/>
  <c r="F1046" i="8"/>
  <c r="G1046" i="8"/>
  <c r="H1046" i="8"/>
  <c r="I1046" i="8"/>
  <c r="J1046" i="8"/>
  <c r="K1046" i="8"/>
  <c r="L1046" i="8"/>
  <c r="M1046" i="8"/>
  <c r="N1046" i="8"/>
  <c r="O1046" i="8"/>
  <c r="P1046" i="8"/>
  <c r="Q1046" i="8"/>
  <c r="R1046" i="8"/>
  <c r="S1046" i="8"/>
  <c r="T1046" i="8"/>
  <c r="E1047" i="8"/>
  <c r="F1047" i="8"/>
  <c r="G1047" i="8"/>
  <c r="H1047" i="8"/>
  <c r="I1047" i="8"/>
  <c r="J1047" i="8"/>
  <c r="K1047" i="8"/>
  <c r="L1047" i="8"/>
  <c r="M1047" i="8"/>
  <c r="N1047" i="8"/>
  <c r="O1047" i="8"/>
  <c r="P1047" i="8"/>
  <c r="Q1047" i="8"/>
  <c r="R1047" i="8"/>
  <c r="S1047" i="8"/>
  <c r="T1047" i="8"/>
  <c r="E1048" i="8"/>
  <c r="F1048" i="8"/>
  <c r="G1048" i="8"/>
  <c r="H1048" i="8"/>
  <c r="I1048" i="8"/>
  <c r="J1048" i="8"/>
  <c r="K1048" i="8"/>
  <c r="L1048" i="8"/>
  <c r="M1048" i="8"/>
  <c r="N1048" i="8"/>
  <c r="O1048" i="8"/>
  <c r="P1048" i="8"/>
  <c r="Q1048" i="8"/>
  <c r="R1048" i="8"/>
  <c r="S1048" i="8"/>
  <c r="T1048" i="8"/>
  <c r="E1049" i="8"/>
  <c r="F1049" i="8"/>
  <c r="G1049" i="8"/>
  <c r="H1049" i="8"/>
  <c r="I1049" i="8"/>
  <c r="J1049" i="8"/>
  <c r="K1049" i="8"/>
  <c r="L1049" i="8"/>
  <c r="M1049" i="8"/>
  <c r="N1049" i="8"/>
  <c r="O1049" i="8"/>
  <c r="P1049" i="8"/>
  <c r="Q1049" i="8"/>
  <c r="R1049" i="8"/>
  <c r="S1049" i="8"/>
  <c r="T1049" i="8"/>
  <c r="E1050" i="8"/>
  <c r="F1050" i="8"/>
  <c r="G1050" i="8"/>
  <c r="H1050" i="8"/>
  <c r="I1050" i="8"/>
  <c r="J1050" i="8"/>
  <c r="K1050" i="8"/>
  <c r="L1050" i="8"/>
  <c r="M1050" i="8"/>
  <c r="N1050" i="8"/>
  <c r="O1050" i="8"/>
  <c r="P1050" i="8"/>
  <c r="Q1050" i="8"/>
  <c r="R1050" i="8"/>
  <c r="S1050" i="8"/>
  <c r="T1050" i="8"/>
  <c r="E1051" i="8"/>
  <c r="F1051" i="8"/>
  <c r="G1051" i="8"/>
  <c r="H1051" i="8"/>
  <c r="I1051" i="8"/>
  <c r="J1051" i="8"/>
  <c r="K1051" i="8"/>
  <c r="L1051" i="8"/>
  <c r="M1051" i="8"/>
  <c r="N1051" i="8"/>
  <c r="O1051" i="8"/>
  <c r="P1051" i="8"/>
  <c r="Q1051" i="8"/>
  <c r="R1051" i="8"/>
  <c r="S1051" i="8"/>
  <c r="T1051" i="8"/>
  <c r="E100" i="7"/>
  <c r="F100" i="7"/>
  <c r="G100" i="7"/>
  <c r="H100" i="7"/>
  <c r="I100" i="7"/>
  <c r="J100" i="7"/>
  <c r="K100" i="7"/>
  <c r="L100" i="7"/>
  <c r="M100" i="7"/>
  <c r="N100" i="7"/>
  <c r="P100" i="7"/>
  <c r="Q100" i="7"/>
  <c r="R100" i="7"/>
  <c r="S100" i="7"/>
  <c r="U100" i="7"/>
  <c r="V100" i="7"/>
  <c r="W100" i="7"/>
  <c r="X100" i="7"/>
  <c r="Y100" i="7"/>
  <c r="Z100" i="7"/>
  <c r="AA100" i="7"/>
  <c r="AC100" i="7"/>
  <c r="AE100" i="7"/>
  <c r="AI100" i="7"/>
  <c r="AO100" i="7"/>
  <c r="AP100" i="7"/>
  <c r="E1030" i="8"/>
  <c r="F1030" i="8"/>
  <c r="G1030" i="8"/>
  <c r="H1030" i="8"/>
  <c r="I1030" i="8"/>
  <c r="J1030" i="8"/>
  <c r="K1030" i="8"/>
  <c r="L1030" i="8"/>
  <c r="M1030" i="8"/>
  <c r="N1030" i="8"/>
  <c r="O1030" i="8"/>
  <c r="P1030" i="8"/>
  <c r="Q1030" i="8"/>
  <c r="R1030" i="8"/>
  <c r="S1030" i="8"/>
  <c r="T1030" i="8"/>
  <c r="E1031" i="8"/>
  <c r="F1031" i="8"/>
  <c r="G1031" i="8"/>
  <c r="H1031" i="8"/>
  <c r="I1031" i="8"/>
  <c r="J1031" i="8"/>
  <c r="K1031" i="8"/>
  <c r="L1031" i="8"/>
  <c r="M1031" i="8"/>
  <c r="N1031" i="8"/>
  <c r="O1031" i="8"/>
  <c r="P1031" i="8"/>
  <c r="Q1031" i="8"/>
  <c r="R1031" i="8"/>
  <c r="S1031" i="8"/>
  <c r="T1031" i="8"/>
  <c r="E1032" i="8"/>
  <c r="F1032" i="8"/>
  <c r="G1032" i="8"/>
  <c r="H1032" i="8"/>
  <c r="I1032" i="8"/>
  <c r="J1032" i="8"/>
  <c r="K1032" i="8"/>
  <c r="L1032" i="8"/>
  <c r="M1032" i="8"/>
  <c r="N1032" i="8"/>
  <c r="O1032" i="8"/>
  <c r="P1032" i="8"/>
  <c r="Q1032" i="8"/>
  <c r="R1032" i="8"/>
  <c r="S1032" i="8"/>
  <c r="T1032" i="8"/>
  <c r="E1033" i="8"/>
  <c r="F1033" i="8"/>
  <c r="G1033" i="8"/>
  <c r="H1033" i="8"/>
  <c r="I1033" i="8"/>
  <c r="J1033" i="8"/>
  <c r="K1033" i="8"/>
  <c r="L1033" i="8"/>
  <c r="M1033" i="8"/>
  <c r="N1033" i="8"/>
  <c r="O1033" i="8"/>
  <c r="P1033" i="8"/>
  <c r="Q1033" i="8"/>
  <c r="R1033" i="8"/>
  <c r="S1033" i="8"/>
  <c r="T1033" i="8"/>
  <c r="E1034" i="8"/>
  <c r="F1034" i="8"/>
  <c r="G1034" i="8"/>
  <c r="H1034" i="8"/>
  <c r="I1034" i="8"/>
  <c r="J1034" i="8"/>
  <c r="K1034" i="8"/>
  <c r="L1034" i="8"/>
  <c r="M1034" i="8"/>
  <c r="N1034" i="8"/>
  <c r="O1034" i="8"/>
  <c r="P1034" i="8"/>
  <c r="Q1034" i="8"/>
  <c r="R1034" i="8"/>
  <c r="S1034" i="8"/>
  <c r="T1034" i="8"/>
  <c r="E1035" i="8"/>
  <c r="F1035" i="8"/>
  <c r="G1035" i="8"/>
  <c r="H1035" i="8"/>
  <c r="I1035" i="8"/>
  <c r="J1035" i="8"/>
  <c r="K1035" i="8"/>
  <c r="L1035" i="8"/>
  <c r="M1035" i="8"/>
  <c r="N1035" i="8"/>
  <c r="O1035" i="8"/>
  <c r="P1035" i="8"/>
  <c r="Q1035" i="8"/>
  <c r="R1035" i="8"/>
  <c r="S1035" i="8"/>
  <c r="T1035" i="8"/>
  <c r="E1036" i="8"/>
  <c r="F1036" i="8"/>
  <c r="G1036" i="8"/>
  <c r="H1036" i="8"/>
  <c r="I1036" i="8"/>
  <c r="J1036" i="8"/>
  <c r="K1036" i="8"/>
  <c r="L1036" i="8"/>
  <c r="M1036" i="8"/>
  <c r="N1036" i="8"/>
  <c r="O1036" i="8"/>
  <c r="P1036" i="8"/>
  <c r="Q1036" i="8"/>
  <c r="R1036" i="8"/>
  <c r="S1036" i="8"/>
  <c r="T1036" i="8"/>
  <c r="E1037" i="8"/>
  <c r="F1037" i="8"/>
  <c r="G1037" i="8"/>
  <c r="H1037" i="8"/>
  <c r="I1037" i="8"/>
  <c r="J1037" i="8"/>
  <c r="K1037" i="8"/>
  <c r="L1037" i="8"/>
  <c r="M1037" i="8"/>
  <c r="N1037" i="8"/>
  <c r="O1037" i="8"/>
  <c r="P1037" i="8"/>
  <c r="Q1037" i="8"/>
  <c r="R1037" i="8"/>
  <c r="S1037" i="8"/>
  <c r="T1037" i="8"/>
  <c r="E1038" i="8"/>
  <c r="F1038" i="8"/>
  <c r="G1038" i="8"/>
  <c r="H1038" i="8"/>
  <c r="I1038" i="8"/>
  <c r="J1038" i="8"/>
  <c r="K1038" i="8"/>
  <c r="L1038" i="8"/>
  <c r="M1038" i="8"/>
  <c r="N1038" i="8"/>
  <c r="O1038" i="8"/>
  <c r="P1038" i="8"/>
  <c r="Q1038" i="8"/>
  <c r="R1038" i="8"/>
  <c r="S1038" i="8"/>
  <c r="T1038" i="8"/>
  <c r="E1039" i="8"/>
  <c r="F1039" i="8"/>
  <c r="G1039" i="8"/>
  <c r="H1039" i="8"/>
  <c r="I1039" i="8"/>
  <c r="J1039" i="8"/>
  <c r="K1039" i="8"/>
  <c r="L1039" i="8"/>
  <c r="M1039" i="8"/>
  <c r="N1039" i="8"/>
  <c r="O1039" i="8"/>
  <c r="P1039" i="8"/>
  <c r="Q1039" i="8"/>
  <c r="R1039" i="8"/>
  <c r="S1039" i="8"/>
  <c r="T1039" i="8"/>
  <c r="E1040" i="8"/>
  <c r="F1040" i="8"/>
  <c r="G1040" i="8"/>
  <c r="H1040" i="8"/>
  <c r="I1040" i="8"/>
  <c r="J1040" i="8"/>
  <c r="K1040" i="8"/>
  <c r="L1040" i="8"/>
  <c r="M1040" i="8"/>
  <c r="N1040" i="8"/>
  <c r="O1040" i="8"/>
  <c r="P1040" i="8"/>
  <c r="Q1040" i="8"/>
  <c r="R1040" i="8"/>
  <c r="S1040" i="8"/>
  <c r="T1040" i="8"/>
  <c r="E99" i="7"/>
  <c r="F99" i="7"/>
  <c r="G99" i="7"/>
  <c r="H99" i="7"/>
  <c r="I99" i="7"/>
  <c r="J99" i="7"/>
  <c r="K99" i="7"/>
  <c r="L99" i="7"/>
  <c r="M99" i="7"/>
  <c r="N99" i="7"/>
  <c r="P99" i="7"/>
  <c r="Q99" i="7"/>
  <c r="R99" i="7"/>
  <c r="S99" i="7"/>
  <c r="U99" i="7"/>
  <c r="V99" i="7"/>
  <c r="W99" i="7"/>
  <c r="X99" i="7"/>
  <c r="Y99" i="7"/>
  <c r="Z99" i="7"/>
  <c r="AA99" i="7"/>
  <c r="AC99" i="7"/>
  <c r="AE99" i="7"/>
  <c r="AI99" i="7"/>
  <c r="AO99" i="7"/>
  <c r="AP99" i="7"/>
  <c r="E1019" i="8"/>
  <c r="F1019" i="8"/>
  <c r="G1019" i="8"/>
  <c r="H1019" i="8"/>
  <c r="I1019" i="8"/>
  <c r="J1019" i="8"/>
  <c r="K1019" i="8"/>
  <c r="L1019" i="8"/>
  <c r="M1019" i="8"/>
  <c r="N1019" i="8"/>
  <c r="O1019" i="8"/>
  <c r="P1019" i="8"/>
  <c r="Q1019" i="8"/>
  <c r="R1019" i="8"/>
  <c r="S1019" i="8"/>
  <c r="T1019" i="8"/>
  <c r="E1020" i="8"/>
  <c r="F1020" i="8"/>
  <c r="G1020" i="8"/>
  <c r="H1020" i="8"/>
  <c r="I1020" i="8"/>
  <c r="J1020" i="8"/>
  <c r="K1020" i="8"/>
  <c r="L1020" i="8"/>
  <c r="M1020" i="8"/>
  <c r="N1020" i="8"/>
  <c r="O1020" i="8"/>
  <c r="P1020" i="8"/>
  <c r="Q1020" i="8"/>
  <c r="R1020" i="8"/>
  <c r="S1020" i="8"/>
  <c r="T1020" i="8"/>
  <c r="E1021" i="8"/>
  <c r="F1021" i="8"/>
  <c r="G1021" i="8"/>
  <c r="H1021" i="8"/>
  <c r="I1021" i="8"/>
  <c r="J1021" i="8"/>
  <c r="K1021" i="8"/>
  <c r="L1021" i="8"/>
  <c r="M1021" i="8"/>
  <c r="N1021" i="8"/>
  <c r="O1021" i="8"/>
  <c r="P1021" i="8"/>
  <c r="Q1021" i="8"/>
  <c r="R1021" i="8"/>
  <c r="S1021" i="8"/>
  <c r="T1021" i="8"/>
  <c r="E1022" i="8"/>
  <c r="F1022" i="8"/>
  <c r="G1022" i="8"/>
  <c r="H1022" i="8"/>
  <c r="I1022" i="8"/>
  <c r="J1022" i="8"/>
  <c r="K1022" i="8"/>
  <c r="L1022" i="8"/>
  <c r="M1022" i="8"/>
  <c r="N1022" i="8"/>
  <c r="O1022" i="8"/>
  <c r="P1022" i="8"/>
  <c r="Q1022" i="8"/>
  <c r="R1022" i="8"/>
  <c r="S1022" i="8"/>
  <c r="T1022" i="8"/>
  <c r="E1023" i="8"/>
  <c r="F1023" i="8"/>
  <c r="G1023" i="8"/>
  <c r="H1023" i="8"/>
  <c r="I1023" i="8"/>
  <c r="J1023" i="8"/>
  <c r="K1023" i="8"/>
  <c r="L1023" i="8"/>
  <c r="M1023" i="8"/>
  <c r="N1023" i="8"/>
  <c r="O1023" i="8"/>
  <c r="P1023" i="8"/>
  <c r="Q1023" i="8"/>
  <c r="R1023" i="8"/>
  <c r="S1023" i="8"/>
  <c r="T1023" i="8"/>
  <c r="E1024" i="8"/>
  <c r="F1024" i="8"/>
  <c r="G1024" i="8"/>
  <c r="H1024" i="8"/>
  <c r="I1024" i="8"/>
  <c r="J1024" i="8"/>
  <c r="K1024" i="8"/>
  <c r="L1024" i="8"/>
  <c r="M1024" i="8"/>
  <c r="N1024" i="8"/>
  <c r="O1024" i="8"/>
  <c r="P1024" i="8"/>
  <c r="Q1024" i="8"/>
  <c r="R1024" i="8"/>
  <c r="S1024" i="8"/>
  <c r="T1024" i="8"/>
  <c r="E1025" i="8"/>
  <c r="F1025" i="8"/>
  <c r="G1025" i="8"/>
  <c r="H1025" i="8"/>
  <c r="I1025" i="8"/>
  <c r="J1025" i="8"/>
  <c r="K1025" i="8"/>
  <c r="L1025" i="8"/>
  <c r="M1025" i="8"/>
  <c r="N1025" i="8"/>
  <c r="O1025" i="8"/>
  <c r="P1025" i="8"/>
  <c r="Q1025" i="8"/>
  <c r="R1025" i="8"/>
  <c r="S1025" i="8"/>
  <c r="T1025" i="8"/>
  <c r="E1026" i="8"/>
  <c r="F1026" i="8"/>
  <c r="G1026" i="8"/>
  <c r="H1026" i="8"/>
  <c r="I1026" i="8"/>
  <c r="J1026" i="8"/>
  <c r="K1026" i="8"/>
  <c r="L1026" i="8"/>
  <c r="M1026" i="8"/>
  <c r="N1026" i="8"/>
  <c r="O1026" i="8"/>
  <c r="P1026" i="8"/>
  <c r="Q1026" i="8"/>
  <c r="R1026" i="8"/>
  <c r="S1026" i="8"/>
  <c r="T1026" i="8"/>
  <c r="E1027" i="8"/>
  <c r="F1027" i="8"/>
  <c r="G1027" i="8"/>
  <c r="H1027" i="8"/>
  <c r="I1027" i="8"/>
  <c r="J1027" i="8"/>
  <c r="K1027" i="8"/>
  <c r="L1027" i="8"/>
  <c r="M1027" i="8"/>
  <c r="N1027" i="8"/>
  <c r="O1027" i="8"/>
  <c r="P1027" i="8"/>
  <c r="Q1027" i="8"/>
  <c r="R1027" i="8"/>
  <c r="S1027" i="8"/>
  <c r="T1027" i="8"/>
  <c r="E1028" i="8"/>
  <c r="F1028" i="8"/>
  <c r="G1028" i="8"/>
  <c r="H1028" i="8"/>
  <c r="I1028" i="8"/>
  <c r="J1028" i="8"/>
  <c r="K1028" i="8"/>
  <c r="L1028" i="8"/>
  <c r="M1028" i="8"/>
  <c r="N1028" i="8"/>
  <c r="O1028" i="8"/>
  <c r="P1028" i="8"/>
  <c r="Q1028" i="8"/>
  <c r="R1028" i="8"/>
  <c r="S1028" i="8"/>
  <c r="T1028" i="8"/>
  <c r="E1029" i="8"/>
  <c r="F1029" i="8"/>
  <c r="G1029" i="8"/>
  <c r="H1029" i="8"/>
  <c r="I1029" i="8"/>
  <c r="J1029" i="8"/>
  <c r="K1029" i="8"/>
  <c r="L1029" i="8"/>
  <c r="M1029" i="8"/>
  <c r="N1029" i="8"/>
  <c r="O1029" i="8"/>
  <c r="P1029" i="8"/>
  <c r="Q1029" i="8"/>
  <c r="R1029" i="8"/>
  <c r="S1029" i="8"/>
  <c r="T1029" i="8"/>
  <c r="E98" i="7"/>
  <c r="F98" i="7"/>
  <c r="G98" i="7"/>
  <c r="H98" i="7"/>
  <c r="I98" i="7"/>
  <c r="J98" i="7"/>
  <c r="K98" i="7"/>
  <c r="L98" i="7"/>
  <c r="M98" i="7"/>
  <c r="N98" i="7"/>
  <c r="P98" i="7"/>
  <c r="Q98" i="7"/>
  <c r="R98" i="7"/>
  <c r="S98" i="7"/>
  <c r="U98" i="7"/>
  <c r="V98" i="7"/>
  <c r="W98" i="7"/>
  <c r="X98" i="7"/>
  <c r="Y98" i="7"/>
  <c r="Z98" i="7"/>
  <c r="AA98" i="7"/>
  <c r="AC98" i="7"/>
  <c r="AE98" i="7"/>
  <c r="AI98" i="7"/>
  <c r="AO98" i="7"/>
  <c r="AP98" i="7"/>
  <c r="E1008" i="8"/>
  <c r="F1008" i="8"/>
  <c r="G1008" i="8"/>
  <c r="H1008" i="8"/>
  <c r="I1008" i="8"/>
  <c r="J1008" i="8"/>
  <c r="K1008" i="8"/>
  <c r="L1008" i="8"/>
  <c r="M1008" i="8"/>
  <c r="N1008" i="8"/>
  <c r="O1008" i="8"/>
  <c r="P1008" i="8"/>
  <c r="Q1008" i="8"/>
  <c r="R1008" i="8"/>
  <c r="S1008" i="8"/>
  <c r="T1008" i="8"/>
  <c r="E1009" i="8"/>
  <c r="F1009" i="8"/>
  <c r="G1009" i="8"/>
  <c r="H1009" i="8"/>
  <c r="I1009" i="8"/>
  <c r="J1009" i="8"/>
  <c r="K1009" i="8"/>
  <c r="L1009" i="8"/>
  <c r="M1009" i="8"/>
  <c r="N1009" i="8"/>
  <c r="O1009" i="8"/>
  <c r="P1009" i="8"/>
  <c r="Q1009" i="8"/>
  <c r="R1009" i="8"/>
  <c r="S1009" i="8"/>
  <c r="T1009" i="8"/>
  <c r="E1010" i="8"/>
  <c r="F1010" i="8"/>
  <c r="G1010" i="8"/>
  <c r="H1010" i="8"/>
  <c r="I1010" i="8"/>
  <c r="J1010" i="8"/>
  <c r="K1010" i="8"/>
  <c r="L1010" i="8"/>
  <c r="M1010" i="8"/>
  <c r="N1010" i="8"/>
  <c r="O1010" i="8"/>
  <c r="P1010" i="8"/>
  <c r="Q1010" i="8"/>
  <c r="R1010" i="8"/>
  <c r="S1010" i="8"/>
  <c r="T1010" i="8"/>
  <c r="E1011" i="8"/>
  <c r="F1011" i="8"/>
  <c r="G1011" i="8"/>
  <c r="H1011" i="8"/>
  <c r="I1011" i="8"/>
  <c r="J1011" i="8"/>
  <c r="K1011" i="8"/>
  <c r="L1011" i="8"/>
  <c r="M1011" i="8"/>
  <c r="N1011" i="8"/>
  <c r="O1011" i="8"/>
  <c r="P1011" i="8"/>
  <c r="Q1011" i="8"/>
  <c r="R1011" i="8"/>
  <c r="S1011" i="8"/>
  <c r="T1011" i="8"/>
  <c r="E1012" i="8"/>
  <c r="F1012" i="8"/>
  <c r="G1012" i="8"/>
  <c r="H1012" i="8"/>
  <c r="I1012" i="8"/>
  <c r="J1012" i="8"/>
  <c r="K1012" i="8"/>
  <c r="L1012" i="8"/>
  <c r="M1012" i="8"/>
  <c r="N1012" i="8"/>
  <c r="O1012" i="8"/>
  <c r="P1012" i="8"/>
  <c r="Q1012" i="8"/>
  <c r="R1012" i="8"/>
  <c r="S1012" i="8"/>
  <c r="T1012" i="8"/>
  <c r="E1013" i="8"/>
  <c r="F1013" i="8"/>
  <c r="G1013" i="8"/>
  <c r="H1013" i="8"/>
  <c r="I1013" i="8"/>
  <c r="J1013" i="8"/>
  <c r="K1013" i="8"/>
  <c r="L1013" i="8"/>
  <c r="M1013" i="8"/>
  <c r="N1013" i="8"/>
  <c r="O1013" i="8"/>
  <c r="P1013" i="8"/>
  <c r="Q1013" i="8"/>
  <c r="R1013" i="8"/>
  <c r="S1013" i="8"/>
  <c r="T1013" i="8"/>
  <c r="E1014" i="8"/>
  <c r="F1014" i="8"/>
  <c r="G1014" i="8"/>
  <c r="H1014" i="8"/>
  <c r="I1014" i="8"/>
  <c r="J1014" i="8"/>
  <c r="K1014" i="8"/>
  <c r="L1014" i="8"/>
  <c r="M1014" i="8"/>
  <c r="N1014" i="8"/>
  <c r="O1014" i="8"/>
  <c r="P1014" i="8"/>
  <c r="Q1014" i="8"/>
  <c r="R1014" i="8"/>
  <c r="S1014" i="8"/>
  <c r="T1014" i="8"/>
  <c r="E1015" i="8"/>
  <c r="F1015" i="8"/>
  <c r="G1015" i="8"/>
  <c r="H1015" i="8"/>
  <c r="I1015" i="8"/>
  <c r="J1015" i="8"/>
  <c r="K1015" i="8"/>
  <c r="L1015" i="8"/>
  <c r="M1015" i="8"/>
  <c r="N1015" i="8"/>
  <c r="O1015" i="8"/>
  <c r="P1015" i="8"/>
  <c r="Q1015" i="8"/>
  <c r="R1015" i="8"/>
  <c r="S1015" i="8"/>
  <c r="T1015" i="8"/>
  <c r="E1016" i="8"/>
  <c r="F1016" i="8"/>
  <c r="G1016" i="8"/>
  <c r="H1016" i="8"/>
  <c r="I1016" i="8"/>
  <c r="J1016" i="8"/>
  <c r="K1016" i="8"/>
  <c r="L1016" i="8"/>
  <c r="M1016" i="8"/>
  <c r="N1016" i="8"/>
  <c r="O1016" i="8"/>
  <c r="P1016" i="8"/>
  <c r="Q1016" i="8"/>
  <c r="R1016" i="8"/>
  <c r="S1016" i="8"/>
  <c r="T1016" i="8"/>
  <c r="E1017" i="8"/>
  <c r="F1017" i="8"/>
  <c r="G1017" i="8"/>
  <c r="H1017" i="8"/>
  <c r="I1017" i="8"/>
  <c r="J1017" i="8"/>
  <c r="K1017" i="8"/>
  <c r="L1017" i="8"/>
  <c r="M1017" i="8"/>
  <c r="N1017" i="8"/>
  <c r="O1017" i="8"/>
  <c r="P1017" i="8"/>
  <c r="Q1017" i="8"/>
  <c r="R1017" i="8"/>
  <c r="S1017" i="8"/>
  <c r="T1017" i="8"/>
  <c r="E1018" i="8"/>
  <c r="F1018" i="8"/>
  <c r="G1018" i="8"/>
  <c r="H1018" i="8"/>
  <c r="I1018" i="8"/>
  <c r="J1018" i="8"/>
  <c r="K1018" i="8"/>
  <c r="L1018" i="8"/>
  <c r="M1018" i="8"/>
  <c r="N1018" i="8"/>
  <c r="O1018" i="8"/>
  <c r="P1018" i="8"/>
  <c r="Q1018" i="8"/>
  <c r="R1018" i="8"/>
  <c r="S1018" i="8"/>
  <c r="T1018" i="8"/>
  <c r="E97" i="7"/>
  <c r="F97" i="7"/>
  <c r="G97" i="7"/>
  <c r="H97" i="7"/>
  <c r="I97" i="7"/>
  <c r="J97" i="7"/>
  <c r="K97" i="7"/>
  <c r="L97" i="7"/>
  <c r="M97" i="7"/>
  <c r="N97" i="7"/>
  <c r="P97" i="7"/>
  <c r="Q97" i="7"/>
  <c r="R97" i="7"/>
  <c r="S97" i="7"/>
  <c r="U97" i="7"/>
  <c r="V97" i="7"/>
  <c r="W97" i="7"/>
  <c r="X97" i="7"/>
  <c r="Y97" i="7"/>
  <c r="Z97" i="7"/>
  <c r="AA97" i="7"/>
  <c r="AC97" i="7"/>
  <c r="AE97" i="7"/>
  <c r="AI97" i="7"/>
  <c r="AO97" i="7"/>
  <c r="AP97" i="7"/>
  <c r="E997" i="8"/>
  <c r="F997" i="8"/>
  <c r="G997" i="8"/>
  <c r="H997" i="8"/>
  <c r="I997" i="8"/>
  <c r="J997" i="8"/>
  <c r="K997" i="8"/>
  <c r="L997" i="8"/>
  <c r="M997" i="8"/>
  <c r="N997" i="8"/>
  <c r="O997" i="8"/>
  <c r="P997" i="8"/>
  <c r="Q997" i="8"/>
  <c r="R997" i="8"/>
  <c r="S997" i="8"/>
  <c r="T997" i="8"/>
  <c r="E998" i="8"/>
  <c r="F998" i="8"/>
  <c r="G998" i="8"/>
  <c r="H998" i="8"/>
  <c r="I998" i="8"/>
  <c r="J998" i="8"/>
  <c r="K998" i="8"/>
  <c r="L998" i="8"/>
  <c r="M998" i="8"/>
  <c r="N998" i="8"/>
  <c r="O998" i="8"/>
  <c r="P998" i="8"/>
  <c r="Q998" i="8"/>
  <c r="R998" i="8"/>
  <c r="S998" i="8"/>
  <c r="T998" i="8"/>
  <c r="E999" i="8"/>
  <c r="F999" i="8"/>
  <c r="G999" i="8"/>
  <c r="H999" i="8"/>
  <c r="I999" i="8"/>
  <c r="J999" i="8"/>
  <c r="K999" i="8"/>
  <c r="L999" i="8"/>
  <c r="M999" i="8"/>
  <c r="N999" i="8"/>
  <c r="O999" i="8"/>
  <c r="P999" i="8"/>
  <c r="Q999" i="8"/>
  <c r="R999" i="8"/>
  <c r="S999" i="8"/>
  <c r="T999" i="8"/>
  <c r="E1000" i="8"/>
  <c r="F1000" i="8"/>
  <c r="G1000" i="8"/>
  <c r="H1000" i="8"/>
  <c r="I1000" i="8"/>
  <c r="J1000" i="8"/>
  <c r="K1000" i="8"/>
  <c r="L1000" i="8"/>
  <c r="M1000" i="8"/>
  <c r="N1000" i="8"/>
  <c r="O1000" i="8"/>
  <c r="P1000" i="8"/>
  <c r="Q1000" i="8"/>
  <c r="R1000" i="8"/>
  <c r="S1000" i="8"/>
  <c r="T1000" i="8"/>
  <c r="E1001" i="8"/>
  <c r="F1001" i="8"/>
  <c r="G1001" i="8"/>
  <c r="H1001" i="8"/>
  <c r="I1001" i="8"/>
  <c r="J1001" i="8"/>
  <c r="K1001" i="8"/>
  <c r="L1001" i="8"/>
  <c r="M1001" i="8"/>
  <c r="N1001" i="8"/>
  <c r="O1001" i="8"/>
  <c r="P1001" i="8"/>
  <c r="Q1001" i="8"/>
  <c r="R1001" i="8"/>
  <c r="S1001" i="8"/>
  <c r="T1001" i="8"/>
  <c r="E1002" i="8"/>
  <c r="F1002" i="8"/>
  <c r="G1002" i="8"/>
  <c r="H1002" i="8"/>
  <c r="I1002" i="8"/>
  <c r="J1002" i="8"/>
  <c r="K1002" i="8"/>
  <c r="L1002" i="8"/>
  <c r="M1002" i="8"/>
  <c r="N1002" i="8"/>
  <c r="O1002" i="8"/>
  <c r="P1002" i="8"/>
  <c r="Q1002" i="8"/>
  <c r="R1002" i="8"/>
  <c r="S1002" i="8"/>
  <c r="T1002" i="8"/>
  <c r="E1003" i="8"/>
  <c r="F1003" i="8"/>
  <c r="G1003" i="8"/>
  <c r="H1003" i="8"/>
  <c r="I1003" i="8"/>
  <c r="J1003" i="8"/>
  <c r="K1003" i="8"/>
  <c r="L1003" i="8"/>
  <c r="M1003" i="8"/>
  <c r="N1003" i="8"/>
  <c r="O1003" i="8"/>
  <c r="P1003" i="8"/>
  <c r="Q1003" i="8"/>
  <c r="R1003" i="8"/>
  <c r="S1003" i="8"/>
  <c r="T1003" i="8"/>
  <c r="E1004" i="8"/>
  <c r="F1004" i="8"/>
  <c r="G1004" i="8"/>
  <c r="H1004" i="8"/>
  <c r="I1004" i="8"/>
  <c r="J1004" i="8"/>
  <c r="K1004" i="8"/>
  <c r="L1004" i="8"/>
  <c r="M1004" i="8"/>
  <c r="N1004" i="8"/>
  <c r="O1004" i="8"/>
  <c r="P1004" i="8"/>
  <c r="Q1004" i="8"/>
  <c r="R1004" i="8"/>
  <c r="S1004" i="8"/>
  <c r="T1004" i="8"/>
  <c r="E1005" i="8"/>
  <c r="F1005" i="8"/>
  <c r="G1005" i="8"/>
  <c r="H1005" i="8"/>
  <c r="I1005" i="8"/>
  <c r="J1005" i="8"/>
  <c r="K1005" i="8"/>
  <c r="L1005" i="8"/>
  <c r="M1005" i="8"/>
  <c r="N1005" i="8"/>
  <c r="O1005" i="8"/>
  <c r="P1005" i="8"/>
  <c r="Q1005" i="8"/>
  <c r="R1005" i="8"/>
  <c r="S1005" i="8"/>
  <c r="T1005" i="8"/>
  <c r="E1006" i="8"/>
  <c r="F1006" i="8"/>
  <c r="G1006" i="8"/>
  <c r="H1006" i="8"/>
  <c r="I1006" i="8"/>
  <c r="J1006" i="8"/>
  <c r="K1006" i="8"/>
  <c r="L1006" i="8"/>
  <c r="M1006" i="8"/>
  <c r="N1006" i="8"/>
  <c r="O1006" i="8"/>
  <c r="P1006" i="8"/>
  <c r="Q1006" i="8"/>
  <c r="R1006" i="8"/>
  <c r="S1006" i="8"/>
  <c r="T1006" i="8"/>
  <c r="E1007" i="8"/>
  <c r="F1007" i="8"/>
  <c r="G1007" i="8"/>
  <c r="H1007" i="8"/>
  <c r="I1007" i="8"/>
  <c r="J1007" i="8"/>
  <c r="K1007" i="8"/>
  <c r="L1007" i="8"/>
  <c r="M1007" i="8"/>
  <c r="N1007" i="8"/>
  <c r="O1007" i="8"/>
  <c r="P1007" i="8"/>
  <c r="Q1007" i="8"/>
  <c r="R1007" i="8"/>
  <c r="S1007" i="8"/>
  <c r="T1007" i="8"/>
  <c r="E96" i="7"/>
  <c r="F96" i="7"/>
  <c r="G96" i="7"/>
  <c r="H96" i="7"/>
  <c r="I96" i="7"/>
  <c r="J96" i="7"/>
  <c r="K96" i="7"/>
  <c r="L96" i="7"/>
  <c r="M96" i="7"/>
  <c r="N96" i="7"/>
  <c r="P96" i="7"/>
  <c r="Q96" i="7"/>
  <c r="R96" i="7"/>
  <c r="S96" i="7"/>
  <c r="U96" i="7"/>
  <c r="V96" i="7"/>
  <c r="W96" i="7"/>
  <c r="X96" i="7"/>
  <c r="Y96" i="7"/>
  <c r="Z96" i="7"/>
  <c r="AA96" i="7"/>
  <c r="AC96" i="7"/>
  <c r="AE96" i="7"/>
  <c r="AI96" i="7"/>
  <c r="AO96" i="7"/>
  <c r="AP96" i="7"/>
  <c r="E986" i="8"/>
  <c r="F986" i="8"/>
  <c r="G986" i="8"/>
  <c r="H986" i="8"/>
  <c r="I986" i="8"/>
  <c r="J986" i="8"/>
  <c r="K986" i="8"/>
  <c r="L986" i="8"/>
  <c r="M986" i="8"/>
  <c r="N986" i="8"/>
  <c r="O986" i="8"/>
  <c r="P986" i="8"/>
  <c r="Q986" i="8"/>
  <c r="R986" i="8"/>
  <c r="S986" i="8"/>
  <c r="T986" i="8"/>
  <c r="E987" i="8"/>
  <c r="F987" i="8"/>
  <c r="G987" i="8"/>
  <c r="H987" i="8"/>
  <c r="I987" i="8"/>
  <c r="J987" i="8"/>
  <c r="K987" i="8"/>
  <c r="L987" i="8"/>
  <c r="M987" i="8"/>
  <c r="N987" i="8"/>
  <c r="O987" i="8"/>
  <c r="P987" i="8"/>
  <c r="Q987" i="8"/>
  <c r="R987" i="8"/>
  <c r="S987" i="8"/>
  <c r="T987" i="8"/>
  <c r="E988" i="8"/>
  <c r="F988" i="8"/>
  <c r="G988" i="8"/>
  <c r="H988" i="8"/>
  <c r="I988" i="8"/>
  <c r="J988" i="8"/>
  <c r="K988" i="8"/>
  <c r="L988" i="8"/>
  <c r="M988" i="8"/>
  <c r="N988" i="8"/>
  <c r="O988" i="8"/>
  <c r="P988" i="8"/>
  <c r="Q988" i="8"/>
  <c r="R988" i="8"/>
  <c r="S988" i="8"/>
  <c r="T988" i="8"/>
  <c r="E989" i="8"/>
  <c r="F989" i="8"/>
  <c r="G989" i="8"/>
  <c r="H989" i="8"/>
  <c r="I989" i="8"/>
  <c r="J989" i="8"/>
  <c r="K989" i="8"/>
  <c r="L989" i="8"/>
  <c r="M989" i="8"/>
  <c r="N989" i="8"/>
  <c r="O989" i="8"/>
  <c r="P989" i="8"/>
  <c r="Q989" i="8"/>
  <c r="R989" i="8"/>
  <c r="S989" i="8"/>
  <c r="T989" i="8"/>
  <c r="E990" i="8"/>
  <c r="F990" i="8"/>
  <c r="G990" i="8"/>
  <c r="H990" i="8"/>
  <c r="I990" i="8"/>
  <c r="J990" i="8"/>
  <c r="K990" i="8"/>
  <c r="L990" i="8"/>
  <c r="M990" i="8"/>
  <c r="N990" i="8"/>
  <c r="O990" i="8"/>
  <c r="P990" i="8"/>
  <c r="Q990" i="8"/>
  <c r="R990" i="8"/>
  <c r="S990" i="8"/>
  <c r="T990" i="8"/>
  <c r="E991" i="8"/>
  <c r="F991" i="8"/>
  <c r="G991" i="8"/>
  <c r="H991" i="8"/>
  <c r="I991" i="8"/>
  <c r="J991" i="8"/>
  <c r="K991" i="8"/>
  <c r="L991" i="8"/>
  <c r="M991" i="8"/>
  <c r="N991" i="8"/>
  <c r="O991" i="8"/>
  <c r="P991" i="8"/>
  <c r="Q991" i="8"/>
  <c r="R991" i="8"/>
  <c r="S991" i="8"/>
  <c r="T991" i="8"/>
  <c r="E992" i="8"/>
  <c r="F992" i="8"/>
  <c r="G992" i="8"/>
  <c r="H992" i="8"/>
  <c r="I992" i="8"/>
  <c r="J992" i="8"/>
  <c r="K992" i="8"/>
  <c r="L992" i="8"/>
  <c r="M992" i="8"/>
  <c r="N992" i="8"/>
  <c r="O992" i="8"/>
  <c r="P992" i="8"/>
  <c r="Q992" i="8"/>
  <c r="R992" i="8"/>
  <c r="S992" i="8"/>
  <c r="T992" i="8"/>
  <c r="E993" i="8"/>
  <c r="F993" i="8"/>
  <c r="G993" i="8"/>
  <c r="H993" i="8"/>
  <c r="I993" i="8"/>
  <c r="J993" i="8"/>
  <c r="K993" i="8"/>
  <c r="L993" i="8"/>
  <c r="M993" i="8"/>
  <c r="N993" i="8"/>
  <c r="O993" i="8"/>
  <c r="P993" i="8"/>
  <c r="Q993" i="8"/>
  <c r="R993" i="8"/>
  <c r="S993" i="8"/>
  <c r="T993" i="8"/>
  <c r="E994" i="8"/>
  <c r="F994" i="8"/>
  <c r="G994" i="8"/>
  <c r="H994" i="8"/>
  <c r="I994" i="8"/>
  <c r="J994" i="8"/>
  <c r="K994" i="8"/>
  <c r="L994" i="8"/>
  <c r="M994" i="8"/>
  <c r="N994" i="8"/>
  <c r="O994" i="8"/>
  <c r="P994" i="8"/>
  <c r="Q994" i="8"/>
  <c r="R994" i="8"/>
  <c r="S994" i="8"/>
  <c r="T994" i="8"/>
  <c r="E995" i="8"/>
  <c r="F995" i="8"/>
  <c r="G995" i="8"/>
  <c r="H995" i="8"/>
  <c r="I995" i="8"/>
  <c r="J995" i="8"/>
  <c r="K995" i="8"/>
  <c r="L995" i="8"/>
  <c r="M995" i="8"/>
  <c r="N995" i="8"/>
  <c r="O995" i="8"/>
  <c r="P995" i="8"/>
  <c r="Q995" i="8"/>
  <c r="R995" i="8"/>
  <c r="S995" i="8"/>
  <c r="T995" i="8"/>
  <c r="E996" i="8"/>
  <c r="F996" i="8"/>
  <c r="G996" i="8"/>
  <c r="H996" i="8"/>
  <c r="I996" i="8"/>
  <c r="J996" i="8"/>
  <c r="K996" i="8"/>
  <c r="L996" i="8"/>
  <c r="M996" i="8"/>
  <c r="N996" i="8"/>
  <c r="O996" i="8"/>
  <c r="P996" i="8"/>
  <c r="Q996" i="8"/>
  <c r="R996" i="8"/>
  <c r="S996" i="8"/>
  <c r="T996" i="8"/>
  <c r="E95" i="7"/>
  <c r="F95" i="7"/>
  <c r="G95" i="7"/>
  <c r="H95" i="7"/>
  <c r="I95" i="7"/>
  <c r="J95" i="7"/>
  <c r="K95" i="7"/>
  <c r="L95" i="7"/>
  <c r="M95" i="7"/>
  <c r="N95" i="7"/>
  <c r="P95" i="7"/>
  <c r="Q95" i="7"/>
  <c r="R95" i="7"/>
  <c r="S95" i="7"/>
  <c r="U95" i="7"/>
  <c r="V95" i="7"/>
  <c r="W95" i="7"/>
  <c r="X95" i="7"/>
  <c r="Y95" i="7"/>
  <c r="Z95" i="7"/>
  <c r="AA95" i="7"/>
  <c r="AC95" i="7"/>
  <c r="AE95" i="7"/>
  <c r="AI95" i="7"/>
  <c r="AO95" i="7"/>
  <c r="AP95" i="7"/>
  <c r="E975" i="8"/>
  <c r="F975" i="8"/>
  <c r="G975" i="8"/>
  <c r="H975" i="8"/>
  <c r="I975" i="8"/>
  <c r="J975" i="8"/>
  <c r="K975" i="8"/>
  <c r="L975" i="8"/>
  <c r="M975" i="8"/>
  <c r="N975" i="8"/>
  <c r="O975" i="8"/>
  <c r="P975" i="8"/>
  <c r="Q975" i="8"/>
  <c r="R975" i="8"/>
  <c r="S975" i="8"/>
  <c r="T975" i="8"/>
  <c r="E976" i="8"/>
  <c r="F976" i="8"/>
  <c r="G976" i="8"/>
  <c r="H976" i="8"/>
  <c r="I976" i="8"/>
  <c r="J976" i="8"/>
  <c r="K976" i="8"/>
  <c r="L976" i="8"/>
  <c r="M976" i="8"/>
  <c r="N976" i="8"/>
  <c r="O976" i="8"/>
  <c r="P976" i="8"/>
  <c r="Q976" i="8"/>
  <c r="R976" i="8"/>
  <c r="S976" i="8"/>
  <c r="T976" i="8"/>
  <c r="E977" i="8"/>
  <c r="F977" i="8"/>
  <c r="G977" i="8"/>
  <c r="H977" i="8"/>
  <c r="I977" i="8"/>
  <c r="J977" i="8"/>
  <c r="K977" i="8"/>
  <c r="L977" i="8"/>
  <c r="M977" i="8"/>
  <c r="N977" i="8"/>
  <c r="O977" i="8"/>
  <c r="P977" i="8"/>
  <c r="Q977" i="8"/>
  <c r="R977" i="8"/>
  <c r="S977" i="8"/>
  <c r="T977" i="8"/>
  <c r="E978" i="8"/>
  <c r="F978" i="8"/>
  <c r="G978" i="8"/>
  <c r="H978" i="8"/>
  <c r="I978" i="8"/>
  <c r="J978" i="8"/>
  <c r="K978" i="8"/>
  <c r="L978" i="8"/>
  <c r="M978" i="8"/>
  <c r="N978" i="8"/>
  <c r="O978" i="8"/>
  <c r="P978" i="8"/>
  <c r="Q978" i="8"/>
  <c r="R978" i="8"/>
  <c r="S978" i="8"/>
  <c r="T978" i="8"/>
  <c r="E979" i="8"/>
  <c r="F979" i="8"/>
  <c r="G979" i="8"/>
  <c r="H979" i="8"/>
  <c r="I979" i="8"/>
  <c r="J979" i="8"/>
  <c r="K979" i="8"/>
  <c r="L979" i="8"/>
  <c r="M979" i="8"/>
  <c r="N979" i="8"/>
  <c r="O979" i="8"/>
  <c r="P979" i="8"/>
  <c r="Q979" i="8"/>
  <c r="R979" i="8"/>
  <c r="S979" i="8"/>
  <c r="T979" i="8"/>
  <c r="E980" i="8"/>
  <c r="F980" i="8"/>
  <c r="G980" i="8"/>
  <c r="H980" i="8"/>
  <c r="I980" i="8"/>
  <c r="J980" i="8"/>
  <c r="K980" i="8"/>
  <c r="L980" i="8"/>
  <c r="M980" i="8"/>
  <c r="N980" i="8"/>
  <c r="O980" i="8"/>
  <c r="P980" i="8"/>
  <c r="Q980" i="8"/>
  <c r="R980" i="8"/>
  <c r="S980" i="8"/>
  <c r="T980" i="8"/>
  <c r="E981" i="8"/>
  <c r="F981" i="8"/>
  <c r="G981" i="8"/>
  <c r="H981" i="8"/>
  <c r="I981" i="8"/>
  <c r="J981" i="8"/>
  <c r="K981" i="8"/>
  <c r="L981" i="8"/>
  <c r="M981" i="8"/>
  <c r="N981" i="8"/>
  <c r="O981" i="8"/>
  <c r="P981" i="8"/>
  <c r="Q981" i="8"/>
  <c r="R981" i="8"/>
  <c r="S981" i="8"/>
  <c r="T981" i="8"/>
  <c r="E982" i="8"/>
  <c r="F982" i="8"/>
  <c r="G982" i="8"/>
  <c r="H982" i="8"/>
  <c r="I982" i="8"/>
  <c r="J982" i="8"/>
  <c r="K982" i="8"/>
  <c r="L982" i="8"/>
  <c r="M982" i="8"/>
  <c r="N982" i="8"/>
  <c r="O982" i="8"/>
  <c r="P982" i="8"/>
  <c r="Q982" i="8"/>
  <c r="R982" i="8"/>
  <c r="S982" i="8"/>
  <c r="T982" i="8"/>
  <c r="E983" i="8"/>
  <c r="F983" i="8"/>
  <c r="G983" i="8"/>
  <c r="H983" i="8"/>
  <c r="I983" i="8"/>
  <c r="J983" i="8"/>
  <c r="K983" i="8"/>
  <c r="L983" i="8"/>
  <c r="M983" i="8"/>
  <c r="N983" i="8"/>
  <c r="O983" i="8"/>
  <c r="P983" i="8"/>
  <c r="Q983" i="8"/>
  <c r="R983" i="8"/>
  <c r="S983" i="8"/>
  <c r="T983" i="8"/>
  <c r="E984" i="8"/>
  <c r="F984" i="8"/>
  <c r="G984" i="8"/>
  <c r="H984" i="8"/>
  <c r="I984" i="8"/>
  <c r="J984" i="8"/>
  <c r="K984" i="8"/>
  <c r="L984" i="8"/>
  <c r="M984" i="8"/>
  <c r="N984" i="8"/>
  <c r="O984" i="8"/>
  <c r="P984" i="8"/>
  <c r="Q984" i="8"/>
  <c r="R984" i="8"/>
  <c r="S984" i="8"/>
  <c r="T984" i="8"/>
  <c r="E985" i="8"/>
  <c r="F985" i="8"/>
  <c r="G985" i="8"/>
  <c r="H985" i="8"/>
  <c r="I985" i="8"/>
  <c r="J985" i="8"/>
  <c r="K985" i="8"/>
  <c r="L985" i="8"/>
  <c r="M985" i="8"/>
  <c r="N985" i="8"/>
  <c r="O985" i="8"/>
  <c r="P985" i="8"/>
  <c r="Q985" i="8"/>
  <c r="R985" i="8"/>
  <c r="S985" i="8"/>
  <c r="T985" i="8"/>
  <c r="E94" i="7"/>
  <c r="F94" i="7"/>
  <c r="G94" i="7"/>
  <c r="H94" i="7"/>
  <c r="I94" i="7"/>
  <c r="J94" i="7"/>
  <c r="K94" i="7"/>
  <c r="L94" i="7"/>
  <c r="M94" i="7"/>
  <c r="N94" i="7"/>
  <c r="P94" i="7"/>
  <c r="Q94" i="7"/>
  <c r="R94" i="7"/>
  <c r="S94" i="7"/>
  <c r="U94" i="7"/>
  <c r="V94" i="7"/>
  <c r="W94" i="7"/>
  <c r="X94" i="7"/>
  <c r="Y94" i="7"/>
  <c r="Z94" i="7"/>
  <c r="AA94" i="7"/>
  <c r="AC94" i="7"/>
  <c r="AE94" i="7"/>
  <c r="AI94" i="7"/>
  <c r="AO94" i="7"/>
  <c r="AP94" i="7"/>
  <c r="E964" i="8"/>
  <c r="F964" i="8"/>
  <c r="G964" i="8"/>
  <c r="H964" i="8"/>
  <c r="I964" i="8"/>
  <c r="J964" i="8"/>
  <c r="K964" i="8"/>
  <c r="L964" i="8"/>
  <c r="M964" i="8"/>
  <c r="N964" i="8"/>
  <c r="O964" i="8"/>
  <c r="P964" i="8"/>
  <c r="Q964" i="8"/>
  <c r="R964" i="8"/>
  <c r="S964" i="8"/>
  <c r="T964" i="8"/>
  <c r="E965" i="8"/>
  <c r="F965" i="8"/>
  <c r="G965" i="8"/>
  <c r="H965" i="8"/>
  <c r="I965" i="8"/>
  <c r="J965" i="8"/>
  <c r="K965" i="8"/>
  <c r="L965" i="8"/>
  <c r="M965" i="8"/>
  <c r="N965" i="8"/>
  <c r="O965" i="8"/>
  <c r="P965" i="8"/>
  <c r="Q965" i="8"/>
  <c r="R965" i="8"/>
  <c r="S965" i="8"/>
  <c r="T965" i="8"/>
  <c r="E966" i="8"/>
  <c r="F966" i="8"/>
  <c r="G966" i="8"/>
  <c r="H966" i="8"/>
  <c r="I966" i="8"/>
  <c r="J966" i="8"/>
  <c r="K966" i="8"/>
  <c r="L966" i="8"/>
  <c r="M966" i="8"/>
  <c r="N966" i="8"/>
  <c r="O966" i="8"/>
  <c r="P966" i="8"/>
  <c r="Q966" i="8"/>
  <c r="R966" i="8"/>
  <c r="S966" i="8"/>
  <c r="T966" i="8"/>
  <c r="E967" i="8"/>
  <c r="F967" i="8"/>
  <c r="G967" i="8"/>
  <c r="H967" i="8"/>
  <c r="I967" i="8"/>
  <c r="J967" i="8"/>
  <c r="K967" i="8"/>
  <c r="L967" i="8"/>
  <c r="M967" i="8"/>
  <c r="N967" i="8"/>
  <c r="O967" i="8"/>
  <c r="P967" i="8"/>
  <c r="Q967" i="8"/>
  <c r="R967" i="8"/>
  <c r="S967" i="8"/>
  <c r="T967" i="8"/>
  <c r="E968" i="8"/>
  <c r="F968" i="8"/>
  <c r="G968" i="8"/>
  <c r="H968" i="8"/>
  <c r="I968" i="8"/>
  <c r="J968" i="8"/>
  <c r="K968" i="8"/>
  <c r="L968" i="8"/>
  <c r="M968" i="8"/>
  <c r="N968" i="8"/>
  <c r="O968" i="8"/>
  <c r="P968" i="8"/>
  <c r="Q968" i="8"/>
  <c r="R968" i="8"/>
  <c r="S968" i="8"/>
  <c r="T968" i="8"/>
  <c r="E969" i="8"/>
  <c r="F969" i="8"/>
  <c r="G969" i="8"/>
  <c r="H969" i="8"/>
  <c r="I969" i="8"/>
  <c r="J969" i="8"/>
  <c r="K969" i="8"/>
  <c r="L969" i="8"/>
  <c r="M969" i="8"/>
  <c r="N969" i="8"/>
  <c r="O969" i="8"/>
  <c r="P969" i="8"/>
  <c r="Q969" i="8"/>
  <c r="R969" i="8"/>
  <c r="S969" i="8"/>
  <c r="T969" i="8"/>
  <c r="E970" i="8"/>
  <c r="F970" i="8"/>
  <c r="G970" i="8"/>
  <c r="H970" i="8"/>
  <c r="I970" i="8"/>
  <c r="J970" i="8"/>
  <c r="K970" i="8"/>
  <c r="L970" i="8"/>
  <c r="M970" i="8"/>
  <c r="N970" i="8"/>
  <c r="O970" i="8"/>
  <c r="P970" i="8"/>
  <c r="Q970" i="8"/>
  <c r="R970" i="8"/>
  <c r="S970" i="8"/>
  <c r="T970" i="8"/>
  <c r="E971" i="8"/>
  <c r="F971" i="8"/>
  <c r="G971" i="8"/>
  <c r="H971" i="8"/>
  <c r="I971" i="8"/>
  <c r="J971" i="8"/>
  <c r="K971" i="8"/>
  <c r="L971" i="8"/>
  <c r="M971" i="8"/>
  <c r="N971" i="8"/>
  <c r="O971" i="8"/>
  <c r="P971" i="8"/>
  <c r="Q971" i="8"/>
  <c r="R971" i="8"/>
  <c r="S971" i="8"/>
  <c r="T971" i="8"/>
  <c r="E972" i="8"/>
  <c r="F972" i="8"/>
  <c r="G972" i="8"/>
  <c r="H972" i="8"/>
  <c r="I972" i="8"/>
  <c r="J972" i="8"/>
  <c r="K972" i="8"/>
  <c r="L972" i="8"/>
  <c r="M972" i="8"/>
  <c r="N972" i="8"/>
  <c r="O972" i="8"/>
  <c r="P972" i="8"/>
  <c r="Q972" i="8"/>
  <c r="R972" i="8"/>
  <c r="S972" i="8"/>
  <c r="T972" i="8"/>
  <c r="E973" i="8"/>
  <c r="F973" i="8"/>
  <c r="G973" i="8"/>
  <c r="H973" i="8"/>
  <c r="I973" i="8"/>
  <c r="J973" i="8"/>
  <c r="K973" i="8"/>
  <c r="L973" i="8"/>
  <c r="M973" i="8"/>
  <c r="N973" i="8"/>
  <c r="O973" i="8"/>
  <c r="P973" i="8"/>
  <c r="Q973" i="8"/>
  <c r="R973" i="8"/>
  <c r="S973" i="8"/>
  <c r="T973" i="8"/>
  <c r="E974" i="8"/>
  <c r="F974" i="8"/>
  <c r="G974" i="8"/>
  <c r="H974" i="8"/>
  <c r="I974" i="8"/>
  <c r="J974" i="8"/>
  <c r="K974" i="8"/>
  <c r="L974" i="8"/>
  <c r="M974" i="8"/>
  <c r="N974" i="8"/>
  <c r="O974" i="8"/>
  <c r="P974" i="8"/>
  <c r="Q974" i="8"/>
  <c r="R974" i="8"/>
  <c r="S974" i="8"/>
  <c r="T974" i="8"/>
  <c r="E93" i="7"/>
  <c r="F93" i="7"/>
  <c r="G93" i="7"/>
  <c r="H93" i="7"/>
  <c r="I93" i="7"/>
  <c r="J93" i="7"/>
  <c r="K93" i="7"/>
  <c r="L93" i="7"/>
  <c r="M93" i="7"/>
  <c r="N93" i="7"/>
  <c r="P93" i="7"/>
  <c r="Q93" i="7"/>
  <c r="R93" i="7"/>
  <c r="S93" i="7"/>
  <c r="U93" i="7"/>
  <c r="V93" i="7"/>
  <c r="W93" i="7"/>
  <c r="X93" i="7"/>
  <c r="Y93" i="7"/>
  <c r="Z93" i="7"/>
  <c r="AA93" i="7"/>
  <c r="AC93" i="7"/>
  <c r="AE93" i="7"/>
  <c r="AI93" i="7"/>
  <c r="AO93" i="7"/>
  <c r="AP93" i="7"/>
  <c r="E953" i="8"/>
  <c r="F953" i="8"/>
  <c r="G953" i="8"/>
  <c r="H953" i="8"/>
  <c r="I953" i="8"/>
  <c r="J953" i="8"/>
  <c r="K953" i="8"/>
  <c r="L953" i="8"/>
  <c r="M953" i="8"/>
  <c r="N953" i="8"/>
  <c r="O953" i="8"/>
  <c r="P953" i="8"/>
  <c r="Q953" i="8"/>
  <c r="R953" i="8"/>
  <c r="S953" i="8"/>
  <c r="T953" i="8"/>
  <c r="E954" i="8"/>
  <c r="F954" i="8"/>
  <c r="G954" i="8"/>
  <c r="H954" i="8"/>
  <c r="I954" i="8"/>
  <c r="J954" i="8"/>
  <c r="K954" i="8"/>
  <c r="L954" i="8"/>
  <c r="M954" i="8"/>
  <c r="N954" i="8"/>
  <c r="O954" i="8"/>
  <c r="P954" i="8"/>
  <c r="Q954" i="8"/>
  <c r="R954" i="8"/>
  <c r="S954" i="8"/>
  <c r="T954" i="8"/>
  <c r="E955" i="8"/>
  <c r="F955" i="8"/>
  <c r="G955" i="8"/>
  <c r="H955" i="8"/>
  <c r="I955" i="8"/>
  <c r="J955" i="8"/>
  <c r="K955" i="8"/>
  <c r="L955" i="8"/>
  <c r="M955" i="8"/>
  <c r="N955" i="8"/>
  <c r="O955" i="8"/>
  <c r="P955" i="8"/>
  <c r="Q955" i="8"/>
  <c r="R955" i="8"/>
  <c r="S955" i="8"/>
  <c r="T955" i="8"/>
  <c r="E956" i="8"/>
  <c r="F956" i="8"/>
  <c r="G956" i="8"/>
  <c r="H956" i="8"/>
  <c r="I956" i="8"/>
  <c r="J956" i="8"/>
  <c r="K956" i="8"/>
  <c r="L956" i="8"/>
  <c r="M956" i="8"/>
  <c r="N956" i="8"/>
  <c r="O956" i="8"/>
  <c r="P956" i="8"/>
  <c r="Q956" i="8"/>
  <c r="R956" i="8"/>
  <c r="S956" i="8"/>
  <c r="T956" i="8"/>
  <c r="E957" i="8"/>
  <c r="F957" i="8"/>
  <c r="G957" i="8"/>
  <c r="H957" i="8"/>
  <c r="I957" i="8"/>
  <c r="J957" i="8"/>
  <c r="K957" i="8"/>
  <c r="L957" i="8"/>
  <c r="M957" i="8"/>
  <c r="N957" i="8"/>
  <c r="O957" i="8"/>
  <c r="P957" i="8"/>
  <c r="Q957" i="8"/>
  <c r="R957" i="8"/>
  <c r="S957" i="8"/>
  <c r="T957" i="8"/>
  <c r="E958" i="8"/>
  <c r="F958" i="8"/>
  <c r="G958" i="8"/>
  <c r="H958" i="8"/>
  <c r="I958" i="8"/>
  <c r="J958" i="8"/>
  <c r="K958" i="8"/>
  <c r="L958" i="8"/>
  <c r="M958" i="8"/>
  <c r="N958" i="8"/>
  <c r="O958" i="8"/>
  <c r="P958" i="8"/>
  <c r="Q958" i="8"/>
  <c r="R958" i="8"/>
  <c r="S958" i="8"/>
  <c r="T958" i="8"/>
  <c r="E959" i="8"/>
  <c r="F959" i="8"/>
  <c r="G959" i="8"/>
  <c r="H959" i="8"/>
  <c r="I959" i="8"/>
  <c r="J959" i="8"/>
  <c r="K959" i="8"/>
  <c r="L959" i="8"/>
  <c r="M959" i="8"/>
  <c r="N959" i="8"/>
  <c r="O959" i="8"/>
  <c r="P959" i="8"/>
  <c r="Q959" i="8"/>
  <c r="R959" i="8"/>
  <c r="S959" i="8"/>
  <c r="T959" i="8"/>
  <c r="E960" i="8"/>
  <c r="F960" i="8"/>
  <c r="G960" i="8"/>
  <c r="H960" i="8"/>
  <c r="I960" i="8"/>
  <c r="J960" i="8"/>
  <c r="K960" i="8"/>
  <c r="L960" i="8"/>
  <c r="M960" i="8"/>
  <c r="N960" i="8"/>
  <c r="O960" i="8"/>
  <c r="P960" i="8"/>
  <c r="Q960" i="8"/>
  <c r="R960" i="8"/>
  <c r="S960" i="8"/>
  <c r="T960" i="8"/>
  <c r="E961" i="8"/>
  <c r="F961" i="8"/>
  <c r="G961" i="8"/>
  <c r="H961" i="8"/>
  <c r="I961" i="8"/>
  <c r="J961" i="8"/>
  <c r="K961" i="8"/>
  <c r="L961" i="8"/>
  <c r="M961" i="8"/>
  <c r="N961" i="8"/>
  <c r="O961" i="8"/>
  <c r="P961" i="8"/>
  <c r="Q961" i="8"/>
  <c r="R961" i="8"/>
  <c r="S961" i="8"/>
  <c r="T961" i="8"/>
  <c r="E962" i="8"/>
  <c r="F962" i="8"/>
  <c r="G962" i="8"/>
  <c r="H962" i="8"/>
  <c r="I962" i="8"/>
  <c r="J962" i="8"/>
  <c r="K962" i="8"/>
  <c r="L962" i="8"/>
  <c r="M962" i="8"/>
  <c r="N962" i="8"/>
  <c r="O962" i="8"/>
  <c r="P962" i="8"/>
  <c r="Q962" i="8"/>
  <c r="R962" i="8"/>
  <c r="S962" i="8"/>
  <c r="T962" i="8"/>
  <c r="E963" i="8"/>
  <c r="F963" i="8"/>
  <c r="G963" i="8"/>
  <c r="H963" i="8"/>
  <c r="I963" i="8"/>
  <c r="J963" i="8"/>
  <c r="K963" i="8"/>
  <c r="L963" i="8"/>
  <c r="M963" i="8"/>
  <c r="N963" i="8"/>
  <c r="O963" i="8"/>
  <c r="P963" i="8"/>
  <c r="Q963" i="8"/>
  <c r="R963" i="8"/>
  <c r="S963" i="8"/>
  <c r="T963" i="8"/>
  <c r="E92" i="7"/>
  <c r="F92" i="7"/>
  <c r="G92" i="7"/>
  <c r="H92" i="7"/>
  <c r="I92" i="7"/>
  <c r="J92" i="7"/>
  <c r="K92" i="7"/>
  <c r="L92" i="7"/>
  <c r="M92" i="7"/>
  <c r="N92" i="7"/>
  <c r="P92" i="7"/>
  <c r="Q92" i="7"/>
  <c r="R92" i="7"/>
  <c r="S92" i="7"/>
  <c r="U92" i="7"/>
  <c r="V92" i="7"/>
  <c r="W92" i="7"/>
  <c r="X92" i="7"/>
  <c r="Y92" i="7"/>
  <c r="Z92" i="7"/>
  <c r="AA92" i="7"/>
  <c r="AC92" i="7"/>
  <c r="AE92" i="7"/>
  <c r="AI92" i="7"/>
  <c r="AO92" i="7"/>
  <c r="AP92" i="7"/>
  <c r="E942" i="8"/>
  <c r="F942" i="8"/>
  <c r="G942" i="8"/>
  <c r="H942" i="8"/>
  <c r="I942" i="8"/>
  <c r="J942" i="8"/>
  <c r="K942" i="8"/>
  <c r="L942" i="8"/>
  <c r="M942" i="8"/>
  <c r="N942" i="8"/>
  <c r="O942" i="8"/>
  <c r="P942" i="8"/>
  <c r="Q942" i="8"/>
  <c r="R942" i="8"/>
  <c r="S942" i="8"/>
  <c r="T942" i="8"/>
  <c r="E943" i="8"/>
  <c r="F943" i="8"/>
  <c r="G943" i="8"/>
  <c r="H943" i="8"/>
  <c r="I943" i="8"/>
  <c r="J943" i="8"/>
  <c r="K943" i="8"/>
  <c r="L943" i="8"/>
  <c r="M943" i="8"/>
  <c r="N943" i="8"/>
  <c r="O943" i="8"/>
  <c r="P943" i="8"/>
  <c r="Q943" i="8"/>
  <c r="R943" i="8"/>
  <c r="S943" i="8"/>
  <c r="T943" i="8"/>
  <c r="E944" i="8"/>
  <c r="F944" i="8"/>
  <c r="G944" i="8"/>
  <c r="H944" i="8"/>
  <c r="I944" i="8"/>
  <c r="J944" i="8"/>
  <c r="K944" i="8"/>
  <c r="L944" i="8"/>
  <c r="M944" i="8"/>
  <c r="N944" i="8"/>
  <c r="O944" i="8"/>
  <c r="P944" i="8"/>
  <c r="Q944" i="8"/>
  <c r="R944" i="8"/>
  <c r="S944" i="8"/>
  <c r="T944" i="8"/>
  <c r="E945" i="8"/>
  <c r="F945" i="8"/>
  <c r="G945" i="8"/>
  <c r="H945" i="8"/>
  <c r="I945" i="8"/>
  <c r="J945" i="8"/>
  <c r="K945" i="8"/>
  <c r="L945" i="8"/>
  <c r="M945" i="8"/>
  <c r="N945" i="8"/>
  <c r="O945" i="8"/>
  <c r="P945" i="8"/>
  <c r="Q945" i="8"/>
  <c r="R945" i="8"/>
  <c r="S945" i="8"/>
  <c r="T945" i="8"/>
  <c r="E946" i="8"/>
  <c r="F946" i="8"/>
  <c r="G946" i="8"/>
  <c r="H946" i="8"/>
  <c r="I946" i="8"/>
  <c r="J946" i="8"/>
  <c r="K946" i="8"/>
  <c r="L946" i="8"/>
  <c r="M946" i="8"/>
  <c r="N946" i="8"/>
  <c r="O946" i="8"/>
  <c r="P946" i="8"/>
  <c r="Q946" i="8"/>
  <c r="R946" i="8"/>
  <c r="S946" i="8"/>
  <c r="T946" i="8"/>
  <c r="E947" i="8"/>
  <c r="F947" i="8"/>
  <c r="G947" i="8"/>
  <c r="H947" i="8"/>
  <c r="I947" i="8"/>
  <c r="J947" i="8"/>
  <c r="K947" i="8"/>
  <c r="L947" i="8"/>
  <c r="M947" i="8"/>
  <c r="N947" i="8"/>
  <c r="O947" i="8"/>
  <c r="P947" i="8"/>
  <c r="Q947" i="8"/>
  <c r="R947" i="8"/>
  <c r="S947" i="8"/>
  <c r="T947" i="8"/>
  <c r="E948" i="8"/>
  <c r="F948" i="8"/>
  <c r="G948" i="8"/>
  <c r="H948" i="8"/>
  <c r="I948" i="8"/>
  <c r="J948" i="8"/>
  <c r="K948" i="8"/>
  <c r="L948" i="8"/>
  <c r="M948" i="8"/>
  <c r="N948" i="8"/>
  <c r="O948" i="8"/>
  <c r="P948" i="8"/>
  <c r="Q948" i="8"/>
  <c r="R948" i="8"/>
  <c r="S948" i="8"/>
  <c r="T948" i="8"/>
  <c r="E949" i="8"/>
  <c r="F949" i="8"/>
  <c r="G949" i="8"/>
  <c r="H949" i="8"/>
  <c r="I949" i="8"/>
  <c r="J949" i="8"/>
  <c r="K949" i="8"/>
  <c r="L949" i="8"/>
  <c r="M949" i="8"/>
  <c r="N949" i="8"/>
  <c r="O949" i="8"/>
  <c r="P949" i="8"/>
  <c r="Q949" i="8"/>
  <c r="R949" i="8"/>
  <c r="S949" i="8"/>
  <c r="T949" i="8"/>
  <c r="E950" i="8"/>
  <c r="F950" i="8"/>
  <c r="G950" i="8"/>
  <c r="H950" i="8"/>
  <c r="I950" i="8"/>
  <c r="J950" i="8"/>
  <c r="K950" i="8"/>
  <c r="L950" i="8"/>
  <c r="M950" i="8"/>
  <c r="N950" i="8"/>
  <c r="O950" i="8"/>
  <c r="P950" i="8"/>
  <c r="Q950" i="8"/>
  <c r="R950" i="8"/>
  <c r="S950" i="8"/>
  <c r="T950" i="8"/>
  <c r="E951" i="8"/>
  <c r="F951" i="8"/>
  <c r="G951" i="8"/>
  <c r="H951" i="8"/>
  <c r="I951" i="8"/>
  <c r="J951" i="8"/>
  <c r="K951" i="8"/>
  <c r="L951" i="8"/>
  <c r="M951" i="8"/>
  <c r="N951" i="8"/>
  <c r="O951" i="8"/>
  <c r="P951" i="8"/>
  <c r="Q951" i="8"/>
  <c r="R951" i="8"/>
  <c r="S951" i="8"/>
  <c r="T951" i="8"/>
  <c r="E952" i="8"/>
  <c r="F952" i="8"/>
  <c r="G952" i="8"/>
  <c r="H952" i="8"/>
  <c r="I952" i="8"/>
  <c r="J952" i="8"/>
  <c r="K952" i="8"/>
  <c r="L952" i="8"/>
  <c r="M952" i="8"/>
  <c r="N952" i="8"/>
  <c r="O952" i="8"/>
  <c r="P952" i="8"/>
  <c r="Q952" i="8"/>
  <c r="R952" i="8"/>
  <c r="S952" i="8"/>
  <c r="T952" i="8"/>
  <c r="E91" i="7"/>
  <c r="F91" i="7"/>
  <c r="G91" i="7"/>
  <c r="H91" i="7"/>
  <c r="I91" i="7"/>
  <c r="J91" i="7"/>
  <c r="K91" i="7"/>
  <c r="L91" i="7"/>
  <c r="M91" i="7"/>
  <c r="N91" i="7"/>
  <c r="P91" i="7"/>
  <c r="Q91" i="7"/>
  <c r="R91" i="7"/>
  <c r="S91" i="7"/>
  <c r="U91" i="7"/>
  <c r="V91" i="7"/>
  <c r="W91" i="7"/>
  <c r="X91" i="7"/>
  <c r="Y91" i="7"/>
  <c r="Z91" i="7"/>
  <c r="AA91" i="7"/>
  <c r="AC91" i="7"/>
  <c r="AE91" i="7"/>
  <c r="AI91" i="7"/>
  <c r="AO91" i="7"/>
  <c r="AP91" i="7"/>
  <c r="E931" i="8"/>
  <c r="F931" i="8"/>
  <c r="G931" i="8"/>
  <c r="H931" i="8"/>
  <c r="I931" i="8"/>
  <c r="J931" i="8"/>
  <c r="K931" i="8"/>
  <c r="L931" i="8"/>
  <c r="M931" i="8"/>
  <c r="N931" i="8"/>
  <c r="O931" i="8"/>
  <c r="P931" i="8"/>
  <c r="Q931" i="8"/>
  <c r="R931" i="8"/>
  <c r="S931" i="8"/>
  <c r="T931" i="8"/>
  <c r="E932" i="8"/>
  <c r="F932" i="8"/>
  <c r="G932" i="8"/>
  <c r="H932" i="8"/>
  <c r="I932" i="8"/>
  <c r="J932" i="8"/>
  <c r="K932" i="8"/>
  <c r="L932" i="8"/>
  <c r="M932" i="8"/>
  <c r="N932" i="8"/>
  <c r="O932" i="8"/>
  <c r="P932" i="8"/>
  <c r="Q932" i="8"/>
  <c r="R932" i="8"/>
  <c r="S932" i="8"/>
  <c r="T932" i="8"/>
  <c r="E933" i="8"/>
  <c r="F933" i="8"/>
  <c r="G933" i="8"/>
  <c r="H933" i="8"/>
  <c r="I933" i="8"/>
  <c r="J933" i="8"/>
  <c r="K933" i="8"/>
  <c r="L933" i="8"/>
  <c r="M933" i="8"/>
  <c r="N933" i="8"/>
  <c r="O933" i="8"/>
  <c r="P933" i="8"/>
  <c r="Q933" i="8"/>
  <c r="R933" i="8"/>
  <c r="S933" i="8"/>
  <c r="T933" i="8"/>
  <c r="E934" i="8"/>
  <c r="F934" i="8"/>
  <c r="G934" i="8"/>
  <c r="H934" i="8"/>
  <c r="I934" i="8"/>
  <c r="J934" i="8"/>
  <c r="K934" i="8"/>
  <c r="L934" i="8"/>
  <c r="M934" i="8"/>
  <c r="N934" i="8"/>
  <c r="O934" i="8"/>
  <c r="P934" i="8"/>
  <c r="Q934" i="8"/>
  <c r="R934" i="8"/>
  <c r="S934" i="8"/>
  <c r="T934" i="8"/>
  <c r="E935" i="8"/>
  <c r="F935" i="8"/>
  <c r="G935" i="8"/>
  <c r="H935" i="8"/>
  <c r="I935" i="8"/>
  <c r="J935" i="8"/>
  <c r="K935" i="8"/>
  <c r="L935" i="8"/>
  <c r="M935" i="8"/>
  <c r="N935" i="8"/>
  <c r="O935" i="8"/>
  <c r="P935" i="8"/>
  <c r="Q935" i="8"/>
  <c r="R935" i="8"/>
  <c r="S935" i="8"/>
  <c r="T935" i="8"/>
  <c r="E936" i="8"/>
  <c r="F936" i="8"/>
  <c r="G936" i="8"/>
  <c r="H936" i="8"/>
  <c r="I936" i="8"/>
  <c r="J936" i="8"/>
  <c r="K936" i="8"/>
  <c r="L936" i="8"/>
  <c r="M936" i="8"/>
  <c r="N936" i="8"/>
  <c r="O936" i="8"/>
  <c r="P936" i="8"/>
  <c r="Q936" i="8"/>
  <c r="R936" i="8"/>
  <c r="S936" i="8"/>
  <c r="T936" i="8"/>
  <c r="E937" i="8"/>
  <c r="F937" i="8"/>
  <c r="G937" i="8"/>
  <c r="H937" i="8"/>
  <c r="I937" i="8"/>
  <c r="J937" i="8"/>
  <c r="K937" i="8"/>
  <c r="L937" i="8"/>
  <c r="M937" i="8"/>
  <c r="N937" i="8"/>
  <c r="O937" i="8"/>
  <c r="P937" i="8"/>
  <c r="Q937" i="8"/>
  <c r="R937" i="8"/>
  <c r="S937" i="8"/>
  <c r="T937" i="8"/>
  <c r="E938" i="8"/>
  <c r="F938" i="8"/>
  <c r="G938" i="8"/>
  <c r="H938" i="8"/>
  <c r="I938" i="8"/>
  <c r="J938" i="8"/>
  <c r="K938" i="8"/>
  <c r="L938" i="8"/>
  <c r="M938" i="8"/>
  <c r="N938" i="8"/>
  <c r="O938" i="8"/>
  <c r="P938" i="8"/>
  <c r="Q938" i="8"/>
  <c r="R938" i="8"/>
  <c r="S938" i="8"/>
  <c r="T938" i="8"/>
  <c r="E939" i="8"/>
  <c r="F939" i="8"/>
  <c r="G939" i="8"/>
  <c r="H939" i="8"/>
  <c r="I939" i="8"/>
  <c r="J939" i="8"/>
  <c r="K939" i="8"/>
  <c r="L939" i="8"/>
  <c r="M939" i="8"/>
  <c r="N939" i="8"/>
  <c r="O939" i="8"/>
  <c r="P939" i="8"/>
  <c r="Q939" i="8"/>
  <c r="R939" i="8"/>
  <c r="S939" i="8"/>
  <c r="T939" i="8"/>
  <c r="E940" i="8"/>
  <c r="F940" i="8"/>
  <c r="G940" i="8"/>
  <c r="H940" i="8"/>
  <c r="I940" i="8"/>
  <c r="J940" i="8"/>
  <c r="K940" i="8"/>
  <c r="L940" i="8"/>
  <c r="M940" i="8"/>
  <c r="N940" i="8"/>
  <c r="O940" i="8"/>
  <c r="P940" i="8"/>
  <c r="Q940" i="8"/>
  <c r="R940" i="8"/>
  <c r="S940" i="8"/>
  <c r="T940" i="8"/>
  <c r="E941" i="8"/>
  <c r="F941" i="8"/>
  <c r="G941" i="8"/>
  <c r="H941" i="8"/>
  <c r="I941" i="8"/>
  <c r="J941" i="8"/>
  <c r="K941" i="8"/>
  <c r="L941" i="8"/>
  <c r="M941" i="8"/>
  <c r="N941" i="8"/>
  <c r="O941" i="8"/>
  <c r="P941" i="8"/>
  <c r="Q941" i="8"/>
  <c r="R941" i="8"/>
  <c r="S941" i="8"/>
  <c r="T941" i="8"/>
  <c r="E90" i="7"/>
  <c r="F90" i="7"/>
  <c r="G90" i="7"/>
  <c r="H90" i="7"/>
  <c r="I90" i="7"/>
  <c r="J90" i="7"/>
  <c r="K90" i="7"/>
  <c r="L90" i="7"/>
  <c r="M90" i="7"/>
  <c r="N90" i="7"/>
  <c r="P90" i="7"/>
  <c r="Q90" i="7"/>
  <c r="R90" i="7"/>
  <c r="S90" i="7"/>
  <c r="U90" i="7"/>
  <c r="V90" i="7"/>
  <c r="W90" i="7"/>
  <c r="X90" i="7"/>
  <c r="Y90" i="7"/>
  <c r="Z90" i="7"/>
  <c r="AA90" i="7"/>
  <c r="AC90" i="7"/>
  <c r="AE90" i="7"/>
  <c r="AI90" i="7"/>
  <c r="AO90" i="7"/>
  <c r="AP90" i="7"/>
  <c r="E920" i="8"/>
  <c r="F920" i="8"/>
  <c r="G920" i="8"/>
  <c r="H920" i="8"/>
  <c r="I920" i="8"/>
  <c r="J920" i="8"/>
  <c r="K920" i="8"/>
  <c r="L920" i="8"/>
  <c r="M920" i="8"/>
  <c r="N920" i="8"/>
  <c r="O920" i="8"/>
  <c r="P920" i="8"/>
  <c r="Q920" i="8"/>
  <c r="R920" i="8"/>
  <c r="S920" i="8"/>
  <c r="T920" i="8"/>
  <c r="E921" i="8"/>
  <c r="F921" i="8"/>
  <c r="G921" i="8"/>
  <c r="H921" i="8"/>
  <c r="I921" i="8"/>
  <c r="J921" i="8"/>
  <c r="K921" i="8"/>
  <c r="L921" i="8"/>
  <c r="M921" i="8"/>
  <c r="N921" i="8"/>
  <c r="O921" i="8"/>
  <c r="P921" i="8"/>
  <c r="Q921" i="8"/>
  <c r="R921" i="8"/>
  <c r="S921" i="8"/>
  <c r="T921" i="8"/>
  <c r="E922" i="8"/>
  <c r="F922" i="8"/>
  <c r="G922" i="8"/>
  <c r="H922" i="8"/>
  <c r="I922" i="8"/>
  <c r="J922" i="8"/>
  <c r="K922" i="8"/>
  <c r="L922" i="8"/>
  <c r="M922" i="8"/>
  <c r="N922" i="8"/>
  <c r="O922" i="8"/>
  <c r="P922" i="8"/>
  <c r="Q922" i="8"/>
  <c r="R922" i="8"/>
  <c r="S922" i="8"/>
  <c r="T922" i="8"/>
  <c r="E923" i="8"/>
  <c r="F923" i="8"/>
  <c r="G923" i="8"/>
  <c r="H923" i="8"/>
  <c r="I923" i="8"/>
  <c r="J923" i="8"/>
  <c r="K923" i="8"/>
  <c r="L923" i="8"/>
  <c r="M923" i="8"/>
  <c r="N923" i="8"/>
  <c r="O923" i="8"/>
  <c r="P923" i="8"/>
  <c r="Q923" i="8"/>
  <c r="R923" i="8"/>
  <c r="S923" i="8"/>
  <c r="T923" i="8"/>
  <c r="E924" i="8"/>
  <c r="F924" i="8"/>
  <c r="G924" i="8"/>
  <c r="H924" i="8"/>
  <c r="I924" i="8"/>
  <c r="J924" i="8"/>
  <c r="K924" i="8"/>
  <c r="L924" i="8"/>
  <c r="M924" i="8"/>
  <c r="N924" i="8"/>
  <c r="O924" i="8"/>
  <c r="P924" i="8"/>
  <c r="Q924" i="8"/>
  <c r="R924" i="8"/>
  <c r="S924" i="8"/>
  <c r="T924" i="8"/>
  <c r="E925" i="8"/>
  <c r="F925" i="8"/>
  <c r="G925" i="8"/>
  <c r="H925" i="8"/>
  <c r="I925" i="8"/>
  <c r="J925" i="8"/>
  <c r="K925" i="8"/>
  <c r="L925" i="8"/>
  <c r="M925" i="8"/>
  <c r="N925" i="8"/>
  <c r="O925" i="8"/>
  <c r="P925" i="8"/>
  <c r="Q925" i="8"/>
  <c r="R925" i="8"/>
  <c r="S925" i="8"/>
  <c r="T925" i="8"/>
  <c r="E926" i="8"/>
  <c r="F926" i="8"/>
  <c r="G926" i="8"/>
  <c r="H926" i="8"/>
  <c r="I926" i="8"/>
  <c r="J926" i="8"/>
  <c r="K926" i="8"/>
  <c r="L926" i="8"/>
  <c r="M926" i="8"/>
  <c r="N926" i="8"/>
  <c r="O926" i="8"/>
  <c r="P926" i="8"/>
  <c r="Q926" i="8"/>
  <c r="R926" i="8"/>
  <c r="S926" i="8"/>
  <c r="T926" i="8"/>
  <c r="E927" i="8"/>
  <c r="F927" i="8"/>
  <c r="G927" i="8"/>
  <c r="H927" i="8"/>
  <c r="I927" i="8"/>
  <c r="J927" i="8"/>
  <c r="K927" i="8"/>
  <c r="L927" i="8"/>
  <c r="M927" i="8"/>
  <c r="N927" i="8"/>
  <c r="O927" i="8"/>
  <c r="P927" i="8"/>
  <c r="Q927" i="8"/>
  <c r="R927" i="8"/>
  <c r="S927" i="8"/>
  <c r="T927" i="8"/>
  <c r="E928" i="8"/>
  <c r="F928" i="8"/>
  <c r="G928" i="8"/>
  <c r="H928" i="8"/>
  <c r="I928" i="8"/>
  <c r="J928" i="8"/>
  <c r="K928" i="8"/>
  <c r="L928" i="8"/>
  <c r="M928" i="8"/>
  <c r="N928" i="8"/>
  <c r="O928" i="8"/>
  <c r="P928" i="8"/>
  <c r="Q928" i="8"/>
  <c r="R928" i="8"/>
  <c r="S928" i="8"/>
  <c r="T928" i="8"/>
  <c r="E929" i="8"/>
  <c r="F929" i="8"/>
  <c r="G929" i="8"/>
  <c r="H929" i="8"/>
  <c r="I929" i="8"/>
  <c r="J929" i="8"/>
  <c r="K929" i="8"/>
  <c r="L929" i="8"/>
  <c r="M929" i="8"/>
  <c r="N929" i="8"/>
  <c r="O929" i="8"/>
  <c r="P929" i="8"/>
  <c r="Q929" i="8"/>
  <c r="R929" i="8"/>
  <c r="S929" i="8"/>
  <c r="T929" i="8"/>
  <c r="E930" i="8"/>
  <c r="F930" i="8"/>
  <c r="G930" i="8"/>
  <c r="H930" i="8"/>
  <c r="I930" i="8"/>
  <c r="J930" i="8"/>
  <c r="K930" i="8"/>
  <c r="L930" i="8"/>
  <c r="M930" i="8"/>
  <c r="N930" i="8"/>
  <c r="O930" i="8"/>
  <c r="P930" i="8"/>
  <c r="Q930" i="8"/>
  <c r="R930" i="8"/>
  <c r="S930" i="8"/>
  <c r="T930" i="8"/>
  <c r="E89" i="7"/>
  <c r="F89" i="7"/>
  <c r="G89" i="7"/>
  <c r="H89" i="7"/>
  <c r="I89" i="7"/>
  <c r="J89" i="7"/>
  <c r="K89" i="7"/>
  <c r="L89" i="7"/>
  <c r="M89" i="7"/>
  <c r="N89" i="7"/>
  <c r="P89" i="7"/>
  <c r="Q89" i="7"/>
  <c r="R89" i="7"/>
  <c r="S89" i="7"/>
  <c r="U89" i="7"/>
  <c r="V89" i="7"/>
  <c r="W89" i="7"/>
  <c r="X89" i="7"/>
  <c r="Y89" i="7"/>
  <c r="Z89" i="7"/>
  <c r="AA89" i="7"/>
  <c r="AC89" i="7"/>
  <c r="AE89" i="7"/>
  <c r="AI89" i="7"/>
  <c r="AO89" i="7"/>
  <c r="AP89" i="7"/>
  <c r="E909" i="8"/>
  <c r="F909" i="8"/>
  <c r="G909" i="8"/>
  <c r="H909" i="8"/>
  <c r="I909" i="8"/>
  <c r="J909" i="8"/>
  <c r="K909" i="8"/>
  <c r="L909" i="8"/>
  <c r="M909" i="8"/>
  <c r="N909" i="8"/>
  <c r="O909" i="8"/>
  <c r="P909" i="8"/>
  <c r="Q909" i="8"/>
  <c r="R909" i="8"/>
  <c r="S909" i="8"/>
  <c r="T909" i="8"/>
  <c r="E910" i="8"/>
  <c r="F910" i="8"/>
  <c r="G910" i="8"/>
  <c r="H910" i="8"/>
  <c r="I910" i="8"/>
  <c r="J910" i="8"/>
  <c r="K910" i="8"/>
  <c r="L910" i="8"/>
  <c r="M910" i="8"/>
  <c r="N910" i="8"/>
  <c r="O910" i="8"/>
  <c r="P910" i="8"/>
  <c r="Q910" i="8"/>
  <c r="R910" i="8"/>
  <c r="S910" i="8"/>
  <c r="T910" i="8"/>
  <c r="E911" i="8"/>
  <c r="F911" i="8"/>
  <c r="G911" i="8"/>
  <c r="H911" i="8"/>
  <c r="I911" i="8"/>
  <c r="J911" i="8"/>
  <c r="K911" i="8"/>
  <c r="L911" i="8"/>
  <c r="M911" i="8"/>
  <c r="N911" i="8"/>
  <c r="O911" i="8"/>
  <c r="P911" i="8"/>
  <c r="Q911" i="8"/>
  <c r="R911" i="8"/>
  <c r="S911" i="8"/>
  <c r="T911" i="8"/>
  <c r="E912" i="8"/>
  <c r="F912" i="8"/>
  <c r="G912" i="8"/>
  <c r="H912" i="8"/>
  <c r="I912" i="8"/>
  <c r="J912" i="8"/>
  <c r="K912" i="8"/>
  <c r="L912" i="8"/>
  <c r="M912" i="8"/>
  <c r="N912" i="8"/>
  <c r="O912" i="8"/>
  <c r="P912" i="8"/>
  <c r="Q912" i="8"/>
  <c r="R912" i="8"/>
  <c r="S912" i="8"/>
  <c r="T912" i="8"/>
  <c r="E913" i="8"/>
  <c r="F913" i="8"/>
  <c r="G913" i="8"/>
  <c r="H913" i="8"/>
  <c r="I913" i="8"/>
  <c r="J913" i="8"/>
  <c r="K913" i="8"/>
  <c r="L913" i="8"/>
  <c r="M913" i="8"/>
  <c r="N913" i="8"/>
  <c r="O913" i="8"/>
  <c r="P913" i="8"/>
  <c r="Q913" i="8"/>
  <c r="R913" i="8"/>
  <c r="S913" i="8"/>
  <c r="T913" i="8"/>
  <c r="E914" i="8"/>
  <c r="F914" i="8"/>
  <c r="G914" i="8"/>
  <c r="H914" i="8"/>
  <c r="I914" i="8"/>
  <c r="J914" i="8"/>
  <c r="K914" i="8"/>
  <c r="L914" i="8"/>
  <c r="M914" i="8"/>
  <c r="N914" i="8"/>
  <c r="O914" i="8"/>
  <c r="P914" i="8"/>
  <c r="Q914" i="8"/>
  <c r="R914" i="8"/>
  <c r="S914" i="8"/>
  <c r="T914" i="8"/>
  <c r="E915" i="8"/>
  <c r="F915" i="8"/>
  <c r="G915" i="8"/>
  <c r="H915" i="8"/>
  <c r="I915" i="8"/>
  <c r="J915" i="8"/>
  <c r="K915" i="8"/>
  <c r="L915" i="8"/>
  <c r="M915" i="8"/>
  <c r="N915" i="8"/>
  <c r="O915" i="8"/>
  <c r="P915" i="8"/>
  <c r="Q915" i="8"/>
  <c r="R915" i="8"/>
  <c r="S915" i="8"/>
  <c r="T915" i="8"/>
  <c r="E916" i="8"/>
  <c r="F916" i="8"/>
  <c r="G916" i="8"/>
  <c r="H916" i="8"/>
  <c r="I916" i="8"/>
  <c r="J916" i="8"/>
  <c r="K916" i="8"/>
  <c r="L916" i="8"/>
  <c r="M916" i="8"/>
  <c r="N916" i="8"/>
  <c r="O916" i="8"/>
  <c r="P916" i="8"/>
  <c r="Q916" i="8"/>
  <c r="R916" i="8"/>
  <c r="S916" i="8"/>
  <c r="T916" i="8"/>
  <c r="E917" i="8"/>
  <c r="F917" i="8"/>
  <c r="G917" i="8"/>
  <c r="H917" i="8"/>
  <c r="I917" i="8"/>
  <c r="J917" i="8"/>
  <c r="K917" i="8"/>
  <c r="L917" i="8"/>
  <c r="M917" i="8"/>
  <c r="N917" i="8"/>
  <c r="O917" i="8"/>
  <c r="P917" i="8"/>
  <c r="Q917" i="8"/>
  <c r="R917" i="8"/>
  <c r="S917" i="8"/>
  <c r="T917" i="8"/>
  <c r="E918" i="8"/>
  <c r="F918" i="8"/>
  <c r="G918" i="8"/>
  <c r="H918" i="8"/>
  <c r="I918" i="8"/>
  <c r="J918" i="8"/>
  <c r="K918" i="8"/>
  <c r="L918" i="8"/>
  <c r="M918" i="8"/>
  <c r="N918" i="8"/>
  <c r="O918" i="8"/>
  <c r="P918" i="8"/>
  <c r="Q918" i="8"/>
  <c r="R918" i="8"/>
  <c r="S918" i="8"/>
  <c r="T918" i="8"/>
  <c r="E919" i="8"/>
  <c r="F919" i="8"/>
  <c r="G919" i="8"/>
  <c r="H919" i="8"/>
  <c r="I919" i="8"/>
  <c r="J919" i="8"/>
  <c r="K919" i="8"/>
  <c r="L919" i="8"/>
  <c r="M919" i="8"/>
  <c r="N919" i="8"/>
  <c r="O919" i="8"/>
  <c r="P919" i="8"/>
  <c r="Q919" i="8"/>
  <c r="R919" i="8"/>
  <c r="S919" i="8"/>
  <c r="T919" i="8"/>
  <c r="E88" i="7"/>
  <c r="F88" i="7"/>
  <c r="G88" i="7"/>
  <c r="H88" i="7"/>
  <c r="I88" i="7"/>
  <c r="J88" i="7"/>
  <c r="K88" i="7"/>
  <c r="L88" i="7"/>
  <c r="M88" i="7"/>
  <c r="N88" i="7"/>
  <c r="P88" i="7"/>
  <c r="Q88" i="7"/>
  <c r="R88" i="7"/>
  <c r="S88" i="7"/>
  <c r="U88" i="7"/>
  <c r="V88" i="7"/>
  <c r="W88" i="7"/>
  <c r="X88" i="7"/>
  <c r="Y88" i="7"/>
  <c r="Z88" i="7"/>
  <c r="AA88" i="7"/>
  <c r="AC88" i="7"/>
  <c r="AE88" i="7"/>
  <c r="AI88" i="7"/>
  <c r="AO88" i="7"/>
  <c r="AP88" i="7"/>
  <c r="E898" i="8"/>
  <c r="F898" i="8"/>
  <c r="G898" i="8"/>
  <c r="H898" i="8"/>
  <c r="I898" i="8"/>
  <c r="J898" i="8"/>
  <c r="K898" i="8"/>
  <c r="L898" i="8"/>
  <c r="M898" i="8"/>
  <c r="N898" i="8"/>
  <c r="O898" i="8"/>
  <c r="P898" i="8"/>
  <c r="Q898" i="8"/>
  <c r="R898" i="8"/>
  <c r="S898" i="8"/>
  <c r="T898" i="8"/>
  <c r="E899" i="8"/>
  <c r="F899" i="8"/>
  <c r="G899" i="8"/>
  <c r="H899" i="8"/>
  <c r="I899" i="8"/>
  <c r="J899" i="8"/>
  <c r="K899" i="8"/>
  <c r="L899" i="8"/>
  <c r="M899" i="8"/>
  <c r="N899" i="8"/>
  <c r="O899" i="8"/>
  <c r="P899" i="8"/>
  <c r="Q899" i="8"/>
  <c r="R899" i="8"/>
  <c r="S899" i="8"/>
  <c r="T899" i="8"/>
  <c r="E900" i="8"/>
  <c r="F900" i="8"/>
  <c r="G900" i="8"/>
  <c r="H900" i="8"/>
  <c r="I900" i="8"/>
  <c r="J900" i="8"/>
  <c r="K900" i="8"/>
  <c r="L900" i="8"/>
  <c r="M900" i="8"/>
  <c r="N900" i="8"/>
  <c r="O900" i="8"/>
  <c r="P900" i="8"/>
  <c r="Q900" i="8"/>
  <c r="R900" i="8"/>
  <c r="S900" i="8"/>
  <c r="T900" i="8"/>
  <c r="E901" i="8"/>
  <c r="F901" i="8"/>
  <c r="G901" i="8"/>
  <c r="H901" i="8"/>
  <c r="I901" i="8"/>
  <c r="J901" i="8"/>
  <c r="K901" i="8"/>
  <c r="L901" i="8"/>
  <c r="M901" i="8"/>
  <c r="N901" i="8"/>
  <c r="O901" i="8"/>
  <c r="P901" i="8"/>
  <c r="Q901" i="8"/>
  <c r="R901" i="8"/>
  <c r="S901" i="8"/>
  <c r="T901" i="8"/>
  <c r="E902" i="8"/>
  <c r="F902" i="8"/>
  <c r="G902" i="8"/>
  <c r="H902" i="8"/>
  <c r="I902" i="8"/>
  <c r="J902" i="8"/>
  <c r="K902" i="8"/>
  <c r="L902" i="8"/>
  <c r="M902" i="8"/>
  <c r="N902" i="8"/>
  <c r="O902" i="8"/>
  <c r="P902" i="8"/>
  <c r="Q902" i="8"/>
  <c r="R902" i="8"/>
  <c r="S902" i="8"/>
  <c r="T902" i="8"/>
  <c r="E903" i="8"/>
  <c r="F903" i="8"/>
  <c r="G903" i="8"/>
  <c r="H903" i="8"/>
  <c r="I903" i="8"/>
  <c r="J903" i="8"/>
  <c r="K903" i="8"/>
  <c r="L903" i="8"/>
  <c r="M903" i="8"/>
  <c r="N903" i="8"/>
  <c r="O903" i="8"/>
  <c r="P903" i="8"/>
  <c r="Q903" i="8"/>
  <c r="R903" i="8"/>
  <c r="S903" i="8"/>
  <c r="T903" i="8"/>
  <c r="E904" i="8"/>
  <c r="F904" i="8"/>
  <c r="G904" i="8"/>
  <c r="H904" i="8"/>
  <c r="I904" i="8"/>
  <c r="J904" i="8"/>
  <c r="K904" i="8"/>
  <c r="L904" i="8"/>
  <c r="M904" i="8"/>
  <c r="N904" i="8"/>
  <c r="O904" i="8"/>
  <c r="P904" i="8"/>
  <c r="Q904" i="8"/>
  <c r="R904" i="8"/>
  <c r="S904" i="8"/>
  <c r="T904" i="8"/>
  <c r="E905" i="8"/>
  <c r="F905" i="8"/>
  <c r="G905" i="8"/>
  <c r="H905" i="8"/>
  <c r="I905" i="8"/>
  <c r="J905" i="8"/>
  <c r="K905" i="8"/>
  <c r="L905" i="8"/>
  <c r="M905" i="8"/>
  <c r="N905" i="8"/>
  <c r="O905" i="8"/>
  <c r="P905" i="8"/>
  <c r="Q905" i="8"/>
  <c r="R905" i="8"/>
  <c r="S905" i="8"/>
  <c r="T905" i="8"/>
  <c r="E906" i="8"/>
  <c r="F906" i="8"/>
  <c r="G906" i="8"/>
  <c r="H906" i="8"/>
  <c r="I906" i="8"/>
  <c r="J906" i="8"/>
  <c r="K906" i="8"/>
  <c r="L906" i="8"/>
  <c r="M906" i="8"/>
  <c r="N906" i="8"/>
  <c r="O906" i="8"/>
  <c r="P906" i="8"/>
  <c r="Q906" i="8"/>
  <c r="R906" i="8"/>
  <c r="S906" i="8"/>
  <c r="T906" i="8"/>
  <c r="E907" i="8"/>
  <c r="F907" i="8"/>
  <c r="G907" i="8"/>
  <c r="H907" i="8"/>
  <c r="I907" i="8"/>
  <c r="J907" i="8"/>
  <c r="K907" i="8"/>
  <c r="L907" i="8"/>
  <c r="M907" i="8"/>
  <c r="N907" i="8"/>
  <c r="O907" i="8"/>
  <c r="P907" i="8"/>
  <c r="Q907" i="8"/>
  <c r="R907" i="8"/>
  <c r="S907" i="8"/>
  <c r="T907" i="8"/>
  <c r="E908" i="8"/>
  <c r="F908" i="8"/>
  <c r="G908" i="8"/>
  <c r="H908" i="8"/>
  <c r="I908" i="8"/>
  <c r="J908" i="8"/>
  <c r="K908" i="8"/>
  <c r="L908" i="8"/>
  <c r="M908" i="8"/>
  <c r="N908" i="8"/>
  <c r="O908" i="8"/>
  <c r="P908" i="8"/>
  <c r="Q908" i="8"/>
  <c r="R908" i="8"/>
  <c r="S908" i="8"/>
  <c r="T908" i="8"/>
  <c r="E87" i="7"/>
  <c r="F87" i="7"/>
  <c r="G87" i="7"/>
  <c r="H87" i="7"/>
  <c r="I87" i="7"/>
  <c r="J87" i="7"/>
  <c r="K87" i="7"/>
  <c r="L87" i="7"/>
  <c r="M87" i="7"/>
  <c r="N87" i="7"/>
  <c r="P87" i="7"/>
  <c r="Q87" i="7"/>
  <c r="R87" i="7"/>
  <c r="S87" i="7"/>
  <c r="U87" i="7"/>
  <c r="V87" i="7"/>
  <c r="W87" i="7"/>
  <c r="X87" i="7"/>
  <c r="Y87" i="7"/>
  <c r="Z87" i="7"/>
  <c r="AA87" i="7"/>
  <c r="AC87" i="7"/>
  <c r="AE87" i="7"/>
  <c r="AI87" i="7"/>
  <c r="AO87" i="7"/>
  <c r="AP87" i="7"/>
  <c r="E887" i="8"/>
  <c r="F887" i="8"/>
  <c r="G887" i="8"/>
  <c r="H887" i="8"/>
  <c r="I887" i="8"/>
  <c r="J887" i="8"/>
  <c r="K887" i="8"/>
  <c r="L887" i="8"/>
  <c r="M887" i="8"/>
  <c r="N887" i="8"/>
  <c r="O887" i="8"/>
  <c r="P887" i="8"/>
  <c r="Q887" i="8"/>
  <c r="R887" i="8"/>
  <c r="S887" i="8"/>
  <c r="T887" i="8"/>
  <c r="E888" i="8"/>
  <c r="F888" i="8"/>
  <c r="G888" i="8"/>
  <c r="H888" i="8"/>
  <c r="I888" i="8"/>
  <c r="J888" i="8"/>
  <c r="K888" i="8"/>
  <c r="L888" i="8"/>
  <c r="M888" i="8"/>
  <c r="N888" i="8"/>
  <c r="O888" i="8"/>
  <c r="P888" i="8"/>
  <c r="Q888" i="8"/>
  <c r="R888" i="8"/>
  <c r="S888" i="8"/>
  <c r="T888" i="8"/>
  <c r="E889" i="8"/>
  <c r="F889" i="8"/>
  <c r="G889" i="8"/>
  <c r="H889" i="8"/>
  <c r="I889" i="8"/>
  <c r="J889" i="8"/>
  <c r="K889" i="8"/>
  <c r="L889" i="8"/>
  <c r="M889" i="8"/>
  <c r="N889" i="8"/>
  <c r="O889" i="8"/>
  <c r="P889" i="8"/>
  <c r="Q889" i="8"/>
  <c r="R889" i="8"/>
  <c r="S889" i="8"/>
  <c r="T889" i="8"/>
  <c r="E890" i="8"/>
  <c r="F890" i="8"/>
  <c r="G890" i="8"/>
  <c r="H890" i="8"/>
  <c r="I890" i="8"/>
  <c r="J890" i="8"/>
  <c r="K890" i="8"/>
  <c r="L890" i="8"/>
  <c r="M890" i="8"/>
  <c r="N890" i="8"/>
  <c r="O890" i="8"/>
  <c r="P890" i="8"/>
  <c r="Q890" i="8"/>
  <c r="R890" i="8"/>
  <c r="S890" i="8"/>
  <c r="T890" i="8"/>
  <c r="E891" i="8"/>
  <c r="F891" i="8"/>
  <c r="G891" i="8"/>
  <c r="H891" i="8"/>
  <c r="I891" i="8"/>
  <c r="J891" i="8"/>
  <c r="K891" i="8"/>
  <c r="L891" i="8"/>
  <c r="M891" i="8"/>
  <c r="N891" i="8"/>
  <c r="O891" i="8"/>
  <c r="P891" i="8"/>
  <c r="Q891" i="8"/>
  <c r="R891" i="8"/>
  <c r="S891" i="8"/>
  <c r="T891" i="8"/>
  <c r="E892" i="8"/>
  <c r="F892" i="8"/>
  <c r="G892" i="8"/>
  <c r="H892" i="8"/>
  <c r="I892" i="8"/>
  <c r="J892" i="8"/>
  <c r="K892" i="8"/>
  <c r="L892" i="8"/>
  <c r="M892" i="8"/>
  <c r="N892" i="8"/>
  <c r="O892" i="8"/>
  <c r="P892" i="8"/>
  <c r="Q892" i="8"/>
  <c r="R892" i="8"/>
  <c r="S892" i="8"/>
  <c r="T892" i="8"/>
  <c r="E893" i="8"/>
  <c r="F893" i="8"/>
  <c r="G893" i="8"/>
  <c r="H893" i="8"/>
  <c r="I893" i="8"/>
  <c r="J893" i="8"/>
  <c r="K893" i="8"/>
  <c r="L893" i="8"/>
  <c r="M893" i="8"/>
  <c r="N893" i="8"/>
  <c r="O893" i="8"/>
  <c r="P893" i="8"/>
  <c r="Q893" i="8"/>
  <c r="R893" i="8"/>
  <c r="S893" i="8"/>
  <c r="T893" i="8"/>
  <c r="E894" i="8"/>
  <c r="F894" i="8"/>
  <c r="G894" i="8"/>
  <c r="H894" i="8"/>
  <c r="I894" i="8"/>
  <c r="J894" i="8"/>
  <c r="K894" i="8"/>
  <c r="L894" i="8"/>
  <c r="M894" i="8"/>
  <c r="N894" i="8"/>
  <c r="O894" i="8"/>
  <c r="P894" i="8"/>
  <c r="Q894" i="8"/>
  <c r="R894" i="8"/>
  <c r="S894" i="8"/>
  <c r="T894" i="8"/>
  <c r="E895" i="8"/>
  <c r="F895" i="8"/>
  <c r="G895" i="8"/>
  <c r="H895" i="8"/>
  <c r="I895" i="8"/>
  <c r="J895" i="8"/>
  <c r="K895" i="8"/>
  <c r="L895" i="8"/>
  <c r="M895" i="8"/>
  <c r="N895" i="8"/>
  <c r="O895" i="8"/>
  <c r="P895" i="8"/>
  <c r="Q895" i="8"/>
  <c r="R895" i="8"/>
  <c r="S895" i="8"/>
  <c r="T895" i="8"/>
  <c r="E896" i="8"/>
  <c r="F896" i="8"/>
  <c r="G896" i="8"/>
  <c r="H896" i="8"/>
  <c r="I896" i="8"/>
  <c r="J896" i="8"/>
  <c r="K896" i="8"/>
  <c r="L896" i="8"/>
  <c r="M896" i="8"/>
  <c r="N896" i="8"/>
  <c r="O896" i="8"/>
  <c r="P896" i="8"/>
  <c r="Q896" i="8"/>
  <c r="R896" i="8"/>
  <c r="S896" i="8"/>
  <c r="T896" i="8"/>
  <c r="E897" i="8"/>
  <c r="F897" i="8"/>
  <c r="G897" i="8"/>
  <c r="H897" i="8"/>
  <c r="I897" i="8"/>
  <c r="J897" i="8"/>
  <c r="K897" i="8"/>
  <c r="L897" i="8"/>
  <c r="M897" i="8"/>
  <c r="N897" i="8"/>
  <c r="O897" i="8"/>
  <c r="P897" i="8"/>
  <c r="Q897" i="8"/>
  <c r="R897" i="8"/>
  <c r="S897" i="8"/>
  <c r="T897" i="8"/>
  <c r="O86" i="7"/>
  <c r="AK86" i="7"/>
  <c r="O85" i="7"/>
  <c r="AK85" i="7"/>
  <c r="O84" i="7"/>
  <c r="AK84" i="7"/>
  <c r="O83" i="7"/>
  <c r="AK83" i="7"/>
  <c r="O82" i="7"/>
  <c r="AK82" i="7"/>
  <c r="O81" i="7"/>
  <c r="AK81" i="7"/>
  <c r="O80" i="7"/>
  <c r="AK80" i="7"/>
  <c r="O79" i="7"/>
  <c r="AK79" i="7"/>
  <c r="O78" i="7"/>
  <c r="AK78" i="7"/>
  <c r="O77" i="7"/>
  <c r="AK77" i="7"/>
  <c r="O76" i="7"/>
  <c r="AK76" i="7"/>
  <c r="O75" i="7"/>
  <c r="AK75" i="7"/>
  <c r="O74" i="7"/>
  <c r="AK74" i="7"/>
  <c r="O73" i="7"/>
  <c r="AK73" i="7"/>
  <c r="E72" i="7"/>
  <c r="F72" i="7"/>
  <c r="G72" i="7"/>
  <c r="H72" i="7"/>
  <c r="I72" i="7"/>
  <c r="J72" i="7"/>
  <c r="K72" i="7"/>
  <c r="L72" i="7"/>
  <c r="M72" i="7"/>
  <c r="N72" i="7"/>
  <c r="P72" i="7"/>
  <c r="Q72" i="7"/>
  <c r="R72" i="7"/>
  <c r="S72" i="7"/>
  <c r="U72" i="7"/>
  <c r="V72" i="7"/>
  <c r="W72" i="7"/>
  <c r="X72" i="7"/>
  <c r="Y72" i="7"/>
  <c r="Z72" i="7"/>
  <c r="AA72" i="7"/>
  <c r="AC72" i="7"/>
  <c r="AE72" i="7"/>
  <c r="AI72" i="7"/>
  <c r="AO72" i="7"/>
  <c r="AP72" i="7"/>
  <c r="E722" i="8"/>
  <c r="F722" i="8"/>
  <c r="G722" i="8"/>
  <c r="H722" i="8"/>
  <c r="I722" i="8"/>
  <c r="J722" i="8"/>
  <c r="K722" i="8"/>
  <c r="L722" i="8"/>
  <c r="M722" i="8"/>
  <c r="N722" i="8"/>
  <c r="O722" i="8"/>
  <c r="P722" i="8"/>
  <c r="Q722" i="8"/>
  <c r="R722" i="8"/>
  <c r="S722" i="8"/>
  <c r="T722" i="8"/>
  <c r="E723" i="8"/>
  <c r="F723" i="8"/>
  <c r="G723" i="8"/>
  <c r="H723" i="8"/>
  <c r="I723" i="8"/>
  <c r="J723" i="8"/>
  <c r="K723" i="8"/>
  <c r="L723" i="8"/>
  <c r="M723" i="8"/>
  <c r="N723" i="8"/>
  <c r="O723" i="8"/>
  <c r="P723" i="8"/>
  <c r="Q723" i="8"/>
  <c r="R723" i="8"/>
  <c r="S723" i="8"/>
  <c r="T723" i="8"/>
  <c r="E724" i="8"/>
  <c r="F724" i="8"/>
  <c r="G724" i="8"/>
  <c r="H724" i="8"/>
  <c r="I724" i="8"/>
  <c r="J724" i="8"/>
  <c r="K724" i="8"/>
  <c r="L724" i="8"/>
  <c r="M724" i="8"/>
  <c r="N724" i="8"/>
  <c r="O724" i="8"/>
  <c r="P724" i="8"/>
  <c r="Q724" i="8"/>
  <c r="R724" i="8"/>
  <c r="S724" i="8"/>
  <c r="T724" i="8"/>
  <c r="E725" i="8"/>
  <c r="F725" i="8"/>
  <c r="G725" i="8"/>
  <c r="H725" i="8"/>
  <c r="I725" i="8"/>
  <c r="J725" i="8"/>
  <c r="K725" i="8"/>
  <c r="L725" i="8"/>
  <c r="M725" i="8"/>
  <c r="N725" i="8"/>
  <c r="O725" i="8"/>
  <c r="P725" i="8"/>
  <c r="Q725" i="8"/>
  <c r="R725" i="8"/>
  <c r="S725" i="8"/>
  <c r="T725" i="8"/>
  <c r="E726" i="8"/>
  <c r="F726" i="8"/>
  <c r="G726" i="8"/>
  <c r="H726" i="8"/>
  <c r="I726" i="8"/>
  <c r="J726" i="8"/>
  <c r="K726" i="8"/>
  <c r="L726" i="8"/>
  <c r="M726" i="8"/>
  <c r="N726" i="8"/>
  <c r="O726" i="8"/>
  <c r="P726" i="8"/>
  <c r="Q726" i="8"/>
  <c r="R726" i="8"/>
  <c r="S726" i="8"/>
  <c r="T726" i="8"/>
  <c r="E727" i="8"/>
  <c r="F727" i="8"/>
  <c r="G727" i="8"/>
  <c r="H727" i="8"/>
  <c r="I727" i="8"/>
  <c r="J727" i="8"/>
  <c r="K727" i="8"/>
  <c r="L727" i="8"/>
  <c r="M727" i="8"/>
  <c r="N727" i="8"/>
  <c r="O727" i="8"/>
  <c r="P727" i="8"/>
  <c r="Q727" i="8"/>
  <c r="R727" i="8"/>
  <c r="S727" i="8"/>
  <c r="T727" i="8"/>
  <c r="E728" i="8"/>
  <c r="F728" i="8"/>
  <c r="G728" i="8"/>
  <c r="H728" i="8"/>
  <c r="I728" i="8"/>
  <c r="J728" i="8"/>
  <c r="K728" i="8"/>
  <c r="L728" i="8"/>
  <c r="M728" i="8"/>
  <c r="N728" i="8"/>
  <c r="O728" i="8"/>
  <c r="P728" i="8"/>
  <c r="Q728" i="8"/>
  <c r="R728" i="8"/>
  <c r="S728" i="8"/>
  <c r="T728" i="8"/>
  <c r="E729" i="8"/>
  <c r="F729" i="8"/>
  <c r="G729" i="8"/>
  <c r="H729" i="8"/>
  <c r="I729" i="8"/>
  <c r="J729" i="8"/>
  <c r="K729" i="8"/>
  <c r="L729" i="8"/>
  <c r="M729" i="8"/>
  <c r="N729" i="8"/>
  <c r="O729" i="8"/>
  <c r="P729" i="8"/>
  <c r="Q729" i="8"/>
  <c r="R729" i="8"/>
  <c r="S729" i="8"/>
  <c r="T729" i="8"/>
  <c r="E730" i="8"/>
  <c r="F730" i="8"/>
  <c r="G730" i="8"/>
  <c r="H730" i="8"/>
  <c r="I730" i="8"/>
  <c r="J730" i="8"/>
  <c r="K730" i="8"/>
  <c r="L730" i="8"/>
  <c r="M730" i="8"/>
  <c r="N730" i="8"/>
  <c r="O730" i="8"/>
  <c r="P730" i="8"/>
  <c r="Q730" i="8"/>
  <c r="R730" i="8"/>
  <c r="S730" i="8"/>
  <c r="T730" i="8"/>
  <c r="E731" i="8"/>
  <c r="F731" i="8"/>
  <c r="G731" i="8"/>
  <c r="H731" i="8"/>
  <c r="I731" i="8"/>
  <c r="J731" i="8"/>
  <c r="K731" i="8"/>
  <c r="L731" i="8"/>
  <c r="M731" i="8"/>
  <c r="N731" i="8"/>
  <c r="O731" i="8"/>
  <c r="P731" i="8"/>
  <c r="Q731" i="8"/>
  <c r="R731" i="8"/>
  <c r="S731" i="8"/>
  <c r="T731" i="8"/>
  <c r="E732" i="8"/>
  <c r="F732" i="8"/>
  <c r="G732" i="8"/>
  <c r="H732" i="8"/>
  <c r="I732" i="8"/>
  <c r="J732" i="8"/>
  <c r="K732" i="8"/>
  <c r="L732" i="8"/>
  <c r="M732" i="8"/>
  <c r="N732" i="8"/>
  <c r="O732" i="8"/>
  <c r="P732" i="8"/>
  <c r="T732" i="8"/>
  <c r="Q732" i="8"/>
  <c r="R732" i="8"/>
  <c r="S732" i="8"/>
  <c r="E71" i="7"/>
  <c r="F71" i="7"/>
  <c r="G71" i="7"/>
  <c r="H71" i="7"/>
  <c r="I71" i="7"/>
  <c r="J71" i="7"/>
  <c r="K71" i="7"/>
  <c r="L71" i="7"/>
  <c r="M71" i="7"/>
  <c r="N71" i="7"/>
  <c r="P71" i="7"/>
  <c r="Q71" i="7"/>
  <c r="R71" i="7"/>
  <c r="S71" i="7"/>
  <c r="U71" i="7"/>
  <c r="V71" i="7"/>
  <c r="W71" i="7"/>
  <c r="X71" i="7"/>
  <c r="Y71" i="7"/>
  <c r="Z71" i="7"/>
  <c r="AA71" i="7"/>
  <c r="AC71" i="7"/>
  <c r="AE71" i="7"/>
  <c r="AI71" i="7"/>
  <c r="AO71" i="7"/>
  <c r="AP71" i="7"/>
  <c r="E711" i="8"/>
  <c r="F711" i="8"/>
  <c r="G711" i="8"/>
  <c r="H711" i="8"/>
  <c r="I711" i="8"/>
  <c r="J711" i="8"/>
  <c r="K711" i="8"/>
  <c r="L711" i="8"/>
  <c r="M711" i="8"/>
  <c r="N711" i="8"/>
  <c r="O711" i="8"/>
  <c r="P711" i="8"/>
  <c r="Q711" i="8"/>
  <c r="R711" i="8"/>
  <c r="S711" i="8"/>
  <c r="T711" i="8"/>
  <c r="E712" i="8"/>
  <c r="F712" i="8"/>
  <c r="G712" i="8"/>
  <c r="H712" i="8"/>
  <c r="I712" i="8"/>
  <c r="J712" i="8"/>
  <c r="K712" i="8"/>
  <c r="L712" i="8"/>
  <c r="M712" i="8"/>
  <c r="N712" i="8"/>
  <c r="O712" i="8"/>
  <c r="P712" i="8"/>
  <c r="Q712" i="8"/>
  <c r="R712" i="8"/>
  <c r="S712" i="8"/>
  <c r="T712" i="8"/>
  <c r="E713" i="8"/>
  <c r="F713" i="8"/>
  <c r="G713" i="8"/>
  <c r="H713" i="8"/>
  <c r="I713" i="8"/>
  <c r="J713" i="8"/>
  <c r="K713" i="8"/>
  <c r="L713" i="8"/>
  <c r="M713" i="8"/>
  <c r="N713" i="8"/>
  <c r="O713" i="8"/>
  <c r="P713" i="8"/>
  <c r="Q713" i="8"/>
  <c r="R713" i="8"/>
  <c r="S713" i="8"/>
  <c r="T713" i="8"/>
  <c r="E714" i="8"/>
  <c r="F714" i="8"/>
  <c r="G714" i="8"/>
  <c r="H714" i="8"/>
  <c r="I714" i="8"/>
  <c r="J714" i="8"/>
  <c r="K714" i="8"/>
  <c r="L714" i="8"/>
  <c r="M714" i="8"/>
  <c r="N714" i="8"/>
  <c r="O714" i="8"/>
  <c r="P714" i="8"/>
  <c r="Q714" i="8"/>
  <c r="R714" i="8"/>
  <c r="S714" i="8"/>
  <c r="T714" i="8"/>
  <c r="E715" i="8"/>
  <c r="F715" i="8"/>
  <c r="G715" i="8"/>
  <c r="H715" i="8"/>
  <c r="I715" i="8"/>
  <c r="J715" i="8"/>
  <c r="K715" i="8"/>
  <c r="L715" i="8"/>
  <c r="M715" i="8"/>
  <c r="N715" i="8"/>
  <c r="O715" i="8"/>
  <c r="P715" i="8"/>
  <c r="Q715" i="8"/>
  <c r="R715" i="8"/>
  <c r="S715" i="8"/>
  <c r="T715" i="8"/>
  <c r="E716" i="8"/>
  <c r="F716" i="8"/>
  <c r="G716" i="8"/>
  <c r="H716" i="8"/>
  <c r="I716" i="8"/>
  <c r="J716" i="8"/>
  <c r="K716" i="8"/>
  <c r="L716" i="8"/>
  <c r="M716" i="8"/>
  <c r="N716" i="8"/>
  <c r="O716" i="8"/>
  <c r="P716" i="8"/>
  <c r="Q716" i="8"/>
  <c r="R716" i="8"/>
  <c r="S716" i="8"/>
  <c r="T716" i="8"/>
  <c r="E717" i="8"/>
  <c r="F717" i="8"/>
  <c r="G717" i="8"/>
  <c r="H717" i="8"/>
  <c r="I717" i="8"/>
  <c r="J717" i="8"/>
  <c r="K717" i="8"/>
  <c r="L717" i="8"/>
  <c r="M717" i="8"/>
  <c r="N717" i="8"/>
  <c r="O717" i="8"/>
  <c r="P717" i="8"/>
  <c r="Q717" i="8"/>
  <c r="R717" i="8"/>
  <c r="S717" i="8"/>
  <c r="T717" i="8"/>
  <c r="E718" i="8"/>
  <c r="F718" i="8"/>
  <c r="G718" i="8"/>
  <c r="H718" i="8"/>
  <c r="I718" i="8"/>
  <c r="J718" i="8"/>
  <c r="K718" i="8"/>
  <c r="L718" i="8"/>
  <c r="M718" i="8"/>
  <c r="N718" i="8"/>
  <c r="O718" i="8"/>
  <c r="P718" i="8"/>
  <c r="Q718" i="8"/>
  <c r="R718" i="8"/>
  <c r="S718" i="8"/>
  <c r="T718" i="8"/>
  <c r="E719" i="8"/>
  <c r="F719" i="8"/>
  <c r="G719" i="8"/>
  <c r="H719" i="8"/>
  <c r="I719" i="8"/>
  <c r="J719" i="8"/>
  <c r="K719" i="8"/>
  <c r="L719" i="8"/>
  <c r="M719" i="8"/>
  <c r="N719" i="8"/>
  <c r="O719" i="8"/>
  <c r="P719" i="8"/>
  <c r="Q719" i="8"/>
  <c r="R719" i="8"/>
  <c r="S719" i="8"/>
  <c r="T719" i="8"/>
  <c r="E720" i="8"/>
  <c r="F720" i="8"/>
  <c r="G720" i="8"/>
  <c r="H720" i="8"/>
  <c r="I720" i="8"/>
  <c r="J720" i="8"/>
  <c r="K720" i="8"/>
  <c r="L720" i="8"/>
  <c r="M720" i="8"/>
  <c r="N720" i="8"/>
  <c r="O720" i="8"/>
  <c r="P720" i="8"/>
  <c r="Q720" i="8"/>
  <c r="R720" i="8"/>
  <c r="S720" i="8"/>
  <c r="T720" i="8"/>
  <c r="E721" i="8"/>
  <c r="F721" i="8"/>
  <c r="G721" i="8"/>
  <c r="H721" i="8"/>
  <c r="I721" i="8"/>
  <c r="J721" i="8"/>
  <c r="K721" i="8"/>
  <c r="L721" i="8"/>
  <c r="M721" i="8"/>
  <c r="N721" i="8"/>
  <c r="O721" i="8"/>
  <c r="P721" i="8"/>
  <c r="Q721" i="8"/>
  <c r="R721" i="8"/>
  <c r="S721" i="8"/>
  <c r="T721" i="8"/>
  <c r="E70" i="7"/>
  <c r="F70" i="7"/>
  <c r="G70" i="7"/>
  <c r="H70" i="7"/>
  <c r="I70" i="7"/>
  <c r="J70" i="7"/>
  <c r="K70" i="7"/>
  <c r="L70" i="7"/>
  <c r="M70" i="7"/>
  <c r="N70" i="7"/>
  <c r="P70" i="7"/>
  <c r="Q70" i="7"/>
  <c r="R70" i="7"/>
  <c r="S70" i="7"/>
  <c r="U70" i="7"/>
  <c r="V70" i="7"/>
  <c r="W70" i="7"/>
  <c r="X70" i="7"/>
  <c r="Y70" i="7"/>
  <c r="Z70" i="7"/>
  <c r="AA70" i="7"/>
  <c r="AC70" i="7"/>
  <c r="AE70" i="7"/>
  <c r="AI70" i="7"/>
  <c r="AO70" i="7"/>
  <c r="AP70" i="7"/>
  <c r="E700" i="8"/>
  <c r="F700" i="8"/>
  <c r="G700" i="8"/>
  <c r="H700" i="8"/>
  <c r="I700" i="8"/>
  <c r="J700" i="8"/>
  <c r="K700" i="8"/>
  <c r="L700" i="8"/>
  <c r="M700" i="8"/>
  <c r="N700" i="8"/>
  <c r="O700" i="8"/>
  <c r="P700" i="8"/>
  <c r="Q700" i="8"/>
  <c r="R700" i="8"/>
  <c r="S700" i="8"/>
  <c r="T700" i="8"/>
  <c r="E701" i="8"/>
  <c r="F701" i="8"/>
  <c r="G701" i="8"/>
  <c r="H701" i="8"/>
  <c r="I701" i="8"/>
  <c r="J701" i="8"/>
  <c r="K701" i="8"/>
  <c r="L701" i="8"/>
  <c r="M701" i="8"/>
  <c r="N701" i="8"/>
  <c r="O701" i="8"/>
  <c r="P701" i="8"/>
  <c r="Q701" i="8"/>
  <c r="R701" i="8"/>
  <c r="S701" i="8"/>
  <c r="T701" i="8"/>
  <c r="E702" i="8"/>
  <c r="F702" i="8"/>
  <c r="G702" i="8"/>
  <c r="H702" i="8"/>
  <c r="I702" i="8"/>
  <c r="J702" i="8"/>
  <c r="K702" i="8"/>
  <c r="L702" i="8"/>
  <c r="M702" i="8"/>
  <c r="N702" i="8"/>
  <c r="O702" i="8"/>
  <c r="P702" i="8"/>
  <c r="Q702" i="8"/>
  <c r="R702" i="8"/>
  <c r="S702" i="8"/>
  <c r="T702" i="8"/>
  <c r="E703" i="8"/>
  <c r="F703" i="8"/>
  <c r="G703" i="8"/>
  <c r="H703" i="8"/>
  <c r="I703" i="8"/>
  <c r="J703" i="8"/>
  <c r="K703" i="8"/>
  <c r="L703" i="8"/>
  <c r="M703" i="8"/>
  <c r="N703" i="8"/>
  <c r="O703" i="8"/>
  <c r="P703" i="8"/>
  <c r="Q703" i="8"/>
  <c r="R703" i="8"/>
  <c r="S703" i="8"/>
  <c r="T703" i="8"/>
  <c r="E704" i="8"/>
  <c r="F704" i="8"/>
  <c r="G704" i="8"/>
  <c r="H704" i="8"/>
  <c r="I704" i="8"/>
  <c r="J704" i="8"/>
  <c r="K704" i="8"/>
  <c r="L704" i="8"/>
  <c r="M704" i="8"/>
  <c r="N704" i="8"/>
  <c r="O704" i="8"/>
  <c r="P704" i="8"/>
  <c r="Q704" i="8"/>
  <c r="R704" i="8"/>
  <c r="S704" i="8"/>
  <c r="T704" i="8"/>
  <c r="E705" i="8"/>
  <c r="F705" i="8"/>
  <c r="G705" i="8"/>
  <c r="H705" i="8"/>
  <c r="I705" i="8"/>
  <c r="J705" i="8"/>
  <c r="K705" i="8"/>
  <c r="L705" i="8"/>
  <c r="M705" i="8"/>
  <c r="N705" i="8"/>
  <c r="O705" i="8"/>
  <c r="P705" i="8"/>
  <c r="Q705" i="8"/>
  <c r="R705" i="8"/>
  <c r="S705" i="8"/>
  <c r="T705" i="8"/>
  <c r="E706" i="8"/>
  <c r="F706" i="8"/>
  <c r="G706" i="8"/>
  <c r="H706" i="8"/>
  <c r="I706" i="8"/>
  <c r="J706" i="8"/>
  <c r="K706" i="8"/>
  <c r="L706" i="8"/>
  <c r="M706" i="8"/>
  <c r="N706" i="8"/>
  <c r="O706" i="8"/>
  <c r="P706" i="8"/>
  <c r="Q706" i="8"/>
  <c r="R706" i="8"/>
  <c r="S706" i="8"/>
  <c r="T706" i="8"/>
  <c r="E707" i="8"/>
  <c r="F707" i="8"/>
  <c r="G707" i="8"/>
  <c r="H707" i="8"/>
  <c r="I707" i="8"/>
  <c r="J707" i="8"/>
  <c r="K707" i="8"/>
  <c r="L707" i="8"/>
  <c r="M707" i="8"/>
  <c r="N707" i="8"/>
  <c r="O707" i="8"/>
  <c r="P707" i="8"/>
  <c r="Q707" i="8"/>
  <c r="R707" i="8"/>
  <c r="S707" i="8"/>
  <c r="T707" i="8"/>
  <c r="E708" i="8"/>
  <c r="F708" i="8"/>
  <c r="G708" i="8"/>
  <c r="H708" i="8"/>
  <c r="I708" i="8"/>
  <c r="J708" i="8"/>
  <c r="K708" i="8"/>
  <c r="L708" i="8"/>
  <c r="M708" i="8"/>
  <c r="N708" i="8"/>
  <c r="O708" i="8"/>
  <c r="P708" i="8"/>
  <c r="Q708" i="8"/>
  <c r="R708" i="8"/>
  <c r="S708" i="8"/>
  <c r="T708" i="8"/>
  <c r="E709" i="8"/>
  <c r="F709" i="8"/>
  <c r="G709" i="8"/>
  <c r="H709" i="8"/>
  <c r="I709" i="8"/>
  <c r="J709" i="8"/>
  <c r="K709" i="8"/>
  <c r="L709" i="8"/>
  <c r="M709" i="8"/>
  <c r="N709" i="8"/>
  <c r="O709" i="8"/>
  <c r="P709" i="8"/>
  <c r="Q709" i="8"/>
  <c r="R709" i="8"/>
  <c r="S709" i="8"/>
  <c r="T709" i="8"/>
  <c r="E710" i="8"/>
  <c r="F710" i="8"/>
  <c r="G710" i="8"/>
  <c r="H710" i="8"/>
  <c r="I710" i="8"/>
  <c r="J710" i="8"/>
  <c r="K710" i="8"/>
  <c r="L710" i="8"/>
  <c r="M710" i="8"/>
  <c r="N710" i="8"/>
  <c r="O710" i="8"/>
  <c r="P710" i="8"/>
  <c r="Q710" i="8"/>
  <c r="R710" i="8"/>
  <c r="S710" i="8"/>
  <c r="T710" i="8"/>
  <c r="E69" i="7"/>
  <c r="F69" i="7"/>
  <c r="G69" i="7"/>
  <c r="H69" i="7"/>
  <c r="I69" i="7"/>
  <c r="J69" i="7"/>
  <c r="K69" i="7"/>
  <c r="L69" i="7"/>
  <c r="M69" i="7"/>
  <c r="N69" i="7"/>
  <c r="P69" i="7"/>
  <c r="Q69" i="7"/>
  <c r="R69" i="7"/>
  <c r="S69" i="7"/>
  <c r="U69" i="7"/>
  <c r="V69" i="7"/>
  <c r="W69" i="7"/>
  <c r="X69" i="7"/>
  <c r="Y69" i="7"/>
  <c r="Z69" i="7"/>
  <c r="AA69" i="7"/>
  <c r="AC69" i="7"/>
  <c r="AE69" i="7"/>
  <c r="AI69" i="7"/>
  <c r="AO69" i="7"/>
  <c r="AP69" i="7"/>
  <c r="E689" i="8"/>
  <c r="F689" i="8"/>
  <c r="G689" i="8"/>
  <c r="H689" i="8"/>
  <c r="I689" i="8"/>
  <c r="J689" i="8"/>
  <c r="K689" i="8"/>
  <c r="L689" i="8"/>
  <c r="M689" i="8"/>
  <c r="N689" i="8"/>
  <c r="O689" i="8"/>
  <c r="P689" i="8"/>
  <c r="Q689" i="8"/>
  <c r="R689" i="8"/>
  <c r="S689" i="8"/>
  <c r="T689" i="8"/>
  <c r="E690" i="8"/>
  <c r="F690" i="8"/>
  <c r="G690" i="8"/>
  <c r="H690" i="8"/>
  <c r="I690" i="8"/>
  <c r="J690" i="8"/>
  <c r="K690" i="8"/>
  <c r="L690" i="8"/>
  <c r="M690" i="8"/>
  <c r="N690" i="8"/>
  <c r="O690" i="8"/>
  <c r="P690" i="8"/>
  <c r="Q690" i="8"/>
  <c r="R690" i="8"/>
  <c r="S690" i="8"/>
  <c r="T690" i="8"/>
  <c r="E691" i="8"/>
  <c r="F691" i="8"/>
  <c r="G691" i="8"/>
  <c r="H691" i="8"/>
  <c r="I691" i="8"/>
  <c r="J691" i="8"/>
  <c r="K691" i="8"/>
  <c r="L691" i="8"/>
  <c r="M691" i="8"/>
  <c r="N691" i="8"/>
  <c r="O691" i="8"/>
  <c r="P691" i="8"/>
  <c r="Q691" i="8"/>
  <c r="R691" i="8"/>
  <c r="S691" i="8"/>
  <c r="T691" i="8"/>
  <c r="E692" i="8"/>
  <c r="F692" i="8"/>
  <c r="G692" i="8"/>
  <c r="H692" i="8"/>
  <c r="I692" i="8"/>
  <c r="J692" i="8"/>
  <c r="K692" i="8"/>
  <c r="L692" i="8"/>
  <c r="M692" i="8"/>
  <c r="N692" i="8"/>
  <c r="O692" i="8"/>
  <c r="P692" i="8"/>
  <c r="Q692" i="8"/>
  <c r="R692" i="8"/>
  <c r="S692" i="8"/>
  <c r="T692" i="8"/>
  <c r="E693" i="8"/>
  <c r="F693" i="8"/>
  <c r="G693" i="8"/>
  <c r="H693" i="8"/>
  <c r="I693" i="8"/>
  <c r="J693" i="8"/>
  <c r="K693" i="8"/>
  <c r="L693" i="8"/>
  <c r="M693" i="8"/>
  <c r="N693" i="8"/>
  <c r="O693" i="8"/>
  <c r="P693" i="8"/>
  <c r="Q693" i="8"/>
  <c r="R693" i="8"/>
  <c r="S693" i="8"/>
  <c r="T693" i="8"/>
  <c r="E694" i="8"/>
  <c r="F694" i="8"/>
  <c r="G694" i="8"/>
  <c r="H694" i="8"/>
  <c r="I694" i="8"/>
  <c r="J694" i="8"/>
  <c r="K694" i="8"/>
  <c r="L694" i="8"/>
  <c r="M694" i="8"/>
  <c r="N694" i="8"/>
  <c r="O694" i="8"/>
  <c r="P694" i="8"/>
  <c r="Q694" i="8"/>
  <c r="R694" i="8"/>
  <c r="S694" i="8"/>
  <c r="T694" i="8"/>
  <c r="E695" i="8"/>
  <c r="F695" i="8"/>
  <c r="G695" i="8"/>
  <c r="H695" i="8"/>
  <c r="I695" i="8"/>
  <c r="J695" i="8"/>
  <c r="K695" i="8"/>
  <c r="L695" i="8"/>
  <c r="M695" i="8"/>
  <c r="N695" i="8"/>
  <c r="O695" i="8"/>
  <c r="P695" i="8"/>
  <c r="Q695" i="8"/>
  <c r="R695" i="8"/>
  <c r="S695" i="8"/>
  <c r="T695" i="8"/>
  <c r="E696" i="8"/>
  <c r="F696" i="8"/>
  <c r="G696" i="8"/>
  <c r="H696" i="8"/>
  <c r="I696" i="8"/>
  <c r="J696" i="8"/>
  <c r="K696" i="8"/>
  <c r="L696" i="8"/>
  <c r="M696" i="8"/>
  <c r="N696" i="8"/>
  <c r="O696" i="8"/>
  <c r="P696" i="8"/>
  <c r="Q696" i="8"/>
  <c r="R696" i="8"/>
  <c r="S696" i="8"/>
  <c r="T696" i="8"/>
  <c r="E697" i="8"/>
  <c r="F697" i="8"/>
  <c r="G697" i="8"/>
  <c r="H697" i="8"/>
  <c r="I697" i="8"/>
  <c r="J697" i="8"/>
  <c r="K697" i="8"/>
  <c r="L697" i="8"/>
  <c r="M697" i="8"/>
  <c r="N697" i="8"/>
  <c r="O697" i="8"/>
  <c r="P697" i="8"/>
  <c r="Q697" i="8"/>
  <c r="R697" i="8"/>
  <c r="S697" i="8"/>
  <c r="T697" i="8"/>
  <c r="E698" i="8"/>
  <c r="F698" i="8"/>
  <c r="G698" i="8"/>
  <c r="H698" i="8"/>
  <c r="I698" i="8"/>
  <c r="J698" i="8"/>
  <c r="K698" i="8"/>
  <c r="L698" i="8"/>
  <c r="M698" i="8"/>
  <c r="N698" i="8"/>
  <c r="O698" i="8"/>
  <c r="P698" i="8"/>
  <c r="Q698" i="8"/>
  <c r="R698" i="8"/>
  <c r="S698" i="8"/>
  <c r="T698" i="8"/>
  <c r="E699" i="8"/>
  <c r="F699" i="8"/>
  <c r="G699" i="8"/>
  <c r="H699" i="8"/>
  <c r="I699" i="8"/>
  <c r="J699" i="8"/>
  <c r="K699" i="8"/>
  <c r="L699" i="8"/>
  <c r="M699" i="8"/>
  <c r="N699" i="8"/>
  <c r="O699" i="8"/>
  <c r="P699" i="8"/>
  <c r="Q699" i="8"/>
  <c r="R699" i="8"/>
  <c r="S699" i="8"/>
  <c r="T699" i="8"/>
  <c r="E68" i="7"/>
  <c r="F68" i="7"/>
  <c r="G68" i="7"/>
  <c r="H68" i="7"/>
  <c r="I68" i="7"/>
  <c r="J68" i="7"/>
  <c r="K68" i="7"/>
  <c r="L68" i="7"/>
  <c r="M68" i="7"/>
  <c r="N68" i="7"/>
  <c r="P68" i="7"/>
  <c r="Q68" i="7"/>
  <c r="R68" i="7"/>
  <c r="S68" i="7"/>
  <c r="U68" i="7"/>
  <c r="V68" i="7"/>
  <c r="W68" i="7"/>
  <c r="X68" i="7"/>
  <c r="Y68" i="7"/>
  <c r="Z68" i="7"/>
  <c r="AA68" i="7"/>
  <c r="AC68" i="7"/>
  <c r="AE68" i="7"/>
  <c r="AI68" i="7"/>
  <c r="AO68" i="7"/>
  <c r="AP68" i="7"/>
  <c r="E678" i="8"/>
  <c r="F678" i="8"/>
  <c r="G678" i="8"/>
  <c r="H678" i="8"/>
  <c r="I678" i="8"/>
  <c r="J678" i="8"/>
  <c r="K678" i="8"/>
  <c r="L678" i="8"/>
  <c r="M678" i="8"/>
  <c r="N678" i="8"/>
  <c r="O678" i="8"/>
  <c r="P678" i="8"/>
  <c r="Q678" i="8"/>
  <c r="R678" i="8"/>
  <c r="S678" i="8"/>
  <c r="T678" i="8"/>
  <c r="E679" i="8"/>
  <c r="F679" i="8"/>
  <c r="G679" i="8"/>
  <c r="H679" i="8"/>
  <c r="I679" i="8"/>
  <c r="J679" i="8"/>
  <c r="K679" i="8"/>
  <c r="L679" i="8"/>
  <c r="M679" i="8"/>
  <c r="N679" i="8"/>
  <c r="O679" i="8"/>
  <c r="P679" i="8"/>
  <c r="Q679" i="8"/>
  <c r="R679" i="8"/>
  <c r="S679" i="8"/>
  <c r="T679" i="8"/>
  <c r="E680" i="8"/>
  <c r="F680" i="8"/>
  <c r="G680" i="8"/>
  <c r="H680" i="8"/>
  <c r="I680" i="8"/>
  <c r="J680" i="8"/>
  <c r="K680" i="8"/>
  <c r="L680" i="8"/>
  <c r="M680" i="8"/>
  <c r="N680" i="8"/>
  <c r="O680" i="8"/>
  <c r="P680" i="8"/>
  <c r="Q680" i="8"/>
  <c r="R680" i="8"/>
  <c r="S680" i="8"/>
  <c r="T680" i="8"/>
  <c r="E681" i="8"/>
  <c r="F681" i="8"/>
  <c r="G681" i="8"/>
  <c r="H681" i="8"/>
  <c r="I681" i="8"/>
  <c r="J681" i="8"/>
  <c r="K681" i="8"/>
  <c r="L681" i="8"/>
  <c r="M681" i="8"/>
  <c r="N681" i="8"/>
  <c r="O681" i="8"/>
  <c r="P681" i="8"/>
  <c r="Q681" i="8"/>
  <c r="R681" i="8"/>
  <c r="S681" i="8"/>
  <c r="T681" i="8"/>
  <c r="E682" i="8"/>
  <c r="F682" i="8"/>
  <c r="G682" i="8"/>
  <c r="H682" i="8"/>
  <c r="I682" i="8"/>
  <c r="J682" i="8"/>
  <c r="K682" i="8"/>
  <c r="L682" i="8"/>
  <c r="M682" i="8"/>
  <c r="N682" i="8"/>
  <c r="O682" i="8"/>
  <c r="P682" i="8"/>
  <c r="Q682" i="8"/>
  <c r="R682" i="8"/>
  <c r="S682" i="8"/>
  <c r="T682" i="8"/>
  <c r="E683" i="8"/>
  <c r="F683" i="8"/>
  <c r="G683" i="8"/>
  <c r="H683" i="8"/>
  <c r="I683" i="8"/>
  <c r="J683" i="8"/>
  <c r="K683" i="8"/>
  <c r="L683" i="8"/>
  <c r="M683" i="8"/>
  <c r="N683" i="8"/>
  <c r="O683" i="8"/>
  <c r="P683" i="8"/>
  <c r="Q683" i="8"/>
  <c r="R683" i="8"/>
  <c r="S683" i="8"/>
  <c r="T683" i="8"/>
  <c r="E684" i="8"/>
  <c r="F684" i="8"/>
  <c r="G684" i="8"/>
  <c r="H684" i="8"/>
  <c r="I684" i="8"/>
  <c r="J684" i="8"/>
  <c r="K684" i="8"/>
  <c r="L684" i="8"/>
  <c r="M684" i="8"/>
  <c r="N684" i="8"/>
  <c r="O684" i="8"/>
  <c r="P684" i="8"/>
  <c r="Q684" i="8"/>
  <c r="R684" i="8"/>
  <c r="S684" i="8"/>
  <c r="T684" i="8"/>
  <c r="E685" i="8"/>
  <c r="F685" i="8"/>
  <c r="G685" i="8"/>
  <c r="H685" i="8"/>
  <c r="I685" i="8"/>
  <c r="J685" i="8"/>
  <c r="K685" i="8"/>
  <c r="L685" i="8"/>
  <c r="M685" i="8"/>
  <c r="N685" i="8"/>
  <c r="O685" i="8"/>
  <c r="P685" i="8"/>
  <c r="Q685" i="8"/>
  <c r="R685" i="8"/>
  <c r="S685" i="8"/>
  <c r="T685" i="8"/>
  <c r="E686" i="8"/>
  <c r="F686" i="8"/>
  <c r="G686" i="8"/>
  <c r="H686" i="8"/>
  <c r="I686" i="8"/>
  <c r="J686" i="8"/>
  <c r="K686" i="8"/>
  <c r="L686" i="8"/>
  <c r="M686" i="8"/>
  <c r="N686" i="8"/>
  <c r="O686" i="8"/>
  <c r="P686" i="8"/>
  <c r="Q686" i="8"/>
  <c r="R686" i="8"/>
  <c r="S686" i="8"/>
  <c r="T686" i="8"/>
  <c r="E687" i="8"/>
  <c r="F687" i="8"/>
  <c r="G687" i="8"/>
  <c r="H687" i="8"/>
  <c r="I687" i="8"/>
  <c r="J687" i="8"/>
  <c r="K687" i="8"/>
  <c r="L687" i="8"/>
  <c r="M687" i="8"/>
  <c r="N687" i="8"/>
  <c r="O687" i="8"/>
  <c r="P687" i="8"/>
  <c r="Q687" i="8"/>
  <c r="R687" i="8"/>
  <c r="S687" i="8"/>
  <c r="T687" i="8"/>
  <c r="E688" i="8"/>
  <c r="F688" i="8"/>
  <c r="G688" i="8"/>
  <c r="H688" i="8"/>
  <c r="I688" i="8"/>
  <c r="J688" i="8"/>
  <c r="K688" i="8"/>
  <c r="L688" i="8"/>
  <c r="M688" i="8"/>
  <c r="N688" i="8"/>
  <c r="O688" i="8"/>
  <c r="P688" i="8"/>
  <c r="Q688" i="8"/>
  <c r="R688" i="8"/>
  <c r="S688" i="8"/>
  <c r="T688" i="8"/>
  <c r="E67" i="7"/>
  <c r="F67" i="7"/>
  <c r="G67" i="7"/>
  <c r="H67" i="7"/>
  <c r="I67" i="7"/>
  <c r="J67" i="7"/>
  <c r="K67" i="7"/>
  <c r="L67" i="7"/>
  <c r="M67" i="7"/>
  <c r="N67" i="7"/>
  <c r="P67" i="7"/>
  <c r="Q67" i="7"/>
  <c r="R67" i="7"/>
  <c r="S67" i="7"/>
  <c r="U67" i="7"/>
  <c r="V67" i="7"/>
  <c r="W67" i="7"/>
  <c r="X67" i="7"/>
  <c r="Y67" i="7"/>
  <c r="Z67" i="7"/>
  <c r="AA67" i="7"/>
  <c r="AC67" i="7"/>
  <c r="AE67" i="7"/>
  <c r="AI67" i="7"/>
  <c r="AO67" i="7"/>
  <c r="AP67" i="7"/>
  <c r="E667" i="8"/>
  <c r="F667" i="8"/>
  <c r="G667" i="8"/>
  <c r="H667" i="8"/>
  <c r="I667" i="8"/>
  <c r="J667" i="8"/>
  <c r="K667" i="8"/>
  <c r="L667" i="8"/>
  <c r="M667" i="8"/>
  <c r="N667" i="8"/>
  <c r="O667" i="8"/>
  <c r="P667" i="8"/>
  <c r="Q667" i="8"/>
  <c r="R667" i="8"/>
  <c r="S667" i="8"/>
  <c r="T667" i="8"/>
  <c r="E668" i="8"/>
  <c r="F668" i="8"/>
  <c r="G668" i="8"/>
  <c r="H668" i="8"/>
  <c r="I668" i="8"/>
  <c r="J668" i="8"/>
  <c r="K668" i="8"/>
  <c r="L668" i="8"/>
  <c r="M668" i="8"/>
  <c r="N668" i="8"/>
  <c r="O668" i="8"/>
  <c r="P668" i="8"/>
  <c r="Q668" i="8"/>
  <c r="R668" i="8"/>
  <c r="S668" i="8"/>
  <c r="T668" i="8"/>
  <c r="E669" i="8"/>
  <c r="F669" i="8"/>
  <c r="G669" i="8"/>
  <c r="H669" i="8"/>
  <c r="I669" i="8"/>
  <c r="J669" i="8"/>
  <c r="K669" i="8"/>
  <c r="L669" i="8"/>
  <c r="M669" i="8"/>
  <c r="N669" i="8"/>
  <c r="O669" i="8"/>
  <c r="P669" i="8"/>
  <c r="Q669" i="8"/>
  <c r="R669" i="8"/>
  <c r="S669" i="8"/>
  <c r="T669" i="8"/>
  <c r="E670" i="8"/>
  <c r="F670" i="8"/>
  <c r="G670" i="8"/>
  <c r="H670" i="8"/>
  <c r="I670" i="8"/>
  <c r="J670" i="8"/>
  <c r="K670" i="8"/>
  <c r="L670" i="8"/>
  <c r="M670" i="8"/>
  <c r="N670" i="8"/>
  <c r="O670" i="8"/>
  <c r="P670" i="8"/>
  <c r="Q670" i="8"/>
  <c r="R670" i="8"/>
  <c r="S670" i="8"/>
  <c r="T670" i="8"/>
  <c r="E671" i="8"/>
  <c r="F671" i="8"/>
  <c r="G671" i="8"/>
  <c r="H671" i="8"/>
  <c r="I671" i="8"/>
  <c r="J671" i="8"/>
  <c r="K671" i="8"/>
  <c r="L671" i="8"/>
  <c r="M671" i="8"/>
  <c r="N671" i="8"/>
  <c r="O671" i="8"/>
  <c r="P671" i="8"/>
  <c r="Q671" i="8"/>
  <c r="R671" i="8"/>
  <c r="S671" i="8"/>
  <c r="T671" i="8"/>
  <c r="E672" i="8"/>
  <c r="F672" i="8"/>
  <c r="G672" i="8"/>
  <c r="H672" i="8"/>
  <c r="I672" i="8"/>
  <c r="J672" i="8"/>
  <c r="K672" i="8"/>
  <c r="L672" i="8"/>
  <c r="M672" i="8"/>
  <c r="N672" i="8"/>
  <c r="O672" i="8"/>
  <c r="P672" i="8"/>
  <c r="Q672" i="8"/>
  <c r="R672" i="8"/>
  <c r="S672" i="8"/>
  <c r="T672" i="8"/>
  <c r="E673" i="8"/>
  <c r="F673" i="8"/>
  <c r="G673" i="8"/>
  <c r="H673" i="8"/>
  <c r="I673" i="8"/>
  <c r="J673" i="8"/>
  <c r="K673" i="8"/>
  <c r="L673" i="8"/>
  <c r="M673" i="8"/>
  <c r="N673" i="8"/>
  <c r="O673" i="8"/>
  <c r="P673" i="8"/>
  <c r="Q673" i="8"/>
  <c r="R673" i="8"/>
  <c r="S673" i="8"/>
  <c r="T673" i="8"/>
  <c r="E674" i="8"/>
  <c r="F674" i="8"/>
  <c r="G674" i="8"/>
  <c r="H674" i="8"/>
  <c r="I674" i="8"/>
  <c r="J674" i="8"/>
  <c r="K674" i="8"/>
  <c r="L674" i="8"/>
  <c r="M674" i="8"/>
  <c r="N674" i="8"/>
  <c r="O674" i="8"/>
  <c r="P674" i="8"/>
  <c r="Q674" i="8"/>
  <c r="R674" i="8"/>
  <c r="S674" i="8"/>
  <c r="T674" i="8"/>
  <c r="E675" i="8"/>
  <c r="F675" i="8"/>
  <c r="G675" i="8"/>
  <c r="H675" i="8"/>
  <c r="I675" i="8"/>
  <c r="J675" i="8"/>
  <c r="K675" i="8"/>
  <c r="L675" i="8"/>
  <c r="M675" i="8"/>
  <c r="N675" i="8"/>
  <c r="O675" i="8"/>
  <c r="P675" i="8"/>
  <c r="Q675" i="8"/>
  <c r="R675" i="8"/>
  <c r="S675" i="8"/>
  <c r="T675" i="8"/>
  <c r="E676" i="8"/>
  <c r="F676" i="8"/>
  <c r="G676" i="8"/>
  <c r="H676" i="8"/>
  <c r="I676" i="8"/>
  <c r="J676" i="8"/>
  <c r="K676" i="8"/>
  <c r="L676" i="8"/>
  <c r="M676" i="8"/>
  <c r="N676" i="8"/>
  <c r="O676" i="8"/>
  <c r="P676" i="8"/>
  <c r="Q676" i="8"/>
  <c r="R676" i="8"/>
  <c r="S676" i="8"/>
  <c r="T676" i="8"/>
  <c r="E677" i="8"/>
  <c r="F677" i="8"/>
  <c r="G677" i="8"/>
  <c r="H677" i="8"/>
  <c r="I677" i="8"/>
  <c r="J677" i="8"/>
  <c r="K677" i="8"/>
  <c r="L677" i="8"/>
  <c r="M677" i="8"/>
  <c r="N677" i="8"/>
  <c r="O677" i="8"/>
  <c r="P677" i="8"/>
  <c r="Q677" i="8"/>
  <c r="R677" i="8"/>
  <c r="S677" i="8"/>
  <c r="T677" i="8"/>
  <c r="E66" i="7"/>
  <c r="F66" i="7"/>
  <c r="G66" i="7"/>
  <c r="H66" i="7"/>
  <c r="I66" i="7"/>
  <c r="J66" i="7"/>
  <c r="K66" i="7"/>
  <c r="L66" i="7"/>
  <c r="M66" i="7"/>
  <c r="N66" i="7"/>
  <c r="P66" i="7"/>
  <c r="Q66" i="7"/>
  <c r="R66" i="7"/>
  <c r="S66" i="7"/>
  <c r="U66" i="7"/>
  <c r="V66" i="7"/>
  <c r="W66" i="7"/>
  <c r="X66" i="7"/>
  <c r="Y66" i="7"/>
  <c r="Z66" i="7"/>
  <c r="AA66" i="7"/>
  <c r="AC66" i="7"/>
  <c r="AE66" i="7"/>
  <c r="AI66" i="7"/>
  <c r="AO66" i="7"/>
  <c r="AP66" i="7"/>
  <c r="E656" i="8"/>
  <c r="F656" i="8"/>
  <c r="G656" i="8"/>
  <c r="H656" i="8"/>
  <c r="I656" i="8"/>
  <c r="J656" i="8"/>
  <c r="K656" i="8"/>
  <c r="L656" i="8"/>
  <c r="M656" i="8"/>
  <c r="N656" i="8"/>
  <c r="O656" i="8"/>
  <c r="P656" i="8"/>
  <c r="Q656" i="8"/>
  <c r="R656" i="8"/>
  <c r="S656" i="8"/>
  <c r="T656" i="8"/>
  <c r="E657" i="8"/>
  <c r="F657" i="8"/>
  <c r="G657" i="8"/>
  <c r="H657" i="8"/>
  <c r="I657" i="8"/>
  <c r="J657" i="8"/>
  <c r="K657" i="8"/>
  <c r="L657" i="8"/>
  <c r="M657" i="8"/>
  <c r="N657" i="8"/>
  <c r="O657" i="8"/>
  <c r="P657" i="8"/>
  <c r="Q657" i="8"/>
  <c r="R657" i="8"/>
  <c r="S657" i="8"/>
  <c r="T657" i="8"/>
  <c r="E658" i="8"/>
  <c r="F658" i="8"/>
  <c r="G658" i="8"/>
  <c r="H658" i="8"/>
  <c r="I658" i="8"/>
  <c r="J658" i="8"/>
  <c r="K658" i="8"/>
  <c r="L658" i="8"/>
  <c r="M658" i="8"/>
  <c r="N658" i="8"/>
  <c r="O658" i="8"/>
  <c r="P658" i="8"/>
  <c r="Q658" i="8"/>
  <c r="R658" i="8"/>
  <c r="S658" i="8"/>
  <c r="T658" i="8"/>
  <c r="E659" i="8"/>
  <c r="F659" i="8"/>
  <c r="G659" i="8"/>
  <c r="H659" i="8"/>
  <c r="I659" i="8"/>
  <c r="J659" i="8"/>
  <c r="K659" i="8"/>
  <c r="L659" i="8"/>
  <c r="M659" i="8"/>
  <c r="N659" i="8"/>
  <c r="O659" i="8"/>
  <c r="P659" i="8"/>
  <c r="Q659" i="8"/>
  <c r="R659" i="8"/>
  <c r="S659" i="8"/>
  <c r="T659" i="8"/>
  <c r="E660" i="8"/>
  <c r="F660" i="8"/>
  <c r="G660" i="8"/>
  <c r="H660" i="8"/>
  <c r="I660" i="8"/>
  <c r="J660" i="8"/>
  <c r="K660" i="8"/>
  <c r="L660" i="8"/>
  <c r="M660" i="8"/>
  <c r="N660" i="8"/>
  <c r="O660" i="8"/>
  <c r="P660" i="8"/>
  <c r="Q660" i="8"/>
  <c r="R660" i="8"/>
  <c r="S660" i="8"/>
  <c r="T660" i="8"/>
  <c r="E661" i="8"/>
  <c r="F661" i="8"/>
  <c r="G661" i="8"/>
  <c r="H661" i="8"/>
  <c r="I661" i="8"/>
  <c r="J661" i="8"/>
  <c r="K661" i="8"/>
  <c r="L661" i="8"/>
  <c r="M661" i="8"/>
  <c r="N661" i="8"/>
  <c r="O661" i="8"/>
  <c r="P661" i="8"/>
  <c r="Q661" i="8"/>
  <c r="R661" i="8"/>
  <c r="S661" i="8"/>
  <c r="T661" i="8"/>
  <c r="E662" i="8"/>
  <c r="F662" i="8"/>
  <c r="G662" i="8"/>
  <c r="H662" i="8"/>
  <c r="I662" i="8"/>
  <c r="J662" i="8"/>
  <c r="K662" i="8"/>
  <c r="L662" i="8"/>
  <c r="M662" i="8"/>
  <c r="N662" i="8"/>
  <c r="O662" i="8"/>
  <c r="P662" i="8"/>
  <c r="Q662" i="8"/>
  <c r="R662" i="8"/>
  <c r="S662" i="8"/>
  <c r="T662" i="8"/>
  <c r="E663" i="8"/>
  <c r="F663" i="8"/>
  <c r="G663" i="8"/>
  <c r="H663" i="8"/>
  <c r="I663" i="8"/>
  <c r="J663" i="8"/>
  <c r="K663" i="8"/>
  <c r="L663" i="8"/>
  <c r="M663" i="8"/>
  <c r="N663" i="8"/>
  <c r="O663" i="8"/>
  <c r="P663" i="8"/>
  <c r="Q663" i="8"/>
  <c r="R663" i="8"/>
  <c r="S663" i="8"/>
  <c r="T663" i="8"/>
  <c r="E664" i="8"/>
  <c r="F664" i="8"/>
  <c r="G664" i="8"/>
  <c r="H664" i="8"/>
  <c r="I664" i="8"/>
  <c r="J664" i="8"/>
  <c r="K664" i="8"/>
  <c r="L664" i="8"/>
  <c r="M664" i="8"/>
  <c r="N664" i="8"/>
  <c r="O664" i="8"/>
  <c r="P664" i="8"/>
  <c r="Q664" i="8"/>
  <c r="R664" i="8"/>
  <c r="S664" i="8"/>
  <c r="T664" i="8"/>
  <c r="E665" i="8"/>
  <c r="F665" i="8"/>
  <c r="G665" i="8"/>
  <c r="H665" i="8"/>
  <c r="I665" i="8"/>
  <c r="J665" i="8"/>
  <c r="K665" i="8"/>
  <c r="L665" i="8"/>
  <c r="M665" i="8"/>
  <c r="N665" i="8"/>
  <c r="O665" i="8"/>
  <c r="P665" i="8"/>
  <c r="Q665" i="8"/>
  <c r="R665" i="8"/>
  <c r="S665" i="8"/>
  <c r="T665" i="8"/>
  <c r="E666" i="8"/>
  <c r="F666" i="8"/>
  <c r="G666" i="8"/>
  <c r="H666" i="8"/>
  <c r="I666" i="8"/>
  <c r="J666" i="8"/>
  <c r="K666" i="8"/>
  <c r="L666" i="8"/>
  <c r="M666" i="8"/>
  <c r="N666" i="8"/>
  <c r="O666" i="8"/>
  <c r="P666" i="8"/>
  <c r="Q666" i="8"/>
  <c r="R666" i="8"/>
  <c r="S666" i="8"/>
  <c r="T666" i="8"/>
  <c r="E65" i="7"/>
  <c r="F65" i="7"/>
  <c r="G65" i="7"/>
  <c r="H65" i="7"/>
  <c r="I65" i="7"/>
  <c r="J65" i="7"/>
  <c r="K65" i="7"/>
  <c r="L65" i="7"/>
  <c r="M65" i="7"/>
  <c r="N65" i="7"/>
  <c r="P65" i="7"/>
  <c r="Q65" i="7"/>
  <c r="R65" i="7"/>
  <c r="S65" i="7"/>
  <c r="U65" i="7"/>
  <c r="V65" i="7"/>
  <c r="W65" i="7"/>
  <c r="X65" i="7"/>
  <c r="Y65" i="7"/>
  <c r="Z65" i="7"/>
  <c r="AA65" i="7"/>
  <c r="AC65" i="7"/>
  <c r="AE65" i="7"/>
  <c r="AI65" i="7"/>
  <c r="AO65" i="7"/>
  <c r="AP65" i="7"/>
  <c r="E645" i="8"/>
  <c r="F645" i="8"/>
  <c r="G645" i="8"/>
  <c r="H645" i="8"/>
  <c r="I645" i="8"/>
  <c r="J645" i="8"/>
  <c r="K645" i="8"/>
  <c r="L645" i="8"/>
  <c r="M645" i="8"/>
  <c r="N645" i="8"/>
  <c r="O645" i="8"/>
  <c r="P645" i="8"/>
  <c r="Q645" i="8"/>
  <c r="R645" i="8"/>
  <c r="S645" i="8"/>
  <c r="T645" i="8"/>
  <c r="E646" i="8"/>
  <c r="F646" i="8"/>
  <c r="G646" i="8"/>
  <c r="H646" i="8"/>
  <c r="I646" i="8"/>
  <c r="J646" i="8"/>
  <c r="K646" i="8"/>
  <c r="L646" i="8"/>
  <c r="M646" i="8"/>
  <c r="N646" i="8"/>
  <c r="O646" i="8"/>
  <c r="P646" i="8"/>
  <c r="Q646" i="8"/>
  <c r="R646" i="8"/>
  <c r="S646" i="8"/>
  <c r="T646" i="8"/>
  <c r="E647" i="8"/>
  <c r="F647" i="8"/>
  <c r="G647" i="8"/>
  <c r="H647" i="8"/>
  <c r="I647" i="8"/>
  <c r="J647" i="8"/>
  <c r="K647" i="8"/>
  <c r="L647" i="8"/>
  <c r="M647" i="8"/>
  <c r="N647" i="8"/>
  <c r="O647" i="8"/>
  <c r="P647" i="8"/>
  <c r="Q647" i="8"/>
  <c r="R647" i="8"/>
  <c r="S647" i="8"/>
  <c r="T647" i="8"/>
  <c r="E648" i="8"/>
  <c r="F648" i="8"/>
  <c r="G648" i="8"/>
  <c r="H648" i="8"/>
  <c r="I648" i="8"/>
  <c r="J648" i="8"/>
  <c r="K648" i="8"/>
  <c r="L648" i="8"/>
  <c r="M648" i="8"/>
  <c r="N648" i="8"/>
  <c r="O648" i="8"/>
  <c r="P648" i="8"/>
  <c r="Q648" i="8"/>
  <c r="R648" i="8"/>
  <c r="S648" i="8"/>
  <c r="T648" i="8"/>
  <c r="E649" i="8"/>
  <c r="F649" i="8"/>
  <c r="G649" i="8"/>
  <c r="H649" i="8"/>
  <c r="I649" i="8"/>
  <c r="J649" i="8"/>
  <c r="K649" i="8"/>
  <c r="L649" i="8"/>
  <c r="M649" i="8"/>
  <c r="N649" i="8"/>
  <c r="O649" i="8"/>
  <c r="P649" i="8"/>
  <c r="Q649" i="8"/>
  <c r="R649" i="8"/>
  <c r="S649" i="8"/>
  <c r="T649" i="8"/>
  <c r="E650" i="8"/>
  <c r="F650" i="8"/>
  <c r="G650" i="8"/>
  <c r="H650" i="8"/>
  <c r="I650" i="8"/>
  <c r="J650" i="8"/>
  <c r="K650" i="8"/>
  <c r="L650" i="8"/>
  <c r="M650" i="8"/>
  <c r="N650" i="8"/>
  <c r="O650" i="8"/>
  <c r="P650" i="8"/>
  <c r="Q650" i="8"/>
  <c r="R650" i="8"/>
  <c r="S650" i="8"/>
  <c r="T650" i="8"/>
  <c r="E651" i="8"/>
  <c r="F651" i="8"/>
  <c r="G651" i="8"/>
  <c r="H651" i="8"/>
  <c r="I651" i="8"/>
  <c r="J651" i="8"/>
  <c r="K651" i="8"/>
  <c r="L651" i="8"/>
  <c r="M651" i="8"/>
  <c r="N651" i="8"/>
  <c r="O651" i="8"/>
  <c r="P651" i="8"/>
  <c r="Q651" i="8"/>
  <c r="R651" i="8"/>
  <c r="S651" i="8"/>
  <c r="T651" i="8"/>
  <c r="E652" i="8"/>
  <c r="F652" i="8"/>
  <c r="G652" i="8"/>
  <c r="H652" i="8"/>
  <c r="I652" i="8"/>
  <c r="J652" i="8"/>
  <c r="K652" i="8"/>
  <c r="L652" i="8"/>
  <c r="M652" i="8"/>
  <c r="N652" i="8"/>
  <c r="O652" i="8"/>
  <c r="P652" i="8"/>
  <c r="Q652" i="8"/>
  <c r="R652" i="8"/>
  <c r="S652" i="8"/>
  <c r="T652" i="8"/>
  <c r="E653" i="8"/>
  <c r="F653" i="8"/>
  <c r="G653" i="8"/>
  <c r="H653" i="8"/>
  <c r="I653" i="8"/>
  <c r="J653" i="8"/>
  <c r="K653" i="8"/>
  <c r="L653" i="8"/>
  <c r="M653" i="8"/>
  <c r="N653" i="8"/>
  <c r="O653" i="8"/>
  <c r="P653" i="8"/>
  <c r="Q653" i="8"/>
  <c r="R653" i="8"/>
  <c r="S653" i="8"/>
  <c r="T653" i="8"/>
  <c r="E654" i="8"/>
  <c r="F654" i="8"/>
  <c r="G654" i="8"/>
  <c r="H654" i="8"/>
  <c r="I654" i="8"/>
  <c r="J654" i="8"/>
  <c r="K654" i="8"/>
  <c r="L654" i="8"/>
  <c r="M654" i="8"/>
  <c r="N654" i="8"/>
  <c r="O654" i="8"/>
  <c r="P654" i="8"/>
  <c r="Q654" i="8"/>
  <c r="R654" i="8"/>
  <c r="S654" i="8"/>
  <c r="T654" i="8"/>
  <c r="E655" i="8"/>
  <c r="F655" i="8"/>
  <c r="G655" i="8"/>
  <c r="H655" i="8"/>
  <c r="I655" i="8"/>
  <c r="J655" i="8"/>
  <c r="K655" i="8"/>
  <c r="L655" i="8"/>
  <c r="M655" i="8"/>
  <c r="N655" i="8"/>
  <c r="O655" i="8"/>
  <c r="P655" i="8"/>
  <c r="Q655" i="8"/>
  <c r="R655" i="8"/>
  <c r="S655" i="8"/>
  <c r="T655" i="8"/>
  <c r="E64" i="7"/>
  <c r="F64" i="7"/>
  <c r="G64" i="7"/>
  <c r="H64" i="7"/>
  <c r="I64" i="7"/>
  <c r="J64" i="7"/>
  <c r="K64" i="7"/>
  <c r="L64" i="7"/>
  <c r="M64" i="7"/>
  <c r="N64" i="7"/>
  <c r="P64" i="7"/>
  <c r="Q64" i="7"/>
  <c r="R64" i="7"/>
  <c r="S64" i="7"/>
  <c r="U64" i="7"/>
  <c r="V64" i="7"/>
  <c r="W64" i="7"/>
  <c r="X64" i="7"/>
  <c r="Y64" i="7"/>
  <c r="Z64" i="7"/>
  <c r="AA64" i="7"/>
  <c r="AC64" i="7"/>
  <c r="AE64" i="7"/>
  <c r="AI64" i="7"/>
  <c r="AO64" i="7"/>
  <c r="AP64" i="7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E639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E640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E641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E642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E643" i="8"/>
  <c r="F643" i="8"/>
  <c r="G643" i="8"/>
  <c r="H643" i="8"/>
  <c r="I643" i="8"/>
  <c r="J643" i="8"/>
  <c r="K643" i="8"/>
  <c r="L643" i="8"/>
  <c r="M643" i="8"/>
  <c r="N643" i="8"/>
  <c r="O643" i="8"/>
  <c r="P643" i="8"/>
  <c r="Q643" i="8"/>
  <c r="R643" i="8"/>
  <c r="S643" i="8"/>
  <c r="T643" i="8"/>
  <c r="E644" i="8"/>
  <c r="F644" i="8"/>
  <c r="G644" i="8"/>
  <c r="H644" i="8"/>
  <c r="I644" i="8"/>
  <c r="J644" i="8"/>
  <c r="K644" i="8"/>
  <c r="L644" i="8"/>
  <c r="M644" i="8"/>
  <c r="N644" i="8"/>
  <c r="O644" i="8"/>
  <c r="P644" i="8"/>
  <c r="Q644" i="8"/>
  <c r="R644" i="8"/>
  <c r="S644" i="8"/>
  <c r="T644" i="8"/>
  <c r="E63" i="7"/>
  <c r="F63" i="7"/>
  <c r="G63" i="7"/>
  <c r="H63" i="7"/>
  <c r="I63" i="7"/>
  <c r="J63" i="7"/>
  <c r="K63" i="7"/>
  <c r="L63" i="7"/>
  <c r="M63" i="7"/>
  <c r="N63" i="7"/>
  <c r="P63" i="7"/>
  <c r="Q63" i="7"/>
  <c r="R63" i="7"/>
  <c r="S63" i="7"/>
  <c r="U63" i="7"/>
  <c r="V63" i="7"/>
  <c r="W63" i="7"/>
  <c r="X63" i="7"/>
  <c r="Y63" i="7"/>
  <c r="Z63" i="7"/>
  <c r="AA63" i="7"/>
  <c r="AC63" i="7"/>
  <c r="AE63" i="7"/>
  <c r="AI63" i="7"/>
  <c r="AO63" i="7"/>
  <c r="AP63" i="7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E62" i="7"/>
  <c r="F62" i="7"/>
  <c r="G62" i="7"/>
  <c r="H62" i="7"/>
  <c r="I62" i="7"/>
  <c r="J62" i="7"/>
  <c r="K62" i="7"/>
  <c r="L62" i="7"/>
  <c r="M62" i="7"/>
  <c r="N62" i="7"/>
  <c r="P62" i="7"/>
  <c r="Q62" i="7"/>
  <c r="R62" i="7"/>
  <c r="S62" i="7"/>
  <c r="U62" i="7"/>
  <c r="V62" i="7"/>
  <c r="W62" i="7"/>
  <c r="X62" i="7"/>
  <c r="Y62" i="7"/>
  <c r="Z62" i="7"/>
  <c r="AA62" i="7"/>
  <c r="AC62" i="7"/>
  <c r="AE62" i="7"/>
  <c r="AI62" i="7"/>
  <c r="AO62" i="7"/>
  <c r="AP62" i="7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E61" i="7"/>
  <c r="F61" i="7"/>
  <c r="G61" i="7"/>
  <c r="H61" i="7"/>
  <c r="I61" i="7"/>
  <c r="J61" i="7"/>
  <c r="K61" i="7"/>
  <c r="L61" i="7"/>
  <c r="M61" i="7"/>
  <c r="N61" i="7"/>
  <c r="P61" i="7"/>
  <c r="Q61" i="7"/>
  <c r="R61" i="7"/>
  <c r="S61" i="7"/>
  <c r="U61" i="7"/>
  <c r="V61" i="7"/>
  <c r="W61" i="7"/>
  <c r="X61" i="7"/>
  <c r="Y61" i="7"/>
  <c r="Z61" i="7"/>
  <c r="AA61" i="7"/>
  <c r="AC61" i="7"/>
  <c r="AE61" i="7"/>
  <c r="AI61" i="7"/>
  <c r="AO61" i="7"/>
  <c r="AP61" i="7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E60" i="7"/>
  <c r="F60" i="7"/>
  <c r="G60" i="7"/>
  <c r="H60" i="7"/>
  <c r="I60" i="7"/>
  <c r="J60" i="7"/>
  <c r="K60" i="7"/>
  <c r="L60" i="7"/>
  <c r="M60" i="7"/>
  <c r="N60" i="7"/>
  <c r="P60" i="7"/>
  <c r="Q60" i="7"/>
  <c r="R60" i="7"/>
  <c r="S60" i="7"/>
  <c r="U60" i="7"/>
  <c r="V60" i="7"/>
  <c r="W60" i="7"/>
  <c r="X60" i="7"/>
  <c r="Y60" i="7"/>
  <c r="Z60" i="7"/>
  <c r="AA60" i="7"/>
  <c r="AC60" i="7"/>
  <c r="AE60" i="7"/>
  <c r="AI60" i="7"/>
  <c r="AO60" i="7"/>
  <c r="AP60" i="7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E59" i="7"/>
  <c r="F59" i="7"/>
  <c r="G59" i="7"/>
  <c r="H59" i="7"/>
  <c r="I59" i="7"/>
  <c r="J59" i="7"/>
  <c r="K59" i="7"/>
  <c r="L59" i="7"/>
  <c r="M59" i="7"/>
  <c r="N59" i="7"/>
  <c r="P59" i="7"/>
  <c r="Q59" i="7"/>
  <c r="R59" i="7"/>
  <c r="S59" i="7"/>
  <c r="U59" i="7"/>
  <c r="V59" i="7"/>
  <c r="W59" i="7"/>
  <c r="X59" i="7"/>
  <c r="Y59" i="7"/>
  <c r="Z59" i="7"/>
  <c r="AA59" i="7"/>
  <c r="AC59" i="7"/>
  <c r="AE59" i="7"/>
  <c r="AI59" i="7"/>
  <c r="AO59" i="7"/>
  <c r="AP59" i="7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E58" i="7"/>
  <c r="F58" i="7"/>
  <c r="G58" i="7"/>
  <c r="H58" i="7"/>
  <c r="I58" i="7"/>
  <c r="J58" i="7"/>
  <c r="K58" i="7"/>
  <c r="L58" i="7"/>
  <c r="M58" i="7"/>
  <c r="N58" i="7"/>
  <c r="P58" i="7"/>
  <c r="Q58" i="7"/>
  <c r="R58" i="7"/>
  <c r="S58" i="7"/>
  <c r="U58" i="7"/>
  <c r="V58" i="7"/>
  <c r="W58" i="7"/>
  <c r="X58" i="7"/>
  <c r="Y58" i="7"/>
  <c r="Z58" i="7"/>
  <c r="AA58" i="7"/>
  <c r="AC58" i="7"/>
  <c r="AE58" i="7"/>
  <c r="AI58" i="7"/>
  <c r="AO58" i="7"/>
  <c r="AP58" i="7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E57" i="7"/>
  <c r="F57" i="7"/>
  <c r="G57" i="7"/>
  <c r="H57" i="7"/>
  <c r="I57" i="7"/>
  <c r="J57" i="7"/>
  <c r="K57" i="7"/>
  <c r="L57" i="7"/>
  <c r="M57" i="7"/>
  <c r="N57" i="7"/>
  <c r="P57" i="7"/>
  <c r="Q57" i="7"/>
  <c r="R57" i="7"/>
  <c r="S57" i="7"/>
  <c r="U57" i="7"/>
  <c r="V57" i="7"/>
  <c r="W57" i="7"/>
  <c r="X57" i="7"/>
  <c r="Y57" i="7"/>
  <c r="Z57" i="7"/>
  <c r="AA57" i="7"/>
  <c r="AC57" i="7"/>
  <c r="AE57" i="7"/>
  <c r="AI57" i="7"/>
  <c r="AO57" i="7"/>
  <c r="AP57" i="7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E56" i="7"/>
  <c r="F56" i="7"/>
  <c r="G56" i="7"/>
  <c r="H56" i="7"/>
  <c r="I56" i="7"/>
  <c r="J56" i="7"/>
  <c r="K56" i="7"/>
  <c r="L56" i="7"/>
  <c r="M56" i="7"/>
  <c r="N56" i="7"/>
  <c r="P56" i="7"/>
  <c r="Q56" i="7"/>
  <c r="R56" i="7"/>
  <c r="S56" i="7"/>
  <c r="U56" i="7"/>
  <c r="V56" i="7"/>
  <c r="W56" i="7"/>
  <c r="X56" i="7"/>
  <c r="Y56" i="7"/>
  <c r="Z56" i="7"/>
  <c r="AA56" i="7"/>
  <c r="AC56" i="7"/>
  <c r="AE56" i="7"/>
  <c r="AI56" i="7"/>
  <c r="AO56" i="7"/>
  <c r="AP56" i="7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E55" i="7"/>
  <c r="F55" i="7"/>
  <c r="G55" i="7"/>
  <c r="H55" i="7"/>
  <c r="I55" i="7"/>
  <c r="J55" i="7"/>
  <c r="K55" i="7"/>
  <c r="L55" i="7"/>
  <c r="M55" i="7"/>
  <c r="N55" i="7"/>
  <c r="P55" i="7"/>
  <c r="Q55" i="7"/>
  <c r="R55" i="7"/>
  <c r="S55" i="7"/>
  <c r="U55" i="7"/>
  <c r="V55" i="7"/>
  <c r="W55" i="7"/>
  <c r="X55" i="7"/>
  <c r="Y55" i="7"/>
  <c r="Z55" i="7"/>
  <c r="AA55" i="7"/>
  <c r="AC55" i="7"/>
  <c r="AE55" i="7"/>
  <c r="AI55" i="7"/>
  <c r="AO55" i="7"/>
  <c r="AP55" i="7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E54" i="7"/>
  <c r="F54" i="7"/>
  <c r="G54" i="7"/>
  <c r="H54" i="7"/>
  <c r="I54" i="7"/>
  <c r="J54" i="7"/>
  <c r="K54" i="7"/>
  <c r="L54" i="7"/>
  <c r="M54" i="7"/>
  <c r="N54" i="7"/>
  <c r="P54" i="7"/>
  <c r="Q54" i="7"/>
  <c r="R54" i="7"/>
  <c r="S54" i="7"/>
  <c r="U54" i="7"/>
  <c r="V54" i="7"/>
  <c r="W54" i="7"/>
  <c r="X54" i="7"/>
  <c r="Y54" i="7"/>
  <c r="Z54" i="7"/>
  <c r="AA54" i="7"/>
  <c r="AC54" i="7"/>
  <c r="AE54" i="7"/>
  <c r="AI54" i="7"/>
  <c r="AO54" i="7"/>
  <c r="AP54" i="7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E53" i="7"/>
  <c r="F53" i="7"/>
  <c r="G53" i="7"/>
  <c r="H53" i="7"/>
  <c r="I53" i="7"/>
  <c r="J53" i="7"/>
  <c r="K53" i="7"/>
  <c r="L53" i="7"/>
  <c r="M53" i="7"/>
  <c r="N53" i="7"/>
  <c r="P53" i="7"/>
  <c r="Q53" i="7"/>
  <c r="R53" i="7"/>
  <c r="S53" i="7"/>
  <c r="U53" i="7"/>
  <c r="V53" i="7"/>
  <c r="W53" i="7"/>
  <c r="X53" i="7"/>
  <c r="Y53" i="7"/>
  <c r="Z53" i="7"/>
  <c r="AA53" i="7"/>
  <c r="AC53" i="7"/>
  <c r="AE53" i="7"/>
  <c r="AI53" i="7"/>
  <c r="AO53" i="7"/>
  <c r="AP53" i="7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E52" i="7"/>
  <c r="F52" i="7"/>
  <c r="G52" i="7"/>
  <c r="H52" i="7"/>
  <c r="I52" i="7"/>
  <c r="J52" i="7"/>
  <c r="K52" i="7"/>
  <c r="L52" i="7"/>
  <c r="M52" i="7"/>
  <c r="N52" i="7"/>
  <c r="P52" i="7"/>
  <c r="Q52" i="7"/>
  <c r="R52" i="7"/>
  <c r="S52" i="7"/>
  <c r="U52" i="7"/>
  <c r="V52" i="7"/>
  <c r="W52" i="7"/>
  <c r="X52" i="7"/>
  <c r="Y52" i="7"/>
  <c r="Z52" i="7"/>
  <c r="AA52" i="7"/>
  <c r="AC52" i="7"/>
  <c r="AE52" i="7"/>
  <c r="AI52" i="7"/>
  <c r="AO52" i="7"/>
  <c r="AP52" i="7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E51" i="7"/>
  <c r="F51" i="7"/>
  <c r="G51" i="7"/>
  <c r="H51" i="7"/>
  <c r="I51" i="7"/>
  <c r="J51" i="7"/>
  <c r="K51" i="7"/>
  <c r="L51" i="7"/>
  <c r="M51" i="7"/>
  <c r="N51" i="7"/>
  <c r="P51" i="7"/>
  <c r="Q51" i="7"/>
  <c r="R51" i="7"/>
  <c r="S51" i="7"/>
  <c r="U51" i="7"/>
  <c r="V51" i="7"/>
  <c r="W51" i="7"/>
  <c r="X51" i="7"/>
  <c r="Y51" i="7"/>
  <c r="Z51" i="7"/>
  <c r="AA51" i="7"/>
  <c r="AC51" i="7"/>
  <c r="AE51" i="7"/>
  <c r="AI51" i="7"/>
  <c r="AO51" i="7"/>
  <c r="AP51" i="7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E50" i="7"/>
  <c r="F50" i="7"/>
  <c r="G50" i="7"/>
  <c r="H50" i="7"/>
  <c r="I50" i="7"/>
  <c r="J50" i="7"/>
  <c r="K50" i="7"/>
  <c r="L50" i="7"/>
  <c r="M50" i="7"/>
  <c r="N50" i="7"/>
  <c r="P50" i="7"/>
  <c r="Q50" i="7"/>
  <c r="R50" i="7"/>
  <c r="S50" i="7"/>
  <c r="U50" i="7"/>
  <c r="V50" i="7"/>
  <c r="W50" i="7"/>
  <c r="X50" i="7"/>
  <c r="Y50" i="7"/>
  <c r="Z50" i="7"/>
  <c r="AA50" i="7"/>
  <c r="AC50" i="7"/>
  <c r="AE50" i="7"/>
  <c r="AI50" i="7"/>
  <c r="AO50" i="7"/>
  <c r="AP50" i="7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E49" i="7"/>
  <c r="F49" i="7"/>
  <c r="G49" i="7"/>
  <c r="H49" i="7"/>
  <c r="I49" i="7"/>
  <c r="J49" i="7"/>
  <c r="K49" i="7"/>
  <c r="L49" i="7"/>
  <c r="M49" i="7"/>
  <c r="N49" i="7"/>
  <c r="P49" i="7"/>
  <c r="Q49" i="7"/>
  <c r="R49" i="7"/>
  <c r="S49" i="7"/>
  <c r="U49" i="7"/>
  <c r="V49" i="7"/>
  <c r="W49" i="7"/>
  <c r="X49" i="7"/>
  <c r="Y49" i="7"/>
  <c r="Z49" i="7"/>
  <c r="AA49" i="7"/>
  <c r="AC49" i="7"/>
  <c r="AE49" i="7"/>
  <c r="AI49" i="7"/>
  <c r="AO49" i="7"/>
  <c r="AP49" i="7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E48" i="7"/>
  <c r="F48" i="7"/>
  <c r="G48" i="7"/>
  <c r="H48" i="7"/>
  <c r="I48" i="7"/>
  <c r="J48" i="7"/>
  <c r="K48" i="7"/>
  <c r="L48" i="7"/>
  <c r="M48" i="7"/>
  <c r="N48" i="7"/>
  <c r="P48" i="7"/>
  <c r="Q48" i="7"/>
  <c r="R48" i="7"/>
  <c r="S48" i="7"/>
  <c r="U48" i="7"/>
  <c r="V48" i="7"/>
  <c r="W48" i="7"/>
  <c r="X48" i="7"/>
  <c r="Y48" i="7"/>
  <c r="Z48" i="7"/>
  <c r="AA48" i="7"/>
  <c r="AC48" i="7"/>
  <c r="AE48" i="7"/>
  <c r="AI48" i="7"/>
  <c r="AO48" i="7"/>
  <c r="AP48" i="7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E47" i="7"/>
  <c r="F47" i="7"/>
  <c r="G47" i="7"/>
  <c r="H47" i="7"/>
  <c r="I47" i="7"/>
  <c r="J47" i="7"/>
  <c r="K47" i="7"/>
  <c r="L47" i="7"/>
  <c r="M47" i="7"/>
  <c r="N47" i="7"/>
  <c r="P47" i="7"/>
  <c r="Q47" i="7"/>
  <c r="R47" i="7"/>
  <c r="S47" i="7"/>
  <c r="U47" i="7"/>
  <c r="V47" i="7"/>
  <c r="W47" i="7"/>
  <c r="X47" i="7"/>
  <c r="Y47" i="7"/>
  <c r="Z47" i="7"/>
  <c r="AA47" i="7"/>
  <c r="AC47" i="7"/>
  <c r="AE47" i="7"/>
  <c r="AI47" i="7"/>
  <c r="AO47" i="7"/>
  <c r="AP47" i="7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E46" i="7"/>
  <c r="F46" i="7"/>
  <c r="G46" i="7"/>
  <c r="H46" i="7"/>
  <c r="I46" i="7"/>
  <c r="J46" i="7"/>
  <c r="K46" i="7"/>
  <c r="L46" i="7"/>
  <c r="M46" i="7"/>
  <c r="N46" i="7"/>
  <c r="P46" i="7"/>
  <c r="Q46" i="7"/>
  <c r="R46" i="7"/>
  <c r="S46" i="7"/>
  <c r="U46" i="7"/>
  <c r="V46" i="7"/>
  <c r="W46" i="7"/>
  <c r="X46" i="7"/>
  <c r="Y46" i="7"/>
  <c r="Z46" i="7"/>
  <c r="AA46" i="7"/>
  <c r="AC46" i="7"/>
  <c r="AE46" i="7"/>
  <c r="AI46" i="7"/>
  <c r="AO46" i="7"/>
  <c r="AP46" i="7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E45" i="7"/>
  <c r="F45" i="7"/>
  <c r="G45" i="7"/>
  <c r="H45" i="7"/>
  <c r="I45" i="7"/>
  <c r="J45" i="7"/>
  <c r="K45" i="7"/>
  <c r="L45" i="7"/>
  <c r="M45" i="7"/>
  <c r="N45" i="7"/>
  <c r="P45" i="7"/>
  <c r="Q45" i="7"/>
  <c r="R45" i="7"/>
  <c r="S45" i="7"/>
  <c r="U45" i="7"/>
  <c r="V45" i="7"/>
  <c r="W45" i="7"/>
  <c r="X45" i="7"/>
  <c r="Y45" i="7"/>
  <c r="Z45" i="7"/>
  <c r="AA45" i="7"/>
  <c r="AC45" i="7"/>
  <c r="AE45" i="7"/>
  <c r="AI45" i="7"/>
  <c r="AO45" i="7"/>
  <c r="AP45" i="7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E44" i="7"/>
  <c r="F44" i="7"/>
  <c r="G44" i="7"/>
  <c r="H44" i="7"/>
  <c r="I44" i="7"/>
  <c r="J44" i="7"/>
  <c r="K44" i="7"/>
  <c r="L44" i="7"/>
  <c r="M44" i="7"/>
  <c r="N44" i="7"/>
  <c r="P44" i="7"/>
  <c r="Q44" i="7"/>
  <c r="R44" i="7"/>
  <c r="S44" i="7"/>
  <c r="U44" i="7"/>
  <c r="V44" i="7"/>
  <c r="W44" i="7"/>
  <c r="X44" i="7"/>
  <c r="Y44" i="7"/>
  <c r="Z44" i="7"/>
  <c r="AA44" i="7"/>
  <c r="AC44" i="7"/>
  <c r="AE44" i="7"/>
  <c r="AI44" i="7"/>
  <c r="AO44" i="7"/>
  <c r="AP44" i="7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E43" i="7"/>
  <c r="F43" i="7"/>
  <c r="G43" i="7"/>
  <c r="H43" i="7"/>
  <c r="I43" i="7"/>
  <c r="J43" i="7"/>
  <c r="K43" i="7"/>
  <c r="L43" i="7"/>
  <c r="M43" i="7"/>
  <c r="N43" i="7"/>
  <c r="P43" i="7"/>
  <c r="Q43" i="7"/>
  <c r="R43" i="7"/>
  <c r="S43" i="7"/>
  <c r="U43" i="7"/>
  <c r="V43" i="7"/>
  <c r="W43" i="7"/>
  <c r="X43" i="7"/>
  <c r="Y43" i="7"/>
  <c r="Z43" i="7"/>
  <c r="AA43" i="7"/>
  <c r="AC43" i="7"/>
  <c r="AE43" i="7"/>
  <c r="AI43" i="7"/>
  <c r="AO43" i="7"/>
  <c r="AP43" i="7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E42" i="7"/>
  <c r="F42" i="7"/>
  <c r="G42" i="7"/>
  <c r="H42" i="7"/>
  <c r="I42" i="7"/>
  <c r="J42" i="7"/>
  <c r="K42" i="7"/>
  <c r="L42" i="7"/>
  <c r="M42" i="7"/>
  <c r="N42" i="7"/>
  <c r="P42" i="7"/>
  <c r="Q42" i="7"/>
  <c r="R42" i="7"/>
  <c r="S42" i="7"/>
  <c r="U42" i="7"/>
  <c r="V42" i="7"/>
  <c r="W42" i="7"/>
  <c r="X42" i="7"/>
  <c r="Y42" i="7"/>
  <c r="Z42" i="7"/>
  <c r="AA42" i="7"/>
  <c r="AC42" i="7"/>
  <c r="AE42" i="7"/>
  <c r="AI42" i="7"/>
  <c r="AO42" i="7"/>
  <c r="AP42" i="7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E41" i="7"/>
  <c r="F41" i="7"/>
  <c r="G41" i="7"/>
  <c r="H41" i="7"/>
  <c r="I41" i="7"/>
  <c r="J41" i="7"/>
  <c r="K41" i="7"/>
  <c r="L41" i="7"/>
  <c r="M41" i="7"/>
  <c r="N41" i="7"/>
  <c r="P41" i="7"/>
  <c r="Q41" i="7"/>
  <c r="R41" i="7"/>
  <c r="S41" i="7"/>
  <c r="U41" i="7"/>
  <c r="V41" i="7"/>
  <c r="W41" i="7"/>
  <c r="X41" i="7"/>
  <c r="Y41" i="7"/>
  <c r="Z41" i="7"/>
  <c r="AA41" i="7"/>
  <c r="AC41" i="7"/>
  <c r="AE41" i="7"/>
  <c r="AI41" i="7"/>
  <c r="AO41" i="7"/>
  <c r="AP41" i="7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E40" i="7"/>
  <c r="F40" i="7"/>
  <c r="G40" i="7"/>
  <c r="H40" i="7"/>
  <c r="I40" i="7"/>
  <c r="J40" i="7"/>
  <c r="K40" i="7"/>
  <c r="L40" i="7"/>
  <c r="M40" i="7"/>
  <c r="N40" i="7"/>
  <c r="P40" i="7"/>
  <c r="Q40" i="7"/>
  <c r="R40" i="7"/>
  <c r="S40" i="7"/>
  <c r="U40" i="7"/>
  <c r="V40" i="7"/>
  <c r="W40" i="7"/>
  <c r="X40" i="7"/>
  <c r="Y40" i="7"/>
  <c r="Z40" i="7"/>
  <c r="AA40" i="7"/>
  <c r="AC40" i="7"/>
  <c r="AE40" i="7"/>
  <c r="AI40" i="7"/>
  <c r="AO40" i="7"/>
  <c r="AP40" i="7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E39" i="7"/>
  <c r="F39" i="7"/>
  <c r="G39" i="7"/>
  <c r="H39" i="7"/>
  <c r="I39" i="7"/>
  <c r="J39" i="7"/>
  <c r="K39" i="7"/>
  <c r="L39" i="7"/>
  <c r="M39" i="7"/>
  <c r="N39" i="7"/>
  <c r="P39" i="7"/>
  <c r="Q39" i="7"/>
  <c r="R39" i="7"/>
  <c r="S39" i="7"/>
  <c r="U39" i="7"/>
  <c r="V39" i="7"/>
  <c r="W39" i="7"/>
  <c r="X39" i="7"/>
  <c r="Y39" i="7"/>
  <c r="Z39" i="7"/>
  <c r="AA39" i="7"/>
  <c r="AC39" i="7"/>
  <c r="AE39" i="7"/>
  <c r="AI39" i="7"/>
  <c r="AO39" i="7"/>
  <c r="AP39" i="7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E38" i="7"/>
  <c r="F38" i="7"/>
  <c r="G38" i="7"/>
  <c r="H38" i="7"/>
  <c r="I38" i="7"/>
  <c r="J38" i="7"/>
  <c r="K38" i="7"/>
  <c r="L38" i="7"/>
  <c r="M38" i="7"/>
  <c r="N38" i="7"/>
  <c r="P38" i="7"/>
  <c r="Q38" i="7"/>
  <c r="R38" i="7"/>
  <c r="S38" i="7"/>
  <c r="U38" i="7"/>
  <c r="V38" i="7"/>
  <c r="W38" i="7"/>
  <c r="X38" i="7"/>
  <c r="Y38" i="7"/>
  <c r="Z38" i="7"/>
  <c r="AA38" i="7"/>
  <c r="AC38" i="7"/>
  <c r="AE38" i="7"/>
  <c r="AI38" i="7"/>
  <c r="AO38" i="7"/>
  <c r="AP38" i="7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E37" i="7"/>
  <c r="F37" i="7"/>
  <c r="G37" i="7"/>
  <c r="H37" i="7"/>
  <c r="I37" i="7"/>
  <c r="J37" i="7"/>
  <c r="K37" i="7"/>
  <c r="L37" i="7"/>
  <c r="M37" i="7"/>
  <c r="N37" i="7"/>
  <c r="P37" i="7"/>
  <c r="Q37" i="7"/>
  <c r="R37" i="7"/>
  <c r="S37" i="7"/>
  <c r="U37" i="7"/>
  <c r="V37" i="7"/>
  <c r="W37" i="7"/>
  <c r="X37" i="7"/>
  <c r="Y37" i="7"/>
  <c r="Z37" i="7"/>
  <c r="AA37" i="7"/>
  <c r="AC37" i="7"/>
  <c r="AE37" i="7"/>
  <c r="AI37" i="7"/>
  <c r="AO37" i="7"/>
  <c r="AP37" i="7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E36" i="7"/>
  <c r="F36" i="7"/>
  <c r="G36" i="7"/>
  <c r="H36" i="7"/>
  <c r="I36" i="7"/>
  <c r="J36" i="7"/>
  <c r="K36" i="7"/>
  <c r="L36" i="7"/>
  <c r="M36" i="7"/>
  <c r="N36" i="7"/>
  <c r="P36" i="7"/>
  <c r="Q36" i="7"/>
  <c r="R36" i="7"/>
  <c r="S36" i="7"/>
  <c r="U36" i="7"/>
  <c r="V36" i="7"/>
  <c r="W36" i="7"/>
  <c r="X36" i="7"/>
  <c r="Y36" i="7"/>
  <c r="Z36" i="7"/>
  <c r="AA36" i="7"/>
  <c r="AC36" i="7"/>
  <c r="AE36" i="7"/>
  <c r="AI36" i="7"/>
  <c r="AO36" i="7"/>
  <c r="AP36" i="7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E35" i="7"/>
  <c r="F35" i="7"/>
  <c r="G35" i="7"/>
  <c r="H35" i="7"/>
  <c r="I35" i="7"/>
  <c r="J35" i="7"/>
  <c r="K35" i="7"/>
  <c r="L35" i="7"/>
  <c r="M35" i="7"/>
  <c r="N35" i="7"/>
  <c r="P35" i="7"/>
  <c r="Q35" i="7"/>
  <c r="R35" i="7"/>
  <c r="S35" i="7"/>
  <c r="U35" i="7"/>
  <c r="V35" i="7"/>
  <c r="W35" i="7"/>
  <c r="X35" i="7"/>
  <c r="Y35" i="7"/>
  <c r="Z35" i="7"/>
  <c r="AA35" i="7"/>
  <c r="AC35" i="7"/>
  <c r="AE35" i="7"/>
  <c r="AI35" i="7"/>
  <c r="AO35" i="7"/>
  <c r="AP35" i="7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E34" i="7"/>
  <c r="F34" i="7"/>
  <c r="G34" i="7"/>
  <c r="H34" i="7"/>
  <c r="I34" i="7"/>
  <c r="J34" i="7"/>
  <c r="K34" i="7"/>
  <c r="L34" i="7"/>
  <c r="M34" i="7"/>
  <c r="N34" i="7"/>
  <c r="P34" i="7"/>
  <c r="Q34" i="7"/>
  <c r="R34" i="7"/>
  <c r="S34" i="7"/>
  <c r="U34" i="7"/>
  <c r="V34" i="7"/>
  <c r="W34" i="7"/>
  <c r="X34" i="7"/>
  <c r="Y34" i="7"/>
  <c r="Z34" i="7"/>
  <c r="AA34" i="7"/>
  <c r="AC34" i="7"/>
  <c r="AE34" i="7"/>
  <c r="AI34" i="7"/>
  <c r="AO34" i="7"/>
  <c r="AP34" i="7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F33" i="7"/>
  <c r="H33" i="7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E33" i="7"/>
  <c r="G33" i="7"/>
  <c r="I33" i="7"/>
  <c r="J33" i="7"/>
  <c r="K33" i="7"/>
  <c r="L33" i="7"/>
  <c r="M33" i="7"/>
  <c r="N33" i="7"/>
  <c r="P33" i="7"/>
  <c r="Q33" i="7"/>
  <c r="R33" i="7"/>
  <c r="S33" i="7"/>
  <c r="U33" i="7"/>
  <c r="V33" i="7"/>
  <c r="W33" i="7"/>
  <c r="X33" i="7"/>
  <c r="Y33" i="7"/>
  <c r="Z33" i="7"/>
  <c r="AA33" i="7"/>
  <c r="AC33" i="7"/>
  <c r="AE33" i="7"/>
  <c r="AI33" i="7"/>
  <c r="AO33" i="7"/>
  <c r="AP33" i="7"/>
  <c r="E32" i="7"/>
  <c r="G32" i="7"/>
  <c r="I32" i="7"/>
  <c r="K32" i="7"/>
  <c r="M32" i="7"/>
  <c r="P32" i="7"/>
  <c r="Q32" i="7"/>
  <c r="R32" i="7"/>
  <c r="S32" i="7"/>
  <c r="U32" i="7"/>
  <c r="V32" i="7"/>
  <c r="W32" i="7"/>
  <c r="X32" i="7"/>
  <c r="Y32" i="7"/>
  <c r="AA32" i="7"/>
  <c r="AC32" i="7"/>
  <c r="AO32" i="7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F32" i="7"/>
  <c r="H32" i="7"/>
  <c r="J32" i="7"/>
  <c r="L32" i="7"/>
  <c r="N32" i="7"/>
  <c r="Z32" i="7"/>
  <c r="AE32" i="7"/>
  <c r="AI32" i="7"/>
  <c r="AP32" i="7"/>
  <c r="E31" i="7"/>
  <c r="G31" i="7"/>
  <c r="H31" i="7"/>
  <c r="J31" i="7"/>
  <c r="L31" i="7"/>
  <c r="N31" i="7"/>
  <c r="Q31" i="7"/>
  <c r="S31" i="7"/>
  <c r="V31" i="7"/>
  <c r="X31" i="7"/>
  <c r="AA31" i="7"/>
  <c r="AE31" i="7"/>
  <c r="AI31" i="7"/>
  <c r="AP31" i="7"/>
  <c r="F31" i="7"/>
  <c r="I31" i="7"/>
  <c r="K31" i="7"/>
  <c r="M31" i="7"/>
  <c r="P31" i="7"/>
  <c r="R31" i="7"/>
  <c r="U31" i="7"/>
  <c r="W31" i="7"/>
  <c r="Y31" i="7"/>
  <c r="Z31" i="7"/>
  <c r="AC31" i="7"/>
  <c r="AO31" i="7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E30" i="7"/>
  <c r="G30" i="7"/>
  <c r="I30" i="7"/>
  <c r="V30" i="7"/>
  <c r="AC30" i="7"/>
  <c r="AO30" i="7"/>
  <c r="E260" i="8"/>
  <c r="F260" i="8"/>
  <c r="E261" i="8"/>
  <c r="F261" i="8"/>
  <c r="E262" i="8"/>
  <c r="F262" i="8"/>
  <c r="E263" i="8"/>
  <c r="F263" i="8"/>
  <c r="E264" i="8"/>
  <c r="F264" i="8"/>
  <c r="E265" i="8"/>
  <c r="F265" i="8"/>
  <c r="E266" i="8"/>
  <c r="F266" i="8"/>
  <c r="E267" i="8"/>
  <c r="F267" i="8"/>
  <c r="E268" i="8"/>
  <c r="F268" i="8"/>
  <c r="E269" i="8"/>
  <c r="F269" i="8"/>
  <c r="E270" i="8"/>
  <c r="F270" i="8"/>
  <c r="F30" i="7"/>
  <c r="H30" i="7"/>
  <c r="N30" i="7"/>
  <c r="R30" i="7"/>
  <c r="S30" i="7"/>
  <c r="U30" i="7"/>
  <c r="Y30" i="7"/>
  <c r="Z30" i="7"/>
  <c r="AE30" i="7"/>
  <c r="AI30" i="7"/>
  <c r="AP30" i="7"/>
  <c r="E29" i="7"/>
  <c r="F29" i="7"/>
  <c r="I29" i="7"/>
  <c r="N29" i="7"/>
  <c r="R29" i="7"/>
  <c r="Y29" i="7"/>
  <c r="AP29" i="7"/>
  <c r="E249" i="8"/>
  <c r="F249" i="8"/>
  <c r="E250" i="8"/>
  <c r="F250" i="8"/>
  <c r="E251" i="8"/>
  <c r="F251" i="8"/>
  <c r="E252" i="8"/>
  <c r="F252" i="8"/>
  <c r="E253" i="8"/>
  <c r="F253" i="8"/>
  <c r="E254" i="8"/>
  <c r="F254" i="8"/>
  <c r="E255" i="8"/>
  <c r="F255" i="8"/>
  <c r="E256" i="8"/>
  <c r="F256" i="8"/>
  <c r="E257" i="8"/>
  <c r="F257" i="8"/>
  <c r="E258" i="8"/>
  <c r="F258" i="8"/>
  <c r="E259" i="8"/>
  <c r="F259" i="8"/>
  <c r="G29" i="7"/>
  <c r="H29" i="7"/>
  <c r="S29" i="7"/>
  <c r="U29" i="7"/>
  <c r="V29" i="7"/>
  <c r="Z29" i="7"/>
  <c r="AC29" i="7"/>
  <c r="AE29" i="7"/>
  <c r="AI29" i="7"/>
  <c r="AO29" i="7"/>
  <c r="E28" i="7"/>
  <c r="F28" i="7"/>
  <c r="G28" i="7"/>
  <c r="H28" i="7"/>
  <c r="I28" i="7"/>
  <c r="R28" i="7"/>
  <c r="U28" i="7"/>
  <c r="Y28" i="7"/>
  <c r="Z28" i="7"/>
  <c r="AE28" i="7"/>
  <c r="AO28" i="7"/>
  <c r="N28" i="7"/>
  <c r="S28" i="7"/>
  <c r="V28" i="7"/>
  <c r="AC28" i="7"/>
  <c r="AI28" i="7"/>
  <c r="AP28" i="7"/>
  <c r="E238" i="8"/>
  <c r="F238" i="8"/>
  <c r="E239" i="8"/>
  <c r="F239" i="8"/>
  <c r="E240" i="8"/>
  <c r="F240" i="8"/>
  <c r="E241" i="8"/>
  <c r="F241" i="8"/>
  <c r="E242" i="8"/>
  <c r="F242" i="8"/>
  <c r="E243" i="8"/>
  <c r="F243" i="8"/>
  <c r="E244" i="8"/>
  <c r="F244" i="8"/>
  <c r="E245" i="8"/>
  <c r="F245" i="8"/>
  <c r="E246" i="8"/>
  <c r="F246" i="8"/>
  <c r="E247" i="8"/>
  <c r="F247" i="8"/>
  <c r="E248" i="8"/>
  <c r="F248" i="8"/>
  <c r="O27" i="7"/>
  <c r="AK27" i="7"/>
  <c r="U26" i="7"/>
  <c r="E26" i="7"/>
  <c r="I26" i="7"/>
  <c r="Z26" i="7"/>
  <c r="F26" i="7"/>
  <c r="S26" i="7"/>
  <c r="Y26" i="7"/>
  <c r="AC26" i="7"/>
  <c r="AE26" i="7"/>
  <c r="E216" i="8"/>
  <c r="F216" i="8"/>
  <c r="E217" i="8"/>
  <c r="F217" i="8"/>
  <c r="E218" i="8"/>
  <c r="F218" i="8"/>
  <c r="E219" i="8"/>
  <c r="F219" i="8"/>
  <c r="E220" i="8"/>
  <c r="F220" i="8"/>
  <c r="E221" i="8"/>
  <c r="F221" i="8"/>
  <c r="E222" i="8"/>
  <c r="F222" i="8"/>
  <c r="E223" i="8"/>
  <c r="F223" i="8"/>
  <c r="E224" i="8"/>
  <c r="F224" i="8"/>
  <c r="E225" i="8"/>
  <c r="F225" i="8"/>
  <c r="E226" i="8"/>
  <c r="F226" i="8"/>
  <c r="G26" i="7"/>
  <c r="R26" i="7"/>
  <c r="V26" i="7"/>
  <c r="AI26" i="7"/>
  <c r="AP26" i="7"/>
  <c r="R25" i="7"/>
  <c r="V25" i="7"/>
  <c r="E25" i="7"/>
  <c r="U25" i="7"/>
  <c r="F25" i="7"/>
  <c r="G25" i="7"/>
  <c r="S25" i="7"/>
  <c r="AC25" i="7"/>
  <c r="AE25" i="7"/>
  <c r="E205" i="8"/>
  <c r="F205" i="8"/>
  <c r="E206" i="8"/>
  <c r="F206" i="8" s="1"/>
  <c r="E207" i="8"/>
  <c r="F207" i="8" s="1"/>
  <c r="E208" i="8"/>
  <c r="F208" i="8" s="1"/>
  <c r="E209" i="8"/>
  <c r="F209" i="8"/>
  <c r="E210" i="8"/>
  <c r="F210" i="8" s="1"/>
  <c r="E211" i="8"/>
  <c r="F211" i="8" s="1"/>
  <c r="E212" i="8"/>
  <c r="F212" i="8" s="1"/>
  <c r="E213" i="8"/>
  <c r="F213" i="8" s="1"/>
  <c r="E214" i="8"/>
  <c r="F214" i="8" s="1"/>
  <c r="E215" i="8"/>
  <c r="F215" i="8" s="1"/>
  <c r="E24" i="7"/>
  <c r="S24" i="7"/>
  <c r="Y24" i="7"/>
  <c r="AI24" i="7"/>
  <c r="F24" i="7"/>
  <c r="H24" i="7" s="1"/>
  <c r="R24" i="7"/>
  <c r="U24" i="7"/>
  <c r="Z24" i="7"/>
  <c r="AC24" i="7"/>
  <c r="AE24" i="7"/>
  <c r="AO24" i="7"/>
  <c r="G24" i="7"/>
  <c r="N24" i="7"/>
  <c r="I24" i="7"/>
  <c r="V24" i="7"/>
  <c r="AP24" i="7"/>
  <c r="E194" i="8"/>
  <c r="F194" i="8"/>
  <c r="E195" i="8"/>
  <c r="F195" i="8" s="1"/>
  <c r="E196" i="8"/>
  <c r="F196" i="8" s="1"/>
  <c r="E197" i="8"/>
  <c r="F197" i="8" s="1"/>
  <c r="E198" i="8"/>
  <c r="F198" i="8" s="1"/>
  <c r="E199" i="8"/>
  <c r="F199" i="8" s="1"/>
  <c r="E200" i="8"/>
  <c r="F200" i="8" s="1"/>
  <c r="E201" i="8"/>
  <c r="F201" i="8" s="1"/>
  <c r="E202" i="8"/>
  <c r="F202" i="8" s="1"/>
  <c r="E203" i="8"/>
  <c r="F203" i="8" s="1"/>
  <c r="E204" i="8"/>
  <c r="F204" i="8" s="1"/>
  <c r="U23" i="7"/>
  <c r="E23" i="7"/>
  <c r="AE23" i="7"/>
  <c r="AP23" i="7"/>
  <c r="I23" i="7"/>
  <c r="S23" i="7"/>
  <c r="V23" i="7"/>
  <c r="AO23" i="7"/>
  <c r="E183" i="8"/>
  <c r="F183" i="8"/>
  <c r="E184" i="8"/>
  <c r="F184" i="8" s="1"/>
  <c r="E185" i="8"/>
  <c r="F185" i="8" s="1"/>
  <c r="E186" i="8"/>
  <c r="F186" i="8" s="1"/>
  <c r="E187" i="8"/>
  <c r="F187" i="8" s="1"/>
  <c r="E188" i="8"/>
  <c r="F188" i="8" s="1"/>
  <c r="E189" i="8"/>
  <c r="F189" i="8" s="1"/>
  <c r="E190" i="8"/>
  <c r="F190" i="8" s="1"/>
  <c r="E191" i="8"/>
  <c r="F191" i="8" s="1"/>
  <c r="E192" i="8"/>
  <c r="F192" i="8" s="1"/>
  <c r="E193" i="8"/>
  <c r="F193" i="8" s="1"/>
  <c r="F23" i="7"/>
  <c r="N23" i="7"/>
  <c r="R23" i="7"/>
  <c r="Z23" i="7"/>
  <c r="E172" i="8"/>
  <c r="F172" i="8"/>
  <c r="R22" i="7"/>
  <c r="E22" i="7"/>
  <c r="S22" i="7"/>
  <c r="U22" i="7"/>
  <c r="AE22" i="7"/>
  <c r="V22" i="7"/>
  <c r="F22" i="7"/>
  <c r="V21" i="7"/>
  <c r="U21" i="7"/>
  <c r="AE21" i="7"/>
  <c r="E21" i="7"/>
  <c r="S21" i="7"/>
  <c r="E161" i="8"/>
  <c r="F161" i="8"/>
  <c r="F21" i="7"/>
  <c r="R21" i="7"/>
  <c r="R20" i="7"/>
  <c r="F20" i="7"/>
  <c r="S20" i="7"/>
  <c r="AE20" i="7"/>
  <c r="V20" i="7"/>
  <c r="E150" i="8"/>
  <c r="F150" i="8"/>
  <c r="E20" i="7"/>
  <c r="I20" i="7"/>
  <c r="U20" i="7"/>
  <c r="AO20" i="7"/>
  <c r="V19" i="7"/>
  <c r="E19" i="7"/>
  <c r="H19" i="7" s="1"/>
  <c r="R19" i="7"/>
  <c r="AE19" i="7"/>
  <c r="F19" i="7"/>
  <c r="U19" i="7"/>
  <c r="S19" i="7"/>
  <c r="E139" i="8"/>
  <c r="F139" i="8"/>
  <c r="E140" i="8"/>
  <c r="F140" i="8" s="1"/>
  <c r="E141" i="8"/>
  <c r="F141" i="8" s="1"/>
  <c r="E142" i="8"/>
  <c r="F142" i="8" s="1"/>
  <c r="E143" i="8"/>
  <c r="F143" i="8" s="1"/>
  <c r="E144" i="8"/>
  <c r="F144" i="8" s="1"/>
  <c r="E145" i="8"/>
  <c r="F145" i="8" s="1"/>
  <c r="E146" i="8"/>
  <c r="F146" i="8" s="1"/>
  <c r="E147" i="8"/>
  <c r="F147" i="8" s="1"/>
  <c r="E148" i="8"/>
  <c r="F148" i="8" s="1"/>
  <c r="E149" i="8"/>
  <c r="F149" i="8" s="1"/>
  <c r="F18" i="7"/>
  <c r="V18" i="7"/>
  <c r="S18" i="7"/>
  <c r="E18" i="7"/>
  <c r="R18" i="7"/>
  <c r="E128" i="8"/>
  <c r="F128" i="8"/>
  <c r="E131" i="8"/>
  <c r="F131" i="8" s="1"/>
  <c r="E132" i="8"/>
  <c r="F132" i="8" s="1"/>
  <c r="E133" i="8"/>
  <c r="F133" i="8" s="1"/>
  <c r="E134" i="8"/>
  <c r="F134" i="8" s="1"/>
  <c r="E135" i="8"/>
  <c r="F135" i="8" s="1"/>
  <c r="E136" i="8"/>
  <c r="F136" i="8" s="1"/>
  <c r="E137" i="8"/>
  <c r="F137" i="8" s="1"/>
  <c r="E138" i="8"/>
  <c r="F138" i="8" s="1"/>
  <c r="U18" i="7"/>
  <c r="AE18" i="7"/>
  <c r="R17" i="7"/>
  <c r="S17" i="7"/>
  <c r="E117" i="8"/>
  <c r="F117" i="8"/>
  <c r="F17" i="7"/>
  <c r="V17" i="7"/>
  <c r="E17" i="7"/>
  <c r="Y17" i="7" s="1"/>
  <c r="U17" i="7"/>
  <c r="AE17" i="7"/>
  <c r="S16" i="7"/>
  <c r="AE16" i="7"/>
  <c r="E16" i="7"/>
  <c r="AC16" i="7"/>
  <c r="F16" i="7"/>
  <c r="I16" i="7"/>
  <c r="N16" i="7"/>
  <c r="V16" i="7"/>
  <c r="Z16" i="7"/>
  <c r="U16" i="7"/>
  <c r="AP16" i="7"/>
  <c r="E106" i="8"/>
  <c r="F106" i="8"/>
  <c r="E107" i="8"/>
  <c r="F107" i="8" s="1"/>
  <c r="E108" i="8"/>
  <c r="F108" i="8" s="1"/>
  <c r="E109" i="8"/>
  <c r="F109" i="8" s="1"/>
  <c r="E110" i="8"/>
  <c r="F110" i="8" s="1"/>
  <c r="E111" i="8"/>
  <c r="F111" i="8" s="1"/>
  <c r="E112" i="8"/>
  <c r="F112" i="8" s="1"/>
  <c r="E113" i="8"/>
  <c r="F113" i="8" s="1"/>
  <c r="E114" i="8"/>
  <c r="F114" i="8" s="1"/>
  <c r="E115" i="8"/>
  <c r="F115" i="8" s="1"/>
  <c r="E116" i="8"/>
  <c r="F116" i="8" s="1"/>
  <c r="G16" i="7"/>
  <c r="R16" i="7"/>
  <c r="Y16" i="7"/>
  <c r="AO16" i="7"/>
  <c r="S15" i="7"/>
  <c r="AE15" i="7"/>
  <c r="F15" i="7"/>
  <c r="V15" i="7"/>
  <c r="E95" i="8"/>
  <c r="F95" i="8"/>
  <c r="E15" i="7"/>
  <c r="U15" i="7"/>
  <c r="R15" i="7"/>
  <c r="U14" i="7"/>
  <c r="E14" i="7"/>
  <c r="R14" i="7"/>
  <c r="V14" i="7"/>
  <c r="F14" i="7"/>
  <c r="AE14" i="7"/>
  <c r="G14" i="7"/>
  <c r="S14" i="7"/>
  <c r="E84" i="8"/>
  <c r="F84" i="8"/>
  <c r="E85" i="8"/>
  <c r="F85" i="8" s="1"/>
  <c r="E86" i="8"/>
  <c r="F86" i="8" s="1"/>
  <c r="E87" i="8"/>
  <c r="F87" i="8" s="1"/>
  <c r="E88" i="8"/>
  <c r="F88" i="8" s="1"/>
  <c r="E89" i="8"/>
  <c r="F89" i="8" s="1"/>
  <c r="E90" i="8"/>
  <c r="F90" i="8" s="1"/>
  <c r="E91" i="8"/>
  <c r="F91" i="8" s="1"/>
  <c r="E92" i="8"/>
  <c r="F92" i="8" s="1"/>
  <c r="E93" i="8"/>
  <c r="F93" i="8" s="1"/>
  <c r="E94" i="8"/>
  <c r="F94" i="8" s="1"/>
  <c r="F13" i="7"/>
  <c r="S13" i="7"/>
  <c r="V13" i="7"/>
  <c r="AE13" i="7"/>
  <c r="R13" i="7"/>
  <c r="E13" i="7"/>
  <c r="U13" i="7"/>
  <c r="E73" i="8"/>
  <c r="F73" i="8"/>
  <c r="E76" i="8"/>
  <c r="F76" i="8" s="1"/>
  <c r="F12" i="7"/>
  <c r="R12" i="7"/>
  <c r="V12" i="7"/>
  <c r="C9" i="1"/>
  <c r="E12" i="7"/>
  <c r="H12" i="7"/>
  <c r="E62" i="8"/>
  <c r="F62" i="8"/>
  <c r="E63" i="8"/>
  <c r="F63" i="8" s="1"/>
  <c r="E64" i="8"/>
  <c r="F64" i="8" s="1"/>
  <c r="G12" i="7"/>
  <c r="I12" i="7"/>
  <c r="P12" i="7"/>
  <c r="S12" i="7"/>
  <c r="U12" i="7"/>
  <c r="Y12" i="7"/>
  <c r="AC12" i="7"/>
  <c r="AE12" i="7"/>
  <c r="AI12" i="7"/>
  <c r="Z12" i="7"/>
  <c r="AO12" i="7"/>
  <c r="E65" i="8"/>
  <c r="F65" i="8" s="1"/>
  <c r="E66" i="8"/>
  <c r="F66" i="8" s="1"/>
  <c r="E67" i="8"/>
  <c r="F67" i="8" s="1"/>
  <c r="E68" i="8"/>
  <c r="F68" i="8" s="1"/>
  <c r="E69" i="8"/>
  <c r="F69" i="8" s="1"/>
  <c r="E70" i="8"/>
  <c r="F70" i="8" s="1"/>
  <c r="E71" i="8"/>
  <c r="F71" i="8" s="1"/>
  <c r="E72" i="8"/>
  <c r="F72" i="8" s="1"/>
  <c r="C10" i="1"/>
  <c r="C11" i="1"/>
  <c r="R11" i="7"/>
  <c r="S11" i="7"/>
  <c r="V11" i="7"/>
  <c r="AE11" i="7"/>
  <c r="E11" i="7"/>
  <c r="E54" i="8" s="1"/>
  <c r="F54" i="8" s="1"/>
  <c r="U11" i="7"/>
  <c r="E51" i="8"/>
  <c r="F51" i="8"/>
  <c r="E52" i="8"/>
  <c r="F52" i="8" s="1"/>
  <c r="E53" i="8"/>
  <c r="F53" i="8" s="1"/>
  <c r="E55" i="8"/>
  <c r="F55" i="8" s="1"/>
  <c r="E56" i="8"/>
  <c r="F56" i="8" s="1"/>
  <c r="E57" i="8"/>
  <c r="F57" i="8" s="1"/>
  <c r="E58" i="8"/>
  <c r="F58" i="8" s="1"/>
  <c r="E59" i="8"/>
  <c r="F59" i="8" s="1"/>
  <c r="E60" i="8"/>
  <c r="F60" i="8" s="1"/>
  <c r="E61" i="8"/>
  <c r="F61" i="8" s="1"/>
  <c r="F11" i="7"/>
  <c r="I11" i="7"/>
  <c r="AO11" i="7"/>
  <c r="H11" i="7"/>
  <c r="AI11" i="7"/>
  <c r="R10" i="7"/>
  <c r="E10" i="7"/>
  <c r="S10" i="7"/>
  <c r="U10" i="7"/>
  <c r="E10" i="1"/>
  <c r="E11" i="1"/>
  <c r="B14" i="9" s="1"/>
  <c r="G10" i="7"/>
  <c r="V10" i="7"/>
  <c r="E40" i="8"/>
  <c r="F40" i="8"/>
  <c r="E41" i="8"/>
  <c r="F41" i="8" s="1"/>
  <c r="E42" i="8"/>
  <c r="F42" i="8" s="1"/>
  <c r="E43" i="8"/>
  <c r="F43" i="8" s="1"/>
  <c r="E44" i="8"/>
  <c r="F44" i="8" s="1"/>
  <c r="E45" i="8"/>
  <c r="F45" i="8" s="1"/>
  <c r="E46" i="8"/>
  <c r="F46" i="8" s="1"/>
  <c r="E47" i="8"/>
  <c r="F47" i="8" s="1"/>
  <c r="E48" i="8"/>
  <c r="F48" i="8" s="1"/>
  <c r="E49" i="8"/>
  <c r="F49" i="8" s="1"/>
  <c r="E50" i="8"/>
  <c r="F50" i="8" s="1"/>
  <c r="F10" i="7"/>
  <c r="N10" i="7"/>
  <c r="AC10" i="7"/>
  <c r="AE10" i="7"/>
  <c r="AI10" i="7"/>
  <c r="Y10" i="7" s="1"/>
  <c r="E9" i="1"/>
  <c r="C68" i="4"/>
  <c r="V9" i="7"/>
  <c r="S9" i="7"/>
  <c r="D10" i="1"/>
  <c r="R9" i="7"/>
  <c r="E9" i="7"/>
  <c r="D9" i="1"/>
  <c r="D11" i="1"/>
  <c r="B13" i="9" s="1"/>
  <c r="F9" i="7"/>
  <c r="U9" i="7"/>
  <c r="AE9" i="7"/>
  <c r="B68" i="4"/>
  <c r="E29" i="8"/>
  <c r="F29" i="8"/>
  <c r="E30" i="8"/>
  <c r="F30" i="8" s="1"/>
  <c r="E31" i="8"/>
  <c r="F31" i="8" s="1"/>
  <c r="E32" i="8"/>
  <c r="F32" i="8" s="1"/>
  <c r="E33" i="8"/>
  <c r="F33" i="8" s="1"/>
  <c r="E34" i="8"/>
  <c r="F34" i="8" s="1"/>
  <c r="E35" i="8"/>
  <c r="F35" i="8" s="1"/>
  <c r="E36" i="8"/>
  <c r="F36" i="8" s="1"/>
  <c r="E37" i="8"/>
  <c r="F37" i="8" s="1"/>
  <c r="E38" i="8"/>
  <c r="F38" i="8" s="1"/>
  <c r="E39" i="8"/>
  <c r="F39" i="8" s="1"/>
  <c r="AK8" i="7"/>
  <c r="O8" i="7"/>
  <c r="U7" i="7"/>
  <c r="B11" i="1"/>
  <c r="E7" i="7"/>
  <c r="AE7" i="7"/>
  <c r="AP7" i="7"/>
  <c r="Y7" i="7"/>
  <c r="F7" i="7"/>
  <c r="R7" i="7"/>
  <c r="B9" i="1"/>
  <c r="C8" i="9" s="1"/>
  <c r="D8" i="9" s="1"/>
  <c r="I7" i="7"/>
  <c r="V7" i="7"/>
  <c r="E7" i="8"/>
  <c r="F7" i="8"/>
  <c r="E8" i="8"/>
  <c r="F8" i="8" s="1"/>
  <c r="E9" i="8"/>
  <c r="F9" i="8" s="1"/>
  <c r="E10" i="8"/>
  <c r="F10" i="8" s="1"/>
  <c r="E11" i="8"/>
  <c r="F11" i="8" s="1"/>
  <c r="E12" i="8"/>
  <c r="F12" i="8" s="1"/>
  <c r="E13" i="8"/>
  <c r="F13" i="8" s="1"/>
  <c r="E14" i="8"/>
  <c r="F14" i="8" s="1"/>
  <c r="E15" i="8"/>
  <c r="F15" i="8" s="1"/>
  <c r="E16" i="8"/>
  <c r="F16" i="8" s="1"/>
  <c r="E17" i="8"/>
  <c r="F17" i="8" s="1"/>
  <c r="B10" i="1"/>
  <c r="G7" i="7"/>
  <c r="N7" i="7"/>
  <c r="S7" i="7"/>
  <c r="Z387" i="7"/>
  <c r="AC387" i="7"/>
  <c r="AI387" i="7"/>
  <c r="AO387" i="7"/>
  <c r="AP387" i="7"/>
  <c r="AP145" i="7"/>
  <c r="AO145" i="7"/>
  <c r="AI145" i="7"/>
  <c r="AC145" i="7"/>
  <c r="Z145" i="7"/>
  <c r="Y145" i="7"/>
  <c r="N145" i="7"/>
  <c r="E228" i="8"/>
  <c r="F228" i="8" s="1"/>
  <c r="AP27" i="7"/>
  <c r="E230" i="8"/>
  <c r="F230" i="8" s="1"/>
  <c r="G27" i="7"/>
  <c r="P27" i="7" s="1"/>
  <c r="E229" i="8"/>
  <c r="F229" i="8" s="1"/>
  <c r="E231" i="8"/>
  <c r="F231" i="8" s="1"/>
  <c r="E236" i="8"/>
  <c r="F236" i="8" s="1"/>
  <c r="AC27" i="7"/>
  <c r="Z27" i="7"/>
  <c r="E237" i="8"/>
  <c r="F237" i="8" s="1"/>
  <c r="E235" i="8"/>
  <c r="F235" i="8" s="1"/>
  <c r="H27" i="7"/>
  <c r="N27" i="7"/>
  <c r="AO8" i="7"/>
  <c r="AC8" i="7"/>
  <c r="Y8" i="7"/>
  <c r="E20" i="8"/>
  <c r="F20" i="8" s="1"/>
  <c r="AP8" i="7"/>
  <c r="E28" i="8"/>
  <c r="F28" i="8" s="1"/>
  <c r="Z8" i="7"/>
  <c r="E25" i="8"/>
  <c r="F25" i="8" s="1"/>
  <c r="E23" i="8"/>
  <c r="F23" i="8" s="1"/>
  <c r="E24" i="8"/>
  <c r="F24" i="8" s="1"/>
  <c r="E26" i="8"/>
  <c r="F26" i="8" s="1"/>
  <c r="P8" i="7"/>
  <c r="AI8" i="7"/>
  <c r="E22" i="8"/>
  <c r="F22" i="8" s="1"/>
  <c r="E27" i="8"/>
  <c r="F27" i="8" s="1"/>
  <c r="E19" i="8"/>
  <c r="F19" i="8" s="1"/>
  <c r="G8" i="7"/>
  <c r="E21" i="8"/>
  <c r="F21" i="8" s="1"/>
  <c r="N8" i="7"/>
  <c r="I8" i="7"/>
  <c r="AP381" i="7" l="1"/>
  <c r="AO381" i="7"/>
  <c r="AP352" i="7"/>
  <c r="AO352" i="7"/>
  <c r="AI352" i="7"/>
  <c r="AC352" i="7"/>
  <c r="Z352" i="7"/>
  <c r="Y352" i="7"/>
  <c r="N352" i="7"/>
  <c r="P24" i="7"/>
  <c r="O289" i="7"/>
  <c r="AK289" i="7"/>
  <c r="AK288" i="7"/>
  <c r="O288" i="7"/>
  <c r="AK287" i="7"/>
  <c r="O287" i="7"/>
  <c r="O286" i="7"/>
  <c r="AK286" i="7"/>
  <c r="AK283" i="7"/>
  <c r="O283" i="7"/>
  <c r="O282" i="7"/>
  <c r="AK282" i="7"/>
  <c r="AK281" i="7"/>
  <c r="O281" i="7"/>
  <c r="O275" i="7"/>
  <c r="AK275" i="7"/>
  <c r="AK274" i="7"/>
  <c r="O274" i="7"/>
  <c r="O263" i="7"/>
  <c r="AK263" i="7"/>
  <c r="N262" i="7"/>
  <c r="Y262" i="7"/>
  <c r="Z262" i="7"/>
  <c r="AC262" i="7"/>
  <c r="AI262" i="7"/>
  <c r="AO262" i="7"/>
  <c r="AP262" i="7"/>
  <c r="O262" i="7"/>
  <c r="AK262" i="7"/>
  <c r="N261" i="7"/>
  <c r="Y261" i="7"/>
  <c r="AK261" i="7"/>
  <c r="AC261" i="7"/>
  <c r="AI261" i="7"/>
  <c r="AO261" i="7"/>
  <c r="AP261" i="7"/>
  <c r="Z261" i="7"/>
  <c r="O261" i="7"/>
  <c r="O260" i="7"/>
  <c r="AK260" i="7"/>
  <c r="AO259" i="7"/>
  <c r="AP259" i="7"/>
  <c r="Z259" i="7"/>
  <c r="N259" i="7"/>
  <c r="Y259" i="7"/>
  <c r="AC259" i="7"/>
  <c r="AI259" i="7"/>
  <c r="O259" i="7"/>
  <c r="AK259" i="7"/>
  <c r="AC258" i="7"/>
  <c r="AK258" i="7"/>
  <c r="O258" i="7"/>
  <c r="Y258" i="7"/>
  <c r="N258" i="7"/>
  <c r="Z258" i="7"/>
  <c r="AP258" i="7"/>
  <c r="AO258" i="7"/>
  <c r="AI258" i="7"/>
  <c r="O257" i="7"/>
  <c r="AC257" i="7"/>
  <c r="AP257" i="7"/>
  <c r="AO257" i="7"/>
  <c r="AI257" i="7"/>
  <c r="Z257" i="7"/>
  <c r="Y257" i="7"/>
  <c r="N257" i="7"/>
  <c r="AK257" i="7"/>
  <c r="AK256" i="7"/>
  <c r="O256" i="7"/>
  <c r="Y243" i="7"/>
  <c r="Z243" i="7"/>
  <c r="AO243" i="7"/>
  <c r="AC243" i="7"/>
  <c r="AI243" i="7"/>
  <c r="AP243" i="7"/>
  <c r="N243" i="7"/>
  <c r="N232" i="7"/>
  <c r="AO232" i="7"/>
  <c r="AI232" i="7"/>
  <c r="Y232" i="7"/>
  <c r="Z232" i="7"/>
  <c r="AP232" i="7"/>
  <c r="AC232" i="7"/>
  <c r="AP231" i="7"/>
  <c r="Z231" i="7"/>
  <c r="N231" i="7"/>
  <c r="Y231" i="7"/>
  <c r="AC231" i="7"/>
  <c r="AI231" i="7"/>
  <c r="AO231" i="7"/>
  <c r="AO229" i="7"/>
  <c r="AC229" i="7"/>
  <c r="AI229" i="7"/>
  <c r="Y229" i="7"/>
  <c r="AI228" i="7"/>
  <c r="AO228" i="7"/>
  <c r="N228" i="7"/>
  <c r="AC228" i="7"/>
  <c r="AP228" i="7"/>
  <c r="AO139" i="7"/>
  <c r="AP139" i="7"/>
  <c r="N139" i="7"/>
  <c r="Y139" i="7"/>
  <c r="O125" i="7"/>
  <c r="AK125" i="7"/>
  <c r="O124" i="7"/>
  <c r="AK124" i="7"/>
  <c r="O123" i="7"/>
  <c r="AK123" i="7"/>
  <c r="O122" i="7"/>
  <c r="AK122" i="7"/>
  <c r="AK121" i="7"/>
  <c r="O121" i="7"/>
  <c r="AK120" i="7"/>
  <c r="O120" i="7"/>
  <c r="O119" i="7"/>
  <c r="AK119" i="7"/>
  <c r="O118" i="7"/>
  <c r="AK118" i="7"/>
  <c r="O117" i="7"/>
  <c r="AK117" i="7"/>
  <c r="AK116" i="7"/>
  <c r="O116" i="7"/>
  <c r="O115" i="7"/>
  <c r="AK115" i="7"/>
  <c r="O114" i="7"/>
  <c r="AK114" i="7"/>
  <c r="O113" i="7"/>
  <c r="AK113" i="7"/>
  <c r="O112" i="7"/>
  <c r="AK112" i="7"/>
  <c r="O111" i="7"/>
  <c r="AK111" i="7"/>
  <c r="O110" i="7"/>
  <c r="AK110" i="7"/>
  <c r="O109" i="7"/>
  <c r="AK109" i="7"/>
  <c r="O108" i="7"/>
  <c r="AK108" i="7"/>
  <c r="O107" i="7"/>
  <c r="AK107" i="7"/>
  <c r="Y106" i="7"/>
  <c r="Z106" i="7"/>
  <c r="AI106" i="7"/>
  <c r="N106" i="7"/>
  <c r="AC106" i="7"/>
  <c r="AO106" i="7"/>
  <c r="AP106" i="7"/>
  <c r="O106" i="7"/>
  <c r="AK106" i="7"/>
  <c r="AO82" i="7"/>
  <c r="AP82" i="7"/>
  <c r="N82" i="7"/>
  <c r="AI82" i="7"/>
  <c r="AC82" i="7"/>
  <c r="Z82" i="7"/>
  <c r="Y82" i="7"/>
  <c r="Z224" i="7"/>
  <c r="AI224" i="7"/>
  <c r="AO224" i="7"/>
  <c r="N224" i="7"/>
  <c r="Y224" i="7"/>
  <c r="AC224" i="7"/>
  <c r="AP224" i="7"/>
  <c r="AC158" i="7"/>
  <c r="N158" i="7"/>
  <c r="Y158" i="7"/>
  <c r="Z158" i="7"/>
  <c r="AI158" i="7"/>
  <c r="AO158" i="7"/>
  <c r="AP158" i="7"/>
  <c r="G22" i="7"/>
  <c r="Y22" i="7"/>
  <c r="N22" i="7"/>
  <c r="AO22" i="7"/>
  <c r="I22" i="7"/>
  <c r="E75" i="8"/>
  <c r="F75" i="8" s="1"/>
  <c r="E74" i="8"/>
  <c r="F74" i="8" s="1"/>
  <c r="AO7" i="7"/>
  <c r="Z7" i="7"/>
  <c r="H7" i="7"/>
  <c r="P7" i="7" s="1"/>
  <c r="P30" i="7"/>
  <c r="P29" i="7"/>
  <c r="P28" i="7"/>
  <c r="N371" i="7"/>
  <c r="Y371" i="7"/>
  <c r="Z371" i="7"/>
  <c r="AC371" i="7"/>
  <c r="AI371" i="7"/>
  <c r="AO371" i="7"/>
  <c r="AP371" i="7"/>
  <c r="AP19" i="7"/>
  <c r="AC19" i="7"/>
  <c r="Y19" i="7"/>
  <c r="I19" i="7"/>
  <c r="AO19" i="7"/>
  <c r="E130" i="8"/>
  <c r="F130" i="8" s="1"/>
  <c r="I18" i="7"/>
  <c r="E129" i="8"/>
  <c r="F129" i="8" s="1"/>
  <c r="AC18" i="7"/>
  <c r="AO15" i="7"/>
  <c r="N15" i="7"/>
  <c r="Y15" i="7"/>
  <c r="H15" i="7"/>
  <c r="P15" i="7" s="1"/>
  <c r="AC15" i="7"/>
  <c r="AC14" i="7"/>
  <c r="I14" i="7"/>
  <c r="P14" i="7" s="1"/>
  <c r="AC13" i="7"/>
  <c r="Y13" i="7"/>
  <c r="N9" i="7"/>
  <c r="I9" i="7"/>
  <c r="AI7" i="7"/>
  <c r="Q7" i="7" s="1"/>
  <c r="AC7" i="7"/>
  <c r="O406" i="7"/>
  <c r="AK406" i="7"/>
  <c r="O405" i="7"/>
  <c r="AK405" i="7"/>
  <c r="O404" i="7"/>
  <c r="AK404" i="7"/>
  <c r="O403" i="7"/>
  <c r="AK403" i="7"/>
  <c r="O402" i="7"/>
  <c r="AK402" i="7"/>
  <c r="O401" i="7"/>
  <c r="AK401" i="7"/>
  <c r="O400" i="7"/>
  <c r="AK400" i="7"/>
  <c r="O399" i="7"/>
  <c r="AK399" i="7"/>
  <c r="O376" i="7"/>
  <c r="AK376" i="7"/>
  <c r="O375" i="7"/>
  <c r="AK375" i="7"/>
  <c r="O374" i="7"/>
  <c r="AK374" i="7"/>
  <c r="O373" i="7"/>
  <c r="AK373" i="7"/>
  <c r="O372" i="7"/>
  <c r="AK372" i="7"/>
  <c r="O371" i="7"/>
  <c r="AK371" i="7"/>
  <c r="O370" i="7"/>
  <c r="AK370" i="7"/>
  <c r="O369" i="7"/>
  <c r="AK369" i="7"/>
  <c r="O368" i="7"/>
  <c r="AK368" i="7"/>
  <c r="O367" i="7"/>
  <c r="AK367" i="7"/>
  <c r="O366" i="7"/>
  <c r="AK366" i="7"/>
  <c r="O365" i="7"/>
  <c r="AK365" i="7"/>
  <c r="O364" i="7"/>
  <c r="AK364" i="7"/>
  <c r="O363" i="7"/>
  <c r="AK363" i="7"/>
  <c r="O362" i="7"/>
  <c r="AK362" i="7"/>
  <c r="O346" i="7"/>
  <c r="AK346" i="7"/>
  <c r="O345" i="7"/>
  <c r="AK345" i="7"/>
  <c r="O344" i="7"/>
  <c r="AK344" i="7"/>
  <c r="O343" i="7"/>
  <c r="AK343" i="7"/>
  <c r="O342" i="7"/>
  <c r="AK342" i="7"/>
  <c r="O341" i="7"/>
  <c r="AK341" i="7"/>
  <c r="O340" i="7"/>
  <c r="AK340" i="7"/>
  <c r="O339" i="7"/>
  <c r="AK339" i="7"/>
  <c r="O338" i="7"/>
  <c r="AK338" i="7"/>
  <c r="O337" i="7"/>
  <c r="AK337" i="7"/>
  <c r="O336" i="7"/>
  <c r="AK336" i="7"/>
  <c r="O335" i="7"/>
  <c r="AK335" i="7"/>
  <c r="O334" i="7"/>
  <c r="AK334" i="7"/>
  <c r="O333" i="7"/>
  <c r="AK333" i="7"/>
  <c r="O332" i="7"/>
  <c r="AK332" i="7"/>
  <c r="O331" i="7"/>
  <c r="AK331" i="7"/>
  <c r="O330" i="7"/>
  <c r="AK330" i="7"/>
  <c r="O329" i="7"/>
  <c r="AK329" i="7"/>
  <c r="O328" i="7"/>
  <c r="AK328" i="7"/>
  <c r="O327" i="7"/>
  <c r="AK327" i="7"/>
  <c r="O326" i="7"/>
  <c r="AK326" i="7"/>
  <c r="O316" i="7"/>
  <c r="AK316" i="7"/>
  <c r="O315" i="7"/>
  <c r="AK315" i="7"/>
  <c r="O314" i="7"/>
  <c r="AK314" i="7"/>
  <c r="O313" i="7"/>
  <c r="AK313" i="7"/>
  <c r="O312" i="7"/>
  <c r="AK312" i="7"/>
  <c r="O311" i="7"/>
  <c r="AK311" i="7"/>
  <c r="O310" i="7"/>
  <c r="AK310" i="7"/>
  <c r="O309" i="7"/>
  <c r="AK309" i="7"/>
  <c r="O308" i="7"/>
  <c r="AK308" i="7"/>
  <c r="O307" i="7"/>
  <c r="AK307" i="7"/>
  <c r="O306" i="7"/>
  <c r="AK306" i="7"/>
  <c r="O305" i="7"/>
  <c r="AK305" i="7"/>
  <c r="O304" i="7"/>
  <c r="AK304" i="7"/>
  <c r="O303" i="7"/>
  <c r="AK303" i="7"/>
  <c r="O302" i="7"/>
  <c r="AK302" i="7"/>
  <c r="O301" i="7"/>
  <c r="AK301" i="7"/>
  <c r="O300" i="7"/>
  <c r="AK300" i="7"/>
  <c r="O299" i="7"/>
  <c r="AK299" i="7"/>
  <c r="O298" i="7"/>
  <c r="AK298" i="7"/>
  <c r="O297" i="7"/>
  <c r="AK297" i="7"/>
  <c r="O296" i="7"/>
  <c r="AK296" i="7"/>
  <c r="O295" i="7"/>
  <c r="AK295" i="7"/>
  <c r="O294" i="7"/>
  <c r="AK294" i="7"/>
  <c r="AK293" i="7"/>
  <c r="O293" i="7"/>
  <c r="O292" i="7"/>
  <c r="AK292" i="7"/>
  <c r="O291" i="7"/>
  <c r="AK291" i="7"/>
  <c r="O290" i="7"/>
  <c r="AK290" i="7"/>
  <c r="O285" i="7"/>
  <c r="AK285" i="7"/>
  <c r="O284" i="7"/>
  <c r="AK284" i="7"/>
  <c r="O255" i="7"/>
  <c r="AK255" i="7"/>
  <c r="O254" i="7"/>
  <c r="AK254" i="7"/>
  <c r="O253" i="7"/>
  <c r="AK253" i="7"/>
  <c r="O252" i="7"/>
  <c r="AK252" i="7"/>
  <c r="O251" i="7"/>
  <c r="AK251" i="7"/>
  <c r="O250" i="7"/>
  <c r="AK250" i="7"/>
  <c r="O249" i="7"/>
  <c r="AK249" i="7"/>
  <c r="O248" i="7"/>
  <c r="AK248" i="7"/>
  <c r="O247" i="7"/>
  <c r="AK247" i="7"/>
  <c r="O246" i="7"/>
  <c r="AK246" i="7"/>
  <c r="O245" i="7"/>
  <c r="AK245" i="7"/>
  <c r="O244" i="7"/>
  <c r="AK244" i="7"/>
  <c r="O224" i="7"/>
  <c r="AK224" i="7"/>
  <c r="O223" i="7"/>
  <c r="AK223" i="7"/>
  <c r="O222" i="7"/>
  <c r="AK222" i="7"/>
  <c r="O221" i="7"/>
  <c r="AK221" i="7"/>
  <c r="O220" i="7"/>
  <c r="AK220" i="7"/>
  <c r="O219" i="7"/>
  <c r="AK219" i="7"/>
  <c r="O218" i="7"/>
  <c r="AK218" i="7"/>
  <c r="O217" i="7"/>
  <c r="AK217" i="7"/>
  <c r="O216" i="7"/>
  <c r="AK216" i="7"/>
  <c r="O215" i="7"/>
  <c r="AK215" i="7"/>
  <c r="O214" i="7"/>
  <c r="AK214" i="7"/>
  <c r="O213" i="7"/>
  <c r="AK213" i="7"/>
  <c r="O212" i="7"/>
  <c r="AK212" i="7"/>
  <c r="O211" i="7"/>
  <c r="AK211" i="7"/>
  <c r="O210" i="7"/>
  <c r="AK210" i="7"/>
  <c r="O209" i="7"/>
  <c r="AK209" i="7"/>
  <c r="O208" i="7"/>
  <c r="AK208" i="7"/>
  <c r="O207" i="7"/>
  <c r="AK207" i="7"/>
  <c r="O194" i="7"/>
  <c r="AK194" i="7"/>
  <c r="O193" i="7"/>
  <c r="AK193" i="7"/>
  <c r="O192" i="7"/>
  <c r="AK192" i="7"/>
  <c r="O191" i="7"/>
  <c r="AK191" i="7"/>
  <c r="O190" i="7"/>
  <c r="AK190" i="7"/>
  <c r="O189" i="7"/>
  <c r="AK189" i="7"/>
  <c r="O188" i="7"/>
  <c r="AK188" i="7"/>
  <c r="O187" i="7"/>
  <c r="AK187" i="7"/>
  <c r="O186" i="7"/>
  <c r="AK186" i="7"/>
  <c r="O185" i="7"/>
  <c r="AK185" i="7"/>
  <c r="O184" i="7"/>
  <c r="AK184" i="7"/>
  <c r="O183" i="7"/>
  <c r="AK183" i="7"/>
  <c r="O182" i="7"/>
  <c r="AK182" i="7"/>
  <c r="O181" i="7"/>
  <c r="AK181" i="7"/>
  <c r="O180" i="7"/>
  <c r="AK180" i="7"/>
  <c r="O179" i="7"/>
  <c r="AK179" i="7"/>
  <c r="O178" i="7"/>
  <c r="AK178" i="7"/>
  <c r="O177" i="7"/>
  <c r="AK177" i="7"/>
  <c r="O176" i="7"/>
  <c r="AK176" i="7"/>
  <c r="O175" i="7"/>
  <c r="AK175" i="7"/>
  <c r="O164" i="7"/>
  <c r="AK164" i="7"/>
  <c r="O163" i="7"/>
  <c r="AK163" i="7"/>
  <c r="O162" i="7"/>
  <c r="AK162" i="7"/>
  <c r="O161" i="7"/>
  <c r="AK161" i="7"/>
  <c r="O160" i="7"/>
  <c r="AK160" i="7"/>
  <c r="O159" i="7"/>
  <c r="AK159" i="7"/>
  <c r="O158" i="7"/>
  <c r="AK158" i="7"/>
  <c r="O157" i="7"/>
  <c r="AK157" i="7"/>
  <c r="O156" i="7"/>
  <c r="AK156" i="7"/>
  <c r="O155" i="7"/>
  <c r="AK155" i="7"/>
  <c r="O154" i="7"/>
  <c r="AK154" i="7"/>
  <c r="O153" i="7"/>
  <c r="AK153" i="7"/>
  <c r="O152" i="7"/>
  <c r="AK152" i="7"/>
  <c r="O151" i="7"/>
  <c r="AK151" i="7"/>
  <c r="O150" i="7"/>
  <c r="AK150" i="7"/>
  <c r="O149" i="7"/>
  <c r="AK149" i="7"/>
  <c r="O148" i="7"/>
  <c r="AK148" i="7"/>
  <c r="O147" i="7"/>
  <c r="AK147" i="7"/>
  <c r="O146" i="7"/>
  <c r="AK146" i="7"/>
  <c r="O133" i="7"/>
  <c r="AK133" i="7"/>
  <c r="O132" i="7"/>
  <c r="AK132" i="7"/>
  <c r="O131" i="7"/>
  <c r="AK131" i="7"/>
  <c r="O130" i="7"/>
  <c r="AK130" i="7"/>
  <c r="O129" i="7"/>
  <c r="AK129" i="7"/>
  <c r="O128" i="7"/>
  <c r="AK128" i="7"/>
  <c r="O127" i="7"/>
  <c r="AK127" i="7"/>
  <c r="O126" i="7"/>
  <c r="AK126" i="7"/>
  <c r="O103" i="7"/>
  <c r="AK103" i="7"/>
  <c r="O102" i="7"/>
  <c r="AK102" i="7"/>
  <c r="O101" i="7"/>
  <c r="AK101" i="7"/>
  <c r="O100" i="7"/>
  <c r="AK100" i="7"/>
  <c r="O99" i="7"/>
  <c r="AK99" i="7"/>
  <c r="O98" i="7"/>
  <c r="AK98" i="7"/>
  <c r="O97" i="7"/>
  <c r="AK97" i="7"/>
  <c r="O96" i="7"/>
  <c r="AK96" i="7"/>
  <c r="O95" i="7"/>
  <c r="AK95" i="7"/>
  <c r="O94" i="7"/>
  <c r="AK94" i="7"/>
  <c r="O93" i="7"/>
  <c r="AK93" i="7"/>
  <c r="O92" i="7"/>
  <c r="AK92" i="7"/>
  <c r="O91" i="7"/>
  <c r="AK91" i="7"/>
  <c r="O90" i="7"/>
  <c r="AK90" i="7"/>
  <c r="O89" i="7"/>
  <c r="AK89" i="7"/>
  <c r="O88" i="7"/>
  <c r="AK88" i="7"/>
  <c r="O87" i="7"/>
  <c r="AK87" i="7"/>
  <c r="O72" i="7"/>
  <c r="AK72" i="7"/>
  <c r="O71" i="7"/>
  <c r="AK71" i="7"/>
  <c r="O70" i="7"/>
  <c r="AK70" i="7"/>
  <c r="O69" i="7"/>
  <c r="AK69" i="7"/>
  <c r="O68" i="7"/>
  <c r="AK68" i="7"/>
  <c r="O67" i="7"/>
  <c r="AK67" i="7"/>
  <c r="O66" i="7"/>
  <c r="AK66" i="7"/>
  <c r="O65" i="7"/>
  <c r="AK65" i="7"/>
  <c r="O64" i="7"/>
  <c r="AK64" i="7"/>
  <c r="O63" i="7"/>
  <c r="AK63" i="7"/>
  <c r="O62" i="7"/>
  <c r="AK62" i="7"/>
  <c r="O61" i="7"/>
  <c r="AK61" i="7"/>
  <c r="O60" i="7"/>
  <c r="AK60" i="7"/>
  <c r="O59" i="7"/>
  <c r="AK59" i="7"/>
  <c r="O58" i="7"/>
  <c r="AK58" i="7"/>
  <c r="O57" i="7"/>
  <c r="AK57" i="7"/>
  <c r="O56" i="7"/>
  <c r="AK56" i="7"/>
  <c r="O55" i="7"/>
  <c r="AK55" i="7"/>
  <c r="O54" i="7"/>
  <c r="AK54" i="7"/>
  <c r="O53" i="7"/>
  <c r="AK53" i="7"/>
  <c r="O52" i="7"/>
  <c r="AK52" i="7"/>
  <c r="O51" i="7"/>
  <c r="AK51" i="7"/>
  <c r="O50" i="7"/>
  <c r="AK50" i="7"/>
  <c r="O49" i="7"/>
  <c r="AK49" i="7"/>
  <c r="O48" i="7"/>
  <c r="AK48" i="7"/>
  <c r="O47" i="7"/>
  <c r="AK47" i="7"/>
  <c r="O46" i="7"/>
  <c r="AK46" i="7"/>
  <c r="O45" i="7"/>
  <c r="AK45" i="7"/>
  <c r="O44" i="7"/>
  <c r="AK44" i="7"/>
  <c r="O43" i="7"/>
  <c r="AK43" i="7"/>
  <c r="O42" i="7"/>
  <c r="AK42" i="7"/>
  <c r="O41" i="7"/>
  <c r="AK41" i="7"/>
  <c r="O40" i="7"/>
  <c r="AK40" i="7"/>
  <c r="O39" i="7"/>
  <c r="AK39" i="7"/>
  <c r="O38" i="7"/>
  <c r="AK38" i="7"/>
  <c r="O37" i="7"/>
  <c r="AK37" i="7"/>
  <c r="O36" i="7"/>
  <c r="AK36" i="7"/>
  <c r="O35" i="7"/>
  <c r="AK35" i="7"/>
  <c r="O34" i="7"/>
  <c r="AK34" i="7"/>
  <c r="O33" i="7"/>
  <c r="AK33" i="7"/>
  <c r="AK32" i="7"/>
  <c r="O32" i="7"/>
  <c r="O31" i="7"/>
  <c r="AK31" i="7"/>
  <c r="O30" i="7"/>
  <c r="AK30" i="7"/>
  <c r="AK29" i="7"/>
  <c r="O29" i="7"/>
  <c r="O28" i="7"/>
  <c r="AK28" i="7"/>
  <c r="AK26" i="7"/>
  <c r="O26" i="7"/>
  <c r="O25" i="7"/>
  <c r="AK25" i="7"/>
  <c r="O24" i="7"/>
  <c r="AK24" i="7"/>
  <c r="AK23" i="7"/>
  <c r="O23" i="7"/>
  <c r="AK22" i="7"/>
  <c r="O22" i="7"/>
  <c r="O21" i="7"/>
  <c r="AK21" i="7"/>
  <c r="AK20" i="7"/>
  <c r="O20" i="7"/>
  <c r="O19" i="7"/>
  <c r="AK19" i="7"/>
  <c r="AB18" i="7"/>
  <c r="AK18" i="7"/>
  <c r="O18" i="7"/>
  <c r="O17" i="7"/>
  <c r="AK17" i="7"/>
  <c r="AK16" i="7"/>
  <c r="O16" i="7"/>
  <c r="O15" i="7"/>
  <c r="AK15" i="7"/>
  <c r="AB14" i="7"/>
  <c r="AK14" i="7"/>
  <c r="O14" i="7"/>
  <c r="O13" i="7"/>
  <c r="AK13" i="7"/>
  <c r="O12" i="7"/>
  <c r="AK12" i="7"/>
  <c r="AK11" i="7"/>
  <c r="O11" i="7"/>
  <c r="AB10" i="7"/>
  <c r="AK10" i="7"/>
  <c r="O10" i="7"/>
  <c r="C60" i="4"/>
  <c r="C14" i="9"/>
  <c r="D14" i="9" s="1"/>
  <c r="C67" i="4"/>
  <c r="E22" i="1" s="1"/>
  <c r="AB9" i="7"/>
  <c r="O9" i="7"/>
  <c r="AK9" i="7"/>
  <c r="C13" i="9"/>
  <c r="D13" i="9" s="1"/>
  <c r="B60" i="4"/>
  <c r="B67" i="4"/>
  <c r="D22" i="1" s="1"/>
  <c r="AK7" i="7"/>
  <c r="O7" i="7"/>
  <c r="L234" i="8"/>
  <c r="J234" i="8"/>
  <c r="R233" i="8"/>
  <c r="L233" i="8"/>
  <c r="R232" i="8"/>
  <c r="M232" i="8"/>
  <c r="J232" i="8"/>
  <c r="T231" i="8"/>
  <c r="W27" i="7"/>
  <c r="T233" i="8"/>
  <c r="I231" i="8"/>
  <c r="Q27" i="7"/>
  <c r="J227" i="8"/>
  <c r="S227" i="8"/>
  <c r="I228" i="8"/>
  <c r="K228" i="8"/>
  <c r="K229" i="8"/>
  <c r="M229" i="8"/>
  <c r="R229" i="8"/>
  <c r="T229" i="8"/>
  <c r="K230" i="8"/>
  <c r="J27" i="7"/>
  <c r="S237" i="8"/>
  <c r="K237" i="8"/>
  <c r="T236" i="8"/>
  <c r="R236" i="8"/>
  <c r="L236" i="8"/>
  <c r="R235" i="8"/>
  <c r="M235" i="8"/>
  <c r="K235" i="8"/>
  <c r="I235" i="8"/>
  <c r="S234" i="8"/>
  <c r="AA27" i="7"/>
  <c r="L27" i="7" s="1"/>
  <c r="K234" i="8"/>
  <c r="K233" i="8"/>
  <c r="I233" i="8"/>
  <c r="S232" i="8"/>
  <c r="L232" i="8"/>
  <c r="K232" i="8"/>
  <c r="I232" i="8"/>
  <c r="S231" i="8"/>
  <c r="M27" i="7"/>
  <c r="L231" i="8"/>
  <c r="K231" i="8"/>
  <c r="K227" i="8"/>
  <c r="M227" i="8"/>
  <c r="R227" i="8"/>
  <c r="T227" i="8"/>
  <c r="L228" i="8"/>
  <c r="R228" i="8"/>
  <c r="S228" i="8"/>
  <c r="I229" i="8"/>
  <c r="L229" i="8"/>
  <c r="S229" i="8"/>
  <c r="I230" i="8"/>
  <c r="L230" i="8"/>
  <c r="R230" i="8"/>
  <c r="T237" i="8"/>
  <c r="L237" i="8"/>
  <c r="I237" i="8"/>
  <c r="M236" i="8"/>
  <c r="K236" i="8"/>
  <c r="I236" i="8"/>
  <c r="S235" i="8"/>
  <c r="T234" i="8"/>
  <c r="R234" i="8"/>
  <c r="K27" i="7"/>
  <c r="M234" i="8"/>
  <c r="I234" i="8"/>
  <c r="S233" i="8"/>
  <c r="M233" i="8"/>
  <c r="J233" i="8"/>
  <c r="T232" i="8"/>
  <c r="R231" i="8"/>
  <c r="M231" i="8"/>
  <c r="J231" i="8"/>
  <c r="X27" i="7"/>
  <c r="I227" i="8"/>
  <c r="L227" i="8"/>
  <c r="J228" i="8"/>
  <c r="M228" i="8"/>
  <c r="T228" i="8"/>
  <c r="J229" i="8"/>
  <c r="J230" i="8"/>
  <c r="M230" i="8"/>
  <c r="S230" i="8"/>
  <c r="T230" i="8"/>
  <c r="R237" i="8"/>
  <c r="M237" i="8"/>
  <c r="J237" i="8"/>
  <c r="S236" i="8"/>
  <c r="J236" i="8"/>
  <c r="T235" i="8"/>
  <c r="L235" i="8"/>
  <c r="J235" i="8"/>
  <c r="R24" i="8"/>
  <c r="M21" i="8"/>
  <c r="R21" i="8"/>
  <c r="L22" i="8"/>
  <c r="M26" i="8"/>
  <c r="J23" i="8"/>
  <c r="I24" i="8"/>
  <c r="L27" i="8"/>
  <c r="I20" i="8"/>
  <c r="R25" i="8"/>
  <c r="I21" i="8"/>
  <c r="R22" i="8"/>
  <c r="M23" i="8"/>
  <c r="J27" i="8"/>
  <c r="J19" i="8"/>
  <c r="S18" i="8"/>
  <c r="J20" i="8"/>
  <c r="T20" i="8"/>
  <c r="I26" i="8"/>
  <c r="J21" i="8"/>
  <c r="S22" i="8"/>
  <c r="M24" i="8"/>
  <c r="T23" i="8"/>
  <c r="R27" i="8"/>
  <c r="I18" i="8"/>
  <c r="T18" i="8"/>
  <c r="T19" i="8"/>
  <c r="K20" i="8"/>
  <c r="S20" i="8"/>
  <c r="K25" i="8"/>
  <c r="S21" i="8"/>
  <c r="M22" i="8"/>
  <c r="T22" i="8"/>
  <c r="I27" i="8"/>
  <c r="L18" i="8"/>
  <c r="L25" i="8"/>
  <c r="L21" i="8"/>
  <c r="J22" i="8"/>
  <c r="L23" i="8"/>
  <c r="M28" i="8"/>
  <c r="K18" i="8"/>
  <c r="I19" i="8"/>
  <c r="S19" i="8"/>
  <c r="M20" i="8"/>
  <c r="X8" i="7"/>
  <c r="M25" i="8"/>
  <c r="S24" i="8"/>
  <c r="I22" i="8"/>
  <c r="AA8" i="7"/>
  <c r="L8" i="7" s="1"/>
  <c r="K23" i="8"/>
  <c r="I28" i="8"/>
  <c r="R26" i="8"/>
  <c r="K19" i="8"/>
  <c r="S25" i="8"/>
  <c r="I25" i="8"/>
  <c r="K22" i="8"/>
  <c r="W8" i="7"/>
  <c r="L24" i="8"/>
  <c r="R28" i="8"/>
  <c r="M27" i="8"/>
  <c r="T26" i="8"/>
  <c r="R20" i="8"/>
  <c r="J8" i="7"/>
  <c r="L26" i="8"/>
  <c r="S23" i="8"/>
  <c r="T28" i="8"/>
  <c r="K28" i="8"/>
  <c r="S27" i="8"/>
  <c r="R19" i="8"/>
  <c r="J25" i="8"/>
  <c r="Q8" i="7"/>
  <c r="S28" i="8"/>
  <c r="J28" i="8"/>
  <c r="T27" i="8"/>
  <c r="K27" i="8"/>
  <c r="S26" i="8"/>
  <c r="M18" i="8"/>
  <c r="M19" i="8"/>
  <c r="L20" i="8"/>
  <c r="J26" i="8"/>
  <c r="T25" i="8"/>
  <c r="K21" i="8"/>
  <c r="T21" i="8"/>
  <c r="M8" i="7"/>
  <c r="K24" i="8"/>
  <c r="L28" i="8"/>
  <c r="J18" i="8"/>
  <c r="L19" i="8"/>
  <c r="R23" i="8"/>
  <c r="K8" i="7"/>
  <c r="G27" i="8" s="1"/>
  <c r="K26" i="8"/>
  <c r="T24" i="8"/>
  <c r="I23" i="8"/>
  <c r="J24" i="8"/>
  <c r="Z296" i="7"/>
  <c r="Y296" i="7"/>
  <c r="N296" i="7"/>
  <c r="AC296" i="7"/>
  <c r="AO157" i="7"/>
  <c r="AC157" i="7"/>
  <c r="AP157" i="7"/>
  <c r="Z157" i="7"/>
  <c r="AI157" i="7"/>
  <c r="AO26" i="7"/>
  <c r="H26" i="7"/>
  <c r="P26" i="7" s="1"/>
  <c r="N26" i="7"/>
  <c r="AP25" i="7"/>
  <c r="N25" i="7"/>
  <c r="AI25" i="7"/>
  <c r="Z25" i="7"/>
  <c r="H25" i="7"/>
  <c r="AO25" i="7"/>
  <c r="Y25" i="7"/>
  <c r="I25" i="7"/>
  <c r="P25" i="7" s="1"/>
  <c r="Y23" i="7"/>
  <c r="H23" i="7"/>
  <c r="G23" i="7"/>
  <c r="P23" i="7" s="1"/>
  <c r="AI23" i="7"/>
  <c r="AC23" i="7"/>
  <c r="Z22" i="7"/>
  <c r="E182" i="8"/>
  <c r="F182" i="8" s="1"/>
  <c r="E177" i="8"/>
  <c r="F177" i="8" s="1"/>
  <c r="E173" i="8"/>
  <c r="F173" i="8" s="1"/>
  <c r="AC22" i="7"/>
  <c r="E175" i="8"/>
  <c r="F175" i="8" s="1"/>
  <c r="E174" i="8"/>
  <c r="F174" i="8" s="1"/>
  <c r="AP22" i="7"/>
  <c r="E178" i="8"/>
  <c r="F178" i="8" s="1"/>
  <c r="E179" i="8"/>
  <c r="F179" i="8" s="1"/>
  <c r="E180" i="8"/>
  <c r="F180" i="8" s="1"/>
  <c r="E176" i="8"/>
  <c r="F176" i="8" s="1"/>
  <c r="E181" i="8"/>
  <c r="F181" i="8" s="1"/>
  <c r="H22" i="7"/>
  <c r="AI22" i="7"/>
  <c r="E164" i="8"/>
  <c r="F164" i="8" s="1"/>
  <c r="E165" i="8"/>
  <c r="F165" i="8" s="1"/>
  <c r="E166" i="8"/>
  <c r="F166" i="8" s="1"/>
  <c r="Y21" i="7"/>
  <c r="E169" i="8"/>
  <c r="F169" i="8" s="1"/>
  <c r="E170" i="8"/>
  <c r="F170" i="8" s="1"/>
  <c r="E171" i="8"/>
  <c r="F171" i="8" s="1"/>
  <c r="AI21" i="7"/>
  <c r="AP21" i="7"/>
  <c r="E167" i="8"/>
  <c r="F167" i="8" s="1"/>
  <c r="H21" i="7"/>
  <c r="AC21" i="7"/>
  <c r="I21" i="7"/>
  <c r="AO21" i="7"/>
  <c r="N21" i="7"/>
  <c r="Z21" i="7"/>
  <c r="E168" i="8"/>
  <c r="F168" i="8" s="1"/>
  <c r="E162" i="8"/>
  <c r="F162" i="8" s="1"/>
  <c r="E163" i="8"/>
  <c r="F163" i="8" s="1"/>
  <c r="G21" i="7"/>
  <c r="AC20" i="7"/>
  <c r="AP20" i="7"/>
  <c r="H20" i="7"/>
  <c r="AI20" i="7"/>
  <c r="N20" i="7"/>
  <c r="G20" i="7"/>
  <c r="P20" i="7" s="1"/>
  <c r="E151" i="8"/>
  <c r="F151" i="8" s="1"/>
  <c r="E152" i="8"/>
  <c r="F152" i="8" s="1"/>
  <c r="E153" i="8"/>
  <c r="F153" i="8" s="1"/>
  <c r="E154" i="8"/>
  <c r="F154" i="8" s="1"/>
  <c r="E155" i="8"/>
  <c r="F155" i="8" s="1"/>
  <c r="E156" i="8"/>
  <c r="F156" i="8" s="1"/>
  <c r="E157" i="8"/>
  <c r="F157" i="8" s="1"/>
  <c r="E158" i="8"/>
  <c r="F158" i="8" s="1"/>
  <c r="E159" i="8"/>
  <c r="F159" i="8" s="1"/>
  <c r="E160" i="8"/>
  <c r="F160" i="8" s="1"/>
  <c r="Y20" i="7"/>
  <c r="Z20" i="7"/>
  <c r="G19" i="7"/>
  <c r="N19" i="7"/>
  <c r="Z19" i="7"/>
  <c r="AI19" i="7"/>
  <c r="N18" i="7"/>
  <c r="AI18" i="7"/>
  <c r="G18" i="7"/>
  <c r="Y18" i="7"/>
  <c r="Z18" i="7" s="1"/>
  <c r="H18" i="7"/>
  <c r="Z17" i="7"/>
  <c r="G17" i="7"/>
  <c r="AC17" i="7"/>
  <c r="AI17" i="7"/>
  <c r="H17" i="7"/>
  <c r="AO17" i="7"/>
  <c r="AP17" i="7"/>
  <c r="E118" i="8"/>
  <c r="F118" i="8" s="1"/>
  <c r="E119" i="8"/>
  <c r="F119" i="8" s="1"/>
  <c r="E120" i="8"/>
  <c r="F120" i="8" s="1"/>
  <c r="E121" i="8"/>
  <c r="F121" i="8" s="1"/>
  <c r="E122" i="8"/>
  <c r="F122" i="8" s="1"/>
  <c r="E123" i="8"/>
  <c r="F123" i="8" s="1"/>
  <c r="E124" i="8"/>
  <c r="F124" i="8" s="1"/>
  <c r="E125" i="8"/>
  <c r="F125" i="8" s="1"/>
  <c r="E126" i="8"/>
  <c r="F126" i="8" s="1"/>
  <c r="E127" i="8"/>
  <c r="F127" i="8" s="1"/>
  <c r="N17" i="7"/>
  <c r="I17" i="7"/>
  <c r="AI16" i="7"/>
  <c r="H16" i="7"/>
  <c r="P16" i="7" s="1"/>
  <c r="E105" i="8"/>
  <c r="F105" i="8" s="1"/>
  <c r="E100" i="8"/>
  <c r="F100" i="8" s="1"/>
  <c r="I15" i="7"/>
  <c r="AP15" i="7"/>
  <c r="G15" i="7"/>
  <c r="Z15" i="7"/>
  <c r="AI15" i="7"/>
  <c r="E96" i="8"/>
  <c r="E97" i="8"/>
  <c r="F97" i="8" s="1"/>
  <c r="E98" i="8"/>
  <c r="F98" i="8" s="1"/>
  <c r="E99" i="8"/>
  <c r="F99" i="8" s="1"/>
  <c r="E101" i="8"/>
  <c r="F101" i="8" s="1"/>
  <c r="E102" i="8"/>
  <c r="F102" i="8" s="1"/>
  <c r="E103" i="8"/>
  <c r="F103" i="8" s="1"/>
  <c r="E104" i="8"/>
  <c r="F104" i="8" s="1"/>
  <c r="H14" i="7"/>
  <c r="N14" i="7"/>
  <c r="AI14" i="7"/>
  <c r="Y14" i="7" s="1"/>
  <c r="I13" i="7"/>
  <c r="H13" i="7"/>
  <c r="N13" i="7"/>
  <c r="Z13" i="7"/>
  <c r="AI13" i="7"/>
  <c r="AP13" i="7"/>
  <c r="G13" i="7"/>
  <c r="P13" i="7" s="1"/>
  <c r="AO13" i="7"/>
  <c r="E77" i="8"/>
  <c r="F77" i="8" s="1"/>
  <c r="E78" i="8"/>
  <c r="F78" i="8" s="1"/>
  <c r="E79" i="8"/>
  <c r="F79" i="8" s="1"/>
  <c r="E80" i="8"/>
  <c r="F80" i="8" s="1"/>
  <c r="E81" i="8"/>
  <c r="F81" i="8" s="1"/>
  <c r="E82" i="8"/>
  <c r="F82" i="8" s="1"/>
  <c r="E83" i="8"/>
  <c r="F83" i="8" s="1"/>
  <c r="AP12" i="7"/>
  <c r="N12" i="7"/>
  <c r="M72" i="8"/>
  <c r="X12" i="7"/>
  <c r="I62" i="8"/>
  <c r="M62" i="8"/>
  <c r="I64" i="8"/>
  <c r="L69" i="8"/>
  <c r="R69" i="8"/>
  <c r="L63" i="8"/>
  <c r="S63" i="8"/>
  <c r="T64" i="8"/>
  <c r="J65" i="8"/>
  <c r="L66" i="8"/>
  <c r="J67" i="8"/>
  <c r="R68" i="8"/>
  <c r="L72" i="8"/>
  <c r="T66" i="8"/>
  <c r="L67" i="8"/>
  <c r="L68" i="8"/>
  <c r="T68" i="8"/>
  <c r="M70" i="8"/>
  <c r="J72" i="8"/>
  <c r="S72" i="8"/>
  <c r="S70" i="8"/>
  <c r="I70" i="8"/>
  <c r="T71" i="8"/>
  <c r="I72" i="8"/>
  <c r="M12" i="7"/>
  <c r="M65" i="8"/>
  <c r="S67" i="8"/>
  <c r="R63" i="8"/>
  <c r="W12" i="7"/>
  <c r="M64" i="8"/>
  <c r="R65" i="8"/>
  <c r="S66" i="8"/>
  <c r="I67" i="8"/>
  <c r="J68" i="8"/>
  <c r="S69" i="8"/>
  <c r="R71" i="8"/>
  <c r="J62" i="8"/>
  <c r="T62" i="8"/>
  <c r="T70" i="8"/>
  <c r="I71" i="8"/>
  <c r="L64" i="8"/>
  <c r="T67" i="8"/>
  <c r="I69" i="8"/>
  <c r="T69" i="8"/>
  <c r="M71" i="8"/>
  <c r="S71" i="8"/>
  <c r="T72" i="8"/>
  <c r="T63" i="8"/>
  <c r="J64" i="8"/>
  <c r="J66" i="8"/>
  <c r="J69" i="8"/>
  <c r="L70" i="8"/>
  <c r="S62" i="8"/>
  <c r="I63" i="8"/>
  <c r="Q12" i="7"/>
  <c r="AA12" i="7"/>
  <c r="L12" i="7" s="1"/>
  <c r="J63" i="8"/>
  <c r="R64" i="8"/>
  <c r="L65" i="8"/>
  <c r="T65" i="8"/>
  <c r="I66" i="8"/>
  <c r="R66" i="8"/>
  <c r="R67" i="8"/>
  <c r="I68" i="8"/>
  <c r="M68" i="8"/>
  <c r="S68" i="8"/>
  <c r="L71" i="8"/>
  <c r="M66" i="8"/>
  <c r="J12" i="7"/>
  <c r="K12" i="7"/>
  <c r="G71" i="8"/>
  <c r="L62" i="8"/>
  <c r="M63" i="8"/>
  <c r="S64" i="8"/>
  <c r="I65" i="8"/>
  <c r="S65" i="8"/>
  <c r="M67" i="8"/>
  <c r="M69" i="8"/>
  <c r="J70" i="8"/>
  <c r="R70" i="8"/>
  <c r="J71" i="8"/>
  <c r="R72" i="8"/>
  <c r="G11" i="7"/>
  <c r="P11" i="7" s="1"/>
  <c r="Z11" i="7"/>
  <c r="N11" i="7"/>
  <c r="AC11" i="7"/>
  <c r="Y11" i="7"/>
  <c r="AP11" i="7"/>
  <c r="R58" i="8"/>
  <c r="T57" i="8"/>
  <c r="L57" i="8"/>
  <c r="J56" i="8"/>
  <c r="S53" i="8"/>
  <c r="M52" i="8"/>
  <c r="R51" i="8"/>
  <c r="M11" i="7"/>
  <c r="S59" i="8"/>
  <c r="R57" i="8"/>
  <c r="J57" i="8"/>
  <c r="T56" i="8"/>
  <c r="S52" i="8"/>
  <c r="X11" i="7"/>
  <c r="S61" i="8"/>
  <c r="R59" i="8"/>
  <c r="J58" i="8"/>
  <c r="S55" i="8"/>
  <c r="J53" i="8"/>
  <c r="J51" i="8"/>
  <c r="T60" i="8"/>
  <c r="T59" i="8"/>
  <c r="M58" i="8"/>
  <c r="R61" i="8"/>
  <c r="T58" i="8"/>
  <c r="I58" i="8"/>
  <c r="M56" i="8"/>
  <c r="M55" i="8"/>
  <c r="I55" i="8"/>
  <c r="R54" i="8"/>
  <c r="I54" i="8"/>
  <c r="T53" i="8"/>
  <c r="M53" i="8"/>
  <c r="K11" i="7"/>
  <c r="L61" i="8"/>
  <c r="J61" i="8"/>
  <c r="R60" i="8"/>
  <c r="I60" i="8"/>
  <c r="L59" i="8"/>
  <c r="S58" i="8"/>
  <c r="R56" i="8"/>
  <c r="L55" i="8"/>
  <c r="L53" i="8"/>
  <c r="I51" i="8"/>
  <c r="J59" i="8"/>
  <c r="M57" i="8"/>
  <c r="L51" i="8"/>
  <c r="Q11" i="7"/>
  <c r="J60" i="8"/>
  <c r="I59" i="8"/>
  <c r="R55" i="8"/>
  <c r="S54" i="8"/>
  <c r="J54" i="8"/>
  <c r="R53" i="8"/>
  <c r="I52" i="8"/>
  <c r="S51" i="8"/>
  <c r="J11" i="7"/>
  <c r="G61" i="8" s="1"/>
  <c r="M61" i="8"/>
  <c r="S57" i="8"/>
  <c r="L56" i="8"/>
  <c r="M54" i="8"/>
  <c r="J52" i="8"/>
  <c r="M51" i="8"/>
  <c r="AA11" i="7"/>
  <c r="L11" i="7" s="1"/>
  <c r="T55" i="8"/>
  <c r="T54" i="8"/>
  <c r="T52" i="8"/>
  <c r="L52" i="8"/>
  <c r="I10" i="7"/>
  <c r="H10" i="7"/>
  <c r="Z10" i="7"/>
  <c r="AC9" i="7"/>
  <c r="G9" i="7"/>
  <c r="AI9" i="7"/>
  <c r="H9" i="7"/>
  <c r="Y9" i="7"/>
  <c r="K17" i="8" l="1"/>
  <c r="R18" i="8"/>
  <c r="P22" i="7"/>
  <c r="R204" i="8"/>
  <c r="M204" i="8"/>
  <c r="I204" i="8"/>
  <c r="M203" i="8"/>
  <c r="I203" i="8"/>
  <c r="S202" i="8"/>
  <c r="L201" i="8"/>
  <c r="T200" i="8"/>
  <c r="L200" i="8"/>
  <c r="I200" i="8"/>
  <c r="R199" i="8"/>
  <c r="R198" i="8"/>
  <c r="J198" i="8"/>
  <c r="T197" i="8"/>
  <c r="J194" i="8"/>
  <c r="W24" i="7"/>
  <c r="K24" i="7"/>
  <c r="X24" i="7"/>
  <c r="S204" i="8"/>
  <c r="J204" i="8"/>
  <c r="T203" i="8"/>
  <c r="T202" i="8"/>
  <c r="L202" i="8"/>
  <c r="S201" i="8"/>
  <c r="I201" i="8"/>
  <c r="R200" i="8"/>
  <c r="T199" i="8"/>
  <c r="L199" i="8"/>
  <c r="I199" i="8"/>
  <c r="S198" i="8"/>
  <c r="I198" i="8"/>
  <c r="L194" i="8"/>
  <c r="S197" i="8"/>
  <c r="T196" i="8"/>
  <c r="S195" i="8"/>
  <c r="T194" i="8"/>
  <c r="M196" i="8"/>
  <c r="I196" i="8"/>
  <c r="L195" i="8"/>
  <c r="M194" i="8"/>
  <c r="I194" i="8"/>
  <c r="M24" i="7"/>
  <c r="AA24" i="7"/>
  <c r="L24" i="7" s="1"/>
  <c r="L204" i="8"/>
  <c r="S203" i="8"/>
  <c r="J203" i="8"/>
  <c r="R202" i="8"/>
  <c r="M202" i="8"/>
  <c r="I202" i="8"/>
  <c r="R201" i="8"/>
  <c r="K201" i="8"/>
  <c r="S200" i="8"/>
  <c r="J200" i="8"/>
  <c r="K198" i="8"/>
  <c r="M197" i="8"/>
  <c r="J197" i="8"/>
  <c r="S196" i="8"/>
  <c r="J196" i="8"/>
  <c r="T195" i="8"/>
  <c r="R195" i="8"/>
  <c r="M195" i="8"/>
  <c r="I195" i="8"/>
  <c r="Q24" i="7"/>
  <c r="J24" i="7"/>
  <c r="T204" i="8"/>
  <c r="R203" i="8"/>
  <c r="L203" i="8"/>
  <c r="J202" i="8"/>
  <c r="T201" i="8"/>
  <c r="M201" i="8"/>
  <c r="J201" i="8"/>
  <c r="M200" i="8"/>
  <c r="S199" i="8"/>
  <c r="M199" i="8"/>
  <c r="J199" i="8"/>
  <c r="T198" i="8"/>
  <c r="M198" i="8"/>
  <c r="L198" i="8"/>
  <c r="R197" i="8"/>
  <c r="L197" i="8"/>
  <c r="I197" i="8"/>
  <c r="R196" i="8"/>
  <c r="L196" i="8"/>
  <c r="J195" i="8"/>
  <c r="S194" i="8"/>
  <c r="J12" i="8"/>
  <c r="M11" i="8"/>
  <c r="T10" i="8"/>
  <c r="I9" i="8"/>
  <c r="I8" i="8"/>
  <c r="R15" i="8"/>
  <c r="J15" i="8"/>
  <c r="M14" i="8"/>
  <c r="J10" i="8"/>
  <c r="K9" i="8"/>
  <c r="R17" i="8"/>
  <c r="L11" i="8"/>
  <c r="M10" i="8"/>
  <c r="S9" i="8"/>
  <c r="W7" i="7"/>
  <c r="M17" i="8"/>
  <c r="R11" i="8"/>
  <c r="J9" i="8"/>
  <c r="T8" i="8"/>
  <c r="K7" i="7"/>
  <c r="J17" i="8"/>
  <c r="T16" i="8"/>
  <c r="J13" i="8"/>
  <c r="S12" i="8"/>
  <c r="M12" i="8"/>
  <c r="R10" i="8"/>
  <c r="L9" i="8"/>
  <c r="M8" i="8"/>
  <c r="T7" i="8"/>
  <c r="L16" i="8"/>
  <c r="S15" i="8"/>
  <c r="K10" i="8"/>
  <c r="R7" i="8"/>
  <c r="J7" i="8"/>
  <c r="L17" i="8"/>
  <c r="I17" i="8"/>
  <c r="M16" i="8"/>
  <c r="I15" i="8"/>
  <c r="L13" i="8"/>
  <c r="J16" i="8"/>
  <c r="S13" i="8"/>
  <c r="L12" i="8"/>
  <c r="S11" i="8"/>
  <c r="I11" i="8"/>
  <c r="L10" i="8"/>
  <c r="S7" i="8"/>
  <c r="L7" i="8"/>
  <c r="I16" i="8"/>
  <c r="T15" i="8"/>
  <c r="R14" i="8"/>
  <c r="T12" i="8"/>
  <c r="R8" i="8"/>
  <c r="K8" i="8"/>
  <c r="M7" i="7"/>
  <c r="S17" i="8"/>
  <c r="T14" i="8"/>
  <c r="L14" i="8"/>
  <c r="R12" i="8"/>
  <c r="K11" i="8"/>
  <c r="S10" i="8"/>
  <c r="AA7" i="7"/>
  <c r="L7" i="7" s="1"/>
  <c r="X7" i="7"/>
  <c r="T13" i="8"/>
  <c r="M13" i="8"/>
  <c r="I12" i="8"/>
  <c r="T11" i="8"/>
  <c r="J11" i="8"/>
  <c r="T9" i="8"/>
  <c r="M9" i="8"/>
  <c r="J8" i="8"/>
  <c r="K7" i="8"/>
  <c r="L15" i="8"/>
  <c r="S14" i="8"/>
  <c r="J14" i="8"/>
  <c r="I13" i="8"/>
  <c r="S16" i="8"/>
  <c r="I14" i="8"/>
  <c r="S8" i="8"/>
  <c r="L8" i="8"/>
  <c r="I7" i="8"/>
  <c r="T17" i="8"/>
  <c r="R16" i="8"/>
  <c r="K16" i="8"/>
  <c r="M15" i="8"/>
  <c r="R13" i="8"/>
  <c r="K13" i="8"/>
  <c r="K12" i="8"/>
  <c r="I10" i="8"/>
  <c r="R9" i="8"/>
  <c r="M7" i="8"/>
  <c r="J7" i="7"/>
  <c r="G10" i="8" s="1"/>
  <c r="K15" i="8"/>
  <c r="K14" i="8"/>
  <c r="J30" i="7"/>
  <c r="T270" i="8"/>
  <c r="S270" i="8"/>
  <c r="R270" i="8"/>
  <c r="M270" i="8"/>
  <c r="L270" i="8"/>
  <c r="K270" i="8"/>
  <c r="J270" i="8"/>
  <c r="I270" i="8"/>
  <c r="T269" i="8"/>
  <c r="S269" i="8"/>
  <c r="R269" i="8"/>
  <c r="M269" i="8"/>
  <c r="L269" i="8"/>
  <c r="K269" i="8"/>
  <c r="J269" i="8"/>
  <c r="I269" i="8"/>
  <c r="S268" i="8"/>
  <c r="R268" i="8"/>
  <c r="M268" i="8"/>
  <c r="L268" i="8"/>
  <c r="T268" i="8"/>
  <c r="K66" i="8"/>
  <c r="K69" i="8"/>
  <c r="K65" i="8"/>
  <c r="K72" i="8"/>
  <c r="K70" i="8"/>
  <c r="K63" i="8"/>
  <c r="K51" i="8"/>
  <c r="K54" i="8"/>
  <c r="K61" i="8"/>
  <c r="K59" i="8"/>
  <c r="K56" i="8"/>
  <c r="K55" i="8"/>
  <c r="K53" i="8"/>
  <c r="K58" i="8"/>
  <c r="K52" i="8"/>
  <c r="I110" i="8"/>
  <c r="R109" i="8"/>
  <c r="L109" i="8"/>
  <c r="J109" i="8"/>
  <c r="T108" i="8"/>
  <c r="K108" i="8"/>
  <c r="I108" i="8"/>
  <c r="S107" i="8"/>
  <c r="K110" i="8"/>
  <c r="L110" i="8"/>
  <c r="M110" i="8"/>
  <c r="R110" i="8"/>
  <c r="M107" i="8"/>
  <c r="J110" i="8"/>
  <c r="T109" i="8"/>
  <c r="S108" i="8"/>
  <c r="S109" i="8"/>
  <c r="M109" i="8"/>
  <c r="M108" i="8"/>
  <c r="K109" i="8"/>
  <c r="R107" i="8"/>
  <c r="L107" i="8"/>
  <c r="I109" i="8"/>
  <c r="R108" i="8"/>
  <c r="L108" i="8"/>
  <c r="J108" i="8"/>
  <c r="T107" i="8"/>
  <c r="G69" i="8"/>
  <c r="G64" i="8"/>
  <c r="G63" i="8"/>
  <c r="G65" i="8"/>
  <c r="G72" i="8"/>
  <c r="G70" i="8"/>
  <c r="G67" i="8"/>
  <c r="G62" i="8"/>
  <c r="P19" i="7"/>
  <c r="P17" i="7"/>
  <c r="L262" i="8"/>
  <c r="M261" i="8"/>
  <c r="L261" i="8"/>
  <c r="K261" i="8"/>
  <c r="J261" i="8"/>
  <c r="I261" i="8"/>
  <c r="T260" i="8"/>
  <c r="S260" i="8"/>
  <c r="R260" i="8"/>
  <c r="M260" i="8"/>
  <c r="L260" i="8"/>
  <c r="K260" i="8"/>
  <c r="J260" i="8"/>
  <c r="I260" i="8"/>
  <c r="AA30" i="7"/>
  <c r="L30" i="7" s="1"/>
  <c r="X30" i="7"/>
  <c r="Q30" i="7"/>
  <c r="M30" i="7"/>
  <c r="K30" i="7"/>
  <c r="K268" i="8"/>
  <c r="J268" i="8"/>
  <c r="I268" i="8"/>
  <c r="T267" i="8"/>
  <c r="S267" i="8"/>
  <c r="R267" i="8"/>
  <c r="M267" i="8"/>
  <c r="L267" i="8"/>
  <c r="K267" i="8"/>
  <c r="J267" i="8"/>
  <c r="I267" i="8"/>
  <c r="T266" i="8"/>
  <c r="S266" i="8"/>
  <c r="R266" i="8"/>
  <c r="M266" i="8"/>
  <c r="L266" i="8"/>
  <c r="K266" i="8"/>
  <c r="J266" i="8"/>
  <c r="I266" i="8"/>
  <c r="T265" i="8"/>
  <c r="S265" i="8"/>
  <c r="R265" i="8"/>
  <c r="M265" i="8"/>
  <c r="L265" i="8"/>
  <c r="K265" i="8"/>
  <c r="J265" i="8"/>
  <c r="I265" i="8"/>
  <c r="T264" i="8"/>
  <c r="S264" i="8"/>
  <c r="R264" i="8"/>
  <c r="M264" i="8"/>
  <c r="L264" i="8"/>
  <c r="K264" i="8"/>
  <c r="J264" i="8"/>
  <c r="I264" i="8"/>
  <c r="T263" i="8"/>
  <c r="S263" i="8"/>
  <c r="R263" i="8"/>
  <c r="M263" i="8"/>
  <c r="L263" i="8"/>
  <c r="K263" i="8"/>
  <c r="J263" i="8"/>
  <c r="I263" i="8"/>
  <c r="T262" i="8"/>
  <c r="S262" i="8"/>
  <c r="R262" i="8"/>
  <c r="M262" i="8"/>
  <c r="W30" i="7"/>
  <c r="K262" i="8"/>
  <c r="J262" i="8"/>
  <c r="I262" i="8"/>
  <c r="T261" i="8"/>
  <c r="S261" i="8"/>
  <c r="R261" i="8"/>
  <c r="J251" i="8"/>
  <c r="W29" i="7"/>
  <c r="J249" i="8"/>
  <c r="L249" i="8"/>
  <c r="M249" i="8"/>
  <c r="S249" i="8"/>
  <c r="I250" i="8"/>
  <c r="K250" i="8"/>
  <c r="L250" i="8"/>
  <c r="R250" i="8"/>
  <c r="S250" i="8"/>
  <c r="T250" i="8"/>
  <c r="S254" i="8"/>
  <c r="R254" i="8"/>
  <c r="M254" i="8"/>
  <c r="L254" i="8"/>
  <c r="K254" i="8"/>
  <c r="J254" i="8"/>
  <c r="R255" i="8"/>
  <c r="K29" i="7"/>
  <c r="AA29" i="7"/>
  <c r="L29" i="7" s="1"/>
  <c r="X29" i="7"/>
  <c r="Q29" i="7"/>
  <c r="M29" i="7"/>
  <c r="J29" i="7"/>
  <c r="T259" i="8"/>
  <c r="S259" i="8"/>
  <c r="R259" i="8"/>
  <c r="M259" i="8"/>
  <c r="L259" i="8"/>
  <c r="K259" i="8"/>
  <c r="J259" i="8"/>
  <c r="I259" i="8"/>
  <c r="T258" i="8"/>
  <c r="S258" i="8"/>
  <c r="R258" i="8"/>
  <c r="M258" i="8"/>
  <c r="L258" i="8"/>
  <c r="K258" i="8"/>
  <c r="J258" i="8"/>
  <c r="I258" i="8"/>
  <c r="T257" i="8"/>
  <c r="S257" i="8"/>
  <c r="R257" i="8"/>
  <c r="M257" i="8"/>
  <c r="L257" i="8"/>
  <c r="K257" i="8"/>
  <c r="J257" i="8"/>
  <c r="I257" i="8"/>
  <c r="T256" i="8"/>
  <c r="S256" i="8"/>
  <c r="R256" i="8"/>
  <c r="M256" i="8"/>
  <c r="L256" i="8"/>
  <c r="K256" i="8"/>
  <c r="J256" i="8"/>
  <c r="I256" i="8"/>
  <c r="T255" i="8"/>
  <c r="S255" i="8"/>
  <c r="I254" i="8"/>
  <c r="M255" i="8"/>
  <c r="L255" i="8"/>
  <c r="K255" i="8"/>
  <c r="J255" i="8"/>
  <c r="I255" i="8"/>
  <c r="T254" i="8"/>
  <c r="M250" i="8"/>
  <c r="J250" i="8"/>
  <c r="T249" i="8"/>
  <c r="R249" i="8"/>
  <c r="K249" i="8"/>
  <c r="I249" i="8"/>
  <c r="T253" i="8"/>
  <c r="S253" i="8"/>
  <c r="R253" i="8"/>
  <c r="M253" i="8"/>
  <c r="L253" i="8"/>
  <c r="K253" i="8"/>
  <c r="J253" i="8"/>
  <c r="I253" i="8"/>
  <c r="T252" i="8"/>
  <c r="S252" i="8"/>
  <c r="R252" i="8"/>
  <c r="M252" i="8"/>
  <c r="L252" i="8"/>
  <c r="K252" i="8"/>
  <c r="J252" i="8"/>
  <c r="I252" i="8"/>
  <c r="T251" i="8"/>
  <c r="I251" i="8"/>
  <c r="S251" i="8"/>
  <c r="R251" i="8"/>
  <c r="M251" i="8"/>
  <c r="L251" i="8"/>
  <c r="K251" i="8"/>
  <c r="S240" i="8"/>
  <c r="I241" i="8"/>
  <c r="M241" i="8"/>
  <c r="R241" i="8"/>
  <c r="I242" i="8"/>
  <c r="L242" i="8"/>
  <c r="R242" i="8"/>
  <c r="T242" i="8"/>
  <c r="J243" i="8"/>
  <c r="M243" i="8"/>
  <c r="J28" i="7"/>
  <c r="S243" i="8"/>
  <c r="I244" i="8"/>
  <c r="L244" i="8"/>
  <c r="R244" i="8"/>
  <c r="T244" i="8"/>
  <c r="J245" i="8"/>
  <c r="M245" i="8"/>
  <c r="T247" i="8"/>
  <c r="R247" i="8"/>
  <c r="L247" i="8"/>
  <c r="I247" i="8"/>
  <c r="S246" i="8"/>
  <c r="M246" i="8"/>
  <c r="I246" i="8"/>
  <c r="T245" i="8"/>
  <c r="R245" i="8"/>
  <c r="L245" i="8"/>
  <c r="I245" i="8"/>
  <c r="S244" i="8"/>
  <c r="M244" i="8"/>
  <c r="J244" i="8"/>
  <c r="T243" i="8"/>
  <c r="R243" i="8"/>
  <c r="L243" i="8"/>
  <c r="W28" i="7"/>
  <c r="K248" i="8"/>
  <c r="S245" i="8"/>
  <c r="J246" i="8"/>
  <c r="L246" i="8"/>
  <c r="R246" i="8"/>
  <c r="T246" i="8"/>
  <c r="J247" i="8"/>
  <c r="K247" i="8"/>
  <c r="M247" i="8"/>
  <c r="S247" i="8"/>
  <c r="I248" i="8"/>
  <c r="R240" i="8"/>
  <c r="M248" i="8"/>
  <c r="S248" i="8"/>
  <c r="K28" i="7"/>
  <c r="G247" i="8" s="1"/>
  <c r="I243" i="8"/>
  <c r="S242" i="8"/>
  <c r="M242" i="8"/>
  <c r="J242" i="8"/>
  <c r="T241" i="8"/>
  <c r="S241" i="8"/>
  <c r="L241" i="8"/>
  <c r="J241" i="8"/>
  <c r="T240" i="8"/>
  <c r="L240" i="8"/>
  <c r="I240" i="8"/>
  <c r="S239" i="8"/>
  <c r="M28" i="7"/>
  <c r="T248" i="8"/>
  <c r="R248" i="8"/>
  <c r="L248" i="8"/>
  <c r="J248" i="8"/>
  <c r="M240" i="8"/>
  <c r="J240" i="8"/>
  <c r="T239" i="8"/>
  <c r="R239" i="8"/>
  <c r="M239" i="8"/>
  <c r="L239" i="8"/>
  <c r="K239" i="8"/>
  <c r="J239" i="8"/>
  <c r="I239" i="8"/>
  <c r="T238" i="8"/>
  <c r="S238" i="8"/>
  <c r="M238" i="8"/>
  <c r="L238" i="8"/>
  <c r="K238" i="8"/>
  <c r="J238" i="8"/>
  <c r="I238" i="8"/>
  <c r="R238" i="8" s="1"/>
  <c r="AA28" i="7"/>
  <c r="L28" i="7" s="1"/>
  <c r="X28" i="7"/>
  <c r="Q28" i="7"/>
  <c r="K202" i="8"/>
  <c r="K199" i="8"/>
  <c r="K204" i="8"/>
  <c r="K68" i="8"/>
  <c r="K67" i="8"/>
  <c r="K71" i="8"/>
  <c r="K62" i="8"/>
  <c r="R62" i="8" s="1"/>
  <c r="K64" i="8"/>
  <c r="I226" i="8"/>
  <c r="S225" i="8"/>
  <c r="M225" i="8"/>
  <c r="K225" i="8"/>
  <c r="I225" i="8"/>
  <c r="S224" i="8"/>
  <c r="R224" i="8"/>
  <c r="L224" i="8"/>
  <c r="J224" i="8"/>
  <c r="T223" i="8"/>
  <c r="R223" i="8"/>
  <c r="K223" i="8"/>
  <c r="I223" i="8"/>
  <c r="T222" i="8"/>
  <c r="M222" i="8"/>
  <c r="K222" i="8"/>
  <c r="AA26" i="7"/>
  <c r="L26" i="7" s="1"/>
  <c r="T226" i="8"/>
  <c r="R226" i="8"/>
  <c r="L226" i="8"/>
  <c r="J226" i="8"/>
  <c r="T225" i="8"/>
  <c r="R225" i="8"/>
  <c r="L225" i="8"/>
  <c r="J225" i="8"/>
  <c r="T224" i="8"/>
  <c r="M224" i="8"/>
  <c r="K224" i="8"/>
  <c r="I224" i="8"/>
  <c r="S223" i="8"/>
  <c r="L223" i="8"/>
  <c r="J223" i="8"/>
  <c r="S222" i="8"/>
  <c r="R222" i="8"/>
  <c r="L222" i="8"/>
  <c r="J222" i="8"/>
  <c r="M223" i="8"/>
  <c r="Q26" i="7"/>
  <c r="K26" i="7"/>
  <c r="M26" i="7"/>
  <c r="S226" i="8"/>
  <c r="M226" i="8"/>
  <c r="K226" i="8"/>
  <c r="S192" i="8"/>
  <c r="K23" i="7"/>
  <c r="L183" i="8"/>
  <c r="L185" i="8"/>
  <c r="M187" i="8"/>
  <c r="K188" i="8"/>
  <c r="T189" i="8"/>
  <c r="T190" i="8"/>
  <c r="T191" i="8"/>
  <c r="M193" i="8"/>
  <c r="J184" i="8"/>
  <c r="L187" i="8"/>
  <c r="K189" i="8"/>
  <c r="J190" i="8"/>
  <c r="I192" i="8"/>
  <c r="Q23" i="7"/>
  <c r="L193" i="8"/>
  <c r="I188" i="8"/>
  <c r="R186" i="8"/>
  <c r="S185" i="8"/>
  <c r="T183" i="8"/>
  <c r="J23" i="7"/>
  <c r="R191" i="8"/>
  <c r="M190" i="8"/>
  <c r="S188" i="8"/>
  <c r="J185" i="8"/>
  <c r="L184" i="8"/>
  <c r="I193" i="8"/>
  <c r="T192" i="8"/>
  <c r="M191" i="8"/>
  <c r="L190" i="8"/>
  <c r="J189" i="8"/>
  <c r="R187" i="8"/>
  <c r="T186" i="8"/>
  <c r="T185" i="8"/>
  <c r="R183" i="8"/>
  <c r="I183" i="8"/>
  <c r="L191" i="8"/>
  <c r="M188" i="8"/>
  <c r="S187" i="8"/>
  <c r="R192" i="8"/>
  <c r="J192" i="8"/>
  <c r="I191" i="8"/>
  <c r="I190" i="8"/>
  <c r="R188" i="8"/>
  <c r="I184" i="8"/>
  <c r="K185" i="8"/>
  <c r="M186" i="8"/>
  <c r="T187" i="8"/>
  <c r="M192" i="8"/>
  <c r="J187" i="8"/>
  <c r="K186" i="8"/>
  <c r="M184" i="8"/>
  <c r="J193" i="8"/>
  <c r="R190" i="8"/>
  <c r="T188" i="8"/>
  <c r="S186" i="8"/>
  <c r="L186" i="8"/>
  <c r="I186" i="8"/>
  <c r="R185" i="8"/>
  <c r="M185" i="8"/>
  <c r="L189" i="8"/>
  <c r="R193" i="8"/>
  <c r="S191" i="8"/>
  <c r="K187" i="8"/>
  <c r="J186" i="8"/>
  <c r="R184" i="8"/>
  <c r="K183" i="8"/>
  <c r="L192" i="8"/>
  <c r="K191" i="8"/>
  <c r="S189" i="8"/>
  <c r="L188" i="8"/>
  <c r="T184" i="8"/>
  <c r="T193" i="8"/>
  <c r="I187" i="8"/>
  <c r="J188" i="8"/>
  <c r="K159" i="8"/>
  <c r="R158" i="8"/>
  <c r="T157" i="8"/>
  <c r="J20" i="7"/>
  <c r="L157" i="8"/>
  <c r="K158" i="8"/>
  <c r="T158" i="8"/>
  <c r="R159" i="8"/>
  <c r="L160" i="8"/>
  <c r="Q20" i="7"/>
  <c r="R157" i="8"/>
  <c r="S158" i="8"/>
  <c r="L159" i="8"/>
  <c r="M160" i="8"/>
  <c r="L158" i="8"/>
  <c r="S157" i="8"/>
  <c r="M158" i="8"/>
  <c r="J159" i="8"/>
  <c r="T160" i="8"/>
  <c r="J160" i="8"/>
  <c r="M159" i="8"/>
  <c r="I159" i="8"/>
  <c r="I158" i="8"/>
  <c r="S159" i="8"/>
  <c r="K157" i="8"/>
  <c r="J157" i="8"/>
  <c r="I157" i="8"/>
  <c r="T156" i="8"/>
  <c r="S156" i="8"/>
  <c r="R156" i="8"/>
  <c r="M156" i="8"/>
  <c r="L156" i="8"/>
  <c r="K156" i="8"/>
  <c r="J156" i="8"/>
  <c r="I156" i="8"/>
  <c r="T155" i="8"/>
  <c r="S155" i="8"/>
  <c r="R155" i="8"/>
  <c r="M155" i="8"/>
  <c r="L155" i="8"/>
  <c r="S160" i="8"/>
  <c r="K160" i="8"/>
  <c r="M157" i="8"/>
  <c r="J158" i="8"/>
  <c r="T159" i="8"/>
  <c r="R160" i="8"/>
  <c r="I160" i="8"/>
  <c r="K16" i="7"/>
  <c r="T116" i="8"/>
  <c r="S116" i="8"/>
  <c r="R116" i="8"/>
  <c r="M116" i="8"/>
  <c r="L116" i="8"/>
  <c r="K116" i="8"/>
  <c r="J116" i="8"/>
  <c r="I116" i="8"/>
  <c r="T115" i="8"/>
  <c r="S115" i="8"/>
  <c r="R115" i="8"/>
  <c r="M115" i="8"/>
  <c r="L115" i="8"/>
  <c r="K115" i="8"/>
  <c r="J115" i="8"/>
  <c r="I115" i="8"/>
  <c r="T114" i="8"/>
  <c r="J16" i="7"/>
  <c r="R114" i="8"/>
  <c r="M114" i="8"/>
  <c r="L114" i="8"/>
  <c r="K114" i="8"/>
  <c r="J114" i="8"/>
  <c r="I114" i="8"/>
  <c r="G114" i="8"/>
  <c r="T113" i="8"/>
  <c r="S113" i="8"/>
  <c r="R113" i="8"/>
  <c r="M113" i="8"/>
  <c r="L113" i="8"/>
  <c r="K113" i="8"/>
  <c r="J113" i="8"/>
  <c r="I113" i="8"/>
  <c r="T112" i="8"/>
  <c r="S112" i="8"/>
  <c r="R112" i="8"/>
  <c r="M112" i="8"/>
  <c r="L112" i="8"/>
  <c r="K112" i="8"/>
  <c r="J112" i="8"/>
  <c r="I112" i="8"/>
  <c r="T111" i="8"/>
  <c r="S111" i="8"/>
  <c r="R111" i="8"/>
  <c r="M111" i="8"/>
  <c r="L111" i="8"/>
  <c r="K111" i="8"/>
  <c r="J111" i="8"/>
  <c r="I111" i="8"/>
  <c r="T110" i="8"/>
  <c r="S110" i="8"/>
  <c r="K107" i="8"/>
  <c r="X16" i="7"/>
  <c r="Q16" i="7"/>
  <c r="M16" i="7"/>
  <c r="AA16" i="7"/>
  <c r="W16" i="7"/>
  <c r="L16" i="7"/>
  <c r="H107" i="8" s="1"/>
  <c r="S114" i="8"/>
  <c r="T51" i="8"/>
  <c r="G51" i="8"/>
  <c r="M60" i="8"/>
  <c r="I61" i="8"/>
  <c r="S60" i="8"/>
  <c r="L60" i="8"/>
  <c r="G59" i="8"/>
  <c r="S56" i="8"/>
  <c r="L54" i="8"/>
  <c r="R52" i="8"/>
  <c r="K60" i="8"/>
  <c r="G60" i="8"/>
  <c r="L58" i="8"/>
  <c r="G58" i="8"/>
  <c r="I57" i="8"/>
  <c r="I56" i="8"/>
  <c r="M59" i="8"/>
  <c r="C61" i="4"/>
  <c r="C64" i="4" s="1"/>
  <c r="C62" i="4"/>
  <c r="C12" i="9"/>
  <c r="G46" i="1"/>
  <c r="I46" i="1" s="1"/>
  <c r="G48" i="1"/>
  <c r="I48" i="1" s="1"/>
  <c r="G50" i="1"/>
  <c r="I50" i="1" s="1"/>
  <c r="G52" i="1"/>
  <c r="I52" i="1" s="1"/>
  <c r="G45" i="1"/>
  <c r="G47" i="1"/>
  <c r="I47" i="1" s="1"/>
  <c r="G54" i="1"/>
  <c r="I54" i="1" s="1"/>
  <c r="G49" i="1"/>
  <c r="I49" i="1" s="1"/>
  <c r="G53" i="1"/>
  <c r="I53" i="1" s="1"/>
  <c r="G51" i="1"/>
  <c r="I51" i="1" s="1"/>
  <c r="G55" i="1"/>
  <c r="I55" i="1" s="1"/>
  <c r="B61" i="4"/>
  <c r="B64" i="4" s="1"/>
  <c r="B62" i="4"/>
  <c r="F46" i="1"/>
  <c r="H46" i="1" s="1"/>
  <c r="F48" i="1"/>
  <c r="H48" i="1" s="1"/>
  <c r="F52" i="1"/>
  <c r="H52" i="1" s="1"/>
  <c r="F45" i="1"/>
  <c r="F54" i="1"/>
  <c r="H54" i="1" s="1"/>
  <c r="F47" i="1"/>
  <c r="H47" i="1" s="1"/>
  <c r="F51" i="1"/>
  <c r="H51" i="1" s="1"/>
  <c r="F55" i="1"/>
  <c r="H55" i="1" s="1"/>
  <c r="F49" i="1"/>
  <c r="H49" i="1" s="1"/>
  <c r="F53" i="1"/>
  <c r="H53" i="1" s="1"/>
  <c r="C11" i="9"/>
  <c r="F50" i="1"/>
  <c r="H50" i="1" s="1"/>
  <c r="T215" i="8"/>
  <c r="K215" i="8"/>
  <c r="J214" i="8"/>
  <c r="T213" i="8"/>
  <c r="K213" i="8"/>
  <c r="R212" i="8"/>
  <c r="K212" i="8"/>
  <c r="R211" i="8"/>
  <c r="L209" i="8"/>
  <c r="R208" i="8"/>
  <c r="K208" i="8"/>
  <c r="R207" i="8"/>
  <c r="K207" i="8"/>
  <c r="M206" i="8"/>
  <c r="J215" i="8"/>
  <c r="I215" i="8"/>
  <c r="T214" i="8"/>
  <c r="M214" i="8"/>
  <c r="I214" i="8"/>
  <c r="S213" i="8"/>
  <c r="M213" i="8"/>
  <c r="J213" i="8"/>
  <c r="T212" i="8"/>
  <c r="L212" i="8"/>
  <c r="I212" i="8"/>
  <c r="S211" i="8"/>
  <c r="M211" i="8"/>
  <c r="J211" i="8"/>
  <c r="S210" i="8"/>
  <c r="K210" i="8"/>
  <c r="I210" i="8"/>
  <c r="T209" i="8"/>
  <c r="K209" i="8"/>
  <c r="L208" i="8"/>
  <c r="R206" i="8"/>
  <c r="L206" i="8"/>
  <c r="S215" i="8"/>
  <c r="L215" i="8"/>
  <c r="R214" i="8"/>
  <c r="L213" i="8"/>
  <c r="I213" i="8"/>
  <c r="S212" i="8"/>
  <c r="K211" i="8"/>
  <c r="I211" i="8"/>
  <c r="R210" i="8"/>
  <c r="L210" i="8"/>
  <c r="S209" i="8"/>
  <c r="J209" i="8"/>
  <c r="T208" i="8"/>
  <c r="I208" i="8"/>
  <c r="S207" i="8"/>
  <c r="L207" i="8"/>
  <c r="I207" i="8"/>
  <c r="T206" i="8"/>
  <c r="J206" i="8"/>
  <c r="I206" i="8"/>
  <c r="S205" i="8"/>
  <c r="M205" i="8"/>
  <c r="K205" i="8"/>
  <c r="I205" i="8"/>
  <c r="W25" i="7"/>
  <c r="K25" i="7"/>
  <c r="Q25" i="7"/>
  <c r="J25" i="7"/>
  <c r="G212" i="8" s="1"/>
  <c r="M25" i="7"/>
  <c r="R215" i="8"/>
  <c r="M215" i="8"/>
  <c r="L214" i="8"/>
  <c r="G214" i="8"/>
  <c r="M212" i="8"/>
  <c r="J212" i="8"/>
  <c r="T211" i="8"/>
  <c r="L211" i="8"/>
  <c r="T210" i="8"/>
  <c r="M210" i="8"/>
  <c r="J210" i="8"/>
  <c r="G210" i="8"/>
  <c r="R209" i="8"/>
  <c r="M209" i="8"/>
  <c r="I209" i="8"/>
  <c r="G209" i="8"/>
  <c r="S208" i="8"/>
  <c r="M208" i="8"/>
  <c r="J208" i="8"/>
  <c r="T207" i="8"/>
  <c r="M207" i="8"/>
  <c r="J207" i="8"/>
  <c r="S206" i="8"/>
  <c r="K206" i="8"/>
  <c r="T205" i="8"/>
  <c r="R205" i="8"/>
  <c r="L205" i="8"/>
  <c r="J205" i="8"/>
  <c r="G205" i="8"/>
  <c r="AA25" i="7"/>
  <c r="L25" i="7" s="1"/>
  <c r="X25" i="7"/>
  <c r="S214" i="8"/>
  <c r="K214" i="8"/>
  <c r="R213" i="8"/>
  <c r="I180" i="8"/>
  <c r="S179" i="8"/>
  <c r="L177" i="8"/>
  <c r="R176" i="8"/>
  <c r="K176" i="8"/>
  <c r="R173" i="8"/>
  <c r="I182" i="8"/>
  <c r="I181" i="8"/>
  <c r="K180" i="8"/>
  <c r="T179" i="8"/>
  <c r="K178" i="8"/>
  <c r="T176" i="8"/>
  <c r="L176" i="8"/>
  <c r="K175" i="8"/>
  <c r="J172" i="8"/>
  <c r="L182" i="8"/>
  <c r="L181" i="8"/>
  <c r="J178" i="8"/>
  <c r="T172" i="8"/>
  <c r="M182" i="8"/>
  <c r="T181" i="8"/>
  <c r="R180" i="8"/>
  <c r="L174" i="8"/>
  <c r="T173" i="8"/>
  <c r="K173" i="8"/>
  <c r="K172" i="8"/>
  <c r="S180" i="8"/>
  <c r="R178" i="8"/>
  <c r="L178" i="8"/>
  <c r="K174" i="8"/>
  <c r="J173" i="8"/>
  <c r="R179" i="8"/>
  <c r="K179" i="8"/>
  <c r="T177" i="8"/>
  <c r="T175" i="8"/>
  <c r="T174" i="8"/>
  <c r="M174" i="8"/>
  <c r="S173" i="8"/>
  <c r="M173" i="8"/>
  <c r="I173" i="8"/>
  <c r="S172" i="8"/>
  <c r="I172" i="8"/>
  <c r="X22" i="7"/>
  <c r="W22" i="7"/>
  <c r="J180" i="8"/>
  <c r="M178" i="8"/>
  <c r="J175" i="8"/>
  <c r="L172" i="8"/>
  <c r="X15" i="7"/>
  <c r="M15" i="7"/>
  <c r="J15" i="7"/>
  <c r="T105" i="8"/>
  <c r="S105" i="8"/>
  <c r="R105" i="8"/>
  <c r="M105" i="8"/>
  <c r="L105" i="8"/>
  <c r="K105" i="8"/>
  <c r="J105" i="8"/>
  <c r="I105" i="8"/>
  <c r="T104" i="8"/>
  <c r="S104" i="8"/>
  <c r="R104" i="8"/>
  <c r="M104" i="8"/>
  <c r="L104" i="8"/>
  <c r="K104" i="8"/>
  <c r="J104" i="8"/>
  <c r="I104" i="8"/>
  <c r="T103" i="8"/>
  <c r="S103" i="8"/>
  <c r="R103" i="8"/>
  <c r="M103" i="8"/>
  <c r="L103" i="8"/>
  <c r="K103" i="8"/>
  <c r="J103" i="8"/>
  <c r="I103" i="8"/>
  <c r="T102" i="8"/>
  <c r="S102" i="8"/>
  <c r="R102" i="8"/>
  <c r="M102" i="8"/>
  <c r="L102" i="8"/>
  <c r="K102" i="8"/>
  <c r="J102" i="8"/>
  <c r="I102" i="8"/>
  <c r="T101" i="8"/>
  <c r="S101" i="8"/>
  <c r="R101" i="8"/>
  <c r="M101" i="8"/>
  <c r="L101" i="8"/>
  <c r="K101" i="8"/>
  <c r="J101" i="8"/>
  <c r="I101" i="8"/>
  <c r="T100" i="8"/>
  <c r="S100" i="8"/>
  <c r="R100" i="8"/>
  <c r="M100" i="8"/>
  <c r="L100" i="8"/>
  <c r="K100" i="8"/>
  <c r="J100" i="8"/>
  <c r="I100" i="8"/>
  <c r="T99" i="8"/>
  <c r="S99" i="8"/>
  <c r="R99" i="8"/>
  <c r="M99" i="8"/>
  <c r="L99" i="8"/>
  <c r="K99" i="8"/>
  <c r="J99" i="8"/>
  <c r="I99" i="8"/>
  <c r="T98" i="8"/>
  <c r="S98" i="8"/>
  <c r="R98" i="8"/>
  <c r="M98" i="8"/>
  <c r="L98" i="8"/>
  <c r="K98" i="8"/>
  <c r="J98" i="8"/>
  <c r="I98" i="8"/>
  <c r="T97" i="8"/>
  <c r="S97" i="8"/>
  <c r="R97" i="8"/>
  <c r="M97" i="8"/>
  <c r="L97" i="8"/>
  <c r="K97" i="8"/>
  <c r="J97" i="8"/>
  <c r="I97" i="8"/>
  <c r="T96" i="8"/>
  <c r="S96" i="8"/>
  <c r="R96" i="8"/>
  <c r="M96" i="8"/>
  <c r="L96" i="8"/>
  <c r="K96" i="8"/>
  <c r="J96" i="8"/>
  <c r="I96" i="8"/>
  <c r="T95" i="8"/>
  <c r="S95" i="8"/>
  <c r="R95" i="8"/>
  <c r="M95" i="8"/>
  <c r="L95" i="8"/>
  <c r="K95" i="8"/>
  <c r="J95" i="8"/>
  <c r="I95" i="8"/>
  <c r="AA15" i="7"/>
  <c r="L15" i="7" s="1"/>
  <c r="Q15" i="7"/>
  <c r="K15" i="7"/>
  <c r="W15" i="7"/>
  <c r="J14" i="7"/>
  <c r="G93" i="8" s="1"/>
  <c r="T94" i="8"/>
  <c r="S94" i="8"/>
  <c r="R94" i="8"/>
  <c r="M94" i="8"/>
  <c r="L94" i="8"/>
  <c r="K94" i="8"/>
  <c r="J94" i="8"/>
  <c r="I94" i="8"/>
  <c r="T93" i="8"/>
  <c r="S93" i="8"/>
  <c r="R93" i="8"/>
  <c r="M93" i="8"/>
  <c r="L93" i="8"/>
  <c r="K93" i="8"/>
  <c r="J93" i="8"/>
  <c r="I93" i="8"/>
  <c r="T92" i="8"/>
  <c r="S92" i="8"/>
  <c r="R92" i="8"/>
  <c r="M92" i="8"/>
  <c r="L92" i="8"/>
  <c r="K92" i="8"/>
  <c r="J92" i="8"/>
  <c r="I92" i="8"/>
  <c r="T91" i="8"/>
  <c r="S91" i="8"/>
  <c r="R91" i="8"/>
  <c r="M91" i="8"/>
  <c r="L91" i="8"/>
  <c r="K91" i="8"/>
  <c r="J91" i="8"/>
  <c r="I91" i="8"/>
  <c r="T90" i="8"/>
  <c r="S90" i="8"/>
  <c r="R90" i="8"/>
  <c r="M90" i="8"/>
  <c r="L90" i="8"/>
  <c r="K90" i="8"/>
  <c r="J90" i="8"/>
  <c r="I90" i="8"/>
  <c r="T89" i="8"/>
  <c r="S89" i="8"/>
  <c r="R89" i="8"/>
  <c r="M89" i="8"/>
  <c r="L89" i="8"/>
  <c r="K89" i="8"/>
  <c r="J89" i="8"/>
  <c r="I89" i="8"/>
  <c r="T88" i="8"/>
  <c r="S88" i="8"/>
  <c r="R88" i="8"/>
  <c r="M88" i="8"/>
  <c r="L88" i="8"/>
  <c r="K88" i="8"/>
  <c r="J88" i="8"/>
  <c r="I88" i="8"/>
  <c r="T87" i="8"/>
  <c r="S87" i="8"/>
  <c r="R87" i="8"/>
  <c r="M87" i="8"/>
  <c r="L87" i="8"/>
  <c r="K87" i="8"/>
  <c r="J87" i="8"/>
  <c r="I87" i="8"/>
  <c r="T86" i="8"/>
  <c r="S86" i="8"/>
  <c r="R86" i="8"/>
  <c r="M86" i="8"/>
  <c r="L86" i="8"/>
  <c r="K86" i="8"/>
  <c r="J86" i="8"/>
  <c r="I86" i="8"/>
  <c r="T85" i="8"/>
  <c r="S85" i="8"/>
  <c r="R85" i="8"/>
  <c r="M85" i="8"/>
  <c r="L85" i="8"/>
  <c r="K85" i="8"/>
  <c r="J85" i="8"/>
  <c r="I85" i="8"/>
  <c r="T84" i="8"/>
  <c r="S84" i="8"/>
  <c r="M84" i="8"/>
  <c r="L84" i="8"/>
  <c r="K84" i="8"/>
  <c r="J84" i="8"/>
  <c r="I84" i="8"/>
  <c r="R84" i="8" s="1"/>
  <c r="AA14" i="7"/>
  <c r="W14" i="7"/>
  <c r="Q14" i="7"/>
  <c r="K14" i="7"/>
  <c r="K13" i="7"/>
  <c r="G83" i="8" s="1"/>
  <c r="W13" i="7"/>
  <c r="L80" i="8"/>
  <c r="I80" i="8"/>
  <c r="S79" i="8"/>
  <c r="L79" i="8"/>
  <c r="J79" i="8"/>
  <c r="S78" i="8"/>
  <c r="M78" i="8"/>
  <c r="K78" i="8"/>
  <c r="I78" i="8"/>
  <c r="S77" i="8"/>
  <c r="R77" i="8"/>
  <c r="M77" i="8"/>
  <c r="K77" i="8"/>
  <c r="J77" i="8"/>
  <c r="S76" i="8"/>
  <c r="L76" i="8"/>
  <c r="I76" i="8"/>
  <c r="T75" i="8"/>
  <c r="R75" i="8"/>
  <c r="M75" i="8"/>
  <c r="K75" i="8"/>
  <c r="I75" i="8"/>
  <c r="S74" i="8"/>
  <c r="K74" i="8"/>
  <c r="I74" i="8"/>
  <c r="T73" i="8"/>
  <c r="S73" i="8"/>
  <c r="R73" i="8"/>
  <c r="M73" i="8"/>
  <c r="L73" i="8"/>
  <c r="K73" i="8"/>
  <c r="J73" i="8"/>
  <c r="I73" i="8"/>
  <c r="AA13" i="7"/>
  <c r="L13" i="7" s="1"/>
  <c r="Q13" i="7"/>
  <c r="M13" i="7"/>
  <c r="J13" i="7"/>
  <c r="T83" i="8"/>
  <c r="S83" i="8"/>
  <c r="R83" i="8"/>
  <c r="M83" i="8"/>
  <c r="L83" i="8"/>
  <c r="K83" i="8"/>
  <c r="J83" i="8"/>
  <c r="I83" i="8"/>
  <c r="T82" i="8"/>
  <c r="S82" i="8"/>
  <c r="R82" i="8"/>
  <c r="M82" i="8"/>
  <c r="L82" i="8"/>
  <c r="K82" i="8"/>
  <c r="J82" i="8"/>
  <c r="I82" i="8"/>
  <c r="T81" i="8"/>
  <c r="S81" i="8"/>
  <c r="R81" i="8"/>
  <c r="M81" i="8"/>
  <c r="L81" i="8"/>
  <c r="K81" i="8"/>
  <c r="J81" i="8"/>
  <c r="I81" i="8"/>
  <c r="T80" i="8"/>
  <c r="S80" i="8"/>
  <c r="R80" i="8"/>
  <c r="M80" i="8"/>
  <c r="K80" i="8"/>
  <c r="J80" i="8"/>
  <c r="T79" i="8"/>
  <c r="R79" i="8"/>
  <c r="M79" i="8"/>
  <c r="K79" i="8"/>
  <c r="I79" i="8"/>
  <c r="T78" i="8"/>
  <c r="R78" i="8"/>
  <c r="L78" i="8"/>
  <c r="J78" i="8"/>
  <c r="T77" i="8"/>
  <c r="L77" i="8"/>
  <c r="I77" i="8"/>
  <c r="T76" i="8"/>
  <c r="R76" i="8"/>
  <c r="M76" i="8"/>
  <c r="K76" i="8"/>
  <c r="J76" i="8"/>
  <c r="S75" i="8"/>
  <c r="L75" i="8"/>
  <c r="J75" i="8"/>
  <c r="T74" i="8"/>
  <c r="R74" i="8"/>
  <c r="M74" i="8"/>
  <c r="L74" i="8"/>
  <c r="J74" i="8"/>
  <c r="X13" i="7"/>
  <c r="Z9" i="7"/>
  <c r="B66" i="4" s="1"/>
  <c r="B65" i="4"/>
  <c r="P21" i="7"/>
  <c r="P18" i="7"/>
  <c r="P10" i="7"/>
  <c r="P9" i="7"/>
  <c r="K241" i="8"/>
  <c r="K245" i="8"/>
  <c r="K242" i="8"/>
  <c r="K240" i="8"/>
  <c r="K243" i="8"/>
  <c r="K246" i="8"/>
  <c r="K244" i="8"/>
  <c r="K195" i="8"/>
  <c r="K203" i="8"/>
  <c r="K196" i="8"/>
  <c r="K197" i="8"/>
  <c r="K200" i="8"/>
  <c r="K194" i="8"/>
  <c r="R194" i="8" s="1"/>
  <c r="G235" i="8"/>
  <c r="G230" i="8"/>
  <c r="G232" i="8"/>
  <c r="G233" i="8"/>
  <c r="G229" i="8"/>
  <c r="G231" i="8"/>
  <c r="G236" i="8"/>
  <c r="H232" i="8"/>
  <c r="H233" i="8"/>
  <c r="H234" i="8"/>
  <c r="H235" i="8"/>
  <c r="H230" i="8"/>
  <c r="H236" i="8"/>
  <c r="H228" i="8"/>
  <c r="H237" i="8"/>
  <c r="H231" i="8"/>
  <c r="H229" i="8"/>
  <c r="H227" i="8"/>
  <c r="G237" i="8"/>
  <c r="N237" i="8" s="1"/>
  <c r="G228" i="8"/>
  <c r="N228" i="8" s="1"/>
  <c r="G227" i="8"/>
  <c r="N227" i="8" s="1"/>
  <c r="G234" i="8"/>
  <c r="H19" i="8"/>
  <c r="H18" i="8"/>
  <c r="H24" i="8"/>
  <c r="H25" i="8"/>
  <c r="H20" i="8"/>
  <c r="H26" i="8"/>
  <c r="H27" i="8"/>
  <c r="N27" i="8" s="1"/>
  <c r="H28" i="8"/>
  <c r="H23" i="8"/>
  <c r="H22" i="8"/>
  <c r="H21" i="8"/>
  <c r="G19" i="8"/>
  <c r="N19" i="8" s="1"/>
  <c r="G21" i="8"/>
  <c r="N21" i="8" s="1"/>
  <c r="G24" i="8"/>
  <c r="N24" i="8" s="1"/>
  <c r="G18" i="8"/>
  <c r="N18" i="8" s="1"/>
  <c r="G23" i="8"/>
  <c r="N23" i="8" s="1"/>
  <c r="G25" i="8"/>
  <c r="N25" i="8" s="1"/>
  <c r="G20" i="8"/>
  <c r="N20" i="8" s="1"/>
  <c r="G26" i="8"/>
  <c r="N26" i="8" s="1"/>
  <c r="G22" i="8"/>
  <c r="N22" i="8" s="1"/>
  <c r="G28" i="8"/>
  <c r="N28" i="8" s="1"/>
  <c r="O27" i="8"/>
  <c r="P27" i="8" s="1"/>
  <c r="Q27" i="8"/>
  <c r="M216" i="8"/>
  <c r="L216" i="8"/>
  <c r="K216" i="8"/>
  <c r="J216" i="8"/>
  <c r="I216" i="8"/>
  <c r="W26" i="7"/>
  <c r="J26" i="7"/>
  <c r="X26" i="7"/>
  <c r="I222" i="8"/>
  <c r="T221" i="8"/>
  <c r="S221" i="8"/>
  <c r="R221" i="8"/>
  <c r="M221" i="8"/>
  <c r="L221" i="8"/>
  <c r="K221" i="8"/>
  <c r="J221" i="8"/>
  <c r="I221" i="8"/>
  <c r="T220" i="8"/>
  <c r="S220" i="8"/>
  <c r="R220" i="8"/>
  <c r="M220" i="8"/>
  <c r="L220" i="8"/>
  <c r="K220" i="8"/>
  <c r="J220" i="8"/>
  <c r="I220" i="8"/>
  <c r="S216" i="8"/>
  <c r="T219" i="8"/>
  <c r="S219" i="8"/>
  <c r="R219" i="8"/>
  <c r="M219" i="8"/>
  <c r="L219" i="8"/>
  <c r="K219" i="8"/>
  <c r="J219" i="8"/>
  <c r="I219" i="8"/>
  <c r="T218" i="8"/>
  <c r="S218" i="8"/>
  <c r="R218" i="8"/>
  <c r="M218" i="8"/>
  <c r="L218" i="8"/>
  <c r="K218" i="8"/>
  <c r="J218" i="8"/>
  <c r="I218" i="8"/>
  <c r="T217" i="8"/>
  <c r="S217" i="8"/>
  <c r="R217" i="8"/>
  <c r="M217" i="8"/>
  <c r="L217" i="8"/>
  <c r="K217" i="8"/>
  <c r="J217" i="8"/>
  <c r="I217" i="8"/>
  <c r="T216" i="8"/>
  <c r="R216" i="8"/>
  <c r="M183" i="8"/>
  <c r="J183" i="8"/>
  <c r="M23" i="7"/>
  <c r="W23" i="7"/>
  <c r="AA23" i="7"/>
  <c r="L23" i="7" s="1"/>
  <c r="X23" i="7"/>
  <c r="S193" i="8"/>
  <c r="K193" i="8"/>
  <c r="K192" i="8"/>
  <c r="J191" i="8"/>
  <c r="S190" i="8"/>
  <c r="K190" i="8"/>
  <c r="R189" i="8"/>
  <c r="M189" i="8"/>
  <c r="I189" i="8"/>
  <c r="I185" i="8"/>
  <c r="S184" i="8"/>
  <c r="K184" i="8"/>
  <c r="S183" i="8"/>
  <c r="M150" i="8"/>
  <c r="L150" i="8"/>
  <c r="K150" i="8"/>
  <c r="J150" i="8"/>
  <c r="I150" i="8"/>
  <c r="R150" i="8" s="1"/>
  <c r="AA20" i="7"/>
  <c r="L20" i="7" s="1"/>
  <c r="K20" i="7"/>
  <c r="W20" i="7"/>
  <c r="M20" i="7"/>
  <c r="X20" i="7"/>
  <c r="K155" i="8"/>
  <c r="J155" i="8"/>
  <c r="I155" i="8"/>
  <c r="T152" i="8"/>
  <c r="T154" i="8"/>
  <c r="S154" i="8"/>
  <c r="R154" i="8"/>
  <c r="M154" i="8"/>
  <c r="L154" i="8"/>
  <c r="K154" i="8"/>
  <c r="J154" i="8"/>
  <c r="I154" i="8"/>
  <c r="T153" i="8"/>
  <c r="S153" i="8"/>
  <c r="R153" i="8"/>
  <c r="M153" i="8"/>
  <c r="L153" i="8"/>
  <c r="K153" i="8"/>
  <c r="J153" i="8"/>
  <c r="I153" i="8"/>
  <c r="S152" i="8"/>
  <c r="R152" i="8"/>
  <c r="M152" i="8"/>
  <c r="L152" i="8"/>
  <c r="K152" i="8"/>
  <c r="J152" i="8"/>
  <c r="I152" i="8"/>
  <c r="T151" i="8"/>
  <c r="S151" i="8"/>
  <c r="R151" i="8"/>
  <c r="M151" i="8"/>
  <c r="L151" i="8"/>
  <c r="K151" i="8"/>
  <c r="J151" i="8"/>
  <c r="I151" i="8"/>
  <c r="T150" i="8"/>
  <c r="S150" i="8"/>
  <c r="S106" i="8"/>
  <c r="I106" i="8"/>
  <c r="J106" i="8"/>
  <c r="K106" i="8"/>
  <c r="T106" i="8"/>
  <c r="L106" i="8"/>
  <c r="M106" i="8"/>
  <c r="I107" i="8"/>
  <c r="J107" i="8"/>
  <c r="F96" i="8"/>
  <c r="B7" i="9"/>
  <c r="D7" i="9" s="1"/>
  <c r="Z14" i="7"/>
  <c r="C66" i="4" s="1"/>
  <c r="C65" i="4"/>
  <c r="H64" i="8"/>
  <c r="H70" i="8"/>
  <c r="N70" i="8" s="1"/>
  <c r="H69" i="8"/>
  <c r="N69" i="8" s="1"/>
  <c r="H71" i="8"/>
  <c r="N71" i="8" s="1"/>
  <c r="H62" i="8"/>
  <c r="N62" i="8" s="1"/>
  <c r="H66" i="8"/>
  <c r="H68" i="8"/>
  <c r="H72" i="8"/>
  <c r="N72" i="8" s="1"/>
  <c r="H67" i="8"/>
  <c r="N67" i="8" s="1"/>
  <c r="H65" i="8"/>
  <c r="N65" i="8" s="1"/>
  <c r="H63" i="8"/>
  <c r="N63" i="8" s="1"/>
  <c r="G66" i="8"/>
  <c r="N66" i="8" s="1"/>
  <c r="G68" i="8"/>
  <c r="N68" i="8" s="1"/>
  <c r="I53" i="8"/>
  <c r="J55" i="8"/>
  <c r="H54" i="8"/>
  <c r="W11" i="7"/>
  <c r="T61" i="8"/>
  <c r="K57" i="8"/>
  <c r="G56" i="8"/>
  <c r="G53" i="8"/>
  <c r="G54" i="8"/>
  <c r="N54" i="8" s="1"/>
  <c r="G55" i="8"/>
  <c r="G57" i="8"/>
  <c r="G52" i="8"/>
  <c r="H53" i="8"/>
  <c r="H52" i="8"/>
  <c r="H59" i="8"/>
  <c r="N59" i="8" s="1"/>
  <c r="Q59" i="8" s="1"/>
  <c r="H55" i="8"/>
  <c r="H57" i="8"/>
  <c r="H56" i="8"/>
  <c r="H60" i="8"/>
  <c r="N60" i="8" s="1"/>
  <c r="H61" i="8"/>
  <c r="N61" i="8" s="1"/>
  <c r="H51" i="8"/>
  <c r="N51" i="8" s="1"/>
  <c r="H58" i="8"/>
  <c r="N58" i="8" s="1"/>
  <c r="O59" i="8"/>
  <c r="P59" i="8" s="1"/>
  <c r="G14" i="8"/>
  <c r="G8" i="8"/>
  <c r="G16" i="8"/>
  <c r="G11" i="8"/>
  <c r="G15" i="8"/>
  <c r="G9" i="8"/>
  <c r="G7" i="8"/>
  <c r="G13" i="8"/>
  <c r="G17" i="8"/>
  <c r="G12" i="8"/>
  <c r="C23" i="1" l="1"/>
  <c r="G85" i="8"/>
  <c r="N234" i="8"/>
  <c r="J181" i="8"/>
  <c r="L179" i="8"/>
  <c r="I174" i="8"/>
  <c r="S174" i="8"/>
  <c r="I175" i="8"/>
  <c r="M175" i="8"/>
  <c r="I176" i="8"/>
  <c r="K177" i="8"/>
  <c r="S177" i="8"/>
  <c r="I179" i="8"/>
  <c r="K182" i="8"/>
  <c r="T178" i="8"/>
  <c r="I177" i="8"/>
  <c r="R177" i="8"/>
  <c r="I178" i="8"/>
  <c r="S178" i="8"/>
  <c r="S182" i="8"/>
  <c r="AA22" i="7"/>
  <c r="L22" i="7" s="1"/>
  <c r="M22" i="7"/>
  <c r="J22" i="7"/>
  <c r="M172" i="8"/>
  <c r="K22" i="7"/>
  <c r="M176" i="8"/>
  <c r="J182" i="8"/>
  <c r="R181" i="8"/>
  <c r="T180" i="8"/>
  <c r="M177" i="8"/>
  <c r="S176" i="8"/>
  <c r="J176" i="8"/>
  <c r="R174" i="8"/>
  <c r="J174" i="8"/>
  <c r="R182" i="8"/>
  <c r="M181" i="8"/>
  <c r="L180" i="8"/>
  <c r="M179" i="8"/>
  <c r="J179" i="8"/>
  <c r="R175" i="8"/>
  <c r="L173" i="8"/>
  <c r="T182" i="8"/>
  <c r="S181" i="8"/>
  <c r="M180" i="8"/>
  <c r="J177" i="8"/>
  <c r="S175" i="8"/>
  <c r="L175" i="8"/>
  <c r="R172" i="8"/>
  <c r="Q22" i="7"/>
  <c r="K181" i="8"/>
  <c r="H199" i="8"/>
  <c r="H194" i="8"/>
  <c r="H196" i="8"/>
  <c r="H198" i="8"/>
  <c r="H201" i="8"/>
  <c r="H195" i="8"/>
  <c r="H197" i="8"/>
  <c r="H200" i="8"/>
  <c r="H202" i="8"/>
  <c r="H203" i="8"/>
  <c r="H204" i="8"/>
  <c r="G202" i="8"/>
  <c r="G200" i="8"/>
  <c r="N200" i="8" s="1"/>
  <c r="G199" i="8"/>
  <c r="G204" i="8"/>
  <c r="G195" i="8"/>
  <c r="G194" i="8"/>
  <c r="G201" i="8"/>
  <c r="N201" i="8" s="1"/>
  <c r="G198" i="8"/>
  <c r="N198" i="8" s="1"/>
  <c r="G197" i="8"/>
  <c r="G196" i="8"/>
  <c r="G203" i="8"/>
  <c r="H16" i="8"/>
  <c r="H13" i="8"/>
  <c r="N13" i="8" s="1"/>
  <c r="H7" i="8"/>
  <c r="H8" i="8"/>
  <c r="H15" i="8"/>
  <c r="H9" i="8"/>
  <c r="H17" i="8"/>
  <c r="N17" i="8" s="1"/>
  <c r="H10" i="8"/>
  <c r="N10" i="8" s="1"/>
  <c r="H11" i="8"/>
  <c r="H14" i="8"/>
  <c r="N14" i="8" s="1"/>
  <c r="H12" i="8"/>
  <c r="N12" i="8" s="1"/>
  <c r="H261" i="8"/>
  <c r="H269" i="8"/>
  <c r="H260" i="8"/>
  <c r="H270" i="8"/>
  <c r="H264" i="8"/>
  <c r="H266" i="8"/>
  <c r="H265" i="8"/>
  <c r="H267" i="8"/>
  <c r="H263" i="8"/>
  <c r="H268" i="8"/>
  <c r="H262" i="8"/>
  <c r="G269" i="8"/>
  <c r="N269" i="8" s="1"/>
  <c r="G260" i="8"/>
  <c r="N260" i="8" s="1"/>
  <c r="G270" i="8"/>
  <c r="N270" i="8" s="1"/>
  <c r="G111" i="8"/>
  <c r="G112" i="8"/>
  <c r="G113" i="8"/>
  <c r="G106" i="8"/>
  <c r="G107" i="8"/>
  <c r="G94" i="8"/>
  <c r="G86" i="8"/>
  <c r="O60" i="8"/>
  <c r="P60" i="8" s="1"/>
  <c r="Q60" i="8"/>
  <c r="M142" i="8"/>
  <c r="R142" i="8"/>
  <c r="S142" i="8"/>
  <c r="T142" i="8"/>
  <c r="I143" i="8"/>
  <c r="J143" i="8"/>
  <c r="K143" i="8"/>
  <c r="L143" i="8"/>
  <c r="M143" i="8"/>
  <c r="R143" i="8"/>
  <c r="S143" i="8"/>
  <c r="T143" i="8"/>
  <c r="I144" i="8"/>
  <c r="J144" i="8"/>
  <c r="K144" i="8"/>
  <c r="L144" i="8"/>
  <c r="M144" i="8"/>
  <c r="R144" i="8"/>
  <c r="S144" i="8"/>
  <c r="T144" i="8"/>
  <c r="I145" i="8"/>
  <c r="J145" i="8"/>
  <c r="K145" i="8"/>
  <c r="L145" i="8"/>
  <c r="M145" i="8"/>
  <c r="R145" i="8"/>
  <c r="S145" i="8"/>
  <c r="T145" i="8"/>
  <c r="I146" i="8"/>
  <c r="J146" i="8"/>
  <c r="K146" i="8"/>
  <c r="L146" i="8"/>
  <c r="M146" i="8"/>
  <c r="R146" i="8"/>
  <c r="S146" i="8"/>
  <c r="T146" i="8"/>
  <c r="I147" i="8"/>
  <c r="J147" i="8"/>
  <c r="K147" i="8"/>
  <c r="L147" i="8"/>
  <c r="M147" i="8"/>
  <c r="R147" i="8"/>
  <c r="S147" i="8"/>
  <c r="T147" i="8"/>
  <c r="I148" i="8"/>
  <c r="J148" i="8"/>
  <c r="K148" i="8"/>
  <c r="L148" i="8"/>
  <c r="M148" i="8"/>
  <c r="R148" i="8"/>
  <c r="S148" i="8"/>
  <c r="T148" i="8"/>
  <c r="I149" i="8"/>
  <c r="J149" i="8"/>
  <c r="K149" i="8"/>
  <c r="L149" i="8"/>
  <c r="M149" i="8"/>
  <c r="R149" i="8"/>
  <c r="S149" i="8"/>
  <c r="T149" i="8"/>
  <c r="Q19" i="7"/>
  <c r="B23" i="1" s="1"/>
  <c r="K19" i="7"/>
  <c r="W19" i="7"/>
  <c r="AA19" i="7"/>
  <c r="L19" i="7" s="1"/>
  <c r="J19" i="7"/>
  <c r="G108" i="8"/>
  <c r="G109" i="8"/>
  <c r="G110" i="8"/>
  <c r="H108" i="8"/>
  <c r="H109" i="8"/>
  <c r="H110" i="8"/>
  <c r="G184" i="8"/>
  <c r="N202" i="8"/>
  <c r="N199" i="8"/>
  <c r="N204" i="8"/>
  <c r="N195" i="8"/>
  <c r="N194" i="8"/>
  <c r="N197" i="8"/>
  <c r="N196" i="8"/>
  <c r="N203" i="8"/>
  <c r="R106" i="8"/>
  <c r="N64" i="8"/>
  <c r="M139" i="8"/>
  <c r="K139" i="8"/>
  <c r="L139" i="8"/>
  <c r="R139" i="8"/>
  <c r="S139" i="8"/>
  <c r="T139" i="8"/>
  <c r="I140" i="8"/>
  <c r="J140" i="8"/>
  <c r="K140" i="8"/>
  <c r="L140" i="8"/>
  <c r="M140" i="8"/>
  <c r="J139" i="8"/>
  <c r="I139" i="8"/>
  <c r="X19" i="7"/>
  <c r="M19" i="7"/>
  <c r="L142" i="8"/>
  <c r="K142" i="8"/>
  <c r="J142" i="8"/>
  <c r="I142" i="8"/>
  <c r="T141" i="8"/>
  <c r="S141" i="8"/>
  <c r="R141" i="8"/>
  <c r="M141" i="8"/>
  <c r="L141" i="8"/>
  <c r="K141" i="8"/>
  <c r="J141" i="8"/>
  <c r="I141" i="8"/>
  <c r="T140" i="8"/>
  <c r="S140" i="8"/>
  <c r="R140" i="8"/>
  <c r="J126" i="8"/>
  <c r="I126" i="8"/>
  <c r="T125" i="8"/>
  <c r="S125" i="8"/>
  <c r="R125" i="8"/>
  <c r="M125" i="8"/>
  <c r="L125" i="8"/>
  <c r="K125" i="8"/>
  <c r="J125" i="8"/>
  <c r="I125" i="8"/>
  <c r="T124" i="8"/>
  <c r="S124" i="8"/>
  <c r="R124" i="8"/>
  <c r="M124" i="8"/>
  <c r="L124" i="8"/>
  <c r="K124" i="8"/>
  <c r="I124" i="8"/>
  <c r="T123" i="8"/>
  <c r="S123" i="8"/>
  <c r="R123" i="8"/>
  <c r="M123" i="8"/>
  <c r="L123" i="8"/>
  <c r="K123" i="8"/>
  <c r="J123" i="8"/>
  <c r="I123" i="8"/>
  <c r="T122" i="8"/>
  <c r="S122" i="8"/>
  <c r="R122" i="8"/>
  <c r="M122" i="8"/>
  <c r="L122" i="8"/>
  <c r="K122" i="8"/>
  <c r="J122" i="8"/>
  <c r="I122" i="8"/>
  <c r="T121" i="8"/>
  <c r="S121" i="8"/>
  <c r="R121" i="8"/>
  <c r="M121" i="8"/>
  <c r="L121" i="8"/>
  <c r="K121" i="8"/>
  <c r="J121" i="8"/>
  <c r="I121" i="8"/>
  <c r="T120" i="8"/>
  <c r="S120" i="8"/>
  <c r="R120" i="8"/>
  <c r="M120" i="8"/>
  <c r="L120" i="8"/>
  <c r="K120" i="8"/>
  <c r="J120" i="8"/>
  <c r="I120" i="8"/>
  <c r="T119" i="8"/>
  <c r="S119" i="8"/>
  <c r="R119" i="8"/>
  <c r="M119" i="8"/>
  <c r="L119" i="8"/>
  <c r="K119" i="8"/>
  <c r="J119" i="8"/>
  <c r="I119" i="8"/>
  <c r="T118" i="8"/>
  <c r="S118" i="8"/>
  <c r="R118" i="8"/>
  <c r="M118" i="8"/>
  <c r="L118" i="8"/>
  <c r="K118" i="8"/>
  <c r="J118" i="8"/>
  <c r="I118" i="8"/>
  <c r="T117" i="8"/>
  <c r="S117" i="8"/>
  <c r="R117" i="8"/>
  <c r="M117" i="8"/>
  <c r="L117" i="8"/>
  <c r="K117" i="8"/>
  <c r="J117" i="8"/>
  <c r="I117" i="8"/>
  <c r="AA17" i="7"/>
  <c r="K17" i="7"/>
  <c r="W17" i="7"/>
  <c r="L17" i="7"/>
  <c r="Q17" i="7"/>
  <c r="M17" i="7"/>
  <c r="H119" i="8" s="1"/>
  <c r="X17" i="7"/>
  <c r="J17" i="7"/>
  <c r="G127" i="8" s="1"/>
  <c r="T127" i="8"/>
  <c r="S127" i="8"/>
  <c r="R127" i="8"/>
  <c r="M127" i="8"/>
  <c r="L127" i="8"/>
  <c r="K127" i="8"/>
  <c r="J127" i="8"/>
  <c r="I127" i="8"/>
  <c r="J124" i="8"/>
  <c r="T126" i="8"/>
  <c r="S126" i="8"/>
  <c r="R126" i="8"/>
  <c r="M126" i="8"/>
  <c r="L126" i="8"/>
  <c r="K126" i="8"/>
  <c r="G265" i="8"/>
  <c r="N265" i="8" s="1"/>
  <c r="G267" i="8"/>
  <c r="N267" i="8" s="1"/>
  <c r="Q267" i="8" s="1"/>
  <c r="G261" i="8"/>
  <c r="N261" i="8" s="1"/>
  <c r="G262" i="8"/>
  <c r="N262" i="8" s="1"/>
  <c r="G263" i="8"/>
  <c r="N263" i="8" s="1"/>
  <c r="G264" i="8"/>
  <c r="N264" i="8" s="1"/>
  <c r="G266" i="8"/>
  <c r="N266" i="8" s="1"/>
  <c r="G268" i="8"/>
  <c r="N268" i="8" s="1"/>
  <c r="H252" i="8"/>
  <c r="H253" i="8"/>
  <c r="H254" i="8"/>
  <c r="H255" i="8"/>
  <c r="H256" i="8"/>
  <c r="H257" i="8"/>
  <c r="H258" i="8"/>
  <c r="H259" i="8"/>
  <c r="H251" i="8"/>
  <c r="H250" i="8"/>
  <c r="H249" i="8"/>
  <c r="G259" i="8"/>
  <c r="N259" i="8" s="1"/>
  <c r="G249" i="8"/>
  <c r="N249" i="8" s="1"/>
  <c r="G256" i="8"/>
  <c r="N256" i="8" s="1"/>
  <c r="G250" i="8"/>
  <c r="N250" i="8" s="1"/>
  <c r="G251" i="8"/>
  <c r="N251" i="8" s="1"/>
  <c r="G252" i="8"/>
  <c r="N252" i="8" s="1"/>
  <c r="G253" i="8"/>
  <c r="N253" i="8" s="1"/>
  <c r="G254" i="8"/>
  <c r="N254" i="8" s="1"/>
  <c r="G255" i="8"/>
  <c r="N255" i="8" s="1"/>
  <c r="G257" i="8"/>
  <c r="N257" i="8" s="1"/>
  <c r="G258" i="8"/>
  <c r="N258" i="8" s="1"/>
  <c r="G245" i="8"/>
  <c r="N245" i="8" s="1"/>
  <c r="G243" i="8"/>
  <c r="N243" i="8" s="1"/>
  <c r="G241" i="8"/>
  <c r="G240" i="8"/>
  <c r="G239" i="8"/>
  <c r="G246" i="8"/>
  <c r="G238" i="8"/>
  <c r="G244" i="8"/>
  <c r="G248" i="8"/>
  <c r="G242" i="8"/>
  <c r="H244" i="8"/>
  <c r="H245" i="8"/>
  <c r="H246" i="8"/>
  <c r="H238" i="8"/>
  <c r="H239" i="8"/>
  <c r="H240" i="8"/>
  <c r="H241" i="8"/>
  <c r="H242" i="8"/>
  <c r="H243" i="8"/>
  <c r="H247" i="8"/>
  <c r="N247" i="8" s="1"/>
  <c r="H248" i="8"/>
  <c r="H216" i="8"/>
  <c r="H220" i="8"/>
  <c r="H222" i="8"/>
  <c r="H225" i="8"/>
  <c r="H217" i="8"/>
  <c r="H223" i="8"/>
  <c r="H221" i="8"/>
  <c r="H219" i="8"/>
  <c r="H218" i="8"/>
  <c r="H224" i="8"/>
  <c r="H226" i="8"/>
  <c r="G222" i="8"/>
  <c r="G221" i="8"/>
  <c r="G220" i="8"/>
  <c r="G190" i="8"/>
  <c r="G191" i="8"/>
  <c r="G189" i="8"/>
  <c r="G186" i="8"/>
  <c r="G188" i="8"/>
  <c r="G183" i="8"/>
  <c r="G192" i="8"/>
  <c r="G185" i="8"/>
  <c r="G193" i="8"/>
  <c r="G187" i="8"/>
  <c r="G154" i="8"/>
  <c r="G151" i="8"/>
  <c r="G153" i="8"/>
  <c r="G152" i="8"/>
  <c r="G116" i="8"/>
  <c r="G115" i="8"/>
  <c r="H116" i="8"/>
  <c r="H115" i="8"/>
  <c r="H111" i="8"/>
  <c r="N111" i="8" s="1"/>
  <c r="H114" i="8"/>
  <c r="N114" i="8" s="1"/>
  <c r="H113" i="8"/>
  <c r="N113" i="8" s="1"/>
  <c r="H112" i="8"/>
  <c r="N112" i="8" s="1"/>
  <c r="H106" i="8"/>
  <c r="N106" i="8" s="1"/>
  <c r="E13" i="1"/>
  <c r="I45" i="1"/>
  <c r="D13" i="1"/>
  <c r="H45" i="1"/>
  <c r="J21" i="7"/>
  <c r="X21" i="7"/>
  <c r="AA21" i="7"/>
  <c r="L21" i="7" s="1"/>
  <c r="W21" i="7"/>
  <c r="M21" i="7"/>
  <c r="I161" i="8"/>
  <c r="J161" i="8"/>
  <c r="K161" i="8"/>
  <c r="L161" i="8"/>
  <c r="M161" i="8"/>
  <c r="R161" i="8"/>
  <c r="S161" i="8"/>
  <c r="T161" i="8"/>
  <c r="I162" i="8"/>
  <c r="J162" i="8"/>
  <c r="K162" i="8"/>
  <c r="L162" i="8"/>
  <c r="M162" i="8"/>
  <c r="R162" i="8"/>
  <c r="S162" i="8"/>
  <c r="T162" i="8"/>
  <c r="I163" i="8"/>
  <c r="J163" i="8"/>
  <c r="K163" i="8"/>
  <c r="L163" i="8"/>
  <c r="M163" i="8"/>
  <c r="R163" i="8"/>
  <c r="S163" i="8"/>
  <c r="T163" i="8"/>
  <c r="I164" i="8"/>
  <c r="J164" i="8"/>
  <c r="K164" i="8"/>
  <c r="L164" i="8"/>
  <c r="M164" i="8"/>
  <c r="R164" i="8"/>
  <c r="S164" i="8"/>
  <c r="T164" i="8"/>
  <c r="I165" i="8"/>
  <c r="J165" i="8"/>
  <c r="K165" i="8"/>
  <c r="L165" i="8"/>
  <c r="M165" i="8"/>
  <c r="R165" i="8"/>
  <c r="S165" i="8"/>
  <c r="T165" i="8"/>
  <c r="I166" i="8"/>
  <c r="J166" i="8"/>
  <c r="K166" i="8"/>
  <c r="L166" i="8"/>
  <c r="M166" i="8"/>
  <c r="R166" i="8"/>
  <c r="S166" i="8"/>
  <c r="T166" i="8"/>
  <c r="I167" i="8"/>
  <c r="J167" i="8"/>
  <c r="K167" i="8"/>
  <c r="L167" i="8"/>
  <c r="M167" i="8"/>
  <c r="R167" i="8"/>
  <c r="S167" i="8"/>
  <c r="T167" i="8"/>
  <c r="I168" i="8"/>
  <c r="J168" i="8"/>
  <c r="K168" i="8"/>
  <c r="L168" i="8"/>
  <c r="M168" i="8"/>
  <c r="R168" i="8"/>
  <c r="S168" i="8"/>
  <c r="T168" i="8"/>
  <c r="I169" i="8"/>
  <c r="J169" i="8"/>
  <c r="K169" i="8"/>
  <c r="L169" i="8"/>
  <c r="M169" i="8"/>
  <c r="R169" i="8"/>
  <c r="S169" i="8"/>
  <c r="T169" i="8"/>
  <c r="I170" i="8"/>
  <c r="J170" i="8"/>
  <c r="K170" i="8"/>
  <c r="L170" i="8"/>
  <c r="M170" i="8"/>
  <c r="R170" i="8"/>
  <c r="S170" i="8"/>
  <c r="T170" i="8"/>
  <c r="I171" i="8"/>
  <c r="J171" i="8"/>
  <c r="K171" i="8"/>
  <c r="L171" i="8"/>
  <c r="M171" i="8"/>
  <c r="R171" i="8"/>
  <c r="S171" i="8"/>
  <c r="T171" i="8"/>
  <c r="K21" i="7"/>
  <c r="Q21" i="7"/>
  <c r="J18" i="7"/>
  <c r="G137" i="8" s="1"/>
  <c r="Q18" i="7"/>
  <c r="K18" i="7"/>
  <c r="W18" i="7"/>
  <c r="AA18" i="7"/>
  <c r="G128" i="8"/>
  <c r="I128" i="8"/>
  <c r="J128" i="8"/>
  <c r="K128" i="8"/>
  <c r="L128" i="8"/>
  <c r="M128" i="8"/>
  <c r="R128" i="8"/>
  <c r="S128" i="8"/>
  <c r="T128" i="8"/>
  <c r="I129" i="8"/>
  <c r="J129" i="8"/>
  <c r="K129" i="8"/>
  <c r="L129" i="8"/>
  <c r="M129" i="8"/>
  <c r="R129" i="8"/>
  <c r="S129" i="8"/>
  <c r="T129" i="8"/>
  <c r="I130" i="8"/>
  <c r="J130" i="8"/>
  <c r="K130" i="8"/>
  <c r="L130" i="8"/>
  <c r="M130" i="8"/>
  <c r="R130" i="8"/>
  <c r="S130" i="8"/>
  <c r="T130" i="8"/>
  <c r="I131" i="8"/>
  <c r="J131" i="8"/>
  <c r="K131" i="8"/>
  <c r="L131" i="8"/>
  <c r="M131" i="8"/>
  <c r="R131" i="8"/>
  <c r="S131" i="8"/>
  <c r="T131" i="8"/>
  <c r="I132" i="8"/>
  <c r="J132" i="8"/>
  <c r="K132" i="8"/>
  <c r="L132" i="8"/>
  <c r="M132" i="8"/>
  <c r="R132" i="8"/>
  <c r="S132" i="8"/>
  <c r="T132" i="8"/>
  <c r="I133" i="8"/>
  <c r="J133" i="8"/>
  <c r="K133" i="8"/>
  <c r="L133" i="8"/>
  <c r="M133" i="8"/>
  <c r="R133" i="8"/>
  <c r="S133" i="8"/>
  <c r="T133" i="8"/>
  <c r="I134" i="8"/>
  <c r="J134" i="8"/>
  <c r="K134" i="8"/>
  <c r="L134" i="8"/>
  <c r="M134" i="8"/>
  <c r="R134" i="8"/>
  <c r="S134" i="8"/>
  <c r="T134" i="8"/>
  <c r="I135" i="8"/>
  <c r="J135" i="8"/>
  <c r="K135" i="8"/>
  <c r="L135" i="8"/>
  <c r="M135" i="8"/>
  <c r="R135" i="8"/>
  <c r="S135" i="8"/>
  <c r="T135" i="8"/>
  <c r="I136" i="8"/>
  <c r="J136" i="8"/>
  <c r="K136" i="8"/>
  <c r="L136" i="8"/>
  <c r="M136" i="8"/>
  <c r="R136" i="8"/>
  <c r="S136" i="8"/>
  <c r="T136" i="8"/>
  <c r="I137" i="8"/>
  <c r="J137" i="8"/>
  <c r="K137" i="8"/>
  <c r="L137" i="8"/>
  <c r="M137" i="8"/>
  <c r="R137" i="8"/>
  <c r="S137" i="8"/>
  <c r="T137" i="8"/>
  <c r="I138" i="8"/>
  <c r="J138" i="8"/>
  <c r="K138" i="8"/>
  <c r="L138" i="8"/>
  <c r="M138" i="8"/>
  <c r="R138" i="8"/>
  <c r="S138" i="8"/>
  <c r="T138" i="8"/>
  <c r="J10" i="7"/>
  <c r="G45" i="8" s="1"/>
  <c r="J40" i="8"/>
  <c r="T40" i="8"/>
  <c r="M41" i="8"/>
  <c r="L43" i="8"/>
  <c r="R44" i="8"/>
  <c r="J46" i="8"/>
  <c r="S47" i="8"/>
  <c r="W10" i="7"/>
  <c r="E49" i="1"/>
  <c r="K40" i="8"/>
  <c r="K41" i="8"/>
  <c r="J43" i="8"/>
  <c r="T44" i="8"/>
  <c r="M45" i="8"/>
  <c r="T45" i="8"/>
  <c r="I48" i="8"/>
  <c r="R48" i="8"/>
  <c r="M50" i="8"/>
  <c r="E45" i="1"/>
  <c r="I45" i="8"/>
  <c r="K46" i="8"/>
  <c r="L48" i="8"/>
  <c r="S48" i="8"/>
  <c r="K49" i="8"/>
  <c r="E46" i="1"/>
  <c r="E50" i="1"/>
  <c r="J45" i="8"/>
  <c r="I46" i="8"/>
  <c r="L47" i="8"/>
  <c r="M48" i="8"/>
  <c r="T48" i="8"/>
  <c r="J49" i="8"/>
  <c r="I50" i="8"/>
  <c r="T50" i="8"/>
  <c r="E48" i="1"/>
  <c r="L40" i="8"/>
  <c r="J41" i="8"/>
  <c r="T41" i="8"/>
  <c r="L42" i="8"/>
  <c r="M44" i="8"/>
  <c r="L49" i="8"/>
  <c r="S50" i="8"/>
  <c r="K10" i="7"/>
  <c r="S41" i="8"/>
  <c r="J42" i="8"/>
  <c r="T42" i="8"/>
  <c r="K43" i="8"/>
  <c r="L44" i="8"/>
  <c r="K48" i="8"/>
  <c r="E54" i="1"/>
  <c r="M40" i="8"/>
  <c r="I42" i="8"/>
  <c r="J44" i="8"/>
  <c r="R45" i="8"/>
  <c r="I47" i="8"/>
  <c r="M49" i="8"/>
  <c r="R49" i="8"/>
  <c r="E47" i="1"/>
  <c r="E55" i="1"/>
  <c r="I49" i="8"/>
  <c r="T49" i="8"/>
  <c r="E53" i="1"/>
  <c r="I40" i="8"/>
  <c r="R40" i="8" s="1"/>
  <c r="G41" i="8"/>
  <c r="L41" i="8"/>
  <c r="R41" i="8"/>
  <c r="S42" i="8"/>
  <c r="I43" i="8"/>
  <c r="I44" i="8"/>
  <c r="S44" i="8"/>
  <c r="K45" i="8"/>
  <c r="M46" i="8"/>
  <c r="S46" i="8"/>
  <c r="J47" i="8"/>
  <c r="M47" i="8"/>
  <c r="Q10" i="7"/>
  <c r="I41" i="8"/>
  <c r="T43" i="8"/>
  <c r="K44" i="8"/>
  <c r="L45" i="8"/>
  <c r="R46" i="8"/>
  <c r="R47" i="8"/>
  <c r="J48" i="8"/>
  <c r="J50" i="8"/>
  <c r="AA10" i="7"/>
  <c r="R43" i="8"/>
  <c r="K47" i="8"/>
  <c r="T47" i="8"/>
  <c r="R50" i="8"/>
  <c r="S43" i="8"/>
  <c r="S45" i="8"/>
  <c r="L50" i="8"/>
  <c r="K42" i="8"/>
  <c r="M43" i="8"/>
  <c r="L46" i="8"/>
  <c r="T46" i="8"/>
  <c r="S49" i="8"/>
  <c r="K50" i="8"/>
  <c r="E51" i="1"/>
  <c r="E52" i="1"/>
  <c r="S40" i="8"/>
  <c r="M42" i="8"/>
  <c r="R42" i="8"/>
  <c r="L29" i="8"/>
  <c r="T29" i="8"/>
  <c r="K30" i="8"/>
  <c r="R30" i="8"/>
  <c r="L31" i="8"/>
  <c r="R31" i="8"/>
  <c r="M32" i="8"/>
  <c r="T32" i="8"/>
  <c r="J33" i="8"/>
  <c r="M33" i="8"/>
  <c r="R33" i="8"/>
  <c r="L34" i="8"/>
  <c r="R34" i="8"/>
  <c r="T34" i="8"/>
  <c r="M35" i="8"/>
  <c r="S35" i="8"/>
  <c r="M36" i="8"/>
  <c r="L39" i="8"/>
  <c r="S37" i="8"/>
  <c r="T38" i="8"/>
  <c r="J39" i="8"/>
  <c r="Q9" i="7"/>
  <c r="D48" i="1"/>
  <c r="S32" i="8"/>
  <c r="L33" i="8"/>
  <c r="K35" i="8"/>
  <c r="R35" i="8"/>
  <c r="I38" i="8"/>
  <c r="T39" i="8"/>
  <c r="D52" i="1"/>
  <c r="I30" i="8"/>
  <c r="M31" i="8"/>
  <c r="S31" i="8"/>
  <c r="L32" i="8"/>
  <c r="I33" i="8"/>
  <c r="S33" i="8"/>
  <c r="K34" i="8"/>
  <c r="T36" i="8"/>
  <c r="L37" i="8"/>
  <c r="S38" i="8"/>
  <c r="AA9" i="7"/>
  <c r="D54" i="1"/>
  <c r="S30" i="8"/>
  <c r="J31" i="8"/>
  <c r="K32" i="8"/>
  <c r="R32" i="8"/>
  <c r="K33" i="8"/>
  <c r="S36" i="8"/>
  <c r="M37" i="8"/>
  <c r="R37" i="8"/>
  <c r="J38" i="8"/>
  <c r="R38" i="8"/>
  <c r="D51" i="1"/>
  <c r="D47" i="1"/>
  <c r="D50" i="1"/>
  <c r="W9" i="7"/>
  <c r="D45" i="1"/>
  <c r="D23" i="1"/>
  <c r="D46" i="1"/>
  <c r="I29" i="8"/>
  <c r="M29" i="8"/>
  <c r="J30" i="8"/>
  <c r="T30" i="8"/>
  <c r="K31" i="8"/>
  <c r="T31" i="8"/>
  <c r="J32" i="8"/>
  <c r="S34" i="8"/>
  <c r="J36" i="8"/>
  <c r="T37" i="8"/>
  <c r="L38" i="8"/>
  <c r="J29" i="8"/>
  <c r="M30" i="8"/>
  <c r="I35" i="8"/>
  <c r="I39" i="8"/>
  <c r="J9" i="7"/>
  <c r="K9" i="7"/>
  <c r="D53" i="1"/>
  <c r="D55" i="1"/>
  <c r="S29" i="8"/>
  <c r="L30" i="8"/>
  <c r="I31" i="8"/>
  <c r="I32" i="8"/>
  <c r="I34" i="8"/>
  <c r="G35" i="8"/>
  <c r="I36" i="8"/>
  <c r="R36" i="8"/>
  <c r="J37" i="8"/>
  <c r="K39" i="8"/>
  <c r="K29" i="8"/>
  <c r="G32" i="8"/>
  <c r="J34" i="8"/>
  <c r="J35" i="8"/>
  <c r="T35" i="8"/>
  <c r="K36" i="8"/>
  <c r="I37" i="8"/>
  <c r="M38" i="8"/>
  <c r="M39" i="8"/>
  <c r="S39" i="8"/>
  <c r="R39" i="8"/>
  <c r="T33" i="8"/>
  <c r="M34" i="8"/>
  <c r="L35" i="8"/>
  <c r="L36" i="8"/>
  <c r="K37" i="8"/>
  <c r="K38" i="8"/>
  <c r="D49" i="1"/>
  <c r="O237" i="8"/>
  <c r="P237" i="8" s="1"/>
  <c r="Q237" i="8"/>
  <c r="O228" i="8"/>
  <c r="P228" i="8" s="1"/>
  <c r="Q228" i="8"/>
  <c r="O227" i="8"/>
  <c r="P227" i="8" s="1"/>
  <c r="Q227" i="8"/>
  <c r="O19" i="8"/>
  <c r="Q19" i="8"/>
  <c r="Q21" i="8"/>
  <c r="O21" i="8"/>
  <c r="O24" i="8"/>
  <c r="Q24" i="8"/>
  <c r="Q18" i="8"/>
  <c r="C61" i="1"/>
  <c r="O18" i="8"/>
  <c r="O23" i="8"/>
  <c r="Q23" i="8"/>
  <c r="O25" i="8"/>
  <c r="Q25" i="8"/>
  <c r="Q20" i="8"/>
  <c r="O20" i="8"/>
  <c r="Q26" i="8"/>
  <c r="O26" i="8"/>
  <c r="Q22" i="8"/>
  <c r="O22" i="8"/>
  <c r="O28" i="8"/>
  <c r="Q28" i="8"/>
  <c r="O260" i="8"/>
  <c r="P260" i="8" s="1"/>
  <c r="Q260" i="8"/>
  <c r="O270" i="8"/>
  <c r="P270" i="8" s="1"/>
  <c r="Q270" i="8"/>
  <c r="O269" i="8"/>
  <c r="P269" i="8" s="1"/>
  <c r="Q269" i="8"/>
  <c r="O268" i="8"/>
  <c r="P268" i="8" s="1"/>
  <c r="Q268" i="8"/>
  <c r="O266" i="8"/>
  <c r="P266" i="8" s="1"/>
  <c r="Q266" i="8"/>
  <c r="O264" i="8"/>
  <c r="P264" i="8" s="1"/>
  <c r="Q264" i="8"/>
  <c r="O263" i="8"/>
  <c r="P263" i="8" s="1"/>
  <c r="Q263" i="8"/>
  <c r="O262" i="8"/>
  <c r="P262" i="8" s="1"/>
  <c r="Q262" i="8"/>
  <c r="O261" i="8"/>
  <c r="P261" i="8" s="1"/>
  <c r="Q261" i="8"/>
  <c r="O267" i="8"/>
  <c r="P267" i="8" s="1"/>
  <c r="G223" i="8"/>
  <c r="G224" i="8"/>
  <c r="N224" i="8" s="1"/>
  <c r="G225" i="8"/>
  <c r="G226" i="8"/>
  <c r="N226" i="8" s="1"/>
  <c r="H189" i="8"/>
  <c r="N189" i="8" s="1"/>
  <c r="H184" i="8"/>
  <c r="H183" i="8"/>
  <c r="N183" i="8" s="1"/>
  <c r="H187" i="8"/>
  <c r="N187" i="8" s="1"/>
  <c r="H188" i="8"/>
  <c r="N188" i="8" s="1"/>
  <c r="H190" i="8"/>
  <c r="N190" i="8" s="1"/>
  <c r="H192" i="8"/>
  <c r="N192" i="8" s="1"/>
  <c r="H191" i="8"/>
  <c r="N191" i="8" s="1"/>
  <c r="H186" i="8"/>
  <c r="N186" i="8" s="1"/>
  <c r="H193" i="8"/>
  <c r="H185" i="8"/>
  <c r="H157" i="8"/>
  <c r="H156" i="8"/>
  <c r="H158" i="8"/>
  <c r="H159" i="8"/>
  <c r="H160" i="8"/>
  <c r="G156" i="8"/>
  <c r="G159" i="8"/>
  <c r="N159" i="8" s="1"/>
  <c r="G160" i="8"/>
  <c r="N160" i="8" s="1"/>
  <c r="G157" i="8"/>
  <c r="G158" i="8"/>
  <c r="O70" i="8"/>
  <c r="P70" i="8" s="1"/>
  <c r="Q70" i="8"/>
  <c r="Q69" i="8"/>
  <c r="O69" i="8"/>
  <c r="P69" i="8" s="1"/>
  <c r="O71" i="8"/>
  <c r="Q71" i="8"/>
  <c r="Q62" i="8"/>
  <c r="O62" i="8"/>
  <c r="P62" i="8" s="1"/>
  <c r="Q72" i="8"/>
  <c r="O72" i="8"/>
  <c r="P72" i="8" s="1"/>
  <c r="Q67" i="8"/>
  <c r="O67" i="8"/>
  <c r="P67" i="8" s="1"/>
  <c r="Q65" i="8"/>
  <c r="O65" i="8"/>
  <c r="P65" i="8" s="1"/>
  <c r="O63" i="8"/>
  <c r="P63" i="8" s="1"/>
  <c r="Q63" i="8"/>
  <c r="O66" i="8"/>
  <c r="P66" i="8" s="1"/>
  <c r="Q66" i="8"/>
  <c r="O68" i="8"/>
  <c r="P68" i="8" s="1"/>
  <c r="Q68" i="8"/>
  <c r="Q54" i="8"/>
  <c r="O54" i="8"/>
  <c r="P54" i="8" s="1"/>
  <c r="Q61" i="8"/>
  <c r="O61" i="8"/>
  <c r="P61" i="8" s="1"/>
  <c r="Q14" i="8"/>
  <c r="O14" i="8"/>
  <c r="Q13" i="8"/>
  <c r="O13" i="8"/>
  <c r="O17" i="8"/>
  <c r="Q17" i="8"/>
  <c r="Q12" i="8"/>
  <c r="O12" i="8"/>
  <c r="N229" i="8"/>
  <c r="N230" i="8"/>
  <c r="N233" i="8"/>
  <c r="N236" i="8"/>
  <c r="N107" i="8"/>
  <c r="N16" i="8"/>
  <c r="N235" i="8"/>
  <c r="N232" i="8"/>
  <c r="N231" i="8"/>
  <c r="N8" i="8"/>
  <c r="N11" i="8"/>
  <c r="N9" i="8"/>
  <c r="N7" i="8"/>
  <c r="N15" i="8"/>
  <c r="N56" i="8"/>
  <c r="N53" i="8"/>
  <c r="N55" i="8"/>
  <c r="N57" i="8"/>
  <c r="N52" i="8"/>
  <c r="G207" i="8"/>
  <c r="G215" i="8"/>
  <c r="G206" i="8"/>
  <c r="G213" i="8"/>
  <c r="G211" i="8"/>
  <c r="G208" i="8"/>
  <c r="H210" i="8"/>
  <c r="N210" i="8" s="1"/>
  <c r="H213" i="8"/>
  <c r="H214" i="8"/>
  <c r="N214" i="8" s="1"/>
  <c r="H206" i="8"/>
  <c r="H207" i="8"/>
  <c r="H208" i="8"/>
  <c r="H211" i="8"/>
  <c r="H212" i="8"/>
  <c r="N212" i="8" s="1"/>
  <c r="H205" i="8"/>
  <c r="N205" i="8" s="1"/>
  <c r="H209" i="8"/>
  <c r="N209" i="8" s="1"/>
  <c r="H215" i="8"/>
  <c r="H95" i="8"/>
  <c r="H96" i="8"/>
  <c r="H97" i="8"/>
  <c r="H98" i="8"/>
  <c r="H99" i="8"/>
  <c r="H100" i="8"/>
  <c r="H101" i="8"/>
  <c r="H102" i="8"/>
  <c r="H103" i="8"/>
  <c r="H104" i="8"/>
  <c r="H105" i="8"/>
  <c r="G96" i="8"/>
  <c r="N96" i="8" s="1"/>
  <c r="G97" i="8"/>
  <c r="N97" i="8" s="1"/>
  <c r="G98" i="8"/>
  <c r="G99" i="8"/>
  <c r="G105" i="8"/>
  <c r="G104" i="8"/>
  <c r="G103" i="8"/>
  <c r="G102" i="8"/>
  <c r="G101" i="8"/>
  <c r="G100" i="8"/>
  <c r="G95" i="8"/>
  <c r="G91" i="8"/>
  <c r="G92" i="8"/>
  <c r="G90" i="8"/>
  <c r="G89" i="8"/>
  <c r="G88" i="8"/>
  <c r="G87" i="8"/>
  <c r="G84" i="8"/>
  <c r="AO14" i="7"/>
  <c r="AP14" i="7" s="1"/>
  <c r="X14" i="7"/>
  <c r="H74" i="8"/>
  <c r="H75" i="8"/>
  <c r="H76" i="8"/>
  <c r="H78" i="8"/>
  <c r="H80" i="8"/>
  <c r="H81" i="8"/>
  <c r="H82" i="8"/>
  <c r="H73" i="8"/>
  <c r="H77" i="8"/>
  <c r="H79" i="8"/>
  <c r="H83" i="8"/>
  <c r="N83" i="8" s="1"/>
  <c r="G77" i="8"/>
  <c r="N77" i="8" s="1"/>
  <c r="G76" i="8"/>
  <c r="G73" i="8"/>
  <c r="N73" i="8" s="1"/>
  <c r="G75" i="8"/>
  <c r="G74" i="8"/>
  <c r="G79" i="8"/>
  <c r="G82" i="8"/>
  <c r="G81" i="8"/>
  <c r="G80" i="8"/>
  <c r="G78" i="8"/>
  <c r="G216" i="8"/>
  <c r="G219" i="8"/>
  <c r="G218" i="8"/>
  <c r="N218" i="8" s="1"/>
  <c r="G217" i="8"/>
  <c r="H150" i="8"/>
  <c r="H154" i="8"/>
  <c r="H152" i="8"/>
  <c r="H155" i="8"/>
  <c r="H151" i="8"/>
  <c r="H153" i="8"/>
  <c r="N153" i="8" s="1"/>
  <c r="G150" i="8"/>
  <c r="N150" i="8" s="1"/>
  <c r="G155" i="8"/>
  <c r="N155" i="8" s="1"/>
  <c r="Q153" i="8"/>
  <c r="O153" i="8"/>
  <c r="P153" i="8" s="1"/>
  <c r="O51" i="8"/>
  <c r="P51" i="8" s="1"/>
  <c r="Q51" i="8"/>
  <c r="O58" i="8"/>
  <c r="P58" i="8" s="1"/>
  <c r="Q58" i="8"/>
  <c r="Q10" i="8" l="1"/>
  <c r="O10" i="8"/>
  <c r="P10" i="8" s="1"/>
  <c r="N108" i="8"/>
  <c r="N109" i="8"/>
  <c r="N110" i="8"/>
  <c r="N241" i="8"/>
  <c r="N240" i="8"/>
  <c r="N246" i="8"/>
  <c r="N244" i="8"/>
  <c r="N242" i="8"/>
  <c r="G33" i="8"/>
  <c r="G40" i="8"/>
  <c r="N184" i="8"/>
  <c r="N193" i="8"/>
  <c r="N185" i="8"/>
  <c r="N98" i="8"/>
  <c r="N99" i="8"/>
  <c r="N105" i="8"/>
  <c r="N104" i="8"/>
  <c r="N103" i="8"/>
  <c r="N102" i="8"/>
  <c r="N101" i="8"/>
  <c r="N100" i="8"/>
  <c r="N95" i="8"/>
  <c r="O234" i="8"/>
  <c r="P234" i="8" s="1"/>
  <c r="Q234" i="8"/>
  <c r="H182" i="8"/>
  <c r="H180" i="8"/>
  <c r="N180" i="8" s="1"/>
  <c r="H177" i="8"/>
  <c r="H178" i="8"/>
  <c r="H176" i="8"/>
  <c r="N176" i="8" s="1"/>
  <c r="H181" i="8"/>
  <c r="N181" i="8" s="1"/>
  <c r="H174" i="8"/>
  <c r="H173" i="8"/>
  <c r="H172" i="8"/>
  <c r="H175" i="8"/>
  <c r="H179" i="8"/>
  <c r="G181" i="8"/>
  <c r="G176" i="8"/>
  <c r="G174" i="8"/>
  <c r="N174" i="8" s="1"/>
  <c r="G175" i="8"/>
  <c r="N175" i="8" s="1"/>
  <c r="G179" i="8"/>
  <c r="N179" i="8" s="1"/>
  <c r="G177" i="8"/>
  <c r="N177" i="8" s="1"/>
  <c r="G173" i="8"/>
  <c r="N173" i="8" s="1"/>
  <c r="G182" i="8"/>
  <c r="N182" i="8" s="1"/>
  <c r="G178" i="8"/>
  <c r="N178" i="8" s="1"/>
  <c r="G180" i="8"/>
  <c r="G172" i="8"/>
  <c r="N172" i="8" s="1"/>
  <c r="O201" i="8"/>
  <c r="P201" i="8" s="1"/>
  <c r="Q201" i="8"/>
  <c r="O198" i="8"/>
  <c r="P198" i="8" s="1"/>
  <c r="Q198" i="8"/>
  <c r="Q199" i="8"/>
  <c r="O199" i="8"/>
  <c r="P199" i="8" s="1"/>
  <c r="Q204" i="8"/>
  <c r="O204" i="8"/>
  <c r="P204" i="8" s="1"/>
  <c r="Q195" i="8"/>
  <c r="O195" i="8"/>
  <c r="P195" i="8" s="1"/>
  <c r="Q194" i="8"/>
  <c r="O194" i="8"/>
  <c r="P194" i="8" s="1"/>
  <c r="Q197" i="8"/>
  <c r="O197" i="8"/>
  <c r="P197" i="8" s="1"/>
  <c r="O196" i="8"/>
  <c r="P196" i="8" s="1"/>
  <c r="Q196" i="8"/>
  <c r="Q203" i="8"/>
  <c r="O203" i="8"/>
  <c r="P203" i="8" s="1"/>
  <c r="Q64" i="8"/>
  <c r="O64" i="8"/>
  <c r="P64" i="8" s="1"/>
  <c r="Q265" i="8"/>
  <c r="O265" i="8"/>
  <c r="P265" i="8" s="1"/>
  <c r="Q259" i="8"/>
  <c r="O259" i="8"/>
  <c r="P259" i="8" s="1"/>
  <c r="Q249" i="8"/>
  <c r="O249" i="8"/>
  <c r="P249" i="8" s="1"/>
  <c r="Q256" i="8"/>
  <c r="O256" i="8"/>
  <c r="P256" i="8" s="1"/>
  <c r="O250" i="8"/>
  <c r="P250" i="8" s="1"/>
  <c r="Q250" i="8"/>
  <c r="O255" i="8"/>
  <c r="P255" i="8" s="1"/>
  <c r="Q255" i="8"/>
  <c r="O257" i="8"/>
  <c r="P257" i="8" s="1"/>
  <c r="Q257" i="8"/>
  <c r="Q258" i="8"/>
  <c r="O258" i="8"/>
  <c r="P258" i="8" s="1"/>
  <c r="G161" i="8"/>
  <c r="G164" i="8"/>
  <c r="G163" i="8"/>
  <c r="G162" i="8"/>
  <c r="G39" i="8"/>
  <c r="G36" i="8"/>
  <c r="O192" i="8"/>
  <c r="P192" i="8" s="1"/>
  <c r="Q192" i="8"/>
  <c r="O202" i="8"/>
  <c r="P202" i="8" s="1"/>
  <c r="Q202" i="8"/>
  <c r="Q247" i="8"/>
  <c r="O247" i="8"/>
  <c r="P247" i="8" s="1"/>
  <c r="Q111" i="8"/>
  <c r="O111" i="8"/>
  <c r="P111" i="8" s="1"/>
  <c r="Q114" i="8"/>
  <c r="O114" i="8"/>
  <c r="P114" i="8" s="1"/>
  <c r="Q113" i="8"/>
  <c r="O113" i="8"/>
  <c r="P113" i="8" s="1"/>
  <c r="Q112" i="8"/>
  <c r="O112" i="8"/>
  <c r="P112" i="8" s="1"/>
  <c r="H139" i="8"/>
  <c r="N239" i="8"/>
  <c r="N238" i="8"/>
  <c r="N248" i="8"/>
  <c r="N222" i="8"/>
  <c r="N221" i="8"/>
  <c r="N220" i="8"/>
  <c r="N116" i="8"/>
  <c r="N115" i="8"/>
  <c r="G168" i="8"/>
  <c r="G50" i="8"/>
  <c r="E23" i="1"/>
  <c r="N223" i="8"/>
  <c r="N225" i="8"/>
  <c r="N156" i="8"/>
  <c r="N157" i="8"/>
  <c r="N158" i="8"/>
  <c r="N207" i="8"/>
  <c r="N215" i="8"/>
  <c r="N206" i="8"/>
  <c r="N213" i="8"/>
  <c r="N211" i="8"/>
  <c r="N208" i="8"/>
  <c r="N76" i="8"/>
  <c r="N216" i="8"/>
  <c r="N219" i="8"/>
  <c r="N217" i="8"/>
  <c r="N154" i="8"/>
  <c r="N152" i="8"/>
  <c r="N151" i="8"/>
  <c r="R29" i="8"/>
  <c r="H149" i="8"/>
  <c r="N149" i="8" s="1"/>
  <c r="H148" i="8"/>
  <c r="H147" i="8"/>
  <c r="H146" i="8"/>
  <c r="H145" i="8"/>
  <c r="H144" i="8"/>
  <c r="H143" i="8"/>
  <c r="H141" i="8"/>
  <c r="H142" i="8"/>
  <c r="H140" i="8"/>
  <c r="G143" i="8"/>
  <c r="G144" i="8"/>
  <c r="G145" i="8"/>
  <c r="G146" i="8"/>
  <c r="G148" i="8"/>
  <c r="G140" i="8"/>
  <c r="G139" i="8"/>
  <c r="G142" i="8"/>
  <c r="N142" i="8" s="1"/>
  <c r="G141" i="8"/>
  <c r="N141" i="8" s="1"/>
  <c r="G147" i="8"/>
  <c r="G149" i="8"/>
  <c r="H126" i="8"/>
  <c r="H124" i="8"/>
  <c r="H125" i="8"/>
  <c r="H123" i="8"/>
  <c r="H118" i="8"/>
  <c r="H122" i="8"/>
  <c r="H127" i="8"/>
  <c r="N127" i="8" s="1"/>
  <c r="H117" i="8"/>
  <c r="H120" i="8"/>
  <c r="H121" i="8"/>
  <c r="G126" i="8"/>
  <c r="N126" i="8" s="1"/>
  <c r="G125" i="8"/>
  <c r="G118" i="8"/>
  <c r="G121" i="8"/>
  <c r="G117" i="8"/>
  <c r="G119" i="8"/>
  <c r="N119" i="8" s="1"/>
  <c r="G120" i="8"/>
  <c r="G123" i="8"/>
  <c r="G124" i="8"/>
  <c r="G122" i="8"/>
  <c r="O254" i="8"/>
  <c r="P254" i="8" s="1"/>
  <c r="Q254" i="8"/>
  <c r="Q106" i="8"/>
  <c r="O106" i="8"/>
  <c r="P106" i="8" s="1"/>
  <c r="G165" i="8"/>
  <c r="G169" i="8"/>
  <c r="G171" i="8"/>
  <c r="G170" i="8"/>
  <c r="G134" i="8"/>
  <c r="G135" i="8"/>
  <c r="G131" i="8"/>
  <c r="G130" i="8"/>
  <c r="G129" i="8"/>
  <c r="G133" i="8"/>
  <c r="G136" i="8"/>
  <c r="AO9" i="7"/>
  <c r="AP9" i="7" s="1"/>
  <c r="X9" i="7"/>
  <c r="Q191" i="8"/>
  <c r="O191" i="8"/>
  <c r="P191" i="8" s="1"/>
  <c r="E18" i="1"/>
  <c r="E19" i="1"/>
  <c r="B29" i="1"/>
  <c r="D29" i="1"/>
  <c r="C29" i="1"/>
  <c r="D19" i="1"/>
  <c r="D18" i="1"/>
  <c r="B30" i="1"/>
  <c r="D30" i="1"/>
  <c r="C30" i="1"/>
  <c r="P19" i="8"/>
  <c r="P21" i="8"/>
  <c r="P24" i="8"/>
  <c r="C63" i="1"/>
  <c r="P18" i="8"/>
  <c r="P23" i="8"/>
  <c r="P25" i="8"/>
  <c r="P20" i="8"/>
  <c r="P26" i="8"/>
  <c r="P22" i="8"/>
  <c r="P28" i="8"/>
  <c r="O223" i="8"/>
  <c r="P223" i="8" s="1"/>
  <c r="Q223" i="8"/>
  <c r="O224" i="8"/>
  <c r="P224" i="8" s="1"/>
  <c r="Q224" i="8"/>
  <c r="O226" i="8"/>
  <c r="P226" i="8" s="1"/>
  <c r="Q226" i="8"/>
  <c r="O188" i="8"/>
  <c r="P188" i="8" s="1"/>
  <c r="Q188" i="8"/>
  <c r="O190" i="8"/>
  <c r="P190" i="8" s="1"/>
  <c r="Q190" i="8"/>
  <c r="O186" i="8"/>
  <c r="P186" i="8" s="1"/>
  <c r="Q186" i="8"/>
  <c r="O159" i="8"/>
  <c r="P159" i="8" s="1"/>
  <c r="Q159" i="8"/>
  <c r="O160" i="8"/>
  <c r="P160" i="8" s="1"/>
  <c r="Q160" i="8"/>
  <c r="P71" i="8"/>
  <c r="P14" i="8"/>
  <c r="P13" i="8"/>
  <c r="P17" i="8"/>
  <c r="P12" i="8"/>
  <c r="Q229" i="8"/>
  <c r="O229" i="8"/>
  <c r="P229" i="8" s="1"/>
  <c r="Q230" i="8"/>
  <c r="O230" i="8"/>
  <c r="P230" i="8" s="1"/>
  <c r="O233" i="8"/>
  <c r="P233" i="8" s="1"/>
  <c r="Q233" i="8"/>
  <c r="O236" i="8"/>
  <c r="P236" i="8" s="1"/>
  <c r="Q236" i="8"/>
  <c r="Q107" i="8"/>
  <c r="O107" i="8"/>
  <c r="P107" i="8" s="1"/>
  <c r="C12" i="1"/>
  <c r="C14" i="1" s="1"/>
  <c r="Q16" i="8"/>
  <c r="O16" i="8"/>
  <c r="O235" i="8"/>
  <c r="P235" i="8" s="1"/>
  <c r="Q235" i="8"/>
  <c r="Q232" i="8"/>
  <c r="O232" i="8"/>
  <c r="P232" i="8" s="1"/>
  <c r="Q231" i="8"/>
  <c r="O231" i="8"/>
  <c r="P231" i="8" s="1"/>
  <c r="Q8" i="8"/>
  <c r="O8" i="8"/>
  <c r="O11" i="8"/>
  <c r="Q11" i="8"/>
  <c r="O9" i="8"/>
  <c r="Q9" i="8"/>
  <c r="Q7" i="8"/>
  <c r="O7" i="8"/>
  <c r="B61" i="1"/>
  <c r="B63" i="1" s="1"/>
  <c r="Q253" i="8"/>
  <c r="O253" i="8"/>
  <c r="P253" i="8" s="1"/>
  <c r="Q252" i="8"/>
  <c r="O252" i="8"/>
  <c r="P252" i="8" s="1"/>
  <c r="Q251" i="8"/>
  <c r="O251" i="8"/>
  <c r="P251" i="8" s="1"/>
  <c r="Q245" i="8"/>
  <c r="O245" i="8"/>
  <c r="Q243" i="8"/>
  <c r="O243" i="8"/>
  <c r="Q242" i="8"/>
  <c r="O242" i="8"/>
  <c r="P242" i="8" s="1"/>
  <c r="O200" i="8"/>
  <c r="P200" i="8" s="1"/>
  <c r="Q200" i="8"/>
  <c r="O15" i="8"/>
  <c r="Q15" i="8"/>
  <c r="O56" i="8"/>
  <c r="P56" i="8" s="1"/>
  <c r="Q56" i="8"/>
  <c r="Q53" i="8"/>
  <c r="O53" i="8"/>
  <c r="P53" i="8" s="1"/>
  <c r="Q55" i="8"/>
  <c r="O55" i="8"/>
  <c r="P55" i="8" s="1"/>
  <c r="Q57" i="8"/>
  <c r="O57" i="8"/>
  <c r="P57" i="8" s="1"/>
  <c r="O52" i="8"/>
  <c r="P52" i="8" s="1"/>
  <c r="Q52" i="8"/>
  <c r="Q210" i="8"/>
  <c r="O210" i="8"/>
  <c r="P210" i="8" s="1"/>
  <c r="O214" i="8"/>
  <c r="P214" i="8" s="1"/>
  <c r="Q214" i="8"/>
  <c r="Q212" i="8"/>
  <c r="O212" i="8"/>
  <c r="P212" i="8" s="1"/>
  <c r="Q205" i="8"/>
  <c r="O205" i="8"/>
  <c r="P205" i="8" s="1"/>
  <c r="O209" i="8"/>
  <c r="P209" i="8" s="1"/>
  <c r="Q209" i="8"/>
  <c r="O96" i="8"/>
  <c r="P96" i="8" s="1"/>
  <c r="Q96" i="8"/>
  <c r="O97" i="8"/>
  <c r="P97" i="8" s="1"/>
  <c r="Q97" i="8"/>
  <c r="M14" i="7"/>
  <c r="L14" i="7"/>
  <c r="O77" i="8"/>
  <c r="P77" i="8" s="1"/>
  <c r="Q77" i="8"/>
  <c r="O73" i="8"/>
  <c r="P73" i="8" s="1"/>
  <c r="Q73" i="8"/>
  <c r="O218" i="8"/>
  <c r="P218" i="8" s="1"/>
  <c r="Q218" i="8"/>
  <c r="Q150" i="8"/>
  <c r="O150" i="8"/>
  <c r="P150" i="8" s="1"/>
  <c r="O155" i="8"/>
  <c r="P155" i="8" s="1"/>
  <c r="Q155" i="8"/>
  <c r="N75" i="8"/>
  <c r="N74" i="8"/>
  <c r="N79" i="8"/>
  <c r="N82" i="8"/>
  <c r="N81" i="8"/>
  <c r="N80" i="8"/>
  <c r="N78" i="8"/>
  <c r="G166" i="8"/>
  <c r="G167" i="8"/>
  <c r="H161" i="8"/>
  <c r="N161" i="8" s="1"/>
  <c r="H171" i="8"/>
  <c r="H170" i="8"/>
  <c r="H169" i="8"/>
  <c r="H168" i="8"/>
  <c r="N168" i="8" s="1"/>
  <c r="H167" i="8"/>
  <c r="H166" i="8"/>
  <c r="H165" i="8"/>
  <c r="H164" i="8"/>
  <c r="N164" i="8" s="1"/>
  <c r="H163" i="8"/>
  <c r="N163" i="8" s="1"/>
  <c r="H162" i="8"/>
  <c r="N162" i="8" s="1"/>
  <c r="G138" i="8"/>
  <c r="G132" i="8"/>
  <c r="AO18" i="7"/>
  <c r="AP18" i="7" s="1"/>
  <c r="X18" i="7"/>
  <c r="L18" i="7" s="1"/>
  <c r="AO10" i="7"/>
  <c r="AP10" i="7" s="1"/>
  <c r="X10" i="7"/>
  <c r="L10" i="7" s="1"/>
  <c r="G43" i="8"/>
  <c r="G47" i="8"/>
  <c r="G44" i="8"/>
  <c r="G48" i="8"/>
  <c r="G49" i="8"/>
  <c r="G46" i="8"/>
  <c r="G42" i="8"/>
  <c r="G29" i="8"/>
  <c r="G38" i="8"/>
  <c r="G37" i="8"/>
  <c r="G30" i="8"/>
  <c r="G34" i="8"/>
  <c r="G31" i="8"/>
  <c r="Q189" i="8"/>
  <c r="O189" i="8"/>
  <c r="P189" i="8" s="1"/>
  <c r="Q183" i="8"/>
  <c r="O183" i="8"/>
  <c r="P183" i="8" s="1"/>
  <c r="O187" i="8"/>
  <c r="P187" i="8" s="1"/>
  <c r="Q187" i="8"/>
  <c r="O83" i="8"/>
  <c r="P83" i="8" s="1"/>
  <c r="Q83" i="8"/>
  <c r="O193" i="8" l="1"/>
  <c r="P193" i="8" s="1"/>
  <c r="Q193" i="8"/>
  <c r="O185" i="8"/>
  <c r="P185" i="8" s="1"/>
  <c r="Q185" i="8"/>
  <c r="Q180" i="8"/>
  <c r="O180" i="8"/>
  <c r="P180" i="8" s="1"/>
  <c r="O176" i="8"/>
  <c r="P176" i="8" s="1"/>
  <c r="Q176" i="8"/>
  <c r="N148" i="8"/>
  <c r="N147" i="8"/>
  <c r="N146" i="8"/>
  <c r="N145" i="8"/>
  <c r="N169" i="8"/>
  <c r="N165" i="8"/>
  <c r="N171" i="8"/>
  <c r="N170" i="8"/>
  <c r="B18" i="9"/>
  <c r="D18" i="9" s="1"/>
  <c r="O108" i="8"/>
  <c r="P108" i="8" s="1"/>
  <c r="Q108" i="8"/>
  <c r="Q109" i="8"/>
  <c r="O109" i="8"/>
  <c r="Q110" i="8"/>
  <c r="O110" i="8"/>
  <c r="P110" i="8" s="1"/>
  <c r="Q241" i="8"/>
  <c r="O241" i="8"/>
  <c r="P241" i="8" s="1"/>
  <c r="Q240" i="8"/>
  <c r="O240" i="8"/>
  <c r="P240" i="8" s="1"/>
  <c r="Q246" i="8"/>
  <c r="O246" i="8"/>
  <c r="P246" i="8" s="1"/>
  <c r="Q244" i="8"/>
  <c r="O244" i="8"/>
  <c r="P244" i="8" s="1"/>
  <c r="O184" i="8"/>
  <c r="P184" i="8" s="1"/>
  <c r="Q184" i="8"/>
  <c r="Q98" i="8"/>
  <c r="O98" i="8"/>
  <c r="Q99" i="8"/>
  <c r="O99" i="8"/>
  <c r="P99" i="8" s="1"/>
  <c r="Q105" i="8"/>
  <c r="O105" i="8"/>
  <c r="Q104" i="8"/>
  <c r="O104" i="8"/>
  <c r="P104" i="8" s="1"/>
  <c r="Q103" i="8"/>
  <c r="O103" i="8"/>
  <c r="P103" i="8" s="1"/>
  <c r="O102" i="8"/>
  <c r="P102" i="8" s="1"/>
  <c r="Q102" i="8"/>
  <c r="O101" i="8"/>
  <c r="P101" i="8" s="1"/>
  <c r="Q101" i="8"/>
  <c r="Q100" i="8"/>
  <c r="O100" i="8"/>
  <c r="P100" i="8" s="1"/>
  <c r="O95" i="8"/>
  <c r="P95" i="8" s="1"/>
  <c r="Q95" i="8"/>
  <c r="Q181" i="8"/>
  <c r="O181" i="8"/>
  <c r="P181" i="8" s="1"/>
  <c r="Q225" i="8"/>
  <c r="O225" i="8"/>
  <c r="P225" i="8" s="1"/>
  <c r="O156" i="8"/>
  <c r="Q156" i="8"/>
  <c r="O157" i="8"/>
  <c r="P157" i="8" s="1"/>
  <c r="Q157" i="8"/>
  <c r="O158" i="8"/>
  <c r="Q158" i="8"/>
  <c r="O149" i="8"/>
  <c r="P149" i="8" s="1"/>
  <c r="Q149" i="8"/>
  <c r="O119" i="8"/>
  <c r="P119" i="8" s="1"/>
  <c r="Q119" i="8"/>
  <c r="Q239" i="8"/>
  <c r="O239" i="8"/>
  <c r="P239" i="8" s="1"/>
  <c r="Q238" i="8"/>
  <c r="O238" i="8"/>
  <c r="O248" i="8"/>
  <c r="P248" i="8" s="1"/>
  <c r="Q248" i="8"/>
  <c r="Q222" i="8"/>
  <c r="O222" i="8"/>
  <c r="P222" i="8" s="1"/>
  <c r="Q221" i="8"/>
  <c r="O221" i="8"/>
  <c r="P221" i="8" s="1"/>
  <c r="Q220" i="8"/>
  <c r="O220" i="8"/>
  <c r="P220" i="8" s="1"/>
  <c r="O116" i="8"/>
  <c r="Q116" i="8"/>
  <c r="Q115" i="8"/>
  <c r="O115" i="8"/>
  <c r="Q154" i="8"/>
  <c r="O154" i="8"/>
  <c r="Q152" i="8"/>
  <c r="O152" i="8"/>
  <c r="O151" i="8"/>
  <c r="Q151" i="8"/>
  <c r="Q142" i="8"/>
  <c r="O142" i="8"/>
  <c r="P142" i="8" s="1"/>
  <c r="Q141" i="8"/>
  <c r="O141" i="8"/>
  <c r="P141" i="8" s="1"/>
  <c r="Q127" i="8"/>
  <c r="O127" i="8"/>
  <c r="P127" i="8" s="1"/>
  <c r="O126" i="8"/>
  <c r="P126" i="8" s="1"/>
  <c r="Q126" i="8"/>
  <c r="M9" i="7"/>
  <c r="L9" i="7"/>
  <c r="N144" i="8"/>
  <c r="N143" i="8"/>
  <c r="N140" i="8"/>
  <c r="N139" i="8"/>
  <c r="N125" i="8"/>
  <c r="N118" i="8"/>
  <c r="N121" i="8"/>
  <c r="N117" i="8"/>
  <c r="N120" i="8"/>
  <c r="N123" i="8"/>
  <c r="N124" i="8"/>
  <c r="N122" i="8"/>
  <c r="O207" i="8"/>
  <c r="P207" i="8" s="1"/>
  <c r="Q207" i="8"/>
  <c r="Q215" i="8"/>
  <c r="O215" i="8"/>
  <c r="P215" i="8" s="1"/>
  <c r="Q206" i="8"/>
  <c r="O206" i="8"/>
  <c r="P206" i="8" s="1"/>
  <c r="Q213" i="8"/>
  <c r="O213" i="8"/>
  <c r="P213" i="8" s="1"/>
  <c r="O211" i="8"/>
  <c r="P211" i="8" s="1"/>
  <c r="Q211" i="8"/>
  <c r="Q208" i="8"/>
  <c r="O208" i="8"/>
  <c r="P208" i="8" s="1"/>
  <c r="Q76" i="8"/>
  <c r="O76" i="8"/>
  <c r="P76" i="8" s="1"/>
  <c r="O216" i="8"/>
  <c r="P216" i="8" s="1"/>
  <c r="Q216" i="8"/>
  <c r="O219" i="8"/>
  <c r="P219" i="8" s="1"/>
  <c r="Q219" i="8"/>
  <c r="O217" i="8"/>
  <c r="P217" i="8" s="1"/>
  <c r="Q217" i="8"/>
  <c r="C21" i="1"/>
  <c r="C71" i="1"/>
  <c r="C72" i="1" s="1"/>
  <c r="C73" i="1"/>
  <c r="P16" i="8"/>
  <c r="P8" i="8"/>
  <c r="P11" i="8"/>
  <c r="B47" i="1"/>
  <c r="P9" i="8"/>
  <c r="P7" i="8"/>
  <c r="C62" i="1"/>
  <c r="B62" i="1"/>
  <c r="P15" i="8"/>
  <c r="B48" i="1"/>
  <c r="P98" i="8"/>
  <c r="H84" i="8"/>
  <c r="N84" i="8" s="1"/>
  <c r="H85" i="8"/>
  <c r="N85" i="8" s="1"/>
  <c r="H86" i="8"/>
  <c r="N86" i="8" s="1"/>
  <c r="H87" i="8"/>
  <c r="N87" i="8" s="1"/>
  <c r="H88" i="8"/>
  <c r="N88" i="8" s="1"/>
  <c r="H89" i="8"/>
  <c r="N89" i="8" s="1"/>
  <c r="H90" i="8"/>
  <c r="N90" i="8" s="1"/>
  <c r="H91" i="8"/>
  <c r="N91" i="8" s="1"/>
  <c r="H92" i="8"/>
  <c r="N92" i="8" s="1"/>
  <c r="H93" i="8"/>
  <c r="N93" i="8" s="1"/>
  <c r="H94" i="8"/>
  <c r="N94" i="8" s="1"/>
  <c r="O177" i="8"/>
  <c r="P177" i="8" s="1"/>
  <c r="Q177" i="8"/>
  <c r="Q172" i="8"/>
  <c r="O172" i="8"/>
  <c r="P172" i="8" s="1"/>
  <c r="Q178" i="8"/>
  <c r="O178" i="8"/>
  <c r="P178" i="8" s="1"/>
  <c r="O179" i="8"/>
  <c r="P179" i="8" s="1"/>
  <c r="Q179" i="8"/>
  <c r="Q182" i="8"/>
  <c r="O182" i="8"/>
  <c r="P182" i="8" s="1"/>
  <c r="Q175" i="8"/>
  <c r="O175" i="8"/>
  <c r="P175" i="8" s="1"/>
  <c r="Q173" i="8"/>
  <c r="O173" i="8"/>
  <c r="P173" i="8" s="1"/>
  <c r="O174" i="8"/>
  <c r="P174" i="8" s="1"/>
  <c r="Q174" i="8"/>
  <c r="O75" i="8"/>
  <c r="P75" i="8" s="1"/>
  <c r="Q75" i="8"/>
  <c r="O74" i="8"/>
  <c r="P74" i="8" s="1"/>
  <c r="Q74" i="8"/>
  <c r="O79" i="8"/>
  <c r="P79" i="8" s="1"/>
  <c r="Q79" i="8"/>
  <c r="O82" i="8"/>
  <c r="P82" i="8" s="1"/>
  <c r="Q82" i="8"/>
  <c r="Q81" i="8"/>
  <c r="O81" i="8"/>
  <c r="P81" i="8" s="1"/>
  <c r="Q80" i="8"/>
  <c r="O80" i="8"/>
  <c r="P80" i="8" s="1"/>
  <c r="Q78" i="8"/>
  <c r="O78" i="8"/>
  <c r="P78" i="8" s="1"/>
  <c r="Q169" i="8"/>
  <c r="O169" i="8"/>
  <c r="P169" i="8" s="1"/>
  <c r="Q165" i="8"/>
  <c r="O165" i="8"/>
  <c r="P165" i="8" s="1"/>
  <c r="Q164" i="8"/>
  <c r="O164" i="8"/>
  <c r="P164" i="8" s="1"/>
  <c r="Q163" i="8"/>
  <c r="O163" i="8"/>
  <c r="P163" i="8" s="1"/>
  <c r="Q162" i="8"/>
  <c r="O162" i="8"/>
  <c r="P162" i="8" s="1"/>
  <c r="N166" i="8"/>
  <c r="N167" i="8"/>
  <c r="M18" i="7"/>
  <c r="M10" i="7"/>
  <c r="P245" i="8"/>
  <c r="C52" i="1"/>
  <c r="P243" i="8"/>
  <c r="C50" i="1"/>
  <c r="Q161" i="8"/>
  <c r="O161" i="8"/>
  <c r="P161" i="8" s="1"/>
  <c r="Q168" i="8"/>
  <c r="O168" i="8"/>
  <c r="P168" i="8" s="1"/>
  <c r="O148" i="8" l="1"/>
  <c r="Q148" i="8"/>
  <c r="O147" i="8"/>
  <c r="Q147" i="8"/>
  <c r="O146" i="8"/>
  <c r="Q146" i="8"/>
  <c r="O145" i="8"/>
  <c r="Q145" i="8"/>
  <c r="O171" i="8"/>
  <c r="P171" i="8" s="1"/>
  <c r="Q171" i="8"/>
  <c r="C48" i="1"/>
  <c r="P109" i="8"/>
  <c r="B55" i="1"/>
  <c r="P105" i="8"/>
  <c r="C51" i="1"/>
  <c r="P156" i="8"/>
  <c r="C53" i="1"/>
  <c r="P158" i="8"/>
  <c r="Q170" i="8"/>
  <c r="O170" i="8"/>
  <c r="P170" i="8" s="1"/>
  <c r="H138" i="8"/>
  <c r="N138" i="8" s="1"/>
  <c r="H137" i="8"/>
  <c r="N137" i="8" s="1"/>
  <c r="H136" i="8"/>
  <c r="N136" i="8" s="1"/>
  <c r="H135" i="8"/>
  <c r="N135" i="8" s="1"/>
  <c r="H134" i="8"/>
  <c r="N134" i="8" s="1"/>
  <c r="H133" i="8"/>
  <c r="N133" i="8" s="1"/>
  <c r="H132" i="8"/>
  <c r="N132" i="8" s="1"/>
  <c r="H131" i="8"/>
  <c r="N131" i="8" s="1"/>
  <c r="C45" i="1"/>
  <c r="P238" i="8"/>
  <c r="C55" i="1"/>
  <c r="P116" i="8"/>
  <c r="C54" i="1"/>
  <c r="P115" i="8"/>
  <c r="C49" i="1"/>
  <c r="P154" i="8"/>
  <c r="C47" i="1"/>
  <c r="P152" i="8"/>
  <c r="C46" i="1"/>
  <c r="P151" i="8"/>
  <c r="H30" i="8"/>
  <c r="N30" i="8" s="1"/>
  <c r="D61" i="1" s="1"/>
  <c r="H32" i="8"/>
  <c r="N32" i="8" s="1"/>
  <c r="H39" i="8"/>
  <c r="N39" i="8" s="1"/>
  <c r="H37" i="8"/>
  <c r="N37" i="8" s="1"/>
  <c r="H35" i="8"/>
  <c r="N35" i="8" s="1"/>
  <c r="H31" i="8"/>
  <c r="N31" i="8" s="1"/>
  <c r="H34" i="8"/>
  <c r="N34" i="8" s="1"/>
  <c r="H29" i="8"/>
  <c r="N29" i="8" s="1"/>
  <c r="H36" i="8"/>
  <c r="N36" i="8" s="1"/>
  <c r="H38" i="8"/>
  <c r="N38" i="8" s="1"/>
  <c r="H33" i="8"/>
  <c r="N33" i="8" s="1"/>
  <c r="O144" i="8"/>
  <c r="Q144" i="8"/>
  <c r="O143" i="8"/>
  <c r="Q143" i="8"/>
  <c r="O140" i="8"/>
  <c r="Q140" i="8"/>
  <c r="O139" i="8"/>
  <c r="B12" i="1"/>
  <c r="B14" i="1" s="1"/>
  <c r="Q139" i="8"/>
  <c r="Q125" i="8"/>
  <c r="O125" i="8"/>
  <c r="P125" i="8" s="1"/>
  <c r="O118" i="8"/>
  <c r="P118" i="8" s="1"/>
  <c r="Q118" i="8"/>
  <c r="Q121" i="8"/>
  <c r="O121" i="8"/>
  <c r="P121" i="8" s="1"/>
  <c r="Q117" i="8"/>
  <c r="O117" i="8"/>
  <c r="P117" i="8" s="1"/>
  <c r="Q120" i="8"/>
  <c r="O120" i="8"/>
  <c r="P120" i="8" s="1"/>
  <c r="Q123" i="8"/>
  <c r="O123" i="8"/>
  <c r="P123" i="8" s="1"/>
  <c r="Q124" i="8"/>
  <c r="O124" i="8"/>
  <c r="P124" i="8" s="1"/>
  <c r="Q122" i="8"/>
  <c r="O122" i="8"/>
  <c r="P122" i="8" s="1"/>
  <c r="H130" i="8"/>
  <c r="N130" i="8" s="1"/>
  <c r="H129" i="8"/>
  <c r="N129" i="8" s="1"/>
  <c r="H128" i="8"/>
  <c r="N128" i="8" s="1"/>
  <c r="H45" i="8"/>
  <c r="N45" i="8" s="1"/>
  <c r="H42" i="8"/>
  <c r="N42" i="8" s="1"/>
  <c r="H44" i="8"/>
  <c r="N44" i="8" s="1"/>
  <c r="H47" i="8"/>
  <c r="N47" i="8" s="1"/>
  <c r="H48" i="8"/>
  <c r="N48" i="8" s="1"/>
  <c r="H43" i="8"/>
  <c r="N43" i="8" s="1"/>
  <c r="H50" i="8"/>
  <c r="N50" i="8" s="1"/>
  <c r="H41" i="8"/>
  <c r="N41" i="8" s="1"/>
  <c r="H49" i="8"/>
  <c r="N49" i="8" s="1"/>
  <c r="H40" i="8"/>
  <c r="N40" i="8" s="1"/>
  <c r="H46" i="8"/>
  <c r="N46" i="8" s="1"/>
  <c r="Q84" i="8"/>
  <c r="O84" i="8"/>
  <c r="P84" i="8" s="1"/>
  <c r="Q85" i="8"/>
  <c r="O85" i="8"/>
  <c r="P85" i="8" s="1"/>
  <c r="Q86" i="8"/>
  <c r="O86" i="8"/>
  <c r="P86" i="8" s="1"/>
  <c r="Q87" i="8"/>
  <c r="O87" i="8"/>
  <c r="P87" i="8" s="1"/>
  <c r="Q88" i="8"/>
  <c r="O88" i="8"/>
  <c r="P88" i="8" s="1"/>
  <c r="Q89" i="8"/>
  <c r="O89" i="8"/>
  <c r="P89" i="8" s="1"/>
  <c r="Q90" i="8"/>
  <c r="O90" i="8"/>
  <c r="P90" i="8" s="1"/>
  <c r="Q91" i="8"/>
  <c r="O91" i="8"/>
  <c r="P91" i="8" s="1"/>
  <c r="O92" i="8"/>
  <c r="P92" i="8" s="1"/>
  <c r="Q92" i="8"/>
  <c r="Q93" i="8"/>
  <c r="O93" i="8"/>
  <c r="P93" i="8" s="1"/>
  <c r="Q94" i="8"/>
  <c r="O94" i="8"/>
  <c r="P94" i="8" s="1"/>
  <c r="E12" i="1"/>
  <c r="E61" i="1"/>
  <c r="O166" i="8"/>
  <c r="P166" i="8" s="1"/>
  <c r="Q166" i="8"/>
  <c r="O167" i="8"/>
  <c r="P167" i="8" s="1"/>
  <c r="Q167" i="8"/>
  <c r="D12" i="1"/>
  <c r="Q47" i="8"/>
  <c r="O47" i="8"/>
  <c r="P47" i="8" s="1"/>
  <c r="O48" i="8"/>
  <c r="P48" i="8" s="1"/>
  <c r="Q48" i="8"/>
  <c r="Q43" i="8"/>
  <c r="O43" i="8"/>
  <c r="P43" i="8" s="1"/>
  <c r="O49" i="8"/>
  <c r="P49" i="8" s="1"/>
  <c r="Q49" i="8"/>
  <c r="B54" i="1" l="1"/>
  <c r="P148" i="8"/>
  <c r="B53" i="1"/>
  <c r="P147" i="8"/>
  <c r="B52" i="1"/>
  <c r="P146" i="8"/>
  <c r="B51" i="1"/>
  <c r="P145" i="8"/>
  <c r="O138" i="8"/>
  <c r="P138" i="8" s="1"/>
  <c r="Q138" i="8"/>
  <c r="O137" i="8"/>
  <c r="P137" i="8" s="1"/>
  <c r="Q137" i="8"/>
  <c r="O136" i="8"/>
  <c r="P136" i="8" s="1"/>
  <c r="Q136" i="8"/>
  <c r="Q135" i="8"/>
  <c r="O135" i="8"/>
  <c r="P135" i="8" s="1"/>
  <c r="Q134" i="8"/>
  <c r="O134" i="8"/>
  <c r="P134" i="8" s="1"/>
  <c r="O133" i="8"/>
  <c r="P133" i="8" s="1"/>
  <c r="Q133" i="8"/>
  <c r="O132" i="8"/>
  <c r="P132" i="8" s="1"/>
  <c r="Q132" i="8"/>
  <c r="Q131" i="8"/>
  <c r="O131" i="8"/>
  <c r="P131" i="8" s="1"/>
  <c r="O37" i="8"/>
  <c r="P37" i="8" s="1"/>
  <c r="Q37" i="8"/>
  <c r="Q31" i="8"/>
  <c r="O31" i="8"/>
  <c r="P31" i="8" s="1"/>
  <c r="Q34" i="8"/>
  <c r="O34" i="8"/>
  <c r="P34" i="8" s="1"/>
  <c r="O29" i="8"/>
  <c r="P29" i="8" s="1"/>
  <c r="Q29" i="8"/>
  <c r="Q50" i="8"/>
  <c r="O50" i="8"/>
  <c r="P50" i="8" s="1"/>
  <c r="O41" i="8"/>
  <c r="P41" i="8" s="1"/>
  <c r="Q41" i="8"/>
  <c r="Q40" i="8"/>
  <c r="O40" i="8"/>
  <c r="P40" i="8" s="1"/>
  <c r="C18" i="1"/>
  <c r="B10" i="9" s="1"/>
  <c r="D10" i="9" s="1"/>
  <c r="C19" i="1"/>
  <c r="O30" i="8"/>
  <c r="P30" i="8" s="1"/>
  <c r="Q30" i="8"/>
  <c r="Q32" i="8"/>
  <c r="O32" i="8"/>
  <c r="P32" i="8" s="1"/>
  <c r="Q39" i="8"/>
  <c r="O39" i="8"/>
  <c r="P39" i="8" s="1"/>
  <c r="O35" i="8"/>
  <c r="P35" i="8" s="1"/>
  <c r="Q35" i="8"/>
  <c r="Q36" i="8"/>
  <c r="O36" i="8"/>
  <c r="P36" i="8" s="1"/>
  <c r="O38" i="8"/>
  <c r="P38" i="8" s="1"/>
  <c r="Q38" i="8"/>
  <c r="Q33" i="8"/>
  <c r="O33" i="8"/>
  <c r="P33" i="8" s="1"/>
  <c r="B50" i="1"/>
  <c r="P144" i="8"/>
  <c r="B49" i="1"/>
  <c r="P143" i="8"/>
  <c r="B46" i="1"/>
  <c r="P140" i="8"/>
  <c r="B45" i="1"/>
  <c r="P139" i="8"/>
  <c r="B71" i="1"/>
  <c r="B72" i="1" s="1"/>
  <c r="B73" i="1"/>
  <c r="B17" i="1"/>
  <c r="C15" i="1"/>
  <c r="C16" i="1" s="1"/>
  <c r="C24" i="1" s="1"/>
  <c r="C17" i="1"/>
  <c r="B15" i="1"/>
  <c r="B16" i="1" s="1"/>
  <c r="B24" i="1" s="1"/>
  <c r="B21" i="1"/>
  <c r="Q42" i="8"/>
  <c r="O42" i="8"/>
  <c r="P42" i="8" s="1"/>
  <c r="O44" i="8"/>
  <c r="P44" i="8" s="1"/>
  <c r="Q44" i="8"/>
  <c r="O46" i="8"/>
  <c r="P46" i="8" s="1"/>
  <c r="Q46" i="8"/>
  <c r="Q130" i="8"/>
  <c r="O130" i="8"/>
  <c r="P130" i="8" s="1"/>
  <c r="Q129" i="8"/>
  <c r="O129" i="8"/>
  <c r="P129" i="8" s="1"/>
  <c r="Q128" i="8"/>
  <c r="O128" i="8"/>
  <c r="P128" i="8" s="1"/>
  <c r="Q45" i="8"/>
  <c r="O45" i="8"/>
  <c r="P45" i="8" s="1"/>
  <c r="E26" i="1"/>
  <c r="E14" i="1"/>
  <c r="E62" i="1"/>
  <c r="E63" i="1"/>
  <c r="D62" i="1"/>
  <c r="D63" i="1"/>
  <c r="D26" i="1"/>
  <c r="D14" i="1"/>
  <c r="B19" i="1" l="1"/>
  <c r="B18" i="1"/>
  <c r="B9" i="9" s="1"/>
  <c r="D9" i="9" s="1"/>
  <c r="E15" i="1"/>
  <c r="E16" i="1" s="1"/>
  <c r="E17" i="1"/>
  <c r="E71" i="1"/>
  <c r="E72" i="1" s="1"/>
  <c r="E73" i="1"/>
  <c r="B12" i="9"/>
  <c r="D12" i="9" s="1"/>
  <c r="E21" i="1"/>
  <c r="E24" i="1"/>
  <c r="D73" i="1"/>
  <c r="D71" i="1"/>
  <c r="D72" i="1" s="1"/>
  <c r="D15" i="1"/>
  <c r="D16" i="1" s="1"/>
  <c r="D17" i="1"/>
  <c r="D21" i="1"/>
  <c r="D24" i="1"/>
  <c r="B11" i="9"/>
  <c r="D11" i="9" s="1"/>
  <c r="C20" i="1" l="1"/>
  <c r="B20" i="1"/>
  <c r="E20" i="1"/>
  <c r="E35" i="1" s="1"/>
  <c r="D20" i="1"/>
  <c r="D35" i="1" s="1"/>
</calcChain>
</file>

<file path=xl/sharedStrings.xml><?xml version="1.0" encoding="utf-8"?>
<sst xmlns="http://schemas.openxmlformats.org/spreadsheetml/2006/main" count="1966" uniqueCount="763">
  <si>
    <t>Hong Seh 10-year fleet replacement and charging</t>
  </si>
  <si>
    <t>Fill Fleet register, Replacement plan, then Energy and charging. Inputs are amber. Horizon is fixed at 120 months.</t>
  </si>
  <si>
    <t>Metric</t>
  </si>
  <si>
    <t>Keep ICE, then new ICE</t>
  </si>
  <si>
    <t>All-new ICE now</t>
  </si>
  <si>
    <t>Plan A</t>
  </si>
  <si>
    <t>Plan B</t>
  </si>
  <si>
    <t>Truck count</t>
  </si>
  <si>
    <t>EVs at month 0</t>
  </si>
  <si>
    <t>EVs at year 10</t>
  </si>
  <si>
    <t>Vehicle economic TCO</t>
  </si>
  <si>
    <t>Net site ownership cost</t>
  </si>
  <si>
    <t>Total economic TCO</t>
  </si>
  <si>
    <t>Saving vs Keep ICE</t>
  </si>
  <si>
    <t>Saving percentage</t>
  </si>
  <si>
    <t>15% fleet saving headroom</t>
  </si>
  <si>
    <t>Cash less year-10 assets</t>
  </si>
  <si>
    <t>Day-0 funding before loans</t>
  </si>
  <si>
    <t>Incremental day-0 funding</t>
  </si>
  <si>
    <t>Cost per productive km</t>
  </si>
  <si>
    <t>Site completeness / access</t>
  </si>
  <si>
    <t>Vehicle service / evidence</t>
  </si>
  <si>
    <t>Saving claim status</t>
  </si>
  <si>
    <t>Max site TCO for 15% fleet saving</t>
  </si>
  <si>
    <t>Commercial versus public rates (tariff-only, Plan A year-1 volume)</t>
  </si>
  <si>
    <t>Energy</t>
  </si>
  <si>
    <t>100% commercial</t>
  </si>
  <si>
    <t>100% public</t>
  </si>
  <si>
    <t>Entered blend</t>
  </si>
  <si>
    <t>ICE energy/year</t>
  </si>
  <si>
    <t>EV energy/year</t>
  </si>
  <si>
    <t>Tariff-only holds volumes fixed. Full plans change public-share detours, queues, paid time and installation costs.</t>
  </si>
  <si>
    <t>Additional day-0 budget</t>
  </si>
  <si>
    <t>Budget headroom A / B</t>
  </si>
  <si>
    <t>To compare 1 EV with 1 ICE: include only that truck, or inspect vehicle-only cost and quote a standalone charging plan.</t>
  </si>
  <si>
    <t>No confirmed installation total yet. Equipment prices and site-rent schedules are benchmarks, not complete projects.</t>
  </si>
  <si>
    <t>Cash excludes financing. Refundable deposits affect cash, not full economic cost. Future residual values are forecasts.</t>
  </si>
  <si>
    <t>Year</t>
  </si>
  <si>
    <t>Keep ICE cash less assets</t>
  </si>
  <si>
    <t>New ICE cash less assets</t>
  </si>
  <si>
    <t>Plan A cash less assets</t>
  </si>
  <si>
    <t>Plan B cash less assets</t>
  </si>
  <si>
    <t>A site economic</t>
  </si>
  <si>
    <t>B site economic</t>
  </si>
  <si>
    <t>A site cash</t>
  </si>
  <si>
    <t>B site cash</t>
  </si>
  <si>
    <t>Selected truck, direct vehicle costs only</t>
  </si>
  <si>
    <t>T001</t>
  </si>
  <si>
    <t>Selected truck metric</t>
  </si>
  <si>
    <t>Keep ICE</t>
  </si>
  <si>
    <t>New ICE now</t>
  </si>
  <si>
    <t>Plan A path</t>
  </si>
  <si>
    <t>Plan B path</t>
  </si>
  <si>
    <t>Vehicle-only economic TCO</t>
  </si>
  <si>
    <t>Saving vs selected Keep ICE</t>
  </si>
  <si>
    <t>Saving vs selected new ICE</t>
  </si>
  <si>
    <t>Shared site cost is excluded above. Do not call this a standalone or allocated all-in truck saving.</t>
  </si>
  <si>
    <t>Alternative fleet benchmark: replace every included truck with new ICE now.</t>
  </si>
  <si>
    <t>Saving vs all-new ICE</t>
  </si>
  <si>
    <t>Saving percentage vs new ICE</t>
  </si>
  <si>
    <t>15% headroom vs new ICE</t>
  </si>
  <si>
    <t>1. Enter each current truck and its work</t>
  </si>
  <si>
    <t>Include 1 = in this comparison. Up to 100 trucks. IDs must be unique. One duty is preserved in every plan.</t>
  </si>
  <si>
    <t>Truck ID</t>
  </si>
  <si>
    <t>Include 0/1</t>
  </si>
  <si>
    <t>Duty / route</t>
  </si>
  <si>
    <t>Body</t>
  </si>
  <si>
    <t>Work km/day</t>
  </si>
  <si>
    <t>Days/year</t>
  </si>
  <si>
    <t>Peak route km</t>
  </si>
  <si>
    <t>Peak cargo kg</t>
  </si>
  <si>
    <t>Jobs/day</t>
  </si>
  <si>
    <t>COE months left</t>
  </si>
  <si>
    <t>Market value now</t>
  </si>
  <si>
    <t>Physical scrap</t>
  </si>
  <si>
    <t>COE paid basis</t>
  </si>
  <si>
    <t>COE term months</t>
  </si>
  <si>
    <t>Debt if sold now</t>
  </si>
  <si>
    <t>Fee when old truck sold</t>
  </si>
  <si>
    <t>Evidence reference</t>
  </si>
  <si>
    <t>Vehicle age years</t>
  </si>
  <si>
    <t>Registration date</t>
  </si>
  <si>
    <t>Ambient demo</t>
  </si>
  <si>
    <t>Box</t>
  </si>
  <si>
    <t>DEMO-1</t>
  </si>
  <si>
    <t>T002</t>
  </si>
  <si>
    <t>DEMO-2</t>
  </si>
  <si>
    <t>T003</t>
  </si>
  <si>
    <t>DEMO-3</t>
  </si>
  <si>
    <t>T004</t>
  </si>
  <si>
    <t>DEMO-4</t>
  </si>
  <si>
    <t>T005</t>
  </si>
  <si>
    <t>DEMO-5</t>
  </si>
  <si>
    <t>T006</t>
  </si>
  <si>
    <t>DEMO-6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</si>
  <si>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</si>
  <si>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</si>
  <si>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</si>
  <si>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</si>
  <si>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</si>
  <si>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</si>
  <si>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</si>
  <si>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</si>
  <si>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</si>
  <si>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</si>
  <si>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</si>
  <si>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</si>
  <si>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</si>
  <si>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</si>
  <si>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</si>
  <si>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</si>
  <si>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</si>
  <si>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</si>
  <si>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</si>
  <si>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</si>
  <si>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</si>
  <si>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</si>
  <si>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</si>
  <si>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</si>
  <si>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</si>
  <si>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</si>
  <si>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</si>
  <si>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</si>
  <si>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</si>
  <si>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</si>
  <si>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</si>
  <si>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</si>
  <si>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</si>
  <si>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</si>
  <si>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</si>
  <si>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</si>
  <si>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</si>
  <si>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</si>
  <si>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</si>
  <si>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</si>
  <si>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</si>
  <si>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</si>
  <si>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</si>
  <si>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</si>
  <si>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</si>
  <si>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</si>
  <si>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</si>
  <si>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</si>
  <si>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</si>
  <si>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</si>
  <si>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</si>
  <si>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</si>
  <si>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</si>
  <si>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</si>
  <si>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</si>
  <si>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</si>
  <si>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</si>
  <si>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</si>
  <si>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</si>
  <si>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</si>
  <si>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</si>
  <si>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</si>
  <si>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</si>
  <si>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</si>
  <si>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</si>
  <si>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</si>
  <si>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</si>
  <si>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</si>
  <si>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</si>
  <si>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</si>
  <si>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</si>
  <si>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</si>
  <si>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</si>
  <si>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</si>
  <si>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</si>
  <si>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</si>
  <si>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</si>
  <si>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</si>
  <si>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</si>
  <si>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</si>
  <si>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</si>
  <si>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</si>
  <si>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</si>
  <si>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</si>
  <si>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</si>
  <si>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</si>
  <si>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</si>
  <si>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</si>
  <si>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</si>
  <si>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</si>
  <si>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</si>
  <si>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</si>
  <si>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</si>
  <si>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</si>
  <si>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2. Set replacements, quotes and future values</t>
  </si>
  <si>
    <t>Keep ICE = retire at expiry or earlier entered month, then buy ICE. New ICE / EV = replace at chosen month.</t>
  </si>
  <si>
    <t>EV model</t>
  </si>
  <si>
    <t>New ICE all-in quote</t>
  </si>
  <si>
    <t>EV all-in override</t>
  </si>
  <si>
    <t>Usable battery kWh</t>
  </si>
  <si>
    <t>EV kWh/km override</t>
  </si>
  <si>
    <t>Energy basis</t>
  </si>
  <si>
    <t>Approved payload kg</t>
  </si>
  <si>
    <t>Body fits EV</t>
  </si>
  <si>
    <t>Depot average kW</t>
  </si>
  <si>
    <t>Depot AC/DC</t>
  </si>
  <si>
    <t>Public average kW</t>
  </si>
  <si>
    <t>Keep retire override</t>
  </si>
  <si>
    <t>Keep terminal at year 10</t>
  </si>
  <si>
    <t>Plan A action</t>
  </si>
  <si>
    <t>A month override</t>
  </si>
  <si>
    <t>A year-10 value</t>
  </si>
  <si>
    <t>Plan B action</t>
  </si>
  <si>
    <t>B month override</t>
  </si>
  <si>
    <t>B year-10 value</t>
  </si>
  <si>
    <t>A gross disposal override</t>
  </si>
  <si>
    <t>B gross disposal override</t>
  </si>
  <si>
    <t>Old ICE extra /year</t>
  </si>
  <si>
    <t>New ICE extra /year</t>
  </si>
  <si>
    <t>EV extra /year</t>
  </si>
  <si>
    <t>Manual EV grant total</t>
  </si>
  <si>
    <t>Grant offset months</t>
  </si>
  <si>
    <t>Grant eligibility checked</t>
  </si>
  <si>
    <t>EV life months</t>
  </si>
  <si>
    <t>ICE life months</t>
  </si>
  <si>
    <t>Quote / value evidence</t>
  </si>
  <si>
    <t>Record reference</t>
  </si>
  <si>
    <t>Old ICE litres/km override</t>
  </si>
  <si>
    <t>New ICE litres/km override</t>
  </si>
  <si>
    <t>All-new ICE now year-10 value override</t>
  </si>
  <si>
    <t>ChengLong L2EV</t>
  </si>
  <si>
    <t>Battery</t>
  </si>
  <si>
    <t>Unconfirmed</t>
  </si>
  <si>
    <t>DC</t>
  </si>
  <si>
    <t>EV</t>
  </si>
  <si>
    <t>No</t>
  </si>
  <si>
    <t>Assumed</t>
  </si>
  <si>
    <t>3. Enter prices and each plan's charging arrangement</t>
  </si>
  <si>
    <t>Amber inputs. Blank site work = unknown, not zero. Costs apply once per plan, not once per truck.</t>
  </si>
  <si>
    <t>Input / cost item</t>
  </si>
  <si>
    <t>Unit</t>
  </si>
  <si>
    <t>Scope / evidence</t>
  </si>
  <si>
    <t>Commercial diesel</t>
  </si>
  <si>
    <t>SGD/litre</t>
  </si>
  <si>
    <t>Inherited assumption; enter net fleet invoice</t>
  </si>
  <si>
    <t>Public diesel</t>
  </si>
  <si>
    <t>Inherited assumption; enter net public pump price</t>
  </si>
  <si>
    <t>Commercial diesel share</t>
  </si>
  <si>
    <t>litres share</t>
  </si>
  <si>
    <t>Commercial purchase share</t>
  </si>
  <si>
    <t>Depot electricity</t>
  </si>
  <si>
    <t>SGD/grid kWh</t>
  </si>
  <si>
    <t>Inherited assumption; not current commercial offer</t>
  </si>
  <si>
    <t>Public charging</t>
  </si>
  <si>
    <t>Inherited assumption; verify truck access</t>
  </si>
  <si>
    <t>Public electricity share</t>
  </si>
  <si>
    <t>grid-kWh share</t>
  </si>
  <si>
    <t>Energy share, not visits share</t>
  </si>
  <si>
    <t>Charging-site arrangement</t>
  </si>
  <si>
    <t>Existing depot</t>
  </si>
  <si>
    <t>site</t>
  </si>
  <si>
    <t>Existing depot / New rented site / Public only / Operator funded</t>
  </si>
  <si>
    <t>Site location</t>
  </si>
  <si>
    <t>Unspecified</t>
  </si>
  <si>
    <t>region</t>
  </si>
  <si>
    <t>All Singapore areas considered; does not select a rent quote</t>
  </si>
  <si>
    <t>Charger type</t>
  </si>
  <si>
    <t>DC60</t>
  </si>
  <si>
    <t>type</t>
  </si>
  <si>
    <t>DC60 / DC120 / AC22 / Other</t>
  </si>
  <si>
    <t>Installed chargers</t>
  </si>
  <si>
    <t>units</t>
  </si>
  <si>
    <t>Actual installed hardware, not EV count</t>
  </si>
  <si>
    <t>Usable truck plugs</t>
  </si>
  <si>
    <t>usable plugs</t>
  </si>
  <si>
    <t>Actual simultaneous truck positions; sharing still limited by site power</t>
  </si>
  <si>
    <t>Charger equipment price</t>
  </si>
  <si>
    <t>SGD/charger</t>
  </si>
  <si>
    <t>E01 equipment-only advertised before GST/installation</t>
  </si>
  <si>
    <t>Local EV distribution board</t>
  </si>
  <si>
    <t>Local EV distribution equipment; itemised quote required</t>
  </si>
  <si>
    <t>Licensed electrical worker</t>
  </si>
  <si>
    <t>Site/project LEW; quote required</t>
  </si>
  <si>
    <t>Local cable and installation</t>
  </si>
  <si>
    <t>Local cabling/install only; quote required</t>
  </si>
  <si>
    <t>Charger registration</t>
  </si>
  <si>
    <t>L01 no GST; current 23-150kW fee only through Mar2027</t>
  </si>
  <si>
    <t>Major electrical upgrade</t>
  </si>
  <si>
    <t>SGD/site</t>
  </si>
  <si>
    <t>Switchboard/transformer upgrade; NOT automatic EHVCG eligible cost</t>
  </si>
  <si>
    <t>General civil work</t>
  </si>
  <si>
    <t>Separate paving/drainage/site infrastructure; quote required</t>
  </si>
  <si>
    <t>SP connection fee</t>
  </si>
  <si>
    <t>SP incremental connection quote; NOT automatic S$16,700</t>
  </si>
  <si>
    <t>Other site preparation</t>
  </si>
  <si>
    <t>Land preparation, permits, professional fees; no duplicate cable work</t>
  </si>
  <si>
    <t>Training and transition</t>
  </si>
  <si>
    <t>Inherited training/setup assumption</t>
  </si>
  <si>
    <t>Extra monthly space rent</t>
  </si>
  <si>
    <t>SGD/site/month</t>
  </si>
  <si>
    <t>Incremental EV space only. Existing common factory rent excluded</t>
  </si>
  <si>
    <t>Other fixed annual fees</t>
  </si>
  <si>
    <t>SGD/site/year</t>
  </si>
  <si>
    <t>Network/IT/insurance/standing fees not already in kWh price</t>
  </si>
  <si>
    <t>Annual demand charge</t>
  </si>
  <si>
    <t>Only actual tariff demand charges. Do not assume all LT sites pay HT charges</t>
  </si>
  <si>
    <t>Lost space value /year</t>
  </si>
  <si>
    <t>Only evidenced lost bay/use value, not duplicate rent</t>
  </si>
  <si>
    <t>Maintenance per charger</t>
  </si>
  <si>
    <t>SGD/charger/year</t>
  </si>
  <si>
    <t>E05 advertised DC maintenance; check service and inspections included</t>
  </si>
  <si>
    <t>Installation month</t>
  </si>
  <si>
    <t>analysis month</t>
  </si>
  <si>
    <t>Ready before first depot EV operation</t>
  </si>
  <si>
    <t>Site rights after install</t>
  </si>
  <si>
    <t>months after installation</t>
  </si>
  <si>
    <t>Confirmed rights, not merely parking permit</t>
  </si>
  <si>
    <t>Year-10 equipment recovery</t>
  </si>
  <si>
    <t>SGD/site at year 10</t>
  </si>
  <si>
    <t>Explicit equipment terminal forecast</t>
  </si>
  <si>
    <t>Lease-end restoration</t>
  </si>
  <si>
    <t>Lease-end restoration quote or evidenced zero</t>
  </si>
  <si>
    <t>Replacement-site cost</t>
  </si>
  <si>
    <t>Replacement site total, no assumed free land</t>
  </si>
  <si>
    <t>Replacement-site month</t>
  </si>
  <si>
    <t>Chargers/site change within horizon</t>
  </si>
  <si>
    <t>Next site confirmed</t>
  </si>
  <si>
    <t>Yes/No</t>
  </si>
  <si>
    <t>Needed if current site rights end before horizon</t>
  </si>
  <si>
    <t>Charger replacement cost</t>
  </si>
  <si>
    <t>Scheduled replacement, exclude duplicate maintenance</t>
  </si>
  <si>
    <t>Charger replacement month</t>
  </si>
  <si>
    <t>Scheduled charger replacement</t>
  </si>
  <si>
    <t>Refundable deposit</t>
  </si>
  <si>
    <t>Refundable funding tie-up, not full economic expense</t>
  </si>
  <si>
    <t>Deposit refund month</t>
  </si>
  <si>
    <t>Enter refund date; beyond horizon remains cash tied up</t>
  </si>
  <si>
    <t>Approved charger grant</t>
  </si>
  <si>
    <t>Only written grant quantum. Budget ceiling below is NOT a grant award</t>
  </si>
  <si>
    <t>Grant receipt month</t>
  </si>
  <si>
    <t>Reimbursement date, not upfront discount</t>
  </si>
  <si>
    <t>Award checked</t>
  </si>
  <si>
    <t>Written award and component caps checked</t>
  </si>
  <si>
    <t>Approved funded chargers</t>
  </si>
  <si>
    <t>eligible units</t>
  </si>
  <si>
    <t>Approved units, &lt;=3 and &lt;=eligible new eHVs at this site</t>
  </si>
  <si>
    <t>Accepted cost per charger</t>
  </si>
  <si>
    <t>SGD/eligible charger</t>
  </si>
  <si>
    <t>LTA-accepted eligible cost after component caps; blank ceiling unavailable</t>
  </si>
  <si>
    <t>Site quote basis</t>
  </si>
  <si>
    <t>Gross</t>
  </si>
  <si>
    <t>Gross/Net</t>
  </si>
  <si>
    <t>Site cost before approved grant</t>
  </si>
  <si>
    <t>Net site power</t>
  </si>
  <si>
    <t>kW</t>
  </si>
  <si>
    <t>Net usable grid input after other site loads</t>
  </si>
  <si>
    <t>Charging window</t>
  </si>
  <si>
    <t>hours</t>
  </si>
  <si>
    <t>Uninterrupted charging window</t>
  </si>
  <si>
    <t>Site permission and access</t>
  </si>
  <si>
    <t>Yes/No/Unconfirmed</t>
  </si>
  <si>
    <t>Landlord/JTC, physical bays, connector, cable and permissions</t>
  </si>
  <si>
    <t>Shared schedule confirmed</t>
  </si>
  <si>
    <t>Observed fleet arrivals, departures and shared-power schedule</t>
  </si>
  <si>
    <t>Site cost evidence</t>
  </si>
  <si>
    <t>Unknown</t>
  </si>
  <si>
    <t>Unknown/Assumed/Quoted/Verified</t>
  </si>
  <si>
    <t>Scope-complete values are not a site survey</t>
  </si>
  <si>
    <t>Public truck access</t>
  </si>
  <si>
    <t>Truck-compatible charger and availability evidence</t>
  </si>
  <si>
    <t>Charger rated input power</t>
  </si>
  <si>
    <t>kW/charger</t>
  </si>
  <si>
    <t>Update price, power, maintenance and fee when changing charger type.</t>
  </si>
  <si>
    <t>Calculated site result</t>
  </si>
  <si>
    <t>Rule</t>
  </si>
  <si>
    <t>Input completeness</t>
  </si>
  <si>
    <t>status</t>
  </si>
  <si>
    <t>Required unknown site costs block all-in totals.</t>
  </si>
  <si>
    <t>Gross initial site cost</t>
  </si>
  <si>
    <t>Actual charger count plus shared site preparation.</t>
  </si>
  <si>
    <t>Annual site cost</t>
  </si>
  <si>
    <t>Incremental rent, fixed charges and maintenance.</t>
  </si>
  <si>
    <t>Grant budget ceiling only</t>
  </si>
  <si>
    <t>Illustrative eligible-cost ceiling. Not an entitlement.</t>
  </si>
  <si>
    <t>Initial cost less award</t>
  </si>
  <si>
    <t>Approved reimbursement may arrive later than installation.</t>
  </si>
  <si>
    <t>Peak depot energy</t>
  </si>
  <si>
    <t>grid kWh/day</t>
  </si>
  <si>
    <t>Sum of entered peak-day depot energy.</t>
  </si>
  <si>
    <t>Total truck charging hours</t>
  </si>
  <si>
    <t>truck hours/day</t>
  </si>
  <si>
    <t>Sum of charging time; also limited by shared site power.</t>
  </si>
  <si>
    <t>Access and capacity check</t>
  </si>
  <si>
    <t>Coarse site gate, not a dispatch scheduling solution.</t>
  </si>
  <si>
    <t>EVs using arrangement</t>
  </si>
  <si>
    <t>trucks</t>
  </si>
  <si>
    <t>EV paths active before month 120.</t>
  </si>
  <si>
    <t>Evidence ID</t>
  </si>
  <si>
    <t>Item / location</t>
  </si>
  <si>
    <t>Value</t>
  </si>
  <si>
    <t>Unit / GST basis</t>
  </si>
  <si>
    <t>Applicability and limits</t>
  </si>
  <si>
    <t>Source URL</t>
  </si>
  <si>
    <t>E01</t>
  </si>
  <si>
    <t>DC equipment 60 kW</t>
  </si>
  <si>
    <t>SGD/charger, excl GST and installation</t>
  </si>
  <si>
    <t>Supplier advertised price, not binding quote</t>
  </si>
  <si>
    <t>https://www.electric.com.sg/ev-charger/</t>
  </si>
  <si>
    <t>E02</t>
  </si>
  <si>
    <t>DC equipment 120 kW</t>
  </si>
  <si>
    <t>E03</t>
  </si>
  <si>
    <t>AC equipment 22 kW minimum</t>
  </si>
  <si>
    <t>Range lower end only</t>
  </si>
  <si>
    <t>E04</t>
  </si>
  <si>
    <t>AC equipment 22 kW maximum</t>
  </si>
  <si>
    <t>Range upper end only; midpoint is not a quote</t>
  </si>
  <si>
    <t>E05</t>
  </si>
  <si>
    <t>DC private-use maintenance</t>
  </si>
  <si>
    <t>SGD/charger/year, excl GST</t>
  </si>
  <si>
    <t>Check inspection and service inclusions</t>
  </si>
  <si>
    <t>E06</t>
  </si>
  <si>
    <t>AC non-restricted maintenance</t>
  </si>
  <si>
    <t>L01</t>
  </si>
  <si>
    <t>Registration 23-150 kW</t>
  </si>
  <si>
    <t>SGD/charger, no GST</t>
  </si>
  <si>
    <t>Non-restricted statutory classification; fee valid through 31-Mar-2027</t>
  </si>
  <si>
    <t>https://www.lta.gov.sg/content/ltagov/en/industry_innovations/technologies/electric_vehicles/regulating_safety_of_ev_chargers/registration-of-ev-chargers.html</t>
  </si>
  <si>
    <t>S01</t>
  </si>
  <si>
    <t>LT connection 76-140 kVA</t>
  </si>
  <si>
    <t>SGD, excl GST</t>
  </si>
  <si>
    <t>Standard new underground shared-network connection without substation only; not total installation or universal upgrade fee</t>
  </si>
  <si>
    <t>https://www.spgroup.com.sg/dam/jcr:ed6d35eb-7bb5-450c-8386-b61f0cc13142/Transmission%20Service%20Rate%20Schedule%20(effective%20from%201%20Jul%202026).pdf</t>
  </si>
  <si>
    <t>S02</t>
  </si>
  <si>
    <t>LT connection 46-75 kVA</t>
  </si>
  <si>
    <t>Same conditional schedule; actual incremental charge needs SP confirmation</t>
  </si>
  <si>
    <t>J01</t>
  </si>
  <si>
    <t>Tuas View, PR &lt;=1.0</t>
  </si>
  <si>
    <t>SGD/m2/year, incl GST</t>
  </si>
  <si>
    <t>Ground rent only, not a developed yard or parking-space offer</t>
  </si>
  <si>
    <t>https://www.jtc.gov.sg/-/media/project/jtc-cx/corpweb/assets/find-land/land-rates/cx-land-rents-2h2026-with-impt-notes_.pdf</t>
  </si>
  <si>
    <t>J02</t>
  </si>
  <si>
    <t>West of Jurong River, PR &lt;=1.0</t>
  </si>
  <si>
    <t>Ground rent; plot-ratio basis differs between rows</t>
  </si>
  <si>
    <t>J03</t>
  </si>
  <si>
    <t>Woodlands East / Senoko, PR &lt;=1.4</t>
  </si>
  <si>
    <t>Ground rent only; lease eligibility and actual availability unconfirmed</t>
  </si>
  <si>
    <t>J04</t>
  </si>
  <si>
    <t>Sembawang Industrial Estate, PR &lt;=2.5</t>
  </si>
  <si>
    <t>Ground rent only</t>
  </si>
  <si>
    <t>J05</t>
  </si>
  <si>
    <t>Changi North, non-runway, PR &lt;=1.0</t>
  </si>
  <si>
    <t>J06</t>
  </si>
  <si>
    <t>Loyang, PR &lt;=2.5</t>
  </si>
  <si>
    <t>J07</t>
  </si>
  <si>
    <t>JTC Space @ Tuas factory rent minimum</t>
  </si>
  <si>
    <t>SGD/m2/month, excl GST</t>
  </si>
  <si>
    <t>Factory floor space, not truck-bay rent; zero units listed when checked</t>
  </si>
  <si>
    <t>https://www.jtc.gov.sg/find-space/jtc-space--tuas</t>
  </si>
  <si>
    <t>J08</t>
  </si>
  <si>
    <t>JTC Space @ Tuas factory rent maximum</t>
  </si>
  <si>
    <t>Factory floor space; charging rights unconfirmed</t>
  </si>
  <si>
    <t>G01</t>
  </si>
  <si>
    <t>EHVCG maximum per charger</t>
  </si>
  <si>
    <t>Up to 50% eligible cost with component caps; minimum 50 kW; maximum 3 chargers per site/applicant; 2026-2028 window or first 500 approved</t>
  </si>
  <si>
    <t>https://www.lta.gov.sg/content/ltagov/en/industry_innovations/technologies/electric_vehicles/charger_grants.html</t>
  </si>
  <si>
    <t>G02</t>
  </si>
  <si>
    <t>Excluded large site costs</t>
  </si>
  <si>
    <t>Qualitative rule</t>
  </si>
  <si>
    <t>Major electrical infrastructure, civil infrastructure, signage/painting and grid connection excluded. Local charger cabling/trenching can be eligible; itemised scope and LTA assessment decide.</t>
  </si>
  <si>
    <t>https://www.lta.gov.sg/content/dam/ltagov/industry_innovations/Technologies/Electric_Vehicles/PDF/Guidelines%20and%20Frequently%20Asked%20Questions%20for%20EHVCG.pdf</t>
  </si>
  <si>
    <t>D01</t>
  </si>
  <si>
    <t>Installer inspection/setup promotion</t>
  </si>
  <si>
    <t>Supplier promotion, T&amp;Cs apply</t>
  </si>
  <si>
    <t>Free site assessment; first Form A inspection and setup-fee waiver advertised. No fixed saving, expiry or customer eligibility established.</t>
  </si>
  <si>
    <t>https://www.limkimhai.com.sg/dc-charger-installation-for-commercial-fleets-singapore/</t>
  </si>
  <si>
    <t>C01</t>
  </si>
  <si>
    <t>Commercial DC installation from</t>
  </si>
  <si>
    <t>SGD/project, scope and GST unresolved</t>
  </si>
  <si>
    <t>Installer marketing starting figure only. Not a comparable installed project quotation or upper bound.</t>
  </si>
  <si>
    <t>https://mmengine.com/ev-charger-installation-singapore/</t>
  </si>
  <si>
    <t>P01</t>
  </si>
  <si>
    <t>25 Loyang Crescent heavy-duty yard</t>
  </si>
  <si>
    <t>Rental quotation required</t>
  </si>
  <si>
    <t>Public property listing found, but rent and charging rights not published</t>
  </si>
  <si>
    <t>https://www.cushmanwakefield.com/en/singapore/properties/for-lease/industrial/singapore/singapore/25-loyang-crescent/25loyang-crescent---heavy-duty-open-yard-l</t>
  </si>
  <si>
    <t>A01</t>
  </si>
  <si>
    <t>JTC charger deployment approval</t>
  </si>
  <si>
    <t>Site approval condition</t>
  </si>
  <si>
    <t>Consult JTC engagement officer and obtain relevant consent; parking tenancy alone does not authorise installation</t>
  </si>
  <si>
    <t>https://www.jtc.gov.sg/get-help/development-and-renovation-works/qp-submission</t>
  </si>
  <si>
    <t>U01</t>
  </si>
  <si>
    <t>Partner site preparation claim</t>
  </si>
  <si>
    <t>SGD, scope/date/GST unknown</t>
  </si>
  <si>
    <t>User-supplied stakeholder claim. Do not use as standard cost or subtract 50% grant from the whole amount.</t>
  </si>
  <si>
    <t>User-supplied interview account</t>
  </si>
  <si>
    <t>Ground land rent, factory floor rent and parking-bay rent are different. No rent benchmark is auto-loaded.</t>
  </si>
  <si>
    <t>EHVCG: major grid/electrical/civil costs excluded. Local charger cabling/trenching needs itemised eligibility review.</t>
  </si>
  <si>
    <t>A generic industrial/office-site discount was not established. ECCG is residential, not an industrial rebate.</t>
  </si>
  <si>
    <t>Operating assumptions and forecast controls</t>
  </si>
  <si>
    <t>Inherited demonstration inputs. Replace with records. Normal wages, loans, income tax and recoverable GST excluded.</t>
  </si>
  <si>
    <t>Input</t>
  </si>
  <si>
    <t>Meaning / evidence</t>
  </si>
  <si>
    <t>ICE fuel consumption</t>
  </si>
  <si>
    <t>litres/km</t>
  </si>
  <si>
    <t>Stock-balanced fuel / total km</t>
  </si>
  <si>
    <t>Diesel refill per visit</t>
  </si>
  <si>
    <t>litres/visit</t>
  </si>
  <si>
    <t>Refill, not tank capacity</t>
  </si>
  <si>
    <t>Fuel-station detour</t>
  </si>
  <si>
    <t>km/visit</t>
  </si>
  <si>
    <t>Extra round trip only</t>
  </si>
  <si>
    <t>Fuel queue and service</t>
  </si>
  <si>
    <t>min/visit</t>
  </si>
  <si>
    <t>Queue and refuelling</t>
  </si>
  <si>
    <t>Detour driving speed</t>
  </si>
  <si>
    <t>km/hour</t>
  </si>
  <si>
    <t>Detour speed</t>
  </si>
  <si>
    <t>Public-charger detour</t>
  </si>
  <si>
    <t>Extra public-charger round trip</t>
  </si>
  <si>
    <t>Charging queue</t>
  </si>
  <si>
    <t>Observed site/period queue</t>
  </si>
  <si>
    <t>Public plug handling</t>
  </si>
  <si>
    <t>Public handling</t>
  </si>
  <si>
    <t>Public session fee</t>
  </si>
  <si>
    <t>SGD/visit</t>
  </si>
  <si>
    <t>Exclude if tariff already includes it</t>
  </si>
  <si>
    <t>Depot handling time</t>
  </si>
  <si>
    <t>min/day</t>
  </si>
  <si>
    <t>Depot handling</t>
  </si>
  <si>
    <t>Other EV paid time</t>
  </si>
  <si>
    <t>Distinct EV paid time</t>
  </si>
  <si>
    <t>Maximum public stop</t>
  </si>
  <si>
    <t>Operating limit</t>
  </si>
  <si>
    <t>Avoidable paid time rate</t>
  </si>
  <si>
    <t>SGD/hour</t>
  </si>
  <si>
    <t>Incremental avoidable paid time</t>
  </si>
  <si>
    <t>Paid EV-time share</t>
  </si>
  <si>
    <t>fraction</t>
  </si>
  <si>
    <t>Avoidable paid EV time share</t>
  </si>
  <si>
    <t>Paid ICE-time share</t>
  </si>
  <si>
    <t>Avoidable paid ICE time share</t>
  </si>
  <si>
    <t>Buyer electricity share</t>
  </si>
  <si>
    <t>Electricity paid by buyer</t>
  </si>
  <si>
    <t>Buyer diesel share</t>
  </si>
  <si>
    <t>Diesel paid by buyer</t>
  </si>
  <si>
    <t>Old ICE maintenance</t>
  </si>
  <si>
    <t>SGD/year</t>
  </si>
  <si>
    <t>Current ICE maintenance</t>
  </si>
  <si>
    <t>New ICE maintenance</t>
  </si>
  <si>
    <t>ICE tyres</t>
  </si>
  <si>
    <t>Separate tyres</t>
  </si>
  <si>
    <t>EV tyres</t>
  </si>
  <si>
    <t>ICE insurance</t>
  </si>
  <si>
    <t>Matched coverage</t>
  </si>
  <si>
    <t>EV insurance</t>
  </si>
  <si>
    <t>ICE road tax</t>
  </si>
  <si>
    <t>Verify tax</t>
  </si>
  <si>
    <t>EV road tax / AFC</t>
  </si>
  <si>
    <t>Verify tax/AFC</t>
  </si>
  <si>
    <t>Inspection</t>
  </si>
  <si>
    <t>Old ICE other cost</t>
  </si>
  <si>
    <t>Current ICE other</t>
  </si>
  <si>
    <t>New ICE other cost</t>
  </si>
  <si>
    <t>New ICE other</t>
  </si>
  <si>
    <t>EV other cost</t>
  </si>
  <si>
    <t>EV other</t>
  </si>
  <si>
    <t>ICE contract surcharge</t>
  </si>
  <si>
    <t>Distinct contract surcharge</t>
  </si>
  <si>
    <t>EV contract surcharge</t>
  </si>
  <si>
    <t>Old ICE unavailable days</t>
  </si>
  <si>
    <t>days/year</t>
  </si>
  <si>
    <t>Unknown is not measured zero</t>
  </si>
  <si>
    <t>New ICE unavailable days</t>
  </si>
  <si>
    <t>Unavailable days</t>
  </si>
  <si>
    <t>EV unavailable days</t>
  </si>
  <si>
    <t>ICE all-in backup rate</t>
  </si>
  <si>
    <t>SGD/day</t>
  </si>
  <si>
    <t>All-in service replacement; no duplicate fuel</t>
  </si>
  <si>
    <t>EV all-in backup rate</t>
  </si>
  <si>
    <t>All-in service replacement</t>
  </si>
  <si>
    <t>Charging loss</t>
  </si>
  <si>
    <t>Apply once to battery-side consumption</t>
  </si>
  <si>
    <t>Battery reserve</t>
  </si>
  <si>
    <t>Annual battery fade</t>
  </si>
  <si>
    <t>fraction/year</t>
  </si>
  <si>
    <t>Explicit capacity stress assumption</t>
  </si>
  <si>
    <t>Public refill fraction</t>
  </si>
  <si>
    <t>Typical public refill</t>
  </si>
  <si>
    <t>Extra auxiliary energy</t>
  </si>
  <si>
    <t>battery kWh/day</t>
  </si>
  <si>
    <t>Only auxiliary demand not already in consumption</t>
  </si>
  <si>
    <t>Peak auxiliary energy</t>
  </si>
  <si>
    <t>Observed demanding day</t>
  </si>
  <si>
    <t>Capital-price growth</t>
  </si>
  <si>
    <t>Future purchase inflation</t>
  </si>
  <si>
    <t>Diesel-price growth</t>
  </si>
  <si>
    <t>Diesel price inflation</t>
  </si>
  <si>
    <t>Charging-price growth</t>
  </si>
  <si>
    <t>Charging price inflation</t>
  </si>
  <si>
    <t>Other-cost growth</t>
  </si>
  <si>
    <t>Other operating inflation</t>
  </si>
  <si>
    <t>Discount rate</t>
  </si>
  <si>
    <t>Nominal annual discount rate</t>
  </si>
  <si>
    <t>Extra upfront budget</t>
  </si>
  <si>
    <t>SGD</t>
  </si>
  <si>
    <t>Additional day-0 fleet budget</t>
  </si>
  <si>
    <t>New ICE terminal value</t>
  </si>
  <si>
    <t>SGD/truck</t>
  </si>
  <si>
    <t>All-new-ICE-now year-10 value</t>
  </si>
  <si>
    <t>Fallback EV COE</t>
  </si>
  <si>
    <t>Archived quote fallback COE assumption</t>
  </si>
  <si>
    <t>Backup confirmed</t>
  </si>
  <si>
    <t>Capacity and all-in terms confirmed</t>
  </si>
  <si>
    <t>Loaded trial confirmed</t>
  </si>
  <si>
    <t>Loaded route and charging trial</t>
  </si>
  <si>
    <t>Energy prices confirmed</t>
  </si>
  <si>
    <t>Current company energy contracts</t>
  </si>
  <si>
    <t>Data mode</t>
  </si>
  <si>
    <t>Demonstration</t>
  </si>
  <si>
    <t>mode</t>
  </si>
  <si>
    <t>Demonstration / Customer</t>
  </si>
  <si>
    <t>Vehicle quote basis</t>
  </si>
  <si>
    <t>Gross/Net/Unknown</t>
  </si>
  <si>
    <t>Vehicle inputs must be gross if grant separately deducted</t>
  </si>
  <si>
    <t>Analysis start date</t>
  </si>
  <si>
    <t>date</t>
  </si>
  <si>
    <t>Analysis start date; fixed 120 months</t>
  </si>
  <si>
    <t>EV scheduled repair</t>
  </si>
  <si>
    <t>Separate scheduled battery/vehicle repair</t>
  </si>
  <si>
    <t>EV repair after purchase</t>
  </si>
  <si>
    <t>months after purchase</t>
  </si>
  <si>
    <t>Repair timing</t>
  </si>
  <si>
    <t>ICE scheduled repair</t>
  </si>
  <si>
    <t>Separate scheduled ICE repair</t>
  </si>
  <si>
    <t>ICE repair month</t>
  </si>
  <si>
    <t>Applies to active ICE only</t>
  </si>
  <si>
    <t>Recorded Hong Seh truck specifications</t>
  </si>
  <si>
    <t>Archived specifications and prices. Not current quotes or loaded performance evidence.</t>
  </si>
  <si>
    <t>Model</t>
  </si>
  <si>
    <t>MLW kg</t>
  </si>
  <si>
    <t>Kerb kg</t>
  </si>
  <si>
    <t>Listed battery kWh</t>
  </si>
  <si>
    <t>Proxy battery kWh/km</t>
  </si>
  <si>
    <t>Basis</t>
  </si>
  <si>
    <t>AC kW</t>
  </si>
  <si>
    <t>DC kW</t>
  </si>
  <si>
    <t>Archived price excl COE</t>
  </si>
  <si>
    <t>Range km</t>
  </si>
  <si>
    <t>Source</t>
  </si>
  <si>
    <t>Evidence</t>
  </si>
  <si>
    <t>Archived usable kWh</t>
  </si>
  <si>
    <t>Farizon F3E</t>
  </si>
  <si>
    <t>Farizon F3E Electric 22158_30-Aug-2026.pdf, p1-2</t>
  </si>
  <si>
    <t>SRM T3EV</t>
  </si>
  <si>
    <t>https://evhubs.sg/electric-vehicles/srm-t3-ev.html</t>
  </si>
  <si>
    <t>Cheng Long L2 22151_14-Sep-2026.pdf, p1-2</t>
  </si>
  <si>
    <t>Farizon H5E</t>
  </si>
  <si>
    <t>Farizon H5E 22109_14-Sep-2026.pdf, p1-2; user DC correction 17-Sep-2026</t>
  </si>
  <si>
    <t>SRM T3EV+</t>
  </si>
  <si>
    <t>Farizon H9E 14ft</t>
  </si>
  <si>
    <t>https://evhubs.sg/electric-vehicles/farizon-h9e.html</t>
  </si>
  <si>
    <t>Farizon H9E 20ft</t>
  </si>
  <si>
    <t>T3EV+ 106 kWh and H5E usable/listed conflicts are preserved, not selected as verified capacities.</t>
  </si>
  <si>
    <t>G: MLW &lt;=3,500 kg. Y: &gt;3,500-16,000 kg. X: &gt;16,000 kg. H9E 9.8t is HGV, not VHGV.</t>
  </si>
  <si>
    <t>Vehicle paths and operating calculations</t>
  </si>
  <si>
    <t>One calculation engine, keyed truck and plan. Code 0=Keep ICE; 1=all-new ICE; 2=Plan A; 3=Plan B.</t>
  </si>
  <si>
    <t>Plan code</t>
  </si>
  <si>
    <t>Included</t>
  </si>
  <si>
    <t>New type</t>
  </si>
  <si>
    <t>Replace month</t>
  </si>
  <si>
    <t>Current value</t>
  </si>
  <si>
    <t>Purchase</t>
  </si>
  <si>
    <t>Gross disposal</t>
  </si>
  <si>
    <t>Year-10 asset</t>
  </si>
  <si>
    <t>Old energy/year</t>
  </si>
  <si>
    <t>Old other/year</t>
  </si>
  <si>
    <t>New energy/year</t>
  </si>
  <si>
    <t>New other/year</t>
  </si>
  <si>
    <t>Grant</t>
  </si>
  <si>
    <t>Grant month</t>
  </si>
  <si>
    <t>Input status</t>
  </si>
  <si>
    <t>Service status</t>
  </si>
  <si>
    <t>Public share</t>
  </si>
  <si>
    <t>EV grid kWh/km</t>
  </si>
  <si>
    <t>Usable battery</t>
  </si>
  <si>
    <t>Public visits/year</t>
  </si>
  <si>
    <t>EV grid kWh/year</t>
  </si>
  <si>
    <t>Peak depot kWh</t>
  </si>
  <si>
    <t>Peak depot hours</t>
  </si>
  <si>
    <t>Fuel litres/year</t>
  </si>
  <si>
    <t>EV years</t>
  </si>
  <si>
    <t>Peak public minutes</t>
  </si>
  <si>
    <t>Peak load kg</t>
  </si>
  <si>
    <t>Approved payload</t>
  </si>
  <si>
    <t>Accepted depot kW</t>
  </si>
  <si>
    <t>Peak battery kWh</t>
  </si>
  <si>
    <t>Bank power kW</t>
  </si>
  <si>
    <t>EV MLW kg</t>
  </si>
  <si>
    <t>Depot mode</t>
  </si>
  <si>
    <t>Quote/value evidence</t>
  </si>
  <si>
    <t>Annual vehicle and site cost calculation</t>
  </si>
  <si>
    <t>Year 0 is upfront. Years 1-10 use monthly duty fractions and year-band escalation. Replacement occurs at end month R.</t>
  </si>
  <si>
    <t>Path row</t>
  </si>
  <si>
    <t>Old months</t>
  </si>
  <si>
    <t>New months</t>
  </si>
  <si>
    <t>Old operating</t>
  </si>
  <si>
    <t>New operating</t>
  </si>
  <si>
    <t>Disposal</t>
  </si>
  <si>
    <t>Terminal asset</t>
  </si>
  <si>
    <t>Scheduled repair</t>
  </si>
  <si>
    <t>Economic cost</t>
  </si>
  <si>
    <t>Cash less terminal assets</t>
  </si>
  <si>
    <t>Cash before terminal assets</t>
  </si>
  <si>
    <t>NPV economic</t>
  </si>
  <si>
    <t>Replacement funding at year 0</t>
  </si>
  <si>
    <t>Work km</t>
  </si>
  <si>
    <t>Jobs</t>
  </si>
  <si>
    <t>Independent workbook reconciliations</t>
  </si>
  <si>
    <t>Check</t>
  </si>
  <si>
    <t>Actual difference / count</t>
  </si>
  <si>
    <t>Expected</t>
  </si>
  <si>
    <t>Status</t>
  </si>
  <si>
    <t>Fixed ten-year duty coverage</t>
  </si>
  <si>
    <t>Included source trucks</t>
  </si>
  <si>
    <t>Keep economic/cash bridge</t>
  </si>
  <si>
    <t>New ICE economic/cash bridge</t>
  </si>
  <si>
    <t>Plan A cash bridge incl. deposit</t>
  </si>
  <si>
    <t>Plan B cash bridge incl. deposit</t>
  </si>
  <si>
    <t>Plan A EV count</t>
  </si>
  <si>
    <t>Plan B EV count</t>
  </si>
  <si>
    <t>EV servicing uses the selected model's Hong Seh 200,000 km average unless Annual override is selected. The average smooths service timing.</t>
  </si>
  <si>
    <t>EV maintenance annual override</t>
  </si>
  <si>
    <t>Used only when EV servicing basis is Annual override. Include the same scope as the Hong Seh schedule or explain the difference.</t>
  </si>
  <si>
    <t>EV servicing basis</t>
  </si>
  <si>
    <t>Hong Seh 200k average</t>
  </si>
  <si>
    <t>basis</t>
  </si>
  <si>
    <t>Hong Seh 200,000 km average uses the selected EV model. Annual override uses the value in row 26.</t>
  </si>
  <si>
    <t>Service schedule</t>
  </si>
  <si>
    <t>Service total at 200,000 km</t>
  </si>
  <si>
    <t>Average service cost / km</t>
  </si>
  <si>
    <t>Source / treatment</t>
  </si>
  <si>
    <t>Farizon F3e</t>
  </si>
  <si>
    <t>Hong Seh schedule supplied 18-Oct-2026. S$/km average smooths timing; use beyond 200,000 km is a projection.</t>
  </si>
  <si>
    <t>SRM T3</t>
  </si>
  <si>
    <t>Chenglong L2</t>
  </si>
  <si>
    <t>Farizon H5E / H9E</t>
  </si>
  <si>
    <t>EV odometer km/year</t>
  </si>
  <si>
    <t>EV servicing /year</t>
  </si>
  <si>
    <t>Service source interval totals</t>
  </si>
  <si>
    <t>Product service mappings</t>
  </si>
  <si>
    <t>Vehicle path service formulas</t>
  </si>
  <si>
    <t>Hong Seh scheduled servicing costs</t>
  </si>
  <si>
    <t>Original schedule labels are preserved. FOC and Nil are treated as S$0 only when the numeric totals are calculated.</t>
  </si>
  <si>
    <t>Service Intervals (KMs)</t>
  </si>
  <si>
    <t>Total Maintenance Costs after 200,000</t>
  </si>
  <si>
    <t>Calculated interval total</t>
  </si>
  <si>
    <t>Difference to stated total</t>
  </si>
  <si>
    <t>FOC</t>
  </si>
  <si>
    <t>Nil</t>
  </si>
  <si>
    <t>DFSK EC31/ EC35</t>
  </si>
  <si>
    <t>Farizon SuperVan</t>
  </si>
  <si>
    <t>Riddara RD6</t>
  </si>
  <si>
    <t>Farizon V7e</t>
  </si>
  <si>
    <t>NIl</t>
  </si>
  <si>
    <t>TCO treatment</t>
  </si>
  <si>
    <t>The model divides each stated 200,000 km total by 200,000 km. It applies the resulting S$/km rate to estimated EV odometer kilometres.</t>
  </si>
  <si>
    <t>This method smooths service timing. Use beyond 200,000 km is a projection. Unscheduled repairs, tyres and downtime are separate inputs.</t>
  </si>
  <si>
    <t>Source: Hong Seh, Servicing cost_200k_Oct 2026 (1).xlsx, supplied 18-Oct-2026.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</si>
</sst>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&quot;S$&quot;#,##0;\(&quot;S$&quot;#,##0\);&quot;–&quot;"/>
    <numFmt numFmtId="166" formatCode="dd\-mmm\-yy"/>
    <numFmt numFmtId="167" formatCode="0.0000"/>
    <numFmt numFmtId="168" formatCode="#,##0;\(#,##0\);&quot;–&quot;"/>
    <numFmt numFmtId="169" formatCode="0.0%"/>
    <numFmt numFmtId="170" formatCode="&quot;S$&quot;0.00"/>
    <numFmt numFmtId="171" formatCode="&quot;S$&quot;0.00000"/>
    <numFmt numFmtId="172" formatCode="#,##0.00;\(#,##0.00\);&quot;–&quot;"/>
  </numFmts>
  <fonts count="11">
    <font>
      <sz val="11"/>
      <name val="Carlito"/>
    </font>
    <font>
      <sz val="10"/>
      <color rgb="FF20354A"/>
      <name val="Arial"/>
    </font>
    <font>
      <b/>
      <sz val="15"/>
      <color rgb="FF20354A"/>
      <name val="Arial"/>
    </font>
    <font>
      <b/>
      <sz val="10"/>
      <color rgb="FFFFFFFF"/>
      <name val="Arial"/>
    </font>
    <font>
      <sz val="10"/>
      <color rgb="FF0000FF"/>
      <name val="Arial"/>
    </font>
    <font>
      <sz val="10"/>
      <color rgb="FF008000"/>
      <name val="Arial"/>
    </font>
    <font>
      <b/>
      <sz val="10"/>
      <color rgb="FF20354A"/>
      <name val="Arial"/>
    </font>
    <font>
      <sz val="10"/>
      <color rgb="FF000000"/>
      <name val="Arial"/>
    </font>
    <font>
      <sz val="11"/>
      <name val="Carlito"/>
    </font>
    <font>
      <b/>
      <sz val="11"/>
      <color rgb="FF20354A"/>
      <name val="Arial"/>
    </font>
    <font>
      <sz val="11"/>
      <color rgb="FF008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24435D"/>
      </patternFill>
    </fill>
    <fill>
      <patternFill patternType="solid">
        <fgColor rgb="FFFFF2CC"/>
      </patternFill>
    </fill>
    <fill>
      <patternFill patternType="solid">
        <fgColor rgb="FF24435D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7F9AB2"/>
      </bottom>
      <diagonal/>
    </border>
  </borders>
  <cellStyleXfs count="2">
    <xf numFmtId="0" fontId="0" fillId="0" borderId="0"/>
    <xf numFmtId="0" fontId="8" fillId="0" borderId="0"/>
  </cellStyleXfs>
  <cellXfs count="50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1" fillId="0" borderId="1" xfId="1" applyFont="1" applyBorder="1" applyAlignment="1">
      <alignment vertical="center"/>
    </xf>
    <xf numFmtId="0" fontId="3" fillId="2" borderId="0" xfId="1" applyFont="1" applyFill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164" fontId="1" fillId="0" borderId="0" xfId="1" applyNumberFormat="1" applyFont="1" applyAlignment="1">
      <alignment vertical="center"/>
    </xf>
    <xf numFmtId="0" fontId="4" fillId="3" borderId="0" xfId="1" applyFont="1" applyFill="1" applyAlignment="1">
      <alignment vertical="center"/>
    </xf>
    <xf numFmtId="165" fontId="4" fillId="3" borderId="0" xfId="1" applyNumberFormat="1" applyFont="1" applyFill="1" applyAlignment="1">
      <alignment vertical="center"/>
    </xf>
    <xf numFmtId="166" fontId="4" fillId="3" borderId="0" xfId="1" applyNumberFormat="1" applyFont="1" applyFill="1" applyAlignment="1">
      <alignment vertical="center"/>
    </xf>
    <xf numFmtId="1" fontId="4" fillId="3" borderId="0" xfId="1" applyNumberFormat="1" applyFont="1" applyFill="1" applyAlignment="1">
      <alignment vertical="center"/>
    </xf>
    <xf numFmtId="167" fontId="4" fillId="3" borderId="0" xfId="1" applyNumberFormat="1" applyFont="1" applyFill="1" applyAlignment="1">
      <alignment vertical="center"/>
    </xf>
    <xf numFmtId="2" fontId="4" fillId="3" borderId="0" xfId="1" applyNumberFormat="1" applyFont="1" applyFill="1" applyAlignment="1">
      <alignment vertical="center"/>
    </xf>
    <xf numFmtId="168" fontId="4" fillId="3" borderId="0" xfId="1" applyNumberFormat="1" applyFont="1" applyFill="1" applyAlignment="1">
      <alignment vertical="center"/>
    </xf>
    <xf numFmtId="169" fontId="4" fillId="3" borderId="0" xfId="1" applyNumberFormat="1" applyFont="1" applyFill="1" applyAlignment="1">
      <alignment vertical="center"/>
    </xf>
    <xf numFmtId="49" fontId="4" fillId="3" borderId="0" xfId="1" applyNumberFormat="1" applyFont="1" applyFill="1" applyAlignment="1">
      <alignment vertical="center"/>
    </xf>
    <xf numFmtId="165" fontId="1" fillId="0" borderId="0" xfId="1" applyNumberFormat="1" applyFont="1" applyAlignment="1">
      <alignment vertical="center"/>
    </xf>
    <xf numFmtId="166" fontId="1" fillId="0" borderId="0" xfId="1" applyNumberFormat="1" applyFont="1" applyAlignment="1">
      <alignment vertical="center"/>
    </xf>
    <xf numFmtId="0" fontId="5" fillId="0" borderId="0" xfId="1" applyFont="1" applyAlignment="1">
      <alignment vertical="center" wrapText="1"/>
    </xf>
    <xf numFmtId="165" fontId="5" fillId="0" borderId="0" xfId="1" applyNumberFormat="1" applyFont="1" applyAlignment="1">
      <alignment horizontal="right" vertical="center" wrapText="1"/>
    </xf>
    <xf numFmtId="2" fontId="5" fillId="0" borderId="0" xfId="1" applyNumberFormat="1" applyFont="1" applyAlignment="1">
      <alignment horizontal="right" vertical="center" wrapText="1"/>
    </xf>
    <xf numFmtId="0" fontId="6" fillId="0" borderId="0" xfId="1" applyFont="1" applyAlignment="1">
      <alignment vertical="center"/>
    </xf>
    <xf numFmtId="169" fontId="1" fillId="0" borderId="0" xfId="1" applyNumberFormat="1" applyFont="1" applyAlignment="1">
      <alignment vertical="center"/>
    </xf>
    <xf numFmtId="165" fontId="1" fillId="0" borderId="0" xfId="1" applyNumberFormat="1" applyFont="1" applyAlignment="1">
      <alignment horizontal="right" vertical="center"/>
    </xf>
    <xf numFmtId="169" fontId="1" fillId="0" borderId="0" xfId="1" applyNumberFormat="1" applyFont="1" applyAlignment="1">
      <alignment horizontal="right" vertical="center"/>
    </xf>
    <xf numFmtId="0" fontId="1" fillId="0" borderId="0" xfId="1" applyFont="1" applyAlignment="1">
      <alignment horizontal="right" vertical="center"/>
    </xf>
    <xf numFmtId="170" fontId="1" fillId="0" borderId="0" xfId="1" applyNumberFormat="1" applyFont="1" applyAlignment="1">
      <alignment horizontal="right" vertical="center"/>
    </xf>
    <xf numFmtId="0" fontId="7" fillId="0" borderId="0" xfId="1" applyFont="1" applyAlignment="1">
      <alignment vertical="center"/>
    </xf>
    <xf numFmtId="2" fontId="5" fillId="0" borderId="0" xfId="1" applyNumberFormat="1" applyFont="1" applyAlignment="1">
      <alignment vertical="center"/>
    </xf>
    <xf numFmtId="2" fontId="7" fillId="0" borderId="0" xfId="1" applyNumberFormat="1" applyFont="1" applyAlignment="1">
      <alignment vertical="center"/>
    </xf>
    <xf numFmtId="2" fontId="1" fillId="0" borderId="0" xfId="1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4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165" fontId="1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/>
    <xf numFmtId="165" fontId="10" fillId="0" borderId="0" xfId="0" applyNumberFormat="1" applyFont="1"/>
    <xf numFmtId="0" fontId="0" fillId="0" borderId="0" xfId="0" applyAlignment="1">
      <alignment wrapText="1"/>
    </xf>
    <xf numFmtId="165" fontId="10" fillId="0" borderId="0" xfId="0" applyNumberFormat="1" applyFont="1" applyAlignment="1">
      <alignment wrapText="1"/>
    </xf>
    <xf numFmtId="171" fontId="10" fillId="0" borderId="0" xfId="0" applyNumberFormat="1" applyFont="1" applyAlignment="1">
      <alignment wrapText="1"/>
    </xf>
    <xf numFmtId="49" fontId="4" fillId="5" borderId="0" xfId="0" applyNumberFormat="1" applyFont="1" applyFill="1" applyAlignment="1">
      <alignment vertical="center"/>
    </xf>
    <xf numFmtId="0" fontId="1" fillId="0" borderId="0" xfId="0" applyFont="1" applyAlignment="1">
      <alignment vertical="center" wrapText="1"/>
    </xf>
    <xf numFmtId="172" fontId="10" fillId="0" borderId="0" xfId="0" applyNumberFormat="1" applyFont="1"/>
    <xf numFmtId="2" fontId="5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5">
    <dxf>
      <font>
        <b/>
        <color rgb="FF9C2525"/>
      </font>
      <fill>
        <patternFill patternType="solid">
          <bgColor rgb="FFFBE8E6"/>
        </patternFill>
      </fill>
    </dxf>
    <dxf>
      <font>
        <b/>
        <color rgb="FF9C2525"/>
      </font>
      <fill>
        <patternFill patternType="solid">
          <bgColor rgb="FFFBE8E6"/>
        </patternFill>
      </fill>
    </dxf>
    <dxf>
      <font>
        <b/>
        <color rgb="FF9C2525"/>
      </font>
      <fill>
        <patternFill>
          <bgColor rgb="FFFBE8E6"/>
        </patternFill>
      </fill>
    </dxf>
    <dxf>
      <font>
        <b/>
        <color rgb="FF9C2525"/>
      </font>
      <fill>
        <patternFill>
          <bgColor rgb="FFFBE8E6"/>
        </patternFill>
      </fill>
    </dxf>
    <dxf>
      <font>
        <b/>
        <color rgb="FF9C2525"/>
      </font>
      <fill>
        <patternFill>
          <bgColor rgb="FFFB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900">
                <a:latin typeface="Arial"/>
                <a:ea typeface="Arial"/>
                <a:cs typeface="Arial"/>
              </a:rPr>
              <a:t>Annual cash less forecast terminal assets (S$)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Keep ICE cash less assets</c:v>
          </c:tx>
          <c:spPr>
            <a:ln w="19050">
              <a:solidFill>
                <a:srgbClr val="6B7886"/>
              </a:solidFill>
              <a:prstDash val="solid"/>
            </a:ln>
          </c:spPr>
          <c:marker>
            <c:symbol val="none"/>
          </c:marker>
          <c:cat>
            <c:numRef>
              <c:f>Results!$A$45:$A$55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Results!$B$45:$B$55</c:f>
              <c:numCache>
                <c:formatCode>"S$"#,##0;\("S$"#,##0\);"–"</c:formatCode>
                <c:ptCount val="11"/>
                <c:pt idx="0">
                  <c:v>0</c:v>
                </c:pt>
                <c:pt idx="1">
                  <c:v>279908.10000000003</c:v>
                </c:pt>
                <c:pt idx="2">
                  <c:v>279908.10000000003</c:v>
                </c:pt>
                <c:pt idx="3">
                  <c:v>279908.09999999998</c:v>
                </c:pt>
                <c:pt idx="4">
                  <c:v>279908.09999999998</c:v>
                </c:pt>
                <c:pt idx="5">
                  <c:v>279908.09999999998</c:v>
                </c:pt>
                <c:pt idx="6">
                  <c:v>279908.09999999998</c:v>
                </c:pt>
                <c:pt idx="7">
                  <c:v>108908.1</c:v>
                </c:pt>
                <c:pt idx="8">
                  <c:v>108908.1</c:v>
                </c:pt>
                <c:pt idx="9">
                  <c:v>108908.1</c:v>
                </c:pt>
                <c:pt idx="10">
                  <c:v>-158391.9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0C-4CDD-B0B7-422BECCAC6C8}"/>
            </c:ext>
          </c:extLst>
        </c:ser>
        <c:ser>
          <c:idx val="1"/>
          <c:order val="1"/>
          <c:tx>
            <c:v>New ICE cash less assets</c:v>
          </c:tx>
          <c:spPr>
            <a:ln w="19050">
              <a:solidFill>
                <a:srgbClr val="B3BAC1"/>
              </a:solidFill>
              <a:prstDash val="solid"/>
            </a:ln>
          </c:spPr>
          <c:marker>
            <c:symbol val="none"/>
          </c:marker>
          <c:cat>
            <c:numRef>
              <c:f>Results!$A$45:$A$55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Results!$C$45:$C$55</c:f>
              <c:numCache>
                <c:formatCode>"S$"#,##0;\("S$"#,##0\);"–"</c:formatCode>
                <c:ptCount val="11"/>
                <c:pt idx="0">
                  <c:v>852000</c:v>
                </c:pt>
                <c:pt idx="1">
                  <c:v>108908.1</c:v>
                </c:pt>
                <c:pt idx="2">
                  <c:v>108908.1</c:v>
                </c:pt>
                <c:pt idx="3">
                  <c:v>108908.1</c:v>
                </c:pt>
                <c:pt idx="4">
                  <c:v>108908.1</c:v>
                </c:pt>
                <c:pt idx="5">
                  <c:v>108908.1</c:v>
                </c:pt>
                <c:pt idx="6">
                  <c:v>108908.1</c:v>
                </c:pt>
                <c:pt idx="7">
                  <c:v>108908.1</c:v>
                </c:pt>
                <c:pt idx="8">
                  <c:v>108908.1</c:v>
                </c:pt>
                <c:pt idx="9">
                  <c:v>108908.1</c:v>
                </c:pt>
                <c:pt idx="10">
                  <c:v>36908.099999999991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0C-4CDD-B0B7-422BECCAC6C8}"/>
            </c:ext>
          </c:extLst>
        </c:ser>
        <c:ser>
          <c:idx val="2"/>
          <c:order val="2"/>
          <c:tx>
            <c:v>Plan A cash less assets</c:v>
          </c:tx>
          <c:spPr>
            <a:ln w="19050">
              <a:solidFill>
                <a:srgbClr val="3C7196"/>
              </a:solidFill>
              <a:prstDash val="solid"/>
            </a:ln>
          </c:spPr>
          <c:marker>
            <c:symbol val="none"/>
          </c:marker>
          <c:cat>
            <c:numRef>
              <c:f>Results!$A$45:$A$55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Results!$D$45:$D$55</c:f>
              <c:numCache>
                <c:formatCode>"S$"#,##0;\("S$"#,##0\);"–"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0C-4CDD-B0B7-422BECCAC6C8}"/>
            </c:ext>
          </c:extLst>
        </c:ser>
        <c:ser>
          <c:idx val="3"/>
          <c:order val="3"/>
          <c:tx>
            <c:v>Plan B cash less assets</c:v>
          </c:tx>
          <c:spPr>
            <a:ln w="19050">
              <a:solidFill>
                <a:srgbClr val="C18F39"/>
              </a:solidFill>
              <a:prstDash val="solid"/>
            </a:ln>
          </c:spPr>
          <c:marker>
            <c:symbol val="none"/>
          </c:marker>
          <c:cat>
            <c:numRef>
              <c:f>Results!$A$45:$A$55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Results!$E$45:$E$55</c:f>
              <c:numCache>
                <c:formatCode>"S$"#,##0;\("S$"#,##0\);"–"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0C-4CDD-B0B7-422BECCAC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zh-SG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S$&quot;0,&quot;K&quot;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zh-SG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675">
              <a:latin typeface="Arial"/>
              <a:ea typeface="Arial"/>
              <a:cs typeface="Arial"/>
            </a:defRPr>
          </a:pPr>
          <a:endParaRPr lang="zh-SG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35D"/>
  </sheetPr>
  <dimension ref="A1:N75"/>
  <sheetViews>
    <sheetView showGridLines="0" tabSelected="1" workbookViewId="0"/>
  </sheetViews>
  <sheetFormatPr defaultRowHeight="14.25"/>
  <cols>
    <col min="1" max="1" width="40" customWidth="1"/>
    <col min="2" max="5" width="25" customWidth="1"/>
    <col min="6" max="14" width="12" customWidth="1"/>
  </cols>
  <sheetData>
    <row r="1" spans="1:14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4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25.9" customHeight="1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4" customHeight="1">
      <c r="A6" s="21" t="str">
        <f>IF('Operating costs'!$B$61="Demonstration","DEMONSTRATION. Not a customer savings claim.","Customer entry. Verify quotes, operations and source records.")</f>
        <v>DEMONSTRATION. Not a customer savings claim.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24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48" customHeight="1">
      <c r="A8" s="4" t="s">
        <v>2</v>
      </c>
      <c r="B8" s="4" t="s">
        <v>3</v>
      </c>
      <c r="C8" s="4" t="s">
        <v>4</v>
      </c>
      <c r="D8" s="4" t="s">
        <v>5</v>
      </c>
      <c r="E8" s="4" t="s">
        <v>6</v>
      </c>
      <c r="F8" s="1"/>
      <c r="G8" s="1"/>
      <c r="H8" s="1"/>
      <c r="I8" s="1"/>
      <c r="J8" s="1"/>
      <c r="K8" s="1"/>
      <c r="L8" s="1"/>
      <c r="M8" s="1"/>
      <c r="N8" s="1"/>
    </row>
    <row r="9" spans="1:14" ht="24" customHeight="1">
      <c r="A9" s="1" t="s">
        <v>7</v>
      </c>
      <c r="B9" s="25">
        <f>COUNTIFS(Paths!$B$7:$B$406,0,Paths!$C$7:$C$406,1)</f>
        <v>6</v>
      </c>
      <c r="C9" s="25">
        <f>COUNTIFS(Paths!$B$7:$B$406,1,Paths!$C$7:$C$406,1)</f>
        <v>6</v>
      </c>
      <c r="D9" s="25">
        <f>COUNTIFS(Paths!$B$7:$B$406,2,Paths!$C$7:$C$406,1)</f>
        <v>6</v>
      </c>
      <c r="E9" s="25">
        <f>COUNTIFS(Paths!$B$7:$B$406,3,Paths!$C$7:$C$406,1)</f>
        <v>6</v>
      </c>
      <c r="F9" s="1"/>
      <c r="G9" s="1"/>
      <c r="H9" s="1"/>
      <c r="I9" s="1"/>
      <c r="J9" s="1"/>
      <c r="K9" s="1"/>
      <c r="L9" s="1"/>
      <c r="M9" s="1"/>
      <c r="N9" s="1"/>
    </row>
    <row r="10" spans="1:14" ht="24" customHeight="1">
      <c r="A10" s="1" t="s">
        <v>8</v>
      </c>
      <c r="B10" s="25">
        <f>COUNTIFS(Paths!$B$7:$B$406,0,Paths!$C$7:$C$406,1,Paths!$D$7:$D$406,"EV",Paths!$E$7:$E$406,0)</f>
        <v>0</v>
      </c>
      <c r="C10" s="25">
        <f>COUNTIFS(Paths!$B$7:$B$406,1,Paths!$C$7:$C$406,1,Paths!$D$7:$D$406,"EV",Paths!$E$7:$E$406,0)</f>
        <v>0</v>
      </c>
      <c r="D10" s="25">
        <f>COUNTIFS(Paths!$B$7:$B$406,2,Paths!$C$7:$C$406,1,Paths!$D$7:$D$406,"EV",Paths!$E$7:$E$406,0)</f>
        <v>1</v>
      </c>
      <c r="E10" s="25">
        <f>COUNTIFS(Paths!$B$7:$B$406,3,Paths!$C$7:$C$406,1,Paths!$D$7:$D$406,"EV",Paths!$E$7:$E$406,0)</f>
        <v>3</v>
      </c>
      <c r="F10" s="1"/>
      <c r="G10" s="1"/>
      <c r="H10" s="1"/>
      <c r="I10" s="1"/>
      <c r="J10" s="1"/>
      <c r="K10" s="1"/>
      <c r="L10" s="1"/>
      <c r="M10" s="1"/>
      <c r="N10" s="1"/>
    </row>
    <row r="11" spans="1:14" ht="24" customHeight="1">
      <c r="A11" s="1" t="s">
        <v>9</v>
      </c>
      <c r="B11" s="25">
        <f>COUNTIFS(Paths!$B$7:$B$406,0,Paths!$C$7:$C$406,1,Paths!$D$7:$D$406,"EV",Paths!$E$7:$E$406,"&lt;120")</f>
        <v>0</v>
      </c>
      <c r="C11" s="25">
        <f>COUNTIFS(Paths!$B$7:$B$406,1,Paths!$C$7:$C$406,1,Paths!$D$7:$D$406,"EV",Paths!$E$7:$E$406,"&lt;120")</f>
        <v>0</v>
      </c>
      <c r="D11" s="25">
        <f>COUNTIFS(Paths!$B$7:$B$406,2,Paths!$C$7:$C$406,1,Paths!$D$7:$D$406,"EV",Paths!$E$7:$E$406,"&lt;120")</f>
        <v>1</v>
      </c>
      <c r="E11" s="25">
        <f>COUNTIFS(Paths!$B$7:$B$406,3,Paths!$C$7:$C$406,1,Paths!$D$7:$D$406,"EV",Paths!$E$7:$E$406,"&lt;120")</f>
        <v>3</v>
      </c>
      <c r="F11" s="1"/>
      <c r="G11" s="1"/>
      <c r="H11" s="1"/>
      <c r="I11" s="1"/>
      <c r="J11" s="1"/>
      <c r="K11" s="1"/>
      <c r="L11" s="1"/>
      <c r="M11" s="1"/>
      <c r="N11" s="1"/>
    </row>
    <row r="12" spans="1:14" ht="24" customHeight="1">
      <c r="A12" s="1" t="s">
        <v>10</v>
      </c>
      <c r="B12" s="23">
        <f>IF(AND(COUNTIFS(Paths!$B$7:$B$406,0,Paths!$C$7:$C$406,1,Paths!$P$7:$P$406,"&lt;&gt;Complete")=0,COUNTIFS(Paths!$B$7:$B$406,0,Paths!$C$7:$C$406,1)=SUM('Fleet register'!$B$7:$B$106)),SUMIFS('Annual build'!$N$7:$N$4406,'Annual build'!$B$7:$B$4406,0),"n.a.")</f>
        <v>2081781.0000000023</v>
      </c>
      <c r="C12" s="23">
        <f>IF(AND(COUNTIFS(Paths!$B$7:$B$406,1,Paths!$C$7:$C$406,1,Paths!$P$7:$P$406,"&lt;&gt;Complete")=0,COUNTIFS(Paths!$B$7:$B$406,1,Paths!$C$7:$C$406,1)=SUM('Fleet register'!$B$7:$B$106)),SUMIFS('Annual build'!$N$7:$N$4406,'Annual build'!$B$7:$B$4406,1),"n.a.")</f>
        <v>2103081.0000000023</v>
      </c>
      <c r="D12" s="23">
        <f>IF(AND(COUNTIFS(Paths!$B$7:$B$406,2,Paths!$C$7:$C$406,1,Paths!$P$7:$P$406,"&lt;&gt;Complete")=0,COUNTIFS(Paths!$B$7:$B$406,2,Paths!$C$7:$C$406,1)=SUM('Fleet register'!$B$7:$B$106)),SUMIFS('Annual build'!$N$7:$N$4406,'Annual build'!$B$7:$B$4406,2),"n.a.")</f>
        <v>2046736.0151755291</v>
      </c>
      <c r="E12" s="23">
        <f>IF(AND(COUNTIFS(Paths!$B$7:$B$406,3,Paths!$C$7:$C$406,1,Paths!$P$7:$P$406,"&lt;&gt;Complete")=0,COUNTIFS(Paths!$B$7:$B$406,3,Paths!$C$7:$C$406,1)=SUM('Fleet register'!$B$7:$B$106)),SUMIFS('Annual build'!$N$7:$N$4406,'Annual build'!$B$7:$B$4406,3),"n.a.")</f>
        <v>1986546.0455265818</v>
      </c>
      <c r="F12" s="1"/>
      <c r="G12" s="1"/>
      <c r="H12" s="1"/>
      <c r="I12" s="1"/>
      <c r="J12" s="1"/>
      <c r="K12" s="1"/>
      <c r="L12" s="1"/>
      <c r="M12" s="1"/>
      <c r="N12" s="1"/>
    </row>
    <row r="13" spans="1:14" ht="24" customHeight="1">
      <c r="A13" s="1" t="s">
        <v>11</v>
      </c>
      <c r="B13" s="23">
        <f>0</f>
        <v>0</v>
      </c>
      <c r="C13" s="23">
        <f>0</f>
        <v>0</v>
      </c>
      <c r="D13" s="23" t="str">
        <f>IF(COUNT(F45:F55)=11,SUM(F45:F55),"n.a.")</f>
        <v>n.a.</v>
      </c>
      <c r="E13" s="23" t="str">
        <f>IF(COUNT(G45:G55)=11,SUM(G45:G55),"n.a.")</f>
        <v>n.a.</v>
      </c>
      <c r="F13" s="1"/>
      <c r="G13" s="1"/>
      <c r="H13" s="1"/>
      <c r="I13" s="1"/>
      <c r="J13" s="1"/>
      <c r="K13" s="1"/>
      <c r="L13" s="1"/>
      <c r="M13" s="1"/>
      <c r="N13" s="1"/>
    </row>
    <row r="14" spans="1:14" ht="24" customHeight="1">
      <c r="A14" s="1" t="s">
        <v>12</v>
      </c>
      <c r="B14" s="23">
        <f>IF(AND(ISNUMBER(B12),ISNUMBER(B13)),SUM(B12:B13),"n.a.")</f>
        <v>2081781.0000000023</v>
      </c>
      <c r="C14" s="23">
        <f>IF(AND(ISNUMBER(C12),ISNUMBER(C13)),SUM(C12:C13),"n.a.")</f>
        <v>2103081.0000000023</v>
      </c>
      <c r="D14" s="23" t="str">
        <f>IF(AND(ISNUMBER(D12),ISNUMBER(D13)),SUM(D12:D13),"n.a.")</f>
        <v>n.a.</v>
      </c>
      <c r="E14" s="23" t="str">
        <f>IF(AND(ISNUMBER(E12),ISNUMBER(E13)),SUM(E12:E13),"n.a.")</f>
        <v>n.a.</v>
      </c>
      <c r="F14" s="1"/>
      <c r="G14" s="1"/>
      <c r="H14" s="1"/>
      <c r="I14" s="1"/>
      <c r="J14" s="1"/>
      <c r="K14" s="1"/>
      <c r="L14" s="1"/>
      <c r="M14" s="1"/>
      <c r="N14" s="1"/>
    </row>
    <row r="15" spans="1:14" ht="24" customHeight="1">
      <c r="A15" s="1" t="s">
        <v>13</v>
      </c>
      <c r="B15" s="23">
        <f>IF(AND(ISNUMBER(B14),ISNUMBER(B14)),B14-B14,"n.a.")</f>
        <v>0</v>
      </c>
      <c r="C15" s="23">
        <f>IF(AND(ISNUMBER(B14),ISNUMBER(C14)),B14-C14,"n.a.")</f>
        <v>-21300</v>
      </c>
      <c r="D15" s="23" t="str">
        <f>IF(AND(ISNUMBER(B14),ISNUMBER(D14)),B14-D14,"n.a.")</f>
        <v>n.a.</v>
      </c>
      <c r="E15" s="23" t="str">
        <f>IF(AND(ISNUMBER(B14),ISNUMBER(E14)),B14-E14,"n.a.")</f>
        <v>n.a.</v>
      </c>
      <c r="F15" s="1"/>
      <c r="G15" s="1"/>
      <c r="H15" s="1"/>
      <c r="I15" s="1"/>
      <c r="J15" s="1"/>
      <c r="K15" s="1"/>
      <c r="L15" s="1"/>
      <c r="M15" s="1"/>
      <c r="N15" s="1"/>
    </row>
    <row r="16" spans="1:14" ht="24" customHeight="1">
      <c r="A16" s="1" t="s">
        <v>14</v>
      </c>
      <c r="B16" s="24">
        <f>IF(AND(ISNUMBER(B15),ISNUMBER(B14),B14&gt;0),B15/B14,"n.a.")</f>
        <v>0</v>
      </c>
      <c r="C16" s="24">
        <f>IF(AND(ISNUMBER(C15),ISNUMBER(B14),B14&gt;0),C15/B14,"n.a.")</f>
        <v>-1.0231623787516544E-2</v>
      </c>
      <c r="D16" s="24" t="str">
        <f>IF(AND(ISNUMBER(D15),ISNUMBER(B14),B14&gt;0),D15/B14,"n.a.")</f>
        <v>n.a.</v>
      </c>
      <c r="E16" s="24" t="str">
        <f>IF(AND(ISNUMBER(E15),ISNUMBER(B14),B14&gt;0),E15/B14,"n.a.")</f>
        <v>n.a.</v>
      </c>
      <c r="F16" s="1"/>
      <c r="G16" s="1"/>
      <c r="H16" s="1"/>
      <c r="I16" s="1"/>
      <c r="J16" s="1"/>
      <c r="K16" s="1"/>
      <c r="L16" s="1"/>
      <c r="M16" s="1"/>
      <c r="N16" s="1"/>
    </row>
    <row r="17" spans="1:14" ht="24" customHeight="1">
      <c r="A17" s="1" t="s">
        <v>15</v>
      </c>
      <c r="B17" s="23">
        <f>IF(AND(ISNUMBER(B14),ISNUMBER(B14)),0.85*B14-B14,"n.a.")</f>
        <v>-312267.15000000037</v>
      </c>
      <c r="C17" s="23">
        <f>IF(AND(ISNUMBER(B14),ISNUMBER(C14)),0.85*B14-C14,"n.a.")</f>
        <v>-333567.15000000037</v>
      </c>
      <c r="D17" s="23" t="str">
        <f>IF(AND(ISNUMBER(B14),ISNUMBER(D14)),0.85*B14-D14,"n.a.")</f>
        <v>n.a.</v>
      </c>
      <c r="E17" s="23" t="str">
        <f>IF(AND(ISNUMBER(B14),ISNUMBER(E14)),0.85*B14-E14,"n.a.")</f>
        <v>n.a.</v>
      </c>
      <c r="F17" s="1"/>
      <c r="G17" s="1"/>
      <c r="H17" s="1"/>
      <c r="I17" s="1"/>
      <c r="J17" s="1"/>
      <c r="K17" s="1"/>
      <c r="L17" s="1"/>
      <c r="M17" s="1"/>
      <c r="N17" s="1"/>
    </row>
    <row r="18" spans="1:14" ht="24" customHeight="1">
      <c r="A18" s="1" t="s">
        <v>16</v>
      </c>
      <c r="B18" s="23">
        <f>IF(COUNT(B45:B55)=11,SUM(B45:B55),"n.a.")</f>
        <v>1847781.0000000005</v>
      </c>
      <c r="C18" s="23">
        <f>IF(COUNT(C45:C55)=11,SUM(C45:C55),"n.a.")</f>
        <v>1869081.0000000007</v>
      </c>
      <c r="D18" s="23" t="str">
        <f>IF(COUNT(D45:D55)=11,SUM(D45:D55),"n.a.")</f>
        <v>n.a.</v>
      </c>
      <c r="E18" s="23" t="str">
        <f>IF(COUNT(E45:E55)=11,SUM(E45:E55),"n.a.")</f>
        <v>n.a.</v>
      </c>
      <c r="F18" s="1"/>
      <c r="G18" s="1"/>
      <c r="H18" s="1"/>
      <c r="I18" s="1"/>
      <c r="J18" s="1"/>
      <c r="K18" s="1"/>
      <c r="L18" s="1"/>
      <c r="M18" s="1"/>
      <c r="N18" s="1"/>
    </row>
    <row r="19" spans="1:14" ht="24" customHeight="1">
      <c r="A19" s="1" t="s">
        <v>17</v>
      </c>
      <c r="B19" s="23">
        <f>IF(AND(AND(COUNTIFS(Paths!$B$7:$B$406,0,Paths!$C$7:$C$406,1,Paths!$P$7:$P$406,"&lt;&gt;Complete")=0,COUNTIFS(Paths!$B$7:$B$406,0,Paths!$C$7:$C$406,1)=SUM('Fleet register'!$B$7:$B$106)),ISNUMBER(B45)),SUMIFS('Annual build'!$R$7:$R$4406,'Annual build'!$B$7:$B$4406,0),"n.a.")</f>
        <v>0</v>
      </c>
      <c r="C19" s="23">
        <f>IF(AND(AND(COUNTIFS(Paths!$B$7:$B$406,1,Paths!$C$7:$C$406,1,Paths!$P$7:$P$406,"&lt;&gt;Complete")=0,COUNTIFS(Paths!$B$7:$B$406,1,Paths!$C$7:$C$406,1)=SUM('Fleet register'!$B$7:$B$106)),ISNUMBER(C45)),SUMIFS('Annual build'!$R$7:$R$4406,'Annual build'!$B$7:$B$4406,1),"n.a.")</f>
        <v>852000</v>
      </c>
      <c r="D19" s="23" t="str">
        <f>IF(AND(AND(COUNTIFS(Paths!$B$7:$B$406,2,Paths!$C$7:$C$406,1,Paths!$P$7:$P$406,"&lt;&gt;Complete")=0,COUNTIFS(Paths!$B$7:$B$406,2,Paths!$C$7:$C$406,1)=SUM('Fleet register'!$B$7:$B$106)),ISNUMBER(D45)),SUMIFS('Annual build'!$R$7:$R$4406,'Annual build'!$B$7:$B$4406,2)+H45,"n.a.")</f>
        <v>n.a.</v>
      </c>
      <c r="E19" s="23" t="str">
        <f>IF(AND(AND(COUNTIFS(Paths!$B$7:$B$406,3,Paths!$C$7:$C$406,1,Paths!$P$7:$P$406,"&lt;&gt;Complete")=0,COUNTIFS(Paths!$B$7:$B$406,3,Paths!$C$7:$C$406,1)=SUM('Fleet register'!$B$7:$B$106)),ISNUMBER(E45)),SUMIFS('Annual build'!$R$7:$R$4406,'Annual build'!$B$7:$B$4406,3)+I45,"n.a.")</f>
        <v>n.a.</v>
      </c>
      <c r="F19" s="1"/>
      <c r="G19" s="1"/>
      <c r="H19" s="1"/>
      <c r="I19" s="1"/>
      <c r="J19" s="1"/>
      <c r="K19" s="1"/>
      <c r="L19" s="1"/>
      <c r="M19" s="1"/>
      <c r="N19" s="1"/>
    </row>
    <row r="20" spans="1:14" ht="24" customHeight="1">
      <c r="A20" s="1" t="s">
        <v>18</v>
      </c>
      <c r="B20" s="23">
        <f>IF(AND(ISNUMBER(B19),ISNUMBER(B19)),B19-B19,"n.a.")</f>
        <v>0</v>
      </c>
      <c r="C20" s="23">
        <f>IF(AND(ISNUMBER(C19),ISNUMBER(B19)),C19-B19,"n.a.")</f>
        <v>852000</v>
      </c>
      <c r="D20" s="23" t="str">
        <f>IF(AND(ISNUMBER(D19),ISNUMBER(B19)),D19-B19,"n.a.")</f>
        <v>n.a.</v>
      </c>
      <c r="E20" s="23" t="str">
        <f>IF(AND(ISNUMBER(E19),ISNUMBER(B19)),E19-B19,"n.a.")</f>
        <v>n.a.</v>
      </c>
      <c r="F20" s="1"/>
      <c r="G20" s="1"/>
      <c r="H20" s="1"/>
      <c r="I20" s="1"/>
      <c r="J20" s="1"/>
      <c r="K20" s="1"/>
      <c r="L20" s="1"/>
      <c r="M20" s="1"/>
      <c r="N20" s="1"/>
    </row>
    <row r="21" spans="1:14" ht="24" customHeight="1">
      <c r="A21" s="1" t="s">
        <v>19</v>
      </c>
      <c r="B21" s="26">
        <f>IF(AND(ISNUMBER(B14),SUMIFS('Annual build'!$S$7:$S$4406,'Annual build'!$B$7:$B$4406,0)&gt;0),B14/SUMIFS('Annual build'!$S$7:$S$4406,'Annual build'!$B$7:$B$4406,0),"n.a.")</f>
        <v>0.77103000000000088</v>
      </c>
      <c r="C21" s="26">
        <f>IF(AND(ISNUMBER(C14),SUMIFS('Annual build'!$S$7:$S$4406,'Annual build'!$B$7:$B$4406,1)&gt;0),C14/SUMIFS('Annual build'!$S$7:$S$4406,'Annual build'!$B$7:$B$4406,1),"n.a.")</f>
        <v>0.77891888888888972</v>
      </c>
      <c r="D21" s="26" t="str">
        <f>IF(AND(ISNUMBER(D14),SUMIFS('Annual build'!$S$7:$S$4406,'Annual build'!$B$7:$B$4406,2)&gt;0),D14/SUMIFS('Annual build'!$S$7:$S$4406,'Annual build'!$B$7:$B$4406,2),"n.a.")</f>
        <v>n.a.</v>
      </c>
      <c r="E21" s="26" t="str">
        <f>IF(AND(ISNUMBER(E14),SUMIFS('Annual build'!$S$7:$S$4406,'Annual build'!$B$7:$B$4406,3)&gt;0),E14/SUMIFS('Annual build'!$S$7:$S$4406,'Annual build'!$B$7:$B$4406,3),"n.a.")</f>
        <v>n.a.</v>
      </c>
      <c r="F21" s="1"/>
      <c r="G21" s="1"/>
      <c r="H21" s="1"/>
      <c r="I21" s="1"/>
      <c r="J21" s="1"/>
      <c r="K21" s="1"/>
      <c r="L21" s="1"/>
      <c r="M21" s="1"/>
      <c r="N21" s="1"/>
    </row>
    <row r="22" spans="1:14" ht="45" customHeight="1">
      <c r="A22" s="1" t="s">
        <v>20</v>
      </c>
      <c r="B22" s="5" t="str">
        <f>"Not applicable"</f>
        <v>Not applicable</v>
      </c>
      <c r="C22" s="5" t="str">
        <f>"Not applicable"</f>
        <v>Not applicable</v>
      </c>
      <c r="D22" s="5" t="str">
        <f>'Energy and charging'!$B$67</f>
        <v>Missing site quote</v>
      </c>
      <c r="E22" s="5" t="str">
        <f>'Energy and charging'!$C$67</f>
        <v>Missing site quote</v>
      </c>
      <c r="F22" s="1"/>
      <c r="G22" s="1"/>
      <c r="H22" s="1"/>
      <c r="I22" s="1"/>
      <c r="J22" s="1"/>
      <c r="K22" s="1"/>
      <c r="L22" s="1"/>
      <c r="M22" s="1"/>
      <c r="N22" s="1"/>
    </row>
    <row r="23" spans="1:14" ht="45" customHeight="1">
      <c r="A23" s="1" t="s">
        <v>21</v>
      </c>
      <c r="B23" s="5" t="str">
        <f>IF(NOT(AND(COUNTIFS(Paths!$B$7:$B$406,0,Paths!$C$7:$C$406,1,Paths!$P$7:$P$406,"&lt;&gt;Complete")=0,COUNTIFS(Paths!$B$7:$B$406,0,Paths!$C$7:$C$406,1)=SUM('Fleet register'!$B$7:$B$106))),"Missing/invalid vehicle inputs",IF(COUNTIFS(Paths!$B$7:$B$406,0,Paths!$C$7:$C$406,1,Paths!$Q$7:$Q$406,"Fails entered limits")&gt;0,"Fails entered limits",IF(COUNTIFS(Paths!$B$7:$B$406,0,Paths!$C$7:$C$406,1,Paths!$Q$7:$Q$406,"Unverified")&gt;0,"Vehicle evidence open","Within entered limits")))</f>
        <v>Within entered limits</v>
      </c>
      <c r="C23" s="5" t="str">
        <f>IF(NOT(AND(COUNTIFS(Paths!$B$7:$B$406,1,Paths!$C$7:$C$406,1,Paths!$P$7:$P$406,"&lt;&gt;Complete")=0,COUNTIFS(Paths!$B$7:$B$406,1,Paths!$C$7:$C$406,1)=SUM('Fleet register'!$B$7:$B$106))),"Missing/invalid vehicle inputs",IF(COUNTIFS(Paths!$B$7:$B$406,1,Paths!$C$7:$C$406,1,Paths!$Q$7:$Q$406,"Fails entered limits")&gt;0,"Fails entered limits",IF(COUNTIFS(Paths!$B$7:$B$406,1,Paths!$C$7:$C$406,1,Paths!$Q$7:$Q$406,"Unverified")&gt;0,"Vehicle evidence open","Within entered limits")))</f>
        <v>Within entered limits</v>
      </c>
      <c r="D23" s="5" t="str">
        <f>IF(NOT(AND(COUNTIFS(Paths!$B$7:$B$406,2,Paths!$C$7:$C$406,1,Paths!$P$7:$P$406,"&lt;&gt;Complete")=0,COUNTIFS(Paths!$B$7:$B$406,2,Paths!$C$7:$C$406,1)=SUM('Fleet register'!$B$7:$B$106))),"Missing/invalid vehicle inputs",IF(COUNTIFS(Paths!$B$7:$B$406,2,Paths!$C$7:$C$406,1,Paths!$Q$7:$Q$406,"Fails entered limits")&gt;0,"Fails entered limits",IF(COUNTIFS(Paths!$B$7:$B$406,2,Paths!$C$7:$C$406,1,Paths!$Q$7:$Q$406,"Unverified")&gt;0,"Vehicle evidence open","Within entered limits")))</f>
        <v>Fails entered limits</v>
      </c>
      <c r="E23" s="5" t="str">
        <f>IF(NOT(AND(COUNTIFS(Paths!$B$7:$B$406,3,Paths!$C$7:$C$406,1,Paths!$P$7:$P$406,"&lt;&gt;Complete")=0,COUNTIFS(Paths!$B$7:$B$406,3,Paths!$C$7:$C$406,1)=SUM('Fleet register'!$B$7:$B$106))),"Missing/invalid vehicle inputs",IF(COUNTIFS(Paths!$B$7:$B$406,3,Paths!$C$7:$C$406,1,Paths!$Q$7:$Q$406,"Fails entered limits")&gt;0,"Fails entered limits",IF(COUNTIFS(Paths!$B$7:$B$406,3,Paths!$C$7:$C$406,1,Paths!$Q$7:$Q$406,"Unverified")&gt;0,"Vehicle evidence open","Within entered limits")))</f>
        <v>Fails entered limits</v>
      </c>
      <c r="F23" s="1"/>
      <c r="G23" s="1"/>
      <c r="H23" s="1"/>
      <c r="I23" s="1"/>
      <c r="J23" s="1"/>
      <c r="K23" s="1"/>
      <c r="L23" s="1"/>
      <c r="M23" s="1"/>
      <c r="N23" s="1"/>
    </row>
    <row r="24" spans="1:14" ht="45" customHeight="1">
      <c r="A24" s="1" t="s">
        <v>22</v>
      </c>
      <c r="B24" s="5" t="str">
        <f>IF(NOT(ISNUMBER(B14)),"Total incomplete",IF(OR(B9&lt;=0,NOT(ISNUMBER(B16)),B23&lt;&gt;"Within entered limits",AND(0&gt;=2,B11&gt;0,NOT(OR(B22="Within entered site limits",B22="Public access entered"))),'Operating costs'!$B$61&lt;&gt;"Customer",'Operating costs'!$B$60&lt;&gt;"Yes",COUNTIFS('Fleet register'!$B$7:$B$106,1,'Fleet register'!$Q$7:$Q$106,"")&gt;0,COUNTIFS(Paths!$B$7:$B$406,0,Paths!$C$7:$C$406,1,Paths!$AN$7:$AN$406,"&lt;&gt;Verified")&gt;0),"Diagnostic only",IF(B16&gt;=0.15,"Meets entered 15% target","Below entered 15% target")))</f>
        <v>Diagnostic only</v>
      </c>
      <c r="C24" s="5" t="str">
        <f>IF(NOT(ISNUMBER(C14)),"Total incomplete",IF(OR(C9&lt;=0,NOT(ISNUMBER(C16)),C23&lt;&gt;"Within entered limits",AND(1&gt;=2,C11&gt;0,NOT(OR(C22="Within entered site limits",C22="Public access entered"))),'Operating costs'!$B$61&lt;&gt;"Customer",'Operating costs'!$B$60&lt;&gt;"Yes",COUNTIFS('Fleet register'!$B$7:$B$106,1,'Fleet register'!$Q$7:$Q$106,"")&gt;0,COUNTIFS(Paths!$B$7:$B$406,1,Paths!$C$7:$C$406,1,Paths!$AN$7:$AN$406,"&lt;&gt;Verified")&gt;0),"Diagnostic only",IF(C16&gt;=0.15,"Meets entered 15% target","Below entered 15% target")))</f>
        <v>Diagnostic only</v>
      </c>
      <c r="D24" s="5" t="str">
        <f>IF(NOT(ISNUMBER(D14)),"Total incomplete",IF(OR(D9&lt;=0,NOT(ISNUMBER(D16)),D23&lt;&gt;"Within entered limits",AND(2&gt;=2,D11&gt;0,NOT(OR(D22="Within entered site limits",D22="Public access entered"))),'Operating costs'!$B$61&lt;&gt;"Customer",'Operating costs'!$B$60&lt;&gt;"Yes",COUNTIFS('Fleet register'!$B$7:$B$106,1,'Fleet register'!$Q$7:$Q$106,"")&gt;0,COUNTIFS(Paths!$B$7:$B$406,2,Paths!$C$7:$C$406,1,Paths!$AN$7:$AN$406,"&lt;&gt;Verified")&gt;0),"Diagnostic only",IF(D16&gt;=0.15,"Meets entered 15% target","Below entered 15% target")))</f>
        <v>Total incomplete</v>
      </c>
      <c r="E24" s="5" t="str">
        <f>IF(NOT(ISNUMBER(E14)),"Total incomplete",IF(OR(E9&lt;=0,NOT(ISNUMBER(E16)),E23&lt;&gt;"Within entered limits",AND(3&gt;=2,E11&gt;0,NOT(OR(E22="Within entered site limits",E22="Public access entered"))),'Operating costs'!$B$61&lt;&gt;"Customer",'Operating costs'!$B$60&lt;&gt;"Yes",COUNTIFS('Fleet register'!$B$7:$B$106,1,'Fleet register'!$Q$7:$Q$106,"")&gt;0,COUNTIFS(Paths!$B$7:$B$406,3,Paths!$C$7:$C$406,1,Paths!$AN$7:$AN$406,"&lt;&gt;Verified")&gt;0),"Diagnostic only",IF(E16&gt;=0.15,"Meets entered 15% target","Below entered 15% target")))</f>
        <v>Total incomplete</v>
      </c>
      <c r="F24" s="1"/>
      <c r="G24" s="1"/>
      <c r="H24" s="1"/>
      <c r="I24" s="1"/>
      <c r="J24" s="1"/>
      <c r="K24" s="1"/>
      <c r="L24" s="1"/>
      <c r="M24" s="1"/>
      <c r="N24" s="1"/>
    </row>
    <row r="25" spans="1:14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24" customHeight="1">
      <c r="A26" s="1" t="s">
        <v>23</v>
      </c>
      <c r="B26" s="1"/>
      <c r="C26" s="1"/>
      <c r="D26" s="23">
        <f>IF(AND(ISNUMBER(B14),ISNUMBER(D12)),0.85*B14-D12,"n.a.")</f>
        <v>-277222.1651755271</v>
      </c>
      <c r="E26" s="23">
        <f>IF(AND(ISNUMBER(B14),ISNUMBER(E12)),0.85*B14-E12,"n.a.")</f>
        <v>-217032.19552657986</v>
      </c>
      <c r="F26" s="1"/>
      <c r="G26" s="1"/>
      <c r="H26" s="1"/>
      <c r="I26" s="1"/>
      <c r="J26" s="1"/>
      <c r="K26" s="1"/>
      <c r="L26" s="1"/>
      <c r="M26" s="1"/>
      <c r="N26" s="1"/>
    </row>
    <row r="27" spans="1:14" ht="24" customHeight="1">
      <c r="A27" s="1" t="s">
        <v>24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48" customHeight="1">
      <c r="A28" s="4" t="s">
        <v>25</v>
      </c>
      <c r="B28" s="4" t="s">
        <v>26</v>
      </c>
      <c r="C28" s="4" t="s">
        <v>27</v>
      </c>
      <c r="D28" s="4" t="s">
        <v>28</v>
      </c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24" customHeight="1">
      <c r="A29" s="1" t="s">
        <v>29</v>
      </c>
      <c r="B29" s="16">
        <f>SUMIFS(Paths!$AA$7:$AA$406,Paths!$B$7:$B$406,2,Paths!$C$7:$C$406,1)*'Energy and charging'!$B$7</f>
        <v>54273.599999999999</v>
      </c>
      <c r="C29" s="16">
        <f>SUMIFS(Paths!$AA$7:$AA$406,Paths!$B$7:$B$406,2,Paths!$C$7:$C$406,1)*'Energy and charging'!$B$8</f>
        <v>81410.399999999994</v>
      </c>
      <c r="D29" s="16">
        <f>SUMIFS(Paths!$AA$7:$AA$406,Paths!$B$7:$B$406,2,Paths!$C$7:$C$406,1)*('Energy and charging'!$B$9*'Energy and charging'!$B$7+(1-'Energy and charging'!$B$9)*'Energy and charging'!$B$8)</f>
        <v>54273.599999999999</v>
      </c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24" customHeight="1">
      <c r="A30" s="1" t="s">
        <v>30</v>
      </c>
      <c r="B30" s="16">
        <f>SUMIFS(Paths!$X$7:$X$406,Paths!$B$7:$B$406,2,Paths!$C$7:$C$406,1,Paths!$D$7:$D$406,"EV")*'Energy and charging'!$B$10</f>
        <v>4741.8465357251625</v>
      </c>
      <c r="C30" s="16">
        <f>SUMIFS(Paths!$X$7:$X$406,Paths!$B$7:$B$406,2,Paths!$C$7:$C$406,1,Paths!$D$7:$D$406,"EV")*'Energy and charging'!$B$11</f>
        <v>11588.756628425499</v>
      </c>
      <c r="D30" s="16">
        <f>SUMIFS(Paths!$X$7:$X$406,Paths!$B$7:$B$406,2,Paths!$C$7:$C$406,1,Paths!$D$7:$D$406,"EV")*((1-'Energy and charging'!$B$12)*'Energy and charging'!$B$10+'Energy and charging'!$B$12*'Energy and charging'!$B$11)</f>
        <v>6111.2285542652298</v>
      </c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25.9" customHeight="1">
      <c r="A32" s="1" t="s">
        <v>31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24" customHeight="1">
      <c r="A34" s="1" t="s">
        <v>32</v>
      </c>
      <c r="B34" s="16">
        <f>'Operating costs'!$B$55</f>
        <v>250000</v>
      </c>
      <c r="C34" s="16"/>
      <c r="D34" s="16"/>
      <c r="E34" s="16"/>
      <c r="F34" s="1"/>
      <c r="G34" s="1"/>
      <c r="H34" s="1"/>
      <c r="I34" s="1"/>
      <c r="J34" s="1"/>
      <c r="K34" s="1"/>
      <c r="L34" s="1"/>
      <c r="M34" s="1"/>
      <c r="N34" s="1"/>
    </row>
    <row r="35" spans="1:14" ht="24" customHeight="1">
      <c r="A35" s="1" t="s">
        <v>33</v>
      </c>
      <c r="B35" s="16"/>
      <c r="C35" s="16"/>
      <c r="D35" s="16" t="str">
        <f>IF(ISNUMBER(D20),'Operating costs'!$B$55-MAX(0,D20),"n.a.")</f>
        <v>n.a.</v>
      </c>
      <c r="E35" s="16" t="str">
        <f>IF(ISNUMBER(E20),'Operating costs'!$B$55-MAX(0,E20),"n.a.")</f>
        <v>n.a.</v>
      </c>
      <c r="F35" s="1"/>
      <c r="G35" s="1"/>
      <c r="H35" s="1"/>
      <c r="I35" s="1"/>
      <c r="J35" s="1"/>
      <c r="K35" s="1"/>
      <c r="L35" s="1"/>
      <c r="M35" s="1"/>
      <c r="N35" s="1"/>
    </row>
    <row r="36" spans="1:14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25.9" customHeight="1">
      <c r="A37" s="1" t="s">
        <v>34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25.9" customHeight="1">
      <c r="A39" s="1" t="s">
        <v>35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25.9" customHeight="1">
      <c r="A41" s="1" t="s">
        <v>36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27.95" customHeight="1">
      <c r="A42" s="1" t="s">
        <v>725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48" customHeight="1">
      <c r="A44" s="4" t="s">
        <v>37</v>
      </c>
      <c r="B44" s="4" t="s">
        <v>38</v>
      </c>
      <c r="C44" s="4" t="s">
        <v>39</v>
      </c>
      <c r="D44" s="4" t="s">
        <v>40</v>
      </c>
      <c r="E44" s="4" t="s">
        <v>41</v>
      </c>
      <c r="F44" s="4" t="s">
        <v>42</v>
      </c>
      <c r="G44" s="4" t="s">
        <v>43</v>
      </c>
      <c r="H44" s="4" t="s">
        <v>44</v>
      </c>
      <c r="I44" s="4" t="s">
        <v>45</v>
      </c>
      <c r="J44" s="1"/>
      <c r="K44" s="1"/>
      <c r="L44" s="1"/>
      <c r="M44" s="1"/>
      <c r="N44" s="1"/>
    </row>
    <row r="45" spans="1:14" ht="24" customHeight="1">
      <c r="A45" s="1">
        <v>0</v>
      </c>
      <c r="B45" s="23">
        <f>IF(AND(COUNTIFS(Paths!$B$7:$B$406,0,Paths!$C$7:$C$406,1,Paths!$P$7:$P$406,"&lt;&gt;Complete")=0,COUNTIFS(Paths!$B$7:$B$406,0,Paths!$C$7:$C$406,1)=SUM('Fleet register'!$B$7:$B$106)),SUMIFS('Annual build'!$O$7:$O$4406,'Annual build'!$B$7:$B$4406,0,'Annual build'!$C$7:$C$4406,$A45),"n.a.")</f>
        <v>0</v>
      </c>
      <c r="C45" s="23">
        <f>IF(AND(COUNTIFS(Paths!$B$7:$B$406,1,Paths!$C$7:$C$406,1,Paths!$P$7:$P$406,"&lt;&gt;Complete")=0,COUNTIFS(Paths!$B$7:$B$406,1,Paths!$C$7:$C$406,1)=SUM('Fleet register'!$B$7:$B$106)),SUMIFS('Annual build'!$O$7:$O$4406,'Annual build'!$B$7:$B$4406,1,'Annual build'!$C$7:$C$4406,$A45),"n.a.")</f>
        <v>852000</v>
      </c>
      <c r="D45" s="23" t="str">
        <f>IF(AND(COUNTIFS(Paths!$B$7:$B$406,2,Paths!$C$7:$C$406,1,Paths!$P$7:$P$406,"&lt;&gt;Complete")=0,COUNTIFS(Paths!$B$7:$B$406,2,Paths!$C$7:$C$406,1)=SUM('Fleet register'!$B$7:$B$106)),IF(ISNUMBER(H45),SUMIFS('Annual build'!$O$7:$O$4406,'Annual build'!$B$7:$B$4406,2,'Annual build'!$C$7:$C$4406,$A45)+H45,"n.a."),"n.a.")</f>
        <v>n.a.</v>
      </c>
      <c r="E45" s="23" t="str">
        <f>IF(AND(COUNTIFS(Paths!$B$7:$B$406,3,Paths!$C$7:$C$406,1,Paths!$P$7:$P$406,"&lt;&gt;Complete")=0,COUNTIFS(Paths!$B$7:$B$406,3,Paths!$C$7:$C$406,1)=SUM('Fleet register'!$B$7:$B$106)),IF(ISNUMBER(I45),SUMIFS('Annual build'!$O$7:$O$4406,'Annual build'!$B$7:$B$4406,3,'Annual build'!$C$7:$C$4406,$A45)+I45,"n.a."),"n.a.")</f>
        <v>n.a.</v>
      </c>
      <c r="F45" s="23" t="str">
        <f>IF('Energy and charging'!$B$60="No EV site",0,IF('Energy and charging'!$B$60="Public only",IF(IF('Energy and charging'!$B$33=0,$A45=0,AND($A45&gt;0,'Energy and charging'!$B$33&gt;($A45-1)*12,'Energy and charging'!$B$33&lt;=$A45*12)),'Energy and charging'!$B$27,0)+0/12*'Energy and charging'!$B$29*(1+'Operating costs'!$B$53)^MAX(0,$A45-1),IF('Energy and charging'!$B$60="Complete",IF(IF('Energy and charging'!$B$33=0,$A45=0,AND($A45&gt;0,'Energy and charging'!$B$33&gt;($A45-1)*12,'Energy and charging'!$B$33&lt;=$A45*12)),'Energy and charging'!$B$61,0)+0/12*'Energy and charging'!$B$62*(1+'Operating costs'!$B$53)^MAX(0,$A45-1)-IF(IF('Energy and charging'!$B$45=0,$A45=0,AND($A45&gt;0,'Energy and charging'!$B$45&gt;($A45-1)*12,'Energy and charging'!$B$45&lt;=$A45*12)),'Energy and charging'!$B$44,0)+IF(IF('Energy and charging'!$B$38=0,$A45=0,AND($A45&gt;0,'Energy and charging'!$B$38&gt;($A45-1)*12,'Energy and charging'!$B$38&lt;=$A45*12)),'Energy and charging'!$B$37,0)+IF(IF('Energy and charging'!$B$41=0,$A45=0,AND($A45&gt;0,'Energy and charging'!$B$41&gt;($A45-1)*12,'Energy and charging'!$B$41&lt;=$A45*12)),'Energy and charging'!$B$16*'Energy and charging'!$B$40,0)+IF(IF('Energy and charging'!$B$33+'Energy and charging'!$B$34=0,$A45=0,AND($A45&gt;0,'Energy and charging'!$B$33+'Energy and charging'!$B$34&gt;($A45-1)*12,'Energy and charging'!$B$33+'Energy and charging'!$B$34&lt;=$A45*12)),'Energy and charging'!$B$36,0)-IF($A45=10,'Energy and charging'!$B$35,0),"n.a.")))</f>
        <v>n.a.</v>
      </c>
      <c r="G45" s="23" t="str">
        <f>IF('Energy and charging'!$C$60="No EV site",0,IF('Energy and charging'!$C$60="Public only",IF(IF('Energy and charging'!$C$33=0,$A45=0,AND($A45&gt;0,'Energy and charging'!$C$33&gt;($A45-1)*12,'Energy and charging'!$C$33&lt;=$A45*12)),'Energy and charging'!$C$27,0)+0/12*'Energy and charging'!$C$29*(1+'Operating costs'!$B$53)^MAX(0,$A45-1),IF('Energy and charging'!$C$60="Complete",IF(IF('Energy and charging'!$C$33=0,$A45=0,AND($A45&gt;0,'Energy and charging'!$C$33&gt;($A45-1)*12,'Energy and charging'!$C$33&lt;=$A45*12)),'Energy and charging'!$C$61,0)+0/12*'Energy and charging'!$C$62*(1+'Operating costs'!$B$53)^MAX(0,$A45-1)-IF(IF('Energy and charging'!$C$45=0,$A45=0,AND($A45&gt;0,'Energy and charging'!$C$45&gt;($A45-1)*12,'Energy and charging'!$C$45&lt;=$A45*12)),'Energy and charging'!$C$44,0)+IF(IF('Energy and charging'!$C$38=0,$A45=0,AND($A45&gt;0,'Energy and charging'!$C$38&gt;($A45-1)*12,'Energy and charging'!$C$38&lt;=$A45*12)),'Energy and charging'!$C$37,0)+IF(IF('Energy and charging'!$C$41=0,$A45=0,AND($A45&gt;0,'Energy and charging'!$C$41&gt;($A45-1)*12,'Energy and charging'!$C$41&lt;=$A45*12)),'Energy and charging'!$C$16*'Energy and charging'!$C$40,0)+IF(IF('Energy and charging'!$C$33+'Energy and charging'!$C$34=0,$A45=0,AND($A45&gt;0,'Energy and charging'!$C$33+'Energy and charging'!$C$34&gt;($A45-1)*12,'Energy and charging'!$C$33+'Energy and charging'!$C$34&lt;=$A45*12)),'Energy and charging'!$C$36,0)-IF($A45=10,'Energy and charging'!$C$35,0),"n.a.")))</f>
        <v>n.a.</v>
      </c>
      <c r="H45" s="23" t="str">
        <f>IF(ISNUMBER(F45),F45+IF(AND('Energy and charging'!$B$60="Complete",IF('Energy and charging'!$B$33=0,$A45=0,AND($A45&gt;0,'Energy and charging'!$B$33&gt;($A45-1)*12,'Energy and charging'!$B$33&lt;=$A45*12))),'Energy and charging'!$B$42,0)-IF(AND('Energy and charging'!$B$60="Complete",IF('Energy and charging'!$B$43=0,$A45=0,AND($A45&gt;0,'Energy and charging'!$B$43&gt;($A45-1)*12,'Energy and charging'!$B$43&lt;=$A45*12))),'Energy and charging'!$B$42,0),"n.a.")</f>
        <v>n.a.</v>
      </c>
      <c r="I45" s="23" t="str">
        <f>IF(ISNUMBER(G45),G45+IF(AND('Energy and charging'!$C$60="Complete",IF('Energy and charging'!$C$33=0,$A45=0,AND($A45&gt;0,'Energy and charging'!$C$33&gt;($A45-1)*12,'Energy and charging'!$C$33&lt;=$A45*12))),'Energy and charging'!$C$42,0)-IF(AND('Energy and charging'!$C$60="Complete",IF('Energy and charging'!$C$43=0,$A45=0,AND($A45&gt;0,'Energy and charging'!$C$43&gt;($A45-1)*12,'Energy and charging'!$C$43&lt;=$A45*12))),'Energy and charging'!$C$42,0),"n.a.")</f>
        <v>n.a.</v>
      </c>
      <c r="J45" s="1"/>
      <c r="K45" s="1"/>
      <c r="L45" s="1"/>
      <c r="M45" s="1"/>
      <c r="N45" s="1"/>
    </row>
    <row r="46" spans="1:14" ht="24" customHeight="1">
      <c r="A46" s="1">
        <v>1</v>
      </c>
      <c r="B46" s="23">
        <f>IF(AND(COUNTIFS(Paths!$B$7:$B$406,0,Paths!$C$7:$C$406,1,Paths!$P$7:$P$406,"&lt;&gt;Complete")=0,COUNTIFS(Paths!$B$7:$B$406,0,Paths!$C$7:$C$406,1)=SUM('Fleet register'!$B$7:$B$106)),SUMIFS('Annual build'!$O$7:$O$4406,'Annual build'!$B$7:$B$4406,0,'Annual build'!$C$7:$C$4406,$A46),"n.a.")</f>
        <v>279908.10000000003</v>
      </c>
      <c r="C46" s="23">
        <f>IF(AND(COUNTIFS(Paths!$B$7:$B$406,1,Paths!$C$7:$C$406,1,Paths!$P$7:$P$406,"&lt;&gt;Complete")=0,COUNTIFS(Paths!$B$7:$B$406,1,Paths!$C$7:$C$406,1)=SUM('Fleet register'!$B$7:$B$106)),SUMIFS('Annual build'!$O$7:$O$4406,'Annual build'!$B$7:$B$4406,1,'Annual build'!$C$7:$C$4406,$A46),"n.a.")</f>
        <v>108908.1</v>
      </c>
      <c r="D46" s="23" t="str">
        <f>IF(AND(COUNTIFS(Paths!$B$7:$B$406,2,Paths!$C$7:$C$406,1,Paths!$P$7:$P$406,"&lt;&gt;Complete")=0,COUNTIFS(Paths!$B$7:$B$406,2,Paths!$C$7:$C$406,1)=SUM('Fleet register'!$B$7:$B$106)),IF(ISNUMBER(H46),SUMIFS('Annual build'!$O$7:$O$4406,'Annual build'!$B$7:$B$4406,2,'Annual build'!$C$7:$C$4406,$A46)+H46,"n.a."),"n.a.")</f>
        <v>n.a.</v>
      </c>
      <c r="E46" s="23" t="str">
        <f>IF(AND(COUNTIFS(Paths!$B$7:$B$406,3,Paths!$C$7:$C$406,1,Paths!$P$7:$P$406,"&lt;&gt;Complete")=0,COUNTIFS(Paths!$B$7:$B$406,3,Paths!$C$7:$C$406,1)=SUM('Fleet register'!$B$7:$B$106)),IF(ISNUMBER(I46),SUMIFS('Annual build'!$O$7:$O$4406,'Annual build'!$B$7:$B$4406,3,'Annual build'!$C$7:$C$4406,$A46)+I46,"n.a."),"n.a.")</f>
        <v>n.a.</v>
      </c>
      <c r="F46" s="23" t="str">
        <f>IF('Energy and charging'!$B$60="No EV site",0,IF('Energy and charging'!$B$60="Public only",IF(IF('Energy and charging'!$B$33=0,$A46=0,AND($A46&gt;0,'Energy and charging'!$B$33&gt;($A46-1)*12,'Energy and charging'!$B$33&lt;=$A46*12)),'Energy and charging'!$B$27,0)+MAX(0,MIN(1*12,120)-MAX(0,'Energy and charging'!$B$33))/12*'Energy and charging'!$B$29*(1+'Operating costs'!$B$53)^MAX(0,$A46-1),IF('Energy and charging'!$B$60="Complete",IF(IF('Energy and charging'!$B$33=0,$A46=0,AND($A46&gt;0,'Energy and charging'!$B$33&gt;($A46-1)*12,'Energy and charging'!$B$33&lt;=$A46*12)),'Energy and charging'!$B$61,0)+MAX(0,MIN(1*12,120)-MAX(0,'Energy and charging'!$B$33))/12*'Energy and charging'!$B$62*(1+'Operating costs'!$B$53)^MAX(0,$A46-1)-IF(IF('Energy and charging'!$B$45=0,$A46=0,AND($A46&gt;0,'Energy and charging'!$B$45&gt;($A46-1)*12,'Energy and charging'!$B$45&lt;=$A46*12)),'Energy and charging'!$B$44,0)+IF(IF('Energy and charging'!$B$38=0,$A46=0,AND($A46&gt;0,'Energy and charging'!$B$38&gt;($A46-1)*12,'Energy and charging'!$B$38&lt;=$A46*12)),'Energy and charging'!$B$37,0)+IF(IF('Energy and charging'!$B$41=0,$A46=0,AND($A46&gt;0,'Energy and charging'!$B$41&gt;($A46-1)*12,'Energy and charging'!$B$41&lt;=$A46*12)),'Energy and charging'!$B$16*'Energy and charging'!$B$40,0)+IF(IF('Energy and charging'!$B$33+'Energy and charging'!$B$34=0,$A46=0,AND($A46&gt;0,'Energy and charging'!$B$33+'Energy and charging'!$B$34&gt;($A46-1)*12,'Energy and charging'!$B$33+'Energy and charging'!$B$34&lt;=$A46*12)),'Energy and charging'!$B$36,0)-IF($A46=10,'Energy and charging'!$B$35,0),"n.a.")))</f>
        <v>n.a.</v>
      </c>
      <c r="G46" s="23" t="str">
        <f>IF('Energy and charging'!$C$60="No EV site",0,IF('Energy and charging'!$C$60="Public only",IF(IF('Energy and charging'!$C$33=0,$A46=0,AND($A46&gt;0,'Energy and charging'!$C$33&gt;($A46-1)*12,'Energy and charging'!$C$33&lt;=$A46*12)),'Energy and charging'!$C$27,0)+MAX(0,MIN(1*12,120)-MAX(0,'Energy and charging'!$C$33))/12*'Energy and charging'!$C$29*(1+'Operating costs'!$B$53)^MAX(0,$A46-1),IF('Energy and charging'!$C$60="Complete",IF(IF('Energy and charging'!$C$33=0,$A46=0,AND($A46&gt;0,'Energy and charging'!$C$33&gt;($A46-1)*12,'Energy and charging'!$C$33&lt;=$A46*12)),'Energy and charging'!$C$61,0)+MAX(0,MIN(1*12,120)-MAX(0,'Energy and charging'!$C$33))/12*'Energy and charging'!$C$62*(1+'Operating costs'!$B$53)^MAX(0,$A46-1)-IF(IF('Energy and charging'!$C$45=0,$A46=0,AND($A46&gt;0,'Energy and charging'!$C$45&gt;($A46-1)*12,'Energy and charging'!$C$45&lt;=$A46*12)),'Energy and charging'!$C$44,0)+IF(IF('Energy and charging'!$C$38=0,$A46=0,AND($A46&gt;0,'Energy and charging'!$C$38&gt;($A46-1)*12,'Energy and charging'!$C$38&lt;=$A46*12)),'Energy and charging'!$C$37,0)+IF(IF('Energy and charging'!$C$41=0,$A46=0,AND($A46&gt;0,'Energy and charging'!$C$41&gt;($A46-1)*12,'Energy and charging'!$C$41&lt;=$A46*12)),'Energy and charging'!$C$16*'Energy and charging'!$C$40,0)+IF(IF('Energy and charging'!$C$33+'Energy and charging'!$C$34=0,$A46=0,AND($A46&gt;0,'Energy and charging'!$C$33+'Energy and charging'!$C$34&gt;($A46-1)*12,'Energy and charging'!$C$33+'Energy and charging'!$C$34&lt;=$A46*12)),'Energy and charging'!$C$36,0)-IF($A46=10,'Energy and charging'!$C$35,0),"n.a.")))</f>
        <v>n.a.</v>
      </c>
      <c r="H46" s="23" t="str">
        <f>IF(ISNUMBER(F46),F46+IF(AND('Energy and charging'!$B$60="Complete",IF('Energy and charging'!$B$33=0,$A46=0,AND($A46&gt;0,'Energy and charging'!$B$33&gt;($A46-1)*12,'Energy and charging'!$B$33&lt;=$A46*12))),'Energy and charging'!$B$42,0)-IF(AND('Energy and charging'!$B$60="Complete",IF('Energy and charging'!$B$43=0,$A46=0,AND($A46&gt;0,'Energy and charging'!$B$43&gt;($A46-1)*12,'Energy and charging'!$B$43&lt;=$A46*12))),'Energy and charging'!$B$42,0),"n.a.")</f>
        <v>n.a.</v>
      </c>
      <c r="I46" s="23" t="str">
        <f>IF(ISNUMBER(G46),G46+IF(AND('Energy and charging'!$C$60="Complete",IF('Energy and charging'!$C$33=0,$A46=0,AND($A46&gt;0,'Energy and charging'!$C$33&gt;($A46-1)*12,'Energy and charging'!$C$33&lt;=$A46*12))),'Energy and charging'!$C$42,0)-IF(AND('Energy and charging'!$C$60="Complete",IF('Energy and charging'!$C$43=0,$A46=0,AND($A46&gt;0,'Energy and charging'!$C$43&gt;($A46-1)*12,'Energy and charging'!$C$43&lt;=$A46*12))),'Energy and charging'!$C$42,0),"n.a.")</f>
        <v>n.a.</v>
      </c>
      <c r="J46" s="1"/>
      <c r="K46" s="1"/>
      <c r="L46" s="1"/>
      <c r="M46" s="1"/>
      <c r="N46" s="1"/>
    </row>
    <row r="47" spans="1:14" ht="24" customHeight="1">
      <c r="A47" s="1">
        <v>2</v>
      </c>
      <c r="B47" s="23">
        <f>IF(AND(COUNTIFS(Paths!$B$7:$B$406,0,Paths!$C$7:$C$406,1,Paths!$P$7:$P$406,"&lt;&gt;Complete")=0,COUNTIFS(Paths!$B$7:$B$406,0,Paths!$C$7:$C$406,1)=SUM('Fleet register'!$B$7:$B$106)),SUMIFS('Annual build'!$O$7:$O$4406,'Annual build'!$B$7:$B$4406,0,'Annual build'!$C$7:$C$4406,$A47),"n.a.")</f>
        <v>279908.10000000003</v>
      </c>
      <c r="C47" s="23">
        <f>IF(AND(COUNTIFS(Paths!$B$7:$B$406,1,Paths!$C$7:$C$406,1,Paths!$P$7:$P$406,"&lt;&gt;Complete")=0,COUNTIFS(Paths!$B$7:$B$406,1,Paths!$C$7:$C$406,1)=SUM('Fleet register'!$B$7:$B$106)),SUMIFS('Annual build'!$O$7:$O$4406,'Annual build'!$B$7:$B$4406,1,'Annual build'!$C$7:$C$4406,$A47),"n.a.")</f>
        <v>108908.1</v>
      </c>
      <c r="D47" s="23" t="str">
        <f>IF(AND(COUNTIFS(Paths!$B$7:$B$406,2,Paths!$C$7:$C$406,1,Paths!$P$7:$P$406,"&lt;&gt;Complete")=0,COUNTIFS(Paths!$B$7:$B$406,2,Paths!$C$7:$C$406,1)=SUM('Fleet register'!$B$7:$B$106)),IF(ISNUMBER(H47),SUMIFS('Annual build'!$O$7:$O$4406,'Annual build'!$B$7:$B$4406,2,'Annual build'!$C$7:$C$4406,$A47)+H47,"n.a."),"n.a.")</f>
        <v>n.a.</v>
      </c>
      <c r="E47" s="23" t="str">
        <f>IF(AND(COUNTIFS(Paths!$B$7:$B$406,3,Paths!$C$7:$C$406,1,Paths!$P$7:$P$406,"&lt;&gt;Complete")=0,COUNTIFS(Paths!$B$7:$B$406,3,Paths!$C$7:$C$406,1)=SUM('Fleet register'!$B$7:$B$106)),IF(ISNUMBER(I47),SUMIFS('Annual build'!$O$7:$O$4406,'Annual build'!$B$7:$B$4406,3,'Annual build'!$C$7:$C$4406,$A47)+I47,"n.a."),"n.a.")</f>
        <v>n.a.</v>
      </c>
      <c r="F47" s="23" t="str">
        <f>IF('Energy and charging'!$B$60="No EV site",0,IF('Energy and charging'!$B$60="Public only",IF(IF('Energy and charging'!$B$33=0,$A47=0,AND($A47&gt;0,'Energy and charging'!$B$33&gt;($A47-1)*12,'Energy and charging'!$B$33&lt;=$A47*12)),'Energy and charging'!$B$27,0)+MAX(0,MIN(2*12,120)-MAX(12,'Energy and charging'!$B$33))/12*'Energy and charging'!$B$29*(1+'Operating costs'!$B$53)^MAX(0,$A47-1),IF('Energy and charging'!$B$60="Complete",IF(IF('Energy and charging'!$B$33=0,$A47=0,AND($A47&gt;0,'Energy and charging'!$B$33&gt;($A47-1)*12,'Energy and charging'!$B$33&lt;=$A47*12)),'Energy and charging'!$B$61,0)+MAX(0,MIN(2*12,120)-MAX(12,'Energy and charging'!$B$33))/12*'Energy and charging'!$B$62*(1+'Operating costs'!$B$53)^MAX(0,$A47-1)-IF(IF('Energy and charging'!$B$45=0,$A47=0,AND($A47&gt;0,'Energy and charging'!$B$45&gt;($A47-1)*12,'Energy and charging'!$B$45&lt;=$A47*12)),'Energy and charging'!$B$44,0)+IF(IF('Energy and charging'!$B$38=0,$A47=0,AND($A47&gt;0,'Energy and charging'!$B$38&gt;($A47-1)*12,'Energy and charging'!$B$38&lt;=$A47*12)),'Energy and charging'!$B$37,0)+IF(IF('Energy and charging'!$B$41=0,$A47=0,AND($A47&gt;0,'Energy and charging'!$B$41&gt;($A47-1)*12,'Energy and charging'!$B$41&lt;=$A47*12)),'Energy and charging'!$B$16*'Energy and charging'!$B$40,0)+IF(IF('Energy and charging'!$B$33+'Energy and charging'!$B$34=0,$A47=0,AND($A47&gt;0,'Energy and charging'!$B$33+'Energy and charging'!$B$34&gt;($A47-1)*12,'Energy and charging'!$B$33+'Energy and charging'!$B$34&lt;=$A47*12)),'Energy and charging'!$B$36,0)-IF($A47=10,'Energy and charging'!$B$35,0),"n.a.")))</f>
        <v>n.a.</v>
      </c>
      <c r="G47" s="23" t="str">
        <f>IF('Energy and charging'!$C$60="No EV site",0,IF('Energy and charging'!$C$60="Public only",IF(IF('Energy and charging'!$C$33=0,$A47=0,AND($A47&gt;0,'Energy and charging'!$C$33&gt;($A47-1)*12,'Energy and charging'!$C$33&lt;=$A47*12)),'Energy and charging'!$C$27,0)+MAX(0,MIN(2*12,120)-MAX(12,'Energy and charging'!$C$33))/12*'Energy and charging'!$C$29*(1+'Operating costs'!$B$53)^MAX(0,$A47-1),IF('Energy and charging'!$C$60="Complete",IF(IF('Energy and charging'!$C$33=0,$A47=0,AND($A47&gt;0,'Energy and charging'!$C$33&gt;($A47-1)*12,'Energy and charging'!$C$33&lt;=$A47*12)),'Energy and charging'!$C$61,0)+MAX(0,MIN(2*12,120)-MAX(12,'Energy and charging'!$C$33))/12*'Energy and charging'!$C$62*(1+'Operating costs'!$B$53)^MAX(0,$A47-1)-IF(IF('Energy and charging'!$C$45=0,$A47=0,AND($A47&gt;0,'Energy and charging'!$C$45&gt;($A47-1)*12,'Energy and charging'!$C$45&lt;=$A47*12)),'Energy and charging'!$C$44,0)+IF(IF('Energy and charging'!$C$38=0,$A47=0,AND($A47&gt;0,'Energy and charging'!$C$38&gt;($A47-1)*12,'Energy and charging'!$C$38&lt;=$A47*12)),'Energy and charging'!$C$37,0)+IF(IF('Energy and charging'!$C$41=0,$A47=0,AND($A47&gt;0,'Energy and charging'!$C$41&gt;($A47-1)*12,'Energy and charging'!$C$41&lt;=$A47*12)),'Energy and charging'!$C$16*'Energy and charging'!$C$40,0)+IF(IF('Energy and charging'!$C$33+'Energy and charging'!$C$34=0,$A47=0,AND($A47&gt;0,'Energy and charging'!$C$33+'Energy and charging'!$C$34&gt;($A47-1)*12,'Energy and charging'!$C$33+'Energy and charging'!$C$34&lt;=$A47*12)),'Energy and charging'!$C$36,0)-IF($A47=10,'Energy and charging'!$C$35,0),"n.a.")))</f>
        <v>n.a.</v>
      </c>
      <c r="H47" s="23" t="str">
        <f>IF(ISNUMBER(F47),F47+IF(AND('Energy and charging'!$B$60="Complete",IF('Energy and charging'!$B$33=0,$A47=0,AND($A47&gt;0,'Energy and charging'!$B$33&gt;($A47-1)*12,'Energy and charging'!$B$33&lt;=$A47*12))),'Energy and charging'!$B$42,0)-IF(AND('Energy and charging'!$B$60="Complete",IF('Energy and charging'!$B$43=0,$A47=0,AND($A47&gt;0,'Energy and charging'!$B$43&gt;($A47-1)*12,'Energy and charging'!$B$43&lt;=$A47*12))),'Energy and charging'!$B$42,0),"n.a.")</f>
        <v>n.a.</v>
      </c>
      <c r="I47" s="23" t="str">
        <f>IF(ISNUMBER(G47),G47+IF(AND('Energy and charging'!$C$60="Complete",IF('Energy and charging'!$C$33=0,$A47=0,AND($A47&gt;0,'Energy and charging'!$C$33&gt;($A47-1)*12,'Energy and charging'!$C$33&lt;=$A47*12))),'Energy and charging'!$C$42,0)-IF(AND('Energy and charging'!$C$60="Complete",IF('Energy and charging'!$C$43=0,$A47=0,AND($A47&gt;0,'Energy and charging'!$C$43&gt;($A47-1)*12,'Energy and charging'!$C$43&lt;=$A47*12))),'Energy and charging'!$C$42,0),"n.a.")</f>
        <v>n.a.</v>
      </c>
      <c r="J47" s="1"/>
      <c r="K47" s="1"/>
      <c r="L47" s="1"/>
      <c r="M47" s="1"/>
      <c r="N47" s="1"/>
    </row>
    <row r="48" spans="1:14" ht="24" customHeight="1">
      <c r="A48" s="1">
        <v>3</v>
      </c>
      <c r="B48" s="23">
        <f>IF(AND(COUNTIFS(Paths!$B$7:$B$406,0,Paths!$C$7:$C$406,1,Paths!$P$7:$P$406,"&lt;&gt;Complete")=0,COUNTIFS(Paths!$B$7:$B$406,0,Paths!$C$7:$C$406,1)=SUM('Fleet register'!$B$7:$B$106)),SUMIFS('Annual build'!$O$7:$O$4406,'Annual build'!$B$7:$B$4406,0,'Annual build'!$C$7:$C$4406,$A48),"n.a.")</f>
        <v>279908.09999999998</v>
      </c>
      <c r="C48" s="23">
        <f>IF(AND(COUNTIFS(Paths!$B$7:$B$406,1,Paths!$C$7:$C$406,1,Paths!$P$7:$P$406,"&lt;&gt;Complete")=0,COUNTIFS(Paths!$B$7:$B$406,1,Paths!$C$7:$C$406,1)=SUM('Fleet register'!$B$7:$B$106)),SUMIFS('Annual build'!$O$7:$O$4406,'Annual build'!$B$7:$B$4406,1,'Annual build'!$C$7:$C$4406,$A48),"n.a.")</f>
        <v>108908.1</v>
      </c>
      <c r="D48" s="23" t="str">
        <f>IF(AND(COUNTIFS(Paths!$B$7:$B$406,2,Paths!$C$7:$C$406,1,Paths!$P$7:$P$406,"&lt;&gt;Complete")=0,COUNTIFS(Paths!$B$7:$B$406,2,Paths!$C$7:$C$406,1)=SUM('Fleet register'!$B$7:$B$106)),IF(ISNUMBER(H48),SUMIFS('Annual build'!$O$7:$O$4406,'Annual build'!$B$7:$B$4406,2,'Annual build'!$C$7:$C$4406,$A48)+H48,"n.a."),"n.a.")</f>
        <v>n.a.</v>
      </c>
      <c r="E48" s="23" t="str">
        <f>IF(AND(COUNTIFS(Paths!$B$7:$B$406,3,Paths!$C$7:$C$406,1,Paths!$P$7:$P$406,"&lt;&gt;Complete")=0,COUNTIFS(Paths!$B$7:$B$406,3,Paths!$C$7:$C$406,1)=SUM('Fleet register'!$B$7:$B$106)),IF(ISNUMBER(I48),SUMIFS('Annual build'!$O$7:$O$4406,'Annual build'!$B$7:$B$4406,3,'Annual build'!$C$7:$C$4406,$A48)+I48,"n.a."),"n.a.")</f>
        <v>n.a.</v>
      </c>
      <c r="F48" s="23" t="str">
        <f>IF('Energy and charging'!$B$60="No EV site",0,IF('Energy and charging'!$B$60="Public only",IF(IF('Energy and charging'!$B$33=0,$A48=0,AND($A48&gt;0,'Energy and charging'!$B$33&gt;($A48-1)*12,'Energy and charging'!$B$33&lt;=$A48*12)),'Energy and charging'!$B$27,0)+MAX(0,MIN(3*12,120)-MAX(24,'Energy and charging'!$B$33))/12*'Energy and charging'!$B$29*(1+'Operating costs'!$B$53)^MAX(0,$A48-1),IF('Energy and charging'!$B$60="Complete",IF(IF('Energy and charging'!$B$33=0,$A48=0,AND($A48&gt;0,'Energy and charging'!$B$33&gt;($A48-1)*12,'Energy and charging'!$B$33&lt;=$A48*12)),'Energy and charging'!$B$61,0)+MAX(0,MIN(3*12,120)-MAX(24,'Energy and charging'!$B$33))/12*'Energy and charging'!$B$62*(1+'Operating costs'!$B$53)^MAX(0,$A48-1)-IF(IF('Energy and charging'!$B$45=0,$A48=0,AND($A48&gt;0,'Energy and charging'!$B$45&gt;($A48-1)*12,'Energy and charging'!$B$45&lt;=$A48*12)),'Energy and charging'!$B$44,0)+IF(IF('Energy and charging'!$B$38=0,$A48=0,AND($A48&gt;0,'Energy and charging'!$B$38&gt;($A48-1)*12,'Energy and charging'!$B$38&lt;=$A48*12)),'Energy and charging'!$B$37,0)+IF(IF('Energy and charging'!$B$41=0,$A48=0,AND($A48&gt;0,'Energy and charging'!$B$41&gt;($A48-1)*12,'Energy and charging'!$B$41&lt;=$A48*12)),'Energy and charging'!$B$16*'Energy and charging'!$B$40,0)+IF(IF('Energy and charging'!$B$33+'Energy and charging'!$B$34=0,$A48=0,AND($A48&gt;0,'Energy and charging'!$B$33+'Energy and charging'!$B$34&gt;($A48-1)*12,'Energy and charging'!$B$33+'Energy and charging'!$B$34&lt;=$A48*12)),'Energy and charging'!$B$36,0)-IF($A48=10,'Energy and charging'!$B$35,0),"n.a.")))</f>
        <v>n.a.</v>
      </c>
      <c r="G48" s="23" t="str">
        <f>IF('Energy and charging'!$C$60="No EV site",0,IF('Energy and charging'!$C$60="Public only",IF(IF('Energy and charging'!$C$33=0,$A48=0,AND($A48&gt;0,'Energy and charging'!$C$33&gt;($A48-1)*12,'Energy and charging'!$C$33&lt;=$A48*12)),'Energy and charging'!$C$27,0)+MAX(0,MIN(3*12,120)-MAX(24,'Energy and charging'!$C$33))/12*'Energy and charging'!$C$29*(1+'Operating costs'!$B$53)^MAX(0,$A48-1),IF('Energy and charging'!$C$60="Complete",IF(IF('Energy and charging'!$C$33=0,$A48=0,AND($A48&gt;0,'Energy and charging'!$C$33&gt;($A48-1)*12,'Energy and charging'!$C$33&lt;=$A48*12)),'Energy and charging'!$C$61,0)+MAX(0,MIN(3*12,120)-MAX(24,'Energy and charging'!$C$33))/12*'Energy and charging'!$C$62*(1+'Operating costs'!$B$53)^MAX(0,$A48-1)-IF(IF('Energy and charging'!$C$45=0,$A48=0,AND($A48&gt;0,'Energy and charging'!$C$45&gt;($A48-1)*12,'Energy and charging'!$C$45&lt;=$A48*12)),'Energy and charging'!$C$44,0)+IF(IF('Energy and charging'!$C$38=0,$A48=0,AND($A48&gt;0,'Energy and charging'!$C$38&gt;($A48-1)*12,'Energy and charging'!$C$38&lt;=$A48*12)),'Energy and charging'!$C$37,0)+IF(IF('Energy and charging'!$C$41=0,$A48=0,AND($A48&gt;0,'Energy and charging'!$C$41&gt;($A48-1)*12,'Energy and charging'!$C$41&lt;=$A48*12)),'Energy and charging'!$C$16*'Energy and charging'!$C$40,0)+IF(IF('Energy and charging'!$C$33+'Energy and charging'!$C$34=0,$A48=0,AND($A48&gt;0,'Energy and charging'!$C$33+'Energy and charging'!$C$34&gt;($A48-1)*12,'Energy and charging'!$C$33+'Energy and charging'!$C$34&lt;=$A48*12)),'Energy and charging'!$C$36,0)-IF($A48=10,'Energy and charging'!$C$35,0),"n.a.")))</f>
        <v>n.a.</v>
      </c>
      <c r="H48" s="23" t="str">
        <f>IF(ISNUMBER(F48),F48+IF(AND('Energy and charging'!$B$60="Complete",IF('Energy and charging'!$B$33=0,$A48=0,AND($A48&gt;0,'Energy and charging'!$B$33&gt;($A48-1)*12,'Energy and charging'!$B$33&lt;=$A48*12))),'Energy and charging'!$B$42,0)-IF(AND('Energy and charging'!$B$60="Complete",IF('Energy and charging'!$B$43=0,$A48=0,AND($A48&gt;0,'Energy and charging'!$B$43&gt;($A48-1)*12,'Energy and charging'!$B$43&lt;=$A48*12))),'Energy and charging'!$B$42,0),"n.a.")</f>
        <v>n.a.</v>
      </c>
      <c r="I48" s="23" t="str">
        <f>IF(ISNUMBER(G48),G48+IF(AND('Energy and charging'!$C$60="Complete",IF('Energy and charging'!$C$33=0,$A48=0,AND($A48&gt;0,'Energy and charging'!$C$33&gt;($A48-1)*12,'Energy and charging'!$C$33&lt;=$A48*12))),'Energy and charging'!$C$42,0)-IF(AND('Energy and charging'!$C$60="Complete",IF('Energy and charging'!$C$43=0,$A48=0,AND($A48&gt;0,'Energy and charging'!$C$43&gt;($A48-1)*12,'Energy and charging'!$C$43&lt;=$A48*12))),'Energy and charging'!$C$42,0),"n.a.")</f>
        <v>n.a.</v>
      </c>
      <c r="J48" s="1"/>
      <c r="K48" s="1"/>
      <c r="L48" s="1"/>
      <c r="M48" s="1"/>
      <c r="N48" s="1"/>
    </row>
    <row r="49" spans="1:14" ht="24" customHeight="1">
      <c r="A49" s="1">
        <v>4</v>
      </c>
      <c r="B49" s="23">
        <f>IF(AND(COUNTIFS(Paths!$B$7:$B$406,0,Paths!$C$7:$C$406,1,Paths!$P$7:$P$406,"&lt;&gt;Complete")=0,COUNTIFS(Paths!$B$7:$B$406,0,Paths!$C$7:$C$406,1)=SUM('Fleet register'!$B$7:$B$106)),SUMIFS('Annual build'!$O$7:$O$4406,'Annual build'!$B$7:$B$4406,0,'Annual build'!$C$7:$C$4406,$A49),"n.a.")</f>
        <v>279908.09999999998</v>
      </c>
      <c r="C49" s="23">
        <f>IF(AND(COUNTIFS(Paths!$B$7:$B$406,1,Paths!$C$7:$C$406,1,Paths!$P$7:$P$406,"&lt;&gt;Complete")=0,COUNTIFS(Paths!$B$7:$B$406,1,Paths!$C$7:$C$406,1)=SUM('Fleet register'!$B$7:$B$106)),SUMIFS('Annual build'!$O$7:$O$4406,'Annual build'!$B$7:$B$4406,1,'Annual build'!$C$7:$C$4406,$A49),"n.a.")</f>
        <v>108908.1</v>
      </c>
      <c r="D49" s="23" t="str">
        <f>IF(AND(COUNTIFS(Paths!$B$7:$B$406,2,Paths!$C$7:$C$406,1,Paths!$P$7:$P$406,"&lt;&gt;Complete")=0,COUNTIFS(Paths!$B$7:$B$406,2,Paths!$C$7:$C$406,1)=SUM('Fleet register'!$B$7:$B$106)),IF(ISNUMBER(H49),SUMIFS('Annual build'!$O$7:$O$4406,'Annual build'!$B$7:$B$4406,2,'Annual build'!$C$7:$C$4406,$A49)+H49,"n.a."),"n.a.")</f>
        <v>n.a.</v>
      </c>
      <c r="E49" s="23" t="str">
        <f>IF(AND(COUNTIFS(Paths!$B$7:$B$406,3,Paths!$C$7:$C$406,1,Paths!$P$7:$P$406,"&lt;&gt;Complete")=0,COUNTIFS(Paths!$B$7:$B$406,3,Paths!$C$7:$C$406,1)=SUM('Fleet register'!$B$7:$B$106)),IF(ISNUMBER(I49),SUMIFS('Annual build'!$O$7:$O$4406,'Annual build'!$B$7:$B$4406,3,'Annual build'!$C$7:$C$4406,$A49)+I49,"n.a."),"n.a.")</f>
        <v>n.a.</v>
      </c>
      <c r="F49" s="23" t="str">
        <f>IF('Energy and charging'!$B$60="No EV site",0,IF('Energy and charging'!$B$60="Public only",IF(IF('Energy and charging'!$B$33=0,$A49=0,AND($A49&gt;0,'Energy and charging'!$B$33&gt;($A49-1)*12,'Energy and charging'!$B$33&lt;=$A49*12)),'Energy and charging'!$B$27,0)+MAX(0,MIN(4*12,120)-MAX(36,'Energy and charging'!$B$33))/12*'Energy and charging'!$B$29*(1+'Operating costs'!$B$53)^MAX(0,$A49-1),IF('Energy and charging'!$B$60="Complete",IF(IF('Energy and charging'!$B$33=0,$A49=0,AND($A49&gt;0,'Energy and charging'!$B$33&gt;($A49-1)*12,'Energy and charging'!$B$33&lt;=$A49*12)),'Energy and charging'!$B$61,0)+MAX(0,MIN(4*12,120)-MAX(36,'Energy and charging'!$B$33))/12*'Energy and charging'!$B$62*(1+'Operating costs'!$B$53)^MAX(0,$A49-1)-IF(IF('Energy and charging'!$B$45=0,$A49=0,AND($A49&gt;0,'Energy and charging'!$B$45&gt;($A49-1)*12,'Energy and charging'!$B$45&lt;=$A49*12)),'Energy and charging'!$B$44,0)+IF(IF('Energy and charging'!$B$38=0,$A49=0,AND($A49&gt;0,'Energy and charging'!$B$38&gt;($A49-1)*12,'Energy and charging'!$B$38&lt;=$A49*12)),'Energy and charging'!$B$37,0)+IF(IF('Energy and charging'!$B$41=0,$A49=0,AND($A49&gt;0,'Energy and charging'!$B$41&gt;($A49-1)*12,'Energy and charging'!$B$41&lt;=$A49*12)),'Energy and charging'!$B$16*'Energy and charging'!$B$40,0)+IF(IF('Energy and charging'!$B$33+'Energy and charging'!$B$34=0,$A49=0,AND($A49&gt;0,'Energy and charging'!$B$33+'Energy and charging'!$B$34&gt;($A49-1)*12,'Energy and charging'!$B$33+'Energy and charging'!$B$34&lt;=$A49*12)),'Energy and charging'!$B$36,0)-IF($A49=10,'Energy and charging'!$B$35,0),"n.a.")))</f>
        <v>n.a.</v>
      </c>
      <c r="G49" s="23" t="str">
        <f>IF('Energy and charging'!$C$60="No EV site",0,IF('Energy and charging'!$C$60="Public only",IF(IF('Energy and charging'!$C$33=0,$A49=0,AND($A49&gt;0,'Energy and charging'!$C$33&gt;($A49-1)*12,'Energy and charging'!$C$33&lt;=$A49*12)),'Energy and charging'!$C$27,0)+MAX(0,MIN(4*12,120)-MAX(36,'Energy and charging'!$C$33))/12*'Energy and charging'!$C$29*(1+'Operating costs'!$B$53)^MAX(0,$A49-1),IF('Energy and charging'!$C$60="Complete",IF(IF('Energy and charging'!$C$33=0,$A49=0,AND($A49&gt;0,'Energy and charging'!$C$33&gt;($A49-1)*12,'Energy and charging'!$C$33&lt;=$A49*12)),'Energy and charging'!$C$61,0)+MAX(0,MIN(4*12,120)-MAX(36,'Energy and charging'!$C$33))/12*'Energy and charging'!$C$62*(1+'Operating costs'!$B$53)^MAX(0,$A49-1)-IF(IF('Energy and charging'!$C$45=0,$A49=0,AND($A49&gt;0,'Energy and charging'!$C$45&gt;($A49-1)*12,'Energy and charging'!$C$45&lt;=$A49*12)),'Energy and charging'!$C$44,0)+IF(IF('Energy and charging'!$C$38=0,$A49=0,AND($A49&gt;0,'Energy and charging'!$C$38&gt;($A49-1)*12,'Energy and charging'!$C$38&lt;=$A49*12)),'Energy and charging'!$C$37,0)+IF(IF('Energy and charging'!$C$41=0,$A49=0,AND($A49&gt;0,'Energy and charging'!$C$41&gt;($A49-1)*12,'Energy and charging'!$C$41&lt;=$A49*12)),'Energy and charging'!$C$16*'Energy and charging'!$C$40,0)+IF(IF('Energy and charging'!$C$33+'Energy and charging'!$C$34=0,$A49=0,AND($A49&gt;0,'Energy and charging'!$C$33+'Energy and charging'!$C$34&gt;($A49-1)*12,'Energy and charging'!$C$33+'Energy and charging'!$C$34&lt;=$A49*12)),'Energy and charging'!$C$36,0)-IF($A49=10,'Energy and charging'!$C$35,0),"n.a.")))</f>
        <v>n.a.</v>
      </c>
      <c r="H49" s="23" t="str">
        <f>IF(ISNUMBER(F49),F49+IF(AND('Energy and charging'!$B$60="Complete",IF('Energy and charging'!$B$33=0,$A49=0,AND($A49&gt;0,'Energy and charging'!$B$33&gt;($A49-1)*12,'Energy and charging'!$B$33&lt;=$A49*12))),'Energy and charging'!$B$42,0)-IF(AND('Energy and charging'!$B$60="Complete",IF('Energy and charging'!$B$43=0,$A49=0,AND($A49&gt;0,'Energy and charging'!$B$43&gt;($A49-1)*12,'Energy and charging'!$B$43&lt;=$A49*12))),'Energy and charging'!$B$42,0),"n.a.")</f>
        <v>n.a.</v>
      </c>
      <c r="I49" s="23" t="str">
        <f>IF(ISNUMBER(G49),G49+IF(AND('Energy and charging'!$C$60="Complete",IF('Energy and charging'!$C$33=0,$A49=0,AND($A49&gt;0,'Energy and charging'!$C$33&gt;($A49-1)*12,'Energy and charging'!$C$33&lt;=$A49*12))),'Energy and charging'!$C$42,0)-IF(AND('Energy and charging'!$C$60="Complete",IF('Energy and charging'!$C$43=0,$A49=0,AND($A49&gt;0,'Energy and charging'!$C$43&gt;($A49-1)*12,'Energy and charging'!$C$43&lt;=$A49*12))),'Energy and charging'!$C$42,0),"n.a.")</f>
        <v>n.a.</v>
      </c>
      <c r="J49" s="1"/>
      <c r="K49" s="1"/>
      <c r="L49" s="1"/>
      <c r="M49" s="1"/>
      <c r="N49" s="1"/>
    </row>
    <row r="50" spans="1:14" ht="24" customHeight="1">
      <c r="A50" s="1">
        <v>5</v>
      </c>
      <c r="B50" s="23">
        <f>IF(AND(COUNTIFS(Paths!$B$7:$B$406,0,Paths!$C$7:$C$406,1,Paths!$P$7:$P$406,"&lt;&gt;Complete")=0,COUNTIFS(Paths!$B$7:$B$406,0,Paths!$C$7:$C$406,1)=SUM('Fleet register'!$B$7:$B$106)),SUMIFS('Annual build'!$O$7:$O$4406,'Annual build'!$B$7:$B$4406,0,'Annual build'!$C$7:$C$4406,$A50),"n.a.")</f>
        <v>279908.09999999998</v>
      </c>
      <c r="C50" s="23">
        <f>IF(AND(COUNTIFS(Paths!$B$7:$B$406,1,Paths!$C$7:$C$406,1,Paths!$P$7:$P$406,"&lt;&gt;Complete")=0,COUNTIFS(Paths!$B$7:$B$406,1,Paths!$C$7:$C$406,1)=SUM('Fleet register'!$B$7:$B$106)),SUMIFS('Annual build'!$O$7:$O$4406,'Annual build'!$B$7:$B$4406,1,'Annual build'!$C$7:$C$4406,$A50),"n.a.")</f>
        <v>108908.1</v>
      </c>
      <c r="D50" s="23" t="str">
        <f>IF(AND(COUNTIFS(Paths!$B$7:$B$406,2,Paths!$C$7:$C$406,1,Paths!$P$7:$P$406,"&lt;&gt;Complete")=0,COUNTIFS(Paths!$B$7:$B$406,2,Paths!$C$7:$C$406,1)=SUM('Fleet register'!$B$7:$B$106)),IF(ISNUMBER(H50),SUMIFS('Annual build'!$O$7:$O$4406,'Annual build'!$B$7:$B$4406,2,'Annual build'!$C$7:$C$4406,$A50)+H50,"n.a."),"n.a.")</f>
        <v>n.a.</v>
      </c>
      <c r="E50" s="23" t="str">
        <f>IF(AND(COUNTIFS(Paths!$B$7:$B$406,3,Paths!$C$7:$C$406,1,Paths!$P$7:$P$406,"&lt;&gt;Complete")=0,COUNTIFS(Paths!$B$7:$B$406,3,Paths!$C$7:$C$406,1)=SUM('Fleet register'!$B$7:$B$106)),IF(ISNUMBER(I50),SUMIFS('Annual build'!$O$7:$O$4406,'Annual build'!$B$7:$B$4406,3,'Annual build'!$C$7:$C$4406,$A50)+I50,"n.a."),"n.a.")</f>
        <v>n.a.</v>
      </c>
      <c r="F50" s="23" t="str">
        <f>IF('Energy and charging'!$B$60="No EV site",0,IF('Energy and charging'!$B$60="Public only",IF(IF('Energy and charging'!$B$33=0,$A50=0,AND($A50&gt;0,'Energy and charging'!$B$33&gt;($A50-1)*12,'Energy and charging'!$B$33&lt;=$A50*12)),'Energy and charging'!$B$27,0)+MAX(0,MIN(5*12,120)-MAX(48,'Energy and charging'!$B$33))/12*'Energy and charging'!$B$29*(1+'Operating costs'!$B$53)^MAX(0,$A50-1),IF('Energy and charging'!$B$60="Complete",IF(IF('Energy and charging'!$B$33=0,$A50=0,AND($A50&gt;0,'Energy and charging'!$B$33&gt;($A50-1)*12,'Energy and charging'!$B$33&lt;=$A50*12)),'Energy and charging'!$B$61,0)+MAX(0,MIN(5*12,120)-MAX(48,'Energy and charging'!$B$33))/12*'Energy and charging'!$B$62*(1+'Operating costs'!$B$53)^MAX(0,$A50-1)-IF(IF('Energy and charging'!$B$45=0,$A50=0,AND($A50&gt;0,'Energy and charging'!$B$45&gt;($A50-1)*12,'Energy and charging'!$B$45&lt;=$A50*12)),'Energy and charging'!$B$44,0)+IF(IF('Energy and charging'!$B$38=0,$A50=0,AND($A50&gt;0,'Energy and charging'!$B$38&gt;($A50-1)*12,'Energy and charging'!$B$38&lt;=$A50*12)),'Energy and charging'!$B$37,0)+IF(IF('Energy and charging'!$B$41=0,$A50=0,AND($A50&gt;0,'Energy and charging'!$B$41&gt;($A50-1)*12,'Energy and charging'!$B$41&lt;=$A50*12)),'Energy and charging'!$B$16*'Energy and charging'!$B$40,0)+IF(IF('Energy and charging'!$B$33+'Energy and charging'!$B$34=0,$A50=0,AND($A50&gt;0,'Energy and charging'!$B$33+'Energy and charging'!$B$34&gt;($A50-1)*12,'Energy and charging'!$B$33+'Energy and charging'!$B$34&lt;=$A50*12)),'Energy and charging'!$B$36,0)-IF($A50=10,'Energy and charging'!$B$35,0),"n.a.")))</f>
        <v>n.a.</v>
      </c>
      <c r="G50" s="23" t="str">
        <f>IF('Energy and charging'!$C$60="No EV site",0,IF('Energy and charging'!$C$60="Public only",IF(IF('Energy and charging'!$C$33=0,$A50=0,AND($A50&gt;0,'Energy and charging'!$C$33&gt;($A50-1)*12,'Energy and charging'!$C$33&lt;=$A50*12)),'Energy and charging'!$C$27,0)+MAX(0,MIN(5*12,120)-MAX(48,'Energy and charging'!$C$33))/12*'Energy and charging'!$C$29*(1+'Operating costs'!$B$53)^MAX(0,$A50-1),IF('Energy and charging'!$C$60="Complete",IF(IF('Energy and charging'!$C$33=0,$A50=0,AND($A50&gt;0,'Energy and charging'!$C$33&gt;($A50-1)*12,'Energy and charging'!$C$33&lt;=$A50*12)),'Energy and charging'!$C$61,0)+MAX(0,MIN(5*12,120)-MAX(48,'Energy and charging'!$C$33))/12*'Energy and charging'!$C$62*(1+'Operating costs'!$B$53)^MAX(0,$A50-1)-IF(IF('Energy and charging'!$C$45=0,$A50=0,AND($A50&gt;0,'Energy and charging'!$C$45&gt;($A50-1)*12,'Energy and charging'!$C$45&lt;=$A50*12)),'Energy and charging'!$C$44,0)+IF(IF('Energy and charging'!$C$38=0,$A50=0,AND($A50&gt;0,'Energy and charging'!$C$38&gt;($A50-1)*12,'Energy and charging'!$C$38&lt;=$A50*12)),'Energy and charging'!$C$37,0)+IF(IF('Energy and charging'!$C$41=0,$A50=0,AND($A50&gt;0,'Energy and charging'!$C$41&gt;($A50-1)*12,'Energy and charging'!$C$41&lt;=$A50*12)),'Energy and charging'!$C$16*'Energy and charging'!$C$40,0)+IF(IF('Energy and charging'!$C$33+'Energy and charging'!$C$34=0,$A50=0,AND($A50&gt;0,'Energy and charging'!$C$33+'Energy and charging'!$C$34&gt;($A50-1)*12,'Energy and charging'!$C$33+'Energy and charging'!$C$34&lt;=$A50*12)),'Energy and charging'!$C$36,0)-IF($A50=10,'Energy and charging'!$C$35,0),"n.a.")))</f>
        <v>n.a.</v>
      </c>
      <c r="H50" s="23" t="str">
        <f>IF(ISNUMBER(F50),F50+IF(AND('Energy and charging'!$B$60="Complete",IF('Energy and charging'!$B$33=0,$A50=0,AND($A50&gt;0,'Energy and charging'!$B$33&gt;($A50-1)*12,'Energy and charging'!$B$33&lt;=$A50*12))),'Energy and charging'!$B$42,0)-IF(AND('Energy and charging'!$B$60="Complete",IF('Energy and charging'!$B$43=0,$A50=0,AND($A50&gt;0,'Energy and charging'!$B$43&gt;($A50-1)*12,'Energy and charging'!$B$43&lt;=$A50*12))),'Energy and charging'!$B$42,0),"n.a.")</f>
        <v>n.a.</v>
      </c>
      <c r="I50" s="23" t="str">
        <f>IF(ISNUMBER(G50),G50+IF(AND('Energy and charging'!$C$60="Complete",IF('Energy and charging'!$C$33=0,$A50=0,AND($A50&gt;0,'Energy and charging'!$C$33&gt;($A50-1)*12,'Energy and charging'!$C$33&lt;=$A50*12))),'Energy and charging'!$C$42,0)-IF(AND('Energy and charging'!$C$60="Complete",IF('Energy and charging'!$C$43=0,$A50=0,AND($A50&gt;0,'Energy and charging'!$C$43&gt;($A50-1)*12,'Energy and charging'!$C$43&lt;=$A50*12))),'Energy and charging'!$C$42,0),"n.a.")</f>
        <v>n.a.</v>
      </c>
      <c r="J50" s="1"/>
      <c r="K50" s="1"/>
      <c r="L50" s="1"/>
      <c r="M50" s="1"/>
      <c r="N50" s="1"/>
    </row>
    <row r="51" spans="1:14" ht="24" customHeight="1">
      <c r="A51" s="1">
        <v>6</v>
      </c>
      <c r="B51" s="23">
        <f>IF(AND(COUNTIFS(Paths!$B$7:$B$406,0,Paths!$C$7:$C$406,1,Paths!$P$7:$P$406,"&lt;&gt;Complete")=0,COUNTIFS(Paths!$B$7:$B$406,0,Paths!$C$7:$C$406,1)=SUM('Fleet register'!$B$7:$B$106)),SUMIFS('Annual build'!$O$7:$O$4406,'Annual build'!$B$7:$B$4406,0,'Annual build'!$C$7:$C$4406,$A51),"n.a.")</f>
        <v>279908.09999999998</v>
      </c>
      <c r="C51" s="23">
        <f>IF(AND(COUNTIFS(Paths!$B$7:$B$406,1,Paths!$C$7:$C$406,1,Paths!$P$7:$P$406,"&lt;&gt;Complete")=0,COUNTIFS(Paths!$B$7:$B$406,1,Paths!$C$7:$C$406,1)=SUM('Fleet register'!$B$7:$B$106)),SUMIFS('Annual build'!$O$7:$O$4406,'Annual build'!$B$7:$B$4406,1,'Annual build'!$C$7:$C$4406,$A51),"n.a.")</f>
        <v>108908.1</v>
      </c>
      <c r="D51" s="23" t="str">
        <f>IF(AND(COUNTIFS(Paths!$B$7:$B$406,2,Paths!$C$7:$C$406,1,Paths!$P$7:$P$406,"&lt;&gt;Complete")=0,COUNTIFS(Paths!$B$7:$B$406,2,Paths!$C$7:$C$406,1)=SUM('Fleet register'!$B$7:$B$106)),IF(ISNUMBER(H51),SUMIFS('Annual build'!$O$7:$O$4406,'Annual build'!$B$7:$B$4406,2,'Annual build'!$C$7:$C$4406,$A51)+H51,"n.a."),"n.a.")</f>
        <v>n.a.</v>
      </c>
      <c r="E51" s="23" t="str">
        <f>IF(AND(COUNTIFS(Paths!$B$7:$B$406,3,Paths!$C$7:$C$406,1,Paths!$P$7:$P$406,"&lt;&gt;Complete")=0,COUNTIFS(Paths!$B$7:$B$406,3,Paths!$C$7:$C$406,1)=SUM('Fleet register'!$B$7:$B$106)),IF(ISNUMBER(I51),SUMIFS('Annual build'!$O$7:$O$4406,'Annual build'!$B$7:$B$4406,3,'Annual build'!$C$7:$C$4406,$A51)+I51,"n.a."),"n.a.")</f>
        <v>n.a.</v>
      </c>
      <c r="F51" s="23" t="str">
        <f>IF('Energy and charging'!$B$60="No EV site",0,IF('Energy and charging'!$B$60="Public only",IF(IF('Energy and charging'!$B$33=0,$A51=0,AND($A51&gt;0,'Energy and charging'!$B$33&gt;($A51-1)*12,'Energy and charging'!$B$33&lt;=$A51*12)),'Energy and charging'!$B$27,0)+MAX(0,MIN(6*12,120)-MAX(60,'Energy and charging'!$B$33))/12*'Energy and charging'!$B$29*(1+'Operating costs'!$B$53)^MAX(0,$A51-1),IF('Energy and charging'!$B$60="Complete",IF(IF('Energy and charging'!$B$33=0,$A51=0,AND($A51&gt;0,'Energy and charging'!$B$33&gt;($A51-1)*12,'Energy and charging'!$B$33&lt;=$A51*12)),'Energy and charging'!$B$61,0)+MAX(0,MIN(6*12,120)-MAX(60,'Energy and charging'!$B$33))/12*'Energy and charging'!$B$62*(1+'Operating costs'!$B$53)^MAX(0,$A51-1)-IF(IF('Energy and charging'!$B$45=0,$A51=0,AND($A51&gt;0,'Energy and charging'!$B$45&gt;($A51-1)*12,'Energy and charging'!$B$45&lt;=$A51*12)),'Energy and charging'!$B$44,0)+IF(IF('Energy and charging'!$B$38=0,$A51=0,AND($A51&gt;0,'Energy and charging'!$B$38&gt;($A51-1)*12,'Energy and charging'!$B$38&lt;=$A51*12)),'Energy and charging'!$B$37,0)+IF(IF('Energy and charging'!$B$41=0,$A51=0,AND($A51&gt;0,'Energy and charging'!$B$41&gt;($A51-1)*12,'Energy and charging'!$B$41&lt;=$A51*12)),'Energy and charging'!$B$16*'Energy and charging'!$B$40,0)+IF(IF('Energy and charging'!$B$33+'Energy and charging'!$B$34=0,$A51=0,AND($A51&gt;0,'Energy and charging'!$B$33+'Energy and charging'!$B$34&gt;($A51-1)*12,'Energy and charging'!$B$33+'Energy and charging'!$B$34&lt;=$A51*12)),'Energy and charging'!$B$36,0)-IF($A51=10,'Energy and charging'!$B$35,0),"n.a.")))</f>
        <v>n.a.</v>
      </c>
      <c r="G51" s="23" t="str">
        <f>IF('Energy and charging'!$C$60="No EV site",0,IF('Energy and charging'!$C$60="Public only",IF(IF('Energy and charging'!$C$33=0,$A51=0,AND($A51&gt;0,'Energy and charging'!$C$33&gt;($A51-1)*12,'Energy and charging'!$C$33&lt;=$A51*12)),'Energy and charging'!$C$27,0)+MAX(0,MIN(6*12,120)-MAX(60,'Energy and charging'!$C$33))/12*'Energy and charging'!$C$29*(1+'Operating costs'!$B$53)^MAX(0,$A51-1),IF('Energy and charging'!$C$60="Complete",IF(IF('Energy and charging'!$C$33=0,$A51=0,AND($A51&gt;0,'Energy and charging'!$C$33&gt;($A51-1)*12,'Energy and charging'!$C$33&lt;=$A51*12)),'Energy and charging'!$C$61,0)+MAX(0,MIN(6*12,120)-MAX(60,'Energy and charging'!$C$33))/12*'Energy and charging'!$C$62*(1+'Operating costs'!$B$53)^MAX(0,$A51-1)-IF(IF('Energy and charging'!$C$45=0,$A51=0,AND($A51&gt;0,'Energy and charging'!$C$45&gt;($A51-1)*12,'Energy and charging'!$C$45&lt;=$A51*12)),'Energy and charging'!$C$44,0)+IF(IF('Energy and charging'!$C$38=0,$A51=0,AND($A51&gt;0,'Energy and charging'!$C$38&gt;($A51-1)*12,'Energy and charging'!$C$38&lt;=$A51*12)),'Energy and charging'!$C$37,0)+IF(IF('Energy and charging'!$C$41=0,$A51=0,AND($A51&gt;0,'Energy and charging'!$C$41&gt;($A51-1)*12,'Energy and charging'!$C$41&lt;=$A51*12)),'Energy and charging'!$C$16*'Energy and charging'!$C$40,0)+IF(IF('Energy and charging'!$C$33+'Energy and charging'!$C$34=0,$A51=0,AND($A51&gt;0,'Energy and charging'!$C$33+'Energy and charging'!$C$34&gt;($A51-1)*12,'Energy and charging'!$C$33+'Energy and charging'!$C$34&lt;=$A51*12)),'Energy and charging'!$C$36,0)-IF($A51=10,'Energy and charging'!$C$35,0),"n.a.")))</f>
        <v>n.a.</v>
      </c>
      <c r="H51" s="23" t="str">
        <f>IF(ISNUMBER(F51),F51+IF(AND('Energy and charging'!$B$60="Complete",IF('Energy and charging'!$B$33=0,$A51=0,AND($A51&gt;0,'Energy and charging'!$B$33&gt;($A51-1)*12,'Energy and charging'!$B$33&lt;=$A51*12))),'Energy and charging'!$B$42,0)-IF(AND('Energy and charging'!$B$60="Complete",IF('Energy and charging'!$B$43=0,$A51=0,AND($A51&gt;0,'Energy and charging'!$B$43&gt;($A51-1)*12,'Energy and charging'!$B$43&lt;=$A51*12))),'Energy and charging'!$B$42,0),"n.a.")</f>
        <v>n.a.</v>
      </c>
      <c r="I51" s="23" t="str">
        <f>IF(ISNUMBER(G51),G51+IF(AND('Energy and charging'!$C$60="Complete",IF('Energy and charging'!$C$33=0,$A51=0,AND($A51&gt;0,'Energy and charging'!$C$33&gt;($A51-1)*12,'Energy and charging'!$C$33&lt;=$A51*12))),'Energy and charging'!$C$42,0)-IF(AND('Energy and charging'!$C$60="Complete",IF('Energy and charging'!$C$43=0,$A51=0,AND($A51&gt;0,'Energy and charging'!$C$43&gt;($A51-1)*12,'Energy and charging'!$C$43&lt;=$A51*12))),'Energy and charging'!$C$42,0),"n.a.")</f>
        <v>n.a.</v>
      </c>
      <c r="J51" s="1"/>
      <c r="K51" s="1"/>
      <c r="L51" s="1"/>
      <c r="M51" s="1"/>
      <c r="N51" s="1"/>
    </row>
    <row r="52" spans="1:14" ht="24" customHeight="1">
      <c r="A52" s="1">
        <v>7</v>
      </c>
      <c r="B52" s="23">
        <f>IF(AND(COUNTIFS(Paths!$B$7:$B$406,0,Paths!$C$7:$C$406,1,Paths!$P$7:$P$406,"&lt;&gt;Complete")=0,COUNTIFS(Paths!$B$7:$B$406,0,Paths!$C$7:$C$406,1)=SUM('Fleet register'!$B$7:$B$106)),SUMIFS('Annual build'!$O$7:$O$4406,'Annual build'!$B$7:$B$4406,0,'Annual build'!$C$7:$C$4406,$A52),"n.a.")</f>
        <v>108908.1</v>
      </c>
      <c r="C52" s="23">
        <f>IF(AND(COUNTIFS(Paths!$B$7:$B$406,1,Paths!$C$7:$C$406,1,Paths!$P$7:$P$406,"&lt;&gt;Complete")=0,COUNTIFS(Paths!$B$7:$B$406,1,Paths!$C$7:$C$406,1)=SUM('Fleet register'!$B$7:$B$106)),SUMIFS('Annual build'!$O$7:$O$4406,'Annual build'!$B$7:$B$4406,1,'Annual build'!$C$7:$C$4406,$A52),"n.a.")</f>
        <v>108908.1</v>
      </c>
      <c r="D52" s="23" t="str">
        <f>IF(AND(COUNTIFS(Paths!$B$7:$B$406,2,Paths!$C$7:$C$406,1,Paths!$P$7:$P$406,"&lt;&gt;Complete")=0,COUNTIFS(Paths!$B$7:$B$406,2,Paths!$C$7:$C$406,1)=SUM('Fleet register'!$B$7:$B$106)),IF(ISNUMBER(H52),SUMIFS('Annual build'!$O$7:$O$4406,'Annual build'!$B$7:$B$4406,2,'Annual build'!$C$7:$C$4406,$A52)+H52,"n.a."),"n.a.")</f>
        <v>n.a.</v>
      </c>
      <c r="E52" s="23" t="str">
        <f>IF(AND(COUNTIFS(Paths!$B$7:$B$406,3,Paths!$C$7:$C$406,1,Paths!$P$7:$P$406,"&lt;&gt;Complete")=0,COUNTIFS(Paths!$B$7:$B$406,3,Paths!$C$7:$C$406,1)=SUM('Fleet register'!$B$7:$B$106)),IF(ISNUMBER(I52),SUMIFS('Annual build'!$O$7:$O$4406,'Annual build'!$B$7:$B$4406,3,'Annual build'!$C$7:$C$4406,$A52)+I52,"n.a."),"n.a.")</f>
        <v>n.a.</v>
      </c>
      <c r="F52" s="23" t="str">
        <f>IF('Energy and charging'!$B$60="No EV site",0,IF('Energy and charging'!$B$60="Public only",IF(IF('Energy and charging'!$B$33=0,$A52=0,AND($A52&gt;0,'Energy and charging'!$B$33&gt;($A52-1)*12,'Energy and charging'!$B$33&lt;=$A52*12)),'Energy and charging'!$B$27,0)+MAX(0,MIN(7*12,120)-MAX(72,'Energy and charging'!$B$33))/12*'Energy and charging'!$B$29*(1+'Operating costs'!$B$53)^MAX(0,$A52-1),IF('Energy and charging'!$B$60="Complete",IF(IF('Energy and charging'!$B$33=0,$A52=0,AND($A52&gt;0,'Energy and charging'!$B$33&gt;($A52-1)*12,'Energy and charging'!$B$33&lt;=$A52*12)),'Energy and charging'!$B$61,0)+MAX(0,MIN(7*12,120)-MAX(72,'Energy and charging'!$B$33))/12*'Energy and charging'!$B$62*(1+'Operating costs'!$B$53)^MAX(0,$A52-1)-IF(IF('Energy and charging'!$B$45=0,$A52=0,AND($A52&gt;0,'Energy and charging'!$B$45&gt;($A52-1)*12,'Energy and charging'!$B$45&lt;=$A52*12)),'Energy and charging'!$B$44,0)+IF(IF('Energy and charging'!$B$38=0,$A52=0,AND($A52&gt;0,'Energy and charging'!$B$38&gt;($A52-1)*12,'Energy and charging'!$B$38&lt;=$A52*12)),'Energy and charging'!$B$37,0)+IF(IF('Energy and charging'!$B$41=0,$A52=0,AND($A52&gt;0,'Energy and charging'!$B$41&gt;($A52-1)*12,'Energy and charging'!$B$41&lt;=$A52*12)),'Energy and charging'!$B$16*'Energy and charging'!$B$40,0)+IF(IF('Energy and charging'!$B$33+'Energy and charging'!$B$34=0,$A52=0,AND($A52&gt;0,'Energy and charging'!$B$33+'Energy and charging'!$B$34&gt;($A52-1)*12,'Energy and charging'!$B$33+'Energy and charging'!$B$34&lt;=$A52*12)),'Energy and charging'!$B$36,0)-IF($A52=10,'Energy and charging'!$B$35,0),"n.a.")))</f>
        <v>n.a.</v>
      </c>
      <c r="G52" s="23" t="str">
        <f>IF('Energy and charging'!$C$60="No EV site",0,IF('Energy and charging'!$C$60="Public only",IF(IF('Energy and charging'!$C$33=0,$A52=0,AND($A52&gt;0,'Energy and charging'!$C$33&gt;($A52-1)*12,'Energy and charging'!$C$33&lt;=$A52*12)),'Energy and charging'!$C$27,0)+MAX(0,MIN(7*12,120)-MAX(72,'Energy and charging'!$C$33))/12*'Energy and charging'!$C$29*(1+'Operating costs'!$B$53)^MAX(0,$A52-1),IF('Energy and charging'!$C$60="Complete",IF(IF('Energy and charging'!$C$33=0,$A52=0,AND($A52&gt;0,'Energy and charging'!$C$33&gt;($A52-1)*12,'Energy and charging'!$C$33&lt;=$A52*12)),'Energy and charging'!$C$61,0)+MAX(0,MIN(7*12,120)-MAX(72,'Energy and charging'!$C$33))/12*'Energy and charging'!$C$62*(1+'Operating costs'!$B$53)^MAX(0,$A52-1)-IF(IF('Energy and charging'!$C$45=0,$A52=0,AND($A52&gt;0,'Energy and charging'!$C$45&gt;($A52-1)*12,'Energy and charging'!$C$45&lt;=$A52*12)),'Energy and charging'!$C$44,0)+IF(IF('Energy and charging'!$C$38=0,$A52=0,AND($A52&gt;0,'Energy and charging'!$C$38&gt;($A52-1)*12,'Energy and charging'!$C$38&lt;=$A52*12)),'Energy and charging'!$C$37,0)+IF(IF('Energy and charging'!$C$41=0,$A52=0,AND($A52&gt;0,'Energy and charging'!$C$41&gt;($A52-1)*12,'Energy and charging'!$C$41&lt;=$A52*12)),'Energy and charging'!$C$16*'Energy and charging'!$C$40,0)+IF(IF('Energy and charging'!$C$33+'Energy and charging'!$C$34=0,$A52=0,AND($A52&gt;0,'Energy and charging'!$C$33+'Energy and charging'!$C$34&gt;($A52-1)*12,'Energy and charging'!$C$33+'Energy and charging'!$C$34&lt;=$A52*12)),'Energy and charging'!$C$36,0)-IF($A52=10,'Energy and charging'!$C$35,0),"n.a.")))</f>
        <v>n.a.</v>
      </c>
      <c r="H52" s="23" t="str">
        <f>IF(ISNUMBER(F52),F52+IF(AND('Energy and charging'!$B$60="Complete",IF('Energy and charging'!$B$33=0,$A52=0,AND($A52&gt;0,'Energy and charging'!$B$33&gt;($A52-1)*12,'Energy and charging'!$B$33&lt;=$A52*12))),'Energy and charging'!$B$42,0)-IF(AND('Energy and charging'!$B$60="Complete",IF('Energy and charging'!$B$43=0,$A52=0,AND($A52&gt;0,'Energy and charging'!$B$43&gt;($A52-1)*12,'Energy and charging'!$B$43&lt;=$A52*12))),'Energy and charging'!$B$42,0),"n.a.")</f>
        <v>n.a.</v>
      </c>
      <c r="I52" s="23" t="str">
        <f>IF(ISNUMBER(G52),G52+IF(AND('Energy and charging'!$C$60="Complete",IF('Energy and charging'!$C$33=0,$A52=0,AND($A52&gt;0,'Energy and charging'!$C$33&gt;($A52-1)*12,'Energy and charging'!$C$33&lt;=$A52*12))),'Energy and charging'!$C$42,0)-IF(AND('Energy and charging'!$C$60="Complete",IF('Energy and charging'!$C$43=0,$A52=0,AND($A52&gt;0,'Energy and charging'!$C$43&gt;($A52-1)*12,'Energy and charging'!$C$43&lt;=$A52*12))),'Energy and charging'!$C$42,0),"n.a.")</f>
        <v>n.a.</v>
      </c>
      <c r="J52" s="1"/>
      <c r="K52" s="1"/>
      <c r="L52" s="1"/>
      <c r="M52" s="1"/>
      <c r="N52" s="1"/>
    </row>
    <row r="53" spans="1:14" ht="24" customHeight="1">
      <c r="A53" s="1">
        <v>8</v>
      </c>
      <c r="B53" s="23">
        <f>IF(AND(COUNTIFS(Paths!$B$7:$B$406,0,Paths!$C$7:$C$406,1,Paths!$P$7:$P$406,"&lt;&gt;Complete")=0,COUNTIFS(Paths!$B$7:$B$406,0,Paths!$C$7:$C$406,1)=SUM('Fleet register'!$B$7:$B$106)),SUMIFS('Annual build'!$O$7:$O$4406,'Annual build'!$B$7:$B$4406,0,'Annual build'!$C$7:$C$4406,$A53),"n.a.")</f>
        <v>108908.1</v>
      </c>
      <c r="C53" s="23">
        <f>IF(AND(COUNTIFS(Paths!$B$7:$B$406,1,Paths!$C$7:$C$406,1,Paths!$P$7:$P$406,"&lt;&gt;Complete")=0,COUNTIFS(Paths!$B$7:$B$406,1,Paths!$C$7:$C$406,1)=SUM('Fleet register'!$B$7:$B$106)),SUMIFS('Annual build'!$O$7:$O$4406,'Annual build'!$B$7:$B$4406,1,'Annual build'!$C$7:$C$4406,$A53),"n.a.")</f>
        <v>108908.1</v>
      </c>
      <c r="D53" s="23" t="str">
        <f>IF(AND(COUNTIFS(Paths!$B$7:$B$406,2,Paths!$C$7:$C$406,1,Paths!$P$7:$P$406,"&lt;&gt;Complete")=0,COUNTIFS(Paths!$B$7:$B$406,2,Paths!$C$7:$C$406,1)=SUM('Fleet register'!$B$7:$B$106)),IF(ISNUMBER(H53),SUMIFS('Annual build'!$O$7:$O$4406,'Annual build'!$B$7:$B$4406,2,'Annual build'!$C$7:$C$4406,$A53)+H53,"n.a."),"n.a.")</f>
        <v>n.a.</v>
      </c>
      <c r="E53" s="23" t="str">
        <f>IF(AND(COUNTIFS(Paths!$B$7:$B$406,3,Paths!$C$7:$C$406,1,Paths!$P$7:$P$406,"&lt;&gt;Complete")=0,COUNTIFS(Paths!$B$7:$B$406,3,Paths!$C$7:$C$406,1)=SUM('Fleet register'!$B$7:$B$106)),IF(ISNUMBER(I53),SUMIFS('Annual build'!$O$7:$O$4406,'Annual build'!$B$7:$B$4406,3,'Annual build'!$C$7:$C$4406,$A53)+I53,"n.a."),"n.a.")</f>
        <v>n.a.</v>
      </c>
      <c r="F53" s="23" t="str">
        <f>IF('Energy and charging'!$B$60="No EV site",0,IF('Energy and charging'!$B$60="Public only",IF(IF('Energy and charging'!$B$33=0,$A53=0,AND($A53&gt;0,'Energy and charging'!$B$33&gt;($A53-1)*12,'Energy and charging'!$B$33&lt;=$A53*12)),'Energy and charging'!$B$27,0)+MAX(0,MIN(8*12,120)-MAX(84,'Energy and charging'!$B$33))/12*'Energy and charging'!$B$29*(1+'Operating costs'!$B$53)^MAX(0,$A53-1),IF('Energy and charging'!$B$60="Complete",IF(IF('Energy and charging'!$B$33=0,$A53=0,AND($A53&gt;0,'Energy and charging'!$B$33&gt;($A53-1)*12,'Energy and charging'!$B$33&lt;=$A53*12)),'Energy and charging'!$B$61,0)+MAX(0,MIN(8*12,120)-MAX(84,'Energy and charging'!$B$33))/12*'Energy and charging'!$B$62*(1+'Operating costs'!$B$53)^MAX(0,$A53-1)-IF(IF('Energy and charging'!$B$45=0,$A53=0,AND($A53&gt;0,'Energy and charging'!$B$45&gt;($A53-1)*12,'Energy and charging'!$B$45&lt;=$A53*12)),'Energy and charging'!$B$44,0)+IF(IF('Energy and charging'!$B$38=0,$A53=0,AND($A53&gt;0,'Energy and charging'!$B$38&gt;($A53-1)*12,'Energy and charging'!$B$38&lt;=$A53*12)),'Energy and charging'!$B$37,0)+IF(IF('Energy and charging'!$B$41=0,$A53=0,AND($A53&gt;0,'Energy and charging'!$B$41&gt;($A53-1)*12,'Energy and charging'!$B$41&lt;=$A53*12)),'Energy and charging'!$B$16*'Energy and charging'!$B$40,0)+IF(IF('Energy and charging'!$B$33+'Energy and charging'!$B$34=0,$A53=0,AND($A53&gt;0,'Energy and charging'!$B$33+'Energy and charging'!$B$34&gt;($A53-1)*12,'Energy and charging'!$B$33+'Energy and charging'!$B$34&lt;=$A53*12)),'Energy and charging'!$B$36,0)-IF($A53=10,'Energy and charging'!$B$35,0),"n.a.")))</f>
        <v>n.a.</v>
      </c>
      <c r="G53" s="23" t="str">
        <f>IF('Energy and charging'!$C$60="No EV site",0,IF('Energy and charging'!$C$60="Public only",IF(IF('Energy and charging'!$C$33=0,$A53=0,AND($A53&gt;0,'Energy and charging'!$C$33&gt;($A53-1)*12,'Energy and charging'!$C$33&lt;=$A53*12)),'Energy and charging'!$C$27,0)+MAX(0,MIN(8*12,120)-MAX(84,'Energy and charging'!$C$33))/12*'Energy and charging'!$C$29*(1+'Operating costs'!$B$53)^MAX(0,$A53-1),IF('Energy and charging'!$C$60="Complete",IF(IF('Energy and charging'!$C$33=0,$A53=0,AND($A53&gt;0,'Energy and charging'!$C$33&gt;($A53-1)*12,'Energy and charging'!$C$33&lt;=$A53*12)),'Energy and charging'!$C$61,0)+MAX(0,MIN(8*12,120)-MAX(84,'Energy and charging'!$C$33))/12*'Energy and charging'!$C$62*(1+'Operating costs'!$B$53)^MAX(0,$A53-1)-IF(IF('Energy and charging'!$C$45=0,$A53=0,AND($A53&gt;0,'Energy and charging'!$C$45&gt;($A53-1)*12,'Energy and charging'!$C$45&lt;=$A53*12)),'Energy and charging'!$C$44,0)+IF(IF('Energy and charging'!$C$38=0,$A53=0,AND($A53&gt;0,'Energy and charging'!$C$38&gt;($A53-1)*12,'Energy and charging'!$C$38&lt;=$A53*12)),'Energy and charging'!$C$37,0)+IF(IF('Energy and charging'!$C$41=0,$A53=0,AND($A53&gt;0,'Energy and charging'!$C$41&gt;($A53-1)*12,'Energy and charging'!$C$41&lt;=$A53*12)),'Energy and charging'!$C$16*'Energy and charging'!$C$40,0)+IF(IF('Energy and charging'!$C$33+'Energy and charging'!$C$34=0,$A53=0,AND($A53&gt;0,'Energy and charging'!$C$33+'Energy and charging'!$C$34&gt;($A53-1)*12,'Energy and charging'!$C$33+'Energy and charging'!$C$34&lt;=$A53*12)),'Energy and charging'!$C$36,0)-IF($A53=10,'Energy and charging'!$C$35,0),"n.a.")))</f>
        <v>n.a.</v>
      </c>
      <c r="H53" s="23" t="str">
        <f>IF(ISNUMBER(F53),F53+IF(AND('Energy and charging'!$B$60="Complete",IF('Energy and charging'!$B$33=0,$A53=0,AND($A53&gt;0,'Energy and charging'!$B$33&gt;($A53-1)*12,'Energy and charging'!$B$33&lt;=$A53*12))),'Energy and charging'!$B$42,0)-IF(AND('Energy and charging'!$B$60="Complete",IF('Energy and charging'!$B$43=0,$A53=0,AND($A53&gt;0,'Energy and charging'!$B$43&gt;($A53-1)*12,'Energy and charging'!$B$43&lt;=$A53*12))),'Energy and charging'!$B$42,0),"n.a.")</f>
        <v>n.a.</v>
      </c>
      <c r="I53" s="23" t="str">
        <f>IF(ISNUMBER(G53),G53+IF(AND('Energy and charging'!$C$60="Complete",IF('Energy and charging'!$C$33=0,$A53=0,AND($A53&gt;0,'Energy and charging'!$C$33&gt;($A53-1)*12,'Energy and charging'!$C$33&lt;=$A53*12))),'Energy and charging'!$C$42,0)-IF(AND('Energy and charging'!$C$60="Complete",IF('Energy and charging'!$C$43=0,$A53=0,AND($A53&gt;0,'Energy and charging'!$C$43&gt;($A53-1)*12,'Energy and charging'!$C$43&lt;=$A53*12))),'Energy and charging'!$C$42,0),"n.a.")</f>
        <v>n.a.</v>
      </c>
      <c r="J53" s="1"/>
      <c r="K53" s="1"/>
      <c r="L53" s="1"/>
      <c r="M53" s="1"/>
      <c r="N53" s="1"/>
    </row>
    <row r="54" spans="1:14" ht="24" customHeight="1">
      <c r="A54" s="1">
        <v>9</v>
      </c>
      <c r="B54" s="23">
        <f>IF(AND(COUNTIFS(Paths!$B$7:$B$406,0,Paths!$C$7:$C$406,1,Paths!$P$7:$P$406,"&lt;&gt;Complete")=0,COUNTIFS(Paths!$B$7:$B$406,0,Paths!$C$7:$C$406,1)=SUM('Fleet register'!$B$7:$B$106)),SUMIFS('Annual build'!$O$7:$O$4406,'Annual build'!$B$7:$B$4406,0,'Annual build'!$C$7:$C$4406,$A54),"n.a.")</f>
        <v>108908.1</v>
      </c>
      <c r="C54" s="23">
        <f>IF(AND(COUNTIFS(Paths!$B$7:$B$406,1,Paths!$C$7:$C$406,1,Paths!$P$7:$P$406,"&lt;&gt;Complete")=0,COUNTIFS(Paths!$B$7:$B$406,1,Paths!$C$7:$C$406,1)=SUM('Fleet register'!$B$7:$B$106)),SUMIFS('Annual build'!$O$7:$O$4406,'Annual build'!$B$7:$B$4406,1,'Annual build'!$C$7:$C$4406,$A54),"n.a.")</f>
        <v>108908.1</v>
      </c>
      <c r="D54" s="23" t="str">
        <f>IF(AND(COUNTIFS(Paths!$B$7:$B$406,2,Paths!$C$7:$C$406,1,Paths!$P$7:$P$406,"&lt;&gt;Complete")=0,COUNTIFS(Paths!$B$7:$B$406,2,Paths!$C$7:$C$406,1)=SUM('Fleet register'!$B$7:$B$106)),IF(ISNUMBER(H54),SUMIFS('Annual build'!$O$7:$O$4406,'Annual build'!$B$7:$B$4406,2,'Annual build'!$C$7:$C$4406,$A54)+H54,"n.a."),"n.a.")</f>
        <v>n.a.</v>
      </c>
      <c r="E54" s="23" t="str">
        <f>IF(AND(COUNTIFS(Paths!$B$7:$B$406,3,Paths!$C$7:$C$406,1,Paths!$P$7:$P$406,"&lt;&gt;Complete")=0,COUNTIFS(Paths!$B$7:$B$406,3,Paths!$C$7:$C$406,1)=SUM('Fleet register'!$B$7:$B$106)),IF(ISNUMBER(I54),SUMIFS('Annual build'!$O$7:$O$4406,'Annual build'!$B$7:$B$4406,3,'Annual build'!$C$7:$C$4406,$A54)+I54,"n.a."),"n.a.")</f>
        <v>n.a.</v>
      </c>
      <c r="F54" s="23" t="str">
        <f>IF('Energy and charging'!$B$60="No EV site",0,IF('Energy and charging'!$B$60="Public only",IF(IF('Energy and charging'!$B$33=0,$A54=0,AND($A54&gt;0,'Energy and charging'!$B$33&gt;($A54-1)*12,'Energy and charging'!$B$33&lt;=$A54*12)),'Energy and charging'!$B$27,0)+MAX(0,MIN(9*12,120)-MAX(96,'Energy and charging'!$B$33))/12*'Energy and charging'!$B$29*(1+'Operating costs'!$B$53)^MAX(0,$A54-1),IF('Energy and charging'!$B$60="Complete",IF(IF('Energy and charging'!$B$33=0,$A54=0,AND($A54&gt;0,'Energy and charging'!$B$33&gt;($A54-1)*12,'Energy and charging'!$B$33&lt;=$A54*12)),'Energy and charging'!$B$61,0)+MAX(0,MIN(9*12,120)-MAX(96,'Energy and charging'!$B$33))/12*'Energy and charging'!$B$62*(1+'Operating costs'!$B$53)^MAX(0,$A54-1)-IF(IF('Energy and charging'!$B$45=0,$A54=0,AND($A54&gt;0,'Energy and charging'!$B$45&gt;($A54-1)*12,'Energy and charging'!$B$45&lt;=$A54*12)),'Energy and charging'!$B$44,0)+IF(IF('Energy and charging'!$B$38=0,$A54=0,AND($A54&gt;0,'Energy and charging'!$B$38&gt;($A54-1)*12,'Energy and charging'!$B$38&lt;=$A54*12)),'Energy and charging'!$B$37,0)+IF(IF('Energy and charging'!$B$41=0,$A54=0,AND($A54&gt;0,'Energy and charging'!$B$41&gt;($A54-1)*12,'Energy and charging'!$B$41&lt;=$A54*12)),'Energy and charging'!$B$16*'Energy and charging'!$B$40,0)+IF(IF('Energy and charging'!$B$33+'Energy and charging'!$B$34=0,$A54=0,AND($A54&gt;0,'Energy and charging'!$B$33+'Energy and charging'!$B$34&gt;($A54-1)*12,'Energy and charging'!$B$33+'Energy and charging'!$B$34&lt;=$A54*12)),'Energy and charging'!$B$36,0)-IF($A54=10,'Energy and charging'!$B$35,0),"n.a.")))</f>
        <v>n.a.</v>
      </c>
      <c r="G54" s="23" t="str">
        <f>IF('Energy and charging'!$C$60="No EV site",0,IF('Energy and charging'!$C$60="Public only",IF(IF('Energy and charging'!$C$33=0,$A54=0,AND($A54&gt;0,'Energy and charging'!$C$33&gt;($A54-1)*12,'Energy and charging'!$C$33&lt;=$A54*12)),'Energy and charging'!$C$27,0)+MAX(0,MIN(9*12,120)-MAX(96,'Energy and charging'!$C$33))/12*'Energy and charging'!$C$29*(1+'Operating costs'!$B$53)^MAX(0,$A54-1),IF('Energy and charging'!$C$60="Complete",IF(IF('Energy and charging'!$C$33=0,$A54=0,AND($A54&gt;0,'Energy and charging'!$C$33&gt;($A54-1)*12,'Energy and charging'!$C$33&lt;=$A54*12)),'Energy and charging'!$C$61,0)+MAX(0,MIN(9*12,120)-MAX(96,'Energy and charging'!$C$33))/12*'Energy and charging'!$C$62*(1+'Operating costs'!$B$53)^MAX(0,$A54-1)-IF(IF('Energy and charging'!$C$45=0,$A54=0,AND($A54&gt;0,'Energy and charging'!$C$45&gt;($A54-1)*12,'Energy and charging'!$C$45&lt;=$A54*12)),'Energy and charging'!$C$44,0)+IF(IF('Energy and charging'!$C$38=0,$A54=0,AND($A54&gt;0,'Energy and charging'!$C$38&gt;($A54-1)*12,'Energy and charging'!$C$38&lt;=$A54*12)),'Energy and charging'!$C$37,0)+IF(IF('Energy and charging'!$C$41=0,$A54=0,AND($A54&gt;0,'Energy and charging'!$C$41&gt;($A54-1)*12,'Energy and charging'!$C$41&lt;=$A54*12)),'Energy and charging'!$C$16*'Energy and charging'!$C$40,0)+IF(IF('Energy and charging'!$C$33+'Energy and charging'!$C$34=0,$A54=0,AND($A54&gt;0,'Energy and charging'!$C$33+'Energy and charging'!$C$34&gt;($A54-1)*12,'Energy and charging'!$C$33+'Energy and charging'!$C$34&lt;=$A54*12)),'Energy and charging'!$C$36,0)-IF($A54=10,'Energy and charging'!$C$35,0),"n.a.")))</f>
        <v>n.a.</v>
      </c>
      <c r="H54" s="23" t="str">
        <f>IF(ISNUMBER(F54),F54+IF(AND('Energy and charging'!$B$60="Complete",IF('Energy and charging'!$B$33=0,$A54=0,AND($A54&gt;0,'Energy and charging'!$B$33&gt;($A54-1)*12,'Energy and charging'!$B$33&lt;=$A54*12))),'Energy and charging'!$B$42,0)-IF(AND('Energy and charging'!$B$60="Complete",IF('Energy and charging'!$B$43=0,$A54=0,AND($A54&gt;0,'Energy and charging'!$B$43&gt;($A54-1)*12,'Energy and charging'!$B$43&lt;=$A54*12))),'Energy and charging'!$B$42,0),"n.a.")</f>
        <v>n.a.</v>
      </c>
      <c r="I54" s="23" t="str">
        <f>IF(ISNUMBER(G54),G54+IF(AND('Energy and charging'!$C$60="Complete",IF('Energy and charging'!$C$33=0,$A54=0,AND($A54&gt;0,'Energy and charging'!$C$33&gt;($A54-1)*12,'Energy and charging'!$C$33&lt;=$A54*12))),'Energy and charging'!$C$42,0)-IF(AND('Energy and charging'!$C$60="Complete",IF('Energy and charging'!$C$43=0,$A54=0,AND($A54&gt;0,'Energy and charging'!$C$43&gt;($A54-1)*12,'Energy and charging'!$C$43&lt;=$A54*12))),'Energy and charging'!$C$42,0),"n.a.")</f>
        <v>n.a.</v>
      </c>
      <c r="J54" s="1"/>
      <c r="K54" s="1"/>
      <c r="L54" s="1"/>
      <c r="M54" s="1"/>
      <c r="N54" s="1"/>
    </row>
    <row r="55" spans="1:14" ht="24" customHeight="1">
      <c r="A55" s="1">
        <v>10</v>
      </c>
      <c r="B55" s="23">
        <f>IF(AND(COUNTIFS(Paths!$B$7:$B$406,0,Paths!$C$7:$C$406,1,Paths!$P$7:$P$406,"&lt;&gt;Complete")=0,COUNTIFS(Paths!$B$7:$B$406,0,Paths!$C$7:$C$406,1)=SUM('Fleet register'!$B$7:$B$106)),SUMIFS('Annual build'!$O$7:$O$4406,'Annual build'!$B$7:$B$4406,0,'Annual build'!$C$7:$C$4406,$A55),"n.a.")</f>
        <v>-158391.9</v>
      </c>
      <c r="C55" s="23">
        <f>IF(AND(COUNTIFS(Paths!$B$7:$B$406,1,Paths!$C$7:$C$406,1,Paths!$P$7:$P$406,"&lt;&gt;Complete")=0,COUNTIFS(Paths!$B$7:$B$406,1,Paths!$C$7:$C$406,1)=SUM('Fleet register'!$B$7:$B$106)),SUMIFS('Annual build'!$O$7:$O$4406,'Annual build'!$B$7:$B$4406,1,'Annual build'!$C$7:$C$4406,$A55),"n.a.")</f>
        <v>36908.099999999991</v>
      </c>
      <c r="D55" s="23" t="str">
        <f>IF(AND(COUNTIFS(Paths!$B$7:$B$406,2,Paths!$C$7:$C$406,1,Paths!$P$7:$P$406,"&lt;&gt;Complete")=0,COUNTIFS(Paths!$B$7:$B$406,2,Paths!$C$7:$C$406,1)=SUM('Fleet register'!$B$7:$B$106)),IF(ISNUMBER(H55),SUMIFS('Annual build'!$O$7:$O$4406,'Annual build'!$B$7:$B$4406,2,'Annual build'!$C$7:$C$4406,$A55)+H55,"n.a."),"n.a.")</f>
        <v>n.a.</v>
      </c>
      <c r="E55" s="23" t="str">
        <f>IF(AND(COUNTIFS(Paths!$B$7:$B$406,3,Paths!$C$7:$C$406,1,Paths!$P$7:$P$406,"&lt;&gt;Complete")=0,COUNTIFS(Paths!$B$7:$B$406,3,Paths!$C$7:$C$406,1)=SUM('Fleet register'!$B$7:$B$106)),IF(ISNUMBER(I55),SUMIFS('Annual build'!$O$7:$O$4406,'Annual build'!$B$7:$B$4406,3,'Annual build'!$C$7:$C$4406,$A55)+I55,"n.a."),"n.a.")</f>
        <v>n.a.</v>
      </c>
      <c r="F55" s="23" t="str">
        <f>IF('Energy and charging'!$B$60="No EV site",0,IF('Energy and charging'!$B$60="Public only",IF(IF('Energy and charging'!$B$33=0,$A55=0,AND($A55&gt;0,'Energy and charging'!$B$33&gt;($A55-1)*12,'Energy and charging'!$B$33&lt;=$A55*12)),'Energy and charging'!$B$27,0)+MAX(0,MIN(10*12,120)-MAX(108,'Energy and charging'!$B$33))/12*'Energy and charging'!$B$29*(1+'Operating costs'!$B$53)^MAX(0,$A55-1),IF('Energy and charging'!$B$60="Complete",IF(IF('Energy and charging'!$B$33=0,$A55=0,AND($A55&gt;0,'Energy and charging'!$B$33&gt;($A55-1)*12,'Energy and charging'!$B$33&lt;=$A55*12)),'Energy and charging'!$B$61,0)+MAX(0,MIN(10*12,120)-MAX(108,'Energy and charging'!$B$33))/12*'Energy and charging'!$B$62*(1+'Operating costs'!$B$53)^MAX(0,$A55-1)-IF(IF('Energy and charging'!$B$45=0,$A55=0,AND($A55&gt;0,'Energy and charging'!$B$45&gt;($A55-1)*12,'Energy and charging'!$B$45&lt;=$A55*12)),'Energy and charging'!$B$44,0)+IF(IF('Energy and charging'!$B$38=0,$A55=0,AND($A55&gt;0,'Energy and charging'!$B$38&gt;($A55-1)*12,'Energy and charging'!$B$38&lt;=$A55*12)),'Energy and charging'!$B$37,0)+IF(IF('Energy and charging'!$B$41=0,$A55=0,AND($A55&gt;0,'Energy and charging'!$B$41&gt;($A55-1)*12,'Energy and charging'!$B$41&lt;=$A55*12)),'Energy and charging'!$B$16*'Energy and charging'!$B$40,0)+IF(IF('Energy and charging'!$B$33+'Energy and charging'!$B$34=0,$A55=0,AND($A55&gt;0,'Energy and charging'!$B$33+'Energy and charging'!$B$34&gt;($A55-1)*12,'Energy and charging'!$B$33+'Energy and charging'!$B$34&lt;=$A55*12)),'Energy and charging'!$B$36,0)-IF($A55=10,'Energy and charging'!$B$35,0),"n.a.")))</f>
        <v>n.a.</v>
      </c>
      <c r="G55" s="23" t="str">
        <f>IF('Energy and charging'!$C$60="No EV site",0,IF('Energy and charging'!$C$60="Public only",IF(IF('Energy and charging'!$C$33=0,$A55=0,AND($A55&gt;0,'Energy and charging'!$C$33&gt;($A55-1)*12,'Energy and charging'!$C$33&lt;=$A55*12)),'Energy and charging'!$C$27,0)+MAX(0,MIN(10*12,120)-MAX(108,'Energy and charging'!$C$33))/12*'Energy and charging'!$C$29*(1+'Operating costs'!$B$53)^MAX(0,$A55-1),IF('Energy and charging'!$C$60="Complete",IF(IF('Energy and charging'!$C$33=0,$A55=0,AND($A55&gt;0,'Energy and charging'!$C$33&gt;($A55-1)*12,'Energy and charging'!$C$33&lt;=$A55*12)),'Energy and charging'!$C$61,0)+MAX(0,MIN(10*12,120)-MAX(108,'Energy and charging'!$C$33))/12*'Energy and charging'!$C$62*(1+'Operating costs'!$B$53)^MAX(0,$A55-1)-IF(IF('Energy and charging'!$C$45=0,$A55=0,AND($A55&gt;0,'Energy and charging'!$C$45&gt;($A55-1)*12,'Energy and charging'!$C$45&lt;=$A55*12)),'Energy and charging'!$C$44,0)+IF(IF('Energy and charging'!$C$38=0,$A55=0,AND($A55&gt;0,'Energy and charging'!$C$38&gt;($A55-1)*12,'Energy and charging'!$C$38&lt;=$A55*12)),'Energy and charging'!$C$37,0)+IF(IF('Energy and charging'!$C$41=0,$A55=0,AND($A55&gt;0,'Energy and charging'!$C$41&gt;($A55-1)*12,'Energy and charging'!$C$41&lt;=$A55*12)),'Energy and charging'!$C$16*'Energy and charging'!$C$40,0)+IF(IF('Energy and charging'!$C$33+'Energy and charging'!$C$34=0,$A55=0,AND($A55&gt;0,'Energy and charging'!$C$33+'Energy and charging'!$C$34&gt;($A55-1)*12,'Energy and charging'!$C$33+'Energy and charging'!$C$34&lt;=$A55*12)),'Energy and charging'!$C$36,0)-IF($A55=10,'Energy and charging'!$C$35,0),"n.a.")))</f>
        <v>n.a.</v>
      </c>
      <c r="H55" s="23" t="str">
        <f>IF(ISNUMBER(F55),F55+IF(AND('Energy and charging'!$B$60="Complete",IF('Energy and charging'!$B$33=0,$A55=0,AND($A55&gt;0,'Energy and charging'!$B$33&gt;($A55-1)*12,'Energy and charging'!$B$33&lt;=$A55*12))),'Energy and charging'!$B$42,0)-IF(AND('Energy and charging'!$B$60="Complete",IF('Energy and charging'!$B$43=0,$A55=0,AND($A55&gt;0,'Energy and charging'!$B$43&gt;($A55-1)*12,'Energy and charging'!$B$43&lt;=$A55*12))),'Energy and charging'!$B$42,0),"n.a.")</f>
        <v>n.a.</v>
      </c>
      <c r="I55" s="23" t="str">
        <f>IF(ISNUMBER(G55),G55+IF(AND('Energy and charging'!$C$60="Complete",IF('Energy and charging'!$C$33=0,$A55=0,AND($A55&gt;0,'Energy and charging'!$C$33&gt;($A55-1)*12,'Energy and charging'!$C$33&lt;=$A55*12))),'Energy and charging'!$C$42,0)-IF(AND('Energy and charging'!$C$60="Complete",IF('Energy and charging'!$C$43=0,$A55=0,AND($A55&gt;0,'Energy and charging'!$C$43&gt;($A55-1)*12,'Energy and charging'!$C$43&lt;=$A55*12))),'Energy and charging'!$C$42,0),"n.a.")</f>
        <v>n.a.</v>
      </c>
      <c r="J55" s="1"/>
      <c r="K55" s="1"/>
      <c r="L55" s="1"/>
      <c r="M55" s="1"/>
      <c r="N55" s="1"/>
    </row>
    <row r="56" spans="1:14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24" customHeight="1">
      <c r="A58" s="1" t="s">
        <v>46</v>
      </c>
      <c r="B58" s="15" t="s">
        <v>47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48" customHeight="1">
      <c r="A60" s="4" t="s">
        <v>48</v>
      </c>
      <c r="B60" s="4" t="s">
        <v>49</v>
      </c>
      <c r="C60" s="4" t="s">
        <v>50</v>
      </c>
      <c r="D60" s="4" t="s">
        <v>51</v>
      </c>
      <c r="E60" s="4" t="s">
        <v>52</v>
      </c>
      <c r="F60" s="1"/>
      <c r="G60" s="1"/>
      <c r="H60" s="1"/>
      <c r="I60" s="1"/>
      <c r="J60" s="1"/>
      <c r="K60" s="1"/>
      <c r="L60" s="1"/>
      <c r="M60" s="1"/>
      <c r="N60" s="1"/>
    </row>
    <row r="61" spans="1:14" ht="24" customHeight="1">
      <c r="A61" s="1" t="s">
        <v>53</v>
      </c>
      <c r="B61" s="23">
        <f>IF(COUNTIFS(Paths!$A$7:$A$406,$B$58,Paths!$B$7:$B$406,0,Paths!$C$7:$C$406,1,Paths!$P$7:$P$406,"Complete")=1,SUMIFS('Annual build'!$N$7:$N$4406,'Annual build'!$A$7:$A$4406,$B$58,'Annual build'!$B$7:$B$4406,0),"n.a.")</f>
        <v>355213.49999999988</v>
      </c>
      <c r="C61" s="23">
        <f>IF(COUNTIFS(Paths!$A$7:$A$406,$B$58,Paths!$B$7:$B$406,1,Paths!$C$7:$C$406,1,Paths!$P$7:$P$406,"Complete")=1,SUMIFS('Annual build'!$N$7:$N$4406,'Annual build'!$A$7:$A$4406,$B$58,'Annual build'!$B$7:$B$4406,1),"n.a.")</f>
        <v>350513.49999999988</v>
      </c>
      <c r="D61" s="23">
        <f>IF(COUNTIFS(Paths!$A$7:$A$406,$B$58,Paths!$B$7:$B$406,2,Paths!$C$7:$C$406,1,Paths!$P$7:$P$406,"Complete")=1,SUMIFS('Annual build'!$N$7:$N$4406,'Annual build'!$A$7:$A$4406,$B$58,'Annual build'!$B$7:$B$4406,2),"n.a.")</f>
        <v>320168.51517552667</v>
      </c>
      <c r="E61" s="23">
        <f>IF(COUNTIFS(Paths!$A$7:$A$406,$B$58,Paths!$B$7:$B$406,3,Paths!$C$7:$C$406,1,Paths!$P$7:$P$406,"Complete")=1,SUMIFS('Annual build'!$N$7:$N$4406,'Annual build'!$A$7:$A$4406,$B$58,'Annual build'!$B$7:$B$4406,3),"n.a.")</f>
        <v>320168.51517552667</v>
      </c>
      <c r="F61" s="1"/>
      <c r="G61" s="1"/>
      <c r="H61" s="1"/>
      <c r="I61" s="1"/>
      <c r="J61" s="1"/>
      <c r="K61" s="1"/>
      <c r="L61" s="1"/>
      <c r="M61" s="1"/>
      <c r="N61" s="1"/>
    </row>
    <row r="62" spans="1:14" ht="24" customHeight="1">
      <c r="A62" s="1" t="s">
        <v>54</v>
      </c>
      <c r="B62" s="24">
        <f>IF(AND(ISNUMBER(B61),B61&gt;0,ISNUMBER(B61)),(B61-B61)/B61,"n.a.")</f>
        <v>0</v>
      </c>
      <c r="C62" s="24">
        <f>IF(AND(ISNUMBER(B61),B61&gt;0,ISNUMBER(C61)),(B61-C61)/B61,"n.a.")</f>
        <v>1.3231479096374439E-2</v>
      </c>
      <c r="D62" s="24">
        <f>IF(AND(ISNUMBER(B61),B61&gt;0,ISNUMBER(D61)),(B61-D61)/B61,"n.a.")</f>
        <v>9.8658932795271645E-2</v>
      </c>
      <c r="E62" s="24">
        <f>IF(AND(ISNUMBER(B61),B61&gt;0,ISNUMBER(E61)),(B61-E61)/B61,"n.a.")</f>
        <v>9.8658932795271645E-2</v>
      </c>
      <c r="F62" s="1"/>
      <c r="G62" s="1"/>
      <c r="H62" s="1"/>
      <c r="I62" s="1"/>
      <c r="J62" s="1"/>
      <c r="K62" s="1"/>
      <c r="L62" s="1"/>
      <c r="M62" s="1"/>
      <c r="N62" s="1"/>
    </row>
    <row r="63" spans="1:14" ht="24" customHeight="1">
      <c r="A63" s="1" t="s">
        <v>55</v>
      </c>
      <c r="B63" s="22">
        <f>IF(AND(ISNUMBER(C61),C61&gt;0,ISNUMBER(B61)),(C61-B61)/C61,"n.a.")</f>
        <v>-1.3408898658682195E-2</v>
      </c>
      <c r="C63" s="22">
        <f>IF(AND(ISNUMBER(C61),C61&gt;0,ISNUMBER(C61)),(C61-C61)/C61,"n.a.")</f>
        <v>0</v>
      </c>
      <c r="D63" s="22">
        <f>IF(AND(ISNUMBER(C61),C61&gt;0,ISNUMBER(D61)),(C61-D61)/C61,"n.a.")</f>
        <v>8.6572941768214978E-2</v>
      </c>
      <c r="E63" s="22">
        <f>IF(AND(ISNUMBER(C61),C61&gt;0,ISNUMBER(E61)),(C61-E61)/C61,"n.a.")</f>
        <v>8.6572941768214978E-2</v>
      </c>
      <c r="F63" s="1"/>
      <c r="G63" s="1"/>
      <c r="H63" s="1"/>
      <c r="I63" s="1"/>
      <c r="J63" s="1"/>
      <c r="K63" s="1"/>
      <c r="L63" s="1"/>
      <c r="M63" s="1"/>
      <c r="N63" s="1"/>
    </row>
    <row r="64" spans="1:14" ht="25.9" customHeight="1">
      <c r="A64" s="1" t="s">
        <v>56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24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24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25.9" customHeight="1">
      <c r="A68" s="1" t="s">
        <v>57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24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48" customHeight="1">
      <c r="A70" s="4" t="s">
        <v>2</v>
      </c>
      <c r="B70" s="4" t="s">
        <v>49</v>
      </c>
      <c r="C70" s="4" t="s">
        <v>4</v>
      </c>
      <c r="D70" s="4" t="s">
        <v>5</v>
      </c>
      <c r="E70" s="4" t="s">
        <v>6</v>
      </c>
      <c r="F70" s="1"/>
      <c r="G70" s="1"/>
      <c r="H70" s="1"/>
      <c r="I70" s="1"/>
      <c r="J70" s="1"/>
      <c r="K70" s="1"/>
      <c r="L70" s="1"/>
      <c r="M70" s="1"/>
      <c r="N70" s="1"/>
    </row>
    <row r="71" spans="1:14" ht="24" customHeight="1">
      <c r="A71" s="1" t="s">
        <v>58</v>
      </c>
      <c r="B71" s="23">
        <f>IF(AND(ISNUMBER(C14),ISNUMBER(B14)),C14-B14,"n.a.")</f>
        <v>21300</v>
      </c>
      <c r="C71" s="23">
        <f>IF(AND(ISNUMBER(C14),ISNUMBER(C14)),C14-C14,"n.a.")</f>
        <v>0</v>
      </c>
      <c r="D71" s="23" t="str">
        <f>IF(AND(ISNUMBER(C14),ISNUMBER(D14)),C14-D14,"n.a.")</f>
        <v>n.a.</v>
      </c>
      <c r="E71" s="23" t="str">
        <f>IF(AND(ISNUMBER(C14),ISNUMBER(E14)),C14-E14,"n.a.")</f>
        <v>n.a.</v>
      </c>
      <c r="F71" s="1"/>
      <c r="G71" s="1"/>
      <c r="H71" s="1"/>
      <c r="I71" s="1"/>
      <c r="J71" s="1"/>
      <c r="K71" s="1"/>
      <c r="L71" s="1"/>
      <c r="M71" s="1"/>
      <c r="N71" s="1"/>
    </row>
    <row r="72" spans="1:14" ht="24" customHeight="1">
      <c r="A72" s="1" t="s">
        <v>59</v>
      </c>
      <c r="B72" s="24">
        <f>IF(AND(ISNUMBER(B71),ISNUMBER(C14),C14&gt;0),B71/C14,"n.a.")</f>
        <v>1.0127997923047175E-2</v>
      </c>
      <c r="C72" s="24">
        <f>IF(AND(ISNUMBER(C71),ISNUMBER(C14),C14&gt;0),C71/C14,"n.a.")</f>
        <v>0</v>
      </c>
      <c r="D72" s="24" t="str">
        <f>IF(AND(ISNUMBER(D71),ISNUMBER(C14),C14&gt;0),D71/C14,"n.a.")</f>
        <v>n.a.</v>
      </c>
      <c r="E72" s="24" t="str">
        <f>IF(AND(ISNUMBER(E71),ISNUMBER(C14),C14&gt;0),E71/C14,"n.a.")</f>
        <v>n.a.</v>
      </c>
      <c r="F72" s="1"/>
      <c r="G72" s="1"/>
      <c r="H72" s="1"/>
      <c r="I72" s="1"/>
      <c r="J72" s="1"/>
      <c r="K72" s="1"/>
      <c r="L72" s="1"/>
      <c r="M72" s="1"/>
      <c r="N72" s="1"/>
    </row>
    <row r="73" spans="1:14" ht="24" customHeight="1">
      <c r="A73" s="1" t="s">
        <v>60</v>
      </c>
      <c r="B73" s="23">
        <f>IF(AND(ISNUMBER(C14),ISNUMBER(B14)),0.85*C14-B14,"n.a.")</f>
        <v>-294162.15000000037</v>
      </c>
      <c r="C73" s="23">
        <f>IF(AND(ISNUMBER(C14),ISNUMBER(C14)),0.85*C14-C14,"n.a.")</f>
        <v>-315462.15000000037</v>
      </c>
      <c r="D73" s="23" t="str">
        <f>IF(AND(ISNUMBER(C14),ISNUMBER(D14)),0.85*C14-D14,"n.a.")</f>
        <v>n.a.</v>
      </c>
      <c r="E73" s="23" t="str">
        <f>IF(AND(ISNUMBER(C14),ISNUMBER(E14)),0.85*C14-E14,"n.a.")</f>
        <v>n.a.</v>
      </c>
      <c r="F73" s="1"/>
      <c r="G73" s="1"/>
      <c r="H73" s="1"/>
      <c r="I73" s="1"/>
      <c r="J73" s="1"/>
      <c r="K73" s="1"/>
      <c r="L73" s="1"/>
      <c r="M73" s="1"/>
      <c r="N73" s="1"/>
    </row>
    <row r="74" spans="1:14" ht="24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24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</sheetData>
  <conditionalFormatting sqref="B22:E24">
    <cfRule type="containsText" dxfId="4" priority="1" operator="containsText" text="Missing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F9AB2"/>
  </sheetPr>
  <dimension ref="A1:S10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RowHeight="14.25"/>
  <cols>
    <col min="1" max="2" width="12" customWidth="1"/>
    <col min="3" max="4" width="24" customWidth="1"/>
    <col min="5" max="16" width="18" customWidth="1"/>
    <col min="17" max="17" width="26" customWidth="1"/>
    <col min="18" max="19" width="18" customWidth="1"/>
  </cols>
  <sheetData>
    <row r="1" spans="1:19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4" customHeight="1">
      <c r="A2" s="2" t="s">
        <v>61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2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25.9" customHeight="1">
      <c r="A4" s="1" t="s">
        <v>62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2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48" customHeight="1">
      <c r="A6" s="4" t="s">
        <v>63</v>
      </c>
      <c r="B6" s="4" t="s">
        <v>64</v>
      </c>
      <c r="C6" s="4" t="s">
        <v>65</v>
      </c>
      <c r="D6" s="4" t="s">
        <v>66</v>
      </c>
      <c r="E6" s="4" t="s">
        <v>67</v>
      </c>
      <c r="F6" s="4" t="s">
        <v>68</v>
      </c>
      <c r="G6" s="4" t="s">
        <v>69</v>
      </c>
      <c r="H6" s="4" t="s">
        <v>70</v>
      </c>
      <c r="I6" s="4" t="s">
        <v>71</v>
      </c>
      <c r="J6" s="4" t="s">
        <v>72</v>
      </c>
      <c r="K6" s="4" t="s">
        <v>73</v>
      </c>
      <c r="L6" s="4" t="s">
        <v>74</v>
      </c>
      <c r="M6" s="4" t="s">
        <v>75</v>
      </c>
      <c r="N6" s="4" t="s">
        <v>76</v>
      </c>
      <c r="O6" s="4" t="s">
        <v>77</v>
      </c>
      <c r="P6" s="4" t="s">
        <v>78</v>
      </c>
      <c r="Q6" s="4" t="s">
        <v>79</v>
      </c>
      <c r="R6" s="4" t="s">
        <v>80</v>
      </c>
      <c r="S6" s="4" t="s">
        <v>81</v>
      </c>
    </row>
    <row r="7" spans="1:19" ht="24" customHeight="1">
      <c r="A7" s="7" t="s">
        <v>47</v>
      </c>
      <c r="B7" s="7">
        <v>1</v>
      </c>
      <c r="C7" s="7" t="s">
        <v>82</v>
      </c>
      <c r="D7" s="7" t="s">
        <v>83</v>
      </c>
      <c r="E7" s="7">
        <v>150</v>
      </c>
      <c r="F7" s="7">
        <v>300</v>
      </c>
      <c r="G7" s="7">
        <v>165</v>
      </c>
      <c r="H7" s="7">
        <v>1200</v>
      </c>
      <c r="I7" s="7">
        <v>24</v>
      </c>
      <c r="J7" s="7">
        <v>12</v>
      </c>
      <c r="K7" s="8">
        <v>24000</v>
      </c>
      <c r="L7" s="8">
        <v>10000</v>
      </c>
      <c r="M7" s="8">
        <v>60000</v>
      </c>
      <c r="N7" s="10">
        <v>120</v>
      </c>
      <c r="O7" s="8">
        <v>0</v>
      </c>
      <c r="P7" s="8">
        <v>0</v>
      </c>
      <c r="Q7" s="7" t="s">
        <v>84</v>
      </c>
      <c r="R7" s="7">
        <v>9</v>
      </c>
      <c r="S7" s="9"/>
    </row>
    <row r="8" spans="1:19" ht="24" customHeight="1">
      <c r="A8" s="7" t="s">
        <v>85</v>
      </c>
      <c r="B8" s="7">
        <v>1</v>
      </c>
      <c r="C8" s="7" t="s">
        <v>82</v>
      </c>
      <c r="D8" s="7" t="s">
        <v>83</v>
      </c>
      <c r="E8" s="7">
        <v>150</v>
      </c>
      <c r="F8" s="7">
        <v>300</v>
      </c>
      <c r="G8" s="7">
        <v>165</v>
      </c>
      <c r="H8" s="7">
        <v>1200</v>
      </c>
      <c r="I8" s="7">
        <v>24</v>
      </c>
      <c r="J8" s="7">
        <v>24</v>
      </c>
      <c r="K8" s="8">
        <v>30000</v>
      </c>
      <c r="L8" s="8">
        <v>10000</v>
      </c>
      <c r="M8" s="8">
        <v>60000</v>
      </c>
      <c r="N8" s="10">
        <v>120</v>
      </c>
      <c r="O8" s="8">
        <v>0</v>
      </c>
      <c r="P8" s="8">
        <v>0</v>
      </c>
      <c r="Q8" s="7" t="s">
        <v>86</v>
      </c>
      <c r="R8" s="7">
        <v>8</v>
      </c>
      <c r="S8" s="9"/>
    </row>
    <row r="9" spans="1:19" ht="24" customHeight="1">
      <c r="A9" s="7" t="s">
        <v>87</v>
      </c>
      <c r="B9" s="7">
        <v>1</v>
      </c>
      <c r="C9" s="7" t="s">
        <v>82</v>
      </c>
      <c r="D9" s="7" t="s">
        <v>83</v>
      </c>
      <c r="E9" s="7">
        <v>150</v>
      </c>
      <c r="F9" s="7">
        <v>300</v>
      </c>
      <c r="G9" s="7">
        <v>165</v>
      </c>
      <c r="H9" s="7">
        <v>1200</v>
      </c>
      <c r="I9" s="7">
        <v>24</v>
      </c>
      <c r="J9" s="7">
        <v>36</v>
      </c>
      <c r="K9" s="8">
        <v>36000</v>
      </c>
      <c r="L9" s="8">
        <v>10000</v>
      </c>
      <c r="M9" s="8">
        <v>60000</v>
      </c>
      <c r="N9" s="10">
        <v>120</v>
      </c>
      <c r="O9" s="8">
        <v>0</v>
      </c>
      <c r="P9" s="8">
        <v>0</v>
      </c>
      <c r="Q9" s="7" t="s">
        <v>88</v>
      </c>
      <c r="R9" s="7">
        <v>7</v>
      </c>
      <c r="S9" s="9"/>
    </row>
    <row r="10" spans="1:19" ht="24" customHeight="1">
      <c r="A10" s="7" t="s">
        <v>89</v>
      </c>
      <c r="B10" s="7">
        <v>1</v>
      </c>
      <c r="C10" s="7" t="s">
        <v>82</v>
      </c>
      <c r="D10" s="7" t="s">
        <v>83</v>
      </c>
      <c r="E10" s="7">
        <v>150</v>
      </c>
      <c r="F10" s="7">
        <v>300</v>
      </c>
      <c r="G10" s="7">
        <v>165</v>
      </c>
      <c r="H10" s="7">
        <v>1200</v>
      </c>
      <c r="I10" s="7">
        <v>24</v>
      </c>
      <c r="J10" s="7">
        <v>48</v>
      </c>
      <c r="K10" s="8">
        <v>42000</v>
      </c>
      <c r="L10" s="8">
        <v>10000</v>
      </c>
      <c r="M10" s="8">
        <v>60000</v>
      </c>
      <c r="N10" s="10">
        <v>120</v>
      </c>
      <c r="O10" s="8">
        <v>0</v>
      </c>
      <c r="P10" s="8">
        <v>0</v>
      </c>
      <c r="Q10" s="7" t="s">
        <v>90</v>
      </c>
      <c r="R10" s="7">
        <v>6</v>
      </c>
      <c r="S10" s="9"/>
    </row>
    <row r="11" spans="1:19" ht="24" customHeight="1">
      <c r="A11" s="7" t="s">
        <v>91</v>
      </c>
      <c r="B11" s="7">
        <v>1</v>
      </c>
      <c r="C11" s="7" t="s">
        <v>82</v>
      </c>
      <c r="D11" s="7" t="s">
        <v>83</v>
      </c>
      <c r="E11" s="7">
        <v>150</v>
      </c>
      <c r="F11" s="7">
        <v>300</v>
      </c>
      <c r="G11" s="7">
        <v>165</v>
      </c>
      <c r="H11" s="7">
        <v>1200</v>
      </c>
      <c r="I11" s="7">
        <v>24</v>
      </c>
      <c r="J11" s="7">
        <v>60</v>
      </c>
      <c r="K11" s="8">
        <v>48000</v>
      </c>
      <c r="L11" s="8">
        <v>10000</v>
      </c>
      <c r="M11" s="8">
        <v>60000</v>
      </c>
      <c r="N11" s="10">
        <v>120</v>
      </c>
      <c r="O11" s="8">
        <v>0</v>
      </c>
      <c r="P11" s="8">
        <v>0</v>
      </c>
      <c r="Q11" s="7" t="s">
        <v>92</v>
      </c>
      <c r="R11" s="7">
        <v>5</v>
      </c>
      <c r="S11" s="9"/>
    </row>
    <row r="12" spans="1:19" ht="24" customHeight="1">
      <c r="A12" s="7" t="s">
        <v>93</v>
      </c>
      <c r="B12" s="7">
        <v>1</v>
      </c>
      <c r="C12" s="7" t="s">
        <v>82</v>
      </c>
      <c r="D12" s="7" t="s">
        <v>83</v>
      </c>
      <c r="E12" s="7">
        <v>150</v>
      </c>
      <c r="F12" s="7">
        <v>300</v>
      </c>
      <c r="G12" s="7">
        <v>165</v>
      </c>
      <c r="H12" s="7">
        <v>1200</v>
      </c>
      <c r="I12" s="7">
        <v>24</v>
      </c>
      <c r="J12" s="7">
        <v>72</v>
      </c>
      <c r="K12" s="8">
        <v>54000</v>
      </c>
      <c r="L12" s="8">
        <v>10000</v>
      </c>
      <c r="M12" s="8">
        <v>60000</v>
      </c>
      <c r="N12" s="10">
        <v>120</v>
      </c>
      <c r="O12" s="8">
        <v>0</v>
      </c>
      <c r="P12" s="8">
        <v>0</v>
      </c>
      <c r="Q12" s="7" t="s">
        <v>94</v>
      </c>
      <c r="R12" s="7">
        <v>4</v>
      </c>
      <c r="S12" s="9"/>
    </row>
    <row r="13" spans="1:19" ht="24" customHeight="1">
      <c r="A13" s="7" t="s">
        <v>95</v>
      </c>
      <c r="B13" s="7">
        <v>0</v>
      </c>
      <c r="C13" s="7"/>
      <c r="D13" s="7"/>
      <c r="E13" s="7"/>
      <c r="F13" s="7"/>
      <c r="G13" s="7"/>
      <c r="H13" s="7"/>
      <c r="I13" s="7"/>
      <c r="J13" s="7"/>
      <c r="K13" s="8"/>
      <c r="L13" s="8"/>
      <c r="M13" s="8"/>
      <c r="N13" s="10"/>
      <c r="O13" s="8"/>
      <c r="P13" s="8"/>
      <c r="Q13" s="7"/>
      <c r="R13" s="7"/>
      <c r="S13" s="9"/>
    </row>
    <row r="14" spans="1:19" ht="24" customHeight="1">
      <c r="A14" s="7" t="s">
        <v>96</v>
      </c>
      <c r="B14" s="7">
        <v>0</v>
      </c>
      <c r="C14" s="7"/>
      <c r="D14" s="7"/>
      <c r="E14" s="7"/>
      <c r="F14" s="7"/>
      <c r="G14" s="7"/>
      <c r="H14" s="7"/>
      <c r="I14" s="7"/>
      <c r="J14" s="7"/>
      <c r="K14" s="8"/>
      <c r="L14" s="8"/>
      <c r="M14" s="8"/>
      <c r="N14" s="10"/>
      <c r="O14" s="8"/>
      <c r="P14" s="8"/>
      <c r="Q14" s="7"/>
      <c r="R14" s="7"/>
      <c r="S14" s="9"/>
    </row>
    <row r="15" spans="1:19" ht="24" customHeight="1">
      <c r="A15" s="7" t="s">
        <v>97</v>
      </c>
      <c r="B15" s="7">
        <v>0</v>
      </c>
      <c r="C15" s="7"/>
      <c r="D15" s="7"/>
      <c r="E15" s="7"/>
      <c r="F15" s="7"/>
      <c r="G15" s="7"/>
      <c r="H15" s="7"/>
      <c r="I15" s="7"/>
      <c r="J15" s="7"/>
      <c r="K15" s="8"/>
      <c r="L15" s="8"/>
      <c r="M15" s="8"/>
      <c r="N15" s="10"/>
      <c r="O15" s="8"/>
      <c r="P15" s="8"/>
      <c r="Q15" s="7"/>
      <c r="R15" s="7"/>
      <c r="S15" s="9"/>
    </row>
    <row r="16" spans="1:19" ht="24" customHeight="1">
      <c r="A16" s="7" t="s">
        <v>98</v>
      </c>
      <c r="B16" s="7">
        <v>0</v>
      </c>
      <c r="C16" s="7"/>
      <c r="D16" s="7"/>
      <c r="E16" s="7"/>
      <c r="F16" s="7"/>
      <c r="G16" s="7"/>
      <c r="H16" s="7"/>
      <c r="I16" s="7"/>
      <c r="J16" s="7"/>
      <c r="K16" s="8"/>
      <c r="L16" s="8"/>
      <c r="M16" s="8"/>
      <c r="N16" s="10"/>
      <c r="O16" s="8"/>
      <c r="P16" s="8"/>
      <c r="Q16" s="7"/>
      <c r="R16" s="7"/>
      <c r="S16" s="9"/>
    </row>
    <row r="17" spans="1:19" ht="24" customHeight="1">
      <c r="A17" s="7" t="s">
        <v>99</v>
      </c>
      <c r="B17" s="7">
        <v>0</v>
      </c>
      <c r="C17" s="7"/>
      <c r="D17" s="7"/>
      <c r="E17" s="7"/>
      <c r="F17" s="7"/>
      <c r="G17" s="7"/>
      <c r="H17" s="7"/>
      <c r="I17" s="7"/>
      <c r="J17" s="7"/>
      <c r="K17" s="8"/>
      <c r="L17" s="8"/>
      <c r="M17" s="8"/>
      <c r="N17" s="10"/>
      <c r="O17" s="8"/>
      <c r="P17" s="8"/>
      <c r="Q17" s="7"/>
      <c r="R17" s="7"/>
      <c r="S17" s="9"/>
    </row>
    <row r="18" spans="1:19" ht="24" customHeight="1">
      <c r="A18" s="7" t="s">
        <v>100</v>
      </c>
      <c r="B18" s="7">
        <v>0</v>
      </c>
      <c r="C18" s="7"/>
      <c r="D18" s="7"/>
      <c r="E18" s="7"/>
      <c r="F18" s="7"/>
      <c r="G18" s="7"/>
      <c r="H18" s="7"/>
      <c r="I18" s="7"/>
      <c r="J18" s="7"/>
      <c r="K18" s="8"/>
      <c r="L18" s="8"/>
      <c r="M18" s="8"/>
      <c r="N18" s="10"/>
      <c r="O18" s="8"/>
      <c r="P18" s="8"/>
      <c r="Q18" s="7"/>
      <c r="R18" s="7"/>
      <c r="S18" s="9"/>
    </row>
    <row r="19" spans="1:19" ht="24" customHeight="1">
      <c r="A19" s="7" t="s">
        <v>101</v>
      </c>
      <c r="B19" s="7">
        <v>0</v>
      </c>
      <c r="C19" s="7"/>
      <c r="D19" s="7"/>
      <c r="E19" s="7"/>
      <c r="F19" s="7"/>
      <c r="G19" s="7"/>
      <c r="H19" s="7"/>
      <c r="I19" s="7"/>
      <c r="J19" s="7"/>
      <c r="K19" s="8"/>
      <c r="L19" s="8"/>
      <c r="M19" s="8"/>
      <c r="N19" s="10"/>
      <c r="O19" s="8"/>
      <c r="P19" s="8"/>
      <c r="Q19" s="7"/>
      <c r="R19" s="7"/>
      <c r="S19" s="9"/>
    </row>
    <row r="20" spans="1:19" ht="24" customHeight="1">
      <c r="A20" s="7" t="s">
        <v>102</v>
      </c>
      <c r="B20" s="7">
        <v>0</v>
      </c>
      <c r="C20" s="7"/>
      <c r="D20" s="7"/>
      <c r="E20" s="7"/>
      <c r="F20" s="7"/>
      <c r="G20" s="7"/>
      <c r="H20" s="7"/>
      <c r="I20" s="7"/>
      <c r="J20" s="7"/>
      <c r="K20" s="8"/>
      <c r="L20" s="8"/>
      <c r="M20" s="8"/>
      <c r="N20" s="10"/>
      <c r="O20" s="8"/>
      <c r="P20" s="8"/>
      <c r="Q20" s="7"/>
      <c r="R20" s="7"/>
      <c r="S20" s="9"/>
    </row>
    <row r="21" spans="1:19" ht="24" customHeight="1">
      <c r="A21" s="7" t="s">
        <v>103</v>
      </c>
      <c r="B21" s="7">
        <v>0</v>
      </c>
      <c r="C21" s="7"/>
      <c r="D21" s="7"/>
      <c r="E21" s="7"/>
      <c r="F21" s="7"/>
      <c r="G21" s="7"/>
      <c r="H21" s="7"/>
      <c r="I21" s="7"/>
      <c r="J21" s="7"/>
      <c r="K21" s="8"/>
      <c r="L21" s="8"/>
      <c r="M21" s="8"/>
      <c r="N21" s="10"/>
      <c r="O21" s="8"/>
      <c r="P21" s="8"/>
      <c r="Q21" s="7"/>
      <c r="R21" s="7"/>
      <c r="S21" s="9"/>
    </row>
    <row r="22" spans="1:19" ht="24" customHeight="1">
      <c r="A22" s="7" t="s">
        <v>104</v>
      </c>
      <c r="B22" s="7">
        <v>0</v>
      </c>
      <c r="C22" s="7"/>
      <c r="D22" s="7"/>
      <c r="E22" s="7"/>
      <c r="F22" s="7"/>
      <c r="G22" s="7"/>
      <c r="H22" s="7"/>
      <c r="I22" s="7"/>
      <c r="J22" s="7"/>
      <c r="K22" s="8"/>
      <c r="L22" s="8"/>
      <c r="M22" s="8"/>
      <c r="N22" s="10"/>
      <c r="O22" s="8"/>
      <c r="P22" s="8"/>
      <c r="Q22" s="7"/>
      <c r="R22" s="7"/>
      <c r="S22" s="9"/>
    </row>
    <row r="23" spans="1:19" ht="24" customHeight="1">
      <c r="A23" s="7" t="s">
        <v>105</v>
      </c>
      <c r="B23" s="7">
        <v>0</v>
      </c>
      <c r="C23" s="7"/>
      <c r="D23" s="7"/>
      <c r="E23" s="7"/>
      <c r="F23" s="7"/>
      <c r="G23" s="7"/>
      <c r="H23" s="7"/>
      <c r="I23" s="7"/>
      <c r="J23" s="7"/>
      <c r="K23" s="8"/>
      <c r="L23" s="8"/>
      <c r="M23" s="8"/>
      <c r="N23" s="10"/>
      <c r="O23" s="8"/>
      <c r="P23" s="8"/>
      <c r="Q23" s="7"/>
      <c r="R23" s="7"/>
      <c r="S23" s="9"/>
    </row>
    <row r="24" spans="1:19" ht="24" customHeight="1">
      <c r="A24" s="7" t="s">
        <v>106</v>
      </c>
      <c r="B24" s="7">
        <v>0</v>
      </c>
      <c r="C24" s="7"/>
      <c r="D24" s="7"/>
      <c r="E24" s="7"/>
      <c r="F24" s="7"/>
      <c r="G24" s="7"/>
      <c r="H24" s="7"/>
      <c r="I24" s="7"/>
      <c r="J24" s="7"/>
      <c r="K24" s="8"/>
      <c r="L24" s="8"/>
      <c r="M24" s="8"/>
      <c r="N24" s="10"/>
      <c r="O24" s="8"/>
      <c r="P24" s="8"/>
      <c r="Q24" s="7"/>
      <c r="R24" s="7"/>
      <c r="S24" s="9"/>
    </row>
    <row r="25" spans="1:19" ht="24" customHeight="1">
      <c r="A25" s="7" t="s">
        <v>107</v>
      </c>
      <c r="B25" s="7">
        <v>0</v>
      </c>
      <c r="C25" s="7"/>
      <c r="D25" s="7"/>
      <c r="E25" s="7"/>
      <c r="F25" s="7"/>
      <c r="G25" s="7"/>
      <c r="H25" s="7"/>
      <c r="I25" s="7"/>
      <c r="J25" s="7"/>
      <c r="K25" s="8"/>
      <c r="L25" s="8"/>
      <c r="M25" s="8"/>
      <c r="N25" s="10"/>
      <c r="O25" s="8"/>
      <c r="P25" s="8"/>
      <c r="Q25" s="7"/>
      <c r="R25" s="7"/>
      <c r="S25" s="9"/>
    </row>
    <row r="26" spans="1:19" ht="24" customHeight="1">
      <c r="A26" s="7" t="s">
        <v>108</v>
      </c>
      <c r="B26" s="7">
        <v>0</v>
      </c>
      <c r="C26" s="7"/>
      <c r="D26" s="7"/>
      <c r="E26" s="7"/>
      <c r="F26" s="7"/>
      <c r="G26" s="7"/>
      <c r="H26" s="7"/>
      <c r="I26" s="7"/>
      <c r="J26" s="7"/>
      <c r="K26" s="8"/>
      <c r="L26" s="8"/>
      <c r="M26" s="8"/>
      <c r="N26" s="10"/>
      <c r="O26" s="8"/>
      <c r="P26" s="8"/>
      <c r="Q26" s="7"/>
      <c r="R26" s="7"/>
      <c r="S26" s="9"/>
    </row>
    <row r="27" spans="1:19" ht="24" customHeight="1">
      <c r="A27" s="7" t="s">
        <v>109</v>
      </c>
      <c r="B27" s="7">
        <v>0</v>
      </c>
      <c r="C27" s="7"/>
      <c r="D27" s="7"/>
      <c r="E27" s="7"/>
      <c r="F27" s="7"/>
      <c r="G27" s="7"/>
      <c r="H27" s="7"/>
      <c r="I27" s="7"/>
      <c r="J27" s="7"/>
      <c r="K27" s="8"/>
      <c r="L27" s="8"/>
      <c r="M27" s="8"/>
      <c r="N27" s="10"/>
      <c r="O27" s="8"/>
      <c r="P27" s="8"/>
      <c r="Q27" s="7"/>
      <c r="R27" s="7"/>
      <c r="S27" s="9"/>
    </row>
    <row r="28" spans="1:19" ht="24" customHeight="1">
      <c r="A28" s="7" t="s">
        <v>110</v>
      </c>
      <c r="B28" s="7">
        <v>0</v>
      </c>
      <c r="C28" s="7"/>
      <c r="D28" s="7"/>
      <c r="E28" s="7"/>
      <c r="F28" s="7"/>
      <c r="G28" s="7"/>
      <c r="H28" s="7"/>
      <c r="I28" s="7"/>
      <c r="J28" s="7"/>
      <c r="K28" s="8"/>
      <c r="L28" s="8"/>
      <c r="M28" s="8"/>
      <c r="N28" s="10"/>
      <c r="O28" s="8"/>
      <c r="P28" s="8"/>
      <c r="Q28" s="7"/>
      <c r="R28" s="7"/>
      <c r="S28" s="9"/>
    </row>
    <row r="29" spans="1:19" ht="24" customHeight="1">
      <c r="A29" s="7" t="s">
        <v>111</v>
      </c>
      <c r="B29" s="7">
        <v>0</v>
      </c>
      <c r="C29" s="7"/>
      <c r="D29" s="7"/>
      <c r="E29" s="7"/>
      <c r="F29" s="7"/>
      <c r="G29" s="7"/>
      <c r="H29" s="7"/>
      <c r="I29" s="7"/>
      <c r="J29" s="7"/>
      <c r="K29" s="8"/>
      <c r="L29" s="8"/>
      <c r="M29" s="8"/>
      <c r="N29" s="10"/>
      <c r="O29" s="8"/>
      <c r="P29" s="8"/>
      <c r="Q29" s="7"/>
      <c r="R29" s="7"/>
      <c r="S29" s="9"/>
    </row>
    <row r="30" spans="1:19" ht="24" customHeight="1">
      <c r="A30" s="7" t="s">
        <v>112</v>
      </c>
      <c r="B30" s="7">
        <v>0</v>
      </c>
      <c r="C30" s="7"/>
      <c r="D30" s="7"/>
      <c r="E30" s="7"/>
      <c r="F30" s="7"/>
      <c r="G30" s="7"/>
      <c r="H30" s="7"/>
      <c r="I30" s="7"/>
      <c r="J30" s="7"/>
      <c r="K30" s="8"/>
      <c r="L30" s="8"/>
      <c r="M30" s="8"/>
      <c r="N30" s="10"/>
      <c r="O30" s="8"/>
      <c r="P30" s="8"/>
      <c r="Q30" s="7"/>
      <c r="R30" s="7"/>
      <c r="S30" s="9"/>
    </row>
    <row r="31" spans="1:19" ht="24" customHeight="1">
      <c r="A31" s="7" t="s">
        <v>113</v>
      </c>
      <c r="B31" s="7">
        <v>0</v>
      </c>
      <c r="C31" s="7"/>
      <c r="D31" s="7"/>
      <c r="E31" s="7"/>
      <c r="F31" s="7"/>
      <c r="G31" s="7"/>
      <c r="H31" s="7"/>
      <c r="I31" s="7"/>
      <c r="J31" s="7"/>
      <c r="K31" s="8"/>
      <c r="L31" s="8"/>
      <c r="M31" s="8"/>
      <c r="N31" s="10"/>
      <c r="O31" s="8"/>
      <c r="P31" s="8"/>
      <c r="Q31" s="7"/>
      <c r="R31" s="7"/>
      <c r="S31" s="9"/>
    </row>
    <row r="32" spans="1:19" ht="24" customHeight="1">
      <c r="A32" s="7" t="s">
        <v>114</v>
      </c>
      <c r="B32" s="7">
        <v>0</v>
      </c>
      <c r="C32" s="7"/>
      <c r="D32" s="7"/>
      <c r="E32" s="7"/>
      <c r="F32" s="7"/>
      <c r="G32" s="7"/>
      <c r="H32" s="7"/>
      <c r="I32" s="7"/>
      <c r="J32" s="7"/>
      <c r="K32" s="8"/>
      <c r="L32" s="8"/>
      <c r="M32" s="8"/>
      <c r="N32" s="10"/>
      <c r="O32" s="8"/>
      <c r="P32" s="8"/>
      <c r="Q32" s="7"/>
      <c r="R32" s="7"/>
      <c r="S32" s="9"/>
    </row>
    <row r="33" spans="1:19" ht="24" customHeight="1">
      <c r="A33" s="7" t="s">
        <v>115</v>
      </c>
      <c r="B33" s="7">
        <v>0</v>
      </c>
      <c r="C33" s="7"/>
      <c r="D33" s="7"/>
      <c r="E33" s="7"/>
      <c r="F33" s="7"/>
      <c r="G33" s="7"/>
      <c r="H33" s="7"/>
      <c r="I33" s="7"/>
      <c r="J33" s="7"/>
      <c r="K33" s="8"/>
      <c r="L33" s="8"/>
      <c r="M33" s="8"/>
      <c r="N33" s="10"/>
      <c r="O33" s="8"/>
      <c r="P33" s="8"/>
      <c r="Q33" s="7"/>
      <c r="R33" s="7"/>
      <c r="S33" s="9"/>
    </row>
    <row r="34" spans="1:19" ht="24" customHeight="1">
      <c r="A34" s="7" t="s">
        <v>116</v>
      </c>
      <c r="B34" s="7">
        <v>0</v>
      </c>
      <c r="C34" s="7"/>
      <c r="D34" s="7"/>
      <c r="E34" s="7"/>
      <c r="F34" s="7"/>
      <c r="G34" s="7"/>
      <c r="H34" s="7"/>
      <c r="I34" s="7"/>
      <c r="J34" s="7"/>
      <c r="K34" s="8"/>
      <c r="L34" s="8"/>
      <c r="M34" s="8"/>
      <c r="N34" s="10"/>
      <c r="O34" s="8"/>
      <c r="P34" s="8"/>
      <c r="Q34" s="7"/>
      <c r="R34" s="7"/>
      <c r="S34" s="9"/>
    </row>
    <row r="35" spans="1:19" ht="24" customHeight="1">
      <c r="A35" s="7" t="s">
        <v>117</v>
      </c>
      <c r="B35" s="7">
        <v>0</v>
      </c>
      <c r="C35" s="7"/>
      <c r="D35" s="7"/>
      <c r="E35" s="7"/>
      <c r="F35" s="7"/>
      <c r="G35" s="7"/>
      <c r="H35" s="7"/>
      <c r="I35" s="7"/>
      <c r="J35" s="7"/>
      <c r="K35" s="8"/>
      <c r="L35" s="8"/>
      <c r="M35" s="8"/>
      <c r="N35" s="10"/>
      <c r="O35" s="8"/>
      <c r="P35" s="8"/>
      <c r="Q35" s="7"/>
      <c r="R35" s="7"/>
      <c r="S35" s="9"/>
    </row>
    <row r="36" spans="1:19" ht="24" customHeight="1">
      <c r="A36" s="7" t="s">
        <v>118</v>
      </c>
      <c r="B36" s="7">
        <v>0</v>
      </c>
      <c r="C36" s="7"/>
      <c r="D36" s="7"/>
      <c r="E36" s="7"/>
      <c r="F36" s="7"/>
      <c r="G36" s="7"/>
      <c r="H36" s="7"/>
      <c r="I36" s="7"/>
      <c r="J36" s="7"/>
      <c r="K36" s="8"/>
      <c r="L36" s="8"/>
      <c r="M36" s="8"/>
      <c r="N36" s="10"/>
      <c r="O36" s="8"/>
      <c r="P36" s="8"/>
      <c r="Q36" s="7"/>
      <c r="R36" s="7"/>
      <c r="S36" s="9"/>
    </row>
    <row r="37" spans="1:19" ht="24" customHeight="1">
      <c r="A37" s="7" t="s">
        <v>119</v>
      </c>
      <c r="B37" s="7">
        <v>0</v>
      </c>
      <c r="C37" s="7"/>
      <c r="D37" s="7"/>
      <c r="E37" s="7"/>
      <c r="F37" s="7"/>
      <c r="G37" s="7"/>
      <c r="H37" s="7"/>
      <c r="I37" s="7"/>
      <c r="J37" s="7"/>
      <c r="K37" s="8"/>
      <c r="L37" s="8"/>
      <c r="M37" s="8"/>
      <c r="N37" s="10"/>
      <c r="O37" s="8"/>
      <c r="P37" s="8"/>
      <c r="Q37" s="7"/>
      <c r="R37" s="7"/>
      <c r="S37" s="9"/>
    </row>
    <row r="38" spans="1:19" ht="24" customHeight="1">
      <c r="A38" s="7" t="s">
        <v>120</v>
      </c>
      <c r="B38" s="7">
        <v>0</v>
      </c>
      <c r="C38" s="7"/>
      <c r="D38" s="7"/>
      <c r="E38" s="7"/>
      <c r="F38" s="7"/>
      <c r="G38" s="7"/>
      <c r="H38" s="7"/>
      <c r="I38" s="7"/>
      <c r="J38" s="7"/>
      <c r="K38" s="8"/>
      <c r="L38" s="8"/>
      <c r="M38" s="8"/>
      <c r="N38" s="10"/>
      <c r="O38" s="8"/>
      <c r="P38" s="8"/>
      <c r="Q38" s="7"/>
      <c r="R38" s="7"/>
      <c r="S38" s="9"/>
    </row>
    <row r="39" spans="1:19" ht="24" customHeight="1">
      <c r="A39" s="7" t="s">
        <v>121</v>
      </c>
      <c r="B39" s="7">
        <v>0</v>
      </c>
      <c r="C39" s="7"/>
      <c r="D39" s="7"/>
      <c r="E39" s="7"/>
      <c r="F39" s="7"/>
      <c r="G39" s="7"/>
      <c r="H39" s="7"/>
      <c r="I39" s="7"/>
      <c r="J39" s="7"/>
      <c r="K39" s="8"/>
      <c r="L39" s="8"/>
      <c r="M39" s="8"/>
      <c r="N39" s="10"/>
      <c r="O39" s="8"/>
      <c r="P39" s="8"/>
      <c r="Q39" s="7"/>
      <c r="R39" s="7"/>
      <c r="S39" s="9"/>
    </row>
    <row r="40" spans="1:19" ht="24" customHeight="1">
      <c r="A40" s="7" t="s">
        <v>122</v>
      </c>
      <c r="B40" s="7">
        <v>0</v>
      </c>
      <c r="C40" s="7"/>
      <c r="D40" s="7"/>
      <c r="E40" s="7"/>
      <c r="F40" s="7"/>
      <c r="G40" s="7"/>
      <c r="H40" s="7"/>
      <c r="I40" s="7"/>
      <c r="J40" s="7"/>
      <c r="K40" s="8"/>
      <c r="L40" s="8"/>
      <c r="M40" s="8"/>
      <c r="N40" s="10"/>
      <c r="O40" s="8"/>
      <c r="P40" s="8"/>
      <c r="Q40" s="7"/>
      <c r="R40" s="7"/>
      <c r="S40" s="9"/>
    </row>
    <row r="41" spans="1:19" ht="24" customHeight="1">
      <c r="A41" s="7" t="s">
        <v>123</v>
      </c>
      <c r="B41" s="7">
        <v>0</v>
      </c>
      <c r="C41" s="7"/>
      <c r="D41" s="7"/>
      <c r="E41" s="7"/>
      <c r="F41" s="7"/>
      <c r="G41" s="7"/>
      <c r="H41" s="7"/>
      <c r="I41" s="7"/>
      <c r="J41" s="7"/>
      <c r="K41" s="8"/>
      <c r="L41" s="8"/>
      <c r="M41" s="8"/>
      <c r="N41" s="10"/>
      <c r="O41" s="8"/>
      <c r="P41" s="8"/>
      <c r="Q41" s="7"/>
      <c r="R41" s="7"/>
      <c r="S41" s="9"/>
    </row>
    <row r="42" spans="1:19" ht="24" customHeight="1">
      <c r="A42" s="7" t="s">
        <v>124</v>
      </c>
      <c r="B42" s="7">
        <v>0</v>
      </c>
      <c r="C42" s="7"/>
      <c r="D42" s="7"/>
      <c r="E42" s="7"/>
      <c r="F42" s="7"/>
      <c r="G42" s="7"/>
      <c r="H42" s="7"/>
      <c r="I42" s="7"/>
      <c r="J42" s="7"/>
      <c r="K42" s="8"/>
      <c r="L42" s="8"/>
      <c r="M42" s="8"/>
      <c r="N42" s="10"/>
      <c r="O42" s="8"/>
      <c r="P42" s="8"/>
      <c r="Q42" s="7"/>
      <c r="R42" s="7"/>
      <c r="S42" s="9"/>
    </row>
    <row r="43" spans="1:19" ht="24" customHeight="1">
      <c r="A43" s="7" t="s">
        <v>125</v>
      </c>
      <c r="B43" s="7">
        <v>0</v>
      </c>
      <c r="C43" s="7"/>
      <c r="D43" s="7"/>
      <c r="E43" s="7"/>
      <c r="F43" s="7"/>
      <c r="G43" s="7"/>
      <c r="H43" s="7"/>
      <c r="I43" s="7"/>
      <c r="J43" s="7"/>
      <c r="K43" s="8"/>
      <c r="L43" s="8"/>
      <c r="M43" s="8"/>
      <c r="N43" s="10"/>
      <c r="O43" s="8"/>
      <c r="P43" s="8"/>
      <c r="Q43" s="7"/>
      <c r="R43" s="7"/>
      <c r="S43" s="9"/>
    </row>
    <row r="44" spans="1:19" ht="24" customHeight="1">
      <c r="A44" s="7" t="s">
        <v>126</v>
      </c>
      <c r="B44" s="7">
        <v>0</v>
      </c>
      <c r="C44" s="7"/>
      <c r="D44" s="7"/>
      <c r="E44" s="7"/>
      <c r="F44" s="7"/>
      <c r="G44" s="7"/>
      <c r="H44" s="7"/>
      <c r="I44" s="7"/>
      <c r="J44" s="7"/>
      <c r="K44" s="8"/>
      <c r="L44" s="8"/>
      <c r="M44" s="8"/>
      <c r="N44" s="10"/>
      <c r="O44" s="8"/>
      <c r="P44" s="8"/>
      <c r="Q44" s="7"/>
      <c r="R44" s="7"/>
      <c r="S44" s="9"/>
    </row>
    <row r="45" spans="1:19" ht="24" customHeight="1">
      <c r="A45" s="7" t="s">
        <v>127</v>
      </c>
      <c r="B45" s="7">
        <v>0</v>
      </c>
      <c r="C45" s="7"/>
      <c r="D45" s="7"/>
      <c r="E45" s="7"/>
      <c r="F45" s="7"/>
      <c r="G45" s="7"/>
      <c r="H45" s="7"/>
      <c r="I45" s="7"/>
      <c r="J45" s="7"/>
      <c r="K45" s="8"/>
      <c r="L45" s="8"/>
      <c r="M45" s="8"/>
      <c r="N45" s="10"/>
      <c r="O45" s="8"/>
      <c r="P45" s="8"/>
      <c r="Q45" s="7"/>
      <c r="R45" s="7"/>
      <c r="S45" s="9"/>
    </row>
    <row r="46" spans="1:19" ht="24" customHeight="1">
      <c r="A46" s="7" t="s">
        <v>128</v>
      </c>
      <c r="B46" s="7">
        <v>0</v>
      </c>
      <c r="C46" s="7"/>
      <c r="D46" s="7"/>
      <c r="E46" s="7"/>
      <c r="F46" s="7"/>
      <c r="G46" s="7"/>
      <c r="H46" s="7"/>
      <c r="I46" s="7"/>
      <c r="J46" s="7"/>
      <c r="K46" s="8"/>
      <c r="L46" s="8"/>
      <c r="M46" s="8"/>
      <c r="N46" s="10"/>
      <c r="O46" s="8"/>
      <c r="P46" s="8"/>
      <c r="Q46" s="7"/>
      <c r="R46" s="7"/>
      <c r="S46" s="9"/>
    </row>
    <row r="47" spans="1:19" ht="24" customHeight="1">
      <c r="A47" s="7" t="s">
        <v>129</v>
      </c>
      <c r="B47" s="7">
        <v>0</v>
      </c>
      <c r="C47" s="7"/>
      <c r="D47" s="7"/>
      <c r="E47" s="7"/>
      <c r="F47" s="7"/>
      <c r="G47" s="7"/>
      <c r="H47" s="7"/>
      <c r="I47" s="7"/>
      <c r="J47" s="7"/>
      <c r="K47" s="8"/>
      <c r="L47" s="8"/>
      <c r="M47" s="8"/>
      <c r="N47" s="10"/>
      <c r="O47" s="8"/>
      <c r="P47" s="8"/>
      <c r="Q47" s="7"/>
      <c r="R47" s="7"/>
      <c r="S47" s="9"/>
    </row>
    <row r="48" spans="1:19" ht="24" customHeight="1">
      <c r="A48" s="7" t="s">
        <v>130</v>
      </c>
      <c r="B48" s="7">
        <v>0</v>
      </c>
      <c r="C48" s="7"/>
      <c r="D48" s="7"/>
      <c r="E48" s="7"/>
      <c r="F48" s="7"/>
      <c r="G48" s="7"/>
      <c r="H48" s="7"/>
      <c r="I48" s="7"/>
      <c r="J48" s="7"/>
      <c r="K48" s="8"/>
      <c r="L48" s="8"/>
      <c r="M48" s="8"/>
      <c r="N48" s="10"/>
      <c r="O48" s="8"/>
      <c r="P48" s="8"/>
      <c r="Q48" s="7"/>
      <c r="R48" s="7"/>
      <c r="S48" s="9"/>
    </row>
    <row r="49" spans="1:19" ht="24" customHeight="1">
      <c r="A49" s="7" t="s">
        <v>131</v>
      </c>
      <c r="B49" s="7">
        <v>0</v>
      </c>
      <c r="C49" s="7"/>
      <c r="D49" s="7"/>
      <c r="E49" s="7"/>
      <c r="F49" s="7"/>
      <c r="G49" s="7"/>
      <c r="H49" s="7"/>
      <c r="I49" s="7"/>
      <c r="J49" s="7"/>
      <c r="K49" s="8"/>
      <c r="L49" s="8"/>
      <c r="M49" s="8"/>
      <c r="N49" s="10"/>
      <c r="O49" s="8"/>
      <c r="P49" s="8"/>
      <c r="Q49" s="7"/>
      <c r="R49" s="7"/>
      <c r="S49" s="9"/>
    </row>
    <row r="50" spans="1:19" ht="24" customHeight="1">
      <c r="A50" s="7" t="s">
        <v>132</v>
      </c>
      <c r="B50" s="7">
        <v>0</v>
      </c>
      <c r="C50" s="7"/>
      <c r="D50" s="7"/>
      <c r="E50" s="7"/>
      <c r="F50" s="7"/>
      <c r="G50" s="7"/>
      <c r="H50" s="7"/>
      <c r="I50" s="7"/>
      <c r="J50" s="7"/>
      <c r="K50" s="8"/>
      <c r="L50" s="8"/>
      <c r="M50" s="8"/>
      <c r="N50" s="10"/>
      <c r="O50" s="8"/>
      <c r="P50" s="8"/>
      <c r="Q50" s="7"/>
      <c r="R50" s="7"/>
      <c r="S50" s="9"/>
    </row>
    <row r="51" spans="1:19" ht="24" customHeight="1">
      <c r="A51" s="7" t="s">
        <v>133</v>
      </c>
      <c r="B51" s="7">
        <v>0</v>
      </c>
      <c r="C51" s="7"/>
      <c r="D51" s="7"/>
      <c r="E51" s="7"/>
      <c r="F51" s="7"/>
      <c r="G51" s="7"/>
      <c r="H51" s="7"/>
      <c r="I51" s="7"/>
      <c r="J51" s="7"/>
      <c r="K51" s="8"/>
      <c r="L51" s="8"/>
      <c r="M51" s="8"/>
      <c r="N51" s="10"/>
      <c r="O51" s="8"/>
      <c r="P51" s="8"/>
      <c r="Q51" s="7"/>
      <c r="R51" s="7"/>
      <c r="S51" s="9"/>
    </row>
    <row r="52" spans="1:19" ht="24" customHeight="1">
      <c r="A52" s="7" t="s">
        <v>134</v>
      </c>
      <c r="B52" s="7">
        <v>0</v>
      </c>
      <c r="C52" s="7"/>
      <c r="D52" s="7"/>
      <c r="E52" s="7"/>
      <c r="F52" s="7"/>
      <c r="G52" s="7"/>
      <c r="H52" s="7"/>
      <c r="I52" s="7"/>
      <c r="J52" s="7"/>
      <c r="K52" s="8"/>
      <c r="L52" s="8"/>
      <c r="M52" s="8"/>
      <c r="N52" s="10"/>
      <c r="O52" s="8"/>
      <c r="P52" s="8"/>
      <c r="Q52" s="7"/>
      <c r="R52" s="7"/>
      <c r="S52" s="9"/>
    </row>
    <row r="53" spans="1:19" ht="24" customHeight="1">
      <c r="A53" s="7" t="s">
        <v>135</v>
      </c>
      <c r="B53" s="7">
        <v>0</v>
      </c>
      <c r="C53" s="7"/>
      <c r="D53" s="7"/>
      <c r="E53" s="7"/>
      <c r="F53" s="7"/>
      <c r="G53" s="7"/>
      <c r="H53" s="7"/>
      <c r="I53" s="7"/>
      <c r="J53" s="7"/>
      <c r="K53" s="8"/>
      <c r="L53" s="8"/>
      <c r="M53" s="8"/>
      <c r="N53" s="10"/>
      <c r="O53" s="8"/>
      <c r="P53" s="8"/>
      <c r="Q53" s="7"/>
      <c r="R53" s="7"/>
      <c r="S53" s="9"/>
    </row>
    <row r="54" spans="1:19" ht="24" customHeight="1">
      <c r="A54" s="7" t="s">
        <v>136</v>
      </c>
      <c r="B54" s="7">
        <v>0</v>
      </c>
      <c r="C54" s="7"/>
      <c r="D54" s="7"/>
      <c r="E54" s="7"/>
      <c r="F54" s="7"/>
      <c r="G54" s="7"/>
      <c r="H54" s="7"/>
      <c r="I54" s="7"/>
      <c r="J54" s="7"/>
      <c r="K54" s="8"/>
      <c r="L54" s="8"/>
      <c r="M54" s="8"/>
      <c r="N54" s="10"/>
      <c r="O54" s="8"/>
      <c r="P54" s="8"/>
      <c r="Q54" s="7"/>
      <c r="R54" s="7"/>
      <c r="S54" s="9"/>
    </row>
    <row r="55" spans="1:19" ht="24" customHeight="1">
      <c r="A55" s="7" t="s">
        <v>137</v>
      </c>
      <c r="B55" s="7">
        <v>0</v>
      </c>
      <c r="C55" s="7"/>
      <c r="D55" s="7"/>
      <c r="E55" s="7"/>
      <c r="F55" s="7"/>
      <c r="G55" s="7"/>
      <c r="H55" s="7"/>
      <c r="I55" s="7"/>
      <c r="J55" s="7"/>
      <c r="K55" s="8"/>
      <c r="L55" s="8"/>
      <c r="M55" s="8"/>
      <c r="N55" s="10"/>
      <c r="O55" s="8"/>
      <c r="P55" s="8"/>
      <c r="Q55" s="7"/>
      <c r="R55" s="7"/>
      <c r="S55" s="9"/>
    </row>
    <row r="56" spans="1:19" ht="24" customHeight="1">
      <c r="A56" s="7" t="s">
        <v>138</v>
      </c>
      <c r="B56" s="7">
        <v>0</v>
      </c>
      <c r="C56" s="7"/>
      <c r="D56" s="7"/>
      <c r="E56" s="7"/>
      <c r="F56" s="7"/>
      <c r="G56" s="7"/>
      <c r="H56" s="7"/>
      <c r="I56" s="7"/>
      <c r="J56" s="7"/>
      <c r="K56" s="8"/>
      <c r="L56" s="8"/>
      <c r="M56" s="8"/>
      <c r="N56" s="10"/>
      <c r="O56" s="8"/>
      <c r="P56" s="8"/>
      <c r="Q56" s="7"/>
      <c r="R56" s="7"/>
      <c r="S56" s="9"/>
    </row>
    <row r="57" spans="1:19" ht="24" customHeight="1">
      <c r="A57" s="7" t="s">
        <v>139</v>
      </c>
      <c r="B57" s="7">
        <v>0</v>
      </c>
      <c r="C57" s="7"/>
      <c r="D57" s="7"/>
      <c r="E57" s="7"/>
      <c r="F57" s="7"/>
      <c r="G57" s="7"/>
      <c r="H57" s="7"/>
      <c r="I57" s="7"/>
      <c r="J57" s="7"/>
      <c r="K57" s="8"/>
      <c r="L57" s="8"/>
      <c r="M57" s="8"/>
      <c r="N57" s="10"/>
      <c r="O57" s="8"/>
      <c r="P57" s="8"/>
      <c r="Q57" s="7"/>
      <c r="R57" s="7"/>
      <c r="S57" s="9"/>
    </row>
    <row r="58" spans="1:19" ht="24" customHeight="1">
      <c r="A58" s="7" t="s">
        <v>140</v>
      </c>
      <c r="B58" s="7">
        <v>0</v>
      </c>
      <c r="C58" s="7"/>
      <c r="D58" s="7"/>
      <c r="E58" s="7"/>
      <c r="F58" s="7"/>
      <c r="G58" s="7"/>
      <c r="H58" s="7"/>
      <c r="I58" s="7"/>
      <c r="J58" s="7"/>
      <c r="K58" s="8"/>
      <c r="L58" s="8"/>
      <c r="M58" s="8"/>
      <c r="N58" s="10"/>
      <c r="O58" s="8"/>
      <c r="P58" s="8"/>
      <c r="Q58" s="7"/>
      <c r="R58" s="7"/>
      <c r="S58" s="9"/>
    </row>
    <row r="59" spans="1:19" ht="24" customHeight="1">
      <c r="A59" s="7" t="s">
        <v>141</v>
      </c>
      <c r="B59" s="7">
        <v>0</v>
      </c>
      <c r="C59" s="7"/>
      <c r="D59" s="7"/>
      <c r="E59" s="7"/>
      <c r="F59" s="7"/>
      <c r="G59" s="7"/>
      <c r="H59" s="7"/>
      <c r="I59" s="7"/>
      <c r="J59" s="7"/>
      <c r="K59" s="8"/>
      <c r="L59" s="8"/>
      <c r="M59" s="8"/>
      <c r="N59" s="10"/>
      <c r="O59" s="8"/>
      <c r="P59" s="8"/>
      <c r="Q59" s="7"/>
      <c r="R59" s="7"/>
      <c r="S59" s="9"/>
    </row>
    <row r="60" spans="1:19" ht="24" customHeight="1">
      <c r="A60" s="7" t="s">
        <v>142</v>
      </c>
      <c r="B60" s="7">
        <v>0</v>
      </c>
      <c r="C60" s="7"/>
      <c r="D60" s="7"/>
      <c r="E60" s="7"/>
      <c r="F60" s="7"/>
      <c r="G60" s="7"/>
      <c r="H60" s="7"/>
      <c r="I60" s="7"/>
      <c r="J60" s="7"/>
      <c r="K60" s="8"/>
      <c r="L60" s="8"/>
      <c r="M60" s="8"/>
      <c r="N60" s="10"/>
      <c r="O60" s="8"/>
      <c r="P60" s="8"/>
      <c r="Q60" s="7"/>
      <c r="R60" s="7"/>
      <c r="S60" s="9"/>
    </row>
    <row r="61" spans="1:19" ht="24" customHeight="1">
      <c r="A61" s="7" t="s">
        <v>143</v>
      </c>
      <c r="B61" s="7">
        <v>0</v>
      </c>
      <c r="C61" s="7"/>
      <c r="D61" s="7"/>
      <c r="E61" s="7"/>
      <c r="F61" s="7"/>
      <c r="G61" s="7"/>
      <c r="H61" s="7"/>
      <c r="I61" s="7"/>
      <c r="J61" s="7"/>
      <c r="K61" s="8"/>
      <c r="L61" s="8"/>
      <c r="M61" s="8"/>
      <c r="N61" s="10"/>
      <c r="O61" s="8"/>
      <c r="P61" s="8"/>
      <c r="Q61" s="7"/>
      <c r="R61" s="7"/>
      <c r="S61" s="9"/>
    </row>
    <row r="62" spans="1:19" ht="24" customHeight="1">
      <c r="A62" s="7" t="s">
        <v>144</v>
      </c>
      <c r="B62" s="7">
        <v>0</v>
      </c>
      <c r="C62" s="7"/>
      <c r="D62" s="7"/>
      <c r="E62" s="7"/>
      <c r="F62" s="7"/>
      <c r="G62" s="7"/>
      <c r="H62" s="7"/>
      <c r="I62" s="7"/>
      <c r="J62" s="7"/>
      <c r="K62" s="8"/>
      <c r="L62" s="8"/>
      <c r="M62" s="8"/>
      <c r="N62" s="10"/>
      <c r="O62" s="8"/>
      <c r="P62" s="8"/>
      <c r="Q62" s="7"/>
      <c r="R62" s="7"/>
      <c r="S62" s="9"/>
    </row>
    <row r="63" spans="1:19" ht="24" customHeight="1">
      <c r="A63" s="7" t="s">
        <v>145</v>
      </c>
      <c r="B63" s="7">
        <v>0</v>
      </c>
      <c r="C63" s="7"/>
      <c r="D63" s="7"/>
      <c r="E63" s="7"/>
      <c r="F63" s="7"/>
      <c r="G63" s="7"/>
      <c r="H63" s="7"/>
      <c r="I63" s="7"/>
      <c r="J63" s="7"/>
      <c r="K63" s="8"/>
      <c r="L63" s="8"/>
      <c r="M63" s="8"/>
      <c r="N63" s="10"/>
      <c r="O63" s="8"/>
      <c r="P63" s="8"/>
      <c r="Q63" s="7"/>
      <c r="R63" s="7"/>
      <c r="S63" s="9"/>
    </row>
    <row r="64" spans="1:19" ht="24" customHeight="1">
      <c r="A64" s="7" t="s">
        <v>146</v>
      </c>
      <c r="B64" s="7">
        <v>0</v>
      </c>
      <c r="C64" s="7"/>
      <c r="D64" s="7"/>
      <c r="E64" s="7"/>
      <c r="F64" s="7"/>
      <c r="G64" s="7"/>
      <c r="H64" s="7"/>
      <c r="I64" s="7"/>
      <c r="J64" s="7"/>
      <c r="K64" s="8"/>
      <c r="L64" s="8"/>
      <c r="M64" s="8"/>
      <c r="N64" s="10"/>
      <c r="O64" s="8"/>
      <c r="P64" s="8"/>
      <c r="Q64" s="7"/>
      <c r="R64" s="7"/>
      <c r="S64" s="9"/>
    </row>
    <row r="65" spans="1:19" ht="24" customHeight="1">
      <c r="A65" s="7" t="s">
        <v>147</v>
      </c>
      <c r="B65" s="7">
        <v>0</v>
      </c>
      <c r="C65" s="7"/>
      <c r="D65" s="7"/>
      <c r="E65" s="7"/>
      <c r="F65" s="7"/>
      <c r="G65" s="7"/>
      <c r="H65" s="7"/>
      <c r="I65" s="7"/>
      <c r="J65" s="7"/>
      <c r="K65" s="8"/>
      <c r="L65" s="8"/>
      <c r="M65" s="8"/>
      <c r="N65" s="10"/>
      <c r="O65" s="8"/>
      <c r="P65" s="8"/>
      <c r="Q65" s="7"/>
      <c r="R65" s="7"/>
      <c r="S65" s="9"/>
    </row>
    <row r="66" spans="1:19" ht="24" customHeight="1">
      <c r="A66" s="7" t="s">
        <v>148</v>
      </c>
      <c r="B66" s="7">
        <v>0</v>
      </c>
      <c r="C66" s="7"/>
      <c r="D66" s="7"/>
      <c r="E66" s="7"/>
      <c r="F66" s="7"/>
      <c r="G66" s="7"/>
      <c r="H66" s="7"/>
      <c r="I66" s="7"/>
      <c r="J66" s="7"/>
      <c r="K66" s="8"/>
      <c r="L66" s="8"/>
      <c r="M66" s="8"/>
      <c r="N66" s="10"/>
      <c r="O66" s="8"/>
      <c r="P66" s="8"/>
      <c r="Q66" s="7"/>
      <c r="R66" s="7"/>
      <c r="S66" s="9"/>
    </row>
    <row r="67" spans="1:19" ht="24" customHeight="1">
      <c r="A67" s="7" t="s">
        <v>149</v>
      </c>
      <c r="B67" s="7">
        <v>0</v>
      </c>
      <c r="C67" s="7"/>
      <c r="D67" s="7"/>
      <c r="E67" s="7"/>
      <c r="F67" s="7"/>
      <c r="G67" s="7"/>
      <c r="H67" s="7"/>
      <c r="I67" s="7"/>
      <c r="J67" s="7"/>
      <c r="K67" s="8"/>
      <c r="L67" s="8"/>
      <c r="M67" s="8"/>
      <c r="N67" s="10"/>
      <c r="O67" s="8"/>
      <c r="P67" s="8"/>
      <c r="Q67" s="7"/>
      <c r="R67" s="7"/>
      <c r="S67" s="9"/>
    </row>
    <row r="68" spans="1:19" ht="24" customHeight="1">
      <c r="A68" s="7" t="s">
        <v>150</v>
      </c>
      <c r="B68" s="7">
        <v>0</v>
      </c>
      <c r="C68" s="7"/>
      <c r="D68" s="7"/>
      <c r="E68" s="7"/>
      <c r="F68" s="7"/>
      <c r="G68" s="7"/>
      <c r="H68" s="7"/>
      <c r="I68" s="7"/>
      <c r="J68" s="7"/>
      <c r="K68" s="8"/>
      <c r="L68" s="8"/>
      <c r="M68" s="8"/>
      <c r="N68" s="10"/>
      <c r="O68" s="8"/>
      <c r="P68" s="8"/>
      <c r="Q68" s="7"/>
      <c r="R68" s="7"/>
      <c r="S68" s="9"/>
    </row>
    <row r="69" spans="1:19" ht="24" customHeight="1">
      <c r="A69" s="7" t="s">
        <v>151</v>
      </c>
      <c r="B69" s="7">
        <v>0</v>
      </c>
      <c r="C69" s="7"/>
      <c r="D69" s="7"/>
      <c r="E69" s="7"/>
      <c r="F69" s="7"/>
      <c r="G69" s="7"/>
      <c r="H69" s="7"/>
      <c r="I69" s="7"/>
      <c r="J69" s="7"/>
      <c r="K69" s="8"/>
      <c r="L69" s="8"/>
      <c r="M69" s="8"/>
      <c r="N69" s="10"/>
      <c r="O69" s="8"/>
      <c r="P69" s="8"/>
      <c r="Q69" s="7"/>
      <c r="R69" s="7"/>
      <c r="S69" s="9"/>
    </row>
    <row r="70" spans="1:19" ht="24" customHeight="1">
      <c r="A70" s="7" t="s">
        <v>152</v>
      </c>
      <c r="B70" s="7">
        <v>0</v>
      </c>
      <c r="C70" s="7"/>
      <c r="D70" s="7"/>
      <c r="E70" s="7"/>
      <c r="F70" s="7"/>
      <c r="G70" s="7"/>
      <c r="H70" s="7"/>
      <c r="I70" s="7"/>
      <c r="J70" s="7"/>
      <c r="K70" s="8"/>
      <c r="L70" s="8"/>
      <c r="M70" s="8"/>
      <c r="N70" s="10"/>
      <c r="O70" s="8"/>
      <c r="P70" s="8"/>
      <c r="Q70" s="7"/>
      <c r="R70" s="7"/>
      <c r="S70" s="9"/>
    </row>
    <row r="71" spans="1:19" ht="24" customHeight="1">
      <c r="A71" s="7" t="s">
        <v>153</v>
      </c>
      <c r="B71" s="7">
        <v>0</v>
      </c>
      <c r="C71" s="7"/>
      <c r="D71" s="7"/>
      <c r="E71" s="7"/>
      <c r="F71" s="7"/>
      <c r="G71" s="7"/>
      <c r="H71" s="7"/>
      <c r="I71" s="7"/>
      <c r="J71" s="7"/>
      <c r="K71" s="8"/>
      <c r="L71" s="8"/>
      <c r="M71" s="8"/>
      <c r="N71" s="10"/>
      <c r="O71" s="8"/>
      <c r="P71" s="8"/>
      <c r="Q71" s="7"/>
      <c r="R71" s="7"/>
      <c r="S71" s="9"/>
    </row>
    <row r="72" spans="1:19" ht="24" customHeight="1">
      <c r="A72" s="7" t="s">
        <v>154</v>
      </c>
      <c r="B72" s="7">
        <v>0</v>
      </c>
      <c r="C72" s="7"/>
      <c r="D72" s="7"/>
      <c r="E72" s="7"/>
      <c r="F72" s="7"/>
      <c r="G72" s="7"/>
      <c r="H72" s="7"/>
      <c r="I72" s="7"/>
      <c r="J72" s="7"/>
      <c r="K72" s="8"/>
      <c r="L72" s="8"/>
      <c r="M72" s="8"/>
      <c r="N72" s="10"/>
      <c r="O72" s="8"/>
      <c r="P72" s="8"/>
      <c r="Q72" s="7"/>
      <c r="R72" s="7"/>
      <c r="S72" s="9"/>
    </row>
    <row r="73" spans="1:19" ht="24" customHeight="1">
      <c r="A73" s="7" t="s">
        <v>155</v>
      </c>
      <c r="B73" s="7">
        <v>0</v>
      </c>
      <c r="C73" s="7"/>
      <c r="D73" s="7"/>
      <c r="E73" s="7"/>
      <c r="F73" s="7"/>
      <c r="G73" s="7"/>
      <c r="H73" s="7"/>
      <c r="I73" s="7"/>
      <c r="J73" s="7"/>
      <c r="K73" s="8"/>
      <c r="L73" s="8"/>
      <c r="M73" s="8"/>
      <c r="N73" s="10"/>
      <c r="O73" s="8"/>
      <c r="P73" s="8"/>
      <c r="Q73" s="7"/>
      <c r="R73" s="7"/>
      <c r="S73" s="9"/>
    </row>
    <row r="74" spans="1:19" ht="24" customHeight="1">
      <c r="A74" s="7" t="s">
        <v>156</v>
      </c>
      <c r="B74" s="7">
        <v>0</v>
      </c>
      <c r="C74" s="7"/>
      <c r="D74" s="7"/>
      <c r="E74" s="7"/>
      <c r="F74" s="7"/>
      <c r="G74" s="7"/>
      <c r="H74" s="7"/>
      <c r="I74" s="7"/>
      <c r="J74" s="7"/>
      <c r="K74" s="8"/>
      <c r="L74" s="8"/>
      <c r="M74" s="8"/>
      <c r="N74" s="10"/>
      <c r="O74" s="8"/>
      <c r="P74" s="8"/>
      <c r="Q74" s="7"/>
      <c r="R74" s="7"/>
      <c r="S74" s="9"/>
    </row>
    <row r="75" spans="1:19" ht="24" customHeight="1">
      <c r="A75" s="7" t="s">
        <v>157</v>
      </c>
      <c r="B75" s="7">
        <v>0</v>
      </c>
      <c r="C75" s="7"/>
      <c r="D75" s="7"/>
      <c r="E75" s="7"/>
      <c r="F75" s="7"/>
      <c r="G75" s="7"/>
      <c r="H75" s="7"/>
      <c r="I75" s="7"/>
      <c r="J75" s="7"/>
      <c r="K75" s="8"/>
      <c r="L75" s="8"/>
      <c r="M75" s="8"/>
      <c r="N75" s="10"/>
      <c r="O75" s="8"/>
      <c r="P75" s="8"/>
      <c r="Q75" s="7"/>
      <c r="R75" s="7"/>
      <c r="S75" s="9"/>
    </row>
    <row r="76" spans="1:19" ht="24" customHeight="1">
      <c r="A76" s="7" t="s">
        <v>158</v>
      </c>
      <c r="B76" s="7">
        <v>0</v>
      </c>
      <c r="C76" s="7"/>
      <c r="D76" s="7"/>
      <c r="E76" s="7"/>
      <c r="F76" s="7"/>
      <c r="G76" s="7"/>
      <c r="H76" s="7"/>
      <c r="I76" s="7"/>
      <c r="J76" s="7"/>
      <c r="K76" s="8"/>
      <c r="L76" s="8"/>
      <c r="M76" s="8"/>
      <c r="N76" s="10"/>
      <c r="O76" s="8"/>
      <c r="P76" s="8"/>
      <c r="Q76" s="7"/>
      <c r="R76" s="7"/>
      <c r="S76" s="9"/>
    </row>
    <row r="77" spans="1:19" ht="24" customHeight="1">
      <c r="A77" s="7" t="s">
        <v>159</v>
      </c>
      <c r="B77" s="7">
        <v>0</v>
      </c>
      <c r="C77" s="7"/>
      <c r="D77" s="7"/>
      <c r="E77" s="7"/>
      <c r="F77" s="7"/>
      <c r="G77" s="7"/>
      <c r="H77" s="7"/>
      <c r="I77" s="7"/>
      <c r="J77" s="7"/>
      <c r="K77" s="8"/>
      <c r="L77" s="8"/>
      <c r="M77" s="8"/>
      <c r="N77" s="10"/>
      <c r="O77" s="8"/>
      <c r="P77" s="8"/>
      <c r="Q77" s="7"/>
      <c r="R77" s="7"/>
      <c r="S77" s="9"/>
    </row>
    <row r="78" spans="1:19" ht="24" customHeight="1">
      <c r="A78" s="7" t="s">
        <v>160</v>
      </c>
      <c r="B78" s="7">
        <v>0</v>
      </c>
      <c r="C78" s="7"/>
      <c r="D78" s="7"/>
      <c r="E78" s="7"/>
      <c r="F78" s="7"/>
      <c r="G78" s="7"/>
      <c r="H78" s="7"/>
      <c r="I78" s="7"/>
      <c r="J78" s="7"/>
      <c r="K78" s="8"/>
      <c r="L78" s="8"/>
      <c r="M78" s="8"/>
      <c r="N78" s="10"/>
      <c r="O78" s="8"/>
      <c r="P78" s="8"/>
      <c r="Q78" s="7"/>
      <c r="R78" s="7"/>
      <c r="S78" s="9"/>
    </row>
    <row r="79" spans="1:19" ht="24" customHeight="1">
      <c r="A79" s="7" t="s">
        <v>161</v>
      </c>
      <c r="B79" s="7">
        <v>0</v>
      </c>
      <c r="C79" s="7"/>
      <c r="D79" s="7"/>
      <c r="E79" s="7"/>
      <c r="F79" s="7"/>
      <c r="G79" s="7"/>
      <c r="H79" s="7"/>
      <c r="I79" s="7"/>
      <c r="J79" s="7"/>
      <c r="K79" s="8"/>
      <c r="L79" s="8"/>
      <c r="M79" s="8"/>
      <c r="N79" s="10"/>
      <c r="O79" s="8"/>
      <c r="P79" s="8"/>
      <c r="Q79" s="7"/>
      <c r="R79" s="7"/>
      <c r="S79" s="9"/>
    </row>
    <row r="80" spans="1:19" ht="24" customHeight="1">
      <c r="A80" s="7" t="s">
        <v>162</v>
      </c>
      <c r="B80" s="7">
        <v>0</v>
      </c>
      <c r="C80" s="7"/>
      <c r="D80" s="7"/>
      <c r="E80" s="7"/>
      <c r="F80" s="7"/>
      <c r="G80" s="7"/>
      <c r="H80" s="7"/>
      <c r="I80" s="7"/>
      <c r="J80" s="7"/>
      <c r="K80" s="8"/>
      <c r="L80" s="8"/>
      <c r="M80" s="8"/>
      <c r="N80" s="10"/>
      <c r="O80" s="8"/>
      <c r="P80" s="8"/>
      <c r="Q80" s="7"/>
      <c r="R80" s="7"/>
      <c r="S80" s="9"/>
    </row>
    <row r="81" spans="1:19" ht="24" customHeight="1">
      <c r="A81" s="7" t="s">
        <v>163</v>
      </c>
      <c r="B81" s="7">
        <v>0</v>
      </c>
      <c r="C81" s="7"/>
      <c r="D81" s="7"/>
      <c r="E81" s="7"/>
      <c r="F81" s="7"/>
      <c r="G81" s="7"/>
      <c r="H81" s="7"/>
      <c r="I81" s="7"/>
      <c r="J81" s="7"/>
      <c r="K81" s="8"/>
      <c r="L81" s="8"/>
      <c r="M81" s="8"/>
      <c r="N81" s="10"/>
      <c r="O81" s="8"/>
      <c r="P81" s="8"/>
      <c r="Q81" s="7"/>
      <c r="R81" s="7"/>
      <c r="S81" s="9"/>
    </row>
    <row r="82" spans="1:19" ht="24" customHeight="1">
      <c r="A82" s="7" t="s">
        <v>164</v>
      </c>
      <c r="B82" s="7">
        <v>0</v>
      </c>
      <c r="C82" s="7"/>
      <c r="D82" s="7"/>
      <c r="E82" s="7"/>
      <c r="F82" s="7"/>
      <c r="G82" s="7"/>
      <c r="H82" s="7"/>
      <c r="I82" s="7"/>
      <c r="J82" s="7"/>
      <c r="K82" s="8"/>
      <c r="L82" s="8"/>
      <c r="M82" s="8"/>
      <c r="N82" s="10"/>
      <c r="O82" s="8"/>
      <c r="P82" s="8"/>
      <c r="Q82" s="7"/>
      <c r="R82" s="7"/>
      <c r="S82" s="9"/>
    </row>
    <row r="83" spans="1:19" ht="24" customHeight="1">
      <c r="A83" s="7" t="s">
        <v>165</v>
      </c>
      <c r="B83" s="7">
        <v>0</v>
      </c>
      <c r="C83" s="7"/>
      <c r="D83" s="7"/>
      <c r="E83" s="7"/>
      <c r="F83" s="7"/>
      <c r="G83" s="7"/>
      <c r="H83" s="7"/>
      <c r="I83" s="7"/>
      <c r="J83" s="7"/>
      <c r="K83" s="8"/>
      <c r="L83" s="8"/>
      <c r="M83" s="8"/>
      <c r="N83" s="10"/>
      <c r="O83" s="8"/>
      <c r="P83" s="8"/>
      <c r="Q83" s="7"/>
      <c r="R83" s="7"/>
      <c r="S83" s="9"/>
    </row>
    <row r="84" spans="1:19" ht="24" customHeight="1">
      <c r="A84" s="7" t="s">
        <v>166</v>
      </c>
      <c r="B84" s="7">
        <v>0</v>
      </c>
      <c r="C84" s="7"/>
      <c r="D84" s="7"/>
      <c r="E84" s="7"/>
      <c r="F84" s="7"/>
      <c r="G84" s="7"/>
      <c r="H84" s="7"/>
      <c r="I84" s="7"/>
      <c r="J84" s="7"/>
      <c r="K84" s="8"/>
      <c r="L84" s="8"/>
      <c r="M84" s="8"/>
      <c r="N84" s="10"/>
      <c r="O84" s="8"/>
      <c r="P84" s="8"/>
      <c r="Q84" s="7"/>
      <c r="R84" s="7"/>
      <c r="S84" s="9"/>
    </row>
    <row r="85" spans="1:19" ht="24" customHeight="1">
      <c r="A85" s="7" t="s">
        <v>167</v>
      </c>
      <c r="B85" s="7">
        <v>0</v>
      </c>
      <c r="C85" s="7"/>
      <c r="D85" s="7"/>
      <c r="E85" s="7"/>
      <c r="F85" s="7"/>
      <c r="G85" s="7"/>
      <c r="H85" s="7"/>
      <c r="I85" s="7"/>
      <c r="J85" s="7"/>
      <c r="K85" s="8"/>
      <c r="L85" s="8"/>
      <c r="M85" s="8"/>
      <c r="N85" s="10"/>
      <c r="O85" s="8"/>
      <c r="P85" s="8"/>
      <c r="Q85" s="7"/>
      <c r="R85" s="7"/>
      <c r="S85" s="9"/>
    </row>
    <row r="86" spans="1:19" ht="24" customHeight="1">
      <c r="A86" s="7" t="s">
        <v>168</v>
      </c>
      <c r="B86" s="7">
        <v>0</v>
      </c>
      <c r="C86" s="7"/>
      <c r="D86" s="7"/>
      <c r="E86" s="7"/>
      <c r="F86" s="7"/>
      <c r="G86" s="7"/>
      <c r="H86" s="7"/>
      <c r="I86" s="7"/>
      <c r="J86" s="7"/>
      <c r="K86" s="8"/>
      <c r="L86" s="8"/>
      <c r="M86" s="8"/>
      <c r="N86" s="10"/>
      <c r="O86" s="8"/>
      <c r="P86" s="8"/>
      <c r="Q86" s="7"/>
      <c r="R86" s="7"/>
      <c r="S86" s="9"/>
    </row>
    <row r="87" spans="1:19" ht="24" customHeight="1">
      <c r="A87" s="7" t="s">
        <v>169</v>
      </c>
      <c r="B87" s="7">
        <v>0</v>
      </c>
      <c r="C87" s="7"/>
      <c r="D87" s="7"/>
      <c r="E87" s="7"/>
      <c r="F87" s="7"/>
      <c r="G87" s="7"/>
      <c r="H87" s="7"/>
      <c r="I87" s="7"/>
      <c r="J87" s="7"/>
      <c r="K87" s="8"/>
      <c r="L87" s="8"/>
      <c r="M87" s="8"/>
      <c r="N87" s="10"/>
      <c r="O87" s="8"/>
      <c r="P87" s="8"/>
      <c r="Q87" s="7"/>
      <c r="R87" s="7"/>
      <c r="S87" s="9"/>
    </row>
    <row r="88" spans="1:19" ht="24" customHeight="1">
      <c r="A88" s="7" t="s">
        <v>170</v>
      </c>
      <c r="B88" s="7">
        <v>0</v>
      </c>
      <c r="C88" s="7"/>
      <c r="D88" s="7"/>
      <c r="E88" s="7"/>
      <c r="F88" s="7"/>
      <c r="G88" s="7"/>
      <c r="H88" s="7"/>
      <c r="I88" s="7"/>
      <c r="J88" s="7"/>
      <c r="K88" s="8"/>
      <c r="L88" s="8"/>
      <c r="M88" s="8"/>
      <c r="N88" s="10"/>
      <c r="O88" s="8"/>
      <c r="P88" s="8"/>
      <c r="Q88" s="7"/>
      <c r="R88" s="7"/>
      <c r="S88" s="9"/>
    </row>
    <row r="89" spans="1:19" ht="24" customHeight="1">
      <c r="A89" s="7" t="s">
        <v>171</v>
      </c>
      <c r="B89" s="7">
        <v>0</v>
      </c>
      <c r="C89" s="7"/>
      <c r="D89" s="7"/>
      <c r="E89" s="7"/>
      <c r="F89" s="7"/>
      <c r="G89" s="7"/>
      <c r="H89" s="7"/>
      <c r="I89" s="7"/>
      <c r="J89" s="7"/>
      <c r="K89" s="8"/>
      <c r="L89" s="8"/>
      <c r="M89" s="8"/>
      <c r="N89" s="10"/>
      <c r="O89" s="8"/>
      <c r="P89" s="8"/>
      <c r="Q89" s="7"/>
      <c r="R89" s="7"/>
      <c r="S89" s="9"/>
    </row>
    <row r="90" spans="1:19" ht="24" customHeight="1">
      <c r="A90" s="7" t="s">
        <v>172</v>
      </c>
      <c r="B90" s="7">
        <v>0</v>
      </c>
      <c r="C90" s="7"/>
      <c r="D90" s="7"/>
      <c r="E90" s="7"/>
      <c r="F90" s="7"/>
      <c r="G90" s="7"/>
      <c r="H90" s="7"/>
      <c r="I90" s="7"/>
      <c r="J90" s="7"/>
      <c r="K90" s="8"/>
      <c r="L90" s="8"/>
      <c r="M90" s="8"/>
      <c r="N90" s="10"/>
      <c r="O90" s="8"/>
      <c r="P90" s="8"/>
      <c r="Q90" s="7"/>
      <c r="R90" s="7"/>
      <c r="S90" s="9"/>
    </row>
    <row r="91" spans="1:19" ht="24" customHeight="1">
      <c r="A91" s="7" t="s">
        <v>173</v>
      </c>
      <c r="B91" s="7">
        <v>0</v>
      </c>
      <c r="C91" s="7"/>
      <c r="D91" s="7"/>
      <c r="E91" s="7"/>
      <c r="F91" s="7"/>
      <c r="G91" s="7"/>
      <c r="H91" s="7"/>
      <c r="I91" s="7"/>
      <c r="J91" s="7"/>
      <c r="K91" s="8"/>
      <c r="L91" s="8"/>
      <c r="M91" s="8"/>
      <c r="N91" s="10"/>
      <c r="O91" s="8"/>
      <c r="P91" s="8"/>
      <c r="Q91" s="7"/>
      <c r="R91" s="7"/>
      <c r="S91" s="9"/>
    </row>
    <row r="92" spans="1:19" ht="24" customHeight="1">
      <c r="A92" s="7" t="s">
        <v>174</v>
      </c>
      <c r="B92" s="7">
        <v>0</v>
      </c>
      <c r="C92" s="7"/>
      <c r="D92" s="7"/>
      <c r="E92" s="7"/>
      <c r="F92" s="7"/>
      <c r="G92" s="7"/>
      <c r="H92" s="7"/>
      <c r="I92" s="7"/>
      <c r="J92" s="7"/>
      <c r="K92" s="8"/>
      <c r="L92" s="8"/>
      <c r="M92" s="8"/>
      <c r="N92" s="10"/>
      <c r="O92" s="8"/>
      <c r="P92" s="8"/>
      <c r="Q92" s="7"/>
      <c r="R92" s="7"/>
      <c r="S92" s="9"/>
    </row>
    <row r="93" spans="1:19" ht="24" customHeight="1">
      <c r="A93" s="7" t="s">
        <v>175</v>
      </c>
      <c r="B93" s="7">
        <v>0</v>
      </c>
      <c r="C93" s="7"/>
      <c r="D93" s="7"/>
      <c r="E93" s="7"/>
      <c r="F93" s="7"/>
      <c r="G93" s="7"/>
      <c r="H93" s="7"/>
      <c r="I93" s="7"/>
      <c r="J93" s="7"/>
      <c r="K93" s="8"/>
      <c r="L93" s="8"/>
      <c r="M93" s="8"/>
      <c r="N93" s="10"/>
      <c r="O93" s="8"/>
      <c r="P93" s="8"/>
      <c r="Q93" s="7"/>
      <c r="R93" s="7"/>
      <c r="S93" s="9"/>
    </row>
    <row r="94" spans="1:19" ht="24" customHeight="1">
      <c r="A94" s="7" t="s">
        <v>176</v>
      </c>
      <c r="B94" s="7">
        <v>0</v>
      </c>
      <c r="C94" s="7"/>
      <c r="D94" s="7"/>
      <c r="E94" s="7"/>
      <c r="F94" s="7"/>
      <c r="G94" s="7"/>
      <c r="H94" s="7"/>
      <c r="I94" s="7"/>
      <c r="J94" s="7"/>
      <c r="K94" s="8"/>
      <c r="L94" s="8"/>
      <c r="M94" s="8"/>
      <c r="N94" s="10"/>
      <c r="O94" s="8"/>
      <c r="P94" s="8"/>
      <c r="Q94" s="7"/>
      <c r="R94" s="7"/>
      <c r="S94" s="9"/>
    </row>
    <row r="95" spans="1:19" ht="24" customHeight="1">
      <c r="A95" s="7" t="s">
        <v>177</v>
      </c>
      <c r="B95" s="7">
        <v>0</v>
      </c>
      <c r="C95" s="7"/>
      <c r="D95" s="7"/>
      <c r="E95" s="7"/>
      <c r="F95" s="7"/>
      <c r="G95" s="7"/>
      <c r="H95" s="7"/>
      <c r="I95" s="7"/>
      <c r="J95" s="7"/>
      <c r="K95" s="8"/>
      <c r="L95" s="8"/>
      <c r="M95" s="8"/>
      <c r="N95" s="10"/>
      <c r="O95" s="8"/>
      <c r="P95" s="8"/>
      <c r="Q95" s="7"/>
      <c r="R95" s="7"/>
      <c r="S95" s="9"/>
    </row>
    <row r="96" spans="1:19" ht="24" customHeight="1">
      <c r="A96" s="7" t="s">
        <v>178</v>
      </c>
      <c r="B96" s="7">
        <v>0</v>
      </c>
      <c r="C96" s="7"/>
      <c r="D96" s="7"/>
      <c r="E96" s="7"/>
      <c r="F96" s="7"/>
      <c r="G96" s="7"/>
      <c r="H96" s="7"/>
      <c r="I96" s="7"/>
      <c r="J96" s="7"/>
      <c r="K96" s="8"/>
      <c r="L96" s="8"/>
      <c r="M96" s="8"/>
      <c r="N96" s="10"/>
      <c r="O96" s="8"/>
      <c r="P96" s="8"/>
      <c r="Q96" s="7"/>
      <c r="R96" s="7"/>
      <c r="S96" s="9"/>
    </row>
    <row r="97" spans="1:19" ht="24" customHeight="1">
      <c r="A97" s="7" t="s">
        <v>179</v>
      </c>
      <c r="B97" s="7">
        <v>0</v>
      </c>
      <c r="C97" s="7"/>
      <c r="D97" s="7"/>
      <c r="E97" s="7"/>
      <c r="F97" s="7"/>
      <c r="G97" s="7"/>
      <c r="H97" s="7"/>
      <c r="I97" s="7"/>
      <c r="J97" s="7"/>
      <c r="K97" s="8"/>
      <c r="L97" s="8"/>
      <c r="M97" s="8"/>
      <c r="N97" s="10"/>
      <c r="O97" s="8"/>
      <c r="P97" s="8"/>
      <c r="Q97" s="7"/>
      <c r="R97" s="7"/>
      <c r="S97" s="9"/>
    </row>
    <row r="98" spans="1:19" ht="24" customHeight="1">
      <c r="A98" s="7" t="s">
        <v>180</v>
      </c>
      <c r="B98" s="7">
        <v>0</v>
      </c>
      <c r="C98" s="7"/>
      <c r="D98" s="7"/>
      <c r="E98" s="7"/>
      <c r="F98" s="7"/>
      <c r="G98" s="7"/>
      <c r="H98" s="7"/>
      <c r="I98" s="7"/>
      <c r="J98" s="7"/>
      <c r="K98" s="8"/>
      <c r="L98" s="8"/>
      <c r="M98" s="8"/>
      <c r="N98" s="10"/>
      <c r="O98" s="8"/>
      <c r="P98" s="8"/>
      <c r="Q98" s="7"/>
      <c r="R98" s="7"/>
      <c r="S98" s="9"/>
    </row>
    <row r="99" spans="1:19" ht="24" customHeight="1">
      <c r="A99" s="7" t="s">
        <v>181</v>
      </c>
      <c r="B99" s="7">
        <v>0</v>
      </c>
      <c r="C99" s="7"/>
      <c r="D99" s="7"/>
      <c r="E99" s="7"/>
      <c r="F99" s="7"/>
      <c r="G99" s="7"/>
      <c r="H99" s="7"/>
      <c r="I99" s="7"/>
      <c r="J99" s="7"/>
      <c r="K99" s="8"/>
      <c r="L99" s="8"/>
      <c r="M99" s="8"/>
      <c r="N99" s="10"/>
      <c r="O99" s="8"/>
      <c r="P99" s="8"/>
      <c r="Q99" s="7"/>
      <c r="R99" s="7"/>
      <c r="S99" s="9"/>
    </row>
    <row r="100" spans="1:19" ht="24" customHeight="1">
      <c r="A100" s="7" t="s">
        <v>182</v>
      </c>
      <c r="B100" s="7">
        <v>0</v>
      </c>
      <c r="C100" s="7"/>
      <c r="D100" s="7"/>
      <c r="E100" s="7"/>
      <c r="F100" s="7"/>
      <c r="G100" s="7"/>
      <c r="H100" s="7"/>
      <c r="I100" s="7"/>
      <c r="J100" s="7"/>
      <c r="K100" s="8"/>
      <c r="L100" s="8"/>
      <c r="M100" s="8"/>
      <c r="N100" s="10"/>
      <c r="O100" s="8"/>
      <c r="P100" s="8"/>
      <c r="Q100" s="7"/>
      <c r="R100" s="7"/>
      <c r="S100" s="9"/>
    </row>
    <row r="101" spans="1:19" ht="24" customHeight="1">
      <c r="A101" s="7" t="s">
        <v>183</v>
      </c>
      <c r="B101" s="7">
        <v>0</v>
      </c>
      <c r="C101" s="7"/>
      <c r="D101" s="7"/>
      <c r="E101" s="7"/>
      <c r="F101" s="7"/>
      <c r="G101" s="7"/>
      <c r="H101" s="7"/>
      <c r="I101" s="7"/>
      <c r="J101" s="7"/>
      <c r="K101" s="8"/>
      <c r="L101" s="8"/>
      <c r="M101" s="8"/>
      <c r="N101" s="10"/>
      <c r="O101" s="8"/>
      <c r="P101" s="8"/>
      <c r="Q101" s="7"/>
      <c r="R101" s="7"/>
      <c r="S101" s="9"/>
    </row>
    <row r="102" spans="1:19" ht="24" customHeight="1">
      <c r="A102" s="7" t="s">
        <v>184</v>
      </c>
      <c r="B102" s="7">
        <v>0</v>
      </c>
      <c r="C102" s="7"/>
      <c r="D102" s="7"/>
      <c r="E102" s="7"/>
      <c r="F102" s="7"/>
      <c r="G102" s="7"/>
      <c r="H102" s="7"/>
      <c r="I102" s="7"/>
      <c r="J102" s="7"/>
      <c r="K102" s="8"/>
      <c r="L102" s="8"/>
      <c r="M102" s="8"/>
      <c r="N102" s="10"/>
      <c r="O102" s="8"/>
      <c r="P102" s="8"/>
      <c r="Q102" s="7"/>
      <c r="R102" s="7"/>
      <c r="S102" s="9"/>
    </row>
    <row r="103" spans="1:19" ht="24" customHeight="1">
      <c r="A103" s="7" t="s">
        <v>185</v>
      </c>
      <c r="B103" s="7">
        <v>0</v>
      </c>
      <c r="C103" s="7"/>
      <c r="D103" s="7"/>
      <c r="E103" s="7"/>
      <c r="F103" s="7"/>
      <c r="G103" s="7"/>
      <c r="H103" s="7"/>
      <c r="I103" s="7"/>
      <c r="J103" s="7"/>
      <c r="K103" s="8"/>
      <c r="L103" s="8"/>
      <c r="M103" s="8"/>
      <c r="N103" s="10"/>
      <c r="O103" s="8"/>
      <c r="P103" s="8"/>
      <c r="Q103" s="7"/>
      <c r="R103" s="7"/>
      <c r="S103" s="9"/>
    </row>
    <row r="104" spans="1:19" ht="24" customHeight="1">
      <c r="A104" s="7" t="s">
        <v>186</v>
      </c>
      <c r="B104" s="7">
        <v>0</v>
      </c>
      <c r="C104" s="7"/>
      <c r="D104" s="7"/>
      <c r="E104" s="7"/>
      <c r="F104" s="7"/>
      <c r="G104" s="7"/>
      <c r="H104" s="7"/>
      <c r="I104" s="7"/>
      <c r="J104" s="7"/>
      <c r="K104" s="8"/>
      <c r="L104" s="8"/>
      <c r="M104" s="8"/>
      <c r="N104" s="10"/>
      <c r="O104" s="8"/>
      <c r="P104" s="8"/>
      <c r="Q104" s="7"/>
      <c r="R104" s="7"/>
      <c r="S104" s="9"/>
    </row>
    <row r="105" spans="1:19" ht="24" customHeight="1">
      <c r="A105" s="7" t="s">
        <v>187</v>
      </c>
      <c r="B105" s="7">
        <v>0</v>
      </c>
      <c r="C105" s="7"/>
      <c r="D105" s="7"/>
      <c r="E105" s="7"/>
      <c r="F105" s="7"/>
      <c r="G105" s="7"/>
      <c r="H105" s="7"/>
      <c r="I105" s="7"/>
      <c r="J105" s="7"/>
      <c r="K105" s="8"/>
      <c r="L105" s="8"/>
      <c r="M105" s="8"/>
      <c r="N105" s="10"/>
      <c r="O105" s="8"/>
      <c r="P105" s="8"/>
      <c r="Q105" s="7"/>
      <c r="R105" s="7"/>
      <c r="S105" s="9"/>
    </row>
    <row r="106" spans="1:19" ht="24" customHeight="1">
      <c r="A106" s="7" t="s">
        <v>188</v>
      </c>
      <c r="B106" s="7">
        <v>0</v>
      </c>
      <c r="C106" s="7"/>
      <c r="D106" s="7"/>
      <c r="E106" s="7"/>
      <c r="F106" s="7"/>
      <c r="G106" s="7"/>
      <c r="H106" s="7"/>
      <c r="I106" s="7"/>
      <c r="J106" s="7"/>
      <c r="K106" s="8"/>
      <c r="L106" s="8"/>
      <c r="M106" s="8"/>
      <c r="N106" s="10"/>
      <c r="O106" s="8"/>
      <c r="P106" s="8"/>
      <c r="Q106" s="7"/>
      <c r="R106" s="7"/>
      <c r="S106" s="9"/>
    </row>
  </sheetData>
  <dataValidations count="1">
    <dataValidation type="list" sqref="B7:B106" xr:uid="{00000000-0002-0000-0100-000000000000}">
      <formula1>"0,1"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9AB2"/>
  </sheetPr>
  <dimension ref="A1:AI10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RowHeight="14.25"/>
  <cols>
    <col min="1" max="1" width="12" customWidth="1"/>
    <col min="2" max="2" width="25" customWidth="1"/>
    <col min="3" max="30" width="18" customWidth="1"/>
    <col min="31" max="32" width="25" customWidth="1"/>
    <col min="33" max="35" width="18" customWidth="1"/>
  </cols>
  <sheetData>
    <row r="1" spans="1:35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24" customHeight="1">
      <c r="A2" s="2" t="s">
        <v>189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2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1:35" ht="25.9" customHeight="1">
      <c r="A4" s="1" t="s">
        <v>190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2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48" customHeight="1">
      <c r="A6" s="4" t="s">
        <v>63</v>
      </c>
      <c r="B6" s="4" t="s">
        <v>191</v>
      </c>
      <c r="C6" s="4" t="s">
        <v>192</v>
      </c>
      <c r="D6" s="4" t="s">
        <v>193</v>
      </c>
      <c r="E6" s="4" t="s">
        <v>194</v>
      </c>
      <c r="F6" s="4" t="s">
        <v>195</v>
      </c>
      <c r="G6" s="4" t="s">
        <v>196</v>
      </c>
      <c r="H6" s="4" t="s">
        <v>197</v>
      </c>
      <c r="I6" s="4" t="s">
        <v>198</v>
      </c>
      <c r="J6" s="4" t="s">
        <v>199</v>
      </c>
      <c r="K6" s="4" t="s">
        <v>200</v>
      </c>
      <c r="L6" s="4" t="s">
        <v>201</v>
      </c>
      <c r="M6" s="4" t="s">
        <v>202</v>
      </c>
      <c r="N6" s="4" t="s">
        <v>203</v>
      </c>
      <c r="O6" s="4" t="s">
        <v>204</v>
      </c>
      <c r="P6" s="4" t="s">
        <v>205</v>
      </c>
      <c r="Q6" s="4" t="s">
        <v>206</v>
      </c>
      <c r="R6" s="4" t="s">
        <v>207</v>
      </c>
      <c r="S6" s="4" t="s">
        <v>208</v>
      </c>
      <c r="T6" s="4" t="s">
        <v>209</v>
      </c>
      <c r="U6" s="4" t="s">
        <v>210</v>
      </c>
      <c r="V6" s="4" t="s">
        <v>211</v>
      </c>
      <c r="W6" s="4" t="s">
        <v>212</v>
      </c>
      <c r="X6" s="4" t="s">
        <v>213</v>
      </c>
      <c r="Y6" s="4" t="s">
        <v>214</v>
      </c>
      <c r="Z6" s="4" t="s">
        <v>215</v>
      </c>
      <c r="AA6" s="4" t="s">
        <v>216</v>
      </c>
      <c r="AB6" s="4" t="s">
        <v>217</v>
      </c>
      <c r="AC6" s="4" t="s">
        <v>218</v>
      </c>
      <c r="AD6" s="4" t="s">
        <v>219</v>
      </c>
      <c r="AE6" s="4" t="s">
        <v>220</v>
      </c>
      <c r="AF6" s="4" t="s">
        <v>221</v>
      </c>
      <c r="AG6" s="4" t="s">
        <v>222</v>
      </c>
      <c r="AH6" s="4" t="s">
        <v>223</v>
      </c>
      <c r="AI6" s="4" t="s">
        <v>224</v>
      </c>
    </row>
    <row r="7" spans="1:35" ht="24" customHeight="1">
      <c r="A7" s="7" t="s">
        <v>47</v>
      </c>
      <c r="B7" s="7" t="s">
        <v>225</v>
      </c>
      <c r="C7" s="8">
        <v>181000</v>
      </c>
      <c r="D7" s="8"/>
      <c r="E7" s="7"/>
      <c r="F7" s="7"/>
      <c r="G7" s="7" t="s">
        <v>226</v>
      </c>
      <c r="H7" s="7"/>
      <c r="I7" s="7" t="s">
        <v>227</v>
      </c>
      <c r="J7" s="7">
        <v>22</v>
      </c>
      <c r="K7" s="7" t="s">
        <v>228</v>
      </c>
      <c r="L7" s="7">
        <v>48</v>
      </c>
      <c r="M7" s="7"/>
      <c r="N7" s="8">
        <v>21300</v>
      </c>
      <c r="O7" s="7" t="s">
        <v>229</v>
      </c>
      <c r="P7" s="7">
        <v>0</v>
      </c>
      <c r="Q7" s="8">
        <v>8000</v>
      </c>
      <c r="R7" s="7" t="s">
        <v>229</v>
      </c>
      <c r="S7" s="7">
        <v>0</v>
      </c>
      <c r="T7" s="8">
        <v>8000</v>
      </c>
      <c r="U7" s="8"/>
      <c r="V7" s="8"/>
      <c r="W7" s="8">
        <v>0</v>
      </c>
      <c r="X7" s="8">
        <v>0</v>
      </c>
      <c r="Y7" s="8">
        <v>0</v>
      </c>
      <c r="Z7" s="8">
        <v>0</v>
      </c>
      <c r="AA7" s="7">
        <v>0</v>
      </c>
      <c r="AB7" s="7" t="s">
        <v>230</v>
      </c>
      <c r="AC7" s="7">
        <v>120</v>
      </c>
      <c r="AD7" s="7">
        <v>120</v>
      </c>
      <c r="AE7" s="7" t="s">
        <v>231</v>
      </c>
      <c r="AF7" s="7" t="s">
        <v>84</v>
      </c>
      <c r="AG7" s="11"/>
      <c r="AH7" s="11"/>
      <c r="AI7" s="8"/>
    </row>
    <row r="8" spans="1:35" ht="24" customHeight="1">
      <c r="A8" s="7" t="s">
        <v>85</v>
      </c>
      <c r="B8" s="7" t="s">
        <v>225</v>
      </c>
      <c r="C8" s="8">
        <v>181000</v>
      </c>
      <c r="D8" s="8"/>
      <c r="E8" s="7"/>
      <c r="F8" s="7"/>
      <c r="G8" s="7" t="s">
        <v>226</v>
      </c>
      <c r="H8" s="7"/>
      <c r="I8" s="7" t="s">
        <v>227</v>
      </c>
      <c r="J8" s="7">
        <v>22</v>
      </c>
      <c r="K8" s="7" t="s">
        <v>228</v>
      </c>
      <c r="L8" s="7">
        <v>48</v>
      </c>
      <c r="M8" s="7"/>
      <c r="N8" s="8">
        <v>30600</v>
      </c>
      <c r="O8" s="7" t="s">
        <v>49</v>
      </c>
      <c r="P8" s="7"/>
      <c r="Q8" s="8">
        <v>30600</v>
      </c>
      <c r="R8" s="7" t="s">
        <v>229</v>
      </c>
      <c r="S8" s="7">
        <v>0</v>
      </c>
      <c r="T8" s="8">
        <v>8000</v>
      </c>
      <c r="U8" s="8"/>
      <c r="V8" s="8"/>
      <c r="W8" s="8">
        <v>0</v>
      </c>
      <c r="X8" s="8">
        <v>0</v>
      </c>
      <c r="Y8" s="8">
        <v>0</v>
      </c>
      <c r="Z8" s="8">
        <v>0</v>
      </c>
      <c r="AA8" s="7">
        <v>0</v>
      </c>
      <c r="AB8" s="7" t="s">
        <v>230</v>
      </c>
      <c r="AC8" s="7">
        <v>120</v>
      </c>
      <c r="AD8" s="7">
        <v>120</v>
      </c>
      <c r="AE8" s="7" t="s">
        <v>231</v>
      </c>
      <c r="AF8" s="7" t="s">
        <v>86</v>
      </c>
      <c r="AG8" s="11"/>
      <c r="AH8" s="11"/>
      <c r="AI8" s="8"/>
    </row>
    <row r="9" spans="1:35" ht="24" customHeight="1">
      <c r="A9" s="7" t="s">
        <v>87</v>
      </c>
      <c r="B9" s="7" t="s">
        <v>225</v>
      </c>
      <c r="C9" s="8">
        <v>181000</v>
      </c>
      <c r="D9" s="8"/>
      <c r="E9" s="7"/>
      <c r="F9" s="7"/>
      <c r="G9" s="7" t="s">
        <v>226</v>
      </c>
      <c r="H9" s="7"/>
      <c r="I9" s="7" t="s">
        <v>227</v>
      </c>
      <c r="J9" s="7">
        <v>22</v>
      </c>
      <c r="K9" s="7" t="s">
        <v>228</v>
      </c>
      <c r="L9" s="7">
        <v>48</v>
      </c>
      <c r="M9" s="7"/>
      <c r="N9" s="8">
        <v>39900</v>
      </c>
      <c r="O9" s="7" t="s">
        <v>49</v>
      </c>
      <c r="P9" s="7"/>
      <c r="Q9" s="8">
        <v>39900</v>
      </c>
      <c r="R9" s="7" t="s">
        <v>229</v>
      </c>
      <c r="S9" s="7">
        <v>0</v>
      </c>
      <c r="T9" s="8">
        <v>8000</v>
      </c>
      <c r="U9" s="8"/>
      <c r="V9" s="8"/>
      <c r="W9" s="8">
        <v>0</v>
      </c>
      <c r="X9" s="8">
        <v>0</v>
      </c>
      <c r="Y9" s="8">
        <v>0</v>
      </c>
      <c r="Z9" s="8">
        <v>0</v>
      </c>
      <c r="AA9" s="7">
        <v>0</v>
      </c>
      <c r="AB9" s="7" t="s">
        <v>230</v>
      </c>
      <c r="AC9" s="7">
        <v>120</v>
      </c>
      <c r="AD9" s="7">
        <v>120</v>
      </c>
      <c r="AE9" s="7" t="s">
        <v>231</v>
      </c>
      <c r="AF9" s="7" t="s">
        <v>88</v>
      </c>
      <c r="AG9" s="11"/>
      <c r="AH9" s="11"/>
      <c r="AI9" s="8"/>
    </row>
    <row r="10" spans="1:35" ht="24" customHeight="1">
      <c r="A10" s="7" t="s">
        <v>89</v>
      </c>
      <c r="B10" s="7" t="s">
        <v>225</v>
      </c>
      <c r="C10" s="8">
        <v>181000</v>
      </c>
      <c r="D10" s="8"/>
      <c r="E10" s="7"/>
      <c r="F10" s="7"/>
      <c r="G10" s="7" t="s">
        <v>226</v>
      </c>
      <c r="H10" s="7"/>
      <c r="I10" s="7" t="s">
        <v>227</v>
      </c>
      <c r="J10" s="7">
        <v>22</v>
      </c>
      <c r="K10" s="7" t="s">
        <v>228</v>
      </c>
      <c r="L10" s="7">
        <v>48</v>
      </c>
      <c r="M10" s="7"/>
      <c r="N10" s="8">
        <v>49200</v>
      </c>
      <c r="O10" s="7" t="s">
        <v>49</v>
      </c>
      <c r="P10" s="7"/>
      <c r="Q10" s="8">
        <v>49200</v>
      </c>
      <c r="R10" s="7" t="s">
        <v>49</v>
      </c>
      <c r="S10" s="7"/>
      <c r="T10" s="8">
        <v>49200</v>
      </c>
      <c r="U10" s="8"/>
      <c r="V10" s="8"/>
      <c r="W10" s="8">
        <v>0</v>
      </c>
      <c r="X10" s="8">
        <v>0</v>
      </c>
      <c r="Y10" s="8">
        <v>0</v>
      </c>
      <c r="Z10" s="8">
        <v>0</v>
      </c>
      <c r="AA10" s="7">
        <v>0</v>
      </c>
      <c r="AB10" s="7" t="s">
        <v>230</v>
      </c>
      <c r="AC10" s="7">
        <v>120</v>
      </c>
      <c r="AD10" s="7">
        <v>120</v>
      </c>
      <c r="AE10" s="7" t="s">
        <v>231</v>
      </c>
      <c r="AF10" s="7" t="s">
        <v>90</v>
      </c>
      <c r="AG10" s="11"/>
      <c r="AH10" s="11"/>
      <c r="AI10" s="8"/>
    </row>
    <row r="11" spans="1:35" ht="24" customHeight="1">
      <c r="A11" s="7" t="s">
        <v>91</v>
      </c>
      <c r="B11" s="7" t="s">
        <v>225</v>
      </c>
      <c r="C11" s="8">
        <v>181000</v>
      </c>
      <c r="D11" s="8"/>
      <c r="E11" s="7"/>
      <c r="F11" s="7"/>
      <c r="G11" s="7" t="s">
        <v>226</v>
      </c>
      <c r="H11" s="7"/>
      <c r="I11" s="7" t="s">
        <v>227</v>
      </c>
      <c r="J11" s="7">
        <v>22</v>
      </c>
      <c r="K11" s="7" t="s">
        <v>228</v>
      </c>
      <c r="L11" s="7">
        <v>48</v>
      </c>
      <c r="M11" s="7"/>
      <c r="N11" s="8">
        <v>58500</v>
      </c>
      <c r="O11" s="7" t="s">
        <v>49</v>
      </c>
      <c r="P11" s="7"/>
      <c r="Q11" s="8">
        <v>58500</v>
      </c>
      <c r="R11" s="7" t="s">
        <v>49</v>
      </c>
      <c r="S11" s="7"/>
      <c r="T11" s="8">
        <v>58500</v>
      </c>
      <c r="U11" s="8"/>
      <c r="V11" s="8"/>
      <c r="W11" s="8">
        <v>0</v>
      </c>
      <c r="X11" s="8">
        <v>0</v>
      </c>
      <c r="Y11" s="8">
        <v>0</v>
      </c>
      <c r="Z11" s="8">
        <v>0</v>
      </c>
      <c r="AA11" s="7">
        <v>0</v>
      </c>
      <c r="AB11" s="7" t="s">
        <v>230</v>
      </c>
      <c r="AC11" s="7">
        <v>120</v>
      </c>
      <c r="AD11" s="7">
        <v>120</v>
      </c>
      <c r="AE11" s="7" t="s">
        <v>231</v>
      </c>
      <c r="AF11" s="7" t="s">
        <v>92</v>
      </c>
      <c r="AG11" s="11"/>
      <c r="AH11" s="11"/>
      <c r="AI11" s="8"/>
    </row>
    <row r="12" spans="1:35" ht="24" customHeight="1">
      <c r="A12" s="7" t="s">
        <v>93</v>
      </c>
      <c r="B12" s="7" t="s">
        <v>225</v>
      </c>
      <c r="C12" s="8">
        <v>181000</v>
      </c>
      <c r="D12" s="8"/>
      <c r="E12" s="7"/>
      <c r="F12" s="7"/>
      <c r="G12" s="7" t="s">
        <v>226</v>
      </c>
      <c r="H12" s="7"/>
      <c r="I12" s="7" t="s">
        <v>227</v>
      </c>
      <c r="J12" s="7">
        <v>22</v>
      </c>
      <c r="K12" s="7" t="s">
        <v>228</v>
      </c>
      <c r="L12" s="7">
        <v>48</v>
      </c>
      <c r="M12" s="7"/>
      <c r="N12" s="8">
        <v>67800</v>
      </c>
      <c r="O12" s="7" t="s">
        <v>49</v>
      </c>
      <c r="P12" s="7"/>
      <c r="Q12" s="8">
        <v>67800</v>
      </c>
      <c r="R12" s="7" t="s">
        <v>49</v>
      </c>
      <c r="S12" s="7"/>
      <c r="T12" s="8">
        <v>67800</v>
      </c>
      <c r="U12" s="8"/>
      <c r="V12" s="8"/>
      <c r="W12" s="8">
        <v>0</v>
      </c>
      <c r="X12" s="8">
        <v>0</v>
      </c>
      <c r="Y12" s="8">
        <v>0</v>
      </c>
      <c r="Z12" s="8">
        <v>0</v>
      </c>
      <c r="AA12" s="7">
        <v>0</v>
      </c>
      <c r="AB12" s="7" t="s">
        <v>230</v>
      </c>
      <c r="AC12" s="7">
        <v>120</v>
      </c>
      <c r="AD12" s="7">
        <v>120</v>
      </c>
      <c r="AE12" s="7" t="s">
        <v>231</v>
      </c>
      <c r="AF12" s="7" t="s">
        <v>94</v>
      </c>
      <c r="AG12" s="11"/>
      <c r="AH12" s="11"/>
      <c r="AI12" s="8"/>
    </row>
    <row r="13" spans="1:35" ht="24" customHeight="1">
      <c r="A13" s="7" t="s">
        <v>95</v>
      </c>
      <c r="B13" s="7" t="s">
        <v>225</v>
      </c>
      <c r="C13" s="8">
        <v>181000</v>
      </c>
      <c r="D13" s="8"/>
      <c r="E13" s="7"/>
      <c r="F13" s="7"/>
      <c r="G13" s="7" t="s">
        <v>226</v>
      </c>
      <c r="H13" s="7"/>
      <c r="I13" s="7" t="s">
        <v>227</v>
      </c>
      <c r="J13" s="7">
        <v>22</v>
      </c>
      <c r="K13" s="7" t="s">
        <v>228</v>
      </c>
      <c r="L13" s="7">
        <v>48</v>
      </c>
      <c r="M13" s="7"/>
      <c r="N13" s="8"/>
      <c r="O13" s="7" t="s">
        <v>49</v>
      </c>
      <c r="P13" s="7"/>
      <c r="Q13" s="8"/>
      <c r="R13" s="7" t="s">
        <v>49</v>
      </c>
      <c r="S13" s="7"/>
      <c r="T13" s="8"/>
      <c r="U13" s="8"/>
      <c r="V13" s="8"/>
      <c r="W13" s="8">
        <v>0</v>
      </c>
      <c r="X13" s="8">
        <v>0</v>
      </c>
      <c r="Y13" s="8">
        <v>0</v>
      </c>
      <c r="Z13" s="8">
        <v>0</v>
      </c>
      <c r="AA13" s="7">
        <v>0</v>
      </c>
      <c r="AB13" s="7" t="s">
        <v>230</v>
      </c>
      <c r="AC13" s="7">
        <v>120</v>
      </c>
      <c r="AD13" s="7">
        <v>120</v>
      </c>
      <c r="AE13" s="7" t="s">
        <v>231</v>
      </c>
      <c r="AF13" s="7"/>
      <c r="AG13" s="11"/>
      <c r="AH13" s="11"/>
      <c r="AI13" s="8"/>
    </row>
    <row r="14" spans="1:35" ht="24" customHeight="1">
      <c r="A14" s="7" t="s">
        <v>96</v>
      </c>
      <c r="B14" s="7" t="s">
        <v>225</v>
      </c>
      <c r="C14" s="8">
        <v>181000</v>
      </c>
      <c r="D14" s="8"/>
      <c r="E14" s="7"/>
      <c r="F14" s="7"/>
      <c r="G14" s="7" t="s">
        <v>226</v>
      </c>
      <c r="H14" s="7"/>
      <c r="I14" s="7" t="s">
        <v>227</v>
      </c>
      <c r="J14" s="7">
        <v>22</v>
      </c>
      <c r="K14" s="7" t="s">
        <v>228</v>
      </c>
      <c r="L14" s="7">
        <v>48</v>
      </c>
      <c r="M14" s="7"/>
      <c r="N14" s="8"/>
      <c r="O14" s="7" t="s">
        <v>49</v>
      </c>
      <c r="P14" s="7"/>
      <c r="Q14" s="8"/>
      <c r="R14" s="7" t="s">
        <v>49</v>
      </c>
      <c r="S14" s="7"/>
      <c r="T14" s="8"/>
      <c r="U14" s="8"/>
      <c r="V14" s="8"/>
      <c r="W14" s="8">
        <v>0</v>
      </c>
      <c r="X14" s="8">
        <v>0</v>
      </c>
      <c r="Y14" s="8">
        <v>0</v>
      </c>
      <c r="Z14" s="8">
        <v>0</v>
      </c>
      <c r="AA14" s="7">
        <v>0</v>
      </c>
      <c r="AB14" s="7" t="s">
        <v>230</v>
      </c>
      <c r="AC14" s="7">
        <v>120</v>
      </c>
      <c r="AD14" s="7">
        <v>120</v>
      </c>
      <c r="AE14" s="7" t="s">
        <v>231</v>
      </c>
      <c r="AF14" s="7"/>
      <c r="AG14" s="11"/>
      <c r="AH14" s="11"/>
      <c r="AI14" s="8"/>
    </row>
    <row r="15" spans="1:35" ht="24" customHeight="1">
      <c r="A15" s="7" t="s">
        <v>97</v>
      </c>
      <c r="B15" s="7" t="s">
        <v>225</v>
      </c>
      <c r="C15" s="8">
        <v>181000</v>
      </c>
      <c r="D15" s="8"/>
      <c r="E15" s="7"/>
      <c r="F15" s="7"/>
      <c r="G15" s="7" t="s">
        <v>226</v>
      </c>
      <c r="H15" s="7"/>
      <c r="I15" s="7" t="s">
        <v>227</v>
      </c>
      <c r="J15" s="7">
        <v>22</v>
      </c>
      <c r="K15" s="7" t="s">
        <v>228</v>
      </c>
      <c r="L15" s="7">
        <v>48</v>
      </c>
      <c r="M15" s="7"/>
      <c r="N15" s="8"/>
      <c r="O15" s="7" t="s">
        <v>49</v>
      </c>
      <c r="P15" s="7"/>
      <c r="Q15" s="8"/>
      <c r="R15" s="7" t="s">
        <v>49</v>
      </c>
      <c r="S15" s="7"/>
      <c r="T15" s="8"/>
      <c r="U15" s="8"/>
      <c r="V15" s="8"/>
      <c r="W15" s="8">
        <v>0</v>
      </c>
      <c r="X15" s="8">
        <v>0</v>
      </c>
      <c r="Y15" s="8">
        <v>0</v>
      </c>
      <c r="Z15" s="8">
        <v>0</v>
      </c>
      <c r="AA15" s="7">
        <v>0</v>
      </c>
      <c r="AB15" s="7" t="s">
        <v>230</v>
      </c>
      <c r="AC15" s="7">
        <v>120</v>
      </c>
      <c r="AD15" s="7">
        <v>120</v>
      </c>
      <c r="AE15" s="7" t="s">
        <v>231</v>
      </c>
      <c r="AF15" s="7"/>
      <c r="AG15" s="11"/>
      <c r="AH15" s="11"/>
      <c r="AI15" s="8"/>
    </row>
    <row r="16" spans="1:35" ht="24" customHeight="1">
      <c r="A16" s="7" t="s">
        <v>98</v>
      </c>
      <c r="B16" s="7" t="s">
        <v>225</v>
      </c>
      <c r="C16" s="8">
        <v>181000</v>
      </c>
      <c r="D16" s="8"/>
      <c r="E16" s="7"/>
      <c r="F16" s="7"/>
      <c r="G16" s="7" t="s">
        <v>226</v>
      </c>
      <c r="H16" s="7"/>
      <c r="I16" s="7" t="s">
        <v>227</v>
      </c>
      <c r="J16" s="7">
        <v>22</v>
      </c>
      <c r="K16" s="7" t="s">
        <v>228</v>
      </c>
      <c r="L16" s="7">
        <v>48</v>
      </c>
      <c r="M16" s="7"/>
      <c r="N16" s="8"/>
      <c r="O16" s="7" t="s">
        <v>49</v>
      </c>
      <c r="P16" s="7"/>
      <c r="Q16" s="8"/>
      <c r="R16" s="7" t="s">
        <v>49</v>
      </c>
      <c r="S16" s="7"/>
      <c r="T16" s="8"/>
      <c r="U16" s="8"/>
      <c r="V16" s="8"/>
      <c r="W16" s="8">
        <v>0</v>
      </c>
      <c r="X16" s="8">
        <v>0</v>
      </c>
      <c r="Y16" s="8">
        <v>0</v>
      </c>
      <c r="Z16" s="8">
        <v>0</v>
      </c>
      <c r="AA16" s="7">
        <v>0</v>
      </c>
      <c r="AB16" s="7" t="s">
        <v>230</v>
      </c>
      <c r="AC16" s="7">
        <v>120</v>
      </c>
      <c r="AD16" s="7">
        <v>120</v>
      </c>
      <c r="AE16" s="7" t="s">
        <v>231</v>
      </c>
      <c r="AF16" s="7"/>
      <c r="AG16" s="11"/>
      <c r="AH16" s="11"/>
      <c r="AI16" s="8"/>
    </row>
    <row r="17" spans="1:35" ht="24" customHeight="1">
      <c r="A17" s="7" t="s">
        <v>99</v>
      </c>
      <c r="B17" s="7" t="s">
        <v>225</v>
      </c>
      <c r="C17" s="8">
        <v>181000</v>
      </c>
      <c r="D17" s="8"/>
      <c r="E17" s="7"/>
      <c r="F17" s="7"/>
      <c r="G17" s="7" t="s">
        <v>226</v>
      </c>
      <c r="H17" s="7"/>
      <c r="I17" s="7" t="s">
        <v>227</v>
      </c>
      <c r="J17" s="7">
        <v>22</v>
      </c>
      <c r="K17" s="7" t="s">
        <v>228</v>
      </c>
      <c r="L17" s="7">
        <v>48</v>
      </c>
      <c r="M17" s="7"/>
      <c r="N17" s="8"/>
      <c r="O17" s="7" t="s">
        <v>49</v>
      </c>
      <c r="P17" s="7"/>
      <c r="Q17" s="8"/>
      <c r="R17" s="7" t="s">
        <v>49</v>
      </c>
      <c r="S17" s="7"/>
      <c r="T17" s="8"/>
      <c r="U17" s="8"/>
      <c r="V17" s="8"/>
      <c r="W17" s="8">
        <v>0</v>
      </c>
      <c r="X17" s="8">
        <v>0</v>
      </c>
      <c r="Y17" s="8">
        <v>0</v>
      </c>
      <c r="Z17" s="8">
        <v>0</v>
      </c>
      <c r="AA17" s="7">
        <v>0</v>
      </c>
      <c r="AB17" s="7" t="s">
        <v>230</v>
      </c>
      <c r="AC17" s="7">
        <v>120</v>
      </c>
      <c r="AD17" s="7">
        <v>120</v>
      </c>
      <c r="AE17" s="7" t="s">
        <v>231</v>
      </c>
      <c r="AF17" s="7"/>
      <c r="AG17" s="11"/>
      <c r="AH17" s="11"/>
      <c r="AI17" s="8"/>
    </row>
    <row r="18" spans="1:35" ht="24" customHeight="1">
      <c r="A18" s="7" t="s">
        <v>100</v>
      </c>
      <c r="B18" s="7" t="s">
        <v>225</v>
      </c>
      <c r="C18" s="8">
        <v>181000</v>
      </c>
      <c r="D18" s="8"/>
      <c r="E18" s="7"/>
      <c r="F18" s="7"/>
      <c r="G18" s="7" t="s">
        <v>226</v>
      </c>
      <c r="H18" s="7"/>
      <c r="I18" s="7" t="s">
        <v>227</v>
      </c>
      <c r="J18" s="7">
        <v>22</v>
      </c>
      <c r="K18" s="7" t="s">
        <v>228</v>
      </c>
      <c r="L18" s="7">
        <v>48</v>
      </c>
      <c r="M18" s="7"/>
      <c r="N18" s="8"/>
      <c r="O18" s="7" t="s">
        <v>49</v>
      </c>
      <c r="P18" s="7"/>
      <c r="Q18" s="8"/>
      <c r="R18" s="7" t="s">
        <v>49</v>
      </c>
      <c r="S18" s="7"/>
      <c r="T18" s="8"/>
      <c r="U18" s="8"/>
      <c r="V18" s="8"/>
      <c r="W18" s="8">
        <v>0</v>
      </c>
      <c r="X18" s="8">
        <v>0</v>
      </c>
      <c r="Y18" s="8">
        <v>0</v>
      </c>
      <c r="Z18" s="8">
        <v>0</v>
      </c>
      <c r="AA18" s="7">
        <v>0</v>
      </c>
      <c r="AB18" s="7" t="s">
        <v>230</v>
      </c>
      <c r="AC18" s="7">
        <v>120</v>
      </c>
      <c r="AD18" s="7">
        <v>120</v>
      </c>
      <c r="AE18" s="7" t="s">
        <v>231</v>
      </c>
      <c r="AF18" s="7"/>
      <c r="AG18" s="11"/>
      <c r="AH18" s="11"/>
      <c r="AI18" s="8"/>
    </row>
    <row r="19" spans="1:35" ht="24" customHeight="1">
      <c r="A19" s="7" t="s">
        <v>101</v>
      </c>
      <c r="B19" s="7" t="s">
        <v>225</v>
      </c>
      <c r="C19" s="8">
        <v>181000</v>
      </c>
      <c r="D19" s="8"/>
      <c r="E19" s="7"/>
      <c r="F19" s="7"/>
      <c r="G19" s="7" t="s">
        <v>226</v>
      </c>
      <c r="H19" s="7"/>
      <c r="I19" s="7" t="s">
        <v>227</v>
      </c>
      <c r="J19" s="7">
        <v>22</v>
      </c>
      <c r="K19" s="7" t="s">
        <v>228</v>
      </c>
      <c r="L19" s="7">
        <v>48</v>
      </c>
      <c r="M19" s="7"/>
      <c r="N19" s="8"/>
      <c r="O19" s="7" t="s">
        <v>49</v>
      </c>
      <c r="P19" s="7"/>
      <c r="Q19" s="8"/>
      <c r="R19" s="7" t="s">
        <v>49</v>
      </c>
      <c r="S19" s="7"/>
      <c r="T19" s="8"/>
      <c r="U19" s="8"/>
      <c r="V19" s="8"/>
      <c r="W19" s="8">
        <v>0</v>
      </c>
      <c r="X19" s="8">
        <v>0</v>
      </c>
      <c r="Y19" s="8">
        <v>0</v>
      </c>
      <c r="Z19" s="8">
        <v>0</v>
      </c>
      <c r="AA19" s="7">
        <v>0</v>
      </c>
      <c r="AB19" s="7" t="s">
        <v>230</v>
      </c>
      <c r="AC19" s="7">
        <v>120</v>
      </c>
      <c r="AD19" s="7">
        <v>120</v>
      </c>
      <c r="AE19" s="7" t="s">
        <v>231</v>
      </c>
      <c r="AF19" s="7"/>
      <c r="AG19" s="11"/>
      <c r="AH19" s="11"/>
      <c r="AI19" s="8"/>
    </row>
    <row r="20" spans="1:35" ht="24" customHeight="1">
      <c r="A20" s="7" t="s">
        <v>102</v>
      </c>
      <c r="B20" s="7" t="s">
        <v>225</v>
      </c>
      <c r="C20" s="8">
        <v>181000</v>
      </c>
      <c r="D20" s="8"/>
      <c r="E20" s="7"/>
      <c r="F20" s="7"/>
      <c r="G20" s="7" t="s">
        <v>226</v>
      </c>
      <c r="H20" s="7"/>
      <c r="I20" s="7" t="s">
        <v>227</v>
      </c>
      <c r="J20" s="7">
        <v>22</v>
      </c>
      <c r="K20" s="7" t="s">
        <v>228</v>
      </c>
      <c r="L20" s="7">
        <v>48</v>
      </c>
      <c r="M20" s="7"/>
      <c r="N20" s="8"/>
      <c r="O20" s="7" t="s">
        <v>49</v>
      </c>
      <c r="P20" s="7"/>
      <c r="Q20" s="8"/>
      <c r="R20" s="7" t="s">
        <v>49</v>
      </c>
      <c r="S20" s="7"/>
      <c r="T20" s="8"/>
      <c r="U20" s="8"/>
      <c r="V20" s="8"/>
      <c r="W20" s="8">
        <v>0</v>
      </c>
      <c r="X20" s="8">
        <v>0</v>
      </c>
      <c r="Y20" s="8">
        <v>0</v>
      </c>
      <c r="Z20" s="8">
        <v>0</v>
      </c>
      <c r="AA20" s="7">
        <v>0</v>
      </c>
      <c r="AB20" s="7" t="s">
        <v>230</v>
      </c>
      <c r="AC20" s="7">
        <v>120</v>
      </c>
      <c r="AD20" s="7">
        <v>120</v>
      </c>
      <c r="AE20" s="7" t="s">
        <v>231</v>
      </c>
      <c r="AF20" s="7"/>
      <c r="AG20" s="11"/>
      <c r="AH20" s="11"/>
      <c r="AI20" s="8"/>
    </row>
    <row r="21" spans="1:35" ht="24" customHeight="1">
      <c r="A21" s="7" t="s">
        <v>103</v>
      </c>
      <c r="B21" s="7" t="s">
        <v>225</v>
      </c>
      <c r="C21" s="8">
        <v>181000</v>
      </c>
      <c r="D21" s="8"/>
      <c r="E21" s="7"/>
      <c r="F21" s="7"/>
      <c r="G21" s="7" t="s">
        <v>226</v>
      </c>
      <c r="H21" s="7"/>
      <c r="I21" s="7" t="s">
        <v>227</v>
      </c>
      <c r="J21" s="7">
        <v>22</v>
      </c>
      <c r="K21" s="7" t="s">
        <v>228</v>
      </c>
      <c r="L21" s="7">
        <v>48</v>
      </c>
      <c r="M21" s="7"/>
      <c r="N21" s="8"/>
      <c r="O21" s="7" t="s">
        <v>49</v>
      </c>
      <c r="P21" s="7"/>
      <c r="Q21" s="8"/>
      <c r="R21" s="7" t="s">
        <v>49</v>
      </c>
      <c r="S21" s="7"/>
      <c r="T21" s="8"/>
      <c r="U21" s="8"/>
      <c r="V21" s="8"/>
      <c r="W21" s="8">
        <v>0</v>
      </c>
      <c r="X21" s="8">
        <v>0</v>
      </c>
      <c r="Y21" s="8">
        <v>0</v>
      </c>
      <c r="Z21" s="8">
        <v>0</v>
      </c>
      <c r="AA21" s="7">
        <v>0</v>
      </c>
      <c r="AB21" s="7" t="s">
        <v>230</v>
      </c>
      <c r="AC21" s="7">
        <v>120</v>
      </c>
      <c r="AD21" s="7">
        <v>120</v>
      </c>
      <c r="AE21" s="7" t="s">
        <v>231</v>
      </c>
      <c r="AF21" s="7"/>
      <c r="AG21" s="11"/>
      <c r="AH21" s="11"/>
      <c r="AI21" s="8"/>
    </row>
    <row r="22" spans="1:35" ht="24" customHeight="1">
      <c r="A22" s="7" t="s">
        <v>104</v>
      </c>
      <c r="B22" s="7" t="s">
        <v>225</v>
      </c>
      <c r="C22" s="8">
        <v>181000</v>
      </c>
      <c r="D22" s="8"/>
      <c r="E22" s="7"/>
      <c r="F22" s="7"/>
      <c r="G22" s="7" t="s">
        <v>226</v>
      </c>
      <c r="H22" s="7"/>
      <c r="I22" s="7" t="s">
        <v>227</v>
      </c>
      <c r="J22" s="7">
        <v>22</v>
      </c>
      <c r="K22" s="7" t="s">
        <v>228</v>
      </c>
      <c r="L22" s="7">
        <v>48</v>
      </c>
      <c r="M22" s="7"/>
      <c r="N22" s="8"/>
      <c r="O22" s="7" t="s">
        <v>49</v>
      </c>
      <c r="P22" s="7"/>
      <c r="Q22" s="8"/>
      <c r="R22" s="7" t="s">
        <v>49</v>
      </c>
      <c r="S22" s="7"/>
      <c r="T22" s="8"/>
      <c r="U22" s="8"/>
      <c r="V22" s="8"/>
      <c r="W22" s="8">
        <v>0</v>
      </c>
      <c r="X22" s="8">
        <v>0</v>
      </c>
      <c r="Y22" s="8">
        <v>0</v>
      </c>
      <c r="Z22" s="8">
        <v>0</v>
      </c>
      <c r="AA22" s="7">
        <v>0</v>
      </c>
      <c r="AB22" s="7" t="s">
        <v>230</v>
      </c>
      <c r="AC22" s="7">
        <v>120</v>
      </c>
      <c r="AD22" s="7">
        <v>120</v>
      </c>
      <c r="AE22" s="7" t="s">
        <v>231</v>
      </c>
      <c r="AF22" s="7"/>
      <c r="AG22" s="11"/>
      <c r="AH22" s="11"/>
      <c r="AI22" s="8"/>
    </row>
    <row r="23" spans="1:35" ht="24" customHeight="1">
      <c r="A23" s="7" t="s">
        <v>105</v>
      </c>
      <c r="B23" s="7" t="s">
        <v>225</v>
      </c>
      <c r="C23" s="8">
        <v>181000</v>
      </c>
      <c r="D23" s="8"/>
      <c r="E23" s="7"/>
      <c r="F23" s="7"/>
      <c r="G23" s="7" t="s">
        <v>226</v>
      </c>
      <c r="H23" s="7"/>
      <c r="I23" s="7" t="s">
        <v>227</v>
      </c>
      <c r="J23" s="7">
        <v>22</v>
      </c>
      <c r="K23" s="7" t="s">
        <v>228</v>
      </c>
      <c r="L23" s="7">
        <v>48</v>
      </c>
      <c r="M23" s="7"/>
      <c r="N23" s="8"/>
      <c r="O23" s="7" t="s">
        <v>49</v>
      </c>
      <c r="P23" s="7"/>
      <c r="Q23" s="8"/>
      <c r="R23" s="7" t="s">
        <v>49</v>
      </c>
      <c r="S23" s="7"/>
      <c r="T23" s="8"/>
      <c r="U23" s="8"/>
      <c r="V23" s="8"/>
      <c r="W23" s="8">
        <v>0</v>
      </c>
      <c r="X23" s="8">
        <v>0</v>
      </c>
      <c r="Y23" s="8">
        <v>0</v>
      </c>
      <c r="Z23" s="8">
        <v>0</v>
      </c>
      <c r="AA23" s="7">
        <v>0</v>
      </c>
      <c r="AB23" s="7" t="s">
        <v>230</v>
      </c>
      <c r="AC23" s="7">
        <v>120</v>
      </c>
      <c r="AD23" s="7">
        <v>120</v>
      </c>
      <c r="AE23" s="7" t="s">
        <v>231</v>
      </c>
      <c r="AF23" s="7"/>
      <c r="AG23" s="11"/>
      <c r="AH23" s="11"/>
      <c r="AI23" s="8"/>
    </row>
    <row r="24" spans="1:35" ht="24" customHeight="1">
      <c r="A24" s="7" t="s">
        <v>106</v>
      </c>
      <c r="B24" s="7" t="s">
        <v>225</v>
      </c>
      <c r="C24" s="8">
        <v>181000</v>
      </c>
      <c r="D24" s="8"/>
      <c r="E24" s="7"/>
      <c r="F24" s="7"/>
      <c r="G24" s="7" t="s">
        <v>226</v>
      </c>
      <c r="H24" s="7"/>
      <c r="I24" s="7" t="s">
        <v>227</v>
      </c>
      <c r="J24" s="7">
        <v>22</v>
      </c>
      <c r="K24" s="7" t="s">
        <v>228</v>
      </c>
      <c r="L24" s="7">
        <v>48</v>
      </c>
      <c r="M24" s="7"/>
      <c r="N24" s="8"/>
      <c r="O24" s="7" t="s">
        <v>49</v>
      </c>
      <c r="P24" s="7"/>
      <c r="Q24" s="8"/>
      <c r="R24" s="7" t="s">
        <v>49</v>
      </c>
      <c r="S24" s="7"/>
      <c r="T24" s="8"/>
      <c r="U24" s="8"/>
      <c r="V24" s="8"/>
      <c r="W24" s="8">
        <v>0</v>
      </c>
      <c r="X24" s="8">
        <v>0</v>
      </c>
      <c r="Y24" s="8">
        <v>0</v>
      </c>
      <c r="Z24" s="8">
        <v>0</v>
      </c>
      <c r="AA24" s="7">
        <v>0</v>
      </c>
      <c r="AB24" s="7" t="s">
        <v>230</v>
      </c>
      <c r="AC24" s="7">
        <v>120</v>
      </c>
      <c r="AD24" s="7">
        <v>120</v>
      </c>
      <c r="AE24" s="7" t="s">
        <v>231</v>
      </c>
      <c r="AF24" s="7"/>
      <c r="AG24" s="11"/>
      <c r="AH24" s="11"/>
      <c r="AI24" s="8"/>
    </row>
    <row r="25" spans="1:35" ht="24" customHeight="1">
      <c r="A25" s="7" t="s">
        <v>107</v>
      </c>
      <c r="B25" s="7" t="s">
        <v>225</v>
      </c>
      <c r="C25" s="8">
        <v>181000</v>
      </c>
      <c r="D25" s="8"/>
      <c r="E25" s="7"/>
      <c r="F25" s="7"/>
      <c r="G25" s="7" t="s">
        <v>226</v>
      </c>
      <c r="H25" s="7"/>
      <c r="I25" s="7" t="s">
        <v>227</v>
      </c>
      <c r="J25" s="7">
        <v>22</v>
      </c>
      <c r="K25" s="7" t="s">
        <v>228</v>
      </c>
      <c r="L25" s="7">
        <v>48</v>
      </c>
      <c r="M25" s="7"/>
      <c r="N25" s="8"/>
      <c r="O25" s="7" t="s">
        <v>49</v>
      </c>
      <c r="P25" s="7"/>
      <c r="Q25" s="8"/>
      <c r="R25" s="7" t="s">
        <v>49</v>
      </c>
      <c r="S25" s="7"/>
      <c r="T25" s="8"/>
      <c r="U25" s="8"/>
      <c r="V25" s="8"/>
      <c r="W25" s="8">
        <v>0</v>
      </c>
      <c r="X25" s="8">
        <v>0</v>
      </c>
      <c r="Y25" s="8">
        <v>0</v>
      </c>
      <c r="Z25" s="8">
        <v>0</v>
      </c>
      <c r="AA25" s="7">
        <v>0</v>
      </c>
      <c r="AB25" s="7" t="s">
        <v>230</v>
      </c>
      <c r="AC25" s="7">
        <v>120</v>
      </c>
      <c r="AD25" s="7">
        <v>120</v>
      </c>
      <c r="AE25" s="7" t="s">
        <v>231</v>
      </c>
      <c r="AF25" s="7"/>
      <c r="AG25" s="11"/>
      <c r="AH25" s="11"/>
      <c r="AI25" s="8"/>
    </row>
    <row r="26" spans="1:35" ht="24" customHeight="1">
      <c r="A26" s="7" t="s">
        <v>108</v>
      </c>
      <c r="B26" s="7" t="s">
        <v>225</v>
      </c>
      <c r="C26" s="8">
        <v>181000</v>
      </c>
      <c r="D26" s="8"/>
      <c r="E26" s="7"/>
      <c r="F26" s="7"/>
      <c r="G26" s="7" t="s">
        <v>226</v>
      </c>
      <c r="H26" s="7"/>
      <c r="I26" s="7" t="s">
        <v>227</v>
      </c>
      <c r="J26" s="7">
        <v>22</v>
      </c>
      <c r="K26" s="7" t="s">
        <v>228</v>
      </c>
      <c r="L26" s="7">
        <v>48</v>
      </c>
      <c r="M26" s="7"/>
      <c r="N26" s="8"/>
      <c r="O26" s="7" t="s">
        <v>49</v>
      </c>
      <c r="P26" s="7"/>
      <c r="Q26" s="8"/>
      <c r="R26" s="7" t="s">
        <v>49</v>
      </c>
      <c r="S26" s="7"/>
      <c r="T26" s="8"/>
      <c r="U26" s="8"/>
      <c r="V26" s="8"/>
      <c r="W26" s="8">
        <v>0</v>
      </c>
      <c r="X26" s="8">
        <v>0</v>
      </c>
      <c r="Y26" s="8">
        <v>0</v>
      </c>
      <c r="Z26" s="8">
        <v>0</v>
      </c>
      <c r="AA26" s="7">
        <v>0</v>
      </c>
      <c r="AB26" s="7" t="s">
        <v>230</v>
      </c>
      <c r="AC26" s="7">
        <v>120</v>
      </c>
      <c r="AD26" s="7">
        <v>120</v>
      </c>
      <c r="AE26" s="7" t="s">
        <v>231</v>
      </c>
      <c r="AF26" s="7"/>
      <c r="AG26" s="11"/>
      <c r="AH26" s="11"/>
      <c r="AI26" s="8"/>
    </row>
    <row r="27" spans="1:35" ht="24" customHeight="1">
      <c r="A27" s="7" t="s">
        <v>109</v>
      </c>
      <c r="B27" s="7" t="s">
        <v>225</v>
      </c>
      <c r="C27" s="8">
        <v>181000</v>
      </c>
      <c r="D27" s="8"/>
      <c r="E27" s="7"/>
      <c r="F27" s="7"/>
      <c r="G27" s="7" t="s">
        <v>226</v>
      </c>
      <c r="H27" s="7"/>
      <c r="I27" s="7" t="s">
        <v>227</v>
      </c>
      <c r="J27" s="7">
        <v>22</v>
      </c>
      <c r="K27" s="7" t="s">
        <v>228</v>
      </c>
      <c r="L27" s="7">
        <v>48</v>
      </c>
      <c r="M27" s="7"/>
      <c r="N27" s="8"/>
      <c r="O27" s="7" t="s">
        <v>49</v>
      </c>
      <c r="P27" s="7"/>
      <c r="Q27" s="8"/>
      <c r="R27" s="7" t="s">
        <v>49</v>
      </c>
      <c r="S27" s="7"/>
      <c r="T27" s="8"/>
      <c r="U27" s="8"/>
      <c r="V27" s="8"/>
      <c r="W27" s="8">
        <v>0</v>
      </c>
      <c r="X27" s="8">
        <v>0</v>
      </c>
      <c r="Y27" s="8">
        <v>0</v>
      </c>
      <c r="Z27" s="8">
        <v>0</v>
      </c>
      <c r="AA27" s="7">
        <v>0</v>
      </c>
      <c r="AB27" s="7" t="s">
        <v>230</v>
      </c>
      <c r="AC27" s="7">
        <v>120</v>
      </c>
      <c r="AD27" s="7">
        <v>120</v>
      </c>
      <c r="AE27" s="7" t="s">
        <v>231</v>
      </c>
      <c r="AF27" s="7"/>
      <c r="AG27" s="11"/>
      <c r="AH27" s="11"/>
      <c r="AI27" s="8"/>
    </row>
    <row r="28" spans="1:35" ht="24" customHeight="1">
      <c r="A28" s="7" t="s">
        <v>110</v>
      </c>
      <c r="B28" s="7" t="s">
        <v>225</v>
      </c>
      <c r="C28" s="8">
        <v>181000</v>
      </c>
      <c r="D28" s="8"/>
      <c r="E28" s="7"/>
      <c r="F28" s="7"/>
      <c r="G28" s="7" t="s">
        <v>226</v>
      </c>
      <c r="H28" s="7"/>
      <c r="I28" s="7" t="s">
        <v>227</v>
      </c>
      <c r="J28" s="7">
        <v>22</v>
      </c>
      <c r="K28" s="7" t="s">
        <v>228</v>
      </c>
      <c r="L28" s="7">
        <v>48</v>
      </c>
      <c r="M28" s="7"/>
      <c r="N28" s="8"/>
      <c r="O28" s="7" t="s">
        <v>49</v>
      </c>
      <c r="P28" s="7"/>
      <c r="Q28" s="8"/>
      <c r="R28" s="7" t="s">
        <v>49</v>
      </c>
      <c r="S28" s="7"/>
      <c r="T28" s="8"/>
      <c r="U28" s="8"/>
      <c r="V28" s="8"/>
      <c r="W28" s="8">
        <v>0</v>
      </c>
      <c r="X28" s="8">
        <v>0</v>
      </c>
      <c r="Y28" s="8">
        <v>0</v>
      </c>
      <c r="Z28" s="8">
        <v>0</v>
      </c>
      <c r="AA28" s="7">
        <v>0</v>
      </c>
      <c r="AB28" s="7" t="s">
        <v>230</v>
      </c>
      <c r="AC28" s="7">
        <v>120</v>
      </c>
      <c r="AD28" s="7">
        <v>120</v>
      </c>
      <c r="AE28" s="7" t="s">
        <v>231</v>
      </c>
      <c r="AF28" s="7"/>
      <c r="AG28" s="11"/>
      <c r="AH28" s="11"/>
      <c r="AI28" s="8"/>
    </row>
    <row r="29" spans="1:35" ht="24" customHeight="1">
      <c r="A29" s="7" t="s">
        <v>111</v>
      </c>
      <c r="B29" s="7" t="s">
        <v>225</v>
      </c>
      <c r="C29" s="8">
        <v>181000</v>
      </c>
      <c r="D29" s="8"/>
      <c r="E29" s="7"/>
      <c r="F29" s="7"/>
      <c r="G29" s="7" t="s">
        <v>226</v>
      </c>
      <c r="H29" s="7"/>
      <c r="I29" s="7" t="s">
        <v>227</v>
      </c>
      <c r="J29" s="7">
        <v>22</v>
      </c>
      <c r="K29" s="7" t="s">
        <v>228</v>
      </c>
      <c r="L29" s="7">
        <v>48</v>
      </c>
      <c r="M29" s="7"/>
      <c r="N29" s="8"/>
      <c r="O29" s="7" t="s">
        <v>49</v>
      </c>
      <c r="P29" s="7"/>
      <c r="Q29" s="8"/>
      <c r="R29" s="7" t="s">
        <v>49</v>
      </c>
      <c r="S29" s="7"/>
      <c r="T29" s="8"/>
      <c r="U29" s="8"/>
      <c r="V29" s="8"/>
      <c r="W29" s="8">
        <v>0</v>
      </c>
      <c r="X29" s="8">
        <v>0</v>
      </c>
      <c r="Y29" s="8">
        <v>0</v>
      </c>
      <c r="Z29" s="8">
        <v>0</v>
      </c>
      <c r="AA29" s="7">
        <v>0</v>
      </c>
      <c r="AB29" s="7" t="s">
        <v>230</v>
      </c>
      <c r="AC29" s="7">
        <v>120</v>
      </c>
      <c r="AD29" s="7">
        <v>120</v>
      </c>
      <c r="AE29" s="7" t="s">
        <v>231</v>
      </c>
      <c r="AF29" s="7"/>
      <c r="AG29" s="11"/>
      <c r="AH29" s="11"/>
      <c r="AI29" s="8"/>
    </row>
    <row r="30" spans="1:35" ht="24" customHeight="1">
      <c r="A30" s="7" t="s">
        <v>112</v>
      </c>
      <c r="B30" s="7" t="s">
        <v>225</v>
      </c>
      <c r="C30" s="8">
        <v>181000</v>
      </c>
      <c r="D30" s="8"/>
      <c r="E30" s="7"/>
      <c r="F30" s="7"/>
      <c r="G30" s="7" t="s">
        <v>226</v>
      </c>
      <c r="H30" s="7"/>
      <c r="I30" s="7" t="s">
        <v>227</v>
      </c>
      <c r="J30" s="7">
        <v>22</v>
      </c>
      <c r="K30" s="7" t="s">
        <v>228</v>
      </c>
      <c r="L30" s="7">
        <v>48</v>
      </c>
      <c r="M30" s="7"/>
      <c r="N30" s="8"/>
      <c r="O30" s="7" t="s">
        <v>49</v>
      </c>
      <c r="P30" s="7"/>
      <c r="Q30" s="8"/>
      <c r="R30" s="7" t="s">
        <v>49</v>
      </c>
      <c r="S30" s="7"/>
      <c r="T30" s="8"/>
      <c r="U30" s="8"/>
      <c r="V30" s="8"/>
      <c r="W30" s="8">
        <v>0</v>
      </c>
      <c r="X30" s="8">
        <v>0</v>
      </c>
      <c r="Y30" s="8">
        <v>0</v>
      </c>
      <c r="Z30" s="8">
        <v>0</v>
      </c>
      <c r="AA30" s="7">
        <v>0</v>
      </c>
      <c r="AB30" s="7" t="s">
        <v>230</v>
      </c>
      <c r="AC30" s="7">
        <v>120</v>
      </c>
      <c r="AD30" s="7">
        <v>120</v>
      </c>
      <c r="AE30" s="7" t="s">
        <v>231</v>
      </c>
      <c r="AF30" s="7"/>
      <c r="AG30" s="11"/>
      <c r="AH30" s="11"/>
      <c r="AI30" s="8"/>
    </row>
    <row r="31" spans="1:35" ht="24" customHeight="1">
      <c r="A31" s="7" t="s">
        <v>113</v>
      </c>
      <c r="B31" s="7" t="s">
        <v>225</v>
      </c>
      <c r="C31" s="8">
        <v>181000</v>
      </c>
      <c r="D31" s="8"/>
      <c r="E31" s="7"/>
      <c r="F31" s="7"/>
      <c r="G31" s="7" t="s">
        <v>226</v>
      </c>
      <c r="H31" s="7"/>
      <c r="I31" s="7" t="s">
        <v>227</v>
      </c>
      <c r="J31" s="7">
        <v>22</v>
      </c>
      <c r="K31" s="7" t="s">
        <v>228</v>
      </c>
      <c r="L31" s="7">
        <v>48</v>
      </c>
      <c r="M31" s="7"/>
      <c r="N31" s="8"/>
      <c r="O31" s="7" t="s">
        <v>49</v>
      </c>
      <c r="P31" s="7"/>
      <c r="Q31" s="8"/>
      <c r="R31" s="7" t="s">
        <v>49</v>
      </c>
      <c r="S31" s="7"/>
      <c r="T31" s="8"/>
      <c r="U31" s="8"/>
      <c r="V31" s="8"/>
      <c r="W31" s="8">
        <v>0</v>
      </c>
      <c r="X31" s="8">
        <v>0</v>
      </c>
      <c r="Y31" s="8">
        <v>0</v>
      </c>
      <c r="Z31" s="8">
        <v>0</v>
      </c>
      <c r="AA31" s="7">
        <v>0</v>
      </c>
      <c r="AB31" s="7" t="s">
        <v>230</v>
      </c>
      <c r="AC31" s="7">
        <v>120</v>
      </c>
      <c r="AD31" s="7">
        <v>120</v>
      </c>
      <c r="AE31" s="7" t="s">
        <v>231</v>
      </c>
      <c r="AF31" s="7"/>
      <c r="AG31" s="11"/>
      <c r="AH31" s="11"/>
      <c r="AI31" s="8"/>
    </row>
    <row r="32" spans="1:35" ht="24" customHeight="1">
      <c r="A32" s="7" t="s">
        <v>114</v>
      </c>
      <c r="B32" s="7" t="s">
        <v>225</v>
      </c>
      <c r="C32" s="8">
        <v>181000</v>
      </c>
      <c r="D32" s="8"/>
      <c r="E32" s="7"/>
      <c r="F32" s="7"/>
      <c r="G32" s="7" t="s">
        <v>226</v>
      </c>
      <c r="H32" s="7"/>
      <c r="I32" s="7" t="s">
        <v>227</v>
      </c>
      <c r="J32" s="7">
        <v>22</v>
      </c>
      <c r="K32" s="7" t="s">
        <v>228</v>
      </c>
      <c r="L32" s="7">
        <v>48</v>
      </c>
      <c r="M32" s="7"/>
      <c r="N32" s="8"/>
      <c r="O32" s="7" t="s">
        <v>49</v>
      </c>
      <c r="P32" s="7"/>
      <c r="Q32" s="8"/>
      <c r="R32" s="7" t="s">
        <v>49</v>
      </c>
      <c r="S32" s="7"/>
      <c r="T32" s="8"/>
      <c r="U32" s="8"/>
      <c r="V32" s="8"/>
      <c r="W32" s="8">
        <v>0</v>
      </c>
      <c r="X32" s="8">
        <v>0</v>
      </c>
      <c r="Y32" s="8">
        <v>0</v>
      </c>
      <c r="Z32" s="8">
        <v>0</v>
      </c>
      <c r="AA32" s="7">
        <v>0</v>
      </c>
      <c r="AB32" s="7" t="s">
        <v>230</v>
      </c>
      <c r="AC32" s="7">
        <v>120</v>
      </c>
      <c r="AD32" s="7">
        <v>120</v>
      </c>
      <c r="AE32" s="7" t="s">
        <v>231</v>
      </c>
      <c r="AF32" s="7"/>
      <c r="AG32" s="11"/>
      <c r="AH32" s="11"/>
      <c r="AI32" s="8"/>
    </row>
    <row r="33" spans="1:35" ht="24" customHeight="1">
      <c r="A33" s="7" t="s">
        <v>115</v>
      </c>
      <c r="B33" s="7" t="s">
        <v>225</v>
      </c>
      <c r="C33" s="8">
        <v>181000</v>
      </c>
      <c r="D33" s="8"/>
      <c r="E33" s="7"/>
      <c r="F33" s="7"/>
      <c r="G33" s="7" t="s">
        <v>226</v>
      </c>
      <c r="H33" s="7"/>
      <c r="I33" s="7" t="s">
        <v>227</v>
      </c>
      <c r="J33" s="7">
        <v>22</v>
      </c>
      <c r="K33" s="7" t="s">
        <v>228</v>
      </c>
      <c r="L33" s="7">
        <v>48</v>
      </c>
      <c r="M33" s="7"/>
      <c r="N33" s="8"/>
      <c r="O33" s="7" t="s">
        <v>49</v>
      </c>
      <c r="P33" s="7"/>
      <c r="Q33" s="8"/>
      <c r="R33" s="7" t="s">
        <v>49</v>
      </c>
      <c r="S33" s="7"/>
      <c r="T33" s="8"/>
      <c r="U33" s="8"/>
      <c r="V33" s="8"/>
      <c r="W33" s="8">
        <v>0</v>
      </c>
      <c r="X33" s="8">
        <v>0</v>
      </c>
      <c r="Y33" s="8">
        <v>0</v>
      </c>
      <c r="Z33" s="8">
        <v>0</v>
      </c>
      <c r="AA33" s="7">
        <v>0</v>
      </c>
      <c r="AB33" s="7" t="s">
        <v>230</v>
      </c>
      <c r="AC33" s="7">
        <v>120</v>
      </c>
      <c r="AD33" s="7">
        <v>120</v>
      </c>
      <c r="AE33" s="7" t="s">
        <v>231</v>
      </c>
      <c r="AF33" s="7"/>
      <c r="AG33" s="11"/>
      <c r="AH33" s="11"/>
      <c r="AI33" s="8"/>
    </row>
    <row r="34" spans="1:35" ht="24" customHeight="1">
      <c r="A34" s="7" t="s">
        <v>116</v>
      </c>
      <c r="B34" s="7" t="s">
        <v>225</v>
      </c>
      <c r="C34" s="8">
        <v>181000</v>
      </c>
      <c r="D34" s="8"/>
      <c r="E34" s="7"/>
      <c r="F34" s="7"/>
      <c r="G34" s="7" t="s">
        <v>226</v>
      </c>
      <c r="H34" s="7"/>
      <c r="I34" s="7" t="s">
        <v>227</v>
      </c>
      <c r="J34" s="7">
        <v>22</v>
      </c>
      <c r="K34" s="7" t="s">
        <v>228</v>
      </c>
      <c r="L34" s="7">
        <v>48</v>
      </c>
      <c r="M34" s="7"/>
      <c r="N34" s="8"/>
      <c r="O34" s="7" t="s">
        <v>49</v>
      </c>
      <c r="P34" s="7"/>
      <c r="Q34" s="8"/>
      <c r="R34" s="7" t="s">
        <v>49</v>
      </c>
      <c r="S34" s="7"/>
      <c r="T34" s="8"/>
      <c r="U34" s="8"/>
      <c r="V34" s="8"/>
      <c r="W34" s="8">
        <v>0</v>
      </c>
      <c r="X34" s="8">
        <v>0</v>
      </c>
      <c r="Y34" s="8">
        <v>0</v>
      </c>
      <c r="Z34" s="8">
        <v>0</v>
      </c>
      <c r="AA34" s="7">
        <v>0</v>
      </c>
      <c r="AB34" s="7" t="s">
        <v>230</v>
      </c>
      <c r="AC34" s="7">
        <v>120</v>
      </c>
      <c r="AD34" s="7">
        <v>120</v>
      </c>
      <c r="AE34" s="7" t="s">
        <v>231</v>
      </c>
      <c r="AF34" s="7"/>
      <c r="AG34" s="11"/>
      <c r="AH34" s="11"/>
      <c r="AI34" s="8"/>
    </row>
    <row r="35" spans="1:35" ht="24" customHeight="1">
      <c r="A35" s="7" t="s">
        <v>117</v>
      </c>
      <c r="B35" s="7" t="s">
        <v>225</v>
      </c>
      <c r="C35" s="8">
        <v>181000</v>
      </c>
      <c r="D35" s="8"/>
      <c r="E35" s="7"/>
      <c r="F35" s="7"/>
      <c r="G35" s="7" t="s">
        <v>226</v>
      </c>
      <c r="H35" s="7"/>
      <c r="I35" s="7" t="s">
        <v>227</v>
      </c>
      <c r="J35" s="7">
        <v>22</v>
      </c>
      <c r="K35" s="7" t="s">
        <v>228</v>
      </c>
      <c r="L35" s="7">
        <v>48</v>
      </c>
      <c r="M35" s="7"/>
      <c r="N35" s="8"/>
      <c r="O35" s="7" t="s">
        <v>49</v>
      </c>
      <c r="P35" s="7"/>
      <c r="Q35" s="8"/>
      <c r="R35" s="7" t="s">
        <v>49</v>
      </c>
      <c r="S35" s="7"/>
      <c r="T35" s="8"/>
      <c r="U35" s="8"/>
      <c r="V35" s="8"/>
      <c r="W35" s="8">
        <v>0</v>
      </c>
      <c r="X35" s="8">
        <v>0</v>
      </c>
      <c r="Y35" s="8">
        <v>0</v>
      </c>
      <c r="Z35" s="8">
        <v>0</v>
      </c>
      <c r="AA35" s="7">
        <v>0</v>
      </c>
      <c r="AB35" s="7" t="s">
        <v>230</v>
      </c>
      <c r="AC35" s="7">
        <v>120</v>
      </c>
      <c r="AD35" s="7">
        <v>120</v>
      </c>
      <c r="AE35" s="7" t="s">
        <v>231</v>
      </c>
      <c r="AF35" s="7"/>
      <c r="AG35" s="11"/>
      <c r="AH35" s="11"/>
      <c r="AI35" s="8"/>
    </row>
    <row r="36" spans="1:35" ht="24" customHeight="1">
      <c r="A36" s="7" t="s">
        <v>118</v>
      </c>
      <c r="B36" s="7" t="s">
        <v>225</v>
      </c>
      <c r="C36" s="8">
        <v>181000</v>
      </c>
      <c r="D36" s="8"/>
      <c r="E36" s="7"/>
      <c r="F36" s="7"/>
      <c r="G36" s="7" t="s">
        <v>226</v>
      </c>
      <c r="H36" s="7"/>
      <c r="I36" s="7" t="s">
        <v>227</v>
      </c>
      <c r="J36" s="7">
        <v>22</v>
      </c>
      <c r="K36" s="7" t="s">
        <v>228</v>
      </c>
      <c r="L36" s="7">
        <v>48</v>
      </c>
      <c r="M36" s="7"/>
      <c r="N36" s="8"/>
      <c r="O36" s="7" t="s">
        <v>49</v>
      </c>
      <c r="P36" s="7"/>
      <c r="Q36" s="8"/>
      <c r="R36" s="7" t="s">
        <v>49</v>
      </c>
      <c r="S36" s="7"/>
      <c r="T36" s="8"/>
      <c r="U36" s="8"/>
      <c r="V36" s="8"/>
      <c r="W36" s="8">
        <v>0</v>
      </c>
      <c r="X36" s="8">
        <v>0</v>
      </c>
      <c r="Y36" s="8">
        <v>0</v>
      </c>
      <c r="Z36" s="8">
        <v>0</v>
      </c>
      <c r="AA36" s="7">
        <v>0</v>
      </c>
      <c r="AB36" s="7" t="s">
        <v>230</v>
      </c>
      <c r="AC36" s="7">
        <v>120</v>
      </c>
      <c r="AD36" s="7">
        <v>120</v>
      </c>
      <c r="AE36" s="7" t="s">
        <v>231</v>
      </c>
      <c r="AF36" s="7"/>
      <c r="AG36" s="11"/>
      <c r="AH36" s="11"/>
      <c r="AI36" s="8"/>
    </row>
    <row r="37" spans="1:35" ht="24" customHeight="1">
      <c r="A37" s="7" t="s">
        <v>119</v>
      </c>
      <c r="B37" s="7" t="s">
        <v>225</v>
      </c>
      <c r="C37" s="8">
        <v>181000</v>
      </c>
      <c r="D37" s="8"/>
      <c r="E37" s="7"/>
      <c r="F37" s="7"/>
      <c r="G37" s="7" t="s">
        <v>226</v>
      </c>
      <c r="H37" s="7"/>
      <c r="I37" s="7" t="s">
        <v>227</v>
      </c>
      <c r="J37" s="7">
        <v>22</v>
      </c>
      <c r="K37" s="7" t="s">
        <v>228</v>
      </c>
      <c r="L37" s="7">
        <v>48</v>
      </c>
      <c r="M37" s="7"/>
      <c r="N37" s="8"/>
      <c r="O37" s="7" t="s">
        <v>49</v>
      </c>
      <c r="P37" s="7"/>
      <c r="Q37" s="8"/>
      <c r="R37" s="7" t="s">
        <v>49</v>
      </c>
      <c r="S37" s="7"/>
      <c r="T37" s="8"/>
      <c r="U37" s="8"/>
      <c r="V37" s="8"/>
      <c r="W37" s="8">
        <v>0</v>
      </c>
      <c r="X37" s="8">
        <v>0</v>
      </c>
      <c r="Y37" s="8">
        <v>0</v>
      </c>
      <c r="Z37" s="8">
        <v>0</v>
      </c>
      <c r="AA37" s="7">
        <v>0</v>
      </c>
      <c r="AB37" s="7" t="s">
        <v>230</v>
      </c>
      <c r="AC37" s="7">
        <v>120</v>
      </c>
      <c r="AD37" s="7">
        <v>120</v>
      </c>
      <c r="AE37" s="7" t="s">
        <v>231</v>
      </c>
      <c r="AF37" s="7"/>
      <c r="AG37" s="11"/>
      <c r="AH37" s="11"/>
      <c r="AI37" s="8"/>
    </row>
    <row r="38" spans="1:35" ht="24" customHeight="1">
      <c r="A38" s="7" t="s">
        <v>120</v>
      </c>
      <c r="B38" s="7" t="s">
        <v>225</v>
      </c>
      <c r="C38" s="8">
        <v>181000</v>
      </c>
      <c r="D38" s="8"/>
      <c r="E38" s="7"/>
      <c r="F38" s="7"/>
      <c r="G38" s="7" t="s">
        <v>226</v>
      </c>
      <c r="H38" s="7"/>
      <c r="I38" s="7" t="s">
        <v>227</v>
      </c>
      <c r="J38" s="7">
        <v>22</v>
      </c>
      <c r="K38" s="7" t="s">
        <v>228</v>
      </c>
      <c r="L38" s="7">
        <v>48</v>
      </c>
      <c r="M38" s="7"/>
      <c r="N38" s="8"/>
      <c r="O38" s="7" t="s">
        <v>49</v>
      </c>
      <c r="P38" s="7"/>
      <c r="Q38" s="8"/>
      <c r="R38" s="7" t="s">
        <v>49</v>
      </c>
      <c r="S38" s="7"/>
      <c r="T38" s="8"/>
      <c r="U38" s="8"/>
      <c r="V38" s="8"/>
      <c r="W38" s="8">
        <v>0</v>
      </c>
      <c r="X38" s="8">
        <v>0</v>
      </c>
      <c r="Y38" s="8">
        <v>0</v>
      </c>
      <c r="Z38" s="8">
        <v>0</v>
      </c>
      <c r="AA38" s="7">
        <v>0</v>
      </c>
      <c r="AB38" s="7" t="s">
        <v>230</v>
      </c>
      <c r="AC38" s="7">
        <v>120</v>
      </c>
      <c r="AD38" s="7">
        <v>120</v>
      </c>
      <c r="AE38" s="7" t="s">
        <v>231</v>
      </c>
      <c r="AF38" s="7"/>
      <c r="AG38" s="11"/>
      <c r="AH38" s="11"/>
      <c r="AI38" s="8"/>
    </row>
    <row r="39" spans="1:35" ht="24" customHeight="1">
      <c r="A39" s="7" t="s">
        <v>121</v>
      </c>
      <c r="B39" s="7" t="s">
        <v>225</v>
      </c>
      <c r="C39" s="8">
        <v>181000</v>
      </c>
      <c r="D39" s="8"/>
      <c r="E39" s="7"/>
      <c r="F39" s="7"/>
      <c r="G39" s="7" t="s">
        <v>226</v>
      </c>
      <c r="H39" s="7"/>
      <c r="I39" s="7" t="s">
        <v>227</v>
      </c>
      <c r="J39" s="7">
        <v>22</v>
      </c>
      <c r="K39" s="7" t="s">
        <v>228</v>
      </c>
      <c r="L39" s="7">
        <v>48</v>
      </c>
      <c r="M39" s="7"/>
      <c r="N39" s="8"/>
      <c r="O39" s="7" t="s">
        <v>49</v>
      </c>
      <c r="P39" s="7"/>
      <c r="Q39" s="8"/>
      <c r="R39" s="7" t="s">
        <v>49</v>
      </c>
      <c r="S39" s="7"/>
      <c r="T39" s="8"/>
      <c r="U39" s="8"/>
      <c r="V39" s="8"/>
      <c r="W39" s="8">
        <v>0</v>
      </c>
      <c r="X39" s="8">
        <v>0</v>
      </c>
      <c r="Y39" s="8">
        <v>0</v>
      </c>
      <c r="Z39" s="8">
        <v>0</v>
      </c>
      <c r="AA39" s="7">
        <v>0</v>
      </c>
      <c r="AB39" s="7" t="s">
        <v>230</v>
      </c>
      <c r="AC39" s="7">
        <v>120</v>
      </c>
      <c r="AD39" s="7">
        <v>120</v>
      </c>
      <c r="AE39" s="7" t="s">
        <v>231</v>
      </c>
      <c r="AF39" s="7"/>
      <c r="AG39" s="11"/>
      <c r="AH39" s="11"/>
      <c r="AI39" s="8"/>
    </row>
    <row r="40" spans="1:35" ht="24" customHeight="1">
      <c r="A40" s="7" t="s">
        <v>122</v>
      </c>
      <c r="B40" s="7" t="s">
        <v>225</v>
      </c>
      <c r="C40" s="8">
        <v>181000</v>
      </c>
      <c r="D40" s="8"/>
      <c r="E40" s="7"/>
      <c r="F40" s="7"/>
      <c r="G40" s="7" t="s">
        <v>226</v>
      </c>
      <c r="H40" s="7"/>
      <c r="I40" s="7" t="s">
        <v>227</v>
      </c>
      <c r="J40" s="7">
        <v>22</v>
      </c>
      <c r="K40" s="7" t="s">
        <v>228</v>
      </c>
      <c r="L40" s="7">
        <v>48</v>
      </c>
      <c r="M40" s="7"/>
      <c r="N40" s="8"/>
      <c r="O40" s="7" t="s">
        <v>49</v>
      </c>
      <c r="P40" s="7"/>
      <c r="Q40" s="8"/>
      <c r="R40" s="7" t="s">
        <v>49</v>
      </c>
      <c r="S40" s="7"/>
      <c r="T40" s="8"/>
      <c r="U40" s="8"/>
      <c r="V40" s="8"/>
      <c r="W40" s="8">
        <v>0</v>
      </c>
      <c r="X40" s="8">
        <v>0</v>
      </c>
      <c r="Y40" s="8">
        <v>0</v>
      </c>
      <c r="Z40" s="8">
        <v>0</v>
      </c>
      <c r="AA40" s="7">
        <v>0</v>
      </c>
      <c r="AB40" s="7" t="s">
        <v>230</v>
      </c>
      <c r="AC40" s="7">
        <v>120</v>
      </c>
      <c r="AD40" s="7">
        <v>120</v>
      </c>
      <c r="AE40" s="7" t="s">
        <v>231</v>
      </c>
      <c r="AF40" s="7"/>
      <c r="AG40" s="11"/>
      <c r="AH40" s="11"/>
      <c r="AI40" s="8"/>
    </row>
    <row r="41" spans="1:35" ht="24" customHeight="1">
      <c r="A41" s="7" t="s">
        <v>123</v>
      </c>
      <c r="B41" s="7" t="s">
        <v>225</v>
      </c>
      <c r="C41" s="8">
        <v>181000</v>
      </c>
      <c r="D41" s="8"/>
      <c r="E41" s="7"/>
      <c r="F41" s="7"/>
      <c r="G41" s="7" t="s">
        <v>226</v>
      </c>
      <c r="H41" s="7"/>
      <c r="I41" s="7" t="s">
        <v>227</v>
      </c>
      <c r="J41" s="7">
        <v>22</v>
      </c>
      <c r="K41" s="7" t="s">
        <v>228</v>
      </c>
      <c r="L41" s="7">
        <v>48</v>
      </c>
      <c r="M41" s="7"/>
      <c r="N41" s="8"/>
      <c r="O41" s="7" t="s">
        <v>49</v>
      </c>
      <c r="P41" s="7"/>
      <c r="Q41" s="8"/>
      <c r="R41" s="7" t="s">
        <v>49</v>
      </c>
      <c r="S41" s="7"/>
      <c r="T41" s="8"/>
      <c r="U41" s="8"/>
      <c r="V41" s="8"/>
      <c r="W41" s="8">
        <v>0</v>
      </c>
      <c r="X41" s="8">
        <v>0</v>
      </c>
      <c r="Y41" s="8">
        <v>0</v>
      </c>
      <c r="Z41" s="8">
        <v>0</v>
      </c>
      <c r="AA41" s="7">
        <v>0</v>
      </c>
      <c r="AB41" s="7" t="s">
        <v>230</v>
      </c>
      <c r="AC41" s="7">
        <v>120</v>
      </c>
      <c r="AD41" s="7">
        <v>120</v>
      </c>
      <c r="AE41" s="7" t="s">
        <v>231</v>
      </c>
      <c r="AF41" s="7"/>
      <c r="AG41" s="11"/>
      <c r="AH41" s="11"/>
      <c r="AI41" s="8"/>
    </row>
    <row r="42" spans="1:35" ht="24" customHeight="1">
      <c r="A42" s="7" t="s">
        <v>124</v>
      </c>
      <c r="B42" s="7" t="s">
        <v>225</v>
      </c>
      <c r="C42" s="8">
        <v>181000</v>
      </c>
      <c r="D42" s="8"/>
      <c r="E42" s="7"/>
      <c r="F42" s="7"/>
      <c r="G42" s="7" t="s">
        <v>226</v>
      </c>
      <c r="H42" s="7"/>
      <c r="I42" s="7" t="s">
        <v>227</v>
      </c>
      <c r="J42" s="7">
        <v>22</v>
      </c>
      <c r="K42" s="7" t="s">
        <v>228</v>
      </c>
      <c r="L42" s="7">
        <v>48</v>
      </c>
      <c r="M42" s="7"/>
      <c r="N42" s="8"/>
      <c r="O42" s="7" t="s">
        <v>49</v>
      </c>
      <c r="P42" s="7"/>
      <c r="Q42" s="8"/>
      <c r="R42" s="7" t="s">
        <v>49</v>
      </c>
      <c r="S42" s="7"/>
      <c r="T42" s="8"/>
      <c r="U42" s="8"/>
      <c r="V42" s="8"/>
      <c r="W42" s="8">
        <v>0</v>
      </c>
      <c r="X42" s="8">
        <v>0</v>
      </c>
      <c r="Y42" s="8">
        <v>0</v>
      </c>
      <c r="Z42" s="8">
        <v>0</v>
      </c>
      <c r="AA42" s="7">
        <v>0</v>
      </c>
      <c r="AB42" s="7" t="s">
        <v>230</v>
      </c>
      <c r="AC42" s="7">
        <v>120</v>
      </c>
      <c r="AD42" s="7">
        <v>120</v>
      </c>
      <c r="AE42" s="7" t="s">
        <v>231</v>
      </c>
      <c r="AF42" s="7"/>
      <c r="AG42" s="11"/>
      <c r="AH42" s="11"/>
      <c r="AI42" s="8"/>
    </row>
    <row r="43" spans="1:35" ht="24" customHeight="1">
      <c r="A43" s="7" t="s">
        <v>125</v>
      </c>
      <c r="B43" s="7" t="s">
        <v>225</v>
      </c>
      <c r="C43" s="8">
        <v>181000</v>
      </c>
      <c r="D43" s="8"/>
      <c r="E43" s="7"/>
      <c r="F43" s="7"/>
      <c r="G43" s="7" t="s">
        <v>226</v>
      </c>
      <c r="H43" s="7"/>
      <c r="I43" s="7" t="s">
        <v>227</v>
      </c>
      <c r="J43" s="7">
        <v>22</v>
      </c>
      <c r="K43" s="7" t="s">
        <v>228</v>
      </c>
      <c r="L43" s="7">
        <v>48</v>
      </c>
      <c r="M43" s="7"/>
      <c r="N43" s="8"/>
      <c r="O43" s="7" t="s">
        <v>49</v>
      </c>
      <c r="P43" s="7"/>
      <c r="Q43" s="8"/>
      <c r="R43" s="7" t="s">
        <v>49</v>
      </c>
      <c r="S43" s="7"/>
      <c r="T43" s="8"/>
      <c r="U43" s="8"/>
      <c r="V43" s="8"/>
      <c r="W43" s="8">
        <v>0</v>
      </c>
      <c r="X43" s="8">
        <v>0</v>
      </c>
      <c r="Y43" s="8">
        <v>0</v>
      </c>
      <c r="Z43" s="8">
        <v>0</v>
      </c>
      <c r="AA43" s="7">
        <v>0</v>
      </c>
      <c r="AB43" s="7" t="s">
        <v>230</v>
      </c>
      <c r="AC43" s="7">
        <v>120</v>
      </c>
      <c r="AD43" s="7">
        <v>120</v>
      </c>
      <c r="AE43" s="7" t="s">
        <v>231</v>
      </c>
      <c r="AF43" s="7"/>
      <c r="AG43" s="11"/>
      <c r="AH43" s="11"/>
      <c r="AI43" s="8"/>
    </row>
    <row r="44" spans="1:35" ht="24" customHeight="1">
      <c r="A44" s="7" t="s">
        <v>126</v>
      </c>
      <c r="B44" s="7" t="s">
        <v>225</v>
      </c>
      <c r="C44" s="8">
        <v>181000</v>
      </c>
      <c r="D44" s="8"/>
      <c r="E44" s="7"/>
      <c r="F44" s="7"/>
      <c r="G44" s="7" t="s">
        <v>226</v>
      </c>
      <c r="H44" s="7"/>
      <c r="I44" s="7" t="s">
        <v>227</v>
      </c>
      <c r="J44" s="7">
        <v>22</v>
      </c>
      <c r="K44" s="7" t="s">
        <v>228</v>
      </c>
      <c r="L44" s="7">
        <v>48</v>
      </c>
      <c r="M44" s="7"/>
      <c r="N44" s="8"/>
      <c r="O44" s="7" t="s">
        <v>49</v>
      </c>
      <c r="P44" s="7"/>
      <c r="Q44" s="8"/>
      <c r="R44" s="7" t="s">
        <v>49</v>
      </c>
      <c r="S44" s="7"/>
      <c r="T44" s="8"/>
      <c r="U44" s="8"/>
      <c r="V44" s="8"/>
      <c r="W44" s="8">
        <v>0</v>
      </c>
      <c r="X44" s="8">
        <v>0</v>
      </c>
      <c r="Y44" s="8">
        <v>0</v>
      </c>
      <c r="Z44" s="8">
        <v>0</v>
      </c>
      <c r="AA44" s="7">
        <v>0</v>
      </c>
      <c r="AB44" s="7" t="s">
        <v>230</v>
      </c>
      <c r="AC44" s="7">
        <v>120</v>
      </c>
      <c r="AD44" s="7">
        <v>120</v>
      </c>
      <c r="AE44" s="7" t="s">
        <v>231</v>
      </c>
      <c r="AF44" s="7"/>
      <c r="AG44" s="11"/>
      <c r="AH44" s="11"/>
      <c r="AI44" s="8"/>
    </row>
    <row r="45" spans="1:35" ht="24" customHeight="1">
      <c r="A45" s="7" t="s">
        <v>127</v>
      </c>
      <c r="B45" s="7" t="s">
        <v>225</v>
      </c>
      <c r="C45" s="8">
        <v>181000</v>
      </c>
      <c r="D45" s="8"/>
      <c r="E45" s="7"/>
      <c r="F45" s="7"/>
      <c r="G45" s="7" t="s">
        <v>226</v>
      </c>
      <c r="H45" s="7"/>
      <c r="I45" s="7" t="s">
        <v>227</v>
      </c>
      <c r="J45" s="7">
        <v>22</v>
      </c>
      <c r="K45" s="7" t="s">
        <v>228</v>
      </c>
      <c r="L45" s="7">
        <v>48</v>
      </c>
      <c r="M45" s="7"/>
      <c r="N45" s="8"/>
      <c r="O45" s="7" t="s">
        <v>49</v>
      </c>
      <c r="P45" s="7"/>
      <c r="Q45" s="8"/>
      <c r="R45" s="7" t="s">
        <v>49</v>
      </c>
      <c r="S45" s="7"/>
      <c r="T45" s="8"/>
      <c r="U45" s="8"/>
      <c r="V45" s="8"/>
      <c r="W45" s="8">
        <v>0</v>
      </c>
      <c r="X45" s="8">
        <v>0</v>
      </c>
      <c r="Y45" s="8">
        <v>0</v>
      </c>
      <c r="Z45" s="8">
        <v>0</v>
      </c>
      <c r="AA45" s="7">
        <v>0</v>
      </c>
      <c r="AB45" s="7" t="s">
        <v>230</v>
      </c>
      <c r="AC45" s="7">
        <v>120</v>
      </c>
      <c r="AD45" s="7">
        <v>120</v>
      </c>
      <c r="AE45" s="7" t="s">
        <v>231</v>
      </c>
      <c r="AF45" s="7"/>
      <c r="AG45" s="11"/>
      <c r="AH45" s="11"/>
      <c r="AI45" s="8"/>
    </row>
    <row r="46" spans="1:35" ht="24" customHeight="1">
      <c r="A46" s="7" t="s">
        <v>128</v>
      </c>
      <c r="B46" s="7" t="s">
        <v>225</v>
      </c>
      <c r="C46" s="8">
        <v>181000</v>
      </c>
      <c r="D46" s="8"/>
      <c r="E46" s="7"/>
      <c r="F46" s="7"/>
      <c r="G46" s="7" t="s">
        <v>226</v>
      </c>
      <c r="H46" s="7"/>
      <c r="I46" s="7" t="s">
        <v>227</v>
      </c>
      <c r="J46" s="7">
        <v>22</v>
      </c>
      <c r="K46" s="7" t="s">
        <v>228</v>
      </c>
      <c r="L46" s="7">
        <v>48</v>
      </c>
      <c r="M46" s="7"/>
      <c r="N46" s="8"/>
      <c r="O46" s="7" t="s">
        <v>49</v>
      </c>
      <c r="P46" s="7"/>
      <c r="Q46" s="8"/>
      <c r="R46" s="7" t="s">
        <v>49</v>
      </c>
      <c r="S46" s="7"/>
      <c r="T46" s="8"/>
      <c r="U46" s="8"/>
      <c r="V46" s="8"/>
      <c r="W46" s="8">
        <v>0</v>
      </c>
      <c r="X46" s="8">
        <v>0</v>
      </c>
      <c r="Y46" s="8">
        <v>0</v>
      </c>
      <c r="Z46" s="8">
        <v>0</v>
      </c>
      <c r="AA46" s="7">
        <v>0</v>
      </c>
      <c r="AB46" s="7" t="s">
        <v>230</v>
      </c>
      <c r="AC46" s="7">
        <v>120</v>
      </c>
      <c r="AD46" s="7">
        <v>120</v>
      </c>
      <c r="AE46" s="7" t="s">
        <v>231</v>
      </c>
      <c r="AF46" s="7"/>
      <c r="AG46" s="11"/>
      <c r="AH46" s="11"/>
      <c r="AI46" s="8"/>
    </row>
    <row r="47" spans="1:35" ht="24" customHeight="1">
      <c r="A47" s="7" t="s">
        <v>129</v>
      </c>
      <c r="B47" s="7" t="s">
        <v>225</v>
      </c>
      <c r="C47" s="8">
        <v>181000</v>
      </c>
      <c r="D47" s="8"/>
      <c r="E47" s="7"/>
      <c r="F47" s="7"/>
      <c r="G47" s="7" t="s">
        <v>226</v>
      </c>
      <c r="H47" s="7"/>
      <c r="I47" s="7" t="s">
        <v>227</v>
      </c>
      <c r="J47" s="7">
        <v>22</v>
      </c>
      <c r="K47" s="7" t="s">
        <v>228</v>
      </c>
      <c r="L47" s="7">
        <v>48</v>
      </c>
      <c r="M47" s="7"/>
      <c r="N47" s="8"/>
      <c r="O47" s="7" t="s">
        <v>49</v>
      </c>
      <c r="P47" s="7"/>
      <c r="Q47" s="8"/>
      <c r="R47" s="7" t="s">
        <v>49</v>
      </c>
      <c r="S47" s="7"/>
      <c r="T47" s="8"/>
      <c r="U47" s="8"/>
      <c r="V47" s="8"/>
      <c r="W47" s="8">
        <v>0</v>
      </c>
      <c r="X47" s="8">
        <v>0</v>
      </c>
      <c r="Y47" s="8">
        <v>0</v>
      </c>
      <c r="Z47" s="8">
        <v>0</v>
      </c>
      <c r="AA47" s="7">
        <v>0</v>
      </c>
      <c r="AB47" s="7" t="s">
        <v>230</v>
      </c>
      <c r="AC47" s="7">
        <v>120</v>
      </c>
      <c r="AD47" s="7">
        <v>120</v>
      </c>
      <c r="AE47" s="7" t="s">
        <v>231</v>
      </c>
      <c r="AF47" s="7"/>
      <c r="AG47" s="11"/>
      <c r="AH47" s="11"/>
      <c r="AI47" s="8"/>
    </row>
    <row r="48" spans="1:35" ht="24" customHeight="1">
      <c r="A48" s="7" t="s">
        <v>130</v>
      </c>
      <c r="B48" s="7" t="s">
        <v>225</v>
      </c>
      <c r="C48" s="8">
        <v>181000</v>
      </c>
      <c r="D48" s="8"/>
      <c r="E48" s="7"/>
      <c r="F48" s="7"/>
      <c r="G48" s="7" t="s">
        <v>226</v>
      </c>
      <c r="H48" s="7"/>
      <c r="I48" s="7" t="s">
        <v>227</v>
      </c>
      <c r="J48" s="7">
        <v>22</v>
      </c>
      <c r="K48" s="7" t="s">
        <v>228</v>
      </c>
      <c r="L48" s="7">
        <v>48</v>
      </c>
      <c r="M48" s="7"/>
      <c r="N48" s="8"/>
      <c r="O48" s="7" t="s">
        <v>49</v>
      </c>
      <c r="P48" s="7"/>
      <c r="Q48" s="8"/>
      <c r="R48" s="7" t="s">
        <v>49</v>
      </c>
      <c r="S48" s="7"/>
      <c r="T48" s="8"/>
      <c r="U48" s="8"/>
      <c r="V48" s="8"/>
      <c r="W48" s="8">
        <v>0</v>
      </c>
      <c r="X48" s="8">
        <v>0</v>
      </c>
      <c r="Y48" s="8">
        <v>0</v>
      </c>
      <c r="Z48" s="8">
        <v>0</v>
      </c>
      <c r="AA48" s="7">
        <v>0</v>
      </c>
      <c r="AB48" s="7" t="s">
        <v>230</v>
      </c>
      <c r="AC48" s="7">
        <v>120</v>
      </c>
      <c r="AD48" s="7">
        <v>120</v>
      </c>
      <c r="AE48" s="7" t="s">
        <v>231</v>
      </c>
      <c r="AF48" s="7"/>
      <c r="AG48" s="11"/>
      <c r="AH48" s="11"/>
      <c r="AI48" s="8"/>
    </row>
    <row r="49" spans="1:35" ht="24" customHeight="1">
      <c r="A49" s="7" t="s">
        <v>131</v>
      </c>
      <c r="B49" s="7" t="s">
        <v>225</v>
      </c>
      <c r="C49" s="8">
        <v>181000</v>
      </c>
      <c r="D49" s="8"/>
      <c r="E49" s="7"/>
      <c r="F49" s="7"/>
      <c r="G49" s="7" t="s">
        <v>226</v>
      </c>
      <c r="H49" s="7"/>
      <c r="I49" s="7" t="s">
        <v>227</v>
      </c>
      <c r="J49" s="7">
        <v>22</v>
      </c>
      <c r="K49" s="7" t="s">
        <v>228</v>
      </c>
      <c r="L49" s="7">
        <v>48</v>
      </c>
      <c r="M49" s="7"/>
      <c r="N49" s="8"/>
      <c r="O49" s="7" t="s">
        <v>49</v>
      </c>
      <c r="P49" s="7"/>
      <c r="Q49" s="8"/>
      <c r="R49" s="7" t="s">
        <v>49</v>
      </c>
      <c r="S49" s="7"/>
      <c r="T49" s="8"/>
      <c r="U49" s="8"/>
      <c r="V49" s="8"/>
      <c r="W49" s="8">
        <v>0</v>
      </c>
      <c r="X49" s="8">
        <v>0</v>
      </c>
      <c r="Y49" s="8">
        <v>0</v>
      </c>
      <c r="Z49" s="8">
        <v>0</v>
      </c>
      <c r="AA49" s="7">
        <v>0</v>
      </c>
      <c r="AB49" s="7" t="s">
        <v>230</v>
      </c>
      <c r="AC49" s="7">
        <v>120</v>
      </c>
      <c r="AD49" s="7">
        <v>120</v>
      </c>
      <c r="AE49" s="7" t="s">
        <v>231</v>
      </c>
      <c r="AF49" s="7"/>
      <c r="AG49" s="11"/>
      <c r="AH49" s="11"/>
      <c r="AI49" s="8"/>
    </row>
    <row r="50" spans="1:35" ht="24" customHeight="1">
      <c r="A50" s="7" t="s">
        <v>132</v>
      </c>
      <c r="B50" s="7" t="s">
        <v>225</v>
      </c>
      <c r="C50" s="8">
        <v>181000</v>
      </c>
      <c r="D50" s="8"/>
      <c r="E50" s="7"/>
      <c r="F50" s="7"/>
      <c r="G50" s="7" t="s">
        <v>226</v>
      </c>
      <c r="H50" s="7"/>
      <c r="I50" s="7" t="s">
        <v>227</v>
      </c>
      <c r="J50" s="7">
        <v>22</v>
      </c>
      <c r="K50" s="7" t="s">
        <v>228</v>
      </c>
      <c r="L50" s="7">
        <v>48</v>
      </c>
      <c r="M50" s="7"/>
      <c r="N50" s="8"/>
      <c r="O50" s="7" t="s">
        <v>49</v>
      </c>
      <c r="P50" s="7"/>
      <c r="Q50" s="8"/>
      <c r="R50" s="7" t="s">
        <v>49</v>
      </c>
      <c r="S50" s="7"/>
      <c r="T50" s="8"/>
      <c r="U50" s="8"/>
      <c r="V50" s="8"/>
      <c r="W50" s="8">
        <v>0</v>
      </c>
      <c r="X50" s="8">
        <v>0</v>
      </c>
      <c r="Y50" s="8">
        <v>0</v>
      </c>
      <c r="Z50" s="8">
        <v>0</v>
      </c>
      <c r="AA50" s="7">
        <v>0</v>
      </c>
      <c r="AB50" s="7" t="s">
        <v>230</v>
      </c>
      <c r="AC50" s="7">
        <v>120</v>
      </c>
      <c r="AD50" s="7">
        <v>120</v>
      </c>
      <c r="AE50" s="7" t="s">
        <v>231</v>
      </c>
      <c r="AF50" s="7"/>
      <c r="AG50" s="11"/>
      <c r="AH50" s="11"/>
      <c r="AI50" s="8"/>
    </row>
    <row r="51" spans="1:35" ht="24" customHeight="1">
      <c r="A51" s="7" t="s">
        <v>133</v>
      </c>
      <c r="B51" s="7" t="s">
        <v>225</v>
      </c>
      <c r="C51" s="8">
        <v>181000</v>
      </c>
      <c r="D51" s="8"/>
      <c r="E51" s="7"/>
      <c r="F51" s="7"/>
      <c r="G51" s="7" t="s">
        <v>226</v>
      </c>
      <c r="H51" s="7"/>
      <c r="I51" s="7" t="s">
        <v>227</v>
      </c>
      <c r="J51" s="7">
        <v>22</v>
      </c>
      <c r="K51" s="7" t="s">
        <v>228</v>
      </c>
      <c r="L51" s="7">
        <v>48</v>
      </c>
      <c r="M51" s="7"/>
      <c r="N51" s="8"/>
      <c r="O51" s="7" t="s">
        <v>49</v>
      </c>
      <c r="P51" s="7"/>
      <c r="Q51" s="8"/>
      <c r="R51" s="7" t="s">
        <v>49</v>
      </c>
      <c r="S51" s="7"/>
      <c r="T51" s="8"/>
      <c r="U51" s="8"/>
      <c r="V51" s="8"/>
      <c r="W51" s="8">
        <v>0</v>
      </c>
      <c r="X51" s="8">
        <v>0</v>
      </c>
      <c r="Y51" s="8">
        <v>0</v>
      </c>
      <c r="Z51" s="8">
        <v>0</v>
      </c>
      <c r="AA51" s="7">
        <v>0</v>
      </c>
      <c r="AB51" s="7" t="s">
        <v>230</v>
      </c>
      <c r="AC51" s="7">
        <v>120</v>
      </c>
      <c r="AD51" s="7">
        <v>120</v>
      </c>
      <c r="AE51" s="7" t="s">
        <v>231</v>
      </c>
      <c r="AF51" s="7"/>
      <c r="AG51" s="11"/>
      <c r="AH51" s="11"/>
      <c r="AI51" s="8"/>
    </row>
    <row r="52" spans="1:35" ht="24" customHeight="1">
      <c r="A52" s="7" t="s">
        <v>134</v>
      </c>
      <c r="B52" s="7" t="s">
        <v>225</v>
      </c>
      <c r="C52" s="8">
        <v>181000</v>
      </c>
      <c r="D52" s="8"/>
      <c r="E52" s="7"/>
      <c r="F52" s="7"/>
      <c r="G52" s="7" t="s">
        <v>226</v>
      </c>
      <c r="H52" s="7"/>
      <c r="I52" s="7" t="s">
        <v>227</v>
      </c>
      <c r="J52" s="7">
        <v>22</v>
      </c>
      <c r="K52" s="7" t="s">
        <v>228</v>
      </c>
      <c r="L52" s="7">
        <v>48</v>
      </c>
      <c r="M52" s="7"/>
      <c r="N52" s="8"/>
      <c r="O52" s="7" t="s">
        <v>49</v>
      </c>
      <c r="P52" s="7"/>
      <c r="Q52" s="8"/>
      <c r="R52" s="7" t="s">
        <v>49</v>
      </c>
      <c r="S52" s="7"/>
      <c r="T52" s="8"/>
      <c r="U52" s="8"/>
      <c r="V52" s="8"/>
      <c r="W52" s="8">
        <v>0</v>
      </c>
      <c r="X52" s="8">
        <v>0</v>
      </c>
      <c r="Y52" s="8">
        <v>0</v>
      </c>
      <c r="Z52" s="8">
        <v>0</v>
      </c>
      <c r="AA52" s="7">
        <v>0</v>
      </c>
      <c r="AB52" s="7" t="s">
        <v>230</v>
      </c>
      <c r="AC52" s="7">
        <v>120</v>
      </c>
      <c r="AD52" s="7">
        <v>120</v>
      </c>
      <c r="AE52" s="7" t="s">
        <v>231</v>
      </c>
      <c r="AF52" s="7"/>
      <c r="AG52" s="11"/>
      <c r="AH52" s="11"/>
      <c r="AI52" s="8"/>
    </row>
    <row r="53" spans="1:35" ht="24" customHeight="1">
      <c r="A53" s="7" t="s">
        <v>135</v>
      </c>
      <c r="B53" s="7" t="s">
        <v>225</v>
      </c>
      <c r="C53" s="8">
        <v>181000</v>
      </c>
      <c r="D53" s="8"/>
      <c r="E53" s="7"/>
      <c r="F53" s="7"/>
      <c r="G53" s="7" t="s">
        <v>226</v>
      </c>
      <c r="H53" s="7"/>
      <c r="I53" s="7" t="s">
        <v>227</v>
      </c>
      <c r="J53" s="7">
        <v>22</v>
      </c>
      <c r="K53" s="7" t="s">
        <v>228</v>
      </c>
      <c r="L53" s="7">
        <v>48</v>
      </c>
      <c r="M53" s="7"/>
      <c r="N53" s="8"/>
      <c r="O53" s="7" t="s">
        <v>49</v>
      </c>
      <c r="P53" s="7"/>
      <c r="Q53" s="8"/>
      <c r="R53" s="7" t="s">
        <v>49</v>
      </c>
      <c r="S53" s="7"/>
      <c r="T53" s="8"/>
      <c r="U53" s="8"/>
      <c r="V53" s="8"/>
      <c r="W53" s="8">
        <v>0</v>
      </c>
      <c r="X53" s="8">
        <v>0</v>
      </c>
      <c r="Y53" s="8">
        <v>0</v>
      </c>
      <c r="Z53" s="8">
        <v>0</v>
      </c>
      <c r="AA53" s="7">
        <v>0</v>
      </c>
      <c r="AB53" s="7" t="s">
        <v>230</v>
      </c>
      <c r="AC53" s="7">
        <v>120</v>
      </c>
      <c r="AD53" s="7">
        <v>120</v>
      </c>
      <c r="AE53" s="7" t="s">
        <v>231</v>
      </c>
      <c r="AF53" s="7"/>
      <c r="AG53" s="11"/>
      <c r="AH53" s="11"/>
      <c r="AI53" s="8"/>
    </row>
    <row r="54" spans="1:35" ht="24" customHeight="1">
      <c r="A54" s="7" t="s">
        <v>136</v>
      </c>
      <c r="B54" s="7" t="s">
        <v>225</v>
      </c>
      <c r="C54" s="8">
        <v>181000</v>
      </c>
      <c r="D54" s="8"/>
      <c r="E54" s="7"/>
      <c r="F54" s="7"/>
      <c r="G54" s="7" t="s">
        <v>226</v>
      </c>
      <c r="H54" s="7"/>
      <c r="I54" s="7" t="s">
        <v>227</v>
      </c>
      <c r="J54" s="7">
        <v>22</v>
      </c>
      <c r="K54" s="7" t="s">
        <v>228</v>
      </c>
      <c r="L54" s="7">
        <v>48</v>
      </c>
      <c r="M54" s="7"/>
      <c r="N54" s="8"/>
      <c r="O54" s="7" t="s">
        <v>49</v>
      </c>
      <c r="P54" s="7"/>
      <c r="Q54" s="8"/>
      <c r="R54" s="7" t="s">
        <v>49</v>
      </c>
      <c r="S54" s="7"/>
      <c r="T54" s="8"/>
      <c r="U54" s="8"/>
      <c r="V54" s="8"/>
      <c r="W54" s="8">
        <v>0</v>
      </c>
      <c r="X54" s="8">
        <v>0</v>
      </c>
      <c r="Y54" s="8">
        <v>0</v>
      </c>
      <c r="Z54" s="8">
        <v>0</v>
      </c>
      <c r="AA54" s="7">
        <v>0</v>
      </c>
      <c r="AB54" s="7" t="s">
        <v>230</v>
      </c>
      <c r="AC54" s="7">
        <v>120</v>
      </c>
      <c r="AD54" s="7">
        <v>120</v>
      </c>
      <c r="AE54" s="7" t="s">
        <v>231</v>
      </c>
      <c r="AF54" s="7"/>
      <c r="AG54" s="11"/>
      <c r="AH54" s="11"/>
      <c r="AI54" s="8"/>
    </row>
    <row r="55" spans="1:35" ht="24" customHeight="1">
      <c r="A55" s="7" t="s">
        <v>137</v>
      </c>
      <c r="B55" s="7" t="s">
        <v>225</v>
      </c>
      <c r="C55" s="8">
        <v>181000</v>
      </c>
      <c r="D55" s="8"/>
      <c r="E55" s="7"/>
      <c r="F55" s="7"/>
      <c r="G55" s="7" t="s">
        <v>226</v>
      </c>
      <c r="H55" s="7"/>
      <c r="I55" s="7" t="s">
        <v>227</v>
      </c>
      <c r="J55" s="7">
        <v>22</v>
      </c>
      <c r="K55" s="7" t="s">
        <v>228</v>
      </c>
      <c r="L55" s="7">
        <v>48</v>
      </c>
      <c r="M55" s="7"/>
      <c r="N55" s="8"/>
      <c r="O55" s="7" t="s">
        <v>49</v>
      </c>
      <c r="P55" s="7"/>
      <c r="Q55" s="8"/>
      <c r="R55" s="7" t="s">
        <v>49</v>
      </c>
      <c r="S55" s="7"/>
      <c r="T55" s="8"/>
      <c r="U55" s="8"/>
      <c r="V55" s="8"/>
      <c r="W55" s="8">
        <v>0</v>
      </c>
      <c r="X55" s="8">
        <v>0</v>
      </c>
      <c r="Y55" s="8">
        <v>0</v>
      </c>
      <c r="Z55" s="8">
        <v>0</v>
      </c>
      <c r="AA55" s="7">
        <v>0</v>
      </c>
      <c r="AB55" s="7" t="s">
        <v>230</v>
      </c>
      <c r="AC55" s="7">
        <v>120</v>
      </c>
      <c r="AD55" s="7">
        <v>120</v>
      </c>
      <c r="AE55" s="7" t="s">
        <v>231</v>
      </c>
      <c r="AF55" s="7"/>
      <c r="AG55" s="11"/>
      <c r="AH55" s="11"/>
      <c r="AI55" s="8"/>
    </row>
    <row r="56" spans="1:35" ht="24" customHeight="1">
      <c r="A56" s="7" t="s">
        <v>138</v>
      </c>
      <c r="B56" s="7" t="s">
        <v>225</v>
      </c>
      <c r="C56" s="8">
        <v>181000</v>
      </c>
      <c r="D56" s="8"/>
      <c r="E56" s="7"/>
      <c r="F56" s="7"/>
      <c r="G56" s="7" t="s">
        <v>226</v>
      </c>
      <c r="H56" s="7"/>
      <c r="I56" s="7" t="s">
        <v>227</v>
      </c>
      <c r="J56" s="7">
        <v>22</v>
      </c>
      <c r="K56" s="7" t="s">
        <v>228</v>
      </c>
      <c r="L56" s="7">
        <v>48</v>
      </c>
      <c r="M56" s="7"/>
      <c r="N56" s="8"/>
      <c r="O56" s="7" t="s">
        <v>49</v>
      </c>
      <c r="P56" s="7"/>
      <c r="Q56" s="8"/>
      <c r="R56" s="7" t="s">
        <v>49</v>
      </c>
      <c r="S56" s="7"/>
      <c r="T56" s="8"/>
      <c r="U56" s="8"/>
      <c r="V56" s="8"/>
      <c r="W56" s="8">
        <v>0</v>
      </c>
      <c r="X56" s="8">
        <v>0</v>
      </c>
      <c r="Y56" s="8">
        <v>0</v>
      </c>
      <c r="Z56" s="8">
        <v>0</v>
      </c>
      <c r="AA56" s="7">
        <v>0</v>
      </c>
      <c r="AB56" s="7" t="s">
        <v>230</v>
      </c>
      <c r="AC56" s="7">
        <v>120</v>
      </c>
      <c r="AD56" s="7">
        <v>120</v>
      </c>
      <c r="AE56" s="7" t="s">
        <v>231</v>
      </c>
      <c r="AF56" s="7"/>
      <c r="AG56" s="11"/>
      <c r="AH56" s="11"/>
      <c r="AI56" s="8"/>
    </row>
    <row r="57" spans="1:35" ht="24" customHeight="1">
      <c r="A57" s="7" t="s">
        <v>139</v>
      </c>
      <c r="B57" s="7" t="s">
        <v>225</v>
      </c>
      <c r="C57" s="8">
        <v>181000</v>
      </c>
      <c r="D57" s="8"/>
      <c r="E57" s="7"/>
      <c r="F57" s="7"/>
      <c r="G57" s="7" t="s">
        <v>226</v>
      </c>
      <c r="H57" s="7"/>
      <c r="I57" s="7" t="s">
        <v>227</v>
      </c>
      <c r="J57" s="7">
        <v>22</v>
      </c>
      <c r="K57" s="7" t="s">
        <v>228</v>
      </c>
      <c r="L57" s="7">
        <v>48</v>
      </c>
      <c r="M57" s="7"/>
      <c r="N57" s="8"/>
      <c r="O57" s="7" t="s">
        <v>49</v>
      </c>
      <c r="P57" s="7"/>
      <c r="Q57" s="8"/>
      <c r="R57" s="7" t="s">
        <v>49</v>
      </c>
      <c r="S57" s="7"/>
      <c r="T57" s="8"/>
      <c r="U57" s="8"/>
      <c r="V57" s="8"/>
      <c r="W57" s="8">
        <v>0</v>
      </c>
      <c r="X57" s="8">
        <v>0</v>
      </c>
      <c r="Y57" s="8">
        <v>0</v>
      </c>
      <c r="Z57" s="8">
        <v>0</v>
      </c>
      <c r="AA57" s="7">
        <v>0</v>
      </c>
      <c r="AB57" s="7" t="s">
        <v>230</v>
      </c>
      <c r="AC57" s="7">
        <v>120</v>
      </c>
      <c r="AD57" s="7">
        <v>120</v>
      </c>
      <c r="AE57" s="7" t="s">
        <v>231</v>
      </c>
      <c r="AF57" s="7"/>
      <c r="AG57" s="11"/>
      <c r="AH57" s="11"/>
      <c r="AI57" s="8"/>
    </row>
    <row r="58" spans="1:35" ht="24" customHeight="1">
      <c r="A58" s="7" t="s">
        <v>140</v>
      </c>
      <c r="B58" s="7" t="s">
        <v>225</v>
      </c>
      <c r="C58" s="8">
        <v>181000</v>
      </c>
      <c r="D58" s="8"/>
      <c r="E58" s="7"/>
      <c r="F58" s="7"/>
      <c r="G58" s="7" t="s">
        <v>226</v>
      </c>
      <c r="H58" s="7"/>
      <c r="I58" s="7" t="s">
        <v>227</v>
      </c>
      <c r="J58" s="7">
        <v>22</v>
      </c>
      <c r="K58" s="7" t="s">
        <v>228</v>
      </c>
      <c r="L58" s="7">
        <v>48</v>
      </c>
      <c r="M58" s="7"/>
      <c r="N58" s="8"/>
      <c r="O58" s="7" t="s">
        <v>49</v>
      </c>
      <c r="P58" s="7"/>
      <c r="Q58" s="8"/>
      <c r="R58" s="7" t="s">
        <v>49</v>
      </c>
      <c r="S58" s="7"/>
      <c r="T58" s="8"/>
      <c r="U58" s="8"/>
      <c r="V58" s="8"/>
      <c r="W58" s="8">
        <v>0</v>
      </c>
      <c r="X58" s="8">
        <v>0</v>
      </c>
      <c r="Y58" s="8">
        <v>0</v>
      </c>
      <c r="Z58" s="8">
        <v>0</v>
      </c>
      <c r="AA58" s="7">
        <v>0</v>
      </c>
      <c r="AB58" s="7" t="s">
        <v>230</v>
      </c>
      <c r="AC58" s="7">
        <v>120</v>
      </c>
      <c r="AD58" s="7">
        <v>120</v>
      </c>
      <c r="AE58" s="7" t="s">
        <v>231</v>
      </c>
      <c r="AF58" s="7"/>
      <c r="AG58" s="11"/>
      <c r="AH58" s="11"/>
      <c r="AI58" s="8"/>
    </row>
    <row r="59" spans="1:35" ht="24" customHeight="1">
      <c r="A59" s="7" t="s">
        <v>141</v>
      </c>
      <c r="B59" s="7" t="s">
        <v>225</v>
      </c>
      <c r="C59" s="8">
        <v>181000</v>
      </c>
      <c r="D59" s="8"/>
      <c r="E59" s="7"/>
      <c r="F59" s="7"/>
      <c r="G59" s="7" t="s">
        <v>226</v>
      </c>
      <c r="H59" s="7"/>
      <c r="I59" s="7" t="s">
        <v>227</v>
      </c>
      <c r="J59" s="7">
        <v>22</v>
      </c>
      <c r="K59" s="7" t="s">
        <v>228</v>
      </c>
      <c r="L59" s="7">
        <v>48</v>
      </c>
      <c r="M59" s="7"/>
      <c r="N59" s="8"/>
      <c r="O59" s="7" t="s">
        <v>49</v>
      </c>
      <c r="P59" s="7"/>
      <c r="Q59" s="8"/>
      <c r="R59" s="7" t="s">
        <v>49</v>
      </c>
      <c r="S59" s="7"/>
      <c r="T59" s="8"/>
      <c r="U59" s="8"/>
      <c r="V59" s="8"/>
      <c r="W59" s="8">
        <v>0</v>
      </c>
      <c r="X59" s="8">
        <v>0</v>
      </c>
      <c r="Y59" s="8">
        <v>0</v>
      </c>
      <c r="Z59" s="8">
        <v>0</v>
      </c>
      <c r="AA59" s="7">
        <v>0</v>
      </c>
      <c r="AB59" s="7" t="s">
        <v>230</v>
      </c>
      <c r="AC59" s="7">
        <v>120</v>
      </c>
      <c r="AD59" s="7">
        <v>120</v>
      </c>
      <c r="AE59" s="7" t="s">
        <v>231</v>
      </c>
      <c r="AF59" s="7"/>
      <c r="AG59" s="11"/>
      <c r="AH59" s="11"/>
      <c r="AI59" s="8"/>
    </row>
    <row r="60" spans="1:35" ht="24" customHeight="1">
      <c r="A60" s="7" t="s">
        <v>142</v>
      </c>
      <c r="B60" s="7" t="s">
        <v>225</v>
      </c>
      <c r="C60" s="8">
        <v>181000</v>
      </c>
      <c r="D60" s="8"/>
      <c r="E60" s="7"/>
      <c r="F60" s="7"/>
      <c r="G60" s="7" t="s">
        <v>226</v>
      </c>
      <c r="H60" s="7"/>
      <c r="I60" s="7" t="s">
        <v>227</v>
      </c>
      <c r="J60" s="7">
        <v>22</v>
      </c>
      <c r="K60" s="7" t="s">
        <v>228</v>
      </c>
      <c r="L60" s="7">
        <v>48</v>
      </c>
      <c r="M60" s="7"/>
      <c r="N60" s="8"/>
      <c r="O60" s="7" t="s">
        <v>49</v>
      </c>
      <c r="P60" s="7"/>
      <c r="Q60" s="8"/>
      <c r="R60" s="7" t="s">
        <v>49</v>
      </c>
      <c r="S60" s="7"/>
      <c r="T60" s="8"/>
      <c r="U60" s="8"/>
      <c r="V60" s="8"/>
      <c r="W60" s="8">
        <v>0</v>
      </c>
      <c r="X60" s="8">
        <v>0</v>
      </c>
      <c r="Y60" s="8">
        <v>0</v>
      </c>
      <c r="Z60" s="8">
        <v>0</v>
      </c>
      <c r="AA60" s="7">
        <v>0</v>
      </c>
      <c r="AB60" s="7" t="s">
        <v>230</v>
      </c>
      <c r="AC60" s="7">
        <v>120</v>
      </c>
      <c r="AD60" s="7">
        <v>120</v>
      </c>
      <c r="AE60" s="7" t="s">
        <v>231</v>
      </c>
      <c r="AF60" s="7"/>
      <c r="AG60" s="11"/>
      <c r="AH60" s="11"/>
      <c r="AI60" s="8"/>
    </row>
    <row r="61" spans="1:35" ht="24" customHeight="1">
      <c r="A61" s="7" t="s">
        <v>143</v>
      </c>
      <c r="B61" s="7" t="s">
        <v>225</v>
      </c>
      <c r="C61" s="8">
        <v>181000</v>
      </c>
      <c r="D61" s="8"/>
      <c r="E61" s="7"/>
      <c r="F61" s="7"/>
      <c r="G61" s="7" t="s">
        <v>226</v>
      </c>
      <c r="H61" s="7"/>
      <c r="I61" s="7" t="s">
        <v>227</v>
      </c>
      <c r="J61" s="7">
        <v>22</v>
      </c>
      <c r="K61" s="7" t="s">
        <v>228</v>
      </c>
      <c r="L61" s="7">
        <v>48</v>
      </c>
      <c r="M61" s="7"/>
      <c r="N61" s="8"/>
      <c r="O61" s="7" t="s">
        <v>49</v>
      </c>
      <c r="P61" s="7"/>
      <c r="Q61" s="8"/>
      <c r="R61" s="7" t="s">
        <v>49</v>
      </c>
      <c r="S61" s="7"/>
      <c r="T61" s="8"/>
      <c r="U61" s="8"/>
      <c r="V61" s="8"/>
      <c r="W61" s="8">
        <v>0</v>
      </c>
      <c r="X61" s="8">
        <v>0</v>
      </c>
      <c r="Y61" s="8">
        <v>0</v>
      </c>
      <c r="Z61" s="8">
        <v>0</v>
      </c>
      <c r="AA61" s="7">
        <v>0</v>
      </c>
      <c r="AB61" s="7" t="s">
        <v>230</v>
      </c>
      <c r="AC61" s="7">
        <v>120</v>
      </c>
      <c r="AD61" s="7">
        <v>120</v>
      </c>
      <c r="AE61" s="7" t="s">
        <v>231</v>
      </c>
      <c r="AF61" s="7"/>
      <c r="AG61" s="11"/>
      <c r="AH61" s="11"/>
      <c r="AI61" s="8"/>
    </row>
    <row r="62" spans="1:35" ht="24" customHeight="1">
      <c r="A62" s="7" t="s">
        <v>144</v>
      </c>
      <c r="B62" s="7" t="s">
        <v>225</v>
      </c>
      <c r="C62" s="8">
        <v>181000</v>
      </c>
      <c r="D62" s="8"/>
      <c r="E62" s="7"/>
      <c r="F62" s="7"/>
      <c r="G62" s="7" t="s">
        <v>226</v>
      </c>
      <c r="H62" s="7"/>
      <c r="I62" s="7" t="s">
        <v>227</v>
      </c>
      <c r="J62" s="7">
        <v>22</v>
      </c>
      <c r="K62" s="7" t="s">
        <v>228</v>
      </c>
      <c r="L62" s="7">
        <v>48</v>
      </c>
      <c r="M62" s="7"/>
      <c r="N62" s="8"/>
      <c r="O62" s="7" t="s">
        <v>49</v>
      </c>
      <c r="P62" s="7"/>
      <c r="Q62" s="8"/>
      <c r="R62" s="7" t="s">
        <v>49</v>
      </c>
      <c r="S62" s="7"/>
      <c r="T62" s="8"/>
      <c r="U62" s="8"/>
      <c r="V62" s="8"/>
      <c r="W62" s="8">
        <v>0</v>
      </c>
      <c r="X62" s="8">
        <v>0</v>
      </c>
      <c r="Y62" s="8">
        <v>0</v>
      </c>
      <c r="Z62" s="8">
        <v>0</v>
      </c>
      <c r="AA62" s="7">
        <v>0</v>
      </c>
      <c r="AB62" s="7" t="s">
        <v>230</v>
      </c>
      <c r="AC62" s="7">
        <v>120</v>
      </c>
      <c r="AD62" s="7">
        <v>120</v>
      </c>
      <c r="AE62" s="7" t="s">
        <v>231</v>
      </c>
      <c r="AF62" s="7"/>
      <c r="AG62" s="11"/>
      <c r="AH62" s="11"/>
      <c r="AI62" s="8"/>
    </row>
    <row r="63" spans="1:35" ht="24" customHeight="1">
      <c r="A63" s="7" t="s">
        <v>145</v>
      </c>
      <c r="B63" s="7" t="s">
        <v>225</v>
      </c>
      <c r="C63" s="8">
        <v>181000</v>
      </c>
      <c r="D63" s="8"/>
      <c r="E63" s="7"/>
      <c r="F63" s="7"/>
      <c r="G63" s="7" t="s">
        <v>226</v>
      </c>
      <c r="H63" s="7"/>
      <c r="I63" s="7" t="s">
        <v>227</v>
      </c>
      <c r="J63" s="7">
        <v>22</v>
      </c>
      <c r="K63" s="7" t="s">
        <v>228</v>
      </c>
      <c r="L63" s="7">
        <v>48</v>
      </c>
      <c r="M63" s="7"/>
      <c r="N63" s="8"/>
      <c r="O63" s="7" t="s">
        <v>49</v>
      </c>
      <c r="P63" s="7"/>
      <c r="Q63" s="8"/>
      <c r="R63" s="7" t="s">
        <v>49</v>
      </c>
      <c r="S63" s="7"/>
      <c r="T63" s="8"/>
      <c r="U63" s="8"/>
      <c r="V63" s="8"/>
      <c r="W63" s="8">
        <v>0</v>
      </c>
      <c r="X63" s="8">
        <v>0</v>
      </c>
      <c r="Y63" s="8">
        <v>0</v>
      </c>
      <c r="Z63" s="8">
        <v>0</v>
      </c>
      <c r="AA63" s="7">
        <v>0</v>
      </c>
      <c r="AB63" s="7" t="s">
        <v>230</v>
      </c>
      <c r="AC63" s="7">
        <v>120</v>
      </c>
      <c r="AD63" s="7">
        <v>120</v>
      </c>
      <c r="AE63" s="7" t="s">
        <v>231</v>
      </c>
      <c r="AF63" s="7"/>
      <c r="AG63" s="11"/>
      <c r="AH63" s="11"/>
      <c r="AI63" s="8"/>
    </row>
    <row r="64" spans="1:35" ht="24" customHeight="1">
      <c r="A64" s="7" t="s">
        <v>146</v>
      </c>
      <c r="B64" s="7" t="s">
        <v>225</v>
      </c>
      <c r="C64" s="8">
        <v>181000</v>
      </c>
      <c r="D64" s="8"/>
      <c r="E64" s="7"/>
      <c r="F64" s="7"/>
      <c r="G64" s="7" t="s">
        <v>226</v>
      </c>
      <c r="H64" s="7"/>
      <c r="I64" s="7" t="s">
        <v>227</v>
      </c>
      <c r="J64" s="7">
        <v>22</v>
      </c>
      <c r="K64" s="7" t="s">
        <v>228</v>
      </c>
      <c r="L64" s="7">
        <v>48</v>
      </c>
      <c r="M64" s="7"/>
      <c r="N64" s="8"/>
      <c r="O64" s="7" t="s">
        <v>49</v>
      </c>
      <c r="P64" s="7"/>
      <c r="Q64" s="8"/>
      <c r="R64" s="7" t="s">
        <v>49</v>
      </c>
      <c r="S64" s="7"/>
      <c r="T64" s="8"/>
      <c r="U64" s="8"/>
      <c r="V64" s="8"/>
      <c r="W64" s="8">
        <v>0</v>
      </c>
      <c r="X64" s="8">
        <v>0</v>
      </c>
      <c r="Y64" s="8">
        <v>0</v>
      </c>
      <c r="Z64" s="8">
        <v>0</v>
      </c>
      <c r="AA64" s="7">
        <v>0</v>
      </c>
      <c r="AB64" s="7" t="s">
        <v>230</v>
      </c>
      <c r="AC64" s="7">
        <v>120</v>
      </c>
      <c r="AD64" s="7">
        <v>120</v>
      </c>
      <c r="AE64" s="7" t="s">
        <v>231</v>
      </c>
      <c r="AF64" s="7"/>
      <c r="AG64" s="11"/>
      <c r="AH64" s="11"/>
      <c r="AI64" s="8"/>
    </row>
    <row r="65" spans="1:35" ht="24" customHeight="1">
      <c r="A65" s="7" t="s">
        <v>147</v>
      </c>
      <c r="B65" s="7" t="s">
        <v>225</v>
      </c>
      <c r="C65" s="8">
        <v>181000</v>
      </c>
      <c r="D65" s="8"/>
      <c r="E65" s="7"/>
      <c r="F65" s="7"/>
      <c r="G65" s="7" t="s">
        <v>226</v>
      </c>
      <c r="H65" s="7"/>
      <c r="I65" s="7" t="s">
        <v>227</v>
      </c>
      <c r="J65" s="7">
        <v>22</v>
      </c>
      <c r="K65" s="7" t="s">
        <v>228</v>
      </c>
      <c r="L65" s="7">
        <v>48</v>
      </c>
      <c r="M65" s="7"/>
      <c r="N65" s="8"/>
      <c r="O65" s="7" t="s">
        <v>49</v>
      </c>
      <c r="P65" s="7"/>
      <c r="Q65" s="8"/>
      <c r="R65" s="7" t="s">
        <v>49</v>
      </c>
      <c r="S65" s="7"/>
      <c r="T65" s="8"/>
      <c r="U65" s="8"/>
      <c r="V65" s="8"/>
      <c r="W65" s="8">
        <v>0</v>
      </c>
      <c r="X65" s="8">
        <v>0</v>
      </c>
      <c r="Y65" s="8">
        <v>0</v>
      </c>
      <c r="Z65" s="8">
        <v>0</v>
      </c>
      <c r="AA65" s="7">
        <v>0</v>
      </c>
      <c r="AB65" s="7" t="s">
        <v>230</v>
      </c>
      <c r="AC65" s="7">
        <v>120</v>
      </c>
      <c r="AD65" s="7">
        <v>120</v>
      </c>
      <c r="AE65" s="7" t="s">
        <v>231</v>
      </c>
      <c r="AF65" s="7"/>
      <c r="AG65" s="11"/>
      <c r="AH65" s="11"/>
      <c r="AI65" s="8"/>
    </row>
    <row r="66" spans="1:35" ht="24" customHeight="1">
      <c r="A66" s="7" t="s">
        <v>148</v>
      </c>
      <c r="B66" s="7" t="s">
        <v>225</v>
      </c>
      <c r="C66" s="8">
        <v>181000</v>
      </c>
      <c r="D66" s="8"/>
      <c r="E66" s="7"/>
      <c r="F66" s="7"/>
      <c r="G66" s="7" t="s">
        <v>226</v>
      </c>
      <c r="H66" s="7"/>
      <c r="I66" s="7" t="s">
        <v>227</v>
      </c>
      <c r="J66" s="7">
        <v>22</v>
      </c>
      <c r="K66" s="7" t="s">
        <v>228</v>
      </c>
      <c r="L66" s="7">
        <v>48</v>
      </c>
      <c r="M66" s="7"/>
      <c r="N66" s="8"/>
      <c r="O66" s="7" t="s">
        <v>49</v>
      </c>
      <c r="P66" s="7"/>
      <c r="Q66" s="8"/>
      <c r="R66" s="7" t="s">
        <v>49</v>
      </c>
      <c r="S66" s="7"/>
      <c r="T66" s="8"/>
      <c r="U66" s="8"/>
      <c r="V66" s="8"/>
      <c r="W66" s="8">
        <v>0</v>
      </c>
      <c r="X66" s="8">
        <v>0</v>
      </c>
      <c r="Y66" s="8">
        <v>0</v>
      </c>
      <c r="Z66" s="8">
        <v>0</v>
      </c>
      <c r="AA66" s="7">
        <v>0</v>
      </c>
      <c r="AB66" s="7" t="s">
        <v>230</v>
      </c>
      <c r="AC66" s="7">
        <v>120</v>
      </c>
      <c r="AD66" s="7">
        <v>120</v>
      </c>
      <c r="AE66" s="7" t="s">
        <v>231</v>
      </c>
      <c r="AF66" s="7"/>
      <c r="AG66" s="11"/>
      <c r="AH66" s="11"/>
      <c r="AI66" s="8"/>
    </row>
    <row r="67" spans="1:35" ht="24" customHeight="1">
      <c r="A67" s="7" t="s">
        <v>149</v>
      </c>
      <c r="B67" s="7" t="s">
        <v>225</v>
      </c>
      <c r="C67" s="8">
        <v>181000</v>
      </c>
      <c r="D67" s="8"/>
      <c r="E67" s="7"/>
      <c r="F67" s="7"/>
      <c r="G67" s="7" t="s">
        <v>226</v>
      </c>
      <c r="H67" s="7"/>
      <c r="I67" s="7" t="s">
        <v>227</v>
      </c>
      <c r="J67" s="7">
        <v>22</v>
      </c>
      <c r="K67" s="7" t="s">
        <v>228</v>
      </c>
      <c r="L67" s="7">
        <v>48</v>
      </c>
      <c r="M67" s="7"/>
      <c r="N67" s="8"/>
      <c r="O67" s="7" t="s">
        <v>49</v>
      </c>
      <c r="P67" s="7"/>
      <c r="Q67" s="8"/>
      <c r="R67" s="7" t="s">
        <v>49</v>
      </c>
      <c r="S67" s="7"/>
      <c r="T67" s="8"/>
      <c r="U67" s="8"/>
      <c r="V67" s="8"/>
      <c r="W67" s="8">
        <v>0</v>
      </c>
      <c r="X67" s="8">
        <v>0</v>
      </c>
      <c r="Y67" s="8">
        <v>0</v>
      </c>
      <c r="Z67" s="8">
        <v>0</v>
      </c>
      <c r="AA67" s="7">
        <v>0</v>
      </c>
      <c r="AB67" s="7" t="s">
        <v>230</v>
      </c>
      <c r="AC67" s="7">
        <v>120</v>
      </c>
      <c r="AD67" s="7">
        <v>120</v>
      </c>
      <c r="AE67" s="7" t="s">
        <v>231</v>
      </c>
      <c r="AF67" s="7"/>
      <c r="AG67" s="11"/>
      <c r="AH67" s="11"/>
      <c r="AI67" s="8"/>
    </row>
    <row r="68" spans="1:35" ht="24" customHeight="1">
      <c r="A68" s="7" t="s">
        <v>150</v>
      </c>
      <c r="B68" s="7" t="s">
        <v>225</v>
      </c>
      <c r="C68" s="8">
        <v>181000</v>
      </c>
      <c r="D68" s="8"/>
      <c r="E68" s="7"/>
      <c r="F68" s="7"/>
      <c r="G68" s="7" t="s">
        <v>226</v>
      </c>
      <c r="H68" s="7"/>
      <c r="I68" s="7" t="s">
        <v>227</v>
      </c>
      <c r="J68" s="7">
        <v>22</v>
      </c>
      <c r="K68" s="7" t="s">
        <v>228</v>
      </c>
      <c r="L68" s="7">
        <v>48</v>
      </c>
      <c r="M68" s="7"/>
      <c r="N68" s="8"/>
      <c r="O68" s="7" t="s">
        <v>49</v>
      </c>
      <c r="P68" s="7"/>
      <c r="Q68" s="8"/>
      <c r="R68" s="7" t="s">
        <v>49</v>
      </c>
      <c r="S68" s="7"/>
      <c r="T68" s="8"/>
      <c r="U68" s="8"/>
      <c r="V68" s="8"/>
      <c r="W68" s="8">
        <v>0</v>
      </c>
      <c r="X68" s="8">
        <v>0</v>
      </c>
      <c r="Y68" s="8">
        <v>0</v>
      </c>
      <c r="Z68" s="8">
        <v>0</v>
      </c>
      <c r="AA68" s="7">
        <v>0</v>
      </c>
      <c r="AB68" s="7" t="s">
        <v>230</v>
      </c>
      <c r="AC68" s="7">
        <v>120</v>
      </c>
      <c r="AD68" s="7">
        <v>120</v>
      </c>
      <c r="AE68" s="7" t="s">
        <v>231</v>
      </c>
      <c r="AF68" s="7"/>
      <c r="AG68" s="11"/>
      <c r="AH68" s="11"/>
      <c r="AI68" s="8"/>
    </row>
    <row r="69" spans="1:35" ht="24" customHeight="1">
      <c r="A69" s="7" t="s">
        <v>151</v>
      </c>
      <c r="B69" s="7" t="s">
        <v>225</v>
      </c>
      <c r="C69" s="8">
        <v>181000</v>
      </c>
      <c r="D69" s="8"/>
      <c r="E69" s="7"/>
      <c r="F69" s="7"/>
      <c r="G69" s="7" t="s">
        <v>226</v>
      </c>
      <c r="H69" s="7"/>
      <c r="I69" s="7" t="s">
        <v>227</v>
      </c>
      <c r="J69" s="7">
        <v>22</v>
      </c>
      <c r="K69" s="7" t="s">
        <v>228</v>
      </c>
      <c r="L69" s="7">
        <v>48</v>
      </c>
      <c r="M69" s="7"/>
      <c r="N69" s="8"/>
      <c r="O69" s="7" t="s">
        <v>49</v>
      </c>
      <c r="P69" s="7"/>
      <c r="Q69" s="8"/>
      <c r="R69" s="7" t="s">
        <v>49</v>
      </c>
      <c r="S69" s="7"/>
      <c r="T69" s="8"/>
      <c r="U69" s="8"/>
      <c r="V69" s="8"/>
      <c r="W69" s="8">
        <v>0</v>
      </c>
      <c r="X69" s="8">
        <v>0</v>
      </c>
      <c r="Y69" s="8">
        <v>0</v>
      </c>
      <c r="Z69" s="8">
        <v>0</v>
      </c>
      <c r="AA69" s="7">
        <v>0</v>
      </c>
      <c r="AB69" s="7" t="s">
        <v>230</v>
      </c>
      <c r="AC69" s="7">
        <v>120</v>
      </c>
      <c r="AD69" s="7">
        <v>120</v>
      </c>
      <c r="AE69" s="7" t="s">
        <v>231</v>
      </c>
      <c r="AF69" s="7"/>
      <c r="AG69" s="11"/>
      <c r="AH69" s="11"/>
      <c r="AI69" s="8"/>
    </row>
    <row r="70" spans="1:35" ht="24" customHeight="1">
      <c r="A70" s="7" t="s">
        <v>152</v>
      </c>
      <c r="B70" s="7" t="s">
        <v>225</v>
      </c>
      <c r="C70" s="8">
        <v>181000</v>
      </c>
      <c r="D70" s="8"/>
      <c r="E70" s="7"/>
      <c r="F70" s="7"/>
      <c r="G70" s="7" t="s">
        <v>226</v>
      </c>
      <c r="H70" s="7"/>
      <c r="I70" s="7" t="s">
        <v>227</v>
      </c>
      <c r="J70" s="7">
        <v>22</v>
      </c>
      <c r="K70" s="7" t="s">
        <v>228</v>
      </c>
      <c r="L70" s="7">
        <v>48</v>
      </c>
      <c r="M70" s="7"/>
      <c r="N70" s="8"/>
      <c r="O70" s="7" t="s">
        <v>49</v>
      </c>
      <c r="P70" s="7"/>
      <c r="Q70" s="8"/>
      <c r="R70" s="7" t="s">
        <v>49</v>
      </c>
      <c r="S70" s="7"/>
      <c r="T70" s="8"/>
      <c r="U70" s="8"/>
      <c r="V70" s="8"/>
      <c r="W70" s="8">
        <v>0</v>
      </c>
      <c r="X70" s="8">
        <v>0</v>
      </c>
      <c r="Y70" s="8">
        <v>0</v>
      </c>
      <c r="Z70" s="8">
        <v>0</v>
      </c>
      <c r="AA70" s="7">
        <v>0</v>
      </c>
      <c r="AB70" s="7" t="s">
        <v>230</v>
      </c>
      <c r="AC70" s="7">
        <v>120</v>
      </c>
      <c r="AD70" s="7">
        <v>120</v>
      </c>
      <c r="AE70" s="7" t="s">
        <v>231</v>
      </c>
      <c r="AF70" s="7"/>
      <c r="AG70" s="11"/>
      <c r="AH70" s="11"/>
      <c r="AI70" s="8"/>
    </row>
    <row r="71" spans="1:35" ht="24" customHeight="1">
      <c r="A71" s="7" t="s">
        <v>153</v>
      </c>
      <c r="B71" s="7" t="s">
        <v>225</v>
      </c>
      <c r="C71" s="8">
        <v>181000</v>
      </c>
      <c r="D71" s="8"/>
      <c r="E71" s="7"/>
      <c r="F71" s="7"/>
      <c r="G71" s="7" t="s">
        <v>226</v>
      </c>
      <c r="H71" s="7"/>
      <c r="I71" s="7" t="s">
        <v>227</v>
      </c>
      <c r="J71" s="7">
        <v>22</v>
      </c>
      <c r="K71" s="7" t="s">
        <v>228</v>
      </c>
      <c r="L71" s="7">
        <v>48</v>
      </c>
      <c r="M71" s="7"/>
      <c r="N71" s="8"/>
      <c r="O71" s="7" t="s">
        <v>49</v>
      </c>
      <c r="P71" s="7"/>
      <c r="Q71" s="8"/>
      <c r="R71" s="7" t="s">
        <v>49</v>
      </c>
      <c r="S71" s="7"/>
      <c r="T71" s="8"/>
      <c r="U71" s="8"/>
      <c r="V71" s="8"/>
      <c r="W71" s="8">
        <v>0</v>
      </c>
      <c r="X71" s="8">
        <v>0</v>
      </c>
      <c r="Y71" s="8">
        <v>0</v>
      </c>
      <c r="Z71" s="8">
        <v>0</v>
      </c>
      <c r="AA71" s="7">
        <v>0</v>
      </c>
      <c r="AB71" s="7" t="s">
        <v>230</v>
      </c>
      <c r="AC71" s="7">
        <v>120</v>
      </c>
      <c r="AD71" s="7">
        <v>120</v>
      </c>
      <c r="AE71" s="7" t="s">
        <v>231</v>
      </c>
      <c r="AF71" s="7"/>
      <c r="AG71" s="11"/>
      <c r="AH71" s="11"/>
      <c r="AI71" s="8"/>
    </row>
    <row r="72" spans="1:35" ht="24" customHeight="1">
      <c r="A72" s="7" t="s">
        <v>154</v>
      </c>
      <c r="B72" s="7" t="s">
        <v>225</v>
      </c>
      <c r="C72" s="8">
        <v>181000</v>
      </c>
      <c r="D72" s="8"/>
      <c r="E72" s="7"/>
      <c r="F72" s="7"/>
      <c r="G72" s="7" t="s">
        <v>226</v>
      </c>
      <c r="H72" s="7"/>
      <c r="I72" s="7" t="s">
        <v>227</v>
      </c>
      <c r="J72" s="7">
        <v>22</v>
      </c>
      <c r="K72" s="7" t="s">
        <v>228</v>
      </c>
      <c r="L72" s="7">
        <v>48</v>
      </c>
      <c r="M72" s="7"/>
      <c r="N72" s="8"/>
      <c r="O72" s="7" t="s">
        <v>49</v>
      </c>
      <c r="P72" s="7"/>
      <c r="Q72" s="8"/>
      <c r="R72" s="7" t="s">
        <v>49</v>
      </c>
      <c r="S72" s="7"/>
      <c r="T72" s="8"/>
      <c r="U72" s="8"/>
      <c r="V72" s="8"/>
      <c r="W72" s="8">
        <v>0</v>
      </c>
      <c r="X72" s="8">
        <v>0</v>
      </c>
      <c r="Y72" s="8">
        <v>0</v>
      </c>
      <c r="Z72" s="8">
        <v>0</v>
      </c>
      <c r="AA72" s="7">
        <v>0</v>
      </c>
      <c r="AB72" s="7" t="s">
        <v>230</v>
      </c>
      <c r="AC72" s="7">
        <v>120</v>
      </c>
      <c r="AD72" s="7">
        <v>120</v>
      </c>
      <c r="AE72" s="7" t="s">
        <v>231</v>
      </c>
      <c r="AF72" s="7"/>
      <c r="AG72" s="11"/>
      <c r="AH72" s="11"/>
      <c r="AI72" s="8"/>
    </row>
    <row r="73" spans="1:35" ht="24" customHeight="1">
      <c r="A73" s="7" t="s">
        <v>155</v>
      </c>
      <c r="B73" s="7" t="s">
        <v>225</v>
      </c>
      <c r="C73" s="8">
        <v>181000</v>
      </c>
      <c r="D73" s="8"/>
      <c r="E73" s="7"/>
      <c r="F73" s="7"/>
      <c r="G73" s="7" t="s">
        <v>226</v>
      </c>
      <c r="H73" s="7"/>
      <c r="I73" s="7" t="s">
        <v>227</v>
      </c>
      <c r="J73" s="7">
        <v>22</v>
      </c>
      <c r="K73" s="7" t="s">
        <v>228</v>
      </c>
      <c r="L73" s="7">
        <v>48</v>
      </c>
      <c r="M73" s="7"/>
      <c r="N73" s="8"/>
      <c r="O73" s="7" t="s">
        <v>49</v>
      </c>
      <c r="P73" s="7"/>
      <c r="Q73" s="8"/>
      <c r="R73" s="7" t="s">
        <v>49</v>
      </c>
      <c r="S73" s="7"/>
      <c r="T73" s="8"/>
      <c r="U73" s="8"/>
      <c r="V73" s="8"/>
      <c r="W73" s="8">
        <v>0</v>
      </c>
      <c r="X73" s="8">
        <v>0</v>
      </c>
      <c r="Y73" s="8">
        <v>0</v>
      </c>
      <c r="Z73" s="8">
        <v>0</v>
      </c>
      <c r="AA73" s="7">
        <v>0</v>
      </c>
      <c r="AB73" s="7" t="s">
        <v>230</v>
      </c>
      <c r="AC73" s="7">
        <v>120</v>
      </c>
      <c r="AD73" s="7">
        <v>120</v>
      </c>
      <c r="AE73" s="7" t="s">
        <v>231</v>
      </c>
      <c r="AF73" s="7"/>
      <c r="AG73" s="11"/>
      <c r="AH73" s="11"/>
      <c r="AI73" s="8"/>
    </row>
    <row r="74" spans="1:35" ht="24" customHeight="1">
      <c r="A74" s="7" t="s">
        <v>156</v>
      </c>
      <c r="B74" s="7" t="s">
        <v>225</v>
      </c>
      <c r="C74" s="8">
        <v>181000</v>
      </c>
      <c r="D74" s="8"/>
      <c r="E74" s="7"/>
      <c r="F74" s="7"/>
      <c r="G74" s="7" t="s">
        <v>226</v>
      </c>
      <c r="H74" s="7"/>
      <c r="I74" s="7" t="s">
        <v>227</v>
      </c>
      <c r="J74" s="7">
        <v>22</v>
      </c>
      <c r="K74" s="7" t="s">
        <v>228</v>
      </c>
      <c r="L74" s="7">
        <v>48</v>
      </c>
      <c r="M74" s="7"/>
      <c r="N74" s="8"/>
      <c r="O74" s="7" t="s">
        <v>49</v>
      </c>
      <c r="P74" s="7"/>
      <c r="Q74" s="8"/>
      <c r="R74" s="7" t="s">
        <v>49</v>
      </c>
      <c r="S74" s="7"/>
      <c r="T74" s="8"/>
      <c r="U74" s="8"/>
      <c r="V74" s="8"/>
      <c r="W74" s="8">
        <v>0</v>
      </c>
      <c r="X74" s="8">
        <v>0</v>
      </c>
      <c r="Y74" s="8">
        <v>0</v>
      </c>
      <c r="Z74" s="8">
        <v>0</v>
      </c>
      <c r="AA74" s="7">
        <v>0</v>
      </c>
      <c r="AB74" s="7" t="s">
        <v>230</v>
      </c>
      <c r="AC74" s="7">
        <v>120</v>
      </c>
      <c r="AD74" s="7">
        <v>120</v>
      </c>
      <c r="AE74" s="7" t="s">
        <v>231</v>
      </c>
      <c r="AF74" s="7"/>
      <c r="AG74" s="11"/>
      <c r="AH74" s="11"/>
      <c r="AI74" s="8"/>
    </row>
    <row r="75" spans="1:35" ht="24" customHeight="1">
      <c r="A75" s="7" t="s">
        <v>157</v>
      </c>
      <c r="B75" s="7" t="s">
        <v>225</v>
      </c>
      <c r="C75" s="8">
        <v>181000</v>
      </c>
      <c r="D75" s="8"/>
      <c r="E75" s="7"/>
      <c r="F75" s="7"/>
      <c r="G75" s="7" t="s">
        <v>226</v>
      </c>
      <c r="H75" s="7"/>
      <c r="I75" s="7" t="s">
        <v>227</v>
      </c>
      <c r="J75" s="7">
        <v>22</v>
      </c>
      <c r="K75" s="7" t="s">
        <v>228</v>
      </c>
      <c r="L75" s="7">
        <v>48</v>
      </c>
      <c r="M75" s="7"/>
      <c r="N75" s="8"/>
      <c r="O75" s="7" t="s">
        <v>49</v>
      </c>
      <c r="P75" s="7"/>
      <c r="Q75" s="8"/>
      <c r="R75" s="7" t="s">
        <v>49</v>
      </c>
      <c r="S75" s="7"/>
      <c r="T75" s="8"/>
      <c r="U75" s="8"/>
      <c r="V75" s="8"/>
      <c r="W75" s="8">
        <v>0</v>
      </c>
      <c r="X75" s="8">
        <v>0</v>
      </c>
      <c r="Y75" s="8">
        <v>0</v>
      </c>
      <c r="Z75" s="8">
        <v>0</v>
      </c>
      <c r="AA75" s="7">
        <v>0</v>
      </c>
      <c r="AB75" s="7" t="s">
        <v>230</v>
      </c>
      <c r="AC75" s="7">
        <v>120</v>
      </c>
      <c r="AD75" s="7">
        <v>120</v>
      </c>
      <c r="AE75" s="7" t="s">
        <v>231</v>
      </c>
      <c r="AF75" s="7"/>
      <c r="AG75" s="11"/>
      <c r="AH75" s="11"/>
      <c r="AI75" s="8"/>
    </row>
    <row r="76" spans="1:35" ht="24" customHeight="1">
      <c r="A76" s="7" t="s">
        <v>158</v>
      </c>
      <c r="B76" s="7" t="s">
        <v>225</v>
      </c>
      <c r="C76" s="8">
        <v>181000</v>
      </c>
      <c r="D76" s="8"/>
      <c r="E76" s="7"/>
      <c r="F76" s="7"/>
      <c r="G76" s="7" t="s">
        <v>226</v>
      </c>
      <c r="H76" s="7"/>
      <c r="I76" s="7" t="s">
        <v>227</v>
      </c>
      <c r="J76" s="7">
        <v>22</v>
      </c>
      <c r="K76" s="7" t="s">
        <v>228</v>
      </c>
      <c r="L76" s="7">
        <v>48</v>
      </c>
      <c r="M76" s="7"/>
      <c r="N76" s="8"/>
      <c r="O76" s="7" t="s">
        <v>49</v>
      </c>
      <c r="P76" s="7"/>
      <c r="Q76" s="8"/>
      <c r="R76" s="7" t="s">
        <v>49</v>
      </c>
      <c r="S76" s="7"/>
      <c r="T76" s="8"/>
      <c r="U76" s="8"/>
      <c r="V76" s="8"/>
      <c r="W76" s="8">
        <v>0</v>
      </c>
      <c r="X76" s="8">
        <v>0</v>
      </c>
      <c r="Y76" s="8">
        <v>0</v>
      </c>
      <c r="Z76" s="8">
        <v>0</v>
      </c>
      <c r="AA76" s="7">
        <v>0</v>
      </c>
      <c r="AB76" s="7" t="s">
        <v>230</v>
      </c>
      <c r="AC76" s="7">
        <v>120</v>
      </c>
      <c r="AD76" s="7">
        <v>120</v>
      </c>
      <c r="AE76" s="7" t="s">
        <v>231</v>
      </c>
      <c r="AF76" s="7"/>
      <c r="AG76" s="11"/>
      <c r="AH76" s="11"/>
      <c r="AI76" s="8"/>
    </row>
    <row r="77" spans="1:35" ht="24" customHeight="1">
      <c r="A77" s="7" t="s">
        <v>159</v>
      </c>
      <c r="B77" s="7" t="s">
        <v>225</v>
      </c>
      <c r="C77" s="8">
        <v>181000</v>
      </c>
      <c r="D77" s="8"/>
      <c r="E77" s="7"/>
      <c r="F77" s="7"/>
      <c r="G77" s="7" t="s">
        <v>226</v>
      </c>
      <c r="H77" s="7"/>
      <c r="I77" s="7" t="s">
        <v>227</v>
      </c>
      <c r="J77" s="7">
        <v>22</v>
      </c>
      <c r="K77" s="7" t="s">
        <v>228</v>
      </c>
      <c r="L77" s="7">
        <v>48</v>
      </c>
      <c r="M77" s="7"/>
      <c r="N77" s="8"/>
      <c r="O77" s="7" t="s">
        <v>49</v>
      </c>
      <c r="P77" s="7"/>
      <c r="Q77" s="8"/>
      <c r="R77" s="7" t="s">
        <v>49</v>
      </c>
      <c r="S77" s="7"/>
      <c r="T77" s="8"/>
      <c r="U77" s="8"/>
      <c r="V77" s="8"/>
      <c r="W77" s="8">
        <v>0</v>
      </c>
      <c r="X77" s="8">
        <v>0</v>
      </c>
      <c r="Y77" s="8">
        <v>0</v>
      </c>
      <c r="Z77" s="8">
        <v>0</v>
      </c>
      <c r="AA77" s="7">
        <v>0</v>
      </c>
      <c r="AB77" s="7" t="s">
        <v>230</v>
      </c>
      <c r="AC77" s="7">
        <v>120</v>
      </c>
      <c r="AD77" s="7">
        <v>120</v>
      </c>
      <c r="AE77" s="7" t="s">
        <v>231</v>
      </c>
      <c r="AF77" s="7"/>
      <c r="AG77" s="11"/>
      <c r="AH77" s="11"/>
      <c r="AI77" s="8"/>
    </row>
    <row r="78" spans="1:35" ht="24" customHeight="1">
      <c r="A78" s="7" t="s">
        <v>160</v>
      </c>
      <c r="B78" s="7" t="s">
        <v>225</v>
      </c>
      <c r="C78" s="8">
        <v>181000</v>
      </c>
      <c r="D78" s="8"/>
      <c r="E78" s="7"/>
      <c r="F78" s="7"/>
      <c r="G78" s="7" t="s">
        <v>226</v>
      </c>
      <c r="H78" s="7"/>
      <c r="I78" s="7" t="s">
        <v>227</v>
      </c>
      <c r="J78" s="7">
        <v>22</v>
      </c>
      <c r="K78" s="7" t="s">
        <v>228</v>
      </c>
      <c r="L78" s="7">
        <v>48</v>
      </c>
      <c r="M78" s="7"/>
      <c r="N78" s="8"/>
      <c r="O78" s="7" t="s">
        <v>49</v>
      </c>
      <c r="P78" s="7"/>
      <c r="Q78" s="8"/>
      <c r="R78" s="7" t="s">
        <v>49</v>
      </c>
      <c r="S78" s="7"/>
      <c r="T78" s="8"/>
      <c r="U78" s="8"/>
      <c r="V78" s="8"/>
      <c r="W78" s="8">
        <v>0</v>
      </c>
      <c r="X78" s="8">
        <v>0</v>
      </c>
      <c r="Y78" s="8">
        <v>0</v>
      </c>
      <c r="Z78" s="8">
        <v>0</v>
      </c>
      <c r="AA78" s="7">
        <v>0</v>
      </c>
      <c r="AB78" s="7" t="s">
        <v>230</v>
      </c>
      <c r="AC78" s="7">
        <v>120</v>
      </c>
      <c r="AD78" s="7">
        <v>120</v>
      </c>
      <c r="AE78" s="7" t="s">
        <v>231</v>
      </c>
      <c r="AF78" s="7"/>
      <c r="AG78" s="11"/>
      <c r="AH78" s="11"/>
      <c r="AI78" s="8"/>
    </row>
    <row r="79" spans="1:35" ht="24" customHeight="1">
      <c r="A79" s="7" t="s">
        <v>161</v>
      </c>
      <c r="B79" s="7" t="s">
        <v>225</v>
      </c>
      <c r="C79" s="8">
        <v>181000</v>
      </c>
      <c r="D79" s="8"/>
      <c r="E79" s="7"/>
      <c r="F79" s="7"/>
      <c r="G79" s="7" t="s">
        <v>226</v>
      </c>
      <c r="H79" s="7"/>
      <c r="I79" s="7" t="s">
        <v>227</v>
      </c>
      <c r="J79" s="7">
        <v>22</v>
      </c>
      <c r="K79" s="7" t="s">
        <v>228</v>
      </c>
      <c r="L79" s="7">
        <v>48</v>
      </c>
      <c r="M79" s="7"/>
      <c r="N79" s="8"/>
      <c r="O79" s="7" t="s">
        <v>49</v>
      </c>
      <c r="P79" s="7"/>
      <c r="Q79" s="8"/>
      <c r="R79" s="7" t="s">
        <v>49</v>
      </c>
      <c r="S79" s="7"/>
      <c r="T79" s="8"/>
      <c r="U79" s="8"/>
      <c r="V79" s="8"/>
      <c r="W79" s="8">
        <v>0</v>
      </c>
      <c r="X79" s="8">
        <v>0</v>
      </c>
      <c r="Y79" s="8">
        <v>0</v>
      </c>
      <c r="Z79" s="8">
        <v>0</v>
      </c>
      <c r="AA79" s="7">
        <v>0</v>
      </c>
      <c r="AB79" s="7" t="s">
        <v>230</v>
      </c>
      <c r="AC79" s="7">
        <v>120</v>
      </c>
      <c r="AD79" s="7">
        <v>120</v>
      </c>
      <c r="AE79" s="7" t="s">
        <v>231</v>
      </c>
      <c r="AF79" s="7"/>
      <c r="AG79" s="11"/>
      <c r="AH79" s="11"/>
      <c r="AI79" s="8"/>
    </row>
    <row r="80" spans="1:35" ht="24" customHeight="1">
      <c r="A80" s="7" t="s">
        <v>162</v>
      </c>
      <c r="B80" s="7" t="s">
        <v>225</v>
      </c>
      <c r="C80" s="8">
        <v>181000</v>
      </c>
      <c r="D80" s="8"/>
      <c r="E80" s="7"/>
      <c r="F80" s="7"/>
      <c r="G80" s="7" t="s">
        <v>226</v>
      </c>
      <c r="H80" s="7"/>
      <c r="I80" s="7" t="s">
        <v>227</v>
      </c>
      <c r="J80" s="7">
        <v>22</v>
      </c>
      <c r="K80" s="7" t="s">
        <v>228</v>
      </c>
      <c r="L80" s="7">
        <v>48</v>
      </c>
      <c r="M80" s="7"/>
      <c r="N80" s="8"/>
      <c r="O80" s="7" t="s">
        <v>49</v>
      </c>
      <c r="P80" s="7"/>
      <c r="Q80" s="8"/>
      <c r="R80" s="7" t="s">
        <v>49</v>
      </c>
      <c r="S80" s="7"/>
      <c r="T80" s="8"/>
      <c r="U80" s="8"/>
      <c r="V80" s="8"/>
      <c r="W80" s="8">
        <v>0</v>
      </c>
      <c r="X80" s="8">
        <v>0</v>
      </c>
      <c r="Y80" s="8">
        <v>0</v>
      </c>
      <c r="Z80" s="8">
        <v>0</v>
      </c>
      <c r="AA80" s="7">
        <v>0</v>
      </c>
      <c r="AB80" s="7" t="s">
        <v>230</v>
      </c>
      <c r="AC80" s="7">
        <v>120</v>
      </c>
      <c r="AD80" s="7">
        <v>120</v>
      </c>
      <c r="AE80" s="7" t="s">
        <v>231</v>
      </c>
      <c r="AF80" s="7"/>
      <c r="AG80" s="11"/>
      <c r="AH80" s="11"/>
      <c r="AI80" s="8"/>
    </row>
    <row r="81" spans="1:35" ht="24" customHeight="1">
      <c r="A81" s="7" t="s">
        <v>163</v>
      </c>
      <c r="B81" s="7" t="s">
        <v>225</v>
      </c>
      <c r="C81" s="8">
        <v>181000</v>
      </c>
      <c r="D81" s="8"/>
      <c r="E81" s="7"/>
      <c r="F81" s="7"/>
      <c r="G81" s="7" t="s">
        <v>226</v>
      </c>
      <c r="H81" s="7"/>
      <c r="I81" s="7" t="s">
        <v>227</v>
      </c>
      <c r="J81" s="7">
        <v>22</v>
      </c>
      <c r="K81" s="7" t="s">
        <v>228</v>
      </c>
      <c r="L81" s="7">
        <v>48</v>
      </c>
      <c r="M81" s="7"/>
      <c r="N81" s="8"/>
      <c r="O81" s="7" t="s">
        <v>49</v>
      </c>
      <c r="P81" s="7"/>
      <c r="Q81" s="8"/>
      <c r="R81" s="7" t="s">
        <v>49</v>
      </c>
      <c r="S81" s="7"/>
      <c r="T81" s="8"/>
      <c r="U81" s="8"/>
      <c r="V81" s="8"/>
      <c r="W81" s="8">
        <v>0</v>
      </c>
      <c r="X81" s="8">
        <v>0</v>
      </c>
      <c r="Y81" s="8">
        <v>0</v>
      </c>
      <c r="Z81" s="8">
        <v>0</v>
      </c>
      <c r="AA81" s="7">
        <v>0</v>
      </c>
      <c r="AB81" s="7" t="s">
        <v>230</v>
      </c>
      <c r="AC81" s="7">
        <v>120</v>
      </c>
      <c r="AD81" s="7">
        <v>120</v>
      </c>
      <c r="AE81" s="7" t="s">
        <v>231</v>
      </c>
      <c r="AF81" s="7"/>
      <c r="AG81" s="11"/>
      <c r="AH81" s="11"/>
      <c r="AI81" s="8"/>
    </row>
    <row r="82" spans="1:35" ht="24" customHeight="1">
      <c r="A82" s="7" t="s">
        <v>164</v>
      </c>
      <c r="B82" s="7" t="s">
        <v>225</v>
      </c>
      <c r="C82" s="8">
        <v>181000</v>
      </c>
      <c r="D82" s="8"/>
      <c r="E82" s="7"/>
      <c r="F82" s="7"/>
      <c r="G82" s="7" t="s">
        <v>226</v>
      </c>
      <c r="H82" s="7"/>
      <c r="I82" s="7" t="s">
        <v>227</v>
      </c>
      <c r="J82" s="7">
        <v>22</v>
      </c>
      <c r="K82" s="7" t="s">
        <v>228</v>
      </c>
      <c r="L82" s="7">
        <v>48</v>
      </c>
      <c r="M82" s="7"/>
      <c r="N82" s="8"/>
      <c r="O82" s="7" t="s">
        <v>49</v>
      </c>
      <c r="P82" s="7"/>
      <c r="Q82" s="8"/>
      <c r="R82" s="7" t="s">
        <v>49</v>
      </c>
      <c r="S82" s="7"/>
      <c r="T82" s="8"/>
      <c r="U82" s="8"/>
      <c r="V82" s="8"/>
      <c r="W82" s="8">
        <v>0</v>
      </c>
      <c r="X82" s="8">
        <v>0</v>
      </c>
      <c r="Y82" s="8">
        <v>0</v>
      </c>
      <c r="Z82" s="8">
        <v>0</v>
      </c>
      <c r="AA82" s="7">
        <v>0</v>
      </c>
      <c r="AB82" s="7" t="s">
        <v>230</v>
      </c>
      <c r="AC82" s="7">
        <v>120</v>
      </c>
      <c r="AD82" s="7">
        <v>120</v>
      </c>
      <c r="AE82" s="7" t="s">
        <v>231</v>
      </c>
      <c r="AF82" s="7"/>
      <c r="AG82" s="11"/>
      <c r="AH82" s="11"/>
      <c r="AI82" s="8"/>
    </row>
    <row r="83" spans="1:35" ht="24" customHeight="1">
      <c r="A83" s="7" t="s">
        <v>165</v>
      </c>
      <c r="B83" s="7" t="s">
        <v>225</v>
      </c>
      <c r="C83" s="8">
        <v>181000</v>
      </c>
      <c r="D83" s="8"/>
      <c r="E83" s="7"/>
      <c r="F83" s="7"/>
      <c r="G83" s="7" t="s">
        <v>226</v>
      </c>
      <c r="H83" s="7"/>
      <c r="I83" s="7" t="s">
        <v>227</v>
      </c>
      <c r="J83" s="7">
        <v>22</v>
      </c>
      <c r="K83" s="7" t="s">
        <v>228</v>
      </c>
      <c r="L83" s="7">
        <v>48</v>
      </c>
      <c r="M83" s="7"/>
      <c r="N83" s="8"/>
      <c r="O83" s="7" t="s">
        <v>49</v>
      </c>
      <c r="P83" s="7"/>
      <c r="Q83" s="8"/>
      <c r="R83" s="7" t="s">
        <v>49</v>
      </c>
      <c r="S83" s="7"/>
      <c r="T83" s="8"/>
      <c r="U83" s="8"/>
      <c r="V83" s="8"/>
      <c r="W83" s="8">
        <v>0</v>
      </c>
      <c r="X83" s="8">
        <v>0</v>
      </c>
      <c r="Y83" s="8">
        <v>0</v>
      </c>
      <c r="Z83" s="8">
        <v>0</v>
      </c>
      <c r="AA83" s="7">
        <v>0</v>
      </c>
      <c r="AB83" s="7" t="s">
        <v>230</v>
      </c>
      <c r="AC83" s="7">
        <v>120</v>
      </c>
      <c r="AD83" s="7">
        <v>120</v>
      </c>
      <c r="AE83" s="7" t="s">
        <v>231</v>
      </c>
      <c r="AF83" s="7"/>
      <c r="AG83" s="11"/>
      <c r="AH83" s="11"/>
      <c r="AI83" s="8"/>
    </row>
    <row r="84" spans="1:35" ht="24" customHeight="1">
      <c r="A84" s="7" t="s">
        <v>166</v>
      </c>
      <c r="B84" s="7" t="s">
        <v>225</v>
      </c>
      <c r="C84" s="8">
        <v>181000</v>
      </c>
      <c r="D84" s="8"/>
      <c r="E84" s="7"/>
      <c r="F84" s="7"/>
      <c r="G84" s="7" t="s">
        <v>226</v>
      </c>
      <c r="H84" s="7"/>
      <c r="I84" s="7" t="s">
        <v>227</v>
      </c>
      <c r="J84" s="7">
        <v>22</v>
      </c>
      <c r="K84" s="7" t="s">
        <v>228</v>
      </c>
      <c r="L84" s="7">
        <v>48</v>
      </c>
      <c r="M84" s="7"/>
      <c r="N84" s="8"/>
      <c r="O84" s="7" t="s">
        <v>49</v>
      </c>
      <c r="P84" s="7"/>
      <c r="Q84" s="8"/>
      <c r="R84" s="7" t="s">
        <v>49</v>
      </c>
      <c r="S84" s="7"/>
      <c r="T84" s="8"/>
      <c r="U84" s="8"/>
      <c r="V84" s="8"/>
      <c r="W84" s="8">
        <v>0</v>
      </c>
      <c r="X84" s="8">
        <v>0</v>
      </c>
      <c r="Y84" s="8">
        <v>0</v>
      </c>
      <c r="Z84" s="8">
        <v>0</v>
      </c>
      <c r="AA84" s="7">
        <v>0</v>
      </c>
      <c r="AB84" s="7" t="s">
        <v>230</v>
      </c>
      <c r="AC84" s="7">
        <v>120</v>
      </c>
      <c r="AD84" s="7">
        <v>120</v>
      </c>
      <c r="AE84" s="7" t="s">
        <v>231</v>
      </c>
      <c r="AF84" s="7"/>
      <c r="AG84" s="11"/>
      <c r="AH84" s="11"/>
      <c r="AI84" s="8"/>
    </row>
    <row r="85" spans="1:35" ht="24" customHeight="1">
      <c r="A85" s="7" t="s">
        <v>167</v>
      </c>
      <c r="B85" s="7" t="s">
        <v>225</v>
      </c>
      <c r="C85" s="8">
        <v>181000</v>
      </c>
      <c r="D85" s="8"/>
      <c r="E85" s="7"/>
      <c r="F85" s="7"/>
      <c r="G85" s="7" t="s">
        <v>226</v>
      </c>
      <c r="H85" s="7"/>
      <c r="I85" s="7" t="s">
        <v>227</v>
      </c>
      <c r="J85" s="7">
        <v>22</v>
      </c>
      <c r="K85" s="7" t="s">
        <v>228</v>
      </c>
      <c r="L85" s="7">
        <v>48</v>
      </c>
      <c r="M85" s="7"/>
      <c r="N85" s="8"/>
      <c r="O85" s="7" t="s">
        <v>49</v>
      </c>
      <c r="P85" s="7"/>
      <c r="Q85" s="8"/>
      <c r="R85" s="7" t="s">
        <v>49</v>
      </c>
      <c r="S85" s="7"/>
      <c r="T85" s="8"/>
      <c r="U85" s="8"/>
      <c r="V85" s="8"/>
      <c r="W85" s="8">
        <v>0</v>
      </c>
      <c r="X85" s="8">
        <v>0</v>
      </c>
      <c r="Y85" s="8">
        <v>0</v>
      </c>
      <c r="Z85" s="8">
        <v>0</v>
      </c>
      <c r="AA85" s="7">
        <v>0</v>
      </c>
      <c r="AB85" s="7" t="s">
        <v>230</v>
      </c>
      <c r="AC85" s="7">
        <v>120</v>
      </c>
      <c r="AD85" s="7">
        <v>120</v>
      </c>
      <c r="AE85" s="7" t="s">
        <v>231</v>
      </c>
      <c r="AF85" s="7"/>
      <c r="AG85" s="11"/>
      <c r="AH85" s="11"/>
      <c r="AI85" s="8"/>
    </row>
    <row r="86" spans="1:35" ht="24" customHeight="1">
      <c r="A86" s="7" t="s">
        <v>168</v>
      </c>
      <c r="B86" s="7" t="s">
        <v>225</v>
      </c>
      <c r="C86" s="8">
        <v>181000</v>
      </c>
      <c r="D86" s="8"/>
      <c r="E86" s="7"/>
      <c r="F86" s="7"/>
      <c r="G86" s="7" t="s">
        <v>226</v>
      </c>
      <c r="H86" s="7"/>
      <c r="I86" s="7" t="s">
        <v>227</v>
      </c>
      <c r="J86" s="7">
        <v>22</v>
      </c>
      <c r="K86" s="7" t="s">
        <v>228</v>
      </c>
      <c r="L86" s="7">
        <v>48</v>
      </c>
      <c r="M86" s="7"/>
      <c r="N86" s="8"/>
      <c r="O86" s="7" t="s">
        <v>49</v>
      </c>
      <c r="P86" s="7"/>
      <c r="Q86" s="8"/>
      <c r="R86" s="7" t="s">
        <v>49</v>
      </c>
      <c r="S86" s="7"/>
      <c r="T86" s="8"/>
      <c r="U86" s="8"/>
      <c r="V86" s="8"/>
      <c r="W86" s="8">
        <v>0</v>
      </c>
      <c r="X86" s="8">
        <v>0</v>
      </c>
      <c r="Y86" s="8">
        <v>0</v>
      </c>
      <c r="Z86" s="8">
        <v>0</v>
      </c>
      <c r="AA86" s="7">
        <v>0</v>
      </c>
      <c r="AB86" s="7" t="s">
        <v>230</v>
      </c>
      <c r="AC86" s="7">
        <v>120</v>
      </c>
      <c r="AD86" s="7">
        <v>120</v>
      </c>
      <c r="AE86" s="7" t="s">
        <v>231</v>
      </c>
      <c r="AF86" s="7"/>
      <c r="AG86" s="11"/>
      <c r="AH86" s="11"/>
      <c r="AI86" s="8"/>
    </row>
    <row r="87" spans="1:35" ht="24" customHeight="1">
      <c r="A87" s="7" t="s">
        <v>169</v>
      </c>
      <c r="B87" s="7" t="s">
        <v>225</v>
      </c>
      <c r="C87" s="8">
        <v>181000</v>
      </c>
      <c r="D87" s="8"/>
      <c r="E87" s="7"/>
      <c r="F87" s="7"/>
      <c r="G87" s="7" t="s">
        <v>226</v>
      </c>
      <c r="H87" s="7"/>
      <c r="I87" s="7" t="s">
        <v>227</v>
      </c>
      <c r="J87" s="7">
        <v>22</v>
      </c>
      <c r="K87" s="7" t="s">
        <v>228</v>
      </c>
      <c r="L87" s="7">
        <v>48</v>
      </c>
      <c r="M87" s="7"/>
      <c r="N87" s="8"/>
      <c r="O87" s="7" t="s">
        <v>49</v>
      </c>
      <c r="P87" s="7"/>
      <c r="Q87" s="8"/>
      <c r="R87" s="7" t="s">
        <v>49</v>
      </c>
      <c r="S87" s="7"/>
      <c r="T87" s="8"/>
      <c r="U87" s="8"/>
      <c r="V87" s="8"/>
      <c r="W87" s="8">
        <v>0</v>
      </c>
      <c r="X87" s="8">
        <v>0</v>
      </c>
      <c r="Y87" s="8">
        <v>0</v>
      </c>
      <c r="Z87" s="8">
        <v>0</v>
      </c>
      <c r="AA87" s="7">
        <v>0</v>
      </c>
      <c r="AB87" s="7" t="s">
        <v>230</v>
      </c>
      <c r="AC87" s="7">
        <v>120</v>
      </c>
      <c r="AD87" s="7">
        <v>120</v>
      </c>
      <c r="AE87" s="7" t="s">
        <v>231</v>
      </c>
      <c r="AF87" s="7"/>
      <c r="AG87" s="11"/>
      <c r="AH87" s="11"/>
      <c r="AI87" s="8"/>
    </row>
    <row r="88" spans="1:35" ht="24" customHeight="1">
      <c r="A88" s="7" t="s">
        <v>170</v>
      </c>
      <c r="B88" s="7" t="s">
        <v>225</v>
      </c>
      <c r="C88" s="8">
        <v>181000</v>
      </c>
      <c r="D88" s="8"/>
      <c r="E88" s="7"/>
      <c r="F88" s="7"/>
      <c r="G88" s="7" t="s">
        <v>226</v>
      </c>
      <c r="H88" s="7"/>
      <c r="I88" s="7" t="s">
        <v>227</v>
      </c>
      <c r="J88" s="7">
        <v>22</v>
      </c>
      <c r="K88" s="7" t="s">
        <v>228</v>
      </c>
      <c r="L88" s="7">
        <v>48</v>
      </c>
      <c r="M88" s="7"/>
      <c r="N88" s="8"/>
      <c r="O88" s="7" t="s">
        <v>49</v>
      </c>
      <c r="P88" s="7"/>
      <c r="Q88" s="8"/>
      <c r="R88" s="7" t="s">
        <v>49</v>
      </c>
      <c r="S88" s="7"/>
      <c r="T88" s="8"/>
      <c r="U88" s="8"/>
      <c r="V88" s="8"/>
      <c r="W88" s="8">
        <v>0</v>
      </c>
      <c r="X88" s="8">
        <v>0</v>
      </c>
      <c r="Y88" s="8">
        <v>0</v>
      </c>
      <c r="Z88" s="8">
        <v>0</v>
      </c>
      <c r="AA88" s="7">
        <v>0</v>
      </c>
      <c r="AB88" s="7" t="s">
        <v>230</v>
      </c>
      <c r="AC88" s="7">
        <v>120</v>
      </c>
      <c r="AD88" s="7">
        <v>120</v>
      </c>
      <c r="AE88" s="7" t="s">
        <v>231</v>
      </c>
      <c r="AF88" s="7"/>
      <c r="AG88" s="11"/>
      <c r="AH88" s="11"/>
      <c r="AI88" s="8"/>
    </row>
    <row r="89" spans="1:35" ht="24" customHeight="1">
      <c r="A89" s="7" t="s">
        <v>171</v>
      </c>
      <c r="B89" s="7" t="s">
        <v>225</v>
      </c>
      <c r="C89" s="8">
        <v>181000</v>
      </c>
      <c r="D89" s="8"/>
      <c r="E89" s="7"/>
      <c r="F89" s="7"/>
      <c r="G89" s="7" t="s">
        <v>226</v>
      </c>
      <c r="H89" s="7"/>
      <c r="I89" s="7" t="s">
        <v>227</v>
      </c>
      <c r="J89" s="7">
        <v>22</v>
      </c>
      <c r="K89" s="7" t="s">
        <v>228</v>
      </c>
      <c r="L89" s="7">
        <v>48</v>
      </c>
      <c r="M89" s="7"/>
      <c r="N89" s="8"/>
      <c r="O89" s="7" t="s">
        <v>49</v>
      </c>
      <c r="P89" s="7"/>
      <c r="Q89" s="8"/>
      <c r="R89" s="7" t="s">
        <v>49</v>
      </c>
      <c r="S89" s="7"/>
      <c r="T89" s="8"/>
      <c r="U89" s="8"/>
      <c r="V89" s="8"/>
      <c r="W89" s="8">
        <v>0</v>
      </c>
      <c r="X89" s="8">
        <v>0</v>
      </c>
      <c r="Y89" s="8">
        <v>0</v>
      </c>
      <c r="Z89" s="8">
        <v>0</v>
      </c>
      <c r="AA89" s="7">
        <v>0</v>
      </c>
      <c r="AB89" s="7" t="s">
        <v>230</v>
      </c>
      <c r="AC89" s="7">
        <v>120</v>
      </c>
      <c r="AD89" s="7">
        <v>120</v>
      </c>
      <c r="AE89" s="7" t="s">
        <v>231</v>
      </c>
      <c r="AF89" s="7"/>
      <c r="AG89" s="11"/>
      <c r="AH89" s="11"/>
      <c r="AI89" s="8"/>
    </row>
    <row r="90" spans="1:35" ht="24" customHeight="1">
      <c r="A90" s="7" t="s">
        <v>172</v>
      </c>
      <c r="B90" s="7" t="s">
        <v>225</v>
      </c>
      <c r="C90" s="8">
        <v>181000</v>
      </c>
      <c r="D90" s="8"/>
      <c r="E90" s="7"/>
      <c r="F90" s="7"/>
      <c r="G90" s="7" t="s">
        <v>226</v>
      </c>
      <c r="H90" s="7"/>
      <c r="I90" s="7" t="s">
        <v>227</v>
      </c>
      <c r="J90" s="7">
        <v>22</v>
      </c>
      <c r="K90" s="7" t="s">
        <v>228</v>
      </c>
      <c r="L90" s="7">
        <v>48</v>
      </c>
      <c r="M90" s="7"/>
      <c r="N90" s="8"/>
      <c r="O90" s="7" t="s">
        <v>49</v>
      </c>
      <c r="P90" s="7"/>
      <c r="Q90" s="8"/>
      <c r="R90" s="7" t="s">
        <v>49</v>
      </c>
      <c r="S90" s="7"/>
      <c r="T90" s="8"/>
      <c r="U90" s="8"/>
      <c r="V90" s="8"/>
      <c r="W90" s="8">
        <v>0</v>
      </c>
      <c r="X90" s="8">
        <v>0</v>
      </c>
      <c r="Y90" s="8">
        <v>0</v>
      </c>
      <c r="Z90" s="8">
        <v>0</v>
      </c>
      <c r="AA90" s="7">
        <v>0</v>
      </c>
      <c r="AB90" s="7" t="s">
        <v>230</v>
      </c>
      <c r="AC90" s="7">
        <v>120</v>
      </c>
      <c r="AD90" s="7">
        <v>120</v>
      </c>
      <c r="AE90" s="7" t="s">
        <v>231</v>
      </c>
      <c r="AF90" s="7"/>
      <c r="AG90" s="11"/>
      <c r="AH90" s="11"/>
      <c r="AI90" s="8"/>
    </row>
    <row r="91" spans="1:35" ht="24" customHeight="1">
      <c r="A91" s="7" t="s">
        <v>173</v>
      </c>
      <c r="B91" s="7" t="s">
        <v>225</v>
      </c>
      <c r="C91" s="8">
        <v>181000</v>
      </c>
      <c r="D91" s="8"/>
      <c r="E91" s="7"/>
      <c r="F91" s="7"/>
      <c r="G91" s="7" t="s">
        <v>226</v>
      </c>
      <c r="H91" s="7"/>
      <c r="I91" s="7" t="s">
        <v>227</v>
      </c>
      <c r="J91" s="7">
        <v>22</v>
      </c>
      <c r="K91" s="7" t="s">
        <v>228</v>
      </c>
      <c r="L91" s="7">
        <v>48</v>
      </c>
      <c r="M91" s="7"/>
      <c r="N91" s="8"/>
      <c r="O91" s="7" t="s">
        <v>49</v>
      </c>
      <c r="P91" s="7"/>
      <c r="Q91" s="8"/>
      <c r="R91" s="7" t="s">
        <v>49</v>
      </c>
      <c r="S91" s="7"/>
      <c r="T91" s="8"/>
      <c r="U91" s="8"/>
      <c r="V91" s="8"/>
      <c r="W91" s="8">
        <v>0</v>
      </c>
      <c r="X91" s="8">
        <v>0</v>
      </c>
      <c r="Y91" s="8">
        <v>0</v>
      </c>
      <c r="Z91" s="8">
        <v>0</v>
      </c>
      <c r="AA91" s="7">
        <v>0</v>
      </c>
      <c r="AB91" s="7" t="s">
        <v>230</v>
      </c>
      <c r="AC91" s="7">
        <v>120</v>
      </c>
      <c r="AD91" s="7">
        <v>120</v>
      </c>
      <c r="AE91" s="7" t="s">
        <v>231</v>
      </c>
      <c r="AF91" s="7"/>
      <c r="AG91" s="11"/>
      <c r="AH91" s="11"/>
      <c r="AI91" s="8"/>
    </row>
    <row r="92" spans="1:35" ht="24" customHeight="1">
      <c r="A92" s="7" t="s">
        <v>174</v>
      </c>
      <c r="B92" s="7" t="s">
        <v>225</v>
      </c>
      <c r="C92" s="8">
        <v>181000</v>
      </c>
      <c r="D92" s="8"/>
      <c r="E92" s="7"/>
      <c r="F92" s="7"/>
      <c r="G92" s="7" t="s">
        <v>226</v>
      </c>
      <c r="H92" s="7"/>
      <c r="I92" s="7" t="s">
        <v>227</v>
      </c>
      <c r="J92" s="7">
        <v>22</v>
      </c>
      <c r="K92" s="7" t="s">
        <v>228</v>
      </c>
      <c r="L92" s="7">
        <v>48</v>
      </c>
      <c r="M92" s="7"/>
      <c r="N92" s="8"/>
      <c r="O92" s="7" t="s">
        <v>49</v>
      </c>
      <c r="P92" s="7"/>
      <c r="Q92" s="8"/>
      <c r="R92" s="7" t="s">
        <v>49</v>
      </c>
      <c r="S92" s="7"/>
      <c r="T92" s="8"/>
      <c r="U92" s="8"/>
      <c r="V92" s="8"/>
      <c r="W92" s="8">
        <v>0</v>
      </c>
      <c r="X92" s="8">
        <v>0</v>
      </c>
      <c r="Y92" s="8">
        <v>0</v>
      </c>
      <c r="Z92" s="8">
        <v>0</v>
      </c>
      <c r="AA92" s="7">
        <v>0</v>
      </c>
      <c r="AB92" s="7" t="s">
        <v>230</v>
      </c>
      <c r="AC92" s="7">
        <v>120</v>
      </c>
      <c r="AD92" s="7">
        <v>120</v>
      </c>
      <c r="AE92" s="7" t="s">
        <v>231</v>
      </c>
      <c r="AF92" s="7"/>
      <c r="AG92" s="11"/>
      <c r="AH92" s="11"/>
      <c r="AI92" s="8"/>
    </row>
    <row r="93" spans="1:35" ht="24" customHeight="1">
      <c r="A93" s="7" t="s">
        <v>175</v>
      </c>
      <c r="B93" s="7" t="s">
        <v>225</v>
      </c>
      <c r="C93" s="8">
        <v>181000</v>
      </c>
      <c r="D93" s="8"/>
      <c r="E93" s="7"/>
      <c r="F93" s="7"/>
      <c r="G93" s="7" t="s">
        <v>226</v>
      </c>
      <c r="H93" s="7"/>
      <c r="I93" s="7" t="s">
        <v>227</v>
      </c>
      <c r="J93" s="7">
        <v>22</v>
      </c>
      <c r="K93" s="7" t="s">
        <v>228</v>
      </c>
      <c r="L93" s="7">
        <v>48</v>
      </c>
      <c r="M93" s="7"/>
      <c r="N93" s="8"/>
      <c r="O93" s="7" t="s">
        <v>49</v>
      </c>
      <c r="P93" s="7"/>
      <c r="Q93" s="8"/>
      <c r="R93" s="7" t="s">
        <v>49</v>
      </c>
      <c r="S93" s="7"/>
      <c r="T93" s="8"/>
      <c r="U93" s="8"/>
      <c r="V93" s="8"/>
      <c r="W93" s="8">
        <v>0</v>
      </c>
      <c r="X93" s="8">
        <v>0</v>
      </c>
      <c r="Y93" s="8">
        <v>0</v>
      </c>
      <c r="Z93" s="8">
        <v>0</v>
      </c>
      <c r="AA93" s="7">
        <v>0</v>
      </c>
      <c r="AB93" s="7" t="s">
        <v>230</v>
      </c>
      <c r="AC93" s="7">
        <v>120</v>
      </c>
      <c r="AD93" s="7">
        <v>120</v>
      </c>
      <c r="AE93" s="7" t="s">
        <v>231</v>
      </c>
      <c r="AF93" s="7"/>
      <c r="AG93" s="11"/>
      <c r="AH93" s="11"/>
      <c r="AI93" s="8"/>
    </row>
    <row r="94" spans="1:35" ht="24" customHeight="1">
      <c r="A94" s="7" t="s">
        <v>176</v>
      </c>
      <c r="B94" s="7" t="s">
        <v>225</v>
      </c>
      <c r="C94" s="8">
        <v>181000</v>
      </c>
      <c r="D94" s="8"/>
      <c r="E94" s="7"/>
      <c r="F94" s="7"/>
      <c r="G94" s="7" t="s">
        <v>226</v>
      </c>
      <c r="H94" s="7"/>
      <c r="I94" s="7" t="s">
        <v>227</v>
      </c>
      <c r="J94" s="7">
        <v>22</v>
      </c>
      <c r="K94" s="7" t="s">
        <v>228</v>
      </c>
      <c r="L94" s="7">
        <v>48</v>
      </c>
      <c r="M94" s="7"/>
      <c r="N94" s="8"/>
      <c r="O94" s="7" t="s">
        <v>49</v>
      </c>
      <c r="P94" s="7"/>
      <c r="Q94" s="8"/>
      <c r="R94" s="7" t="s">
        <v>49</v>
      </c>
      <c r="S94" s="7"/>
      <c r="T94" s="8"/>
      <c r="U94" s="8"/>
      <c r="V94" s="8"/>
      <c r="W94" s="8">
        <v>0</v>
      </c>
      <c r="X94" s="8">
        <v>0</v>
      </c>
      <c r="Y94" s="8">
        <v>0</v>
      </c>
      <c r="Z94" s="8">
        <v>0</v>
      </c>
      <c r="AA94" s="7">
        <v>0</v>
      </c>
      <c r="AB94" s="7" t="s">
        <v>230</v>
      </c>
      <c r="AC94" s="7">
        <v>120</v>
      </c>
      <c r="AD94" s="7">
        <v>120</v>
      </c>
      <c r="AE94" s="7" t="s">
        <v>231</v>
      </c>
      <c r="AF94" s="7"/>
      <c r="AG94" s="11"/>
      <c r="AH94" s="11"/>
      <c r="AI94" s="8"/>
    </row>
    <row r="95" spans="1:35" ht="24" customHeight="1">
      <c r="A95" s="7" t="s">
        <v>177</v>
      </c>
      <c r="B95" s="7" t="s">
        <v>225</v>
      </c>
      <c r="C95" s="8">
        <v>181000</v>
      </c>
      <c r="D95" s="8"/>
      <c r="E95" s="7"/>
      <c r="F95" s="7"/>
      <c r="G95" s="7" t="s">
        <v>226</v>
      </c>
      <c r="H95" s="7"/>
      <c r="I95" s="7" t="s">
        <v>227</v>
      </c>
      <c r="J95" s="7">
        <v>22</v>
      </c>
      <c r="K95" s="7" t="s">
        <v>228</v>
      </c>
      <c r="L95" s="7">
        <v>48</v>
      </c>
      <c r="M95" s="7"/>
      <c r="N95" s="8"/>
      <c r="O95" s="7" t="s">
        <v>49</v>
      </c>
      <c r="P95" s="7"/>
      <c r="Q95" s="8"/>
      <c r="R95" s="7" t="s">
        <v>49</v>
      </c>
      <c r="S95" s="7"/>
      <c r="T95" s="8"/>
      <c r="U95" s="8"/>
      <c r="V95" s="8"/>
      <c r="W95" s="8">
        <v>0</v>
      </c>
      <c r="X95" s="8">
        <v>0</v>
      </c>
      <c r="Y95" s="8">
        <v>0</v>
      </c>
      <c r="Z95" s="8">
        <v>0</v>
      </c>
      <c r="AA95" s="7">
        <v>0</v>
      </c>
      <c r="AB95" s="7" t="s">
        <v>230</v>
      </c>
      <c r="AC95" s="7">
        <v>120</v>
      </c>
      <c r="AD95" s="7">
        <v>120</v>
      </c>
      <c r="AE95" s="7" t="s">
        <v>231</v>
      </c>
      <c r="AF95" s="7"/>
      <c r="AG95" s="11"/>
      <c r="AH95" s="11"/>
      <c r="AI95" s="8"/>
    </row>
    <row r="96" spans="1:35" ht="24" customHeight="1">
      <c r="A96" s="7" t="s">
        <v>178</v>
      </c>
      <c r="B96" s="7" t="s">
        <v>225</v>
      </c>
      <c r="C96" s="8">
        <v>181000</v>
      </c>
      <c r="D96" s="8"/>
      <c r="E96" s="7"/>
      <c r="F96" s="7"/>
      <c r="G96" s="7" t="s">
        <v>226</v>
      </c>
      <c r="H96" s="7"/>
      <c r="I96" s="7" t="s">
        <v>227</v>
      </c>
      <c r="J96" s="7">
        <v>22</v>
      </c>
      <c r="K96" s="7" t="s">
        <v>228</v>
      </c>
      <c r="L96" s="7">
        <v>48</v>
      </c>
      <c r="M96" s="7"/>
      <c r="N96" s="8"/>
      <c r="O96" s="7" t="s">
        <v>49</v>
      </c>
      <c r="P96" s="7"/>
      <c r="Q96" s="8"/>
      <c r="R96" s="7" t="s">
        <v>49</v>
      </c>
      <c r="S96" s="7"/>
      <c r="T96" s="8"/>
      <c r="U96" s="8"/>
      <c r="V96" s="8"/>
      <c r="W96" s="8">
        <v>0</v>
      </c>
      <c r="X96" s="8">
        <v>0</v>
      </c>
      <c r="Y96" s="8">
        <v>0</v>
      </c>
      <c r="Z96" s="8">
        <v>0</v>
      </c>
      <c r="AA96" s="7">
        <v>0</v>
      </c>
      <c r="AB96" s="7" t="s">
        <v>230</v>
      </c>
      <c r="AC96" s="7">
        <v>120</v>
      </c>
      <c r="AD96" s="7">
        <v>120</v>
      </c>
      <c r="AE96" s="7" t="s">
        <v>231</v>
      </c>
      <c r="AF96" s="7"/>
      <c r="AG96" s="11"/>
      <c r="AH96" s="11"/>
      <c r="AI96" s="8"/>
    </row>
    <row r="97" spans="1:35" ht="24" customHeight="1">
      <c r="A97" s="7" t="s">
        <v>179</v>
      </c>
      <c r="B97" s="7" t="s">
        <v>225</v>
      </c>
      <c r="C97" s="8">
        <v>181000</v>
      </c>
      <c r="D97" s="8"/>
      <c r="E97" s="7"/>
      <c r="F97" s="7"/>
      <c r="G97" s="7" t="s">
        <v>226</v>
      </c>
      <c r="H97" s="7"/>
      <c r="I97" s="7" t="s">
        <v>227</v>
      </c>
      <c r="J97" s="7">
        <v>22</v>
      </c>
      <c r="K97" s="7" t="s">
        <v>228</v>
      </c>
      <c r="L97" s="7">
        <v>48</v>
      </c>
      <c r="M97" s="7"/>
      <c r="N97" s="8"/>
      <c r="O97" s="7" t="s">
        <v>49</v>
      </c>
      <c r="P97" s="7"/>
      <c r="Q97" s="8"/>
      <c r="R97" s="7" t="s">
        <v>49</v>
      </c>
      <c r="S97" s="7"/>
      <c r="T97" s="8"/>
      <c r="U97" s="8"/>
      <c r="V97" s="8"/>
      <c r="W97" s="8">
        <v>0</v>
      </c>
      <c r="X97" s="8">
        <v>0</v>
      </c>
      <c r="Y97" s="8">
        <v>0</v>
      </c>
      <c r="Z97" s="8">
        <v>0</v>
      </c>
      <c r="AA97" s="7">
        <v>0</v>
      </c>
      <c r="AB97" s="7" t="s">
        <v>230</v>
      </c>
      <c r="AC97" s="7">
        <v>120</v>
      </c>
      <c r="AD97" s="7">
        <v>120</v>
      </c>
      <c r="AE97" s="7" t="s">
        <v>231</v>
      </c>
      <c r="AF97" s="7"/>
      <c r="AG97" s="11"/>
      <c r="AH97" s="11"/>
      <c r="AI97" s="8"/>
    </row>
    <row r="98" spans="1:35" ht="24" customHeight="1">
      <c r="A98" s="7" t="s">
        <v>180</v>
      </c>
      <c r="B98" s="7" t="s">
        <v>225</v>
      </c>
      <c r="C98" s="8">
        <v>181000</v>
      </c>
      <c r="D98" s="8"/>
      <c r="E98" s="7"/>
      <c r="F98" s="7"/>
      <c r="G98" s="7" t="s">
        <v>226</v>
      </c>
      <c r="H98" s="7"/>
      <c r="I98" s="7" t="s">
        <v>227</v>
      </c>
      <c r="J98" s="7">
        <v>22</v>
      </c>
      <c r="K98" s="7" t="s">
        <v>228</v>
      </c>
      <c r="L98" s="7">
        <v>48</v>
      </c>
      <c r="M98" s="7"/>
      <c r="N98" s="8"/>
      <c r="O98" s="7" t="s">
        <v>49</v>
      </c>
      <c r="P98" s="7"/>
      <c r="Q98" s="8"/>
      <c r="R98" s="7" t="s">
        <v>49</v>
      </c>
      <c r="S98" s="7"/>
      <c r="T98" s="8"/>
      <c r="U98" s="8"/>
      <c r="V98" s="8"/>
      <c r="W98" s="8">
        <v>0</v>
      </c>
      <c r="X98" s="8">
        <v>0</v>
      </c>
      <c r="Y98" s="8">
        <v>0</v>
      </c>
      <c r="Z98" s="8">
        <v>0</v>
      </c>
      <c r="AA98" s="7">
        <v>0</v>
      </c>
      <c r="AB98" s="7" t="s">
        <v>230</v>
      </c>
      <c r="AC98" s="7">
        <v>120</v>
      </c>
      <c r="AD98" s="7">
        <v>120</v>
      </c>
      <c r="AE98" s="7" t="s">
        <v>231</v>
      </c>
      <c r="AF98" s="7"/>
      <c r="AG98" s="11"/>
      <c r="AH98" s="11"/>
      <c r="AI98" s="8"/>
    </row>
    <row r="99" spans="1:35" ht="24" customHeight="1">
      <c r="A99" s="7" t="s">
        <v>181</v>
      </c>
      <c r="B99" s="7" t="s">
        <v>225</v>
      </c>
      <c r="C99" s="8">
        <v>181000</v>
      </c>
      <c r="D99" s="8"/>
      <c r="E99" s="7"/>
      <c r="F99" s="7"/>
      <c r="G99" s="7" t="s">
        <v>226</v>
      </c>
      <c r="H99" s="7"/>
      <c r="I99" s="7" t="s">
        <v>227</v>
      </c>
      <c r="J99" s="7">
        <v>22</v>
      </c>
      <c r="K99" s="7" t="s">
        <v>228</v>
      </c>
      <c r="L99" s="7">
        <v>48</v>
      </c>
      <c r="M99" s="7"/>
      <c r="N99" s="8"/>
      <c r="O99" s="7" t="s">
        <v>49</v>
      </c>
      <c r="P99" s="7"/>
      <c r="Q99" s="8"/>
      <c r="R99" s="7" t="s">
        <v>49</v>
      </c>
      <c r="S99" s="7"/>
      <c r="T99" s="8"/>
      <c r="U99" s="8"/>
      <c r="V99" s="8"/>
      <c r="W99" s="8">
        <v>0</v>
      </c>
      <c r="X99" s="8">
        <v>0</v>
      </c>
      <c r="Y99" s="8">
        <v>0</v>
      </c>
      <c r="Z99" s="8">
        <v>0</v>
      </c>
      <c r="AA99" s="7">
        <v>0</v>
      </c>
      <c r="AB99" s="7" t="s">
        <v>230</v>
      </c>
      <c r="AC99" s="7">
        <v>120</v>
      </c>
      <c r="AD99" s="7">
        <v>120</v>
      </c>
      <c r="AE99" s="7" t="s">
        <v>231</v>
      </c>
      <c r="AF99" s="7"/>
      <c r="AG99" s="11"/>
      <c r="AH99" s="11"/>
      <c r="AI99" s="8"/>
    </row>
    <row r="100" spans="1:35" ht="24" customHeight="1">
      <c r="A100" s="7" t="s">
        <v>182</v>
      </c>
      <c r="B100" s="7" t="s">
        <v>225</v>
      </c>
      <c r="C100" s="8">
        <v>181000</v>
      </c>
      <c r="D100" s="8"/>
      <c r="E100" s="7"/>
      <c r="F100" s="7"/>
      <c r="G100" s="7" t="s">
        <v>226</v>
      </c>
      <c r="H100" s="7"/>
      <c r="I100" s="7" t="s">
        <v>227</v>
      </c>
      <c r="J100" s="7">
        <v>22</v>
      </c>
      <c r="K100" s="7" t="s">
        <v>228</v>
      </c>
      <c r="L100" s="7">
        <v>48</v>
      </c>
      <c r="M100" s="7"/>
      <c r="N100" s="8"/>
      <c r="O100" s="7" t="s">
        <v>49</v>
      </c>
      <c r="P100" s="7"/>
      <c r="Q100" s="8"/>
      <c r="R100" s="7" t="s">
        <v>49</v>
      </c>
      <c r="S100" s="7"/>
      <c r="T100" s="8"/>
      <c r="U100" s="8"/>
      <c r="V100" s="8"/>
      <c r="W100" s="8">
        <v>0</v>
      </c>
      <c r="X100" s="8">
        <v>0</v>
      </c>
      <c r="Y100" s="8">
        <v>0</v>
      </c>
      <c r="Z100" s="8">
        <v>0</v>
      </c>
      <c r="AA100" s="7">
        <v>0</v>
      </c>
      <c r="AB100" s="7" t="s">
        <v>230</v>
      </c>
      <c r="AC100" s="7">
        <v>120</v>
      </c>
      <c r="AD100" s="7">
        <v>120</v>
      </c>
      <c r="AE100" s="7" t="s">
        <v>231</v>
      </c>
      <c r="AF100" s="7"/>
      <c r="AG100" s="11"/>
      <c r="AH100" s="11"/>
      <c r="AI100" s="8"/>
    </row>
    <row r="101" spans="1:35" ht="24" customHeight="1">
      <c r="A101" s="7" t="s">
        <v>183</v>
      </c>
      <c r="B101" s="7" t="s">
        <v>225</v>
      </c>
      <c r="C101" s="8">
        <v>181000</v>
      </c>
      <c r="D101" s="8"/>
      <c r="E101" s="7"/>
      <c r="F101" s="7"/>
      <c r="G101" s="7" t="s">
        <v>226</v>
      </c>
      <c r="H101" s="7"/>
      <c r="I101" s="7" t="s">
        <v>227</v>
      </c>
      <c r="J101" s="7">
        <v>22</v>
      </c>
      <c r="K101" s="7" t="s">
        <v>228</v>
      </c>
      <c r="L101" s="7">
        <v>48</v>
      </c>
      <c r="M101" s="7"/>
      <c r="N101" s="8"/>
      <c r="O101" s="7" t="s">
        <v>49</v>
      </c>
      <c r="P101" s="7"/>
      <c r="Q101" s="8"/>
      <c r="R101" s="7" t="s">
        <v>49</v>
      </c>
      <c r="S101" s="7"/>
      <c r="T101" s="8"/>
      <c r="U101" s="8"/>
      <c r="V101" s="8"/>
      <c r="W101" s="8">
        <v>0</v>
      </c>
      <c r="X101" s="8">
        <v>0</v>
      </c>
      <c r="Y101" s="8">
        <v>0</v>
      </c>
      <c r="Z101" s="8">
        <v>0</v>
      </c>
      <c r="AA101" s="7">
        <v>0</v>
      </c>
      <c r="AB101" s="7" t="s">
        <v>230</v>
      </c>
      <c r="AC101" s="7">
        <v>120</v>
      </c>
      <c r="AD101" s="7">
        <v>120</v>
      </c>
      <c r="AE101" s="7" t="s">
        <v>231</v>
      </c>
      <c r="AF101" s="7"/>
      <c r="AG101" s="11"/>
      <c r="AH101" s="11"/>
      <c r="AI101" s="8"/>
    </row>
    <row r="102" spans="1:35" ht="24" customHeight="1">
      <c r="A102" s="7" t="s">
        <v>184</v>
      </c>
      <c r="B102" s="7" t="s">
        <v>225</v>
      </c>
      <c r="C102" s="8">
        <v>181000</v>
      </c>
      <c r="D102" s="8"/>
      <c r="E102" s="7"/>
      <c r="F102" s="7"/>
      <c r="G102" s="7" t="s">
        <v>226</v>
      </c>
      <c r="H102" s="7"/>
      <c r="I102" s="7" t="s">
        <v>227</v>
      </c>
      <c r="J102" s="7">
        <v>22</v>
      </c>
      <c r="K102" s="7" t="s">
        <v>228</v>
      </c>
      <c r="L102" s="7">
        <v>48</v>
      </c>
      <c r="M102" s="7"/>
      <c r="N102" s="8"/>
      <c r="O102" s="7" t="s">
        <v>49</v>
      </c>
      <c r="P102" s="7"/>
      <c r="Q102" s="8"/>
      <c r="R102" s="7" t="s">
        <v>49</v>
      </c>
      <c r="S102" s="7"/>
      <c r="T102" s="8"/>
      <c r="U102" s="8"/>
      <c r="V102" s="8"/>
      <c r="W102" s="8">
        <v>0</v>
      </c>
      <c r="X102" s="8">
        <v>0</v>
      </c>
      <c r="Y102" s="8">
        <v>0</v>
      </c>
      <c r="Z102" s="8">
        <v>0</v>
      </c>
      <c r="AA102" s="7">
        <v>0</v>
      </c>
      <c r="AB102" s="7" t="s">
        <v>230</v>
      </c>
      <c r="AC102" s="7">
        <v>120</v>
      </c>
      <c r="AD102" s="7">
        <v>120</v>
      </c>
      <c r="AE102" s="7" t="s">
        <v>231</v>
      </c>
      <c r="AF102" s="7"/>
      <c r="AG102" s="11"/>
      <c r="AH102" s="11"/>
      <c r="AI102" s="8"/>
    </row>
    <row r="103" spans="1:35" ht="24" customHeight="1">
      <c r="A103" s="7" t="s">
        <v>185</v>
      </c>
      <c r="B103" s="7" t="s">
        <v>225</v>
      </c>
      <c r="C103" s="8">
        <v>181000</v>
      </c>
      <c r="D103" s="8"/>
      <c r="E103" s="7"/>
      <c r="F103" s="7"/>
      <c r="G103" s="7" t="s">
        <v>226</v>
      </c>
      <c r="H103" s="7"/>
      <c r="I103" s="7" t="s">
        <v>227</v>
      </c>
      <c r="J103" s="7">
        <v>22</v>
      </c>
      <c r="K103" s="7" t="s">
        <v>228</v>
      </c>
      <c r="L103" s="7">
        <v>48</v>
      </c>
      <c r="M103" s="7"/>
      <c r="N103" s="8"/>
      <c r="O103" s="7" t="s">
        <v>49</v>
      </c>
      <c r="P103" s="7"/>
      <c r="Q103" s="8"/>
      <c r="R103" s="7" t="s">
        <v>49</v>
      </c>
      <c r="S103" s="7"/>
      <c r="T103" s="8"/>
      <c r="U103" s="8"/>
      <c r="V103" s="8"/>
      <c r="W103" s="8">
        <v>0</v>
      </c>
      <c r="X103" s="8">
        <v>0</v>
      </c>
      <c r="Y103" s="8">
        <v>0</v>
      </c>
      <c r="Z103" s="8">
        <v>0</v>
      </c>
      <c r="AA103" s="7">
        <v>0</v>
      </c>
      <c r="AB103" s="7" t="s">
        <v>230</v>
      </c>
      <c r="AC103" s="7">
        <v>120</v>
      </c>
      <c r="AD103" s="7">
        <v>120</v>
      </c>
      <c r="AE103" s="7" t="s">
        <v>231</v>
      </c>
      <c r="AF103" s="7"/>
      <c r="AG103" s="11"/>
      <c r="AH103" s="11"/>
      <c r="AI103" s="8"/>
    </row>
    <row r="104" spans="1:35" ht="24" customHeight="1">
      <c r="A104" s="7" t="s">
        <v>186</v>
      </c>
      <c r="B104" s="7" t="s">
        <v>225</v>
      </c>
      <c r="C104" s="8">
        <v>181000</v>
      </c>
      <c r="D104" s="8"/>
      <c r="E104" s="7"/>
      <c r="F104" s="7"/>
      <c r="G104" s="7" t="s">
        <v>226</v>
      </c>
      <c r="H104" s="7"/>
      <c r="I104" s="7" t="s">
        <v>227</v>
      </c>
      <c r="J104" s="7">
        <v>22</v>
      </c>
      <c r="K104" s="7" t="s">
        <v>228</v>
      </c>
      <c r="L104" s="7">
        <v>48</v>
      </c>
      <c r="M104" s="7"/>
      <c r="N104" s="8"/>
      <c r="O104" s="7" t="s">
        <v>49</v>
      </c>
      <c r="P104" s="7"/>
      <c r="Q104" s="8"/>
      <c r="R104" s="7" t="s">
        <v>49</v>
      </c>
      <c r="S104" s="7"/>
      <c r="T104" s="8"/>
      <c r="U104" s="8"/>
      <c r="V104" s="8"/>
      <c r="W104" s="8">
        <v>0</v>
      </c>
      <c r="X104" s="8">
        <v>0</v>
      </c>
      <c r="Y104" s="8">
        <v>0</v>
      </c>
      <c r="Z104" s="8">
        <v>0</v>
      </c>
      <c r="AA104" s="7">
        <v>0</v>
      </c>
      <c r="AB104" s="7" t="s">
        <v>230</v>
      </c>
      <c r="AC104" s="7">
        <v>120</v>
      </c>
      <c r="AD104" s="7">
        <v>120</v>
      </c>
      <c r="AE104" s="7" t="s">
        <v>231</v>
      </c>
      <c r="AF104" s="7"/>
      <c r="AG104" s="11"/>
      <c r="AH104" s="11"/>
      <c r="AI104" s="8"/>
    </row>
    <row r="105" spans="1:35" ht="24" customHeight="1">
      <c r="A105" s="7" t="s">
        <v>187</v>
      </c>
      <c r="B105" s="7" t="s">
        <v>225</v>
      </c>
      <c r="C105" s="8">
        <v>181000</v>
      </c>
      <c r="D105" s="8"/>
      <c r="E105" s="7"/>
      <c r="F105" s="7"/>
      <c r="G105" s="7" t="s">
        <v>226</v>
      </c>
      <c r="H105" s="7"/>
      <c r="I105" s="7" t="s">
        <v>227</v>
      </c>
      <c r="J105" s="7">
        <v>22</v>
      </c>
      <c r="K105" s="7" t="s">
        <v>228</v>
      </c>
      <c r="L105" s="7">
        <v>48</v>
      </c>
      <c r="M105" s="7"/>
      <c r="N105" s="8"/>
      <c r="O105" s="7" t="s">
        <v>49</v>
      </c>
      <c r="P105" s="7"/>
      <c r="Q105" s="8"/>
      <c r="R105" s="7" t="s">
        <v>49</v>
      </c>
      <c r="S105" s="7"/>
      <c r="T105" s="8"/>
      <c r="U105" s="8"/>
      <c r="V105" s="8"/>
      <c r="W105" s="8">
        <v>0</v>
      </c>
      <c r="X105" s="8">
        <v>0</v>
      </c>
      <c r="Y105" s="8">
        <v>0</v>
      </c>
      <c r="Z105" s="8">
        <v>0</v>
      </c>
      <c r="AA105" s="7">
        <v>0</v>
      </c>
      <c r="AB105" s="7" t="s">
        <v>230</v>
      </c>
      <c r="AC105" s="7">
        <v>120</v>
      </c>
      <c r="AD105" s="7">
        <v>120</v>
      </c>
      <c r="AE105" s="7" t="s">
        <v>231</v>
      </c>
      <c r="AF105" s="7"/>
      <c r="AG105" s="11"/>
      <c r="AH105" s="11"/>
      <c r="AI105" s="8"/>
    </row>
    <row r="106" spans="1:35" ht="24" customHeight="1">
      <c r="A106" s="7" t="s">
        <v>188</v>
      </c>
      <c r="B106" s="7" t="s">
        <v>225</v>
      </c>
      <c r="C106" s="8">
        <v>181000</v>
      </c>
      <c r="D106" s="8"/>
      <c r="E106" s="7"/>
      <c r="F106" s="7"/>
      <c r="G106" s="7" t="s">
        <v>226</v>
      </c>
      <c r="H106" s="7"/>
      <c r="I106" s="7" t="s">
        <v>227</v>
      </c>
      <c r="J106" s="7">
        <v>22</v>
      </c>
      <c r="K106" s="7" t="s">
        <v>228</v>
      </c>
      <c r="L106" s="7">
        <v>48</v>
      </c>
      <c r="M106" s="7"/>
      <c r="N106" s="8"/>
      <c r="O106" s="7" t="s">
        <v>49</v>
      </c>
      <c r="P106" s="7"/>
      <c r="Q106" s="8"/>
      <c r="R106" s="7" t="s">
        <v>49</v>
      </c>
      <c r="S106" s="7"/>
      <c r="T106" s="8"/>
      <c r="U106" s="8"/>
      <c r="V106" s="8"/>
      <c r="W106" s="8">
        <v>0</v>
      </c>
      <c r="X106" s="8">
        <v>0</v>
      </c>
      <c r="Y106" s="8">
        <v>0</v>
      </c>
      <c r="Z106" s="8">
        <v>0</v>
      </c>
      <c r="AA106" s="7">
        <v>0</v>
      </c>
      <c r="AB106" s="7" t="s">
        <v>230</v>
      </c>
      <c r="AC106" s="7">
        <v>120</v>
      </c>
      <c r="AD106" s="7">
        <v>120</v>
      </c>
      <c r="AE106" s="7" t="s">
        <v>231</v>
      </c>
      <c r="AF106" s="7"/>
      <c r="AG106" s="11"/>
      <c r="AH106" s="11"/>
      <c r="AI106" s="8"/>
    </row>
  </sheetData>
  <dataValidations count="4">
    <dataValidation type="list" sqref="O7:O106 R7:R106" xr:uid="{00000000-0002-0000-0200-000000000000}">
      <formula1>"Keep ICE,New ICE,EV"</formula1>
    </dataValidation>
    <dataValidation type="list" sqref="I7:I106 AB7:AB106" xr:uid="{00000000-0002-0000-0200-000001000000}">
      <formula1>"Yes,No,Unconfirmed"</formula1>
    </dataValidation>
    <dataValidation type="list" sqref="K7:K106" xr:uid="{00000000-0002-0000-0200-000002000000}">
      <formula1>"AC,DC"</formula1>
    </dataValidation>
    <dataValidation type="list" sqref="G7:G106" xr:uid="{00000000-0002-0000-0200-000003000000}">
      <formula1>"Battery,Grid"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9AB2"/>
  </sheetPr>
  <dimension ref="A1:H115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1" width="27" customWidth="1"/>
    <col min="2" max="3" width="23" customWidth="1"/>
    <col min="4" max="4" width="24" customWidth="1"/>
    <col min="5" max="5" width="85" customWidth="1"/>
    <col min="6" max="6" width="72" customWidth="1"/>
    <col min="7" max="8" width="18" customWidth="1"/>
  </cols>
  <sheetData>
    <row r="1" spans="1:8" ht="24" customHeight="1">
      <c r="A1" s="1"/>
      <c r="B1" s="1"/>
      <c r="C1" s="1"/>
      <c r="D1" s="1"/>
      <c r="E1" s="1"/>
      <c r="F1" s="1"/>
      <c r="G1" s="1"/>
      <c r="H1" s="1"/>
    </row>
    <row r="2" spans="1:8" ht="24" customHeight="1">
      <c r="A2" s="2" t="s">
        <v>232</v>
      </c>
      <c r="B2" s="1"/>
      <c r="C2" s="1"/>
      <c r="D2" s="1"/>
      <c r="E2" s="1"/>
      <c r="F2" s="1"/>
      <c r="G2" s="1"/>
      <c r="H2" s="1"/>
    </row>
    <row r="3" spans="1:8" ht="24" customHeight="1">
      <c r="A3" s="3"/>
      <c r="B3" s="3"/>
      <c r="C3" s="3"/>
      <c r="D3" s="3"/>
      <c r="E3" s="3"/>
      <c r="F3" s="3"/>
      <c r="G3" s="3"/>
      <c r="H3" s="3"/>
    </row>
    <row r="4" spans="1:8" ht="25.9" customHeight="1">
      <c r="A4" s="1" t="s">
        <v>233</v>
      </c>
      <c r="B4" s="1"/>
      <c r="C4" s="1"/>
      <c r="D4" s="1"/>
      <c r="E4" s="1"/>
      <c r="F4" s="1"/>
      <c r="G4" s="1"/>
      <c r="H4" s="1"/>
    </row>
    <row r="5" spans="1:8" ht="24" customHeight="1">
      <c r="A5" s="1"/>
      <c r="B5" s="1"/>
      <c r="C5" s="1"/>
      <c r="D5" s="1"/>
      <c r="E5" s="1"/>
      <c r="F5" s="1"/>
      <c r="G5" s="1"/>
      <c r="H5" s="1"/>
    </row>
    <row r="6" spans="1:8" ht="48" customHeight="1">
      <c r="A6" s="4" t="s">
        <v>234</v>
      </c>
      <c r="B6" s="4" t="s">
        <v>5</v>
      </c>
      <c r="C6" s="4" t="s">
        <v>6</v>
      </c>
      <c r="D6" s="4" t="s">
        <v>235</v>
      </c>
      <c r="E6" s="4" t="s">
        <v>236</v>
      </c>
      <c r="F6" s="1"/>
      <c r="G6" s="1"/>
      <c r="H6" s="1"/>
    </row>
    <row r="7" spans="1:8" ht="39.950000000000003" customHeight="1">
      <c r="A7" s="5" t="s">
        <v>237</v>
      </c>
      <c r="B7" s="12">
        <v>2</v>
      </c>
      <c r="C7" s="12">
        <v>2</v>
      </c>
      <c r="D7" s="1" t="s">
        <v>238</v>
      </c>
      <c r="E7" s="5" t="s">
        <v>239</v>
      </c>
      <c r="F7" s="1"/>
      <c r="G7" s="1"/>
      <c r="H7" s="1"/>
    </row>
    <row r="8" spans="1:8" ht="39.950000000000003" customHeight="1">
      <c r="A8" s="5" t="s">
        <v>240</v>
      </c>
      <c r="B8" s="12">
        <v>3</v>
      </c>
      <c r="C8" s="12">
        <v>3</v>
      </c>
      <c r="D8" s="1" t="s">
        <v>238</v>
      </c>
      <c r="E8" s="5" t="s">
        <v>241</v>
      </c>
      <c r="F8" s="1"/>
      <c r="G8" s="1"/>
      <c r="H8" s="1"/>
    </row>
    <row r="9" spans="1:8" ht="39.950000000000003" customHeight="1">
      <c r="A9" s="5" t="s">
        <v>242</v>
      </c>
      <c r="B9" s="14">
        <v>1</v>
      </c>
      <c r="C9" s="14">
        <v>1</v>
      </c>
      <c r="D9" s="1" t="s">
        <v>243</v>
      </c>
      <c r="E9" s="5" t="s">
        <v>244</v>
      </c>
      <c r="F9" s="1"/>
      <c r="G9" s="1"/>
      <c r="H9" s="1"/>
    </row>
    <row r="10" spans="1:8" ht="39.950000000000003" customHeight="1">
      <c r="A10" s="5" t="s">
        <v>245</v>
      </c>
      <c r="B10" s="11">
        <v>0.3478</v>
      </c>
      <c r="C10" s="11">
        <v>0.3478</v>
      </c>
      <c r="D10" s="1" t="s">
        <v>246</v>
      </c>
      <c r="E10" s="5" t="s">
        <v>247</v>
      </c>
      <c r="F10" s="1"/>
      <c r="G10" s="1"/>
      <c r="H10" s="1"/>
    </row>
    <row r="11" spans="1:8" ht="39.950000000000003" customHeight="1">
      <c r="A11" s="5" t="s">
        <v>248</v>
      </c>
      <c r="B11" s="11">
        <v>0.85</v>
      </c>
      <c r="C11" s="11">
        <v>0.85</v>
      </c>
      <c r="D11" s="1" t="s">
        <v>246</v>
      </c>
      <c r="E11" s="5" t="s">
        <v>249</v>
      </c>
      <c r="F11" s="1"/>
      <c r="G11" s="1"/>
      <c r="H11" s="1"/>
    </row>
    <row r="12" spans="1:8" ht="39.950000000000003" customHeight="1">
      <c r="A12" s="5" t="s">
        <v>250</v>
      </c>
      <c r="B12" s="14">
        <v>0.2</v>
      </c>
      <c r="C12" s="14">
        <v>0.2</v>
      </c>
      <c r="D12" s="1" t="s">
        <v>251</v>
      </c>
      <c r="E12" s="5" t="s">
        <v>252</v>
      </c>
      <c r="F12" s="1"/>
      <c r="G12" s="1"/>
      <c r="H12" s="1"/>
    </row>
    <row r="13" spans="1:8" ht="39.950000000000003" customHeight="1">
      <c r="A13" s="5" t="s">
        <v>253</v>
      </c>
      <c r="B13" s="15" t="s">
        <v>254</v>
      </c>
      <c r="C13" s="15" t="s">
        <v>254</v>
      </c>
      <c r="D13" s="1" t="s">
        <v>255</v>
      </c>
      <c r="E13" s="5" t="s">
        <v>256</v>
      </c>
      <c r="F13" s="1"/>
      <c r="G13" s="1"/>
      <c r="H13" s="1"/>
    </row>
    <row r="14" spans="1:8" ht="39.950000000000003" customHeight="1">
      <c r="A14" s="5" t="s">
        <v>257</v>
      </c>
      <c r="B14" s="15" t="s">
        <v>258</v>
      </c>
      <c r="C14" s="15" t="s">
        <v>258</v>
      </c>
      <c r="D14" s="1" t="s">
        <v>259</v>
      </c>
      <c r="E14" s="5" t="s">
        <v>260</v>
      </c>
      <c r="F14" s="1"/>
      <c r="G14" s="1"/>
      <c r="H14" s="1"/>
    </row>
    <row r="15" spans="1:8" ht="39.950000000000003" customHeight="1">
      <c r="A15" s="5" t="s">
        <v>261</v>
      </c>
      <c r="B15" s="15" t="s">
        <v>262</v>
      </c>
      <c r="C15" s="15" t="s">
        <v>262</v>
      </c>
      <c r="D15" s="1" t="s">
        <v>263</v>
      </c>
      <c r="E15" s="5" t="s">
        <v>264</v>
      </c>
      <c r="F15" s="1"/>
      <c r="G15" s="1"/>
      <c r="H15" s="1"/>
    </row>
    <row r="16" spans="1:8" ht="39.950000000000003" customHeight="1">
      <c r="A16" s="5" t="s">
        <v>265</v>
      </c>
      <c r="B16" s="13">
        <v>1</v>
      </c>
      <c r="C16" s="13">
        <v>2</v>
      </c>
      <c r="D16" s="1" t="s">
        <v>266</v>
      </c>
      <c r="E16" s="5" t="s">
        <v>267</v>
      </c>
      <c r="F16" s="1"/>
      <c r="G16" s="1"/>
      <c r="H16" s="1"/>
    </row>
    <row r="17" spans="1:8" ht="39.950000000000003" customHeight="1">
      <c r="A17" s="5" t="s">
        <v>268</v>
      </c>
      <c r="B17" s="13">
        <v>2</v>
      </c>
      <c r="C17" s="13">
        <v>4</v>
      </c>
      <c r="D17" s="1" t="s">
        <v>269</v>
      </c>
      <c r="E17" s="5" t="s">
        <v>270</v>
      </c>
      <c r="F17" s="1"/>
      <c r="G17" s="1"/>
      <c r="H17" s="1"/>
    </row>
    <row r="18" spans="1:8" ht="39.950000000000003" customHeight="1">
      <c r="A18" s="5" t="s">
        <v>271</v>
      </c>
      <c r="B18" s="13">
        <v>23800</v>
      </c>
      <c r="C18" s="13">
        <v>23800</v>
      </c>
      <c r="D18" s="1" t="s">
        <v>272</v>
      </c>
      <c r="E18" s="5" t="s">
        <v>273</v>
      </c>
      <c r="F18" s="1"/>
      <c r="G18" s="1"/>
      <c r="H18" s="1"/>
    </row>
    <row r="19" spans="1:8" ht="39.950000000000003" customHeight="1">
      <c r="A19" s="5" t="s">
        <v>274</v>
      </c>
      <c r="B19" s="15"/>
      <c r="C19" s="15"/>
      <c r="D19" s="1" t="s">
        <v>272</v>
      </c>
      <c r="E19" s="5" t="s">
        <v>275</v>
      </c>
      <c r="F19" s="1"/>
      <c r="G19" s="1"/>
      <c r="H19" s="1"/>
    </row>
    <row r="20" spans="1:8" ht="39.950000000000003" customHeight="1">
      <c r="A20" s="5" t="s">
        <v>276</v>
      </c>
      <c r="B20" s="15"/>
      <c r="C20" s="15"/>
      <c r="D20" s="1" t="s">
        <v>272</v>
      </c>
      <c r="E20" s="5" t="s">
        <v>277</v>
      </c>
      <c r="F20" s="1"/>
      <c r="G20" s="1"/>
      <c r="H20" s="1"/>
    </row>
    <row r="21" spans="1:8" ht="39.950000000000003" customHeight="1">
      <c r="A21" s="5" t="s">
        <v>278</v>
      </c>
      <c r="B21" s="15"/>
      <c r="C21" s="15"/>
      <c r="D21" s="1" t="s">
        <v>272</v>
      </c>
      <c r="E21" s="5" t="s">
        <v>279</v>
      </c>
      <c r="F21" s="1"/>
      <c r="G21" s="1"/>
      <c r="H21" s="1"/>
    </row>
    <row r="22" spans="1:8" ht="39.950000000000003" customHeight="1">
      <c r="A22" s="5" t="s">
        <v>280</v>
      </c>
      <c r="B22" s="13">
        <v>375</v>
      </c>
      <c r="C22" s="13">
        <v>375</v>
      </c>
      <c r="D22" s="1" t="s">
        <v>272</v>
      </c>
      <c r="E22" s="5" t="s">
        <v>281</v>
      </c>
      <c r="F22" s="1"/>
      <c r="G22" s="1"/>
      <c r="H22" s="1"/>
    </row>
    <row r="23" spans="1:8" ht="39.950000000000003" customHeight="1">
      <c r="A23" s="5" t="s">
        <v>282</v>
      </c>
      <c r="B23" s="15"/>
      <c r="C23" s="15"/>
      <c r="D23" s="1" t="s">
        <v>283</v>
      </c>
      <c r="E23" s="5" t="s">
        <v>284</v>
      </c>
      <c r="F23" s="1"/>
      <c r="G23" s="1"/>
      <c r="H23" s="1"/>
    </row>
    <row r="24" spans="1:8" ht="39.950000000000003" customHeight="1">
      <c r="A24" s="5" t="s">
        <v>285</v>
      </c>
      <c r="B24" s="15"/>
      <c r="C24" s="15"/>
      <c r="D24" s="1" t="s">
        <v>283</v>
      </c>
      <c r="E24" s="5" t="s">
        <v>286</v>
      </c>
      <c r="F24" s="1"/>
      <c r="G24" s="1"/>
      <c r="H24" s="1"/>
    </row>
    <row r="25" spans="1:8" ht="39.950000000000003" customHeight="1">
      <c r="A25" s="5" t="s">
        <v>287</v>
      </c>
      <c r="B25" s="15"/>
      <c r="C25" s="15"/>
      <c r="D25" s="1" t="s">
        <v>283</v>
      </c>
      <c r="E25" s="5" t="s">
        <v>288</v>
      </c>
      <c r="F25" s="1"/>
      <c r="G25" s="1"/>
      <c r="H25" s="1"/>
    </row>
    <row r="26" spans="1:8" ht="39.950000000000003" customHeight="1">
      <c r="A26" s="5" t="s">
        <v>289</v>
      </c>
      <c r="B26" s="15"/>
      <c r="C26" s="15"/>
      <c r="D26" s="1" t="s">
        <v>283</v>
      </c>
      <c r="E26" s="5" t="s">
        <v>290</v>
      </c>
      <c r="F26" s="1"/>
      <c r="G26" s="1"/>
      <c r="H26" s="1"/>
    </row>
    <row r="27" spans="1:8" ht="39.950000000000003" customHeight="1">
      <c r="A27" s="5" t="s">
        <v>291</v>
      </c>
      <c r="B27" s="13">
        <v>1000</v>
      </c>
      <c r="C27" s="13">
        <v>1000</v>
      </c>
      <c r="D27" s="1" t="s">
        <v>283</v>
      </c>
      <c r="E27" s="5" t="s">
        <v>292</v>
      </c>
      <c r="F27" s="1"/>
      <c r="G27" s="1"/>
      <c r="H27" s="1"/>
    </row>
    <row r="28" spans="1:8" ht="39.950000000000003" customHeight="1">
      <c r="A28" s="5" t="s">
        <v>293</v>
      </c>
      <c r="B28" s="15"/>
      <c r="C28" s="15"/>
      <c r="D28" s="1" t="s">
        <v>294</v>
      </c>
      <c r="E28" s="5" t="s">
        <v>295</v>
      </c>
      <c r="F28" s="1"/>
      <c r="G28" s="1"/>
      <c r="H28" s="1"/>
    </row>
    <row r="29" spans="1:8" ht="39.950000000000003" customHeight="1">
      <c r="A29" s="5" t="s">
        <v>296</v>
      </c>
      <c r="B29" s="15"/>
      <c r="C29" s="15"/>
      <c r="D29" s="1" t="s">
        <v>297</v>
      </c>
      <c r="E29" s="5" t="s">
        <v>298</v>
      </c>
      <c r="F29" s="1"/>
      <c r="G29" s="1"/>
      <c r="H29" s="1"/>
    </row>
    <row r="30" spans="1:8" ht="39.950000000000003" customHeight="1">
      <c r="A30" s="5" t="s">
        <v>299</v>
      </c>
      <c r="B30" s="15"/>
      <c r="C30" s="15"/>
      <c r="D30" s="1" t="s">
        <v>297</v>
      </c>
      <c r="E30" s="5" t="s">
        <v>300</v>
      </c>
      <c r="F30" s="1"/>
      <c r="G30" s="1"/>
      <c r="H30" s="1"/>
    </row>
    <row r="31" spans="1:8" ht="39.950000000000003" customHeight="1">
      <c r="A31" s="5" t="s">
        <v>301</v>
      </c>
      <c r="B31" s="15"/>
      <c r="C31" s="15"/>
      <c r="D31" s="1" t="s">
        <v>297</v>
      </c>
      <c r="E31" s="5" t="s">
        <v>302</v>
      </c>
      <c r="F31" s="1"/>
      <c r="G31" s="1"/>
      <c r="H31" s="1"/>
    </row>
    <row r="32" spans="1:8" ht="39.950000000000003" customHeight="1">
      <c r="A32" s="5" t="s">
        <v>303</v>
      </c>
      <c r="B32" s="13">
        <v>1180</v>
      </c>
      <c r="C32" s="13">
        <v>1180</v>
      </c>
      <c r="D32" s="1" t="s">
        <v>304</v>
      </c>
      <c r="E32" s="5" t="s">
        <v>305</v>
      </c>
      <c r="F32" s="1"/>
      <c r="G32" s="1"/>
      <c r="H32" s="1"/>
    </row>
    <row r="33" spans="1:8" ht="39.950000000000003" customHeight="1">
      <c r="A33" s="5" t="s">
        <v>306</v>
      </c>
      <c r="B33" s="13">
        <v>0</v>
      </c>
      <c r="C33" s="13">
        <v>0</v>
      </c>
      <c r="D33" s="1" t="s">
        <v>307</v>
      </c>
      <c r="E33" s="5" t="s">
        <v>308</v>
      </c>
      <c r="F33" s="1"/>
      <c r="G33" s="1"/>
      <c r="H33" s="1"/>
    </row>
    <row r="34" spans="1:8" ht="39.950000000000003" customHeight="1">
      <c r="A34" s="5" t="s">
        <v>309</v>
      </c>
      <c r="B34" s="13">
        <v>120</v>
      </c>
      <c r="C34" s="13">
        <v>120</v>
      </c>
      <c r="D34" s="1" t="s">
        <v>310</v>
      </c>
      <c r="E34" s="5" t="s">
        <v>311</v>
      </c>
      <c r="F34" s="1"/>
      <c r="G34" s="1"/>
      <c r="H34" s="1"/>
    </row>
    <row r="35" spans="1:8" ht="39.950000000000003" customHeight="1">
      <c r="A35" s="5" t="s">
        <v>312</v>
      </c>
      <c r="B35" s="13">
        <v>0</v>
      </c>
      <c r="C35" s="13">
        <v>0</v>
      </c>
      <c r="D35" s="1" t="s">
        <v>313</v>
      </c>
      <c r="E35" s="5" t="s">
        <v>314</v>
      </c>
      <c r="F35" s="1"/>
      <c r="G35" s="1"/>
      <c r="H35" s="1"/>
    </row>
    <row r="36" spans="1:8" ht="39.950000000000003" customHeight="1">
      <c r="A36" s="5" t="s">
        <v>315</v>
      </c>
      <c r="B36" s="13">
        <v>0</v>
      </c>
      <c r="C36" s="13">
        <v>0</v>
      </c>
      <c r="D36" s="1" t="s">
        <v>283</v>
      </c>
      <c r="E36" s="5" t="s">
        <v>316</v>
      </c>
      <c r="F36" s="1"/>
      <c r="G36" s="1"/>
      <c r="H36" s="1"/>
    </row>
    <row r="37" spans="1:8" ht="39.950000000000003" customHeight="1">
      <c r="A37" s="5" t="s">
        <v>317</v>
      </c>
      <c r="B37" s="13">
        <v>0</v>
      </c>
      <c r="C37" s="13">
        <v>0</v>
      </c>
      <c r="D37" s="1" t="s">
        <v>283</v>
      </c>
      <c r="E37" s="5" t="s">
        <v>318</v>
      </c>
      <c r="F37" s="1"/>
      <c r="G37" s="1"/>
      <c r="H37" s="1"/>
    </row>
    <row r="38" spans="1:8" ht="39.950000000000003" customHeight="1">
      <c r="A38" s="5" t="s">
        <v>319</v>
      </c>
      <c r="B38" s="13">
        <v>60</v>
      </c>
      <c r="C38" s="13">
        <v>60</v>
      </c>
      <c r="D38" s="1" t="s">
        <v>307</v>
      </c>
      <c r="E38" s="5" t="s">
        <v>320</v>
      </c>
      <c r="F38" s="1"/>
      <c r="G38" s="1"/>
      <c r="H38" s="1"/>
    </row>
    <row r="39" spans="1:8" ht="39.950000000000003" customHeight="1">
      <c r="A39" s="5" t="s">
        <v>321</v>
      </c>
      <c r="B39" s="15" t="s">
        <v>230</v>
      </c>
      <c r="C39" s="15" t="s">
        <v>230</v>
      </c>
      <c r="D39" s="1" t="s">
        <v>322</v>
      </c>
      <c r="E39" s="5" t="s">
        <v>323</v>
      </c>
      <c r="F39" s="1"/>
      <c r="G39" s="1"/>
      <c r="H39" s="1"/>
    </row>
    <row r="40" spans="1:8" ht="39.950000000000003" customHeight="1">
      <c r="A40" s="5" t="s">
        <v>324</v>
      </c>
      <c r="B40" s="13">
        <v>0</v>
      </c>
      <c r="C40" s="13">
        <v>0</v>
      </c>
      <c r="D40" s="1" t="s">
        <v>272</v>
      </c>
      <c r="E40" s="5" t="s">
        <v>325</v>
      </c>
      <c r="F40" s="1"/>
      <c r="G40" s="1"/>
      <c r="H40" s="1"/>
    </row>
    <row r="41" spans="1:8" ht="39.950000000000003" customHeight="1">
      <c r="A41" s="5" t="s">
        <v>326</v>
      </c>
      <c r="B41" s="13">
        <v>60</v>
      </c>
      <c r="C41" s="13">
        <v>60</v>
      </c>
      <c r="D41" s="1" t="s">
        <v>307</v>
      </c>
      <c r="E41" s="5" t="s">
        <v>327</v>
      </c>
      <c r="F41" s="1"/>
      <c r="G41" s="1"/>
      <c r="H41" s="1"/>
    </row>
    <row r="42" spans="1:8" ht="39.950000000000003" customHeight="1">
      <c r="A42" s="5" t="s">
        <v>328</v>
      </c>
      <c r="B42" s="13">
        <v>0</v>
      </c>
      <c r="C42" s="13">
        <v>0</v>
      </c>
      <c r="D42" s="1" t="s">
        <v>283</v>
      </c>
      <c r="E42" s="5" t="s">
        <v>329</v>
      </c>
      <c r="F42" s="1"/>
      <c r="G42" s="1"/>
      <c r="H42" s="1"/>
    </row>
    <row r="43" spans="1:8" ht="39.950000000000003" customHeight="1">
      <c r="A43" s="5" t="s">
        <v>330</v>
      </c>
      <c r="B43" s="13">
        <v>120</v>
      </c>
      <c r="C43" s="13">
        <v>120</v>
      </c>
      <c r="D43" s="1" t="s">
        <v>307</v>
      </c>
      <c r="E43" s="5" t="s">
        <v>331</v>
      </c>
      <c r="F43" s="1"/>
      <c r="G43" s="1"/>
      <c r="H43" s="1"/>
    </row>
    <row r="44" spans="1:8" ht="39.950000000000003" customHeight="1">
      <c r="A44" s="5" t="s">
        <v>332</v>
      </c>
      <c r="B44" s="13">
        <v>0</v>
      </c>
      <c r="C44" s="13">
        <v>0</v>
      </c>
      <c r="D44" s="1" t="s">
        <v>283</v>
      </c>
      <c r="E44" s="5" t="s">
        <v>333</v>
      </c>
      <c r="F44" s="1"/>
      <c r="G44" s="1"/>
      <c r="H44" s="1"/>
    </row>
    <row r="45" spans="1:8" ht="39.950000000000003" customHeight="1">
      <c r="A45" s="5" t="s">
        <v>334</v>
      </c>
      <c r="B45" s="13">
        <v>12</v>
      </c>
      <c r="C45" s="13">
        <v>12</v>
      </c>
      <c r="D45" s="1" t="s">
        <v>307</v>
      </c>
      <c r="E45" s="5" t="s">
        <v>335</v>
      </c>
      <c r="F45" s="1"/>
      <c r="G45" s="1"/>
      <c r="H45" s="1"/>
    </row>
    <row r="46" spans="1:8" ht="39.950000000000003" customHeight="1">
      <c r="A46" s="5" t="s">
        <v>336</v>
      </c>
      <c r="B46" s="15" t="s">
        <v>230</v>
      </c>
      <c r="C46" s="15" t="s">
        <v>230</v>
      </c>
      <c r="D46" s="1" t="s">
        <v>322</v>
      </c>
      <c r="E46" s="5" t="s">
        <v>337</v>
      </c>
      <c r="F46" s="1"/>
      <c r="G46" s="1"/>
      <c r="H46" s="1"/>
    </row>
    <row r="47" spans="1:8" ht="39.950000000000003" customHeight="1">
      <c r="A47" s="5" t="s">
        <v>338</v>
      </c>
      <c r="B47" s="13">
        <v>0</v>
      </c>
      <c r="C47" s="13">
        <v>0</v>
      </c>
      <c r="D47" s="1" t="s">
        <v>339</v>
      </c>
      <c r="E47" s="5" t="s">
        <v>340</v>
      </c>
      <c r="F47" s="1"/>
      <c r="G47" s="1"/>
      <c r="H47" s="1"/>
    </row>
    <row r="48" spans="1:8" ht="39.950000000000003" customHeight="1">
      <c r="A48" s="5" t="s">
        <v>341</v>
      </c>
      <c r="B48" s="15"/>
      <c r="C48" s="15"/>
      <c r="D48" s="1" t="s">
        <v>342</v>
      </c>
      <c r="E48" s="5" t="s">
        <v>343</v>
      </c>
      <c r="F48" s="1"/>
      <c r="G48" s="1"/>
      <c r="H48" s="1"/>
    </row>
    <row r="49" spans="1:8" ht="39.950000000000003" customHeight="1">
      <c r="A49" s="5" t="s">
        <v>344</v>
      </c>
      <c r="B49" s="15" t="s">
        <v>345</v>
      </c>
      <c r="C49" s="15" t="s">
        <v>345</v>
      </c>
      <c r="D49" s="1" t="s">
        <v>346</v>
      </c>
      <c r="E49" s="5" t="s">
        <v>347</v>
      </c>
      <c r="F49" s="1"/>
      <c r="G49" s="1"/>
      <c r="H49" s="1"/>
    </row>
    <row r="50" spans="1:8" ht="39.950000000000003" customHeight="1">
      <c r="A50" s="5" t="s">
        <v>348</v>
      </c>
      <c r="B50" s="13">
        <v>44</v>
      </c>
      <c r="C50" s="13">
        <v>44</v>
      </c>
      <c r="D50" s="1" t="s">
        <v>349</v>
      </c>
      <c r="E50" s="5" t="s">
        <v>350</v>
      </c>
      <c r="F50" s="1"/>
      <c r="G50" s="1"/>
      <c r="H50" s="1"/>
    </row>
    <row r="51" spans="1:8" ht="39.950000000000003" customHeight="1">
      <c r="A51" s="5" t="s">
        <v>351</v>
      </c>
      <c r="B51" s="13">
        <v>10</v>
      </c>
      <c r="C51" s="13">
        <v>10</v>
      </c>
      <c r="D51" s="1" t="s">
        <v>352</v>
      </c>
      <c r="E51" s="5" t="s">
        <v>353</v>
      </c>
      <c r="F51" s="1"/>
      <c r="G51" s="1"/>
      <c r="H51" s="1"/>
    </row>
    <row r="52" spans="1:8" ht="39.950000000000003" customHeight="1">
      <c r="A52" s="5" t="s">
        <v>354</v>
      </c>
      <c r="B52" s="15" t="s">
        <v>227</v>
      </c>
      <c r="C52" s="15" t="s">
        <v>227</v>
      </c>
      <c r="D52" s="1" t="s">
        <v>355</v>
      </c>
      <c r="E52" s="5" t="s">
        <v>356</v>
      </c>
      <c r="F52" s="1"/>
      <c r="G52" s="1"/>
      <c r="H52" s="1"/>
    </row>
    <row r="53" spans="1:8" ht="39.950000000000003" customHeight="1">
      <c r="A53" s="5" t="s">
        <v>357</v>
      </c>
      <c r="B53" s="15" t="s">
        <v>230</v>
      </c>
      <c r="C53" s="15" t="s">
        <v>230</v>
      </c>
      <c r="D53" s="1" t="s">
        <v>322</v>
      </c>
      <c r="E53" s="5" t="s">
        <v>358</v>
      </c>
      <c r="F53" s="1"/>
      <c r="G53" s="1"/>
      <c r="H53" s="1"/>
    </row>
    <row r="54" spans="1:8" ht="39.950000000000003" customHeight="1">
      <c r="A54" s="5" t="s">
        <v>359</v>
      </c>
      <c r="B54" s="15" t="s">
        <v>360</v>
      </c>
      <c r="C54" s="15" t="s">
        <v>360</v>
      </c>
      <c r="D54" s="1" t="s">
        <v>361</v>
      </c>
      <c r="E54" s="5" t="s">
        <v>362</v>
      </c>
      <c r="F54" s="1"/>
      <c r="G54" s="1"/>
      <c r="H54" s="1"/>
    </row>
    <row r="55" spans="1:8" ht="39.950000000000003" customHeight="1">
      <c r="A55" s="5" t="s">
        <v>363</v>
      </c>
      <c r="B55" s="15" t="s">
        <v>227</v>
      </c>
      <c r="C55" s="15" t="s">
        <v>227</v>
      </c>
      <c r="D55" s="1" t="s">
        <v>355</v>
      </c>
      <c r="E55" s="5" t="s">
        <v>364</v>
      </c>
      <c r="F55" s="1"/>
      <c r="G55" s="1"/>
      <c r="H55" s="1"/>
    </row>
    <row r="56" spans="1:8" ht="39.950000000000003" customHeight="1">
      <c r="A56" s="5" t="s">
        <v>365</v>
      </c>
      <c r="B56" s="12">
        <v>60</v>
      </c>
      <c r="C56" s="12">
        <v>60</v>
      </c>
      <c r="D56" s="1" t="s">
        <v>366</v>
      </c>
      <c r="E56" s="5" t="s">
        <v>367</v>
      </c>
      <c r="F56" s="1"/>
      <c r="G56" s="1"/>
      <c r="H56" s="1"/>
    </row>
    <row r="57" spans="1:8" ht="24" customHeight="1">
      <c r="A57" s="1"/>
      <c r="B57" s="1"/>
      <c r="C57" s="1"/>
      <c r="D57" s="1"/>
      <c r="E57" s="1"/>
      <c r="F57" s="1"/>
      <c r="G57" s="1"/>
      <c r="H57" s="1"/>
    </row>
    <row r="58" spans="1:8" ht="24" customHeight="1">
      <c r="A58" s="1"/>
      <c r="B58" s="1"/>
      <c r="C58" s="1"/>
      <c r="D58" s="1"/>
      <c r="E58" s="1"/>
      <c r="F58" s="1"/>
      <c r="G58" s="1"/>
      <c r="H58" s="1"/>
    </row>
    <row r="59" spans="1:8" ht="48" customHeight="1">
      <c r="A59" s="4" t="s">
        <v>368</v>
      </c>
      <c r="B59" s="4" t="s">
        <v>5</v>
      </c>
      <c r="C59" s="4" t="s">
        <v>6</v>
      </c>
      <c r="D59" s="4" t="s">
        <v>235</v>
      </c>
      <c r="E59" s="4" t="s">
        <v>369</v>
      </c>
      <c r="F59" s="1"/>
      <c r="G59" s="1"/>
      <c r="H59" s="1"/>
    </row>
    <row r="60" spans="1:8" ht="42" customHeight="1">
      <c r="A60" s="5" t="s">
        <v>370</v>
      </c>
      <c r="B60" s="18" t="str">
        <f>IF('Energy and charging'!$B$68=0,"No EV site",IF('Energy and charging'!$B$12=1,IF(AND(ISNUMBER('Energy and charging'!$B$27),'Energy and charging'!$B$27&gt;=0,ISNUMBER('Energy and charging'!$B$29),'Energy and charging'!$B$29&gt;=0,ISNUMBER('Energy and charging'!$B$33),'Energy and charging'!$B$33&gt;=0,'Energy and charging'!$B$33&lt;=120,'Energy and charging'!$B$33=INT('Energy and charging'!$B$33)),"Public only","Missing public fixed cost"),IF(NOT(AND(ISNUMBER('Energy and charging'!$B$18),ISNUMBER('Energy and charging'!$B$16),ISNUMBER('Energy and charging'!$B$17),ISNUMBER('Energy and charging'!$B$19),ISNUMBER('Energy and charging'!$B$20),ISNUMBER('Energy and charging'!$B$21),ISNUMBER('Energy and charging'!$B$22),ISNUMBER('Energy and charging'!$B$23),ISNUMBER('Energy and charging'!$B$24),ISNUMBER('Energy and charging'!$B$25),ISNUMBER('Energy and charging'!$B$26),ISNUMBER('Energy and charging'!$B$27),ISNUMBER('Energy and charging'!$B$28),ISNUMBER('Energy and charging'!$B$29),ISNUMBER('Energy and charging'!$B$30),ISNUMBER('Energy and charging'!$B$31),ISNUMBER('Energy and charging'!$B$32),ISNUMBER('Energy and charging'!$B$33),ISNUMBER('Energy and charging'!$B$34),ISNUMBER('Energy and charging'!$B$35),ISNUMBER('Energy and charging'!$B$36),ISNUMBER('Energy and charging'!$B$37),ISNUMBER('Energy and charging'!$B$38),ISNUMBER('Energy and charging'!$B$40),ISNUMBER('Energy and charging'!$B$41),ISNUMBER('Energy and charging'!$B$42),ISNUMBER('Energy and charging'!$B$43),ISNUMBER('Energy and charging'!$B$44),ISNUMBER('Energy and charging'!$B$45),ISNUMBER('Energy and charging'!$B$47),ISNUMBER('Energy and charging'!$B$50),ISNUMBER('Energy and charging'!$B$51))),"Missing site quote",IF(OR(MIN('Energy and charging'!$B$18,'Energy and charging'!$B$16,'Energy and charging'!$B$17,'Energy and charging'!$B$19,'Energy and charging'!$B$20,'Energy and charging'!$B$21,'Energy and charging'!$B$22,'Energy and charging'!$B$23,'Energy and charging'!$B$24,'Energy and charging'!$B$25,'Energy and charging'!$B$26,'Energy and charging'!$B$27,'Energy and charging'!$B$28,'Energy and charging'!$B$29,'Energy and charging'!$B$30,'Energy and charging'!$B$31,'Energy and charging'!$B$32,'Energy and charging'!$B$33,'Energy and charging'!$B$34,'Energy and charging'!$B$35,'Energy and charging'!$B$36,'Energy and charging'!$B$37,'Energy and charging'!$B$38,'Energy and charging'!$B$40,'Energy and charging'!$B$41,'Energy and charging'!$B$42,'Energy and charging'!$B$43,'Energy and charging'!$B$44,'Energy and charging'!$B$45,'Energy and charging'!$B$47,'Energy and charging'!$B$50,'Energy and charging'!$B$51)&lt;0,'Energy and charging'!$B$16&lt;1,'Energy and charging'!$B$17&lt;1,'Energy and charging'!$B$33&gt;120,'Energy and charging'!$B$33&lt;&gt;INT('Energy and charging'!$B$33),'Energy and charging'!$B$34&lt;=0,'Energy and charging'!$B$51&lt;=0,'Energy and charging'!$B$12&lt;0,'Energy and charging'!$B$12&gt;1,AND('Energy and charging'!$B$44&gt;0,OR(NOT(ISNUMBER('Energy and charging'!$B$63)),'Energy and charging'!$B$44&gt;'Energy and charging'!$B$63,'Energy and charging'!$B$47&gt;MIN(3,'Energy and charging'!$B$16,COUNTIFS(Paths!$B$7:$B$406,2,Paths!$C$7:$C$406,1,Paths!$D$7:$D$406,"EV",Paths!$E$7:$E$406,"&lt;120",Paths!$AL$7:$AL$406,"&gt;3500",Paths!$AK$7:$AK$406,"&gt;="&amp;DATE(2026,1,1),Paths!$AK$7:$AK$406,"&lt;="&amp;DATE(2028,12,31))),'Energy and charging'!$B$15="AC22",'Energy and charging'!$B$56&lt;50,'Energy and charging'!$B$45&lt;'Energy and charging'!$B$33)),AND('Energy and charging'!$B$44&gt;0,OR('Energy and charging'!$B$46&lt;&gt;"Yes",'Energy and charging'!$B$49&lt;&gt;"Gross"))),"Review site inputs",IF(OR(NOT(ISNUMBER('Energy and charging'!$B$56)),'Energy and charging'!$B$56&lt;=0,'Energy and charging'!$B$16&lt;&gt;INT('Energy and charging'!$B$16),'Energy and charging'!$B$17&lt;&gt;INT('Energy and charging'!$B$17),'Energy and charging'!$B$34&lt;&gt;INT('Energy and charging'!$B$34),'Energy and charging'!$B$43&lt;'Energy and charging'!$B$33,'Energy and charging'!$B$38&lt;'Energy and charging'!$B$33,'Energy and charging'!$B$41&lt;'Energy and charging'!$B$33,AND('Energy and charging'!$B$44&gt;0,'Energy and charging'!$B$34&lt;36)),"Review site inputs","Complete")))))</f>
        <v>Missing site quote</v>
      </c>
      <c r="C60" s="18" t="str">
        <f>IF('Energy and charging'!$C$68=0,"No EV site",IF('Energy and charging'!$C$12=1,IF(AND(ISNUMBER('Energy and charging'!$C$27),'Energy and charging'!$C$27&gt;=0,ISNUMBER('Energy and charging'!$C$29),'Energy and charging'!$C$29&gt;=0,ISNUMBER('Energy and charging'!$C$33),'Energy and charging'!$C$33&gt;=0,'Energy and charging'!$C$33&lt;=120,'Energy and charging'!$C$33=INT('Energy and charging'!$C$33)),"Public only","Missing public fixed cost"),IF(NOT(AND(ISNUMBER('Energy and charging'!$C$18),ISNUMBER('Energy and charging'!$C$16),ISNUMBER('Energy and charging'!$C$17),ISNUMBER('Energy and charging'!$C$19),ISNUMBER('Energy and charging'!$C$20),ISNUMBER('Energy and charging'!$C$21),ISNUMBER('Energy and charging'!$C$22),ISNUMBER('Energy and charging'!$C$23),ISNUMBER('Energy and charging'!$C$24),ISNUMBER('Energy and charging'!$C$25),ISNUMBER('Energy and charging'!$C$26),ISNUMBER('Energy and charging'!$C$27),ISNUMBER('Energy and charging'!$C$28),ISNUMBER('Energy and charging'!$C$29),ISNUMBER('Energy and charging'!$C$30),ISNUMBER('Energy and charging'!$C$31),ISNUMBER('Energy and charging'!$C$32),ISNUMBER('Energy and charging'!$C$33),ISNUMBER('Energy and charging'!$C$34),ISNUMBER('Energy and charging'!$C$35),ISNUMBER('Energy and charging'!$C$36),ISNUMBER('Energy and charging'!$C$37),ISNUMBER('Energy and charging'!$C$38),ISNUMBER('Energy and charging'!$C$40),ISNUMBER('Energy and charging'!$C$41),ISNUMBER('Energy and charging'!$C$42),ISNUMBER('Energy and charging'!$C$43),ISNUMBER('Energy and charging'!$C$44),ISNUMBER('Energy and charging'!$C$45),ISNUMBER('Energy and charging'!$C$47),ISNUMBER('Energy and charging'!$C$50),ISNUMBER('Energy and charging'!$C$51))),"Missing site quote",IF(OR(MIN('Energy and charging'!$C$18,'Energy and charging'!$C$16,'Energy and charging'!$C$17,'Energy and charging'!$C$19,'Energy and charging'!$C$20,'Energy and charging'!$C$21,'Energy and charging'!$C$22,'Energy and charging'!$C$23,'Energy and charging'!$C$24,'Energy and charging'!$C$25,'Energy and charging'!$C$26,'Energy and charging'!$C$27,'Energy and charging'!$C$28,'Energy and charging'!$C$29,'Energy and charging'!$C$30,'Energy and charging'!$C$31,'Energy and charging'!$C$32,'Energy and charging'!$C$33,'Energy and charging'!$C$34,'Energy and charging'!$C$35,'Energy and charging'!$C$36,'Energy and charging'!$C$37,'Energy and charging'!$C$38,'Energy and charging'!$C$40,'Energy and charging'!$C$41,'Energy and charging'!$C$42,'Energy and charging'!$C$43,'Energy and charging'!$C$44,'Energy and charging'!$C$45,'Energy and charging'!$C$47,'Energy and charging'!$C$50,'Energy and charging'!$C$51)&lt;0,'Energy and charging'!$C$16&lt;1,'Energy and charging'!$C$17&lt;1,'Energy and charging'!$C$33&gt;120,'Energy and charging'!$C$33&lt;&gt;INT('Energy and charging'!$C$33),'Energy and charging'!$C$34&lt;=0,'Energy and charging'!$C$51&lt;=0,'Energy and charging'!$C$12&lt;0,'Energy and charging'!$C$12&gt;1,AND('Energy and charging'!$C$44&gt;0,OR(NOT(ISNUMBER('Energy and charging'!$C$63)),'Energy and charging'!$C$44&gt;'Energy and charging'!$C$63,'Energy and charging'!$C$47&gt;MIN(3,'Energy and charging'!$C$16,COUNTIFS(Paths!$B$7:$B$406,3,Paths!$C$7:$C$406,1,Paths!$D$7:$D$406,"EV",Paths!$E$7:$E$406,"&lt;120",Paths!$AL$7:$AL$406,"&gt;3500",Paths!$AK$7:$AK$406,"&gt;="&amp;DATE(2026,1,1),Paths!$AK$7:$AK$406,"&lt;="&amp;DATE(2028,12,31))),'Energy and charging'!$C$15="AC22",'Energy and charging'!$C$56&lt;50,'Energy and charging'!$C$45&lt;'Energy and charging'!$C$33)),AND('Energy and charging'!$C$44&gt;0,OR('Energy and charging'!$C$46&lt;&gt;"Yes",'Energy and charging'!$C$49&lt;&gt;"Gross"))),"Review site inputs",IF(OR(NOT(ISNUMBER('Energy and charging'!$C$56)),'Energy and charging'!$C$56&lt;=0,'Energy and charging'!$C$16&lt;&gt;INT('Energy and charging'!$C$16),'Energy and charging'!$C$17&lt;&gt;INT('Energy and charging'!$C$17),'Energy and charging'!$C$34&lt;&gt;INT('Energy and charging'!$C$34),'Energy and charging'!$C$43&lt;'Energy and charging'!$C$33,'Energy and charging'!$C$38&lt;'Energy and charging'!$C$33,'Energy and charging'!$C$41&lt;'Energy and charging'!$C$33,AND('Energy and charging'!$C$44&gt;0,'Energy and charging'!$C$34&lt;36)),"Review site inputs","Complete")))))</f>
        <v>Missing site quote</v>
      </c>
      <c r="D60" s="1" t="s">
        <v>371</v>
      </c>
      <c r="E60" s="5" t="s">
        <v>372</v>
      </c>
      <c r="F60" s="1"/>
      <c r="G60" s="1"/>
      <c r="H60" s="1"/>
    </row>
    <row r="61" spans="1:8" ht="42" customHeight="1">
      <c r="A61" s="5" t="s">
        <v>373</v>
      </c>
      <c r="B61" s="19" t="str">
        <f>IF('Energy and charging'!$B$60="No EV site",0,IF('Energy and charging'!$B$60="Public only",'Energy and charging'!$B$27,IF('Energy and charging'!$B$60="Complete",'Energy and charging'!$B$16*SUM('Energy and charging'!$B$18,'Energy and charging'!$B$19,'Energy and charging'!$B$20,'Energy and charging'!$B$21,'Energy and charging'!$B$22)+SUM('Energy and charging'!$B$23,'Energy and charging'!$B$24,'Energy and charging'!$B$25,'Energy and charging'!$B$26,'Energy and charging'!$B$27),"n.a.")))</f>
        <v>n.a.</v>
      </c>
      <c r="C61" s="19" t="str">
        <f>IF('Energy and charging'!$C$60="No EV site",0,IF('Energy and charging'!$C$60="Public only",'Energy and charging'!$C$27,IF('Energy and charging'!$C$60="Complete",'Energy and charging'!$C$16*SUM('Energy and charging'!$C$18,'Energy and charging'!$C$19,'Energy and charging'!$C$20,'Energy and charging'!$C$21,'Energy and charging'!$C$22)+SUM('Energy and charging'!$C$23,'Energy and charging'!$C$24,'Energy and charging'!$C$25,'Energy and charging'!$C$26,'Energy and charging'!$C$27),"n.a.")))</f>
        <v>n.a.</v>
      </c>
      <c r="D61" s="1" t="s">
        <v>283</v>
      </c>
      <c r="E61" s="5" t="s">
        <v>374</v>
      </c>
      <c r="F61" s="1"/>
      <c r="G61" s="1"/>
      <c r="H61" s="1"/>
    </row>
    <row r="62" spans="1:8" ht="42" customHeight="1">
      <c r="A62" s="5" t="s">
        <v>375</v>
      </c>
      <c r="B62" s="19" t="str">
        <f>IF('Energy and charging'!$B$60="No EV site",0,IF('Energy and charging'!$B$60="Public only",'Energy and charging'!$B$29,IF('Energy and charging'!$B$60="Complete",12*'Energy and charging'!$B$28+SUM('Energy and charging'!$B$29,'Energy and charging'!$B$30,'Energy and charging'!$B$31)+'Energy and charging'!$B$16*'Energy and charging'!$B$32,"n.a.")))</f>
        <v>n.a.</v>
      </c>
      <c r="C62" s="19" t="str">
        <f>IF('Energy and charging'!$C$60="No EV site",0,IF('Energy and charging'!$C$60="Public only",'Energy and charging'!$C$29,IF('Energy and charging'!$C$60="Complete",12*'Energy and charging'!$C$28+SUM('Energy and charging'!$C$29,'Energy and charging'!$C$30,'Energy and charging'!$C$31)+'Energy and charging'!$C$16*'Energy and charging'!$C$32,"n.a.")))</f>
        <v>n.a.</v>
      </c>
      <c r="D62" s="1" t="s">
        <v>297</v>
      </c>
      <c r="E62" s="5" t="s">
        <v>376</v>
      </c>
      <c r="F62" s="1"/>
      <c r="G62" s="1"/>
      <c r="H62" s="1"/>
    </row>
    <row r="63" spans="1:8" ht="42" customHeight="1">
      <c r="A63" s="5" t="s">
        <v>377</v>
      </c>
      <c r="B63" s="19">
        <f>IF('Energy and charging'!$B$47=0,0,IF(ISNUMBER('Energy and charging'!$B$48),MIN(30000,0.5*'Energy and charging'!$B$48)*MIN(3,'Energy and charging'!$B$47),"n.a."))</f>
        <v>0</v>
      </c>
      <c r="C63" s="19">
        <f>IF('Energy and charging'!$C$47=0,0,IF(ISNUMBER('Energy and charging'!$C$48),MIN(30000,0.5*'Energy and charging'!$C$48)*MIN(3,'Energy and charging'!$C$47),"n.a."))</f>
        <v>0</v>
      </c>
      <c r="D63" s="1" t="s">
        <v>283</v>
      </c>
      <c r="E63" s="5" t="s">
        <v>378</v>
      </c>
      <c r="F63" s="1"/>
      <c r="G63" s="1"/>
      <c r="H63" s="1"/>
    </row>
    <row r="64" spans="1:8" ht="42" customHeight="1">
      <c r="A64" s="5" t="s">
        <v>379</v>
      </c>
      <c r="B64" s="19" t="str">
        <f>IF(ISNUMBER('Energy and charging'!$B$61),'Energy and charging'!$B$61-IF('Energy and charging'!$B$60="Complete",'Energy and charging'!$B$44,0),"n.a.")</f>
        <v>n.a.</v>
      </c>
      <c r="C64" s="19" t="str">
        <f>IF(ISNUMBER('Energy and charging'!$C$61),'Energy and charging'!$C$61-IF('Energy and charging'!$C$60="Complete",'Energy and charging'!$C$44,0),"n.a.")</f>
        <v>n.a.</v>
      </c>
      <c r="D64" s="1" t="s">
        <v>283</v>
      </c>
      <c r="E64" s="5" t="s">
        <v>380</v>
      </c>
      <c r="F64" s="1"/>
      <c r="G64" s="1"/>
      <c r="H64" s="1"/>
    </row>
    <row r="65" spans="1:8" ht="42" customHeight="1">
      <c r="A65" s="5" t="s">
        <v>381</v>
      </c>
      <c r="B65" s="20">
        <f>SUMIFS(Paths!$Y$7:$Y$406,Paths!$B$7:$B$406,2,Paths!$C$7:$C$406,1)</f>
        <v>41.576816845897724</v>
      </c>
      <c r="C65" s="20">
        <f>SUMIFS(Paths!$Y$7:$Y$406,Paths!$B$7:$B$406,3,Paths!$C$7:$C$406,1)</f>
        <v>124.73045053769317</v>
      </c>
      <c r="D65" s="1" t="s">
        <v>382</v>
      </c>
      <c r="E65" s="5" t="s">
        <v>383</v>
      </c>
      <c r="F65" s="1"/>
      <c r="G65" s="1"/>
      <c r="H65" s="1"/>
    </row>
    <row r="66" spans="1:8" ht="42" customHeight="1">
      <c r="A66" s="5" t="s">
        <v>384</v>
      </c>
      <c r="B66" s="20">
        <f>SUMIFS(Paths!$Z$7:$Z$406,Paths!$B$7:$B$406,2,Paths!$C$7:$C$406,1)</f>
        <v>1.8898553111771692</v>
      </c>
      <c r="C66" s="20">
        <f>SUMIFS(Paths!$Z$7:$Z$406,Paths!$B$7:$B$406,3,Paths!$C$7:$C$406,1)</f>
        <v>5.6695659335315076</v>
      </c>
      <c r="D66" s="1" t="s">
        <v>385</v>
      </c>
      <c r="E66" s="5" t="s">
        <v>386</v>
      </c>
      <c r="F66" s="1"/>
      <c r="G66" s="1"/>
      <c r="H66" s="1"/>
    </row>
    <row r="67" spans="1:8" ht="42" customHeight="1">
      <c r="A67" s="5" t="s">
        <v>387</v>
      </c>
      <c r="B67" s="18" t="str">
        <f>IF('Energy and charging'!$B$68=0,"No EV",IF('Energy and charging'!$B$12=1,IF('Energy and charging'!$B$55="Yes","Public access entered","Public access unconfirmed"),IF('Energy and charging'!$B$60&lt;&gt;"Complete",'Energy and charging'!$B$60,IF(OR('Energy and charging'!$B$65&gt;MIN('Energy and charging'!$B$50,'Energy and charging'!$B$16*'Energy and charging'!$B$56)*'Energy and charging'!$B$51,'Energy and charging'!$B$66&gt;'Energy and charging'!$B$17*'Energy and charging'!$B$51,SUMPRODUCT(--(Paths!$B$7:$B$406=2),--(Paths!$C$7:$C$406=1),--(Paths!$D$7:$D$406="EV"),--(Paths!$E$7:$E$406&lt;120),--(Paths!$E$7:$E$406&lt;'Energy and charging'!$B$33))&gt;0,AND('Energy and charging'!$B$15="AC22",COUNTIFS(Paths!$B$7:$B$406,2,Paths!$C$7:$C$406,1,Paths!$D$7:$D$406,"EV",Paths!$E$7:$E$406,"&lt;120",Paths!$AM$7:$AM$406,"&lt;&gt;AC")&gt;0),AND(OR('Energy and charging'!$B$15="DC60",'Energy and charging'!$B$15="DC120"),COUNTIFS(Paths!$B$7:$B$406,2,Paths!$C$7:$C$406,1,Paths!$D$7:$D$406,"EV",Paths!$E$7:$E$406,"&lt;120",Paths!$AM$7:$AM$406,"&lt;&gt;DC")&gt;0),AND('Energy and charging'!$B$33+'Energy and charging'!$B$34&lt;120,'Energy and charging'!$B$39&lt;&gt;"Yes")),"Site timing/power fails",IF(OR('Energy and charging'!$B$52&lt;&gt;"Yes",'Energy and charging'!$B$53&lt;&gt;"Yes",'Energy and charging'!$B$54&lt;&gt;"Verified"),"Site unverified","Within entered site limits")))))</f>
        <v>Missing site quote</v>
      </c>
      <c r="C67" s="18" t="str">
        <f>IF('Energy and charging'!$C$68=0,"No EV",IF('Energy and charging'!$C$12=1,IF('Energy and charging'!$C$55="Yes","Public access entered","Public access unconfirmed"),IF('Energy and charging'!$C$60&lt;&gt;"Complete",'Energy and charging'!$C$60,IF(OR('Energy and charging'!$C$65&gt;MIN('Energy and charging'!$C$50,'Energy and charging'!$C$16*'Energy and charging'!$C$56)*'Energy and charging'!$C$51,'Energy and charging'!$C$66&gt;'Energy and charging'!$C$17*'Energy and charging'!$C$51,SUMPRODUCT(--(Paths!$B$7:$B$406=3),--(Paths!$C$7:$C$406=1),--(Paths!$D$7:$D$406="EV"),--(Paths!$E$7:$E$406&lt;120),--(Paths!$E$7:$E$406&lt;'Energy and charging'!$C$33))&gt;0,AND('Energy and charging'!$C$15="AC22",COUNTIFS(Paths!$B$7:$B$406,3,Paths!$C$7:$C$406,1,Paths!$D$7:$D$406,"EV",Paths!$E$7:$E$406,"&lt;120",Paths!$AM$7:$AM$406,"&lt;&gt;AC")&gt;0),AND(OR('Energy and charging'!$C$15="DC60",'Energy and charging'!$C$15="DC120"),COUNTIFS(Paths!$B$7:$B$406,3,Paths!$C$7:$C$406,1,Paths!$D$7:$D$406,"EV",Paths!$E$7:$E$406,"&lt;120",Paths!$AM$7:$AM$406,"&lt;&gt;DC")&gt;0),AND('Energy and charging'!$C$33+'Energy and charging'!$C$34&lt;120,'Energy and charging'!$C$39&lt;&gt;"Yes")),"Site timing/power fails",IF(OR('Energy and charging'!$C$52&lt;&gt;"Yes",'Energy and charging'!$C$53&lt;&gt;"Yes",'Energy and charging'!$C$54&lt;&gt;"Verified"),"Site unverified","Within entered site limits")))))</f>
        <v>Missing site quote</v>
      </c>
      <c r="D67" s="1" t="s">
        <v>371</v>
      </c>
      <c r="E67" s="5" t="s">
        <v>388</v>
      </c>
      <c r="F67" s="1"/>
      <c r="G67" s="1"/>
      <c r="H67" s="1"/>
    </row>
    <row r="68" spans="1:8" ht="42" customHeight="1">
      <c r="A68" s="5" t="s">
        <v>389</v>
      </c>
      <c r="B68" s="18">
        <f>COUNTIFS(Paths!$B$7:$B$406,2,Paths!$C$7:$C$406,1,Paths!$D$7:$D$406,"EV",Paths!$E$7:$E$406,"&lt;120")</f>
        <v>1</v>
      </c>
      <c r="C68" s="18">
        <f>COUNTIFS(Paths!$B$7:$B$406,3,Paths!$C$7:$C$406,1,Paths!$D$7:$D$406,"EV",Paths!$E$7:$E$406,"&lt;120")</f>
        <v>3</v>
      </c>
      <c r="D68" s="1" t="s">
        <v>390</v>
      </c>
      <c r="E68" s="5" t="s">
        <v>391</v>
      </c>
      <c r="F68" s="1"/>
      <c r="G68" s="1"/>
      <c r="H68" s="1"/>
    </row>
    <row r="69" spans="1:8" ht="24" customHeight="1">
      <c r="A69" s="1"/>
      <c r="B69" s="1"/>
      <c r="C69" s="1"/>
      <c r="D69" s="1"/>
      <c r="E69" s="1"/>
      <c r="F69" s="1"/>
      <c r="G69" s="1"/>
      <c r="H69" s="1"/>
    </row>
    <row r="70" spans="1:8" ht="24" customHeight="1">
      <c r="A70" s="1"/>
      <c r="B70" s="1"/>
      <c r="C70" s="1"/>
      <c r="D70" s="1"/>
      <c r="E70" s="1"/>
      <c r="F70" s="1"/>
      <c r="G70" s="1"/>
      <c r="H70" s="1"/>
    </row>
    <row r="71" spans="1:8" ht="24" customHeight="1">
      <c r="A71" s="1"/>
      <c r="B71" s="1"/>
      <c r="C71" s="1"/>
      <c r="D71" s="1"/>
      <c r="E71" s="1"/>
      <c r="F71" s="1"/>
      <c r="G71" s="1"/>
      <c r="H71" s="1"/>
    </row>
    <row r="72" spans="1:8" ht="48" customHeight="1">
      <c r="A72" s="4" t="s">
        <v>392</v>
      </c>
      <c r="B72" s="4" t="s">
        <v>393</v>
      </c>
      <c r="C72" s="4" t="s">
        <v>394</v>
      </c>
      <c r="D72" s="4" t="s">
        <v>395</v>
      </c>
      <c r="E72" s="4" t="s">
        <v>396</v>
      </c>
      <c r="F72" s="4" t="s">
        <v>397</v>
      </c>
      <c r="G72" s="1"/>
      <c r="H72" s="1"/>
    </row>
    <row r="73" spans="1:8" ht="64.150000000000006" customHeight="1">
      <c r="A73" s="1" t="s">
        <v>398</v>
      </c>
      <c r="B73" s="5" t="s">
        <v>399</v>
      </c>
      <c r="C73" s="5">
        <v>23800</v>
      </c>
      <c r="D73" s="5" t="s">
        <v>400</v>
      </c>
      <c r="E73" s="5" t="s">
        <v>401</v>
      </c>
      <c r="F73" s="5" t="s">
        <v>402</v>
      </c>
      <c r="G73" s="1"/>
      <c r="H73" s="1"/>
    </row>
    <row r="74" spans="1:8" ht="64.150000000000006" customHeight="1">
      <c r="A74" s="1" t="s">
        <v>403</v>
      </c>
      <c r="B74" s="5" t="s">
        <v>404</v>
      </c>
      <c r="C74" s="5">
        <v>29800</v>
      </c>
      <c r="D74" s="5" t="s">
        <v>400</v>
      </c>
      <c r="E74" s="5" t="s">
        <v>401</v>
      </c>
      <c r="F74" s="5" t="s">
        <v>402</v>
      </c>
      <c r="G74" s="1"/>
      <c r="H74" s="1"/>
    </row>
    <row r="75" spans="1:8" ht="64.150000000000006" customHeight="1">
      <c r="A75" s="1" t="s">
        <v>405</v>
      </c>
      <c r="B75" s="5" t="s">
        <v>406</v>
      </c>
      <c r="C75" s="5">
        <v>1800</v>
      </c>
      <c r="D75" s="5" t="s">
        <v>400</v>
      </c>
      <c r="E75" s="5" t="s">
        <v>407</v>
      </c>
      <c r="F75" s="5" t="s">
        <v>402</v>
      </c>
      <c r="G75" s="1"/>
      <c r="H75" s="1"/>
    </row>
    <row r="76" spans="1:8" ht="64.150000000000006" customHeight="1">
      <c r="A76" s="1" t="s">
        <v>408</v>
      </c>
      <c r="B76" s="5" t="s">
        <v>409</v>
      </c>
      <c r="C76" s="5">
        <v>3500</v>
      </c>
      <c r="D76" s="5" t="s">
        <v>400</v>
      </c>
      <c r="E76" s="5" t="s">
        <v>410</v>
      </c>
      <c r="F76" s="5" t="s">
        <v>402</v>
      </c>
      <c r="G76" s="1"/>
      <c r="H76" s="1"/>
    </row>
    <row r="77" spans="1:8" ht="64.150000000000006" customHeight="1">
      <c r="A77" s="1" t="s">
        <v>411</v>
      </c>
      <c r="B77" s="5" t="s">
        <v>412</v>
      </c>
      <c r="C77" s="5">
        <v>1180</v>
      </c>
      <c r="D77" s="5" t="s">
        <v>413</v>
      </c>
      <c r="E77" s="5" t="s">
        <v>414</v>
      </c>
      <c r="F77" s="5" t="s">
        <v>402</v>
      </c>
      <c r="G77" s="1"/>
      <c r="H77" s="1"/>
    </row>
    <row r="78" spans="1:8" ht="64.150000000000006" customHeight="1">
      <c r="A78" s="1" t="s">
        <v>415</v>
      </c>
      <c r="B78" s="5" t="s">
        <v>416</v>
      </c>
      <c r="C78" s="5">
        <v>380</v>
      </c>
      <c r="D78" s="5" t="s">
        <v>413</v>
      </c>
      <c r="E78" s="5" t="s">
        <v>414</v>
      </c>
      <c r="F78" s="5" t="s">
        <v>402</v>
      </c>
      <c r="G78" s="1"/>
      <c r="H78" s="1"/>
    </row>
    <row r="79" spans="1:8" ht="64.150000000000006" customHeight="1">
      <c r="A79" s="1" t="s">
        <v>417</v>
      </c>
      <c r="B79" s="5" t="s">
        <v>418</v>
      </c>
      <c r="C79" s="5">
        <v>375</v>
      </c>
      <c r="D79" s="5" t="s">
        <v>419</v>
      </c>
      <c r="E79" s="5" t="s">
        <v>420</v>
      </c>
      <c r="F79" s="5" t="s">
        <v>421</v>
      </c>
      <c r="G79" s="1"/>
      <c r="H79" s="1"/>
    </row>
    <row r="80" spans="1:8" ht="64.150000000000006" customHeight="1">
      <c r="A80" s="1" t="s">
        <v>422</v>
      </c>
      <c r="B80" s="5" t="s">
        <v>423</v>
      </c>
      <c r="C80" s="5">
        <v>16700</v>
      </c>
      <c r="D80" s="5" t="s">
        <v>424</v>
      </c>
      <c r="E80" s="5" t="s">
        <v>425</v>
      </c>
      <c r="F80" s="5" t="s">
        <v>426</v>
      </c>
      <c r="G80" s="1"/>
      <c r="H80" s="1"/>
    </row>
    <row r="81" spans="1:8" ht="64.150000000000006" customHeight="1">
      <c r="A81" s="1" t="s">
        <v>427</v>
      </c>
      <c r="B81" s="5" t="s">
        <v>428</v>
      </c>
      <c r="C81" s="5">
        <v>8800</v>
      </c>
      <c r="D81" s="5" t="s">
        <v>424</v>
      </c>
      <c r="E81" s="5" t="s">
        <v>429</v>
      </c>
      <c r="F81" s="5" t="s">
        <v>426</v>
      </c>
      <c r="G81" s="1"/>
      <c r="H81" s="1"/>
    </row>
    <row r="82" spans="1:8" ht="64.150000000000006" customHeight="1">
      <c r="A82" s="1" t="s">
        <v>430</v>
      </c>
      <c r="B82" s="5" t="s">
        <v>431</v>
      </c>
      <c r="C82" s="5">
        <v>13.41</v>
      </c>
      <c r="D82" s="5" t="s">
        <v>432</v>
      </c>
      <c r="E82" s="5" t="s">
        <v>433</v>
      </c>
      <c r="F82" s="5" t="s">
        <v>434</v>
      </c>
      <c r="G82" s="1"/>
      <c r="H82" s="1"/>
    </row>
    <row r="83" spans="1:8" ht="64.150000000000006" customHeight="1">
      <c r="A83" s="1" t="s">
        <v>435</v>
      </c>
      <c r="B83" s="5" t="s">
        <v>436</v>
      </c>
      <c r="C83" s="5">
        <v>19.89</v>
      </c>
      <c r="D83" s="5" t="s">
        <v>432</v>
      </c>
      <c r="E83" s="5" t="s">
        <v>437</v>
      </c>
      <c r="F83" s="5" t="s">
        <v>434</v>
      </c>
      <c r="G83" s="1"/>
      <c r="H83" s="1"/>
    </row>
    <row r="84" spans="1:8" ht="64.150000000000006" customHeight="1">
      <c r="A84" s="1" t="s">
        <v>438</v>
      </c>
      <c r="B84" s="5" t="s">
        <v>439</v>
      </c>
      <c r="C84" s="5">
        <v>21.27</v>
      </c>
      <c r="D84" s="5" t="s">
        <v>432</v>
      </c>
      <c r="E84" s="5" t="s">
        <v>440</v>
      </c>
      <c r="F84" s="5" t="s">
        <v>434</v>
      </c>
      <c r="G84" s="1"/>
      <c r="H84" s="1"/>
    </row>
    <row r="85" spans="1:8" ht="64.150000000000006" customHeight="1">
      <c r="A85" s="1" t="s">
        <v>441</v>
      </c>
      <c r="B85" s="5" t="s">
        <v>442</v>
      </c>
      <c r="C85" s="5">
        <v>34.590000000000003</v>
      </c>
      <c r="D85" s="5" t="s">
        <v>432</v>
      </c>
      <c r="E85" s="5" t="s">
        <v>443</v>
      </c>
      <c r="F85" s="5" t="s">
        <v>434</v>
      </c>
      <c r="G85" s="1"/>
      <c r="H85" s="1"/>
    </row>
    <row r="86" spans="1:8" ht="64.150000000000006" customHeight="1">
      <c r="A86" s="1" t="s">
        <v>444</v>
      </c>
      <c r="B86" s="5" t="s">
        <v>445</v>
      </c>
      <c r="C86" s="5">
        <v>18.73</v>
      </c>
      <c r="D86" s="5" t="s">
        <v>432</v>
      </c>
      <c r="E86" s="5" t="s">
        <v>443</v>
      </c>
      <c r="F86" s="5" t="s">
        <v>434</v>
      </c>
      <c r="G86" s="1"/>
      <c r="H86" s="1"/>
    </row>
    <row r="87" spans="1:8" ht="64.150000000000006" customHeight="1">
      <c r="A87" s="1" t="s">
        <v>446</v>
      </c>
      <c r="B87" s="5" t="s">
        <v>447</v>
      </c>
      <c r="C87" s="5">
        <v>25.89</v>
      </c>
      <c r="D87" s="5" t="s">
        <v>432</v>
      </c>
      <c r="E87" s="5" t="s">
        <v>443</v>
      </c>
      <c r="F87" s="5" t="s">
        <v>434</v>
      </c>
      <c r="G87" s="1"/>
      <c r="H87" s="1"/>
    </row>
    <row r="88" spans="1:8" ht="64.150000000000006" customHeight="1">
      <c r="A88" s="1" t="s">
        <v>448</v>
      </c>
      <c r="B88" s="5" t="s">
        <v>449</v>
      </c>
      <c r="C88" s="5">
        <v>14</v>
      </c>
      <c r="D88" s="5" t="s">
        <v>450</v>
      </c>
      <c r="E88" s="5" t="s">
        <v>451</v>
      </c>
      <c r="F88" s="5" t="s">
        <v>452</v>
      </c>
      <c r="G88" s="1"/>
      <c r="H88" s="1"/>
    </row>
    <row r="89" spans="1:8" ht="64.150000000000006" customHeight="1">
      <c r="A89" s="1" t="s">
        <v>453</v>
      </c>
      <c r="B89" s="5" t="s">
        <v>454</v>
      </c>
      <c r="C89" s="5">
        <v>20</v>
      </c>
      <c r="D89" s="5" t="s">
        <v>450</v>
      </c>
      <c r="E89" s="5" t="s">
        <v>455</v>
      </c>
      <c r="F89" s="5" t="s">
        <v>452</v>
      </c>
      <c r="G89" s="1"/>
      <c r="H89" s="1"/>
    </row>
    <row r="90" spans="1:8" ht="64.150000000000006" customHeight="1">
      <c r="A90" s="1" t="s">
        <v>456</v>
      </c>
      <c r="B90" s="5" t="s">
        <v>457</v>
      </c>
      <c r="C90" s="5">
        <v>30000</v>
      </c>
      <c r="D90" s="5" t="s">
        <v>342</v>
      </c>
      <c r="E90" s="5" t="s">
        <v>458</v>
      </c>
      <c r="F90" s="5" t="s">
        <v>459</v>
      </c>
      <c r="G90" s="1"/>
      <c r="H90" s="1"/>
    </row>
    <row r="91" spans="1:8" ht="64.150000000000006" customHeight="1">
      <c r="A91" s="1" t="s">
        <v>460</v>
      </c>
      <c r="B91" s="5" t="s">
        <v>461</v>
      </c>
      <c r="C91" s="5"/>
      <c r="D91" s="5" t="s">
        <v>462</v>
      </c>
      <c r="E91" s="5" t="s">
        <v>463</v>
      </c>
      <c r="F91" s="5" t="s">
        <v>464</v>
      </c>
      <c r="G91" s="1"/>
      <c r="H91" s="1"/>
    </row>
    <row r="92" spans="1:8" ht="64.150000000000006" customHeight="1">
      <c r="A92" s="1" t="s">
        <v>465</v>
      </c>
      <c r="B92" s="5" t="s">
        <v>466</v>
      </c>
      <c r="C92" s="5"/>
      <c r="D92" s="5" t="s">
        <v>467</v>
      </c>
      <c r="E92" s="5" t="s">
        <v>468</v>
      </c>
      <c r="F92" s="5" t="s">
        <v>469</v>
      </c>
      <c r="G92" s="1"/>
      <c r="H92" s="1"/>
    </row>
    <row r="93" spans="1:8" ht="64.150000000000006" customHeight="1">
      <c r="A93" s="1" t="s">
        <v>470</v>
      </c>
      <c r="B93" s="5" t="s">
        <v>471</v>
      </c>
      <c r="C93" s="5">
        <v>25000</v>
      </c>
      <c r="D93" s="5" t="s">
        <v>472</v>
      </c>
      <c r="E93" s="5" t="s">
        <v>473</v>
      </c>
      <c r="F93" s="5" t="s">
        <v>474</v>
      </c>
      <c r="G93" s="1"/>
      <c r="H93" s="1"/>
    </row>
    <row r="94" spans="1:8" ht="64.150000000000006" customHeight="1">
      <c r="A94" s="1" t="s">
        <v>475</v>
      </c>
      <c r="B94" s="5" t="s">
        <v>476</v>
      </c>
      <c r="C94" s="5"/>
      <c r="D94" s="5" t="s">
        <v>477</v>
      </c>
      <c r="E94" s="5" t="s">
        <v>478</v>
      </c>
      <c r="F94" s="5" t="s">
        <v>479</v>
      </c>
      <c r="G94" s="1"/>
      <c r="H94" s="1"/>
    </row>
    <row r="95" spans="1:8" ht="64.150000000000006" customHeight="1">
      <c r="A95" s="1" t="s">
        <v>480</v>
      </c>
      <c r="B95" s="5" t="s">
        <v>481</v>
      </c>
      <c r="C95" s="5"/>
      <c r="D95" s="5" t="s">
        <v>482</v>
      </c>
      <c r="E95" s="5" t="s">
        <v>483</v>
      </c>
      <c r="F95" s="5" t="s">
        <v>484</v>
      </c>
      <c r="G95" s="1"/>
      <c r="H95" s="1"/>
    </row>
    <row r="96" spans="1:8" ht="64.150000000000006" customHeight="1">
      <c r="A96" s="1" t="s">
        <v>485</v>
      </c>
      <c r="B96" s="5" t="s">
        <v>486</v>
      </c>
      <c r="C96" s="5">
        <v>500000</v>
      </c>
      <c r="D96" s="5" t="s">
        <v>487</v>
      </c>
      <c r="E96" s="5" t="s">
        <v>488</v>
      </c>
      <c r="F96" s="5" t="s">
        <v>489</v>
      </c>
      <c r="G96" s="1"/>
      <c r="H96" s="1"/>
    </row>
    <row r="97" spans="1:8" ht="24" customHeight="1">
      <c r="A97" s="1"/>
      <c r="B97" s="1"/>
      <c r="C97" s="1"/>
      <c r="D97" s="1"/>
      <c r="E97" s="1"/>
      <c r="F97" s="1"/>
      <c r="G97" s="1"/>
      <c r="H97" s="1"/>
    </row>
    <row r="98" spans="1:8" ht="24" customHeight="1">
      <c r="A98" s="1"/>
      <c r="B98" s="1"/>
      <c r="C98" s="1"/>
      <c r="D98" s="1"/>
      <c r="E98" s="1"/>
      <c r="F98" s="1"/>
      <c r="G98" s="1"/>
      <c r="H98" s="1"/>
    </row>
    <row r="99" spans="1:8" ht="25.9" customHeight="1">
      <c r="A99" s="1" t="s">
        <v>490</v>
      </c>
      <c r="B99" s="1"/>
      <c r="C99" s="1"/>
      <c r="D99" s="1"/>
      <c r="E99" s="1"/>
      <c r="F99" s="1"/>
      <c r="G99" s="1"/>
      <c r="H99" s="1"/>
    </row>
    <row r="100" spans="1:8" ht="24" customHeight="1">
      <c r="A100" s="1"/>
      <c r="B100" s="1"/>
      <c r="C100" s="1"/>
      <c r="D100" s="1"/>
      <c r="E100" s="1"/>
      <c r="F100" s="1"/>
      <c r="G100" s="1"/>
      <c r="H100" s="1"/>
    </row>
    <row r="101" spans="1:8" ht="25.9" customHeight="1">
      <c r="A101" s="1" t="s">
        <v>491</v>
      </c>
      <c r="B101" s="1"/>
      <c r="C101" s="1"/>
      <c r="D101" s="1"/>
      <c r="E101" s="1"/>
      <c r="F101" s="1"/>
      <c r="G101" s="1"/>
      <c r="H101" s="1"/>
    </row>
    <row r="102" spans="1:8" ht="24" customHeight="1">
      <c r="A102" s="1"/>
      <c r="B102" s="1"/>
      <c r="C102" s="1"/>
      <c r="D102" s="1"/>
      <c r="E102" s="1"/>
      <c r="F102" s="1"/>
      <c r="G102" s="1"/>
      <c r="H102" s="1"/>
    </row>
    <row r="103" spans="1:8" ht="25.9" customHeight="1">
      <c r="A103" s="1" t="s">
        <v>492</v>
      </c>
      <c r="B103" s="1"/>
      <c r="C103" s="1"/>
      <c r="D103" s="1"/>
      <c r="E103" s="1"/>
      <c r="F103" s="1"/>
      <c r="G103" s="1"/>
      <c r="H103" s="1"/>
    </row>
    <row r="104" spans="1:8" ht="24" customHeight="1">
      <c r="A104" s="1"/>
      <c r="B104" s="1"/>
      <c r="C104" s="1"/>
      <c r="D104" s="1"/>
      <c r="E104" s="1"/>
      <c r="F104" s="1"/>
      <c r="G104" s="1"/>
      <c r="H104" s="1"/>
    </row>
    <row r="105" spans="1:8" ht="24" customHeight="1">
      <c r="A105" s="1"/>
      <c r="B105" s="1"/>
      <c r="C105" s="1"/>
      <c r="D105" s="1"/>
      <c r="E105" s="1"/>
      <c r="F105" s="1"/>
      <c r="G105" s="1"/>
      <c r="H105" s="1"/>
    </row>
    <row r="106" spans="1:8" ht="24" customHeight="1">
      <c r="A106" s="1"/>
      <c r="B106" s="1"/>
      <c r="C106" s="1"/>
      <c r="D106" s="1"/>
      <c r="E106" s="1"/>
      <c r="F106" s="1"/>
      <c r="G106" s="1"/>
      <c r="H106" s="1"/>
    </row>
    <row r="107" spans="1:8" ht="24" customHeight="1">
      <c r="A107" s="1"/>
      <c r="B107" s="1"/>
      <c r="C107" s="1"/>
      <c r="D107" s="1"/>
      <c r="E107" s="1"/>
      <c r="F107" s="1"/>
      <c r="G107" s="1"/>
      <c r="H107" s="1"/>
    </row>
    <row r="108" spans="1:8" ht="24" customHeight="1">
      <c r="A108" s="1"/>
      <c r="B108" s="1"/>
      <c r="C108" s="1"/>
      <c r="D108" s="1"/>
      <c r="E108" s="1"/>
      <c r="F108" s="1"/>
      <c r="G108" s="1"/>
      <c r="H108" s="1"/>
    </row>
    <row r="109" spans="1:8" ht="24" customHeight="1">
      <c r="A109" s="1"/>
      <c r="B109" s="1"/>
      <c r="C109" s="1"/>
      <c r="D109" s="1"/>
      <c r="E109" s="1"/>
      <c r="F109" s="1"/>
      <c r="G109" s="1"/>
      <c r="H109" s="1"/>
    </row>
    <row r="110" spans="1:8" ht="24" customHeight="1">
      <c r="A110" s="1"/>
      <c r="B110" s="1"/>
      <c r="C110" s="1"/>
      <c r="D110" s="1"/>
      <c r="E110" s="1"/>
      <c r="F110" s="1"/>
      <c r="G110" s="1"/>
      <c r="H110" s="1"/>
    </row>
    <row r="111" spans="1:8" ht="24" customHeight="1">
      <c r="A111" s="1"/>
      <c r="B111" s="1"/>
      <c r="C111" s="1"/>
      <c r="D111" s="1"/>
      <c r="E111" s="1"/>
      <c r="F111" s="1"/>
      <c r="G111" s="1"/>
      <c r="H111" s="1"/>
    </row>
    <row r="112" spans="1:8" ht="24" customHeight="1">
      <c r="A112" s="1"/>
      <c r="B112" s="1"/>
      <c r="C112" s="1"/>
      <c r="D112" s="1"/>
      <c r="E112" s="1"/>
      <c r="F112" s="1"/>
      <c r="G112" s="1"/>
      <c r="H112" s="1"/>
    </row>
    <row r="113" spans="1:8" ht="24" customHeight="1">
      <c r="A113" s="1"/>
      <c r="B113" s="1"/>
      <c r="C113" s="1"/>
      <c r="D113" s="1"/>
      <c r="E113" s="1"/>
      <c r="F113" s="1"/>
      <c r="G113" s="1"/>
      <c r="H113" s="1"/>
    </row>
    <row r="114" spans="1:8" ht="24" customHeight="1">
      <c r="A114" s="1"/>
      <c r="B114" s="1"/>
      <c r="C114" s="1"/>
      <c r="D114" s="1"/>
      <c r="E114" s="1"/>
      <c r="F114" s="1"/>
      <c r="G114" s="1"/>
      <c r="H114" s="1"/>
    </row>
    <row r="115" spans="1:8" ht="24" customHeight="1">
      <c r="A115" s="1"/>
      <c r="B115" s="1"/>
      <c r="C115" s="1"/>
      <c r="D115" s="1"/>
      <c r="E115" s="1"/>
      <c r="F115" s="1"/>
      <c r="G115" s="1"/>
      <c r="H115" s="1"/>
    </row>
  </sheetData>
  <conditionalFormatting sqref="B60:C67">
    <cfRule type="containsText" dxfId="3" priority="1" operator="containsText" text="Missing"/>
  </conditionalFormatting>
  <dataValidations count="5">
    <dataValidation type="list" sqref="B15:C15" xr:uid="{00000000-0002-0000-0300-000000000000}">
      <formula1>"AC22,DC60,DC120,Other"</formula1>
    </dataValidation>
    <dataValidation type="list" sqref="B13:C13" xr:uid="{00000000-0002-0000-0300-000001000000}">
      <formula1>"Existing depot,New rented site,Public only,Operator funded"</formula1>
    </dataValidation>
    <dataValidation type="list" sqref="B52:C52 B55:C55" xr:uid="{00000000-0002-0000-0300-000002000000}">
      <formula1>"Yes,No,Unconfirmed"</formula1>
    </dataValidation>
    <dataValidation type="list" sqref="B53:C53" xr:uid="{00000000-0002-0000-0300-000003000000}">
      <formula1>"Yes,No"</formula1>
    </dataValidation>
    <dataValidation type="list" sqref="B54:C54" xr:uid="{00000000-0002-0000-0300-000004000000}">
      <formula1>"Unknown,Assumed,Quoted,Verified"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4BCC4"/>
  </sheetPr>
  <dimension ref="A1:H100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1" width="30" customWidth="1"/>
    <col min="2" max="3" width="25" customWidth="1"/>
    <col min="4" max="4" width="70" customWidth="1"/>
    <col min="5" max="8" width="18" customWidth="1"/>
  </cols>
  <sheetData>
    <row r="1" spans="1:8" ht="24" customHeight="1">
      <c r="A1" s="1"/>
      <c r="B1" s="1"/>
      <c r="C1" s="1"/>
      <c r="D1" s="1"/>
      <c r="E1" s="1"/>
      <c r="F1" s="1"/>
      <c r="G1" s="1"/>
      <c r="H1" s="1"/>
    </row>
    <row r="2" spans="1:8" ht="24" customHeight="1">
      <c r="A2" s="2" t="s">
        <v>493</v>
      </c>
      <c r="B2" s="1"/>
      <c r="C2" s="1"/>
      <c r="D2" s="1"/>
      <c r="E2" s="1"/>
      <c r="F2" s="1"/>
      <c r="G2" s="1"/>
      <c r="H2" s="1"/>
    </row>
    <row r="3" spans="1:8" ht="24" customHeight="1">
      <c r="A3" s="3"/>
      <c r="B3" s="3"/>
      <c r="C3" s="3"/>
      <c r="D3" s="3"/>
      <c r="E3" s="3"/>
      <c r="F3" s="3"/>
      <c r="G3" s="3"/>
      <c r="H3" s="3"/>
    </row>
    <row r="4" spans="1:8" ht="25.9" customHeight="1">
      <c r="A4" s="1" t="s">
        <v>494</v>
      </c>
      <c r="B4" s="1"/>
      <c r="C4" s="1"/>
      <c r="D4" s="1"/>
      <c r="E4" s="1"/>
      <c r="F4" s="1"/>
      <c r="G4" s="1"/>
      <c r="H4" s="1"/>
    </row>
    <row r="5" spans="1:8" ht="24" customHeight="1">
      <c r="A5" s="1"/>
      <c r="B5" s="1"/>
      <c r="C5" s="1"/>
      <c r="D5" s="1"/>
      <c r="E5" s="1"/>
      <c r="F5" s="1"/>
      <c r="G5" s="1"/>
      <c r="H5" s="1"/>
    </row>
    <row r="6" spans="1:8" ht="48" customHeight="1">
      <c r="A6" s="4" t="s">
        <v>495</v>
      </c>
      <c r="B6" s="4" t="s">
        <v>394</v>
      </c>
      <c r="C6" s="4" t="s">
        <v>235</v>
      </c>
      <c r="D6" s="4" t="s">
        <v>496</v>
      </c>
      <c r="E6" s="1"/>
      <c r="F6" s="1"/>
      <c r="G6" s="1"/>
      <c r="H6" s="1"/>
    </row>
    <row r="7" spans="1:8" ht="24" customHeight="1">
      <c r="A7" s="1" t="s">
        <v>497</v>
      </c>
      <c r="B7" s="11">
        <v>0.1</v>
      </c>
      <c r="C7" s="1" t="s">
        <v>498</v>
      </c>
      <c r="D7" s="1" t="s">
        <v>499</v>
      </c>
      <c r="E7" s="1"/>
      <c r="F7" s="1"/>
      <c r="G7" s="1"/>
      <c r="H7" s="1"/>
    </row>
    <row r="8" spans="1:8" ht="24" customHeight="1">
      <c r="A8" s="1" t="s">
        <v>500</v>
      </c>
      <c r="B8" s="12">
        <v>80</v>
      </c>
      <c r="C8" s="1" t="s">
        <v>501</v>
      </c>
      <c r="D8" s="1" t="s">
        <v>502</v>
      </c>
      <c r="E8" s="1"/>
      <c r="F8" s="1"/>
      <c r="G8" s="1"/>
      <c r="H8" s="1"/>
    </row>
    <row r="9" spans="1:8" ht="24" customHeight="1">
      <c r="A9" s="1" t="s">
        <v>503</v>
      </c>
      <c r="B9" s="12">
        <v>4</v>
      </c>
      <c r="C9" s="1" t="s">
        <v>504</v>
      </c>
      <c r="D9" s="1" t="s">
        <v>505</v>
      </c>
      <c r="E9" s="1"/>
      <c r="F9" s="1"/>
      <c r="G9" s="1"/>
      <c r="H9" s="1"/>
    </row>
    <row r="10" spans="1:8" ht="24" customHeight="1">
      <c r="A10" s="1" t="s">
        <v>506</v>
      </c>
      <c r="B10" s="12">
        <v>17</v>
      </c>
      <c r="C10" s="1" t="s">
        <v>507</v>
      </c>
      <c r="D10" s="1" t="s">
        <v>508</v>
      </c>
      <c r="E10" s="1"/>
      <c r="F10" s="1"/>
      <c r="G10" s="1"/>
      <c r="H10" s="1"/>
    </row>
    <row r="11" spans="1:8" ht="24" customHeight="1">
      <c r="A11" s="1" t="s">
        <v>509</v>
      </c>
      <c r="B11" s="12">
        <v>25</v>
      </c>
      <c r="C11" s="1" t="s">
        <v>510</v>
      </c>
      <c r="D11" s="1" t="s">
        <v>511</v>
      </c>
      <c r="E11" s="1"/>
      <c r="F11" s="1"/>
      <c r="G11" s="1"/>
      <c r="H11" s="1"/>
    </row>
    <row r="12" spans="1:8" ht="24" customHeight="1">
      <c r="A12" s="1" t="s">
        <v>512</v>
      </c>
      <c r="B12" s="12">
        <v>8</v>
      </c>
      <c r="C12" s="1" t="s">
        <v>504</v>
      </c>
      <c r="D12" s="1" t="s">
        <v>513</v>
      </c>
      <c r="E12" s="1"/>
      <c r="F12" s="1"/>
      <c r="G12" s="1"/>
      <c r="H12" s="1"/>
    </row>
    <row r="13" spans="1:8" ht="24" customHeight="1">
      <c r="A13" s="1" t="s">
        <v>514</v>
      </c>
      <c r="B13" s="12">
        <v>15</v>
      </c>
      <c r="C13" s="1" t="s">
        <v>507</v>
      </c>
      <c r="D13" s="1" t="s">
        <v>515</v>
      </c>
      <c r="E13" s="1"/>
      <c r="F13" s="1"/>
      <c r="G13" s="1"/>
      <c r="H13" s="1"/>
    </row>
    <row r="14" spans="1:8" ht="24" customHeight="1">
      <c r="A14" s="1" t="s">
        <v>516</v>
      </c>
      <c r="B14" s="12">
        <v>5</v>
      </c>
      <c r="C14" s="1" t="s">
        <v>507</v>
      </c>
      <c r="D14" s="1" t="s">
        <v>517</v>
      </c>
      <c r="E14" s="1"/>
      <c r="F14" s="1"/>
      <c r="G14" s="1"/>
      <c r="H14" s="1"/>
    </row>
    <row r="15" spans="1:8" ht="24" customHeight="1">
      <c r="A15" s="1" t="s">
        <v>518</v>
      </c>
      <c r="B15" s="13">
        <v>2</v>
      </c>
      <c r="C15" s="1" t="s">
        <v>519</v>
      </c>
      <c r="D15" s="1" t="s">
        <v>520</v>
      </c>
      <c r="E15" s="1"/>
      <c r="F15" s="1"/>
      <c r="G15" s="1"/>
      <c r="H15" s="1"/>
    </row>
    <row r="16" spans="1:8" ht="24" customHeight="1">
      <c r="A16" s="1" t="s">
        <v>521</v>
      </c>
      <c r="B16" s="12">
        <v>4</v>
      </c>
      <c r="C16" s="1" t="s">
        <v>522</v>
      </c>
      <c r="D16" s="1" t="s">
        <v>523</v>
      </c>
      <c r="E16" s="1"/>
      <c r="F16" s="1"/>
      <c r="G16" s="1"/>
      <c r="H16" s="1"/>
    </row>
    <row r="17" spans="1:8" ht="24" customHeight="1">
      <c r="A17" s="1" t="s">
        <v>524</v>
      </c>
      <c r="B17" s="12">
        <v>0</v>
      </c>
      <c r="C17" s="1" t="s">
        <v>522</v>
      </c>
      <c r="D17" s="1" t="s">
        <v>525</v>
      </c>
      <c r="E17" s="1"/>
      <c r="F17" s="1"/>
      <c r="G17" s="1"/>
      <c r="H17" s="1"/>
    </row>
    <row r="18" spans="1:8" ht="24" customHeight="1">
      <c r="A18" s="1" t="s">
        <v>526</v>
      </c>
      <c r="B18" s="12">
        <v>90</v>
      </c>
      <c r="C18" s="1" t="s">
        <v>507</v>
      </c>
      <c r="D18" s="1" t="s">
        <v>527</v>
      </c>
      <c r="E18" s="1"/>
      <c r="F18" s="1"/>
      <c r="G18" s="1"/>
      <c r="H18" s="1"/>
    </row>
    <row r="19" spans="1:8" ht="24" customHeight="1">
      <c r="A19" s="1" t="s">
        <v>528</v>
      </c>
      <c r="B19" s="13">
        <v>25</v>
      </c>
      <c r="C19" s="1" t="s">
        <v>529</v>
      </c>
      <c r="D19" s="1" t="s">
        <v>530</v>
      </c>
      <c r="E19" s="1"/>
      <c r="F19" s="1"/>
      <c r="G19" s="1"/>
      <c r="H19" s="1"/>
    </row>
    <row r="20" spans="1:8" ht="24" customHeight="1">
      <c r="A20" s="1" t="s">
        <v>531</v>
      </c>
      <c r="B20" s="14">
        <v>1</v>
      </c>
      <c r="C20" s="1" t="s">
        <v>532</v>
      </c>
      <c r="D20" s="1" t="s">
        <v>533</v>
      </c>
      <c r="E20" s="1"/>
      <c r="F20" s="1"/>
      <c r="G20" s="1"/>
      <c r="H20" s="1"/>
    </row>
    <row r="21" spans="1:8" ht="24" customHeight="1">
      <c r="A21" s="1" t="s">
        <v>534</v>
      </c>
      <c r="B21" s="14">
        <v>1</v>
      </c>
      <c r="C21" s="1" t="s">
        <v>532</v>
      </c>
      <c r="D21" s="1" t="s">
        <v>535</v>
      </c>
      <c r="E21" s="1"/>
      <c r="F21" s="1"/>
      <c r="G21" s="1"/>
      <c r="H21" s="1"/>
    </row>
    <row r="22" spans="1:8" ht="24" customHeight="1">
      <c r="A22" s="1" t="s">
        <v>536</v>
      </c>
      <c r="B22" s="14">
        <v>1</v>
      </c>
      <c r="C22" s="1" t="s">
        <v>532</v>
      </c>
      <c r="D22" s="1" t="s">
        <v>537</v>
      </c>
      <c r="E22" s="1"/>
      <c r="F22" s="1"/>
      <c r="G22" s="1"/>
      <c r="H22" s="1"/>
    </row>
    <row r="23" spans="1:8" ht="24" customHeight="1">
      <c r="A23" s="1" t="s">
        <v>538</v>
      </c>
      <c r="B23" s="14">
        <v>1</v>
      </c>
      <c r="C23" s="1" t="s">
        <v>532</v>
      </c>
      <c r="D23" s="1" t="s">
        <v>539</v>
      </c>
      <c r="E23" s="1"/>
      <c r="F23" s="1"/>
      <c r="G23" s="1"/>
      <c r="H23" s="1"/>
    </row>
    <row r="24" spans="1:8" ht="24" customHeight="1">
      <c r="A24" s="1" t="s">
        <v>540</v>
      </c>
      <c r="B24" s="13">
        <v>2500</v>
      </c>
      <c r="C24" s="1" t="s">
        <v>541</v>
      </c>
      <c r="D24" s="1" t="s">
        <v>542</v>
      </c>
      <c r="E24" s="1"/>
      <c r="F24" s="1"/>
      <c r="G24" s="1"/>
      <c r="H24" s="1"/>
    </row>
    <row r="25" spans="1:8" ht="24" customHeight="1">
      <c r="A25" s="1" t="s">
        <v>543</v>
      </c>
      <c r="B25" s="13">
        <v>2500</v>
      </c>
      <c r="C25" s="1" t="s">
        <v>541</v>
      </c>
      <c r="D25" s="1" t="s">
        <v>543</v>
      </c>
      <c r="E25" s="1"/>
      <c r="F25" s="1"/>
      <c r="G25" s="1"/>
      <c r="H25" s="1"/>
    </row>
    <row r="26" spans="1:8" ht="24" customHeight="1">
      <c r="A26" s="1" t="s">
        <v>726</v>
      </c>
      <c r="B26" s="13">
        <v>1500</v>
      </c>
      <c r="C26" s="1" t="s">
        <v>541</v>
      </c>
      <c r="D26" s="46" t="s">
        <v>727</v>
      </c>
      <c r="E26" s="1"/>
      <c r="F26" s="1"/>
      <c r="G26" s="1"/>
      <c r="H26" s="1"/>
    </row>
    <row r="27" spans="1:8" ht="24" customHeight="1">
      <c r="A27" s="1" t="s">
        <v>544</v>
      </c>
      <c r="B27" s="13">
        <v>600</v>
      </c>
      <c r="C27" s="1" t="s">
        <v>541</v>
      </c>
      <c r="D27" s="46" t="s">
        <v>545</v>
      </c>
      <c r="E27" s="1"/>
      <c r="F27" s="1"/>
      <c r="G27" s="1"/>
      <c r="H27" s="1"/>
    </row>
    <row r="28" spans="1:8" ht="24" customHeight="1">
      <c r="A28" s="1" t="s">
        <v>546</v>
      </c>
      <c r="B28" s="13">
        <v>600</v>
      </c>
      <c r="C28" s="1" t="s">
        <v>541</v>
      </c>
      <c r="D28" s="46" t="s">
        <v>545</v>
      </c>
      <c r="E28" s="1"/>
      <c r="F28" s="1"/>
      <c r="G28" s="1"/>
      <c r="H28" s="1"/>
    </row>
    <row r="29" spans="1:8" ht="24" customHeight="1">
      <c r="A29" s="1" t="s">
        <v>547</v>
      </c>
      <c r="B29" s="13">
        <v>3500</v>
      </c>
      <c r="C29" s="1" t="s">
        <v>541</v>
      </c>
      <c r="D29" s="46" t="s">
        <v>548</v>
      </c>
      <c r="E29" s="1"/>
      <c r="F29" s="1"/>
      <c r="G29" s="1"/>
      <c r="H29" s="1"/>
    </row>
    <row r="30" spans="1:8" ht="24" customHeight="1">
      <c r="A30" s="1" t="s">
        <v>549</v>
      </c>
      <c r="B30" s="13">
        <v>3500</v>
      </c>
      <c r="C30" s="1" t="s">
        <v>541</v>
      </c>
      <c r="D30" s="46" t="s">
        <v>548</v>
      </c>
      <c r="E30" s="1"/>
      <c r="F30" s="1"/>
      <c r="G30" s="1"/>
      <c r="H30" s="1"/>
    </row>
    <row r="31" spans="1:8" ht="24" customHeight="1">
      <c r="A31" s="1" t="s">
        <v>550</v>
      </c>
      <c r="B31" s="13">
        <v>524</v>
      </c>
      <c r="C31" s="1" t="s">
        <v>541</v>
      </c>
      <c r="D31" s="46" t="s">
        <v>551</v>
      </c>
      <c r="E31" s="1"/>
      <c r="F31" s="1"/>
      <c r="G31" s="1"/>
      <c r="H31" s="1"/>
    </row>
    <row r="32" spans="1:8" ht="24" customHeight="1">
      <c r="A32" s="1" t="s">
        <v>552</v>
      </c>
      <c r="B32" s="13">
        <v>530</v>
      </c>
      <c r="C32" s="1" t="s">
        <v>541</v>
      </c>
      <c r="D32" s="46" t="s">
        <v>553</v>
      </c>
      <c r="E32" s="1"/>
      <c r="F32" s="1"/>
      <c r="G32" s="1"/>
      <c r="H32" s="1"/>
    </row>
    <row r="33" spans="1:8" ht="24" customHeight="1">
      <c r="A33" s="1" t="s">
        <v>554</v>
      </c>
      <c r="B33" s="13">
        <v>150</v>
      </c>
      <c r="C33" s="1" t="s">
        <v>541</v>
      </c>
      <c r="D33" s="46" t="s">
        <v>554</v>
      </c>
      <c r="E33" s="1"/>
      <c r="F33" s="1"/>
      <c r="G33" s="1"/>
      <c r="H33" s="1"/>
    </row>
    <row r="34" spans="1:8" ht="24" customHeight="1">
      <c r="A34" s="1" t="s">
        <v>555</v>
      </c>
      <c r="B34" s="13">
        <v>1200</v>
      </c>
      <c r="C34" s="1" t="s">
        <v>541</v>
      </c>
      <c r="D34" s="46" t="s">
        <v>556</v>
      </c>
      <c r="E34" s="1"/>
      <c r="F34" s="1"/>
      <c r="G34" s="1"/>
      <c r="H34" s="1"/>
    </row>
    <row r="35" spans="1:8" ht="24" customHeight="1">
      <c r="A35" s="1" t="s">
        <v>557</v>
      </c>
      <c r="B35" s="13">
        <v>1200</v>
      </c>
      <c r="C35" s="1" t="s">
        <v>541</v>
      </c>
      <c r="D35" s="46" t="s">
        <v>558</v>
      </c>
      <c r="E35" s="1"/>
      <c r="F35" s="1"/>
      <c r="G35" s="1"/>
      <c r="H35" s="1"/>
    </row>
    <row r="36" spans="1:8" ht="24" customHeight="1">
      <c r="A36" s="1" t="s">
        <v>559</v>
      </c>
      <c r="B36" s="13">
        <v>1200</v>
      </c>
      <c r="C36" s="1" t="s">
        <v>541</v>
      </c>
      <c r="D36" s="46" t="s">
        <v>560</v>
      </c>
      <c r="E36" s="1"/>
      <c r="F36" s="1"/>
      <c r="G36" s="1"/>
      <c r="H36" s="1"/>
    </row>
    <row r="37" spans="1:8" ht="24" customHeight="1">
      <c r="A37" s="1" t="s">
        <v>561</v>
      </c>
      <c r="B37" s="13">
        <v>0</v>
      </c>
      <c r="C37" s="1" t="s">
        <v>541</v>
      </c>
      <c r="D37" s="46" t="s">
        <v>562</v>
      </c>
      <c r="E37" s="1"/>
      <c r="F37" s="1"/>
      <c r="G37" s="1"/>
      <c r="H37" s="1"/>
    </row>
    <row r="38" spans="1:8" ht="24" customHeight="1">
      <c r="A38" s="1" t="s">
        <v>563</v>
      </c>
      <c r="B38" s="13">
        <v>0</v>
      </c>
      <c r="C38" s="1" t="s">
        <v>541</v>
      </c>
      <c r="D38" s="46" t="s">
        <v>562</v>
      </c>
      <c r="E38" s="1"/>
      <c r="F38" s="1"/>
      <c r="G38" s="1"/>
      <c r="H38" s="1"/>
    </row>
    <row r="39" spans="1:8" ht="24" customHeight="1">
      <c r="A39" s="1" t="s">
        <v>564</v>
      </c>
      <c r="B39" s="12">
        <v>0</v>
      </c>
      <c r="C39" s="1" t="s">
        <v>565</v>
      </c>
      <c r="D39" s="46" t="s">
        <v>566</v>
      </c>
      <c r="E39" s="1"/>
      <c r="F39" s="1"/>
      <c r="G39" s="1"/>
      <c r="H39" s="1"/>
    </row>
    <row r="40" spans="1:8" ht="24" customHeight="1">
      <c r="A40" s="1" t="s">
        <v>567</v>
      </c>
      <c r="B40" s="12">
        <v>0</v>
      </c>
      <c r="C40" s="1" t="s">
        <v>565</v>
      </c>
      <c r="D40" s="46" t="s">
        <v>568</v>
      </c>
      <c r="E40" s="1"/>
      <c r="F40" s="1"/>
      <c r="G40" s="1"/>
      <c r="H40" s="1"/>
    </row>
    <row r="41" spans="1:8" ht="24" customHeight="1">
      <c r="A41" s="1" t="s">
        <v>569</v>
      </c>
      <c r="B41" s="12">
        <v>0</v>
      </c>
      <c r="C41" s="1" t="s">
        <v>565</v>
      </c>
      <c r="D41" s="46" t="s">
        <v>568</v>
      </c>
      <c r="E41" s="1"/>
      <c r="F41" s="1"/>
      <c r="G41" s="1"/>
      <c r="H41" s="1"/>
    </row>
    <row r="42" spans="1:8" ht="24" customHeight="1">
      <c r="A42" s="1" t="s">
        <v>570</v>
      </c>
      <c r="B42" s="13">
        <v>200</v>
      </c>
      <c r="C42" s="1" t="s">
        <v>571</v>
      </c>
      <c r="D42" s="46" t="s">
        <v>572</v>
      </c>
      <c r="E42" s="1"/>
      <c r="F42" s="1"/>
      <c r="G42" s="1"/>
      <c r="H42" s="1"/>
    </row>
    <row r="43" spans="1:8" ht="24" customHeight="1">
      <c r="A43" s="1" t="s">
        <v>573</v>
      </c>
      <c r="B43" s="13">
        <v>200</v>
      </c>
      <c r="C43" s="1" t="s">
        <v>571</v>
      </c>
      <c r="D43" s="46" t="s">
        <v>574</v>
      </c>
      <c r="E43" s="1"/>
      <c r="F43" s="1"/>
      <c r="G43" s="1"/>
      <c r="H43" s="1"/>
    </row>
    <row r="44" spans="1:8" ht="24" customHeight="1">
      <c r="A44" s="1" t="s">
        <v>575</v>
      </c>
      <c r="B44" s="14">
        <v>0.1</v>
      </c>
      <c r="C44" s="1" t="s">
        <v>532</v>
      </c>
      <c r="D44" s="46" t="s">
        <v>576</v>
      </c>
      <c r="E44" s="1"/>
      <c r="F44" s="1"/>
      <c r="G44" s="1"/>
      <c r="H44" s="1"/>
    </row>
    <row r="45" spans="1:8" ht="24" customHeight="1">
      <c r="A45" s="1" t="s">
        <v>577</v>
      </c>
      <c r="B45" s="14">
        <v>0.2</v>
      </c>
      <c r="C45" s="1" t="s">
        <v>532</v>
      </c>
      <c r="D45" s="46" t="s">
        <v>577</v>
      </c>
      <c r="E45" s="1"/>
      <c r="F45" s="1"/>
      <c r="G45" s="1"/>
      <c r="H45" s="1"/>
    </row>
    <row r="46" spans="1:8" ht="24" customHeight="1">
      <c r="A46" s="1" t="s">
        <v>578</v>
      </c>
      <c r="B46" s="14">
        <v>0.02</v>
      </c>
      <c r="C46" s="1" t="s">
        <v>579</v>
      </c>
      <c r="D46" s="46" t="s">
        <v>580</v>
      </c>
      <c r="E46" s="1"/>
      <c r="F46" s="1"/>
      <c r="G46" s="1"/>
      <c r="H46" s="1"/>
    </row>
    <row r="47" spans="1:8" ht="24" customHeight="1">
      <c r="A47" s="1" t="s">
        <v>581</v>
      </c>
      <c r="B47" s="14">
        <v>0.6</v>
      </c>
      <c r="C47" s="1" t="s">
        <v>532</v>
      </c>
      <c r="D47" s="46" t="s">
        <v>582</v>
      </c>
      <c r="E47" s="1"/>
      <c r="F47" s="1"/>
      <c r="G47" s="1"/>
      <c r="H47" s="1"/>
    </row>
    <row r="48" spans="1:8" ht="24" customHeight="1">
      <c r="A48" s="1" t="s">
        <v>583</v>
      </c>
      <c r="B48" s="12">
        <v>0</v>
      </c>
      <c r="C48" s="1" t="s">
        <v>584</v>
      </c>
      <c r="D48" s="46" t="s">
        <v>585</v>
      </c>
      <c r="E48" s="1"/>
      <c r="F48" s="1"/>
      <c r="G48" s="1"/>
      <c r="H48" s="1"/>
    </row>
    <row r="49" spans="1:8" ht="24" customHeight="1">
      <c r="A49" s="1" t="s">
        <v>586</v>
      </c>
      <c r="B49" s="12">
        <v>0</v>
      </c>
      <c r="C49" s="1" t="s">
        <v>584</v>
      </c>
      <c r="D49" s="46" t="s">
        <v>587</v>
      </c>
      <c r="E49" s="1"/>
      <c r="F49" s="1"/>
      <c r="G49" s="1"/>
      <c r="H49" s="1"/>
    </row>
    <row r="50" spans="1:8" ht="24" customHeight="1">
      <c r="A50" s="1" t="s">
        <v>588</v>
      </c>
      <c r="B50" s="14">
        <v>0</v>
      </c>
      <c r="C50" s="1" t="s">
        <v>579</v>
      </c>
      <c r="D50" s="46" t="s">
        <v>589</v>
      </c>
      <c r="E50" s="1"/>
      <c r="F50" s="1"/>
      <c r="G50" s="1"/>
      <c r="H50" s="1"/>
    </row>
    <row r="51" spans="1:8" ht="24" customHeight="1">
      <c r="A51" s="1" t="s">
        <v>590</v>
      </c>
      <c r="B51" s="14">
        <v>0</v>
      </c>
      <c r="C51" s="1" t="s">
        <v>579</v>
      </c>
      <c r="D51" s="46" t="s">
        <v>591</v>
      </c>
      <c r="E51" s="1"/>
      <c r="F51" s="1"/>
      <c r="G51" s="1"/>
      <c r="H51" s="1"/>
    </row>
    <row r="52" spans="1:8" ht="24" customHeight="1">
      <c r="A52" s="1" t="s">
        <v>592</v>
      </c>
      <c r="B52" s="14">
        <v>0</v>
      </c>
      <c r="C52" s="1" t="s">
        <v>579</v>
      </c>
      <c r="D52" s="46" t="s">
        <v>593</v>
      </c>
      <c r="E52" s="1"/>
      <c r="F52" s="1"/>
      <c r="G52" s="1"/>
      <c r="H52" s="1"/>
    </row>
    <row r="53" spans="1:8" ht="24" customHeight="1">
      <c r="A53" s="1" t="s">
        <v>594</v>
      </c>
      <c r="B53" s="14">
        <v>0</v>
      </c>
      <c r="C53" s="1" t="s">
        <v>579</v>
      </c>
      <c r="D53" s="46" t="s">
        <v>595</v>
      </c>
      <c r="E53" s="1"/>
      <c r="F53" s="1"/>
      <c r="G53" s="1"/>
      <c r="H53" s="1"/>
    </row>
    <row r="54" spans="1:8" ht="24" customHeight="1">
      <c r="A54" s="1" t="s">
        <v>596</v>
      </c>
      <c r="B54" s="14">
        <v>0</v>
      </c>
      <c r="C54" s="1" t="s">
        <v>579</v>
      </c>
      <c r="D54" s="46" t="s">
        <v>597</v>
      </c>
      <c r="E54" s="1"/>
      <c r="F54" s="1"/>
      <c r="G54" s="1"/>
      <c r="H54" s="1"/>
    </row>
    <row r="55" spans="1:8" ht="24" customHeight="1">
      <c r="A55" s="1" t="s">
        <v>598</v>
      </c>
      <c r="B55" s="13">
        <v>250000</v>
      </c>
      <c r="C55" s="1" t="s">
        <v>599</v>
      </c>
      <c r="D55" s="46" t="s">
        <v>600</v>
      </c>
      <c r="E55" s="1"/>
      <c r="F55" s="1"/>
      <c r="G55" s="1"/>
      <c r="H55" s="1"/>
    </row>
    <row r="56" spans="1:8" ht="24" customHeight="1">
      <c r="A56" s="1" t="s">
        <v>601</v>
      </c>
      <c r="B56" s="13">
        <v>12000</v>
      </c>
      <c r="C56" s="1" t="s">
        <v>602</v>
      </c>
      <c r="D56" s="46" t="s">
        <v>603</v>
      </c>
      <c r="E56" s="1"/>
      <c r="F56" s="1"/>
      <c r="G56" s="1"/>
      <c r="H56" s="1"/>
    </row>
    <row r="57" spans="1:8" ht="24" customHeight="1">
      <c r="A57" s="1" t="s">
        <v>604</v>
      </c>
      <c r="B57" s="13">
        <v>93000</v>
      </c>
      <c r="C57" s="1" t="s">
        <v>599</v>
      </c>
      <c r="D57" s="46" t="s">
        <v>605</v>
      </c>
      <c r="E57" s="1"/>
      <c r="F57" s="1"/>
      <c r="G57" s="1"/>
      <c r="H57" s="1"/>
    </row>
    <row r="58" spans="1:8" ht="24" customHeight="1">
      <c r="A58" s="1" t="s">
        <v>606</v>
      </c>
      <c r="B58" s="15" t="s">
        <v>230</v>
      </c>
      <c r="C58" s="1" t="s">
        <v>322</v>
      </c>
      <c r="D58" s="46" t="s">
        <v>607</v>
      </c>
      <c r="E58" s="1"/>
      <c r="F58" s="1"/>
      <c r="G58" s="1"/>
      <c r="H58" s="1"/>
    </row>
    <row r="59" spans="1:8" ht="24" customHeight="1">
      <c r="A59" s="1" t="s">
        <v>608</v>
      </c>
      <c r="B59" s="15" t="s">
        <v>230</v>
      </c>
      <c r="C59" s="1" t="s">
        <v>322</v>
      </c>
      <c r="D59" s="46" t="s">
        <v>609</v>
      </c>
      <c r="E59" s="1"/>
      <c r="F59" s="1"/>
      <c r="G59" s="1"/>
      <c r="H59" s="1"/>
    </row>
    <row r="60" spans="1:8" ht="24" customHeight="1">
      <c r="A60" s="1" t="s">
        <v>610</v>
      </c>
      <c r="B60" s="15" t="s">
        <v>230</v>
      </c>
      <c r="C60" s="1" t="s">
        <v>322</v>
      </c>
      <c r="D60" s="46" t="s">
        <v>611</v>
      </c>
      <c r="E60" s="1"/>
      <c r="F60" s="1"/>
      <c r="G60" s="1"/>
      <c r="H60" s="1"/>
    </row>
    <row r="61" spans="1:8" ht="24" customHeight="1">
      <c r="A61" s="1" t="s">
        <v>612</v>
      </c>
      <c r="B61" s="15" t="s">
        <v>613</v>
      </c>
      <c r="C61" s="1" t="s">
        <v>614</v>
      </c>
      <c r="D61" s="46" t="s">
        <v>615</v>
      </c>
      <c r="E61" s="1"/>
      <c r="F61" s="1"/>
      <c r="G61" s="1"/>
      <c r="H61" s="1"/>
    </row>
    <row r="62" spans="1:8" ht="24" customHeight="1">
      <c r="A62" s="1" t="s">
        <v>616</v>
      </c>
      <c r="B62" s="15" t="s">
        <v>345</v>
      </c>
      <c r="C62" s="1" t="s">
        <v>617</v>
      </c>
      <c r="D62" s="46" t="s">
        <v>618</v>
      </c>
      <c r="E62" s="1"/>
      <c r="F62" s="1"/>
      <c r="G62" s="1"/>
      <c r="H62" s="1"/>
    </row>
    <row r="63" spans="1:8" ht="24" customHeight="1">
      <c r="A63" s="1" t="s">
        <v>619</v>
      </c>
      <c r="B63" s="9">
        <v>46298</v>
      </c>
      <c r="C63" s="1" t="s">
        <v>620</v>
      </c>
      <c r="D63" s="46" t="s">
        <v>621</v>
      </c>
      <c r="E63" s="1"/>
      <c r="F63" s="1"/>
      <c r="G63" s="1"/>
      <c r="H63" s="1"/>
    </row>
    <row r="64" spans="1:8" ht="24" customHeight="1">
      <c r="A64" s="1" t="s">
        <v>622</v>
      </c>
      <c r="B64" s="13">
        <v>0</v>
      </c>
      <c r="C64" s="1" t="s">
        <v>602</v>
      </c>
      <c r="D64" s="46" t="s">
        <v>623</v>
      </c>
      <c r="E64" s="1"/>
      <c r="F64" s="1"/>
      <c r="G64" s="1"/>
      <c r="H64" s="1"/>
    </row>
    <row r="65" spans="1:8" ht="24" customHeight="1">
      <c r="A65" s="1" t="s">
        <v>624</v>
      </c>
      <c r="B65" s="12">
        <v>60</v>
      </c>
      <c r="C65" s="1" t="s">
        <v>625</v>
      </c>
      <c r="D65" s="46" t="s">
        <v>626</v>
      </c>
      <c r="E65" s="1"/>
      <c r="F65" s="1"/>
      <c r="G65" s="1"/>
      <c r="H65" s="1"/>
    </row>
    <row r="66" spans="1:8" ht="24" customHeight="1">
      <c r="A66" s="1" t="s">
        <v>627</v>
      </c>
      <c r="B66" s="13">
        <v>0</v>
      </c>
      <c r="C66" s="1" t="s">
        <v>602</v>
      </c>
      <c r="D66" s="46" t="s">
        <v>628</v>
      </c>
      <c r="E66" s="1"/>
      <c r="F66" s="1"/>
      <c r="G66" s="1"/>
      <c r="H66" s="1"/>
    </row>
    <row r="67" spans="1:8" ht="24" customHeight="1">
      <c r="A67" s="1" t="s">
        <v>629</v>
      </c>
      <c r="B67" s="12">
        <v>60</v>
      </c>
      <c r="C67" s="1" t="s">
        <v>307</v>
      </c>
      <c r="D67" s="46" t="s">
        <v>630</v>
      </c>
      <c r="E67" s="1"/>
      <c r="F67" s="1"/>
      <c r="G67" s="1"/>
      <c r="H67" s="1"/>
    </row>
    <row r="68" spans="1:8" ht="39.950000000000003" customHeight="1">
      <c r="A68" s="1" t="s">
        <v>728</v>
      </c>
      <c r="B68" s="45" t="s">
        <v>729</v>
      </c>
      <c r="C68" s="1" t="s">
        <v>730</v>
      </c>
      <c r="D68" s="46" t="s">
        <v>731</v>
      </c>
      <c r="E68" s="1"/>
      <c r="F68" s="1"/>
      <c r="G68" s="1"/>
      <c r="H68" s="1"/>
    </row>
    <row r="69" spans="1:8" ht="24" customHeight="1">
      <c r="A69" s="1"/>
      <c r="B69" s="1"/>
      <c r="C69" s="1"/>
      <c r="D69" s="1"/>
      <c r="E69" s="1"/>
      <c r="F69" s="1"/>
      <c r="G69" s="1"/>
      <c r="H69" s="1"/>
    </row>
    <row r="70" spans="1:8" ht="24" customHeight="1">
      <c r="A70" s="1"/>
      <c r="B70" s="1"/>
      <c r="C70" s="1"/>
      <c r="D70" s="1"/>
      <c r="E70" s="1"/>
      <c r="F70" s="1"/>
      <c r="G70" s="1"/>
      <c r="H70" s="1"/>
    </row>
    <row r="71" spans="1:8" ht="24" customHeight="1">
      <c r="A71" s="1"/>
      <c r="B71" s="1"/>
      <c r="C71" s="1"/>
      <c r="D71" s="1"/>
      <c r="E71" s="1"/>
      <c r="F71" s="1"/>
      <c r="G71" s="1"/>
      <c r="H71" s="1"/>
    </row>
    <row r="72" spans="1:8" ht="24" customHeight="1">
      <c r="A72" s="1"/>
      <c r="B72" s="1"/>
      <c r="C72" s="1"/>
      <c r="D72" s="1"/>
      <c r="E72" s="1"/>
      <c r="F72" s="1"/>
      <c r="G72" s="1"/>
      <c r="H72" s="1"/>
    </row>
    <row r="73" spans="1:8" ht="24" customHeight="1">
      <c r="A73" s="1"/>
      <c r="B73" s="1"/>
      <c r="C73" s="1"/>
      <c r="D73" s="1"/>
      <c r="E73" s="1"/>
      <c r="F73" s="1"/>
      <c r="G73" s="1"/>
      <c r="H73" s="1"/>
    </row>
    <row r="74" spans="1:8" ht="24" customHeight="1">
      <c r="A74" s="1"/>
      <c r="B74" s="1"/>
      <c r="C74" s="1"/>
      <c r="D74" s="1"/>
      <c r="E74" s="1"/>
      <c r="F74" s="1"/>
      <c r="G74" s="1"/>
      <c r="H74" s="1"/>
    </row>
    <row r="75" spans="1:8" ht="24" customHeight="1">
      <c r="A75" s="1"/>
      <c r="B75" s="1"/>
      <c r="C75" s="1"/>
      <c r="D75" s="1"/>
      <c r="E75" s="1"/>
      <c r="F75" s="1"/>
      <c r="G75" s="1"/>
      <c r="H75" s="1"/>
    </row>
    <row r="76" spans="1:8" ht="24" customHeight="1">
      <c r="A76" s="1"/>
      <c r="B76" s="1"/>
      <c r="C76" s="1"/>
      <c r="D76" s="1"/>
      <c r="E76" s="1"/>
      <c r="F76" s="1"/>
      <c r="G76" s="1"/>
      <c r="H76" s="1"/>
    </row>
    <row r="77" spans="1:8" ht="24" customHeight="1">
      <c r="A77" s="1"/>
      <c r="B77" s="1"/>
      <c r="C77" s="1"/>
      <c r="D77" s="1"/>
      <c r="E77" s="1"/>
      <c r="F77" s="1"/>
      <c r="G77" s="1"/>
      <c r="H77" s="1"/>
    </row>
    <row r="78" spans="1:8" ht="24" customHeight="1">
      <c r="A78" s="1"/>
      <c r="B78" s="1"/>
      <c r="C78" s="1"/>
      <c r="D78" s="1"/>
      <c r="E78" s="1"/>
      <c r="F78" s="1"/>
      <c r="G78" s="1"/>
      <c r="H78" s="1"/>
    </row>
    <row r="79" spans="1:8" ht="24" customHeight="1">
      <c r="A79" s="1"/>
      <c r="B79" s="1"/>
      <c r="C79" s="1"/>
      <c r="D79" s="1"/>
      <c r="E79" s="1"/>
      <c r="F79" s="1"/>
      <c r="G79" s="1"/>
      <c r="H79" s="1"/>
    </row>
    <row r="80" spans="1:8" ht="24" customHeight="1">
      <c r="A80" s="1"/>
      <c r="B80" s="1"/>
      <c r="C80" s="1"/>
      <c r="D80" s="1"/>
      <c r="E80" s="1"/>
      <c r="F80" s="1"/>
      <c r="G80" s="1"/>
      <c r="H80" s="1"/>
    </row>
    <row r="81" spans="1:8" ht="24" customHeight="1">
      <c r="A81" s="1"/>
      <c r="B81" s="1"/>
      <c r="C81" s="1"/>
      <c r="D81" s="1"/>
      <c r="E81" s="1"/>
      <c r="F81" s="1"/>
      <c r="G81" s="1"/>
      <c r="H81" s="1"/>
    </row>
    <row r="82" spans="1:8" ht="24" customHeight="1">
      <c r="A82" s="1"/>
      <c r="B82" s="1"/>
      <c r="C82" s="1"/>
      <c r="D82" s="1"/>
      <c r="E82" s="1"/>
      <c r="F82" s="1"/>
      <c r="G82" s="1"/>
      <c r="H82" s="1"/>
    </row>
    <row r="83" spans="1:8" ht="24" customHeight="1">
      <c r="A83" s="1"/>
      <c r="B83" s="1"/>
      <c r="C83" s="1"/>
      <c r="D83" s="1"/>
      <c r="E83" s="1"/>
      <c r="F83" s="1"/>
      <c r="G83" s="1"/>
      <c r="H83" s="1"/>
    </row>
    <row r="84" spans="1:8" ht="24" customHeight="1">
      <c r="A84" s="1"/>
      <c r="B84" s="1"/>
      <c r="C84" s="1"/>
      <c r="D84" s="1"/>
      <c r="E84" s="1"/>
      <c r="F84" s="1"/>
      <c r="G84" s="1"/>
      <c r="H84" s="1"/>
    </row>
    <row r="85" spans="1:8" ht="24" customHeight="1">
      <c r="A85" s="1"/>
      <c r="B85" s="1"/>
      <c r="C85" s="1"/>
      <c r="D85" s="1"/>
      <c r="E85" s="1"/>
      <c r="F85" s="1"/>
      <c r="G85" s="1"/>
      <c r="H85" s="1"/>
    </row>
    <row r="86" spans="1:8" ht="24" customHeight="1">
      <c r="A86" s="1"/>
      <c r="B86" s="1"/>
      <c r="C86" s="1"/>
      <c r="D86" s="1"/>
      <c r="E86" s="1"/>
      <c r="F86" s="1"/>
      <c r="G86" s="1"/>
      <c r="H86" s="1"/>
    </row>
    <row r="87" spans="1:8" ht="24" customHeight="1">
      <c r="A87" s="1"/>
      <c r="B87" s="1"/>
      <c r="C87" s="1"/>
      <c r="D87" s="1"/>
      <c r="E87" s="1"/>
      <c r="F87" s="1"/>
      <c r="G87" s="1"/>
      <c r="H87" s="1"/>
    </row>
    <row r="88" spans="1:8" ht="24" customHeight="1">
      <c r="A88" s="1"/>
      <c r="B88" s="1"/>
      <c r="C88" s="1"/>
      <c r="D88" s="1"/>
      <c r="E88" s="1"/>
      <c r="F88" s="1"/>
      <c r="G88" s="1"/>
      <c r="H88" s="1"/>
    </row>
    <row r="89" spans="1:8" ht="24" customHeight="1">
      <c r="A89" s="1"/>
      <c r="B89" s="1"/>
      <c r="C89" s="1"/>
      <c r="D89" s="1"/>
      <c r="E89" s="1"/>
      <c r="F89" s="1"/>
      <c r="G89" s="1"/>
      <c r="H89" s="1"/>
    </row>
    <row r="90" spans="1:8" ht="24" customHeight="1">
      <c r="A90" s="1"/>
      <c r="B90" s="1"/>
      <c r="C90" s="1"/>
      <c r="D90" s="1"/>
      <c r="E90" s="1"/>
      <c r="F90" s="1"/>
      <c r="G90" s="1"/>
      <c r="H90" s="1"/>
    </row>
    <row r="91" spans="1:8" ht="24" customHeight="1">
      <c r="A91" s="1"/>
      <c r="B91" s="1"/>
      <c r="C91" s="1"/>
      <c r="D91" s="1"/>
      <c r="E91" s="1"/>
      <c r="F91" s="1"/>
      <c r="G91" s="1"/>
      <c r="H91" s="1"/>
    </row>
    <row r="92" spans="1:8" ht="24" customHeight="1">
      <c r="A92" s="1"/>
      <c r="B92" s="1"/>
      <c r="C92" s="1"/>
      <c r="D92" s="1"/>
      <c r="E92" s="1"/>
      <c r="F92" s="1"/>
      <c r="G92" s="1"/>
      <c r="H92" s="1"/>
    </row>
    <row r="93" spans="1:8" ht="24" customHeight="1">
      <c r="A93" s="1"/>
      <c r="B93" s="1"/>
      <c r="C93" s="1"/>
      <c r="D93" s="1"/>
      <c r="E93" s="1"/>
      <c r="F93" s="1"/>
      <c r="G93" s="1"/>
      <c r="H93" s="1"/>
    </row>
    <row r="94" spans="1:8" ht="24" customHeight="1">
      <c r="A94" s="1"/>
      <c r="B94" s="1"/>
      <c r="C94" s="1"/>
      <c r="D94" s="1"/>
      <c r="E94" s="1"/>
      <c r="F94" s="1"/>
      <c r="G94" s="1"/>
      <c r="H94" s="1"/>
    </row>
    <row r="95" spans="1:8" ht="24" customHeight="1">
      <c r="A95" s="1"/>
      <c r="B95" s="1"/>
      <c r="C95" s="1"/>
      <c r="D95" s="1"/>
      <c r="E95" s="1"/>
      <c r="F95" s="1"/>
      <c r="G95" s="1"/>
      <c r="H95" s="1"/>
    </row>
    <row r="96" spans="1:8" ht="24" customHeight="1">
      <c r="A96" s="1"/>
      <c r="B96" s="1"/>
      <c r="C96" s="1"/>
      <c r="D96" s="1"/>
      <c r="E96" s="1"/>
      <c r="F96" s="1"/>
      <c r="G96" s="1"/>
      <c r="H96" s="1"/>
    </row>
    <row r="97" spans="1:8" ht="24" customHeight="1">
      <c r="A97" s="1"/>
      <c r="B97" s="1"/>
      <c r="C97" s="1"/>
      <c r="D97" s="1"/>
      <c r="E97" s="1"/>
      <c r="F97" s="1"/>
      <c r="G97" s="1"/>
      <c r="H97" s="1"/>
    </row>
    <row r="98" spans="1:8" ht="24" customHeight="1">
      <c r="A98" s="1"/>
      <c r="B98" s="1"/>
      <c r="C98" s="1"/>
      <c r="D98" s="1"/>
      <c r="E98" s="1"/>
      <c r="F98" s="1"/>
      <c r="G98" s="1"/>
      <c r="H98" s="1"/>
    </row>
    <row r="99" spans="1:8" ht="24" customHeight="1">
      <c r="A99" s="1"/>
      <c r="B99" s="1"/>
      <c r="C99" s="1"/>
      <c r="D99" s="1"/>
      <c r="E99" s="1"/>
      <c r="F99" s="1"/>
      <c r="G99" s="1"/>
      <c r="H99" s="1"/>
    </row>
    <row r="100" spans="1:8" ht="24" customHeight="1">
      <c r="A100" s="1"/>
      <c r="B100" s="1"/>
      <c r="C100" s="1"/>
      <c r="D100" s="1"/>
      <c r="E100" s="1"/>
      <c r="F100" s="1"/>
      <c r="G100" s="1"/>
      <c r="H100" s="1"/>
    </row>
  </sheetData>
  <dataValidations count="1">
    <dataValidation type="list" sqref="B68" xr:uid="{00000000-0002-0000-0400-000000000000}">
      <formula1>"Hong Seh 200k average,Annual override"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4BCC4"/>
  </sheetPr>
  <dimension ref="A1:Q20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1" width="25" customWidth="1"/>
    <col min="2" max="10" width="18" customWidth="1"/>
    <col min="11" max="11" width="48" customWidth="1"/>
    <col min="12" max="13" width="20" customWidth="1"/>
    <col min="14" max="14" width="24" customWidth="1"/>
    <col min="15" max="15" width="23" customWidth="1"/>
    <col min="16" max="16" width="22" customWidth="1"/>
    <col min="17" max="17" width="54" customWidth="1"/>
  </cols>
  <sheetData>
    <row r="1" spans="1:17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7" ht="24" customHeight="1">
      <c r="A2" s="2" t="s">
        <v>631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7" ht="2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7" ht="25.9" customHeight="1">
      <c r="A4" s="1" t="s">
        <v>632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7" ht="2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7" ht="48" customHeight="1">
      <c r="A6" s="4" t="s">
        <v>633</v>
      </c>
      <c r="B6" s="4" t="s">
        <v>634</v>
      </c>
      <c r="C6" s="4" t="s">
        <v>635</v>
      </c>
      <c r="D6" s="4" t="s">
        <v>636</v>
      </c>
      <c r="E6" s="4" t="s">
        <v>637</v>
      </c>
      <c r="F6" s="4" t="s">
        <v>638</v>
      </c>
      <c r="G6" s="4" t="s">
        <v>639</v>
      </c>
      <c r="H6" s="4" t="s">
        <v>640</v>
      </c>
      <c r="I6" s="4" t="s">
        <v>641</v>
      </c>
      <c r="J6" s="4" t="s">
        <v>642</v>
      </c>
      <c r="K6" s="4" t="s">
        <v>643</v>
      </c>
      <c r="L6" s="4" t="s">
        <v>644</v>
      </c>
      <c r="M6" s="4" t="s">
        <v>645</v>
      </c>
      <c r="N6" s="34" t="s">
        <v>732</v>
      </c>
      <c r="O6" s="34" t="s">
        <v>733</v>
      </c>
      <c r="P6" s="34" t="s">
        <v>734</v>
      </c>
      <c r="Q6" s="34" t="s">
        <v>735</v>
      </c>
    </row>
    <row r="7" spans="1:17" ht="63.95" customHeight="1">
      <c r="A7" s="1" t="s">
        <v>646</v>
      </c>
      <c r="B7" s="1">
        <v>4300</v>
      </c>
      <c r="C7" s="1">
        <v>2100</v>
      </c>
      <c r="D7" s="1">
        <v>73.3</v>
      </c>
      <c r="E7" s="6">
        <v>0.24076598400367882</v>
      </c>
      <c r="F7" s="1" t="s">
        <v>226</v>
      </c>
      <c r="G7" s="1">
        <v>11</v>
      </c>
      <c r="H7" s="1">
        <v>100</v>
      </c>
      <c r="I7" s="1">
        <v>70800</v>
      </c>
      <c r="J7" s="1">
        <v>367</v>
      </c>
      <c r="K7" s="5" t="s">
        <v>647</v>
      </c>
      <c r="L7" s="5" t="s">
        <v>227</v>
      </c>
      <c r="M7" s="5">
        <v>72.8</v>
      </c>
      <c r="N7" s="42" t="s">
        <v>736</v>
      </c>
      <c r="O7" s="43">
        <f>IFERROR(INDEX('Service costs'!$X$7:$X$14,MATCH(N7,'Service costs'!$A$7:$A$14,0)),"n.a.")</f>
        <v>1861</v>
      </c>
      <c r="P7" s="44">
        <f t="shared" ref="P7:P13" si="0">IF(ISNUMBER(O7),O7/200000,"n.a.")</f>
        <v>9.3050000000000008E-3</v>
      </c>
      <c r="Q7" s="42" t="s">
        <v>737</v>
      </c>
    </row>
    <row r="8" spans="1:17" ht="63.95" customHeight="1">
      <c r="A8" s="1" t="s">
        <v>648</v>
      </c>
      <c r="B8" s="1">
        <v>3500</v>
      </c>
      <c r="C8" s="1">
        <v>1560</v>
      </c>
      <c r="D8" s="1">
        <v>53.58</v>
      </c>
      <c r="E8" s="6">
        <v>0.17859999999999998</v>
      </c>
      <c r="F8" s="1" t="s">
        <v>226</v>
      </c>
      <c r="G8" s="1">
        <v>11</v>
      </c>
      <c r="H8" s="1">
        <v>55</v>
      </c>
      <c r="I8" s="1">
        <v>63800</v>
      </c>
      <c r="J8" s="1">
        <v>300</v>
      </c>
      <c r="K8" s="5" t="s">
        <v>649</v>
      </c>
      <c r="L8" s="5" t="s">
        <v>227</v>
      </c>
      <c r="M8" s="5">
        <v>53.58</v>
      </c>
      <c r="N8" s="42" t="s">
        <v>738</v>
      </c>
      <c r="O8" s="43">
        <f>IFERROR(INDEX('Service costs'!$X$7:$X$14,MATCH(N8,'Service costs'!$A$7:$A$14,0)),"n.a.")</f>
        <v>2220</v>
      </c>
      <c r="P8" s="44">
        <f t="shared" si="0"/>
        <v>1.11E-2</v>
      </c>
      <c r="Q8" s="42" t="s">
        <v>737</v>
      </c>
    </row>
    <row r="9" spans="1:17" ht="63.95" customHeight="1">
      <c r="A9" s="1" t="s">
        <v>225</v>
      </c>
      <c r="B9" s="1">
        <v>5000</v>
      </c>
      <c r="C9" s="1">
        <v>2480</v>
      </c>
      <c r="D9" s="1">
        <v>86.55</v>
      </c>
      <c r="E9" s="6">
        <v>0.27036947370887249</v>
      </c>
      <c r="F9" s="1" t="s">
        <v>226</v>
      </c>
      <c r="G9" s="1">
        <v>22</v>
      </c>
      <c r="H9" s="1">
        <v>120</v>
      </c>
      <c r="I9" s="1">
        <v>78800</v>
      </c>
      <c r="J9" s="1">
        <v>320</v>
      </c>
      <c r="K9" s="5" t="s">
        <v>650</v>
      </c>
      <c r="L9" s="5" t="s">
        <v>227</v>
      </c>
      <c r="M9" s="5">
        <v>86.55</v>
      </c>
      <c r="N9" s="42" t="s">
        <v>739</v>
      </c>
      <c r="O9" s="43">
        <f>IFERROR(INDEX('Service costs'!$X$7:$X$14,MATCH(N9,'Service costs'!$A$7:$A$14,0)),"n.a.")</f>
        <v>3285</v>
      </c>
      <c r="P9" s="44">
        <f t="shared" si="0"/>
        <v>1.6424999999999999E-2</v>
      </c>
      <c r="Q9" s="42" t="s">
        <v>737</v>
      </c>
    </row>
    <row r="10" spans="1:17" ht="63.95" customHeight="1">
      <c r="A10" s="1" t="s">
        <v>651</v>
      </c>
      <c r="B10" s="1">
        <v>5000</v>
      </c>
      <c r="C10" s="1">
        <v>2700</v>
      </c>
      <c r="D10" s="1">
        <v>100.46</v>
      </c>
      <c r="E10" s="6">
        <v>0.35560306683751852</v>
      </c>
      <c r="F10" s="1" t="s">
        <v>226</v>
      </c>
      <c r="G10" s="1">
        <v>22</v>
      </c>
      <c r="H10" s="1">
        <v>100</v>
      </c>
      <c r="I10" s="1">
        <v>98000</v>
      </c>
      <c r="J10" s="1">
        <v>344</v>
      </c>
      <c r="K10" s="5" t="s">
        <v>652</v>
      </c>
      <c r="L10" s="5" t="s">
        <v>227</v>
      </c>
      <c r="M10" s="5">
        <v>104.6</v>
      </c>
      <c r="N10" s="42" t="s">
        <v>740</v>
      </c>
      <c r="O10" s="43">
        <f>IFERROR(INDEX('Service costs'!$X$7:$X$14,MATCH(N10,'Service costs'!$A$7:$A$14,0)),"n.a.")</f>
        <v>1400</v>
      </c>
      <c r="P10" s="44">
        <f t="shared" si="0"/>
        <v>7.0000000000000001E-3</v>
      </c>
      <c r="Q10" s="42" t="s">
        <v>737</v>
      </c>
    </row>
    <row r="11" spans="1:17" ht="63.95" customHeight="1">
      <c r="A11" s="1" t="s">
        <v>653</v>
      </c>
      <c r="B11" s="1">
        <v>3505</v>
      </c>
      <c r="C11" s="1">
        <v>1660</v>
      </c>
      <c r="D11" s="1">
        <v>53.58</v>
      </c>
      <c r="E11" s="6">
        <v>0.17859999999999998</v>
      </c>
      <c r="F11" s="1" t="s">
        <v>226</v>
      </c>
      <c r="G11" s="1">
        <v>11</v>
      </c>
      <c r="H11" s="1">
        <v>55</v>
      </c>
      <c r="I11" s="1">
        <v>66800</v>
      </c>
      <c r="J11" s="1">
        <v>300</v>
      </c>
      <c r="K11" s="5" t="s">
        <v>649</v>
      </c>
      <c r="L11" s="5" t="s">
        <v>227</v>
      </c>
      <c r="M11" s="5">
        <v>106</v>
      </c>
      <c r="N11" s="42" t="s">
        <v>738</v>
      </c>
      <c r="O11" s="43">
        <f>IFERROR(INDEX('Service costs'!$X$7:$X$14,MATCH(N11,'Service costs'!$A$7:$A$14,0)),"n.a.")</f>
        <v>2220</v>
      </c>
      <c r="P11" s="44">
        <f t="shared" si="0"/>
        <v>1.11E-2</v>
      </c>
      <c r="Q11" s="42" t="s">
        <v>737</v>
      </c>
    </row>
    <row r="12" spans="1:17" ht="63.95" customHeight="1">
      <c r="A12" s="1" t="s">
        <v>654</v>
      </c>
      <c r="B12" s="1">
        <v>9800</v>
      </c>
      <c r="C12" s="1">
        <v>3400</v>
      </c>
      <c r="D12" s="1">
        <v>106.95</v>
      </c>
      <c r="E12" s="6">
        <v>0.4477763062331781</v>
      </c>
      <c r="F12" s="1" t="s">
        <v>226</v>
      </c>
      <c r="G12" s="1"/>
      <c r="H12" s="1">
        <v>100</v>
      </c>
      <c r="I12" s="1">
        <v>108000</v>
      </c>
      <c r="J12" s="1">
        <v>243</v>
      </c>
      <c r="K12" s="5" t="s">
        <v>655</v>
      </c>
      <c r="L12" s="5" t="s">
        <v>227</v>
      </c>
      <c r="M12" s="5">
        <v>106</v>
      </c>
      <c r="N12" s="42" t="s">
        <v>740</v>
      </c>
      <c r="O12" s="43">
        <f>IFERROR(INDEX('Service costs'!$X$7:$X$14,MATCH(N12,'Service costs'!$A$7:$A$14,0)),"n.a.")</f>
        <v>1400</v>
      </c>
      <c r="P12" s="44">
        <f t="shared" si="0"/>
        <v>7.0000000000000001E-3</v>
      </c>
      <c r="Q12" s="42" t="s">
        <v>737</v>
      </c>
    </row>
    <row r="13" spans="1:17" ht="63.95" customHeight="1">
      <c r="A13" s="1" t="s">
        <v>656</v>
      </c>
      <c r="B13" s="1">
        <v>9800</v>
      </c>
      <c r="C13" s="1">
        <v>3400</v>
      </c>
      <c r="D13" s="1">
        <v>162.28</v>
      </c>
      <c r="E13" s="6">
        <v>0.45914822660087018</v>
      </c>
      <c r="F13" s="1" t="s">
        <v>226</v>
      </c>
      <c r="G13" s="1"/>
      <c r="H13" s="1">
        <v>100</v>
      </c>
      <c r="I13" s="1">
        <v>128000</v>
      </c>
      <c r="J13" s="1">
        <v>372</v>
      </c>
      <c r="K13" s="5" t="s">
        <v>655</v>
      </c>
      <c r="L13" s="5" t="s">
        <v>227</v>
      </c>
      <c r="M13" s="5">
        <v>162</v>
      </c>
      <c r="N13" s="42" t="s">
        <v>740</v>
      </c>
      <c r="O13" s="43">
        <f>IFERROR(INDEX('Service costs'!$X$7:$X$14,MATCH(N13,'Service costs'!$A$7:$A$14,0)),"n.a.")</f>
        <v>1400</v>
      </c>
      <c r="P13" s="44">
        <f t="shared" si="0"/>
        <v>7.0000000000000001E-3</v>
      </c>
      <c r="Q13" s="42" t="s">
        <v>737</v>
      </c>
    </row>
    <row r="14" spans="1:17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7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7" ht="25.9" customHeight="1">
      <c r="A16" s="1" t="s">
        <v>657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24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25.9" customHeight="1">
      <c r="A18" s="1" t="s">
        <v>658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4BCC4"/>
  </sheetPr>
  <dimension ref="A1:AQ40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RowHeight="14.25"/>
  <cols>
    <col min="1" max="15" width="18" customWidth="1"/>
    <col min="16" max="17" width="26" customWidth="1"/>
    <col min="18" max="40" width="18" customWidth="1"/>
    <col min="41" max="43" width="23" customWidth="1"/>
  </cols>
  <sheetData>
    <row r="1" spans="1:43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3" ht="24" customHeight="1">
      <c r="A2" s="2" t="s">
        <v>659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3" ht="2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3" ht="25.9" customHeight="1">
      <c r="A4" s="1" t="s">
        <v>660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3" ht="2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3" ht="48" customHeight="1">
      <c r="A6" s="4" t="s">
        <v>63</v>
      </c>
      <c r="B6" s="4" t="s">
        <v>661</v>
      </c>
      <c r="C6" s="4" t="s">
        <v>662</v>
      </c>
      <c r="D6" s="4" t="s">
        <v>663</v>
      </c>
      <c r="E6" s="4" t="s">
        <v>664</v>
      </c>
      <c r="F6" s="4" t="s">
        <v>665</v>
      </c>
      <c r="G6" s="4" t="s">
        <v>666</v>
      </c>
      <c r="H6" s="4" t="s">
        <v>667</v>
      </c>
      <c r="I6" s="4" t="s">
        <v>668</v>
      </c>
      <c r="J6" s="4" t="s">
        <v>669</v>
      </c>
      <c r="K6" s="4" t="s">
        <v>670</v>
      </c>
      <c r="L6" s="4" t="s">
        <v>671</v>
      </c>
      <c r="M6" s="4" t="s">
        <v>672</v>
      </c>
      <c r="N6" s="4" t="s">
        <v>673</v>
      </c>
      <c r="O6" s="4" t="s">
        <v>674</v>
      </c>
      <c r="P6" s="4" t="s">
        <v>675</v>
      </c>
      <c r="Q6" s="4" t="s">
        <v>676</v>
      </c>
      <c r="R6" s="4" t="s">
        <v>68</v>
      </c>
      <c r="S6" s="4" t="s">
        <v>67</v>
      </c>
      <c r="T6" s="4" t="s">
        <v>677</v>
      </c>
      <c r="U6" s="4" t="s">
        <v>678</v>
      </c>
      <c r="V6" s="4" t="s">
        <v>679</v>
      </c>
      <c r="W6" s="4" t="s">
        <v>680</v>
      </c>
      <c r="X6" s="4" t="s">
        <v>681</v>
      </c>
      <c r="Y6" s="4" t="s">
        <v>682</v>
      </c>
      <c r="Z6" s="4" t="s">
        <v>683</v>
      </c>
      <c r="AA6" s="4" t="s">
        <v>684</v>
      </c>
      <c r="AB6" s="4" t="s">
        <v>685</v>
      </c>
      <c r="AC6" s="4" t="s">
        <v>686</v>
      </c>
      <c r="AD6" s="4" t="s">
        <v>191</v>
      </c>
      <c r="AE6" s="4" t="s">
        <v>687</v>
      </c>
      <c r="AF6" s="4" t="s">
        <v>688</v>
      </c>
      <c r="AG6" s="4" t="s">
        <v>199</v>
      </c>
      <c r="AH6" s="4" t="s">
        <v>689</v>
      </c>
      <c r="AI6" s="4" t="s">
        <v>690</v>
      </c>
      <c r="AJ6" s="4" t="s">
        <v>691</v>
      </c>
      <c r="AK6" s="4" t="s">
        <v>81</v>
      </c>
      <c r="AL6" s="4" t="s">
        <v>692</v>
      </c>
      <c r="AM6" s="4" t="s">
        <v>693</v>
      </c>
      <c r="AN6" s="4" t="s">
        <v>694</v>
      </c>
      <c r="AO6" s="34" t="s">
        <v>741</v>
      </c>
      <c r="AP6" s="34" t="s">
        <v>742</v>
      </c>
      <c r="AQ6" s="34" t="s">
        <v>728</v>
      </c>
    </row>
    <row r="7" spans="1:43" ht="24" customHeight="1">
      <c r="A7" s="1" t="str">
        <f>'Replacement plan'!A7</f>
        <v>T001</v>
      </c>
      <c r="B7" s="1">
        <v>0</v>
      </c>
      <c r="C7" s="1">
        <f>IF(COUNTIFS('Fleet register'!$A$7:$A$106,$A7)=1,VLOOKUP($A7,'Fleet register'!$A$7:$S$106,2,FALSE),0)</f>
        <v>1</v>
      </c>
      <c r="D7" s="1" t="str">
        <f>IF("Keep ICE"="EV","EV","ICE")</f>
        <v>ICE</v>
      </c>
      <c r="E7" s="1">
        <f>IF(C7=0,0,IF('Replacement plan'!$M$7="",VLOOKUP($A7,'Fleet register'!$A$7:$S$106,10,FALSE),'Replacement plan'!$M$7))</f>
        <v>12</v>
      </c>
      <c r="F7" s="16">
        <f>IF(C7=0,0,VLOOKUP($A7,'Fleet register'!$A$7:$S$106,11,FALSE))</f>
        <v>24000</v>
      </c>
      <c r="G7" s="16">
        <f>IFERROR(IF(C7=0,0,IF(E7=120,0,IF(D7="ICE",'Replacement plan'!$C$7,IF('Replacement plan'!$D$7="",INDEX(Products!$I$7:$I$13,MATCH('Replacement plan'!$B$7,Products!$A$7:$A$13,0))+'Operating costs'!$B$57,'Replacement plan'!$D$7))*(1+'Operating costs'!$B$50)^(E7/12))),"n.a.")</f>
        <v>181000</v>
      </c>
      <c r="H7" s="16">
        <f>IFERROR(IF(C7=0,0,IF(E7=0,F7,VLOOKUP($A7,'Fleet register'!$A$7:$S$106,12,FALSE)+VLOOKUP($A7,'Fleet register'!$A$7:$S$106,13,FALSE)*MAX(0,VLOOKUP($A7,'Fleet register'!$A$7:$S$106,10,FALSE)-E7)/VLOOKUP($A7,'Fleet register'!$A$7:$S$106,14,FALSE))),"n.a.")</f>
        <v>10000</v>
      </c>
      <c r="I7" s="16">
        <f>IF(C7=0,0,IF(E7=120,0,'Replacement plan'!$N$7))</f>
        <v>21300</v>
      </c>
      <c r="J7" s="16">
        <f>IF(C7=0,0,IF(P7="Complete",((S7*(R7-'Operating costs'!$B$39))+ROUNDUP(S7*(R7-'Operating costs'!$B$39)*IF('Replacement plan'!$AG$7="",'Operating costs'!$B$7,'Replacement plan'!$AG$7)/('Operating costs'!$B$8-'Operating costs'!$B$9*IF('Replacement plan'!$AG$7="",'Operating costs'!$B$7,'Replacement plan'!$AG$7)),0)*'Operating costs'!$B$9)*IF('Replacement plan'!$AG$7="",'Operating costs'!$B$7,'Replacement plan'!$AG$7)*('Energy and charging'!$B$9*'Energy and charging'!$B$7+(1-'Energy and charging'!$B$9)*'Energy and charging'!$B$8)*'Operating costs'!$B$23,"n.a."))</f>
        <v>9045.6</v>
      </c>
      <c r="K7" s="16">
        <f>IF(C7=0,0,IF(P7="Complete",SUM('Operating costs'!$B$24,'Operating costs'!$B$27,'Operating costs'!$B$29,'Operating costs'!$B$31,'Operating costs'!$B$33,'Operating costs'!$B$34,'Operating costs'!$B$37,'Replacement plan'!$W$7)+'Operating costs'!$B$39*'Operating costs'!$B$42+ROUNDUP(S7*(R7-'Operating costs'!$B$39)*IF('Replacement plan'!$AG$7="",'Operating costs'!$B$7,'Replacement plan'!$AG$7)/('Operating costs'!$B$8-'Operating costs'!$B$9*IF('Replacement plan'!$AG$7="",'Operating costs'!$B$7,'Replacement plan'!$AG$7)),0)*('Operating costs'!$B$9/'Operating costs'!$B$11+'Operating costs'!$B$10/60)*'Operating costs'!$B$19*'Operating costs'!$B$21,"n.a."))</f>
        <v>9105.75</v>
      </c>
      <c r="L7" s="16">
        <f>IF(C7=0,0,IF(P7="Complete",IF(D7="EV",X7*((1-T7)*'Energy and charging'!$B$10+T7*'Energy and charging'!$B$11)*'Operating costs'!$B$22,AA7*('Energy and charging'!$B$9*'Energy and charging'!$B$7+(1-'Energy and charging'!$B$9)*'Energy and charging'!$B$8)*'Operating costs'!$B$23),"n.a."))</f>
        <v>9045.6</v>
      </c>
      <c r="M7" s="37">
        <f>IF(C7=0,0,IF(P7="Complete",IF(D7="ICE",SUM('Operating costs'!$B$25,'Operating costs'!$B$27,'Operating costs'!$B$29,'Operating costs'!$B$31,'Operating costs'!$B$33,'Operating costs'!$B$35,'Operating costs'!$B$37,'Replacement plan'!$X$7)+'Operating costs'!$B$40*'Operating costs'!$B$42+ROUNDUP(S7*(R7-'Operating costs'!$B$40)*IF('Replacement plan'!$AH$7="",'Operating costs'!$B$7,'Replacement plan'!$AH$7)/('Operating costs'!$B$8-'Operating costs'!$B$9*IF('Replacement plan'!$AH$7="",'Operating costs'!$B$7,'Replacement plan'!$AH$7)),0)*('Operating costs'!$B$9/'Operating costs'!$B$11+'Operating costs'!$B$10/60)*'Operating costs'!$B$19*'Operating costs'!$B$21,SUM(AP7,'Operating costs'!$B$28,'Operating costs'!$B$30,'Operating costs'!$B$32,'Operating costs'!$B$33,'Operating costs'!$B$36,'Operating costs'!$B$38,'Replacement plan'!$Y$7)+'Operating costs'!$B$41*'Operating costs'!$B$43+W7*'Operating costs'!$B$15+(T7*X7/'Replacement plan'!$L$7+W7*('Operating costs'!$B$12/'Operating costs'!$B$11+('Operating costs'!$B$13+'Operating costs'!$B$14)/60)+(R7-'Operating costs'!$B$41)*(IF(T7&lt;1,'Operating costs'!$B$16,0)+'Operating costs'!$B$17)/60)*'Operating costs'!$B$19*'Operating costs'!$B$20),"n.a."))</f>
        <v>9105.75</v>
      </c>
      <c r="N7" s="16">
        <f>IF(AND(C7=1,D7="EV",E7&lt;120,E7+'Replacement plan'!$AA$7&lt;=120),'Replacement plan'!$Z$7,0)</f>
        <v>0</v>
      </c>
      <c r="O7" s="1">
        <f>E7+'Replacement plan'!$AA$7</f>
        <v>12</v>
      </c>
      <c r="P7" s="35" t="str">
        <f>IFERROR(IF(C7=0,"Excluded",IF(OR(COUNTIFS('Fleet register'!$A$7:$A$106,A7)&lt;&gt;1,COUNTIFS('Replacement plan'!$A$7:$A$106,A7)&lt;&gt;1),"Duplicate/missing ID",IF(NOT(AND(ISNUMBER(VLOOKUP($A7,'Fleet register'!$A$7:$S$106,5,FALSE)),ISNUMBER(VLOOKUP($A7,'Fleet register'!$A$7:$S$106,6,FALSE)),ISNUMBER(VLOOKUP($A7,'Fleet register'!$A$7:$S$106,10,FALSE)),ISNUMBER(VLOOKUP($A7,'Fleet register'!$A$7:$S$106,11,FALSE)),ISNUMBER(VLOOKUP($A7,'Fleet register'!$A$7:$S$106,12,FALSE)),ISNUMBER(VLOOKUP($A7,'Fleet register'!$A$7:$S$106,13,FALSE)),ISNUMBER(VLOOKUP($A7,'Fleet register'!$A$7:$S$106,14,FALSE)),VLOOKUP($A7,'Fleet register'!$A$7:$S$106,14,FALSE)&gt;0,ISNUMBER('Replacement plan'!$C$7),OR(E7=120,ISNUMBER('Replacement plan'!$N$7)),ISNUMBER(E7))),"Missing vehicle input",IF(OR(E7&lt;0,E7&gt;VLOOKUP($A7,'Fleet register'!$A$7:$S$106,10,FALSE),E7&gt;120,E7&lt;&gt;INT(E7),VLOOKUP($A7,'Fleet register'!$A$7:$S$106,6,FALSE)&lt;=0,VLOOKUP($A7,'Fleet register'!$A$7:$S$106,6,FALSE)&gt;366,VLOOKUP($A7,'Fleet register'!$A$7:$S$106,5,FALSE)&lt;0,VLOOKUP($A7,'Fleet register'!$A$7:$S$106,11,FALSE)&lt;0,I7&lt;0,'Operating costs'!$B$8&lt;='Operating costs'!$B$7*'Operating costs'!$B$9,'Operating costs'!$B$11&lt;=0,'Operating costs'!$B$39&gt;R7,'Operating costs'!$B$40&gt;R7,'Operating costs'!$B$41&gt;R7,NOT(OR("Keep ICE"="Keep ICE","Keep ICE"="New ICE","Keep ICE"="EV"))),"Invalid vehicle input",IF(AND(D7="EV",E7&lt;120,OR(NOT(ISNUMBER(U7)),NOT(ISNUMBER(V7)),V7&lt;=0,T7&lt;0,T7&gt;1,'Replacement plan'!$L$7&lt;=0,'Operating costs'!$B$44&lt;0,'Operating costs'!$B$44&gt;=1,'Operating costs'!$B$47&lt;=0,'Operating costs'!$B$47&gt;1,V7*'Operating costs'!$B$47/(1-'Operating costs'!$B$44)&lt;=T7*'Operating costs'!$B$12*U7,AND('Replacement plan'!$Z$7&gt;0,OR('Replacement plan'!$AB$7&lt;&gt;"Yes",'Operating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charging'!$B$8&gt;=0))),ISNUMBER(VLOOKUP($A7,'Fleet register'!$A$7:$S$106,15,FALSE)),ISNUMBER(VLOOKUP($A7,'Fleet register'!$A$7:$S$106,16,FALSE)),ISNUMBER('Replacement plan'!$W$7),ISNUMBER('Replacement plan'!$X$7),OR(E7=120,AND(ISNUMBER(G7),G7&gt;=0)),ISNUMBER(H7),H7&gt;=0,OR(D7&lt;&gt;"EV",E7=120,AND(ISNUMBER('Operating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plan'!$Y$7),ISNUMBER('Replacement plan'!$Z$7),'Replacement plan'!$Z$7&gt;=0,ISNUMBER('Replacement plan'!$AA$7),'Replacement plan'!$AA$7&gt;=0,'Replacement plan'!$AA$7=INT('Replacement plan'!$AA$7),ISNUMBER('Replacement plan'!$L$7))),'Operating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plan'!$AG$7="",'Operating costs'!$B$7,'Replacement plan'!$AG$7)),IF('Replacement plan'!$AG$7="",'Operating costs'!$B$7,'Replacement plan'!$AG$7)&gt;=0,ISNUMBER(IF('Replacement plan'!$AH$7="",'Operating costs'!$B$7,'Replacement plan'!$AH$7)),IF('Replacement plan'!$AH$7="",'Operating costs'!$B$7,'Replacement plan'!$AH$7)&gt;=0,'Operating costs'!$B$8&gt;MAX(IF('Replacement plan'!$AG$7="",'Operating costs'!$B$7,'Replacement plan'!$AG$7),IF('Replacement plan'!$AH$7="",'Operating costs'!$B$7,'Replacement plan'!$AH$7))*'Operating costs'!$B$9),IF(AND(VLOOKUP($A7,'Fleet register'!$A$7:$S$106,10,FALSE)&gt;=0,VLOOKUP($A7,'Fleet register'!$A$7:$S$106,10,FALSE)&lt;=120,VLOOKUP($A7,'Fleet register'!$A$7:$S$106,10,FALSE)=INT(VLOOKUP($A7,'Fleet register'!$A$7:$S$106,10,FALSE)),VLOOKUP($A7,'Fleet register'!$A$7:$S$106,15,FALSE)&gt;=0,VLOOKUP($A7,'Fleet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costs'!$B$67)&gt;=0,OR(D7&lt;&gt;"EV",E7=120,AND(MIN('Operating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Complete</v>
      </c>
      <c r="Q7" s="1" t="str">
        <f>IF(C7=0,"Excluded",IF(P7&lt;&gt;"Complete",P7,IF(OR('Replacement plan'!$AD$7&lt;120-E7,AND(D7="EV",E7&lt;120,OR('Replacement plan'!$AC$7&lt;120-E7,'Replacement plan'!$I$7="No",AND(ISNUMBER(AF7),AE7&gt;AF7),AI7&gt;V7*(1-'Operating costs'!$B$46)^MAX(0,AB7-1)*(1-'Operating costs'!$B$45),AC7&gt;'Operating costs'!$B$18,AND(T7&lt;1,OR(AG7&lt;=0,AND(ISNUMBER(AH7),AG7&gt;AH7))),'Replacement plan'!$L$7&gt;INDEX(Products!$H$7:$H$13,MATCH('Replacement plan'!$B$7,Products!$A$7:$A$13,0))))),"Fails entered limits",IF(AND(D7="EV",E7&lt;120,OR(NOT(ISNUMBER(VLOOKUP($A7,'Fleet register'!$A$7:$S$106,7,FALSE))),NOT(ISNUMBER(VLOOKUP($A7,'Fleet register'!$A$7:$S$106,8,FALSE))),NOT(ISNUMBER(AF7)),'Replacement plan'!$I$7&lt;&gt;"Yes",NOT(ISNUMBER(AH7)),'Operating costs'!$B$59&lt;&gt;"Yes",'Operating costs'!$B$58&lt;&gt;"Yes")),"Unverified","Within entered limits"))))</f>
        <v>Within entered limits</v>
      </c>
      <c r="R7" s="1">
        <f>IF(C7=0,0,VLOOKUP($A7,'Fleet register'!$A$7:$S$106,6,FALSE))</f>
        <v>300</v>
      </c>
      <c r="S7" s="1">
        <f>IF(C7=0,0,VLOOKUP($A7,'Fleet register'!$A$7:$S$106,5,FALSE))</f>
        <v>150</v>
      </c>
      <c r="T7" s="1">
        <f>IF(D7="EV",'Energy and charging'!$B$12,0)</f>
        <v>0</v>
      </c>
      <c r="U7" s="1">
        <f>IFERROR(IF(C7=0,0,IF(D7="EV",IF('Replacement plan'!$F$7="",INDEX(Products!$E$7:$E$13,MATCH('Replacement plan'!$B$7,Products!$A$7:$A$13,0)),'Replacement plan'!$F$7)/IF('Replacement plan'!$G$7="Battery",1-'Operating costs'!$B$44,1),0)),"n.a.")</f>
        <v>0</v>
      </c>
      <c r="V7" s="1">
        <f>IFERROR(IF(C7=0,0,IF(D7="EV",IF('Replacement plan'!$E$7="",INDEX(Products!$D$7:$D$13,MATCH('Replacement plan'!$B$7,Products!$A$7:$A$13,0)),'Replacement plan'!$E$7),0)),"n.a.")</f>
        <v>0</v>
      </c>
      <c r="W7" s="1">
        <f>IF(C7=0,0,IF(AND(P7="Complete",D7="EV",E7&lt;120),IF(T7=0,0,ROUNDUP(T7*(R7-'Operating costs'!$B$41)*(S7*U7+'Operating costs'!$B$48/(1-'Operating costs'!$B$44))/(V7*'Operating costs'!$B$47/(1-'Operating costs'!$B$44)-T7*'Operating costs'!$B$12*U7),0)),0))</f>
        <v>0</v>
      </c>
      <c r="X7" s="1">
        <f>IF(C7=0,0,IF(AND(P7="Complete",D7="EV",E7&lt;120),(R7-'Operating costs'!$B$41)*(S7*U7+'Operating costs'!$B$48/(1-'Operating costs'!$B$44))+W7*'Operating costs'!$B$12*U7,0))</f>
        <v>0</v>
      </c>
      <c r="Y7" s="1">
        <f>IF(AND(C7=1,D7="EV",E7&lt;120),AI7/(1-'Operating costs'!$B$44)*(1-T7),0)</f>
        <v>0</v>
      </c>
      <c r="Z7" s="1">
        <f t="shared" ref="Z7:Z70" si="0">IF(AND(C7=1,D7="EV",E7&lt;120,T7&lt;1,AG7&gt;0),Y7/AG7,0)</f>
        <v>0</v>
      </c>
      <c r="AA7" s="1">
        <f>IF(C7=0,0,IF(P7="Complete",((S7*(R7-'Operating costs'!$B$40))+ROUNDUP(S7*(R7-'Operating costs'!$B$40)*IF('Replacement plan'!$AH$7="",'Operating costs'!$B$7,'Replacement plan'!$AH$7)/('Operating costs'!$B$8-'Operating costs'!$B$9*IF('Replacement plan'!$AH$7="",'Operating costs'!$B$7,'Replacement plan'!$AH$7)),0)*'Operating costs'!$B$9)*IF('Replacement plan'!$AH$7="",'Operating costs'!$B$7,'Replacement plan'!$AH$7),"n.a."))</f>
        <v>4522.8</v>
      </c>
      <c r="AB7" s="1">
        <f t="shared" ref="AB7:AB70" si="1">IF(D7="EV",(120-E7)/12,0)</f>
        <v>0</v>
      </c>
      <c r="AC7" s="1">
        <f>IF(AND(C7=1,D7="EV",E7&lt;120,T7&gt;0),'Operating costs'!$B$12/'Operating costs'!$B$11*60+'Operating costs'!$B$13+'Operating costs'!$B$14+V7*'Operating costs'!$B$47/(1-'Operating costs'!$B$44)/'Replacement plan'!$L$7*60,0)</f>
        <v>0</v>
      </c>
      <c r="AD7" s="1" t="str">
        <f>'Replacement plan'!$B$7</f>
        <v>ChengLong L2EV</v>
      </c>
      <c r="AE7" s="1">
        <f>IF(C7=0,0,VLOOKUP($A7,'Fleet register'!$A$7:$S$106,8,FALSE))</f>
        <v>1200</v>
      </c>
      <c r="AF7" s="1" t="str">
        <f>IF('Replacement plan'!$H$7="","n.a.",'Replacement plan'!$H$7)</f>
        <v>n.a.</v>
      </c>
      <c r="AG7" s="1">
        <f>'Replacement plan'!$J$7</f>
        <v>22</v>
      </c>
      <c r="AH7" s="1">
        <f>IFERROR(IF(D7="EV",IF('Replacement plan'!$K$7="AC",IF(ISNUMBER(INDEX(Products!$G$7:$G$13,MATCH('Replacement plan'!$B$7,Products!$A$7:$A$13,0))),INDEX(Products!$G$7:$G$13,MATCH('Replacement plan'!$B$7,Products!$A$7:$A$13,0)),"n.a."),IF(ISNUMBER(INDEX(Products!$H$7:$H$13,MATCH('Replacement plan'!$B$7,Products!$A$7:$A$13,0))),INDEX(Products!$H$7:$H$13,MATCH('Replacement plan'!$B$7,Products!$A$7:$A$13,0)),"n.a.")),0),"n.a.")</f>
        <v>0</v>
      </c>
      <c r="AI7" s="1">
        <f>IF(AND(C7=1,D7="EV",E7&lt;120),(VLOOKUP($A7,'Fleet register'!$A$7:$S$106,7,FALSE)+IF(T7&gt;0,'Operating costs'!$B$12,0))*U7*(1-'Operating costs'!$B$44)+'Operating costs'!$B$49,0)</f>
        <v>0</v>
      </c>
      <c r="AJ7" s="1">
        <f>IF(D7="EV",'Energy and charging'!$B$50,0)</f>
        <v>0</v>
      </c>
      <c r="AK7" s="17">
        <f>EDATE('Operating costs'!$B$63,E7)</f>
        <v>46663</v>
      </c>
      <c r="AL7" s="1">
        <f>IFERROR(IF(D7="EV",INDEX(Products!$B$7:$B$13,MATCH('Replacement plan'!$B$7,Products!$A$7:$A$13,0)),0),"n.a.")</f>
        <v>0</v>
      </c>
      <c r="AM7" s="1" t="str">
        <f>'Replacement plan'!$K$7</f>
        <v>DC</v>
      </c>
      <c r="AN7" s="1" t="str">
        <f>'Replacement plan'!$AE$7</f>
        <v>Assumed</v>
      </c>
      <c r="AO7" s="47">
        <f>IF(AND(C7=1,D7="EV",E7&lt;120),(R7-'Operating costs'!$B$41)*S7+W7*'Operating costs'!$B$12,0)</f>
        <v>0</v>
      </c>
      <c r="AP7" s="41">
        <f>IF(AND(C7=1,D7="EV",E7&lt;120),IF('Operating costs'!$B$68="Hong Seh 200k average",AO7*IFERROR(INDEX(Products!$P$7:$P$13,MATCH(AD7,Products!$A$7:$A$13,0)),"n.a."),'Operating costs'!$B$26),0)</f>
        <v>0</v>
      </c>
      <c r="AQ7" s="40" t="str">
        <f>IF(D7="EV",'Operating costs'!$B$68,"Not applicable")</f>
        <v>Not applicable</v>
      </c>
    </row>
    <row r="8" spans="1:43" ht="24" customHeight="1">
      <c r="A8" s="1" t="str">
        <f>'Replacement plan'!A7</f>
        <v>T001</v>
      </c>
      <c r="B8" s="1">
        <v>1</v>
      </c>
      <c r="C8" s="1">
        <f>IF(COUNTIFS('Fleet register'!$A$7:$A$106,$A8)=1,VLOOKUP($A8,'Fleet register'!$A$7:$S$106,2,FALSE),0)</f>
        <v>1</v>
      </c>
      <c r="D8" s="1" t="str">
        <f>IF("New ICE"="EV","EV","ICE")</f>
        <v>ICE</v>
      </c>
      <c r="E8" s="1">
        <f>IF(C8=0,0,0)</f>
        <v>0</v>
      </c>
      <c r="F8" s="16">
        <f>IF(C8=0,0,VLOOKUP($A8,'Fleet register'!$A$7:$S$106,11,FALSE))</f>
        <v>24000</v>
      </c>
      <c r="G8" s="16">
        <f>IFERROR(IF(C8=0,0,IF(E8=120,0,IF(D8="ICE",'Replacement plan'!$C$7,IF('Replacement plan'!$D$7="",INDEX(Products!$I$7:$I$13,MATCH('Replacement plan'!$B$7,Products!$A$7:$A$13,0))+'Operating costs'!$B$57,'Replacement plan'!$D$7))*(1+'Operating costs'!$B$50)^(E8/12))),"n.a.")</f>
        <v>181000</v>
      </c>
      <c r="H8" s="16">
        <f>IFERROR(IF(C8=0,0,IF(E8=0,F8,VLOOKUP($A8,'Fleet register'!$A$7:$S$106,12,FALSE)+VLOOKUP($A8,'Fleet register'!$A$7:$S$106,13,FALSE)*MAX(0,VLOOKUP($A8,'Fleet register'!$A$7:$S$106,10,FALSE)-E8)/VLOOKUP($A8,'Fleet register'!$A$7:$S$106,14,FALSE))),"n.a.")</f>
        <v>24000</v>
      </c>
      <c r="I8" s="16">
        <f>IF(C8=0,0,IF(E8=120,0,IF('Replacement plan'!$AI$7="",'Operating costs'!$B$56,'Replacement plan'!$AI$7)))</f>
        <v>12000</v>
      </c>
      <c r="J8" s="16">
        <f>IF(C8=0,0,IF(P8="Complete",((S8*(R8-'Operating costs'!$B$39))+ROUNDUP(S8*(R8-'Operating costs'!$B$39)*IF('Replacement plan'!$AG$7="",'Operating costs'!$B$7,'Replacement plan'!$AG$7)/('Operating costs'!$B$8-'Operating costs'!$B$9*IF('Replacement plan'!$AG$7="",'Operating costs'!$B$7,'Replacement plan'!$AG$7)),0)*'Operating costs'!$B$9)*IF('Replacement plan'!$AG$7="",'Operating costs'!$B$7,'Replacement plan'!$AG$7)*('Energy and charging'!$B$9*'Energy and charging'!$B$7+(1-'Energy and charging'!$B$9)*'Energy and charging'!$B$8)*'Operating costs'!$B$23,"n.a."))</f>
        <v>9045.6</v>
      </c>
      <c r="K8" s="16">
        <f>IF(C8=0,0,IF(P8="Complete",SUM('Operating costs'!$B$24,'Operating costs'!$B$27,'Operating costs'!$B$29,'Operating costs'!$B$31,'Operating costs'!$B$33,'Operating costs'!$B$34,'Operating costs'!$B$37,'Replacement plan'!$W$7)+'Operating costs'!$B$39*'Operating costs'!$B$42+ROUNDUP(S8*(R8-'Operating costs'!$B$39)*IF('Replacement plan'!$AG$7="",'Operating costs'!$B$7,'Replacement plan'!$AG$7)/('Operating costs'!$B$8-'Operating costs'!$B$9*IF('Replacement plan'!$AG$7="",'Operating costs'!$B$7,'Replacement plan'!$AG$7)),0)*('Operating costs'!$B$9/'Operating costs'!$B$11+'Operating costs'!$B$10/60)*'Operating costs'!$B$19*'Operating costs'!$B$21,"n.a."))</f>
        <v>9105.75</v>
      </c>
      <c r="L8" s="16">
        <f>IF(C8=0,0,IF(P8="Complete",IF(D8="EV",X8*((1-T8)*'Energy and charging'!$B$10+T8*'Energy and charging'!$B$11)*'Operating costs'!$B$22,AA8*('Energy and charging'!$B$9*'Energy and charging'!$B$7+(1-'Energy and charging'!$B$9)*'Energy and charging'!$B$8)*'Operating costs'!$B$23),"n.a."))</f>
        <v>9045.6</v>
      </c>
      <c r="M8" s="37">
        <f>IF(C8=0,0,IF(P8="Complete",IF(D8="ICE",SUM('Operating costs'!$B$25,'Operating costs'!$B$27,'Operating costs'!$B$29,'Operating costs'!$B$31,'Operating costs'!$B$33,'Operating costs'!$B$35,'Operating costs'!$B$37,'Replacement plan'!$X$7)+'Operating costs'!$B$40*'Operating costs'!$B$42+ROUNDUP(S8*(R8-'Operating costs'!$B$40)*IF('Replacement plan'!$AH$7="",'Operating costs'!$B$7,'Replacement plan'!$AH$7)/('Operating costs'!$B$8-'Operating costs'!$B$9*IF('Replacement plan'!$AH$7="",'Operating costs'!$B$7,'Replacement plan'!$AH$7)),0)*('Operating costs'!$B$9/'Operating costs'!$B$11+'Operating costs'!$B$10/60)*'Operating costs'!$B$19*'Operating costs'!$B$21,SUM(AP8,'Operating costs'!$B$28,'Operating costs'!$B$30,'Operating costs'!$B$32,'Operating costs'!$B$33,'Operating costs'!$B$36,'Operating costs'!$B$38,'Replacement plan'!$Y$7)+'Operating costs'!$B$41*'Operating costs'!$B$43+W8*'Operating costs'!$B$15+(T8*X8/'Replacement plan'!$L$7+W8*('Operating costs'!$B$12/'Operating costs'!$B$11+('Operating costs'!$B$13+'Operating costs'!$B$14)/60)+(R8-'Operating costs'!$B$41)*(IF(T8&lt;1,'Operating costs'!$B$16,0)+'Operating costs'!$B$17)/60)*'Operating costs'!$B$19*'Operating costs'!$B$20),"n.a."))</f>
        <v>9105.75</v>
      </c>
      <c r="N8" s="16">
        <f>IF(AND(C8=1,D8="EV",E8&lt;120,E8+'Replacement plan'!$AA$7&lt;=120),'Replacement plan'!$Z$7,0)</f>
        <v>0</v>
      </c>
      <c r="O8" s="1">
        <f>E8+'Replacement plan'!$AA$7</f>
        <v>0</v>
      </c>
      <c r="P8" s="35" t="str">
        <f>IFERROR(IF(C8=0,"Excluded",IF(OR(COUNTIFS('Fleet register'!$A$7:$A$106,A8)&lt;&gt;1,COUNTIFS('Replacement plan'!$A$7:$A$106,A8)&lt;&gt;1),"Duplicate/missing ID",IF(NOT(AND(ISNUMBER(VLOOKUP($A8,'Fleet register'!$A$7:$S$106,5,FALSE)),ISNUMBER(VLOOKUP($A8,'Fleet register'!$A$7:$S$106,6,FALSE)),ISNUMBER(VLOOKUP($A8,'Fleet register'!$A$7:$S$106,10,FALSE)),ISNUMBER(VLOOKUP($A8,'Fleet register'!$A$7:$S$106,11,FALSE)),ISNUMBER(VLOOKUP($A8,'Fleet register'!$A$7:$S$106,12,FALSE)),ISNUMBER(VLOOKUP($A8,'Fleet register'!$A$7:$S$106,13,FALSE)),ISNUMBER(VLOOKUP($A8,'Fleet register'!$A$7:$S$106,14,FALSE)),VLOOKUP($A8,'Fleet register'!$A$7:$S$106,14,FALSE)&gt;0,ISNUMBER('Replacement plan'!$C$7),OR(E8=120,OR(ISNUMBER('Replacement plan'!$AI$7),AND('Replacement plan'!$AI$7="",ISNUMBER('Operating costs'!$B$56)))),ISNUMBER(E8))),"Missing vehicle input",IF(OR(E8&lt;0,E8&gt;VLOOKUP($A8,'Fleet register'!$A$7:$S$106,10,FALSE),E8&gt;120,E8&lt;&gt;INT(E8),VLOOKUP($A8,'Fleet register'!$A$7:$S$106,6,FALSE)&lt;=0,VLOOKUP($A8,'Fleet register'!$A$7:$S$106,6,FALSE)&gt;366,VLOOKUP($A8,'Fleet register'!$A$7:$S$106,5,FALSE)&lt;0,VLOOKUP($A8,'Fleet register'!$A$7:$S$106,11,FALSE)&lt;0,I8&lt;0,'Operating costs'!$B$8&lt;='Operating costs'!$B$7*'Operating costs'!$B$9,'Operating costs'!$B$11&lt;=0,'Operating costs'!$B$39&gt;R8,'Operating costs'!$B$40&gt;R8,'Operating costs'!$B$41&gt;R8,NOT(OR("New ICE"="Keep ICE","New ICE"="New ICE","New ICE"="EV"))),"Invalid vehicle input",IF(AND(D8="EV",E8&lt;120,OR(NOT(ISNUMBER(U8)),NOT(ISNUMBER(V8)),V8&lt;=0,T8&lt;0,T8&gt;1,'Replacement plan'!$L$7&lt;=0,'Operating costs'!$B$44&lt;0,'Operating costs'!$B$44&gt;=1,'Operating costs'!$B$47&lt;=0,'Operating costs'!$B$47&gt;1,V8*'Operating costs'!$B$47/(1-'Operating costs'!$B$44)&lt;=T8*'Operating costs'!$B$12*U8,AND('Replacement plan'!$Z$7&gt;0,OR('Replacement plan'!$AB$7&lt;&gt;"Yes",'Operating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charging'!$B$8&gt;=0))),ISNUMBER(VLOOKUP($A8,'Fleet register'!$A$7:$S$106,15,FALSE)),ISNUMBER(VLOOKUP($A8,'Fleet register'!$A$7:$S$106,16,FALSE)),ISNUMBER('Replacement plan'!$W$7),ISNUMBER('Replacement plan'!$X$7),OR(E8=120,AND(ISNUMBER(G8),G8&gt;=0)),ISNUMBER(H8),H8&gt;=0,OR(D8&lt;&gt;"EV",E8=120,AND(ISNUMBER('Operating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plan'!$Y$7),ISNUMBER('Replacement plan'!$Z$7),'Replacement plan'!$Z$7&gt;=0,ISNUMBER('Replacement plan'!$AA$7),'Replacement plan'!$AA$7&gt;=0,'Replacement plan'!$AA$7=INT('Replacement plan'!$AA$7),ISNUMBER('Replacement plan'!$L$7))),'Operating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plan'!$AG$7="",'Operating costs'!$B$7,'Replacement plan'!$AG$7)),IF('Replacement plan'!$AG$7="",'Operating costs'!$B$7,'Replacement plan'!$AG$7)&gt;=0,ISNUMBER(IF('Replacement plan'!$AH$7="",'Operating costs'!$B$7,'Replacement plan'!$AH$7)),IF('Replacement plan'!$AH$7="",'Operating costs'!$B$7,'Replacement plan'!$AH$7)&gt;=0,'Operating costs'!$B$8&gt;MAX(IF('Replacement plan'!$AG$7="",'Operating costs'!$B$7,'Replacement plan'!$AG$7),IF('Replacement plan'!$AH$7="",'Operating costs'!$B$7,'Replacement plan'!$AH$7))*'Operating costs'!$B$9),IF(AND(VLOOKUP($A8,'Fleet register'!$A$7:$S$106,10,FALSE)&gt;=0,VLOOKUP($A8,'Fleet register'!$A$7:$S$106,10,FALSE)&lt;=120,VLOOKUP($A8,'Fleet register'!$A$7:$S$106,10,FALSE)=INT(VLOOKUP($A8,'Fleet register'!$A$7:$S$106,10,FALSE)),VLOOKUP($A8,'Fleet register'!$A$7:$S$106,15,FALSE)&gt;=0,VLOOKUP($A8,'Fleet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costs'!$B$67)&gt;=0,OR(D8&lt;&gt;"EV",E8=120,AND(MIN('Operating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Complete</v>
      </c>
      <c r="Q8" s="1" t="str">
        <f>IF(C8=0,"Excluded",IF(P8&lt;&gt;"Complete",P8,IF(OR('Replacement plan'!$AD$7&lt;120-E8,AND(D8="EV",E8&lt;120,OR('Replacement plan'!$AC$7&lt;120-E8,'Replacement plan'!$I$7="No",AND(ISNUMBER(AF8),AE8&gt;AF8),AI8&gt;V8*(1-'Operating costs'!$B$46)^MAX(0,AB8-1)*(1-'Operating costs'!$B$45),AC8&gt;'Operating costs'!$B$18,AND(T8&lt;1,OR(AG8&lt;=0,AND(ISNUMBER(AH8),AG8&gt;AH8))),'Replacement plan'!$L$7&gt;INDEX(Products!$H$7:$H$13,MATCH('Replacement plan'!$B$7,Products!$A$7:$A$13,0))))),"Fails entered limits",IF(AND(D8="EV",E8&lt;120,OR(NOT(ISNUMBER(VLOOKUP($A8,'Fleet register'!$A$7:$S$106,7,FALSE))),NOT(ISNUMBER(VLOOKUP($A8,'Fleet register'!$A$7:$S$106,8,FALSE))),NOT(ISNUMBER(AF8)),'Replacement plan'!$I$7&lt;&gt;"Yes",NOT(ISNUMBER(AH8)),'Operating costs'!$B$59&lt;&gt;"Yes",'Operating costs'!$B$58&lt;&gt;"Yes")),"Unverified","Within entered limits"))))</f>
        <v>Within entered limits</v>
      </c>
      <c r="R8" s="1">
        <f>IF(C8=0,0,VLOOKUP($A8,'Fleet register'!$A$7:$S$106,6,FALSE))</f>
        <v>300</v>
      </c>
      <c r="S8" s="1">
        <f>IF(C8=0,0,VLOOKUP($A8,'Fleet register'!$A$7:$S$106,5,FALSE))</f>
        <v>150</v>
      </c>
      <c r="T8" s="1">
        <f>IF(D8="EV",'Energy and charging'!$B$12,0)</f>
        <v>0</v>
      </c>
      <c r="U8" s="1">
        <f>IFERROR(IF(C8=0,0,IF(D8="EV",IF('Replacement plan'!$F$7="",INDEX(Products!$E$7:$E$13,MATCH('Replacement plan'!$B$7,Products!$A$7:$A$13,0)),'Replacement plan'!$F$7)/IF('Replacement plan'!$G$7="Battery",1-'Operating costs'!$B$44,1),0)),"n.a.")</f>
        <v>0</v>
      </c>
      <c r="V8" s="1">
        <f>IFERROR(IF(C8=0,0,IF(D8="EV",IF('Replacement plan'!$E$7="",INDEX(Products!$D$7:$D$13,MATCH('Replacement plan'!$B$7,Products!$A$7:$A$13,0)),'Replacement plan'!$E$7),0)),"n.a.")</f>
        <v>0</v>
      </c>
      <c r="W8" s="1">
        <f>IF(C8=0,0,IF(AND(P8="Complete",D8="EV",E8&lt;120),IF(T8=0,0,ROUNDUP(T8*(R8-'Operating costs'!$B$41)*(S8*U8+'Operating costs'!$B$48/(1-'Operating costs'!$B$44))/(V8*'Operating costs'!$B$47/(1-'Operating costs'!$B$44)-T8*'Operating costs'!$B$12*U8),0)),0))</f>
        <v>0</v>
      </c>
      <c r="X8" s="1">
        <f>IF(C8=0,0,IF(AND(P8="Complete",D8="EV",E8&lt;120),(R8-'Operating costs'!$B$41)*(S8*U8+'Operating costs'!$B$48/(1-'Operating costs'!$B$44))+W8*'Operating costs'!$B$12*U8,0))</f>
        <v>0</v>
      </c>
      <c r="Y8" s="1">
        <f>IF(AND(C8=1,D8="EV",E8&lt;120),AI8/(1-'Operating costs'!$B$44)*(1-T8),0)</f>
        <v>0</v>
      </c>
      <c r="Z8" s="1">
        <f t="shared" si="0"/>
        <v>0</v>
      </c>
      <c r="AA8" s="1">
        <f>IF(C8=0,0,IF(P8="Complete",((S8*(R8-'Operating costs'!$B$40))+ROUNDUP(S8*(R8-'Operating costs'!$B$40)*IF('Replacement plan'!$AH$7="",'Operating costs'!$B$7,'Replacement plan'!$AH$7)/('Operating costs'!$B$8-'Operating costs'!$B$9*IF('Replacement plan'!$AH$7="",'Operating costs'!$B$7,'Replacement plan'!$AH$7)),0)*'Operating costs'!$B$9)*IF('Replacement plan'!$AH$7="",'Operating costs'!$B$7,'Replacement plan'!$AH$7),"n.a."))</f>
        <v>4522.8</v>
      </c>
      <c r="AB8" s="1">
        <f t="shared" si="1"/>
        <v>0</v>
      </c>
      <c r="AC8" s="1">
        <f>IF(AND(C8=1,D8="EV",E8&lt;120,T8&gt;0),'Operating costs'!$B$12/'Operating costs'!$B$11*60+'Operating costs'!$B$13+'Operating costs'!$B$14+V8*'Operating costs'!$B$47/(1-'Operating costs'!$B$44)/'Replacement plan'!$L$7*60,0)</f>
        <v>0</v>
      </c>
      <c r="AD8" s="1" t="str">
        <f>'Replacement plan'!$B$7</f>
        <v>ChengLong L2EV</v>
      </c>
      <c r="AE8" s="1">
        <f>IF(C8=0,0,VLOOKUP($A8,'Fleet register'!$A$7:$S$106,8,FALSE))</f>
        <v>1200</v>
      </c>
      <c r="AF8" s="1" t="str">
        <f>IF('Replacement plan'!$H$7="","n.a.",'Replacement plan'!$H$7)</f>
        <v>n.a.</v>
      </c>
      <c r="AG8" s="1">
        <f>'Replacement plan'!$J$7</f>
        <v>22</v>
      </c>
      <c r="AH8" s="1">
        <f>IFERROR(IF(D8="EV",IF('Replacement plan'!$K$7="AC",IF(ISNUMBER(INDEX(Products!$G$7:$G$13,MATCH('Replacement plan'!$B$7,Products!$A$7:$A$13,0))),INDEX(Products!$G$7:$G$13,MATCH('Replacement plan'!$B$7,Products!$A$7:$A$13,0)),"n.a."),IF(ISNUMBER(INDEX(Products!$H$7:$H$13,MATCH('Replacement plan'!$B$7,Products!$A$7:$A$13,0))),INDEX(Products!$H$7:$H$13,MATCH('Replacement plan'!$B$7,Products!$A$7:$A$13,0)),"n.a.")),0),"n.a.")</f>
        <v>0</v>
      </c>
      <c r="AI8" s="1">
        <f>IF(AND(C8=1,D8="EV",E8&lt;120),(VLOOKUP($A8,'Fleet register'!$A$7:$S$106,7,FALSE)+IF(T8&gt;0,'Operating costs'!$B$12,0))*U8*(1-'Operating costs'!$B$44)+'Operating costs'!$B$49,0)</f>
        <v>0</v>
      </c>
      <c r="AJ8" s="1">
        <f>IF(D8="EV",'Energy and charging'!$B$50,0)</f>
        <v>0</v>
      </c>
      <c r="AK8" s="17">
        <f>EDATE('Operating costs'!$B$63,E8)</f>
        <v>46298</v>
      </c>
      <c r="AL8" s="1">
        <f>IFERROR(IF(D8="EV",INDEX(Products!$B$7:$B$13,MATCH('Replacement plan'!$B$7,Products!$A$7:$A$13,0)),0),"n.a.")</f>
        <v>0</v>
      </c>
      <c r="AM8" s="1" t="str">
        <f>'Replacement plan'!$K$7</f>
        <v>DC</v>
      </c>
      <c r="AN8" s="1" t="str">
        <f>'Replacement plan'!$AE$7</f>
        <v>Assumed</v>
      </c>
      <c r="AO8" s="47">
        <f>IF(AND(C8=1,D8="EV",E8&lt;120),(R8-'Operating costs'!$B$41)*S8+W8*'Operating costs'!$B$12,0)</f>
        <v>0</v>
      </c>
      <c r="AP8" s="41">
        <f>IF(AND(C8=1,D8="EV",E8&lt;120),IF('Operating costs'!$B$68="Hong Seh 200k average",AO8*IFERROR(INDEX(Products!$P$7:$P$13,MATCH(AD8,Products!$A$7:$A$13,0)),"n.a."),'Operating costs'!$B$26),0)</f>
        <v>0</v>
      </c>
      <c r="AQ8" s="40" t="str">
        <f>IF(D8="EV",'Operating costs'!$B$68,"Not applicable")</f>
        <v>Not applicable</v>
      </c>
    </row>
    <row r="9" spans="1:43" ht="24" customHeight="1">
      <c r="A9" s="1" t="str">
        <f>'Replacement plan'!A7</f>
        <v>T001</v>
      </c>
      <c r="B9" s="1">
        <v>2</v>
      </c>
      <c r="C9" s="1">
        <f>IF(COUNTIFS('Fleet register'!$A$7:$A$106,$A9)=1,VLOOKUP($A9,'Fleet register'!$A$7:$S$106,2,FALSE),0)</f>
        <v>1</v>
      </c>
      <c r="D9" s="1" t="str">
        <f>IF('Replacement plan'!$O$7="EV","EV","ICE")</f>
        <v>EV</v>
      </c>
      <c r="E9" s="1">
        <f>IF(C9=0,0,IF('Replacement plan'!$P$7="",IF('Replacement plan'!$O$7="Keep ICE",IF('Replacement plan'!$M$7="",VLOOKUP($A9,'Fleet register'!$A$7:$S$106,10,FALSE),'Replacement plan'!$M$7),0),'Replacement plan'!$P$7))</f>
        <v>0</v>
      </c>
      <c r="F9" s="16">
        <f>IF(C9=0,0,VLOOKUP($A9,'Fleet register'!$A$7:$S$106,11,FALSE))</f>
        <v>24000</v>
      </c>
      <c r="G9" s="16">
        <f>IFERROR(IF(C9=0,0,IF(E9=120,0,IF(D9="ICE",'Replacement plan'!$C$7,IF('Replacement plan'!$D$7="",INDEX(Products!$I$7:$I$13,MATCH('Replacement plan'!$B$7,Products!$A$7:$A$13,0))+'Operating costs'!$B$57,'Replacement plan'!$D$7))*(1+'Operating costs'!$B$50)^(E9/12))),"n.a.")</f>
        <v>171800</v>
      </c>
      <c r="H9" s="16">
        <f>IFERROR(IF(C9=0,0,IF('Replacement plan'!$U$7&lt;&gt;"",'Replacement plan'!$U$7,IF(E9=0,F9,VLOOKUP($A9,'Fleet register'!$A$7:$S$106,12,FALSE)+VLOOKUP($A9,'Fleet register'!$A$7:$S$106,13,FALSE)*MAX(0,VLOOKUP($A9,'Fleet register'!$A$7:$S$106,10,FALSE)-E9)/VLOOKUP($A9,'Fleet register'!$A$7:$S$106,14,FALSE)))),"n.a.")</f>
        <v>24000</v>
      </c>
      <c r="I9" s="16">
        <f>IF(C9=0,0,IF(E9=120,0,'Replacement plan'!$Q$7))</f>
        <v>8000</v>
      </c>
      <c r="J9" s="16">
        <f>IF(C9=0,0,IF(P9="Complete",((S9*(R9-'Operating costs'!$B$39))+ROUNDUP(S9*(R9-'Operating costs'!$B$39)*IF('Replacement plan'!$AG$7="",'Operating costs'!$B$7,'Replacement plan'!$AG$7)/('Operating costs'!$B$8-'Operating costs'!$B$9*IF('Replacement plan'!$AG$7="",'Operating costs'!$B$7,'Replacement plan'!$AG$7)),0)*'Operating costs'!$B$9)*IF('Replacement plan'!$AG$7="",'Operating costs'!$B$7,'Replacement plan'!$AG$7)*('Energy and charging'!$B$9*'Energy and charging'!$B$7+(1-'Energy and charging'!$B$9)*'Energy and charging'!$B$8)*'Operating costs'!$B$23,"n.a."))</f>
        <v>9045.6</v>
      </c>
      <c r="K9" s="16">
        <f>IF(C9=0,0,IF(P9="Complete",SUM('Operating costs'!$B$24,'Operating costs'!$B$27,'Operating costs'!$B$29,'Operating costs'!$B$31,'Operating costs'!$B$33,'Operating costs'!$B$34,'Operating costs'!$B$37,'Replacement plan'!$W$7)+'Operating costs'!$B$39*'Operating costs'!$B$42+ROUNDUP(S9*(R9-'Operating costs'!$B$39)*IF('Replacement plan'!$AG$7="",'Operating costs'!$B$7,'Replacement plan'!$AG$7)/('Operating costs'!$B$8-'Operating costs'!$B$9*IF('Replacement plan'!$AG$7="",'Operating costs'!$B$7,'Replacement plan'!$AG$7)),0)*('Operating costs'!$B$9/'Operating costs'!$B$11+'Operating costs'!$B$10/60)*'Operating costs'!$B$19*'Operating costs'!$B$21,"n.a."))</f>
        <v>9105.75</v>
      </c>
      <c r="L9" s="16">
        <f>IF(C9=0,0,IF(P9="Complete",IF(D9="EV",X9*((1-T9)*'Energy and charging'!$B$10+T9*'Energy and charging'!$B$11)*'Operating costs'!$B$22,AA9*('Energy and charging'!$B$9*'Energy and charging'!$B$7+(1-'Energy and charging'!$B$9)*'Energy and charging'!$B$8)*'Operating costs'!$B$23),"n.a."))</f>
        <v>6111.2285542652298</v>
      </c>
      <c r="M9" s="37">
        <f>IF(C9=0,0,IF(P9="Complete",IF(D9="ICE",SUM('Operating costs'!$B$25,'Operating costs'!$B$27,'Operating costs'!$B$29,'Operating costs'!$B$31,'Operating costs'!$B$33,'Operating costs'!$B$35,'Operating costs'!$B$37,'Replacement plan'!$X$7)+'Operating costs'!$B$40*'Operating costs'!$B$42+ROUNDUP(S9*(R9-'Operating costs'!$B$40)*IF('Replacement plan'!$AH$7="",'Operating costs'!$B$7,'Replacement plan'!$AH$7)/('Operating costs'!$B$8-'Operating costs'!$B$9*IF('Replacement plan'!$AH$7="",'Operating costs'!$B$7,'Replacement plan'!$AH$7)),0)*('Operating costs'!$B$9/'Operating costs'!$B$11+'Operating costs'!$B$10/60)*'Operating costs'!$B$19*'Operating costs'!$B$21,SUM(AP9,'Operating costs'!$B$28,'Operating costs'!$B$30,'Operating costs'!$B$32,'Operating costs'!$B$33,'Operating costs'!$B$36,'Operating costs'!$B$38,'Replacement plan'!$Y$7)+'Operating costs'!$B$41*'Operating costs'!$B$43+W9*'Operating costs'!$B$15+(T9*X9/'Replacement plan'!$L$7+W9*('Operating costs'!$B$12/'Operating costs'!$B$11+('Operating costs'!$B$13+'Operating costs'!$B$14)/60)+(R9-'Operating costs'!$B$41)*(IF(T9&lt;1,'Operating costs'!$B$16,0)+'Operating costs'!$B$17)/60)*'Operating costs'!$B$19*'Operating costs'!$B$20),"n.a."))</f>
        <v>9525.6229632874383</v>
      </c>
      <c r="N9" s="16">
        <f>IF(AND(C9=1,D9="EV",E9&lt;120,E9+'Replacement plan'!$AA$7&lt;=120),'Replacement plan'!$Z$7,0)</f>
        <v>0</v>
      </c>
      <c r="O9" s="1">
        <f>E9+'Replacement plan'!$AA$7</f>
        <v>0</v>
      </c>
      <c r="P9" s="35" t="str">
        <f>IFERROR(IF(C9=0,"Excluded",IF(OR(COUNTIFS('Fleet register'!$A$7:$A$106,A9)&lt;&gt;1,COUNTIFS('Replacement plan'!$A$7:$A$106,A9)&lt;&gt;1),"Duplicate/missing ID",IF(NOT(AND(ISNUMBER(VLOOKUP($A9,'Fleet register'!$A$7:$S$106,5,FALSE)),ISNUMBER(VLOOKUP($A9,'Fleet register'!$A$7:$S$106,6,FALSE)),ISNUMBER(VLOOKUP($A9,'Fleet register'!$A$7:$S$106,10,FALSE)),ISNUMBER(VLOOKUP($A9,'Fleet register'!$A$7:$S$106,11,FALSE)),ISNUMBER(VLOOKUP($A9,'Fleet register'!$A$7:$S$106,12,FALSE)),ISNUMBER(VLOOKUP($A9,'Fleet register'!$A$7:$S$106,13,FALSE)),ISNUMBER(VLOOKUP($A9,'Fleet register'!$A$7:$S$106,14,FALSE)),VLOOKUP($A9,'Fleet register'!$A$7:$S$106,14,FALSE)&gt;0,ISNUMBER('Replacement plan'!$C$7),OR(E9=120,ISNUMBER('Replacement plan'!$Q$7)),ISNUMBER(E9))),"Missing vehicle input",IF(OR(E9&lt;0,E9&gt;VLOOKUP($A9,'Fleet register'!$A$7:$S$106,10,FALSE),E9&gt;120,E9&lt;&gt;INT(E9),VLOOKUP($A9,'Fleet register'!$A$7:$S$106,6,FALSE)&lt;=0,VLOOKUP($A9,'Fleet register'!$A$7:$S$106,6,FALSE)&gt;366,VLOOKUP($A9,'Fleet register'!$A$7:$S$106,5,FALSE)&lt;0,VLOOKUP($A9,'Fleet register'!$A$7:$S$106,11,FALSE)&lt;0,I9&lt;0,'Operating costs'!$B$8&lt;='Operating costs'!$B$7*'Operating costs'!$B$9,'Operating costs'!$B$11&lt;=0,'Operating costs'!$B$39&gt;R9,'Operating costs'!$B$40&gt;R9,'Operating costs'!$B$41&gt;R9,NOT(OR('Replacement plan'!$O$7="Keep ICE",'Replacement plan'!$O$7="New ICE",'Replacement plan'!$O$7="EV"))),"Invalid vehicle input",IF(AND(D9="EV",E9&lt;120,OR(NOT(ISNUMBER(U9)),NOT(ISNUMBER(V9)),V9&lt;=0,T9&lt;0,T9&gt;1,'Replacement plan'!$L$7&lt;=0,'Operating costs'!$B$44&lt;0,'Operating costs'!$B$44&gt;=1,'Operating costs'!$B$47&lt;=0,'Operating costs'!$B$47&gt;1,V9*'Operating costs'!$B$47/(1-'Operating costs'!$B$44)&lt;=T9*'Operating costs'!$B$12*U9,AND('Replacement plan'!$Z$7&gt;0,OR('Replacement plan'!$AB$7&lt;&gt;"Yes",'Operating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charging'!$B$8&gt;=0))),ISNUMBER(VLOOKUP($A9,'Fleet register'!$A$7:$S$106,15,FALSE)),ISNUMBER(VLOOKUP($A9,'Fleet register'!$A$7:$S$106,16,FALSE)),ISNUMBER('Replacement plan'!$W$7),ISNUMBER('Replacement plan'!$X$7),OR(E9=120,AND(ISNUMBER(G9),G9&gt;=0)),ISNUMBER(H9),H9&gt;=0,OR(D9&lt;&gt;"EV",E9=120,AND(ISNUMBER('Operating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plan'!$Y$7),ISNUMBER('Replacement plan'!$Z$7),'Replacement plan'!$Z$7&gt;=0,ISNUMBER('Replacement plan'!$AA$7),'Replacement plan'!$AA$7&gt;=0,'Replacement plan'!$AA$7=INT('Replacement plan'!$AA$7),ISNUMBER('Replacement plan'!$L$7))),'Operating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plan'!$AG$7="",'Operating costs'!$B$7,'Replacement plan'!$AG$7)),IF('Replacement plan'!$AG$7="",'Operating costs'!$B$7,'Replacement plan'!$AG$7)&gt;=0,ISNUMBER(IF('Replacement plan'!$AH$7="",'Operating costs'!$B$7,'Replacement plan'!$AH$7)),IF('Replacement plan'!$AH$7="",'Operating costs'!$B$7,'Replacement plan'!$AH$7)&gt;=0,'Operating costs'!$B$8&gt;MAX(IF('Replacement plan'!$AG$7="",'Operating costs'!$B$7,'Replacement plan'!$AG$7),IF('Replacement plan'!$AH$7="",'Operating costs'!$B$7,'Replacement plan'!$AH$7))*'Operating costs'!$B$9),IF(AND(VLOOKUP($A9,'Fleet register'!$A$7:$S$106,10,FALSE)&gt;=0,VLOOKUP($A9,'Fleet register'!$A$7:$S$106,10,FALSE)&lt;=120,VLOOKUP($A9,'Fleet register'!$A$7:$S$106,10,FALSE)=INT(VLOOKUP($A9,'Fleet register'!$A$7:$S$106,10,FALSE)),VLOOKUP($A9,'Fleet register'!$A$7:$S$106,15,FALSE)&gt;=0,VLOOKUP($A9,'Fleet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costs'!$B$67)&gt;=0,OR(D9&lt;&gt;"EV",E9=120,AND(MIN('Operating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Complete</v>
      </c>
      <c r="Q9" s="1" t="str">
        <f>IF(C9=0,"Excluded",IF(P9&lt;&gt;"Complete",P9,IF(OR('Replacement plan'!$AD$7&lt;120-E9,AND(D9="EV",E9&lt;120,OR('Replacement plan'!$AC$7&lt;120-E9,'Replacement plan'!$I$7="No",AND(ISNUMBER(AF9),AE9&gt;AF9),AI9&gt;V9*(1-'Operating costs'!$B$46)^MAX(0,AB9-1)*(1-'Operating costs'!$B$45),AC9&gt;'Operating costs'!$B$18,AND(T9&lt;1,OR(AG9&lt;=0,AND(ISNUMBER(AH9),AG9&gt;AH9))),'Replacement plan'!$L$7&gt;INDEX(Products!$H$7:$H$13,MATCH('Replacement plan'!$B$7,Products!$A$7:$A$13,0))))),"Fails entered limits",IF(AND(D9="EV",E9&lt;120,OR(NOT(ISNUMBER(VLOOKUP($A9,'Fleet register'!$A$7:$S$106,7,FALSE))),NOT(ISNUMBER(VLOOKUP($A9,'Fleet register'!$A$7:$S$106,8,FALSE))),NOT(ISNUMBER(AF9)),'Replacement plan'!$I$7&lt;&gt;"Yes",NOT(ISNUMBER(AH9)),'Operating costs'!$B$59&lt;&gt;"Yes",'Operating costs'!$B$58&lt;&gt;"Yes")),"Unverified","Within entered limits"))))</f>
        <v>Fails entered limits</v>
      </c>
      <c r="R9" s="1">
        <f>IF(C9=0,0,VLOOKUP($A9,'Fleet register'!$A$7:$S$106,6,FALSE))</f>
        <v>300</v>
      </c>
      <c r="S9" s="1">
        <f>IF(C9=0,0,VLOOKUP($A9,'Fleet register'!$A$7:$S$106,5,FALSE))</f>
        <v>150</v>
      </c>
      <c r="T9" s="1">
        <f>IF(D9="EV",'Energy and charging'!$B$12,0)</f>
        <v>0.2</v>
      </c>
      <c r="U9" s="1">
        <f>IFERROR(IF(C9=0,0,IF(D9="EV",IF('Replacement plan'!$F$7="",INDEX(Products!$E$7:$E$13,MATCH('Replacement plan'!$B$7,Products!$A$7:$A$13,0)),'Replacement plan'!$F$7)/IF('Replacement plan'!$G$7="Battery",1-'Operating costs'!$B$44,1),0)),"n.a.")</f>
        <v>0.30041052634319165</v>
      </c>
      <c r="V9" s="1">
        <f>IFERROR(IF(C9=0,0,IF(D9="EV",IF('Replacement plan'!$E$7="",INDEX(Products!$D$7:$D$13,MATCH('Replacement plan'!$B$7,Products!$A$7:$A$13,0)),'Replacement plan'!$E$7),0)),"n.a.")</f>
        <v>86.55</v>
      </c>
      <c r="W9" s="1">
        <f>IF(C9=0,0,IF(AND(P9="Complete",D9="EV",E9&lt;120),IF(T9=0,0,ROUNDUP(T9*(R9-'Operating costs'!$B$41)*(S9*U9+'Operating costs'!$B$48/(1-'Operating costs'!$B$44))/(V9*'Operating costs'!$B$47/(1-'Operating costs'!$B$44)-T9*'Operating costs'!$B$12*U9),0)),0))</f>
        <v>48</v>
      </c>
      <c r="X9" s="1">
        <f>IF(C9=0,0,IF(AND(P9="Complete",D9="EV",E9&lt;120),(R9-'Operating costs'!$B$41)*(S9*U9+'Operating costs'!$B$48/(1-'Operating costs'!$B$44))+W9*'Operating costs'!$B$12*U9,0))</f>
        <v>13633.83132755941</v>
      </c>
      <c r="Y9" s="1">
        <f>IF(AND(C9=1,D9="EV",E9&lt;120),AI9/(1-'Operating costs'!$B$44)*(1-T9),0)</f>
        <v>41.576816845897724</v>
      </c>
      <c r="Z9" s="1">
        <f t="shared" si="0"/>
        <v>1.8898553111771692</v>
      </c>
      <c r="AA9" s="1">
        <f>IF(C9=0,0,IF(P9="Complete",((S9*(R9-'Operating costs'!$B$40))+ROUNDUP(S9*(R9-'Operating costs'!$B$40)*IF('Replacement plan'!$AH$7="",'Operating costs'!$B$7,'Replacement plan'!$AH$7)/('Operating costs'!$B$8-'Operating costs'!$B$9*IF('Replacement plan'!$AH$7="",'Operating costs'!$B$7,'Replacement plan'!$AH$7)),0)*'Operating costs'!$B$9)*IF('Replacement plan'!$AH$7="",'Operating costs'!$B$7,'Replacement plan'!$AH$7),"n.a."))</f>
        <v>4522.8</v>
      </c>
      <c r="AB9" s="1">
        <f t="shared" si="1"/>
        <v>10</v>
      </c>
      <c r="AC9" s="1">
        <f>IF(AND(C9=1,D9="EV",E9&lt;120,T9&gt;0),'Operating costs'!$B$12/'Operating costs'!$B$11*60+'Operating costs'!$B$13+'Operating costs'!$B$14+V9*'Operating costs'!$B$47/(1-'Operating costs'!$B$44)/'Replacement plan'!$L$7*60,0)</f>
        <v>111.32499999999999</v>
      </c>
      <c r="AD9" s="1" t="str">
        <f>'Replacement plan'!$B$7</f>
        <v>ChengLong L2EV</v>
      </c>
      <c r="AE9" s="1">
        <f>IF(C9=0,0,VLOOKUP($A9,'Fleet register'!$A$7:$S$106,8,FALSE))</f>
        <v>1200</v>
      </c>
      <c r="AF9" s="1" t="str">
        <f>IF('Replacement plan'!$H$7="","n.a.",'Replacement plan'!$H$7)</f>
        <v>n.a.</v>
      </c>
      <c r="AG9" s="1">
        <f>'Replacement plan'!$J$7</f>
        <v>22</v>
      </c>
      <c r="AH9" s="1">
        <f>IFERROR(IF(D9="EV",IF('Replacement plan'!$K$7="AC",IF(ISNUMBER(INDEX(Products!$G$7:$G$13,MATCH('Replacement plan'!$B$7,Products!$A$7:$A$13,0))),INDEX(Products!$G$7:$G$13,MATCH('Replacement plan'!$B$7,Products!$A$7:$A$13,0)),"n.a."),IF(ISNUMBER(INDEX(Products!$H$7:$H$13,MATCH('Replacement plan'!$B$7,Products!$A$7:$A$13,0))),INDEX(Products!$H$7:$H$13,MATCH('Replacement plan'!$B$7,Products!$A$7:$A$13,0)),"n.a.")),0),"n.a.")</f>
        <v>120</v>
      </c>
      <c r="AI9" s="1">
        <f>IF(AND(C9=1,D9="EV",E9&lt;120),(VLOOKUP($A9,'Fleet register'!$A$7:$S$106,7,FALSE)+IF(T9&gt;0,'Operating costs'!$B$12,0))*U9*(1-'Operating costs'!$B$44)+'Operating costs'!$B$49,0)</f>
        <v>46.77391895163494</v>
      </c>
      <c r="AJ9" s="1">
        <f>IF(D9="EV",'Energy and charging'!$B$50,0)</f>
        <v>44</v>
      </c>
      <c r="AK9" s="17">
        <f>EDATE('Operating costs'!$B$63,E9)</f>
        <v>46298</v>
      </c>
      <c r="AL9" s="1">
        <f>IFERROR(IF(D9="EV",INDEX(Products!$B$7:$B$13,MATCH('Replacement plan'!$B$7,Products!$A$7:$A$13,0)),0),"n.a.")</f>
        <v>5000</v>
      </c>
      <c r="AM9" s="1" t="str">
        <f>'Replacement plan'!$K$7</f>
        <v>DC</v>
      </c>
      <c r="AN9" s="1" t="str">
        <f>'Replacement plan'!$AE$7</f>
        <v>Assumed</v>
      </c>
      <c r="AO9" s="47">
        <f>IF(AND(C9=1,D9="EV",E9&lt;120),(R9-'Operating costs'!$B$41)*S9+W9*'Operating costs'!$B$12,0)</f>
        <v>45384</v>
      </c>
      <c r="AP9" s="41">
        <f>IF(AND(C9=1,D9="EV",E9&lt;120),IF('Operating costs'!$B$68="Hong Seh 200k average",AO9*IFERROR(INDEX(Products!$P$7:$P$13,MATCH(AD9,Products!$A$7:$A$13,0)),"n.a."),'Operating costs'!$B$26),0)</f>
        <v>745.43219999999997</v>
      </c>
      <c r="AQ9" s="40" t="str">
        <f>IF(D9="EV",'Operating costs'!$B$68,"Not applicable")</f>
        <v>Hong Seh 200k average</v>
      </c>
    </row>
    <row r="10" spans="1:43" ht="24" customHeight="1">
      <c r="A10" s="1" t="str">
        <f>'Replacement plan'!A7</f>
        <v>T001</v>
      </c>
      <c r="B10" s="1">
        <v>3</v>
      </c>
      <c r="C10" s="1">
        <f>IF(COUNTIFS('Fleet register'!$A$7:$A$106,$A10)=1,VLOOKUP($A10,'Fleet register'!$A$7:$S$106,2,FALSE),0)</f>
        <v>1</v>
      </c>
      <c r="D10" s="1" t="str">
        <f>IF('Replacement plan'!$R$7="EV","EV","ICE")</f>
        <v>EV</v>
      </c>
      <c r="E10" s="1">
        <f>IF(C10=0,0,IF('Replacement plan'!$S$7="",IF('Replacement plan'!$R$7="Keep ICE",IF('Replacement plan'!$M$7="",VLOOKUP($A10,'Fleet register'!$A$7:$S$106,10,FALSE),'Replacement plan'!$M$7),0),'Replacement plan'!$S$7))</f>
        <v>0</v>
      </c>
      <c r="F10" s="16">
        <f>IF(C10=0,0,VLOOKUP($A10,'Fleet register'!$A$7:$S$106,11,FALSE))</f>
        <v>24000</v>
      </c>
      <c r="G10" s="16">
        <f>IFERROR(IF(C10=0,0,IF(E10=120,0,IF(D10="ICE",'Replacement plan'!$C$7,IF('Replacement plan'!$D$7="",INDEX(Products!$I$7:$I$13,MATCH('Replacement plan'!$B$7,Products!$A$7:$A$13,0))+'Operating costs'!$B$57,'Replacement plan'!$D$7))*(1+'Operating costs'!$B$50)^(E10/12))),"n.a.")</f>
        <v>171800</v>
      </c>
      <c r="H10" s="16">
        <f>IFERROR(IF(C10=0,0,IF('Replacement plan'!$V$7&lt;&gt;"",'Replacement plan'!$V$7,IF(E10=0,F10,VLOOKUP($A10,'Fleet register'!$A$7:$S$106,12,FALSE)+VLOOKUP($A10,'Fleet register'!$A$7:$S$106,13,FALSE)*MAX(0,VLOOKUP($A10,'Fleet register'!$A$7:$S$106,10,FALSE)-E10)/VLOOKUP($A10,'Fleet register'!$A$7:$S$106,14,FALSE)))),"n.a.")</f>
        <v>24000</v>
      </c>
      <c r="I10" s="16">
        <f>IF(C10=0,0,IF(E10=120,0,'Replacement plan'!$T$7))</f>
        <v>8000</v>
      </c>
      <c r="J10" s="16">
        <f>IF(C10=0,0,IF(P10="Complete",((S10*(R10-'Operating costs'!$B$39))+ROUNDUP(S10*(R10-'Operating costs'!$B$39)*IF('Replacement plan'!$AG$7="",'Operating costs'!$B$7,'Replacement plan'!$AG$7)/('Operating costs'!$B$8-'Operating costs'!$B$9*IF('Replacement plan'!$AG$7="",'Operating costs'!$B$7,'Replacement plan'!$AG$7)),0)*'Operating costs'!$B$9)*IF('Replacement plan'!$AG$7="",'Operating costs'!$B$7,'Replacement plan'!$AG$7)*('Energy and charging'!$C$9*'Energy and charging'!$C$7+(1-'Energy and charging'!$C$9)*'Energy and charging'!$C$8)*'Operating costs'!$B$23,"n.a."))</f>
        <v>9045.6</v>
      </c>
      <c r="K10" s="16">
        <f>IF(C10=0,0,IF(P10="Complete",SUM('Operating costs'!$B$24,'Operating costs'!$B$27,'Operating costs'!$B$29,'Operating costs'!$B$31,'Operating costs'!$B$33,'Operating costs'!$B$34,'Operating costs'!$B$37,'Replacement plan'!$W$7)+'Operating costs'!$B$39*'Operating costs'!$B$42+ROUNDUP(S10*(R10-'Operating costs'!$B$39)*IF('Replacement plan'!$AG$7="",'Operating costs'!$B$7,'Replacement plan'!$AG$7)/('Operating costs'!$B$8-'Operating costs'!$B$9*IF('Replacement plan'!$AG$7="",'Operating costs'!$B$7,'Replacement plan'!$AG$7)),0)*('Operating costs'!$B$9/'Operating costs'!$B$11+'Operating costs'!$B$10/60)*'Operating costs'!$B$19*'Operating costs'!$B$21,"n.a."))</f>
        <v>9105.75</v>
      </c>
      <c r="L10" s="16">
        <f>IF(C10=0,0,IF(P10="Complete",IF(D10="EV",X10*((1-T10)*'Energy and charging'!$C$10+T10*'Energy and charging'!$C$11)*'Operating costs'!$B$22,AA10*('Energy and charging'!$C$9*'Energy and charging'!$C$7+(1-'Energy and charging'!$C$9)*'Energy and charging'!$C$8)*'Operating costs'!$B$23),"n.a."))</f>
        <v>6111.2285542652298</v>
      </c>
      <c r="M10" s="37">
        <f>IF(C10=0,0,IF(P10="Complete",IF(D10="ICE",SUM('Operating costs'!$B$25,'Operating costs'!$B$27,'Operating costs'!$B$29,'Operating costs'!$B$31,'Operating costs'!$B$33,'Operating costs'!$B$35,'Operating costs'!$B$37,'Replacement plan'!$X$7)+'Operating costs'!$B$40*'Operating costs'!$B$42+ROUNDUP(S10*(R10-'Operating costs'!$B$40)*IF('Replacement plan'!$AH$7="",'Operating costs'!$B$7,'Replacement plan'!$AH$7)/('Operating costs'!$B$8-'Operating costs'!$B$9*IF('Replacement plan'!$AH$7="",'Operating costs'!$B$7,'Replacement plan'!$AH$7)),0)*('Operating costs'!$B$9/'Operating costs'!$B$11+'Operating costs'!$B$10/60)*'Operating costs'!$B$19*'Operating costs'!$B$21,SUM(AP10,'Operating costs'!$B$28,'Operating costs'!$B$30,'Operating costs'!$B$32,'Operating costs'!$B$33,'Operating costs'!$B$36,'Operating costs'!$B$38,'Replacement plan'!$Y$7)+'Operating costs'!$B$41*'Operating costs'!$B$43+W10*'Operating costs'!$B$15+(T10*X10/'Replacement plan'!$L$7+W10*('Operating costs'!$B$12/'Operating costs'!$B$11+('Operating costs'!$B$13+'Operating costs'!$B$14)/60)+(R10-'Operating costs'!$B$41)*(IF(T10&lt;1,'Operating costs'!$B$16,0)+'Operating costs'!$B$17)/60)*'Operating costs'!$B$19*'Operating costs'!$B$20),"n.a."))</f>
        <v>9525.6229632874383</v>
      </c>
      <c r="N10" s="16">
        <f>IF(AND(C10=1,D10="EV",E10&lt;120,E10+'Replacement plan'!$AA$7&lt;=120),'Replacement plan'!$Z$7,0)</f>
        <v>0</v>
      </c>
      <c r="O10" s="1">
        <f>E10+'Replacement plan'!$AA$7</f>
        <v>0</v>
      </c>
      <c r="P10" s="35" t="str">
        <f>IFERROR(IF(C10=0,"Excluded",IF(OR(COUNTIFS('Fleet register'!$A$7:$A$106,A10)&lt;&gt;1,COUNTIFS('Replacement plan'!$A$7:$A$106,A10)&lt;&gt;1),"Duplicate/missing ID",IF(NOT(AND(ISNUMBER(VLOOKUP($A10,'Fleet register'!$A$7:$S$106,5,FALSE)),ISNUMBER(VLOOKUP($A10,'Fleet register'!$A$7:$S$106,6,FALSE)),ISNUMBER(VLOOKUP($A10,'Fleet register'!$A$7:$S$106,10,FALSE)),ISNUMBER(VLOOKUP($A10,'Fleet register'!$A$7:$S$106,11,FALSE)),ISNUMBER(VLOOKUP($A10,'Fleet register'!$A$7:$S$106,12,FALSE)),ISNUMBER(VLOOKUP($A10,'Fleet register'!$A$7:$S$106,13,FALSE)),ISNUMBER(VLOOKUP($A10,'Fleet register'!$A$7:$S$106,14,FALSE)),VLOOKUP($A10,'Fleet register'!$A$7:$S$106,14,FALSE)&gt;0,ISNUMBER('Replacement plan'!$C$7),OR(E10=120,ISNUMBER('Replacement plan'!$T$7)),ISNUMBER(E10))),"Missing vehicle input",IF(OR(E10&lt;0,E10&gt;VLOOKUP($A10,'Fleet register'!$A$7:$S$106,10,FALSE),E10&gt;120,E10&lt;&gt;INT(E10),VLOOKUP($A10,'Fleet register'!$A$7:$S$106,6,FALSE)&lt;=0,VLOOKUP($A10,'Fleet register'!$A$7:$S$106,6,FALSE)&gt;366,VLOOKUP($A10,'Fleet register'!$A$7:$S$106,5,FALSE)&lt;0,VLOOKUP($A10,'Fleet register'!$A$7:$S$106,11,FALSE)&lt;0,I10&lt;0,'Operating costs'!$B$8&lt;='Operating costs'!$B$7*'Operating costs'!$B$9,'Operating costs'!$B$11&lt;=0,'Operating costs'!$B$39&gt;R10,'Operating costs'!$B$40&gt;R10,'Operating costs'!$B$41&gt;R10,NOT(OR('Replacement plan'!$R$7="Keep ICE",'Replacement plan'!$R$7="New ICE",'Replacement plan'!$R$7="EV"))),"Invalid vehicle input",IF(AND(D10="EV",E10&lt;120,OR(NOT(ISNUMBER(U10)),NOT(ISNUMBER(V10)),V10&lt;=0,T10&lt;0,T10&gt;1,'Replacement plan'!$L$7&lt;=0,'Operating costs'!$B$44&lt;0,'Operating costs'!$B$44&gt;=1,'Operating costs'!$B$47&lt;=0,'Operating costs'!$B$47&gt;1,V10*'Operating costs'!$B$47/(1-'Operating costs'!$B$44)&lt;=T10*'Operating costs'!$B$12*U10,AND('Replacement plan'!$Z$7&gt;0,OR('Replacement plan'!$AB$7&lt;&gt;"Yes",'Operating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charging'!$C$8&gt;=0))),ISNUMBER(VLOOKUP($A10,'Fleet register'!$A$7:$S$106,15,FALSE)),ISNUMBER(VLOOKUP($A10,'Fleet register'!$A$7:$S$106,16,FALSE)),ISNUMBER('Replacement plan'!$W$7),ISNUMBER('Replacement plan'!$X$7),OR(E10=120,AND(ISNUMBER(G10),G10&gt;=0)),ISNUMBER(H10),H10&gt;=0,OR(D10&lt;&gt;"EV",E10=120,AND(ISNUMBER('Operating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plan'!$Y$7),ISNUMBER('Replacement plan'!$Z$7),'Replacement plan'!$Z$7&gt;=0,ISNUMBER('Replacement plan'!$AA$7),'Replacement plan'!$AA$7&gt;=0,'Replacement plan'!$AA$7=INT('Replacement plan'!$AA$7),ISNUMBER('Replacement plan'!$L$7))),'Operating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plan'!$AG$7="",'Operating costs'!$B$7,'Replacement plan'!$AG$7)),IF('Replacement plan'!$AG$7="",'Operating costs'!$B$7,'Replacement plan'!$AG$7)&gt;=0,ISNUMBER(IF('Replacement plan'!$AH$7="",'Operating costs'!$B$7,'Replacement plan'!$AH$7)),IF('Replacement plan'!$AH$7="",'Operating costs'!$B$7,'Replacement plan'!$AH$7)&gt;=0,'Operating costs'!$B$8&gt;MAX(IF('Replacement plan'!$AG$7="",'Operating costs'!$B$7,'Replacement plan'!$AG$7),IF('Replacement plan'!$AH$7="",'Operating costs'!$B$7,'Replacement plan'!$AH$7))*'Operating costs'!$B$9),IF(AND(VLOOKUP($A10,'Fleet register'!$A$7:$S$106,10,FALSE)&gt;=0,VLOOKUP($A10,'Fleet register'!$A$7:$S$106,10,FALSE)&lt;=120,VLOOKUP($A10,'Fleet register'!$A$7:$S$106,10,FALSE)=INT(VLOOKUP($A10,'Fleet register'!$A$7:$S$106,10,FALSE)),VLOOKUP($A10,'Fleet register'!$A$7:$S$106,15,FALSE)&gt;=0,VLOOKUP($A10,'Fleet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costs'!$B$67)&gt;=0,OR(D10&lt;&gt;"EV",E10=120,AND(MIN('Operating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Complete</v>
      </c>
      <c r="Q10" s="1" t="str">
        <f>IF(C10=0,"Excluded",IF(P10&lt;&gt;"Complete",P10,IF(OR('Replacement plan'!$AD$7&lt;120-E10,AND(D10="EV",E10&lt;120,OR('Replacement plan'!$AC$7&lt;120-E10,'Replacement plan'!$I$7="No",AND(ISNUMBER(AF10),AE10&gt;AF10),AI10&gt;V10*(1-'Operating costs'!$B$46)^MAX(0,AB10-1)*(1-'Operating costs'!$B$45),AC10&gt;'Operating costs'!$B$18,AND(T10&lt;1,OR(AG10&lt;=0,AND(ISNUMBER(AH10),AG10&gt;AH10))),'Replacement plan'!$L$7&gt;INDEX(Products!$H$7:$H$13,MATCH('Replacement plan'!$B$7,Products!$A$7:$A$13,0))))),"Fails entered limits",IF(AND(D10="EV",E10&lt;120,OR(NOT(ISNUMBER(VLOOKUP($A10,'Fleet register'!$A$7:$S$106,7,FALSE))),NOT(ISNUMBER(VLOOKUP($A10,'Fleet register'!$A$7:$S$106,8,FALSE))),NOT(ISNUMBER(AF10)),'Replacement plan'!$I$7&lt;&gt;"Yes",NOT(ISNUMBER(AH10)),'Operating costs'!$B$59&lt;&gt;"Yes",'Operating costs'!$B$58&lt;&gt;"Yes")),"Unverified","Within entered limits"))))</f>
        <v>Fails entered limits</v>
      </c>
      <c r="R10" s="1">
        <f>IF(C10=0,0,VLOOKUP($A10,'Fleet register'!$A$7:$S$106,6,FALSE))</f>
        <v>300</v>
      </c>
      <c r="S10" s="1">
        <f>IF(C10=0,0,VLOOKUP($A10,'Fleet register'!$A$7:$S$106,5,FALSE))</f>
        <v>150</v>
      </c>
      <c r="T10" s="1">
        <f>IF(D10="EV",'Energy and charging'!$C$12,0)</f>
        <v>0.2</v>
      </c>
      <c r="U10" s="1">
        <f>IFERROR(IF(C10=0,0,IF(D10="EV",IF('Replacement plan'!$F$7="",INDEX(Products!$E$7:$E$13,MATCH('Replacement plan'!$B$7,Products!$A$7:$A$13,0)),'Replacement plan'!$F$7)/IF('Replacement plan'!$G$7="Battery",1-'Operating costs'!$B$44,1),0)),"n.a.")</f>
        <v>0.30041052634319165</v>
      </c>
      <c r="V10" s="1">
        <f>IFERROR(IF(C10=0,0,IF(D10="EV",IF('Replacement plan'!$E$7="",INDEX(Products!$D$7:$D$13,MATCH('Replacement plan'!$B$7,Products!$A$7:$A$13,0)),'Replacement plan'!$E$7),0)),"n.a.")</f>
        <v>86.55</v>
      </c>
      <c r="W10" s="1">
        <f>IF(C10=0,0,IF(AND(P10="Complete",D10="EV",E10&lt;120),IF(T10=0,0,ROUNDUP(T10*(R10-'Operating costs'!$B$41)*(S10*U10+'Operating costs'!$B$48/(1-'Operating costs'!$B$44))/(V10*'Operating costs'!$B$47/(1-'Operating costs'!$B$44)-T10*'Operating costs'!$B$12*U10),0)),0))</f>
        <v>48</v>
      </c>
      <c r="X10" s="1">
        <f>IF(C10=0,0,IF(AND(P10="Complete",D10="EV",E10&lt;120),(R10-'Operating costs'!$B$41)*(S10*U10+'Operating costs'!$B$48/(1-'Operating costs'!$B$44))+W10*'Operating costs'!$B$12*U10,0))</f>
        <v>13633.83132755941</v>
      </c>
      <c r="Y10" s="1">
        <f>IF(AND(C10=1,D10="EV",E10&lt;120),AI10/(1-'Operating costs'!$B$44)*(1-T10),0)</f>
        <v>41.576816845897724</v>
      </c>
      <c r="Z10" s="1">
        <f t="shared" si="0"/>
        <v>1.8898553111771692</v>
      </c>
      <c r="AA10" s="1">
        <f>IF(C10=0,0,IF(P10="Complete",((S10*(R10-'Operating costs'!$B$40))+ROUNDUP(S10*(R10-'Operating costs'!$B$40)*IF('Replacement plan'!$AH$7="",'Operating costs'!$B$7,'Replacement plan'!$AH$7)/('Operating costs'!$B$8-'Operating costs'!$B$9*IF('Replacement plan'!$AH$7="",'Operating costs'!$B$7,'Replacement plan'!$AH$7)),0)*'Operating costs'!$B$9)*IF('Replacement plan'!$AH$7="",'Operating costs'!$B$7,'Replacement plan'!$AH$7),"n.a."))</f>
        <v>4522.8</v>
      </c>
      <c r="AB10" s="1">
        <f t="shared" si="1"/>
        <v>10</v>
      </c>
      <c r="AC10" s="1">
        <f>IF(AND(C10=1,D10="EV",E10&lt;120,T10&gt;0),'Operating costs'!$B$12/'Operating costs'!$B$11*60+'Operating costs'!$B$13+'Operating costs'!$B$14+V10*'Operating costs'!$B$47/(1-'Operating costs'!$B$44)/'Replacement plan'!$L$7*60,0)</f>
        <v>111.32499999999999</v>
      </c>
      <c r="AD10" s="1" t="str">
        <f>'Replacement plan'!$B$7</f>
        <v>ChengLong L2EV</v>
      </c>
      <c r="AE10" s="1">
        <f>IF(C10=0,0,VLOOKUP($A10,'Fleet register'!$A$7:$S$106,8,FALSE))</f>
        <v>1200</v>
      </c>
      <c r="AF10" s="1" t="str">
        <f>IF('Replacement plan'!$H$7="","n.a.",'Replacement plan'!$H$7)</f>
        <v>n.a.</v>
      </c>
      <c r="AG10" s="1">
        <f>'Replacement plan'!$J$7</f>
        <v>22</v>
      </c>
      <c r="AH10" s="1">
        <f>IFERROR(IF(D10="EV",IF('Replacement plan'!$K$7="AC",IF(ISNUMBER(INDEX(Products!$G$7:$G$13,MATCH('Replacement plan'!$B$7,Products!$A$7:$A$13,0))),INDEX(Products!$G$7:$G$13,MATCH('Replacement plan'!$B$7,Products!$A$7:$A$13,0)),"n.a."),IF(ISNUMBER(INDEX(Products!$H$7:$H$13,MATCH('Replacement plan'!$B$7,Products!$A$7:$A$13,0))),INDEX(Products!$H$7:$H$13,MATCH('Replacement plan'!$B$7,Products!$A$7:$A$13,0)),"n.a.")),0),"n.a.")</f>
        <v>120</v>
      </c>
      <c r="AI10" s="1">
        <f>IF(AND(C10=1,D10="EV",E10&lt;120),(VLOOKUP($A10,'Fleet register'!$A$7:$S$106,7,FALSE)+IF(T10&gt;0,'Operating costs'!$B$12,0))*U10*(1-'Operating costs'!$B$44)+'Operating costs'!$B$49,0)</f>
        <v>46.77391895163494</v>
      </c>
      <c r="AJ10" s="1">
        <f>IF(D10="EV",'Energy and charging'!$C$50,0)</f>
        <v>44</v>
      </c>
      <c r="AK10" s="17">
        <f>EDATE('Operating costs'!$B$63,E10)</f>
        <v>46298</v>
      </c>
      <c r="AL10" s="1">
        <f>IFERROR(IF(D10="EV",INDEX(Products!$B$7:$B$13,MATCH('Replacement plan'!$B$7,Products!$A$7:$A$13,0)),0),"n.a.")</f>
        <v>5000</v>
      </c>
      <c r="AM10" s="1" t="str">
        <f>'Replacement plan'!$K$7</f>
        <v>DC</v>
      </c>
      <c r="AN10" s="1" t="str">
        <f>'Replacement plan'!$AE$7</f>
        <v>Assumed</v>
      </c>
      <c r="AO10" s="47">
        <f>IF(AND(C10=1,D10="EV",E10&lt;120),(R10-'Operating costs'!$B$41)*S10+W10*'Operating costs'!$B$12,0)</f>
        <v>45384</v>
      </c>
      <c r="AP10" s="41">
        <f>IF(AND(C10=1,D10="EV",E10&lt;120),IF('Operating costs'!$B$68="Hong Seh 200k average",AO10*IFERROR(INDEX(Products!$P$7:$P$13,MATCH(AD10,Products!$A$7:$A$13,0)),"n.a."),'Operating costs'!$B$26),0)</f>
        <v>745.43219999999997</v>
      </c>
      <c r="AQ10" s="40" t="str">
        <f>IF(D10="EV",'Operating costs'!$B$68,"Not applicable")</f>
        <v>Hong Seh 200k average</v>
      </c>
    </row>
    <row r="11" spans="1:43" ht="24" customHeight="1">
      <c r="A11" s="1" t="str">
        <f>'Replacement plan'!A8</f>
        <v>T002</v>
      </c>
      <c r="B11" s="1">
        <v>0</v>
      </c>
      <c r="C11" s="1">
        <f>IF(COUNTIFS('Fleet register'!$A$7:$A$106,$A11)=1,VLOOKUP($A11,'Fleet register'!$A$7:$S$106,2,FALSE),0)</f>
        <v>1</v>
      </c>
      <c r="D11" s="1" t="str">
        <f>IF("Keep ICE"="EV","EV","ICE")</f>
        <v>ICE</v>
      </c>
      <c r="E11" s="1">
        <f>IF(C11=0,0,IF('Replacement plan'!$M$8="",VLOOKUP($A11,'Fleet register'!$A$7:$S$106,10,FALSE),'Replacement plan'!$M$8))</f>
        <v>24</v>
      </c>
      <c r="F11" s="16">
        <f>IF(C11=0,0,VLOOKUP($A11,'Fleet register'!$A$7:$S$106,11,FALSE))</f>
        <v>30000</v>
      </c>
      <c r="G11" s="16">
        <f>IFERROR(IF(C11=0,0,IF(E11=120,0,IF(D11="ICE",'Replacement plan'!$C$8,IF('Replacement plan'!$D$8="",INDEX(Products!$I$7:$I$13,MATCH('Replacement plan'!$B$8,Products!$A$7:$A$13,0))+'Operating costs'!$B$57,'Replacement plan'!$D$8))*(1+'Operating costs'!$B$50)^(E11/12))),"n.a.")</f>
        <v>181000</v>
      </c>
      <c r="H11" s="16">
        <f>IFERROR(IF(C11=0,0,IF(E11=0,F11,VLOOKUP($A11,'Fleet register'!$A$7:$S$106,12,FALSE)+VLOOKUP($A11,'Fleet register'!$A$7:$S$106,13,FALSE)*MAX(0,VLOOKUP($A11,'Fleet register'!$A$7:$S$106,10,FALSE)-E11)/VLOOKUP($A11,'Fleet register'!$A$7:$S$106,14,FALSE))),"n.a.")</f>
        <v>10000</v>
      </c>
      <c r="I11" s="16">
        <f>IF(C11=0,0,IF(E11=120,0,'Replacement plan'!$N$8))</f>
        <v>30600</v>
      </c>
      <c r="J11" s="16">
        <f>IF(C11=0,0,IF(P11="Complete",((S11*(R11-'Operating costs'!$B$39))+ROUNDUP(S11*(R11-'Operating costs'!$B$39)*IF('Replacement plan'!$AG$8="",'Operating costs'!$B$7,'Replacement plan'!$AG$8)/('Operating costs'!$B$8-'Operating costs'!$B$9*IF('Replacement plan'!$AG$8="",'Operating costs'!$B$7,'Replacement plan'!$AG$8)),0)*'Operating costs'!$B$9)*IF('Replacement plan'!$AG$8="",'Operating costs'!$B$7,'Replacement plan'!$AG$8)*('Energy and charging'!$B$9*'Energy and charging'!$B$7+(1-'Energy and charging'!$B$9)*'Energy and charging'!$B$8)*'Operating costs'!$B$23,"n.a."))</f>
        <v>9045.6</v>
      </c>
      <c r="K11" s="16">
        <f>IF(C11=0,0,IF(P11="Complete",SUM('Operating costs'!$B$24,'Operating costs'!$B$27,'Operating costs'!$B$29,'Operating costs'!$B$31,'Operating costs'!$B$33,'Operating costs'!$B$34,'Operating costs'!$B$37,'Replacement plan'!$W$8)+'Operating costs'!$B$39*'Operating costs'!$B$42+ROUNDUP(S11*(R11-'Operating costs'!$B$39)*IF('Replacement plan'!$AG$8="",'Operating costs'!$B$7,'Replacement plan'!$AG$8)/('Operating costs'!$B$8-'Operating costs'!$B$9*IF('Replacement plan'!$AG$8="",'Operating costs'!$B$7,'Replacement plan'!$AG$8)),0)*('Operating costs'!$B$9/'Operating costs'!$B$11+'Operating costs'!$B$10/60)*'Operating costs'!$B$19*'Operating costs'!$B$21,"n.a."))</f>
        <v>9105.75</v>
      </c>
      <c r="L11" s="16">
        <f>IF(C11=0,0,IF(P11="Complete",IF(D11="EV",X11*((1-T11)*'Energy and charging'!$B$10+T11*'Energy and charging'!$B$11)*'Operating costs'!$B$22,AA11*('Energy and charging'!$B$9*'Energy and charging'!$B$7+(1-'Energy and charging'!$B$9)*'Energy and charging'!$B$8)*'Operating costs'!$B$23),"n.a."))</f>
        <v>9045.6</v>
      </c>
      <c r="M11" s="37">
        <f>IF(C11=0,0,IF(P11="Complete",IF(D11="ICE",SUM('Operating costs'!$B$25,'Operating costs'!$B$27,'Operating costs'!$B$29,'Operating costs'!$B$31,'Operating costs'!$B$33,'Operating costs'!$B$35,'Operating costs'!$B$37,'Replacement plan'!$X$8)+'Operating costs'!$B$40*'Operating costs'!$B$42+ROUNDUP(S11*(R11-'Operating costs'!$B$40)*IF('Replacement plan'!$AH$8="",'Operating costs'!$B$7,'Replacement plan'!$AH$8)/('Operating costs'!$B$8-'Operating costs'!$B$9*IF('Replacement plan'!$AH$8="",'Operating costs'!$B$7,'Replacement plan'!$AH$8)),0)*('Operating costs'!$B$9/'Operating costs'!$B$11+'Operating costs'!$B$10/60)*'Operating costs'!$B$19*'Operating costs'!$B$21,SUM(AP11,'Operating costs'!$B$28,'Operating costs'!$B$30,'Operating costs'!$B$32,'Operating costs'!$B$33,'Operating costs'!$B$36,'Operating costs'!$B$38,'Replacement plan'!$Y$8)+'Operating costs'!$B$41*'Operating costs'!$B$43+W11*'Operating costs'!$B$15+(T11*X11/'Replacement plan'!$L$8+W11*('Operating costs'!$B$12/'Operating costs'!$B$11+('Operating costs'!$B$13+'Operating costs'!$B$14)/60)+(R11-'Operating costs'!$B$41)*(IF(T11&lt;1,'Operating costs'!$B$16,0)+'Operating costs'!$B$17)/60)*'Operating costs'!$B$19*'Operating costs'!$B$20),"n.a."))</f>
        <v>9105.75</v>
      </c>
      <c r="N11" s="16">
        <f>IF(AND(C11=1,D11="EV",E11&lt;120,E11+'Replacement plan'!$AA$8&lt;=120),'Replacement plan'!$Z$8,0)</f>
        <v>0</v>
      </c>
      <c r="O11" s="1">
        <f>E11+'Replacement plan'!$AA$8</f>
        <v>24</v>
      </c>
      <c r="P11" s="35" t="str">
        <f>IFERROR(IF(C11=0,"Excluded",IF(OR(COUNTIFS('Fleet register'!$A$7:$A$106,A11)&lt;&gt;1,COUNTIFS('Replacement plan'!$A$7:$A$106,A11)&lt;&gt;1),"Duplicate/missing ID",IF(NOT(AND(ISNUMBER(VLOOKUP($A11,'Fleet register'!$A$7:$S$106,5,FALSE)),ISNUMBER(VLOOKUP($A11,'Fleet register'!$A$7:$S$106,6,FALSE)),ISNUMBER(VLOOKUP($A11,'Fleet register'!$A$7:$S$106,10,FALSE)),ISNUMBER(VLOOKUP($A11,'Fleet register'!$A$7:$S$106,11,FALSE)),ISNUMBER(VLOOKUP($A11,'Fleet register'!$A$7:$S$106,12,FALSE)),ISNUMBER(VLOOKUP($A11,'Fleet register'!$A$7:$S$106,13,FALSE)),ISNUMBER(VLOOKUP($A11,'Fleet register'!$A$7:$S$106,14,FALSE)),VLOOKUP($A11,'Fleet register'!$A$7:$S$106,14,FALSE)&gt;0,ISNUMBER('Replacement plan'!$C$8),OR(E11=120,ISNUMBER('Replacement plan'!$N$8)),ISNUMBER(E11))),"Missing vehicle input",IF(OR(E11&lt;0,E11&gt;VLOOKUP($A11,'Fleet register'!$A$7:$S$106,10,FALSE),E11&gt;120,E11&lt;&gt;INT(E11),VLOOKUP($A11,'Fleet register'!$A$7:$S$106,6,FALSE)&lt;=0,VLOOKUP($A11,'Fleet register'!$A$7:$S$106,6,FALSE)&gt;366,VLOOKUP($A11,'Fleet register'!$A$7:$S$106,5,FALSE)&lt;0,VLOOKUP($A11,'Fleet register'!$A$7:$S$106,11,FALSE)&lt;0,I11&lt;0,'Operating costs'!$B$8&lt;='Operating costs'!$B$7*'Operating costs'!$B$9,'Operating costs'!$B$11&lt;=0,'Operating costs'!$B$39&gt;R11,'Operating costs'!$B$40&gt;R11,'Operating costs'!$B$41&gt;R11,NOT(OR("Keep ICE"="Keep ICE","Keep ICE"="New ICE","Keep ICE"="EV"))),"Invalid vehicle input",IF(AND(D11="EV",E11&lt;120,OR(NOT(ISNUMBER(U11)),NOT(ISNUMBER(V11)),V11&lt;=0,T11&lt;0,T11&gt;1,'Replacement plan'!$L$8&lt;=0,'Operating costs'!$B$44&lt;0,'Operating costs'!$B$44&gt;=1,'Operating costs'!$B$47&lt;=0,'Operating costs'!$B$47&gt;1,V11*'Operating costs'!$B$47/(1-'Operating costs'!$B$44)&lt;=T11*'Operating costs'!$B$12*U11,AND('Replacement plan'!$Z$8&gt;0,OR('Replacement plan'!$AB$8&lt;&gt;"Yes",'Operating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charging'!$B$8&gt;=0))),ISNUMBER(VLOOKUP($A11,'Fleet register'!$A$7:$S$106,15,FALSE)),ISNUMBER(VLOOKUP($A11,'Fleet register'!$A$7:$S$106,16,FALSE)),ISNUMBER('Replacement plan'!$W$8),ISNUMBER('Replacement plan'!$X$8),OR(E11=120,AND(ISNUMBER(G11),G11&gt;=0)),ISNUMBER(H11),H11&gt;=0,OR(D11&lt;&gt;"EV",E11=120,AND(ISNUMBER('Operating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plan'!$Y$8),ISNUMBER('Replacement plan'!$Z$8),'Replacement plan'!$Z$8&gt;=0,ISNUMBER('Replacement plan'!$AA$8),'Replacement plan'!$AA$8&gt;=0,'Replacement plan'!$AA$8=INT('Replacement plan'!$AA$8),ISNUMBER('Replacement plan'!$L$8))),'Operating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plan'!$AG$8="",'Operating costs'!$B$7,'Replacement plan'!$AG$8)),IF('Replacement plan'!$AG$8="",'Operating costs'!$B$7,'Replacement plan'!$AG$8)&gt;=0,ISNUMBER(IF('Replacement plan'!$AH$8="",'Operating costs'!$B$7,'Replacement plan'!$AH$8)),IF('Replacement plan'!$AH$8="",'Operating costs'!$B$7,'Replacement plan'!$AH$8)&gt;=0,'Operating costs'!$B$8&gt;MAX(IF('Replacement plan'!$AG$8="",'Operating costs'!$B$7,'Replacement plan'!$AG$8),IF('Replacement plan'!$AH$8="",'Operating costs'!$B$7,'Replacement plan'!$AH$8))*'Operating costs'!$B$9),IF(AND(VLOOKUP($A11,'Fleet register'!$A$7:$S$106,10,FALSE)&gt;=0,VLOOKUP($A11,'Fleet register'!$A$7:$S$106,10,FALSE)&lt;=120,VLOOKUP($A11,'Fleet register'!$A$7:$S$106,10,FALSE)=INT(VLOOKUP($A11,'Fleet register'!$A$7:$S$106,10,FALSE)),VLOOKUP($A11,'Fleet register'!$A$7:$S$106,15,FALSE)&gt;=0,VLOOKUP($A11,'Fleet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costs'!$B$67)&gt;=0,OR(D11&lt;&gt;"EV",E11=120,AND(MIN('Operating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Complete</v>
      </c>
      <c r="Q11" s="1" t="str">
        <f>IF(C11=0,"Excluded",IF(P11&lt;&gt;"Complete",P11,IF(OR('Replacement plan'!$AD$8&lt;120-E11,AND(D11="EV",E11&lt;120,OR('Replacement plan'!$AC$8&lt;120-E11,'Replacement plan'!$I$8="No",AND(ISNUMBER(AF11),AE11&gt;AF11),AI11&gt;V11*(1-'Operating costs'!$B$46)^MAX(0,AB11-1)*(1-'Operating costs'!$B$45),AC11&gt;'Operating costs'!$B$18,AND(T11&lt;1,OR(AG11&lt;=0,AND(ISNUMBER(AH11),AG11&gt;AH11))),'Replacement plan'!$L$8&gt;INDEX(Products!$H$7:$H$13,MATCH('Replacement plan'!$B$8,Products!$A$7:$A$13,0))))),"Fails entered limits",IF(AND(D11="EV",E11&lt;120,OR(NOT(ISNUMBER(VLOOKUP($A11,'Fleet register'!$A$7:$S$106,7,FALSE))),NOT(ISNUMBER(VLOOKUP($A11,'Fleet register'!$A$7:$S$106,8,FALSE))),NOT(ISNUMBER(AF11)),'Replacement plan'!$I$8&lt;&gt;"Yes",NOT(ISNUMBER(AH11)),'Operating costs'!$B$59&lt;&gt;"Yes",'Operating costs'!$B$58&lt;&gt;"Yes")),"Unverified","Within entered limits"))))</f>
        <v>Within entered limits</v>
      </c>
      <c r="R11" s="1">
        <f>IF(C11=0,0,VLOOKUP($A11,'Fleet register'!$A$7:$S$106,6,FALSE))</f>
        <v>300</v>
      </c>
      <c r="S11" s="1">
        <f>IF(C11=0,0,VLOOKUP($A11,'Fleet register'!$A$7:$S$106,5,FALSE))</f>
        <v>150</v>
      </c>
      <c r="T11" s="1">
        <f>IF(D11="EV",'Energy and charging'!$B$12,0)</f>
        <v>0</v>
      </c>
      <c r="U11" s="1">
        <f>IFERROR(IF(C11=0,0,IF(D11="EV",IF('Replacement plan'!$F$8="",INDEX(Products!$E$7:$E$13,MATCH('Replacement plan'!$B$8,Products!$A$7:$A$13,0)),'Replacement plan'!$F$8)/IF('Replacement plan'!$G$8="Battery",1-'Operating costs'!$B$44,1),0)),"n.a.")</f>
        <v>0</v>
      </c>
      <c r="V11" s="1">
        <f>IFERROR(IF(C11=0,0,IF(D11="EV",IF('Replacement plan'!$E$8="",INDEX(Products!$D$7:$D$13,MATCH('Replacement plan'!$B$8,Products!$A$7:$A$13,0)),'Replacement plan'!$E$8),0)),"n.a.")</f>
        <v>0</v>
      </c>
      <c r="W11" s="1">
        <f>IF(C11=0,0,IF(AND(P11="Complete",D11="EV",E11&lt;120),IF(T11=0,0,ROUNDUP(T11*(R11-'Operating costs'!$B$41)*(S11*U11+'Operating costs'!$B$48/(1-'Operating costs'!$B$44))/(V11*'Operating costs'!$B$47/(1-'Operating costs'!$B$44)-T11*'Operating costs'!$B$12*U11),0)),0))</f>
        <v>0</v>
      </c>
      <c r="X11" s="1">
        <f>IF(C11=0,0,IF(AND(P11="Complete",D11="EV",E11&lt;120),(R11-'Operating costs'!$B$41)*(S11*U11+'Operating costs'!$B$48/(1-'Operating costs'!$B$44))+W11*'Operating costs'!$B$12*U11,0))</f>
        <v>0</v>
      </c>
      <c r="Y11" s="1">
        <f>IF(AND(C11=1,D11="EV",E11&lt;120),AI11/(1-'Operating costs'!$B$44)*(1-T11),0)</f>
        <v>0</v>
      </c>
      <c r="Z11" s="1">
        <f t="shared" si="0"/>
        <v>0</v>
      </c>
      <c r="AA11" s="1">
        <f>IF(C11=0,0,IF(P11="Complete",((S11*(R11-'Operating costs'!$B$40))+ROUNDUP(S11*(R11-'Operating costs'!$B$40)*IF('Replacement plan'!$AH$8="",'Operating costs'!$B$7,'Replacement plan'!$AH$8)/('Operating costs'!$B$8-'Operating costs'!$B$9*IF('Replacement plan'!$AH$8="",'Operating costs'!$B$7,'Replacement plan'!$AH$8)),0)*'Operating costs'!$B$9)*IF('Replacement plan'!$AH$8="",'Operating costs'!$B$7,'Replacement plan'!$AH$8),"n.a."))</f>
        <v>4522.8</v>
      </c>
      <c r="AB11" s="1">
        <f t="shared" si="1"/>
        <v>0</v>
      </c>
      <c r="AC11" s="1">
        <f>IF(AND(C11=1,D11="EV",E11&lt;120,T11&gt;0),'Operating costs'!$B$12/'Operating costs'!$B$11*60+'Operating costs'!$B$13+'Operating costs'!$B$14+V11*'Operating costs'!$B$47/(1-'Operating costs'!$B$44)/'Replacement plan'!$L$8*60,0)</f>
        <v>0</v>
      </c>
      <c r="AD11" s="1" t="str">
        <f>'Replacement plan'!$B$8</f>
        <v>ChengLong L2EV</v>
      </c>
      <c r="AE11" s="1">
        <f>IF(C11=0,0,VLOOKUP($A11,'Fleet register'!$A$7:$S$106,8,FALSE))</f>
        <v>1200</v>
      </c>
      <c r="AF11" s="1" t="str">
        <f>IF('Replacement plan'!$H$8="","n.a.",'Replacement plan'!$H$8)</f>
        <v>n.a.</v>
      </c>
      <c r="AG11" s="1">
        <f>'Replacement plan'!$J$8</f>
        <v>22</v>
      </c>
      <c r="AH11" s="1">
        <f>IFERROR(IF(D11="EV",IF('Replacement plan'!$K$8="AC",IF(ISNUMBER(INDEX(Products!$G$7:$G$13,MATCH('Replacement plan'!$B$8,Products!$A$7:$A$13,0))),INDEX(Products!$G$7:$G$13,MATCH('Replacement plan'!$B$8,Products!$A$7:$A$13,0)),"n.a."),IF(ISNUMBER(INDEX(Products!$H$7:$H$13,MATCH('Replacement plan'!$B$8,Products!$A$7:$A$13,0))),INDEX(Products!$H$7:$H$13,MATCH('Replacement plan'!$B$8,Products!$A$7:$A$13,0)),"n.a.")),0),"n.a.")</f>
        <v>0</v>
      </c>
      <c r="AI11" s="1">
        <f>IF(AND(C11=1,D11="EV",E11&lt;120),(VLOOKUP($A11,'Fleet register'!$A$7:$S$106,7,FALSE)+IF(T11&gt;0,'Operating costs'!$B$12,0))*U11*(1-'Operating costs'!$B$44)+'Operating costs'!$B$49,0)</f>
        <v>0</v>
      </c>
      <c r="AJ11" s="1">
        <f>IF(D11="EV",'Energy and charging'!$B$50,0)</f>
        <v>0</v>
      </c>
      <c r="AK11" s="17">
        <f>EDATE('Operating costs'!$B$63,E11)</f>
        <v>47029</v>
      </c>
      <c r="AL11" s="1">
        <f>IFERROR(IF(D11="EV",INDEX(Products!$B$7:$B$13,MATCH('Replacement plan'!$B$8,Products!$A$7:$A$13,0)),0),"n.a.")</f>
        <v>0</v>
      </c>
      <c r="AM11" s="1" t="str">
        <f>'Replacement plan'!$K$8</f>
        <v>DC</v>
      </c>
      <c r="AN11" s="1" t="str">
        <f>'Replacement plan'!$AE$8</f>
        <v>Assumed</v>
      </c>
      <c r="AO11" s="47">
        <f>IF(AND(C11=1,D11="EV",E11&lt;120),(R11-'Operating costs'!$B$41)*S11+W11*'Operating costs'!$B$12,0)</f>
        <v>0</v>
      </c>
      <c r="AP11" s="41">
        <f>IF(AND(C11=1,D11="EV",E11&lt;120),IF('Operating costs'!$B$68="Hong Seh 200k average",AO11*IFERROR(INDEX(Products!$P$7:$P$13,MATCH(AD11,Products!$A$7:$A$13,0)),"n.a."),'Operating costs'!$B$26),0)</f>
        <v>0</v>
      </c>
      <c r="AQ11" s="40" t="str">
        <f>IF(D11="EV",'Operating costs'!$B$68,"Not applicable")</f>
        <v>Not applicable</v>
      </c>
    </row>
    <row r="12" spans="1:43" ht="24" customHeight="1">
      <c r="A12" s="1" t="str">
        <f>'Replacement plan'!A8</f>
        <v>T002</v>
      </c>
      <c r="B12" s="1">
        <v>1</v>
      </c>
      <c r="C12" s="1">
        <f>IF(COUNTIFS('Fleet register'!$A$7:$A$106,$A12)=1,VLOOKUP($A12,'Fleet register'!$A$7:$S$106,2,FALSE),0)</f>
        <v>1</v>
      </c>
      <c r="D12" s="1" t="str">
        <f>IF("New ICE"="EV","EV","ICE")</f>
        <v>ICE</v>
      </c>
      <c r="E12" s="1">
        <f>IF(C12=0,0,0)</f>
        <v>0</v>
      </c>
      <c r="F12" s="16">
        <f>IF(C12=0,0,VLOOKUP($A12,'Fleet register'!$A$7:$S$106,11,FALSE))</f>
        <v>30000</v>
      </c>
      <c r="G12" s="16">
        <f>IFERROR(IF(C12=0,0,IF(E12=120,0,IF(D12="ICE",'Replacement plan'!$C$8,IF('Replacement plan'!$D$8="",INDEX(Products!$I$7:$I$13,MATCH('Replacement plan'!$B$8,Products!$A$7:$A$13,0))+'Operating costs'!$B$57,'Replacement plan'!$D$8))*(1+'Operating costs'!$B$50)^(E12/12))),"n.a.")</f>
        <v>181000</v>
      </c>
      <c r="H12" s="16">
        <f>IFERROR(IF(C12=0,0,IF(E12=0,F12,VLOOKUP($A12,'Fleet register'!$A$7:$S$106,12,FALSE)+VLOOKUP($A12,'Fleet register'!$A$7:$S$106,13,FALSE)*MAX(0,VLOOKUP($A12,'Fleet register'!$A$7:$S$106,10,FALSE)-E12)/VLOOKUP($A12,'Fleet register'!$A$7:$S$106,14,FALSE))),"n.a.")</f>
        <v>30000</v>
      </c>
      <c r="I12" s="16">
        <f>IF(C12=0,0,IF(E12=120,0,IF('Replacement plan'!$AI$8="",'Operating costs'!$B$56,'Replacement plan'!$AI$8)))</f>
        <v>12000</v>
      </c>
      <c r="J12" s="16">
        <f>IF(C12=0,0,IF(P12="Complete",((S12*(R12-'Operating costs'!$B$39))+ROUNDUP(S12*(R12-'Operating costs'!$B$39)*IF('Replacement plan'!$AG$8="",'Operating costs'!$B$7,'Replacement plan'!$AG$8)/('Operating costs'!$B$8-'Operating costs'!$B$9*IF('Replacement plan'!$AG$8="",'Operating costs'!$B$7,'Replacement plan'!$AG$8)),0)*'Operating costs'!$B$9)*IF('Replacement plan'!$AG$8="",'Operating costs'!$B$7,'Replacement plan'!$AG$8)*('Energy and charging'!$B$9*'Energy and charging'!$B$7+(1-'Energy and charging'!$B$9)*'Energy and charging'!$B$8)*'Operating costs'!$B$23,"n.a."))</f>
        <v>9045.6</v>
      </c>
      <c r="K12" s="16">
        <f>IF(C12=0,0,IF(P12="Complete",SUM('Operating costs'!$B$24,'Operating costs'!$B$27,'Operating costs'!$B$29,'Operating costs'!$B$31,'Operating costs'!$B$33,'Operating costs'!$B$34,'Operating costs'!$B$37,'Replacement plan'!$W$8)+'Operating costs'!$B$39*'Operating costs'!$B$42+ROUNDUP(S12*(R12-'Operating costs'!$B$39)*IF('Replacement plan'!$AG$8="",'Operating costs'!$B$7,'Replacement plan'!$AG$8)/('Operating costs'!$B$8-'Operating costs'!$B$9*IF('Replacement plan'!$AG$8="",'Operating costs'!$B$7,'Replacement plan'!$AG$8)),0)*('Operating costs'!$B$9/'Operating costs'!$B$11+'Operating costs'!$B$10/60)*'Operating costs'!$B$19*'Operating costs'!$B$21,"n.a."))</f>
        <v>9105.75</v>
      </c>
      <c r="L12" s="16">
        <f>IF(C12=0,0,IF(P12="Complete",IF(D12="EV",X12*((1-T12)*'Energy and charging'!$B$10+T12*'Energy and charging'!$B$11)*'Operating costs'!$B$22,AA12*('Energy and charging'!$B$9*'Energy and charging'!$B$7+(1-'Energy and charging'!$B$9)*'Energy and charging'!$B$8)*'Operating costs'!$B$23),"n.a."))</f>
        <v>9045.6</v>
      </c>
      <c r="M12" s="37">
        <f>IF(C12=0,0,IF(P12="Complete",IF(D12="ICE",SUM('Operating costs'!$B$25,'Operating costs'!$B$27,'Operating costs'!$B$29,'Operating costs'!$B$31,'Operating costs'!$B$33,'Operating costs'!$B$35,'Operating costs'!$B$37,'Replacement plan'!$X$8)+'Operating costs'!$B$40*'Operating costs'!$B$42+ROUNDUP(S12*(R12-'Operating costs'!$B$40)*IF('Replacement plan'!$AH$8="",'Operating costs'!$B$7,'Replacement plan'!$AH$8)/('Operating costs'!$B$8-'Operating costs'!$B$9*IF('Replacement plan'!$AH$8="",'Operating costs'!$B$7,'Replacement plan'!$AH$8)),0)*('Operating costs'!$B$9/'Operating costs'!$B$11+'Operating costs'!$B$10/60)*'Operating costs'!$B$19*'Operating costs'!$B$21,SUM(AP12,'Operating costs'!$B$28,'Operating costs'!$B$30,'Operating costs'!$B$32,'Operating costs'!$B$33,'Operating costs'!$B$36,'Operating costs'!$B$38,'Replacement plan'!$Y$8)+'Operating costs'!$B$41*'Operating costs'!$B$43+W12*'Operating costs'!$B$15+(T12*X12/'Replacement plan'!$L$8+W12*('Operating costs'!$B$12/'Operating costs'!$B$11+('Operating costs'!$B$13+'Operating costs'!$B$14)/60)+(R12-'Operating costs'!$B$41)*(IF(T12&lt;1,'Operating costs'!$B$16,0)+'Operating costs'!$B$17)/60)*'Operating costs'!$B$19*'Operating costs'!$B$20),"n.a."))</f>
        <v>9105.75</v>
      </c>
      <c r="N12" s="16">
        <f>IF(AND(C12=1,D12="EV",E12&lt;120,E12+'Replacement plan'!$AA$8&lt;=120),'Replacement plan'!$Z$8,0)</f>
        <v>0</v>
      </c>
      <c r="O12" s="1">
        <f>E12+'Replacement plan'!$AA$8</f>
        <v>0</v>
      </c>
      <c r="P12" s="35" t="str">
        <f>IFERROR(IF(C12=0,"Excluded",IF(OR(COUNTIFS('Fleet register'!$A$7:$A$106,A12)&lt;&gt;1,COUNTIFS('Replacement plan'!$A$7:$A$106,A12)&lt;&gt;1),"Duplicate/missing ID",IF(NOT(AND(ISNUMBER(VLOOKUP($A12,'Fleet register'!$A$7:$S$106,5,FALSE)),ISNUMBER(VLOOKUP($A12,'Fleet register'!$A$7:$S$106,6,FALSE)),ISNUMBER(VLOOKUP($A12,'Fleet register'!$A$7:$S$106,10,FALSE)),ISNUMBER(VLOOKUP($A12,'Fleet register'!$A$7:$S$106,11,FALSE)),ISNUMBER(VLOOKUP($A12,'Fleet register'!$A$7:$S$106,12,FALSE)),ISNUMBER(VLOOKUP($A12,'Fleet register'!$A$7:$S$106,13,FALSE)),ISNUMBER(VLOOKUP($A12,'Fleet register'!$A$7:$S$106,14,FALSE)),VLOOKUP($A12,'Fleet register'!$A$7:$S$106,14,FALSE)&gt;0,ISNUMBER('Replacement plan'!$C$8),OR(E12=120,OR(ISNUMBER('Replacement plan'!$AI$8),AND('Replacement plan'!$AI$8="",ISNUMBER('Operating costs'!$B$56)))),ISNUMBER(E12))),"Missing vehicle input",IF(OR(E12&lt;0,E12&gt;VLOOKUP($A12,'Fleet register'!$A$7:$S$106,10,FALSE),E12&gt;120,E12&lt;&gt;INT(E12),VLOOKUP($A12,'Fleet register'!$A$7:$S$106,6,FALSE)&lt;=0,VLOOKUP($A12,'Fleet register'!$A$7:$S$106,6,FALSE)&gt;366,VLOOKUP($A12,'Fleet register'!$A$7:$S$106,5,FALSE)&lt;0,VLOOKUP($A12,'Fleet register'!$A$7:$S$106,11,FALSE)&lt;0,I12&lt;0,'Operating costs'!$B$8&lt;='Operating costs'!$B$7*'Operating costs'!$B$9,'Operating costs'!$B$11&lt;=0,'Operating costs'!$B$39&gt;R12,'Operating costs'!$B$40&gt;R12,'Operating costs'!$B$41&gt;R12,NOT(OR("New ICE"="Keep ICE","New ICE"="New ICE","New ICE"="EV"))),"Invalid vehicle input",IF(AND(D12="EV",E12&lt;120,OR(NOT(ISNUMBER(U12)),NOT(ISNUMBER(V12)),V12&lt;=0,T12&lt;0,T12&gt;1,'Replacement plan'!$L$8&lt;=0,'Operating costs'!$B$44&lt;0,'Operating costs'!$B$44&gt;=1,'Operating costs'!$B$47&lt;=0,'Operating costs'!$B$47&gt;1,V12*'Operating costs'!$B$47/(1-'Operating costs'!$B$44)&lt;=T12*'Operating costs'!$B$12*U12,AND('Replacement plan'!$Z$8&gt;0,OR('Replacement plan'!$AB$8&lt;&gt;"Yes",'Operating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charging'!$B$8&gt;=0))),ISNUMBER(VLOOKUP($A12,'Fleet register'!$A$7:$S$106,15,FALSE)),ISNUMBER(VLOOKUP($A12,'Fleet register'!$A$7:$S$106,16,FALSE)),ISNUMBER('Replacement plan'!$W$8),ISNUMBER('Replacement plan'!$X$8),OR(E12=120,AND(ISNUMBER(G12),G12&gt;=0)),ISNUMBER(H12),H12&gt;=0,OR(D12&lt;&gt;"EV",E12=120,AND(ISNUMBER('Operating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plan'!$Y$8),ISNUMBER('Replacement plan'!$Z$8),'Replacement plan'!$Z$8&gt;=0,ISNUMBER('Replacement plan'!$AA$8),'Replacement plan'!$AA$8&gt;=0,'Replacement plan'!$AA$8=INT('Replacement plan'!$AA$8),ISNUMBER('Replacement plan'!$L$8))),'Operating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plan'!$AG$8="",'Operating costs'!$B$7,'Replacement plan'!$AG$8)),IF('Replacement plan'!$AG$8="",'Operating costs'!$B$7,'Replacement plan'!$AG$8)&gt;=0,ISNUMBER(IF('Replacement plan'!$AH$8="",'Operating costs'!$B$7,'Replacement plan'!$AH$8)),IF('Replacement plan'!$AH$8="",'Operating costs'!$B$7,'Replacement plan'!$AH$8)&gt;=0,'Operating costs'!$B$8&gt;MAX(IF('Replacement plan'!$AG$8="",'Operating costs'!$B$7,'Replacement plan'!$AG$8),IF('Replacement plan'!$AH$8="",'Operating costs'!$B$7,'Replacement plan'!$AH$8))*'Operating costs'!$B$9),IF(AND(VLOOKUP($A12,'Fleet register'!$A$7:$S$106,10,FALSE)&gt;=0,VLOOKUP($A12,'Fleet register'!$A$7:$S$106,10,FALSE)&lt;=120,VLOOKUP($A12,'Fleet register'!$A$7:$S$106,10,FALSE)=INT(VLOOKUP($A12,'Fleet register'!$A$7:$S$106,10,FALSE)),VLOOKUP($A12,'Fleet register'!$A$7:$S$106,15,FALSE)&gt;=0,VLOOKUP($A12,'Fleet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costs'!$B$67)&gt;=0,OR(D12&lt;&gt;"EV",E12=120,AND(MIN('Operating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Complete</v>
      </c>
      <c r="Q12" s="1" t="str">
        <f>IF(C12=0,"Excluded",IF(P12&lt;&gt;"Complete",P12,IF(OR('Replacement plan'!$AD$8&lt;120-E12,AND(D12="EV",E12&lt;120,OR('Replacement plan'!$AC$8&lt;120-E12,'Replacement plan'!$I$8="No",AND(ISNUMBER(AF12),AE12&gt;AF12),AI12&gt;V12*(1-'Operating costs'!$B$46)^MAX(0,AB12-1)*(1-'Operating costs'!$B$45),AC12&gt;'Operating costs'!$B$18,AND(T12&lt;1,OR(AG12&lt;=0,AND(ISNUMBER(AH12),AG12&gt;AH12))),'Replacement plan'!$L$8&gt;INDEX(Products!$H$7:$H$13,MATCH('Replacement plan'!$B$8,Products!$A$7:$A$13,0))))),"Fails entered limits",IF(AND(D12="EV",E12&lt;120,OR(NOT(ISNUMBER(VLOOKUP($A12,'Fleet register'!$A$7:$S$106,7,FALSE))),NOT(ISNUMBER(VLOOKUP($A12,'Fleet register'!$A$7:$S$106,8,FALSE))),NOT(ISNUMBER(AF12)),'Replacement plan'!$I$8&lt;&gt;"Yes",NOT(ISNUMBER(AH12)),'Operating costs'!$B$59&lt;&gt;"Yes",'Operating costs'!$B$58&lt;&gt;"Yes")),"Unverified","Within entered limits"))))</f>
        <v>Within entered limits</v>
      </c>
      <c r="R12" s="1">
        <f>IF(C12=0,0,VLOOKUP($A12,'Fleet register'!$A$7:$S$106,6,FALSE))</f>
        <v>300</v>
      </c>
      <c r="S12" s="1">
        <f>IF(C12=0,0,VLOOKUP($A12,'Fleet register'!$A$7:$S$106,5,FALSE))</f>
        <v>150</v>
      </c>
      <c r="T12" s="1">
        <f>IF(D12="EV",'Energy and charging'!$B$12,0)</f>
        <v>0</v>
      </c>
      <c r="U12" s="1">
        <f>IFERROR(IF(C12=0,0,IF(D12="EV",IF('Replacement plan'!$F$8="",INDEX(Products!$E$7:$E$13,MATCH('Replacement plan'!$B$8,Products!$A$7:$A$13,0)),'Replacement plan'!$F$8)/IF('Replacement plan'!$G$8="Battery",1-'Operating costs'!$B$44,1),0)),"n.a.")</f>
        <v>0</v>
      </c>
      <c r="V12" s="1">
        <f>IFERROR(IF(C12=0,0,IF(D12="EV",IF('Replacement plan'!$E$8="",INDEX(Products!$D$7:$D$13,MATCH('Replacement plan'!$B$8,Products!$A$7:$A$13,0)),'Replacement plan'!$E$8),0)),"n.a.")</f>
        <v>0</v>
      </c>
      <c r="W12" s="1">
        <f>IF(C12=0,0,IF(AND(P12="Complete",D12="EV",E12&lt;120),IF(T12=0,0,ROUNDUP(T12*(R12-'Operating costs'!$B$41)*(S12*U12+'Operating costs'!$B$48/(1-'Operating costs'!$B$44))/(V12*'Operating costs'!$B$47/(1-'Operating costs'!$B$44)-T12*'Operating costs'!$B$12*U12),0)),0))</f>
        <v>0</v>
      </c>
      <c r="X12" s="1">
        <f>IF(C12=0,0,IF(AND(P12="Complete",D12="EV",E12&lt;120),(R12-'Operating costs'!$B$41)*(S12*U12+'Operating costs'!$B$48/(1-'Operating costs'!$B$44))+W12*'Operating costs'!$B$12*U12,0))</f>
        <v>0</v>
      </c>
      <c r="Y12" s="1">
        <f>IF(AND(C12=1,D12="EV",E12&lt;120),AI12/(1-'Operating costs'!$B$44)*(1-T12),0)</f>
        <v>0</v>
      </c>
      <c r="Z12" s="1">
        <f t="shared" si="0"/>
        <v>0</v>
      </c>
      <c r="AA12" s="1">
        <f>IF(C12=0,0,IF(P12="Complete",((S12*(R12-'Operating costs'!$B$40))+ROUNDUP(S12*(R12-'Operating costs'!$B$40)*IF('Replacement plan'!$AH$8="",'Operating costs'!$B$7,'Replacement plan'!$AH$8)/('Operating costs'!$B$8-'Operating costs'!$B$9*IF('Replacement plan'!$AH$8="",'Operating costs'!$B$7,'Replacement plan'!$AH$8)),0)*'Operating costs'!$B$9)*IF('Replacement plan'!$AH$8="",'Operating costs'!$B$7,'Replacement plan'!$AH$8),"n.a."))</f>
        <v>4522.8</v>
      </c>
      <c r="AB12" s="1">
        <f t="shared" si="1"/>
        <v>0</v>
      </c>
      <c r="AC12" s="1">
        <f>IF(AND(C12=1,D12="EV",E12&lt;120,T12&gt;0),'Operating costs'!$B$12/'Operating costs'!$B$11*60+'Operating costs'!$B$13+'Operating costs'!$B$14+V12*'Operating costs'!$B$47/(1-'Operating costs'!$B$44)/'Replacement plan'!$L$8*60,0)</f>
        <v>0</v>
      </c>
      <c r="AD12" s="1" t="str">
        <f>'Replacement plan'!$B$8</f>
        <v>ChengLong L2EV</v>
      </c>
      <c r="AE12" s="1">
        <f>IF(C12=0,0,VLOOKUP($A12,'Fleet register'!$A$7:$S$106,8,FALSE))</f>
        <v>1200</v>
      </c>
      <c r="AF12" s="1" t="str">
        <f>IF('Replacement plan'!$H$8="","n.a.",'Replacement plan'!$H$8)</f>
        <v>n.a.</v>
      </c>
      <c r="AG12" s="1">
        <f>'Replacement plan'!$J$8</f>
        <v>22</v>
      </c>
      <c r="AH12" s="1">
        <f>IFERROR(IF(D12="EV",IF('Replacement plan'!$K$8="AC",IF(ISNUMBER(INDEX(Products!$G$7:$G$13,MATCH('Replacement plan'!$B$8,Products!$A$7:$A$13,0))),INDEX(Products!$G$7:$G$13,MATCH('Replacement plan'!$B$8,Products!$A$7:$A$13,0)),"n.a."),IF(ISNUMBER(INDEX(Products!$H$7:$H$13,MATCH('Replacement plan'!$B$8,Products!$A$7:$A$13,0))),INDEX(Products!$H$7:$H$13,MATCH('Replacement plan'!$B$8,Products!$A$7:$A$13,0)),"n.a.")),0),"n.a.")</f>
        <v>0</v>
      </c>
      <c r="AI12" s="1">
        <f>IF(AND(C12=1,D12="EV",E12&lt;120),(VLOOKUP($A12,'Fleet register'!$A$7:$S$106,7,FALSE)+IF(T12&gt;0,'Operating costs'!$B$12,0))*U12*(1-'Operating costs'!$B$44)+'Operating costs'!$B$49,0)</f>
        <v>0</v>
      </c>
      <c r="AJ12" s="1">
        <f>IF(D12="EV",'Energy and charging'!$B$50,0)</f>
        <v>0</v>
      </c>
      <c r="AK12" s="17">
        <f>EDATE('Operating costs'!$B$63,E12)</f>
        <v>46298</v>
      </c>
      <c r="AL12" s="1">
        <f>IFERROR(IF(D12="EV",INDEX(Products!$B$7:$B$13,MATCH('Replacement plan'!$B$8,Products!$A$7:$A$13,0)),0),"n.a.")</f>
        <v>0</v>
      </c>
      <c r="AM12" s="1" t="str">
        <f>'Replacement plan'!$K$8</f>
        <v>DC</v>
      </c>
      <c r="AN12" s="1" t="str">
        <f>'Replacement plan'!$AE$8</f>
        <v>Assumed</v>
      </c>
      <c r="AO12" s="47">
        <f>IF(AND(C12=1,D12="EV",E12&lt;120),(R12-'Operating costs'!$B$41)*S12+W12*'Operating costs'!$B$12,0)</f>
        <v>0</v>
      </c>
      <c r="AP12" s="41">
        <f>IF(AND(C12=1,D12="EV",E12&lt;120),IF('Operating costs'!$B$68="Hong Seh 200k average",AO12*IFERROR(INDEX(Products!$P$7:$P$13,MATCH(AD12,Products!$A$7:$A$13,0)),"n.a."),'Operating costs'!$B$26),0)</f>
        <v>0</v>
      </c>
      <c r="AQ12" s="40" t="str">
        <f>IF(D12="EV",'Operating costs'!$B$68,"Not applicable")</f>
        <v>Not applicable</v>
      </c>
    </row>
    <row r="13" spans="1:43" ht="24" customHeight="1">
      <c r="A13" s="1" t="str">
        <f>'Replacement plan'!A8</f>
        <v>T002</v>
      </c>
      <c r="B13" s="1">
        <v>2</v>
      </c>
      <c r="C13" s="1">
        <f>IF(COUNTIFS('Fleet register'!$A$7:$A$106,$A13)=1,VLOOKUP($A13,'Fleet register'!$A$7:$S$106,2,FALSE),0)</f>
        <v>1</v>
      </c>
      <c r="D13" s="1" t="str">
        <f>IF('Replacement plan'!$O$8="EV","EV","ICE")</f>
        <v>ICE</v>
      </c>
      <c r="E13" s="1">
        <f>IF(C13=0,0,IF('Replacement plan'!$P$8="",IF('Replacement plan'!$O$8="Keep ICE",IF('Replacement plan'!$M$8="",VLOOKUP($A13,'Fleet register'!$A$7:$S$106,10,FALSE),'Replacement plan'!$M$8),0),'Replacement plan'!$P$8))</f>
        <v>24</v>
      </c>
      <c r="F13" s="16">
        <f>IF(C13=0,0,VLOOKUP($A13,'Fleet register'!$A$7:$S$106,11,FALSE))</f>
        <v>30000</v>
      </c>
      <c r="G13" s="16">
        <f>IFERROR(IF(C13=0,0,IF(E13=120,0,IF(D13="ICE",'Replacement plan'!$C$8,IF('Replacement plan'!$D$8="",INDEX(Products!$I$7:$I$13,MATCH('Replacement plan'!$B$8,Products!$A$7:$A$13,0))+'Operating costs'!$B$57,'Replacement plan'!$D$8))*(1+'Operating costs'!$B$50)^(E13/12))),"n.a.")</f>
        <v>181000</v>
      </c>
      <c r="H13" s="16">
        <f>IFERROR(IF(C13=0,0,IF('Replacement plan'!$U$8&lt;&gt;"",'Replacement plan'!$U$8,IF(E13=0,F13,VLOOKUP($A13,'Fleet register'!$A$7:$S$106,12,FALSE)+VLOOKUP($A13,'Fleet register'!$A$7:$S$106,13,FALSE)*MAX(0,VLOOKUP($A13,'Fleet register'!$A$7:$S$106,10,FALSE)-E13)/VLOOKUP($A13,'Fleet register'!$A$7:$S$106,14,FALSE)))),"n.a.")</f>
        <v>10000</v>
      </c>
      <c r="I13" s="16">
        <f>IF(C13=0,0,IF(E13=120,0,'Replacement plan'!$Q$8))</f>
        <v>30600</v>
      </c>
      <c r="J13" s="16">
        <f>IF(C13=0,0,IF(P13="Complete",((S13*(R13-'Operating costs'!$B$39))+ROUNDUP(S13*(R13-'Operating costs'!$B$39)*IF('Replacement plan'!$AG$8="",'Operating costs'!$B$7,'Replacement plan'!$AG$8)/('Operating costs'!$B$8-'Operating costs'!$B$9*IF('Replacement plan'!$AG$8="",'Operating costs'!$B$7,'Replacement plan'!$AG$8)),0)*'Operating costs'!$B$9)*IF('Replacement plan'!$AG$8="",'Operating costs'!$B$7,'Replacement plan'!$AG$8)*('Energy and charging'!$B$9*'Energy and charging'!$B$7+(1-'Energy and charging'!$B$9)*'Energy and charging'!$B$8)*'Operating costs'!$B$23,"n.a."))</f>
        <v>9045.6</v>
      </c>
      <c r="K13" s="16">
        <f>IF(C13=0,0,IF(P13="Complete",SUM('Operating costs'!$B$24,'Operating costs'!$B$27,'Operating costs'!$B$29,'Operating costs'!$B$31,'Operating costs'!$B$33,'Operating costs'!$B$34,'Operating costs'!$B$37,'Replacement plan'!$W$8)+'Operating costs'!$B$39*'Operating costs'!$B$42+ROUNDUP(S13*(R13-'Operating costs'!$B$39)*IF('Replacement plan'!$AG$8="",'Operating costs'!$B$7,'Replacement plan'!$AG$8)/('Operating costs'!$B$8-'Operating costs'!$B$9*IF('Replacement plan'!$AG$8="",'Operating costs'!$B$7,'Replacement plan'!$AG$8)),0)*('Operating costs'!$B$9/'Operating costs'!$B$11+'Operating costs'!$B$10/60)*'Operating costs'!$B$19*'Operating costs'!$B$21,"n.a."))</f>
        <v>9105.75</v>
      </c>
      <c r="L13" s="16">
        <f>IF(C13=0,0,IF(P13="Complete",IF(D13="EV",X13*((1-T13)*'Energy and charging'!$B$10+T13*'Energy and charging'!$B$11)*'Operating costs'!$B$22,AA13*('Energy and charging'!$B$9*'Energy and charging'!$B$7+(1-'Energy and charging'!$B$9)*'Energy and charging'!$B$8)*'Operating costs'!$B$23),"n.a."))</f>
        <v>9045.6</v>
      </c>
      <c r="M13" s="37">
        <f>IF(C13=0,0,IF(P13="Complete",IF(D13="ICE",SUM('Operating costs'!$B$25,'Operating costs'!$B$27,'Operating costs'!$B$29,'Operating costs'!$B$31,'Operating costs'!$B$33,'Operating costs'!$B$35,'Operating costs'!$B$37,'Replacement plan'!$X$8)+'Operating costs'!$B$40*'Operating costs'!$B$42+ROUNDUP(S13*(R13-'Operating costs'!$B$40)*IF('Replacement plan'!$AH$8="",'Operating costs'!$B$7,'Replacement plan'!$AH$8)/('Operating costs'!$B$8-'Operating costs'!$B$9*IF('Replacement plan'!$AH$8="",'Operating costs'!$B$7,'Replacement plan'!$AH$8)),0)*('Operating costs'!$B$9/'Operating costs'!$B$11+'Operating costs'!$B$10/60)*'Operating costs'!$B$19*'Operating costs'!$B$21,SUM(AP13,'Operating costs'!$B$28,'Operating costs'!$B$30,'Operating costs'!$B$32,'Operating costs'!$B$33,'Operating costs'!$B$36,'Operating costs'!$B$38,'Replacement plan'!$Y$8)+'Operating costs'!$B$41*'Operating costs'!$B$43+W13*'Operating costs'!$B$15+(T13*X13/'Replacement plan'!$L$8+W13*('Operating costs'!$B$12/'Operating costs'!$B$11+('Operating costs'!$B$13+'Operating costs'!$B$14)/60)+(R13-'Operating costs'!$B$41)*(IF(T13&lt;1,'Operating costs'!$B$16,0)+'Operating costs'!$B$17)/60)*'Operating costs'!$B$19*'Operating costs'!$B$20),"n.a."))</f>
        <v>9105.75</v>
      </c>
      <c r="N13" s="16">
        <f>IF(AND(C13=1,D13="EV",E13&lt;120,E13+'Replacement plan'!$AA$8&lt;=120),'Replacement plan'!$Z$8,0)</f>
        <v>0</v>
      </c>
      <c r="O13" s="1">
        <f>E13+'Replacement plan'!$AA$8</f>
        <v>24</v>
      </c>
      <c r="P13" s="35" t="str">
        <f>IFERROR(IF(C13=0,"Excluded",IF(OR(COUNTIFS('Fleet register'!$A$7:$A$106,A13)&lt;&gt;1,COUNTIFS('Replacement plan'!$A$7:$A$106,A13)&lt;&gt;1),"Duplicate/missing ID",IF(NOT(AND(ISNUMBER(VLOOKUP($A13,'Fleet register'!$A$7:$S$106,5,FALSE)),ISNUMBER(VLOOKUP($A13,'Fleet register'!$A$7:$S$106,6,FALSE)),ISNUMBER(VLOOKUP($A13,'Fleet register'!$A$7:$S$106,10,FALSE)),ISNUMBER(VLOOKUP($A13,'Fleet register'!$A$7:$S$106,11,FALSE)),ISNUMBER(VLOOKUP($A13,'Fleet register'!$A$7:$S$106,12,FALSE)),ISNUMBER(VLOOKUP($A13,'Fleet register'!$A$7:$S$106,13,FALSE)),ISNUMBER(VLOOKUP($A13,'Fleet register'!$A$7:$S$106,14,FALSE)),VLOOKUP($A13,'Fleet register'!$A$7:$S$106,14,FALSE)&gt;0,ISNUMBER('Replacement plan'!$C$8),OR(E13=120,ISNUMBER('Replacement plan'!$Q$8)),ISNUMBER(E13))),"Missing vehicle input",IF(OR(E13&lt;0,E13&gt;VLOOKUP($A13,'Fleet register'!$A$7:$S$106,10,FALSE),E13&gt;120,E13&lt;&gt;INT(E13),VLOOKUP($A13,'Fleet register'!$A$7:$S$106,6,FALSE)&lt;=0,VLOOKUP($A13,'Fleet register'!$A$7:$S$106,6,FALSE)&gt;366,VLOOKUP($A13,'Fleet register'!$A$7:$S$106,5,FALSE)&lt;0,VLOOKUP($A13,'Fleet register'!$A$7:$S$106,11,FALSE)&lt;0,I13&lt;0,'Operating costs'!$B$8&lt;='Operating costs'!$B$7*'Operating costs'!$B$9,'Operating costs'!$B$11&lt;=0,'Operating costs'!$B$39&gt;R13,'Operating costs'!$B$40&gt;R13,'Operating costs'!$B$41&gt;R13,NOT(OR('Replacement plan'!$O$8="Keep ICE",'Replacement plan'!$O$8="New ICE",'Replacement plan'!$O$8="EV"))),"Invalid vehicle input",IF(AND(D13="EV",E13&lt;120,OR(NOT(ISNUMBER(U13)),NOT(ISNUMBER(V13)),V13&lt;=0,T13&lt;0,T13&gt;1,'Replacement plan'!$L$8&lt;=0,'Operating costs'!$B$44&lt;0,'Operating costs'!$B$44&gt;=1,'Operating costs'!$B$47&lt;=0,'Operating costs'!$B$47&gt;1,V13*'Operating costs'!$B$47/(1-'Operating costs'!$B$44)&lt;=T13*'Operating costs'!$B$12*U13,AND('Replacement plan'!$Z$8&gt;0,OR('Replacement plan'!$AB$8&lt;&gt;"Yes",'Operating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charging'!$B$8&gt;=0))),ISNUMBER(VLOOKUP($A13,'Fleet register'!$A$7:$S$106,15,FALSE)),ISNUMBER(VLOOKUP($A13,'Fleet register'!$A$7:$S$106,16,FALSE)),ISNUMBER('Replacement plan'!$W$8),ISNUMBER('Replacement plan'!$X$8),OR(E13=120,AND(ISNUMBER(G13),G13&gt;=0)),ISNUMBER(H13),H13&gt;=0,OR(D13&lt;&gt;"EV",E13=120,AND(ISNUMBER('Operating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plan'!$Y$8),ISNUMBER('Replacement plan'!$Z$8),'Replacement plan'!$Z$8&gt;=0,ISNUMBER('Replacement plan'!$AA$8),'Replacement plan'!$AA$8&gt;=0,'Replacement plan'!$AA$8=INT('Replacement plan'!$AA$8),ISNUMBER('Replacement plan'!$L$8))),'Operating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plan'!$AG$8="",'Operating costs'!$B$7,'Replacement plan'!$AG$8)),IF('Replacement plan'!$AG$8="",'Operating costs'!$B$7,'Replacement plan'!$AG$8)&gt;=0,ISNUMBER(IF('Replacement plan'!$AH$8="",'Operating costs'!$B$7,'Replacement plan'!$AH$8)),IF('Replacement plan'!$AH$8="",'Operating costs'!$B$7,'Replacement plan'!$AH$8)&gt;=0,'Operating costs'!$B$8&gt;MAX(IF('Replacement plan'!$AG$8="",'Operating costs'!$B$7,'Replacement plan'!$AG$8),IF('Replacement plan'!$AH$8="",'Operating costs'!$B$7,'Replacement plan'!$AH$8))*'Operating costs'!$B$9),IF(AND(VLOOKUP($A13,'Fleet register'!$A$7:$S$106,10,FALSE)&gt;=0,VLOOKUP($A13,'Fleet register'!$A$7:$S$106,10,FALSE)&lt;=120,VLOOKUP($A13,'Fleet register'!$A$7:$S$106,10,FALSE)=INT(VLOOKUP($A13,'Fleet register'!$A$7:$S$106,10,FALSE)),VLOOKUP($A13,'Fleet register'!$A$7:$S$106,15,FALSE)&gt;=0,VLOOKUP($A13,'Fleet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costs'!$B$67)&gt;=0,OR(D13&lt;&gt;"EV",E13=120,AND(MIN('Operating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Complete</v>
      </c>
      <c r="Q13" s="1" t="str">
        <f>IF(C13=0,"Excluded",IF(P13&lt;&gt;"Complete",P13,IF(OR('Replacement plan'!$AD$8&lt;120-E13,AND(D13="EV",E13&lt;120,OR('Replacement plan'!$AC$8&lt;120-E13,'Replacement plan'!$I$8="No",AND(ISNUMBER(AF13),AE13&gt;AF13),AI13&gt;V13*(1-'Operating costs'!$B$46)^MAX(0,AB13-1)*(1-'Operating costs'!$B$45),AC13&gt;'Operating costs'!$B$18,AND(T13&lt;1,OR(AG13&lt;=0,AND(ISNUMBER(AH13),AG13&gt;AH13))),'Replacement plan'!$L$8&gt;INDEX(Products!$H$7:$H$13,MATCH('Replacement plan'!$B$8,Products!$A$7:$A$13,0))))),"Fails entered limits",IF(AND(D13="EV",E13&lt;120,OR(NOT(ISNUMBER(VLOOKUP($A13,'Fleet register'!$A$7:$S$106,7,FALSE))),NOT(ISNUMBER(VLOOKUP($A13,'Fleet register'!$A$7:$S$106,8,FALSE))),NOT(ISNUMBER(AF13)),'Replacement plan'!$I$8&lt;&gt;"Yes",NOT(ISNUMBER(AH13)),'Operating costs'!$B$59&lt;&gt;"Yes",'Operating costs'!$B$58&lt;&gt;"Yes")),"Unverified","Within entered limits"))))</f>
        <v>Within entered limits</v>
      </c>
      <c r="R13" s="1">
        <f>IF(C13=0,0,VLOOKUP($A13,'Fleet register'!$A$7:$S$106,6,FALSE))</f>
        <v>300</v>
      </c>
      <c r="S13" s="1">
        <f>IF(C13=0,0,VLOOKUP($A13,'Fleet register'!$A$7:$S$106,5,FALSE))</f>
        <v>150</v>
      </c>
      <c r="T13" s="1">
        <f>IF(D13="EV",'Energy and charging'!$B$12,0)</f>
        <v>0</v>
      </c>
      <c r="U13" s="1">
        <f>IFERROR(IF(C13=0,0,IF(D13="EV",IF('Replacement plan'!$F$8="",INDEX(Products!$E$7:$E$13,MATCH('Replacement plan'!$B$8,Products!$A$7:$A$13,0)),'Replacement plan'!$F$8)/IF('Replacement plan'!$G$8="Battery",1-'Operating costs'!$B$44,1),0)),"n.a.")</f>
        <v>0</v>
      </c>
      <c r="V13" s="1">
        <f>IFERROR(IF(C13=0,0,IF(D13="EV",IF('Replacement plan'!$E$8="",INDEX(Products!$D$7:$D$13,MATCH('Replacement plan'!$B$8,Products!$A$7:$A$13,0)),'Replacement plan'!$E$8),0)),"n.a.")</f>
        <v>0</v>
      </c>
      <c r="W13" s="1">
        <f>IF(C13=0,0,IF(AND(P13="Complete",D13="EV",E13&lt;120),IF(T13=0,0,ROUNDUP(T13*(R13-'Operating costs'!$B$41)*(S13*U13+'Operating costs'!$B$48/(1-'Operating costs'!$B$44))/(V13*'Operating costs'!$B$47/(1-'Operating costs'!$B$44)-T13*'Operating costs'!$B$12*U13),0)),0))</f>
        <v>0</v>
      </c>
      <c r="X13" s="1">
        <f>IF(C13=0,0,IF(AND(P13="Complete",D13="EV",E13&lt;120),(R13-'Operating costs'!$B$41)*(S13*U13+'Operating costs'!$B$48/(1-'Operating costs'!$B$44))+W13*'Operating costs'!$B$12*U13,0))</f>
        <v>0</v>
      </c>
      <c r="Y13" s="1">
        <f>IF(AND(C13=1,D13="EV",E13&lt;120),AI13/(1-'Operating costs'!$B$44)*(1-T13),0)</f>
        <v>0</v>
      </c>
      <c r="Z13" s="1">
        <f t="shared" si="0"/>
        <v>0</v>
      </c>
      <c r="AA13" s="1">
        <f>IF(C13=0,0,IF(P13="Complete",((S13*(R13-'Operating costs'!$B$40))+ROUNDUP(S13*(R13-'Operating costs'!$B$40)*IF('Replacement plan'!$AH$8="",'Operating costs'!$B$7,'Replacement plan'!$AH$8)/('Operating costs'!$B$8-'Operating costs'!$B$9*IF('Replacement plan'!$AH$8="",'Operating costs'!$B$7,'Replacement plan'!$AH$8)),0)*'Operating costs'!$B$9)*IF('Replacement plan'!$AH$8="",'Operating costs'!$B$7,'Replacement plan'!$AH$8),"n.a."))</f>
        <v>4522.8</v>
      </c>
      <c r="AB13" s="1">
        <f t="shared" si="1"/>
        <v>0</v>
      </c>
      <c r="AC13" s="1">
        <f>IF(AND(C13=1,D13="EV",E13&lt;120,T13&gt;0),'Operating costs'!$B$12/'Operating costs'!$B$11*60+'Operating costs'!$B$13+'Operating costs'!$B$14+V13*'Operating costs'!$B$47/(1-'Operating costs'!$B$44)/'Replacement plan'!$L$8*60,0)</f>
        <v>0</v>
      </c>
      <c r="AD13" s="1" t="str">
        <f>'Replacement plan'!$B$8</f>
        <v>ChengLong L2EV</v>
      </c>
      <c r="AE13" s="1">
        <f>IF(C13=0,0,VLOOKUP($A13,'Fleet register'!$A$7:$S$106,8,FALSE))</f>
        <v>1200</v>
      </c>
      <c r="AF13" s="1" t="str">
        <f>IF('Replacement plan'!$H$8="","n.a.",'Replacement plan'!$H$8)</f>
        <v>n.a.</v>
      </c>
      <c r="AG13" s="1">
        <f>'Replacement plan'!$J$8</f>
        <v>22</v>
      </c>
      <c r="AH13" s="1">
        <f>IFERROR(IF(D13="EV",IF('Replacement plan'!$K$8="AC",IF(ISNUMBER(INDEX(Products!$G$7:$G$13,MATCH('Replacement plan'!$B$8,Products!$A$7:$A$13,0))),INDEX(Products!$G$7:$G$13,MATCH('Replacement plan'!$B$8,Products!$A$7:$A$13,0)),"n.a."),IF(ISNUMBER(INDEX(Products!$H$7:$H$13,MATCH('Replacement plan'!$B$8,Products!$A$7:$A$13,0))),INDEX(Products!$H$7:$H$13,MATCH('Replacement plan'!$B$8,Products!$A$7:$A$13,0)),"n.a.")),0),"n.a.")</f>
        <v>0</v>
      </c>
      <c r="AI13" s="1">
        <f>IF(AND(C13=1,D13="EV",E13&lt;120),(VLOOKUP($A13,'Fleet register'!$A$7:$S$106,7,FALSE)+IF(T13&gt;0,'Operating costs'!$B$12,0))*U13*(1-'Operating costs'!$B$44)+'Operating costs'!$B$49,0)</f>
        <v>0</v>
      </c>
      <c r="AJ13" s="1">
        <f>IF(D13="EV",'Energy and charging'!$B$50,0)</f>
        <v>0</v>
      </c>
      <c r="AK13" s="17">
        <f>EDATE('Operating costs'!$B$63,E13)</f>
        <v>47029</v>
      </c>
      <c r="AL13" s="1">
        <f>IFERROR(IF(D13="EV",INDEX(Products!$B$7:$B$13,MATCH('Replacement plan'!$B$8,Products!$A$7:$A$13,0)),0),"n.a.")</f>
        <v>0</v>
      </c>
      <c r="AM13" s="1" t="str">
        <f>'Replacement plan'!$K$8</f>
        <v>DC</v>
      </c>
      <c r="AN13" s="1" t="str">
        <f>'Replacement plan'!$AE$8</f>
        <v>Assumed</v>
      </c>
      <c r="AO13" s="47">
        <f>IF(AND(C13=1,D13="EV",E13&lt;120),(R13-'Operating costs'!$B$41)*S13+W13*'Operating costs'!$B$12,0)</f>
        <v>0</v>
      </c>
      <c r="AP13" s="41">
        <f>IF(AND(C13=1,D13="EV",E13&lt;120),IF('Operating costs'!$B$68="Hong Seh 200k average",AO13*IFERROR(INDEX(Products!$P$7:$P$13,MATCH(AD13,Products!$A$7:$A$13,0)),"n.a."),'Operating costs'!$B$26),0)</f>
        <v>0</v>
      </c>
      <c r="AQ13" s="40" t="str">
        <f>IF(D13="EV",'Operating costs'!$B$68,"Not applicable")</f>
        <v>Not applicable</v>
      </c>
    </row>
    <row r="14" spans="1:43" ht="24" customHeight="1">
      <c r="A14" s="1" t="str">
        <f>'Replacement plan'!A8</f>
        <v>T002</v>
      </c>
      <c r="B14" s="1">
        <v>3</v>
      </c>
      <c r="C14" s="1">
        <f>IF(COUNTIFS('Fleet register'!$A$7:$A$106,$A14)=1,VLOOKUP($A14,'Fleet register'!$A$7:$S$106,2,FALSE),0)</f>
        <v>1</v>
      </c>
      <c r="D14" s="1" t="str">
        <f>IF('Replacement plan'!$R$8="EV","EV","ICE")</f>
        <v>EV</v>
      </c>
      <c r="E14" s="1">
        <f>IF(C14=0,0,IF('Replacement plan'!$S$8="",IF('Replacement plan'!$R$8="Keep ICE",IF('Replacement plan'!$M$8="",VLOOKUP($A14,'Fleet register'!$A$7:$S$106,10,FALSE),'Replacement plan'!$M$8),0),'Replacement plan'!$S$8))</f>
        <v>0</v>
      </c>
      <c r="F14" s="16">
        <f>IF(C14=0,0,VLOOKUP($A14,'Fleet register'!$A$7:$S$106,11,FALSE))</f>
        <v>30000</v>
      </c>
      <c r="G14" s="16">
        <f>IFERROR(IF(C14=0,0,IF(E14=120,0,IF(D14="ICE",'Replacement plan'!$C$8,IF('Replacement plan'!$D$8="",INDEX(Products!$I$7:$I$13,MATCH('Replacement plan'!$B$8,Products!$A$7:$A$13,0))+'Operating costs'!$B$57,'Replacement plan'!$D$8))*(1+'Operating costs'!$B$50)^(E14/12))),"n.a.")</f>
        <v>171800</v>
      </c>
      <c r="H14" s="16">
        <f>IFERROR(IF(C14=0,0,IF('Replacement plan'!$V$8&lt;&gt;"",'Replacement plan'!$V$8,IF(E14=0,F14,VLOOKUP($A14,'Fleet register'!$A$7:$S$106,12,FALSE)+VLOOKUP($A14,'Fleet register'!$A$7:$S$106,13,FALSE)*MAX(0,VLOOKUP($A14,'Fleet register'!$A$7:$S$106,10,FALSE)-E14)/VLOOKUP($A14,'Fleet register'!$A$7:$S$106,14,FALSE)))),"n.a.")</f>
        <v>30000</v>
      </c>
      <c r="I14" s="16">
        <f>IF(C14=0,0,IF(E14=120,0,'Replacement plan'!$T$8))</f>
        <v>8000</v>
      </c>
      <c r="J14" s="16">
        <f>IF(C14=0,0,IF(P14="Complete",((S14*(R14-'Operating costs'!$B$39))+ROUNDUP(S14*(R14-'Operating costs'!$B$39)*IF('Replacement plan'!$AG$8="",'Operating costs'!$B$7,'Replacement plan'!$AG$8)/('Operating costs'!$B$8-'Operating costs'!$B$9*IF('Replacement plan'!$AG$8="",'Operating costs'!$B$7,'Replacement plan'!$AG$8)),0)*'Operating costs'!$B$9)*IF('Replacement plan'!$AG$8="",'Operating costs'!$B$7,'Replacement plan'!$AG$8)*('Energy and charging'!$C$9*'Energy and charging'!$C$7+(1-'Energy and charging'!$C$9)*'Energy and charging'!$C$8)*'Operating costs'!$B$23,"n.a."))</f>
        <v>9045.6</v>
      </c>
      <c r="K14" s="16">
        <f>IF(C14=0,0,IF(P14="Complete",SUM('Operating costs'!$B$24,'Operating costs'!$B$27,'Operating costs'!$B$29,'Operating costs'!$B$31,'Operating costs'!$B$33,'Operating costs'!$B$34,'Operating costs'!$B$37,'Replacement plan'!$W$8)+'Operating costs'!$B$39*'Operating costs'!$B$42+ROUNDUP(S14*(R14-'Operating costs'!$B$39)*IF('Replacement plan'!$AG$8="",'Operating costs'!$B$7,'Replacement plan'!$AG$8)/('Operating costs'!$B$8-'Operating costs'!$B$9*IF('Replacement plan'!$AG$8="",'Operating costs'!$B$7,'Replacement plan'!$AG$8)),0)*('Operating costs'!$B$9/'Operating costs'!$B$11+'Operating costs'!$B$10/60)*'Operating costs'!$B$19*'Operating costs'!$B$21,"n.a."))</f>
        <v>9105.75</v>
      </c>
      <c r="L14" s="16">
        <f>IF(C14=0,0,IF(P14="Complete",IF(D14="EV",X14*((1-T14)*'Energy and charging'!$C$10+T14*'Energy and charging'!$C$11)*'Operating costs'!$B$22,AA14*('Energy and charging'!$C$9*'Energy and charging'!$C$7+(1-'Energy and charging'!$C$9)*'Energy and charging'!$C$8)*'Operating costs'!$B$23),"n.a."))</f>
        <v>6111.2285542652298</v>
      </c>
      <c r="M14" s="37">
        <f>IF(C14=0,0,IF(P14="Complete",IF(D14="ICE",SUM('Operating costs'!$B$25,'Operating costs'!$B$27,'Operating costs'!$B$29,'Operating costs'!$B$31,'Operating costs'!$B$33,'Operating costs'!$B$35,'Operating costs'!$B$37,'Replacement plan'!$X$8)+'Operating costs'!$B$40*'Operating costs'!$B$42+ROUNDUP(S14*(R14-'Operating costs'!$B$40)*IF('Replacement plan'!$AH$8="",'Operating costs'!$B$7,'Replacement plan'!$AH$8)/('Operating costs'!$B$8-'Operating costs'!$B$9*IF('Replacement plan'!$AH$8="",'Operating costs'!$B$7,'Replacement plan'!$AH$8)),0)*('Operating costs'!$B$9/'Operating costs'!$B$11+'Operating costs'!$B$10/60)*'Operating costs'!$B$19*'Operating costs'!$B$21,SUM(AP14,'Operating costs'!$B$28,'Operating costs'!$B$30,'Operating costs'!$B$32,'Operating costs'!$B$33,'Operating costs'!$B$36,'Operating costs'!$B$38,'Replacement plan'!$Y$8)+'Operating costs'!$B$41*'Operating costs'!$B$43+W14*'Operating costs'!$B$15+(T14*X14/'Replacement plan'!$L$8+W14*('Operating costs'!$B$12/'Operating costs'!$B$11+('Operating costs'!$B$13+'Operating costs'!$B$14)/60)+(R14-'Operating costs'!$B$41)*(IF(T14&lt;1,'Operating costs'!$B$16,0)+'Operating costs'!$B$17)/60)*'Operating costs'!$B$19*'Operating costs'!$B$20),"n.a."))</f>
        <v>9525.6229632874383</v>
      </c>
      <c r="N14" s="16">
        <f>IF(AND(C14=1,D14="EV",E14&lt;120,E14+'Replacement plan'!$AA$8&lt;=120),'Replacement plan'!$Z$8,0)</f>
        <v>0</v>
      </c>
      <c r="O14" s="1">
        <f>E14+'Replacement plan'!$AA$8</f>
        <v>0</v>
      </c>
      <c r="P14" s="35" t="str">
        <f>IFERROR(IF(C14=0,"Excluded",IF(OR(COUNTIFS('Fleet register'!$A$7:$A$106,A14)&lt;&gt;1,COUNTIFS('Replacement plan'!$A$7:$A$106,A14)&lt;&gt;1),"Duplicate/missing ID",IF(NOT(AND(ISNUMBER(VLOOKUP($A14,'Fleet register'!$A$7:$S$106,5,FALSE)),ISNUMBER(VLOOKUP($A14,'Fleet register'!$A$7:$S$106,6,FALSE)),ISNUMBER(VLOOKUP($A14,'Fleet register'!$A$7:$S$106,10,FALSE)),ISNUMBER(VLOOKUP($A14,'Fleet register'!$A$7:$S$106,11,FALSE)),ISNUMBER(VLOOKUP($A14,'Fleet register'!$A$7:$S$106,12,FALSE)),ISNUMBER(VLOOKUP($A14,'Fleet register'!$A$7:$S$106,13,FALSE)),ISNUMBER(VLOOKUP($A14,'Fleet register'!$A$7:$S$106,14,FALSE)),VLOOKUP($A14,'Fleet register'!$A$7:$S$106,14,FALSE)&gt;0,ISNUMBER('Replacement plan'!$C$8),OR(E14=120,ISNUMBER('Replacement plan'!$T$8)),ISNUMBER(E14))),"Missing vehicle input",IF(OR(E14&lt;0,E14&gt;VLOOKUP($A14,'Fleet register'!$A$7:$S$106,10,FALSE),E14&gt;120,E14&lt;&gt;INT(E14),VLOOKUP($A14,'Fleet register'!$A$7:$S$106,6,FALSE)&lt;=0,VLOOKUP($A14,'Fleet register'!$A$7:$S$106,6,FALSE)&gt;366,VLOOKUP($A14,'Fleet register'!$A$7:$S$106,5,FALSE)&lt;0,VLOOKUP($A14,'Fleet register'!$A$7:$S$106,11,FALSE)&lt;0,I14&lt;0,'Operating costs'!$B$8&lt;='Operating costs'!$B$7*'Operating costs'!$B$9,'Operating costs'!$B$11&lt;=0,'Operating costs'!$B$39&gt;R14,'Operating costs'!$B$40&gt;R14,'Operating costs'!$B$41&gt;R14,NOT(OR('Replacement plan'!$R$8="Keep ICE",'Replacement plan'!$R$8="New ICE",'Replacement plan'!$R$8="EV"))),"Invalid vehicle input",IF(AND(D14="EV",E14&lt;120,OR(NOT(ISNUMBER(U14)),NOT(ISNUMBER(V14)),V14&lt;=0,T14&lt;0,T14&gt;1,'Replacement plan'!$L$8&lt;=0,'Operating costs'!$B$44&lt;0,'Operating costs'!$B$44&gt;=1,'Operating costs'!$B$47&lt;=0,'Operating costs'!$B$47&gt;1,V14*'Operating costs'!$B$47/(1-'Operating costs'!$B$44)&lt;=T14*'Operating costs'!$B$12*U14,AND('Replacement plan'!$Z$8&gt;0,OR('Replacement plan'!$AB$8&lt;&gt;"Yes",'Operating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charging'!$C$8&gt;=0))),ISNUMBER(VLOOKUP($A14,'Fleet register'!$A$7:$S$106,15,FALSE)),ISNUMBER(VLOOKUP($A14,'Fleet register'!$A$7:$S$106,16,FALSE)),ISNUMBER('Replacement plan'!$W$8),ISNUMBER('Replacement plan'!$X$8),OR(E14=120,AND(ISNUMBER(G14),G14&gt;=0)),ISNUMBER(H14),H14&gt;=0,OR(D14&lt;&gt;"EV",E14=120,AND(ISNUMBER('Operating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plan'!$Y$8),ISNUMBER('Replacement plan'!$Z$8),'Replacement plan'!$Z$8&gt;=0,ISNUMBER('Replacement plan'!$AA$8),'Replacement plan'!$AA$8&gt;=0,'Replacement plan'!$AA$8=INT('Replacement plan'!$AA$8),ISNUMBER('Replacement plan'!$L$8))),'Operating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plan'!$AG$8="",'Operating costs'!$B$7,'Replacement plan'!$AG$8)),IF('Replacement plan'!$AG$8="",'Operating costs'!$B$7,'Replacement plan'!$AG$8)&gt;=0,ISNUMBER(IF('Replacement plan'!$AH$8="",'Operating costs'!$B$7,'Replacement plan'!$AH$8)),IF('Replacement plan'!$AH$8="",'Operating costs'!$B$7,'Replacement plan'!$AH$8)&gt;=0,'Operating costs'!$B$8&gt;MAX(IF('Replacement plan'!$AG$8="",'Operating costs'!$B$7,'Replacement plan'!$AG$8),IF('Replacement plan'!$AH$8="",'Operating costs'!$B$7,'Replacement plan'!$AH$8))*'Operating costs'!$B$9),IF(AND(VLOOKUP($A14,'Fleet register'!$A$7:$S$106,10,FALSE)&gt;=0,VLOOKUP($A14,'Fleet register'!$A$7:$S$106,10,FALSE)&lt;=120,VLOOKUP($A14,'Fleet register'!$A$7:$S$106,10,FALSE)=INT(VLOOKUP($A14,'Fleet register'!$A$7:$S$106,10,FALSE)),VLOOKUP($A14,'Fleet register'!$A$7:$S$106,15,FALSE)&gt;=0,VLOOKUP($A14,'Fleet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costs'!$B$67)&gt;=0,OR(D14&lt;&gt;"EV",E14=120,AND(MIN('Operating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Complete</v>
      </c>
      <c r="Q14" s="1" t="str">
        <f>IF(C14=0,"Excluded",IF(P14&lt;&gt;"Complete",P14,IF(OR('Replacement plan'!$AD$8&lt;120-E14,AND(D14="EV",E14&lt;120,OR('Replacement plan'!$AC$8&lt;120-E14,'Replacement plan'!$I$8="No",AND(ISNUMBER(AF14),AE14&gt;AF14),AI14&gt;V14*(1-'Operating costs'!$B$46)^MAX(0,AB14-1)*(1-'Operating costs'!$B$45),AC14&gt;'Operating costs'!$B$18,AND(T14&lt;1,OR(AG14&lt;=0,AND(ISNUMBER(AH14),AG14&gt;AH14))),'Replacement plan'!$L$8&gt;INDEX(Products!$H$7:$H$13,MATCH('Replacement plan'!$B$8,Products!$A$7:$A$13,0))))),"Fails entered limits",IF(AND(D14="EV",E14&lt;120,OR(NOT(ISNUMBER(VLOOKUP($A14,'Fleet register'!$A$7:$S$106,7,FALSE))),NOT(ISNUMBER(VLOOKUP($A14,'Fleet register'!$A$7:$S$106,8,FALSE))),NOT(ISNUMBER(AF14)),'Replacement plan'!$I$8&lt;&gt;"Yes",NOT(ISNUMBER(AH14)),'Operating costs'!$B$59&lt;&gt;"Yes",'Operating costs'!$B$58&lt;&gt;"Yes")),"Unverified","Within entered limits"))))</f>
        <v>Fails entered limits</v>
      </c>
      <c r="R14" s="1">
        <f>IF(C14=0,0,VLOOKUP($A14,'Fleet register'!$A$7:$S$106,6,FALSE))</f>
        <v>300</v>
      </c>
      <c r="S14" s="1">
        <f>IF(C14=0,0,VLOOKUP($A14,'Fleet register'!$A$7:$S$106,5,FALSE))</f>
        <v>150</v>
      </c>
      <c r="T14" s="1">
        <f>IF(D14="EV",'Energy and charging'!$C$12,0)</f>
        <v>0.2</v>
      </c>
      <c r="U14" s="1">
        <f>IFERROR(IF(C14=0,0,IF(D14="EV",IF('Replacement plan'!$F$8="",INDEX(Products!$E$7:$E$13,MATCH('Replacement plan'!$B$8,Products!$A$7:$A$13,0)),'Replacement plan'!$F$8)/IF('Replacement plan'!$G$8="Battery",1-'Operating costs'!$B$44,1),0)),"n.a.")</f>
        <v>0.30041052634319165</v>
      </c>
      <c r="V14" s="1">
        <f>IFERROR(IF(C14=0,0,IF(D14="EV",IF('Replacement plan'!$E$8="",INDEX(Products!$D$7:$D$13,MATCH('Replacement plan'!$B$8,Products!$A$7:$A$13,0)),'Replacement plan'!$E$8),0)),"n.a.")</f>
        <v>86.55</v>
      </c>
      <c r="W14" s="1">
        <f>IF(C14=0,0,IF(AND(P14="Complete",D14="EV",E14&lt;120),IF(T14=0,0,ROUNDUP(T14*(R14-'Operating costs'!$B$41)*(S14*U14+'Operating costs'!$B$48/(1-'Operating costs'!$B$44))/(V14*'Operating costs'!$B$47/(1-'Operating costs'!$B$44)-T14*'Operating costs'!$B$12*U14),0)),0))</f>
        <v>48</v>
      </c>
      <c r="X14" s="1">
        <f>IF(C14=0,0,IF(AND(P14="Complete",D14="EV",E14&lt;120),(R14-'Operating costs'!$B$41)*(S14*U14+'Operating costs'!$B$48/(1-'Operating costs'!$B$44))+W14*'Operating costs'!$B$12*U14,0))</f>
        <v>13633.83132755941</v>
      </c>
      <c r="Y14" s="1">
        <f>IF(AND(C14=1,D14="EV",E14&lt;120),AI14/(1-'Operating costs'!$B$44)*(1-T14),0)</f>
        <v>41.576816845897724</v>
      </c>
      <c r="Z14" s="1">
        <f t="shared" si="0"/>
        <v>1.8898553111771692</v>
      </c>
      <c r="AA14" s="1">
        <f>IF(C14=0,0,IF(P14="Complete",((S14*(R14-'Operating costs'!$B$40))+ROUNDUP(S14*(R14-'Operating costs'!$B$40)*IF('Replacement plan'!$AH$8="",'Operating costs'!$B$7,'Replacement plan'!$AH$8)/('Operating costs'!$B$8-'Operating costs'!$B$9*IF('Replacement plan'!$AH$8="",'Operating costs'!$B$7,'Replacement plan'!$AH$8)),0)*'Operating costs'!$B$9)*IF('Replacement plan'!$AH$8="",'Operating costs'!$B$7,'Replacement plan'!$AH$8),"n.a."))</f>
        <v>4522.8</v>
      </c>
      <c r="AB14" s="1">
        <f t="shared" si="1"/>
        <v>10</v>
      </c>
      <c r="AC14" s="1">
        <f>IF(AND(C14=1,D14="EV",E14&lt;120,T14&gt;0),'Operating costs'!$B$12/'Operating costs'!$B$11*60+'Operating costs'!$B$13+'Operating costs'!$B$14+V14*'Operating costs'!$B$47/(1-'Operating costs'!$B$44)/'Replacement plan'!$L$8*60,0)</f>
        <v>111.32499999999999</v>
      </c>
      <c r="AD14" s="1" t="str">
        <f>'Replacement plan'!$B$8</f>
        <v>ChengLong L2EV</v>
      </c>
      <c r="AE14" s="1">
        <f>IF(C14=0,0,VLOOKUP($A14,'Fleet register'!$A$7:$S$106,8,FALSE))</f>
        <v>1200</v>
      </c>
      <c r="AF14" s="1" t="str">
        <f>IF('Replacement plan'!$H$8="","n.a.",'Replacement plan'!$H$8)</f>
        <v>n.a.</v>
      </c>
      <c r="AG14" s="1">
        <f>'Replacement plan'!$J$8</f>
        <v>22</v>
      </c>
      <c r="AH14" s="1">
        <f>IFERROR(IF(D14="EV",IF('Replacement plan'!$K$8="AC",IF(ISNUMBER(INDEX(Products!$G$7:$G$13,MATCH('Replacement plan'!$B$8,Products!$A$7:$A$13,0))),INDEX(Products!$G$7:$G$13,MATCH('Replacement plan'!$B$8,Products!$A$7:$A$13,0)),"n.a."),IF(ISNUMBER(INDEX(Products!$H$7:$H$13,MATCH('Replacement plan'!$B$8,Products!$A$7:$A$13,0))),INDEX(Products!$H$7:$H$13,MATCH('Replacement plan'!$B$8,Products!$A$7:$A$13,0)),"n.a.")),0),"n.a.")</f>
        <v>120</v>
      </c>
      <c r="AI14" s="1">
        <f>IF(AND(C14=1,D14="EV",E14&lt;120),(VLOOKUP($A14,'Fleet register'!$A$7:$S$106,7,FALSE)+IF(T14&gt;0,'Operating costs'!$B$12,0))*U14*(1-'Operating costs'!$B$44)+'Operating costs'!$B$49,0)</f>
        <v>46.77391895163494</v>
      </c>
      <c r="AJ14" s="1">
        <f>IF(D14="EV",'Energy and charging'!$C$50,0)</f>
        <v>44</v>
      </c>
      <c r="AK14" s="17">
        <f>EDATE('Operating costs'!$B$63,E14)</f>
        <v>46298</v>
      </c>
      <c r="AL14" s="1">
        <f>IFERROR(IF(D14="EV",INDEX(Products!$B$7:$B$13,MATCH('Replacement plan'!$B$8,Products!$A$7:$A$13,0)),0),"n.a.")</f>
        <v>5000</v>
      </c>
      <c r="AM14" s="1" t="str">
        <f>'Replacement plan'!$K$8</f>
        <v>DC</v>
      </c>
      <c r="AN14" s="1" t="str">
        <f>'Replacement plan'!$AE$8</f>
        <v>Assumed</v>
      </c>
      <c r="AO14" s="47">
        <f>IF(AND(C14=1,D14="EV",E14&lt;120),(R14-'Operating costs'!$B$41)*S14+W14*'Operating costs'!$B$12,0)</f>
        <v>45384</v>
      </c>
      <c r="AP14" s="41">
        <f>IF(AND(C14=1,D14="EV",E14&lt;120),IF('Operating costs'!$B$68="Hong Seh 200k average",AO14*IFERROR(INDEX(Products!$P$7:$P$13,MATCH(AD14,Products!$A$7:$A$13,0)),"n.a."),'Operating costs'!$B$26),0)</f>
        <v>745.43219999999997</v>
      </c>
      <c r="AQ14" s="40" t="str">
        <f>IF(D14="EV",'Operating costs'!$B$68,"Not applicable")</f>
        <v>Hong Seh 200k average</v>
      </c>
    </row>
    <row r="15" spans="1:43" ht="24" customHeight="1">
      <c r="A15" s="1" t="str">
        <f>'Replacement plan'!A9</f>
        <v>T003</v>
      </c>
      <c r="B15" s="1">
        <v>0</v>
      </c>
      <c r="C15" s="1">
        <f>IF(COUNTIFS('Fleet register'!$A$7:$A$106,$A15)=1,VLOOKUP($A15,'Fleet register'!$A$7:$S$106,2,FALSE),0)</f>
        <v>1</v>
      </c>
      <c r="D15" s="1" t="str">
        <f>IF("Keep ICE"="EV","EV","ICE")</f>
        <v>ICE</v>
      </c>
      <c r="E15" s="1">
        <f>IF(C15=0,0,IF('Replacement plan'!$M$9="",VLOOKUP($A15,'Fleet register'!$A$7:$S$106,10,FALSE),'Replacement plan'!$M$9))</f>
        <v>36</v>
      </c>
      <c r="F15" s="16">
        <f>IF(C15=0,0,VLOOKUP($A15,'Fleet register'!$A$7:$S$106,11,FALSE))</f>
        <v>36000</v>
      </c>
      <c r="G15" s="16">
        <f>IFERROR(IF(C15=0,0,IF(E15=120,0,IF(D15="ICE",'Replacement plan'!$C$9,IF('Replacement plan'!$D$9="",INDEX(Products!$I$7:$I$13,MATCH('Replacement plan'!$B$9,Products!$A$7:$A$13,0))+'Operating costs'!$B$57,'Replacement plan'!$D$9))*(1+'Operating costs'!$B$50)^(E15/12))),"n.a.")</f>
        <v>181000</v>
      </c>
      <c r="H15" s="16">
        <f>IFERROR(IF(C15=0,0,IF(E15=0,F15,VLOOKUP($A15,'Fleet register'!$A$7:$S$106,12,FALSE)+VLOOKUP($A15,'Fleet register'!$A$7:$S$106,13,FALSE)*MAX(0,VLOOKUP($A15,'Fleet register'!$A$7:$S$106,10,FALSE)-E15)/VLOOKUP($A15,'Fleet register'!$A$7:$S$106,14,FALSE))),"n.a.")</f>
        <v>10000</v>
      </c>
      <c r="I15" s="16">
        <f>IF(C15=0,0,IF(E15=120,0,'Replacement plan'!$N$9))</f>
        <v>39900</v>
      </c>
      <c r="J15" s="16">
        <f>IF(C15=0,0,IF(P15="Complete",((S15*(R15-'Operating costs'!$B$39))+ROUNDUP(S15*(R15-'Operating costs'!$B$39)*IF('Replacement plan'!$AG$9="",'Operating costs'!$B$7,'Replacement plan'!$AG$9)/('Operating costs'!$B$8-'Operating costs'!$B$9*IF('Replacement plan'!$AG$9="",'Operating costs'!$B$7,'Replacement plan'!$AG$9)),0)*'Operating costs'!$B$9)*IF('Replacement plan'!$AG$9="",'Operating costs'!$B$7,'Replacement plan'!$AG$9)*('Energy and charging'!$B$9*'Energy and charging'!$B$7+(1-'Energy and charging'!$B$9)*'Energy and charging'!$B$8)*'Operating costs'!$B$23,"n.a."))</f>
        <v>9045.6</v>
      </c>
      <c r="K15" s="16">
        <f>IF(C15=0,0,IF(P15="Complete",SUM('Operating costs'!$B$24,'Operating costs'!$B$27,'Operating costs'!$B$29,'Operating costs'!$B$31,'Operating costs'!$B$33,'Operating costs'!$B$34,'Operating costs'!$B$37,'Replacement plan'!$W$9)+'Operating costs'!$B$39*'Operating costs'!$B$42+ROUNDUP(S15*(R15-'Operating costs'!$B$39)*IF('Replacement plan'!$AG$9="",'Operating costs'!$B$7,'Replacement plan'!$AG$9)/('Operating costs'!$B$8-'Operating costs'!$B$9*IF('Replacement plan'!$AG$9="",'Operating costs'!$B$7,'Replacement plan'!$AG$9)),0)*('Operating costs'!$B$9/'Operating costs'!$B$11+'Operating costs'!$B$10/60)*'Operating costs'!$B$19*'Operating costs'!$B$21,"n.a."))</f>
        <v>9105.75</v>
      </c>
      <c r="L15" s="16">
        <f>IF(C15=0,0,IF(P15="Complete",IF(D15="EV",X15*((1-T15)*'Energy and charging'!$B$10+T15*'Energy and charging'!$B$11)*'Operating costs'!$B$22,AA15*('Energy and charging'!$B$9*'Energy and charging'!$B$7+(1-'Energy and charging'!$B$9)*'Energy and charging'!$B$8)*'Operating costs'!$B$23),"n.a."))</f>
        <v>9045.6</v>
      </c>
      <c r="M15" s="37">
        <f>IF(C15=0,0,IF(P15="Complete",IF(D15="ICE",SUM('Operating costs'!$B$25,'Operating costs'!$B$27,'Operating costs'!$B$29,'Operating costs'!$B$31,'Operating costs'!$B$33,'Operating costs'!$B$35,'Operating costs'!$B$37,'Replacement plan'!$X$9)+'Operating costs'!$B$40*'Operating costs'!$B$42+ROUNDUP(S15*(R15-'Operating costs'!$B$40)*IF('Replacement plan'!$AH$9="",'Operating costs'!$B$7,'Replacement plan'!$AH$9)/('Operating costs'!$B$8-'Operating costs'!$B$9*IF('Replacement plan'!$AH$9="",'Operating costs'!$B$7,'Replacement plan'!$AH$9)),0)*('Operating costs'!$B$9/'Operating costs'!$B$11+'Operating costs'!$B$10/60)*'Operating costs'!$B$19*'Operating costs'!$B$21,SUM(AP15,'Operating costs'!$B$28,'Operating costs'!$B$30,'Operating costs'!$B$32,'Operating costs'!$B$33,'Operating costs'!$B$36,'Operating costs'!$B$38,'Replacement plan'!$Y$9)+'Operating costs'!$B$41*'Operating costs'!$B$43+W15*'Operating costs'!$B$15+(T15*X15/'Replacement plan'!$L$9+W15*('Operating costs'!$B$12/'Operating costs'!$B$11+('Operating costs'!$B$13+'Operating costs'!$B$14)/60)+(R15-'Operating costs'!$B$41)*(IF(T15&lt;1,'Operating costs'!$B$16,0)+'Operating costs'!$B$17)/60)*'Operating costs'!$B$19*'Operating costs'!$B$20),"n.a."))</f>
        <v>9105.75</v>
      </c>
      <c r="N15" s="16">
        <f>IF(AND(C15=1,D15="EV",E15&lt;120,E15+'Replacement plan'!$AA$9&lt;=120),'Replacement plan'!$Z$9,0)</f>
        <v>0</v>
      </c>
      <c r="O15" s="1">
        <f>E15+'Replacement plan'!$AA$9</f>
        <v>36</v>
      </c>
      <c r="P15" s="35" t="str">
        <f>IFERROR(IF(C15=0,"Excluded",IF(OR(COUNTIFS('Fleet register'!$A$7:$A$106,A15)&lt;&gt;1,COUNTIFS('Replacement plan'!$A$7:$A$106,A15)&lt;&gt;1),"Duplicate/missing ID",IF(NOT(AND(ISNUMBER(VLOOKUP($A15,'Fleet register'!$A$7:$S$106,5,FALSE)),ISNUMBER(VLOOKUP($A15,'Fleet register'!$A$7:$S$106,6,FALSE)),ISNUMBER(VLOOKUP($A15,'Fleet register'!$A$7:$S$106,10,FALSE)),ISNUMBER(VLOOKUP($A15,'Fleet register'!$A$7:$S$106,11,FALSE)),ISNUMBER(VLOOKUP($A15,'Fleet register'!$A$7:$S$106,12,FALSE)),ISNUMBER(VLOOKUP($A15,'Fleet register'!$A$7:$S$106,13,FALSE)),ISNUMBER(VLOOKUP($A15,'Fleet register'!$A$7:$S$106,14,FALSE)),VLOOKUP($A15,'Fleet register'!$A$7:$S$106,14,FALSE)&gt;0,ISNUMBER('Replacement plan'!$C$9),OR(E15=120,ISNUMBER('Replacement plan'!$N$9)),ISNUMBER(E15))),"Missing vehicle input",IF(OR(E15&lt;0,E15&gt;VLOOKUP($A15,'Fleet register'!$A$7:$S$106,10,FALSE),E15&gt;120,E15&lt;&gt;INT(E15),VLOOKUP($A15,'Fleet register'!$A$7:$S$106,6,FALSE)&lt;=0,VLOOKUP($A15,'Fleet register'!$A$7:$S$106,6,FALSE)&gt;366,VLOOKUP($A15,'Fleet register'!$A$7:$S$106,5,FALSE)&lt;0,VLOOKUP($A15,'Fleet register'!$A$7:$S$106,11,FALSE)&lt;0,I15&lt;0,'Operating costs'!$B$8&lt;='Operating costs'!$B$7*'Operating costs'!$B$9,'Operating costs'!$B$11&lt;=0,'Operating costs'!$B$39&gt;R15,'Operating costs'!$B$40&gt;R15,'Operating costs'!$B$41&gt;R15,NOT(OR("Keep ICE"="Keep ICE","Keep ICE"="New ICE","Keep ICE"="EV"))),"Invalid vehicle input",IF(AND(D15="EV",E15&lt;120,OR(NOT(ISNUMBER(U15)),NOT(ISNUMBER(V15)),V15&lt;=0,T15&lt;0,T15&gt;1,'Replacement plan'!$L$9&lt;=0,'Operating costs'!$B$44&lt;0,'Operating costs'!$B$44&gt;=1,'Operating costs'!$B$47&lt;=0,'Operating costs'!$B$47&gt;1,V15*'Operating costs'!$B$47/(1-'Operating costs'!$B$44)&lt;=T15*'Operating costs'!$B$12*U15,AND('Replacement plan'!$Z$9&gt;0,OR('Replacement plan'!$AB$9&lt;&gt;"Yes",'Operating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charging'!$B$8&gt;=0))),ISNUMBER(VLOOKUP($A15,'Fleet register'!$A$7:$S$106,15,FALSE)),ISNUMBER(VLOOKUP($A15,'Fleet register'!$A$7:$S$106,16,FALSE)),ISNUMBER('Replacement plan'!$W$9),ISNUMBER('Replacement plan'!$X$9),OR(E15=120,AND(ISNUMBER(G15),G15&gt;=0)),ISNUMBER(H15),H15&gt;=0,OR(D15&lt;&gt;"EV",E15=120,AND(ISNUMBER('Operating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plan'!$Y$9),ISNUMBER('Replacement plan'!$Z$9),'Replacement plan'!$Z$9&gt;=0,ISNUMBER('Replacement plan'!$AA$9),'Replacement plan'!$AA$9&gt;=0,'Replacement plan'!$AA$9=INT('Replacement plan'!$AA$9),ISNUMBER('Replacement plan'!$L$9))),'Operating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plan'!$AG$9="",'Operating costs'!$B$7,'Replacement plan'!$AG$9)),IF('Replacement plan'!$AG$9="",'Operating costs'!$B$7,'Replacement plan'!$AG$9)&gt;=0,ISNUMBER(IF('Replacement plan'!$AH$9="",'Operating costs'!$B$7,'Replacement plan'!$AH$9)),IF('Replacement plan'!$AH$9="",'Operating costs'!$B$7,'Replacement plan'!$AH$9)&gt;=0,'Operating costs'!$B$8&gt;MAX(IF('Replacement plan'!$AG$9="",'Operating costs'!$B$7,'Replacement plan'!$AG$9),IF('Replacement plan'!$AH$9="",'Operating costs'!$B$7,'Replacement plan'!$AH$9))*'Operating costs'!$B$9),IF(AND(VLOOKUP($A15,'Fleet register'!$A$7:$S$106,10,FALSE)&gt;=0,VLOOKUP($A15,'Fleet register'!$A$7:$S$106,10,FALSE)&lt;=120,VLOOKUP($A15,'Fleet register'!$A$7:$S$106,10,FALSE)=INT(VLOOKUP($A15,'Fleet register'!$A$7:$S$106,10,FALSE)),VLOOKUP($A15,'Fleet register'!$A$7:$S$106,15,FALSE)&gt;=0,VLOOKUP($A15,'Fleet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costs'!$B$67)&gt;=0,OR(D15&lt;&gt;"EV",E15=120,AND(MIN('Operating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Complete</v>
      </c>
      <c r="Q15" s="1" t="str">
        <f>IF(C15=0,"Excluded",IF(P15&lt;&gt;"Complete",P15,IF(OR('Replacement plan'!$AD$9&lt;120-E15,AND(D15="EV",E15&lt;120,OR('Replacement plan'!$AC$9&lt;120-E15,'Replacement plan'!$I$9="No",AND(ISNUMBER(AF15),AE15&gt;AF15),AI15&gt;V15*(1-'Operating costs'!$B$46)^MAX(0,AB15-1)*(1-'Operating costs'!$B$45),AC15&gt;'Operating costs'!$B$18,AND(T15&lt;1,OR(AG15&lt;=0,AND(ISNUMBER(AH15),AG15&gt;AH15))),'Replacement plan'!$L$9&gt;INDEX(Products!$H$7:$H$13,MATCH('Replacement plan'!$B$9,Products!$A$7:$A$13,0))))),"Fails entered limits",IF(AND(D15="EV",E15&lt;120,OR(NOT(ISNUMBER(VLOOKUP($A15,'Fleet register'!$A$7:$S$106,7,FALSE))),NOT(ISNUMBER(VLOOKUP($A15,'Fleet register'!$A$7:$S$106,8,FALSE))),NOT(ISNUMBER(AF15)),'Replacement plan'!$I$9&lt;&gt;"Yes",NOT(ISNUMBER(AH15)),'Operating costs'!$B$59&lt;&gt;"Yes",'Operating costs'!$B$58&lt;&gt;"Yes")),"Unverified","Within entered limits"))))</f>
        <v>Within entered limits</v>
      </c>
      <c r="R15" s="1">
        <f>IF(C15=0,0,VLOOKUP($A15,'Fleet register'!$A$7:$S$106,6,FALSE))</f>
        <v>300</v>
      </c>
      <c r="S15" s="1">
        <f>IF(C15=0,0,VLOOKUP($A15,'Fleet register'!$A$7:$S$106,5,FALSE))</f>
        <v>150</v>
      </c>
      <c r="T15" s="1">
        <f>IF(D15="EV",'Energy and charging'!$B$12,0)</f>
        <v>0</v>
      </c>
      <c r="U15" s="1">
        <f>IFERROR(IF(C15=0,0,IF(D15="EV",IF('Replacement plan'!$F$9="",INDEX(Products!$E$7:$E$13,MATCH('Replacement plan'!$B$9,Products!$A$7:$A$13,0)),'Replacement plan'!$F$9)/IF('Replacement plan'!$G$9="Battery",1-'Operating costs'!$B$44,1),0)),"n.a.")</f>
        <v>0</v>
      </c>
      <c r="V15" s="1">
        <f>IFERROR(IF(C15=0,0,IF(D15="EV",IF('Replacement plan'!$E$9="",INDEX(Products!$D$7:$D$13,MATCH('Replacement plan'!$B$9,Products!$A$7:$A$13,0)),'Replacement plan'!$E$9),0)),"n.a.")</f>
        <v>0</v>
      </c>
      <c r="W15" s="1">
        <f>IF(C15=0,0,IF(AND(P15="Complete",D15="EV",E15&lt;120),IF(T15=0,0,ROUNDUP(T15*(R15-'Operating costs'!$B$41)*(S15*U15+'Operating costs'!$B$48/(1-'Operating costs'!$B$44))/(V15*'Operating costs'!$B$47/(1-'Operating costs'!$B$44)-T15*'Operating costs'!$B$12*U15),0)),0))</f>
        <v>0</v>
      </c>
      <c r="X15" s="1">
        <f>IF(C15=0,0,IF(AND(P15="Complete",D15="EV",E15&lt;120),(R15-'Operating costs'!$B$41)*(S15*U15+'Operating costs'!$B$48/(1-'Operating costs'!$B$44))+W15*'Operating costs'!$B$12*U15,0))</f>
        <v>0</v>
      </c>
      <c r="Y15" s="1">
        <f>IF(AND(C15=1,D15="EV",E15&lt;120),AI15/(1-'Operating costs'!$B$44)*(1-T15),0)</f>
        <v>0</v>
      </c>
      <c r="Z15" s="1">
        <f t="shared" si="0"/>
        <v>0</v>
      </c>
      <c r="AA15" s="1">
        <f>IF(C15=0,0,IF(P15="Complete",((S15*(R15-'Operating costs'!$B$40))+ROUNDUP(S15*(R15-'Operating costs'!$B$40)*IF('Replacement plan'!$AH$9="",'Operating costs'!$B$7,'Replacement plan'!$AH$9)/('Operating costs'!$B$8-'Operating costs'!$B$9*IF('Replacement plan'!$AH$9="",'Operating costs'!$B$7,'Replacement plan'!$AH$9)),0)*'Operating costs'!$B$9)*IF('Replacement plan'!$AH$9="",'Operating costs'!$B$7,'Replacement plan'!$AH$9),"n.a."))</f>
        <v>4522.8</v>
      </c>
      <c r="AB15" s="1">
        <f t="shared" si="1"/>
        <v>0</v>
      </c>
      <c r="AC15" s="1">
        <f>IF(AND(C15=1,D15="EV",E15&lt;120,T15&gt;0),'Operating costs'!$B$12/'Operating costs'!$B$11*60+'Operating costs'!$B$13+'Operating costs'!$B$14+V15*'Operating costs'!$B$47/(1-'Operating costs'!$B$44)/'Replacement plan'!$L$9*60,0)</f>
        <v>0</v>
      </c>
      <c r="AD15" s="1" t="str">
        <f>'Replacement plan'!$B$9</f>
        <v>ChengLong L2EV</v>
      </c>
      <c r="AE15" s="1">
        <f>IF(C15=0,0,VLOOKUP($A15,'Fleet register'!$A$7:$S$106,8,FALSE))</f>
        <v>1200</v>
      </c>
      <c r="AF15" s="1" t="str">
        <f>IF('Replacement plan'!$H$9="","n.a.",'Replacement plan'!$H$9)</f>
        <v>n.a.</v>
      </c>
      <c r="AG15" s="1">
        <f>'Replacement plan'!$J$9</f>
        <v>22</v>
      </c>
      <c r="AH15" s="1">
        <f>IFERROR(IF(D15="EV",IF('Replacement plan'!$K$9="AC",IF(ISNUMBER(INDEX(Products!$G$7:$G$13,MATCH('Replacement plan'!$B$9,Products!$A$7:$A$13,0))),INDEX(Products!$G$7:$G$13,MATCH('Replacement plan'!$B$9,Products!$A$7:$A$13,0)),"n.a."),IF(ISNUMBER(INDEX(Products!$H$7:$H$13,MATCH('Replacement plan'!$B$9,Products!$A$7:$A$13,0))),INDEX(Products!$H$7:$H$13,MATCH('Replacement plan'!$B$9,Products!$A$7:$A$13,0)),"n.a.")),0),"n.a.")</f>
        <v>0</v>
      </c>
      <c r="AI15" s="1">
        <f>IF(AND(C15=1,D15="EV",E15&lt;120),(VLOOKUP($A15,'Fleet register'!$A$7:$S$106,7,FALSE)+IF(T15&gt;0,'Operating costs'!$B$12,0))*U15*(1-'Operating costs'!$B$44)+'Operating costs'!$B$49,0)</f>
        <v>0</v>
      </c>
      <c r="AJ15" s="1">
        <f>IF(D15="EV",'Energy and charging'!$B$50,0)</f>
        <v>0</v>
      </c>
      <c r="AK15" s="17">
        <f>EDATE('Operating costs'!$B$63,E15)</f>
        <v>47394</v>
      </c>
      <c r="AL15" s="1">
        <f>IFERROR(IF(D15="EV",INDEX(Products!$B$7:$B$13,MATCH('Replacement plan'!$B$9,Products!$A$7:$A$13,0)),0),"n.a.")</f>
        <v>0</v>
      </c>
      <c r="AM15" s="1" t="str">
        <f>'Replacement plan'!$K$9</f>
        <v>DC</v>
      </c>
      <c r="AN15" s="1" t="str">
        <f>'Replacement plan'!$AE$9</f>
        <v>Assumed</v>
      </c>
      <c r="AO15" s="47">
        <f>IF(AND(C15=1,D15="EV",E15&lt;120),(R15-'Operating costs'!$B$41)*S15+W15*'Operating costs'!$B$12,0)</f>
        <v>0</v>
      </c>
      <c r="AP15" s="41">
        <f>IF(AND(C15=1,D15="EV",E15&lt;120),IF('Operating costs'!$B$68="Hong Seh 200k average",AO15*IFERROR(INDEX(Products!$P$7:$P$13,MATCH(AD15,Products!$A$7:$A$13,0)),"n.a."),'Operating costs'!$B$26),0)</f>
        <v>0</v>
      </c>
      <c r="AQ15" s="40" t="str">
        <f>IF(D15="EV",'Operating costs'!$B$68,"Not applicable")</f>
        <v>Not applicable</v>
      </c>
    </row>
    <row r="16" spans="1:43" ht="24" customHeight="1">
      <c r="A16" s="1" t="str">
        <f>'Replacement plan'!A9</f>
        <v>T003</v>
      </c>
      <c r="B16" s="1">
        <v>1</v>
      </c>
      <c r="C16" s="1">
        <f>IF(COUNTIFS('Fleet register'!$A$7:$A$106,$A16)=1,VLOOKUP($A16,'Fleet register'!$A$7:$S$106,2,FALSE),0)</f>
        <v>1</v>
      </c>
      <c r="D16" s="1" t="str">
        <f>IF("New ICE"="EV","EV","ICE")</f>
        <v>ICE</v>
      </c>
      <c r="E16" s="1">
        <f>IF(C16=0,0,0)</f>
        <v>0</v>
      </c>
      <c r="F16" s="16">
        <f>IF(C16=0,0,VLOOKUP($A16,'Fleet register'!$A$7:$S$106,11,FALSE))</f>
        <v>36000</v>
      </c>
      <c r="G16" s="16">
        <f>IFERROR(IF(C16=0,0,IF(E16=120,0,IF(D16="ICE",'Replacement plan'!$C$9,IF('Replacement plan'!$D$9="",INDEX(Products!$I$7:$I$13,MATCH('Replacement plan'!$B$9,Products!$A$7:$A$13,0))+'Operating costs'!$B$57,'Replacement plan'!$D$9))*(1+'Operating costs'!$B$50)^(E16/12))),"n.a.")</f>
        <v>181000</v>
      </c>
      <c r="H16" s="16">
        <f>IFERROR(IF(C16=0,0,IF(E16=0,F16,VLOOKUP($A16,'Fleet register'!$A$7:$S$106,12,FALSE)+VLOOKUP($A16,'Fleet register'!$A$7:$S$106,13,FALSE)*MAX(0,VLOOKUP($A16,'Fleet register'!$A$7:$S$106,10,FALSE)-E16)/VLOOKUP($A16,'Fleet register'!$A$7:$S$106,14,FALSE))),"n.a.")</f>
        <v>36000</v>
      </c>
      <c r="I16" s="16">
        <f>IF(C16=0,0,IF(E16=120,0,IF('Replacement plan'!$AI$9="",'Operating costs'!$B$56,'Replacement plan'!$AI$9)))</f>
        <v>12000</v>
      </c>
      <c r="J16" s="16">
        <f>IF(C16=0,0,IF(P16="Complete",((S16*(R16-'Operating costs'!$B$39))+ROUNDUP(S16*(R16-'Operating costs'!$B$39)*IF('Replacement plan'!$AG$9="",'Operating costs'!$B$7,'Replacement plan'!$AG$9)/('Operating costs'!$B$8-'Operating costs'!$B$9*IF('Replacement plan'!$AG$9="",'Operating costs'!$B$7,'Replacement plan'!$AG$9)),0)*'Operating costs'!$B$9)*IF('Replacement plan'!$AG$9="",'Operating costs'!$B$7,'Replacement plan'!$AG$9)*('Energy and charging'!$B$9*'Energy and charging'!$B$7+(1-'Energy and charging'!$B$9)*'Energy and charging'!$B$8)*'Operating costs'!$B$23,"n.a."))</f>
        <v>9045.6</v>
      </c>
      <c r="K16" s="16">
        <f>IF(C16=0,0,IF(P16="Complete",SUM('Operating costs'!$B$24,'Operating costs'!$B$27,'Operating costs'!$B$29,'Operating costs'!$B$31,'Operating costs'!$B$33,'Operating costs'!$B$34,'Operating costs'!$B$37,'Replacement plan'!$W$9)+'Operating costs'!$B$39*'Operating costs'!$B$42+ROUNDUP(S16*(R16-'Operating costs'!$B$39)*IF('Replacement plan'!$AG$9="",'Operating costs'!$B$7,'Replacement plan'!$AG$9)/('Operating costs'!$B$8-'Operating costs'!$B$9*IF('Replacement plan'!$AG$9="",'Operating costs'!$B$7,'Replacement plan'!$AG$9)),0)*('Operating costs'!$B$9/'Operating costs'!$B$11+'Operating costs'!$B$10/60)*'Operating costs'!$B$19*'Operating costs'!$B$21,"n.a."))</f>
        <v>9105.75</v>
      </c>
      <c r="L16" s="16">
        <f>IF(C16=0,0,IF(P16="Complete",IF(D16="EV",X16*((1-T16)*'Energy and charging'!$B$10+T16*'Energy and charging'!$B$11)*'Operating costs'!$B$22,AA16*('Energy and charging'!$B$9*'Energy and charging'!$B$7+(1-'Energy and charging'!$B$9)*'Energy and charging'!$B$8)*'Operating costs'!$B$23),"n.a."))</f>
        <v>9045.6</v>
      </c>
      <c r="M16" s="37">
        <f>IF(C16=0,0,IF(P16="Complete",IF(D16="ICE",SUM('Operating costs'!$B$25,'Operating costs'!$B$27,'Operating costs'!$B$29,'Operating costs'!$B$31,'Operating costs'!$B$33,'Operating costs'!$B$35,'Operating costs'!$B$37,'Replacement plan'!$X$9)+'Operating costs'!$B$40*'Operating costs'!$B$42+ROUNDUP(S16*(R16-'Operating costs'!$B$40)*IF('Replacement plan'!$AH$9="",'Operating costs'!$B$7,'Replacement plan'!$AH$9)/('Operating costs'!$B$8-'Operating costs'!$B$9*IF('Replacement plan'!$AH$9="",'Operating costs'!$B$7,'Replacement plan'!$AH$9)),0)*('Operating costs'!$B$9/'Operating costs'!$B$11+'Operating costs'!$B$10/60)*'Operating costs'!$B$19*'Operating costs'!$B$21,SUM(AP16,'Operating costs'!$B$28,'Operating costs'!$B$30,'Operating costs'!$B$32,'Operating costs'!$B$33,'Operating costs'!$B$36,'Operating costs'!$B$38,'Replacement plan'!$Y$9)+'Operating costs'!$B$41*'Operating costs'!$B$43+W16*'Operating costs'!$B$15+(T16*X16/'Replacement plan'!$L$9+W16*('Operating costs'!$B$12/'Operating costs'!$B$11+('Operating costs'!$B$13+'Operating costs'!$B$14)/60)+(R16-'Operating costs'!$B$41)*(IF(T16&lt;1,'Operating costs'!$B$16,0)+'Operating costs'!$B$17)/60)*'Operating costs'!$B$19*'Operating costs'!$B$20),"n.a."))</f>
        <v>9105.75</v>
      </c>
      <c r="N16" s="16">
        <f>IF(AND(C16=1,D16="EV",E16&lt;120,E16+'Replacement plan'!$AA$9&lt;=120),'Replacement plan'!$Z$9,0)</f>
        <v>0</v>
      </c>
      <c r="O16" s="1">
        <f>E16+'Replacement plan'!$AA$9</f>
        <v>0</v>
      </c>
      <c r="P16" s="35" t="str">
        <f>IFERROR(IF(C16=0,"Excluded",IF(OR(COUNTIFS('Fleet register'!$A$7:$A$106,A16)&lt;&gt;1,COUNTIFS('Replacement plan'!$A$7:$A$106,A16)&lt;&gt;1),"Duplicate/missing ID",IF(NOT(AND(ISNUMBER(VLOOKUP($A16,'Fleet register'!$A$7:$S$106,5,FALSE)),ISNUMBER(VLOOKUP($A16,'Fleet register'!$A$7:$S$106,6,FALSE)),ISNUMBER(VLOOKUP($A16,'Fleet register'!$A$7:$S$106,10,FALSE)),ISNUMBER(VLOOKUP($A16,'Fleet register'!$A$7:$S$106,11,FALSE)),ISNUMBER(VLOOKUP($A16,'Fleet register'!$A$7:$S$106,12,FALSE)),ISNUMBER(VLOOKUP($A16,'Fleet register'!$A$7:$S$106,13,FALSE)),ISNUMBER(VLOOKUP($A16,'Fleet register'!$A$7:$S$106,14,FALSE)),VLOOKUP($A16,'Fleet register'!$A$7:$S$106,14,FALSE)&gt;0,ISNUMBER('Replacement plan'!$C$9),OR(E16=120,OR(ISNUMBER('Replacement plan'!$AI$9),AND('Replacement plan'!$AI$9="",ISNUMBER('Operating costs'!$B$56)))),ISNUMBER(E16))),"Missing vehicle input",IF(OR(E16&lt;0,E16&gt;VLOOKUP($A16,'Fleet register'!$A$7:$S$106,10,FALSE),E16&gt;120,E16&lt;&gt;INT(E16),VLOOKUP($A16,'Fleet register'!$A$7:$S$106,6,FALSE)&lt;=0,VLOOKUP($A16,'Fleet register'!$A$7:$S$106,6,FALSE)&gt;366,VLOOKUP($A16,'Fleet register'!$A$7:$S$106,5,FALSE)&lt;0,VLOOKUP($A16,'Fleet register'!$A$7:$S$106,11,FALSE)&lt;0,I16&lt;0,'Operating costs'!$B$8&lt;='Operating costs'!$B$7*'Operating costs'!$B$9,'Operating costs'!$B$11&lt;=0,'Operating costs'!$B$39&gt;R16,'Operating costs'!$B$40&gt;R16,'Operating costs'!$B$41&gt;R16,NOT(OR("New ICE"="Keep ICE","New ICE"="New ICE","New ICE"="EV"))),"Invalid vehicle input",IF(AND(D16="EV",E16&lt;120,OR(NOT(ISNUMBER(U16)),NOT(ISNUMBER(V16)),V16&lt;=0,T16&lt;0,T16&gt;1,'Replacement plan'!$L$9&lt;=0,'Operating costs'!$B$44&lt;0,'Operating costs'!$B$44&gt;=1,'Operating costs'!$B$47&lt;=0,'Operating costs'!$B$47&gt;1,V16*'Operating costs'!$B$47/(1-'Operating costs'!$B$44)&lt;=T16*'Operating costs'!$B$12*U16,AND('Replacement plan'!$Z$9&gt;0,OR('Replacement plan'!$AB$9&lt;&gt;"Yes",'Operating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charging'!$B$8&gt;=0))),ISNUMBER(VLOOKUP($A16,'Fleet register'!$A$7:$S$106,15,FALSE)),ISNUMBER(VLOOKUP($A16,'Fleet register'!$A$7:$S$106,16,FALSE)),ISNUMBER('Replacement plan'!$W$9),ISNUMBER('Replacement plan'!$X$9),OR(E16=120,AND(ISNUMBER(G16),G16&gt;=0)),ISNUMBER(H16),H16&gt;=0,OR(D16&lt;&gt;"EV",E16=120,AND(ISNUMBER('Operating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plan'!$Y$9),ISNUMBER('Replacement plan'!$Z$9),'Replacement plan'!$Z$9&gt;=0,ISNUMBER('Replacement plan'!$AA$9),'Replacement plan'!$AA$9&gt;=0,'Replacement plan'!$AA$9=INT('Replacement plan'!$AA$9),ISNUMBER('Replacement plan'!$L$9))),'Operating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plan'!$AG$9="",'Operating costs'!$B$7,'Replacement plan'!$AG$9)),IF('Replacement plan'!$AG$9="",'Operating costs'!$B$7,'Replacement plan'!$AG$9)&gt;=0,ISNUMBER(IF('Replacement plan'!$AH$9="",'Operating costs'!$B$7,'Replacement plan'!$AH$9)),IF('Replacement plan'!$AH$9="",'Operating costs'!$B$7,'Replacement plan'!$AH$9)&gt;=0,'Operating costs'!$B$8&gt;MAX(IF('Replacement plan'!$AG$9="",'Operating costs'!$B$7,'Replacement plan'!$AG$9),IF('Replacement plan'!$AH$9="",'Operating costs'!$B$7,'Replacement plan'!$AH$9))*'Operating costs'!$B$9),IF(AND(VLOOKUP($A16,'Fleet register'!$A$7:$S$106,10,FALSE)&gt;=0,VLOOKUP($A16,'Fleet register'!$A$7:$S$106,10,FALSE)&lt;=120,VLOOKUP($A16,'Fleet register'!$A$7:$S$106,10,FALSE)=INT(VLOOKUP($A16,'Fleet register'!$A$7:$S$106,10,FALSE)),VLOOKUP($A16,'Fleet register'!$A$7:$S$106,15,FALSE)&gt;=0,VLOOKUP($A16,'Fleet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costs'!$B$67)&gt;=0,OR(D16&lt;&gt;"EV",E16=120,AND(MIN('Operating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Complete</v>
      </c>
      <c r="Q16" s="1" t="str">
        <f>IF(C16=0,"Excluded",IF(P16&lt;&gt;"Complete",P16,IF(OR('Replacement plan'!$AD$9&lt;120-E16,AND(D16="EV",E16&lt;120,OR('Replacement plan'!$AC$9&lt;120-E16,'Replacement plan'!$I$9="No",AND(ISNUMBER(AF16),AE16&gt;AF16),AI16&gt;V16*(1-'Operating costs'!$B$46)^MAX(0,AB16-1)*(1-'Operating costs'!$B$45),AC16&gt;'Operating costs'!$B$18,AND(T16&lt;1,OR(AG16&lt;=0,AND(ISNUMBER(AH16),AG16&gt;AH16))),'Replacement plan'!$L$9&gt;INDEX(Products!$H$7:$H$13,MATCH('Replacement plan'!$B$9,Products!$A$7:$A$13,0))))),"Fails entered limits",IF(AND(D16="EV",E16&lt;120,OR(NOT(ISNUMBER(VLOOKUP($A16,'Fleet register'!$A$7:$S$106,7,FALSE))),NOT(ISNUMBER(VLOOKUP($A16,'Fleet register'!$A$7:$S$106,8,FALSE))),NOT(ISNUMBER(AF16)),'Replacement plan'!$I$9&lt;&gt;"Yes",NOT(ISNUMBER(AH16)),'Operating costs'!$B$59&lt;&gt;"Yes",'Operating costs'!$B$58&lt;&gt;"Yes")),"Unverified","Within entered limits"))))</f>
        <v>Within entered limits</v>
      </c>
      <c r="R16" s="1">
        <f>IF(C16=0,0,VLOOKUP($A16,'Fleet register'!$A$7:$S$106,6,FALSE))</f>
        <v>300</v>
      </c>
      <c r="S16" s="1">
        <f>IF(C16=0,0,VLOOKUP($A16,'Fleet register'!$A$7:$S$106,5,FALSE))</f>
        <v>150</v>
      </c>
      <c r="T16" s="1">
        <f>IF(D16="EV",'Energy and charging'!$B$12,0)</f>
        <v>0</v>
      </c>
      <c r="U16" s="1">
        <f>IFERROR(IF(C16=0,0,IF(D16="EV",IF('Replacement plan'!$F$9="",INDEX(Products!$E$7:$E$13,MATCH('Replacement plan'!$B$9,Products!$A$7:$A$13,0)),'Replacement plan'!$F$9)/IF('Replacement plan'!$G$9="Battery",1-'Operating costs'!$B$44,1),0)),"n.a.")</f>
        <v>0</v>
      </c>
      <c r="V16" s="1">
        <f>IFERROR(IF(C16=0,0,IF(D16="EV",IF('Replacement plan'!$E$9="",INDEX(Products!$D$7:$D$13,MATCH('Replacement plan'!$B$9,Products!$A$7:$A$13,0)),'Replacement plan'!$E$9),0)),"n.a.")</f>
        <v>0</v>
      </c>
      <c r="W16" s="1">
        <f>IF(C16=0,0,IF(AND(P16="Complete",D16="EV",E16&lt;120),IF(T16=0,0,ROUNDUP(T16*(R16-'Operating costs'!$B$41)*(S16*U16+'Operating costs'!$B$48/(1-'Operating costs'!$B$44))/(V16*'Operating costs'!$B$47/(1-'Operating costs'!$B$44)-T16*'Operating costs'!$B$12*U16),0)),0))</f>
        <v>0</v>
      </c>
      <c r="X16" s="1">
        <f>IF(C16=0,0,IF(AND(P16="Complete",D16="EV",E16&lt;120),(R16-'Operating costs'!$B$41)*(S16*U16+'Operating costs'!$B$48/(1-'Operating costs'!$B$44))+W16*'Operating costs'!$B$12*U16,0))</f>
        <v>0</v>
      </c>
      <c r="Y16" s="1">
        <f>IF(AND(C16=1,D16="EV",E16&lt;120),AI16/(1-'Operating costs'!$B$44)*(1-T16),0)</f>
        <v>0</v>
      </c>
      <c r="Z16" s="1">
        <f t="shared" si="0"/>
        <v>0</v>
      </c>
      <c r="AA16" s="1">
        <f>IF(C16=0,0,IF(P16="Complete",((S16*(R16-'Operating costs'!$B$40))+ROUNDUP(S16*(R16-'Operating costs'!$B$40)*IF('Replacement plan'!$AH$9="",'Operating costs'!$B$7,'Replacement plan'!$AH$9)/('Operating costs'!$B$8-'Operating costs'!$B$9*IF('Replacement plan'!$AH$9="",'Operating costs'!$B$7,'Replacement plan'!$AH$9)),0)*'Operating costs'!$B$9)*IF('Replacement plan'!$AH$9="",'Operating costs'!$B$7,'Replacement plan'!$AH$9),"n.a."))</f>
        <v>4522.8</v>
      </c>
      <c r="AB16" s="1">
        <f t="shared" si="1"/>
        <v>0</v>
      </c>
      <c r="AC16" s="1">
        <f>IF(AND(C16=1,D16="EV",E16&lt;120,T16&gt;0),'Operating costs'!$B$12/'Operating costs'!$B$11*60+'Operating costs'!$B$13+'Operating costs'!$B$14+V16*'Operating costs'!$B$47/(1-'Operating costs'!$B$44)/'Replacement plan'!$L$9*60,0)</f>
        <v>0</v>
      </c>
      <c r="AD16" s="1" t="str">
        <f>'Replacement plan'!$B$9</f>
        <v>ChengLong L2EV</v>
      </c>
      <c r="AE16" s="1">
        <f>IF(C16=0,0,VLOOKUP($A16,'Fleet register'!$A$7:$S$106,8,FALSE))</f>
        <v>1200</v>
      </c>
      <c r="AF16" s="1" t="str">
        <f>IF('Replacement plan'!$H$9="","n.a.",'Replacement plan'!$H$9)</f>
        <v>n.a.</v>
      </c>
      <c r="AG16" s="1">
        <f>'Replacement plan'!$J$9</f>
        <v>22</v>
      </c>
      <c r="AH16" s="1">
        <f>IFERROR(IF(D16="EV",IF('Replacement plan'!$K$9="AC",IF(ISNUMBER(INDEX(Products!$G$7:$G$13,MATCH('Replacement plan'!$B$9,Products!$A$7:$A$13,0))),INDEX(Products!$G$7:$G$13,MATCH('Replacement plan'!$B$9,Products!$A$7:$A$13,0)),"n.a."),IF(ISNUMBER(INDEX(Products!$H$7:$H$13,MATCH('Replacement plan'!$B$9,Products!$A$7:$A$13,0))),INDEX(Products!$H$7:$H$13,MATCH('Replacement plan'!$B$9,Products!$A$7:$A$13,0)),"n.a.")),0),"n.a.")</f>
        <v>0</v>
      </c>
      <c r="AI16" s="1">
        <f>IF(AND(C16=1,D16="EV",E16&lt;120),(VLOOKUP($A16,'Fleet register'!$A$7:$S$106,7,FALSE)+IF(T16&gt;0,'Operating costs'!$B$12,0))*U16*(1-'Operating costs'!$B$44)+'Operating costs'!$B$49,0)</f>
        <v>0</v>
      </c>
      <c r="AJ16" s="1">
        <f>IF(D16="EV",'Energy and charging'!$B$50,0)</f>
        <v>0</v>
      </c>
      <c r="AK16" s="17">
        <f>EDATE('Operating costs'!$B$63,E16)</f>
        <v>46298</v>
      </c>
      <c r="AL16" s="1">
        <f>IFERROR(IF(D16="EV",INDEX(Products!$B$7:$B$13,MATCH('Replacement plan'!$B$9,Products!$A$7:$A$13,0)),0),"n.a.")</f>
        <v>0</v>
      </c>
      <c r="AM16" s="1" t="str">
        <f>'Replacement plan'!$K$9</f>
        <v>DC</v>
      </c>
      <c r="AN16" s="1" t="str">
        <f>'Replacement plan'!$AE$9</f>
        <v>Assumed</v>
      </c>
      <c r="AO16" s="47">
        <f>IF(AND(C16=1,D16="EV",E16&lt;120),(R16-'Operating costs'!$B$41)*S16+W16*'Operating costs'!$B$12,0)</f>
        <v>0</v>
      </c>
      <c r="AP16" s="41">
        <f>IF(AND(C16=1,D16="EV",E16&lt;120),IF('Operating costs'!$B$68="Hong Seh 200k average",AO16*IFERROR(INDEX(Products!$P$7:$P$13,MATCH(AD16,Products!$A$7:$A$13,0)),"n.a."),'Operating costs'!$B$26),0)</f>
        <v>0</v>
      </c>
      <c r="AQ16" s="40" t="str">
        <f>IF(D16="EV",'Operating costs'!$B$68,"Not applicable")</f>
        <v>Not applicable</v>
      </c>
    </row>
    <row r="17" spans="1:43" ht="24" customHeight="1">
      <c r="A17" s="1" t="str">
        <f>'Replacement plan'!A9</f>
        <v>T003</v>
      </c>
      <c r="B17" s="1">
        <v>2</v>
      </c>
      <c r="C17" s="1">
        <f>IF(COUNTIFS('Fleet register'!$A$7:$A$106,$A17)=1,VLOOKUP($A17,'Fleet register'!$A$7:$S$106,2,FALSE),0)</f>
        <v>1</v>
      </c>
      <c r="D17" s="1" t="str">
        <f>IF('Replacement plan'!$O$9="EV","EV","ICE")</f>
        <v>ICE</v>
      </c>
      <c r="E17" s="1">
        <f>IF(C17=0,0,IF('Replacement plan'!$P$9="",IF('Replacement plan'!$O$9="Keep ICE",IF('Replacement plan'!$M$9="",VLOOKUP($A17,'Fleet register'!$A$7:$S$106,10,FALSE),'Replacement plan'!$M$9),0),'Replacement plan'!$P$9))</f>
        <v>36</v>
      </c>
      <c r="F17" s="16">
        <f>IF(C17=0,0,VLOOKUP($A17,'Fleet register'!$A$7:$S$106,11,FALSE))</f>
        <v>36000</v>
      </c>
      <c r="G17" s="16">
        <f>IFERROR(IF(C17=0,0,IF(E17=120,0,IF(D17="ICE",'Replacement plan'!$C$9,IF('Replacement plan'!$D$9="",INDEX(Products!$I$7:$I$13,MATCH('Replacement plan'!$B$9,Products!$A$7:$A$13,0))+'Operating costs'!$B$57,'Replacement plan'!$D$9))*(1+'Operating costs'!$B$50)^(E17/12))),"n.a.")</f>
        <v>181000</v>
      </c>
      <c r="H17" s="16">
        <f>IFERROR(IF(C17=0,0,IF('Replacement plan'!$U$9&lt;&gt;"",'Replacement plan'!$U$9,IF(E17=0,F17,VLOOKUP($A17,'Fleet register'!$A$7:$S$106,12,FALSE)+VLOOKUP($A17,'Fleet register'!$A$7:$S$106,13,FALSE)*MAX(0,VLOOKUP($A17,'Fleet register'!$A$7:$S$106,10,FALSE)-E17)/VLOOKUP($A17,'Fleet register'!$A$7:$S$106,14,FALSE)))),"n.a.")</f>
        <v>10000</v>
      </c>
      <c r="I17" s="16">
        <f>IF(C17=0,0,IF(E17=120,0,'Replacement plan'!$Q$9))</f>
        <v>39900</v>
      </c>
      <c r="J17" s="16">
        <f>IF(C17=0,0,IF(P17="Complete",((S17*(R17-'Operating costs'!$B$39))+ROUNDUP(S17*(R17-'Operating costs'!$B$39)*IF('Replacement plan'!$AG$9="",'Operating costs'!$B$7,'Replacement plan'!$AG$9)/('Operating costs'!$B$8-'Operating costs'!$B$9*IF('Replacement plan'!$AG$9="",'Operating costs'!$B$7,'Replacement plan'!$AG$9)),0)*'Operating costs'!$B$9)*IF('Replacement plan'!$AG$9="",'Operating costs'!$B$7,'Replacement plan'!$AG$9)*('Energy and charging'!$B$9*'Energy and charging'!$B$7+(1-'Energy and charging'!$B$9)*'Energy and charging'!$B$8)*'Operating costs'!$B$23,"n.a."))</f>
        <v>9045.6</v>
      </c>
      <c r="K17" s="16">
        <f>IF(C17=0,0,IF(P17="Complete",SUM('Operating costs'!$B$24,'Operating costs'!$B$27,'Operating costs'!$B$29,'Operating costs'!$B$31,'Operating costs'!$B$33,'Operating costs'!$B$34,'Operating costs'!$B$37,'Replacement plan'!$W$9)+'Operating costs'!$B$39*'Operating costs'!$B$42+ROUNDUP(S17*(R17-'Operating costs'!$B$39)*IF('Replacement plan'!$AG$9="",'Operating costs'!$B$7,'Replacement plan'!$AG$9)/('Operating costs'!$B$8-'Operating costs'!$B$9*IF('Replacement plan'!$AG$9="",'Operating costs'!$B$7,'Replacement plan'!$AG$9)),0)*('Operating costs'!$B$9/'Operating costs'!$B$11+'Operating costs'!$B$10/60)*'Operating costs'!$B$19*'Operating costs'!$B$21,"n.a."))</f>
        <v>9105.75</v>
      </c>
      <c r="L17" s="16">
        <f>IF(C17=0,0,IF(P17="Complete",IF(D17="EV",X17*((1-T17)*'Energy and charging'!$B$10+T17*'Energy and charging'!$B$11)*'Operating costs'!$B$22,AA17*('Energy and charging'!$B$9*'Energy and charging'!$B$7+(1-'Energy and charging'!$B$9)*'Energy and charging'!$B$8)*'Operating costs'!$B$23),"n.a."))</f>
        <v>9045.6</v>
      </c>
      <c r="M17" s="37">
        <f>IF(C17=0,0,IF(P17="Complete",IF(D17="ICE",SUM('Operating costs'!$B$25,'Operating costs'!$B$27,'Operating costs'!$B$29,'Operating costs'!$B$31,'Operating costs'!$B$33,'Operating costs'!$B$35,'Operating costs'!$B$37,'Replacement plan'!$X$9)+'Operating costs'!$B$40*'Operating costs'!$B$42+ROUNDUP(S17*(R17-'Operating costs'!$B$40)*IF('Replacement plan'!$AH$9="",'Operating costs'!$B$7,'Replacement plan'!$AH$9)/('Operating costs'!$B$8-'Operating costs'!$B$9*IF('Replacement plan'!$AH$9="",'Operating costs'!$B$7,'Replacement plan'!$AH$9)),0)*('Operating costs'!$B$9/'Operating costs'!$B$11+'Operating costs'!$B$10/60)*'Operating costs'!$B$19*'Operating costs'!$B$21,SUM(AP17,'Operating costs'!$B$28,'Operating costs'!$B$30,'Operating costs'!$B$32,'Operating costs'!$B$33,'Operating costs'!$B$36,'Operating costs'!$B$38,'Replacement plan'!$Y$9)+'Operating costs'!$B$41*'Operating costs'!$B$43+W17*'Operating costs'!$B$15+(T17*X17/'Replacement plan'!$L$9+W17*('Operating costs'!$B$12/'Operating costs'!$B$11+('Operating costs'!$B$13+'Operating costs'!$B$14)/60)+(R17-'Operating costs'!$B$41)*(IF(T17&lt;1,'Operating costs'!$B$16,0)+'Operating costs'!$B$17)/60)*'Operating costs'!$B$19*'Operating costs'!$B$20),"n.a."))</f>
        <v>9105.75</v>
      </c>
      <c r="N17" s="16">
        <f>IF(AND(C17=1,D17="EV",E17&lt;120,E17+'Replacement plan'!$AA$9&lt;=120),'Replacement plan'!$Z$9,0)</f>
        <v>0</v>
      </c>
      <c r="O17" s="1">
        <f>E17+'Replacement plan'!$AA$9</f>
        <v>36</v>
      </c>
      <c r="P17" s="35" t="str">
        <f>IFERROR(IF(C17=0,"Excluded",IF(OR(COUNTIFS('Fleet register'!$A$7:$A$106,A17)&lt;&gt;1,COUNTIFS('Replacement plan'!$A$7:$A$106,A17)&lt;&gt;1),"Duplicate/missing ID",IF(NOT(AND(ISNUMBER(VLOOKUP($A17,'Fleet register'!$A$7:$S$106,5,FALSE)),ISNUMBER(VLOOKUP($A17,'Fleet register'!$A$7:$S$106,6,FALSE)),ISNUMBER(VLOOKUP($A17,'Fleet register'!$A$7:$S$106,10,FALSE)),ISNUMBER(VLOOKUP($A17,'Fleet register'!$A$7:$S$106,11,FALSE)),ISNUMBER(VLOOKUP($A17,'Fleet register'!$A$7:$S$106,12,FALSE)),ISNUMBER(VLOOKUP($A17,'Fleet register'!$A$7:$S$106,13,FALSE)),ISNUMBER(VLOOKUP($A17,'Fleet register'!$A$7:$S$106,14,FALSE)),VLOOKUP($A17,'Fleet register'!$A$7:$S$106,14,FALSE)&gt;0,ISNUMBER('Replacement plan'!$C$9),OR(E17=120,ISNUMBER('Replacement plan'!$Q$9)),ISNUMBER(E17))),"Missing vehicle input",IF(OR(E17&lt;0,E17&gt;VLOOKUP($A17,'Fleet register'!$A$7:$S$106,10,FALSE),E17&gt;120,E17&lt;&gt;INT(E17),VLOOKUP($A17,'Fleet register'!$A$7:$S$106,6,FALSE)&lt;=0,VLOOKUP($A17,'Fleet register'!$A$7:$S$106,6,FALSE)&gt;366,VLOOKUP($A17,'Fleet register'!$A$7:$S$106,5,FALSE)&lt;0,VLOOKUP($A17,'Fleet register'!$A$7:$S$106,11,FALSE)&lt;0,I17&lt;0,'Operating costs'!$B$8&lt;='Operating costs'!$B$7*'Operating costs'!$B$9,'Operating costs'!$B$11&lt;=0,'Operating costs'!$B$39&gt;R17,'Operating costs'!$B$40&gt;R17,'Operating costs'!$B$41&gt;R17,NOT(OR('Replacement plan'!$O$9="Keep ICE",'Replacement plan'!$O$9="New ICE",'Replacement plan'!$O$9="EV"))),"Invalid vehicle input",IF(AND(D17="EV",E17&lt;120,OR(NOT(ISNUMBER(U17)),NOT(ISNUMBER(V17)),V17&lt;=0,T17&lt;0,T17&gt;1,'Replacement plan'!$L$9&lt;=0,'Operating costs'!$B$44&lt;0,'Operating costs'!$B$44&gt;=1,'Operating costs'!$B$47&lt;=0,'Operating costs'!$B$47&gt;1,V17*'Operating costs'!$B$47/(1-'Operating costs'!$B$44)&lt;=T17*'Operating costs'!$B$12*U17,AND('Replacement plan'!$Z$9&gt;0,OR('Replacement plan'!$AB$9&lt;&gt;"Yes",'Operating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charging'!$B$8&gt;=0))),ISNUMBER(VLOOKUP($A17,'Fleet register'!$A$7:$S$106,15,FALSE)),ISNUMBER(VLOOKUP($A17,'Fleet register'!$A$7:$S$106,16,FALSE)),ISNUMBER('Replacement plan'!$W$9),ISNUMBER('Replacement plan'!$X$9),OR(E17=120,AND(ISNUMBER(G17),G17&gt;=0)),ISNUMBER(H17),H17&gt;=0,OR(D17&lt;&gt;"EV",E17=120,AND(ISNUMBER('Operating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plan'!$Y$9),ISNUMBER('Replacement plan'!$Z$9),'Replacement plan'!$Z$9&gt;=0,ISNUMBER('Replacement plan'!$AA$9),'Replacement plan'!$AA$9&gt;=0,'Replacement plan'!$AA$9=INT('Replacement plan'!$AA$9),ISNUMBER('Replacement plan'!$L$9))),'Operating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plan'!$AG$9="",'Operating costs'!$B$7,'Replacement plan'!$AG$9)),IF('Replacement plan'!$AG$9="",'Operating costs'!$B$7,'Replacement plan'!$AG$9)&gt;=0,ISNUMBER(IF('Replacement plan'!$AH$9="",'Operating costs'!$B$7,'Replacement plan'!$AH$9)),IF('Replacement plan'!$AH$9="",'Operating costs'!$B$7,'Replacement plan'!$AH$9)&gt;=0,'Operating costs'!$B$8&gt;MAX(IF('Replacement plan'!$AG$9="",'Operating costs'!$B$7,'Replacement plan'!$AG$9),IF('Replacement plan'!$AH$9="",'Operating costs'!$B$7,'Replacement plan'!$AH$9))*'Operating costs'!$B$9),IF(AND(VLOOKUP($A17,'Fleet register'!$A$7:$S$106,10,FALSE)&gt;=0,VLOOKUP($A17,'Fleet register'!$A$7:$S$106,10,FALSE)&lt;=120,VLOOKUP($A17,'Fleet register'!$A$7:$S$106,10,FALSE)=INT(VLOOKUP($A17,'Fleet register'!$A$7:$S$106,10,FALSE)),VLOOKUP($A17,'Fleet register'!$A$7:$S$106,15,FALSE)&gt;=0,VLOOKUP($A17,'Fleet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costs'!$B$67)&gt;=0,OR(D17&lt;&gt;"EV",E17=120,AND(MIN('Operating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Complete</v>
      </c>
      <c r="Q17" s="1" t="str">
        <f>IF(C17=0,"Excluded",IF(P17&lt;&gt;"Complete",P17,IF(OR('Replacement plan'!$AD$9&lt;120-E17,AND(D17="EV",E17&lt;120,OR('Replacement plan'!$AC$9&lt;120-E17,'Replacement plan'!$I$9="No",AND(ISNUMBER(AF17),AE17&gt;AF17),AI17&gt;V17*(1-'Operating costs'!$B$46)^MAX(0,AB17-1)*(1-'Operating costs'!$B$45),AC17&gt;'Operating costs'!$B$18,AND(T17&lt;1,OR(AG17&lt;=0,AND(ISNUMBER(AH17),AG17&gt;AH17))),'Replacement plan'!$L$9&gt;INDEX(Products!$H$7:$H$13,MATCH('Replacement plan'!$B$9,Products!$A$7:$A$13,0))))),"Fails entered limits",IF(AND(D17="EV",E17&lt;120,OR(NOT(ISNUMBER(VLOOKUP($A17,'Fleet register'!$A$7:$S$106,7,FALSE))),NOT(ISNUMBER(VLOOKUP($A17,'Fleet register'!$A$7:$S$106,8,FALSE))),NOT(ISNUMBER(AF17)),'Replacement plan'!$I$9&lt;&gt;"Yes",NOT(ISNUMBER(AH17)),'Operating costs'!$B$59&lt;&gt;"Yes",'Operating costs'!$B$58&lt;&gt;"Yes")),"Unverified","Within entered limits"))))</f>
        <v>Within entered limits</v>
      </c>
      <c r="R17" s="1">
        <f>IF(C17=0,0,VLOOKUP($A17,'Fleet register'!$A$7:$S$106,6,FALSE))</f>
        <v>300</v>
      </c>
      <c r="S17" s="1">
        <f>IF(C17=0,0,VLOOKUP($A17,'Fleet register'!$A$7:$S$106,5,FALSE))</f>
        <v>150</v>
      </c>
      <c r="T17" s="1">
        <f>IF(D17="EV",'Energy and charging'!$B$12,0)</f>
        <v>0</v>
      </c>
      <c r="U17" s="1">
        <f>IFERROR(IF(C17=0,0,IF(D17="EV",IF('Replacement plan'!$F$9="",INDEX(Products!$E$7:$E$13,MATCH('Replacement plan'!$B$9,Products!$A$7:$A$13,0)),'Replacement plan'!$F$9)/IF('Replacement plan'!$G$9="Battery",1-'Operating costs'!$B$44,1),0)),"n.a.")</f>
        <v>0</v>
      </c>
      <c r="V17" s="1">
        <f>IFERROR(IF(C17=0,0,IF(D17="EV",IF('Replacement plan'!$E$9="",INDEX(Products!$D$7:$D$13,MATCH('Replacement plan'!$B$9,Products!$A$7:$A$13,0)),'Replacement plan'!$E$9),0)),"n.a.")</f>
        <v>0</v>
      </c>
      <c r="W17" s="1">
        <f>IF(C17=0,0,IF(AND(P17="Complete",D17="EV",E17&lt;120),IF(T17=0,0,ROUNDUP(T17*(R17-'Operating costs'!$B$41)*(S17*U17+'Operating costs'!$B$48/(1-'Operating costs'!$B$44))/(V17*'Operating costs'!$B$47/(1-'Operating costs'!$B$44)-T17*'Operating costs'!$B$12*U17),0)),0))</f>
        <v>0</v>
      </c>
      <c r="X17" s="1">
        <f>IF(C17=0,0,IF(AND(P17="Complete",D17="EV",E17&lt;120),(R17-'Operating costs'!$B$41)*(S17*U17+'Operating costs'!$B$48/(1-'Operating costs'!$B$44))+W17*'Operating costs'!$B$12*U17,0))</f>
        <v>0</v>
      </c>
      <c r="Y17" s="1">
        <f>IF(AND(C17=1,D17="EV",E17&lt;120),AI17/(1-'Operating costs'!$B$44)*(1-T17),0)</f>
        <v>0</v>
      </c>
      <c r="Z17" s="1">
        <f t="shared" si="0"/>
        <v>0</v>
      </c>
      <c r="AA17" s="1">
        <f>IF(C17=0,0,IF(P17="Complete",((S17*(R17-'Operating costs'!$B$40))+ROUNDUP(S17*(R17-'Operating costs'!$B$40)*IF('Replacement plan'!$AH$9="",'Operating costs'!$B$7,'Replacement plan'!$AH$9)/('Operating costs'!$B$8-'Operating costs'!$B$9*IF('Replacement plan'!$AH$9="",'Operating costs'!$B$7,'Replacement plan'!$AH$9)),0)*'Operating costs'!$B$9)*IF('Replacement plan'!$AH$9="",'Operating costs'!$B$7,'Replacement plan'!$AH$9),"n.a."))</f>
        <v>4522.8</v>
      </c>
      <c r="AB17" s="1">
        <f t="shared" si="1"/>
        <v>0</v>
      </c>
      <c r="AC17" s="1">
        <f>IF(AND(C17=1,D17="EV",E17&lt;120,T17&gt;0),'Operating costs'!$B$12/'Operating costs'!$B$11*60+'Operating costs'!$B$13+'Operating costs'!$B$14+V17*'Operating costs'!$B$47/(1-'Operating costs'!$B$44)/'Replacement plan'!$L$9*60,0)</f>
        <v>0</v>
      </c>
      <c r="AD17" s="1" t="str">
        <f>'Replacement plan'!$B$9</f>
        <v>ChengLong L2EV</v>
      </c>
      <c r="AE17" s="1">
        <f>IF(C17=0,0,VLOOKUP($A17,'Fleet register'!$A$7:$S$106,8,FALSE))</f>
        <v>1200</v>
      </c>
      <c r="AF17" s="1" t="str">
        <f>IF('Replacement plan'!$H$9="","n.a.",'Replacement plan'!$H$9)</f>
        <v>n.a.</v>
      </c>
      <c r="AG17" s="1">
        <f>'Replacement plan'!$J$9</f>
        <v>22</v>
      </c>
      <c r="AH17" s="1">
        <f>IFERROR(IF(D17="EV",IF('Replacement plan'!$K$9="AC",IF(ISNUMBER(INDEX(Products!$G$7:$G$13,MATCH('Replacement plan'!$B$9,Products!$A$7:$A$13,0))),INDEX(Products!$G$7:$G$13,MATCH('Replacement plan'!$B$9,Products!$A$7:$A$13,0)),"n.a."),IF(ISNUMBER(INDEX(Products!$H$7:$H$13,MATCH('Replacement plan'!$B$9,Products!$A$7:$A$13,0))),INDEX(Products!$H$7:$H$13,MATCH('Replacement plan'!$B$9,Products!$A$7:$A$13,0)),"n.a.")),0),"n.a.")</f>
        <v>0</v>
      </c>
      <c r="AI17" s="1">
        <f>IF(AND(C17=1,D17="EV",E17&lt;120),(VLOOKUP($A17,'Fleet register'!$A$7:$S$106,7,FALSE)+IF(T17&gt;0,'Operating costs'!$B$12,0))*U17*(1-'Operating costs'!$B$44)+'Operating costs'!$B$49,0)</f>
        <v>0</v>
      </c>
      <c r="AJ17" s="1">
        <f>IF(D17="EV",'Energy and charging'!$B$50,0)</f>
        <v>0</v>
      </c>
      <c r="AK17" s="17">
        <f>EDATE('Operating costs'!$B$63,E17)</f>
        <v>47394</v>
      </c>
      <c r="AL17" s="1">
        <f>IFERROR(IF(D17="EV",INDEX(Products!$B$7:$B$13,MATCH('Replacement plan'!$B$9,Products!$A$7:$A$13,0)),0),"n.a.")</f>
        <v>0</v>
      </c>
      <c r="AM17" s="1" t="str">
        <f>'Replacement plan'!$K$9</f>
        <v>DC</v>
      </c>
      <c r="AN17" s="1" t="str">
        <f>'Replacement plan'!$AE$9</f>
        <v>Assumed</v>
      </c>
      <c r="AO17" s="47">
        <f>IF(AND(C17=1,D17="EV",E17&lt;120),(R17-'Operating costs'!$B$41)*S17+W17*'Operating costs'!$B$12,0)</f>
        <v>0</v>
      </c>
      <c r="AP17" s="41">
        <f>IF(AND(C17=1,D17="EV",E17&lt;120),IF('Operating costs'!$B$68="Hong Seh 200k average",AO17*IFERROR(INDEX(Products!$P$7:$P$13,MATCH(AD17,Products!$A$7:$A$13,0)),"n.a."),'Operating costs'!$B$26),0)</f>
        <v>0</v>
      </c>
      <c r="AQ17" s="40" t="str">
        <f>IF(D17="EV",'Operating costs'!$B$68,"Not applicable")</f>
        <v>Not applicable</v>
      </c>
    </row>
    <row r="18" spans="1:43" ht="24" customHeight="1">
      <c r="A18" s="1" t="str">
        <f>'Replacement plan'!A9</f>
        <v>T003</v>
      </c>
      <c r="B18" s="1">
        <v>3</v>
      </c>
      <c r="C18" s="1">
        <f>IF(COUNTIFS('Fleet register'!$A$7:$A$106,$A18)=1,VLOOKUP($A18,'Fleet register'!$A$7:$S$106,2,FALSE),0)</f>
        <v>1</v>
      </c>
      <c r="D18" s="1" t="str">
        <f>IF('Replacement plan'!$R$9="EV","EV","ICE")</f>
        <v>EV</v>
      </c>
      <c r="E18" s="1">
        <f>IF(C18=0,0,IF('Replacement plan'!$S$9="",IF('Replacement plan'!$R$9="Keep ICE",IF('Replacement plan'!$M$9="",VLOOKUP($A18,'Fleet register'!$A$7:$S$106,10,FALSE),'Replacement plan'!$M$9),0),'Replacement plan'!$S$9))</f>
        <v>0</v>
      </c>
      <c r="F18" s="16">
        <f>IF(C18=0,0,VLOOKUP($A18,'Fleet register'!$A$7:$S$106,11,FALSE))</f>
        <v>36000</v>
      </c>
      <c r="G18" s="16">
        <f>IFERROR(IF(C18=0,0,IF(E18=120,0,IF(D18="ICE",'Replacement plan'!$C$9,IF('Replacement plan'!$D$9="",INDEX(Products!$I$7:$I$13,MATCH('Replacement plan'!$B$9,Products!$A$7:$A$13,0))+'Operating costs'!$B$57,'Replacement plan'!$D$9))*(1+'Operating costs'!$B$50)^(E18/12))),"n.a.")</f>
        <v>171800</v>
      </c>
      <c r="H18" s="16">
        <f>IFERROR(IF(C18=0,0,IF('Replacement plan'!$V$9&lt;&gt;"",'Replacement plan'!$V$9,IF(E18=0,F18,VLOOKUP($A18,'Fleet register'!$A$7:$S$106,12,FALSE)+VLOOKUP($A18,'Fleet register'!$A$7:$S$106,13,FALSE)*MAX(0,VLOOKUP($A18,'Fleet register'!$A$7:$S$106,10,FALSE)-E18)/VLOOKUP($A18,'Fleet register'!$A$7:$S$106,14,FALSE)))),"n.a.")</f>
        <v>36000</v>
      </c>
      <c r="I18" s="16">
        <f>IF(C18=0,0,IF(E18=120,0,'Replacement plan'!$T$9))</f>
        <v>8000</v>
      </c>
      <c r="J18" s="16">
        <f>IF(C18=0,0,IF(P18="Complete",((S18*(R18-'Operating costs'!$B$39))+ROUNDUP(S18*(R18-'Operating costs'!$B$39)*IF('Replacement plan'!$AG$9="",'Operating costs'!$B$7,'Replacement plan'!$AG$9)/('Operating costs'!$B$8-'Operating costs'!$B$9*IF('Replacement plan'!$AG$9="",'Operating costs'!$B$7,'Replacement plan'!$AG$9)),0)*'Operating costs'!$B$9)*IF('Replacement plan'!$AG$9="",'Operating costs'!$B$7,'Replacement plan'!$AG$9)*('Energy and charging'!$C$9*'Energy and charging'!$C$7+(1-'Energy and charging'!$C$9)*'Energy and charging'!$C$8)*'Operating costs'!$B$23,"n.a."))</f>
        <v>9045.6</v>
      </c>
      <c r="K18" s="16">
        <f>IF(C18=0,0,IF(P18="Complete",SUM('Operating costs'!$B$24,'Operating costs'!$B$27,'Operating costs'!$B$29,'Operating costs'!$B$31,'Operating costs'!$B$33,'Operating costs'!$B$34,'Operating costs'!$B$37,'Replacement plan'!$W$9)+'Operating costs'!$B$39*'Operating costs'!$B$42+ROUNDUP(S18*(R18-'Operating costs'!$B$39)*IF('Replacement plan'!$AG$9="",'Operating costs'!$B$7,'Replacement plan'!$AG$9)/('Operating costs'!$B$8-'Operating costs'!$B$9*IF('Replacement plan'!$AG$9="",'Operating costs'!$B$7,'Replacement plan'!$AG$9)),0)*('Operating costs'!$B$9/'Operating costs'!$B$11+'Operating costs'!$B$10/60)*'Operating costs'!$B$19*'Operating costs'!$B$21,"n.a."))</f>
        <v>9105.75</v>
      </c>
      <c r="L18" s="16">
        <f>IF(C18=0,0,IF(P18="Complete",IF(D18="EV",X18*((1-T18)*'Energy and charging'!$C$10+T18*'Energy and charging'!$C$11)*'Operating costs'!$B$22,AA18*('Energy and charging'!$C$9*'Energy and charging'!$C$7+(1-'Energy and charging'!$C$9)*'Energy and charging'!$C$8)*'Operating costs'!$B$23),"n.a."))</f>
        <v>6111.2285542652298</v>
      </c>
      <c r="M18" s="37">
        <f>IF(C18=0,0,IF(P18="Complete",IF(D18="ICE",SUM('Operating costs'!$B$25,'Operating costs'!$B$27,'Operating costs'!$B$29,'Operating costs'!$B$31,'Operating costs'!$B$33,'Operating costs'!$B$35,'Operating costs'!$B$37,'Replacement plan'!$X$9)+'Operating costs'!$B$40*'Operating costs'!$B$42+ROUNDUP(S18*(R18-'Operating costs'!$B$40)*IF('Replacement plan'!$AH$9="",'Operating costs'!$B$7,'Replacement plan'!$AH$9)/('Operating costs'!$B$8-'Operating costs'!$B$9*IF('Replacement plan'!$AH$9="",'Operating costs'!$B$7,'Replacement plan'!$AH$9)),0)*('Operating costs'!$B$9/'Operating costs'!$B$11+'Operating costs'!$B$10/60)*'Operating costs'!$B$19*'Operating costs'!$B$21,SUM(AP18,'Operating costs'!$B$28,'Operating costs'!$B$30,'Operating costs'!$B$32,'Operating costs'!$B$33,'Operating costs'!$B$36,'Operating costs'!$B$38,'Replacement plan'!$Y$9)+'Operating costs'!$B$41*'Operating costs'!$B$43+W18*'Operating costs'!$B$15+(T18*X18/'Replacement plan'!$L$9+W18*('Operating costs'!$B$12/'Operating costs'!$B$11+('Operating costs'!$B$13+'Operating costs'!$B$14)/60)+(R18-'Operating costs'!$B$41)*(IF(T18&lt;1,'Operating costs'!$B$16,0)+'Operating costs'!$B$17)/60)*'Operating costs'!$B$19*'Operating costs'!$B$20),"n.a."))</f>
        <v>9525.6229632874383</v>
      </c>
      <c r="N18" s="16">
        <f>IF(AND(C18=1,D18="EV",E18&lt;120,E18+'Replacement plan'!$AA$9&lt;=120),'Replacement plan'!$Z$9,0)</f>
        <v>0</v>
      </c>
      <c r="O18" s="1">
        <f>E18+'Replacement plan'!$AA$9</f>
        <v>0</v>
      </c>
      <c r="P18" s="35" t="str">
        <f>IFERROR(IF(C18=0,"Excluded",IF(OR(COUNTIFS('Fleet register'!$A$7:$A$106,A18)&lt;&gt;1,COUNTIFS('Replacement plan'!$A$7:$A$106,A18)&lt;&gt;1),"Duplicate/missing ID",IF(NOT(AND(ISNUMBER(VLOOKUP($A18,'Fleet register'!$A$7:$S$106,5,FALSE)),ISNUMBER(VLOOKUP($A18,'Fleet register'!$A$7:$S$106,6,FALSE)),ISNUMBER(VLOOKUP($A18,'Fleet register'!$A$7:$S$106,10,FALSE)),ISNUMBER(VLOOKUP($A18,'Fleet register'!$A$7:$S$106,11,FALSE)),ISNUMBER(VLOOKUP($A18,'Fleet register'!$A$7:$S$106,12,FALSE)),ISNUMBER(VLOOKUP($A18,'Fleet register'!$A$7:$S$106,13,FALSE)),ISNUMBER(VLOOKUP($A18,'Fleet register'!$A$7:$S$106,14,FALSE)),VLOOKUP($A18,'Fleet register'!$A$7:$S$106,14,FALSE)&gt;0,ISNUMBER('Replacement plan'!$C$9),OR(E18=120,ISNUMBER('Replacement plan'!$T$9)),ISNUMBER(E18))),"Missing vehicle input",IF(OR(E18&lt;0,E18&gt;VLOOKUP($A18,'Fleet register'!$A$7:$S$106,10,FALSE),E18&gt;120,E18&lt;&gt;INT(E18),VLOOKUP($A18,'Fleet register'!$A$7:$S$106,6,FALSE)&lt;=0,VLOOKUP($A18,'Fleet register'!$A$7:$S$106,6,FALSE)&gt;366,VLOOKUP($A18,'Fleet register'!$A$7:$S$106,5,FALSE)&lt;0,VLOOKUP($A18,'Fleet register'!$A$7:$S$106,11,FALSE)&lt;0,I18&lt;0,'Operating costs'!$B$8&lt;='Operating costs'!$B$7*'Operating costs'!$B$9,'Operating costs'!$B$11&lt;=0,'Operating costs'!$B$39&gt;R18,'Operating costs'!$B$40&gt;R18,'Operating costs'!$B$41&gt;R18,NOT(OR('Replacement plan'!$R$9="Keep ICE",'Replacement plan'!$R$9="New ICE",'Replacement plan'!$R$9="EV"))),"Invalid vehicle input",IF(AND(D18="EV",E18&lt;120,OR(NOT(ISNUMBER(U18)),NOT(ISNUMBER(V18)),V18&lt;=0,T18&lt;0,T18&gt;1,'Replacement plan'!$L$9&lt;=0,'Operating costs'!$B$44&lt;0,'Operating costs'!$B$44&gt;=1,'Operating costs'!$B$47&lt;=0,'Operating costs'!$B$47&gt;1,V18*'Operating costs'!$B$47/(1-'Operating costs'!$B$44)&lt;=T18*'Operating costs'!$B$12*U18,AND('Replacement plan'!$Z$9&gt;0,OR('Replacement plan'!$AB$9&lt;&gt;"Yes",'Operating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charging'!$C$8&gt;=0))),ISNUMBER(VLOOKUP($A18,'Fleet register'!$A$7:$S$106,15,FALSE)),ISNUMBER(VLOOKUP($A18,'Fleet register'!$A$7:$S$106,16,FALSE)),ISNUMBER('Replacement plan'!$W$9),ISNUMBER('Replacement plan'!$X$9),OR(E18=120,AND(ISNUMBER(G18),G18&gt;=0)),ISNUMBER(H18),H18&gt;=0,OR(D18&lt;&gt;"EV",E18=120,AND(ISNUMBER('Operating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plan'!$Y$9),ISNUMBER('Replacement plan'!$Z$9),'Replacement plan'!$Z$9&gt;=0,ISNUMBER('Replacement plan'!$AA$9),'Replacement plan'!$AA$9&gt;=0,'Replacement plan'!$AA$9=INT('Replacement plan'!$AA$9),ISNUMBER('Replacement plan'!$L$9))),'Operating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plan'!$AG$9="",'Operating costs'!$B$7,'Replacement plan'!$AG$9)),IF('Replacement plan'!$AG$9="",'Operating costs'!$B$7,'Replacement plan'!$AG$9)&gt;=0,ISNUMBER(IF('Replacement plan'!$AH$9="",'Operating costs'!$B$7,'Replacement plan'!$AH$9)),IF('Replacement plan'!$AH$9="",'Operating costs'!$B$7,'Replacement plan'!$AH$9)&gt;=0,'Operating costs'!$B$8&gt;MAX(IF('Replacement plan'!$AG$9="",'Operating costs'!$B$7,'Replacement plan'!$AG$9),IF('Replacement plan'!$AH$9="",'Operating costs'!$B$7,'Replacement plan'!$AH$9))*'Operating costs'!$B$9),IF(AND(VLOOKUP($A18,'Fleet register'!$A$7:$S$106,10,FALSE)&gt;=0,VLOOKUP($A18,'Fleet register'!$A$7:$S$106,10,FALSE)&lt;=120,VLOOKUP($A18,'Fleet register'!$A$7:$S$106,10,FALSE)=INT(VLOOKUP($A18,'Fleet register'!$A$7:$S$106,10,FALSE)),VLOOKUP($A18,'Fleet register'!$A$7:$S$106,15,FALSE)&gt;=0,VLOOKUP($A18,'Fleet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costs'!$B$67)&gt;=0,OR(D18&lt;&gt;"EV",E18=120,AND(MIN('Operating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Complete</v>
      </c>
      <c r="Q18" s="1" t="str">
        <f>IF(C18=0,"Excluded",IF(P18&lt;&gt;"Complete",P18,IF(OR('Replacement plan'!$AD$9&lt;120-E18,AND(D18="EV",E18&lt;120,OR('Replacement plan'!$AC$9&lt;120-E18,'Replacement plan'!$I$9="No",AND(ISNUMBER(AF18),AE18&gt;AF18),AI18&gt;V18*(1-'Operating costs'!$B$46)^MAX(0,AB18-1)*(1-'Operating costs'!$B$45),AC18&gt;'Operating costs'!$B$18,AND(T18&lt;1,OR(AG18&lt;=0,AND(ISNUMBER(AH18),AG18&gt;AH18))),'Replacement plan'!$L$9&gt;INDEX(Products!$H$7:$H$13,MATCH('Replacement plan'!$B$9,Products!$A$7:$A$13,0))))),"Fails entered limits",IF(AND(D18="EV",E18&lt;120,OR(NOT(ISNUMBER(VLOOKUP($A18,'Fleet register'!$A$7:$S$106,7,FALSE))),NOT(ISNUMBER(VLOOKUP($A18,'Fleet register'!$A$7:$S$106,8,FALSE))),NOT(ISNUMBER(AF18)),'Replacement plan'!$I$9&lt;&gt;"Yes",NOT(ISNUMBER(AH18)),'Operating costs'!$B$59&lt;&gt;"Yes",'Operating costs'!$B$58&lt;&gt;"Yes")),"Unverified","Within entered limits"))))</f>
        <v>Fails entered limits</v>
      </c>
      <c r="R18" s="1">
        <f>IF(C18=0,0,VLOOKUP($A18,'Fleet register'!$A$7:$S$106,6,FALSE))</f>
        <v>300</v>
      </c>
      <c r="S18" s="1">
        <f>IF(C18=0,0,VLOOKUP($A18,'Fleet register'!$A$7:$S$106,5,FALSE))</f>
        <v>150</v>
      </c>
      <c r="T18" s="1">
        <f>IF(D18="EV",'Energy and charging'!$C$12,0)</f>
        <v>0.2</v>
      </c>
      <c r="U18" s="1">
        <f>IFERROR(IF(C18=0,0,IF(D18="EV",IF('Replacement plan'!$F$9="",INDEX(Products!$E$7:$E$13,MATCH('Replacement plan'!$B$9,Products!$A$7:$A$13,0)),'Replacement plan'!$F$9)/IF('Replacement plan'!$G$9="Battery",1-'Operating costs'!$B$44,1),0)),"n.a.")</f>
        <v>0.30041052634319165</v>
      </c>
      <c r="V18" s="1">
        <f>IFERROR(IF(C18=0,0,IF(D18="EV",IF('Replacement plan'!$E$9="",INDEX(Products!$D$7:$D$13,MATCH('Replacement plan'!$B$9,Products!$A$7:$A$13,0)),'Replacement plan'!$E$9),0)),"n.a.")</f>
        <v>86.55</v>
      </c>
      <c r="W18" s="1">
        <f>IF(C18=0,0,IF(AND(P18="Complete",D18="EV",E18&lt;120),IF(T18=0,0,ROUNDUP(T18*(R18-'Operating costs'!$B$41)*(S18*U18+'Operating costs'!$B$48/(1-'Operating costs'!$B$44))/(V18*'Operating costs'!$B$47/(1-'Operating costs'!$B$44)-T18*'Operating costs'!$B$12*U18),0)),0))</f>
        <v>48</v>
      </c>
      <c r="X18" s="1">
        <f>IF(C18=0,0,IF(AND(P18="Complete",D18="EV",E18&lt;120),(R18-'Operating costs'!$B$41)*(S18*U18+'Operating costs'!$B$48/(1-'Operating costs'!$B$44))+W18*'Operating costs'!$B$12*U18,0))</f>
        <v>13633.83132755941</v>
      </c>
      <c r="Y18" s="1">
        <f>IF(AND(C18=1,D18="EV",E18&lt;120),AI18/(1-'Operating costs'!$B$44)*(1-T18),0)</f>
        <v>41.576816845897724</v>
      </c>
      <c r="Z18" s="1">
        <f t="shared" si="0"/>
        <v>1.8898553111771692</v>
      </c>
      <c r="AA18" s="1">
        <f>IF(C18=0,0,IF(P18="Complete",((S18*(R18-'Operating costs'!$B$40))+ROUNDUP(S18*(R18-'Operating costs'!$B$40)*IF('Replacement plan'!$AH$9="",'Operating costs'!$B$7,'Replacement plan'!$AH$9)/('Operating costs'!$B$8-'Operating costs'!$B$9*IF('Replacement plan'!$AH$9="",'Operating costs'!$B$7,'Replacement plan'!$AH$9)),0)*'Operating costs'!$B$9)*IF('Replacement plan'!$AH$9="",'Operating costs'!$B$7,'Replacement plan'!$AH$9),"n.a."))</f>
        <v>4522.8</v>
      </c>
      <c r="AB18" s="1">
        <f t="shared" si="1"/>
        <v>10</v>
      </c>
      <c r="AC18" s="1">
        <f>IF(AND(C18=1,D18="EV",E18&lt;120,T18&gt;0),'Operating costs'!$B$12/'Operating costs'!$B$11*60+'Operating costs'!$B$13+'Operating costs'!$B$14+V18*'Operating costs'!$B$47/(1-'Operating costs'!$B$44)/'Replacement plan'!$L$9*60,0)</f>
        <v>111.32499999999999</v>
      </c>
      <c r="AD18" s="1" t="str">
        <f>'Replacement plan'!$B$9</f>
        <v>ChengLong L2EV</v>
      </c>
      <c r="AE18" s="1">
        <f>IF(C18=0,0,VLOOKUP($A18,'Fleet register'!$A$7:$S$106,8,FALSE))</f>
        <v>1200</v>
      </c>
      <c r="AF18" s="1" t="str">
        <f>IF('Replacement plan'!$H$9="","n.a.",'Replacement plan'!$H$9)</f>
        <v>n.a.</v>
      </c>
      <c r="AG18" s="1">
        <f>'Replacement plan'!$J$9</f>
        <v>22</v>
      </c>
      <c r="AH18" s="1">
        <f>IFERROR(IF(D18="EV",IF('Replacement plan'!$K$9="AC",IF(ISNUMBER(INDEX(Products!$G$7:$G$13,MATCH('Replacement plan'!$B$9,Products!$A$7:$A$13,0))),INDEX(Products!$G$7:$G$13,MATCH('Replacement plan'!$B$9,Products!$A$7:$A$13,0)),"n.a."),IF(ISNUMBER(INDEX(Products!$H$7:$H$13,MATCH('Replacement plan'!$B$9,Products!$A$7:$A$13,0))),INDEX(Products!$H$7:$H$13,MATCH('Replacement plan'!$B$9,Products!$A$7:$A$13,0)),"n.a.")),0),"n.a.")</f>
        <v>120</v>
      </c>
      <c r="AI18" s="1">
        <f>IF(AND(C18=1,D18="EV",E18&lt;120),(VLOOKUP($A18,'Fleet register'!$A$7:$S$106,7,FALSE)+IF(T18&gt;0,'Operating costs'!$B$12,0))*U18*(1-'Operating costs'!$B$44)+'Operating costs'!$B$49,0)</f>
        <v>46.77391895163494</v>
      </c>
      <c r="AJ18" s="1">
        <f>IF(D18="EV",'Energy and charging'!$C$50,0)</f>
        <v>44</v>
      </c>
      <c r="AK18" s="17">
        <f>EDATE('Operating costs'!$B$63,E18)</f>
        <v>46298</v>
      </c>
      <c r="AL18" s="1">
        <f>IFERROR(IF(D18="EV",INDEX(Products!$B$7:$B$13,MATCH('Replacement plan'!$B$9,Products!$A$7:$A$13,0)),0),"n.a.")</f>
        <v>5000</v>
      </c>
      <c r="AM18" s="1" t="str">
        <f>'Replacement plan'!$K$9</f>
        <v>DC</v>
      </c>
      <c r="AN18" s="1" t="str">
        <f>'Replacement plan'!$AE$9</f>
        <v>Assumed</v>
      </c>
      <c r="AO18" s="47">
        <f>IF(AND(C18=1,D18="EV",E18&lt;120),(R18-'Operating costs'!$B$41)*S18+W18*'Operating costs'!$B$12,0)</f>
        <v>45384</v>
      </c>
      <c r="AP18" s="41">
        <f>IF(AND(C18=1,D18="EV",E18&lt;120),IF('Operating costs'!$B$68="Hong Seh 200k average",AO18*IFERROR(INDEX(Products!$P$7:$P$13,MATCH(AD18,Products!$A$7:$A$13,0)),"n.a."),'Operating costs'!$B$26),0)</f>
        <v>745.43219999999997</v>
      </c>
      <c r="AQ18" s="40" t="str">
        <f>IF(D18="EV",'Operating costs'!$B$68,"Not applicable")</f>
        <v>Hong Seh 200k average</v>
      </c>
    </row>
    <row r="19" spans="1:43" ht="24" customHeight="1">
      <c r="A19" s="1" t="str">
        <f>'Replacement plan'!A10</f>
        <v>T004</v>
      </c>
      <c r="B19" s="1">
        <v>0</v>
      </c>
      <c r="C19" s="1">
        <f>IF(COUNTIFS('Fleet register'!$A$7:$A$106,$A19)=1,VLOOKUP($A19,'Fleet register'!$A$7:$S$106,2,FALSE),0)</f>
        <v>1</v>
      </c>
      <c r="D19" s="1" t="str">
        <f>IF("Keep ICE"="EV","EV","ICE")</f>
        <v>ICE</v>
      </c>
      <c r="E19" s="1">
        <f>IF(C19=0,0,IF('Replacement plan'!$M$10="",VLOOKUP($A19,'Fleet register'!$A$7:$S$106,10,FALSE),'Replacement plan'!$M$10))</f>
        <v>48</v>
      </c>
      <c r="F19" s="16">
        <f>IF(C19=0,0,VLOOKUP($A19,'Fleet register'!$A$7:$S$106,11,FALSE))</f>
        <v>42000</v>
      </c>
      <c r="G19" s="16">
        <f>IFERROR(IF(C19=0,0,IF(E19=120,0,IF(D19="ICE",'Replacement plan'!$C$10,IF('Replacement plan'!$D$10="",INDEX(Products!$I$7:$I$13,MATCH('Replacement plan'!$B$10,Products!$A$7:$A$13,0))+'Operating costs'!$B$57,'Replacement plan'!$D$10))*(1+'Operating costs'!$B$50)^(E19/12))),"n.a.")</f>
        <v>181000</v>
      </c>
      <c r="H19" s="16">
        <f>IFERROR(IF(C19=0,0,IF(E19=0,F19,VLOOKUP($A19,'Fleet register'!$A$7:$S$106,12,FALSE)+VLOOKUP($A19,'Fleet register'!$A$7:$S$106,13,FALSE)*MAX(0,VLOOKUP($A19,'Fleet register'!$A$7:$S$106,10,FALSE)-E19)/VLOOKUP($A19,'Fleet register'!$A$7:$S$106,14,FALSE))),"n.a.")</f>
        <v>10000</v>
      </c>
      <c r="I19" s="16">
        <f>IF(C19=0,0,IF(E19=120,0,'Replacement plan'!$N$10))</f>
        <v>49200</v>
      </c>
      <c r="J19" s="16">
        <f>IF(C19=0,0,IF(P19="Complete",((S19*(R19-'Operating costs'!$B$39))+ROUNDUP(S19*(R19-'Operating costs'!$B$39)*IF('Replacement plan'!$AG$10="",'Operating costs'!$B$7,'Replacement plan'!$AG$10)/('Operating costs'!$B$8-'Operating costs'!$B$9*IF('Replacement plan'!$AG$10="",'Operating costs'!$B$7,'Replacement plan'!$AG$10)),0)*'Operating costs'!$B$9)*IF('Replacement plan'!$AG$10="",'Operating costs'!$B$7,'Replacement plan'!$AG$10)*('Energy and charging'!$B$9*'Energy and charging'!$B$7+(1-'Energy and charging'!$B$9)*'Energy and charging'!$B$8)*'Operating costs'!$B$23,"n.a."))</f>
        <v>9045.6</v>
      </c>
      <c r="K19" s="16">
        <f>IF(C19=0,0,IF(P19="Complete",SUM('Operating costs'!$B$24,'Operating costs'!$B$27,'Operating costs'!$B$29,'Operating costs'!$B$31,'Operating costs'!$B$33,'Operating costs'!$B$34,'Operating costs'!$B$37,'Replacement plan'!$W$10)+'Operating costs'!$B$39*'Operating costs'!$B$42+ROUNDUP(S19*(R19-'Operating costs'!$B$39)*IF('Replacement plan'!$AG$10="",'Operating costs'!$B$7,'Replacement plan'!$AG$10)/('Operating costs'!$B$8-'Operating costs'!$B$9*IF('Replacement plan'!$AG$10="",'Operating costs'!$B$7,'Replacement plan'!$AG$10)),0)*('Operating costs'!$B$9/'Operating costs'!$B$11+'Operating costs'!$B$10/60)*'Operating costs'!$B$19*'Operating costs'!$B$21,"n.a."))</f>
        <v>9105.75</v>
      </c>
      <c r="L19" s="16">
        <f>IF(C19=0,0,IF(P19="Complete",IF(D19="EV",X19*((1-T19)*'Energy and charging'!$B$10+T19*'Energy and charging'!$B$11)*'Operating costs'!$B$22,AA19*('Energy and charging'!$B$9*'Energy and charging'!$B$7+(1-'Energy and charging'!$B$9)*'Energy and charging'!$B$8)*'Operating costs'!$B$23),"n.a."))</f>
        <v>9045.6</v>
      </c>
      <c r="M19" s="37">
        <f>IF(C19=0,0,IF(P19="Complete",IF(D19="ICE",SUM('Operating costs'!$B$25,'Operating costs'!$B$27,'Operating costs'!$B$29,'Operating costs'!$B$31,'Operating costs'!$B$33,'Operating costs'!$B$35,'Operating costs'!$B$37,'Replacement plan'!$X$10)+'Operating costs'!$B$40*'Operating costs'!$B$42+ROUNDUP(S19*(R19-'Operating costs'!$B$40)*IF('Replacement plan'!$AH$10="",'Operating costs'!$B$7,'Replacement plan'!$AH$10)/('Operating costs'!$B$8-'Operating costs'!$B$9*IF('Replacement plan'!$AH$10="",'Operating costs'!$B$7,'Replacement plan'!$AH$10)),0)*('Operating costs'!$B$9/'Operating costs'!$B$11+'Operating costs'!$B$10/60)*'Operating costs'!$B$19*'Operating costs'!$B$21,SUM(AP19,'Operating costs'!$B$28,'Operating costs'!$B$30,'Operating costs'!$B$32,'Operating costs'!$B$33,'Operating costs'!$B$36,'Operating costs'!$B$38,'Replacement plan'!$Y$10)+'Operating costs'!$B$41*'Operating costs'!$B$43+W19*'Operating costs'!$B$15+(T19*X19/'Replacement plan'!$L$10+W19*('Operating costs'!$B$12/'Operating costs'!$B$11+('Operating costs'!$B$13+'Operating costs'!$B$14)/60)+(R19-'Operating costs'!$B$41)*(IF(T19&lt;1,'Operating costs'!$B$16,0)+'Operating costs'!$B$17)/60)*'Operating costs'!$B$19*'Operating costs'!$B$20),"n.a."))</f>
        <v>9105.75</v>
      </c>
      <c r="N19" s="16">
        <f>IF(AND(C19=1,D19="EV",E19&lt;120,E19+'Replacement plan'!$AA$10&lt;=120),'Replacement plan'!$Z$10,0)</f>
        <v>0</v>
      </c>
      <c r="O19" s="1">
        <f>E19+'Replacement plan'!$AA$10</f>
        <v>48</v>
      </c>
      <c r="P19" s="35" t="str">
        <f>IFERROR(IF(C19=0,"Excluded",IF(OR(COUNTIFS('Fleet register'!$A$7:$A$106,A19)&lt;&gt;1,COUNTIFS('Replacement plan'!$A$7:$A$106,A19)&lt;&gt;1),"Duplicate/missing ID",IF(NOT(AND(ISNUMBER(VLOOKUP($A19,'Fleet register'!$A$7:$S$106,5,FALSE)),ISNUMBER(VLOOKUP($A19,'Fleet register'!$A$7:$S$106,6,FALSE)),ISNUMBER(VLOOKUP($A19,'Fleet register'!$A$7:$S$106,10,FALSE)),ISNUMBER(VLOOKUP($A19,'Fleet register'!$A$7:$S$106,11,FALSE)),ISNUMBER(VLOOKUP($A19,'Fleet register'!$A$7:$S$106,12,FALSE)),ISNUMBER(VLOOKUP($A19,'Fleet register'!$A$7:$S$106,13,FALSE)),ISNUMBER(VLOOKUP($A19,'Fleet register'!$A$7:$S$106,14,FALSE)),VLOOKUP($A19,'Fleet register'!$A$7:$S$106,14,FALSE)&gt;0,ISNUMBER('Replacement plan'!$C$10),OR(E19=120,ISNUMBER('Replacement plan'!$N$10)),ISNUMBER(E19))),"Missing vehicle input",IF(OR(E19&lt;0,E19&gt;VLOOKUP($A19,'Fleet register'!$A$7:$S$106,10,FALSE),E19&gt;120,E19&lt;&gt;INT(E19),VLOOKUP($A19,'Fleet register'!$A$7:$S$106,6,FALSE)&lt;=0,VLOOKUP($A19,'Fleet register'!$A$7:$S$106,6,FALSE)&gt;366,VLOOKUP($A19,'Fleet register'!$A$7:$S$106,5,FALSE)&lt;0,VLOOKUP($A19,'Fleet register'!$A$7:$S$106,11,FALSE)&lt;0,I19&lt;0,'Operating costs'!$B$8&lt;='Operating costs'!$B$7*'Operating costs'!$B$9,'Operating costs'!$B$11&lt;=0,'Operating costs'!$B$39&gt;R19,'Operating costs'!$B$40&gt;R19,'Operating costs'!$B$41&gt;R19,NOT(OR("Keep ICE"="Keep ICE","Keep ICE"="New ICE","Keep ICE"="EV"))),"Invalid vehicle input",IF(AND(D19="EV",E19&lt;120,OR(NOT(ISNUMBER(U19)),NOT(ISNUMBER(V19)),V19&lt;=0,T19&lt;0,T19&gt;1,'Replacement plan'!$L$10&lt;=0,'Operating costs'!$B$44&lt;0,'Operating costs'!$B$44&gt;=1,'Operating costs'!$B$47&lt;=0,'Operating costs'!$B$47&gt;1,V19*'Operating costs'!$B$47/(1-'Operating costs'!$B$44)&lt;=T19*'Operating costs'!$B$12*U19,AND('Replacement plan'!$Z$10&gt;0,OR('Replacement plan'!$AB$10&lt;&gt;"Yes",'Operating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charging'!$B$8&gt;=0))),ISNUMBER(VLOOKUP($A19,'Fleet register'!$A$7:$S$106,15,FALSE)),ISNUMBER(VLOOKUP($A19,'Fleet register'!$A$7:$S$106,16,FALSE)),ISNUMBER('Replacement plan'!$W$10),ISNUMBER('Replacement plan'!$X$10),OR(E19=120,AND(ISNUMBER(G19),G19&gt;=0)),ISNUMBER(H19),H19&gt;=0,OR(D19&lt;&gt;"EV",E19=120,AND(ISNUMBER('Operating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plan'!$Y$10),ISNUMBER('Replacement plan'!$Z$10),'Replacement plan'!$Z$10&gt;=0,ISNUMBER('Replacement plan'!$AA$10),'Replacement plan'!$AA$10&gt;=0,'Replacement plan'!$AA$10=INT('Replacement plan'!$AA$10),ISNUMBER('Replacement plan'!$L$10))),'Operating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plan'!$AG$10="",'Operating costs'!$B$7,'Replacement plan'!$AG$10)),IF('Replacement plan'!$AG$10="",'Operating costs'!$B$7,'Replacement plan'!$AG$10)&gt;=0,ISNUMBER(IF('Replacement plan'!$AH$10="",'Operating costs'!$B$7,'Replacement plan'!$AH$10)),IF('Replacement plan'!$AH$10="",'Operating costs'!$B$7,'Replacement plan'!$AH$10)&gt;=0,'Operating costs'!$B$8&gt;MAX(IF('Replacement plan'!$AG$10="",'Operating costs'!$B$7,'Replacement plan'!$AG$10),IF('Replacement plan'!$AH$10="",'Operating costs'!$B$7,'Replacement plan'!$AH$10))*'Operating costs'!$B$9),IF(AND(VLOOKUP($A19,'Fleet register'!$A$7:$S$106,10,FALSE)&gt;=0,VLOOKUP($A19,'Fleet register'!$A$7:$S$106,10,FALSE)&lt;=120,VLOOKUP($A19,'Fleet register'!$A$7:$S$106,10,FALSE)=INT(VLOOKUP($A19,'Fleet register'!$A$7:$S$106,10,FALSE)),VLOOKUP($A19,'Fleet register'!$A$7:$S$106,15,FALSE)&gt;=0,VLOOKUP($A19,'Fleet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costs'!$B$67)&gt;=0,OR(D19&lt;&gt;"EV",E19=120,AND(MIN('Operating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Complete</v>
      </c>
      <c r="Q19" s="1" t="str">
        <f>IF(C19=0,"Excluded",IF(P19&lt;&gt;"Complete",P19,IF(OR('Replacement plan'!$AD$10&lt;120-E19,AND(D19="EV",E19&lt;120,OR('Replacement plan'!$AC$10&lt;120-E19,'Replacement plan'!$I$10="No",AND(ISNUMBER(AF19),AE19&gt;AF19),AI19&gt;V19*(1-'Operating costs'!$B$46)^MAX(0,AB19-1)*(1-'Operating costs'!$B$45),AC19&gt;'Operating costs'!$B$18,AND(T19&lt;1,OR(AG19&lt;=0,AND(ISNUMBER(AH19),AG19&gt;AH19))),'Replacement plan'!$L$10&gt;INDEX(Products!$H$7:$H$13,MATCH('Replacement plan'!$B$10,Products!$A$7:$A$13,0))))),"Fails entered limits",IF(AND(D19="EV",E19&lt;120,OR(NOT(ISNUMBER(VLOOKUP($A19,'Fleet register'!$A$7:$S$106,7,FALSE))),NOT(ISNUMBER(VLOOKUP($A19,'Fleet register'!$A$7:$S$106,8,FALSE))),NOT(ISNUMBER(AF19)),'Replacement plan'!$I$10&lt;&gt;"Yes",NOT(ISNUMBER(AH19)),'Operating costs'!$B$59&lt;&gt;"Yes",'Operating costs'!$B$58&lt;&gt;"Yes")),"Unverified","Within entered limits"))))</f>
        <v>Within entered limits</v>
      </c>
      <c r="R19" s="1">
        <f>IF(C19=0,0,VLOOKUP($A19,'Fleet register'!$A$7:$S$106,6,FALSE))</f>
        <v>300</v>
      </c>
      <c r="S19" s="1">
        <f>IF(C19=0,0,VLOOKUP($A19,'Fleet register'!$A$7:$S$106,5,FALSE))</f>
        <v>150</v>
      </c>
      <c r="T19" s="1">
        <f>IF(D19="EV",'Energy and charging'!$B$12,0)</f>
        <v>0</v>
      </c>
      <c r="U19" s="1">
        <f>IFERROR(IF(C19=0,0,IF(D19="EV",IF('Replacement plan'!$F$10="",INDEX(Products!$E$7:$E$13,MATCH('Replacement plan'!$B$10,Products!$A$7:$A$13,0)),'Replacement plan'!$F$10)/IF('Replacement plan'!$G$10="Battery",1-'Operating costs'!$B$44,1),0)),"n.a.")</f>
        <v>0</v>
      </c>
      <c r="V19" s="1">
        <f>IFERROR(IF(C19=0,0,IF(D19="EV",IF('Replacement plan'!$E$10="",INDEX(Products!$D$7:$D$13,MATCH('Replacement plan'!$B$10,Products!$A$7:$A$13,0)),'Replacement plan'!$E$10),0)),"n.a.")</f>
        <v>0</v>
      </c>
      <c r="W19" s="1">
        <f>IF(C19=0,0,IF(AND(P19="Complete",D19="EV",E19&lt;120),IF(T19=0,0,ROUNDUP(T19*(R19-'Operating costs'!$B$41)*(S19*U19+'Operating costs'!$B$48/(1-'Operating costs'!$B$44))/(V19*'Operating costs'!$B$47/(1-'Operating costs'!$B$44)-T19*'Operating costs'!$B$12*U19),0)),0))</f>
        <v>0</v>
      </c>
      <c r="X19" s="1">
        <f>IF(C19=0,0,IF(AND(P19="Complete",D19="EV",E19&lt;120),(R19-'Operating costs'!$B$41)*(S19*U19+'Operating costs'!$B$48/(1-'Operating costs'!$B$44))+W19*'Operating costs'!$B$12*U19,0))</f>
        <v>0</v>
      </c>
      <c r="Y19" s="1">
        <f>IF(AND(C19=1,D19="EV",E19&lt;120),AI19/(1-'Operating costs'!$B$44)*(1-T19),0)</f>
        <v>0</v>
      </c>
      <c r="Z19" s="1">
        <f t="shared" si="0"/>
        <v>0</v>
      </c>
      <c r="AA19" s="1">
        <f>IF(C19=0,0,IF(P19="Complete",((S19*(R19-'Operating costs'!$B$40))+ROUNDUP(S19*(R19-'Operating costs'!$B$40)*IF('Replacement plan'!$AH$10="",'Operating costs'!$B$7,'Replacement plan'!$AH$10)/('Operating costs'!$B$8-'Operating costs'!$B$9*IF('Replacement plan'!$AH$10="",'Operating costs'!$B$7,'Replacement plan'!$AH$10)),0)*'Operating costs'!$B$9)*IF('Replacement plan'!$AH$10="",'Operating costs'!$B$7,'Replacement plan'!$AH$10),"n.a."))</f>
        <v>4522.8</v>
      </c>
      <c r="AB19" s="1">
        <f t="shared" si="1"/>
        <v>0</v>
      </c>
      <c r="AC19" s="1">
        <f>IF(AND(C19=1,D19="EV",E19&lt;120,T19&gt;0),'Operating costs'!$B$12/'Operating costs'!$B$11*60+'Operating costs'!$B$13+'Operating costs'!$B$14+V19*'Operating costs'!$B$47/(1-'Operating costs'!$B$44)/'Replacement plan'!$L$10*60,0)</f>
        <v>0</v>
      </c>
      <c r="AD19" s="1" t="str">
        <f>'Replacement plan'!$B$10</f>
        <v>ChengLong L2EV</v>
      </c>
      <c r="AE19" s="1">
        <f>IF(C19=0,0,VLOOKUP($A19,'Fleet register'!$A$7:$S$106,8,FALSE))</f>
        <v>1200</v>
      </c>
      <c r="AF19" s="1" t="str">
        <f>IF('Replacement plan'!$H$10="","n.a.",'Replacement plan'!$H$10)</f>
        <v>n.a.</v>
      </c>
      <c r="AG19" s="1">
        <f>'Replacement plan'!$J$10</f>
        <v>22</v>
      </c>
      <c r="AH19" s="1">
        <f>IFERROR(IF(D19="EV",IF('Replacement plan'!$K$10="AC",IF(ISNUMBER(INDEX(Products!$G$7:$G$13,MATCH('Replacement plan'!$B$10,Products!$A$7:$A$13,0))),INDEX(Products!$G$7:$G$13,MATCH('Replacement plan'!$B$10,Products!$A$7:$A$13,0)),"n.a."),IF(ISNUMBER(INDEX(Products!$H$7:$H$13,MATCH('Replacement plan'!$B$10,Products!$A$7:$A$13,0))),INDEX(Products!$H$7:$H$13,MATCH('Replacement plan'!$B$10,Products!$A$7:$A$13,0)),"n.a.")),0),"n.a.")</f>
        <v>0</v>
      </c>
      <c r="AI19" s="1">
        <f>IF(AND(C19=1,D19="EV",E19&lt;120),(VLOOKUP($A19,'Fleet register'!$A$7:$S$106,7,FALSE)+IF(T19&gt;0,'Operating costs'!$B$12,0))*U19*(1-'Operating costs'!$B$44)+'Operating costs'!$B$49,0)</f>
        <v>0</v>
      </c>
      <c r="AJ19" s="1">
        <f>IF(D19="EV",'Energy and charging'!$B$50,0)</f>
        <v>0</v>
      </c>
      <c r="AK19" s="17">
        <f>EDATE('Operating costs'!$B$63,E19)</f>
        <v>47759</v>
      </c>
      <c r="AL19" s="1">
        <f>IFERROR(IF(D19="EV",INDEX(Products!$B$7:$B$13,MATCH('Replacement plan'!$B$10,Products!$A$7:$A$13,0)),0),"n.a.")</f>
        <v>0</v>
      </c>
      <c r="AM19" s="1" t="str">
        <f>'Replacement plan'!$K$10</f>
        <v>DC</v>
      </c>
      <c r="AN19" s="1" t="str">
        <f>'Replacement plan'!$AE$10</f>
        <v>Assumed</v>
      </c>
      <c r="AO19" s="47">
        <f>IF(AND(C19=1,D19="EV",E19&lt;120),(R19-'Operating costs'!$B$41)*S19+W19*'Operating costs'!$B$12,0)</f>
        <v>0</v>
      </c>
      <c r="AP19" s="41">
        <f>IF(AND(C19=1,D19="EV",E19&lt;120),IF('Operating costs'!$B$68="Hong Seh 200k average",AO19*IFERROR(INDEX(Products!$P$7:$P$13,MATCH(AD19,Products!$A$7:$A$13,0)),"n.a."),'Operating costs'!$B$26),0)</f>
        <v>0</v>
      </c>
      <c r="AQ19" s="40" t="str">
        <f>IF(D19="EV",'Operating costs'!$B$68,"Not applicable")</f>
        <v>Not applicable</v>
      </c>
    </row>
    <row r="20" spans="1:43" ht="24" customHeight="1">
      <c r="A20" s="1" t="str">
        <f>'Replacement plan'!A10</f>
        <v>T004</v>
      </c>
      <c r="B20" s="1">
        <v>1</v>
      </c>
      <c r="C20" s="1">
        <f>IF(COUNTIFS('Fleet register'!$A$7:$A$106,$A20)=1,VLOOKUP($A20,'Fleet register'!$A$7:$S$106,2,FALSE),0)</f>
        <v>1</v>
      </c>
      <c r="D20" s="1" t="str">
        <f>IF("New ICE"="EV","EV","ICE")</f>
        <v>ICE</v>
      </c>
      <c r="E20" s="1">
        <f>IF(C20=0,0,0)</f>
        <v>0</v>
      </c>
      <c r="F20" s="16">
        <f>IF(C20=0,0,VLOOKUP($A20,'Fleet register'!$A$7:$S$106,11,FALSE))</f>
        <v>42000</v>
      </c>
      <c r="G20" s="16">
        <f>IFERROR(IF(C20=0,0,IF(E20=120,0,IF(D20="ICE",'Replacement plan'!$C$10,IF('Replacement plan'!$D$10="",INDEX(Products!$I$7:$I$13,MATCH('Replacement plan'!$B$10,Products!$A$7:$A$13,0))+'Operating costs'!$B$57,'Replacement plan'!$D$10))*(1+'Operating costs'!$B$50)^(E20/12))),"n.a.")</f>
        <v>181000</v>
      </c>
      <c r="H20" s="16">
        <f>IFERROR(IF(C20=0,0,IF(E20=0,F20,VLOOKUP($A20,'Fleet register'!$A$7:$S$106,12,FALSE)+VLOOKUP($A20,'Fleet register'!$A$7:$S$106,13,FALSE)*MAX(0,VLOOKUP($A20,'Fleet register'!$A$7:$S$106,10,FALSE)-E20)/VLOOKUP($A20,'Fleet register'!$A$7:$S$106,14,FALSE))),"n.a.")</f>
        <v>42000</v>
      </c>
      <c r="I20" s="16">
        <f>IF(C20=0,0,IF(E20=120,0,IF('Replacement plan'!$AI$10="",'Operating costs'!$B$56,'Replacement plan'!$AI$10)))</f>
        <v>12000</v>
      </c>
      <c r="J20" s="16">
        <f>IF(C20=0,0,IF(P20="Complete",((S20*(R20-'Operating costs'!$B$39))+ROUNDUP(S20*(R20-'Operating costs'!$B$39)*IF('Replacement plan'!$AG$10="",'Operating costs'!$B$7,'Replacement plan'!$AG$10)/('Operating costs'!$B$8-'Operating costs'!$B$9*IF('Replacement plan'!$AG$10="",'Operating costs'!$B$7,'Replacement plan'!$AG$10)),0)*'Operating costs'!$B$9)*IF('Replacement plan'!$AG$10="",'Operating costs'!$B$7,'Replacement plan'!$AG$10)*('Energy and charging'!$B$9*'Energy and charging'!$B$7+(1-'Energy and charging'!$B$9)*'Energy and charging'!$B$8)*'Operating costs'!$B$23,"n.a."))</f>
        <v>9045.6</v>
      </c>
      <c r="K20" s="16">
        <f>IF(C20=0,0,IF(P20="Complete",SUM('Operating costs'!$B$24,'Operating costs'!$B$27,'Operating costs'!$B$29,'Operating costs'!$B$31,'Operating costs'!$B$33,'Operating costs'!$B$34,'Operating costs'!$B$37,'Replacement plan'!$W$10)+'Operating costs'!$B$39*'Operating costs'!$B$42+ROUNDUP(S20*(R20-'Operating costs'!$B$39)*IF('Replacement plan'!$AG$10="",'Operating costs'!$B$7,'Replacement plan'!$AG$10)/('Operating costs'!$B$8-'Operating costs'!$B$9*IF('Replacement plan'!$AG$10="",'Operating costs'!$B$7,'Replacement plan'!$AG$10)),0)*('Operating costs'!$B$9/'Operating costs'!$B$11+'Operating costs'!$B$10/60)*'Operating costs'!$B$19*'Operating costs'!$B$21,"n.a."))</f>
        <v>9105.75</v>
      </c>
      <c r="L20" s="16">
        <f>IF(C20=0,0,IF(P20="Complete",IF(D20="EV",X20*((1-T20)*'Energy and charging'!$B$10+T20*'Energy and charging'!$B$11)*'Operating costs'!$B$22,AA20*('Energy and charging'!$B$9*'Energy and charging'!$B$7+(1-'Energy and charging'!$B$9)*'Energy and charging'!$B$8)*'Operating costs'!$B$23),"n.a."))</f>
        <v>9045.6</v>
      </c>
      <c r="M20" s="37">
        <f>IF(C20=0,0,IF(P20="Complete",IF(D20="ICE",SUM('Operating costs'!$B$25,'Operating costs'!$B$27,'Operating costs'!$B$29,'Operating costs'!$B$31,'Operating costs'!$B$33,'Operating costs'!$B$35,'Operating costs'!$B$37,'Replacement plan'!$X$10)+'Operating costs'!$B$40*'Operating costs'!$B$42+ROUNDUP(S20*(R20-'Operating costs'!$B$40)*IF('Replacement plan'!$AH$10="",'Operating costs'!$B$7,'Replacement plan'!$AH$10)/('Operating costs'!$B$8-'Operating costs'!$B$9*IF('Replacement plan'!$AH$10="",'Operating costs'!$B$7,'Replacement plan'!$AH$10)),0)*('Operating costs'!$B$9/'Operating costs'!$B$11+'Operating costs'!$B$10/60)*'Operating costs'!$B$19*'Operating costs'!$B$21,SUM(AP20,'Operating costs'!$B$28,'Operating costs'!$B$30,'Operating costs'!$B$32,'Operating costs'!$B$33,'Operating costs'!$B$36,'Operating costs'!$B$38,'Replacement plan'!$Y$10)+'Operating costs'!$B$41*'Operating costs'!$B$43+W20*'Operating costs'!$B$15+(T20*X20/'Replacement plan'!$L$10+W20*('Operating costs'!$B$12/'Operating costs'!$B$11+('Operating costs'!$B$13+'Operating costs'!$B$14)/60)+(R20-'Operating costs'!$B$41)*(IF(T20&lt;1,'Operating costs'!$B$16,0)+'Operating costs'!$B$17)/60)*'Operating costs'!$B$19*'Operating costs'!$B$20),"n.a."))</f>
        <v>9105.75</v>
      </c>
      <c r="N20" s="16">
        <f>IF(AND(C20=1,D20="EV",E20&lt;120,E20+'Replacement plan'!$AA$10&lt;=120),'Replacement plan'!$Z$10,0)</f>
        <v>0</v>
      </c>
      <c r="O20" s="1">
        <f>E20+'Replacement plan'!$AA$10</f>
        <v>0</v>
      </c>
      <c r="P20" s="35" t="str">
        <f>IFERROR(IF(C20=0,"Excluded",IF(OR(COUNTIFS('Fleet register'!$A$7:$A$106,A20)&lt;&gt;1,COUNTIFS('Replacement plan'!$A$7:$A$106,A20)&lt;&gt;1),"Duplicate/missing ID",IF(NOT(AND(ISNUMBER(VLOOKUP($A20,'Fleet register'!$A$7:$S$106,5,FALSE)),ISNUMBER(VLOOKUP($A20,'Fleet register'!$A$7:$S$106,6,FALSE)),ISNUMBER(VLOOKUP($A20,'Fleet register'!$A$7:$S$106,10,FALSE)),ISNUMBER(VLOOKUP($A20,'Fleet register'!$A$7:$S$106,11,FALSE)),ISNUMBER(VLOOKUP($A20,'Fleet register'!$A$7:$S$106,12,FALSE)),ISNUMBER(VLOOKUP($A20,'Fleet register'!$A$7:$S$106,13,FALSE)),ISNUMBER(VLOOKUP($A20,'Fleet register'!$A$7:$S$106,14,FALSE)),VLOOKUP($A20,'Fleet register'!$A$7:$S$106,14,FALSE)&gt;0,ISNUMBER('Replacement plan'!$C$10),OR(E20=120,OR(ISNUMBER('Replacement plan'!$AI$10),AND('Replacement plan'!$AI$10="",ISNUMBER('Operating costs'!$B$56)))),ISNUMBER(E20))),"Missing vehicle input",IF(OR(E20&lt;0,E20&gt;VLOOKUP($A20,'Fleet register'!$A$7:$S$106,10,FALSE),E20&gt;120,E20&lt;&gt;INT(E20),VLOOKUP($A20,'Fleet register'!$A$7:$S$106,6,FALSE)&lt;=0,VLOOKUP($A20,'Fleet register'!$A$7:$S$106,6,FALSE)&gt;366,VLOOKUP($A20,'Fleet register'!$A$7:$S$106,5,FALSE)&lt;0,VLOOKUP($A20,'Fleet register'!$A$7:$S$106,11,FALSE)&lt;0,I20&lt;0,'Operating costs'!$B$8&lt;='Operating costs'!$B$7*'Operating costs'!$B$9,'Operating costs'!$B$11&lt;=0,'Operating costs'!$B$39&gt;R20,'Operating costs'!$B$40&gt;R20,'Operating costs'!$B$41&gt;R20,NOT(OR("New ICE"="Keep ICE","New ICE"="New ICE","New ICE"="EV"))),"Invalid vehicle input",IF(AND(D20="EV",E20&lt;120,OR(NOT(ISNUMBER(U20)),NOT(ISNUMBER(V20)),V20&lt;=0,T20&lt;0,T20&gt;1,'Replacement plan'!$L$10&lt;=0,'Operating costs'!$B$44&lt;0,'Operating costs'!$B$44&gt;=1,'Operating costs'!$B$47&lt;=0,'Operating costs'!$B$47&gt;1,V20*'Operating costs'!$B$47/(1-'Operating costs'!$B$44)&lt;=T20*'Operating costs'!$B$12*U20,AND('Replacement plan'!$Z$10&gt;0,OR('Replacement plan'!$AB$10&lt;&gt;"Yes",'Operating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charging'!$B$8&gt;=0))),ISNUMBER(VLOOKUP($A20,'Fleet register'!$A$7:$S$106,15,FALSE)),ISNUMBER(VLOOKUP($A20,'Fleet register'!$A$7:$S$106,16,FALSE)),ISNUMBER('Replacement plan'!$W$10),ISNUMBER('Replacement plan'!$X$10),OR(E20=120,AND(ISNUMBER(G20),G20&gt;=0)),ISNUMBER(H20),H20&gt;=0,OR(D20&lt;&gt;"EV",E20=120,AND(ISNUMBER('Operating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plan'!$Y$10),ISNUMBER('Replacement plan'!$Z$10),'Replacement plan'!$Z$10&gt;=0,ISNUMBER('Replacement plan'!$AA$10),'Replacement plan'!$AA$10&gt;=0,'Replacement plan'!$AA$10=INT('Replacement plan'!$AA$10),ISNUMBER('Replacement plan'!$L$10))),'Operating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plan'!$AG$10="",'Operating costs'!$B$7,'Replacement plan'!$AG$10)),IF('Replacement plan'!$AG$10="",'Operating costs'!$B$7,'Replacement plan'!$AG$10)&gt;=0,ISNUMBER(IF('Replacement plan'!$AH$10="",'Operating costs'!$B$7,'Replacement plan'!$AH$10)),IF('Replacement plan'!$AH$10="",'Operating costs'!$B$7,'Replacement plan'!$AH$10)&gt;=0,'Operating costs'!$B$8&gt;MAX(IF('Replacement plan'!$AG$10="",'Operating costs'!$B$7,'Replacement plan'!$AG$10),IF('Replacement plan'!$AH$10="",'Operating costs'!$B$7,'Replacement plan'!$AH$10))*'Operating costs'!$B$9),IF(AND(VLOOKUP($A20,'Fleet register'!$A$7:$S$106,10,FALSE)&gt;=0,VLOOKUP($A20,'Fleet register'!$A$7:$S$106,10,FALSE)&lt;=120,VLOOKUP($A20,'Fleet register'!$A$7:$S$106,10,FALSE)=INT(VLOOKUP($A20,'Fleet register'!$A$7:$S$106,10,FALSE)),VLOOKUP($A20,'Fleet register'!$A$7:$S$106,15,FALSE)&gt;=0,VLOOKUP($A20,'Fleet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costs'!$B$67)&gt;=0,OR(D20&lt;&gt;"EV",E20=120,AND(MIN('Operating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Complete</v>
      </c>
      <c r="Q20" s="1" t="str">
        <f>IF(C20=0,"Excluded",IF(P20&lt;&gt;"Complete",P20,IF(OR('Replacement plan'!$AD$10&lt;120-E20,AND(D20="EV",E20&lt;120,OR('Replacement plan'!$AC$10&lt;120-E20,'Replacement plan'!$I$10="No",AND(ISNUMBER(AF20),AE20&gt;AF20),AI20&gt;V20*(1-'Operating costs'!$B$46)^MAX(0,AB20-1)*(1-'Operating costs'!$B$45),AC20&gt;'Operating costs'!$B$18,AND(T20&lt;1,OR(AG20&lt;=0,AND(ISNUMBER(AH20),AG20&gt;AH20))),'Replacement plan'!$L$10&gt;INDEX(Products!$H$7:$H$13,MATCH('Replacement plan'!$B$10,Products!$A$7:$A$13,0))))),"Fails entered limits",IF(AND(D20="EV",E20&lt;120,OR(NOT(ISNUMBER(VLOOKUP($A20,'Fleet register'!$A$7:$S$106,7,FALSE))),NOT(ISNUMBER(VLOOKUP($A20,'Fleet register'!$A$7:$S$106,8,FALSE))),NOT(ISNUMBER(AF20)),'Replacement plan'!$I$10&lt;&gt;"Yes",NOT(ISNUMBER(AH20)),'Operating costs'!$B$59&lt;&gt;"Yes",'Operating costs'!$B$58&lt;&gt;"Yes")),"Unverified","Within entered limits"))))</f>
        <v>Within entered limits</v>
      </c>
      <c r="R20" s="1">
        <f>IF(C20=0,0,VLOOKUP($A20,'Fleet register'!$A$7:$S$106,6,FALSE))</f>
        <v>300</v>
      </c>
      <c r="S20" s="1">
        <f>IF(C20=0,0,VLOOKUP($A20,'Fleet register'!$A$7:$S$106,5,FALSE))</f>
        <v>150</v>
      </c>
      <c r="T20" s="1">
        <f>IF(D20="EV",'Energy and charging'!$B$12,0)</f>
        <v>0</v>
      </c>
      <c r="U20" s="1">
        <f>IFERROR(IF(C20=0,0,IF(D20="EV",IF('Replacement plan'!$F$10="",INDEX(Products!$E$7:$E$13,MATCH('Replacement plan'!$B$10,Products!$A$7:$A$13,0)),'Replacement plan'!$F$10)/IF('Replacement plan'!$G$10="Battery",1-'Operating costs'!$B$44,1),0)),"n.a.")</f>
        <v>0</v>
      </c>
      <c r="V20" s="1">
        <f>IFERROR(IF(C20=0,0,IF(D20="EV",IF('Replacement plan'!$E$10="",INDEX(Products!$D$7:$D$13,MATCH('Replacement plan'!$B$10,Products!$A$7:$A$13,0)),'Replacement plan'!$E$10),0)),"n.a.")</f>
        <v>0</v>
      </c>
      <c r="W20" s="1">
        <f>IF(C20=0,0,IF(AND(P20="Complete",D20="EV",E20&lt;120),IF(T20=0,0,ROUNDUP(T20*(R20-'Operating costs'!$B$41)*(S20*U20+'Operating costs'!$B$48/(1-'Operating costs'!$B$44))/(V20*'Operating costs'!$B$47/(1-'Operating costs'!$B$44)-T20*'Operating costs'!$B$12*U20),0)),0))</f>
        <v>0</v>
      </c>
      <c r="X20" s="1">
        <f>IF(C20=0,0,IF(AND(P20="Complete",D20="EV",E20&lt;120),(R20-'Operating costs'!$B$41)*(S20*U20+'Operating costs'!$B$48/(1-'Operating costs'!$B$44))+W20*'Operating costs'!$B$12*U20,0))</f>
        <v>0</v>
      </c>
      <c r="Y20" s="1">
        <f>IF(AND(C20=1,D20="EV",E20&lt;120),AI20/(1-'Operating costs'!$B$44)*(1-T20),0)</f>
        <v>0</v>
      </c>
      <c r="Z20" s="1">
        <f t="shared" si="0"/>
        <v>0</v>
      </c>
      <c r="AA20" s="1">
        <f>IF(C20=0,0,IF(P20="Complete",((S20*(R20-'Operating costs'!$B$40))+ROUNDUP(S20*(R20-'Operating costs'!$B$40)*IF('Replacement plan'!$AH$10="",'Operating costs'!$B$7,'Replacement plan'!$AH$10)/('Operating costs'!$B$8-'Operating costs'!$B$9*IF('Replacement plan'!$AH$10="",'Operating costs'!$B$7,'Replacement plan'!$AH$10)),0)*'Operating costs'!$B$9)*IF('Replacement plan'!$AH$10="",'Operating costs'!$B$7,'Replacement plan'!$AH$10),"n.a."))</f>
        <v>4522.8</v>
      </c>
      <c r="AB20" s="1">
        <f t="shared" si="1"/>
        <v>0</v>
      </c>
      <c r="AC20" s="1">
        <f>IF(AND(C20=1,D20="EV",E20&lt;120,T20&gt;0),'Operating costs'!$B$12/'Operating costs'!$B$11*60+'Operating costs'!$B$13+'Operating costs'!$B$14+V20*'Operating costs'!$B$47/(1-'Operating costs'!$B$44)/'Replacement plan'!$L$10*60,0)</f>
        <v>0</v>
      </c>
      <c r="AD20" s="1" t="str">
        <f>'Replacement plan'!$B$10</f>
        <v>ChengLong L2EV</v>
      </c>
      <c r="AE20" s="1">
        <f>IF(C20=0,0,VLOOKUP($A20,'Fleet register'!$A$7:$S$106,8,FALSE))</f>
        <v>1200</v>
      </c>
      <c r="AF20" s="1" t="str">
        <f>IF('Replacement plan'!$H$10="","n.a.",'Replacement plan'!$H$10)</f>
        <v>n.a.</v>
      </c>
      <c r="AG20" s="1">
        <f>'Replacement plan'!$J$10</f>
        <v>22</v>
      </c>
      <c r="AH20" s="1">
        <f>IFERROR(IF(D20="EV",IF('Replacement plan'!$K$10="AC",IF(ISNUMBER(INDEX(Products!$G$7:$G$13,MATCH('Replacement plan'!$B$10,Products!$A$7:$A$13,0))),INDEX(Products!$G$7:$G$13,MATCH('Replacement plan'!$B$10,Products!$A$7:$A$13,0)),"n.a."),IF(ISNUMBER(INDEX(Products!$H$7:$H$13,MATCH('Replacement plan'!$B$10,Products!$A$7:$A$13,0))),INDEX(Products!$H$7:$H$13,MATCH('Replacement plan'!$B$10,Products!$A$7:$A$13,0)),"n.a.")),0),"n.a.")</f>
        <v>0</v>
      </c>
      <c r="AI20" s="1">
        <f>IF(AND(C20=1,D20="EV",E20&lt;120),(VLOOKUP($A20,'Fleet register'!$A$7:$S$106,7,FALSE)+IF(T20&gt;0,'Operating costs'!$B$12,0))*U20*(1-'Operating costs'!$B$44)+'Operating costs'!$B$49,0)</f>
        <v>0</v>
      </c>
      <c r="AJ20" s="1">
        <f>IF(D20="EV",'Energy and charging'!$B$50,0)</f>
        <v>0</v>
      </c>
      <c r="AK20" s="17">
        <f>EDATE('Operating costs'!$B$63,E20)</f>
        <v>46298</v>
      </c>
      <c r="AL20" s="1">
        <f>IFERROR(IF(D20="EV",INDEX(Products!$B$7:$B$13,MATCH('Replacement plan'!$B$10,Products!$A$7:$A$13,0)),0),"n.a.")</f>
        <v>0</v>
      </c>
      <c r="AM20" s="1" t="str">
        <f>'Replacement plan'!$K$10</f>
        <v>DC</v>
      </c>
      <c r="AN20" s="1" t="str">
        <f>'Replacement plan'!$AE$10</f>
        <v>Assumed</v>
      </c>
      <c r="AO20" s="47">
        <f>IF(AND(C20=1,D20="EV",E20&lt;120),(R20-'Operating costs'!$B$41)*S20+W20*'Operating costs'!$B$12,0)</f>
        <v>0</v>
      </c>
      <c r="AP20" s="41">
        <f>IF(AND(C20=1,D20="EV",E20&lt;120),IF('Operating costs'!$B$68="Hong Seh 200k average",AO20*IFERROR(INDEX(Products!$P$7:$P$13,MATCH(AD20,Products!$A$7:$A$13,0)),"n.a."),'Operating costs'!$B$26),0)</f>
        <v>0</v>
      </c>
      <c r="AQ20" s="40" t="str">
        <f>IF(D20="EV",'Operating costs'!$B$68,"Not applicable")</f>
        <v>Not applicable</v>
      </c>
    </row>
    <row r="21" spans="1:43" ht="24" customHeight="1">
      <c r="A21" s="1" t="str">
        <f>'Replacement plan'!A10</f>
        <v>T004</v>
      </c>
      <c r="B21" s="1">
        <v>2</v>
      </c>
      <c r="C21" s="1">
        <f>IF(COUNTIFS('Fleet register'!$A$7:$A$106,$A21)=1,VLOOKUP($A21,'Fleet register'!$A$7:$S$106,2,FALSE),0)</f>
        <v>1</v>
      </c>
      <c r="D21" s="1" t="str">
        <f>IF('Replacement plan'!$O$10="EV","EV","ICE")</f>
        <v>ICE</v>
      </c>
      <c r="E21" s="1">
        <f>IF(C21=0,0,IF('Replacement plan'!$P$10="",IF('Replacement plan'!$O$10="Keep ICE",IF('Replacement plan'!$M$10="",VLOOKUP($A21,'Fleet register'!$A$7:$S$106,10,FALSE),'Replacement plan'!$M$10),0),'Replacement plan'!$P$10))</f>
        <v>48</v>
      </c>
      <c r="F21" s="16">
        <f>IF(C21=0,0,VLOOKUP($A21,'Fleet register'!$A$7:$S$106,11,FALSE))</f>
        <v>42000</v>
      </c>
      <c r="G21" s="16">
        <f>IFERROR(IF(C21=0,0,IF(E21=120,0,IF(D21="ICE",'Replacement plan'!$C$10,IF('Replacement plan'!$D$10="",INDEX(Products!$I$7:$I$13,MATCH('Replacement plan'!$B$10,Products!$A$7:$A$13,0))+'Operating costs'!$B$57,'Replacement plan'!$D$10))*(1+'Operating costs'!$B$50)^(E21/12))),"n.a.")</f>
        <v>181000</v>
      </c>
      <c r="H21" s="16">
        <f>IFERROR(IF(C21=0,0,IF('Replacement plan'!$U$10&lt;&gt;"",'Replacement plan'!$U$10,IF(E21=0,F21,VLOOKUP($A21,'Fleet register'!$A$7:$S$106,12,FALSE)+VLOOKUP($A21,'Fleet register'!$A$7:$S$106,13,FALSE)*MAX(0,VLOOKUP($A21,'Fleet register'!$A$7:$S$106,10,FALSE)-E21)/VLOOKUP($A21,'Fleet register'!$A$7:$S$106,14,FALSE)))),"n.a.")</f>
        <v>10000</v>
      </c>
      <c r="I21" s="16">
        <f>IF(C21=0,0,IF(E21=120,0,'Replacement plan'!$Q$10))</f>
        <v>49200</v>
      </c>
      <c r="J21" s="16">
        <f>IF(C21=0,0,IF(P21="Complete",((S21*(R21-'Operating costs'!$B$39))+ROUNDUP(S21*(R21-'Operating costs'!$B$39)*IF('Replacement plan'!$AG$10="",'Operating costs'!$B$7,'Replacement plan'!$AG$10)/('Operating costs'!$B$8-'Operating costs'!$B$9*IF('Replacement plan'!$AG$10="",'Operating costs'!$B$7,'Replacement plan'!$AG$10)),0)*'Operating costs'!$B$9)*IF('Replacement plan'!$AG$10="",'Operating costs'!$B$7,'Replacement plan'!$AG$10)*('Energy and charging'!$B$9*'Energy and charging'!$B$7+(1-'Energy and charging'!$B$9)*'Energy and charging'!$B$8)*'Operating costs'!$B$23,"n.a."))</f>
        <v>9045.6</v>
      </c>
      <c r="K21" s="16">
        <f>IF(C21=0,0,IF(P21="Complete",SUM('Operating costs'!$B$24,'Operating costs'!$B$27,'Operating costs'!$B$29,'Operating costs'!$B$31,'Operating costs'!$B$33,'Operating costs'!$B$34,'Operating costs'!$B$37,'Replacement plan'!$W$10)+'Operating costs'!$B$39*'Operating costs'!$B$42+ROUNDUP(S21*(R21-'Operating costs'!$B$39)*IF('Replacement plan'!$AG$10="",'Operating costs'!$B$7,'Replacement plan'!$AG$10)/('Operating costs'!$B$8-'Operating costs'!$B$9*IF('Replacement plan'!$AG$10="",'Operating costs'!$B$7,'Replacement plan'!$AG$10)),0)*('Operating costs'!$B$9/'Operating costs'!$B$11+'Operating costs'!$B$10/60)*'Operating costs'!$B$19*'Operating costs'!$B$21,"n.a."))</f>
        <v>9105.75</v>
      </c>
      <c r="L21" s="16">
        <f>IF(C21=0,0,IF(P21="Complete",IF(D21="EV",X21*((1-T21)*'Energy and charging'!$B$10+T21*'Energy and charging'!$B$11)*'Operating costs'!$B$22,AA21*('Energy and charging'!$B$9*'Energy and charging'!$B$7+(1-'Energy and charging'!$B$9)*'Energy and charging'!$B$8)*'Operating costs'!$B$23),"n.a."))</f>
        <v>9045.6</v>
      </c>
      <c r="M21" s="37">
        <f>IF(C21=0,0,IF(P21="Complete",IF(D21="ICE",SUM('Operating costs'!$B$25,'Operating costs'!$B$27,'Operating costs'!$B$29,'Operating costs'!$B$31,'Operating costs'!$B$33,'Operating costs'!$B$35,'Operating costs'!$B$37,'Replacement plan'!$X$10)+'Operating costs'!$B$40*'Operating costs'!$B$42+ROUNDUP(S21*(R21-'Operating costs'!$B$40)*IF('Replacement plan'!$AH$10="",'Operating costs'!$B$7,'Replacement plan'!$AH$10)/('Operating costs'!$B$8-'Operating costs'!$B$9*IF('Replacement plan'!$AH$10="",'Operating costs'!$B$7,'Replacement plan'!$AH$10)),0)*('Operating costs'!$B$9/'Operating costs'!$B$11+'Operating costs'!$B$10/60)*'Operating costs'!$B$19*'Operating costs'!$B$21,SUM(AP21,'Operating costs'!$B$28,'Operating costs'!$B$30,'Operating costs'!$B$32,'Operating costs'!$B$33,'Operating costs'!$B$36,'Operating costs'!$B$38,'Replacement plan'!$Y$10)+'Operating costs'!$B$41*'Operating costs'!$B$43+W21*'Operating costs'!$B$15+(T21*X21/'Replacement plan'!$L$10+W21*('Operating costs'!$B$12/'Operating costs'!$B$11+('Operating costs'!$B$13+'Operating costs'!$B$14)/60)+(R21-'Operating costs'!$B$41)*(IF(T21&lt;1,'Operating costs'!$B$16,0)+'Operating costs'!$B$17)/60)*'Operating costs'!$B$19*'Operating costs'!$B$20),"n.a."))</f>
        <v>9105.75</v>
      </c>
      <c r="N21" s="16">
        <f>IF(AND(C21=1,D21="EV",E21&lt;120,E21+'Replacement plan'!$AA$10&lt;=120),'Replacement plan'!$Z$10,0)</f>
        <v>0</v>
      </c>
      <c r="O21" s="1">
        <f>E21+'Replacement plan'!$AA$10</f>
        <v>48</v>
      </c>
      <c r="P21" s="35" t="str">
        <f>IFERROR(IF(C21=0,"Excluded",IF(OR(COUNTIFS('Fleet register'!$A$7:$A$106,A21)&lt;&gt;1,COUNTIFS('Replacement plan'!$A$7:$A$106,A21)&lt;&gt;1),"Duplicate/missing ID",IF(NOT(AND(ISNUMBER(VLOOKUP($A21,'Fleet register'!$A$7:$S$106,5,FALSE)),ISNUMBER(VLOOKUP($A21,'Fleet register'!$A$7:$S$106,6,FALSE)),ISNUMBER(VLOOKUP($A21,'Fleet register'!$A$7:$S$106,10,FALSE)),ISNUMBER(VLOOKUP($A21,'Fleet register'!$A$7:$S$106,11,FALSE)),ISNUMBER(VLOOKUP($A21,'Fleet register'!$A$7:$S$106,12,FALSE)),ISNUMBER(VLOOKUP($A21,'Fleet register'!$A$7:$S$106,13,FALSE)),ISNUMBER(VLOOKUP($A21,'Fleet register'!$A$7:$S$106,14,FALSE)),VLOOKUP($A21,'Fleet register'!$A$7:$S$106,14,FALSE)&gt;0,ISNUMBER('Replacement plan'!$C$10),OR(E21=120,ISNUMBER('Replacement plan'!$Q$10)),ISNUMBER(E21))),"Missing vehicle input",IF(OR(E21&lt;0,E21&gt;VLOOKUP($A21,'Fleet register'!$A$7:$S$106,10,FALSE),E21&gt;120,E21&lt;&gt;INT(E21),VLOOKUP($A21,'Fleet register'!$A$7:$S$106,6,FALSE)&lt;=0,VLOOKUP($A21,'Fleet register'!$A$7:$S$106,6,FALSE)&gt;366,VLOOKUP($A21,'Fleet register'!$A$7:$S$106,5,FALSE)&lt;0,VLOOKUP($A21,'Fleet register'!$A$7:$S$106,11,FALSE)&lt;0,I21&lt;0,'Operating costs'!$B$8&lt;='Operating costs'!$B$7*'Operating costs'!$B$9,'Operating costs'!$B$11&lt;=0,'Operating costs'!$B$39&gt;R21,'Operating costs'!$B$40&gt;R21,'Operating costs'!$B$41&gt;R21,NOT(OR('Replacement plan'!$O$10="Keep ICE",'Replacement plan'!$O$10="New ICE",'Replacement plan'!$O$10="EV"))),"Invalid vehicle input",IF(AND(D21="EV",E21&lt;120,OR(NOT(ISNUMBER(U21)),NOT(ISNUMBER(V21)),V21&lt;=0,T21&lt;0,T21&gt;1,'Replacement plan'!$L$10&lt;=0,'Operating costs'!$B$44&lt;0,'Operating costs'!$B$44&gt;=1,'Operating costs'!$B$47&lt;=0,'Operating costs'!$B$47&gt;1,V21*'Operating costs'!$B$47/(1-'Operating costs'!$B$44)&lt;=T21*'Operating costs'!$B$12*U21,AND('Replacement plan'!$Z$10&gt;0,OR('Replacement plan'!$AB$10&lt;&gt;"Yes",'Operating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charging'!$B$8&gt;=0))),ISNUMBER(VLOOKUP($A21,'Fleet register'!$A$7:$S$106,15,FALSE)),ISNUMBER(VLOOKUP($A21,'Fleet register'!$A$7:$S$106,16,FALSE)),ISNUMBER('Replacement plan'!$W$10),ISNUMBER('Replacement plan'!$X$10),OR(E21=120,AND(ISNUMBER(G21),G21&gt;=0)),ISNUMBER(H21),H21&gt;=0,OR(D21&lt;&gt;"EV",E21=120,AND(ISNUMBER('Operating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plan'!$Y$10),ISNUMBER('Replacement plan'!$Z$10),'Replacement plan'!$Z$10&gt;=0,ISNUMBER('Replacement plan'!$AA$10),'Replacement plan'!$AA$10&gt;=0,'Replacement plan'!$AA$10=INT('Replacement plan'!$AA$10),ISNUMBER('Replacement plan'!$L$10))),'Operating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plan'!$AG$10="",'Operating costs'!$B$7,'Replacement plan'!$AG$10)),IF('Replacement plan'!$AG$10="",'Operating costs'!$B$7,'Replacement plan'!$AG$10)&gt;=0,ISNUMBER(IF('Replacement plan'!$AH$10="",'Operating costs'!$B$7,'Replacement plan'!$AH$10)),IF('Replacement plan'!$AH$10="",'Operating costs'!$B$7,'Replacement plan'!$AH$10)&gt;=0,'Operating costs'!$B$8&gt;MAX(IF('Replacement plan'!$AG$10="",'Operating costs'!$B$7,'Replacement plan'!$AG$10),IF('Replacement plan'!$AH$10="",'Operating costs'!$B$7,'Replacement plan'!$AH$10))*'Operating costs'!$B$9),IF(AND(VLOOKUP($A21,'Fleet register'!$A$7:$S$106,10,FALSE)&gt;=0,VLOOKUP($A21,'Fleet register'!$A$7:$S$106,10,FALSE)&lt;=120,VLOOKUP($A21,'Fleet register'!$A$7:$S$106,10,FALSE)=INT(VLOOKUP($A21,'Fleet register'!$A$7:$S$106,10,FALSE)),VLOOKUP($A21,'Fleet register'!$A$7:$S$106,15,FALSE)&gt;=0,VLOOKUP($A21,'Fleet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costs'!$B$67)&gt;=0,OR(D21&lt;&gt;"EV",E21=120,AND(MIN('Operating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Complete</v>
      </c>
      <c r="Q21" s="1" t="str">
        <f>IF(C21=0,"Excluded",IF(P21&lt;&gt;"Complete",P21,IF(OR('Replacement plan'!$AD$10&lt;120-E21,AND(D21="EV",E21&lt;120,OR('Replacement plan'!$AC$10&lt;120-E21,'Replacement plan'!$I$10="No",AND(ISNUMBER(AF21),AE21&gt;AF21),AI21&gt;V21*(1-'Operating costs'!$B$46)^MAX(0,AB21-1)*(1-'Operating costs'!$B$45),AC21&gt;'Operating costs'!$B$18,AND(T21&lt;1,OR(AG21&lt;=0,AND(ISNUMBER(AH21),AG21&gt;AH21))),'Replacement plan'!$L$10&gt;INDEX(Products!$H$7:$H$13,MATCH('Replacement plan'!$B$10,Products!$A$7:$A$13,0))))),"Fails entered limits",IF(AND(D21="EV",E21&lt;120,OR(NOT(ISNUMBER(VLOOKUP($A21,'Fleet register'!$A$7:$S$106,7,FALSE))),NOT(ISNUMBER(VLOOKUP($A21,'Fleet register'!$A$7:$S$106,8,FALSE))),NOT(ISNUMBER(AF21)),'Replacement plan'!$I$10&lt;&gt;"Yes",NOT(ISNUMBER(AH21)),'Operating costs'!$B$59&lt;&gt;"Yes",'Operating costs'!$B$58&lt;&gt;"Yes")),"Unverified","Within entered limits"))))</f>
        <v>Within entered limits</v>
      </c>
      <c r="R21" s="1">
        <f>IF(C21=0,0,VLOOKUP($A21,'Fleet register'!$A$7:$S$106,6,FALSE))</f>
        <v>300</v>
      </c>
      <c r="S21" s="1">
        <f>IF(C21=0,0,VLOOKUP($A21,'Fleet register'!$A$7:$S$106,5,FALSE))</f>
        <v>150</v>
      </c>
      <c r="T21" s="1">
        <f>IF(D21="EV",'Energy and charging'!$B$12,0)</f>
        <v>0</v>
      </c>
      <c r="U21" s="1">
        <f>IFERROR(IF(C21=0,0,IF(D21="EV",IF('Replacement plan'!$F$10="",INDEX(Products!$E$7:$E$13,MATCH('Replacement plan'!$B$10,Products!$A$7:$A$13,0)),'Replacement plan'!$F$10)/IF('Replacement plan'!$G$10="Battery",1-'Operating costs'!$B$44,1),0)),"n.a.")</f>
        <v>0</v>
      </c>
      <c r="V21" s="1">
        <f>IFERROR(IF(C21=0,0,IF(D21="EV",IF('Replacement plan'!$E$10="",INDEX(Products!$D$7:$D$13,MATCH('Replacement plan'!$B$10,Products!$A$7:$A$13,0)),'Replacement plan'!$E$10),0)),"n.a.")</f>
        <v>0</v>
      </c>
      <c r="W21" s="1">
        <f>IF(C21=0,0,IF(AND(P21="Complete",D21="EV",E21&lt;120),IF(T21=0,0,ROUNDUP(T21*(R21-'Operating costs'!$B$41)*(S21*U21+'Operating costs'!$B$48/(1-'Operating costs'!$B$44))/(V21*'Operating costs'!$B$47/(1-'Operating costs'!$B$44)-T21*'Operating costs'!$B$12*U21),0)),0))</f>
        <v>0</v>
      </c>
      <c r="X21" s="1">
        <f>IF(C21=0,0,IF(AND(P21="Complete",D21="EV",E21&lt;120),(R21-'Operating costs'!$B$41)*(S21*U21+'Operating costs'!$B$48/(1-'Operating costs'!$B$44))+W21*'Operating costs'!$B$12*U21,0))</f>
        <v>0</v>
      </c>
      <c r="Y21" s="1">
        <f>IF(AND(C21=1,D21="EV",E21&lt;120),AI21/(1-'Operating costs'!$B$44)*(1-T21),0)</f>
        <v>0</v>
      </c>
      <c r="Z21" s="1">
        <f t="shared" si="0"/>
        <v>0</v>
      </c>
      <c r="AA21" s="1">
        <f>IF(C21=0,0,IF(P21="Complete",((S21*(R21-'Operating costs'!$B$40))+ROUNDUP(S21*(R21-'Operating costs'!$B$40)*IF('Replacement plan'!$AH$10="",'Operating costs'!$B$7,'Replacement plan'!$AH$10)/('Operating costs'!$B$8-'Operating costs'!$B$9*IF('Replacement plan'!$AH$10="",'Operating costs'!$B$7,'Replacement plan'!$AH$10)),0)*'Operating costs'!$B$9)*IF('Replacement plan'!$AH$10="",'Operating costs'!$B$7,'Replacement plan'!$AH$10),"n.a."))</f>
        <v>4522.8</v>
      </c>
      <c r="AB21" s="1">
        <f t="shared" si="1"/>
        <v>0</v>
      </c>
      <c r="AC21" s="1">
        <f>IF(AND(C21=1,D21="EV",E21&lt;120,T21&gt;0),'Operating costs'!$B$12/'Operating costs'!$B$11*60+'Operating costs'!$B$13+'Operating costs'!$B$14+V21*'Operating costs'!$B$47/(1-'Operating costs'!$B$44)/'Replacement plan'!$L$10*60,0)</f>
        <v>0</v>
      </c>
      <c r="AD21" s="1" t="str">
        <f>'Replacement plan'!$B$10</f>
        <v>ChengLong L2EV</v>
      </c>
      <c r="AE21" s="1">
        <f>IF(C21=0,0,VLOOKUP($A21,'Fleet register'!$A$7:$S$106,8,FALSE))</f>
        <v>1200</v>
      </c>
      <c r="AF21" s="1" t="str">
        <f>IF('Replacement plan'!$H$10="","n.a.",'Replacement plan'!$H$10)</f>
        <v>n.a.</v>
      </c>
      <c r="AG21" s="1">
        <f>'Replacement plan'!$J$10</f>
        <v>22</v>
      </c>
      <c r="AH21" s="1">
        <f>IFERROR(IF(D21="EV",IF('Replacement plan'!$K$10="AC",IF(ISNUMBER(INDEX(Products!$G$7:$G$13,MATCH('Replacement plan'!$B$10,Products!$A$7:$A$13,0))),INDEX(Products!$G$7:$G$13,MATCH('Replacement plan'!$B$10,Products!$A$7:$A$13,0)),"n.a."),IF(ISNUMBER(INDEX(Products!$H$7:$H$13,MATCH('Replacement plan'!$B$10,Products!$A$7:$A$13,0))),INDEX(Products!$H$7:$H$13,MATCH('Replacement plan'!$B$10,Products!$A$7:$A$13,0)),"n.a.")),0),"n.a.")</f>
        <v>0</v>
      </c>
      <c r="AI21" s="1">
        <f>IF(AND(C21=1,D21="EV",E21&lt;120),(VLOOKUP($A21,'Fleet register'!$A$7:$S$106,7,FALSE)+IF(T21&gt;0,'Operating costs'!$B$12,0))*U21*(1-'Operating costs'!$B$44)+'Operating costs'!$B$49,0)</f>
        <v>0</v>
      </c>
      <c r="AJ21" s="1">
        <f>IF(D21="EV",'Energy and charging'!$B$50,0)</f>
        <v>0</v>
      </c>
      <c r="AK21" s="17">
        <f>EDATE('Operating costs'!$B$63,E21)</f>
        <v>47759</v>
      </c>
      <c r="AL21" s="1">
        <f>IFERROR(IF(D21="EV",INDEX(Products!$B$7:$B$13,MATCH('Replacement plan'!$B$10,Products!$A$7:$A$13,0)),0),"n.a.")</f>
        <v>0</v>
      </c>
      <c r="AM21" s="1" t="str">
        <f>'Replacement plan'!$K$10</f>
        <v>DC</v>
      </c>
      <c r="AN21" s="1" t="str">
        <f>'Replacement plan'!$AE$10</f>
        <v>Assumed</v>
      </c>
      <c r="AO21" s="47">
        <f>IF(AND(C21=1,D21="EV",E21&lt;120),(R21-'Operating costs'!$B$41)*S21+W21*'Operating costs'!$B$12,0)</f>
        <v>0</v>
      </c>
      <c r="AP21" s="41">
        <f>IF(AND(C21=1,D21="EV",E21&lt;120),IF('Operating costs'!$B$68="Hong Seh 200k average",AO21*IFERROR(INDEX(Products!$P$7:$P$13,MATCH(AD21,Products!$A$7:$A$13,0)),"n.a."),'Operating costs'!$B$26),0)</f>
        <v>0</v>
      </c>
      <c r="AQ21" s="40" t="str">
        <f>IF(D21="EV",'Operating costs'!$B$68,"Not applicable")</f>
        <v>Not applicable</v>
      </c>
    </row>
    <row r="22" spans="1:43" ht="24" customHeight="1">
      <c r="A22" s="1" t="str">
        <f>'Replacement plan'!A10</f>
        <v>T004</v>
      </c>
      <c r="B22" s="1">
        <v>3</v>
      </c>
      <c r="C22" s="1">
        <f>IF(COUNTIFS('Fleet register'!$A$7:$A$106,$A22)=1,VLOOKUP($A22,'Fleet register'!$A$7:$S$106,2,FALSE),0)</f>
        <v>1</v>
      </c>
      <c r="D22" s="1" t="str">
        <f>IF('Replacement plan'!$R$10="EV","EV","ICE")</f>
        <v>ICE</v>
      </c>
      <c r="E22" s="1">
        <f>IF(C22=0,0,IF('Replacement plan'!$S$10="",IF('Replacement plan'!$R$10="Keep ICE",IF('Replacement plan'!$M$10="",VLOOKUP($A22,'Fleet register'!$A$7:$S$106,10,FALSE),'Replacement plan'!$M$10),0),'Replacement plan'!$S$10))</f>
        <v>48</v>
      </c>
      <c r="F22" s="16">
        <f>IF(C22=0,0,VLOOKUP($A22,'Fleet register'!$A$7:$S$106,11,FALSE))</f>
        <v>42000</v>
      </c>
      <c r="G22" s="16">
        <f>IFERROR(IF(C22=0,0,IF(E22=120,0,IF(D22="ICE",'Replacement plan'!$C$10,IF('Replacement plan'!$D$10="",INDEX(Products!$I$7:$I$13,MATCH('Replacement plan'!$B$10,Products!$A$7:$A$13,0))+'Operating costs'!$B$57,'Replacement plan'!$D$10))*(1+'Operating costs'!$B$50)^(E22/12))),"n.a.")</f>
        <v>181000</v>
      </c>
      <c r="H22" s="16">
        <f>IFERROR(IF(C22=0,0,IF('Replacement plan'!$V$10&lt;&gt;"",'Replacement plan'!$V$10,IF(E22=0,F22,VLOOKUP($A22,'Fleet register'!$A$7:$S$106,12,FALSE)+VLOOKUP($A22,'Fleet register'!$A$7:$S$106,13,FALSE)*MAX(0,VLOOKUP($A22,'Fleet register'!$A$7:$S$106,10,FALSE)-E22)/VLOOKUP($A22,'Fleet register'!$A$7:$S$106,14,FALSE)))),"n.a.")</f>
        <v>10000</v>
      </c>
      <c r="I22" s="16">
        <f>IF(C22=0,0,IF(E22=120,0,'Replacement plan'!$T$10))</f>
        <v>49200</v>
      </c>
      <c r="J22" s="16">
        <f>IF(C22=0,0,IF(P22="Complete",((S22*(R22-'Operating costs'!$B$39))+ROUNDUP(S22*(R22-'Operating costs'!$B$39)*IF('Replacement plan'!$AG$10="",'Operating costs'!$B$7,'Replacement plan'!$AG$10)/('Operating costs'!$B$8-'Operating costs'!$B$9*IF('Replacement plan'!$AG$10="",'Operating costs'!$B$7,'Replacement plan'!$AG$10)),0)*'Operating costs'!$B$9)*IF('Replacement plan'!$AG$10="",'Operating costs'!$B$7,'Replacement plan'!$AG$10)*('Energy and charging'!$C$9*'Energy and charging'!$C$7+(1-'Energy and charging'!$C$9)*'Energy and charging'!$C$8)*'Operating costs'!$B$23,"n.a."))</f>
        <v>9045.6</v>
      </c>
      <c r="K22" s="16">
        <f>IF(C22=0,0,IF(P22="Complete",SUM('Operating costs'!$B$24,'Operating costs'!$B$27,'Operating costs'!$B$29,'Operating costs'!$B$31,'Operating costs'!$B$33,'Operating costs'!$B$34,'Operating costs'!$B$37,'Replacement plan'!$W$10)+'Operating costs'!$B$39*'Operating costs'!$B$42+ROUNDUP(S22*(R22-'Operating costs'!$B$39)*IF('Replacement plan'!$AG$10="",'Operating costs'!$B$7,'Replacement plan'!$AG$10)/('Operating costs'!$B$8-'Operating costs'!$B$9*IF('Replacement plan'!$AG$10="",'Operating costs'!$B$7,'Replacement plan'!$AG$10)),0)*('Operating costs'!$B$9/'Operating costs'!$B$11+'Operating costs'!$B$10/60)*'Operating costs'!$B$19*'Operating costs'!$B$21,"n.a."))</f>
        <v>9105.75</v>
      </c>
      <c r="L22" s="16">
        <f>IF(C22=0,0,IF(P22="Complete",IF(D22="EV",X22*((1-T22)*'Energy and charging'!$C$10+T22*'Energy and charging'!$C$11)*'Operating costs'!$B$22,AA22*('Energy and charging'!$C$9*'Energy and charging'!$C$7+(1-'Energy and charging'!$C$9)*'Energy and charging'!$C$8)*'Operating costs'!$B$23),"n.a."))</f>
        <v>9045.6</v>
      </c>
      <c r="M22" s="37">
        <f>IF(C22=0,0,IF(P22="Complete",IF(D22="ICE",SUM('Operating costs'!$B$25,'Operating costs'!$B$27,'Operating costs'!$B$29,'Operating costs'!$B$31,'Operating costs'!$B$33,'Operating costs'!$B$35,'Operating costs'!$B$37,'Replacement plan'!$X$10)+'Operating costs'!$B$40*'Operating costs'!$B$42+ROUNDUP(S22*(R22-'Operating costs'!$B$40)*IF('Replacement plan'!$AH$10="",'Operating costs'!$B$7,'Replacement plan'!$AH$10)/('Operating costs'!$B$8-'Operating costs'!$B$9*IF('Replacement plan'!$AH$10="",'Operating costs'!$B$7,'Replacement plan'!$AH$10)),0)*('Operating costs'!$B$9/'Operating costs'!$B$11+'Operating costs'!$B$10/60)*'Operating costs'!$B$19*'Operating costs'!$B$21,SUM(AP22,'Operating costs'!$B$28,'Operating costs'!$B$30,'Operating costs'!$B$32,'Operating costs'!$B$33,'Operating costs'!$B$36,'Operating costs'!$B$38,'Replacement plan'!$Y$10)+'Operating costs'!$B$41*'Operating costs'!$B$43+W22*'Operating costs'!$B$15+(T22*X22/'Replacement plan'!$L$10+W22*('Operating costs'!$B$12/'Operating costs'!$B$11+('Operating costs'!$B$13+'Operating costs'!$B$14)/60)+(R22-'Operating costs'!$B$41)*(IF(T22&lt;1,'Operating costs'!$B$16,0)+'Operating costs'!$B$17)/60)*'Operating costs'!$B$19*'Operating costs'!$B$20),"n.a."))</f>
        <v>9105.75</v>
      </c>
      <c r="N22" s="16">
        <f>IF(AND(C22=1,D22="EV",E22&lt;120,E22+'Replacement plan'!$AA$10&lt;=120),'Replacement plan'!$Z$10,0)</f>
        <v>0</v>
      </c>
      <c r="O22" s="1">
        <f>E22+'Replacement plan'!$AA$10</f>
        <v>48</v>
      </c>
      <c r="P22" s="35" t="str">
        <f>IFERROR(IF(C22=0,"Excluded",IF(OR(COUNTIFS('Fleet register'!$A$7:$A$106,A22)&lt;&gt;1,COUNTIFS('Replacement plan'!$A$7:$A$106,A22)&lt;&gt;1),"Duplicate/missing ID",IF(NOT(AND(ISNUMBER(VLOOKUP($A22,'Fleet register'!$A$7:$S$106,5,FALSE)),ISNUMBER(VLOOKUP($A22,'Fleet register'!$A$7:$S$106,6,FALSE)),ISNUMBER(VLOOKUP($A22,'Fleet register'!$A$7:$S$106,10,FALSE)),ISNUMBER(VLOOKUP($A22,'Fleet register'!$A$7:$S$106,11,FALSE)),ISNUMBER(VLOOKUP($A22,'Fleet register'!$A$7:$S$106,12,FALSE)),ISNUMBER(VLOOKUP($A22,'Fleet register'!$A$7:$S$106,13,FALSE)),ISNUMBER(VLOOKUP($A22,'Fleet register'!$A$7:$S$106,14,FALSE)),VLOOKUP($A22,'Fleet register'!$A$7:$S$106,14,FALSE)&gt;0,ISNUMBER('Replacement plan'!$C$10),OR(E22=120,ISNUMBER('Replacement plan'!$T$10)),ISNUMBER(E22))),"Missing vehicle input",IF(OR(E22&lt;0,E22&gt;VLOOKUP($A22,'Fleet register'!$A$7:$S$106,10,FALSE),E22&gt;120,E22&lt;&gt;INT(E22),VLOOKUP($A22,'Fleet register'!$A$7:$S$106,6,FALSE)&lt;=0,VLOOKUP($A22,'Fleet register'!$A$7:$S$106,6,FALSE)&gt;366,VLOOKUP($A22,'Fleet register'!$A$7:$S$106,5,FALSE)&lt;0,VLOOKUP($A22,'Fleet register'!$A$7:$S$106,11,FALSE)&lt;0,I22&lt;0,'Operating costs'!$B$8&lt;='Operating costs'!$B$7*'Operating costs'!$B$9,'Operating costs'!$B$11&lt;=0,'Operating costs'!$B$39&gt;R22,'Operating costs'!$B$40&gt;R22,'Operating costs'!$B$41&gt;R22,NOT(OR('Replacement plan'!$R$10="Keep ICE",'Replacement plan'!$R$10="New ICE",'Replacement plan'!$R$10="EV"))),"Invalid vehicle input",IF(AND(D22="EV",E22&lt;120,OR(NOT(ISNUMBER(U22)),NOT(ISNUMBER(V22)),V22&lt;=0,T22&lt;0,T22&gt;1,'Replacement plan'!$L$10&lt;=0,'Operating costs'!$B$44&lt;0,'Operating costs'!$B$44&gt;=1,'Operating costs'!$B$47&lt;=0,'Operating costs'!$B$47&gt;1,V22*'Operating costs'!$B$47/(1-'Operating costs'!$B$44)&lt;=T22*'Operating costs'!$B$12*U22,AND('Replacement plan'!$Z$10&gt;0,OR('Replacement plan'!$AB$10&lt;&gt;"Yes",'Operating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charging'!$C$8&gt;=0))),ISNUMBER(VLOOKUP($A22,'Fleet register'!$A$7:$S$106,15,FALSE)),ISNUMBER(VLOOKUP($A22,'Fleet register'!$A$7:$S$106,16,FALSE)),ISNUMBER('Replacement plan'!$W$10),ISNUMBER('Replacement plan'!$X$10),OR(E22=120,AND(ISNUMBER(G22),G22&gt;=0)),ISNUMBER(H22),H22&gt;=0,OR(D22&lt;&gt;"EV",E22=120,AND(ISNUMBER('Operating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plan'!$Y$10),ISNUMBER('Replacement plan'!$Z$10),'Replacement plan'!$Z$10&gt;=0,ISNUMBER('Replacement plan'!$AA$10),'Replacement plan'!$AA$10&gt;=0,'Replacement plan'!$AA$10=INT('Replacement plan'!$AA$10),ISNUMBER('Replacement plan'!$L$10))),'Operating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plan'!$AG$10="",'Operating costs'!$B$7,'Replacement plan'!$AG$10)),IF('Replacement plan'!$AG$10="",'Operating costs'!$B$7,'Replacement plan'!$AG$10)&gt;=0,ISNUMBER(IF('Replacement plan'!$AH$10="",'Operating costs'!$B$7,'Replacement plan'!$AH$10)),IF('Replacement plan'!$AH$10="",'Operating costs'!$B$7,'Replacement plan'!$AH$10)&gt;=0,'Operating costs'!$B$8&gt;MAX(IF('Replacement plan'!$AG$10="",'Operating costs'!$B$7,'Replacement plan'!$AG$10),IF('Replacement plan'!$AH$10="",'Operating costs'!$B$7,'Replacement plan'!$AH$10))*'Operating costs'!$B$9),IF(AND(VLOOKUP($A22,'Fleet register'!$A$7:$S$106,10,FALSE)&gt;=0,VLOOKUP($A22,'Fleet register'!$A$7:$S$106,10,FALSE)&lt;=120,VLOOKUP($A22,'Fleet register'!$A$7:$S$106,10,FALSE)=INT(VLOOKUP($A22,'Fleet register'!$A$7:$S$106,10,FALSE)),VLOOKUP($A22,'Fleet register'!$A$7:$S$106,15,FALSE)&gt;=0,VLOOKUP($A22,'Fleet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costs'!$B$67)&gt;=0,OR(D22&lt;&gt;"EV",E22=120,AND(MIN('Operating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Complete</v>
      </c>
      <c r="Q22" s="1" t="str">
        <f>IF(C22=0,"Excluded",IF(P22&lt;&gt;"Complete",P22,IF(OR('Replacement plan'!$AD$10&lt;120-E22,AND(D22="EV",E22&lt;120,OR('Replacement plan'!$AC$10&lt;120-E22,'Replacement plan'!$I$10="No",AND(ISNUMBER(AF22),AE22&gt;AF22),AI22&gt;V22*(1-'Operating costs'!$B$46)^MAX(0,AB22-1)*(1-'Operating costs'!$B$45),AC22&gt;'Operating costs'!$B$18,AND(T22&lt;1,OR(AG22&lt;=0,AND(ISNUMBER(AH22),AG22&gt;AH22))),'Replacement plan'!$L$10&gt;INDEX(Products!$H$7:$H$13,MATCH('Replacement plan'!$B$10,Products!$A$7:$A$13,0))))),"Fails entered limits",IF(AND(D22="EV",E22&lt;120,OR(NOT(ISNUMBER(VLOOKUP($A22,'Fleet register'!$A$7:$S$106,7,FALSE))),NOT(ISNUMBER(VLOOKUP($A22,'Fleet register'!$A$7:$S$106,8,FALSE))),NOT(ISNUMBER(AF22)),'Replacement plan'!$I$10&lt;&gt;"Yes",NOT(ISNUMBER(AH22)),'Operating costs'!$B$59&lt;&gt;"Yes",'Operating costs'!$B$58&lt;&gt;"Yes")),"Unverified","Within entered limits"))))</f>
        <v>Within entered limits</v>
      </c>
      <c r="R22" s="1">
        <f>IF(C22=0,0,VLOOKUP($A22,'Fleet register'!$A$7:$S$106,6,FALSE))</f>
        <v>300</v>
      </c>
      <c r="S22" s="1">
        <f>IF(C22=0,0,VLOOKUP($A22,'Fleet register'!$A$7:$S$106,5,FALSE))</f>
        <v>150</v>
      </c>
      <c r="T22" s="1">
        <f>IF(D22="EV",'Energy and charging'!$C$12,0)</f>
        <v>0</v>
      </c>
      <c r="U22" s="1">
        <f>IFERROR(IF(C22=0,0,IF(D22="EV",IF('Replacement plan'!$F$10="",INDEX(Products!$E$7:$E$13,MATCH('Replacement plan'!$B$10,Products!$A$7:$A$13,0)),'Replacement plan'!$F$10)/IF('Replacement plan'!$G$10="Battery",1-'Operating costs'!$B$44,1),0)),"n.a.")</f>
        <v>0</v>
      </c>
      <c r="V22" s="1">
        <f>IFERROR(IF(C22=0,0,IF(D22="EV",IF('Replacement plan'!$E$10="",INDEX(Products!$D$7:$D$13,MATCH('Replacement plan'!$B$10,Products!$A$7:$A$13,0)),'Replacement plan'!$E$10),0)),"n.a.")</f>
        <v>0</v>
      </c>
      <c r="W22" s="1">
        <f>IF(C22=0,0,IF(AND(P22="Complete",D22="EV",E22&lt;120),IF(T22=0,0,ROUNDUP(T22*(R22-'Operating costs'!$B$41)*(S22*U22+'Operating costs'!$B$48/(1-'Operating costs'!$B$44))/(V22*'Operating costs'!$B$47/(1-'Operating costs'!$B$44)-T22*'Operating costs'!$B$12*U22),0)),0))</f>
        <v>0</v>
      </c>
      <c r="X22" s="1">
        <f>IF(C22=0,0,IF(AND(P22="Complete",D22="EV",E22&lt;120),(R22-'Operating costs'!$B$41)*(S22*U22+'Operating costs'!$B$48/(1-'Operating costs'!$B$44))+W22*'Operating costs'!$B$12*U22,0))</f>
        <v>0</v>
      </c>
      <c r="Y22" s="1">
        <f>IF(AND(C22=1,D22="EV",E22&lt;120),AI22/(1-'Operating costs'!$B$44)*(1-T22),0)</f>
        <v>0</v>
      </c>
      <c r="Z22" s="1">
        <f t="shared" si="0"/>
        <v>0</v>
      </c>
      <c r="AA22" s="1">
        <f>IF(C22=0,0,IF(P22="Complete",((S22*(R22-'Operating costs'!$B$40))+ROUNDUP(S22*(R22-'Operating costs'!$B$40)*IF('Replacement plan'!$AH$10="",'Operating costs'!$B$7,'Replacement plan'!$AH$10)/('Operating costs'!$B$8-'Operating costs'!$B$9*IF('Replacement plan'!$AH$10="",'Operating costs'!$B$7,'Replacement plan'!$AH$10)),0)*'Operating costs'!$B$9)*IF('Replacement plan'!$AH$10="",'Operating costs'!$B$7,'Replacement plan'!$AH$10),"n.a."))</f>
        <v>4522.8</v>
      </c>
      <c r="AB22" s="1">
        <f t="shared" si="1"/>
        <v>0</v>
      </c>
      <c r="AC22" s="1">
        <f>IF(AND(C22=1,D22="EV",E22&lt;120,T22&gt;0),'Operating costs'!$B$12/'Operating costs'!$B$11*60+'Operating costs'!$B$13+'Operating costs'!$B$14+V22*'Operating costs'!$B$47/(1-'Operating costs'!$B$44)/'Replacement plan'!$L$10*60,0)</f>
        <v>0</v>
      </c>
      <c r="AD22" s="1" t="str">
        <f>'Replacement plan'!$B$10</f>
        <v>ChengLong L2EV</v>
      </c>
      <c r="AE22" s="1">
        <f>IF(C22=0,0,VLOOKUP($A22,'Fleet register'!$A$7:$S$106,8,FALSE))</f>
        <v>1200</v>
      </c>
      <c r="AF22" s="1" t="str">
        <f>IF('Replacement plan'!$H$10="","n.a.",'Replacement plan'!$H$10)</f>
        <v>n.a.</v>
      </c>
      <c r="AG22" s="1">
        <f>'Replacement plan'!$J$10</f>
        <v>22</v>
      </c>
      <c r="AH22" s="1">
        <f>IFERROR(IF(D22="EV",IF('Replacement plan'!$K$10="AC",IF(ISNUMBER(INDEX(Products!$G$7:$G$13,MATCH('Replacement plan'!$B$10,Products!$A$7:$A$13,0))),INDEX(Products!$G$7:$G$13,MATCH('Replacement plan'!$B$10,Products!$A$7:$A$13,0)),"n.a."),IF(ISNUMBER(INDEX(Products!$H$7:$H$13,MATCH('Replacement plan'!$B$10,Products!$A$7:$A$13,0))),INDEX(Products!$H$7:$H$13,MATCH('Replacement plan'!$B$10,Products!$A$7:$A$13,0)),"n.a.")),0),"n.a.")</f>
        <v>0</v>
      </c>
      <c r="AI22" s="1">
        <f>IF(AND(C22=1,D22="EV",E22&lt;120),(VLOOKUP($A22,'Fleet register'!$A$7:$S$106,7,FALSE)+IF(T22&gt;0,'Operating costs'!$B$12,0))*U22*(1-'Operating costs'!$B$44)+'Operating costs'!$B$49,0)</f>
        <v>0</v>
      </c>
      <c r="AJ22" s="1">
        <f>IF(D22="EV",'Energy and charging'!$C$50,0)</f>
        <v>0</v>
      </c>
      <c r="AK22" s="17">
        <f>EDATE('Operating costs'!$B$63,E22)</f>
        <v>47759</v>
      </c>
      <c r="AL22" s="1">
        <f>IFERROR(IF(D22="EV",INDEX(Products!$B$7:$B$13,MATCH('Replacement plan'!$B$10,Products!$A$7:$A$13,0)),0),"n.a.")</f>
        <v>0</v>
      </c>
      <c r="AM22" s="1" t="str">
        <f>'Replacement plan'!$K$10</f>
        <v>DC</v>
      </c>
      <c r="AN22" s="1" t="str">
        <f>'Replacement plan'!$AE$10</f>
        <v>Assumed</v>
      </c>
      <c r="AO22" s="47">
        <f>IF(AND(C22=1,D22="EV",E22&lt;120),(R22-'Operating costs'!$B$41)*S22+W22*'Operating costs'!$B$12,0)</f>
        <v>0</v>
      </c>
      <c r="AP22" s="41">
        <f>IF(AND(C22=1,D22="EV",E22&lt;120),IF('Operating costs'!$B$68="Hong Seh 200k average",AO22*IFERROR(INDEX(Products!$P$7:$P$13,MATCH(AD22,Products!$A$7:$A$13,0)),"n.a."),'Operating costs'!$B$26),0)</f>
        <v>0</v>
      </c>
      <c r="AQ22" s="40" t="str">
        <f>IF(D22="EV",'Operating costs'!$B$68,"Not applicable")</f>
        <v>Not applicable</v>
      </c>
    </row>
    <row r="23" spans="1:43" ht="24" customHeight="1">
      <c r="A23" s="1" t="str">
        <f>'Replacement plan'!A11</f>
        <v>T005</v>
      </c>
      <c r="B23" s="1">
        <v>0</v>
      </c>
      <c r="C23" s="1">
        <f>IF(COUNTIFS('Fleet register'!$A$7:$A$106,$A23)=1,VLOOKUP($A23,'Fleet register'!$A$7:$S$106,2,FALSE),0)</f>
        <v>1</v>
      </c>
      <c r="D23" s="1" t="str">
        <f>IF("Keep ICE"="EV","EV","ICE")</f>
        <v>ICE</v>
      </c>
      <c r="E23" s="1">
        <f>IF(C23=0,0,IF('Replacement plan'!$M$11="",VLOOKUP($A23,'Fleet register'!$A$7:$S$106,10,FALSE),'Replacement plan'!$M$11))</f>
        <v>60</v>
      </c>
      <c r="F23" s="16">
        <f>IF(C23=0,0,VLOOKUP($A23,'Fleet register'!$A$7:$S$106,11,FALSE))</f>
        <v>48000</v>
      </c>
      <c r="G23" s="16">
        <f>IFERROR(IF(C23=0,0,IF(E23=120,0,IF(D23="ICE",'Replacement plan'!$C$11,IF('Replacement plan'!$D$11="",INDEX(Products!$I$7:$I$13,MATCH('Replacement plan'!$B$11,Products!$A$7:$A$13,0))+'Operating costs'!$B$57,'Replacement plan'!$D$11))*(1+'Operating costs'!$B$50)^(E23/12))),"n.a.")</f>
        <v>181000</v>
      </c>
      <c r="H23" s="16">
        <f>IFERROR(IF(C23=0,0,IF(E23=0,F23,VLOOKUP($A23,'Fleet register'!$A$7:$S$106,12,FALSE)+VLOOKUP($A23,'Fleet register'!$A$7:$S$106,13,FALSE)*MAX(0,VLOOKUP($A23,'Fleet register'!$A$7:$S$106,10,FALSE)-E23)/VLOOKUP($A23,'Fleet register'!$A$7:$S$106,14,FALSE))),"n.a.")</f>
        <v>10000</v>
      </c>
      <c r="I23" s="16">
        <f>IF(C23=0,0,IF(E23=120,0,'Replacement plan'!$N$11))</f>
        <v>58500</v>
      </c>
      <c r="J23" s="16">
        <f>IF(C23=0,0,IF(P23="Complete",((S23*(R23-'Operating costs'!$B$39))+ROUNDUP(S23*(R23-'Operating costs'!$B$39)*IF('Replacement plan'!$AG$11="",'Operating costs'!$B$7,'Replacement plan'!$AG$11)/('Operating costs'!$B$8-'Operating costs'!$B$9*IF('Replacement plan'!$AG$11="",'Operating costs'!$B$7,'Replacement plan'!$AG$11)),0)*'Operating costs'!$B$9)*IF('Replacement plan'!$AG$11="",'Operating costs'!$B$7,'Replacement plan'!$AG$11)*('Energy and charging'!$B$9*'Energy and charging'!$B$7+(1-'Energy and charging'!$B$9)*'Energy and charging'!$B$8)*'Operating costs'!$B$23,"n.a."))</f>
        <v>9045.6</v>
      </c>
      <c r="K23" s="16">
        <f>IF(C23=0,0,IF(P23="Complete",SUM('Operating costs'!$B$24,'Operating costs'!$B$27,'Operating costs'!$B$29,'Operating costs'!$B$31,'Operating costs'!$B$33,'Operating costs'!$B$34,'Operating costs'!$B$37,'Replacement plan'!$W$11)+'Operating costs'!$B$39*'Operating costs'!$B$42+ROUNDUP(S23*(R23-'Operating costs'!$B$39)*IF('Replacement plan'!$AG$11="",'Operating costs'!$B$7,'Replacement plan'!$AG$11)/('Operating costs'!$B$8-'Operating costs'!$B$9*IF('Replacement plan'!$AG$11="",'Operating costs'!$B$7,'Replacement plan'!$AG$11)),0)*('Operating costs'!$B$9/'Operating costs'!$B$11+'Operating costs'!$B$10/60)*'Operating costs'!$B$19*'Operating costs'!$B$21,"n.a."))</f>
        <v>9105.75</v>
      </c>
      <c r="L23" s="16">
        <f>IF(C23=0,0,IF(P23="Complete",IF(D23="EV",X23*((1-T23)*'Energy and charging'!$B$10+T23*'Energy and charging'!$B$11)*'Operating costs'!$B$22,AA23*('Energy and charging'!$B$9*'Energy and charging'!$B$7+(1-'Energy and charging'!$B$9)*'Energy and charging'!$B$8)*'Operating costs'!$B$23),"n.a."))</f>
        <v>9045.6</v>
      </c>
      <c r="M23" s="37">
        <f>IF(C23=0,0,IF(P23="Complete",IF(D23="ICE",SUM('Operating costs'!$B$25,'Operating costs'!$B$27,'Operating costs'!$B$29,'Operating costs'!$B$31,'Operating costs'!$B$33,'Operating costs'!$B$35,'Operating costs'!$B$37,'Replacement plan'!$X$11)+'Operating costs'!$B$40*'Operating costs'!$B$42+ROUNDUP(S23*(R23-'Operating costs'!$B$40)*IF('Replacement plan'!$AH$11="",'Operating costs'!$B$7,'Replacement plan'!$AH$11)/('Operating costs'!$B$8-'Operating costs'!$B$9*IF('Replacement plan'!$AH$11="",'Operating costs'!$B$7,'Replacement plan'!$AH$11)),0)*('Operating costs'!$B$9/'Operating costs'!$B$11+'Operating costs'!$B$10/60)*'Operating costs'!$B$19*'Operating costs'!$B$21,SUM(AP23,'Operating costs'!$B$28,'Operating costs'!$B$30,'Operating costs'!$B$32,'Operating costs'!$B$33,'Operating costs'!$B$36,'Operating costs'!$B$38,'Replacement plan'!$Y$11)+'Operating costs'!$B$41*'Operating costs'!$B$43+W23*'Operating costs'!$B$15+(T23*X23/'Replacement plan'!$L$11+W23*('Operating costs'!$B$12/'Operating costs'!$B$11+('Operating costs'!$B$13+'Operating costs'!$B$14)/60)+(R23-'Operating costs'!$B$41)*(IF(T23&lt;1,'Operating costs'!$B$16,0)+'Operating costs'!$B$17)/60)*'Operating costs'!$B$19*'Operating costs'!$B$20),"n.a."))</f>
        <v>9105.75</v>
      </c>
      <c r="N23" s="16">
        <f>IF(AND(C23=1,D23="EV",E23&lt;120,E23+'Replacement plan'!$AA$11&lt;=120),'Replacement plan'!$Z$11,0)</f>
        <v>0</v>
      </c>
      <c r="O23" s="1">
        <f>E23+'Replacement plan'!$AA$11</f>
        <v>60</v>
      </c>
      <c r="P23" s="35" t="str">
        <f>IFERROR(IF(C23=0,"Excluded",IF(OR(COUNTIFS('Fleet register'!$A$7:$A$106,A23)&lt;&gt;1,COUNTIFS('Replacement plan'!$A$7:$A$106,A23)&lt;&gt;1),"Duplicate/missing ID",IF(NOT(AND(ISNUMBER(VLOOKUP($A23,'Fleet register'!$A$7:$S$106,5,FALSE)),ISNUMBER(VLOOKUP($A23,'Fleet register'!$A$7:$S$106,6,FALSE)),ISNUMBER(VLOOKUP($A23,'Fleet register'!$A$7:$S$106,10,FALSE)),ISNUMBER(VLOOKUP($A23,'Fleet register'!$A$7:$S$106,11,FALSE)),ISNUMBER(VLOOKUP($A23,'Fleet register'!$A$7:$S$106,12,FALSE)),ISNUMBER(VLOOKUP($A23,'Fleet register'!$A$7:$S$106,13,FALSE)),ISNUMBER(VLOOKUP($A23,'Fleet register'!$A$7:$S$106,14,FALSE)),VLOOKUP($A23,'Fleet register'!$A$7:$S$106,14,FALSE)&gt;0,ISNUMBER('Replacement plan'!$C$11),OR(E23=120,ISNUMBER('Replacement plan'!$N$11)),ISNUMBER(E23))),"Missing vehicle input",IF(OR(E23&lt;0,E23&gt;VLOOKUP($A23,'Fleet register'!$A$7:$S$106,10,FALSE),E23&gt;120,E23&lt;&gt;INT(E23),VLOOKUP($A23,'Fleet register'!$A$7:$S$106,6,FALSE)&lt;=0,VLOOKUP($A23,'Fleet register'!$A$7:$S$106,6,FALSE)&gt;366,VLOOKUP($A23,'Fleet register'!$A$7:$S$106,5,FALSE)&lt;0,VLOOKUP($A23,'Fleet register'!$A$7:$S$106,11,FALSE)&lt;0,I23&lt;0,'Operating costs'!$B$8&lt;='Operating costs'!$B$7*'Operating costs'!$B$9,'Operating costs'!$B$11&lt;=0,'Operating costs'!$B$39&gt;R23,'Operating costs'!$B$40&gt;R23,'Operating costs'!$B$41&gt;R23,NOT(OR("Keep ICE"="Keep ICE","Keep ICE"="New ICE","Keep ICE"="EV"))),"Invalid vehicle input",IF(AND(D23="EV",E23&lt;120,OR(NOT(ISNUMBER(U23)),NOT(ISNUMBER(V23)),V23&lt;=0,T23&lt;0,T23&gt;1,'Replacement plan'!$L$11&lt;=0,'Operating costs'!$B$44&lt;0,'Operating costs'!$B$44&gt;=1,'Operating costs'!$B$47&lt;=0,'Operating costs'!$B$47&gt;1,V23*'Operating costs'!$B$47/(1-'Operating costs'!$B$44)&lt;=T23*'Operating costs'!$B$12*U23,AND('Replacement plan'!$Z$11&gt;0,OR('Replacement plan'!$AB$11&lt;&gt;"Yes",'Operating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charging'!$B$8&gt;=0))),ISNUMBER(VLOOKUP($A23,'Fleet register'!$A$7:$S$106,15,FALSE)),ISNUMBER(VLOOKUP($A23,'Fleet register'!$A$7:$S$106,16,FALSE)),ISNUMBER('Replacement plan'!$W$11),ISNUMBER('Replacement plan'!$X$11),OR(E23=120,AND(ISNUMBER(G23),G23&gt;=0)),ISNUMBER(H23),H23&gt;=0,OR(D23&lt;&gt;"EV",E23=120,AND(ISNUMBER('Operating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plan'!$Y$11),ISNUMBER('Replacement plan'!$Z$11),'Replacement plan'!$Z$11&gt;=0,ISNUMBER('Replacement plan'!$AA$11),'Replacement plan'!$AA$11&gt;=0,'Replacement plan'!$AA$11=INT('Replacement plan'!$AA$11),ISNUMBER('Replacement plan'!$L$11))),'Operating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plan'!$AG$11="",'Operating costs'!$B$7,'Replacement plan'!$AG$11)),IF('Replacement plan'!$AG$11="",'Operating costs'!$B$7,'Replacement plan'!$AG$11)&gt;=0,ISNUMBER(IF('Replacement plan'!$AH$11="",'Operating costs'!$B$7,'Replacement plan'!$AH$11)),IF('Replacement plan'!$AH$11="",'Operating costs'!$B$7,'Replacement plan'!$AH$11)&gt;=0,'Operating costs'!$B$8&gt;MAX(IF('Replacement plan'!$AG$11="",'Operating costs'!$B$7,'Replacement plan'!$AG$11),IF('Replacement plan'!$AH$11="",'Operating costs'!$B$7,'Replacement plan'!$AH$11))*'Operating costs'!$B$9),IF(AND(VLOOKUP($A23,'Fleet register'!$A$7:$S$106,10,FALSE)&gt;=0,VLOOKUP($A23,'Fleet register'!$A$7:$S$106,10,FALSE)&lt;=120,VLOOKUP($A23,'Fleet register'!$A$7:$S$106,10,FALSE)=INT(VLOOKUP($A23,'Fleet register'!$A$7:$S$106,10,FALSE)),VLOOKUP($A23,'Fleet register'!$A$7:$S$106,15,FALSE)&gt;=0,VLOOKUP($A23,'Fleet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costs'!$B$67)&gt;=0,OR(D23&lt;&gt;"EV",E23=120,AND(MIN('Operating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Complete</v>
      </c>
      <c r="Q23" s="1" t="str">
        <f>IF(C23=0,"Excluded",IF(P23&lt;&gt;"Complete",P23,IF(OR('Replacement plan'!$AD$11&lt;120-E23,AND(D23="EV",E23&lt;120,OR('Replacement plan'!$AC$11&lt;120-E23,'Replacement plan'!$I$11="No",AND(ISNUMBER(AF23),AE23&gt;AF23),AI23&gt;V23*(1-'Operating costs'!$B$46)^MAX(0,AB23-1)*(1-'Operating costs'!$B$45),AC23&gt;'Operating costs'!$B$18,AND(T23&lt;1,OR(AG23&lt;=0,AND(ISNUMBER(AH23),AG23&gt;AH23))),'Replacement plan'!$L$11&gt;INDEX(Products!$H$7:$H$13,MATCH('Replacement plan'!$B$11,Products!$A$7:$A$13,0))))),"Fails entered limits",IF(AND(D23="EV",E23&lt;120,OR(NOT(ISNUMBER(VLOOKUP($A23,'Fleet register'!$A$7:$S$106,7,FALSE))),NOT(ISNUMBER(VLOOKUP($A23,'Fleet register'!$A$7:$S$106,8,FALSE))),NOT(ISNUMBER(AF23)),'Replacement plan'!$I$11&lt;&gt;"Yes",NOT(ISNUMBER(AH23)),'Operating costs'!$B$59&lt;&gt;"Yes",'Operating costs'!$B$58&lt;&gt;"Yes")),"Unverified","Within entered limits"))))</f>
        <v>Within entered limits</v>
      </c>
      <c r="R23" s="1">
        <f>IF(C23=0,0,VLOOKUP($A23,'Fleet register'!$A$7:$S$106,6,FALSE))</f>
        <v>300</v>
      </c>
      <c r="S23" s="1">
        <f>IF(C23=0,0,VLOOKUP($A23,'Fleet register'!$A$7:$S$106,5,FALSE))</f>
        <v>150</v>
      </c>
      <c r="T23" s="1">
        <f>IF(D23="EV",'Energy and charging'!$B$12,0)</f>
        <v>0</v>
      </c>
      <c r="U23" s="1">
        <f>IFERROR(IF(C23=0,0,IF(D23="EV",IF('Replacement plan'!$F$11="",INDEX(Products!$E$7:$E$13,MATCH('Replacement plan'!$B$11,Products!$A$7:$A$13,0)),'Replacement plan'!$F$11)/IF('Replacement plan'!$G$11="Battery",1-'Operating costs'!$B$44,1),0)),"n.a.")</f>
        <v>0</v>
      </c>
      <c r="V23" s="1">
        <f>IFERROR(IF(C23=0,0,IF(D23="EV",IF('Replacement plan'!$E$11="",INDEX(Products!$D$7:$D$13,MATCH('Replacement plan'!$B$11,Products!$A$7:$A$13,0)),'Replacement plan'!$E$11),0)),"n.a.")</f>
        <v>0</v>
      </c>
      <c r="W23" s="1">
        <f>IF(C23=0,0,IF(AND(P23="Complete",D23="EV",E23&lt;120),IF(T23=0,0,ROUNDUP(T23*(R23-'Operating costs'!$B$41)*(S23*U23+'Operating costs'!$B$48/(1-'Operating costs'!$B$44))/(V23*'Operating costs'!$B$47/(1-'Operating costs'!$B$44)-T23*'Operating costs'!$B$12*U23),0)),0))</f>
        <v>0</v>
      </c>
      <c r="X23" s="1">
        <f>IF(C23=0,0,IF(AND(P23="Complete",D23="EV",E23&lt;120),(R23-'Operating costs'!$B$41)*(S23*U23+'Operating costs'!$B$48/(1-'Operating costs'!$B$44))+W23*'Operating costs'!$B$12*U23,0))</f>
        <v>0</v>
      </c>
      <c r="Y23" s="1">
        <f>IF(AND(C23=1,D23="EV",E23&lt;120),AI23/(1-'Operating costs'!$B$44)*(1-T23),0)</f>
        <v>0</v>
      </c>
      <c r="Z23" s="1">
        <f t="shared" si="0"/>
        <v>0</v>
      </c>
      <c r="AA23" s="1">
        <f>IF(C23=0,0,IF(P23="Complete",((S23*(R23-'Operating costs'!$B$40))+ROUNDUP(S23*(R23-'Operating costs'!$B$40)*IF('Replacement plan'!$AH$11="",'Operating costs'!$B$7,'Replacement plan'!$AH$11)/('Operating costs'!$B$8-'Operating costs'!$B$9*IF('Replacement plan'!$AH$11="",'Operating costs'!$B$7,'Replacement plan'!$AH$11)),0)*'Operating costs'!$B$9)*IF('Replacement plan'!$AH$11="",'Operating costs'!$B$7,'Replacement plan'!$AH$11),"n.a."))</f>
        <v>4522.8</v>
      </c>
      <c r="AB23" s="1">
        <f t="shared" si="1"/>
        <v>0</v>
      </c>
      <c r="AC23" s="1">
        <f>IF(AND(C23=1,D23="EV",E23&lt;120,T23&gt;0),'Operating costs'!$B$12/'Operating costs'!$B$11*60+'Operating costs'!$B$13+'Operating costs'!$B$14+V23*'Operating costs'!$B$47/(1-'Operating costs'!$B$44)/'Replacement plan'!$L$11*60,0)</f>
        <v>0</v>
      </c>
      <c r="AD23" s="1" t="str">
        <f>'Replacement plan'!$B$11</f>
        <v>ChengLong L2EV</v>
      </c>
      <c r="AE23" s="1">
        <f>IF(C23=0,0,VLOOKUP($A23,'Fleet register'!$A$7:$S$106,8,FALSE))</f>
        <v>1200</v>
      </c>
      <c r="AF23" s="1" t="str">
        <f>IF('Replacement plan'!$H$11="","n.a.",'Replacement plan'!$H$11)</f>
        <v>n.a.</v>
      </c>
      <c r="AG23" s="1">
        <f>'Replacement plan'!$J$11</f>
        <v>22</v>
      </c>
      <c r="AH23" s="1">
        <f>IFERROR(IF(D23="EV",IF('Replacement plan'!$K$11="AC",IF(ISNUMBER(INDEX(Products!$G$7:$G$13,MATCH('Replacement plan'!$B$11,Products!$A$7:$A$13,0))),INDEX(Products!$G$7:$G$13,MATCH('Replacement plan'!$B$11,Products!$A$7:$A$13,0)),"n.a."),IF(ISNUMBER(INDEX(Products!$H$7:$H$13,MATCH('Replacement plan'!$B$11,Products!$A$7:$A$13,0))),INDEX(Products!$H$7:$H$13,MATCH('Replacement plan'!$B$11,Products!$A$7:$A$13,0)),"n.a.")),0),"n.a.")</f>
        <v>0</v>
      </c>
      <c r="AI23" s="1">
        <f>IF(AND(C23=1,D23="EV",E23&lt;120),(VLOOKUP($A23,'Fleet register'!$A$7:$S$106,7,FALSE)+IF(T23&gt;0,'Operating costs'!$B$12,0))*U23*(1-'Operating costs'!$B$44)+'Operating costs'!$B$49,0)</f>
        <v>0</v>
      </c>
      <c r="AJ23" s="1">
        <f>IF(D23="EV",'Energy and charging'!$B$50,0)</f>
        <v>0</v>
      </c>
      <c r="AK23" s="17">
        <f>EDATE('Operating costs'!$B$63,E23)</f>
        <v>48124</v>
      </c>
      <c r="AL23" s="1">
        <f>IFERROR(IF(D23="EV",INDEX(Products!$B$7:$B$13,MATCH('Replacement plan'!$B$11,Products!$A$7:$A$13,0)),0),"n.a.")</f>
        <v>0</v>
      </c>
      <c r="AM23" s="1" t="str">
        <f>'Replacement plan'!$K$11</f>
        <v>DC</v>
      </c>
      <c r="AN23" s="1" t="str">
        <f>'Replacement plan'!$AE$11</f>
        <v>Assumed</v>
      </c>
      <c r="AO23" s="47">
        <f>IF(AND(C23=1,D23="EV",E23&lt;120),(R23-'Operating costs'!$B$41)*S23+W23*'Operating costs'!$B$12,0)</f>
        <v>0</v>
      </c>
      <c r="AP23" s="41">
        <f>IF(AND(C23=1,D23="EV",E23&lt;120),IF('Operating costs'!$B$68="Hong Seh 200k average",AO23*IFERROR(INDEX(Products!$P$7:$P$13,MATCH(AD23,Products!$A$7:$A$13,0)),"n.a."),'Operating costs'!$B$26),0)</f>
        <v>0</v>
      </c>
      <c r="AQ23" s="40" t="str">
        <f>IF(D23="EV",'Operating costs'!$B$68,"Not applicable")</f>
        <v>Not applicable</v>
      </c>
    </row>
    <row r="24" spans="1:43" ht="24" customHeight="1">
      <c r="A24" s="1" t="str">
        <f>'Replacement plan'!A11</f>
        <v>T005</v>
      </c>
      <c r="B24" s="1">
        <v>1</v>
      </c>
      <c r="C24" s="1">
        <f>IF(COUNTIFS('Fleet register'!$A$7:$A$106,$A24)=1,VLOOKUP($A24,'Fleet register'!$A$7:$S$106,2,FALSE),0)</f>
        <v>1</v>
      </c>
      <c r="D24" s="1" t="str">
        <f>IF("New ICE"="EV","EV","ICE")</f>
        <v>ICE</v>
      </c>
      <c r="E24" s="1">
        <f>IF(C24=0,0,0)</f>
        <v>0</v>
      </c>
      <c r="F24" s="16">
        <f>IF(C24=0,0,VLOOKUP($A24,'Fleet register'!$A$7:$S$106,11,FALSE))</f>
        <v>48000</v>
      </c>
      <c r="G24" s="16">
        <f>IFERROR(IF(C24=0,0,IF(E24=120,0,IF(D24="ICE",'Replacement plan'!$C$11,IF('Replacement plan'!$D$11="",INDEX(Products!$I$7:$I$13,MATCH('Replacement plan'!$B$11,Products!$A$7:$A$13,0))+'Operating costs'!$B$57,'Replacement plan'!$D$11))*(1+'Operating costs'!$B$50)^(E24/12))),"n.a.")</f>
        <v>181000</v>
      </c>
      <c r="H24" s="16">
        <f>IFERROR(IF(C24=0,0,IF(E24=0,F24,VLOOKUP($A24,'Fleet register'!$A$7:$S$106,12,FALSE)+VLOOKUP($A24,'Fleet register'!$A$7:$S$106,13,FALSE)*MAX(0,VLOOKUP($A24,'Fleet register'!$A$7:$S$106,10,FALSE)-E24)/VLOOKUP($A24,'Fleet register'!$A$7:$S$106,14,FALSE))),"n.a.")</f>
        <v>48000</v>
      </c>
      <c r="I24" s="16">
        <f>IF(C24=0,0,IF(E24=120,0,IF('Replacement plan'!$AI$11="",'Operating costs'!$B$56,'Replacement plan'!$AI$11)))</f>
        <v>12000</v>
      </c>
      <c r="J24" s="16">
        <f>IF(C24=0,0,IF(P24="Complete",((S24*(R24-'Operating costs'!$B$39))+ROUNDUP(S24*(R24-'Operating costs'!$B$39)*IF('Replacement plan'!$AG$11="",'Operating costs'!$B$7,'Replacement plan'!$AG$11)/('Operating costs'!$B$8-'Operating costs'!$B$9*IF('Replacement plan'!$AG$11="",'Operating costs'!$B$7,'Replacement plan'!$AG$11)),0)*'Operating costs'!$B$9)*IF('Replacement plan'!$AG$11="",'Operating costs'!$B$7,'Replacement plan'!$AG$11)*('Energy and charging'!$B$9*'Energy and charging'!$B$7+(1-'Energy and charging'!$B$9)*'Energy and charging'!$B$8)*'Operating costs'!$B$23,"n.a."))</f>
        <v>9045.6</v>
      </c>
      <c r="K24" s="16">
        <f>IF(C24=0,0,IF(P24="Complete",SUM('Operating costs'!$B$24,'Operating costs'!$B$27,'Operating costs'!$B$29,'Operating costs'!$B$31,'Operating costs'!$B$33,'Operating costs'!$B$34,'Operating costs'!$B$37,'Replacement plan'!$W$11)+'Operating costs'!$B$39*'Operating costs'!$B$42+ROUNDUP(S24*(R24-'Operating costs'!$B$39)*IF('Replacement plan'!$AG$11="",'Operating costs'!$B$7,'Replacement plan'!$AG$11)/('Operating costs'!$B$8-'Operating costs'!$B$9*IF('Replacement plan'!$AG$11="",'Operating costs'!$B$7,'Replacement plan'!$AG$11)),0)*('Operating costs'!$B$9/'Operating costs'!$B$11+'Operating costs'!$B$10/60)*'Operating costs'!$B$19*'Operating costs'!$B$21,"n.a."))</f>
        <v>9105.75</v>
      </c>
      <c r="L24" s="16">
        <f>IF(C24=0,0,IF(P24="Complete",IF(D24="EV",X24*((1-T24)*'Energy and charging'!$B$10+T24*'Energy and charging'!$B$11)*'Operating costs'!$B$22,AA24*('Energy and charging'!$B$9*'Energy and charging'!$B$7+(1-'Energy and charging'!$B$9)*'Energy and charging'!$B$8)*'Operating costs'!$B$23),"n.a."))</f>
        <v>9045.6</v>
      </c>
      <c r="M24" s="37">
        <f>IF(C24=0,0,IF(P24="Complete",IF(D24="ICE",SUM('Operating costs'!$B$25,'Operating costs'!$B$27,'Operating costs'!$B$29,'Operating costs'!$B$31,'Operating costs'!$B$33,'Operating costs'!$B$35,'Operating costs'!$B$37,'Replacement plan'!$X$11)+'Operating costs'!$B$40*'Operating costs'!$B$42+ROUNDUP(S24*(R24-'Operating costs'!$B$40)*IF('Replacement plan'!$AH$11="",'Operating costs'!$B$7,'Replacement plan'!$AH$11)/('Operating costs'!$B$8-'Operating costs'!$B$9*IF('Replacement plan'!$AH$11="",'Operating costs'!$B$7,'Replacement plan'!$AH$11)),0)*('Operating costs'!$B$9/'Operating costs'!$B$11+'Operating costs'!$B$10/60)*'Operating costs'!$B$19*'Operating costs'!$B$21,SUM(AP24,'Operating costs'!$B$28,'Operating costs'!$B$30,'Operating costs'!$B$32,'Operating costs'!$B$33,'Operating costs'!$B$36,'Operating costs'!$B$38,'Replacement plan'!$Y$11)+'Operating costs'!$B$41*'Operating costs'!$B$43+W24*'Operating costs'!$B$15+(T24*X24/'Replacement plan'!$L$11+W24*('Operating costs'!$B$12/'Operating costs'!$B$11+('Operating costs'!$B$13+'Operating costs'!$B$14)/60)+(R24-'Operating costs'!$B$41)*(IF(T24&lt;1,'Operating costs'!$B$16,0)+'Operating costs'!$B$17)/60)*'Operating costs'!$B$19*'Operating costs'!$B$20),"n.a."))</f>
        <v>9105.75</v>
      </c>
      <c r="N24" s="16">
        <f>IF(AND(C24=1,D24="EV",E24&lt;120,E24+'Replacement plan'!$AA$11&lt;=120),'Replacement plan'!$Z$11,0)</f>
        <v>0</v>
      </c>
      <c r="O24" s="1">
        <f>E24+'Replacement plan'!$AA$11</f>
        <v>0</v>
      </c>
      <c r="P24" s="35" t="str">
        <f>IFERROR(IF(C24=0,"Excluded",IF(OR(COUNTIFS('Fleet register'!$A$7:$A$106,A24)&lt;&gt;1,COUNTIFS('Replacement plan'!$A$7:$A$106,A24)&lt;&gt;1),"Duplicate/missing ID",IF(NOT(AND(ISNUMBER(VLOOKUP($A24,'Fleet register'!$A$7:$S$106,5,FALSE)),ISNUMBER(VLOOKUP($A24,'Fleet register'!$A$7:$S$106,6,FALSE)),ISNUMBER(VLOOKUP($A24,'Fleet register'!$A$7:$S$106,10,FALSE)),ISNUMBER(VLOOKUP($A24,'Fleet register'!$A$7:$S$106,11,FALSE)),ISNUMBER(VLOOKUP($A24,'Fleet register'!$A$7:$S$106,12,FALSE)),ISNUMBER(VLOOKUP($A24,'Fleet register'!$A$7:$S$106,13,FALSE)),ISNUMBER(VLOOKUP($A24,'Fleet register'!$A$7:$S$106,14,FALSE)),VLOOKUP($A24,'Fleet register'!$A$7:$S$106,14,FALSE)&gt;0,ISNUMBER('Replacement plan'!$C$11),OR(E24=120,OR(ISNUMBER('Replacement plan'!$AI$11),AND('Replacement plan'!$AI$11="",ISNUMBER('Operating costs'!$B$56)))),ISNUMBER(E24))),"Missing vehicle input",IF(OR(E24&lt;0,E24&gt;VLOOKUP($A24,'Fleet register'!$A$7:$S$106,10,FALSE),E24&gt;120,E24&lt;&gt;INT(E24),VLOOKUP($A24,'Fleet register'!$A$7:$S$106,6,FALSE)&lt;=0,VLOOKUP($A24,'Fleet register'!$A$7:$S$106,6,FALSE)&gt;366,VLOOKUP($A24,'Fleet register'!$A$7:$S$106,5,FALSE)&lt;0,VLOOKUP($A24,'Fleet register'!$A$7:$S$106,11,FALSE)&lt;0,I24&lt;0,'Operating costs'!$B$8&lt;='Operating costs'!$B$7*'Operating costs'!$B$9,'Operating costs'!$B$11&lt;=0,'Operating costs'!$B$39&gt;R24,'Operating costs'!$B$40&gt;R24,'Operating costs'!$B$41&gt;R24,NOT(OR("New ICE"="Keep ICE","New ICE"="New ICE","New ICE"="EV"))),"Invalid vehicle input",IF(AND(D24="EV",E24&lt;120,OR(NOT(ISNUMBER(U24)),NOT(ISNUMBER(V24)),V24&lt;=0,T24&lt;0,T24&gt;1,'Replacement plan'!$L$11&lt;=0,'Operating costs'!$B$44&lt;0,'Operating costs'!$B$44&gt;=1,'Operating costs'!$B$47&lt;=0,'Operating costs'!$B$47&gt;1,V24*'Operating costs'!$B$47/(1-'Operating costs'!$B$44)&lt;=T24*'Operating costs'!$B$12*U24,AND('Replacement plan'!$Z$11&gt;0,OR('Replacement plan'!$AB$11&lt;&gt;"Yes",'Operating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charging'!$B$8&gt;=0))),ISNUMBER(VLOOKUP($A24,'Fleet register'!$A$7:$S$106,15,FALSE)),ISNUMBER(VLOOKUP($A24,'Fleet register'!$A$7:$S$106,16,FALSE)),ISNUMBER('Replacement plan'!$W$11),ISNUMBER('Replacement plan'!$X$11),OR(E24=120,AND(ISNUMBER(G24),G24&gt;=0)),ISNUMBER(H24),H24&gt;=0,OR(D24&lt;&gt;"EV",E24=120,AND(ISNUMBER('Operating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plan'!$Y$11),ISNUMBER('Replacement plan'!$Z$11),'Replacement plan'!$Z$11&gt;=0,ISNUMBER('Replacement plan'!$AA$11),'Replacement plan'!$AA$11&gt;=0,'Replacement plan'!$AA$11=INT('Replacement plan'!$AA$11),ISNUMBER('Replacement plan'!$L$11))),'Operating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plan'!$AG$11="",'Operating costs'!$B$7,'Replacement plan'!$AG$11)),IF('Replacement plan'!$AG$11="",'Operating costs'!$B$7,'Replacement plan'!$AG$11)&gt;=0,ISNUMBER(IF('Replacement plan'!$AH$11="",'Operating costs'!$B$7,'Replacement plan'!$AH$11)),IF('Replacement plan'!$AH$11="",'Operating costs'!$B$7,'Replacement plan'!$AH$11)&gt;=0,'Operating costs'!$B$8&gt;MAX(IF('Replacement plan'!$AG$11="",'Operating costs'!$B$7,'Replacement plan'!$AG$11),IF('Replacement plan'!$AH$11="",'Operating costs'!$B$7,'Replacement plan'!$AH$11))*'Operating costs'!$B$9),IF(AND(VLOOKUP($A24,'Fleet register'!$A$7:$S$106,10,FALSE)&gt;=0,VLOOKUP($A24,'Fleet register'!$A$7:$S$106,10,FALSE)&lt;=120,VLOOKUP($A24,'Fleet register'!$A$7:$S$106,10,FALSE)=INT(VLOOKUP($A24,'Fleet register'!$A$7:$S$106,10,FALSE)),VLOOKUP($A24,'Fleet register'!$A$7:$S$106,15,FALSE)&gt;=0,VLOOKUP($A24,'Fleet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costs'!$B$67)&gt;=0,OR(D24&lt;&gt;"EV",E24=120,AND(MIN('Operating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Complete</v>
      </c>
      <c r="Q24" s="1" t="str">
        <f>IF(C24=0,"Excluded",IF(P24&lt;&gt;"Complete",P24,IF(OR('Replacement plan'!$AD$11&lt;120-E24,AND(D24="EV",E24&lt;120,OR('Replacement plan'!$AC$11&lt;120-E24,'Replacement plan'!$I$11="No",AND(ISNUMBER(AF24),AE24&gt;AF24),AI24&gt;V24*(1-'Operating costs'!$B$46)^MAX(0,AB24-1)*(1-'Operating costs'!$B$45),AC24&gt;'Operating costs'!$B$18,AND(T24&lt;1,OR(AG24&lt;=0,AND(ISNUMBER(AH24),AG24&gt;AH24))),'Replacement plan'!$L$11&gt;INDEX(Products!$H$7:$H$13,MATCH('Replacement plan'!$B$11,Products!$A$7:$A$13,0))))),"Fails entered limits",IF(AND(D24="EV",E24&lt;120,OR(NOT(ISNUMBER(VLOOKUP($A24,'Fleet register'!$A$7:$S$106,7,FALSE))),NOT(ISNUMBER(VLOOKUP($A24,'Fleet register'!$A$7:$S$106,8,FALSE))),NOT(ISNUMBER(AF24)),'Replacement plan'!$I$11&lt;&gt;"Yes",NOT(ISNUMBER(AH24)),'Operating costs'!$B$59&lt;&gt;"Yes",'Operating costs'!$B$58&lt;&gt;"Yes")),"Unverified","Within entered limits"))))</f>
        <v>Within entered limits</v>
      </c>
      <c r="R24" s="1">
        <f>IF(C24=0,0,VLOOKUP($A24,'Fleet register'!$A$7:$S$106,6,FALSE))</f>
        <v>300</v>
      </c>
      <c r="S24" s="1">
        <f>IF(C24=0,0,VLOOKUP($A24,'Fleet register'!$A$7:$S$106,5,FALSE))</f>
        <v>150</v>
      </c>
      <c r="T24" s="1">
        <f>IF(D24="EV",'Energy and charging'!$B$12,0)</f>
        <v>0</v>
      </c>
      <c r="U24" s="1">
        <f>IFERROR(IF(C24=0,0,IF(D24="EV",IF('Replacement plan'!$F$11="",INDEX(Products!$E$7:$E$13,MATCH('Replacement plan'!$B$11,Products!$A$7:$A$13,0)),'Replacement plan'!$F$11)/IF('Replacement plan'!$G$11="Battery",1-'Operating costs'!$B$44,1),0)),"n.a.")</f>
        <v>0</v>
      </c>
      <c r="V24" s="1">
        <f>IFERROR(IF(C24=0,0,IF(D24="EV",IF('Replacement plan'!$E$11="",INDEX(Products!$D$7:$D$13,MATCH('Replacement plan'!$B$11,Products!$A$7:$A$13,0)),'Replacement plan'!$E$11),0)),"n.a.")</f>
        <v>0</v>
      </c>
      <c r="W24" s="1">
        <f>IF(C24=0,0,IF(AND(P24="Complete",D24="EV",E24&lt;120),IF(T24=0,0,ROUNDUP(T24*(R24-'Operating costs'!$B$41)*(S24*U24+'Operating costs'!$B$48/(1-'Operating costs'!$B$44))/(V24*'Operating costs'!$B$47/(1-'Operating costs'!$B$44)-T24*'Operating costs'!$B$12*U24),0)),0))</f>
        <v>0</v>
      </c>
      <c r="X24" s="1">
        <f>IF(C24=0,0,IF(AND(P24="Complete",D24="EV",E24&lt;120),(R24-'Operating costs'!$B$41)*(S24*U24+'Operating costs'!$B$48/(1-'Operating costs'!$B$44))+W24*'Operating costs'!$B$12*U24,0))</f>
        <v>0</v>
      </c>
      <c r="Y24" s="1">
        <f>IF(AND(C24=1,D24="EV",E24&lt;120),AI24/(1-'Operating costs'!$B$44)*(1-T24),0)</f>
        <v>0</v>
      </c>
      <c r="Z24" s="1">
        <f t="shared" si="0"/>
        <v>0</v>
      </c>
      <c r="AA24" s="1">
        <f>IF(C24=0,0,IF(P24="Complete",((S24*(R24-'Operating costs'!$B$40))+ROUNDUP(S24*(R24-'Operating costs'!$B$40)*IF('Replacement plan'!$AH$11="",'Operating costs'!$B$7,'Replacement plan'!$AH$11)/('Operating costs'!$B$8-'Operating costs'!$B$9*IF('Replacement plan'!$AH$11="",'Operating costs'!$B$7,'Replacement plan'!$AH$11)),0)*'Operating costs'!$B$9)*IF('Replacement plan'!$AH$11="",'Operating costs'!$B$7,'Replacement plan'!$AH$11),"n.a."))</f>
        <v>4522.8</v>
      </c>
      <c r="AB24" s="1">
        <f t="shared" si="1"/>
        <v>0</v>
      </c>
      <c r="AC24" s="1">
        <f>IF(AND(C24=1,D24="EV",E24&lt;120,T24&gt;0),'Operating costs'!$B$12/'Operating costs'!$B$11*60+'Operating costs'!$B$13+'Operating costs'!$B$14+V24*'Operating costs'!$B$47/(1-'Operating costs'!$B$44)/'Replacement plan'!$L$11*60,0)</f>
        <v>0</v>
      </c>
      <c r="AD24" s="1" t="str">
        <f>'Replacement plan'!$B$11</f>
        <v>ChengLong L2EV</v>
      </c>
      <c r="AE24" s="1">
        <f>IF(C24=0,0,VLOOKUP($A24,'Fleet register'!$A$7:$S$106,8,FALSE))</f>
        <v>1200</v>
      </c>
      <c r="AF24" s="1" t="str">
        <f>IF('Replacement plan'!$H$11="","n.a.",'Replacement plan'!$H$11)</f>
        <v>n.a.</v>
      </c>
      <c r="AG24" s="1">
        <f>'Replacement plan'!$J$11</f>
        <v>22</v>
      </c>
      <c r="AH24" s="1">
        <f>IFERROR(IF(D24="EV",IF('Replacement plan'!$K$11="AC",IF(ISNUMBER(INDEX(Products!$G$7:$G$13,MATCH('Replacement plan'!$B$11,Products!$A$7:$A$13,0))),INDEX(Products!$G$7:$G$13,MATCH('Replacement plan'!$B$11,Products!$A$7:$A$13,0)),"n.a."),IF(ISNUMBER(INDEX(Products!$H$7:$H$13,MATCH('Replacement plan'!$B$11,Products!$A$7:$A$13,0))),INDEX(Products!$H$7:$H$13,MATCH('Replacement plan'!$B$11,Products!$A$7:$A$13,0)),"n.a.")),0),"n.a.")</f>
        <v>0</v>
      </c>
      <c r="AI24" s="1">
        <f>IF(AND(C24=1,D24="EV",E24&lt;120),(VLOOKUP($A24,'Fleet register'!$A$7:$S$106,7,FALSE)+IF(T24&gt;0,'Operating costs'!$B$12,0))*U24*(1-'Operating costs'!$B$44)+'Operating costs'!$B$49,0)</f>
        <v>0</v>
      </c>
      <c r="AJ24" s="1">
        <f>IF(D24="EV",'Energy and charging'!$B$50,0)</f>
        <v>0</v>
      </c>
      <c r="AK24" s="17">
        <f>EDATE('Operating costs'!$B$63,E24)</f>
        <v>46298</v>
      </c>
      <c r="AL24" s="1">
        <f>IFERROR(IF(D24="EV",INDEX(Products!$B$7:$B$13,MATCH('Replacement plan'!$B$11,Products!$A$7:$A$13,0)),0),"n.a.")</f>
        <v>0</v>
      </c>
      <c r="AM24" s="1" t="str">
        <f>'Replacement plan'!$K$11</f>
        <v>DC</v>
      </c>
      <c r="AN24" s="1" t="str">
        <f>'Replacement plan'!$AE$11</f>
        <v>Assumed</v>
      </c>
      <c r="AO24" s="47">
        <f>IF(AND(C24=1,D24="EV",E24&lt;120),(R24-'Operating costs'!$B$41)*S24+W24*'Operating costs'!$B$12,0)</f>
        <v>0</v>
      </c>
      <c r="AP24" s="41">
        <f>IF(AND(C24=1,D24="EV",E24&lt;120),IF('Operating costs'!$B$68="Hong Seh 200k average",AO24*IFERROR(INDEX(Products!$P$7:$P$13,MATCH(AD24,Products!$A$7:$A$13,0)),"n.a."),'Operating costs'!$B$26),0)</f>
        <v>0</v>
      </c>
      <c r="AQ24" s="40" t="str">
        <f>IF(D24="EV",'Operating costs'!$B$68,"Not applicable")</f>
        <v>Not applicable</v>
      </c>
    </row>
    <row r="25" spans="1:43" ht="24" customHeight="1">
      <c r="A25" s="1" t="str">
        <f>'Replacement plan'!A11</f>
        <v>T005</v>
      </c>
      <c r="B25" s="1">
        <v>2</v>
      </c>
      <c r="C25" s="1">
        <f>IF(COUNTIFS('Fleet register'!$A$7:$A$106,$A25)=1,VLOOKUP($A25,'Fleet register'!$A$7:$S$106,2,FALSE),0)</f>
        <v>1</v>
      </c>
      <c r="D25" s="1" t="str">
        <f>IF('Replacement plan'!$O$11="EV","EV","ICE")</f>
        <v>ICE</v>
      </c>
      <c r="E25" s="1">
        <f>IF(C25=0,0,IF('Replacement plan'!$P$11="",IF('Replacement plan'!$O$11="Keep ICE",IF('Replacement plan'!$M$11="",VLOOKUP($A25,'Fleet register'!$A$7:$S$106,10,FALSE),'Replacement plan'!$M$11),0),'Replacement plan'!$P$11))</f>
        <v>60</v>
      </c>
      <c r="F25" s="16">
        <f>IF(C25=0,0,VLOOKUP($A25,'Fleet register'!$A$7:$S$106,11,FALSE))</f>
        <v>48000</v>
      </c>
      <c r="G25" s="16">
        <f>IFERROR(IF(C25=0,0,IF(E25=120,0,IF(D25="ICE",'Replacement plan'!$C$11,IF('Replacement plan'!$D$11="",INDEX(Products!$I$7:$I$13,MATCH('Replacement plan'!$B$11,Products!$A$7:$A$13,0))+'Operating costs'!$B$57,'Replacement plan'!$D$11))*(1+'Operating costs'!$B$50)^(E25/12))),"n.a.")</f>
        <v>181000</v>
      </c>
      <c r="H25" s="16">
        <f>IFERROR(IF(C25=0,0,IF('Replacement plan'!$U$11&lt;&gt;"",'Replacement plan'!$U$11,IF(E25=0,F25,VLOOKUP($A25,'Fleet register'!$A$7:$S$106,12,FALSE)+VLOOKUP($A25,'Fleet register'!$A$7:$S$106,13,FALSE)*MAX(0,VLOOKUP($A25,'Fleet register'!$A$7:$S$106,10,FALSE)-E25)/VLOOKUP($A25,'Fleet register'!$A$7:$S$106,14,FALSE)))),"n.a.")</f>
        <v>10000</v>
      </c>
      <c r="I25" s="16">
        <f>IF(C25=0,0,IF(E25=120,0,'Replacement plan'!$Q$11))</f>
        <v>58500</v>
      </c>
      <c r="J25" s="16">
        <f>IF(C25=0,0,IF(P25="Complete",((S25*(R25-'Operating costs'!$B$39))+ROUNDUP(S25*(R25-'Operating costs'!$B$39)*IF('Replacement plan'!$AG$11="",'Operating costs'!$B$7,'Replacement plan'!$AG$11)/('Operating costs'!$B$8-'Operating costs'!$B$9*IF('Replacement plan'!$AG$11="",'Operating costs'!$B$7,'Replacement plan'!$AG$11)),0)*'Operating costs'!$B$9)*IF('Replacement plan'!$AG$11="",'Operating costs'!$B$7,'Replacement plan'!$AG$11)*('Energy and charging'!$B$9*'Energy and charging'!$B$7+(1-'Energy and charging'!$B$9)*'Energy and charging'!$B$8)*'Operating costs'!$B$23,"n.a."))</f>
        <v>9045.6</v>
      </c>
      <c r="K25" s="16">
        <f>IF(C25=0,0,IF(P25="Complete",SUM('Operating costs'!$B$24,'Operating costs'!$B$27,'Operating costs'!$B$29,'Operating costs'!$B$31,'Operating costs'!$B$33,'Operating costs'!$B$34,'Operating costs'!$B$37,'Replacement plan'!$W$11)+'Operating costs'!$B$39*'Operating costs'!$B$42+ROUNDUP(S25*(R25-'Operating costs'!$B$39)*IF('Replacement plan'!$AG$11="",'Operating costs'!$B$7,'Replacement plan'!$AG$11)/('Operating costs'!$B$8-'Operating costs'!$B$9*IF('Replacement plan'!$AG$11="",'Operating costs'!$B$7,'Replacement plan'!$AG$11)),0)*('Operating costs'!$B$9/'Operating costs'!$B$11+'Operating costs'!$B$10/60)*'Operating costs'!$B$19*'Operating costs'!$B$21,"n.a."))</f>
        <v>9105.75</v>
      </c>
      <c r="L25" s="16">
        <f>IF(C25=0,0,IF(P25="Complete",IF(D25="EV",X25*((1-T25)*'Energy and charging'!$B$10+T25*'Energy and charging'!$B$11)*'Operating costs'!$B$22,AA25*('Energy and charging'!$B$9*'Energy and charging'!$B$7+(1-'Energy and charging'!$B$9)*'Energy and charging'!$B$8)*'Operating costs'!$B$23),"n.a."))</f>
        <v>9045.6</v>
      </c>
      <c r="M25" s="37">
        <f>IF(C25=0,0,IF(P25="Complete",IF(D25="ICE",SUM('Operating costs'!$B$25,'Operating costs'!$B$27,'Operating costs'!$B$29,'Operating costs'!$B$31,'Operating costs'!$B$33,'Operating costs'!$B$35,'Operating costs'!$B$37,'Replacement plan'!$X$11)+'Operating costs'!$B$40*'Operating costs'!$B$42+ROUNDUP(S25*(R25-'Operating costs'!$B$40)*IF('Replacement plan'!$AH$11="",'Operating costs'!$B$7,'Replacement plan'!$AH$11)/('Operating costs'!$B$8-'Operating costs'!$B$9*IF('Replacement plan'!$AH$11="",'Operating costs'!$B$7,'Replacement plan'!$AH$11)),0)*('Operating costs'!$B$9/'Operating costs'!$B$11+'Operating costs'!$B$10/60)*'Operating costs'!$B$19*'Operating costs'!$B$21,SUM(AP25,'Operating costs'!$B$28,'Operating costs'!$B$30,'Operating costs'!$B$32,'Operating costs'!$B$33,'Operating costs'!$B$36,'Operating costs'!$B$38,'Replacement plan'!$Y$11)+'Operating costs'!$B$41*'Operating costs'!$B$43+W25*'Operating costs'!$B$15+(T25*X25/'Replacement plan'!$L$11+W25*('Operating costs'!$B$12/'Operating costs'!$B$11+('Operating costs'!$B$13+'Operating costs'!$B$14)/60)+(R25-'Operating costs'!$B$41)*(IF(T25&lt;1,'Operating costs'!$B$16,0)+'Operating costs'!$B$17)/60)*'Operating costs'!$B$19*'Operating costs'!$B$20),"n.a."))</f>
        <v>9105.75</v>
      </c>
      <c r="N25" s="16">
        <f>IF(AND(C25=1,D25="EV",E25&lt;120,E25+'Replacement plan'!$AA$11&lt;=120),'Replacement plan'!$Z$11,0)</f>
        <v>0</v>
      </c>
      <c r="O25" s="1">
        <f>E25+'Replacement plan'!$AA$11</f>
        <v>60</v>
      </c>
      <c r="P25" s="35" t="str">
        <f>IFERROR(IF(C25=0,"Excluded",IF(OR(COUNTIFS('Fleet register'!$A$7:$A$106,A25)&lt;&gt;1,COUNTIFS('Replacement plan'!$A$7:$A$106,A25)&lt;&gt;1),"Duplicate/missing ID",IF(NOT(AND(ISNUMBER(VLOOKUP($A25,'Fleet register'!$A$7:$S$106,5,FALSE)),ISNUMBER(VLOOKUP($A25,'Fleet register'!$A$7:$S$106,6,FALSE)),ISNUMBER(VLOOKUP($A25,'Fleet register'!$A$7:$S$106,10,FALSE)),ISNUMBER(VLOOKUP($A25,'Fleet register'!$A$7:$S$106,11,FALSE)),ISNUMBER(VLOOKUP($A25,'Fleet register'!$A$7:$S$106,12,FALSE)),ISNUMBER(VLOOKUP($A25,'Fleet register'!$A$7:$S$106,13,FALSE)),ISNUMBER(VLOOKUP($A25,'Fleet register'!$A$7:$S$106,14,FALSE)),VLOOKUP($A25,'Fleet register'!$A$7:$S$106,14,FALSE)&gt;0,ISNUMBER('Replacement plan'!$C$11),OR(E25=120,ISNUMBER('Replacement plan'!$Q$11)),ISNUMBER(E25))),"Missing vehicle input",IF(OR(E25&lt;0,E25&gt;VLOOKUP($A25,'Fleet register'!$A$7:$S$106,10,FALSE),E25&gt;120,E25&lt;&gt;INT(E25),VLOOKUP($A25,'Fleet register'!$A$7:$S$106,6,FALSE)&lt;=0,VLOOKUP($A25,'Fleet register'!$A$7:$S$106,6,FALSE)&gt;366,VLOOKUP($A25,'Fleet register'!$A$7:$S$106,5,FALSE)&lt;0,VLOOKUP($A25,'Fleet register'!$A$7:$S$106,11,FALSE)&lt;0,I25&lt;0,'Operating costs'!$B$8&lt;='Operating costs'!$B$7*'Operating costs'!$B$9,'Operating costs'!$B$11&lt;=0,'Operating costs'!$B$39&gt;R25,'Operating costs'!$B$40&gt;R25,'Operating costs'!$B$41&gt;R25,NOT(OR('Replacement plan'!$O$11="Keep ICE",'Replacement plan'!$O$11="New ICE",'Replacement plan'!$O$11="EV"))),"Invalid vehicle input",IF(AND(D25="EV",E25&lt;120,OR(NOT(ISNUMBER(U25)),NOT(ISNUMBER(V25)),V25&lt;=0,T25&lt;0,T25&gt;1,'Replacement plan'!$L$11&lt;=0,'Operating costs'!$B$44&lt;0,'Operating costs'!$B$44&gt;=1,'Operating costs'!$B$47&lt;=0,'Operating costs'!$B$47&gt;1,V25*'Operating costs'!$B$47/(1-'Operating costs'!$B$44)&lt;=T25*'Operating costs'!$B$12*U25,AND('Replacement plan'!$Z$11&gt;0,OR('Replacement plan'!$AB$11&lt;&gt;"Yes",'Operating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charging'!$B$8&gt;=0))),ISNUMBER(VLOOKUP($A25,'Fleet register'!$A$7:$S$106,15,FALSE)),ISNUMBER(VLOOKUP($A25,'Fleet register'!$A$7:$S$106,16,FALSE)),ISNUMBER('Replacement plan'!$W$11),ISNUMBER('Replacement plan'!$X$11),OR(E25=120,AND(ISNUMBER(G25),G25&gt;=0)),ISNUMBER(H25),H25&gt;=0,OR(D25&lt;&gt;"EV",E25=120,AND(ISNUMBER('Operating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plan'!$Y$11),ISNUMBER('Replacement plan'!$Z$11),'Replacement plan'!$Z$11&gt;=0,ISNUMBER('Replacement plan'!$AA$11),'Replacement plan'!$AA$11&gt;=0,'Replacement plan'!$AA$11=INT('Replacement plan'!$AA$11),ISNUMBER('Replacement plan'!$L$11))),'Operating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plan'!$AG$11="",'Operating costs'!$B$7,'Replacement plan'!$AG$11)),IF('Replacement plan'!$AG$11="",'Operating costs'!$B$7,'Replacement plan'!$AG$11)&gt;=0,ISNUMBER(IF('Replacement plan'!$AH$11="",'Operating costs'!$B$7,'Replacement plan'!$AH$11)),IF('Replacement plan'!$AH$11="",'Operating costs'!$B$7,'Replacement plan'!$AH$11)&gt;=0,'Operating costs'!$B$8&gt;MAX(IF('Replacement plan'!$AG$11="",'Operating costs'!$B$7,'Replacement plan'!$AG$11),IF('Replacement plan'!$AH$11="",'Operating costs'!$B$7,'Replacement plan'!$AH$11))*'Operating costs'!$B$9),IF(AND(VLOOKUP($A25,'Fleet register'!$A$7:$S$106,10,FALSE)&gt;=0,VLOOKUP($A25,'Fleet register'!$A$7:$S$106,10,FALSE)&lt;=120,VLOOKUP($A25,'Fleet register'!$A$7:$S$106,10,FALSE)=INT(VLOOKUP($A25,'Fleet register'!$A$7:$S$106,10,FALSE)),VLOOKUP($A25,'Fleet register'!$A$7:$S$106,15,FALSE)&gt;=0,VLOOKUP($A25,'Fleet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costs'!$B$67)&gt;=0,OR(D25&lt;&gt;"EV",E25=120,AND(MIN('Operating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Complete</v>
      </c>
      <c r="Q25" s="1" t="str">
        <f>IF(C25=0,"Excluded",IF(P25&lt;&gt;"Complete",P25,IF(OR('Replacement plan'!$AD$11&lt;120-E25,AND(D25="EV",E25&lt;120,OR('Replacement plan'!$AC$11&lt;120-E25,'Replacement plan'!$I$11="No",AND(ISNUMBER(AF25),AE25&gt;AF25),AI25&gt;V25*(1-'Operating costs'!$B$46)^MAX(0,AB25-1)*(1-'Operating costs'!$B$45),AC25&gt;'Operating costs'!$B$18,AND(T25&lt;1,OR(AG25&lt;=0,AND(ISNUMBER(AH25),AG25&gt;AH25))),'Replacement plan'!$L$11&gt;INDEX(Products!$H$7:$H$13,MATCH('Replacement plan'!$B$11,Products!$A$7:$A$13,0))))),"Fails entered limits",IF(AND(D25="EV",E25&lt;120,OR(NOT(ISNUMBER(VLOOKUP($A25,'Fleet register'!$A$7:$S$106,7,FALSE))),NOT(ISNUMBER(VLOOKUP($A25,'Fleet register'!$A$7:$S$106,8,FALSE))),NOT(ISNUMBER(AF25)),'Replacement plan'!$I$11&lt;&gt;"Yes",NOT(ISNUMBER(AH25)),'Operating costs'!$B$59&lt;&gt;"Yes",'Operating costs'!$B$58&lt;&gt;"Yes")),"Unverified","Within entered limits"))))</f>
        <v>Within entered limits</v>
      </c>
      <c r="R25" s="1">
        <f>IF(C25=0,0,VLOOKUP($A25,'Fleet register'!$A$7:$S$106,6,FALSE))</f>
        <v>300</v>
      </c>
      <c r="S25" s="1">
        <f>IF(C25=0,0,VLOOKUP($A25,'Fleet register'!$A$7:$S$106,5,FALSE))</f>
        <v>150</v>
      </c>
      <c r="T25" s="1">
        <f>IF(D25="EV",'Energy and charging'!$B$12,0)</f>
        <v>0</v>
      </c>
      <c r="U25" s="1">
        <f>IFERROR(IF(C25=0,0,IF(D25="EV",IF('Replacement plan'!$F$11="",INDEX(Products!$E$7:$E$13,MATCH('Replacement plan'!$B$11,Products!$A$7:$A$13,0)),'Replacement plan'!$F$11)/IF('Replacement plan'!$G$11="Battery",1-'Operating costs'!$B$44,1),0)),"n.a.")</f>
        <v>0</v>
      </c>
      <c r="V25" s="1">
        <f>IFERROR(IF(C25=0,0,IF(D25="EV",IF('Replacement plan'!$E$11="",INDEX(Products!$D$7:$D$13,MATCH('Replacement plan'!$B$11,Products!$A$7:$A$13,0)),'Replacement plan'!$E$11),0)),"n.a.")</f>
        <v>0</v>
      </c>
      <c r="W25" s="1">
        <f>IF(C25=0,0,IF(AND(P25="Complete",D25="EV",E25&lt;120),IF(T25=0,0,ROUNDUP(T25*(R25-'Operating costs'!$B$41)*(S25*U25+'Operating costs'!$B$48/(1-'Operating costs'!$B$44))/(V25*'Operating costs'!$B$47/(1-'Operating costs'!$B$44)-T25*'Operating costs'!$B$12*U25),0)),0))</f>
        <v>0</v>
      </c>
      <c r="X25" s="1">
        <f>IF(C25=0,0,IF(AND(P25="Complete",D25="EV",E25&lt;120),(R25-'Operating costs'!$B$41)*(S25*U25+'Operating costs'!$B$48/(1-'Operating costs'!$B$44))+W25*'Operating costs'!$B$12*U25,0))</f>
        <v>0</v>
      </c>
      <c r="Y25" s="1">
        <f>IF(AND(C25=1,D25="EV",E25&lt;120),AI25/(1-'Operating costs'!$B$44)*(1-T25),0)</f>
        <v>0</v>
      </c>
      <c r="Z25" s="1">
        <f t="shared" si="0"/>
        <v>0</v>
      </c>
      <c r="AA25" s="1">
        <f>IF(C25=0,0,IF(P25="Complete",((S25*(R25-'Operating costs'!$B$40))+ROUNDUP(S25*(R25-'Operating costs'!$B$40)*IF('Replacement plan'!$AH$11="",'Operating costs'!$B$7,'Replacement plan'!$AH$11)/('Operating costs'!$B$8-'Operating costs'!$B$9*IF('Replacement plan'!$AH$11="",'Operating costs'!$B$7,'Replacement plan'!$AH$11)),0)*'Operating costs'!$B$9)*IF('Replacement plan'!$AH$11="",'Operating costs'!$B$7,'Replacement plan'!$AH$11),"n.a."))</f>
        <v>4522.8</v>
      </c>
      <c r="AB25" s="1">
        <f t="shared" si="1"/>
        <v>0</v>
      </c>
      <c r="AC25" s="1">
        <f>IF(AND(C25=1,D25="EV",E25&lt;120,T25&gt;0),'Operating costs'!$B$12/'Operating costs'!$B$11*60+'Operating costs'!$B$13+'Operating costs'!$B$14+V25*'Operating costs'!$B$47/(1-'Operating costs'!$B$44)/'Replacement plan'!$L$11*60,0)</f>
        <v>0</v>
      </c>
      <c r="AD25" s="1" t="str">
        <f>'Replacement plan'!$B$11</f>
        <v>ChengLong L2EV</v>
      </c>
      <c r="AE25" s="1">
        <f>IF(C25=0,0,VLOOKUP($A25,'Fleet register'!$A$7:$S$106,8,FALSE))</f>
        <v>1200</v>
      </c>
      <c r="AF25" s="1" t="str">
        <f>IF('Replacement plan'!$H$11="","n.a.",'Replacement plan'!$H$11)</f>
        <v>n.a.</v>
      </c>
      <c r="AG25" s="1">
        <f>'Replacement plan'!$J$11</f>
        <v>22</v>
      </c>
      <c r="AH25" s="1">
        <f>IFERROR(IF(D25="EV",IF('Replacement plan'!$K$11="AC",IF(ISNUMBER(INDEX(Products!$G$7:$G$13,MATCH('Replacement plan'!$B$11,Products!$A$7:$A$13,0))),INDEX(Products!$G$7:$G$13,MATCH('Replacement plan'!$B$11,Products!$A$7:$A$13,0)),"n.a."),IF(ISNUMBER(INDEX(Products!$H$7:$H$13,MATCH('Replacement plan'!$B$11,Products!$A$7:$A$13,0))),INDEX(Products!$H$7:$H$13,MATCH('Replacement plan'!$B$11,Products!$A$7:$A$13,0)),"n.a.")),0),"n.a.")</f>
        <v>0</v>
      </c>
      <c r="AI25" s="1">
        <f>IF(AND(C25=1,D25="EV",E25&lt;120),(VLOOKUP($A25,'Fleet register'!$A$7:$S$106,7,FALSE)+IF(T25&gt;0,'Operating costs'!$B$12,0))*U25*(1-'Operating costs'!$B$44)+'Operating costs'!$B$49,0)</f>
        <v>0</v>
      </c>
      <c r="AJ25" s="1">
        <f>IF(D25="EV",'Energy and charging'!$B$50,0)</f>
        <v>0</v>
      </c>
      <c r="AK25" s="17">
        <f>EDATE('Operating costs'!$B$63,E25)</f>
        <v>48124</v>
      </c>
      <c r="AL25" s="1">
        <f>IFERROR(IF(D25="EV",INDEX(Products!$B$7:$B$13,MATCH('Replacement plan'!$B$11,Products!$A$7:$A$13,0)),0),"n.a.")</f>
        <v>0</v>
      </c>
      <c r="AM25" s="1" t="str">
        <f>'Replacement plan'!$K$11</f>
        <v>DC</v>
      </c>
      <c r="AN25" s="1" t="str">
        <f>'Replacement plan'!$AE$11</f>
        <v>Assumed</v>
      </c>
      <c r="AO25" s="47">
        <f>IF(AND(C25=1,D25="EV",E25&lt;120),(R25-'Operating costs'!$B$41)*S25+W25*'Operating costs'!$B$12,0)</f>
        <v>0</v>
      </c>
      <c r="AP25" s="41">
        <f>IF(AND(C25=1,D25="EV",E25&lt;120),IF('Operating costs'!$B$68="Hong Seh 200k average",AO25*IFERROR(INDEX(Products!$P$7:$P$13,MATCH(AD25,Products!$A$7:$A$13,0)),"n.a."),'Operating costs'!$B$26),0)</f>
        <v>0</v>
      </c>
      <c r="AQ25" s="40" t="str">
        <f>IF(D25="EV",'Operating costs'!$B$68,"Not applicable")</f>
        <v>Not applicable</v>
      </c>
    </row>
    <row r="26" spans="1:43" ht="24" customHeight="1">
      <c r="A26" s="1" t="str">
        <f>'Replacement plan'!A11</f>
        <v>T005</v>
      </c>
      <c r="B26" s="1">
        <v>3</v>
      </c>
      <c r="C26" s="1">
        <f>IF(COUNTIFS('Fleet register'!$A$7:$A$106,$A26)=1,VLOOKUP($A26,'Fleet register'!$A$7:$S$106,2,FALSE),0)</f>
        <v>1</v>
      </c>
      <c r="D26" s="1" t="str">
        <f>IF('Replacement plan'!$R$11="EV","EV","ICE")</f>
        <v>ICE</v>
      </c>
      <c r="E26" s="1">
        <f>IF(C26=0,0,IF('Replacement plan'!$S$11="",IF('Replacement plan'!$R$11="Keep ICE",IF('Replacement plan'!$M$11="",VLOOKUP($A26,'Fleet register'!$A$7:$S$106,10,FALSE),'Replacement plan'!$M$11),0),'Replacement plan'!$S$11))</f>
        <v>60</v>
      </c>
      <c r="F26" s="16">
        <f>IF(C26=0,0,VLOOKUP($A26,'Fleet register'!$A$7:$S$106,11,FALSE))</f>
        <v>48000</v>
      </c>
      <c r="G26" s="16">
        <f>IFERROR(IF(C26=0,0,IF(E26=120,0,IF(D26="ICE",'Replacement plan'!$C$11,IF('Replacement plan'!$D$11="",INDEX(Products!$I$7:$I$13,MATCH('Replacement plan'!$B$11,Products!$A$7:$A$13,0))+'Operating costs'!$B$57,'Replacement plan'!$D$11))*(1+'Operating costs'!$B$50)^(E26/12))),"n.a.")</f>
        <v>181000</v>
      </c>
      <c r="H26" s="16">
        <f>IFERROR(IF(C26=0,0,IF('Replacement plan'!$V$11&lt;&gt;"",'Replacement plan'!$V$11,IF(E26=0,F26,VLOOKUP($A26,'Fleet register'!$A$7:$S$106,12,FALSE)+VLOOKUP($A26,'Fleet register'!$A$7:$S$106,13,FALSE)*MAX(0,VLOOKUP($A26,'Fleet register'!$A$7:$S$106,10,FALSE)-E26)/VLOOKUP($A26,'Fleet register'!$A$7:$S$106,14,FALSE)))),"n.a.")</f>
        <v>10000</v>
      </c>
      <c r="I26" s="16">
        <f>IF(C26=0,0,IF(E26=120,0,'Replacement plan'!$T$11))</f>
        <v>58500</v>
      </c>
      <c r="J26" s="16">
        <f>IF(C26=0,0,IF(P26="Complete",((S26*(R26-'Operating costs'!$B$39))+ROUNDUP(S26*(R26-'Operating costs'!$B$39)*IF('Replacement plan'!$AG$11="",'Operating costs'!$B$7,'Replacement plan'!$AG$11)/('Operating costs'!$B$8-'Operating costs'!$B$9*IF('Replacement plan'!$AG$11="",'Operating costs'!$B$7,'Replacement plan'!$AG$11)),0)*'Operating costs'!$B$9)*IF('Replacement plan'!$AG$11="",'Operating costs'!$B$7,'Replacement plan'!$AG$11)*('Energy and charging'!$C$9*'Energy and charging'!$C$7+(1-'Energy and charging'!$C$9)*'Energy and charging'!$C$8)*'Operating costs'!$B$23,"n.a."))</f>
        <v>9045.6</v>
      </c>
      <c r="K26" s="16">
        <f>IF(C26=0,0,IF(P26="Complete",SUM('Operating costs'!$B$24,'Operating costs'!$B$27,'Operating costs'!$B$29,'Operating costs'!$B$31,'Operating costs'!$B$33,'Operating costs'!$B$34,'Operating costs'!$B$37,'Replacement plan'!$W$11)+'Operating costs'!$B$39*'Operating costs'!$B$42+ROUNDUP(S26*(R26-'Operating costs'!$B$39)*IF('Replacement plan'!$AG$11="",'Operating costs'!$B$7,'Replacement plan'!$AG$11)/('Operating costs'!$B$8-'Operating costs'!$B$9*IF('Replacement plan'!$AG$11="",'Operating costs'!$B$7,'Replacement plan'!$AG$11)),0)*('Operating costs'!$B$9/'Operating costs'!$B$11+'Operating costs'!$B$10/60)*'Operating costs'!$B$19*'Operating costs'!$B$21,"n.a."))</f>
        <v>9105.75</v>
      </c>
      <c r="L26" s="16">
        <f>IF(C26=0,0,IF(P26="Complete",IF(D26="EV",X26*((1-T26)*'Energy and charging'!$C$10+T26*'Energy and charging'!$C$11)*'Operating costs'!$B$22,AA26*('Energy and charging'!$C$9*'Energy and charging'!$C$7+(1-'Energy and charging'!$C$9)*'Energy and charging'!$C$8)*'Operating costs'!$B$23),"n.a."))</f>
        <v>9045.6</v>
      </c>
      <c r="M26" s="37">
        <f>IF(C26=0,0,IF(P26="Complete",IF(D26="ICE",SUM('Operating costs'!$B$25,'Operating costs'!$B$27,'Operating costs'!$B$29,'Operating costs'!$B$31,'Operating costs'!$B$33,'Operating costs'!$B$35,'Operating costs'!$B$37,'Replacement plan'!$X$11)+'Operating costs'!$B$40*'Operating costs'!$B$42+ROUNDUP(S26*(R26-'Operating costs'!$B$40)*IF('Replacement plan'!$AH$11="",'Operating costs'!$B$7,'Replacement plan'!$AH$11)/('Operating costs'!$B$8-'Operating costs'!$B$9*IF('Replacement plan'!$AH$11="",'Operating costs'!$B$7,'Replacement plan'!$AH$11)),0)*('Operating costs'!$B$9/'Operating costs'!$B$11+'Operating costs'!$B$10/60)*'Operating costs'!$B$19*'Operating costs'!$B$21,SUM(AP26,'Operating costs'!$B$28,'Operating costs'!$B$30,'Operating costs'!$B$32,'Operating costs'!$B$33,'Operating costs'!$B$36,'Operating costs'!$B$38,'Replacement plan'!$Y$11)+'Operating costs'!$B$41*'Operating costs'!$B$43+W26*'Operating costs'!$B$15+(T26*X26/'Replacement plan'!$L$11+W26*('Operating costs'!$B$12/'Operating costs'!$B$11+('Operating costs'!$B$13+'Operating costs'!$B$14)/60)+(R26-'Operating costs'!$B$41)*(IF(T26&lt;1,'Operating costs'!$B$16,0)+'Operating costs'!$B$17)/60)*'Operating costs'!$B$19*'Operating costs'!$B$20),"n.a."))</f>
        <v>9105.75</v>
      </c>
      <c r="N26" s="16">
        <f>IF(AND(C26=1,D26="EV",E26&lt;120,E26+'Replacement plan'!$AA$11&lt;=120),'Replacement plan'!$Z$11,0)</f>
        <v>0</v>
      </c>
      <c r="O26" s="1">
        <f>E26+'Replacement plan'!$AA$11</f>
        <v>60</v>
      </c>
      <c r="P26" s="35" t="str">
        <f>IFERROR(IF(C26=0,"Excluded",IF(OR(COUNTIFS('Fleet register'!$A$7:$A$106,A26)&lt;&gt;1,COUNTIFS('Replacement plan'!$A$7:$A$106,A26)&lt;&gt;1),"Duplicate/missing ID",IF(NOT(AND(ISNUMBER(VLOOKUP($A26,'Fleet register'!$A$7:$S$106,5,FALSE)),ISNUMBER(VLOOKUP($A26,'Fleet register'!$A$7:$S$106,6,FALSE)),ISNUMBER(VLOOKUP($A26,'Fleet register'!$A$7:$S$106,10,FALSE)),ISNUMBER(VLOOKUP($A26,'Fleet register'!$A$7:$S$106,11,FALSE)),ISNUMBER(VLOOKUP($A26,'Fleet register'!$A$7:$S$106,12,FALSE)),ISNUMBER(VLOOKUP($A26,'Fleet register'!$A$7:$S$106,13,FALSE)),ISNUMBER(VLOOKUP($A26,'Fleet register'!$A$7:$S$106,14,FALSE)),VLOOKUP($A26,'Fleet register'!$A$7:$S$106,14,FALSE)&gt;0,ISNUMBER('Replacement plan'!$C$11),OR(E26=120,ISNUMBER('Replacement plan'!$T$11)),ISNUMBER(E26))),"Missing vehicle input",IF(OR(E26&lt;0,E26&gt;VLOOKUP($A26,'Fleet register'!$A$7:$S$106,10,FALSE),E26&gt;120,E26&lt;&gt;INT(E26),VLOOKUP($A26,'Fleet register'!$A$7:$S$106,6,FALSE)&lt;=0,VLOOKUP($A26,'Fleet register'!$A$7:$S$106,6,FALSE)&gt;366,VLOOKUP($A26,'Fleet register'!$A$7:$S$106,5,FALSE)&lt;0,VLOOKUP($A26,'Fleet register'!$A$7:$S$106,11,FALSE)&lt;0,I26&lt;0,'Operating costs'!$B$8&lt;='Operating costs'!$B$7*'Operating costs'!$B$9,'Operating costs'!$B$11&lt;=0,'Operating costs'!$B$39&gt;R26,'Operating costs'!$B$40&gt;R26,'Operating costs'!$B$41&gt;R26,NOT(OR('Replacement plan'!$R$11="Keep ICE",'Replacement plan'!$R$11="New ICE",'Replacement plan'!$R$11="EV"))),"Invalid vehicle input",IF(AND(D26="EV",E26&lt;120,OR(NOT(ISNUMBER(U26)),NOT(ISNUMBER(V26)),V26&lt;=0,T26&lt;0,T26&gt;1,'Replacement plan'!$L$11&lt;=0,'Operating costs'!$B$44&lt;0,'Operating costs'!$B$44&gt;=1,'Operating costs'!$B$47&lt;=0,'Operating costs'!$B$47&gt;1,V26*'Operating costs'!$B$47/(1-'Operating costs'!$B$44)&lt;=T26*'Operating costs'!$B$12*U26,AND('Replacement plan'!$Z$11&gt;0,OR('Replacement plan'!$AB$11&lt;&gt;"Yes",'Operating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charging'!$C$8&gt;=0))),ISNUMBER(VLOOKUP($A26,'Fleet register'!$A$7:$S$106,15,FALSE)),ISNUMBER(VLOOKUP($A26,'Fleet register'!$A$7:$S$106,16,FALSE)),ISNUMBER('Replacement plan'!$W$11),ISNUMBER('Replacement plan'!$X$11),OR(E26=120,AND(ISNUMBER(G26),G26&gt;=0)),ISNUMBER(H26),H26&gt;=0,OR(D26&lt;&gt;"EV",E26=120,AND(ISNUMBER('Operating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plan'!$Y$11),ISNUMBER('Replacement plan'!$Z$11),'Replacement plan'!$Z$11&gt;=0,ISNUMBER('Replacement plan'!$AA$11),'Replacement plan'!$AA$11&gt;=0,'Replacement plan'!$AA$11=INT('Replacement plan'!$AA$11),ISNUMBER('Replacement plan'!$L$11))),'Operating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plan'!$AG$11="",'Operating costs'!$B$7,'Replacement plan'!$AG$11)),IF('Replacement plan'!$AG$11="",'Operating costs'!$B$7,'Replacement plan'!$AG$11)&gt;=0,ISNUMBER(IF('Replacement plan'!$AH$11="",'Operating costs'!$B$7,'Replacement plan'!$AH$11)),IF('Replacement plan'!$AH$11="",'Operating costs'!$B$7,'Replacement plan'!$AH$11)&gt;=0,'Operating costs'!$B$8&gt;MAX(IF('Replacement plan'!$AG$11="",'Operating costs'!$B$7,'Replacement plan'!$AG$11),IF('Replacement plan'!$AH$11="",'Operating costs'!$B$7,'Replacement plan'!$AH$11))*'Operating costs'!$B$9),IF(AND(VLOOKUP($A26,'Fleet register'!$A$7:$S$106,10,FALSE)&gt;=0,VLOOKUP($A26,'Fleet register'!$A$7:$S$106,10,FALSE)&lt;=120,VLOOKUP($A26,'Fleet register'!$A$7:$S$106,10,FALSE)=INT(VLOOKUP($A26,'Fleet register'!$A$7:$S$106,10,FALSE)),VLOOKUP($A26,'Fleet register'!$A$7:$S$106,15,FALSE)&gt;=0,VLOOKUP($A26,'Fleet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costs'!$B$67)&gt;=0,OR(D26&lt;&gt;"EV",E26=120,AND(MIN('Operating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Complete</v>
      </c>
      <c r="Q26" s="1" t="str">
        <f>IF(C26=0,"Excluded",IF(P26&lt;&gt;"Complete",P26,IF(OR('Replacement plan'!$AD$11&lt;120-E26,AND(D26="EV",E26&lt;120,OR('Replacement plan'!$AC$11&lt;120-E26,'Replacement plan'!$I$11="No",AND(ISNUMBER(AF26),AE26&gt;AF26),AI26&gt;V26*(1-'Operating costs'!$B$46)^MAX(0,AB26-1)*(1-'Operating costs'!$B$45),AC26&gt;'Operating costs'!$B$18,AND(T26&lt;1,OR(AG26&lt;=0,AND(ISNUMBER(AH26),AG26&gt;AH26))),'Replacement plan'!$L$11&gt;INDEX(Products!$H$7:$H$13,MATCH('Replacement plan'!$B$11,Products!$A$7:$A$13,0))))),"Fails entered limits",IF(AND(D26="EV",E26&lt;120,OR(NOT(ISNUMBER(VLOOKUP($A26,'Fleet register'!$A$7:$S$106,7,FALSE))),NOT(ISNUMBER(VLOOKUP($A26,'Fleet register'!$A$7:$S$106,8,FALSE))),NOT(ISNUMBER(AF26)),'Replacement plan'!$I$11&lt;&gt;"Yes",NOT(ISNUMBER(AH26)),'Operating costs'!$B$59&lt;&gt;"Yes",'Operating costs'!$B$58&lt;&gt;"Yes")),"Unverified","Within entered limits"))))</f>
        <v>Within entered limits</v>
      </c>
      <c r="R26" s="1">
        <f>IF(C26=0,0,VLOOKUP($A26,'Fleet register'!$A$7:$S$106,6,FALSE))</f>
        <v>300</v>
      </c>
      <c r="S26" s="1">
        <f>IF(C26=0,0,VLOOKUP($A26,'Fleet register'!$A$7:$S$106,5,FALSE))</f>
        <v>150</v>
      </c>
      <c r="T26" s="1">
        <f>IF(D26="EV",'Energy and charging'!$C$12,0)</f>
        <v>0</v>
      </c>
      <c r="U26" s="1">
        <f>IFERROR(IF(C26=0,0,IF(D26="EV",IF('Replacement plan'!$F$11="",INDEX(Products!$E$7:$E$13,MATCH('Replacement plan'!$B$11,Products!$A$7:$A$13,0)),'Replacement plan'!$F$11)/IF('Replacement plan'!$G$11="Battery",1-'Operating costs'!$B$44,1),0)),"n.a.")</f>
        <v>0</v>
      </c>
      <c r="V26" s="1">
        <f>IFERROR(IF(C26=0,0,IF(D26="EV",IF('Replacement plan'!$E$11="",INDEX(Products!$D$7:$D$13,MATCH('Replacement plan'!$B$11,Products!$A$7:$A$13,0)),'Replacement plan'!$E$11),0)),"n.a.")</f>
        <v>0</v>
      </c>
      <c r="W26" s="1">
        <f>IF(C26=0,0,IF(AND(P26="Complete",D26="EV",E26&lt;120),IF(T26=0,0,ROUNDUP(T26*(R26-'Operating costs'!$B$41)*(S26*U26+'Operating costs'!$B$48/(1-'Operating costs'!$B$44))/(V26*'Operating costs'!$B$47/(1-'Operating costs'!$B$44)-T26*'Operating costs'!$B$12*U26),0)),0))</f>
        <v>0</v>
      </c>
      <c r="X26" s="1">
        <f>IF(C26=0,0,IF(AND(P26="Complete",D26="EV",E26&lt;120),(R26-'Operating costs'!$B$41)*(S26*U26+'Operating costs'!$B$48/(1-'Operating costs'!$B$44))+W26*'Operating costs'!$B$12*U26,0))</f>
        <v>0</v>
      </c>
      <c r="Y26" s="1">
        <f>IF(AND(C26=1,D26="EV",E26&lt;120),AI26/(1-'Operating costs'!$B$44)*(1-T26),0)</f>
        <v>0</v>
      </c>
      <c r="Z26" s="1">
        <f t="shared" si="0"/>
        <v>0</v>
      </c>
      <c r="AA26" s="1">
        <f>IF(C26=0,0,IF(P26="Complete",((S26*(R26-'Operating costs'!$B$40))+ROUNDUP(S26*(R26-'Operating costs'!$B$40)*IF('Replacement plan'!$AH$11="",'Operating costs'!$B$7,'Replacement plan'!$AH$11)/('Operating costs'!$B$8-'Operating costs'!$B$9*IF('Replacement plan'!$AH$11="",'Operating costs'!$B$7,'Replacement plan'!$AH$11)),0)*'Operating costs'!$B$9)*IF('Replacement plan'!$AH$11="",'Operating costs'!$B$7,'Replacement plan'!$AH$11),"n.a."))</f>
        <v>4522.8</v>
      </c>
      <c r="AB26" s="1">
        <f t="shared" si="1"/>
        <v>0</v>
      </c>
      <c r="AC26" s="1">
        <f>IF(AND(C26=1,D26="EV",E26&lt;120,T26&gt;0),'Operating costs'!$B$12/'Operating costs'!$B$11*60+'Operating costs'!$B$13+'Operating costs'!$B$14+V26*'Operating costs'!$B$47/(1-'Operating costs'!$B$44)/'Replacement plan'!$L$11*60,0)</f>
        <v>0</v>
      </c>
      <c r="AD26" s="1" t="str">
        <f>'Replacement plan'!$B$11</f>
        <v>ChengLong L2EV</v>
      </c>
      <c r="AE26" s="1">
        <f>IF(C26=0,0,VLOOKUP($A26,'Fleet register'!$A$7:$S$106,8,FALSE))</f>
        <v>1200</v>
      </c>
      <c r="AF26" s="1" t="str">
        <f>IF('Replacement plan'!$H$11="","n.a.",'Replacement plan'!$H$11)</f>
        <v>n.a.</v>
      </c>
      <c r="AG26" s="1">
        <f>'Replacement plan'!$J$11</f>
        <v>22</v>
      </c>
      <c r="AH26" s="1">
        <f>IFERROR(IF(D26="EV",IF('Replacement plan'!$K$11="AC",IF(ISNUMBER(INDEX(Products!$G$7:$G$13,MATCH('Replacement plan'!$B$11,Products!$A$7:$A$13,0))),INDEX(Products!$G$7:$G$13,MATCH('Replacement plan'!$B$11,Products!$A$7:$A$13,0)),"n.a."),IF(ISNUMBER(INDEX(Products!$H$7:$H$13,MATCH('Replacement plan'!$B$11,Products!$A$7:$A$13,0))),INDEX(Products!$H$7:$H$13,MATCH('Replacement plan'!$B$11,Products!$A$7:$A$13,0)),"n.a.")),0),"n.a.")</f>
        <v>0</v>
      </c>
      <c r="AI26" s="1">
        <f>IF(AND(C26=1,D26="EV",E26&lt;120),(VLOOKUP($A26,'Fleet register'!$A$7:$S$106,7,FALSE)+IF(T26&gt;0,'Operating costs'!$B$12,0))*U26*(1-'Operating costs'!$B$44)+'Operating costs'!$B$49,0)</f>
        <v>0</v>
      </c>
      <c r="AJ26" s="1">
        <f>IF(D26="EV",'Energy and charging'!$C$50,0)</f>
        <v>0</v>
      </c>
      <c r="AK26" s="17">
        <f>EDATE('Operating costs'!$B$63,E26)</f>
        <v>48124</v>
      </c>
      <c r="AL26" s="1">
        <f>IFERROR(IF(D26="EV",INDEX(Products!$B$7:$B$13,MATCH('Replacement plan'!$B$11,Products!$A$7:$A$13,0)),0),"n.a.")</f>
        <v>0</v>
      </c>
      <c r="AM26" s="1" t="str">
        <f>'Replacement plan'!$K$11</f>
        <v>DC</v>
      </c>
      <c r="AN26" s="1" t="str">
        <f>'Replacement plan'!$AE$11</f>
        <v>Assumed</v>
      </c>
      <c r="AO26" s="47">
        <f>IF(AND(C26=1,D26="EV",E26&lt;120),(R26-'Operating costs'!$B$41)*S26+W26*'Operating costs'!$B$12,0)</f>
        <v>0</v>
      </c>
      <c r="AP26" s="41">
        <f>IF(AND(C26=1,D26="EV",E26&lt;120),IF('Operating costs'!$B$68="Hong Seh 200k average",AO26*IFERROR(INDEX(Products!$P$7:$P$13,MATCH(AD26,Products!$A$7:$A$13,0)),"n.a."),'Operating costs'!$B$26),0)</f>
        <v>0</v>
      </c>
      <c r="AQ26" s="40" t="str">
        <f>IF(D26="EV",'Operating costs'!$B$68,"Not applicable")</f>
        <v>Not applicable</v>
      </c>
    </row>
    <row r="27" spans="1:43" ht="24" customHeight="1">
      <c r="A27" s="1" t="str">
        <f>'Replacement plan'!A12</f>
        <v>T006</v>
      </c>
      <c r="B27" s="1">
        <v>0</v>
      </c>
      <c r="C27" s="1">
        <f>IF(COUNTIFS('Fleet register'!$A$7:$A$106,$A27)=1,VLOOKUP($A27,'Fleet register'!$A$7:$S$106,2,FALSE),0)</f>
        <v>1</v>
      </c>
      <c r="D27" s="1" t="str">
        <f>IF("Keep ICE"="EV","EV","ICE")</f>
        <v>ICE</v>
      </c>
      <c r="E27" s="1">
        <f>IF(C27=0,0,IF('Replacement plan'!$M$12="",VLOOKUP($A27,'Fleet register'!$A$7:$S$106,10,FALSE),'Replacement plan'!$M$12))</f>
        <v>72</v>
      </c>
      <c r="F27" s="16">
        <f>IF(C27=0,0,VLOOKUP($A27,'Fleet register'!$A$7:$S$106,11,FALSE))</f>
        <v>54000</v>
      </c>
      <c r="G27" s="16">
        <f>IFERROR(IF(C27=0,0,IF(E27=120,0,IF(D27="ICE",'Replacement plan'!$C$12,IF('Replacement plan'!$D$12="",INDEX(Products!$I$7:$I$13,MATCH('Replacement plan'!$B$12,Products!$A$7:$A$13,0))+'Operating costs'!$B$57,'Replacement plan'!$D$12))*(1+'Operating costs'!$B$50)^(E27/12))),"n.a.")</f>
        <v>181000</v>
      </c>
      <c r="H27" s="16">
        <f>IFERROR(IF(C27=0,0,IF(E27=0,F27,VLOOKUP($A27,'Fleet register'!$A$7:$S$106,12,FALSE)+VLOOKUP($A27,'Fleet register'!$A$7:$S$106,13,FALSE)*MAX(0,VLOOKUP($A27,'Fleet register'!$A$7:$S$106,10,FALSE)-E27)/VLOOKUP($A27,'Fleet register'!$A$7:$S$106,14,FALSE))),"n.a.")</f>
        <v>10000</v>
      </c>
      <c r="I27" s="16">
        <f>IF(C27=0,0,IF(E27=120,0,'Replacement plan'!$N$12))</f>
        <v>67800</v>
      </c>
      <c r="J27" s="16">
        <f>IF(C27=0,0,IF(P27="Complete",((S27*(R27-'Operating costs'!$B$39))+ROUNDUP(S27*(R27-'Operating costs'!$B$39)*IF('Replacement plan'!$AG$12="",'Operating costs'!$B$7,'Replacement plan'!$AG$12)/('Operating costs'!$B$8-'Operating costs'!$B$9*IF('Replacement plan'!$AG$12="",'Operating costs'!$B$7,'Replacement plan'!$AG$12)),0)*'Operating costs'!$B$9)*IF('Replacement plan'!$AG$12="",'Operating costs'!$B$7,'Replacement plan'!$AG$12)*('Energy and charging'!$B$9*'Energy and charging'!$B$7+(1-'Energy and charging'!$B$9)*'Energy and charging'!$B$8)*'Operating costs'!$B$23,"n.a."))</f>
        <v>9045.6</v>
      </c>
      <c r="K27" s="16">
        <f>IF(C27=0,0,IF(P27="Complete",SUM('Operating costs'!$B$24,'Operating costs'!$B$27,'Operating costs'!$B$29,'Operating costs'!$B$31,'Operating costs'!$B$33,'Operating costs'!$B$34,'Operating costs'!$B$37,'Replacement plan'!$W$12)+'Operating costs'!$B$39*'Operating costs'!$B$42+ROUNDUP(S27*(R27-'Operating costs'!$B$39)*IF('Replacement plan'!$AG$12="",'Operating costs'!$B$7,'Replacement plan'!$AG$12)/('Operating costs'!$B$8-'Operating costs'!$B$9*IF('Replacement plan'!$AG$12="",'Operating costs'!$B$7,'Replacement plan'!$AG$12)),0)*('Operating costs'!$B$9/'Operating costs'!$B$11+'Operating costs'!$B$10/60)*'Operating costs'!$B$19*'Operating costs'!$B$21,"n.a."))</f>
        <v>9105.75</v>
      </c>
      <c r="L27" s="16">
        <f>IF(C27=0,0,IF(P27="Complete",IF(D27="EV",X27*((1-T27)*'Energy and charging'!$B$10+T27*'Energy and charging'!$B$11)*'Operating costs'!$B$22,AA27*('Energy and charging'!$B$9*'Energy and charging'!$B$7+(1-'Energy and charging'!$B$9)*'Energy and charging'!$B$8)*'Operating costs'!$B$23),"n.a."))</f>
        <v>9045.6</v>
      </c>
      <c r="M27" s="37">
        <f>IF(C27=0,0,IF(P27="Complete",IF(D27="ICE",SUM('Operating costs'!$B$25,'Operating costs'!$B$27,'Operating costs'!$B$29,'Operating costs'!$B$31,'Operating costs'!$B$33,'Operating costs'!$B$35,'Operating costs'!$B$37,'Replacement plan'!$X$12)+'Operating costs'!$B$40*'Operating costs'!$B$42+ROUNDUP(S27*(R27-'Operating costs'!$B$40)*IF('Replacement plan'!$AH$12="",'Operating costs'!$B$7,'Replacement plan'!$AH$12)/('Operating costs'!$B$8-'Operating costs'!$B$9*IF('Replacement plan'!$AH$12="",'Operating costs'!$B$7,'Replacement plan'!$AH$12)),0)*('Operating costs'!$B$9/'Operating costs'!$B$11+'Operating costs'!$B$10/60)*'Operating costs'!$B$19*'Operating costs'!$B$21,SUM(AP27,'Operating costs'!$B$28,'Operating costs'!$B$30,'Operating costs'!$B$32,'Operating costs'!$B$33,'Operating costs'!$B$36,'Operating costs'!$B$38,'Replacement plan'!$Y$12)+'Operating costs'!$B$41*'Operating costs'!$B$43+W27*'Operating costs'!$B$15+(T27*X27/'Replacement plan'!$L$12+W27*('Operating costs'!$B$12/'Operating costs'!$B$11+('Operating costs'!$B$13+'Operating costs'!$B$14)/60)+(R27-'Operating costs'!$B$41)*(IF(T27&lt;1,'Operating costs'!$B$16,0)+'Operating costs'!$B$17)/60)*'Operating costs'!$B$19*'Operating costs'!$B$20),"n.a."))</f>
        <v>9105.75</v>
      </c>
      <c r="N27" s="16">
        <f>IF(AND(C27=1,D27="EV",E27&lt;120,E27+'Replacement plan'!$AA$12&lt;=120),'Replacement plan'!$Z$12,0)</f>
        <v>0</v>
      </c>
      <c r="O27" s="1">
        <f>E27+'Replacement plan'!$AA$12</f>
        <v>72</v>
      </c>
      <c r="P27" s="35" t="str">
        <f>IFERROR(IF(C27=0,"Excluded",IF(OR(COUNTIFS('Fleet register'!$A$7:$A$106,A27)&lt;&gt;1,COUNTIFS('Replacement plan'!$A$7:$A$106,A27)&lt;&gt;1),"Duplicate/missing ID",IF(NOT(AND(ISNUMBER(VLOOKUP($A27,'Fleet register'!$A$7:$S$106,5,FALSE)),ISNUMBER(VLOOKUP($A27,'Fleet register'!$A$7:$S$106,6,FALSE)),ISNUMBER(VLOOKUP($A27,'Fleet register'!$A$7:$S$106,10,FALSE)),ISNUMBER(VLOOKUP($A27,'Fleet register'!$A$7:$S$106,11,FALSE)),ISNUMBER(VLOOKUP($A27,'Fleet register'!$A$7:$S$106,12,FALSE)),ISNUMBER(VLOOKUP($A27,'Fleet register'!$A$7:$S$106,13,FALSE)),ISNUMBER(VLOOKUP($A27,'Fleet register'!$A$7:$S$106,14,FALSE)),VLOOKUP($A27,'Fleet register'!$A$7:$S$106,14,FALSE)&gt;0,ISNUMBER('Replacement plan'!$C$12),OR(E27=120,ISNUMBER('Replacement plan'!$N$12)),ISNUMBER(E27))),"Missing vehicle input",IF(OR(E27&lt;0,E27&gt;VLOOKUP($A27,'Fleet register'!$A$7:$S$106,10,FALSE),E27&gt;120,E27&lt;&gt;INT(E27),VLOOKUP($A27,'Fleet register'!$A$7:$S$106,6,FALSE)&lt;=0,VLOOKUP($A27,'Fleet register'!$A$7:$S$106,6,FALSE)&gt;366,VLOOKUP($A27,'Fleet register'!$A$7:$S$106,5,FALSE)&lt;0,VLOOKUP($A27,'Fleet register'!$A$7:$S$106,11,FALSE)&lt;0,I27&lt;0,'Operating costs'!$B$8&lt;='Operating costs'!$B$7*'Operating costs'!$B$9,'Operating costs'!$B$11&lt;=0,'Operating costs'!$B$39&gt;R27,'Operating costs'!$B$40&gt;R27,'Operating costs'!$B$41&gt;R27,NOT(OR("Keep ICE"="Keep ICE","Keep ICE"="New ICE","Keep ICE"="EV"))),"Invalid vehicle input",IF(AND(D27="EV",E27&lt;120,OR(NOT(ISNUMBER(U27)),NOT(ISNUMBER(V27)),V27&lt;=0,T27&lt;0,T27&gt;1,'Replacement plan'!$L$12&lt;=0,'Operating costs'!$B$44&lt;0,'Operating costs'!$B$44&gt;=1,'Operating costs'!$B$47&lt;=0,'Operating costs'!$B$47&gt;1,V27*'Operating costs'!$B$47/(1-'Operating costs'!$B$44)&lt;=T27*'Operating costs'!$B$12*U27,AND('Replacement plan'!$Z$12&gt;0,OR('Replacement plan'!$AB$12&lt;&gt;"Yes",'Operating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charging'!$B$8&gt;=0))),ISNUMBER(VLOOKUP($A27,'Fleet register'!$A$7:$S$106,15,FALSE)),ISNUMBER(VLOOKUP($A27,'Fleet register'!$A$7:$S$106,16,FALSE)),ISNUMBER('Replacement plan'!$W$12),ISNUMBER('Replacement plan'!$X$12),OR(E27=120,AND(ISNUMBER(G27),G27&gt;=0)),ISNUMBER(H27),H27&gt;=0,OR(D27&lt;&gt;"EV",E27=120,AND(ISNUMBER('Operating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plan'!$Y$12),ISNUMBER('Replacement plan'!$Z$12),'Replacement plan'!$Z$12&gt;=0,ISNUMBER('Replacement plan'!$AA$12),'Replacement plan'!$AA$12&gt;=0,'Replacement plan'!$AA$12=INT('Replacement plan'!$AA$12),ISNUMBER('Replacement plan'!$L$12))),'Operating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plan'!$AG$12="",'Operating costs'!$B$7,'Replacement plan'!$AG$12)),IF('Replacement plan'!$AG$12="",'Operating costs'!$B$7,'Replacement plan'!$AG$12)&gt;=0,ISNUMBER(IF('Replacement plan'!$AH$12="",'Operating costs'!$B$7,'Replacement plan'!$AH$12)),IF('Replacement plan'!$AH$12="",'Operating costs'!$B$7,'Replacement plan'!$AH$12)&gt;=0,'Operating costs'!$B$8&gt;MAX(IF('Replacement plan'!$AG$12="",'Operating costs'!$B$7,'Replacement plan'!$AG$12),IF('Replacement plan'!$AH$12="",'Operating costs'!$B$7,'Replacement plan'!$AH$12))*'Operating costs'!$B$9),IF(AND(VLOOKUP($A27,'Fleet register'!$A$7:$S$106,10,FALSE)&gt;=0,VLOOKUP($A27,'Fleet register'!$A$7:$S$106,10,FALSE)&lt;=120,VLOOKUP($A27,'Fleet register'!$A$7:$S$106,10,FALSE)=INT(VLOOKUP($A27,'Fleet register'!$A$7:$S$106,10,FALSE)),VLOOKUP($A27,'Fleet register'!$A$7:$S$106,15,FALSE)&gt;=0,VLOOKUP($A27,'Fleet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costs'!$B$67)&gt;=0,OR(D27&lt;&gt;"EV",E27=120,AND(MIN('Operating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Complete</v>
      </c>
      <c r="Q27" s="1" t="str">
        <f>IF(C27=0,"Excluded",IF(P27&lt;&gt;"Complete",P27,IF(OR('Replacement plan'!$AD$12&lt;120-E27,AND(D27="EV",E27&lt;120,OR('Replacement plan'!$AC$12&lt;120-E27,'Replacement plan'!$I$12="No",AND(ISNUMBER(AF27),AE27&gt;AF27),AI27&gt;V27*(1-'Operating costs'!$B$46)^MAX(0,AB27-1)*(1-'Operating costs'!$B$45),AC27&gt;'Operating costs'!$B$18,AND(T27&lt;1,OR(AG27&lt;=0,AND(ISNUMBER(AH27),AG27&gt;AH27))),'Replacement plan'!$L$12&gt;INDEX(Products!$H$7:$H$13,MATCH('Replacement plan'!$B$12,Products!$A$7:$A$13,0))))),"Fails entered limits",IF(AND(D27="EV",E27&lt;120,OR(NOT(ISNUMBER(VLOOKUP($A27,'Fleet register'!$A$7:$S$106,7,FALSE))),NOT(ISNUMBER(VLOOKUP($A27,'Fleet register'!$A$7:$S$106,8,FALSE))),NOT(ISNUMBER(AF27)),'Replacement plan'!$I$12&lt;&gt;"Yes",NOT(ISNUMBER(AH27)),'Operating costs'!$B$59&lt;&gt;"Yes",'Operating costs'!$B$58&lt;&gt;"Yes")),"Unverified","Within entered limits"))))</f>
        <v>Within entered limits</v>
      </c>
      <c r="R27" s="1">
        <f>IF(C27=0,0,VLOOKUP($A27,'Fleet register'!$A$7:$S$106,6,FALSE))</f>
        <v>300</v>
      </c>
      <c r="S27" s="1">
        <f>IF(C27=0,0,VLOOKUP($A27,'Fleet register'!$A$7:$S$106,5,FALSE))</f>
        <v>150</v>
      </c>
      <c r="T27" s="1">
        <f>IF(D27="EV",'Energy and charging'!$B$12,0)</f>
        <v>0</v>
      </c>
      <c r="U27" s="1">
        <f>IFERROR(IF(C27=0,0,IF(D27="EV",IF('Replacement plan'!$F$12="",INDEX(Products!$E$7:$E$13,MATCH('Replacement plan'!$B$12,Products!$A$7:$A$13,0)),'Replacement plan'!$F$12)/IF('Replacement plan'!$G$12="Battery",1-'Operating costs'!$B$44,1),0)),"n.a.")</f>
        <v>0</v>
      </c>
      <c r="V27" s="1">
        <f>IFERROR(IF(C27=0,0,IF(D27="EV",IF('Replacement plan'!$E$12="",INDEX(Products!$D$7:$D$13,MATCH('Replacement plan'!$B$12,Products!$A$7:$A$13,0)),'Replacement plan'!$E$12),0)),"n.a.")</f>
        <v>0</v>
      </c>
      <c r="W27" s="1">
        <f>IF(C27=0,0,IF(AND(P27="Complete",D27="EV",E27&lt;120),IF(T27=0,0,ROUNDUP(T27*(R27-'Operating costs'!$B$41)*(S27*U27+'Operating costs'!$B$48/(1-'Operating costs'!$B$44))/(V27*'Operating costs'!$B$47/(1-'Operating costs'!$B$44)-T27*'Operating costs'!$B$12*U27),0)),0))</f>
        <v>0</v>
      </c>
      <c r="X27" s="1">
        <f>IF(C27=0,0,IF(AND(P27="Complete",D27="EV",E27&lt;120),(R27-'Operating costs'!$B$41)*(S27*U27+'Operating costs'!$B$48/(1-'Operating costs'!$B$44))+W27*'Operating costs'!$B$12*U27,0))</f>
        <v>0</v>
      </c>
      <c r="Y27" s="1">
        <f>IF(AND(C27=1,D27="EV",E27&lt;120),AI27/(1-'Operating costs'!$B$44)*(1-T27),0)</f>
        <v>0</v>
      </c>
      <c r="Z27" s="1">
        <f t="shared" si="0"/>
        <v>0</v>
      </c>
      <c r="AA27" s="1">
        <f>IF(C27=0,0,IF(P27="Complete",((S27*(R27-'Operating costs'!$B$40))+ROUNDUP(S27*(R27-'Operating costs'!$B$40)*IF('Replacement plan'!$AH$12="",'Operating costs'!$B$7,'Replacement plan'!$AH$12)/('Operating costs'!$B$8-'Operating costs'!$B$9*IF('Replacement plan'!$AH$12="",'Operating costs'!$B$7,'Replacement plan'!$AH$12)),0)*'Operating costs'!$B$9)*IF('Replacement plan'!$AH$12="",'Operating costs'!$B$7,'Replacement plan'!$AH$12),"n.a."))</f>
        <v>4522.8</v>
      </c>
      <c r="AB27" s="1">
        <f t="shared" si="1"/>
        <v>0</v>
      </c>
      <c r="AC27" s="1">
        <f>IF(AND(C27=1,D27="EV",E27&lt;120,T27&gt;0),'Operating costs'!$B$12/'Operating costs'!$B$11*60+'Operating costs'!$B$13+'Operating costs'!$B$14+V27*'Operating costs'!$B$47/(1-'Operating costs'!$B$44)/'Replacement plan'!$L$12*60,0)</f>
        <v>0</v>
      </c>
      <c r="AD27" s="1" t="str">
        <f>'Replacement plan'!$B$12</f>
        <v>ChengLong L2EV</v>
      </c>
      <c r="AE27" s="1">
        <f>IF(C27=0,0,VLOOKUP($A27,'Fleet register'!$A$7:$S$106,8,FALSE))</f>
        <v>1200</v>
      </c>
      <c r="AF27" s="1" t="str">
        <f>IF('Replacement plan'!$H$12="","n.a.",'Replacement plan'!$H$12)</f>
        <v>n.a.</v>
      </c>
      <c r="AG27" s="1">
        <f>'Replacement plan'!$J$12</f>
        <v>22</v>
      </c>
      <c r="AH27" s="1">
        <f>IFERROR(IF(D27="EV",IF('Replacement plan'!$K$12="AC",IF(ISNUMBER(INDEX(Products!$G$7:$G$13,MATCH('Replacement plan'!$B$12,Products!$A$7:$A$13,0))),INDEX(Products!$G$7:$G$13,MATCH('Replacement plan'!$B$12,Products!$A$7:$A$13,0)),"n.a."),IF(ISNUMBER(INDEX(Products!$H$7:$H$13,MATCH('Replacement plan'!$B$12,Products!$A$7:$A$13,0))),INDEX(Products!$H$7:$H$13,MATCH('Replacement plan'!$B$12,Products!$A$7:$A$13,0)),"n.a.")),0),"n.a.")</f>
        <v>0</v>
      </c>
      <c r="AI27" s="1">
        <f>IF(AND(C27=1,D27="EV",E27&lt;120),(VLOOKUP($A27,'Fleet register'!$A$7:$S$106,7,FALSE)+IF(T27&gt;0,'Operating costs'!$B$12,0))*U27*(1-'Operating costs'!$B$44)+'Operating costs'!$B$49,0)</f>
        <v>0</v>
      </c>
      <c r="AJ27" s="1">
        <f>IF(D27="EV",'Energy and charging'!$B$50,0)</f>
        <v>0</v>
      </c>
      <c r="AK27" s="17">
        <f>EDATE('Operating costs'!$B$63,E27)</f>
        <v>48490</v>
      </c>
      <c r="AL27" s="1">
        <f>IFERROR(IF(D27="EV",INDEX(Products!$B$7:$B$13,MATCH('Replacement plan'!$B$12,Products!$A$7:$A$13,0)),0),"n.a.")</f>
        <v>0</v>
      </c>
      <c r="AM27" s="1" t="str">
        <f>'Replacement plan'!$K$12</f>
        <v>DC</v>
      </c>
      <c r="AN27" s="1" t="str">
        <f>'Replacement plan'!$AE$12</f>
        <v>Assumed</v>
      </c>
      <c r="AO27" s="47">
        <f>IF(AND(C27=1,D27="EV",E27&lt;120),(R27-'Operating costs'!$B$41)*S27+W27*'Operating costs'!$B$12,0)</f>
        <v>0</v>
      </c>
      <c r="AP27" s="41">
        <f>IF(AND(C27=1,D27="EV",E27&lt;120),IF('Operating costs'!$B$68="Hong Seh 200k average",AO27*IFERROR(INDEX(Products!$P$7:$P$13,MATCH(AD27,Products!$A$7:$A$13,0)),"n.a."),'Operating costs'!$B$26),0)</f>
        <v>0</v>
      </c>
      <c r="AQ27" s="40" t="str">
        <f>IF(D27="EV",'Operating costs'!$B$68,"Not applicable")</f>
        <v>Not applicable</v>
      </c>
    </row>
    <row r="28" spans="1:43" ht="24" customHeight="1">
      <c r="A28" s="1" t="str">
        <f>'Replacement plan'!A12</f>
        <v>T006</v>
      </c>
      <c r="B28" s="1">
        <v>1</v>
      </c>
      <c r="C28" s="1">
        <f>IF(COUNTIFS('Fleet register'!$A$7:$A$106,$A28)=1,VLOOKUP($A28,'Fleet register'!$A$7:$S$106,2,FALSE),0)</f>
        <v>1</v>
      </c>
      <c r="D28" s="1" t="str">
        <f>IF("New ICE"="EV","EV","ICE")</f>
        <v>ICE</v>
      </c>
      <c r="E28" s="1">
        <f>IF(C28=0,0,0)</f>
        <v>0</v>
      </c>
      <c r="F28" s="16">
        <f>IF(C28=0,0,VLOOKUP($A28,'Fleet register'!$A$7:$S$106,11,FALSE))</f>
        <v>54000</v>
      </c>
      <c r="G28" s="16">
        <f>IFERROR(IF(C28=0,0,IF(E28=120,0,IF(D28="ICE",'Replacement plan'!$C$12,IF('Replacement plan'!$D$12="",INDEX(Products!$I$7:$I$13,MATCH('Replacement plan'!$B$12,Products!$A$7:$A$13,0))+'Operating costs'!$B$57,'Replacement plan'!$D$12))*(1+'Operating costs'!$B$50)^(E28/12))),"n.a.")</f>
        <v>181000</v>
      </c>
      <c r="H28" s="16">
        <f>IFERROR(IF(C28=0,0,IF(E28=0,F28,VLOOKUP($A28,'Fleet register'!$A$7:$S$106,12,FALSE)+VLOOKUP($A28,'Fleet register'!$A$7:$S$106,13,FALSE)*MAX(0,VLOOKUP($A28,'Fleet register'!$A$7:$S$106,10,FALSE)-E28)/VLOOKUP($A28,'Fleet register'!$A$7:$S$106,14,FALSE))),"n.a.")</f>
        <v>54000</v>
      </c>
      <c r="I28" s="16">
        <f>IF(C28=0,0,IF(E28=120,0,IF('Replacement plan'!$AI$12="",'Operating costs'!$B$56,'Replacement plan'!$AI$12)))</f>
        <v>12000</v>
      </c>
      <c r="J28" s="16">
        <f>IF(C28=0,0,IF(P28="Complete",((S28*(R28-'Operating costs'!$B$39))+ROUNDUP(S28*(R28-'Operating costs'!$B$39)*IF('Replacement plan'!$AG$12="",'Operating costs'!$B$7,'Replacement plan'!$AG$12)/('Operating costs'!$B$8-'Operating costs'!$B$9*IF('Replacement plan'!$AG$12="",'Operating costs'!$B$7,'Replacement plan'!$AG$12)),0)*'Operating costs'!$B$9)*IF('Replacement plan'!$AG$12="",'Operating costs'!$B$7,'Replacement plan'!$AG$12)*('Energy and charging'!$B$9*'Energy and charging'!$B$7+(1-'Energy and charging'!$B$9)*'Energy and charging'!$B$8)*'Operating costs'!$B$23,"n.a."))</f>
        <v>9045.6</v>
      </c>
      <c r="K28" s="16">
        <f>IF(C28=0,0,IF(P28="Complete",SUM('Operating costs'!$B$24,'Operating costs'!$B$27,'Operating costs'!$B$29,'Operating costs'!$B$31,'Operating costs'!$B$33,'Operating costs'!$B$34,'Operating costs'!$B$37,'Replacement plan'!$W$12)+'Operating costs'!$B$39*'Operating costs'!$B$42+ROUNDUP(S28*(R28-'Operating costs'!$B$39)*IF('Replacement plan'!$AG$12="",'Operating costs'!$B$7,'Replacement plan'!$AG$12)/('Operating costs'!$B$8-'Operating costs'!$B$9*IF('Replacement plan'!$AG$12="",'Operating costs'!$B$7,'Replacement plan'!$AG$12)),0)*('Operating costs'!$B$9/'Operating costs'!$B$11+'Operating costs'!$B$10/60)*'Operating costs'!$B$19*'Operating costs'!$B$21,"n.a."))</f>
        <v>9105.75</v>
      </c>
      <c r="L28" s="16">
        <f>IF(C28=0,0,IF(P28="Complete",IF(D28="EV",X28*((1-T28)*'Energy and charging'!$B$10+T28*'Energy and charging'!$B$11)*'Operating costs'!$B$22,AA28*('Energy and charging'!$B$9*'Energy and charging'!$B$7+(1-'Energy and charging'!$B$9)*'Energy and charging'!$B$8)*'Operating costs'!$B$23),"n.a."))</f>
        <v>9045.6</v>
      </c>
      <c r="M28" s="37">
        <f>IF(C28=0,0,IF(P28="Complete",IF(D28="ICE",SUM('Operating costs'!$B$25,'Operating costs'!$B$27,'Operating costs'!$B$29,'Operating costs'!$B$31,'Operating costs'!$B$33,'Operating costs'!$B$35,'Operating costs'!$B$37,'Replacement plan'!$X$12)+'Operating costs'!$B$40*'Operating costs'!$B$42+ROUNDUP(S28*(R28-'Operating costs'!$B$40)*IF('Replacement plan'!$AH$12="",'Operating costs'!$B$7,'Replacement plan'!$AH$12)/('Operating costs'!$B$8-'Operating costs'!$B$9*IF('Replacement plan'!$AH$12="",'Operating costs'!$B$7,'Replacement plan'!$AH$12)),0)*('Operating costs'!$B$9/'Operating costs'!$B$11+'Operating costs'!$B$10/60)*'Operating costs'!$B$19*'Operating costs'!$B$21,SUM(AP28,'Operating costs'!$B$28,'Operating costs'!$B$30,'Operating costs'!$B$32,'Operating costs'!$B$33,'Operating costs'!$B$36,'Operating costs'!$B$38,'Replacement plan'!$Y$12)+'Operating costs'!$B$41*'Operating costs'!$B$43+W28*'Operating costs'!$B$15+(T28*X28/'Replacement plan'!$L$12+W28*('Operating costs'!$B$12/'Operating costs'!$B$11+('Operating costs'!$B$13+'Operating costs'!$B$14)/60)+(R28-'Operating costs'!$B$41)*(IF(T28&lt;1,'Operating costs'!$B$16,0)+'Operating costs'!$B$17)/60)*'Operating costs'!$B$19*'Operating costs'!$B$20),"n.a."))</f>
        <v>9105.75</v>
      </c>
      <c r="N28" s="16">
        <f>IF(AND(C28=1,D28="EV",E28&lt;120,E28+'Replacement plan'!$AA$12&lt;=120),'Replacement plan'!$Z$12,0)</f>
        <v>0</v>
      </c>
      <c r="O28" s="1">
        <f>E28+'Replacement plan'!$AA$12</f>
        <v>0</v>
      </c>
      <c r="P28" s="35" t="str">
        <f>IFERROR(IF(C28=0,"Excluded",IF(OR(COUNTIFS('Fleet register'!$A$7:$A$106,A28)&lt;&gt;1,COUNTIFS('Replacement plan'!$A$7:$A$106,A28)&lt;&gt;1),"Duplicate/missing ID",IF(NOT(AND(ISNUMBER(VLOOKUP($A28,'Fleet register'!$A$7:$S$106,5,FALSE)),ISNUMBER(VLOOKUP($A28,'Fleet register'!$A$7:$S$106,6,FALSE)),ISNUMBER(VLOOKUP($A28,'Fleet register'!$A$7:$S$106,10,FALSE)),ISNUMBER(VLOOKUP($A28,'Fleet register'!$A$7:$S$106,11,FALSE)),ISNUMBER(VLOOKUP($A28,'Fleet register'!$A$7:$S$106,12,FALSE)),ISNUMBER(VLOOKUP($A28,'Fleet register'!$A$7:$S$106,13,FALSE)),ISNUMBER(VLOOKUP($A28,'Fleet register'!$A$7:$S$106,14,FALSE)),VLOOKUP($A28,'Fleet register'!$A$7:$S$106,14,FALSE)&gt;0,ISNUMBER('Replacement plan'!$C$12),OR(E28=120,OR(ISNUMBER('Replacement plan'!$AI$12),AND('Replacement plan'!$AI$12="",ISNUMBER('Operating costs'!$B$56)))),ISNUMBER(E28))),"Missing vehicle input",IF(OR(E28&lt;0,E28&gt;VLOOKUP($A28,'Fleet register'!$A$7:$S$106,10,FALSE),E28&gt;120,E28&lt;&gt;INT(E28),VLOOKUP($A28,'Fleet register'!$A$7:$S$106,6,FALSE)&lt;=0,VLOOKUP($A28,'Fleet register'!$A$7:$S$106,6,FALSE)&gt;366,VLOOKUP($A28,'Fleet register'!$A$7:$S$106,5,FALSE)&lt;0,VLOOKUP($A28,'Fleet register'!$A$7:$S$106,11,FALSE)&lt;0,I28&lt;0,'Operating costs'!$B$8&lt;='Operating costs'!$B$7*'Operating costs'!$B$9,'Operating costs'!$B$11&lt;=0,'Operating costs'!$B$39&gt;R28,'Operating costs'!$B$40&gt;R28,'Operating costs'!$B$41&gt;R28,NOT(OR("New ICE"="Keep ICE","New ICE"="New ICE","New ICE"="EV"))),"Invalid vehicle input",IF(AND(D28="EV",E28&lt;120,OR(NOT(ISNUMBER(U28)),NOT(ISNUMBER(V28)),V28&lt;=0,T28&lt;0,T28&gt;1,'Replacement plan'!$L$12&lt;=0,'Operating costs'!$B$44&lt;0,'Operating costs'!$B$44&gt;=1,'Operating costs'!$B$47&lt;=0,'Operating costs'!$B$47&gt;1,V28*'Operating costs'!$B$47/(1-'Operating costs'!$B$44)&lt;=T28*'Operating costs'!$B$12*U28,AND('Replacement plan'!$Z$12&gt;0,OR('Replacement plan'!$AB$12&lt;&gt;"Yes",'Operating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charging'!$B$8&gt;=0))),ISNUMBER(VLOOKUP($A28,'Fleet register'!$A$7:$S$106,15,FALSE)),ISNUMBER(VLOOKUP($A28,'Fleet register'!$A$7:$S$106,16,FALSE)),ISNUMBER('Replacement plan'!$W$12),ISNUMBER('Replacement plan'!$X$12),OR(E28=120,AND(ISNUMBER(G28),G28&gt;=0)),ISNUMBER(H28),H28&gt;=0,OR(D28&lt;&gt;"EV",E28=120,AND(ISNUMBER('Operating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plan'!$Y$12),ISNUMBER('Replacement plan'!$Z$12),'Replacement plan'!$Z$12&gt;=0,ISNUMBER('Replacement plan'!$AA$12),'Replacement plan'!$AA$12&gt;=0,'Replacement plan'!$AA$12=INT('Replacement plan'!$AA$12),ISNUMBER('Replacement plan'!$L$12))),'Operating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plan'!$AG$12="",'Operating costs'!$B$7,'Replacement plan'!$AG$12)),IF('Replacement plan'!$AG$12="",'Operating costs'!$B$7,'Replacement plan'!$AG$12)&gt;=0,ISNUMBER(IF('Replacement plan'!$AH$12="",'Operating costs'!$B$7,'Replacement plan'!$AH$12)),IF('Replacement plan'!$AH$12="",'Operating costs'!$B$7,'Replacement plan'!$AH$12)&gt;=0,'Operating costs'!$B$8&gt;MAX(IF('Replacement plan'!$AG$12="",'Operating costs'!$B$7,'Replacement plan'!$AG$12),IF('Replacement plan'!$AH$12="",'Operating costs'!$B$7,'Replacement plan'!$AH$12))*'Operating costs'!$B$9),IF(AND(VLOOKUP($A28,'Fleet register'!$A$7:$S$106,10,FALSE)&gt;=0,VLOOKUP($A28,'Fleet register'!$A$7:$S$106,10,FALSE)&lt;=120,VLOOKUP($A28,'Fleet register'!$A$7:$S$106,10,FALSE)=INT(VLOOKUP($A28,'Fleet register'!$A$7:$S$106,10,FALSE)),VLOOKUP($A28,'Fleet register'!$A$7:$S$106,15,FALSE)&gt;=0,VLOOKUP($A28,'Fleet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costs'!$B$67)&gt;=0,OR(D28&lt;&gt;"EV",E28=120,AND(MIN('Operating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Complete</v>
      </c>
      <c r="Q28" s="1" t="str">
        <f>IF(C28=0,"Excluded",IF(P28&lt;&gt;"Complete",P28,IF(OR('Replacement plan'!$AD$12&lt;120-E28,AND(D28="EV",E28&lt;120,OR('Replacement plan'!$AC$12&lt;120-E28,'Replacement plan'!$I$12="No",AND(ISNUMBER(AF28),AE28&gt;AF28),AI28&gt;V28*(1-'Operating costs'!$B$46)^MAX(0,AB28-1)*(1-'Operating costs'!$B$45),AC28&gt;'Operating costs'!$B$18,AND(T28&lt;1,OR(AG28&lt;=0,AND(ISNUMBER(AH28),AG28&gt;AH28))),'Replacement plan'!$L$12&gt;INDEX(Products!$H$7:$H$13,MATCH('Replacement plan'!$B$12,Products!$A$7:$A$13,0))))),"Fails entered limits",IF(AND(D28="EV",E28&lt;120,OR(NOT(ISNUMBER(VLOOKUP($A28,'Fleet register'!$A$7:$S$106,7,FALSE))),NOT(ISNUMBER(VLOOKUP($A28,'Fleet register'!$A$7:$S$106,8,FALSE))),NOT(ISNUMBER(AF28)),'Replacement plan'!$I$12&lt;&gt;"Yes",NOT(ISNUMBER(AH28)),'Operating costs'!$B$59&lt;&gt;"Yes",'Operating costs'!$B$58&lt;&gt;"Yes")),"Unverified","Within entered limits"))))</f>
        <v>Within entered limits</v>
      </c>
      <c r="R28" s="1">
        <f>IF(C28=0,0,VLOOKUP($A28,'Fleet register'!$A$7:$S$106,6,FALSE))</f>
        <v>300</v>
      </c>
      <c r="S28" s="1">
        <f>IF(C28=0,0,VLOOKUP($A28,'Fleet register'!$A$7:$S$106,5,FALSE))</f>
        <v>150</v>
      </c>
      <c r="T28" s="1">
        <f>IF(D28="EV",'Energy and charging'!$B$12,0)</f>
        <v>0</v>
      </c>
      <c r="U28" s="1">
        <f>IFERROR(IF(C28=0,0,IF(D28="EV",IF('Replacement plan'!$F$12="",INDEX(Products!$E$7:$E$13,MATCH('Replacement plan'!$B$12,Products!$A$7:$A$13,0)),'Replacement plan'!$F$12)/IF('Replacement plan'!$G$12="Battery",1-'Operating costs'!$B$44,1),0)),"n.a.")</f>
        <v>0</v>
      </c>
      <c r="V28" s="1">
        <f>IFERROR(IF(C28=0,0,IF(D28="EV",IF('Replacement plan'!$E$12="",INDEX(Products!$D$7:$D$13,MATCH('Replacement plan'!$B$12,Products!$A$7:$A$13,0)),'Replacement plan'!$E$12),0)),"n.a.")</f>
        <v>0</v>
      </c>
      <c r="W28" s="1">
        <f>IF(C28=0,0,IF(AND(P28="Complete",D28="EV",E28&lt;120),IF(T28=0,0,ROUNDUP(T28*(R28-'Operating costs'!$B$41)*(S28*U28+'Operating costs'!$B$48/(1-'Operating costs'!$B$44))/(V28*'Operating costs'!$B$47/(1-'Operating costs'!$B$44)-T28*'Operating costs'!$B$12*U28),0)),0))</f>
        <v>0</v>
      </c>
      <c r="X28" s="1">
        <f>IF(C28=0,0,IF(AND(P28="Complete",D28="EV",E28&lt;120),(R28-'Operating costs'!$B$41)*(S28*U28+'Operating costs'!$B$48/(1-'Operating costs'!$B$44))+W28*'Operating costs'!$B$12*U28,0))</f>
        <v>0</v>
      </c>
      <c r="Y28" s="1">
        <f>IF(AND(C28=1,D28="EV",E28&lt;120),AI28/(1-'Operating costs'!$B$44)*(1-T28),0)</f>
        <v>0</v>
      </c>
      <c r="Z28" s="1">
        <f t="shared" si="0"/>
        <v>0</v>
      </c>
      <c r="AA28" s="1">
        <f>IF(C28=0,0,IF(P28="Complete",((S28*(R28-'Operating costs'!$B$40))+ROUNDUP(S28*(R28-'Operating costs'!$B$40)*IF('Replacement plan'!$AH$12="",'Operating costs'!$B$7,'Replacement plan'!$AH$12)/('Operating costs'!$B$8-'Operating costs'!$B$9*IF('Replacement plan'!$AH$12="",'Operating costs'!$B$7,'Replacement plan'!$AH$12)),0)*'Operating costs'!$B$9)*IF('Replacement plan'!$AH$12="",'Operating costs'!$B$7,'Replacement plan'!$AH$12),"n.a."))</f>
        <v>4522.8</v>
      </c>
      <c r="AB28" s="1">
        <f t="shared" si="1"/>
        <v>0</v>
      </c>
      <c r="AC28" s="1">
        <f>IF(AND(C28=1,D28="EV",E28&lt;120,T28&gt;0),'Operating costs'!$B$12/'Operating costs'!$B$11*60+'Operating costs'!$B$13+'Operating costs'!$B$14+V28*'Operating costs'!$B$47/(1-'Operating costs'!$B$44)/'Replacement plan'!$L$12*60,0)</f>
        <v>0</v>
      </c>
      <c r="AD28" s="1" t="str">
        <f>'Replacement plan'!$B$12</f>
        <v>ChengLong L2EV</v>
      </c>
      <c r="AE28" s="1">
        <f>IF(C28=0,0,VLOOKUP($A28,'Fleet register'!$A$7:$S$106,8,FALSE))</f>
        <v>1200</v>
      </c>
      <c r="AF28" s="1" t="str">
        <f>IF('Replacement plan'!$H$12="","n.a.",'Replacement plan'!$H$12)</f>
        <v>n.a.</v>
      </c>
      <c r="AG28" s="1">
        <f>'Replacement plan'!$J$12</f>
        <v>22</v>
      </c>
      <c r="AH28" s="1">
        <f>IFERROR(IF(D28="EV",IF('Replacement plan'!$K$12="AC",IF(ISNUMBER(INDEX(Products!$G$7:$G$13,MATCH('Replacement plan'!$B$12,Products!$A$7:$A$13,0))),INDEX(Products!$G$7:$G$13,MATCH('Replacement plan'!$B$12,Products!$A$7:$A$13,0)),"n.a."),IF(ISNUMBER(INDEX(Products!$H$7:$H$13,MATCH('Replacement plan'!$B$12,Products!$A$7:$A$13,0))),INDEX(Products!$H$7:$H$13,MATCH('Replacement plan'!$B$12,Products!$A$7:$A$13,0)),"n.a.")),0),"n.a.")</f>
        <v>0</v>
      </c>
      <c r="AI28" s="1">
        <f>IF(AND(C28=1,D28="EV",E28&lt;120),(VLOOKUP($A28,'Fleet register'!$A$7:$S$106,7,FALSE)+IF(T28&gt;0,'Operating costs'!$B$12,0))*U28*(1-'Operating costs'!$B$44)+'Operating costs'!$B$49,0)</f>
        <v>0</v>
      </c>
      <c r="AJ28" s="1">
        <f>IF(D28="EV",'Energy and charging'!$B$50,0)</f>
        <v>0</v>
      </c>
      <c r="AK28" s="17">
        <f>EDATE('Operating costs'!$B$63,E28)</f>
        <v>46298</v>
      </c>
      <c r="AL28" s="1">
        <f>IFERROR(IF(D28="EV",INDEX(Products!$B$7:$B$13,MATCH('Replacement plan'!$B$12,Products!$A$7:$A$13,0)),0),"n.a.")</f>
        <v>0</v>
      </c>
      <c r="AM28" s="1" t="str">
        <f>'Replacement plan'!$K$12</f>
        <v>DC</v>
      </c>
      <c r="AN28" s="1" t="str">
        <f>'Replacement plan'!$AE$12</f>
        <v>Assumed</v>
      </c>
      <c r="AO28" s="47">
        <f>IF(AND(C28=1,D28="EV",E28&lt;120),(R28-'Operating costs'!$B$41)*S28+W28*'Operating costs'!$B$12,0)</f>
        <v>0</v>
      </c>
      <c r="AP28" s="41">
        <f>IF(AND(C28=1,D28="EV",E28&lt;120),IF('Operating costs'!$B$68="Hong Seh 200k average",AO28*IFERROR(INDEX(Products!$P$7:$P$13,MATCH(AD28,Products!$A$7:$A$13,0)),"n.a."),'Operating costs'!$B$26),0)</f>
        <v>0</v>
      </c>
      <c r="AQ28" s="40" t="str">
        <f>IF(D28="EV",'Operating costs'!$B$68,"Not applicable")</f>
        <v>Not applicable</v>
      </c>
    </row>
    <row r="29" spans="1:43" ht="24" customHeight="1">
      <c r="A29" s="1" t="str">
        <f>'Replacement plan'!A12</f>
        <v>T006</v>
      </c>
      <c r="B29" s="1">
        <v>2</v>
      </c>
      <c r="C29" s="1">
        <f>IF(COUNTIFS('Fleet register'!$A$7:$A$106,$A29)=1,VLOOKUP($A29,'Fleet register'!$A$7:$S$106,2,FALSE),0)</f>
        <v>1</v>
      </c>
      <c r="D29" s="1" t="str">
        <f>IF('Replacement plan'!$O$12="EV","EV","ICE")</f>
        <v>ICE</v>
      </c>
      <c r="E29" s="1">
        <f>IF(C29=0,0,IF('Replacement plan'!$P$12="",IF('Replacement plan'!$O$12="Keep ICE",IF('Replacement plan'!$M$12="",VLOOKUP($A29,'Fleet register'!$A$7:$S$106,10,FALSE),'Replacement plan'!$M$12),0),'Replacement plan'!$P$12))</f>
        <v>72</v>
      </c>
      <c r="F29" s="16">
        <f>IF(C29=0,0,VLOOKUP($A29,'Fleet register'!$A$7:$S$106,11,FALSE))</f>
        <v>54000</v>
      </c>
      <c r="G29" s="16">
        <f>IFERROR(IF(C29=0,0,IF(E29=120,0,IF(D29="ICE",'Replacement plan'!$C$12,IF('Replacement plan'!$D$12="",INDEX(Products!$I$7:$I$13,MATCH('Replacement plan'!$B$12,Products!$A$7:$A$13,0))+'Operating costs'!$B$57,'Replacement plan'!$D$12))*(1+'Operating costs'!$B$50)^(E29/12))),"n.a.")</f>
        <v>181000</v>
      </c>
      <c r="H29" s="16">
        <f>IFERROR(IF(C29=0,0,IF('Replacement plan'!$U$12&lt;&gt;"",'Replacement plan'!$U$12,IF(E29=0,F29,VLOOKUP($A29,'Fleet register'!$A$7:$S$106,12,FALSE)+VLOOKUP($A29,'Fleet register'!$A$7:$S$106,13,FALSE)*MAX(0,VLOOKUP($A29,'Fleet register'!$A$7:$S$106,10,FALSE)-E29)/VLOOKUP($A29,'Fleet register'!$A$7:$S$106,14,FALSE)))),"n.a.")</f>
        <v>10000</v>
      </c>
      <c r="I29" s="16">
        <f>IF(C29=0,0,IF(E29=120,0,'Replacement plan'!$Q$12))</f>
        <v>67800</v>
      </c>
      <c r="J29" s="16">
        <f>IF(C29=0,0,IF(P29="Complete",((S29*(R29-'Operating costs'!$B$39))+ROUNDUP(S29*(R29-'Operating costs'!$B$39)*IF('Replacement plan'!$AG$12="",'Operating costs'!$B$7,'Replacement plan'!$AG$12)/('Operating costs'!$B$8-'Operating costs'!$B$9*IF('Replacement plan'!$AG$12="",'Operating costs'!$B$7,'Replacement plan'!$AG$12)),0)*'Operating costs'!$B$9)*IF('Replacement plan'!$AG$12="",'Operating costs'!$B$7,'Replacement plan'!$AG$12)*('Energy and charging'!$B$9*'Energy and charging'!$B$7+(1-'Energy and charging'!$B$9)*'Energy and charging'!$B$8)*'Operating costs'!$B$23,"n.a."))</f>
        <v>9045.6</v>
      </c>
      <c r="K29" s="16">
        <f>IF(C29=0,0,IF(P29="Complete",SUM('Operating costs'!$B$24,'Operating costs'!$B$27,'Operating costs'!$B$29,'Operating costs'!$B$31,'Operating costs'!$B$33,'Operating costs'!$B$34,'Operating costs'!$B$37,'Replacement plan'!$W$12)+'Operating costs'!$B$39*'Operating costs'!$B$42+ROUNDUP(S29*(R29-'Operating costs'!$B$39)*IF('Replacement plan'!$AG$12="",'Operating costs'!$B$7,'Replacement plan'!$AG$12)/('Operating costs'!$B$8-'Operating costs'!$B$9*IF('Replacement plan'!$AG$12="",'Operating costs'!$B$7,'Replacement plan'!$AG$12)),0)*('Operating costs'!$B$9/'Operating costs'!$B$11+'Operating costs'!$B$10/60)*'Operating costs'!$B$19*'Operating costs'!$B$21,"n.a."))</f>
        <v>9105.75</v>
      </c>
      <c r="L29" s="16">
        <f>IF(C29=0,0,IF(P29="Complete",IF(D29="EV",X29*((1-T29)*'Energy and charging'!$B$10+T29*'Energy and charging'!$B$11)*'Operating costs'!$B$22,AA29*('Energy and charging'!$B$9*'Energy and charging'!$B$7+(1-'Energy and charging'!$B$9)*'Energy and charging'!$B$8)*'Operating costs'!$B$23),"n.a."))</f>
        <v>9045.6</v>
      </c>
      <c r="M29" s="37">
        <f>IF(C29=0,0,IF(P29="Complete",IF(D29="ICE",SUM('Operating costs'!$B$25,'Operating costs'!$B$27,'Operating costs'!$B$29,'Operating costs'!$B$31,'Operating costs'!$B$33,'Operating costs'!$B$35,'Operating costs'!$B$37,'Replacement plan'!$X$12)+'Operating costs'!$B$40*'Operating costs'!$B$42+ROUNDUP(S29*(R29-'Operating costs'!$B$40)*IF('Replacement plan'!$AH$12="",'Operating costs'!$B$7,'Replacement plan'!$AH$12)/('Operating costs'!$B$8-'Operating costs'!$B$9*IF('Replacement plan'!$AH$12="",'Operating costs'!$B$7,'Replacement plan'!$AH$12)),0)*('Operating costs'!$B$9/'Operating costs'!$B$11+'Operating costs'!$B$10/60)*'Operating costs'!$B$19*'Operating costs'!$B$21,SUM(AP29,'Operating costs'!$B$28,'Operating costs'!$B$30,'Operating costs'!$B$32,'Operating costs'!$B$33,'Operating costs'!$B$36,'Operating costs'!$B$38,'Replacement plan'!$Y$12)+'Operating costs'!$B$41*'Operating costs'!$B$43+W29*'Operating costs'!$B$15+(T29*X29/'Replacement plan'!$L$12+W29*('Operating costs'!$B$12/'Operating costs'!$B$11+('Operating costs'!$B$13+'Operating costs'!$B$14)/60)+(R29-'Operating costs'!$B$41)*(IF(T29&lt;1,'Operating costs'!$B$16,0)+'Operating costs'!$B$17)/60)*'Operating costs'!$B$19*'Operating costs'!$B$20),"n.a."))</f>
        <v>9105.75</v>
      </c>
      <c r="N29" s="16">
        <f>IF(AND(C29=1,D29="EV",E29&lt;120,E29+'Replacement plan'!$AA$12&lt;=120),'Replacement plan'!$Z$12,0)</f>
        <v>0</v>
      </c>
      <c r="O29" s="1">
        <f>E29+'Replacement plan'!$AA$12</f>
        <v>72</v>
      </c>
      <c r="P29" s="35" t="str">
        <f>IFERROR(IF(C29=0,"Excluded",IF(OR(COUNTIFS('Fleet register'!$A$7:$A$106,A29)&lt;&gt;1,COUNTIFS('Replacement plan'!$A$7:$A$106,A29)&lt;&gt;1),"Duplicate/missing ID",IF(NOT(AND(ISNUMBER(VLOOKUP($A29,'Fleet register'!$A$7:$S$106,5,FALSE)),ISNUMBER(VLOOKUP($A29,'Fleet register'!$A$7:$S$106,6,FALSE)),ISNUMBER(VLOOKUP($A29,'Fleet register'!$A$7:$S$106,10,FALSE)),ISNUMBER(VLOOKUP($A29,'Fleet register'!$A$7:$S$106,11,FALSE)),ISNUMBER(VLOOKUP($A29,'Fleet register'!$A$7:$S$106,12,FALSE)),ISNUMBER(VLOOKUP($A29,'Fleet register'!$A$7:$S$106,13,FALSE)),ISNUMBER(VLOOKUP($A29,'Fleet register'!$A$7:$S$106,14,FALSE)),VLOOKUP($A29,'Fleet register'!$A$7:$S$106,14,FALSE)&gt;0,ISNUMBER('Replacement plan'!$C$12),OR(E29=120,ISNUMBER('Replacement plan'!$Q$12)),ISNUMBER(E29))),"Missing vehicle input",IF(OR(E29&lt;0,E29&gt;VLOOKUP($A29,'Fleet register'!$A$7:$S$106,10,FALSE),E29&gt;120,E29&lt;&gt;INT(E29),VLOOKUP($A29,'Fleet register'!$A$7:$S$106,6,FALSE)&lt;=0,VLOOKUP($A29,'Fleet register'!$A$7:$S$106,6,FALSE)&gt;366,VLOOKUP($A29,'Fleet register'!$A$7:$S$106,5,FALSE)&lt;0,VLOOKUP($A29,'Fleet register'!$A$7:$S$106,11,FALSE)&lt;0,I29&lt;0,'Operating costs'!$B$8&lt;='Operating costs'!$B$7*'Operating costs'!$B$9,'Operating costs'!$B$11&lt;=0,'Operating costs'!$B$39&gt;R29,'Operating costs'!$B$40&gt;R29,'Operating costs'!$B$41&gt;R29,NOT(OR('Replacement plan'!$O$12="Keep ICE",'Replacement plan'!$O$12="New ICE",'Replacement plan'!$O$12="EV"))),"Invalid vehicle input",IF(AND(D29="EV",E29&lt;120,OR(NOT(ISNUMBER(U29)),NOT(ISNUMBER(V29)),V29&lt;=0,T29&lt;0,T29&gt;1,'Replacement plan'!$L$12&lt;=0,'Operating costs'!$B$44&lt;0,'Operating costs'!$B$44&gt;=1,'Operating costs'!$B$47&lt;=0,'Operating costs'!$B$47&gt;1,V29*'Operating costs'!$B$47/(1-'Operating costs'!$B$44)&lt;=T29*'Operating costs'!$B$12*U29,AND('Replacement plan'!$Z$12&gt;0,OR('Replacement plan'!$AB$12&lt;&gt;"Yes",'Operating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charging'!$B$8&gt;=0))),ISNUMBER(VLOOKUP($A29,'Fleet register'!$A$7:$S$106,15,FALSE)),ISNUMBER(VLOOKUP($A29,'Fleet register'!$A$7:$S$106,16,FALSE)),ISNUMBER('Replacement plan'!$W$12),ISNUMBER('Replacement plan'!$X$12),OR(E29=120,AND(ISNUMBER(G29),G29&gt;=0)),ISNUMBER(H29),H29&gt;=0,OR(D29&lt;&gt;"EV",E29=120,AND(ISNUMBER('Operating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plan'!$Y$12),ISNUMBER('Replacement plan'!$Z$12),'Replacement plan'!$Z$12&gt;=0,ISNUMBER('Replacement plan'!$AA$12),'Replacement plan'!$AA$12&gt;=0,'Replacement plan'!$AA$12=INT('Replacement plan'!$AA$12),ISNUMBER('Replacement plan'!$L$12))),'Operating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plan'!$AG$12="",'Operating costs'!$B$7,'Replacement plan'!$AG$12)),IF('Replacement plan'!$AG$12="",'Operating costs'!$B$7,'Replacement plan'!$AG$12)&gt;=0,ISNUMBER(IF('Replacement plan'!$AH$12="",'Operating costs'!$B$7,'Replacement plan'!$AH$12)),IF('Replacement plan'!$AH$12="",'Operating costs'!$B$7,'Replacement plan'!$AH$12)&gt;=0,'Operating costs'!$B$8&gt;MAX(IF('Replacement plan'!$AG$12="",'Operating costs'!$B$7,'Replacement plan'!$AG$12),IF('Replacement plan'!$AH$12="",'Operating costs'!$B$7,'Replacement plan'!$AH$12))*'Operating costs'!$B$9),IF(AND(VLOOKUP($A29,'Fleet register'!$A$7:$S$106,10,FALSE)&gt;=0,VLOOKUP($A29,'Fleet register'!$A$7:$S$106,10,FALSE)&lt;=120,VLOOKUP($A29,'Fleet register'!$A$7:$S$106,10,FALSE)=INT(VLOOKUP($A29,'Fleet register'!$A$7:$S$106,10,FALSE)),VLOOKUP($A29,'Fleet register'!$A$7:$S$106,15,FALSE)&gt;=0,VLOOKUP($A29,'Fleet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costs'!$B$67)&gt;=0,OR(D29&lt;&gt;"EV",E29=120,AND(MIN('Operating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Complete</v>
      </c>
      <c r="Q29" s="1" t="str">
        <f>IF(C29=0,"Excluded",IF(P29&lt;&gt;"Complete",P29,IF(OR('Replacement plan'!$AD$12&lt;120-E29,AND(D29="EV",E29&lt;120,OR('Replacement plan'!$AC$12&lt;120-E29,'Replacement plan'!$I$12="No",AND(ISNUMBER(AF29),AE29&gt;AF29),AI29&gt;V29*(1-'Operating costs'!$B$46)^MAX(0,AB29-1)*(1-'Operating costs'!$B$45),AC29&gt;'Operating costs'!$B$18,AND(T29&lt;1,OR(AG29&lt;=0,AND(ISNUMBER(AH29),AG29&gt;AH29))),'Replacement plan'!$L$12&gt;INDEX(Products!$H$7:$H$13,MATCH('Replacement plan'!$B$12,Products!$A$7:$A$13,0))))),"Fails entered limits",IF(AND(D29="EV",E29&lt;120,OR(NOT(ISNUMBER(VLOOKUP($A29,'Fleet register'!$A$7:$S$106,7,FALSE))),NOT(ISNUMBER(VLOOKUP($A29,'Fleet register'!$A$7:$S$106,8,FALSE))),NOT(ISNUMBER(AF29)),'Replacement plan'!$I$12&lt;&gt;"Yes",NOT(ISNUMBER(AH29)),'Operating costs'!$B$59&lt;&gt;"Yes",'Operating costs'!$B$58&lt;&gt;"Yes")),"Unverified","Within entered limits"))))</f>
        <v>Within entered limits</v>
      </c>
      <c r="R29" s="1">
        <f>IF(C29=0,0,VLOOKUP($A29,'Fleet register'!$A$7:$S$106,6,FALSE))</f>
        <v>300</v>
      </c>
      <c r="S29" s="1">
        <f>IF(C29=0,0,VLOOKUP($A29,'Fleet register'!$A$7:$S$106,5,FALSE))</f>
        <v>150</v>
      </c>
      <c r="T29" s="1">
        <f>IF(D29="EV",'Energy and charging'!$B$12,0)</f>
        <v>0</v>
      </c>
      <c r="U29" s="1">
        <f>IFERROR(IF(C29=0,0,IF(D29="EV",IF('Replacement plan'!$F$12="",INDEX(Products!$E$7:$E$13,MATCH('Replacement plan'!$B$12,Products!$A$7:$A$13,0)),'Replacement plan'!$F$12)/IF('Replacement plan'!$G$12="Battery",1-'Operating costs'!$B$44,1),0)),"n.a.")</f>
        <v>0</v>
      </c>
      <c r="V29" s="1">
        <f>IFERROR(IF(C29=0,0,IF(D29="EV",IF('Replacement plan'!$E$12="",INDEX(Products!$D$7:$D$13,MATCH('Replacement plan'!$B$12,Products!$A$7:$A$13,0)),'Replacement plan'!$E$12),0)),"n.a.")</f>
        <v>0</v>
      </c>
      <c r="W29" s="1">
        <f>IF(C29=0,0,IF(AND(P29="Complete",D29="EV",E29&lt;120),IF(T29=0,0,ROUNDUP(T29*(R29-'Operating costs'!$B$41)*(S29*U29+'Operating costs'!$B$48/(1-'Operating costs'!$B$44))/(V29*'Operating costs'!$B$47/(1-'Operating costs'!$B$44)-T29*'Operating costs'!$B$12*U29),0)),0))</f>
        <v>0</v>
      </c>
      <c r="X29" s="1">
        <f>IF(C29=0,0,IF(AND(P29="Complete",D29="EV",E29&lt;120),(R29-'Operating costs'!$B$41)*(S29*U29+'Operating costs'!$B$48/(1-'Operating costs'!$B$44))+W29*'Operating costs'!$B$12*U29,0))</f>
        <v>0</v>
      </c>
      <c r="Y29" s="1">
        <f>IF(AND(C29=1,D29="EV",E29&lt;120),AI29/(1-'Operating costs'!$B$44)*(1-T29),0)</f>
        <v>0</v>
      </c>
      <c r="Z29" s="1">
        <f t="shared" si="0"/>
        <v>0</v>
      </c>
      <c r="AA29" s="1">
        <f>IF(C29=0,0,IF(P29="Complete",((S29*(R29-'Operating costs'!$B$40))+ROUNDUP(S29*(R29-'Operating costs'!$B$40)*IF('Replacement plan'!$AH$12="",'Operating costs'!$B$7,'Replacement plan'!$AH$12)/('Operating costs'!$B$8-'Operating costs'!$B$9*IF('Replacement plan'!$AH$12="",'Operating costs'!$B$7,'Replacement plan'!$AH$12)),0)*'Operating costs'!$B$9)*IF('Replacement plan'!$AH$12="",'Operating costs'!$B$7,'Replacement plan'!$AH$12),"n.a."))</f>
        <v>4522.8</v>
      </c>
      <c r="AB29" s="1">
        <f t="shared" si="1"/>
        <v>0</v>
      </c>
      <c r="AC29" s="1">
        <f>IF(AND(C29=1,D29="EV",E29&lt;120,T29&gt;0),'Operating costs'!$B$12/'Operating costs'!$B$11*60+'Operating costs'!$B$13+'Operating costs'!$B$14+V29*'Operating costs'!$B$47/(1-'Operating costs'!$B$44)/'Replacement plan'!$L$12*60,0)</f>
        <v>0</v>
      </c>
      <c r="AD29" s="1" t="str">
        <f>'Replacement plan'!$B$12</f>
        <v>ChengLong L2EV</v>
      </c>
      <c r="AE29" s="1">
        <f>IF(C29=0,0,VLOOKUP($A29,'Fleet register'!$A$7:$S$106,8,FALSE))</f>
        <v>1200</v>
      </c>
      <c r="AF29" s="1" t="str">
        <f>IF('Replacement plan'!$H$12="","n.a.",'Replacement plan'!$H$12)</f>
        <v>n.a.</v>
      </c>
      <c r="AG29" s="1">
        <f>'Replacement plan'!$J$12</f>
        <v>22</v>
      </c>
      <c r="AH29" s="1">
        <f>IFERROR(IF(D29="EV",IF('Replacement plan'!$K$12="AC",IF(ISNUMBER(INDEX(Products!$G$7:$G$13,MATCH('Replacement plan'!$B$12,Products!$A$7:$A$13,0))),INDEX(Products!$G$7:$G$13,MATCH('Replacement plan'!$B$12,Products!$A$7:$A$13,0)),"n.a."),IF(ISNUMBER(INDEX(Products!$H$7:$H$13,MATCH('Replacement plan'!$B$12,Products!$A$7:$A$13,0))),INDEX(Products!$H$7:$H$13,MATCH('Replacement plan'!$B$12,Products!$A$7:$A$13,0)),"n.a.")),0),"n.a.")</f>
        <v>0</v>
      </c>
      <c r="AI29" s="1">
        <f>IF(AND(C29=1,D29="EV",E29&lt;120),(VLOOKUP($A29,'Fleet register'!$A$7:$S$106,7,FALSE)+IF(T29&gt;0,'Operating costs'!$B$12,0))*U29*(1-'Operating costs'!$B$44)+'Operating costs'!$B$49,0)</f>
        <v>0</v>
      </c>
      <c r="AJ29" s="1">
        <f>IF(D29="EV",'Energy and charging'!$B$50,0)</f>
        <v>0</v>
      </c>
      <c r="AK29" s="17">
        <f>EDATE('Operating costs'!$B$63,E29)</f>
        <v>48490</v>
      </c>
      <c r="AL29" s="1">
        <f>IFERROR(IF(D29="EV",INDEX(Products!$B$7:$B$13,MATCH('Replacement plan'!$B$12,Products!$A$7:$A$13,0)),0),"n.a.")</f>
        <v>0</v>
      </c>
      <c r="AM29" s="1" t="str">
        <f>'Replacement plan'!$K$12</f>
        <v>DC</v>
      </c>
      <c r="AN29" s="1" t="str">
        <f>'Replacement plan'!$AE$12</f>
        <v>Assumed</v>
      </c>
      <c r="AO29" s="47">
        <f>IF(AND(C29=1,D29="EV",E29&lt;120),(R29-'Operating costs'!$B$41)*S29+W29*'Operating costs'!$B$12,0)</f>
        <v>0</v>
      </c>
      <c r="AP29" s="41">
        <f>IF(AND(C29=1,D29="EV",E29&lt;120),IF('Operating costs'!$B$68="Hong Seh 200k average",AO29*IFERROR(INDEX(Products!$P$7:$P$13,MATCH(AD29,Products!$A$7:$A$13,0)),"n.a."),'Operating costs'!$B$26),0)</f>
        <v>0</v>
      </c>
      <c r="AQ29" s="40" t="str">
        <f>IF(D29="EV",'Operating costs'!$B$68,"Not applicable")</f>
        <v>Not applicable</v>
      </c>
    </row>
    <row r="30" spans="1:43" ht="24" customHeight="1">
      <c r="A30" s="1" t="str">
        <f>'Replacement plan'!A12</f>
        <v>T006</v>
      </c>
      <c r="B30" s="1">
        <v>3</v>
      </c>
      <c r="C30" s="1">
        <f>IF(COUNTIFS('Fleet register'!$A$7:$A$106,$A30)=1,VLOOKUP($A30,'Fleet register'!$A$7:$S$106,2,FALSE),0)</f>
        <v>1</v>
      </c>
      <c r="D30" s="1" t="str">
        <f>IF('Replacement plan'!$R$12="EV","EV","ICE")</f>
        <v>ICE</v>
      </c>
      <c r="E30" s="1">
        <f>IF(C30=0,0,IF('Replacement plan'!$S$12="",IF('Replacement plan'!$R$12="Keep ICE",IF('Replacement plan'!$M$12="",VLOOKUP($A30,'Fleet register'!$A$7:$S$106,10,FALSE),'Replacement plan'!$M$12),0),'Replacement plan'!$S$12))</f>
        <v>72</v>
      </c>
      <c r="F30" s="16">
        <f>IF(C30=0,0,VLOOKUP($A30,'Fleet register'!$A$7:$S$106,11,FALSE))</f>
        <v>54000</v>
      </c>
      <c r="G30" s="16">
        <f>IFERROR(IF(C30=0,0,IF(E30=120,0,IF(D30="ICE",'Replacement plan'!$C$12,IF('Replacement plan'!$D$12="",INDEX(Products!$I$7:$I$13,MATCH('Replacement plan'!$B$12,Products!$A$7:$A$13,0))+'Operating costs'!$B$57,'Replacement plan'!$D$12))*(1+'Operating costs'!$B$50)^(E30/12))),"n.a.")</f>
        <v>181000</v>
      </c>
      <c r="H30" s="16">
        <f>IFERROR(IF(C30=0,0,IF('Replacement plan'!$V$12&lt;&gt;"",'Replacement plan'!$V$12,IF(E30=0,F30,VLOOKUP($A30,'Fleet register'!$A$7:$S$106,12,FALSE)+VLOOKUP($A30,'Fleet register'!$A$7:$S$106,13,FALSE)*MAX(0,VLOOKUP($A30,'Fleet register'!$A$7:$S$106,10,FALSE)-E30)/VLOOKUP($A30,'Fleet register'!$A$7:$S$106,14,FALSE)))),"n.a.")</f>
        <v>10000</v>
      </c>
      <c r="I30" s="16">
        <f>IF(C30=0,0,IF(E30=120,0,'Replacement plan'!$T$12))</f>
        <v>67800</v>
      </c>
      <c r="J30" s="16">
        <f>IF(C30=0,0,IF(P30="Complete",((S30*(R30-'Operating costs'!$B$39))+ROUNDUP(S30*(R30-'Operating costs'!$B$39)*IF('Replacement plan'!$AG$12="",'Operating costs'!$B$7,'Replacement plan'!$AG$12)/('Operating costs'!$B$8-'Operating costs'!$B$9*IF('Replacement plan'!$AG$12="",'Operating costs'!$B$7,'Replacement plan'!$AG$12)),0)*'Operating costs'!$B$9)*IF('Replacement plan'!$AG$12="",'Operating costs'!$B$7,'Replacement plan'!$AG$12)*('Energy and charging'!$C$9*'Energy and charging'!$C$7+(1-'Energy and charging'!$C$9)*'Energy and charging'!$C$8)*'Operating costs'!$B$23,"n.a."))</f>
        <v>9045.6</v>
      </c>
      <c r="K30" s="16">
        <f>IF(C30=0,0,IF(P30="Complete",SUM('Operating costs'!$B$24,'Operating costs'!$B$27,'Operating costs'!$B$29,'Operating costs'!$B$31,'Operating costs'!$B$33,'Operating costs'!$B$34,'Operating costs'!$B$37,'Replacement plan'!$W$12)+'Operating costs'!$B$39*'Operating costs'!$B$42+ROUNDUP(S30*(R30-'Operating costs'!$B$39)*IF('Replacement plan'!$AG$12="",'Operating costs'!$B$7,'Replacement plan'!$AG$12)/('Operating costs'!$B$8-'Operating costs'!$B$9*IF('Replacement plan'!$AG$12="",'Operating costs'!$B$7,'Replacement plan'!$AG$12)),0)*('Operating costs'!$B$9/'Operating costs'!$B$11+'Operating costs'!$B$10/60)*'Operating costs'!$B$19*'Operating costs'!$B$21,"n.a."))</f>
        <v>9105.75</v>
      </c>
      <c r="L30" s="16">
        <f>IF(C30=0,0,IF(P30="Complete",IF(D30="EV",X30*((1-T30)*'Energy and charging'!$C$10+T30*'Energy and charging'!$C$11)*'Operating costs'!$B$22,AA30*('Energy and charging'!$C$9*'Energy and charging'!$C$7+(1-'Energy and charging'!$C$9)*'Energy and charging'!$C$8)*'Operating costs'!$B$23),"n.a."))</f>
        <v>9045.6</v>
      </c>
      <c r="M30" s="37">
        <f>IF(C30=0,0,IF(P30="Complete",IF(D30="ICE",SUM('Operating costs'!$B$25,'Operating costs'!$B$27,'Operating costs'!$B$29,'Operating costs'!$B$31,'Operating costs'!$B$33,'Operating costs'!$B$35,'Operating costs'!$B$37,'Replacement plan'!$X$12)+'Operating costs'!$B$40*'Operating costs'!$B$42+ROUNDUP(S30*(R30-'Operating costs'!$B$40)*IF('Replacement plan'!$AH$12="",'Operating costs'!$B$7,'Replacement plan'!$AH$12)/('Operating costs'!$B$8-'Operating costs'!$B$9*IF('Replacement plan'!$AH$12="",'Operating costs'!$B$7,'Replacement plan'!$AH$12)),0)*('Operating costs'!$B$9/'Operating costs'!$B$11+'Operating costs'!$B$10/60)*'Operating costs'!$B$19*'Operating costs'!$B$21,SUM(AP30,'Operating costs'!$B$28,'Operating costs'!$B$30,'Operating costs'!$B$32,'Operating costs'!$B$33,'Operating costs'!$B$36,'Operating costs'!$B$38,'Replacement plan'!$Y$12)+'Operating costs'!$B$41*'Operating costs'!$B$43+W30*'Operating costs'!$B$15+(T30*X30/'Replacement plan'!$L$12+W30*('Operating costs'!$B$12/'Operating costs'!$B$11+('Operating costs'!$B$13+'Operating costs'!$B$14)/60)+(R30-'Operating costs'!$B$41)*(IF(T30&lt;1,'Operating costs'!$B$16,0)+'Operating costs'!$B$17)/60)*'Operating costs'!$B$19*'Operating costs'!$B$20),"n.a."))</f>
        <v>9105.75</v>
      </c>
      <c r="N30" s="16">
        <f>IF(AND(C30=1,D30="EV",E30&lt;120,E30+'Replacement plan'!$AA$12&lt;=120),'Replacement plan'!$Z$12,0)</f>
        <v>0</v>
      </c>
      <c r="O30" s="1">
        <f>E30+'Replacement plan'!$AA$12</f>
        <v>72</v>
      </c>
      <c r="P30" s="35" t="str">
        <f>IFERROR(IF(C30=0,"Excluded",IF(OR(COUNTIFS('Fleet register'!$A$7:$A$106,A30)&lt;&gt;1,COUNTIFS('Replacement plan'!$A$7:$A$106,A30)&lt;&gt;1),"Duplicate/missing ID",IF(NOT(AND(ISNUMBER(VLOOKUP($A30,'Fleet register'!$A$7:$S$106,5,FALSE)),ISNUMBER(VLOOKUP($A30,'Fleet register'!$A$7:$S$106,6,FALSE)),ISNUMBER(VLOOKUP($A30,'Fleet register'!$A$7:$S$106,10,FALSE)),ISNUMBER(VLOOKUP($A30,'Fleet register'!$A$7:$S$106,11,FALSE)),ISNUMBER(VLOOKUP($A30,'Fleet register'!$A$7:$S$106,12,FALSE)),ISNUMBER(VLOOKUP($A30,'Fleet register'!$A$7:$S$106,13,FALSE)),ISNUMBER(VLOOKUP($A30,'Fleet register'!$A$7:$S$106,14,FALSE)),VLOOKUP($A30,'Fleet register'!$A$7:$S$106,14,FALSE)&gt;0,ISNUMBER('Replacement plan'!$C$12),OR(E30=120,ISNUMBER('Replacement plan'!$T$12)),ISNUMBER(E30))),"Missing vehicle input",IF(OR(E30&lt;0,E30&gt;VLOOKUP($A30,'Fleet register'!$A$7:$S$106,10,FALSE),E30&gt;120,E30&lt;&gt;INT(E30),VLOOKUP($A30,'Fleet register'!$A$7:$S$106,6,FALSE)&lt;=0,VLOOKUP($A30,'Fleet register'!$A$7:$S$106,6,FALSE)&gt;366,VLOOKUP($A30,'Fleet register'!$A$7:$S$106,5,FALSE)&lt;0,VLOOKUP($A30,'Fleet register'!$A$7:$S$106,11,FALSE)&lt;0,I30&lt;0,'Operating costs'!$B$8&lt;='Operating costs'!$B$7*'Operating costs'!$B$9,'Operating costs'!$B$11&lt;=0,'Operating costs'!$B$39&gt;R30,'Operating costs'!$B$40&gt;R30,'Operating costs'!$B$41&gt;R30,NOT(OR('Replacement plan'!$R$12="Keep ICE",'Replacement plan'!$R$12="New ICE",'Replacement plan'!$R$12="EV"))),"Invalid vehicle input",IF(AND(D30="EV",E30&lt;120,OR(NOT(ISNUMBER(U30)),NOT(ISNUMBER(V30)),V30&lt;=0,T30&lt;0,T30&gt;1,'Replacement plan'!$L$12&lt;=0,'Operating costs'!$B$44&lt;0,'Operating costs'!$B$44&gt;=1,'Operating costs'!$B$47&lt;=0,'Operating costs'!$B$47&gt;1,V30*'Operating costs'!$B$47/(1-'Operating costs'!$B$44)&lt;=T30*'Operating costs'!$B$12*U30,AND('Replacement plan'!$Z$12&gt;0,OR('Replacement plan'!$AB$12&lt;&gt;"Yes",'Operating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charging'!$C$8&gt;=0))),ISNUMBER(VLOOKUP($A30,'Fleet register'!$A$7:$S$106,15,FALSE)),ISNUMBER(VLOOKUP($A30,'Fleet register'!$A$7:$S$106,16,FALSE)),ISNUMBER('Replacement plan'!$W$12),ISNUMBER('Replacement plan'!$X$12),OR(E30=120,AND(ISNUMBER(G30),G30&gt;=0)),ISNUMBER(H30),H30&gt;=0,OR(D30&lt;&gt;"EV",E30=120,AND(ISNUMBER('Operating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plan'!$Y$12),ISNUMBER('Replacement plan'!$Z$12),'Replacement plan'!$Z$12&gt;=0,ISNUMBER('Replacement plan'!$AA$12),'Replacement plan'!$AA$12&gt;=0,'Replacement plan'!$AA$12=INT('Replacement plan'!$AA$12),ISNUMBER('Replacement plan'!$L$12))),'Operating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plan'!$AG$12="",'Operating costs'!$B$7,'Replacement plan'!$AG$12)),IF('Replacement plan'!$AG$12="",'Operating costs'!$B$7,'Replacement plan'!$AG$12)&gt;=0,ISNUMBER(IF('Replacement plan'!$AH$12="",'Operating costs'!$B$7,'Replacement plan'!$AH$12)),IF('Replacement plan'!$AH$12="",'Operating costs'!$B$7,'Replacement plan'!$AH$12)&gt;=0,'Operating costs'!$B$8&gt;MAX(IF('Replacement plan'!$AG$12="",'Operating costs'!$B$7,'Replacement plan'!$AG$12),IF('Replacement plan'!$AH$12="",'Operating costs'!$B$7,'Replacement plan'!$AH$12))*'Operating costs'!$B$9),IF(AND(VLOOKUP($A30,'Fleet register'!$A$7:$S$106,10,FALSE)&gt;=0,VLOOKUP($A30,'Fleet register'!$A$7:$S$106,10,FALSE)&lt;=120,VLOOKUP($A30,'Fleet register'!$A$7:$S$106,10,FALSE)=INT(VLOOKUP($A30,'Fleet register'!$A$7:$S$106,10,FALSE)),VLOOKUP($A30,'Fleet register'!$A$7:$S$106,15,FALSE)&gt;=0,VLOOKUP($A30,'Fleet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costs'!$B$67)&gt;=0,OR(D30&lt;&gt;"EV",E30=120,AND(MIN('Operating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Complete</v>
      </c>
      <c r="Q30" s="1" t="str">
        <f>IF(C30=0,"Excluded",IF(P30&lt;&gt;"Complete",P30,IF(OR('Replacement plan'!$AD$12&lt;120-E30,AND(D30="EV",E30&lt;120,OR('Replacement plan'!$AC$12&lt;120-E30,'Replacement plan'!$I$12="No",AND(ISNUMBER(AF30),AE30&gt;AF30),AI30&gt;V30*(1-'Operating costs'!$B$46)^MAX(0,AB30-1)*(1-'Operating costs'!$B$45),AC30&gt;'Operating costs'!$B$18,AND(T30&lt;1,OR(AG30&lt;=0,AND(ISNUMBER(AH30),AG30&gt;AH30))),'Replacement plan'!$L$12&gt;INDEX(Products!$H$7:$H$13,MATCH('Replacement plan'!$B$12,Products!$A$7:$A$13,0))))),"Fails entered limits",IF(AND(D30="EV",E30&lt;120,OR(NOT(ISNUMBER(VLOOKUP($A30,'Fleet register'!$A$7:$S$106,7,FALSE))),NOT(ISNUMBER(VLOOKUP($A30,'Fleet register'!$A$7:$S$106,8,FALSE))),NOT(ISNUMBER(AF30)),'Replacement plan'!$I$12&lt;&gt;"Yes",NOT(ISNUMBER(AH30)),'Operating costs'!$B$59&lt;&gt;"Yes",'Operating costs'!$B$58&lt;&gt;"Yes")),"Unverified","Within entered limits"))))</f>
        <v>Within entered limits</v>
      </c>
      <c r="R30" s="1">
        <f>IF(C30=0,0,VLOOKUP($A30,'Fleet register'!$A$7:$S$106,6,FALSE))</f>
        <v>300</v>
      </c>
      <c r="S30" s="1">
        <f>IF(C30=0,0,VLOOKUP($A30,'Fleet register'!$A$7:$S$106,5,FALSE))</f>
        <v>150</v>
      </c>
      <c r="T30" s="1">
        <f>IF(D30="EV",'Energy and charging'!$C$12,0)</f>
        <v>0</v>
      </c>
      <c r="U30" s="1">
        <f>IFERROR(IF(C30=0,0,IF(D30="EV",IF('Replacement plan'!$F$12="",INDEX(Products!$E$7:$E$13,MATCH('Replacement plan'!$B$12,Products!$A$7:$A$13,0)),'Replacement plan'!$F$12)/IF('Replacement plan'!$G$12="Battery",1-'Operating costs'!$B$44,1),0)),"n.a.")</f>
        <v>0</v>
      </c>
      <c r="V30" s="1">
        <f>IFERROR(IF(C30=0,0,IF(D30="EV",IF('Replacement plan'!$E$12="",INDEX(Products!$D$7:$D$13,MATCH('Replacement plan'!$B$12,Products!$A$7:$A$13,0)),'Replacement plan'!$E$12),0)),"n.a.")</f>
        <v>0</v>
      </c>
      <c r="W30" s="1">
        <f>IF(C30=0,0,IF(AND(P30="Complete",D30="EV",E30&lt;120),IF(T30=0,0,ROUNDUP(T30*(R30-'Operating costs'!$B$41)*(S30*U30+'Operating costs'!$B$48/(1-'Operating costs'!$B$44))/(V30*'Operating costs'!$B$47/(1-'Operating costs'!$B$44)-T30*'Operating costs'!$B$12*U30),0)),0))</f>
        <v>0</v>
      </c>
      <c r="X30" s="1">
        <f>IF(C30=0,0,IF(AND(P30="Complete",D30="EV",E30&lt;120),(R30-'Operating costs'!$B$41)*(S30*U30+'Operating costs'!$B$48/(1-'Operating costs'!$B$44))+W30*'Operating costs'!$B$12*U30,0))</f>
        <v>0</v>
      </c>
      <c r="Y30" s="1">
        <f>IF(AND(C30=1,D30="EV",E30&lt;120),AI30/(1-'Operating costs'!$B$44)*(1-T30),0)</f>
        <v>0</v>
      </c>
      <c r="Z30" s="1">
        <f t="shared" si="0"/>
        <v>0</v>
      </c>
      <c r="AA30" s="1">
        <f>IF(C30=0,0,IF(P30="Complete",((S30*(R30-'Operating costs'!$B$40))+ROUNDUP(S30*(R30-'Operating costs'!$B$40)*IF('Replacement plan'!$AH$12="",'Operating costs'!$B$7,'Replacement plan'!$AH$12)/('Operating costs'!$B$8-'Operating costs'!$B$9*IF('Replacement plan'!$AH$12="",'Operating costs'!$B$7,'Replacement plan'!$AH$12)),0)*'Operating costs'!$B$9)*IF('Replacement plan'!$AH$12="",'Operating costs'!$B$7,'Replacement plan'!$AH$12),"n.a."))</f>
        <v>4522.8</v>
      </c>
      <c r="AB30" s="1">
        <f t="shared" si="1"/>
        <v>0</v>
      </c>
      <c r="AC30" s="1">
        <f>IF(AND(C30=1,D30="EV",E30&lt;120,T30&gt;0),'Operating costs'!$B$12/'Operating costs'!$B$11*60+'Operating costs'!$B$13+'Operating costs'!$B$14+V30*'Operating costs'!$B$47/(1-'Operating costs'!$B$44)/'Replacement plan'!$L$12*60,0)</f>
        <v>0</v>
      </c>
      <c r="AD30" s="1" t="str">
        <f>'Replacement plan'!$B$12</f>
        <v>ChengLong L2EV</v>
      </c>
      <c r="AE30" s="1">
        <f>IF(C30=0,0,VLOOKUP($A30,'Fleet register'!$A$7:$S$106,8,FALSE))</f>
        <v>1200</v>
      </c>
      <c r="AF30" s="1" t="str">
        <f>IF('Replacement plan'!$H$12="","n.a.",'Replacement plan'!$H$12)</f>
        <v>n.a.</v>
      </c>
      <c r="AG30" s="1">
        <f>'Replacement plan'!$J$12</f>
        <v>22</v>
      </c>
      <c r="AH30" s="1">
        <f>IFERROR(IF(D30="EV",IF('Replacement plan'!$K$12="AC",IF(ISNUMBER(INDEX(Products!$G$7:$G$13,MATCH('Replacement plan'!$B$12,Products!$A$7:$A$13,0))),INDEX(Products!$G$7:$G$13,MATCH('Replacement plan'!$B$12,Products!$A$7:$A$13,0)),"n.a."),IF(ISNUMBER(INDEX(Products!$H$7:$H$13,MATCH('Replacement plan'!$B$12,Products!$A$7:$A$13,0))),INDEX(Products!$H$7:$H$13,MATCH('Replacement plan'!$B$12,Products!$A$7:$A$13,0)),"n.a.")),0),"n.a.")</f>
        <v>0</v>
      </c>
      <c r="AI30" s="1">
        <f>IF(AND(C30=1,D30="EV",E30&lt;120),(VLOOKUP($A30,'Fleet register'!$A$7:$S$106,7,FALSE)+IF(T30&gt;0,'Operating costs'!$B$12,0))*U30*(1-'Operating costs'!$B$44)+'Operating costs'!$B$49,0)</f>
        <v>0</v>
      </c>
      <c r="AJ30" s="1">
        <f>IF(D30="EV",'Energy and charging'!$C$50,0)</f>
        <v>0</v>
      </c>
      <c r="AK30" s="17">
        <f>EDATE('Operating costs'!$B$63,E30)</f>
        <v>48490</v>
      </c>
      <c r="AL30" s="1">
        <f>IFERROR(IF(D30="EV",INDEX(Products!$B$7:$B$13,MATCH('Replacement plan'!$B$12,Products!$A$7:$A$13,0)),0),"n.a.")</f>
        <v>0</v>
      </c>
      <c r="AM30" s="1" t="str">
        <f>'Replacement plan'!$K$12</f>
        <v>DC</v>
      </c>
      <c r="AN30" s="1" t="str">
        <f>'Replacement plan'!$AE$12</f>
        <v>Assumed</v>
      </c>
      <c r="AO30" s="47">
        <f>IF(AND(C30=1,D30="EV",E30&lt;120),(R30-'Operating costs'!$B$41)*S30+W30*'Operating costs'!$B$12,0)</f>
        <v>0</v>
      </c>
      <c r="AP30" s="41">
        <f>IF(AND(C30=1,D30="EV",E30&lt;120),IF('Operating costs'!$B$68="Hong Seh 200k average",AO30*IFERROR(INDEX(Products!$P$7:$P$13,MATCH(AD30,Products!$A$7:$A$13,0)),"n.a."),'Operating costs'!$B$26),0)</f>
        <v>0</v>
      </c>
      <c r="AQ30" s="40" t="str">
        <f>IF(D30="EV",'Operating costs'!$B$68,"Not applicable")</f>
        <v>Not applicable</v>
      </c>
    </row>
    <row r="31" spans="1:43" ht="24" customHeight="1">
      <c r="A31" s="1" t="str">
        <f>'Replacement plan'!A13</f>
        <v>T007</v>
      </c>
      <c r="B31" s="1">
        <v>0</v>
      </c>
      <c r="C31" s="1">
        <f>IF(COUNTIFS('Fleet register'!$A$7:$A$106,$A31)=1,VLOOKUP($A31,'Fleet register'!$A$7:$S$106,2,FALSE),0)</f>
        <v>0</v>
      </c>
      <c r="D31" s="1" t="str">
        <f>IF("Keep ICE"="EV","EV","ICE")</f>
        <v>ICE</v>
      </c>
      <c r="E31" s="1">
        <f>IF(C31=0,0,IF('Replacement plan'!$M$13="",VLOOKUP($A31,'Fleet register'!$A$7:$S$106,10,FALSE),'Replacement plan'!$M$13))</f>
        <v>0</v>
      </c>
      <c r="F31" s="16">
        <f>IF(C31=0,0,VLOOKUP($A31,'Fleet register'!$A$7:$S$106,11,FALSE))</f>
        <v>0</v>
      </c>
      <c r="G31" s="16">
        <f>IFERROR(IF(C31=0,0,IF(E31=120,0,IF(D31="ICE",'Replacement plan'!$C$13,IF('Replacement plan'!$D$13="",INDEX(Products!$I$7:$I$13,MATCH('Replacement plan'!$B$13,Products!$A$7:$A$13,0))+'Operating costs'!$B$57,'Replacement plan'!$D$13))*(1+'Operating costs'!$B$50)^(E31/12))),"n.a.")</f>
        <v>0</v>
      </c>
      <c r="H31" s="16">
        <f>IFERROR(IF(C31=0,0,IF(E31=0,F31,VLOOKUP($A31,'Fleet register'!$A$7:$S$106,12,FALSE)+VLOOKUP($A31,'Fleet register'!$A$7:$S$106,13,FALSE)*MAX(0,VLOOKUP($A31,'Fleet register'!$A$7:$S$106,10,FALSE)-E31)/VLOOKUP($A31,'Fleet register'!$A$7:$S$106,14,FALSE))),"n.a.")</f>
        <v>0</v>
      </c>
      <c r="I31" s="16">
        <f>IF(C31=0,0,IF(E31=120,0,'Replacement plan'!$N$13))</f>
        <v>0</v>
      </c>
      <c r="J31" s="16">
        <f>IF(C31=0,0,IF(P31="Complete",((S31*(R31-'Operating costs'!$B$39))+ROUNDUP(S31*(R31-'Operating costs'!$B$39)*IF('Replacement plan'!$AG$13="",'Operating costs'!$B$7,'Replacement plan'!$AG$13)/('Operating costs'!$B$8-'Operating costs'!$B$9*IF('Replacement plan'!$AG$13="",'Operating costs'!$B$7,'Replacement plan'!$AG$13)),0)*'Operating costs'!$B$9)*IF('Replacement plan'!$AG$13="",'Operating costs'!$B$7,'Replacement plan'!$AG$13)*('Energy and charging'!$B$9*'Energy and charging'!$B$7+(1-'Energy and charging'!$B$9)*'Energy and charging'!$B$8)*'Operating costs'!$B$23,"n.a."))</f>
        <v>0</v>
      </c>
      <c r="K31" s="16">
        <f>IF(C31=0,0,IF(P31="Complete",SUM('Operating costs'!$B$24,'Operating costs'!$B$27,'Operating costs'!$B$29,'Operating costs'!$B$31,'Operating costs'!$B$33,'Operating costs'!$B$34,'Operating costs'!$B$37,'Replacement plan'!$W$13)+'Operating costs'!$B$39*'Operating costs'!$B$42+ROUNDUP(S31*(R31-'Operating costs'!$B$39)*IF('Replacement plan'!$AG$13="",'Operating costs'!$B$7,'Replacement plan'!$AG$13)/('Operating costs'!$B$8-'Operating costs'!$B$9*IF('Replacement plan'!$AG$13="",'Operating costs'!$B$7,'Replacement plan'!$AG$13)),0)*('Operating costs'!$B$9/'Operating costs'!$B$11+'Operating costs'!$B$10/60)*'Operating costs'!$B$19*'Operating costs'!$B$21,"n.a."))</f>
        <v>0</v>
      </c>
      <c r="L31" s="16">
        <f>IF(C31=0,0,IF(P31="Complete",IF(D31="EV",X31*((1-T31)*'Energy and charging'!$B$10+T31*'Energy and charging'!$B$11)*'Operating costs'!$B$22,AA31*('Energy and charging'!$B$9*'Energy and charging'!$B$7+(1-'Energy and charging'!$B$9)*'Energy and charging'!$B$8)*'Operating costs'!$B$23),"n.a."))</f>
        <v>0</v>
      </c>
      <c r="M31" s="37">
        <f>IF(C31=0,0,IF(P31="Complete",IF(D31="ICE",SUM('Operating costs'!$B$25,'Operating costs'!$B$27,'Operating costs'!$B$29,'Operating costs'!$B$31,'Operating costs'!$B$33,'Operating costs'!$B$35,'Operating costs'!$B$37,'Replacement plan'!$X$13)+'Operating costs'!$B$40*'Operating costs'!$B$42+ROUNDUP(S31*(R31-'Operating costs'!$B$40)*IF('Replacement plan'!$AH$13="",'Operating costs'!$B$7,'Replacement plan'!$AH$13)/('Operating costs'!$B$8-'Operating costs'!$B$9*IF('Replacement plan'!$AH$13="",'Operating costs'!$B$7,'Replacement plan'!$AH$13)),0)*('Operating costs'!$B$9/'Operating costs'!$B$11+'Operating costs'!$B$10/60)*'Operating costs'!$B$19*'Operating costs'!$B$21,SUM(AP31,'Operating costs'!$B$28,'Operating costs'!$B$30,'Operating costs'!$B$32,'Operating costs'!$B$33,'Operating costs'!$B$36,'Operating costs'!$B$38,'Replacement plan'!$Y$13)+'Operating costs'!$B$41*'Operating costs'!$B$43+W31*'Operating costs'!$B$15+(T31*X31/'Replacement plan'!$L$13+W31*('Operating costs'!$B$12/'Operating costs'!$B$11+('Operating costs'!$B$13+'Operating costs'!$B$14)/60)+(R31-'Operating costs'!$B$41)*(IF(T31&lt;1,'Operating costs'!$B$16,0)+'Operating costs'!$B$17)/60)*'Operating costs'!$B$19*'Operating costs'!$B$20),"n.a."))</f>
        <v>0</v>
      </c>
      <c r="N31" s="16">
        <f>IF(AND(C31=1,D31="EV",E31&lt;120,E31+'Replacement plan'!$AA$13&lt;=120),'Replacement plan'!$Z$13,0)</f>
        <v>0</v>
      </c>
      <c r="O31" s="1">
        <f>E31+'Replacement plan'!$AA$13</f>
        <v>0</v>
      </c>
      <c r="P31" s="35" t="str">
        <f>IFERROR(IF(C31=0,"Excluded",IF(OR(COUNTIFS('Fleet register'!$A$7:$A$106,A31)&lt;&gt;1,COUNTIFS('Replacement plan'!$A$7:$A$106,A31)&lt;&gt;1),"Duplicate/missing ID",IF(NOT(AND(ISNUMBER(VLOOKUP($A31,'Fleet register'!$A$7:$S$106,5,FALSE)),ISNUMBER(VLOOKUP($A31,'Fleet register'!$A$7:$S$106,6,FALSE)),ISNUMBER(VLOOKUP($A31,'Fleet register'!$A$7:$S$106,10,FALSE)),ISNUMBER(VLOOKUP($A31,'Fleet register'!$A$7:$S$106,11,FALSE)),ISNUMBER(VLOOKUP($A31,'Fleet register'!$A$7:$S$106,12,FALSE)),ISNUMBER(VLOOKUP($A31,'Fleet register'!$A$7:$S$106,13,FALSE)),ISNUMBER(VLOOKUP($A31,'Fleet register'!$A$7:$S$106,14,FALSE)),VLOOKUP($A31,'Fleet register'!$A$7:$S$106,14,FALSE)&gt;0,ISNUMBER('Replacement plan'!$C$13),OR(E31=120,ISNUMBER('Replacement plan'!$N$13)),ISNUMBER(E31))),"Missing vehicle input",IF(OR(E31&lt;0,E31&gt;VLOOKUP($A31,'Fleet register'!$A$7:$S$106,10,FALSE),E31&gt;120,E31&lt;&gt;INT(E31),VLOOKUP($A31,'Fleet register'!$A$7:$S$106,6,FALSE)&lt;=0,VLOOKUP($A31,'Fleet register'!$A$7:$S$106,6,FALSE)&gt;366,VLOOKUP($A31,'Fleet register'!$A$7:$S$106,5,FALSE)&lt;0,VLOOKUP($A31,'Fleet register'!$A$7:$S$106,11,FALSE)&lt;0,I31&lt;0,'Operating costs'!$B$8&lt;='Operating costs'!$B$7*'Operating costs'!$B$9,'Operating costs'!$B$11&lt;=0,'Operating costs'!$B$39&gt;R31,'Operating costs'!$B$40&gt;R31,'Operating costs'!$B$41&gt;R31,NOT(OR("Keep ICE"="Keep ICE","Keep ICE"="New ICE","Keep ICE"="EV"))),"Invalid vehicle input",IF(AND(D31="EV",E31&lt;120,OR(NOT(ISNUMBER(U31)),NOT(ISNUMBER(V31)),V31&lt;=0,T31&lt;0,T31&gt;1,'Replacement plan'!$L$13&lt;=0,'Operating costs'!$B$44&lt;0,'Operating costs'!$B$44&gt;=1,'Operating costs'!$B$47&lt;=0,'Operating costs'!$B$47&gt;1,V31*'Operating costs'!$B$47/(1-'Operating costs'!$B$44)&lt;=T31*'Operating costs'!$B$12*U31,AND('Replacement plan'!$Z$13&gt;0,OR('Replacement plan'!$AB$13&lt;&gt;"Yes",'Operating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charging'!$B$8&gt;=0))),ISNUMBER(VLOOKUP($A31,'Fleet register'!$A$7:$S$106,15,FALSE)),ISNUMBER(VLOOKUP($A31,'Fleet register'!$A$7:$S$106,16,FALSE)),ISNUMBER('Replacement plan'!$W$13),ISNUMBER('Replacement plan'!$X$13),OR(E31=120,AND(ISNUMBER(G31),G31&gt;=0)),ISNUMBER(H31),H31&gt;=0,OR(D31&lt;&gt;"EV",E31=120,AND(ISNUMBER('Operating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plan'!$Y$13),ISNUMBER('Replacement plan'!$Z$13),'Replacement plan'!$Z$13&gt;=0,ISNUMBER('Replacement plan'!$AA$13),'Replacement plan'!$AA$13&gt;=0,'Replacement plan'!$AA$13=INT('Replacement plan'!$AA$13),ISNUMBER('Replacement plan'!$L$13))),'Operating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plan'!$AG$13="",'Operating costs'!$B$7,'Replacement plan'!$AG$13)),IF('Replacement plan'!$AG$13="",'Operating costs'!$B$7,'Replacement plan'!$AG$13)&gt;=0,ISNUMBER(IF('Replacement plan'!$AH$13="",'Operating costs'!$B$7,'Replacement plan'!$AH$13)),IF('Replacement plan'!$AH$13="",'Operating costs'!$B$7,'Replacement plan'!$AH$13)&gt;=0,'Operating costs'!$B$8&gt;MAX(IF('Replacement plan'!$AG$13="",'Operating costs'!$B$7,'Replacement plan'!$AG$13),IF('Replacement plan'!$AH$13="",'Operating costs'!$B$7,'Replacement plan'!$AH$13))*'Operating costs'!$B$9),IF(AND(VLOOKUP($A31,'Fleet register'!$A$7:$S$106,10,FALSE)&gt;=0,VLOOKUP($A31,'Fleet register'!$A$7:$S$106,10,FALSE)&lt;=120,VLOOKUP($A31,'Fleet register'!$A$7:$S$106,10,FALSE)=INT(VLOOKUP($A31,'Fleet register'!$A$7:$S$106,10,FALSE)),VLOOKUP($A31,'Fleet register'!$A$7:$S$106,15,FALSE)&gt;=0,VLOOKUP($A31,'Fleet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costs'!$B$67)&gt;=0,OR(D31&lt;&gt;"EV",E31=120,AND(MIN('Operating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1" s="1" t="str">
        <f>IF(C31=0,"Excluded",IF(P31&lt;&gt;"Complete",P31,IF(OR('Replacement plan'!$AD$13&lt;120-E31,AND(D31="EV",E31&lt;120,OR('Replacement plan'!$AC$13&lt;120-E31,'Replacement plan'!$I$13="No",AND(ISNUMBER(AF31),AE31&gt;AF31),AI31&gt;V31*(1-'Operating costs'!$B$46)^MAX(0,AB31-1)*(1-'Operating costs'!$B$45),AC31&gt;'Operating costs'!$B$18,AND(T31&lt;1,OR(AG31&lt;=0,AND(ISNUMBER(AH31),AG31&gt;AH31))),'Replacement plan'!$L$13&gt;INDEX(Products!$H$7:$H$13,MATCH('Replacement plan'!$B$13,Products!$A$7:$A$13,0))))),"Fails entered limits",IF(AND(D31="EV",E31&lt;120,OR(NOT(ISNUMBER(VLOOKUP($A31,'Fleet register'!$A$7:$S$106,7,FALSE))),NOT(ISNUMBER(VLOOKUP($A31,'Fleet register'!$A$7:$S$106,8,FALSE))),NOT(ISNUMBER(AF31)),'Replacement plan'!$I$13&lt;&gt;"Yes",NOT(ISNUMBER(AH31)),'Operating costs'!$B$59&lt;&gt;"Yes",'Operating costs'!$B$58&lt;&gt;"Yes")),"Unverified","Within entered limits"))))</f>
        <v>Excluded</v>
      </c>
      <c r="R31" s="1">
        <f>IF(C31=0,0,VLOOKUP($A31,'Fleet register'!$A$7:$S$106,6,FALSE))</f>
        <v>0</v>
      </c>
      <c r="S31" s="1">
        <f>IF(C31=0,0,VLOOKUP($A31,'Fleet register'!$A$7:$S$106,5,FALSE))</f>
        <v>0</v>
      </c>
      <c r="T31" s="1">
        <f>IF(D31="EV",'Energy and charging'!$B$12,0)</f>
        <v>0</v>
      </c>
      <c r="U31" s="1">
        <f>IFERROR(IF(C31=0,0,IF(D31="EV",IF('Replacement plan'!$F$13="",INDEX(Products!$E$7:$E$13,MATCH('Replacement plan'!$B$13,Products!$A$7:$A$13,0)),'Replacement plan'!$F$13)/IF('Replacement plan'!$G$13="Battery",1-'Operating costs'!$B$44,1),0)),"n.a.")</f>
        <v>0</v>
      </c>
      <c r="V31" s="1">
        <f>IFERROR(IF(C31=0,0,IF(D31="EV",IF('Replacement plan'!$E$13="",INDEX(Products!$D$7:$D$13,MATCH('Replacement plan'!$B$13,Products!$A$7:$A$13,0)),'Replacement plan'!$E$13),0)),"n.a.")</f>
        <v>0</v>
      </c>
      <c r="W31" s="1">
        <f>IF(C31=0,0,IF(AND(P31="Complete",D31="EV",E31&lt;120),IF(T31=0,0,ROUNDUP(T31*(R31-'Operating costs'!$B$41)*(S31*U31+'Operating costs'!$B$48/(1-'Operating costs'!$B$44))/(V31*'Operating costs'!$B$47/(1-'Operating costs'!$B$44)-T31*'Operating costs'!$B$12*U31),0)),0))</f>
        <v>0</v>
      </c>
      <c r="X31" s="1">
        <f>IF(C31=0,0,IF(AND(P31="Complete",D31="EV",E31&lt;120),(R31-'Operating costs'!$B$41)*(S31*U31+'Operating costs'!$B$48/(1-'Operating costs'!$B$44))+W31*'Operating costs'!$B$12*U31,0))</f>
        <v>0</v>
      </c>
      <c r="Y31" s="1">
        <f>IF(AND(C31=1,D31="EV",E31&lt;120),AI31/(1-'Operating costs'!$B$44)*(1-T31),0)</f>
        <v>0</v>
      </c>
      <c r="Z31" s="1">
        <f t="shared" si="0"/>
        <v>0</v>
      </c>
      <c r="AA31" s="1">
        <f>IF(C31=0,0,IF(P31="Complete",((S31*(R31-'Operating costs'!$B$40))+ROUNDUP(S31*(R31-'Operating costs'!$B$40)*IF('Replacement plan'!$AH$13="",'Operating costs'!$B$7,'Replacement plan'!$AH$13)/('Operating costs'!$B$8-'Operating costs'!$B$9*IF('Replacement plan'!$AH$13="",'Operating costs'!$B$7,'Replacement plan'!$AH$13)),0)*'Operating costs'!$B$9)*IF('Replacement plan'!$AH$13="",'Operating costs'!$B$7,'Replacement plan'!$AH$13),"n.a."))</f>
        <v>0</v>
      </c>
      <c r="AB31" s="1">
        <f t="shared" si="1"/>
        <v>0</v>
      </c>
      <c r="AC31" s="1">
        <f>IF(AND(C31=1,D31="EV",E31&lt;120,T31&gt;0),'Operating costs'!$B$12/'Operating costs'!$B$11*60+'Operating costs'!$B$13+'Operating costs'!$B$14+V31*'Operating costs'!$B$47/(1-'Operating costs'!$B$44)/'Replacement plan'!$L$13*60,0)</f>
        <v>0</v>
      </c>
      <c r="AD31" s="1" t="str">
        <f>'Replacement plan'!$B$13</f>
        <v>ChengLong L2EV</v>
      </c>
      <c r="AE31" s="1">
        <f>IF(C31=0,0,VLOOKUP($A31,'Fleet register'!$A$7:$S$106,8,FALSE))</f>
        <v>0</v>
      </c>
      <c r="AF31" s="1" t="str">
        <f>IF('Replacement plan'!$H$13="","n.a.",'Replacement plan'!$H$13)</f>
        <v>n.a.</v>
      </c>
      <c r="AG31" s="1">
        <f>'Replacement plan'!$J$13</f>
        <v>22</v>
      </c>
      <c r="AH31" s="1">
        <f>IFERROR(IF(D31="EV",IF('Replacement plan'!$K$13="AC",IF(ISNUMBER(INDEX(Products!$G$7:$G$13,MATCH('Replacement plan'!$B$13,Products!$A$7:$A$13,0))),INDEX(Products!$G$7:$G$13,MATCH('Replacement plan'!$B$13,Products!$A$7:$A$13,0)),"n.a."),IF(ISNUMBER(INDEX(Products!$H$7:$H$13,MATCH('Replacement plan'!$B$13,Products!$A$7:$A$13,0))),INDEX(Products!$H$7:$H$13,MATCH('Replacement plan'!$B$13,Products!$A$7:$A$13,0)),"n.a.")),0),"n.a.")</f>
        <v>0</v>
      </c>
      <c r="AI31" s="1">
        <f>IF(AND(C31=1,D31="EV",E31&lt;120),(VLOOKUP($A31,'Fleet register'!$A$7:$S$106,7,FALSE)+IF(T31&gt;0,'Operating costs'!$B$12,0))*U31*(1-'Operating costs'!$B$44)+'Operating costs'!$B$49,0)</f>
        <v>0</v>
      </c>
      <c r="AJ31" s="1">
        <f>IF(D31="EV",'Energy and charging'!$B$50,0)</f>
        <v>0</v>
      </c>
      <c r="AK31" s="17">
        <f>EDATE('Operating costs'!$B$63,E31)</f>
        <v>46298</v>
      </c>
      <c r="AL31" s="1">
        <f>IFERROR(IF(D31="EV",INDEX(Products!$B$7:$B$13,MATCH('Replacement plan'!$B$13,Products!$A$7:$A$13,0)),0),"n.a.")</f>
        <v>0</v>
      </c>
      <c r="AM31" s="1" t="str">
        <f>'Replacement plan'!$K$13</f>
        <v>DC</v>
      </c>
      <c r="AN31" s="1" t="str">
        <f>'Replacement plan'!$AE$13</f>
        <v>Assumed</v>
      </c>
      <c r="AO31" s="47">
        <f>IF(AND(C31=1,D31="EV",E31&lt;120),(R31-'Operating costs'!$B$41)*S31+W31*'Operating costs'!$B$12,0)</f>
        <v>0</v>
      </c>
      <c r="AP31" s="41">
        <f>IF(AND(C31=1,D31="EV",E31&lt;120),IF('Operating costs'!$B$68="Hong Seh 200k average",AO31*IFERROR(INDEX(Products!$P$7:$P$13,MATCH(AD31,Products!$A$7:$A$13,0)),"n.a."),'Operating costs'!$B$26),0)</f>
        <v>0</v>
      </c>
      <c r="AQ31" s="40" t="str">
        <f>IF(D31="EV",'Operating costs'!$B$68,"Not applicable")</f>
        <v>Not applicable</v>
      </c>
    </row>
    <row r="32" spans="1:43" ht="24" customHeight="1">
      <c r="A32" s="1" t="str">
        <f>'Replacement plan'!A13</f>
        <v>T007</v>
      </c>
      <c r="B32" s="1">
        <v>1</v>
      </c>
      <c r="C32" s="1">
        <f>IF(COUNTIFS('Fleet register'!$A$7:$A$106,$A32)=1,VLOOKUP($A32,'Fleet register'!$A$7:$S$106,2,FALSE),0)</f>
        <v>0</v>
      </c>
      <c r="D32" s="1" t="str">
        <f>IF("New ICE"="EV","EV","ICE")</f>
        <v>ICE</v>
      </c>
      <c r="E32" s="1">
        <f>IF(C32=0,0,0)</f>
        <v>0</v>
      </c>
      <c r="F32" s="16">
        <f>IF(C32=0,0,VLOOKUP($A32,'Fleet register'!$A$7:$S$106,11,FALSE))</f>
        <v>0</v>
      </c>
      <c r="G32" s="16">
        <f>IFERROR(IF(C32=0,0,IF(E32=120,0,IF(D32="ICE",'Replacement plan'!$C$13,IF('Replacement plan'!$D$13="",INDEX(Products!$I$7:$I$13,MATCH('Replacement plan'!$B$13,Products!$A$7:$A$13,0))+'Operating costs'!$B$57,'Replacement plan'!$D$13))*(1+'Operating costs'!$B$50)^(E32/12))),"n.a.")</f>
        <v>0</v>
      </c>
      <c r="H32" s="16">
        <f>IFERROR(IF(C32=0,0,IF(E32=0,F32,VLOOKUP($A32,'Fleet register'!$A$7:$S$106,12,FALSE)+VLOOKUP($A32,'Fleet register'!$A$7:$S$106,13,FALSE)*MAX(0,VLOOKUP($A32,'Fleet register'!$A$7:$S$106,10,FALSE)-E32)/VLOOKUP($A32,'Fleet register'!$A$7:$S$106,14,FALSE))),"n.a.")</f>
        <v>0</v>
      </c>
      <c r="I32" s="16">
        <f>IF(C32=0,0,IF(E32=120,0,IF('Replacement plan'!$AI$13="",'Operating costs'!$B$56,'Replacement plan'!$AI$13)))</f>
        <v>0</v>
      </c>
      <c r="J32" s="16">
        <f>IF(C32=0,0,IF(P32="Complete",((S32*(R32-'Operating costs'!$B$39))+ROUNDUP(S32*(R32-'Operating costs'!$B$39)*IF('Replacement plan'!$AG$13="",'Operating costs'!$B$7,'Replacement plan'!$AG$13)/('Operating costs'!$B$8-'Operating costs'!$B$9*IF('Replacement plan'!$AG$13="",'Operating costs'!$B$7,'Replacement plan'!$AG$13)),0)*'Operating costs'!$B$9)*IF('Replacement plan'!$AG$13="",'Operating costs'!$B$7,'Replacement plan'!$AG$13)*('Energy and charging'!$B$9*'Energy and charging'!$B$7+(1-'Energy and charging'!$B$9)*'Energy and charging'!$B$8)*'Operating costs'!$B$23,"n.a."))</f>
        <v>0</v>
      </c>
      <c r="K32" s="16">
        <f>IF(C32=0,0,IF(P32="Complete",SUM('Operating costs'!$B$24,'Operating costs'!$B$27,'Operating costs'!$B$29,'Operating costs'!$B$31,'Operating costs'!$B$33,'Operating costs'!$B$34,'Operating costs'!$B$37,'Replacement plan'!$W$13)+'Operating costs'!$B$39*'Operating costs'!$B$42+ROUNDUP(S32*(R32-'Operating costs'!$B$39)*IF('Replacement plan'!$AG$13="",'Operating costs'!$B$7,'Replacement plan'!$AG$13)/('Operating costs'!$B$8-'Operating costs'!$B$9*IF('Replacement plan'!$AG$13="",'Operating costs'!$B$7,'Replacement plan'!$AG$13)),0)*('Operating costs'!$B$9/'Operating costs'!$B$11+'Operating costs'!$B$10/60)*'Operating costs'!$B$19*'Operating costs'!$B$21,"n.a."))</f>
        <v>0</v>
      </c>
      <c r="L32" s="16">
        <f>IF(C32=0,0,IF(P32="Complete",IF(D32="EV",X32*((1-T32)*'Energy and charging'!$B$10+T32*'Energy and charging'!$B$11)*'Operating costs'!$B$22,AA32*('Energy and charging'!$B$9*'Energy and charging'!$B$7+(1-'Energy and charging'!$B$9)*'Energy and charging'!$B$8)*'Operating costs'!$B$23),"n.a."))</f>
        <v>0</v>
      </c>
      <c r="M32" s="37">
        <f>IF(C32=0,0,IF(P32="Complete",IF(D32="ICE",SUM('Operating costs'!$B$25,'Operating costs'!$B$27,'Operating costs'!$B$29,'Operating costs'!$B$31,'Operating costs'!$B$33,'Operating costs'!$B$35,'Operating costs'!$B$37,'Replacement plan'!$X$13)+'Operating costs'!$B$40*'Operating costs'!$B$42+ROUNDUP(S32*(R32-'Operating costs'!$B$40)*IF('Replacement plan'!$AH$13="",'Operating costs'!$B$7,'Replacement plan'!$AH$13)/('Operating costs'!$B$8-'Operating costs'!$B$9*IF('Replacement plan'!$AH$13="",'Operating costs'!$B$7,'Replacement plan'!$AH$13)),0)*('Operating costs'!$B$9/'Operating costs'!$B$11+'Operating costs'!$B$10/60)*'Operating costs'!$B$19*'Operating costs'!$B$21,SUM(AP32,'Operating costs'!$B$28,'Operating costs'!$B$30,'Operating costs'!$B$32,'Operating costs'!$B$33,'Operating costs'!$B$36,'Operating costs'!$B$38,'Replacement plan'!$Y$13)+'Operating costs'!$B$41*'Operating costs'!$B$43+W32*'Operating costs'!$B$15+(T32*X32/'Replacement plan'!$L$13+W32*('Operating costs'!$B$12/'Operating costs'!$B$11+('Operating costs'!$B$13+'Operating costs'!$B$14)/60)+(R32-'Operating costs'!$B$41)*(IF(T32&lt;1,'Operating costs'!$B$16,0)+'Operating costs'!$B$17)/60)*'Operating costs'!$B$19*'Operating costs'!$B$20),"n.a."))</f>
        <v>0</v>
      </c>
      <c r="N32" s="16">
        <f>IF(AND(C32=1,D32="EV",E32&lt;120,E32+'Replacement plan'!$AA$13&lt;=120),'Replacement plan'!$Z$13,0)</f>
        <v>0</v>
      </c>
      <c r="O32" s="1">
        <f>E32+'Replacement plan'!$AA$13</f>
        <v>0</v>
      </c>
      <c r="P32" s="35" t="str">
        <f>IFERROR(IF(C32=0,"Excluded",IF(OR(COUNTIFS('Fleet register'!$A$7:$A$106,A32)&lt;&gt;1,COUNTIFS('Replacement plan'!$A$7:$A$106,A32)&lt;&gt;1),"Duplicate/missing ID",IF(NOT(AND(ISNUMBER(VLOOKUP($A32,'Fleet register'!$A$7:$S$106,5,FALSE)),ISNUMBER(VLOOKUP($A32,'Fleet register'!$A$7:$S$106,6,FALSE)),ISNUMBER(VLOOKUP($A32,'Fleet register'!$A$7:$S$106,10,FALSE)),ISNUMBER(VLOOKUP($A32,'Fleet register'!$A$7:$S$106,11,FALSE)),ISNUMBER(VLOOKUP($A32,'Fleet register'!$A$7:$S$106,12,FALSE)),ISNUMBER(VLOOKUP($A32,'Fleet register'!$A$7:$S$106,13,FALSE)),ISNUMBER(VLOOKUP($A32,'Fleet register'!$A$7:$S$106,14,FALSE)),VLOOKUP($A32,'Fleet register'!$A$7:$S$106,14,FALSE)&gt;0,ISNUMBER('Replacement plan'!$C$13),OR(E32=120,OR(ISNUMBER('Replacement plan'!$AI$13),AND('Replacement plan'!$AI$13="",ISNUMBER('Operating costs'!$B$56)))),ISNUMBER(E32))),"Missing vehicle input",IF(OR(E32&lt;0,E32&gt;VLOOKUP($A32,'Fleet register'!$A$7:$S$106,10,FALSE),E32&gt;120,E32&lt;&gt;INT(E32),VLOOKUP($A32,'Fleet register'!$A$7:$S$106,6,FALSE)&lt;=0,VLOOKUP($A32,'Fleet register'!$A$7:$S$106,6,FALSE)&gt;366,VLOOKUP($A32,'Fleet register'!$A$7:$S$106,5,FALSE)&lt;0,VLOOKUP($A32,'Fleet register'!$A$7:$S$106,11,FALSE)&lt;0,I32&lt;0,'Operating costs'!$B$8&lt;='Operating costs'!$B$7*'Operating costs'!$B$9,'Operating costs'!$B$11&lt;=0,'Operating costs'!$B$39&gt;R32,'Operating costs'!$B$40&gt;R32,'Operating costs'!$B$41&gt;R32,NOT(OR("New ICE"="Keep ICE","New ICE"="New ICE","New ICE"="EV"))),"Invalid vehicle input",IF(AND(D32="EV",E32&lt;120,OR(NOT(ISNUMBER(U32)),NOT(ISNUMBER(V32)),V32&lt;=0,T32&lt;0,T32&gt;1,'Replacement plan'!$L$13&lt;=0,'Operating costs'!$B$44&lt;0,'Operating costs'!$B$44&gt;=1,'Operating costs'!$B$47&lt;=0,'Operating costs'!$B$47&gt;1,V32*'Operating costs'!$B$47/(1-'Operating costs'!$B$44)&lt;=T32*'Operating costs'!$B$12*U32,AND('Replacement plan'!$Z$13&gt;0,OR('Replacement plan'!$AB$13&lt;&gt;"Yes",'Operating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charging'!$B$8&gt;=0))),ISNUMBER(VLOOKUP($A32,'Fleet register'!$A$7:$S$106,15,FALSE)),ISNUMBER(VLOOKUP($A32,'Fleet register'!$A$7:$S$106,16,FALSE)),ISNUMBER('Replacement plan'!$W$13),ISNUMBER('Replacement plan'!$X$13),OR(E32=120,AND(ISNUMBER(G32),G32&gt;=0)),ISNUMBER(H32),H32&gt;=0,OR(D32&lt;&gt;"EV",E32=120,AND(ISNUMBER('Operating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plan'!$Y$13),ISNUMBER('Replacement plan'!$Z$13),'Replacement plan'!$Z$13&gt;=0,ISNUMBER('Replacement plan'!$AA$13),'Replacement plan'!$AA$13&gt;=0,'Replacement plan'!$AA$13=INT('Replacement plan'!$AA$13),ISNUMBER('Replacement plan'!$L$13))),'Operating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plan'!$AG$13="",'Operating costs'!$B$7,'Replacement plan'!$AG$13)),IF('Replacement plan'!$AG$13="",'Operating costs'!$B$7,'Replacement plan'!$AG$13)&gt;=0,ISNUMBER(IF('Replacement plan'!$AH$13="",'Operating costs'!$B$7,'Replacement plan'!$AH$13)),IF('Replacement plan'!$AH$13="",'Operating costs'!$B$7,'Replacement plan'!$AH$13)&gt;=0,'Operating costs'!$B$8&gt;MAX(IF('Replacement plan'!$AG$13="",'Operating costs'!$B$7,'Replacement plan'!$AG$13),IF('Replacement plan'!$AH$13="",'Operating costs'!$B$7,'Replacement plan'!$AH$13))*'Operating costs'!$B$9),IF(AND(VLOOKUP($A32,'Fleet register'!$A$7:$S$106,10,FALSE)&gt;=0,VLOOKUP($A32,'Fleet register'!$A$7:$S$106,10,FALSE)&lt;=120,VLOOKUP($A32,'Fleet register'!$A$7:$S$106,10,FALSE)=INT(VLOOKUP($A32,'Fleet register'!$A$7:$S$106,10,FALSE)),VLOOKUP($A32,'Fleet register'!$A$7:$S$106,15,FALSE)&gt;=0,VLOOKUP($A32,'Fleet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costs'!$B$67)&gt;=0,OR(D32&lt;&gt;"EV",E32=120,AND(MIN('Operating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2" s="1" t="str">
        <f>IF(C32=0,"Excluded",IF(P32&lt;&gt;"Complete",P32,IF(OR('Replacement plan'!$AD$13&lt;120-E32,AND(D32="EV",E32&lt;120,OR('Replacement plan'!$AC$13&lt;120-E32,'Replacement plan'!$I$13="No",AND(ISNUMBER(AF32),AE32&gt;AF32),AI32&gt;V32*(1-'Operating costs'!$B$46)^MAX(0,AB32-1)*(1-'Operating costs'!$B$45),AC32&gt;'Operating costs'!$B$18,AND(T32&lt;1,OR(AG32&lt;=0,AND(ISNUMBER(AH32),AG32&gt;AH32))),'Replacement plan'!$L$13&gt;INDEX(Products!$H$7:$H$13,MATCH('Replacement plan'!$B$13,Products!$A$7:$A$13,0))))),"Fails entered limits",IF(AND(D32="EV",E32&lt;120,OR(NOT(ISNUMBER(VLOOKUP($A32,'Fleet register'!$A$7:$S$106,7,FALSE))),NOT(ISNUMBER(VLOOKUP($A32,'Fleet register'!$A$7:$S$106,8,FALSE))),NOT(ISNUMBER(AF32)),'Replacement plan'!$I$13&lt;&gt;"Yes",NOT(ISNUMBER(AH32)),'Operating costs'!$B$59&lt;&gt;"Yes",'Operating costs'!$B$58&lt;&gt;"Yes")),"Unverified","Within entered limits"))))</f>
        <v>Excluded</v>
      </c>
      <c r="R32" s="1">
        <f>IF(C32=0,0,VLOOKUP($A32,'Fleet register'!$A$7:$S$106,6,FALSE))</f>
        <v>0</v>
      </c>
      <c r="S32" s="1">
        <f>IF(C32=0,0,VLOOKUP($A32,'Fleet register'!$A$7:$S$106,5,FALSE))</f>
        <v>0</v>
      </c>
      <c r="T32" s="1">
        <f>IF(D32="EV",'Energy and charging'!$B$12,0)</f>
        <v>0</v>
      </c>
      <c r="U32" s="1">
        <f>IFERROR(IF(C32=0,0,IF(D32="EV",IF('Replacement plan'!$F$13="",INDEX(Products!$E$7:$E$13,MATCH('Replacement plan'!$B$13,Products!$A$7:$A$13,0)),'Replacement plan'!$F$13)/IF('Replacement plan'!$G$13="Battery",1-'Operating costs'!$B$44,1),0)),"n.a.")</f>
        <v>0</v>
      </c>
      <c r="V32" s="1">
        <f>IFERROR(IF(C32=0,0,IF(D32="EV",IF('Replacement plan'!$E$13="",INDEX(Products!$D$7:$D$13,MATCH('Replacement plan'!$B$13,Products!$A$7:$A$13,0)),'Replacement plan'!$E$13),0)),"n.a.")</f>
        <v>0</v>
      </c>
      <c r="W32" s="1">
        <f>IF(C32=0,0,IF(AND(P32="Complete",D32="EV",E32&lt;120),IF(T32=0,0,ROUNDUP(T32*(R32-'Operating costs'!$B$41)*(S32*U32+'Operating costs'!$B$48/(1-'Operating costs'!$B$44))/(V32*'Operating costs'!$B$47/(1-'Operating costs'!$B$44)-T32*'Operating costs'!$B$12*U32),0)),0))</f>
        <v>0</v>
      </c>
      <c r="X32" s="1">
        <f>IF(C32=0,0,IF(AND(P32="Complete",D32="EV",E32&lt;120),(R32-'Operating costs'!$B$41)*(S32*U32+'Operating costs'!$B$48/(1-'Operating costs'!$B$44))+W32*'Operating costs'!$B$12*U32,0))</f>
        <v>0</v>
      </c>
      <c r="Y32" s="1">
        <f>IF(AND(C32=1,D32="EV",E32&lt;120),AI32/(1-'Operating costs'!$B$44)*(1-T32),0)</f>
        <v>0</v>
      </c>
      <c r="Z32" s="1">
        <f t="shared" si="0"/>
        <v>0</v>
      </c>
      <c r="AA32" s="1">
        <f>IF(C32=0,0,IF(P32="Complete",((S32*(R32-'Operating costs'!$B$40))+ROUNDUP(S32*(R32-'Operating costs'!$B$40)*IF('Replacement plan'!$AH$13="",'Operating costs'!$B$7,'Replacement plan'!$AH$13)/('Operating costs'!$B$8-'Operating costs'!$B$9*IF('Replacement plan'!$AH$13="",'Operating costs'!$B$7,'Replacement plan'!$AH$13)),0)*'Operating costs'!$B$9)*IF('Replacement plan'!$AH$13="",'Operating costs'!$B$7,'Replacement plan'!$AH$13),"n.a."))</f>
        <v>0</v>
      </c>
      <c r="AB32" s="1">
        <f t="shared" si="1"/>
        <v>0</v>
      </c>
      <c r="AC32" s="1">
        <f>IF(AND(C32=1,D32="EV",E32&lt;120,T32&gt;0),'Operating costs'!$B$12/'Operating costs'!$B$11*60+'Operating costs'!$B$13+'Operating costs'!$B$14+V32*'Operating costs'!$B$47/(1-'Operating costs'!$B$44)/'Replacement plan'!$L$13*60,0)</f>
        <v>0</v>
      </c>
      <c r="AD32" s="1" t="str">
        <f>'Replacement plan'!$B$13</f>
        <v>ChengLong L2EV</v>
      </c>
      <c r="AE32" s="1">
        <f>IF(C32=0,0,VLOOKUP($A32,'Fleet register'!$A$7:$S$106,8,FALSE))</f>
        <v>0</v>
      </c>
      <c r="AF32" s="1" t="str">
        <f>IF('Replacement plan'!$H$13="","n.a.",'Replacement plan'!$H$13)</f>
        <v>n.a.</v>
      </c>
      <c r="AG32" s="1">
        <f>'Replacement plan'!$J$13</f>
        <v>22</v>
      </c>
      <c r="AH32" s="1">
        <f>IFERROR(IF(D32="EV",IF('Replacement plan'!$K$13="AC",IF(ISNUMBER(INDEX(Products!$G$7:$G$13,MATCH('Replacement plan'!$B$13,Products!$A$7:$A$13,0))),INDEX(Products!$G$7:$G$13,MATCH('Replacement plan'!$B$13,Products!$A$7:$A$13,0)),"n.a."),IF(ISNUMBER(INDEX(Products!$H$7:$H$13,MATCH('Replacement plan'!$B$13,Products!$A$7:$A$13,0))),INDEX(Products!$H$7:$H$13,MATCH('Replacement plan'!$B$13,Products!$A$7:$A$13,0)),"n.a.")),0),"n.a.")</f>
        <v>0</v>
      </c>
      <c r="AI32" s="1">
        <f>IF(AND(C32=1,D32="EV",E32&lt;120),(VLOOKUP($A32,'Fleet register'!$A$7:$S$106,7,FALSE)+IF(T32&gt;0,'Operating costs'!$B$12,0))*U32*(1-'Operating costs'!$B$44)+'Operating costs'!$B$49,0)</f>
        <v>0</v>
      </c>
      <c r="AJ32" s="1">
        <f>IF(D32="EV",'Energy and charging'!$B$50,0)</f>
        <v>0</v>
      </c>
      <c r="AK32" s="17">
        <f>EDATE('Operating costs'!$B$63,E32)</f>
        <v>46298</v>
      </c>
      <c r="AL32" s="1">
        <f>IFERROR(IF(D32="EV",INDEX(Products!$B$7:$B$13,MATCH('Replacement plan'!$B$13,Products!$A$7:$A$13,0)),0),"n.a.")</f>
        <v>0</v>
      </c>
      <c r="AM32" s="1" t="str">
        <f>'Replacement plan'!$K$13</f>
        <v>DC</v>
      </c>
      <c r="AN32" s="1" t="str">
        <f>'Replacement plan'!$AE$13</f>
        <v>Assumed</v>
      </c>
      <c r="AO32" s="47">
        <f>IF(AND(C32=1,D32="EV",E32&lt;120),(R32-'Operating costs'!$B$41)*S32+W32*'Operating costs'!$B$12,0)</f>
        <v>0</v>
      </c>
      <c r="AP32" s="41">
        <f>IF(AND(C32=1,D32="EV",E32&lt;120),IF('Operating costs'!$B$68="Hong Seh 200k average",AO32*IFERROR(INDEX(Products!$P$7:$P$13,MATCH(AD32,Products!$A$7:$A$13,0)),"n.a."),'Operating costs'!$B$26),0)</f>
        <v>0</v>
      </c>
      <c r="AQ32" s="40" t="str">
        <f>IF(D32="EV",'Operating costs'!$B$68,"Not applicable")</f>
        <v>Not applicable</v>
      </c>
    </row>
    <row r="33" spans="1:43" ht="24" customHeight="1">
      <c r="A33" s="1" t="str">
        <f>'Replacement plan'!A13</f>
        <v>T007</v>
      </c>
      <c r="B33" s="1">
        <v>2</v>
      </c>
      <c r="C33" s="1">
        <f>IF(COUNTIFS('Fleet register'!$A$7:$A$106,$A33)=1,VLOOKUP($A33,'Fleet register'!$A$7:$S$106,2,FALSE),0)</f>
        <v>0</v>
      </c>
      <c r="D33" s="1" t="str">
        <f>IF('Replacement plan'!$O$13="EV","EV","ICE")</f>
        <v>ICE</v>
      </c>
      <c r="E33" s="1">
        <f>IF(C33=0,0,IF('Replacement plan'!$P$13="",IF('Replacement plan'!$O$13="Keep ICE",IF('Replacement plan'!$M$13="",VLOOKUP($A33,'Fleet register'!$A$7:$S$106,10,FALSE),'Replacement plan'!$M$13),0),'Replacement plan'!$P$13))</f>
        <v>0</v>
      </c>
      <c r="F33" s="16">
        <f>IF(C33=0,0,VLOOKUP($A33,'Fleet register'!$A$7:$S$106,11,FALSE))</f>
        <v>0</v>
      </c>
      <c r="G33" s="16">
        <f>IFERROR(IF(C33=0,0,IF(E33=120,0,IF(D33="ICE",'Replacement plan'!$C$13,IF('Replacement plan'!$D$13="",INDEX(Products!$I$7:$I$13,MATCH('Replacement plan'!$B$13,Products!$A$7:$A$13,0))+'Operating costs'!$B$57,'Replacement plan'!$D$13))*(1+'Operating costs'!$B$50)^(E33/12))),"n.a.")</f>
        <v>0</v>
      </c>
      <c r="H33" s="16">
        <f>IFERROR(IF(C33=0,0,IF('Replacement plan'!$U$13&lt;&gt;"",'Replacement plan'!$U$13,IF(E33=0,F33,VLOOKUP($A33,'Fleet register'!$A$7:$S$106,12,FALSE)+VLOOKUP($A33,'Fleet register'!$A$7:$S$106,13,FALSE)*MAX(0,VLOOKUP($A33,'Fleet register'!$A$7:$S$106,10,FALSE)-E33)/VLOOKUP($A33,'Fleet register'!$A$7:$S$106,14,FALSE)))),"n.a.")</f>
        <v>0</v>
      </c>
      <c r="I33" s="16">
        <f>IF(C33=0,0,IF(E33=120,0,'Replacement plan'!$Q$13))</f>
        <v>0</v>
      </c>
      <c r="J33" s="16">
        <f>IF(C33=0,0,IF(P33="Complete",((S33*(R33-'Operating costs'!$B$39))+ROUNDUP(S33*(R33-'Operating costs'!$B$39)*IF('Replacement plan'!$AG$13="",'Operating costs'!$B$7,'Replacement plan'!$AG$13)/('Operating costs'!$B$8-'Operating costs'!$B$9*IF('Replacement plan'!$AG$13="",'Operating costs'!$B$7,'Replacement plan'!$AG$13)),0)*'Operating costs'!$B$9)*IF('Replacement plan'!$AG$13="",'Operating costs'!$B$7,'Replacement plan'!$AG$13)*('Energy and charging'!$B$9*'Energy and charging'!$B$7+(1-'Energy and charging'!$B$9)*'Energy and charging'!$B$8)*'Operating costs'!$B$23,"n.a."))</f>
        <v>0</v>
      </c>
      <c r="K33" s="16">
        <f>IF(C33=0,0,IF(P33="Complete",SUM('Operating costs'!$B$24,'Operating costs'!$B$27,'Operating costs'!$B$29,'Operating costs'!$B$31,'Operating costs'!$B$33,'Operating costs'!$B$34,'Operating costs'!$B$37,'Replacement plan'!$W$13)+'Operating costs'!$B$39*'Operating costs'!$B$42+ROUNDUP(S33*(R33-'Operating costs'!$B$39)*IF('Replacement plan'!$AG$13="",'Operating costs'!$B$7,'Replacement plan'!$AG$13)/('Operating costs'!$B$8-'Operating costs'!$B$9*IF('Replacement plan'!$AG$13="",'Operating costs'!$B$7,'Replacement plan'!$AG$13)),0)*('Operating costs'!$B$9/'Operating costs'!$B$11+'Operating costs'!$B$10/60)*'Operating costs'!$B$19*'Operating costs'!$B$21,"n.a."))</f>
        <v>0</v>
      </c>
      <c r="L33" s="16">
        <f>IF(C33=0,0,IF(P33="Complete",IF(D33="EV",X33*((1-T33)*'Energy and charging'!$B$10+T33*'Energy and charging'!$B$11)*'Operating costs'!$B$22,AA33*('Energy and charging'!$B$9*'Energy and charging'!$B$7+(1-'Energy and charging'!$B$9)*'Energy and charging'!$B$8)*'Operating costs'!$B$23),"n.a."))</f>
        <v>0</v>
      </c>
      <c r="M33" s="37">
        <f>IF(C33=0,0,IF(P33="Complete",IF(D33="ICE",SUM('Operating costs'!$B$25,'Operating costs'!$B$27,'Operating costs'!$B$29,'Operating costs'!$B$31,'Operating costs'!$B$33,'Operating costs'!$B$35,'Operating costs'!$B$37,'Replacement plan'!$X$13)+'Operating costs'!$B$40*'Operating costs'!$B$42+ROUNDUP(S33*(R33-'Operating costs'!$B$40)*IF('Replacement plan'!$AH$13="",'Operating costs'!$B$7,'Replacement plan'!$AH$13)/('Operating costs'!$B$8-'Operating costs'!$B$9*IF('Replacement plan'!$AH$13="",'Operating costs'!$B$7,'Replacement plan'!$AH$13)),0)*('Operating costs'!$B$9/'Operating costs'!$B$11+'Operating costs'!$B$10/60)*'Operating costs'!$B$19*'Operating costs'!$B$21,SUM(AP33,'Operating costs'!$B$28,'Operating costs'!$B$30,'Operating costs'!$B$32,'Operating costs'!$B$33,'Operating costs'!$B$36,'Operating costs'!$B$38,'Replacement plan'!$Y$13)+'Operating costs'!$B$41*'Operating costs'!$B$43+W33*'Operating costs'!$B$15+(T33*X33/'Replacement plan'!$L$13+W33*('Operating costs'!$B$12/'Operating costs'!$B$11+('Operating costs'!$B$13+'Operating costs'!$B$14)/60)+(R33-'Operating costs'!$B$41)*(IF(T33&lt;1,'Operating costs'!$B$16,0)+'Operating costs'!$B$17)/60)*'Operating costs'!$B$19*'Operating costs'!$B$20),"n.a."))</f>
        <v>0</v>
      </c>
      <c r="N33" s="16">
        <f>IF(AND(C33=1,D33="EV",E33&lt;120,E33+'Replacement plan'!$AA$13&lt;=120),'Replacement plan'!$Z$13,0)</f>
        <v>0</v>
      </c>
      <c r="O33" s="1">
        <f>E33+'Replacement plan'!$AA$13</f>
        <v>0</v>
      </c>
      <c r="P33" s="35" t="str">
        <f>IFERROR(IF(C33=0,"Excluded",IF(OR(COUNTIFS('Fleet register'!$A$7:$A$106,A33)&lt;&gt;1,COUNTIFS('Replacement plan'!$A$7:$A$106,A33)&lt;&gt;1),"Duplicate/missing ID",IF(NOT(AND(ISNUMBER(VLOOKUP($A33,'Fleet register'!$A$7:$S$106,5,FALSE)),ISNUMBER(VLOOKUP($A33,'Fleet register'!$A$7:$S$106,6,FALSE)),ISNUMBER(VLOOKUP($A33,'Fleet register'!$A$7:$S$106,10,FALSE)),ISNUMBER(VLOOKUP($A33,'Fleet register'!$A$7:$S$106,11,FALSE)),ISNUMBER(VLOOKUP($A33,'Fleet register'!$A$7:$S$106,12,FALSE)),ISNUMBER(VLOOKUP($A33,'Fleet register'!$A$7:$S$106,13,FALSE)),ISNUMBER(VLOOKUP($A33,'Fleet register'!$A$7:$S$106,14,FALSE)),VLOOKUP($A33,'Fleet register'!$A$7:$S$106,14,FALSE)&gt;0,ISNUMBER('Replacement plan'!$C$13),OR(E33=120,ISNUMBER('Replacement plan'!$Q$13)),ISNUMBER(E33))),"Missing vehicle input",IF(OR(E33&lt;0,E33&gt;VLOOKUP($A33,'Fleet register'!$A$7:$S$106,10,FALSE),E33&gt;120,E33&lt;&gt;INT(E33),VLOOKUP($A33,'Fleet register'!$A$7:$S$106,6,FALSE)&lt;=0,VLOOKUP($A33,'Fleet register'!$A$7:$S$106,6,FALSE)&gt;366,VLOOKUP($A33,'Fleet register'!$A$7:$S$106,5,FALSE)&lt;0,VLOOKUP($A33,'Fleet register'!$A$7:$S$106,11,FALSE)&lt;0,I33&lt;0,'Operating costs'!$B$8&lt;='Operating costs'!$B$7*'Operating costs'!$B$9,'Operating costs'!$B$11&lt;=0,'Operating costs'!$B$39&gt;R33,'Operating costs'!$B$40&gt;R33,'Operating costs'!$B$41&gt;R33,NOT(OR('Replacement plan'!$O$13="Keep ICE",'Replacement plan'!$O$13="New ICE",'Replacement plan'!$O$13="EV"))),"Invalid vehicle input",IF(AND(D33="EV",E33&lt;120,OR(NOT(ISNUMBER(U33)),NOT(ISNUMBER(V33)),V33&lt;=0,T33&lt;0,T33&gt;1,'Replacement plan'!$L$13&lt;=0,'Operating costs'!$B$44&lt;0,'Operating costs'!$B$44&gt;=1,'Operating costs'!$B$47&lt;=0,'Operating costs'!$B$47&gt;1,V33*'Operating costs'!$B$47/(1-'Operating costs'!$B$44)&lt;=T33*'Operating costs'!$B$12*U33,AND('Replacement plan'!$Z$13&gt;0,OR('Replacement plan'!$AB$13&lt;&gt;"Yes",'Operating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charging'!$B$8&gt;=0))),ISNUMBER(VLOOKUP($A33,'Fleet register'!$A$7:$S$106,15,FALSE)),ISNUMBER(VLOOKUP($A33,'Fleet register'!$A$7:$S$106,16,FALSE)),ISNUMBER('Replacement plan'!$W$13),ISNUMBER('Replacement plan'!$X$13),OR(E33=120,AND(ISNUMBER(G33),G33&gt;=0)),ISNUMBER(H33),H33&gt;=0,OR(D33&lt;&gt;"EV",E33=120,AND(ISNUMBER('Operating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plan'!$Y$13),ISNUMBER('Replacement plan'!$Z$13),'Replacement plan'!$Z$13&gt;=0,ISNUMBER('Replacement plan'!$AA$13),'Replacement plan'!$AA$13&gt;=0,'Replacement plan'!$AA$13=INT('Replacement plan'!$AA$13),ISNUMBER('Replacement plan'!$L$13))),'Operating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plan'!$AG$13="",'Operating costs'!$B$7,'Replacement plan'!$AG$13)),IF('Replacement plan'!$AG$13="",'Operating costs'!$B$7,'Replacement plan'!$AG$13)&gt;=0,ISNUMBER(IF('Replacement plan'!$AH$13="",'Operating costs'!$B$7,'Replacement plan'!$AH$13)),IF('Replacement plan'!$AH$13="",'Operating costs'!$B$7,'Replacement plan'!$AH$13)&gt;=0,'Operating costs'!$B$8&gt;MAX(IF('Replacement plan'!$AG$13="",'Operating costs'!$B$7,'Replacement plan'!$AG$13),IF('Replacement plan'!$AH$13="",'Operating costs'!$B$7,'Replacement plan'!$AH$13))*'Operating costs'!$B$9),IF(AND(VLOOKUP($A33,'Fleet register'!$A$7:$S$106,10,FALSE)&gt;=0,VLOOKUP($A33,'Fleet register'!$A$7:$S$106,10,FALSE)&lt;=120,VLOOKUP($A33,'Fleet register'!$A$7:$S$106,10,FALSE)=INT(VLOOKUP($A33,'Fleet register'!$A$7:$S$106,10,FALSE)),VLOOKUP($A33,'Fleet register'!$A$7:$S$106,15,FALSE)&gt;=0,VLOOKUP($A33,'Fleet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costs'!$B$67)&gt;=0,OR(D33&lt;&gt;"EV",E33=120,AND(MIN('Operating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3" s="1" t="str">
        <f>IF(C33=0,"Excluded",IF(P33&lt;&gt;"Complete",P33,IF(OR('Replacement plan'!$AD$13&lt;120-E33,AND(D33="EV",E33&lt;120,OR('Replacement plan'!$AC$13&lt;120-E33,'Replacement plan'!$I$13="No",AND(ISNUMBER(AF33),AE33&gt;AF33),AI33&gt;V33*(1-'Operating costs'!$B$46)^MAX(0,AB33-1)*(1-'Operating costs'!$B$45),AC33&gt;'Operating costs'!$B$18,AND(T33&lt;1,OR(AG33&lt;=0,AND(ISNUMBER(AH33),AG33&gt;AH33))),'Replacement plan'!$L$13&gt;INDEX(Products!$H$7:$H$13,MATCH('Replacement plan'!$B$13,Products!$A$7:$A$13,0))))),"Fails entered limits",IF(AND(D33="EV",E33&lt;120,OR(NOT(ISNUMBER(VLOOKUP($A33,'Fleet register'!$A$7:$S$106,7,FALSE))),NOT(ISNUMBER(VLOOKUP($A33,'Fleet register'!$A$7:$S$106,8,FALSE))),NOT(ISNUMBER(AF33)),'Replacement plan'!$I$13&lt;&gt;"Yes",NOT(ISNUMBER(AH33)),'Operating costs'!$B$59&lt;&gt;"Yes",'Operating costs'!$B$58&lt;&gt;"Yes")),"Unverified","Within entered limits"))))</f>
        <v>Excluded</v>
      </c>
      <c r="R33" s="1">
        <f>IF(C33=0,0,VLOOKUP($A33,'Fleet register'!$A$7:$S$106,6,FALSE))</f>
        <v>0</v>
      </c>
      <c r="S33" s="1">
        <f>IF(C33=0,0,VLOOKUP($A33,'Fleet register'!$A$7:$S$106,5,FALSE))</f>
        <v>0</v>
      </c>
      <c r="T33" s="1">
        <f>IF(D33="EV",'Energy and charging'!$B$12,0)</f>
        <v>0</v>
      </c>
      <c r="U33" s="1">
        <f>IFERROR(IF(C33=0,0,IF(D33="EV",IF('Replacement plan'!$F$13="",INDEX(Products!$E$7:$E$13,MATCH('Replacement plan'!$B$13,Products!$A$7:$A$13,0)),'Replacement plan'!$F$13)/IF('Replacement plan'!$G$13="Battery",1-'Operating costs'!$B$44,1),0)),"n.a.")</f>
        <v>0</v>
      </c>
      <c r="V33" s="1">
        <f>IFERROR(IF(C33=0,0,IF(D33="EV",IF('Replacement plan'!$E$13="",INDEX(Products!$D$7:$D$13,MATCH('Replacement plan'!$B$13,Products!$A$7:$A$13,0)),'Replacement plan'!$E$13),0)),"n.a.")</f>
        <v>0</v>
      </c>
      <c r="W33" s="1">
        <f>IF(C33=0,0,IF(AND(P33="Complete",D33="EV",E33&lt;120),IF(T33=0,0,ROUNDUP(T33*(R33-'Operating costs'!$B$41)*(S33*U33+'Operating costs'!$B$48/(1-'Operating costs'!$B$44))/(V33*'Operating costs'!$B$47/(1-'Operating costs'!$B$44)-T33*'Operating costs'!$B$12*U33),0)),0))</f>
        <v>0</v>
      </c>
      <c r="X33" s="1">
        <f>IF(C33=0,0,IF(AND(P33="Complete",D33="EV",E33&lt;120),(R33-'Operating costs'!$B$41)*(S33*U33+'Operating costs'!$B$48/(1-'Operating costs'!$B$44))+W33*'Operating costs'!$B$12*U33,0))</f>
        <v>0</v>
      </c>
      <c r="Y33" s="1">
        <f>IF(AND(C33=1,D33="EV",E33&lt;120),AI33/(1-'Operating costs'!$B$44)*(1-T33),0)</f>
        <v>0</v>
      </c>
      <c r="Z33" s="1">
        <f t="shared" si="0"/>
        <v>0</v>
      </c>
      <c r="AA33" s="1">
        <f>IF(C33=0,0,IF(P33="Complete",((S33*(R33-'Operating costs'!$B$40))+ROUNDUP(S33*(R33-'Operating costs'!$B$40)*IF('Replacement plan'!$AH$13="",'Operating costs'!$B$7,'Replacement plan'!$AH$13)/('Operating costs'!$B$8-'Operating costs'!$B$9*IF('Replacement plan'!$AH$13="",'Operating costs'!$B$7,'Replacement plan'!$AH$13)),0)*'Operating costs'!$B$9)*IF('Replacement plan'!$AH$13="",'Operating costs'!$B$7,'Replacement plan'!$AH$13),"n.a."))</f>
        <v>0</v>
      </c>
      <c r="AB33" s="1">
        <f t="shared" si="1"/>
        <v>0</v>
      </c>
      <c r="AC33" s="1">
        <f>IF(AND(C33=1,D33="EV",E33&lt;120,T33&gt;0),'Operating costs'!$B$12/'Operating costs'!$B$11*60+'Operating costs'!$B$13+'Operating costs'!$B$14+V33*'Operating costs'!$B$47/(1-'Operating costs'!$B$44)/'Replacement plan'!$L$13*60,0)</f>
        <v>0</v>
      </c>
      <c r="AD33" s="1" t="str">
        <f>'Replacement plan'!$B$13</f>
        <v>ChengLong L2EV</v>
      </c>
      <c r="AE33" s="1">
        <f>IF(C33=0,0,VLOOKUP($A33,'Fleet register'!$A$7:$S$106,8,FALSE))</f>
        <v>0</v>
      </c>
      <c r="AF33" s="1" t="str">
        <f>IF('Replacement plan'!$H$13="","n.a.",'Replacement plan'!$H$13)</f>
        <v>n.a.</v>
      </c>
      <c r="AG33" s="1">
        <f>'Replacement plan'!$J$13</f>
        <v>22</v>
      </c>
      <c r="AH33" s="1">
        <f>IFERROR(IF(D33="EV",IF('Replacement plan'!$K$13="AC",IF(ISNUMBER(INDEX(Products!$G$7:$G$13,MATCH('Replacement plan'!$B$13,Products!$A$7:$A$13,0))),INDEX(Products!$G$7:$G$13,MATCH('Replacement plan'!$B$13,Products!$A$7:$A$13,0)),"n.a."),IF(ISNUMBER(INDEX(Products!$H$7:$H$13,MATCH('Replacement plan'!$B$13,Products!$A$7:$A$13,0))),INDEX(Products!$H$7:$H$13,MATCH('Replacement plan'!$B$13,Products!$A$7:$A$13,0)),"n.a.")),0),"n.a.")</f>
        <v>0</v>
      </c>
      <c r="AI33" s="1">
        <f>IF(AND(C33=1,D33="EV",E33&lt;120),(VLOOKUP($A33,'Fleet register'!$A$7:$S$106,7,FALSE)+IF(T33&gt;0,'Operating costs'!$B$12,0))*U33*(1-'Operating costs'!$B$44)+'Operating costs'!$B$49,0)</f>
        <v>0</v>
      </c>
      <c r="AJ33" s="1">
        <f>IF(D33="EV",'Energy and charging'!$B$50,0)</f>
        <v>0</v>
      </c>
      <c r="AK33" s="17">
        <f>EDATE('Operating costs'!$B$63,E33)</f>
        <v>46298</v>
      </c>
      <c r="AL33" s="1">
        <f>IFERROR(IF(D33="EV",INDEX(Products!$B$7:$B$13,MATCH('Replacement plan'!$B$13,Products!$A$7:$A$13,0)),0),"n.a.")</f>
        <v>0</v>
      </c>
      <c r="AM33" s="1" t="str">
        <f>'Replacement plan'!$K$13</f>
        <v>DC</v>
      </c>
      <c r="AN33" s="1" t="str">
        <f>'Replacement plan'!$AE$13</f>
        <v>Assumed</v>
      </c>
      <c r="AO33" s="47">
        <f>IF(AND(C33=1,D33="EV",E33&lt;120),(R33-'Operating costs'!$B$41)*S33+W33*'Operating costs'!$B$12,0)</f>
        <v>0</v>
      </c>
      <c r="AP33" s="41">
        <f>IF(AND(C33=1,D33="EV",E33&lt;120),IF('Operating costs'!$B$68="Hong Seh 200k average",AO33*IFERROR(INDEX(Products!$P$7:$P$13,MATCH(AD33,Products!$A$7:$A$13,0)),"n.a."),'Operating costs'!$B$26),0)</f>
        <v>0</v>
      </c>
      <c r="AQ33" s="40" t="str">
        <f>IF(D33="EV",'Operating costs'!$B$68,"Not applicable")</f>
        <v>Not applicable</v>
      </c>
    </row>
    <row r="34" spans="1:43" ht="24" customHeight="1">
      <c r="A34" s="1" t="str">
        <f>'Replacement plan'!A13</f>
        <v>T007</v>
      </c>
      <c r="B34" s="1">
        <v>3</v>
      </c>
      <c r="C34" s="1">
        <f>IF(COUNTIFS('Fleet register'!$A$7:$A$106,$A34)=1,VLOOKUP($A34,'Fleet register'!$A$7:$S$106,2,FALSE),0)</f>
        <v>0</v>
      </c>
      <c r="D34" s="1" t="str">
        <f>IF('Replacement plan'!$R$13="EV","EV","ICE")</f>
        <v>ICE</v>
      </c>
      <c r="E34" s="1">
        <f>IF(C34=0,0,IF('Replacement plan'!$S$13="",IF('Replacement plan'!$R$13="Keep ICE",IF('Replacement plan'!$M$13="",VLOOKUP($A34,'Fleet register'!$A$7:$S$106,10,FALSE),'Replacement plan'!$M$13),0),'Replacement plan'!$S$13))</f>
        <v>0</v>
      </c>
      <c r="F34" s="16">
        <f>IF(C34=0,0,VLOOKUP($A34,'Fleet register'!$A$7:$S$106,11,FALSE))</f>
        <v>0</v>
      </c>
      <c r="G34" s="16">
        <f>IFERROR(IF(C34=0,0,IF(E34=120,0,IF(D34="ICE",'Replacement plan'!$C$13,IF('Replacement plan'!$D$13="",INDEX(Products!$I$7:$I$13,MATCH('Replacement plan'!$B$13,Products!$A$7:$A$13,0))+'Operating costs'!$B$57,'Replacement plan'!$D$13))*(1+'Operating costs'!$B$50)^(E34/12))),"n.a.")</f>
        <v>0</v>
      </c>
      <c r="H34" s="16">
        <f>IFERROR(IF(C34=0,0,IF('Replacement plan'!$V$13&lt;&gt;"",'Replacement plan'!$V$13,IF(E34=0,F34,VLOOKUP($A34,'Fleet register'!$A$7:$S$106,12,FALSE)+VLOOKUP($A34,'Fleet register'!$A$7:$S$106,13,FALSE)*MAX(0,VLOOKUP($A34,'Fleet register'!$A$7:$S$106,10,FALSE)-E34)/VLOOKUP($A34,'Fleet register'!$A$7:$S$106,14,FALSE)))),"n.a.")</f>
        <v>0</v>
      </c>
      <c r="I34" s="16">
        <f>IF(C34=0,0,IF(E34=120,0,'Replacement plan'!$T$13))</f>
        <v>0</v>
      </c>
      <c r="J34" s="16">
        <f>IF(C34=0,0,IF(P34="Complete",((S34*(R34-'Operating costs'!$B$39))+ROUNDUP(S34*(R34-'Operating costs'!$B$39)*IF('Replacement plan'!$AG$13="",'Operating costs'!$B$7,'Replacement plan'!$AG$13)/('Operating costs'!$B$8-'Operating costs'!$B$9*IF('Replacement plan'!$AG$13="",'Operating costs'!$B$7,'Replacement plan'!$AG$13)),0)*'Operating costs'!$B$9)*IF('Replacement plan'!$AG$13="",'Operating costs'!$B$7,'Replacement plan'!$AG$13)*('Energy and charging'!$C$9*'Energy and charging'!$C$7+(1-'Energy and charging'!$C$9)*'Energy and charging'!$C$8)*'Operating costs'!$B$23,"n.a."))</f>
        <v>0</v>
      </c>
      <c r="K34" s="16">
        <f>IF(C34=0,0,IF(P34="Complete",SUM('Operating costs'!$B$24,'Operating costs'!$B$27,'Operating costs'!$B$29,'Operating costs'!$B$31,'Operating costs'!$B$33,'Operating costs'!$B$34,'Operating costs'!$B$37,'Replacement plan'!$W$13)+'Operating costs'!$B$39*'Operating costs'!$B$42+ROUNDUP(S34*(R34-'Operating costs'!$B$39)*IF('Replacement plan'!$AG$13="",'Operating costs'!$B$7,'Replacement plan'!$AG$13)/('Operating costs'!$B$8-'Operating costs'!$B$9*IF('Replacement plan'!$AG$13="",'Operating costs'!$B$7,'Replacement plan'!$AG$13)),0)*('Operating costs'!$B$9/'Operating costs'!$B$11+'Operating costs'!$B$10/60)*'Operating costs'!$B$19*'Operating costs'!$B$21,"n.a."))</f>
        <v>0</v>
      </c>
      <c r="L34" s="16">
        <f>IF(C34=0,0,IF(P34="Complete",IF(D34="EV",X34*((1-T34)*'Energy and charging'!$C$10+T34*'Energy and charging'!$C$11)*'Operating costs'!$B$22,AA34*('Energy and charging'!$C$9*'Energy and charging'!$C$7+(1-'Energy and charging'!$C$9)*'Energy and charging'!$C$8)*'Operating costs'!$B$23),"n.a."))</f>
        <v>0</v>
      </c>
      <c r="M34" s="37">
        <f>IF(C34=0,0,IF(P34="Complete",IF(D34="ICE",SUM('Operating costs'!$B$25,'Operating costs'!$B$27,'Operating costs'!$B$29,'Operating costs'!$B$31,'Operating costs'!$B$33,'Operating costs'!$B$35,'Operating costs'!$B$37,'Replacement plan'!$X$13)+'Operating costs'!$B$40*'Operating costs'!$B$42+ROUNDUP(S34*(R34-'Operating costs'!$B$40)*IF('Replacement plan'!$AH$13="",'Operating costs'!$B$7,'Replacement plan'!$AH$13)/('Operating costs'!$B$8-'Operating costs'!$B$9*IF('Replacement plan'!$AH$13="",'Operating costs'!$B$7,'Replacement plan'!$AH$13)),0)*('Operating costs'!$B$9/'Operating costs'!$B$11+'Operating costs'!$B$10/60)*'Operating costs'!$B$19*'Operating costs'!$B$21,SUM(AP34,'Operating costs'!$B$28,'Operating costs'!$B$30,'Operating costs'!$B$32,'Operating costs'!$B$33,'Operating costs'!$B$36,'Operating costs'!$B$38,'Replacement plan'!$Y$13)+'Operating costs'!$B$41*'Operating costs'!$B$43+W34*'Operating costs'!$B$15+(T34*X34/'Replacement plan'!$L$13+W34*('Operating costs'!$B$12/'Operating costs'!$B$11+('Operating costs'!$B$13+'Operating costs'!$B$14)/60)+(R34-'Operating costs'!$B$41)*(IF(T34&lt;1,'Operating costs'!$B$16,0)+'Operating costs'!$B$17)/60)*'Operating costs'!$B$19*'Operating costs'!$B$20),"n.a."))</f>
        <v>0</v>
      </c>
      <c r="N34" s="16">
        <f>IF(AND(C34=1,D34="EV",E34&lt;120,E34+'Replacement plan'!$AA$13&lt;=120),'Replacement plan'!$Z$13,0)</f>
        <v>0</v>
      </c>
      <c r="O34" s="1">
        <f>E34+'Replacement plan'!$AA$13</f>
        <v>0</v>
      </c>
      <c r="P34" s="35" t="str">
        <f>IFERROR(IF(C34=0,"Excluded",IF(OR(COUNTIFS('Fleet register'!$A$7:$A$106,A34)&lt;&gt;1,COUNTIFS('Replacement plan'!$A$7:$A$106,A34)&lt;&gt;1),"Duplicate/missing ID",IF(NOT(AND(ISNUMBER(VLOOKUP($A34,'Fleet register'!$A$7:$S$106,5,FALSE)),ISNUMBER(VLOOKUP($A34,'Fleet register'!$A$7:$S$106,6,FALSE)),ISNUMBER(VLOOKUP($A34,'Fleet register'!$A$7:$S$106,10,FALSE)),ISNUMBER(VLOOKUP($A34,'Fleet register'!$A$7:$S$106,11,FALSE)),ISNUMBER(VLOOKUP($A34,'Fleet register'!$A$7:$S$106,12,FALSE)),ISNUMBER(VLOOKUP($A34,'Fleet register'!$A$7:$S$106,13,FALSE)),ISNUMBER(VLOOKUP($A34,'Fleet register'!$A$7:$S$106,14,FALSE)),VLOOKUP($A34,'Fleet register'!$A$7:$S$106,14,FALSE)&gt;0,ISNUMBER('Replacement plan'!$C$13),OR(E34=120,ISNUMBER('Replacement plan'!$T$13)),ISNUMBER(E34))),"Missing vehicle input",IF(OR(E34&lt;0,E34&gt;VLOOKUP($A34,'Fleet register'!$A$7:$S$106,10,FALSE),E34&gt;120,E34&lt;&gt;INT(E34),VLOOKUP($A34,'Fleet register'!$A$7:$S$106,6,FALSE)&lt;=0,VLOOKUP($A34,'Fleet register'!$A$7:$S$106,6,FALSE)&gt;366,VLOOKUP($A34,'Fleet register'!$A$7:$S$106,5,FALSE)&lt;0,VLOOKUP($A34,'Fleet register'!$A$7:$S$106,11,FALSE)&lt;0,I34&lt;0,'Operating costs'!$B$8&lt;='Operating costs'!$B$7*'Operating costs'!$B$9,'Operating costs'!$B$11&lt;=0,'Operating costs'!$B$39&gt;R34,'Operating costs'!$B$40&gt;R34,'Operating costs'!$B$41&gt;R34,NOT(OR('Replacement plan'!$R$13="Keep ICE",'Replacement plan'!$R$13="New ICE",'Replacement plan'!$R$13="EV"))),"Invalid vehicle input",IF(AND(D34="EV",E34&lt;120,OR(NOT(ISNUMBER(U34)),NOT(ISNUMBER(V34)),V34&lt;=0,T34&lt;0,T34&gt;1,'Replacement plan'!$L$13&lt;=0,'Operating costs'!$B$44&lt;0,'Operating costs'!$B$44&gt;=1,'Operating costs'!$B$47&lt;=0,'Operating costs'!$B$47&gt;1,V34*'Operating costs'!$B$47/(1-'Operating costs'!$B$44)&lt;=T34*'Operating costs'!$B$12*U34,AND('Replacement plan'!$Z$13&gt;0,OR('Replacement plan'!$AB$13&lt;&gt;"Yes",'Operating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charging'!$C$8&gt;=0))),ISNUMBER(VLOOKUP($A34,'Fleet register'!$A$7:$S$106,15,FALSE)),ISNUMBER(VLOOKUP($A34,'Fleet register'!$A$7:$S$106,16,FALSE)),ISNUMBER('Replacement plan'!$W$13),ISNUMBER('Replacement plan'!$X$13),OR(E34=120,AND(ISNUMBER(G34),G34&gt;=0)),ISNUMBER(H34),H34&gt;=0,OR(D34&lt;&gt;"EV",E34=120,AND(ISNUMBER('Operating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plan'!$Y$13),ISNUMBER('Replacement plan'!$Z$13),'Replacement plan'!$Z$13&gt;=0,ISNUMBER('Replacement plan'!$AA$13),'Replacement plan'!$AA$13&gt;=0,'Replacement plan'!$AA$13=INT('Replacement plan'!$AA$13),ISNUMBER('Replacement plan'!$L$13))),'Operating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plan'!$AG$13="",'Operating costs'!$B$7,'Replacement plan'!$AG$13)),IF('Replacement plan'!$AG$13="",'Operating costs'!$B$7,'Replacement plan'!$AG$13)&gt;=0,ISNUMBER(IF('Replacement plan'!$AH$13="",'Operating costs'!$B$7,'Replacement plan'!$AH$13)),IF('Replacement plan'!$AH$13="",'Operating costs'!$B$7,'Replacement plan'!$AH$13)&gt;=0,'Operating costs'!$B$8&gt;MAX(IF('Replacement plan'!$AG$13="",'Operating costs'!$B$7,'Replacement plan'!$AG$13),IF('Replacement plan'!$AH$13="",'Operating costs'!$B$7,'Replacement plan'!$AH$13))*'Operating costs'!$B$9),IF(AND(VLOOKUP($A34,'Fleet register'!$A$7:$S$106,10,FALSE)&gt;=0,VLOOKUP($A34,'Fleet register'!$A$7:$S$106,10,FALSE)&lt;=120,VLOOKUP($A34,'Fleet register'!$A$7:$S$106,10,FALSE)=INT(VLOOKUP($A34,'Fleet register'!$A$7:$S$106,10,FALSE)),VLOOKUP($A34,'Fleet register'!$A$7:$S$106,15,FALSE)&gt;=0,VLOOKUP($A34,'Fleet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costs'!$B$67)&gt;=0,OR(D34&lt;&gt;"EV",E34=120,AND(MIN('Operating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4" s="1" t="str">
        <f>IF(C34=0,"Excluded",IF(P34&lt;&gt;"Complete",P34,IF(OR('Replacement plan'!$AD$13&lt;120-E34,AND(D34="EV",E34&lt;120,OR('Replacement plan'!$AC$13&lt;120-E34,'Replacement plan'!$I$13="No",AND(ISNUMBER(AF34),AE34&gt;AF34),AI34&gt;V34*(1-'Operating costs'!$B$46)^MAX(0,AB34-1)*(1-'Operating costs'!$B$45),AC34&gt;'Operating costs'!$B$18,AND(T34&lt;1,OR(AG34&lt;=0,AND(ISNUMBER(AH34),AG34&gt;AH34))),'Replacement plan'!$L$13&gt;INDEX(Products!$H$7:$H$13,MATCH('Replacement plan'!$B$13,Products!$A$7:$A$13,0))))),"Fails entered limits",IF(AND(D34="EV",E34&lt;120,OR(NOT(ISNUMBER(VLOOKUP($A34,'Fleet register'!$A$7:$S$106,7,FALSE))),NOT(ISNUMBER(VLOOKUP($A34,'Fleet register'!$A$7:$S$106,8,FALSE))),NOT(ISNUMBER(AF34)),'Replacement plan'!$I$13&lt;&gt;"Yes",NOT(ISNUMBER(AH34)),'Operating costs'!$B$59&lt;&gt;"Yes",'Operating costs'!$B$58&lt;&gt;"Yes")),"Unverified","Within entered limits"))))</f>
        <v>Excluded</v>
      </c>
      <c r="R34" s="1">
        <f>IF(C34=0,0,VLOOKUP($A34,'Fleet register'!$A$7:$S$106,6,FALSE))</f>
        <v>0</v>
      </c>
      <c r="S34" s="1">
        <f>IF(C34=0,0,VLOOKUP($A34,'Fleet register'!$A$7:$S$106,5,FALSE))</f>
        <v>0</v>
      </c>
      <c r="T34" s="1">
        <f>IF(D34="EV",'Energy and charging'!$C$12,0)</f>
        <v>0</v>
      </c>
      <c r="U34" s="1">
        <f>IFERROR(IF(C34=0,0,IF(D34="EV",IF('Replacement plan'!$F$13="",INDEX(Products!$E$7:$E$13,MATCH('Replacement plan'!$B$13,Products!$A$7:$A$13,0)),'Replacement plan'!$F$13)/IF('Replacement plan'!$G$13="Battery",1-'Operating costs'!$B$44,1),0)),"n.a.")</f>
        <v>0</v>
      </c>
      <c r="V34" s="1">
        <f>IFERROR(IF(C34=0,0,IF(D34="EV",IF('Replacement plan'!$E$13="",INDEX(Products!$D$7:$D$13,MATCH('Replacement plan'!$B$13,Products!$A$7:$A$13,0)),'Replacement plan'!$E$13),0)),"n.a.")</f>
        <v>0</v>
      </c>
      <c r="W34" s="1">
        <f>IF(C34=0,0,IF(AND(P34="Complete",D34="EV",E34&lt;120),IF(T34=0,0,ROUNDUP(T34*(R34-'Operating costs'!$B$41)*(S34*U34+'Operating costs'!$B$48/(1-'Operating costs'!$B$44))/(V34*'Operating costs'!$B$47/(1-'Operating costs'!$B$44)-T34*'Operating costs'!$B$12*U34),0)),0))</f>
        <v>0</v>
      </c>
      <c r="X34" s="1">
        <f>IF(C34=0,0,IF(AND(P34="Complete",D34="EV",E34&lt;120),(R34-'Operating costs'!$B$41)*(S34*U34+'Operating costs'!$B$48/(1-'Operating costs'!$B$44))+W34*'Operating costs'!$B$12*U34,0))</f>
        <v>0</v>
      </c>
      <c r="Y34" s="1">
        <f>IF(AND(C34=1,D34="EV",E34&lt;120),AI34/(1-'Operating costs'!$B$44)*(1-T34),0)</f>
        <v>0</v>
      </c>
      <c r="Z34" s="1">
        <f t="shared" si="0"/>
        <v>0</v>
      </c>
      <c r="AA34" s="1">
        <f>IF(C34=0,0,IF(P34="Complete",((S34*(R34-'Operating costs'!$B$40))+ROUNDUP(S34*(R34-'Operating costs'!$B$40)*IF('Replacement plan'!$AH$13="",'Operating costs'!$B$7,'Replacement plan'!$AH$13)/('Operating costs'!$B$8-'Operating costs'!$B$9*IF('Replacement plan'!$AH$13="",'Operating costs'!$B$7,'Replacement plan'!$AH$13)),0)*'Operating costs'!$B$9)*IF('Replacement plan'!$AH$13="",'Operating costs'!$B$7,'Replacement plan'!$AH$13),"n.a."))</f>
        <v>0</v>
      </c>
      <c r="AB34" s="1">
        <f t="shared" si="1"/>
        <v>0</v>
      </c>
      <c r="AC34" s="1">
        <f>IF(AND(C34=1,D34="EV",E34&lt;120,T34&gt;0),'Operating costs'!$B$12/'Operating costs'!$B$11*60+'Operating costs'!$B$13+'Operating costs'!$B$14+V34*'Operating costs'!$B$47/(1-'Operating costs'!$B$44)/'Replacement plan'!$L$13*60,0)</f>
        <v>0</v>
      </c>
      <c r="AD34" s="1" t="str">
        <f>'Replacement plan'!$B$13</f>
        <v>ChengLong L2EV</v>
      </c>
      <c r="AE34" s="1">
        <f>IF(C34=0,0,VLOOKUP($A34,'Fleet register'!$A$7:$S$106,8,FALSE))</f>
        <v>0</v>
      </c>
      <c r="AF34" s="1" t="str">
        <f>IF('Replacement plan'!$H$13="","n.a.",'Replacement plan'!$H$13)</f>
        <v>n.a.</v>
      </c>
      <c r="AG34" s="1">
        <f>'Replacement plan'!$J$13</f>
        <v>22</v>
      </c>
      <c r="AH34" s="1">
        <f>IFERROR(IF(D34="EV",IF('Replacement plan'!$K$13="AC",IF(ISNUMBER(INDEX(Products!$G$7:$G$13,MATCH('Replacement plan'!$B$13,Products!$A$7:$A$13,0))),INDEX(Products!$G$7:$G$13,MATCH('Replacement plan'!$B$13,Products!$A$7:$A$13,0)),"n.a."),IF(ISNUMBER(INDEX(Products!$H$7:$H$13,MATCH('Replacement plan'!$B$13,Products!$A$7:$A$13,0))),INDEX(Products!$H$7:$H$13,MATCH('Replacement plan'!$B$13,Products!$A$7:$A$13,0)),"n.a.")),0),"n.a.")</f>
        <v>0</v>
      </c>
      <c r="AI34" s="1">
        <f>IF(AND(C34=1,D34="EV",E34&lt;120),(VLOOKUP($A34,'Fleet register'!$A$7:$S$106,7,FALSE)+IF(T34&gt;0,'Operating costs'!$B$12,0))*U34*(1-'Operating costs'!$B$44)+'Operating costs'!$B$49,0)</f>
        <v>0</v>
      </c>
      <c r="AJ34" s="1">
        <f>IF(D34="EV",'Energy and charging'!$C$50,0)</f>
        <v>0</v>
      </c>
      <c r="AK34" s="17">
        <f>EDATE('Operating costs'!$B$63,E34)</f>
        <v>46298</v>
      </c>
      <c r="AL34" s="1">
        <f>IFERROR(IF(D34="EV",INDEX(Products!$B$7:$B$13,MATCH('Replacement plan'!$B$13,Products!$A$7:$A$13,0)),0),"n.a.")</f>
        <v>0</v>
      </c>
      <c r="AM34" s="1" t="str">
        <f>'Replacement plan'!$K$13</f>
        <v>DC</v>
      </c>
      <c r="AN34" s="1" t="str">
        <f>'Replacement plan'!$AE$13</f>
        <v>Assumed</v>
      </c>
      <c r="AO34" s="47">
        <f>IF(AND(C34=1,D34="EV",E34&lt;120),(R34-'Operating costs'!$B$41)*S34+W34*'Operating costs'!$B$12,0)</f>
        <v>0</v>
      </c>
      <c r="AP34" s="41">
        <f>IF(AND(C34=1,D34="EV",E34&lt;120),IF('Operating costs'!$B$68="Hong Seh 200k average",AO34*IFERROR(INDEX(Products!$P$7:$P$13,MATCH(AD34,Products!$A$7:$A$13,0)),"n.a."),'Operating costs'!$B$26),0)</f>
        <v>0</v>
      </c>
      <c r="AQ34" s="40" t="str">
        <f>IF(D34="EV",'Operating costs'!$B$68,"Not applicable")</f>
        <v>Not applicable</v>
      </c>
    </row>
    <row r="35" spans="1:43" ht="24" customHeight="1">
      <c r="A35" s="1" t="str">
        <f>'Replacement plan'!A14</f>
        <v>T008</v>
      </c>
      <c r="B35" s="1">
        <v>0</v>
      </c>
      <c r="C35" s="1">
        <f>IF(COUNTIFS('Fleet register'!$A$7:$A$106,$A35)=1,VLOOKUP($A35,'Fleet register'!$A$7:$S$106,2,FALSE),0)</f>
        <v>0</v>
      </c>
      <c r="D35" s="1" t="str">
        <f>IF("Keep ICE"="EV","EV","ICE")</f>
        <v>ICE</v>
      </c>
      <c r="E35" s="1">
        <f>IF(C35=0,0,IF('Replacement plan'!$M$14="",VLOOKUP($A35,'Fleet register'!$A$7:$S$106,10,FALSE),'Replacement plan'!$M$14))</f>
        <v>0</v>
      </c>
      <c r="F35" s="16">
        <f>IF(C35=0,0,VLOOKUP($A35,'Fleet register'!$A$7:$S$106,11,FALSE))</f>
        <v>0</v>
      </c>
      <c r="G35" s="16">
        <f>IFERROR(IF(C35=0,0,IF(E35=120,0,IF(D35="ICE",'Replacement plan'!$C$14,IF('Replacement plan'!$D$14="",INDEX(Products!$I$7:$I$13,MATCH('Replacement plan'!$B$14,Products!$A$7:$A$13,0))+'Operating costs'!$B$57,'Replacement plan'!$D$14))*(1+'Operating costs'!$B$50)^(E35/12))),"n.a.")</f>
        <v>0</v>
      </c>
      <c r="H35" s="16">
        <f>IFERROR(IF(C35=0,0,IF(E35=0,F35,VLOOKUP($A35,'Fleet register'!$A$7:$S$106,12,FALSE)+VLOOKUP($A35,'Fleet register'!$A$7:$S$106,13,FALSE)*MAX(0,VLOOKUP($A35,'Fleet register'!$A$7:$S$106,10,FALSE)-E35)/VLOOKUP($A35,'Fleet register'!$A$7:$S$106,14,FALSE))),"n.a.")</f>
        <v>0</v>
      </c>
      <c r="I35" s="16">
        <f>IF(C35=0,0,IF(E35=120,0,'Replacement plan'!$N$14))</f>
        <v>0</v>
      </c>
      <c r="J35" s="16">
        <f>IF(C35=0,0,IF(P35="Complete",((S35*(R35-'Operating costs'!$B$39))+ROUNDUP(S35*(R35-'Operating costs'!$B$39)*IF('Replacement plan'!$AG$14="",'Operating costs'!$B$7,'Replacement plan'!$AG$14)/('Operating costs'!$B$8-'Operating costs'!$B$9*IF('Replacement plan'!$AG$14="",'Operating costs'!$B$7,'Replacement plan'!$AG$14)),0)*'Operating costs'!$B$9)*IF('Replacement plan'!$AG$14="",'Operating costs'!$B$7,'Replacement plan'!$AG$14)*('Energy and charging'!$B$9*'Energy and charging'!$B$7+(1-'Energy and charging'!$B$9)*'Energy and charging'!$B$8)*'Operating costs'!$B$23,"n.a."))</f>
        <v>0</v>
      </c>
      <c r="K35" s="16">
        <f>IF(C35=0,0,IF(P35="Complete",SUM('Operating costs'!$B$24,'Operating costs'!$B$27,'Operating costs'!$B$29,'Operating costs'!$B$31,'Operating costs'!$B$33,'Operating costs'!$B$34,'Operating costs'!$B$37,'Replacement plan'!$W$14)+'Operating costs'!$B$39*'Operating costs'!$B$42+ROUNDUP(S35*(R35-'Operating costs'!$B$39)*IF('Replacement plan'!$AG$14="",'Operating costs'!$B$7,'Replacement plan'!$AG$14)/('Operating costs'!$B$8-'Operating costs'!$B$9*IF('Replacement plan'!$AG$14="",'Operating costs'!$B$7,'Replacement plan'!$AG$14)),0)*('Operating costs'!$B$9/'Operating costs'!$B$11+'Operating costs'!$B$10/60)*'Operating costs'!$B$19*'Operating costs'!$B$21,"n.a."))</f>
        <v>0</v>
      </c>
      <c r="L35" s="16">
        <f>IF(C35=0,0,IF(P35="Complete",IF(D35="EV",X35*((1-T35)*'Energy and charging'!$B$10+T35*'Energy and charging'!$B$11)*'Operating costs'!$B$22,AA35*('Energy and charging'!$B$9*'Energy and charging'!$B$7+(1-'Energy and charging'!$B$9)*'Energy and charging'!$B$8)*'Operating costs'!$B$23),"n.a."))</f>
        <v>0</v>
      </c>
      <c r="M35" s="37">
        <f>IF(C35=0,0,IF(P35="Complete",IF(D35="ICE",SUM('Operating costs'!$B$25,'Operating costs'!$B$27,'Operating costs'!$B$29,'Operating costs'!$B$31,'Operating costs'!$B$33,'Operating costs'!$B$35,'Operating costs'!$B$37,'Replacement plan'!$X$14)+'Operating costs'!$B$40*'Operating costs'!$B$42+ROUNDUP(S35*(R35-'Operating costs'!$B$40)*IF('Replacement plan'!$AH$14="",'Operating costs'!$B$7,'Replacement plan'!$AH$14)/('Operating costs'!$B$8-'Operating costs'!$B$9*IF('Replacement plan'!$AH$14="",'Operating costs'!$B$7,'Replacement plan'!$AH$14)),0)*('Operating costs'!$B$9/'Operating costs'!$B$11+'Operating costs'!$B$10/60)*'Operating costs'!$B$19*'Operating costs'!$B$21,SUM(AP35,'Operating costs'!$B$28,'Operating costs'!$B$30,'Operating costs'!$B$32,'Operating costs'!$B$33,'Operating costs'!$B$36,'Operating costs'!$B$38,'Replacement plan'!$Y$14)+'Operating costs'!$B$41*'Operating costs'!$B$43+W35*'Operating costs'!$B$15+(T35*X35/'Replacement plan'!$L$14+W35*('Operating costs'!$B$12/'Operating costs'!$B$11+('Operating costs'!$B$13+'Operating costs'!$B$14)/60)+(R35-'Operating costs'!$B$41)*(IF(T35&lt;1,'Operating costs'!$B$16,0)+'Operating costs'!$B$17)/60)*'Operating costs'!$B$19*'Operating costs'!$B$20),"n.a."))</f>
        <v>0</v>
      </c>
      <c r="N35" s="16">
        <f>IF(AND(C35=1,D35="EV",E35&lt;120,E35+'Replacement plan'!$AA$14&lt;=120),'Replacement plan'!$Z$14,0)</f>
        <v>0</v>
      </c>
      <c r="O35" s="1">
        <f>E35+'Replacement plan'!$AA$14</f>
        <v>0</v>
      </c>
      <c r="P35" s="35" t="str">
        <f>IFERROR(IF(C35=0,"Excluded",IF(OR(COUNTIFS('Fleet register'!$A$7:$A$106,A35)&lt;&gt;1,COUNTIFS('Replacement plan'!$A$7:$A$106,A35)&lt;&gt;1),"Duplicate/missing ID",IF(NOT(AND(ISNUMBER(VLOOKUP($A35,'Fleet register'!$A$7:$S$106,5,FALSE)),ISNUMBER(VLOOKUP($A35,'Fleet register'!$A$7:$S$106,6,FALSE)),ISNUMBER(VLOOKUP($A35,'Fleet register'!$A$7:$S$106,10,FALSE)),ISNUMBER(VLOOKUP($A35,'Fleet register'!$A$7:$S$106,11,FALSE)),ISNUMBER(VLOOKUP($A35,'Fleet register'!$A$7:$S$106,12,FALSE)),ISNUMBER(VLOOKUP($A35,'Fleet register'!$A$7:$S$106,13,FALSE)),ISNUMBER(VLOOKUP($A35,'Fleet register'!$A$7:$S$106,14,FALSE)),VLOOKUP($A35,'Fleet register'!$A$7:$S$106,14,FALSE)&gt;0,ISNUMBER('Replacement plan'!$C$14),OR(E35=120,ISNUMBER('Replacement plan'!$N$14)),ISNUMBER(E35))),"Missing vehicle input",IF(OR(E35&lt;0,E35&gt;VLOOKUP($A35,'Fleet register'!$A$7:$S$106,10,FALSE),E35&gt;120,E35&lt;&gt;INT(E35),VLOOKUP($A35,'Fleet register'!$A$7:$S$106,6,FALSE)&lt;=0,VLOOKUP($A35,'Fleet register'!$A$7:$S$106,6,FALSE)&gt;366,VLOOKUP($A35,'Fleet register'!$A$7:$S$106,5,FALSE)&lt;0,VLOOKUP($A35,'Fleet register'!$A$7:$S$106,11,FALSE)&lt;0,I35&lt;0,'Operating costs'!$B$8&lt;='Operating costs'!$B$7*'Operating costs'!$B$9,'Operating costs'!$B$11&lt;=0,'Operating costs'!$B$39&gt;R35,'Operating costs'!$B$40&gt;R35,'Operating costs'!$B$41&gt;R35,NOT(OR("Keep ICE"="Keep ICE","Keep ICE"="New ICE","Keep ICE"="EV"))),"Invalid vehicle input",IF(AND(D35="EV",E35&lt;120,OR(NOT(ISNUMBER(U35)),NOT(ISNUMBER(V35)),V35&lt;=0,T35&lt;0,T35&gt;1,'Replacement plan'!$L$14&lt;=0,'Operating costs'!$B$44&lt;0,'Operating costs'!$B$44&gt;=1,'Operating costs'!$B$47&lt;=0,'Operating costs'!$B$47&gt;1,V35*'Operating costs'!$B$47/(1-'Operating costs'!$B$44)&lt;=T35*'Operating costs'!$B$12*U35,AND('Replacement plan'!$Z$14&gt;0,OR('Replacement plan'!$AB$14&lt;&gt;"Yes",'Operating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charging'!$B$8&gt;=0))),ISNUMBER(VLOOKUP($A35,'Fleet register'!$A$7:$S$106,15,FALSE)),ISNUMBER(VLOOKUP($A35,'Fleet register'!$A$7:$S$106,16,FALSE)),ISNUMBER('Replacement plan'!$W$14),ISNUMBER('Replacement plan'!$X$14),OR(E35=120,AND(ISNUMBER(G35),G35&gt;=0)),ISNUMBER(H35),H35&gt;=0,OR(D35&lt;&gt;"EV",E35=120,AND(ISNUMBER('Operating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plan'!$Y$14),ISNUMBER('Replacement plan'!$Z$14),'Replacement plan'!$Z$14&gt;=0,ISNUMBER('Replacement plan'!$AA$14),'Replacement plan'!$AA$14&gt;=0,'Replacement plan'!$AA$14=INT('Replacement plan'!$AA$14),ISNUMBER('Replacement plan'!$L$14))),'Operating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plan'!$AG$14="",'Operating costs'!$B$7,'Replacement plan'!$AG$14)),IF('Replacement plan'!$AG$14="",'Operating costs'!$B$7,'Replacement plan'!$AG$14)&gt;=0,ISNUMBER(IF('Replacement plan'!$AH$14="",'Operating costs'!$B$7,'Replacement plan'!$AH$14)),IF('Replacement plan'!$AH$14="",'Operating costs'!$B$7,'Replacement plan'!$AH$14)&gt;=0,'Operating costs'!$B$8&gt;MAX(IF('Replacement plan'!$AG$14="",'Operating costs'!$B$7,'Replacement plan'!$AG$14),IF('Replacement plan'!$AH$14="",'Operating costs'!$B$7,'Replacement plan'!$AH$14))*'Operating costs'!$B$9),IF(AND(VLOOKUP($A35,'Fleet register'!$A$7:$S$106,10,FALSE)&gt;=0,VLOOKUP($A35,'Fleet register'!$A$7:$S$106,10,FALSE)&lt;=120,VLOOKUP($A35,'Fleet register'!$A$7:$S$106,10,FALSE)=INT(VLOOKUP($A35,'Fleet register'!$A$7:$S$106,10,FALSE)),VLOOKUP($A35,'Fleet register'!$A$7:$S$106,15,FALSE)&gt;=0,VLOOKUP($A35,'Fleet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costs'!$B$67)&gt;=0,OR(D35&lt;&gt;"EV",E35=120,AND(MIN('Operating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5" s="1" t="str">
        <f>IF(C35=0,"Excluded",IF(P35&lt;&gt;"Complete",P35,IF(OR('Replacement plan'!$AD$14&lt;120-E35,AND(D35="EV",E35&lt;120,OR('Replacement plan'!$AC$14&lt;120-E35,'Replacement plan'!$I$14="No",AND(ISNUMBER(AF35),AE35&gt;AF35),AI35&gt;V35*(1-'Operating costs'!$B$46)^MAX(0,AB35-1)*(1-'Operating costs'!$B$45),AC35&gt;'Operating costs'!$B$18,AND(T35&lt;1,OR(AG35&lt;=0,AND(ISNUMBER(AH35),AG35&gt;AH35))),'Replacement plan'!$L$14&gt;INDEX(Products!$H$7:$H$13,MATCH('Replacement plan'!$B$14,Products!$A$7:$A$13,0))))),"Fails entered limits",IF(AND(D35="EV",E35&lt;120,OR(NOT(ISNUMBER(VLOOKUP($A35,'Fleet register'!$A$7:$S$106,7,FALSE))),NOT(ISNUMBER(VLOOKUP($A35,'Fleet register'!$A$7:$S$106,8,FALSE))),NOT(ISNUMBER(AF35)),'Replacement plan'!$I$14&lt;&gt;"Yes",NOT(ISNUMBER(AH35)),'Operating costs'!$B$59&lt;&gt;"Yes",'Operating costs'!$B$58&lt;&gt;"Yes")),"Unverified","Within entered limits"))))</f>
        <v>Excluded</v>
      </c>
      <c r="R35" s="1">
        <f>IF(C35=0,0,VLOOKUP($A35,'Fleet register'!$A$7:$S$106,6,FALSE))</f>
        <v>0</v>
      </c>
      <c r="S35" s="1">
        <f>IF(C35=0,0,VLOOKUP($A35,'Fleet register'!$A$7:$S$106,5,FALSE))</f>
        <v>0</v>
      </c>
      <c r="T35" s="1">
        <f>IF(D35="EV",'Energy and charging'!$B$12,0)</f>
        <v>0</v>
      </c>
      <c r="U35" s="1">
        <f>IFERROR(IF(C35=0,0,IF(D35="EV",IF('Replacement plan'!$F$14="",INDEX(Products!$E$7:$E$13,MATCH('Replacement plan'!$B$14,Products!$A$7:$A$13,0)),'Replacement plan'!$F$14)/IF('Replacement plan'!$G$14="Battery",1-'Operating costs'!$B$44,1),0)),"n.a.")</f>
        <v>0</v>
      </c>
      <c r="V35" s="1">
        <f>IFERROR(IF(C35=0,0,IF(D35="EV",IF('Replacement plan'!$E$14="",INDEX(Products!$D$7:$D$13,MATCH('Replacement plan'!$B$14,Products!$A$7:$A$13,0)),'Replacement plan'!$E$14),0)),"n.a.")</f>
        <v>0</v>
      </c>
      <c r="W35" s="1">
        <f>IF(C35=0,0,IF(AND(P35="Complete",D35="EV",E35&lt;120),IF(T35=0,0,ROUNDUP(T35*(R35-'Operating costs'!$B$41)*(S35*U35+'Operating costs'!$B$48/(1-'Operating costs'!$B$44))/(V35*'Operating costs'!$B$47/(1-'Operating costs'!$B$44)-T35*'Operating costs'!$B$12*U35),0)),0))</f>
        <v>0</v>
      </c>
      <c r="X35" s="1">
        <f>IF(C35=0,0,IF(AND(P35="Complete",D35="EV",E35&lt;120),(R35-'Operating costs'!$B$41)*(S35*U35+'Operating costs'!$B$48/(1-'Operating costs'!$B$44))+W35*'Operating costs'!$B$12*U35,0))</f>
        <v>0</v>
      </c>
      <c r="Y35" s="1">
        <f>IF(AND(C35=1,D35="EV",E35&lt;120),AI35/(1-'Operating costs'!$B$44)*(1-T35),0)</f>
        <v>0</v>
      </c>
      <c r="Z35" s="1">
        <f t="shared" si="0"/>
        <v>0</v>
      </c>
      <c r="AA35" s="1">
        <f>IF(C35=0,0,IF(P35="Complete",((S35*(R35-'Operating costs'!$B$40))+ROUNDUP(S35*(R35-'Operating costs'!$B$40)*IF('Replacement plan'!$AH$14="",'Operating costs'!$B$7,'Replacement plan'!$AH$14)/('Operating costs'!$B$8-'Operating costs'!$B$9*IF('Replacement plan'!$AH$14="",'Operating costs'!$B$7,'Replacement plan'!$AH$14)),0)*'Operating costs'!$B$9)*IF('Replacement plan'!$AH$14="",'Operating costs'!$B$7,'Replacement plan'!$AH$14),"n.a."))</f>
        <v>0</v>
      </c>
      <c r="AB35" s="1">
        <f t="shared" si="1"/>
        <v>0</v>
      </c>
      <c r="AC35" s="1">
        <f>IF(AND(C35=1,D35="EV",E35&lt;120,T35&gt;0),'Operating costs'!$B$12/'Operating costs'!$B$11*60+'Operating costs'!$B$13+'Operating costs'!$B$14+V35*'Operating costs'!$B$47/(1-'Operating costs'!$B$44)/'Replacement plan'!$L$14*60,0)</f>
        <v>0</v>
      </c>
      <c r="AD35" s="1" t="str">
        <f>'Replacement plan'!$B$14</f>
        <v>ChengLong L2EV</v>
      </c>
      <c r="AE35" s="1">
        <f>IF(C35=0,0,VLOOKUP($A35,'Fleet register'!$A$7:$S$106,8,FALSE))</f>
        <v>0</v>
      </c>
      <c r="AF35" s="1" t="str">
        <f>IF('Replacement plan'!$H$14="","n.a.",'Replacement plan'!$H$14)</f>
        <v>n.a.</v>
      </c>
      <c r="AG35" s="1">
        <f>'Replacement plan'!$J$14</f>
        <v>22</v>
      </c>
      <c r="AH35" s="1">
        <f>IFERROR(IF(D35="EV",IF('Replacement plan'!$K$14="AC",IF(ISNUMBER(INDEX(Products!$G$7:$G$13,MATCH('Replacement plan'!$B$14,Products!$A$7:$A$13,0))),INDEX(Products!$G$7:$G$13,MATCH('Replacement plan'!$B$14,Products!$A$7:$A$13,0)),"n.a."),IF(ISNUMBER(INDEX(Products!$H$7:$H$13,MATCH('Replacement plan'!$B$14,Products!$A$7:$A$13,0))),INDEX(Products!$H$7:$H$13,MATCH('Replacement plan'!$B$14,Products!$A$7:$A$13,0)),"n.a.")),0),"n.a.")</f>
        <v>0</v>
      </c>
      <c r="AI35" s="1">
        <f>IF(AND(C35=1,D35="EV",E35&lt;120),(VLOOKUP($A35,'Fleet register'!$A$7:$S$106,7,FALSE)+IF(T35&gt;0,'Operating costs'!$B$12,0))*U35*(1-'Operating costs'!$B$44)+'Operating costs'!$B$49,0)</f>
        <v>0</v>
      </c>
      <c r="AJ35" s="1">
        <f>IF(D35="EV",'Energy and charging'!$B$50,0)</f>
        <v>0</v>
      </c>
      <c r="AK35" s="17">
        <f>EDATE('Operating costs'!$B$63,E35)</f>
        <v>46298</v>
      </c>
      <c r="AL35" s="1">
        <f>IFERROR(IF(D35="EV",INDEX(Products!$B$7:$B$13,MATCH('Replacement plan'!$B$14,Products!$A$7:$A$13,0)),0),"n.a.")</f>
        <v>0</v>
      </c>
      <c r="AM35" s="1" t="str">
        <f>'Replacement plan'!$K$14</f>
        <v>DC</v>
      </c>
      <c r="AN35" s="1" t="str">
        <f>'Replacement plan'!$AE$14</f>
        <v>Assumed</v>
      </c>
      <c r="AO35" s="47">
        <f>IF(AND(C35=1,D35="EV",E35&lt;120),(R35-'Operating costs'!$B$41)*S35+W35*'Operating costs'!$B$12,0)</f>
        <v>0</v>
      </c>
      <c r="AP35" s="41">
        <f>IF(AND(C35=1,D35="EV",E35&lt;120),IF('Operating costs'!$B$68="Hong Seh 200k average",AO35*IFERROR(INDEX(Products!$P$7:$P$13,MATCH(AD35,Products!$A$7:$A$13,0)),"n.a."),'Operating costs'!$B$26),0)</f>
        <v>0</v>
      </c>
      <c r="AQ35" s="40" t="str">
        <f>IF(D35="EV",'Operating costs'!$B$68,"Not applicable")</f>
        <v>Not applicable</v>
      </c>
    </row>
    <row r="36" spans="1:43" ht="24" customHeight="1">
      <c r="A36" s="1" t="str">
        <f>'Replacement plan'!A14</f>
        <v>T008</v>
      </c>
      <c r="B36" s="1">
        <v>1</v>
      </c>
      <c r="C36" s="1">
        <f>IF(COUNTIFS('Fleet register'!$A$7:$A$106,$A36)=1,VLOOKUP($A36,'Fleet register'!$A$7:$S$106,2,FALSE),0)</f>
        <v>0</v>
      </c>
      <c r="D36" s="1" t="str">
        <f>IF("New ICE"="EV","EV","ICE")</f>
        <v>ICE</v>
      </c>
      <c r="E36" s="1">
        <f>IF(C36=0,0,0)</f>
        <v>0</v>
      </c>
      <c r="F36" s="16">
        <f>IF(C36=0,0,VLOOKUP($A36,'Fleet register'!$A$7:$S$106,11,FALSE))</f>
        <v>0</v>
      </c>
      <c r="G36" s="16">
        <f>IFERROR(IF(C36=0,0,IF(E36=120,0,IF(D36="ICE",'Replacement plan'!$C$14,IF('Replacement plan'!$D$14="",INDEX(Products!$I$7:$I$13,MATCH('Replacement plan'!$B$14,Products!$A$7:$A$13,0))+'Operating costs'!$B$57,'Replacement plan'!$D$14))*(1+'Operating costs'!$B$50)^(E36/12))),"n.a.")</f>
        <v>0</v>
      </c>
      <c r="H36" s="16">
        <f>IFERROR(IF(C36=0,0,IF(E36=0,F36,VLOOKUP($A36,'Fleet register'!$A$7:$S$106,12,FALSE)+VLOOKUP($A36,'Fleet register'!$A$7:$S$106,13,FALSE)*MAX(0,VLOOKUP($A36,'Fleet register'!$A$7:$S$106,10,FALSE)-E36)/VLOOKUP($A36,'Fleet register'!$A$7:$S$106,14,FALSE))),"n.a.")</f>
        <v>0</v>
      </c>
      <c r="I36" s="16">
        <f>IF(C36=0,0,IF(E36=120,0,IF('Replacement plan'!$AI$14="",'Operating costs'!$B$56,'Replacement plan'!$AI$14)))</f>
        <v>0</v>
      </c>
      <c r="J36" s="16">
        <f>IF(C36=0,0,IF(P36="Complete",((S36*(R36-'Operating costs'!$B$39))+ROUNDUP(S36*(R36-'Operating costs'!$B$39)*IF('Replacement plan'!$AG$14="",'Operating costs'!$B$7,'Replacement plan'!$AG$14)/('Operating costs'!$B$8-'Operating costs'!$B$9*IF('Replacement plan'!$AG$14="",'Operating costs'!$B$7,'Replacement plan'!$AG$14)),0)*'Operating costs'!$B$9)*IF('Replacement plan'!$AG$14="",'Operating costs'!$B$7,'Replacement plan'!$AG$14)*('Energy and charging'!$B$9*'Energy and charging'!$B$7+(1-'Energy and charging'!$B$9)*'Energy and charging'!$B$8)*'Operating costs'!$B$23,"n.a."))</f>
        <v>0</v>
      </c>
      <c r="K36" s="16">
        <f>IF(C36=0,0,IF(P36="Complete",SUM('Operating costs'!$B$24,'Operating costs'!$B$27,'Operating costs'!$B$29,'Operating costs'!$B$31,'Operating costs'!$B$33,'Operating costs'!$B$34,'Operating costs'!$B$37,'Replacement plan'!$W$14)+'Operating costs'!$B$39*'Operating costs'!$B$42+ROUNDUP(S36*(R36-'Operating costs'!$B$39)*IF('Replacement plan'!$AG$14="",'Operating costs'!$B$7,'Replacement plan'!$AG$14)/('Operating costs'!$B$8-'Operating costs'!$B$9*IF('Replacement plan'!$AG$14="",'Operating costs'!$B$7,'Replacement plan'!$AG$14)),0)*('Operating costs'!$B$9/'Operating costs'!$B$11+'Operating costs'!$B$10/60)*'Operating costs'!$B$19*'Operating costs'!$B$21,"n.a."))</f>
        <v>0</v>
      </c>
      <c r="L36" s="16">
        <f>IF(C36=0,0,IF(P36="Complete",IF(D36="EV",X36*((1-T36)*'Energy and charging'!$B$10+T36*'Energy and charging'!$B$11)*'Operating costs'!$B$22,AA36*('Energy and charging'!$B$9*'Energy and charging'!$B$7+(1-'Energy and charging'!$B$9)*'Energy and charging'!$B$8)*'Operating costs'!$B$23),"n.a."))</f>
        <v>0</v>
      </c>
      <c r="M36" s="37">
        <f>IF(C36=0,0,IF(P36="Complete",IF(D36="ICE",SUM('Operating costs'!$B$25,'Operating costs'!$B$27,'Operating costs'!$B$29,'Operating costs'!$B$31,'Operating costs'!$B$33,'Operating costs'!$B$35,'Operating costs'!$B$37,'Replacement plan'!$X$14)+'Operating costs'!$B$40*'Operating costs'!$B$42+ROUNDUP(S36*(R36-'Operating costs'!$B$40)*IF('Replacement plan'!$AH$14="",'Operating costs'!$B$7,'Replacement plan'!$AH$14)/('Operating costs'!$B$8-'Operating costs'!$B$9*IF('Replacement plan'!$AH$14="",'Operating costs'!$B$7,'Replacement plan'!$AH$14)),0)*('Operating costs'!$B$9/'Operating costs'!$B$11+'Operating costs'!$B$10/60)*'Operating costs'!$B$19*'Operating costs'!$B$21,SUM(AP36,'Operating costs'!$B$28,'Operating costs'!$B$30,'Operating costs'!$B$32,'Operating costs'!$B$33,'Operating costs'!$B$36,'Operating costs'!$B$38,'Replacement plan'!$Y$14)+'Operating costs'!$B$41*'Operating costs'!$B$43+W36*'Operating costs'!$B$15+(T36*X36/'Replacement plan'!$L$14+W36*('Operating costs'!$B$12/'Operating costs'!$B$11+('Operating costs'!$B$13+'Operating costs'!$B$14)/60)+(R36-'Operating costs'!$B$41)*(IF(T36&lt;1,'Operating costs'!$B$16,0)+'Operating costs'!$B$17)/60)*'Operating costs'!$B$19*'Operating costs'!$B$20),"n.a."))</f>
        <v>0</v>
      </c>
      <c r="N36" s="16">
        <f>IF(AND(C36=1,D36="EV",E36&lt;120,E36+'Replacement plan'!$AA$14&lt;=120),'Replacement plan'!$Z$14,0)</f>
        <v>0</v>
      </c>
      <c r="O36" s="1">
        <f>E36+'Replacement plan'!$AA$14</f>
        <v>0</v>
      </c>
      <c r="P36" s="35" t="str">
        <f>IFERROR(IF(C36=0,"Excluded",IF(OR(COUNTIFS('Fleet register'!$A$7:$A$106,A36)&lt;&gt;1,COUNTIFS('Replacement plan'!$A$7:$A$106,A36)&lt;&gt;1),"Duplicate/missing ID",IF(NOT(AND(ISNUMBER(VLOOKUP($A36,'Fleet register'!$A$7:$S$106,5,FALSE)),ISNUMBER(VLOOKUP($A36,'Fleet register'!$A$7:$S$106,6,FALSE)),ISNUMBER(VLOOKUP($A36,'Fleet register'!$A$7:$S$106,10,FALSE)),ISNUMBER(VLOOKUP($A36,'Fleet register'!$A$7:$S$106,11,FALSE)),ISNUMBER(VLOOKUP($A36,'Fleet register'!$A$7:$S$106,12,FALSE)),ISNUMBER(VLOOKUP($A36,'Fleet register'!$A$7:$S$106,13,FALSE)),ISNUMBER(VLOOKUP($A36,'Fleet register'!$A$7:$S$106,14,FALSE)),VLOOKUP($A36,'Fleet register'!$A$7:$S$106,14,FALSE)&gt;0,ISNUMBER('Replacement plan'!$C$14),OR(E36=120,OR(ISNUMBER('Replacement plan'!$AI$14),AND('Replacement plan'!$AI$14="",ISNUMBER('Operating costs'!$B$56)))),ISNUMBER(E36))),"Missing vehicle input",IF(OR(E36&lt;0,E36&gt;VLOOKUP($A36,'Fleet register'!$A$7:$S$106,10,FALSE),E36&gt;120,E36&lt;&gt;INT(E36),VLOOKUP($A36,'Fleet register'!$A$7:$S$106,6,FALSE)&lt;=0,VLOOKUP($A36,'Fleet register'!$A$7:$S$106,6,FALSE)&gt;366,VLOOKUP($A36,'Fleet register'!$A$7:$S$106,5,FALSE)&lt;0,VLOOKUP($A36,'Fleet register'!$A$7:$S$106,11,FALSE)&lt;0,I36&lt;0,'Operating costs'!$B$8&lt;='Operating costs'!$B$7*'Operating costs'!$B$9,'Operating costs'!$B$11&lt;=0,'Operating costs'!$B$39&gt;R36,'Operating costs'!$B$40&gt;R36,'Operating costs'!$B$41&gt;R36,NOT(OR("New ICE"="Keep ICE","New ICE"="New ICE","New ICE"="EV"))),"Invalid vehicle input",IF(AND(D36="EV",E36&lt;120,OR(NOT(ISNUMBER(U36)),NOT(ISNUMBER(V36)),V36&lt;=0,T36&lt;0,T36&gt;1,'Replacement plan'!$L$14&lt;=0,'Operating costs'!$B$44&lt;0,'Operating costs'!$B$44&gt;=1,'Operating costs'!$B$47&lt;=0,'Operating costs'!$B$47&gt;1,V36*'Operating costs'!$B$47/(1-'Operating costs'!$B$44)&lt;=T36*'Operating costs'!$B$12*U36,AND('Replacement plan'!$Z$14&gt;0,OR('Replacement plan'!$AB$14&lt;&gt;"Yes",'Operating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charging'!$B$8&gt;=0))),ISNUMBER(VLOOKUP($A36,'Fleet register'!$A$7:$S$106,15,FALSE)),ISNUMBER(VLOOKUP($A36,'Fleet register'!$A$7:$S$106,16,FALSE)),ISNUMBER('Replacement plan'!$W$14),ISNUMBER('Replacement plan'!$X$14),OR(E36=120,AND(ISNUMBER(G36),G36&gt;=0)),ISNUMBER(H36),H36&gt;=0,OR(D36&lt;&gt;"EV",E36=120,AND(ISNUMBER('Operating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plan'!$Y$14),ISNUMBER('Replacement plan'!$Z$14),'Replacement plan'!$Z$14&gt;=0,ISNUMBER('Replacement plan'!$AA$14),'Replacement plan'!$AA$14&gt;=0,'Replacement plan'!$AA$14=INT('Replacement plan'!$AA$14),ISNUMBER('Replacement plan'!$L$14))),'Operating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plan'!$AG$14="",'Operating costs'!$B$7,'Replacement plan'!$AG$14)),IF('Replacement plan'!$AG$14="",'Operating costs'!$B$7,'Replacement plan'!$AG$14)&gt;=0,ISNUMBER(IF('Replacement plan'!$AH$14="",'Operating costs'!$B$7,'Replacement plan'!$AH$14)),IF('Replacement plan'!$AH$14="",'Operating costs'!$B$7,'Replacement plan'!$AH$14)&gt;=0,'Operating costs'!$B$8&gt;MAX(IF('Replacement plan'!$AG$14="",'Operating costs'!$B$7,'Replacement plan'!$AG$14),IF('Replacement plan'!$AH$14="",'Operating costs'!$B$7,'Replacement plan'!$AH$14))*'Operating costs'!$B$9),IF(AND(VLOOKUP($A36,'Fleet register'!$A$7:$S$106,10,FALSE)&gt;=0,VLOOKUP($A36,'Fleet register'!$A$7:$S$106,10,FALSE)&lt;=120,VLOOKUP($A36,'Fleet register'!$A$7:$S$106,10,FALSE)=INT(VLOOKUP($A36,'Fleet register'!$A$7:$S$106,10,FALSE)),VLOOKUP($A36,'Fleet register'!$A$7:$S$106,15,FALSE)&gt;=0,VLOOKUP($A36,'Fleet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costs'!$B$67)&gt;=0,OR(D36&lt;&gt;"EV",E36=120,AND(MIN('Operating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6" s="1" t="str">
        <f>IF(C36=0,"Excluded",IF(P36&lt;&gt;"Complete",P36,IF(OR('Replacement plan'!$AD$14&lt;120-E36,AND(D36="EV",E36&lt;120,OR('Replacement plan'!$AC$14&lt;120-E36,'Replacement plan'!$I$14="No",AND(ISNUMBER(AF36),AE36&gt;AF36),AI36&gt;V36*(1-'Operating costs'!$B$46)^MAX(0,AB36-1)*(1-'Operating costs'!$B$45),AC36&gt;'Operating costs'!$B$18,AND(T36&lt;1,OR(AG36&lt;=0,AND(ISNUMBER(AH36),AG36&gt;AH36))),'Replacement plan'!$L$14&gt;INDEX(Products!$H$7:$H$13,MATCH('Replacement plan'!$B$14,Products!$A$7:$A$13,0))))),"Fails entered limits",IF(AND(D36="EV",E36&lt;120,OR(NOT(ISNUMBER(VLOOKUP($A36,'Fleet register'!$A$7:$S$106,7,FALSE))),NOT(ISNUMBER(VLOOKUP($A36,'Fleet register'!$A$7:$S$106,8,FALSE))),NOT(ISNUMBER(AF36)),'Replacement plan'!$I$14&lt;&gt;"Yes",NOT(ISNUMBER(AH36)),'Operating costs'!$B$59&lt;&gt;"Yes",'Operating costs'!$B$58&lt;&gt;"Yes")),"Unverified","Within entered limits"))))</f>
        <v>Excluded</v>
      </c>
      <c r="R36" s="1">
        <f>IF(C36=0,0,VLOOKUP($A36,'Fleet register'!$A$7:$S$106,6,FALSE))</f>
        <v>0</v>
      </c>
      <c r="S36" s="1">
        <f>IF(C36=0,0,VLOOKUP($A36,'Fleet register'!$A$7:$S$106,5,FALSE))</f>
        <v>0</v>
      </c>
      <c r="T36" s="1">
        <f>IF(D36="EV",'Energy and charging'!$B$12,0)</f>
        <v>0</v>
      </c>
      <c r="U36" s="1">
        <f>IFERROR(IF(C36=0,0,IF(D36="EV",IF('Replacement plan'!$F$14="",INDEX(Products!$E$7:$E$13,MATCH('Replacement plan'!$B$14,Products!$A$7:$A$13,0)),'Replacement plan'!$F$14)/IF('Replacement plan'!$G$14="Battery",1-'Operating costs'!$B$44,1),0)),"n.a.")</f>
        <v>0</v>
      </c>
      <c r="V36" s="1">
        <f>IFERROR(IF(C36=0,0,IF(D36="EV",IF('Replacement plan'!$E$14="",INDEX(Products!$D$7:$D$13,MATCH('Replacement plan'!$B$14,Products!$A$7:$A$13,0)),'Replacement plan'!$E$14),0)),"n.a.")</f>
        <v>0</v>
      </c>
      <c r="W36" s="1">
        <f>IF(C36=0,0,IF(AND(P36="Complete",D36="EV",E36&lt;120),IF(T36=0,0,ROUNDUP(T36*(R36-'Operating costs'!$B$41)*(S36*U36+'Operating costs'!$B$48/(1-'Operating costs'!$B$44))/(V36*'Operating costs'!$B$47/(1-'Operating costs'!$B$44)-T36*'Operating costs'!$B$12*U36),0)),0))</f>
        <v>0</v>
      </c>
      <c r="X36" s="1">
        <f>IF(C36=0,0,IF(AND(P36="Complete",D36="EV",E36&lt;120),(R36-'Operating costs'!$B$41)*(S36*U36+'Operating costs'!$B$48/(1-'Operating costs'!$B$44))+W36*'Operating costs'!$B$12*U36,0))</f>
        <v>0</v>
      </c>
      <c r="Y36" s="1">
        <f>IF(AND(C36=1,D36="EV",E36&lt;120),AI36/(1-'Operating costs'!$B$44)*(1-T36),0)</f>
        <v>0</v>
      </c>
      <c r="Z36" s="1">
        <f t="shared" si="0"/>
        <v>0</v>
      </c>
      <c r="AA36" s="1">
        <f>IF(C36=0,0,IF(P36="Complete",((S36*(R36-'Operating costs'!$B$40))+ROUNDUP(S36*(R36-'Operating costs'!$B$40)*IF('Replacement plan'!$AH$14="",'Operating costs'!$B$7,'Replacement plan'!$AH$14)/('Operating costs'!$B$8-'Operating costs'!$B$9*IF('Replacement plan'!$AH$14="",'Operating costs'!$B$7,'Replacement plan'!$AH$14)),0)*'Operating costs'!$B$9)*IF('Replacement plan'!$AH$14="",'Operating costs'!$B$7,'Replacement plan'!$AH$14),"n.a."))</f>
        <v>0</v>
      </c>
      <c r="AB36" s="1">
        <f t="shared" si="1"/>
        <v>0</v>
      </c>
      <c r="AC36" s="1">
        <f>IF(AND(C36=1,D36="EV",E36&lt;120,T36&gt;0),'Operating costs'!$B$12/'Operating costs'!$B$11*60+'Operating costs'!$B$13+'Operating costs'!$B$14+V36*'Operating costs'!$B$47/(1-'Operating costs'!$B$44)/'Replacement plan'!$L$14*60,0)</f>
        <v>0</v>
      </c>
      <c r="AD36" s="1" t="str">
        <f>'Replacement plan'!$B$14</f>
        <v>ChengLong L2EV</v>
      </c>
      <c r="AE36" s="1">
        <f>IF(C36=0,0,VLOOKUP($A36,'Fleet register'!$A$7:$S$106,8,FALSE))</f>
        <v>0</v>
      </c>
      <c r="AF36" s="1" t="str">
        <f>IF('Replacement plan'!$H$14="","n.a.",'Replacement plan'!$H$14)</f>
        <v>n.a.</v>
      </c>
      <c r="AG36" s="1">
        <f>'Replacement plan'!$J$14</f>
        <v>22</v>
      </c>
      <c r="AH36" s="1">
        <f>IFERROR(IF(D36="EV",IF('Replacement plan'!$K$14="AC",IF(ISNUMBER(INDEX(Products!$G$7:$G$13,MATCH('Replacement plan'!$B$14,Products!$A$7:$A$13,0))),INDEX(Products!$G$7:$G$13,MATCH('Replacement plan'!$B$14,Products!$A$7:$A$13,0)),"n.a."),IF(ISNUMBER(INDEX(Products!$H$7:$H$13,MATCH('Replacement plan'!$B$14,Products!$A$7:$A$13,0))),INDEX(Products!$H$7:$H$13,MATCH('Replacement plan'!$B$14,Products!$A$7:$A$13,0)),"n.a.")),0),"n.a.")</f>
        <v>0</v>
      </c>
      <c r="AI36" s="1">
        <f>IF(AND(C36=1,D36="EV",E36&lt;120),(VLOOKUP($A36,'Fleet register'!$A$7:$S$106,7,FALSE)+IF(T36&gt;0,'Operating costs'!$B$12,0))*U36*(1-'Operating costs'!$B$44)+'Operating costs'!$B$49,0)</f>
        <v>0</v>
      </c>
      <c r="AJ36" s="1">
        <f>IF(D36="EV",'Energy and charging'!$B$50,0)</f>
        <v>0</v>
      </c>
      <c r="AK36" s="17">
        <f>EDATE('Operating costs'!$B$63,E36)</f>
        <v>46298</v>
      </c>
      <c r="AL36" s="1">
        <f>IFERROR(IF(D36="EV",INDEX(Products!$B$7:$B$13,MATCH('Replacement plan'!$B$14,Products!$A$7:$A$13,0)),0),"n.a.")</f>
        <v>0</v>
      </c>
      <c r="AM36" s="1" t="str">
        <f>'Replacement plan'!$K$14</f>
        <v>DC</v>
      </c>
      <c r="AN36" s="1" t="str">
        <f>'Replacement plan'!$AE$14</f>
        <v>Assumed</v>
      </c>
      <c r="AO36" s="47">
        <f>IF(AND(C36=1,D36="EV",E36&lt;120),(R36-'Operating costs'!$B$41)*S36+W36*'Operating costs'!$B$12,0)</f>
        <v>0</v>
      </c>
      <c r="AP36" s="41">
        <f>IF(AND(C36=1,D36="EV",E36&lt;120),IF('Operating costs'!$B$68="Hong Seh 200k average",AO36*IFERROR(INDEX(Products!$P$7:$P$13,MATCH(AD36,Products!$A$7:$A$13,0)),"n.a."),'Operating costs'!$B$26),0)</f>
        <v>0</v>
      </c>
      <c r="AQ36" s="40" t="str">
        <f>IF(D36="EV",'Operating costs'!$B$68,"Not applicable")</f>
        <v>Not applicable</v>
      </c>
    </row>
    <row r="37" spans="1:43" ht="24" customHeight="1">
      <c r="A37" s="1" t="str">
        <f>'Replacement plan'!A14</f>
        <v>T008</v>
      </c>
      <c r="B37" s="1">
        <v>2</v>
      </c>
      <c r="C37" s="1">
        <f>IF(COUNTIFS('Fleet register'!$A$7:$A$106,$A37)=1,VLOOKUP($A37,'Fleet register'!$A$7:$S$106,2,FALSE),0)</f>
        <v>0</v>
      </c>
      <c r="D37" s="1" t="str">
        <f>IF('Replacement plan'!$O$14="EV","EV","ICE")</f>
        <v>ICE</v>
      </c>
      <c r="E37" s="1">
        <f>IF(C37=0,0,IF('Replacement plan'!$P$14="",IF('Replacement plan'!$O$14="Keep ICE",IF('Replacement plan'!$M$14="",VLOOKUP($A37,'Fleet register'!$A$7:$S$106,10,FALSE),'Replacement plan'!$M$14),0),'Replacement plan'!$P$14))</f>
        <v>0</v>
      </c>
      <c r="F37" s="16">
        <f>IF(C37=0,0,VLOOKUP($A37,'Fleet register'!$A$7:$S$106,11,FALSE))</f>
        <v>0</v>
      </c>
      <c r="G37" s="16">
        <f>IFERROR(IF(C37=0,0,IF(E37=120,0,IF(D37="ICE",'Replacement plan'!$C$14,IF('Replacement plan'!$D$14="",INDEX(Products!$I$7:$I$13,MATCH('Replacement plan'!$B$14,Products!$A$7:$A$13,0))+'Operating costs'!$B$57,'Replacement plan'!$D$14))*(1+'Operating costs'!$B$50)^(E37/12))),"n.a.")</f>
        <v>0</v>
      </c>
      <c r="H37" s="16">
        <f>IFERROR(IF(C37=0,0,IF('Replacement plan'!$U$14&lt;&gt;"",'Replacement plan'!$U$14,IF(E37=0,F37,VLOOKUP($A37,'Fleet register'!$A$7:$S$106,12,FALSE)+VLOOKUP($A37,'Fleet register'!$A$7:$S$106,13,FALSE)*MAX(0,VLOOKUP($A37,'Fleet register'!$A$7:$S$106,10,FALSE)-E37)/VLOOKUP($A37,'Fleet register'!$A$7:$S$106,14,FALSE)))),"n.a.")</f>
        <v>0</v>
      </c>
      <c r="I37" s="16">
        <f>IF(C37=0,0,IF(E37=120,0,'Replacement plan'!$Q$14))</f>
        <v>0</v>
      </c>
      <c r="J37" s="16">
        <f>IF(C37=0,0,IF(P37="Complete",((S37*(R37-'Operating costs'!$B$39))+ROUNDUP(S37*(R37-'Operating costs'!$B$39)*IF('Replacement plan'!$AG$14="",'Operating costs'!$B$7,'Replacement plan'!$AG$14)/('Operating costs'!$B$8-'Operating costs'!$B$9*IF('Replacement plan'!$AG$14="",'Operating costs'!$B$7,'Replacement plan'!$AG$14)),0)*'Operating costs'!$B$9)*IF('Replacement plan'!$AG$14="",'Operating costs'!$B$7,'Replacement plan'!$AG$14)*('Energy and charging'!$B$9*'Energy and charging'!$B$7+(1-'Energy and charging'!$B$9)*'Energy and charging'!$B$8)*'Operating costs'!$B$23,"n.a."))</f>
        <v>0</v>
      </c>
      <c r="K37" s="16">
        <f>IF(C37=0,0,IF(P37="Complete",SUM('Operating costs'!$B$24,'Operating costs'!$B$27,'Operating costs'!$B$29,'Operating costs'!$B$31,'Operating costs'!$B$33,'Operating costs'!$B$34,'Operating costs'!$B$37,'Replacement plan'!$W$14)+'Operating costs'!$B$39*'Operating costs'!$B$42+ROUNDUP(S37*(R37-'Operating costs'!$B$39)*IF('Replacement plan'!$AG$14="",'Operating costs'!$B$7,'Replacement plan'!$AG$14)/('Operating costs'!$B$8-'Operating costs'!$B$9*IF('Replacement plan'!$AG$14="",'Operating costs'!$B$7,'Replacement plan'!$AG$14)),0)*('Operating costs'!$B$9/'Operating costs'!$B$11+'Operating costs'!$B$10/60)*'Operating costs'!$B$19*'Operating costs'!$B$21,"n.a."))</f>
        <v>0</v>
      </c>
      <c r="L37" s="16">
        <f>IF(C37=0,0,IF(P37="Complete",IF(D37="EV",X37*((1-T37)*'Energy and charging'!$B$10+T37*'Energy and charging'!$B$11)*'Operating costs'!$B$22,AA37*('Energy and charging'!$B$9*'Energy and charging'!$B$7+(1-'Energy and charging'!$B$9)*'Energy and charging'!$B$8)*'Operating costs'!$B$23),"n.a."))</f>
        <v>0</v>
      </c>
      <c r="M37" s="37">
        <f>IF(C37=0,0,IF(P37="Complete",IF(D37="ICE",SUM('Operating costs'!$B$25,'Operating costs'!$B$27,'Operating costs'!$B$29,'Operating costs'!$B$31,'Operating costs'!$B$33,'Operating costs'!$B$35,'Operating costs'!$B$37,'Replacement plan'!$X$14)+'Operating costs'!$B$40*'Operating costs'!$B$42+ROUNDUP(S37*(R37-'Operating costs'!$B$40)*IF('Replacement plan'!$AH$14="",'Operating costs'!$B$7,'Replacement plan'!$AH$14)/('Operating costs'!$B$8-'Operating costs'!$B$9*IF('Replacement plan'!$AH$14="",'Operating costs'!$B$7,'Replacement plan'!$AH$14)),0)*('Operating costs'!$B$9/'Operating costs'!$B$11+'Operating costs'!$B$10/60)*'Operating costs'!$B$19*'Operating costs'!$B$21,SUM(AP37,'Operating costs'!$B$28,'Operating costs'!$B$30,'Operating costs'!$B$32,'Operating costs'!$B$33,'Operating costs'!$B$36,'Operating costs'!$B$38,'Replacement plan'!$Y$14)+'Operating costs'!$B$41*'Operating costs'!$B$43+W37*'Operating costs'!$B$15+(T37*X37/'Replacement plan'!$L$14+W37*('Operating costs'!$B$12/'Operating costs'!$B$11+('Operating costs'!$B$13+'Operating costs'!$B$14)/60)+(R37-'Operating costs'!$B$41)*(IF(T37&lt;1,'Operating costs'!$B$16,0)+'Operating costs'!$B$17)/60)*'Operating costs'!$B$19*'Operating costs'!$B$20),"n.a."))</f>
        <v>0</v>
      </c>
      <c r="N37" s="16">
        <f>IF(AND(C37=1,D37="EV",E37&lt;120,E37+'Replacement plan'!$AA$14&lt;=120),'Replacement plan'!$Z$14,0)</f>
        <v>0</v>
      </c>
      <c r="O37" s="1">
        <f>E37+'Replacement plan'!$AA$14</f>
        <v>0</v>
      </c>
      <c r="P37" s="35" t="str">
        <f>IFERROR(IF(C37=0,"Excluded",IF(OR(COUNTIFS('Fleet register'!$A$7:$A$106,A37)&lt;&gt;1,COUNTIFS('Replacement plan'!$A$7:$A$106,A37)&lt;&gt;1),"Duplicate/missing ID",IF(NOT(AND(ISNUMBER(VLOOKUP($A37,'Fleet register'!$A$7:$S$106,5,FALSE)),ISNUMBER(VLOOKUP($A37,'Fleet register'!$A$7:$S$106,6,FALSE)),ISNUMBER(VLOOKUP($A37,'Fleet register'!$A$7:$S$106,10,FALSE)),ISNUMBER(VLOOKUP($A37,'Fleet register'!$A$7:$S$106,11,FALSE)),ISNUMBER(VLOOKUP($A37,'Fleet register'!$A$7:$S$106,12,FALSE)),ISNUMBER(VLOOKUP($A37,'Fleet register'!$A$7:$S$106,13,FALSE)),ISNUMBER(VLOOKUP($A37,'Fleet register'!$A$7:$S$106,14,FALSE)),VLOOKUP($A37,'Fleet register'!$A$7:$S$106,14,FALSE)&gt;0,ISNUMBER('Replacement plan'!$C$14),OR(E37=120,ISNUMBER('Replacement plan'!$Q$14)),ISNUMBER(E37))),"Missing vehicle input",IF(OR(E37&lt;0,E37&gt;VLOOKUP($A37,'Fleet register'!$A$7:$S$106,10,FALSE),E37&gt;120,E37&lt;&gt;INT(E37),VLOOKUP($A37,'Fleet register'!$A$7:$S$106,6,FALSE)&lt;=0,VLOOKUP($A37,'Fleet register'!$A$7:$S$106,6,FALSE)&gt;366,VLOOKUP($A37,'Fleet register'!$A$7:$S$106,5,FALSE)&lt;0,VLOOKUP($A37,'Fleet register'!$A$7:$S$106,11,FALSE)&lt;0,I37&lt;0,'Operating costs'!$B$8&lt;='Operating costs'!$B$7*'Operating costs'!$B$9,'Operating costs'!$B$11&lt;=0,'Operating costs'!$B$39&gt;R37,'Operating costs'!$B$40&gt;R37,'Operating costs'!$B$41&gt;R37,NOT(OR('Replacement plan'!$O$14="Keep ICE",'Replacement plan'!$O$14="New ICE",'Replacement plan'!$O$14="EV"))),"Invalid vehicle input",IF(AND(D37="EV",E37&lt;120,OR(NOT(ISNUMBER(U37)),NOT(ISNUMBER(V37)),V37&lt;=0,T37&lt;0,T37&gt;1,'Replacement plan'!$L$14&lt;=0,'Operating costs'!$B$44&lt;0,'Operating costs'!$B$44&gt;=1,'Operating costs'!$B$47&lt;=0,'Operating costs'!$B$47&gt;1,V37*'Operating costs'!$B$47/(1-'Operating costs'!$B$44)&lt;=T37*'Operating costs'!$B$12*U37,AND('Replacement plan'!$Z$14&gt;0,OR('Replacement plan'!$AB$14&lt;&gt;"Yes",'Operating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charging'!$B$8&gt;=0))),ISNUMBER(VLOOKUP($A37,'Fleet register'!$A$7:$S$106,15,FALSE)),ISNUMBER(VLOOKUP($A37,'Fleet register'!$A$7:$S$106,16,FALSE)),ISNUMBER('Replacement plan'!$W$14),ISNUMBER('Replacement plan'!$X$14),OR(E37=120,AND(ISNUMBER(G37),G37&gt;=0)),ISNUMBER(H37),H37&gt;=0,OR(D37&lt;&gt;"EV",E37=120,AND(ISNUMBER('Operating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plan'!$Y$14),ISNUMBER('Replacement plan'!$Z$14),'Replacement plan'!$Z$14&gt;=0,ISNUMBER('Replacement plan'!$AA$14),'Replacement plan'!$AA$14&gt;=0,'Replacement plan'!$AA$14=INT('Replacement plan'!$AA$14),ISNUMBER('Replacement plan'!$L$14))),'Operating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plan'!$AG$14="",'Operating costs'!$B$7,'Replacement plan'!$AG$14)),IF('Replacement plan'!$AG$14="",'Operating costs'!$B$7,'Replacement plan'!$AG$14)&gt;=0,ISNUMBER(IF('Replacement plan'!$AH$14="",'Operating costs'!$B$7,'Replacement plan'!$AH$14)),IF('Replacement plan'!$AH$14="",'Operating costs'!$B$7,'Replacement plan'!$AH$14)&gt;=0,'Operating costs'!$B$8&gt;MAX(IF('Replacement plan'!$AG$14="",'Operating costs'!$B$7,'Replacement plan'!$AG$14),IF('Replacement plan'!$AH$14="",'Operating costs'!$B$7,'Replacement plan'!$AH$14))*'Operating costs'!$B$9),IF(AND(VLOOKUP($A37,'Fleet register'!$A$7:$S$106,10,FALSE)&gt;=0,VLOOKUP($A37,'Fleet register'!$A$7:$S$106,10,FALSE)&lt;=120,VLOOKUP($A37,'Fleet register'!$A$7:$S$106,10,FALSE)=INT(VLOOKUP($A37,'Fleet register'!$A$7:$S$106,10,FALSE)),VLOOKUP($A37,'Fleet register'!$A$7:$S$106,15,FALSE)&gt;=0,VLOOKUP($A37,'Fleet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costs'!$B$67)&gt;=0,OR(D37&lt;&gt;"EV",E37=120,AND(MIN('Operating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7" s="1" t="str">
        <f>IF(C37=0,"Excluded",IF(P37&lt;&gt;"Complete",P37,IF(OR('Replacement plan'!$AD$14&lt;120-E37,AND(D37="EV",E37&lt;120,OR('Replacement plan'!$AC$14&lt;120-E37,'Replacement plan'!$I$14="No",AND(ISNUMBER(AF37),AE37&gt;AF37),AI37&gt;V37*(1-'Operating costs'!$B$46)^MAX(0,AB37-1)*(1-'Operating costs'!$B$45),AC37&gt;'Operating costs'!$B$18,AND(T37&lt;1,OR(AG37&lt;=0,AND(ISNUMBER(AH37),AG37&gt;AH37))),'Replacement plan'!$L$14&gt;INDEX(Products!$H$7:$H$13,MATCH('Replacement plan'!$B$14,Products!$A$7:$A$13,0))))),"Fails entered limits",IF(AND(D37="EV",E37&lt;120,OR(NOT(ISNUMBER(VLOOKUP($A37,'Fleet register'!$A$7:$S$106,7,FALSE))),NOT(ISNUMBER(VLOOKUP($A37,'Fleet register'!$A$7:$S$106,8,FALSE))),NOT(ISNUMBER(AF37)),'Replacement plan'!$I$14&lt;&gt;"Yes",NOT(ISNUMBER(AH37)),'Operating costs'!$B$59&lt;&gt;"Yes",'Operating costs'!$B$58&lt;&gt;"Yes")),"Unverified","Within entered limits"))))</f>
        <v>Excluded</v>
      </c>
      <c r="R37" s="1">
        <f>IF(C37=0,0,VLOOKUP($A37,'Fleet register'!$A$7:$S$106,6,FALSE))</f>
        <v>0</v>
      </c>
      <c r="S37" s="1">
        <f>IF(C37=0,0,VLOOKUP($A37,'Fleet register'!$A$7:$S$106,5,FALSE))</f>
        <v>0</v>
      </c>
      <c r="T37" s="1">
        <f>IF(D37="EV",'Energy and charging'!$B$12,0)</f>
        <v>0</v>
      </c>
      <c r="U37" s="1">
        <f>IFERROR(IF(C37=0,0,IF(D37="EV",IF('Replacement plan'!$F$14="",INDEX(Products!$E$7:$E$13,MATCH('Replacement plan'!$B$14,Products!$A$7:$A$13,0)),'Replacement plan'!$F$14)/IF('Replacement plan'!$G$14="Battery",1-'Operating costs'!$B$44,1),0)),"n.a.")</f>
        <v>0</v>
      </c>
      <c r="V37" s="1">
        <f>IFERROR(IF(C37=0,0,IF(D37="EV",IF('Replacement plan'!$E$14="",INDEX(Products!$D$7:$D$13,MATCH('Replacement plan'!$B$14,Products!$A$7:$A$13,0)),'Replacement plan'!$E$14),0)),"n.a.")</f>
        <v>0</v>
      </c>
      <c r="W37" s="1">
        <f>IF(C37=0,0,IF(AND(P37="Complete",D37="EV",E37&lt;120),IF(T37=0,0,ROUNDUP(T37*(R37-'Operating costs'!$B$41)*(S37*U37+'Operating costs'!$B$48/(1-'Operating costs'!$B$44))/(V37*'Operating costs'!$B$47/(1-'Operating costs'!$B$44)-T37*'Operating costs'!$B$12*U37),0)),0))</f>
        <v>0</v>
      </c>
      <c r="X37" s="1">
        <f>IF(C37=0,0,IF(AND(P37="Complete",D37="EV",E37&lt;120),(R37-'Operating costs'!$B$41)*(S37*U37+'Operating costs'!$B$48/(1-'Operating costs'!$B$44))+W37*'Operating costs'!$B$12*U37,0))</f>
        <v>0</v>
      </c>
      <c r="Y37" s="1">
        <f>IF(AND(C37=1,D37="EV",E37&lt;120),AI37/(1-'Operating costs'!$B$44)*(1-T37),0)</f>
        <v>0</v>
      </c>
      <c r="Z37" s="1">
        <f t="shared" si="0"/>
        <v>0</v>
      </c>
      <c r="AA37" s="1">
        <f>IF(C37=0,0,IF(P37="Complete",((S37*(R37-'Operating costs'!$B$40))+ROUNDUP(S37*(R37-'Operating costs'!$B$40)*IF('Replacement plan'!$AH$14="",'Operating costs'!$B$7,'Replacement plan'!$AH$14)/('Operating costs'!$B$8-'Operating costs'!$B$9*IF('Replacement plan'!$AH$14="",'Operating costs'!$B$7,'Replacement plan'!$AH$14)),0)*'Operating costs'!$B$9)*IF('Replacement plan'!$AH$14="",'Operating costs'!$B$7,'Replacement plan'!$AH$14),"n.a."))</f>
        <v>0</v>
      </c>
      <c r="AB37" s="1">
        <f t="shared" si="1"/>
        <v>0</v>
      </c>
      <c r="AC37" s="1">
        <f>IF(AND(C37=1,D37="EV",E37&lt;120,T37&gt;0),'Operating costs'!$B$12/'Operating costs'!$B$11*60+'Operating costs'!$B$13+'Operating costs'!$B$14+V37*'Operating costs'!$B$47/(1-'Operating costs'!$B$44)/'Replacement plan'!$L$14*60,0)</f>
        <v>0</v>
      </c>
      <c r="AD37" s="1" t="str">
        <f>'Replacement plan'!$B$14</f>
        <v>ChengLong L2EV</v>
      </c>
      <c r="AE37" s="1">
        <f>IF(C37=0,0,VLOOKUP($A37,'Fleet register'!$A$7:$S$106,8,FALSE))</f>
        <v>0</v>
      </c>
      <c r="AF37" s="1" t="str">
        <f>IF('Replacement plan'!$H$14="","n.a.",'Replacement plan'!$H$14)</f>
        <v>n.a.</v>
      </c>
      <c r="AG37" s="1">
        <f>'Replacement plan'!$J$14</f>
        <v>22</v>
      </c>
      <c r="AH37" s="1">
        <f>IFERROR(IF(D37="EV",IF('Replacement plan'!$K$14="AC",IF(ISNUMBER(INDEX(Products!$G$7:$G$13,MATCH('Replacement plan'!$B$14,Products!$A$7:$A$13,0))),INDEX(Products!$G$7:$G$13,MATCH('Replacement plan'!$B$14,Products!$A$7:$A$13,0)),"n.a."),IF(ISNUMBER(INDEX(Products!$H$7:$H$13,MATCH('Replacement plan'!$B$14,Products!$A$7:$A$13,0))),INDEX(Products!$H$7:$H$13,MATCH('Replacement plan'!$B$14,Products!$A$7:$A$13,0)),"n.a.")),0),"n.a.")</f>
        <v>0</v>
      </c>
      <c r="AI37" s="1">
        <f>IF(AND(C37=1,D37="EV",E37&lt;120),(VLOOKUP($A37,'Fleet register'!$A$7:$S$106,7,FALSE)+IF(T37&gt;0,'Operating costs'!$B$12,0))*U37*(1-'Operating costs'!$B$44)+'Operating costs'!$B$49,0)</f>
        <v>0</v>
      </c>
      <c r="AJ37" s="1">
        <f>IF(D37="EV",'Energy and charging'!$B$50,0)</f>
        <v>0</v>
      </c>
      <c r="AK37" s="17">
        <f>EDATE('Operating costs'!$B$63,E37)</f>
        <v>46298</v>
      </c>
      <c r="AL37" s="1">
        <f>IFERROR(IF(D37="EV",INDEX(Products!$B$7:$B$13,MATCH('Replacement plan'!$B$14,Products!$A$7:$A$13,0)),0),"n.a.")</f>
        <v>0</v>
      </c>
      <c r="AM37" s="1" t="str">
        <f>'Replacement plan'!$K$14</f>
        <v>DC</v>
      </c>
      <c r="AN37" s="1" t="str">
        <f>'Replacement plan'!$AE$14</f>
        <v>Assumed</v>
      </c>
      <c r="AO37" s="47">
        <f>IF(AND(C37=1,D37="EV",E37&lt;120),(R37-'Operating costs'!$B$41)*S37+W37*'Operating costs'!$B$12,0)</f>
        <v>0</v>
      </c>
      <c r="AP37" s="41">
        <f>IF(AND(C37=1,D37="EV",E37&lt;120),IF('Operating costs'!$B$68="Hong Seh 200k average",AO37*IFERROR(INDEX(Products!$P$7:$P$13,MATCH(AD37,Products!$A$7:$A$13,0)),"n.a."),'Operating costs'!$B$26),0)</f>
        <v>0</v>
      </c>
      <c r="AQ37" s="40" t="str">
        <f>IF(D37="EV",'Operating costs'!$B$68,"Not applicable")</f>
        <v>Not applicable</v>
      </c>
    </row>
    <row r="38" spans="1:43" ht="24" customHeight="1">
      <c r="A38" s="1" t="str">
        <f>'Replacement plan'!A14</f>
        <v>T008</v>
      </c>
      <c r="B38" s="1">
        <v>3</v>
      </c>
      <c r="C38" s="1">
        <f>IF(COUNTIFS('Fleet register'!$A$7:$A$106,$A38)=1,VLOOKUP($A38,'Fleet register'!$A$7:$S$106,2,FALSE),0)</f>
        <v>0</v>
      </c>
      <c r="D38" s="1" t="str">
        <f>IF('Replacement plan'!$R$14="EV","EV","ICE")</f>
        <v>ICE</v>
      </c>
      <c r="E38" s="1">
        <f>IF(C38=0,0,IF('Replacement plan'!$S$14="",IF('Replacement plan'!$R$14="Keep ICE",IF('Replacement plan'!$M$14="",VLOOKUP($A38,'Fleet register'!$A$7:$S$106,10,FALSE),'Replacement plan'!$M$14),0),'Replacement plan'!$S$14))</f>
        <v>0</v>
      </c>
      <c r="F38" s="16">
        <f>IF(C38=0,0,VLOOKUP($A38,'Fleet register'!$A$7:$S$106,11,FALSE))</f>
        <v>0</v>
      </c>
      <c r="G38" s="16">
        <f>IFERROR(IF(C38=0,0,IF(E38=120,0,IF(D38="ICE",'Replacement plan'!$C$14,IF('Replacement plan'!$D$14="",INDEX(Products!$I$7:$I$13,MATCH('Replacement plan'!$B$14,Products!$A$7:$A$13,0))+'Operating costs'!$B$57,'Replacement plan'!$D$14))*(1+'Operating costs'!$B$50)^(E38/12))),"n.a.")</f>
        <v>0</v>
      </c>
      <c r="H38" s="16">
        <f>IFERROR(IF(C38=0,0,IF('Replacement plan'!$V$14&lt;&gt;"",'Replacement plan'!$V$14,IF(E38=0,F38,VLOOKUP($A38,'Fleet register'!$A$7:$S$106,12,FALSE)+VLOOKUP($A38,'Fleet register'!$A$7:$S$106,13,FALSE)*MAX(0,VLOOKUP($A38,'Fleet register'!$A$7:$S$106,10,FALSE)-E38)/VLOOKUP($A38,'Fleet register'!$A$7:$S$106,14,FALSE)))),"n.a.")</f>
        <v>0</v>
      </c>
      <c r="I38" s="16">
        <f>IF(C38=0,0,IF(E38=120,0,'Replacement plan'!$T$14))</f>
        <v>0</v>
      </c>
      <c r="J38" s="16">
        <f>IF(C38=0,0,IF(P38="Complete",((S38*(R38-'Operating costs'!$B$39))+ROUNDUP(S38*(R38-'Operating costs'!$B$39)*IF('Replacement plan'!$AG$14="",'Operating costs'!$B$7,'Replacement plan'!$AG$14)/('Operating costs'!$B$8-'Operating costs'!$B$9*IF('Replacement plan'!$AG$14="",'Operating costs'!$B$7,'Replacement plan'!$AG$14)),0)*'Operating costs'!$B$9)*IF('Replacement plan'!$AG$14="",'Operating costs'!$B$7,'Replacement plan'!$AG$14)*('Energy and charging'!$C$9*'Energy and charging'!$C$7+(1-'Energy and charging'!$C$9)*'Energy and charging'!$C$8)*'Operating costs'!$B$23,"n.a."))</f>
        <v>0</v>
      </c>
      <c r="K38" s="16">
        <f>IF(C38=0,0,IF(P38="Complete",SUM('Operating costs'!$B$24,'Operating costs'!$B$27,'Operating costs'!$B$29,'Operating costs'!$B$31,'Operating costs'!$B$33,'Operating costs'!$B$34,'Operating costs'!$B$37,'Replacement plan'!$W$14)+'Operating costs'!$B$39*'Operating costs'!$B$42+ROUNDUP(S38*(R38-'Operating costs'!$B$39)*IF('Replacement plan'!$AG$14="",'Operating costs'!$B$7,'Replacement plan'!$AG$14)/('Operating costs'!$B$8-'Operating costs'!$B$9*IF('Replacement plan'!$AG$14="",'Operating costs'!$B$7,'Replacement plan'!$AG$14)),0)*('Operating costs'!$B$9/'Operating costs'!$B$11+'Operating costs'!$B$10/60)*'Operating costs'!$B$19*'Operating costs'!$B$21,"n.a."))</f>
        <v>0</v>
      </c>
      <c r="L38" s="16">
        <f>IF(C38=0,0,IF(P38="Complete",IF(D38="EV",X38*((1-T38)*'Energy and charging'!$C$10+T38*'Energy and charging'!$C$11)*'Operating costs'!$B$22,AA38*('Energy and charging'!$C$9*'Energy and charging'!$C$7+(1-'Energy and charging'!$C$9)*'Energy and charging'!$C$8)*'Operating costs'!$B$23),"n.a."))</f>
        <v>0</v>
      </c>
      <c r="M38" s="37">
        <f>IF(C38=0,0,IF(P38="Complete",IF(D38="ICE",SUM('Operating costs'!$B$25,'Operating costs'!$B$27,'Operating costs'!$B$29,'Operating costs'!$B$31,'Operating costs'!$B$33,'Operating costs'!$B$35,'Operating costs'!$B$37,'Replacement plan'!$X$14)+'Operating costs'!$B$40*'Operating costs'!$B$42+ROUNDUP(S38*(R38-'Operating costs'!$B$40)*IF('Replacement plan'!$AH$14="",'Operating costs'!$B$7,'Replacement plan'!$AH$14)/('Operating costs'!$B$8-'Operating costs'!$B$9*IF('Replacement plan'!$AH$14="",'Operating costs'!$B$7,'Replacement plan'!$AH$14)),0)*('Operating costs'!$B$9/'Operating costs'!$B$11+'Operating costs'!$B$10/60)*'Operating costs'!$B$19*'Operating costs'!$B$21,SUM(AP38,'Operating costs'!$B$28,'Operating costs'!$B$30,'Operating costs'!$B$32,'Operating costs'!$B$33,'Operating costs'!$B$36,'Operating costs'!$B$38,'Replacement plan'!$Y$14)+'Operating costs'!$B$41*'Operating costs'!$B$43+W38*'Operating costs'!$B$15+(T38*X38/'Replacement plan'!$L$14+W38*('Operating costs'!$B$12/'Operating costs'!$B$11+('Operating costs'!$B$13+'Operating costs'!$B$14)/60)+(R38-'Operating costs'!$B$41)*(IF(T38&lt;1,'Operating costs'!$B$16,0)+'Operating costs'!$B$17)/60)*'Operating costs'!$B$19*'Operating costs'!$B$20),"n.a."))</f>
        <v>0</v>
      </c>
      <c r="N38" s="16">
        <f>IF(AND(C38=1,D38="EV",E38&lt;120,E38+'Replacement plan'!$AA$14&lt;=120),'Replacement plan'!$Z$14,0)</f>
        <v>0</v>
      </c>
      <c r="O38" s="1">
        <f>E38+'Replacement plan'!$AA$14</f>
        <v>0</v>
      </c>
      <c r="P38" s="35" t="str">
        <f>IFERROR(IF(C38=0,"Excluded",IF(OR(COUNTIFS('Fleet register'!$A$7:$A$106,A38)&lt;&gt;1,COUNTIFS('Replacement plan'!$A$7:$A$106,A38)&lt;&gt;1),"Duplicate/missing ID",IF(NOT(AND(ISNUMBER(VLOOKUP($A38,'Fleet register'!$A$7:$S$106,5,FALSE)),ISNUMBER(VLOOKUP($A38,'Fleet register'!$A$7:$S$106,6,FALSE)),ISNUMBER(VLOOKUP($A38,'Fleet register'!$A$7:$S$106,10,FALSE)),ISNUMBER(VLOOKUP($A38,'Fleet register'!$A$7:$S$106,11,FALSE)),ISNUMBER(VLOOKUP($A38,'Fleet register'!$A$7:$S$106,12,FALSE)),ISNUMBER(VLOOKUP($A38,'Fleet register'!$A$7:$S$106,13,FALSE)),ISNUMBER(VLOOKUP($A38,'Fleet register'!$A$7:$S$106,14,FALSE)),VLOOKUP($A38,'Fleet register'!$A$7:$S$106,14,FALSE)&gt;0,ISNUMBER('Replacement plan'!$C$14),OR(E38=120,ISNUMBER('Replacement plan'!$T$14)),ISNUMBER(E38))),"Missing vehicle input",IF(OR(E38&lt;0,E38&gt;VLOOKUP($A38,'Fleet register'!$A$7:$S$106,10,FALSE),E38&gt;120,E38&lt;&gt;INT(E38),VLOOKUP($A38,'Fleet register'!$A$7:$S$106,6,FALSE)&lt;=0,VLOOKUP($A38,'Fleet register'!$A$7:$S$106,6,FALSE)&gt;366,VLOOKUP($A38,'Fleet register'!$A$7:$S$106,5,FALSE)&lt;0,VLOOKUP($A38,'Fleet register'!$A$7:$S$106,11,FALSE)&lt;0,I38&lt;0,'Operating costs'!$B$8&lt;='Operating costs'!$B$7*'Operating costs'!$B$9,'Operating costs'!$B$11&lt;=0,'Operating costs'!$B$39&gt;R38,'Operating costs'!$B$40&gt;R38,'Operating costs'!$B$41&gt;R38,NOT(OR('Replacement plan'!$R$14="Keep ICE",'Replacement plan'!$R$14="New ICE",'Replacement plan'!$R$14="EV"))),"Invalid vehicle input",IF(AND(D38="EV",E38&lt;120,OR(NOT(ISNUMBER(U38)),NOT(ISNUMBER(V38)),V38&lt;=0,T38&lt;0,T38&gt;1,'Replacement plan'!$L$14&lt;=0,'Operating costs'!$B$44&lt;0,'Operating costs'!$B$44&gt;=1,'Operating costs'!$B$47&lt;=0,'Operating costs'!$B$47&gt;1,V38*'Operating costs'!$B$47/(1-'Operating costs'!$B$44)&lt;=T38*'Operating costs'!$B$12*U38,AND('Replacement plan'!$Z$14&gt;0,OR('Replacement plan'!$AB$14&lt;&gt;"Yes",'Operating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charging'!$C$8&gt;=0))),ISNUMBER(VLOOKUP($A38,'Fleet register'!$A$7:$S$106,15,FALSE)),ISNUMBER(VLOOKUP($A38,'Fleet register'!$A$7:$S$106,16,FALSE)),ISNUMBER('Replacement plan'!$W$14),ISNUMBER('Replacement plan'!$X$14),OR(E38=120,AND(ISNUMBER(G38),G38&gt;=0)),ISNUMBER(H38),H38&gt;=0,OR(D38&lt;&gt;"EV",E38=120,AND(ISNUMBER('Operating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plan'!$Y$14),ISNUMBER('Replacement plan'!$Z$14),'Replacement plan'!$Z$14&gt;=0,ISNUMBER('Replacement plan'!$AA$14),'Replacement plan'!$AA$14&gt;=0,'Replacement plan'!$AA$14=INT('Replacement plan'!$AA$14),ISNUMBER('Replacement plan'!$L$14))),'Operating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plan'!$AG$14="",'Operating costs'!$B$7,'Replacement plan'!$AG$14)),IF('Replacement plan'!$AG$14="",'Operating costs'!$B$7,'Replacement plan'!$AG$14)&gt;=0,ISNUMBER(IF('Replacement plan'!$AH$14="",'Operating costs'!$B$7,'Replacement plan'!$AH$14)),IF('Replacement plan'!$AH$14="",'Operating costs'!$B$7,'Replacement plan'!$AH$14)&gt;=0,'Operating costs'!$B$8&gt;MAX(IF('Replacement plan'!$AG$14="",'Operating costs'!$B$7,'Replacement plan'!$AG$14),IF('Replacement plan'!$AH$14="",'Operating costs'!$B$7,'Replacement plan'!$AH$14))*'Operating costs'!$B$9),IF(AND(VLOOKUP($A38,'Fleet register'!$A$7:$S$106,10,FALSE)&gt;=0,VLOOKUP($A38,'Fleet register'!$A$7:$S$106,10,FALSE)&lt;=120,VLOOKUP($A38,'Fleet register'!$A$7:$S$106,10,FALSE)=INT(VLOOKUP($A38,'Fleet register'!$A$7:$S$106,10,FALSE)),VLOOKUP($A38,'Fleet register'!$A$7:$S$106,15,FALSE)&gt;=0,VLOOKUP($A38,'Fleet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costs'!$B$67)&gt;=0,OR(D38&lt;&gt;"EV",E38=120,AND(MIN('Operating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8" s="1" t="str">
        <f>IF(C38=0,"Excluded",IF(P38&lt;&gt;"Complete",P38,IF(OR('Replacement plan'!$AD$14&lt;120-E38,AND(D38="EV",E38&lt;120,OR('Replacement plan'!$AC$14&lt;120-E38,'Replacement plan'!$I$14="No",AND(ISNUMBER(AF38),AE38&gt;AF38),AI38&gt;V38*(1-'Operating costs'!$B$46)^MAX(0,AB38-1)*(1-'Operating costs'!$B$45),AC38&gt;'Operating costs'!$B$18,AND(T38&lt;1,OR(AG38&lt;=0,AND(ISNUMBER(AH38),AG38&gt;AH38))),'Replacement plan'!$L$14&gt;INDEX(Products!$H$7:$H$13,MATCH('Replacement plan'!$B$14,Products!$A$7:$A$13,0))))),"Fails entered limits",IF(AND(D38="EV",E38&lt;120,OR(NOT(ISNUMBER(VLOOKUP($A38,'Fleet register'!$A$7:$S$106,7,FALSE))),NOT(ISNUMBER(VLOOKUP($A38,'Fleet register'!$A$7:$S$106,8,FALSE))),NOT(ISNUMBER(AF38)),'Replacement plan'!$I$14&lt;&gt;"Yes",NOT(ISNUMBER(AH38)),'Operating costs'!$B$59&lt;&gt;"Yes",'Operating costs'!$B$58&lt;&gt;"Yes")),"Unverified","Within entered limits"))))</f>
        <v>Excluded</v>
      </c>
      <c r="R38" s="1">
        <f>IF(C38=0,0,VLOOKUP($A38,'Fleet register'!$A$7:$S$106,6,FALSE))</f>
        <v>0</v>
      </c>
      <c r="S38" s="1">
        <f>IF(C38=0,0,VLOOKUP($A38,'Fleet register'!$A$7:$S$106,5,FALSE))</f>
        <v>0</v>
      </c>
      <c r="T38" s="1">
        <f>IF(D38="EV",'Energy and charging'!$C$12,0)</f>
        <v>0</v>
      </c>
      <c r="U38" s="1">
        <f>IFERROR(IF(C38=0,0,IF(D38="EV",IF('Replacement plan'!$F$14="",INDEX(Products!$E$7:$E$13,MATCH('Replacement plan'!$B$14,Products!$A$7:$A$13,0)),'Replacement plan'!$F$14)/IF('Replacement plan'!$G$14="Battery",1-'Operating costs'!$B$44,1),0)),"n.a.")</f>
        <v>0</v>
      </c>
      <c r="V38" s="1">
        <f>IFERROR(IF(C38=0,0,IF(D38="EV",IF('Replacement plan'!$E$14="",INDEX(Products!$D$7:$D$13,MATCH('Replacement plan'!$B$14,Products!$A$7:$A$13,0)),'Replacement plan'!$E$14),0)),"n.a.")</f>
        <v>0</v>
      </c>
      <c r="W38" s="1">
        <f>IF(C38=0,0,IF(AND(P38="Complete",D38="EV",E38&lt;120),IF(T38=0,0,ROUNDUP(T38*(R38-'Operating costs'!$B$41)*(S38*U38+'Operating costs'!$B$48/(1-'Operating costs'!$B$44))/(V38*'Operating costs'!$B$47/(1-'Operating costs'!$B$44)-T38*'Operating costs'!$B$12*U38),0)),0))</f>
        <v>0</v>
      </c>
      <c r="X38" s="1">
        <f>IF(C38=0,0,IF(AND(P38="Complete",D38="EV",E38&lt;120),(R38-'Operating costs'!$B$41)*(S38*U38+'Operating costs'!$B$48/(1-'Operating costs'!$B$44))+W38*'Operating costs'!$B$12*U38,0))</f>
        <v>0</v>
      </c>
      <c r="Y38" s="1">
        <f>IF(AND(C38=1,D38="EV",E38&lt;120),AI38/(1-'Operating costs'!$B$44)*(1-T38),0)</f>
        <v>0</v>
      </c>
      <c r="Z38" s="1">
        <f t="shared" si="0"/>
        <v>0</v>
      </c>
      <c r="AA38" s="1">
        <f>IF(C38=0,0,IF(P38="Complete",((S38*(R38-'Operating costs'!$B$40))+ROUNDUP(S38*(R38-'Operating costs'!$B$40)*IF('Replacement plan'!$AH$14="",'Operating costs'!$B$7,'Replacement plan'!$AH$14)/('Operating costs'!$B$8-'Operating costs'!$B$9*IF('Replacement plan'!$AH$14="",'Operating costs'!$B$7,'Replacement plan'!$AH$14)),0)*'Operating costs'!$B$9)*IF('Replacement plan'!$AH$14="",'Operating costs'!$B$7,'Replacement plan'!$AH$14),"n.a."))</f>
        <v>0</v>
      </c>
      <c r="AB38" s="1">
        <f t="shared" si="1"/>
        <v>0</v>
      </c>
      <c r="AC38" s="1">
        <f>IF(AND(C38=1,D38="EV",E38&lt;120,T38&gt;0),'Operating costs'!$B$12/'Operating costs'!$B$11*60+'Operating costs'!$B$13+'Operating costs'!$B$14+V38*'Operating costs'!$B$47/(1-'Operating costs'!$B$44)/'Replacement plan'!$L$14*60,0)</f>
        <v>0</v>
      </c>
      <c r="AD38" s="1" t="str">
        <f>'Replacement plan'!$B$14</f>
        <v>ChengLong L2EV</v>
      </c>
      <c r="AE38" s="1">
        <f>IF(C38=0,0,VLOOKUP($A38,'Fleet register'!$A$7:$S$106,8,FALSE))</f>
        <v>0</v>
      </c>
      <c r="AF38" s="1" t="str">
        <f>IF('Replacement plan'!$H$14="","n.a.",'Replacement plan'!$H$14)</f>
        <v>n.a.</v>
      </c>
      <c r="AG38" s="1">
        <f>'Replacement plan'!$J$14</f>
        <v>22</v>
      </c>
      <c r="AH38" s="1">
        <f>IFERROR(IF(D38="EV",IF('Replacement plan'!$K$14="AC",IF(ISNUMBER(INDEX(Products!$G$7:$G$13,MATCH('Replacement plan'!$B$14,Products!$A$7:$A$13,0))),INDEX(Products!$G$7:$G$13,MATCH('Replacement plan'!$B$14,Products!$A$7:$A$13,0)),"n.a."),IF(ISNUMBER(INDEX(Products!$H$7:$H$13,MATCH('Replacement plan'!$B$14,Products!$A$7:$A$13,0))),INDEX(Products!$H$7:$H$13,MATCH('Replacement plan'!$B$14,Products!$A$7:$A$13,0)),"n.a.")),0),"n.a.")</f>
        <v>0</v>
      </c>
      <c r="AI38" s="1">
        <f>IF(AND(C38=1,D38="EV",E38&lt;120),(VLOOKUP($A38,'Fleet register'!$A$7:$S$106,7,FALSE)+IF(T38&gt;0,'Operating costs'!$B$12,0))*U38*(1-'Operating costs'!$B$44)+'Operating costs'!$B$49,0)</f>
        <v>0</v>
      </c>
      <c r="AJ38" s="1">
        <f>IF(D38="EV",'Energy and charging'!$C$50,0)</f>
        <v>0</v>
      </c>
      <c r="AK38" s="17">
        <f>EDATE('Operating costs'!$B$63,E38)</f>
        <v>46298</v>
      </c>
      <c r="AL38" s="1">
        <f>IFERROR(IF(D38="EV",INDEX(Products!$B$7:$B$13,MATCH('Replacement plan'!$B$14,Products!$A$7:$A$13,0)),0),"n.a.")</f>
        <v>0</v>
      </c>
      <c r="AM38" s="1" t="str">
        <f>'Replacement plan'!$K$14</f>
        <v>DC</v>
      </c>
      <c r="AN38" s="1" t="str">
        <f>'Replacement plan'!$AE$14</f>
        <v>Assumed</v>
      </c>
      <c r="AO38" s="47">
        <f>IF(AND(C38=1,D38="EV",E38&lt;120),(R38-'Operating costs'!$B$41)*S38+W38*'Operating costs'!$B$12,0)</f>
        <v>0</v>
      </c>
      <c r="AP38" s="41">
        <f>IF(AND(C38=1,D38="EV",E38&lt;120),IF('Operating costs'!$B$68="Hong Seh 200k average",AO38*IFERROR(INDEX(Products!$P$7:$P$13,MATCH(AD38,Products!$A$7:$A$13,0)),"n.a."),'Operating costs'!$B$26),0)</f>
        <v>0</v>
      </c>
      <c r="AQ38" s="40" t="str">
        <f>IF(D38="EV",'Operating costs'!$B$68,"Not applicable")</f>
        <v>Not applicable</v>
      </c>
    </row>
    <row r="39" spans="1:43" ht="24" customHeight="1">
      <c r="A39" s="1" t="str">
        <f>'Replacement plan'!A15</f>
        <v>T009</v>
      </c>
      <c r="B39" s="1">
        <v>0</v>
      </c>
      <c r="C39" s="1">
        <f>IF(COUNTIFS('Fleet register'!$A$7:$A$106,$A39)=1,VLOOKUP($A39,'Fleet register'!$A$7:$S$106,2,FALSE),0)</f>
        <v>0</v>
      </c>
      <c r="D39" s="1" t="str">
        <f>IF("Keep ICE"="EV","EV","ICE")</f>
        <v>ICE</v>
      </c>
      <c r="E39" s="1">
        <f>IF(C39=0,0,IF('Replacement plan'!$M$15="",VLOOKUP($A39,'Fleet register'!$A$7:$S$106,10,FALSE),'Replacement plan'!$M$15))</f>
        <v>0</v>
      </c>
      <c r="F39" s="16">
        <f>IF(C39=0,0,VLOOKUP($A39,'Fleet register'!$A$7:$S$106,11,FALSE))</f>
        <v>0</v>
      </c>
      <c r="G39" s="16">
        <f>IFERROR(IF(C39=0,0,IF(E39=120,0,IF(D39="ICE",'Replacement plan'!$C$15,IF('Replacement plan'!$D$15="",INDEX(Products!$I$7:$I$13,MATCH('Replacement plan'!$B$15,Products!$A$7:$A$13,0))+'Operating costs'!$B$57,'Replacement plan'!$D$15))*(1+'Operating costs'!$B$50)^(E39/12))),"n.a.")</f>
        <v>0</v>
      </c>
      <c r="H39" s="16">
        <f>IFERROR(IF(C39=0,0,IF(E39=0,F39,VLOOKUP($A39,'Fleet register'!$A$7:$S$106,12,FALSE)+VLOOKUP($A39,'Fleet register'!$A$7:$S$106,13,FALSE)*MAX(0,VLOOKUP($A39,'Fleet register'!$A$7:$S$106,10,FALSE)-E39)/VLOOKUP($A39,'Fleet register'!$A$7:$S$106,14,FALSE))),"n.a.")</f>
        <v>0</v>
      </c>
      <c r="I39" s="16">
        <f>IF(C39=0,0,IF(E39=120,0,'Replacement plan'!$N$15))</f>
        <v>0</v>
      </c>
      <c r="J39" s="16">
        <f>IF(C39=0,0,IF(P39="Complete",((S39*(R39-'Operating costs'!$B$39))+ROUNDUP(S39*(R39-'Operating costs'!$B$39)*IF('Replacement plan'!$AG$15="",'Operating costs'!$B$7,'Replacement plan'!$AG$15)/('Operating costs'!$B$8-'Operating costs'!$B$9*IF('Replacement plan'!$AG$15="",'Operating costs'!$B$7,'Replacement plan'!$AG$15)),0)*'Operating costs'!$B$9)*IF('Replacement plan'!$AG$15="",'Operating costs'!$B$7,'Replacement plan'!$AG$15)*('Energy and charging'!$B$9*'Energy and charging'!$B$7+(1-'Energy and charging'!$B$9)*'Energy and charging'!$B$8)*'Operating costs'!$B$23,"n.a."))</f>
        <v>0</v>
      </c>
      <c r="K39" s="16">
        <f>IF(C39=0,0,IF(P39="Complete",SUM('Operating costs'!$B$24,'Operating costs'!$B$27,'Operating costs'!$B$29,'Operating costs'!$B$31,'Operating costs'!$B$33,'Operating costs'!$B$34,'Operating costs'!$B$37,'Replacement plan'!$W$15)+'Operating costs'!$B$39*'Operating costs'!$B$42+ROUNDUP(S39*(R39-'Operating costs'!$B$39)*IF('Replacement plan'!$AG$15="",'Operating costs'!$B$7,'Replacement plan'!$AG$15)/('Operating costs'!$B$8-'Operating costs'!$B$9*IF('Replacement plan'!$AG$15="",'Operating costs'!$B$7,'Replacement plan'!$AG$15)),0)*('Operating costs'!$B$9/'Operating costs'!$B$11+'Operating costs'!$B$10/60)*'Operating costs'!$B$19*'Operating costs'!$B$21,"n.a."))</f>
        <v>0</v>
      </c>
      <c r="L39" s="16">
        <f>IF(C39=0,0,IF(P39="Complete",IF(D39="EV",X39*((1-T39)*'Energy and charging'!$B$10+T39*'Energy and charging'!$B$11)*'Operating costs'!$B$22,AA39*('Energy and charging'!$B$9*'Energy and charging'!$B$7+(1-'Energy and charging'!$B$9)*'Energy and charging'!$B$8)*'Operating costs'!$B$23),"n.a."))</f>
        <v>0</v>
      </c>
      <c r="M39" s="37">
        <f>IF(C39=0,0,IF(P39="Complete",IF(D39="ICE",SUM('Operating costs'!$B$25,'Operating costs'!$B$27,'Operating costs'!$B$29,'Operating costs'!$B$31,'Operating costs'!$B$33,'Operating costs'!$B$35,'Operating costs'!$B$37,'Replacement plan'!$X$15)+'Operating costs'!$B$40*'Operating costs'!$B$42+ROUNDUP(S39*(R39-'Operating costs'!$B$40)*IF('Replacement plan'!$AH$15="",'Operating costs'!$B$7,'Replacement plan'!$AH$15)/('Operating costs'!$B$8-'Operating costs'!$B$9*IF('Replacement plan'!$AH$15="",'Operating costs'!$B$7,'Replacement plan'!$AH$15)),0)*('Operating costs'!$B$9/'Operating costs'!$B$11+'Operating costs'!$B$10/60)*'Operating costs'!$B$19*'Operating costs'!$B$21,SUM(AP39,'Operating costs'!$B$28,'Operating costs'!$B$30,'Operating costs'!$B$32,'Operating costs'!$B$33,'Operating costs'!$B$36,'Operating costs'!$B$38,'Replacement plan'!$Y$15)+'Operating costs'!$B$41*'Operating costs'!$B$43+W39*'Operating costs'!$B$15+(T39*X39/'Replacement plan'!$L$15+W39*('Operating costs'!$B$12/'Operating costs'!$B$11+('Operating costs'!$B$13+'Operating costs'!$B$14)/60)+(R39-'Operating costs'!$B$41)*(IF(T39&lt;1,'Operating costs'!$B$16,0)+'Operating costs'!$B$17)/60)*'Operating costs'!$B$19*'Operating costs'!$B$20),"n.a."))</f>
        <v>0</v>
      </c>
      <c r="N39" s="16">
        <f>IF(AND(C39=1,D39="EV",E39&lt;120,E39+'Replacement plan'!$AA$15&lt;=120),'Replacement plan'!$Z$15,0)</f>
        <v>0</v>
      </c>
      <c r="O39" s="1">
        <f>E39+'Replacement plan'!$AA$15</f>
        <v>0</v>
      </c>
      <c r="P39" s="35" t="str">
        <f>IFERROR(IF(C39=0,"Excluded",IF(OR(COUNTIFS('Fleet register'!$A$7:$A$106,A39)&lt;&gt;1,COUNTIFS('Replacement plan'!$A$7:$A$106,A39)&lt;&gt;1),"Duplicate/missing ID",IF(NOT(AND(ISNUMBER(VLOOKUP($A39,'Fleet register'!$A$7:$S$106,5,FALSE)),ISNUMBER(VLOOKUP($A39,'Fleet register'!$A$7:$S$106,6,FALSE)),ISNUMBER(VLOOKUP($A39,'Fleet register'!$A$7:$S$106,10,FALSE)),ISNUMBER(VLOOKUP($A39,'Fleet register'!$A$7:$S$106,11,FALSE)),ISNUMBER(VLOOKUP($A39,'Fleet register'!$A$7:$S$106,12,FALSE)),ISNUMBER(VLOOKUP($A39,'Fleet register'!$A$7:$S$106,13,FALSE)),ISNUMBER(VLOOKUP($A39,'Fleet register'!$A$7:$S$106,14,FALSE)),VLOOKUP($A39,'Fleet register'!$A$7:$S$106,14,FALSE)&gt;0,ISNUMBER('Replacement plan'!$C$15),OR(E39=120,ISNUMBER('Replacement plan'!$N$15)),ISNUMBER(E39))),"Missing vehicle input",IF(OR(E39&lt;0,E39&gt;VLOOKUP($A39,'Fleet register'!$A$7:$S$106,10,FALSE),E39&gt;120,E39&lt;&gt;INT(E39),VLOOKUP($A39,'Fleet register'!$A$7:$S$106,6,FALSE)&lt;=0,VLOOKUP($A39,'Fleet register'!$A$7:$S$106,6,FALSE)&gt;366,VLOOKUP($A39,'Fleet register'!$A$7:$S$106,5,FALSE)&lt;0,VLOOKUP($A39,'Fleet register'!$A$7:$S$106,11,FALSE)&lt;0,I39&lt;0,'Operating costs'!$B$8&lt;='Operating costs'!$B$7*'Operating costs'!$B$9,'Operating costs'!$B$11&lt;=0,'Operating costs'!$B$39&gt;R39,'Operating costs'!$B$40&gt;R39,'Operating costs'!$B$41&gt;R39,NOT(OR("Keep ICE"="Keep ICE","Keep ICE"="New ICE","Keep ICE"="EV"))),"Invalid vehicle input",IF(AND(D39="EV",E39&lt;120,OR(NOT(ISNUMBER(U39)),NOT(ISNUMBER(V39)),V39&lt;=0,T39&lt;0,T39&gt;1,'Replacement plan'!$L$15&lt;=0,'Operating costs'!$B$44&lt;0,'Operating costs'!$B$44&gt;=1,'Operating costs'!$B$47&lt;=0,'Operating costs'!$B$47&gt;1,V39*'Operating costs'!$B$47/(1-'Operating costs'!$B$44)&lt;=T39*'Operating costs'!$B$12*U39,AND('Replacement plan'!$Z$15&gt;0,OR('Replacement plan'!$AB$15&lt;&gt;"Yes",'Operating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charging'!$B$8&gt;=0))),ISNUMBER(VLOOKUP($A39,'Fleet register'!$A$7:$S$106,15,FALSE)),ISNUMBER(VLOOKUP($A39,'Fleet register'!$A$7:$S$106,16,FALSE)),ISNUMBER('Replacement plan'!$W$15),ISNUMBER('Replacement plan'!$X$15),OR(E39=120,AND(ISNUMBER(G39),G39&gt;=0)),ISNUMBER(H39),H39&gt;=0,OR(D39&lt;&gt;"EV",E39=120,AND(ISNUMBER('Operating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plan'!$Y$15),ISNUMBER('Replacement plan'!$Z$15),'Replacement plan'!$Z$15&gt;=0,ISNUMBER('Replacement plan'!$AA$15),'Replacement plan'!$AA$15&gt;=0,'Replacement plan'!$AA$15=INT('Replacement plan'!$AA$15),ISNUMBER('Replacement plan'!$L$15))),'Operating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plan'!$AG$15="",'Operating costs'!$B$7,'Replacement plan'!$AG$15)),IF('Replacement plan'!$AG$15="",'Operating costs'!$B$7,'Replacement plan'!$AG$15)&gt;=0,ISNUMBER(IF('Replacement plan'!$AH$15="",'Operating costs'!$B$7,'Replacement plan'!$AH$15)),IF('Replacement plan'!$AH$15="",'Operating costs'!$B$7,'Replacement plan'!$AH$15)&gt;=0,'Operating costs'!$B$8&gt;MAX(IF('Replacement plan'!$AG$15="",'Operating costs'!$B$7,'Replacement plan'!$AG$15),IF('Replacement plan'!$AH$15="",'Operating costs'!$B$7,'Replacement plan'!$AH$15))*'Operating costs'!$B$9),IF(AND(VLOOKUP($A39,'Fleet register'!$A$7:$S$106,10,FALSE)&gt;=0,VLOOKUP($A39,'Fleet register'!$A$7:$S$106,10,FALSE)&lt;=120,VLOOKUP($A39,'Fleet register'!$A$7:$S$106,10,FALSE)=INT(VLOOKUP($A39,'Fleet register'!$A$7:$S$106,10,FALSE)),VLOOKUP($A39,'Fleet register'!$A$7:$S$106,15,FALSE)&gt;=0,VLOOKUP($A39,'Fleet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costs'!$B$67)&gt;=0,OR(D39&lt;&gt;"EV",E39=120,AND(MIN('Operating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9" s="1" t="str">
        <f>IF(C39=0,"Excluded",IF(P39&lt;&gt;"Complete",P39,IF(OR('Replacement plan'!$AD$15&lt;120-E39,AND(D39="EV",E39&lt;120,OR('Replacement plan'!$AC$15&lt;120-E39,'Replacement plan'!$I$15="No",AND(ISNUMBER(AF39),AE39&gt;AF39),AI39&gt;V39*(1-'Operating costs'!$B$46)^MAX(0,AB39-1)*(1-'Operating costs'!$B$45),AC39&gt;'Operating costs'!$B$18,AND(T39&lt;1,OR(AG39&lt;=0,AND(ISNUMBER(AH39),AG39&gt;AH39))),'Replacement plan'!$L$15&gt;INDEX(Products!$H$7:$H$13,MATCH('Replacement plan'!$B$15,Products!$A$7:$A$13,0))))),"Fails entered limits",IF(AND(D39="EV",E39&lt;120,OR(NOT(ISNUMBER(VLOOKUP($A39,'Fleet register'!$A$7:$S$106,7,FALSE))),NOT(ISNUMBER(VLOOKUP($A39,'Fleet register'!$A$7:$S$106,8,FALSE))),NOT(ISNUMBER(AF39)),'Replacement plan'!$I$15&lt;&gt;"Yes",NOT(ISNUMBER(AH39)),'Operating costs'!$B$59&lt;&gt;"Yes",'Operating costs'!$B$58&lt;&gt;"Yes")),"Unverified","Within entered limits"))))</f>
        <v>Excluded</v>
      </c>
      <c r="R39" s="1">
        <f>IF(C39=0,0,VLOOKUP($A39,'Fleet register'!$A$7:$S$106,6,FALSE))</f>
        <v>0</v>
      </c>
      <c r="S39" s="1">
        <f>IF(C39=0,0,VLOOKUP($A39,'Fleet register'!$A$7:$S$106,5,FALSE))</f>
        <v>0</v>
      </c>
      <c r="T39" s="1">
        <f>IF(D39="EV",'Energy and charging'!$B$12,0)</f>
        <v>0</v>
      </c>
      <c r="U39" s="1">
        <f>IFERROR(IF(C39=0,0,IF(D39="EV",IF('Replacement plan'!$F$15="",INDEX(Products!$E$7:$E$13,MATCH('Replacement plan'!$B$15,Products!$A$7:$A$13,0)),'Replacement plan'!$F$15)/IF('Replacement plan'!$G$15="Battery",1-'Operating costs'!$B$44,1),0)),"n.a.")</f>
        <v>0</v>
      </c>
      <c r="V39" s="1">
        <f>IFERROR(IF(C39=0,0,IF(D39="EV",IF('Replacement plan'!$E$15="",INDEX(Products!$D$7:$D$13,MATCH('Replacement plan'!$B$15,Products!$A$7:$A$13,0)),'Replacement plan'!$E$15),0)),"n.a.")</f>
        <v>0</v>
      </c>
      <c r="W39" s="1">
        <f>IF(C39=0,0,IF(AND(P39="Complete",D39="EV",E39&lt;120),IF(T39=0,0,ROUNDUP(T39*(R39-'Operating costs'!$B$41)*(S39*U39+'Operating costs'!$B$48/(1-'Operating costs'!$B$44))/(V39*'Operating costs'!$B$47/(1-'Operating costs'!$B$44)-T39*'Operating costs'!$B$12*U39),0)),0))</f>
        <v>0</v>
      </c>
      <c r="X39" s="1">
        <f>IF(C39=0,0,IF(AND(P39="Complete",D39="EV",E39&lt;120),(R39-'Operating costs'!$B$41)*(S39*U39+'Operating costs'!$B$48/(1-'Operating costs'!$B$44))+W39*'Operating costs'!$B$12*U39,0))</f>
        <v>0</v>
      </c>
      <c r="Y39" s="1">
        <f>IF(AND(C39=1,D39="EV",E39&lt;120),AI39/(1-'Operating costs'!$B$44)*(1-T39),0)</f>
        <v>0</v>
      </c>
      <c r="Z39" s="1">
        <f t="shared" si="0"/>
        <v>0</v>
      </c>
      <c r="AA39" s="1">
        <f>IF(C39=0,0,IF(P39="Complete",((S39*(R39-'Operating costs'!$B$40))+ROUNDUP(S39*(R39-'Operating costs'!$B$40)*IF('Replacement plan'!$AH$15="",'Operating costs'!$B$7,'Replacement plan'!$AH$15)/('Operating costs'!$B$8-'Operating costs'!$B$9*IF('Replacement plan'!$AH$15="",'Operating costs'!$B$7,'Replacement plan'!$AH$15)),0)*'Operating costs'!$B$9)*IF('Replacement plan'!$AH$15="",'Operating costs'!$B$7,'Replacement plan'!$AH$15),"n.a."))</f>
        <v>0</v>
      </c>
      <c r="AB39" s="1">
        <f t="shared" si="1"/>
        <v>0</v>
      </c>
      <c r="AC39" s="1">
        <f>IF(AND(C39=1,D39="EV",E39&lt;120,T39&gt;0),'Operating costs'!$B$12/'Operating costs'!$B$11*60+'Operating costs'!$B$13+'Operating costs'!$B$14+V39*'Operating costs'!$B$47/(1-'Operating costs'!$B$44)/'Replacement plan'!$L$15*60,0)</f>
        <v>0</v>
      </c>
      <c r="AD39" s="1" t="str">
        <f>'Replacement plan'!$B$15</f>
        <v>ChengLong L2EV</v>
      </c>
      <c r="AE39" s="1">
        <f>IF(C39=0,0,VLOOKUP($A39,'Fleet register'!$A$7:$S$106,8,FALSE))</f>
        <v>0</v>
      </c>
      <c r="AF39" s="1" t="str">
        <f>IF('Replacement plan'!$H$15="","n.a.",'Replacement plan'!$H$15)</f>
        <v>n.a.</v>
      </c>
      <c r="AG39" s="1">
        <f>'Replacement plan'!$J$15</f>
        <v>22</v>
      </c>
      <c r="AH39" s="1">
        <f>IFERROR(IF(D39="EV",IF('Replacement plan'!$K$15="AC",IF(ISNUMBER(INDEX(Products!$G$7:$G$13,MATCH('Replacement plan'!$B$15,Products!$A$7:$A$13,0))),INDEX(Products!$G$7:$G$13,MATCH('Replacement plan'!$B$15,Products!$A$7:$A$13,0)),"n.a."),IF(ISNUMBER(INDEX(Products!$H$7:$H$13,MATCH('Replacement plan'!$B$15,Products!$A$7:$A$13,0))),INDEX(Products!$H$7:$H$13,MATCH('Replacement plan'!$B$15,Products!$A$7:$A$13,0)),"n.a.")),0),"n.a.")</f>
        <v>0</v>
      </c>
      <c r="AI39" s="1">
        <f>IF(AND(C39=1,D39="EV",E39&lt;120),(VLOOKUP($A39,'Fleet register'!$A$7:$S$106,7,FALSE)+IF(T39&gt;0,'Operating costs'!$B$12,0))*U39*(1-'Operating costs'!$B$44)+'Operating costs'!$B$49,0)</f>
        <v>0</v>
      </c>
      <c r="AJ39" s="1">
        <f>IF(D39="EV",'Energy and charging'!$B$50,0)</f>
        <v>0</v>
      </c>
      <c r="AK39" s="17">
        <f>EDATE('Operating costs'!$B$63,E39)</f>
        <v>46298</v>
      </c>
      <c r="AL39" s="1">
        <f>IFERROR(IF(D39="EV",INDEX(Products!$B$7:$B$13,MATCH('Replacement plan'!$B$15,Products!$A$7:$A$13,0)),0),"n.a.")</f>
        <v>0</v>
      </c>
      <c r="AM39" s="1" t="str">
        <f>'Replacement plan'!$K$15</f>
        <v>DC</v>
      </c>
      <c r="AN39" s="1" t="str">
        <f>'Replacement plan'!$AE$15</f>
        <v>Assumed</v>
      </c>
      <c r="AO39" s="47">
        <f>IF(AND(C39=1,D39="EV",E39&lt;120),(R39-'Operating costs'!$B$41)*S39+W39*'Operating costs'!$B$12,0)</f>
        <v>0</v>
      </c>
      <c r="AP39" s="41">
        <f>IF(AND(C39=1,D39="EV",E39&lt;120),IF('Operating costs'!$B$68="Hong Seh 200k average",AO39*IFERROR(INDEX(Products!$P$7:$P$13,MATCH(AD39,Products!$A$7:$A$13,0)),"n.a."),'Operating costs'!$B$26),0)</f>
        <v>0</v>
      </c>
      <c r="AQ39" s="40" t="str">
        <f>IF(D39="EV",'Operating costs'!$B$68,"Not applicable")</f>
        <v>Not applicable</v>
      </c>
    </row>
    <row r="40" spans="1:43" ht="24" customHeight="1">
      <c r="A40" s="1" t="str">
        <f>'Replacement plan'!A15</f>
        <v>T009</v>
      </c>
      <c r="B40" s="1">
        <v>1</v>
      </c>
      <c r="C40" s="1">
        <f>IF(COUNTIFS('Fleet register'!$A$7:$A$106,$A40)=1,VLOOKUP($A40,'Fleet register'!$A$7:$S$106,2,FALSE),0)</f>
        <v>0</v>
      </c>
      <c r="D40" s="1" t="str">
        <f>IF("New ICE"="EV","EV","ICE")</f>
        <v>ICE</v>
      </c>
      <c r="E40" s="1">
        <f>IF(C40=0,0,0)</f>
        <v>0</v>
      </c>
      <c r="F40" s="16">
        <f>IF(C40=0,0,VLOOKUP($A40,'Fleet register'!$A$7:$S$106,11,FALSE))</f>
        <v>0</v>
      </c>
      <c r="G40" s="16">
        <f>IFERROR(IF(C40=0,0,IF(E40=120,0,IF(D40="ICE",'Replacement plan'!$C$15,IF('Replacement plan'!$D$15="",INDEX(Products!$I$7:$I$13,MATCH('Replacement plan'!$B$15,Products!$A$7:$A$13,0))+'Operating costs'!$B$57,'Replacement plan'!$D$15))*(1+'Operating costs'!$B$50)^(E40/12))),"n.a.")</f>
        <v>0</v>
      </c>
      <c r="H40" s="16">
        <f>IFERROR(IF(C40=0,0,IF(E40=0,F40,VLOOKUP($A40,'Fleet register'!$A$7:$S$106,12,FALSE)+VLOOKUP($A40,'Fleet register'!$A$7:$S$106,13,FALSE)*MAX(0,VLOOKUP($A40,'Fleet register'!$A$7:$S$106,10,FALSE)-E40)/VLOOKUP($A40,'Fleet register'!$A$7:$S$106,14,FALSE))),"n.a.")</f>
        <v>0</v>
      </c>
      <c r="I40" s="16">
        <f>IF(C40=0,0,IF(E40=120,0,IF('Replacement plan'!$AI$15="",'Operating costs'!$B$56,'Replacement plan'!$AI$15)))</f>
        <v>0</v>
      </c>
      <c r="J40" s="16">
        <f>IF(C40=0,0,IF(P40="Complete",((S40*(R40-'Operating costs'!$B$39))+ROUNDUP(S40*(R40-'Operating costs'!$B$39)*IF('Replacement plan'!$AG$15="",'Operating costs'!$B$7,'Replacement plan'!$AG$15)/('Operating costs'!$B$8-'Operating costs'!$B$9*IF('Replacement plan'!$AG$15="",'Operating costs'!$B$7,'Replacement plan'!$AG$15)),0)*'Operating costs'!$B$9)*IF('Replacement plan'!$AG$15="",'Operating costs'!$B$7,'Replacement plan'!$AG$15)*('Energy and charging'!$B$9*'Energy and charging'!$B$7+(1-'Energy and charging'!$B$9)*'Energy and charging'!$B$8)*'Operating costs'!$B$23,"n.a."))</f>
        <v>0</v>
      </c>
      <c r="K40" s="16">
        <f>IF(C40=0,0,IF(P40="Complete",SUM('Operating costs'!$B$24,'Operating costs'!$B$27,'Operating costs'!$B$29,'Operating costs'!$B$31,'Operating costs'!$B$33,'Operating costs'!$B$34,'Operating costs'!$B$37,'Replacement plan'!$W$15)+'Operating costs'!$B$39*'Operating costs'!$B$42+ROUNDUP(S40*(R40-'Operating costs'!$B$39)*IF('Replacement plan'!$AG$15="",'Operating costs'!$B$7,'Replacement plan'!$AG$15)/('Operating costs'!$B$8-'Operating costs'!$B$9*IF('Replacement plan'!$AG$15="",'Operating costs'!$B$7,'Replacement plan'!$AG$15)),0)*('Operating costs'!$B$9/'Operating costs'!$B$11+'Operating costs'!$B$10/60)*'Operating costs'!$B$19*'Operating costs'!$B$21,"n.a."))</f>
        <v>0</v>
      </c>
      <c r="L40" s="16">
        <f>IF(C40=0,0,IF(P40="Complete",IF(D40="EV",X40*((1-T40)*'Energy and charging'!$B$10+T40*'Energy and charging'!$B$11)*'Operating costs'!$B$22,AA40*('Energy and charging'!$B$9*'Energy and charging'!$B$7+(1-'Energy and charging'!$B$9)*'Energy and charging'!$B$8)*'Operating costs'!$B$23),"n.a."))</f>
        <v>0</v>
      </c>
      <c r="M40" s="37">
        <f>IF(C40=0,0,IF(P40="Complete",IF(D40="ICE",SUM('Operating costs'!$B$25,'Operating costs'!$B$27,'Operating costs'!$B$29,'Operating costs'!$B$31,'Operating costs'!$B$33,'Operating costs'!$B$35,'Operating costs'!$B$37,'Replacement plan'!$X$15)+'Operating costs'!$B$40*'Operating costs'!$B$42+ROUNDUP(S40*(R40-'Operating costs'!$B$40)*IF('Replacement plan'!$AH$15="",'Operating costs'!$B$7,'Replacement plan'!$AH$15)/('Operating costs'!$B$8-'Operating costs'!$B$9*IF('Replacement plan'!$AH$15="",'Operating costs'!$B$7,'Replacement plan'!$AH$15)),0)*('Operating costs'!$B$9/'Operating costs'!$B$11+'Operating costs'!$B$10/60)*'Operating costs'!$B$19*'Operating costs'!$B$21,SUM(AP40,'Operating costs'!$B$28,'Operating costs'!$B$30,'Operating costs'!$B$32,'Operating costs'!$B$33,'Operating costs'!$B$36,'Operating costs'!$B$38,'Replacement plan'!$Y$15)+'Operating costs'!$B$41*'Operating costs'!$B$43+W40*'Operating costs'!$B$15+(T40*X40/'Replacement plan'!$L$15+W40*('Operating costs'!$B$12/'Operating costs'!$B$11+('Operating costs'!$B$13+'Operating costs'!$B$14)/60)+(R40-'Operating costs'!$B$41)*(IF(T40&lt;1,'Operating costs'!$B$16,0)+'Operating costs'!$B$17)/60)*'Operating costs'!$B$19*'Operating costs'!$B$20),"n.a."))</f>
        <v>0</v>
      </c>
      <c r="N40" s="16">
        <f>IF(AND(C40=1,D40="EV",E40&lt;120,E40+'Replacement plan'!$AA$15&lt;=120),'Replacement plan'!$Z$15,0)</f>
        <v>0</v>
      </c>
      <c r="O40" s="1">
        <f>E40+'Replacement plan'!$AA$15</f>
        <v>0</v>
      </c>
      <c r="P40" s="35" t="str">
        <f>IFERROR(IF(C40=0,"Excluded",IF(OR(COUNTIFS('Fleet register'!$A$7:$A$106,A40)&lt;&gt;1,COUNTIFS('Replacement plan'!$A$7:$A$106,A40)&lt;&gt;1),"Duplicate/missing ID",IF(NOT(AND(ISNUMBER(VLOOKUP($A40,'Fleet register'!$A$7:$S$106,5,FALSE)),ISNUMBER(VLOOKUP($A40,'Fleet register'!$A$7:$S$106,6,FALSE)),ISNUMBER(VLOOKUP($A40,'Fleet register'!$A$7:$S$106,10,FALSE)),ISNUMBER(VLOOKUP($A40,'Fleet register'!$A$7:$S$106,11,FALSE)),ISNUMBER(VLOOKUP($A40,'Fleet register'!$A$7:$S$106,12,FALSE)),ISNUMBER(VLOOKUP($A40,'Fleet register'!$A$7:$S$106,13,FALSE)),ISNUMBER(VLOOKUP($A40,'Fleet register'!$A$7:$S$106,14,FALSE)),VLOOKUP($A40,'Fleet register'!$A$7:$S$106,14,FALSE)&gt;0,ISNUMBER('Replacement plan'!$C$15),OR(E40=120,OR(ISNUMBER('Replacement plan'!$AI$15),AND('Replacement plan'!$AI$15="",ISNUMBER('Operating costs'!$B$56)))),ISNUMBER(E40))),"Missing vehicle input",IF(OR(E40&lt;0,E40&gt;VLOOKUP($A40,'Fleet register'!$A$7:$S$106,10,FALSE),E40&gt;120,E40&lt;&gt;INT(E40),VLOOKUP($A40,'Fleet register'!$A$7:$S$106,6,FALSE)&lt;=0,VLOOKUP($A40,'Fleet register'!$A$7:$S$106,6,FALSE)&gt;366,VLOOKUP($A40,'Fleet register'!$A$7:$S$106,5,FALSE)&lt;0,VLOOKUP($A40,'Fleet register'!$A$7:$S$106,11,FALSE)&lt;0,I40&lt;0,'Operating costs'!$B$8&lt;='Operating costs'!$B$7*'Operating costs'!$B$9,'Operating costs'!$B$11&lt;=0,'Operating costs'!$B$39&gt;R40,'Operating costs'!$B$40&gt;R40,'Operating costs'!$B$41&gt;R40,NOT(OR("New ICE"="Keep ICE","New ICE"="New ICE","New ICE"="EV"))),"Invalid vehicle input",IF(AND(D40="EV",E40&lt;120,OR(NOT(ISNUMBER(U40)),NOT(ISNUMBER(V40)),V40&lt;=0,T40&lt;0,T40&gt;1,'Replacement plan'!$L$15&lt;=0,'Operating costs'!$B$44&lt;0,'Operating costs'!$B$44&gt;=1,'Operating costs'!$B$47&lt;=0,'Operating costs'!$B$47&gt;1,V40*'Operating costs'!$B$47/(1-'Operating costs'!$B$44)&lt;=T40*'Operating costs'!$B$12*U40,AND('Replacement plan'!$Z$15&gt;0,OR('Replacement plan'!$AB$15&lt;&gt;"Yes",'Operating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charging'!$B$8&gt;=0))),ISNUMBER(VLOOKUP($A40,'Fleet register'!$A$7:$S$106,15,FALSE)),ISNUMBER(VLOOKUP($A40,'Fleet register'!$A$7:$S$106,16,FALSE)),ISNUMBER('Replacement plan'!$W$15),ISNUMBER('Replacement plan'!$X$15),OR(E40=120,AND(ISNUMBER(G40),G40&gt;=0)),ISNUMBER(H40),H40&gt;=0,OR(D40&lt;&gt;"EV",E40=120,AND(ISNUMBER('Operating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average",ISNUMBER(IFERROR(INDEX(Products!$P$7:$P$13,MATCH(AD40,Products!$A$7:$A$13,0)),"")))),ISNUMBER('Operating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plan'!$Y$15),ISNUMBER('Replacement plan'!$Z$15),'Replacement plan'!$Z$15&gt;=0,ISNUMBER('Replacement plan'!$AA$15),'Replacement plan'!$AA$15&gt;=0,'Replacement plan'!$AA$15=INT('Replacement plan'!$AA$15),ISNUMBER('Replacement plan'!$L$15))),'Operating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plan'!$AG$15="",'Operating costs'!$B$7,'Replacement plan'!$AG$15)),IF('Replacement plan'!$AG$15="",'Operating costs'!$B$7,'Replacement plan'!$AG$15)&gt;=0,ISNUMBER(IF('Replacement plan'!$AH$15="",'Operating costs'!$B$7,'Replacement plan'!$AH$15)),IF('Replacement plan'!$AH$15="",'Operating costs'!$B$7,'Replacement plan'!$AH$15)&gt;=0,'Operating costs'!$B$8&gt;MAX(IF('Replacement plan'!$AG$15="",'Operating costs'!$B$7,'Replacement plan'!$AG$15),IF('Replacement plan'!$AH$15="",'Operating costs'!$B$7,'Replacement plan'!$AH$15))*'Operating costs'!$B$9),IF(AND(VLOOKUP($A40,'Fleet register'!$A$7:$S$106,10,FALSE)&gt;=0,VLOOKUP($A40,'Fleet register'!$A$7:$S$106,10,FALSE)&lt;=120,VLOOKUP($A40,'Fleet register'!$A$7:$S$106,10,FALSE)=INT(VLOOKUP($A40,'Fleet register'!$A$7:$S$106,10,FALSE)),VLOOKUP($A40,'Fleet register'!$A$7:$S$106,15,FALSE)&gt;=0,VLOOKUP($A40,'Fleet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costs'!$B$67)&gt;=0,OR(D40&lt;&gt;"EV",E40=120,AND(MIN('Operating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40" s="1" t="str">
        <f>IF(C40=0,"Excluded",IF(P40&lt;&gt;"Complete",P40,IF(OR('Replacement plan'!$AD$15&lt;120-E40,AND(D40="EV",E40&lt;120,OR('Replacement plan'!$AC$15&lt;120-E40,'Replacement plan'!$I$15="No",AND(ISNUMBER(AF40),AE40&gt;AF40),AI40&gt;V40*(1-'Operating costs'!$B$46)^MAX(0,AB40-1)*(1-'Operating costs'!$B$45),AC40&gt;'Operating costs'!$B$18,AND(T40&lt;1,OR(AG40&lt;=0,AND(ISNUMBER(AH40),AG40&gt;AH40))),'Replacement plan'!$L$15&gt;INDEX(Products!$H$7:$H$13,MATCH('Replacement plan'!$B$15,Products!$A$7:$A$13,0))))),"Fails entered limits",IF(AND(D40="EV",E40&lt;120,OR(NOT(ISNUMBER(VLOOKUP($A40,'Fleet register'!$A$7:$S$106,7,FALSE))),NOT(ISNUMBER(VLOOKUP($A40,'Fleet register'!$A$7:$S$106,8,FALSE))),NOT(ISNUMBER(AF40)),'Replacement plan'!$I$15&lt;&gt;"Yes",NOT(ISNUMBER(AH40)),'Operating costs'!$B$59&lt;&gt;"Yes",'Operating costs'!$B$58&lt;&gt;"Yes")),"Unverified","Within entered limits"))))</f>
        <v>Excluded</v>
      </c>
      <c r="R40" s="1">
        <f>IF(C40=0,0,VLOOKUP($A40,'Fleet register'!$A$7:$S$106,6,FALSE))</f>
        <v>0</v>
      </c>
      <c r="S40" s="1">
        <f>IF(C40=0,0,VLOOKUP($A40,'Fleet register'!$A$7:$S$106,5,FALSE))</f>
        <v>0</v>
      </c>
      <c r="T40" s="1">
        <f>IF(D40="EV",'Energy and charging'!$B$12,0)</f>
        <v>0</v>
      </c>
      <c r="U40" s="1">
        <f>IFERROR(IF(C40=0,0,IF(D40="EV",IF('Replacement plan'!$F$15="",INDEX(Products!$E$7:$E$13,MATCH('Replacement plan'!$B$15,Products!$A$7:$A$13,0)),'Replacement plan'!$F$15)/IF('Replacement plan'!$G$15="Battery",1-'Operating costs'!$B$44,1),0)),"n.a.")</f>
        <v>0</v>
      </c>
      <c r="V40" s="1">
        <f>IFERROR(IF(C40=0,0,IF(D40="EV",IF('Replacement plan'!$E$15="",INDEX(Products!$D$7:$D$13,MATCH('Replacement plan'!$B$15,Products!$A$7:$A$13,0)),'Replacement plan'!$E$15),0)),"n.a.")</f>
        <v>0</v>
      </c>
      <c r="W40" s="1">
        <f>IF(C40=0,0,IF(AND(P40="Complete",D40="EV",E40&lt;120),IF(T40=0,0,ROUNDUP(T40*(R40-'Operating costs'!$B$41)*(S40*U40+'Operating costs'!$B$48/(1-'Operating costs'!$B$44))/(V40*'Operating costs'!$B$47/(1-'Operating costs'!$B$44)-T40*'Operating costs'!$B$12*U40),0)),0))</f>
        <v>0</v>
      </c>
      <c r="X40" s="1">
        <f>IF(C40=0,0,IF(AND(P40="Complete",D40="EV",E40&lt;120),(R40-'Operating costs'!$B$41)*(S40*U40+'Operating costs'!$B$48/(1-'Operating costs'!$B$44))+W40*'Operating costs'!$B$12*U40,0))</f>
        <v>0</v>
      </c>
      <c r="Y40" s="1">
        <f>IF(AND(C40=1,D40="EV",E40&lt;120),AI40/(1-'Operating costs'!$B$44)*(1-T40),0)</f>
        <v>0</v>
      </c>
      <c r="Z40" s="1">
        <f t="shared" si="0"/>
        <v>0</v>
      </c>
      <c r="AA40" s="1">
        <f>IF(C40=0,0,IF(P40="Complete",((S40*(R40-'Operating costs'!$B$40))+ROUNDUP(S40*(R40-'Operating costs'!$B$40)*IF('Replacement plan'!$AH$15="",'Operating costs'!$B$7,'Replacement plan'!$AH$15)/('Operating costs'!$B$8-'Operating costs'!$B$9*IF('Replacement plan'!$AH$15="",'Operating costs'!$B$7,'Replacement plan'!$AH$15)),0)*'Operating costs'!$B$9)*IF('Replacement plan'!$AH$15="",'Operating costs'!$B$7,'Replacement plan'!$AH$15),"n.a."))</f>
        <v>0</v>
      </c>
      <c r="AB40" s="1">
        <f t="shared" si="1"/>
        <v>0</v>
      </c>
      <c r="AC40" s="1">
        <f>IF(AND(C40=1,D40="EV",E40&lt;120,T40&gt;0),'Operating costs'!$B$12/'Operating costs'!$B$11*60+'Operating costs'!$B$13+'Operating costs'!$B$14+V40*'Operating costs'!$B$47/(1-'Operating costs'!$B$44)/'Replacement plan'!$L$15*60,0)</f>
        <v>0</v>
      </c>
      <c r="AD40" s="1" t="str">
        <f>'Replacement plan'!$B$15</f>
        <v>ChengLong L2EV</v>
      </c>
      <c r="AE40" s="1">
        <f>IF(C40=0,0,VLOOKUP($A40,'Fleet register'!$A$7:$S$106,8,FALSE))</f>
        <v>0</v>
      </c>
      <c r="AF40" s="1" t="str">
        <f>IF('Replacement plan'!$H$15="","n.a.",'Replacement plan'!$H$15)</f>
        <v>n.a.</v>
      </c>
      <c r="AG40" s="1">
        <f>'Replacement plan'!$J$15</f>
        <v>22</v>
      </c>
      <c r="AH40" s="1">
        <f>IFERROR(IF(D40="EV",IF('Replacement plan'!$K$15="AC",IF(ISNUMBER(INDEX(Products!$G$7:$G$13,MATCH('Replacement plan'!$B$15,Products!$A$7:$A$13,0))),INDEX(Products!$G$7:$G$13,MATCH('Replacement plan'!$B$15,Products!$A$7:$A$13,0)),"n.a."),IF(ISNUMBER(INDEX(Products!$H$7:$H$13,MATCH('Replacement plan'!$B$15,Products!$A$7:$A$13,0))),INDEX(Products!$H$7:$H$13,MATCH('Replacement plan'!$B$15,Products!$A$7:$A$13,0)),"n.a.")),0),"n.a.")</f>
        <v>0</v>
      </c>
      <c r="AI40" s="1">
        <f>IF(AND(C40=1,D40="EV",E40&lt;120),(VLOOKUP($A40,'Fleet register'!$A$7:$S$106,7,FALSE)+IF(T40&gt;0,'Operating costs'!$B$12,0))*U40*(1-'Operating costs'!$B$44)+'Operating costs'!$B$49,0)</f>
        <v>0</v>
      </c>
      <c r="AJ40" s="1">
        <f>IF(D40="EV",'Energy and charging'!$B$50,0)</f>
        <v>0</v>
      </c>
      <c r="AK40" s="17">
        <f>EDATE('Operating costs'!$B$63,E40)</f>
        <v>46298</v>
      </c>
      <c r="AL40" s="1">
        <f>IFERROR(IF(D40="EV",INDEX(Products!$B$7:$B$13,MATCH('Replacement plan'!$B$15,Products!$A$7:$A$13,0)),0),"n.a.")</f>
        <v>0</v>
      </c>
      <c r="AM40" s="1" t="str">
        <f>'Replacement plan'!$K$15</f>
        <v>DC</v>
      </c>
      <c r="AN40" s="1" t="str">
        <f>'Replacement plan'!$AE$15</f>
        <v>Assumed</v>
      </c>
      <c r="AO40" s="47">
        <f>IF(AND(C40=1,D40="EV",E40&lt;120),(R40-'Operating costs'!$B$41)*S40+W40*'Operating costs'!$B$12,0)</f>
        <v>0</v>
      </c>
      <c r="AP40" s="41">
        <f>IF(AND(C40=1,D40="EV",E40&lt;120),IF('Operating costs'!$B$68="Hong Seh 200k average",AO40*IFERROR(INDEX(Products!$P$7:$P$13,MATCH(AD40,Products!$A$7:$A$13,0)),"n.a."),'Operating costs'!$B$26),0)</f>
        <v>0</v>
      </c>
      <c r="AQ40" s="40" t="str">
        <f>IF(D40="EV",'Operating costs'!$B$68,"Not applicable")</f>
        <v>Not applicable</v>
      </c>
    </row>
    <row r="41" spans="1:43" ht="24" customHeight="1">
      <c r="A41" s="1" t="str">
        <f>'Replacement plan'!A15</f>
        <v>T009</v>
      </c>
      <c r="B41" s="1">
        <v>2</v>
      </c>
      <c r="C41" s="1">
        <f>IF(COUNTIFS('Fleet register'!$A$7:$A$106,$A41)=1,VLOOKUP($A41,'Fleet register'!$A$7:$S$106,2,FALSE),0)</f>
        <v>0</v>
      </c>
      <c r="D41" s="1" t="str">
        <f>IF('Replacement plan'!$O$15="EV","EV","ICE")</f>
        <v>ICE</v>
      </c>
      <c r="E41" s="1">
        <f>IF(C41=0,0,IF('Replacement plan'!$P$15="",IF('Replacement plan'!$O$15="Keep ICE",IF('Replacement plan'!$M$15="",VLOOKUP($A41,'Fleet register'!$A$7:$S$106,10,FALSE),'Replacement plan'!$M$15),0),'Replacement plan'!$P$15))</f>
        <v>0</v>
      </c>
      <c r="F41" s="16">
        <f>IF(C41=0,0,VLOOKUP($A41,'Fleet register'!$A$7:$S$106,11,FALSE))</f>
        <v>0</v>
      </c>
      <c r="G41" s="16">
        <f>IFERROR(IF(C41=0,0,IF(E41=120,0,IF(D41="ICE",'Replacement plan'!$C$15,IF('Replacement plan'!$D$15="",INDEX(Products!$I$7:$I$13,MATCH('Replacement plan'!$B$15,Products!$A$7:$A$13,0))+'Operating costs'!$B$57,'Replacement plan'!$D$15))*(1+'Operating costs'!$B$50)^(E41/12))),"n.a.")</f>
        <v>0</v>
      </c>
      <c r="H41" s="16">
        <f>IFERROR(IF(C41=0,0,IF('Replacement plan'!$U$15&lt;&gt;"",'Replacement plan'!$U$15,IF(E41=0,F41,VLOOKUP($A41,'Fleet register'!$A$7:$S$106,12,FALSE)+VLOOKUP($A41,'Fleet register'!$A$7:$S$106,13,FALSE)*MAX(0,VLOOKUP($A41,'Fleet register'!$A$7:$S$106,10,FALSE)-E41)/VLOOKUP($A41,'Fleet register'!$A$7:$S$106,14,FALSE)))),"n.a.")</f>
        <v>0</v>
      </c>
      <c r="I41" s="16">
        <f>IF(C41=0,0,IF(E41=120,0,'Replacement plan'!$Q$15))</f>
        <v>0</v>
      </c>
      <c r="J41" s="16">
        <f>IF(C41=0,0,IF(P41="Complete",((S41*(R41-'Operating costs'!$B$39))+ROUNDUP(S41*(R41-'Operating costs'!$B$39)*IF('Replacement plan'!$AG$15="",'Operating costs'!$B$7,'Replacement plan'!$AG$15)/('Operating costs'!$B$8-'Operating costs'!$B$9*IF('Replacement plan'!$AG$15="",'Operating costs'!$B$7,'Replacement plan'!$AG$15)),0)*'Operating costs'!$B$9)*IF('Replacement plan'!$AG$15="",'Operating costs'!$B$7,'Replacement plan'!$AG$15)*('Energy and charging'!$B$9*'Energy and charging'!$B$7+(1-'Energy and charging'!$B$9)*'Energy and charging'!$B$8)*'Operating costs'!$B$23,"n.a."))</f>
        <v>0</v>
      </c>
      <c r="K41" s="16">
        <f>IF(C41=0,0,IF(P41="Complete",SUM('Operating costs'!$B$24,'Operating costs'!$B$27,'Operating costs'!$B$29,'Operating costs'!$B$31,'Operating costs'!$B$33,'Operating costs'!$B$34,'Operating costs'!$B$37,'Replacement plan'!$W$15)+'Operating costs'!$B$39*'Operating costs'!$B$42+ROUNDUP(S41*(R41-'Operating costs'!$B$39)*IF('Replacement plan'!$AG$15="",'Operating costs'!$B$7,'Replacement plan'!$AG$15)/('Operating costs'!$B$8-'Operating costs'!$B$9*IF('Replacement plan'!$AG$15="",'Operating costs'!$B$7,'Replacement plan'!$AG$15)),0)*('Operating costs'!$B$9/'Operating costs'!$B$11+'Operating costs'!$B$10/60)*'Operating costs'!$B$19*'Operating costs'!$B$21,"n.a."))</f>
        <v>0</v>
      </c>
      <c r="L41" s="16">
        <f>IF(C41=0,0,IF(P41="Complete",IF(D41="EV",X41*((1-T41)*'Energy and charging'!$B$10+T41*'Energy and charging'!$B$11)*'Operating costs'!$B$22,AA41*('Energy and charging'!$B$9*'Energy and charging'!$B$7+(1-'Energy and charging'!$B$9)*'Energy and charging'!$B$8)*'Operating costs'!$B$23),"n.a."))</f>
        <v>0</v>
      </c>
      <c r="M41" s="37">
        <f>IF(C41=0,0,IF(P41="Complete",IF(D41="ICE",SUM('Operating costs'!$B$25,'Operating costs'!$B$27,'Operating costs'!$B$29,'Operating costs'!$B$31,'Operating costs'!$B$33,'Operating costs'!$B$35,'Operating costs'!$B$37,'Replacement plan'!$X$15)+'Operating costs'!$B$40*'Operating costs'!$B$42+ROUNDUP(S41*(R41-'Operating costs'!$B$40)*IF('Replacement plan'!$AH$15="",'Operating costs'!$B$7,'Replacement plan'!$AH$15)/('Operating costs'!$B$8-'Operating costs'!$B$9*IF('Replacement plan'!$AH$15="",'Operating costs'!$B$7,'Replacement plan'!$AH$15)),0)*('Operating costs'!$B$9/'Operating costs'!$B$11+'Operating costs'!$B$10/60)*'Operating costs'!$B$19*'Operating costs'!$B$21,SUM(AP41,'Operating costs'!$B$28,'Operating costs'!$B$30,'Operating costs'!$B$32,'Operating costs'!$B$33,'Operating costs'!$B$36,'Operating costs'!$B$38,'Replacement plan'!$Y$15)+'Operating costs'!$B$41*'Operating costs'!$B$43+W41*'Operating costs'!$B$15+(T41*X41/'Replacement plan'!$L$15+W41*('Operating costs'!$B$12/'Operating costs'!$B$11+('Operating costs'!$B$13+'Operating costs'!$B$14)/60)+(R41-'Operating costs'!$B$41)*(IF(T41&lt;1,'Operating costs'!$B$16,0)+'Operating costs'!$B$17)/60)*'Operating costs'!$B$19*'Operating costs'!$B$20),"n.a."))</f>
        <v>0</v>
      </c>
      <c r="N41" s="16">
        <f>IF(AND(C41=1,D41="EV",E41&lt;120,E41+'Replacement plan'!$AA$15&lt;=120),'Replacement plan'!$Z$15,0)</f>
        <v>0</v>
      </c>
      <c r="O41" s="1">
        <f>E41+'Replacement plan'!$AA$15</f>
        <v>0</v>
      </c>
      <c r="P41" s="35" t="str">
        <f>IFERROR(IF(C41=0,"Excluded",IF(OR(COUNTIFS('Fleet register'!$A$7:$A$106,A41)&lt;&gt;1,COUNTIFS('Replacement plan'!$A$7:$A$106,A41)&lt;&gt;1),"Duplicate/missing ID",IF(NOT(AND(ISNUMBER(VLOOKUP($A41,'Fleet register'!$A$7:$S$106,5,FALSE)),ISNUMBER(VLOOKUP($A41,'Fleet register'!$A$7:$S$106,6,FALSE)),ISNUMBER(VLOOKUP($A41,'Fleet register'!$A$7:$S$106,10,FALSE)),ISNUMBER(VLOOKUP($A41,'Fleet register'!$A$7:$S$106,11,FALSE)),ISNUMBER(VLOOKUP($A41,'Fleet register'!$A$7:$S$106,12,FALSE)),ISNUMBER(VLOOKUP($A41,'Fleet register'!$A$7:$S$106,13,FALSE)),ISNUMBER(VLOOKUP($A41,'Fleet register'!$A$7:$S$106,14,FALSE)),VLOOKUP($A41,'Fleet register'!$A$7:$S$106,14,FALSE)&gt;0,ISNUMBER('Replacement plan'!$C$15),OR(E41=120,ISNUMBER('Replacement plan'!$Q$15)),ISNUMBER(E41))),"Missing vehicle input",IF(OR(E41&lt;0,E41&gt;VLOOKUP($A41,'Fleet register'!$A$7:$S$106,10,FALSE),E41&gt;120,E41&lt;&gt;INT(E41),VLOOKUP($A41,'Fleet register'!$A$7:$S$106,6,FALSE)&lt;=0,VLOOKUP($A41,'Fleet register'!$A$7:$S$106,6,FALSE)&gt;366,VLOOKUP($A41,'Fleet register'!$A$7:$S$106,5,FALSE)&lt;0,VLOOKUP($A41,'Fleet register'!$A$7:$S$106,11,FALSE)&lt;0,I41&lt;0,'Operating costs'!$B$8&lt;='Operating costs'!$B$7*'Operating costs'!$B$9,'Operating costs'!$B$11&lt;=0,'Operating costs'!$B$39&gt;R41,'Operating costs'!$B$40&gt;R41,'Operating costs'!$B$41&gt;R41,NOT(OR('Replacement plan'!$O$15="Keep ICE",'Replacement plan'!$O$15="New ICE",'Replacement plan'!$O$15="EV"))),"Invalid vehicle input",IF(AND(D41="EV",E41&lt;120,OR(NOT(ISNUMBER(U41)),NOT(ISNUMBER(V41)),V41&lt;=0,T41&lt;0,T41&gt;1,'Replacement plan'!$L$15&lt;=0,'Operating costs'!$B$44&lt;0,'Operating costs'!$B$44&gt;=1,'Operating costs'!$B$47&lt;=0,'Operating costs'!$B$47&gt;1,V41*'Operating costs'!$B$47/(1-'Operating costs'!$B$44)&lt;=T41*'Operating costs'!$B$12*U41,AND('Replacement plan'!$Z$15&gt;0,OR('Replacement plan'!$AB$15&lt;&gt;"Yes",'Operating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charging'!$B$8&gt;=0))),ISNUMBER(VLOOKUP($A41,'Fleet register'!$A$7:$S$106,15,FALSE)),ISNUMBER(VLOOKUP($A41,'Fleet register'!$A$7:$S$106,16,FALSE)),ISNUMBER('Replacement plan'!$W$15),ISNUMBER('Replacement plan'!$X$15),OR(E41=120,AND(ISNUMBER(G41),G41&gt;=0)),ISNUMBER(H41),H41&gt;=0,OR(D41&lt;&gt;"EV",E41=120,AND(ISNUMBER('Operating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average",ISNUMBER(IFERROR(INDEX(Products!$P$7:$P$13,MATCH(AD41,Products!$A$7:$A$13,0)),"")))),ISNUMBER('Operating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plan'!$Y$15),ISNUMBER('Replacement plan'!$Z$15),'Replacement plan'!$Z$15&gt;=0,ISNUMBER('Replacement plan'!$AA$15),'Replacement plan'!$AA$15&gt;=0,'Replacement plan'!$AA$15=INT('Replacement plan'!$AA$15),ISNUMBER('Replacement plan'!$L$15))),'Operating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plan'!$AG$15="",'Operating costs'!$B$7,'Replacement plan'!$AG$15)),IF('Replacement plan'!$AG$15="",'Operating costs'!$B$7,'Replacement plan'!$AG$15)&gt;=0,ISNUMBER(IF('Replacement plan'!$AH$15="",'Operating costs'!$B$7,'Replacement plan'!$AH$15)),IF('Replacement plan'!$AH$15="",'Operating costs'!$B$7,'Replacement plan'!$AH$15)&gt;=0,'Operating costs'!$B$8&gt;MAX(IF('Replacement plan'!$AG$15="",'Operating costs'!$B$7,'Replacement plan'!$AG$15),IF('Replacement plan'!$AH$15="",'Operating costs'!$B$7,'Replacement plan'!$AH$15))*'Operating costs'!$B$9),IF(AND(VLOOKUP($A41,'Fleet register'!$A$7:$S$106,10,FALSE)&gt;=0,VLOOKUP($A41,'Fleet register'!$A$7:$S$106,10,FALSE)&lt;=120,VLOOKUP($A41,'Fleet register'!$A$7:$S$106,10,FALSE)=INT(VLOOKUP($A41,'Fleet register'!$A$7:$S$106,10,FALSE)),VLOOKUP($A41,'Fleet register'!$A$7:$S$106,15,FALSE)&gt;=0,VLOOKUP($A41,'Fleet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costs'!$B$67)&gt;=0,OR(D41&lt;&gt;"EV",E41=120,AND(MIN('Operating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41" s="1" t="str">
        <f>IF(C41=0,"Excluded",IF(P41&lt;&gt;"Complete",P41,IF(OR('Replacement plan'!$AD$15&lt;120-E41,AND(D41="EV",E41&lt;120,OR('Replacement plan'!$AC$15&lt;120-E41,'Replacement plan'!$I$15="No",AND(ISNUMBER(AF41),AE41&gt;AF41),AI41&gt;V41*(1-'Operating costs'!$B$46)^MAX(0,AB41-1)*(1-'Operating costs'!$B$45),AC41&gt;'Operating costs'!$B$18,AND(T41&lt;1,OR(AG41&lt;=0,AND(ISNUMBER(AH41),AG41&gt;AH41))),'Replacement plan'!$L$15&gt;INDEX(Products!$H$7:$H$13,MATCH('Replacement plan'!$B$15,Products!$A$7:$A$13,0))))),"Fails entered limits",IF(AND(D41="EV",E41&lt;120,OR(NOT(ISNUMBER(VLOOKUP($A41,'Fleet register'!$A$7:$S$106,7,FALSE))),NOT(ISNUMBER(VLOOKUP($A41,'Fleet register'!$A$7:$S$106,8,FALSE))),NOT(ISNUMBER(AF41)),'Replacement plan'!$I$15&lt;&gt;"Yes",NOT(ISNUMBER(AH41)),'Operating costs'!$B$59&lt;&gt;"Yes",'Operating costs'!$B$58&lt;&gt;"Yes")),"Unverified","Within entered limits"))))</f>
        <v>Excluded</v>
      </c>
      <c r="R41" s="1">
        <f>IF(C41=0,0,VLOOKUP($A41,'Fleet register'!$A$7:$S$106,6,FALSE))</f>
        <v>0</v>
      </c>
      <c r="S41" s="1">
        <f>IF(C41=0,0,VLOOKUP($A41,'Fleet register'!$A$7:$S$106,5,FALSE))</f>
        <v>0</v>
      </c>
      <c r="T41" s="1">
        <f>IF(D41="EV",'Energy and charging'!$B$12,0)</f>
        <v>0</v>
      </c>
      <c r="U41" s="1">
        <f>IFERROR(IF(C41=0,0,IF(D41="EV",IF('Replacement plan'!$F$15="",INDEX(Products!$E$7:$E$13,MATCH('Replacement plan'!$B$15,Products!$A$7:$A$13,0)),'Replacement plan'!$F$15)/IF('Replacement plan'!$G$15="Battery",1-'Operating costs'!$B$44,1),0)),"n.a.")</f>
        <v>0</v>
      </c>
      <c r="V41" s="1">
        <f>IFERROR(IF(C41=0,0,IF(D41="EV",IF('Replacement plan'!$E$15="",INDEX(Products!$D$7:$D$13,MATCH('Replacement plan'!$B$15,Products!$A$7:$A$13,0)),'Replacement plan'!$E$15),0)),"n.a.")</f>
        <v>0</v>
      </c>
      <c r="W41" s="1">
        <f>IF(C41=0,0,IF(AND(P41="Complete",D41="EV",E41&lt;120),IF(T41=0,0,ROUNDUP(T41*(R41-'Operating costs'!$B$41)*(S41*U41+'Operating costs'!$B$48/(1-'Operating costs'!$B$44))/(V41*'Operating costs'!$B$47/(1-'Operating costs'!$B$44)-T41*'Operating costs'!$B$12*U41),0)),0))</f>
        <v>0</v>
      </c>
      <c r="X41" s="1">
        <f>IF(C41=0,0,IF(AND(P41="Complete",D41="EV",E41&lt;120),(R41-'Operating costs'!$B$41)*(S41*U41+'Operating costs'!$B$48/(1-'Operating costs'!$B$44))+W41*'Operating costs'!$B$12*U41,0))</f>
        <v>0</v>
      </c>
      <c r="Y41" s="1">
        <f>IF(AND(C41=1,D41="EV",E41&lt;120),AI41/(1-'Operating costs'!$B$44)*(1-T41),0)</f>
        <v>0</v>
      </c>
      <c r="Z41" s="1">
        <f t="shared" si="0"/>
        <v>0</v>
      </c>
      <c r="AA41" s="1">
        <f>IF(C41=0,0,IF(P41="Complete",((S41*(R41-'Operating costs'!$B$40))+ROUNDUP(S41*(R41-'Operating costs'!$B$40)*IF('Replacement plan'!$AH$15="",'Operating costs'!$B$7,'Replacement plan'!$AH$15)/('Operating costs'!$B$8-'Operating costs'!$B$9*IF('Replacement plan'!$AH$15="",'Operating costs'!$B$7,'Replacement plan'!$AH$15)),0)*'Operating costs'!$B$9)*IF('Replacement plan'!$AH$15="",'Operating costs'!$B$7,'Replacement plan'!$AH$15),"n.a."))</f>
        <v>0</v>
      </c>
      <c r="AB41" s="1">
        <f t="shared" si="1"/>
        <v>0</v>
      </c>
      <c r="AC41" s="1">
        <f>IF(AND(C41=1,D41="EV",E41&lt;120,T41&gt;0),'Operating costs'!$B$12/'Operating costs'!$B$11*60+'Operating costs'!$B$13+'Operating costs'!$B$14+V41*'Operating costs'!$B$47/(1-'Operating costs'!$B$44)/'Replacement plan'!$L$15*60,0)</f>
        <v>0</v>
      </c>
      <c r="AD41" s="1" t="str">
        <f>'Replacement plan'!$B$15</f>
        <v>ChengLong L2EV</v>
      </c>
      <c r="AE41" s="1">
        <f>IF(C41=0,0,VLOOKUP($A41,'Fleet register'!$A$7:$S$106,8,FALSE))</f>
        <v>0</v>
      </c>
      <c r="AF41" s="1" t="str">
        <f>IF('Replacement plan'!$H$15="","n.a.",'Replacement plan'!$H$15)</f>
        <v>n.a.</v>
      </c>
      <c r="AG41" s="1">
        <f>'Replacement plan'!$J$15</f>
        <v>22</v>
      </c>
      <c r="AH41" s="1">
        <f>IFERROR(IF(D41="EV",IF('Replacement plan'!$K$15="AC",IF(ISNUMBER(INDEX(Products!$G$7:$G$13,MATCH('Replacement plan'!$B$15,Products!$A$7:$A$13,0))),INDEX(Products!$G$7:$G$13,MATCH('Replacement plan'!$B$15,Products!$A$7:$A$13,0)),"n.a."),IF(ISNUMBER(INDEX(Products!$H$7:$H$13,MATCH('Replacement plan'!$B$15,Products!$A$7:$A$13,0))),INDEX(Products!$H$7:$H$13,MATCH('Replacement plan'!$B$15,Products!$A$7:$A$13,0)),"n.a.")),0),"n.a.")</f>
        <v>0</v>
      </c>
      <c r="AI41" s="1">
        <f>IF(AND(C41=1,D41="EV",E41&lt;120),(VLOOKUP($A41,'Fleet register'!$A$7:$S$106,7,FALSE)+IF(T41&gt;0,'Operating costs'!$B$12,0))*U41*(1-'Operating costs'!$B$44)+'Operating costs'!$B$49,0)</f>
        <v>0</v>
      </c>
      <c r="AJ41" s="1">
        <f>IF(D41="EV",'Energy and charging'!$B$50,0)</f>
        <v>0</v>
      </c>
      <c r="AK41" s="17">
        <f>EDATE('Operating costs'!$B$63,E41)</f>
        <v>46298</v>
      </c>
      <c r="AL41" s="1">
        <f>IFERROR(IF(D41="EV",INDEX(Products!$B$7:$B$13,MATCH('Replacement plan'!$B$15,Products!$A$7:$A$13,0)),0),"n.a.")</f>
        <v>0</v>
      </c>
      <c r="AM41" s="1" t="str">
        <f>'Replacement plan'!$K$15</f>
        <v>DC</v>
      </c>
      <c r="AN41" s="1" t="str">
        <f>'Replacement plan'!$AE$15</f>
        <v>Assumed</v>
      </c>
      <c r="AO41" s="47">
        <f>IF(AND(C41=1,D41="EV",E41&lt;120),(R41-'Operating costs'!$B$41)*S41+W41*'Operating costs'!$B$12,0)</f>
        <v>0</v>
      </c>
      <c r="AP41" s="41">
        <f>IF(AND(C41=1,D41="EV",E41&lt;120),IF('Operating costs'!$B$68="Hong Seh 200k average",AO41*IFERROR(INDEX(Products!$P$7:$P$13,MATCH(AD41,Products!$A$7:$A$13,0)),"n.a."),'Operating costs'!$B$26),0)</f>
        <v>0</v>
      </c>
      <c r="AQ41" s="40" t="str">
        <f>IF(D41="EV",'Operating costs'!$B$68,"Not applicable")</f>
        <v>Not applicable</v>
      </c>
    </row>
    <row r="42" spans="1:43" ht="24" customHeight="1">
      <c r="A42" s="1" t="str">
        <f>'Replacement plan'!A15</f>
        <v>T009</v>
      </c>
      <c r="B42" s="1">
        <v>3</v>
      </c>
      <c r="C42" s="1">
        <f>IF(COUNTIFS('Fleet register'!$A$7:$A$106,$A42)=1,VLOOKUP($A42,'Fleet register'!$A$7:$S$106,2,FALSE),0)</f>
        <v>0</v>
      </c>
      <c r="D42" s="1" t="str">
        <f>IF('Replacement plan'!$R$15="EV","EV","ICE")</f>
        <v>ICE</v>
      </c>
      <c r="E42" s="1">
        <f>IF(C42=0,0,IF('Replacement plan'!$S$15="",IF('Replacement plan'!$R$15="Keep ICE",IF('Replacement plan'!$M$15="",VLOOKUP($A42,'Fleet register'!$A$7:$S$106,10,FALSE),'Replacement plan'!$M$15),0),'Replacement plan'!$S$15))</f>
        <v>0</v>
      </c>
      <c r="F42" s="16">
        <f>IF(C42=0,0,VLOOKUP($A42,'Fleet register'!$A$7:$S$106,11,FALSE))</f>
        <v>0</v>
      </c>
      <c r="G42" s="16">
        <f>IFERROR(IF(C42=0,0,IF(E42=120,0,IF(D42="ICE",'Replacement plan'!$C$15,IF('Replacement plan'!$D$15="",INDEX(Products!$I$7:$I$13,MATCH('Replacement plan'!$B$15,Products!$A$7:$A$13,0))+'Operating costs'!$B$57,'Replacement plan'!$D$15))*(1+'Operating costs'!$B$50)^(E42/12))),"n.a.")</f>
        <v>0</v>
      </c>
      <c r="H42" s="16">
        <f>IFERROR(IF(C42=0,0,IF('Replacement plan'!$V$15&lt;&gt;"",'Replacement plan'!$V$15,IF(E42=0,F42,VLOOKUP($A42,'Fleet register'!$A$7:$S$106,12,FALSE)+VLOOKUP($A42,'Fleet register'!$A$7:$S$106,13,FALSE)*MAX(0,VLOOKUP($A42,'Fleet register'!$A$7:$S$106,10,FALSE)-E42)/VLOOKUP($A42,'Fleet register'!$A$7:$S$106,14,FALSE)))),"n.a.")</f>
        <v>0</v>
      </c>
      <c r="I42" s="16">
        <f>IF(C42=0,0,IF(E42=120,0,'Replacement plan'!$T$15))</f>
        <v>0</v>
      </c>
      <c r="J42" s="16">
        <f>IF(C42=0,0,IF(P42="Complete",((S42*(R42-'Operating costs'!$B$39))+ROUNDUP(S42*(R42-'Operating costs'!$B$39)*IF('Replacement plan'!$AG$15="",'Operating costs'!$B$7,'Replacement plan'!$AG$15)/('Operating costs'!$B$8-'Operating costs'!$B$9*IF('Replacement plan'!$AG$15="",'Operating costs'!$B$7,'Replacement plan'!$AG$15)),0)*'Operating costs'!$B$9)*IF('Replacement plan'!$AG$15="",'Operating costs'!$B$7,'Replacement plan'!$AG$15)*('Energy and charging'!$C$9*'Energy and charging'!$C$7+(1-'Energy and charging'!$C$9)*'Energy and charging'!$C$8)*'Operating costs'!$B$23,"n.a."))</f>
        <v>0</v>
      </c>
      <c r="K42" s="16">
        <f>IF(C42=0,0,IF(P42="Complete",SUM('Operating costs'!$B$24,'Operating costs'!$B$27,'Operating costs'!$B$29,'Operating costs'!$B$31,'Operating costs'!$B$33,'Operating costs'!$B$34,'Operating costs'!$B$37,'Replacement plan'!$W$15)+'Operating costs'!$B$39*'Operating costs'!$B$42+ROUNDUP(S42*(R42-'Operating costs'!$B$39)*IF('Replacement plan'!$AG$15="",'Operating costs'!$B$7,'Replacement plan'!$AG$15)/('Operating costs'!$B$8-'Operating costs'!$B$9*IF('Replacement plan'!$AG$15="",'Operating costs'!$B$7,'Replacement plan'!$AG$15)),0)*('Operating costs'!$B$9/'Operating costs'!$B$11+'Operating costs'!$B$10/60)*'Operating costs'!$B$19*'Operating costs'!$B$21,"n.a."))</f>
        <v>0</v>
      </c>
      <c r="L42" s="16">
        <f>IF(C42=0,0,IF(P42="Complete",IF(D42="EV",X42*((1-T42)*'Energy and charging'!$C$10+T42*'Energy and charging'!$C$11)*'Operating costs'!$B$22,AA42*('Energy and charging'!$C$9*'Energy and charging'!$C$7+(1-'Energy and charging'!$C$9)*'Energy and charging'!$C$8)*'Operating costs'!$B$23),"n.a."))</f>
        <v>0</v>
      </c>
      <c r="M42" s="37">
        <f>IF(C42=0,0,IF(P42="Complete",IF(D42="ICE",SUM('Operating costs'!$B$25,'Operating costs'!$B$27,'Operating costs'!$B$29,'Operating costs'!$B$31,'Operating costs'!$B$33,'Operating costs'!$B$35,'Operating costs'!$B$37,'Replacement plan'!$X$15)+'Operating costs'!$B$40*'Operating costs'!$B$42+ROUNDUP(S42*(R42-'Operating costs'!$B$40)*IF('Replacement plan'!$AH$15="",'Operating costs'!$B$7,'Replacement plan'!$AH$15)/('Operating costs'!$B$8-'Operating costs'!$B$9*IF('Replacement plan'!$AH$15="",'Operating costs'!$B$7,'Replacement plan'!$AH$15)),0)*('Operating costs'!$B$9/'Operating costs'!$B$11+'Operating costs'!$B$10/60)*'Operating costs'!$B$19*'Operating costs'!$B$21,SUM(AP42,'Operating costs'!$B$28,'Operating costs'!$B$30,'Operating costs'!$B$32,'Operating costs'!$B$33,'Operating costs'!$B$36,'Operating costs'!$B$38,'Replacement plan'!$Y$15)+'Operating costs'!$B$41*'Operating costs'!$B$43+W42*'Operating costs'!$B$15+(T42*X42/'Replacement plan'!$L$15+W42*('Operating costs'!$B$12/'Operating costs'!$B$11+('Operating costs'!$B$13+'Operating costs'!$B$14)/60)+(R42-'Operating costs'!$B$41)*(IF(T42&lt;1,'Operating costs'!$B$16,0)+'Operating costs'!$B$17)/60)*'Operating costs'!$B$19*'Operating costs'!$B$20),"n.a."))</f>
        <v>0</v>
      </c>
      <c r="N42" s="16">
        <f>IF(AND(C42=1,D42="EV",E42&lt;120,E42+'Replacement plan'!$AA$15&lt;=120),'Replacement plan'!$Z$15,0)</f>
        <v>0</v>
      </c>
      <c r="O42" s="1">
        <f>E42+'Replacement plan'!$AA$15</f>
        <v>0</v>
      </c>
      <c r="P42" s="35" t="str">
        <f>IFERROR(IF(C42=0,"Excluded",IF(OR(COUNTIFS('Fleet register'!$A$7:$A$106,A42)&lt;&gt;1,COUNTIFS('Replacement plan'!$A$7:$A$106,A42)&lt;&gt;1),"Duplicate/missing ID",IF(NOT(AND(ISNUMBER(VLOOKUP($A42,'Fleet register'!$A$7:$S$106,5,FALSE)),ISNUMBER(VLOOKUP($A42,'Fleet register'!$A$7:$S$106,6,FALSE)),ISNUMBER(VLOOKUP($A42,'Fleet register'!$A$7:$S$106,10,FALSE)),ISNUMBER(VLOOKUP($A42,'Fleet register'!$A$7:$S$106,11,FALSE)),ISNUMBER(VLOOKUP($A42,'Fleet register'!$A$7:$S$106,12,FALSE)),ISNUMBER(VLOOKUP($A42,'Fleet register'!$A$7:$S$106,13,FALSE)),ISNUMBER(VLOOKUP($A42,'Fleet register'!$A$7:$S$106,14,FALSE)),VLOOKUP($A42,'Fleet register'!$A$7:$S$106,14,FALSE)&gt;0,ISNUMBER('Replacement plan'!$C$15),OR(E42=120,ISNUMBER('Replacement plan'!$T$15)),ISNUMBER(E42))),"Missing vehicle input",IF(OR(E42&lt;0,E42&gt;VLOOKUP($A42,'Fleet register'!$A$7:$S$106,10,FALSE),E42&gt;120,E42&lt;&gt;INT(E42),VLOOKUP($A42,'Fleet register'!$A$7:$S$106,6,FALSE)&lt;=0,VLOOKUP($A42,'Fleet register'!$A$7:$S$106,6,FALSE)&gt;366,VLOOKUP($A42,'Fleet register'!$A$7:$S$106,5,FALSE)&lt;0,VLOOKUP($A42,'Fleet register'!$A$7:$S$106,11,FALSE)&lt;0,I42&lt;0,'Operating costs'!$B$8&lt;='Operating costs'!$B$7*'Operating costs'!$B$9,'Operating costs'!$B$11&lt;=0,'Operating costs'!$B$39&gt;R42,'Operating costs'!$B$40&gt;R42,'Operating costs'!$B$41&gt;R42,NOT(OR('Replacement plan'!$R$15="Keep ICE",'Replacement plan'!$R$15="New ICE",'Replacement plan'!$R$15="EV"))),"Invalid vehicle input",IF(AND(D42="EV",E42&lt;120,OR(NOT(ISNUMBER(U42)),NOT(ISNUMBER(V42)),V42&lt;=0,T42&lt;0,T42&gt;1,'Replacement plan'!$L$15&lt;=0,'Operating costs'!$B$44&lt;0,'Operating costs'!$B$44&gt;=1,'Operating costs'!$B$47&lt;=0,'Operating costs'!$B$47&gt;1,V42*'Operating costs'!$B$47/(1-'Operating costs'!$B$44)&lt;=T42*'Operating costs'!$B$12*U42,AND('Replacement plan'!$Z$15&gt;0,OR('Replacement plan'!$AB$15&lt;&gt;"Yes",'Operating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charging'!$C$8&gt;=0))),ISNUMBER(VLOOKUP($A42,'Fleet register'!$A$7:$S$106,15,FALSE)),ISNUMBER(VLOOKUP($A42,'Fleet register'!$A$7:$S$106,16,FALSE)),ISNUMBER('Replacement plan'!$W$15),ISNUMBER('Replacement plan'!$X$15),OR(E42=120,AND(ISNUMBER(G42),G42&gt;=0)),ISNUMBER(H42),H42&gt;=0,OR(D42&lt;&gt;"EV",E42=120,AND(ISNUMBER('Operating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average",ISNUMBER(IFERROR(INDEX(Products!$P$7:$P$13,MATCH(AD42,Products!$A$7:$A$13,0)),"")))),ISNUMBER('Operating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plan'!$Y$15),ISNUMBER('Replacement plan'!$Z$15),'Replacement plan'!$Z$15&gt;=0,ISNUMBER('Replacement plan'!$AA$15),'Replacement plan'!$AA$15&gt;=0,'Replacement plan'!$AA$15=INT('Replacement plan'!$AA$15),ISNUMBER('Replacement plan'!$L$15))),'Operating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plan'!$AG$15="",'Operating costs'!$B$7,'Replacement plan'!$AG$15)),IF('Replacement plan'!$AG$15="",'Operating costs'!$B$7,'Replacement plan'!$AG$15)&gt;=0,ISNUMBER(IF('Replacement plan'!$AH$15="",'Operating costs'!$B$7,'Replacement plan'!$AH$15)),IF('Replacement plan'!$AH$15="",'Operating costs'!$B$7,'Replacement plan'!$AH$15)&gt;=0,'Operating costs'!$B$8&gt;MAX(IF('Replacement plan'!$AG$15="",'Operating costs'!$B$7,'Replacement plan'!$AG$15),IF('Replacement plan'!$AH$15="",'Operating costs'!$B$7,'Replacement plan'!$AH$15))*'Operating costs'!$B$9),IF(AND(VLOOKUP($A42,'Fleet register'!$A$7:$S$106,10,FALSE)&gt;=0,VLOOKUP($A42,'Fleet register'!$A$7:$S$106,10,FALSE)&lt;=120,VLOOKUP($A42,'Fleet register'!$A$7:$S$106,10,FALSE)=INT(VLOOKUP($A42,'Fleet register'!$A$7:$S$106,10,FALSE)),VLOOKUP($A42,'Fleet register'!$A$7:$S$106,15,FALSE)&gt;=0,VLOOKUP($A42,'Fleet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costs'!$B$67)&gt;=0,OR(D42&lt;&gt;"EV",E42=120,AND(MIN('Operating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42" s="1" t="str">
        <f>IF(C42=0,"Excluded",IF(P42&lt;&gt;"Complete",P42,IF(OR('Replacement plan'!$AD$15&lt;120-E42,AND(D42="EV",E42&lt;120,OR('Replacement plan'!$AC$15&lt;120-E42,'Replacement plan'!$I$15="No",AND(ISNUMBER(AF42),AE42&gt;AF42),AI42&gt;V42*(1-'Operating costs'!$B$46)^MAX(0,AB42-1)*(1-'Operating costs'!$B$45),AC42&gt;'Operating costs'!$B$18,AND(T42&lt;1,OR(AG42&lt;=0,AND(ISNUMBER(AH42),AG42&gt;AH42))),'Replacement plan'!$L$15&gt;INDEX(Products!$H$7:$H$13,MATCH('Replacement plan'!$B$15,Products!$A$7:$A$13,0))))),"Fails entered limits",IF(AND(D42="EV",E42&lt;120,OR(NOT(ISNUMBER(VLOOKUP($A42,'Fleet register'!$A$7:$S$106,7,FALSE))),NOT(ISNUMBER(VLOOKUP($A42,'Fleet register'!$A$7:$S$106,8,FALSE))),NOT(ISNUMBER(AF42)),'Replacement plan'!$I$15&lt;&gt;"Yes",NOT(ISNUMBER(AH42)),'Operating costs'!$B$59&lt;&gt;"Yes",'Operating costs'!$B$58&lt;&gt;"Yes")),"Unverified","Within entered limits"))))</f>
        <v>Excluded</v>
      </c>
      <c r="R42" s="1">
        <f>IF(C42=0,0,VLOOKUP($A42,'Fleet register'!$A$7:$S$106,6,FALSE))</f>
        <v>0</v>
      </c>
      <c r="S42" s="1">
        <f>IF(C42=0,0,VLOOKUP($A42,'Fleet register'!$A$7:$S$106,5,FALSE))</f>
        <v>0</v>
      </c>
      <c r="T42" s="1">
        <f>IF(D42="EV",'Energy and charging'!$C$12,0)</f>
        <v>0</v>
      </c>
      <c r="U42" s="1">
        <f>IFERROR(IF(C42=0,0,IF(D42="EV",IF('Replacement plan'!$F$15="",INDEX(Products!$E$7:$E$13,MATCH('Replacement plan'!$B$15,Products!$A$7:$A$13,0)),'Replacement plan'!$F$15)/IF('Replacement plan'!$G$15="Battery",1-'Operating costs'!$B$44,1),0)),"n.a.")</f>
        <v>0</v>
      </c>
      <c r="V42" s="1">
        <f>IFERROR(IF(C42=0,0,IF(D42="EV",IF('Replacement plan'!$E$15="",INDEX(Products!$D$7:$D$13,MATCH('Replacement plan'!$B$15,Products!$A$7:$A$13,0)),'Replacement plan'!$E$15),0)),"n.a.")</f>
        <v>0</v>
      </c>
      <c r="W42" s="1">
        <f>IF(C42=0,0,IF(AND(P42="Complete",D42="EV",E42&lt;120),IF(T42=0,0,ROUNDUP(T42*(R42-'Operating costs'!$B$41)*(S42*U42+'Operating costs'!$B$48/(1-'Operating costs'!$B$44))/(V42*'Operating costs'!$B$47/(1-'Operating costs'!$B$44)-T42*'Operating costs'!$B$12*U42),0)),0))</f>
        <v>0</v>
      </c>
      <c r="X42" s="1">
        <f>IF(C42=0,0,IF(AND(P42="Complete",D42="EV",E42&lt;120),(R42-'Operating costs'!$B$41)*(S42*U42+'Operating costs'!$B$48/(1-'Operating costs'!$B$44))+W42*'Operating costs'!$B$12*U42,0))</f>
        <v>0</v>
      </c>
      <c r="Y42" s="1">
        <f>IF(AND(C42=1,D42="EV",E42&lt;120),AI42/(1-'Operating costs'!$B$44)*(1-T42),0)</f>
        <v>0</v>
      </c>
      <c r="Z42" s="1">
        <f t="shared" si="0"/>
        <v>0</v>
      </c>
      <c r="AA42" s="1">
        <f>IF(C42=0,0,IF(P42="Complete",((S42*(R42-'Operating costs'!$B$40))+ROUNDUP(S42*(R42-'Operating costs'!$B$40)*IF('Replacement plan'!$AH$15="",'Operating costs'!$B$7,'Replacement plan'!$AH$15)/('Operating costs'!$B$8-'Operating costs'!$B$9*IF('Replacement plan'!$AH$15="",'Operating costs'!$B$7,'Replacement plan'!$AH$15)),0)*'Operating costs'!$B$9)*IF('Replacement plan'!$AH$15="",'Operating costs'!$B$7,'Replacement plan'!$AH$15),"n.a."))</f>
        <v>0</v>
      </c>
      <c r="AB42" s="1">
        <f t="shared" si="1"/>
        <v>0</v>
      </c>
      <c r="AC42" s="1">
        <f>IF(AND(C42=1,D42="EV",E42&lt;120,T42&gt;0),'Operating costs'!$B$12/'Operating costs'!$B$11*60+'Operating costs'!$B$13+'Operating costs'!$B$14+V42*'Operating costs'!$B$47/(1-'Operating costs'!$B$44)/'Replacement plan'!$L$15*60,0)</f>
        <v>0</v>
      </c>
      <c r="AD42" s="1" t="str">
        <f>'Replacement plan'!$B$15</f>
        <v>ChengLong L2EV</v>
      </c>
      <c r="AE42" s="1">
        <f>IF(C42=0,0,VLOOKUP($A42,'Fleet register'!$A$7:$S$106,8,FALSE))</f>
        <v>0</v>
      </c>
      <c r="AF42" s="1" t="str">
        <f>IF('Replacement plan'!$H$15="","n.a.",'Replacement plan'!$H$15)</f>
        <v>n.a.</v>
      </c>
      <c r="AG42" s="1">
        <f>'Replacement plan'!$J$15</f>
        <v>22</v>
      </c>
      <c r="AH42" s="1">
        <f>IFERROR(IF(D42="EV",IF('Replacement plan'!$K$15="AC",IF(ISNUMBER(INDEX(Products!$G$7:$G$13,MATCH('Replacement plan'!$B$15,Products!$A$7:$A$13,0))),INDEX(Products!$G$7:$G$13,MATCH('Replacement plan'!$B$15,Products!$A$7:$A$13,0)),"n.a."),IF(ISNUMBER(INDEX(Products!$H$7:$H$13,MATCH('Replacement plan'!$B$15,Products!$A$7:$A$13,0))),INDEX(Products!$H$7:$H$13,MATCH('Replacement plan'!$B$15,Products!$A$7:$A$13,0)),"n.a.")),0),"n.a.")</f>
        <v>0</v>
      </c>
      <c r="AI42" s="1">
        <f>IF(AND(C42=1,D42="EV",E42&lt;120),(VLOOKUP($A42,'Fleet register'!$A$7:$S$106,7,FALSE)+IF(T42&gt;0,'Operating costs'!$B$12,0))*U42*(1-'Operating costs'!$B$44)+'Operating costs'!$B$49,0)</f>
        <v>0</v>
      </c>
      <c r="AJ42" s="1">
        <f>IF(D42="EV",'Energy and charging'!$C$50,0)</f>
        <v>0</v>
      </c>
      <c r="AK42" s="17">
        <f>EDATE('Operating costs'!$B$63,E42)</f>
        <v>46298</v>
      </c>
      <c r="AL42" s="1">
        <f>IFERROR(IF(D42="EV",INDEX(Products!$B$7:$B$13,MATCH('Replacement plan'!$B$15,Products!$A$7:$A$13,0)),0),"n.a.")</f>
        <v>0</v>
      </c>
      <c r="AM42" s="1" t="str">
        <f>'Replacement plan'!$K$15</f>
        <v>DC</v>
      </c>
      <c r="AN42" s="1" t="str">
        <f>'Replacement plan'!$AE$15</f>
        <v>Assumed</v>
      </c>
      <c r="AO42" s="47">
        <f>IF(AND(C42=1,D42="EV",E42&lt;120),(R42-'Operating costs'!$B$41)*S42+W42*'Operating costs'!$B$12,0)</f>
        <v>0</v>
      </c>
      <c r="AP42" s="41">
        <f>IF(AND(C42=1,D42="EV",E42&lt;120),IF('Operating costs'!$B$68="Hong Seh 200k average",AO42*IFERROR(INDEX(Products!$P$7:$P$13,MATCH(AD42,Products!$A$7:$A$13,0)),"n.a."),'Operating costs'!$B$26),0)</f>
        <v>0</v>
      </c>
      <c r="AQ42" s="40" t="str">
        <f>IF(D42="EV",'Operating costs'!$B$68,"Not applicable")</f>
        <v>Not applicable</v>
      </c>
    </row>
    <row r="43" spans="1:43" ht="24" customHeight="1">
      <c r="A43" s="1" t="str">
        <f>'Replacement plan'!A16</f>
        <v>T010</v>
      </c>
      <c r="B43" s="1">
        <v>0</v>
      </c>
      <c r="C43" s="1">
        <f>IF(COUNTIFS('Fleet register'!$A$7:$A$106,$A43)=1,VLOOKUP($A43,'Fleet register'!$A$7:$S$106,2,FALSE),0)</f>
        <v>0</v>
      </c>
      <c r="D43" s="1" t="str">
        <f>IF("Keep ICE"="EV","EV","ICE")</f>
        <v>ICE</v>
      </c>
      <c r="E43" s="1">
        <f>IF(C43=0,0,IF('Replacement plan'!$M$16="",VLOOKUP($A43,'Fleet register'!$A$7:$S$106,10,FALSE),'Replacement plan'!$M$16))</f>
        <v>0</v>
      </c>
      <c r="F43" s="16">
        <f>IF(C43=0,0,VLOOKUP($A43,'Fleet register'!$A$7:$S$106,11,FALSE))</f>
        <v>0</v>
      </c>
      <c r="G43" s="16">
        <f>IFERROR(IF(C43=0,0,IF(E43=120,0,IF(D43="ICE",'Replacement plan'!$C$16,IF('Replacement plan'!$D$16="",INDEX(Products!$I$7:$I$13,MATCH('Replacement plan'!$B$16,Products!$A$7:$A$13,0))+'Operating costs'!$B$57,'Replacement plan'!$D$16))*(1+'Operating costs'!$B$50)^(E43/12))),"n.a.")</f>
        <v>0</v>
      </c>
      <c r="H43" s="16">
        <f>IFERROR(IF(C43=0,0,IF(E43=0,F43,VLOOKUP($A43,'Fleet register'!$A$7:$S$106,12,FALSE)+VLOOKUP($A43,'Fleet register'!$A$7:$S$106,13,FALSE)*MAX(0,VLOOKUP($A43,'Fleet register'!$A$7:$S$106,10,FALSE)-E43)/VLOOKUP($A43,'Fleet register'!$A$7:$S$106,14,FALSE))),"n.a.")</f>
        <v>0</v>
      </c>
      <c r="I43" s="16">
        <f>IF(C43=0,0,IF(E43=120,0,'Replacement plan'!$N$16))</f>
        <v>0</v>
      </c>
      <c r="J43" s="16">
        <f>IF(C43=0,0,IF(P43="Complete",((S43*(R43-'Operating costs'!$B$39))+ROUNDUP(S43*(R43-'Operating costs'!$B$39)*IF('Replacement plan'!$AG$16="",'Operating costs'!$B$7,'Replacement plan'!$AG$16)/('Operating costs'!$B$8-'Operating costs'!$B$9*IF('Replacement plan'!$AG$16="",'Operating costs'!$B$7,'Replacement plan'!$AG$16)),0)*'Operating costs'!$B$9)*IF('Replacement plan'!$AG$16="",'Operating costs'!$B$7,'Replacement plan'!$AG$16)*('Energy and charging'!$B$9*'Energy and charging'!$B$7+(1-'Energy and charging'!$B$9)*'Energy and charging'!$B$8)*'Operating costs'!$B$23,"n.a."))</f>
        <v>0</v>
      </c>
      <c r="K43" s="16">
        <f>IF(C43=0,0,IF(P43="Complete",SUM('Operating costs'!$B$24,'Operating costs'!$B$27,'Operating costs'!$B$29,'Operating costs'!$B$31,'Operating costs'!$B$33,'Operating costs'!$B$34,'Operating costs'!$B$37,'Replacement plan'!$W$16)+'Operating costs'!$B$39*'Operating costs'!$B$42+ROUNDUP(S43*(R43-'Operating costs'!$B$39)*IF('Replacement plan'!$AG$16="",'Operating costs'!$B$7,'Replacement plan'!$AG$16)/('Operating costs'!$B$8-'Operating costs'!$B$9*IF('Replacement plan'!$AG$16="",'Operating costs'!$B$7,'Replacement plan'!$AG$16)),0)*('Operating costs'!$B$9/'Operating costs'!$B$11+'Operating costs'!$B$10/60)*'Operating costs'!$B$19*'Operating costs'!$B$21,"n.a."))</f>
        <v>0</v>
      </c>
      <c r="L43" s="16">
        <f>IF(C43=0,0,IF(P43="Complete",IF(D43="EV",X43*((1-T43)*'Energy and charging'!$B$10+T43*'Energy and charging'!$B$11)*'Operating costs'!$B$22,AA43*('Energy and charging'!$B$9*'Energy and charging'!$B$7+(1-'Energy and charging'!$B$9)*'Energy and charging'!$B$8)*'Operating costs'!$B$23),"n.a."))</f>
        <v>0</v>
      </c>
      <c r="M43" s="37">
        <f>IF(C43=0,0,IF(P43="Complete",IF(D43="ICE",SUM('Operating costs'!$B$25,'Operating costs'!$B$27,'Operating costs'!$B$29,'Operating costs'!$B$31,'Operating costs'!$B$33,'Operating costs'!$B$35,'Operating costs'!$B$37,'Replacement plan'!$X$16)+'Operating costs'!$B$40*'Operating costs'!$B$42+ROUNDUP(S43*(R43-'Operating costs'!$B$40)*IF('Replacement plan'!$AH$16="",'Operating costs'!$B$7,'Replacement plan'!$AH$16)/('Operating costs'!$B$8-'Operating costs'!$B$9*IF('Replacement plan'!$AH$16="",'Operating costs'!$B$7,'Replacement plan'!$AH$16)),0)*('Operating costs'!$B$9/'Operating costs'!$B$11+'Operating costs'!$B$10/60)*'Operating costs'!$B$19*'Operating costs'!$B$21,SUM(AP43,'Operating costs'!$B$28,'Operating costs'!$B$30,'Operating costs'!$B$32,'Operating costs'!$B$33,'Operating costs'!$B$36,'Operating costs'!$B$38,'Replacement plan'!$Y$16)+'Operating costs'!$B$41*'Operating costs'!$B$43+W43*'Operating costs'!$B$15+(T43*X43/'Replacement plan'!$L$16+W43*('Operating costs'!$B$12/'Operating costs'!$B$11+('Operating costs'!$B$13+'Operating costs'!$B$14)/60)+(R43-'Operating costs'!$B$41)*(IF(T43&lt;1,'Operating costs'!$B$16,0)+'Operating costs'!$B$17)/60)*'Operating costs'!$B$19*'Operating costs'!$B$20),"n.a."))</f>
        <v>0</v>
      </c>
      <c r="N43" s="16">
        <f>IF(AND(C43=1,D43="EV",E43&lt;120,E43+'Replacement plan'!$AA$16&lt;=120),'Replacement plan'!$Z$16,0)</f>
        <v>0</v>
      </c>
      <c r="O43" s="1">
        <f>E43+'Replacement plan'!$AA$16</f>
        <v>0</v>
      </c>
      <c r="P43" s="35" t="str">
        <f>IFERROR(IF(C43=0,"Excluded",IF(OR(COUNTIFS('Fleet register'!$A$7:$A$106,A43)&lt;&gt;1,COUNTIFS('Replacement plan'!$A$7:$A$106,A43)&lt;&gt;1),"Duplicate/missing ID",IF(NOT(AND(ISNUMBER(VLOOKUP($A43,'Fleet register'!$A$7:$S$106,5,FALSE)),ISNUMBER(VLOOKUP($A43,'Fleet register'!$A$7:$S$106,6,FALSE)),ISNUMBER(VLOOKUP($A43,'Fleet register'!$A$7:$S$106,10,FALSE)),ISNUMBER(VLOOKUP($A43,'Fleet register'!$A$7:$S$106,11,FALSE)),ISNUMBER(VLOOKUP($A43,'Fleet register'!$A$7:$S$106,12,FALSE)),ISNUMBER(VLOOKUP($A43,'Fleet register'!$A$7:$S$106,13,FALSE)),ISNUMBER(VLOOKUP($A43,'Fleet register'!$A$7:$S$106,14,FALSE)),VLOOKUP($A43,'Fleet register'!$A$7:$S$106,14,FALSE)&gt;0,ISNUMBER('Replacement plan'!$C$16),OR(E43=120,ISNUMBER('Replacement plan'!$N$16)),ISNUMBER(E43))),"Missing vehicle input",IF(OR(E43&lt;0,E43&gt;VLOOKUP($A43,'Fleet register'!$A$7:$S$106,10,FALSE),E43&gt;120,E43&lt;&gt;INT(E43),VLOOKUP($A43,'Fleet register'!$A$7:$S$106,6,FALSE)&lt;=0,VLOOKUP($A43,'Fleet register'!$A$7:$S$106,6,FALSE)&gt;366,VLOOKUP($A43,'Fleet register'!$A$7:$S$106,5,FALSE)&lt;0,VLOOKUP($A43,'Fleet register'!$A$7:$S$106,11,FALSE)&lt;0,I43&lt;0,'Operating costs'!$B$8&lt;='Operating costs'!$B$7*'Operating costs'!$B$9,'Operating costs'!$B$11&lt;=0,'Operating costs'!$B$39&gt;R43,'Operating costs'!$B$40&gt;R43,'Operating costs'!$B$41&gt;R43,NOT(OR("Keep ICE"="Keep ICE","Keep ICE"="New ICE","Keep ICE"="EV"))),"Invalid vehicle input",IF(AND(D43="EV",E43&lt;120,OR(NOT(ISNUMBER(U43)),NOT(ISNUMBER(V43)),V43&lt;=0,T43&lt;0,T43&gt;1,'Replacement plan'!$L$16&lt;=0,'Operating costs'!$B$44&lt;0,'Operating costs'!$B$44&gt;=1,'Operating costs'!$B$47&lt;=0,'Operating costs'!$B$47&gt;1,V43*'Operating costs'!$B$47/(1-'Operating costs'!$B$44)&lt;=T43*'Operating costs'!$B$12*U43,AND('Replacement plan'!$Z$16&gt;0,OR('Replacement plan'!$AB$16&lt;&gt;"Yes",'Operating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charging'!$B$8&gt;=0))),ISNUMBER(VLOOKUP($A43,'Fleet register'!$A$7:$S$106,15,FALSE)),ISNUMBER(VLOOKUP($A43,'Fleet register'!$A$7:$S$106,16,FALSE)),ISNUMBER('Replacement plan'!$W$16),ISNUMBER('Replacement plan'!$X$16),OR(E43=120,AND(ISNUMBER(G43),G43&gt;=0)),ISNUMBER(H43),H43&gt;=0,OR(D43&lt;&gt;"EV",E43=120,AND(ISNUMBER('Operating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average",ISNUMBER(IFERROR(INDEX(Products!$P$7:$P$13,MATCH(AD43,Products!$A$7:$A$13,0)),"")))),ISNUMBER('Operating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plan'!$Y$16),ISNUMBER('Replacement plan'!$Z$16),'Replacement plan'!$Z$16&gt;=0,ISNUMBER('Replacement plan'!$AA$16),'Replacement plan'!$AA$16&gt;=0,'Replacement plan'!$AA$16=INT('Replacement plan'!$AA$16),ISNUMBER('Replacement plan'!$L$16))),'Operating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plan'!$AG$16="",'Operating costs'!$B$7,'Replacement plan'!$AG$16)),IF('Replacement plan'!$AG$16="",'Operating costs'!$B$7,'Replacement plan'!$AG$16)&gt;=0,ISNUMBER(IF('Replacement plan'!$AH$16="",'Operating costs'!$B$7,'Replacement plan'!$AH$16)),IF('Replacement plan'!$AH$16="",'Operating costs'!$B$7,'Replacement plan'!$AH$16)&gt;=0,'Operating costs'!$B$8&gt;MAX(IF('Replacement plan'!$AG$16="",'Operating costs'!$B$7,'Replacement plan'!$AG$16),IF('Replacement plan'!$AH$16="",'Operating costs'!$B$7,'Replacement plan'!$AH$16))*'Operating costs'!$B$9),IF(AND(VLOOKUP($A43,'Fleet register'!$A$7:$S$106,10,FALSE)&gt;=0,VLOOKUP($A43,'Fleet register'!$A$7:$S$106,10,FALSE)&lt;=120,VLOOKUP($A43,'Fleet register'!$A$7:$S$106,10,FALSE)=INT(VLOOKUP($A43,'Fleet register'!$A$7:$S$106,10,FALSE)),VLOOKUP($A43,'Fleet register'!$A$7:$S$106,15,FALSE)&gt;=0,VLOOKUP($A43,'Fleet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costs'!$B$67)&gt;=0,OR(D43&lt;&gt;"EV",E43=120,AND(MIN('Operating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43" s="1" t="str">
        <f>IF(C43=0,"Excluded",IF(P43&lt;&gt;"Complete",P43,IF(OR('Replacement plan'!$AD$16&lt;120-E43,AND(D43="EV",E43&lt;120,OR('Replacement plan'!$AC$16&lt;120-E43,'Replacement plan'!$I$16="No",AND(ISNUMBER(AF43),AE43&gt;AF43),AI43&gt;V43*(1-'Operating costs'!$B$46)^MAX(0,AB43-1)*(1-'Operating costs'!$B$45),AC43&gt;'Operating costs'!$B$18,AND(T43&lt;1,OR(AG43&lt;=0,AND(ISNUMBER(AH43),AG43&gt;AH43))),'Replacement plan'!$L$16&gt;INDEX(Products!$H$7:$H$13,MATCH('Replacement plan'!$B$16,Products!$A$7:$A$13,0))))),"Fails entered limits",IF(AND(D43="EV",E43&lt;120,OR(NOT(ISNUMBER(VLOOKUP($A43,'Fleet register'!$A$7:$S$106,7,FALSE))),NOT(ISNUMBER(VLOOKUP($A43,'Fleet register'!$A$7:$S$106,8,FALSE))),NOT(ISNUMBER(AF43)),'Replacement plan'!$I$16&lt;&gt;"Yes",NOT(ISNUMBER(AH43)),'Operating costs'!$B$59&lt;&gt;"Yes",'Operating costs'!$B$58&lt;&gt;"Yes")),"Unverified","Within entered limits"))))</f>
        <v>Excluded</v>
      </c>
      <c r="R43" s="1">
        <f>IF(C43=0,0,VLOOKUP($A43,'Fleet register'!$A$7:$S$106,6,FALSE))</f>
        <v>0</v>
      </c>
      <c r="S43" s="1">
        <f>IF(C43=0,0,VLOOKUP($A43,'Fleet register'!$A$7:$S$106,5,FALSE))</f>
        <v>0</v>
      </c>
      <c r="T43" s="1">
        <f>IF(D43="EV",'Energy and charging'!$B$12,0)</f>
        <v>0</v>
      </c>
      <c r="U43" s="1">
        <f>IFERROR(IF(C43=0,0,IF(D43="EV",IF('Replacement plan'!$F$16="",INDEX(Products!$E$7:$E$13,MATCH('Replacement plan'!$B$16,Products!$A$7:$A$13,0)),'Replacement plan'!$F$16)/IF('Replacement plan'!$G$16="Battery",1-'Operating costs'!$B$44,1),0)),"n.a.")</f>
        <v>0</v>
      </c>
      <c r="V43" s="1">
        <f>IFERROR(IF(C43=0,0,IF(D43="EV",IF('Replacement plan'!$E$16="",INDEX(Products!$D$7:$D$13,MATCH('Replacement plan'!$B$16,Products!$A$7:$A$13,0)),'Replacement plan'!$E$16),0)),"n.a.")</f>
        <v>0</v>
      </c>
      <c r="W43" s="1">
        <f>IF(C43=0,0,IF(AND(P43="Complete",D43="EV",E43&lt;120),IF(T43=0,0,ROUNDUP(T43*(R43-'Operating costs'!$B$41)*(S43*U43+'Operating costs'!$B$48/(1-'Operating costs'!$B$44))/(V43*'Operating costs'!$B$47/(1-'Operating costs'!$B$44)-T43*'Operating costs'!$B$12*U43),0)),0))</f>
        <v>0</v>
      </c>
      <c r="X43" s="1">
        <f>IF(C43=0,0,IF(AND(P43="Complete",D43="EV",E43&lt;120),(R43-'Operating costs'!$B$41)*(S43*U43+'Operating costs'!$B$48/(1-'Operating costs'!$B$44))+W43*'Operating costs'!$B$12*U43,0))</f>
        <v>0</v>
      </c>
      <c r="Y43" s="1">
        <f>IF(AND(C43=1,D43="EV",E43&lt;120),AI43/(1-'Operating costs'!$B$44)*(1-T43),0)</f>
        <v>0</v>
      </c>
      <c r="Z43" s="1">
        <f t="shared" si="0"/>
        <v>0</v>
      </c>
      <c r="AA43" s="1">
        <f>IF(C43=0,0,IF(P43="Complete",((S43*(R43-'Operating costs'!$B$40))+ROUNDUP(S43*(R43-'Operating costs'!$B$40)*IF('Replacement plan'!$AH$16="",'Operating costs'!$B$7,'Replacement plan'!$AH$16)/('Operating costs'!$B$8-'Operating costs'!$B$9*IF('Replacement plan'!$AH$16="",'Operating costs'!$B$7,'Replacement plan'!$AH$16)),0)*'Operating costs'!$B$9)*IF('Replacement plan'!$AH$16="",'Operating costs'!$B$7,'Replacement plan'!$AH$16),"n.a."))</f>
        <v>0</v>
      </c>
      <c r="AB43" s="1">
        <f t="shared" si="1"/>
        <v>0</v>
      </c>
      <c r="AC43" s="1">
        <f>IF(AND(C43=1,D43="EV",E43&lt;120,T43&gt;0),'Operating costs'!$B$12/'Operating costs'!$B$11*60+'Operating costs'!$B$13+'Operating costs'!$B$14+V43*'Operating costs'!$B$47/(1-'Operating costs'!$B$44)/'Replacement plan'!$L$16*60,0)</f>
        <v>0</v>
      </c>
      <c r="AD43" s="1" t="str">
        <f>'Replacement plan'!$B$16</f>
        <v>ChengLong L2EV</v>
      </c>
      <c r="AE43" s="1">
        <f>IF(C43=0,0,VLOOKUP($A43,'Fleet register'!$A$7:$S$106,8,FALSE))</f>
        <v>0</v>
      </c>
      <c r="AF43" s="1" t="str">
        <f>IF('Replacement plan'!$H$16="","n.a.",'Replacement plan'!$H$16)</f>
        <v>n.a.</v>
      </c>
      <c r="AG43" s="1">
        <f>'Replacement plan'!$J$16</f>
        <v>22</v>
      </c>
      <c r="AH43" s="1">
        <f>IFERROR(IF(D43="EV",IF('Replacement plan'!$K$16="AC",IF(ISNUMBER(INDEX(Products!$G$7:$G$13,MATCH('Replacement plan'!$B$16,Products!$A$7:$A$13,0))),INDEX(Products!$G$7:$G$13,MATCH('Replacement plan'!$B$16,Products!$A$7:$A$13,0)),"n.a."),IF(ISNUMBER(INDEX(Products!$H$7:$H$13,MATCH('Replacement plan'!$B$16,Products!$A$7:$A$13,0))),INDEX(Products!$H$7:$H$13,MATCH('Replacement plan'!$B$16,Products!$A$7:$A$13,0)),"n.a.")),0),"n.a.")</f>
        <v>0</v>
      </c>
      <c r="AI43" s="1">
        <f>IF(AND(C43=1,D43="EV",E43&lt;120),(VLOOKUP($A43,'Fleet register'!$A$7:$S$106,7,FALSE)+IF(T43&gt;0,'Operating costs'!$B$12,0))*U43*(1-'Operating costs'!$B$44)+'Operating costs'!$B$49,0)</f>
        <v>0</v>
      </c>
      <c r="AJ43" s="1">
        <f>IF(D43="EV",'Energy and charging'!$B$50,0)</f>
        <v>0</v>
      </c>
      <c r="AK43" s="17">
        <f>EDATE('Operating costs'!$B$63,E43)</f>
        <v>46298</v>
      </c>
      <c r="AL43" s="1">
        <f>IFERROR(IF(D43="EV",INDEX(Products!$B$7:$B$13,MATCH('Replacement plan'!$B$16,Products!$A$7:$A$13,0)),0),"n.a.")</f>
        <v>0</v>
      </c>
      <c r="AM43" s="1" t="str">
        <f>'Replacement plan'!$K$16</f>
        <v>DC</v>
      </c>
      <c r="AN43" s="1" t="str">
        <f>'Replacement plan'!$AE$16</f>
        <v>Assumed</v>
      </c>
      <c r="AO43" s="47">
        <f>IF(AND(C43=1,D43="EV",E43&lt;120),(R43-'Operating costs'!$B$41)*S43+W43*'Operating costs'!$B$12,0)</f>
        <v>0</v>
      </c>
      <c r="AP43" s="41">
        <f>IF(AND(C43=1,D43="EV",E43&lt;120),IF('Operating costs'!$B$68="Hong Seh 200k average",AO43*IFERROR(INDEX(Products!$P$7:$P$13,MATCH(AD43,Products!$A$7:$A$13,0)),"n.a."),'Operating costs'!$B$26),0)</f>
        <v>0</v>
      </c>
      <c r="AQ43" s="40" t="str">
        <f>IF(D43="EV",'Operating costs'!$B$68,"Not applicable")</f>
        <v>Not applicable</v>
      </c>
    </row>
    <row r="44" spans="1:43" ht="24" customHeight="1">
      <c r="A44" s="1" t="str">
        <f>'Replacement plan'!A16</f>
        <v>T010</v>
      </c>
      <c r="B44" s="1">
        <v>1</v>
      </c>
      <c r="C44" s="1">
        <f>IF(COUNTIFS('Fleet register'!$A$7:$A$106,$A44)=1,VLOOKUP($A44,'Fleet register'!$A$7:$S$106,2,FALSE),0)</f>
        <v>0</v>
      </c>
      <c r="D44" s="1" t="str">
        <f>IF("New ICE"="EV","EV","ICE")</f>
        <v>ICE</v>
      </c>
      <c r="E44" s="1">
        <f>IF(C44=0,0,0)</f>
        <v>0</v>
      </c>
      <c r="F44" s="16">
        <f>IF(C44=0,0,VLOOKUP($A44,'Fleet register'!$A$7:$S$106,11,FALSE))</f>
        <v>0</v>
      </c>
      <c r="G44" s="16">
        <f>IFERROR(IF(C44=0,0,IF(E44=120,0,IF(D44="ICE",'Replacement plan'!$C$16,IF('Replacement plan'!$D$16="",INDEX(Products!$I$7:$I$13,MATCH('Replacement plan'!$B$16,Products!$A$7:$A$13,0))+'Operating costs'!$B$57,'Replacement plan'!$D$16))*(1+'Operating costs'!$B$50)^(E44/12))),"n.a.")</f>
        <v>0</v>
      </c>
      <c r="H44" s="16">
        <f>IFERROR(IF(C44=0,0,IF(E44=0,F44,VLOOKUP($A44,'Fleet register'!$A$7:$S$106,12,FALSE)+VLOOKUP($A44,'Fleet register'!$A$7:$S$106,13,FALSE)*MAX(0,VLOOKUP($A44,'Fleet register'!$A$7:$S$106,10,FALSE)-E44)/VLOOKUP($A44,'Fleet register'!$A$7:$S$106,14,FALSE))),"n.a.")</f>
        <v>0</v>
      </c>
      <c r="I44" s="16">
        <f>IF(C44=0,0,IF(E44=120,0,IF('Replacement plan'!$AI$16="",'Operating costs'!$B$56,'Replacement plan'!$AI$16)))</f>
        <v>0</v>
      </c>
      <c r="J44" s="16">
        <f>IF(C44=0,0,IF(P44="Complete",((S44*(R44-'Operating costs'!$B$39))+ROUNDUP(S44*(R44-'Operating costs'!$B$39)*IF('Replacement plan'!$AG$16="",'Operating costs'!$B$7,'Replacement plan'!$AG$16)/('Operating costs'!$B$8-'Operating costs'!$B$9*IF('Replacement plan'!$AG$16="",'Operating costs'!$B$7,'Replacement plan'!$AG$16)),0)*'Operating costs'!$B$9)*IF('Replacement plan'!$AG$16="",'Operating costs'!$B$7,'Replacement plan'!$AG$16)*('Energy and charging'!$B$9*'Energy and charging'!$B$7+(1-'Energy and charging'!$B$9)*'Energy and charging'!$B$8)*'Operating costs'!$B$23,"n.a."))</f>
        <v>0</v>
      </c>
      <c r="K44" s="16">
        <f>IF(C44=0,0,IF(P44="Complete",SUM('Operating costs'!$B$24,'Operating costs'!$B$27,'Operating costs'!$B$29,'Operating costs'!$B$31,'Operating costs'!$B$33,'Operating costs'!$B$34,'Operating costs'!$B$37,'Replacement plan'!$W$16)+'Operating costs'!$B$39*'Operating costs'!$B$42+ROUNDUP(S44*(R44-'Operating costs'!$B$39)*IF('Replacement plan'!$AG$16="",'Operating costs'!$B$7,'Replacement plan'!$AG$16)/('Operating costs'!$B$8-'Operating costs'!$B$9*IF('Replacement plan'!$AG$16="",'Operating costs'!$B$7,'Replacement plan'!$AG$16)),0)*('Operating costs'!$B$9/'Operating costs'!$B$11+'Operating costs'!$B$10/60)*'Operating costs'!$B$19*'Operating costs'!$B$21,"n.a."))</f>
        <v>0</v>
      </c>
      <c r="L44" s="16">
        <f>IF(C44=0,0,IF(P44="Complete",IF(D44="EV",X44*((1-T44)*'Energy and charging'!$B$10+T44*'Energy and charging'!$B$11)*'Operating costs'!$B$22,AA44*('Energy and charging'!$B$9*'Energy and charging'!$B$7+(1-'Energy and charging'!$B$9)*'Energy and charging'!$B$8)*'Operating costs'!$B$23),"n.a."))</f>
        <v>0</v>
      </c>
      <c r="M44" s="37">
        <f>IF(C44=0,0,IF(P44="Complete",IF(D44="ICE",SUM('Operating costs'!$B$25,'Operating costs'!$B$27,'Operating costs'!$B$29,'Operating costs'!$B$31,'Operating costs'!$B$33,'Operating costs'!$B$35,'Operating costs'!$B$37,'Replacement plan'!$X$16)+'Operating costs'!$B$40*'Operating costs'!$B$42+ROUNDUP(S44*(R44-'Operating costs'!$B$40)*IF('Replacement plan'!$AH$16="",'Operating costs'!$B$7,'Replacement plan'!$AH$16)/('Operating costs'!$B$8-'Operating costs'!$B$9*IF('Replacement plan'!$AH$16="",'Operating costs'!$B$7,'Replacement plan'!$AH$16)),0)*('Operating costs'!$B$9/'Operating costs'!$B$11+'Operating costs'!$B$10/60)*'Operating costs'!$B$19*'Operating costs'!$B$21,SUM(AP44,'Operating costs'!$B$28,'Operating costs'!$B$30,'Operating costs'!$B$32,'Operating costs'!$B$33,'Operating costs'!$B$36,'Operating costs'!$B$38,'Replacement plan'!$Y$16)+'Operating costs'!$B$41*'Operating costs'!$B$43+W44*'Operating costs'!$B$15+(T44*X44/'Replacement plan'!$L$16+W44*('Operating costs'!$B$12/'Operating costs'!$B$11+('Operating costs'!$B$13+'Operating costs'!$B$14)/60)+(R44-'Operating costs'!$B$41)*(IF(T44&lt;1,'Operating costs'!$B$16,0)+'Operating costs'!$B$17)/60)*'Operating costs'!$B$19*'Operating costs'!$B$20),"n.a."))</f>
        <v>0</v>
      </c>
      <c r="N44" s="16">
        <f>IF(AND(C44=1,D44="EV",E44&lt;120,E44+'Replacement plan'!$AA$16&lt;=120),'Replacement plan'!$Z$16,0)</f>
        <v>0</v>
      </c>
      <c r="O44" s="1">
        <f>E44+'Replacement plan'!$AA$16</f>
        <v>0</v>
      </c>
      <c r="P44" s="35" t="str">
        <f>IFERROR(IF(C44=0,"Excluded",IF(OR(COUNTIFS('Fleet register'!$A$7:$A$106,A44)&lt;&gt;1,COUNTIFS('Replacement plan'!$A$7:$A$106,A44)&lt;&gt;1),"Duplicate/missing ID",IF(NOT(AND(ISNUMBER(VLOOKUP($A44,'Fleet register'!$A$7:$S$106,5,FALSE)),ISNUMBER(VLOOKUP($A44,'Fleet register'!$A$7:$S$106,6,FALSE)),ISNUMBER(VLOOKUP($A44,'Fleet register'!$A$7:$S$106,10,FALSE)),ISNUMBER(VLOOKUP($A44,'Fleet register'!$A$7:$S$106,11,FALSE)),ISNUMBER(VLOOKUP($A44,'Fleet register'!$A$7:$S$106,12,FALSE)),ISNUMBER(VLOOKUP($A44,'Fleet register'!$A$7:$S$106,13,FALSE)),ISNUMBER(VLOOKUP($A44,'Fleet register'!$A$7:$S$106,14,FALSE)),VLOOKUP($A44,'Fleet register'!$A$7:$S$106,14,FALSE)&gt;0,ISNUMBER('Replacement plan'!$C$16),OR(E44=120,OR(ISNUMBER('Replacement plan'!$AI$16),AND('Replacement plan'!$AI$16="",ISNUMBER('Operating costs'!$B$56)))),ISNUMBER(E44))),"Missing vehicle input",IF(OR(E44&lt;0,E44&gt;VLOOKUP($A44,'Fleet register'!$A$7:$S$106,10,FALSE),E44&gt;120,E44&lt;&gt;INT(E44),VLOOKUP($A44,'Fleet register'!$A$7:$S$106,6,FALSE)&lt;=0,VLOOKUP($A44,'Fleet register'!$A$7:$S$106,6,FALSE)&gt;366,VLOOKUP($A44,'Fleet register'!$A$7:$S$106,5,FALSE)&lt;0,VLOOKUP($A44,'Fleet register'!$A$7:$S$106,11,FALSE)&lt;0,I44&lt;0,'Operating costs'!$B$8&lt;='Operating costs'!$B$7*'Operating costs'!$B$9,'Operating costs'!$B$11&lt;=0,'Operating costs'!$B$39&gt;R44,'Operating costs'!$B$40&gt;R44,'Operating costs'!$B$41&gt;R44,NOT(OR("New ICE"="Keep ICE","New ICE"="New ICE","New ICE"="EV"))),"Invalid vehicle input",IF(AND(D44="EV",E44&lt;120,OR(NOT(ISNUMBER(U44)),NOT(ISNUMBER(V44)),V44&lt;=0,T44&lt;0,T44&gt;1,'Replacement plan'!$L$16&lt;=0,'Operating costs'!$B$44&lt;0,'Operating costs'!$B$44&gt;=1,'Operating costs'!$B$47&lt;=0,'Operating costs'!$B$47&gt;1,V44*'Operating costs'!$B$47/(1-'Operating costs'!$B$44)&lt;=T44*'Operating costs'!$B$12*U44,AND('Replacement plan'!$Z$16&gt;0,OR('Replacement plan'!$AB$16&lt;&gt;"Yes",'Operating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charging'!$B$8&gt;=0))),ISNUMBER(VLOOKUP($A44,'Fleet register'!$A$7:$S$106,15,FALSE)),ISNUMBER(VLOOKUP($A44,'Fleet register'!$A$7:$S$106,16,FALSE)),ISNUMBER('Replacement plan'!$W$16),ISNUMBER('Replacement plan'!$X$16),OR(E44=120,AND(ISNUMBER(G44),G44&gt;=0)),ISNUMBER(H44),H44&gt;=0,OR(D44&lt;&gt;"EV",E44=120,AND(ISNUMBER('Operating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average",ISNUMBER(IFERROR(INDEX(Products!$P$7:$P$13,MATCH(AD44,Products!$A$7:$A$13,0)),"")))),ISNUMBER('Operating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plan'!$Y$16),ISNUMBER('Replacement plan'!$Z$16),'Replacement plan'!$Z$16&gt;=0,ISNUMBER('Replacement plan'!$AA$16),'Replacement plan'!$AA$16&gt;=0,'Replacement plan'!$AA$16=INT('Replacement plan'!$AA$16),ISNUMBER('Replacement plan'!$L$16))),'Operating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plan'!$AG$16="",'Operating costs'!$B$7,'Replacement plan'!$AG$16)),IF('Replacement plan'!$AG$16="",'Operating costs'!$B$7,'Replacement plan'!$AG$16)&gt;=0,ISNUMBER(IF('Replacement plan'!$AH$16="",'Operating costs'!$B$7,'Replacement plan'!$AH$16)),IF('Replacement plan'!$AH$16="",'Operating costs'!$B$7,'Replacement plan'!$AH$16)&gt;=0,'Operating costs'!$B$8&gt;MAX(IF('Replacement plan'!$AG$16="",'Operating costs'!$B$7,'Replacement plan'!$AG$16),IF('Replacement plan'!$AH$16="",'Operating costs'!$B$7,'Replacement plan'!$AH$16))*'Operating costs'!$B$9),IF(AND(VLOOKUP($A44,'Fleet register'!$A$7:$S$106,10,FALSE)&gt;=0,VLOOKUP($A44,'Fleet register'!$A$7:$S$106,10,FALSE)&lt;=120,VLOOKUP($A44,'Fleet register'!$A$7:$S$106,10,FALSE)=INT(VLOOKUP($A44,'Fleet register'!$A$7:$S$106,10,FALSE)),VLOOKUP($A44,'Fleet register'!$A$7:$S$106,15,FALSE)&gt;=0,VLOOKUP($A44,'Fleet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costs'!$B$67)&gt;=0,OR(D44&lt;&gt;"EV",E44=120,AND(MIN('Operating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44" s="1" t="str">
        <f>IF(C44=0,"Excluded",IF(P44&lt;&gt;"Complete",P44,IF(OR('Replacement plan'!$AD$16&lt;120-E44,AND(D44="EV",E44&lt;120,OR('Replacement plan'!$AC$16&lt;120-E44,'Replacement plan'!$I$16="No",AND(ISNUMBER(AF44),AE44&gt;AF44),AI44&gt;V44*(1-'Operating costs'!$B$46)^MAX(0,AB44-1)*(1-'Operating costs'!$B$45),AC44&gt;'Operating costs'!$B$18,AND(T44&lt;1,OR(AG44&lt;=0,AND(ISNUMBER(AH44),AG44&gt;AH44))),'Replacement plan'!$L$16&gt;INDEX(Products!$H$7:$H$13,MATCH('Replacement plan'!$B$16,Products!$A$7:$A$13,0))))),"Fails entered limits",IF(AND(D44="EV",E44&lt;120,OR(NOT(ISNUMBER(VLOOKUP($A44,'Fleet register'!$A$7:$S$106,7,FALSE))),NOT(ISNUMBER(VLOOKUP($A44,'Fleet register'!$A$7:$S$106,8,FALSE))),NOT(ISNUMBER(AF44)),'Replacement plan'!$I$16&lt;&gt;"Yes",NOT(ISNUMBER(AH44)),'Operating costs'!$B$59&lt;&gt;"Yes",'Operating costs'!$B$58&lt;&gt;"Yes")),"Unverified","Within entered limits"))))</f>
        <v>Excluded</v>
      </c>
      <c r="R44" s="1">
        <f>IF(C44=0,0,VLOOKUP($A44,'Fleet register'!$A$7:$S$106,6,FALSE))</f>
        <v>0</v>
      </c>
      <c r="S44" s="1">
        <f>IF(C44=0,0,VLOOKUP($A44,'Fleet register'!$A$7:$S$106,5,FALSE))</f>
        <v>0</v>
      </c>
      <c r="T44" s="1">
        <f>IF(D44="EV",'Energy and charging'!$B$12,0)</f>
        <v>0</v>
      </c>
      <c r="U44" s="1">
        <f>IFERROR(IF(C44=0,0,IF(D44="EV",IF('Replacement plan'!$F$16="",INDEX(Products!$E$7:$E$13,MATCH('Replacement plan'!$B$16,Products!$A$7:$A$13,0)),'Replacement plan'!$F$16)/IF('Replacement plan'!$G$16="Battery",1-'Operating costs'!$B$44,1),0)),"n.a.")</f>
        <v>0</v>
      </c>
      <c r="V44" s="1">
        <f>IFERROR(IF(C44=0,0,IF(D44="EV",IF('Replacement plan'!$E$16="",INDEX(Products!$D$7:$D$13,MATCH('Replacement plan'!$B$16,Products!$A$7:$A$13,0)),'Replacement plan'!$E$16),0)),"n.a.")</f>
        <v>0</v>
      </c>
      <c r="W44" s="1">
        <f>IF(C44=0,0,IF(AND(P44="Complete",D44="EV",E44&lt;120),IF(T44=0,0,ROUNDUP(T44*(R44-'Operating costs'!$B$41)*(S44*U44+'Operating costs'!$B$48/(1-'Operating costs'!$B$44))/(V44*'Operating costs'!$B$47/(1-'Operating costs'!$B$44)-T44*'Operating costs'!$B$12*U44),0)),0))</f>
        <v>0</v>
      </c>
      <c r="X44" s="1">
        <f>IF(C44=0,0,IF(AND(P44="Complete",D44="EV",E44&lt;120),(R44-'Operating costs'!$B$41)*(S44*U44+'Operating costs'!$B$48/(1-'Operating costs'!$B$44))+W44*'Operating costs'!$B$12*U44,0))</f>
        <v>0</v>
      </c>
      <c r="Y44" s="1">
        <f>IF(AND(C44=1,D44="EV",E44&lt;120),AI44/(1-'Operating costs'!$B$44)*(1-T44),0)</f>
        <v>0</v>
      </c>
      <c r="Z44" s="1">
        <f t="shared" si="0"/>
        <v>0</v>
      </c>
      <c r="AA44" s="1">
        <f>IF(C44=0,0,IF(P44="Complete",((S44*(R44-'Operating costs'!$B$40))+ROUNDUP(S44*(R44-'Operating costs'!$B$40)*IF('Replacement plan'!$AH$16="",'Operating costs'!$B$7,'Replacement plan'!$AH$16)/('Operating costs'!$B$8-'Operating costs'!$B$9*IF('Replacement plan'!$AH$16="",'Operating costs'!$B$7,'Replacement plan'!$AH$16)),0)*'Operating costs'!$B$9)*IF('Replacement plan'!$AH$16="",'Operating costs'!$B$7,'Replacement plan'!$AH$16),"n.a."))</f>
        <v>0</v>
      </c>
      <c r="AB44" s="1">
        <f t="shared" si="1"/>
        <v>0</v>
      </c>
      <c r="AC44" s="1">
        <f>IF(AND(C44=1,D44="EV",E44&lt;120,T44&gt;0),'Operating costs'!$B$12/'Operating costs'!$B$11*60+'Operating costs'!$B$13+'Operating costs'!$B$14+V44*'Operating costs'!$B$47/(1-'Operating costs'!$B$44)/'Replacement plan'!$L$16*60,0)</f>
        <v>0</v>
      </c>
      <c r="AD44" s="1" t="str">
        <f>'Replacement plan'!$B$16</f>
        <v>ChengLong L2EV</v>
      </c>
      <c r="AE44" s="1">
        <f>IF(C44=0,0,VLOOKUP($A44,'Fleet register'!$A$7:$S$106,8,FALSE))</f>
        <v>0</v>
      </c>
      <c r="AF44" s="1" t="str">
        <f>IF('Replacement plan'!$H$16="","n.a.",'Replacement plan'!$H$16)</f>
        <v>n.a.</v>
      </c>
      <c r="AG44" s="1">
        <f>'Replacement plan'!$J$16</f>
        <v>22</v>
      </c>
      <c r="AH44" s="1">
        <f>IFERROR(IF(D44="EV",IF('Replacement plan'!$K$16="AC",IF(ISNUMBER(INDEX(Products!$G$7:$G$13,MATCH('Replacement plan'!$B$16,Products!$A$7:$A$13,0))),INDEX(Products!$G$7:$G$13,MATCH('Replacement plan'!$B$16,Products!$A$7:$A$13,0)),"n.a."),IF(ISNUMBER(INDEX(Products!$H$7:$H$13,MATCH('Replacement plan'!$B$16,Products!$A$7:$A$13,0))),INDEX(Products!$H$7:$H$13,MATCH('Replacement plan'!$B$16,Products!$A$7:$A$13,0)),"n.a.")),0),"n.a.")</f>
        <v>0</v>
      </c>
      <c r="AI44" s="1">
        <f>IF(AND(C44=1,D44="EV",E44&lt;120),(VLOOKUP($A44,'Fleet register'!$A$7:$S$106,7,FALSE)+IF(T44&gt;0,'Operating costs'!$B$12,0))*U44*(1-'Operating costs'!$B$44)+'Operating costs'!$B$49,0)</f>
        <v>0</v>
      </c>
      <c r="AJ44" s="1">
        <f>IF(D44="EV",'Energy and charging'!$B$50,0)</f>
        <v>0</v>
      </c>
      <c r="AK44" s="17">
        <f>EDATE('Operating costs'!$B$63,E44)</f>
        <v>46298</v>
      </c>
      <c r="AL44" s="1">
        <f>IFERROR(IF(D44="EV",INDEX(Products!$B$7:$B$13,MATCH('Replacement plan'!$B$16,Products!$A$7:$A$13,0)),0),"n.a.")</f>
        <v>0</v>
      </c>
      <c r="AM44" s="1" t="str">
        <f>'Replacement plan'!$K$16</f>
        <v>DC</v>
      </c>
      <c r="AN44" s="1" t="str">
        <f>'Replacement plan'!$AE$16</f>
        <v>Assumed</v>
      </c>
      <c r="AO44" s="47">
        <f>IF(AND(C44=1,D44="EV",E44&lt;120),(R44-'Operating costs'!$B$41)*S44+W44*'Operating costs'!$B$12,0)</f>
        <v>0</v>
      </c>
      <c r="AP44" s="41">
        <f>IF(AND(C44=1,D44="EV",E44&lt;120),IF('Operating costs'!$B$68="Hong Seh 200k average",AO44*IFERROR(INDEX(Products!$P$7:$P$13,MATCH(AD44,Products!$A$7:$A$13,0)),"n.a."),'Operating costs'!$B$26),0)</f>
        <v>0</v>
      </c>
      <c r="AQ44" s="40" t="str">
        <f>IF(D44="EV",'Operating costs'!$B$68,"Not applicable")</f>
        <v>Not applicable</v>
      </c>
    </row>
    <row r="45" spans="1:43" ht="24" customHeight="1">
      <c r="A45" s="1" t="str">
        <f>'Replacement plan'!A16</f>
        <v>T010</v>
      </c>
      <c r="B45" s="1">
        <v>2</v>
      </c>
      <c r="C45" s="1">
        <f>IF(COUNTIFS('Fleet register'!$A$7:$A$106,$A45)=1,VLOOKUP($A45,'Fleet register'!$A$7:$S$106,2,FALSE),0)</f>
        <v>0</v>
      </c>
      <c r="D45" s="1" t="str">
        <f>IF('Replacement plan'!$O$16="EV","EV","ICE")</f>
        <v>ICE</v>
      </c>
      <c r="E45" s="1">
        <f>IF(C45=0,0,IF('Replacement plan'!$P$16="",IF('Replacement plan'!$O$16="Keep ICE",IF('Replacement plan'!$M$16="",VLOOKUP($A45,'Fleet register'!$A$7:$S$106,10,FALSE),'Replacement plan'!$M$16),0),'Replacement plan'!$P$16))</f>
        <v>0</v>
      </c>
      <c r="F45" s="16">
        <f>IF(C45=0,0,VLOOKUP($A45,'Fleet register'!$A$7:$S$106,11,FALSE))</f>
        <v>0</v>
      </c>
      <c r="G45" s="16">
        <f>IFERROR(IF(C45=0,0,IF(E45=120,0,IF(D45="ICE",'Replacement plan'!$C$16,IF('Replacement plan'!$D$16="",INDEX(Products!$I$7:$I$13,MATCH('Replacement plan'!$B$16,Products!$A$7:$A$13,0))+'Operating costs'!$B$57,'Replacement plan'!$D$16))*(1+'Operating costs'!$B$50)^(E45/12))),"n.a.")</f>
        <v>0</v>
      </c>
      <c r="H45" s="16">
        <f>IFERROR(IF(C45=0,0,IF('Replacement plan'!$U$16&lt;&gt;"",'Replacement plan'!$U$16,IF(E45=0,F45,VLOOKUP($A45,'Fleet register'!$A$7:$S$106,12,FALSE)+VLOOKUP($A45,'Fleet register'!$A$7:$S$106,13,FALSE)*MAX(0,VLOOKUP($A45,'Fleet register'!$A$7:$S$106,10,FALSE)-E45)/VLOOKUP($A45,'Fleet register'!$A$7:$S$106,14,FALSE)))),"n.a.")</f>
        <v>0</v>
      </c>
      <c r="I45" s="16">
        <f>IF(C45=0,0,IF(E45=120,0,'Replacement plan'!$Q$16))</f>
        <v>0</v>
      </c>
      <c r="J45" s="16">
        <f>IF(C45=0,0,IF(P45="Complete",((S45*(R45-'Operating costs'!$B$39))+ROUNDUP(S45*(R45-'Operating costs'!$B$39)*IF('Replacement plan'!$AG$16="",'Operating costs'!$B$7,'Replacement plan'!$AG$16)/('Operating costs'!$B$8-'Operating costs'!$B$9*IF('Replacement plan'!$AG$16="",'Operating costs'!$B$7,'Replacement plan'!$AG$16)),0)*'Operating costs'!$B$9)*IF('Replacement plan'!$AG$16="",'Operating costs'!$B$7,'Replacement plan'!$AG$16)*('Energy and charging'!$B$9*'Energy and charging'!$B$7+(1-'Energy and charging'!$B$9)*'Energy and charging'!$B$8)*'Operating costs'!$B$23,"n.a."))</f>
        <v>0</v>
      </c>
      <c r="K45" s="16">
        <f>IF(C45=0,0,IF(P45="Complete",SUM('Operating costs'!$B$24,'Operating costs'!$B$27,'Operating costs'!$B$29,'Operating costs'!$B$31,'Operating costs'!$B$33,'Operating costs'!$B$34,'Operating costs'!$B$37,'Replacement plan'!$W$16)+'Operating costs'!$B$39*'Operating costs'!$B$42+ROUNDUP(S45*(R45-'Operating costs'!$B$39)*IF('Replacement plan'!$AG$16="",'Operating costs'!$B$7,'Replacement plan'!$AG$16)/('Operating costs'!$B$8-'Operating costs'!$B$9*IF('Replacement plan'!$AG$16="",'Operating costs'!$B$7,'Replacement plan'!$AG$16)),0)*('Operating costs'!$B$9/'Operating costs'!$B$11+'Operating costs'!$B$10/60)*'Operating costs'!$B$19*'Operating costs'!$B$21,"n.a."))</f>
        <v>0</v>
      </c>
      <c r="L45" s="16">
        <f>IF(C45=0,0,IF(P45="Complete",IF(D45="EV",X45*((1-T45)*'Energy and charging'!$B$10+T45*'Energy and charging'!$B$11)*'Operating costs'!$B$22,AA45*('Energy and charging'!$B$9*'Energy and charging'!$B$7+(1-'Energy and charging'!$B$9)*'Energy and charging'!$B$8)*'Operating costs'!$B$23),"n.a."))</f>
        <v>0</v>
      </c>
      <c r="M45" s="37">
        <f>IF(C45=0,0,IF(P45="Complete",IF(D45="ICE",SUM('Operating costs'!$B$25,'Operating costs'!$B$27,'Operating costs'!$B$29,'Operating costs'!$B$31,'Operating costs'!$B$33,'Operating costs'!$B$35,'Operating costs'!$B$37,'Replacement plan'!$X$16)+'Operating costs'!$B$40*'Operating costs'!$B$42+ROUNDUP(S45*(R45-'Operating costs'!$B$40)*IF('Replacement plan'!$AH$16="",'Operating costs'!$B$7,'Replacement plan'!$AH$16)/('Operating costs'!$B$8-'Operating costs'!$B$9*IF('Replacement plan'!$AH$16="",'Operating costs'!$B$7,'Replacement plan'!$AH$16)),0)*('Operating costs'!$B$9/'Operating costs'!$B$11+'Operating costs'!$B$10/60)*'Operating costs'!$B$19*'Operating costs'!$B$21,SUM(AP45,'Operating costs'!$B$28,'Operating costs'!$B$30,'Operating costs'!$B$32,'Operating costs'!$B$33,'Operating costs'!$B$36,'Operating costs'!$B$38,'Replacement plan'!$Y$16)+'Operating costs'!$B$41*'Operating costs'!$B$43+W45*'Operating costs'!$B$15+(T45*X45/'Replacement plan'!$L$16+W45*('Operating costs'!$B$12/'Operating costs'!$B$11+('Operating costs'!$B$13+'Operating costs'!$B$14)/60)+(R45-'Operating costs'!$B$41)*(IF(T45&lt;1,'Operating costs'!$B$16,0)+'Operating costs'!$B$17)/60)*'Operating costs'!$B$19*'Operating costs'!$B$20),"n.a."))</f>
        <v>0</v>
      </c>
      <c r="N45" s="16">
        <f>IF(AND(C45=1,D45="EV",E45&lt;120,E45+'Replacement plan'!$AA$16&lt;=120),'Replacement plan'!$Z$16,0)</f>
        <v>0</v>
      </c>
      <c r="O45" s="1">
        <f>E45+'Replacement plan'!$AA$16</f>
        <v>0</v>
      </c>
      <c r="P45" s="35" t="str">
        <f>IFERROR(IF(C45=0,"Excluded",IF(OR(COUNTIFS('Fleet register'!$A$7:$A$106,A45)&lt;&gt;1,COUNTIFS('Replacement plan'!$A$7:$A$106,A45)&lt;&gt;1),"Duplicate/missing ID",IF(NOT(AND(ISNUMBER(VLOOKUP($A45,'Fleet register'!$A$7:$S$106,5,FALSE)),ISNUMBER(VLOOKUP($A45,'Fleet register'!$A$7:$S$106,6,FALSE)),ISNUMBER(VLOOKUP($A45,'Fleet register'!$A$7:$S$106,10,FALSE)),ISNUMBER(VLOOKUP($A45,'Fleet register'!$A$7:$S$106,11,FALSE)),ISNUMBER(VLOOKUP($A45,'Fleet register'!$A$7:$S$106,12,FALSE)),ISNUMBER(VLOOKUP($A45,'Fleet register'!$A$7:$S$106,13,FALSE)),ISNUMBER(VLOOKUP($A45,'Fleet register'!$A$7:$S$106,14,FALSE)),VLOOKUP($A45,'Fleet register'!$A$7:$S$106,14,FALSE)&gt;0,ISNUMBER('Replacement plan'!$C$16),OR(E45=120,ISNUMBER('Replacement plan'!$Q$16)),ISNUMBER(E45))),"Missing vehicle input",IF(OR(E45&lt;0,E45&gt;VLOOKUP($A45,'Fleet register'!$A$7:$S$106,10,FALSE),E45&gt;120,E45&lt;&gt;INT(E45),VLOOKUP($A45,'Fleet register'!$A$7:$S$106,6,FALSE)&lt;=0,VLOOKUP($A45,'Fleet register'!$A$7:$S$106,6,FALSE)&gt;366,VLOOKUP($A45,'Fleet register'!$A$7:$S$106,5,FALSE)&lt;0,VLOOKUP($A45,'Fleet register'!$A$7:$S$106,11,FALSE)&lt;0,I45&lt;0,'Operating costs'!$B$8&lt;='Operating costs'!$B$7*'Operating costs'!$B$9,'Operating costs'!$B$11&lt;=0,'Operating costs'!$B$39&gt;R45,'Operating costs'!$B$40&gt;R45,'Operating costs'!$B$41&gt;R45,NOT(OR('Replacement plan'!$O$16="Keep ICE",'Replacement plan'!$O$16="New ICE",'Replacement plan'!$O$16="EV"))),"Invalid vehicle input",IF(AND(D45="EV",E45&lt;120,OR(NOT(ISNUMBER(U45)),NOT(ISNUMBER(V45)),V45&lt;=0,T45&lt;0,T45&gt;1,'Replacement plan'!$L$16&lt;=0,'Operating costs'!$B$44&lt;0,'Operating costs'!$B$44&gt;=1,'Operating costs'!$B$47&lt;=0,'Operating costs'!$B$47&gt;1,V45*'Operating costs'!$B$47/(1-'Operating costs'!$B$44)&lt;=T45*'Operating costs'!$B$12*U45,AND('Replacement plan'!$Z$16&gt;0,OR('Replacement plan'!$AB$16&lt;&gt;"Yes",'Operating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charging'!$B$8&gt;=0))),ISNUMBER(VLOOKUP($A45,'Fleet register'!$A$7:$S$106,15,FALSE)),ISNUMBER(VLOOKUP($A45,'Fleet register'!$A$7:$S$106,16,FALSE)),ISNUMBER('Replacement plan'!$W$16),ISNUMBER('Replacement plan'!$X$16),OR(E45=120,AND(ISNUMBER(G45),G45&gt;=0)),ISNUMBER(H45),H45&gt;=0,OR(D45&lt;&gt;"EV",E45=120,AND(ISNUMBER('Operating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average",ISNUMBER(IFERROR(INDEX(Products!$P$7:$P$13,MATCH(AD45,Products!$A$7:$A$13,0)),"")))),ISNUMBER('Operating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plan'!$Y$16),ISNUMBER('Replacement plan'!$Z$16),'Replacement plan'!$Z$16&gt;=0,ISNUMBER('Replacement plan'!$AA$16),'Replacement plan'!$AA$16&gt;=0,'Replacement plan'!$AA$16=INT('Replacement plan'!$AA$16),ISNUMBER('Replacement plan'!$L$16))),'Operating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plan'!$AG$16="",'Operating costs'!$B$7,'Replacement plan'!$AG$16)),IF('Replacement plan'!$AG$16="",'Operating costs'!$B$7,'Replacement plan'!$AG$16)&gt;=0,ISNUMBER(IF('Replacement plan'!$AH$16="",'Operating costs'!$B$7,'Replacement plan'!$AH$16)),IF('Replacement plan'!$AH$16="",'Operating costs'!$B$7,'Replacement plan'!$AH$16)&gt;=0,'Operating costs'!$B$8&gt;MAX(IF('Replacement plan'!$AG$16="",'Operating costs'!$B$7,'Replacement plan'!$AG$16),IF('Replacement plan'!$AH$16="",'Operating costs'!$B$7,'Replacement plan'!$AH$16))*'Operating costs'!$B$9),IF(AND(VLOOKUP($A45,'Fleet register'!$A$7:$S$106,10,FALSE)&gt;=0,VLOOKUP($A45,'Fleet register'!$A$7:$S$106,10,FALSE)&lt;=120,VLOOKUP($A45,'Fleet register'!$A$7:$S$106,10,FALSE)=INT(VLOOKUP($A45,'Fleet register'!$A$7:$S$106,10,FALSE)),VLOOKUP($A45,'Fleet register'!$A$7:$S$106,15,FALSE)&gt;=0,VLOOKUP($A45,'Fleet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costs'!$B$67)&gt;=0,OR(D45&lt;&gt;"EV",E45=120,AND(MIN('Operating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45" s="1" t="str">
        <f>IF(C45=0,"Excluded",IF(P45&lt;&gt;"Complete",P45,IF(OR('Replacement plan'!$AD$16&lt;120-E45,AND(D45="EV",E45&lt;120,OR('Replacement plan'!$AC$16&lt;120-E45,'Replacement plan'!$I$16="No",AND(ISNUMBER(AF45),AE45&gt;AF45),AI45&gt;V45*(1-'Operating costs'!$B$46)^MAX(0,AB45-1)*(1-'Operating costs'!$B$45),AC45&gt;'Operating costs'!$B$18,AND(T45&lt;1,OR(AG45&lt;=0,AND(ISNUMBER(AH45),AG45&gt;AH45))),'Replacement plan'!$L$16&gt;INDEX(Products!$H$7:$H$13,MATCH('Replacement plan'!$B$16,Products!$A$7:$A$13,0))))),"Fails entered limits",IF(AND(D45="EV",E45&lt;120,OR(NOT(ISNUMBER(VLOOKUP($A45,'Fleet register'!$A$7:$S$106,7,FALSE))),NOT(ISNUMBER(VLOOKUP($A45,'Fleet register'!$A$7:$S$106,8,FALSE))),NOT(ISNUMBER(AF45)),'Replacement plan'!$I$16&lt;&gt;"Yes",NOT(ISNUMBER(AH45)),'Operating costs'!$B$59&lt;&gt;"Yes",'Operating costs'!$B$58&lt;&gt;"Yes")),"Unverified","Within entered limits"))))</f>
        <v>Excluded</v>
      </c>
      <c r="R45" s="1">
        <f>IF(C45=0,0,VLOOKUP($A45,'Fleet register'!$A$7:$S$106,6,FALSE))</f>
        <v>0</v>
      </c>
      <c r="S45" s="1">
        <f>IF(C45=0,0,VLOOKUP($A45,'Fleet register'!$A$7:$S$106,5,FALSE))</f>
        <v>0</v>
      </c>
      <c r="T45" s="1">
        <f>IF(D45="EV",'Energy and charging'!$B$12,0)</f>
        <v>0</v>
      </c>
      <c r="U45" s="1">
        <f>IFERROR(IF(C45=0,0,IF(D45="EV",IF('Replacement plan'!$F$16="",INDEX(Products!$E$7:$E$13,MATCH('Replacement plan'!$B$16,Products!$A$7:$A$13,0)),'Replacement plan'!$F$16)/IF('Replacement plan'!$G$16="Battery",1-'Operating costs'!$B$44,1),0)),"n.a.")</f>
        <v>0</v>
      </c>
      <c r="V45" s="1">
        <f>IFERROR(IF(C45=0,0,IF(D45="EV",IF('Replacement plan'!$E$16="",INDEX(Products!$D$7:$D$13,MATCH('Replacement plan'!$B$16,Products!$A$7:$A$13,0)),'Replacement plan'!$E$16),0)),"n.a.")</f>
        <v>0</v>
      </c>
      <c r="W45" s="1">
        <f>IF(C45=0,0,IF(AND(P45="Complete",D45="EV",E45&lt;120),IF(T45=0,0,ROUNDUP(T45*(R45-'Operating costs'!$B$41)*(S45*U45+'Operating costs'!$B$48/(1-'Operating costs'!$B$44))/(V45*'Operating costs'!$B$47/(1-'Operating costs'!$B$44)-T45*'Operating costs'!$B$12*U45),0)),0))</f>
        <v>0</v>
      </c>
      <c r="X45" s="1">
        <f>IF(C45=0,0,IF(AND(P45="Complete",D45="EV",E45&lt;120),(R45-'Operating costs'!$B$41)*(S45*U45+'Operating costs'!$B$48/(1-'Operating costs'!$B$44))+W45*'Operating costs'!$B$12*U45,0))</f>
        <v>0</v>
      </c>
      <c r="Y45" s="1">
        <f>IF(AND(C45=1,D45="EV",E45&lt;120),AI45/(1-'Operating costs'!$B$44)*(1-T45),0)</f>
        <v>0</v>
      </c>
      <c r="Z45" s="1">
        <f t="shared" si="0"/>
        <v>0</v>
      </c>
      <c r="AA45" s="1">
        <f>IF(C45=0,0,IF(P45="Complete",((S45*(R45-'Operating costs'!$B$40))+ROUNDUP(S45*(R45-'Operating costs'!$B$40)*IF('Replacement plan'!$AH$16="",'Operating costs'!$B$7,'Replacement plan'!$AH$16)/('Operating costs'!$B$8-'Operating costs'!$B$9*IF('Replacement plan'!$AH$16="",'Operating costs'!$B$7,'Replacement plan'!$AH$16)),0)*'Operating costs'!$B$9)*IF('Replacement plan'!$AH$16="",'Operating costs'!$B$7,'Replacement plan'!$AH$16),"n.a."))</f>
        <v>0</v>
      </c>
      <c r="AB45" s="1">
        <f t="shared" si="1"/>
        <v>0</v>
      </c>
      <c r="AC45" s="1">
        <f>IF(AND(C45=1,D45="EV",E45&lt;120,T45&gt;0),'Operating costs'!$B$12/'Operating costs'!$B$11*60+'Operating costs'!$B$13+'Operating costs'!$B$14+V45*'Operating costs'!$B$47/(1-'Operating costs'!$B$44)/'Replacement plan'!$L$16*60,0)</f>
        <v>0</v>
      </c>
      <c r="AD45" s="1" t="str">
        <f>'Replacement plan'!$B$16</f>
        <v>ChengLong L2EV</v>
      </c>
      <c r="AE45" s="1">
        <f>IF(C45=0,0,VLOOKUP($A45,'Fleet register'!$A$7:$S$106,8,FALSE))</f>
        <v>0</v>
      </c>
      <c r="AF45" s="1" t="str">
        <f>IF('Replacement plan'!$H$16="","n.a.",'Replacement plan'!$H$16)</f>
        <v>n.a.</v>
      </c>
      <c r="AG45" s="1">
        <f>'Replacement plan'!$J$16</f>
        <v>22</v>
      </c>
      <c r="AH45" s="1">
        <f>IFERROR(IF(D45="EV",IF('Replacement plan'!$K$16="AC",IF(ISNUMBER(INDEX(Products!$G$7:$G$13,MATCH('Replacement plan'!$B$16,Products!$A$7:$A$13,0))),INDEX(Products!$G$7:$G$13,MATCH('Replacement plan'!$B$16,Products!$A$7:$A$13,0)),"n.a."),IF(ISNUMBER(INDEX(Products!$H$7:$H$13,MATCH('Replacement plan'!$B$16,Products!$A$7:$A$13,0))),INDEX(Products!$H$7:$H$13,MATCH('Replacement plan'!$B$16,Products!$A$7:$A$13,0)),"n.a.")),0),"n.a.")</f>
        <v>0</v>
      </c>
      <c r="AI45" s="1">
        <f>IF(AND(C45=1,D45="EV",E45&lt;120),(VLOOKUP($A45,'Fleet register'!$A$7:$S$106,7,FALSE)+IF(T45&gt;0,'Operating costs'!$B$12,0))*U45*(1-'Operating costs'!$B$44)+'Operating costs'!$B$49,0)</f>
        <v>0</v>
      </c>
      <c r="AJ45" s="1">
        <f>IF(D45="EV",'Energy and charging'!$B$50,0)</f>
        <v>0</v>
      </c>
      <c r="AK45" s="17">
        <f>EDATE('Operating costs'!$B$63,E45)</f>
        <v>46298</v>
      </c>
      <c r="AL45" s="1">
        <f>IFERROR(IF(D45="EV",INDEX(Products!$B$7:$B$13,MATCH('Replacement plan'!$B$16,Products!$A$7:$A$13,0)),0),"n.a.")</f>
        <v>0</v>
      </c>
      <c r="AM45" s="1" t="str">
        <f>'Replacement plan'!$K$16</f>
        <v>DC</v>
      </c>
      <c r="AN45" s="1" t="str">
        <f>'Replacement plan'!$AE$16</f>
        <v>Assumed</v>
      </c>
      <c r="AO45" s="47">
        <f>IF(AND(C45=1,D45="EV",E45&lt;120),(R45-'Operating costs'!$B$41)*S45+W45*'Operating costs'!$B$12,0)</f>
        <v>0</v>
      </c>
      <c r="AP45" s="41">
        <f>IF(AND(C45=1,D45="EV",E45&lt;120),IF('Operating costs'!$B$68="Hong Seh 200k average",AO45*IFERROR(INDEX(Products!$P$7:$P$13,MATCH(AD45,Products!$A$7:$A$13,0)),"n.a."),'Operating costs'!$B$26),0)</f>
        <v>0</v>
      </c>
      <c r="AQ45" s="40" t="str">
        <f>IF(D45="EV",'Operating costs'!$B$68,"Not applicable")</f>
        <v>Not applicable</v>
      </c>
    </row>
    <row r="46" spans="1:43" ht="24" customHeight="1">
      <c r="A46" s="1" t="str">
        <f>'Replacement plan'!A16</f>
        <v>T010</v>
      </c>
      <c r="B46" s="1">
        <v>3</v>
      </c>
      <c r="C46" s="1">
        <f>IF(COUNTIFS('Fleet register'!$A$7:$A$106,$A46)=1,VLOOKUP($A46,'Fleet register'!$A$7:$S$106,2,FALSE),0)</f>
        <v>0</v>
      </c>
      <c r="D46" s="1" t="str">
        <f>IF('Replacement plan'!$R$16="EV","EV","ICE")</f>
        <v>ICE</v>
      </c>
      <c r="E46" s="1">
        <f>IF(C46=0,0,IF('Replacement plan'!$S$16="",IF('Replacement plan'!$R$16="Keep ICE",IF('Replacement plan'!$M$16="",VLOOKUP($A46,'Fleet register'!$A$7:$S$106,10,FALSE),'Replacement plan'!$M$16),0),'Replacement plan'!$S$16))</f>
        <v>0</v>
      </c>
      <c r="F46" s="16">
        <f>IF(C46=0,0,VLOOKUP($A46,'Fleet register'!$A$7:$S$106,11,FALSE))</f>
        <v>0</v>
      </c>
      <c r="G46" s="16">
        <f>IFERROR(IF(C46=0,0,IF(E46=120,0,IF(D46="ICE",'Replacement plan'!$C$16,IF('Replacement plan'!$D$16="",INDEX(Products!$I$7:$I$13,MATCH('Replacement plan'!$B$16,Products!$A$7:$A$13,0))+'Operating costs'!$B$57,'Replacement plan'!$D$16))*(1+'Operating costs'!$B$50)^(E46/12))),"n.a.")</f>
        <v>0</v>
      </c>
      <c r="H46" s="16">
        <f>IFERROR(IF(C46=0,0,IF('Replacement plan'!$V$16&lt;&gt;"",'Replacement plan'!$V$16,IF(E46=0,F46,VLOOKUP($A46,'Fleet register'!$A$7:$S$106,12,FALSE)+VLOOKUP($A46,'Fleet register'!$A$7:$S$106,13,FALSE)*MAX(0,VLOOKUP($A46,'Fleet register'!$A$7:$S$106,10,FALSE)-E46)/VLOOKUP($A46,'Fleet register'!$A$7:$S$106,14,FALSE)))),"n.a.")</f>
        <v>0</v>
      </c>
      <c r="I46" s="16">
        <f>IF(C46=0,0,IF(E46=120,0,'Replacement plan'!$T$16))</f>
        <v>0</v>
      </c>
      <c r="J46" s="16">
        <f>IF(C46=0,0,IF(P46="Complete",((S46*(R46-'Operating costs'!$B$39))+ROUNDUP(S46*(R46-'Operating costs'!$B$39)*IF('Replacement plan'!$AG$16="",'Operating costs'!$B$7,'Replacement plan'!$AG$16)/('Operating costs'!$B$8-'Operating costs'!$B$9*IF('Replacement plan'!$AG$16="",'Operating costs'!$B$7,'Replacement plan'!$AG$16)),0)*'Operating costs'!$B$9)*IF('Replacement plan'!$AG$16="",'Operating costs'!$B$7,'Replacement plan'!$AG$16)*('Energy and charging'!$C$9*'Energy and charging'!$C$7+(1-'Energy and charging'!$C$9)*'Energy and charging'!$C$8)*'Operating costs'!$B$23,"n.a."))</f>
        <v>0</v>
      </c>
      <c r="K46" s="16">
        <f>IF(C46=0,0,IF(P46="Complete",SUM('Operating costs'!$B$24,'Operating costs'!$B$27,'Operating costs'!$B$29,'Operating costs'!$B$31,'Operating costs'!$B$33,'Operating costs'!$B$34,'Operating costs'!$B$37,'Replacement plan'!$W$16)+'Operating costs'!$B$39*'Operating costs'!$B$42+ROUNDUP(S46*(R46-'Operating costs'!$B$39)*IF('Replacement plan'!$AG$16="",'Operating costs'!$B$7,'Replacement plan'!$AG$16)/('Operating costs'!$B$8-'Operating costs'!$B$9*IF('Replacement plan'!$AG$16="",'Operating costs'!$B$7,'Replacement plan'!$AG$16)),0)*('Operating costs'!$B$9/'Operating costs'!$B$11+'Operating costs'!$B$10/60)*'Operating costs'!$B$19*'Operating costs'!$B$21,"n.a."))</f>
        <v>0</v>
      </c>
      <c r="L46" s="16">
        <f>IF(C46=0,0,IF(P46="Complete",IF(D46="EV",X46*((1-T46)*'Energy and charging'!$C$10+T46*'Energy and charging'!$C$11)*'Operating costs'!$B$22,AA46*('Energy and charging'!$C$9*'Energy and charging'!$C$7+(1-'Energy and charging'!$C$9)*'Energy and charging'!$C$8)*'Operating costs'!$B$23),"n.a."))</f>
        <v>0</v>
      </c>
      <c r="M46" s="37">
        <f>IF(C46=0,0,IF(P46="Complete",IF(D46="ICE",SUM('Operating costs'!$B$25,'Operating costs'!$B$27,'Operating costs'!$B$29,'Operating costs'!$B$31,'Operating costs'!$B$33,'Operating costs'!$B$35,'Operating costs'!$B$37,'Replacement plan'!$X$16)+'Operating costs'!$B$40*'Operating costs'!$B$42+ROUNDUP(S46*(R46-'Operating costs'!$B$40)*IF('Replacement plan'!$AH$16="",'Operating costs'!$B$7,'Replacement plan'!$AH$16)/('Operating costs'!$B$8-'Operating costs'!$B$9*IF('Replacement plan'!$AH$16="",'Operating costs'!$B$7,'Replacement plan'!$AH$16)),0)*('Operating costs'!$B$9/'Operating costs'!$B$11+'Operating costs'!$B$10/60)*'Operating costs'!$B$19*'Operating costs'!$B$21,SUM(AP46,'Operating costs'!$B$28,'Operating costs'!$B$30,'Operating costs'!$B$32,'Operating costs'!$B$33,'Operating costs'!$B$36,'Operating costs'!$B$38,'Replacement plan'!$Y$16)+'Operating costs'!$B$41*'Operating costs'!$B$43+W46*'Operating costs'!$B$15+(T46*X46/'Replacement plan'!$L$16+W46*('Operating costs'!$B$12/'Operating costs'!$B$11+('Operating costs'!$B$13+'Operating costs'!$B$14)/60)+(R46-'Operating costs'!$B$41)*(IF(T46&lt;1,'Operating costs'!$B$16,0)+'Operating costs'!$B$17)/60)*'Operating costs'!$B$19*'Operating costs'!$B$20),"n.a."))</f>
        <v>0</v>
      </c>
      <c r="N46" s="16">
        <f>IF(AND(C46=1,D46="EV",E46&lt;120,E46+'Replacement plan'!$AA$16&lt;=120),'Replacement plan'!$Z$16,0)</f>
        <v>0</v>
      </c>
      <c r="O46" s="1">
        <f>E46+'Replacement plan'!$AA$16</f>
        <v>0</v>
      </c>
      <c r="P46" s="35" t="str">
        <f>IFERROR(IF(C46=0,"Excluded",IF(OR(COUNTIFS('Fleet register'!$A$7:$A$106,A46)&lt;&gt;1,COUNTIFS('Replacement plan'!$A$7:$A$106,A46)&lt;&gt;1),"Duplicate/missing ID",IF(NOT(AND(ISNUMBER(VLOOKUP($A46,'Fleet register'!$A$7:$S$106,5,FALSE)),ISNUMBER(VLOOKUP($A46,'Fleet register'!$A$7:$S$106,6,FALSE)),ISNUMBER(VLOOKUP($A46,'Fleet register'!$A$7:$S$106,10,FALSE)),ISNUMBER(VLOOKUP($A46,'Fleet register'!$A$7:$S$106,11,FALSE)),ISNUMBER(VLOOKUP($A46,'Fleet register'!$A$7:$S$106,12,FALSE)),ISNUMBER(VLOOKUP($A46,'Fleet register'!$A$7:$S$106,13,FALSE)),ISNUMBER(VLOOKUP($A46,'Fleet register'!$A$7:$S$106,14,FALSE)),VLOOKUP($A46,'Fleet register'!$A$7:$S$106,14,FALSE)&gt;0,ISNUMBER('Replacement plan'!$C$16),OR(E46=120,ISNUMBER('Replacement plan'!$T$16)),ISNUMBER(E46))),"Missing vehicle input",IF(OR(E46&lt;0,E46&gt;VLOOKUP($A46,'Fleet register'!$A$7:$S$106,10,FALSE),E46&gt;120,E46&lt;&gt;INT(E46),VLOOKUP($A46,'Fleet register'!$A$7:$S$106,6,FALSE)&lt;=0,VLOOKUP($A46,'Fleet register'!$A$7:$S$106,6,FALSE)&gt;366,VLOOKUP($A46,'Fleet register'!$A$7:$S$106,5,FALSE)&lt;0,VLOOKUP($A46,'Fleet register'!$A$7:$S$106,11,FALSE)&lt;0,I46&lt;0,'Operating costs'!$B$8&lt;='Operating costs'!$B$7*'Operating costs'!$B$9,'Operating costs'!$B$11&lt;=0,'Operating costs'!$B$39&gt;R46,'Operating costs'!$B$40&gt;R46,'Operating costs'!$B$41&gt;R46,NOT(OR('Replacement plan'!$R$16="Keep ICE",'Replacement plan'!$R$16="New ICE",'Replacement plan'!$R$16="EV"))),"Invalid vehicle input",IF(AND(D46="EV",E46&lt;120,OR(NOT(ISNUMBER(U46)),NOT(ISNUMBER(V46)),V46&lt;=0,T46&lt;0,T46&gt;1,'Replacement plan'!$L$16&lt;=0,'Operating costs'!$B$44&lt;0,'Operating costs'!$B$44&gt;=1,'Operating costs'!$B$47&lt;=0,'Operating costs'!$B$47&gt;1,V46*'Operating costs'!$B$47/(1-'Operating costs'!$B$44)&lt;=T46*'Operating costs'!$B$12*U46,AND('Replacement plan'!$Z$16&gt;0,OR('Replacement plan'!$AB$16&lt;&gt;"Yes",'Operating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charging'!$C$8&gt;=0))),ISNUMBER(VLOOKUP($A46,'Fleet register'!$A$7:$S$106,15,FALSE)),ISNUMBER(VLOOKUP($A46,'Fleet register'!$A$7:$S$106,16,FALSE)),ISNUMBER('Replacement plan'!$W$16),ISNUMBER('Replacement plan'!$X$16),OR(E46=120,AND(ISNUMBER(G46),G46&gt;=0)),ISNUMBER(H46),H46&gt;=0,OR(D46&lt;&gt;"EV",E46=120,AND(ISNUMBER('Operating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average",ISNUMBER(IFERROR(INDEX(Products!$P$7:$P$13,MATCH(AD46,Products!$A$7:$A$13,0)),"")))),ISNUMBER('Operating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plan'!$Y$16),ISNUMBER('Replacement plan'!$Z$16),'Replacement plan'!$Z$16&gt;=0,ISNUMBER('Replacement plan'!$AA$16),'Replacement plan'!$AA$16&gt;=0,'Replacement plan'!$AA$16=INT('Replacement plan'!$AA$16),ISNUMBER('Replacement plan'!$L$16))),'Operating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plan'!$AG$16="",'Operating costs'!$B$7,'Replacement plan'!$AG$16)),IF('Replacement plan'!$AG$16="",'Operating costs'!$B$7,'Replacement plan'!$AG$16)&gt;=0,ISNUMBER(IF('Replacement plan'!$AH$16="",'Operating costs'!$B$7,'Replacement plan'!$AH$16)),IF('Replacement plan'!$AH$16="",'Operating costs'!$B$7,'Replacement plan'!$AH$16)&gt;=0,'Operating costs'!$B$8&gt;MAX(IF('Replacement plan'!$AG$16="",'Operating costs'!$B$7,'Replacement plan'!$AG$16),IF('Replacement plan'!$AH$16="",'Operating costs'!$B$7,'Replacement plan'!$AH$16))*'Operating costs'!$B$9),IF(AND(VLOOKUP($A46,'Fleet register'!$A$7:$S$106,10,FALSE)&gt;=0,VLOOKUP($A46,'Fleet register'!$A$7:$S$106,10,FALSE)&lt;=120,VLOOKUP($A46,'Fleet register'!$A$7:$S$106,10,FALSE)=INT(VLOOKUP($A46,'Fleet register'!$A$7:$S$106,10,FALSE)),VLOOKUP($A46,'Fleet register'!$A$7:$S$106,15,FALSE)&gt;=0,VLOOKUP($A46,'Fleet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costs'!$B$67)&gt;=0,OR(D46&lt;&gt;"EV",E46=120,AND(MIN('Operating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46" s="1" t="str">
        <f>IF(C46=0,"Excluded",IF(P46&lt;&gt;"Complete",P46,IF(OR('Replacement plan'!$AD$16&lt;120-E46,AND(D46="EV",E46&lt;120,OR('Replacement plan'!$AC$16&lt;120-E46,'Replacement plan'!$I$16="No",AND(ISNUMBER(AF46),AE46&gt;AF46),AI46&gt;V46*(1-'Operating costs'!$B$46)^MAX(0,AB46-1)*(1-'Operating costs'!$B$45),AC46&gt;'Operating costs'!$B$18,AND(T46&lt;1,OR(AG46&lt;=0,AND(ISNUMBER(AH46),AG46&gt;AH46))),'Replacement plan'!$L$16&gt;INDEX(Products!$H$7:$H$13,MATCH('Replacement plan'!$B$16,Products!$A$7:$A$13,0))))),"Fails entered limits",IF(AND(D46="EV",E46&lt;120,OR(NOT(ISNUMBER(VLOOKUP($A46,'Fleet register'!$A$7:$S$106,7,FALSE))),NOT(ISNUMBER(VLOOKUP($A46,'Fleet register'!$A$7:$S$106,8,FALSE))),NOT(ISNUMBER(AF46)),'Replacement plan'!$I$16&lt;&gt;"Yes",NOT(ISNUMBER(AH46)),'Operating costs'!$B$59&lt;&gt;"Yes",'Operating costs'!$B$58&lt;&gt;"Yes")),"Unverified","Within entered limits"))))</f>
        <v>Excluded</v>
      </c>
      <c r="R46" s="1">
        <f>IF(C46=0,0,VLOOKUP($A46,'Fleet register'!$A$7:$S$106,6,FALSE))</f>
        <v>0</v>
      </c>
      <c r="S46" s="1">
        <f>IF(C46=0,0,VLOOKUP($A46,'Fleet register'!$A$7:$S$106,5,FALSE))</f>
        <v>0</v>
      </c>
      <c r="T46" s="1">
        <f>IF(D46="EV",'Energy and charging'!$C$12,0)</f>
        <v>0</v>
      </c>
      <c r="U46" s="1">
        <f>IFERROR(IF(C46=0,0,IF(D46="EV",IF('Replacement plan'!$F$16="",INDEX(Products!$E$7:$E$13,MATCH('Replacement plan'!$B$16,Products!$A$7:$A$13,0)),'Replacement plan'!$F$16)/IF('Replacement plan'!$G$16="Battery",1-'Operating costs'!$B$44,1),0)),"n.a.")</f>
        <v>0</v>
      </c>
      <c r="V46" s="1">
        <f>IFERROR(IF(C46=0,0,IF(D46="EV",IF('Replacement plan'!$E$16="",INDEX(Products!$D$7:$D$13,MATCH('Replacement plan'!$B$16,Products!$A$7:$A$13,0)),'Replacement plan'!$E$16),0)),"n.a.")</f>
        <v>0</v>
      </c>
      <c r="W46" s="1">
        <f>IF(C46=0,0,IF(AND(P46="Complete",D46="EV",E46&lt;120),IF(T46=0,0,ROUNDUP(T46*(R46-'Operating costs'!$B$41)*(S46*U46+'Operating costs'!$B$48/(1-'Operating costs'!$B$44))/(V46*'Operating costs'!$B$47/(1-'Operating costs'!$B$44)-T46*'Operating costs'!$B$12*U46),0)),0))</f>
        <v>0</v>
      </c>
      <c r="X46" s="1">
        <f>IF(C46=0,0,IF(AND(P46="Complete",D46="EV",E46&lt;120),(R46-'Operating costs'!$B$41)*(S46*U46+'Operating costs'!$B$48/(1-'Operating costs'!$B$44))+W46*'Operating costs'!$B$12*U46,0))</f>
        <v>0</v>
      </c>
      <c r="Y46" s="1">
        <f>IF(AND(C46=1,D46="EV",E46&lt;120),AI46/(1-'Operating costs'!$B$44)*(1-T46),0)</f>
        <v>0</v>
      </c>
      <c r="Z46" s="1">
        <f t="shared" si="0"/>
        <v>0</v>
      </c>
      <c r="AA46" s="1">
        <f>IF(C46=0,0,IF(P46="Complete",((S46*(R46-'Operating costs'!$B$40))+ROUNDUP(S46*(R46-'Operating costs'!$B$40)*IF('Replacement plan'!$AH$16="",'Operating costs'!$B$7,'Replacement plan'!$AH$16)/('Operating costs'!$B$8-'Operating costs'!$B$9*IF('Replacement plan'!$AH$16="",'Operating costs'!$B$7,'Replacement plan'!$AH$16)),0)*'Operating costs'!$B$9)*IF('Replacement plan'!$AH$16="",'Operating costs'!$B$7,'Replacement plan'!$AH$16),"n.a."))</f>
        <v>0</v>
      </c>
      <c r="AB46" s="1">
        <f t="shared" si="1"/>
        <v>0</v>
      </c>
      <c r="AC46" s="1">
        <f>IF(AND(C46=1,D46="EV",E46&lt;120,T46&gt;0),'Operating costs'!$B$12/'Operating costs'!$B$11*60+'Operating costs'!$B$13+'Operating costs'!$B$14+V46*'Operating costs'!$B$47/(1-'Operating costs'!$B$44)/'Replacement plan'!$L$16*60,0)</f>
        <v>0</v>
      </c>
      <c r="AD46" s="1" t="str">
        <f>'Replacement plan'!$B$16</f>
        <v>ChengLong L2EV</v>
      </c>
      <c r="AE46" s="1">
        <f>IF(C46=0,0,VLOOKUP($A46,'Fleet register'!$A$7:$S$106,8,FALSE))</f>
        <v>0</v>
      </c>
      <c r="AF46" s="1" t="str">
        <f>IF('Replacement plan'!$H$16="","n.a.",'Replacement plan'!$H$16)</f>
        <v>n.a.</v>
      </c>
      <c r="AG46" s="1">
        <f>'Replacement plan'!$J$16</f>
        <v>22</v>
      </c>
      <c r="AH46" s="1">
        <f>IFERROR(IF(D46="EV",IF('Replacement plan'!$K$16="AC",IF(ISNUMBER(INDEX(Products!$G$7:$G$13,MATCH('Replacement plan'!$B$16,Products!$A$7:$A$13,0))),INDEX(Products!$G$7:$G$13,MATCH('Replacement plan'!$B$16,Products!$A$7:$A$13,0)),"n.a."),IF(ISNUMBER(INDEX(Products!$H$7:$H$13,MATCH('Replacement plan'!$B$16,Products!$A$7:$A$13,0))),INDEX(Products!$H$7:$H$13,MATCH('Replacement plan'!$B$16,Products!$A$7:$A$13,0)),"n.a.")),0),"n.a.")</f>
        <v>0</v>
      </c>
      <c r="AI46" s="1">
        <f>IF(AND(C46=1,D46="EV",E46&lt;120),(VLOOKUP($A46,'Fleet register'!$A$7:$S$106,7,FALSE)+IF(T46&gt;0,'Operating costs'!$B$12,0))*U46*(1-'Operating costs'!$B$44)+'Operating costs'!$B$49,0)</f>
        <v>0</v>
      </c>
      <c r="AJ46" s="1">
        <f>IF(D46="EV",'Energy and charging'!$C$50,0)</f>
        <v>0</v>
      </c>
      <c r="AK46" s="17">
        <f>EDATE('Operating costs'!$B$63,E46)</f>
        <v>46298</v>
      </c>
      <c r="AL46" s="1">
        <f>IFERROR(IF(D46="EV",INDEX(Products!$B$7:$B$13,MATCH('Replacement plan'!$B$16,Products!$A$7:$A$13,0)),0),"n.a.")</f>
        <v>0</v>
      </c>
      <c r="AM46" s="1" t="str">
        <f>'Replacement plan'!$K$16</f>
        <v>DC</v>
      </c>
      <c r="AN46" s="1" t="str">
        <f>'Replacement plan'!$AE$16</f>
        <v>Assumed</v>
      </c>
      <c r="AO46" s="47">
        <f>IF(AND(C46=1,D46="EV",E46&lt;120),(R46-'Operating costs'!$B$41)*S46+W46*'Operating costs'!$B$12,0)</f>
        <v>0</v>
      </c>
      <c r="AP46" s="41">
        <f>IF(AND(C46=1,D46="EV",E46&lt;120),IF('Operating costs'!$B$68="Hong Seh 200k average",AO46*IFERROR(INDEX(Products!$P$7:$P$13,MATCH(AD46,Products!$A$7:$A$13,0)),"n.a."),'Operating costs'!$B$26),0)</f>
        <v>0</v>
      </c>
      <c r="AQ46" s="40" t="str">
        <f>IF(D46="EV",'Operating costs'!$B$68,"Not applicable")</f>
        <v>Not applicable</v>
      </c>
    </row>
    <row r="47" spans="1:43" ht="24" customHeight="1">
      <c r="A47" s="1" t="str">
        <f>'Replacement plan'!A17</f>
        <v>T011</v>
      </c>
      <c r="B47" s="1">
        <v>0</v>
      </c>
      <c r="C47" s="1">
        <f>IF(COUNTIFS('Fleet register'!$A$7:$A$106,$A47)=1,VLOOKUP($A47,'Fleet register'!$A$7:$S$106,2,FALSE),0)</f>
        <v>0</v>
      </c>
      <c r="D47" s="1" t="str">
        <f>IF("Keep ICE"="EV","EV","ICE")</f>
        <v>ICE</v>
      </c>
      <c r="E47" s="1">
        <f>IF(C47=0,0,IF('Replacement plan'!$M$17="",VLOOKUP($A47,'Fleet register'!$A$7:$S$106,10,FALSE),'Replacement plan'!$M$17))</f>
        <v>0</v>
      </c>
      <c r="F47" s="16">
        <f>IF(C47=0,0,VLOOKUP($A47,'Fleet register'!$A$7:$S$106,11,FALSE))</f>
        <v>0</v>
      </c>
      <c r="G47" s="16">
        <f>IFERROR(IF(C47=0,0,IF(E47=120,0,IF(D47="ICE",'Replacement plan'!$C$17,IF('Replacement plan'!$D$17="",INDEX(Products!$I$7:$I$13,MATCH('Replacement plan'!$B$17,Products!$A$7:$A$13,0))+'Operating costs'!$B$57,'Replacement plan'!$D$17))*(1+'Operating costs'!$B$50)^(E47/12))),"n.a.")</f>
        <v>0</v>
      </c>
      <c r="H47" s="16">
        <f>IFERROR(IF(C47=0,0,IF(E47=0,F47,VLOOKUP($A47,'Fleet register'!$A$7:$S$106,12,FALSE)+VLOOKUP($A47,'Fleet register'!$A$7:$S$106,13,FALSE)*MAX(0,VLOOKUP($A47,'Fleet register'!$A$7:$S$106,10,FALSE)-E47)/VLOOKUP($A47,'Fleet register'!$A$7:$S$106,14,FALSE))),"n.a.")</f>
        <v>0</v>
      </c>
      <c r="I47" s="16">
        <f>IF(C47=0,0,IF(E47=120,0,'Replacement plan'!$N$17))</f>
        <v>0</v>
      </c>
      <c r="J47" s="16">
        <f>IF(C47=0,0,IF(P47="Complete",((S47*(R47-'Operating costs'!$B$39))+ROUNDUP(S47*(R47-'Operating costs'!$B$39)*IF('Replacement plan'!$AG$17="",'Operating costs'!$B$7,'Replacement plan'!$AG$17)/('Operating costs'!$B$8-'Operating costs'!$B$9*IF('Replacement plan'!$AG$17="",'Operating costs'!$B$7,'Replacement plan'!$AG$17)),0)*'Operating costs'!$B$9)*IF('Replacement plan'!$AG$17="",'Operating costs'!$B$7,'Replacement plan'!$AG$17)*('Energy and charging'!$B$9*'Energy and charging'!$B$7+(1-'Energy and charging'!$B$9)*'Energy and charging'!$B$8)*'Operating costs'!$B$23,"n.a."))</f>
        <v>0</v>
      </c>
      <c r="K47" s="16">
        <f>IF(C47=0,0,IF(P47="Complete",SUM('Operating costs'!$B$24,'Operating costs'!$B$27,'Operating costs'!$B$29,'Operating costs'!$B$31,'Operating costs'!$B$33,'Operating costs'!$B$34,'Operating costs'!$B$37,'Replacement plan'!$W$17)+'Operating costs'!$B$39*'Operating costs'!$B$42+ROUNDUP(S47*(R47-'Operating costs'!$B$39)*IF('Replacement plan'!$AG$17="",'Operating costs'!$B$7,'Replacement plan'!$AG$17)/('Operating costs'!$B$8-'Operating costs'!$B$9*IF('Replacement plan'!$AG$17="",'Operating costs'!$B$7,'Replacement plan'!$AG$17)),0)*('Operating costs'!$B$9/'Operating costs'!$B$11+'Operating costs'!$B$10/60)*'Operating costs'!$B$19*'Operating costs'!$B$21,"n.a."))</f>
        <v>0</v>
      </c>
      <c r="L47" s="16">
        <f>IF(C47=0,0,IF(P47="Complete",IF(D47="EV",X47*((1-T47)*'Energy and charging'!$B$10+T47*'Energy and charging'!$B$11)*'Operating costs'!$B$22,AA47*('Energy and charging'!$B$9*'Energy and charging'!$B$7+(1-'Energy and charging'!$B$9)*'Energy and charging'!$B$8)*'Operating costs'!$B$23),"n.a."))</f>
        <v>0</v>
      </c>
      <c r="M47" s="37">
        <f>IF(C47=0,0,IF(P47="Complete",IF(D47="ICE",SUM('Operating costs'!$B$25,'Operating costs'!$B$27,'Operating costs'!$B$29,'Operating costs'!$B$31,'Operating costs'!$B$33,'Operating costs'!$B$35,'Operating costs'!$B$37,'Replacement plan'!$X$17)+'Operating costs'!$B$40*'Operating costs'!$B$42+ROUNDUP(S47*(R47-'Operating costs'!$B$40)*IF('Replacement plan'!$AH$17="",'Operating costs'!$B$7,'Replacement plan'!$AH$17)/('Operating costs'!$B$8-'Operating costs'!$B$9*IF('Replacement plan'!$AH$17="",'Operating costs'!$B$7,'Replacement plan'!$AH$17)),0)*('Operating costs'!$B$9/'Operating costs'!$B$11+'Operating costs'!$B$10/60)*'Operating costs'!$B$19*'Operating costs'!$B$21,SUM(AP47,'Operating costs'!$B$28,'Operating costs'!$B$30,'Operating costs'!$B$32,'Operating costs'!$B$33,'Operating costs'!$B$36,'Operating costs'!$B$38,'Replacement plan'!$Y$17)+'Operating costs'!$B$41*'Operating costs'!$B$43+W47*'Operating costs'!$B$15+(T47*X47/'Replacement plan'!$L$17+W47*('Operating costs'!$B$12/'Operating costs'!$B$11+('Operating costs'!$B$13+'Operating costs'!$B$14)/60)+(R47-'Operating costs'!$B$41)*(IF(T47&lt;1,'Operating costs'!$B$16,0)+'Operating costs'!$B$17)/60)*'Operating costs'!$B$19*'Operating costs'!$B$20),"n.a."))</f>
        <v>0</v>
      </c>
      <c r="N47" s="16">
        <f>IF(AND(C47=1,D47="EV",E47&lt;120,E47+'Replacement plan'!$AA$17&lt;=120),'Replacement plan'!$Z$17,0)</f>
        <v>0</v>
      </c>
      <c r="O47" s="1">
        <f>E47+'Replacement plan'!$AA$17</f>
        <v>0</v>
      </c>
      <c r="P47" s="35" t="str">
        <f>IFERROR(IF(C47=0,"Excluded",IF(OR(COUNTIFS('Fleet register'!$A$7:$A$106,A47)&lt;&gt;1,COUNTIFS('Replacement plan'!$A$7:$A$106,A47)&lt;&gt;1),"Duplicate/missing ID",IF(NOT(AND(ISNUMBER(VLOOKUP($A47,'Fleet register'!$A$7:$S$106,5,FALSE)),ISNUMBER(VLOOKUP($A47,'Fleet register'!$A$7:$S$106,6,FALSE)),ISNUMBER(VLOOKUP($A47,'Fleet register'!$A$7:$S$106,10,FALSE)),ISNUMBER(VLOOKUP($A47,'Fleet register'!$A$7:$S$106,11,FALSE)),ISNUMBER(VLOOKUP($A47,'Fleet register'!$A$7:$S$106,12,FALSE)),ISNUMBER(VLOOKUP($A47,'Fleet register'!$A$7:$S$106,13,FALSE)),ISNUMBER(VLOOKUP($A47,'Fleet register'!$A$7:$S$106,14,FALSE)),VLOOKUP($A47,'Fleet register'!$A$7:$S$106,14,FALSE)&gt;0,ISNUMBER('Replacement plan'!$C$17),OR(E47=120,ISNUMBER('Replacement plan'!$N$17)),ISNUMBER(E47))),"Missing vehicle input",IF(OR(E47&lt;0,E47&gt;VLOOKUP($A47,'Fleet register'!$A$7:$S$106,10,FALSE),E47&gt;120,E47&lt;&gt;INT(E47),VLOOKUP($A47,'Fleet register'!$A$7:$S$106,6,FALSE)&lt;=0,VLOOKUP($A47,'Fleet register'!$A$7:$S$106,6,FALSE)&gt;366,VLOOKUP($A47,'Fleet register'!$A$7:$S$106,5,FALSE)&lt;0,VLOOKUP($A47,'Fleet register'!$A$7:$S$106,11,FALSE)&lt;0,I47&lt;0,'Operating costs'!$B$8&lt;='Operating costs'!$B$7*'Operating costs'!$B$9,'Operating costs'!$B$11&lt;=0,'Operating costs'!$B$39&gt;R47,'Operating costs'!$B$40&gt;R47,'Operating costs'!$B$41&gt;R47,NOT(OR("Keep ICE"="Keep ICE","Keep ICE"="New ICE","Keep ICE"="EV"))),"Invalid vehicle input",IF(AND(D47="EV",E47&lt;120,OR(NOT(ISNUMBER(U47)),NOT(ISNUMBER(V47)),V47&lt;=0,T47&lt;0,T47&gt;1,'Replacement plan'!$L$17&lt;=0,'Operating costs'!$B$44&lt;0,'Operating costs'!$B$44&gt;=1,'Operating costs'!$B$47&lt;=0,'Operating costs'!$B$47&gt;1,V47*'Operating costs'!$B$47/(1-'Operating costs'!$B$44)&lt;=T47*'Operating costs'!$B$12*U47,AND('Replacement plan'!$Z$17&gt;0,OR('Replacement plan'!$AB$17&lt;&gt;"Yes",'Operating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charging'!$B$8&gt;=0))),ISNUMBER(VLOOKUP($A47,'Fleet register'!$A$7:$S$106,15,FALSE)),ISNUMBER(VLOOKUP($A47,'Fleet register'!$A$7:$S$106,16,FALSE)),ISNUMBER('Replacement plan'!$W$17),ISNUMBER('Replacement plan'!$X$17),OR(E47=120,AND(ISNUMBER(G47),G47&gt;=0)),ISNUMBER(H47),H47&gt;=0,OR(D47&lt;&gt;"EV",E47=120,AND(ISNUMBER('Operating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average",ISNUMBER(IFERROR(INDEX(Products!$P$7:$P$13,MATCH(AD47,Products!$A$7:$A$13,0)),"")))),ISNUMBER('Operating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plan'!$Y$17),ISNUMBER('Replacement plan'!$Z$17),'Replacement plan'!$Z$17&gt;=0,ISNUMBER('Replacement plan'!$AA$17),'Replacement plan'!$AA$17&gt;=0,'Replacement plan'!$AA$17=INT('Replacement plan'!$AA$17),ISNUMBER('Replacement plan'!$L$17))),'Operating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plan'!$AG$17="",'Operating costs'!$B$7,'Replacement plan'!$AG$17)),IF('Replacement plan'!$AG$17="",'Operating costs'!$B$7,'Replacement plan'!$AG$17)&gt;=0,ISNUMBER(IF('Replacement plan'!$AH$17="",'Operating costs'!$B$7,'Replacement plan'!$AH$17)),IF('Replacement plan'!$AH$17="",'Operating costs'!$B$7,'Replacement plan'!$AH$17)&gt;=0,'Operating costs'!$B$8&gt;MAX(IF('Replacement plan'!$AG$17="",'Operating costs'!$B$7,'Replacement plan'!$AG$17),IF('Replacement plan'!$AH$17="",'Operating costs'!$B$7,'Replacement plan'!$AH$17))*'Operating costs'!$B$9),IF(AND(VLOOKUP($A47,'Fleet register'!$A$7:$S$106,10,FALSE)&gt;=0,VLOOKUP($A47,'Fleet register'!$A$7:$S$106,10,FALSE)&lt;=120,VLOOKUP($A47,'Fleet register'!$A$7:$S$106,10,FALSE)=INT(VLOOKUP($A47,'Fleet register'!$A$7:$S$106,10,FALSE)),VLOOKUP($A47,'Fleet register'!$A$7:$S$106,15,FALSE)&gt;=0,VLOOKUP($A47,'Fleet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costs'!$B$67)&gt;=0,OR(D47&lt;&gt;"EV",E47=120,AND(MIN('Operating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47" s="1" t="str">
        <f>IF(C47=0,"Excluded",IF(P47&lt;&gt;"Complete",P47,IF(OR('Replacement plan'!$AD$17&lt;120-E47,AND(D47="EV",E47&lt;120,OR('Replacement plan'!$AC$17&lt;120-E47,'Replacement plan'!$I$17="No",AND(ISNUMBER(AF47),AE47&gt;AF47),AI47&gt;V47*(1-'Operating costs'!$B$46)^MAX(0,AB47-1)*(1-'Operating costs'!$B$45),AC47&gt;'Operating costs'!$B$18,AND(T47&lt;1,OR(AG47&lt;=0,AND(ISNUMBER(AH47),AG47&gt;AH47))),'Replacement plan'!$L$17&gt;INDEX(Products!$H$7:$H$13,MATCH('Replacement plan'!$B$17,Products!$A$7:$A$13,0))))),"Fails entered limits",IF(AND(D47="EV",E47&lt;120,OR(NOT(ISNUMBER(VLOOKUP($A47,'Fleet register'!$A$7:$S$106,7,FALSE))),NOT(ISNUMBER(VLOOKUP($A47,'Fleet register'!$A$7:$S$106,8,FALSE))),NOT(ISNUMBER(AF47)),'Replacement plan'!$I$17&lt;&gt;"Yes",NOT(ISNUMBER(AH47)),'Operating costs'!$B$59&lt;&gt;"Yes",'Operating costs'!$B$58&lt;&gt;"Yes")),"Unverified","Within entered limits"))))</f>
        <v>Excluded</v>
      </c>
      <c r="R47" s="1">
        <f>IF(C47=0,0,VLOOKUP($A47,'Fleet register'!$A$7:$S$106,6,FALSE))</f>
        <v>0</v>
      </c>
      <c r="S47" s="1">
        <f>IF(C47=0,0,VLOOKUP($A47,'Fleet register'!$A$7:$S$106,5,FALSE))</f>
        <v>0</v>
      </c>
      <c r="T47" s="1">
        <f>IF(D47="EV",'Energy and charging'!$B$12,0)</f>
        <v>0</v>
      </c>
      <c r="U47" s="1">
        <f>IFERROR(IF(C47=0,0,IF(D47="EV",IF('Replacement plan'!$F$17="",INDEX(Products!$E$7:$E$13,MATCH('Replacement plan'!$B$17,Products!$A$7:$A$13,0)),'Replacement plan'!$F$17)/IF('Replacement plan'!$G$17="Battery",1-'Operating costs'!$B$44,1),0)),"n.a.")</f>
        <v>0</v>
      </c>
      <c r="V47" s="1">
        <f>IFERROR(IF(C47=0,0,IF(D47="EV",IF('Replacement plan'!$E$17="",INDEX(Products!$D$7:$D$13,MATCH('Replacement plan'!$B$17,Products!$A$7:$A$13,0)),'Replacement plan'!$E$17),0)),"n.a.")</f>
        <v>0</v>
      </c>
      <c r="W47" s="1">
        <f>IF(C47=0,0,IF(AND(P47="Complete",D47="EV",E47&lt;120),IF(T47=0,0,ROUNDUP(T47*(R47-'Operating costs'!$B$41)*(S47*U47+'Operating costs'!$B$48/(1-'Operating costs'!$B$44))/(V47*'Operating costs'!$B$47/(1-'Operating costs'!$B$44)-T47*'Operating costs'!$B$12*U47),0)),0))</f>
        <v>0</v>
      </c>
      <c r="X47" s="1">
        <f>IF(C47=0,0,IF(AND(P47="Complete",D47="EV",E47&lt;120),(R47-'Operating costs'!$B$41)*(S47*U47+'Operating costs'!$B$48/(1-'Operating costs'!$B$44))+W47*'Operating costs'!$B$12*U47,0))</f>
        <v>0</v>
      </c>
      <c r="Y47" s="1">
        <f>IF(AND(C47=1,D47="EV",E47&lt;120),AI47/(1-'Operating costs'!$B$44)*(1-T47),0)</f>
        <v>0</v>
      </c>
      <c r="Z47" s="1">
        <f t="shared" si="0"/>
        <v>0</v>
      </c>
      <c r="AA47" s="1">
        <f>IF(C47=0,0,IF(P47="Complete",((S47*(R47-'Operating costs'!$B$40))+ROUNDUP(S47*(R47-'Operating costs'!$B$40)*IF('Replacement plan'!$AH$17="",'Operating costs'!$B$7,'Replacement plan'!$AH$17)/('Operating costs'!$B$8-'Operating costs'!$B$9*IF('Replacement plan'!$AH$17="",'Operating costs'!$B$7,'Replacement plan'!$AH$17)),0)*'Operating costs'!$B$9)*IF('Replacement plan'!$AH$17="",'Operating costs'!$B$7,'Replacement plan'!$AH$17),"n.a."))</f>
        <v>0</v>
      </c>
      <c r="AB47" s="1">
        <f t="shared" si="1"/>
        <v>0</v>
      </c>
      <c r="AC47" s="1">
        <f>IF(AND(C47=1,D47="EV",E47&lt;120,T47&gt;0),'Operating costs'!$B$12/'Operating costs'!$B$11*60+'Operating costs'!$B$13+'Operating costs'!$B$14+V47*'Operating costs'!$B$47/(1-'Operating costs'!$B$44)/'Replacement plan'!$L$17*60,0)</f>
        <v>0</v>
      </c>
      <c r="AD47" s="1" t="str">
        <f>'Replacement plan'!$B$17</f>
        <v>ChengLong L2EV</v>
      </c>
      <c r="AE47" s="1">
        <f>IF(C47=0,0,VLOOKUP($A47,'Fleet register'!$A$7:$S$106,8,FALSE))</f>
        <v>0</v>
      </c>
      <c r="AF47" s="1" t="str">
        <f>IF('Replacement plan'!$H$17="","n.a.",'Replacement plan'!$H$17)</f>
        <v>n.a.</v>
      </c>
      <c r="AG47" s="1">
        <f>'Replacement plan'!$J$17</f>
        <v>22</v>
      </c>
      <c r="AH47" s="1">
        <f>IFERROR(IF(D47="EV",IF('Replacement plan'!$K$17="AC",IF(ISNUMBER(INDEX(Products!$G$7:$G$13,MATCH('Replacement plan'!$B$17,Products!$A$7:$A$13,0))),INDEX(Products!$G$7:$G$13,MATCH('Replacement plan'!$B$17,Products!$A$7:$A$13,0)),"n.a."),IF(ISNUMBER(INDEX(Products!$H$7:$H$13,MATCH('Replacement plan'!$B$17,Products!$A$7:$A$13,0))),INDEX(Products!$H$7:$H$13,MATCH('Replacement plan'!$B$17,Products!$A$7:$A$13,0)),"n.a.")),0),"n.a.")</f>
        <v>0</v>
      </c>
      <c r="AI47" s="1">
        <f>IF(AND(C47=1,D47="EV",E47&lt;120),(VLOOKUP($A47,'Fleet register'!$A$7:$S$106,7,FALSE)+IF(T47&gt;0,'Operating costs'!$B$12,0))*U47*(1-'Operating costs'!$B$44)+'Operating costs'!$B$49,0)</f>
        <v>0</v>
      </c>
      <c r="AJ47" s="1">
        <f>IF(D47="EV",'Energy and charging'!$B$50,0)</f>
        <v>0</v>
      </c>
      <c r="AK47" s="17">
        <f>EDATE('Operating costs'!$B$63,E47)</f>
        <v>46298</v>
      </c>
      <c r="AL47" s="1">
        <f>IFERROR(IF(D47="EV",INDEX(Products!$B$7:$B$13,MATCH('Replacement plan'!$B$17,Products!$A$7:$A$13,0)),0),"n.a.")</f>
        <v>0</v>
      </c>
      <c r="AM47" s="1" t="str">
        <f>'Replacement plan'!$K$17</f>
        <v>DC</v>
      </c>
      <c r="AN47" s="1" t="str">
        <f>'Replacement plan'!$AE$17</f>
        <v>Assumed</v>
      </c>
      <c r="AO47" s="47">
        <f>IF(AND(C47=1,D47="EV",E47&lt;120),(R47-'Operating costs'!$B$41)*S47+W47*'Operating costs'!$B$12,0)</f>
        <v>0</v>
      </c>
      <c r="AP47" s="41">
        <f>IF(AND(C47=1,D47="EV",E47&lt;120),IF('Operating costs'!$B$68="Hong Seh 200k average",AO47*IFERROR(INDEX(Products!$P$7:$P$13,MATCH(AD47,Products!$A$7:$A$13,0)),"n.a."),'Operating costs'!$B$26),0)</f>
        <v>0</v>
      </c>
      <c r="AQ47" s="40" t="str">
        <f>IF(D47="EV",'Operating costs'!$B$68,"Not applicable")</f>
        <v>Not applicable</v>
      </c>
    </row>
    <row r="48" spans="1:43" ht="24" customHeight="1">
      <c r="A48" s="1" t="str">
        <f>'Replacement plan'!A17</f>
        <v>T011</v>
      </c>
      <c r="B48" s="1">
        <v>1</v>
      </c>
      <c r="C48" s="1">
        <f>IF(COUNTIFS('Fleet register'!$A$7:$A$106,$A48)=1,VLOOKUP($A48,'Fleet register'!$A$7:$S$106,2,FALSE),0)</f>
        <v>0</v>
      </c>
      <c r="D48" s="1" t="str">
        <f>IF("New ICE"="EV","EV","ICE")</f>
        <v>ICE</v>
      </c>
      <c r="E48" s="1">
        <f>IF(C48=0,0,0)</f>
        <v>0</v>
      </c>
      <c r="F48" s="16">
        <f>IF(C48=0,0,VLOOKUP($A48,'Fleet register'!$A$7:$S$106,11,FALSE))</f>
        <v>0</v>
      </c>
      <c r="G48" s="16">
        <f>IFERROR(IF(C48=0,0,IF(E48=120,0,IF(D48="ICE",'Replacement plan'!$C$17,IF('Replacement plan'!$D$17="",INDEX(Products!$I$7:$I$13,MATCH('Replacement plan'!$B$17,Products!$A$7:$A$13,0))+'Operating costs'!$B$57,'Replacement plan'!$D$17))*(1+'Operating costs'!$B$50)^(E48/12))),"n.a.")</f>
        <v>0</v>
      </c>
      <c r="H48" s="16">
        <f>IFERROR(IF(C48=0,0,IF(E48=0,F48,VLOOKUP($A48,'Fleet register'!$A$7:$S$106,12,FALSE)+VLOOKUP($A48,'Fleet register'!$A$7:$S$106,13,FALSE)*MAX(0,VLOOKUP($A48,'Fleet register'!$A$7:$S$106,10,FALSE)-E48)/VLOOKUP($A48,'Fleet register'!$A$7:$S$106,14,FALSE))),"n.a.")</f>
        <v>0</v>
      </c>
      <c r="I48" s="16">
        <f>IF(C48=0,0,IF(E48=120,0,IF('Replacement plan'!$AI$17="",'Operating costs'!$B$56,'Replacement plan'!$AI$17)))</f>
        <v>0</v>
      </c>
      <c r="J48" s="16">
        <f>IF(C48=0,0,IF(P48="Complete",((S48*(R48-'Operating costs'!$B$39))+ROUNDUP(S48*(R48-'Operating costs'!$B$39)*IF('Replacement plan'!$AG$17="",'Operating costs'!$B$7,'Replacement plan'!$AG$17)/('Operating costs'!$B$8-'Operating costs'!$B$9*IF('Replacement plan'!$AG$17="",'Operating costs'!$B$7,'Replacement plan'!$AG$17)),0)*'Operating costs'!$B$9)*IF('Replacement plan'!$AG$17="",'Operating costs'!$B$7,'Replacement plan'!$AG$17)*('Energy and charging'!$B$9*'Energy and charging'!$B$7+(1-'Energy and charging'!$B$9)*'Energy and charging'!$B$8)*'Operating costs'!$B$23,"n.a."))</f>
        <v>0</v>
      </c>
      <c r="K48" s="16">
        <f>IF(C48=0,0,IF(P48="Complete",SUM('Operating costs'!$B$24,'Operating costs'!$B$27,'Operating costs'!$B$29,'Operating costs'!$B$31,'Operating costs'!$B$33,'Operating costs'!$B$34,'Operating costs'!$B$37,'Replacement plan'!$W$17)+'Operating costs'!$B$39*'Operating costs'!$B$42+ROUNDUP(S48*(R48-'Operating costs'!$B$39)*IF('Replacement plan'!$AG$17="",'Operating costs'!$B$7,'Replacement plan'!$AG$17)/('Operating costs'!$B$8-'Operating costs'!$B$9*IF('Replacement plan'!$AG$17="",'Operating costs'!$B$7,'Replacement plan'!$AG$17)),0)*('Operating costs'!$B$9/'Operating costs'!$B$11+'Operating costs'!$B$10/60)*'Operating costs'!$B$19*'Operating costs'!$B$21,"n.a."))</f>
        <v>0</v>
      </c>
      <c r="L48" s="16">
        <f>IF(C48=0,0,IF(P48="Complete",IF(D48="EV",X48*((1-T48)*'Energy and charging'!$B$10+T48*'Energy and charging'!$B$11)*'Operating costs'!$B$22,AA48*('Energy and charging'!$B$9*'Energy and charging'!$B$7+(1-'Energy and charging'!$B$9)*'Energy and charging'!$B$8)*'Operating costs'!$B$23),"n.a."))</f>
        <v>0</v>
      </c>
      <c r="M48" s="37">
        <f>IF(C48=0,0,IF(P48="Complete",IF(D48="ICE",SUM('Operating costs'!$B$25,'Operating costs'!$B$27,'Operating costs'!$B$29,'Operating costs'!$B$31,'Operating costs'!$B$33,'Operating costs'!$B$35,'Operating costs'!$B$37,'Replacement plan'!$X$17)+'Operating costs'!$B$40*'Operating costs'!$B$42+ROUNDUP(S48*(R48-'Operating costs'!$B$40)*IF('Replacement plan'!$AH$17="",'Operating costs'!$B$7,'Replacement plan'!$AH$17)/('Operating costs'!$B$8-'Operating costs'!$B$9*IF('Replacement plan'!$AH$17="",'Operating costs'!$B$7,'Replacement plan'!$AH$17)),0)*('Operating costs'!$B$9/'Operating costs'!$B$11+'Operating costs'!$B$10/60)*'Operating costs'!$B$19*'Operating costs'!$B$21,SUM(AP48,'Operating costs'!$B$28,'Operating costs'!$B$30,'Operating costs'!$B$32,'Operating costs'!$B$33,'Operating costs'!$B$36,'Operating costs'!$B$38,'Replacement plan'!$Y$17)+'Operating costs'!$B$41*'Operating costs'!$B$43+W48*'Operating costs'!$B$15+(T48*X48/'Replacement plan'!$L$17+W48*('Operating costs'!$B$12/'Operating costs'!$B$11+('Operating costs'!$B$13+'Operating costs'!$B$14)/60)+(R48-'Operating costs'!$B$41)*(IF(T48&lt;1,'Operating costs'!$B$16,0)+'Operating costs'!$B$17)/60)*'Operating costs'!$B$19*'Operating costs'!$B$20),"n.a."))</f>
        <v>0</v>
      </c>
      <c r="N48" s="16">
        <f>IF(AND(C48=1,D48="EV",E48&lt;120,E48+'Replacement plan'!$AA$17&lt;=120),'Replacement plan'!$Z$17,0)</f>
        <v>0</v>
      </c>
      <c r="O48" s="1">
        <f>E48+'Replacement plan'!$AA$17</f>
        <v>0</v>
      </c>
      <c r="P48" s="35" t="str">
        <f>IFERROR(IF(C48=0,"Excluded",IF(OR(COUNTIFS('Fleet register'!$A$7:$A$106,A48)&lt;&gt;1,COUNTIFS('Replacement plan'!$A$7:$A$106,A48)&lt;&gt;1),"Duplicate/missing ID",IF(NOT(AND(ISNUMBER(VLOOKUP($A48,'Fleet register'!$A$7:$S$106,5,FALSE)),ISNUMBER(VLOOKUP($A48,'Fleet register'!$A$7:$S$106,6,FALSE)),ISNUMBER(VLOOKUP($A48,'Fleet register'!$A$7:$S$106,10,FALSE)),ISNUMBER(VLOOKUP($A48,'Fleet register'!$A$7:$S$106,11,FALSE)),ISNUMBER(VLOOKUP($A48,'Fleet register'!$A$7:$S$106,12,FALSE)),ISNUMBER(VLOOKUP($A48,'Fleet register'!$A$7:$S$106,13,FALSE)),ISNUMBER(VLOOKUP($A48,'Fleet register'!$A$7:$S$106,14,FALSE)),VLOOKUP($A48,'Fleet register'!$A$7:$S$106,14,FALSE)&gt;0,ISNUMBER('Replacement plan'!$C$17),OR(E48=120,OR(ISNUMBER('Replacement plan'!$AI$17),AND('Replacement plan'!$AI$17="",ISNUMBER('Operating costs'!$B$56)))),ISNUMBER(E48))),"Missing vehicle input",IF(OR(E48&lt;0,E48&gt;VLOOKUP($A48,'Fleet register'!$A$7:$S$106,10,FALSE),E48&gt;120,E48&lt;&gt;INT(E48),VLOOKUP($A48,'Fleet register'!$A$7:$S$106,6,FALSE)&lt;=0,VLOOKUP($A48,'Fleet register'!$A$7:$S$106,6,FALSE)&gt;366,VLOOKUP($A48,'Fleet register'!$A$7:$S$106,5,FALSE)&lt;0,VLOOKUP($A48,'Fleet register'!$A$7:$S$106,11,FALSE)&lt;0,I48&lt;0,'Operating costs'!$B$8&lt;='Operating costs'!$B$7*'Operating costs'!$B$9,'Operating costs'!$B$11&lt;=0,'Operating costs'!$B$39&gt;R48,'Operating costs'!$B$40&gt;R48,'Operating costs'!$B$41&gt;R48,NOT(OR("New ICE"="Keep ICE","New ICE"="New ICE","New ICE"="EV"))),"Invalid vehicle input",IF(AND(D48="EV",E48&lt;120,OR(NOT(ISNUMBER(U48)),NOT(ISNUMBER(V48)),V48&lt;=0,T48&lt;0,T48&gt;1,'Replacement plan'!$L$17&lt;=0,'Operating costs'!$B$44&lt;0,'Operating costs'!$B$44&gt;=1,'Operating costs'!$B$47&lt;=0,'Operating costs'!$B$47&gt;1,V48*'Operating costs'!$B$47/(1-'Operating costs'!$B$44)&lt;=T48*'Operating costs'!$B$12*U48,AND('Replacement plan'!$Z$17&gt;0,OR('Replacement plan'!$AB$17&lt;&gt;"Yes",'Operating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charging'!$B$8&gt;=0))),ISNUMBER(VLOOKUP($A48,'Fleet register'!$A$7:$S$106,15,FALSE)),ISNUMBER(VLOOKUP($A48,'Fleet register'!$A$7:$S$106,16,FALSE)),ISNUMBER('Replacement plan'!$W$17),ISNUMBER('Replacement plan'!$X$17),OR(E48=120,AND(ISNUMBER(G48),G48&gt;=0)),ISNUMBER(H48),H48&gt;=0,OR(D48&lt;&gt;"EV",E48=120,AND(ISNUMBER('Operating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average",ISNUMBER(IFERROR(INDEX(Products!$P$7:$P$13,MATCH(AD48,Products!$A$7:$A$13,0)),"")))),ISNUMBER('Operating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plan'!$Y$17),ISNUMBER('Replacement plan'!$Z$17),'Replacement plan'!$Z$17&gt;=0,ISNUMBER('Replacement plan'!$AA$17),'Replacement plan'!$AA$17&gt;=0,'Replacement plan'!$AA$17=INT('Replacement plan'!$AA$17),ISNUMBER('Replacement plan'!$L$17))),'Operating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plan'!$AG$17="",'Operating costs'!$B$7,'Replacement plan'!$AG$17)),IF('Replacement plan'!$AG$17="",'Operating costs'!$B$7,'Replacement plan'!$AG$17)&gt;=0,ISNUMBER(IF('Replacement plan'!$AH$17="",'Operating costs'!$B$7,'Replacement plan'!$AH$17)),IF('Replacement plan'!$AH$17="",'Operating costs'!$B$7,'Replacement plan'!$AH$17)&gt;=0,'Operating costs'!$B$8&gt;MAX(IF('Replacement plan'!$AG$17="",'Operating costs'!$B$7,'Replacement plan'!$AG$17),IF('Replacement plan'!$AH$17="",'Operating costs'!$B$7,'Replacement plan'!$AH$17))*'Operating costs'!$B$9),IF(AND(VLOOKUP($A48,'Fleet register'!$A$7:$S$106,10,FALSE)&gt;=0,VLOOKUP($A48,'Fleet register'!$A$7:$S$106,10,FALSE)&lt;=120,VLOOKUP($A48,'Fleet register'!$A$7:$S$106,10,FALSE)=INT(VLOOKUP($A48,'Fleet register'!$A$7:$S$106,10,FALSE)),VLOOKUP($A48,'Fleet register'!$A$7:$S$106,15,FALSE)&gt;=0,VLOOKUP($A48,'Fleet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costs'!$B$67)&gt;=0,OR(D48&lt;&gt;"EV",E48=120,AND(MIN('Operating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48" s="1" t="str">
        <f>IF(C48=0,"Excluded",IF(P48&lt;&gt;"Complete",P48,IF(OR('Replacement plan'!$AD$17&lt;120-E48,AND(D48="EV",E48&lt;120,OR('Replacement plan'!$AC$17&lt;120-E48,'Replacement plan'!$I$17="No",AND(ISNUMBER(AF48),AE48&gt;AF48),AI48&gt;V48*(1-'Operating costs'!$B$46)^MAX(0,AB48-1)*(1-'Operating costs'!$B$45),AC48&gt;'Operating costs'!$B$18,AND(T48&lt;1,OR(AG48&lt;=0,AND(ISNUMBER(AH48),AG48&gt;AH48))),'Replacement plan'!$L$17&gt;INDEX(Products!$H$7:$H$13,MATCH('Replacement plan'!$B$17,Products!$A$7:$A$13,0))))),"Fails entered limits",IF(AND(D48="EV",E48&lt;120,OR(NOT(ISNUMBER(VLOOKUP($A48,'Fleet register'!$A$7:$S$106,7,FALSE))),NOT(ISNUMBER(VLOOKUP($A48,'Fleet register'!$A$7:$S$106,8,FALSE))),NOT(ISNUMBER(AF48)),'Replacement plan'!$I$17&lt;&gt;"Yes",NOT(ISNUMBER(AH48)),'Operating costs'!$B$59&lt;&gt;"Yes",'Operating costs'!$B$58&lt;&gt;"Yes")),"Unverified","Within entered limits"))))</f>
        <v>Excluded</v>
      </c>
      <c r="R48" s="1">
        <f>IF(C48=0,0,VLOOKUP($A48,'Fleet register'!$A$7:$S$106,6,FALSE))</f>
        <v>0</v>
      </c>
      <c r="S48" s="1">
        <f>IF(C48=0,0,VLOOKUP($A48,'Fleet register'!$A$7:$S$106,5,FALSE))</f>
        <v>0</v>
      </c>
      <c r="T48" s="1">
        <f>IF(D48="EV",'Energy and charging'!$B$12,0)</f>
        <v>0</v>
      </c>
      <c r="U48" s="1">
        <f>IFERROR(IF(C48=0,0,IF(D48="EV",IF('Replacement plan'!$F$17="",INDEX(Products!$E$7:$E$13,MATCH('Replacement plan'!$B$17,Products!$A$7:$A$13,0)),'Replacement plan'!$F$17)/IF('Replacement plan'!$G$17="Battery",1-'Operating costs'!$B$44,1),0)),"n.a.")</f>
        <v>0</v>
      </c>
      <c r="V48" s="1">
        <f>IFERROR(IF(C48=0,0,IF(D48="EV",IF('Replacement plan'!$E$17="",INDEX(Products!$D$7:$D$13,MATCH('Replacement plan'!$B$17,Products!$A$7:$A$13,0)),'Replacement plan'!$E$17),0)),"n.a.")</f>
        <v>0</v>
      </c>
      <c r="W48" s="1">
        <f>IF(C48=0,0,IF(AND(P48="Complete",D48="EV",E48&lt;120),IF(T48=0,0,ROUNDUP(T48*(R48-'Operating costs'!$B$41)*(S48*U48+'Operating costs'!$B$48/(1-'Operating costs'!$B$44))/(V48*'Operating costs'!$B$47/(1-'Operating costs'!$B$44)-T48*'Operating costs'!$B$12*U48),0)),0))</f>
        <v>0</v>
      </c>
      <c r="X48" s="1">
        <f>IF(C48=0,0,IF(AND(P48="Complete",D48="EV",E48&lt;120),(R48-'Operating costs'!$B$41)*(S48*U48+'Operating costs'!$B$48/(1-'Operating costs'!$B$44))+W48*'Operating costs'!$B$12*U48,0))</f>
        <v>0</v>
      </c>
      <c r="Y48" s="1">
        <f>IF(AND(C48=1,D48="EV",E48&lt;120),AI48/(1-'Operating costs'!$B$44)*(1-T48),0)</f>
        <v>0</v>
      </c>
      <c r="Z48" s="1">
        <f t="shared" si="0"/>
        <v>0</v>
      </c>
      <c r="AA48" s="1">
        <f>IF(C48=0,0,IF(P48="Complete",((S48*(R48-'Operating costs'!$B$40))+ROUNDUP(S48*(R48-'Operating costs'!$B$40)*IF('Replacement plan'!$AH$17="",'Operating costs'!$B$7,'Replacement plan'!$AH$17)/('Operating costs'!$B$8-'Operating costs'!$B$9*IF('Replacement plan'!$AH$17="",'Operating costs'!$B$7,'Replacement plan'!$AH$17)),0)*'Operating costs'!$B$9)*IF('Replacement plan'!$AH$17="",'Operating costs'!$B$7,'Replacement plan'!$AH$17),"n.a."))</f>
        <v>0</v>
      </c>
      <c r="AB48" s="1">
        <f t="shared" si="1"/>
        <v>0</v>
      </c>
      <c r="AC48" s="1">
        <f>IF(AND(C48=1,D48="EV",E48&lt;120,T48&gt;0),'Operating costs'!$B$12/'Operating costs'!$B$11*60+'Operating costs'!$B$13+'Operating costs'!$B$14+V48*'Operating costs'!$B$47/(1-'Operating costs'!$B$44)/'Replacement plan'!$L$17*60,0)</f>
        <v>0</v>
      </c>
      <c r="AD48" s="1" t="str">
        <f>'Replacement plan'!$B$17</f>
        <v>ChengLong L2EV</v>
      </c>
      <c r="AE48" s="1">
        <f>IF(C48=0,0,VLOOKUP($A48,'Fleet register'!$A$7:$S$106,8,FALSE))</f>
        <v>0</v>
      </c>
      <c r="AF48" s="1" t="str">
        <f>IF('Replacement plan'!$H$17="","n.a.",'Replacement plan'!$H$17)</f>
        <v>n.a.</v>
      </c>
      <c r="AG48" s="1">
        <f>'Replacement plan'!$J$17</f>
        <v>22</v>
      </c>
      <c r="AH48" s="1">
        <f>IFERROR(IF(D48="EV",IF('Replacement plan'!$K$17="AC",IF(ISNUMBER(INDEX(Products!$G$7:$G$13,MATCH('Replacement plan'!$B$17,Products!$A$7:$A$13,0))),INDEX(Products!$G$7:$G$13,MATCH('Replacement plan'!$B$17,Products!$A$7:$A$13,0)),"n.a."),IF(ISNUMBER(INDEX(Products!$H$7:$H$13,MATCH('Replacement plan'!$B$17,Products!$A$7:$A$13,0))),INDEX(Products!$H$7:$H$13,MATCH('Replacement plan'!$B$17,Products!$A$7:$A$13,0)),"n.a.")),0),"n.a.")</f>
        <v>0</v>
      </c>
      <c r="AI48" s="1">
        <f>IF(AND(C48=1,D48="EV",E48&lt;120),(VLOOKUP($A48,'Fleet register'!$A$7:$S$106,7,FALSE)+IF(T48&gt;0,'Operating costs'!$B$12,0))*U48*(1-'Operating costs'!$B$44)+'Operating costs'!$B$49,0)</f>
        <v>0</v>
      </c>
      <c r="AJ48" s="1">
        <f>IF(D48="EV",'Energy and charging'!$B$50,0)</f>
        <v>0</v>
      </c>
      <c r="AK48" s="17">
        <f>EDATE('Operating costs'!$B$63,E48)</f>
        <v>46298</v>
      </c>
      <c r="AL48" s="1">
        <f>IFERROR(IF(D48="EV",INDEX(Products!$B$7:$B$13,MATCH('Replacement plan'!$B$17,Products!$A$7:$A$13,0)),0),"n.a.")</f>
        <v>0</v>
      </c>
      <c r="AM48" s="1" t="str">
        <f>'Replacement plan'!$K$17</f>
        <v>DC</v>
      </c>
      <c r="AN48" s="1" t="str">
        <f>'Replacement plan'!$AE$17</f>
        <v>Assumed</v>
      </c>
      <c r="AO48" s="47">
        <f>IF(AND(C48=1,D48="EV",E48&lt;120),(R48-'Operating costs'!$B$41)*S48+W48*'Operating costs'!$B$12,0)</f>
        <v>0</v>
      </c>
      <c r="AP48" s="41">
        <f>IF(AND(C48=1,D48="EV",E48&lt;120),IF('Operating costs'!$B$68="Hong Seh 200k average",AO48*IFERROR(INDEX(Products!$P$7:$P$13,MATCH(AD48,Products!$A$7:$A$13,0)),"n.a."),'Operating costs'!$B$26),0)</f>
        <v>0</v>
      </c>
      <c r="AQ48" s="40" t="str">
        <f>IF(D48="EV",'Operating costs'!$B$68,"Not applicable")</f>
        <v>Not applicable</v>
      </c>
    </row>
    <row r="49" spans="1:43" ht="24" customHeight="1">
      <c r="A49" s="1" t="str">
        <f>'Replacement plan'!A17</f>
        <v>T011</v>
      </c>
      <c r="B49" s="1">
        <v>2</v>
      </c>
      <c r="C49" s="1">
        <f>IF(COUNTIFS('Fleet register'!$A$7:$A$106,$A49)=1,VLOOKUP($A49,'Fleet register'!$A$7:$S$106,2,FALSE),0)</f>
        <v>0</v>
      </c>
      <c r="D49" s="1" t="str">
        <f>IF('Replacement plan'!$O$17="EV","EV","ICE")</f>
        <v>ICE</v>
      </c>
      <c r="E49" s="1">
        <f>IF(C49=0,0,IF('Replacement plan'!$P$17="",IF('Replacement plan'!$O$17="Keep ICE",IF('Replacement plan'!$M$17="",VLOOKUP($A49,'Fleet register'!$A$7:$S$106,10,FALSE),'Replacement plan'!$M$17),0),'Replacement plan'!$P$17))</f>
        <v>0</v>
      </c>
      <c r="F49" s="16">
        <f>IF(C49=0,0,VLOOKUP($A49,'Fleet register'!$A$7:$S$106,11,FALSE))</f>
        <v>0</v>
      </c>
      <c r="G49" s="16">
        <f>IFERROR(IF(C49=0,0,IF(E49=120,0,IF(D49="ICE",'Replacement plan'!$C$17,IF('Replacement plan'!$D$17="",INDEX(Products!$I$7:$I$13,MATCH('Replacement plan'!$B$17,Products!$A$7:$A$13,0))+'Operating costs'!$B$57,'Replacement plan'!$D$17))*(1+'Operating costs'!$B$50)^(E49/12))),"n.a.")</f>
        <v>0</v>
      </c>
      <c r="H49" s="16">
        <f>IFERROR(IF(C49=0,0,IF('Replacement plan'!$U$17&lt;&gt;"",'Replacement plan'!$U$17,IF(E49=0,F49,VLOOKUP($A49,'Fleet register'!$A$7:$S$106,12,FALSE)+VLOOKUP($A49,'Fleet register'!$A$7:$S$106,13,FALSE)*MAX(0,VLOOKUP($A49,'Fleet register'!$A$7:$S$106,10,FALSE)-E49)/VLOOKUP($A49,'Fleet register'!$A$7:$S$106,14,FALSE)))),"n.a.")</f>
        <v>0</v>
      </c>
      <c r="I49" s="16">
        <f>IF(C49=0,0,IF(E49=120,0,'Replacement plan'!$Q$17))</f>
        <v>0</v>
      </c>
      <c r="J49" s="16">
        <f>IF(C49=0,0,IF(P49="Complete",((S49*(R49-'Operating costs'!$B$39))+ROUNDUP(S49*(R49-'Operating costs'!$B$39)*IF('Replacement plan'!$AG$17="",'Operating costs'!$B$7,'Replacement plan'!$AG$17)/('Operating costs'!$B$8-'Operating costs'!$B$9*IF('Replacement plan'!$AG$17="",'Operating costs'!$B$7,'Replacement plan'!$AG$17)),0)*'Operating costs'!$B$9)*IF('Replacement plan'!$AG$17="",'Operating costs'!$B$7,'Replacement plan'!$AG$17)*('Energy and charging'!$B$9*'Energy and charging'!$B$7+(1-'Energy and charging'!$B$9)*'Energy and charging'!$B$8)*'Operating costs'!$B$23,"n.a."))</f>
        <v>0</v>
      </c>
      <c r="K49" s="16">
        <f>IF(C49=0,0,IF(P49="Complete",SUM('Operating costs'!$B$24,'Operating costs'!$B$27,'Operating costs'!$B$29,'Operating costs'!$B$31,'Operating costs'!$B$33,'Operating costs'!$B$34,'Operating costs'!$B$37,'Replacement plan'!$W$17)+'Operating costs'!$B$39*'Operating costs'!$B$42+ROUNDUP(S49*(R49-'Operating costs'!$B$39)*IF('Replacement plan'!$AG$17="",'Operating costs'!$B$7,'Replacement plan'!$AG$17)/('Operating costs'!$B$8-'Operating costs'!$B$9*IF('Replacement plan'!$AG$17="",'Operating costs'!$B$7,'Replacement plan'!$AG$17)),0)*('Operating costs'!$B$9/'Operating costs'!$B$11+'Operating costs'!$B$10/60)*'Operating costs'!$B$19*'Operating costs'!$B$21,"n.a."))</f>
        <v>0</v>
      </c>
      <c r="L49" s="16">
        <f>IF(C49=0,0,IF(P49="Complete",IF(D49="EV",X49*((1-T49)*'Energy and charging'!$B$10+T49*'Energy and charging'!$B$11)*'Operating costs'!$B$22,AA49*('Energy and charging'!$B$9*'Energy and charging'!$B$7+(1-'Energy and charging'!$B$9)*'Energy and charging'!$B$8)*'Operating costs'!$B$23),"n.a."))</f>
        <v>0</v>
      </c>
      <c r="M49" s="37">
        <f>IF(C49=0,0,IF(P49="Complete",IF(D49="ICE",SUM('Operating costs'!$B$25,'Operating costs'!$B$27,'Operating costs'!$B$29,'Operating costs'!$B$31,'Operating costs'!$B$33,'Operating costs'!$B$35,'Operating costs'!$B$37,'Replacement plan'!$X$17)+'Operating costs'!$B$40*'Operating costs'!$B$42+ROUNDUP(S49*(R49-'Operating costs'!$B$40)*IF('Replacement plan'!$AH$17="",'Operating costs'!$B$7,'Replacement plan'!$AH$17)/('Operating costs'!$B$8-'Operating costs'!$B$9*IF('Replacement plan'!$AH$17="",'Operating costs'!$B$7,'Replacement plan'!$AH$17)),0)*('Operating costs'!$B$9/'Operating costs'!$B$11+'Operating costs'!$B$10/60)*'Operating costs'!$B$19*'Operating costs'!$B$21,SUM(AP49,'Operating costs'!$B$28,'Operating costs'!$B$30,'Operating costs'!$B$32,'Operating costs'!$B$33,'Operating costs'!$B$36,'Operating costs'!$B$38,'Replacement plan'!$Y$17)+'Operating costs'!$B$41*'Operating costs'!$B$43+W49*'Operating costs'!$B$15+(T49*X49/'Replacement plan'!$L$17+W49*('Operating costs'!$B$12/'Operating costs'!$B$11+('Operating costs'!$B$13+'Operating costs'!$B$14)/60)+(R49-'Operating costs'!$B$41)*(IF(T49&lt;1,'Operating costs'!$B$16,0)+'Operating costs'!$B$17)/60)*'Operating costs'!$B$19*'Operating costs'!$B$20),"n.a."))</f>
        <v>0</v>
      </c>
      <c r="N49" s="16">
        <f>IF(AND(C49=1,D49="EV",E49&lt;120,E49+'Replacement plan'!$AA$17&lt;=120),'Replacement plan'!$Z$17,0)</f>
        <v>0</v>
      </c>
      <c r="O49" s="1">
        <f>E49+'Replacement plan'!$AA$17</f>
        <v>0</v>
      </c>
      <c r="P49" s="35" t="str">
        <f>IFERROR(IF(C49=0,"Excluded",IF(OR(COUNTIFS('Fleet register'!$A$7:$A$106,A49)&lt;&gt;1,COUNTIFS('Replacement plan'!$A$7:$A$106,A49)&lt;&gt;1),"Duplicate/missing ID",IF(NOT(AND(ISNUMBER(VLOOKUP($A49,'Fleet register'!$A$7:$S$106,5,FALSE)),ISNUMBER(VLOOKUP($A49,'Fleet register'!$A$7:$S$106,6,FALSE)),ISNUMBER(VLOOKUP($A49,'Fleet register'!$A$7:$S$106,10,FALSE)),ISNUMBER(VLOOKUP($A49,'Fleet register'!$A$7:$S$106,11,FALSE)),ISNUMBER(VLOOKUP($A49,'Fleet register'!$A$7:$S$106,12,FALSE)),ISNUMBER(VLOOKUP($A49,'Fleet register'!$A$7:$S$106,13,FALSE)),ISNUMBER(VLOOKUP($A49,'Fleet register'!$A$7:$S$106,14,FALSE)),VLOOKUP($A49,'Fleet register'!$A$7:$S$106,14,FALSE)&gt;0,ISNUMBER('Replacement plan'!$C$17),OR(E49=120,ISNUMBER('Replacement plan'!$Q$17)),ISNUMBER(E49))),"Missing vehicle input",IF(OR(E49&lt;0,E49&gt;VLOOKUP($A49,'Fleet register'!$A$7:$S$106,10,FALSE),E49&gt;120,E49&lt;&gt;INT(E49),VLOOKUP($A49,'Fleet register'!$A$7:$S$106,6,FALSE)&lt;=0,VLOOKUP($A49,'Fleet register'!$A$7:$S$106,6,FALSE)&gt;366,VLOOKUP($A49,'Fleet register'!$A$7:$S$106,5,FALSE)&lt;0,VLOOKUP($A49,'Fleet register'!$A$7:$S$106,11,FALSE)&lt;0,I49&lt;0,'Operating costs'!$B$8&lt;='Operating costs'!$B$7*'Operating costs'!$B$9,'Operating costs'!$B$11&lt;=0,'Operating costs'!$B$39&gt;R49,'Operating costs'!$B$40&gt;R49,'Operating costs'!$B$41&gt;R49,NOT(OR('Replacement plan'!$O$17="Keep ICE",'Replacement plan'!$O$17="New ICE",'Replacement plan'!$O$17="EV"))),"Invalid vehicle input",IF(AND(D49="EV",E49&lt;120,OR(NOT(ISNUMBER(U49)),NOT(ISNUMBER(V49)),V49&lt;=0,T49&lt;0,T49&gt;1,'Replacement plan'!$L$17&lt;=0,'Operating costs'!$B$44&lt;0,'Operating costs'!$B$44&gt;=1,'Operating costs'!$B$47&lt;=0,'Operating costs'!$B$47&gt;1,V49*'Operating costs'!$B$47/(1-'Operating costs'!$B$44)&lt;=T49*'Operating costs'!$B$12*U49,AND('Replacement plan'!$Z$17&gt;0,OR('Replacement plan'!$AB$17&lt;&gt;"Yes",'Operating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charging'!$B$8&gt;=0))),ISNUMBER(VLOOKUP($A49,'Fleet register'!$A$7:$S$106,15,FALSE)),ISNUMBER(VLOOKUP($A49,'Fleet register'!$A$7:$S$106,16,FALSE)),ISNUMBER('Replacement plan'!$W$17),ISNUMBER('Replacement plan'!$X$17),OR(E49=120,AND(ISNUMBER(G49),G49&gt;=0)),ISNUMBER(H49),H49&gt;=0,OR(D49&lt;&gt;"EV",E49=120,AND(ISNUMBER('Operating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average",ISNUMBER(IFERROR(INDEX(Products!$P$7:$P$13,MATCH(AD49,Products!$A$7:$A$13,0)),"")))),ISNUMBER('Operating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plan'!$Y$17),ISNUMBER('Replacement plan'!$Z$17),'Replacement plan'!$Z$17&gt;=0,ISNUMBER('Replacement plan'!$AA$17),'Replacement plan'!$AA$17&gt;=0,'Replacement plan'!$AA$17=INT('Replacement plan'!$AA$17),ISNUMBER('Replacement plan'!$L$17))),'Operating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plan'!$AG$17="",'Operating costs'!$B$7,'Replacement plan'!$AG$17)),IF('Replacement plan'!$AG$17="",'Operating costs'!$B$7,'Replacement plan'!$AG$17)&gt;=0,ISNUMBER(IF('Replacement plan'!$AH$17="",'Operating costs'!$B$7,'Replacement plan'!$AH$17)),IF('Replacement plan'!$AH$17="",'Operating costs'!$B$7,'Replacement plan'!$AH$17)&gt;=0,'Operating costs'!$B$8&gt;MAX(IF('Replacement plan'!$AG$17="",'Operating costs'!$B$7,'Replacement plan'!$AG$17),IF('Replacement plan'!$AH$17="",'Operating costs'!$B$7,'Replacement plan'!$AH$17))*'Operating costs'!$B$9),IF(AND(VLOOKUP($A49,'Fleet register'!$A$7:$S$106,10,FALSE)&gt;=0,VLOOKUP($A49,'Fleet register'!$A$7:$S$106,10,FALSE)&lt;=120,VLOOKUP($A49,'Fleet register'!$A$7:$S$106,10,FALSE)=INT(VLOOKUP($A49,'Fleet register'!$A$7:$S$106,10,FALSE)),VLOOKUP($A49,'Fleet register'!$A$7:$S$106,15,FALSE)&gt;=0,VLOOKUP($A49,'Fleet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costs'!$B$67)&gt;=0,OR(D49&lt;&gt;"EV",E49=120,AND(MIN('Operating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49" s="1" t="str">
        <f>IF(C49=0,"Excluded",IF(P49&lt;&gt;"Complete",P49,IF(OR('Replacement plan'!$AD$17&lt;120-E49,AND(D49="EV",E49&lt;120,OR('Replacement plan'!$AC$17&lt;120-E49,'Replacement plan'!$I$17="No",AND(ISNUMBER(AF49),AE49&gt;AF49),AI49&gt;V49*(1-'Operating costs'!$B$46)^MAX(0,AB49-1)*(1-'Operating costs'!$B$45),AC49&gt;'Operating costs'!$B$18,AND(T49&lt;1,OR(AG49&lt;=0,AND(ISNUMBER(AH49),AG49&gt;AH49))),'Replacement plan'!$L$17&gt;INDEX(Products!$H$7:$H$13,MATCH('Replacement plan'!$B$17,Products!$A$7:$A$13,0))))),"Fails entered limits",IF(AND(D49="EV",E49&lt;120,OR(NOT(ISNUMBER(VLOOKUP($A49,'Fleet register'!$A$7:$S$106,7,FALSE))),NOT(ISNUMBER(VLOOKUP($A49,'Fleet register'!$A$7:$S$106,8,FALSE))),NOT(ISNUMBER(AF49)),'Replacement plan'!$I$17&lt;&gt;"Yes",NOT(ISNUMBER(AH49)),'Operating costs'!$B$59&lt;&gt;"Yes",'Operating costs'!$B$58&lt;&gt;"Yes")),"Unverified","Within entered limits"))))</f>
        <v>Excluded</v>
      </c>
      <c r="R49" s="1">
        <f>IF(C49=0,0,VLOOKUP($A49,'Fleet register'!$A$7:$S$106,6,FALSE))</f>
        <v>0</v>
      </c>
      <c r="S49" s="1">
        <f>IF(C49=0,0,VLOOKUP($A49,'Fleet register'!$A$7:$S$106,5,FALSE))</f>
        <v>0</v>
      </c>
      <c r="T49" s="1">
        <f>IF(D49="EV",'Energy and charging'!$B$12,0)</f>
        <v>0</v>
      </c>
      <c r="U49" s="1">
        <f>IFERROR(IF(C49=0,0,IF(D49="EV",IF('Replacement plan'!$F$17="",INDEX(Products!$E$7:$E$13,MATCH('Replacement plan'!$B$17,Products!$A$7:$A$13,0)),'Replacement plan'!$F$17)/IF('Replacement plan'!$G$17="Battery",1-'Operating costs'!$B$44,1),0)),"n.a.")</f>
        <v>0</v>
      </c>
      <c r="V49" s="1">
        <f>IFERROR(IF(C49=0,0,IF(D49="EV",IF('Replacement plan'!$E$17="",INDEX(Products!$D$7:$D$13,MATCH('Replacement plan'!$B$17,Products!$A$7:$A$13,0)),'Replacement plan'!$E$17),0)),"n.a.")</f>
        <v>0</v>
      </c>
      <c r="W49" s="1">
        <f>IF(C49=0,0,IF(AND(P49="Complete",D49="EV",E49&lt;120),IF(T49=0,0,ROUNDUP(T49*(R49-'Operating costs'!$B$41)*(S49*U49+'Operating costs'!$B$48/(1-'Operating costs'!$B$44))/(V49*'Operating costs'!$B$47/(1-'Operating costs'!$B$44)-T49*'Operating costs'!$B$12*U49),0)),0))</f>
        <v>0</v>
      </c>
      <c r="X49" s="1">
        <f>IF(C49=0,0,IF(AND(P49="Complete",D49="EV",E49&lt;120),(R49-'Operating costs'!$B$41)*(S49*U49+'Operating costs'!$B$48/(1-'Operating costs'!$B$44))+W49*'Operating costs'!$B$12*U49,0))</f>
        <v>0</v>
      </c>
      <c r="Y49" s="1">
        <f>IF(AND(C49=1,D49="EV",E49&lt;120),AI49/(1-'Operating costs'!$B$44)*(1-T49),0)</f>
        <v>0</v>
      </c>
      <c r="Z49" s="1">
        <f t="shared" si="0"/>
        <v>0</v>
      </c>
      <c r="AA49" s="1">
        <f>IF(C49=0,0,IF(P49="Complete",((S49*(R49-'Operating costs'!$B$40))+ROUNDUP(S49*(R49-'Operating costs'!$B$40)*IF('Replacement plan'!$AH$17="",'Operating costs'!$B$7,'Replacement plan'!$AH$17)/('Operating costs'!$B$8-'Operating costs'!$B$9*IF('Replacement plan'!$AH$17="",'Operating costs'!$B$7,'Replacement plan'!$AH$17)),0)*'Operating costs'!$B$9)*IF('Replacement plan'!$AH$17="",'Operating costs'!$B$7,'Replacement plan'!$AH$17),"n.a."))</f>
        <v>0</v>
      </c>
      <c r="AB49" s="1">
        <f t="shared" si="1"/>
        <v>0</v>
      </c>
      <c r="AC49" s="1">
        <f>IF(AND(C49=1,D49="EV",E49&lt;120,T49&gt;0),'Operating costs'!$B$12/'Operating costs'!$B$11*60+'Operating costs'!$B$13+'Operating costs'!$B$14+V49*'Operating costs'!$B$47/(1-'Operating costs'!$B$44)/'Replacement plan'!$L$17*60,0)</f>
        <v>0</v>
      </c>
      <c r="AD49" s="1" t="str">
        <f>'Replacement plan'!$B$17</f>
        <v>ChengLong L2EV</v>
      </c>
      <c r="AE49" s="1">
        <f>IF(C49=0,0,VLOOKUP($A49,'Fleet register'!$A$7:$S$106,8,FALSE))</f>
        <v>0</v>
      </c>
      <c r="AF49" s="1" t="str">
        <f>IF('Replacement plan'!$H$17="","n.a.",'Replacement plan'!$H$17)</f>
        <v>n.a.</v>
      </c>
      <c r="AG49" s="1">
        <f>'Replacement plan'!$J$17</f>
        <v>22</v>
      </c>
      <c r="AH49" s="1">
        <f>IFERROR(IF(D49="EV",IF('Replacement plan'!$K$17="AC",IF(ISNUMBER(INDEX(Products!$G$7:$G$13,MATCH('Replacement plan'!$B$17,Products!$A$7:$A$13,0))),INDEX(Products!$G$7:$G$13,MATCH('Replacement plan'!$B$17,Products!$A$7:$A$13,0)),"n.a."),IF(ISNUMBER(INDEX(Products!$H$7:$H$13,MATCH('Replacement plan'!$B$17,Products!$A$7:$A$13,0))),INDEX(Products!$H$7:$H$13,MATCH('Replacement plan'!$B$17,Products!$A$7:$A$13,0)),"n.a.")),0),"n.a.")</f>
        <v>0</v>
      </c>
      <c r="AI49" s="1">
        <f>IF(AND(C49=1,D49="EV",E49&lt;120),(VLOOKUP($A49,'Fleet register'!$A$7:$S$106,7,FALSE)+IF(T49&gt;0,'Operating costs'!$B$12,0))*U49*(1-'Operating costs'!$B$44)+'Operating costs'!$B$49,0)</f>
        <v>0</v>
      </c>
      <c r="AJ49" s="1">
        <f>IF(D49="EV",'Energy and charging'!$B$50,0)</f>
        <v>0</v>
      </c>
      <c r="AK49" s="17">
        <f>EDATE('Operating costs'!$B$63,E49)</f>
        <v>46298</v>
      </c>
      <c r="AL49" s="1">
        <f>IFERROR(IF(D49="EV",INDEX(Products!$B$7:$B$13,MATCH('Replacement plan'!$B$17,Products!$A$7:$A$13,0)),0),"n.a.")</f>
        <v>0</v>
      </c>
      <c r="AM49" s="1" t="str">
        <f>'Replacement plan'!$K$17</f>
        <v>DC</v>
      </c>
      <c r="AN49" s="1" t="str">
        <f>'Replacement plan'!$AE$17</f>
        <v>Assumed</v>
      </c>
      <c r="AO49" s="47">
        <f>IF(AND(C49=1,D49="EV",E49&lt;120),(R49-'Operating costs'!$B$41)*S49+W49*'Operating costs'!$B$12,0)</f>
        <v>0</v>
      </c>
      <c r="AP49" s="41">
        <f>IF(AND(C49=1,D49="EV",E49&lt;120),IF('Operating costs'!$B$68="Hong Seh 200k average",AO49*IFERROR(INDEX(Products!$P$7:$P$13,MATCH(AD49,Products!$A$7:$A$13,0)),"n.a."),'Operating costs'!$B$26),0)</f>
        <v>0</v>
      </c>
      <c r="AQ49" s="40" t="str">
        <f>IF(D49="EV",'Operating costs'!$B$68,"Not applicable")</f>
        <v>Not applicable</v>
      </c>
    </row>
    <row r="50" spans="1:43" ht="24" customHeight="1">
      <c r="A50" s="1" t="str">
        <f>'Replacement plan'!A17</f>
        <v>T011</v>
      </c>
      <c r="B50" s="1">
        <v>3</v>
      </c>
      <c r="C50" s="1">
        <f>IF(COUNTIFS('Fleet register'!$A$7:$A$106,$A50)=1,VLOOKUP($A50,'Fleet register'!$A$7:$S$106,2,FALSE),0)</f>
        <v>0</v>
      </c>
      <c r="D50" s="1" t="str">
        <f>IF('Replacement plan'!$R$17="EV","EV","ICE")</f>
        <v>ICE</v>
      </c>
      <c r="E50" s="1">
        <f>IF(C50=0,0,IF('Replacement plan'!$S$17="",IF('Replacement plan'!$R$17="Keep ICE",IF('Replacement plan'!$M$17="",VLOOKUP($A50,'Fleet register'!$A$7:$S$106,10,FALSE),'Replacement plan'!$M$17),0),'Replacement plan'!$S$17))</f>
        <v>0</v>
      </c>
      <c r="F50" s="16">
        <f>IF(C50=0,0,VLOOKUP($A50,'Fleet register'!$A$7:$S$106,11,FALSE))</f>
        <v>0</v>
      </c>
      <c r="G50" s="16">
        <f>IFERROR(IF(C50=0,0,IF(E50=120,0,IF(D50="ICE",'Replacement plan'!$C$17,IF('Replacement plan'!$D$17="",INDEX(Products!$I$7:$I$13,MATCH('Replacement plan'!$B$17,Products!$A$7:$A$13,0))+'Operating costs'!$B$57,'Replacement plan'!$D$17))*(1+'Operating costs'!$B$50)^(E50/12))),"n.a.")</f>
        <v>0</v>
      </c>
      <c r="H50" s="16">
        <f>IFERROR(IF(C50=0,0,IF('Replacement plan'!$V$17&lt;&gt;"",'Replacement plan'!$V$17,IF(E50=0,F50,VLOOKUP($A50,'Fleet register'!$A$7:$S$106,12,FALSE)+VLOOKUP($A50,'Fleet register'!$A$7:$S$106,13,FALSE)*MAX(0,VLOOKUP($A50,'Fleet register'!$A$7:$S$106,10,FALSE)-E50)/VLOOKUP($A50,'Fleet register'!$A$7:$S$106,14,FALSE)))),"n.a.")</f>
        <v>0</v>
      </c>
      <c r="I50" s="16">
        <f>IF(C50=0,0,IF(E50=120,0,'Replacement plan'!$T$17))</f>
        <v>0</v>
      </c>
      <c r="J50" s="16">
        <f>IF(C50=0,0,IF(P50="Complete",((S50*(R50-'Operating costs'!$B$39))+ROUNDUP(S50*(R50-'Operating costs'!$B$39)*IF('Replacement plan'!$AG$17="",'Operating costs'!$B$7,'Replacement plan'!$AG$17)/('Operating costs'!$B$8-'Operating costs'!$B$9*IF('Replacement plan'!$AG$17="",'Operating costs'!$B$7,'Replacement plan'!$AG$17)),0)*'Operating costs'!$B$9)*IF('Replacement plan'!$AG$17="",'Operating costs'!$B$7,'Replacement plan'!$AG$17)*('Energy and charging'!$C$9*'Energy and charging'!$C$7+(1-'Energy and charging'!$C$9)*'Energy and charging'!$C$8)*'Operating costs'!$B$23,"n.a."))</f>
        <v>0</v>
      </c>
      <c r="K50" s="16">
        <f>IF(C50=0,0,IF(P50="Complete",SUM('Operating costs'!$B$24,'Operating costs'!$B$27,'Operating costs'!$B$29,'Operating costs'!$B$31,'Operating costs'!$B$33,'Operating costs'!$B$34,'Operating costs'!$B$37,'Replacement plan'!$W$17)+'Operating costs'!$B$39*'Operating costs'!$B$42+ROUNDUP(S50*(R50-'Operating costs'!$B$39)*IF('Replacement plan'!$AG$17="",'Operating costs'!$B$7,'Replacement plan'!$AG$17)/('Operating costs'!$B$8-'Operating costs'!$B$9*IF('Replacement plan'!$AG$17="",'Operating costs'!$B$7,'Replacement plan'!$AG$17)),0)*('Operating costs'!$B$9/'Operating costs'!$B$11+'Operating costs'!$B$10/60)*'Operating costs'!$B$19*'Operating costs'!$B$21,"n.a."))</f>
        <v>0</v>
      </c>
      <c r="L50" s="16">
        <f>IF(C50=0,0,IF(P50="Complete",IF(D50="EV",X50*((1-T50)*'Energy and charging'!$C$10+T50*'Energy and charging'!$C$11)*'Operating costs'!$B$22,AA50*('Energy and charging'!$C$9*'Energy and charging'!$C$7+(1-'Energy and charging'!$C$9)*'Energy and charging'!$C$8)*'Operating costs'!$B$23),"n.a."))</f>
        <v>0</v>
      </c>
      <c r="M50" s="37">
        <f>IF(C50=0,0,IF(P50="Complete",IF(D50="ICE",SUM('Operating costs'!$B$25,'Operating costs'!$B$27,'Operating costs'!$B$29,'Operating costs'!$B$31,'Operating costs'!$B$33,'Operating costs'!$B$35,'Operating costs'!$B$37,'Replacement plan'!$X$17)+'Operating costs'!$B$40*'Operating costs'!$B$42+ROUNDUP(S50*(R50-'Operating costs'!$B$40)*IF('Replacement plan'!$AH$17="",'Operating costs'!$B$7,'Replacement plan'!$AH$17)/('Operating costs'!$B$8-'Operating costs'!$B$9*IF('Replacement plan'!$AH$17="",'Operating costs'!$B$7,'Replacement plan'!$AH$17)),0)*('Operating costs'!$B$9/'Operating costs'!$B$11+'Operating costs'!$B$10/60)*'Operating costs'!$B$19*'Operating costs'!$B$21,SUM(AP50,'Operating costs'!$B$28,'Operating costs'!$B$30,'Operating costs'!$B$32,'Operating costs'!$B$33,'Operating costs'!$B$36,'Operating costs'!$B$38,'Replacement plan'!$Y$17)+'Operating costs'!$B$41*'Operating costs'!$B$43+W50*'Operating costs'!$B$15+(T50*X50/'Replacement plan'!$L$17+W50*('Operating costs'!$B$12/'Operating costs'!$B$11+('Operating costs'!$B$13+'Operating costs'!$B$14)/60)+(R50-'Operating costs'!$B$41)*(IF(T50&lt;1,'Operating costs'!$B$16,0)+'Operating costs'!$B$17)/60)*'Operating costs'!$B$19*'Operating costs'!$B$20),"n.a."))</f>
        <v>0</v>
      </c>
      <c r="N50" s="16">
        <f>IF(AND(C50=1,D50="EV",E50&lt;120,E50+'Replacement plan'!$AA$17&lt;=120),'Replacement plan'!$Z$17,0)</f>
        <v>0</v>
      </c>
      <c r="O50" s="1">
        <f>E50+'Replacement plan'!$AA$17</f>
        <v>0</v>
      </c>
      <c r="P50" s="35" t="str">
        <f>IFERROR(IF(C50=0,"Excluded",IF(OR(COUNTIFS('Fleet register'!$A$7:$A$106,A50)&lt;&gt;1,COUNTIFS('Replacement plan'!$A$7:$A$106,A50)&lt;&gt;1),"Duplicate/missing ID",IF(NOT(AND(ISNUMBER(VLOOKUP($A50,'Fleet register'!$A$7:$S$106,5,FALSE)),ISNUMBER(VLOOKUP($A50,'Fleet register'!$A$7:$S$106,6,FALSE)),ISNUMBER(VLOOKUP($A50,'Fleet register'!$A$7:$S$106,10,FALSE)),ISNUMBER(VLOOKUP($A50,'Fleet register'!$A$7:$S$106,11,FALSE)),ISNUMBER(VLOOKUP($A50,'Fleet register'!$A$7:$S$106,12,FALSE)),ISNUMBER(VLOOKUP($A50,'Fleet register'!$A$7:$S$106,13,FALSE)),ISNUMBER(VLOOKUP($A50,'Fleet register'!$A$7:$S$106,14,FALSE)),VLOOKUP($A50,'Fleet register'!$A$7:$S$106,14,FALSE)&gt;0,ISNUMBER('Replacement plan'!$C$17),OR(E50=120,ISNUMBER('Replacement plan'!$T$17)),ISNUMBER(E50))),"Missing vehicle input",IF(OR(E50&lt;0,E50&gt;VLOOKUP($A50,'Fleet register'!$A$7:$S$106,10,FALSE),E50&gt;120,E50&lt;&gt;INT(E50),VLOOKUP($A50,'Fleet register'!$A$7:$S$106,6,FALSE)&lt;=0,VLOOKUP($A50,'Fleet register'!$A$7:$S$106,6,FALSE)&gt;366,VLOOKUP($A50,'Fleet register'!$A$7:$S$106,5,FALSE)&lt;0,VLOOKUP($A50,'Fleet register'!$A$7:$S$106,11,FALSE)&lt;0,I50&lt;0,'Operating costs'!$B$8&lt;='Operating costs'!$B$7*'Operating costs'!$B$9,'Operating costs'!$B$11&lt;=0,'Operating costs'!$B$39&gt;R50,'Operating costs'!$B$40&gt;R50,'Operating costs'!$B$41&gt;R50,NOT(OR('Replacement plan'!$R$17="Keep ICE",'Replacement plan'!$R$17="New ICE",'Replacement plan'!$R$17="EV"))),"Invalid vehicle input",IF(AND(D50="EV",E50&lt;120,OR(NOT(ISNUMBER(U50)),NOT(ISNUMBER(V50)),V50&lt;=0,T50&lt;0,T50&gt;1,'Replacement plan'!$L$17&lt;=0,'Operating costs'!$B$44&lt;0,'Operating costs'!$B$44&gt;=1,'Operating costs'!$B$47&lt;=0,'Operating costs'!$B$47&gt;1,V50*'Operating costs'!$B$47/(1-'Operating costs'!$B$44)&lt;=T50*'Operating costs'!$B$12*U50,AND('Replacement plan'!$Z$17&gt;0,OR('Replacement plan'!$AB$17&lt;&gt;"Yes",'Operating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charging'!$C$8&gt;=0))),ISNUMBER(VLOOKUP($A50,'Fleet register'!$A$7:$S$106,15,FALSE)),ISNUMBER(VLOOKUP($A50,'Fleet register'!$A$7:$S$106,16,FALSE)),ISNUMBER('Replacement plan'!$W$17),ISNUMBER('Replacement plan'!$X$17),OR(E50=120,AND(ISNUMBER(G50),G50&gt;=0)),ISNUMBER(H50),H50&gt;=0,OR(D50&lt;&gt;"EV",E50=120,AND(ISNUMBER('Operating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average",ISNUMBER(IFERROR(INDEX(Products!$P$7:$P$13,MATCH(AD50,Products!$A$7:$A$13,0)),"")))),ISNUMBER('Operating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plan'!$Y$17),ISNUMBER('Replacement plan'!$Z$17),'Replacement plan'!$Z$17&gt;=0,ISNUMBER('Replacement plan'!$AA$17),'Replacement plan'!$AA$17&gt;=0,'Replacement plan'!$AA$17=INT('Replacement plan'!$AA$17),ISNUMBER('Replacement plan'!$L$17))),'Operating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plan'!$AG$17="",'Operating costs'!$B$7,'Replacement plan'!$AG$17)),IF('Replacement plan'!$AG$17="",'Operating costs'!$B$7,'Replacement plan'!$AG$17)&gt;=0,ISNUMBER(IF('Replacement plan'!$AH$17="",'Operating costs'!$B$7,'Replacement plan'!$AH$17)),IF('Replacement plan'!$AH$17="",'Operating costs'!$B$7,'Replacement plan'!$AH$17)&gt;=0,'Operating costs'!$B$8&gt;MAX(IF('Replacement plan'!$AG$17="",'Operating costs'!$B$7,'Replacement plan'!$AG$17),IF('Replacement plan'!$AH$17="",'Operating costs'!$B$7,'Replacement plan'!$AH$17))*'Operating costs'!$B$9),IF(AND(VLOOKUP($A50,'Fleet register'!$A$7:$S$106,10,FALSE)&gt;=0,VLOOKUP($A50,'Fleet register'!$A$7:$S$106,10,FALSE)&lt;=120,VLOOKUP($A50,'Fleet register'!$A$7:$S$106,10,FALSE)=INT(VLOOKUP($A50,'Fleet register'!$A$7:$S$106,10,FALSE)),VLOOKUP($A50,'Fleet register'!$A$7:$S$106,15,FALSE)&gt;=0,VLOOKUP($A50,'Fleet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costs'!$B$67)&gt;=0,OR(D50&lt;&gt;"EV",E50=120,AND(MIN('Operating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50" s="1" t="str">
        <f>IF(C50=0,"Excluded",IF(P50&lt;&gt;"Complete",P50,IF(OR('Replacement plan'!$AD$17&lt;120-E50,AND(D50="EV",E50&lt;120,OR('Replacement plan'!$AC$17&lt;120-E50,'Replacement plan'!$I$17="No",AND(ISNUMBER(AF50),AE50&gt;AF50),AI50&gt;V50*(1-'Operating costs'!$B$46)^MAX(0,AB50-1)*(1-'Operating costs'!$B$45),AC50&gt;'Operating costs'!$B$18,AND(T50&lt;1,OR(AG50&lt;=0,AND(ISNUMBER(AH50),AG50&gt;AH50))),'Replacement plan'!$L$17&gt;INDEX(Products!$H$7:$H$13,MATCH('Replacement plan'!$B$17,Products!$A$7:$A$13,0))))),"Fails entered limits",IF(AND(D50="EV",E50&lt;120,OR(NOT(ISNUMBER(VLOOKUP($A50,'Fleet register'!$A$7:$S$106,7,FALSE))),NOT(ISNUMBER(VLOOKUP($A50,'Fleet register'!$A$7:$S$106,8,FALSE))),NOT(ISNUMBER(AF50)),'Replacement plan'!$I$17&lt;&gt;"Yes",NOT(ISNUMBER(AH50)),'Operating costs'!$B$59&lt;&gt;"Yes",'Operating costs'!$B$58&lt;&gt;"Yes")),"Unverified","Within entered limits"))))</f>
        <v>Excluded</v>
      </c>
      <c r="R50" s="1">
        <f>IF(C50=0,0,VLOOKUP($A50,'Fleet register'!$A$7:$S$106,6,FALSE))</f>
        <v>0</v>
      </c>
      <c r="S50" s="1">
        <f>IF(C50=0,0,VLOOKUP($A50,'Fleet register'!$A$7:$S$106,5,FALSE))</f>
        <v>0</v>
      </c>
      <c r="T50" s="1">
        <f>IF(D50="EV",'Energy and charging'!$C$12,0)</f>
        <v>0</v>
      </c>
      <c r="U50" s="1">
        <f>IFERROR(IF(C50=0,0,IF(D50="EV",IF('Replacement plan'!$F$17="",INDEX(Products!$E$7:$E$13,MATCH('Replacement plan'!$B$17,Products!$A$7:$A$13,0)),'Replacement plan'!$F$17)/IF('Replacement plan'!$G$17="Battery",1-'Operating costs'!$B$44,1),0)),"n.a.")</f>
        <v>0</v>
      </c>
      <c r="V50" s="1">
        <f>IFERROR(IF(C50=0,0,IF(D50="EV",IF('Replacement plan'!$E$17="",INDEX(Products!$D$7:$D$13,MATCH('Replacement plan'!$B$17,Products!$A$7:$A$13,0)),'Replacement plan'!$E$17),0)),"n.a.")</f>
        <v>0</v>
      </c>
      <c r="W50" s="1">
        <f>IF(C50=0,0,IF(AND(P50="Complete",D50="EV",E50&lt;120),IF(T50=0,0,ROUNDUP(T50*(R50-'Operating costs'!$B$41)*(S50*U50+'Operating costs'!$B$48/(1-'Operating costs'!$B$44))/(V50*'Operating costs'!$B$47/(1-'Operating costs'!$B$44)-T50*'Operating costs'!$B$12*U50),0)),0))</f>
        <v>0</v>
      </c>
      <c r="X50" s="1">
        <f>IF(C50=0,0,IF(AND(P50="Complete",D50="EV",E50&lt;120),(R50-'Operating costs'!$B$41)*(S50*U50+'Operating costs'!$B$48/(1-'Operating costs'!$B$44))+W50*'Operating costs'!$B$12*U50,0))</f>
        <v>0</v>
      </c>
      <c r="Y50" s="1">
        <f>IF(AND(C50=1,D50="EV",E50&lt;120),AI50/(1-'Operating costs'!$B$44)*(1-T50),0)</f>
        <v>0</v>
      </c>
      <c r="Z50" s="1">
        <f t="shared" si="0"/>
        <v>0</v>
      </c>
      <c r="AA50" s="1">
        <f>IF(C50=0,0,IF(P50="Complete",((S50*(R50-'Operating costs'!$B$40))+ROUNDUP(S50*(R50-'Operating costs'!$B$40)*IF('Replacement plan'!$AH$17="",'Operating costs'!$B$7,'Replacement plan'!$AH$17)/('Operating costs'!$B$8-'Operating costs'!$B$9*IF('Replacement plan'!$AH$17="",'Operating costs'!$B$7,'Replacement plan'!$AH$17)),0)*'Operating costs'!$B$9)*IF('Replacement plan'!$AH$17="",'Operating costs'!$B$7,'Replacement plan'!$AH$17),"n.a."))</f>
        <v>0</v>
      </c>
      <c r="AB50" s="1">
        <f t="shared" si="1"/>
        <v>0</v>
      </c>
      <c r="AC50" s="1">
        <f>IF(AND(C50=1,D50="EV",E50&lt;120,T50&gt;0),'Operating costs'!$B$12/'Operating costs'!$B$11*60+'Operating costs'!$B$13+'Operating costs'!$B$14+V50*'Operating costs'!$B$47/(1-'Operating costs'!$B$44)/'Replacement plan'!$L$17*60,0)</f>
        <v>0</v>
      </c>
      <c r="AD50" s="1" t="str">
        <f>'Replacement plan'!$B$17</f>
        <v>ChengLong L2EV</v>
      </c>
      <c r="AE50" s="1">
        <f>IF(C50=0,0,VLOOKUP($A50,'Fleet register'!$A$7:$S$106,8,FALSE))</f>
        <v>0</v>
      </c>
      <c r="AF50" s="1" t="str">
        <f>IF('Replacement plan'!$H$17="","n.a.",'Replacement plan'!$H$17)</f>
        <v>n.a.</v>
      </c>
      <c r="AG50" s="1">
        <f>'Replacement plan'!$J$17</f>
        <v>22</v>
      </c>
      <c r="AH50" s="1">
        <f>IFERROR(IF(D50="EV",IF('Replacement plan'!$K$17="AC",IF(ISNUMBER(INDEX(Products!$G$7:$G$13,MATCH('Replacement plan'!$B$17,Products!$A$7:$A$13,0))),INDEX(Products!$G$7:$G$13,MATCH('Replacement plan'!$B$17,Products!$A$7:$A$13,0)),"n.a."),IF(ISNUMBER(INDEX(Products!$H$7:$H$13,MATCH('Replacement plan'!$B$17,Products!$A$7:$A$13,0))),INDEX(Products!$H$7:$H$13,MATCH('Replacement plan'!$B$17,Products!$A$7:$A$13,0)),"n.a.")),0),"n.a.")</f>
        <v>0</v>
      </c>
      <c r="AI50" s="1">
        <f>IF(AND(C50=1,D50="EV",E50&lt;120),(VLOOKUP($A50,'Fleet register'!$A$7:$S$106,7,FALSE)+IF(T50&gt;0,'Operating costs'!$B$12,0))*U50*(1-'Operating costs'!$B$44)+'Operating costs'!$B$49,0)</f>
        <v>0</v>
      </c>
      <c r="AJ50" s="1">
        <f>IF(D50="EV",'Energy and charging'!$C$50,0)</f>
        <v>0</v>
      </c>
      <c r="AK50" s="17">
        <f>EDATE('Operating costs'!$B$63,E50)</f>
        <v>46298</v>
      </c>
      <c r="AL50" s="1">
        <f>IFERROR(IF(D50="EV",INDEX(Products!$B$7:$B$13,MATCH('Replacement plan'!$B$17,Products!$A$7:$A$13,0)),0),"n.a.")</f>
        <v>0</v>
      </c>
      <c r="AM50" s="1" t="str">
        <f>'Replacement plan'!$K$17</f>
        <v>DC</v>
      </c>
      <c r="AN50" s="1" t="str">
        <f>'Replacement plan'!$AE$17</f>
        <v>Assumed</v>
      </c>
      <c r="AO50" s="47">
        <f>IF(AND(C50=1,D50="EV",E50&lt;120),(R50-'Operating costs'!$B$41)*S50+W50*'Operating costs'!$B$12,0)</f>
        <v>0</v>
      </c>
      <c r="AP50" s="41">
        <f>IF(AND(C50=1,D50="EV",E50&lt;120),IF('Operating costs'!$B$68="Hong Seh 200k average",AO50*IFERROR(INDEX(Products!$P$7:$P$13,MATCH(AD50,Products!$A$7:$A$13,0)),"n.a."),'Operating costs'!$B$26),0)</f>
        <v>0</v>
      </c>
      <c r="AQ50" s="40" t="str">
        <f>IF(D50="EV",'Operating costs'!$B$68,"Not applicable")</f>
        <v>Not applicable</v>
      </c>
    </row>
    <row r="51" spans="1:43" ht="24" customHeight="1">
      <c r="A51" s="1" t="str">
        <f>'Replacement plan'!A18</f>
        <v>T012</v>
      </c>
      <c r="B51" s="1">
        <v>0</v>
      </c>
      <c r="C51" s="1">
        <f>IF(COUNTIFS('Fleet register'!$A$7:$A$106,$A51)=1,VLOOKUP($A51,'Fleet register'!$A$7:$S$106,2,FALSE),0)</f>
        <v>0</v>
      </c>
      <c r="D51" s="1" t="str">
        <f>IF("Keep ICE"="EV","EV","ICE")</f>
        <v>ICE</v>
      </c>
      <c r="E51" s="1">
        <f>IF(C51=0,0,IF('Replacement plan'!$M$18="",VLOOKUP($A51,'Fleet register'!$A$7:$S$106,10,FALSE),'Replacement plan'!$M$18))</f>
        <v>0</v>
      </c>
      <c r="F51" s="16">
        <f>IF(C51=0,0,VLOOKUP($A51,'Fleet register'!$A$7:$S$106,11,FALSE))</f>
        <v>0</v>
      </c>
      <c r="G51" s="16">
        <f>IFERROR(IF(C51=0,0,IF(E51=120,0,IF(D51="ICE",'Replacement plan'!$C$18,IF('Replacement plan'!$D$18="",INDEX(Products!$I$7:$I$13,MATCH('Replacement plan'!$B$18,Products!$A$7:$A$13,0))+'Operating costs'!$B$57,'Replacement plan'!$D$18))*(1+'Operating costs'!$B$50)^(E51/12))),"n.a.")</f>
        <v>0</v>
      </c>
      <c r="H51" s="16">
        <f>IFERROR(IF(C51=0,0,IF(E51=0,F51,VLOOKUP($A51,'Fleet register'!$A$7:$S$106,12,FALSE)+VLOOKUP($A51,'Fleet register'!$A$7:$S$106,13,FALSE)*MAX(0,VLOOKUP($A51,'Fleet register'!$A$7:$S$106,10,FALSE)-E51)/VLOOKUP($A51,'Fleet register'!$A$7:$S$106,14,FALSE))),"n.a.")</f>
        <v>0</v>
      </c>
      <c r="I51" s="16">
        <f>IF(C51=0,0,IF(E51=120,0,'Replacement plan'!$N$18))</f>
        <v>0</v>
      </c>
      <c r="J51" s="16">
        <f>IF(C51=0,0,IF(P51="Complete",((S51*(R51-'Operating costs'!$B$39))+ROUNDUP(S51*(R51-'Operating costs'!$B$39)*IF('Replacement plan'!$AG$18="",'Operating costs'!$B$7,'Replacement plan'!$AG$18)/('Operating costs'!$B$8-'Operating costs'!$B$9*IF('Replacement plan'!$AG$18="",'Operating costs'!$B$7,'Replacement plan'!$AG$18)),0)*'Operating costs'!$B$9)*IF('Replacement plan'!$AG$18="",'Operating costs'!$B$7,'Replacement plan'!$AG$18)*('Energy and charging'!$B$9*'Energy and charging'!$B$7+(1-'Energy and charging'!$B$9)*'Energy and charging'!$B$8)*'Operating costs'!$B$23,"n.a."))</f>
        <v>0</v>
      </c>
      <c r="K51" s="16">
        <f>IF(C51=0,0,IF(P51="Complete",SUM('Operating costs'!$B$24,'Operating costs'!$B$27,'Operating costs'!$B$29,'Operating costs'!$B$31,'Operating costs'!$B$33,'Operating costs'!$B$34,'Operating costs'!$B$37,'Replacement plan'!$W$18)+'Operating costs'!$B$39*'Operating costs'!$B$42+ROUNDUP(S51*(R51-'Operating costs'!$B$39)*IF('Replacement plan'!$AG$18="",'Operating costs'!$B$7,'Replacement plan'!$AG$18)/('Operating costs'!$B$8-'Operating costs'!$B$9*IF('Replacement plan'!$AG$18="",'Operating costs'!$B$7,'Replacement plan'!$AG$18)),0)*('Operating costs'!$B$9/'Operating costs'!$B$11+'Operating costs'!$B$10/60)*'Operating costs'!$B$19*'Operating costs'!$B$21,"n.a."))</f>
        <v>0</v>
      </c>
      <c r="L51" s="16">
        <f>IF(C51=0,0,IF(P51="Complete",IF(D51="EV",X51*((1-T51)*'Energy and charging'!$B$10+T51*'Energy and charging'!$B$11)*'Operating costs'!$B$22,AA51*('Energy and charging'!$B$9*'Energy and charging'!$B$7+(1-'Energy and charging'!$B$9)*'Energy and charging'!$B$8)*'Operating costs'!$B$23),"n.a."))</f>
        <v>0</v>
      </c>
      <c r="M51" s="37">
        <f>IF(C51=0,0,IF(P51="Complete",IF(D51="ICE",SUM('Operating costs'!$B$25,'Operating costs'!$B$27,'Operating costs'!$B$29,'Operating costs'!$B$31,'Operating costs'!$B$33,'Operating costs'!$B$35,'Operating costs'!$B$37,'Replacement plan'!$X$18)+'Operating costs'!$B$40*'Operating costs'!$B$42+ROUNDUP(S51*(R51-'Operating costs'!$B$40)*IF('Replacement plan'!$AH$18="",'Operating costs'!$B$7,'Replacement plan'!$AH$18)/('Operating costs'!$B$8-'Operating costs'!$B$9*IF('Replacement plan'!$AH$18="",'Operating costs'!$B$7,'Replacement plan'!$AH$18)),0)*('Operating costs'!$B$9/'Operating costs'!$B$11+'Operating costs'!$B$10/60)*'Operating costs'!$B$19*'Operating costs'!$B$21,SUM(AP51,'Operating costs'!$B$28,'Operating costs'!$B$30,'Operating costs'!$B$32,'Operating costs'!$B$33,'Operating costs'!$B$36,'Operating costs'!$B$38,'Replacement plan'!$Y$18)+'Operating costs'!$B$41*'Operating costs'!$B$43+W51*'Operating costs'!$B$15+(T51*X51/'Replacement plan'!$L$18+W51*('Operating costs'!$B$12/'Operating costs'!$B$11+('Operating costs'!$B$13+'Operating costs'!$B$14)/60)+(R51-'Operating costs'!$B$41)*(IF(T51&lt;1,'Operating costs'!$B$16,0)+'Operating costs'!$B$17)/60)*'Operating costs'!$B$19*'Operating costs'!$B$20),"n.a."))</f>
        <v>0</v>
      </c>
      <c r="N51" s="16">
        <f>IF(AND(C51=1,D51="EV",E51&lt;120,E51+'Replacement plan'!$AA$18&lt;=120),'Replacement plan'!$Z$18,0)</f>
        <v>0</v>
      </c>
      <c r="O51" s="1">
        <f>E51+'Replacement plan'!$AA$18</f>
        <v>0</v>
      </c>
      <c r="P51" s="35" t="str">
        <f>IFERROR(IF(C51=0,"Excluded",IF(OR(COUNTIFS('Fleet register'!$A$7:$A$106,A51)&lt;&gt;1,COUNTIFS('Replacement plan'!$A$7:$A$106,A51)&lt;&gt;1),"Duplicate/missing ID",IF(NOT(AND(ISNUMBER(VLOOKUP($A51,'Fleet register'!$A$7:$S$106,5,FALSE)),ISNUMBER(VLOOKUP($A51,'Fleet register'!$A$7:$S$106,6,FALSE)),ISNUMBER(VLOOKUP($A51,'Fleet register'!$A$7:$S$106,10,FALSE)),ISNUMBER(VLOOKUP($A51,'Fleet register'!$A$7:$S$106,11,FALSE)),ISNUMBER(VLOOKUP($A51,'Fleet register'!$A$7:$S$106,12,FALSE)),ISNUMBER(VLOOKUP($A51,'Fleet register'!$A$7:$S$106,13,FALSE)),ISNUMBER(VLOOKUP($A51,'Fleet register'!$A$7:$S$106,14,FALSE)),VLOOKUP($A51,'Fleet register'!$A$7:$S$106,14,FALSE)&gt;0,ISNUMBER('Replacement plan'!$C$18),OR(E51=120,ISNUMBER('Replacement plan'!$N$18)),ISNUMBER(E51))),"Missing vehicle input",IF(OR(E51&lt;0,E51&gt;VLOOKUP($A51,'Fleet register'!$A$7:$S$106,10,FALSE),E51&gt;120,E51&lt;&gt;INT(E51),VLOOKUP($A51,'Fleet register'!$A$7:$S$106,6,FALSE)&lt;=0,VLOOKUP($A51,'Fleet register'!$A$7:$S$106,6,FALSE)&gt;366,VLOOKUP($A51,'Fleet register'!$A$7:$S$106,5,FALSE)&lt;0,VLOOKUP($A51,'Fleet register'!$A$7:$S$106,11,FALSE)&lt;0,I51&lt;0,'Operating costs'!$B$8&lt;='Operating costs'!$B$7*'Operating costs'!$B$9,'Operating costs'!$B$11&lt;=0,'Operating costs'!$B$39&gt;R51,'Operating costs'!$B$40&gt;R51,'Operating costs'!$B$41&gt;R51,NOT(OR("Keep ICE"="Keep ICE","Keep ICE"="New ICE","Keep ICE"="EV"))),"Invalid vehicle input",IF(AND(D51="EV",E51&lt;120,OR(NOT(ISNUMBER(U51)),NOT(ISNUMBER(V51)),V51&lt;=0,T51&lt;0,T51&gt;1,'Replacement plan'!$L$18&lt;=0,'Operating costs'!$B$44&lt;0,'Operating costs'!$B$44&gt;=1,'Operating costs'!$B$47&lt;=0,'Operating costs'!$B$47&gt;1,V51*'Operating costs'!$B$47/(1-'Operating costs'!$B$44)&lt;=T51*'Operating costs'!$B$12*U51,AND('Replacement plan'!$Z$18&gt;0,OR('Replacement plan'!$AB$18&lt;&gt;"Yes",'Operating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charging'!$B$8&gt;=0))),ISNUMBER(VLOOKUP($A51,'Fleet register'!$A$7:$S$106,15,FALSE)),ISNUMBER(VLOOKUP($A51,'Fleet register'!$A$7:$S$106,16,FALSE)),ISNUMBER('Replacement plan'!$W$18),ISNUMBER('Replacement plan'!$X$18),OR(E51=120,AND(ISNUMBER(G51),G51&gt;=0)),ISNUMBER(H51),H51&gt;=0,OR(D51&lt;&gt;"EV",E51=120,AND(ISNUMBER('Operating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average",ISNUMBER(IFERROR(INDEX(Products!$P$7:$P$13,MATCH(AD51,Products!$A$7:$A$13,0)),"")))),ISNUMBER('Operating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plan'!$Y$18),ISNUMBER('Replacement plan'!$Z$18),'Replacement plan'!$Z$18&gt;=0,ISNUMBER('Replacement plan'!$AA$18),'Replacement plan'!$AA$18&gt;=0,'Replacement plan'!$AA$18=INT('Replacement plan'!$AA$18),ISNUMBER('Replacement plan'!$L$18))),'Operating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plan'!$AG$18="",'Operating costs'!$B$7,'Replacement plan'!$AG$18)),IF('Replacement plan'!$AG$18="",'Operating costs'!$B$7,'Replacement plan'!$AG$18)&gt;=0,ISNUMBER(IF('Replacement plan'!$AH$18="",'Operating costs'!$B$7,'Replacement plan'!$AH$18)),IF('Replacement plan'!$AH$18="",'Operating costs'!$B$7,'Replacement plan'!$AH$18)&gt;=0,'Operating costs'!$B$8&gt;MAX(IF('Replacement plan'!$AG$18="",'Operating costs'!$B$7,'Replacement plan'!$AG$18),IF('Replacement plan'!$AH$18="",'Operating costs'!$B$7,'Replacement plan'!$AH$18))*'Operating costs'!$B$9),IF(AND(VLOOKUP($A51,'Fleet register'!$A$7:$S$106,10,FALSE)&gt;=0,VLOOKUP($A51,'Fleet register'!$A$7:$S$106,10,FALSE)&lt;=120,VLOOKUP($A51,'Fleet register'!$A$7:$S$106,10,FALSE)=INT(VLOOKUP($A51,'Fleet register'!$A$7:$S$106,10,FALSE)),VLOOKUP($A51,'Fleet register'!$A$7:$S$106,15,FALSE)&gt;=0,VLOOKUP($A51,'Fleet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costs'!$B$67)&gt;=0,OR(D51&lt;&gt;"EV",E51=120,AND(MIN('Operating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51" s="1" t="str">
        <f>IF(C51=0,"Excluded",IF(P51&lt;&gt;"Complete",P51,IF(OR('Replacement plan'!$AD$18&lt;120-E51,AND(D51="EV",E51&lt;120,OR('Replacement plan'!$AC$18&lt;120-E51,'Replacement plan'!$I$18="No",AND(ISNUMBER(AF51),AE51&gt;AF51),AI51&gt;V51*(1-'Operating costs'!$B$46)^MAX(0,AB51-1)*(1-'Operating costs'!$B$45),AC51&gt;'Operating costs'!$B$18,AND(T51&lt;1,OR(AG51&lt;=0,AND(ISNUMBER(AH51),AG51&gt;AH51))),'Replacement plan'!$L$18&gt;INDEX(Products!$H$7:$H$13,MATCH('Replacement plan'!$B$18,Products!$A$7:$A$13,0))))),"Fails entered limits",IF(AND(D51="EV",E51&lt;120,OR(NOT(ISNUMBER(VLOOKUP($A51,'Fleet register'!$A$7:$S$106,7,FALSE))),NOT(ISNUMBER(VLOOKUP($A51,'Fleet register'!$A$7:$S$106,8,FALSE))),NOT(ISNUMBER(AF51)),'Replacement plan'!$I$18&lt;&gt;"Yes",NOT(ISNUMBER(AH51)),'Operating costs'!$B$59&lt;&gt;"Yes",'Operating costs'!$B$58&lt;&gt;"Yes")),"Unverified","Within entered limits"))))</f>
        <v>Excluded</v>
      </c>
      <c r="R51" s="1">
        <f>IF(C51=0,0,VLOOKUP($A51,'Fleet register'!$A$7:$S$106,6,FALSE))</f>
        <v>0</v>
      </c>
      <c r="S51" s="1">
        <f>IF(C51=0,0,VLOOKUP($A51,'Fleet register'!$A$7:$S$106,5,FALSE))</f>
        <v>0</v>
      </c>
      <c r="T51" s="1">
        <f>IF(D51="EV",'Energy and charging'!$B$12,0)</f>
        <v>0</v>
      </c>
      <c r="U51" s="1">
        <f>IFERROR(IF(C51=0,0,IF(D51="EV",IF('Replacement plan'!$F$18="",INDEX(Products!$E$7:$E$13,MATCH('Replacement plan'!$B$18,Products!$A$7:$A$13,0)),'Replacement plan'!$F$18)/IF('Replacement plan'!$G$18="Battery",1-'Operating costs'!$B$44,1),0)),"n.a.")</f>
        <v>0</v>
      </c>
      <c r="V51" s="1">
        <f>IFERROR(IF(C51=0,0,IF(D51="EV",IF('Replacement plan'!$E$18="",INDEX(Products!$D$7:$D$13,MATCH('Replacement plan'!$B$18,Products!$A$7:$A$13,0)),'Replacement plan'!$E$18),0)),"n.a.")</f>
        <v>0</v>
      </c>
      <c r="W51" s="1">
        <f>IF(C51=0,0,IF(AND(P51="Complete",D51="EV",E51&lt;120),IF(T51=0,0,ROUNDUP(T51*(R51-'Operating costs'!$B$41)*(S51*U51+'Operating costs'!$B$48/(1-'Operating costs'!$B$44))/(V51*'Operating costs'!$B$47/(1-'Operating costs'!$B$44)-T51*'Operating costs'!$B$12*U51),0)),0))</f>
        <v>0</v>
      </c>
      <c r="X51" s="1">
        <f>IF(C51=0,0,IF(AND(P51="Complete",D51="EV",E51&lt;120),(R51-'Operating costs'!$B$41)*(S51*U51+'Operating costs'!$B$48/(1-'Operating costs'!$B$44))+W51*'Operating costs'!$B$12*U51,0))</f>
        <v>0</v>
      </c>
      <c r="Y51" s="1">
        <f>IF(AND(C51=1,D51="EV",E51&lt;120),AI51/(1-'Operating costs'!$B$44)*(1-T51),0)</f>
        <v>0</v>
      </c>
      <c r="Z51" s="1">
        <f t="shared" si="0"/>
        <v>0</v>
      </c>
      <c r="AA51" s="1">
        <f>IF(C51=0,0,IF(P51="Complete",((S51*(R51-'Operating costs'!$B$40))+ROUNDUP(S51*(R51-'Operating costs'!$B$40)*IF('Replacement plan'!$AH$18="",'Operating costs'!$B$7,'Replacement plan'!$AH$18)/('Operating costs'!$B$8-'Operating costs'!$B$9*IF('Replacement plan'!$AH$18="",'Operating costs'!$B$7,'Replacement plan'!$AH$18)),0)*'Operating costs'!$B$9)*IF('Replacement plan'!$AH$18="",'Operating costs'!$B$7,'Replacement plan'!$AH$18),"n.a."))</f>
        <v>0</v>
      </c>
      <c r="AB51" s="1">
        <f t="shared" si="1"/>
        <v>0</v>
      </c>
      <c r="AC51" s="1">
        <f>IF(AND(C51=1,D51="EV",E51&lt;120,T51&gt;0),'Operating costs'!$B$12/'Operating costs'!$B$11*60+'Operating costs'!$B$13+'Operating costs'!$B$14+V51*'Operating costs'!$B$47/(1-'Operating costs'!$B$44)/'Replacement plan'!$L$18*60,0)</f>
        <v>0</v>
      </c>
      <c r="AD51" s="1" t="str">
        <f>'Replacement plan'!$B$18</f>
        <v>ChengLong L2EV</v>
      </c>
      <c r="AE51" s="1">
        <f>IF(C51=0,0,VLOOKUP($A51,'Fleet register'!$A$7:$S$106,8,FALSE))</f>
        <v>0</v>
      </c>
      <c r="AF51" s="1" t="str">
        <f>IF('Replacement plan'!$H$18="","n.a.",'Replacement plan'!$H$18)</f>
        <v>n.a.</v>
      </c>
      <c r="AG51" s="1">
        <f>'Replacement plan'!$J$18</f>
        <v>22</v>
      </c>
      <c r="AH51" s="1">
        <f>IFERROR(IF(D51="EV",IF('Replacement plan'!$K$18="AC",IF(ISNUMBER(INDEX(Products!$G$7:$G$13,MATCH('Replacement plan'!$B$18,Products!$A$7:$A$13,0))),INDEX(Products!$G$7:$G$13,MATCH('Replacement plan'!$B$18,Products!$A$7:$A$13,0)),"n.a."),IF(ISNUMBER(INDEX(Products!$H$7:$H$13,MATCH('Replacement plan'!$B$18,Products!$A$7:$A$13,0))),INDEX(Products!$H$7:$H$13,MATCH('Replacement plan'!$B$18,Products!$A$7:$A$13,0)),"n.a.")),0),"n.a.")</f>
        <v>0</v>
      </c>
      <c r="AI51" s="1">
        <f>IF(AND(C51=1,D51="EV",E51&lt;120),(VLOOKUP($A51,'Fleet register'!$A$7:$S$106,7,FALSE)+IF(T51&gt;0,'Operating costs'!$B$12,0))*U51*(1-'Operating costs'!$B$44)+'Operating costs'!$B$49,0)</f>
        <v>0</v>
      </c>
      <c r="AJ51" s="1">
        <f>IF(D51="EV",'Energy and charging'!$B$50,0)</f>
        <v>0</v>
      </c>
      <c r="AK51" s="17">
        <f>EDATE('Operating costs'!$B$63,E51)</f>
        <v>46298</v>
      </c>
      <c r="AL51" s="1">
        <f>IFERROR(IF(D51="EV",INDEX(Products!$B$7:$B$13,MATCH('Replacement plan'!$B$18,Products!$A$7:$A$13,0)),0),"n.a.")</f>
        <v>0</v>
      </c>
      <c r="AM51" s="1" t="str">
        <f>'Replacement plan'!$K$18</f>
        <v>DC</v>
      </c>
      <c r="AN51" s="1" t="str">
        <f>'Replacement plan'!$AE$18</f>
        <v>Assumed</v>
      </c>
      <c r="AO51" s="47">
        <f>IF(AND(C51=1,D51="EV",E51&lt;120),(R51-'Operating costs'!$B$41)*S51+W51*'Operating costs'!$B$12,0)</f>
        <v>0</v>
      </c>
      <c r="AP51" s="41">
        <f>IF(AND(C51=1,D51="EV",E51&lt;120),IF('Operating costs'!$B$68="Hong Seh 200k average",AO51*IFERROR(INDEX(Products!$P$7:$P$13,MATCH(AD51,Products!$A$7:$A$13,0)),"n.a."),'Operating costs'!$B$26),0)</f>
        <v>0</v>
      </c>
      <c r="AQ51" s="40" t="str">
        <f>IF(D51="EV",'Operating costs'!$B$68,"Not applicable")</f>
        <v>Not applicable</v>
      </c>
    </row>
    <row r="52" spans="1:43" ht="24" customHeight="1">
      <c r="A52" s="1" t="str">
        <f>'Replacement plan'!A18</f>
        <v>T012</v>
      </c>
      <c r="B52" s="1">
        <v>1</v>
      </c>
      <c r="C52" s="1">
        <f>IF(COUNTIFS('Fleet register'!$A$7:$A$106,$A52)=1,VLOOKUP($A52,'Fleet register'!$A$7:$S$106,2,FALSE),0)</f>
        <v>0</v>
      </c>
      <c r="D52" s="1" t="str">
        <f>IF("New ICE"="EV","EV","ICE")</f>
        <v>ICE</v>
      </c>
      <c r="E52" s="1">
        <f>IF(C52=0,0,0)</f>
        <v>0</v>
      </c>
      <c r="F52" s="16">
        <f>IF(C52=0,0,VLOOKUP($A52,'Fleet register'!$A$7:$S$106,11,FALSE))</f>
        <v>0</v>
      </c>
      <c r="G52" s="16">
        <f>IFERROR(IF(C52=0,0,IF(E52=120,0,IF(D52="ICE",'Replacement plan'!$C$18,IF('Replacement plan'!$D$18="",INDEX(Products!$I$7:$I$13,MATCH('Replacement plan'!$B$18,Products!$A$7:$A$13,0))+'Operating costs'!$B$57,'Replacement plan'!$D$18))*(1+'Operating costs'!$B$50)^(E52/12))),"n.a.")</f>
        <v>0</v>
      </c>
      <c r="H52" s="16">
        <f>IFERROR(IF(C52=0,0,IF(E52=0,F52,VLOOKUP($A52,'Fleet register'!$A$7:$S$106,12,FALSE)+VLOOKUP($A52,'Fleet register'!$A$7:$S$106,13,FALSE)*MAX(0,VLOOKUP($A52,'Fleet register'!$A$7:$S$106,10,FALSE)-E52)/VLOOKUP($A52,'Fleet register'!$A$7:$S$106,14,FALSE))),"n.a.")</f>
        <v>0</v>
      </c>
      <c r="I52" s="16">
        <f>IF(C52=0,0,IF(E52=120,0,IF('Replacement plan'!$AI$18="",'Operating costs'!$B$56,'Replacement plan'!$AI$18)))</f>
        <v>0</v>
      </c>
      <c r="J52" s="16">
        <f>IF(C52=0,0,IF(P52="Complete",((S52*(R52-'Operating costs'!$B$39))+ROUNDUP(S52*(R52-'Operating costs'!$B$39)*IF('Replacement plan'!$AG$18="",'Operating costs'!$B$7,'Replacement plan'!$AG$18)/('Operating costs'!$B$8-'Operating costs'!$B$9*IF('Replacement plan'!$AG$18="",'Operating costs'!$B$7,'Replacement plan'!$AG$18)),0)*'Operating costs'!$B$9)*IF('Replacement plan'!$AG$18="",'Operating costs'!$B$7,'Replacement plan'!$AG$18)*('Energy and charging'!$B$9*'Energy and charging'!$B$7+(1-'Energy and charging'!$B$9)*'Energy and charging'!$B$8)*'Operating costs'!$B$23,"n.a."))</f>
        <v>0</v>
      </c>
      <c r="K52" s="16">
        <f>IF(C52=0,0,IF(P52="Complete",SUM('Operating costs'!$B$24,'Operating costs'!$B$27,'Operating costs'!$B$29,'Operating costs'!$B$31,'Operating costs'!$B$33,'Operating costs'!$B$34,'Operating costs'!$B$37,'Replacement plan'!$W$18)+'Operating costs'!$B$39*'Operating costs'!$B$42+ROUNDUP(S52*(R52-'Operating costs'!$B$39)*IF('Replacement plan'!$AG$18="",'Operating costs'!$B$7,'Replacement plan'!$AG$18)/('Operating costs'!$B$8-'Operating costs'!$B$9*IF('Replacement plan'!$AG$18="",'Operating costs'!$B$7,'Replacement plan'!$AG$18)),0)*('Operating costs'!$B$9/'Operating costs'!$B$11+'Operating costs'!$B$10/60)*'Operating costs'!$B$19*'Operating costs'!$B$21,"n.a."))</f>
        <v>0</v>
      </c>
      <c r="L52" s="16">
        <f>IF(C52=0,0,IF(P52="Complete",IF(D52="EV",X52*((1-T52)*'Energy and charging'!$B$10+T52*'Energy and charging'!$B$11)*'Operating costs'!$B$22,AA52*('Energy and charging'!$B$9*'Energy and charging'!$B$7+(1-'Energy and charging'!$B$9)*'Energy and charging'!$B$8)*'Operating costs'!$B$23),"n.a."))</f>
        <v>0</v>
      </c>
      <c r="M52" s="37">
        <f>IF(C52=0,0,IF(P52="Complete",IF(D52="ICE",SUM('Operating costs'!$B$25,'Operating costs'!$B$27,'Operating costs'!$B$29,'Operating costs'!$B$31,'Operating costs'!$B$33,'Operating costs'!$B$35,'Operating costs'!$B$37,'Replacement plan'!$X$18)+'Operating costs'!$B$40*'Operating costs'!$B$42+ROUNDUP(S52*(R52-'Operating costs'!$B$40)*IF('Replacement plan'!$AH$18="",'Operating costs'!$B$7,'Replacement plan'!$AH$18)/('Operating costs'!$B$8-'Operating costs'!$B$9*IF('Replacement plan'!$AH$18="",'Operating costs'!$B$7,'Replacement plan'!$AH$18)),0)*('Operating costs'!$B$9/'Operating costs'!$B$11+'Operating costs'!$B$10/60)*'Operating costs'!$B$19*'Operating costs'!$B$21,SUM(AP52,'Operating costs'!$B$28,'Operating costs'!$B$30,'Operating costs'!$B$32,'Operating costs'!$B$33,'Operating costs'!$B$36,'Operating costs'!$B$38,'Replacement plan'!$Y$18)+'Operating costs'!$B$41*'Operating costs'!$B$43+W52*'Operating costs'!$B$15+(T52*X52/'Replacement plan'!$L$18+W52*('Operating costs'!$B$12/'Operating costs'!$B$11+('Operating costs'!$B$13+'Operating costs'!$B$14)/60)+(R52-'Operating costs'!$B$41)*(IF(T52&lt;1,'Operating costs'!$B$16,0)+'Operating costs'!$B$17)/60)*'Operating costs'!$B$19*'Operating costs'!$B$20),"n.a."))</f>
        <v>0</v>
      </c>
      <c r="N52" s="16">
        <f>IF(AND(C52=1,D52="EV",E52&lt;120,E52+'Replacement plan'!$AA$18&lt;=120),'Replacement plan'!$Z$18,0)</f>
        <v>0</v>
      </c>
      <c r="O52" s="1">
        <f>E52+'Replacement plan'!$AA$18</f>
        <v>0</v>
      </c>
      <c r="P52" s="35" t="str">
        <f>IFERROR(IF(C52=0,"Excluded",IF(OR(COUNTIFS('Fleet register'!$A$7:$A$106,A52)&lt;&gt;1,COUNTIFS('Replacement plan'!$A$7:$A$106,A52)&lt;&gt;1),"Duplicate/missing ID",IF(NOT(AND(ISNUMBER(VLOOKUP($A52,'Fleet register'!$A$7:$S$106,5,FALSE)),ISNUMBER(VLOOKUP($A52,'Fleet register'!$A$7:$S$106,6,FALSE)),ISNUMBER(VLOOKUP($A52,'Fleet register'!$A$7:$S$106,10,FALSE)),ISNUMBER(VLOOKUP($A52,'Fleet register'!$A$7:$S$106,11,FALSE)),ISNUMBER(VLOOKUP($A52,'Fleet register'!$A$7:$S$106,12,FALSE)),ISNUMBER(VLOOKUP($A52,'Fleet register'!$A$7:$S$106,13,FALSE)),ISNUMBER(VLOOKUP($A52,'Fleet register'!$A$7:$S$106,14,FALSE)),VLOOKUP($A52,'Fleet register'!$A$7:$S$106,14,FALSE)&gt;0,ISNUMBER('Replacement plan'!$C$18),OR(E52=120,OR(ISNUMBER('Replacement plan'!$AI$18),AND('Replacement plan'!$AI$18="",ISNUMBER('Operating costs'!$B$56)))),ISNUMBER(E52))),"Missing vehicle input",IF(OR(E52&lt;0,E52&gt;VLOOKUP($A52,'Fleet register'!$A$7:$S$106,10,FALSE),E52&gt;120,E52&lt;&gt;INT(E52),VLOOKUP($A52,'Fleet register'!$A$7:$S$106,6,FALSE)&lt;=0,VLOOKUP($A52,'Fleet register'!$A$7:$S$106,6,FALSE)&gt;366,VLOOKUP($A52,'Fleet register'!$A$7:$S$106,5,FALSE)&lt;0,VLOOKUP($A52,'Fleet register'!$A$7:$S$106,11,FALSE)&lt;0,I52&lt;0,'Operating costs'!$B$8&lt;='Operating costs'!$B$7*'Operating costs'!$B$9,'Operating costs'!$B$11&lt;=0,'Operating costs'!$B$39&gt;R52,'Operating costs'!$B$40&gt;R52,'Operating costs'!$B$41&gt;R52,NOT(OR("New ICE"="Keep ICE","New ICE"="New ICE","New ICE"="EV"))),"Invalid vehicle input",IF(AND(D52="EV",E52&lt;120,OR(NOT(ISNUMBER(U52)),NOT(ISNUMBER(V52)),V52&lt;=0,T52&lt;0,T52&gt;1,'Replacement plan'!$L$18&lt;=0,'Operating costs'!$B$44&lt;0,'Operating costs'!$B$44&gt;=1,'Operating costs'!$B$47&lt;=0,'Operating costs'!$B$47&gt;1,V52*'Operating costs'!$B$47/(1-'Operating costs'!$B$44)&lt;=T52*'Operating costs'!$B$12*U52,AND('Replacement plan'!$Z$18&gt;0,OR('Replacement plan'!$AB$18&lt;&gt;"Yes",'Operating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charging'!$B$8&gt;=0))),ISNUMBER(VLOOKUP($A52,'Fleet register'!$A$7:$S$106,15,FALSE)),ISNUMBER(VLOOKUP($A52,'Fleet register'!$A$7:$S$106,16,FALSE)),ISNUMBER('Replacement plan'!$W$18),ISNUMBER('Replacement plan'!$X$18),OR(E52=120,AND(ISNUMBER(G52),G52&gt;=0)),ISNUMBER(H52),H52&gt;=0,OR(D52&lt;&gt;"EV",E52=120,AND(ISNUMBER('Operating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average",ISNUMBER(IFERROR(INDEX(Products!$P$7:$P$13,MATCH(AD52,Products!$A$7:$A$13,0)),"")))),ISNUMBER('Operating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plan'!$Y$18),ISNUMBER('Replacement plan'!$Z$18),'Replacement plan'!$Z$18&gt;=0,ISNUMBER('Replacement plan'!$AA$18),'Replacement plan'!$AA$18&gt;=0,'Replacement plan'!$AA$18=INT('Replacement plan'!$AA$18),ISNUMBER('Replacement plan'!$L$18))),'Operating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plan'!$AG$18="",'Operating costs'!$B$7,'Replacement plan'!$AG$18)),IF('Replacement plan'!$AG$18="",'Operating costs'!$B$7,'Replacement plan'!$AG$18)&gt;=0,ISNUMBER(IF('Replacement plan'!$AH$18="",'Operating costs'!$B$7,'Replacement plan'!$AH$18)),IF('Replacement plan'!$AH$18="",'Operating costs'!$B$7,'Replacement plan'!$AH$18)&gt;=0,'Operating costs'!$B$8&gt;MAX(IF('Replacement plan'!$AG$18="",'Operating costs'!$B$7,'Replacement plan'!$AG$18),IF('Replacement plan'!$AH$18="",'Operating costs'!$B$7,'Replacement plan'!$AH$18))*'Operating costs'!$B$9),IF(AND(VLOOKUP($A52,'Fleet register'!$A$7:$S$106,10,FALSE)&gt;=0,VLOOKUP($A52,'Fleet register'!$A$7:$S$106,10,FALSE)&lt;=120,VLOOKUP($A52,'Fleet register'!$A$7:$S$106,10,FALSE)=INT(VLOOKUP($A52,'Fleet register'!$A$7:$S$106,10,FALSE)),VLOOKUP($A52,'Fleet register'!$A$7:$S$106,15,FALSE)&gt;=0,VLOOKUP($A52,'Fleet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costs'!$B$67)&gt;=0,OR(D52&lt;&gt;"EV",E52=120,AND(MIN('Operating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52" s="1" t="str">
        <f>IF(C52=0,"Excluded",IF(P52&lt;&gt;"Complete",P52,IF(OR('Replacement plan'!$AD$18&lt;120-E52,AND(D52="EV",E52&lt;120,OR('Replacement plan'!$AC$18&lt;120-E52,'Replacement plan'!$I$18="No",AND(ISNUMBER(AF52),AE52&gt;AF52),AI52&gt;V52*(1-'Operating costs'!$B$46)^MAX(0,AB52-1)*(1-'Operating costs'!$B$45),AC52&gt;'Operating costs'!$B$18,AND(T52&lt;1,OR(AG52&lt;=0,AND(ISNUMBER(AH52),AG52&gt;AH52))),'Replacement plan'!$L$18&gt;INDEX(Products!$H$7:$H$13,MATCH('Replacement plan'!$B$18,Products!$A$7:$A$13,0))))),"Fails entered limits",IF(AND(D52="EV",E52&lt;120,OR(NOT(ISNUMBER(VLOOKUP($A52,'Fleet register'!$A$7:$S$106,7,FALSE))),NOT(ISNUMBER(VLOOKUP($A52,'Fleet register'!$A$7:$S$106,8,FALSE))),NOT(ISNUMBER(AF52)),'Replacement plan'!$I$18&lt;&gt;"Yes",NOT(ISNUMBER(AH52)),'Operating costs'!$B$59&lt;&gt;"Yes",'Operating costs'!$B$58&lt;&gt;"Yes")),"Unverified","Within entered limits"))))</f>
        <v>Excluded</v>
      </c>
      <c r="R52" s="1">
        <f>IF(C52=0,0,VLOOKUP($A52,'Fleet register'!$A$7:$S$106,6,FALSE))</f>
        <v>0</v>
      </c>
      <c r="S52" s="1">
        <f>IF(C52=0,0,VLOOKUP($A52,'Fleet register'!$A$7:$S$106,5,FALSE))</f>
        <v>0</v>
      </c>
      <c r="T52" s="1">
        <f>IF(D52="EV",'Energy and charging'!$B$12,0)</f>
        <v>0</v>
      </c>
      <c r="U52" s="1">
        <f>IFERROR(IF(C52=0,0,IF(D52="EV",IF('Replacement plan'!$F$18="",INDEX(Products!$E$7:$E$13,MATCH('Replacement plan'!$B$18,Products!$A$7:$A$13,0)),'Replacement plan'!$F$18)/IF('Replacement plan'!$G$18="Battery",1-'Operating costs'!$B$44,1),0)),"n.a.")</f>
        <v>0</v>
      </c>
      <c r="V52" s="1">
        <f>IFERROR(IF(C52=0,0,IF(D52="EV",IF('Replacement plan'!$E$18="",INDEX(Products!$D$7:$D$13,MATCH('Replacement plan'!$B$18,Products!$A$7:$A$13,0)),'Replacement plan'!$E$18),0)),"n.a.")</f>
        <v>0</v>
      </c>
      <c r="W52" s="1">
        <f>IF(C52=0,0,IF(AND(P52="Complete",D52="EV",E52&lt;120),IF(T52=0,0,ROUNDUP(T52*(R52-'Operating costs'!$B$41)*(S52*U52+'Operating costs'!$B$48/(1-'Operating costs'!$B$44))/(V52*'Operating costs'!$B$47/(1-'Operating costs'!$B$44)-T52*'Operating costs'!$B$12*U52),0)),0))</f>
        <v>0</v>
      </c>
      <c r="X52" s="1">
        <f>IF(C52=0,0,IF(AND(P52="Complete",D52="EV",E52&lt;120),(R52-'Operating costs'!$B$41)*(S52*U52+'Operating costs'!$B$48/(1-'Operating costs'!$B$44))+W52*'Operating costs'!$B$12*U52,0))</f>
        <v>0</v>
      </c>
      <c r="Y52" s="1">
        <f>IF(AND(C52=1,D52="EV",E52&lt;120),AI52/(1-'Operating costs'!$B$44)*(1-T52),0)</f>
        <v>0</v>
      </c>
      <c r="Z52" s="1">
        <f t="shared" si="0"/>
        <v>0</v>
      </c>
      <c r="AA52" s="1">
        <f>IF(C52=0,0,IF(P52="Complete",((S52*(R52-'Operating costs'!$B$40))+ROUNDUP(S52*(R52-'Operating costs'!$B$40)*IF('Replacement plan'!$AH$18="",'Operating costs'!$B$7,'Replacement plan'!$AH$18)/('Operating costs'!$B$8-'Operating costs'!$B$9*IF('Replacement plan'!$AH$18="",'Operating costs'!$B$7,'Replacement plan'!$AH$18)),0)*'Operating costs'!$B$9)*IF('Replacement plan'!$AH$18="",'Operating costs'!$B$7,'Replacement plan'!$AH$18),"n.a."))</f>
        <v>0</v>
      </c>
      <c r="AB52" s="1">
        <f t="shared" si="1"/>
        <v>0</v>
      </c>
      <c r="AC52" s="1">
        <f>IF(AND(C52=1,D52="EV",E52&lt;120,T52&gt;0),'Operating costs'!$B$12/'Operating costs'!$B$11*60+'Operating costs'!$B$13+'Operating costs'!$B$14+V52*'Operating costs'!$B$47/(1-'Operating costs'!$B$44)/'Replacement plan'!$L$18*60,0)</f>
        <v>0</v>
      </c>
      <c r="AD52" s="1" t="str">
        <f>'Replacement plan'!$B$18</f>
        <v>ChengLong L2EV</v>
      </c>
      <c r="AE52" s="1">
        <f>IF(C52=0,0,VLOOKUP($A52,'Fleet register'!$A$7:$S$106,8,FALSE))</f>
        <v>0</v>
      </c>
      <c r="AF52" s="1" t="str">
        <f>IF('Replacement plan'!$H$18="","n.a.",'Replacement plan'!$H$18)</f>
        <v>n.a.</v>
      </c>
      <c r="AG52" s="1">
        <f>'Replacement plan'!$J$18</f>
        <v>22</v>
      </c>
      <c r="AH52" s="1">
        <f>IFERROR(IF(D52="EV",IF('Replacement plan'!$K$18="AC",IF(ISNUMBER(INDEX(Products!$G$7:$G$13,MATCH('Replacement plan'!$B$18,Products!$A$7:$A$13,0))),INDEX(Products!$G$7:$G$13,MATCH('Replacement plan'!$B$18,Products!$A$7:$A$13,0)),"n.a."),IF(ISNUMBER(INDEX(Products!$H$7:$H$13,MATCH('Replacement plan'!$B$18,Products!$A$7:$A$13,0))),INDEX(Products!$H$7:$H$13,MATCH('Replacement plan'!$B$18,Products!$A$7:$A$13,0)),"n.a.")),0),"n.a.")</f>
        <v>0</v>
      </c>
      <c r="AI52" s="1">
        <f>IF(AND(C52=1,D52="EV",E52&lt;120),(VLOOKUP($A52,'Fleet register'!$A$7:$S$106,7,FALSE)+IF(T52&gt;0,'Operating costs'!$B$12,0))*U52*(1-'Operating costs'!$B$44)+'Operating costs'!$B$49,0)</f>
        <v>0</v>
      </c>
      <c r="AJ52" s="1">
        <f>IF(D52="EV",'Energy and charging'!$B$50,0)</f>
        <v>0</v>
      </c>
      <c r="AK52" s="17">
        <f>EDATE('Operating costs'!$B$63,E52)</f>
        <v>46298</v>
      </c>
      <c r="AL52" s="1">
        <f>IFERROR(IF(D52="EV",INDEX(Products!$B$7:$B$13,MATCH('Replacement plan'!$B$18,Products!$A$7:$A$13,0)),0),"n.a.")</f>
        <v>0</v>
      </c>
      <c r="AM52" s="1" t="str">
        <f>'Replacement plan'!$K$18</f>
        <v>DC</v>
      </c>
      <c r="AN52" s="1" t="str">
        <f>'Replacement plan'!$AE$18</f>
        <v>Assumed</v>
      </c>
      <c r="AO52" s="47">
        <f>IF(AND(C52=1,D52="EV",E52&lt;120),(R52-'Operating costs'!$B$41)*S52+W52*'Operating costs'!$B$12,0)</f>
        <v>0</v>
      </c>
      <c r="AP52" s="41">
        <f>IF(AND(C52=1,D52="EV",E52&lt;120),IF('Operating costs'!$B$68="Hong Seh 200k average",AO52*IFERROR(INDEX(Products!$P$7:$P$13,MATCH(AD52,Products!$A$7:$A$13,0)),"n.a."),'Operating costs'!$B$26),0)</f>
        <v>0</v>
      </c>
      <c r="AQ52" s="40" t="str">
        <f>IF(D52="EV",'Operating costs'!$B$68,"Not applicable")</f>
        <v>Not applicable</v>
      </c>
    </row>
    <row r="53" spans="1:43" ht="24" customHeight="1">
      <c r="A53" s="1" t="str">
        <f>'Replacement plan'!A18</f>
        <v>T012</v>
      </c>
      <c r="B53" s="1">
        <v>2</v>
      </c>
      <c r="C53" s="1">
        <f>IF(COUNTIFS('Fleet register'!$A$7:$A$106,$A53)=1,VLOOKUP($A53,'Fleet register'!$A$7:$S$106,2,FALSE),0)</f>
        <v>0</v>
      </c>
      <c r="D53" s="1" t="str">
        <f>IF('Replacement plan'!$O$18="EV","EV","ICE")</f>
        <v>ICE</v>
      </c>
      <c r="E53" s="1">
        <f>IF(C53=0,0,IF('Replacement plan'!$P$18="",IF('Replacement plan'!$O$18="Keep ICE",IF('Replacement plan'!$M$18="",VLOOKUP($A53,'Fleet register'!$A$7:$S$106,10,FALSE),'Replacement plan'!$M$18),0),'Replacement plan'!$P$18))</f>
        <v>0</v>
      </c>
      <c r="F53" s="16">
        <f>IF(C53=0,0,VLOOKUP($A53,'Fleet register'!$A$7:$S$106,11,FALSE))</f>
        <v>0</v>
      </c>
      <c r="G53" s="16">
        <f>IFERROR(IF(C53=0,0,IF(E53=120,0,IF(D53="ICE",'Replacement plan'!$C$18,IF('Replacement plan'!$D$18="",INDEX(Products!$I$7:$I$13,MATCH('Replacement plan'!$B$18,Products!$A$7:$A$13,0))+'Operating costs'!$B$57,'Replacement plan'!$D$18))*(1+'Operating costs'!$B$50)^(E53/12))),"n.a.")</f>
        <v>0</v>
      </c>
      <c r="H53" s="16">
        <f>IFERROR(IF(C53=0,0,IF('Replacement plan'!$U$18&lt;&gt;"",'Replacement plan'!$U$18,IF(E53=0,F53,VLOOKUP($A53,'Fleet register'!$A$7:$S$106,12,FALSE)+VLOOKUP($A53,'Fleet register'!$A$7:$S$106,13,FALSE)*MAX(0,VLOOKUP($A53,'Fleet register'!$A$7:$S$106,10,FALSE)-E53)/VLOOKUP($A53,'Fleet register'!$A$7:$S$106,14,FALSE)))),"n.a.")</f>
        <v>0</v>
      </c>
      <c r="I53" s="16">
        <f>IF(C53=0,0,IF(E53=120,0,'Replacement plan'!$Q$18))</f>
        <v>0</v>
      </c>
      <c r="J53" s="16">
        <f>IF(C53=0,0,IF(P53="Complete",((S53*(R53-'Operating costs'!$B$39))+ROUNDUP(S53*(R53-'Operating costs'!$B$39)*IF('Replacement plan'!$AG$18="",'Operating costs'!$B$7,'Replacement plan'!$AG$18)/('Operating costs'!$B$8-'Operating costs'!$B$9*IF('Replacement plan'!$AG$18="",'Operating costs'!$B$7,'Replacement plan'!$AG$18)),0)*'Operating costs'!$B$9)*IF('Replacement plan'!$AG$18="",'Operating costs'!$B$7,'Replacement plan'!$AG$18)*('Energy and charging'!$B$9*'Energy and charging'!$B$7+(1-'Energy and charging'!$B$9)*'Energy and charging'!$B$8)*'Operating costs'!$B$23,"n.a."))</f>
        <v>0</v>
      </c>
      <c r="K53" s="16">
        <f>IF(C53=0,0,IF(P53="Complete",SUM('Operating costs'!$B$24,'Operating costs'!$B$27,'Operating costs'!$B$29,'Operating costs'!$B$31,'Operating costs'!$B$33,'Operating costs'!$B$34,'Operating costs'!$B$37,'Replacement plan'!$W$18)+'Operating costs'!$B$39*'Operating costs'!$B$42+ROUNDUP(S53*(R53-'Operating costs'!$B$39)*IF('Replacement plan'!$AG$18="",'Operating costs'!$B$7,'Replacement plan'!$AG$18)/('Operating costs'!$B$8-'Operating costs'!$B$9*IF('Replacement plan'!$AG$18="",'Operating costs'!$B$7,'Replacement plan'!$AG$18)),0)*('Operating costs'!$B$9/'Operating costs'!$B$11+'Operating costs'!$B$10/60)*'Operating costs'!$B$19*'Operating costs'!$B$21,"n.a."))</f>
        <v>0</v>
      </c>
      <c r="L53" s="16">
        <f>IF(C53=0,0,IF(P53="Complete",IF(D53="EV",X53*((1-T53)*'Energy and charging'!$B$10+T53*'Energy and charging'!$B$11)*'Operating costs'!$B$22,AA53*('Energy and charging'!$B$9*'Energy and charging'!$B$7+(1-'Energy and charging'!$B$9)*'Energy and charging'!$B$8)*'Operating costs'!$B$23),"n.a."))</f>
        <v>0</v>
      </c>
      <c r="M53" s="37">
        <f>IF(C53=0,0,IF(P53="Complete",IF(D53="ICE",SUM('Operating costs'!$B$25,'Operating costs'!$B$27,'Operating costs'!$B$29,'Operating costs'!$B$31,'Operating costs'!$B$33,'Operating costs'!$B$35,'Operating costs'!$B$37,'Replacement plan'!$X$18)+'Operating costs'!$B$40*'Operating costs'!$B$42+ROUNDUP(S53*(R53-'Operating costs'!$B$40)*IF('Replacement plan'!$AH$18="",'Operating costs'!$B$7,'Replacement plan'!$AH$18)/('Operating costs'!$B$8-'Operating costs'!$B$9*IF('Replacement plan'!$AH$18="",'Operating costs'!$B$7,'Replacement plan'!$AH$18)),0)*('Operating costs'!$B$9/'Operating costs'!$B$11+'Operating costs'!$B$10/60)*'Operating costs'!$B$19*'Operating costs'!$B$21,SUM(AP53,'Operating costs'!$B$28,'Operating costs'!$B$30,'Operating costs'!$B$32,'Operating costs'!$B$33,'Operating costs'!$B$36,'Operating costs'!$B$38,'Replacement plan'!$Y$18)+'Operating costs'!$B$41*'Operating costs'!$B$43+W53*'Operating costs'!$B$15+(T53*X53/'Replacement plan'!$L$18+W53*('Operating costs'!$B$12/'Operating costs'!$B$11+('Operating costs'!$B$13+'Operating costs'!$B$14)/60)+(R53-'Operating costs'!$B$41)*(IF(T53&lt;1,'Operating costs'!$B$16,0)+'Operating costs'!$B$17)/60)*'Operating costs'!$B$19*'Operating costs'!$B$20),"n.a."))</f>
        <v>0</v>
      </c>
      <c r="N53" s="16">
        <f>IF(AND(C53=1,D53="EV",E53&lt;120,E53+'Replacement plan'!$AA$18&lt;=120),'Replacement plan'!$Z$18,0)</f>
        <v>0</v>
      </c>
      <c r="O53" s="1">
        <f>E53+'Replacement plan'!$AA$18</f>
        <v>0</v>
      </c>
      <c r="P53" s="35" t="str">
        <f>IFERROR(IF(C53=0,"Excluded",IF(OR(COUNTIFS('Fleet register'!$A$7:$A$106,A53)&lt;&gt;1,COUNTIFS('Replacement plan'!$A$7:$A$106,A53)&lt;&gt;1),"Duplicate/missing ID",IF(NOT(AND(ISNUMBER(VLOOKUP($A53,'Fleet register'!$A$7:$S$106,5,FALSE)),ISNUMBER(VLOOKUP($A53,'Fleet register'!$A$7:$S$106,6,FALSE)),ISNUMBER(VLOOKUP($A53,'Fleet register'!$A$7:$S$106,10,FALSE)),ISNUMBER(VLOOKUP($A53,'Fleet register'!$A$7:$S$106,11,FALSE)),ISNUMBER(VLOOKUP($A53,'Fleet register'!$A$7:$S$106,12,FALSE)),ISNUMBER(VLOOKUP($A53,'Fleet register'!$A$7:$S$106,13,FALSE)),ISNUMBER(VLOOKUP($A53,'Fleet register'!$A$7:$S$106,14,FALSE)),VLOOKUP($A53,'Fleet register'!$A$7:$S$106,14,FALSE)&gt;0,ISNUMBER('Replacement plan'!$C$18),OR(E53=120,ISNUMBER('Replacement plan'!$Q$18)),ISNUMBER(E53))),"Missing vehicle input",IF(OR(E53&lt;0,E53&gt;VLOOKUP($A53,'Fleet register'!$A$7:$S$106,10,FALSE),E53&gt;120,E53&lt;&gt;INT(E53),VLOOKUP($A53,'Fleet register'!$A$7:$S$106,6,FALSE)&lt;=0,VLOOKUP($A53,'Fleet register'!$A$7:$S$106,6,FALSE)&gt;366,VLOOKUP($A53,'Fleet register'!$A$7:$S$106,5,FALSE)&lt;0,VLOOKUP($A53,'Fleet register'!$A$7:$S$106,11,FALSE)&lt;0,I53&lt;0,'Operating costs'!$B$8&lt;='Operating costs'!$B$7*'Operating costs'!$B$9,'Operating costs'!$B$11&lt;=0,'Operating costs'!$B$39&gt;R53,'Operating costs'!$B$40&gt;R53,'Operating costs'!$B$41&gt;R53,NOT(OR('Replacement plan'!$O$18="Keep ICE",'Replacement plan'!$O$18="New ICE",'Replacement plan'!$O$18="EV"))),"Invalid vehicle input",IF(AND(D53="EV",E53&lt;120,OR(NOT(ISNUMBER(U53)),NOT(ISNUMBER(V53)),V53&lt;=0,T53&lt;0,T53&gt;1,'Replacement plan'!$L$18&lt;=0,'Operating costs'!$B$44&lt;0,'Operating costs'!$B$44&gt;=1,'Operating costs'!$B$47&lt;=0,'Operating costs'!$B$47&gt;1,V53*'Operating costs'!$B$47/(1-'Operating costs'!$B$44)&lt;=T53*'Operating costs'!$B$12*U53,AND('Replacement plan'!$Z$18&gt;0,OR('Replacement plan'!$AB$18&lt;&gt;"Yes",'Operating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charging'!$B$8&gt;=0))),ISNUMBER(VLOOKUP($A53,'Fleet register'!$A$7:$S$106,15,FALSE)),ISNUMBER(VLOOKUP($A53,'Fleet register'!$A$7:$S$106,16,FALSE)),ISNUMBER('Replacement plan'!$W$18),ISNUMBER('Replacement plan'!$X$18),OR(E53=120,AND(ISNUMBER(G53),G53&gt;=0)),ISNUMBER(H53),H53&gt;=0,OR(D53&lt;&gt;"EV",E53=120,AND(ISNUMBER('Operating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average",ISNUMBER(IFERROR(INDEX(Products!$P$7:$P$13,MATCH(AD53,Products!$A$7:$A$13,0)),"")))),ISNUMBER('Operating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plan'!$Y$18),ISNUMBER('Replacement plan'!$Z$18),'Replacement plan'!$Z$18&gt;=0,ISNUMBER('Replacement plan'!$AA$18),'Replacement plan'!$AA$18&gt;=0,'Replacement plan'!$AA$18=INT('Replacement plan'!$AA$18),ISNUMBER('Replacement plan'!$L$18))),'Operating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plan'!$AG$18="",'Operating costs'!$B$7,'Replacement plan'!$AG$18)),IF('Replacement plan'!$AG$18="",'Operating costs'!$B$7,'Replacement plan'!$AG$18)&gt;=0,ISNUMBER(IF('Replacement plan'!$AH$18="",'Operating costs'!$B$7,'Replacement plan'!$AH$18)),IF('Replacement plan'!$AH$18="",'Operating costs'!$B$7,'Replacement plan'!$AH$18)&gt;=0,'Operating costs'!$B$8&gt;MAX(IF('Replacement plan'!$AG$18="",'Operating costs'!$B$7,'Replacement plan'!$AG$18),IF('Replacement plan'!$AH$18="",'Operating costs'!$B$7,'Replacement plan'!$AH$18))*'Operating costs'!$B$9),IF(AND(VLOOKUP($A53,'Fleet register'!$A$7:$S$106,10,FALSE)&gt;=0,VLOOKUP($A53,'Fleet register'!$A$7:$S$106,10,FALSE)&lt;=120,VLOOKUP($A53,'Fleet register'!$A$7:$S$106,10,FALSE)=INT(VLOOKUP($A53,'Fleet register'!$A$7:$S$106,10,FALSE)),VLOOKUP($A53,'Fleet register'!$A$7:$S$106,15,FALSE)&gt;=0,VLOOKUP($A53,'Fleet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costs'!$B$67)&gt;=0,OR(D53&lt;&gt;"EV",E53=120,AND(MIN('Operating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53" s="1" t="str">
        <f>IF(C53=0,"Excluded",IF(P53&lt;&gt;"Complete",P53,IF(OR('Replacement plan'!$AD$18&lt;120-E53,AND(D53="EV",E53&lt;120,OR('Replacement plan'!$AC$18&lt;120-E53,'Replacement plan'!$I$18="No",AND(ISNUMBER(AF53),AE53&gt;AF53),AI53&gt;V53*(1-'Operating costs'!$B$46)^MAX(0,AB53-1)*(1-'Operating costs'!$B$45),AC53&gt;'Operating costs'!$B$18,AND(T53&lt;1,OR(AG53&lt;=0,AND(ISNUMBER(AH53),AG53&gt;AH53))),'Replacement plan'!$L$18&gt;INDEX(Products!$H$7:$H$13,MATCH('Replacement plan'!$B$18,Products!$A$7:$A$13,0))))),"Fails entered limits",IF(AND(D53="EV",E53&lt;120,OR(NOT(ISNUMBER(VLOOKUP($A53,'Fleet register'!$A$7:$S$106,7,FALSE))),NOT(ISNUMBER(VLOOKUP($A53,'Fleet register'!$A$7:$S$106,8,FALSE))),NOT(ISNUMBER(AF53)),'Replacement plan'!$I$18&lt;&gt;"Yes",NOT(ISNUMBER(AH53)),'Operating costs'!$B$59&lt;&gt;"Yes",'Operating costs'!$B$58&lt;&gt;"Yes")),"Unverified","Within entered limits"))))</f>
        <v>Excluded</v>
      </c>
      <c r="R53" s="1">
        <f>IF(C53=0,0,VLOOKUP($A53,'Fleet register'!$A$7:$S$106,6,FALSE))</f>
        <v>0</v>
      </c>
      <c r="S53" s="1">
        <f>IF(C53=0,0,VLOOKUP($A53,'Fleet register'!$A$7:$S$106,5,FALSE))</f>
        <v>0</v>
      </c>
      <c r="T53" s="1">
        <f>IF(D53="EV",'Energy and charging'!$B$12,0)</f>
        <v>0</v>
      </c>
      <c r="U53" s="1">
        <f>IFERROR(IF(C53=0,0,IF(D53="EV",IF('Replacement plan'!$F$18="",INDEX(Products!$E$7:$E$13,MATCH('Replacement plan'!$B$18,Products!$A$7:$A$13,0)),'Replacement plan'!$F$18)/IF('Replacement plan'!$G$18="Battery",1-'Operating costs'!$B$44,1),0)),"n.a.")</f>
        <v>0</v>
      </c>
      <c r="V53" s="1">
        <f>IFERROR(IF(C53=0,0,IF(D53="EV",IF('Replacement plan'!$E$18="",INDEX(Products!$D$7:$D$13,MATCH('Replacement plan'!$B$18,Products!$A$7:$A$13,0)),'Replacement plan'!$E$18),0)),"n.a.")</f>
        <v>0</v>
      </c>
      <c r="W53" s="1">
        <f>IF(C53=0,0,IF(AND(P53="Complete",D53="EV",E53&lt;120),IF(T53=0,0,ROUNDUP(T53*(R53-'Operating costs'!$B$41)*(S53*U53+'Operating costs'!$B$48/(1-'Operating costs'!$B$44))/(V53*'Operating costs'!$B$47/(1-'Operating costs'!$B$44)-T53*'Operating costs'!$B$12*U53),0)),0))</f>
        <v>0</v>
      </c>
      <c r="X53" s="1">
        <f>IF(C53=0,0,IF(AND(P53="Complete",D53="EV",E53&lt;120),(R53-'Operating costs'!$B$41)*(S53*U53+'Operating costs'!$B$48/(1-'Operating costs'!$B$44))+W53*'Operating costs'!$B$12*U53,0))</f>
        <v>0</v>
      </c>
      <c r="Y53" s="1">
        <f>IF(AND(C53=1,D53="EV",E53&lt;120),AI53/(1-'Operating costs'!$B$44)*(1-T53),0)</f>
        <v>0</v>
      </c>
      <c r="Z53" s="1">
        <f t="shared" si="0"/>
        <v>0</v>
      </c>
      <c r="AA53" s="1">
        <f>IF(C53=0,0,IF(P53="Complete",((S53*(R53-'Operating costs'!$B$40))+ROUNDUP(S53*(R53-'Operating costs'!$B$40)*IF('Replacement plan'!$AH$18="",'Operating costs'!$B$7,'Replacement plan'!$AH$18)/('Operating costs'!$B$8-'Operating costs'!$B$9*IF('Replacement plan'!$AH$18="",'Operating costs'!$B$7,'Replacement plan'!$AH$18)),0)*'Operating costs'!$B$9)*IF('Replacement plan'!$AH$18="",'Operating costs'!$B$7,'Replacement plan'!$AH$18),"n.a."))</f>
        <v>0</v>
      </c>
      <c r="AB53" s="1">
        <f t="shared" si="1"/>
        <v>0</v>
      </c>
      <c r="AC53" s="1">
        <f>IF(AND(C53=1,D53="EV",E53&lt;120,T53&gt;0),'Operating costs'!$B$12/'Operating costs'!$B$11*60+'Operating costs'!$B$13+'Operating costs'!$B$14+V53*'Operating costs'!$B$47/(1-'Operating costs'!$B$44)/'Replacement plan'!$L$18*60,0)</f>
        <v>0</v>
      </c>
      <c r="AD53" s="1" t="str">
        <f>'Replacement plan'!$B$18</f>
        <v>ChengLong L2EV</v>
      </c>
      <c r="AE53" s="1">
        <f>IF(C53=0,0,VLOOKUP($A53,'Fleet register'!$A$7:$S$106,8,FALSE))</f>
        <v>0</v>
      </c>
      <c r="AF53" s="1" t="str">
        <f>IF('Replacement plan'!$H$18="","n.a.",'Replacement plan'!$H$18)</f>
        <v>n.a.</v>
      </c>
      <c r="AG53" s="1">
        <f>'Replacement plan'!$J$18</f>
        <v>22</v>
      </c>
      <c r="AH53" s="1">
        <f>IFERROR(IF(D53="EV",IF('Replacement plan'!$K$18="AC",IF(ISNUMBER(INDEX(Products!$G$7:$G$13,MATCH('Replacement plan'!$B$18,Products!$A$7:$A$13,0))),INDEX(Products!$G$7:$G$13,MATCH('Replacement plan'!$B$18,Products!$A$7:$A$13,0)),"n.a."),IF(ISNUMBER(INDEX(Products!$H$7:$H$13,MATCH('Replacement plan'!$B$18,Products!$A$7:$A$13,0))),INDEX(Products!$H$7:$H$13,MATCH('Replacement plan'!$B$18,Products!$A$7:$A$13,0)),"n.a.")),0),"n.a.")</f>
        <v>0</v>
      </c>
      <c r="AI53" s="1">
        <f>IF(AND(C53=1,D53="EV",E53&lt;120),(VLOOKUP($A53,'Fleet register'!$A$7:$S$106,7,FALSE)+IF(T53&gt;0,'Operating costs'!$B$12,0))*U53*(1-'Operating costs'!$B$44)+'Operating costs'!$B$49,0)</f>
        <v>0</v>
      </c>
      <c r="AJ53" s="1">
        <f>IF(D53="EV",'Energy and charging'!$B$50,0)</f>
        <v>0</v>
      </c>
      <c r="AK53" s="17">
        <f>EDATE('Operating costs'!$B$63,E53)</f>
        <v>46298</v>
      </c>
      <c r="AL53" s="1">
        <f>IFERROR(IF(D53="EV",INDEX(Products!$B$7:$B$13,MATCH('Replacement plan'!$B$18,Products!$A$7:$A$13,0)),0),"n.a.")</f>
        <v>0</v>
      </c>
      <c r="AM53" s="1" t="str">
        <f>'Replacement plan'!$K$18</f>
        <v>DC</v>
      </c>
      <c r="AN53" s="1" t="str">
        <f>'Replacement plan'!$AE$18</f>
        <v>Assumed</v>
      </c>
      <c r="AO53" s="47">
        <f>IF(AND(C53=1,D53="EV",E53&lt;120),(R53-'Operating costs'!$B$41)*S53+W53*'Operating costs'!$B$12,0)</f>
        <v>0</v>
      </c>
      <c r="AP53" s="41">
        <f>IF(AND(C53=1,D53="EV",E53&lt;120),IF('Operating costs'!$B$68="Hong Seh 200k average",AO53*IFERROR(INDEX(Products!$P$7:$P$13,MATCH(AD53,Products!$A$7:$A$13,0)),"n.a."),'Operating costs'!$B$26),0)</f>
        <v>0</v>
      </c>
      <c r="AQ53" s="40" t="str">
        <f>IF(D53="EV",'Operating costs'!$B$68,"Not applicable")</f>
        <v>Not applicable</v>
      </c>
    </row>
    <row r="54" spans="1:43" ht="24" customHeight="1">
      <c r="A54" s="1" t="str">
        <f>'Replacement plan'!A18</f>
        <v>T012</v>
      </c>
      <c r="B54" s="1">
        <v>3</v>
      </c>
      <c r="C54" s="1">
        <f>IF(COUNTIFS('Fleet register'!$A$7:$A$106,$A54)=1,VLOOKUP($A54,'Fleet register'!$A$7:$S$106,2,FALSE),0)</f>
        <v>0</v>
      </c>
      <c r="D54" s="1" t="str">
        <f>IF('Replacement plan'!$R$18="EV","EV","ICE")</f>
        <v>ICE</v>
      </c>
      <c r="E54" s="1">
        <f>IF(C54=0,0,IF('Replacement plan'!$S$18="",IF('Replacement plan'!$R$18="Keep ICE",IF('Replacement plan'!$M$18="",VLOOKUP($A54,'Fleet register'!$A$7:$S$106,10,FALSE),'Replacement plan'!$M$18),0),'Replacement plan'!$S$18))</f>
        <v>0</v>
      </c>
      <c r="F54" s="16">
        <f>IF(C54=0,0,VLOOKUP($A54,'Fleet register'!$A$7:$S$106,11,FALSE))</f>
        <v>0</v>
      </c>
      <c r="G54" s="16">
        <f>IFERROR(IF(C54=0,0,IF(E54=120,0,IF(D54="ICE",'Replacement plan'!$C$18,IF('Replacement plan'!$D$18="",INDEX(Products!$I$7:$I$13,MATCH('Replacement plan'!$B$18,Products!$A$7:$A$13,0))+'Operating costs'!$B$57,'Replacement plan'!$D$18))*(1+'Operating costs'!$B$50)^(E54/12))),"n.a.")</f>
        <v>0</v>
      </c>
      <c r="H54" s="16">
        <f>IFERROR(IF(C54=0,0,IF('Replacement plan'!$V$18&lt;&gt;"",'Replacement plan'!$V$18,IF(E54=0,F54,VLOOKUP($A54,'Fleet register'!$A$7:$S$106,12,FALSE)+VLOOKUP($A54,'Fleet register'!$A$7:$S$106,13,FALSE)*MAX(0,VLOOKUP($A54,'Fleet register'!$A$7:$S$106,10,FALSE)-E54)/VLOOKUP($A54,'Fleet register'!$A$7:$S$106,14,FALSE)))),"n.a.")</f>
        <v>0</v>
      </c>
      <c r="I54" s="16">
        <f>IF(C54=0,0,IF(E54=120,0,'Replacement plan'!$T$18))</f>
        <v>0</v>
      </c>
      <c r="J54" s="16">
        <f>IF(C54=0,0,IF(P54="Complete",((S54*(R54-'Operating costs'!$B$39))+ROUNDUP(S54*(R54-'Operating costs'!$B$39)*IF('Replacement plan'!$AG$18="",'Operating costs'!$B$7,'Replacement plan'!$AG$18)/('Operating costs'!$B$8-'Operating costs'!$B$9*IF('Replacement plan'!$AG$18="",'Operating costs'!$B$7,'Replacement plan'!$AG$18)),0)*'Operating costs'!$B$9)*IF('Replacement plan'!$AG$18="",'Operating costs'!$B$7,'Replacement plan'!$AG$18)*('Energy and charging'!$C$9*'Energy and charging'!$C$7+(1-'Energy and charging'!$C$9)*'Energy and charging'!$C$8)*'Operating costs'!$B$23,"n.a."))</f>
        <v>0</v>
      </c>
      <c r="K54" s="16">
        <f>IF(C54=0,0,IF(P54="Complete",SUM('Operating costs'!$B$24,'Operating costs'!$B$27,'Operating costs'!$B$29,'Operating costs'!$B$31,'Operating costs'!$B$33,'Operating costs'!$B$34,'Operating costs'!$B$37,'Replacement plan'!$W$18)+'Operating costs'!$B$39*'Operating costs'!$B$42+ROUNDUP(S54*(R54-'Operating costs'!$B$39)*IF('Replacement plan'!$AG$18="",'Operating costs'!$B$7,'Replacement plan'!$AG$18)/('Operating costs'!$B$8-'Operating costs'!$B$9*IF('Replacement plan'!$AG$18="",'Operating costs'!$B$7,'Replacement plan'!$AG$18)),0)*('Operating costs'!$B$9/'Operating costs'!$B$11+'Operating costs'!$B$10/60)*'Operating costs'!$B$19*'Operating costs'!$B$21,"n.a."))</f>
        <v>0</v>
      </c>
      <c r="L54" s="16">
        <f>IF(C54=0,0,IF(P54="Complete",IF(D54="EV",X54*((1-T54)*'Energy and charging'!$C$10+T54*'Energy and charging'!$C$11)*'Operating costs'!$B$22,AA54*('Energy and charging'!$C$9*'Energy and charging'!$C$7+(1-'Energy and charging'!$C$9)*'Energy and charging'!$C$8)*'Operating costs'!$B$23),"n.a."))</f>
        <v>0</v>
      </c>
      <c r="M54" s="37">
        <f>IF(C54=0,0,IF(P54="Complete",IF(D54="ICE",SUM('Operating costs'!$B$25,'Operating costs'!$B$27,'Operating costs'!$B$29,'Operating costs'!$B$31,'Operating costs'!$B$33,'Operating costs'!$B$35,'Operating costs'!$B$37,'Replacement plan'!$X$18)+'Operating costs'!$B$40*'Operating costs'!$B$42+ROUNDUP(S54*(R54-'Operating costs'!$B$40)*IF('Replacement plan'!$AH$18="",'Operating costs'!$B$7,'Replacement plan'!$AH$18)/('Operating costs'!$B$8-'Operating costs'!$B$9*IF('Replacement plan'!$AH$18="",'Operating costs'!$B$7,'Replacement plan'!$AH$18)),0)*('Operating costs'!$B$9/'Operating costs'!$B$11+'Operating costs'!$B$10/60)*'Operating costs'!$B$19*'Operating costs'!$B$21,SUM(AP54,'Operating costs'!$B$28,'Operating costs'!$B$30,'Operating costs'!$B$32,'Operating costs'!$B$33,'Operating costs'!$B$36,'Operating costs'!$B$38,'Replacement plan'!$Y$18)+'Operating costs'!$B$41*'Operating costs'!$B$43+W54*'Operating costs'!$B$15+(T54*X54/'Replacement plan'!$L$18+W54*('Operating costs'!$B$12/'Operating costs'!$B$11+('Operating costs'!$B$13+'Operating costs'!$B$14)/60)+(R54-'Operating costs'!$B$41)*(IF(T54&lt;1,'Operating costs'!$B$16,0)+'Operating costs'!$B$17)/60)*'Operating costs'!$B$19*'Operating costs'!$B$20),"n.a."))</f>
        <v>0</v>
      </c>
      <c r="N54" s="16">
        <f>IF(AND(C54=1,D54="EV",E54&lt;120,E54+'Replacement plan'!$AA$18&lt;=120),'Replacement plan'!$Z$18,0)</f>
        <v>0</v>
      </c>
      <c r="O54" s="1">
        <f>E54+'Replacement plan'!$AA$18</f>
        <v>0</v>
      </c>
      <c r="P54" s="35" t="str">
        <f>IFERROR(IF(C54=0,"Excluded",IF(OR(COUNTIFS('Fleet register'!$A$7:$A$106,A54)&lt;&gt;1,COUNTIFS('Replacement plan'!$A$7:$A$106,A54)&lt;&gt;1),"Duplicate/missing ID",IF(NOT(AND(ISNUMBER(VLOOKUP($A54,'Fleet register'!$A$7:$S$106,5,FALSE)),ISNUMBER(VLOOKUP($A54,'Fleet register'!$A$7:$S$106,6,FALSE)),ISNUMBER(VLOOKUP($A54,'Fleet register'!$A$7:$S$106,10,FALSE)),ISNUMBER(VLOOKUP($A54,'Fleet register'!$A$7:$S$106,11,FALSE)),ISNUMBER(VLOOKUP($A54,'Fleet register'!$A$7:$S$106,12,FALSE)),ISNUMBER(VLOOKUP($A54,'Fleet register'!$A$7:$S$106,13,FALSE)),ISNUMBER(VLOOKUP($A54,'Fleet register'!$A$7:$S$106,14,FALSE)),VLOOKUP($A54,'Fleet register'!$A$7:$S$106,14,FALSE)&gt;0,ISNUMBER('Replacement plan'!$C$18),OR(E54=120,ISNUMBER('Replacement plan'!$T$18)),ISNUMBER(E54))),"Missing vehicle input",IF(OR(E54&lt;0,E54&gt;VLOOKUP($A54,'Fleet register'!$A$7:$S$106,10,FALSE),E54&gt;120,E54&lt;&gt;INT(E54),VLOOKUP($A54,'Fleet register'!$A$7:$S$106,6,FALSE)&lt;=0,VLOOKUP($A54,'Fleet register'!$A$7:$S$106,6,FALSE)&gt;366,VLOOKUP($A54,'Fleet register'!$A$7:$S$106,5,FALSE)&lt;0,VLOOKUP($A54,'Fleet register'!$A$7:$S$106,11,FALSE)&lt;0,I54&lt;0,'Operating costs'!$B$8&lt;='Operating costs'!$B$7*'Operating costs'!$B$9,'Operating costs'!$B$11&lt;=0,'Operating costs'!$B$39&gt;R54,'Operating costs'!$B$40&gt;R54,'Operating costs'!$B$41&gt;R54,NOT(OR('Replacement plan'!$R$18="Keep ICE",'Replacement plan'!$R$18="New ICE",'Replacement plan'!$R$18="EV"))),"Invalid vehicle input",IF(AND(D54="EV",E54&lt;120,OR(NOT(ISNUMBER(U54)),NOT(ISNUMBER(V54)),V54&lt;=0,T54&lt;0,T54&gt;1,'Replacement plan'!$L$18&lt;=0,'Operating costs'!$B$44&lt;0,'Operating costs'!$B$44&gt;=1,'Operating costs'!$B$47&lt;=0,'Operating costs'!$B$47&gt;1,V54*'Operating costs'!$B$47/(1-'Operating costs'!$B$44)&lt;=T54*'Operating costs'!$B$12*U54,AND('Replacement plan'!$Z$18&gt;0,OR('Replacement plan'!$AB$18&lt;&gt;"Yes",'Operating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charging'!$C$8&gt;=0))),ISNUMBER(VLOOKUP($A54,'Fleet register'!$A$7:$S$106,15,FALSE)),ISNUMBER(VLOOKUP($A54,'Fleet register'!$A$7:$S$106,16,FALSE)),ISNUMBER('Replacement plan'!$W$18),ISNUMBER('Replacement plan'!$X$18),OR(E54=120,AND(ISNUMBER(G54),G54&gt;=0)),ISNUMBER(H54),H54&gt;=0,OR(D54&lt;&gt;"EV",E54=120,AND(ISNUMBER('Operating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average",ISNUMBER(IFERROR(INDEX(Products!$P$7:$P$13,MATCH(AD54,Products!$A$7:$A$13,0)),"")))),ISNUMBER('Operating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plan'!$Y$18),ISNUMBER('Replacement plan'!$Z$18),'Replacement plan'!$Z$18&gt;=0,ISNUMBER('Replacement plan'!$AA$18),'Replacement plan'!$AA$18&gt;=0,'Replacement plan'!$AA$18=INT('Replacement plan'!$AA$18),ISNUMBER('Replacement plan'!$L$18))),'Operating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plan'!$AG$18="",'Operating costs'!$B$7,'Replacement plan'!$AG$18)),IF('Replacement plan'!$AG$18="",'Operating costs'!$B$7,'Replacement plan'!$AG$18)&gt;=0,ISNUMBER(IF('Replacement plan'!$AH$18="",'Operating costs'!$B$7,'Replacement plan'!$AH$18)),IF('Replacement plan'!$AH$18="",'Operating costs'!$B$7,'Replacement plan'!$AH$18)&gt;=0,'Operating costs'!$B$8&gt;MAX(IF('Replacement plan'!$AG$18="",'Operating costs'!$B$7,'Replacement plan'!$AG$18),IF('Replacement plan'!$AH$18="",'Operating costs'!$B$7,'Replacement plan'!$AH$18))*'Operating costs'!$B$9),IF(AND(VLOOKUP($A54,'Fleet register'!$A$7:$S$106,10,FALSE)&gt;=0,VLOOKUP($A54,'Fleet register'!$A$7:$S$106,10,FALSE)&lt;=120,VLOOKUP($A54,'Fleet register'!$A$7:$S$106,10,FALSE)=INT(VLOOKUP($A54,'Fleet register'!$A$7:$S$106,10,FALSE)),VLOOKUP($A54,'Fleet register'!$A$7:$S$106,15,FALSE)&gt;=0,VLOOKUP($A54,'Fleet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costs'!$B$67)&gt;=0,OR(D54&lt;&gt;"EV",E54=120,AND(MIN('Operating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54" s="1" t="str">
        <f>IF(C54=0,"Excluded",IF(P54&lt;&gt;"Complete",P54,IF(OR('Replacement plan'!$AD$18&lt;120-E54,AND(D54="EV",E54&lt;120,OR('Replacement plan'!$AC$18&lt;120-E54,'Replacement plan'!$I$18="No",AND(ISNUMBER(AF54),AE54&gt;AF54),AI54&gt;V54*(1-'Operating costs'!$B$46)^MAX(0,AB54-1)*(1-'Operating costs'!$B$45),AC54&gt;'Operating costs'!$B$18,AND(T54&lt;1,OR(AG54&lt;=0,AND(ISNUMBER(AH54),AG54&gt;AH54))),'Replacement plan'!$L$18&gt;INDEX(Products!$H$7:$H$13,MATCH('Replacement plan'!$B$18,Products!$A$7:$A$13,0))))),"Fails entered limits",IF(AND(D54="EV",E54&lt;120,OR(NOT(ISNUMBER(VLOOKUP($A54,'Fleet register'!$A$7:$S$106,7,FALSE))),NOT(ISNUMBER(VLOOKUP($A54,'Fleet register'!$A$7:$S$106,8,FALSE))),NOT(ISNUMBER(AF54)),'Replacement plan'!$I$18&lt;&gt;"Yes",NOT(ISNUMBER(AH54)),'Operating costs'!$B$59&lt;&gt;"Yes",'Operating costs'!$B$58&lt;&gt;"Yes")),"Unverified","Within entered limits"))))</f>
        <v>Excluded</v>
      </c>
      <c r="R54" s="1">
        <f>IF(C54=0,0,VLOOKUP($A54,'Fleet register'!$A$7:$S$106,6,FALSE))</f>
        <v>0</v>
      </c>
      <c r="S54" s="1">
        <f>IF(C54=0,0,VLOOKUP($A54,'Fleet register'!$A$7:$S$106,5,FALSE))</f>
        <v>0</v>
      </c>
      <c r="T54" s="1">
        <f>IF(D54="EV",'Energy and charging'!$C$12,0)</f>
        <v>0</v>
      </c>
      <c r="U54" s="1">
        <f>IFERROR(IF(C54=0,0,IF(D54="EV",IF('Replacement plan'!$F$18="",INDEX(Products!$E$7:$E$13,MATCH('Replacement plan'!$B$18,Products!$A$7:$A$13,0)),'Replacement plan'!$F$18)/IF('Replacement plan'!$G$18="Battery",1-'Operating costs'!$B$44,1),0)),"n.a.")</f>
        <v>0</v>
      </c>
      <c r="V54" s="1">
        <f>IFERROR(IF(C54=0,0,IF(D54="EV",IF('Replacement plan'!$E$18="",INDEX(Products!$D$7:$D$13,MATCH('Replacement plan'!$B$18,Products!$A$7:$A$13,0)),'Replacement plan'!$E$18),0)),"n.a.")</f>
        <v>0</v>
      </c>
      <c r="W54" s="1">
        <f>IF(C54=0,0,IF(AND(P54="Complete",D54="EV",E54&lt;120),IF(T54=0,0,ROUNDUP(T54*(R54-'Operating costs'!$B$41)*(S54*U54+'Operating costs'!$B$48/(1-'Operating costs'!$B$44))/(V54*'Operating costs'!$B$47/(1-'Operating costs'!$B$44)-T54*'Operating costs'!$B$12*U54),0)),0))</f>
        <v>0</v>
      </c>
      <c r="X54" s="1">
        <f>IF(C54=0,0,IF(AND(P54="Complete",D54="EV",E54&lt;120),(R54-'Operating costs'!$B$41)*(S54*U54+'Operating costs'!$B$48/(1-'Operating costs'!$B$44))+W54*'Operating costs'!$B$12*U54,0))</f>
        <v>0</v>
      </c>
      <c r="Y54" s="1">
        <f>IF(AND(C54=1,D54="EV",E54&lt;120),AI54/(1-'Operating costs'!$B$44)*(1-T54),0)</f>
        <v>0</v>
      </c>
      <c r="Z54" s="1">
        <f t="shared" si="0"/>
        <v>0</v>
      </c>
      <c r="AA54" s="1">
        <f>IF(C54=0,0,IF(P54="Complete",((S54*(R54-'Operating costs'!$B$40))+ROUNDUP(S54*(R54-'Operating costs'!$B$40)*IF('Replacement plan'!$AH$18="",'Operating costs'!$B$7,'Replacement plan'!$AH$18)/('Operating costs'!$B$8-'Operating costs'!$B$9*IF('Replacement plan'!$AH$18="",'Operating costs'!$B$7,'Replacement plan'!$AH$18)),0)*'Operating costs'!$B$9)*IF('Replacement plan'!$AH$18="",'Operating costs'!$B$7,'Replacement plan'!$AH$18),"n.a."))</f>
        <v>0</v>
      </c>
      <c r="AB54" s="1">
        <f t="shared" si="1"/>
        <v>0</v>
      </c>
      <c r="AC54" s="1">
        <f>IF(AND(C54=1,D54="EV",E54&lt;120,T54&gt;0),'Operating costs'!$B$12/'Operating costs'!$B$11*60+'Operating costs'!$B$13+'Operating costs'!$B$14+V54*'Operating costs'!$B$47/(1-'Operating costs'!$B$44)/'Replacement plan'!$L$18*60,0)</f>
        <v>0</v>
      </c>
      <c r="AD54" s="1" t="str">
        <f>'Replacement plan'!$B$18</f>
        <v>ChengLong L2EV</v>
      </c>
      <c r="AE54" s="1">
        <f>IF(C54=0,0,VLOOKUP($A54,'Fleet register'!$A$7:$S$106,8,FALSE))</f>
        <v>0</v>
      </c>
      <c r="AF54" s="1" t="str">
        <f>IF('Replacement plan'!$H$18="","n.a.",'Replacement plan'!$H$18)</f>
        <v>n.a.</v>
      </c>
      <c r="AG54" s="1">
        <f>'Replacement plan'!$J$18</f>
        <v>22</v>
      </c>
      <c r="AH54" s="1">
        <f>IFERROR(IF(D54="EV",IF('Replacement plan'!$K$18="AC",IF(ISNUMBER(INDEX(Products!$G$7:$G$13,MATCH('Replacement plan'!$B$18,Products!$A$7:$A$13,0))),INDEX(Products!$G$7:$G$13,MATCH('Replacement plan'!$B$18,Products!$A$7:$A$13,0)),"n.a."),IF(ISNUMBER(INDEX(Products!$H$7:$H$13,MATCH('Replacement plan'!$B$18,Products!$A$7:$A$13,0))),INDEX(Products!$H$7:$H$13,MATCH('Replacement plan'!$B$18,Products!$A$7:$A$13,0)),"n.a.")),0),"n.a.")</f>
        <v>0</v>
      </c>
      <c r="AI54" s="1">
        <f>IF(AND(C54=1,D54="EV",E54&lt;120),(VLOOKUP($A54,'Fleet register'!$A$7:$S$106,7,FALSE)+IF(T54&gt;0,'Operating costs'!$B$12,0))*U54*(1-'Operating costs'!$B$44)+'Operating costs'!$B$49,0)</f>
        <v>0</v>
      </c>
      <c r="AJ54" s="1">
        <f>IF(D54="EV",'Energy and charging'!$C$50,0)</f>
        <v>0</v>
      </c>
      <c r="AK54" s="17">
        <f>EDATE('Operating costs'!$B$63,E54)</f>
        <v>46298</v>
      </c>
      <c r="AL54" s="1">
        <f>IFERROR(IF(D54="EV",INDEX(Products!$B$7:$B$13,MATCH('Replacement plan'!$B$18,Products!$A$7:$A$13,0)),0),"n.a.")</f>
        <v>0</v>
      </c>
      <c r="AM54" s="1" t="str">
        <f>'Replacement plan'!$K$18</f>
        <v>DC</v>
      </c>
      <c r="AN54" s="1" t="str">
        <f>'Replacement plan'!$AE$18</f>
        <v>Assumed</v>
      </c>
      <c r="AO54" s="47">
        <f>IF(AND(C54=1,D54="EV",E54&lt;120),(R54-'Operating costs'!$B$41)*S54+W54*'Operating costs'!$B$12,0)</f>
        <v>0</v>
      </c>
      <c r="AP54" s="41">
        <f>IF(AND(C54=1,D54="EV",E54&lt;120),IF('Operating costs'!$B$68="Hong Seh 200k average",AO54*IFERROR(INDEX(Products!$P$7:$P$13,MATCH(AD54,Products!$A$7:$A$13,0)),"n.a."),'Operating costs'!$B$26),0)</f>
        <v>0</v>
      </c>
      <c r="AQ54" s="40" t="str">
        <f>IF(D54="EV",'Operating costs'!$B$68,"Not applicable")</f>
        <v>Not applicable</v>
      </c>
    </row>
    <row r="55" spans="1:43" ht="24" customHeight="1">
      <c r="A55" s="1" t="str">
        <f>'Replacement plan'!A19</f>
        <v>T013</v>
      </c>
      <c r="B55" s="1">
        <v>0</v>
      </c>
      <c r="C55" s="1">
        <f>IF(COUNTIFS('Fleet register'!$A$7:$A$106,$A55)=1,VLOOKUP($A55,'Fleet register'!$A$7:$S$106,2,FALSE),0)</f>
        <v>0</v>
      </c>
      <c r="D55" s="1" t="str">
        <f>IF("Keep ICE"="EV","EV","ICE")</f>
        <v>ICE</v>
      </c>
      <c r="E55" s="1">
        <f>IF(C55=0,0,IF('Replacement plan'!$M$19="",VLOOKUP($A55,'Fleet register'!$A$7:$S$106,10,FALSE),'Replacement plan'!$M$19))</f>
        <v>0</v>
      </c>
      <c r="F55" s="16">
        <f>IF(C55=0,0,VLOOKUP($A55,'Fleet register'!$A$7:$S$106,11,FALSE))</f>
        <v>0</v>
      </c>
      <c r="G55" s="16">
        <f>IFERROR(IF(C55=0,0,IF(E55=120,0,IF(D55="ICE",'Replacement plan'!$C$19,IF('Replacement plan'!$D$19="",INDEX(Products!$I$7:$I$13,MATCH('Replacement plan'!$B$19,Products!$A$7:$A$13,0))+'Operating costs'!$B$57,'Replacement plan'!$D$19))*(1+'Operating costs'!$B$50)^(E55/12))),"n.a.")</f>
        <v>0</v>
      </c>
      <c r="H55" s="16">
        <f>IFERROR(IF(C55=0,0,IF(E55=0,F55,VLOOKUP($A55,'Fleet register'!$A$7:$S$106,12,FALSE)+VLOOKUP($A55,'Fleet register'!$A$7:$S$106,13,FALSE)*MAX(0,VLOOKUP($A55,'Fleet register'!$A$7:$S$106,10,FALSE)-E55)/VLOOKUP($A55,'Fleet register'!$A$7:$S$106,14,FALSE))),"n.a.")</f>
        <v>0</v>
      </c>
      <c r="I55" s="16">
        <f>IF(C55=0,0,IF(E55=120,0,'Replacement plan'!$N$19))</f>
        <v>0</v>
      </c>
      <c r="J55" s="16">
        <f>IF(C55=0,0,IF(P55="Complete",((S55*(R55-'Operating costs'!$B$39))+ROUNDUP(S55*(R55-'Operating costs'!$B$39)*IF('Replacement plan'!$AG$19="",'Operating costs'!$B$7,'Replacement plan'!$AG$19)/('Operating costs'!$B$8-'Operating costs'!$B$9*IF('Replacement plan'!$AG$19="",'Operating costs'!$B$7,'Replacement plan'!$AG$19)),0)*'Operating costs'!$B$9)*IF('Replacement plan'!$AG$19="",'Operating costs'!$B$7,'Replacement plan'!$AG$19)*('Energy and charging'!$B$9*'Energy and charging'!$B$7+(1-'Energy and charging'!$B$9)*'Energy and charging'!$B$8)*'Operating costs'!$B$23,"n.a."))</f>
        <v>0</v>
      </c>
      <c r="K55" s="16">
        <f>IF(C55=0,0,IF(P55="Complete",SUM('Operating costs'!$B$24,'Operating costs'!$B$27,'Operating costs'!$B$29,'Operating costs'!$B$31,'Operating costs'!$B$33,'Operating costs'!$B$34,'Operating costs'!$B$37,'Replacement plan'!$W$19)+'Operating costs'!$B$39*'Operating costs'!$B$42+ROUNDUP(S55*(R55-'Operating costs'!$B$39)*IF('Replacement plan'!$AG$19="",'Operating costs'!$B$7,'Replacement plan'!$AG$19)/('Operating costs'!$B$8-'Operating costs'!$B$9*IF('Replacement plan'!$AG$19="",'Operating costs'!$B$7,'Replacement plan'!$AG$19)),0)*('Operating costs'!$B$9/'Operating costs'!$B$11+'Operating costs'!$B$10/60)*'Operating costs'!$B$19*'Operating costs'!$B$21,"n.a."))</f>
        <v>0</v>
      </c>
      <c r="L55" s="16">
        <f>IF(C55=0,0,IF(P55="Complete",IF(D55="EV",X55*((1-T55)*'Energy and charging'!$B$10+T55*'Energy and charging'!$B$11)*'Operating costs'!$B$22,AA55*('Energy and charging'!$B$9*'Energy and charging'!$B$7+(1-'Energy and charging'!$B$9)*'Energy and charging'!$B$8)*'Operating costs'!$B$23),"n.a."))</f>
        <v>0</v>
      </c>
      <c r="M55" s="37">
        <f>IF(C55=0,0,IF(P55="Complete",IF(D55="ICE",SUM('Operating costs'!$B$25,'Operating costs'!$B$27,'Operating costs'!$B$29,'Operating costs'!$B$31,'Operating costs'!$B$33,'Operating costs'!$B$35,'Operating costs'!$B$37,'Replacement plan'!$X$19)+'Operating costs'!$B$40*'Operating costs'!$B$42+ROUNDUP(S55*(R55-'Operating costs'!$B$40)*IF('Replacement plan'!$AH$19="",'Operating costs'!$B$7,'Replacement plan'!$AH$19)/('Operating costs'!$B$8-'Operating costs'!$B$9*IF('Replacement plan'!$AH$19="",'Operating costs'!$B$7,'Replacement plan'!$AH$19)),0)*('Operating costs'!$B$9/'Operating costs'!$B$11+'Operating costs'!$B$10/60)*'Operating costs'!$B$19*'Operating costs'!$B$21,SUM(AP55,'Operating costs'!$B$28,'Operating costs'!$B$30,'Operating costs'!$B$32,'Operating costs'!$B$33,'Operating costs'!$B$36,'Operating costs'!$B$38,'Replacement plan'!$Y$19)+'Operating costs'!$B$41*'Operating costs'!$B$43+W55*'Operating costs'!$B$15+(T55*X55/'Replacement plan'!$L$19+W55*('Operating costs'!$B$12/'Operating costs'!$B$11+('Operating costs'!$B$13+'Operating costs'!$B$14)/60)+(R55-'Operating costs'!$B$41)*(IF(T55&lt;1,'Operating costs'!$B$16,0)+'Operating costs'!$B$17)/60)*'Operating costs'!$B$19*'Operating costs'!$B$20),"n.a."))</f>
        <v>0</v>
      </c>
      <c r="N55" s="16">
        <f>IF(AND(C55=1,D55="EV",E55&lt;120,E55+'Replacement plan'!$AA$19&lt;=120),'Replacement plan'!$Z$19,0)</f>
        <v>0</v>
      </c>
      <c r="O55" s="1">
        <f>E55+'Replacement plan'!$AA$19</f>
        <v>0</v>
      </c>
      <c r="P55" s="35" t="str">
        <f>IFERROR(IF(C55=0,"Excluded",IF(OR(COUNTIFS('Fleet register'!$A$7:$A$106,A55)&lt;&gt;1,COUNTIFS('Replacement plan'!$A$7:$A$106,A55)&lt;&gt;1),"Duplicate/missing ID",IF(NOT(AND(ISNUMBER(VLOOKUP($A55,'Fleet register'!$A$7:$S$106,5,FALSE)),ISNUMBER(VLOOKUP($A55,'Fleet register'!$A$7:$S$106,6,FALSE)),ISNUMBER(VLOOKUP($A55,'Fleet register'!$A$7:$S$106,10,FALSE)),ISNUMBER(VLOOKUP($A55,'Fleet register'!$A$7:$S$106,11,FALSE)),ISNUMBER(VLOOKUP($A55,'Fleet register'!$A$7:$S$106,12,FALSE)),ISNUMBER(VLOOKUP($A55,'Fleet register'!$A$7:$S$106,13,FALSE)),ISNUMBER(VLOOKUP($A55,'Fleet register'!$A$7:$S$106,14,FALSE)),VLOOKUP($A55,'Fleet register'!$A$7:$S$106,14,FALSE)&gt;0,ISNUMBER('Replacement plan'!$C$19),OR(E55=120,ISNUMBER('Replacement plan'!$N$19)),ISNUMBER(E55))),"Missing vehicle input",IF(OR(E55&lt;0,E55&gt;VLOOKUP($A55,'Fleet register'!$A$7:$S$106,10,FALSE),E55&gt;120,E55&lt;&gt;INT(E55),VLOOKUP($A55,'Fleet register'!$A$7:$S$106,6,FALSE)&lt;=0,VLOOKUP($A55,'Fleet register'!$A$7:$S$106,6,FALSE)&gt;366,VLOOKUP($A55,'Fleet register'!$A$7:$S$106,5,FALSE)&lt;0,VLOOKUP($A55,'Fleet register'!$A$7:$S$106,11,FALSE)&lt;0,I55&lt;0,'Operating costs'!$B$8&lt;='Operating costs'!$B$7*'Operating costs'!$B$9,'Operating costs'!$B$11&lt;=0,'Operating costs'!$B$39&gt;R55,'Operating costs'!$B$40&gt;R55,'Operating costs'!$B$41&gt;R55,NOT(OR("Keep ICE"="Keep ICE","Keep ICE"="New ICE","Keep ICE"="EV"))),"Invalid vehicle input",IF(AND(D55="EV",E55&lt;120,OR(NOT(ISNUMBER(U55)),NOT(ISNUMBER(V55)),V55&lt;=0,T55&lt;0,T55&gt;1,'Replacement plan'!$L$19&lt;=0,'Operating costs'!$B$44&lt;0,'Operating costs'!$B$44&gt;=1,'Operating costs'!$B$47&lt;=0,'Operating costs'!$B$47&gt;1,V55*'Operating costs'!$B$47/(1-'Operating costs'!$B$44)&lt;=T55*'Operating costs'!$B$12*U55,AND('Replacement plan'!$Z$19&gt;0,OR('Replacement plan'!$AB$19&lt;&gt;"Yes",'Operating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charging'!$B$8&gt;=0))),ISNUMBER(VLOOKUP($A55,'Fleet register'!$A$7:$S$106,15,FALSE)),ISNUMBER(VLOOKUP($A55,'Fleet register'!$A$7:$S$106,16,FALSE)),ISNUMBER('Replacement plan'!$W$19),ISNUMBER('Replacement plan'!$X$19),OR(E55=120,AND(ISNUMBER(G55),G55&gt;=0)),ISNUMBER(H55),H55&gt;=0,OR(D55&lt;&gt;"EV",E55=120,AND(ISNUMBER('Operating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average",ISNUMBER(IFERROR(INDEX(Products!$P$7:$P$13,MATCH(AD55,Products!$A$7:$A$13,0)),"")))),ISNUMBER('Operating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plan'!$Y$19),ISNUMBER('Replacement plan'!$Z$19),'Replacement plan'!$Z$19&gt;=0,ISNUMBER('Replacement plan'!$AA$19),'Replacement plan'!$AA$19&gt;=0,'Replacement plan'!$AA$19=INT('Replacement plan'!$AA$19),ISNUMBER('Replacement plan'!$L$19))),'Operating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plan'!$AG$19="",'Operating costs'!$B$7,'Replacement plan'!$AG$19)),IF('Replacement plan'!$AG$19="",'Operating costs'!$B$7,'Replacement plan'!$AG$19)&gt;=0,ISNUMBER(IF('Replacement plan'!$AH$19="",'Operating costs'!$B$7,'Replacement plan'!$AH$19)),IF('Replacement plan'!$AH$19="",'Operating costs'!$B$7,'Replacement plan'!$AH$19)&gt;=0,'Operating costs'!$B$8&gt;MAX(IF('Replacement plan'!$AG$19="",'Operating costs'!$B$7,'Replacement plan'!$AG$19),IF('Replacement plan'!$AH$19="",'Operating costs'!$B$7,'Replacement plan'!$AH$19))*'Operating costs'!$B$9),IF(AND(VLOOKUP($A55,'Fleet register'!$A$7:$S$106,10,FALSE)&gt;=0,VLOOKUP($A55,'Fleet register'!$A$7:$S$106,10,FALSE)&lt;=120,VLOOKUP($A55,'Fleet register'!$A$7:$S$106,10,FALSE)=INT(VLOOKUP($A55,'Fleet register'!$A$7:$S$106,10,FALSE)),VLOOKUP($A55,'Fleet register'!$A$7:$S$106,15,FALSE)&gt;=0,VLOOKUP($A55,'Fleet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costs'!$B$67)&gt;=0,OR(D55&lt;&gt;"EV",E55=120,AND(MIN('Operating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55" s="1" t="str">
        <f>IF(C55=0,"Excluded",IF(P55&lt;&gt;"Complete",P55,IF(OR('Replacement plan'!$AD$19&lt;120-E55,AND(D55="EV",E55&lt;120,OR('Replacement plan'!$AC$19&lt;120-E55,'Replacement plan'!$I$19="No",AND(ISNUMBER(AF55),AE55&gt;AF55),AI55&gt;V55*(1-'Operating costs'!$B$46)^MAX(0,AB55-1)*(1-'Operating costs'!$B$45),AC55&gt;'Operating costs'!$B$18,AND(T55&lt;1,OR(AG55&lt;=0,AND(ISNUMBER(AH55),AG55&gt;AH55))),'Replacement plan'!$L$19&gt;INDEX(Products!$H$7:$H$13,MATCH('Replacement plan'!$B$19,Products!$A$7:$A$13,0))))),"Fails entered limits",IF(AND(D55="EV",E55&lt;120,OR(NOT(ISNUMBER(VLOOKUP($A55,'Fleet register'!$A$7:$S$106,7,FALSE))),NOT(ISNUMBER(VLOOKUP($A55,'Fleet register'!$A$7:$S$106,8,FALSE))),NOT(ISNUMBER(AF55)),'Replacement plan'!$I$19&lt;&gt;"Yes",NOT(ISNUMBER(AH55)),'Operating costs'!$B$59&lt;&gt;"Yes",'Operating costs'!$B$58&lt;&gt;"Yes")),"Unverified","Within entered limits"))))</f>
        <v>Excluded</v>
      </c>
      <c r="R55" s="1">
        <f>IF(C55=0,0,VLOOKUP($A55,'Fleet register'!$A$7:$S$106,6,FALSE))</f>
        <v>0</v>
      </c>
      <c r="S55" s="1">
        <f>IF(C55=0,0,VLOOKUP($A55,'Fleet register'!$A$7:$S$106,5,FALSE))</f>
        <v>0</v>
      </c>
      <c r="T55" s="1">
        <f>IF(D55="EV",'Energy and charging'!$B$12,0)</f>
        <v>0</v>
      </c>
      <c r="U55" s="1">
        <f>IFERROR(IF(C55=0,0,IF(D55="EV",IF('Replacement plan'!$F$19="",INDEX(Products!$E$7:$E$13,MATCH('Replacement plan'!$B$19,Products!$A$7:$A$13,0)),'Replacement plan'!$F$19)/IF('Replacement plan'!$G$19="Battery",1-'Operating costs'!$B$44,1),0)),"n.a.")</f>
        <v>0</v>
      </c>
      <c r="V55" s="1">
        <f>IFERROR(IF(C55=0,0,IF(D55="EV",IF('Replacement plan'!$E$19="",INDEX(Products!$D$7:$D$13,MATCH('Replacement plan'!$B$19,Products!$A$7:$A$13,0)),'Replacement plan'!$E$19),0)),"n.a.")</f>
        <v>0</v>
      </c>
      <c r="W55" s="1">
        <f>IF(C55=0,0,IF(AND(P55="Complete",D55="EV",E55&lt;120),IF(T55=0,0,ROUNDUP(T55*(R55-'Operating costs'!$B$41)*(S55*U55+'Operating costs'!$B$48/(1-'Operating costs'!$B$44))/(V55*'Operating costs'!$B$47/(1-'Operating costs'!$B$44)-T55*'Operating costs'!$B$12*U55),0)),0))</f>
        <v>0</v>
      </c>
      <c r="X55" s="1">
        <f>IF(C55=0,0,IF(AND(P55="Complete",D55="EV",E55&lt;120),(R55-'Operating costs'!$B$41)*(S55*U55+'Operating costs'!$B$48/(1-'Operating costs'!$B$44))+W55*'Operating costs'!$B$12*U55,0))</f>
        <v>0</v>
      </c>
      <c r="Y55" s="1">
        <f>IF(AND(C55=1,D55="EV",E55&lt;120),AI55/(1-'Operating costs'!$B$44)*(1-T55),0)</f>
        <v>0</v>
      </c>
      <c r="Z55" s="1">
        <f t="shared" si="0"/>
        <v>0</v>
      </c>
      <c r="AA55" s="1">
        <f>IF(C55=0,0,IF(P55="Complete",((S55*(R55-'Operating costs'!$B$40))+ROUNDUP(S55*(R55-'Operating costs'!$B$40)*IF('Replacement plan'!$AH$19="",'Operating costs'!$B$7,'Replacement plan'!$AH$19)/('Operating costs'!$B$8-'Operating costs'!$B$9*IF('Replacement plan'!$AH$19="",'Operating costs'!$B$7,'Replacement plan'!$AH$19)),0)*'Operating costs'!$B$9)*IF('Replacement plan'!$AH$19="",'Operating costs'!$B$7,'Replacement plan'!$AH$19),"n.a."))</f>
        <v>0</v>
      </c>
      <c r="AB55" s="1">
        <f t="shared" si="1"/>
        <v>0</v>
      </c>
      <c r="AC55" s="1">
        <f>IF(AND(C55=1,D55="EV",E55&lt;120,T55&gt;0),'Operating costs'!$B$12/'Operating costs'!$B$11*60+'Operating costs'!$B$13+'Operating costs'!$B$14+V55*'Operating costs'!$B$47/(1-'Operating costs'!$B$44)/'Replacement plan'!$L$19*60,0)</f>
        <v>0</v>
      </c>
      <c r="AD55" s="1" t="str">
        <f>'Replacement plan'!$B$19</f>
        <v>ChengLong L2EV</v>
      </c>
      <c r="AE55" s="1">
        <f>IF(C55=0,0,VLOOKUP($A55,'Fleet register'!$A$7:$S$106,8,FALSE))</f>
        <v>0</v>
      </c>
      <c r="AF55" s="1" t="str">
        <f>IF('Replacement plan'!$H$19="","n.a.",'Replacement plan'!$H$19)</f>
        <v>n.a.</v>
      </c>
      <c r="AG55" s="1">
        <f>'Replacement plan'!$J$19</f>
        <v>22</v>
      </c>
      <c r="AH55" s="1">
        <f>IFERROR(IF(D55="EV",IF('Replacement plan'!$K$19="AC",IF(ISNUMBER(INDEX(Products!$G$7:$G$13,MATCH('Replacement plan'!$B$19,Products!$A$7:$A$13,0))),INDEX(Products!$G$7:$G$13,MATCH('Replacement plan'!$B$19,Products!$A$7:$A$13,0)),"n.a."),IF(ISNUMBER(INDEX(Products!$H$7:$H$13,MATCH('Replacement plan'!$B$19,Products!$A$7:$A$13,0))),INDEX(Products!$H$7:$H$13,MATCH('Replacement plan'!$B$19,Products!$A$7:$A$13,0)),"n.a.")),0),"n.a.")</f>
        <v>0</v>
      </c>
      <c r="AI55" s="1">
        <f>IF(AND(C55=1,D55="EV",E55&lt;120),(VLOOKUP($A55,'Fleet register'!$A$7:$S$106,7,FALSE)+IF(T55&gt;0,'Operating costs'!$B$12,0))*U55*(1-'Operating costs'!$B$44)+'Operating costs'!$B$49,0)</f>
        <v>0</v>
      </c>
      <c r="AJ55" s="1">
        <f>IF(D55="EV",'Energy and charging'!$B$50,0)</f>
        <v>0</v>
      </c>
      <c r="AK55" s="17">
        <f>EDATE('Operating costs'!$B$63,E55)</f>
        <v>46298</v>
      </c>
      <c r="AL55" s="1">
        <f>IFERROR(IF(D55="EV",INDEX(Products!$B$7:$B$13,MATCH('Replacement plan'!$B$19,Products!$A$7:$A$13,0)),0),"n.a.")</f>
        <v>0</v>
      </c>
      <c r="AM55" s="1" t="str">
        <f>'Replacement plan'!$K$19</f>
        <v>DC</v>
      </c>
      <c r="AN55" s="1" t="str">
        <f>'Replacement plan'!$AE$19</f>
        <v>Assumed</v>
      </c>
      <c r="AO55" s="47">
        <f>IF(AND(C55=1,D55="EV",E55&lt;120),(R55-'Operating costs'!$B$41)*S55+W55*'Operating costs'!$B$12,0)</f>
        <v>0</v>
      </c>
      <c r="AP55" s="41">
        <f>IF(AND(C55=1,D55="EV",E55&lt;120),IF('Operating costs'!$B$68="Hong Seh 200k average",AO55*IFERROR(INDEX(Products!$P$7:$P$13,MATCH(AD55,Products!$A$7:$A$13,0)),"n.a."),'Operating costs'!$B$26),0)</f>
        <v>0</v>
      </c>
      <c r="AQ55" s="40" t="str">
        <f>IF(D55="EV",'Operating costs'!$B$68,"Not applicable")</f>
        <v>Not applicable</v>
      </c>
    </row>
    <row r="56" spans="1:43" ht="24" customHeight="1">
      <c r="A56" s="1" t="str">
        <f>'Replacement plan'!A19</f>
        <v>T013</v>
      </c>
      <c r="B56" s="1">
        <v>1</v>
      </c>
      <c r="C56" s="1">
        <f>IF(COUNTIFS('Fleet register'!$A$7:$A$106,$A56)=1,VLOOKUP($A56,'Fleet register'!$A$7:$S$106,2,FALSE),0)</f>
        <v>0</v>
      </c>
      <c r="D56" s="1" t="str">
        <f>IF("New ICE"="EV","EV","ICE")</f>
        <v>ICE</v>
      </c>
      <c r="E56" s="1">
        <f>IF(C56=0,0,0)</f>
        <v>0</v>
      </c>
      <c r="F56" s="16">
        <f>IF(C56=0,0,VLOOKUP($A56,'Fleet register'!$A$7:$S$106,11,FALSE))</f>
        <v>0</v>
      </c>
      <c r="G56" s="16">
        <f>IFERROR(IF(C56=0,0,IF(E56=120,0,IF(D56="ICE",'Replacement plan'!$C$19,IF('Replacement plan'!$D$19="",INDEX(Products!$I$7:$I$13,MATCH('Replacement plan'!$B$19,Products!$A$7:$A$13,0))+'Operating costs'!$B$57,'Replacement plan'!$D$19))*(1+'Operating costs'!$B$50)^(E56/12))),"n.a.")</f>
        <v>0</v>
      </c>
      <c r="H56" s="16">
        <f>IFERROR(IF(C56=0,0,IF(E56=0,F56,VLOOKUP($A56,'Fleet register'!$A$7:$S$106,12,FALSE)+VLOOKUP($A56,'Fleet register'!$A$7:$S$106,13,FALSE)*MAX(0,VLOOKUP($A56,'Fleet register'!$A$7:$S$106,10,FALSE)-E56)/VLOOKUP($A56,'Fleet register'!$A$7:$S$106,14,FALSE))),"n.a.")</f>
        <v>0</v>
      </c>
      <c r="I56" s="16">
        <f>IF(C56=0,0,IF(E56=120,0,IF('Replacement plan'!$AI$19="",'Operating costs'!$B$56,'Replacement plan'!$AI$19)))</f>
        <v>0</v>
      </c>
      <c r="J56" s="16">
        <f>IF(C56=0,0,IF(P56="Complete",((S56*(R56-'Operating costs'!$B$39))+ROUNDUP(S56*(R56-'Operating costs'!$B$39)*IF('Replacement plan'!$AG$19="",'Operating costs'!$B$7,'Replacement plan'!$AG$19)/('Operating costs'!$B$8-'Operating costs'!$B$9*IF('Replacement plan'!$AG$19="",'Operating costs'!$B$7,'Replacement plan'!$AG$19)),0)*'Operating costs'!$B$9)*IF('Replacement plan'!$AG$19="",'Operating costs'!$B$7,'Replacement plan'!$AG$19)*('Energy and charging'!$B$9*'Energy and charging'!$B$7+(1-'Energy and charging'!$B$9)*'Energy and charging'!$B$8)*'Operating costs'!$B$23,"n.a."))</f>
        <v>0</v>
      </c>
      <c r="K56" s="16">
        <f>IF(C56=0,0,IF(P56="Complete",SUM('Operating costs'!$B$24,'Operating costs'!$B$27,'Operating costs'!$B$29,'Operating costs'!$B$31,'Operating costs'!$B$33,'Operating costs'!$B$34,'Operating costs'!$B$37,'Replacement plan'!$W$19)+'Operating costs'!$B$39*'Operating costs'!$B$42+ROUNDUP(S56*(R56-'Operating costs'!$B$39)*IF('Replacement plan'!$AG$19="",'Operating costs'!$B$7,'Replacement plan'!$AG$19)/('Operating costs'!$B$8-'Operating costs'!$B$9*IF('Replacement plan'!$AG$19="",'Operating costs'!$B$7,'Replacement plan'!$AG$19)),0)*('Operating costs'!$B$9/'Operating costs'!$B$11+'Operating costs'!$B$10/60)*'Operating costs'!$B$19*'Operating costs'!$B$21,"n.a."))</f>
        <v>0</v>
      </c>
      <c r="L56" s="16">
        <f>IF(C56=0,0,IF(P56="Complete",IF(D56="EV",X56*((1-T56)*'Energy and charging'!$B$10+T56*'Energy and charging'!$B$11)*'Operating costs'!$B$22,AA56*('Energy and charging'!$B$9*'Energy and charging'!$B$7+(1-'Energy and charging'!$B$9)*'Energy and charging'!$B$8)*'Operating costs'!$B$23),"n.a."))</f>
        <v>0</v>
      </c>
      <c r="M56" s="37">
        <f>IF(C56=0,0,IF(P56="Complete",IF(D56="ICE",SUM('Operating costs'!$B$25,'Operating costs'!$B$27,'Operating costs'!$B$29,'Operating costs'!$B$31,'Operating costs'!$B$33,'Operating costs'!$B$35,'Operating costs'!$B$37,'Replacement plan'!$X$19)+'Operating costs'!$B$40*'Operating costs'!$B$42+ROUNDUP(S56*(R56-'Operating costs'!$B$40)*IF('Replacement plan'!$AH$19="",'Operating costs'!$B$7,'Replacement plan'!$AH$19)/('Operating costs'!$B$8-'Operating costs'!$B$9*IF('Replacement plan'!$AH$19="",'Operating costs'!$B$7,'Replacement plan'!$AH$19)),0)*('Operating costs'!$B$9/'Operating costs'!$B$11+'Operating costs'!$B$10/60)*'Operating costs'!$B$19*'Operating costs'!$B$21,SUM(AP56,'Operating costs'!$B$28,'Operating costs'!$B$30,'Operating costs'!$B$32,'Operating costs'!$B$33,'Operating costs'!$B$36,'Operating costs'!$B$38,'Replacement plan'!$Y$19)+'Operating costs'!$B$41*'Operating costs'!$B$43+W56*'Operating costs'!$B$15+(T56*X56/'Replacement plan'!$L$19+W56*('Operating costs'!$B$12/'Operating costs'!$B$11+('Operating costs'!$B$13+'Operating costs'!$B$14)/60)+(R56-'Operating costs'!$B$41)*(IF(T56&lt;1,'Operating costs'!$B$16,0)+'Operating costs'!$B$17)/60)*'Operating costs'!$B$19*'Operating costs'!$B$20),"n.a."))</f>
        <v>0</v>
      </c>
      <c r="N56" s="16">
        <f>IF(AND(C56=1,D56="EV",E56&lt;120,E56+'Replacement plan'!$AA$19&lt;=120),'Replacement plan'!$Z$19,0)</f>
        <v>0</v>
      </c>
      <c r="O56" s="1">
        <f>E56+'Replacement plan'!$AA$19</f>
        <v>0</v>
      </c>
      <c r="P56" s="35" t="str">
        <f>IFERROR(IF(C56=0,"Excluded",IF(OR(COUNTIFS('Fleet register'!$A$7:$A$106,A56)&lt;&gt;1,COUNTIFS('Replacement plan'!$A$7:$A$106,A56)&lt;&gt;1),"Duplicate/missing ID",IF(NOT(AND(ISNUMBER(VLOOKUP($A56,'Fleet register'!$A$7:$S$106,5,FALSE)),ISNUMBER(VLOOKUP($A56,'Fleet register'!$A$7:$S$106,6,FALSE)),ISNUMBER(VLOOKUP($A56,'Fleet register'!$A$7:$S$106,10,FALSE)),ISNUMBER(VLOOKUP($A56,'Fleet register'!$A$7:$S$106,11,FALSE)),ISNUMBER(VLOOKUP($A56,'Fleet register'!$A$7:$S$106,12,FALSE)),ISNUMBER(VLOOKUP($A56,'Fleet register'!$A$7:$S$106,13,FALSE)),ISNUMBER(VLOOKUP($A56,'Fleet register'!$A$7:$S$106,14,FALSE)),VLOOKUP($A56,'Fleet register'!$A$7:$S$106,14,FALSE)&gt;0,ISNUMBER('Replacement plan'!$C$19),OR(E56=120,OR(ISNUMBER('Replacement plan'!$AI$19),AND('Replacement plan'!$AI$19="",ISNUMBER('Operating costs'!$B$56)))),ISNUMBER(E56))),"Missing vehicle input",IF(OR(E56&lt;0,E56&gt;VLOOKUP($A56,'Fleet register'!$A$7:$S$106,10,FALSE),E56&gt;120,E56&lt;&gt;INT(E56),VLOOKUP($A56,'Fleet register'!$A$7:$S$106,6,FALSE)&lt;=0,VLOOKUP($A56,'Fleet register'!$A$7:$S$106,6,FALSE)&gt;366,VLOOKUP($A56,'Fleet register'!$A$7:$S$106,5,FALSE)&lt;0,VLOOKUP($A56,'Fleet register'!$A$7:$S$106,11,FALSE)&lt;0,I56&lt;0,'Operating costs'!$B$8&lt;='Operating costs'!$B$7*'Operating costs'!$B$9,'Operating costs'!$B$11&lt;=0,'Operating costs'!$B$39&gt;R56,'Operating costs'!$B$40&gt;R56,'Operating costs'!$B$41&gt;R56,NOT(OR("New ICE"="Keep ICE","New ICE"="New ICE","New ICE"="EV"))),"Invalid vehicle input",IF(AND(D56="EV",E56&lt;120,OR(NOT(ISNUMBER(U56)),NOT(ISNUMBER(V56)),V56&lt;=0,T56&lt;0,T56&gt;1,'Replacement plan'!$L$19&lt;=0,'Operating costs'!$B$44&lt;0,'Operating costs'!$B$44&gt;=1,'Operating costs'!$B$47&lt;=0,'Operating costs'!$B$47&gt;1,V56*'Operating costs'!$B$47/(1-'Operating costs'!$B$44)&lt;=T56*'Operating costs'!$B$12*U56,AND('Replacement plan'!$Z$19&gt;0,OR('Replacement plan'!$AB$19&lt;&gt;"Yes",'Operating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charging'!$B$8&gt;=0))),ISNUMBER(VLOOKUP($A56,'Fleet register'!$A$7:$S$106,15,FALSE)),ISNUMBER(VLOOKUP($A56,'Fleet register'!$A$7:$S$106,16,FALSE)),ISNUMBER('Replacement plan'!$W$19),ISNUMBER('Replacement plan'!$X$19),OR(E56=120,AND(ISNUMBER(G56),G56&gt;=0)),ISNUMBER(H56),H56&gt;=0,OR(D56&lt;&gt;"EV",E56=120,AND(ISNUMBER('Operating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average",ISNUMBER(IFERROR(INDEX(Products!$P$7:$P$13,MATCH(AD56,Products!$A$7:$A$13,0)),"")))),ISNUMBER('Operating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plan'!$Y$19),ISNUMBER('Replacement plan'!$Z$19),'Replacement plan'!$Z$19&gt;=0,ISNUMBER('Replacement plan'!$AA$19),'Replacement plan'!$AA$19&gt;=0,'Replacement plan'!$AA$19=INT('Replacement plan'!$AA$19),ISNUMBER('Replacement plan'!$L$19))),'Operating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plan'!$AG$19="",'Operating costs'!$B$7,'Replacement plan'!$AG$19)),IF('Replacement plan'!$AG$19="",'Operating costs'!$B$7,'Replacement plan'!$AG$19)&gt;=0,ISNUMBER(IF('Replacement plan'!$AH$19="",'Operating costs'!$B$7,'Replacement plan'!$AH$19)),IF('Replacement plan'!$AH$19="",'Operating costs'!$B$7,'Replacement plan'!$AH$19)&gt;=0,'Operating costs'!$B$8&gt;MAX(IF('Replacement plan'!$AG$19="",'Operating costs'!$B$7,'Replacement plan'!$AG$19),IF('Replacement plan'!$AH$19="",'Operating costs'!$B$7,'Replacement plan'!$AH$19))*'Operating costs'!$B$9),IF(AND(VLOOKUP($A56,'Fleet register'!$A$7:$S$106,10,FALSE)&gt;=0,VLOOKUP($A56,'Fleet register'!$A$7:$S$106,10,FALSE)&lt;=120,VLOOKUP($A56,'Fleet register'!$A$7:$S$106,10,FALSE)=INT(VLOOKUP($A56,'Fleet register'!$A$7:$S$106,10,FALSE)),VLOOKUP($A56,'Fleet register'!$A$7:$S$106,15,FALSE)&gt;=0,VLOOKUP($A56,'Fleet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costs'!$B$67)&gt;=0,OR(D56&lt;&gt;"EV",E56=120,AND(MIN('Operating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56" s="1" t="str">
        <f>IF(C56=0,"Excluded",IF(P56&lt;&gt;"Complete",P56,IF(OR('Replacement plan'!$AD$19&lt;120-E56,AND(D56="EV",E56&lt;120,OR('Replacement plan'!$AC$19&lt;120-E56,'Replacement plan'!$I$19="No",AND(ISNUMBER(AF56),AE56&gt;AF56),AI56&gt;V56*(1-'Operating costs'!$B$46)^MAX(0,AB56-1)*(1-'Operating costs'!$B$45),AC56&gt;'Operating costs'!$B$18,AND(T56&lt;1,OR(AG56&lt;=0,AND(ISNUMBER(AH56),AG56&gt;AH56))),'Replacement plan'!$L$19&gt;INDEX(Products!$H$7:$H$13,MATCH('Replacement plan'!$B$19,Products!$A$7:$A$13,0))))),"Fails entered limits",IF(AND(D56="EV",E56&lt;120,OR(NOT(ISNUMBER(VLOOKUP($A56,'Fleet register'!$A$7:$S$106,7,FALSE))),NOT(ISNUMBER(VLOOKUP($A56,'Fleet register'!$A$7:$S$106,8,FALSE))),NOT(ISNUMBER(AF56)),'Replacement plan'!$I$19&lt;&gt;"Yes",NOT(ISNUMBER(AH56)),'Operating costs'!$B$59&lt;&gt;"Yes",'Operating costs'!$B$58&lt;&gt;"Yes")),"Unverified","Within entered limits"))))</f>
        <v>Excluded</v>
      </c>
      <c r="R56" s="1">
        <f>IF(C56=0,0,VLOOKUP($A56,'Fleet register'!$A$7:$S$106,6,FALSE))</f>
        <v>0</v>
      </c>
      <c r="S56" s="1">
        <f>IF(C56=0,0,VLOOKUP($A56,'Fleet register'!$A$7:$S$106,5,FALSE))</f>
        <v>0</v>
      </c>
      <c r="T56" s="1">
        <f>IF(D56="EV",'Energy and charging'!$B$12,0)</f>
        <v>0</v>
      </c>
      <c r="U56" s="1">
        <f>IFERROR(IF(C56=0,0,IF(D56="EV",IF('Replacement plan'!$F$19="",INDEX(Products!$E$7:$E$13,MATCH('Replacement plan'!$B$19,Products!$A$7:$A$13,0)),'Replacement plan'!$F$19)/IF('Replacement plan'!$G$19="Battery",1-'Operating costs'!$B$44,1),0)),"n.a.")</f>
        <v>0</v>
      </c>
      <c r="V56" s="1">
        <f>IFERROR(IF(C56=0,0,IF(D56="EV",IF('Replacement plan'!$E$19="",INDEX(Products!$D$7:$D$13,MATCH('Replacement plan'!$B$19,Products!$A$7:$A$13,0)),'Replacement plan'!$E$19),0)),"n.a.")</f>
        <v>0</v>
      </c>
      <c r="W56" s="1">
        <f>IF(C56=0,0,IF(AND(P56="Complete",D56="EV",E56&lt;120),IF(T56=0,0,ROUNDUP(T56*(R56-'Operating costs'!$B$41)*(S56*U56+'Operating costs'!$B$48/(1-'Operating costs'!$B$44))/(V56*'Operating costs'!$B$47/(1-'Operating costs'!$B$44)-T56*'Operating costs'!$B$12*U56),0)),0))</f>
        <v>0</v>
      </c>
      <c r="X56" s="1">
        <f>IF(C56=0,0,IF(AND(P56="Complete",D56="EV",E56&lt;120),(R56-'Operating costs'!$B$41)*(S56*U56+'Operating costs'!$B$48/(1-'Operating costs'!$B$44))+W56*'Operating costs'!$B$12*U56,0))</f>
        <v>0</v>
      </c>
      <c r="Y56" s="1">
        <f>IF(AND(C56=1,D56="EV",E56&lt;120),AI56/(1-'Operating costs'!$B$44)*(1-T56),0)</f>
        <v>0</v>
      </c>
      <c r="Z56" s="1">
        <f t="shared" si="0"/>
        <v>0</v>
      </c>
      <c r="AA56" s="1">
        <f>IF(C56=0,0,IF(P56="Complete",((S56*(R56-'Operating costs'!$B$40))+ROUNDUP(S56*(R56-'Operating costs'!$B$40)*IF('Replacement plan'!$AH$19="",'Operating costs'!$B$7,'Replacement plan'!$AH$19)/('Operating costs'!$B$8-'Operating costs'!$B$9*IF('Replacement plan'!$AH$19="",'Operating costs'!$B$7,'Replacement plan'!$AH$19)),0)*'Operating costs'!$B$9)*IF('Replacement plan'!$AH$19="",'Operating costs'!$B$7,'Replacement plan'!$AH$19),"n.a."))</f>
        <v>0</v>
      </c>
      <c r="AB56" s="1">
        <f t="shared" si="1"/>
        <v>0</v>
      </c>
      <c r="AC56" s="1">
        <f>IF(AND(C56=1,D56="EV",E56&lt;120,T56&gt;0),'Operating costs'!$B$12/'Operating costs'!$B$11*60+'Operating costs'!$B$13+'Operating costs'!$B$14+V56*'Operating costs'!$B$47/(1-'Operating costs'!$B$44)/'Replacement plan'!$L$19*60,0)</f>
        <v>0</v>
      </c>
      <c r="AD56" s="1" t="str">
        <f>'Replacement plan'!$B$19</f>
        <v>ChengLong L2EV</v>
      </c>
      <c r="AE56" s="1">
        <f>IF(C56=0,0,VLOOKUP($A56,'Fleet register'!$A$7:$S$106,8,FALSE))</f>
        <v>0</v>
      </c>
      <c r="AF56" s="1" t="str">
        <f>IF('Replacement plan'!$H$19="","n.a.",'Replacement plan'!$H$19)</f>
        <v>n.a.</v>
      </c>
      <c r="AG56" s="1">
        <f>'Replacement plan'!$J$19</f>
        <v>22</v>
      </c>
      <c r="AH56" s="1">
        <f>IFERROR(IF(D56="EV",IF('Replacement plan'!$K$19="AC",IF(ISNUMBER(INDEX(Products!$G$7:$G$13,MATCH('Replacement plan'!$B$19,Products!$A$7:$A$13,0))),INDEX(Products!$G$7:$G$13,MATCH('Replacement plan'!$B$19,Products!$A$7:$A$13,0)),"n.a."),IF(ISNUMBER(INDEX(Products!$H$7:$H$13,MATCH('Replacement plan'!$B$19,Products!$A$7:$A$13,0))),INDEX(Products!$H$7:$H$13,MATCH('Replacement plan'!$B$19,Products!$A$7:$A$13,0)),"n.a.")),0),"n.a.")</f>
        <v>0</v>
      </c>
      <c r="AI56" s="1">
        <f>IF(AND(C56=1,D56="EV",E56&lt;120),(VLOOKUP($A56,'Fleet register'!$A$7:$S$106,7,FALSE)+IF(T56&gt;0,'Operating costs'!$B$12,0))*U56*(1-'Operating costs'!$B$44)+'Operating costs'!$B$49,0)</f>
        <v>0</v>
      </c>
      <c r="AJ56" s="1">
        <f>IF(D56="EV",'Energy and charging'!$B$50,0)</f>
        <v>0</v>
      </c>
      <c r="AK56" s="17">
        <f>EDATE('Operating costs'!$B$63,E56)</f>
        <v>46298</v>
      </c>
      <c r="AL56" s="1">
        <f>IFERROR(IF(D56="EV",INDEX(Products!$B$7:$B$13,MATCH('Replacement plan'!$B$19,Products!$A$7:$A$13,0)),0),"n.a.")</f>
        <v>0</v>
      </c>
      <c r="AM56" s="1" t="str">
        <f>'Replacement plan'!$K$19</f>
        <v>DC</v>
      </c>
      <c r="AN56" s="1" t="str">
        <f>'Replacement plan'!$AE$19</f>
        <v>Assumed</v>
      </c>
      <c r="AO56" s="47">
        <f>IF(AND(C56=1,D56="EV",E56&lt;120),(R56-'Operating costs'!$B$41)*S56+W56*'Operating costs'!$B$12,0)</f>
        <v>0</v>
      </c>
      <c r="AP56" s="41">
        <f>IF(AND(C56=1,D56="EV",E56&lt;120),IF('Operating costs'!$B$68="Hong Seh 200k average",AO56*IFERROR(INDEX(Products!$P$7:$P$13,MATCH(AD56,Products!$A$7:$A$13,0)),"n.a."),'Operating costs'!$B$26),0)</f>
        <v>0</v>
      </c>
      <c r="AQ56" s="40" t="str">
        <f>IF(D56="EV",'Operating costs'!$B$68,"Not applicable")</f>
        <v>Not applicable</v>
      </c>
    </row>
    <row r="57" spans="1:43" ht="24" customHeight="1">
      <c r="A57" s="1" t="str">
        <f>'Replacement plan'!A19</f>
        <v>T013</v>
      </c>
      <c r="B57" s="1">
        <v>2</v>
      </c>
      <c r="C57" s="1">
        <f>IF(COUNTIFS('Fleet register'!$A$7:$A$106,$A57)=1,VLOOKUP($A57,'Fleet register'!$A$7:$S$106,2,FALSE),0)</f>
        <v>0</v>
      </c>
      <c r="D57" s="1" t="str">
        <f>IF('Replacement plan'!$O$19="EV","EV","ICE")</f>
        <v>ICE</v>
      </c>
      <c r="E57" s="1">
        <f>IF(C57=0,0,IF('Replacement plan'!$P$19="",IF('Replacement plan'!$O$19="Keep ICE",IF('Replacement plan'!$M$19="",VLOOKUP($A57,'Fleet register'!$A$7:$S$106,10,FALSE),'Replacement plan'!$M$19),0),'Replacement plan'!$P$19))</f>
        <v>0</v>
      </c>
      <c r="F57" s="16">
        <f>IF(C57=0,0,VLOOKUP($A57,'Fleet register'!$A$7:$S$106,11,FALSE))</f>
        <v>0</v>
      </c>
      <c r="G57" s="16">
        <f>IFERROR(IF(C57=0,0,IF(E57=120,0,IF(D57="ICE",'Replacement plan'!$C$19,IF('Replacement plan'!$D$19="",INDEX(Products!$I$7:$I$13,MATCH('Replacement plan'!$B$19,Products!$A$7:$A$13,0))+'Operating costs'!$B$57,'Replacement plan'!$D$19))*(1+'Operating costs'!$B$50)^(E57/12))),"n.a.")</f>
        <v>0</v>
      </c>
      <c r="H57" s="16">
        <f>IFERROR(IF(C57=0,0,IF('Replacement plan'!$U$19&lt;&gt;"",'Replacement plan'!$U$19,IF(E57=0,F57,VLOOKUP($A57,'Fleet register'!$A$7:$S$106,12,FALSE)+VLOOKUP($A57,'Fleet register'!$A$7:$S$106,13,FALSE)*MAX(0,VLOOKUP($A57,'Fleet register'!$A$7:$S$106,10,FALSE)-E57)/VLOOKUP($A57,'Fleet register'!$A$7:$S$106,14,FALSE)))),"n.a.")</f>
        <v>0</v>
      </c>
      <c r="I57" s="16">
        <f>IF(C57=0,0,IF(E57=120,0,'Replacement plan'!$Q$19))</f>
        <v>0</v>
      </c>
      <c r="J57" s="16">
        <f>IF(C57=0,0,IF(P57="Complete",((S57*(R57-'Operating costs'!$B$39))+ROUNDUP(S57*(R57-'Operating costs'!$B$39)*IF('Replacement plan'!$AG$19="",'Operating costs'!$B$7,'Replacement plan'!$AG$19)/('Operating costs'!$B$8-'Operating costs'!$B$9*IF('Replacement plan'!$AG$19="",'Operating costs'!$B$7,'Replacement plan'!$AG$19)),0)*'Operating costs'!$B$9)*IF('Replacement plan'!$AG$19="",'Operating costs'!$B$7,'Replacement plan'!$AG$19)*('Energy and charging'!$B$9*'Energy and charging'!$B$7+(1-'Energy and charging'!$B$9)*'Energy and charging'!$B$8)*'Operating costs'!$B$23,"n.a."))</f>
        <v>0</v>
      </c>
      <c r="K57" s="16">
        <f>IF(C57=0,0,IF(P57="Complete",SUM('Operating costs'!$B$24,'Operating costs'!$B$27,'Operating costs'!$B$29,'Operating costs'!$B$31,'Operating costs'!$B$33,'Operating costs'!$B$34,'Operating costs'!$B$37,'Replacement plan'!$W$19)+'Operating costs'!$B$39*'Operating costs'!$B$42+ROUNDUP(S57*(R57-'Operating costs'!$B$39)*IF('Replacement plan'!$AG$19="",'Operating costs'!$B$7,'Replacement plan'!$AG$19)/('Operating costs'!$B$8-'Operating costs'!$B$9*IF('Replacement plan'!$AG$19="",'Operating costs'!$B$7,'Replacement plan'!$AG$19)),0)*('Operating costs'!$B$9/'Operating costs'!$B$11+'Operating costs'!$B$10/60)*'Operating costs'!$B$19*'Operating costs'!$B$21,"n.a."))</f>
        <v>0</v>
      </c>
      <c r="L57" s="16">
        <f>IF(C57=0,0,IF(P57="Complete",IF(D57="EV",X57*((1-T57)*'Energy and charging'!$B$10+T57*'Energy and charging'!$B$11)*'Operating costs'!$B$22,AA57*('Energy and charging'!$B$9*'Energy and charging'!$B$7+(1-'Energy and charging'!$B$9)*'Energy and charging'!$B$8)*'Operating costs'!$B$23),"n.a."))</f>
        <v>0</v>
      </c>
      <c r="M57" s="37">
        <f>IF(C57=0,0,IF(P57="Complete",IF(D57="ICE",SUM('Operating costs'!$B$25,'Operating costs'!$B$27,'Operating costs'!$B$29,'Operating costs'!$B$31,'Operating costs'!$B$33,'Operating costs'!$B$35,'Operating costs'!$B$37,'Replacement plan'!$X$19)+'Operating costs'!$B$40*'Operating costs'!$B$42+ROUNDUP(S57*(R57-'Operating costs'!$B$40)*IF('Replacement plan'!$AH$19="",'Operating costs'!$B$7,'Replacement plan'!$AH$19)/('Operating costs'!$B$8-'Operating costs'!$B$9*IF('Replacement plan'!$AH$19="",'Operating costs'!$B$7,'Replacement plan'!$AH$19)),0)*('Operating costs'!$B$9/'Operating costs'!$B$11+'Operating costs'!$B$10/60)*'Operating costs'!$B$19*'Operating costs'!$B$21,SUM(AP57,'Operating costs'!$B$28,'Operating costs'!$B$30,'Operating costs'!$B$32,'Operating costs'!$B$33,'Operating costs'!$B$36,'Operating costs'!$B$38,'Replacement plan'!$Y$19)+'Operating costs'!$B$41*'Operating costs'!$B$43+W57*'Operating costs'!$B$15+(T57*X57/'Replacement plan'!$L$19+W57*('Operating costs'!$B$12/'Operating costs'!$B$11+('Operating costs'!$B$13+'Operating costs'!$B$14)/60)+(R57-'Operating costs'!$B$41)*(IF(T57&lt;1,'Operating costs'!$B$16,0)+'Operating costs'!$B$17)/60)*'Operating costs'!$B$19*'Operating costs'!$B$20),"n.a."))</f>
        <v>0</v>
      </c>
      <c r="N57" s="16">
        <f>IF(AND(C57=1,D57="EV",E57&lt;120,E57+'Replacement plan'!$AA$19&lt;=120),'Replacement plan'!$Z$19,0)</f>
        <v>0</v>
      </c>
      <c r="O57" s="1">
        <f>E57+'Replacement plan'!$AA$19</f>
        <v>0</v>
      </c>
      <c r="P57" s="35" t="str">
        <f>IFERROR(IF(C57=0,"Excluded",IF(OR(COUNTIFS('Fleet register'!$A$7:$A$106,A57)&lt;&gt;1,COUNTIFS('Replacement plan'!$A$7:$A$106,A57)&lt;&gt;1),"Duplicate/missing ID",IF(NOT(AND(ISNUMBER(VLOOKUP($A57,'Fleet register'!$A$7:$S$106,5,FALSE)),ISNUMBER(VLOOKUP($A57,'Fleet register'!$A$7:$S$106,6,FALSE)),ISNUMBER(VLOOKUP($A57,'Fleet register'!$A$7:$S$106,10,FALSE)),ISNUMBER(VLOOKUP($A57,'Fleet register'!$A$7:$S$106,11,FALSE)),ISNUMBER(VLOOKUP($A57,'Fleet register'!$A$7:$S$106,12,FALSE)),ISNUMBER(VLOOKUP($A57,'Fleet register'!$A$7:$S$106,13,FALSE)),ISNUMBER(VLOOKUP($A57,'Fleet register'!$A$7:$S$106,14,FALSE)),VLOOKUP($A57,'Fleet register'!$A$7:$S$106,14,FALSE)&gt;0,ISNUMBER('Replacement plan'!$C$19),OR(E57=120,ISNUMBER('Replacement plan'!$Q$19)),ISNUMBER(E57))),"Missing vehicle input",IF(OR(E57&lt;0,E57&gt;VLOOKUP($A57,'Fleet register'!$A$7:$S$106,10,FALSE),E57&gt;120,E57&lt;&gt;INT(E57),VLOOKUP($A57,'Fleet register'!$A$7:$S$106,6,FALSE)&lt;=0,VLOOKUP($A57,'Fleet register'!$A$7:$S$106,6,FALSE)&gt;366,VLOOKUP($A57,'Fleet register'!$A$7:$S$106,5,FALSE)&lt;0,VLOOKUP($A57,'Fleet register'!$A$7:$S$106,11,FALSE)&lt;0,I57&lt;0,'Operating costs'!$B$8&lt;='Operating costs'!$B$7*'Operating costs'!$B$9,'Operating costs'!$B$11&lt;=0,'Operating costs'!$B$39&gt;R57,'Operating costs'!$B$40&gt;R57,'Operating costs'!$B$41&gt;R57,NOT(OR('Replacement plan'!$O$19="Keep ICE",'Replacement plan'!$O$19="New ICE",'Replacement plan'!$O$19="EV"))),"Invalid vehicle input",IF(AND(D57="EV",E57&lt;120,OR(NOT(ISNUMBER(U57)),NOT(ISNUMBER(V57)),V57&lt;=0,T57&lt;0,T57&gt;1,'Replacement plan'!$L$19&lt;=0,'Operating costs'!$B$44&lt;0,'Operating costs'!$B$44&gt;=1,'Operating costs'!$B$47&lt;=0,'Operating costs'!$B$47&gt;1,V57*'Operating costs'!$B$47/(1-'Operating costs'!$B$44)&lt;=T57*'Operating costs'!$B$12*U57,AND('Replacement plan'!$Z$19&gt;0,OR('Replacement plan'!$AB$19&lt;&gt;"Yes",'Operating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charging'!$B$8&gt;=0))),ISNUMBER(VLOOKUP($A57,'Fleet register'!$A$7:$S$106,15,FALSE)),ISNUMBER(VLOOKUP($A57,'Fleet register'!$A$7:$S$106,16,FALSE)),ISNUMBER('Replacement plan'!$W$19),ISNUMBER('Replacement plan'!$X$19),OR(E57=120,AND(ISNUMBER(G57),G57&gt;=0)),ISNUMBER(H57),H57&gt;=0,OR(D57&lt;&gt;"EV",E57=120,AND(ISNUMBER('Operating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average",ISNUMBER(IFERROR(INDEX(Products!$P$7:$P$13,MATCH(AD57,Products!$A$7:$A$13,0)),"")))),ISNUMBER('Operating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plan'!$Y$19),ISNUMBER('Replacement plan'!$Z$19),'Replacement plan'!$Z$19&gt;=0,ISNUMBER('Replacement plan'!$AA$19),'Replacement plan'!$AA$19&gt;=0,'Replacement plan'!$AA$19=INT('Replacement plan'!$AA$19),ISNUMBER('Replacement plan'!$L$19))),'Operating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plan'!$AG$19="",'Operating costs'!$B$7,'Replacement plan'!$AG$19)),IF('Replacement plan'!$AG$19="",'Operating costs'!$B$7,'Replacement plan'!$AG$19)&gt;=0,ISNUMBER(IF('Replacement plan'!$AH$19="",'Operating costs'!$B$7,'Replacement plan'!$AH$19)),IF('Replacement plan'!$AH$19="",'Operating costs'!$B$7,'Replacement plan'!$AH$19)&gt;=0,'Operating costs'!$B$8&gt;MAX(IF('Replacement plan'!$AG$19="",'Operating costs'!$B$7,'Replacement plan'!$AG$19),IF('Replacement plan'!$AH$19="",'Operating costs'!$B$7,'Replacement plan'!$AH$19))*'Operating costs'!$B$9),IF(AND(VLOOKUP($A57,'Fleet register'!$A$7:$S$106,10,FALSE)&gt;=0,VLOOKUP($A57,'Fleet register'!$A$7:$S$106,10,FALSE)&lt;=120,VLOOKUP($A57,'Fleet register'!$A$7:$S$106,10,FALSE)=INT(VLOOKUP($A57,'Fleet register'!$A$7:$S$106,10,FALSE)),VLOOKUP($A57,'Fleet register'!$A$7:$S$106,15,FALSE)&gt;=0,VLOOKUP($A57,'Fleet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costs'!$B$67)&gt;=0,OR(D57&lt;&gt;"EV",E57=120,AND(MIN('Operating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57" s="1" t="str">
        <f>IF(C57=0,"Excluded",IF(P57&lt;&gt;"Complete",P57,IF(OR('Replacement plan'!$AD$19&lt;120-E57,AND(D57="EV",E57&lt;120,OR('Replacement plan'!$AC$19&lt;120-E57,'Replacement plan'!$I$19="No",AND(ISNUMBER(AF57),AE57&gt;AF57),AI57&gt;V57*(1-'Operating costs'!$B$46)^MAX(0,AB57-1)*(1-'Operating costs'!$B$45),AC57&gt;'Operating costs'!$B$18,AND(T57&lt;1,OR(AG57&lt;=0,AND(ISNUMBER(AH57),AG57&gt;AH57))),'Replacement plan'!$L$19&gt;INDEX(Products!$H$7:$H$13,MATCH('Replacement plan'!$B$19,Products!$A$7:$A$13,0))))),"Fails entered limits",IF(AND(D57="EV",E57&lt;120,OR(NOT(ISNUMBER(VLOOKUP($A57,'Fleet register'!$A$7:$S$106,7,FALSE))),NOT(ISNUMBER(VLOOKUP($A57,'Fleet register'!$A$7:$S$106,8,FALSE))),NOT(ISNUMBER(AF57)),'Replacement plan'!$I$19&lt;&gt;"Yes",NOT(ISNUMBER(AH57)),'Operating costs'!$B$59&lt;&gt;"Yes",'Operating costs'!$B$58&lt;&gt;"Yes")),"Unverified","Within entered limits"))))</f>
        <v>Excluded</v>
      </c>
      <c r="R57" s="1">
        <f>IF(C57=0,0,VLOOKUP($A57,'Fleet register'!$A$7:$S$106,6,FALSE))</f>
        <v>0</v>
      </c>
      <c r="S57" s="1">
        <f>IF(C57=0,0,VLOOKUP($A57,'Fleet register'!$A$7:$S$106,5,FALSE))</f>
        <v>0</v>
      </c>
      <c r="T57" s="1">
        <f>IF(D57="EV",'Energy and charging'!$B$12,0)</f>
        <v>0</v>
      </c>
      <c r="U57" s="1">
        <f>IFERROR(IF(C57=0,0,IF(D57="EV",IF('Replacement plan'!$F$19="",INDEX(Products!$E$7:$E$13,MATCH('Replacement plan'!$B$19,Products!$A$7:$A$13,0)),'Replacement plan'!$F$19)/IF('Replacement plan'!$G$19="Battery",1-'Operating costs'!$B$44,1),0)),"n.a.")</f>
        <v>0</v>
      </c>
      <c r="V57" s="1">
        <f>IFERROR(IF(C57=0,0,IF(D57="EV",IF('Replacement plan'!$E$19="",INDEX(Products!$D$7:$D$13,MATCH('Replacement plan'!$B$19,Products!$A$7:$A$13,0)),'Replacement plan'!$E$19),0)),"n.a.")</f>
        <v>0</v>
      </c>
      <c r="W57" s="1">
        <f>IF(C57=0,0,IF(AND(P57="Complete",D57="EV",E57&lt;120),IF(T57=0,0,ROUNDUP(T57*(R57-'Operating costs'!$B$41)*(S57*U57+'Operating costs'!$B$48/(1-'Operating costs'!$B$44))/(V57*'Operating costs'!$B$47/(1-'Operating costs'!$B$44)-T57*'Operating costs'!$B$12*U57),0)),0))</f>
        <v>0</v>
      </c>
      <c r="X57" s="1">
        <f>IF(C57=0,0,IF(AND(P57="Complete",D57="EV",E57&lt;120),(R57-'Operating costs'!$B$41)*(S57*U57+'Operating costs'!$B$48/(1-'Operating costs'!$B$44))+W57*'Operating costs'!$B$12*U57,0))</f>
        <v>0</v>
      </c>
      <c r="Y57" s="1">
        <f>IF(AND(C57=1,D57="EV",E57&lt;120),AI57/(1-'Operating costs'!$B$44)*(1-T57),0)</f>
        <v>0</v>
      </c>
      <c r="Z57" s="1">
        <f t="shared" si="0"/>
        <v>0</v>
      </c>
      <c r="AA57" s="1">
        <f>IF(C57=0,0,IF(P57="Complete",((S57*(R57-'Operating costs'!$B$40))+ROUNDUP(S57*(R57-'Operating costs'!$B$40)*IF('Replacement plan'!$AH$19="",'Operating costs'!$B$7,'Replacement plan'!$AH$19)/('Operating costs'!$B$8-'Operating costs'!$B$9*IF('Replacement plan'!$AH$19="",'Operating costs'!$B$7,'Replacement plan'!$AH$19)),0)*'Operating costs'!$B$9)*IF('Replacement plan'!$AH$19="",'Operating costs'!$B$7,'Replacement plan'!$AH$19),"n.a."))</f>
        <v>0</v>
      </c>
      <c r="AB57" s="1">
        <f t="shared" si="1"/>
        <v>0</v>
      </c>
      <c r="AC57" s="1">
        <f>IF(AND(C57=1,D57="EV",E57&lt;120,T57&gt;0),'Operating costs'!$B$12/'Operating costs'!$B$11*60+'Operating costs'!$B$13+'Operating costs'!$B$14+V57*'Operating costs'!$B$47/(1-'Operating costs'!$B$44)/'Replacement plan'!$L$19*60,0)</f>
        <v>0</v>
      </c>
      <c r="AD57" s="1" t="str">
        <f>'Replacement plan'!$B$19</f>
        <v>ChengLong L2EV</v>
      </c>
      <c r="AE57" s="1">
        <f>IF(C57=0,0,VLOOKUP($A57,'Fleet register'!$A$7:$S$106,8,FALSE))</f>
        <v>0</v>
      </c>
      <c r="AF57" s="1" t="str">
        <f>IF('Replacement plan'!$H$19="","n.a.",'Replacement plan'!$H$19)</f>
        <v>n.a.</v>
      </c>
      <c r="AG57" s="1">
        <f>'Replacement plan'!$J$19</f>
        <v>22</v>
      </c>
      <c r="AH57" s="1">
        <f>IFERROR(IF(D57="EV",IF('Replacement plan'!$K$19="AC",IF(ISNUMBER(INDEX(Products!$G$7:$G$13,MATCH('Replacement plan'!$B$19,Products!$A$7:$A$13,0))),INDEX(Products!$G$7:$G$13,MATCH('Replacement plan'!$B$19,Products!$A$7:$A$13,0)),"n.a."),IF(ISNUMBER(INDEX(Products!$H$7:$H$13,MATCH('Replacement plan'!$B$19,Products!$A$7:$A$13,0))),INDEX(Products!$H$7:$H$13,MATCH('Replacement plan'!$B$19,Products!$A$7:$A$13,0)),"n.a.")),0),"n.a.")</f>
        <v>0</v>
      </c>
      <c r="AI57" s="1">
        <f>IF(AND(C57=1,D57="EV",E57&lt;120),(VLOOKUP($A57,'Fleet register'!$A$7:$S$106,7,FALSE)+IF(T57&gt;0,'Operating costs'!$B$12,0))*U57*(1-'Operating costs'!$B$44)+'Operating costs'!$B$49,0)</f>
        <v>0</v>
      </c>
      <c r="AJ57" s="1">
        <f>IF(D57="EV",'Energy and charging'!$B$50,0)</f>
        <v>0</v>
      </c>
      <c r="AK57" s="17">
        <f>EDATE('Operating costs'!$B$63,E57)</f>
        <v>46298</v>
      </c>
      <c r="AL57" s="1">
        <f>IFERROR(IF(D57="EV",INDEX(Products!$B$7:$B$13,MATCH('Replacement plan'!$B$19,Products!$A$7:$A$13,0)),0),"n.a.")</f>
        <v>0</v>
      </c>
      <c r="AM57" s="1" t="str">
        <f>'Replacement plan'!$K$19</f>
        <v>DC</v>
      </c>
      <c r="AN57" s="1" t="str">
        <f>'Replacement plan'!$AE$19</f>
        <v>Assumed</v>
      </c>
      <c r="AO57" s="47">
        <f>IF(AND(C57=1,D57="EV",E57&lt;120),(R57-'Operating costs'!$B$41)*S57+W57*'Operating costs'!$B$12,0)</f>
        <v>0</v>
      </c>
      <c r="AP57" s="41">
        <f>IF(AND(C57=1,D57="EV",E57&lt;120),IF('Operating costs'!$B$68="Hong Seh 200k average",AO57*IFERROR(INDEX(Products!$P$7:$P$13,MATCH(AD57,Products!$A$7:$A$13,0)),"n.a."),'Operating costs'!$B$26),0)</f>
        <v>0</v>
      </c>
      <c r="AQ57" s="40" t="str">
        <f>IF(D57="EV",'Operating costs'!$B$68,"Not applicable")</f>
        <v>Not applicable</v>
      </c>
    </row>
    <row r="58" spans="1:43" ht="24" customHeight="1">
      <c r="A58" s="1" t="str">
        <f>'Replacement plan'!A19</f>
        <v>T013</v>
      </c>
      <c r="B58" s="1">
        <v>3</v>
      </c>
      <c r="C58" s="1">
        <f>IF(COUNTIFS('Fleet register'!$A$7:$A$106,$A58)=1,VLOOKUP($A58,'Fleet register'!$A$7:$S$106,2,FALSE),0)</f>
        <v>0</v>
      </c>
      <c r="D58" s="1" t="str">
        <f>IF('Replacement plan'!$R$19="EV","EV","ICE")</f>
        <v>ICE</v>
      </c>
      <c r="E58" s="1">
        <f>IF(C58=0,0,IF('Replacement plan'!$S$19="",IF('Replacement plan'!$R$19="Keep ICE",IF('Replacement plan'!$M$19="",VLOOKUP($A58,'Fleet register'!$A$7:$S$106,10,FALSE),'Replacement plan'!$M$19),0),'Replacement plan'!$S$19))</f>
        <v>0</v>
      </c>
      <c r="F58" s="16">
        <f>IF(C58=0,0,VLOOKUP($A58,'Fleet register'!$A$7:$S$106,11,FALSE))</f>
        <v>0</v>
      </c>
      <c r="G58" s="16">
        <f>IFERROR(IF(C58=0,0,IF(E58=120,0,IF(D58="ICE",'Replacement plan'!$C$19,IF('Replacement plan'!$D$19="",INDEX(Products!$I$7:$I$13,MATCH('Replacement plan'!$B$19,Products!$A$7:$A$13,0))+'Operating costs'!$B$57,'Replacement plan'!$D$19))*(1+'Operating costs'!$B$50)^(E58/12))),"n.a.")</f>
        <v>0</v>
      </c>
      <c r="H58" s="16">
        <f>IFERROR(IF(C58=0,0,IF('Replacement plan'!$V$19&lt;&gt;"",'Replacement plan'!$V$19,IF(E58=0,F58,VLOOKUP($A58,'Fleet register'!$A$7:$S$106,12,FALSE)+VLOOKUP($A58,'Fleet register'!$A$7:$S$106,13,FALSE)*MAX(0,VLOOKUP($A58,'Fleet register'!$A$7:$S$106,10,FALSE)-E58)/VLOOKUP($A58,'Fleet register'!$A$7:$S$106,14,FALSE)))),"n.a.")</f>
        <v>0</v>
      </c>
      <c r="I58" s="16">
        <f>IF(C58=0,0,IF(E58=120,0,'Replacement plan'!$T$19))</f>
        <v>0</v>
      </c>
      <c r="J58" s="16">
        <f>IF(C58=0,0,IF(P58="Complete",((S58*(R58-'Operating costs'!$B$39))+ROUNDUP(S58*(R58-'Operating costs'!$B$39)*IF('Replacement plan'!$AG$19="",'Operating costs'!$B$7,'Replacement plan'!$AG$19)/('Operating costs'!$B$8-'Operating costs'!$B$9*IF('Replacement plan'!$AG$19="",'Operating costs'!$B$7,'Replacement plan'!$AG$19)),0)*'Operating costs'!$B$9)*IF('Replacement plan'!$AG$19="",'Operating costs'!$B$7,'Replacement plan'!$AG$19)*('Energy and charging'!$C$9*'Energy and charging'!$C$7+(1-'Energy and charging'!$C$9)*'Energy and charging'!$C$8)*'Operating costs'!$B$23,"n.a."))</f>
        <v>0</v>
      </c>
      <c r="K58" s="16">
        <f>IF(C58=0,0,IF(P58="Complete",SUM('Operating costs'!$B$24,'Operating costs'!$B$27,'Operating costs'!$B$29,'Operating costs'!$B$31,'Operating costs'!$B$33,'Operating costs'!$B$34,'Operating costs'!$B$37,'Replacement plan'!$W$19)+'Operating costs'!$B$39*'Operating costs'!$B$42+ROUNDUP(S58*(R58-'Operating costs'!$B$39)*IF('Replacement plan'!$AG$19="",'Operating costs'!$B$7,'Replacement plan'!$AG$19)/('Operating costs'!$B$8-'Operating costs'!$B$9*IF('Replacement plan'!$AG$19="",'Operating costs'!$B$7,'Replacement plan'!$AG$19)),0)*('Operating costs'!$B$9/'Operating costs'!$B$11+'Operating costs'!$B$10/60)*'Operating costs'!$B$19*'Operating costs'!$B$21,"n.a."))</f>
        <v>0</v>
      </c>
      <c r="L58" s="16">
        <f>IF(C58=0,0,IF(P58="Complete",IF(D58="EV",X58*((1-T58)*'Energy and charging'!$C$10+T58*'Energy and charging'!$C$11)*'Operating costs'!$B$22,AA58*('Energy and charging'!$C$9*'Energy and charging'!$C$7+(1-'Energy and charging'!$C$9)*'Energy and charging'!$C$8)*'Operating costs'!$B$23),"n.a."))</f>
        <v>0</v>
      </c>
      <c r="M58" s="37">
        <f>IF(C58=0,0,IF(P58="Complete",IF(D58="ICE",SUM('Operating costs'!$B$25,'Operating costs'!$B$27,'Operating costs'!$B$29,'Operating costs'!$B$31,'Operating costs'!$B$33,'Operating costs'!$B$35,'Operating costs'!$B$37,'Replacement plan'!$X$19)+'Operating costs'!$B$40*'Operating costs'!$B$42+ROUNDUP(S58*(R58-'Operating costs'!$B$40)*IF('Replacement plan'!$AH$19="",'Operating costs'!$B$7,'Replacement plan'!$AH$19)/('Operating costs'!$B$8-'Operating costs'!$B$9*IF('Replacement plan'!$AH$19="",'Operating costs'!$B$7,'Replacement plan'!$AH$19)),0)*('Operating costs'!$B$9/'Operating costs'!$B$11+'Operating costs'!$B$10/60)*'Operating costs'!$B$19*'Operating costs'!$B$21,SUM(AP58,'Operating costs'!$B$28,'Operating costs'!$B$30,'Operating costs'!$B$32,'Operating costs'!$B$33,'Operating costs'!$B$36,'Operating costs'!$B$38,'Replacement plan'!$Y$19)+'Operating costs'!$B$41*'Operating costs'!$B$43+W58*'Operating costs'!$B$15+(T58*X58/'Replacement plan'!$L$19+W58*('Operating costs'!$B$12/'Operating costs'!$B$11+('Operating costs'!$B$13+'Operating costs'!$B$14)/60)+(R58-'Operating costs'!$B$41)*(IF(T58&lt;1,'Operating costs'!$B$16,0)+'Operating costs'!$B$17)/60)*'Operating costs'!$B$19*'Operating costs'!$B$20),"n.a."))</f>
        <v>0</v>
      </c>
      <c r="N58" s="16">
        <f>IF(AND(C58=1,D58="EV",E58&lt;120,E58+'Replacement plan'!$AA$19&lt;=120),'Replacement plan'!$Z$19,0)</f>
        <v>0</v>
      </c>
      <c r="O58" s="1">
        <f>E58+'Replacement plan'!$AA$19</f>
        <v>0</v>
      </c>
      <c r="P58" s="35" t="str">
        <f>IFERROR(IF(C58=0,"Excluded",IF(OR(COUNTIFS('Fleet register'!$A$7:$A$106,A58)&lt;&gt;1,COUNTIFS('Replacement plan'!$A$7:$A$106,A58)&lt;&gt;1),"Duplicate/missing ID",IF(NOT(AND(ISNUMBER(VLOOKUP($A58,'Fleet register'!$A$7:$S$106,5,FALSE)),ISNUMBER(VLOOKUP($A58,'Fleet register'!$A$7:$S$106,6,FALSE)),ISNUMBER(VLOOKUP($A58,'Fleet register'!$A$7:$S$106,10,FALSE)),ISNUMBER(VLOOKUP($A58,'Fleet register'!$A$7:$S$106,11,FALSE)),ISNUMBER(VLOOKUP($A58,'Fleet register'!$A$7:$S$106,12,FALSE)),ISNUMBER(VLOOKUP($A58,'Fleet register'!$A$7:$S$106,13,FALSE)),ISNUMBER(VLOOKUP($A58,'Fleet register'!$A$7:$S$106,14,FALSE)),VLOOKUP($A58,'Fleet register'!$A$7:$S$106,14,FALSE)&gt;0,ISNUMBER('Replacement plan'!$C$19),OR(E58=120,ISNUMBER('Replacement plan'!$T$19)),ISNUMBER(E58))),"Missing vehicle input",IF(OR(E58&lt;0,E58&gt;VLOOKUP($A58,'Fleet register'!$A$7:$S$106,10,FALSE),E58&gt;120,E58&lt;&gt;INT(E58),VLOOKUP($A58,'Fleet register'!$A$7:$S$106,6,FALSE)&lt;=0,VLOOKUP($A58,'Fleet register'!$A$7:$S$106,6,FALSE)&gt;366,VLOOKUP($A58,'Fleet register'!$A$7:$S$106,5,FALSE)&lt;0,VLOOKUP($A58,'Fleet register'!$A$7:$S$106,11,FALSE)&lt;0,I58&lt;0,'Operating costs'!$B$8&lt;='Operating costs'!$B$7*'Operating costs'!$B$9,'Operating costs'!$B$11&lt;=0,'Operating costs'!$B$39&gt;R58,'Operating costs'!$B$40&gt;R58,'Operating costs'!$B$41&gt;R58,NOT(OR('Replacement plan'!$R$19="Keep ICE",'Replacement plan'!$R$19="New ICE",'Replacement plan'!$R$19="EV"))),"Invalid vehicle input",IF(AND(D58="EV",E58&lt;120,OR(NOT(ISNUMBER(U58)),NOT(ISNUMBER(V58)),V58&lt;=0,T58&lt;0,T58&gt;1,'Replacement plan'!$L$19&lt;=0,'Operating costs'!$B$44&lt;0,'Operating costs'!$B$44&gt;=1,'Operating costs'!$B$47&lt;=0,'Operating costs'!$B$47&gt;1,V58*'Operating costs'!$B$47/(1-'Operating costs'!$B$44)&lt;=T58*'Operating costs'!$B$12*U58,AND('Replacement plan'!$Z$19&gt;0,OR('Replacement plan'!$AB$19&lt;&gt;"Yes",'Operating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charging'!$C$8&gt;=0))),ISNUMBER(VLOOKUP($A58,'Fleet register'!$A$7:$S$106,15,FALSE)),ISNUMBER(VLOOKUP($A58,'Fleet register'!$A$7:$S$106,16,FALSE)),ISNUMBER('Replacement plan'!$W$19),ISNUMBER('Replacement plan'!$X$19),OR(E58=120,AND(ISNUMBER(G58),G58&gt;=0)),ISNUMBER(H58),H58&gt;=0,OR(D58&lt;&gt;"EV",E58=120,AND(ISNUMBER('Operating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average",ISNUMBER(IFERROR(INDEX(Products!$P$7:$P$13,MATCH(AD58,Products!$A$7:$A$13,0)),"")))),ISNUMBER('Operating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plan'!$Y$19),ISNUMBER('Replacement plan'!$Z$19),'Replacement plan'!$Z$19&gt;=0,ISNUMBER('Replacement plan'!$AA$19),'Replacement plan'!$AA$19&gt;=0,'Replacement plan'!$AA$19=INT('Replacement plan'!$AA$19),ISNUMBER('Replacement plan'!$L$19))),'Operating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plan'!$AG$19="",'Operating costs'!$B$7,'Replacement plan'!$AG$19)),IF('Replacement plan'!$AG$19="",'Operating costs'!$B$7,'Replacement plan'!$AG$19)&gt;=0,ISNUMBER(IF('Replacement plan'!$AH$19="",'Operating costs'!$B$7,'Replacement plan'!$AH$19)),IF('Replacement plan'!$AH$19="",'Operating costs'!$B$7,'Replacement plan'!$AH$19)&gt;=0,'Operating costs'!$B$8&gt;MAX(IF('Replacement plan'!$AG$19="",'Operating costs'!$B$7,'Replacement plan'!$AG$19),IF('Replacement plan'!$AH$19="",'Operating costs'!$B$7,'Replacement plan'!$AH$19))*'Operating costs'!$B$9),IF(AND(VLOOKUP($A58,'Fleet register'!$A$7:$S$106,10,FALSE)&gt;=0,VLOOKUP($A58,'Fleet register'!$A$7:$S$106,10,FALSE)&lt;=120,VLOOKUP($A58,'Fleet register'!$A$7:$S$106,10,FALSE)=INT(VLOOKUP($A58,'Fleet register'!$A$7:$S$106,10,FALSE)),VLOOKUP($A58,'Fleet register'!$A$7:$S$106,15,FALSE)&gt;=0,VLOOKUP($A58,'Fleet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costs'!$B$67)&gt;=0,OR(D58&lt;&gt;"EV",E58=120,AND(MIN('Operating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58" s="1" t="str">
        <f>IF(C58=0,"Excluded",IF(P58&lt;&gt;"Complete",P58,IF(OR('Replacement plan'!$AD$19&lt;120-E58,AND(D58="EV",E58&lt;120,OR('Replacement plan'!$AC$19&lt;120-E58,'Replacement plan'!$I$19="No",AND(ISNUMBER(AF58),AE58&gt;AF58),AI58&gt;V58*(1-'Operating costs'!$B$46)^MAX(0,AB58-1)*(1-'Operating costs'!$B$45),AC58&gt;'Operating costs'!$B$18,AND(T58&lt;1,OR(AG58&lt;=0,AND(ISNUMBER(AH58),AG58&gt;AH58))),'Replacement plan'!$L$19&gt;INDEX(Products!$H$7:$H$13,MATCH('Replacement plan'!$B$19,Products!$A$7:$A$13,0))))),"Fails entered limits",IF(AND(D58="EV",E58&lt;120,OR(NOT(ISNUMBER(VLOOKUP($A58,'Fleet register'!$A$7:$S$106,7,FALSE))),NOT(ISNUMBER(VLOOKUP($A58,'Fleet register'!$A$7:$S$106,8,FALSE))),NOT(ISNUMBER(AF58)),'Replacement plan'!$I$19&lt;&gt;"Yes",NOT(ISNUMBER(AH58)),'Operating costs'!$B$59&lt;&gt;"Yes",'Operating costs'!$B$58&lt;&gt;"Yes")),"Unverified","Within entered limits"))))</f>
        <v>Excluded</v>
      </c>
      <c r="R58" s="1">
        <f>IF(C58=0,0,VLOOKUP($A58,'Fleet register'!$A$7:$S$106,6,FALSE))</f>
        <v>0</v>
      </c>
      <c r="S58" s="1">
        <f>IF(C58=0,0,VLOOKUP($A58,'Fleet register'!$A$7:$S$106,5,FALSE))</f>
        <v>0</v>
      </c>
      <c r="T58" s="1">
        <f>IF(D58="EV",'Energy and charging'!$C$12,0)</f>
        <v>0</v>
      </c>
      <c r="U58" s="1">
        <f>IFERROR(IF(C58=0,0,IF(D58="EV",IF('Replacement plan'!$F$19="",INDEX(Products!$E$7:$E$13,MATCH('Replacement plan'!$B$19,Products!$A$7:$A$13,0)),'Replacement plan'!$F$19)/IF('Replacement plan'!$G$19="Battery",1-'Operating costs'!$B$44,1),0)),"n.a.")</f>
        <v>0</v>
      </c>
      <c r="V58" s="1">
        <f>IFERROR(IF(C58=0,0,IF(D58="EV",IF('Replacement plan'!$E$19="",INDEX(Products!$D$7:$D$13,MATCH('Replacement plan'!$B$19,Products!$A$7:$A$13,0)),'Replacement plan'!$E$19),0)),"n.a.")</f>
        <v>0</v>
      </c>
      <c r="W58" s="1">
        <f>IF(C58=0,0,IF(AND(P58="Complete",D58="EV",E58&lt;120),IF(T58=0,0,ROUNDUP(T58*(R58-'Operating costs'!$B$41)*(S58*U58+'Operating costs'!$B$48/(1-'Operating costs'!$B$44))/(V58*'Operating costs'!$B$47/(1-'Operating costs'!$B$44)-T58*'Operating costs'!$B$12*U58),0)),0))</f>
        <v>0</v>
      </c>
      <c r="X58" s="1">
        <f>IF(C58=0,0,IF(AND(P58="Complete",D58="EV",E58&lt;120),(R58-'Operating costs'!$B$41)*(S58*U58+'Operating costs'!$B$48/(1-'Operating costs'!$B$44))+W58*'Operating costs'!$B$12*U58,0))</f>
        <v>0</v>
      </c>
      <c r="Y58" s="1">
        <f>IF(AND(C58=1,D58="EV",E58&lt;120),AI58/(1-'Operating costs'!$B$44)*(1-T58),0)</f>
        <v>0</v>
      </c>
      <c r="Z58" s="1">
        <f t="shared" si="0"/>
        <v>0</v>
      </c>
      <c r="AA58" s="1">
        <f>IF(C58=0,0,IF(P58="Complete",((S58*(R58-'Operating costs'!$B$40))+ROUNDUP(S58*(R58-'Operating costs'!$B$40)*IF('Replacement plan'!$AH$19="",'Operating costs'!$B$7,'Replacement plan'!$AH$19)/('Operating costs'!$B$8-'Operating costs'!$B$9*IF('Replacement plan'!$AH$19="",'Operating costs'!$B$7,'Replacement plan'!$AH$19)),0)*'Operating costs'!$B$9)*IF('Replacement plan'!$AH$19="",'Operating costs'!$B$7,'Replacement plan'!$AH$19),"n.a."))</f>
        <v>0</v>
      </c>
      <c r="AB58" s="1">
        <f t="shared" si="1"/>
        <v>0</v>
      </c>
      <c r="AC58" s="1">
        <f>IF(AND(C58=1,D58="EV",E58&lt;120,T58&gt;0),'Operating costs'!$B$12/'Operating costs'!$B$11*60+'Operating costs'!$B$13+'Operating costs'!$B$14+V58*'Operating costs'!$B$47/(1-'Operating costs'!$B$44)/'Replacement plan'!$L$19*60,0)</f>
        <v>0</v>
      </c>
      <c r="AD58" s="1" t="str">
        <f>'Replacement plan'!$B$19</f>
        <v>ChengLong L2EV</v>
      </c>
      <c r="AE58" s="1">
        <f>IF(C58=0,0,VLOOKUP($A58,'Fleet register'!$A$7:$S$106,8,FALSE))</f>
        <v>0</v>
      </c>
      <c r="AF58" s="1" t="str">
        <f>IF('Replacement plan'!$H$19="","n.a.",'Replacement plan'!$H$19)</f>
        <v>n.a.</v>
      </c>
      <c r="AG58" s="1">
        <f>'Replacement plan'!$J$19</f>
        <v>22</v>
      </c>
      <c r="AH58" s="1">
        <f>IFERROR(IF(D58="EV",IF('Replacement plan'!$K$19="AC",IF(ISNUMBER(INDEX(Products!$G$7:$G$13,MATCH('Replacement plan'!$B$19,Products!$A$7:$A$13,0))),INDEX(Products!$G$7:$G$13,MATCH('Replacement plan'!$B$19,Products!$A$7:$A$13,0)),"n.a."),IF(ISNUMBER(INDEX(Products!$H$7:$H$13,MATCH('Replacement plan'!$B$19,Products!$A$7:$A$13,0))),INDEX(Products!$H$7:$H$13,MATCH('Replacement plan'!$B$19,Products!$A$7:$A$13,0)),"n.a.")),0),"n.a.")</f>
        <v>0</v>
      </c>
      <c r="AI58" s="1">
        <f>IF(AND(C58=1,D58="EV",E58&lt;120),(VLOOKUP($A58,'Fleet register'!$A$7:$S$106,7,FALSE)+IF(T58&gt;0,'Operating costs'!$B$12,0))*U58*(1-'Operating costs'!$B$44)+'Operating costs'!$B$49,0)</f>
        <v>0</v>
      </c>
      <c r="AJ58" s="1">
        <f>IF(D58="EV",'Energy and charging'!$C$50,0)</f>
        <v>0</v>
      </c>
      <c r="AK58" s="17">
        <f>EDATE('Operating costs'!$B$63,E58)</f>
        <v>46298</v>
      </c>
      <c r="AL58" s="1">
        <f>IFERROR(IF(D58="EV",INDEX(Products!$B$7:$B$13,MATCH('Replacement plan'!$B$19,Products!$A$7:$A$13,0)),0),"n.a.")</f>
        <v>0</v>
      </c>
      <c r="AM58" s="1" t="str">
        <f>'Replacement plan'!$K$19</f>
        <v>DC</v>
      </c>
      <c r="AN58" s="1" t="str">
        <f>'Replacement plan'!$AE$19</f>
        <v>Assumed</v>
      </c>
      <c r="AO58" s="47">
        <f>IF(AND(C58=1,D58="EV",E58&lt;120),(R58-'Operating costs'!$B$41)*S58+W58*'Operating costs'!$B$12,0)</f>
        <v>0</v>
      </c>
      <c r="AP58" s="41">
        <f>IF(AND(C58=1,D58="EV",E58&lt;120),IF('Operating costs'!$B$68="Hong Seh 200k average",AO58*IFERROR(INDEX(Products!$P$7:$P$13,MATCH(AD58,Products!$A$7:$A$13,0)),"n.a."),'Operating costs'!$B$26),0)</f>
        <v>0</v>
      </c>
      <c r="AQ58" s="40" t="str">
        <f>IF(D58="EV",'Operating costs'!$B$68,"Not applicable")</f>
        <v>Not applicable</v>
      </c>
    </row>
    <row r="59" spans="1:43" ht="24" customHeight="1">
      <c r="A59" s="1" t="str">
        <f>'Replacement plan'!A20</f>
        <v>T014</v>
      </c>
      <c r="B59" s="1">
        <v>0</v>
      </c>
      <c r="C59" s="1">
        <f>IF(COUNTIFS('Fleet register'!$A$7:$A$106,$A59)=1,VLOOKUP($A59,'Fleet register'!$A$7:$S$106,2,FALSE),0)</f>
        <v>0</v>
      </c>
      <c r="D59" s="1" t="str">
        <f>IF("Keep ICE"="EV","EV","ICE")</f>
        <v>ICE</v>
      </c>
      <c r="E59" s="1">
        <f>IF(C59=0,0,IF('Replacement plan'!$M$20="",VLOOKUP($A59,'Fleet register'!$A$7:$S$106,10,FALSE),'Replacement plan'!$M$20))</f>
        <v>0</v>
      </c>
      <c r="F59" s="16">
        <f>IF(C59=0,0,VLOOKUP($A59,'Fleet register'!$A$7:$S$106,11,FALSE))</f>
        <v>0</v>
      </c>
      <c r="G59" s="16">
        <f>IFERROR(IF(C59=0,0,IF(E59=120,0,IF(D59="ICE",'Replacement plan'!$C$20,IF('Replacement plan'!$D$20="",INDEX(Products!$I$7:$I$13,MATCH('Replacement plan'!$B$20,Products!$A$7:$A$13,0))+'Operating costs'!$B$57,'Replacement plan'!$D$20))*(1+'Operating costs'!$B$50)^(E59/12))),"n.a.")</f>
        <v>0</v>
      </c>
      <c r="H59" s="16">
        <f>IFERROR(IF(C59=0,0,IF(E59=0,F59,VLOOKUP($A59,'Fleet register'!$A$7:$S$106,12,FALSE)+VLOOKUP($A59,'Fleet register'!$A$7:$S$106,13,FALSE)*MAX(0,VLOOKUP($A59,'Fleet register'!$A$7:$S$106,10,FALSE)-E59)/VLOOKUP($A59,'Fleet register'!$A$7:$S$106,14,FALSE))),"n.a.")</f>
        <v>0</v>
      </c>
      <c r="I59" s="16">
        <f>IF(C59=0,0,IF(E59=120,0,'Replacement plan'!$N$20))</f>
        <v>0</v>
      </c>
      <c r="J59" s="16">
        <f>IF(C59=0,0,IF(P59="Complete",((S59*(R59-'Operating costs'!$B$39))+ROUNDUP(S59*(R59-'Operating costs'!$B$39)*IF('Replacement plan'!$AG$20="",'Operating costs'!$B$7,'Replacement plan'!$AG$20)/('Operating costs'!$B$8-'Operating costs'!$B$9*IF('Replacement plan'!$AG$20="",'Operating costs'!$B$7,'Replacement plan'!$AG$20)),0)*'Operating costs'!$B$9)*IF('Replacement plan'!$AG$20="",'Operating costs'!$B$7,'Replacement plan'!$AG$20)*('Energy and charging'!$B$9*'Energy and charging'!$B$7+(1-'Energy and charging'!$B$9)*'Energy and charging'!$B$8)*'Operating costs'!$B$23,"n.a."))</f>
        <v>0</v>
      </c>
      <c r="K59" s="16">
        <f>IF(C59=0,0,IF(P59="Complete",SUM('Operating costs'!$B$24,'Operating costs'!$B$27,'Operating costs'!$B$29,'Operating costs'!$B$31,'Operating costs'!$B$33,'Operating costs'!$B$34,'Operating costs'!$B$37,'Replacement plan'!$W$20)+'Operating costs'!$B$39*'Operating costs'!$B$42+ROUNDUP(S59*(R59-'Operating costs'!$B$39)*IF('Replacement plan'!$AG$20="",'Operating costs'!$B$7,'Replacement plan'!$AG$20)/('Operating costs'!$B$8-'Operating costs'!$B$9*IF('Replacement plan'!$AG$20="",'Operating costs'!$B$7,'Replacement plan'!$AG$20)),0)*('Operating costs'!$B$9/'Operating costs'!$B$11+'Operating costs'!$B$10/60)*'Operating costs'!$B$19*'Operating costs'!$B$21,"n.a."))</f>
        <v>0</v>
      </c>
      <c r="L59" s="16">
        <f>IF(C59=0,0,IF(P59="Complete",IF(D59="EV",X59*((1-T59)*'Energy and charging'!$B$10+T59*'Energy and charging'!$B$11)*'Operating costs'!$B$22,AA59*('Energy and charging'!$B$9*'Energy and charging'!$B$7+(1-'Energy and charging'!$B$9)*'Energy and charging'!$B$8)*'Operating costs'!$B$23),"n.a."))</f>
        <v>0</v>
      </c>
      <c r="M59" s="37">
        <f>IF(C59=0,0,IF(P59="Complete",IF(D59="ICE",SUM('Operating costs'!$B$25,'Operating costs'!$B$27,'Operating costs'!$B$29,'Operating costs'!$B$31,'Operating costs'!$B$33,'Operating costs'!$B$35,'Operating costs'!$B$37,'Replacement plan'!$X$20)+'Operating costs'!$B$40*'Operating costs'!$B$42+ROUNDUP(S59*(R59-'Operating costs'!$B$40)*IF('Replacement plan'!$AH$20="",'Operating costs'!$B$7,'Replacement plan'!$AH$20)/('Operating costs'!$B$8-'Operating costs'!$B$9*IF('Replacement plan'!$AH$20="",'Operating costs'!$B$7,'Replacement plan'!$AH$20)),0)*('Operating costs'!$B$9/'Operating costs'!$B$11+'Operating costs'!$B$10/60)*'Operating costs'!$B$19*'Operating costs'!$B$21,SUM(AP59,'Operating costs'!$B$28,'Operating costs'!$B$30,'Operating costs'!$B$32,'Operating costs'!$B$33,'Operating costs'!$B$36,'Operating costs'!$B$38,'Replacement plan'!$Y$20)+'Operating costs'!$B$41*'Operating costs'!$B$43+W59*'Operating costs'!$B$15+(T59*X59/'Replacement plan'!$L$20+W59*('Operating costs'!$B$12/'Operating costs'!$B$11+('Operating costs'!$B$13+'Operating costs'!$B$14)/60)+(R59-'Operating costs'!$B$41)*(IF(T59&lt;1,'Operating costs'!$B$16,0)+'Operating costs'!$B$17)/60)*'Operating costs'!$B$19*'Operating costs'!$B$20),"n.a."))</f>
        <v>0</v>
      </c>
      <c r="N59" s="16">
        <f>IF(AND(C59=1,D59="EV",E59&lt;120,E59+'Replacement plan'!$AA$20&lt;=120),'Replacement plan'!$Z$20,0)</f>
        <v>0</v>
      </c>
      <c r="O59" s="1">
        <f>E59+'Replacement plan'!$AA$20</f>
        <v>0</v>
      </c>
      <c r="P59" s="35" t="str">
        <f>IFERROR(IF(C59=0,"Excluded",IF(OR(COUNTIFS('Fleet register'!$A$7:$A$106,A59)&lt;&gt;1,COUNTIFS('Replacement plan'!$A$7:$A$106,A59)&lt;&gt;1),"Duplicate/missing ID",IF(NOT(AND(ISNUMBER(VLOOKUP($A59,'Fleet register'!$A$7:$S$106,5,FALSE)),ISNUMBER(VLOOKUP($A59,'Fleet register'!$A$7:$S$106,6,FALSE)),ISNUMBER(VLOOKUP($A59,'Fleet register'!$A$7:$S$106,10,FALSE)),ISNUMBER(VLOOKUP($A59,'Fleet register'!$A$7:$S$106,11,FALSE)),ISNUMBER(VLOOKUP($A59,'Fleet register'!$A$7:$S$106,12,FALSE)),ISNUMBER(VLOOKUP($A59,'Fleet register'!$A$7:$S$106,13,FALSE)),ISNUMBER(VLOOKUP($A59,'Fleet register'!$A$7:$S$106,14,FALSE)),VLOOKUP($A59,'Fleet register'!$A$7:$S$106,14,FALSE)&gt;0,ISNUMBER('Replacement plan'!$C$20),OR(E59=120,ISNUMBER('Replacement plan'!$N$20)),ISNUMBER(E59))),"Missing vehicle input",IF(OR(E59&lt;0,E59&gt;VLOOKUP($A59,'Fleet register'!$A$7:$S$106,10,FALSE),E59&gt;120,E59&lt;&gt;INT(E59),VLOOKUP($A59,'Fleet register'!$A$7:$S$106,6,FALSE)&lt;=0,VLOOKUP($A59,'Fleet register'!$A$7:$S$106,6,FALSE)&gt;366,VLOOKUP($A59,'Fleet register'!$A$7:$S$106,5,FALSE)&lt;0,VLOOKUP($A59,'Fleet register'!$A$7:$S$106,11,FALSE)&lt;0,I59&lt;0,'Operating costs'!$B$8&lt;='Operating costs'!$B$7*'Operating costs'!$B$9,'Operating costs'!$B$11&lt;=0,'Operating costs'!$B$39&gt;R59,'Operating costs'!$B$40&gt;R59,'Operating costs'!$B$41&gt;R59,NOT(OR("Keep ICE"="Keep ICE","Keep ICE"="New ICE","Keep ICE"="EV"))),"Invalid vehicle input",IF(AND(D59="EV",E59&lt;120,OR(NOT(ISNUMBER(U59)),NOT(ISNUMBER(V59)),V59&lt;=0,T59&lt;0,T59&gt;1,'Replacement plan'!$L$20&lt;=0,'Operating costs'!$B$44&lt;0,'Operating costs'!$B$44&gt;=1,'Operating costs'!$B$47&lt;=0,'Operating costs'!$B$47&gt;1,V59*'Operating costs'!$B$47/(1-'Operating costs'!$B$44)&lt;=T59*'Operating costs'!$B$12*U59,AND('Replacement plan'!$Z$20&gt;0,OR('Replacement plan'!$AB$20&lt;&gt;"Yes",'Operating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charging'!$B$8&gt;=0))),ISNUMBER(VLOOKUP($A59,'Fleet register'!$A$7:$S$106,15,FALSE)),ISNUMBER(VLOOKUP($A59,'Fleet register'!$A$7:$S$106,16,FALSE)),ISNUMBER('Replacement plan'!$W$20),ISNUMBER('Replacement plan'!$X$20),OR(E59=120,AND(ISNUMBER(G59),G59&gt;=0)),ISNUMBER(H59),H59&gt;=0,OR(D59&lt;&gt;"EV",E59=120,AND(ISNUMBER('Operating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average",ISNUMBER(IFERROR(INDEX(Products!$P$7:$P$13,MATCH(AD59,Products!$A$7:$A$13,0)),"")))),ISNUMBER('Operating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plan'!$Y$20),ISNUMBER('Replacement plan'!$Z$20),'Replacement plan'!$Z$20&gt;=0,ISNUMBER('Replacement plan'!$AA$20),'Replacement plan'!$AA$20&gt;=0,'Replacement plan'!$AA$20=INT('Replacement plan'!$AA$20),ISNUMBER('Replacement plan'!$L$20))),'Operating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plan'!$AG$20="",'Operating costs'!$B$7,'Replacement plan'!$AG$20)),IF('Replacement plan'!$AG$20="",'Operating costs'!$B$7,'Replacement plan'!$AG$20)&gt;=0,ISNUMBER(IF('Replacement plan'!$AH$20="",'Operating costs'!$B$7,'Replacement plan'!$AH$20)),IF('Replacement plan'!$AH$20="",'Operating costs'!$B$7,'Replacement plan'!$AH$20)&gt;=0,'Operating costs'!$B$8&gt;MAX(IF('Replacement plan'!$AG$20="",'Operating costs'!$B$7,'Replacement plan'!$AG$20),IF('Replacement plan'!$AH$20="",'Operating costs'!$B$7,'Replacement plan'!$AH$20))*'Operating costs'!$B$9),IF(AND(VLOOKUP($A59,'Fleet register'!$A$7:$S$106,10,FALSE)&gt;=0,VLOOKUP($A59,'Fleet register'!$A$7:$S$106,10,FALSE)&lt;=120,VLOOKUP($A59,'Fleet register'!$A$7:$S$106,10,FALSE)=INT(VLOOKUP($A59,'Fleet register'!$A$7:$S$106,10,FALSE)),VLOOKUP($A59,'Fleet register'!$A$7:$S$106,15,FALSE)&gt;=0,VLOOKUP($A59,'Fleet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costs'!$B$67)&gt;=0,OR(D59&lt;&gt;"EV",E59=120,AND(MIN('Operating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59" s="1" t="str">
        <f>IF(C59=0,"Excluded",IF(P59&lt;&gt;"Complete",P59,IF(OR('Replacement plan'!$AD$20&lt;120-E59,AND(D59="EV",E59&lt;120,OR('Replacement plan'!$AC$20&lt;120-E59,'Replacement plan'!$I$20="No",AND(ISNUMBER(AF59),AE59&gt;AF59),AI59&gt;V59*(1-'Operating costs'!$B$46)^MAX(0,AB59-1)*(1-'Operating costs'!$B$45),AC59&gt;'Operating costs'!$B$18,AND(T59&lt;1,OR(AG59&lt;=0,AND(ISNUMBER(AH59),AG59&gt;AH59))),'Replacement plan'!$L$20&gt;INDEX(Products!$H$7:$H$13,MATCH('Replacement plan'!$B$20,Products!$A$7:$A$13,0))))),"Fails entered limits",IF(AND(D59="EV",E59&lt;120,OR(NOT(ISNUMBER(VLOOKUP($A59,'Fleet register'!$A$7:$S$106,7,FALSE))),NOT(ISNUMBER(VLOOKUP($A59,'Fleet register'!$A$7:$S$106,8,FALSE))),NOT(ISNUMBER(AF59)),'Replacement plan'!$I$20&lt;&gt;"Yes",NOT(ISNUMBER(AH59)),'Operating costs'!$B$59&lt;&gt;"Yes",'Operating costs'!$B$58&lt;&gt;"Yes")),"Unverified","Within entered limits"))))</f>
        <v>Excluded</v>
      </c>
      <c r="R59" s="1">
        <f>IF(C59=0,0,VLOOKUP($A59,'Fleet register'!$A$7:$S$106,6,FALSE))</f>
        <v>0</v>
      </c>
      <c r="S59" s="1">
        <f>IF(C59=0,0,VLOOKUP($A59,'Fleet register'!$A$7:$S$106,5,FALSE))</f>
        <v>0</v>
      </c>
      <c r="T59" s="1">
        <f>IF(D59="EV",'Energy and charging'!$B$12,0)</f>
        <v>0</v>
      </c>
      <c r="U59" s="1">
        <f>IFERROR(IF(C59=0,0,IF(D59="EV",IF('Replacement plan'!$F$20="",INDEX(Products!$E$7:$E$13,MATCH('Replacement plan'!$B$20,Products!$A$7:$A$13,0)),'Replacement plan'!$F$20)/IF('Replacement plan'!$G$20="Battery",1-'Operating costs'!$B$44,1),0)),"n.a.")</f>
        <v>0</v>
      </c>
      <c r="V59" s="1">
        <f>IFERROR(IF(C59=0,0,IF(D59="EV",IF('Replacement plan'!$E$20="",INDEX(Products!$D$7:$D$13,MATCH('Replacement plan'!$B$20,Products!$A$7:$A$13,0)),'Replacement plan'!$E$20),0)),"n.a.")</f>
        <v>0</v>
      </c>
      <c r="W59" s="1">
        <f>IF(C59=0,0,IF(AND(P59="Complete",D59="EV",E59&lt;120),IF(T59=0,0,ROUNDUP(T59*(R59-'Operating costs'!$B$41)*(S59*U59+'Operating costs'!$B$48/(1-'Operating costs'!$B$44))/(V59*'Operating costs'!$B$47/(1-'Operating costs'!$B$44)-T59*'Operating costs'!$B$12*U59),0)),0))</f>
        <v>0</v>
      </c>
      <c r="X59" s="1">
        <f>IF(C59=0,0,IF(AND(P59="Complete",D59="EV",E59&lt;120),(R59-'Operating costs'!$B$41)*(S59*U59+'Operating costs'!$B$48/(1-'Operating costs'!$B$44))+W59*'Operating costs'!$B$12*U59,0))</f>
        <v>0</v>
      </c>
      <c r="Y59" s="1">
        <f>IF(AND(C59=1,D59="EV",E59&lt;120),AI59/(1-'Operating costs'!$B$44)*(1-T59),0)</f>
        <v>0</v>
      </c>
      <c r="Z59" s="1">
        <f t="shared" si="0"/>
        <v>0</v>
      </c>
      <c r="AA59" s="1">
        <f>IF(C59=0,0,IF(P59="Complete",((S59*(R59-'Operating costs'!$B$40))+ROUNDUP(S59*(R59-'Operating costs'!$B$40)*IF('Replacement plan'!$AH$20="",'Operating costs'!$B$7,'Replacement plan'!$AH$20)/('Operating costs'!$B$8-'Operating costs'!$B$9*IF('Replacement plan'!$AH$20="",'Operating costs'!$B$7,'Replacement plan'!$AH$20)),0)*'Operating costs'!$B$9)*IF('Replacement plan'!$AH$20="",'Operating costs'!$B$7,'Replacement plan'!$AH$20),"n.a."))</f>
        <v>0</v>
      </c>
      <c r="AB59" s="1">
        <f t="shared" si="1"/>
        <v>0</v>
      </c>
      <c r="AC59" s="1">
        <f>IF(AND(C59=1,D59="EV",E59&lt;120,T59&gt;0),'Operating costs'!$B$12/'Operating costs'!$B$11*60+'Operating costs'!$B$13+'Operating costs'!$B$14+V59*'Operating costs'!$B$47/(1-'Operating costs'!$B$44)/'Replacement plan'!$L$20*60,0)</f>
        <v>0</v>
      </c>
      <c r="AD59" s="1" t="str">
        <f>'Replacement plan'!$B$20</f>
        <v>ChengLong L2EV</v>
      </c>
      <c r="AE59" s="1">
        <f>IF(C59=0,0,VLOOKUP($A59,'Fleet register'!$A$7:$S$106,8,FALSE))</f>
        <v>0</v>
      </c>
      <c r="AF59" s="1" t="str">
        <f>IF('Replacement plan'!$H$20="","n.a.",'Replacement plan'!$H$20)</f>
        <v>n.a.</v>
      </c>
      <c r="AG59" s="1">
        <f>'Replacement plan'!$J$20</f>
        <v>22</v>
      </c>
      <c r="AH59" s="1">
        <f>IFERROR(IF(D59="EV",IF('Replacement plan'!$K$20="AC",IF(ISNUMBER(INDEX(Products!$G$7:$G$13,MATCH('Replacement plan'!$B$20,Products!$A$7:$A$13,0))),INDEX(Products!$G$7:$G$13,MATCH('Replacement plan'!$B$20,Products!$A$7:$A$13,0)),"n.a."),IF(ISNUMBER(INDEX(Products!$H$7:$H$13,MATCH('Replacement plan'!$B$20,Products!$A$7:$A$13,0))),INDEX(Products!$H$7:$H$13,MATCH('Replacement plan'!$B$20,Products!$A$7:$A$13,0)),"n.a.")),0),"n.a.")</f>
        <v>0</v>
      </c>
      <c r="AI59" s="1">
        <f>IF(AND(C59=1,D59="EV",E59&lt;120),(VLOOKUP($A59,'Fleet register'!$A$7:$S$106,7,FALSE)+IF(T59&gt;0,'Operating costs'!$B$12,0))*U59*(1-'Operating costs'!$B$44)+'Operating costs'!$B$49,0)</f>
        <v>0</v>
      </c>
      <c r="AJ59" s="1">
        <f>IF(D59="EV",'Energy and charging'!$B$50,0)</f>
        <v>0</v>
      </c>
      <c r="AK59" s="17">
        <f>EDATE('Operating costs'!$B$63,E59)</f>
        <v>46298</v>
      </c>
      <c r="AL59" s="1">
        <f>IFERROR(IF(D59="EV",INDEX(Products!$B$7:$B$13,MATCH('Replacement plan'!$B$20,Products!$A$7:$A$13,0)),0),"n.a.")</f>
        <v>0</v>
      </c>
      <c r="AM59" s="1" t="str">
        <f>'Replacement plan'!$K$20</f>
        <v>DC</v>
      </c>
      <c r="AN59" s="1" t="str">
        <f>'Replacement plan'!$AE$20</f>
        <v>Assumed</v>
      </c>
      <c r="AO59" s="47">
        <f>IF(AND(C59=1,D59="EV",E59&lt;120),(R59-'Operating costs'!$B$41)*S59+W59*'Operating costs'!$B$12,0)</f>
        <v>0</v>
      </c>
      <c r="AP59" s="41">
        <f>IF(AND(C59=1,D59="EV",E59&lt;120),IF('Operating costs'!$B$68="Hong Seh 200k average",AO59*IFERROR(INDEX(Products!$P$7:$P$13,MATCH(AD59,Products!$A$7:$A$13,0)),"n.a."),'Operating costs'!$B$26),0)</f>
        <v>0</v>
      </c>
      <c r="AQ59" s="40" t="str">
        <f>IF(D59="EV",'Operating costs'!$B$68,"Not applicable")</f>
        <v>Not applicable</v>
      </c>
    </row>
    <row r="60" spans="1:43" ht="24" customHeight="1">
      <c r="A60" s="1" t="str">
        <f>'Replacement plan'!A20</f>
        <v>T014</v>
      </c>
      <c r="B60" s="1">
        <v>1</v>
      </c>
      <c r="C60" s="1">
        <f>IF(COUNTIFS('Fleet register'!$A$7:$A$106,$A60)=1,VLOOKUP($A60,'Fleet register'!$A$7:$S$106,2,FALSE),0)</f>
        <v>0</v>
      </c>
      <c r="D60" s="1" t="str">
        <f>IF("New ICE"="EV","EV","ICE")</f>
        <v>ICE</v>
      </c>
      <c r="E60" s="1">
        <f>IF(C60=0,0,0)</f>
        <v>0</v>
      </c>
      <c r="F60" s="16">
        <f>IF(C60=0,0,VLOOKUP($A60,'Fleet register'!$A$7:$S$106,11,FALSE))</f>
        <v>0</v>
      </c>
      <c r="G60" s="16">
        <f>IFERROR(IF(C60=0,0,IF(E60=120,0,IF(D60="ICE",'Replacement plan'!$C$20,IF('Replacement plan'!$D$20="",INDEX(Products!$I$7:$I$13,MATCH('Replacement plan'!$B$20,Products!$A$7:$A$13,0))+'Operating costs'!$B$57,'Replacement plan'!$D$20))*(1+'Operating costs'!$B$50)^(E60/12))),"n.a.")</f>
        <v>0</v>
      </c>
      <c r="H60" s="16">
        <f>IFERROR(IF(C60=0,0,IF(E60=0,F60,VLOOKUP($A60,'Fleet register'!$A$7:$S$106,12,FALSE)+VLOOKUP($A60,'Fleet register'!$A$7:$S$106,13,FALSE)*MAX(0,VLOOKUP($A60,'Fleet register'!$A$7:$S$106,10,FALSE)-E60)/VLOOKUP($A60,'Fleet register'!$A$7:$S$106,14,FALSE))),"n.a.")</f>
        <v>0</v>
      </c>
      <c r="I60" s="16">
        <f>IF(C60=0,0,IF(E60=120,0,IF('Replacement plan'!$AI$20="",'Operating costs'!$B$56,'Replacement plan'!$AI$20)))</f>
        <v>0</v>
      </c>
      <c r="J60" s="16">
        <f>IF(C60=0,0,IF(P60="Complete",((S60*(R60-'Operating costs'!$B$39))+ROUNDUP(S60*(R60-'Operating costs'!$B$39)*IF('Replacement plan'!$AG$20="",'Operating costs'!$B$7,'Replacement plan'!$AG$20)/('Operating costs'!$B$8-'Operating costs'!$B$9*IF('Replacement plan'!$AG$20="",'Operating costs'!$B$7,'Replacement plan'!$AG$20)),0)*'Operating costs'!$B$9)*IF('Replacement plan'!$AG$20="",'Operating costs'!$B$7,'Replacement plan'!$AG$20)*('Energy and charging'!$B$9*'Energy and charging'!$B$7+(1-'Energy and charging'!$B$9)*'Energy and charging'!$B$8)*'Operating costs'!$B$23,"n.a."))</f>
        <v>0</v>
      </c>
      <c r="K60" s="16">
        <f>IF(C60=0,0,IF(P60="Complete",SUM('Operating costs'!$B$24,'Operating costs'!$B$27,'Operating costs'!$B$29,'Operating costs'!$B$31,'Operating costs'!$B$33,'Operating costs'!$B$34,'Operating costs'!$B$37,'Replacement plan'!$W$20)+'Operating costs'!$B$39*'Operating costs'!$B$42+ROUNDUP(S60*(R60-'Operating costs'!$B$39)*IF('Replacement plan'!$AG$20="",'Operating costs'!$B$7,'Replacement plan'!$AG$20)/('Operating costs'!$B$8-'Operating costs'!$B$9*IF('Replacement plan'!$AG$20="",'Operating costs'!$B$7,'Replacement plan'!$AG$20)),0)*('Operating costs'!$B$9/'Operating costs'!$B$11+'Operating costs'!$B$10/60)*'Operating costs'!$B$19*'Operating costs'!$B$21,"n.a."))</f>
        <v>0</v>
      </c>
      <c r="L60" s="16">
        <f>IF(C60=0,0,IF(P60="Complete",IF(D60="EV",X60*((1-T60)*'Energy and charging'!$B$10+T60*'Energy and charging'!$B$11)*'Operating costs'!$B$22,AA60*('Energy and charging'!$B$9*'Energy and charging'!$B$7+(1-'Energy and charging'!$B$9)*'Energy and charging'!$B$8)*'Operating costs'!$B$23),"n.a."))</f>
        <v>0</v>
      </c>
      <c r="M60" s="37">
        <f>IF(C60=0,0,IF(P60="Complete",IF(D60="ICE",SUM('Operating costs'!$B$25,'Operating costs'!$B$27,'Operating costs'!$B$29,'Operating costs'!$B$31,'Operating costs'!$B$33,'Operating costs'!$B$35,'Operating costs'!$B$37,'Replacement plan'!$X$20)+'Operating costs'!$B$40*'Operating costs'!$B$42+ROUNDUP(S60*(R60-'Operating costs'!$B$40)*IF('Replacement plan'!$AH$20="",'Operating costs'!$B$7,'Replacement plan'!$AH$20)/('Operating costs'!$B$8-'Operating costs'!$B$9*IF('Replacement plan'!$AH$20="",'Operating costs'!$B$7,'Replacement plan'!$AH$20)),0)*('Operating costs'!$B$9/'Operating costs'!$B$11+'Operating costs'!$B$10/60)*'Operating costs'!$B$19*'Operating costs'!$B$21,SUM(AP60,'Operating costs'!$B$28,'Operating costs'!$B$30,'Operating costs'!$B$32,'Operating costs'!$B$33,'Operating costs'!$B$36,'Operating costs'!$B$38,'Replacement plan'!$Y$20)+'Operating costs'!$B$41*'Operating costs'!$B$43+W60*'Operating costs'!$B$15+(T60*X60/'Replacement plan'!$L$20+W60*('Operating costs'!$B$12/'Operating costs'!$B$11+('Operating costs'!$B$13+'Operating costs'!$B$14)/60)+(R60-'Operating costs'!$B$41)*(IF(T60&lt;1,'Operating costs'!$B$16,0)+'Operating costs'!$B$17)/60)*'Operating costs'!$B$19*'Operating costs'!$B$20),"n.a."))</f>
        <v>0</v>
      </c>
      <c r="N60" s="16">
        <f>IF(AND(C60=1,D60="EV",E60&lt;120,E60+'Replacement plan'!$AA$20&lt;=120),'Replacement plan'!$Z$20,0)</f>
        <v>0</v>
      </c>
      <c r="O60" s="1">
        <f>E60+'Replacement plan'!$AA$20</f>
        <v>0</v>
      </c>
      <c r="P60" s="35" t="str">
        <f>IFERROR(IF(C60=0,"Excluded",IF(OR(COUNTIFS('Fleet register'!$A$7:$A$106,A60)&lt;&gt;1,COUNTIFS('Replacement plan'!$A$7:$A$106,A60)&lt;&gt;1),"Duplicate/missing ID",IF(NOT(AND(ISNUMBER(VLOOKUP($A60,'Fleet register'!$A$7:$S$106,5,FALSE)),ISNUMBER(VLOOKUP($A60,'Fleet register'!$A$7:$S$106,6,FALSE)),ISNUMBER(VLOOKUP($A60,'Fleet register'!$A$7:$S$106,10,FALSE)),ISNUMBER(VLOOKUP($A60,'Fleet register'!$A$7:$S$106,11,FALSE)),ISNUMBER(VLOOKUP($A60,'Fleet register'!$A$7:$S$106,12,FALSE)),ISNUMBER(VLOOKUP($A60,'Fleet register'!$A$7:$S$106,13,FALSE)),ISNUMBER(VLOOKUP($A60,'Fleet register'!$A$7:$S$106,14,FALSE)),VLOOKUP($A60,'Fleet register'!$A$7:$S$106,14,FALSE)&gt;0,ISNUMBER('Replacement plan'!$C$20),OR(E60=120,OR(ISNUMBER('Replacement plan'!$AI$20),AND('Replacement plan'!$AI$20="",ISNUMBER('Operating costs'!$B$56)))),ISNUMBER(E60))),"Missing vehicle input",IF(OR(E60&lt;0,E60&gt;VLOOKUP($A60,'Fleet register'!$A$7:$S$106,10,FALSE),E60&gt;120,E60&lt;&gt;INT(E60),VLOOKUP($A60,'Fleet register'!$A$7:$S$106,6,FALSE)&lt;=0,VLOOKUP($A60,'Fleet register'!$A$7:$S$106,6,FALSE)&gt;366,VLOOKUP($A60,'Fleet register'!$A$7:$S$106,5,FALSE)&lt;0,VLOOKUP($A60,'Fleet register'!$A$7:$S$106,11,FALSE)&lt;0,I60&lt;0,'Operating costs'!$B$8&lt;='Operating costs'!$B$7*'Operating costs'!$B$9,'Operating costs'!$B$11&lt;=0,'Operating costs'!$B$39&gt;R60,'Operating costs'!$B$40&gt;R60,'Operating costs'!$B$41&gt;R60,NOT(OR("New ICE"="Keep ICE","New ICE"="New ICE","New ICE"="EV"))),"Invalid vehicle input",IF(AND(D60="EV",E60&lt;120,OR(NOT(ISNUMBER(U60)),NOT(ISNUMBER(V60)),V60&lt;=0,T60&lt;0,T60&gt;1,'Replacement plan'!$L$20&lt;=0,'Operating costs'!$B$44&lt;0,'Operating costs'!$B$44&gt;=1,'Operating costs'!$B$47&lt;=0,'Operating costs'!$B$47&gt;1,V60*'Operating costs'!$B$47/(1-'Operating costs'!$B$44)&lt;=T60*'Operating costs'!$B$12*U60,AND('Replacement plan'!$Z$20&gt;0,OR('Replacement plan'!$AB$20&lt;&gt;"Yes",'Operating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charging'!$B$8&gt;=0))),ISNUMBER(VLOOKUP($A60,'Fleet register'!$A$7:$S$106,15,FALSE)),ISNUMBER(VLOOKUP($A60,'Fleet register'!$A$7:$S$106,16,FALSE)),ISNUMBER('Replacement plan'!$W$20),ISNUMBER('Replacement plan'!$X$20),OR(E60=120,AND(ISNUMBER(G60),G60&gt;=0)),ISNUMBER(H60),H60&gt;=0,OR(D60&lt;&gt;"EV",E60=120,AND(ISNUMBER('Operating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average",ISNUMBER(IFERROR(INDEX(Products!$P$7:$P$13,MATCH(AD60,Products!$A$7:$A$13,0)),"")))),ISNUMBER('Operating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plan'!$Y$20),ISNUMBER('Replacement plan'!$Z$20),'Replacement plan'!$Z$20&gt;=0,ISNUMBER('Replacement plan'!$AA$20),'Replacement plan'!$AA$20&gt;=0,'Replacement plan'!$AA$20=INT('Replacement plan'!$AA$20),ISNUMBER('Replacement plan'!$L$20))),'Operating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plan'!$AG$20="",'Operating costs'!$B$7,'Replacement plan'!$AG$20)),IF('Replacement plan'!$AG$20="",'Operating costs'!$B$7,'Replacement plan'!$AG$20)&gt;=0,ISNUMBER(IF('Replacement plan'!$AH$20="",'Operating costs'!$B$7,'Replacement plan'!$AH$20)),IF('Replacement plan'!$AH$20="",'Operating costs'!$B$7,'Replacement plan'!$AH$20)&gt;=0,'Operating costs'!$B$8&gt;MAX(IF('Replacement plan'!$AG$20="",'Operating costs'!$B$7,'Replacement plan'!$AG$20),IF('Replacement plan'!$AH$20="",'Operating costs'!$B$7,'Replacement plan'!$AH$20))*'Operating costs'!$B$9),IF(AND(VLOOKUP($A60,'Fleet register'!$A$7:$S$106,10,FALSE)&gt;=0,VLOOKUP($A60,'Fleet register'!$A$7:$S$106,10,FALSE)&lt;=120,VLOOKUP($A60,'Fleet register'!$A$7:$S$106,10,FALSE)=INT(VLOOKUP($A60,'Fleet register'!$A$7:$S$106,10,FALSE)),VLOOKUP($A60,'Fleet register'!$A$7:$S$106,15,FALSE)&gt;=0,VLOOKUP($A60,'Fleet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costs'!$B$67)&gt;=0,OR(D60&lt;&gt;"EV",E60=120,AND(MIN('Operating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60" s="1" t="str">
        <f>IF(C60=0,"Excluded",IF(P60&lt;&gt;"Complete",P60,IF(OR('Replacement plan'!$AD$20&lt;120-E60,AND(D60="EV",E60&lt;120,OR('Replacement plan'!$AC$20&lt;120-E60,'Replacement plan'!$I$20="No",AND(ISNUMBER(AF60),AE60&gt;AF60),AI60&gt;V60*(1-'Operating costs'!$B$46)^MAX(0,AB60-1)*(1-'Operating costs'!$B$45),AC60&gt;'Operating costs'!$B$18,AND(T60&lt;1,OR(AG60&lt;=0,AND(ISNUMBER(AH60),AG60&gt;AH60))),'Replacement plan'!$L$20&gt;INDEX(Products!$H$7:$H$13,MATCH('Replacement plan'!$B$20,Products!$A$7:$A$13,0))))),"Fails entered limits",IF(AND(D60="EV",E60&lt;120,OR(NOT(ISNUMBER(VLOOKUP($A60,'Fleet register'!$A$7:$S$106,7,FALSE))),NOT(ISNUMBER(VLOOKUP($A60,'Fleet register'!$A$7:$S$106,8,FALSE))),NOT(ISNUMBER(AF60)),'Replacement plan'!$I$20&lt;&gt;"Yes",NOT(ISNUMBER(AH60)),'Operating costs'!$B$59&lt;&gt;"Yes",'Operating costs'!$B$58&lt;&gt;"Yes")),"Unverified","Within entered limits"))))</f>
        <v>Excluded</v>
      </c>
      <c r="R60" s="1">
        <f>IF(C60=0,0,VLOOKUP($A60,'Fleet register'!$A$7:$S$106,6,FALSE))</f>
        <v>0</v>
      </c>
      <c r="S60" s="1">
        <f>IF(C60=0,0,VLOOKUP($A60,'Fleet register'!$A$7:$S$106,5,FALSE))</f>
        <v>0</v>
      </c>
      <c r="T60" s="1">
        <f>IF(D60="EV",'Energy and charging'!$B$12,0)</f>
        <v>0</v>
      </c>
      <c r="U60" s="1">
        <f>IFERROR(IF(C60=0,0,IF(D60="EV",IF('Replacement plan'!$F$20="",INDEX(Products!$E$7:$E$13,MATCH('Replacement plan'!$B$20,Products!$A$7:$A$13,0)),'Replacement plan'!$F$20)/IF('Replacement plan'!$G$20="Battery",1-'Operating costs'!$B$44,1),0)),"n.a.")</f>
        <v>0</v>
      </c>
      <c r="V60" s="1">
        <f>IFERROR(IF(C60=0,0,IF(D60="EV",IF('Replacement plan'!$E$20="",INDEX(Products!$D$7:$D$13,MATCH('Replacement plan'!$B$20,Products!$A$7:$A$13,0)),'Replacement plan'!$E$20),0)),"n.a.")</f>
        <v>0</v>
      </c>
      <c r="W60" s="1">
        <f>IF(C60=0,0,IF(AND(P60="Complete",D60="EV",E60&lt;120),IF(T60=0,0,ROUNDUP(T60*(R60-'Operating costs'!$B$41)*(S60*U60+'Operating costs'!$B$48/(1-'Operating costs'!$B$44))/(V60*'Operating costs'!$B$47/(1-'Operating costs'!$B$44)-T60*'Operating costs'!$B$12*U60),0)),0))</f>
        <v>0</v>
      </c>
      <c r="X60" s="1">
        <f>IF(C60=0,0,IF(AND(P60="Complete",D60="EV",E60&lt;120),(R60-'Operating costs'!$B$41)*(S60*U60+'Operating costs'!$B$48/(1-'Operating costs'!$B$44))+W60*'Operating costs'!$B$12*U60,0))</f>
        <v>0</v>
      </c>
      <c r="Y60" s="1">
        <f>IF(AND(C60=1,D60="EV",E60&lt;120),AI60/(1-'Operating costs'!$B$44)*(1-T60),0)</f>
        <v>0</v>
      </c>
      <c r="Z60" s="1">
        <f t="shared" si="0"/>
        <v>0</v>
      </c>
      <c r="AA60" s="1">
        <f>IF(C60=0,0,IF(P60="Complete",((S60*(R60-'Operating costs'!$B$40))+ROUNDUP(S60*(R60-'Operating costs'!$B$40)*IF('Replacement plan'!$AH$20="",'Operating costs'!$B$7,'Replacement plan'!$AH$20)/('Operating costs'!$B$8-'Operating costs'!$B$9*IF('Replacement plan'!$AH$20="",'Operating costs'!$B$7,'Replacement plan'!$AH$20)),0)*'Operating costs'!$B$9)*IF('Replacement plan'!$AH$20="",'Operating costs'!$B$7,'Replacement plan'!$AH$20),"n.a."))</f>
        <v>0</v>
      </c>
      <c r="AB60" s="1">
        <f t="shared" si="1"/>
        <v>0</v>
      </c>
      <c r="AC60" s="1">
        <f>IF(AND(C60=1,D60="EV",E60&lt;120,T60&gt;0),'Operating costs'!$B$12/'Operating costs'!$B$11*60+'Operating costs'!$B$13+'Operating costs'!$B$14+V60*'Operating costs'!$B$47/(1-'Operating costs'!$B$44)/'Replacement plan'!$L$20*60,0)</f>
        <v>0</v>
      </c>
      <c r="AD60" s="1" t="str">
        <f>'Replacement plan'!$B$20</f>
        <v>ChengLong L2EV</v>
      </c>
      <c r="AE60" s="1">
        <f>IF(C60=0,0,VLOOKUP($A60,'Fleet register'!$A$7:$S$106,8,FALSE))</f>
        <v>0</v>
      </c>
      <c r="AF60" s="1" t="str">
        <f>IF('Replacement plan'!$H$20="","n.a.",'Replacement plan'!$H$20)</f>
        <v>n.a.</v>
      </c>
      <c r="AG60" s="1">
        <f>'Replacement plan'!$J$20</f>
        <v>22</v>
      </c>
      <c r="AH60" s="1">
        <f>IFERROR(IF(D60="EV",IF('Replacement plan'!$K$20="AC",IF(ISNUMBER(INDEX(Products!$G$7:$G$13,MATCH('Replacement plan'!$B$20,Products!$A$7:$A$13,0))),INDEX(Products!$G$7:$G$13,MATCH('Replacement plan'!$B$20,Products!$A$7:$A$13,0)),"n.a."),IF(ISNUMBER(INDEX(Products!$H$7:$H$13,MATCH('Replacement plan'!$B$20,Products!$A$7:$A$13,0))),INDEX(Products!$H$7:$H$13,MATCH('Replacement plan'!$B$20,Products!$A$7:$A$13,0)),"n.a.")),0),"n.a.")</f>
        <v>0</v>
      </c>
      <c r="AI60" s="1">
        <f>IF(AND(C60=1,D60="EV",E60&lt;120),(VLOOKUP($A60,'Fleet register'!$A$7:$S$106,7,FALSE)+IF(T60&gt;0,'Operating costs'!$B$12,0))*U60*(1-'Operating costs'!$B$44)+'Operating costs'!$B$49,0)</f>
        <v>0</v>
      </c>
      <c r="AJ60" s="1">
        <f>IF(D60="EV",'Energy and charging'!$B$50,0)</f>
        <v>0</v>
      </c>
      <c r="AK60" s="17">
        <f>EDATE('Operating costs'!$B$63,E60)</f>
        <v>46298</v>
      </c>
      <c r="AL60" s="1">
        <f>IFERROR(IF(D60="EV",INDEX(Products!$B$7:$B$13,MATCH('Replacement plan'!$B$20,Products!$A$7:$A$13,0)),0),"n.a.")</f>
        <v>0</v>
      </c>
      <c r="AM60" s="1" t="str">
        <f>'Replacement plan'!$K$20</f>
        <v>DC</v>
      </c>
      <c r="AN60" s="1" t="str">
        <f>'Replacement plan'!$AE$20</f>
        <v>Assumed</v>
      </c>
      <c r="AO60" s="47">
        <f>IF(AND(C60=1,D60="EV",E60&lt;120),(R60-'Operating costs'!$B$41)*S60+W60*'Operating costs'!$B$12,0)</f>
        <v>0</v>
      </c>
      <c r="AP60" s="41">
        <f>IF(AND(C60=1,D60="EV",E60&lt;120),IF('Operating costs'!$B$68="Hong Seh 200k average",AO60*IFERROR(INDEX(Products!$P$7:$P$13,MATCH(AD60,Products!$A$7:$A$13,0)),"n.a."),'Operating costs'!$B$26),0)</f>
        <v>0</v>
      </c>
      <c r="AQ60" s="40" t="str">
        <f>IF(D60="EV",'Operating costs'!$B$68,"Not applicable")</f>
        <v>Not applicable</v>
      </c>
    </row>
    <row r="61" spans="1:43" ht="24" customHeight="1">
      <c r="A61" s="1" t="str">
        <f>'Replacement plan'!A20</f>
        <v>T014</v>
      </c>
      <c r="B61" s="1">
        <v>2</v>
      </c>
      <c r="C61" s="1">
        <f>IF(COUNTIFS('Fleet register'!$A$7:$A$106,$A61)=1,VLOOKUP($A61,'Fleet register'!$A$7:$S$106,2,FALSE),0)</f>
        <v>0</v>
      </c>
      <c r="D61" s="1" t="str">
        <f>IF('Replacement plan'!$O$20="EV","EV","ICE")</f>
        <v>ICE</v>
      </c>
      <c r="E61" s="1">
        <f>IF(C61=0,0,IF('Replacement plan'!$P$20="",IF('Replacement plan'!$O$20="Keep ICE",IF('Replacement plan'!$M$20="",VLOOKUP($A61,'Fleet register'!$A$7:$S$106,10,FALSE),'Replacement plan'!$M$20),0),'Replacement plan'!$P$20))</f>
        <v>0</v>
      </c>
      <c r="F61" s="16">
        <f>IF(C61=0,0,VLOOKUP($A61,'Fleet register'!$A$7:$S$106,11,FALSE))</f>
        <v>0</v>
      </c>
      <c r="G61" s="16">
        <f>IFERROR(IF(C61=0,0,IF(E61=120,0,IF(D61="ICE",'Replacement plan'!$C$20,IF('Replacement plan'!$D$20="",INDEX(Products!$I$7:$I$13,MATCH('Replacement plan'!$B$20,Products!$A$7:$A$13,0))+'Operating costs'!$B$57,'Replacement plan'!$D$20))*(1+'Operating costs'!$B$50)^(E61/12))),"n.a.")</f>
        <v>0</v>
      </c>
      <c r="H61" s="16">
        <f>IFERROR(IF(C61=0,0,IF('Replacement plan'!$U$20&lt;&gt;"",'Replacement plan'!$U$20,IF(E61=0,F61,VLOOKUP($A61,'Fleet register'!$A$7:$S$106,12,FALSE)+VLOOKUP($A61,'Fleet register'!$A$7:$S$106,13,FALSE)*MAX(0,VLOOKUP($A61,'Fleet register'!$A$7:$S$106,10,FALSE)-E61)/VLOOKUP($A61,'Fleet register'!$A$7:$S$106,14,FALSE)))),"n.a.")</f>
        <v>0</v>
      </c>
      <c r="I61" s="16">
        <f>IF(C61=0,0,IF(E61=120,0,'Replacement plan'!$Q$20))</f>
        <v>0</v>
      </c>
      <c r="J61" s="16">
        <f>IF(C61=0,0,IF(P61="Complete",((S61*(R61-'Operating costs'!$B$39))+ROUNDUP(S61*(R61-'Operating costs'!$B$39)*IF('Replacement plan'!$AG$20="",'Operating costs'!$B$7,'Replacement plan'!$AG$20)/('Operating costs'!$B$8-'Operating costs'!$B$9*IF('Replacement plan'!$AG$20="",'Operating costs'!$B$7,'Replacement plan'!$AG$20)),0)*'Operating costs'!$B$9)*IF('Replacement plan'!$AG$20="",'Operating costs'!$B$7,'Replacement plan'!$AG$20)*('Energy and charging'!$B$9*'Energy and charging'!$B$7+(1-'Energy and charging'!$B$9)*'Energy and charging'!$B$8)*'Operating costs'!$B$23,"n.a."))</f>
        <v>0</v>
      </c>
      <c r="K61" s="16">
        <f>IF(C61=0,0,IF(P61="Complete",SUM('Operating costs'!$B$24,'Operating costs'!$B$27,'Operating costs'!$B$29,'Operating costs'!$B$31,'Operating costs'!$B$33,'Operating costs'!$B$34,'Operating costs'!$B$37,'Replacement plan'!$W$20)+'Operating costs'!$B$39*'Operating costs'!$B$42+ROUNDUP(S61*(R61-'Operating costs'!$B$39)*IF('Replacement plan'!$AG$20="",'Operating costs'!$B$7,'Replacement plan'!$AG$20)/('Operating costs'!$B$8-'Operating costs'!$B$9*IF('Replacement plan'!$AG$20="",'Operating costs'!$B$7,'Replacement plan'!$AG$20)),0)*('Operating costs'!$B$9/'Operating costs'!$B$11+'Operating costs'!$B$10/60)*'Operating costs'!$B$19*'Operating costs'!$B$21,"n.a."))</f>
        <v>0</v>
      </c>
      <c r="L61" s="16">
        <f>IF(C61=0,0,IF(P61="Complete",IF(D61="EV",X61*((1-T61)*'Energy and charging'!$B$10+T61*'Energy and charging'!$B$11)*'Operating costs'!$B$22,AA61*('Energy and charging'!$B$9*'Energy and charging'!$B$7+(1-'Energy and charging'!$B$9)*'Energy and charging'!$B$8)*'Operating costs'!$B$23),"n.a."))</f>
        <v>0</v>
      </c>
      <c r="M61" s="37">
        <f>IF(C61=0,0,IF(P61="Complete",IF(D61="ICE",SUM('Operating costs'!$B$25,'Operating costs'!$B$27,'Operating costs'!$B$29,'Operating costs'!$B$31,'Operating costs'!$B$33,'Operating costs'!$B$35,'Operating costs'!$B$37,'Replacement plan'!$X$20)+'Operating costs'!$B$40*'Operating costs'!$B$42+ROUNDUP(S61*(R61-'Operating costs'!$B$40)*IF('Replacement plan'!$AH$20="",'Operating costs'!$B$7,'Replacement plan'!$AH$20)/('Operating costs'!$B$8-'Operating costs'!$B$9*IF('Replacement plan'!$AH$20="",'Operating costs'!$B$7,'Replacement plan'!$AH$20)),0)*('Operating costs'!$B$9/'Operating costs'!$B$11+'Operating costs'!$B$10/60)*'Operating costs'!$B$19*'Operating costs'!$B$21,SUM(AP61,'Operating costs'!$B$28,'Operating costs'!$B$30,'Operating costs'!$B$32,'Operating costs'!$B$33,'Operating costs'!$B$36,'Operating costs'!$B$38,'Replacement plan'!$Y$20)+'Operating costs'!$B$41*'Operating costs'!$B$43+W61*'Operating costs'!$B$15+(T61*X61/'Replacement plan'!$L$20+W61*('Operating costs'!$B$12/'Operating costs'!$B$11+('Operating costs'!$B$13+'Operating costs'!$B$14)/60)+(R61-'Operating costs'!$B$41)*(IF(T61&lt;1,'Operating costs'!$B$16,0)+'Operating costs'!$B$17)/60)*'Operating costs'!$B$19*'Operating costs'!$B$20),"n.a."))</f>
        <v>0</v>
      </c>
      <c r="N61" s="16">
        <f>IF(AND(C61=1,D61="EV",E61&lt;120,E61+'Replacement plan'!$AA$20&lt;=120),'Replacement plan'!$Z$20,0)</f>
        <v>0</v>
      </c>
      <c r="O61" s="1">
        <f>E61+'Replacement plan'!$AA$20</f>
        <v>0</v>
      </c>
      <c r="P61" s="35" t="str">
        <f>IFERROR(IF(C61=0,"Excluded",IF(OR(COUNTIFS('Fleet register'!$A$7:$A$106,A61)&lt;&gt;1,COUNTIFS('Replacement plan'!$A$7:$A$106,A61)&lt;&gt;1),"Duplicate/missing ID",IF(NOT(AND(ISNUMBER(VLOOKUP($A61,'Fleet register'!$A$7:$S$106,5,FALSE)),ISNUMBER(VLOOKUP($A61,'Fleet register'!$A$7:$S$106,6,FALSE)),ISNUMBER(VLOOKUP($A61,'Fleet register'!$A$7:$S$106,10,FALSE)),ISNUMBER(VLOOKUP($A61,'Fleet register'!$A$7:$S$106,11,FALSE)),ISNUMBER(VLOOKUP($A61,'Fleet register'!$A$7:$S$106,12,FALSE)),ISNUMBER(VLOOKUP($A61,'Fleet register'!$A$7:$S$106,13,FALSE)),ISNUMBER(VLOOKUP($A61,'Fleet register'!$A$7:$S$106,14,FALSE)),VLOOKUP($A61,'Fleet register'!$A$7:$S$106,14,FALSE)&gt;0,ISNUMBER('Replacement plan'!$C$20),OR(E61=120,ISNUMBER('Replacement plan'!$Q$20)),ISNUMBER(E61))),"Missing vehicle input",IF(OR(E61&lt;0,E61&gt;VLOOKUP($A61,'Fleet register'!$A$7:$S$106,10,FALSE),E61&gt;120,E61&lt;&gt;INT(E61),VLOOKUP($A61,'Fleet register'!$A$7:$S$106,6,FALSE)&lt;=0,VLOOKUP($A61,'Fleet register'!$A$7:$S$106,6,FALSE)&gt;366,VLOOKUP($A61,'Fleet register'!$A$7:$S$106,5,FALSE)&lt;0,VLOOKUP($A61,'Fleet register'!$A$7:$S$106,11,FALSE)&lt;0,I61&lt;0,'Operating costs'!$B$8&lt;='Operating costs'!$B$7*'Operating costs'!$B$9,'Operating costs'!$B$11&lt;=0,'Operating costs'!$B$39&gt;R61,'Operating costs'!$B$40&gt;R61,'Operating costs'!$B$41&gt;R61,NOT(OR('Replacement plan'!$O$20="Keep ICE",'Replacement plan'!$O$20="New ICE",'Replacement plan'!$O$20="EV"))),"Invalid vehicle input",IF(AND(D61="EV",E61&lt;120,OR(NOT(ISNUMBER(U61)),NOT(ISNUMBER(V61)),V61&lt;=0,T61&lt;0,T61&gt;1,'Replacement plan'!$L$20&lt;=0,'Operating costs'!$B$44&lt;0,'Operating costs'!$B$44&gt;=1,'Operating costs'!$B$47&lt;=0,'Operating costs'!$B$47&gt;1,V61*'Operating costs'!$B$47/(1-'Operating costs'!$B$44)&lt;=T61*'Operating costs'!$B$12*U61,AND('Replacement plan'!$Z$20&gt;0,OR('Replacement plan'!$AB$20&lt;&gt;"Yes",'Operating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charging'!$B$8&gt;=0))),ISNUMBER(VLOOKUP($A61,'Fleet register'!$A$7:$S$106,15,FALSE)),ISNUMBER(VLOOKUP($A61,'Fleet register'!$A$7:$S$106,16,FALSE)),ISNUMBER('Replacement plan'!$W$20),ISNUMBER('Replacement plan'!$X$20),OR(E61=120,AND(ISNUMBER(G61),G61&gt;=0)),ISNUMBER(H61),H61&gt;=0,OR(D61&lt;&gt;"EV",E61=120,AND(ISNUMBER('Operating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average",ISNUMBER(IFERROR(INDEX(Products!$P$7:$P$13,MATCH(AD61,Products!$A$7:$A$13,0)),"")))),ISNUMBER('Operating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plan'!$Y$20),ISNUMBER('Replacement plan'!$Z$20),'Replacement plan'!$Z$20&gt;=0,ISNUMBER('Replacement plan'!$AA$20),'Replacement plan'!$AA$20&gt;=0,'Replacement plan'!$AA$20=INT('Replacement plan'!$AA$20),ISNUMBER('Replacement plan'!$L$20))),'Operating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plan'!$AG$20="",'Operating costs'!$B$7,'Replacement plan'!$AG$20)),IF('Replacement plan'!$AG$20="",'Operating costs'!$B$7,'Replacement plan'!$AG$20)&gt;=0,ISNUMBER(IF('Replacement plan'!$AH$20="",'Operating costs'!$B$7,'Replacement plan'!$AH$20)),IF('Replacement plan'!$AH$20="",'Operating costs'!$B$7,'Replacement plan'!$AH$20)&gt;=0,'Operating costs'!$B$8&gt;MAX(IF('Replacement plan'!$AG$20="",'Operating costs'!$B$7,'Replacement plan'!$AG$20),IF('Replacement plan'!$AH$20="",'Operating costs'!$B$7,'Replacement plan'!$AH$20))*'Operating costs'!$B$9),IF(AND(VLOOKUP($A61,'Fleet register'!$A$7:$S$106,10,FALSE)&gt;=0,VLOOKUP($A61,'Fleet register'!$A$7:$S$106,10,FALSE)&lt;=120,VLOOKUP($A61,'Fleet register'!$A$7:$S$106,10,FALSE)=INT(VLOOKUP($A61,'Fleet register'!$A$7:$S$106,10,FALSE)),VLOOKUP($A61,'Fleet register'!$A$7:$S$106,15,FALSE)&gt;=0,VLOOKUP($A61,'Fleet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costs'!$B$67)&gt;=0,OR(D61&lt;&gt;"EV",E61=120,AND(MIN('Operating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61" s="1" t="str">
        <f>IF(C61=0,"Excluded",IF(P61&lt;&gt;"Complete",P61,IF(OR('Replacement plan'!$AD$20&lt;120-E61,AND(D61="EV",E61&lt;120,OR('Replacement plan'!$AC$20&lt;120-E61,'Replacement plan'!$I$20="No",AND(ISNUMBER(AF61),AE61&gt;AF61),AI61&gt;V61*(1-'Operating costs'!$B$46)^MAX(0,AB61-1)*(1-'Operating costs'!$B$45),AC61&gt;'Operating costs'!$B$18,AND(T61&lt;1,OR(AG61&lt;=0,AND(ISNUMBER(AH61),AG61&gt;AH61))),'Replacement plan'!$L$20&gt;INDEX(Products!$H$7:$H$13,MATCH('Replacement plan'!$B$20,Products!$A$7:$A$13,0))))),"Fails entered limits",IF(AND(D61="EV",E61&lt;120,OR(NOT(ISNUMBER(VLOOKUP($A61,'Fleet register'!$A$7:$S$106,7,FALSE))),NOT(ISNUMBER(VLOOKUP($A61,'Fleet register'!$A$7:$S$106,8,FALSE))),NOT(ISNUMBER(AF61)),'Replacement plan'!$I$20&lt;&gt;"Yes",NOT(ISNUMBER(AH61)),'Operating costs'!$B$59&lt;&gt;"Yes",'Operating costs'!$B$58&lt;&gt;"Yes")),"Unverified","Within entered limits"))))</f>
        <v>Excluded</v>
      </c>
      <c r="R61" s="1">
        <f>IF(C61=0,0,VLOOKUP($A61,'Fleet register'!$A$7:$S$106,6,FALSE))</f>
        <v>0</v>
      </c>
      <c r="S61" s="1">
        <f>IF(C61=0,0,VLOOKUP($A61,'Fleet register'!$A$7:$S$106,5,FALSE))</f>
        <v>0</v>
      </c>
      <c r="T61" s="1">
        <f>IF(D61="EV",'Energy and charging'!$B$12,0)</f>
        <v>0</v>
      </c>
      <c r="U61" s="1">
        <f>IFERROR(IF(C61=0,0,IF(D61="EV",IF('Replacement plan'!$F$20="",INDEX(Products!$E$7:$E$13,MATCH('Replacement plan'!$B$20,Products!$A$7:$A$13,0)),'Replacement plan'!$F$20)/IF('Replacement plan'!$G$20="Battery",1-'Operating costs'!$B$44,1),0)),"n.a.")</f>
        <v>0</v>
      </c>
      <c r="V61" s="1">
        <f>IFERROR(IF(C61=0,0,IF(D61="EV",IF('Replacement plan'!$E$20="",INDEX(Products!$D$7:$D$13,MATCH('Replacement plan'!$B$20,Products!$A$7:$A$13,0)),'Replacement plan'!$E$20),0)),"n.a.")</f>
        <v>0</v>
      </c>
      <c r="W61" s="1">
        <f>IF(C61=0,0,IF(AND(P61="Complete",D61="EV",E61&lt;120),IF(T61=0,0,ROUNDUP(T61*(R61-'Operating costs'!$B$41)*(S61*U61+'Operating costs'!$B$48/(1-'Operating costs'!$B$44))/(V61*'Operating costs'!$B$47/(1-'Operating costs'!$B$44)-T61*'Operating costs'!$B$12*U61),0)),0))</f>
        <v>0</v>
      </c>
      <c r="X61" s="1">
        <f>IF(C61=0,0,IF(AND(P61="Complete",D61="EV",E61&lt;120),(R61-'Operating costs'!$B$41)*(S61*U61+'Operating costs'!$B$48/(1-'Operating costs'!$B$44))+W61*'Operating costs'!$B$12*U61,0))</f>
        <v>0</v>
      </c>
      <c r="Y61" s="1">
        <f>IF(AND(C61=1,D61="EV",E61&lt;120),AI61/(1-'Operating costs'!$B$44)*(1-T61),0)</f>
        <v>0</v>
      </c>
      <c r="Z61" s="1">
        <f t="shared" si="0"/>
        <v>0</v>
      </c>
      <c r="AA61" s="1">
        <f>IF(C61=0,0,IF(P61="Complete",((S61*(R61-'Operating costs'!$B$40))+ROUNDUP(S61*(R61-'Operating costs'!$B$40)*IF('Replacement plan'!$AH$20="",'Operating costs'!$B$7,'Replacement plan'!$AH$20)/('Operating costs'!$B$8-'Operating costs'!$B$9*IF('Replacement plan'!$AH$20="",'Operating costs'!$B$7,'Replacement plan'!$AH$20)),0)*'Operating costs'!$B$9)*IF('Replacement plan'!$AH$20="",'Operating costs'!$B$7,'Replacement plan'!$AH$20),"n.a."))</f>
        <v>0</v>
      </c>
      <c r="AB61" s="1">
        <f t="shared" si="1"/>
        <v>0</v>
      </c>
      <c r="AC61" s="1">
        <f>IF(AND(C61=1,D61="EV",E61&lt;120,T61&gt;0),'Operating costs'!$B$12/'Operating costs'!$B$11*60+'Operating costs'!$B$13+'Operating costs'!$B$14+V61*'Operating costs'!$B$47/(1-'Operating costs'!$B$44)/'Replacement plan'!$L$20*60,0)</f>
        <v>0</v>
      </c>
      <c r="AD61" s="1" t="str">
        <f>'Replacement plan'!$B$20</f>
        <v>ChengLong L2EV</v>
      </c>
      <c r="AE61" s="1">
        <f>IF(C61=0,0,VLOOKUP($A61,'Fleet register'!$A$7:$S$106,8,FALSE))</f>
        <v>0</v>
      </c>
      <c r="AF61" s="1" t="str">
        <f>IF('Replacement plan'!$H$20="","n.a.",'Replacement plan'!$H$20)</f>
        <v>n.a.</v>
      </c>
      <c r="AG61" s="1">
        <f>'Replacement plan'!$J$20</f>
        <v>22</v>
      </c>
      <c r="AH61" s="1">
        <f>IFERROR(IF(D61="EV",IF('Replacement plan'!$K$20="AC",IF(ISNUMBER(INDEX(Products!$G$7:$G$13,MATCH('Replacement plan'!$B$20,Products!$A$7:$A$13,0))),INDEX(Products!$G$7:$G$13,MATCH('Replacement plan'!$B$20,Products!$A$7:$A$13,0)),"n.a."),IF(ISNUMBER(INDEX(Products!$H$7:$H$13,MATCH('Replacement plan'!$B$20,Products!$A$7:$A$13,0))),INDEX(Products!$H$7:$H$13,MATCH('Replacement plan'!$B$20,Products!$A$7:$A$13,0)),"n.a.")),0),"n.a.")</f>
        <v>0</v>
      </c>
      <c r="AI61" s="1">
        <f>IF(AND(C61=1,D61="EV",E61&lt;120),(VLOOKUP($A61,'Fleet register'!$A$7:$S$106,7,FALSE)+IF(T61&gt;0,'Operating costs'!$B$12,0))*U61*(1-'Operating costs'!$B$44)+'Operating costs'!$B$49,0)</f>
        <v>0</v>
      </c>
      <c r="AJ61" s="1">
        <f>IF(D61="EV",'Energy and charging'!$B$50,0)</f>
        <v>0</v>
      </c>
      <c r="AK61" s="17">
        <f>EDATE('Operating costs'!$B$63,E61)</f>
        <v>46298</v>
      </c>
      <c r="AL61" s="1">
        <f>IFERROR(IF(D61="EV",INDEX(Products!$B$7:$B$13,MATCH('Replacement plan'!$B$20,Products!$A$7:$A$13,0)),0),"n.a.")</f>
        <v>0</v>
      </c>
      <c r="AM61" s="1" t="str">
        <f>'Replacement plan'!$K$20</f>
        <v>DC</v>
      </c>
      <c r="AN61" s="1" t="str">
        <f>'Replacement plan'!$AE$20</f>
        <v>Assumed</v>
      </c>
      <c r="AO61" s="47">
        <f>IF(AND(C61=1,D61="EV",E61&lt;120),(R61-'Operating costs'!$B$41)*S61+W61*'Operating costs'!$B$12,0)</f>
        <v>0</v>
      </c>
      <c r="AP61" s="41">
        <f>IF(AND(C61=1,D61="EV",E61&lt;120),IF('Operating costs'!$B$68="Hong Seh 200k average",AO61*IFERROR(INDEX(Products!$P$7:$P$13,MATCH(AD61,Products!$A$7:$A$13,0)),"n.a."),'Operating costs'!$B$26),0)</f>
        <v>0</v>
      </c>
      <c r="AQ61" s="40" t="str">
        <f>IF(D61="EV",'Operating costs'!$B$68,"Not applicable")</f>
        <v>Not applicable</v>
      </c>
    </row>
    <row r="62" spans="1:43" ht="24" customHeight="1">
      <c r="A62" s="1" t="str">
        <f>'Replacement plan'!A20</f>
        <v>T014</v>
      </c>
      <c r="B62" s="1">
        <v>3</v>
      </c>
      <c r="C62" s="1">
        <f>IF(COUNTIFS('Fleet register'!$A$7:$A$106,$A62)=1,VLOOKUP($A62,'Fleet register'!$A$7:$S$106,2,FALSE),0)</f>
        <v>0</v>
      </c>
      <c r="D62" s="1" t="str">
        <f>IF('Replacement plan'!$R$20="EV","EV","ICE")</f>
        <v>ICE</v>
      </c>
      <c r="E62" s="1">
        <f>IF(C62=0,0,IF('Replacement plan'!$S$20="",IF('Replacement plan'!$R$20="Keep ICE",IF('Replacement plan'!$M$20="",VLOOKUP($A62,'Fleet register'!$A$7:$S$106,10,FALSE),'Replacement plan'!$M$20),0),'Replacement plan'!$S$20))</f>
        <v>0</v>
      </c>
      <c r="F62" s="16">
        <f>IF(C62=0,0,VLOOKUP($A62,'Fleet register'!$A$7:$S$106,11,FALSE))</f>
        <v>0</v>
      </c>
      <c r="G62" s="16">
        <f>IFERROR(IF(C62=0,0,IF(E62=120,0,IF(D62="ICE",'Replacement plan'!$C$20,IF('Replacement plan'!$D$20="",INDEX(Products!$I$7:$I$13,MATCH('Replacement plan'!$B$20,Products!$A$7:$A$13,0))+'Operating costs'!$B$57,'Replacement plan'!$D$20))*(1+'Operating costs'!$B$50)^(E62/12))),"n.a.")</f>
        <v>0</v>
      </c>
      <c r="H62" s="16">
        <f>IFERROR(IF(C62=0,0,IF('Replacement plan'!$V$20&lt;&gt;"",'Replacement plan'!$V$20,IF(E62=0,F62,VLOOKUP($A62,'Fleet register'!$A$7:$S$106,12,FALSE)+VLOOKUP($A62,'Fleet register'!$A$7:$S$106,13,FALSE)*MAX(0,VLOOKUP($A62,'Fleet register'!$A$7:$S$106,10,FALSE)-E62)/VLOOKUP($A62,'Fleet register'!$A$7:$S$106,14,FALSE)))),"n.a.")</f>
        <v>0</v>
      </c>
      <c r="I62" s="16">
        <f>IF(C62=0,0,IF(E62=120,0,'Replacement plan'!$T$20))</f>
        <v>0</v>
      </c>
      <c r="J62" s="16">
        <f>IF(C62=0,0,IF(P62="Complete",((S62*(R62-'Operating costs'!$B$39))+ROUNDUP(S62*(R62-'Operating costs'!$B$39)*IF('Replacement plan'!$AG$20="",'Operating costs'!$B$7,'Replacement plan'!$AG$20)/('Operating costs'!$B$8-'Operating costs'!$B$9*IF('Replacement plan'!$AG$20="",'Operating costs'!$B$7,'Replacement plan'!$AG$20)),0)*'Operating costs'!$B$9)*IF('Replacement plan'!$AG$20="",'Operating costs'!$B$7,'Replacement plan'!$AG$20)*('Energy and charging'!$C$9*'Energy and charging'!$C$7+(1-'Energy and charging'!$C$9)*'Energy and charging'!$C$8)*'Operating costs'!$B$23,"n.a."))</f>
        <v>0</v>
      </c>
      <c r="K62" s="16">
        <f>IF(C62=0,0,IF(P62="Complete",SUM('Operating costs'!$B$24,'Operating costs'!$B$27,'Operating costs'!$B$29,'Operating costs'!$B$31,'Operating costs'!$B$33,'Operating costs'!$B$34,'Operating costs'!$B$37,'Replacement plan'!$W$20)+'Operating costs'!$B$39*'Operating costs'!$B$42+ROUNDUP(S62*(R62-'Operating costs'!$B$39)*IF('Replacement plan'!$AG$20="",'Operating costs'!$B$7,'Replacement plan'!$AG$20)/('Operating costs'!$B$8-'Operating costs'!$B$9*IF('Replacement plan'!$AG$20="",'Operating costs'!$B$7,'Replacement plan'!$AG$20)),0)*('Operating costs'!$B$9/'Operating costs'!$B$11+'Operating costs'!$B$10/60)*'Operating costs'!$B$19*'Operating costs'!$B$21,"n.a."))</f>
        <v>0</v>
      </c>
      <c r="L62" s="16">
        <f>IF(C62=0,0,IF(P62="Complete",IF(D62="EV",X62*((1-T62)*'Energy and charging'!$C$10+T62*'Energy and charging'!$C$11)*'Operating costs'!$B$22,AA62*('Energy and charging'!$C$9*'Energy and charging'!$C$7+(1-'Energy and charging'!$C$9)*'Energy and charging'!$C$8)*'Operating costs'!$B$23),"n.a."))</f>
        <v>0</v>
      </c>
      <c r="M62" s="37">
        <f>IF(C62=0,0,IF(P62="Complete",IF(D62="ICE",SUM('Operating costs'!$B$25,'Operating costs'!$B$27,'Operating costs'!$B$29,'Operating costs'!$B$31,'Operating costs'!$B$33,'Operating costs'!$B$35,'Operating costs'!$B$37,'Replacement plan'!$X$20)+'Operating costs'!$B$40*'Operating costs'!$B$42+ROUNDUP(S62*(R62-'Operating costs'!$B$40)*IF('Replacement plan'!$AH$20="",'Operating costs'!$B$7,'Replacement plan'!$AH$20)/('Operating costs'!$B$8-'Operating costs'!$B$9*IF('Replacement plan'!$AH$20="",'Operating costs'!$B$7,'Replacement plan'!$AH$20)),0)*('Operating costs'!$B$9/'Operating costs'!$B$11+'Operating costs'!$B$10/60)*'Operating costs'!$B$19*'Operating costs'!$B$21,SUM(AP62,'Operating costs'!$B$28,'Operating costs'!$B$30,'Operating costs'!$B$32,'Operating costs'!$B$33,'Operating costs'!$B$36,'Operating costs'!$B$38,'Replacement plan'!$Y$20)+'Operating costs'!$B$41*'Operating costs'!$B$43+W62*'Operating costs'!$B$15+(T62*X62/'Replacement plan'!$L$20+W62*('Operating costs'!$B$12/'Operating costs'!$B$11+('Operating costs'!$B$13+'Operating costs'!$B$14)/60)+(R62-'Operating costs'!$B$41)*(IF(T62&lt;1,'Operating costs'!$B$16,0)+'Operating costs'!$B$17)/60)*'Operating costs'!$B$19*'Operating costs'!$B$20),"n.a."))</f>
        <v>0</v>
      </c>
      <c r="N62" s="16">
        <f>IF(AND(C62=1,D62="EV",E62&lt;120,E62+'Replacement plan'!$AA$20&lt;=120),'Replacement plan'!$Z$20,0)</f>
        <v>0</v>
      </c>
      <c r="O62" s="1">
        <f>E62+'Replacement plan'!$AA$20</f>
        <v>0</v>
      </c>
      <c r="P62" s="35" t="str">
        <f>IFERROR(IF(C62=0,"Excluded",IF(OR(COUNTIFS('Fleet register'!$A$7:$A$106,A62)&lt;&gt;1,COUNTIFS('Replacement plan'!$A$7:$A$106,A62)&lt;&gt;1),"Duplicate/missing ID",IF(NOT(AND(ISNUMBER(VLOOKUP($A62,'Fleet register'!$A$7:$S$106,5,FALSE)),ISNUMBER(VLOOKUP($A62,'Fleet register'!$A$7:$S$106,6,FALSE)),ISNUMBER(VLOOKUP($A62,'Fleet register'!$A$7:$S$106,10,FALSE)),ISNUMBER(VLOOKUP($A62,'Fleet register'!$A$7:$S$106,11,FALSE)),ISNUMBER(VLOOKUP($A62,'Fleet register'!$A$7:$S$106,12,FALSE)),ISNUMBER(VLOOKUP($A62,'Fleet register'!$A$7:$S$106,13,FALSE)),ISNUMBER(VLOOKUP($A62,'Fleet register'!$A$7:$S$106,14,FALSE)),VLOOKUP($A62,'Fleet register'!$A$7:$S$106,14,FALSE)&gt;0,ISNUMBER('Replacement plan'!$C$20),OR(E62=120,ISNUMBER('Replacement plan'!$T$20)),ISNUMBER(E62))),"Missing vehicle input",IF(OR(E62&lt;0,E62&gt;VLOOKUP($A62,'Fleet register'!$A$7:$S$106,10,FALSE),E62&gt;120,E62&lt;&gt;INT(E62),VLOOKUP($A62,'Fleet register'!$A$7:$S$106,6,FALSE)&lt;=0,VLOOKUP($A62,'Fleet register'!$A$7:$S$106,6,FALSE)&gt;366,VLOOKUP($A62,'Fleet register'!$A$7:$S$106,5,FALSE)&lt;0,VLOOKUP($A62,'Fleet register'!$A$7:$S$106,11,FALSE)&lt;0,I62&lt;0,'Operating costs'!$B$8&lt;='Operating costs'!$B$7*'Operating costs'!$B$9,'Operating costs'!$B$11&lt;=0,'Operating costs'!$B$39&gt;R62,'Operating costs'!$B$40&gt;R62,'Operating costs'!$B$41&gt;R62,NOT(OR('Replacement plan'!$R$20="Keep ICE",'Replacement plan'!$R$20="New ICE",'Replacement plan'!$R$20="EV"))),"Invalid vehicle input",IF(AND(D62="EV",E62&lt;120,OR(NOT(ISNUMBER(U62)),NOT(ISNUMBER(V62)),V62&lt;=0,T62&lt;0,T62&gt;1,'Replacement plan'!$L$20&lt;=0,'Operating costs'!$B$44&lt;0,'Operating costs'!$B$44&gt;=1,'Operating costs'!$B$47&lt;=0,'Operating costs'!$B$47&gt;1,V62*'Operating costs'!$B$47/(1-'Operating costs'!$B$44)&lt;=T62*'Operating costs'!$B$12*U62,AND('Replacement plan'!$Z$20&gt;0,OR('Replacement plan'!$AB$20&lt;&gt;"Yes",'Operating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charging'!$C$8&gt;=0))),ISNUMBER(VLOOKUP($A62,'Fleet register'!$A$7:$S$106,15,FALSE)),ISNUMBER(VLOOKUP($A62,'Fleet register'!$A$7:$S$106,16,FALSE)),ISNUMBER('Replacement plan'!$W$20),ISNUMBER('Replacement plan'!$X$20),OR(E62=120,AND(ISNUMBER(G62),G62&gt;=0)),ISNUMBER(H62),H62&gt;=0,OR(D62&lt;&gt;"EV",E62=120,AND(ISNUMBER('Operating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average",ISNUMBER(IFERROR(INDEX(Products!$P$7:$P$13,MATCH(AD62,Products!$A$7:$A$13,0)),"")))),ISNUMBER('Operating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plan'!$Y$20),ISNUMBER('Replacement plan'!$Z$20),'Replacement plan'!$Z$20&gt;=0,ISNUMBER('Replacement plan'!$AA$20),'Replacement plan'!$AA$20&gt;=0,'Replacement plan'!$AA$20=INT('Replacement plan'!$AA$20),ISNUMBER('Replacement plan'!$L$20))),'Operating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plan'!$AG$20="",'Operating costs'!$B$7,'Replacement plan'!$AG$20)),IF('Replacement plan'!$AG$20="",'Operating costs'!$B$7,'Replacement plan'!$AG$20)&gt;=0,ISNUMBER(IF('Replacement plan'!$AH$20="",'Operating costs'!$B$7,'Replacement plan'!$AH$20)),IF('Replacement plan'!$AH$20="",'Operating costs'!$B$7,'Replacement plan'!$AH$20)&gt;=0,'Operating costs'!$B$8&gt;MAX(IF('Replacement plan'!$AG$20="",'Operating costs'!$B$7,'Replacement plan'!$AG$20),IF('Replacement plan'!$AH$20="",'Operating costs'!$B$7,'Replacement plan'!$AH$20))*'Operating costs'!$B$9),IF(AND(VLOOKUP($A62,'Fleet register'!$A$7:$S$106,10,FALSE)&gt;=0,VLOOKUP($A62,'Fleet register'!$A$7:$S$106,10,FALSE)&lt;=120,VLOOKUP($A62,'Fleet register'!$A$7:$S$106,10,FALSE)=INT(VLOOKUP($A62,'Fleet register'!$A$7:$S$106,10,FALSE)),VLOOKUP($A62,'Fleet register'!$A$7:$S$106,15,FALSE)&gt;=0,VLOOKUP($A62,'Fleet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costs'!$B$67)&gt;=0,OR(D62&lt;&gt;"EV",E62=120,AND(MIN('Operating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62" s="1" t="str">
        <f>IF(C62=0,"Excluded",IF(P62&lt;&gt;"Complete",P62,IF(OR('Replacement plan'!$AD$20&lt;120-E62,AND(D62="EV",E62&lt;120,OR('Replacement plan'!$AC$20&lt;120-E62,'Replacement plan'!$I$20="No",AND(ISNUMBER(AF62),AE62&gt;AF62),AI62&gt;V62*(1-'Operating costs'!$B$46)^MAX(0,AB62-1)*(1-'Operating costs'!$B$45),AC62&gt;'Operating costs'!$B$18,AND(T62&lt;1,OR(AG62&lt;=0,AND(ISNUMBER(AH62),AG62&gt;AH62))),'Replacement plan'!$L$20&gt;INDEX(Products!$H$7:$H$13,MATCH('Replacement plan'!$B$20,Products!$A$7:$A$13,0))))),"Fails entered limits",IF(AND(D62="EV",E62&lt;120,OR(NOT(ISNUMBER(VLOOKUP($A62,'Fleet register'!$A$7:$S$106,7,FALSE))),NOT(ISNUMBER(VLOOKUP($A62,'Fleet register'!$A$7:$S$106,8,FALSE))),NOT(ISNUMBER(AF62)),'Replacement plan'!$I$20&lt;&gt;"Yes",NOT(ISNUMBER(AH62)),'Operating costs'!$B$59&lt;&gt;"Yes",'Operating costs'!$B$58&lt;&gt;"Yes")),"Unverified","Within entered limits"))))</f>
        <v>Excluded</v>
      </c>
      <c r="R62" s="1">
        <f>IF(C62=0,0,VLOOKUP($A62,'Fleet register'!$A$7:$S$106,6,FALSE))</f>
        <v>0</v>
      </c>
      <c r="S62" s="1">
        <f>IF(C62=0,0,VLOOKUP($A62,'Fleet register'!$A$7:$S$106,5,FALSE))</f>
        <v>0</v>
      </c>
      <c r="T62" s="1">
        <f>IF(D62="EV",'Energy and charging'!$C$12,0)</f>
        <v>0</v>
      </c>
      <c r="U62" s="1">
        <f>IFERROR(IF(C62=0,0,IF(D62="EV",IF('Replacement plan'!$F$20="",INDEX(Products!$E$7:$E$13,MATCH('Replacement plan'!$B$20,Products!$A$7:$A$13,0)),'Replacement plan'!$F$20)/IF('Replacement plan'!$G$20="Battery",1-'Operating costs'!$B$44,1),0)),"n.a.")</f>
        <v>0</v>
      </c>
      <c r="V62" s="1">
        <f>IFERROR(IF(C62=0,0,IF(D62="EV",IF('Replacement plan'!$E$20="",INDEX(Products!$D$7:$D$13,MATCH('Replacement plan'!$B$20,Products!$A$7:$A$13,0)),'Replacement plan'!$E$20),0)),"n.a.")</f>
        <v>0</v>
      </c>
      <c r="W62" s="1">
        <f>IF(C62=0,0,IF(AND(P62="Complete",D62="EV",E62&lt;120),IF(T62=0,0,ROUNDUP(T62*(R62-'Operating costs'!$B$41)*(S62*U62+'Operating costs'!$B$48/(1-'Operating costs'!$B$44))/(V62*'Operating costs'!$B$47/(1-'Operating costs'!$B$44)-T62*'Operating costs'!$B$12*U62),0)),0))</f>
        <v>0</v>
      </c>
      <c r="X62" s="1">
        <f>IF(C62=0,0,IF(AND(P62="Complete",D62="EV",E62&lt;120),(R62-'Operating costs'!$B$41)*(S62*U62+'Operating costs'!$B$48/(1-'Operating costs'!$B$44))+W62*'Operating costs'!$B$12*U62,0))</f>
        <v>0</v>
      </c>
      <c r="Y62" s="1">
        <f>IF(AND(C62=1,D62="EV",E62&lt;120),AI62/(1-'Operating costs'!$B$44)*(1-T62),0)</f>
        <v>0</v>
      </c>
      <c r="Z62" s="1">
        <f t="shared" si="0"/>
        <v>0</v>
      </c>
      <c r="AA62" s="1">
        <f>IF(C62=0,0,IF(P62="Complete",((S62*(R62-'Operating costs'!$B$40))+ROUNDUP(S62*(R62-'Operating costs'!$B$40)*IF('Replacement plan'!$AH$20="",'Operating costs'!$B$7,'Replacement plan'!$AH$20)/('Operating costs'!$B$8-'Operating costs'!$B$9*IF('Replacement plan'!$AH$20="",'Operating costs'!$B$7,'Replacement plan'!$AH$20)),0)*'Operating costs'!$B$9)*IF('Replacement plan'!$AH$20="",'Operating costs'!$B$7,'Replacement plan'!$AH$20),"n.a."))</f>
        <v>0</v>
      </c>
      <c r="AB62" s="1">
        <f t="shared" si="1"/>
        <v>0</v>
      </c>
      <c r="AC62" s="1">
        <f>IF(AND(C62=1,D62="EV",E62&lt;120,T62&gt;0),'Operating costs'!$B$12/'Operating costs'!$B$11*60+'Operating costs'!$B$13+'Operating costs'!$B$14+V62*'Operating costs'!$B$47/(1-'Operating costs'!$B$44)/'Replacement plan'!$L$20*60,0)</f>
        <v>0</v>
      </c>
      <c r="AD62" s="1" t="str">
        <f>'Replacement plan'!$B$20</f>
        <v>ChengLong L2EV</v>
      </c>
      <c r="AE62" s="1">
        <f>IF(C62=0,0,VLOOKUP($A62,'Fleet register'!$A$7:$S$106,8,FALSE))</f>
        <v>0</v>
      </c>
      <c r="AF62" s="1" t="str">
        <f>IF('Replacement plan'!$H$20="","n.a.",'Replacement plan'!$H$20)</f>
        <v>n.a.</v>
      </c>
      <c r="AG62" s="1">
        <f>'Replacement plan'!$J$20</f>
        <v>22</v>
      </c>
      <c r="AH62" s="1">
        <f>IFERROR(IF(D62="EV",IF('Replacement plan'!$K$20="AC",IF(ISNUMBER(INDEX(Products!$G$7:$G$13,MATCH('Replacement plan'!$B$20,Products!$A$7:$A$13,0))),INDEX(Products!$G$7:$G$13,MATCH('Replacement plan'!$B$20,Products!$A$7:$A$13,0)),"n.a."),IF(ISNUMBER(INDEX(Products!$H$7:$H$13,MATCH('Replacement plan'!$B$20,Products!$A$7:$A$13,0))),INDEX(Products!$H$7:$H$13,MATCH('Replacement plan'!$B$20,Products!$A$7:$A$13,0)),"n.a.")),0),"n.a.")</f>
        <v>0</v>
      </c>
      <c r="AI62" s="1">
        <f>IF(AND(C62=1,D62="EV",E62&lt;120),(VLOOKUP($A62,'Fleet register'!$A$7:$S$106,7,FALSE)+IF(T62&gt;0,'Operating costs'!$B$12,0))*U62*(1-'Operating costs'!$B$44)+'Operating costs'!$B$49,0)</f>
        <v>0</v>
      </c>
      <c r="AJ62" s="1">
        <f>IF(D62="EV",'Energy and charging'!$C$50,0)</f>
        <v>0</v>
      </c>
      <c r="AK62" s="17">
        <f>EDATE('Operating costs'!$B$63,E62)</f>
        <v>46298</v>
      </c>
      <c r="AL62" s="1">
        <f>IFERROR(IF(D62="EV",INDEX(Products!$B$7:$B$13,MATCH('Replacement plan'!$B$20,Products!$A$7:$A$13,0)),0),"n.a.")</f>
        <v>0</v>
      </c>
      <c r="AM62" s="1" t="str">
        <f>'Replacement plan'!$K$20</f>
        <v>DC</v>
      </c>
      <c r="AN62" s="1" t="str">
        <f>'Replacement plan'!$AE$20</f>
        <v>Assumed</v>
      </c>
      <c r="AO62" s="47">
        <f>IF(AND(C62=1,D62="EV",E62&lt;120),(R62-'Operating costs'!$B$41)*S62+W62*'Operating costs'!$B$12,0)</f>
        <v>0</v>
      </c>
      <c r="AP62" s="41">
        <f>IF(AND(C62=1,D62="EV",E62&lt;120),IF('Operating costs'!$B$68="Hong Seh 200k average",AO62*IFERROR(INDEX(Products!$P$7:$P$13,MATCH(AD62,Products!$A$7:$A$13,0)),"n.a."),'Operating costs'!$B$26),0)</f>
        <v>0</v>
      </c>
      <c r="AQ62" s="40" t="str">
        <f>IF(D62="EV",'Operating costs'!$B$68,"Not applicable")</f>
        <v>Not applicable</v>
      </c>
    </row>
    <row r="63" spans="1:43" ht="24" customHeight="1">
      <c r="A63" s="1" t="str">
        <f>'Replacement plan'!A21</f>
        <v>T015</v>
      </c>
      <c r="B63" s="1">
        <v>0</v>
      </c>
      <c r="C63" s="1">
        <f>IF(COUNTIFS('Fleet register'!$A$7:$A$106,$A63)=1,VLOOKUP($A63,'Fleet register'!$A$7:$S$106,2,FALSE),0)</f>
        <v>0</v>
      </c>
      <c r="D63" s="1" t="str">
        <f>IF("Keep ICE"="EV","EV","ICE")</f>
        <v>ICE</v>
      </c>
      <c r="E63" s="1">
        <f>IF(C63=0,0,IF('Replacement plan'!$M$21="",VLOOKUP($A63,'Fleet register'!$A$7:$S$106,10,FALSE),'Replacement plan'!$M$21))</f>
        <v>0</v>
      </c>
      <c r="F63" s="16">
        <f>IF(C63=0,0,VLOOKUP($A63,'Fleet register'!$A$7:$S$106,11,FALSE))</f>
        <v>0</v>
      </c>
      <c r="G63" s="16">
        <f>IFERROR(IF(C63=0,0,IF(E63=120,0,IF(D63="ICE",'Replacement plan'!$C$21,IF('Replacement plan'!$D$21="",INDEX(Products!$I$7:$I$13,MATCH('Replacement plan'!$B$21,Products!$A$7:$A$13,0))+'Operating costs'!$B$57,'Replacement plan'!$D$21))*(1+'Operating costs'!$B$50)^(E63/12))),"n.a.")</f>
        <v>0</v>
      </c>
      <c r="H63" s="16">
        <f>IFERROR(IF(C63=0,0,IF(E63=0,F63,VLOOKUP($A63,'Fleet register'!$A$7:$S$106,12,FALSE)+VLOOKUP($A63,'Fleet register'!$A$7:$S$106,13,FALSE)*MAX(0,VLOOKUP($A63,'Fleet register'!$A$7:$S$106,10,FALSE)-E63)/VLOOKUP($A63,'Fleet register'!$A$7:$S$106,14,FALSE))),"n.a.")</f>
        <v>0</v>
      </c>
      <c r="I63" s="16">
        <f>IF(C63=0,0,IF(E63=120,0,'Replacement plan'!$N$21))</f>
        <v>0</v>
      </c>
      <c r="J63" s="16">
        <f>IF(C63=0,0,IF(P63="Complete",((S63*(R63-'Operating costs'!$B$39))+ROUNDUP(S63*(R63-'Operating costs'!$B$39)*IF('Replacement plan'!$AG$21="",'Operating costs'!$B$7,'Replacement plan'!$AG$21)/('Operating costs'!$B$8-'Operating costs'!$B$9*IF('Replacement plan'!$AG$21="",'Operating costs'!$B$7,'Replacement plan'!$AG$21)),0)*'Operating costs'!$B$9)*IF('Replacement plan'!$AG$21="",'Operating costs'!$B$7,'Replacement plan'!$AG$21)*('Energy and charging'!$B$9*'Energy and charging'!$B$7+(1-'Energy and charging'!$B$9)*'Energy and charging'!$B$8)*'Operating costs'!$B$23,"n.a."))</f>
        <v>0</v>
      </c>
      <c r="K63" s="16">
        <f>IF(C63=0,0,IF(P63="Complete",SUM('Operating costs'!$B$24,'Operating costs'!$B$27,'Operating costs'!$B$29,'Operating costs'!$B$31,'Operating costs'!$B$33,'Operating costs'!$B$34,'Operating costs'!$B$37,'Replacement plan'!$W$21)+'Operating costs'!$B$39*'Operating costs'!$B$42+ROUNDUP(S63*(R63-'Operating costs'!$B$39)*IF('Replacement plan'!$AG$21="",'Operating costs'!$B$7,'Replacement plan'!$AG$21)/('Operating costs'!$B$8-'Operating costs'!$B$9*IF('Replacement plan'!$AG$21="",'Operating costs'!$B$7,'Replacement plan'!$AG$21)),0)*('Operating costs'!$B$9/'Operating costs'!$B$11+'Operating costs'!$B$10/60)*'Operating costs'!$B$19*'Operating costs'!$B$21,"n.a."))</f>
        <v>0</v>
      </c>
      <c r="L63" s="16">
        <f>IF(C63=0,0,IF(P63="Complete",IF(D63="EV",X63*((1-T63)*'Energy and charging'!$B$10+T63*'Energy and charging'!$B$11)*'Operating costs'!$B$22,AA63*('Energy and charging'!$B$9*'Energy and charging'!$B$7+(1-'Energy and charging'!$B$9)*'Energy and charging'!$B$8)*'Operating costs'!$B$23),"n.a."))</f>
        <v>0</v>
      </c>
      <c r="M63" s="37">
        <f>IF(C63=0,0,IF(P63="Complete",IF(D63="ICE",SUM('Operating costs'!$B$25,'Operating costs'!$B$27,'Operating costs'!$B$29,'Operating costs'!$B$31,'Operating costs'!$B$33,'Operating costs'!$B$35,'Operating costs'!$B$37,'Replacement plan'!$X$21)+'Operating costs'!$B$40*'Operating costs'!$B$42+ROUNDUP(S63*(R63-'Operating costs'!$B$40)*IF('Replacement plan'!$AH$21="",'Operating costs'!$B$7,'Replacement plan'!$AH$21)/('Operating costs'!$B$8-'Operating costs'!$B$9*IF('Replacement plan'!$AH$21="",'Operating costs'!$B$7,'Replacement plan'!$AH$21)),0)*('Operating costs'!$B$9/'Operating costs'!$B$11+'Operating costs'!$B$10/60)*'Operating costs'!$B$19*'Operating costs'!$B$21,SUM(AP63,'Operating costs'!$B$28,'Operating costs'!$B$30,'Operating costs'!$B$32,'Operating costs'!$B$33,'Operating costs'!$B$36,'Operating costs'!$B$38,'Replacement plan'!$Y$21)+'Operating costs'!$B$41*'Operating costs'!$B$43+W63*'Operating costs'!$B$15+(T63*X63/'Replacement plan'!$L$21+W63*('Operating costs'!$B$12/'Operating costs'!$B$11+('Operating costs'!$B$13+'Operating costs'!$B$14)/60)+(R63-'Operating costs'!$B$41)*(IF(T63&lt;1,'Operating costs'!$B$16,0)+'Operating costs'!$B$17)/60)*'Operating costs'!$B$19*'Operating costs'!$B$20),"n.a."))</f>
        <v>0</v>
      </c>
      <c r="N63" s="16">
        <f>IF(AND(C63=1,D63="EV",E63&lt;120,E63+'Replacement plan'!$AA$21&lt;=120),'Replacement plan'!$Z$21,0)</f>
        <v>0</v>
      </c>
      <c r="O63" s="1">
        <f>E63+'Replacement plan'!$AA$21</f>
        <v>0</v>
      </c>
      <c r="P63" s="35" t="str">
        <f>IFERROR(IF(C63=0,"Excluded",IF(OR(COUNTIFS('Fleet register'!$A$7:$A$106,A63)&lt;&gt;1,COUNTIFS('Replacement plan'!$A$7:$A$106,A63)&lt;&gt;1),"Duplicate/missing ID",IF(NOT(AND(ISNUMBER(VLOOKUP($A63,'Fleet register'!$A$7:$S$106,5,FALSE)),ISNUMBER(VLOOKUP($A63,'Fleet register'!$A$7:$S$106,6,FALSE)),ISNUMBER(VLOOKUP($A63,'Fleet register'!$A$7:$S$106,10,FALSE)),ISNUMBER(VLOOKUP($A63,'Fleet register'!$A$7:$S$106,11,FALSE)),ISNUMBER(VLOOKUP($A63,'Fleet register'!$A$7:$S$106,12,FALSE)),ISNUMBER(VLOOKUP($A63,'Fleet register'!$A$7:$S$106,13,FALSE)),ISNUMBER(VLOOKUP($A63,'Fleet register'!$A$7:$S$106,14,FALSE)),VLOOKUP($A63,'Fleet register'!$A$7:$S$106,14,FALSE)&gt;0,ISNUMBER('Replacement plan'!$C$21),OR(E63=120,ISNUMBER('Replacement plan'!$N$21)),ISNUMBER(E63))),"Missing vehicle input",IF(OR(E63&lt;0,E63&gt;VLOOKUP($A63,'Fleet register'!$A$7:$S$106,10,FALSE),E63&gt;120,E63&lt;&gt;INT(E63),VLOOKUP($A63,'Fleet register'!$A$7:$S$106,6,FALSE)&lt;=0,VLOOKUP($A63,'Fleet register'!$A$7:$S$106,6,FALSE)&gt;366,VLOOKUP($A63,'Fleet register'!$A$7:$S$106,5,FALSE)&lt;0,VLOOKUP($A63,'Fleet register'!$A$7:$S$106,11,FALSE)&lt;0,I63&lt;0,'Operating costs'!$B$8&lt;='Operating costs'!$B$7*'Operating costs'!$B$9,'Operating costs'!$B$11&lt;=0,'Operating costs'!$B$39&gt;R63,'Operating costs'!$B$40&gt;R63,'Operating costs'!$B$41&gt;R63,NOT(OR("Keep ICE"="Keep ICE","Keep ICE"="New ICE","Keep ICE"="EV"))),"Invalid vehicle input",IF(AND(D63="EV",E63&lt;120,OR(NOT(ISNUMBER(U63)),NOT(ISNUMBER(V63)),V63&lt;=0,T63&lt;0,T63&gt;1,'Replacement plan'!$L$21&lt;=0,'Operating costs'!$B$44&lt;0,'Operating costs'!$B$44&gt;=1,'Operating costs'!$B$47&lt;=0,'Operating costs'!$B$47&gt;1,V63*'Operating costs'!$B$47/(1-'Operating costs'!$B$44)&lt;=T63*'Operating costs'!$B$12*U63,AND('Replacement plan'!$Z$21&gt;0,OR('Replacement plan'!$AB$21&lt;&gt;"Yes",'Operating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charging'!$B$8&gt;=0))),ISNUMBER(VLOOKUP($A63,'Fleet register'!$A$7:$S$106,15,FALSE)),ISNUMBER(VLOOKUP($A63,'Fleet register'!$A$7:$S$106,16,FALSE)),ISNUMBER('Replacement plan'!$W$21),ISNUMBER('Replacement plan'!$X$21),OR(E63=120,AND(ISNUMBER(G63),G63&gt;=0)),ISNUMBER(H63),H63&gt;=0,OR(D63&lt;&gt;"EV",E63=120,AND(ISNUMBER('Operating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average",ISNUMBER(IFERROR(INDEX(Products!$P$7:$P$13,MATCH(AD63,Products!$A$7:$A$13,0)),"")))),ISNUMBER('Operating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plan'!$Y$21),ISNUMBER('Replacement plan'!$Z$21),'Replacement plan'!$Z$21&gt;=0,ISNUMBER('Replacement plan'!$AA$21),'Replacement plan'!$AA$21&gt;=0,'Replacement plan'!$AA$21=INT('Replacement plan'!$AA$21),ISNUMBER('Replacement plan'!$L$21))),'Operating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plan'!$AG$21="",'Operating costs'!$B$7,'Replacement plan'!$AG$21)),IF('Replacement plan'!$AG$21="",'Operating costs'!$B$7,'Replacement plan'!$AG$21)&gt;=0,ISNUMBER(IF('Replacement plan'!$AH$21="",'Operating costs'!$B$7,'Replacement plan'!$AH$21)),IF('Replacement plan'!$AH$21="",'Operating costs'!$B$7,'Replacement plan'!$AH$21)&gt;=0,'Operating costs'!$B$8&gt;MAX(IF('Replacement plan'!$AG$21="",'Operating costs'!$B$7,'Replacement plan'!$AG$21),IF('Replacement plan'!$AH$21="",'Operating costs'!$B$7,'Replacement plan'!$AH$21))*'Operating costs'!$B$9),IF(AND(VLOOKUP($A63,'Fleet register'!$A$7:$S$106,10,FALSE)&gt;=0,VLOOKUP($A63,'Fleet register'!$A$7:$S$106,10,FALSE)&lt;=120,VLOOKUP($A63,'Fleet register'!$A$7:$S$106,10,FALSE)=INT(VLOOKUP($A63,'Fleet register'!$A$7:$S$106,10,FALSE)),VLOOKUP($A63,'Fleet register'!$A$7:$S$106,15,FALSE)&gt;=0,VLOOKUP($A63,'Fleet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costs'!$B$67)&gt;=0,OR(D63&lt;&gt;"EV",E63=120,AND(MIN('Operating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63" s="1" t="str">
        <f>IF(C63=0,"Excluded",IF(P63&lt;&gt;"Complete",P63,IF(OR('Replacement plan'!$AD$21&lt;120-E63,AND(D63="EV",E63&lt;120,OR('Replacement plan'!$AC$21&lt;120-E63,'Replacement plan'!$I$21="No",AND(ISNUMBER(AF63),AE63&gt;AF63),AI63&gt;V63*(1-'Operating costs'!$B$46)^MAX(0,AB63-1)*(1-'Operating costs'!$B$45),AC63&gt;'Operating costs'!$B$18,AND(T63&lt;1,OR(AG63&lt;=0,AND(ISNUMBER(AH63),AG63&gt;AH63))),'Replacement plan'!$L$21&gt;INDEX(Products!$H$7:$H$13,MATCH('Replacement plan'!$B$21,Products!$A$7:$A$13,0))))),"Fails entered limits",IF(AND(D63="EV",E63&lt;120,OR(NOT(ISNUMBER(VLOOKUP($A63,'Fleet register'!$A$7:$S$106,7,FALSE))),NOT(ISNUMBER(VLOOKUP($A63,'Fleet register'!$A$7:$S$106,8,FALSE))),NOT(ISNUMBER(AF63)),'Replacement plan'!$I$21&lt;&gt;"Yes",NOT(ISNUMBER(AH63)),'Operating costs'!$B$59&lt;&gt;"Yes",'Operating costs'!$B$58&lt;&gt;"Yes")),"Unverified","Within entered limits"))))</f>
        <v>Excluded</v>
      </c>
      <c r="R63" s="1">
        <f>IF(C63=0,0,VLOOKUP($A63,'Fleet register'!$A$7:$S$106,6,FALSE))</f>
        <v>0</v>
      </c>
      <c r="S63" s="1">
        <f>IF(C63=0,0,VLOOKUP($A63,'Fleet register'!$A$7:$S$106,5,FALSE))</f>
        <v>0</v>
      </c>
      <c r="T63" s="1">
        <f>IF(D63="EV",'Energy and charging'!$B$12,0)</f>
        <v>0</v>
      </c>
      <c r="U63" s="1">
        <f>IFERROR(IF(C63=0,0,IF(D63="EV",IF('Replacement plan'!$F$21="",INDEX(Products!$E$7:$E$13,MATCH('Replacement plan'!$B$21,Products!$A$7:$A$13,0)),'Replacement plan'!$F$21)/IF('Replacement plan'!$G$21="Battery",1-'Operating costs'!$B$44,1),0)),"n.a.")</f>
        <v>0</v>
      </c>
      <c r="V63" s="1">
        <f>IFERROR(IF(C63=0,0,IF(D63="EV",IF('Replacement plan'!$E$21="",INDEX(Products!$D$7:$D$13,MATCH('Replacement plan'!$B$21,Products!$A$7:$A$13,0)),'Replacement plan'!$E$21),0)),"n.a.")</f>
        <v>0</v>
      </c>
      <c r="W63" s="1">
        <f>IF(C63=0,0,IF(AND(P63="Complete",D63="EV",E63&lt;120),IF(T63=0,0,ROUNDUP(T63*(R63-'Operating costs'!$B$41)*(S63*U63+'Operating costs'!$B$48/(1-'Operating costs'!$B$44))/(V63*'Operating costs'!$B$47/(1-'Operating costs'!$B$44)-T63*'Operating costs'!$B$12*U63),0)),0))</f>
        <v>0</v>
      </c>
      <c r="X63" s="1">
        <f>IF(C63=0,0,IF(AND(P63="Complete",D63="EV",E63&lt;120),(R63-'Operating costs'!$B$41)*(S63*U63+'Operating costs'!$B$48/(1-'Operating costs'!$B$44))+W63*'Operating costs'!$B$12*U63,0))</f>
        <v>0</v>
      </c>
      <c r="Y63" s="1">
        <f>IF(AND(C63=1,D63="EV",E63&lt;120),AI63/(1-'Operating costs'!$B$44)*(1-T63),0)</f>
        <v>0</v>
      </c>
      <c r="Z63" s="1">
        <f t="shared" si="0"/>
        <v>0</v>
      </c>
      <c r="AA63" s="1">
        <f>IF(C63=0,0,IF(P63="Complete",((S63*(R63-'Operating costs'!$B$40))+ROUNDUP(S63*(R63-'Operating costs'!$B$40)*IF('Replacement plan'!$AH$21="",'Operating costs'!$B$7,'Replacement plan'!$AH$21)/('Operating costs'!$B$8-'Operating costs'!$B$9*IF('Replacement plan'!$AH$21="",'Operating costs'!$B$7,'Replacement plan'!$AH$21)),0)*'Operating costs'!$B$9)*IF('Replacement plan'!$AH$21="",'Operating costs'!$B$7,'Replacement plan'!$AH$21),"n.a."))</f>
        <v>0</v>
      </c>
      <c r="AB63" s="1">
        <f t="shared" si="1"/>
        <v>0</v>
      </c>
      <c r="AC63" s="1">
        <f>IF(AND(C63=1,D63="EV",E63&lt;120,T63&gt;0),'Operating costs'!$B$12/'Operating costs'!$B$11*60+'Operating costs'!$B$13+'Operating costs'!$B$14+V63*'Operating costs'!$B$47/(1-'Operating costs'!$B$44)/'Replacement plan'!$L$21*60,0)</f>
        <v>0</v>
      </c>
      <c r="AD63" s="1" t="str">
        <f>'Replacement plan'!$B$21</f>
        <v>ChengLong L2EV</v>
      </c>
      <c r="AE63" s="1">
        <f>IF(C63=0,0,VLOOKUP($A63,'Fleet register'!$A$7:$S$106,8,FALSE))</f>
        <v>0</v>
      </c>
      <c r="AF63" s="1" t="str">
        <f>IF('Replacement plan'!$H$21="","n.a.",'Replacement plan'!$H$21)</f>
        <v>n.a.</v>
      </c>
      <c r="AG63" s="1">
        <f>'Replacement plan'!$J$21</f>
        <v>22</v>
      </c>
      <c r="AH63" s="1">
        <f>IFERROR(IF(D63="EV",IF('Replacement plan'!$K$21="AC",IF(ISNUMBER(INDEX(Products!$G$7:$G$13,MATCH('Replacement plan'!$B$21,Products!$A$7:$A$13,0))),INDEX(Products!$G$7:$G$13,MATCH('Replacement plan'!$B$21,Products!$A$7:$A$13,0)),"n.a."),IF(ISNUMBER(INDEX(Products!$H$7:$H$13,MATCH('Replacement plan'!$B$21,Products!$A$7:$A$13,0))),INDEX(Products!$H$7:$H$13,MATCH('Replacement plan'!$B$21,Products!$A$7:$A$13,0)),"n.a.")),0),"n.a.")</f>
        <v>0</v>
      </c>
      <c r="AI63" s="1">
        <f>IF(AND(C63=1,D63="EV",E63&lt;120),(VLOOKUP($A63,'Fleet register'!$A$7:$S$106,7,FALSE)+IF(T63&gt;0,'Operating costs'!$B$12,0))*U63*(1-'Operating costs'!$B$44)+'Operating costs'!$B$49,0)</f>
        <v>0</v>
      </c>
      <c r="AJ63" s="1">
        <f>IF(D63="EV",'Energy and charging'!$B$50,0)</f>
        <v>0</v>
      </c>
      <c r="AK63" s="17">
        <f>EDATE('Operating costs'!$B$63,E63)</f>
        <v>46298</v>
      </c>
      <c r="AL63" s="1">
        <f>IFERROR(IF(D63="EV",INDEX(Products!$B$7:$B$13,MATCH('Replacement plan'!$B$21,Products!$A$7:$A$13,0)),0),"n.a.")</f>
        <v>0</v>
      </c>
      <c r="AM63" s="1" t="str">
        <f>'Replacement plan'!$K$21</f>
        <v>DC</v>
      </c>
      <c r="AN63" s="1" t="str">
        <f>'Replacement plan'!$AE$21</f>
        <v>Assumed</v>
      </c>
      <c r="AO63" s="47">
        <f>IF(AND(C63=1,D63="EV",E63&lt;120),(R63-'Operating costs'!$B$41)*S63+W63*'Operating costs'!$B$12,0)</f>
        <v>0</v>
      </c>
      <c r="AP63" s="41">
        <f>IF(AND(C63=1,D63="EV",E63&lt;120),IF('Operating costs'!$B$68="Hong Seh 200k average",AO63*IFERROR(INDEX(Products!$P$7:$P$13,MATCH(AD63,Products!$A$7:$A$13,0)),"n.a."),'Operating costs'!$B$26),0)</f>
        <v>0</v>
      </c>
      <c r="AQ63" s="40" t="str">
        <f>IF(D63="EV",'Operating costs'!$B$68,"Not applicable")</f>
        <v>Not applicable</v>
      </c>
    </row>
    <row r="64" spans="1:43" ht="24" customHeight="1">
      <c r="A64" s="1" t="str">
        <f>'Replacement plan'!A21</f>
        <v>T015</v>
      </c>
      <c r="B64" s="1">
        <v>1</v>
      </c>
      <c r="C64" s="1">
        <f>IF(COUNTIFS('Fleet register'!$A$7:$A$106,$A64)=1,VLOOKUP($A64,'Fleet register'!$A$7:$S$106,2,FALSE),0)</f>
        <v>0</v>
      </c>
      <c r="D64" s="1" t="str">
        <f>IF("New ICE"="EV","EV","ICE")</f>
        <v>ICE</v>
      </c>
      <c r="E64" s="1">
        <f>IF(C64=0,0,0)</f>
        <v>0</v>
      </c>
      <c r="F64" s="16">
        <f>IF(C64=0,0,VLOOKUP($A64,'Fleet register'!$A$7:$S$106,11,FALSE))</f>
        <v>0</v>
      </c>
      <c r="G64" s="16">
        <f>IFERROR(IF(C64=0,0,IF(E64=120,0,IF(D64="ICE",'Replacement plan'!$C$21,IF('Replacement plan'!$D$21="",INDEX(Products!$I$7:$I$13,MATCH('Replacement plan'!$B$21,Products!$A$7:$A$13,0))+'Operating costs'!$B$57,'Replacement plan'!$D$21))*(1+'Operating costs'!$B$50)^(E64/12))),"n.a.")</f>
        <v>0</v>
      </c>
      <c r="H64" s="16">
        <f>IFERROR(IF(C64=0,0,IF(E64=0,F64,VLOOKUP($A64,'Fleet register'!$A$7:$S$106,12,FALSE)+VLOOKUP($A64,'Fleet register'!$A$7:$S$106,13,FALSE)*MAX(0,VLOOKUP($A64,'Fleet register'!$A$7:$S$106,10,FALSE)-E64)/VLOOKUP($A64,'Fleet register'!$A$7:$S$106,14,FALSE))),"n.a.")</f>
        <v>0</v>
      </c>
      <c r="I64" s="16">
        <f>IF(C64=0,0,IF(E64=120,0,IF('Replacement plan'!$AI$21="",'Operating costs'!$B$56,'Replacement plan'!$AI$21)))</f>
        <v>0</v>
      </c>
      <c r="J64" s="16">
        <f>IF(C64=0,0,IF(P64="Complete",((S64*(R64-'Operating costs'!$B$39))+ROUNDUP(S64*(R64-'Operating costs'!$B$39)*IF('Replacement plan'!$AG$21="",'Operating costs'!$B$7,'Replacement plan'!$AG$21)/('Operating costs'!$B$8-'Operating costs'!$B$9*IF('Replacement plan'!$AG$21="",'Operating costs'!$B$7,'Replacement plan'!$AG$21)),0)*'Operating costs'!$B$9)*IF('Replacement plan'!$AG$21="",'Operating costs'!$B$7,'Replacement plan'!$AG$21)*('Energy and charging'!$B$9*'Energy and charging'!$B$7+(1-'Energy and charging'!$B$9)*'Energy and charging'!$B$8)*'Operating costs'!$B$23,"n.a."))</f>
        <v>0</v>
      </c>
      <c r="K64" s="16">
        <f>IF(C64=0,0,IF(P64="Complete",SUM('Operating costs'!$B$24,'Operating costs'!$B$27,'Operating costs'!$B$29,'Operating costs'!$B$31,'Operating costs'!$B$33,'Operating costs'!$B$34,'Operating costs'!$B$37,'Replacement plan'!$W$21)+'Operating costs'!$B$39*'Operating costs'!$B$42+ROUNDUP(S64*(R64-'Operating costs'!$B$39)*IF('Replacement plan'!$AG$21="",'Operating costs'!$B$7,'Replacement plan'!$AG$21)/('Operating costs'!$B$8-'Operating costs'!$B$9*IF('Replacement plan'!$AG$21="",'Operating costs'!$B$7,'Replacement plan'!$AG$21)),0)*('Operating costs'!$B$9/'Operating costs'!$B$11+'Operating costs'!$B$10/60)*'Operating costs'!$B$19*'Operating costs'!$B$21,"n.a."))</f>
        <v>0</v>
      </c>
      <c r="L64" s="16">
        <f>IF(C64=0,0,IF(P64="Complete",IF(D64="EV",X64*((1-T64)*'Energy and charging'!$B$10+T64*'Energy and charging'!$B$11)*'Operating costs'!$B$22,AA64*('Energy and charging'!$B$9*'Energy and charging'!$B$7+(1-'Energy and charging'!$B$9)*'Energy and charging'!$B$8)*'Operating costs'!$B$23),"n.a."))</f>
        <v>0</v>
      </c>
      <c r="M64" s="37">
        <f>IF(C64=0,0,IF(P64="Complete",IF(D64="ICE",SUM('Operating costs'!$B$25,'Operating costs'!$B$27,'Operating costs'!$B$29,'Operating costs'!$B$31,'Operating costs'!$B$33,'Operating costs'!$B$35,'Operating costs'!$B$37,'Replacement plan'!$X$21)+'Operating costs'!$B$40*'Operating costs'!$B$42+ROUNDUP(S64*(R64-'Operating costs'!$B$40)*IF('Replacement plan'!$AH$21="",'Operating costs'!$B$7,'Replacement plan'!$AH$21)/('Operating costs'!$B$8-'Operating costs'!$B$9*IF('Replacement plan'!$AH$21="",'Operating costs'!$B$7,'Replacement plan'!$AH$21)),0)*('Operating costs'!$B$9/'Operating costs'!$B$11+'Operating costs'!$B$10/60)*'Operating costs'!$B$19*'Operating costs'!$B$21,SUM(AP64,'Operating costs'!$B$28,'Operating costs'!$B$30,'Operating costs'!$B$32,'Operating costs'!$B$33,'Operating costs'!$B$36,'Operating costs'!$B$38,'Replacement plan'!$Y$21)+'Operating costs'!$B$41*'Operating costs'!$B$43+W64*'Operating costs'!$B$15+(T64*X64/'Replacement plan'!$L$21+W64*('Operating costs'!$B$12/'Operating costs'!$B$11+('Operating costs'!$B$13+'Operating costs'!$B$14)/60)+(R64-'Operating costs'!$B$41)*(IF(T64&lt;1,'Operating costs'!$B$16,0)+'Operating costs'!$B$17)/60)*'Operating costs'!$B$19*'Operating costs'!$B$20),"n.a."))</f>
        <v>0</v>
      </c>
      <c r="N64" s="16">
        <f>IF(AND(C64=1,D64="EV",E64&lt;120,E64+'Replacement plan'!$AA$21&lt;=120),'Replacement plan'!$Z$21,0)</f>
        <v>0</v>
      </c>
      <c r="O64" s="1">
        <f>E64+'Replacement plan'!$AA$21</f>
        <v>0</v>
      </c>
      <c r="P64" s="35" t="str">
        <f>IFERROR(IF(C64=0,"Excluded",IF(OR(COUNTIFS('Fleet register'!$A$7:$A$106,A64)&lt;&gt;1,COUNTIFS('Replacement plan'!$A$7:$A$106,A64)&lt;&gt;1),"Duplicate/missing ID",IF(NOT(AND(ISNUMBER(VLOOKUP($A64,'Fleet register'!$A$7:$S$106,5,FALSE)),ISNUMBER(VLOOKUP($A64,'Fleet register'!$A$7:$S$106,6,FALSE)),ISNUMBER(VLOOKUP($A64,'Fleet register'!$A$7:$S$106,10,FALSE)),ISNUMBER(VLOOKUP($A64,'Fleet register'!$A$7:$S$106,11,FALSE)),ISNUMBER(VLOOKUP($A64,'Fleet register'!$A$7:$S$106,12,FALSE)),ISNUMBER(VLOOKUP($A64,'Fleet register'!$A$7:$S$106,13,FALSE)),ISNUMBER(VLOOKUP($A64,'Fleet register'!$A$7:$S$106,14,FALSE)),VLOOKUP($A64,'Fleet register'!$A$7:$S$106,14,FALSE)&gt;0,ISNUMBER('Replacement plan'!$C$21),OR(E64=120,OR(ISNUMBER('Replacement plan'!$AI$21),AND('Replacement plan'!$AI$21="",ISNUMBER('Operating costs'!$B$56)))),ISNUMBER(E64))),"Missing vehicle input",IF(OR(E64&lt;0,E64&gt;VLOOKUP($A64,'Fleet register'!$A$7:$S$106,10,FALSE),E64&gt;120,E64&lt;&gt;INT(E64),VLOOKUP($A64,'Fleet register'!$A$7:$S$106,6,FALSE)&lt;=0,VLOOKUP($A64,'Fleet register'!$A$7:$S$106,6,FALSE)&gt;366,VLOOKUP($A64,'Fleet register'!$A$7:$S$106,5,FALSE)&lt;0,VLOOKUP($A64,'Fleet register'!$A$7:$S$106,11,FALSE)&lt;0,I64&lt;0,'Operating costs'!$B$8&lt;='Operating costs'!$B$7*'Operating costs'!$B$9,'Operating costs'!$B$11&lt;=0,'Operating costs'!$B$39&gt;R64,'Operating costs'!$B$40&gt;R64,'Operating costs'!$B$41&gt;R64,NOT(OR("New ICE"="Keep ICE","New ICE"="New ICE","New ICE"="EV"))),"Invalid vehicle input",IF(AND(D64="EV",E64&lt;120,OR(NOT(ISNUMBER(U64)),NOT(ISNUMBER(V64)),V64&lt;=0,T64&lt;0,T64&gt;1,'Replacement plan'!$L$21&lt;=0,'Operating costs'!$B$44&lt;0,'Operating costs'!$B$44&gt;=1,'Operating costs'!$B$47&lt;=0,'Operating costs'!$B$47&gt;1,V64*'Operating costs'!$B$47/(1-'Operating costs'!$B$44)&lt;=T64*'Operating costs'!$B$12*U64,AND('Replacement plan'!$Z$21&gt;0,OR('Replacement plan'!$AB$21&lt;&gt;"Yes",'Operating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charging'!$B$8&gt;=0))),ISNUMBER(VLOOKUP($A64,'Fleet register'!$A$7:$S$106,15,FALSE)),ISNUMBER(VLOOKUP($A64,'Fleet register'!$A$7:$S$106,16,FALSE)),ISNUMBER('Replacement plan'!$W$21),ISNUMBER('Replacement plan'!$X$21),OR(E64=120,AND(ISNUMBER(G64),G64&gt;=0)),ISNUMBER(H64),H64&gt;=0,OR(D64&lt;&gt;"EV",E64=120,AND(ISNUMBER('Operating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average",ISNUMBER(IFERROR(INDEX(Products!$P$7:$P$13,MATCH(AD64,Products!$A$7:$A$13,0)),"")))),ISNUMBER('Operating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plan'!$Y$21),ISNUMBER('Replacement plan'!$Z$21),'Replacement plan'!$Z$21&gt;=0,ISNUMBER('Replacement plan'!$AA$21),'Replacement plan'!$AA$21&gt;=0,'Replacement plan'!$AA$21=INT('Replacement plan'!$AA$21),ISNUMBER('Replacement plan'!$L$21))),'Operating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plan'!$AG$21="",'Operating costs'!$B$7,'Replacement plan'!$AG$21)),IF('Replacement plan'!$AG$21="",'Operating costs'!$B$7,'Replacement plan'!$AG$21)&gt;=0,ISNUMBER(IF('Replacement plan'!$AH$21="",'Operating costs'!$B$7,'Replacement plan'!$AH$21)),IF('Replacement plan'!$AH$21="",'Operating costs'!$B$7,'Replacement plan'!$AH$21)&gt;=0,'Operating costs'!$B$8&gt;MAX(IF('Replacement plan'!$AG$21="",'Operating costs'!$B$7,'Replacement plan'!$AG$21),IF('Replacement plan'!$AH$21="",'Operating costs'!$B$7,'Replacement plan'!$AH$21))*'Operating costs'!$B$9),IF(AND(VLOOKUP($A64,'Fleet register'!$A$7:$S$106,10,FALSE)&gt;=0,VLOOKUP($A64,'Fleet register'!$A$7:$S$106,10,FALSE)&lt;=120,VLOOKUP($A64,'Fleet register'!$A$7:$S$106,10,FALSE)=INT(VLOOKUP($A64,'Fleet register'!$A$7:$S$106,10,FALSE)),VLOOKUP($A64,'Fleet register'!$A$7:$S$106,15,FALSE)&gt;=0,VLOOKUP($A64,'Fleet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costs'!$B$67)&gt;=0,OR(D64&lt;&gt;"EV",E64=120,AND(MIN('Operating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64" s="1" t="str">
        <f>IF(C64=0,"Excluded",IF(P64&lt;&gt;"Complete",P64,IF(OR('Replacement plan'!$AD$21&lt;120-E64,AND(D64="EV",E64&lt;120,OR('Replacement plan'!$AC$21&lt;120-E64,'Replacement plan'!$I$21="No",AND(ISNUMBER(AF64),AE64&gt;AF64),AI64&gt;V64*(1-'Operating costs'!$B$46)^MAX(0,AB64-1)*(1-'Operating costs'!$B$45),AC64&gt;'Operating costs'!$B$18,AND(T64&lt;1,OR(AG64&lt;=0,AND(ISNUMBER(AH64),AG64&gt;AH64))),'Replacement plan'!$L$21&gt;INDEX(Products!$H$7:$H$13,MATCH('Replacement plan'!$B$21,Products!$A$7:$A$13,0))))),"Fails entered limits",IF(AND(D64="EV",E64&lt;120,OR(NOT(ISNUMBER(VLOOKUP($A64,'Fleet register'!$A$7:$S$106,7,FALSE))),NOT(ISNUMBER(VLOOKUP($A64,'Fleet register'!$A$7:$S$106,8,FALSE))),NOT(ISNUMBER(AF64)),'Replacement plan'!$I$21&lt;&gt;"Yes",NOT(ISNUMBER(AH64)),'Operating costs'!$B$59&lt;&gt;"Yes",'Operating costs'!$B$58&lt;&gt;"Yes")),"Unverified","Within entered limits"))))</f>
        <v>Excluded</v>
      </c>
      <c r="R64" s="1">
        <f>IF(C64=0,0,VLOOKUP($A64,'Fleet register'!$A$7:$S$106,6,FALSE))</f>
        <v>0</v>
      </c>
      <c r="S64" s="1">
        <f>IF(C64=0,0,VLOOKUP($A64,'Fleet register'!$A$7:$S$106,5,FALSE))</f>
        <v>0</v>
      </c>
      <c r="T64" s="1">
        <f>IF(D64="EV",'Energy and charging'!$B$12,0)</f>
        <v>0</v>
      </c>
      <c r="U64" s="1">
        <f>IFERROR(IF(C64=0,0,IF(D64="EV",IF('Replacement plan'!$F$21="",INDEX(Products!$E$7:$E$13,MATCH('Replacement plan'!$B$21,Products!$A$7:$A$13,0)),'Replacement plan'!$F$21)/IF('Replacement plan'!$G$21="Battery",1-'Operating costs'!$B$44,1),0)),"n.a.")</f>
        <v>0</v>
      </c>
      <c r="V64" s="1">
        <f>IFERROR(IF(C64=0,0,IF(D64="EV",IF('Replacement plan'!$E$21="",INDEX(Products!$D$7:$D$13,MATCH('Replacement plan'!$B$21,Products!$A$7:$A$13,0)),'Replacement plan'!$E$21),0)),"n.a.")</f>
        <v>0</v>
      </c>
      <c r="W64" s="1">
        <f>IF(C64=0,0,IF(AND(P64="Complete",D64="EV",E64&lt;120),IF(T64=0,0,ROUNDUP(T64*(R64-'Operating costs'!$B$41)*(S64*U64+'Operating costs'!$B$48/(1-'Operating costs'!$B$44))/(V64*'Operating costs'!$B$47/(1-'Operating costs'!$B$44)-T64*'Operating costs'!$B$12*U64),0)),0))</f>
        <v>0</v>
      </c>
      <c r="X64" s="1">
        <f>IF(C64=0,0,IF(AND(P64="Complete",D64="EV",E64&lt;120),(R64-'Operating costs'!$B$41)*(S64*U64+'Operating costs'!$B$48/(1-'Operating costs'!$B$44))+W64*'Operating costs'!$B$12*U64,0))</f>
        <v>0</v>
      </c>
      <c r="Y64" s="1">
        <f>IF(AND(C64=1,D64="EV",E64&lt;120),AI64/(1-'Operating costs'!$B$44)*(1-T64),0)</f>
        <v>0</v>
      </c>
      <c r="Z64" s="1">
        <f t="shared" si="0"/>
        <v>0</v>
      </c>
      <c r="AA64" s="1">
        <f>IF(C64=0,0,IF(P64="Complete",((S64*(R64-'Operating costs'!$B$40))+ROUNDUP(S64*(R64-'Operating costs'!$B$40)*IF('Replacement plan'!$AH$21="",'Operating costs'!$B$7,'Replacement plan'!$AH$21)/('Operating costs'!$B$8-'Operating costs'!$B$9*IF('Replacement plan'!$AH$21="",'Operating costs'!$B$7,'Replacement plan'!$AH$21)),0)*'Operating costs'!$B$9)*IF('Replacement plan'!$AH$21="",'Operating costs'!$B$7,'Replacement plan'!$AH$21),"n.a."))</f>
        <v>0</v>
      </c>
      <c r="AB64" s="1">
        <f t="shared" si="1"/>
        <v>0</v>
      </c>
      <c r="AC64" s="1">
        <f>IF(AND(C64=1,D64="EV",E64&lt;120,T64&gt;0),'Operating costs'!$B$12/'Operating costs'!$B$11*60+'Operating costs'!$B$13+'Operating costs'!$B$14+V64*'Operating costs'!$B$47/(1-'Operating costs'!$B$44)/'Replacement plan'!$L$21*60,0)</f>
        <v>0</v>
      </c>
      <c r="AD64" s="1" t="str">
        <f>'Replacement plan'!$B$21</f>
        <v>ChengLong L2EV</v>
      </c>
      <c r="AE64" s="1">
        <f>IF(C64=0,0,VLOOKUP($A64,'Fleet register'!$A$7:$S$106,8,FALSE))</f>
        <v>0</v>
      </c>
      <c r="AF64" s="1" t="str">
        <f>IF('Replacement plan'!$H$21="","n.a.",'Replacement plan'!$H$21)</f>
        <v>n.a.</v>
      </c>
      <c r="AG64" s="1">
        <f>'Replacement plan'!$J$21</f>
        <v>22</v>
      </c>
      <c r="AH64" s="1">
        <f>IFERROR(IF(D64="EV",IF('Replacement plan'!$K$21="AC",IF(ISNUMBER(INDEX(Products!$G$7:$G$13,MATCH('Replacement plan'!$B$21,Products!$A$7:$A$13,0))),INDEX(Products!$G$7:$G$13,MATCH('Replacement plan'!$B$21,Products!$A$7:$A$13,0)),"n.a."),IF(ISNUMBER(INDEX(Products!$H$7:$H$13,MATCH('Replacement plan'!$B$21,Products!$A$7:$A$13,0))),INDEX(Products!$H$7:$H$13,MATCH('Replacement plan'!$B$21,Products!$A$7:$A$13,0)),"n.a.")),0),"n.a.")</f>
        <v>0</v>
      </c>
      <c r="AI64" s="1">
        <f>IF(AND(C64=1,D64="EV",E64&lt;120),(VLOOKUP($A64,'Fleet register'!$A$7:$S$106,7,FALSE)+IF(T64&gt;0,'Operating costs'!$B$12,0))*U64*(1-'Operating costs'!$B$44)+'Operating costs'!$B$49,0)</f>
        <v>0</v>
      </c>
      <c r="AJ64" s="1">
        <f>IF(D64="EV",'Energy and charging'!$B$50,0)</f>
        <v>0</v>
      </c>
      <c r="AK64" s="17">
        <f>EDATE('Operating costs'!$B$63,E64)</f>
        <v>46298</v>
      </c>
      <c r="AL64" s="1">
        <f>IFERROR(IF(D64="EV",INDEX(Products!$B$7:$B$13,MATCH('Replacement plan'!$B$21,Products!$A$7:$A$13,0)),0),"n.a.")</f>
        <v>0</v>
      </c>
      <c r="AM64" s="1" t="str">
        <f>'Replacement plan'!$K$21</f>
        <v>DC</v>
      </c>
      <c r="AN64" s="1" t="str">
        <f>'Replacement plan'!$AE$21</f>
        <v>Assumed</v>
      </c>
      <c r="AO64" s="47">
        <f>IF(AND(C64=1,D64="EV",E64&lt;120),(R64-'Operating costs'!$B$41)*S64+W64*'Operating costs'!$B$12,0)</f>
        <v>0</v>
      </c>
      <c r="AP64" s="41">
        <f>IF(AND(C64=1,D64="EV",E64&lt;120),IF('Operating costs'!$B$68="Hong Seh 200k average",AO64*IFERROR(INDEX(Products!$P$7:$P$13,MATCH(AD64,Products!$A$7:$A$13,0)),"n.a."),'Operating costs'!$B$26),0)</f>
        <v>0</v>
      </c>
      <c r="AQ64" s="40" t="str">
        <f>IF(D64="EV",'Operating costs'!$B$68,"Not applicable")</f>
        <v>Not applicable</v>
      </c>
    </row>
    <row r="65" spans="1:43" ht="24" customHeight="1">
      <c r="A65" s="1" t="str">
        <f>'Replacement plan'!A21</f>
        <v>T015</v>
      </c>
      <c r="B65" s="1">
        <v>2</v>
      </c>
      <c r="C65" s="1">
        <f>IF(COUNTIFS('Fleet register'!$A$7:$A$106,$A65)=1,VLOOKUP($A65,'Fleet register'!$A$7:$S$106,2,FALSE),0)</f>
        <v>0</v>
      </c>
      <c r="D65" s="1" t="str">
        <f>IF('Replacement plan'!$O$21="EV","EV","ICE")</f>
        <v>ICE</v>
      </c>
      <c r="E65" s="1">
        <f>IF(C65=0,0,IF('Replacement plan'!$P$21="",IF('Replacement plan'!$O$21="Keep ICE",IF('Replacement plan'!$M$21="",VLOOKUP($A65,'Fleet register'!$A$7:$S$106,10,FALSE),'Replacement plan'!$M$21),0),'Replacement plan'!$P$21))</f>
        <v>0</v>
      </c>
      <c r="F65" s="16">
        <f>IF(C65=0,0,VLOOKUP($A65,'Fleet register'!$A$7:$S$106,11,FALSE))</f>
        <v>0</v>
      </c>
      <c r="G65" s="16">
        <f>IFERROR(IF(C65=0,0,IF(E65=120,0,IF(D65="ICE",'Replacement plan'!$C$21,IF('Replacement plan'!$D$21="",INDEX(Products!$I$7:$I$13,MATCH('Replacement plan'!$B$21,Products!$A$7:$A$13,0))+'Operating costs'!$B$57,'Replacement plan'!$D$21))*(1+'Operating costs'!$B$50)^(E65/12))),"n.a.")</f>
        <v>0</v>
      </c>
      <c r="H65" s="16">
        <f>IFERROR(IF(C65=0,0,IF('Replacement plan'!$U$21&lt;&gt;"",'Replacement plan'!$U$21,IF(E65=0,F65,VLOOKUP($A65,'Fleet register'!$A$7:$S$106,12,FALSE)+VLOOKUP($A65,'Fleet register'!$A$7:$S$106,13,FALSE)*MAX(0,VLOOKUP($A65,'Fleet register'!$A$7:$S$106,10,FALSE)-E65)/VLOOKUP($A65,'Fleet register'!$A$7:$S$106,14,FALSE)))),"n.a.")</f>
        <v>0</v>
      </c>
      <c r="I65" s="16">
        <f>IF(C65=0,0,IF(E65=120,0,'Replacement plan'!$Q$21))</f>
        <v>0</v>
      </c>
      <c r="J65" s="16">
        <f>IF(C65=0,0,IF(P65="Complete",((S65*(R65-'Operating costs'!$B$39))+ROUNDUP(S65*(R65-'Operating costs'!$B$39)*IF('Replacement plan'!$AG$21="",'Operating costs'!$B$7,'Replacement plan'!$AG$21)/('Operating costs'!$B$8-'Operating costs'!$B$9*IF('Replacement plan'!$AG$21="",'Operating costs'!$B$7,'Replacement plan'!$AG$21)),0)*'Operating costs'!$B$9)*IF('Replacement plan'!$AG$21="",'Operating costs'!$B$7,'Replacement plan'!$AG$21)*('Energy and charging'!$B$9*'Energy and charging'!$B$7+(1-'Energy and charging'!$B$9)*'Energy and charging'!$B$8)*'Operating costs'!$B$23,"n.a."))</f>
        <v>0</v>
      </c>
      <c r="K65" s="16">
        <f>IF(C65=0,0,IF(P65="Complete",SUM('Operating costs'!$B$24,'Operating costs'!$B$27,'Operating costs'!$B$29,'Operating costs'!$B$31,'Operating costs'!$B$33,'Operating costs'!$B$34,'Operating costs'!$B$37,'Replacement plan'!$W$21)+'Operating costs'!$B$39*'Operating costs'!$B$42+ROUNDUP(S65*(R65-'Operating costs'!$B$39)*IF('Replacement plan'!$AG$21="",'Operating costs'!$B$7,'Replacement plan'!$AG$21)/('Operating costs'!$B$8-'Operating costs'!$B$9*IF('Replacement plan'!$AG$21="",'Operating costs'!$B$7,'Replacement plan'!$AG$21)),0)*('Operating costs'!$B$9/'Operating costs'!$B$11+'Operating costs'!$B$10/60)*'Operating costs'!$B$19*'Operating costs'!$B$21,"n.a."))</f>
        <v>0</v>
      </c>
      <c r="L65" s="16">
        <f>IF(C65=0,0,IF(P65="Complete",IF(D65="EV",X65*((1-T65)*'Energy and charging'!$B$10+T65*'Energy and charging'!$B$11)*'Operating costs'!$B$22,AA65*('Energy and charging'!$B$9*'Energy and charging'!$B$7+(1-'Energy and charging'!$B$9)*'Energy and charging'!$B$8)*'Operating costs'!$B$23),"n.a."))</f>
        <v>0</v>
      </c>
      <c r="M65" s="37">
        <f>IF(C65=0,0,IF(P65="Complete",IF(D65="ICE",SUM('Operating costs'!$B$25,'Operating costs'!$B$27,'Operating costs'!$B$29,'Operating costs'!$B$31,'Operating costs'!$B$33,'Operating costs'!$B$35,'Operating costs'!$B$37,'Replacement plan'!$X$21)+'Operating costs'!$B$40*'Operating costs'!$B$42+ROUNDUP(S65*(R65-'Operating costs'!$B$40)*IF('Replacement plan'!$AH$21="",'Operating costs'!$B$7,'Replacement plan'!$AH$21)/('Operating costs'!$B$8-'Operating costs'!$B$9*IF('Replacement plan'!$AH$21="",'Operating costs'!$B$7,'Replacement plan'!$AH$21)),0)*('Operating costs'!$B$9/'Operating costs'!$B$11+'Operating costs'!$B$10/60)*'Operating costs'!$B$19*'Operating costs'!$B$21,SUM(AP65,'Operating costs'!$B$28,'Operating costs'!$B$30,'Operating costs'!$B$32,'Operating costs'!$B$33,'Operating costs'!$B$36,'Operating costs'!$B$38,'Replacement plan'!$Y$21)+'Operating costs'!$B$41*'Operating costs'!$B$43+W65*'Operating costs'!$B$15+(T65*X65/'Replacement plan'!$L$21+W65*('Operating costs'!$B$12/'Operating costs'!$B$11+('Operating costs'!$B$13+'Operating costs'!$B$14)/60)+(R65-'Operating costs'!$B$41)*(IF(T65&lt;1,'Operating costs'!$B$16,0)+'Operating costs'!$B$17)/60)*'Operating costs'!$B$19*'Operating costs'!$B$20),"n.a."))</f>
        <v>0</v>
      </c>
      <c r="N65" s="16">
        <f>IF(AND(C65=1,D65="EV",E65&lt;120,E65+'Replacement plan'!$AA$21&lt;=120),'Replacement plan'!$Z$21,0)</f>
        <v>0</v>
      </c>
      <c r="O65" s="1">
        <f>E65+'Replacement plan'!$AA$21</f>
        <v>0</v>
      </c>
      <c r="P65" s="35" t="str">
        <f>IFERROR(IF(C65=0,"Excluded",IF(OR(COUNTIFS('Fleet register'!$A$7:$A$106,A65)&lt;&gt;1,COUNTIFS('Replacement plan'!$A$7:$A$106,A65)&lt;&gt;1),"Duplicate/missing ID",IF(NOT(AND(ISNUMBER(VLOOKUP($A65,'Fleet register'!$A$7:$S$106,5,FALSE)),ISNUMBER(VLOOKUP($A65,'Fleet register'!$A$7:$S$106,6,FALSE)),ISNUMBER(VLOOKUP($A65,'Fleet register'!$A$7:$S$106,10,FALSE)),ISNUMBER(VLOOKUP($A65,'Fleet register'!$A$7:$S$106,11,FALSE)),ISNUMBER(VLOOKUP($A65,'Fleet register'!$A$7:$S$106,12,FALSE)),ISNUMBER(VLOOKUP($A65,'Fleet register'!$A$7:$S$106,13,FALSE)),ISNUMBER(VLOOKUP($A65,'Fleet register'!$A$7:$S$106,14,FALSE)),VLOOKUP($A65,'Fleet register'!$A$7:$S$106,14,FALSE)&gt;0,ISNUMBER('Replacement plan'!$C$21),OR(E65=120,ISNUMBER('Replacement plan'!$Q$21)),ISNUMBER(E65))),"Missing vehicle input",IF(OR(E65&lt;0,E65&gt;VLOOKUP($A65,'Fleet register'!$A$7:$S$106,10,FALSE),E65&gt;120,E65&lt;&gt;INT(E65),VLOOKUP($A65,'Fleet register'!$A$7:$S$106,6,FALSE)&lt;=0,VLOOKUP($A65,'Fleet register'!$A$7:$S$106,6,FALSE)&gt;366,VLOOKUP($A65,'Fleet register'!$A$7:$S$106,5,FALSE)&lt;0,VLOOKUP($A65,'Fleet register'!$A$7:$S$106,11,FALSE)&lt;0,I65&lt;0,'Operating costs'!$B$8&lt;='Operating costs'!$B$7*'Operating costs'!$B$9,'Operating costs'!$B$11&lt;=0,'Operating costs'!$B$39&gt;R65,'Operating costs'!$B$40&gt;R65,'Operating costs'!$B$41&gt;R65,NOT(OR('Replacement plan'!$O$21="Keep ICE",'Replacement plan'!$O$21="New ICE",'Replacement plan'!$O$21="EV"))),"Invalid vehicle input",IF(AND(D65="EV",E65&lt;120,OR(NOT(ISNUMBER(U65)),NOT(ISNUMBER(V65)),V65&lt;=0,T65&lt;0,T65&gt;1,'Replacement plan'!$L$21&lt;=0,'Operating costs'!$B$44&lt;0,'Operating costs'!$B$44&gt;=1,'Operating costs'!$B$47&lt;=0,'Operating costs'!$B$47&gt;1,V65*'Operating costs'!$B$47/(1-'Operating costs'!$B$44)&lt;=T65*'Operating costs'!$B$12*U65,AND('Replacement plan'!$Z$21&gt;0,OR('Replacement plan'!$AB$21&lt;&gt;"Yes",'Operating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charging'!$B$8&gt;=0))),ISNUMBER(VLOOKUP($A65,'Fleet register'!$A$7:$S$106,15,FALSE)),ISNUMBER(VLOOKUP($A65,'Fleet register'!$A$7:$S$106,16,FALSE)),ISNUMBER('Replacement plan'!$W$21),ISNUMBER('Replacement plan'!$X$21),OR(E65=120,AND(ISNUMBER(G65),G65&gt;=0)),ISNUMBER(H65),H65&gt;=0,OR(D65&lt;&gt;"EV",E65=120,AND(ISNUMBER('Operating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average",ISNUMBER(IFERROR(INDEX(Products!$P$7:$P$13,MATCH(AD65,Products!$A$7:$A$13,0)),"")))),ISNUMBER('Operating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plan'!$Y$21),ISNUMBER('Replacement plan'!$Z$21),'Replacement plan'!$Z$21&gt;=0,ISNUMBER('Replacement plan'!$AA$21),'Replacement plan'!$AA$21&gt;=0,'Replacement plan'!$AA$21=INT('Replacement plan'!$AA$21),ISNUMBER('Replacement plan'!$L$21))),'Operating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plan'!$AG$21="",'Operating costs'!$B$7,'Replacement plan'!$AG$21)),IF('Replacement plan'!$AG$21="",'Operating costs'!$B$7,'Replacement plan'!$AG$21)&gt;=0,ISNUMBER(IF('Replacement plan'!$AH$21="",'Operating costs'!$B$7,'Replacement plan'!$AH$21)),IF('Replacement plan'!$AH$21="",'Operating costs'!$B$7,'Replacement plan'!$AH$21)&gt;=0,'Operating costs'!$B$8&gt;MAX(IF('Replacement plan'!$AG$21="",'Operating costs'!$B$7,'Replacement plan'!$AG$21),IF('Replacement plan'!$AH$21="",'Operating costs'!$B$7,'Replacement plan'!$AH$21))*'Operating costs'!$B$9),IF(AND(VLOOKUP($A65,'Fleet register'!$A$7:$S$106,10,FALSE)&gt;=0,VLOOKUP($A65,'Fleet register'!$A$7:$S$106,10,FALSE)&lt;=120,VLOOKUP($A65,'Fleet register'!$A$7:$S$106,10,FALSE)=INT(VLOOKUP($A65,'Fleet register'!$A$7:$S$106,10,FALSE)),VLOOKUP($A65,'Fleet register'!$A$7:$S$106,15,FALSE)&gt;=0,VLOOKUP($A65,'Fleet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costs'!$B$67)&gt;=0,OR(D65&lt;&gt;"EV",E65=120,AND(MIN('Operating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65" s="1" t="str">
        <f>IF(C65=0,"Excluded",IF(P65&lt;&gt;"Complete",P65,IF(OR('Replacement plan'!$AD$21&lt;120-E65,AND(D65="EV",E65&lt;120,OR('Replacement plan'!$AC$21&lt;120-E65,'Replacement plan'!$I$21="No",AND(ISNUMBER(AF65),AE65&gt;AF65),AI65&gt;V65*(1-'Operating costs'!$B$46)^MAX(0,AB65-1)*(1-'Operating costs'!$B$45),AC65&gt;'Operating costs'!$B$18,AND(T65&lt;1,OR(AG65&lt;=0,AND(ISNUMBER(AH65),AG65&gt;AH65))),'Replacement plan'!$L$21&gt;INDEX(Products!$H$7:$H$13,MATCH('Replacement plan'!$B$21,Products!$A$7:$A$13,0))))),"Fails entered limits",IF(AND(D65="EV",E65&lt;120,OR(NOT(ISNUMBER(VLOOKUP($A65,'Fleet register'!$A$7:$S$106,7,FALSE))),NOT(ISNUMBER(VLOOKUP($A65,'Fleet register'!$A$7:$S$106,8,FALSE))),NOT(ISNUMBER(AF65)),'Replacement plan'!$I$21&lt;&gt;"Yes",NOT(ISNUMBER(AH65)),'Operating costs'!$B$59&lt;&gt;"Yes",'Operating costs'!$B$58&lt;&gt;"Yes")),"Unverified","Within entered limits"))))</f>
        <v>Excluded</v>
      </c>
      <c r="R65" s="1">
        <f>IF(C65=0,0,VLOOKUP($A65,'Fleet register'!$A$7:$S$106,6,FALSE))</f>
        <v>0</v>
      </c>
      <c r="S65" s="1">
        <f>IF(C65=0,0,VLOOKUP($A65,'Fleet register'!$A$7:$S$106,5,FALSE))</f>
        <v>0</v>
      </c>
      <c r="T65" s="1">
        <f>IF(D65="EV",'Energy and charging'!$B$12,0)</f>
        <v>0</v>
      </c>
      <c r="U65" s="1">
        <f>IFERROR(IF(C65=0,0,IF(D65="EV",IF('Replacement plan'!$F$21="",INDEX(Products!$E$7:$E$13,MATCH('Replacement plan'!$B$21,Products!$A$7:$A$13,0)),'Replacement plan'!$F$21)/IF('Replacement plan'!$G$21="Battery",1-'Operating costs'!$B$44,1),0)),"n.a.")</f>
        <v>0</v>
      </c>
      <c r="V65" s="1">
        <f>IFERROR(IF(C65=0,0,IF(D65="EV",IF('Replacement plan'!$E$21="",INDEX(Products!$D$7:$D$13,MATCH('Replacement plan'!$B$21,Products!$A$7:$A$13,0)),'Replacement plan'!$E$21),0)),"n.a.")</f>
        <v>0</v>
      </c>
      <c r="W65" s="1">
        <f>IF(C65=0,0,IF(AND(P65="Complete",D65="EV",E65&lt;120),IF(T65=0,0,ROUNDUP(T65*(R65-'Operating costs'!$B$41)*(S65*U65+'Operating costs'!$B$48/(1-'Operating costs'!$B$44))/(V65*'Operating costs'!$B$47/(1-'Operating costs'!$B$44)-T65*'Operating costs'!$B$12*U65),0)),0))</f>
        <v>0</v>
      </c>
      <c r="X65" s="1">
        <f>IF(C65=0,0,IF(AND(P65="Complete",D65="EV",E65&lt;120),(R65-'Operating costs'!$B$41)*(S65*U65+'Operating costs'!$B$48/(1-'Operating costs'!$B$44))+W65*'Operating costs'!$B$12*U65,0))</f>
        <v>0</v>
      </c>
      <c r="Y65" s="1">
        <f>IF(AND(C65=1,D65="EV",E65&lt;120),AI65/(1-'Operating costs'!$B$44)*(1-T65),0)</f>
        <v>0</v>
      </c>
      <c r="Z65" s="1">
        <f t="shared" si="0"/>
        <v>0</v>
      </c>
      <c r="AA65" s="1">
        <f>IF(C65=0,0,IF(P65="Complete",((S65*(R65-'Operating costs'!$B$40))+ROUNDUP(S65*(R65-'Operating costs'!$B$40)*IF('Replacement plan'!$AH$21="",'Operating costs'!$B$7,'Replacement plan'!$AH$21)/('Operating costs'!$B$8-'Operating costs'!$B$9*IF('Replacement plan'!$AH$21="",'Operating costs'!$B$7,'Replacement plan'!$AH$21)),0)*'Operating costs'!$B$9)*IF('Replacement plan'!$AH$21="",'Operating costs'!$B$7,'Replacement plan'!$AH$21),"n.a."))</f>
        <v>0</v>
      </c>
      <c r="AB65" s="1">
        <f t="shared" si="1"/>
        <v>0</v>
      </c>
      <c r="AC65" s="1">
        <f>IF(AND(C65=1,D65="EV",E65&lt;120,T65&gt;0),'Operating costs'!$B$12/'Operating costs'!$B$11*60+'Operating costs'!$B$13+'Operating costs'!$B$14+V65*'Operating costs'!$B$47/(1-'Operating costs'!$B$44)/'Replacement plan'!$L$21*60,0)</f>
        <v>0</v>
      </c>
      <c r="AD65" s="1" t="str">
        <f>'Replacement plan'!$B$21</f>
        <v>ChengLong L2EV</v>
      </c>
      <c r="AE65" s="1">
        <f>IF(C65=0,0,VLOOKUP($A65,'Fleet register'!$A$7:$S$106,8,FALSE))</f>
        <v>0</v>
      </c>
      <c r="AF65" s="1" t="str">
        <f>IF('Replacement plan'!$H$21="","n.a.",'Replacement plan'!$H$21)</f>
        <v>n.a.</v>
      </c>
      <c r="AG65" s="1">
        <f>'Replacement plan'!$J$21</f>
        <v>22</v>
      </c>
      <c r="AH65" s="1">
        <f>IFERROR(IF(D65="EV",IF('Replacement plan'!$K$21="AC",IF(ISNUMBER(INDEX(Products!$G$7:$G$13,MATCH('Replacement plan'!$B$21,Products!$A$7:$A$13,0))),INDEX(Products!$G$7:$G$13,MATCH('Replacement plan'!$B$21,Products!$A$7:$A$13,0)),"n.a."),IF(ISNUMBER(INDEX(Products!$H$7:$H$13,MATCH('Replacement plan'!$B$21,Products!$A$7:$A$13,0))),INDEX(Products!$H$7:$H$13,MATCH('Replacement plan'!$B$21,Products!$A$7:$A$13,0)),"n.a.")),0),"n.a.")</f>
        <v>0</v>
      </c>
      <c r="AI65" s="1">
        <f>IF(AND(C65=1,D65="EV",E65&lt;120),(VLOOKUP($A65,'Fleet register'!$A$7:$S$106,7,FALSE)+IF(T65&gt;0,'Operating costs'!$B$12,0))*U65*(1-'Operating costs'!$B$44)+'Operating costs'!$B$49,0)</f>
        <v>0</v>
      </c>
      <c r="AJ65" s="1">
        <f>IF(D65="EV",'Energy and charging'!$B$50,0)</f>
        <v>0</v>
      </c>
      <c r="AK65" s="17">
        <f>EDATE('Operating costs'!$B$63,E65)</f>
        <v>46298</v>
      </c>
      <c r="AL65" s="1">
        <f>IFERROR(IF(D65="EV",INDEX(Products!$B$7:$B$13,MATCH('Replacement plan'!$B$21,Products!$A$7:$A$13,0)),0),"n.a.")</f>
        <v>0</v>
      </c>
      <c r="AM65" s="1" t="str">
        <f>'Replacement plan'!$K$21</f>
        <v>DC</v>
      </c>
      <c r="AN65" s="1" t="str">
        <f>'Replacement plan'!$AE$21</f>
        <v>Assumed</v>
      </c>
      <c r="AO65" s="47">
        <f>IF(AND(C65=1,D65="EV",E65&lt;120),(R65-'Operating costs'!$B$41)*S65+W65*'Operating costs'!$B$12,0)</f>
        <v>0</v>
      </c>
      <c r="AP65" s="41">
        <f>IF(AND(C65=1,D65="EV",E65&lt;120),IF('Operating costs'!$B$68="Hong Seh 200k average",AO65*IFERROR(INDEX(Products!$P$7:$P$13,MATCH(AD65,Products!$A$7:$A$13,0)),"n.a."),'Operating costs'!$B$26),0)</f>
        <v>0</v>
      </c>
      <c r="AQ65" s="40" t="str">
        <f>IF(D65="EV",'Operating costs'!$B$68,"Not applicable")</f>
        <v>Not applicable</v>
      </c>
    </row>
    <row r="66" spans="1:43" ht="24" customHeight="1">
      <c r="A66" s="1" t="str">
        <f>'Replacement plan'!A21</f>
        <v>T015</v>
      </c>
      <c r="B66" s="1">
        <v>3</v>
      </c>
      <c r="C66" s="1">
        <f>IF(COUNTIFS('Fleet register'!$A$7:$A$106,$A66)=1,VLOOKUP($A66,'Fleet register'!$A$7:$S$106,2,FALSE),0)</f>
        <v>0</v>
      </c>
      <c r="D66" s="1" t="str">
        <f>IF('Replacement plan'!$R$21="EV","EV","ICE")</f>
        <v>ICE</v>
      </c>
      <c r="E66" s="1">
        <f>IF(C66=0,0,IF('Replacement plan'!$S$21="",IF('Replacement plan'!$R$21="Keep ICE",IF('Replacement plan'!$M$21="",VLOOKUP($A66,'Fleet register'!$A$7:$S$106,10,FALSE),'Replacement plan'!$M$21),0),'Replacement plan'!$S$21))</f>
        <v>0</v>
      </c>
      <c r="F66" s="16">
        <f>IF(C66=0,0,VLOOKUP($A66,'Fleet register'!$A$7:$S$106,11,FALSE))</f>
        <v>0</v>
      </c>
      <c r="G66" s="16">
        <f>IFERROR(IF(C66=0,0,IF(E66=120,0,IF(D66="ICE",'Replacement plan'!$C$21,IF('Replacement plan'!$D$21="",INDEX(Products!$I$7:$I$13,MATCH('Replacement plan'!$B$21,Products!$A$7:$A$13,0))+'Operating costs'!$B$57,'Replacement plan'!$D$21))*(1+'Operating costs'!$B$50)^(E66/12))),"n.a.")</f>
        <v>0</v>
      </c>
      <c r="H66" s="16">
        <f>IFERROR(IF(C66=0,0,IF('Replacement plan'!$V$21&lt;&gt;"",'Replacement plan'!$V$21,IF(E66=0,F66,VLOOKUP($A66,'Fleet register'!$A$7:$S$106,12,FALSE)+VLOOKUP($A66,'Fleet register'!$A$7:$S$106,13,FALSE)*MAX(0,VLOOKUP($A66,'Fleet register'!$A$7:$S$106,10,FALSE)-E66)/VLOOKUP($A66,'Fleet register'!$A$7:$S$106,14,FALSE)))),"n.a.")</f>
        <v>0</v>
      </c>
      <c r="I66" s="16">
        <f>IF(C66=0,0,IF(E66=120,0,'Replacement plan'!$T$21))</f>
        <v>0</v>
      </c>
      <c r="J66" s="16">
        <f>IF(C66=0,0,IF(P66="Complete",((S66*(R66-'Operating costs'!$B$39))+ROUNDUP(S66*(R66-'Operating costs'!$B$39)*IF('Replacement plan'!$AG$21="",'Operating costs'!$B$7,'Replacement plan'!$AG$21)/('Operating costs'!$B$8-'Operating costs'!$B$9*IF('Replacement plan'!$AG$21="",'Operating costs'!$B$7,'Replacement plan'!$AG$21)),0)*'Operating costs'!$B$9)*IF('Replacement plan'!$AG$21="",'Operating costs'!$B$7,'Replacement plan'!$AG$21)*('Energy and charging'!$C$9*'Energy and charging'!$C$7+(1-'Energy and charging'!$C$9)*'Energy and charging'!$C$8)*'Operating costs'!$B$23,"n.a."))</f>
        <v>0</v>
      </c>
      <c r="K66" s="16">
        <f>IF(C66=0,0,IF(P66="Complete",SUM('Operating costs'!$B$24,'Operating costs'!$B$27,'Operating costs'!$B$29,'Operating costs'!$B$31,'Operating costs'!$B$33,'Operating costs'!$B$34,'Operating costs'!$B$37,'Replacement plan'!$W$21)+'Operating costs'!$B$39*'Operating costs'!$B$42+ROUNDUP(S66*(R66-'Operating costs'!$B$39)*IF('Replacement plan'!$AG$21="",'Operating costs'!$B$7,'Replacement plan'!$AG$21)/('Operating costs'!$B$8-'Operating costs'!$B$9*IF('Replacement plan'!$AG$21="",'Operating costs'!$B$7,'Replacement plan'!$AG$21)),0)*('Operating costs'!$B$9/'Operating costs'!$B$11+'Operating costs'!$B$10/60)*'Operating costs'!$B$19*'Operating costs'!$B$21,"n.a."))</f>
        <v>0</v>
      </c>
      <c r="L66" s="16">
        <f>IF(C66=0,0,IF(P66="Complete",IF(D66="EV",X66*((1-T66)*'Energy and charging'!$C$10+T66*'Energy and charging'!$C$11)*'Operating costs'!$B$22,AA66*('Energy and charging'!$C$9*'Energy and charging'!$C$7+(1-'Energy and charging'!$C$9)*'Energy and charging'!$C$8)*'Operating costs'!$B$23),"n.a."))</f>
        <v>0</v>
      </c>
      <c r="M66" s="37">
        <f>IF(C66=0,0,IF(P66="Complete",IF(D66="ICE",SUM('Operating costs'!$B$25,'Operating costs'!$B$27,'Operating costs'!$B$29,'Operating costs'!$B$31,'Operating costs'!$B$33,'Operating costs'!$B$35,'Operating costs'!$B$37,'Replacement plan'!$X$21)+'Operating costs'!$B$40*'Operating costs'!$B$42+ROUNDUP(S66*(R66-'Operating costs'!$B$40)*IF('Replacement plan'!$AH$21="",'Operating costs'!$B$7,'Replacement plan'!$AH$21)/('Operating costs'!$B$8-'Operating costs'!$B$9*IF('Replacement plan'!$AH$21="",'Operating costs'!$B$7,'Replacement plan'!$AH$21)),0)*('Operating costs'!$B$9/'Operating costs'!$B$11+'Operating costs'!$B$10/60)*'Operating costs'!$B$19*'Operating costs'!$B$21,SUM(AP66,'Operating costs'!$B$28,'Operating costs'!$B$30,'Operating costs'!$B$32,'Operating costs'!$B$33,'Operating costs'!$B$36,'Operating costs'!$B$38,'Replacement plan'!$Y$21)+'Operating costs'!$B$41*'Operating costs'!$B$43+W66*'Operating costs'!$B$15+(T66*X66/'Replacement plan'!$L$21+W66*('Operating costs'!$B$12/'Operating costs'!$B$11+('Operating costs'!$B$13+'Operating costs'!$B$14)/60)+(R66-'Operating costs'!$B$41)*(IF(T66&lt;1,'Operating costs'!$B$16,0)+'Operating costs'!$B$17)/60)*'Operating costs'!$B$19*'Operating costs'!$B$20),"n.a."))</f>
        <v>0</v>
      </c>
      <c r="N66" s="16">
        <f>IF(AND(C66=1,D66="EV",E66&lt;120,E66+'Replacement plan'!$AA$21&lt;=120),'Replacement plan'!$Z$21,0)</f>
        <v>0</v>
      </c>
      <c r="O66" s="1">
        <f>E66+'Replacement plan'!$AA$21</f>
        <v>0</v>
      </c>
      <c r="P66" s="35" t="str">
        <f>IFERROR(IF(C66=0,"Excluded",IF(OR(COUNTIFS('Fleet register'!$A$7:$A$106,A66)&lt;&gt;1,COUNTIFS('Replacement plan'!$A$7:$A$106,A66)&lt;&gt;1),"Duplicate/missing ID",IF(NOT(AND(ISNUMBER(VLOOKUP($A66,'Fleet register'!$A$7:$S$106,5,FALSE)),ISNUMBER(VLOOKUP($A66,'Fleet register'!$A$7:$S$106,6,FALSE)),ISNUMBER(VLOOKUP($A66,'Fleet register'!$A$7:$S$106,10,FALSE)),ISNUMBER(VLOOKUP($A66,'Fleet register'!$A$7:$S$106,11,FALSE)),ISNUMBER(VLOOKUP($A66,'Fleet register'!$A$7:$S$106,12,FALSE)),ISNUMBER(VLOOKUP($A66,'Fleet register'!$A$7:$S$106,13,FALSE)),ISNUMBER(VLOOKUP($A66,'Fleet register'!$A$7:$S$106,14,FALSE)),VLOOKUP($A66,'Fleet register'!$A$7:$S$106,14,FALSE)&gt;0,ISNUMBER('Replacement plan'!$C$21),OR(E66=120,ISNUMBER('Replacement plan'!$T$21)),ISNUMBER(E66))),"Missing vehicle input",IF(OR(E66&lt;0,E66&gt;VLOOKUP($A66,'Fleet register'!$A$7:$S$106,10,FALSE),E66&gt;120,E66&lt;&gt;INT(E66),VLOOKUP($A66,'Fleet register'!$A$7:$S$106,6,FALSE)&lt;=0,VLOOKUP($A66,'Fleet register'!$A$7:$S$106,6,FALSE)&gt;366,VLOOKUP($A66,'Fleet register'!$A$7:$S$106,5,FALSE)&lt;0,VLOOKUP($A66,'Fleet register'!$A$7:$S$106,11,FALSE)&lt;0,I66&lt;0,'Operating costs'!$B$8&lt;='Operating costs'!$B$7*'Operating costs'!$B$9,'Operating costs'!$B$11&lt;=0,'Operating costs'!$B$39&gt;R66,'Operating costs'!$B$40&gt;R66,'Operating costs'!$B$41&gt;R66,NOT(OR('Replacement plan'!$R$21="Keep ICE",'Replacement plan'!$R$21="New ICE",'Replacement plan'!$R$21="EV"))),"Invalid vehicle input",IF(AND(D66="EV",E66&lt;120,OR(NOT(ISNUMBER(U66)),NOT(ISNUMBER(V66)),V66&lt;=0,T66&lt;0,T66&gt;1,'Replacement plan'!$L$21&lt;=0,'Operating costs'!$B$44&lt;0,'Operating costs'!$B$44&gt;=1,'Operating costs'!$B$47&lt;=0,'Operating costs'!$B$47&gt;1,V66*'Operating costs'!$B$47/(1-'Operating costs'!$B$44)&lt;=T66*'Operating costs'!$B$12*U66,AND('Replacement plan'!$Z$21&gt;0,OR('Replacement plan'!$AB$21&lt;&gt;"Yes",'Operating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charging'!$C$8&gt;=0))),ISNUMBER(VLOOKUP($A66,'Fleet register'!$A$7:$S$106,15,FALSE)),ISNUMBER(VLOOKUP($A66,'Fleet register'!$A$7:$S$106,16,FALSE)),ISNUMBER('Replacement plan'!$W$21),ISNUMBER('Replacement plan'!$X$21),OR(E66=120,AND(ISNUMBER(G66),G66&gt;=0)),ISNUMBER(H66),H66&gt;=0,OR(D66&lt;&gt;"EV",E66=120,AND(ISNUMBER('Operating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average",ISNUMBER(IFERROR(INDEX(Products!$P$7:$P$13,MATCH(AD66,Products!$A$7:$A$13,0)),"")))),ISNUMBER('Operating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plan'!$Y$21),ISNUMBER('Replacement plan'!$Z$21),'Replacement plan'!$Z$21&gt;=0,ISNUMBER('Replacement plan'!$AA$21),'Replacement plan'!$AA$21&gt;=0,'Replacement plan'!$AA$21=INT('Replacement plan'!$AA$21),ISNUMBER('Replacement plan'!$L$21))),'Operating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plan'!$AG$21="",'Operating costs'!$B$7,'Replacement plan'!$AG$21)),IF('Replacement plan'!$AG$21="",'Operating costs'!$B$7,'Replacement plan'!$AG$21)&gt;=0,ISNUMBER(IF('Replacement plan'!$AH$21="",'Operating costs'!$B$7,'Replacement plan'!$AH$21)),IF('Replacement plan'!$AH$21="",'Operating costs'!$B$7,'Replacement plan'!$AH$21)&gt;=0,'Operating costs'!$B$8&gt;MAX(IF('Replacement plan'!$AG$21="",'Operating costs'!$B$7,'Replacement plan'!$AG$21),IF('Replacement plan'!$AH$21="",'Operating costs'!$B$7,'Replacement plan'!$AH$21))*'Operating costs'!$B$9),IF(AND(VLOOKUP($A66,'Fleet register'!$A$7:$S$106,10,FALSE)&gt;=0,VLOOKUP($A66,'Fleet register'!$A$7:$S$106,10,FALSE)&lt;=120,VLOOKUP($A66,'Fleet register'!$A$7:$S$106,10,FALSE)=INT(VLOOKUP($A66,'Fleet register'!$A$7:$S$106,10,FALSE)),VLOOKUP($A66,'Fleet register'!$A$7:$S$106,15,FALSE)&gt;=0,VLOOKUP($A66,'Fleet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costs'!$B$67)&gt;=0,OR(D66&lt;&gt;"EV",E66=120,AND(MIN('Operating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66" s="1" t="str">
        <f>IF(C66=0,"Excluded",IF(P66&lt;&gt;"Complete",P66,IF(OR('Replacement plan'!$AD$21&lt;120-E66,AND(D66="EV",E66&lt;120,OR('Replacement plan'!$AC$21&lt;120-E66,'Replacement plan'!$I$21="No",AND(ISNUMBER(AF66),AE66&gt;AF66),AI66&gt;V66*(1-'Operating costs'!$B$46)^MAX(0,AB66-1)*(1-'Operating costs'!$B$45),AC66&gt;'Operating costs'!$B$18,AND(T66&lt;1,OR(AG66&lt;=0,AND(ISNUMBER(AH66),AG66&gt;AH66))),'Replacement plan'!$L$21&gt;INDEX(Products!$H$7:$H$13,MATCH('Replacement plan'!$B$21,Products!$A$7:$A$13,0))))),"Fails entered limits",IF(AND(D66="EV",E66&lt;120,OR(NOT(ISNUMBER(VLOOKUP($A66,'Fleet register'!$A$7:$S$106,7,FALSE))),NOT(ISNUMBER(VLOOKUP($A66,'Fleet register'!$A$7:$S$106,8,FALSE))),NOT(ISNUMBER(AF66)),'Replacement plan'!$I$21&lt;&gt;"Yes",NOT(ISNUMBER(AH66)),'Operating costs'!$B$59&lt;&gt;"Yes",'Operating costs'!$B$58&lt;&gt;"Yes")),"Unverified","Within entered limits"))))</f>
        <v>Excluded</v>
      </c>
      <c r="R66" s="1">
        <f>IF(C66=0,0,VLOOKUP($A66,'Fleet register'!$A$7:$S$106,6,FALSE))</f>
        <v>0</v>
      </c>
      <c r="S66" s="1">
        <f>IF(C66=0,0,VLOOKUP($A66,'Fleet register'!$A$7:$S$106,5,FALSE))</f>
        <v>0</v>
      </c>
      <c r="T66" s="1">
        <f>IF(D66="EV",'Energy and charging'!$C$12,0)</f>
        <v>0</v>
      </c>
      <c r="U66" s="1">
        <f>IFERROR(IF(C66=0,0,IF(D66="EV",IF('Replacement plan'!$F$21="",INDEX(Products!$E$7:$E$13,MATCH('Replacement plan'!$B$21,Products!$A$7:$A$13,0)),'Replacement plan'!$F$21)/IF('Replacement plan'!$G$21="Battery",1-'Operating costs'!$B$44,1),0)),"n.a.")</f>
        <v>0</v>
      </c>
      <c r="V66" s="1">
        <f>IFERROR(IF(C66=0,0,IF(D66="EV",IF('Replacement plan'!$E$21="",INDEX(Products!$D$7:$D$13,MATCH('Replacement plan'!$B$21,Products!$A$7:$A$13,0)),'Replacement plan'!$E$21),0)),"n.a.")</f>
        <v>0</v>
      </c>
      <c r="W66" s="1">
        <f>IF(C66=0,0,IF(AND(P66="Complete",D66="EV",E66&lt;120),IF(T66=0,0,ROUNDUP(T66*(R66-'Operating costs'!$B$41)*(S66*U66+'Operating costs'!$B$48/(1-'Operating costs'!$B$44))/(V66*'Operating costs'!$B$47/(1-'Operating costs'!$B$44)-T66*'Operating costs'!$B$12*U66),0)),0))</f>
        <v>0</v>
      </c>
      <c r="X66" s="1">
        <f>IF(C66=0,0,IF(AND(P66="Complete",D66="EV",E66&lt;120),(R66-'Operating costs'!$B$41)*(S66*U66+'Operating costs'!$B$48/(1-'Operating costs'!$B$44))+W66*'Operating costs'!$B$12*U66,0))</f>
        <v>0</v>
      </c>
      <c r="Y66" s="1">
        <f>IF(AND(C66=1,D66="EV",E66&lt;120),AI66/(1-'Operating costs'!$B$44)*(1-T66),0)</f>
        <v>0</v>
      </c>
      <c r="Z66" s="1">
        <f t="shared" si="0"/>
        <v>0</v>
      </c>
      <c r="AA66" s="1">
        <f>IF(C66=0,0,IF(P66="Complete",((S66*(R66-'Operating costs'!$B$40))+ROUNDUP(S66*(R66-'Operating costs'!$B$40)*IF('Replacement plan'!$AH$21="",'Operating costs'!$B$7,'Replacement plan'!$AH$21)/('Operating costs'!$B$8-'Operating costs'!$B$9*IF('Replacement plan'!$AH$21="",'Operating costs'!$B$7,'Replacement plan'!$AH$21)),0)*'Operating costs'!$B$9)*IF('Replacement plan'!$AH$21="",'Operating costs'!$B$7,'Replacement plan'!$AH$21),"n.a."))</f>
        <v>0</v>
      </c>
      <c r="AB66" s="1">
        <f t="shared" si="1"/>
        <v>0</v>
      </c>
      <c r="AC66" s="1">
        <f>IF(AND(C66=1,D66="EV",E66&lt;120,T66&gt;0),'Operating costs'!$B$12/'Operating costs'!$B$11*60+'Operating costs'!$B$13+'Operating costs'!$B$14+V66*'Operating costs'!$B$47/(1-'Operating costs'!$B$44)/'Replacement plan'!$L$21*60,0)</f>
        <v>0</v>
      </c>
      <c r="AD66" s="1" t="str">
        <f>'Replacement plan'!$B$21</f>
        <v>ChengLong L2EV</v>
      </c>
      <c r="AE66" s="1">
        <f>IF(C66=0,0,VLOOKUP($A66,'Fleet register'!$A$7:$S$106,8,FALSE))</f>
        <v>0</v>
      </c>
      <c r="AF66" s="1" t="str">
        <f>IF('Replacement plan'!$H$21="","n.a.",'Replacement plan'!$H$21)</f>
        <v>n.a.</v>
      </c>
      <c r="AG66" s="1">
        <f>'Replacement plan'!$J$21</f>
        <v>22</v>
      </c>
      <c r="AH66" s="1">
        <f>IFERROR(IF(D66="EV",IF('Replacement plan'!$K$21="AC",IF(ISNUMBER(INDEX(Products!$G$7:$G$13,MATCH('Replacement plan'!$B$21,Products!$A$7:$A$13,0))),INDEX(Products!$G$7:$G$13,MATCH('Replacement plan'!$B$21,Products!$A$7:$A$13,0)),"n.a."),IF(ISNUMBER(INDEX(Products!$H$7:$H$13,MATCH('Replacement plan'!$B$21,Products!$A$7:$A$13,0))),INDEX(Products!$H$7:$H$13,MATCH('Replacement plan'!$B$21,Products!$A$7:$A$13,0)),"n.a.")),0),"n.a.")</f>
        <v>0</v>
      </c>
      <c r="AI66" s="1">
        <f>IF(AND(C66=1,D66="EV",E66&lt;120),(VLOOKUP($A66,'Fleet register'!$A$7:$S$106,7,FALSE)+IF(T66&gt;0,'Operating costs'!$B$12,0))*U66*(1-'Operating costs'!$B$44)+'Operating costs'!$B$49,0)</f>
        <v>0</v>
      </c>
      <c r="AJ66" s="1">
        <f>IF(D66="EV",'Energy and charging'!$C$50,0)</f>
        <v>0</v>
      </c>
      <c r="AK66" s="17">
        <f>EDATE('Operating costs'!$B$63,E66)</f>
        <v>46298</v>
      </c>
      <c r="AL66" s="1">
        <f>IFERROR(IF(D66="EV",INDEX(Products!$B$7:$B$13,MATCH('Replacement plan'!$B$21,Products!$A$7:$A$13,0)),0),"n.a.")</f>
        <v>0</v>
      </c>
      <c r="AM66" s="1" t="str">
        <f>'Replacement plan'!$K$21</f>
        <v>DC</v>
      </c>
      <c r="AN66" s="1" t="str">
        <f>'Replacement plan'!$AE$21</f>
        <v>Assumed</v>
      </c>
      <c r="AO66" s="47">
        <f>IF(AND(C66=1,D66="EV",E66&lt;120),(R66-'Operating costs'!$B$41)*S66+W66*'Operating costs'!$B$12,0)</f>
        <v>0</v>
      </c>
      <c r="AP66" s="41">
        <f>IF(AND(C66=1,D66="EV",E66&lt;120),IF('Operating costs'!$B$68="Hong Seh 200k average",AO66*IFERROR(INDEX(Products!$P$7:$P$13,MATCH(AD66,Products!$A$7:$A$13,0)),"n.a."),'Operating costs'!$B$26),0)</f>
        <v>0</v>
      </c>
      <c r="AQ66" s="40" t="str">
        <f>IF(D66="EV",'Operating costs'!$B$68,"Not applicable")</f>
        <v>Not applicable</v>
      </c>
    </row>
    <row r="67" spans="1:43" ht="24" customHeight="1">
      <c r="A67" s="1" t="str">
        <f>'Replacement plan'!A22</f>
        <v>T016</v>
      </c>
      <c r="B67" s="1">
        <v>0</v>
      </c>
      <c r="C67" s="1">
        <f>IF(COUNTIFS('Fleet register'!$A$7:$A$106,$A67)=1,VLOOKUP($A67,'Fleet register'!$A$7:$S$106,2,FALSE),0)</f>
        <v>0</v>
      </c>
      <c r="D67" s="1" t="str">
        <f>IF("Keep ICE"="EV","EV","ICE")</f>
        <v>ICE</v>
      </c>
      <c r="E67" s="1">
        <f>IF(C67=0,0,IF('Replacement plan'!$M$22="",VLOOKUP($A67,'Fleet register'!$A$7:$S$106,10,FALSE),'Replacement plan'!$M$22))</f>
        <v>0</v>
      </c>
      <c r="F67" s="16">
        <f>IF(C67=0,0,VLOOKUP($A67,'Fleet register'!$A$7:$S$106,11,FALSE))</f>
        <v>0</v>
      </c>
      <c r="G67" s="16">
        <f>IFERROR(IF(C67=0,0,IF(E67=120,0,IF(D67="ICE",'Replacement plan'!$C$22,IF('Replacement plan'!$D$22="",INDEX(Products!$I$7:$I$13,MATCH('Replacement plan'!$B$22,Products!$A$7:$A$13,0))+'Operating costs'!$B$57,'Replacement plan'!$D$22))*(1+'Operating costs'!$B$50)^(E67/12))),"n.a.")</f>
        <v>0</v>
      </c>
      <c r="H67" s="16">
        <f>IFERROR(IF(C67=0,0,IF(E67=0,F67,VLOOKUP($A67,'Fleet register'!$A$7:$S$106,12,FALSE)+VLOOKUP($A67,'Fleet register'!$A$7:$S$106,13,FALSE)*MAX(0,VLOOKUP($A67,'Fleet register'!$A$7:$S$106,10,FALSE)-E67)/VLOOKUP($A67,'Fleet register'!$A$7:$S$106,14,FALSE))),"n.a.")</f>
        <v>0</v>
      </c>
      <c r="I67" s="16">
        <f>IF(C67=0,0,IF(E67=120,0,'Replacement plan'!$N$22))</f>
        <v>0</v>
      </c>
      <c r="J67" s="16">
        <f>IF(C67=0,0,IF(P67="Complete",((S67*(R67-'Operating costs'!$B$39))+ROUNDUP(S67*(R67-'Operating costs'!$B$39)*IF('Replacement plan'!$AG$22="",'Operating costs'!$B$7,'Replacement plan'!$AG$22)/('Operating costs'!$B$8-'Operating costs'!$B$9*IF('Replacement plan'!$AG$22="",'Operating costs'!$B$7,'Replacement plan'!$AG$22)),0)*'Operating costs'!$B$9)*IF('Replacement plan'!$AG$22="",'Operating costs'!$B$7,'Replacement plan'!$AG$22)*('Energy and charging'!$B$9*'Energy and charging'!$B$7+(1-'Energy and charging'!$B$9)*'Energy and charging'!$B$8)*'Operating costs'!$B$23,"n.a."))</f>
        <v>0</v>
      </c>
      <c r="K67" s="16">
        <f>IF(C67=0,0,IF(P67="Complete",SUM('Operating costs'!$B$24,'Operating costs'!$B$27,'Operating costs'!$B$29,'Operating costs'!$B$31,'Operating costs'!$B$33,'Operating costs'!$B$34,'Operating costs'!$B$37,'Replacement plan'!$W$22)+'Operating costs'!$B$39*'Operating costs'!$B$42+ROUNDUP(S67*(R67-'Operating costs'!$B$39)*IF('Replacement plan'!$AG$22="",'Operating costs'!$B$7,'Replacement plan'!$AG$22)/('Operating costs'!$B$8-'Operating costs'!$B$9*IF('Replacement plan'!$AG$22="",'Operating costs'!$B$7,'Replacement plan'!$AG$22)),0)*('Operating costs'!$B$9/'Operating costs'!$B$11+'Operating costs'!$B$10/60)*'Operating costs'!$B$19*'Operating costs'!$B$21,"n.a."))</f>
        <v>0</v>
      </c>
      <c r="L67" s="16">
        <f>IF(C67=0,0,IF(P67="Complete",IF(D67="EV",X67*((1-T67)*'Energy and charging'!$B$10+T67*'Energy and charging'!$B$11)*'Operating costs'!$B$22,AA67*('Energy and charging'!$B$9*'Energy and charging'!$B$7+(1-'Energy and charging'!$B$9)*'Energy and charging'!$B$8)*'Operating costs'!$B$23),"n.a."))</f>
        <v>0</v>
      </c>
      <c r="M67" s="37">
        <f>IF(C67=0,0,IF(P67="Complete",IF(D67="ICE",SUM('Operating costs'!$B$25,'Operating costs'!$B$27,'Operating costs'!$B$29,'Operating costs'!$B$31,'Operating costs'!$B$33,'Operating costs'!$B$35,'Operating costs'!$B$37,'Replacement plan'!$X$22)+'Operating costs'!$B$40*'Operating costs'!$B$42+ROUNDUP(S67*(R67-'Operating costs'!$B$40)*IF('Replacement plan'!$AH$22="",'Operating costs'!$B$7,'Replacement plan'!$AH$22)/('Operating costs'!$B$8-'Operating costs'!$B$9*IF('Replacement plan'!$AH$22="",'Operating costs'!$B$7,'Replacement plan'!$AH$22)),0)*('Operating costs'!$B$9/'Operating costs'!$B$11+'Operating costs'!$B$10/60)*'Operating costs'!$B$19*'Operating costs'!$B$21,SUM(AP67,'Operating costs'!$B$28,'Operating costs'!$B$30,'Operating costs'!$B$32,'Operating costs'!$B$33,'Operating costs'!$B$36,'Operating costs'!$B$38,'Replacement plan'!$Y$22)+'Operating costs'!$B$41*'Operating costs'!$B$43+W67*'Operating costs'!$B$15+(T67*X67/'Replacement plan'!$L$22+W67*('Operating costs'!$B$12/'Operating costs'!$B$11+('Operating costs'!$B$13+'Operating costs'!$B$14)/60)+(R67-'Operating costs'!$B$41)*(IF(T67&lt;1,'Operating costs'!$B$16,0)+'Operating costs'!$B$17)/60)*'Operating costs'!$B$19*'Operating costs'!$B$20),"n.a."))</f>
        <v>0</v>
      </c>
      <c r="N67" s="16">
        <f>IF(AND(C67=1,D67="EV",E67&lt;120,E67+'Replacement plan'!$AA$22&lt;=120),'Replacement plan'!$Z$22,0)</f>
        <v>0</v>
      </c>
      <c r="O67" s="1">
        <f>E67+'Replacement plan'!$AA$22</f>
        <v>0</v>
      </c>
      <c r="P67" s="35" t="str">
        <f>IFERROR(IF(C67=0,"Excluded",IF(OR(COUNTIFS('Fleet register'!$A$7:$A$106,A67)&lt;&gt;1,COUNTIFS('Replacement plan'!$A$7:$A$106,A67)&lt;&gt;1),"Duplicate/missing ID",IF(NOT(AND(ISNUMBER(VLOOKUP($A67,'Fleet register'!$A$7:$S$106,5,FALSE)),ISNUMBER(VLOOKUP($A67,'Fleet register'!$A$7:$S$106,6,FALSE)),ISNUMBER(VLOOKUP($A67,'Fleet register'!$A$7:$S$106,10,FALSE)),ISNUMBER(VLOOKUP($A67,'Fleet register'!$A$7:$S$106,11,FALSE)),ISNUMBER(VLOOKUP($A67,'Fleet register'!$A$7:$S$106,12,FALSE)),ISNUMBER(VLOOKUP($A67,'Fleet register'!$A$7:$S$106,13,FALSE)),ISNUMBER(VLOOKUP($A67,'Fleet register'!$A$7:$S$106,14,FALSE)),VLOOKUP($A67,'Fleet register'!$A$7:$S$106,14,FALSE)&gt;0,ISNUMBER('Replacement plan'!$C$22),OR(E67=120,ISNUMBER('Replacement plan'!$N$22)),ISNUMBER(E67))),"Missing vehicle input",IF(OR(E67&lt;0,E67&gt;VLOOKUP($A67,'Fleet register'!$A$7:$S$106,10,FALSE),E67&gt;120,E67&lt;&gt;INT(E67),VLOOKUP($A67,'Fleet register'!$A$7:$S$106,6,FALSE)&lt;=0,VLOOKUP($A67,'Fleet register'!$A$7:$S$106,6,FALSE)&gt;366,VLOOKUP($A67,'Fleet register'!$A$7:$S$106,5,FALSE)&lt;0,VLOOKUP($A67,'Fleet register'!$A$7:$S$106,11,FALSE)&lt;0,I67&lt;0,'Operating costs'!$B$8&lt;='Operating costs'!$B$7*'Operating costs'!$B$9,'Operating costs'!$B$11&lt;=0,'Operating costs'!$B$39&gt;R67,'Operating costs'!$B$40&gt;R67,'Operating costs'!$B$41&gt;R67,NOT(OR("Keep ICE"="Keep ICE","Keep ICE"="New ICE","Keep ICE"="EV"))),"Invalid vehicle input",IF(AND(D67="EV",E67&lt;120,OR(NOT(ISNUMBER(U67)),NOT(ISNUMBER(V67)),V67&lt;=0,T67&lt;0,T67&gt;1,'Replacement plan'!$L$22&lt;=0,'Operating costs'!$B$44&lt;0,'Operating costs'!$B$44&gt;=1,'Operating costs'!$B$47&lt;=0,'Operating costs'!$B$47&gt;1,V67*'Operating costs'!$B$47/(1-'Operating costs'!$B$44)&lt;=T67*'Operating costs'!$B$12*U67,AND('Replacement plan'!$Z$22&gt;0,OR('Replacement plan'!$AB$22&lt;&gt;"Yes",'Operating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charging'!$B$8&gt;=0))),ISNUMBER(VLOOKUP($A67,'Fleet register'!$A$7:$S$106,15,FALSE)),ISNUMBER(VLOOKUP($A67,'Fleet register'!$A$7:$S$106,16,FALSE)),ISNUMBER('Replacement plan'!$W$22),ISNUMBER('Replacement plan'!$X$22),OR(E67=120,AND(ISNUMBER(G67),G67&gt;=0)),ISNUMBER(H67),H67&gt;=0,OR(D67&lt;&gt;"EV",E67=120,AND(ISNUMBER('Operating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average",ISNUMBER(IFERROR(INDEX(Products!$P$7:$P$13,MATCH(AD67,Products!$A$7:$A$13,0)),"")))),ISNUMBER('Operating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plan'!$Y$22),ISNUMBER('Replacement plan'!$Z$22),'Replacement plan'!$Z$22&gt;=0,ISNUMBER('Replacement plan'!$AA$22),'Replacement plan'!$AA$22&gt;=0,'Replacement plan'!$AA$22=INT('Replacement plan'!$AA$22),ISNUMBER('Replacement plan'!$L$22))),'Operating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plan'!$AG$22="",'Operating costs'!$B$7,'Replacement plan'!$AG$22)),IF('Replacement plan'!$AG$22="",'Operating costs'!$B$7,'Replacement plan'!$AG$22)&gt;=0,ISNUMBER(IF('Replacement plan'!$AH$22="",'Operating costs'!$B$7,'Replacement plan'!$AH$22)),IF('Replacement plan'!$AH$22="",'Operating costs'!$B$7,'Replacement plan'!$AH$22)&gt;=0,'Operating costs'!$B$8&gt;MAX(IF('Replacement plan'!$AG$22="",'Operating costs'!$B$7,'Replacement plan'!$AG$22),IF('Replacement plan'!$AH$22="",'Operating costs'!$B$7,'Replacement plan'!$AH$22))*'Operating costs'!$B$9),IF(AND(VLOOKUP($A67,'Fleet register'!$A$7:$S$106,10,FALSE)&gt;=0,VLOOKUP($A67,'Fleet register'!$A$7:$S$106,10,FALSE)&lt;=120,VLOOKUP($A67,'Fleet register'!$A$7:$S$106,10,FALSE)=INT(VLOOKUP($A67,'Fleet register'!$A$7:$S$106,10,FALSE)),VLOOKUP($A67,'Fleet register'!$A$7:$S$106,15,FALSE)&gt;=0,VLOOKUP($A67,'Fleet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costs'!$B$67)&gt;=0,OR(D67&lt;&gt;"EV",E67=120,AND(MIN('Operating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67" s="1" t="str">
        <f>IF(C67=0,"Excluded",IF(P67&lt;&gt;"Complete",P67,IF(OR('Replacement plan'!$AD$22&lt;120-E67,AND(D67="EV",E67&lt;120,OR('Replacement plan'!$AC$22&lt;120-E67,'Replacement plan'!$I$22="No",AND(ISNUMBER(AF67),AE67&gt;AF67),AI67&gt;V67*(1-'Operating costs'!$B$46)^MAX(0,AB67-1)*(1-'Operating costs'!$B$45),AC67&gt;'Operating costs'!$B$18,AND(T67&lt;1,OR(AG67&lt;=0,AND(ISNUMBER(AH67),AG67&gt;AH67))),'Replacement plan'!$L$22&gt;INDEX(Products!$H$7:$H$13,MATCH('Replacement plan'!$B$22,Products!$A$7:$A$13,0))))),"Fails entered limits",IF(AND(D67="EV",E67&lt;120,OR(NOT(ISNUMBER(VLOOKUP($A67,'Fleet register'!$A$7:$S$106,7,FALSE))),NOT(ISNUMBER(VLOOKUP($A67,'Fleet register'!$A$7:$S$106,8,FALSE))),NOT(ISNUMBER(AF67)),'Replacement plan'!$I$22&lt;&gt;"Yes",NOT(ISNUMBER(AH67)),'Operating costs'!$B$59&lt;&gt;"Yes",'Operating costs'!$B$58&lt;&gt;"Yes")),"Unverified","Within entered limits"))))</f>
        <v>Excluded</v>
      </c>
      <c r="R67" s="1">
        <f>IF(C67=0,0,VLOOKUP($A67,'Fleet register'!$A$7:$S$106,6,FALSE))</f>
        <v>0</v>
      </c>
      <c r="S67" s="1">
        <f>IF(C67=0,0,VLOOKUP($A67,'Fleet register'!$A$7:$S$106,5,FALSE))</f>
        <v>0</v>
      </c>
      <c r="T67" s="1">
        <f>IF(D67="EV",'Energy and charging'!$B$12,0)</f>
        <v>0</v>
      </c>
      <c r="U67" s="1">
        <f>IFERROR(IF(C67=0,0,IF(D67="EV",IF('Replacement plan'!$F$22="",INDEX(Products!$E$7:$E$13,MATCH('Replacement plan'!$B$22,Products!$A$7:$A$13,0)),'Replacement plan'!$F$22)/IF('Replacement plan'!$G$22="Battery",1-'Operating costs'!$B$44,1),0)),"n.a.")</f>
        <v>0</v>
      </c>
      <c r="V67" s="1">
        <f>IFERROR(IF(C67=0,0,IF(D67="EV",IF('Replacement plan'!$E$22="",INDEX(Products!$D$7:$D$13,MATCH('Replacement plan'!$B$22,Products!$A$7:$A$13,0)),'Replacement plan'!$E$22),0)),"n.a.")</f>
        <v>0</v>
      </c>
      <c r="W67" s="1">
        <f>IF(C67=0,0,IF(AND(P67="Complete",D67="EV",E67&lt;120),IF(T67=0,0,ROUNDUP(T67*(R67-'Operating costs'!$B$41)*(S67*U67+'Operating costs'!$B$48/(1-'Operating costs'!$B$44))/(V67*'Operating costs'!$B$47/(1-'Operating costs'!$B$44)-T67*'Operating costs'!$B$12*U67),0)),0))</f>
        <v>0</v>
      </c>
      <c r="X67" s="1">
        <f>IF(C67=0,0,IF(AND(P67="Complete",D67="EV",E67&lt;120),(R67-'Operating costs'!$B$41)*(S67*U67+'Operating costs'!$B$48/(1-'Operating costs'!$B$44))+W67*'Operating costs'!$B$12*U67,0))</f>
        <v>0</v>
      </c>
      <c r="Y67" s="1">
        <f>IF(AND(C67=1,D67="EV",E67&lt;120),AI67/(1-'Operating costs'!$B$44)*(1-T67),0)</f>
        <v>0</v>
      </c>
      <c r="Z67" s="1">
        <f t="shared" si="0"/>
        <v>0</v>
      </c>
      <c r="AA67" s="1">
        <f>IF(C67=0,0,IF(P67="Complete",((S67*(R67-'Operating costs'!$B$40))+ROUNDUP(S67*(R67-'Operating costs'!$B$40)*IF('Replacement plan'!$AH$22="",'Operating costs'!$B$7,'Replacement plan'!$AH$22)/('Operating costs'!$B$8-'Operating costs'!$B$9*IF('Replacement plan'!$AH$22="",'Operating costs'!$B$7,'Replacement plan'!$AH$22)),0)*'Operating costs'!$B$9)*IF('Replacement plan'!$AH$22="",'Operating costs'!$B$7,'Replacement plan'!$AH$22),"n.a."))</f>
        <v>0</v>
      </c>
      <c r="AB67" s="1">
        <f t="shared" si="1"/>
        <v>0</v>
      </c>
      <c r="AC67" s="1">
        <f>IF(AND(C67=1,D67="EV",E67&lt;120,T67&gt;0),'Operating costs'!$B$12/'Operating costs'!$B$11*60+'Operating costs'!$B$13+'Operating costs'!$B$14+V67*'Operating costs'!$B$47/(1-'Operating costs'!$B$44)/'Replacement plan'!$L$22*60,0)</f>
        <v>0</v>
      </c>
      <c r="AD67" s="1" t="str">
        <f>'Replacement plan'!$B$22</f>
        <v>ChengLong L2EV</v>
      </c>
      <c r="AE67" s="1">
        <f>IF(C67=0,0,VLOOKUP($A67,'Fleet register'!$A$7:$S$106,8,FALSE))</f>
        <v>0</v>
      </c>
      <c r="AF67" s="1" t="str">
        <f>IF('Replacement plan'!$H$22="","n.a.",'Replacement plan'!$H$22)</f>
        <v>n.a.</v>
      </c>
      <c r="AG67" s="1">
        <f>'Replacement plan'!$J$22</f>
        <v>22</v>
      </c>
      <c r="AH67" s="1">
        <f>IFERROR(IF(D67="EV",IF('Replacement plan'!$K$22="AC",IF(ISNUMBER(INDEX(Products!$G$7:$G$13,MATCH('Replacement plan'!$B$22,Products!$A$7:$A$13,0))),INDEX(Products!$G$7:$G$13,MATCH('Replacement plan'!$B$22,Products!$A$7:$A$13,0)),"n.a."),IF(ISNUMBER(INDEX(Products!$H$7:$H$13,MATCH('Replacement plan'!$B$22,Products!$A$7:$A$13,0))),INDEX(Products!$H$7:$H$13,MATCH('Replacement plan'!$B$22,Products!$A$7:$A$13,0)),"n.a.")),0),"n.a.")</f>
        <v>0</v>
      </c>
      <c r="AI67" s="1">
        <f>IF(AND(C67=1,D67="EV",E67&lt;120),(VLOOKUP($A67,'Fleet register'!$A$7:$S$106,7,FALSE)+IF(T67&gt;0,'Operating costs'!$B$12,0))*U67*(1-'Operating costs'!$B$44)+'Operating costs'!$B$49,0)</f>
        <v>0</v>
      </c>
      <c r="AJ67" s="1">
        <f>IF(D67="EV",'Energy and charging'!$B$50,0)</f>
        <v>0</v>
      </c>
      <c r="AK67" s="17">
        <f>EDATE('Operating costs'!$B$63,E67)</f>
        <v>46298</v>
      </c>
      <c r="AL67" s="1">
        <f>IFERROR(IF(D67="EV",INDEX(Products!$B$7:$B$13,MATCH('Replacement plan'!$B$22,Products!$A$7:$A$13,0)),0),"n.a.")</f>
        <v>0</v>
      </c>
      <c r="AM67" s="1" t="str">
        <f>'Replacement plan'!$K$22</f>
        <v>DC</v>
      </c>
      <c r="AN67" s="1" t="str">
        <f>'Replacement plan'!$AE$22</f>
        <v>Assumed</v>
      </c>
      <c r="AO67" s="47">
        <f>IF(AND(C67=1,D67="EV",E67&lt;120),(R67-'Operating costs'!$B$41)*S67+W67*'Operating costs'!$B$12,0)</f>
        <v>0</v>
      </c>
      <c r="AP67" s="41">
        <f>IF(AND(C67=1,D67="EV",E67&lt;120),IF('Operating costs'!$B$68="Hong Seh 200k average",AO67*IFERROR(INDEX(Products!$P$7:$P$13,MATCH(AD67,Products!$A$7:$A$13,0)),"n.a."),'Operating costs'!$B$26),0)</f>
        <v>0</v>
      </c>
      <c r="AQ67" s="40" t="str">
        <f>IF(D67="EV",'Operating costs'!$B$68,"Not applicable")</f>
        <v>Not applicable</v>
      </c>
    </row>
    <row r="68" spans="1:43" ht="24" customHeight="1">
      <c r="A68" s="1" t="str">
        <f>'Replacement plan'!A22</f>
        <v>T016</v>
      </c>
      <c r="B68" s="1">
        <v>1</v>
      </c>
      <c r="C68" s="1">
        <f>IF(COUNTIFS('Fleet register'!$A$7:$A$106,$A68)=1,VLOOKUP($A68,'Fleet register'!$A$7:$S$106,2,FALSE),0)</f>
        <v>0</v>
      </c>
      <c r="D68" s="1" t="str">
        <f>IF("New ICE"="EV","EV","ICE")</f>
        <v>ICE</v>
      </c>
      <c r="E68" s="1">
        <f>IF(C68=0,0,0)</f>
        <v>0</v>
      </c>
      <c r="F68" s="16">
        <f>IF(C68=0,0,VLOOKUP($A68,'Fleet register'!$A$7:$S$106,11,FALSE))</f>
        <v>0</v>
      </c>
      <c r="G68" s="16">
        <f>IFERROR(IF(C68=0,0,IF(E68=120,0,IF(D68="ICE",'Replacement plan'!$C$22,IF('Replacement plan'!$D$22="",INDEX(Products!$I$7:$I$13,MATCH('Replacement plan'!$B$22,Products!$A$7:$A$13,0))+'Operating costs'!$B$57,'Replacement plan'!$D$22))*(1+'Operating costs'!$B$50)^(E68/12))),"n.a.")</f>
        <v>0</v>
      </c>
      <c r="H68" s="16">
        <f>IFERROR(IF(C68=0,0,IF(E68=0,F68,VLOOKUP($A68,'Fleet register'!$A$7:$S$106,12,FALSE)+VLOOKUP($A68,'Fleet register'!$A$7:$S$106,13,FALSE)*MAX(0,VLOOKUP($A68,'Fleet register'!$A$7:$S$106,10,FALSE)-E68)/VLOOKUP($A68,'Fleet register'!$A$7:$S$106,14,FALSE))),"n.a.")</f>
        <v>0</v>
      </c>
      <c r="I68" s="16">
        <f>IF(C68=0,0,IF(E68=120,0,IF('Replacement plan'!$AI$22="",'Operating costs'!$B$56,'Replacement plan'!$AI$22)))</f>
        <v>0</v>
      </c>
      <c r="J68" s="16">
        <f>IF(C68=0,0,IF(P68="Complete",((S68*(R68-'Operating costs'!$B$39))+ROUNDUP(S68*(R68-'Operating costs'!$B$39)*IF('Replacement plan'!$AG$22="",'Operating costs'!$B$7,'Replacement plan'!$AG$22)/('Operating costs'!$B$8-'Operating costs'!$B$9*IF('Replacement plan'!$AG$22="",'Operating costs'!$B$7,'Replacement plan'!$AG$22)),0)*'Operating costs'!$B$9)*IF('Replacement plan'!$AG$22="",'Operating costs'!$B$7,'Replacement plan'!$AG$22)*('Energy and charging'!$B$9*'Energy and charging'!$B$7+(1-'Energy and charging'!$B$9)*'Energy and charging'!$B$8)*'Operating costs'!$B$23,"n.a."))</f>
        <v>0</v>
      </c>
      <c r="K68" s="16">
        <f>IF(C68=0,0,IF(P68="Complete",SUM('Operating costs'!$B$24,'Operating costs'!$B$27,'Operating costs'!$B$29,'Operating costs'!$B$31,'Operating costs'!$B$33,'Operating costs'!$B$34,'Operating costs'!$B$37,'Replacement plan'!$W$22)+'Operating costs'!$B$39*'Operating costs'!$B$42+ROUNDUP(S68*(R68-'Operating costs'!$B$39)*IF('Replacement plan'!$AG$22="",'Operating costs'!$B$7,'Replacement plan'!$AG$22)/('Operating costs'!$B$8-'Operating costs'!$B$9*IF('Replacement plan'!$AG$22="",'Operating costs'!$B$7,'Replacement plan'!$AG$22)),0)*('Operating costs'!$B$9/'Operating costs'!$B$11+'Operating costs'!$B$10/60)*'Operating costs'!$B$19*'Operating costs'!$B$21,"n.a."))</f>
        <v>0</v>
      </c>
      <c r="L68" s="16">
        <f>IF(C68=0,0,IF(P68="Complete",IF(D68="EV",X68*((1-T68)*'Energy and charging'!$B$10+T68*'Energy and charging'!$B$11)*'Operating costs'!$B$22,AA68*('Energy and charging'!$B$9*'Energy and charging'!$B$7+(1-'Energy and charging'!$B$9)*'Energy and charging'!$B$8)*'Operating costs'!$B$23),"n.a."))</f>
        <v>0</v>
      </c>
      <c r="M68" s="37">
        <f>IF(C68=0,0,IF(P68="Complete",IF(D68="ICE",SUM('Operating costs'!$B$25,'Operating costs'!$B$27,'Operating costs'!$B$29,'Operating costs'!$B$31,'Operating costs'!$B$33,'Operating costs'!$B$35,'Operating costs'!$B$37,'Replacement plan'!$X$22)+'Operating costs'!$B$40*'Operating costs'!$B$42+ROUNDUP(S68*(R68-'Operating costs'!$B$40)*IF('Replacement plan'!$AH$22="",'Operating costs'!$B$7,'Replacement plan'!$AH$22)/('Operating costs'!$B$8-'Operating costs'!$B$9*IF('Replacement plan'!$AH$22="",'Operating costs'!$B$7,'Replacement plan'!$AH$22)),0)*('Operating costs'!$B$9/'Operating costs'!$B$11+'Operating costs'!$B$10/60)*'Operating costs'!$B$19*'Operating costs'!$B$21,SUM(AP68,'Operating costs'!$B$28,'Operating costs'!$B$30,'Operating costs'!$B$32,'Operating costs'!$B$33,'Operating costs'!$B$36,'Operating costs'!$B$38,'Replacement plan'!$Y$22)+'Operating costs'!$B$41*'Operating costs'!$B$43+W68*'Operating costs'!$B$15+(T68*X68/'Replacement plan'!$L$22+W68*('Operating costs'!$B$12/'Operating costs'!$B$11+('Operating costs'!$B$13+'Operating costs'!$B$14)/60)+(R68-'Operating costs'!$B$41)*(IF(T68&lt;1,'Operating costs'!$B$16,0)+'Operating costs'!$B$17)/60)*'Operating costs'!$B$19*'Operating costs'!$B$20),"n.a."))</f>
        <v>0</v>
      </c>
      <c r="N68" s="16">
        <f>IF(AND(C68=1,D68="EV",E68&lt;120,E68+'Replacement plan'!$AA$22&lt;=120),'Replacement plan'!$Z$22,0)</f>
        <v>0</v>
      </c>
      <c r="O68" s="1">
        <f>E68+'Replacement plan'!$AA$22</f>
        <v>0</v>
      </c>
      <c r="P68" s="35" t="str">
        <f>IFERROR(IF(C68=0,"Excluded",IF(OR(COUNTIFS('Fleet register'!$A$7:$A$106,A68)&lt;&gt;1,COUNTIFS('Replacement plan'!$A$7:$A$106,A68)&lt;&gt;1),"Duplicate/missing ID",IF(NOT(AND(ISNUMBER(VLOOKUP($A68,'Fleet register'!$A$7:$S$106,5,FALSE)),ISNUMBER(VLOOKUP($A68,'Fleet register'!$A$7:$S$106,6,FALSE)),ISNUMBER(VLOOKUP($A68,'Fleet register'!$A$7:$S$106,10,FALSE)),ISNUMBER(VLOOKUP($A68,'Fleet register'!$A$7:$S$106,11,FALSE)),ISNUMBER(VLOOKUP($A68,'Fleet register'!$A$7:$S$106,12,FALSE)),ISNUMBER(VLOOKUP($A68,'Fleet register'!$A$7:$S$106,13,FALSE)),ISNUMBER(VLOOKUP($A68,'Fleet register'!$A$7:$S$106,14,FALSE)),VLOOKUP($A68,'Fleet register'!$A$7:$S$106,14,FALSE)&gt;0,ISNUMBER('Replacement plan'!$C$22),OR(E68=120,OR(ISNUMBER('Replacement plan'!$AI$22),AND('Replacement plan'!$AI$22="",ISNUMBER('Operating costs'!$B$56)))),ISNUMBER(E68))),"Missing vehicle input",IF(OR(E68&lt;0,E68&gt;VLOOKUP($A68,'Fleet register'!$A$7:$S$106,10,FALSE),E68&gt;120,E68&lt;&gt;INT(E68),VLOOKUP($A68,'Fleet register'!$A$7:$S$106,6,FALSE)&lt;=0,VLOOKUP($A68,'Fleet register'!$A$7:$S$106,6,FALSE)&gt;366,VLOOKUP($A68,'Fleet register'!$A$7:$S$106,5,FALSE)&lt;0,VLOOKUP($A68,'Fleet register'!$A$7:$S$106,11,FALSE)&lt;0,I68&lt;0,'Operating costs'!$B$8&lt;='Operating costs'!$B$7*'Operating costs'!$B$9,'Operating costs'!$B$11&lt;=0,'Operating costs'!$B$39&gt;R68,'Operating costs'!$B$40&gt;R68,'Operating costs'!$B$41&gt;R68,NOT(OR("New ICE"="Keep ICE","New ICE"="New ICE","New ICE"="EV"))),"Invalid vehicle input",IF(AND(D68="EV",E68&lt;120,OR(NOT(ISNUMBER(U68)),NOT(ISNUMBER(V68)),V68&lt;=0,T68&lt;0,T68&gt;1,'Replacement plan'!$L$22&lt;=0,'Operating costs'!$B$44&lt;0,'Operating costs'!$B$44&gt;=1,'Operating costs'!$B$47&lt;=0,'Operating costs'!$B$47&gt;1,V68*'Operating costs'!$B$47/(1-'Operating costs'!$B$44)&lt;=T68*'Operating costs'!$B$12*U68,AND('Replacement plan'!$Z$22&gt;0,OR('Replacement plan'!$AB$22&lt;&gt;"Yes",'Operating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charging'!$B$8&gt;=0))),ISNUMBER(VLOOKUP($A68,'Fleet register'!$A$7:$S$106,15,FALSE)),ISNUMBER(VLOOKUP($A68,'Fleet register'!$A$7:$S$106,16,FALSE)),ISNUMBER('Replacement plan'!$W$22),ISNUMBER('Replacement plan'!$X$22),OR(E68=120,AND(ISNUMBER(G68),G68&gt;=0)),ISNUMBER(H68),H68&gt;=0,OR(D68&lt;&gt;"EV",E68=120,AND(ISNUMBER('Operating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average",ISNUMBER(IFERROR(INDEX(Products!$P$7:$P$13,MATCH(AD68,Products!$A$7:$A$13,0)),"")))),ISNUMBER('Operating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plan'!$Y$22),ISNUMBER('Replacement plan'!$Z$22),'Replacement plan'!$Z$22&gt;=0,ISNUMBER('Replacement plan'!$AA$22),'Replacement plan'!$AA$22&gt;=0,'Replacement plan'!$AA$22=INT('Replacement plan'!$AA$22),ISNUMBER('Replacement plan'!$L$22))),'Operating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plan'!$AG$22="",'Operating costs'!$B$7,'Replacement plan'!$AG$22)),IF('Replacement plan'!$AG$22="",'Operating costs'!$B$7,'Replacement plan'!$AG$22)&gt;=0,ISNUMBER(IF('Replacement plan'!$AH$22="",'Operating costs'!$B$7,'Replacement plan'!$AH$22)),IF('Replacement plan'!$AH$22="",'Operating costs'!$B$7,'Replacement plan'!$AH$22)&gt;=0,'Operating costs'!$B$8&gt;MAX(IF('Replacement plan'!$AG$22="",'Operating costs'!$B$7,'Replacement plan'!$AG$22),IF('Replacement plan'!$AH$22="",'Operating costs'!$B$7,'Replacement plan'!$AH$22))*'Operating costs'!$B$9),IF(AND(VLOOKUP($A68,'Fleet register'!$A$7:$S$106,10,FALSE)&gt;=0,VLOOKUP($A68,'Fleet register'!$A$7:$S$106,10,FALSE)&lt;=120,VLOOKUP($A68,'Fleet register'!$A$7:$S$106,10,FALSE)=INT(VLOOKUP($A68,'Fleet register'!$A$7:$S$106,10,FALSE)),VLOOKUP($A68,'Fleet register'!$A$7:$S$106,15,FALSE)&gt;=0,VLOOKUP($A68,'Fleet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costs'!$B$67)&gt;=0,OR(D68&lt;&gt;"EV",E68=120,AND(MIN('Operating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68" s="1" t="str">
        <f>IF(C68=0,"Excluded",IF(P68&lt;&gt;"Complete",P68,IF(OR('Replacement plan'!$AD$22&lt;120-E68,AND(D68="EV",E68&lt;120,OR('Replacement plan'!$AC$22&lt;120-E68,'Replacement plan'!$I$22="No",AND(ISNUMBER(AF68),AE68&gt;AF68),AI68&gt;V68*(1-'Operating costs'!$B$46)^MAX(0,AB68-1)*(1-'Operating costs'!$B$45),AC68&gt;'Operating costs'!$B$18,AND(T68&lt;1,OR(AG68&lt;=0,AND(ISNUMBER(AH68),AG68&gt;AH68))),'Replacement plan'!$L$22&gt;INDEX(Products!$H$7:$H$13,MATCH('Replacement plan'!$B$22,Products!$A$7:$A$13,0))))),"Fails entered limits",IF(AND(D68="EV",E68&lt;120,OR(NOT(ISNUMBER(VLOOKUP($A68,'Fleet register'!$A$7:$S$106,7,FALSE))),NOT(ISNUMBER(VLOOKUP($A68,'Fleet register'!$A$7:$S$106,8,FALSE))),NOT(ISNUMBER(AF68)),'Replacement plan'!$I$22&lt;&gt;"Yes",NOT(ISNUMBER(AH68)),'Operating costs'!$B$59&lt;&gt;"Yes",'Operating costs'!$B$58&lt;&gt;"Yes")),"Unverified","Within entered limits"))))</f>
        <v>Excluded</v>
      </c>
      <c r="R68" s="1">
        <f>IF(C68=0,0,VLOOKUP($A68,'Fleet register'!$A$7:$S$106,6,FALSE))</f>
        <v>0</v>
      </c>
      <c r="S68" s="1">
        <f>IF(C68=0,0,VLOOKUP($A68,'Fleet register'!$A$7:$S$106,5,FALSE))</f>
        <v>0</v>
      </c>
      <c r="T68" s="1">
        <f>IF(D68="EV",'Energy and charging'!$B$12,0)</f>
        <v>0</v>
      </c>
      <c r="U68" s="1">
        <f>IFERROR(IF(C68=0,0,IF(D68="EV",IF('Replacement plan'!$F$22="",INDEX(Products!$E$7:$E$13,MATCH('Replacement plan'!$B$22,Products!$A$7:$A$13,0)),'Replacement plan'!$F$22)/IF('Replacement plan'!$G$22="Battery",1-'Operating costs'!$B$44,1),0)),"n.a.")</f>
        <v>0</v>
      </c>
      <c r="V68" s="1">
        <f>IFERROR(IF(C68=0,0,IF(D68="EV",IF('Replacement plan'!$E$22="",INDEX(Products!$D$7:$D$13,MATCH('Replacement plan'!$B$22,Products!$A$7:$A$13,0)),'Replacement plan'!$E$22),0)),"n.a.")</f>
        <v>0</v>
      </c>
      <c r="W68" s="1">
        <f>IF(C68=0,0,IF(AND(P68="Complete",D68="EV",E68&lt;120),IF(T68=0,0,ROUNDUP(T68*(R68-'Operating costs'!$B$41)*(S68*U68+'Operating costs'!$B$48/(1-'Operating costs'!$B$44))/(V68*'Operating costs'!$B$47/(1-'Operating costs'!$B$44)-T68*'Operating costs'!$B$12*U68),0)),0))</f>
        <v>0</v>
      </c>
      <c r="X68" s="1">
        <f>IF(C68=0,0,IF(AND(P68="Complete",D68="EV",E68&lt;120),(R68-'Operating costs'!$B$41)*(S68*U68+'Operating costs'!$B$48/(1-'Operating costs'!$B$44))+W68*'Operating costs'!$B$12*U68,0))</f>
        <v>0</v>
      </c>
      <c r="Y68" s="1">
        <f>IF(AND(C68=1,D68="EV",E68&lt;120),AI68/(1-'Operating costs'!$B$44)*(1-T68),0)</f>
        <v>0</v>
      </c>
      <c r="Z68" s="1">
        <f t="shared" si="0"/>
        <v>0</v>
      </c>
      <c r="AA68" s="1">
        <f>IF(C68=0,0,IF(P68="Complete",((S68*(R68-'Operating costs'!$B$40))+ROUNDUP(S68*(R68-'Operating costs'!$B$40)*IF('Replacement plan'!$AH$22="",'Operating costs'!$B$7,'Replacement plan'!$AH$22)/('Operating costs'!$B$8-'Operating costs'!$B$9*IF('Replacement plan'!$AH$22="",'Operating costs'!$B$7,'Replacement plan'!$AH$22)),0)*'Operating costs'!$B$9)*IF('Replacement plan'!$AH$22="",'Operating costs'!$B$7,'Replacement plan'!$AH$22),"n.a."))</f>
        <v>0</v>
      </c>
      <c r="AB68" s="1">
        <f t="shared" si="1"/>
        <v>0</v>
      </c>
      <c r="AC68" s="1">
        <f>IF(AND(C68=1,D68="EV",E68&lt;120,T68&gt;0),'Operating costs'!$B$12/'Operating costs'!$B$11*60+'Operating costs'!$B$13+'Operating costs'!$B$14+V68*'Operating costs'!$B$47/(1-'Operating costs'!$B$44)/'Replacement plan'!$L$22*60,0)</f>
        <v>0</v>
      </c>
      <c r="AD68" s="1" t="str">
        <f>'Replacement plan'!$B$22</f>
        <v>ChengLong L2EV</v>
      </c>
      <c r="AE68" s="1">
        <f>IF(C68=0,0,VLOOKUP($A68,'Fleet register'!$A$7:$S$106,8,FALSE))</f>
        <v>0</v>
      </c>
      <c r="AF68" s="1" t="str">
        <f>IF('Replacement plan'!$H$22="","n.a.",'Replacement plan'!$H$22)</f>
        <v>n.a.</v>
      </c>
      <c r="AG68" s="1">
        <f>'Replacement plan'!$J$22</f>
        <v>22</v>
      </c>
      <c r="AH68" s="1">
        <f>IFERROR(IF(D68="EV",IF('Replacement plan'!$K$22="AC",IF(ISNUMBER(INDEX(Products!$G$7:$G$13,MATCH('Replacement plan'!$B$22,Products!$A$7:$A$13,0))),INDEX(Products!$G$7:$G$13,MATCH('Replacement plan'!$B$22,Products!$A$7:$A$13,0)),"n.a."),IF(ISNUMBER(INDEX(Products!$H$7:$H$13,MATCH('Replacement plan'!$B$22,Products!$A$7:$A$13,0))),INDEX(Products!$H$7:$H$13,MATCH('Replacement plan'!$B$22,Products!$A$7:$A$13,0)),"n.a.")),0),"n.a.")</f>
        <v>0</v>
      </c>
      <c r="AI68" s="1">
        <f>IF(AND(C68=1,D68="EV",E68&lt;120),(VLOOKUP($A68,'Fleet register'!$A$7:$S$106,7,FALSE)+IF(T68&gt;0,'Operating costs'!$B$12,0))*U68*(1-'Operating costs'!$B$44)+'Operating costs'!$B$49,0)</f>
        <v>0</v>
      </c>
      <c r="AJ68" s="1">
        <f>IF(D68="EV",'Energy and charging'!$B$50,0)</f>
        <v>0</v>
      </c>
      <c r="AK68" s="17">
        <f>EDATE('Operating costs'!$B$63,E68)</f>
        <v>46298</v>
      </c>
      <c r="AL68" s="1">
        <f>IFERROR(IF(D68="EV",INDEX(Products!$B$7:$B$13,MATCH('Replacement plan'!$B$22,Products!$A$7:$A$13,0)),0),"n.a.")</f>
        <v>0</v>
      </c>
      <c r="AM68" s="1" t="str">
        <f>'Replacement plan'!$K$22</f>
        <v>DC</v>
      </c>
      <c r="AN68" s="1" t="str">
        <f>'Replacement plan'!$AE$22</f>
        <v>Assumed</v>
      </c>
      <c r="AO68" s="47">
        <f>IF(AND(C68=1,D68="EV",E68&lt;120),(R68-'Operating costs'!$B$41)*S68+W68*'Operating costs'!$B$12,0)</f>
        <v>0</v>
      </c>
      <c r="AP68" s="41">
        <f>IF(AND(C68=1,D68="EV",E68&lt;120),IF('Operating costs'!$B$68="Hong Seh 200k average",AO68*IFERROR(INDEX(Products!$P$7:$P$13,MATCH(AD68,Products!$A$7:$A$13,0)),"n.a."),'Operating costs'!$B$26),0)</f>
        <v>0</v>
      </c>
      <c r="AQ68" s="40" t="str">
        <f>IF(D68="EV",'Operating costs'!$B$68,"Not applicable")</f>
        <v>Not applicable</v>
      </c>
    </row>
    <row r="69" spans="1:43" ht="24" customHeight="1">
      <c r="A69" s="1" t="str">
        <f>'Replacement plan'!A22</f>
        <v>T016</v>
      </c>
      <c r="B69" s="1">
        <v>2</v>
      </c>
      <c r="C69" s="1">
        <f>IF(COUNTIFS('Fleet register'!$A$7:$A$106,$A69)=1,VLOOKUP($A69,'Fleet register'!$A$7:$S$106,2,FALSE),0)</f>
        <v>0</v>
      </c>
      <c r="D69" s="1" t="str">
        <f>IF('Replacement plan'!$O$22="EV","EV","ICE")</f>
        <v>ICE</v>
      </c>
      <c r="E69" s="1">
        <f>IF(C69=0,0,IF('Replacement plan'!$P$22="",IF('Replacement plan'!$O$22="Keep ICE",IF('Replacement plan'!$M$22="",VLOOKUP($A69,'Fleet register'!$A$7:$S$106,10,FALSE),'Replacement plan'!$M$22),0),'Replacement plan'!$P$22))</f>
        <v>0</v>
      </c>
      <c r="F69" s="16">
        <f>IF(C69=0,0,VLOOKUP($A69,'Fleet register'!$A$7:$S$106,11,FALSE))</f>
        <v>0</v>
      </c>
      <c r="G69" s="16">
        <f>IFERROR(IF(C69=0,0,IF(E69=120,0,IF(D69="ICE",'Replacement plan'!$C$22,IF('Replacement plan'!$D$22="",INDEX(Products!$I$7:$I$13,MATCH('Replacement plan'!$B$22,Products!$A$7:$A$13,0))+'Operating costs'!$B$57,'Replacement plan'!$D$22))*(1+'Operating costs'!$B$50)^(E69/12))),"n.a.")</f>
        <v>0</v>
      </c>
      <c r="H69" s="16">
        <f>IFERROR(IF(C69=0,0,IF('Replacement plan'!$U$22&lt;&gt;"",'Replacement plan'!$U$22,IF(E69=0,F69,VLOOKUP($A69,'Fleet register'!$A$7:$S$106,12,FALSE)+VLOOKUP($A69,'Fleet register'!$A$7:$S$106,13,FALSE)*MAX(0,VLOOKUP($A69,'Fleet register'!$A$7:$S$106,10,FALSE)-E69)/VLOOKUP($A69,'Fleet register'!$A$7:$S$106,14,FALSE)))),"n.a.")</f>
        <v>0</v>
      </c>
      <c r="I69" s="16">
        <f>IF(C69=0,0,IF(E69=120,0,'Replacement plan'!$Q$22))</f>
        <v>0</v>
      </c>
      <c r="J69" s="16">
        <f>IF(C69=0,0,IF(P69="Complete",((S69*(R69-'Operating costs'!$B$39))+ROUNDUP(S69*(R69-'Operating costs'!$B$39)*IF('Replacement plan'!$AG$22="",'Operating costs'!$B$7,'Replacement plan'!$AG$22)/('Operating costs'!$B$8-'Operating costs'!$B$9*IF('Replacement plan'!$AG$22="",'Operating costs'!$B$7,'Replacement plan'!$AG$22)),0)*'Operating costs'!$B$9)*IF('Replacement plan'!$AG$22="",'Operating costs'!$B$7,'Replacement plan'!$AG$22)*('Energy and charging'!$B$9*'Energy and charging'!$B$7+(1-'Energy and charging'!$B$9)*'Energy and charging'!$B$8)*'Operating costs'!$B$23,"n.a."))</f>
        <v>0</v>
      </c>
      <c r="K69" s="16">
        <f>IF(C69=0,0,IF(P69="Complete",SUM('Operating costs'!$B$24,'Operating costs'!$B$27,'Operating costs'!$B$29,'Operating costs'!$B$31,'Operating costs'!$B$33,'Operating costs'!$B$34,'Operating costs'!$B$37,'Replacement plan'!$W$22)+'Operating costs'!$B$39*'Operating costs'!$B$42+ROUNDUP(S69*(R69-'Operating costs'!$B$39)*IF('Replacement plan'!$AG$22="",'Operating costs'!$B$7,'Replacement plan'!$AG$22)/('Operating costs'!$B$8-'Operating costs'!$B$9*IF('Replacement plan'!$AG$22="",'Operating costs'!$B$7,'Replacement plan'!$AG$22)),0)*('Operating costs'!$B$9/'Operating costs'!$B$11+'Operating costs'!$B$10/60)*'Operating costs'!$B$19*'Operating costs'!$B$21,"n.a."))</f>
        <v>0</v>
      </c>
      <c r="L69" s="16">
        <f>IF(C69=0,0,IF(P69="Complete",IF(D69="EV",X69*((1-T69)*'Energy and charging'!$B$10+T69*'Energy and charging'!$B$11)*'Operating costs'!$B$22,AA69*('Energy and charging'!$B$9*'Energy and charging'!$B$7+(1-'Energy and charging'!$B$9)*'Energy and charging'!$B$8)*'Operating costs'!$B$23),"n.a."))</f>
        <v>0</v>
      </c>
      <c r="M69" s="37">
        <f>IF(C69=0,0,IF(P69="Complete",IF(D69="ICE",SUM('Operating costs'!$B$25,'Operating costs'!$B$27,'Operating costs'!$B$29,'Operating costs'!$B$31,'Operating costs'!$B$33,'Operating costs'!$B$35,'Operating costs'!$B$37,'Replacement plan'!$X$22)+'Operating costs'!$B$40*'Operating costs'!$B$42+ROUNDUP(S69*(R69-'Operating costs'!$B$40)*IF('Replacement plan'!$AH$22="",'Operating costs'!$B$7,'Replacement plan'!$AH$22)/('Operating costs'!$B$8-'Operating costs'!$B$9*IF('Replacement plan'!$AH$22="",'Operating costs'!$B$7,'Replacement plan'!$AH$22)),0)*('Operating costs'!$B$9/'Operating costs'!$B$11+'Operating costs'!$B$10/60)*'Operating costs'!$B$19*'Operating costs'!$B$21,SUM(AP69,'Operating costs'!$B$28,'Operating costs'!$B$30,'Operating costs'!$B$32,'Operating costs'!$B$33,'Operating costs'!$B$36,'Operating costs'!$B$38,'Replacement plan'!$Y$22)+'Operating costs'!$B$41*'Operating costs'!$B$43+W69*'Operating costs'!$B$15+(T69*X69/'Replacement plan'!$L$22+W69*('Operating costs'!$B$12/'Operating costs'!$B$11+('Operating costs'!$B$13+'Operating costs'!$B$14)/60)+(R69-'Operating costs'!$B$41)*(IF(T69&lt;1,'Operating costs'!$B$16,0)+'Operating costs'!$B$17)/60)*'Operating costs'!$B$19*'Operating costs'!$B$20),"n.a."))</f>
        <v>0</v>
      </c>
      <c r="N69" s="16">
        <f>IF(AND(C69=1,D69="EV",E69&lt;120,E69+'Replacement plan'!$AA$22&lt;=120),'Replacement plan'!$Z$22,0)</f>
        <v>0</v>
      </c>
      <c r="O69" s="1">
        <f>E69+'Replacement plan'!$AA$22</f>
        <v>0</v>
      </c>
      <c r="P69" s="35" t="str">
        <f>IFERROR(IF(C69=0,"Excluded",IF(OR(COUNTIFS('Fleet register'!$A$7:$A$106,A69)&lt;&gt;1,COUNTIFS('Replacement plan'!$A$7:$A$106,A69)&lt;&gt;1),"Duplicate/missing ID",IF(NOT(AND(ISNUMBER(VLOOKUP($A69,'Fleet register'!$A$7:$S$106,5,FALSE)),ISNUMBER(VLOOKUP($A69,'Fleet register'!$A$7:$S$106,6,FALSE)),ISNUMBER(VLOOKUP($A69,'Fleet register'!$A$7:$S$106,10,FALSE)),ISNUMBER(VLOOKUP($A69,'Fleet register'!$A$7:$S$106,11,FALSE)),ISNUMBER(VLOOKUP($A69,'Fleet register'!$A$7:$S$106,12,FALSE)),ISNUMBER(VLOOKUP($A69,'Fleet register'!$A$7:$S$106,13,FALSE)),ISNUMBER(VLOOKUP($A69,'Fleet register'!$A$7:$S$106,14,FALSE)),VLOOKUP($A69,'Fleet register'!$A$7:$S$106,14,FALSE)&gt;0,ISNUMBER('Replacement plan'!$C$22),OR(E69=120,ISNUMBER('Replacement plan'!$Q$22)),ISNUMBER(E69))),"Missing vehicle input",IF(OR(E69&lt;0,E69&gt;VLOOKUP($A69,'Fleet register'!$A$7:$S$106,10,FALSE),E69&gt;120,E69&lt;&gt;INT(E69),VLOOKUP($A69,'Fleet register'!$A$7:$S$106,6,FALSE)&lt;=0,VLOOKUP($A69,'Fleet register'!$A$7:$S$106,6,FALSE)&gt;366,VLOOKUP($A69,'Fleet register'!$A$7:$S$106,5,FALSE)&lt;0,VLOOKUP($A69,'Fleet register'!$A$7:$S$106,11,FALSE)&lt;0,I69&lt;0,'Operating costs'!$B$8&lt;='Operating costs'!$B$7*'Operating costs'!$B$9,'Operating costs'!$B$11&lt;=0,'Operating costs'!$B$39&gt;R69,'Operating costs'!$B$40&gt;R69,'Operating costs'!$B$41&gt;R69,NOT(OR('Replacement plan'!$O$22="Keep ICE",'Replacement plan'!$O$22="New ICE",'Replacement plan'!$O$22="EV"))),"Invalid vehicle input",IF(AND(D69="EV",E69&lt;120,OR(NOT(ISNUMBER(U69)),NOT(ISNUMBER(V69)),V69&lt;=0,T69&lt;0,T69&gt;1,'Replacement plan'!$L$22&lt;=0,'Operating costs'!$B$44&lt;0,'Operating costs'!$B$44&gt;=1,'Operating costs'!$B$47&lt;=0,'Operating costs'!$B$47&gt;1,V69*'Operating costs'!$B$47/(1-'Operating costs'!$B$44)&lt;=T69*'Operating costs'!$B$12*U69,AND('Replacement plan'!$Z$22&gt;0,OR('Replacement plan'!$AB$22&lt;&gt;"Yes",'Operating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charging'!$B$8&gt;=0))),ISNUMBER(VLOOKUP($A69,'Fleet register'!$A$7:$S$106,15,FALSE)),ISNUMBER(VLOOKUP($A69,'Fleet register'!$A$7:$S$106,16,FALSE)),ISNUMBER('Replacement plan'!$W$22),ISNUMBER('Replacement plan'!$X$22),OR(E69=120,AND(ISNUMBER(G69),G69&gt;=0)),ISNUMBER(H69),H69&gt;=0,OR(D69&lt;&gt;"EV",E69=120,AND(ISNUMBER('Operating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average",ISNUMBER(IFERROR(INDEX(Products!$P$7:$P$13,MATCH(AD69,Products!$A$7:$A$13,0)),"")))),ISNUMBER('Operating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plan'!$Y$22),ISNUMBER('Replacement plan'!$Z$22),'Replacement plan'!$Z$22&gt;=0,ISNUMBER('Replacement plan'!$AA$22),'Replacement plan'!$AA$22&gt;=0,'Replacement plan'!$AA$22=INT('Replacement plan'!$AA$22),ISNUMBER('Replacement plan'!$L$22))),'Operating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plan'!$AG$22="",'Operating costs'!$B$7,'Replacement plan'!$AG$22)),IF('Replacement plan'!$AG$22="",'Operating costs'!$B$7,'Replacement plan'!$AG$22)&gt;=0,ISNUMBER(IF('Replacement plan'!$AH$22="",'Operating costs'!$B$7,'Replacement plan'!$AH$22)),IF('Replacement plan'!$AH$22="",'Operating costs'!$B$7,'Replacement plan'!$AH$22)&gt;=0,'Operating costs'!$B$8&gt;MAX(IF('Replacement plan'!$AG$22="",'Operating costs'!$B$7,'Replacement plan'!$AG$22),IF('Replacement plan'!$AH$22="",'Operating costs'!$B$7,'Replacement plan'!$AH$22))*'Operating costs'!$B$9),IF(AND(VLOOKUP($A69,'Fleet register'!$A$7:$S$106,10,FALSE)&gt;=0,VLOOKUP($A69,'Fleet register'!$A$7:$S$106,10,FALSE)&lt;=120,VLOOKUP($A69,'Fleet register'!$A$7:$S$106,10,FALSE)=INT(VLOOKUP($A69,'Fleet register'!$A$7:$S$106,10,FALSE)),VLOOKUP($A69,'Fleet register'!$A$7:$S$106,15,FALSE)&gt;=0,VLOOKUP($A69,'Fleet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costs'!$B$67)&gt;=0,OR(D69&lt;&gt;"EV",E69=120,AND(MIN('Operating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69" s="1" t="str">
        <f>IF(C69=0,"Excluded",IF(P69&lt;&gt;"Complete",P69,IF(OR('Replacement plan'!$AD$22&lt;120-E69,AND(D69="EV",E69&lt;120,OR('Replacement plan'!$AC$22&lt;120-E69,'Replacement plan'!$I$22="No",AND(ISNUMBER(AF69),AE69&gt;AF69),AI69&gt;V69*(1-'Operating costs'!$B$46)^MAX(0,AB69-1)*(1-'Operating costs'!$B$45),AC69&gt;'Operating costs'!$B$18,AND(T69&lt;1,OR(AG69&lt;=0,AND(ISNUMBER(AH69),AG69&gt;AH69))),'Replacement plan'!$L$22&gt;INDEX(Products!$H$7:$H$13,MATCH('Replacement plan'!$B$22,Products!$A$7:$A$13,0))))),"Fails entered limits",IF(AND(D69="EV",E69&lt;120,OR(NOT(ISNUMBER(VLOOKUP($A69,'Fleet register'!$A$7:$S$106,7,FALSE))),NOT(ISNUMBER(VLOOKUP($A69,'Fleet register'!$A$7:$S$106,8,FALSE))),NOT(ISNUMBER(AF69)),'Replacement plan'!$I$22&lt;&gt;"Yes",NOT(ISNUMBER(AH69)),'Operating costs'!$B$59&lt;&gt;"Yes",'Operating costs'!$B$58&lt;&gt;"Yes")),"Unverified","Within entered limits"))))</f>
        <v>Excluded</v>
      </c>
      <c r="R69" s="1">
        <f>IF(C69=0,0,VLOOKUP($A69,'Fleet register'!$A$7:$S$106,6,FALSE))</f>
        <v>0</v>
      </c>
      <c r="S69" s="1">
        <f>IF(C69=0,0,VLOOKUP($A69,'Fleet register'!$A$7:$S$106,5,FALSE))</f>
        <v>0</v>
      </c>
      <c r="T69" s="1">
        <f>IF(D69="EV",'Energy and charging'!$B$12,0)</f>
        <v>0</v>
      </c>
      <c r="U69" s="1">
        <f>IFERROR(IF(C69=0,0,IF(D69="EV",IF('Replacement plan'!$F$22="",INDEX(Products!$E$7:$E$13,MATCH('Replacement plan'!$B$22,Products!$A$7:$A$13,0)),'Replacement plan'!$F$22)/IF('Replacement plan'!$G$22="Battery",1-'Operating costs'!$B$44,1),0)),"n.a.")</f>
        <v>0</v>
      </c>
      <c r="V69" s="1">
        <f>IFERROR(IF(C69=0,0,IF(D69="EV",IF('Replacement plan'!$E$22="",INDEX(Products!$D$7:$D$13,MATCH('Replacement plan'!$B$22,Products!$A$7:$A$13,0)),'Replacement plan'!$E$22),0)),"n.a.")</f>
        <v>0</v>
      </c>
      <c r="W69" s="1">
        <f>IF(C69=0,0,IF(AND(P69="Complete",D69="EV",E69&lt;120),IF(T69=0,0,ROUNDUP(T69*(R69-'Operating costs'!$B$41)*(S69*U69+'Operating costs'!$B$48/(1-'Operating costs'!$B$44))/(V69*'Operating costs'!$B$47/(1-'Operating costs'!$B$44)-T69*'Operating costs'!$B$12*U69),0)),0))</f>
        <v>0</v>
      </c>
      <c r="X69" s="1">
        <f>IF(C69=0,0,IF(AND(P69="Complete",D69="EV",E69&lt;120),(R69-'Operating costs'!$B$41)*(S69*U69+'Operating costs'!$B$48/(1-'Operating costs'!$B$44))+W69*'Operating costs'!$B$12*U69,0))</f>
        <v>0</v>
      </c>
      <c r="Y69" s="1">
        <f>IF(AND(C69=1,D69="EV",E69&lt;120),AI69/(1-'Operating costs'!$B$44)*(1-T69),0)</f>
        <v>0</v>
      </c>
      <c r="Z69" s="1">
        <f t="shared" si="0"/>
        <v>0</v>
      </c>
      <c r="AA69" s="1">
        <f>IF(C69=0,0,IF(P69="Complete",((S69*(R69-'Operating costs'!$B$40))+ROUNDUP(S69*(R69-'Operating costs'!$B$40)*IF('Replacement plan'!$AH$22="",'Operating costs'!$B$7,'Replacement plan'!$AH$22)/('Operating costs'!$B$8-'Operating costs'!$B$9*IF('Replacement plan'!$AH$22="",'Operating costs'!$B$7,'Replacement plan'!$AH$22)),0)*'Operating costs'!$B$9)*IF('Replacement plan'!$AH$22="",'Operating costs'!$B$7,'Replacement plan'!$AH$22),"n.a."))</f>
        <v>0</v>
      </c>
      <c r="AB69" s="1">
        <f t="shared" si="1"/>
        <v>0</v>
      </c>
      <c r="AC69" s="1">
        <f>IF(AND(C69=1,D69="EV",E69&lt;120,T69&gt;0),'Operating costs'!$B$12/'Operating costs'!$B$11*60+'Operating costs'!$B$13+'Operating costs'!$B$14+V69*'Operating costs'!$B$47/(1-'Operating costs'!$B$44)/'Replacement plan'!$L$22*60,0)</f>
        <v>0</v>
      </c>
      <c r="AD69" s="1" t="str">
        <f>'Replacement plan'!$B$22</f>
        <v>ChengLong L2EV</v>
      </c>
      <c r="AE69" s="1">
        <f>IF(C69=0,0,VLOOKUP($A69,'Fleet register'!$A$7:$S$106,8,FALSE))</f>
        <v>0</v>
      </c>
      <c r="AF69" s="1" t="str">
        <f>IF('Replacement plan'!$H$22="","n.a.",'Replacement plan'!$H$22)</f>
        <v>n.a.</v>
      </c>
      <c r="AG69" s="1">
        <f>'Replacement plan'!$J$22</f>
        <v>22</v>
      </c>
      <c r="AH69" s="1">
        <f>IFERROR(IF(D69="EV",IF('Replacement plan'!$K$22="AC",IF(ISNUMBER(INDEX(Products!$G$7:$G$13,MATCH('Replacement plan'!$B$22,Products!$A$7:$A$13,0))),INDEX(Products!$G$7:$G$13,MATCH('Replacement plan'!$B$22,Products!$A$7:$A$13,0)),"n.a."),IF(ISNUMBER(INDEX(Products!$H$7:$H$13,MATCH('Replacement plan'!$B$22,Products!$A$7:$A$13,0))),INDEX(Products!$H$7:$H$13,MATCH('Replacement plan'!$B$22,Products!$A$7:$A$13,0)),"n.a.")),0),"n.a.")</f>
        <v>0</v>
      </c>
      <c r="AI69" s="1">
        <f>IF(AND(C69=1,D69="EV",E69&lt;120),(VLOOKUP($A69,'Fleet register'!$A$7:$S$106,7,FALSE)+IF(T69&gt;0,'Operating costs'!$B$12,0))*U69*(1-'Operating costs'!$B$44)+'Operating costs'!$B$49,0)</f>
        <v>0</v>
      </c>
      <c r="AJ69" s="1">
        <f>IF(D69="EV",'Energy and charging'!$B$50,0)</f>
        <v>0</v>
      </c>
      <c r="AK69" s="17">
        <f>EDATE('Operating costs'!$B$63,E69)</f>
        <v>46298</v>
      </c>
      <c r="AL69" s="1">
        <f>IFERROR(IF(D69="EV",INDEX(Products!$B$7:$B$13,MATCH('Replacement plan'!$B$22,Products!$A$7:$A$13,0)),0),"n.a.")</f>
        <v>0</v>
      </c>
      <c r="AM69" s="1" t="str">
        <f>'Replacement plan'!$K$22</f>
        <v>DC</v>
      </c>
      <c r="AN69" s="1" t="str">
        <f>'Replacement plan'!$AE$22</f>
        <v>Assumed</v>
      </c>
      <c r="AO69" s="47">
        <f>IF(AND(C69=1,D69="EV",E69&lt;120),(R69-'Operating costs'!$B$41)*S69+W69*'Operating costs'!$B$12,0)</f>
        <v>0</v>
      </c>
      <c r="AP69" s="41">
        <f>IF(AND(C69=1,D69="EV",E69&lt;120),IF('Operating costs'!$B$68="Hong Seh 200k average",AO69*IFERROR(INDEX(Products!$P$7:$P$13,MATCH(AD69,Products!$A$7:$A$13,0)),"n.a."),'Operating costs'!$B$26),0)</f>
        <v>0</v>
      </c>
      <c r="AQ69" s="40" t="str">
        <f>IF(D69="EV",'Operating costs'!$B$68,"Not applicable")</f>
        <v>Not applicable</v>
      </c>
    </row>
    <row r="70" spans="1:43" ht="24" customHeight="1">
      <c r="A70" s="1" t="str">
        <f>'Replacement plan'!A22</f>
        <v>T016</v>
      </c>
      <c r="B70" s="1">
        <v>3</v>
      </c>
      <c r="C70" s="1">
        <f>IF(COUNTIFS('Fleet register'!$A$7:$A$106,$A70)=1,VLOOKUP($A70,'Fleet register'!$A$7:$S$106,2,FALSE),0)</f>
        <v>0</v>
      </c>
      <c r="D70" s="1" t="str">
        <f>IF('Replacement plan'!$R$22="EV","EV","ICE")</f>
        <v>ICE</v>
      </c>
      <c r="E70" s="1">
        <f>IF(C70=0,0,IF('Replacement plan'!$S$22="",IF('Replacement plan'!$R$22="Keep ICE",IF('Replacement plan'!$M$22="",VLOOKUP($A70,'Fleet register'!$A$7:$S$106,10,FALSE),'Replacement plan'!$M$22),0),'Replacement plan'!$S$22))</f>
        <v>0</v>
      </c>
      <c r="F70" s="16">
        <f>IF(C70=0,0,VLOOKUP($A70,'Fleet register'!$A$7:$S$106,11,FALSE))</f>
        <v>0</v>
      </c>
      <c r="G70" s="16">
        <f>IFERROR(IF(C70=0,0,IF(E70=120,0,IF(D70="ICE",'Replacement plan'!$C$22,IF('Replacement plan'!$D$22="",INDEX(Products!$I$7:$I$13,MATCH('Replacement plan'!$B$22,Products!$A$7:$A$13,0))+'Operating costs'!$B$57,'Replacement plan'!$D$22))*(1+'Operating costs'!$B$50)^(E70/12))),"n.a.")</f>
        <v>0</v>
      </c>
      <c r="H70" s="16">
        <f>IFERROR(IF(C70=0,0,IF('Replacement plan'!$V$22&lt;&gt;"",'Replacement plan'!$V$22,IF(E70=0,F70,VLOOKUP($A70,'Fleet register'!$A$7:$S$106,12,FALSE)+VLOOKUP($A70,'Fleet register'!$A$7:$S$106,13,FALSE)*MAX(0,VLOOKUP($A70,'Fleet register'!$A$7:$S$106,10,FALSE)-E70)/VLOOKUP($A70,'Fleet register'!$A$7:$S$106,14,FALSE)))),"n.a.")</f>
        <v>0</v>
      </c>
      <c r="I70" s="16">
        <f>IF(C70=0,0,IF(E70=120,0,'Replacement plan'!$T$22))</f>
        <v>0</v>
      </c>
      <c r="J70" s="16">
        <f>IF(C70=0,0,IF(P70="Complete",((S70*(R70-'Operating costs'!$B$39))+ROUNDUP(S70*(R70-'Operating costs'!$B$39)*IF('Replacement plan'!$AG$22="",'Operating costs'!$B$7,'Replacement plan'!$AG$22)/('Operating costs'!$B$8-'Operating costs'!$B$9*IF('Replacement plan'!$AG$22="",'Operating costs'!$B$7,'Replacement plan'!$AG$22)),0)*'Operating costs'!$B$9)*IF('Replacement plan'!$AG$22="",'Operating costs'!$B$7,'Replacement plan'!$AG$22)*('Energy and charging'!$C$9*'Energy and charging'!$C$7+(1-'Energy and charging'!$C$9)*'Energy and charging'!$C$8)*'Operating costs'!$B$23,"n.a."))</f>
        <v>0</v>
      </c>
      <c r="K70" s="16">
        <f>IF(C70=0,0,IF(P70="Complete",SUM('Operating costs'!$B$24,'Operating costs'!$B$27,'Operating costs'!$B$29,'Operating costs'!$B$31,'Operating costs'!$B$33,'Operating costs'!$B$34,'Operating costs'!$B$37,'Replacement plan'!$W$22)+'Operating costs'!$B$39*'Operating costs'!$B$42+ROUNDUP(S70*(R70-'Operating costs'!$B$39)*IF('Replacement plan'!$AG$22="",'Operating costs'!$B$7,'Replacement plan'!$AG$22)/('Operating costs'!$B$8-'Operating costs'!$B$9*IF('Replacement plan'!$AG$22="",'Operating costs'!$B$7,'Replacement plan'!$AG$22)),0)*('Operating costs'!$B$9/'Operating costs'!$B$11+'Operating costs'!$B$10/60)*'Operating costs'!$B$19*'Operating costs'!$B$21,"n.a."))</f>
        <v>0</v>
      </c>
      <c r="L70" s="16">
        <f>IF(C70=0,0,IF(P70="Complete",IF(D70="EV",X70*((1-T70)*'Energy and charging'!$C$10+T70*'Energy and charging'!$C$11)*'Operating costs'!$B$22,AA70*('Energy and charging'!$C$9*'Energy and charging'!$C$7+(1-'Energy and charging'!$C$9)*'Energy and charging'!$C$8)*'Operating costs'!$B$23),"n.a."))</f>
        <v>0</v>
      </c>
      <c r="M70" s="37">
        <f>IF(C70=0,0,IF(P70="Complete",IF(D70="ICE",SUM('Operating costs'!$B$25,'Operating costs'!$B$27,'Operating costs'!$B$29,'Operating costs'!$B$31,'Operating costs'!$B$33,'Operating costs'!$B$35,'Operating costs'!$B$37,'Replacement plan'!$X$22)+'Operating costs'!$B$40*'Operating costs'!$B$42+ROUNDUP(S70*(R70-'Operating costs'!$B$40)*IF('Replacement plan'!$AH$22="",'Operating costs'!$B$7,'Replacement plan'!$AH$22)/('Operating costs'!$B$8-'Operating costs'!$B$9*IF('Replacement plan'!$AH$22="",'Operating costs'!$B$7,'Replacement plan'!$AH$22)),0)*('Operating costs'!$B$9/'Operating costs'!$B$11+'Operating costs'!$B$10/60)*'Operating costs'!$B$19*'Operating costs'!$B$21,SUM(AP70,'Operating costs'!$B$28,'Operating costs'!$B$30,'Operating costs'!$B$32,'Operating costs'!$B$33,'Operating costs'!$B$36,'Operating costs'!$B$38,'Replacement plan'!$Y$22)+'Operating costs'!$B$41*'Operating costs'!$B$43+W70*'Operating costs'!$B$15+(T70*X70/'Replacement plan'!$L$22+W70*('Operating costs'!$B$12/'Operating costs'!$B$11+('Operating costs'!$B$13+'Operating costs'!$B$14)/60)+(R70-'Operating costs'!$B$41)*(IF(T70&lt;1,'Operating costs'!$B$16,0)+'Operating costs'!$B$17)/60)*'Operating costs'!$B$19*'Operating costs'!$B$20),"n.a."))</f>
        <v>0</v>
      </c>
      <c r="N70" s="16">
        <f>IF(AND(C70=1,D70="EV",E70&lt;120,E70+'Replacement plan'!$AA$22&lt;=120),'Replacement plan'!$Z$22,0)</f>
        <v>0</v>
      </c>
      <c r="O70" s="1">
        <f>E70+'Replacement plan'!$AA$22</f>
        <v>0</v>
      </c>
      <c r="P70" s="35" t="str">
        <f>IFERROR(IF(C70=0,"Excluded",IF(OR(COUNTIFS('Fleet register'!$A$7:$A$106,A70)&lt;&gt;1,COUNTIFS('Replacement plan'!$A$7:$A$106,A70)&lt;&gt;1),"Duplicate/missing ID",IF(NOT(AND(ISNUMBER(VLOOKUP($A70,'Fleet register'!$A$7:$S$106,5,FALSE)),ISNUMBER(VLOOKUP($A70,'Fleet register'!$A$7:$S$106,6,FALSE)),ISNUMBER(VLOOKUP($A70,'Fleet register'!$A$7:$S$106,10,FALSE)),ISNUMBER(VLOOKUP($A70,'Fleet register'!$A$7:$S$106,11,FALSE)),ISNUMBER(VLOOKUP($A70,'Fleet register'!$A$7:$S$106,12,FALSE)),ISNUMBER(VLOOKUP($A70,'Fleet register'!$A$7:$S$106,13,FALSE)),ISNUMBER(VLOOKUP($A70,'Fleet register'!$A$7:$S$106,14,FALSE)),VLOOKUP($A70,'Fleet register'!$A$7:$S$106,14,FALSE)&gt;0,ISNUMBER('Replacement plan'!$C$22),OR(E70=120,ISNUMBER('Replacement plan'!$T$22)),ISNUMBER(E70))),"Missing vehicle input",IF(OR(E70&lt;0,E70&gt;VLOOKUP($A70,'Fleet register'!$A$7:$S$106,10,FALSE),E70&gt;120,E70&lt;&gt;INT(E70),VLOOKUP($A70,'Fleet register'!$A$7:$S$106,6,FALSE)&lt;=0,VLOOKUP($A70,'Fleet register'!$A$7:$S$106,6,FALSE)&gt;366,VLOOKUP($A70,'Fleet register'!$A$7:$S$106,5,FALSE)&lt;0,VLOOKUP($A70,'Fleet register'!$A$7:$S$106,11,FALSE)&lt;0,I70&lt;0,'Operating costs'!$B$8&lt;='Operating costs'!$B$7*'Operating costs'!$B$9,'Operating costs'!$B$11&lt;=0,'Operating costs'!$B$39&gt;R70,'Operating costs'!$B$40&gt;R70,'Operating costs'!$B$41&gt;R70,NOT(OR('Replacement plan'!$R$22="Keep ICE",'Replacement plan'!$R$22="New ICE",'Replacement plan'!$R$22="EV"))),"Invalid vehicle input",IF(AND(D70="EV",E70&lt;120,OR(NOT(ISNUMBER(U70)),NOT(ISNUMBER(V70)),V70&lt;=0,T70&lt;0,T70&gt;1,'Replacement plan'!$L$22&lt;=0,'Operating costs'!$B$44&lt;0,'Operating costs'!$B$44&gt;=1,'Operating costs'!$B$47&lt;=0,'Operating costs'!$B$47&gt;1,V70*'Operating costs'!$B$47/(1-'Operating costs'!$B$44)&lt;=T70*'Operating costs'!$B$12*U70,AND('Replacement plan'!$Z$22&gt;0,OR('Replacement plan'!$AB$22&lt;&gt;"Yes",'Operating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charging'!$C$8&gt;=0))),ISNUMBER(VLOOKUP($A70,'Fleet register'!$A$7:$S$106,15,FALSE)),ISNUMBER(VLOOKUP($A70,'Fleet register'!$A$7:$S$106,16,FALSE)),ISNUMBER('Replacement plan'!$W$22),ISNUMBER('Replacement plan'!$X$22),OR(E70=120,AND(ISNUMBER(G70),G70&gt;=0)),ISNUMBER(H70),H70&gt;=0,OR(D70&lt;&gt;"EV",E70=120,AND(ISNUMBER('Operating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average",ISNUMBER(IFERROR(INDEX(Products!$P$7:$P$13,MATCH(AD70,Products!$A$7:$A$13,0)),"")))),ISNUMBER('Operating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plan'!$Y$22),ISNUMBER('Replacement plan'!$Z$22),'Replacement plan'!$Z$22&gt;=0,ISNUMBER('Replacement plan'!$AA$22),'Replacement plan'!$AA$22&gt;=0,'Replacement plan'!$AA$22=INT('Replacement plan'!$AA$22),ISNUMBER('Replacement plan'!$L$22))),'Operating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plan'!$AG$22="",'Operating costs'!$B$7,'Replacement plan'!$AG$22)),IF('Replacement plan'!$AG$22="",'Operating costs'!$B$7,'Replacement plan'!$AG$22)&gt;=0,ISNUMBER(IF('Replacement plan'!$AH$22="",'Operating costs'!$B$7,'Replacement plan'!$AH$22)),IF('Replacement plan'!$AH$22="",'Operating costs'!$B$7,'Replacement plan'!$AH$22)&gt;=0,'Operating costs'!$B$8&gt;MAX(IF('Replacement plan'!$AG$22="",'Operating costs'!$B$7,'Replacement plan'!$AG$22),IF('Replacement plan'!$AH$22="",'Operating costs'!$B$7,'Replacement plan'!$AH$22))*'Operating costs'!$B$9),IF(AND(VLOOKUP($A70,'Fleet register'!$A$7:$S$106,10,FALSE)&gt;=0,VLOOKUP($A70,'Fleet register'!$A$7:$S$106,10,FALSE)&lt;=120,VLOOKUP($A70,'Fleet register'!$A$7:$S$106,10,FALSE)=INT(VLOOKUP($A70,'Fleet register'!$A$7:$S$106,10,FALSE)),VLOOKUP($A70,'Fleet register'!$A$7:$S$106,15,FALSE)&gt;=0,VLOOKUP($A70,'Fleet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costs'!$B$67)&gt;=0,OR(D70&lt;&gt;"EV",E70=120,AND(MIN('Operating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70" s="1" t="str">
        <f>IF(C70=0,"Excluded",IF(P70&lt;&gt;"Complete",P70,IF(OR('Replacement plan'!$AD$22&lt;120-E70,AND(D70="EV",E70&lt;120,OR('Replacement plan'!$AC$22&lt;120-E70,'Replacement plan'!$I$22="No",AND(ISNUMBER(AF70),AE70&gt;AF70),AI70&gt;V70*(1-'Operating costs'!$B$46)^MAX(0,AB70-1)*(1-'Operating costs'!$B$45),AC70&gt;'Operating costs'!$B$18,AND(T70&lt;1,OR(AG70&lt;=0,AND(ISNUMBER(AH70),AG70&gt;AH70))),'Replacement plan'!$L$22&gt;INDEX(Products!$H$7:$H$13,MATCH('Replacement plan'!$B$22,Products!$A$7:$A$13,0))))),"Fails entered limits",IF(AND(D70="EV",E70&lt;120,OR(NOT(ISNUMBER(VLOOKUP($A70,'Fleet register'!$A$7:$S$106,7,FALSE))),NOT(ISNUMBER(VLOOKUP($A70,'Fleet register'!$A$7:$S$106,8,FALSE))),NOT(ISNUMBER(AF70)),'Replacement plan'!$I$22&lt;&gt;"Yes",NOT(ISNUMBER(AH70)),'Operating costs'!$B$59&lt;&gt;"Yes",'Operating costs'!$B$58&lt;&gt;"Yes")),"Unverified","Within entered limits"))))</f>
        <v>Excluded</v>
      </c>
      <c r="R70" s="1">
        <f>IF(C70=0,0,VLOOKUP($A70,'Fleet register'!$A$7:$S$106,6,FALSE))</f>
        <v>0</v>
      </c>
      <c r="S70" s="1">
        <f>IF(C70=0,0,VLOOKUP($A70,'Fleet register'!$A$7:$S$106,5,FALSE))</f>
        <v>0</v>
      </c>
      <c r="T70" s="1">
        <f>IF(D70="EV",'Energy and charging'!$C$12,0)</f>
        <v>0</v>
      </c>
      <c r="U70" s="1">
        <f>IFERROR(IF(C70=0,0,IF(D70="EV",IF('Replacement plan'!$F$22="",INDEX(Products!$E$7:$E$13,MATCH('Replacement plan'!$B$22,Products!$A$7:$A$13,0)),'Replacement plan'!$F$22)/IF('Replacement plan'!$G$22="Battery",1-'Operating costs'!$B$44,1),0)),"n.a.")</f>
        <v>0</v>
      </c>
      <c r="V70" s="1">
        <f>IFERROR(IF(C70=0,0,IF(D70="EV",IF('Replacement plan'!$E$22="",INDEX(Products!$D$7:$D$13,MATCH('Replacement plan'!$B$22,Products!$A$7:$A$13,0)),'Replacement plan'!$E$22),0)),"n.a.")</f>
        <v>0</v>
      </c>
      <c r="W70" s="1">
        <f>IF(C70=0,0,IF(AND(P70="Complete",D70="EV",E70&lt;120),IF(T70=0,0,ROUNDUP(T70*(R70-'Operating costs'!$B$41)*(S70*U70+'Operating costs'!$B$48/(1-'Operating costs'!$B$44))/(V70*'Operating costs'!$B$47/(1-'Operating costs'!$B$44)-T70*'Operating costs'!$B$12*U70),0)),0))</f>
        <v>0</v>
      </c>
      <c r="X70" s="1">
        <f>IF(C70=0,0,IF(AND(P70="Complete",D70="EV",E70&lt;120),(R70-'Operating costs'!$B$41)*(S70*U70+'Operating costs'!$B$48/(1-'Operating costs'!$B$44))+W70*'Operating costs'!$B$12*U70,0))</f>
        <v>0</v>
      </c>
      <c r="Y70" s="1">
        <f>IF(AND(C70=1,D70="EV",E70&lt;120),AI70/(1-'Operating costs'!$B$44)*(1-T70),0)</f>
        <v>0</v>
      </c>
      <c r="Z70" s="1">
        <f t="shared" si="0"/>
        <v>0</v>
      </c>
      <c r="AA70" s="1">
        <f>IF(C70=0,0,IF(P70="Complete",((S70*(R70-'Operating costs'!$B$40))+ROUNDUP(S70*(R70-'Operating costs'!$B$40)*IF('Replacement plan'!$AH$22="",'Operating costs'!$B$7,'Replacement plan'!$AH$22)/('Operating costs'!$B$8-'Operating costs'!$B$9*IF('Replacement plan'!$AH$22="",'Operating costs'!$B$7,'Replacement plan'!$AH$22)),0)*'Operating costs'!$B$9)*IF('Replacement plan'!$AH$22="",'Operating costs'!$B$7,'Replacement plan'!$AH$22),"n.a."))</f>
        <v>0</v>
      </c>
      <c r="AB70" s="1">
        <f t="shared" si="1"/>
        <v>0</v>
      </c>
      <c r="AC70" s="1">
        <f>IF(AND(C70=1,D70="EV",E70&lt;120,T70&gt;0),'Operating costs'!$B$12/'Operating costs'!$B$11*60+'Operating costs'!$B$13+'Operating costs'!$B$14+V70*'Operating costs'!$B$47/(1-'Operating costs'!$B$44)/'Replacement plan'!$L$22*60,0)</f>
        <v>0</v>
      </c>
      <c r="AD70" s="1" t="str">
        <f>'Replacement plan'!$B$22</f>
        <v>ChengLong L2EV</v>
      </c>
      <c r="AE70" s="1">
        <f>IF(C70=0,0,VLOOKUP($A70,'Fleet register'!$A$7:$S$106,8,FALSE))</f>
        <v>0</v>
      </c>
      <c r="AF70" s="1" t="str">
        <f>IF('Replacement plan'!$H$22="","n.a.",'Replacement plan'!$H$22)</f>
        <v>n.a.</v>
      </c>
      <c r="AG70" s="1">
        <f>'Replacement plan'!$J$22</f>
        <v>22</v>
      </c>
      <c r="AH70" s="1">
        <f>IFERROR(IF(D70="EV",IF('Replacement plan'!$K$22="AC",IF(ISNUMBER(INDEX(Products!$G$7:$G$13,MATCH('Replacement plan'!$B$22,Products!$A$7:$A$13,0))),INDEX(Products!$G$7:$G$13,MATCH('Replacement plan'!$B$22,Products!$A$7:$A$13,0)),"n.a."),IF(ISNUMBER(INDEX(Products!$H$7:$H$13,MATCH('Replacement plan'!$B$22,Products!$A$7:$A$13,0))),INDEX(Products!$H$7:$H$13,MATCH('Replacement plan'!$B$22,Products!$A$7:$A$13,0)),"n.a.")),0),"n.a.")</f>
        <v>0</v>
      </c>
      <c r="AI70" s="1">
        <f>IF(AND(C70=1,D70="EV",E70&lt;120),(VLOOKUP($A70,'Fleet register'!$A$7:$S$106,7,FALSE)+IF(T70&gt;0,'Operating costs'!$B$12,0))*U70*(1-'Operating costs'!$B$44)+'Operating costs'!$B$49,0)</f>
        <v>0</v>
      </c>
      <c r="AJ70" s="1">
        <f>IF(D70="EV",'Energy and charging'!$C$50,0)</f>
        <v>0</v>
      </c>
      <c r="AK70" s="17">
        <f>EDATE('Operating costs'!$B$63,E70)</f>
        <v>46298</v>
      </c>
      <c r="AL70" s="1">
        <f>IFERROR(IF(D70="EV",INDEX(Products!$B$7:$B$13,MATCH('Replacement plan'!$B$22,Products!$A$7:$A$13,0)),0),"n.a.")</f>
        <v>0</v>
      </c>
      <c r="AM70" s="1" t="str">
        <f>'Replacement plan'!$K$22</f>
        <v>DC</v>
      </c>
      <c r="AN70" s="1" t="str">
        <f>'Replacement plan'!$AE$22</f>
        <v>Assumed</v>
      </c>
      <c r="AO70" s="47">
        <f>IF(AND(C70=1,D70="EV",E70&lt;120),(R70-'Operating costs'!$B$41)*S70+W70*'Operating costs'!$B$12,0)</f>
        <v>0</v>
      </c>
      <c r="AP70" s="41">
        <f>IF(AND(C70=1,D70="EV",E70&lt;120),IF('Operating costs'!$B$68="Hong Seh 200k average",AO70*IFERROR(INDEX(Products!$P$7:$P$13,MATCH(AD70,Products!$A$7:$A$13,0)),"n.a."),'Operating costs'!$B$26),0)</f>
        <v>0</v>
      </c>
      <c r="AQ70" s="40" t="str">
        <f>IF(D70="EV",'Operating costs'!$B$68,"Not applicable")</f>
        <v>Not applicable</v>
      </c>
    </row>
    <row r="71" spans="1:43" ht="24" customHeight="1">
      <c r="A71" s="1" t="str">
        <f>'Replacement plan'!A23</f>
        <v>T017</v>
      </c>
      <c r="B71" s="1">
        <v>0</v>
      </c>
      <c r="C71" s="1">
        <f>IF(COUNTIFS('Fleet register'!$A$7:$A$106,$A71)=1,VLOOKUP($A71,'Fleet register'!$A$7:$S$106,2,FALSE),0)</f>
        <v>0</v>
      </c>
      <c r="D71" s="1" t="str">
        <f>IF("Keep ICE"="EV","EV","ICE")</f>
        <v>ICE</v>
      </c>
      <c r="E71" s="1">
        <f>IF(C71=0,0,IF('Replacement plan'!$M$23="",VLOOKUP($A71,'Fleet register'!$A$7:$S$106,10,FALSE),'Replacement plan'!$M$23))</f>
        <v>0</v>
      </c>
      <c r="F71" s="16">
        <f>IF(C71=0,0,VLOOKUP($A71,'Fleet register'!$A$7:$S$106,11,FALSE))</f>
        <v>0</v>
      </c>
      <c r="G71" s="16">
        <f>IFERROR(IF(C71=0,0,IF(E71=120,0,IF(D71="ICE",'Replacement plan'!$C$23,IF('Replacement plan'!$D$23="",INDEX(Products!$I$7:$I$13,MATCH('Replacement plan'!$B$23,Products!$A$7:$A$13,0))+'Operating costs'!$B$57,'Replacement plan'!$D$23))*(1+'Operating costs'!$B$50)^(E71/12))),"n.a.")</f>
        <v>0</v>
      </c>
      <c r="H71" s="16">
        <f>IFERROR(IF(C71=0,0,IF(E71=0,F71,VLOOKUP($A71,'Fleet register'!$A$7:$S$106,12,FALSE)+VLOOKUP($A71,'Fleet register'!$A$7:$S$106,13,FALSE)*MAX(0,VLOOKUP($A71,'Fleet register'!$A$7:$S$106,10,FALSE)-E71)/VLOOKUP($A71,'Fleet register'!$A$7:$S$106,14,FALSE))),"n.a.")</f>
        <v>0</v>
      </c>
      <c r="I71" s="16">
        <f>IF(C71=0,0,IF(E71=120,0,'Replacement plan'!$N$23))</f>
        <v>0</v>
      </c>
      <c r="J71" s="16">
        <f>IF(C71=0,0,IF(P71="Complete",((S71*(R71-'Operating costs'!$B$39))+ROUNDUP(S71*(R71-'Operating costs'!$B$39)*IF('Replacement plan'!$AG$23="",'Operating costs'!$B$7,'Replacement plan'!$AG$23)/('Operating costs'!$B$8-'Operating costs'!$B$9*IF('Replacement plan'!$AG$23="",'Operating costs'!$B$7,'Replacement plan'!$AG$23)),0)*'Operating costs'!$B$9)*IF('Replacement plan'!$AG$23="",'Operating costs'!$B$7,'Replacement plan'!$AG$23)*('Energy and charging'!$B$9*'Energy and charging'!$B$7+(1-'Energy and charging'!$B$9)*'Energy and charging'!$B$8)*'Operating costs'!$B$23,"n.a."))</f>
        <v>0</v>
      </c>
      <c r="K71" s="16">
        <f>IF(C71=0,0,IF(P71="Complete",SUM('Operating costs'!$B$24,'Operating costs'!$B$27,'Operating costs'!$B$29,'Operating costs'!$B$31,'Operating costs'!$B$33,'Operating costs'!$B$34,'Operating costs'!$B$37,'Replacement plan'!$W$23)+'Operating costs'!$B$39*'Operating costs'!$B$42+ROUNDUP(S71*(R71-'Operating costs'!$B$39)*IF('Replacement plan'!$AG$23="",'Operating costs'!$B$7,'Replacement plan'!$AG$23)/('Operating costs'!$B$8-'Operating costs'!$B$9*IF('Replacement plan'!$AG$23="",'Operating costs'!$B$7,'Replacement plan'!$AG$23)),0)*('Operating costs'!$B$9/'Operating costs'!$B$11+'Operating costs'!$B$10/60)*'Operating costs'!$B$19*'Operating costs'!$B$21,"n.a."))</f>
        <v>0</v>
      </c>
      <c r="L71" s="16">
        <f>IF(C71=0,0,IF(P71="Complete",IF(D71="EV",X71*((1-T71)*'Energy and charging'!$B$10+T71*'Energy and charging'!$B$11)*'Operating costs'!$B$22,AA71*('Energy and charging'!$B$9*'Energy and charging'!$B$7+(1-'Energy and charging'!$B$9)*'Energy and charging'!$B$8)*'Operating costs'!$B$23),"n.a."))</f>
        <v>0</v>
      </c>
      <c r="M71" s="37">
        <f>IF(C71=0,0,IF(P71="Complete",IF(D71="ICE",SUM('Operating costs'!$B$25,'Operating costs'!$B$27,'Operating costs'!$B$29,'Operating costs'!$B$31,'Operating costs'!$B$33,'Operating costs'!$B$35,'Operating costs'!$B$37,'Replacement plan'!$X$23)+'Operating costs'!$B$40*'Operating costs'!$B$42+ROUNDUP(S71*(R71-'Operating costs'!$B$40)*IF('Replacement plan'!$AH$23="",'Operating costs'!$B$7,'Replacement plan'!$AH$23)/('Operating costs'!$B$8-'Operating costs'!$B$9*IF('Replacement plan'!$AH$23="",'Operating costs'!$B$7,'Replacement plan'!$AH$23)),0)*('Operating costs'!$B$9/'Operating costs'!$B$11+'Operating costs'!$B$10/60)*'Operating costs'!$B$19*'Operating costs'!$B$21,SUM(AP71,'Operating costs'!$B$28,'Operating costs'!$B$30,'Operating costs'!$B$32,'Operating costs'!$B$33,'Operating costs'!$B$36,'Operating costs'!$B$38,'Replacement plan'!$Y$23)+'Operating costs'!$B$41*'Operating costs'!$B$43+W71*'Operating costs'!$B$15+(T71*X71/'Replacement plan'!$L$23+W71*('Operating costs'!$B$12/'Operating costs'!$B$11+('Operating costs'!$B$13+'Operating costs'!$B$14)/60)+(R71-'Operating costs'!$B$41)*(IF(T71&lt;1,'Operating costs'!$B$16,0)+'Operating costs'!$B$17)/60)*'Operating costs'!$B$19*'Operating costs'!$B$20),"n.a."))</f>
        <v>0</v>
      </c>
      <c r="N71" s="16">
        <f>IF(AND(C71=1,D71="EV",E71&lt;120,E71+'Replacement plan'!$AA$23&lt;=120),'Replacement plan'!$Z$23,0)</f>
        <v>0</v>
      </c>
      <c r="O71" s="1">
        <f>E71+'Replacement plan'!$AA$23</f>
        <v>0</v>
      </c>
      <c r="P71" s="35" t="str">
        <f>IFERROR(IF(C71=0,"Excluded",IF(OR(COUNTIFS('Fleet register'!$A$7:$A$106,A71)&lt;&gt;1,COUNTIFS('Replacement plan'!$A$7:$A$106,A71)&lt;&gt;1),"Duplicate/missing ID",IF(NOT(AND(ISNUMBER(VLOOKUP($A71,'Fleet register'!$A$7:$S$106,5,FALSE)),ISNUMBER(VLOOKUP($A71,'Fleet register'!$A$7:$S$106,6,FALSE)),ISNUMBER(VLOOKUP($A71,'Fleet register'!$A$7:$S$106,10,FALSE)),ISNUMBER(VLOOKUP($A71,'Fleet register'!$A$7:$S$106,11,FALSE)),ISNUMBER(VLOOKUP($A71,'Fleet register'!$A$7:$S$106,12,FALSE)),ISNUMBER(VLOOKUP($A71,'Fleet register'!$A$7:$S$106,13,FALSE)),ISNUMBER(VLOOKUP($A71,'Fleet register'!$A$7:$S$106,14,FALSE)),VLOOKUP($A71,'Fleet register'!$A$7:$S$106,14,FALSE)&gt;0,ISNUMBER('Replacement plan'!$C$23),OR(E71=120,ISNUMBER('Replacement plan'!$N$23)),ISNUMBER(E71))),"Missing vehicle input",IF(OR(E71&lt;0,E71&gt;VLOOKUP($A71,'Fleet register'!$A$7:$S$106,10,FALSE),E71&gt;120,E71&lt;&gt;INT(E71),VLOOKUP($A71,'Fleet register'!$A$7:$S$106,6,FALSE)&lt;=0,VLOOKUP($A71,'Fleet register'!$A$7:$S$106,6,FALSE)&gt;366,VLOOKUP($A71,'Fleet register'!$A$7:$S$106,5,FALSE)&lt;0,VLOOKUP($A71,'Fleet register'!$A$7:$S$106,11,FALSE)&lt;0,I71&lt;0,'Operating costs'!$B$8&lt;='Operating costs'!$B$7*'Operating costs'!$B$9,'Operating costs'!$B$11&lt;=0,'Operating costs'!$B$39&gt;R71,'Operating costs'!$B$40&gt;R71,'Operating costs'!$B$41&gt;R71,NOT(OR("Keep ICE"="Keep ICE","Keep ICE"="New ICE","Keep ICE"="EV"))),"Invalid vehicle input",IF(AND(D71="EV",E71&lt;120,OR(NOT(ISNUMBER(U71)),NOT(ISNUMBER(V71)),V71&lt;=0,T71&lt;0,T71&gt;1,'Replacement plan'!$L$23&lt;=0,'Operating costs'!$B$44&lt;0,'Operating costs'!$B$44&gt;=1,'Operating costs'!$B$47&lt;=0,'Operating costs'!$B$47&gt;1,V71*'Operating costs'!$B$47/(1-'Operating costs'!$B$44)&lt;=T71*'Operating costs'!$B$12*U71,AND('Replacement plan'!$Z$23&gt;0,OR('Replacement plan'!$AB$23&lt;&gt;"Yes",'Operating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charging'!$B$8&gt;=0))),ISNUMBER(VLOOKUP($A71,'Fleet register'!$A$7:$S$106,15,FALSE)),ISNUMBER(VLOOKUP($A71,'Fleet register'!$A$7:$S$106,16,FALSE)),ISNUMBER('Replacement plan'!$W$23),ISNUMBER('Replacement plan'!$X$23),OR(E71=120,AND(ISNUMBER(G71),G71&gt;=0)),ISNUMBER(H71),H71&gt;=0,OR(D71&lt;&gt;"EV",E71=120,AND(ISNUMBER('Operating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average",ISNUMBER(IFERROR(INDEX(Products!$P$7:$P$13,MATCH(AD71,Products!$A$7:$A$13,0)),"")))),ISNUMBER('Operating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plan'!$Y$23),ISNUMBER('Replacement plan'!$Z$23),'Replacement plan'!$Z$23&gt;=0,ISNUMBER('Replacement plan'!$AA$23),'Replacement plan'!$AA$23&gt;=0,'Replacement plan'!$AA$23=INT('Replacement plan'!$AA$23),ISNUMBER('Replacement plan'!$L$23))),'Operating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plan'!$AG$23="",'Operating costs'!$B$7,'Replacement plan'!$AG$23)),IF('Replacement plan'!$AG$23="",'Operating costs'!$B$7,'Replacement plan'!$AG$23)&gt;=0,ISNUMBER(IF('Replacement plan'!$AH$23="",'Operating costs'!$B$7,'Replacement plan'!$AH$23)),IF('Replacement plan'!$AH$23="",'Operating costs'!$B$7,'Replacement plan'!$AH$23)&gt;=0,'Operating costs'!$B$8&gt;MAX(IF('Replacement plan'!$AG$23="",'Operating costs'!$B$7,'Replacement plan'!$AG$23),IF('Replacement plan'!$AH$23="",'Operating costs'!$B$7,'Replacement plan'!$AH$23))*'Operating costs'!$B$9),IF(AND(VLOOKUP($A71,'Fleet register'!$A$7:$S$106,10,FALSE)&gt;=0,VLOOKUP($A71,'Fleet register'!$A$7:$S$106,10,FALSE)&lt;=120,VLOOKUP($A71,'Fleet register'!$A$7:$S$106,10,FALSE)=INT(VLOOKUP($A71,'Fleet register'!$A$7:$S$106,10,FALSE)),VLOOKUP($A71,'Fleet register'!$A$7:$S$106,15,FALSE)&gt;=0,VLOOKUP($A71,'Fleet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costs'!$B$67)&gt;=0,OR(D71&lt;&gt;"EV",E71=120,AND(MIN('Operating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71" s="1" t="str">
        <f>IF(C71=0,"Excluded",IF(P71&lt;&gt;"Complete",P71,IF(OR('Replacement plan'!$AD$23&lt;120-E71,AND(D71="EV",E71&lt;120,OR('Replacement plan'!$AC$23&lt;120-E71,'Replacement plan'!$I$23="No",AND(ISNUMBER(AF71),AE71&gt;AF71),AI71&gt;V71*(1-'Operating costs'!$B$46)^MAX(0,AB71-1)*(1-'Operating costs'!$B$45),AC71&gt;'Operating costs'!$B$18,AND(T71&lt;1,OR(AG71&lt;=0,AND(ISNUMBER(AH71),AG71&gt;AH71))),'Replacement plan'!$L$23&gt;INDEX(Products!$H$7:$H$13,MATCH('Replacement plan'!$B$23,Products!$A$7:$A$13,0))))),"Fails entered limits",IF(AND(D71="EV",E71&lt;120,OR(NOT(ISNUMBER(VLOOKUP($A71,'Fleet register'!$A$7:$S$106,7,FALSE))),NOT(ISNUMBER(VLOOKUP($A71,'Fleet register'!$A$7:$S$106,8,FALSE))),NOT(ISNUMBER(AF71)),'Replacement plan'!$I$23&lt;&gt;"Yes",NOT(ISNUMBER(AH71)),'Operating costs'!$B$59&lt;&gt;"Yes",'Operating costs'!$B$58&lt;&gt;"Yes")),"Unverified","Within entered limits"))))</f>
        <v>Excluded</v>
      </c>
      <c r="R71" s="1">
        <f>IF(C71=0,0,VLOOKUP($A71,'Fleet register'!$A$7:$S$106,6,FALSE))</f>
        <v>0</v>
      </c>
      <c r="S71" s="1">
        <f>IF(C71=0,0,VLOOKUP($A71,'Fleet register'!$A$7:$S$106,5,FALSE))</f>
        <v>0</v>
      </c>
      <c r="T71" s="1">
        <f>IF(D71="EV",'Energy and charging'!$B$12,0)</f>
        <v>0</v>
      </c>
      <c r="U71" s="1">
        <f>IFERROR(IF(C71=0,0,IF(D71="EV",IF('Replacement plan'!$F$23="",INDEX(Products!$E$7:$E$13,MATCH('Replacement plan'!$B$23,Products!$A$7:$A$13,0)),'Replacement plan'!$F$23)/IF('Replacement plan'!$G$23="Battery",1-'Operating costs'!$B$44,1),0)),"n.a.")</f>
        <v>0</v>
      </c>
      <c r="V71" s="1">
        <f>IFERROR(IF(C71=0,0,IF(D71="EV",IF('Replacement plan'!$E$23="",INDEX(Products!$D$7:$D$13,MATCH('Replacement plan'!$B$23,Products!$A$7:$A$13,0)),'Replacement plan'!$E$23),0)),"n.a.")</f>
        <v>0</v>
      </c>
      <c r="W71" s="1">
        <f>IF(C71=0,0,IF(AND(P71="Complete",D71="EV",E71&lt;120),IF(T71=0,0,ROUNDUP(T71*(R71-'Operating costs'!$B$41)*(S71*U71+'Operating costs'!$B$48/(1-'Operating costs'!$B$44))/(V71*'Operating costs'!$B$47/(1-'Operating costs'!$B$44)-T71*'Operating costs'!$B$12*U71),0)),0))</f>
        <v>0</v>
      </c>
      <c r="X71" s="1">
        <f>IF(C71=0,0,IF(AND(P71="Complete",D71="EV",E71&lt;120),(R71-'Operating costs'!$B$41)*(S71*U71+'Operating costs'!$B$48/(1-'Operating costs'!$B$44))+W71*'Operating costs'!$B$12*U71,0))</f>
        <v>0</v>
      </c>
      <c r="Y71" s="1">
        <f>IF(AND(C71=1,D71="EV",E71&lt;120),AI71/(1-'Operating costs'!$B$44)*(1-T71),0)</f>
        <v>0</v>
      </c>
      <c r="Z71" s="1">
        <f t="shared" ref="Z71:Z134" si="2">IF(AND(C71=1,D71="EV",E71&lt;120,T71&lt;1,AG71&gt;0),Y71/AG71,0)</f>
        <v>0</v>
      </c>
      <c r="AA71" s="1">
        <f>IF(C71=0,0,IF(P71="Complete",((S71*(R71-'Operating costs'!$B$40))+ROUNDUP(S71*(R71-'Operating costs'!$B$40)*IF('Replacement plan'!$AH$23="",'Operating costs'!$B$7,'Replacement plan'!$AH$23)/('Operating costs'!$B$8-'Operating costs'!$B$9*IF('Replacement plan'!$AH$23="",'Operating costs'!$B$7,'Replacement plan'!$AH$23)),0)*'Operating costs'!$B$9)*IF('Replacement plan'!$AH$23="",'Operating costs'!$B$7,'Replacement plan'!$AH$23),"n.a."))</f>
        <v>0</v>
      </c>
      <c r="AB71" s="1">
        <f t="shared" ref="AB71:AB134" si="3">IF(D71="EV",(120-E71)/12,0)</f>
        <v>0</v>
      </c>
      <c r="AC71" s="1">
        <f>IF(AND(C71=1,D71="EV",E71&lt;120,T71&gt;0),'Operating costs'!$B$12/'Operating costs'!$B$11*60+'Operating costs'!$B$13+'Operating costs'!$B$14+V71*'Operating costs'!$B$47/(1-'Operating costs'!$B$44)/'Replacement plan'!$L$23*60,0)</f>
        <v>0</v>
      </c>
      <c r="AD71" s="1" t="str">
        <f>'Replacement plan'!$B$23</f>
        <v>ChengLong L2EV</v>
      </c>
      <c r="AE71" s="1">
        <f>IF(C71=0,0,VLOOKUP($A71,'Fleet register'!$A$7:$S$106,8,FALSE))</f>
        <v>0</v>
      </c>
      <c r="AF71" s="1" t="str">
        <f>IF('Replacement plan'!$H$23="","n.a.",'Replacement plan'!$H$23)</f>
        <v>n.a.</v>
      </c>
      <c r="AG71" s="1">
        <f>'Replacement plan'!$J$23</f>
        <v>22</v>
      </c>
      <c r="AH71" s="1">
        <f>IFERROR(IF(D71="EV",IF('Replacement plan'!$K$23="AC",IF(ISNUMBER(INDEX(Products!$G$7:$G$13,MATCH('Replacement plan'!$B$23,Products!$A$7:$A$13,0))),INDEX(Products!$G$7:$G$13,MATCH('Replacement plan'!$B$23,Products!$A$7:$A$13,0)),"n.a."),IF(ISNUMBER(INDEX(Products!$H$7:$H$13,MATCH('Replacement plan'!$B$23,Products!$A$7:$A$13,0))),INDEX(Products!$H$7:$H$13,MATCH('Replacement plan'!$B$23,Products!$A$7:$A$13,0)),"n.a.")),0),"n.a.")</f>
        <v>0</v>
      </c>
      <c r="AI71" s="1">
        <f>IF(AND(C71=1,D71="EV",E71&lt;120),(VLOOKUP($A71,'Fleet register'!$A$7:$S$106,7,FALSE)+IF(T71&gt;0,'Operating costs'!$B$12,0))*U71*(1-'Operating costs'!$B$44)+'Operating costs'!$B$49,0)</f>
        <v>0</v>
      </c>
      <c r="AJ71" s="1">
        <f>IF(D71="EV",'Energy and charging'!$B$50,0)</f>
        <v>0</v>
      </c>
      <c r="AK71" s="17">
        <f>EDATE('Operating costs'!$B$63,E71)</f>
        <v>46298</v>
      </c>
      <c r="AL71" s="1">
        <f>IFERROR(IF(D71="EV",INDEX(Products!$B$7:$B$13,MATCH('Replacement plan'!$B$23,Products!$A$7:$A$13,0)),0),"n.a.")</f>
        <v>0</v>
      </c>
      <c r="AM71" s="1" t="str">
        <f>'Replacement plan'!$K$23</f>
        <v>DC</v>
      </c>
      <c r="AN71" s="1" t="str">
        <f>'Replacement plan'!$AE$23</f>
        <v>Assumed</v>
      </c>
      <c r="AO71" s="47">
        <f>IF(AND(C71=1,D71="EV",E71&lt;120),(R71-'Operating costs'!$B$41)*S71+W71*'Operating costs'!$B$12,0)</f>
        <v>0</v>
      </c>
      <c r="AP71" s="41">
        <f>IF(AND(C71=1,D71="EV",E71&lt;120),IF('Operating costs'!$B$68="Hong Seh 200k average",AO71*IFERROR(INDEX(Products!$P$7:$P$13,MATCH(AD71,Products!$A$7:$A$13,0)),"n.a."),'Operating costs'!$B$26),0)</f>
        <v>0</v>
      </c>
      <c r="AQ71" s="40" t="str">
        <f>IF(D71="EV",'Operating costs'!$B$68,"Not applicable")</f>
        <v>Not applicable</v>
      </c>
    </row>
    <row r="72" spans="1:43" ht="24" customHeight="1">
      <c r="A72" s="1" t="str">
        <f>'Replacement plan'!A23</f>
        <v>T017</v>
      </c>
      <c r="B72" s="1">
        <v>1</v>
      </c>
      <c r="C72" s="1">
        <f>IF(COUNTIFS('Fleet register'!$A$7:$A$106,$A72)=1,VLOOKUP($A72,'Fleet register'!$A$7:$S$106,2,FALSE),0)</f>
        <v>0</v>
      </c>
      <c r="D72" s="1" t="str">
        <f>IF("New ICE"="EV","EV","ICE")</f>
        <v>ICE</v>
      </c>
      <c r="E72" s="1">
        <f>IF(C72=0,0,0)</f>
        <v>0</v>
      </c>
      <c r="F72" s="16">
        <f>IF(C72=0,0,VLOOKUP($A72,'Fleet register'!$A$7:$S$106,11,FALSE))</f>
        <v>0</v>
      </c>
      <c r="G72" s="16">
        <f>IFERROR(IF(C72=0,0,IF(E72=120,0,IF(D72="ICE",'Replacement plan'!$C$23,IF('Replacement plan'!$D$23="",INDEX(Products!$I$7:$I$13,MATCH('Replacement plan'!$B$23,Products!$A$7:$A$13,0))+'Operating costs'!$B$57,'Replacement plan'!$D$23))*(1+'Operating costs'!$B$50)^(E72/12))),"n.a.")</f>
        <v>0</v>
      </c>
      <c r="H72" s="16">
        <f>IFERROR(IF(C72=0,0,IF(E72=0,F72,VLOOKUP($A72,'Fleet register'!$A$7:$S$106,12,FALSE)+VLOOKUP($A72,'Fleet register'!$A$7:$S$106,13,FALSE)*MAX(0,VLOOKUP($A72,'Fleet register'!$A$7:$S$106,10,FALSE)-E72)/VLOOKUP($A72,'Fleet register'!$A$7:$S$106,14,FALSE))),"n.a.")</f>
        <v>0</v>
      </c>
      <c r="I72" s="16">
        <f>IF(C72=0,0,IF(E72=120,0,IF('Replacement plan'!$AI$23="",'Operating costs'!$B$56,'Replacement plan'!$AI$23)))</f>
        <v>0</v>
      </c>
      <c r="J72" s="16">
        <f>IF(C72=0,0,IF(P72="Complete",((S72*(R72-'Operating costs'!$B$39))+ROUNDUP(S72*(R72-'Operating costs'!$B$39)*IF('Replacement plan'!$AG$23="",'Operating costs'!$B$7,'Replacement plan'!$AG$23)/('Operating costs'!$B$8-'Operating costs'!$B$9*IF('Replacement plan'!$AG$23="",'Operating costs'!$B$7,'Replacement plan'!$AG$23)),0)*'Operating costs'!$B$9)*IF('Replacement plan'!$AG$23="",'Operating costs'!$B$7,'Replacement plan'!$AG$23)*('Energy and charging'!$B$9*'Energy and charging'!$B$7+(1-'Energy and charging'!$B$9)*'Energy and charging'!$B$8)*'Operating costs'!$B$23,"n.a."))</f>
        <v>0</v>
      </c>
      <c r="K72" s="16">
        <f>IF(C72=0,0,IF(P72="Complete",SUM('Operating costs'!$B$24,'Operating costs'!$B$27,'Operating costs'!$B$29,'Operating costs'!$B$31,'Operating costs'!$B$33,'Operating costs'!$B$34,'Operating costs'!$B$37,'Replacement plan'!$W$23)+'Operating costs'!$B$39*'Operating costs'!$B$42+ROUNDUP(S72*(R72-'Operating costs'!$B$39)*IF('Replacement plan'!$AG$23="",'Operating costs'!$B$7,'Replacement plan'!$AG$23)/('Operating costs'!$B$8-'Operating costs'!$B$9*IF('Replacement plan'!$AG$23="",'Operating costs'!$B$7,'Replacement plan'!$AG$23)),0)*('Operating costs'!$B$9/'Operating costs'!$B$11+'Operating costs'!$B$10/60)*'Operating costs'!$B$19*'Operating costs'!$B$21,"n.a."))</f>
        <v>0</v>
      </c>
      <c r="L72" s="16">
        <f>IF(C72=0,0,IF(P72="Complete",IF(D72="EV",X72*((1-T72)*'Energy and charging'!$B$10+T72*'Energy and charging'!$B$11)*'Operating costs'!$B$22,AA72*('Energy and charging'!$B$9*'Energy and charging'!$B$7+(1-'Energy and charging'!$B$9)*'Energy and charging'!$B$8)*'Operating costs'!$B$23),"n.a."))</f>
        <v>0</v>
      </c>
      <c r="M72" s="37">
        <f>IF(C72=0,0,IF(P72="Complete",IF(D72="ICE",SUM('Operating costs'!$B$25,'Operating costs'!$B$27,'Operating costs'!$B$29,'Operating costs'!$B$31,'Operating costs'!$B$33,'Operating costs'!$B$35,'Operating costs'!$B$37,'Replacement plan'!$X$23)+'Operating costs'!$B$40*'Operating costs'!$B$42+ROUNDUP(S72*(R72-'Operating costs'!$B$40)*IF('Replacement plan'!$AH$23="",'Operating costs'!$B$7,'Replacement plan'!$AH$23)/('Operating costs'!$B$8-'Operating costs'!$B$9*IF('Replacement plan'!$AH$23="",'Operating costs'!$B$7,'Replacement plan'!$AH$23)),0)*('Operating costs'!$B$9/'Operating costs'!$B$11+'Operating costs'!$B$10/60)*'Operating costs'!$B$19*'Operating costs'!$B$21,SUM(AP72,'Operating costs'!$B$28,'Operating costs'!$B$30,'Operating costs'!$B$32,'Operating costs'!$B$33,'Operating costs'!$B$36,'Operating costs'!$B$38,'Replacement plan'!$Y$23)+'Operating costs'!$B$41*'Operating costs'!$B$43+W72*'Operating costs'!$B$15+(T72*X72/'Replacement plan'!$L$23+W72*('Operating costs'!$B$12/'Operating costs'!$B$11+('Operating costs'!$B$13+'Operating costs'!$B$14)/60)+(R72-'Operating costs'!$B$41)*(IF(T72&lt;1,'Operating costs'!$B$16,0)+'Operating costs'!$B$17)/60)*'Operating costs'!$B$19*'Operating costs'!$B$20),"n.a."))</f>
        <v>0</v>
      </c>
      <c r="N72" s="16">
        <f>IF(AND(C72=1,D72="EV",E72&lt;120,E72+'Replacement plan'!$AA$23&lt;=120),'Replacement plan'!$Z$23,0)</f>
        <v>0</v>
      </c>
      <c r="O72" s="1">
        <f>E72+'Replacement plan'!$AA$23</f>
        <v>0</v>
      </c>
      <c r="P72" s="35" t="str">
        <f>IFERROR(IF(C72=0,"Excluded",IF(OR(COUNTIFS('Fleet register'!$A$7:$A$106,A72)&lt;&gt;1,COUNTIFS('Replacement plan'!$A$7:$A$106,A72)&lt;&gt;1),"Duplicate/missing ID",IF(NOT(AND(ISNUMBER(VLOOKUP($A72,'Fleet register'!$A$7:$S$106,5,FALSE)),ISNUMBER(VLOOKUP($A72,'Fleet register'!$A$7:$S$106,6,FALSE)),ISNUMBER(VLOOKUP($A72,'Fleet register'!$A$7:$S$106,10,FALSE)),ISNUMBER(VLOOKUP($A72,'Fleet register'!$A$7:$S$106,11,FALSE)),ISNUMBER(VLOOKUP($A72,'Fleet register'!$A$7:$S$106,12,FALSE)),ISNUMBER(VLOOKUP($A72,'Fleet register'!$A$7:$S$106,13,FALSE)),ISNUMBER(VLOOKUP($A72,'Fleet register'!$A$7:$S$106,14,FALSE)),VLOOKUP($A72,'Fleet register'!$A$7:$S$106,14,FALSE)&gt;0,ISNUMBER('Replacement plan'!$C$23),OR(E72=120,OR(ISNUMBER('Replacement plan'!$AI$23),AND('Replacement plan'!$AI$23="",ISNUMBER('Operating costs'!$B$56)))),ISNUMBER(E72))),"Missing vehicle input",IF(OR(E72&lt;0,E72&gt;VLOOKUP($A72,'Fleet register'!$A$7:$S$106,10,FALSE),E72&gt;120,E72&lt;&gt;INT(E72),VLOOKUP($A72,'Fleet register'!$A$7:$S$106,6,FALSE)&lt;=0,VLOOKUP($A72,'Fleet register'!$A$7:$S$106,6,FALSE)&gt;366,VLOOKUP($A72,'Fleet register'!$A$7:$S$106,5,FALSE)&lt;0,VLOOKUP($A72,'Fleet register'!$A$7:$S$106,11,FALSE)&lt;0,I72&lt;0,'Operating costs'!$B$8&lt;='Operating costs'!$B$7*'Operating costs'!$B$9,'Operating costs'!$B$11&lt;=0,'Operating costs'!$B$39&gt;R72,'Operating costs'!$B$40&gt;R72,'Operating costs'!$B$41&gt;R72,NOT(OR("New ICE"="Keep ICE","New ICE"="New ICE","New ICE"="EV"))),"Invalid vehicle input",IF(AND(D72="EV",E72&lt;120,OR(NOT(ISNUMBER(U72)),NOT(ISNUMBER(V72)),V72&lt;=0,T72&lt;0,T72&gt;1,'Replacement plan'!$L$23&lt;=0,'Operating costs'!$B$44&lt;0,'Operating costs'!$B$44&gt;=1,'Operating costs'!$B$47&lt;=0,'Operating costs'!$B$47&gt;1,V72*'Operating costs'!$B$47/(1-'Operating costs'!$B$44)&lt;=T72*'Operating costs'!$B$12*U72,AND('Replacement plan'!$Z$23&gt;0,OR('Replacement plan'!$AB$23&lt;&gt;"Yes",'Operating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charging'!$B$8&gt;=0))),ISNUMBER(VLOOKUP($A72,'Fleet register'!$A$7:$S$106,15,FALSE)),ISNUMBER(VLOOKUP($A72,'Fleet register'!$A$7:$S$106,16,FALSE)),ISNUMBER('Replacement plan'!$W$23),ISNUMBER('Replacement plan'!$X$23),OR(E72=120,AND(ISNUMBER(G72),G72&gt;=0)),ISNUMBER(H72),H72&gt;=0,OR(D72&lt;&gt;"EV",E72=120,AND(ISNUMBER('Operating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average",ISNUMBER(IFERROR(INDEX(Products!$P$7:$P$13,MATCH(AD72,Products!$A$7:$A$13,0)),"")))),ISNUMBER('Operating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plan'!$Y$23),ISNUMBER('Replacement plan'!$Z$23),'Replacement plan'!$Z$23&gt;=0,ISNUMBER('Replacement plan'!$AA$23),'Replacement plan'!$AA$23&gt;=0,'Replacement plan'!$AA$23=INT('Replacement plan'!$AA$23),ISNUMBER('Replacement plan'!$L$23))),'Operating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plan'!$AG$23="",'Operating costs'!$B$7,'Replacement plan'!$AG$23)),IF('Replacement plan'!$AG$23="",'Operating costs'!$B$7,'Replacement plan'!$AG$23)&gt;=0,ISNUMBER(IF('Replacement plan'!$AH$23="",'Operating costs'!$B$7,'Replacement plan'!$AH$23)),IF('Replacement plan'!$AH$23="",'Operating costs'!$B$7,'Replacement plan'!$AH$23)&gt;=0,'Operating costs'!$B$8&gt;MAX(IF('Replacement plan'!$AG$23="",'Operating costs'!$B$7,'Replacement plan'!$AG$23),IF('Replacement plan'!$AH$23="",'Operating costs'!$B$7,'Replacement plan'!$AH$23))*'Operating costs'!$B$9),IF(AND(VLOOKUP($A72,'Fleet register'!$A$7:$S$106,10,FALSE)&gt;=0,VLOOKUP($A72,'Fleet register'!$A$7:$S$106,10,FALSE)&lt;=120,VLOOKUP($A72,'Fleet register'!$A$7:$S$106,10,FALSE)=INT(VLOOKUP($A72,'Fleet register'!$A$7:$S$106,10,FALSE)),VLOOKUP($A72,'Fleet register'!$A$7:$S$106,15,FALSE)&gt;=0,VLOOKUP($A72,'Fleet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costs'!$B$67)&gt;=0,OR(D72&lt;&gt;"EV",E72=120,AND(MIN('Operating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72" s="1" t="str">
        <f>IF(C72=0,"Excluded",IF(P72&lt;&gt;"Complete",P72,IF(OR('Replacement plan'!$AD$23&lt;120-E72,AND(D72="EV",E72&lt;120,OR('Replacement plan'!$AC$23&lt;120-E72,'Replacement plan'!$I$23="No",AND(ISNUMBER(AF72),AE72&gt;AF72),AI72&gt;V72*(1-'Operating costs'!$B$46)^MAX(0,AB72-1)*(1-'Operating costs'!$B$45),AC72&gt;'Operating costs'!$B$18,AND(T72&lt;1,OR(AG72&lt;=0,AND(ISNUMBER(AH72),AG72&gt;AH72))),'Replacement plan'!$L$23&gt;INDEX(Products!$H$7:$H$13,MATCH('Replacement plan'!$B$23,Products!$A$7:$A$13,0))))),"Fails entered limits",IF(AND(D72="EV",E72&lt;120,OR(NOT(ISNUMBER(VLOOKUP($A72,'Fleet register'!$A$7:$S$106,7,FALSE))),NOT(ISNUMBER(VLOOKUP($A72,'Fleet register'!$A$7:$S$106,8,FALSE))),NOT(ISNUMBER(AF72)),'Replacement plan'!$I$23&lt;&gt;"Yes",NOT(ISNUMBER(AH72)),'Operating costs'!$B$59&lt;&gt;"Yes",'Operating costs'!$B$58&lt;&gt;"Yes")),"Unverified","Within entered limits"))))</f>
        <v>Excluded</v>
      </c>
      <c r="R72" s="1">
        <f>IF(C72=0,0,VLOOKUP($A72,'Fleet register'!$A$7:$S$106,6,FALSE))</f>
        <v>0</v>
      </c>
      <c r="S72" s="1">
        <f>IF(C72=0,0,VLOOKUP($A72,'Fleet register'!$A$7:$S$106,5,FALSE))</f>
        <v>0</v>
      </c>
      <c r="T72" s="1">
        <f>IF(D72="EV",'Energy and charging'!$B$12,0)</f>
        <v>0</v>
      </c>
      <c r="U72" s="1">
        <f>IFERROR(IF(C72=0,0,IF(D72="EV",IF('Replacement plan'!$F$23="",INDEX(Products!$E$7:$E$13,MATCH('Replacement plan'!$B$23,Products!$A$7:$A$13,0)),'Replacement plan'!$F$23)/IF('Replacement plan'!$G$23="Battery",1-'Operating costs'!$B$44,1),0)),"n.a.")</f>
        <v>0</v>
      </c>
      <c r="V72" s="1">
        <f>IFERROR(IF(C72=0,0,IF(D72="EV",IF('Replacement plan'!$E$23="",INDEX(Products!$D$7:$D$13,MATCH('Replacement plan'!$B$23,Products!$A$7:$A$13,0)),'Replacement plan'!$E$23),0)),"n.a.")</f>
        <v>0</v>
      </c>
      <c r="W72" s="1">
        <f>IF(C72=0,0,IF(AND(P72="Complete",D72="EV",E72&lt;120),IF(T72=0,0,ROUNDUP(T72*(R72-'Operating costs'!$B$41)*(S72*U72+'Operating costs'!$B$48/(1-'Operating costs'!$B$44))/(V72*'Operating costs'!$B$47/(1-'Operating costs'!$B$44)-T72*'Operating costs'!$B$12*U72),0)),0))</f>
        <v>0</v>
      </c>
      <c r="X72" s="1">
        <f>IF(C72=0,0,IF(AND(P72="Complete",D72="EV",E72&lt;120),(R72-'Operating costs'!$B$41)*(S72*U72+'Operating costs'!$B$48/(1-'Operating costs'!$B$44))+W72*'Operating costs'!$B$12*U72,0))</f>
        <v>0</v>
      </c>
      <c r="Y72" s="1">
        <f>IF(AND(C72=1,D72="EV",E72&lt;120),AI72/(1-'Operating costs'!$B$44)*(1-T72),0)</f>
        <v>0</v>
      </c>
      <c r="Z72" s="1">
        <f t="shared" si="2"/>
        <v>0</v>
      </c>
      <c r="AA72" s="1">
        <f>IF(C72=0,0,IF(P72="Complete",((S72*(R72-'Operating costs'!$B$40))+ROUNDUP(S72*(R72-'Operating costs'!$B$40)*IF('Replacement plan'!$AH$23="",'Operating costs'!$B$7,'Replacement plan'!$AH$23)/('Operating costs'!$B$8-'Operating costs'!$B$9*IF('Replacement plan'!$AH$23="",'Operating costs'!$B$7,'Replacement plan'!$AH$23)),0)*'Operating costs'!$B$9)*IF('Replacement plan'!$AH$23="",'Operating costs'!$B$7,'Replacement plan'!$AH$23),"n.a."))</f>
        <v>0</v>
      </c>
      <c r="AB72" s="1">
        <f t="shared" si="3"/>
        <v>0</v>
      </c>
      <c r="AC72" s="1">
        <f>IF(AND(C72=1,D72="EV",E72&lt;120,T72&gt;0),'Operating costs'!$B$12/'Operating costs'!$B$11*60+'Operating costs'!$B$13+'Operating costs'!$B$14+V72*'Operating costs'!$B$47/(1-'Operating costs'!$B$44)/'Replacement plan'!$L$23*60,0)</f>
        <v>0</v>
      </c>
      <c r="AD72" s="1" t="str">
        <f>'Replacement plan'!$B$23</f>
        <v>ChengLong L2EV</v>
      </c>
      <c r="AE72" s="1">
        <f>IF(C72=0,0,VLOOKUP($A72,'Fleet register'!$A$7:$S$106,8,FALSE))</f>
        <v>0</v>
      </c>
      <c r="AF72" s="1" t="str">
        <f>IF('Replacement plan'!$H$23="","n.a.",'Replacement plan'!$H$23)</f>
        <v>n.a.</v>
      </c>
      <c r="AG72" s="1">
        <f>'Replacement plan'!$J$23</f>
        <v>22</v>
      </c>
      <c r="AH72" s="1">
        <f>IFERROR(IF(D72="EV",IF('Replacement plan'!$K$23="AC",IF(ISNUMBER(INDEX(Products!$G$7:$G$13,MATCH('Replacement plan'!$B$23,Products!$A$7:$A$13,0))),INDEX(Products!$G$7:$G$13,MATCH('Replacement plan'!$B$23,Products!$A$7:$A$13,0)),"n.a."),IF(ISNUMBER(INDEX(Products!$H$7:$H$13,MATCH('Replacement plan'!$B$23,Products!$A$7:$A$13,0))),INDEX(Products!$H$7:$H$13,MATCH('Replacement plan'!$B$23,Products!$A$7:$A$13,0)),"n.a.")),0),"n.a.")</f>
        <v>0</v>
      </c>
      <c r="AI72" s="1">
        <f>IF(AND(C72=1,D72="EV",E72&lt;120),(VLOOKUP($A72,'Fleet register'!$A$7:$S$106,7,FALSE)+IF(T72&gt;0,'Operating costs'!$B$12,0))*U72*(1-'Operating costs'!$B$44)+'Operating costs'!$B$49,0)</f>
        <v>0</v>
      </c>
      <c r="AJ72" s="1">
        <f>IF(D72="EV",'Energy and charging'!$B$50,0)</f>
        <v>0</v>
      </c>
      <c r="AK72" s="17">
        <f>EDATE('Operating costs'!$B$63,E72)</f>
        <v>46298</v>
      </c>
      <c r="AL72" s="1">
        <f>IFERROR(IF(D72="EV",INDEX(Products!$B$7:$B$13,MATCH('Replacement plan'!$B$23,Products!$A$7:$A$13,0)),0),"n.a.")</f>
        <v>0</v>
      </c>
      <c r="AM72" s="1" t="str">
        <f>'Replacement plan'!$K$23</f>
        <v>DC</v>
      </c>
      <c r="AN72" s="1" t="str">
        <f>'Replacement plan'!$AE$23</f>
        <v>Assumed</v>
      </c>
      <c r="AO72" s="47">
        <f>IF(AND(C72=1,D72="EV",E72&lt;120),(R72-'Operating costs'!$B$41)*S72+W72*'Operating costs'!$B$12,0)</f>
        <v>0</v>
      </c>
      <c r="AP72" s="41">
        <f>IF(AND(C72=1,D72="EV",E72&lt;120),IF('Operating costs'!$B$68="Hong Seh 200k average",AO72*IFERROR(INDEX(Products!$P$7:$P$13,MATCH(AD72,Products!$A$7:$A$13,0)),"n.a."),'Operating costs'!$B$26),0)</f>
        <v>0</v>
      </c>
      <c r="AQ72" s="40" t="str">
        <f>IF(D72="EV",'Operating costs'!$B$68,"Not applicable")</f>
        <v>Not applicable</v>
      </c>
    </row>
    <row r="73" spans="1:43" ht="24" customHeight="1">
      <c r="A73" s="1" t="str">
        <f>'Replacement plan'!A23</f>
        <v>T017</v>
      </c>
      <c r="B73" s="1">
        <v>2</v>
      </c>
      <c r="C73" s="1">
        <f>IF(COUNTIFS('Fleet register'!$A$7:$A$106,$A73)=1,VLOOKUP($A73,'Fleet register'!$A$7:$S$106,2,FALSE),0)</f>
        <v>0</v>
      </c>
      <c r="D73" s="1" t="str">
        <f>IF('Replacement plan'!$O$23="EV","EV","ICE")</f>
        <v>ICE</v>
      </c>
      <c r="E73" s="1">
        <f>IF(C73=0,0,IF('Replacement plan'!$P$23="",IF('Replacement plan'!$O$23="Keep ICE",IF('Replacement plan'!$M$23="",VLOOKUP($A73,'Fleet register'!$A$7:$S$106,10,FALSE),'Replacement plan'!$M$23),0),'Replacement plan'!$P$23))</f>
        <v>0</v>
      </c>
      <c r="F73" s="16">
        <f>IF(C73=0,0,VLOOKUP($A73,'Fleet register'!$A$7:$S$106,11,FALSE))</f>
        <v>0</v>
      </c>
      <c r="G73" s="16">
        <f>IFERROR(IF(C73=0,0,IF(E73=120,0,IF(D73="ICE",'Replacement plan'!$C$23,IF('Replacement plan'!$D$23="",INDEX(Products!$I$7:$I$13,MATCH('Replacement plan'!$B$23,Products!$A$7:$A$13,0))+'Operating costs'!$B$57,'Replacement plan'!$D$23))*(1+'Operating costs'!$B$50)^(E73/12))),"n.a.")</f>
        <v>0</v>
      </c>
      <c r="H73" s="16">
        <f>IFERROR(IF(C73=0,0,IF('Replacement plan'!$U$23&lt;&gt;"",'Replacement plan'!$U$23,IF(E73=0,F73,VLOOKUP($A73,'Fleet register'!$A$7:$S$106,12,FALSE)+VLOOKUP($A73,'Fleet register'!$A$7:$S$106,13,FALSE)*MAX(0,VLOOKUP($A73,'Fleet register'!$A$7:$S$106,10,FALSE)-E73)/VLOOKUP($A73,'Fleet register'!$A$7:$S$106,14,FALSE)))),"n.a.")</f>
        <v>0</v>
      </c>
      <c r="I73" s="16">
        <f>IF(C73=0,0,IF(E73=120,0,'Replacement plan'!$Q$23))</f>
        <v>0</v>
      </c>
      <c r="J73" s="16">
        <f>IF(C73=0,0,IF(P73="Complete",((S73*(R73-'Operating costs'!$B$39))+ROUNDUP(S73*(R73-'Operating costs'!$B$39)*IF('Replacement plan'!$AG$23="",'Operating costs'!$B$7,'Replacement plan'!$AG$23)/('Operating costs'!$B$8-'Operating costs'!$B$9*IF('Replacement plan'!$AG$23="",'Operating costs'!$B$7,'Replacement plan'!$AG$23)),0)*'Operating costs'!$B$9)*IF('Replacement plan'!$AG$23="",'Operating costs'!$B$7,'Replacement plan'!$AG$23)*('Energy and charging'!$B$9*'Energy and charging'!$B$7+(1-'Energy and charging'!$B$9)*'Energy and charging'!$B$8)*'Operating costs'!$B$23,"n.a."))</f>
        <v>0</v>
      </c>
      <c r="K73" s="16">
        <f>IF(C73=0,0,IF(P73="Complete",SUM('Operating costs'!$B$24,'Operating costs'!$B$27,'Operating costs'!$B$29,'Operating costs'!$B$31,'Operating costs'!$B$33,'Operating costs'!$B$34,'Operating costs'!$B$37,'Replacement plan'!$W$23)+'Operating costs'!$B$39*'Operating costs'!$B$42+ROUNDUP(S73*(R73-'Operating costs'!$B$39)*IF('Replacement plan'!$AG$23="",'Operating costs'!$B$7,'Replacement plan'!$AG$23)/('Operating costs'!$B$8-'Operating costs'!$B$9*IF('Replacement plan'!$AG$23="",'Operating costs'!$B$7,'Replacement plan'!$AG$23)),0)*('Operating costs'!$B$9/'Operating costs'!$B$11+'Operating costs'!$B$10/60)*'Operating costs'!$B$19*'Operating costs'!$B$21,"n.a."))</f>
        <v>0</v>
      </c>
      <c r="L73" s="16">
        <f>IF(C73=0,0,IF(P73="Complete",IF(D73="EV",X73*((1-T73)*'Energy and charging'!$B$10+T73*'Energy and charging'!$B$11)*'Operating costs'!$B$22,AA73*('Energy and charging'!$B$9*'Energy and charging'!$B$7+(1-'Energy and charging'!$B$9)*'Energy and charging'!$B$8)*'Operating costs'!$B$23),"n.a."))</f>
        <v>0</v>
      </c>
      <c r="M73" s="37">
        <f>IF(C73=0,0,IF(P73="Complete",IF(D73="ICE",SUM('Operating costs'!$B$25,'Operating costs'!$B$27,'Operating costs'!$B$29,'Operating costs'!$B$31,'Operating costs'!$B$33,'Operating costs'!$B$35,'Operating costs'!$B$37,'Replacement plan'!$X$23)+'Operating costs'!$B$40*'Operating costs'!$B$42+ROUNDUP(S73*(R73-'Operating costs'!$B$40)*IF('Replacement plan'!$AH$23="",'Operating costs'!$B$7,'Replacement plan'!$AH$23)/('Operating costs'!$B$8-'Operating costs'!$B$9*IF('Replacement plan'!$AH$23="",'Operating costs'!$B$7,'Replacement plan'!$AH$23)),0)*('Operating costs'!$B$9/'Operating costs'!$B$11+'Operating costs'!$B$10/60)*'Operating costs'!$B$19*'Operating costs'!$B$21,SUM(AP73,'Operating costs'!$B$28,'Operating costs'!$B$30,'Operating costs'!$B$32,'Operating costs'!$B$33,'Operating costs'!$B$36,'Operating costs'!$B$38,'Replacement plan'!$Y$23)+'Operating costs'!$B$41*'Operating costs'!$B$43+W73*'Operating costs'!$B$15+(T73*X73/'Replacement plan'!$L$23+W73*('Operating costs'!$B$12/'Operating costs'!$B$11+('Operating costs'!$B$13+'Operating costs'!$B$14)/60)+(R73-'Operating costs'!$B$41)*(IF(T73&lt;1,'Operating costs'!$B$16,0)+'Operating costs'!$B$17)/60)*'Operating costs'!$B$19*'Operating costs'!$B$20),"n.a."))</f>
        <v>0</v>
      </c>
      <c r="N73" s="16">
        <f>IF(AND(C73=1,D73="EV",E73&lt;120,E73+'Replacement plan'!$AA$23&lt;=120),'Replacement plan'!$Z$23,0)</f>
        <v>0</v>
      </c>
      <c r="O73" s="1">
        <f>E73+'Replacement plan'!$AA$23</f>
        <v>0</v>
      </c>
      <c r="P73" s="35" t="str">
        <f>IFERROR(IF(C73=0,"Excluded",IF(OR(COUNTIFS('Fleet register'!$A$7:$A$106,A73)&lt;&gt;1,COUNTIFS('Replacement plan'!$A$7:$A$106,A73)&lt;&gt;1),"Duplicate/missing ID",IF(NOT(AND(ISNUMBER(VLOOKUP($A73,'Fleet register'!$A$7:$S$106,5,FALSE)),ISNUMBER(VLOOKUP($A73,'Fleet register'!$A$7:$S$106,6,FALSE)),ISNUMBER(VLOOKUP($A73,'Fleet register'!$A$7:$S$106,10,FALSE)),ISNUMBER(VLOOKUP($A73,'Fleet register'!$A$7:$S$106,11,FALSE)),ISNUMBER(VLOOKUP($A73,'Fleet register'!$A$7:$S$106,12,FALSE)),ISNUMBER(VLOOKUP($A73,'Fleet register'!$A$7:$S$106,13,FALSE)),ISNUMBER(VLOOKUP($A73,'Fleet register'!$A$7:$S$106,14,FALSE)),VLOOKUP($A73,'Fleet register'!$A$7:$S$106,14,FALSE)&gt;0,ISNUMBER('Replacement plan'!$C$23),OR(E73=120,ISNUMBER('Replacement plan'!$Q$23)),ISNUMBER(E73))),"Missing vehicle input",IF(OR(E73&lt;0,E73&gt;VLOOKUP($A73,'Fleet register'!$A$7:$S$106,10,FALSE),E73&gt;120,E73&lt;&gt;INT(E73),VLOOKUP($A73,'Fleet register'!$A$7:$S$106,6,FALSE)&lt;=0,VLOOKUP($A73,'Fleet register'!$A$7:$S$106,6,FALSE)&gt;366,VLOOKUP($A73,'Fleet register'!$A$7:$S$106,5,FALSE)&lt;0,VLOOKUP($A73,'Fleet register'!$A$7:$S$106,11,FALSE)&lt;0,I73&lt;0,'Operating costs'!$B$8&lt;='Operating costs'!$B$7*'Operating costs'!$B$9,'Operating costs'!$B$11&lt;=0,'Operating costs'!$B$39&gt;R73,'Operating costs'!$B$40&gt;R73,'Operating costs'!$B$41&gt;R73,NOT(OR('Replacement plan'!$O$23="Keep ICE",'Replacement plan'!$O$23="New ICE",'Replacement plan'!$O$23="EV"))),"Invalid vehicle input",IF(AND(D73="EV",E73&lt;120,OR(NOT(ISNUMBER(U73)),NOT(ISNUMBER(V73)),V73&lt;=0,T73&lt;0,T73&gt;1,'Replacement plan'!$L$23&lt;=0,'Operating costs'!$B$44&lt;0,'Operating costs'!$B$44&gt;=1,'Operating costs'!$B$47&lt;=0,'Operating costs'!$B$47&gt;1,V73*'Operating costs'!$B$47/(1-'Operating costs'!$B$44)&lt;=T73*'Operating costs'!$B$12*U73,AND('Replacement plan'!$Z$23&gt;0,OR('Replacement plan'!$AB$23&lt;&gt;"Yes",'Operating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charging'!$B$8&gt;=0))),ISNUMBER(VLOOKUP($A73,'Fleet register'!$A$7:$S$106,15,FALSE)),ISNUMBER(VLOOKUP($A73,'Fleet register'!$A$7:$S$106,16,FALSE)),ISNUMBER('Replacement plan'!$W$23),ISNUMBER('Replacement plan'!$X$23),OR(E73=120,AND(ISNUMBER(G73),G73&gt;=0)),ISNUMBER(H73),H73&gt;=0,OR(D73&lt;&gt;"EV",E73=120,AND(ISNUMBER('Operating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average",ISNUMBER(IFERROR(INDEX(Products!$P$7:$P$13,MATCH(AD73,Products!$A$7:$A$13,0)),"")))),ISNUMBER('Operating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plan'!$Y$23),ISNUMBER('Replacement plan'!$Z$23),'Replacement plan'!$Z$23&gt;=0,ISNUMBER('Replacement plan'!$AA$23),'Replacement plan'!$AA$23&gt;=0,'Replacement plan'!$AA$23=INT('Replacement plan'!$AA$23),ISNUMBER('Replacement plan'!$L$23))),'Operating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plan'!$AG$23="",'Operating costs'!$B$7,'Replacement plan'!$AG$23)),IF('Replacement plan'!$AG$23="",'Operating costs'!$B$7,'Replacement plan'!$AG$23)&gt;=0,ISNUMBER(IF('Replacement plan'!$AH$23="",'Operating costs'!$B$7,'Replacement plan'!$AH$23)),IF('Replacement plan'!$AH$23="",'Operating costs'!$B$7,'Replacement plan'!$AH$23)&gt;=0,'Operating costs'!$B$8&gt;MAX(IF('Replacement plan'!$AG$23="",'Operating costs'!$B$7,'Replacement plan'!$AG$23),IF('Replacement plan'!$AH$23="",'Operating costs'!$B$7,'Replacement plan'!$AH$23))*'Operating costs'!$B$9),IF(AND(VLOOKUP($A73,'Fleet register'!$A$7:$S$106,10,FALSE)&gt;=0,VLOOKUP($A73,'Fleet register'!$A$7:$S$106,10,FALSE)&lt;=120,VLOOKUP($A73,'Fleet register'!$A$7:$S$106,10,FALSE)=INT(VLOOKUP($A73,'Fleet register'!$A$7:$S$106,10,FALSE)),VLOOKUP($A73,'Fleet register'!$A$7:$S$106,15,FALSE)&gt;=0,VLOOKUP($A73,'Fleet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costs'!$B$67)&gt;=0,OR(D73&lt;&gt;"EV",E73=120,AND(MIN('Operating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73" s="1" t="str">
        <f>IF(C73=0,"Excluded",IF(P73&lt;&gt;"Complete",P73,IF(OR('Replacement plan'!$AD$23&lt;120-E73,AND(D73="EV",E73&lt;120,OR('Replacement plan'!$AC$23&lt;120-E73,'Replacement plan'!$I$23="No",AND(ISNUMBER(AF73),AE73&gt;AF73),AI73&gt;V73*(1-'Operating costs'!$B$46)^MAX(0,AB73-1)*(1-'Operating costs'!$B$45),AC73&gt;'Operating costs'!$B$18,AND(T73&lt;1,OR(AG73&lt;=0,AND(ISNUMBER(AH73),AG73&gt;AH73))),'Replacement plan'!$L$23&gt;INDEX(Products!$H$7:$H$13,MATCH('Replacement plan'!$B$23,Products!$A$7:$A$13,0))))),"Fails entered limits",IF(AND(D73="EV",E73&lt;120,OR(NOT(ISNUMBER(VLOOKUP($A73,'Fleet register'!$A$7:$S$106,7,FALSE))),NOT(ISNUMBER(VLOOKUP($A73,'Fleet register'!$A$7:$S$106,8,FALSE))),NOT(ISNUMBER(AF73)),'Replacement plan'!$I$23&lt;&gt;"Yes",NOT(ISNUMBER(AH73)),'Operating costs'!$B$59&lt;&gt;"Yes",'Operating costs'!$B$58&lt;&gt;"Yes")),"Unverified","Within entered limits"))))</f>
        <v>Excluded</v>
      </c>
      <c r="R73" s="1">
        <f>IF(C73=0,0,VLOOKUP($A73,'Fleet register'!$A$7:$S$106,6,FALSE))</f>
        <v>0</v>
      </c>
      <c r="S73" s="1">
        <f>IF(C73=0,0,VLOOKUP($A73,'Fleet register'!$A$7:$S$106,5,FALSE))</f>
        <v>0</v>
      </c>
      <c r="T73" s="1">
        <f>IF(D73="EV",'Energy and charging'!$B$12,0)</f>
        <v>0</v>
      </c>
      <c r="U73" s="1">
        <f>IFERROR(IF(C73=0,0,IF(D73="EV",IF('Replacement plan'!$F$23="",INDEX(Products!$E$7:$E$13,MATCH('Replacement plan'!$B$23,Products!$A$7:$A$13,0)),'Replacement plan'!$F$23)/IF('Replacement plan'!$G$23="Battery",1-'Operating costs'!$B$44,1),0)),"n.a.")</f>
        <v>0</v>
      </c>
      <c r="V73" s="1">
        <f>IFERROR(IF(C73=0,0,IF(D73="EV",IF('Replacement plan'!$E$23="",INDEX(Products!$D$7:$D$13,MATCH('Replacement plan'!$B$23,Products!$A$7:$A$13,0)),'Replacement plan'!$E$23),0)),"n.a.")</f>
        <v>0</v>
      </c>
      <c r="W73" s="1">
        <f>IF(C73=0,0,IF(AND(P73="Complete",D73="EV",E73&lt;120),IF(T73=0,0,ROUNDUP(T73*(R73-'Operating costs'!$B$41)*(S73*U73+'Operating costs'!$B$48/(1-'Operating costs'!$B$44))/(V73*'Operating costs'!$B$47/(1-'Operating costs'!$B$44)-T73*'Operating costs'!$B$12*U73),0)),0))</f>
        <v>0</v>
      </c>
      <c r="X73" s="1">
        <f>IF(C73=0,0,IF(AND(P73="Complete",D73="EV",E73&lt;120),(R73-'Operating costs'!$B$41)*(S73*U73+'Operating costs'!$B$48/(1-'Operating costs'!$B$44))+W73*'Operating costs'!$B$12*U73,0))</f>
        <v>0</v>
      </c>
      <c r="Y73" s="1">
        <f>IF(AND(C73=1,D73="EV",E73&lt;120),AI73/(1-'Operating costs'!$B$44)*(1-T73),0)</f>
        <v>0</v>
      </c>
      <c r="Z73" s="1">
        <f t="shared" si="2"/>
        <v>0</v>
      </c>
      <c r="AA73" s="1">
        <f>IF(C73=0,0,IF(P73="Complete",((S73*(R73-'Operating costs'!$B$40))+ROUNDUP(S73*(R73-'Operating costs'!$B$40)*IF('Replacement plan'!$AH$23="",'Operating costs'!$B$7,'Replacement plan'!$AH$23)/('Operating costs'!$B$8-'Operating costs'!$B$9*IF('Replacement plan'!$AH$23="",'Operating costs'!$B$7,'Replacement plan'!$AH$23)),0)*'Operating costs'!$B$9)*IF('Replacement plan'!$AH$23="",'Operating costs'!$B$7,'Replacement plan'!$AH$23),"n.a."))</f>
        <v>0</v>
      </c>
      <c r="AB73" s="1">
        <f t="shared" si="3"/>
        <v>0</v>
      </c>
      <c r="AC73" s="1">
        <f>IF(AND(C73=1,D73="EV",E73&lt;120,T73&gt;0),'Operating costs'!$B$12/'Operating costs'!$B$11*60+'Operating costs'!$B$13+'Operating costs'!$B$14+V73*'Operating costs'!$B$47/(1-'Operating costs'!$B$44)/'Replacement plan'!$L$23*60,0)</f>
        <v>0</v>
      </c>
      <c r="AD73" s="1" t="str">
        <f>'Replacement plan'!$B$23</f>
        <v>ChengLong L2EV</v>
      </c>
      <c r="AE73" s="1">
        <f>IF(C73=0,0,VLOOKUP($A73,'Fleet register'!$A$7:$S$106,8,FALSE))</f>
        <v>0</v>
      </c>
      <c r="AF73" s="1" t="str">
        <f>IF('Replacement plan'!$H$23="","n.a.",'Replacement plan'!$H$23)</f>
        <v>n.a.</v>
      </c>
      <c r="AG73" s="1">
        <f>'Replacement plan'!$J$23</f>
        <v>22</v>
      </c>
      <c r="AH73" s="1">
        <f>IFERROR(IF(D73="EV",IF('Replacement plan'!$K$23="AC",IF(ISNUMBER(INDEX(Products!$G$7:$G$13,MATCH('Replacement plan'!$B$23,Products!$A$7:$A$13,0))),INDEX(Products!$G$7:$G$13,MATCH('Replacement plan'!$B$23,Products!$A$7:$A$13,0)),"n.a."),IF(ISNUMBER(INDEX(Products!$H$7:$H$13,MATCH('Replacement plan'!$B$23,Products!$A$7:$A$13,0))),INDEX(Products!$H$7:$H$13,MATCH('Replacement plan'!$B$23,Products!$A$7:$A$13,0)),"n.a.")),0),"n.a.")</f>
        <v>0</v>
      </c>
      <c r="AI73" s="1">
        <f>IF(AND(C73=1,D73="EV",E73&lt;120),(VLOOKUP($A73,'Fleet register'!$A$7:$S$106,7,FALSE)+IF(T73&gt;0,'Operating costs'!$B$12,0))*U73*(1-'Operating costs'!$B$44)+'Operating costs'!$B$49,0)</f>
        <v>0</v>
      </c>
      <c r="AJ73" s="1">
        <f>IF(D73="EV",'Energy and charging'!$B$50,0)</f>
        <v>0</v>
      </c>
      <c r="AK73" s="17">
        <f>EDATE('Operating costs'!$B$63,E73)</f>
        <v>46298</v>
      </c>
      <c r="AL73" s="1">
        <f>IFERROR(IF(D73="EV",INDEX(Products!$B$7:$B$13,MATCH('Replacement plan'!$B$23,Products!$A$7:$A$13,0)),0),"n.a.")</f>
        <v>0</v>
      </c>
      <c r="AM73" s="1" t="str">
        <f>'Replacement plan'!$K$23</f>
        <v>DC</v>
      </c>
      <c r="AN73" s="1" t="str">
        <f>'Replacement plan'!$AE$23</f>
        <v>Assumed</v>
      </c>
      <c r="AO73" s="47">
        <f>IF(AND(C73=1,D73="EV",E73&lt;120),(R73-'Operating costs'!$B$41)*S73+W73*'Operating costs'!$B$12,0)</f>
        <v>0</v>
      </c>
      <c r="AP73" s="41">
        <f>IF(AND(C73=1,D73="EV",E73&lt;120),IF('Operating costs'!$B$68="Hong Seh 200k average",AO73*IFERROR(INDEX(Products!$P$7:$P$13,MATCH(AD73,Products!$A$7:$A$13,0)),"n.a."),'Operating costs'!$B$26),0)</f>
        <v>0</v>
      </c>
      <c r="AQ73" s="40" t="str">
        <f>IF(D73="EV",'Operating costs'!$B$68,"Not applicable")</f>
        <v>Not applicable</v>
      </c>
    </row>
    <row r="74" spans="1:43" ht="24" customHeight="1">
      <c r="A74" s="1" t="str">
        <f>'Replacement plan'!A23</f>
        <v>T017</v>
      </c>
      <c r="B74" s="1">
        <v>3</v>
      </c>
      <c r="C74" s="1">
        <f>IF(COUNTIFS('Fleet register'!$A$7:$A$106,$A74)=1,VLOOKUP($A74,'Fleet register'!$A$7:$S$106,2,FALSE),0)</f>
        <v>0</v>
      </c>
      <c r="D74" s="1" t="str">
        <f>IF('Replacement plan'!$R$23="EV","EV","ICE")</f>
        <v>ICE</v>
      </c>
      <c r="E74" s="1">
        <f>IF(C74=0,0,IF('Replacement plan'!$S$23="",IF('Replacement plan'!$R$23="Keep ICE",IF('Replacement plan'!$M$23="",VLOOKUP($A74,'Fleet register'!$A$7:$S$106,10,FALSE),'Replacement plan'!$M$23),0),'Replacement plan'!$S$23))</f>
        <v>0</v>
      </c>
      <c r="F74" s="16">
        <f>IF(C74=0,0,VLOOKUP($A74,'Fleet register'!$A$7:$S$106,11,FALSE))</f>
        <v>0</v>
      </c>
      <c r="G74" s="16">
        <f>IFERROR(IF(C74=0,0,IF(E74=120,0,IF(D74="ICE",'Replacement plan'!$C$23,IF('Replacement plan'!$D$23="",INDEX(Products!$I$7:$I$13,MATCH('Replacement plan'!$B$23,Products!$A$7:$A$13,0))+'Operating costs'!$B$57,'Replacement plan'!$D$23))*(1+'Operating costs'!$B$50)^(E74/12))),"n.a.")</f>
        <v>0</v>
      </c>
      <c r="H74" s="16">
        <f>IFERROR(IF(C74=0,0,IF('Replacement plan'!$V$23&lt;&gt;"",'Replacement plan'!$V$23,IF(E74=0,F74,VLOOKUP($A74,'Fleet register'!$A$7:$S$106,12,FALSE)+VLOOKUP($A74,'Fleet register'!$A$7:$S$106,13,FALSE)*MAX(0,VLOOKUP($A74,'Fleet register'!$A$7:$S$106,10,FALSE)-E74)/VLOOKUP($A74,'Fleet register'!$A$7:$S$106,14,FALSE)))),"n.a.")</f>
        <v>0</v>
      </c>
      <c r="I74" s="16">
        <f>IF(C74=0,0,IF(E74=120,0,'Replacement plan'!$T$23))</f>
        <v>0</v>
      </c>
      <c r="J74" s="16">
        <f>IF(C74=0,0,IF(P74="Complete",((S74*(R74-'Operating costs'!$B$39))+ROUNDUP(S74*(R74-'Operating costs'!$B$39)*IF('Replacement plan'!$AG$23="",'Operating costs'!$B$7,'Replacement plan'!$AG$23)/('Operating costs'!$B$8-'Operating costs'!$B$9*IF('Replacement plan'!$AG$23="",'Operating costs'!$B$7,'Replacement plan'!$AG$23)),0)*'Operating costs'!$B$9)*IF('Replacement plan'!$AG$23="",'Operating costs'!$B$7,'Replacement plan'!$AG$23)*('Energy and charging'!$C$9*'Energy and charging'!$C$7+(1-'Energy and charging'!$C$9)*'Energy and charging'!$C$8)*'Operating costs'!$B$23,"n.a."))</f>
        <v>0</v>
      </c>
      <c r="K74" s="16">
        <f>IF(C74=0,0,IF(P74="Complete",SUM('Operating costs'!$B$24,'Operating costs'!$B$27,'Operating costs'!$B$29,'Operating costs'!$B$31,'Operating costs'!$B$33,'Operating costs'!$B$34,'Operating costs'!$B$37,'Replacement plan'!$W$23)+'Operating costs'!$B$39*'Operating costs'!$B$42+ROUNDUP(S74*(R74-'Operating costs'!$B$39)*IF('Replacement plan'!$AG$23="",'Operating costs'!$B$7,'Replacement plan'!$AG$23)/('Operating costs'!$B$8-'Operating costs'!$B$9*IF('Replacement plan'!$AG$23="",'Operating costs'!$B$7,'Replacement plan'!$AG$23)),0)*('Operating costs'!$B$9/'Operating costs'!$B$11+'Operating costs'!$B$10/60)*'Operating costs'!$B$19*'Operating costs'!$B$21,"n.a."))</f>
        <v>0</v>
      </c>
      <c r="L74" s="16">
        <f>IF(C74=0,0,IF(P74="Complete",IF(D74="EV",X74*((1-T74)*'Energy and charging'!$C$10+T74*'Energy and charging'!$C$11)*'Operating costs'!$B$22,AA74*('Energy and charging'!$C$9*'Energy and charging'!$C$7+(1-'Energy and charging'!$C$9)*'Energy and charging'!$C$8)*'Operating costs'!$B$23),"n.a."))</f>
        <v>0</v>
      </c>
      <c r="M74" s="37">
        <f>IF(C74=0,0,IF(P74="Complete",IF(D74="ICE",SUM('Operating costs'!$B$25,'Operating costs'!$B$27,'Operating costs'!$B$29,'Operating costs'!$B$31,'Operating costs'!$B$33,'Operating costs'!$B$35,'Operating costs'!$B$37,'Replacement plan'!$X$23)+'Operating costs'!$B$40*'Operating costs'!$B$42+ROUNDUP(S74*(R74-'Operating costs'!$B$40)*IF('Replacement plan'!$AH$23="",'Operating costs'!$B$7,'Replacement plan'!$AH$23)/('Operating costs'!$B$8-'Operating costs'!$B$9*IF('Replacement plan'!$AH$23="",'Operating costs'!$B$7,'Replacement plan'!$AH$23)),0)*('Operating costs'!$B$9/'Operating costs'!$B$11+'Operating costs'!$B$10/60)*'Operating costs'!$B$19*'Operating costs'!$B$21,SUM(AP74,'Operating costs'!$B$28,'Operating costs'!$B$30,'Operating costs'!$B$32,'Operating costs'!$B$33,'Operating costs'!$B$36,'Operating costs'!$B$38,'Replacement plan'!$Y$23)+'Operating costs'!$B$41*'Operating costs'!$B$43+W74*'Operating costs'!$B$15+(T74*X74/'Replacement plan'!$L$23+W74*('Operating costs'!$B$12/'Operating costs'!$B$11+('Operating costs'!$B$13+'Operating costs'!$B$14)/60)+(R74-'Operating costs'!$B$41)*(IF(T74&lt;1,'Operating costs'!$B$16,0)+'Operating costs'!$B$17)/60)*'Operating costs'!$B$19*'Operating costs'!$B$20),"n.a."))</f>
        <v>0</v>
      </c>
      <c r="N74" s="16">
        <f>IF(AND(C74=1,D74="EV",E74&lt;120,E74+'Replacement plan'!$AA$23&lt;=120),'Replacement plan'!$Z$23,0)</f>
        <v>0</v>
      </c>
      <c r="O74" s="1">
        <f>E74+'Replacement plan'!$AA$23</f>
        <v>0</v>
      </c>
      <c r="P74" s="35" t="str">
        <f>IFERROR(IF(C74=0,"Excluded",IF(OR(COUNTIFS('Fleet register'!$A$7:$A$106,A74)&lt;&gt;1,COUNTIFS('Replacement plan'!$A$7:$A$106,A74)&lt;&gt;1),"Duplicate/missing ID",IF(NOT(AND(ISNUMBER(VLOOKUP($A74,'Fleet register'!$A$7:$S$106,5,FALSE)),ISNUMBER(VLOOKUP($A74,'Fleet register'!$A$7:$S$106,6,FALSE)),ISNUMBER(VLOOKUP($A74,'Fleet register'!$A$7:$S$106,10,FALSE)),ISNUMBER(VLOOKUP($A74,'Fleet register'!$A$7:$S$106,11,FALSE)),ISNUMBER(VLOOKUP($A74,'Fleet register'!$A$7:$S$106,12,FALSE)),ISNUMBER(VLOOKUP($A74,'Fleet register'!$A$7:$S$106,13,FALSE)),ISNUMBER(VLOOKUP($A74,'Fleet register'!$A$7:$S$106,14,FALSE)),VLOOKUP($A74,'Fleet register'!$A$7:$S$106,14,FALSE)&gt;0,ISNUMBER('Replacement plan'!$C$23),OR(E74=120,ISNUMBER('Replacement plan'!$T$23)),ISNUMBER(E74))),"Missing vehicle input",IF(OR(E74&lt;0,E74&gt;VLOOKUP($A74,'Fleet register'!$A$7:$S$106,10,FALSE),E74&gt;120,E74&lt;&gt;INT(E74),VLOOKUP($A74,'Fleet register'!$A$7:$S$106,6,FALSE)&lt;=0,VLOOKUP($A74,'Fleet register'!$A$7:$S$106,6,FALSE)&gt;366,VLOOKUP($A74,'Fleet register'!$A$7:$S$106,5,FALSE)&lt;0,VLOOKUP($A74,'Fleet register'!$A$7:$S$106,11,FALSE)&lt;0,I74&lt;0,'Operating costs'!$B$8&lt;='Operating costs'!$B$7*'Operating costs'!$B$9,'Operating costs'!$B$11&lt;=0,'Operating costs'!$B$39&gt;R74,'Operating costs'!$B$40&gt;R74,'Operating costs'!$B$41&gt;R74,NOT(OR('Replacement plan'!$R$23="Keep ICE",'Replacement plan'!$R$23="New ICE",'Replacement plan'!$R$23="EV"))),"Invalid vehicle input",IF(AND(D74="EV",E74&lt;120,OR(NOT(ISNUMBER(U74)),NOT(ISNUMBER(V74)),V74&lt;=0,T74&lt;0,T74&gt;1,'Replacement plan'!$L$23&lt;=0,'Operating costs'!$B$44&lt;0,'Operating costs'!$B$44&gt;=1,'Operating costs'!$B$47&lt;=0,'Operating costs'!$B$47&gt;1,V74*'Operating costs'!$B$47/(1-'Operating costs'!$B$44)&lt;=T74*'Operating costs'!$B$12*U74,AND('Replacement plan'!$Z$23&gt;0,OR('Replacement plan'!$AB$23&lt;&gt;"Yes",'Operating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charging'!$C$8&gt;=0))),ISNUMBER(VLOOKUP($A74,'Fleet register'!$A$7:$S$106,15,FALSE)),ISNUMBER(VLOOKUP($A74,'Fleet register'!$A$7:$S$106,16,FALSE)),ISNUMBER('Replacement plan'!$W$23),ISNUMBER('Replacement plan'!$X$23),OR(E74=120,AND(ISNUMBER(G74),G74&gt;=0)),ISNUMBER(H74),H74&gt;=0,OR(D74&lt;&gt;"EV",E74=120,AND(ISNUMBER('Operating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average",ISNUMBER(IFERROR(INDEX(Products!$P$7:$P$13,MATCH(AD74,Products!$A$7:$A$13,0)),"")))),ISNUMBER('Operating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plan'!$Y$23),ISNUMBER('Replacement plan'!$Z$23),'Replacement plan'!$Z$23&gt;=0,ISNUMBER('Replacement plan'!$AA$23),'Replacement plan'!$AA$23&gt;=0,'Replacement plan'!$AA$23=INT('Replacement plan'!$AA$23),ISNUMBER('Replacement plan'!$L$23))),'Operating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plan'!$AG$23="",'Operating costs'!$B$7,'Replacement plan'!$AG$23)),IF('Replacement plan'!$AG$23="",'Operating costs'!$B$7,'Replacement plan'!$AG$23)&gt;=0,ISNUMBER(IF('Replacement plan'!$AH$23="",'Operating costs'!$B$7,'Replacement plan'!$AH$23)),IF('Replacement plan'!$AH$23="",'Operating costs'!$B$7,'Replacement plan'!$AH$23)&gt;=0,'Operating costs'!$B$8&gt;MAX(IF('Replacement plan'!$AG$23="",'Operating costs'!$B$7,'Replacement plan'!$AG$23),IF('Replacement plan'!$AH$23="",'Operating costs'!$B$7,'Replacement plan'!$AH$23))*'Operating costs'!$B$9),IF(AND(VLOOKUP($A74,'Fleet register'!$A$7:$S$106,10,FALSE)&gt;=0,VLOOKUP($A74,'Fleet register'!$A$7:$S$106,10,FALSE)&lt;=120,VLOOKUP($A74,'Fleet register'!$A$7:$S$106,10,FALSE)=INT(VLOOKUP($A74,'Fleet register'!$A$7:$S$106,10,FALSE)),VLOOKUP($A74,'Fleet register'!$A$7:$S$106,15,FALSE)&gt;=0,VLOOKUP($A74,'Fleet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costs'!$B$67)&gt;=0,OR(D74&lt;&gt;"EV",E74=120,AND(MIN('Operating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74" s="1" t="str">
        <f>IF(C74=0,"Excluded",IF(P74&lt;&gt;"Complete",P74,IF(OR('Replacement plan'!$AD$23&lt;120-E74,AND(D74="EV",E74&lt;120,OR('Replacement plan'!$AC$23&lt;120-E74,'Replacement plan'!$I$23="No",AND(ISNUMBER(AF74),AE74&gt;AF74),AI74&gt;V74*(1-'Operating costs'!$B$46)^MAX(0,AB74-1)*(1-'Operating costs'!$B$45),AC74&gt;'Operating costs'!$B$18,AND(T74&lt;1,OR(AG74&lt;=0,AND(ISNUMBER(AH74),AG74&gt;AH74))),'Replacement plan'!$L$23&gt;INDEX(Products!$H$7:$H$13,MATCH('Replacement plan'!$B$23,Products!$A$7:$A$13,0))))),"Fails entered limits",IF(AND(D74="EV",E74&lt;120,OR(NOT(ISNUMBER(VLOOKUP($A74,'Fleet register'!$A$7:$S$106,7,FALSE))),NOT(ISNUMBER(VLOOKUP($A74,'Fleet register'!$A$7:$S$106,8,FALSE))),NOT(ISNUMBER(AF74)),'Replacement plan'!$I$23&lt;&gt;"Yes",NOT(ISNUMBER(AH74)),'Operating costs'!$B$59&lt;&gt;"Yes",'Operating costs'!$B$58&lt;&gt;"Yes")),"Unverified","Within entered limits"))))</f>
        <v>Excluded</v>
      </c>
      <c r="R74" s="1">
        <f>IF(C74=0,0,VLOOKUP($A74,'Fleet register'!$A$7:$S$106,6,FALSE))</f>
        <v>0</v>
      </c>
      <c r="S74" s="1">
        <f>IF(C74=0,0,VLOOKUP($A74,'Fleet register'!$A$7:$S$106,5,FALSE))</f>
        <v>0</v>
      </c>
      <c r="T74" s="1">
        <f>IF(D74="EV",'Energy and charging'!$C$12,0)</f>
        <v>0</v>
      </c>
      <c r="U74" s="1">
        <f>IFERROR(IF(C74=0,0,IF(D74="EV",IF('Replacement plan'!$F$23="",INDEX(Products!$E$7:$E$13,MATCH('Replacement plan'!$B$23,Products!$A$7:$A$13,0)),'Replacement plan'!$F$23)/IF('Replacement plan'!$G$23="Battery",1-'Operating costs'!$B$44,1),0)),"n.a.")</f>
        <v>0</v>
      </c>
      <c r="V74" s="1">
        <f>IFERROR(IF(C74=0,0,IF(D74="EV",IF('Replacement plan'!$E$23="",INDEX(Products!$D$7:$D$13,MATCH('Replacement plan'!$B$23,Products!$A$7:$A$13,0)),'Replacement plan'!$E$23),0)),"n.a.")</f>
        <v>0</v>
      </c>
      <c r="W74" s="1">
        <f>IF(C74=0,0,IF(AND(P74="Complete",D74="EV",E74&lt;120),IF(T74=0,0,ROUNDUP(T74*(R74-'Operating costs'!$B$41)*(S74*U74+'Operating costs'!$B$48/(1-'Operating costs'!$B$44))/(V74*'Operating costs'!$B$47/(1-'Operating costs'!$B$44)-T74*'Operating costs'!$B$12*U74),0)),0))</f>
        <v>0</v>
      </c>
      <c r="X74" s="1">
        <f>IF(C74=0,0,IF(AND(P74="Complete",D74="EV",E74&lt;120),(R74-'Operating costs'!$B$41)*(S74*U74+'Operating costs'!$B$48/(1-'Operating costs'!$B$44))+W74*'Operating costs'!$B$12*U74,0))</f>
        <v>0</v>
      </c>
      <c r="Y74" s="1">
        <f>IF(AND(C74=1,D74="EV",E74&lt;120),AI74/(1-'Operating costs'!$B$44)*(1-T74),0)</f>
        <v>0</v>
      </c>
      <c r="Z74" s="1">
        <f t="shared" si="2"/>
        <v>0</v>
      </c>
      <c r="AA74" s="1">
        <f>IF(C74=0,0,IF(P74="Complete",((S74*(R74-'Operating costs'!$B$40))+ROUNDUP(S74*(R74-'Operating costs'!$B$40)*IF('Replacement plan'!$AH$23="",'Operating costs'!$B$7,'Replacement plan'!$AH$23)/('Operating costs'!$B$8-'Operating costs'!$B$9*IF('Replacement plan'!$AH$23="",'Operating costs'!$B$7,'Replacement plan'!$AH$23)),0)*'Operating costs'!$B$9)*IF('Replacement plan'!$AH$23="",'Operating costs'!$B$7,'Replacement plan'!$AH$23),"n.a."))</f>
        <v>0</v>
      </c>
      <c r="AB74" s="1">
        <f t="shared" si="3"/>
        <v>0</v>
      </c>
      <c r="AC74" s="1">
        <f>IF(AND(C74=1,D74="EV",E74&lt;120,T74&gt;0),'Operating costs'!$B$12/'Operating costs'!$B$11*60+'Operating costs'!$B$13+'Operating costs'!$B$14+V74*'Operating costs'!$B$47/(1-'Operating costs'!$B$44)/'Replacement plan'!$L$23*60,0)</f>
        <v>0</v>
      </c>
      <c r="AD74" s="1" t="str">
        <f>'Replacement plan'!$B$23</f>
        <v>ChengLong L2EV</v>
      </c>
      <c r="AE74" s="1">
        <f>IF(C74=0,0,VLOOKUP($A74,'Fleet register'!$A$7:$S$106,8,FALSE))</f>
        <v>0</v>
      </c>
      <c r="AF74" s="1" t="str">
        <f>IF('Replacement plan'!$H$23="","n.a.",'Replacement plan'!$H$23)</f>
        <v>n.a.</v>
      </c>
      <c r="AG74" s="1">
        <f>'Replacement plan'!$J$23</f>
        <v>22</v>
      </c>
      <c r="AH74" s="1">
        <f>IFERROR(IF(D74="EV",IF('Replacement plan'!$K$23="AC",IF(ISNUMBER(INDEX(Products!$G$7:$G$13,MATCH('Replacement plan'!$B$23,Products!$A$7:$A$13,0))),INDEX(Products!$G$7:$G$13,MATCH('Replacement plan'!$B$23,Products!$A$7:$A$13,0)),"n.a."),IF(ISNUMBER(INDEX(Products!$H$7:$H$13,MATCH('Replacement plan'!$B$23,Products!$A$7:$A$13,0))),INDEX(Products!$H$7:$H$13,MATCH('Replacement plan'!$B$23,Products!$A$7:$A$13,0)),"n.a.")),0),"n.a.")</f>
        <v>0</v>
      </c>
      <c r="AI74" s="1">
        <f>IF(AND(C74=1,D74="EV",E74&lt;120),(VLOOKUP($A74,'Fleet register'!$A$7:$S$106,7,FALSE)+IF(T74&gt;0,'Operating costs'!$B$12,0))*U74*(1-'Operating costs'!$B$44)+'Operating costs'!$B$49,0)</f>
        <v>0</v>
      </c>
      <c r="AJ74" s="1">
        <f>IF(D74="EV",'Energy and charging'!$C$50,0)</f>
        <v>0</v>
      </c>
      <c r="AK74" s="17">
        <f>EDATE('Operating costs'!$B$63,E74)</f>
        <v>46298</v>
      </c>
      <c r="AL74" s="1">
        <f>IFERROR(IF(D74="EV",INDEX(Products!$B$7:$B$13,MATCH('Replacement plan'!$B$23,Products!$A$7:$A$13,0)),0),"n.a.")</f>
        <v>0</v>
      </c>
      <c r="AM74" s="1" t="str">
        <f>'Replacement plan'!$K$23</f>
        <v>DC</v>
      </c>
      <c r="AN74" s="1" t="str">
        <f>'Replacement plan'!$AE$23</f>
        <v>Assumed</v>
      </c>
      <c r="AO74" s="47">
        <f>IF(AND(C74=1,D74="EV",E74&lt;120),(R74-'Operating costs'!$B$41)*S74+W74*'Operating costs'!$B$12,0)</f>
        <v>0</v>
      </c>
      <c r="AP74" s="41">
        <f>IF(AND(C74=1,D74="EV",E74&lt;120),IF('Operating costs'!$B$68="Hong Seh 200k average",AO74*IFERROR(INDEX(Products!$P$7:$P$13,MATCH(AD74,Products!$A$7:$A$13,0)),"n.a."),'Operating costs'!$B$26),0)</f>
        <v>0</v>
      </c>
      <c r="AQ74" s="40" t="str">
        <f>IF(D74="EV",'Operating costs'!$B$68,"Not applicable")</f>
        <v>Not applicable</v>
      </c>
    </row>
    <row r="75" spans="1:43" ht="24" customHeight="1">
      <c r="A75" s="1" t="str">
        <f>'Replacement plan'!A24</f>
        <v>T018</v>
      </c>
      <c r="B75" s="1">
        <v>0</v>
      </c>
      <c r="C75" s="1">
        <f>IF(COUNTIFS('Fleet register'!$A$7:$A$106,$A75)=1,VLOOKUP($A75,'Fleet register'!$A$7:$S$106,2,FALSE),0)</f>
        <v>0</v>
      </c>
      <c r="D75" s="1" t="str">
        <f>IF("Keep ICE"="EV","EV","ICE")</f>
        <v>ICE</v>
      </c>
      <c r="E75" s="1">
        <f>IF(C75=0,0,IF('Replacement plan'!$M$24="",VLOOKUP($A75,'Fleet register'!$A$7:$S$106,10,FALSE),'Replacement plan'!$M$24))</f>
        <v>0</v>
      </c>
      <c r="F75" s="16">
        <f>IF(C75=0,0,VLOOKUP($A75,'Fleet register'!$A$7:$S$106,11,FALSE))</f>
        <v>0</v>
      </c>
      <c r="G75" s="16">
        <f>IFERROR(IF(C75=0,0,IF(E75=120,0,IF(D75="ICE",'Replacement plan'!$C$24,IF('Replacement plan'!$D$24="",INDEX(Products!$I$7:$I$13,MATCH('Replacement plan'!$B$24,Products!$A$7:$A$13,0))+'Operating costs'!$B$57,'Replacement plan'!$D$24))*(1+'Operating costs'!$B$50)^(E75/12))),"n.a.")</f>
        <v>0</v>
      </c>
      <c r="H75" s="16">
        <f>IFERROR(IF(C75=0,0,IF(E75=0,F75,VLOOKUP($A75,'Fleet register'!$A$7:$S$106,12,FALSE)+VLOOKUP($A75,'Fleet register'!$A$7:$S$106,13,FALSE)*MAX(0,VLOOKUP($A75,'Fleet register'!$A$7:$S$106,10,FALSE)-E75)/VLOOKUP($A75,'Fleet register'!$A$7:$S$106,14,FALSE))),"n.a.")</f>
        <v>0</v>
      </c>
      <c r="I75" s="16">
        <f>IF(C75=0,0,IF(E75=120,0,'Replacement plan'!$N$24))</f>
        <v>0</v>
      </c>
      <c r="J75" s="16">
        <f>IF(C75=0,0,IF(P75="Complete",((S75*(R75-'Operating costs'!$B$39))+ROUNDUP(S75*(R75-'Operating costs'!$B$39)*IF('Replacement plan'!$AG$24="",'Operating costs'!$B$7,'Replacement plan'!$AG$24)/('Operating costs'!$B$8-'Operating costs'!$B$9*IF('Replacement plan'!$AG$24="",'Operating costs'!$B$7,'Replacement plan'!$AG$24)),0)*'Operating costs'!$B$9)*IF('Replacement plan'!$AG$24="",'Operating costs'!$B$7,'Replacement plan'!$AG$24)*('Energy and charging'!$B$9*'Energy and charging'!$B$7+(1-'Energy and charging'!$B$9)*'Energy and charging'!$B$8)*'Operating costs'!$B$23,"n.a."))</f>
        <v>0</v>
      </c>
      <c r="K75" s="16">
        <f>IF(C75=0,0,IF(P75="Complete",SUM('Operating costs'!$B$24,'Operating costs'!$B$27,'Operating costs'!$B$29,'Operating costs'!$B$31,'Operating costs'!$B$33,'Operating costs'!$B$34,'Operating costs'!$B$37,'Replacement plan'!$W$24)+'Operating costs'!$B$39*'Operating costs'!$B$42+ROUNDUP(S75*(R75-'Operating costs'!$B$39)*IF('Replacement plan'!$AG$24="",'Operating costs'!$B$7,'Replacement plan'!$AG$24)/('Operating costs'!$B$8-'Operating costs'!$B$9*IF('Replacement plan'!$AG$24="",'Operating costs'!$B$7,'Replacement plan'!$AG$24)),0)*('Operating costs'!$B$9/'Operating costs'!$B$11+'Operating costs'!$B$10/60)*'Operating costs'!$B$19*'Operating costs'!$B$21,"n.a."))</f>
        <v>0</v>
      </c>
      <c r="L75" s="16">
        <f>IF(C75=0,0,IF(P75="Complete",IF(D75="EV",X75*((1-T75)*'Energy and charging'!$B$10+T75*'Energy and charging'!$B$11)*'Operating costs'!$B$22,AA75*('Energy and charging'!$B$9*'Energy and charging'!$B$7+(1-'Energy and charging'!$B$9)*'Energy and charging'!$B$8)*'Operating costs'!$B$23),"n.a."))</f>
        <v>0</v>
      </c>
      <c r="M75" s="37">
        <f>IF(C75=0,0,IF(P75="Complete",IF(D75="ICE",SUM('Operating costs'!$B$25,'Operating costs'!$B$27,'Operating costs'!$B$29,'Operating costs'!$B$31,'Operating costs'!$B$33,'Operating costs'!$B$35,'Operating costs'!$B$37,'Replacement plan'!$X$24)+'Operating costs'!$B$40*'Operating costs'!$B$42+ROUNDUP(S75*(R75-'Operating costs'!$B$40)*IF('Replacement plan'!$AH$24="",'Operating costs'!$B$7,'Replacement plan'!$AH$24)/('Operating costs'!$B$8-'Operating costs'!$B$9*IF('Replacement plan'!$AH$24="",'Operating costs'!$B$7,'Replacement plan'!$AH$24)),0)*('Operating costs'!$B$9/'Operating costs'!$B$11+'Operating costs'!$B$10/60)*'Operating costs'!$B$19*'Operating costs'!$B$21,SUM(AP75,'Operating costs'!$B$28,'Operating costs'!$B$30,'Operating costs'!$B$32,'Operating costs'!$B$33,'Operating costs'!$B$36,'Operating costs'!$B$38,'Replacement plan'!$Y$24)+'Operating costs'!$B$41*'Operating costs'!$B$43+W75*'Operating costs'!$B$15+(T75*X75/'Replacement plan'!$L$24+W75*('Operating costs'!$B$12/'Operating costs'!$B$11+('Operating costs'!$B$13+'Operating costs'!$B$14)/60)+(R75-'Operating costs'!$B$41)*(IF(T75&lt;1,'Operating costs'!$B$16,0)+'Operating costs'!$B$17)/60)*'Operating costs'!$B$19*'Operating costs'!$B$20),"n.a."))</f>
        <v>0</v>
      </c>
      <c r="N75" s="16">
        <f>IF(AND(C75=1,D75="EV",E75&lt;120,E75+'Replacement plan'!$AA$24&lt;=120),'Replacement plan'!$Z$24,0)</f>
        <v>0</v>
      </c>
      <c r="O75" s="1">
        <f>E75+'Replacement plan'!$AA$24</f>
        <v>0</v>
      </c>
      <c r="P75" s="35" t="str">
        <f>IFERROR(IF(C75=0,"Excluded",IF(OR(COUNTIFS('Fleet register'!$A$7:$A$106,A75)&lt;&gt;1,COUNTIFS('Replacement plan'!$A$7:$A$106,A75)&lt;&gt;1),"Duplicate/missing ID",IF(NOT(AND(ISNUMBER(VLOOKUP($A75,'Fleet register'!$A$7:$S$106,5,FALSE)),ISNUMBER(VLOOKUP($A75,'Fleet register'!$A$7:$S$106,6,FALSE)),ISNUMBER(VLOOKUP($A75,'Fleet register'!$A$7:$S$106,10,FALSE)),ISNUMBER(VLOOKUP($A75,'Fleet register'!$A$7:$S$106,11,FALSE)),ISNUMBER(VLOOKUP($A75,'Fleet register'!$A$7:$S$106,12,FALSE)),ISNUMBER(VLOOKUP($A75,'Fleet register'!$A$7:$S$106,13,FALSE)),ISNUMBER(VLOOKUP($A75,'Fleet register'!$A$7:$S$106,14,FALSE)),VLOOKUP($A75,'Fleet register'!$A$7:$S$106,14,FALSE)&gt;0,ISNUMBER('Replacement plan'!$C$24),OR(E75=120,ISNUMBER('Replacement plan'!$N$24)),ISNUMBER(E75))),"Missing vehicle input",IF(OR(E75&lt;0,E75&gt;VLOOKUP($A75,'Fleet register'!$A$7:$S$106,10,FALSE),E75&gt;120,E75&lt;&gt;INT(E75),VLOOKUP($A75,'Fleet register'!$A$7:$S$106,6,FALSE)&lt;=0,VLOOKUP($A75,'Fleet register'!$A$7:$S$106,6,FALSE)&gt;366,VLOOKUP($A75,'Fleet register'!$A$7:$S$106,5,FALSE)&lt;0,VLOOKUP($A75,'Fleet register'!$A$7:$S$106,11,FALSE)&lt;0,I75&lt;0,'Operating costs'!$B$8&lt;='Operating costs'!$B$7*'Operating costs'!$B$9,'Operating costs'!$B$11&lt;=0,'Operating costs'!$B$39&gt;R75,'Operating costs'!$B$40&gt;R75,'Operating costs'!$B$41&gt;R75,NOT(OR("Keep ICE"="Keep ICE","Keep ICE"="New ICE","Keep ICE"="EV"))),"Invalid vehicle input",IF(AND(D75="EV",E75&lt;120,OR(NOT(ISNUMBER(U75)),NOT(ISNUMBER(V75)),V75&lt;=0,T75&lt;0,T75&gt;1,'Replacement plan'!$L$24&lt;=0,'Operating costs'!$B$44&lt;0,'Operating costs'!$B$44&gt;=1,'Operating costs'!$B$47&lt;=0,'Operating costs'!$B$47&gt;1,V75*'Operating costs'!$B$47/(1-'Operating costs'!$B$44)&lt;=T75*'Operating costs'!$B$12*U75,AND('Replacement plan'!$Z$24&gt;0,OR('Replacement plan'!$AB$24&lt;&gt;"Yes",'Operating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charging'!$B$8&gt;=0))),ISNUMBER(VLOOKUP($A75,'Fleet register'!$A$7:$S$106,15,FALSE)),ISNUMBER(VLOOKUP($A75,'Fleet register'!$A$7:$S$106,16,FALSE)),ISNUMBER('Replacement plan'!$W$24),ISNUMBER('Replacement plan'!$X$24),OR(E75=120,AND(ISNUMBER(G75),G75&gt;=0)),ISNUMBER(H75),H75&gt;=0,OR(D75&lt;&gt;"EV",E75=120,AND(ISNUMBER('Operating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average",ISNUMBER(IFERROR(INDEX(Products!$P$7:$P$13,MATCH(AD75,Products!$A$7:$A$13,0)),"")))),ISNUMBER('Operating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plan'!$Y$24),ISNUMBER('Replacement plan'!$Z$24),'Replacement plan'!$Z$24&gt;=0,ISNUMBER('Replacement plan'!$AA$24),'Replacement plan'!$AA$24&gt;=0,'Replacement plan'!$AA$24=INT('Replacement plan'!$AA$24),ISNUMBER('Replacement plan'!$L$24))),'Operating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plan'!$AG$24="",'Operating costs'!$B$7,'Replacement plan'!$AG$24)),IF('Replacement plan'!$AG$24="",'Operating costs'!$B$7,'Replacement plan'!$AG$24)&gt;=0,ISNUMBER(IF('Replacement plan'!$AH$24="",'Operating costs'!$B$7,'Replacement plan'!$AH$24)),IF('Replacement plan'!$AH$24="",'Operating costs'!$B$7,'Replacement plan'!$AH$24)&gt;=0,'Operating costs'!$B$8&gt;MAX(IF('Replacement plan'!$AG$24="",'Operating costs'!$B$7,'Replacement plan'!$AG$24),IF('Replacement plan'!$AH$24="",'Operating costs'!$B$7,'Replacement plan'!$AH$24))*'Operating costs'!$B$9),IF(AND(VLOOKUP($A75,'Fleet register'!$A$7:$S$106,10,FALSE)&gt;=0,VLOOKUP($A75,'Fleet register'!$A$7:$S$106,10,FALSE)&lt;=120,VLOOKUP($A75,'Fleet register'!$A$7:$S$106,10,FALSE)=INT(VLOOKUP($A75,'Fleet register'!$A$7:$S$106,10,FALSE)),VLOOKUP($A75,'Fleet register'!$A$7:$S$106,15,FALSE)&gt;=0,VLOOKUP($A75,'Fleet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costs'!$B$67)&gt;=0,OR(D75&lt;&gt;"EV",E75=120,AND(MIN('Operating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75" s="1" t="str">
        <f>IF(C75=0,"Excluded",IF(P75&lt;&gt;"Complete",P75,IF(OR('Replacement plan'!$AD$24&lt;120-E75,AND(D75="EV",E75&lt;120,OR('Replacement plan'!$AC$24&lt;120-E75,'Replacement plan'!$I$24="No",AND(ISNUMBER(AF75),AE75&gt;AF75),AI75&gt;V75*(1-'Operating costs'!$B$46)^MAX(0,AB75-1)*(1-'Operating costs'!$B$45),AC75&gt;'Operating costs'!$B$18,AND(T75&lt;1,OR(AG75&lt;=0,AND(ISNUMBER(AH75),AG75&gt;AH75))),'Replacement plan'!$L$24&gt;INDEX(Products!$H$7:$H$13,MATCH('Replacement plan'!$B$24,Products!$A$7:$A$13,0))))),"Fails entered limits",IF(AND(D75="EV",E75&lt;120,OR(NOT(ISNUMBER(VLOOKUP($A75,'Fleet register'!$A$7:$S$106,7,FALSE))),NOT(ISNUMBER(VLOOKUP($A75,'Fleet register'!$A$7:$S$106,8,FALSE))),NOT(ISNUMBER(AF75)),'Replacement plan'!$I$24&lt;&gt;"Yes",NOT(ISNUMBER(AH75)),'Operating costs'!$B$59&lt;&gt;"Yes",'Operating costs'!$B$58&lt;&gt;"Yes")),"Unverified","Within entered limits"))))</f>
        <v>Excluded</v>
      </c>
      <c r="R75" s="1">
        <f>IF(C75=0,0,VLOOKUP($A75,'Fleet register'!$A$7:$S$106,6,FALSE))</f>
        <v>0</v>
      </c>
      <c r="S75" s="1">
        <f>IF(C75=0,0,VLOOKUP($A75,'Fleet register'!$A$7:$S$106,5,FALSE))</f>
        <v>0</v>
      </c>
      <c r="T75" s="1">
        <f>IF(D75="EV",'Energy and charging'!$B$12,0)</f>
        <v>0</v>
      </c>
      <c r="U75" s="1">
        <f>IFERROR(IF(C75=0,0,IF(D75="EV",IF('Replacement plan'!$F$24="",INDEX(Products!$E$7:$E$13,MATCH('Replacement plan'!$B$24,Products!$A$7:$A$13,0)),'Replacement plan'!$F$24)/IF('Replacement plan'!$G$24="Battery",1-'Operating costs'!$B$44,1),0)),"n.a.")</f>
        <v>0</v>
      </c>
      <c r="V75" s="1">
        <f>IFERROR(IF(C75=0,0,IF(D75="EV",IF('Replacement plan'!$E$24="",INDEX(Products!$D$7:$D$13,MATCH('Replacement plan'!$B$24,Products!$A$7:$A$13,0)),'Replacement plan'!$E$24),0)),"n.a.")</f>
        <v>0</v>
      </c>
      <c r="W75" s="1">
        <f>IF(C75=0,0,IF(AND(P75="Complete",D75="EV",E75&lt;120),IF(T75=0,0,ROUNDUP(T75*(R75-'Operating costs'!$B$41)*(S75*U75+'Operating costs'!$B$48/(1-'Operating costs'!$B$44))/(V75*'Operating costs'!$B$47/(1-'Operating costs'!$B$44)-T75*'Operating costs'!$B$12*U75),0)),0))</f>
        <v>0</v>
      </c>
      <c r="X75" s="1">
        <f>IF(C75=0,0,IF(AND(P75="Complete",D75="EV",E75&lt;120),(R75-'Operating costs'!$B$41)*(S75*U75+'Operating costs'!$B$48/(1-'Operating costs'!$B$44))+W75*'Operating costs'!$B$12*U75,0))</f>
        <v>0</v>
      </c>
      <c r="Y75" s="1">
        <f>IF(AND(C75=1,D75="EV",E75&lt;120),AI75/(1-'Operating costs'!$B$44)*(1-T75),0)</f>
        <v>0</v>
      </c>
      <c r="Z75" s="1">
        <f t="shared" si="2"/>
        <v>0</v>
      </c>
      <c r="AA75" s="1">
        <f>IF(C75=0,0,IF(P75="Complete",((S75*(R75-'Operating costs'!$B$40))+ROUNDUP(S75*(R75-'Operating costs'!$B$40)*IF('Replacement plan'!$AH$24="",'Operating costs'!$B$7,'Replacement plan'!$AH$24)/('Operating costs'!$B$8-'Operating costs'!$B$9*IF('Replacement plan'!$AH$24="",'Operating costs'!$B$7,'Replacement plan'!$AH$24)),0)*'Operating costs'!$B$9)*IF('Replacement plan'!$AH$24="",'Operating costs'!$B$7,'Replacement plan'!$AH$24),"n.a."))</f>
        <v>0</v>
      </c>
      <c r="AB75" s="1">
        <f t="shared" si="3"/>
        <v>0</v>
      </c>
      <c r="AC75" s="1">
        <f>IF(AND(C75=1,D75="EV",E75&lt;120,T75&gt;0),'Operating costs'!$B$12/'Operating costs'!$B$11*60+'Operating costs'!$B$13+'Operating costs'!$B$14+V75*'Operating costs'!$B$47/(1-'Operating costs'!$B$44)/'Replacement plan'!$L$24*60,0)</f>
        <v>0</v>
      </c>
      <c r="AD75" s="1" t="str">
        <f>'Replacement plan'!$B$24</f>
        <v>ChengLong L2EV</v>
      </c>
      <c r="AE75" s="1">
        <f>IF(C75=0,0,VLOOKUP($A75,'Fleet register'!$A$7:$S$106,8,FALSE))</f>
        <v>0</v>
      </c>
      <c r="AF75" s="1" t="str">
        <f>IF('Replacement plan'!$H$24="","n.a.",'Replacement plan'!$H$24)</f>
        <v>n.a.</v>
      </c>
      <c r="AG75" s="1">
        <f>'Replacement plan'!$J$24</f>
        <v>22</v>
      </c>
      <c r="AH75" s="1">
        <f>IFERROR(IF(D75="EV",IF('Replacement plan'!$K$24="AC",IF(ISNUMBER(INDEX(Products!$G$7:$G$13,MATCH('Replacement plan'!$B$24,Products!$A$7:$A$13,0))),INDEX(Products!$G$7:$G$13,MATCH('Replacement plan'!$B$24,Products!$A$7:$A$13,0)),"n.a."),IF(ISNUMBER(INDEX(Products!$H$7:$H$13,MATCH('Replacement plan'!$B$24,Products!$A$7:$A$13,0))),INDEX(Products!$H$7:$H$13,MATCH('Replacement plan'!$B$24,Products!$A$7:$A$13,0)),"n.a.")),0),"n.a.")</f>
        <v>0</v>
      </c>
      <c r="AI75" s="1">
        <f>IF(AND(C75=1,D75="EV",E75&lt;120),(VLOOKUP($A75,'Fleet register'!$A$7:$S$106,7,FALSE)+IF(T75&gt;0,'Operating costs'!$B$12,0))*U75*(1-'Operating costs'!$B$44)+'Operating costs'!$B$49,0)</f>
        <v>0</v>
      </c>
      <c r="AJ75" s="1">
        <f>IF(D75="EV",'Energy and charging'!$B$50,0)</f>
        <v>0</v>
      </c>
      <c r="AK75" s="17">
        <f>EDATE('Operating costs'!$B$63,E75)</f>
        <v>46298</v>
      </c>
      <c r="AL75" s="1">
        <f>IFERROR(IF(D75="EV",INDEX(Products!$B$7:$B$13,MATCH('Replacement plan'!$B$24,Products!$A$7:$A$13,0)),0),"n.a.")</f>
        <v>0</v>
      </c>
      <c r="AM75" s="1" t="str">
        <f>'Replacement plan'!$K$24</f>
        <v>DC</v>
      </c>
      <c r="AN75" s="1" t="str">
        <f>'Replacement plan'!$AE$24</f>
        <v>Assumed</v>
      </c>
      <c r="AO75" s="47">
        <f>IF(AND(C75=1,D75="EV",E75&lt;120),(R75-'Operating costs'!$B$41)*S75+W75*'Operating costs'!$B$12,0)</f>
        <v>0</v>
      </c>
      <c r="AP75" s="41">
        <f>IF(AND(C75=1,D75="EV",E75&lt;120),IF('Operating costs'!$B$68="Hong Seh 200k average",AO75*IFERROR(INDEX(Products!$P$7:$P$13,MATCH(AD75,Products!$A$7:$A$13,0)),"n.a."),'Operating costs'!$B$26),0)</f>
        <v>0</v>
      </c>
      <c r="AQ75" s="40" t="str">
        <f>IF(D75="EV",'Operating costs'!$B$68,"Not applicable")</f>
        <v>Not applicable</v>
      </c>
    </row>
    <row r="76" spans="1:43" ht="24" customHeight="1">
      <c r="A76" s="1" t="str">
        <f>'Replacement plan'!A24</f>
        <v>T018</v>
      </c>
      <c r="B76" s="1">
        <v>1</v>
      </c>
      <c r="C76" s="1">
        <f>IF(COUNTIFS('Fleet register'!$A$7:$A$106,$A76)=1,VLOOKUP($A76,'Fleet register'!$A$7:$S$106,2,FALSE),0)</f>
        <v>0</v>
      </c>
      <c r="D76" s="1" t="str">
        <f>IF("New ICE"="EV","EV","ICE")</f>
        <v>ICE</v>
      </c>
      <c r="E76" s="1">
        <f>IF(C76=0,0,0)</f>
        <v>0</v>
      </c>
      <c r="F76" s="16">
        <f>IF(C76=0,0,VLOOKUP($A76,'Fleet register'!$A$7:$S$106,11,FALSE))</f>
        <v>0</v>
      </c>
      <c r="G76" s="16">
        <f>IFERROR(IF(C76=0,0,IF(E76=120,0,IF(D76="ICE",'Replacement plan'!$C$24,IF('Replacement plan'!$D$24="",INDEX(Products!$I$7:$I$13,MATCH('Replacement plan'!$B$24,Products!$A$7:$A$13,0))+'Operating costs'!$B$57,'Replacement plan'!$D$24))*(1+'Operating costs'!$B$50)^(E76/12))),"n.a.")</f>
        <v>0</v>
      </c>
      <c r="H76" s="16">
        <f>IFERROR(IF(C76=0,0,IF(E76=0,F76,VLOOKUP($A76,'Fleet register'!$A$7:$S$106,12,FALSE)+VLOOKUP($A76,'Fleet register'!$A$7:$S$106,13,FALSE)*MAX(0,VLOOKUP($A76,'Fleet register'!$A$7:$S$106,10,FALSE)-E76)/VLOOKUP($A76,'Fleet register'!$A$7:$S$106,14,FALSE))),"n.a.")</f>
        <v>0</v>
      </c>
      <c r="I76" s="16">
        <f>IF(C76=0,0,IF(E76=120,0,IF('Replacement plan'!$AI$24="",'Operating costs'!$B$56,'Replacement plan'!$AI$24)))</f>
        <v>0</v>
      </c>
      <c r="J76" s="16">
        <f>IF(C76=0,0,IF(P76="Complete",((S76*(R76-'Operating costs'!$B$39))+ROUNDUP(S76*(R76-'Operating costs'!$B$39)*IF('Replacement plan'!$AG$24="",'Operating costs'!$B$7,'Replacement plan'!$AG$24)/('Operating costs'!$B$8-'Operating costs'!$B$9*IF('Replacement plan'!$AG$24="",'Operating costs'!$B$7,'Replacement plan'!$AG$24)),0)*'Operating costs'!$B$9)*IF('Replacement plan'!$AG$24="",'Operating costs'!$B$7,'Replacement plan'!$AG$24)*('Energy and charging'!$B$9*'Energy and charging'!$B$7+(1-'Energy and charging'!$B$9)*'Energy and charging'!$B$8)*'Operating costs'!$B$23,"n.a."))</f>
        <v>0</v>
      </c>
      <c r="K76" s="16">
        <f>IF(C76=0,0,IF(P76="Complete",SUM('Operating costs'!$B$24,'Operating costs'!$B$27,'Operating costs'!$B$29,'Operating costs'!$B$31,'Operating costs'!$B$33,'Operating costs'!$B$34,'Operating costs'!$B$37,'Replacement plan'!$W$24)+'Operating costs'!$B$39*'Operating costs'!$B$42+ROUNDUP(S76*(R76-'Operating costs'!$B$39)*IF('Replacement plan'!$AG$24="",'Operating costs'!$B$7,'Replacement plan'!$AG$24)/('Operating costs'!$B$8-'Operating costs'!$B$9*IF('Replacement plan'!$AG$24="",'Operating costs'!$B$7,'Replacement plan'!$AG$24)),0)*('Operating costs'!$B$9/'Operating costs'!$B$11+'Operating costs'!$B$10/60)*'Operating costs'!$B$19*'Operating costs'!$B$21,"n.a."))</f>
        <v>0</v>
      </c>
      <c r="L76" s="16">
        <f>IF(C76=0,0,IF(P76="Complete",IF(D76="EV",X76*((1-T76)*'Energy and charging'!$B$10+T76*'Energy and charging'!$B$11)*'Operating costs'!$B$22,AA76*('Energy and charging'!$B$9*'Energy and charging'!$B$7+(1-'Energy and charging'!$B$9)*'Energy and charging'!$B$8)*'Operating costs'!$B$23),"n.a."))</f>
        <v>0</v>
      </c>
      <c r="M76" s="37">
        <f>IF(C76=0,0,IF(P76="Complete",IF(D76="ICE",SUM('Operating costs'!$B$25,'Operating costs'!$B$27,'Operating costs'!$B$29,'Operating costs'!$B$31,'Operating costs'!$B$33,'Operating costs'!$B$35,'Operating costs'!$B$37,'Replacement plan'!$X$24)+'Operating costs'!$B$40*'Operating costs'!$B$42+ROUNDUP(S76*(R76-'Operating costs'!$B$40)*IF('Replacement plan'!$AH$24="",'Operating costs'!$B$7,'Replacement plan'!$AH$24)/('Operating costs'!$B$8-'Operating costs'!$B$9*IF('Replacement plan'!$AH$24="",'Operating costs'!$B$7,'Replacement plan'!$AH$24)),0)*('Operating costs'!$B$9/'Operating costs'!$B$11+'Operating costs'!$B$10/60)*'Operating costs'!$B$19*'Operating costs'!$B$21,SUM(AP76,'Operating costs'!$B$28,'Operating costs'!$B$30,'Operating costs'!$B$32,'Operating costs'!$B$33,'Operating costs'!$B$36,'Operating costs'!$B$38,'Replacement plan'!$Y$24)+'Operating costs'!$B$41*'Operating costs'!$B$43+W76*'Operating costs'!$B$15+(T76*X76/'Replacement plan'!$L$24+W76*('Operating costs'!$B$12/'Operating costs'!$B$11+('Operating costs'!$B$13+'Operating costs'!$B$14)/60)+(R76-'Operating costs'!$B$41)*(IF(T76&lt;1,'Operating costs'!$B$16,0)+'Operating costs'!$B$17)/60)*'Operating costs'!$B$19*'Operating costs'!$B$20),"n.a."))</f>
        <v>0</v>
      </c>
      <c r="N76" s="16">
        <f>IF(AND(C76=1,D76="EV",E76&lt;120,E76+'Replacement plan'!$AA$24&lt;=120),'Replacement plan'!$Z$24,0)</f>
        <v>0</v>
      </c>
      <c r="O76" s="1">
        <f>E76+'Replacement plan'!$AA$24</f>
        <v>0</v>
      </c>
      <c r="P76" s="35" t="str">
        <f>IFERROR(IF(C76=0,"Excluded",IF(OR(COUNTIFS('Fleet register'!$A$7:$A$106,A76)&lt;&gt;1,COUNTIFS('Replacement plan'!$A$7:$A$106,A76)&lt;&gt;1),"Duplicate/missing ID",IF(NOT(AND(ISNUMBER(VLOOKUP($A76,'Fleet register'!$A$7:$S$106,5,FALSE)),ISNUMBER(VLOOKUP($A76,'Fleet register'!$A$7:$S$106,6,FALSE)),ISNUMBER(VLOOKUP($A76,'Fleet register'!$A$7:$S$106,10,FALSE)),ISNUMBER(VLOOKUP($A76,'Fleet register'!$A$7:$S$106,11,FALSE)),ISNUMBER(VLOOKUP($A76,'Fleet register'!$A$7:$S$106,12,FALSE)),ISNUMBER(VLOOKUP($A76,'Fleet register'!$A$7:$S$106,13,FALSE)),ISNUMBER(VLOOKUP($A76,'Fleet register'!$A$7:$S$106,14,FALSE)),VLOOKUP($A76,'Fleet register'!$A$7:$S$106,14,FALSE)&gt;0,ISNUMBER('Replacement plan'!$C$24),OR(E76=120,OR(ISNUMBER('Replacement plan'!$AI$24),AND('Replacement plan'!$AI$24="",ISNUMBER('Operating costs'!$B$56)))),ISNUMBER(E76))),"Missing vehicle input",IF(OR(E76&lt;0,E76&gt;VLOOKUP($A76,'Fleet register'!$A$7:$S$106,10,FALSE),E76&gt;120,E76&lt;&gt;INT(E76),VLOOKUP($A76,'Fleet register'!$A$7:$S$106,6,FALSE)&lt;=0,VLOOKUP($A76,'Fleet register'!$A$7:$S$106,6,FALSE)&gt;366,VLOOKUP($A76,'Fleet register'!$A$7:$S$106,5,FALSE)&lt;0,VLOOKUP($A76,'Fleet register'!$A$7:$S$106,11,FALSE)&lt;0,I76&lt;0,'Operating costs'!$B$8&lt;='Operating costs'!$B$7*'Operating costs'!$B$9,'Operating costs'!$B$11&lt;=0,'Operating costs'!$B$39&gt;R76,'Operating costs'!$B$40&gt;R76,'Operating costs'!$B$41&gt;R76,NOT(OR("New ICE"="Keep ICE","New ICE"="New ICE","New ICE"="EV"))),"Invalid vehicle input",IF(AND(D76="EV",E76&lt;120,OR(NOT(ISNUMBER(U76)),NOT(ISNUMBER(V76)),V76&lt;=0,T76&lt;0,T76&gt;1,'Replacement plan'!$L$24&lt;=0,'Operating costs'!$B$44&lt;0,'Operating costs'!$B$44&gt;=1,'Operating costs'!$B$47&lt;=0,'Operating costs'!$B$47&gt;1,V76*'Operating costs'!$B$47/(1-'Operating costs'!$B$44)&lt;=T76*'Operating costs'!$B$12*U76,AND('Replacement plan'!$Z$24&gt;0,OR('Replacement plan'!$AB$24&lt;&gt;"Yes",'Operating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charging'!$B$8&gt;=0))),ISNUMBER(VLOOKUP($A76,'Fleet register'!$A$7:$S$106,15,FALSE)),ISNUMBER(VLOOKUP($A76,'Fleet register'!$A$7:$S$106,16,FALSE)),ISNUMBER('Replacement plan'!$W$24),ISNUMBER('Replacement plan'!$X$24),OR(E76=120,AND(ISNUMBER(G76),G76&gt;=0)),ISNUMBER(H76),H76&gt;=0,OR(D76&lt;&gt;"EV",E76=120,AND(ISNUMBER('Operating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average",ISNUMBER(IFERROR(INDEX(Products!$P$7:$P$13,MATCH(AD76,Products!$A$7:$A$13,0)),"")))),ISNUMBER('Operating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plan'!$Y$24),ISNUMBER('Replacement plan'!$Z$24),'Replacement plan'!$Z$24&gt;=0,ISNUMBER('Replacement plan'!$AA$24),'Replacement plan'!$AA$24&gt;=0,'Replacement plan'!$AA$24=INT('Replacement plan'!$AA$24),ISNUMBER('Replacement plan'!$L$24))),'Operating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plan'!$AG$24="",'Operating costs'!$B$7,'Replacement plan'!$AG$24)),IF('Replacement plan'!$AG$24="",'Operating costs'!$B$7,'Replacement plan'!$AG$24)&gt;=0,ISNUMBER(IF('Replacement plan'!$AH$24="",'Operating costs'!$B$7,'Replacement plan'!$AH$24)),IF('Replacement plan'!$AH$24="",'Operating costs'!$B$7,'Replacement plan'!$AH$24)&gt;=0,'Operating costs'!$B$8&gt;MAX(IF('Replacement plan'!$AG$24="",'Operating costs'!$B$7,'Replacement plan'!$AG$24),IF('Replacement plan'!$AH$24="",'Operating costs'!$B$7,'Replacement plan'!$AH$24))*'Operating costs'!$B$9),IF(AND(VLOOKUP($A76,'Fleet register'!$A$7:$S$106,10,FALSE)&gt;=0,VLOOKUP($A76,'Fleet register'!$A$7:$S$106,10,FALSE)&lt;=120,VLOOKUP($A76,'Fleet register'!$A$7:$S$106,10,FALSE)=INT(VLOOKUP($A76,'Fleet register'!$A$7:$S$106,10,FALSE)),VLOOKUP($A76,'Fleet register'!$A$7:$S$106,15,FALSE)&gt;=0,VLOOKUP($A76,'Fleet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costs'!$B$67)&gt;=0,OR(D76&lt;&gt;"EV",E76=120,AND(MIN('Operating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76" s="1" t="str">
        <f>IF(C76=0,"Excluded",IF(P76&lt;&gt;"Complete",P76,IF(OR('Replacement plan'!$AD$24&lt;120-E76,AND(D76="EV",E76&lt;120,OR('Replacement plan'!$AC$24&lt;120-E76,'Replacement plan'!$I$24="No",AND(ISNUMBER(AF76),AE76&gt;AF76),AI76&gt;V76*(1-'Operating costs'!$B$46)^MAX(0,AB76-1)*(1-'Operating costs'!$B$45),AC76&gt;'Operating costs'!$B$18,AND(T76&lt;1,OR(AG76&lt;=0,AND(ISNUMBER(AH76),AG76&gt;AH76))),'Replacement plan'!$L$24&gt;INDEX(Products!$H$7:$H$13,MATCH('Replacement plan'!$B$24,Products!$A$7:$A$13,0))))),"Fails entered limits",IF(AND(D76="EV",E76&lt;120,OR(NOT(ISNUMBER(VLOOKUP($A76,'Fleet register'!$A$7:$S$106,7,FALSE))),NOT(ISNUMBER(VLOOKUP($A76,'Fleet register'!$A$7:$S$106,8,FALSE))),NOT(ISNUMBER(AF76)),'Replacement plan'!$I$24&lt;&gt;"Yes",NOT(ISNUMBER(AH76)),'Operating costs'!$B$59&lt;&gt;"Yes",'Operating costs'!$B$58&lt;&gt;"Yes")),"Unverified","Within entered limits"))))</f>
        <v>Excluded</v>
      </c>
      <c r="R76" s="1">
        <f>IF(C76=0,0,VLOOKUP($A76,'Fleet register'!$A$7:$S$106,6,FALSE))</f>
        <v>0</v>
      </c>
      <c r="S76" s="1">
        <f>IF(C76=0,0,VLOOKUP($A76,'Fleet register'!$A$7:$S$106,5,FALSE))</f>
        <v>0</v>
      </c>
      <c r="T76" s="1">
        <f>IF(D76="EV",'Energy and charging'!$B$12,0)</f>
        <v>0</v>
      </c>
      <c r="U76" s="1">
        <f>IFERROR(IF(C76=0,0,IF(D76="EV",IF('Replacement plan'!$F$24="",INDEX(Products!$E$7:$E$13,MATCH('Replacement plan'!$B$24,Products!$A$7:$A$13,0)),'Replacement plan'!$F$24)/IF('Replacement plan'!$G$24="Battery",1-'Operating costs'!$B$44,1),0)),"n.a.")</f>
        <v>0</v>
      </c>
      <c r="V76" s="1">
        <f>IFERROR(IF(C76=0,0,IF(D76="EV",IF('Replacement plan'!$E$24="",INDEX(Products!$D$7:$D$13,MATCH('Replacement plan'!$B$24,Products!$A$7:$A$13,0)),'Replacement plan'!$E$24),0)),"n.a.")</f>
        <v>0</v>
      </c>
      <c r="W76" s="1">
        <f>IF(C76=0,0,IF(AND(P76="Complete",D76="EV",E76&lt;120),IF(T76=0,0,ROUNDUP(T76*(R76-'Operating costs'!$B$41)*(S76*U76+'Operating costs'!$B$48/(1-'Operating costs'!$B$44))/(V76*'Operating costs'!$B$47/(1-'Operating costs'!$B$44)-T76*'Operating costs'!$B$12*U76),0)),0))</f>
        <v>0</v>
      </c>
      <c r="X76" s="1">
        <f>IF(C76=0,0,IF(AND(P76="Complete",D76="EV",E76&lt;120),(R76-'Operating costs'!$B$41)*(S76*U76+'Operating costs'!$B$48/(1-'Operating costs'!$B$44))+W76*'Operating costs'!$B$12*U76,0))</f>
        <v>0</v>
      </c>
      <c r="Y76" s="1">
        <f>IF(AND(C76=1,D76="EV",E76&lt;120),AI76/(1-'Operating costs'!$B$44)*(1-T76),0)</f>
        <v>0</v>
      </c>
      <c r="Z76" s="1">
        <f t="shared" si="2"/>
        <v>0</v>
      </c>
      <c r="AA76" s="1">
        <f>IF(C76=0,0,IF(P76="Complete",((S76*(R76-'Operating costs'!$B$40))+ROUNDUP(S76*(R76-'Operating costs'!$B$40)*IF('Replacement plan'!$AH$24="",'Operating costs'!$B$7,'Replacement plan'!$AH$24)/('Operating costs'!$B$8-'Operating costs'!$B$9*IF('Replacement plan'!$AH$24="",'Operating costs'!$B$7,'Replacement plan'!$AH$24)),0)*'Operating costs'!$B$9)*IF('Replacement plan'!$AH$24="",'Operating costs'!$B$7,'Replacement plan'!$AH$24),"n.a."))</f>
        <v>0</v>
      </c>
      <c r="AB76" s="1">
        <f t="shared" si="3"/>
        <v>0</v>
      </c>
      <c r="AC76" s="1">
        <f>IF(AND(C76=1,D76="EV",E76&lt;120,T76&gt;0),'Operating costs'!$B$12/'Operating costs'!$B$11*60+'Operating costs'!$B$13+'Operating costs'!$B$14+V76*'Operating costs'!$B$47/(1-'Operating costs'!$B$44)/'Replacement plan'!$L$24*60,0)</f>
        <v>0</v>
      </c>
      <c r="AD76" s="1" t="str">
        <f>'Replacement plan'!$B$24</f>
        <v>ChengLong L2EV</v>
      </c>
      <c r="AE76" s="1">
        <f>IF(C76=0,0,VLOOKUP($A76,'Fleet register'!$A$7:$S$106,8,FALSE))</f>
        <v>0</v>
      </c>
      <c r="AF76" s="1" t="str">
        <f>IF('Replacement plan'!$H$24="","n.a.",'Replacement plan'!$H$24)</f>
        <v>n.a.</v>
      </c>
      <c r="AG76" s="1">
        <f>'Replacement plan'!$J$24</f>
        <v>22</v>
      </c>
      <c r="AH76" s="1">
        <f>IFERROR(IF(D76="EV",IF('Replacement plan'!$K$24="AC",IF(ISNUMBER(INDEX(Products!$G$7:$G$13,MATCH('Replacement plan'!$B$24,Products!$A$7:$A$13,0))),INDEX(Products!$G$7:$G$13,MATCH('Replacement plan'!$B$24,Products!$A$7:$A$13,0)),"n.a."),IF(ISNUMBER(INDEX(Products!$H$7:$H$13,MATCH('Replacement plan'!$B$24,Products!$A$7:$A$13,0))),INDEX(Products!$H$7:$H$13,MATCH('Replacement plan'!$B$24,Products!$A$7:$A$13,0)),"n.a.")),0),"n.a.")</f>
        <v>0</v>
      </c>
      <c r="AI76" s="1">
        <f>IF(AND(C76=1,D76="EV",E76&lt;120),(VLOOKUP($A76,'Fleet register'!$A$7:$S$106,7,FALSE)+IF(T76&gt;0,'Operating costs'!$B$12,0))*U76*(1-'Operating costs'!$B$44)+'Operating costs'!$B$49,0)</f>
        <v>0</v>
      </c>
      <c r="AJ76" s="1">
        <f>IF(D76="EV",'Energy and charging'!$B$50,0)</f>
        <v>0</v>
      </c>
      <c r="AK76" s="17">
        <f>EDATE('Operating costs'!$B$63,E76)</f>
        <v>46298</v>
      </c>
      <c r="AL76" s="1">
        <f>IFERROR(IF(D76="EV",INDEX(Products!$B$7:$B$13,MATCH('Replacement plan'!$B$24,Products!$A$7:$A$13,0)),0),"n.a.")</f>
        <v>0</v>
      </c>
      <c r="AM76" s="1" t="str">
        <f>'Replacement plan'!$K$24</f>
        <v>DC</v>
      </c>
      <c r="AN76" s="1" t="str">
        <f>'Replacement plan'!$AE$24</f>
        <v>Assumed</v>
      </c>
      <c r="AO76" s="47">
        <f>IF(AND(C76=1,D76="EV",E76&lt;120),(R76-'Operating costs'!$B$41)*S76+W76*'Operating costs'!$B$12,0)</f>
        <v>0</v>
      </c>
      <c r="AP76" s="41">
        <f>IF(AND(C76=1,D76="EV",E76&lt;120),IF('Operating costs'!$B$68="Hong Seh 200k average",AO76*IFERROR(INDEX(Products!$P$7:$P$13,MATCH(AD76,Products!$A$7:$A$13,0)),"n.a."),'Operating costs'!$B$26),0)</f>
        <v>0</v>
      </c>
      <c r="AQ76" s="40" t="str">
        <f>IF(D76="EV",'Operating costs'!$B$68,"Not applicable")</f>
        <v>Not applicable</v>
      </c>
    </row>
    <row r="77" spans="1:43" ht="24" customHeight="1">
      <c r="A77" s="1" t="str">
        <f>'Replacement plan'!A24</f>
        <v>T018</v>
      </c>
      <c r="B77" s="1">
        <v>2</v>
      </c>
      <c r="C77" s="1">
        <f>IF(COUNTIFS('Fleet register'!$A$7:$A$106,$A77)=1,VLOOKUP($A77,'Fleet register'!$A$7:$S$106,2,FALSE),0)</f>
        <v>0</v>
      </c>
      <c r="D77" s="1" t="str">
        <f>IF('Replacement plan'!$O$24="EV","EV","ICE")</f>
        <v>ICE</v>
      </c>
      <c r="E77" s="1">
        <f>IF(C77=0,0,IF('Replacement plan'!$P$24="",IF('Replacement plan'!$O$24="Keep ICE",IF('Replacement plan'!$M$24="",VLOOKUP($A77,'Fleet register'!$A$7:$S$106,10,FALSE),'Replacement plan'!$M$24),0),'Replacement plan'!$P$24))</f>
        <v>0</v>
      </c>
      <c r="F77" s="16">
        <f>IF(C77=0,0,VLOOKUP($A77,'Fleet register'!$A$7:$S$106,11,FALSE))</f>
        <v>0</v>
      </c>
      <c r="G77" s="16">
        <f>IFERROR(IF(C77=0,0,IF(E77=120,0,IF(D77="ICE",'Replacement plan'!$C$24,IF('Replacement plan'!$D$24="",INDEX(Products!$I$7:$I$13,MATCH('Replacement plan'!$B$24,Products!$A$7:$A$13,0))+'Operating costs'!$B$57,'Replacement plan'!$D$24))*(1+'Operating costs'!$B$50)^(E77/12))),"n.a.")</f>
        <v>0</v>
      </c>
      <c r="H77" s="16">
        <f>IFERROR(IF(C77=0,0,IF('Replacement plan'!$U$24&lt;&gt;"",'Replacement plan'!$U$24,IF(E77=0,F77,VLOOKUP($A77,'Fleet register'!$A$7:$S$106,12,FALSE)+VLOOKUP($A77,'Fleet register'!$A$7:$S$106,13,FALSE)*MAX(0,VLOOKUP($A77,'Fleet register'!$A$7:$S$106,10,FALSE)-E77)/VLOOKUP($A77,'Fleet register'!$A$7:$S$106,14,FALSE)))),"n.a.")</f>
        <v>0</v>
      </c>
      <c r="I77" s="16">
        <f>IF(C77=0,0,IF(E77=120,0,'Replacement plan'!$Q$24))</f>
        <v>0</v>
      </c>
      <c r="J77" s="16">
        <f>IF(C77=0,0,IF(P77="Complete",((S77*(R77-'Operating costs'!$B$39))+ROUNDUP(S77*(R77-'Operating costs'!$B$39)*IF('Replacement plan'!$AG$24="",'Operating costs'!$B$7,'Replacement plan'!$AG$24)/('Operating costs'!$B$8-'Operating costs'!$B$9*IF('Replacement plan'!$AG$24="",'Operating costs'!$B$7,'Replacement plan'!$AG$24)),0)*'Operating costs'!$B$9)*IF('Replacement plan'!$AG$24="",'Operating costs'!$B$7,'Replacement plan'!$AG$24)*('Energy and charging'!$B$9*'Energy and charging'!$B$7+(1-'Energy and charging'!$B$9)*'Energy and charging'!$B$8)*'Operating costs'!$B$23,"n.a."))</f>
        <v>0</v>
      </c>
      <c r="K77" s="16">
        <f>IF(C77=0,0,IF(P77="Complete",SUM('Operating costs'!$B$24,'Operating costs'!$B$27,'Operating costs'!$B$29,'Operating costs'!$B$31,'Operating costs'!$B$33,'Operating costs'!$B$34,'Operating costs'!$B$37,'Replacement plan'!$W$24)+'Operating costs'!$B$39*'Operating costs'!$B$42+ROUNDUP(S77*(R77-'Operating costs'!$B$39)*IF('Replacement plan'!$AG$24="",'Operating costs'!$B$7,'Replacement plan'!$AG$24)/('Operating costs'!$B$8-'Operating costs'!$B$9*IF('Replacement plan'!$AG$24="",'Operating costs'!$B$7,'Replacement plan'!$AG$24)),0)*('Operating costs'!$B$9/'Operating costs'!$B$11+'Operating costs'!$B$10/60)*'Operating costs'!$B$19*'Operating costs'!$B$21,"n.a."))</f>
        <v>0</v>
      </c>
      <c r="L77" s="16">
        <f>IF(C77=0,0,IF(P77="Complete",IF(D77="EV",X77*((1-T77)*'Energy and charging'!$B$10+T77*'Energy and charging'!$B$11)*'Operating costs'!$B$22,AA77*('Energy and charging'!$B$9*'Energy and charging'!$B$7+(1-'Energy and charging'!$B$9)*'Energy and charging'!$B$8)*'Operating costs'!$B$23),"n.a."))</f>
        <v>0</v>
      </c>
      <c r="M77" s="37">
        <f>IF(C77=0,0,IF(P77="Complete",IF(D77="ICE",SUM('Operating costs'!$B$25,'Operating costs'!$B$27,'Operating costs'!$B$29,'Operating costs'!$B$31,'Operating costs'!$B$33,'Operating costs'!$B$35,'Operating costs'!$B$37,'Replacement plan'!$X$24)+'Operating costs'!$B$40*'Operating costs'!$B$42+ROUNDUP(S77*(R77-'Operating costs'!$B$40)*IF('Replacement plan'!$AH$24="",'Operating costs'!$B$7,'Replacement plan'!$AH$24)/('Operating costs'!$B$8-'Operating costs'!$B$9*IF('Replacement plan'!$AH$24="",'Operating costs'!$B$7,'Replacement plan'!$AH$24)),0)*('Operating costs'!$B$9/'Operating costs'!$B$11+'Operating costs'!$B$10/60)*'Operating costs'!$B$19*'Operating costs'!$B$21,SUM(AP77,'Operating costs'!$B$28,'Operating costs'!$B$30,'Operating costs'!$B$32,'Operating costs'!$B$33,'Operating costs'!$B$36,'Operating costs'!$B$38,'Replacement plan'!$Y$24)+'Operating costs'!$B$41*'Operating costs'!$B$43+W77*'Operating costs'!$B$15+(T77*X77/'Replacement plan'!$L$24+W77*('Operating costs'!$B$12/'Operating costs'!$B$11+('Operating costs'!$B$13+'Operating costs'!$B$14)/60)+(R77-'Operating costs'!$B$41)*(IF(T77&lt;1,'Operating costs'!$B$16,0)+'Operating costs'!$B$17)/60)*'Operating costs'!$B$19*'Operating costs'!$B$20),"n.a."))</f>
        <v>0</v>
      </c>
      <c r="N77" s="16">
        <f>IF(AND(C77=1,D77="EV",E77&lt;120,E77+'Replacement plan'!$AA$24&lt;=120),'Replacement plan'!$Z$24,0)</f>
        <v>0</v>
      </c>
      <c r="O77" s="1">
        <f>E77+'Replacement plan'!$AA$24</f>
        <v>0</v>
      </c>
      <c r="P77" s="35" t="str">
        <f>IFERROR(IF(C77=0,"Excluded",IF(OR(COUNTIFS('Fleet register'!$A$7:$A$106,A77)&lt;&gt;1,COUNTIFS('Replacement plan'!$A$7:$A$106,A77)&lt;&gt;1),"Duplicate/missing ID",IF(NOT(AND(ISNUMBER(VLOOKUP($A77,'Fleet register'!$A$7:$S$106,5,FALSE)),ISNUMBER(VLOOKUP($A77,'Fleet register'!$A$7:$S$106,6,FALSE)),ISNUMBER(VLOOKUP($A77,'Fleet register'!$A$7:$S$106,10,FALSE)),ISNUMBER(VLOOKUP($A77,'Fleet register'!$A$7:$S$106,11,FALSE)),ISNUMBER(VLOOKUP($A77,'Fleet register'!$A$7:$S$106,12,FALSE)),ISNUMBER(VLOOKUP($A77,'Fleet register'!$A$7:$S$106,13,FALSE)),ISNUMBER(VLOOKUP($A77,'Fleet register'!$A$7:$S$106,14,FALSE)),VLOOKUP($A77,'Fleet register'!$A$7:$S$106,14,FALSE)&gt;0,ISNUMBER('Replacement plan'!$C$24),OR(E77=120,ISNUMBER('Replacement plan'!$Q$24)),ISNUMBER(E77))),"Missing vehicle input",IF(OR(E77&lt;0,E77&gt;VLOOKUP($A77,'Fleet register'!$A$7:$S$106,10,FALSE),E77&gt;120,E77&lt;&gt;INT(E77),VLOOKUP($A77,'Fleet register'!$A$7:$S$106,6,FALSE)&lt;=0,VLOOKUP($A77,'Fleet register'!$A$7:$S$106,6,FALSE)&gt;366,VLOOKUP($A77,'Fleet register'!$A$7:$S$106,5,FALSE)&lt;0,VLOOKUP($A77,'Fleet register'!$A$7:$S$106,11,FALSE)&lt;0,I77&lt;0,'Operating costs'!$B$8&lt;='Operating costs'!$B$7*'Operating costs'!$B$9,'Operating costs'!$B$11&lt;=0,'Operating costs'!$B$39&gt;R77,'Operating costs'!$B$40&gt;R77,'Operating costs'!$B$41&gt;R77,NOT(OR('Replacement plan'!$O$24="Keep ICE",'Replacement plan'!$O$24="New ICE",'Replacement plan'!$O$24="EV"))),"Invalid vehicle input",IF(AND(D77="EV",E77&lt;120,OR(NOT(ISNUMBER(U77)),NOT(ISNUMBER(V77)),V77&lt;=0,T77&lt;0,T77&gt;1,'Replacement plan'!$L$24&lt;=0,'Operating costs'!$B$44&lt;0,'Operating costs'!$B$44&gt;=1,'Operating costs'!$B$47&lt;=0,'Operating costs'!$B$47&gt;1,V77*'Operating costs'!$B$47/(1-'Operating costs'!$B$44)&lt;=T77*'Operating costs'!$B$12*U77,AND('Replacement plan'!$Z$24&gt;0,OR('Replacement plan'!$AB$24&lt;&gt;"Yes",'Operating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charging'!$B$8&gt;=0))),ISNUMBER(VLOOKUP($A77,'Fleet register'!$A$7:$S$106,15,FALSE)),ISNUMBER(VLOOKUP($A77,'Fleet register'!$A$7:$S$106,16,FALSE)),ISNUMBER('Replacement plan'!$W$24),ISNUMBER('Replacement plan'!$X$24),OR(E77=120,AND(ISNUMBER(G77),G77&gt;=0)),ISNUMBER(H77),H77&gt;=0,OR(D77&lt;&gt;"EV",E77=120,AND(ISNUMBER('Operating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average",ISNUMBER(IFERROR(INDEX(Products!$P$7:$P$13,MATCH(AD77,Products!$A$7:$A$13,0)),"")))),ISNUMBER('Operating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plan'!$Y$24),ISNUMBER('Replacement plan'!$Z$24),'Replacement plan'!$Z$24&gt;=0,ISNUMBER('Replacement plan'!$AA$24),'Replacement plan'!$AA$24&gt;=0,'Replacement plan'!$AA$24=INT('Replacement plan'!$AA$24),ISNUMBER('Replacement plan'!$L$24))),'Operating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plan'!$AG$24="",'Operating costs'!$B$7,'Replacement plan'!$AG$24)),IF('Replacement plan'!$AG$24="",'Operating costs'!$B$7,'Replacement plan'!$AG$24)&gt;=0,ISNUMBER(IF('Replacement plan'!$AH$24="",'Operating costs'!$B$7,'Replacement plan'!$AH$24)),IF('Replacement plan'!$AH$24="",'Operating costs'!$B$7,'Replacement plan'!$AH$24)&gt;=0,'Operating costs'!$B$8&gt;MAX(IF('Replacement plan'!$AG$24="",'Operating costs'!$B$7,'Replacement plan'!$AG$24),IF('Replacement plan'!$AH$24="",'Operating costs'!$B$7,'Replacement plan'!$AH$24))*'Operating costs'!$B$9),IF(AND(VLOOKUP($A77,'Fleet register'!$A$7:$S$106,10,FALSE)&gt;=0,VLOOKUP($A77,'Fleet register'!$A$7:$S$106,10,FALSE)&lt;=120,VLOOKUP($A77,'Fleet register'!$A$7:$S$106,10,FALSE)=INT(VLOOKUP($A77,'Fleet register'!$A$7:$S$106,10,FALSE)),VLOOKUP($A77,'Fleet register'!$A$7:$S$106,15,FALSE)&gt;=0,VLOOKUP($A77,'Fleet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costs'!$B$67)&gt;=0,OR(D77&lt;&gt;"EV",E77=120,AND(MIN('Operating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77" s="1" t="str">
        <f>IF(C77=0,"Excluded",IF(P77&lt;&gt;"Complete",P77,IF(OR('Replacement plan'!$AD$24&lt;120-E77,AND(D77="EV",E77&lt;120,OR('Replacement plan'!$AC$24&lt;120-E77,'Replacement plan'!$I$24="No",AND(ISNUMBER(AF77),AE77&gt;AF77),AI77&gt;V77*(1-'Operating costs'!$B$46)^MAX(0,AB77-1)*(1-'Operating costs'!$B$45),AC77&gt;'Operating costs'!$B$18,AND(T77&lt;1,OR(AG77&lt;=0,AND(ISNUMBER(AH77),AG77&gt;AH77))),'Replacement plan'!$L$24&gt;INDEX(Products!$H$7:$H$13,MATCH('Replacement plan'!$B$24,Products!$A$7:$A$13,0))))),"Fails entered limits",IF(AND(D77="EV",E77&lt;120,OR(NOT(ISNUMBER(VLOOKUP($A77,'Fleet register'!$A$7:$S$106,7,FALSE))),NOT(ISNUMBER(VLOOKUP($A77,'Fleet register'!$A$7:$S$106,8,FALSE))),NOT(ISNUMBER(AF77)),'Replacement plan'!$I$24&lt;&gt;"Yes",NOT(ISNUMBER(AH77)),'Operating costs'!$B$59&lt;&gt;"Yes",'Operating costs'!$B$58&lt;&gt;"Yes")),"Unverified","Within entered limits"))))</f>
        <v>Excluded</v>
      </c>
      <c r="R77" s="1">
        <f>IF(C77=0,0,VLOOKUP($A77,'Fleet register'!$A$7:$S$106,6,FALSE))</f>
        <v>0</v>
      </c>
      <c r="S77" s="1">
        <f>IF(C77=0,0,VLOOKUP($A77,'Fleet register'!$A$7:$S$106,5,FALSE))</f>
        <v>0</v>
      </c>
      <c r="T77" s="1">
        <f>IF(D77="EV",'Energy and charging'!$B$12,0)</f>
        <v>0</v>
      </c>
      <c r="U77" s="1">
        <f>IFERROR(IF(C77=0,0,IF(D77="EV",IF('Replacement plan'!$F$24="",INDEX(Products!$E$7:$E$13,MATCH('Replacement plan'!$B$24,Products!$A$7:$A$13,0)),'Replacement plan'!$F$24)/IF('Replacement plan'!$G$24="Battery",1-'Operating costs'!$B$44,1),0)),"n.a.")</f>
        <v>0</v>
      </c>
      <c r="V77" s="1">
        <f>IFERROR(IF(C77=0,0,IF(D77="EV",IF('Replacement plan'!$E$24="",INDEX(Products!$D$7:$D$13,MATCH('Replacement plan'!$B$24,Products!$A$7:$A$13,0)),'Replacement plan'!$E$24),0)),"n.a.")</f>
        <v>0</v>
      </c>
      <c r="W77" s="1">
        <f>IF(C77=0,0,IF(AND(P77="Complete",D77="EV",E77&lt;120),IF(T77=0,0,ROUNDUP(T77*(R77-'Operating costs'!$B$41)*(S77*U77+'Operating costs'!$B$48/(1-'Operating costs'!$B$44))/(V77*'Operating costs'!$B$47/(1-'Operating costs'!$B$44)-T77*'Operating costs'!$B$12*U77),0)),0))</f>
        <v>0</v>
      </c>
      <c r="X77" s="1">
        <f>IF(C77=0,0,IF(AND(P77="Complete",D77="EV",E77&lt;120),(R77-'Operating costs'!$B$41)*(S77*U77+'Operating costs'!$B$48/(1-'Operating costs'!$B$44))+W77*'Operating costs'!$B$12*U77,0))</f>
        <v>0</v>
      </c>
      <c r="Y77" s="1">
        <f>IF(AND(C77=1,D77="EV",E77&lt;120),AI77/(1-'Operating costs'!$B$44)*(1-T77),0)</f>
        <v>0</v>
      </c>
      <c r="Z77" s="1">
        <f t="shared" si="2"/>
        <v>0</v>
      </c>
      <c r="AA77" s="1">
        <f>IF(C77=0,0,IF(P77="Complete",((S77*(R77-'Operating costs'!$B$40))+ROUNDUP(S77*(R77-'Operating costs'!$B$40)*IF('Replacement plan'!$AH$24="",'Operating costs'!$B$7,'Replacement plan'!$AH$24)/('Operating costs'!$B$8-'Operating costs'!$B$9*IF('Replacement plan'!$AH$24="",'Operating costs'!$B$7,'Replacement plan'!$AH$24)),0)*'Operating costs'!$B$9)*IF('Replacement plan'!$AH$24="",'Operating costs'!$B$7,'Replacement plan'!$AH$24),"n.a."))</f>
        <v>0</v>
      </c>
      <c r="AB77" s="1">
        <f t="shared" si="3"/>
        <v>0</v>
      </c>
      <c r="AC77" s="1">
        <f>IF(AND(C77=1,D77="EV",E77&lt;120,T77&gt;0),'Operating costs'!$B$12/'Operating costs'!$B$11*60+'Operating costs'!$B$13+'Operating costs'!$B$14+V77*'Operating costs'!$B$47/(1-'Operating costs'!$B$44)/'Replacement plan'!$L$24*60,0)</f>
        <v>0</v>
      </c>
      <c r="AD77" s="1" t="str">
        <f>'Replacement plan'!$B$24</f>
        <v>ChengLong L2EV</v>
      </c>
      <c r="AE77" s="1">
        <f>IF(C77=0,0,VLOOKUP($A77,'Fleet register'!$A$7:$S$106,8,FALSE))</f>
        <v>0</v>
      </c>
      <c r="AF77" s="1" t="str">
        <f>IF('Replacement plan'!$H$24="","n.a.",'Replacement plan'!$H$24)</f>
        <v>n.a.</v>
      </c>
      <c r="AG77" s="1">
        <f>'Replacement plan'!$J$24</f>
        <v>22</v>
      </c>
      <c r="AH77" s="1">
        <f>IFERROR(IF(D77="EV",IF('Replacement plan'!$K$24="AC",IF(ISNUMBER(INDEX(Products!$G$7:$G$13,MATCH('Replacement plan'!$B$24,Products!$A$7:$A$13,0))),INDEX(Products!$G$7:$G$13,MATCH('Replacement plan'!$B$24,Products!$A$7:$A$13,0)),"n.a."),IF(ISNUMBER(INDEX(Products!$H$7:$H$13,MATCH('Replacement plan'!$B$24,Products!$A$7:$A$13,0))),INDEX(Products!$H$7:$H$13,MATCH('Replacement plan'!$B$24,Products!$A$7:$A$13,0)),"n.a.")),0),"n.a.")</f>
        <v>0</v>
      </c>
      <c r="AI77" s="1">
        <f>IF(AND(C77=1,D77="EV",E77&lt;120),(VLOOKUP($A77,'Fleet register'!$A$7:$S$106,7,FALSE)+IF(T77&gt;0,'Operating costs'!$B$12,0))*U77*(1-'Operating costs'!$B$44)+'Operating costs'!$B$49,0)</f>
        <v>0</v>
      </c>
      <c r="AJ77" s="1">
        <f>IF(D77="EV",'Energy and charging'!$B$50,0)</f>
        <v>0</v>
      </c>
      <c r="AK77" s="17">
        <f>EDATE('Operating costs'!$B$63,E77)</f>
        <v>46298</v>
      </c>
      <c r="AL77" s="1">
        <f>IFERROR(IF(D77="EV",INDEX(Products!$B$7:$B$13,MATCH('Replacement plan'!$B$24,Products!$A$7:$A$13,0)),0),"n.a.")</f>
        <v>0</v>
      </c>
      <c r="AM77" s="1" t="str">
        <f>'Replacement plan'!$K$24</f>
        <v>DC</v>
      </c>
      <c r="AN77" s="1" t="str">
        <f>'Replacement plan'!$AE$24</f>
        <v>Assumed</v>
      </c>
      <c r="AO77" s="47">
        <f>IF(AND(C77=1,D77="EV",E77&lt;120),(R77-'Operating costs'!$B$41)*S77+W77*'Operating costs'!$B$12,0)</f>
        <v>0</v>
      </c>
      <c r="AP77" s="41">
        <f>IF(AND(C77=1,D77="EV",E77&lt;120),IF('Operating costs'!$B$68="Hong Seh 200k average",AO77*IFERROR(INDEX(Products!$P$7:$P$13,MATCH(AD77,Products!$A$7:$A$13,0)),"n.a."),'Operating costs'!$B$26),0)</f>
        <v>0</v>
      </c>
      <c r="AQ77" s="40" t="str">
        <f>IF(D77="EV",'Operating costs'!$B$68,"Not applicable")</f>
        <v>Not applicable</v>
      </c>
    </row>
    <row r="78" spans="1:43" ht="24" customHeight="1">
      <c r="A78" s="1" t="str">
        <f>'Replacement plan'!A24</f>
        <v>T018</v>
      </c>
      <c r="B78" s="1">
        <v>3</v>
      </c>
      <c r="C78" s="1">
        <f>IF(COUNTIFS('Fleet register'!$A$7:$A$106,$A78)=1,VLOOKUP($A78,'Fleet register'!$A$7:$S$106,2,FALSE),0)</f>
        <v>0</v>
      </c>
      <c r="D78" s="1" t="str">
        <f>IF('Replacement plan'!$R$24="EV","EV","ICE")</f>
        <v>ICE</v>
      </c>
      <c r="E78" s="1">
        <f>IF(C78=0,0,IF('Replacement plan'!$S$24="",IF('Replacement plan'!$R$24="Keep ICE",IF('Replacement plan'!$M$24="",VLOOKUP($A78,'Fleet register'!$A$7:$S$106,10,FALSE),'Replacement plan'!$M$24),0),'Replacement plan'!$S$24))</f>
        <v>0</v>
      </c>
      <c r="F78" s="16">
        <f>IF(C78=0,0,VLOOKUP($A78,'Fleet register'!$A$7:$S$106,11,FALSE))</f>
        <v>0</v>
      </c>
      <c r="G78" s="16">
        <f>IFERROR(IF(C78=0,0,IF(E78=120,0,IF(D78="ICE",'Replacement plan'!$C$24,IF('Replacement plan'!$D$24="",INDEX(Products!$I$7:$I$13,MATCH('Replacement plan'!$B$24,Products!$A$7:$A$13,0))+'Operating costs'!$B$57,'Replacement plan'!$D$24))*(1+'Operating costs'!$B$50)^(E78/12))),"n.a.")</f>
        <v>0</v>
      </c>
      <c r="H78" s="16">
        <f>IFERROR(IF(C78=0,0,IF('Replacement plan'!$V$24&lt;&gt;"",'Replacement plan'!$V$24,IF(E78=0,F78,VLOOKUP($A78,'Fleet register'!$A$7:$S$106,12,FALSE)+VLOOKUP($A78,'Fleet register'!$A$7:$S$106,13,FALSE)*MAX(0,VLOOKUP($A78,'Fleet register'!$A$7:$S$106,10,FALSE)-E78)/VLOOKUP($A78,'Fleet register'!$A$7:$S$106,14,FALSE)))),"n.a.")</f>
        <v>0</v>
      </c>
      <c r="I78" s="16">
        <f>IF(C78=0,0,IF(E78=120,0,'Replacement plan'!$T$24))</f>
        <v>0</v>
      </c>
      <c r="J78" s="16">
        <f>IF(C78=0,0,IF(P78="Complete",((S78*(R78-'Operating costs'!$B$39))+ROUNDUP(S78*(R78-'Operating costs'!$B$39)*IF('Replacement plan'!$AG$24="",'Operating costs'!$B$7,'Replacement plan'!$AG$24)/('Operating costs'!$B$8-'Operating costs'!$B$9*IF('Replacement plan'!$AG$24="",'Operating costs'!$B$7,'Replacement plan'!$AG$24)),0)*'Operating costs'!$B$9)*IF('Replacement plan'!$AG$24="",'Operating costs'!$B$7,'Replacement plan'!$AG$24)*('Energy and charging'!$C$9*'Energy and charging'!$C$7+(1-'Energy and charging'!$C$9)*'Energy and charging'!$C$8)*'Operating costs'!$B$23,"n.a."))</f>
        <v>0</v>
      </c>
      <c r="K78" s="16">
        <f>IF(C78=0,0,IF(P78="Complete",SUM('Operating costs'!$B$24,'Operating costs'!$B$27,'Operating costs'!$B$29,'Operating costs'!$B$31,'Operating costs'!$B$33,'Operating costs'!$B$34,'Operating costs'!$B$37,'Replacement plan'!$W$24)+'Operating costs'!$B$39*'Operating costs'!$B$42+ROUNDUP(S78*(R78-'Operating costs'!$B$39)*IF('Replacement plan'!$AG$24="",'Operating costs'!$B$7,'Replacement plan'!$AG$24)/('Operating costs'!$B$8-'Operating costs'!$B$9*IF('Replacement plan'!$AG$24="",'Operating costs'!$B$7,'Replacement plan'!$AG$24)),0)*('Operating costs'!$B$9/'Operating costs'!$B$11+'Operating costs'!$B$10/60)*'Operating costs'!$B$19*'Operating costs'!$B$21,"n.a."))</f>
        <v>0</v>
      </c>
      <c r="L78" s="16">
        <f>IF(C78=0,0,IF(P78="Complete",IF(D78="EV",X78*((1-T78)*'Energy and charging'!$C$10+T78*'Energy and charging'!$C$11)*'Operating costs'!$B$22,AA78*('Energy and charging'!$C$9*'Energy and charging'!$C$7+(1-'Energy and charging'!$C$9)*'Energy and charging'!$C$8)*'Operating costs'!$B$23),"n.a."))</f>
        <v>0</v>
      </c>
      <c r="M78" s="37">
        <f>IF(C78=0,0,IF(P78="Complete",IF(D78="ICE",SUM('Operating costs'!$B$25,'Operating costs'!$B$27,'Operating costs'!$B$29,'Operating costs'!$B$31,'Operating costs'!$B$33,'Operating costs'!$B$35,'Operating costs'!$B$37,'Replacement plan'!$X$24)+'Operating costs'!$B$40*'Operating costs'!$B$42+ROUNDUP(S78*(R78-'Operating costs'!$B$40)*IF('Replacement plan'!$AH$24="",'Operating costs'!$B$7,'Replacement plan'!$AH$24)/('Operating costs'!$B$8-'Operating costs'!$B$9*IF('Replacement plan'!$AH$24="",'Operating costs'!$B$7,'Replacement plan'!$AH$24)),0)*('Operating costs'!$B$9/'Operating costs'!$B$11+'Operating costs'!$B$10/60)*'Operating costs'!$B$19*'Operating costs'!$B$21,SUM(AP78,'Operating costs'!$B$28,'Operating costs'!$B$30,'Operating costs'!$B$32,'Operating costs'!$B$33,'Operating costs'!$B$36,'Operating costs'!$B$38,'Replacement plan'!$Y$24)+'Operating costs'!$B$41*'Operating costs'!$B$43+W78*'Operating costs'!$B$15+(T78*X78/'Replacement plan'!$L$24+W78*('Operating costs'!$B$12/'Operating costs'!$B$11+('Operating costs'!$B$13+'Operating costs'!$B$14)/60)+(R78-'Operating costs'!$B$41)*(IF(T78&lt;1,'Operating costs'!$B$16,0)+'Operating costs'!$B$17)/60)*'Operating costs'!$B$19*'Operating costs'!$B$20),"n.a."))</f>
        <v>0</v>
      </c>
      <c r="N78" s="16">
        <f>IF(AND(C78=1,D78="EV",E78&lt;120,E78+'Replacement plan'!$AA$24&lt;=120),'Replacement plan'!$Z$24,0)</f>
        <v>0</v>
      </c>
      <c r="O78" s="1">
        <f>E78+'Replacement plan'!$AA$24</f>
        <v>0</v>
      </c>
      <c r="P78" s="35" t="str">
        <f>IFERROR(IF(C78=0,"Excluded",IF(OR(COUNTIFS('Fleet register'!$A$7:$A$106,A78)&lt;&gt;1,COUNTIFS('Replacement plan'!$A$7:$A$106,A78)&lt;&gt;1),"Duplicate/missing ID",IF(NOT(AND(ISNUMBER(VLOOKUP($A78,'Fleet register'!$A$7:$S$106,5,FALSE)),ISNUMBER(VLOOKUP($A78,'Fleet register'!$A$7:$S$106,6,FALSE)),ISNUMBER(VLOOKUP($A78,'Fleet register'!$A$7:$S$106,10,FALSE)),ISNUMBER(VLOOKUP($A78,'Fleet register'!$A$7:$S$106,11,FALSE)),ISNUMBER(VLOOKUP($A78,'Fleet register'!$A$7:$S$106,12,FALSE)),ISNUMBER(VLOOKUP($A78,'Fleet register'!$A$7:$S$106,13,FALSE)),ISNUMBER(VLOOKUP($A78,'Fleet register'!$A$7:$S$106,14,FALSE)),VLOOKUP($A78,'Fleet register'!$A$7:$S$106,14,FALSE)&gt;0,ISNUMBER('Replacement plan'!$C$24),OR(E78=120,ISNUMBER('Replacement plan'!$T$24)),ISNUMBER(E78))),"Missing vehicle input",IF(OR(E78&lt;0,E78&gt;VLOOKUP($A78,'Fleet register'!$A$7:$S$106,10,FALSE),E78&gt;120,E78&lt;&gt;INT(E78),VLOOKUP($A78,'Fleet register'!$A$7:$S$106,6,FALSE)&lt;=0,VLOOKUP($A78,'Fleet register'!$A$7:$S$106,6,FALSE)&gt;366,VLOOKUP($A78,'Fleet register'!$A$7:$S$106,5,FALSE)&lt;0,VLOOKUP($A78,'Fleet register'!$A$7:$S$106,11,FALSE)&lt;0,I78&lt;0,'Operating costs'!$B$8&lt;='Operating costs'!$B$7*'Operating costs'!$B$9,'Operating costs'!$B$11&lt;=0,'Operating costs'!$B$39&gt;R78,'Operating costs'!$B$40&gt;R78,'Operating costs'!$B$41&gt;R78,NOT(OR('Replacement plan'!$R$24="Keep ICE",'Replacement plan'!$R$24="New ICE",'Replacement plan'!$R$24="EV"))),"Invalid vehicle input",IF(AND(D78="EV",E78&lt;120,OR(NOT(ISNUMBER(U78)),NOT(ISNUMBER(V78)),V78&lt;=0,T78&lt;0,T78&gt;1,'Replacement plan'!$L$24&lt;=0,'Operating costs'!$B$44&lt;0,'Operating costs'!$B$44&gt;=1,'Operating costs'!$B$47&lt;=0,'Operating costs'!$B$47&gt;1,V78*'Operating costs'!$B$47/(1-'Operating costs'!$B$44)&lt;=T78*'Operating costs'!$B$12*U78,AND('Replacement plan'!$Z$24&gt;0,OR('Replacement plan'!$AB$24&lt;&gt;"Yes",'Operating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charging'!$C$8&gt;=0))),ISNUMBER(VLOOKUP($A78,'Fleet register'!$A$7:$S$106,15,FALSE)),ISNUMBER(VLOOKUP($A78,'Fleet register'!$A$7:$S$106,16,FALSE)),ISNUMBER('Replacement plan'!$W$24),ISNUMBER('Replacement plan'!$X$24),OR(E78=120,AND(ISNUMBER(G78),G78&gt;=0)),ISNUMBER(H78),H78&gt;=0,OR(D78&lt;&gt;"EV",E78=120,AND(ISNUMBER('Operating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average",ISNUMBER(IFERROR(INDEX(Products!$P$7:$P$13,MATCH(AD78,Products!$A$7:$A$13,0)),"")))),ISNUMBER('Operating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plan'!$Y$24),ISNUMBER('Replacement plan'!$Z$24),'Replacement plan'!$Z$24&gt;=0,ISNUMBER('Replacement plan'!$AA$24),'Replacement plan'!$AA$24&gt;=0,'Replacement plan'!$AA$24=INT('Replacement plan'!$AA$24),ISNUMBER('Replacement plan'!$L$24))),'Operating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plan'!$AG$24="",'Operating costs'!$B$7,'Replacement plan'!$AG$24)),IF('Replacement plan'!$AG$24="",'Operating costs'!$B$7,'Replacement plan'!$AG$24)&gt;=0,ISNUMBER(IF('Replacement plan'!$AH$24="",'Operating costs'!$B$7,'Replacement plan'!$AH$24)),IF('Replacement plan'!$AH$24="",'Operating costs'!$B$7,'Replacement plan'!$AH$24)&gt;=0,'Operating costs'!$B$8&gt;MAX(IF('Replacement plan'!$AG$24="",'Operating costs'!$B$7,'Replacement plan'!$AG$24),IF('Replacement plan'!$AH$24="",'Operating costs'!$B$7,'Replacement plan'!$AH$24))*'Operating costs'!$B$9),IF(AND(VLOOKUP($A78,'Fleet register'!$A$7:$S$106,10,FALSE)&gt;=0,VLOOKUP($A78,'Fleet register'!$A$7:$S$106,10,FALSE)&lt;=120,VLOOKUP($A78,'Fleet register'!$A$7:$S$106,10,FALSE)=INT(VLOOKUP($A78,'Fleet register'!$A$7:$S$106,10,FALSE)),VLOOKUP($A78,'Fleet register'!$A$7:$S$106,15,FALSE)&gt;=0,VLOOKUP($A78,'Fleet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costs'!$B$67)&gt;=0,OR(D78&lt;&gt;"EV",E78=120,AND(MIN('Operating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78" s="1" t="str">
        <f>IF(C78=0,"Excluded",IF(P78&lt;&gt;"Complete",P78,IF(OR('Replacement plan'!$AD$24&lt;120-E78,AND(D78="EV",E78&lt;120,OR('Replacement plan'!$AC$24&lt;120-E78,'Replacement plan'!$I$24="No",AND(ISNUMBER(AF78),AE78&gt;AF78),AI78&gt;V78*(1-'Operating costs'!$B$46)^MAX(0,AB78-1)*(1-'Operating costs'!$B$45),AC78&gt;'Operating costs'!$B$18,AND(T78&lt;1,OR(AG78&lt;=0,AND(ISNUMBER(AH78),AG78&gt;AH78))),'Replacement plan'!$L$24&gt;INDEX(Products!$H$7:$H$13,MATCH('Replacement plan'!$B$24,Products!$A$7:$A$13,0))))),"Fails entered limits",IF(AND(D78="EV",E78&lt;120,OR(NOT(ISNUMBER(VLOOKUP($A78,'Fleet register'!$A$7:$S$106,7,FALSE))),NOT(ISNUMBER(VLOOKUP($A78,'Fleet register'!$A$7:$S$106,8,FALSE))),NOT(ISNUMBER(AF78)),'Replacement plan'!$I$24&lt;&gt;"Yes",NOT(ISNUMBER(AH78)),'Operating costs'!$B$59&lt;&gt;"Yes",'Operating costs'!$B$58&lt;&gt;"Yes")),"Unverified","Within entered limits"))))</f>
        <v>Excluded</v>
      </c>
      <c r="R78" s="1">
        <f>IF(C78=0,0,VLOOKUP($A78,'Fleet register'!$A$7:$S$106,6,FALSE))</f>
        <v>0</v>
      </c>
      <c r="S78" s="1">
        <f>IF(C78=0,0,VLOOKUP($A78,'Fleet register'!$A$7:$S$106,5,FALSE))</f>
        <v>0</v>
      </c>
      <c r="T78" s="1">
        <f>IF(D78="EV",'Energy and charging'!$C$12,0)</f>
        <v>0</v>
      </c>
      <c r="U78" s="1">
        <f>IFERROR(IF(C78=0,0,IF(D78="EV",IF('Replacement plan'!$F$24="",INDEX(Products!$E$7:$E$13,MATCH('Replacement plan'!$B$24,Products!$A$7:$A$13,0)),'Replacement plan'!$F$24)/IF('Replacement plan'!$G$24="Battery",1-'Operating costs'!$B$44,1),0)),"n.a.")</f>
        <v>0</v>
      </c>
      <c r="V78" s="1">
        <f>IFERROR(IF(C78=0,0,IF(D78="EV",IF('Replacement plan'!$E$24="",INDEX(Products!$D$7:$D$13,MATCH('Replacement plan'!$B$24,Products!$A$7:$A$13,0)),'Replacement plan'!$E$24),0)),"n.a.")</f>
        <v>0</v>
      </c>
      <c r="W78" s="1">
        <f>IF(C78=0,0,IF(AND(P78="Complete",D78="EV",E78&lt;120),IF(T78=0,0,ROUNDUP(T78*(R78-'Operating costs'!$B$41)*(S78*U78+'Operating costs'!$B$48/(1-'Operating costs'!$B$44))/(V78*'Operating costs'!$B$47/(1-'Operating costs'!$B$44)-T78*'Operating costs'!$B$12*U78),0)),0))</f>
        <v>0</v>
      </c>
      <c r="X78" s="1">
        <f>IF(C78=0,0,IF(AND(P78="Complete",D78="EV",E78&lt;120),(R78-'Operating costs'!$B$41)*(S78*U78+'Operating costs'!$B$48/(1-'Operating costs'!$B$44))+W78*'Operating costs'!$B$12*U78,0))</f>
        <v>0</v>
      </c>
      <c r="Y78" s="1">
        <f>IF(AND(C78=1,D78="EV",E78&lt;120),AI78/(1-'Operating costs'!$B$44)*(1-T78),0)</f>
        <v>0</v>
      </c>
      <c r="Z78" s="1">
        <f t="shared" si="2"/>
        <v>0</v>
      </c>
      <c r="AA78" s="1">
        <f>IF(C78=0,0,IF(P78="Complete",((S78*(R78-'Operating costs'!$B$40))+ROUNDUP(S78*(R78-'Operating costs'!$B$40)*IF('Replacement plan'!$AH$24="",'Operating costs'!$B$7,'Replacement plan'!$AH$24)/('Operating costs'!$B$8-'Operating costs'!$B$9*IF('Replacement plan'!$AH$24="",'Operating costs'!$B$7,'Replacement plan'!$AH$24)),0)*'Operating costs'!$B$9)*IF('Replacement plan'!$AH$24="",'Operating costs'!$B$7,'Replacement plan'!$AH$24),"n.a."))</f>
        <v>0</v>
      </c>
      <c r="AB78" s="1">
        <f t="shared" si="3"/>
        <v>0</v>
      </c>
      <c r="AC78" s="1">
        <f>IF(AND(C78=1,D78="EV",E78&lt;120,T78&gt;0),'Operating costs'!$B$12/'Operating costs'!$B$11*60+'Operating costs'!$B$13+'Operating costs'!$B$14+V78*'Operating costs'!$B$47/(1-'Operating costs'!$B$44)/'Replacement plan'!$L$24*60,0)</f>
        <v>0</v>
      </c>
      <c r="AD78" s="1" t="str">
        <f>'Replacement plan'!$B$24</f>
        <v>ChengLong L2EV</v>
      </c>
      <c r="AE78" s="1">
        <f>IF(C78=0,0,VLOOKUP($A78,'Fleet register'!$A$7:$S$106,8,FALSE))</f>
        <v>0</v>
      </c>
      <c r="AF78" s="1" t="str">
        <f>IF('Replacement plan'!$H$24="","n.a.",'Replacement plan'!$H$24)</f>
        <v>n.a.</v>
      </c>
      <c r="AG78" s="1">
        <f>'Replacement plan'!$J$24</f>
        <v>22</v>
      </c>
      <c r="AH78" s="1">
        <f>IFERROR(IF(D78="EV",IF('Replacement plan'!$K$24="AC",IF(ISNUMBER(INDEX(Products!$G$7:$G$13,MATCH('Replacement plan'!$B$24,Products!$A$7:$A$13,0))),INDEX(Products!$G$7:$G$13,MATCH('Replacement plan'!$B$24,Products!$A$7:$A$13,0)),"n.a."),IF(ISNUMBER(INDEX(Products!$H$7:$H$13,MATCH('Replacement plan'!$B$24,Products!$A$7:$A$13,0))),INDEX(Products!$H$7:$H$13,MATCH('Replacement plan'!$B$24,Products!$A$7:$A$13,0)),"n.a.")),0),"n.a.")</f>
        <v>0</v>
      </c>
      <c r="AI78" s="1">
        <f>IF(AND(C78=1,D78="EV",E78&lt;120),(VLOOKUP($A78,'Fleet register'!$A$7:$S$106,7,FALSE)+IF(T78&gt;0,'Operating costs'!$B$12,0))*U78*(1-'Operating costs'!$B$44)+'Operating costs'!$B$49,0)</f>
        <v>0</v>
      </c>
      <c r="AJ78" s="1">
        <f>IF(D78="EV",'Energy and charging'!$C$50,0)</f>
        <v>0</v>
      </c>
      <c r="AK78" s="17">
        <f>EDATE('Operating costs'!$B$63,E78)</f>
        <v>46298</v>
      </c>
      <c r="AL78" s="1">
        <f>IFERROR(IF(D78="EV",INDEX(Products!$B$7:$B$13,MATCH('Replacement plan'!$B$24,Products!$A$7:$A$13,0)),0),"n.a.")</f>
        <v>0</v>
      </c>
      <c r="AM78" s="1" t="str">
        <f>'Replacement plan'!$K$24</f>
        <v>DC</v>
      </c>
      <c r="AN78" s="1" t="str">
        <f>'Replacement plan'!$AE$24</f>
        <v>Assumed</v>
      </c>
      <c r="AO78" s="47">
        <f>IF(AND(C78=1,D78="EV",E78&lt;120),(R78-'Operating costs'!$B$41)*S78+W78*'Operating costs'!$B$12,0)</f>
        <v>0</v>
      </c>
      <c r="AP78" s="41">
        <f>IF(AND(C78=1,D78="EV",E78&lt;120),IF('Operating costs'!$B$68="Hong Seh 200k average",AO78*IFERROR(INDEX(Products!$P$7:$P$13,MATCH(AD78,Products!$A$7:$A$13,0)),"n.a."),'Operating costs'!$B$26),0)</f>
        <v>0</v>
      </c>
      <c r="AQ78" s="40" t="str">
        <f>IF(D78="EV",'Operating costs'!$B$68,"Not applicable")</f>
        <v>Not applicable</v>
      </c>
    </row>
    <row r="79" spans="1:43" ht="24" customHeight="1">
      <c r="A79" s="1" t="str">
        <f>'Replacement plan'!A25</f>
        <v>T019</v>
      </c>
      <c r="B79" s="1">
        <v>0</v>
      </c>
      <c r="C79" s="1">
        <f>IF(COUNTIFS('Fleet register'!$A$7:$A$106,$A79)=1,VLOOKUP($A79,'Fleet register'!$A$7:$S$106,2,FALSE),0)</f>
        <v>0</v>
      </c>
      <c r="D79" s="1" t="str">
        <f>IF("Keep ICE"="EV","EV","ICE")</f>
        <v>ICE</v>
      </c>
      <c r="E79" s="1">
        <f>IF(C79=0,0,IF('Replacement plan'!$M$25="",VLOOKUP($A79,'Fleet register'!$A$7:$S$106,10,FALSE),'Replacement plan'!$M$25))</f>
        <v>0</v>
      </c>
      <c r="F79" s="16">
        <f>IF(C79=0,0,VLOOKUP($A79,'Fleet register'!$A$7:$S$106,11,FALSE))</f>
        <v>0</v>
      </c>
      <c r="G79" s="16">
        <f>IFERROR(IF(C79=0,0,IF(E79=120,0,IF(D79="ICE",'Replacement plan'!$C$25,IF('Replacement plan'!$D$25="",INDEX(Products!$I$7:$I$13,MATCH('Replacement plan'!$B$25,Products!$A$7:$A$13,0))+'Operating costs'!$B$57,'Replacement plan'!$D$25))*(1+'Operating costs'!$B$50)^(E79/12))),"n.a.")</f>
        <v>0</v>
      </c>
      <c r="H79" s="16">
        <f>IFERROR(IF(C79=0,0,IF(E79=0,F79,VLOOKUP($A79,'Fleet register'!$A$7:$S$106,12,FALSE)+VLOOKUP($A79,'Fleet register'!$A$7:$S$106,13,FALSE)*MAX(0,VLOOKUP($A79,'Fleet register'!$A$7:$S$106,10,FALSE)-E79)/VLOOKUP($A79,'Fleet register'!$A$7:$S$106,14,FALSE))),"n.a.")</f>
        <v>0</v>
      </c>
      <c r="I79" s="16">
        <f>IF(C79=0,0,IF(E79=120,0,'Replacement plan'!$N$25))</f>
        <v>0</v>
      </c>
      <c r="J79" s="16">
        <f>IF(C79=0,0,IF(P79="Complete",((S79*(R79-'Operating costs'!$B$39))+ROUNDUP(S79*(R79-'Operating costs'!$B$39)*IF('Replacement plan'!$AG$25="",'Operating costs'!$B$7,'Replacement plan'!$AG$25)/('Operating costs'!$B$8-'Operating costs'!$B$9*IF('Replacement plan'!$AG$25="",'Operating costs'!$B$7,'Replacement plan'!$AG$25)),0)*'Operating costs'!$B$9)*IF('Replacement plan'!$AG$25="",'Operating costs'!$B$7,'Replacement plan'!$AG$25)*('Energy and charging'!$B$9*'Energy and charging'!$B$7+(1-'Energy and charging'!$B$9)*'Energy and charging'!$B$8)*'Operating costs'!$B$23,"n.a."))</f>
        <v>0</v>
      </c>
      <c r="K79" s="16">
        <f>IF(C79=0,0,IF(P79="Complete",SUM('Operating costs'!$B$24,'Operating costs'!$B$27,'Operating costs'!$B$29,'Operating costs'!$B$31,'Operating costs'!$B$33,'Operating costs'!$B$34,'Operating costs'!$B$37,'Replacement plan'!$W$25)+'Operating costs'!$B$39*'Operating costs'!$B$42+ROUNDUP(S79*(R79-'Operating costs'!$B$39)*IF('Replacement plan'!$AG$25="",'Operating costs'!$B$7,'Replacement plan'!$AG$25)/('Operating costs'!$B$8-'Operating costs'!$B$9*IF('Replacement plan'!$AG$25="",'Operating costs'!$B$7,'Replacement plan'!$AG$25)),0)*('Operating costs'!$B$9/'Operating costs'!$B$11+'Operating costs'!$B$10/60)*'Operating costs'!$B$19*'Operating costs'!$B$21,"n.a."))</f>
        <v>0</v>
      </c>
      <c r="L79" s="16">
        <f>IF(C79=0,0,IF(P79="Complete",IF(D79="EV",X79*((1-T79)*'Energy and charging'!$B$10+T79*'Energy and charging'!$B$11)*'Operating costs'!$B$22,AA79*('Energy and charging'!$B$9*'Energy and charging'!$B$7+(1-'Energy and charging'!$B$9)*'Energy and charging'!$B$8)*'Operating costs'!$B$23),"n.a."))</f>
        <v>0</v>
      </c>
      <c r="M79" s="37">
        <f>IF(C79=0,0,IF(P79="Complete",IF(D79="ICE",SUM('Operating costs'!$B$25,'Operating costs'!$B$27,'Operating costs'!$B$29,'Operating costs'!$B$31,'Operating costs'!$B$33,'Operating costs'!$B$35,'Operating costs'!$B$37,'Replacement plan'!$X$25)+'Operating costs'!$B$40*'Operating costs'!$B$42+ROUNDUP(S79*(R79-'Operating costs'!$B$40)*IF('Replacement plan'!$AH$25="",'Operating costs'!$B$7,'Replacement plan'!$AH$25)/('Operating costs'!$B$8-'Operating costs'!$B$9*IF('Replacement plan'!$AH$25="",'Operating costs'!$B$7,'Replacement plan'!$AH$25)),0)*('Operating costs'!$B$9/'Operating costs'!$B$11+'Operating costs'!$B$10/60)*'Operating costs'!$B$19*'Operating costs'!$B$21,SUM(AP79,'Operating costs'!$B$28,'Operating costs'!$B$30,'Operating costs'!$B$32,'Operating costs'!$B$33,'Operating costs'!$B$36,'Operating costs'!$B$38,'Replacement plan'!$Y$25)+'Operating costs'!$B$41*'Operating costs'!$B$43+W79*'Operating costs'!$B$15+(T79*X79/'Replacement plan'!$L$25+W79*('Operating costs'!$B$12/'Operating costs'!$B$11+('Operating costs'!$B$13+'Operating costs'!$B$14)/60)+(R79-'Operating costs'!$B$41)*(IF(T79&lt;1,'Operating costs'!$B$16,0)+'Operating costs'!$B$17)/60)*'Operating costs'!$B$19*'Operating costs'!$B$20),"n.a."))</f>
        <v>0</v>
      </c>
      <c r="N79" s="16">
        <f>IF(AND(C79=1,D79="EV",E79&lt;120,E79+'Replacement plan'!$AA$25&lt;=120),'Replacement plan'!$Z$25,0)</f>
        <v>0</v>
      </c>
      <c r="O79" s="1">
        <f>E79+'Replacement plan'!$AA$25</f>
        <v>0</v>
      </c>
      <c r="P79" s="35" t="str">
        <f>IFERROR(IF(C79=0,"Excluded",IF(OR(COUNTIFS('Fleet register'!$A$7:$A$106,A79)&lt;&gt;1,COUNTIFS('Replacement plan'!$A$7:$A$106,A79)&lt;&gt;1),"Duplicate/missing ID",IF(NOT(AND(ISNUMBER(VLOOKUP($A79,'Fleet register'!$A$7:$S$106,5,FALSE)),ISNUMBER(VLOOKUP($A79,'Fleet register'!$A$7:$S$106,6,FALSE)),ISNUMBER(VLOOKUP($A79,'Fleet register'!$A$7:$S$106,10,FALSE)),ISNUMBER(VLOOKUP($A79,'Fleet register'!$A$7:$S$106,11,FALSE)),ISNUMBER(VLOOKUP($A79,'Fleet register'!$A$7:$S$106,12,FALSE)),ISNUMBER(VLOOKUP($A79,'Fleet register'!$A$7:$S$106,13,FALSE)),ISNUMBER(VLOOKUP($A79,'Fleet register'!$A$7:$S$106,14,FALSE)),VLOOKUP($A79,'Fleet register'!$A$7:$S$106,14,FALSE)&gt;0,ISNUMBER('Replacement plan'!$C$25),OR(E79=120,ISNUMBER('Replacement plan'!$N$25)),ISNUMBER(E79))),"Missing vehicle input",IF(OR(E79&lt;0,E79&gt;VLOOKUP($A79,'Fleet register'!$A$7:$S$106,10,FALSE),E79&gt;120,E79&lt;&gt;INT(E79),VLOOKUP($A79,'Fleet register'!$A$7:$S$106,6,FALSE)&lt;=0,VLOOKUP($A79,'Fleet register'!$A$7:$S$106,6,FALSE)&gt;366,VLOOKUP($A79,'Fleet register'!$A$7:$S$106,5,FALSE)&lt;0,VLOOKUP($A79,'Fleet register'!$A$7:$S$106,11,FALSE)&lt;0,I79&lt;0,'Operating costs'!$B$8&lt;='Operating costs'!$B$7*'Operating costs'!$B$9,'Operating costs'!$B$11&lt;=0,'Operating costs'!$B$39&gt;R79,'Operating costs'!$B$40&gt;R79,'Operating costs'!$B$41&gt;R79,NOT(OR("Keep ICE"="Keep ICE","Keep ICE"="New ICE","Keep ICE"="EV"))),"Invalid vehicle input",IF(AND(D79="EV",E79&lt;120,OR(NOT(ISNUMBER(U79)),NOT(ISNUMBER(V79)),V79&lt;=0,T79&lt;0,T79&gt;1,'Replacement plan'!$L$25&lt;=0,'Operating costs'!$B$44&lt;0,'Operating costs'!$B$44&gt;=1,'Operating costs'!$B$47&lt;=0,'Operating costs'!$B$47&gt;1,V79*'Operating costs'!$B$47/(1-'Operating costs'!$B$44)&lt;=T79*'Operating costs'!$B$12*U79,AND('Replacement plan'!$Z$25&gt;0,OR('Replacement plan'!$AB$25&lt;&gt;"Yes",'Operating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charging'!$B$8&gt;=0))),ISNUMBER(VLOOKUP($A79,'Fleet register'!$A$7:$S$106,15,FALSE)),ISNUMBER(VLOOKUP($A79,'Fleet register'!$A$7:$S$106,16,FALSE)),ISNUMBER('Replacement plan'!$W$25),ISNUMBER('Replacement plan'!$X$25),OR(E79=120,AND(ISNUMBER(G79),G79&gt;=0)),ISNUMBER(H79),H79&gt;=0,OR(D79&lt;&gt;"EV",E79=120,AND(ISNUMBER('Operating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average",ISNUMBER(IFERROR(INDEX(Products!$P$7:$P$13,MATCH(AD79,Products!$A$7:$A$13,0)),"")))),ISNUMBER('Operating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plan'!$Y$25),ISNUMBER('Replacement plan'!$Z$25),'Replacement plan'!$Z$25&gt;=0,ISNUMBER('Replacement plan'!$AA$25),'Replacement plan'!$AA$25&gt;=0,'Replacement plan'!$AA$25=INT('Replacement plan'!$AA$25),ISNUMBER('Replacement plan'!$L$25))),'Operating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plan'!$AG$25="",'Operating costs'!$B$7,'Replacement plan'!$AG$25)),IF('Replacement plan'!$AG$25="",'Operating costs'!$B$7,'Replacement plan'!$AG$25)&gt;=0,ISNUMBER(IF('Replacement plan'!$AH$25="",'Operating costs'!$B$7,'Replacement plan'!$AH$25)),IF('Replacement plan'!$AH$25="",'Operating costs'!$B$7,'Replacement plan'!$AH$25)&gt;=0,'Operating costs'!$B$8&gt;MAX(IF('Replacement plan'!$AG$25="",'Operating costs'!$B$7,'Replacement plan'!$AG$25),IF('Replacement plan'!$AH$25="",'Operating costs'!$B$7,'Replacement plan'!$AH$25))*'Operating costs'!$B$9),IF(AND(VLOOKUP($A79,'Fleet register'!$A$7:$S$106,10,FALSE)&gt;=0,VLOOKUP($A79,'Fleet register'!$A$7:$S$106,10,FALSE)&lt;=120,VLOOKUP($A79,'Fleet register'!$A$7:$S$106,10,FALSE)=INT(VLOOKUP($A79,'Fleet register'!$A$7:$S$106,10,FALSE)),VLOOKUP($A79,'Fleet register'!$A$7:$S$106,15,FALSE)&gt;=0,VLOOKUP($A79,'Fleet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costs'!$B$67)&gt;=0,OR(D79&lt;&gt;"EV",E79=120,AND(MIN('Operating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79" s="1" t="str">
        <f>IF(C79=0,"Excluded",IF(P79&lt;&gt;"Complete",P79,IF(OR('Replacement plan'!$AD$25&lt;120-E79,AND(D79="EV",E79&lt;120,OR('Replacement plan'!$AC$25&lt;120-E79,'Replacement plan'!$I$25="No",AND(ISNUMBER(AF79),AE79&gt;AF79),AI79&gt;V79*(1-'Operating costs'!$B$46)^MAX(0,AB79-1)*(1-'Operating costs'!$B$45),AC79&gt;'Operating costs'!$B$18,AND(T79&lt;1,OR(AG79&lt;=0,AND(ISNUMBER(AH79),AG79&gt;AH79))),'Replacement plan'!$L$25&gt;INDEX(Products!$H$7:$H$13,MATCH('Replacement plan'!$B$25,Products!$A$7:$A$13,0))))),"Fails entered limits",IF(AND(D79="EV",E79&lt;120,OR(NOT(ISNUMBER(VLOOKUP($A79,'Fleet register'!$A$7:$S$106,7,FALSE))),NOT(ISNUMBER(VLOOKUP($A79,'Fleet register'!$A$7:$S$106,8,FALSE))),NOT(ISNUMBER(AF79)),'Replacement plan'!$I$25&lt;&gt;"Yes",NOT(ISNUMBER(AH79)),'Operating costs'!$B$59&lt;&gt;"Yes",'Operating costs'!$B$58&lt;&gt;"Yes")),"Unverified","Within entered limits"))))</f>
        <v>Excluded</v>
      </c>
      <c r="R79" s="1">
        <f>IF(C79=0,0,VLOOKUP($A79,'Fleet register'!$A$7:$S$106,6,FALSE))</f>
        <v>0</v>
      </c>
      <c r="S79" s="1">
        <f>IF(C79=0,0,VLOOKUP($A79,'Fleet register'!$A$7:$S$106,5,FALSE))</f>
        <v>0</v>
      </c>
      <c r="T79" s="1">
        <f>IF(D79="EV",'Energy and charging'!$B$12,0)</f>
        <v>0</v>
      </c>
      <c r="U79" s="1">
        <f>IFERROR(IF(C79=0,0,IF(D79="EV",IF('Replacement plan'!$F$25="",INDEX(Products!$E$7:$E$13,MATCH('Replacement plan'!$B$25,Products!$A$7:$A$13,0)),'Replacement plan'!$F$25)/IF('Replacement plan'!$G$25="Battery",1-'Operating costs'!$B$44,1),0)),"n.a.")</f>
        <v>0</v>
      </c>
      <c r="V79" s="1">
        <f>IFERROR(IF(C79=0,0,IF(D79="EV",IF('Replacement plan'!$E$25="",INDEX(Products!$D$7:$D$13,MATCH('Replacement plan'!$B$25,Products!$A$7:$A$13,0)),'Replacement plan'!$E$25),0)),"n.a.")</f>
        <v>0</v>
      </c>
      <c r="W79" s="1">
        <f>IF(C79=0,0,IF(AND(P79="Complete",D79="EV",E79&lt;120),IF(T79=0,0,ROUNDUP(T79*(R79-'Operating costs'!$B$41)*(S79*U79+'Operating costs'!$B$48/(1-'Operating costs'!$B$44))/(V79*'Operating costs'!$B$47/(1-'Operating costs'!$B$44)-T79*'Operating costs'!$B$12*U79),0)),0))</f>
        <v>0</v>
      </c>
      <c r="X79" s="1">
        <f>IF(C79=0,0,IF(AND(P79="Complete",D79="EV",E79&lt;120),(R79-'Operating costs'!$B$41)*(S79*U79+'Operating costs'!$B$48/(1-'Operating costs'!$B$44))+W79*'Operating costs'!$B$12*U79,0))</f>
        <v>0</v>
      </c>
      <c r="Y79" s="1">
        <f>IF(AND(C79=1,D79="EV",E79&lt;120),AI79/(1-'Operating costs'!$B$44)*(1-T79),0)</f>
        <v>0</v>
      </c>
      <c r="Z79" s="1">
        <f t="shared" si="2"/>
        <v>0</v>
      </c>
      <c r="AA79" s="1">
        <f>IF(C79=0,0,IF(P79="Complete",((S79*(R79-'Operating costs'!$B$40))+ROUNDUP(S79*(R79-'Operating costs'!$B$40)*IF('Replacement plan'!$AH$25="",'Operating costs'!$B$7,'Replacement plan'!$AH$25)/('Operating costs'!$B$8-'Operating costs'!$B$9*IF('Replacement plan'!$AH$25="",'Operating costs'!$B$7,'Replacement plan'!$AH$25)),0)*'Operating costs'!$B$9)*IF('Replacement plan'!$AH$25="",'Operating costs'!$B$7,'Replacement plan'!$AH$25),"n.a."))</f>
        <v>0</v>
      </c>
      <c r="AB79" s="1">
        <f t="shared" si="3"/>
        <v>0</v>
      </c>
      <c r="AC79" s="1">
        <f>IF(AND(C79=1,D79="EV",E79&lt;120,T79&gt;0),'Operating costs'!$B$12/'Operating costs'!$B$11*60+'Operating costs'!$B$13+'Operating costs'!$B$14+V79*'Operating costs'!$B$47/(1-'Operating costs'!$B$44)/'Replacement plan'!$L$25*60,0)</f>
        <v>0</v>
      </c>
      <c r="AD79" s="1" t="str">
        <f>'Replacement plan'!$B$25</f>
        <v>ChengLong L2EV</v>
      </c>
      <c r="AE79" s="1">
        <f>IF(C79=0,0,VLOOKUP($A79,'Fleet register'!$A$7:$S$106,8,FALSE))</f>
        <v>0</v>
      </c>
      <c r="AF79" s="1" t="str">
        <f>IF('Replacement plan'!$H$25="","n.a.",'Replacement plan'!$H$25)</f>
        <v>n.a.</v>
      </c>
      <c r="AG79" s="1">
        <f>'Replacement plan'!$J$25</f>
        <v>22</v>
      </c>
      <c r="AH79" s="1">
        <f>IFERROR(IF(D79="EV",IF('Replacement plan'!$K$25="AC",IF(ISNUMBER(INDEX(Products!$G$7:$G$13,MATCH('Replacement plan'!$B$25,Products!$A$7:$A$13,0))),INDEX(Products!$G$7:$G$13,MATCH('Replacement plan'!$B$25,Products!$A$7:$A$13,0)),"n.a."),IF(ISNUMBER(INDEX(Products!$H$7:$H$13,MATCH('Replacement plan'!$B$25,Products!$A$7:$A$13,0))),INDEX(Products!$H$7:$H$13,MATCH('Replacement plan'!$B$25,Products!$A$7:$A$13,0)),"n.a.")),0),"n.a.")</f>
        <v>0</v>
      </c>
      <c r="AI79" s="1">
        <f>IF(AND(C79=1,D79="EV",E79&lt;120),(VLOOKUP($A79,'Fleet register'!$A$7:$S$106,7,FALSE)+IF(T79&gt;0,'Operating costs'!$B$12,0))*U79*(1-'Operating costs'!$B$44)+'Operating costs'!$B$49,0)</f>
        <v>0</v>
      </c>
      <c r="AJ79" s="1">
        <f>IF(D79="EV",'Energy and charging'!$B$50,0)</f>
        <v>0</v>
      </c>
      <c r="AK79" s="17">
        <f>EDATE('Operating costs'!$B$63,E79)</f>
        <v>46298</v>
      </c>
      <c r="AL79" s="1">
        <f>IFERROR(IF(D79="EV",INDEX(Products!$B$7:$B$13,MATCH('Replacement plan'!$B$25,Products!$A$7:$A$13,0)),0),"n.a.")</f>
        <v>0</v>
      </c>
      <c r="AM79" s="1" t="str">
        <f>'Replacement plan'!$K$25</f>
        <v>DC</v>
      </c>
      <c r="AN79" s="1" t="str">
        <f>'Replacement plan'!$AE$25</f>
        <v>Assumed</v>
      </c>
      <c r="AO79" s="47">
        <f>IF(AND(C79=1,D79="EV",E79&lt;120),(R79-'Operating costs'!$B$41)*S79+W79*'Operating costs'!$B$12,0)</f>
        <v>0</v>
      </c>
      <c r="AP79" s="41">
        <f>IF(AND(C79=1,D79="EV",E79&lt;120),IF('Operating costs'!$B$68="Hong Seh 200k average",AO79*IFERROR(INDEX(Products!$P$7:$P$13,MATCH(AD79,Products!$A$7:$A$13,0)),"n.a."),'Operating costs'!$B$26),0)</f>
        <v>0</v>
      </c>
      <c r="AQ79" s="40" t="str">
        <f>IF(D79="EV",'Operating costs'!$B$68,"Not applicable")</f>
        <v>Not applicable</v>
      </c>
    </row>
    <row r="80" spans="1:43" ht="24" customHeight="1">
      <c r="A80" s="1" t="str">
        <f>'Replacement plan'!A25</f>
        <v>T019</v>
      </c>
      <c r="B80" s="1">
        <v>1</v>
      </c>
      <c r="C80" s="1">
        <f>IF(COUNTIFS('Fleet register'!$A$7:$A$106,$A80)=1,VLOOKUP($A80,'Fleet register'!$A$7:$S$106,2,FALSE),0)</f>
        <v>0</v>
      </c>
      <c r="D80" s="1" t="str">
        <f>IF("New ICE"="EV","EV","ICE")</f>
        <v>ICE</v>
      </c>
      <c r="E80" s="1">
        <f>IF(C80=0,0,0)</f>
        <v>0</v>
      </c>
      <c r="F80" s="16">
        <f>IF(C80=0,0,VLOOKUP($A80,'Fleet register'!$A$7:$S$106,11,FALSE))</f>
        <v>0</v>
      </c>
      <c r="G80" s="16">
        <f>IFERROR(IF(C80=0,0,IF(E80=120,0,IF(D80="ICE",'Replacement plan'!$C$25,IF('Replacement plan'!$D$25="",INDEX(Products!$I$7:$I$13,MATCH('Replacement plan'!$B$25,Products!$A$7:$A$13,0))+'Operating costs'!$B$57,'Replacement plan'!$D$25))*(1+'Operating costs'!$B$50)^(E80/12))),"n.a.")</f>
        <v>0</v>
      </c>
      <c r="H80" s="16">
        <f>IFERROR(IF(C80=0,0,IF(E80=0,F80,VLOOKUP($A80,'Fleet register'!$A$7:$S$106,12,FALSE)+VLOOKUP($A80,'Fleet register'!$A$7:$S$106,13,FALSE)*MAX(0,VLOOKUP($A80,'Fleet register'!$A$7:$S$106,10,FALSE)-E80)/VLOOKUP($A80,'Fleet register'!$A$7:$S$106,14,FALSE))),"n.a.")</f>
        <v>0</v>
      </c>
      <c r="I80" s="16">
        <f>IF(C80=0,0,IF(E80=120,0,IF('Replacement plan'!$AI$25="",'Operating costs'!$B$56,'Replacement plan'!$AI$25)))</f>
        <v>0</v>
      </c>
      <c r="J80" s="16">
        <f>IF(C80=0,0,IF(P80="Complete",((S80*(R80-'Operating costs'!$B$39))+ROUNDUP(S80*(R80-'Operating costs'!$B$39)*IF('Replacement plan'!$AG$25="",'Operating costs'!$B$7,'Replacement plan'!$AG$25)/('Operating costs'!$B$8-'Operating costs'!$B$9*IF('Replacement plan'!$AG$25="",'Operating costs'!$B$7,'Replacement plan'!$AG$25)),0)*'Operating costs'!$B$9)*IF('Replacement plan'!$AG$25="",'Operating costs'!$B$7,'Replacement plan'!$AG$25)*('Energy and charging'!$B$9*'Energy and charging'!$B$7+(1-'Energy and charging'!$B$9)*'Energy and charging'!$B$8)*'Operating costs'!$B$23,"n.a."))</f>
        <v>0</v>
      </c>
      <c r="K80" s="16">
        <f>IF(C80=0,0,IF(P80="Complete",SUM('Operating costs'!$B$24,'Operating costs'!$B$27,'Operating costs'!$B$29,'Operating costs'!$B$31,'Operating costs'!$B$33,'Operating costs'!$B$34,'Operating costs'!$B$37,'Replacement plan'!$W$25)+'Operating costs'!$B$39*'Operating costs'!$B$42+ROUNDUP(S80*(R80-'Operating costs'!$B$39)*IF('Replacement plan'!$AG$25="",'Operating costs'!$B$7,'Replacement plan'!$AG$25)/('Operating costs'!$B$8-'Operating costs'!$B$9*IF('Replacement plan'!$AG$25="",'Operating costs'!$B$7,'Replacement plan'!$AG$25)),0)*('Operating costs'!$B$9/'Operating costs'!$B$11+'Operating costs'!$B$10/60)*'Operating costs'!$B$19*'Operating costs'!$B$21,"n.a."))</f>
        <v>0</v>
      </c>
      <c r="L80" s="16">
        <f>IF(C80=0,0,IF(P80="Complete",IF(D80="EV",X80*((1-T80)*'Energy and charging'!$B$10+T80*'Energy and charging'!$B$11)*'Operating costs'!$B$22,AA80*('Energy and charging'!$B$9*'Energy and charging'!$B$7+(1-'Energy and charging'!$B$9)*'Energy and charging'!$B$8)*'Operating costs'!$B$23),"n.a."))</f>
        <v>0</v>
      </c>
      <c r="M80" s="37">
        <f>IF(C80=0,0,IF(P80="Complete",IF(D80="ICE",SUM('Operating costs'!$B$25,'Operating costs'!$B$27,'Operating costs'!$B$29,'Operating costs'!$B$31,'Operating costs'!$B$33,'Operating costs'!$B$35,'Operating costs'!$B$37,'Replacement plan'!$X$25)+'Operating costs'!$B$40*'Operating costs'!$B$42+ROUNDUP(S80*(R80-'Operating costs'!$B$40)*IF('Replacement plan'!$AH$25="",'Operating costs'!$B$7,'Replacement plan'!$AH$25)/('Operating costs'!$B$8-'Operating costs'!$B$9*IF('Replacement plan'!$AH$25="",'Operating costs'!$B$7,'Replacement plan'!$AH$25)),0)*('Operating costs'!$B$9/'Operating costs'!$B$11+'Operating costs'!$B$10/60)*'Operating costs'!$B$19*'Operating costs'!$B$21,SUM(AP80,'Operating costs'!$B$28,'Operating costs'!$B$30,'Operating costs'!$B$32,'Operating costs'!$B$33,'Operating costs'!$B$36,'Operating costs'!$B$38,'Replacement plan'!$Y$25)+'Operating costs'!$B$41*'Operating costs'!$B$43+W80*'Operating costs'!$B$15+(T80*X80/'Replacement plan'!$L$25+W80*('Operating costs'!$B$12/'Operating costs'!$B$11+('Operating costs'!$B$13+'Operating costs'!$B$14)/60)+(R80-'Operating costs'!$B$41)*(IF(T80&lt;1,'Operating costs'!$B$16,0)+'Operating costs'!$B$17)/60)*'Operating costs'!$B$19*'Operating costs'!$B$20),"n.a."))</f>
        <v>0</v>
      </c>
      <c r="N80" s="16">
        <f>IF(AND(C80=1,D80="EV",E80&lt;120,E80+'Replacement plan'!$AA$25&lt;=120),'Replacement plan'!$Z$25,0)</f>
        <v>0</v>
      </c>
      <c r="O80" s="1">
        <f>E80+'Replacement plan'!$AA$25</f>
        <v>0</v>
      </c>
      <c r="P80" s="35" t="str">
        <f>IFERROR(IF(C80=0,"Excluded",IF(OR(COUNTIFS('Fleet register'!$A$7:$A$106,A80)&lt;&gt;1,COUNTIFS('Replacement plan'!$A$7:$A$106,A80)&lt;&gt;1),"Duplicate/missing ID",IF(NOT(AND(ISNUMBER(VLOOKUP($A80,'Fleet register'!$A$7:$S$106,5,FALSE)),ISNUMBER(VLOOKUP($A80,'Fleet register'!$A$7:$S$106,6,FALSE)),ISNUMBER(VLOOKUP($A80,'Fleet register'!$A$7:$S$106,10,FALSE)),ISNUMBER(VLOOKUP($A80,'Fleet register'!$A$7:$S$106,11,FALSE)),ISNUMBER(VLOOKUP($A80,'Fleet register'!$A$7:$S$106,12,FALSE)),ISNUMBER(VLOOKUP($A80,'Fleet register'!$A$7:$S$106,13,FALSE)),ISNUMBER(VLOOKUP($A80,'Fleet register'!$A$7:$S$106,14,FALSE)),VLOOKUP($A80,'Fleet register'!$A$7:$S$106,14,FALSE)&gt;0,ISNUMBER('Replacement plan'!$C$25),OR(E80=120,OR(ISNUMBER('Replacement plan'!$AI$25),AND('Replacement plan'!$AI$25="",ISNUMBER('Operating costs'!$B$56)))),ISNUMBER(E80))),"Missing vehicle input",IF(OR(E80&lt;0,E80&gt;VLOOKUP($A80,'Fleet register'!$A$7:$S$106,10,FALSE),E80&gt;120,E80&lt;&gt;INT(E80),VLOOKUP($A80,'Fleet register'!$A$7:$S$106,6,FALSE)&lt;=0,VLOOKUP($A80,'Fleet register'!$A$7:$S$106,6,FALSE)&gt;366,VLOOKUP($A80,'Fleet register'!$A$7:$S$106,5,FALSE)&lt;0,VLOOKUP($A80,'Fleet register'!$A$7:$S$106,11,FALSE)&lt;0,I80&lt;0,'Operating costs'!$B$8&lt;='Operating costs'!$B$7*'Operating costs'!$B$9,'Operating costs'!$B$11&lt;=0,'Operating costs'!$B$39&gt;R80,'Operating costs'!$B$40&gt;R80,'Operating costs'!$B$41&gt;R80,NOT(OR("New ICE"="Keep ICE","New ICE"="New ICE","New ICE"="EV"))),"Invalid vehicle input",IF(AND(D80="EV",E80&lt;120,OR(NOT(ISNUMBER(U80)),NOT(ISNUMBER(V80)),V80&lt;=0,T80&lt;0,T80&gt;1,'Replacement plan'!$L$25&lt;=0,'Operating costs'!$B$44&lt;0,'Operating costs'!$B$44&gt;=1,'Operating costs'!$B$47&lt;=0,'Operating costs'!$B$47&gt;1,V80*'Operating costs'!$B$47/(1-'Operating costs'!$B$44)&lt;=T80*'Operating costs'!$B$12*U80,AND('Replacement plan'!$Z$25&gt;0,OR('Replacement plan'!$AB$25&lt;&gt;"Yes",'Operating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charging'!$B$8&gt;=0))),ISNUMBER(VLOOKUP($A80,'Fleet register'!$A$7:$S$106,15,FALSE)),ISNUMBER(VLOOKUP($A80,'Fleet register'!$A$7:$S$106,16,FALSE)),ISNUMBER('Replacement plan'!$W$25),ISNUMBER('Replacement plan'!$X$25),OR(E80=120,AND(ISNUMBER(G80),G80&gt;=0)),ISNUMBER(H80),H80&gt;=0,OR(D80&lt;&gt;"EV",E80=120,AND(ISNUMBER('Operating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average",ISNUMBER(IFERROR(INDEX(Products!$P$7:$P$13,MATCH(AD80,Products!$A$7:$A$13,0)),"")))),ISNUMBER('Operating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plan'!$Y$25),ISNUMBER('Replacement plan'!$Z$25),'Replacement plan'!$Z$25&gt;=0,ISNUMBER('Replacement plan'!$AA$25),'Replacement plan'!$AA$25&gt;=0,'Replacement plan'!$AA$25=INT('Replacement plan'!$AA$25),ISNUMBER('Replacement plan'!$L$25))),'Operating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plan'!$AG$25="",'Operating costs'!$B$7,'Replacement plan'!$AG$25)),IF('Replacement plan'!$AG$25="",'Operating costs'!$B$7,'Replacement plan'!$AG$25)&gt;=0,ISNUMBER(IF('Replacement plan'!$AH$25="",'Operating costs'!$B$7,'Replacement plan'!$AH$25)),IF('Replacement plan'!$AH$25="",'Operating costs'!$B$7,'Replacement plan'!$AH$25)&gt;=0,'Operating costs'!$B$8&gt;MAX(IF('Replacement plan'!$AG$25="",'Operating costs'!$B$7,'Replacement plan'!$AG$25),IF('Replacement plan'!$AH$25="",'Operating costs'!$B$7,'Replacement plan'!$AH$25))*'Operating costs'!$B$9),IF(AND(VLOOKUP($A80,'Fleet register'!$A$7:$S$106,10,FALSE)&gt;=0,VLOOKUP($A80,'Fleet register'!$A$7:$S$106,10,FALSE)&lt;=120,VLOOKUP($A80,'Fleet register'!$A$7:$S$106,10,FALSE)=INT(VLOOKUP($A80,'Fleet register'!$A$7:$S$106,10,FALSE)),VLOOKUP($A80,'Fleet register'!$A$7:$S$106,15,FALSE)&gt;=0,VLOOKUP($A80,'Fleet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costs'!$B$67)&gt;=0,OR(D80&lt;&gt;"EV",E80=120,AND(MIN('Operating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80" s="1" t="str">
        <f>IF(C80=0,"Excluded",IF(P80&lt;&gt;"Complete",P80,IF(OR('Replacement plan'!$AD$25&lt;120-E80,AND(D80="EV",E80&lt;120,OR('Replacement plan'!$AC$25&lt;120-E80,'Replacement plan'!$I$25="No",AND(ISNUMBER(AF80),AE80&gt;AF80),AI80&gt;V80*(1-'Operating costs'!$B$46)^MAX(0,AB80-1)*(1-'Operating costs'!$B$45),AC80&gt;'Operating costs'!$B$18,AND(T80&lt;1,OR(AG80&lt;=0,AND(ISNUMBER(AH80),AG80&gt;AH80))),'Replacement plan'!$L$25&gt;INDEX(Products!$H$7:$H$13,MATCH('Replacement plan'!$B$25,Products!$A$7:$A$13,0))))),"Fails entered limits",IF(AND(D80="EV",E80&lt;120,OR(NOT(ISNUMBER(VLOOKUP($A80,'Fleet register'!$A$7:$S$106,7,FALSE))),NOT(ISNUMBER(VLOOKUP($A80,'Fleet register'!$A$7:$S$106,8,FALSE))),NOT(ISNUMBER(AF80)),'Replacement plan'!$I$25&lt;&gt;"Yes",NOT(ISNUMBER(AH80)),'Operating costs'!$B$59&lt;&gt;"Yes",'Operating costs'!$B$58&lt;&gt;"Yes")),"Unverified","Within entered limits"))))</f>
        <v>Excluded</v>
      </c>
      <c r="R80" s="1">
        <f>IF(C80=0,0,VLOOKUP($A80,'Fleet register'!$A$7:$S$106,6,FALSE))</f>
        <v>0</v>
      </c>
      <c r="S80" s="1">
        <f>IF(C80=0,0,VLOOKUP($A80,'Fleet register'!$A$7:$S$106,5,FALSE))</f>
        <v>0</v>
      </c>
      <c r="T80" s="1">
        <f>IF(D80="EV",'Energy and charging'!$B$12,0)</f>
        <v>0</v>
      </c>
      <c r="U80" s="1">
        <f>IFERROR(IF(C80=0,0,IF(D80="EV",IF('Replacement plan'!$F$25="",INDEX(Products!$E$7:$E$13,MATCH('Replacement plan'!$B$25,Products!$A$7:$A$13,0)),'Replacement plan'!$F$25)/IF('Replacement plan'!$G$25="Battery",1-'Operating costs'!$B$44,1),0)),"n.a.")</f>
        <v>0</v>
      </c>
      <c r="V80" s="1">
        <f>IFERROR(IF(C80=0,0,IF(D80="EV",IF('Replacement plan'!$E$25="",INDEX(Products!$D$7:$D$13,MATCH('Replacement plan'!$B$25,Products!$A$7:$A$13,0)),'Replacement plan'!$E$25),0)),"n.a.")</f>
        <v>0</v>
      </c>
      <c r="W80" s="1">
        <f>IF(C80=0,0,IF(AND(P80="Complete",D80="EV",E80&lt;120),IF(T80=0,0,ROUNDUP(T80*(R80-'Operating costs'!$B$41)*(S80*U80+'Operating costs'!$B$48/(1-'Operating costs'!$B$44))/(V80*'Operating costs'!$B$47/(1-'Operating costs'!$B$44)-T80*'Operating costs'!$B$12*U80),0)),0))</f>
        <v>0</v>
      </c>
      <c r="X80" s="1">
        <f>IF(C80=0,0,IF(AND(P80="Complete",D80="EV",E80&lt;120),(R80-'Operating costs'!$B$41)*(S80*U80+'Operating costs'!$B$48/(1-'Operating costs'!$B$44))+W80*'Operating costs'!$B$12*U80,0))</f>
        <v>0</v>
      </c>
      <c r="Y80" s="1">
        <f>IF(AND(C80=1,D80="EV",E80&lt;120),AI80/(1-'Operating costs'!$B$44)*(1-T80),0)</f>
        <v>0</v>
      </c>
      <c r="Z80" s="1">
        <f t="shared" si="2"/>
        <v>0</v>
      </c>
      <c r="AA80" s="1">
        <f>IF(C80=0,0,IF(P80="Complete",((S80*(R80-'Operating costs'!$B$40))+ROUNDUP(S80*(R80-'Operating costs'!$B$40)*IF('Replacement plan'!$AH$25="",'Operating costs'!$B$7,'Replacement plan'!$AH$25)/('Operating costs'!$B$8-'Operating costs'!$B$9*IF('Replacement plan'!$AH$25="",'Operating costs'!$B$7,'Replacement plan'!$AH$25)),0)*'Operating costs'!$B$9)*IF('Replacement plan'!$AH$25="",'Operating costs'!$B$7,'Replacement plan'!$AH$25),"n.a."))</f>
        <v>0</v>
      </c>
      <c r="AB80" s="1">
        <f t="shared" si="3"/>
        <v>0</v>
      </c>
      <c r="AC80" s="1">
        <f>IF(AND(C80=1,D80="EV",E80&lt;120,T80&gt;0),'Operating costs'!$B$12/'Operating costs'!$B$11*60+'Operating costs'!$B$13+'Operating costs'!$B$14+V80*'Operating costs'!$B$47/(1-'Operating costs'!$B$44)/'Replacement plan'!$L$25*60,0)</f>
        <v>0</v>
      </c>
      <c r="AD80" s="1" t="str">
        <f>'Replacement plan'!$B$25</f>
        <v>ChengLong L2EV</v>
      </c>
      <c r="AE80" s="1">
        <f>IF(C80=0,0,VLOOKUP($A80,'Fleet register'!$A$7:$S$106,8,FALSE))</f>
        <v>0</v>
      </c>
      <c r="AF80" s="1" t="str">
        <f>IF('Replacement plan'!$H$25="","n.a.",'Replacement plan'!$H$25)</f>
        <v>n.a.</v>
      </c>
      <c r="AG80" s="1">
        <f>'Replacement plan'!$J$25</f>
        <v>22</v>
      </c>
      <c r="AH80" s="1">
        <f>IFERROR(IF(D80="EV",IF('Replacement plan'!$K$25="AC",IF(ISNUMBER(INDEX(Products!$G$7:$G$13,MATCH('Replacement plan'!$B$25,Products!$A$7:$A$13,0))),INDEX(Products!$G$7:$G$13,MATCH('Replacement plan'!$B$25,Products!$A$7:$A$13,0)),"n.a."),IF(ISNUMBER(INDEX(Products!$H$7:$H$13,MATCH('Replacement plan'!$B$25,Products!$A$7:$A$13,0))),INDEX(Products!$H$7:$H$13,MATCH('Replacement plan'!$B$25,Products!$A$7:$A$13,0)),"n.a.")),0),"n.a.")</f>
        <v>0</v>
      </c>
      <c r="AI80" s="1">
        <f>IF(AND(C80=1,D80="EV",E80&lt;120),(VLOOKUP($A80,'Fleet register'!$A$7:$S$106,7,FALSE)+IF(T80&gt;0,'Operating costs'!$B$12,0))*U80*(1-'Operating costs'!$B$44)+'Operating costs'!$B$49,0)</f>
        <v>0</v>
      </c>
      <c r="AJ80" s="1">
        <f>IF(D80="EV",'Energy and charging'!$B$50,0)</f>
        <v>0</v>
      </c>
      <c r="AK80" s="17">
        <f>EDATE('Operating costs'!$B$63,E80)</f>
        <v>46298</v>
      </c>
      <c r="AL80" s="1">
        <f>IFERROR(IF(D80="EV",INDEX(Products!$B$7:$B$13,MATCH('Replacement plan'!$B$25,Products!$A$7:$A$13,0)),0),"n.a.")</f>
        <v>0</v>
      </c>
      <c r="AM80" s="1" t="str">
        <f>'Replacement plan'!$K$25</f>
        <v>DC</v>
      </c>
      <c r="AN80" s="1" t="str">
        <f>'Replacement plan'!$AE$25</f>
        <v>Assumed</v>
      </c>
      <c r="AO80" s="47">
        <f>IF(AND(C80=1,D80="EV",E80&lt;120),(R80-'Operating costs'!$B$41)*S80+W80*'Operating costs'!$B$12,0)</f>
        <v>0</v>
      </c>
      <c r="AP80" s="41">
        <f>IF(AND(C80=1,D80="EV",E80&lt;120),IF('Operating costs'!$B$68="Hong Seh 200k average",AO80*IFERROR(INDEX(Products!$P$7:$P$13,MATCH(AD80,Products!$A$7:$A$13,0)),"n.a."),'Operating costs'!$B$26),0)</f>
        <v>0</v>
      </c>
      <c r="AQ80" s="40" t="str">
        <f>IF(D80="EV",'Operating costs'!$B$68,"Not applicable")</f>
        <v>Not applicable</v>
      </c>
    </row>
    <row r="81" spans="1:43" ht="24" customHeight="1">
      <c r="A81" s="1" t="str">
        <f>'Replacement plan'!A25</f>
        <v>T019</v>
      </c>
      <c r="B81" s="1">
        <v>2</v>
      </c>
      <c r="C81" s="1">
        <f>IF(COUNTIFS('Fleet register'!$A$7:$A$106,$A81)=1,VLOOKUP($A81,'Fleet register'!$A$7:$S$106,2,FALSE),0)</f>
        <v>0</v>
      </c>
      <c r="D81" s="1" t="str">
        <f>IF('Replacement plan'!$O$25="EV","EV","ICE")</f>
        <v>ICE</v>
      </c>
      <c r="E81" s="1">
        <f>IF(C81=0,0,IF('Replacement plan'!$P$25="",IF('Replacement plan'!$O$25="Keep ICE",IF('Replacement plan'!$M$25="",VLOOKUP($A81,'Fleet register'!$A$7:$S$106,10,FALSE),'Replacement plan'!$M$25),0),'Replacement plan'!$P$25))</f>
        <v>0</v>
      </c>
      <c r="F81" s="16">
        <f>IF(C81=0,0,VLOOKUP($A81,'Fleet register'!$A$7:$S$106,11,FALSE))</f>
        <v>0</v>
      </c>
      <c r="G81" s="16">
        <f>IFERROR(IF(C81=0,0,IF(E81=120,0,IF(D81="ICE",'Replacement plan'!$C$25,IF('Replacement plan'!$D$25="",INDEX(Products!$I$7:$I$13,MATCH('Replacement plan'!$B$25,Products!$A$7:$A$13,0))+'Operating costs'!$B$57,'Replacement plan'!$D$25))*(1+'Operating costs'!$B$50)^(E81/12))),"n.a.")</f>
        <v>0</v>
      </c>
      <c r="H81" s="16">
        <f>IFERROR(IF(C81=0,0,IF('Replacement plan'!$U$25&lt;&gt;"",'Replacement plan'!$U$25,IF(E81=0,F81,VLOOKUP($A81,'Fleet register'!$A$7:$S$106,12,FALSE)+VLOOKUP($A81,'Fleet register'!$A$7:$S$106,13,FALSE)*MAX(0,VLOOKUP($A81,'Fleet register'!$A$7:$S$106,10,FALSE)-E81)/VLOOKUP($A81,'Fleet register'!$A$7:$S$106,14,FALSE)))),"n.a.")</f>
        <v>0</v>
      </c>
      <c r="I81" s="16">
        <f>IF(C81=0,0,IF(E81=120,0,'Replacement plan'!$Q$25))</f>
        <v>0</v>
      </c>
      <c r="J81" s="16">
        <f>IF(C81=0,0,IF(P81="Complete",((S81*(R81-'Operating costs'!$B$39))+ROUNDUP(S81*(R81-'Operating costs'!$B$39)*IF('Replacement plan'!$AG$25="",'Operating costs'!$B$7,'Replacement plan'!$AG$25)/('Operating costs'!$B$8-'Operating costs'!$B$9*IF('Replacement plan'!$AG$25="",'Operating costs'!$B$7,'Replacement plan'!$AG$25)),0)*'Operating costs'!$B$9)*IF('Replacement plan'!$AG$25="",'Operating costs'!$B$7,'Replacement plan'!$AG$25)*('Energy and charging'!$B$9*'Energy and charging'!$B$7+(1-'Energy and charging'!$B$9)*'Energy and charging'!$B$8)*'Operating costs'!$B$23,"n.a."))</f>
        <v>0</v>
      </c>
      <c r="K81" s="16">
        <f>IF(C81=0,0,IF(P81="Complete",SUM('Operating costs'!$B$24,'Operating costs'!$B$27,'Operating costs'!$B$29,'Operating costs'!$B$31,'Operating costs'!$B$33,'Operating costs'!$B$34,'Operating costs'!$B$37,'Replacement plan'!$W$25)+'Operating costs'!$B$39*'Operating costs'!$B$42+ROUNDUP(S81*(R81-'Operating costs'!$B$39)*IF('Replacement plan'!$AG$25="",'Operating costs'!$B$7,'Replacement plan'!$AG$25)/('Operating costs'!$B$8-'Operating costs'!$B$9*IF('Replacement plan'!$AG$25="",'Operating costs'!$B$7,'Replacement plan'!$AG$25)),0)*('Operating costs'!$B$9/'Operating costs'!$B$11+'Operating costs'!$B$10/60)*'Operating costs'!$B$19*'Operating costs'!$B$21,"n.a."))</f>
        <v>0</v>
      </c>
      <c r="L81" s="16">
        <f>IF(C81=0,0,IF(P81="Complete",IF(D81="EV",X81*((1-T81)*'Energy and charging'!$B$10+T81*'Energy and charging'!$B$11)*'Operating costs'!$B$22,AA81*('Energy and charging'!$B$9*'Energy and charging'!$B$7+(1-'Energy and charging'!$B$9)*'Energy and charging'!$B$8)*'Operating costs'!$B$23),"n.a."))</f>
        <v>0</v>
      </c>
      <c r="M81" s="37">
        <f>IF(C81=0,0,IF(P81="Complete",IF(D81="ICE",SUM('Operating costs'!$B$25,'Operating costs'!$B$27,'Operating costs'!$B$29,'Operating costs'!$B$31,'Operating costs'!$B$33,'Operating costs'!$B$35,'Operating costs'!$B$37,'Replacement plan'!$X$25)+'Operating costs'!$B$40*'Operating costs'!$B$42+ROUNDUP(S81*(R81-'Operating costs'!$B$40)*IF('Replacement plan'!$AH$25="",'Operating costs'!$B$7,'Replacement plan'!$AH$25)/('Operating costs'!$B$8-'Operating costs'!$B$9*IF('Replacement plan'!$AH$25="",'Operating costs'!$B$7,'Replacement plan'!$AH$25)),0)*('Operating costs'!$B$9/'Operating costs'!$B$11+'Operating costs'!$B$10/60)*'Operating costs'!$B$19*'Operating costs'!$B$21,SUM(AP81,'Operating costs'!$B$28,'Operating costs'!$B$30,'Operating costs'!$B$32,'Operating costs'!$B$33,'Operating costs'!$B$36,'Operating costs'!$B$38,'Replacement plan'!$Y$25)+'Operating costs'!$B$41*'Operating costs'!$B$43+W81*'Operating costs'!$B$15+(T81*X81/'Replacement plan'!$L$25+W81*('Operating costs'!$B$12/'Operating costs'!$B$11+('Operating costs'!$B$13+'Operating costs'!$B$14)/60)+(R81-'Operating costs'!$B$41)*(IF(T81&lt;1,'Operating costs'!$B$16,0)+'Operating costs'!$B$17)/60)*'Operating costs'!$B$19*'Operating costs'!$B$20),"n.a."))</f>
        <v>0</v>
      </c>
      <c r="N81" s="16">
        <f>IF(AND(C81=1,D81="EV",E81&lt;120,E81+'Replacement plan'!$AA$25&lt;=120),'Replacement plan'!$Z$25,0)</f>
        <v>0</v>
      </c>
      <c r="O81" s="1">
        <f>E81+'Replacement plan'!$AA$25</f>
        <v>0</v>
      </c>
      <c r="P81" s="35" t="str">
        <f>IFERROR(IF(C81=0,"Excluded",IF(OR(COUNTIFS('Fleet register'!$A$7:$A$106,A81)&lt;&gt;1,COUNTIFS('Replacement plan'!$A$7:$A$106,A81)&lt;&gt;1),"Duplicate/missing ID",IF(NOT(AND(ISNUMBER(VLOOKUP($A81,'Fleet register'!$A$7:$S$106,5,FALSE)),ISNUMBER(VLOOKUP($A81,'Fleet register'!$A$7:$S$106,6,FALSE)),ISNUMBER(VLOOKUP($A81,'Fleet register'!$A$7:$S$106,10,FALSE)),ISNUMBER(VLOOKUP($A81,'Fleet register'!$A$7:$S$106,11,FALSE)),ISNUMBER(VLOOKUP($A81,'Fleet register'!$A$7:$S$106,12,FALSE)),ISNUMBER(VLOOKUP($A81,'Fleet register'!$A$7:$S$106,13,FALSE)),ISNUMBER(VLOOKUP($A81,'Fleet register'!$A$7:$S$106,14,FALSE)),VLOOKUP($A81,'Fleet register'!$A$7:$S$106,14,FALSE)&gt;0,ISNUMBER('Replacement plan'!$C$25),OR(E81=120,ISNUMBER('Replacement plan'!$Q$25)),ISNUMBER(E81))),"Missing vehicle input",IF(OR(E81&lt;0,E81&gt;VLOOKUP($A81,'Fleet register'!$A$7:$S$106,10,FALSE),E81&gt;120,E81&lt;&gt;INT(E81),VLOOKUP($A81,'Fleet register'!$A$7:$S$106,6,FALSE)&lt;=0,VLOOKUP($A81,'Fleet register'!$A$7:$S$106,6,FALSE)&gt;366,VLOOKUP($A81,'Fleet register'!$A$7:$S$106,5,FALSE)&lt;0,VLOOKUP($A81,'Fleet register'!$A$7:$S$106,11,FALSE)&lt;0,I81&lt;0,'Operating costs'!$B$8&lt;='Operating costs'!$B$7*'Operating costs'!$B$9,'Operating costs'!$B$11&lt;=0,'Operating costs'!$B$39&gt;R81,'Operating costs'!$B$40&gt;R81,'Operating costs'!$B$41&gt;R81,NOT(OR('Replacement plan'!$O$25="Keep ICE",'Replacement plan'!$O$25="New ICE",'Replacement plan'!$O$25="EV"))),"Invalid vehicle input",IF(AND(D81="EV",E81&lt;120,OR(NOT(ISNUMBER(U81)),NOT(ISNUMBER(V81)),V81&lt;=0,T81&lt;0,T81&gt;1,'Replacement plan'!$L$25&lt;=0,'Operating costs'!$B$44&lt;0,'Operating costs'!$B$44&gt;=1,'Operating costs'!$B$47&lt;=0,'Operating costs'!$B$47&gt;1,V81*'Operating costs'!$B$47/(1-'Operating costs'!$B$44)&lt;=T81*'Operating costs'!$B$12*U81,AND('Replacement plan'!$Z$25&gt;0,OR('Replacement plan'!$AB$25&lt;&gt;"Yes",'Operating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charging'!$B$8&gt;=0))),ISNUMBER(VLOOKUP($A81,'Fleet register'!$A$7:$S$106,15,FALSE)),ISNUMBER(VLOOKUP($A81,'Fleet register'!$A$7:$S$106,16,FALSE)),ISNUMBER('Replacement plan'!$W$25),ISNUMBER('Replacement plan'!$X$25),OR(E81=120,AND(ISNUMBER(G81),G81&gt;=0)),ISNUMBER(H81),H81&gt;=0,OR(D81&lt;&gt;"EV",E81=120,AND(ISNUMBER('Operating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average",ISNUMBER(IFERROR(INDEX(Products!$P$7:$P$13,MATCH(AD81,Products!$A$7:$A$13,0)),"")))),ISNUMBER('Operating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plan'!$Y$25),ISNUMBER('Replacement plan'!$Z$25),'Replacement plan'!$Z$25&gt;=0,ISNUMBER('Replacement plan'!$AA$25),'Replacement plan'!$AA$25&gt;=0,'Replacement plan'!$AA$25=INT('Replacement plan'!$AA$25),ISNUMBER('Replacement plan'!$L$25))),'Operating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plan'!$AG$25="",'Operating costs'!$B$7,'Replacement plan'!$AG$25)),IF('Replacement plan'!$AG$25="",'Operating costs'!$B$7,'Replacement plan'!$AG$25)&gt;=0,ISNUMBER(IF('Replacement plan'!$AH$25="",'Operating costs'!$B$7,'Replacement plan'!$AH$25)),IF('Replacement plan'!$AH$25="",'Operating costs'!$B$7,'Replacement plan'!$AH$25)&gt;=0,'Operating costs'!$B$8&gt;MAX(IF('Replacement plan'!$AG$25="",'Operating costs'!$B$7,'Replacement plan'!$AG$25),IF('Replacement plan'!$AH$25="",'Operating costs'!$B$7,'Replacement plan'!$AH$25))*'Operating costs'!$B$9),IF(AND(VLOOKUP($A81,'Fleet register'!$A$7:$S$106,10,FALSE)&gt;=0,VLOOKUP($A81,'Fleet register'!$A$7:$S$106,10,FALSE)&lt;=120,VLOOKUP($A81,'Fleet register'!$A$7:$S$106,10,FALSE)=INT(VLOOKUP($A81,'Fleet register'!$A$7:$S$106,10,FALSE)),VLOOKUP($A81,'Fleet register'!$A$7:$S$106,15,FALSE)&gt;=0,VLOOKUP($A81,'Fleet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costs'!$B$67)&gt;=0,OR(D81&lt;&gt;"EV",E81=120,AND(MIN('Operating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81" s="1" t="str">
        <f>IF(C81=0,"Excluded",IF(P81&lt;&gt;"Complete",P81,IF(OR('Replacement plan'!$AD$25&lt;120-E81,AND(D81="EV",E81&lt;120,OR('Replacement plan'!$AC$25&lt;120-E81,'Replacement plan'!$I$25="No",AND(ISNUMBER(AF81),AE81&gt;AF81),AI81&gt;V81*(1-'Operating costs'!$B$46)^MAX(0,AB81-1)*(1-'Operating costs'!$B$45),AC81&gt;'Operating costs'!$B$18,AND(T81&lt;1,OR(AG81&lt;=0,AND(ISNUMBER(AH81),AG81&gt;AH81))),'Replacement plan'!$L$25&gt;INDEX(Products!$H$7:$H$13,MATCH('Replacement plan'!$B$25,Products!$A$7:$A$13,0))))),"Fails entered limits",IF(AND(D81="EV",E81&lt;120,OR(NOT(ISNUMBER(VLOOKUP($A81,'Fleet register'!$A$7:$S$106,7,FALSE))),NOT(ISNUMBER(VLOOKUP($A81,'Fleet register'!$A$7:$S$106,8,FALSE))),NOT(ISNUMBER(AF81)),'Replacement plan'!$I$25&lt;&gt;"Yes",NOT(ISNUMBER(AH81)),'Operating costs'!$B$59&lt;&gt;"Yes",'Operating costs'!$B$58&lt;&gt;"Yes")),"Unverified","Within entered limits"))))</f>
        <v>Excluded</v>
      </c>
      <c r="R81" s="1">
        <f>IF(C81=0,0,VLOOKUP($A81,'Fleet register'!$A$7:$S$106,6,FALSE))</f>
        <v>0</v>
      </c>
      <c r="S81" s="1">
        <f>IF(C81=0,0,VLOOKUP($A81,'Fleet register'!$A$7:$S$106,5,FALSE))</f>
        <v>0</v>
      </c>
      <c r="T81" s="1">
        <f>IF(D81="EV",'Energy and charging'!$B$12,0)</f>
        <v>0</v>
      </c>
      <c r="U81" s="1">
        <f>IFERROR(IF(C81=0,0,IF(D81="EV",IF('Replacement plan'!$F$25="",INDEX(Products!$E$7:$E$13,MATCH('Replacement plan'!$B$25,Products!$A$7:$A$13,0)),'Replacement plan'!$F$25)/IF('Replacement plan'!$G$25="Battery",1-'Operating costs'!$B$44,1),0)),"n.a.")</f>
        <v>0</v>
      </c>
      <c r="V81" s="1">
        <f>IFERROR(IF(C81=0,0,IF(D81="EV",IF('Replacement plan'!$E$25="",INDEX(Products!$D$7:$D$13,MATCH('Replacement plan'!$B$25,Products!$A$7:$A$13,0)),'Replacement plan'!$E$25),0)),"n.a.")</f>
        <v>0</v>
      </c>
      <c r="W81" s="1">
        <f>IF(C81=0,0,IF(AND(P81="Complete",D81="EV",E81&lt;120),IF(T81=0,0,ROUNDUP(T81*(R81-'Operating costs'!$B$41)*(S81*U81+'Operating costs'!$B$48/(1-'Operating costs'!$B$44))/(V81*'Operating costs'!$B$47/(1-'Operating costs'!$B$44)-T81*'Operating costs'!$B$12*U81),0)),0))</f>
        <v>0</v>
      </c>
      <c r="X81" s="1">
        <f>IF(C81=0,0,IF(AND(P81="Complete",D81="EV",E81&lt;120),(R81-'Operating costs'!$B$41)*(S81*U81+'Operating costs'!$B$48/(1-'Operating costs'!$B$44))+W81*'Operating costs'!$B$12*U81,0))</f>
        <v>0</v>
      </c>
      <c r="Y81" s="1">
        <f>IF(AND(C81=1,D81="EV",E81&lt;120),AI81/(1-'Operating costs'!$B$44)*(1-T81),0)</f>
        <v>0</v>
      </c>
      <c r="Z81" s="1">
        <f t="shared" si="2"/>
        <v>0</v>
      </c>
      <c r="AA81" s="1">
        <f>IF(C81=0,0,IF(P81="Complete",((S81*(R81-'Operating costs'!$B$40))+ROUNDUP(S81*(R81-'Operating costs'!$B$40)*IF('Replacement plan'!$AH$25="",'Operating costs'!$B$7,'Replacement plan'!$AH$25)/('Operating costs'!$B$8-'Operating costs'!$B$9*IF('Replacement plan'!$AH$25="",'Operating costs'!$B$7,'Replacement plan'!$AH$25)),0)*'Operating costs'!$B$9)*IF('Replacement plan'!$AH$25="",'Operating costs'!$B$7,'Replacement plan'!$AH$25),"n.a."))</f>
        <v>0</v>
      </c>
      <c r="AB81" s="1">
        <f t="shared" si="3"/>
        <v>0</v>
      </c>
      <c r="AC81" s="1">
        <f>IF(AND(C81=1,D81="EV",E81&lt;120,T81&gt;0),'Operating costs'!$B$12/'Operating costs'!$B$11*60+'Operating costs'!$B$13+'Operating costs'!$B$14+V81*'Operating costs'!$B$47/(1-'Operating costs'!$B$44)/'Replacement plan'!$L$25*60,0)</f>
        <v>0</v>
      </c>
      <c r="AD81" s="1" t="str">
        <f>'Replacement plan'!$B$25</f>
        <v>ChengLong L2EV</v>
      </c>
      <c r="AE81" s="1">
        <f>IF(C81=0,0,VLOOKUP($A81,'Fleet register'!$A$7:$S$106,8,FALSE))</f>
        <v>0</v>
      </c>
      <c r="AF81" s="1" t="str">
        <f>IF('Replacement plan'!$H$25="","n.a.",'Replacement plan'!$H$25)</f>
        <v>n.a.</v>
      </c>
      <c r="AG81" s="1">
        <f>'Replacement plan'!$J$25</f>
        <v>22</v>
      </c>
      <c r="AH81" s="1">
        <f>IFERROR(IF(D81="EV",IF('Replacement plan'!$K$25="AC",IF(ISNUMBER(INDEX(Products!$G$7:$G$13,MATCH('Replacement plan'!$B$25,Products!$A$7:$A$13,0))),INDEX(Products!$G$7:$G$13,MATCH('Replacement plan'!$B$25,Products!$A$7:$A$13,0)),"n.a."),IF(ISNUMBER(INDEX(Products!$H$7:$H$13,MATCH('Replacement plan'!$B$25,Products!$A$7:$A$13,0))),INDEX(Products!$H$7:$H$13,MATCH('Replacement plan'!$B$25,Products!$A$7:$A$13,0)),"n.a.")),0),"n.a.")</f>
        <v>0</v>
      </c>
      <c r="AI81" s="1">
        <f>IF(AND(C81=1,D81="EV",E81&lt;120),(VLOOKUP($A81,'Fleet register'!$A$7:$S$106,7,FALSE)+IF(T81&gt;0,'Operating costs'!$B$12,0))*U81*(1-'Operating costs'!$B$44)+'Operating costs'!$B$49,0)</f>
        <v>0</v>
      </c>
      <c r="AJ81" s="1">
        <f>IF(D81="EV",'Energy and charging'!$B$50,0)</f>
        <v>0</v>
      </c>
      <c r="AK81" s="17">
        <f>EDATE('Operating costs'!$B$63,E81)</f>
        <v>46298</v>
      </c>
      <c r="AL81" s="1">
        <f>IFERROR(IF(D81="EV",INDEX(Products!$B$7:$B$13,MATCH('Replacement plan'!$B$25,Products!$A$7:$A$13,0)),0),"n.a.")</f>
        <v>0</v>
      </c>
      <c r="AM81" s="1" t="str">
        <f>'Replacement plan'!$K$25</f>
        <v>DC</v>
      </c>
      <c r="AN81" s="1" t="str">
        <f>'Replacement plan'!$AE$25</f>
        <v>Assumed</v>
      </c>
      <c r="AO81" s="47">
        <f>IF(AND(C81=1,D81="EV",E81&lt;120),(R81-'Operating costs'!$B$41)*S81+W81*'Operating costs'!$B$12,0)</f>
        <v>0</v>
      </c>
      <c r="AP81" s="41">
        <f>IF(AND(C81=1,D81="EV",E81&lt;120),IF('Operating costs'!$B$68="Hong Seh 200k average",AO81*IFERROR(INDEX(Products!$P$7:$P$13,MATCH(AD81,Products!$A$7:$A$13,0)),"n.a."),'Operating costs'!$B$26),0)</f>
        <v>0</v>
      </c>
      <c r="AQ81" s="40" t="str">
        <f>IF(D81="EV",'Operating costs'!$B$68,"Not applicable")</f>
        <v>Not applicable</v>
      </c>
    </row>
    <row r="82" spans="1:43" ht="24" customHeight="1">
      <c r="A82" s="1" t="str">
        <f>'Replacement plan'!A25</f>
        <v>T019</v>
      </c>
      <c r="B82" s="1">
        <v>3</v>
      </c>
      <c r="C82" s="1">
        <f>IF(COUNTIFS('Fleet register'!$A$7:$A$106,$A82)=1,VLOOKUP($A82,'Fleet register'!$A$7:$S$106,2,FALSE),0)</f>
        <v>0</v>
      </c>
      <c r="D82" s="1" t="str">
        <f>IF('Replacement plan'!$R$25="EV","EV","ICE")</f>
        <v>ICE</v>
      </c>
      <c r="E82" s="1">
        <f>IF(C82=0,0,IF('Replacement plan'!$S$25="",IF('Replacement plan'!$R$25="Keep ICE",IF('Replacement plan'!$M$25="",VLOOKUP($A82,'Fleet register'!$A$7:$S$106,10,FALSE),'Replacement plan'!$M$25),0),'Replacement plan'!$S$25))</f>
        <v>0</v>
      </c>
      <c r="F82" s="16">
        <f>IF(C82=0,0,VLOOKUP($A82,'Fleet register'!$A$7:$S$106,11,FALSE))</f>
        <v>0</v>
      </c>
      <c r="G82" s="16">
        <f>IFERROR(IF(C82=0,0,IF(E82=120,0,IF(D82="ICE",'Replacement plan'!$C$25,IF('Replacement plan'!$D$25="",INDEX(Products!$I$7:$I$13,MATCH('Replacement plan'!$B$25,Products!$A$7:$A$13,0))+'Operating costs'!$B$57,'Replacement plan'!$D$25))*(1+'Operating costs'!$B$50)^(E82/12))),"n.a.")</f>
        <v>0</v>
      </c>
      <c r="H82" s="16">
        <f>IFERROR(IF(C82=0,0,IF('Replacement plan'!$V$25&lt;&gt;"",'Replacement plan'!$V$25,IF(E82=0,F82,VLOOKUP($A82,'Fleet register'!$A$7:$S$106,12,FALSE)+VLOOKUP($A82,'Fleet register'!$A$7:$S$106,13,FALSE)*MAX(0,VLOOKUP($A82,'Fleet register'!$A$7:$S$106,10,FALSE)-E82)/VLOOKUP($A82,'Fleet register'!$A$7:$S$106,14,FALSE)))),"n.a.")</f>
        <v>0</v>
      </c>
      <c r="I82" s="16">
        <f>IF(C82=0,0,IF(E82=120,0,'Replacement plan'!$T$25))</f>
        <v>0</v>
      </c>
      <c r="J82" s="16">
        <f>IF(C82=0,0,IF(P82="Complete",((S82*(R82-'Operating costs'!$B$39))+ROUNDUP(S82*(R82-'Operating costs'!$B$39)*IF('Replacement plan'!$AG$25="",'Operating costs'!$B$7,'Replacement plan'!$AG$25)/('Operating costs'!$B$8-'Operating costs'!$B$9*IF('Replacement plan'!$AG$25="",'Operating costs'!$B$7,'Replacement plan'!$AG$25)),0)*'Operating costs'!$B$9)*IF('Replacement plan'!$AG$25="",'Operating costs'!$B$7,'Replacement plan'!$AG$25)*('Energy and charging'!$C$9*'Energy and charging'!$C$7+(1-'Energy and charging'!$C$9)*'Energy and charging'!$C$8)*'Operating costs'!$B$23,"n.a."))</f>
        <v>0</v>
      </c>
      <c r="K82" s="16">
        <f>IF(C82=0,0,IF(P82="Complete",SUM('Operating costs'!$B$24,'Operating costs'!$B$27,'Operating costs'!$B$29,'Operating costs'!$B$31,'Operating costs'!$B$33,'Operating costs'!$B$34,'Operating costs'!$B$37,'Replacement plan'!$W$25)+'Operating costs'!$B$39*'Operating costs'!$B$42+ROUNDUP(S82*(R82-'Operating costs'!$B$39)*IF('Replacement plan'!$AG$25="",'Operating costs'!$B$7,'Replacement plan'!$AG$25)/('Operating costs'!$B$8-'Operating costs'!$B$9*IF('Replacement plan'!$AG$25="",'Operating costs'!$B$7,'Replacement plan'!$AG$25)),0)*('Operating costs'!$B$9/'Operating costs'!$B$11+'Operating costs'!$B$10/60)*'Operating costs'!$B$19*'Operating costs'!$B$21,"n.a."))</f>
        <v>0</v>
      </c>
      <c r="L82" s="16">
        <f>IF(C82=0,0,IF(P82="Complete",IF(D82="EV",X82*((1-T82)*'Energy and charging'!$C$10+T82*'Energy and charging'!$C$11)*'Operating costs'!$B$22,AA82*('Energy and charging'!$C$9*'Energy and charging'!$C$7+(1-'Energy and charging'!$C$9)*'Energy and charging'!$C$8)*'Operating costs'!$B$23),"n.a."))</f>
        <v>0</v>
      </c>
      <c r="M82" s="37">
        <f>IF(C82=0,0,IF(P82="Complete",IF(D82="ICE",SUM('Operating costs'!$B$25,'Operating costs'!$B$27,'Operating costs'!$B$29,'Operating costs'!$B$31,'Operating costs'!$B$33,'Operating costs'!$B$35,'Operating costs'!$B$37,'Replacement plan'!$X$25)+'Operating costs'!$B$40*'Operating costs'!$B$42+ROUNDUP(S82*(R82-'Operating costs'!$B$40)*IF('Replacement plan'!$AH$25="",'Operating costs'!$B$7,'Replacement plan'!$AH$25)/('Operating costs'!$B$8-'Operating costs'!$B$9*IF('Replacement plan'!$AH$25="",'Operating costs'!$B$7,'Replacement plan'!$AH$25)),0)*('Operating costs'!$B$9/'Operating costs'!$B$11+'Operating costs'!$B$10/60)*'Operating costs'!$B$19*'Operating costs'!$B$21,SUM(AP82,'Operating costs'!$B$28,'Operating costs'!$B$30,'Operating costs'!$B$32,'Operating costs'!$B$33,'Operating costs'!$B$36,'Operating costs'!$B$38,'Replacement plan'!$Y$25)+'Operating costs'!$B$41*'Operating costs'!$B$43+W82*'Operating costs'!$B$15+(T82*X82/'Replacement plan'!$L$25+W82*('Operating costs'!$B$12/'Operating costs'!$B$11+('Operating costs'!$B$13+'Operating costs'!$B$14)/60)+(R82-'Operating costs'!$B$41)*(IF(T82&lt;1,'Operating costs'!$B$16,0)+'Operating costs'!$B$17)/60)*'Operating costs'!$B$19*'Operating costs'!$B$20),"n.a."))</f>
        <v>0</v>
      </c>
      <c r="N82" s="16">
        <f>IF(AND(C82=1,D82="EV",E82&lt;120,E82+'Replacement plan'!$AA$25&lt;=120),'Replacement plan'!$Z$25,0)</f>
        <v>0</v>
      </c>
      <c r="O82" s="1">
        <f>E82+'Replacement plan'!$AA$25</f>
        <v>0</v>
      </c>
      <c r="P82" s="35" t="str">
        <f>IFERROR(IF(C82=0,"Excluded",IF(OR(COUNTIFS('Fleet register'!$A$7:$A$106,A82)&lt;&gt;1,COUNTIFS('Replacement plan'!$A$7:$A$106,A82)&lt;&gt;1),"Duplicate/missing ID",IF(NOT(AND(ISNUMBER(VLOOKUP($A82,'Fleet register'!$A$7:$S$106,5,FALSE)),ISNUMBER(VLOOKUP($A82,'Fleet register'!$A$7:$S$106,6,FALSE)),ISNUMBER(VLOOKUP($A82,'Fleet register'!$A$7:$S$106,10,FALSE)),ISNUMBER(VLOOKUP($A82,'Fleet register'!$A$7:$S$106,11,FALSE)),ISNUMBER(VLOOKUP($A82,'Fleet register'!$A$7:$S$106,12,FALSE)),ISNUMBER(VLOOKUP($A82,'Fleet register'!$A$7:$S$106,13,FALSE)),ISNUMBER(VLOOKUP($A82,'Fleet register'!$A$7:$S$106,14,FALSE)),VLOOKUP($A82,'Fleet register'!$A$7:$S$106,14,FALSE)&gt;0,ISNUMBER('Replacement plan'!$C$25),OR(E82=120,ISNUMBER('Replacement plan'!$T$25)),ISNUMBER(E82))),"Missing vehicle input",IF(OR(E82&lt;0,E82&gt;VLOOKUP($A82,'Fleet register'!$A$7:$S$106,10,FALSE),E82&gt;120,E82&lt;&gt;INT(E82),VLOOKUP($A82,'Fleet register'!$A$7:$S$106,6,FALSE)&lt;=0,VLOOKUP($A82,'Fleet register'!$A$7:$S$106,6,FALSE)&gt;366,VLOOKUP($A82,'Fleet register'!$A$7:$S$106,5,FALSE)&lt;0,VLOOKUP($A82,'Fleet register'!$A$7:$S$106,11,FALSE)&lt;0,I82&lt;0,'Operating costs'!$B$8&lt;='Operating costs'!$B$7*'Operating costs'!$B$9,'Operating costs'!$B$11&lt;=0,'Operating costs'!$B$39&gt;R82,'Operating costs'!$B$40&gt;R82,'Operating costs'!$B$41&gt;R82,NOT(OR('Replacement plan'!$R$25="Keep ICE",'Replacement plan'!$R$25="New ICE",'Replacement plan'!$R$25="EV"))),"Invalid vehicle input",IF(AND(D82="EV",E82&lt;120,OR(NOT(ISNUMBER(U82)),NOT(ISNUMBER(V82)),V82&lt;=0,T82&lt;0,T82&gt;1,'Replacement plan'!$L$25&lt;=0,'Operating costs'!$B$44&lt;0,'Operating costs'!$B$44&gt;=1,'Operating costs'!$B$47&lt;=0,'Operating costs'!$B$47&gt;1,V82*'Operating costs'!$B$47/(1-'Operating costs'!$B$44)&lt;=T82*'Operating costs'!$B$12*U82,AND('Replacement plan'!$Z$25&gt;0,OR('Replacement plan'!$AB$25&lt;&gt;"Yes",'Operating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charging'!$C$8&gt;=0))),ISNUMBER(VLOOKUP($A82,'Fleet register'!$A$7:$S$106,15,FALSE)),ISNUMBER(VLOOKUP($A82,'Fleet register'!$A$7:$S$106,16,FALSE)),ISNUMBER('Replacement plan'!$W$25),ISNUMBER('Replacement plan'!$X$25),OR(E82=120,AND(ISNUMBER(G82),G82&gt;=0)),ISNUMBER(H82),H82&gt;=0,OR(D82&lt;&gt;"EV",E82=120,AND(ISNUMBER('Operating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average",ISNUMBER(IFERROR(INDEX(Products!$P$7:$P$13,MATCH(AD82,Products!$A$7:$A$13,0)),"")))),ISNUMBER('Operating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plan'!$Y$25),ISNUMBER('Replacement plan'!$Z$25),'Replacement plan'!$Z$25&gt;=0,ISNUMBER('Replacement plan'!$AA$25),'Replacement plan'!$AA$25&gt;=0,'Replacement plan'!$AA$25=INT('Replacement plan'!$AA$25),ISNUMBER('Replacement plan'!$L$25))),'Operating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plan'!$AG$25="",'Operating costs'!$B$7,'Replacement plan'!$AG$25)),IF('Replacement plan'!$AG$25="",'Operating costs'!$B$7,'Replacement plan'!$AG$25)&gt;=0,ISNUMBER(IF('Replacement plan'!$AH$25="",'Operating costs'!$B$7,'Replacement plan'!$AH$25)),IF('Replacement plan'!$AH$25="",'Operating costs'!$B$7,'Replacement plan'!$AH$25)&gt;=0,'Operating costs'!$B$8&gt;MAX(IF('Replacement plan'!$AG$25="",'Operating costs'!$B$7,'Replacement plan'!$AG$25),IF('Replacement plan'!$AH$25="",'Operating costs'!$B$7,'Replacement plan'!$AH$25))*'Operating costs'!$B$9),IF(AND(VLOOKUP($A82,'Fleet register'!$A$7:$S$106,10,FALSE)&gt;=0,VLOOKUP($A82,'Fleet register'!$A$7:$S$106,10,FALSE)&lt;=120,VLOOKUP($A82,'Fleet register'!$A$7:$S$106,10,FALSE)=INT(VLOOKUP($A82,'Fleet register'!$A$7:$S$106,10,FALSE)),VLOOKUP($A82,'Fleet register'!$A$7:$S$106,15,FALSE)&gt;=0,VLOOKUP($A82,'Fleet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costs'!$B$67)&gt;=0,OR(D82&lt;&gt;"EV",E82=120,AND(MIN('Operating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82" s="1" t="str">
        <f>IF(C82=0,"Excluded",IF(P82&lt;&gt;"Complete",P82,IF(OR('Replacement plan'!$AD$25&lt;120-E82,AND(D82="EV",E82&lt;120,OR('Replacement plan'!$AC$25&lt;120-E82,'Replacement plan'!$I$25="No",AND(ISNUMBER(AF82),AE82&gt;AF82),AI82&gt;V82*(1-'Operating costs'!$B$46)^MAX(0,AB82-1)*(1-'Operating costs'!$B$45),AC82&gt;'Operating costs'!$B$18,AND(T82&lt;1,OR(AG82&lt;=0,AND(ISNUMBER(AH82),AG82&gt;AH82))),'Replacement plan'!$L$25&gt;INDEX(Products!$H$7:$H$13,MATCH('Replacement plan'!$B$25,Products!$A$7:$A$13,0))))),"Fails entered limits",IF(AND(D82="EV",E82&lt;120,OR(NOT(ISNUMBER(VLOOKUP($A82,'Fleet register'!$A$7:$S$106,7,FALSE))),NOT(ISNUMBER(VLOOKUP($A82,'Fleet register'!$A$7:$S$106,8,FALSE))),NOT(ISNUMBER(AF82)),'Replacement plan'!$I$25&lt;&gt;"Yes",NOT(ISNUMBER(AH82)),'Operating costs'!$B$59&lt;&gt;"Yes",'Operating costs'!$B$58&lt;&gt;"Yes")),"Unverified","Within entered limits"))))</f>
        <v>Excluded</v>
      </c>
      <c r="R82" s="1">
        <f>IF(C82=0,0,VLOOKUP($A82,'Fleet register'!$A$7:$S$106,6,FALSE))</f>
        <v>0</v>
      </c>
      <c r="S82" s="1">
        <f>IF(C82=0,0,VLOOKUP($A82,'Fleet register'!$A$7:$S$106,5,FALSE))</f>
        <v>0</v>
      </c>
      <c r="T82" s="1">
        <f>IF(D82="EV",'Energy and charging'!$C$12,0)</f>
        <v>0</v>
      </c>
      <c r="U82" s="1">
        <f>IFERROR(IF(C82=0,0,IF(D82="EV",IF('Replacement plan'!$F$25="",INDEX(Products!$E$7:$E$13,MATCH('Replacement plan'!$B$25,Products!$A$7:$A$13,0)),'Replacement plan'!$F$25)/IF('Replacement plan'!$G$25="Battery",1-'Operating costs'!$B$44,1),0)),"n.a.")</f>
        <v>0</v>
      </c>
      <c r="V82" s="1">
        <f>IFERROR(IF(C82=0,0,IF(D82="EV",IF('Replacement plan'!$E$25="",INDEX(Products!$D$7:$D$13,MATCH('Replacement plan'!$B$25,Products!$A$7:$A$13,0)),'Replacement plan'!$E$25),0)),"n.a.")</f>
        <v>0</v>
      </c>
      <c r="W82" s="1">
        <f>IF(C82=0,0,IF(AND(P82="Complete",D82="EV",E82&lt;120),IF(T82=0,0,ROUNDUP(T82*(R82-'Operating costs'!$B$41)*(S82*U82+'Operating costs'!$B$48/(1-'Operating costs'!$B$44))/(V82*'Operating costs'!$B$47/(1-'Operating costs'!$B$44)-T82*'Operating costs'!$B$12*U82),0)),0))</f>
        <v>0</v>
      </c>
      <c r="X82" s="1">
        <f>IF(C82=0,0,IF(AND(P82="Complete",D82="EV",E82&lt;120),(R82-'Operating costs'!$B$41)*(S82*U82+'Operating costs'!$B$48/(1-'Operating costs'!$B$44))+W82*'Operating costs'!$B$12*U82,0))</f>
        <v>0</v>
      </c>
      <c r="Y82" s="1">
        <f>IF(AND(C82=1,D82="EV",E82&lt;120),AI82/(1-'Operating costs'!$B$44)*(1-T82),0)</f>
        <v>0</v>
      </c>
      <c r="Z82" s="1">
        <f t="shared" si="2"/>
        <v>0</v>
      </c>
      <c r="AA82" s="1">
        <f>IF(C82=0,0,IF(P82="Complete",((S82*(R82-'Operating costs'!$B$40))+ROUNDUP(S82*(R82-'Operating costs'!$B$40)*IF('Replacement plan'!$AH$25="",'Operating costs'!$B$7,'Replacement plan'!$AH$25)/('Operating costs'!$B$8-'Operating costs'!$B$9*IF('Replacement plan'!$AH$25="",'Operating costs'!$B$7,'Replacement plan'!$AH$25)),0)*'Operating costs'!$B$9)*IF('Replacement plan'!$AH$25="",'Operating costs'!$B$7,'Replacement plan'!$AH$25),"n.a."))</f>
        <v>0</v>
      </c>
      <c r="AB82" s="1">
        <f t="shared" si="3"/>
        <v>0</v>
      </c>
      <c r="AC82" s="1">
        <f>IF(AND(C82=1,D82="EV",E82&lt;120,T82&gt;0),'Operating costs'!$B$12/'Operating costs'!$B$11*60+'Operating costs'!$B$13+'Operating costs'!$B$14+V82*'Operating costs'!$B$47/(1-'Operating costs'!$B$44)/'Replacement plan'!$L$25*60,0)</f>
        <v>0</v>
      </c>
      <c r="AD82" s="1" t="str">
        <f>'Replacement plan'!$B$25</f>
        <v>ChengLong L2EV</v>
      </c>
      <c r="AE82" s="1">
        <f>IF(C82=0,0,VLOOKUP($A82,'Fleet register'!$A$7:$S$106,8,FALSE))</f>
        <v>0</v>
      </c>
      <c r="AF82" s="1" t="str">
        <f>IF('Replacement plan'!$H$25="","n.a.",'Replacement plan'!$H$25)</f>
        <v>n.a.</v>
      </c>
      <c r="AG82" s="1">
        <f>'Replacement plan'!$J$25</f>
        <v>22</v>
      </c>
      <c r="AH82" s="1">
        <f>IFERROR(IF(D82="EV",IF('Replacement plan'!$K$25="AC",IF(ISNUMBER(INDEX(Products!$G$7:$G$13,MATCH('Replacement plan'!$B$25,Products!$A$7:$A$13,0))),INDEX(Products!$G$7:$G$13,MATCH('Replacement plan'!$B$25,Products!$A$7:$A$13,0)),"n.a."),IF(ISNUMBER(INDEX(Products!$H$7:$H$13,MATCH('Replacement plan'!$B$25,Products!$A$7:$A$13,0))),INDEX(Products!$H$7:$H$13,MATCH('Replacement plan'!$B$25,Products!$A$7:$A$13,0)),"n.a.")),0),"n.a.")</f>
        <v>0</v>
      </c>
      <c r="AI82" s="1">
        <f>IF(AND(C82=1,D82="EV",E82&lt;120),(VLOOKUP($A82,'Fleet register'!$A$7:$S$106,7,FALSE)+IF(T82&gt;0,'Operating costs'!$B$12,0))*U82*(1-'Operating costs'!$B$44)+'Operating costs'!$B$49,0)</f>
        <v>0</v>
      </c>
      <c r="AJ82" s="1">
        <f>IF(D82="EV",'Energy and charging'!$C$50,0)</f>
        <v>0</v>
      </c>
      <c r="AK82" s="17">
        <f>EDATE('Operating costs'!$B$63,E82)</f>
        <v>46298</v>
      </c>
      <c r="AL82" s="1">
        <f>IFERROR(IF(D82="EV",INDEX(Products!$B$7:$B$13,MATCH('Replacement plan'!$B$25,Products!$A$7:$A$13,0)),0),"n.a.")</f>
        <v>0</v>
      </c>
      <c r="AM82" s="1" t="str">
        <f>'Replacement plan'!$K$25</f>
        <v>DC</v>
      </c>
      <c r="AN82" s="1" t="str">
        <f>'Replacement plan'!$AE$25</f>
        <v>Assumed</v>
      </c>
      <c r="AO82" s="47">
        <f>IF(AND(C82=1,D82="EV",E82&lt;120),(R82-'Operating costs'!$B$41)*S82+W82*'Operating costs'!$B$12,0)</f>
        <v>0</v>
      </c>
      <c r="AP82" s="41">
        <f>IF(AND(C82=1,D82="EV",E82&lt;120),IF('Operating costs'!$B$68="Hong Seh 200k average",AO82*IFERROR(INDEX(Products!$P$7:$P$13,MATCH(AD82,Products!$A$7:$A$13,0)),"n.a."),'Operating costs'!$B$26),0)</f>
        <v>0</v>
      </c>
      <c r="AQ82" s="40" t="str">
        <f>IF(D82="EV",'Operating costs'!$B$68,"Not applicable")</f>
        <v>Not applicable</v>
      </c>
    </row>
    <row r="83" spans="1:43" ht="24" customHeight="1">
      <c r="A83" s="1" t="str">
        <f>'Replacement plan'!A26</f>
        <v>T020</v>
      </c>
      <c r="B83" s="1">
        <v>0</v>
      </c>
      <c r="C83" s="1">
        <f>IF(COUNTIFS('Fleet register'!$A$7:$A$106,$A83)=1,VLOOKUP($A83,'Fleet register'!$A$7:$S$106,2,FALSE),0)</f>
        <v>0</v>
      </c>
      <c r="D83" s="1" t="str">
        <f>IF("Keep ICE"="EV","EV","ICE")</f>
        <v>ICE</v>
      </c>
      <c r="E83" s="1">
        <f>IF(C83=0,0,IF('Replacement plan'!$M$26="",VLOOKUP($A83,'Fleet register'!$A$7:$S$106,10,FALSE),'Replacement plan'!$M$26))</f>
        <v>0</v>
      </c>
      <c r="F83" s="16">
        <f>IF(C83=0,0,VLOOKUP($A83,'Fleet register'!$A$7:$S$106,11,FALSE))</f>
        <v>0</v>
      </c>
      <c r="G83" s="16">
        <f>IFERROR(IF(C83=0,0,IF(E83=120,0,IF(D83="ICE",'Replacement plan'!$C$26,IF('Replacement plan'!$D$26="",INDEX(Products!$I$7:$I$13,MATCH('Replacement plan'!$B$26,Products!$A$7:$A$13,0))+'Operating costs'!$B$57,'Replacement plan'!$D$26))*(1+'Operating costs'!$B$50)^(E83/12))),"n.a.")</f>
        <v>0</v>
      </c>
      <c r="H83" s="16">
        <f>IFERROR(IF(C83=0,0,IF(E83=0,F83,VLOOKUP($A83,'Fleet register'!$A$7:$S$106,12,FALSE)+VLOOKUP($A83,'Fleet register'!$A$7:$S$106,13,FALSE)*MAX(0,VLOOKUP($A83,'Fleet register'!$A$7:$S$106,10,FALSE)-E83)/VLOOKUP($A83,'Fleet register'!$A$7:$S$106,14,FALSE))),"n.a.")</f>
        <v>0</v>
      </c>
      <c r="I83" s="16">
        <f>IF(C83=0,0,IF(E83=120,0,'Replacement plan'!$N$26))</f>
        <v>0</v>
      </c>
      <c r="J83" s="16">
        <f>IF(C83=0,0,IF(P83="Complete",((S83*(R83-'Operating costs'!$B$39))+ROUNDUP(S83*(R83-'Operating costs'!$B$39)*IF('Replacement plan'!$AG$26="",'Operating costs'!$B$7,'Replacement plan'!$AG$26)/('Operating costs'!$B$8-'Operating costs'!$B$9*IF('Replacement plan'!$AG$26="",'Operating costs'!$B$7,'Replacement plan'!$AG$26)),0)*'Operating costs'!$B$9)*IF('Replacement plan'!$AG$26="",'Operating costs'!$B$7,'Replacement plan'!$AG$26)*('Energy and charging'!$B$9*'Energy and charging'!$B$7+(1-'Energy and charging'!$B$9)*'Energy and charging'!$B$8)*'Operating costs'!$B$23,"n.a."))</f>
        <v>0</v>
      </c>
      <c r="K83" s="16">
        <f>IF(C83=0,0,IF(P83="Complete",SUM('Operating costs'!$B$24,'Operating costs'!$B$27,'Operating costs'!$B$29,'Operating costs'!$B$31,'Operating costs'!$B$33,'Operating costs'!$B$34,'Operating costs'!$B$37,'Replacement plan'!$W$26)+'Operating costs'!$B$39*'Operating costs'!$B$42+ROUNDUP(S83*(R83-'Operating costs'!$B$39)*IF('Replacement plan'!$AG$26="",'Operating costs'!$B$7,'Replacement plan'!$AG$26)/('Operating costs'!$B$8-'Operating costs'!$B$9*IF('Replacement plan'!$AG$26="",'Operating costs'!$B$7,'Replacement plan'!$AG$26)),0)*('Operating costs'!$B$9/'Operating costs'!$B$11+'Operating costs'!$B$10/60)*'Operating costs'!$B$19*'Operating costs'!$B$21,"n.a."))</f>
        <v>0</v>
      </c>
      <c r="L83" s="16">
        <f>IF(C83=0,0,IF(P83="Complete",IF(D83="EV",X83*((1-T83)*'Energy and charging'!$B$10+T83*'Energy and charging'!$B$11)*'Operating costs'!$B$22,AA83*('Energy and charging'!$B$9*'Energy and charging'!$B$7+(1-'Energy and charging'!$B$9)*'Energy and charging'!$B$8)*'Operating costs'!$B$23),"n.a."))</f>
        <v>0</v>
      </c>
      <c r="M83" s="37">
        <f>IF(C83=0,0,IF(P83="Complete",IF(D83="ICE",SUM('Operating costs'!$B$25,'Operating costs'!$B$27,'Operating costs'!$B$29,'Operating costs'!$B$31,'Operating costs'!$B$33,'Operating costs'!$B$35,'Operating costs'!$B$37,'Replacement plan'!$X$26)+'Operating costs'!$B$40*'Operating costs'!$B$42+ROUNDUP(S83*(R83-'Operating costs'!$B$40)*IF('Replacement plan'!$AH$26="",'Operating costs'!$B$7,'Replacement plan'!$AH$26)/('Operating costs'!$B$8-'Operating costs'!$B$9*IF('Replacement plan'!$AH$26="",'Operating costs'!$B$7,'Replacement plan'!$AH$26)),0)*('Operating costs'!$B$9/'Operating costs'!$B$11+'Operating costs'!$B$10/60)*'Operating costs'!$B$19*'Operating costs'!$B$21,SUM(AP83,'Operating costs'!$B$28,'Operating costs'!$B$30,'Operating costs'!$B$32,'Operating costs'!$B$33,'Operating costs'!$B$36,'Operating costs'!$B$38,'Replacement plan'!$Y$26)+'Operating costs'!$B$41*'Operating costs'!$B$43+W83*'Operating costs'!$B$15+(T83*X83/'Replacement plan'!$L$26+W83*('Operating costs'!$B$12/'Operating costs'!$B$11+('Operating costs'!$B$13+'Operating costs'!$B$14)/60)+(R83-'Operating costs'!$B$41)*(IF(T83&lt;1,'Operating costs'!$B$16,0)+'Operating costs'!$B$17)/60)*'Operating costs'!$B$19*'Operating costs'!$B$20),"n.a."))</f>
        <v>0</v>
      </c>
      <c r="N83" s="16">
        <f>IF(AND(C83=1,D83="EV",E83&lt;120,E83+'Replacement plan'!$AA$26&lt;=120),'Replacement plan'!$Z$26,0)</f>
        <v>0</v>
      </c>
      <c r="O83" s="1">
        <f>E83+'Replacement plan'!$AA$26</f>
        <v>0</v>
      </c>
      <c r="P83" s="35" t="str">
        <f>IFERROR(IF(C83=0,"Excluded",IF(OR(COUNTIFS('Fleet register'!$A$7:$A$106,A83)&lt;&gt;1,COUNTIFS('Replacement plan'!$A$7:$A$106,A83)&lt;&gt;1),"Duplicate/missing ID",IF(NOT(AND(ISNUMBER(VLOOKUP($A83,'Fleet register'!$A$7:$S$106,5,FALSE)),ISNUMBER(VLOOKUP($A83,'Fleet register'!$A$7:$S$106,6,FALSE)),ISNUMBER(VLOOKUP($A83,'Fleet register'!$A$7:$S$106,10,FALSE)),ISNUMBER(VLOOKUP($A83,'Fleet register'!$A$7:$S$106,11,FALSE)),ISNUMBER(VLOOKUP($A83,'Fleet register'!$A$7:$S$106,12,FALSE)),ISNUMBER(VLOOKUP($A83,'Fleet register'!$A$7:$S$106,13,FALSE)),ISNUMBER(VLOOKUP($A83,'Fleet register'!$A$7:$S$106,14,FALSE)),VLOOKUP($A83,'Fleet register'!$A$7:$S$106,14,FALSE)&gt;0,ISNUMBER('Replacement plan'!$C$26),OR(E83=120,ISNUMBER('Replacement plan'!$N$26)),ISNUMBER(E83))),"Missing vehicle input",IF(OR(E83&lt;0,E83&gt;VLOOKUP($A83,'Fleet register'!$A$7:$S$106,10,FALSE),E83&gt;120,E83&lt;&gt;INT(E83),VLOOKUP($A83,'Fleet register'!$A$7:$S$106,6,FALSE)&lt;=0,VLOOKUP($A83,'Fleet register'!$A$7:$S$106,6,FALSE)&gt;366,VLOOKUP($A83,'Fleet register'!$A$7:$S$106,5,FALSE)&lt;0,VLOOKUP($A83,'Fleet register'!$A$7:$S$106,11,FALSE)&lt;0,I83&lt;0,'Operating costs'!$B$8&lt;='Operating costs'!$B$7*'Operating costs'!$B$9,'Operating costs'!$B$11&lt;=0,'Operating costs'!$B$39&gt;R83,'Operating costs'!$B$40&gt;R83,'Operating costs'!$B$41&gt;R83,NOT(OR("Keep ICE"="Keep ICE","Keep ICE"="New ICE","Keep ICE"="EV"))),"Invalid vehicle input",IF(AND(D83="EV",E83&lt;120,OR(NOT(ISNUMBER(U83)),NOT(ISNUMBER(V83)),V83&lt;=0,T83&lt;0,T83&gt;1,'Replacement plan'!$L$26&lt;=0,'Operating costs'!$B$44&lt;0,'Operating costs'!$B$44&gt;=1,'Operating costs'!$B$47&lt;=0,'Operating costs'!$B$47&gt;1,V83*'Operating costs'!$B$47/(1-'Operating costs'!$B$44)&lt;=T83*'Operating costs'!$B$12*U83,AND('Replacement plan'!$Z$26&gt;0,OR('Replacement plan'!$AB$26&lt;&gt;"Yes",'Operating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charging'!$B$8&gt;=0))),ISNUMBER(VLOOKUP($A83,'Fleet register'!$A$7:$S$106,15,FALSE)),ISNUMBER(VLOOKUP($A83,'Fleet register'!$A$7:$S$106,16,FALSE)),ISNUMBER('Replacement plan'!$W$26),ISNUMBER('Replacement plan'!$X$26),OR(E83=120,AND(ISNUMBER(G83),G83&gt;=0)),ISNUMBER(H83),H83&gt;=0,OR(D83&lt;&gt;"EV",E83=120,AND(ISNUMBER('Operating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average",ISNUMBER(IFERROR(INDEX(Products!$P$7:$P$13,MATCH(AD83,Products!$A$7:$A$13,0)),"")))),ISNUMBER('Operating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plan'!$Y$26),ISNUMBER('Replacement plan'!$Z$26),'Replacement plan'!$Z$26&gt;=0,ISNUMBER('Replacement plan'!$AA$26),'Replacement plan'!$AA$26&gt;=0,'Replacement plan'!$AA$26=INT('Replacement plan'!$AA$26),ISNUMBER('Replacement plan'!$L$26))),'Operating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plan'!$AG$26="",'Operating costs'!$B$7,'Replacement plan'!$AG$26)),IF('Replacement plan'!$AG$26="",'Operating costs'!$B$7,'Replacement plan'!$AG$26)&gt;=0,ISNUMBER(IF('Replacement plan'!$AH$26="",'Operating costs'!$B$7,'Replacement plan'!$AH$26)),IF('Replacement plan'!$AH$26="",'Operating costs'!$B$7,'Replacement plan'!$AH$26)&gt;=0,'Operating costs'!$B$8&gt;MAX(IF('Replacement plan'!$AG$26="",'Operating costs'!$B$7,'Replacement plan'!$AG$26),IF('Replacement plan'!$AH$26="",'Operating costs'!$B$7,'Replacement plan'!$AH$26))*'Operating costs'!$B$9),IF(AND(VLOOKUP($A83,'Fleet register'!$A$7:$S$106,10,FALSE)&gt;=0,VLOOKUP($A83,'Fleet register'!$A$7:$S$106,10,FALSE)&lt;=120,VLOOKUP($A83,'Fleet register'!$A$7:$S$106,10,FALSE)=INT(VLOOKUP($A83,'Fleet register'!$A$7:$S$106,10,FALSE)),VLOOKUP($A83,'Fleet register'!$A$7:$S$106,15,FALSE)&gt;=0,VLOOKUP($A83,'Fleet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costs'!$B$67)&gt;=0,OR(D83&lt;&gt;"EV",E83=120,AND(MIN('Operating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83" s="1" t="str">
        <f>IF(C83=0,"Excluded",IF(P83&lt;&gt;"Complete",P83,IF(OR('Replacement plan'!$AD$26&lt;120-E83,AND(D83="EV",E83&lt;120,OR('Replacement plan'!$AC$26&lt;120-E83,'Replacement plan'!$I$26="No",AND(ISNUMBER(AF83),AE83&gt;AF83),AI83&gt;V83*(1-'Operating costs'!$B$46)^MAX(0,AB83-1)*(1-'Operating costs'!$B$45),AC83&gt;'Operating costs'!$B$18,AND(T83&lt;1,OR(AG83&lt;=0,AND(ISNUMBER(AH83),AG83&gt;AH83))),'Replacement plan'!$L$26&gt;INDEX(Products!$H$7:$H$13,MATCH('Replacement plan'!$B$26,Products!$A$7:$A$13,0))))),"Fails entered limits",IF(AND(D83="EV",E83&lt;120,OR(NOT(ISNUMBER(VLOOKUP($A83,'Fleet register'!$A$7:$S$106,7,FALSE))),NOT(ISNUMBER(VLOOKUP($A83,'Fleet register'!$A$7:$S$106,8,FALSE))),NOT(ISNUMBER(AF83)),'Replacement plan'!$I$26&lt;&gt;"Yes",NOT(ISNUMBER(AH83)),'Operating costs'!$B$59&lt;&gt;"Yes",'Operating costs'!$B$58&lt;&gt;"Yes")),"Unverified","Within entered limits"))))</f>
        <v>Excluded</v>
      </c>
      <c r="R83" s="1">
        <f>IF(C83=0,0,VLOOKUP($A83,'Fleet register'!$A$7:$S$106,6,FALSE))</f>
        <v>0</v>
      </c>
      <c r="S83" s="1">
        <f>IF(C83=0,0,VLOOKUP($A83,'Fleet register'!$A$7:$S$106,5,FALSE))</f>
        <v>0</v>
      </c>
      <c r="T83" s="1">
        <f>IF(D83="EV",'Energy and charging'!$B$12,0)</f>
        <v>0</v>
      </c>
      <c r="U83" s="1">
        <f>IFERROR(IF(C83=0,0,IF(D83="EV",IF('Replacement plan'!$F$26="",INDEX(Products!$E$7:$E$13,MATCH('Replacement plan'!$B$26,Products!$A$7:$A$13,0)),'Replacement plan'!$F$26)/IF('Replacement plan'!$G$26="Battery",1-'Operating costs'!$B$44,1),0)),"n.a.")</f>
        <v>0</v>
      </c>
      <c r="V83" s="1">
        <f>IFERROR(IF(C83=0,0,IF(D83="EV",IF('Replacement plan'!$E$26="",INDEX(Products!$D$7:$D$13,MATCH('Replacement plan'!$B$26,Products!$A$7:$A$13,0)),'Replacement plan'!$E$26),0)),"n.a.")</f>
        <v>0</v>
      </c>
      <c r="W83" s="1">
        <f>IF(C83=0,0,IF(AND(P83="Complete",D83="EV",E83&lt;120),IF(T83=0,0,ROUNDUP(T83*(R83-'Operating costs'!$B$41)*(S83*U83+'Operating costs'!$B$48/(1-'Operating costs'!$B$44))/(V83*'Operating costs'!$B$47/(1-'Operating costs'!$B$44)-T83*'Operating costs'!$B$12*U83),0)),0))</f>
        <v>0</v>
      </c>
      <c r="X83" s="1">
        <f>IF(C83=0,0,IF(AND(P83="Complete",D83="EV",E83&lt;120),(R83-'Operating costs'!$B$41)*(S83*U83+'Operating costs'!$B$48/(1-'Operating costs'!$B$44))+W83*'Operating costs'!$B$12*U83,0))</f>
        <v>0</v>
      </c>
      <c r="Y83" s="1">
        <f>IF(AND(C83=1,D83="EV",E83&lt;120),AI83/(1-'Operating costs'!$B$44)*(1-T83),0)</f>
        <v>0</v>
      </c>
      <c r="Z83" s="1">
        <f t="shared" si="2"/>
        <v>0</v>
      </c>
      <c r="AA83" s="1">
        <f>IF(C83=0,0,IF(P83="Complete",((S83*(R83-'Operating costs'!$B$40))+ROUNDUP(S83*(R83-'Operating costs'!$B$40)*IF('Replacement plan'!$AH$26="",'Operating costs'!$B$7,'Replacement plan'!$AH$26)/('Operating costs'!$B$8-'Operating costs'!$B$9*IF('Replacement plan'!$AH$26="",'Operating costs'!$B$7,'Replacement plan'!$AH$26)),0)*'Operating costs'!$B$9)*IF('Replacement plan'!$AH$26="",'Operating costs'!$B$7,'Replacement plan'!$AH$26),"n.a."))</f>
        <v>0</v>
      </c>
      <c r="AB83" s="1">
        <f t="shared" si="3"/>
        <v>0</v>
      </c>
      <c r="AC83" s="1">
        <f>IF(AND(C83=1,D83="EV",E83&lt;120,T83&gt;0),'Operating costs'!$B$12/'Operating costs'!$B$11*60+'Operating costs'!$B$13+'Operating costs'!$B$14+V83*'Operating costs'!$B$47/(1-'Operating costs'!$B$44)/'Replacement plan'!$L$26*60,0)</f>
        <v>0</v>
      </c>
      <c r="AD83" s="1" t="str">
        <f>'Replacement plan'!$B$26</f>
        <v>ChengLong L2EV</v>
      </c>
      <c r="AE83" s="1">
        <f>IF(C83=0,0,VLOOKUP($A83,'Fleet register'!$A$7:$S$106,8,FALSE))</f>
        <v>0</v>
      </c>
      <c r="AF83" s="1" t="str">
        <f>IF('Replacement plan'!$H$26="","n.a.",'Replacement plan'!$H$26)</f>
        <v>n.a.</v>
      </c>
      <c r="AG83" s="1">
        <f>'Replacement plan'!$J$26</f>
        <v>22</v>
      </c>
      <c r="AH83" s="1">
        <f>IFERROR(IF(D83="EV",IF('Replacement plan'!$K$26="AC",IF(ISNUMBER(INDEX(Products!$G$7:$G$13,MATCH('Replacement plan'!$B$26,Products!$A$7:$A$13,0))),INDEX(Products!$G$7:$G$13,MATCH('Replacement plan'!$B$26,Products!$A$7:$A$13,0)),"n.a."),IF(ISNUMBER(INDEX(Products!$H$7:$H$13,MATCH('Replacement plan'!$B$26,Products!$A$7:$A$13,0))),INDEX(Products!$H$7:$H$13,MATCH('Replacement plan'!$B$26,Products!$A$7:$A$13,0)),"n.a.")),0),"n.a.")</f>
        <v>0</v>
      </c>
      <c r="AI83" s="1">
        <f>IF(AND(C83=1,D83="EV",E83&lt;120),(VLOOKUP($A83,'Fleet register'!$A$7:$S$106,7,FALSE)+IF(T83&gt;0,'Operating costs'!$B$12,0))*U83*(1-'Operating costs'!$B$44)+'Operating costs'!$B$49,0)</f>
        <v>0</v>
      </c>
      <c r="AJ83" s="1">
        <f>IF(D83="EV",'Energy and charging'!$B$50,0)</f>
        <v>0</v>
      </c>
      <c r="AK83" s="17">
        <f>EDATE('Operating costs'!$B$63,E83)</f>
        <v>46298</v>
      </c>
      <c r="AL83" s="1">
        <f>IFERROR(IF(D83="EV",INDEX(Products!$B$7:$B$13,MATCH('Replacement plan'!$B$26,Products!$A$7:$A$13,0)),0),"n.a.")</f>
        <v>0</v>
      </c>
      <c r="AM83" s="1" t="str">
        <f>'Replacement plan'!$K$26</f>
        <v>DC</v>
      </c>
      <c r="AN83" s="1" t="str">
        <f>'Replacement plan'!$AE$26</f>
        <v>Assumed</v>
      </c>
      <c r="AO83" s="47">
        <f>IF(AND(C83=1,D83="EV",E83&lt;120),(R83-'Operating costs'!$B$41)*S83+W83*'Operating costs'!$B$12,0)</f>
        <v>0</v>
      </c>
      <c r="AP83" s="41">
        <f>IF(AND(C83=1,D83="EV",E83&lt;120),IF('Operating costs'!$B$68="Hong Seh 200k average",AO83*IFERROR(INDEX(Products!$P$7:$P$13,MATCH(AD83,Products!$A$7:$A$13,0)),"n.a."),'Operating costs'!$B$26),0)</f>
        <v>0</v>
      </c>
      <c r="AQ83" s="40" t="str">
        <f>IF(D83="EV",'Operating costs'!$B$68,"Not applicable")</f>
        <v>Not applicable</v>
      </c>
    </row>
    <row r="84" spans="1:43" ht="24" customHeight="1">
      <c r="A84" s="1" t="str">
        <f>'Replacement plan'!A26</f>
        <v>T020</v>
      </c>
      <c r="B84" s="1">
        <v>1</v>
      </c>
      <c r="C84" s="1">
        <f>IF(COUNTIFS('Fleet register'!$A$7:$A$106,$A84)=1,VLOOKUP($A84,'Fleet register'!$A$7:$S$106,2,FALSE),0)</f>
        <v>0</v>
      </c>
      <c r="D84" s="1" t="str">
        <f>IF("New ICE"="EV","EV","ICE")</f>
        <v>ICE</v>
      </c>
      <c r="E84" s="1">
        <f>IF(C84=0,0,0)</f>
        <v>0</v>
      </c>
      <c r="F84" s="16">
        <f>IF(C84=0,0,VLOOKUP($A84,'Fleet register'!$A$7:$S$106,11,FALSE))</f>
        <v>0</v>
      </c>
      <c r="G84" s="16">
        <f>IFERROR(IF(C84=0,0,IF(E84=120,0,IF(D84="ICE",'Replacement plan'!$C$26,IF('Replacement plan'!$D$26="",INDEX(Products!$I$7:$I$13,MATCH('Replacement plan'!$B$26,Products!$A$7:$A$13,0))+'Operating costs'!$B$57,'Replacement plan'!$D$26))*(1+'Operating costs'!$B$50)^(E84/12))),"n.a.")</f>
        <v>0</v>
      </c>
      <c r="H84" s="16">
        <f>IFERROR(IF(C84=0,0,IF(E84=0,F84,VLOOKUP($A84,'Fleet register'!$A$7:$S$106,12,FALSE)+VLOOKUP($A84,'Fleet register'!$A$7:$S$106,13,FALSE)*MAX(0,VLOOKUP($A84,'Fleet register'!$A$7:$S$106,10,FALSE)-E84)/VLOOKUP($A84,'Fleet register'!$A$7:$S$106,14,FALSE))),"n.a.")</f>
        <v>0</v>
      </c>
      <c r="I84" s="16">
        <f>IF(C84=0,0,IF(E84=120,0,IF('Replacement plan'!$AI$26="",'Operating costs'!$B$56,'Replacement plan'!$AI$26)))</f>
        <v>0</v>
      </c>
      <c r="J84" s="16">
        <f>IF(C84=0,0,IF(P84="Complete",((S84*(R84-'Operating costs'!$B$39))+ROUNDUP(S84*(R84-'Operating costs'!$B$39)*IF('Replacement plan'!$AG$26="",'Operating costs'!$B$7,'Replacement plan'!$AG$26)/('Operating costs'!$B$8-'Operating costs'!$B$9*IF('Replacement plan'!$AG$26="",'Operating costs'!$B$7,'Replacement plan'!$AG$26)),0)*'Operating costs'!$B$9)*IF('Replacement plan'!$AG$26="",'Operating costs'!$B$7,'Replacement plan'!$AG$26)*('Energy and charging'!$B$9*'Energy and charging'!$B$7+(1-'Energy and charging'!$B$9)*'Energy and charging'!$B$8)*'Operating costs'!$B$23,"n.a."))</f>
        <v>0</v>
      </c>
      <c r="K84" s="16">
        <f>IF(C84=0,0,IF(P84="Complete",SUM('Operating costs'!$B$24,'Operating costs'!$B$27,'Operating costs'!$B$29,'Operating costs'!$B$31,'Operating costs'!$B$33,'Operating costs'!$B$34,'Operating costs'!$B$37,'Replacement plan'!$W$26)+'Operating costs'!$B$39*'Operating costs'!$B$42+ROUNDUP(S84*(R84-'Operating costs'!$B$39)*IF('Replacement plan'!$AG$26="",'Operating costs'!$B$7,'Replacement plan'!$AG$26)/('Operating costs'!$B$8-'Operating costs'!$B$9*IF('Replacement plan'!$AG$26="",'Operating costs'!$B$7,'Replacement plan'!$AG$26)),0)*('Operating costs'!$B$9/'Operating costs'!$B$11+'Operating costs'!$B$10/60)*'Operating costs'!$B$19*'Operating costs'!$B$21,"n.a."))</f>
        <v>0</v>
      </c>
      <c r="L84" s="16">
        <f>IF(C84=0,0,IF(P84="Complete",IF(D84="EV",X84*((1-T84)*'Energy and charging'!$B$10+T84*'Energy and charging'!$B$11)*'Operating costs'!$B$22,AA84*('Energy and charging'!$B$9*'Energy and charging'!$B$7+(1-'Energy and charging'!$B$9)*'Energy and charging'!$B$8)*'Operating costs'!$B$23),"n.a."))</f>
        <v>0</v>
      </c>
      <c r="M84" s="37">
        <f>IF(C84=0,0,IF(P84="Complete",IF(D84="ICE",SUM('Operating costs'!$B$25,'Operating costs'!$B$27,'Operating costs'!$B$29,'Operating costs'!$B$31,'Operating costs'!$B$33,'Operating costs'!$B$35,'Operating costs'!$B$37,'Replacement plan'!$X$26)+'Operating costs'!$B$40*'Operating costs'!$B$42+ROUNDUP(S84*(R84-'Operating costs'!$B$40)*IF('Replacement plan'!$AH$26="",'Operating costs'!$B$7,'Replacement plan'!$AH$26)/('Operating costs'!$B$8-'Operating costs'!$B$9*IF('Replacement plan'!$AH$26="",'Operating costs'!$B$7,'Replacement plan'!$AH$26)),0)*('Operating costs'!$B$9/'Operating costs'!$B$11+'Operating costs'!$B$10/60)*'Operating costs'!$B$19*'Operating costs'!$B$21,SUM(AP84,'Operating costs'!$B$28,'Operating costs'!$B$30,'Operating costs'!$B$32,'Operating costs'!$B$33,'Operating costs'!$B$36,'Operating costs'!$B$38,'Replacement plan'!$Y$26)+'Operating costs'!$B$41*'Operating costs'!$B$43+W84*'Operating costs'!$B$15+(T84*X84/'Replacement plan'!$L$26+W84*('Operating costs'!$B$12/'Operating costs'!$B$11+('Operating costs'!$B$13+'Operating costs'!$B$14)/60)+(R84-'Operating costs'!$B$41)*(IF(T84&lt;1,'Operating costs'!$B$16,0)+'Operating costs'!$B$17)/60)*'Operating costs'!$B$19*'Operating costs'!$B$20),"n.a."))</f>
        <v>0</v>
      </c>
      <c r="N84" s="16">
        <f>IF(AND(C84=1,D84="EV",E84&lt;120,E84+'Replacement plan'!$AA$26&lt;=120),'Replacement plan'!$Z$26,0)</f>
        <v>0</v>
      </c>
      <c r="O84" s="1">
        <f>E84+'Replacement plan'!$AA$26</f>
        <v>0</v>
      </c>
      <c r="P84" s="35" t="str">
        <f>IFERROR(IF(C84=0,"Excluded",IF(OR(COUNTIFS('Fleet register'!$A$7:$A$106,A84)&lt;&gt;1,COUNTIFS('Replacement plan'!$A$7:$A$106,A84)&lt;&gt;1),"Duplicate/missing ID",IF(NOT(AND(ISNUMBER(VLOOKUP($A84,'Fleet register'!$A$7:$S$106,5,FALSE)),ISNUMBER(VLOOKUP($A84,'Fleet register'!$A$7:$S$106,6,FALSE)),ISNUMBER(VLOOKUP($A84,'Fleet register'!$A$7:$S$106,10,FALSE)),ISNUMBER(VLOOKUP($A84,'Fleet register'!$A$7:$S$106,11,FALSE)),ISNUMBER(VLOOKUP($A84,'Fleet register'!$A$7:$S$106,12,FALSE)),ISNUMBER(VLOOKUP($A84,'Fleet register'!$A$7:$S$106,13,FALSE)),ISNUMBER(VLOOKUP($A84,'Fleet register'!$A$7:$S$106,14,FALSE)),VLOOKUP($A84,'Fleet register'!$A$7:$S$106,14,FALSE)&gt;0,ISNUMBER('Replacement plan'!$C$26),OR(E84=120,OR(ISNUMBER('Replacement plan'!$AI$26),AND('Replacement plan'!$AI$26="",ISNUMBER('Operating costs'!$B$56)))),ISNUMBER(E84))),"Missing vehicle input",IF(OR(E84&lt;0,E84&gt;VLOOKUP($A84,'Fleet register'!$A$7:$S$106,10,FALSE),E84&gt;120,E84&lt;&gt;INT(E84),VLOOKUP($A84,'Fleet register'!$A$7:$S$106,6,FALSE)&lt;=0,VLOOKUP($A84,'Fleet register'!$A$7:$S$106,6,FALSE)&gt;366,VLOOKUP($A84,'Fleet register'!$A$7:$S$106,5,FALSE)&lt;0,VLOOKUP($A84,'Fleet register'!$A$7:$S$106,11,FALSE)&lt;0,I84&lt;0,'Operating costs'!$B$8&lt;='Operating costs'!$B$7*'Operating costs'!$B$9,'Operating costs'!$B$11&lt;=0,'Operating costs'!$B$39&gt;R84,'Operating costs'!$B$40&gt;R84,'Operating costs'!$B$41&gt;R84,NOT(OR("New ICE"="Keep ICE","New ICE"="New ICE","New ICE"="EV"))),"Invalid vehicle input",IF(AND(D84="EV",E84&lt;120,OR(NOT(ISNUMBER(U84)),NOT(ISNUMBER(V84)),V84&lt;=0,T84&lt;0,T84&gt;1,'Replacement plan'!$L$26&lt;=0,'Operating costs'!$B$44&lt;0,'Operating costs'!$B$44&gt;=1,'Operating costs'!$B$47&lt;=0,'Operating costs'!$B$47&gt;1,V84*'Operating costs'!$B$47/(1-'Operating costs'!$B$44)&lt;=T84*'Operating costs'!$B$12*U84,AND('Replacement plan'!$Z$26&gt;0,OR('Replacement plan'!$AB$26&lt;&gt;"Yes",'Operating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charging'!$B$8&gt;=0))),ISNUMBER(VLOOKUP($A84,'Fleet register'!$A$7:$S$106,15,FALSE)),ISNUMBER(VLOOKUP($A84,'Fleet register'!$A$7:$S$106,16,FALSE)),ISNUMBER('Replacement plan'!$W$26),ISNUMBER('Replacement plan'!$X$26),OR(E84=120,AND(ISNUMBER(G84),G84&gt;=0)),ISNUMBER(H84),H84&gt;=0,OR(D84&lt;&gt;"EV",E84=120,AND(ISNUMBER('Operating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average",ISNUMBER(IFERROR(INDEX(Products!$P$7:$P$13,MATCH(AD84,Products!$A$7:$A$13,0)),"")))),ISNUMBER('Operating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plan'!$Y$26),ISNUMBER('Replacement plan'!$Z$26),'Replacement plan'!$Z$26&gt;=0,ISNUMBER('Replacement plan'!$AA$26),'Replacement plan'!$AA$26&gt;=0,'Replacement plan'!$AA$26=INT('Replacement plan'!$AA$26),ISNUMBER('Replacement plan'!$L$26))),'Operating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plan'!$AG$26="",'Operating costs'!$B$7,'Replacement plan'!$AG$26)),IF('Replacement plan'!$AG$26="",'Operating costs'!$B$7,'Replacement plan'!$AG$26)&gt;=0,ISNUMBER(IF('Replacement plan'!$AH$26="",'Operating costs'!$B$7,'Replacement plan'!$AH$26)),IF('Replacement plan'!$AH$26="",'Operating costs'!$B$7,'Replacement plan'!$AH$26)&gt;=0,'Operating costs'!$B$8&gt;MAX(IF('Replacement plan'!$AG$26="",'Operating costs'!$B$7,'Replacement plan'!$AG$26),IF('Replacement plan'!$AH$26="",'Operating costs'!$B$7,'Replacement plan'!$AH$26))*'Operating costs'!$B$9),IF(AND(VLOOKUP($A84,'Fleet register'!$A$7:$S$106,10,FALSE)&gt;=0,VLOOKUP($A84,'Fleet register'!$A$7:$S$106,10,FALSE)&lt;=120,VLOOKUP($A84,'Fleet register'!$A$7:$S$106,10,FALSE)=INT(VLOOKUP($A84,'Fleet register'!$A$7:$S$106,10,FALSE)),VLOOKUP($A84,'Fleet register'!$A$7:$S$106,15,FALSE)&gt;=0,VLOOKUP($A84,'Fleet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costs'!$B$67)&gt;=0,OR(D84&lt;&gt;"EV",E84=120,AND(MIN('Operating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84" s="1" t="str">
        <f>IF(C84=0,"Excluded",IF(P84&lt;&gt;"Complete",P84,IF(OR('Replacement plan'!$AD$26&lt;120-E84,AND(D84="EV",E84&lt;120,OR('Replacement plan'!$AC$26&lt;120-E84,'Replacement plan'!$I$26="No",AND(ISNUMBER(AF84),AE84&gt;AF84),AI84&gt;V84*(1-'Operating costs'!$B$46)^MAX(0,AB84-1)*(1-'Operating costs'!$B$45),AC84&gt;'Operating costs'!$B$18,AND(T84&lt;1,OR(AG84&lt;=0,AND(ISNUMBER(AH84),AG84&gt;AH84))),'Replacement plan'!$L$26&gt;INDEX(Products!$H$7:$H$13,MATCH('Replacement plan'!$B$26,Products!$A$7:$A$13,0))))),"Fails entered limits",IF(AND(D84="EV",E84&lt;120,OR(NOT(ISNUMBER(VLOOKUP($A84,'Fleet register'!$A$7:$S$106,7,FALSE))),NOT(ISNUMBER(VLOOKUP($A84,'Fleet register'!$A$7:$S$106,8,FALSE))),NOT(ISNUMBER(AF84)),'Replacement plan'!$I$26&lt;&gt;"Yes",NOT(ISNUMBER(AH84)),'Operating costs'!$B$59&lt;&gt;"Yes",'Operating costs'!$B$58&lt;&gt;"Yes")),"Unverified","Within entered limits"))))</f>
        <v>Excluded</v>
      </c>
      <c r="R84" s="1">
        <f>IF(C84=0,0,VLOOKUP($A84,'Fleet register'!$A$7:$S$106,6,FALSE))</f>
        <v>0</v>
      </c>
      <c r="S84" s="1">
        <f>IF(C84=0,0,VLOOKUP($A84,'Fleet register'!$A$7:$S$106,5,FALSE))</f>
        <v>0</v>
      </c>
      <c r="T84" s="1">
        <f>IF(D84="EV",'Energy and charging'!$B$12,0)</f>
        <v>0</v>
      </c>
      <c r="U84" s="1">
        <f>IFERROR(IF(C84=0,0,IF(D84="EV",IF('Replacement plan'!$F$26="",INDEX(Products!$E$7:$E$13,MATCH('Replacement plan'!$B$26,Products!$A$7:$A$13,0)),'Replacement plan'!$F$26)/IF('Replacement plan'!$G$26="Battery",1-'Operating costs'!$B$44,1),0)),"n.a.")</f>
        <v>0</v>
      </c>
      <c r="V84" s="1">
        <f>IFERROR(IF(C84=0,0,IF(D84="EV",IF('Replacement plan'!$E$26="",INDEX(Products!$D$7:$D$13,MATCH('Replacement plan'!$B$26,Products!$A$7:$A$13,0)),'Replacement plan'!$E$26),0)),"n.a.")</f>
        <v>0</v>
      </c>
      <c r="W84" s="1">
        <f>IF(C84=0,0,IF(AND(P84="Complete",D84="EV",E84&lt;120),IF(T84=0,0,ROUNDUP(T84*(R84-'Operating costs'!$B$41)*(S84*U84+'Operating costs'!$B$48/(1-'Operating costs'!$B$44))/(V84*'Operating costs'!$B$47/(1-'Operating costs'!$B$44)-T84*'Operating costs'!$B$12*U84),0)),0))</f>
        <v>0</v>
      </c>
      <c r="X84" s="1">
        <f>IF(C84=0,0,IF(AND(P84="Complete",D84="EV",E84&lt;120),(R84-'Operating costs'!$B$41)*(S84*U84+'Operating costs'!$B$48/(1-'Operating costs'!$B$44))+W84*'Operating costs'!$B$12*U84,0))</f>
        <v>0</v>
      </c>
      <c r="Y84" s="1">
        <f>IF(AND(C84=1,D84="EV",E84&lt;120),AI84/(1-'Operating costs'!$B$44)*(1-T84),0)</f>
        <v>0</v>
      </c>
      <c r="Z84" s="1">
        <f t="shared" si="2"/>
        <v>0</v>
      </c>
      <c r="AA84" s="1">
        <f>IF(C84=0,0,IF(P84="Complete",((S84*(R84-'Operating costs'!$B$40))+ROUNDUP(S84*(R84-'Operating costs'!$B$40)*IF('Replacement plan'!$AH$26="",'Operating costs'!$B$7,'Replacement plan'!$AH$26)/('Operating costs'!$B$8-'Operating costs'!$B$9*IF('Replacement plan'!$AH$26="",'Operating costs'!$B$7,'Replacement plan'!$AH$26)),0)*'Operating costs'!$B$9)*IF('Replacement plan'!$AH$26="",'Operating costs'!$B$7,'Replacement plan'!$AH$26),"n.a."))</f>
        <v>0</v>
      </c>
      <c r="AB84" s="1">
        <f t="shared" si="3"/>
        <v>0</v>
      </c>
      <c r="AC84" s="1">
        <f>IF(AND(C84=1,D84="EV",E84&lt;120,T84&gt;0),'Operating costs'!$B$12/'Operating costs'!$B$11*60+'Operating costs'!$B$13+'Operating costs'!$B$14+V84*'Operating costs'!$B$47/(1-'Operating costs'!$B$44)/'Replacement plan'!$L$26*60,0)</f>
        <v>0</v>
      </c>
      <c r="AD84" s="1" t="str">
        <f>'Replacement plan'!$B$26</f>
        <v>ChengLong L2EV</v>
      </c>
      <c r="AE84" s="1">
        <f>IF(C84=0,0,VLOOKUP($A84,'Fleet register'!$A$7:$S$106,8,FALSE))</f>
        <v>0</v>
      </c>
      <c r="AF84" s="1" t="str">
        <f>IF('Replacement plan'!$H$26="","n.a.",'Replacement plan'!$H$26)</f>
        <v>n.a.</v>
      </c>
      <c r="AG84" s="1">
        <f>'Replacement plan'!$J$26</f>
        <v>22</v>
      </c>
      <c r="AH84" s="1">
        <f>IFERROR(IF(D84="EV",IF('Replacement plan'!$K$26="AC",IF(ISNUMBER(INDEX(Products!$G$7:$G$13,MATCH('Replacement plan'!$B$26,Products!$A$7:$A$13,0))),INDEX(Products!$G$7:$G$13,MATCH('Replacement plan'!$B$26,Products!$A$7:$A$13,0)),"n.a."),IF(ISNUMBER(INDEX(Products!$H$7:$H$13,MATCH('Replacement plan'!$B$26,Products!$A$7:$A$13,0))),INDEX(Products!$H$7:$H$13,MATCH('Replacement plan'!$B$26,Products!$A$7:$A$13,0)),"n.a.")),0),"n.a.")</f>
        <v>0</v>
      </c>
      <c r="AI84" s="1">
        <f>IF(AND(C84=1,D84="EV",E84&lt;120),(VLOOKUP($A84,'Fleet register'!$A$7:$S$106,7,FALSE)+IF(T84&gt;0,'Operating costs'!$B$12,0))*U84*(1-'Operating costs'!$B$44)+'Operating costs'!$B$49,0)</f>
        <v>0</v>
      </c>
      <c r="AJ84" s="1">
        <f>IF(D84="EV",'Energy and charging'!$B$50,0)</f>
        <v>0</v>
      </c>
      <c r="AK84" s="17">
        <f>EDATE('Operating costs'!$B$63,E84)</f>
        <v>46298</v>
      </c>
      <c r="AL84" s="1">
        <f>IFERROR(IF(D84="EV",INDEX(Products!$B$7:$B$13,MATCH('Replacement plan'!$B$26,Products!$A$7:$A$13,0)),0),"n.a.")</f>
        <v>0</v>
      </c>
      <c r="AM84" s="1" t="str">
        <f>'Replacement plan'!$K$26</f>
        <v>DC</v>
      </c>
      <c r="AN84" s="1" t="str">
        <f>'Replacement plan'!$AE$26</f>
        <v>Assumed</v>
      </c>
      <c r="AO84" s="47">
        <f>IF(AND(C84=1,D84="EV",E84&lt;120),(R84-'Operating costs'!$B$41)*S84+W84*'Operating costs'!$B$12,0)</f>
        <v>0</v>
      </c>
      <c r="AP84" s="41">
        <f>IF(AND(C84=1,D84="EV",E84&lt;120),IF('Operating costs'!$B$68="Hong Seh 200k average",AO84*IFERROR(INDEX(Products!$P$7:$P$13,MATCH(AD84,Products!$A$7:$A$13,0)),"n.a."),'Operating costs'!$B$26),0)</f>
        <v>0</v>
      </c>
      <c r="AQ84" s="40" t="str">
        <f>IF(D84="EV",'Operating costs'!$B$68,"Not applicable")</f>
        <v>Not applicable</v>
      </c>
    </row>
    <row r="85" spans="1:43" ht="24" customHeight="1">
      <c r="A85" s="1" t="str">
        <f>'Replacement plan'!A26</f>
        <v>T020</v>
      </c>
      <c r="B85" s="1">
        <v>2</v>
      </c>
      <c r="C85" s="1">
        <f>IF(COUNTIFS('Fleet register'!$A$7:$A$106,$A85)=1,VLOOKUP($A85,'Fleet register'!$A$7:$S$106,2,FALSE),0)</f>
        <v>0</v>
      </c>
      <c r="D85" s="1" t="str">
        <f>IF('Replacement plan'!$O$26="EV","EV","ICE")</f>
        <v>ICE</v>
      </c>
      <c r="E85" s="1">
        <f>IF(C85=0,0,IF('Replacement plan'!$P$26="",IF('Replacement plan'!$O$26="Keep ICE",IF('Replacement plan'!$M$26="",VLOOKUP($A85,'Fleet register'!$A$7:$S$106,10,FALSE),'Replacement plan'!$M$26),0),'Replacement plan'!$P$26))</f>
        <v>0</v>
      </c>
      <c r="F85" s="16">
        <f>IF(C85=0,0,VLOOKUP($A85,'Fleet register'!$A$7:$S$106,11,FALSE))</f>
        <v>0</v>
      </c>
      <c r="G85" s="16">
        <f>IFERROR(IF(C85=0,0,IF(E85=120,0,IF(D85="ICE",'Replacement plan'!$C$26,IF('Replacement plan'!$D$26="",INDEX(Products!$I$7:$I$13,MATCH('Replacement plan'!$B$26,Products!$A$7:$A$13,0))+'Operating costs'!$B$57,'Replacement plan'!$D$26))*(1+'Operating costs'!$B$50)^(E85/12))),"n.a.")</f>
        <v>0</v>
      </c>
      <c r="H85" s="16">
        <f>IFERROR(IF(C85=0,0,IF('Replacement plan'!$U$26&lt;&gt;"",'Replacement plan'!$U$26,IF(E85=0,F85,VLOOKUP($A85,'Fleet register'!$A$7:$S$106,12,FALSE)+VLOOKUP($A85,'Fleet register'!$A$7:$S$106,13,FALSE)*MAX(0,VLOOKUP($A85,'Fleet register'!$A$7:$S$106,10,FALSE)-E85)/VLOOKUP($A85,'Fleet register'!$A$7:$S$106,14,FALSE)))),"n.a.")</f>
        <v>0</v>
      </c>
      <c r="I85" s="16">
        <f>IF(C85=0,0,IF(E85=120,0,'Replacement plan'!$Q$26))</f>
        <v>0</v>
      </c>
      <c r="J85" s="16">
        <f>IF(C85=0,0,IF(P85="Complete",((S85*(R85-'Operating costs'!$B$39))+ROUNDUP(S85*(R85-'Operating costs'!$B$39)*IF('Replacement plan'!$AG$26="",'Operating costs'!$B$7,'Replacement plan'!$AG$26)/('Operating costs'!$B$8-'Operating costs'!$B$9*IF('Replacement plan'!$AG$26="",'Operating costs'!$B$7,'Replacement plan'!$AG$26)),0)*'Operating costs'!$B$9)*IF('Replacement plan'!$AG$26="",'Operating costs'!$B$7,'Replacement plan'!$AG$26)*('Energy and charging'!$B$9*'Energy and charging'!$B$7+(1-'Energy and charging'!$B$9)*'Energy and charging'!$B$8)*'Operating costs'!$B$23,"n.a."))</f>
        <v>0</v>
      </c>
      <c r="K85" s="16">
        <f>IF(C85=0,0,IF(P85="Complete",SUM('Operating costs'!$B$24,'Operating costs'!$B$27,'Operating costs'!$B$29,'Operating costs'!$B$31,'Operating costs'!$B$33,'Operating costs'!$B$34,'Operating costs'!$B$37,'Replacement plan'!$W$26)+'Operating costs'!$B$39*'Operating costs'!$B$42+ROUNDUP(S85*(R85-'Operating costs'!$B$39)*IF('Replacement plan'!$AG$26="",'Operating costs'!$B$7,'Replacement plan'!$AG$26)/('Operating costs'!$B$8-'Operating costs'!$B$9*IF('Replacement plan'!$AG$26="",'Operating costs'!$B$7,'Replacement plan'!$AG$26)),0)*('Operating costs'!$B$9/'Operating costs'!$B$11+'Operating costs'!$B$10/60)*'Operating costs'!$B$19*'Operating costs'!$B$21,"n.a."))</f>
        <v>0</v>
      </c>
      <c r="L85" s="16">
        <f>IF(C85=0,0,IF(P85="Complete",IF(D85="EV",X85*((1-T85)*'Energy and charging'!$B$10+T85*'Energy and charging'!$B$11)*'Operating costs'!$B$22,AA85*('Energy and charging'!$B$9*'Energy and charging'!$B$7+(1-'Energy and charging'!$B$9)*'Energy and charging'!$B$8)*'Operating costs'!$B$23),"n.a."))</f>
        <v>0</v>
      </c>
      <c r="M85" s="37">
        <f>IF(C85=0,0,IF(P85="Complete",IF(D85="ICE",SUM('Operating costs'!$B$25,'Operating costs'!$B$27,'Operating costs'!$B$29,'Operating costs'!$B$31,'Operating costs'!$B$33,'Operating costs'!$B$35,'Operating costs'!$B$37,'Replacement plan'!$X$26)+'Operating costs'!$B$40*'Operating costs'!$B$42+ROUNDUP(S85*(R85-'Operating costs'!$B$40)*IF('Replacement plan'!$AH$26="",'Operating costs'!$B$7,'Replacement plan'!$AH$26)/('Operating costs'!$B$8-'Operating costs'!$B$9*IF('Replacement plan'!$AH$26="",'Operating costs'!$B$7,'Replacement plan'!$AH$26)),0)*('Operating costs'!$B$9/'Operating costs'!$B$11+'Operating costs'!$B$10/60)*'Operating costs'!$B$19*'Operating costs'!$B$21,SUM(AP85,'Operating costs'!$B$28,'Operating costs'!$B$30,'Operating costs'!$B$32,'Operating costs'!$B$33,'Operating costs'!$B$36,'Operating costs'!$B$38,'Replacement plan'!$Y$26)+'Operating costs'!$B$41*'Operating costs'!$B$43+W85*'Operating costs'!$B$15+(T85*X85/'Replacement plan'!$L$26+W85*('Operating costs'!$B$12/'Operating costs'!$B$11+('Operating costs'!$B$13+'Operating costs'!$B$14)/60)+(R85-'Operating costs'!$B$41)*(IF(T85&lt;1,'Operating costs'!$B$16,0)+'Operating costs'!$B$17)/60)*'Operating costs'!$B$19*'Operating costs'!$B$20),"n.a."))</f>
        <v>0</v>
      </c>
      <c r="N85" s="16">
        <f>IF(AND(C85=1,D85="EV",E85&lt;120,E85+'Replacement plan'!$AA$26&lt;=120),'Replacement plan'!$Z$26,0)</f>
        <v>0</v>
      </c>
      <c r="O85" s="1">
        <f>E85+'Replacement plan'!$AA$26</f>
        <v>0</v>
      </c>
      <c r="P85" s="35" t="str">
        <f>IFERROR(IF(C85=0,"Excluded",IF(OR(COUNTIFS('Fleet register'!$A$7:$A$106,A85)&lt;&gt;1,COUNTIFS('Replacement plan'!$A$7:$A$106,A85)&lt;&gt;1),"Duplicate/missing ID",IF(NOT(AND(ISNUMBER(VLOOKUP($A85,'Fleet register'!$A$7:$S$106,5,FALSE)),ISNUMBER(VLOOKUP($A85,'Fleet register'!$A$7:$S$106,6,FALSE)),ISNUMBER(VLOOKUP($A85,'Fleet register'!$A$7:$S$106,10,FALSE)),ISNUMBER(VLOOKUP($A85,'Fleet register'!$A$7:$S$106,11,FALSE)),ISNUMBER(VLOOKUP($A85,'Fleet register'!$A$7:$S$106,12,FALSE)),ISNUMBER(VLOOKUP($A85,'Fleet register'!$A$7:$S$106,13,FALSE)),ISNUMBER(VLOOKUP($A85,'Fleet register'!$A$7:$S$106,14,FALSE)),VLOOKUP($A85,'Fleet register'!$A$7:$S$106,14,FALSE)&gt;0,ISNUMBER('Replacement plan'!$C$26),OR(E85=120,ISNUMBER('Replacement plan'!$Q$26)),ISNUMBER(E85))),"Missing vehicle input",IF(OR(E85&lt;0,E85&gt;VLOOKUP($A85,'Fleet register'!$A$7:$S$106,10,FALSE),E85&gt;120,E85&lt;&gt;INT(E85),VLOOKUP($A85,'Fleet register'!$A$7:$S$106,6,FALSE)&lt;=0,VLOOKUP($A85,'Fleet register'!$A$7:$S$106,6,FALSE)&gt;366,VLOOKUP($A85,'Fleet register'!$A$7:$S$106,5,FALSE)&lt;0,VLOOKUP($A85,'Fleet register'!$A$7:$S$106,11,FALSE)&lt;0,I85&lt;0,'Operating costs'!$B$8&lt;='Operating costs'!$B$7*'Operating costs'!$B$9,'Operating costs'!$B$11&lt;=0,'Operating costs'!$B$39&gt;R85,'Operating costs'!$B$40&gt;R85,'Operating costs'!$B$41&gt;R85,NOT(OR('Replacement plan'!$O$26="Keep ICE",'Replacement plan'!$O$26="New ICE",'Replacement plan'!$O$26="EV"))),"Invalid vehicle input",IF(AND(D85="EV",E85&lt;120,OR(NOT(ISNUMBER(U85)),NOT(ISNUMBER(V85)),V85&lt;=0,T85&lt;0,T85&gt;1,'Replacement plan'!$L$26&lt;=0,'Operating costs'!$B$44&lt;0,'Operating costs'!$B$44&gt;=1,'Operating costs'!$B$47&lt;=0,'Operating costs'!$B$47&gt;1,V85*'Operating costs'!$B$47/(1-'Operating costs'!$B$44)&lt;=T85*'Operating costs'!$B$12*U85,AND('Replacement plan'!$Z$26&gt;0,OR('Replacement plan'!$AB$26&lt;&gt;"Yes",'Operating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charging'!$B$8&gt;=0))),ISNUMBER(VLOOKUP($A85,'Fleet register'!$A$7:$S$106,15,FALSE)),ISNUMBER(VLOOKUP($A85,'Fleet register'!$A$7:$S$106,16,FALSE)),ISNUMBER('Replacement plan'!$W$26),ISNUMBER('Replacement plan'!$X$26),OR(E85=120,AND(ISNUMBER(G85),G85&gt;=0)),ISNUMBER(H85),H85&gt;=0,OR(D85&lt;&gt;"EV",E85=120,AND(ISNUMBER('Operating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average",ISNUMBER(IFERROR(INDEX(Products!$P$7:$P$13,MATCH(AD85,Products!$A$7:$A$13,0)),"")))),ISNUMBER('Operating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plan'!$Y$26),ISNUMBER('Replacement plan'!$Z$26),'Replacement plan'!$Z$26&gt;=0,ISNUMBER('Replacement plan'!$AA$26),'Replacement plan'!$AA$26&gt;=0,'Replacement plan'!$AA$26=INT('Replacement plan'!$AA$26),ISNUMBER('Replacement plan'!$L$26))),'Operating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plan'!$AG$26="",'Operating costs'!$B$7,'Replacement plan'!$AG$26)),IF('Replacement plan'!$AG$26="",'Operating costs'!$B$7,'Replacement plan'!$AG$26)&gt;=0,ISNUMBER(IF('Replacement plan'!$AH$26="",'Operating costs'!$B$7,'Replacement plan'!$AH$26)),IF('Replacement plan'!$AH$26="",'Operating costs'!$B$7,'Replacement plan'!$AH$26)&gt;=0,'Operating costs'!$B$8&gt;MAX(IF('Replacement plan'!$AG$26="",'Operating costs'!$B$7,'Replacement plan'!$AG$26),IF('Replacement plan'!$AH$26="",'Operating costs'!$B$7,'Replacement plan'!$AH$26))*'Operating costs'!$B$9),IF(AND(VLOOKUP($A85,'Fleet register'!$A$7:$S$106,10,FALSE)&gt;=0,VLOOKUP($A85,'Fleet register'!$A$7:$S$106,10,FALSE)&lt;=120,VLOOKUP($A85,'Fleet register'!$A$7:$S$106,10,FALSE)=INT(VLOOKUP($A85,'Fleet register'!$A$7:$S$106,10,FALSE)),VLOOKUP($A85,'Fleet register'!$A$7:$S$106,15,FALSE)&gt;=0,VLOOKUP($A85,'Fleet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costs'!$B$67)&gt;=0,OR(D85&lt;&gt;"EV",E85=120,AND(MIN('Operating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85" s="1" t="str">
        <f>IF(C85=0,"Excluded",IF(P85&lt;&gt;"Complete",P85,IF(OR('Replacement plan'!$AD$26&lt;120-E85,AND(D85="EV",E85&lt;120,OR('Replacement plan'!$AC$26&lt;120-E85,'Replacement plan'!$I$26="No",AND(ISNUMBER(AF85),AE85&gt;AF85),AI85&gt;V85*(1-'Operating costs'!$B$46)^MAX(0,AB85-1)*(1-'Operating costs'!$B$45),AC85&gt;'Operating costs'!$B$18,AND(T85&lt;1,OR(AG85&lt;=0,AND(ISNUMBER(AH85),AG85&gt;AH85))),'Replacement plan'!$L$26&gt;INDEX(Products!$H$7:$H$13,MATCH('Replacement plan'!$B$26,Products!$A$7:$A$13,0))))),"Fails entered limits",IF(AND(D85="EV",E85&lt;120,OR(NOT(ISNUMBER(VLOOKUP($A85,'Fleet register'!$A$7:$S$106,7,FALSE))),NOT(ISNUMBER(VLOOKUP($A85,'Fleet register'!$A$7:$S$106,8,FALSE))),NOT(ISNUMBER(AF85)),'Replacement plan'!$I$26&lt;&gt;"Yes",NOT(ISNUMBER(AH85)),'Operating costs'!$B$59&lt;&gt;"Yes",'Operating costs'!$B$58&lt;&gt;"Yes")),"Unverified","Within entered limits"))))</f>
        <v>Excluded</v>
      </c>
      <c r="R85" s="1">
        <f>IF(C85=0,0,VLOOKUP($A85,'Fleet register'!$A$7:$S$106,6,FALSE))</f>
        <v>0</v>
      </c>
      <c r="S85" s="1">
        <f>IF(C85=0,0,VLOOKUP($A85,'Fleet register'!$A$7:$S$106,5,FALSE))</f>
        <v>0</v>
      </c>
      <c r="T85" s="1">
        <f>IF(D85="EV",'Energy and charging'!$B$12,0)</f>
        <v>0</v>
      </c>
      <c r="U85" s="1">
        <f>IFERROR(IF(C85=0,0,IF(D85="EV",IF('Replacement plan'!$F$26="",INDEX(Products!$E$7:$E$13,MATCH('Replacement plan'!$B$26,Products!$A$7:$A$13,0)),'Replacement plan'!$F$26)/IF('Replacement plan'!$G$26="Battery",1-'Operating costs'!$B$44,1),0)),"n.a.")</f>
        <v>0</v>
      </c>
      <c r="V85" s="1">
        <f>IFERROR(IF(C85=0,0,IF(D85="EV",IF('Replacement plan'!$E$26="",INDEX(Products!$D$7:$D$13,MATCH('Replacement plan'!$B$26,Products!$A$7:$A$13,0)),'Replacement plan'!$E$26),0)),"n.a.")</f>
        <v>0</v>
      </c>
      <c r="W85" s="1">
        <f>IF(C85=0,0,IF(AND(P85="Complete",D85="EV",E85&lt;120),IF(T85=0,0,ROUNDUP(T85*(R85-'Operating costs'!$B$41)*(S85*U85+'Operating costs'!$B$48/(1-'Operating costs'!$B$44))/(V85*'Operating costs'!$B$47/(1-'Operating costs'!$B$44)-T85*'Operating costs'!$B$12*U85),0)),0))</f>
        <v>0</v>
      </c>
      <c r="X85" s="1">
        <f>IF(C85=0,0,IF(AND(P85="Complete",D85="EV",E85&lt;120),(R85-'Operating costs'!$B$41)*(S85*U85+'Operating costs'!$B$48/(1-'Operating costs'!$B$44))+W85*'Operating costs'!$B$12*U85,0))</f>
        <v>0</v>
      </c>
      <c r="Y85" s="1">
        <f>IF(AND(C85=1,D85="EV",E85&lt;120),AI85/(1-'Operating costs'!$B$44)*(1-T85),0)</f>
        <v>0</v>
      </c>
      <c r="Z85" s="1">
        <f t="shared" si="2"/>
        <v>0</v>
      </c>
      <c r="AA85" s="1">
        <f>IF(C85=0,0,IF(P85="Complete",((S85*(R85-'Operating costs'!$B$40))+ROUNDUP(S85*(R85-'Operating costs'!$B$40)*IF('Replacement plan'!$AH$26="",'Operating costs'!$B$7,'Replacement plan'!$AH$26)/('Operating costs'!$B$8-'Operating costs'!$B$9*IF('Replacement plan'!$AH$26="",'Operating costs'!$B$7,'Replacement plan'!$AH$26)),0)*'Operating costs'!$B$9)*IF('Replacement plan'!$AH$26="",'Operating costs'!$B$7,'Replacement plan'!$AH$26),"n.a."))</f>
        <v>0</v>
      </c>
      <c r="AB85" s="1">
        <f t="shared" si="3"/>
        <v>0</v>
      </c>
      <c r="AC85" s="1">
        <f>IF(AND(C85=1,D85="EV",E85&lt;120,T85&gt;0),'Operating costs'!$B$12/'Operating costs'!$B$11*60+'Operating costs'!$B$13+'Operating costs'!$B$14+V85*'Operating costs'!$B$47/(1-'Operating costs'!$B$44)/'Replacement plan'!$L$26*60,0)</f>
        <v>0</v>
      </c>
      <c r="AD85" s="1" t="str">
        <f>'Replacement plan'!$B$26</f>
        <v>ChengLong L2EV</v>
      </c>
      <c r="AE85" s="1">
        <f>IF(C85=0,0,VLOOKUP($A85,'Fleet register'!$A$7:$S$106,8,FALSE))</f>
        <v>0</v>
      </c>
      <c r="AF85" s="1" t="str">
        <f>IF('Replacement plan'!$H$26="","n.a.",'Replacement plan'!$H$26)</f>
        <v>n.a.</v>
      </c>
      <c r="AG85" s="1">
        <f>'Replacement plan'!$J$26</f>
        <v>22</v>
      </c>
      <c r="AH85" s="1">
        <f>IFERROR(IF(D85="EV",IF('Replacement plan'!$K$26="AC",IF(ISNUMBER(INDEX(Products!$G$7:$G$13,MATCH('Replacement plan'!$B$26,Products!$A$7:$A$13,0))),INDEX(Products!$G$7:$G$13,MATCH('Replacement plan'!$B$26,Products!$A$7:$A$13,0)),"n.a."),IF(ISNUMBER(INDEX(Products!$H$7:$H$13,MATCH('Replacement plan'!$B$26,Products!$A$7:$A$13,0))),INDEX(Products!$H$7:$H$13,MATCH('Replacement plan'!$B$26,Products!$A$7:$A$13,0)),"n.a.")),0),"n.a.")</f>
        <v>0</v>
      </c>
      <c r="AI85" s="1">
        <f>IF(AND(C85=1,D85="EV",E85&lt;120),(VLOOKUP($A85,'Fleet register'!$A$7:$S$106,7,FALSE)+IF(T85&gt;0,'Operating costs'!$B$12,0))*U85*(1-'Operating costs'!$B$44)+'Operating costs'!$B$49,0)</f>
        <v>0</v>
      </c>
      <c r="AJ85" s="1">
        <f>IF(D85="EV",'Energy and charging'!$B$50,0)</f>
        <v>0</v>
      </c>
      <c r="AK85" s="17">
        <f>EDATE('Operating costs'!$B$63,E85)</f>
        <v>46298</v>
      </c>
      <c r="AL85" s="1">
        <f>IFERROR(IF(D85="EV",INDEX(Products!$B$7:$B$13,MATCH('Replacement plan'!$B$26,Products!$A$7:$A$13,0)),0),"n.a.")</f>
        <v>0</v>
      </c>
      <c r="AM85" s="1" t="str">
        <f>'Replacement plan'!$K$26</f>
        <v>DC</v>
      </c>
      <c r="AN85" s="1" t="str">
        <f>'Replacement plan'!$AE$26</f>
        <v>Assumed</v>
      </c>
      <c r="AO85" s="47">
        <f>IF(AND(C85=1,D85="EV",E85&lt;120),(R85-'Operating costs'!$B$41)*S85+W85*'Operating costs'!$B$12,0)</f>
        <v>0</v>
      </c>
      <c r="AP85" s="41">
        <f>IF(AND(C85=1,D85="EV",E85&lt;120),IF('Operating costs'!$B$68="Hong Seh 200k average",AO85*IFERROR(INDEX(Products!$P$7:$P$13,MATCH(AD85,Products!$A$7:$A$13,0)),"n.a."),'Operating costs'!$B$26),0)</f>
        <v>0</v>
      </c>
      <c r="AQ85" s="40" t="str">
        <f>IF(D85="EV",'Operating costs'!$B$68,"Not applicable")</f>
        <v>Not applicable</v>
      </c>
    </row>
    <row r="86" spans="1:43" ht="24" customHeight="1">
      <c r="A86" s="1" t="str">
        <f>'Replacement plan'!A26</f>
        <v>T020</v>
      </c>
      <c r="B86" s="1">
        <v>3</v>
      </c>
      <c r="C86" s="1">
        <f>IF(COUNTIFS('Fleet register'!$A$7:$A$106,$A86)=1,VLOOKUP($A86,'Fleet register'!$A$7:$S$106,2,FALSE),0)</f>
        <v>0</v>
      </c>
      <c r="D86" s="1" t="str">
        <f>IF('Replacement plan'!$R$26="EV","EV","ICE")</f>
        <v>ICE</v>
      </c>
      <c r="E86" s="1">
        <f>IF(C86=0,0,IF('Replacement plan'!$S$26="",IF('Replacement plan'!$R$26="Keep ICE",IF('Replacement plan'!$M$26="",VLOOKUP($A86,'Fleet register'!$A$7:$S$106,10,FALSE),'Replacement plan'!$M$26),0),'Replacement plan'!$S$26))</f>
        <v>0</v>
      </c>
      <c r="F86" s="16">
        <f>IF(C86=0,0,VLOOKUP($A86,'Fleet register'!$A$7:$S$106,11,FALSE))</f>
        <v>0</v>
      </c>
      <c r="G86" s="16">
        <f>IFERROR(IF(C86=0,0,IF(E86=120,0,IF(D86="ICE",'Replacement plan'!$C$26,IF('Replacement plan'!$D$26="",INDEX(Products!$I$7:$I$13,MATCH('Replacement plan'!$B$26,Products!$A$7:$A$13,0))+'Operating costs'!$B$57,'Replacement plan'!$D$26))*(1+'Operating costs'!$B$50)^(E86/12))),"n.a.")</f>
        <v>0</v>
      </c>
      <c r="H86" s="16">
        <f>IFERROR(IF(C86=0,0,IF('Replacement plan'!$V$26&lt;&gt;"",'Replacement plan'!$V$26,IF(E86=0,F86,VLOOKUP($A86,'Fleet register'!$A$7:$S$106,12,FALSE)+VLOOKUP($A86,'Fleet register'!$A$7:$S$106,13,FALSE)*MAX(0,VLOOKUP($A86,'Fleet register'!$A$7:$S$106,10,FALSE)-E86)/VLOOKUP($A86,'Fleet register'!$A$7:$S$106,14,FALSE)))),"n.a.")</f>
        <v>0</v>
      </c>
      <c r="I86" s="16">
        <f>IF(C86=0,0,IF(E86=120,0,'Replacement plan'!$T$26))</f>
        <v>0</v>
      </c>
      <c r="J86" s="16">
        <f>IF(C86=0,0,IF(P86="Complete",((S86*(R86-'Operating costs'!$B$39))+ROUNDUP(S86*(R86-'Operating costs'!$B$39)*IF('Replacement plan'!$AG$26="",'Operating costs'!$B$7,'Replacement plan'!$AG$26)/('Operating costs'!$B$8-'Operating costs'!$B$9*IF('Replacement plan'!$AG$26="",'Operating costs'!$B$7,'Replacement plan'!$AG$26)),0)*'Operating costs'!$B$9)*IF('Replacement plan'!$AG$26="",'Operating costs'!$B$7,'Replacement plan'!$AG$26)*('Energy and charging'!$C$9*'Energy and charging'!$C$7+(1-'Energy and charging'!$C$9)*'Energy and charging'!$C$8)*'Operating costs'!$B$23,"n.a."))</f>
        <v>0</v>
      </c>
      <c r="K86" s="16">
        <f>IF(C86=0,0,IF(P86="Complete",SUM('Operating costs'!$B$24,'Operating costs'!$B$27,'Operating costs'!$B$29,'Operating costs'!$B$31,'Operating costs'!$B$33,'Operating costs'!$B$34,'Operating costs'!$B$37,'Replacement plan'!$W$26)+'Operating costs'!$B$39*'Operating costs'!$B$42+ROUNDUP(S86*(R86-'Operating costs'!$B$39)*IF('Replacement plan'!$AG$26="",'Operating costs'!$B$7,'Replacement plan'!$AG$26)/('Operating costs'!$B$8-'Operating costs'!$B$9*IF('Replacement plan'!$AG$26="",'Operating costs'!$B$7,'Replacement plan'!$AG$26)),0)*('Operating costs'!$B$9/'Operating costs'!$B$11+'Operating costs'!$B$10/60)*'Operating costs'!$B$19*'Operating costs'!$B$21,"n.a."))</f>
        <v>0</v>
      </c>
      <c r="L86" s="16">
        <f>IF(C86=0,0,IF(P86="Complete",IF(D86="EV",X86*((1-T86)*'Energy and charging'!$C$10+T86*'Energy and charging'!$C$11)*'Operating costs'!$B$22,AA86*('Energy and charging'!$C$9*'Energy and charging'!$C$7+(1-'Energy and charging'!$C$9)*'Energy and charging'!$C$8)*'Operating costs'!$B$23),"n.a."))</f>
        <v>0</v>
      </c>
      <c r="M86" s="37">
        <f>IF(C86=0,0,IF(P86="Complete",IF(D86="ICE",SUM('Operating costs'!$B$25,'Operating costs'!$B$27,'Operating costs'!$B$29,'Operating costs'!$B$31,'Operating costs'!$B$33,'Operating costs'!$B$35,'Operating costs'!$B$37,'Replacement plan'!$X$26)+'Operating costs'!$B$40*'Operating costs'!$B$42+ROUNDUP(S86*(R86-'Operating costs'!$B$40)*IF('Replacement plan'!$AH$26="",'Operating costs'!$B$7,'Replacement plan'!$AH$26)/('Operating costs'!$B$8-'Operating costs'!$B$9*IF('Replacement plan'!$AH$26="",'Operating costs'!$B$7,'Replacement plan'!$AH$26)),0)*('Operating costs'!$B$9/'Operating costs'!$B$11+'Operating costs'!$B$10/60)*'Operating costs'!$B$19*'Operating costs'!$B$21,SUM(AP86,'Operating costs'!$B$28,'Operating costs'!$B$30,'Operating costs'!$B$32,'Operating costs'!$B$33,'Operating costs'!$B$36,'Operating costs'!$B$38,'Replacement plan'!$Y$26)+'Operating costs'!$B$41*'Operating costs'!$B$43+W86*'Operating costs'!$B$15+(T86*X86/'Replacement plan'!$L$26+W86*('Operating costs'!$B$12/'Operating costs'!$B$11+('Operating costs'!$B$13+'Operating costs'!$B$14)/60)+(R86-'Operating costs'!$B$41)*(IF(T86&lt;1,'Operating costs'!$B$16,0)+'Operating costs'!$B$17)/60)*'Operating costs'!$B$19*'Operating costs'!$B$20),"n.a."))</f>
        <v>0</v>
      </c>
      <c r="N86" s="16">
        <f>IF(AND(C86=1,D86="EV",E86&lt;120,E86+'Replacement plan'!$AA$26&lt;=120),'Replacement plan'!$Z$26,0)</f>
        <v>0</v>
      </c>
      <c r="O86" s="1">
        <f>E86+'Replacement plan'!$AA$26</f>
        <v>0</v>
      </c>
      <c r="P86" s="35" t="str">
        <f>IFERROR(IF(C86=0,"Excluded",IF(OR(COUNTIFS('Fleet register'!$A$7:$A$106,A86)&lt;&gt;1,COUNTIFS('Replacement plan'!$A$7:$A$106,A86)&lt;&gt;1),"Duplicate/missing ID",IF(NOT(AND(ISNUMBER(VLOOKUP($A86,'Fleet register'!$A$7:$S$106,5,FALSE)),ISNUMBER(VLOOKUP($A86,'Fleet register'!$A$7:$S$106,6,FALSE)),ISNUMBER(VLOOKUP($A86,'Fleet register'!$A$7:$S$106,10,FALSE)),ISNUMBER(VLOOKUP($A86,'Fleet register'!$A$7:$S$106,11,FALSE)),ISNUMBER(VLOOKUP($A86,'Fleet register'!$A$7:$S$106,12,FALSE)),ISNUMBER(VLOOKUP($A86,'Fleet register'!$A$7:$S$106,13,FALSE)),ISNUMBER(VLOOKUP($A86,'Fleet register'!$A$7:$S$106,14,FALSE)),VLOOKUP($A86,'Fleet register'!$A$7:$S$106,14,FALSE)&gt;0,ISNUMBER('Replacement plan'!$C$26),OR(E86=120,ISNUMBER('Replacement plan'!$T$26)),ISNUMBER(E86))),"Missing vehicle input",IF(OR(E86&lt;0,E86&gt;VLOOKUP($A86,'Fleet register'!$A$7:$S$106,10,FALSE),E86&gt;120,E86&lt;&gt;INT(E86),VLOOKUP($A86,'Fleet register'!$A$7:$S$106,6,FALSE)&lt;=0,VLOOKUP($A86,'Fleet register'!$A$7:$S$106,6,FALSE)&gt;366,VLOOKUP($A86,'Fleet register'!$A$7:$S$106,5,FALSE)&lt;0,VLOOKUP($A86,'Fleet register'!$A$7:$S$106,11,FALSE)&lt;0,I86&lt;0,'Operating costs'!$B$8&lt;='Operating costs'!$B$7*'Operating costs'!$B$9,'Operating costs'!$B$11&lt;=0,'Operating costs'!$B$39&gt;R86,'Operating costs'!$B$40&gt;R86,'Operating costs'!$B$41&gt;R86,NOT(OR('Replacement plan'!$R$26="Keep ICE",'Replacement plan'!$R$26="New ICE",'Replacement plan'!$R$26="EV"))),"Invalid vehicle input",IF(AND(D86="EV",E86&lt;120,OR(NOT(ISNUMBER(U86)),NOT(ISNUMBER(V86)),V86&lt;=0,T86&lt;0,T86&gt;1,'Replacement plan'!$L$26&lt;=0,'Operating costs'!$B$44&lt;0,'Operating costs'!$B$44&gt;=1,'Operating costs'!$B$47&lt;=0,'Operating costs'!$B$47&gt;1,V86*'Operating costs'!$B$47/(1-'Operating costs'!$B$44)&lt;=T86*'Operating costs'!$B$12*U86,AND('Replacement plan'!$Z$26&gt;0,OR('Replacement plan'!$AB$26&lt;&gt;"Yes",'Operating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charging'!$C$8&gt;=0))),ISNUMBER(VLOOKUP($A86,'Fleet register'!$A$7:$S$106,15,FALSE)),ISNUMBER(VLOOKUP($A86,'Fleet register'!$A$7:$S$106,16,FALSE)),ISNUMBER('Replacement plan'!$W$26),ISNUMBER('Replacement plan'!$X$26),OR(E86=120,AND(ISNUMBER(G86),G86&gt;=0)),ISNUMBER(H86),H86&gt;=0,OR(D86&lt;&gt;"EV",E86=120,AND(ISNUMBER('Operating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average",ISNUMBER(IFERROR(INDEX(Products!$P$7:$P$13,MATCH(AD86,Products!$A$7:$A$13,0)),"")))),ISNUMBER('Operating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plan'!$Y$26),ISNUMBER('Replacement plan'!$Z$26),'Replacement plan'!$Z$26&gt;=0,ISNUMBER('Replacement plan'!$AA$26),'Replacement plan'!$AA$26&gt;=0,'Replacement plan'!$AA$26=INT('Replacement plan'!$AA$26),ISNUMBER('Replacement plan'!$L$26))),'Operating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plan'!$AG$26="",'Operating costs'!$B$7,'Replacement plan'!$AG$26)),IF('Replacement plan'!$AG$26="",'Operating costs'!$B$7,'Replacement plan'!$AG$26)&gt;=0,ISNUMBER(IF('Replacement plan'!$AH$26="",'Operating costs'!$B$7,'Replacement plan'!$AH$26)),IF('Replacement plan'!$AH$26="",'Operating costs'!$B$7,'Replacement plan'!$AH$26)&gt;=0,'Operating costs'!$B$8&gt;MAX(IF('Replacement plan'!$AG$26="",'Operating costs'!$B$7,'Replacement plan'!$AG$26),IF('Replacement plan'!$AH$26="",'Operating costs'!$B$7,'Replacement plan'!$AH$26))*'Operating costs'!$B$9),IF(AND(VLOOKUP($A86,'Fleet register'!$A$7:$S$106,10,FALSE)&gt;=0,VLOOKUP($A86,'Fleet register'!$A$7:$S$106,10,FALSE)&lt;=120,VLOOKUP($A86,'Fleet register'!$A$7:$S$106,10,FALSE)=INT(VLOOKUP($A86,'Fleet register'!$A$7:$S$106,10,FALSE)),VLOOKUP($A86,'Fleet register'!$A$7:$S$106,15,FALSE)&gt;=0,VLOOKUP($A86,'Fleet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costs'!$B$67)&gt;=0,OR(D86&lt;&gt;"EV",E86=120,AND(MIN('Operating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86" s="1" t="str">
        <f>IF(C86=0,"Excluded",IF(P86&lt;&gt;"Complete",P86,IF(OR('Replacement plan'!$AD$26&lt;120-E86,AND(D86="EV",E86&lt;120,OR('Replacement plan'!$AC$26&lt;120-E86,'Replacement plan'!$I$26="No",AND(ISNUMBER(AF86),AE86&gt;AF86),AI86&gt;V86*(1-'Operating costs'!$B$46)^MAX(0,AB86-1)*(1-'Operating costs'!$B$45),AC86&gt;'Operating costs'!$B$18,AND(T86&lt;1,OR(AG86&lt;=0,AND(ISNUMBER(AH86),AG86&gt;AH86))),'Replacement plan'!$L$26&gt;INDEX(Products!$H$7:$H$13,MATCH('Replacement plan'!$B$26,Products!$A$7:$A$13,0))))),"Fails entered limits",IF(AND(D86="EV",E86&lt;120,OR(NOT(ISNUMBER(VLOOKUP($A86,'Fleet register'!$A$7:$S$106,7,FALSE))),NOT(ISNUMBER(VLOOKUP($A86,'Fleet register'!$A$7:$S$106,8,FALSE))),NOT(ISNUMBER(AF86)),'Replacement plan'!$I$26&lt;&gt;"Yes",NOT(ISNUMBER(AH86)),'Operating costs'!$B$59&lt;&gt;"Yes",'Operating costs'!$B$58&lt;&gt;"Yes")),"Unverified","Within entered limits"))))</f>
        <v>Excluded</v>
      </c>
      <c r="R86" s="1">
        <f>IF(C86=0,0,VLOOKUP($A86,'Fleet register'!$A$7:$S$106,6,FALSE))</f>
        <v>0</v>
      </c>
      <c r="S86" s="1">
        <f>IF(C86=0,0,VLOOKUP($A86,'Fleet register'!$A$7:$S$106,5,FALSE))</f>
        <v>0</v>
      </c>
      <c r="T86" s="1">
        <f>IF(D86="EV",'Energy and charging'!$C$12,0)</f>
        <v>0</v>
      </c>
      <c r="U86" s="1">
        <f>IFERROR(IF(C86=0,0,IF(D86="EV",IF('Replacement plan'!$F$26="",INDEX(Products!$E$7:$E$13,MATCH('Replacement plan'!$B$26,Products!$A$7:$A$13,0)),'Replacement plan'!$F$26)/IF('Replacement plan'!$G$26="Battery",1-'Operating costs'!$B$44,1),0)),"n.a.")</f>
        <v>0</v>
      </c>
      <c r="V86" s="1">
        <f>IFERROR(IF(C86=0,0,IF(D86="EV",IF('Replacement plan'!$E$26="",INDEX(Products!$D$7:$D$13,MATCH('Replacement plan'!$B$26,Products!$A$7:$A$13,0)),'Replacement plan'!$E$26),0)),"n.a.")</f>
        <v>0</v>
      </c>
      <c r="W86" s="1">
        <f>IF(C86=0,0,IF(AND(P86="Complete",D86="EV",E86&lt;120),IF(T86=0,0,ROUNDUP(T86*(R86-'Operating costs'!$B$41)*(S86*U86+'Operating costs'!$B$48/(1-'Operating costs'!$B$44))/(V86*'Operating costs'!$B$47/(1-'Operating costs'!$B$44)-T86*'Operating costs'!$B$12*U86),0)),0))</f>
        <v>0</v>
      </c>
      <c r="X86" s="1">
        <f>IF(C86=0,0,IF(AND(P86="Complete",D86="EV",E86&lt;120),(R86-'Operating costs'!$B$41)*(S86*U86+'Operating costs'!$B$48/(1-'Operating costs'!$B$44))+W86*'Operating costs'!$B$12*U86,0))</f>
        <v>0</v>
      </c>
      <c r="Y86" s="1">
        <f>IF(AND(C86=1,D86="EV",E86&lt;120),AI86/(1-'Operating costs'!$B$44)*(1-T86),0)</f>
        <v>0</v>
      </c>
      <c r="Z86" s="1">
        <f t="shared" si="2"/>
        <v>0</v>
      </c>
      <c r="AA86" s="1">
        <f>IF(C86=0,0,IF(P86="Complete",((S86*(R86-'Operating costs'!$B$40))+ROUNDUP(S86*(R86-'Operating costs'!$B$40)*IF('Replacement plan'!$AH$26="",'Operating costs'!$B$7,'Replacement plan'!$AH$26)/('Operating costs'!$B$8-'Operating costs'!$B$9*IF('Replacement plan'!$AH$26="",'Operating costs'!$B$7,'Replacement plan'!$AH$26)),0)*'Operating costs'!$B$9)*IF('Replacement plan'!$AH$26="",'Operating costs'!$B$7,'Replacement plan'!$AH$26),"n.a."))</f>
        <v>0</v>
      </c>
      <c r="AB86" s="1">
        <f t="shared" si="3"/>
        <v>0</v>
      </c>
      <c r="AC86" s="1">
        <f>IF(AND(C86=1,D86="EV",E86&lt;120,T86&gt;0),'Operating costs'!$B$12/'Operating costs'!$B$11*60+'Operating costs'!$B$13+'Operating costs'!$B$14+V86*'Operating costs'!$B$47/(1-'Operating costs'!$B$44)/'Replacement plan'!$L$26*60,0)</f>
        <v>0</v>
      </c>
      <c r="AD86" s="1" t="str">
        <f>'Replacement plan'!$B$26</f>
        <v>ChengLong L2EV</v>
      </c>
      <c r="AE86" s="1">
        <f>IF(C86=0,0,VLOOKUP($A86,'Fleet register'!$A$7:$S$106,8,FALSE))</f>
        <v>0</v>
      </c>
      <c r="AF86" s="1" t="str">
        <f>IF('Replacement plan'!$H$26="","n.a.",'Replacement plan'!$H$26)</f>
        <v>n.a.</v>
      </c>
      <c r="AG86" s="1">
        <f>'Replacement plan'!$J$26</f>
        <v>22</v>
      </c>
      <c r="AH86" s="1">
        <f>IFERROR(IF(D86="EV",IF('Replacement plan'!$K$26="AC",IF(ISNUMBER(INDEX(Products!$G$7:$G$13,MATCH('Replacement plan'!$B$26,Products!$A$7:$A$13,0))),INDEX(Products!$G$7:$G$13,MATCH('Replacement plan'!$B$26,Products!$A$7:$A$13,0)),"n.a."),IF(ISNUMBER(INDEX(Products!$H$7:$H$13,MATCH('Replacement plan'!$B$26,Products!$A$7:$A$13,0))),INDEX(Products!$H$7:$H$13,MATCH('Replacement plan'!$B$26,Products!$A$7:$A$13,0)),"n.a.")),0),"n.a.")</f>
        <v>0</v>
      </c>
      <c r="AI86" s="1">
        <f>IF(AND(C86=1,D86="EV",E86&lt;120),(VLOOKUP($A86,'Fleet register'!$A$7:$S$106,7,FALSE)+IF(T86&gt;0,'Operating costs'!$B$12,0))*U86*(1-'Operating costs'!$B$44)+'Operating costs'!$B$49,0)</f>
        <v>0</v>
      </c>
      <c r="AJ86" s="1">
        <f>IF(D86="EV",'Energy and charging'!$C$50,0)</f>
        <v>0</v>
      </c>
      <c r="AK86" s="17">
        <f>EDATE('Operating costs'!$B$63,E86)</f>
        <v>46298</v>
      </c>
      <c r="AL86" s="1">
        <f>IFERROR(IF(D86="EV",INDEX(Products!$B$7:$B$13,MATCH('Replacement plan'!$B$26,Products!$A$7:$A$13,0)),0),"n.a.")</f>
        <v>0</v>
      </c>
      <c r="AM86" s="1" t="str">
        <f>'Replacement plan'!$K$26</f>
        <v>DC</v>
      </c>
      <c r="AN86" s="1" t="str">
        <f>'Replacement plan'!$AE$26</f>
        <v>Assumed</v>
      </c>
      <c r="AO86" s="47">
        <f>IF(AND(C86=1,D86="EV",E86&lt;120),(R86-'Operating costs'!$B$41)*S86+W86*'Operating costs'!$B$12,0)</f>
        <v>0</v>
      </c>
      <c r="AP86" s="41">
        <f>IF(AND(C86=1,D86="EV",E86&lt;120),IF('Operating costs'!$B$68="Hong Seh 200k average",AO86*IFERROR(INDEX(Products!$P$7:$P$13,MATCH(AD86,Products!$A$7:$A$13,0)),"n.a."),'Operating costs'!$B$26),0)</f>
        <v>0</v>
      </c>
      <c r="AQ86" s="40" t="str">
        <f>IF(D86="EV",'Operating costs'!$B$68,"Not applicable")</f>
        <v>Not applicable</v>
      </c>
    </row>
    <row r="87" spans="1:43" ht="24" customHeight="1">
      <c r="A87" s="1" t="str">
        <f>'Replacement plan'!A27</f>
        <v>T021</v>
      </c>
      <c r="B87" s="1">
        <v>0</v>
      </c>
      <c r="C87" s="1">
        <f>IF(COUNTIFS('Fleet register'!$A$7:$A$106,$A87)=1,VLOOKUP($A87,'Fleet register'!$A$7:$S$106,2,FALSE),0)</f>
        <v>0</v>
      </c>
      <c r="D87" s="1" t="str">
        <f>IF("Keep ICE"="EV","EV","ICE")</f>
        <v>ICE</v>
      </c>
      <c r="E87" s="1">
        <f>IF(C87=0,0,IF('Replacement plan'!$M$27="",VLOOKUP($A87,'Fleet register'!$A$7:$S$106,10,FALSE),'Replacement plan'!$M$27))</f>
        <v>0</v>
      </c>
      <c r="F87" s="16">
        <f>IF(C87=0,0,VLOOKUP($A87,'Fleet register'!$A$7:$S$106,11,FALSE))</f>
        <v>0</v>
      </c>
      <c r="G87" s="16">
        <f>IFERROR(IF(C87=0,0,IF(E87=120,0,IF(D87="ICE",'Replacement plan'!$C$27,IF('Replacement plan'!$D$27="",INDEX(Products!$I$7:$I$13,MATCH('Replacement plan'!$B$27,Products!$A$7:$A$13,0))+'Operating costs'!$B$57,'Replacement plan'!$D$27))*(1+'Operating costs'!$B$50)^(E87/12))),"n.a.")</f>
        <v>0</v>
      </c>
      <c r="H87" s="16">
        <f>IFERROR(IF(C87=0,0,IF(E87=0,F87,VLOOKUP($A87,'Fleet register'!$A$7:$S$106,12,FALSE)+VLOOKUP($A87,'Fleet register'!$A$7:$S$106,13,FALSE)*MAX(0,VLOOKUP($A87,'Fleet register'!$A$7:$S$106,10,FALSE)-E87)/VLOOKUP($A87,'Fleet register'!$A$7:$S$106,14,FALSE))),"n.a.")</f>
        <v>0</v>
      </c>
      <c r="I87" s="16">
        <f>IF(C87=0,0,IF(E87=120,0,'Replacement plan'!$N$27))</f>
        <v>0</v>
      </c>
      <c r="J87" s="16">
        <f>IF(C87=0,0,IF(P87="Complete",((S87*(R87-'Operating costs'!$B$39))+ROUNDUP(S87*(R87-'Operating costs'!$B$39)*IF('Replacement plan'!$AG$27="",'Operating costs'!$B$7,'Replacement plan'!$AG$27)/('Operating costs'!$B$8-'Operating costs'!$B$9*IF('Replacement plan'!$AG$27="",'Operating costs'!$B$7,'Replacement plan'!$AG$27)),0)*'Operating costs'!$B$9)*IF('Replacement plan'!$AG$27="",'Operating costs'!$B$7,'Replacement plan'!$AG$27)*('Energy and charging'!$B$9*'Energy and charging'!$B$7+(1-'Energy and charging'!$B$9)*'Energy and charging'!$B$8)*'Operating costs'!$B$23,"n.a."))</f>
        <v>0</v>
      </c>
      <c r="K87" s="16">
        <f>IF(C87=0,0,IF(P87="Complete",SUM('Operating costs'!$B$24,'Operating costs'!$B$27,'Operating costs'!$B$29,'Operating costs'!$B$31,'Operating costs'!$B$33,'Operating costs'!$B$34,'Operating costs'!$B$37,'Replacement plan'!$W$27)+'Operating costs'!$B$39*'Operating costs'!$B$42+ROUNDUP(S87*(R87-'Operating costs'!$B$39)*IF('Replacement plan'!$AG$27="",'Operating costs'!$B$7,'Replacement plan'!$AG$27)/('Operating costs'!$B$8-'Operating costs'!$B$9*IF('Replacement plan'!$AG$27="",'Operating costs'!$B$7,'Replacement plan'!$AG$27)),0)*('Operating costs'!$B$9/'Operating costs'!$B$11+'Operating costs'!$B$10/60)*'Operating costs'!$B$19*'Operating costs'!$B$21,"n.a."))</f>
        <v>0</v>
      </c>
      <c r="L87" s="16">
        <f>IF(C87=0,0,IF(P87="Complete",IF(D87="EV",X87*((1-T87)*'Energy and charging'!$B$10+T87*'Energy and charging'!$B$11)*'Operating costs'!$B$22,AA87*('Energy and charging'!$B$9*'Energy and charging'!$B$7+(1-'Energy and charging'!$B$9)*'Energy and charging'!$B$8)*'Operating costs'!$B$23),"n.a."))</f>
        <v>0</v>
      </c>
      <c r="M87" s="37">
        <f>IF(C87=0,0,IF(P87="Complete",IF(D87="ICE",SUM('Operating costs'!$B$25,'Operating costs'!$B$27,'Operating costs'!$B$29,'Operating costs'!$B$31,'Operating costs'!$B$33,'Operating costs'!$B$35,'Operating costs'!$B$37,'Replacement plan'!$X$27)+'Operating costs'!$B$40*'Operating costs'!$B$42+ROUNDUP(S87*(R87-'Operating costs'!$B$40)*IF('Replacement plan'!$AH$27="",'Operating costs'!$B$7,'Replacement plan'!$AH$27)/('Operating costs'!$B$8-'Operating costs'!$B$9*IF('Replacement plan'!$AH$27="",'Operating costs'!$B$7,'Replacement plan'!$AH$27)),0)*('Operating costs'!$B$9/'Operating costs'!$B$11+'Operating costs'!$B$10/60)*'Operating costs'!$B$19*'Operating costs'!$B$21,SUM(AP87,'Operating costs'!$B$28,'Operating costs'!$B$30,'Operating costs'!$B$32,'Operating costs'!$B$33,'Operating costs'!$B$36,'Operating costs'!$B$38,'Replacement plan'!$Y$27)+'Operating costs'!$B$41*'Operating costs'!$B$43+W87*'Operating costs'!$B$15+(T87*X87/'Replacement plan'!$L$27+W87*('Operating costs'!$B$12/'Operating costs'!$B$11+('Operating costs'!$B$13+'Operating costs'!$B$14)/60)+(R87-'Operating costs'!$B$41)*(IF(T87&lt;1,'Operating costs'!$B$16,0)+'Operating costs'!$B$17)/60)*'Operating costs'!$B$19*'Operating costs'!$B$20),"n.a."))</f>
        <v>0</v>
      </c>
      <c r="N87" s="16">
        <f>IF(AND(C87=1,D87="EV",E87&lt;120,E87+'Replacement plan'!$AA$27&lt;=120),'Replacement plan'!$Z$27,0)</f>
        <v>0</v>
      </c>
      <c r="O87" s="1">
        <f>E87+'Replacement plan'!$AA$27</f>
        <v>0</v>
      </c>
      <c r="P87" s="35" t="str">
        <f>IFERROR(IF(C87=0,"Excluded",IF(OR(COUNTIFS('Fleet register'!$A$7:$A$106,A87)&lt;&gt;1,COUNTIFS('Replacement plan'!$A$7:$A$106,A87)&lt;&gt;1),"Duplicate/missing ID",IF(NOT(AND(ISNUMBER(VLOOKUP($A87,'Fleet register'!$A$7:$S$106,5,FALSE)),ISNUMBER(VLOOKUP($A87,'Fleet register'!$A$7:$S$106,6,FALSE)),ISNUMBER(VLOOKUP($A87,'Fleet register'!$A$7:$S$106,10,FALSE)),ISNUMBER(VLOOKUP($A87,'Fleet register'!$A$7:$S$106,11,FALSE)),ISNUMBER(VLOOKUP($A87,'Fleet register'!$A$7:$S$106,12,FALSE)),ISNUMBER(VLOOKUP($A87,'Fleet register'!$A$7:$S$106,13,FALSE)),ISNUMBER(VLOOKUP($A87,'Fleet register'!$A$7:$S$106,14,FALSE)),VLOOKUP($A87,'Fleet register'!$A$7:$S$106,14,FALSE)&gt;0,ISNUMBER('Replacement plan'!$C$27),OR(E87=120,ISNUMBER('Replacement plan'!$N$27)),ISNUMBER(E87))),"Missing vehicle input",IF(OR(E87&lt;0,E87&gt;VLOOKUP($A87,'Fleet register'!$A$7:$S$106,10,FALSE),E87&gt;120,E87&lt;&gt;INT(E87),VLOOKUP($A87,'Fleet register'!$A$7:$S$106,6,FALSE)&lt;=0,VLOOKUP($A87,'Fleet register'!$A$7:$S$106,6,FALSE)&gt;366,VLOOKUP($A87,'Fleet register'!$A$7:$S$106,5,FALSE)&lt;0,VLOOKUP($A87,'Fleet register'!$A$7:$S$106,11,FALSE)&lt;0,I87&lt;0,'Operating costs'!$B$8&lt;='Operating costs'!$B$7*'Operating costs'!$B$9,'Operating costs'!$B$11&lt;=0,'Operating costs'!$B$39&gt;R87,'Operating costs'!$B$40&gt;R87,'Operating costs'!$B$41&gt;R87,NOT(OR("Keep ICE"="Keep ICE","Keep ICE"="New ICE","Keep ICE"="EV"))),"Invalid vehicle input",IF(AND(D87="EV",E87&lt;120,OR(NOT(ISNUMBER(U87)),NOT(ISNUMBER(V87)),V87&lt;=0,T87&lt;0,T87&gt;1,'Replacement plan'!$L$27&lt;=0,'Operating costs'!$B$44&lt;0,'Operating costs'!$B$44&gt;=1,'Operating costs'!$B$47&lt;=0,'Operating costs'!$B$47&gt;1,V87*'Operating costs'!$B$47/(1-'Operating costs'!$B$44)&lt;=T87*'Operating costs'!$B$12*U87,AND('Replacement plan'!$Z$27&gt;0,OR('Replacement plan'!$AB$27&lt;&gt;"Yes",'Operating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charging'!$B$8&gt;=0))),ISNUMBER(VLOOKUP($A87,'Fleet register'!$A$7:$S$106,15,FALSE)),ISNUMBER(VLOOKUP($A87,'Fleet register'!$A$7:$S$106,16,FALSE)),ISNUMBER('Replacement plan'!$W$27),ISNUMBER('Replacement plan'!$X$27),OR(E87=120,AND(ISNUMBER(G87),G87&gt;=0)),ISNUMBER(H87),H87&gt;=0,OR(D87&lt;&gt;"EV",E87=120,AND(ISNUMBER('Operating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average",ISNUMBER(IFERROR(INDEX(Products!$P$7:$P$13,MATCH(AD87,Products!$A$7:$A$13,0)),"")))),ISNUMBER('Operating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plan'!$Y$27),ISNUMBER('Replacement plan'!$Z$27),'Replacement plan'!$Z$27&gt;=0,ISNUMBER('Replacement plan'!$AA$27),'Replacement plan'!$AA$27&gt;=0,'Replacement plan'!$AA$27=INT('Replacement plan'!$AA$27),ISNUMBER('Replacement plan'!$L$27))),'Operating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plan'!$AG$27="",'Operating costs'!$B$7,'Replacement plan'!$AG$27)),IF('Replacement plan'!$AG$27="",'Operating costs'!$B$7,'Replacement plan'!$AG$27)&gt;=0,ISNUMBER(IF('Replacement plan'!$AH$27="",'Operating costs'!$B$7,'Replacement plan'!$AH$27)),IF('Replacement plan'!$AH$27="",'Operating costs'!$B$7,'Replacement plan'!$AH$27)&gt;=0,'Operating costs'!$B$8&gt;MAX(IF('Replacement plan'!$AG$27="",'Operating costs'!$B$7,'Replacement plan'!$AG$27),IF('Replacement plan'!$AH$27="",'Operating costs'!$B$7,'Replacement plan'!$AH$27))*'Operating costs'!$B$9),IF(AND(VLOOKUP($A87,'Fleet register'!$A$7:$S$106,10,FALSE)&gt;=0,VLOOKUP($A87,'Fleet register'!$A$7:$S$106,10,FALSE)&lt;=120,VLOOKUP($A87,'Fleet register'!$A$7:$S$106,10,FALSE)=INT(VLOOKUP($A87,'Fleet register'!$A$7:$S$106,10,FALSE)),VLOOKUP($A87,'Fleet register'!$A$7:$S$106,15,FALSE)&gt;=0,VLOOKUP($A87,'Fleet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costs'!$B$67)&gt;=0,OR(D87&lt;&gt;"EV",E87=120,AND(MIN('Operating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87" s="1" t="str">
        <f>IF(C87=0,"Excluded",IF(P87&lt;&gt;"Complete",P87,IF(OR('Replacement plan'!$AD$27&lt;120-E87,AND(D87="EV",E87&lt;120,OR('Replacement plan'!$AC$27&lt;120-E87,'Replacement plan'!$I$27="No",AND(ISNUMBER(AF87),AE87&gt;AF87),AI87&gt;V87*(1-'Operating costs'!$B$46)^MAX(0,AB87-1)*(1-'Operating costs'!$B$45),AC87&gt;'Operating costs'!$B$18,AND(T87&lt;1,OR(AG87&lt;=0,AND(ISNUMBER(AH87),AG87&gt;AH87))),'Replacement plan'!$L$27&gt;INDEX(Products!$H$7:$H$13,MATCH('Replacement plan'!$B$27,Products!$A$7:$A$13,0))))),"Fails entered limits",IF(AND(D87="EV",E87&lt;120,OR(NOT(ISNUMBER(VLOOKUP($A87,'Fleet register'!$A$7:$S$106,7,FALSE))),NOT(ISNUMBER(VLOOKUP($A87,'Fleet register'!$A$7:$S$106,8,FALSE))),NOT(ISNUMBER(AF87)),'Replacement plan'!$I$27&lt;&gt;"Yes",NOT(ISNUMBER(AH87)),'Operating costs'!$B$59&lt;&gt;"Yes",'Operating costs'!$B$58&lt;&gt;"Yes")),"Unverified","Within entered limits"))))</f>
        <v>Excluded</v>
      </c>
      <c r="R87" s="1">
        <f>IF(C87=0,0,VLOOKUP($A87,'Fleet register'!$A$7:$S$106,6,FALSE))</f>
        <v>0</v>
      </c>
      <c r="S87" s="1">
        <f>IF(C87=0,0,VLOOKUP($A87,'Fleet register'!$A$7:$S$106,5,FALSE))</f>
        <v>0</v>
      </c>
      <c r="T87" s="1">
        <f>IF(D87="EV",'Energy and charging'!$B$12,0)</f>
        <v>0</v>
      </c>
      <c r="U87" s="1">
        <f>IFERROR(IF(C87=0,0,IF(D87="EV",IF('Replacement plan'!$F$27="",INDEX(Products!$E$7:$E$13,MATCH('Replacement plan'!$B$27,Products!$A$7:$A$13,0)),'Replacement plan'!$F$27)/IF('Replacement plan'!$G$27="Battery",1-'Operating costs'!$B$44,1),0)),"n.a.")</f>
        <v>0</v>
      </c>
      <c r="V87" s="1">
        <f>IFERROR(IF(C87=0,0,IF(D87="EV",IF('Replacement plan'!$E$27="",INDEX(Products!$D$7:$D$13,MATCH('Replacement plan'!$B$27,Products!$A$7:$A$13,0)),'Replacement plan'!$E$27),0)),"n.a.")</f>
        <v>0</v>
      </c>
      <c r="W87" s="1">
        <f>IF(C87=0,0,IF(AND(P87="Complete",D87="EV",E87&lt;120),IF(T87=0,0,ROUNDUP(T87*(R87-'Operating costs'!$B$41)*(S87*U87+'Operating costs'!$B$48/(1-'Operating costs'!$B$44))/(V87*'Operating costs'!$B$47/(1-'Operating costs'!$B$44)-T87*'Operating costs'!$B$12*U87),0)),0))</f>
        <v>0</v>
      </c>
      <c r="X87" s="1">
        <f>IF(C87=0,0,IF(AND(P87="Complete",D87="EV",E87&lt;120),(R87-'Operating costs'!$B$41)*(S87*U87+'Operating costs'!$B$48/(1-'Operating costs'!$B$44))+W87*'Operating costs'!$B$12*U87,0))</f>
        <v>0</v>
      </c>
      <c r="Y87" s="1">
        <f>IF(AND(C87=1,D87="EV",E87&lt;120),AI87/(1-'Operating costs'!$B$44)*(1-T87),0)</f>
        <v>0</v>
      </c>
      <c r="Z87" s="1">
        <f t="shared" si="2"/>
        <v>0</v>
      </c>
      <c r="AA87" s="1">
        <f>IF(C87=0,0,IF(P87="Complete",((S87*(R87-'Operating costs'!$B$40))+ROUNDUP(S87*(R87-'Operating costs'!$B$40)*IF('Replacement plan'!$AH$27="",'Operating costs'!$B$7,'Replacement plan'!$AH$27)/('Operating costs'!$B$8-'Operating costs'!$B$9*IF('Replacement plan'!$AH$27="",'Operating costs'!$B$7,'Replacement plan'!$AH$27)),0)*'Operating costs'!$B$9)*IF('Replacement plan'!$AH$27="",'Operating costs'!$B$7,'Replacement plan'!$AH$27),"n.a."))</f>
        <v>0</v>
      </c>
      <c r="AB87" s="1">
        <f t="shared" si="3"/>
        <v>0</v>
      </c>
      <c r="AC87" s="1">
        <f>IF(AND(C87=1,D87="EV",E87&lt;120,T87&gt;0),'Operating costs'!$B$12/'Operating costs'!$B$11*60+'Operating costs'!$B$13+'Operating costs'!$B$14+V87*'Operating costs'!$B$47/(1-'Operating costs'!$B$44)/'Replacement plan'!$L$27*60,0)</f>
        <v>0</v>
      </c>
      <c r="AD87" s="1" t="str">
        <f>'Replacement plan'!$B$27</f>
        <v>ChengLong L2EV</v>
      </c>
      <c r="AE87" s="1">
        <f>IF(C87=0,0,VLOOKUP($A87,'Fleet register'!$A$7:$S$106,8,FALSE))</f>
        <v>0</v>
      </c>
      <c r="AF87" s="1" t="str">
        <f>IF('Replacement plan'!$H$27="","n.a.",'Replacement plan'!$H$27)</f>
        <v>n.a.</v>
      </c>
      <c r="AG87" s="1">
        <f>'Replacement plan'!$J$27</f>
        <v>22</v>
      </c>
      <c r="AH87" s="1">
        <f>IFERROR(IF(D87="EV",IF('Replacement plan'!$K$27="AC",IF(ISNUMBER(INDEX(Products!$G$7:$G$13,MATCH('Replacement plan'!$B$27,Products!$A$7:$A$13,0))),INDEX(Products!$G$7:$G$13,MATCH('Replacement plan'!$B$27,Products!$A$7:$A$13,0)),"n.a."),IF(ISNUMBER(INDEX(Products!$H$7:$H$13,MATCH('Replacement plan'!$B$27,Products!$A$7:$A$13,0))),INDEX(Products!$H$7:$H$13,MATCH('Replacement plan'!$B$27,Products!$A$7:$A$13,0)),"n.a.")),0),"n.a.")</f>
        <v>0</v>
      </c>
      <c r="AI87" s="1">
        <f>IF(AND(C87=1,D87="EV",E87&lt;120),(VLOOKUP($A87,'Fleet register'!$A$7:$S$106,7,FALSE)+IF(T87&gt;0,'Operating costs'!$B$12,0))*U87*(1-'Operating costs'!$B$44)+'Operating costs'!$B$49,0)</f>
        <v>0</v>
      </c>
      <c r="AJ87" s="1">
        <f>IF(D87="EV",'Energy and charging'!$B$50,0)</f>
        <v>0</v>
      </c>
      <c r="AK87" s="17">
        <f>EDATE('Operating costs'!$B$63,E87)</f>
        <v>46298</v>
      </c>
      <c r="AL87" s="1">
        <f>IFERROR(IF(D87="EV",INDEX(Products!$B$7:$B$13,MATCH('Replacement plan'!$B$27,Products!$A$7:$A$13,0)),0),"n.a.")</f>
        <v>0</v>
      </c>
      <c r="AM87" s="1" t="str">
        <f>'Replacement plan'!$K$27</f>
        <v>DC</v>
      </c>
      <c r="AN87" s="1" t="str">
        <f>'Replacement plan'!$AE$27</f>
        <v>Assumed</v>
      </c>
      <c r="AO87" s="47">
        <f>IF(AND(C87=1,D87="EV",E87&lt;120),(R87-'Operating costs'!$B$41)*S87+W87*'Operating costs'!$B$12,0)</f>
        <v>0</v>
      </c>
      <c r="AP87" s="41">
        <f>IF(AND(C87=1,D87="EV",E87&lt;120),IF('Operating costs'!$B$68="Hong Seh 200k average",AO87*IFERROR(INDEX(Products!$P$7:$P$13,MATCH(AD87,Products!$A$7:$A$13,0)),"n.a."),'Operating costs'!$B$26),0)</f>
        <v>0</v>
      </c>
      <c r="AQ87" s="40" t="str">
        <f>IF(D87="EV",'Operating costs'!$B$68,"Not applicable")</f>
        <v>Not applicable</v>
      </c>
    </row>
    <row r="88" spans="1:43" ht="24" customHeight="1">
      <c r="A88" s="1" t="str">
        <f>'Replacement plan'!A27</f>
        <v>T021</v>
      </c>
      <c r="B88" s="1">
        <v>1</v>
      </c>
      <c r="C88" s="1">
        <f>IF(COUNTIFS('Fleet register'!$A$7:$A$106,$A88)=1,VLOOKUP($A88,'Fleet register'!$A$7:$S$106,2,FALSE),0)</f>
        <v>0</v>
      </c>
      <c r="D88" s="1" t="str">
        <f>IF("New ICE"="EV","EV","ICE")</f>
        <v>ICE</v>
      </c>
      <c r="E88" s="1">
        <f>IF(C88=0,0,0)</f>
        <v>0</v>
      </c>
      <c r="F88" s="16">
        <f>IF(C88=0,0,VLOOKUP($A88,'Fleet register'!$A$7:$S$106,11,FALSE))</f>
        <v>0</v>
      </c>
      <c r="G88" s="16">
        <f>IFERROR(IF(C88=0,0,IF(E88=120,0,IF(D88="ICE",'Replacement plan'!$C$27,IF('Replacement plan'!$D$27="",INDEX(Products!$I$7:$I$13,MATCH('Replacement plan'!$B$27,Products!$A$7:$A$13,0))+'Operating costs'!$B$57,'Replacement plan'!$D$27))*(1+'Operating costs'!$B$50)^(E88/12))),"n.a.")</f>
        <v>0</v>
      </c>
      <c r="H88" s="16">
        <f>IFERROR(IF(C88=0,0,IF(E88=0,F88,VLOOKUP($A88,'Fleet register'!$A$7:$S$106,12,FALSE)+VLOOKUP($A88,'Fleet register'!$A$7:$S$106,13,FALSE)*MAX(0,VLOOKUP($A88,'Fleet register'!$A$7:$S$106,10,FALSE)-E88)/VLOOKUP($A88,'Fleet register'!$A$7:$S$106,14,FALSE))),"n.a.")</f>
        <v>0</v>
      </c>
      <c r="I88" s="16">
        <f>IF(C88=0,0,IF(E88=120,0,IF('Replacement plan'!$AI$27="",'Operating costs'!$B$56,'Replacement plan'!$AI$27)))</f>
        <v>0</v>
      </c>
      <c r="J88" s="16">
        <f>IF(C88=0,0,IF(P88="Complete",((S88*(R88-'Operating costs'!$B$39))+ROUNDUP(S88*(R88-'Operating costs'!$B$39)*IF('Replacement plan'!$AG$27="",'Operating costs'!$B$7,'Replacement plan'!$AG$27)/('Operating costs'!$B$8-'Operating costs'!$B$9*IF('Replacement plan'!$AG$27="",'Operating costs'!$B$7,'Replacement plan'!$AG$27)),0)*'Operating costs'!$B$9)*IF('Replacement plan'!$AG$27="",'Operating costs'!$B$7,'Replacement plan'!$AG$27)*('Energy and charging'!$B$9*'Energy and charging'!$B$7+(1-'Energy and charging'!$B$9)*'Energy and charging'!$B$8)*'Operating costs'!$B$23,"n.a."))</f>
        <v>0</v>
      </c>
      <c r="K88" s="16">
        <f>IF(C88=0,0,IF(P88="Complete",SUM('Operating costs'!$B$24,'Operating costs'!$B$27,'Operating costs'!$B$29,'Operating costs'!$B$31,'Operating costs'!$B$33,'Operating costs'!$B$34,'Operating costs'!$B$37,'Replacement plan'!$W$27)+'Operating costs'!$B$39*'Operating costs'!$B$42+ROUNDUP(S88*(R88-'Operating costs'!$B$39)*IF('Replacement plan'!$AG$27="",'Operating costs'!$B$7,'Replacement plan'!$AG$27)/('Operating costs'!$B$8-'Operating costs'!$B$9*IF('Replacement plan'!$AG$27="",'Operating costs'!$B$7,'Replacement plan'!$AG$27)),0)*('Operating costs'!$B$9/'Operating costs'!$B$11+'Operating costs'!$B$10/60)*'Operating costs'!$B$19*'Operating costs'!$B$21,"n.a."))</f>
        <v>0</v>
      </c>
      <c r="L88" s="16">
        <f>IF(C88=0,0,IF(P88="Complete",IF(D88="EV",X88*((1-T88)*'Energy and charging'!$B$10+T88*'Energy and charging'!$B$11)*'Operating costs'!$B$22,AA88*('Energy and charging'!$B$9*'Energy and charging'!$B$7+(1-'Energy and charging'!$B$9)*'Energy and charging'!$B$8)*'Operating costs'!$B$23),"n.a."))</f>
        <v>0</v>
      </c>
      <c r="M88" s="37">
        <f>IF(C88=0,0,IF(P88="Complete",IF(D88="ICE",SUM('Operating costs'!$B$25,'Operating costs'!$B$27,'Operating costs'!$B$29,'Operating costs'!$B$31,'Operating costs'!$B$33,'Operating costs'!$B$35,'Operating costs'!$B$37,'Replacement plan'!$X$27)+'Operating costs'!$B$40*'Operating costs'!$B$42+ROUNDUP(S88*(R88-'Operating costs'!$B$40)*IF('Replacement plan'!$AH$27="",'Operating costs'!$B$7,'Replacement plan'!$AH$27)/('Operating costs'!$B$8-'Operating costs'!$B$9*IF('Replacement plan'!$AH$27="",'Operating costs'!$B$7,'Replacement plan'!$AH$27)),0)*('Operating costs'!$B$9/'Operating costs'!$B$11+'Operating costs'!$B$10/60)*'Operating costs'!$B$19*'Operating costs'!$B$21,SUM(AP88,'Operating costs'!$B$28,'Operating costs'!$B$30,'Operating costs'!$B$32,'Operating costs'!$B$33,'Operating costs'!$B$36,'Operating costs'!$B$38,'Replacement plan'!$Y$27)+'Operating costs'!$B$41*'Operating costs'!$B$43+W88*'Operating costs'!$B$15+(T88*X88/'Replacement plan'!$L$27+W88*('Operating costs'!$B$12/'Operating costs'!$B$11+('Operating costs'!$B$13+'Operating costs'!$B$14)/60)+(R88-'Operating costs'!$B$41)*(IF(T88&lt;1,'Operating costs'!$B$16,0)+'Operating costs'!$B$17)/60)*'Operating costs'!$B$19*'Operating costs'!$B$20),"n.a."))</f>
        <v>0</v>
      </c>
      <c r="N88" s="16">
        <f>IF(AND(C88=1,D88="EV",E88&lt;120,E88+'Replacement plan'!$AA$27&lt;=120),'Replacement plan'!$Z$27,0)</f>
        <v>0</v>
      </c>
      <c r="O88" s="1">
        <f>E88+'Replacement plan'!$AA$27</f>
        <v>0</v>
      </c>
      <c r="P88" s="35" t="str">
        <f>IFERROR(IF(C88=0,"Excluded",IF(OR(COUNTIFS('Fleet register'!$A$7:$A$106,A88)&lt;&gt;1,COUNTIFS('Replacement plan'!$A$7:$A$106,A88)&lt;&gt;1),"Duplicate/missing ID",IF(NOT(AND(ISNUMBER(VLOOKUP($A88,'Fleet register'!$A$7:$S$106,5,FALSE)),ISNUMBER(VLOOKUP($A88,'Fleet register'!$A$7:$S$106,6,FALSE)),ISNUMBER(VLOOKUP($A88,'Fleet register'!$A$7:$S$106,10,FALSE)),ISNUMBER(VLOOKUP($A88,'Fleet register'!$A$7:$S$106,11,FALSE)),ISNUMBER(VLOOKUP($A88,'Fleet register'!$A$7:$S$106,12,FALSE)),ISNUMBER(VLOOKUP($A88,'Fleet register'!$A$7:$S$106,13,FALSE)),ISNUMBER(VLOOKUP($A88,'Fleet register'!$A$7:$S$106,14,FALSE)),VLOOKUP($A88,'Fleet register'!$A$7:$S$106,14,FALSE)&gt;0,ISNUMBER('Replacement plan'!$C$27),OR(E88=120,OR(ISNUMBER('Replacement plan'!$AI$27),AND('Replacement plan'!$AI$27="",ISNUMBER('Operating costs'!$B$56)))),ISNUMBER(E88))),"Missing vehicle input",IF(OR(E88&lt;0,E88&gt;VLOOKUP($A88,'Fleet register'!$A$7:$S$106,10,FALSE),E88&gt;120,E88&lt;&gt;INT(E88),VLOOKUP($A88,'Fleet register'!$A$7:$S$106,6,FALSE)&lt;=0,VLOOKUP($A88,'Fleet register'!$A$7:$S$106,6,FALSE)&gt;366,VLOOKUP($A88,'Fleet register'!$A$7:$S$106,5,FALSE)&lt;0,VLOOKUP($A88,'Fleet register'!$A$7:$S$106,11,FALSE)&lt;0,I88&lt;0,'Operating costs'!$B$8&lt;='Operating costs'!$B$7*'Operating costs'!$B$9,'Operating costs'!$B$11&lt;=0,'Operating costs'!$B$39&gt;R88,'Operating costs'!$B$40&gt;R88,'Operating costs'!$B$41&gt;R88,NOT(OR("New ICE"="Keep ICE","New ICE"="New ICE","New ICE"="EV"))),"Invalid vehicle input",IF(AND(D88="EV",E88&lt;120,OR(NOT(ISNUMBER(U88)),NOT(ISNUMBER(V88)),V88&lt;=0,T88&lt;0,T88&gt;1,'Replacement plan'!$L$27&lt;=0,'Operating costs'!$B$44&lt;0,'Operating costs'!$B$44&gt;=1,'Operating costs'!$B$47&lt;=0,'Operating costs'!$B$47&gt;1,V88*'Operating costs'!$B$47/(1-'Operating costs'!$B$44)&lt;=T88*'Operating costs'!$B$12*U88,AND('Replacement plan'!$Z$27&gt;0,OR('Replacement plan'!$AB$27&lt;&gt;"Yes",'Operating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charging'!$B$8&gt;=0))),ISNUMBER(VLOOKUP($A88,'Fleet register'!$A$7:$S$106,15,FALSE)),ISNUMBER(VLOOKUP($A88,'Fleet register'!$A$7:$S$106,16,FALSE)),ISNUMBER('Replacement plan'!$W$27),ISNUMBER('Replacement plan'!$X$27),OR(E88=120,AND(ISNUMBER(G88),G88&gt;=0)),ISNUMBER(H88),H88&gt;=0,OR(D88&lt;&gt;"EV",E88=120,AND(ISNUMBER('Operating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average",ISNUMBER(IFERROR(INDEX(Products!$P$7:$P$13,MATCH(AD88,Products!$A$7:$A$13,0)),"")))),ISNUMBER('Operating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plan'!$Y$27),ISNUMBER('Replacement plan'!$Z$27),'Replacement plan'!$Z$27&gt;=0,ISNUMBER('Replacement plan'!$AA$27),'Replacement plan'!$AA$27&gt;=0,'Replacement plan'!$AA$27=INT('Replacement plan'!$AA$27),ISNUMBER('Replacement plan'!$L$27))),'Operating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plan'!$AG$27="",'Operating costs'!$B$7,'Replacement plan'!$AG$27)),IF('Replacement plan'!$AG$27="",'Operating costs'!$B$7,'Replacement plan'!$AG$27)&gt;=0,ISNUMBER(IF('Replacement plan'!$AH$27="",'Operating costs'!$B$7,'Replacement plan'!$AH$27)),IF('Replacement plan'!$AH$27="",'Operating costs'!$B$7,'Replacement plan'!$AH$27)&gt;=0,'Operating costs'!$B$8&gt;MAX(IF('Replacement plan'!$AG$27="",'Operating costs'!$B$7,'Replacement plan'!$AG$27),IF('Replacement plan'!$AH$27="",'Operating costs'!$B$7,'Replacement plan'!$AH$27))*'Operating costs'!$B$9),IF(AND(VLOOKUP($A88,'Fleet register'!$A$7:$S$106,10,FALSE)&gt;=0,VLOOKUP($A88,'Fleet register'!$A$7:$S$106,10,FALSE)&lt;=120,VLOOKUP($A88,'Fleet register'!$A$7:$S$106,10,FALSE)=INT(VLOOKUP($A88,'Fleet register'!$A$7:$S$106,10,FALSE)),VLOOKUP($A88,'Fleet register'!$A$7:$S$106,15,FALSE)&gt;=0,VLOOKUP($A88,'Fleet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costs'!$B$67)&gt;=0,OR(D88&lt;&gt;"EV",E88=120,AND(MIN('Operating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88" s="1" t="str">
        <f>IF(C88=0,"Excluded",IF(P88&lt;&gt;"Complete",P88,IF(OR('Replacement plan'!$AD$27&lt;120-E88,AND(D88="EV",E88&lt;120,OR('Replacement plan'!$AC$27&lt;120-E88,'Replacement plan'!$I$27="No",AND(ISNUMBER(AF88),AE88&gt;AF88),AI88&gt;V88*(1-'Operating costs'!$B$46)^MAX(0,AB88-1)*(1-'Operating costs'!$B$45),AC88&gt;'Operating costs'!$B$18,AND(T88&lt;1,OR(AG88&lt;=0,AND(ISNUMBER(AH88),AG88&gt;AH88))),'Replacement plan'!$L$27&gt;INDEX(Products!$H$7:$H$13,MATCH('Replacement plan'!$B$27,Products!$A$7:$A$13,0))))),"Fails entered limits",IF(AND(D88="EV",E88&lt;120,OR(NOT(ISNUMBER(VLOOKUP($A88,'Fleet register'!$A$7:$S$106,7,FALSE))),NOT(ISNUMBER(VLOOKUP($A88,'Fleet register'!$A$7:$S$106,8,FALSE))),NOT(ISNUMBER(AF88)),'Replacement plan'!$I$27&lt;&gt;"Yes",NOT(ISNUMBER(AH88)),'Operating costs'!$B$59&lt;&gt;"Yes",'Operating costs'!$B$58&lt;&gt;"Yes")),"Unverified","Within entered limits"))))</f>
        <v>Excluded</v>
      </c>
      <c r="R88" s="1">
        <f>IF(C88=0,0,VLOOKUP($A88,'Fleet register'!$A$7:$S$106,6,FALSE))</f>
        <v>0</v>
      </c>
      <c r="S88" s="1">
        <f>IF(C88=0,0,VLOOKUP($A88,'Fleet register'!$A$7:$S$106,5,FALSE))</f>
        <v>0</v>
      </c>
      <c r="T88" s="1">
        <f>IF(D88="EV",'Energy and charging'!$B$12,0)</f>
        <v>0</v>
      </c>
      <c r="U88" s="1">
        <f>IFERROR(IF(C88=0,0,IF(D88="EV",IF('Replacement plan'!$F$27="",INDEX(Products!$E$7:$E$13,MATCH('Replacement plan'!$B$27,Products!$A$7:$A$13,0)),'Replacement plan'!$F$27)/IF('Replacement plan'!$G$27="Battery",1-'Operating costs'!$B$44,1),0)),"n.a.")</f>
        <v>0</v>
      </c>
      <c r="V88" s="1">
        <f>IFERROR(IF(C88=0,0,IF(D88="EV",IF('Replacement plan'!$E$27="",INDEX(Products!$D$7:$D$13,MATCH('Replacement plan'!$B$27,Products!$A$7:$A$13,0)),'Replacement plan'!$E$27),0)),"n.a.")</f>
        <v>0</v>
      </c>
      <c r="W88" s="1">
        <f>IF(C88=0,0,IF(AND(P88="Complete",D88="EV",E88&lt;120),IF(T88=0,0,ROUNDUP(T88*(R88-'Operating costs'!$B$41)*(S88*U88+'Operating costs'!$B$48/(1-'Operating costs'!$B$44))/(V88*'Operating costs'!$B$47/(1-'Operating costs'!$B$44)-T88*'Operating costs'!$B$12*U88),0)),0))</f>
        <v>0</v>
      </c>
      <c r="X88" s="1">
        <f>IF(C88=0,0,IF(AND(P88="Complete",D88="EV",E88&lt;120),(R88-'Operating costs'!$B$41)*(S88*U88+'Operating costs'!$B$48/(1-'Operating costs'!$B$44))+W88*'Operating costs'!$B$12*U88,0))</f>
        <v>0</v>
      </c>
      <c r="Y88" s="1">
        <f>IF(AND(C88=1,D88="EV",E88&lt;120),AI88/(1-'Operating costs'!$B$44)*(1-T88),0)</f>
        <v>0</v>
      </c>
      <c r="Z88" s="1">
        <f t="shared" si="2"/>
        <v>0</v>
      </c>
      <c r="AA88" s="1">
        <f>IF(C88=0,0,IF(P88="Complete",((S88*(R88-'Operating costs'!$B$40))+ROUNDUP(S88*(R88-'Operating costs'!$B$40)*IF('Replacement plan'!$AH$27="",'Operating costs'!$B$7,'Replacement plan'!$AH$27)/('Operating costs'!$B$8-'Operating costs'!$B$9*IF('Replacement plan'!$AH$27="",'Operating costs'!$B$7,'Replacement plan'!$AH$27)),0)*'Operating costs'!$B$9)*IF('Replacement plan'!$AH$27="",'Operating costs'!$B$7,'Replacement plan'!$AH$27),"n.a."))</f>
        <v>0</v>
      </c>
      <c r="AB88" s="1">
        <f t="shared" si="3"/>
        <v>0</v>
      </c>
      <c r="AC88" s="1">
        <f>IF(AND(C88=1,D88="EV",E88&lt;120,T88&gt;0),'Operating costs'!$B$12/'Operating costs'!$B$11*60+'Operating costs'!$B$13+'Operating costs'!$B$14+V88*'Operating costs'!$B$47/(1-'Operating costs'!$B$44)/'Replacement plan'!$L$27*60,0)</f>
        <v>0</v>
      </c>
      <c r="AD88" s="1" t="str">
        <f>'Replacement plan'!$B$27</f>
        <v>ChengLong L2EV</v>
      </c>
      <c r="AE88" s="1">
        <f>IF(C88=0,0,VLOOKUP($A88,'Fleet register'!$A$7:$S$106,8,FALSE))</f>
        <v>0</v>
      </c>
      <c r="AF88" s="1" t="str">
        <f>IF('Replacement plan'!$H$27="","n.a.",'Replacement plan'!$H$27)</f>
        <v>n.a.</v>
      </c>
      <c r="AG88" s="1">
        <f>'Replacement plan'!$J$27</f>
        <v>22</v>
      </c>
      <c r="AH88" s="1">
        <f>IFERROR(IF(D88="EV",IF('Replacement plan'!$K$27="AC",IF(ISNUMBER(INDEX(Products!$G$7:$G$13,MATCH('Replacement plan'!$B$27,Products!$A$7:$A$13,0))),INDEX(Products!$G$7:$G$13,MATCH('Replacement plan'!$B$27,Products!$A$7:$A$13,0)),"n.a."),IF(ISNUMBER(INDEX(Products!$H$7:$H$13,MATCH('Replacement plan'!$B$27,Products!$A$7:$A$13,0))),INDEX(Products!$H$7:$H$13,MATCH('Replacement plan'!$B$27,Products!$A$7:$A$13,0)),"n.a.")),0),"n.a.")</f>
        <v>0</v>
      </c>
      <c r="AI88" s="1">
        <f>IF(AND(C88=1,D88="EV",E88&lt;120),(VLOOKUP($A88,'Fleet register'!$A$7:$S$106,7,FALSE)+IF(T88&gt;0,'Operating costs'!$B$12,0))*U88*(1-'Operating costs'!$B$44)+'Operating costs'!$B$49,0)</f>
        <v>0</v>
      </c>
      <c r="AJ88" s="1">
        <f>IF(D88="EV",'Energy and charging'!$B$50,0)</f>
        <v>0</v>
      </c>
      <c r="AK88" s="17">
        <f>EDATE('Operating costs'!$B$63,E88)</f>
        <v>46298</v>
      </c>
      <c r="AL88" s="1">
        <f>IFERROR(IF(D88="EV",INDEX(Products!$B$7:$B$13,MATCH('Replacement plan'!$B$27,Products!$A$7:$A$13,0)),0),"n.a.")</f>
        <v>0</v>
      </c>
      <c r="AM88" s="1" t="str">
        <f>'Replacement plan'!$K$27</f>
        <v>DC</v>
      </c>
      <c r="AN88" s="1" t="str">
        <f>'Replacement plan'!$AE$27</f>
        <v>Assumed</v>
      </c>
      <c r="AO88" s="47">
        <f>IF(AND(C88=1,D88="EV",E88&lt;120),(R88-'Operating costs'!$B$41)*S88+W88*'Operating costs'!$B$12,0)</f>
        <v>0</v>
      </c>
      <c r="AP88" s="41">
        <f>IF(AND(C88=1,D88="EV",E88&lt;120),IF('Operating costs'!$B$68="Hong Seh 200k average",AO88*IFERROR(INDEX(Products!$P$7:$P$13,MATCH(AD88,Products!$A$7:$A$13,0)),"n.a."),'Operating costs'!$B$26),0)</f>
        <v>0</v>
      </c>
      <c r="AQ88" s="40" t="str">
        <f>IF(D88="EV",'Operating costs'!$B$68,"Not applicable")</f>
        <v>Not applicable</v>
      </c>
    </row>
    <row r="89" spans="1:43" ht="24" customHeight="1">
      <c r="A89" s="1" t="str">
        <f>'Replacement plan'!A27</f>
        <v>T021</v>
      </c>
      <c r="B89" s="1">
        <v>2</v>
      </c>
      <c r="C89" s="1">
        <f>IF(COUNTIFS('Fleet register'!$A$7:$A$106,$A89)=1,VLOOKUP($A89,'Fleet register'!$A$7:$S$106,2,FALSE),0)</f>
        <v>0</v>
      </c>
      <c r="D89" s="1" t="str">
        <f>IF('Replacement plan'!$O$27="EV","EV","ICE")</f>
        <v>ICE</v>
      </c>
      <c r="E89" s="1">
        <f>IF(C89=0,0,IF('Replacement plan'!$P$27="",IF('Replacement plan'!$O$27="Keep ICE",IF('Replacement plan'!$M$27="",VLOOKUP($A89,'Fleet register'!$A$7:$S$106,10,FALSE),'Replacement plan'!$M$27),0),'Replacement plan'!$P$27))</f>
        <v>0</v>
      </c>
      <c r="F89" s="16">
        <f>IF(C89=0,0,VLOOKUP($A89,'Fleet register'!$A$7:$S$106,11,FALSE))</f>
        <v>0</v>
      </c>
      <c r="G89" s="16">
        <f>IFERROR(IF(C89=0,0,IF(E89=120,0,IF(D89="ICE",'Replacement plan'!$C$27,IF('Replacement plan'!$D$27="",INDEX(Products!$I$7:$I$13,MATCH('Replacement plan'!$B$27,Products!$A$7:$A$13,0))+'Operating costs'!$B$57,'Replacement plan'!$D$27))*(1+'Operating costs'!$B$50)^(E89/12))),"n.a.")</f>
        <v>0</v>
      </c>
      <c r="H89" s="16">
        <f>IFERROR(IF(C89=0,0,IF('Replacement plan'!$U$27&lt;&gt;"",'Replacement plan'!$U$27,IF(E89=0,F89,VLOOKUP($A89,'Fleet register'!$A$7:$S$106,12,FALSE)+VLOOKUP($A89,'Fleet register'!$A$7:$S$106,13,FALSE)*MAX(0,VLOOKUP($A89,'Fleet register'!$A$7:$S$106,10,FALSE)-E89)/VLOOKUP($A89,'Fleet register'!$A$7:$S$106,14,FALSE)))),"n.a.")</f>
        <v>0</v>
      </c>
      <c r="I89" s="16">
        <f>IF(C89=0,0,IF(E89=120,0,'Replacement plan'!$Q$27))</f>
        <v>0</v>
      </c>
      <c r="J89" s="16">
        <f>IF(C89=0,0,IF(P89="Complete",((S89*(R89-'Operating costs'!$B$39))+ROUNDUP(S89*(R89-'Operating costs'!$B$39)*IF('Replacement plan'!$AG$27="",'Operating costs'!$B$7,'Replacement plan'!$AG$27)/('Operating costs'!$B$8-'Operating costs'!$B$9*IF('Replacement plan'!$AG$27="",'Operating costs'!$B$7,'Replacement plan'!$AG$27)),0)*'Operating costs'!$B$9)*IF('Replacement plan'!$AG$27="",'Operating costs'!$B$7,'Replacement plan'!$AG$27)*('Energy and charging'!$B$9*'Energy and charging'!$B$7+(1-'Energy and charging'!$B$9)*'Energy and charging'!$B$8)*'Operating costs'!$B$23,"n.a."))</f>
        <v>0</v>
      </c>
      <c r="K89" s="16">
        <f>IF(C89=0,0,IF(P89="Complete",SUM('Operating costs'!$B$24,'Operating costs'!$B$27,'Operating costs'!$B$29,'Operating costs'!$B$31,'Operating costs'!$B$33,'Operating costs'!$B$34,'Operating costs'!$B$37,'Replacement plan'!$W$27)+'Operating costs'!$B$39*'Operating costs'!$B$42+ROUNDUP(S89*(R89-'Operating costs'!$B$39)*IF('Replacement plan'!$AG$27="",'Operating costs'!$B$7,'Replacement plan'!$AG$27)/('Operating costs'!$B$8-'Operating costs'!$B$9*IF('Replacement plan'!$AG$27="",'Operating costs'!$B$7,'Replacement plan'!$AG$27)),0)*('Operating costs'!$B$9/'Operating costs'!$B$11+'Operating costs'!$B$10/60)*'Operating costs'!$B$19*'Operating costs'!$B$21,"n.a."))</f>
        <v>0</v>
      </c>
      <c r="L89" s="16">
        <f>IF(C89=0,0,IF(P89="Complete",IF(D89="EV",X89*((1-T89)*'Energy and charging'!$B$10+T89*'Energy and charging'!$B$11)*'Operating costs'!$B$22,AA89*('Energy and charging'!$B$9*'Energy and charging'!$B$7+(1-'Energy and charging'!$B$9)*'Energy and charging'!$B$8)*'Operating costs'!$B$23),"n.a."))</f>
        <v>0</v>
      </c>
      <c r="M89" s="37">
        <f>IF(C89=0,0,IF(P89="Complete",IF(D89="ICE",SUM('Operating costs'!$B$25,'Operating costs'!$B$27,'Operating costs'!$B$29,'Operating costs'!$B$31,'Operating costs'!$B$33,'Operating costs'!$B$35,'Operating costs'!$B$37,'Replacement plan'!$X$27)+'Operating costs'!$B$40*'Operating costs'!$B$42+ROUNDUP(S89*(R89-'Operating costs'!$B$40)*IF('Replacement plan'!$AH$27="",'Operating costs'!$B$7,'Replacement plan'!$AH$27)/('Operating costs'!$B$8-'Operating costs'!$B$9*IF('Replacement plan'!$AH$27="",'Operating costs'!$B$7,'Replacement plan'!$AH$27)),0)*('Operating costs'!$B$9/'Operating costs'!$B$11+'Operating costs'!$B$10/60)*'Operating costs'!$B$19*'Operating costs'!$B$21,SUM(AP89,'Operating costs'!$B$28,'Operating costs'!$B$30,'Operating costs'!$B$32,'Operating costs'!$B$33,'Operating costs'!$B$36,'Operating costs'!$B$38,'Replacement plan'!$Y$27)+'Operating costs'!$B$41*'Operating costs'!$B$43+W89*'Operating costs'!$B$15+(T89*X89/'Replacement plan'!$L$27+W89*('Operating costs'!$B$12/'Operating costs'!$B$11+('Operating costs'!$B$13+'Operating costs'!$B$14)/60)+(R89-'Operating costs'!$B$41)*(IF(T89&lt;1,'Operating costs'!$B$16,0)+'Operating costs'!$B$17)/60)*'Operating costs'!$B$19*'Operating costs'!$B$20),"n.a."))</f>
        <v>0</v>
      </c>
      <c r="N89" s="16">
        <f>IF(AND(C89=1,D89="EV",E89&lt;120,E89+'Replacement plan'!$AA$27&lt;=120),'Replacement plan'!$Z$27,0)</f>
        <v>0</v>
      </c>
      <c r="O89" s="1">
        <f>E89+'Replacement plan'!$AA$27</f>
        <v>0</v>
      </c>
      <c r="P89" s="35" t="str">
        <f>IFERROR(IF(C89=0,"Excluded",IF(OR(COUNTIFS('Fleet register'!$A$7:$A$106,A89)&lt;&gt;1,COUNTIFS('Replacement plan'!$A$7:$A$106,A89)&lt;&gt;1),"Duplicate/missing ID",IF(NOT(AND(ISNUMBER(VLOOKUP($A89,'Fleet register'!$A$7:$S$106,5,FALSE)),ISNUMBER(VLOOKUP($A89,'Fleet register'!$A$7:$S$106,6,FALSE)),ISNUMBER(VLOOKUP($A89,'Fleet register'!$A$7:$S$106,10,FALSE)),ISNUMBER(VLOOKUP($A89,'Fleet register'!$A$7:$S$106,11,FALSE)),ISNUMBER(VLOOKUP($A89,'Fleet register'!$A$7:$S$106,12,FALSE)),ISNUMBER(VLOOKUP($A89,'Fleet register'!$A$7:$S$106,13,FALSE)),ISNUMBER(VLOOKUP($A89,'Fleet register'!$A$7:$S$106,14,FALSE)),VLOOKUP($A89,'Fleet register'!$A$7:$S$106,14,FALSE)&gt;0,ISNUMBER('Replacement plan'!$C$27),OR(E89=120,ISNUMBER('Replacement plan'!$Q$27)),ISNUMBER(E89))),"Missing vehicle input",IF(OR(E89&lt;0,E89&gt;VLOOKUP($A89,'Fleet register'!$A$7:$S$106,10,FALSE),E89&gt;120,E89&lt;&gt;INT(E89),VLOOKUP($A89,'Fleet register'!$A$7:$S$106,6,FALSE)&lt;=0,VLOOKUP($A89,'Fleet register'!$A$7:$S$106,6,FALSE)&gt;366,VLOOKUP($A89,'Fleet register'!$A$7:$S$106,5,FALSE)&lt;0,VLOOKUP($A89,'Fleet register'!$A$7:$S$106,11,FALSE)&lt;0,I89&lt;0,'Operating costs'!$B$8&lt;='Operating costs'!$B$7*'Operating costs'!$B$9,'Operating costs'!$B$11&lt;=0,'Operating costs'!$B$39&gt;R89,'Operating costs'!$B$40&gt;R89,'Operating costs'!$B$41&gt;R89,NOT(OR('Replacement plan'!$O$27="Keep ICE",'Replacement plan'!$O$27="New ICE",'Replacement plan'!$O$27="EV"))),"Invalid vehicle input",IF(AND(D89="EV",E89&lt;120,OR(NOT(ISNUMBER(U89)),NOT(ISNUMBER(V89)),V89&lt;=0,T89&lt;0,T89&gt;1,'Replacement plan'!$L$27&lt;=0,'Operating costs'!$B$44&lt;0,'Operating costs'!$B$44&gt;=1,'Operating costs'!$B$47&lt;=0,'Operating costs'!$B$47&gt;1,V89*'Operating costs'!$B$47/(1-'Operating costs'!$B$44)&lt;=T89*'Operating costs'!$B$12*U89,AND('Replacement plan'!$Z$27&gt;0,OR('Replacement plan'!$AB$27&lt;&gt;"Yes",'Operating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charging'!$B$8&gt;=0))),ISNUMBER(VLOOKUP($A89,'Fleet register'!$A$7:$S$106,15,FALSE)),ISNUMBER(VLOOKUP($A89,'Fleet register'!$A$7:$S$106,16,FALSE)),ISNUMBER('Replacement plan'!$W$27),ISNUMBER('Replacement plan'!$X$27),OR(E89=120,AND(ISNUMBER(G89),G89&gt;=0)),ISNUMBER(H89),H89&gt;=0,OR(D89&lt;&gt;"EV",E89=120,AND(ISNUMBER('Operating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average",ISNUMBER(IFERROR(INDEX(Products!$P$7:$P$13,MATCH(AD89,Products!$A$7:$A$13,0)),"")))),ISNUMBER('Operating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plan'!$Y$27),ISNUMBER('Replacement plan'!$Z$27),'Replacement plan'!$Z$27&gt;=0,ISNUMBER('Replacement plan'!$AA$27),'Replacement plan'!$AA$27&gt;=0,'Replacement plan'!$AA$27=INT('Replacement plan'!$AA$27),ISNUMBER('Replacement plan'!$L$27))),'Operating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plan'!$AG$27="",'Operating costs'!$B$7,'Replacement plan'!$AG$27)),IF('Replacement plan'!$AG$27="",'Operating costs'!$B$7,'Replacement plan'!$AG$27)&gt;=0,ISNUMBER(IF('Replacement plan'!$AH$27="",'Operating costs'!$B$7,'Replacement plan'!$AH$27)),IF('Replacement plan'!$AH$27="",'Operating costs'!$B$7,'Replacement plan'!$AH$27)&gt;=0,'Operating costs'!$B$8&gt;MAX(IF('Replacement plan'!$AG$27="",'Operating costs'!$B$7,'Replacement plan'!$AG$27),IF('Replacement plan'!$AH$27="",'Operating costs'!$B$7,'Replacement plan'!$AH$27))*'Operating costs'!$B$9),IF(AND(VLOOKUP($A89,'Fleet register'!$A$7:$S$106,10,FALSE)&gt;=0,VLOOKUP($A89,'Fleet register'!$A$7:$S$106,10,FALSE)&lt;=120,VLOOKUP($A89,'Fleet register'!$A$7:$S$106,10,FALSE)=INT(VLOOKUP($A89,'Fleet register'!$A$7:$S$106,10,FALSE)),VLOOKUP($A89,'Fleet register'!$A$7:$S$106,15,FALSE)&gt;=0,VLOOKUP($A89,'Fleet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costs'!$B$67)&gt;=0,OR(D89&lt;&gt;"EV",E89=120,AND(MIN('Operating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89" s="1" t="str">
        <f>IF(C89=0,"Excluded",IF(P89&lt;&gt;"Complete",P89,IF(OR('Replacement plan'!$AD$27&lt;120-E89,AND(D89="EV",E89&lt;120,OR('Replacement plan'!$AC$27&lt;120-E89,'Replacement plan'!$I$27="No",AND(ISNUMBER(AF89),AE89&gt;AF89),AI89&gt;V89*(1-'Operating costs'!$B$46)^MAX(0,AB89-1)*(1-'Operating costs'!$B$45),AC89&gt;'Operating costs'!$B$18,AND(T89&lt;1,OR(AG89&lt;=0,AND(ISNUMBER(AH89),AG89&gt;AH89))),'Replacement plan'!$L$27&gt;INDEX(Products!$H$7:$H$13,MATCH('Replacement plan'!$B$27,Products!$A$7:$A$13,0))))),"Fails entered limits",IF(AND(D89="EV",E89&lt;120,OR(NOT(ISNUMBER(VLOOKUP($A89,'Fleet register'!$A$7:$S$106,7,FALSE))),NOT(ISNUMBER(VLOOKUP($A89,'Fleet register'!$A$7:$S$106,8,FALSE))),NOT(ISNUMBER(AF89)),'Replacement plan'!$I$27&lt;&gt;"Yes",NOT(ISNUMBER(AH89)),'Operating costs'!$B$59&lt;&gt;"Yes",'Operating costs'!$B$58&lt;&gt;"Yes")),"Unverified","Within entered limits"))))</f>
        <v>Excluded</v>
      </c>
      <c r="R89" s="1">
        <f>IF(C89=0,0,VLOOKUP($A89,'Fleet register'!$A$7:$S$106,6,FALSE))</f>
        <v>0</v>
      </c>
      <c r="S89" s="1">
        <f>IF(C89=0,0,VLOOKUP($A89,'Fleet register'!$A$7:$S$106,5,FALSE))</f>
        <v>0</v>
      </c>
      <c r="T89" s="1">
        <f>IF(D89="EV",'Energy and charging'!$B$12,0)</f>
        <v>0</v>
      </c>
      <c r="U89" s="1">
        <f>IFERROR(IF(C89=0,0,IF(D89="EV",IF('Replacement plan'!$F$27="",INDEX(Products!$E$7:$E$13,MATCH('Replacement plan'!$B$27,Products!$A$7:$A$13,0)),'Replacement plan'!$F$27)/IF('Replacement plan'!$G$27="Battery",1-'Operating costs'!$B$44,1),0)),"n.a.")</f>
        <v>0</v>
      </c>
      <c r="V89" s="1">
        <f>IFERROR(IF(C89=0,0,IF(D89="EV",IF('Replacement plan'!$E$27="",INDEX(Products!$D$7:$D$13,MATCH('Replacement plan'!$B$27,Products!$A$7:$A$13,0)),'Replacement plan'!$E$27),0)),"n.a.")</f>
        <v>0</v>
      </c>
      <c r="W89" s="1">
        <f>IF(C89=0,0,IF(AND(P89="Complete",D89="EV",E89&lt;120),IF(T89=0,0,ROUNDUP(T89*(R89-'Operating costs'!$B$41)*(S89*U89+'Operating costs'!$B$48/(1-'Operating costs'!$B$44))/(V89*'Operating costs'!$B$47/(1-'Operating costs'!$B$44)-T89*'Operating costs'!$B$12*U89),0)),0))</f>
        <v>0</v>
      </c>
      <c r="X89" s="1">
        <f>IF(C89=0,0,IF(AND(P89="Complete",D89="EV",E89&lt;120),(R89-'Operating costs'!$B$41)*(S89*U89+'Operating costs'!$B$48/(1-'Operating costs'!$B$44))+W89*'Operating costs'!$B$12*U89,0))</f>
        <v>0</v>
      </c>
      <c r="Y89" s="1">
        <f>IF(AND(C89=1,D89="EV",E89&lt;120),AI89/(1-'Operating costs'!$B$44)*(1-T89),0)</f>
        <v>0</v>
      </c>
      <c r="Z89" s="1">
        <f t="shared" si="2"/>
        <v>0</v>
      </c>
      <c r="AA89" s="1">
        <f>IF(C89=0,0,IF(P89="Complete",((S89*(R89-'Operating costs'!$B$40))+ROUNDUP(S89*(R89-'Operating costs'!$B$40)*IF('Replacement plan'!$AH$27="",'Operating costs'!$B$7,'Replacement plan'!$AH$27)/('Operating costs'!$B$8-'Operating costs'!$B$9*IF('Replacement plan'!$AH$27="",'Operating costs'!$B$7,'Replacement plan'!$AH$27)),0)*'Operating costs'!$B$9)*IF('Replacement plan'!$AH$27="",'Operating costs'!$B$7,'Replacement plan'!$AH$27),"n.a."))</f>
        <v>0</v>
      </c>
      <c r="AB89" s="1">
        <f t="shared" si="3"/>
        <v>0</v>
      </c>
      <c r="AC89" s="1">
        <f>IF(AND(C89=1,D89="EV",E89&lt;120,T89&gt;0),'Operating costs'!$B$12/'Operating costs'!$B$11*60+'Operating costs'!$B$13+'Operating costs'!$B$14+V89*'Operating costs'!$B$47/(1-'Operating costs'!$B$44)/'Replacement plan'!$L$27*60,0)</f>
        <v>0</v>
      </c>
      <c r="AD89" s="1" t="str">
        <f>'Replacement plan'!$B$27</f>
        <v>ChengLong L2EV</v>
      </c>
      <c r="AE89" s="1">
        <f>IF(C89=0,0,VLOOKUP($A89,'Fleet register'!$A$7:$S$106,8,FALSE))</f>
        <v>0</v>
      </c>
      <c r="AF89" s="1" t="str">
        <f>IF('Replacement plan'!$H$27="","n.a.",'Replacement plan'!$H$27)</f>
        <v>n.a.</v>
      </c>
      <c r="AG89" s="1">
        <f>'Replacement plan'!$J$27</f>
        <v>22</v>
      </c>
      <c r="AH89" s="1">
        <f>IFERROR(IF(D89="EV",IF('Replacement plan'!$K$27="AC",IF(ISNUMBER(INDEX(Products!$G$7:$G$13,MATCH('Replacement plan'!$B$27,Products!$A$7:$A$13,0))),INDEX(Products!$G$7:$G$13,MATCH('Replacement plan'!$B$27,Products!$A$7:$A$13,0)),"n.a."),IF(ISNUMBER(INDEX(Products!$H$7:$H$13,MATCH('Replacement plan'!$B$27,Products!$A$7:$A$13,0))),INDEX(Products!$H$7:$H$13,MATCH('Replacement plan'!$B$27,Products!$A$7:$A$13,0)),"n.a.")),0),"n.a.")</f>
        <v>0</v>
      </c>
      <c r="AI89" s="1">
        <f>IF(AND(C89=1,D89="EV",E89&lt;120),(VLOOKUP($A89,'Fleet register'!$A$7:$S$106,7,FALSE)+IF(T89&gt;0,'Operating costs'!$B$12,0))*U89*(1-'Operating costs'!$B$44)+'Operating costs'!$B$49,0)</f>
        <v>0</v>
      </c>
      <c r="AJ89" s="1">
        <f>IF(D89="EV",'Energy and charging'!$B$50,0)</f>
        <v>0</v>
      </c>
      <c r="AK89" s="17">
        <f>EDATE('Operating costs'!$B$63,E89)</f>
        <v>46298</v>
      </c>
      <c r="AL89" s="1">
        <f>IFERROR(IF(D89="EV",INDEX(Products!$B$7:$B$13,MATCH('Replacement plan'!$B$27,Products!$A$7:$A$13,0)),0),"n.a.")</f>
        <v>0</v>
      </c>
      <c r="AM89" s="1" t="str">
        <f>'Replacement plan'!$K$27</f>
        <v>DC</v>
      </c>
      <c r="AN89" s="1" t="str">
        <f>'Replacement plan'!$AE$27</f>
        <v>Assumed</v>
      </c>
      <c r="AO89" s="47">
        <f>IF(AND(C89=1,D89="EV",E89&lt;120),(R89-'Operating costs'!$B$41)*S89+W89*'Operating costs'!$B$12,0)</f>
        <v>0</v>
      </c>
      <c r="AP89" s="41">
        <f>IF(AND(C89=1,D89="EV",E89&lt;120),IF('Operating costs'!$B$68="Hong Seh 200k average",AO89*IFERROR(INDEX(Products!$P$7:$P$13,MATCH(AD89,Products!$A$7:$A$13,0)),"n.a."),'Operating costs'!$B$26),0)</f>
        <v>0</v>
      </c>
      <c r="AQ89" s="40" t="str">
        <f>IF(D89="EV",'Operating costs'!$B$68,"Not applicable")</f>
        <v>Not applicable</v>
      </c>
    </row>
    <row r="90" spans="1:43" ht="24" customHeight="1">
      <c r="A90" s="1" t="str">
        <f>'Replacement plan'!A27</f>
        <v>T021</v>
      </c>
      <c r="B90" s="1">
        <v>3</v>
      </c>
      <c r="C90" s="1">
        <f>IF(COUNTIFS('Fleet register'!$A$7:$A$106,$A90)=1,VLOOKUP($A90,'Fleet register'!$A$7:$S$106,2,FALSE),0)</f>
        <v>0</v>
      </c>
      <c r="D90" s="1" t="str">
        <f>IF('Replacement plan'!$R$27="EV","EV","ICE")</f>
        <v>ICE</v>
      </c>
      <c r="E90" s="1">
        <f>IF(C90=0,0,IF('Replacement plan'!$S$27="",IF('Replacement plan'!$R$27="Keep ICE",IF('Replacement plan'!$M$27="",VLOOKUP($A90,'Fleet register'!$A$7:$S$106,10,FALSE),'Replacement plan'!$M$27),0),'Replacement plan'!$S$27))</f>
        <v>0</v>
      </c>
      <c r="F90" s="16">
        <f>IF(C90=0,0,VLOOKUP($A90,'Fleet register'!$A$7:$S$106,11,FALSE))</f>
        <v>0</v>
      </c>
      <c r="G90" s="16">
        <f>IFERROR(IF(C90=0,0,IF(E90=120,0,IF(D90="ICE",'Replacement plan'!$C$27,IF('Replacement plan'!$D$27="",INDEX(Products!$I$7:$I$13,MATCH('Replacement plan'!$B$27,Products!$A$7:$A$13,0))+'Operating costs'!$B$57,'Replacement plan'!$D$27))*(1+'Operating costs'!$B$50)^(E90/12))),"n.a.")</f>
        <v>0</v>
      </c>
      <c r="H90" s="16">
        <f>IFERROR(IF(C90=0,0,IF('Replacement plan'!$V$27&lt;&gt;"",'Replacement plan'!$V$27,IF(E90=0,F90,VLOOKUP($A90,'Fleet register'!$A$7:$S$106,12,FALSE)+VLOOKUP($A90,'Fleet register'!$A$7:$S$106,13,FALSE)*MAX(0,VLOOKUP($A90,'Fleet register'!$A$7:$S$106,10,FALSE)-E90)/VLOOKUP($A90,'Fleet register'!$A$7:$S$106,14,FALSE)))),"n.a.")</f>
        <v>0</v>
      </c>
      <c r="I90" s="16">
        <f>IF(C90=0,0,IF(E90=120,0,'Replacement plan'!$T$27))</f>
        <v>0</v>
      </c>
      <c r="J90" s="16">
        <f>IF(C90=0,0,IF(P90="Complete",((S90*(R90-'Operating costs'!$B$39))+ROUNDUP(S90*(R90-'Operating costs'!$B$39)*IF('Replacement plan'!$AG$27="",'Operating costs'!$B$7,'Replacement plan'!$AG$27)/('Operating costs'!$B$8-'Operating costs'!$B$9*IF('Replacement plan'!$AG$27="",'Operating costs'!$B$7,'Replacement plan'!$AG$27)),0)*'Operating costs'!$B$9)*IF('Replacement plan'!$AG$27="",'Operating costs'!$B$7,'Replacement plan'!$AG$27)*('Energy and charging'!$C$9*'Energy and charging'!$C$7+(1-'Energy and charging'!$C$9)*'Energy and charging'!$C$8)*'Operating costs'!$B$23,"n.a."))</f>
        <v>0</v>
      </c>
      <c r="K90" s="16">
        <f>IF(C90=0,0,IF(P90="Complete",SUM('Operating costs'!$B$24,'Operating costs'!$B$27,'Operating costs'!$B$29,'Operating costs'!$B$31,'Operating costs'!$B$33,'Operating costs'!$B$34,'Operating costs'!$B$37,'Replacement plan'!$W$27)+'Operating costs'!$B$39*'Operating costs'!$B$42+ROUNDUP(S90*(R90-'Operating costs'!$B$39)*IF('Replacement plan'!$AG$27="",'Operating costs'!$B$7,'Replacement plan'!$AG$27)/('Operating costs'!$B$8-'Operating costs'!$B$9*IF('Replacement plan'!$AG$27="",'Operating costs'!$B$7,'Replacement plan'!$AG$27)),0)*('Operating costs'!$B$9/'Operating costs'!$B$11+'Operating costs'!$B$10/60)*'Operating costs'!$B$19*'Operating costs'!$B$21,"n.a."))</f>
        <v>0</v>
      </c>
      <c r="L90" s="16">
        <f>IF(C90=0,0,IF(P90="Complete",IF(D90="EV",X90*((1-T90)*'Energy and charging'!$C$10+T90*'Energy and charging'!$C$11)*'Operating costs'!$B$22,AA90*('Energy and charging'!$C$9*'Energy and charging'!$C$7+(1-'Energy and charging'!$C$9)*'Energy and charging'!$C$8)*'Operating costs'!$B$23),"n.a."))</f>
        <v>0</v>
      </c>
      <c r="M90" s="37">
        <f>IF(C90=0,0,IF(P90="Complete",IF(D90="ICE",SUM('Operating costs'!$B$25,'Operating costs'!$B$27,'Operating costs'!$B$29,'Operating costs'!$B$31,'Operating costs'!$B$33,'Operating costs'!$B$35,'Operating costs'!$B$37,'Replacement plan'!$X$27)+'Operating costs'!$B$40*'Operating costs'!$B$42+ROUNDUP(S90*(R90-'Operating costs'!$B$40)*IF('Replacement plan'!$AH$27="",'Operating costs'!$B$7,'Replacement plan'!$AH$27)/('Operating costs'!$B$8-'Operating costs'!$B$9*IF('Replacement plan'!$AH$27="",'Operating costs'!$B$7,'Replacement plan'!$AH$27)),0)*('Operating costs'!$B$9/'Operating costs'!$B$11+'Operating costs'!$B$10/60)*'Operating costs'!$B$19*'Operating costs'!$B$21,SUM(AP90,'Operating costs'!$B$28,'Operating costs'!$B$30,'Operating costs'!$B$32,'Operating costs'!$B$33,'Operating costs'!$B$36,'Operating costs'!$B$38,'Replacement plan'!$Y$27)+'Operating costs'!$B$41*'Operating costs'!$B$43+W90*'Operating costs'!$B$15+(T90*X90/'Replacement plan'!$L$27+W90*('Operating costs'!$B$12/'Operating costs'!$B$11+('Operating costs'!$B$13+'Operating costs'!$B$14)/60)+(R90-'Operating costs'!$B$41)*(IF(T90&lt;1,'Operating costs'!$B$16,0)+'Operating costs'!$B$17)/60)*'Operating costs'!$B$19*'Operating costs'!$B$20),"n.a."))</f>
        <v>0</v>
      </c>
      <c r="N90" s="16">
        <f>IF(AND(C90=1,D90="EV",E90&lt;120,E90+'Replacement plan'!$AA$27&lt;=120),'Replacement plan'!$Z$27,0)</f>
        <v>0</v>
      </c>
      <c r="O90" s="1">
        <f>E90+'Replacement plan'!$AA$27</f>
        <v>0</v>
      </c>
      <c r="P90" s="35" t="str">
        <f>IFERROR(IF(C90=0,"Excluded",IF(OR(COUNTIFS('Fleet register'!$A$7:$A$106,A90)&lt;&gt;1,COUNTIFS('Replacement plan'!$A$7:$A$106,A90)&lt;&gt;1),"Duplicate/missing ID",IF(NOT(AND(ISNUMBER(VLOOKUP($A90,'Fleet register'!$A$7:$S$106,5,FALSE)),ISNUMBER(VLOOKUP($A90,'Fleet register'!$A$7:$S$106,6,FALSE)),ISNUMBER(VLOOKUP($A90,'Fleet register'!$A$7:$S$106,10,FALSE)),ISNUMBER(VLOOKUP($A90,'Fleet register'!$A$7:$S$106,11,FALSE)),ISNUMBER(VLOOKUP($A90,'Fleet register'!$A$7:$S$106,12,FALSE)),ISNUMBER(VLOOKUP($A90,'Fleet register'!$A$7:$S$106,13,FALSE)),ISNUMBER(VLOOKUP($A90,'Fleet register'!$A$7:$S$106,14,FALSE)),VLOOKUP($A90,'Fleet register'!$A$7:$S$106,14,FALSE)&gt;0,ISNUMBER('Replacement plan'!$C$27),OR(E90=120,ISNUMBER('Replacement plan'!$T$27)),ISNUMBER(E90))),"Missing vehicle input",IF(OR(E90&lt;0,E90&gt;VLOOKUP($A90,'Fleet register'!$A$7:$S$106,10,FALSE),E90&gt;120,E90&lt;&gt;INT(E90),VLOOKUP($A90,'Fleet register'!$A$7:$S$106,6,FALSE)&lt;=0,VLOOKUP($A90,'Fleet register'!$A$7:$S$106,6,FALSE)&gt;366,VLOOKUP($A90,'Fleet register'!$A$7:$S$106,5,FALSE)&lt;0,VLOOKUP($A90,'Fleet register'!$A$7:$S$106,11,FALSE)&lt;0,I90&lt;0,'Operating costs'!$B$8&lt;='Operating costs'!$B$7*'Operating costs'!$B$9,'Operating costs'!$B$11&lt;=0,'Operating costs'!$B$39&gt;R90,'Operating costs'!$B$40&gt;R90,'Operating costs'!$B$41&gt;R90,NOT(OR('Replacement plan'!$R$27="Keep ICE",'Replacement plan'!$R$27="New ICE",'Replacement plan'!$R$27="EV"))),"Invalid vehicle input",IF(AND(D90="EV",E90&lt;120,OR(NOT(ISNUMBER(U90)),NOT(ISNUMBER(V90)),V90&lt;=0,T90&lt;0,T90&gt;1,'Replacement plan'!$L$27&lt;=0,'Operating costs'!$B$44&lt;0,'Operating costs'!$B$44&gt;=1,'Operating costs'!$B$47&lt;=0,'Operating costs'!$B$47&gt;1,V90*'Operating costs'!$B$47/(1-'Operating costs'!$B$44)&lt;=T90*'Operating costs'!$B$12*U90,AND('Replacement plan'!$Z$27&gt;0,OR('Replacement plan'!$AB$27&lt;&gt;"Yes",'Operating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charging'!$C$8&gt;=0))),ISNUMBER(VLOOKUP($A90,'Fleet register'!$A$7:$S$106,15,FALSE)),ISNUMBER(VLOOKUP($A90,'Fleet register'!$A$7:$S$106,16,FALSE)),ISNUMBER('Replacement plan'!$W$27),ISNUMBER('Replacement plan'!$X$27),OR(E90=120,AND(ISNUMBER(G90),G90&gt;=0)),ISNUMBER(H90),H90&gt;=0,OR(D90&lt;&gt;"EV",E90=120,AND(ISNUMBER('Operating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average",ISNUMBER(IFERROR(INDEX(Products!$P$7:$P$13,MATCH(AD90,Products!$A$7:$A$13,0)),"")))),ISNUMBER('Operating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plan'!$Y$27),ISNUMBER('Replacement plan'!$Z$27),'Replacement plan'!$Z$27&gt;=0,ISNUMBER('Replacement plan'!$AA$27),'Replacement plan'!$AA$27&gt;=0,'Replacement plan'!$AA$27=INT('Replacement plan'!$AA$27),ISNUMBER('Replacement plan'!$L$27))),'Operating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plan'!$AG$27="",'Operating costs'!$B$7,'Replacement plan'!$AG$27)),IF('Replacement plan'!$AG$27="",'Operating costs'!$B$7,'Replacement plan'!$AG$27)&gt;=0,ISNUMBER(IF('Replacement plan'!$AH$27="",'Operating costs'!$B$7,'Replacement plan'!$AH$27)),IF('Replacement plan'!$AH$27="",'Operating costs'!$B$7,'Replacement plan'!$AH$27)&gt;=0,'Operating costs'!$B$8&gt;MAX(IF('Replacement plan'!$AG$27="",'Operating costs'!$B$7,'Replacement plan'!$AG$27),IF('Replacement plan'!$AH$27="",'Operating costs'!$B$7,'Replacement plan'!$AH$27))*'Operating costs'!$B$9),IF(AND(VLOOKUP($A90,'Fleet register'!$A$7:$S$106,10,FALSE)&gt;=0,VLOOKUP($A90,'Fleet register'!$A$7:$S$106,10,FALSE)&lt;=120,VLOOKUP($A90,'Fleet register'!$A$7:$S$106,10,FALSE)=INT(VLOOKUP($A90,'Fleet register'!$A$7:$S$106,10,FALSE)),VLOOKUP($A90,'Fleet register'!$A$7:$S$106,15,FALSE)&gt;=0,VLOOKUP($A90,'Fleet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costs'!$B$67)&gt;=0,OR(D90&lt;&gt;"EV",E90=120,AND(MIN('Operating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90" s="1" t="str">
        <f>IF(C90=0,"Excluded",IF(P90&lt;&gt;"Complete",P90,IF(OR('Replacement plan'!$AD$27&lt;120-E90,AND(D90="EV",E90&lt;120,OR('Replacement plan'!$AC$27&lt;120-E90,'Replacement plan'!$I$27="No",AND(ISNUMBER(AF90),AE90&gt;AF90),AI90&gt;V90*(1-'Operating costs'!$B$46)^MAX(0,AB90-1)*(1-'Operating costs'!$B$45),AC90&gt;'Operating costs'!$B$18,AND(T90&lt;1,OR(AG90&lt;=0,AND(ISNUMBER(AH90),AG90&gt;AH90))),'Replacement plan'!$L$27&gt;INDEX(Products!$H$7:$H$13,MATCH('Replacement plan'!$B$27,Products!$A$7:$A$13,0))))),"Fails entered limits",IF(AND(D90="EV",E90&lt;120,OR(NOT(ISNUMBER(VLOOKUP($A90,'Fleet register'!$A$7:$S$106,7,FALSE))),NOT(ISNUMBER(VLOOKUP($A90,'Fleet register'!$A$7:$S$106,8,FALSE))),NOT(ISNUMBER(AF90)),'Replacement plan'!$I$27&lt;&gt;"Yes",NOT(ISNUMBER(AH90)),'Operating costs'!$B$59&lt;&gt;"Yes",'Operating costs'!$B$58&lt;&gt;"Yes")),"Unverified","Within entered limits"))))</f>
        <v>Excluded</v>
      </c>
      <c r="R90" s="1">
        <f>IF(C90=0,0,VLOOKUP($A90,'Fleet register'!$A$7:$S$106,6,FALSE))</f>
        <v>0</v>
      </c>
      <c r="S90" s="1">
        <f>IF(C90=0,0,VLOOKUP($A90,'Fleet register'!$A$7:$S$106,5,FALSE))</f>
        <v>0</v>
      </c>
      <c r="T90" s="1">
        <f>IF(D90="EV",'Energy and charging'!$C$12,0)</f>
        <v>0</v>
      </c>
      <c r="U90" s="1">
        <f>IFERROR(IF(C90=0,0,IF(D90="EV",IF('Replacement plan'!$F$27="",INDEX(Products!$E$7:$E$13,MATCH('Replacement plan'!$B$27,Products!$A$7:$A$13,0)),'Replacement plan'!$F$27)/IF('Replacement plan'!$G$27="Battery",1-'Operating costs'!$B$44,1),0)),"n.a.")</f>
        <v>0</v>
      </c>
      <c r="V90" s="1">
        <f>IFERROR(IF(C90=0,0,IF(D90="EV",IF('Replacement plan'!$E$27="",INDEX(Products!$D$7:$D$13,MATCH('Replacement plan'!$B$27,Products!$A$7:$A$13,0)),'Replacement plan'!$E$27),0)),"n.a.")</f>
        <v>0</v>
      </c>
      <c r="W90" s="1">
        <f>IF(C90=0,0,IF(AND(P90="Complete",D90="EV",E90&lt;120),IF(T90=0,0,ROUNDUP(T90*(R90-'Operating costs'!$B$41)*(S90*U90+'Operating costs'!$B$48/(1-'Operating costs'!$B$44))/(V90*'Operating costs'!$B$47/(1-'Operating costs'!$B$44)-T90*'Operating costs'!$B$12*U90),0)),0))</f>
        <v>0</v>
      </c>
      <c r="X90" s="1">
        <f>IF(C90=0,0,IF(AND(P90="Complete",D90="EV",E90&lt;120),(R90-'Operating costs'!$B$41)*(S90*U90+'Operating costs'!$B$48/(1-'Operating costs'!$B$44))+W90*'Operating costs'!$B$12*U90,0))</f>
        <v>0</v>
      </c>
      <c r="Y90" s="1">
        <f>IF(AND(C90=1,D90="EV",E90&lt;120),AI90/(1-'Operating costs'!$B$44)*(1-T90),0)</f>
        <v>0</v>
      </c>
      <c r="Z90" s="1">
        <f t="shared" si="2"/>
        <v>0</v>
      </c>
      <c r="AA90" s="1">
        <f>IF(C90=0,0,IF(P90="Complete",((S90*(R90-'Operating costs'!$B$40))+ROUNDUP(S90*(R90-'Operating costs'!$B$40)*IF('Replacement plan'!$AH$27="",'Operating costs'!$B$7,'Replacement plan'!$AH$27)/('Operating costs'!$B$8-'Operating costs'!$B$9*IF('Replacement plan'!$AH$27="",'Operating costs'!$B$7,'Replacement plan'!$AH$27)),0)*'Operating costs'!$B$9)*IF('Replacement plan'!$AH$27="",'Operating costs'!$B$7,'Replacement plan'!$AH$27),"n.a."))</f>
        <v>0</v>
      </c>
      <c r="AB90" s="1">
        <f t="shared" si="3"/>
        <v>0</v>
      </c>
      <c r="AC90" s="1">
        <f>IF(AND(C90=1,D90="EV",E90&lt;120,T90&gt;0),'Operating costs'!$B$12/'Operating costs'!$B$11*60+'Operating costs'!$B$13+'Operating costs'!$B$14+V90*'Operating costs'!$B$47/(1-'Operating costs'!$B$44)/'Replacement plan'!$L$27*60,0)</f>
        <v>0</v>
      </c>
      <c r="AD90" s="1" t="str">
        <f>'Replacement plan'!$B$27</f>
        <v>ChengLong L2EV</v>
      </c>
      <c r="AE90" s="1">
        <f>IF(C90=0,0,VLOOKUP($A90,'Fleet register'!$A$7:$S$106,8,FALSE))</f>
        <v>0</v>
      </c>
      <c r="AF90" s="1" t="str">
        <f>IF('Replacement plan'!$H$27="","n.a.",'Replacement plan'!$H$27)</f>
        <v>n.a.</v>
      </c>
      <c r="AG90" s="1">
        <f>'Replacement plan'!$J$27</f>
        <v>22</v>
      </c>
      <c r="AH90" s="1">
        <f>IFERROR(IF(D90="EV",IF('Replacement plan'!$K$27="AC",IF(ISNUMBER(INDEX(Products!$G$7:$G$13,MATCH('Replacement plan'!$B$27,Products!$A$7:$A$13,0))),INDEX(Products!$G$7:$G$13,MATCH('Replacement plan'!$B$27,Products!$A$7:$A$13,0)),"n.a."),IF(ISNUMBER(INDEX(Products!$H$7:$H$13,MATCH('Replacement plan'!$B$27,Products!$A$7:$A$13,0))),INDEX(Products!$H$7:$H$13,MATCH('Replacement plan'!$B$27,Products!$A$7:$A$13,0)),"n.a.")),0),"n.a.")</f>
        <v>0</v>
      </c>
      <c r="AI90" s="1">
        <f>IF(AND(C90=1,D90="EV",E90&lt;120),(VLOOKUP($A90,'Fleet register'!$A$7:$S$106,7,FALSE)+IF(T90&gt;0,'Operating costs'!$B$12,0))*U90*(1-'Operating costs'!$B$44)+'Operating costs'!$B$49,0)</f>
        <v>0</v>
      </c>
      <c r="AJ90" s="1">
        <f>IF(D90="EV",'Energy and charging'!$C$50,0)</f>
        <v>0</v>
      </c>
      <c r="AK90" s="17">
        <f>EDATE('Operating costs'!$B$63,E90)</f>
        <v>46298</v>
      </c>
      <c r="AL90" s="1">
        <f>IFERROR(IF(D90="EV",INDEX(Products!$B$7:$B$13,MATCH('Replacement plan'!$B$27,Products!$A$7:$A$13,0)),0),"n.a.")</f>
        <v>0</v>
      </c>
      <c r="AM90" s="1" t="str">
        <f>'Replacement plan'!$K$27</f>
        <v>DC</v>
      </c>
      <c r="AN90" s="1" t="str">
        <f>'Replacement plan'!$AE$27</f>
        <v>Assumed</v>
      </c>
      <c r="AO90" s="47">
        <f>IF(AND(C90=1,D90="EV",E90&lt;120),(R90-'Operating costs'!$B$41)*S90+W90*'Operating costs'!$B$12,0)</f>
        <v>0</v>
      </c>
      <c r="AP90" s="41">
        <f>IF(AND(C90=1,D90="EV",E90&lt;120),IF('Operating costs'!$B$68="Hong Seh 200k average",AO90*IFERROR(INDEX(Products!$P$7:$P$13,MATCH(AD90,Products!$A$7:$A$13,0)),"n.a."),'Operating costs'!$B$26),0)</f>
        <v>0</v>
      </c>
      <c r="AQ90" s="40" t="str">
        <f>IF(D90="EV",'Operating costs'!$B$68,"Not applicable")</f>
        <v>Not applicable</v>
      </c>
    </row>
    <row r="91" spans="1:43" ht="24" customHeight="1">
      <c r="A91" s="1" t="str">
        <f>'Replacement plan'!A28</f>
        <v>T022</v>
      </c>
      <c r="B91" s="1">
        <v>0</v>
      </c>
      <c r="C91" s="1">
        <f>IF(COUNTIFS('Fleet register'!$A$7:$A$106,$A91)=1,VLOOKUP($A91,'Fleet register'!$A$7:$S$106,2,FALSE),0)</f>
        <v>0</v>
      </c>
      <c r="D91" s="1" t="str">
        <f>IF("Keep ICE"="EV","EV","ICE")</f>
        <v>ICE</v>
      </c>
      <c r="E91" s="1">
        <f>IF(C91=0,0,IF('Replacement plan'!$M$28="",VLOOKUP($A91,'Fleet register'!$A$7:$S$106,10,FALSE),'Replacement plan'!$M$28))</f>
        <v>0</v>
      </c>
      <c r="F91" s="16">
        <f>IF(C91=0,0,VLOOKUP($A91,'Fleet register'!$A$7:$S$106,11,FALSE))</f>
        <v>0</v>
      </c>
      <c r="G91" s="16">
        <f>IFERROR(IF(C91=0,0,IF(E91=120,0,IF(D91="ICE",'Replacement plan'!$C$28,IF('Replacement plan'!$D$28="",INDEX(Products!$I$7:$I$13,MATCH('Replacement plan'!$B$28,Products!$A$7:$A$13,0))+'Operating costs'!$B$57,'Replacement plan'!$D$28))*(1+'Operating costs'!$B$50)^(E91/12))),"n.a.")</f>
        <v>0</v>
      </c>
      <c r="H91" s="16">
        <f>IFERROR(IF(C91=0,0,IF(E91=0,F91,VLOOKUP($A91,'Fleet register'!$A$7:$S$106,12,FALSE)+VLOOKUP($A91,'Fleet register'!$A$7:$S$106,13,FALSE)*MAX(0,VLOOKUP($A91,'Fleet register'!$A$7:$S$106,10,FALSE)-E91)/VLOOKUP($A91,'Fleet register'!$A$7:$S$106,14,FALSE))),"n.a.")</f>
        <v>0</v>
      </c>
      <c r="I91" s="16">
        <f>IF(C91=0,0,IF(E91=120,0,'Replacement plan'!$N$28))</f>
        <v>0</v>
      </c>
      <c r="J91" s="16">
        <f>IF(C91=0,0,IF(P91="Complete",((S91*(R91-'Operating costs'!$B$39))+ROUNDUP(S91*(R91-'Operating costs'!$B$39)*IF('Replacement plan'!$AG$28="",'Operating costs'!$B$7,'Replacement plan'!$AG$28)/('Operating costs'!$B$8-'Operating costs'!$B$9*IF('Replacement plan'!$AG$28="",'Operating costs'!$B$7,'Replacement plan'!$AG$28)),0)*'Operating costs'!$B$9)*IF('Replacement plan'!$AG$28="",'Operating costs'!$B$7,'Replacement plan'!$AG$28)*('Energy and charging'!$B$9*'Energy and charging'!$B$7+(1-'Energy and charging'!$B$9)*'Energy and charging'!$B$8)*'Operating costs'!$B$23,"n.a."))</f>
        <v>0</v>
      </c>
      <c r="K91" s="16">
        <f>IF(C91=0,0,IF(P91="Complete",SUM('Operating costs'!$B$24,'Operating costs'!$B$27,'Operating costs'!$B$29,'Operating costs'!$B$31,'Operating costs'!$B$33,'Operating costs'!$B$34,'Operating costs'!$B$37,'Replacement plan'!$W$28)+'Operating costs'!$B$39*'Operating costs'!$B$42+ROUNDUP(S91*(R91-'Operating costs'!$B$39)*IF('Replacement plan'!$AG$28="",'Operating costs'!$B$7,'Replacement plan'!$AG$28)/('Operating costs'!$B$8-'Operating costs'!$B$9*IF('Replacement plan'!$AG$28="",'Operating costs'!$B$7,'Replacement plan'!$AG$28)),0)*('Operating costs'!$B$9/'Operating costs'!$B$11+'Operating costs'!$B$10/60)*'Operating costs'!$B$19*'Operating costs'!$B$21,"n.a."))</f>
        <v>0</v>
      </c>
      <c r="L91" s="16">
        <f>IF(C91=0,0,IF(P91="Complete",IF(D91="EV",X91*((1-T91)*'Energy and charging'!$B$10+T91*'Energy and charging'!$B$11)*'Operating costs'!$B$22,AA91*('Energy and charging'!$B$9*'Energy and charging'!$B$7+(1-'Energy and charging'!$B$9)*'Energy and charging'!$B$8)*'Operating costs'!$B$23),"n.a."))</f>
        <v>0</v>
      </c>
      <c r="M91" s="37">
        <f>IF(C91=0,0,IF(P91="Complete",IF(D91="ICE",SUM('Operating costs'!$B$25,'Operating costs'!$B$27,'Operating costs'!$B$29,'Operating costs'!$B$31,'Operating costs'!$B$33,'Operating costs'!$B$35,'Operating costs'!$B$37,'Replacement plan'!$X$28)+'Operating costs'!$B$40*'Operating costs'!$B$42+ROUNDUP(S91*(R91-'Operating costs'!$B$40)*IF('Replacement plan'!$AH$28="",'Operating costs'!$B$7,'Replacement plan'!$AH$28)/('Operating costs'!$B$8-'Operating costs'!$B$9*IF('Replacement plan'!$AH$28="",'Operating costs'!$B$7,'Replacement plan'!$AH$28)),0)*('Operating costs'!$B$9/'Operating costs'!$B$11+'Operating costs'!$B$10/60)*'Operating costs'!$B$19*'Operating costs'!$B$21,SUM(AP91,'Operating costs'!$B$28,'Operating costs'!$B$30,'Operating costs'!$B$32,'Operating costs'!$B$33,'Operating costs'!$B$36,'Operating costs'!$B$38,'Replacement plan'!$Y$28)+'Operating costs'!$B$41*'Operating costs'!$B$43+W91*'Operating costs'!$B$15+(T91*X91/'Replacement plan'!$L$28+W91*('Operating costs'!$B$12/'Operating costs'!$B$11+('Operating costs'!$B$13+'Operating costs'!$B$14)/60)+(R91-'Operating costs'!$B$41)*(IF(T91&lt;1,'Operating costs'!$B$16,0)+'Operating costs'!$B$17)/60)*'Operating costs'!$B$19*'Operating costs'!$B$20),"n.a."))</f>
        <v>0</v>
      </c>
      <c r="N91" s="16">
        <f>IF(AND(C91=1,D91="EV",E91&lt;120,E91+'Replacement plan'!$AA$28&lt;=120),'Replacement plan'!$Z$28,0)</f>
        <v>0</v>
      </c>
      <c r="O91" s="1">
        <f>E91+'Replacement plan'!$AA$28</f>
        <v>0</v>
      </c>
      <c r="P91" s="35" t="str">
        <f>IFERROR(IF(C91=0,"Excluded",IF(OR(COUNTIFS('Fleet register'!$A$7:$A$106,A91)&lt;&gt;1,COUNTIFS('Replacement plan'!$A$7:$A$106,A91)&lt;&gt;1),"Duplicate/missing ID",IF(NOT(AND(ISNUMBER(VLOOKUP($A91,'Fleet register'!$A$7:$S$106,5,FALSE)),ISNUMBER(VLOOKUP($A91,'Fleet register'!$A$7:$S$106,6,FALSE)),ISNUMBER(VLOOKUP($A91,'Fleet register'!$A$7:$S$106,10,FALSE)),ISNUMBER(VLOOKUP($A91,'Fleet register'!$A$7:$S$106,11,FALSE)),ISNUMBER(VLOOKUP($A91,'Fleet register'!$A$7:$S$106,12,FALSE)),ISNUMBER(VLOOKUP($A91,'Fleet register'!$A$7:$S$106,13,FALSE)),ISNUMBER(VLOOKUP($A91,'Fleet register'!$A$7:$S$106,14,FALSE)),VLOOKUP($A91,'Fleet register'!$A$7:$S$106,14,FALSE)&gt;0,ISNUMBER('Replacement plan'!$C$28),OR(E91=120,ISNUMBER('Replacement plan'!$N$28)),ISNUMBER(E91))),"Missing vehicle input",IF(OR(E91&lt;0,E91&gt;VLOOKUP($A91,'Fleet register'!$A$7:$S$106,10,FALSE),E91&gt;120,E91&lt;&gt;INT(E91),VLOOKUP($A91,'Fleet register'!$A$7:$S$106,6,FALSE)&lt;=0,VLOOKUP($A91,'Fleet register'!$A$7:$S$106,6,FALSE)&gt;366,VLOOKUP($A91,'Fleet register'!$A$7:$S$106,5,FALSE)&lt;0,VLOOKUP($A91,'Fleet register'!$A$7:$S$106,11,FALSE)&lt;0,I91&lt;0,'Operating costs'!$B$8&lt;='Operating costs'!$B$7*'Operating costs'!$B$9,'Operating costs'!$B$11&lt;=0,'Operating costs'!$B$39&gt;R91,'Operating costs'!$B$40&gt;R91,'Operating costs'!$B$41&gt;R91,NOT(OR("Keep ICE"="Keep ICE","Keep ICE"="New ICE","Keep ICE"="EV"))),"Invalid vehicle input",IF(AND(D91="EV",E91&lt;120,OR(NOT(ISNUMBER(U91)),NOT(ISNUMBER(V91)),V91&lt;=0,T91&lt;0,T91&gt;1,'Replacement plan'!$L$28&lt;=0,'Operating costs'!$B$44&lt;0,'Operating costs'!$B$44&gt;=1,'Operating costs'!$B$47&lt;=0,'Operating costs'!$B$47&gt;1,V91*'Operating costs'!$B$47/(1-'Operating costs'!$B$44)&lt;=T91*'Operating costs'!$B$12*U91,AND('Replacement plan'!$Z$28&gt;0,OR('Replacement plan'!$AB$28&lt;&gt;"Yes",'Operating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charging'!$B$8&gt;=0))),ISNUMBER(VLOOKUP($A91,'Fleet register'!$A$7:$S$106,15,FALSE)),ISNUMBER(VLOOKUP($A91,'Fleet register'!$A$7:$S$106,16,FALSE)),ISNUMBER('Replacement plan'!$W$28),ISNUMBER('Replacement plan'!$X$28),OR(E91=120,AND(ISNUMBER(G91),G91&gt;=0)),ISNUMBER(H91),H91&gt;=0,OR(D91&lt;&gt;"EV",E91=120,AND(ISNUMBER('Operating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average",ISNUMBER(IFERROR(INDEX(Products!$P$7:$P$13,MATCH(AD91,Products!$A$7:$A$13,0)),"")))),ISNUMBER('Operating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plan'!$Y$28),ISNUMBER('Replacement plan'!$Z$28),'Replacement plan'!$Z$28&gt;=0,ISNUMBER('Replacement plan'!$AA$28),'Replacement plan'!$AA$28&gt;=0,'Replacement plan'!$AA$28=INT('Replacement plan'!$AA$28),ISNUMBER('Replacement plan'!$L$28))),'Operating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plan'!$AG$28="",'Operating costs'!$B$7,'Replacement plan'!$AG$28)),IF('Replacement plan'!$AG$28="",'Operating costs'!$B$7,'Replacement plan'!$AG$28)&gt;=0,ISNUMBER(IF('Replacement plan'!$AH$28="",'Operating costs'!$B$7,'Replacement plan'!$AH$28)),IF('Replacement plan'!$AH$28="",'Operating costs'!$B$7,'Replacement plan'!$AH$28)&gt;=0,'Operating costs'!$B$8&gt;MAX(IF('Replacement plan'!$AG$28="",'Operating costs'!$B$7,'Replacement plan'!$AG$28),IF('Replacement plan'!$AH$28="",'Operating costs'!$B$7,'Replacement plan'!$AH$28))*'Operating costs'!$B$9),IF(AND(VLOOKUP($A91,'Fleet register'!$A$7:$S$106,10,FALSE)&gt;=0,VLOOKUP($A91,'Fleet register'!$A$7:$S$106,10,FALSE)&lt;=120,VLOOKUP($A91,'Fleet register'!$A$7:$S$106,10,FALSE)=INT(VLOOKUP($A91,'Fleet register'!$A$7:$S$106,10,FALSE)),VLOOKUP($A91,'Fleet register'!$A$7:$S$106,15,FALSE)&gt;=0,VLOOKUP($A91,'Fleet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costs'!$B$67)&gt;=0,OR(D91&lt;&gt;"EV",E91=120,AND(MIN('Operating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91" s="1" t="str">
        <f>IF(C91=0,"Excluded",IF(P91&lt;&gt;"Complete",P91,IF(OR('Replacement plan'!$AD$28&lt;120-E91,AND(D91="EV",E91&lt;120,OR('Replacement plan'!$AC$28&lt;120-E91,'Replacement plan'!$I$28="No",AND(ISNUMBER(AF91),AE91&gt;AF91),AI91&gt;V91*(1-'Operating costs'!$B$46)^MAX(0,AB91-1)*(1-'Operating costs'!$B$45),AC91&gt;'Operating costs'!$B$18,AND(T91&lt;1,OR(AG91&lt;=0,AND(ISNUMBER(AH91),AG91&gt;AH91))),'Replacement plan'!$L$28&gt;INDEX(Products!$H$7:$H$13,MATCH('Replacement plan'!$B$28,Products!$A$7:$A$13,0))))),"Fails entered limits",IF(AND(D91="EV",E91&lt;120,OR(NOT(ISNUMBER(VLOOKUP($A91,'Fleet register'!$A$7:$S$106,7,FALSE))),NOT(ISNUMBER(VLOOKUP($A91,'Fleet register'!$A$7:$S$106,8,FALSE))),NOT(ISNUMBER(AF91)),'Replacement plan'!$I$28&lt;&gt;"Yes",NOT(ISNUMBER(AH91)),'Operating costs'!$B$59&lt;&gt;"Yes",'Operating costs'!$B$58&lt;&gt;"Yes")),"Unverified","Within entered limits"))))</f>
        <v>Excluded</v>
      </c>
      <c r="R91" s="1">
        <f>IF(C91=0,0,VLOOKUP($A91,'Fleet register'!$A$7:$S$106,6,FALSE))</f>
        <v>0</v>
      </c>
      <c r="S91" s="1">
        <f>IF(C91=0,0,VLOOKUP($A91,'Fleet register'!$A$7:$S$106,5,FALSE))</f>
        <v>0</v>
      </c>
      <c r="T91" s="1">
        <f>IF(D91="EV",'Energy and charging'!$B$12,0)</f>
        <v>0</v>
      </c>
      <c r="U91" s="1">
        <f>IFERROR(IF(C91=0,0,IF(D91="EV",IF('Replacement plan'!$F$28="",INDEX(Products!$E$7:$E$13,MATCH('Replacement plan'!$B$28,Products!$A$7:$A$13,0)),'Replacement plan'!$F$28)/IF('Replacement plan'!$G$28="Battery",1-'Operating costs'!$B$44,1),0)),"n.a.")</f>
        <v>0</v>
      </c>
      <c r="V91" s="1">
        <f>IFERROR(IF(C91=0,0,IF(D91="EV",IF('Replacement plan'!$E$28="",INDEX(Products!$D$7:$D$13,MATCH('Replacement plan'!$B$28,Products!$A$7:$A$13,0)),'Replacement plan'!$E$28),0)),"n.a.")</f>
        <v>0</v>
      </c>
      <c r="W91" s="1">
        <f>IF(C91=0,0,IF(AND(P91="Complete",D91="EV",E91&lt;120),IF(T91=0,0,ROUNDUP(T91*(R91-'Operating costs'!$B$41)*(S91*U91+'Operating costs'!$B$48/(1-'Operating costs'!$B$44))/(V91*'Operating costs'!$B$47/(1-'Operating costs'!$B$44)-T91*'Operating costs'!$B$12*U91),0)),0))</f>
        <v>0</v>
      </c>
      <c r="X91" s="1">
        <f>IF(C91=0,0,IF(AND(P91="Complete",D91="EV",E91&lt;120),(R91-'Operating costs'!$B$41)*(S91*U91+'Operating costs'!$B$48/(1-'Operating costs'!$B$44))+W91*'Operating costs'!$B$12*U91,0))</f>
        <v>0</v>
      </c>
      <c r="Y91" s="1">
        <f>IF(AND(C91=1,D91="EV",E91&lt;120),AI91/(1-'Operating costs'!$B$44)*(1-T91),0)</f>
        <v>0</v>
      </c>
      <c r="Z91" s="1">
        <f t="shared" si="2"/>
        <v>0</v>
      </c>
      <c r="AA91" s="1">
        <f>IF(C91=0,0,IF(P91="Complete",((S91*(R91-'Operating costs'!$B$40))+ROUNDUP(S91*(R91-'Operating costs'!$B$40)*IF('Replacement plan'!$AH$28="",'Operating costs'!$B$7,'Replacement plan'!$AH$28)/('Operating costs'!$B$8-'Operating costs'!$B$9*IF('Replacement plan'!$AH$28="",'Operating costs'!$B$7,'Replacement plan'!$AH$28)),0)*'Operating costs'!$B$9)*IF('Replacement plan'!$AH$28="",'Operating costs'!$B$7,'Replacement plan'!$AH$28),"n.a."))</f>
        <v>0</v>
      </c>
      <c r="AB91" s="1">
        <f t="shared" si="3"/>
        <v>0</v>
      </c>
      <c r="AC91" s="1">
        <f>IF(AND(C91=1,D91="EV",E91&lt;120,T91&gt;0),'Operating costs'!$B$12/'Operating costs'!$B$11*60+'Operating costs'!$B$13+'Operating costs'!$B$14+V91*'Operating costs'!$B$47/(1-'Operating costs'!$B$44)/'Replacement plan'!$L$28*60,0)</f>
        <v>0</v>
      </c>
      <c r="AD91" s="1" t="str">
        <f>'Replacement plan'!$B$28</f>
        <v>ChengLong L2EV</v>
      </c>
      <c r="AE91" s="1">
        <f>IF(C91=0,0,VLOOKUP($A91,'Fleet register'!$A$7:$S$106,8,FALSE))</f>
        <v>0</v>
      </c>
      <c r="AF91" s="1" t="str">
        <f>IF('Replacement plan'!$H$28="","n.a.",'Replacement plan'!$H$28)</f>
        <v>n.a.</v>
      </c>
      <c r="AG91" s="1">
        <f>'Replacement plan'!$J$28</f>
        <v>22</v>
      </c>
      <c r="AH91" s="1">
        <f>IFERROR(IF(D91="EV",IF('Replacement plan'!$K$28="AC",IF(ISNUMBER(INDEX(Products!$G$7:$G$13,MATCH('Replacement plan'!$B$28,Products!$A$7:$A$13,0))),INDEX(Products!$G$7:$G$13,MATCH('Replacement plan'!$B$28,Products!$A$7:$A$13,0)),"n.a."),IF(ISNUMBER(INDEX(Products!$H$7:$H$13,MATCH('Replacement plan'!$B$28,Products!$A$7:$A$13,0))),INDEX(Products!$H$7:$H$13,MATCH('Replacement plan'!$B$28,Products!$A$7:$A$13,0)),"n.a.")),0),"n.a.")</f>
        <v>0</v>
      </c>
      <c r="AI91" s="1">
        <f>IF(AND(C91=1,D91="EV",E91&lt;120),(VLOOKUP($A91,'Fleet register'!$A$7:$S$106,7,FALSE)+IF(T91&gt;0,'Operating costs'!$B$12,0))*U91*(1-'Operating costs'!$B$44)+'Operating costs'!$B$49,0)</f>
        <v>0</v>
      </c>
      <c r="AJ91" s="1">
        <f>IF(D91="EV",'Energy and charging'!$B$50,0)</f>
        <v>0</v>
      </c>
      <c r="AK91" s="17">
        <f>EDATE('Operating costs'!$B$63,E91)</f>
        <v>46298</v>
      </c>
      <c r="AL91" s="1">
        <f>IFERROR(IF(D91="EV",INDEX(Products!$B$7:$B$13,MATCH('Replacement plan'!$B$28,Products!$A$7:$A$13,0)),0),"n.a.")</f>
        <v>0</v>
      </c>
      <c r="AM91" s="1" t="str">
        <f>'Replacement plan'!$K$28</f>
        <v>DC</v>
      </c>
      <c r="AN91" s="1" t="str">
        <f>'Replacement plan'!$AE$28</f>
        <v>Assumed</v>
      </c>
      <c r="AO91" s="47">
        <f>IF(AND(C91=1,D91="EV",E91&lt;120),(R91-'Operating costs'!$B$41)*S91+W91*'Operating costs'!$B$12,0)</f>
        <v>0</v>
      </c>
      <c r="AP91" s="41">
        <f>IF(AND(C91=1,D91="EV",E91&lt;120),IF('Operating costs'!$B$68="Hong Seh 200k average",AO91*IFERROR(INDEX(Products!$P$7:$P$13,MATCH(AD91,Products!$A$7:$A$13,0)),"n.a."),'Operating costs'!$B$26),0)</f>
        <v>0</v>
      </c>
      <c r="AQ91" s="40" t="str">
        <f>IF(D91="EV",'Operating costs'!$B$68,"Not applicable")</f>
        <v>Not applicable</v>
      </c>
    </row>
    <row r="92" spans="1:43" ht="24" customHeight="1">
      <c r="A92" s="1" t="str">
        <f>'Replacement plan'!A28</f>
        <v>T022</v>
      </c>
      <c r="B92" s="1">
        <v>1</v>
      </c>
      <c r="C92" s="1">
        <f>IF(COUNTIFS('Fleet register'!$A$7:$A$106,$A92)=1,VLOOKUP($A92,'Fleet register'!$A$7:$S$106,2,FALSE),0)</f>
        <v>0</v>
      </c>
      <c r="D92" s="1" t="str">
        <f>IF("New ICE"="EV","EV","ICE")</f>
        <v>ICE</v>
      </c>
      <c r="E92" s="1">
        <f>IF(C92=0,0,0)</f>
        <v>0</v>
      </c>
      <c r="F92" s="16">
        <f>IF(C92=0,0,VLOOKUP($A92,'Fleet register'!$A$7:$S$106,11,FALSE))</f>
        <v>0</v>
      </c>
      <c r="G92" s="16">
        <f>IFERROR(IF(C92=0,0,IF(E92=120,0,IF(D92="ICE",'Replacement plan'!$C$28,IF('Replacement plan'!$D$28="",INDEX(Products!$I$7:$I$13,MATCH('Replacement plan'!$B$28,Products!$A$7:$A$13,0))+'Operating costs'!$B$57,'Replacement plan'!$D$28))*(1+'Operating costs'!$B$50)^(E92/12))),"n.a.")</f>
        <v>0</v>
      </c>
      <c r="H92" s="16">
        <f>IFERROR(IF(C92=0,0,IF(E92=0,F92,VLOOKUP($A92,'Fleet register'!$A$7:$S$106,12,FALSE)+VLOOKUP($A92,'Fleet register'!$A$7:$S$106,13,FALSE)*MAX(0,VLOOKUP($A92,'Fleet register'!$A$7:$S$106,10,FALSE)-E92)/VLOOKUP($A92,'Fleet register'!$A$7:$S$106,14,FALSE))),"n.a.")</f>
        <v>0</v>
      </c>
      <c r="I92" s="16">
        <f>IF(C92=0,0,IF(E92=120,0,IF('Replacement plan'!$AI$28="",'Operating costs'!$B$56,'Replacement plan'!$AI$28)))</f>
        <v>0</v>
      </c>
      <c r="J92" s="16">
        <f>IF(C92=0,0,IF(P92="Complete",((S92*(R92-'Operating costs'!$B$39))+ROUNDUP(S92*(R92-'Operating costs'!$B$39)*IF('Replacement plan'!$AG$28="",'Operating costs'!$B$7,'Replacement plan'!$AG$28)/('Operating costs'!$B$8-'Operating costs'!$B$9*IF('Replacement plan'!$AG$28="",'Operating costs'!$B$7,'Replacement plan'!$AG$28)),0)*'Operating costs'!$B$9)*IF('Replacement plan'!$AG$28="",'Operating costs'!$B$7,'Replacement plan'!$AG$28)*('Energy and charging'!$B$9*'Energy and charging'!$B$7+(1-'Energy and charging'!$B$9)*'Energy and charging'!$B$8)*'Operating costs'!$B$23,"n.a."))</f>
        <v>0</v>
      </c>
      <c r="K92" s="16">
        <f>IF(C92=0,0,IF(P92="Complete",SUM('Operating costs'!$B$24,'Operating costs'!$B$27,'Operating costs'!$B$29,'Operating costs'!$B$31,'Operating costs'!$B$33,'Operating costs'!$B$34,'Operating costs'!$B$37,'Replacement plan'!$W$28)+'Operating costs'!$B$39*'Operating costs'!$B$42+ROUNDUP(S92*(R92-'Operating costs'!$B$39)*IF('Replacement plan'!$AG$28="",'Operating costs'!$B$7,'Replacement plan'!$AG$28)/('Operating costs'!$B$8-'Operating costs'!$B$9*IF('Replacement plan'!$AG$28="",'Operating costs'!$B$7,'Replacement plan'!$AG$28)),0)*('Operating costs'!$B$9/'Operating costs'!$B$11+'Operating costs'!$B$10/60)*'Operating costs'!$B$19*'Operating costs'!$B$21,"n.a."))</f>
        <v>0</v>
      </c>
      <c r="L92" s="16">
        <f>IF(C92=0,0,IF(P92="Complete",IF(D92="EV",X92*((1-T92)*'Energy and charging'!$B$10+T92*'Energy and charging'!$B$11)*'Operating costs'!$B$22,AA92*('Energy and charging'!$B$9*'Energy and charging'!$B$7+(1-'Energy and charging'!$B$9)*'Energy and charging'!$B$8)*'Operating costs'!$B$23),"n.a."))</f>
        <v>0</v>
      </c>
      <c r="M92" s="37">
        <f>IF(C92=0,0,IF(P92="Complete",IF(D92="ICE",SUM('Operating costs'!$B$25,'Operating costs'!$B$27,'Operating costs'!$B$29,'Operating costs'!$B$31,'Operating costs'!$B$33,'Operating costs'!$B$35,'Operating costs'!$B$37,'Replacement plan'!$X$28)+'Operating costs'!$B$40*'Operating costs'!$B$42+ROUNDUP(S92*(R92-'Operating costs'!$B$40)*IF('Replacement plan'!$AH$28="",'Operating costs'!$B$7,'Replacement plan'!$AH$28)/('Operating costs'!$B$8-'Operating costs'!$B$9*IF('Replacement plan'!$AH$28="",'Operating costs'!$B$7,'Replacement plan'!$AH$28)),0)*('Operating costs'!$B$9/'Operating costs'!$B$11+'Operating costs'!$B$10/60)*'Operating costs'!$B$19*'Operating costs'!$B$21,SUM(AP92,'Operating costs'!$B$28,'Operating costs'!$B$30,'Operating costs'!$B$32,'Operating costs'!$B$33,'Operating costs'!$B$36,'Operating costs'!$B$38,'Replacement plan'!$Y$28)+'Operating costs'!$B$41*'Operating costs'!$B$43+W92*'Operating costs'!$B$15+(T92*X92/'Replacement plan'!$L$28+W92*('Operating costs'!$B$12/'Operating costs'!$B$11+('Operating costs'!$B$13+'Operating costs'!$B$14)/60)+(R92-'Operating costs'!$B$41)*(IF(T92&lt;1,'Operating costs'!$B$16,0)+'Operating costs'!$B$17)/60)*'Operating costs'!$B$19*'Operating costs'!$B$20),"n.a."))</f>
        <v>0</v>
      </c>
      <c r="N92" s="16">
        <f>IF(AND(C92=1,D92="EV",E92&lt;120,E92+'Replacement plan'!$AA$28&lt;=120),'Replacement plan'!$Z$28,0)</f>
        <v>0</v>
      </c>
      <c r="O92" s="1">
        <f>E92+'Replacement plan'!$AA$28</f>
        <v>0</v>
      </c>
      <c r="P92" s="35" t="str">
        <f>IFERROR(IF(C92=0,"Excluded",IF(OR(COUNTIFS('Fleet register'!$A$7:$A$106,A92)&lt;&gt;1,COUNTIFS('Replacement plan'!$A$7:$A$106,A92)&lt;&gt;1),"Duplicate/missing ID",IF(NOT(AND(ISNUMBER(VLOOKUP($A92,'Fleet register'!$A$7:$S$106,5,FALSE)),ISNUMBER(VLOOKUP($A92,'Fleet register'!$A$7:$S$106,6,FALSE)),ISNUMBER(VLOOKUP($A92,'Fleet register'!$A$7:$S$106,10,FALSE)),ISNUMBER(VLOOKUP($A92,'Fleet register'!$A$7:$S$106,11,FALSE)),ISNUMBER(VLOOKUP($A92,'Fleet register'!$A$7:$S$106,12,FALSE)),ISNUMBER(VLOOKUP($A92,'Fleet register'!$A$7:$S$106,13,FALSE)),ISNUMBER(VLOOKUP($A92,'Fleet register'!$A$7:$S$106,14,FALSE)),VLOOKUP($A92,'Fleet register'!$A$7:$S$106,14,FALSE)&gt;0,ISNUMBER('Replacement plan'!$C$28),OR(E92=120,OR(ISNUMBER('Replacement plan'!$AI$28),AND('Replacement plan'!$AI$28="",ISNUMBER('Operating costs'!$B$56)))),ISNUMBER(E92))),"Missing vehicle input",IF(OR(E92&lt;0,E92&gt;VLOOKUP($A92,'Fleet register'!$A$7:$S$106,10,FALSE),E92&gt;120,E92&lt;&gt;INT(E92),VLOOKUP($A92,'Fleet register'!$A$7:$S$106,6,FALSE)&lt;=0,VLOOKUP($A92,'Fleet register'!$A$7:$S$106,6,FALSE)&gt;366,VLOOKUP($A92,'Fleet register'!$A$7:$S$106,5,FALSE)&lt;0,VLOOKUP($A92,'Fleet register'!$A$7:$S$106,11,FALSE)&lt;0,I92&lt;0,'Operating costs'!$B$8&lt;='Operating costs'!$B$7*'Operating costs'!$B$9,'Operating costs'!$B$11&lt;=0,'Operating costs'!$B$39&gt;R92,'Operating costs'!$B$40&gt;R92,'Operating costs'!$B$41&gt;R92,NOT(OR("New ICE"="Keep ICE","New ICE"="New ICE","New ICE"="EV"))),"Invalid vehicle input",IF(AND(D92="EV",E92&lt;120,OR(NOT(ISNUMBER(U92)),NOT(ISNUMBER(V92)),V92&lt;=0,T92&lt;0,T92&gt;1,'Replacement plan'!$L$28&lt;=0,'Operating costs'!$B$44&lt;0,'Operating costs'!$B$44&gt;=1,'Operating costs'!$B$47&lt;=0,'Operating costs'!$B$47&gt;1,V92*'Operating costs'!$B$47/(1-'Operating costs'!$B$44)&lt;=T92*'Operating costs'!$B$12*U92,AND('Replacement plan'!$Z$28&gt;0,OR('Replacement plan'!$AB$28&lt;&gt;"Yes",'Operating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charging'!$B$8&gt;=0))),ISNUMBER(VLOOKUP($A92,'Fleet register'!$A$7:$S$106,15,FALSE)),ISNUMBER(VLOOKUP($A92,'Fleet register'!$A$7:$S$106,16,FALSE)),ISNUMBER('Replacement plan'!$W$28),ISNUMBER('Replacement plan'!$X$28),OR(E92=120,AND(ISNUMBER(G92),G92&gt;=0)),ISNUMBER(H92),H92&gt;=0,OR(D92&lt;&gt;"EV",E92=120,AND(ISNUMBER('Operating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average",ISNUMBER(IFERROR(INDEX(Products!$P$7:$P$13,MATCH(AD92,Products!$A$7:$A$13,0)),"")))),ISNUMBER('Operating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plan'!$Y$28),ISNUMBER('Replacement plan'!$Z$28),'Replacement plan'!$Z$28&gt;=0,ISNUMBER('Replacement plan'!$AA$28),'Replacement plan'!$AA$28&gt;=0,'Replacement plan'!$AA$28=INT('Replacement plan'!$AA$28),ISNUMBER('Replacement plan'!$L$28))),'Operating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plan'!$AG$28="",'Operating costs'!$B$7,'Replacement plan'!$AG$28)),IF('Replacement plan'!$AG$28="",'Operating costs'!$B$7,'Replacement plan'!$AG$28)&gt;=0,ISNUMBER(IF('Replacement plan'!$AH$28="",'Operating costs'!$B$7,'Replacement plan'!$AH$28)),IF('Replacement plan'!$AH$28="",'Operating costs'!$B$7,'Replacement plan'!$AH$28)&gt;=0,'Operating costs'!$B$8&gt;MAX(IF('Replacement plan'!$AG$28="",'Operating costs'!$B$7,'Replacement plan'!$AG$28),IF('Replacement plan'!$AH$28="",'Operating costs'!$B$7,'Replacement plan'!$AH$28))*'Operating costs'!$B$9),IF(AND(VLOOKUP($A92,'Fleet register'!$A$7:$S$106,10,FALSE)&gt;=0,VLOOKUP($A92,'Fleet register'!$A$7:$S$106,10,FALSE)&lt;=120,VLOOKUP($A92,'Fleet register'!$A$7:$S$106,10,FALSE)=INT(VLOOKUP($A92,'Fleet register'!$A$7:$S$106,10,FALSE)),VLOOKUP($A92,'Fleet register'!$A$7:$S$106,15,FALSE)&gt;=0,VLOOKUP($A92,'Fleet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costs'!$B$67)&gt;=0,OR(D92&lt;&gt;"EV",E92=120,AND(MIN('Operating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92" s="1" t="str">
        <f>IF(C92=0,"Excluded",IF(P92&lt;&gt;"Complete",P92,IF(OR('Replacement plan'!$AD$28&lt;120-E92,AND(D92="EV",E92&lt;120,OR('Replacement plan'!$AC$28&lt;120-E92,'Replacement plan'!$I$28="No",AND(ISNUMBER(AF92),AE92&gt;AF92),AI92&gt;V92*(1-'Operating costs'!$B$46)^MAX(0,AB92-1)*(1-'Operating costs'!$B$45),AC92&gt;'Operating costs'!$B$18,AND(T92&lt;1,OR(AG92&lt;=0,AND(ISNUMBER(AH92),AG92&gt;AH92))),'Replacement plan'!$L$28&gt;INDEX(Products!$H$7:$H$13,MATCH('Replacement plan'!$B$28,Products!$A$7:$A$13,0))))),"Fails entered limits",IF(AND(D92="EV",E92&lt;120,OR(NOT(ISNUMBER(VLOOKUP($A92,'Fleet register'!$A$7:$S$106,7,FALSE))),NOT(ISNUMBER(VLOOKUP($A92,'Fleet register'!$A$7:$S$106,8,FALSE))),NOT(ISNUMBER(AF92)),'Replacement plan'!$I$28&lt;&gt;"Yes",NOT(ISNUMBER(AH92)),'Operating costs'!$B$59&lt;&gt;"Yes",'Operating costs'!$B$58&lt;&gt;"Yes")),"Unverified","Within entered limits"))))</f>
        <v>Excluded</v>
      </c>
      <c r="R92" s="1">
        <f>IF(C92=0,0,VLOOKUP($A92,'Fleet register'!$A$7:$S$106,6,FALSE))</f>
        <v>0</v>
      </c>
      <c r="S92" s="1">
        <f>IF(C92=0,0,VLOOKUP($A92,'Fleet register'!$A$7:$S$106,5,FALSE))</f>
        <v>0</v>
      </c>
      <c r="T92" s="1">
        <f>IF(D92="EV",'Energy and charging'!$B$12,0)</f>
        <v>0</v>
      </c>
      <c r="U92" s="1">
        <f>IFERROR(IF(C92=0,0,IF(D92="EV",IF('Replacement plan'!$F$28="",INDEX(Products!$E$7:$E$13,MATCH('Replacement plan'!$B$28,Products!$A$7:$A$13,0)),'Replacement plan'!$F$28)/IF('Replacement plan'!$G$28="Battery",1-'Operating costs'!$B$44,1),0)),"n.a.")</f>
        <v>0</v>
      </c>
      <c r="V92" s="1">
        <f>IFERROR(IF(C92=0,0,IF(D92="EV",IF('Replacement plan'!$E$28="",INDEX(Products!$D$7:$D$13,MATCH('Replacement plan'!$B$28,Products!$A$7:$A$13,0)),'Replacement plan'!$E$28),0)),"n.a.")</f>
        <v>0</v>
      </c>
      <c r="W92" s="1">
        <f>IF(C92=0,0,IF(AND(P92="Complete",D92="EV",E92&lt;120),IF(T92=0,0,ROUNDUP(T92*(R92-'Operating costs'!$B$41)*(S92*U92+'Operating costs'!$B$48/(1-'Operating costs'!$B$44))/(V92*'Operating costs'!$B$47/(1-'Operating costs'!$B$44)-T92*'Operating costs'!$B$12*U92),0)),0))</f>
        <v>0</v>
      </c>
      <c r="X92" s="1">
        <f>IF(C92=0,0,IF(AND(P92="Complete",D92="EV",E92&lt;120),(R92-'Operating costs'!$B$41)*(S92*U92+'Operating costs'!$B$48/(1-'Operating costs'!$B$44))+W92*'Operating costs'!$B$12*U92,0))</f>
        <v>0</v>
      </c>
      <c r="Y92" s="1">
        <f>IF(AND(C92=1,D92="EV",E92&lt;120),AI92/(1-'Operating costs'!$B$44)*(1-T92),0)</f>
        <v>0</v>
      </c>
      <c r="Z92" s="1">
        <f t="shared" si="2"/>
        <v>0</v>
      </c>
      <c r="AA92" s="1">
        <f>IF(C92=0,0,IF(P92="Complete",((S92*(R92-'Operating costs'!$B$40))+ROUNDUP(S92*(R92-'Operating costs'!$B$40)*IF('Replacement plan'!$AH$28="",'Operating costs'!$B$7,'Replacement plan'!$AH$28)/('Operating costs'!$B$8-'Operating costs'!$B$9*IF('Replacement plan'!$AH$28="",'Operating costs'!$B$7,'Replacement plan'!$AH$28)),0)*'Operating costs'!$B$9)*IF('Replacement plan'!$AH$28="",'Operating costs'!$B$7,'Replacement plan'!$AH$28),"n.a."))</f>
        <v>0</v>
      </c>
      <c r="AB92" s="1">
        <f t="shared" si="3"/>
        <v>0</v>
      </c>
      <c r="AC92" s="1">
        <f>IF(AND(C92=1,D92="EV",E92&lt;120,T92&gt;0),'Operating costs'!$B$12/'Operating costs'!$B$11*60+'Operating costs'!$B$13+'Operating costs'!$B$14+V92*'Operating costs'!$B$47/(1-'Operating costs'!$B$44)/'Replacement plan'!$L$28*60,0)</f>
        <v>0</v>
      </c>
      <c r="AD92" s="1" t="str">
        <f>'Replacement plan'!$B$28</f>
        <v>ChengLong L2EV</v>
      </c>
      <c r="AE92" s="1">
        <f>IF(C92=0,0,VLOOKUP($A92,'Fleet register'!$A$7:$S$106,8,FALSE))</f>
        <v>0</v>
      </c>
      <c r="AF92" s="1" t="str">
        <f>IF('Replacement plan'!$H$28="","n.a.",'Replacement plan'!$H$28)</f>
        <v>n.a.</v>
      </c>
      <c r="AG92" s="1">
        <f>'Replacement plan'!$J$28</f>
        <v>22</v>
      </c>
      <c r="AH92" s="1">
        <f>IFERROR(IF(D92="EV",IF('Replacement plan'!$K$28="AC",IF(ISNUMBER(INDEX(Products!$G$7:$G$13,MATCH('Replacement plan'!$B$28,Products!$A$7:$A$13,0))),INDEX(Products!$G$7:$G$13,MATCH('Replacement plan'!$B$28,Products!$A$7:$A$13,0)),"n.a."),IF(ISNUMBER(INDEX(Products!$H$7:$H$13,MATCH('Replacement plan'!$B$28,Products!$A$7:$A$13,0))),INDEX(Products!$H$7:$H$13,MATCH('Replacement plan'!$B$28,Products!$A$7:$A$13,0)),"n.a.")),0),"n.a.")</f>
        <v>0</v>
      </c>
      <c r="AI92" s="1">
        <f>IF(AND(C92=1,D92="EV",E92&lt;120),(VLOOKUP($A92,'Fleet register'!$A$7:$S$106,7,FALSE)+IF(T92&gt;0,'Operating costs'!$B$12,0))*U92*(1-'Operating costs'!$B$44)+'Operating costs'!$B$49,0)</f>
        <v>0</v>
      </c>
      <c r="AJ92" s="1">
        <f>IF(D92="EV",'Energy and charging'!$B$50,0)</f>
        <v>0</v>
      </c>
      <c r="AK92" s="17">
        <f>EDATE('Operating costs'!$B$63,E92)</f>
        <v>46298</v>
      </c>
      <c r="AL92" s="1">
        <f>IFERROR(IF(D92="EV",INDEX(Products!$B$7:$B$13,MATCH('Replacement plan'!$B$28,Products!$A$7:$A$13,0)),0),"n.a.")</f>
        <v>0</v>
      </c>
      <c r="AM92" s="1" t="str">
        <f>'Replacement plan'!$K$28</f>
        <v>DC</v>
      </c>
      <c r="AN92" s="1" t="str">
        <f>'Replacement plan'!$AE$28</f>
        <v>Assumed</v>
      </c>
      <c r="AO92" s="47">
        <f>IF(AND(C92=1,D92="EV",E92&lt;120),(R92-'Operating costs'!$B$41)*S92+W92*'Operating costs'!$B$12,0)</f>
        <v>0</v>
      </c>
      <c r="AP92" s="41">
        <f>IF(AND(C92=1,D92="EV",E92&lt;120),IF('Operating costs'!$B$68="Hong Seh 200k average",AO92*IFERROR(INDEX(Products!$P$7:$P$13,MATCH(AD92,Products!$A$7:$A$13,0)),"n.a."),'Operating costs'!$B$26),0)</f>
        <v>0</v>
      </c>
      <c r="AQ92" s="40" t="str">
        <f>IF(D92="EV",'Operating costs'!$B$68,"Not applicable")</f>
        <v>Not applicable</v>
      </c>
    </row>
    <row r="93" spans="1:43" ht="24" customHeight="1">
      <c r="A93" s="1" t="str">
        <f>'Replacement plan'!A28</f>
        <v>T022</v>
      </c>
      <c r="B93" s="1">
        <v>2</v>
      </c>
      <c r="C93" s="1">
        <f>IF(COUNTIFS('Fleet register'!$A$7:$A$106,$A93)=1,VLOOKUP($A93,'Fleet register'!$A$7:$S$106,2,FALSE),0)</f>
        <v>0</v>
      </c>
      <c r="D93" s="1" t="str">
        <f>IF('Replacement plan'!$O$28="EV","EV","ICE")</f>
        <v>ICE</v>
      </c>
      <c r="E93" s="1">
        <f>IF(C93=0,0,IF('Replacement plan'!$P$28="",IF('Replacement plan'!$O$28="Keep ICE",IF('Replacement plan'!$M$28="",VLOOKUP($A93,'Fleet register'!$A$7:$S$106,10,FALSE),'Replacement plan'!$M$28),0),'Replacement plan'!$P$28))</f>
        <v>0</v>
      </c>
      <c r="F93" s="16">
        <f>IF(C93=0,0,VLOOKUP($A93,'Fleet register'!$A$7:$S$106,11,FALSE))</f>
        <v>0</v>
      </c>
      <c r="G93" s="16">
        <f>IFERROR(IF(C93=0,0,IF(E93=120,0,IF(D93="ICE",'Replacement plan'!$C$28,IF('Replacement plan'!$D$28="",INDEX(Products!$I$7:$I$13,MATCH('Replacement plan'!$B$28,Products!$A$7:$A$13,0))+'Operating costs'!$B$57,'Replacement plan'!$D$28))*(1+'Operating costs'!$B$50)^(E93/12))),"n.a.")</f>
        <v>0</v>
      </c>
      <c r="H93" s="16">
        <f>IFERROR(IF(C93=0,0,IF('Replacement plan'!$U$28&lt;&gt;"",'Replacement plan'!$U$28,IF(E93=0,F93,VLOOKUP($A93,'Fleet register'!$A$7:$S$106,12,FALSE)+VLOOKUP($A93,'Fleet register'!$A$7:$S$106,13,FALSE)*MAX(0,VLOOKUP($A93,'Fleet register'!$A$7:$S$106,10,FALSE)-E93)/VLOOKUP($A93,'Fleet register'!$A$7:$S$106,14,FALSE)))),"n.a.")</f>
        <v>0</v>
      </c>
      <c r="I93" s="16">
        <f>IF(C93=0,0,IF(E93=120,0,'Replacement plan'!$Q$28))</f>
        <v>0</v>
      </c>
      <c r="J93" s="16">
        <f>IF(C93=0,0,IF(P93="Complete",((S93*(R93-'Operating costs'!$B$39))+ROUNDUP(S93*(R93-'Operating costs'!$B$39)*IF('Replacement plan'!$AG$28="",'Operating costs'!$B$7,'Replacement plan'!$AG$28)/('Operating costs'!$B$8-'Operating costs'!$B$9*IF('Replacement plan'!$AG$28="",'Operating costs'!$B$7,'Replacement plan'!$AG$28)),0)*'Operating costs'!$B$9)*IF('Replacement plan'!$AG$28="",'Operating costs'!$B$7,'Replacement plan'!$AG$28)*('Energy and charging'!$B$9*'Energy and charging'!$B$7+(1-'Energy and charging'!$B$9)*'Energy and charging'!$B$8)*'Operating costs'!$B$23,"n.a."))</f>
        <v>0</v>
      </c>
      <c r="K93" s="16">
        <f>IF(C93=0,0,IF(P93="Complete",SUM('Operating costs'!$B$24,'Operating costs'!$B$27,'Operating costs'!$B$29,'Operating costs'!$B$31,'Operating costs'!$B$33,'Operating costs'!$B$34,'Operating costs'!$B$37,'Replacement plan'!$W$28)+'Operating costs'!$B$39*'Operating costs'!$B$42+ROUNDUP(S93*(R93-'Operating costs'!$B$39)*IF('Replacement plan'!$AG$28="",'Operating costs'!$B$7,'Replacement plan'!$AG$28)/('Operating costs'!$B$8-'Operating costs'!$B$9*IF('Replacement plan'!$AG$28="",'Operating costs'!$B$7,'Replacement plan'!$AG$28)),0)*('Operating costs'!$B$9/'Operating costs'!$B$11+'Operating costs'!$B$10/60)*'Operating costs'!$B$19*'Operating costs'!$B$21,"n.a."))</f>
        <v>0</v>
      </c>
      <c r="L93" s="16">
        <f>IF(C93=0,0,IF(P93="Complete",IF(D93="EV",X93*((1-T93)*'Energy and charging'!$B$10+T93*'Energy and charging'!$B$11)*'Operating costs'!$B$22,AA93*('Energy and charging'!$B$9*'Energy and charging'!$B$7+(1-'Energy and charging'!$B$9)*'Energy and charging'!$B$8)*'Operating costs'!$B$23),"n.a."))</f>
        <v>0</v>
      </c>
      <c r="M93" s="37">
        <f>IF(C93=0,0,IF(P93="Complete",IF(D93="ICE",SUM('Operating costs'!$B$25,'Operating costs'!$B$27,'Operating costs'!$B$29,'Operating costs'!$B$31,'Operating costs'!$B$33,'Operating costs'!$B$35,'Operating costs'!$B$37,'Replacement plan'!$X$28)+'Operating costs'!$B$40*'Operating costs'!$B$42+ROUNDUP(S93*(R93-'Operating costs'!$B$40)*IF('Replacement plan'!$AH$28="",'Operating costs'!$B$7,'Replacement plan'!$AH$28)/('Operating costs'!$B$8-'Operating costs'!$B$9*IF('Replacement plan'!$AH$28="",'Operating costs'!$B$7,'Replacement plan'!$AH$28)),0)*('Operating costs'!$B$9/'Operating costs'!$B$11+'Operating costs'!$B$10/60)*'Operating costs'!$B$19*'Operating costs'!$B$21,SUM(AP93,'Operating costs'!$B$28,'Operating costs'!$B$30,'Operating costs'!$B$32,'Operating costs'!$B$33,'Operating costs'!$B$36,'Operating costs'!$B$38,'Replacement plan'!$Y$28)+'Operating costs'!$B$41*'Operating costs'!$B$43+W93*'Operating costs'!$B$15+(T93*X93/'Replacement plan'!$L$28+W93*('Operating costs'!$B$12/'Operating costs'!$B$11+('Operating costs'!$B$13+'Operating costs'!$B$14)/60)+(R93-'Operating costs'!$B$41)*(IF(T93&lt;1,'Operating costs'!$B$16,0)+'Operating costs'!$B$17)/60)*'Operating costs'!$B$19*'Operating costs'!$B$20),"n.a."))</f>
        <v>0</v>
      </c>
      <c r="N93" s="16">
        <f>IF(AND(C93=1,D93="EV",E93&lt;120,E93+'Replacement plan'!$AA$28&lt;=120),'Replacement plan'!$Z$28,0)</f>
        <v>0</v>
      </c>
      <c r="O93" s="1">
        <f>E93+'Replacement plan'!$AA$28</f>
        <v>0</v>
      </c>
      <c r="P93" s="35" t="str">
        <f>IFERROR(IF(C93=0,"Excluded",IF(OR(COUNTIFS('Fleet register'!$A$7:$A$106,A93)&lt;&gt;1,COUNTIFS('Replacement plan'!$A$7:$A$106,A93)&lt;&gt;1),"Duplicate/missing ID",IF(NOT(AND(ISNUMBER(VLOOKUP($A93,'Fleet register'!$A$7:$S$106,5,FALSE)),ISNUMBER(VLOOKUP($A93,'Fleet register'!$A$7:$S$106,6,FALSE)),ISNUMBER(VLOOKUP($A93,'Fleet register'!$A$7:$S$106,10,FALSE)),ISNUMBER(VLOOKUP($A93,'Fleet register'!$A$7:$S$106,11,FALSE)),ISNUMBER(VLOOKUP($A93,'Fleet register'!$A$7:$S$106,12,FALSE)),ISNUMBER(VLOOKUP($A93,'Fleet register'!$A$7:$S$106,13,FALSE)),ISNUMBER(VLOOKUP($A93,'Fleet register'!$A$7:$S$106,14,FALSE)),VLOOKUP($A93,'Fleet register'!$A$7:$S$106,14,FALSE)&gt;0,ISNUMBER('Replacement plan'!$C$28),OR(E93=120,ISNUMBER('Replacement plan'!$Q$28)),ISNUMBER(E93))),"Missing vehicle input",IF(OR(E93&lt;0,E93&gt;VLOOKUP($A93,'Fleet register'!$A$7:$S$106,10,FALSE),E93&gt;120,E93&lt;&gt;INT(E93),VLOOKUP($A93,'Fleet register'!$A$7:$S$106,6,FALSE)&lt;=0,VLOOKUP($A93,'Fleet register'!$A$7:$S$106,6,FALSE)&gt;366,VLOOKUP($A93,'Fleet register'!$A$7:$S$106,5,FALSE)&lt;0,VLOOKUP($A93,'Fleet register'!$A$7:$S$106,11,FALSE)&lt;0,I93&lt;0,'Operating costs'!$B$8&lt;='Operating costs'!$B$7*'Operating costs'!$B$9,'Operating costs'!$B$11&lt;=0,'Operating costs'!$B$39&gt;R93,'Operating costs'!$B$40&gt;R93,'Operating costs'!$B$41&gt;R93,NOT(OR('Replacement plan'!$O$28="Keep ICE",'Replacement plan'!$O$28="New ICE",'Replacement plan'!$O$28="EV"))),"Invalid vehicle input",IF(AND(D93="EV",E93&lt;120,OR(NOT(ISNUMBER(U93)),NOT(ISNUMBER(V93)),V93&lt;=0,T93&lt;0,T93&gt;1,'Replacement plan'!$L$28&lt;=0,'Operating costs'!$B$44&lt;0,'Operating costs'!$B$44&gt;=1,'Operating costs'!$B$47&lt;=0,'Operating costs'!$B$47&gt;1,V93*'Operating costs'!$B$47/(1-'Operating costs'!$B$44)&lt;=T93*'Operating costs'!$B$12*U93,AND('Replacement plan'!$Z$28&gt;0,OR('Replacement plan'!$AB$28&lt;&gt;"Yes",'Operating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charging'!$B$8&gt;=0))),ISNUMBER(VLOOKUP($A93,'Fleet register'!$A$7:$S$106,15,FALSE)),ISNUMBER(VLOOKUP($A93,'Fleet register'!$A$7:$S$106,16,FALSE)),ISNUMBER('Replacement plan'!$W$28),ISNUMBER('Replacement plan'!$X$28),OR(E93=120,AND(ISNUMBER(G93),G93&gt;=0)),ISNUMBER(H93),H93&gt;=0,OR(D93&lt;&gt;"EV",E93=120,AND(ISNUMBER('Operating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average",ISNUMBER(IFERROR(INDEX(Products!$P$7:$P$13,MATCH(AD93,Products!$A$7:$A$13,0)),"")))),ISNUMBER('Operating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plan'!$Y$28),ISNUMBER('Replacement plan'!$Z$28),'Replacement plan'!$Z$28&gt;=0,ISNUMBER('Replacement plan'!$AA$28),'Replacement plan'!$AA$28&gt;=0,'Replacement plan'!$AA$28=INT('Replacement plan'!$AA$28),ISNUMBER('Replacement plan'!$L$28))),'Operating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plan'!$AG$28="",'Operating costs'!$B$7,'Replacement plan'!$AG$28)),IF('Replacement plan'!$AG$28="",'Operating costs'!$B$7,'Replacement plan'!$AG$28)&gt;=0,ISNUMBER(IF('Replacement plan'!$AH$28="",'Operating costs'!$B$7,'Replacement plan'!$AH$28)),IF('Replacement plan'!$AH$28="",'Operating costs'!$B$7,'Replacement plan'!$AH$28)&gt;=0,'Operating costs'!$B$8&gt;MAX(IF('Replacement plan'!$AG$28="",'Operating costs'!$B$7,'Replacement plan'!$AG$28),IF('Replacement plan'!$AH$28="",'Operating costs'!$B$7,'Replacement plan'!$AH$28))*'Operating costs'!$B$9),IF(AND(VLOOKUP($A93,'Fleet register'!$A$7:$S$106,10,FALSE)&gt;=0,VLOOKUP($A93,'Fleet register'!$A$7:$S$106,10,FALSE)&lt;=120,VLOOKUP($A93,'Fleet register'!$A$7:$S$106,10,FALSE)=INT(VLOOKUP($A93,'Fleet register'!$A$7:$S$106,10,FALSE)),VLOOKUP($A93,'Fleet register'!$A$7:$S$106,15,FALSE)&gt;=0,VLOOKUP($A93,'Fleet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costs'!$B$67)&gt;=0,OR(D93&lt;&gt;"EV",E93=120,AND(MIN('Operating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93" s="1" t="str">
        <f>IF(C93=0,"Excluded",IF(P93&lt;&gt;"Complete",P93,IF(OR('Replacement plan'!$AD$28&lt;120-E93,AND(D93="EV",E93&lt;120,OR('Replacement plan'!$AC$28&lt;120-E93,'Replacement plan'!$I$28="No",AND(ISNUMBER(AF93),AE93&gt;AF93),AI93&gt;V93*(1-'Operating costs'!$B$46)^MAX(0,AB93-1)*(1-'Operating costs'!$B$45),AC93&gt;'Operating costs'!$B$18,AND(T93&lt;1,OR(AG93&lt;=0,AND(ISNUMBER(AH93),AG93&gt;AH93))),'Replacement plan'!$L$28&gt;INDEX(Products!$H$7:$H$13,MATCH('Replacement plan'!$B$28,Products!$A$7:$A$13,0))))),"Fails entered limits",IF(AND(D93="EV",E93&lt;120,OR(NOT(ISNUMBER(VLOOKUP($A93,'Fleet register'!$A$7:$S$106,7,FALSE))),NOT(ISNUMBER(VLOOKUP($A93,'Fleet register'!$A$7:$S$106,8,FALSE))),NOT(ISNUMBER(AF93)),'Replacement plan'!$I$28&lt;&gt;"Yes",NOT(ISNUMBER(AH93)),'Operating costs'!$B$59&lt;&gt;"Yes",'Operating costs'!$B$58&lt;&gt;"Yes")),"Unverified","Within entered limits"))))</f>
        <v>Excluded</v>
      </c>
      <c r="R93" s="1">
        <f>IF(C93=0,0,VLOOKUP($A93,'Fleet register'!$A$7:$S$106,6,FALSE))</f>
        <v>0</v>
      </c>
      <c r="S93" s="1">
        <f>IF(C93=0,0,VLOOKUP($A93,'Fleet register'!$A$7:$S$106,5,FALSE))</f>
        <v>0</v>
      </c>
      <c r="T93" s="1">
        <f>IF(D93="EV",'Energy and charging'!$B$12,0)</f>
        <v>0</v>
      </c>
      <c r="U93" s="1">
        <f>IFERROR(IF(C93=0,0,IF(D93="EV",IF('Replacement plan'!$F$28="",INDEX(Products!$E$7:$E$13,MATCH('Replacement plan'!$B$28,Products!$A$7:$A$13,0)),'Replacement plan'!$F$28)/IF('Replacement plan'!$G$28="Battery",1-'Operating costs'!$B$44,1),0)),"n.a.")</f>
        <v>0</v>
      </c>
      <c r="V93" s="1">
        <f>IFERROR(IF(C93=0,0,IF(D93="EV",IF('Replacement plan'!$E$28="",INDEX(Products!$D$7:$D$13,MATCH('Replacement plan'!$B$28,Products!$A$7:$A$13,0)),'Replacement plan'!$E$28),0)),"n.a.")</f>
        <v>0</v>
      </c>
      <c r="W93" s="1">
        <f>IF(C93=0,0,IF(AND(P93="Complete",D93="EV",E93&lt;120),IF(T93=0,0,ROUNDUP(T93*(R93-'Operating costs'!$B$41)*(S93*U93+'Operating costs'!$B$48/(1-'Operating costs'!$B$44))/(V93*'Operating costs'!$B$47/(1-'Operating costs'!$B$44)-T93*'Operating costs'!$B$12*U93),0)),0))</f>
        <v>0</v>
      </c>
      <c r="X93" s="1">
        <f>IF(C93=0,0,IF(AND(P93="Complete",D93="EV",E93&lt;120),(R93-'Operating costs'!$B$41)*(S93*U93+'Operating costs'!$B$48/(1-'Operating costs'!$B$44))+W93*'Operating costs'!$B$12*U93,0))</f>
        <v>0</v>
      </c>
      <c r="Y93" s="1">
        <f>IF(AND(C93=1,D93="EV",E93&lt;120),AI93/(1-'Operating costs'!$B$44)*(1-T93),0)</f>
        <v>0</v>
      </c>
      <c r="Z93" s="1">
        <f t="shared" si="2"/>
        <v>0</v>
      </c>
      <c r="AA93" s="1">
        <f>IF(C93=0,0,IF(P93="Complete",((S93*(R93-'Operating costs'!$B$40))+ROUNDUP(S93*(R93-'Operating costs'!$B$40)*IF('Replacement plan'!$AH$28="",'Operating costs'!$B$7,'Replacement plan'!$AH$28)/('Operating costs'!$B$8-'Operating costs'!$B$9*IF('Replacement plan'!$AH$28="",'Operating costs'!$B$7,'Replacement plan'!$AH$28)),0)*'Operating costs'!$B$9)*IF('Replacement plan'!$AH$28="",'Operating costs'!$B$7,'Replacement plan'!$AH$28),"n.a."))</f>
        <v>0</v>
      </c>
      <c r="AB93" s="1">
        <f t="shared" si="3"/>
        <v>0</v>
      </c>
      <c r="AC93" s="1">
        <f>IF(AND(C93=1,D93="EV",E93&lt;120,T93&gt;0),'Operating costs'!$B$12/'Operating costs'!$B$11*60+'Operating costs'!$B$13+'Operating costs'!$B$14+V93*'Operating costs'!$B$47/(1-'Operating costs'!$B$44)/'Replacement plan'!$L$28*60,0)</f>
        <v>0</v>
      </c>
      <c r="AD93" s="1" t="str">
        <f>'Replacement plan'!$B$28</f>
        <v>ChengLong L2EV</v>
      </c>
      <c r="AE93" s="1">
        <f>IF(C93=0,0,VLOOKUP($A93,'Fleet register'!$A$7:$S$106,8,FALSE))</f>
        <v>0</v>
      </c>
      <c r="AF93" s="1" t="str">
        <f>IF('Replacement plan'!$H$28="","n.a.",'Replacement plan'!$H$28)</f>
        <v>n.a.</v>
      </c>
      <c r="AG93" s="1">
        <f>'Replacement plan'!$J$28</f>
        <v>22</v>
      </c>
      <c r="AH93" s="1">
        <f>IFERROR(IF(D93="EV",IF('Replacement plan'!$K$28="AC",IF(ISNUMBER(INDEX(Products!$G$7:$G$13,MATCH('Replacement plan'!$B$28,Products!$A$7:$A$13,0))),INDEX(Products!$G$7:$G$13,MATCH('Replacement plan'!$B$28,Products!$A$7:$A$13,0)),"n.a."),IF(ISNUMBER(INDEX(Products!$H$7:$H$13,MATCH('Replacement plan'!$B$28,Products!$A$7:$A$13,0))),INDEX(Products!$H$7:$H$13,MATCH('Replacement plan'!$B$28,Products!$A$7:$A$13,0)),"n.a.")),0),"n.a.")</f>
        <v>0</v>
      </c>
      <c r="AI93" s="1">
        <f>IF(AND(C93=1,D93="EV",E93&lt;120),(VLOOKUP($A93,'Fleet register'!$A$7:$S$106,7,FALSE)+IF(T93&gt;0,'Operating costs'!$B$12,0))*U93*(1-'Operating costs'!$B$44)+'Operating costs'!$B$49,0)</f>
        <v>0</v>
      </c>
      <c r="AJ93" s="1">
        <f>IF(D93="EV",'Energy and charging'!$B$50,0)</f>
        <v>0</v>
      </c>
      <c r="AK93" s="17">
        <f>EDATE('Operating costs'!$B$63,E93)</f>
        <v>46298</v>
      </c>
      <c r="AL93" s="1">
        <f>IFERROR(IF(D93="EV",INDEX(Products!$B$7:$B$13,MATCH('Replacement plan'!$B$28,Products!$A$7:$A$13,0)),0),"n.a.")</f>
        <v>0</v>
      </c>
      <c r="AM93" s="1" t="str">
        <f>'Replacement plan'!$K$28</f>
        <v>DC</v>
      </c>
      <c r="AN93" s="1" t="str">
        <f>'Replacement plan'!$AE$28</f>
        <v>Assumed</v>
      </c>
      <c r="AO93" s="47">
        <f>IF(AND(C93=1,D93="EV",E93&lt;120),(R93-'Operating costs'!$B$41)*S93+W93*'Operating costs'!$B$12,0)</f>
        <v>0</v>
      </c>
      <c r="AP93" s="41">
        <f>IF(AND(C93=1,D93="EV",E93&lt;120),IF('Operating costs'!$B$68="Hong Seh 200k average",AO93*IFERROR(INDEX(Products!$P$7:$P$13,MATCH(AD93,Products!$A$7:$A$13,0)),"n.a."),'Operating costs'!$B$26),0)</f>
        <v>0</v>
      </c>
      <c r="AQ93" s="40" t="str">
        <f>IF(D93="EV",'Operating costs'!$B$68,"Not applicable")</f>
        <v>Not applicable</v>
      </c>
    </row>
    <row r="94" spans="1:43" ht="24" customHeight="1">
      <c r="A94" s="1" t="str">
        <f>'Replacement plan'!A28</f>
        <v>T022</v>
      </c>
      <c r="B94" s="1">
        <v>3</v>
      </c>
      <c r="C94" s="1">
        <f>IF(COUNTIFS('Fleet register'!$A$7:$A$106,$A94)=1,VLOOKUP($A94,'Fleet register'!$A$7:$S$106,2,FALSE),0)</f>
        <v>0</v>
      </c>
      <c r="D94" s="1" t="str">
        <f>IF('Replacement plan'!$R$28="EV","EV","ICE")</f>
        <v>ICE</v>
      </c>
      <c r="E94" s="1">
        <f>IF(C94=0,0,IF('Replacement plan'!$S$28="",IF('Replacement plan'!$R$28="Keep ICE",IF('Replacement plan'!$M$28="",VLOOKUP($A94,'Fleet register'!$A$7:$S$106,10,FALSE),'Replacement plan'!$M$28),0),'Replacement plan'!$S$28))</f>
        <v>0</v>
      </c>
      <c r="F94" s="16">
        <f>IF(C94=0,0,VLOOKUP($A94,'Fleet register'!$A$7:$S$106,11,FALSE))</f>
        <v>0</v>
      </c>
      <c r="G94" s="16">
        <f>IFERROR(IF(C94=0,0,IF(E94=120,0,IF(D94="ICE",'Replacement plan'!$C$28,IF('Replacement plan'!$D$28="",INDEX(Products!$I$7:$I$13,MATCH('Replacement plan'!$B$28,Products!$A$7:$A$13,0))+'Operating costs'!$B$57,'Replacement plan'!$D$28))*(1+'Operating costs'!$B$50)^(E94/12))),"n.a.")</f>
        <v>0</v>
      </c>
      <c r="H94" s="16">
        <f>IFERROR(IF(C94=0,0,IF('Replacement plan'!$V$28&lt;&gt;"",'Replacement plan'!$V$28,IF(E94=0,F94,VLOOKUP($A94,'Fleet register'!$A$7:$S$106,12,FALSE)+VLOOKUP($A94,'Fleet register'!$A$7:$S$106,13,FALSE)*MAX(0,VLOOKUP($A94,'Fleet register'!$A$7:$S$106,10,FALSE)-E94)/VLOOKUP($A94,'Fleet register'!$A$7:$S$106,14,FALSE)))),"n.a.")</f>
        <v>0</v>
      </c>
      <c r="I94" s="16">
        <f>IF(C94=0,0,IF(E94=120,0,'Replacement plan'!$T$28))</f>
        <v>0</v>
      </c>
      <c r="J94" s="16">
        <f>IF(C94=0,0,IF(P94="Complete",((S94*(R94-'Operating costs'!$B$39))+ROUNDUP(S94*(R94-'Operating costs'!$B$39)*IF('Replacement plan'!$AG$28="",'Operating costs'!$B$7,'Replacement plan'!$AG$28)/('Operating costs'!$B$8-'Operating costs'!$B$9*IF('Replacement plan'!$AG$28="",'Operating costs'!$B$7,'Replacement plan'!$AG$28)),0)*'Operating costs'!$B$9)*IF('Replacement plan'!$AG$28="",'Operating costs'!$B$7,'Replacement plan'!$AG$28)*('Energy and charging'!$C$9*'Energy and charging'!$C$7+(1-'Energy and charging'!$C$9)*'Energy and charging'!$C$8)*'Operating costs'!$B$23,"n.a."))</f>
        <v>0</v>
      </c>
      <c r="K94" s="16">
        <f>IF(C94=0,0,IF(P94="Complete",SUM('Operating costs'!$B$24,'Operating costs'!$B$27,'Operating costs'!$B$29,'Operating costs'!$B$31,'Operating costs'!$B$33,'Operating costs'!$B$34,'Operating costs'!$B$37,'Replacement plan'!$W$28)+'Operating costs'!$B$39*'Operating costs'!$B$42+ROUNDUP(S94*(R94-'Operating costs'!$B$39)*IF('Replacement plan'!$AG$28="",'Operating costs'!$B$7,'Replacement plan'!$AG$28)/('Operating costs'!$B$8-'Operating costs'!$B$9*IF('Replacement plan'!$AG$28="",'Operating costs'!$B$7,'Replacement plan'!$AG$28)),0)*('Operating costs'!$B$9/'Operating costs'!$B$11+'Operating costs'!$B$10/60)*'Operating costs'!$B$19*'Operating costs'!$B$21,"n.a."))</f>
        <v>0</v>
      </c>
      <c r="L94" s="16">
        <f>IF(C94=0,0,IF(P94="Complete",IF(D94="EV",X94*((1-T94)*'Energy and charging'!$C$10+T94*'Energy and charging'!$C$11)*'Operating costs'!$B$22,AA94*('Energy and charging'!$C$9*'Energy and charging'!$C$7+(1-'Energy and charging'!$C$9)*'Energy and charging'!$C$8)*'Operating costs'!$B$23),"n.a."))</f>
        <v>0</v>
      </c>
      <c r="M94" s="37">
        <f>IF(C94=0,0,IF(P94="Complete",IF(D94="ICE",SUM('Operating costs'!$B$25,'Operating costs'!$B$27,'Operating costs'!$B$29,'Operating costs'!$B$31,'Operating costs'!$B$33,'Operating costs'!$B$35,'Operating costs'!$B$37,'Replacement plan'!$X$28)+'Operating costs'!$B$40*'Operating costs'!$B$42+ROUNDUP(S94*(R94-'Operating costs'!$B$40)*IF('Replacement plan'!$AH$28="",'Operating costs'!$B$7,'Replacement plan'!$AH$28)/('Operating costs'!$B$8-'Operating costs'!$B$9*IF('Replacement plan'!$AH$28="",'Operating costs'!$B$7,'Replacement plan'!$AH$28)),0)*('Operating costs'!$B$9/'Operating costs'!$B$11+'Operating costs'!$B$10/60)*'Operating costs'!$B$19*'Operating costs'!$B$21,SUM(AP94,'Operating costs'!$B$28,'Operating costs'!$B$30,'Operating costs'!$B$32,'Operating costs'!$B$33,'Operating costs'!$B$36,'Operating costs'!$B$38,'Replacement plan'!$Y$28)+'Operating costs'!$B$41*'Operating costs'!$B$43+W94*'Operating costs'!$B$15+(T94*X94/'Replacement plan'!$L$28+W94*('Operating costs'!$B$12/'Operating costs'!$B$11+('Operating costs'!$B$13+'Operating costs'!$B$14)/60)+(R94-'Operating costs'!$B$41)*(IF(T94&lt;1,'Operating costs'!$B$16,0)+'Operating costs'!$B$17)/60)*'Operating costs'!$B$19*'Operating costs'!$B$20),"n.a."))</f>
        <v>0</v>
      </c>
      <c r="N94" s="16">
        <f>IF(AND(C94=1,D94="EV",E94&lt;120,E94+'Replacement plan'!$AA$28&lt;=120),'Replacement plan'!$Z$28,0)</f>
        <v>0</v>
      </c>
      <c r="O94" s="1">
        <f>E94+'Replacement plan'!$AA$28</f>
        <v>0</v>
      </c>
      <c r="P94" s="35" t="str">
        <f>IFERROR(IF(C94=0,"Excluded",IF(OR(COUNTIFS('Fleet register'!$A$7:$A$106,A94)&lt;&gt;1,COUNTIFS('Replacement plan'!$A$7:$A$106,A94)&lt;&gt;1),"Duplicate/missing ID",IF(NOT(AND(ISNUMBER(VLOOKUP($A94,'Fleet register'!$A$7:$S$106,5,FALSE)),ISNUMBER(VLOOKUP($A94,'Fleet register'!$A$7:$S$106,6,FALSE)),ISNUMBER(VLOOKUP($A94,'Fleet register'!$A$7:$S$106,10,FALSE)),ISNUMBER(VLOOKUP($A94,'Fleet register'!$A$7:$S$106,11,FALSE)),ISNUMBER(VLOOKUP($A94,'Fleet register'!$A$7:$S$106,12,FALSE)),ISNUMBER(VLOOKUP($A94,'Fleet register'!$A$7:$S$106,13,FALSE)),ISNUMBER(VLOOKUP($A94,'Fleet register'!$A$7:$S$106,14,FALSE)),VLOOKUP($A94,'Fleet register'!$A$7:$S$106,14,FALSE)&gt;0,ISNUMBER('Replacement plan'!$C$28),OR(E94=120,ISNUMBER('Replacement plan'!$T$28)),ISNUMBER(E94))),"Missing vehicle input",IF(OR(E94&lt;0,E94&gt;VLOOKUP($A94,'Fleet register'!$A$7:$S$106,10,FALSE),E94&gt;120,E94&lt;&gt;INT(E94),VLOOKUP($A94,'Fleet register'!$A$7:$S$106,6,FALSE)&lt;=0,VLOOKUP($A94,'Fleet register'!$A$7:$S$106,6,FALSE)&gt;366,VLOOKUP($A94,'Fleet register'!$A$7:$S$106,5,FALSE)&lt;0,VLOOKUP($A94,'Fleet register'!$A$7:$S$106,11,FALSE)&lt;0,I94&lt;0,'Operating costs'!$B$8&lt;='Operating costs'!$B$7*'Operating costs'!$B$9,'Operating costs'!$B$11&lt;=0,'Operating costs'!$B$39&gt;R94,'Operating costs'!$B$40&gt;R94,'Operating costs'!$B$41&gt;R94,NOT(OR('Replacement plan'!$R$28="Keep ICE",'Replacement plan'!$R$28="New ICE",'Replacement plan'!$R$28="EV"))),"Invalid vehicle input",IF(AND(D94="EV",E94&lt;120,OR(NOT(ISNUMBER(U94)),NOT(ISNUMBER(V94)),V94&lt;=0,T94&lt;0,T94&gt;1,'Replacement plan'!$L$28&lt;=0,'Operating costs'!$B$44&lt;0,'Operating costs'!$B$44&gt;=1,'Operating costs'!$B$47&lt;=0,'Operating costs'!$B$47&gt;1,V94*'Operating costs'!$B$47/(1-'Operating costs'!$B$44)&lt;=T94*'Operating costs'!$B$12*U94,AND('Replacement plan'!$Z$28&gt;0,OR('Replacement plan'!$AB$28&lt;&gt;"Yes",'Operating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charging'!$C$8&gt;=0))),ISNUMBER(VLOOKUP($A94,'Fleet register'!$A$7:$S$106,15,FALSE)),ISNUMBER(VLOOKUP($A94,'Fleet register'!$A$7:$S$106,16,FALSE)),ISNUMBER('Replacement plan'!$W$28),ISNUMBER('Replacement plan'!$X$28),OR(E94=120,AND(ISNUMBER(G94),G94&gt;=0)),ISNUMBER(H94),H94&gt;=0,OR(D94&lt;&gt;"EV",E94=120,AND(ISNUMBER('Operating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average",ISNUMBER(IFERROR(INDEX(Products!$P$7:$P$13,MATCH(AD94,Products!$A$7:$A$13,0)),"")))),ISNUMBER('Operating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plan'!$Y$28),ISNUMBER('Replacement plan'!$Z$28),'Replacement plan'!$Z$28&gt;=0,ISNUMBER('Replacement plan'!$AA$28),'Replacement plan'!$AA$28&gt;=0,'Replacement plan'!$AA$28=INT('Replacement plan'!$AA$28),ISNUMBER('Replacement plan'!$L$28))),'Operating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plan'!$AG$28="",'Operating costs'!$B$7,'Replacement plan'!$AG$28)),IF('Replacement plan'!$AG$28="",'Operating costs'!$B$7,'Replacement plan'!$AG$28)&gt;=0,ISNUMBER(IF('Replacement plan'!$AH$28="",'Operating costs'!$B$7,'Replacement plan'!$AH$28)),IF('Replacement plan'!$AH$28="",'Operating costs'!$B$7,'Replacement plan'!$AH$28)&gt;=0,'Operating costs'!$B$8&gt;MAX(IF('Replacement plan'!$AG$28="",'Operating costs'!$B$7,'Replacement plan'!$AG$28),IF('Replacement plan'!$AH$28="",'Operating costs'!$B$7,'Replacement plan'!$AH$28))*'Operating costs'!$B$9),IF(AND(VLOOKUP($A94,'Fleet register'!$A$7:$S$106,10,FALSE)&gt;=0,VLOOKUP($A94,'Fleet register'!$A$7:$S$106,10,FALSE)&lt;=120,VLOOKUP($A94,'Fleet register'!$A$7:$S$106,10,FALSE)=INT(VLOOKUP($A94,'Fleet register'!$A$7:$S$106,10,FALSE)),VLOOKUP($A94,'Fleet register'!$A$7:$S$106,15,FALSE)&gt;=0,VLOOKUP($A94,'Fleet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costs'!$B$67)&gt;=0,OR(D94&lt;&gt;"EV",E94=120,AND(MIN('Operating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94" s="1" t="str">
        <f>IF(C94=0,"Excluded",IF(P94&lt;&gt;"Complete",P94,IF(OR('Replacement plan'!$AD$28&lt;120-E94,AND(D94="EV",E94&lt;120,OR('Replacement plan'!$AC$28&lt;120-E94,'Replacement plan'!$I$28="No",AND(ISNUMBER(AF94),AE94&gt;AF94),AI94&gt;V94*(1-'Operating costs'!$B$46)^MAX(0,AB94-1)*(1-'Operating costs'!$B$45),AC94&gt;'Operating costs'!$B$18,AND(T94&lt;1,OR(AG94&lt;=0,AND(ISNUMBER(AH94),AG94&gt;AH94))),'Replacement plan'!$L$28&gt;INDEX(Products!$H$7:$H$13,MATCH('Replacement plan'!$B$28,Products!$A$7:$A$13,0))))),"Fails entered limits",IF(AND(D94="EV",E94&lt;120,OR(NOT(ISNUMBER(VLOOKUP($A94,'Fleet register'!$A$7:$S$106,7,FALSE))),NOT(ISNUMBER(VLOOKUP($A94,'Fleet register'!$A$7:$S$106,8,FALSE))),NOT(ISNUMBER(AF94)),'Replacement plan'!$I$28&lt;&gt;"Yes",NOT(ISNUMBER(AH94)),'Operating costs'!$B$59&lt;&gt;"Yes",'Operating costs'!$B$58&lt;&gt;"Yes")),"Unverified","Within entered limits"))))</f>
        <v>Excluded</v>
      </c>
      <c r="R94" s="1">
        <f>IF(C94=0,0,VLOOKUP($A94,'Fleet register'!$A$7:$S$106,6,FALSE))</f>
        <v>0</v>
      </c>
      <c r="S94" s="1">
        <f>IF(C94=0,0,VLOOKUP($A94,'Fleet register'!$A$7:$S$106,5,FALSE))</f>
        <v>0</v>
      </c>
      <c r="T94" s="1">
        <f>IF(D94="EV",'Energy and charging'!$C$12,0)</f>
        <v>0</v>
      </c>
      <c r="U94" s="1">
        <f>IFERROR(IF(C94=0,0,IF(D94="EV",IF('Replacement plan'!$F$28="",INDEX(Products!$E$7:$E$13,MATCH('Replacement plan'!$B$28,Products!$A$7:$A$13,0)),'Replacement plan'!$F$28)/IF('Replacement plan'!$G$28="Battery",1-'Operating costs'!$B$44,1),0)),"n.a.")</f>
        <v>0</v>
      </c>
      <c r="V94" s="1">
        <f>IFERROR(IF(C94=0,0,IF(D94="EV",IF('Replacement plan'!$E$28="",INDEX(Products!$D$7:$D$13,MATCH('Replacement plan'!$B$28,Products!$A$7:$A$13,0)),'Replacement plan'!$E$28),0)),"n.a.")</f>
        <v>0</v>
      </c>
      <c r="W94" s="1">
        <f>IF(C94=0,0,IF(AND(P94="Complete",D94="EV",E94&lt;120),IF(T94=0,0,ROUNDUP(T94*(R94-'Operating costs'!$B$41)*(S94*U94+'Operating costs'!$B$48/(1-'Operating costs'!$B$44))/(V94*'Operating costs'!$B$47/(1-'Operating costs'!$B$44)-T94*'Operating costs'!$B$12*U94),0)),0))</f>
        <v>0</v>
      </c>
      <c r="X94" s="1">
        <f>IF(C94=0,0,IF(AND(P94="Complete",D94="EV",E94&lt;120),(R94-'Operating costs'!$B$41)*(S94*U94+'Operating costs'!$B$48/(1-'Operating costs'!$B$44))+W94*'Operating costs'!$B$12*U94,0))</f>
        <v>0</v>
      </c>
      <c r="Y94" s="1">
        <f>IF(AND(C94=1,D94="EV",E94&lt;120),AI94/(1-'Operating costs'!$B$44)*(1-T94),0)</f>
        <v>0</v>
      </c>
      <c r="Z94" s="1">
        <f t="shared" si="2"/>
        <v>0</v>
      </c>
      <c r="AA94" s="1">
        <f>IF(C94=0,0,IF(P94="Complete",((S94*(R94-'Operating costs'!$B$40))+ROUNDUP(S94*(R94-'Operating costs'!$B$40)*IF('Replacement plan'!$AH$28="",'Operating costs'!$B$7,'Replacement plan'!$AH$28)/('Operating costs'!$B$8-'Operating costs'!$B$9*IF('Replacement plan'!$AH$28="",'Operating costs'!$B$7,'Replacement plan'!$AH$28)),0)*'Operating costs'!$B$9)*IF('Replacement plan'!$AH$28="",'Operating costs'!$B$7,'Replacement plan'!$AH$28),"n.a."))</f>
        <v>0</v>
      </c>
      <c r="AB94" s="1">
        <f t="shared" si="3"/>
        <v>0</v>
      </c>
      <c r="AC94" s="1">
        <f>IF(AND(C94=1,D94="EV",E94&lt;120,T94&gt;0),'Operating costs'!$B$12/'Operating costs'!$B$11*60+'Operating costs'!$B$13+'Operating costs'!$B$14+V94*'Operating costs'!$B$47/(1-'Operating costs'!$B$44)/'Replacement plan'!$L$28*60,0)</f>
        <v>0</v>
      </c>
      <c r="AD94" s="1" t="str">
        <f>'Replacement plan'!$B$28</f>
        <v>ChengLong L2EV</v>
      </c>
      <c r="AE94" s="1">
        <f>IF(C94=0,0,VLOOKUP($A94,'Fleet register'!$A$7:$S$106,8,FALSE))</f>
        <v>0</v>
      </c>
      <c r="AF94" s="1" t="str">
        <f>IF('Replacement plan'!$H$28="","n.a.",'Replacement plan'!$H$28)</f>
        <v>n.a.</v>
      </c>
      <c r="AG94" s="1">
        <f>'Replacement plan'!$J$28</f>
        <v>22</v>
      </c>
      <c r="AH94" s="1">
        <f>IFERROR(IF(D94="EV",IF('Replacement plan'!$K$28="AC",IF(ISNUMBER(INDEX(Products!$G$7:$G$13,MATCH('Replacement plan'!$B$28,Products!$A$7:$A$13,0))),INDEX(Products!$G$7:$G$13,MATCH('Replacement plan'!$B$28,Products!$A$7:$A$13,0)),"n.a."),IF(ISNUMBER(INDEX(Products!$H$7:$H$13,MATCH('Replacement plan'!$B$28,Products!$A$7:$A$13,0))),INDEX(Products!$H$7:$H$13,MATCH('Replacement plan'!$B$28,Products!$A$7:$A$13,0)),"n.a.")),0),"n.a.")</f>
        <v>0</v>
      </c>
      <c r="AI94" s="1">
        <f>IF(AND(C94=1,D94="EV",E94&lt;120),(VLOOKUP($A94,'Fleet register'!$A$7:$S$106,7,FALSE)+IF(T94&gt;0,'Operating costs'!$B$12,0))*U94*(1-'Operating costs'!$B$44)+'Operating costs'!$B$49,0)</f>
        <v>0</v>
      </c>
      <c r="AJ94" s="1">
        <f>IF(D94="EV",'Energy and charging'!$C$50,0)</f>
        <v>0</v>
      </c>
      <c r="AK94" s="17">
        <f>EDATE('Operating costs'!$B$63,E94)</f>
        <v>46298</v>
      </c>
      <c r="AL94" s="1">
        <f>IFERROR(IF(D94="EV",INDEX(Products!$B$7:$B$13,MATCH('Replacement plan'!$B$28,Products!$A$7:$A$13,0)),0),"n.a.")</f>
        <v>0</v>
      </c>
      <c r="AM94" s="1" t="str">
        <f>'Replacement plan'!$K$28</f>
        <v>DC</v>
      </c>
      <c r="AN94" s="1" t="str">
        <f>'Replacement plan'!$AE$28</f>
        <v>Assumed</v>
      </c>
      <c r="AO94" s="47">
        <f>IF(AND(C94=1,D94="EV",E94&lt;120),(R94-'Operating costs'!$B$41)*S94+W94*'Operating costs'!$B$12,0)</f>
        <v>0</v>
      </c>
      <c r="AP94" s="41">
        <f>IF(AND(C94=1,D94="EV",E94&lt;120),IF('Operating costs'!$B$68="Hong Seh 200k average",AO94*IFERROR(INDEX(Products!$P$7:$P$13,MATCH(AD94,Products!$A$7:$A$13,0)),"n.a."),'Operating costs'!$B$26),0)</f>
        <v>0</v>
      </c>
      <c r="AQ94" s="40" t="str">
        <f>IF(D94="EV",'Operating costs'!$B$68,"Not applicable")</f>
        <v>Not applicable</v>
      </c>
    </row>
    <row r="95" spans="1:43" ht="24" customHeight="1">
      <c r="A95" s="1" t="str">
        <f>'Replacement plan'!A29</f>
        <v>T023</v>
      </c>
      <c r="B95" s="1">
        <v>0</v>
      </c>
      <c r="C95" s="1">
        <f>IF(COUNTIFS('Fleet register'!$A$7:$A$106,$A95)=1,VLOOKUP($A95,'Fleet register'!$A$7:$S$106,2,FALSE),0)</f>
        <v>0</v>
      </c>
      <c r="D95" s="1" t="str">
        <f>IF("Keep ICE"="EV","EV","ICE")</f>
        <v>ICE</v>
      </c>
      <c r="E95" s="1">
        <f>IF(C95=0,0,IF('Replacement plan'!$M$29="",VLOOKUP($A95,'Fleet register'!$A$7:$S$106,10,FALSE),'Replacement plan'!$M$29))</f>
        <v>0</v>
      </c>
      <c r="F95" s="16">
        <f>IF(C95=0,0,VLOOKUP($A95,'Fleet register'!$A$7:$S$106,11,FALSE))</f>
        <v>0</v>
      </c>
      <c r="G95" s="16">
        <f>IFERROR(IF(C95=0,0,IF(E95=120,0,IF(D95="ICE",'Replacement plan'!$C$29,IF('Replacement plan'!$D$29="",INDEX(Products!$I$7:$I$13,MATCH('Replacement plan'!$B$29,Products!$A$7:$A$13,0))+'Operating costs'!$B$57,'Replacement plan'!$D$29))*(1+'Operating costs'!$B$50)^(E95/12))),"n.a.")</f>
        <v>0</v>
      </c>
      <c r="H95" s="16">
        <f>IFERROR(IF(C95=0,0,IF(E95=0,F95,VLOOKUP($A95,'Fleet register'!$A$7:$S$106,12,FALSE)+VLOOKUP($A95,'Fleet register'!$A$7:$S$106,13,FALSE)*MAX(0,VLOOKUP($A95,'Fleet register'!$A$7:$S$106,10,FALSE)-E95)/VLOOKUP($A95,'Fleet register'!$A$7:$S$106,14,FALSE))),"n.a.")</f>
        <v>0</v>
      </c>
      <c r="I95" s="16">
        <f>IF(C95=0,0,IF(E95=120,0,'Replacement plan'!$N$29))</f>
        <v>0</v>
      </c>
      <c r="J95" s="16">
        <f>IF(C95=0,0,IF(P95="Complete",((S95*(R95-'Operating costs'!$B$39))+ROUNDUP(S95*(R95-'Operating costs'!$B$39)*IF('Replacement plan'!$AG$29="",'Operating costs'!$B$7,'Replacement plan'!$AG$29)/('Operating costs'!$B$8-'Operating costs'!$B$9*IF('Replacement plan'!$AG$29="",'Operating costs'!$B$7,'Replacement plan'!$AG$29)),0)*'Operating costs'!$B$9)*IF('Replacement plan'!$AG$29="",'Operating costs'!$B$7,'Replacement plan'!$AG$29)*('Energy and charging'!$B$9*'Energy and charging'!$B$7+(1-'Energy and charging'!$B$9)*'Energy and charging'!$B$8)*'Operating costs'!$B$23,"n.a."))</f>
        <v>0</v>
      </c>
      <c r="K95" s="16">
        <f>IF(C95=0,0,IF(P95="Complete",SUM('Operating costs'!$B$24,'Operating costs'!$B$27,'Operating costs'!$B$29,'Operating costs'!$B$31,'Operating costs'!$B$33,'Operating costs'!$B$34,'Operating costs'!$B$37,'Replacement plan'!$W$29)+'Operating costs'!$B$39*'Operating costs'!$B$42+ROUNDUP(S95*(R95-'Operating costs'!$B$39)*IF('Replacement plan'!$AG$29="",'Operating costs'!$B$7,'Replacement plan'!$AG$29)/('Operating costs'!$B$8-'Operating costs'!$B$9*IF('Replacement plan'!$AG$29="",'Operating costs'!$B$7,'Replacement plan'!$AG$29)),0)*('Operating costs'!$B$9/'Operating costs'!$B$11+'Operating costs'!$B$10/60)*'Operating costs'!$B$19*'Operating costs'!$B$21,"n.a."))</f>
        <v>0</v>
      </c>
      <c r="L95" s="16">
        <f>IF(C95=0,0,IF(P95="Complete",IF(D95="EV",X95*((1-T95)*'Energy and charging'!$B$10+T95*'Energy and charging'!$B$11)*'Operating costs'!$B$22,AA95*('Energy and charging'!$B$9*'Energy and charging'!$B$7+(1-'Energy and charging'!$B$9)*'Energy and charging'!$B$8)*'Operating costs'!$B$23),"n.a."))</f>
        <v>0</v>
      </c>
      <c r="M95" s="37">
        <f>IF(C95=0,0,IF(P95="Complete",IF(D95="ICE",SUM('Operating costs'!$B$25,'Operating costs'!$B$27,'Operating costs'!$B$29,'Operating costs'!$B$31,'Operating costs'!$B$33,'Operating costs'!$B$35,'Operating costs'!$B$37,'Replacement plan'!$X$29)+'Operating costs'!$B$40*'Operating costs'!$B$42+ROUNDUP(S95*(R95-'Operating costs'!$B$40)*IF('Replacement plan'!$AH$29="",'Operating costs'!$B$7,'Replacement plan'!$AH$29)/('Operating costs'!$B$8-'Operating costs'!$B$9*IF('Replacement plan'!$AH$29="",'Operating costs'!$B$7,'Replacement plan'!$AH$29)),0)*('Operating costs'!$B$9/'Operating costs'!$B$11+'Operating costs'!$B$10/60)*'Operating costs'!$B$19*'Operating costs'!$B$21,SUM(AP95,'Operating costs'!$B$28,'Operating costs'!$B$30,'Operating costs'!$B$32,'Operating costs'!$B$33,'Operating costs'!$B$36,'Operating costs'!$B$38,'Replacement plan'!$Y$29)+'Operating costs'!$B$41*'Operating costs'!$B$43+W95*'Operating costs'!$B$15+(T95*X95/'Replacement plan'!$L$29+W95*('Operating costs'!$B$12/'Operating costs'!$B$11+('Operating costs'!$B$13+'Operating costs'!$B$14)/60)+(R95-'Operating costs'!$B$41)*(IF(T95&lt;1,'Operating costs'!$B$16,0)+'Operating costs'!$B$17)/60)*'Operating costs'!$B$19*'Operating costs'!$B$20),"n.a."))</f>
        <v>0</v>
      </c>
      <c r="N95" s="16">
        <f>IF(AND(C95=1,D95="EV",E95&lt;120,E95+'Replacement plan'!$AA$29&lt;=120),'Replacement plan'!$Z$29,0)</f>
        <v>0</v>
      </c>
      <c r="O95" s="1">
        <f>E95+'Replacement plan'!$AA$29</f>
        <v>0</v>
      </c>
      <c r="P95" s="35" t="str">
        <f>IFERROR(IF(C95=0,"Excluded",IF(OR(COUNTIFS('Fleet register'!$A$7:$A$106,A95)&lt;&gt;1,COUNTIFS('Replacement plan'!$A$7:$A$106,A95)&lt;&gt;1),"Duplicate/missing ID",IF(NOT(AND(ISNUMBER(VLOOKUP($A95,'Fleet register'!$A$7:$S$106,5,FALSE)),ISNUMBER(VLOOKUP($A95,'Fleet register'!$A$7:$S$106,6,FALSE)),ISNUMBER(VLOOKUP($A95,'Fleet register'!$A$7:$S$106,10,FALSE)),ISNUMBER(VLOOKUP($A95,'Fleet register'!$A$7:$S$106,11,FALSE)),ISNUMBER(VLOOKUP($A95,'Fleet register'!$A$7:$S$106,12,FALSE)),ISNUMBER(VLOOKUP($A95,'Fleet register'!$A$7:$S$106,13,FALSE)),ISNUMBER(VLOOKUP($A95,'Fleet register'!$A$7:$S$106,14,FALSE)),VLOOKUP($A95,'Fleet register'!$A$7:$S$106,14,FALSE)&gt;0,ISNUMBER('Replacement plan'!$C$29),OR(E95=120,ISNUMBER('Replacement plan'!$N$29)),ISNUMBER(E95))),"Missing vehicle input",IF(OR(E95&lt;0,E95&gt;VLOOKUP($A95,'Fleet register'!$A$7:$S$106,10,FALSE),E95&gt;120,E95&lt;&gt;INT(E95),VLOOKUP($A95,'Fleet register'!$A$7:$S$106,6,FALSE)&lt;=0,VLOOKUP($A95,'Fleet register'!$A$7:$S$106,6,FALSE)&gt;366,VLOOKUP($A95,'Fleet register'!$A$7:$S$106,5,FALSE)&lt;0,VLOOKUP($A95,'Fleet register'!$A$7:$S$106,11,FALSE)&lt;0,I95&lt;0,'Operating costs'!$B$8&lt;='Operating costs'!$B$7*'Operating costs'!$B$9,'Operating costs'!$B$11&lt;=0,'Operating costs'!$B$39&gt;R95,'Operating costs'!$B$40&gt;R95,'Operating costs'!$B$41&gt;R95,NOT(OR("Keep ICE"="Keep ICE","Keep ICE"="New ICE","Keep ICE"="EV"))),"Invalid vehicle input",IF(AND(D95="EV",E95&lt;120,OR(NOT(ISNUMBER(U95)),NOT(ISNUMBER(V95)),V95&lt;=0,T95&lt;0,T95&gt;1,'Replacement plan'!$L$29&lt;=0,'Operating costs'!$B$44&lt;0,'Operating costs'!$B$44&gt;=1,'Operating costs'!$B$47&lt;=0,'Operating costs'!$B$47&gt;1,V95*'Operating costs'!$B$47/(1-'Operating costs'!$B$44)&lt;=T95*'Operating costs'!$B$12*U95,AND('Replacement plan'!$Z$29&gt;0,OR('Replacement plan'!$AB$29&lt;&gt;"Yes",'Operating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charging'!$B$8&gt;=0))),ISNUMBER(VLOOKUP($A95,'Fleet register'!$A$7:$S$106,15,FALSE)),ISNUMBER(VLOOKUP($A95,'Fleet register'!$A$7:$S$106,16,FALSE)),ISNUMBER('Replacement plan'!$W$29),ISNUMBER('Replacement plan'!$X$29),OR(E95=120,AND(ISNUMBER(G95),G95&gt;=0)),ISNUMBER(H95),H95&gt;=0,OR(D95&lt;&gt;"EV",E95=120,AND(ISNUMBER('Operating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average",ISNUMBER(IFERROR(INDEX(Products!$P$7:$P$13,MATCH(AD95,Products!$A$7:$A$13,0)),"")))),ISNUMBER('Operating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plan'!$Y$29),ISNUMBER('Replacement plan'!$Z$29),'Replacement plan'!$Z$29&gt;=0,ISNUMBER('Replacement plan'!$AA$29),'Replacement plan'!$AA$29&gt;=0,'Replacement plan'!$AA$29=INT('Replacement plan'!$AA$29),ISNUMBER('Replacement plan'!$L$29))),'Operating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plan'!$AG$29="",'Operating costs'!$B$7,'Replacement plan'!$AG$29)),IF('Replacement plan'!$AG$29="",'Operating costs'!$B$7,'Replacement plan'!$AG$29)&gt;=0,ISNUMBER(IF('Replacement plan'!$AH$29="",'Operating costs'!$B$7,'Replacement plan'!$AH$29)),IF('Replacement plan'!$AH$29="",'Operating costs'!$B$7,'Replacement plan'!$AH$29)&gt;=0,'Operating costs'!$B$8&gt;MAX(IF('Replacement plan'!$AG$29="",'Operating costs'!$B$7,'Replacement plan'!$AG$29),IF('Replacement plan'!$AH$29="",'Operating costs'!$B$7,'Replacement plan'!$AH$29))*'Operating costs'!$B$9),IF(AND(VLOOKUP($A95,'Fleet register'!$A$7:$S$106,10,FALSE)&gt;=0,VLOOKUP($A95,'Fleet register'!$A$7:$S$106,10,FALSE)&lt;=120,VLOOKUP($A95,'Fleet register'!$A$7:$S$106,10,FALSE)=INT(VLOOKUP($A95,'Fleet register'!$A$7:$S$106,10,FALSE)),VLOOKUP($A95,'Fleet register'!$A$7:$S$106,15,FALSE)&gt;=0,VLOOKUP($A95,'Fleet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costs'!$B$67)&gt;=0,OR(D95&lt;&gt;"EV",E95=120,AND(MIN('Operating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95" s="1" t="str">
        <f>IF(C95=0,"Excluded",IF(P95&lt;&gt;"Complete",P95,IF(OR('Replacement plan'!$AD$29&lt;120-E95,AND(D95="EV",E95&lt;120,OR('Replacement plan'!$AC$29&lt;120-E95,'Replacement plan'!$I$29="No",AND(ISNUMBER(AF95),AE95&gt;AF95),AI95&gt;V95*(1-'Operating costs'!$B$46)^MAX(0,AB95-1)*(1-'Operating costs'!$B$45),AC95&gt;'Operating costs'!$B$18,AND(T95&lt;1,OR(AG95&lt;=0,AND(ISNUMBER(AH95),AG95&gt;AH95))),'Replacement plan'!$L$29&gt;INDEX(Products!$H$7:$H$13,MATCH('Replacement plan'!$B$29,Products!$A$7:$A$13,0))))),"Fails entered limits",IF(AND(D95="EV",E95&lt;120,OR(NOT(ISNUMBER(VLOOKUP($A95,'Fleet register'!$A$7:$S$106,7,FALSE))),NOT(ISNUMBER(VLOOKUP($A95,'Fleet register'!$A$7:$S$106,8,FALSE))),NOT(ISNUMBER(AF95)),'Replacement plan'!$I$29&lt;&gt;"Yes",NOT(ISNUMBER(AH95)),'Operating costs'!$B$59&lt;&gt;"Yes",'Operating costs'!$B$58&lt;&gt;"Yes")),"Unverified","Within entered limits"))))</f>
        <v>Excluded</v>
      </c>
      <c r="R95" s="1">
        <f>IF(C95=0,0,VLOOKUP($A95,'Fleet register'!$A$7:$S$106,6,FALSE))</f>
        <v>0</v>
      </c>
      <c r="S95" s="1">
        <f>IF(C95=0,0,VLOOKUP($A95,'Fleet register'!$A$7:$S$106,5,FALSE))</f>
        <v>0</v>
      </c>
      <c r="T95" s="1">
        <f>IF(D95="EV",'Energy and charging'!$B$12,0)</f>
        <v>0</v>
      </c>
      <c r="U95" s="1">
        <f>IFERROR(IF(C95=0,0,IF(D95="EV",IF('Replacement plan'!$F$29="",INDEX(Products!$E$7:$E$13,MATCH('Replacement plan'!$B$29,Products!$A$7:$A$13,0)),'Replacement plan'!$F$29)/IF('Replacement plan'!$G$29="Battery",1-'Operating costs'!$B$44,1),0)),"n.a.")</f>
        <v>0</v>
      </c>
      <c r="V95" s="1">
        <f>IFERROR(IF(C95=0,0,IF(D95="EV",IF('Replacement plan'!$E$29="",INDEX(Products!$D$7:$D$13,MATCH('Replacement plan'!$B$29,Products!$A$7:$A$13,0)),'Replacement plan'!$E$29),0)),"n.a.")</f>
        <v>0</v>
      </c>
      <c r="W95" s="1">
        <f>IF(C95=0,0,IF(AND(P95="Complete",D95="EV",E95&lt;120),IF(T95=0,0,ROUNDUP(T95*(R95-'Operating costs'!$B$41)*(S95*U95+'Operating costs'!$B$48/(1-'Operating costs'!$B$44))/(V95*'Operating costs'!$B$47/(1-'Operating costs'!$B$44)-T95*'Operating costs'!$B$12*U95),0)),0))</f>
        <v>0</v>
      </c>
      <c r="X95" s="1">
        <f>IF(C95=0,0,IF(AND(P95="Complete",D95="EV",E95&lt;120),(R95-'Operating costs'!$B$41)*(S95*U95+'Operating costs'!$B$48/(1-'Operating costs'!$B$44))+W95*'Operating costs'!$B$12*U95,0))</f>
        <v>0</v>
      </c>
      <c r="Y95" s="1">
        <f>IF(AND(C95=1,D95="EV",E95&lt;120),AI95/(1-'Operating costs'!$B$44)*(1-T95),0)</f>
        <v>0</v>
      </c>
      <c r="Z95" s="1">
        <f t="shared" si="2"/>
        <v>0</v>
      </c>
      <c r="AA95" s="1">
        <f>IF(C95=0,0,IF(P95="Complete",((S95*(R95-'Operating costs'!$B$40))+ROUNDUP(S95*(R95-'Operating costs'!$B$40)*IF('Replacement plan'!$AH$29="",'Operating costs'!$B$7,'Replacement plan'!$AH$29)/('Operating costs'!$B$8-'Operating costs'!$B$9*IF('Replacement plan'!$AH$29="",'Operating costs'!$B$7,'Replacement plan'!$AH$29)),0)*'Operating costs'!$B$9)*IF('Replacement plan'!$AH$29="",'Operating costs'!$B$7,'Replacement plan'!$AH$29),"n.a."))</f>
        <v>0</v>
      </c>
      <c r="AB95" s="1">
        <f t="shared" si="3"/>
        <v>0</v>
      </c>
      <c r="AC95" s="1">
        <f>IF(AND(C95=1,D95="EV",E95&lt;120,T95&gt;0),'Operating costs'!$B$12/'Operating costs'!$B$11*60+'Operating costs'!$B$13+'Operating costs'!$B$14+V95*'Operating costs'!$B$47/(1-'Operating costs'!$B$44)/'Replacement plan'!$L$29*60,0)</f>
        <v>0</v>
      </c>
      <c r="AD95" s="1" t="str">
        <f>'Replacement plan'!$B$29</f>
        <v>ChengLong L2EV</v>
      </c>
      <c r="AE95" s="1">
        <f>IF(C95=0,0,VLOOKUP($A95,'Fleet register'!$A$7:$S$106,8,FALSE))</f>
        <v>0</v>
      </c>
      <c r="AF95" s="1" t="str">
        <f>IF('Replacement plan'!$H$29="","n.a.",'Replacement plan'!$H$29)</f>
        <v>n.a.</v>
      </c>
      <c r="AG95" s="1">
        <f>'Replacement plan'!$J$29</f>
        <v>22</v>
      </c>
      <c r="AH95" s="1">
        <f>IFERROR(IF(D95="EV",IF('Replacement plan'!$K$29="AC",IF(ISNUMBER(INDEX(Products!$G$7:$G$13,MATCH('Replacement plan'!$B$29,Products!$A$7:$A$13,0))),INDEX(Products!$G$7:$G$13,MATCH('Replacement plan'!$B$29,Products!$A$7:$A$13,0)),"n.a."),IF(ISNUMBER(INDEX(Products!$H$7:$H$13,MATCH('Replacement plan'!$B$29,Products!$A$7:$A$13,0))),INDEX(Products!$H$7:$H$13,MATCH('Replacement plan'!$B$29,Products!$A$7:$A$13,0)),"n.a.")),0),"n.a.")</f>
        <v>0</v>
      </c>
      <c r="AI95" s="1">
        <f>IF(AND(C95=1,D95="EV",E95&lt;120),(VLOOKUP($A95,'Fleet register'!$A$7:$S$106,7,FALSE)+IF(T95&gt;0,'Operating costs'!$B$12,0))*U95*(1-'Operating costs'!$B$44)+'Operating costs'!$B$49,0)</f>
        <v>0</v>
      </c>
      <c r="AJ95" s="1">
        <f>IF(D95="EV",'Energy and charging'!$B$50,0)</f>
        <v>0</v>
      </c>
      <c r="AK95" s="17">
        <f>EDATE('Operating costs'!$B$63,E95)</f>
        <v>46298</v>
      </c>
      <c r="AL95" s="1">
        <f>IFERROR(IF(D95="EV",INDEX(Products!$B$7:$B$13,MATCH('Replacement plan'!$B$29,Products!$A$7:$A$13,0)),0),"n.a.")</f>
        <v>0</v>
      </c>
      <c r="AM95" s="1" t="str">
        <f>'Replacement plan'!$K$29</f>
        <v>DC</v>
      </c>
      <c r="AN95" s="1" t="str">
        <f>'Replacement plan'!$AE$29</f>
        <v>Assumed</v>
      </c>
      <c r="AO95" s="47">
        <f>IF(AND(C95=1,D95="EV",E95&lt;120),(R95-'Operating costs'!$B$41)*S95+W95*'Operating costs'!$B$12,0)</f>
        <v>0</v>
      </c>
      <c r="AP95" s="41">
        <f>IF(AND(C95=1,D95="EV",E95&lt;120),IF('Operating costs'!$B$68="Hong Seh 200k average",AO95*IFERROR(INDEX(Products!$P$7:$P$13,MATCH(AD95,Products!$A$7:$A$13,0)),"n.a."),'Operating costs'!$B$26),0)</f>
        <v>0</v>
      </c>
      <c r="AQ95" s="40" t="str">
        <f>IF(D95="EV",'Operating costs'!$B$68,"Not applicable")</f>
        <v>Not applicable</v>
      </c>
    </row>
    <row r="96" spans="1:43" ht="24" customHeight="1">
      <c r="A96" s="1" t="str">
        <f>'Replacement plan'!A29</f>
        <v>T023</v>
      </c>
      <c r="B96" s="1">
        <v>1</v>
      </c>
      <c r="C96" s="1">
        <f>IF(COUNTIFS('Fleet register'!$A$7:$A$106,$A96)=1,VLOOKUP($A96,'Fleet register'!$A$7:$S$106,2,FALSE),0)</f>
        <v>0</v>
      </c>
      <c r="D96" s="1" t="str">
        <f>IF("New ICE"="EV","EV","ICE")</f>
        <v>ICE</v>
      </c>
      <c r="E96" s="1">
        <f>IF(C96=0,0,0)</f>
        <v>0</v>
      </c>
      <c r="F96" s="16">
        <f>IF(C96=0,0,VLOOKUP($A96,'Fleet register'!$A$7:$S$106,11,FALSE))</f>
        <v>0</v>
      </c>
      <c r="G96" s="16">
        <f>IFERROR(IF(C96=0,0,IF(E96=120,0,IF(D96="ICE",'Replacement plan'!$C$29,IF('Replacement plan'!$D$29="",INDEX(Products!$I$7:$I$13,MATCH('Replacement plan'!$B$29,Products!$A$7:$A$13,0))+'Operating costs'!$B$57,'Replacement plan'!$D$29))*(1+'Operating costs'!$B$50)^(E96/12))),"n.a.")</f>
        <v>0</v>
      </c>
      <c r="H96" s="16">
        <f>IFERROR(IF(C96=0,0,IF(E96=0,F96,VLOOKUP($A96,'Fleet register'!$A$7:$S$106,12,FALSE)+VLOOKUP($A96,'Fleet register'!$A$7:$S$106,13,FALSE)*MAX(0,VLOOKUP($A96,'Fleet register'!$A$7:$S$106,10,FALSE)-E96)/VLOOKUP($A96,'Fleet register'!$A$7:$S$106,14,FALSE))),"n.a.")</f>
        <v>0</v>
      </c>
      <c r="I96" s="16">
        <f>IF(C96=0,0,IF(E96=120,0,IF('Replacement plan'!$AI$29="",'Operating costs'!$B$56,'Replacement plan'!$AI$29)))</f>
        <v>0</v>
      </c>
      <c r="J96" s="16">
        <f>IF(C96=0,0,IF(P96="Complete",((S96*(R96-'Operating costs'!$B$39))+ROUNDUP(S96*(R96-'Operating costs'!$B$39)*IF('Replacement plan'!$AG$29="",'Operating costs'!$B$7,'Replacement plan'!$AG$29)/('Operating costs'!$B$8-'Operating costs'!$B$9*IF('Replacement plan'!$AG$29="",'Operating costs'!$B$7,'Replacement plan'!$AG$29)),0)*'Operating costs'!$B$9)*IF('Replacement plan'!$AG$29="",'Operating costs'!$B$7,'Replacement plan'!$AG$29)*('Energy and charging'!$B$9*'Energy and charging'!$B$7+(1-'Energy and charging'!$B$9)*'Energy and charging'!$B$8)*'Operating costs'!$B$23,"n.a."))</f>
        <v>0</v>
      </c>
      <c r="K96" s="16">
        <f>IF(C96=0,0,IF(P96="Complete",SUM('Operating costs'!$B$24,'Operating costs'!$B$27,'Operating costs'!$B$29,'Operating costs'!$B$31,'Operating costs'!$B$33,'Operating costs'!$B$34,'Operating costs'!$B$37,'Replacement plan'!$W$29)+'Operating costs'!$B$39*'Operating costs'!$B$42+ROUNDUP(S96*(R96-'Operating costs'!$B$39)*IF('Replacement plan'!$AG$29="",'Operating costs'!$B$7,'Replacement plan'!$AG$29)/('Operating costs'!$B$8-'Operating costs'!$B$9*IF('Replacement plan'!$AG$29="",'Operating costs'!$B$7,'Replacement plan'!$AG$29)),0)*('Operating costs'!$B$9/'Operating costs'!$B$11+'Operating costs'!$B$10/60)*'Operating costs'!$B$19*'Operating costs'!$B$21,"n.a."))</f>
        <v>0</v>
      </c>
      <c r="L96" s="16">
        <f>IF(C96=0,0,IF(P96="Complete",IF(D96="EV",X96*((1-T96)*'Energy and charging'!$B$10+T96*'Energy and charging'!$B$11)*'Operating costs'!$B$22,AA96*('Energy and charging'!$B$9*'Energy and charging'!$B$7+(1-'Energy and charging'!$B$9)*'Energy and charging'!$B$8)*'Operating costs'!$B$23),"n.a."))</f>
        <v>0</v>
      </c>
      <c r="M96" s="37">
        <f>IF(C96=0,0,IF(P96="Complete",IF(D96="ICE",SUM('Operating costs'!$B$25,'Operating costs'!$B$27,'Operating costs'!$B$29,'Operating costs'!$B$31,'Operating costs'!$B$33,'Operating costs'!$B$35,'Operating costs'!$B$37,'Replacement plan'!$X$29)+'Operating costs'!$B$40*'Operating costs'!$B$42+ROUNDUP(S96*(R96-'Operating costs'!$B$40)*IF('Replacement plan'!$AH$29="",'Operating costs'!$B$7,'Replacement plan'!$AH$29)/('Operating costs'!$B$8-'Operating costs'!$B$9*IF('Replacement plan'!$AH$29="",'Operating costs'!$B$7,'Replacement plan'!$AH$29)),0)*('Operating costs'!$B$9/'Operating costs'!$B$11+'Operating costs'!$B$10/60)*'Operating costs'!$B$19*'Operating costs'!$B$21,SUM(AP96,'Operating costs'!$B$28,'Operating costs'!$B$30,'Operating costs'!$B$32,'Operating costs'!$B$33,'Operating costs'!$B$36,'Operating costs'!$B$38,'Replacement plan'!$Y$29)+'Operating costs'!$B$41*'Operating costs'!$B$43+W96*'Operating costs'!$B$15+(T96*X96/'Replacement plan'!$L$29+W96*('Operating costs'!$B$12/'Operating costs'!$B$11+('Operating costs'!$B$13+'Operating costs'!$B$14)/60)+(R96-'Operating costs'!$B$41)*(IF(T96&lt;1,'Operating costs'!$B$16,0)+'Operating costs'!$B$17)/60)*'Operating costs'!$B$19*'Operating costs'!$B$20),"n.a."))</f>
        <v>0</v>
      </c>
      <c r="N96" s="16">
        <f>IF(AND(C96=1,D96="EV",E96&lt;120,E96+'Replacement plan'!$AA$29&lt;=120),'Replacement plan'!$Z$29,0)</f>
        <v>0</v>
      </c>
      <c r="O96" s="1">
        <f>E96+'Replacement plan'!$AA$29</f>
        <v>0</v>
      </c>
      <c r="P96" s="35" t="str">
        <f>IFERROR(IF(C96=0,"Excluded",IF(OR(COUNTIFS('Fleet register'!$A$7:$A$106,A96)&lt;&gt;1,COUNTIFS('Replacement plan'!$A$7:$A$106,A96)&lt;&gt;1),"Duplicate/missing ID",IF(NOT(AND(ISNUMBER(VLOOKUP($A96,'Fleet register'!$A$7:$S$106,5,FALSE)),ISNUMBER(VLOOKUP($A96,'Fleet register'!$A$7:$S$106,6,FALSE)),ISNUMBER(VLOOKUP($A96,'Fleet register'!$A$7:$S$106,10,FALSE)),ISNUMBER(VLOOKUP($A96,'Fleet register'!$A$7:$S$106,11,FALSE)),ISNUMBER(VLOOKUP($A96,'Fleet register'!$A$7:$S$106,12,FALSE)),ISNUMBER(VLOOKUP($A96,'Fleet register'!$A$7:$S$106,13,FALSE)),ISNUMBER(VLOOKUP($A96,'Fleet register'!$A$7:$S$106,14,FALSE)),VLOOKUP($A96,'Fleet register'!$A$7:$S$106,14,FALSE)&gt;0,ISNUMBER('Replacement plan'!$C$29),OR(E96=120,OR(ISNUMBER('Replacement plan'!$AI$29),AND('Replacement plan'!$AI$29="",ISNUMBER('Operating costs'!$B$56)))),ISNUMBER(E96))),"Missing vehicle input",IF(OR(E96&lt;0,E96&gt;VLOOKUP($A96,'Fleet register'!$A$7:$S$106,10,FALSE),E96&gt;120,E96&lt;&gt;INT(E96),VLOOKUP($A96,'Fleet register'!$A$7:$S$106,6,FALSE)&lt;=0,VLOOKUP($A96,'Fleet register'!$A$7:$S$106,6,FALSE)&gt;366,VLOOKUP($A96,'Fleet register'!$A$7:$S$106,5,FALSE)&lt;0,VLOOKUP($A96,'Fleet register'!$A$7:$S$106,11,FALSE)&lt;0,I96&lt;0,'Operating costs'!$B$8&lt;='Operating costs'!$B$7*'Operating costs'!$B$9,'Operating costs'!$B$11&lt;=0,'Operating costs'!$B$39&gt;R96,'Operating costs'!$B$40&gt;R96,'Operating costs'!$B$41&gt;R96,NOT(OR("New ICE"="Keep ICE","New ICE"="New ICE","New ICE"="EV"))),"Invalid vehicle input",IF(AND(D96="EV",E96&lt;120,OR(NOT(ISNUMBER(U96)),NOT(ISNUMBER(V96)),V96&lt;=0,T96&lt;0,T96&gt;1,'Replacement plan'!$L$29&lt;=0,'Operating costs'!$B$44&lt;0,'Operating costs'!$B$44&gt;=1,'Operating costs'!$B$47&lt;=0,'Operating costs'!$B$47&gt;1,V96*'Operating costs'!$B$47/(1-'Operating costs'!$B$44)&lt;=T96*'Operating costs'!$B$12*U96,AND('Replacement plan'!$Z$29&gt;0,OR('Replacement plan'!$AB$29&lt;&gt;"Yes",'Operating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charging'!$B$8&gt;=0))),ISNUMBER(VLOOKUP($A96,'Fleet register'!$A$7:$S$106,15,FALSE)),ISNUMBER(VLOOKUP($A96,'Fleet register'!$A$7:$S$106,16,FALSE)),ISNUMBER('Replacement plan'!$W$29),ISNUMBER('Replacement plan'!$X$29),OR(E96=120,AND(ISNUMBER(G96),G96&gt;=0)),ISNUMBER(H96),H96&gt;=0,OR(D96&lt;&gt;"EV",E96=120,AND(ISNUMBER('Operating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average",ISNUMBER(IFERROR(INDEX(Products!$P$7:$P$13,MATCH(AD96,Products!$A$7:$A$13,0)),"")))),ISNUMBER('Operating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plan'!$Y$29),ISNUMBER('Replacement plan'!$Z$29),'Replacement plan'!$Z$29&gt;=0,ISNUMBER('Replacement plan'!$AA$29),'Replacement plan'!$AA$29&gt;=0,'Replacement plan'!$AA$29=INT('Replacement plan'!$AA$29),ISNUMBER('Replacement plan'!$L$29))),'Operating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plan'!$AG$29="",'Operating costs'!$B$7,'Replacement plan'!$AG$29)),IF('Replacement plan'!$AG$29="",'Operating costs'!$B$7,'Replacement plan'!$AG$29)&gt;=0,ISNUMBER(IF('Replacement plan'!$AH$29="",'Operating costs'!$B$7,'Replacement plan'!$AH$29)),IF('Replacement plan'!$AH$29="",'Operating costs'!$B$7,'Replacement plan'!$AH$29)&gt;=0,'Operating costs'!$B$8&gt;MAX(IF('Replacement plan'!$AG$29="",'Operating costs'!$B$7,'Replacement plan'!$AG$29),IF('Replacement plan'!$AH$29="",'Operating costs'!$B$7,'Replacement plan'!$AH$29))*'Operating costs'!$B$9),IF(AND(VLOOKUP($A96,'Fleet register'!$A$7:$S$106,10,FALSE)&gt;=0,VLOOKUP($A96,'Fleet register'!$A$7:$S$106,10,FALSE)&lt;=120,VLOOKUP($A96,'Fleet register'!$A$7:$S$106,10,FALSE)=INT(VLOOKUP($A96,'Fleet register'!$A$7:$S$106,10,FALSE)),VLOOKUP($A96,'Fleet register'!$A$7:$S$106,15,FALSE)&gt;=0,VLOOKUP($A96,'Fleet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costs'!$B$67)&gt;=0,OR(D96&lt;&gt;"EV",E96=120,AND(MIN('Operating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96" s="1" t="str">
        <f>IF(C96=0,"Excluded",IF(P96&lt;&gt;"Complete",P96,IF(OR('Replacement plan'!$AD$29&lt;120-E96,AND(D96="EV",E96&lt;120,OR('Replacement plan'!$AC$29&lt;120-E96,'Replacement plan'!$I$29="No",AND(ISNUMBER(AF96),AE96&gt;AF96),AI96&gt;V96*(1-'Operating costs'!$B$46)^MAX(0,AB96-1)*(1-'Operating costs'!$B$45),AC96&gt;'Operating costs'!$B$18,AND(T96&lt;1,OR(AG96&lt;=0,AND(ISNUMBER(AH96),AG96&gt;AH96))),'Replacement plan'!$L$29&gt;INDEX(Products!$H$7:$H$13,MATCH('Replacement plan'!$B$29,Products!$A$7:$A$13,0))))),"Fails entered limits",IF(AND(D96="EV",E96&lt;120,OR(NOT(ISNUMBER(VLOOKUP($A96,'Fleet register'!$A$7:$S$106,7,FALSE))),NOT(ISNUMBER(VLOOKUP($A96,'Fleet register'!$A$7:$S$106,8,FALSE))),NOT(ISNUMBER(AF96)),'Replacement plan'!$I$29&lt;&gt;"Yes",NOT(ISNUMBER(AH96)),'Operating costs'!$B$59&lt;&gt;"Yes",'Operating costs'!$B$58&lt;&gt;"Yes")),"Unverified","Within entered limits"))))</f>
        <v>Excluded</v>
      </c>
      <c r="R96" s="1">
        <f>IF(C96=0,0,VLOOKUP($A96,'Fleet register'!$A$7:$S$106,6,FALSE))</f>
        <v>0</v>
      </c>
      <c r="S96" s="1">
        <f>IF(C96=0,0,VLOOKUP($A96,'Fleet register'!$A$7:$S$106,5,FALSE))</f>
        <v>0</v>
      </c>
      <c r="T96" s="1">
        <f>IF(D96="EV",'Energy and charging'!$B$12,0)</f>
        <v>0</v>
      </c>
      <c r="U96" s="1">
        <f>IFERROR(IF(C96=0,0,IF(D96="EV",IF('Replacement plan'!$F$29="",INDEX(Products!$E$7:$E$13,MATCH('Replacement plan'!$B$29,Products!$A$7:$A$13,0)),'Replacement plan'!$F$29)/IF('Replacement plan'!$G$29="Battery",1-'Operating costs'!$B$44,1),0)),"n.a.")</f>
        <v>0</v>
      </c>
      <c r="V96" s="1">
        <f>IFERROR(IF(C96=0,0,IF(D96="EV",IF('Replacement plan'!$E$29="",INDEX(Products!$D$7:$D$13,MATCH('Replacement plan'!$B$29,Products!$A$7:$A$13,0)),'Replacement plan'!$E$29),0)),"n.a.")</f>
        <v>0</v>
      </c>
      <c r="W96" s="1">
        <f>IF(C96=0,0,IF(AND(P96="Complete",D96="EV",E96&lt;120),IF(T96=0,0,ROUNDUP(T96*(R96-'Operating costs'!$B$41)*(S96*U96+'Operating costs'!$B$48/(1-'Operating costs'!$B$44))/(V96*'Operating costs'!$B$47/(1-'Operating costs'!$B$44)-T96*'Operating costs'!$B$12*U96),0)),0))</f>
        <v>0</v>
      </c>
      <c r="X96" s="1">
        <f>IF(C96=0,0,IF(AND(P96="Complete",D96="EV",E96&lt;120),(R96-'Operating costs'!$B$41)*(S96*U96+'Operating costs'!$B$48/(1-'Operating costs'!$B$44))+W96*'Operating costs'!$B$12*U96,0))</f>
        <v>0</v>
      </c>
      <c r="Y96" s="1">
        <f>IF(AND(C96=1,D96="EV",E96&lt;120),AI96/(1-'Operating costs'!$B$44)*(1-T96),0)</f>
        <v>0</v>
      </c>
      <c r="Z96" s="1">
        <f t="shared" si="2"/>
        <v>0</v>
      </c>
      <c r="AA96" s="1">
        <f>IF(C96=0,0,IF(P96="Complete",((S96*(R96-'Operating costs'!$B$40))+ROUNDUP(S96*(R96-'Operating costs'!$B$40)*IF('Replacement plan'!$AH$29="",'Operating costs'!$B$7,'Replacement plan'!$AH$29)/('Operating costs'!$B$8-'Operating costs'!$B$9*IF('Replacement plan'!$AH$29="",'Operating costs'!$B$7,'Replacement plan'!$AH$29)),0)*'Operating costs'!$B$9)*IF('Replacement plan'!$AH$29="",'Operating costs'!$B$7,'Replacement plan'!$AH$29),"n.a."))</f>
        <v>0</v>
      </c>
      <c r="AB96" s="1">
        <f t="shared" si="3"/>
        <v>0</v>
      </c>
      <c r="AC96" s="1">
        <f>IF(AND(C96=1,D96="EV",E96&lt;120,T96&gt;0),'Operating costs'!$B$12/'Operating costs'!$B$11*60+'Operating costs'!$B$13+'Operating costs'!$B$14+V96*'Operating costs'!$B$47/(1-'Operating costs'!$B$44)/'Replacement plan'!$L$29*60,0)</f>
        <v>0</v>
      </c>
      <c r="AD96" s="1" t="str">
        <f>'Replacement plan'!$B$29</f>
        <v>ChengLong L2EV</v>
      </c>
      <c r="AE96" s="1">
        <f>IF(C96=0,0,VLOOKUP($A96,'Fleet register'!$A$7:$S$106,8,FALSE))</f>
        <v>0</v>
      </c>
      <c r="AF96" s="1" t="str">
        <f>IF('Replacement plan'!$H$29="","n.a.",'Replacement plan'!$H$29)</f>
        <v>n.a.</v>
      </c>
      <c r="AG96" s="1">
        <f>'Replacement plan'!$J$29</f>
        <v>22</v>
      </c>
      <c r="AH96" s="1">
        <f>IFERROR(IF(D96="EV",IF('Replacement plan'!$K$29="AC",IF(ISNUMBER(INDEX(Products!$G$7:$G$13,MATCH('Replacement plan'!$B$29,Products!$A$7:$A$13,0))),INDEX(Products!$G$7:$G$13,MATCH('Replacement plan'!$B$29,Products!$A$7:$A$13,0)),"n.a."),IF(ISNUMBER(INDEX(Products!$H$7:$H$13,MATCH('Replacement plan'!$B$29,Products!$A$7:$A$13,0))),INDEX(Products!$H$7:$H$13,MATCH('Replacement plan'!$B$29,Products!$A$7:$A$13,0)),"n.a.")),0),"n.a.")</f>
        <v>0</v>
      </c>
      <c r="AI96" s="1">
        <f>IF(AND(C96=1,D96="EV",E96&lt;120),(VLOOKUP($A96,'Fleet register'!$A$7:$S$106,7,FALSE)+IF(T96&gt;0,'Operating costs'!$B$12,0))*U96*(1-'Operating costs'!$B$44)+'Operating costs'!$B$49,0)</f>
        <v>0</v>
      </c>
      <c r="AJ96" s="1">
        <f>IF(D96="EV",'Energy and charging'!$B$50,0)</f>
        <v>0</v>
      </c>
      <c r="AK96" s="17">
        <f>EDATE('Operating costs'!$B$63,E96)</f>
        <v>46298</v>
      </c>
      <c r="AL96" s="1">
        <f>IFERROR(IF(D96="EV",INDEX(Products!$B$7:$B$13,MATCH('Replacement plan'!$B$29,Products!$A$7:$A$13,0)),0),"n.a.")</f>
        <v>0</v>
      </c>
      <c r="AM96" s="1" t="str">
        <f>'Replacement plan'!$K$29</f>
        <v>DC</v>
      </c>
      <c r="AN96" s="1" t="str">
        <f>'Replacement plan'!$AE$29</f>
        <v>Assumed</v>
      </c>
      <c r="AO96" s="47">
        <f>IF(AND(C96=1,D96="EV",E96&lt;120),(R96-'Operating costs'!$B$41)*S96+W96*'Operating costs'!$B$12,0)</f>
        <v>0</v>
      </c>
      <c r="AP96" s="41">
        <f>IF(AND(C96=1,D96="EV",E96&lt;120),IF('Operating costs'!$B$68="Hong Seh 200k average",AO96*IFERROR(INDEX(Products!$P$7:$P$13,MATCH(AD96,Products!$A$7:$A$13,0)),"n.a."),'Operating costs'!$B$26),0)</f>
        <v>0</v>
      </c>
      <c r="AQ96" s="40" t="str">
        <f>IF(D96="EV",'Operating costs'!$B$68,"Not applicable")</f>
        <v>Not applicable</v>
      </c>
    </row>
    <row r="97" spans="1:43" ht="24" customHeight="1">
      <c r="A97" s="1" t="str">
        <f>'Replacement plan'!A29</f>
        <v>T023</v>
      </c>
      <c r="B97" s="1">
        <v>2</v>
      </c>
      <c r="C97" s="1">
        <f>IF(COUNTIFS('Fleet register'!$A$7:$A$106,$A97)=1,VLOOKUP($A97,'Fleet register'!$A$7:$S$106,2,FALSE),0)</f>
        <v>0</v>
      </c>
      <c r="D97" s="1" t="str">
        <f>IF('Replacement plan'!$O$29="EV","EV","ICE")</f>
        <v>ICE</v>
      </c>
      <c r="E97" s="1">
        <f>IF(C97=0,0,IF('Replacement plan'!$P$29="",IF('Replacement plan'!$O$29="Keep ICE",IF('Replacement plan'!$M$29="",VLOOKUP($A97,'Fleet register'!$A$7:$S$106,10,FALSE),'Replacement plan'!$M$29),0),'Replacement plan'!$P$29))</f>
        <v>0</v>
      </c>
      <c r="F97" s="16">
        <f>IF(C97=0,0,VLOOKUP($A97,'Fleet register'!$A$7:$S$106,11,FALSE))</f>
        <v>0</v>
      </c>
      <c r="G97" s="16">
        <f>IFERROR(IF(C97=0,0,IF(E97=120,0,IF(D97="ICE",'Replacement plan'!$C$29,IF('Replacement plan'!$D$29="",INDEX(Products!$I$7:$I$13,MATCH('Replacement plan'!$B$29,Products!$A$7:$A$13,0))+'Operating costs'!$B$57,'Replacement plan'!$D$29))*(1+'Operating costs'!$B$50)^(E97/12))),"n.a.")</f>
        <v>0</v>
      </c>
      <c r="H97" s="16">
        <f>IFERROR(IF(C97=0,0,IF('Replacement plan'!$U$29&lt;&gt;"",'Replacement plan'!$U$29,IF(E97=0,F97,VLOOKUP($A97,'Fleet register'!$A$7:$S$106,12,FALSE)+VLOOKUP($A97,'Fleet register'!$A$7:$S$106,13,FALSE)*MAX(0,VLOOKUP($A97,'Fleet register'!$A$7:$S$106,10,FALSE)-E97)/VLOOKUP($A97,'Fleet register'!$A$7:$S$106,14,FALSE)))),"n.a.")</f>
        <v>0</v>
      </c>
      <c r="I97" s="16">
        <f>IF(C97=0,0,IF(E97=120,0,'Replacement plan'!$Q$29))</f>
        <v>0</v>
      </c>
      <c r="J97" s="16">
        <f>IF(C97=0,0,IF(P97="Complete",((S97*(R97-'Operating costs'!$B$39))+ROUNDUP(S97*(R97-'Operating costs'!$B$39)*IF('Replacement plan'!$AG$29="",'Operating costs'!$B$7,'Replacement plan'!$AG$29)/('Operating costs'!$B$8-'Operating costs'!$B$9*IF('Replacement plan'!$AG$29="",'Operating costs'!$B$7,'Replacement plan'!$AG$29)),0)*'Operating costs'!$B$9)*IF('Replacement plan'!$AG$29="",'Operating costs'!$B$7,'Replacement plan'!$AG$29)*('Energy and charging'!$B$9*'Energy and charging'!$B$7+(1-'Energy and charging'!$B$9)*'Energy and charging'!$B$8)*'Operating costs'!$B$23,"n.a."))</f>
        <v>0</v>
      </c>
      <c r="K97" s="16">
        <f>IF(C97=0,0,IF(P97="Complete",SUM('Operating costs'!$B$24,'Operating costs'!$B$27,'Operating costs'!$B$29,'Operating costs'!$B$31,'Operating costs'!$B$33,'Operating costs'!$B$34,'Operating costs'!$B$37,'Replacement plan'!$W$29)+'Operating costs'!$B$39*'Operating costs'!$B$42+ROUNDUP(S97*(R97-'Operating costs'!$B$39)*IF('Replacement plan'!$AG$29="",'Operating costs'!$B$7,'Replacement plan'!$AG$29)/('Operating costs'!$B$8-'Operating costs'!$B$9*IF('Replacement plan'!$AG$29="",'Operating costs'!$B$7,'Replacement plan'!$AG$29)),0)*('Operating costs'!$B$9/'Operating costs'!$B$11+'Operating costs'!$B$10/60)*'Operating costs'!$B$19*'Operating costs'!$B$21,"n.a."))</f>
        <v>0</v>
      </c>
      <c r="L97" s="16">
        <f>IF(C97=0,0,IF(P97="Complete",IF(D97="EV",X97*((1-T97)*'Energy and charging'!$B$10+T97*'Energy and charging'!$B$11)*'Operating costs'!$B$22,AA97*('Energy and charging'!$B$9*'Energy and charging'!$B$7+(1-'Energy and charging'!$B$9)*'Energy and charging'!$B$8)*'Operating costs'!$B$23),"n.a."))</f>
        <v>0</v>
      </c>
      <c r="M97" s="37">
        <f>IF(C97=0,0,IF(P97="Complete",IF(D97="ICE",SUM('Operating costs'!$B$25,'Operating costs'!$B$27,'Operating costs'!$B$29,'Operating costs'!$B$31,'Operating costs'!$B$33,'Operating costs'!$B$35,'Operating costs'!$B$37,'Replacement plan'!$X$29)+'Operating costs'!$B$40*'Operating costs'!$B$42+ROUNDUP(S97*(R97-'Operating costs'!$B$40)*IF('Replacement plan'!$AH$29="",'Operating costs'!$B$7,'Replacement plan'!$AH$29)/('Operating costs'!$B$8-'Operating costs'!$B$9*IF('Replacement plan'!$AH$29="",'Operating costs'!$B$7,'Replacement plan'!$AH$29)),0)*('Operating costs'!$B$9/'Operating costs'!$B$11+'Operating costs'!$B$10/60)*'Operating costs'!$B$19*'Operating costs'!$B$21,SUM(AP97,'Operating costs'!$B$28,'Operating costs'!$B$30,'Operating costs'!$B$32,'Operating costs'!$B$33,'Operating costs'!$B$36,'Operating costs'!$B$38,'Replacement plan'!$Y$29)+'Operating costs'!$B$41*'Operating costs'!$B$43+W97*'Operating costs'!$B$15+(T97*X97/'Replacement plan'!$L$29+W97*('Operating costs'!$B$12/'Operating costs'!$B$11+('Operating costs'!$B$13+'Operating costs'!$B$14)/60)+(R97-'Operating costs'!$B$41)*(IF(T97&lt;1,'Operating costs'!$B$16,0)+'Operating costs'!$B$17)/60)*'Operating costs'!$B$19*'Operating costs'!$B$20),"n.a."))</f>
        <v>0</v>
      </c>
      <c r="N97" s="16">
        <f>IF(AND(C97=1,D97="EV",E97&lt;120,E97+'Replacement plan'!$AA$29&lt;=120),'Replacement plan'!$Z$29,0)</f>
        <v>0</v>
      </c>
      <c r="O97" s="1">
        <f>E97+'Replacement plan'!$AA$29</f>
        <v>0</v>
      </c>
      <c r="P97" s="35" t="str">
        <f>IFERROR(IF(C97=0,"Excluded",IF(OR(COUNTIFS('Fleet register'!$A$7:$A$106,A97)&lt;&gt;1,COUNTIFS('Replacement plan'!$A$7:$A$106,A97)&lt;&gt;1),"Duplicate/missing ID",IF(NOT(AND(ISNUMBER(VLOOKUP($A97,'Fleet register'!$A$7:$S$106,5,FALSE)),ISNUMBER(VLOOKUP($A97,'Fleet register'!$A$7:$S$106,6,FALSE)),ISNUMBER(VLOOKUP($A97,'Fleet register'!$A$7:$S$106,10,FALSE)),ISNUMBER(VLOOKUP($A97,'Fleet register'!$A$7:$S$106,11,FALSE)),ISNUMBER(VLOOKUP($A97,'Fleet register'!$A$7:$S$106,12,FALSE)),ISNUMBER(VLOOKUP($A97,'Fleet register'!$A$7:$S$106,13,FALSE)),ISNUMBER(VLOOKUP($A97,'Fleet register'!$A$7:$S$106,14,FALSE)),VLOOKUP($A97,'Fleet register'!$A$7:$S$106,14,FALSE)&gt;0,ISNUMBER('Replacement plan'!$C$29),OR(E97=120,ISNUMBER('Replacement plan'!$Q$29)),ISNUMBER(E97))),"Missing vehicle input",IF(OR(E97&lt;0,E97&gt;VLOOKUP($A97,'Fleet register'!$A$7:$S$106,10,FALSE),E97&gt;120,E97&lt;&gt;INT(E97),VLOOKUP($A97,'Fleet register'!$A$7:$S$106,6,FALSE)&lt;=0,VLOOKUP($A97,'Fleet register'!$A$7:$S$106,6,FALSE)&gt;366,VLOOKUP($A97,'Fleet register'!$A$7:$S$106,5,FALSE)&lt;0,VLOOKUP($A97,'Fleet register'!$A$7:$S$106,11,FALSE)&lt;0,I97&lt;0,'Operating costs'!$B$8&lt;='Operating costs'!$B$7*'Operating costs'!$B$9,'Operating costs'!$B$11&lt;=0,'Operating costs'!$B$39&gt;R97,'Operating costs'!$B$40&gt;R97,'Operating costs'!$B$41&gt;R97,NOT(OR('Replacement plan'!$O$29="Keep ICE",'Replacement plan'!$O$29="New ICE",'Replacement plan'!$O$29="EV"))),"Invalid vehicle input",IF(AND(D97="EV",E97&lt;120,OR(NOT(ISNUMBER(U97)),NOT(ISNUMBER(V97)),V97&lt;=0,T97&lt;0,T97&gt;1,'Replacement plan'!$L$29&lt;=0,'Operating costs'!$B$44&lt;0,'Operating costs'!$B$44&gt;=1,'Operating costs'!$B$47&lt;=0,'Operating costs'!$B$47&gt;1,V97*'Operating costs'!$B$47/(1-'Operating costs'!$B$44)&lt;=T97*'Operating costs'!$B$12*U97,AND('Replacement plan'!$Z$29&gt;0,OR('Replacement plan'!$AB$29&lt;&gt;"Yes",'Operating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charging'!$B$8&gt;=0))),ISNUMBER(VLOOKUP($A97,'Fleet register'!$A$7:$S$106,15,FALSE)),ISNUMBER(VLOOKUP($A97,'Fleet register'!$A$7:$S$106,16,FALSE)),ISNUMBER('Replacement plan'!$W$29),ISNUMBER('Replacement plan'!$X$29),OR(E97=120,AND(ISNUMBER(G97),G97&gt;=0)),ISNUMBER(H97),H97&gt;=0,OR(D97&lt;&gt;"EV",E97=120,AND(ISNUMBER('Operating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average",ISNUMBER(IFERROR(INDEX(Products!$P$7:$P$13,MATCH(AD97,Products!$A$7:$A$13,0)),"")))),ISNUMBER('Operating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plan'!$Y$29),ISNUMBER('Replacement plan'!$Z$29),'Replacement plan'!$Z$29&gt;=0,ISNUMBER('Replacement plan'!$AA$29),'Replacement plan'!$AA$29&gt;=0,'Replacement plan'!$AA$29=INT('Replacement plan'!$AA$29),ISNUMBER('Replacement plan'!$L$29))),'Operating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plan'!$AG$29="",'Operating costs'!$B$7,'Replacement plan'!$AG$29)),IF('Replacement plan'!$AG$29="",'Operating costs'!$B$7,'Replacement plan'!$AG$29)&gt;=0,ISNUMBER(IF('Replacement plan'!$AH$29="",'Operating costs'!$B$7,'Replacement plan'!$AH$29)),IF('Replacement plan'!$AH$29="",'Operating costs'!$B$7,'Replacement plan'!$AH$29)&gt;=0,'Operating costs'!$B$8&gt;MAX(IF('Replacement plan'!$AG$29="",'Operating costs'!$B$7,'Replacement plan'!$AG$29),IF('Replacement plan'!$AH$29="",'Operating costs'!$B$7,'Replacement plan'!$AH$29))*'Operating costs'!$B$9),IF(AND(VLOOKUP($A97,'Fleet register'!$A$7:$S$106,10,FALSE)&gt;=0,VLOOKUP($A97,'Fleet register'!$A$7:$S$106,10,FALSE)&lt;=120,VLOOKUP($A97,'Fleet register'!$A$7:$S$106,10,FALSE)=INT(VLOOKUP($A97,'Fleet register'!$A$7:$S$106,10,FALSE)),VLOOKUP($A97,'Fleet register'!$A$7:$S$106,15,FALSE)&gt;=0,VLOOKUP($A97,'Fleet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costs'!$B$67)&gt;=0,OR(D97&lt;&gt;"EV",E97=120,AND(MIN('Operating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97" s="1" t="str">
        <f>IF(C97=0,"Excluded",IF(P97&lt;&gt;"Complete",P97,IF(OR('Replacement plan'!$AD$29&lt;120-E97,AND(D97="EV",E97&lt;120,OR('Replacement plan'!$AC$29&lt;120-E97,'Replacement plan'!$I$29="No",AND(ISNUMBER(AF97),AE97&gt;AF97),AI97&gt;V97*(1-'Operating costs'!$B$46)^MAX(0,AB97-1)*(1-'Operating costs'!$B$45),AC97&gt;'Operating costs'!$B$18,AND(T97&lt;1,OR(AG97&lt;=0,AND(ISNUMBER(AH97),AG97&gt;AH97))),'Replacement plan'!$L$29&gt;INDEX(Products!$H$7:$H$13,MATCH('Replacement plan'!$B$29,Products!$A$7:$A$13,0))))),"Fails entered limits",IF(AND(D97="EV",E97&lt;120,OR(NOT(ISNUMBER(VLOOKUP($A97,'Fleet register'!$A$7:$S$106,7,FALSE))),NOT(ISNUMBER(VLOOKUP($A97,'Fleet register'!$A$7:$S$106,8,FALSE))),NOT(ISNUMBER(AF97)),'Replacement plan'!$I$29&lt;&gt;"Yes",NOT(ISNUMBER(AH97)),'Operating costs'!$B$59&lt;&gt;"Yes",'Operating costs'!$B$58&lt;&gt;"Yes")),"Unverified","Within entered limits"))))</f>
        <v>Excluded</v>
      </c>
      <c r="R97" s="1">
        <f>IF(C97=0,0,VLOOKUP($A97,'Fleet register'!$A$7:$S$106,6,FALSE))</f>
        <v>0</v>
      </c>
      <c r="S97" s="1">
        <f>IF(C97=0,0,VLOOKUP($A97,'Fleet register'!$A$7:$S$106,5,FALSE))</f>
        <v>0</v>
      </c>
      <c r="T97" s="1">
        <f>IF(D97="EV",'Energy and charging'!$B$12,0)</f>
        <v>0</v>
      </c>
      <c r="U97" s="1">
        <f>IFERROR(IF(C97=0,0,IF(D97="EV",IF('Replacement plan'!$F$29="",INDEX(Products!$E$7:$E$13,MATCH('Replacement plan'!$B$29,Products!$A$7:$A$13,0)),'Replacement plan'!$F$29)/IF('Replacement plan'!$G$29="Battery",1-'Operating costs'!$B$44,1),0)),"n.a.")</f>
        <v>0</v>
      </c>
      <c r="V97" s="1">
        <f>IFERROR(IF(C97=0,0,IF(D97="EV",IF('Replacement plan'!$E$29="",INDEX(Products!$D$7:$D$13,MATCH('Replacement plan'!$B$29,Products!$A$7:$A$13,0)),'Replacement plan'!$E$29),0)),"n.a.")</f>
        <v>0</v>
      </c>
      <c r="W97" s="1">
        <f>IF(C97=0,0,IF(AND(P97="Complete",D97="EV",E97&lt;120),IF(T97=0,0,ROUNDUP(T97*(R97-'Operating costs'!$B$41)*(S97*U97+'Operating costs'!$B$48/(1-'Operating costs'!$B$44))/(V97*'Operating costs'!$B$47/(1-'Operating costs'!$B$44)-T97*'Operating costs'!$B$12*U97),0)),0))</f>
        <v>0</v>
      </c>
      <c r="X97" s="1">
        <f>IF(C97=0,0,IF(AND(P97="Complete",D97="EV",E97&lt;120),(R97-'Operating costs'!$B$41)*(S97*U97+'Operating costs'!$B$48/(1-'Operating costs'!$B$44))+W97*'Operating costs'!$B$12*U97,0))</f>
        <v>0</v>
      </c>
      <c r="Y97" s="1">
        <f>IF(AND(C97=1,D97="EV",E97&lt;120),AI97/(1-'Operating costs'!$B$44)*(1-T97),0)</f>
        <v>0</v>
      </c>
      <c r="Z97" s="1">
        <f t="shared" si="2"/>
        <v>0</v>
      </c>
      <c r="AA97" s="1">
        <f>IF(C97=0,0,IF(P97="Complete",((S97*(R97-'Operating costs'!$B$40))+ROUNDUP(S97*(R97-'Operating costs'!$B$40)*IF('Replacement plan'!$AH$29="",'Operating costs'!$B$7,'Replacement plan'!$AH$29)/('Operating costs'!$B$8-'Operating costs'!$B$9*IF('Replacement plan'!$AH$29="",'Operating costs'!$B$7,'Replacement plan'!$AH$29)),0)*'Operating costs'!$B$9)*IF('Replacement plan'!$AH$29="",'Operating costs'!$B$7,'Replacement plan'!$AH$29),"n.a."))</f>
        <v>0</v>
      </c>
      <c r="AB97" s="1">
        <f t="shared" si="3"/>
        <v>0</v>
      </c>
      <c r="AC97" s="1">
        <f>IF(AND(C97=1,D97="EV",E97&lt;120,T97&gt;0),'Operating costs'!$B$12/'Operating costs'!$B$11*60+'Operating costs'!$B$13+'Operating costs'!$B$14+V97*'Operating costs'!$B$47/(1-'Operating costs'!$B$44)/'Replacement plan'!$L$29*60,0)</f>
        <v>0</v>
      </c>
      <c r="AD97" s="1" t="str">
        <f>'Replacement plan'!$B$29</f>
        <v>ChengLong L2EV</v>
      </c>
      <c r="AE97" s="1">
        <f>IF(C97=0,0,VLOOKUP($A97,'Fleet register'!$A$7:$S$106,8,FALSE))</f>
        <v>0</v>
      </c>
      <c r="AF97" s="1" t="str">
        <f>IF('Replacement plan'!$H$29="","n.a.",'Replacement plan'!$H$29)</f>
        <v>n.a.</v>
      </c>
      <c r="AG97" s="1">
        <f>'Replacement plan'!$J$29</f>
        <v>22</v>
      </c>
      <c r="AH97" s="1">
        <f>IFERROR(IF(D97="EV",IF('Replacement plan'!$K$29="AC",IF(ISNUMBER(INDEX(Products!$G$7:$G$13,MATCH('Replacement plan'!$B$29,Products!$A$7:$A$13,0))),INDEX(Products!$G$7:$G$13,MATCH('Replacement plan'!$B$29,Products!$A$7:$A$13,0)),"n.a."),IF(ISNUMBER(INDEX(Products!$H$7:$H$13,MATCH('Replacement plan'!$B$29,Products!$A$7:$A$13,0))),INDEX(Products!$H$7:$H$13,MATCH('Replacement plan'!$B$29,Products!$A$7:$A$13,0)),"n.a.")),0),"n.a.")</f>
        <v>0</v>
      </c>
      <c r="AI97" s="1">
        <f>IF(AND(C97=1,D97="EV",E97&lt;120),(VLOOKUP($A97,'Fleet register'!$A$7:$S$106,7,FALSE)+IF(T97&gt;0,'Operating costs'!$B$12,0))*U97*(1-'Operating costs'!$B$44)+'Operating costs'!$B$49,0)</f>
        <v>0</v>
      </c>
      <c r="AJ97" s="1">
        <f>IF(D97="EV",'Energy and charging'!$B$50,0)</f>
        <v>0</v>
      </c>
      <c r="AK97" s="17">
        <f>EDATE('Operating costs'!$B$63,E97)</f>
        <v>46298</v>
      </c>
      <c r="AL97" s="1">
        <f>IFERROR(IF(D97="EV",INDEX(Products!$B$7:$B$13,MATCH('Replacement plan'!$B$29,Products!$A$7:$A$13,0)),0),"n.a.")</f>
        <v>0</v>
      </c>
      <c r="AM97" s="1" t="str">
        <f>'Replacement plan'!$K$29</f>
        <v>DC</v>
      </c>
      <c r="AN97" s="1" t="str">
        <f>'Replacement plan'!$AE$29</f>
        <v>Assumed</v>
      </c>
      <c r="AO97" s="47">
        <f>IF(AND(C97=1,D97="EV",E97&lt;120),(R97-'Operating costs'!$B$41)*S97+W97*'Operating costs'!$B$12,0)</f>
        <v>0</v>
      </c>
      <c r="AP97" s="41">
        <f>IF(AND(C97=1,D97="EV",E97&lt;120),IF('Operating costs'!$B$68="Hong Seh 200k average",AO97*IFERROR(INDEX(Products!$P$7:$P$13,MATCH(AD97,Products!$A$7:$A$13,0)),"n.a."),'Operating costs'!$B$26),0)</f>
        <v>0</v>
      </c>
      <c r="AQ97" s="40" t="str">
        <f>IF(D97="EV",'Operating costs'!$B$68,"Not applicable")</f>
        <v>Not applicable</v>
      </c>
    </row>
    <row r="98" spans="1:43" ht="24" customHeight="1">
      <c r="A98" s="1" t="str">
        <f>'Replacement plan'!A29</f>
        <v>T023</v>
      </c>
      <c r="B98" s="1">
        <v>3</v>
      </c>
      <c r="C98" s="1">
        <f>IF(COUNTIFS('Fleet register'!$A$7:$A$106,$A98)=1,VLOOKUP($A98,'Fleet register'!$A$7:$S$106,2,FALSE),0)</f>
        <v>0</v>
      </c>
      <c r="D98" s="1" t="str">
        <f>IF('Replacement plan'!$R$29="EV","EV","ICE")</f>
        <v>ICE</v>
      </c>
      <c r="E98" s="1">
        <f>IF(C98=0,0,IF('Replacement plan'!$S$29="",IF('Replacement plan'!$R$29="Keep ICE",IF('Replacement plan'!$M$29="",VLOOKUP($A98,'Fleet register'!$A$7:$S$106,10,FALSE),'Replacement plan'!$M$29),0),'Replacement plan'!$S$29))</f>
        <v>0</v>
      </c>
      <c r="F98" s="16">
        <f>IF(C98=0,0,VLOOKUP($A98,'Fleet register'!$A$7:$S$106,11,FALSE))</f>
        <v>0</v>
      </c>
      <c r="G98" s="16">
        <f>IFERROR(IF(C98=0,0,IF(E98=120,0,IF(D98="ICE",'Replacement plan'!$C$29,IF('Replacement plan'!$D$29="",INDEX(Products!$I$7:$I$13,MATCH('Replacement plan'!$B$29,Products!$A$7:$A$13,0))+'Operating costs'!$B$57,'Replacement plan'!$D$29))*(1+'Operating costs'!$B$50)^(E98/12))),"n.a.")</f>
        <v>0</v>
      </c>
      <c r="H98" s="16">
        <f>IFERROR(IF(C98=0,0,IF('Replacement plan'!$V$29&lt;&gt;"",'Replacement plan'!$V$29,IF(E98=0,F98,VLOOKUP($A98,'Fleet register'!$A$7:$S$106,12,FALSE)+VLOOKUP($A98,'Fleet register'!$A$7:$S$106,13,FALSE)*MAX(0,VLOOKUP($A98,'Fleet register'!$A$7:$S$106,10,FALSE)-E98)/VLOOKUP($A98,'Fleet register'!$A$7:$S$106,14,FALSE)))),"n.a.")</f>
        <v>0</v>
      </c>
      <c r="I98" s="16">
        <f>IF(C98=0,0,IF(E98=120,0,'Replacement plan'!$T$29))</f>
        <v>0</v>
      </c>
      <c r="J98" s="16">
        <f>IF(C98=0,0,IF(P98="Complete",((S98*(R98-'Operating costs'!$B$39))+ROUNDUP(S98*(R98-'Operating costs'!$B$39)*IF('Replacement plan'!$AG$29="",'Operating costs'!$B$7,'Replacement plan'!$AG$29)/('Operating costs'!$B$8-'Operating costs'!$B$9*IF('Replacement plan'!$AG$29="",'Operating costs'!$B$7,'Replacement plan'!$AG$29)),0)*'Operating costs'!$B$9)*IF('Replacement plan'!$AG$29="",'Operating costs'!$B$7,'Replacement plan'!$AG$29)*('Energy and charging'!$C$9*'Energy and charging'!$C$7+(1-'Energy and charging'!$C$9)*'Energy and charging'!$C$8)*'Operating costs'!$B$23,"n.a."))</f>
        <v>0</v>
      </c>
      <c r="K98" s="16">
        <f>IF(C98=0,0,IF(P98="Complete",SUM('Operating costs'!$B$24,'Operating costs'!$B$27,'Operating costs'!$B$29,'Operating costs'!$B$31,'Operating costs'!$B$33,'Operating costs'!$B$34,'Operating costs'!$B$37,'Replacement plan'!$W$29)+'Operating costs'!$B$39*'Operating costs'!$B$42+ROUNDUP(S98*(R98-'Operating costs'!$B$39)*IF('Replacement plan'!$AG$29="",'Operating costs'!$B$7,'Replacement plan'!$AG$29)/('Operating costs'!$B$8-'Operating costs'!$B$9*IF('Replacement plan'!$AG$29="",'Operating costs'!$B$7,'Replacement plan'!$AG$29)),0)*('Operating costs'!$B$9/'Operating costs'!$B$11+'Operating costs'!$B$10/60)*'Operating costs'!$B$19*'Operating costs'!$B$21,"n.a."))</f>
        <v>0</v>
      </c>
      <c r="L98" s="16">
        <f>IF(C98=0,0,IF(P98="Complete",IF(D98="EV",X98*((1-T98)*'Energy and charging'!$C$10+T98*'Energy and charging'!$C$11)*'Operating costs'!$B$22,AA98*('Energy and charging'!$C$9*'Energy and charging'!$C$7+(1-'Energy and charging'!$C$9)*'Energy and charging'!$C$8)*'Operating costs'!$B$23),"n.a."))</f>
        <v>0</v>
      </c>
      <c r="M98" s="37">
        <f>IF(C98=0,0,IF(P98="Complete",IF(D98="ICE",SUM('Operating costs'!$B$25,'Operating costs'!$B$27,'Operating costs'!$B$29,'Operating costs'!$B$31,'Operating costs'!$B$33,'Operating costs'!$B$35,'Operating costs'!$B$37,'Replacement plan'!$X$29)+'Operating costs'!$B$40*'Operating costs'!$B$42+ROUNDUP(S98*(R98-'Operating costs'!$B$40)*IF('Replacement plan'!$AH$29="",'Operating costs'!$B$7,'Replacement plan'!$AH$29)/('Operating costs'!$B$8-'Operating costs'!$B$9*IF('Replacement plan'!$AH$29="",'Operating costs'!$B$7,'Replacement plan'!$AH$29)),0)*('Operating costs'!$B$9/'Operating costs'!$B$11+'Operating costs'!$B$10/60)*'Operating costs'!$B$19*'Operating costs'!$B$21,SUM(AP98,'Operating costs'!$B$28,'Operating costs'!$B$30,'Operating costs'!$B$32,'Operating costs'!$B$33,'Operating costs'!$B$36,'Operating costs'!$B$38,'Replacement plan'!$Y$29)+'Operating costs'!$B$41*'Operating costs'!$B$43+W98*'Operating costs'!$B$15+(T98*X98/'Replacement plan'!$L$29+W98*('Operating costs'!$B$12/'Operating costs'!$B$11+('Operating costs'!$B$13+'Operating costs'!$B$14)/60)+(R98-'Operating costs'!$B$41)*(IF(T98&lt;1,'Operating costs'!$B$16,0)+'Operating costs'!$B$17)/60)*'Operating costs'!$B$19*'Operating costs'!$B$20),"n.a."))</f>
        <v>0</v>
      </c>
      <c r="N98" s="16">
        <f>IF(AND(C98=1,D98="EV",E98&lt;120,E98+'Replacement plan'!$AA$29&lt;=120),'Replacement plan'!$Z$29,0)</f>
        <v>0</v>
      </c>
      <c r="O98" s="1">
        <f>E98+'Replacement plan'!$AA$29</f>
        <v>0</v>
      </c>
      <c r="P98" s="35" t="str">
        <f>IFERROR(IF(C98=0,"Excluded",IF(OR(COUNTIFS('Fleet register'!$A$7:$A$106,A98)&lt;&gt;1,COUNTIFS('Replacement plan'!$A$7:$A$106,A98)&lt;&gt;1),"Duplicate/missing ID",IF(NOT(AND(ISNUMBER(VLOOKUP($A98,'Fleet register'!$A$7:$S$106,5,FALSE)),ISNUMBER(VLOOKUP($A98,'Fleet register'!$A$7:$S$106,6,FALSE)),ISNUMBER(VLOOKUP($A98,'Fleet register'!$A$7:$S$106,10,FALSE)),ISNUMBER(VLOOKUP($A98,'Fleet register'!$A$7:$S$106,11,FALSE)),ISNUMBER(VLOOKUP($A98,'Fleet register'!$A$7:$S$106,12,FALSE)),ISNUMBER(VLOOKUP($A98,'Fleet register'!$A$7:$S$106,13,FALSE)),ISNUMBER(VLOOKUP($A98,'Fleet register'!$A$7:$S$106,14,FALSE)),VLOOKUP($A98,'Fleet register'!$A$7:$S$106,14,FALSE)&gt;0,ISNUMBER('Replacement plan'!$C$29),OR(E98=120,ISNUMBER('Replacement plan'!$T$29)),ISNUMBER(E98))),"Missing vehicle input",IF(OR(E98&lt;0,E98&gt;VLOOKUP($A98,'Fleet register'!$A$7:$S$106,10,FALSE),E98&gt;120,E98&lt;&gt;INT(E98),VLOOKUP($A98,'Fleet register'!$A$7:$S$106,6,FALSE)&lt;=0,VLOOKUP($A98,'Fleet register'!$A$7:$S$106,6,FALSE)&gt;366,VLOOKUP($A98,'Fleet register'!$A$7:$S$106,5,FALSE)&lt;0,VLOOKUP($A98,'Fleet register'!$A$7:$S$106,11,FALSE)&lt;0,I98&lt;0,'Operating costs'!$B$8&lt;='Operating costs'!$B$7*'Operating costs'!$B$9,'Operating costs'!$B$11&lt;=0,'Operating costs'!$B$39&gt;R98,'Operating costs'!$B$40&gt;R98,'Operating costs'!$B$41&gt;R98,NOT(OR('Replacement plan'!$R$29="Keep ICE",'Replacement plan'!$R$29="New ICE",'Replacement plan'!$R$29="EV"))),"Invalid vehicle input",IF(AND(D98="EV",E98&lt;120,OR(NOT(ISNUMBER(U98)),NOT(ISNUMBER(V98)),V98&lt;=0,T98&lt;0,T98&gt;1,'Replacement plan'!$L$29&lt;=0,'Operating costs'!$B$44&lt;0,'Operating costs'!$B$44&gt;=1,'Operating costs'!$B$47&lt;=0,'Operating costs'!$B$47&gt;1,V98*'Operating costs'!$B$47/(1-'Operating costs'!$B$44)&lt;=T98*'Operating costs'!$B$12*U98,AND('Replacement plan'!$Z$29&gt;0,OR('Replacement plan'!$AB$29&lt;&gt;"Yes",'Operating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charging'!$C$8&gt;=0))),ISNUMBER(VLOOKUP($A98,'Fleet register'!$A$7:$S$106,15,FALSE)),ISNUMBER(VLOOKUP($A98,'Fleet register'!$A$7:$S$106,16,FALSE)),ISNUMBER('Replacement plan'!$W$29),ISNUMBER('Replacement plan'!$X$29),OR(E98=120,AND(ISNUMBER(G98),G98&gt;=0)),ISNUMBER(H98),H98&gt;=0,OR(D98&lt;&gt;"EV",E98=120,AND(ISNUMBER('Operating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average",ISNUMBER(IFERROR(INDEX(Products!$P$7:$P$13,MATCH(AD98,Products!$A$7:$A$13,0)),"")))),ISNUMBER('Operating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plan'!$Y$29),ISNUMBER('Replacement plan'!$Z$29),'Replacement plan'!$Z$29&gt;=0,ISNUMBER('Replacement plan'!$AA$29),'Replacement plan'!$AA$29&gt;=0,'Replacement plan'!$AA$29=INT('Replacement plan'!$AA$29),ISNUMBER('Replacement plan'!$L$29))),'Operating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plan'!$AG$29="",'Operating costs'!$B$7,'Replacement plan'!$AG$29)),IF('Replacement plan'!$AG$29="",'Operating costs'!$B$7,'Replacement plan'!$AG$29)&gt;=0,ISNUMBER(IF('Replacement plan'!$AH$29="",'Operating costs'!$B$7,'Replacement plan'!$AH$29)),IF('Replacement plan'!$AH$29="",'Operating costs'!$B$7,'Replacement plan'!$AH$29)&gt;=0,'Operating costs'!$B$8&gt;MAX(IF('Replacement plan'!$AG$29="",'Operating costs'!$B$7,'Replacement plan'!$AG$29),IF('Replacement plan'!$AH$29="",'Operating costs'!$B$7,'Replacement plan'!$AH$29))*'Operating costs'!$B$9),IF(AND(VLOOKUP($A98,'Fleet register'!$A$7:$S$106,10,FALSE)&gt;=0,VLOOKUP($A98,'Fleet register'!$A$7:$S$106,10,FALSE)&lt;=120,VLOOKUP($A98,'Fleet register'!$A$7:$S$106,10,FALSE)=INT(VLOOKUP($A98,'Fleet register'!$A$7:$S$106,10,FALSE)),VLOOKUP($A98,'Fleet register'!$A$7:$S$106,15,FALSE)&gt;=0,VLOOKUP($A98,'Fleet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costs'!$B$67)&gt;=0,OR(D98&lt;&gt;"EV",E98=120,AND(MIN('Operating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98" s="1" t="str">
        <f>IF(C98=0,"Excluded",IF(P98&lt;&gt;"Complete",P98,IF(OR('Replacement plan'!$AD$29&lt;120-E98,AND(D98="EV",E98&lt;120,OR('Replacement plan'!$AC$29&lt;120-E98,'Replacement plan'!$I$29="No",AND(ISNUMBER(AF98),AE98&gt;AF98),AI98&gt;V98*(1-'Operating costs'!$B$46)^MAX(0,AB98-1)*(1-'Operating costs'!$B$45),AC98&gt;'Operating costs'!$B$18,AND(T98&lt;1,OR(AG98&lt;=0,AND(ISNUMBER(AH98),AG98&gt;AH98))),'Replacement plan'!$L$29&gt;INDEX(Products!$H$7:$H$13,MATCH('Replacement plan'!$B$29,Products!$A$7:$A$13,0))))),"Fails entered limits",IF(AND(D98="EV",E98&lt;120,OR(NOT(ISNUMBER(VLOOKUP($A98,'Fleet register'!$A$7:$S$106,7,FALSE))),NOT(ISNUMBER(VLOOKUP($A98,'Fleet register'!$A$7:$S$106,8,FALSE))),NOT(ISNUMBER(AF98)),'Replacement plan'!$I$29&lt;&gt;"Yes",NOT(ISNUMBER(AH98)),'Operating costs'!$B$59&lt;&gt;"Yes",'Operating costs'!$B$58&lt;&gt;"Yes")),"Unverified","Within entered limits"))))</f>
        <v>Excluded</v>
      </c>
      <c r="R98" s="1">
        <f>IF(C98=0,0,VLOOKUP($A98,'Fleet register'!$A$7:$S$106,6,FALSE))</f>
        <v>0</v>
      </c>
      <c r="S98" s="1">
        <f>IF(C98=0,0,VLOOKUP($A98,'Fleet register'!$A$7:$S$106,5,FALSE))</f>
        <v>0</v>
      </c>
      <c r="T98" s="1">
        <f>IF(D98="EV",'Energy and charging'!$C$12,0)</f>
        <v>0</v>
      </c>
      <c r="U98" s="1">
        <f>IFERROR(IF(C98=0,0,IF(D98="EV",IF('Replacement plan'!$F$29="",INDEX(Products!$E$7:$E$13,MATCH('Replacement plan'!$B$29,Products!$A$7:$A$13,0)),'Replacement plan'!$F$29)/IF('Replacement plan'!$G$29="Battery",1-'Operating costs'!$B$44,1),0)),"n.a.")</f>
        <v>0</v>
      </c>
      <c r="V98" s="1">
        <f>IFERROR(IF(C98=0,0,IF(D98="EV",IF('Replacement plan'!$E$29="",INDEX(Products!$D$7:$D$13,MATCH('Replacement plan'!$B$29,Products!$A$7:$A$13,0)),'Replacement plan'!$E$29),0)),"n.a.")</f>
        <v>0</v>
      </c>
      <c r="W98" s="1">
        <f>IF(C98=0,0,IF(AND(P98="Complete",D98="EV",E98&lt;120),IF(T98=0,0,ROUNDUP(T98*(R98-'Operating costs'!$B$41)*(S98*U98+'Operating costs'!$B$48/(1-'Operating costs'!$B$44))/(V98*'Operating costs'!$B$47/(1-'Operating costs'!$B$44)-T98*'Operating costs'!$B$12*U98),0)),0))</f>
        <v>0</v>
      </c>
      <c r="X98" s="1">
        <f>IF(C98=0,0,IF(AND(P98="Complete",D98="EV",E98&lt;120),(R98-'Operating costs'!$B$41)*(S98*U98+'Operating costs'!$B$48/(1-'Operating costs'!$B$44))+W98*'Operating costs'!$B$12*U98,0))</f>
        <v>0</v>
      </c>
      <c r="Y98" s="1">
        <f>IF(AND(C98=1,D98="EV",E98&lt;120),AI98/(1-'Operating costs'!$B$44)*(1-T98),0)</f>
        <v>0</v>
      </c>
      <c r="Z98" s="1">
        <f t="shared" si="2"/>
        <v>0</v>
      </c>
      <c r="AA98" s="1">
        <f>IF(C98=0,0,IF(P98="Complete",((S98*(R98-'Operating costs'!$B$40))+ROUNDUP(S98*(R98-'Operating costs'!$B$40)*IF('Replacement plan'!$AH$29="",'Operating costs'!$B$7,'Replacement plan'!$AH$29)/('Operating costs'!$B$8-'Operating costs'!$B$9*IF('Replacement plan'!$AH$29="",'Operating costs'!$B$7,'Replacement plan'!$AH$29)),0)*'Operating costs'!$B$9)*IF('Replacement plan'!$AH$29="",'Operating costs'!$B$7,'Replacement plan'!$AH$29),"n.a."))</f>
        <v>0</v>
      </c>
      <c r="AB98" s="1">
        <f t="shared" si="3"/>
        <v>0</v>
      </c>
      <c r="AC98" s="1">
        <f>IF(AND(C98=1,D98="EV",E98&lt;120,T98&gt;0),'Operating costs'!$B$12/'Operating costs'!$B$11*60+'Operating costs'!$B$13+'Operating costs'!$B$14+V98*'Operating costs'!$B$47/(1-'Operating costs'!$B$44)/'Replacement plan'!$L$29*60,0)</f>
        <v>0</v>
      </c>
      <c r="AD98" s="1" t="str">
        <f>'Replacement plan'!$B$29</f>
        <v>ChengLong L2EV</v>
      </c>
      <c r="AE98" s="1">
        <f>IF(C98=0,0,VLOOKUP($A98,'Fleet register'!$A$7:$S$106,8,FALSE))</f>
        <v>0</v>
      </c>
      <c r="AF98" s="1" t="str">
        <f>IF('Replacement plan'!$H$29="","n.a.",'Replacement plan'!$H$29)</f>
        <v>n.a.</v>
      </c>
      <c r="AG98" s="1">
        <f>'Replacement plan'!$J$29</f>
        <v>22</v>
      </c>
      <c r="AH98" s="1">
        <f>IFERROR(IF(D98="EV",IF('Replacement plan'!$K$29="AC",IF(ISNUMBER(INDEX(Products!$G$7:$G$13,MATCH('Replacement plan'!$B$29,Products!$A$7:$A$13,0))),INDEX(Products!$G$7:$G$13,MATCH('Replacement plan'!$B$29,Products!$A$7:$A$13,0)),"n.a."),IF(ISNUMBER(INDEX(Products!$H$7:$H$13,MATCH('Replacement plan'!$B$29,Products!$A$7:$A$13,0))),INDEX(Products!$H$7:$H$13,MATCH('Replacement plan'!$B$29,Products!$A$7:$A$13,0)),"n.a.")),0),"n.a.")</f>
        <v>0</v>
      </c>
      <c r="AI98" s="1">
        <f>IF(AND(C98=1,D98="EV",E98&lt;120),(VLOOKUP($A98,'Fleet register'!$A$7:$S$106,7,FALSE)+IF(T98&gt;0,'Operating costs'!$B$12,0))*U98*(1-'Operating costs'!$B$44)+'Operating costs'!$B$49,0)</f>
        <v>0</v>
      </c>
      <c r="AJ98" s="1">
        <f>IF(D98="EV",'Energy and charging'!$C$50,0)</f>
        <v>0</v>
      </c>
      <c r="AK98" s="17">
        <f>EDATE('Operating costs'!$B$63,E98)</f>
        <v>46298</v>
      </c>
      <c r="AL98" s="1">
        <f>IFERROR(IF(D98="EV",INDEX(Products!$B$7:$B$13,MATCH('Replacement plan'!$B$29,Products!$A$7:$A$13,0)),0),"n.a.")</f>
        <v>0</v>
      </c>
      <c r="AM98" s="1" t="str">
        <f>'Replacement plan'!$K$29</f>
        <v>DC</v>
      </c>
      <c r="AN98" s="1" t="str">
        <f>'Replacement plan'!$AE$29</f>
        <v>Assumed</v>
      </c>
      <c r="AO98" s="47">
        <f>IF(AND(C98=1,D98="EV",E98&lt;120),(R98-'Operating costs'!$B$41)*S98+W98*'Operating costs'!$B$12,0)</f>
        <v>0</v>
      </c>
      <c r="AP98" s="41">
        <f>IF(AND(C98=1,D98="EV",E98&lt;120),IF('Operating costs'!$B$68="Hong Seh 200k average",AO98*IFERROR(INDEX(Products!$P$7:$P$13,MATCH(AD98,Products!$A$7:$A$13,0)),"n.a."),'Operating costs'!$B$26),0)</f>
        <v>0</v>
      </c>
      <c r="AQ98" s="40" t="str">
        <f>IF(D98="EV",'Operating costs'!$B$68,"Not applicable")</f>
        <v>Not applicable</v>
      </c>
    </row>
    <row r="99" spans="1:43" ht="24" customHeight="1">
      <c r="A99" s="1" t="str">
        <f>'Replacement plan'!A30</f>
        <v>T024</v>
      </c>
      <c r="B99" s="1">
        <v>0</v>
      </c>
      <c r="C99" s="1">
        <f>IF(COUNTIFS('Fleet register'!$A$7:$A$106,$A99)=1,VLOOKUP($A99,'Fleet register'!$A$7:$S$106,2,FALSE),0)</f>
        <v>0</v>
      </c>
      <c r="D99" s="1" t="str">
        <f>IF("Keep ICE"="EV","EV","ICE")</f>
        <v>ICE</v>
      </c>
      <c r="E99" s="1">
        <f>IF(C99=0,0,IF('Replacement plan'!$M$30="",VLOOKUP($A99,'Fleet register'!$A$7:$S$106,10,FALSE),'Replacement plan'!$M$30))</f>
        <v>0</v>
      </c>
      <c r="F99" s="16">
        <f>IF(C99=0,0,VLOOKUP($A99,'Fleet register'!$A$7:$S$106,11,FALSE))</f>
        <v>0</v>
      </c>
      <c r="G99" s="16">
        <f>IFERROR(IF(C99=0,0,IF(E99=120,0,IF(D99="ICE",'Replacement plan'!$C$30,IF('Replacement plan'!$D$30="",INDEX(Products!$I$7:$I$13,MATCH('Replacement plan'!$B$30,Products!$A$7:$A$13,0))+'Operating costs'!$B$57,'Replacement plan'!$D$30))*(1+'Operating costs'!$B$50)^(E99/12))),"n.a.")</f>
        <v>0</v>
      </c>
      <c r="H99" s="16">
        <f>IFERROR(IF(C99=0,0,IF(E99=0,F99,VLOOKUP($A99,'Fleet register'!$A$7:$S$106,12,FALSE)+VLOOKUP($A99,'Fleet register'!$A$7:$S$106,13,FALSE)*MAX(0,VLOOKUP($A99,'Fleet register'!$A$7:$S$106,10,FALSE)-E99)/VLOOKUP($A99,'Fleet register'!$A$7:$S$106,14,FALSE))),"n.a.")</f>
        <v>0</v>
      </c>
      <c r="I99" s="16">
        <f>IF(C99=0,0,IF(E99=120,0,'Replacement plan'!$N$30))</f>
        <v>0</v>
      </c>
      <c r="J99" s="16">
        <f>IF(C99=0,0,IF(P99="Complete",((S99*(R99-'Operating costs'!$B$39))+ROUNDUP(S99*(R99-'Operating costs'!$B$39)*IF('Replacement plan'!$AG$30="",'Operating costs'!$B$7,'Replacement plan'!$AG$30)/('Operating costs'!$B$8-'Operating costs'!$B$9*IF('Replacement plan'!$AG$30="",'Operating costs'!$B$7,'Replacement plan'!$AG$30)),0)*'Operating costs'!$B$9)*IF('Replacement plan'!$AG$30="",'Operating costs'!$B$7,'Replacement plan'!$AG$30)*('Energy and charging'!$B$9*'Energy and charging'!$B$7+(1-'Energy and charging'!$B$9)*'Energy and charging'!$B$8)*'Operating costs'!$B$23,"n.a."))</f>
        <v>0</v>
      </c>
      <c r="K99" s="16">
        <f>IF(C99=0,0,IF(P99="Complete",SUM('Operating costs'!$B$24,'Operating costs'!$B$27,'Operating costs'!$B$29,'Operating costs'!$B$31,'Operating costs'!$B$33,'Operating costs'!$B$34,'Operating costs'!$B$37,'Replacement plan'!$W$30)+'Operating costs'!$B$39*'Operating costs'!$B$42+ROUNDUP(S99*(R99-'Operating costs'!$B$39)*IF('Replacement plan'!$AG$30="",'Operating costs'!$B$7,'Replacement plan'!$AG$30)/('Operating costs'!$B$8-'Operating costs'!$B$9*IF('Replacement plan'!$AG$30="",'Operating costs'!$B$7,'Replacement plan'!$AG$30)),0)*('Operating costs'!$B$9/'Operating costs'!$B$11+'Operating costs'!$B$10/60)*'Operating costs'!$B$19*'Operating costs'!$B$21,"n.a."))</f>
        <v>0</v>
      </c>
      <c r="L99" s="16">
        <f>IF(C99=0,0,IF(P99="Complete",IF(D99="EV",X99*((1-T99)*'Energy and charging'!$B$10+T99*'Energy and charging'!$B$11)*'Operating costs'!$B$22,AA99*('Energy and charging'!$B$9*'Energy and charging'!$B$7+(1-'Energy and charging'!$B$9)*'Energy and charging'!$B$8)*'Operating costs'!$B$23),"n.a."))</f>
        <v>0</v>
      </c>
      <c r="M99" s="37">
        <f>IF(C99=0,0,IF(P99="Complete",IF(D99="ICE",SUM('Operating costs'!$B$25,'Operating costs'!$B$27,'Operating costs'!$B$29,'Operating costs'!$B$31,'Operating costs'!$B$33,'Operating costs'!$B$35,'Operating costs'!$B$37,'Replacement plan'!$X$30)+'Operating costs'!$B$40*'Operating costs'!$B$42+ROUNDUP(S99*(R99-'Operating costs'!$B$40)*IF('Replacement plan'!$AH$30="",'Operating costs'!$B$7,'Replacement plan'!$AH$30)/('Operating costs'!$B$8-'Operating costs'!$B$9*IF('Replacement plan'!$AH$30="",'Operating costs'!$B$7,'Replacement plan'!$AH$30)),0)*('Operating costs'!$B$9/'Operating costs'!$B$11+'Operating costs'!$B$10/60)*'Operating costs'!$B$19*'Operating costs'!$B$21,SUM(AP99,'Operating costs'!$B$28,'Operating costs'!$B$30,'Operating costs'!$B$32,'Operating costs'!$B$33,'Operating costs'!$B$36,'Operating costs'!$B$38,'Replacement plan'!$Y$30)+'Operating costs'!$B$41*'Operating costs'!$B$43+W99*'Operating costs'!$B$15+(T99*X99/'Replacement plan'!$L$30+W99*('Operating costs'!$B$12/'Operating costs'!$B$11+('Operating costs'!$B$13+'Operating costs'!$B$14)/60)+(R99-'Operating costs'!$B$41)*(IF(T99&lt;1,'Operating costs'!$B$16,0)+'Operating costs'!$B$17)/60)*'Operating costs'!$B$19*'Operating costs'!$B$20),"n.a."))</f>
        <v>0</v>
      </c>
      <c r="N99" s="16">
        <f>IF(AND(C99=1,D99="EV",E99&lt;120,E99+'Replacement plan'!$AA$30&lt;=120),'Replacement plan'!$Z$30,0)</f>
        <v>0</v>
      </c>
      <c r="O99" s="1">
        <f>E99+'Replacement plan'!$AA$30</f>
        <v>0</v>
      </c>
      <c r="P99" s="35" t="str">
        <f>IFERROR(IF(C99=0,"Excluded",IF(OR(COUNTIFS('Fleet register'!$A$7:$A$106,A99)&lt;&gt;1,COUNTIFS('Replacement plan'!$A$7:$A$106,A99)&lt;&gt;1),"Duplicate/missing ID",IF(NOT(AND(ISNUMBER(VLOOKUP($A99,'Fleet register'!$A$7:$S$106,5,FALSE)),ISNUMBER(VLOOKUP($A99,'Fleet register'!$A$7:$S$106,6,FALSE)),ISNUMBER(VLOOKUP($A99,'Fleet register'!$A$7:$S$106,10,FALSE)),ISNUMBER(VLOOKUP($A99,'Fleet register'!$A$7:$S$106,11,FALSE)),ISNUMBER(VLOOKUP($A99,'Fleet register'!$A$7:$S$106,12,FALSE)),ISNUMBER(VLOOKUP($A99,'Fleet register'!$A$7:$S$106,13,FALSE)),ISNUMBER(VLOOKUP($A99,'Fleet register'!$A$7:$S$106,14,FALSE)),VLOOKUP($A99,'Fleet register'!$A$7:$S$106,14,FALSE)&gt;0,ISNUMBER('Replacement plan'!$C$30),OR(E99=120,ISNUMBER('Replacement plan'!$N$30)),ISNUMBER(E99))),"Missing vehicle input",IF(OR(E99&lt;0,E99&gt;VLOOKUP($A99,'Fleet register'!$A$7:$S$106,10,FALSE),E99&gt;120,E99&lt;&gt;INT(E99),VLOOKUP($A99,'Fleet register'!$A$7:$S$106,6,FALSE)&lt;=0,VLOOKUP($A99,'Fleet register'!$A$7:$S$106,6,FALSE)&gt;366,VLOOKUP($A99,'Fleet register'!$A$7:$S$106,5,FALSE)&lt;0,VLOOKUP($A99,'Fleet register'!$A$7:$S$106,11,FALSE)&lt;0,I99&lt;0,'Operating costs'!$B$8&lt;='Operating costs'!$B$7*'Operating costs'!$B$9,'Operating costs'!$B$11&lt;=0,'Operating costs'!$B$39&gt;R99,'Operating costs'!$B$40&gt;R99,'Operating costs'!$B$41&gt;R99,NOT(OR("Keep ICE"="Keep ICE","Keep ICE"="New ICE","Keep ICE"="EV"))),"Invalid vehicle input",IF(AND(D99="EV",E99&lt;120,OR(NOT(ISNUMBER(U99)),NOT(ISNUMBER(V99)),V99&lt;=0,T99&lt;0,T99&gt;1,'Replacement plan'!$L$30&lt;=0,'Operating costs'!$B$44&lt;0,'Operating costs'!$B$44&gt;=1,'Operating costs'!$B$47&lt;=0,'Operating costs'!$B$47&gt;1,V99*'Operating costs'!$B$47/(1-'Operating costs'!$B$44)&lt;=T99*'Operating costs'!$B$12*U99,AND('Replacement plan'!$Z$30&gt;0,OR('Replacement plan'!$AB$30&lt;&gt;"Yes",'Operating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charging'!$B$8&gt;=0))),ISNUMBER(VLOOKUP($A99,'Fleet register'!$A$7:$S$106,15,FALSE)),ISNUMBER(VLOOKUP($A99,'Fleet register'!$A$7:$S$106,16,FALSE)),ISNUMBER('Replacement plan'!$W$30),ISNUMBER('Replacement plan'!$X$30),OR(E99=120,AND(ISNUMBER(G99),G99&gt;=0)),ISNUMBER(H99),H99&gt;=0,OR(D99&lt;&gt;"EV",E99=120,AND(ISNUMBER('Operating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average",ISNUMBER(IFERROR(INDEX(Products!$P$7:$P$13,MATCH(AD99,Products!$A$7:$A$13,0)),"")))),ISNUMBER('Operating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plan'!$Y$30),ISNUMBER('Replacement plan'!$Z$30),'Replacement plan'!$Z$30&gt;=0,ISNUMBER('Replacement plan'!$AA$30),'Replacement plan'!$AA$30&gt;=0,'Replacement plan'!$AA$30=INT('Replacement plan'!$AA$30),ISNUMBER('Replacement plan'!$L$30))),'Operating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plan'!$AG$30="",'Operating costs'!$B$7,'Replacement plan'!$AG$30)),IF('Replacement plan'!$AG$30="",'Operating costs'!$B$7,'Replacement plan'!$AG$30)&gt;=0,ISNUMBER(IF('Replacement plan'!$AH$30="",'Operating costs'!$B$7,'Replacement plan'!$AH$30)),IF('Replacement plan'!$AH$30="",'Operating costs'!$B$7,'Replacement plan'!$AH$30)&gt;=0,'Operating costs'!$B$8&gt;MAX(IF('Replacement plan'!$AG$30="",'Operating costs'!$B$7,'Replacement plan'!$AG$30),IF('Replacement plan'!$AH$30="",'Operating costs'!$B$7,'Replacement plan'!$AH$30))*'Operating costs'!$B$9),IF(AND(VLOOKUP($A99,'Fleet register'!$A$7:$S$106,10,FALSE)&gt;=0,VLOOKUP($A99,'Fleet register'!$A$7:$S$106,10,FALSE)&lt;=120,VLOOKUP($A99,'Fleet register'!$A$7:$S$106,10,FALSE)=INT(VLOOKUP($A99,'Fleet register'!$A$7:$S$106,10,FALSE)),VLOOKUP($A99,'Fleet register'!$A$7:$S$106,15,FALSE)&gt;=0,VLOOKUP($A99,'Fleet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costs'!$B$67)&gt;=0,OR(D99&lt;&gt;"EV",E99=120,AND(MIN('Operating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99" s="1" t="str">
        <f>IF(C99=0,"Excluded",IF(P99&lt;&gt;"Complete",P99,IF(OR('Replacement plan'!$AD$30&lt;120-E99,AND(D99="EV",E99&lt;120,OR('Replacement plan'!$AC$30&lt;120-E99,'Replacement plan'!$I$30="No",AND(ISNUMBER(AF99),AE99&gt;AF99),AI99&gt;V99*(1-'Operating costs'!$B$46)^MAX(0,AB99-1)*(1-'Operating costs'!$B$45),AC99&gt;'Operating costs'!$B$18,AND(T99&lt;1,OR(AG99&lt;=0,AND(ISNUMBER(AH99),AG99&gt;AH99))),'Replacement plan'!$L$30&gt;INDEX(Products!$H$7:$H$13,MATCH('Replacement plan'!$B$30,Products!$A$7:$A$13,0))))),"Fails entered limits",IF(AND(D99="EV",E99&lt;120,OR(NOT(ISNUMBER(VLOOKUP($A99,'Fleet register'!$A$7:$S$106,7,FALSE))),NOT(ISNUMBER(VLOOKUP($A99,'Fleet register'!$A$7:$S$106,8,FALSE))),NOT(ISNUMBER(AF99)),'Replacement plan'!$I$30&lt;&gt;"Yes",NOT(ISNUMBER(AH99)),'Operating costs'!$B$59&lt;&gt;"Yes",'Operating costs'!$B$58&lt;&gt;"Yes")),"Unverified","Within entered limits"))))</f>
        <v>Excluded</v>
      </c>
      <c r="R99" s="1">
        <f>IF(C99=0,0,VLOOKUP($A99,'Fleet register'!$A$7:$S$106,6,FALSE))</f>
        <v>0</v>
      </c>
      <c r="S99" s="1">
        <f>IF(C99=0,0,VLOOKUP($A99,'Fleet register'!$A$7:$S$106,5,FALSE))</f>
        <v>0</v>
      </c>
      <c r="T99" s="1">
        <f>IF(D99="EV",'Energy and charging'!$B$12,0)</f>
        <v>0</v>
      </c>
      <c r="U99" s="1">
        <f>IFERROR(IF(C99=0,0,IF(D99="EV",IF('Replacement plan'!$F$30="",INDEX(Products!$E$7:$E$13,MATCH('Replacement plan'!$B$30,Products!$A$7:$A$13,0)),'Replacement plan'!$F$30)/IF('Replacement plan'!$G$30="Battery",1-'Operating costs'!$B$44,1),0)),"n.a.")</f>
        <v>0</v>
      </c>
      <c r="V99" s="1">
        <f>IFERROR(IF(C99=0,0,IF(D99="EV",IF('Replacement plan'!$E$30="",INDEX(Products!$D$7:$D$13,MATCH('Replacement plan'!$B$30,Products!$A$7:$A$13,0)),'Replacement plan'!$E$30),0)),"n.a.")</f>
        <v>0</v>
      </c>
      <c r="W99" s="1">
        <f>IF(C99=0,0,IF(AND(P99="Complete",D99="EV",E99&lt;120),IF(T99=0,0,ROUNDUP(T99*(R99-'Operating costs'!$B$41)*(S99*U99+'Operating costs'!$B$48/(1-'Operating costs'!$B$44))/(V99*'Operating costs'!$B$47/(1-'Operating costs'!$B$44)-T99*'Operating costs'!$B$12*U99),0)),0))</f>
        <v>0</v>
      </c>
      <c r="X99" s="1">
        <f>IF(C99=0,0,IF(AND(P99="Complete",D99="EV",E99&lt;120),(R99-'Operating costs'!$B$41)*(S99*U99+'Operating costs'!$B$48/(1-'Operating costs'!$B$44))+W99*'Operating costs'!$B$12*U99,0))</f>
        <v>0</v>
      </c>
      <c r="Y99" s="1">
        <f>IF(AND(C99=1,D99="EV",E99&lt;120),AI99/(1-'Operating costs'!$B$44)*(1-T99),0)</f>
        <v>0</v>
      </c>
      <c r="Z99" s="1">
        <f t="shared" si="2"/>
        <v>0</v>
      </c>
      <c r="AA99" s="1">
        <f>IF(C99=0,0,IF(P99="Complete",((S99*(R99-'Operating costs'!$B$40))+ROUNDUP(S99*(R99-'Operating costs'!$B$40)*IF('Replacement plan'!$AH$30="",'Operating costs'!$B$7,'Replacement plan'!$AH$30)/('Operating costs'!$B$8-'Operating costs'!$B$9*IF('Replacement plan'!$AH$30="",'Operating costs'!$B$7,'Replacement plan'!$AH$30)),0)*'Operating costs'!$B$9)*IF('Replacement plan'!$AH$30="",'Operating costs'!$B$7,'Replacement plan'!$AH$30),"n.a."))</f>
        <v>0</v>
      </c>
      <c r="AB99" s="1">
        <f t="shared" si="3"/>
        <v>0</v>
      </c>
      <c r="AC99" s="1">
        <f>IF(AND(C99=1,D99="EV",E99&lt;120,T99&gt;0),'Operating costs'!$B$12/'Operating costs'!$B$11*60+'Operating costs'!$B$13+'Operating costs'!$B$14+V99*'Operating costs'!$B$47/(1-'Operating costs'!$B$44)/'Replacement plan'!$L$30*60,0)</f>
        <v>0</v>
      </c>
      <c r="AD99" s="1" t="str">
        <f>'Replacement plan'!$B$30</f>
        <v>ChengLong L2EV</v>
      </c>
      <c r="AE99" s="1">
        <f>IF(C99=0,0,VLOOKUP($A99,'Fleet register'!$A$7:$S$106,8,FALSE))</f>
        <v>0</v>
      </c>
      <c r="AF99" s="1" t="str">
        <f>IF('Replacement plan'!$H$30="","n.a.",'Replacement plan'!$H$30)</f>
        <v>n.a.</v>
      </c>
      <c r="AG99" s="1">
        <f>'Replacement plan'!$J$30</f>
        <v>22</v>
      </c>
      <c r="AH99" s="1">
        <f>IFERROR(IF(D99="EV",IF('Replacement plan'!$K$30="AC",IF(ISNUMBER(INDEX(Products!$G$7:$G$13,MATCH('Replacement plan'!$B$30,Products!$A$7:$A$13,0))),INDEX(Products!$G$7:$G$13,MATCH('Replacement plan'!$B$30,Products!$A$7:$A$13,0)),"n.a."),IF(ISNUMBER(INDEX(Products!$H$7:$H$13,MATCH('Replacement plan'!$B$30,Products!$A$7:$A$13,0))),INDEX(Products!$H$7:$H$13,MATCH('Replacement plan'!$B$30,Products!$A$7:$A$13,0)),"n.a.")),0),"n.a.")</f>
        <v>0</v>
      </c>
      <c r="AI99" s="1">
        <f>IF(AND(C99=1,D99="EV",E99&lt;120),(VLOOKUP($A99,'Fleet register'!$A$7:$S$106,7,FALSE)+IF(T99&gt;0,'Operating costs'!$B$12,0))*U99*(1-'Operating costs'!$B$44)+'Operating costs'!$B$49,0)</f>
        <v>0</v>
      </c>
      <c r="AJ99" s="1">
        <f>IF(D99="EV",'Energy and charging'!$B$50,0)</f>
        <v>0</v>
      </c>
      <c r="AK99" s="17">
        <f>EDATE('Operating costs'!$B$63,E99)</f>
        <v>46298</v>
      </c>
      <c r="AL99" s="1">
        <f>IFERROR(IF(D99="EV",INDEX(Products!$B$7:$B$13,MATCH('Replacement plan'!$B$30,Products!$A$7:$A$13,0)),0),"n.a.")</f>
        <v>0</v>
      </c>
      <c r="AM99" s="1" t="str">
        <f>'Replacement plan'!$K$30</f>
        <v>DC</v>
      </c>
      <c r="AN99" s="1" t="str">
        <f>'Replacement plan'!$AE$30</f>
        <v>Assumed</v>
      </c>
      <c r="AO99" s="47">
        <f>IF(AND(C99=1,D99="EV",E99&lt;120),(R99-'Operating costs'!$B$41)*S99+W99*'Operating costs'!$B$12,0)</f>
        <v>0</v>
      </c>
      <c r="AP99" s="41">
        <f>IF(AND(C99=1,D99="EV",E99&lt;120),IF('Operating costs'!$B$68="Hong Seh 200k average",AO99*IFERROR(INDEX(Products!$P$7:$P$13,MATCH(AD99,Products!$A$7:$A$13,0)),"n.a."),'Operating costs'!$B$26),0)</f>
        <v>0</v>
      </c>
      <c r="AQ99" s="40" t="str">
        <f>IF(D99="EV",'Operating costs'!$B$68,"Not applicable")</f>
        <v>Not applicable</v>
      </c>
    </row>
    <row r="100" spans="1:43" ht="24" customHeight="1">
      <c r="A100" s="1" t="str">
        <f>'Replacement plan'!A30</f>
        <v>T024</v>
      </c>
      <c r="B100" s="1">
        <v>1</v>
      </c>
      <c r="C100" s="1">
        <f>IF(COUNTIFS('Fleet register'!$A$7:$A$106,$A100)=1,VLOOKUP($A100,'Fleet register'!$A$7:$S$106,2,FALSE),0)</f>
        <v>0</v>
      </c>
      <c r="D100" s="1" t="str">
        <f>IF("New ICE"="EV","EV","ICE")</f>
        <v>ICE</v>
      </c>
      <c r="E100" s="1">
        <f>IF(C100=0,0,0)</f>
        <v>0</v>
      </c>
      <c r="F100" s="16">
        <f>IF(C100=0,0,VLOOKUP($A100,'Fleet register'!$A$7:$S$106,11,FALSE))</f>
        <v>0</v>
      </c>
      <c r="G100" s="16">
        <f>IFERROR(IF(C100=0,0,IF(E100=120,0,IF(D100="ICE",'Replacement plan'!$C$30,IF('Replacement plan'!$D$30="",INDEX(Products!$I$7:$I$13,MATCH('Replacement plan'!$B$30,Products!$A$7:$A$13,0))+'Operating costs'!$B$57,'Replacement plan'!$D$30))*(1+'Operating costs'!$B$50)^(E100/12))),"n.a.")</f>
        <v>0</v>
      </c>
      <c r="H100" s="16">
        <f>IFERROR(IF(C100=0,0,IF(E100=0,F100,VLOOKUP($A100,'Fleet register'!$A$7:$S$106,12,FALSE)+VLOOKUP($A100,'Fleet register'!$A$7:$S$106,13,FALSE)*MAX(0,VLOOKUP($A100,'Fleet register'!$A$7:$S$106,10,FALSE)-E100)/VLOOKUP($A100,'Fleet register'!$A$7:$S$106,14,FALSE))),"n.a.")</f>
        <v>0</v>
      </c>
      <c r="I100" s="16">
        <f>IF(C100=0,0,IF(E100=120,0,IF('Replacement plan'!$AI$30="",'Operating costs'!$B$56,'Replacement plan'!$AI$30)))</f>
        <v>0</v>
      </c>
      <c r="J100" s="16">
        <f>IF(C100=0,0,IF(P100="Complete",((S100*(R100-'Operating costs'!$B$39))+ROUNDUP(S100*(R100-'Operating costs'!$B$39)*IF('Replacement plan'!$AG$30="",'Operating costs'!$B$7,'Replacement plan'!$AG$30)/('Operating costs'!$B$8-'Operating costs'!$B$9*IF('Replacement plan'!$AG$30="",'Operating costs'!$B$7,'Replacement plan'!$AG$30)),0)*'Operating costs'!$B$9)*IF('Replacement plan'!$AG$30="",'Operating costs'!$B$7,'Replacement plan'!$AG$30)*('Energy and charging'!$B$9*'Energy and charging'!$B$7+(1-'Energy and charging'!$B$9)*'Energy and charging'!$B$8)*'Operating costs'!$B$23,"n.a."))</f>
        <v>0</v>
      </c>
      <c r="K100" s="16">
        <f>IF(C100=0,0,IF(P100="Complete",SUM('Operating costs'!$B$24,'Operating costs'!$B$27,'Operating costs'!$B$29,'Operating costs'!$B$31,'Operating costs'!$B$33,'Operating costs'!$B$34,'Operating costs'!$B$37,'Replacement plan'!$W$30)+'Operating costs'!$B$39*'Operating costs'!$B$42+ROUNDUP(S100*(R100-'Operating costs'!$B$39)*IF('Replacement plan'!$AG$30="",'Operating costs'!$B$7,'Replacement plan'!$AG$30)/('Operating costs'!$B$8-'Operating costs'!$B$9*IF('Replacement plan'!$AG$30="",'Operating costs'!$B$7,'Replacement plan'!$AG$30)),0)*('Operating costs'!$B$9/'Operating costs'!$B$11+'Operating costs'!$B$10/60)*'Operating costs'!$B$19*'Operating costs'!$B$21,"n.a."))</f>
        <v>0</v>
      </c>
      <c r="L100" s="16">
        <f>IF(C100=0,0,IF(P100="Complete",IF(D100="EV",X100*((1-T100)*'Energy and charging'!$B$10+T100*'Energy and charging'!$B$11)*'Operating costs'!$B$22,AA100*('Energy and charging'!$B$9*'Energy and charging'!$B$7+(1-'Energy and charging'!$B$9)*'Energy and charging'!$B$8)*'Operating costs'!$B$23),"n.a."))</f>
        <v>0</v>
      </c>
      <c r="M100" s="37">
        <f>IF(C100=0,0,IF(P100="Complete",IF(D100="ICE",SUM('Operating costs'!$B$25,'Operating costs'!$B$27,'Operating costs'!$B$29,'Operating costs'!$B$31,'Operating costs'!$B$33,'Operating costs'!$B$35,'Operating costs'!$B$37,'Replacement plan'!$X$30)+'Operating costs'!$B$40*'Operating costs'!$B$42+ROUNDUP(S100*(R100-'Operating costs'!$B$40)*IF('Replacement plan'!$AH$30="",'Operating costs'!$B$7,'Replacement plan'!$AH$30)/('Operating costs'!$B$8-'Operating costs'!$B$9*IF('Replacement plan'!$AH$30="",'Operating costs'!$B$7,'Replacement plan'!$AH$30)),0)*('Operating costs'!$B$9/'Operating costs'!$B$11+'Operating costs'!$B$10/60)*'Operating costs'!$B$19*'Operating costs'!$B$21,SUM(AP100,'Operating costs'!$B$28,'Operating costs'!$B$30,'Operating costs'!$B$32,'Operating costs'!$B$33,'Operating costs'!$B$36,'Operating costs'!$B$38,'Replacement plan'!$Y$30)+'Operating costs'!$B$41*'Operating costs'!$B$43+W100*'Operating costs'!$B$15+(T100*X100/'Replacement plan'!$L$30+W100*('Operating costs'!$B$12/'Operating costs'!$B$11+('Operating costs'!$B$13+'Operating costs'!$B$14)/60)+(R100-'Operating costs'!$B$41)*(IF(T100&lt;1,'Operating costs'!$B$16,0)+'Operating costs'!$B$17)/60)*'Operating costs'!$B$19*'Operating costs'!$B$20),"n.a."))</f>
        <v>0</v>
      </c>
      <c r="N100" s="16">
        <f>IF(AND(C100=1,D100="EV",E100&lt;120,E100+'Replacement plan'!$AA$30&lt;=120),'Replacement plan'!$Z$30,0)</f>
        <v>0</v>
      </c>
      <c r="O100" s="1">
        <f>E100+'Replacement plan'!$AA$30</f>
        <v>0</v>
      </c>
      <c r="P100" s="35" t="str">
        <f>IFERROR(IF(C100=0,"Excluded",IF(OR(COUNTIFS('Fleet register'!$A$7:$A$106,A100)&lt;&gt;1,COUNTIFS('Replacement plan'!$A$7:$A$106,A100)&lt;&gt;1),"Duplicate/missing ID",IF(NOT(AND(ISNUMBER(VLOOKUP($A100,'Fleet register'!$A$7:$S$106,5,FALSE)),ISNUMBER(VLOOKUP($A100,'Fleet register'!$A$7:$S$106,6,FALSE)),ISNUMBER(VLOOKUP($A100,'Fleet register'!$A$7:$S$106,10,FALSE)),ISNUMBER(VLOOKUP($A100,'Fleet register'!$A$7:$S$106,11,FALSE)),ISNUMBER(VLOOKUP($A100,'Fleet register'!$A$7:$S$106,12,FALSE)),ISNUMBER(VLOOKUP($A100,'Fleet register'!$A$7:$S$106,13,FALSE)),ISNUMBER(VLOOKUP($A100,'Fleet register'!$A$7:$S$106,14,FALSE)),VLOOKUP($A100,'Fleet register'!$A$7:$S$106,14,FALSE)&gt;0,ISNUMBER('Replacement plan'!$C$30),OR(E100=120,OR(ISNUMBER('Replacement plan'!$AI$30),AND('Replacement plan'!$AI$30="",ISNUMBER('Operating costs'!$B$56)))),ISNUMBER(E100))),"Missing vehicle input",IF(OR(E100&lt;0,E100&gt;VLOOKUP($A100,'Fleet register'!$A$7:$S$106,10,FALSE),E100&gt;120,E100&lt;&gt;INT(E100),VLOOKUP($A100,'Fleet register'!$A$7:$S$106,6,FALSE)&lt;=0,VLOOKUP($A100,'Fleet register'!$A$7:$S$106,6,FALSE)&gt;366,VLOOKUP($A100,'Fleet register'!$A$7:$S$106,5,FALSE)&lt;0,VLOOKUP($A100,'Fleet register'!$A$7:$S$106,11,FALSE)&lt;0,I100&lt;0,'Operating costs'!$B$8&lt;='Operating costs'!$B$7*'Operating costs'!$B$9,'Operating costs'!$B$11&lt;=0,'Operating costs'!$B$39&gt;R100,'Operating costs'!$B$40&gt;R100,'Operating costs'!$B$41&gt;R100,NOT(OR("New ICE"="Keep ICE","New ICE"="New ICE","New ICE"="EV"))),"Invalid vehicle input",IF(AND(D100="EV",E100&lt;120,OR(NOT(ISNUMBER(U100)),NOT(ISNUMBER(V100)),V100&lt;=0,T100&lt;0,T100&gt;1,'Replacement plan'!$L$30&lt;=0,'Operating costs'!$B$44&lt;0,'Operating costs'!$B$44&gt;=1,'Operating costs'!$B$47&lt;=0,'Operating costs'!$B$47&gt;1,V100*'Operating costs'!$B$47/(1-'Operating costs'!$B$44)&lt;=T100*'Operating costs'!$B$12*U100,AND('Replacement plan'!$Z$30&gt;0,OR('Replacement plan'!$AB$30&lt;&gt;"Yes",'Operating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charging'!$B$8&gt;=0))),ISNUMBER(VLOOKUP($A100,'Fleet register'!$A$7:$S$106,15,FALSE)),ISNUMBER(VLOOKUP($A100,'Fleet register'!$A$7:$S$106,16,FALSE)),ISNUMBER('Replacement plan'!$W$30),ISNUMBER('Replacement plan'!$X$30),OR(E100=120,AND(ISNUMBER(G100),G100&gt;=0)),ISNUMBER(H100),H100&gt;=0,OR(D100&lt;&gt;"EV",E100=120,AND(ISNUMBER('Operating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average",ISNUMBER(IFERROR(INDEX(Products!$P$7:$P$13,MATCH(AD100,Products!$A$7:$A$13,0)),"")))),ISNUMBER('Operating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plan'!$Y$30),ISNUMBER('Replacement plan'!$Z$30),'Replacement plan'!$Z$30&gt;=0,ISNUMBER('Replacement plan'!$AA$30),'Replacement plan'!$AA$30&gt;=0,'Replacement plan'!$AA$30=INT('Replacement plan'!$AA$30),ISNUMBER('Replacement plan'!$L$30))),'Operating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plan'!$AG$30="",'Operating costs'!$B$7,'Replacement plan'!$AG$30)),IF('Replacement plan'!$AG$30="",'Operating costs'!$B$7,'Replacement plan'!$AG$30)&gt;=0,ISNUMBER(IF('Replacement plan'!$AH$30="",'Operating costs'!$B$7,'Replacement plan'!$AH$30)),IF('Replacement plan'!$AH$30="",'Operating costs'!$B$7,'Replacement plan'!$AH$30)&gt;=0,'Operating costs'!$B$8&gt;MAX(IF('Replacement plan'!$AG$30="",'Operating costs'!$B$7,'Replacement plan'!$AG$30),IF('Replacement plan'!$AH$30="",'Operating costs'!$B$7,'Replacement plan'!$AH$30))*'Operating costs'!$B$9),IF(AND(VLOOKUP($A100,'Fleet register'!$A$7:$S$106,10,FALSE)&gt;=0,VLOOKUP($A100,'Fleet register'!$A$7:$S$106,10,FALSE)&lt;=120,VLOOKUP($A100,'Fleet register'!$A$7:$S$106,10,FALSE)=INT(VLOOKUP($A100,'Fleet register'!$A$7:$S$106,10,FALSE)),VLOOKUP($A100,'Fleet register'!$A$7:$S$106,15,FALSE)&gt;=0,VLOOKUP($A100,'Fleet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costs'!$B$67)&gt;=0,OR(D100&lt;&gt;"EV",E100=120,AND(MIN('Operating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00" s="1" t="str">
        <f>IF(C100=0,"Excluded",IF(P100&lt;&gt;"Complete",P100,IF(OR('Replacement plan'!$AD$30&lt;120-E100,AND(D100="EV",E100&lt;120,OR('Replacement plan'!$AC$30&lt;120-E100,'Replacement plan'!$I$30="No",AND(ISNUMBER(AF100),AE100&gt;AF100),AI100&gt;V100*(1-'Operating costs'!$B$46)^MAX(0,AB100-1)*(1-'Operating costs'!$B$45),AC100&gt;'Operating costs'!$B$18,AND(T100&lt;1,OR(AG100&lt;=0,AND(ISNUMBER(AH100),AG100&gt;AH100))),'Replacement plan'!$L$30&gt;INDEX(Products!$H$7:$H$13,MATCH('Replacement plan'!$B$30,Products!$A$7:$A$13,0))))),"Fails entered limits",IF(AND(D100="EV",E100&lt;120,OR(NOT(ISNUMBER(VLOOKUP($A100,'Fleet register'!$A$7:$S$106,7,FALSE))),NOT(ISNUMBER(VLOOKUP($A100,'Fleet register'!$A$7:$S$106,8,FALSE))),NOT(ISNUMBER(AF100)),'Replacement plan'!$I$30&lt;&gt;"Yes",NOT(ISNUMBER(AH100)),'Operating costs'!$B$59&lt;&gt;"Yes",'Operating costs'!$B$58&lt;&gt;"Yes")),"Unverified","Within entered limits"))))</f>
        <v>Excluded</v>
      </c>
      <c r="R100" s="1">
        <f>IF(C100=0,0,VLOOKUP($A100,'Fleet register'!$A$7:$S$106,6,FALSE))</f>
        <v>0</v>
      </c>
      <c r="S100" s="1">
        <f>IF(C100=0,0,VLOOKUP($A100,'Fleet register'!$A$7:$S$106,5,FALSE))</f>
        <v>0</v>
      </c>
      <c r="T100" s="1">
        <f>IF(D100="EV",'Energy and charging'!$B$12,0)</f>
        <v>0</v>
      </c>
      <c r="U100" s="1">
        <f>IFERROR(IF(C100=0,0,IF(D100="EV",IF('Replacement plan'!$F$30="",INDEX(Products!$E$7:$E$13,MATCH('Replacement plan'!$B$30,Products!$A$7:$A$13,0)),'Replacement plan'!$F$30)/IF('Replacement plan'!$G$30="Battery",1-'Operating costs'!$B$44,1),0)),"n.a.")</f>
        <v>0</v>
      </c>
      <c r="V100" s="1">
        <f>IFERROR(IF(C100=0,0,IF(D100="EV",IF('Replacement plan'!$E$30="",INDEX(Products!$D$7:$D$13,MATCH('Replacement plan'!$B$30,Products!$A$7:$A$13,0)),'Replacement plan'!$E$30),0)),"n.a.")</f>
        <v>0</v>
      </c>
      <c r="W100" s="1">
        <f>IF(C100=0,0,IF(AND(P100="Complete",D100="EV",E100&lt;120),IF(T100=0,0,ROUNDUP(T100*(R100-'Operating costs'!$B$41)*(S100*U100+'Operating costs'!$B$48/(1-'Operating costs'!$B$44))/(V100*'Operating costs'!$B$47/(1-'Operating costs'!$B$44)-T100*'Operating costs'!$B$12*U100),0)),0))</f>
        <v>0</v>
      </c>
      <c r="X100" s="1">
        <f>IF(C100=0,0,IF(AND(P100="Complete",D100="EV",E100&lt;120),(R100-'Operating costs'!$B$41)*(S100*U100+'Operating costs'!$B$48/(1-'Operating costs'!$B$44))+W100*'Operating costs'!$B$12*U100,0))</f>
        <v>0</v>
      </c>
      <c r="Y100" s="1">
        <f>IF(AND(C100=1,D100="EV",E100&lt;120),AI100/(1-'Operating costs'!$B$44)*(1-T100),0)</f>
        <v>0</v>
      </c>
      <c r="Z100" s="1">
        <f t="shared" si="2"/>
        <v>0</v>
      </c>
      <c r="AA100" s="1">
        <f>IF(C100=0,0,IF(P100="Complete",((S100*(R100-'Operating costs'!$B$40))+ROUNDUP(S100*(R100-'Operating costs'!$B$40)*IF('Replacement plan'!$AH$30="",'Operating costs'!$B$7,'Replacement plan'!$AH$30)/('Operating costs'!$B$8-'Operating costs'!$B$9*IF('Replacement plan'!$AH$30="",'Operating costs'!$B$7,'Replacement plan'!$AH$30)),0)*'Operating costs'!$B$9)*IF('Replacement plan'!$AH$30="",'Operating costs'!$B$7,'Replacement plan'!$AH$30),"n.a."))</f>
        <v>0</v>
      </c>
      <c r="AB100" s="1">
        <f t="shared" si="3"/>
        <v>0</v>
      </c>
      <c r="AC100" s="1">
        <f>IF(AND(C100=1,D100="EV",E100&lt;120,T100&gt;0),'Operating costs'!$B$12/'Operating costs'!$B$11*60+'Operating costs'!$B$13+'Operating costs'!$B$14+V100*'Operating costs'!$B$47/(1-'Operating costs'!$B$44)/'Replacement plan'!$L$30*60,0)</f>
        <v>0</v>
      </c>
      <c r="AD100" s="1" t="str">
        <f>'Replacement plan'!$B$30</f>
        <v>ChengLong L2EV</v>
      </c>
      <c r="AE100" s="1">
        <f>IF(C100=0,0,VLOOKUP($A100,'Fleet register'!$A$7:$S$106,8,FALSE))</f>
        <v>0</v>
      </c>
      <c r="AF100" s="1" t="str">
        <f>IF('Replacement plan'!$H$30="","n.a.",'Replacement plan'!$H$30)</f>
        <v>n.a.</v>
      </c>
      <c r="AG100" s="1">
        <f>'Replacement plan'!$J$30</f>
        <v>22</v>
      </c>
      <c r="AH100" s="1">
        <f>IFERROR(IF(D100="EV",IF('Replacement plan'!$K$30="AC",IF(ISNUMBER(INDEX(Products!$G$7:$G$13,MATCH('Replacement plan'!$B$30,Products!$A$7:$A$13,0))),INDEX(Products!$G$7:$G$13,MATCH('Replacement plan'!$B$30,Products!$A$7:$A$13,0)),"n.a."),IF(ISNUMBER(INDEX(Products!$H$7:$H$13,MATCH('Replacement plan'!$B$30,Products!$A$7:$A$13,0))),INDEX(Products!$H$7:$H$13,MATCH('Replacement plan'!$B$30,Products!$A$7:$A$13,0)),"n.a.")),0),"n.a.")</f>
        <v>0</v>
      </c>
      <c r="AI100" s="1">
        <f>IF(AND(C100=1,D100="EV",E100&lt;120),(VLOOKUP($A100,'Fleet register'!$A$7:$S$106,7,FALSE)+IF(T100&gt;0,'Operating costs'!$B$12,0))*U100*(1-'Operating costs'!$B$44)+'Operating costs'!$B$49,0)</f>
        <v>0</v>
      </c>
      <c r="AJ100" s="1">
        <f>IF(D100="EV",'Energy and charging'!$B$50,0)</f>
        <v>0</v>
      </c>
      <c r="AK100" s="17">
        <f>EDATE('Operating costs'!$B$63,E100)</f>
        <v>46298</v>
      </c>
      <c r="AL100" s="1">
        <f>IFERROR(IF(D100="EV",INDEX(Products!$B$7:$B$13,MATCH('Replacement plan'!$B$30,Products!$A$7:$A$13,0)),0),"n.a.")</f>
        <v>0</v>
      </c>
      <c r="AM100" s="1" t="str">
        <f>'Replacement plan'!$K$30</f>
        <v>DC</v>
      </c>
      <c r="AN100" s="1" t="str">
        <f>'Replacement plan'!$AE$30</f>
        <v>Assumed</v>
      </c>
      <c r="AO100" s="47">
        <f>IF(AND(C100=1,D100="EV",E100&lt;120),(R100-'Operating costs'!$B$41)*S100+W100*'Operating costs'!$B$12,0)</f>
        <v>0</v>
      </c>
      <c r="AP100" s="41">
        <f>IF(AND(C100=1,D100="EV",E100&lt;120),IF('Operating costs'!$B$68="Hong Seh 200k average",AO100*IFERROR(INDEX(Products!$P$7:$P$13,MATCH(AD100,Products!$A$7:$A$13,0)),"n.a."),'Operating costs'!$B$26),0)</f>
        <v>0</v>
      </c>
      <c r="AQ100" s="40" t="str">
        <f>IF(D100="EV",'Operating costs'!$B$68,"Not applicable")</f>
        <v>Not applicable</v>
      </c>
    </row>
    <row r="101" spans="1:43" ht="24" customHeight="1">
      <c r="A101" s="1" t="str">
        <f>'Replacement plan'!A30</f>
        <v>T024</v>
      </c>
      <c r="B101" s="1">
        <v>2</v>
      </c>
      <c r="C101" s="1">
        <f>IF(COUNTIFS('Fleet register'!$A$7:$A$106,$A101)=1,VLOOKUP($A101,'Fleet register'!$A$7:$S$106,2,FALSE),0)</f>
        <v>0</v>
      </c>
      <c r="D101" s="1" t="str">
        <f>IF('Replacement plan'!$O$30="EV","EV","ICE")</f>
        <v>ICE</v>
      </c>
      <c r="E101" s="1">
        <f>IF(C101=0,0,IF('Replacement plan'!$P$30="",IF('Replacement plan'!$O$30="Keep ICE",IF('Replacement plan'!$M$30="",VLOOKUP($A101,'Fleet register'!$A$7:$S$106,10,FALSE),'Replacement plan'!$M$30),0),'Replacement plan'!$P$30))</f>
        <v>0</v>
      </c>
      <c r="F101" s="16">
        <f>IF(C101=0,0,VLOOKUP($A101,'Fleet register'!$A$7:$S$106,11,FALSE))</f>
        <v>0</v>
      </c>
      <c r="G101" s="16">
        <f>IFERROR(IF(C101=0,0,IF(E101=120,0,IF(D101="ICE",'Replacement plan'!$C$30,IF('Replacement plan'!$D$30="",INDEX(Products!$I$7:$I$13,MATCH('Replacement plan'!$B$30,Products!$A$7:$A$13,0))+'Operating costs'!$B$57,'Replacement plan'!$D$30))*(1+'Operating costs'!$B$50)^(E101/12))),"n.a.")</f>
        <v>0</v>
      </c>
      <c r="H101" s="16">
        <f>IFERROR(IF(C101=0,0,IF('Replacement plan'!$U$30&lt;&gt;"",'Replacement plan'!$U$30,IF(E101=0,F101,VLOOKUP($A101,'Fleet register'!$A$7:$S$106,12,FALSE)+VLOOKUP($A101,'Fleet register'!$A$7:$S$106,13,FALSE)*MAX(0,VLOOKUP($A101,'Fleet register'!$A$7:$S$106,10,FALSE)-E101)/VLOOKUP($A101,'Fleet register'!$A$7:$S$106,14,FALSE)))),"n.a.")</f>
        <v>0</v>
      </c>
      <c r="I101" s="16">
        <f>IF(C101=0,0,IF(E101=120,0,'Replacement plan'!$Q$30))</f>
        <v>0</v>
      </c>
      <c r="J101" s="16">
        <f>IF(C101=0,0,IF(P101="Complete",((S101*(R101-'Operating costs'!$B$39))+ROUNDUP(S101*(R101-'Operating costs'!$B$39)*IF('Replacement plan'!$AG$30="",'Operating costs'!$B$7,'Replacement plan'!$AG$30)/('Operating costs'!$B$8-'Operating costs'!$B$9*IF('Replacement plan'!$AG$30="",'Operating costs'!$B$7,'Replacement plan'!$AG$30)),0)*'Operating costs'!$B$9)*IF('Replacement plan'!$AG$30="",'Operating costs'!$B$7,'Replacement plan'!$AG$30)*('Energy and charging'!$B$9*'Energy and charging'!$B$7+(1-'Energy and charging'!$B$9)*'Energy and charging'!$B$8)*'Operating costs'!$B$23,"n.a."))</f>
        <v>0</v>
      </c>
      <c r="K101" s="16">
        <f>IF(C101=0,0,IF(P101="Complete",SUM('Operating costs'!$B$24,'Operating costs'!$B$27,'Operating costs'!$B$29,'Operating costs'!$B$31,'Operating costs'!$B$33,'Operating costs'!$B$34,'Operating costs'!$B$37,'Replacement plan'!$W$30)+'Operating costs'!$B$39*'Operating costs'!$B$42+ROUNDUP(S101*(R101-'Operating costs'!$B$39)*IF('Replacement plan'!$AG$30="",'Operating costs'!$B$7,'Replacement plan'!$AG$30)/('Operating costs'!$B$8-'Operating costs'!$B$9*IF('Replacement plan'!$AG$30="",'Operating costs'!$B$7,'Replacement plan'!$AG$30)),0)*('Operating costs'!$B$9/'Operating costs'!$B$11+'Operating costs'!$B$10/60)*'Operating costs'!$B$19*'Operating costs'!$B$21,"n.a."))</f>
        <v>0</v>
      </c>
      <c r="L101" s="16">
        <f>IF(C101=0,0,IF(P101="Complete",IF(D101="EV",X101*((1-T101)*'Energy and charging'!$B$10+T101*'Energy and charging'!$B$11)*'Operating costs'!$B$22,AA101*('Energy and charging'!$B$9*'Energy and charging'!$B$7+(1-'Energy and charging'!$B$9)*'Energy and charging'!$B$8)*'Operating costs'!$B$23),"n.a."))</f>
        <v>0</v>
      </c>
      <c r="M101" s="37">
        <f>IF(C101=0,0,IF(P101="Complete",IF(D101="ICE",SUM('Operating costs'!$B$25,'Operating costs'!$B$27,'Operating costs'!$B$29,'Operating costs'!$B$31,'Operating costs'!$B$33,'Operating costs'!$B$35,'Operating costs'!$B$37,'Replacement plan'!$X$30)+'Operating costs'!$B$40*'Operating costs'!$B$42+ROUNDUP(S101*(R101-'Operating costs'!$B$40)*IF('Replacement plan'!$AH$30="",'Operating costs'!$B$7,'Replacement plan'!$AH$30)/('Operating costs'!$B$8-'Operating costs'!$B$9*IF('Replacement plan'!$AH$30="",'Operating costs'!$B$7,'Replacement plan'!$AH$30)),0)*('Operating costs'!$B$9/'Operating costs'!$B$11+'Operating costs'!$B$10/60)*'Operating costs'!$B$19*'Operating costs'!$B$21,SUM(AP101,'Operating costs'!$B$28,'Operating costs'!$B$30,'Operating costs'!$B$32,'Operating costs'!$B$33,'Operating costs'!$B$36,'Operating costs'!$B$38,'Replacement plan'!$Y$30)+'Operating costs'!$B$41*'Operating costs'!$B$43+W101*'Operating costs'!$B$15+(T101*X101/'Replacement plan'!$L$30+W101*('Operating costs'!$B$12/'Operating costs'!$B$11+('Operating costs'!$B$13+'Operating costs'!$B$14)/60)+(R101-'Operating costs'!$B$41)*(IF(T101&lt;1,'Operating costs'!$B$16,0)+'Operating costs'!$B$17)/60)*'Operating costs'!$B$19*'Operating costs'!$B$20),"n.a."))</f>
        <v>0</v>
      </c>
      <c r="N101" s="16">
        <f>IF(AND(C101=1,D101="EV",E101&lt;120,E101+'Replacement plan'!$AA$30&lt;=120),'Replacement plan'!$Z$30,0)</f>
        <v>0</v>
      </c>
      <c r="O101" s="1">
        <f>E101+'Replacement plan'!$AA$30</f>
        <v>0</v>
      </c>
      <c r="P101" s="35" t="str">
        <f>IFERROR(IF(C101=0,"Excluded",IF(OR(COUNTIFS('Fleet register'!$A$7:$A$106,A101)&lt;&gt;1,COUNTIFS('Replacement plan'!$A$7:$A$106,A101)&lt;&gt;1),"Duplicate/missing ID",IF(NOT(AND(ISNUMBER(VLOOKUP($A101,'Fleet register'!$A$7:$S$106,5,FALSE)),ISNUMBER(VLOOKUP($A101,'Fleet register'!$A$7:$S$106,6,FALSE)),ISNUMBER(VLOOKUP($A101,'Fleet register'!$A$7:$S$106,10,FALSE)),ISNUMBER(VLOOKUP($A101,'Fleet register'!$A$7:$S$106,11,FALSE)),ISNUMBER(VLOOKUP($A101,'Fleet register'!$A$7:$S$106,12,FALSE)),ISNUMBER(VLOOKUP($A101,'Fleet register'!$A$7:$S$106,13,FALSE)),ISNUMBER(VLOOKUP($A101,'Fleet register'!$A$7:$S$106,14,FALSE)),VLOOKUP($A101,'Fleet register'!$A$7:$S$106,14,FALSE)&gt;0,ISNUMBER('Replacement plan'!$C$30),OR(E101=120,ISNUMBER('Replacement plan'!$Q$30)),ISNUMBER(E101))),"Missing vehicle input",IF(OR(E101&lt;0,E101&gt;VLOOKUP($A101,'Fleet register'!$A$7:$S$106,10,FALSE),E101&gt;120,E101&lt;&gt;INT(E101),VLOOKUP($A101,'Fleet register'!$A$7:$S$106,6,FALSE)&lt;=0,VLOOKUP($A101,'Fleet register'!$A$7:$S$106,6,FALSE)&gt;366,VLOOKUP($A101,'Fleet register'!$A$7:$S$106,5,FALSE)&lt;0,VLOOKUP($A101,'Fleet register'!$A$7:$S$106,11,FALSE)&lt;0,I101&lt;0,'Operating costs'!$B$8&lt;='Operating costs'!$B$7*'Operating costs'!$B$9,'Operating costs'!$B$11&lt;=0,'Operating costs'!$B$39&gt;R101,'Operating costs'!$B$40&gt;R101,'Operating costs'!$B$41&gt;R101,NOT(OR('Replacement plan'!$O$30="Keep ICE",'Replacement plan'!$O$30="New ICE",'Replacement plan'!$O$30="EV"))),"Invalid vehicle input",IF(AND(D101="EV",E101&lt;120,OR(NOT(ISNUMBER(U101)),NOT(ISNUMBER(V101)),V101&lt;=0,T101&lt;0,T101&gt;1,'Replacement plan'!$L$30&lt;=0,'Operating costs'!$B$44&lt;0,'Operating costs'!$B$44&gt;=1,'Operating costs'!$B$47&lt;=0,'Operating costs'!$B$47&gt;1,V101*'Operating costs'!$B$47/(1-'Operating costs'!$B$44)&lt;=T101*'Operating costs'!$B$12*U101,AND('Replacement plan'!$Z$30&gt;0,OR('Replacement plan'!$AB$30&lt;&gt;"Yes",'Operating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charging'!$B$8&gt;=0))),ISNUMBER(VLOOKUP($A101,'Fleet register'!$A$7:$S$106,15,FALSE)),ISNUMBER(VLOOKUP($A101,'Fleet register'!$A$7:$S$106,16,FALSE)),ISNUMBER('Replacement plan'!$W$30),ISNUMBER('Replacement plan'!$X$30),OR(E101=120,AND(ISNUMBER(G101),G101&gt;=0)),ISNUMBER(H101),H101&gt;=0,OR(D101&lt;&gt;"EV",E101=120,AND(ISNUMBER('Operating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average",ISNUMBER(IFERROR(INDEX(Products!$P$7:$P$13,MATCH(AD101,Products!$A$7:$A$13,0)),"")))),ISNUMBER('Operating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plan'!$Y$30),ISNUMBER('Replacement plan'!$Z$30),'Replacement plan'!$Z$30&gt;=0,ISNUMBER('Replacement plan'!$AA$30),'Replacement plan'!$AA$30&gt;=0,'Replacement plan'!$AA$30=INT('Replacement plan'!$AA$30),ISNUMBER('Replacement plan'!$L$30))),'Operating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plan'!$AG$30="",'Operating costs'!$B$7,'Replacement plan'!$AG$30)),IF('Replacement plan'!$AG$30="",'Operating costs'!$B$7,'Replacement plan'!$AG$30)&gt;=0,ISNUMBER(IF('Replacement plan'!$AH$30="",'Operating costs'!$B$7,'Replacement plan'!$AH$30)),IF('Replacement plan'!$AH$30="",'Operating costs'!$B$7,'Replacement plan'!$AH$30)&gt;=0,'Operating costs'!$B$8&gt;MAX(IF('Replacement plan'!$AG$30="",'Operating costs'!$B$7,'Replacement plan'!$AG$30),IF('Replacement plan'!$AH$30="",'Operating costs'!$B$7,'Replacement plan'!$AH$30))*'Operating costs'!$B$9),IF(AND(VLOOKUP($A101,'Fleet register'!$A$7:$S$106,10,FALSE)&gt;=0,VLOOKUP($A101,'Fleet register'!$A$7:$S$106,10,FALSE)&lt;=120,VLOOKUP($A101,'Fleet register'!$A$7:$S$106,10,FALSE)=INT(VLOOKUP($A101,'Fleet register'!$A$7:$S$106,10,FALSE)),VLOOKUP($A101,'Fleet register'!$A$7:$S$106,15,FALSE)&gt;=0,VLOOKUP($A101,'Fleet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costs'!$B$67)&gt;=0,OR(D101&lt;&gt;"EV",E101=120,AND(MIN('Operating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01" s="1" t="str">
        <f>IF(C101=0,"Excluded",IF(P101&lt;&gt;"Complete",P101,IF(OR('Replacement plan'!$AD$30&lt;120-E101,AND(D101="EV",E101&lt;120,OR('Replacement plan'!$AC$30&lt;120-E101,'Replacement plan'!$I$30="No",AND(ISNUMBER(AF101),AE101&gt;AF101),AI101&gt;V101*(1-'Operating costs'!$B$46)^MAX(0,AB101-1)*(1-'Operating costs'!$B$45),AC101&gt;'Operating costs'!$B$18,AND(T101&lt;1,OR(AG101&lt;=0,AND(ISNUMBER(AH101),AG101&gt;AH101))),'Replacement plan'!$L$30&gt;INDEX(Products!$H$7:$H$13,MATCH('Replacement plan'!$B$30,Products!$A$7:$A$13,0))))),"Fails entered limits",IF(AND(D101="EV",E101&lt;120,OR(NOT(ISNUMBER(VLOOKUP($A101,'Fleet register'!$A$7:$S$106,7,FALSE))),NOT(ISNUMBER(VLOOKUP($A101,'Fleet register'!$A$7:$S$106,8,FALSE))),NOT(ISNUMBER(AF101)),'Replacement plan'!$I$30&lt;&gt;"Yes",NOT(ISNUMBER(AH101)),'Operating costs'!$B$59&lt;&gt;"Yes",'Operating costs'!$B$58&lt;&gt;"Yes")),"Unverified","Within entered limits"))))</f>
        <v>Excluded</v>
      </c>
      <c r="R101" s="1">
        <f>IF(C101=0,0,VLOOKUP($A101,'Fleet register'!$A$7:$S$106,6,FALSE))</f>
        <v>0</v>
      </c>
      <c r="S101" s="1">
        <f>IF(C101=0,0,VLOOKUP($A101,'Fleet register'!$A$7:$S$106,5,FALSE))</f>
        <v>0</v>
      </c>
      <c r="T101" s="1">
        <f>IF(D101="EV",'Energy and charging'!$B$12,0)</f>
        <v>0</v>
      </c>
      <c r="U101" s="1">
        <f>IFERROR(IF(C101=0,0,IF(D101="EV",IF('Replacement plan'!$F$30="",INDEX(Products!$E$7:$E$13,MATCH('Replacement plan'!$B$30,Products!$A$7:$A$13,0)),'Replacement plan'!$F$30)/IF('Replacement plan'!$G$30="Battery",1-'Operating costs'!$B$44,1),0)),"n.a.")</f>
        <v>0</v>
      </c>
      <c r="V101" s="1">
        <f>IFERROR(IF(C101=0,0,IF(D101="EV",IF('Replacement plan'!$E$30="",INDEX(Products!$D$7:$D$13,MATCH('Replacement plan'!$B$30,Products!$A$7:$A$13,0)),'Replacement plan'!$E$30),0)),"n.a.")</f>
        <v>0</v>
      </c>
      <c r="W101" s="1">
        <f>IF(C101=0,0,IF(AND(P101="Complete",D101="EV",E101&lt;120),IF(T101=0,0,ROUNDUP(T101*(R101-'Operating costs'!$B$41)*(S101*U101+'Operating costs'!$B$48/(1-'Operating costs'!$B$44))/(V101*'Operating costs'!$B$47/(1-'Operating costs'!$B$44)-T101*'Operating costs'!$B$12*U101),0)),0))</f>
        <v>0</v>
      </c>
      <c r="X101" s="1">
        <f>IF(C101=0,0,IF(AND(P101="Complete",D101="EV",E101&lt;120),(R101-'Operating costs'!$B$41)*(S101*U101+'Operating costs'!$B$48/(1-'Operating costs'!$B$44))+W101*'Operating costs'!$B$12*U101,0))</f>
        <v>0</v>
      </c>
      <c r="Y101" s="1">
        <f>IF(AND(C101=1,D101="EV",E101&lt;120),AI101/(1-'Operating costs'!$B$44)*(1-T101),0)</f>
        <v>0</v>
      </c>
      <c r="Z101" s="1">
        <f t="shared" si="2"/>
        <v>0</v>
      </c>
      <c r="AA101" s="1">
        <f>IF(C101=0,0,IF(P101="Complete",((S101*(R101-'Operating costs'!$B$40))+ROUNDUP(S101*(R101-'Operating costs'!$B$40)*IF('Replacement plan'!$AH$30="",'Operating costs'!$B$7,'Replacement plan'!$AH$30)/('Operating costs'!$B$8-'Operating costs'!$B$9*IF('Replacement plan'!$AH$30="",'Operating costs'!$B$7,'Replacement plan'!$AH$30)),0)*'Operating costs'!$B$9)*IF('Replacement plan'!$AH$30="",'Operating costs'!$B$7,'Replacement plan'!$AH$30),"n.a."))</f>
        <v>0</v>
      </c>
      <c r="AB101" s="1">
        <f t="shared" si="3"/>
        <v>0</v>
      </c>
      <c r="AC101" s="1">
        <f>IF(AND(C101=1,D101="EV",E101&lt;120,T101&gt;0),'Operating costs'!$B$12/'Operating costs'!$B$11*60+'Operating costs'!$B$13+'Operating costs'!$B$14+V101*'Operating costs'!$B$47/(1-'Operating costs'!$B$44)/'Replacement plan'!$L$30*60,0)</f>
        <v>0</v>
      </c>
      <c r="AD101" s="1" t="str">
        <f>'Replacement plan'!$B$30</f>
        <v>ChengLong L2EV</v>
      </c>
      <c r="AE101" s="1">
        <f>IF(C101=0,0,VLOOKUP($A101,'Fleet register'!$A$7:$S$106,8,FALSE))</f>
        <v>0</v>
      </c>
      <c r="AF101" s="1" t="str">
        <f>IF('Replacement plan'!$H$30="","n.a.",'Replacement plan'!$H$30)</f>
        <v>n.a.</v>
      </c>
      <c r="AG101" s="1">
        <f>'Replacement plan'!$J$30</f>
        <v>22</v>
      </c>
      <c r="AH101" s="1">
        <f>IFERROR(IF(D101="EV",IF('Replacement plan'!$K$30="AC",IF(ISNUMBER(INDEX(Products!$G$7:$G$13,MATCH('Replacement plan'!$B$30,Products!$A$7:$A$13,0))),INDEX(Products!$G$7:$G$13,MATCH('Replacement plan'!$B$30,Products!$A$7:$A$13,0)),"n.a."),IF(ISNUMBER(INDEX(Products!$H$7:$H$13,MATCH('Replacement plan'!$B$30,Products!$A$7:$A$13,0))),INDEX(Products!$H$7:$H$13,MATCH('Replacement plan'!$B$30,Products!$A$7:$A$13,0)),"n.a.")),0),"n.a.")</f>
        <v>0</v>
      </c>
      <c r="AI101" s="1">
        <f>IF(AND(C101=1,D101="EV",E101&lt;120),(VLOOKUP($A101,'Fleet register'!$A$7:$S$106,7,FALSE)+IF(T101&gt;0,'Operating costs'!$B$12,0))*U101*(1-'Operating costs'!$B$44)+'Operating costs'!$B$49,0)</f>
        <v>0</v>
      </c>
      <c r="AJ101" s="1">
        <f>IF(D101="EV",'Energy and charging'!$B$50,0)</f>
        <v>0</v>
      </c>
      <c r="AK101" s="17">
        <f>EDATE('Operating costs'!$B$63,E101)</f>
        <v>46298</v>
      </c>
      <c r="AL101" s="1">
        <f>IFERROR(IF(D101="EV",INDEX(Products!$B$7:$B$13,MATCH('Replacement plan'!$B$30,Products!$A$7:$A$13,0)),0),"n.a.")</f>
        <v>0</v>
      </c>
      <c r="AM101" s="1" t="str">
        <f>'Replacement plan'!$K$30</f>
        <v>DC</v>
      </c>
      <c r="AN101" s="1" t="str">
        <f>'Replacement plan'!$AE$30</f>
        <v>Assumed</v>
      </c>
      <c r="AO101" s="47">
        <f>IF(AND(C101=1,D101="EV",E101&lt;120),(R101-'Operating costs'!$B$41)*S101+W101*'Operating costs'!$B$12,0)</f>
        <v>0</v>
      </c>
      <c r="AP101" s="41">
        <f>IF(AND(C101=1,D101="EV",E101&lt;120),IF('Operating costs'!$B$68="Hong Seh 200k average",AO101*IFERROR(INDEX(Products!$P$7:$P$13,MATCH(AD101,Products!$A$7:$A$13,0)),"n.a."),'Operating costs'!$B$26),0)</f>
        <v>0</v>
      </c>
      <c r="AQ101" s="40" t="str">
        <f>IF(D101="EV",'Operating costs'!$B$68,"Not applicable")</f>
        <v>Not applicable</v>
      </c>
    </row>
    <row r="102" spans="1:43" ht="24" customHeight="1">
      <c r="A102" s="1" t="str">
        <f>'Replacement plan'!A30</f>
        <v>T024</v>
      </c>
      <c r="B102" s="1">
        <v>3</v>
      </c>
      <c r="C102" s="1">
        <f>IF(COUNTIFS('Fleet register'!$A$7:$A$106,$A102)=1,VLOOKUP($A102,'Fleet register'!$A$7:$S$106,2,FALSE),0)</f>
        <v>0</v>
      </c>
      <c r="D102" s="1" t="str">
        <f>IF('Replacement plan'!$R$30="EV","EV","ICE")</f>
        <v>ICE</v>
      </c>
      <c r="E102" s="1">
        <f>IF(C102=0,0,IF('Replacement plan'!$S$30="",IF('Replacement plan'!$R$30="Keep ICE",IF('Replacement plan'!$M$30="",VLOOKUP($A102,'Fleet register'!$A$7:$S$106,10,FALSE),'Replacement plan'!$M$30),0),'Replacement plan'!$S$30))</f>
        <v>0</v>
      </c>
      <c r="F102" s="16">
        <f>IF(C102=0,0,VLOOKUP($A102,'Fleet register'!$A$7:$S$106,11,FALSE))</f>
        <v>0</v>
      </c>
      <c r="G102" s="16">
        <f>IFERROR(IF(C102=0,0,IF(E102=120,0,IF(D102="ICE",'Replacement plan'!$C$30,IF('Replacement plan'!$D$30="",INDEX(Products!$I$7:$I$13,MATCH('Replacement plan'!$B$30,Products!$A$7:$A$13,0))+'Operating costs'!$B$57,'Replacement plan'!$D$30))*(1+'Operating costs'!$B$50)^(E102/12))),"n.a.")</f>
        <v>0</v>
      </c>
      <c r="H102" s="16">
        <f>IFERROR(IF(C102=0,0,IF('Replacement plan'!$V$30&lt;&gt;"",'Replacement plan'!$V$30,IF(E102=0,F102,VLOOKUP($A102,'Fleet register'!$A$7:$S$106,12,FALSE)+VLOOKUP($A102,'Fleet register'!$A$7:$S$106,13,FALSE)*MAX(0,VLOOKUP($A102,'Fleet register'!$A$7:$S$106,10,FALSE)-E102)/VLOOKUP($A102,'Fleet register'!$A$7:$S$106,14,FALSE)))),"n.a.")</f>
        <v>0</v>
      </c>
      <c r="I102" s="16">
        <f>IF(C102=0,0,IF(E102=120,0,'Replacement plan'!$T$30))</f>
        <v>0</v>
      </c>
      <c r="J102" s="16">
        <f>IF(C102=0,0,IF(P102="Complete",((S102*(R102-'Operating costs'!$B$39))+ROUNDUP(S102*(R102-'Operating costs'!$B$39)*IF('Replacement plan'!$AG$30="",'Operating costs'!$B$7,'Replacement plan'!$AG$30)/('Operating costs'!$B$8-'Operating costs'!$B$9*IF('Replacement plan'!$AG$30="",'Operating costs'!$B$7,'Replacement plan'!$AG$30)),0)*'Operating costs'!$B$9)*IF('Replacement plan'!$AG$30="",'Operating costs'!$B$7,'Replacement plan'!$AG$30)*('Energy and charging'!$C$9*'Energy and charging'!$C$7+(1-'Energy and charging'!$C$9)*'Energy and charging'!$C$8)*'Operating costs'!$B$23,"n.a."))</f>
        <v>0</v>
      </c>
      <c r="K102" s="16">
        <f>IF(C102=0,0,IF(P102="Complete",SUM('Operating costs'!$B$24,'Operating costs'!$B$27,'Operating costs'!$B$29,'Operating costs'!$B$31,'Operating costs'!$B$33,'Operating costs'!$B$34,'Operating costs'!$B$37,'Replacement plan'!$W$30)+'Operating costs'!$B$39*'Operating costs'!$B$42+ROUNDUP(S102*(R102-'Operating costs'!$B$39)*IF('Replacement plan'!$AG$30="",'Operating costs'!$B$7,'Replacement plan'!$AG$30)/('Operating costs'!$B$8-'Operating costs'!$B$9*IF('Replacement plan'!$AG$30="",'Operating costs'!$B$7,'Replacement plan'!$AG$30)),0)*('Operating costs'!$B$9/'Operating costs'!$B$11+'Operating costs'!$B$10/60)*'Operating costs'!$B$19*'Operating costs'!$B$21,"n.a."))</f>
        <v>0</v>
      </c>
      <c r="L102" s="16">
        <f>IF(C102=0,0,IF(P102="Complete",IF(D102="EV",X102*((1-T102)*'Energy and charging'!$C$10+T102*'Energy and charging'!$C$11)*'Operating costs'!$B$22,AA102*('Energy and charging'!$C$9*'Energy and charging'!$C$7+(1-'Energy and charging'!$C$9)*'Energy and charging'!$C$8)*'Operating costs'!$B$23),"n.a."))</f>
        <v>0</v>
      </c>
      <c r="M102" s="37">
        <f>IF(C102=0,0,IF(P102="Complete",IF(D102="ICE",SUM('Operating costs'!$B$25,'Operating costs'!$B$27,'Operating costs'!$B$29,'Operating costs'!$B$31,'Operating costs'!$B$33,'Operating costs'!$B$35,'Operating costs'!$B$37,'Replacement plan'!$X$30)+'Operating costs'!$B$40*'Operating costs'!$B$42+ROUNDUP(S102*(R102-'Operating costs'!$B$40)*IF('Replacement plan'!$AH$30="",'Operating costs'!$B$7,'Replacement plan'!$AH$30)/('Operating costs'!$B$8-'Operating costs'!$B$9*IF('Replacement plan'!$AH$30="",'Operating costs'!$B$7,'Replacement plan'!$AH$30)),0)*('Operating costs'!$B$9/'Operating costs'!$B$11+'Operating costs'!$B$10/60)*'Operating costs'!$B$19*'Operating costs'!$B$21,SUM(AP102,'Operating costs'!$B$28,'Operating costs'!$B$30,'Operating costs'!$B$32,'Operating costs'!$B$33,'Operating costs'!$B$36,'Operating costs'!$B$38,'Replacement plan'!$Y$30)+'Operating costs'!$B$41*'Operating costs'!$B$43+W102*'Operating costs'!$B$15+(T102*X102/'Replacement plan'!$L$30+W102*('Operating costs'!$B$12/'Operating costs'!$B$11+('Operating costs'!$B$13+'Operating costs'!$B$14)/60)+(R102-'Operating costs'!$B$41)*(IF(T102&lt;1,'Operating costs'!$B$16,0)+'Operating costs'!$B$17)/60)*'Operating costs'!$B$19*'Operating costs'!$B$20),"n.a."))</f>
        <v>0</v>
      </c>
      <c r="N102" s="16">
        <f>IF(AND(C102=1,D102="EV",E102&lt;120,E102+'Replacement plan'!$AA$30&lt;=120),'Replacement plan'!$Z$30,0)</f>
        <v>0</v>
      </c>
      <c r="O102" s="1">
        <f>E102+'Replacement plan'!$AA$30</f>
        <v>0</v>
      </c>
      <c r="P102" s="35" t="str">
        <f>IFERROR(IF(C102=0,"Excluded",IF(OR(COUNTIFS('Fleet register'!$A$7:$A$106,A102)&lt;&gt;1,COUNTIFS('Replacement plan'!$A$7:$A$106,A102)&lt;&gt;1),"Duplicate/missing ID",IF(NOT(AND(ISNUMBER(VLOOKUP($A102,'Fleet register'!$A$7:$S$106,5,FALSE)),ISNUMBER(VLOOKUP($A102,'Fleet register'!$A$7:$S$106,6,FALSE)),ISNUMBER(VLOOKUP($A102,'Fleet register'!$A$7:$S$106,10,FALSE)),ISNUMBER(VLOOKUP($A102,'Fleet register'!$A$7:$S$106,11,FALSE)),ISNUMBER(VLOOKUP($A102,'Fleet register'!$A$7:$S$106,12,FALSE)),ISNUMBER(VLOOKUP($A102,'Fleet register'!$A$7:$S$106,13,FALSE)),ISNUMBER(VLOOKUP($A102,'Fleet register'!$A$7:$S$106,14,FALSE)),VLOOKUP($A102,'Fleet register'!$A$7:$S$106,14,FALSE)&gt;0,ISNUMBER('Replacement plan'!$C$30),OR(E102=120,ISNUMBER('Replacement plan'!$T$30)),ISNUMBER(E102))),"Missing vehicle input",IF(OR(E102&lt;0,E102&gt;VLOOKUP($A102,'Fleet register'!$A$7:$S$106,10,FALSE),E102&gt;120,E102&lt;&gt;INT(E102),VLOOKUP($A102,'Fleet register'!$A$7:$S$106,6,FALSE)&lt;=0,VLOOKUP($A102,'Fleet register'!$A$7:$S$106,6,FALSE)&gt;366,VLOOKUP($A102,'Fleet register'!$A$7:$S$106,5,FALSE)&lt;0,VLOOKUP($A102,'Fleet register'!$A$7:$S$106,11,FALSE)&lt;0,I102&lt;0,'Operating costs'!$B$8&lt;='Operating costs'!$B$7*'Operating costs'!$B$9,'Operating costs'!$B$11&lt;=0,'Operating costs'!$B$39&gt;R102,'Operating costs'!$B$40&gt;R102,'Operating costs'!$B$41&gt;R102,NOT(OR('Replacement plan'!$R$30="Keep ICE",'Replacement plan'!$R$30="New ICE",'Replacement plan'!$R$30="EV"))),"Invalid vehicle input",IF(AND(D102="EV",E102&lt;120,OR(NOT(ISNUMBER(U102)),NOT(ISNUMBER(V102)),V102&lt;=0,T102&lt;0,T102&gt;1,'Replacement plan'!$L$30&lt;=0,'Operating costs'!$B$44&lt;0,'Operating costs'!$B$44&gt;=1,'Operating costs'!$B$47&lt;=0,'Operating costs'!$B$47&gt;1,V102*'Operating costs'!$B$47/(1-'Operating costs'!$B$44)&lt;=T102*'Operating costs'!$B$12*U102,AND('Replacement plan'!$Z$30&gt;0,OR('Replacement plan'!$AB$30&lt;&gt;"Yes",'Operating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charging'!$C$8&gt;=0))),ISNUMBER(VLOOKUP($A102,'Fleet register'!$A$7:$S$106,15,FALSE)),ISNUMBER(VLOOKUP($A102,'Fleet register'!$A$7:$S$106,16,FALSE)),ISNUMBER('Replacement plan'!$W$30),ISNUMBER('Replacement plan'!$X$30),OR(E102=120,AND(ISNUMBER(G102),G102&gt;=0)),ISNUMBER(H102),H102&gt;=0,OR(D102&lt;&gt;"EV",E102=120,AND(ISNUMBER('Operating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average",ISNUMBER(IFERROR(INDEX(Products!$P$7:$P$13,MATCH(AD102,Products!$A$7:$A$13,0)),"")))),ISNUMBER('Operating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plan'!$Y$30),ISNUMBER('Replacement plan'!$Z$30),'Replacement plan'!$Z$30&gt;=0,ISNUMBER('Replacement plan'!$AA$30),'Replacement plan'!$AA$30&gt;=0,'Replacement plan'!$AA$30=INT('Replacement plan'!$AA$30),ISNUMBER('Replacement plan'!$L$30))),'Operating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plan'!$AG$30="",'Operating costs'!$B$7,'Replacement plan'!$AG$30)),IF('Replacement plan'!$AG$30="",'Operating costs'!$B$7,'Replacement plan'!$AG$30)&gt;=0,ISNUMBER(IF('Replacement plan'!$AH$30="",'Operating costs'!$B$7,'Replacement plan'!$AH$30)),IF('Replacement plan'!$AH$30="",'Operating costs'!$B$7,'Replacement plan'!$AH$30)&gt;=0,'Operating costs'!$B$8&gt;MAX(IF('Replacement plan'!$AG$30="",'Operating costs'!$B$7,'Replacement plan'!$AG$30),IF('Replacement plan'!$AH$30="",'Operating costs'!$B$7,'Replacement plan'!$AH$30))*'Operating costs'!$B$9),IF(AND(VLOOKUP($A102,'Fleet register'!$A$7:$S$106,10,FALSE)&gt;=0,VLOOKUP($A102,'Fleet register'!$A$7:$S$106,10,FALSE)&lt;=120,VLOOKUP($A102,'Fleet register'!$A$7:$S$106,10,FALSE)=INT(VLOOKUP($A102,'Fleet register'!$A$7:$S$106,10,FALSE)),VLOOKUP($A102,'Fleet register'!$A$7:$S$106,15,FALSE)&gt;=0,VLOOKUP($A102,'Fleet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costs'!$B$67)&gt;=0,OR(D102&lt;&gt;"EV",E102=120,AND(MIN('Operating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02" s="1" t="str">
        <f>IF(C102=0,"Excluded",IF(P102&lt;&gt;"Complete",P102,IF(OR('Replacement plan'!$AD$30&lt;120-E102,AND(D102="EV",E102&lt;120,OR('Replacement plan'!$AC$30&lt;120-E102,'Replacement plan'!$I$30="No",AND(ISNUMBER(AF102),AE102&gt;AF102),AI102&gt;V102*(1-'Operating costs'!$B$46)^MAX(0,AB102-1)*(1-'Operating costs'!$B$45),AC102&gt;'Operating costs'!$B$18,AND(T102&lt;1,OR(AG102&lt;=0,AND(ISNUMBER(AH102),AG102&gt;AH102))),'Replacement plan'!$L$30&gt;INDEX(Products!$H$7:$H$13,MATCH('Replacement plan'!$B$30,Products!$A$7:$A$13,0))))),"Fails entered limits",IF(AND(D102="EV",E102&lt;120,OR(NOT(ISNUMBER(VLOOKUP($A102,'Fleet register'!$A$7:$S$106,7,FALSE))),NOT(ISNUMBER(VLOOKUP($A102,'Fleet register'!$A$7:$S$106,8,FALSE))),NOT(ISNUMBER(AF102)),'Replacement plan'!$I$30&lt;&gt;"Yes",NOT(ISNUMBER(AH102)),'Operating costs'!$B$59&lt;&gt;"Yes",'Operating costs'!$B$58&lt;&gt;"Yes")),"Unverified","Within entered limits"))))</f>
        <v>Excluded</v>
      </c>
      <c r="R102" s="1">
        <f>IF(C102=0,0,VLOOKUP($A102,'Fleet register'!$A$7:$S$106,6,FALSE))</f>
        <v>0</v>
      </c>
      <c r="S102" s="1">
        <f>IF(C102=0,0,VLOOKUP($A102,'Fleet register'!$A$7:$S$106,5,FALSE))</f>
        <v>0</v>
      </c>
      <c r="T102" s="1">
        <f>IF(D102="EV",'Energy and charging'!$C$12,0)</f>
        <v>0</v>
      </c>
      <c r="U102" s="1">
        <f>IFERROR(IF(C102=0,0,IF(D102="EV",IF('Replacement plan'!$F$30="",INDEX(Products!$E$7:$E$13,MATCH('Replacement plan'!$B$30,Products!$A$7:$A$13,0)),'Replacement plan'!$F$30)/IF('Replacement plan'!$G$30="Battery",1-'Operating costs'!$B$44,1),0)),"n.a.")</f>
        <v>0</v>
      </c>
      <c r="V102" s="1">
        <f>IFERROR(IF(C102=0,0,IF(D102="EV",IF('Replacement plan'!$E$30="",INDEX(Products!$D$7:$D$13,MATCH('Replacement plan'!$B$30,Products!$A$7:$A$13,0)),'Replacement plan'!$E$30),0)),"n.a.")</f>
        <v>0</v>
      </c>
      <c r="W102" s="1">
        <f>IF(C102=0,0,IF(AND(P102="Complete",D102="EV",E102&lt;120),IF(T102=0,0,ROUNDUP(T102*(R102-'Operating costs'!$B$41)*(S102*U102+'Operating costs'!$B$48/(1-'Operating costs'!$B$44))/(V102*'Operating costs'!$B$47/(1-'Operating costs'!$B$44)-T102*'Operating costs'!$B$12*U102),0)),0))</f>
        <v>0</v>
      </c>
      <c r="X102" s="1">
        <f>IF(C102=0,0,IF(AND(P102="Complete",D102="EV",E102&lt;120),(R102-'Operating costs'!$B$41)*(S102*U102+'Operating costs'!$B$48/(1-'Operating costs'!$B$44))+W102*'Operating costs'!$B$12*U102,0))</f>
        <v>0</v>
      </c>
      <c r="Y102" s="1">
        <f>IF(AND(C102=1,D102="EV",E102&lt;120),AI102/(1-'Operating costs'!$B$44)*(1-T102),0)</f>
        <v>0</v>
      </c>
      <c r="Z102" s="1">
        <f t="shared" si="2"/>
        <v>0</v>
      </c>
      <c r="AA102" s="1">
        <f>IF(C102=0,0,IF(P102="Complete",((S102*(R102-'Operating costs'!$B$40))+ROUNDUP(S102*(R102-'Operating costs'!$B$40)*IF('Replacement plan'!$AH$30="",'Operating costs'!$B$7,'Replacement plan'!$AH$30)/('Operating costs'!$B$8-'Operating costs'!$B$9*IF('Replacement plan'!$AH$30="",'Operating costs'!$B$7,'Replacement plan'!$AH$30)),0)*'Operating costs'!$B$9)*IF('Replacement plan'!$AH$30="",'Operating costs'!$B$7,'Replacement plan'!$AH$30),"n.a."))</f>
        <v>0</v>
      </c>
      <c r="AB102" s="1">
        <f t="shared" si="3"/>
        <v>0</v>
      </c>
      <c r="AC102" s="1">
        <f>IF(AND(C102=1,D102="EV",E102&lt;120,T102&gt;0),'Operating costs'!$B$12/'Operating costs'!$B$11*60+'Operating costs'!$B$13+'Operating costs'!$B$14+V102*'Operating costs'!$B$47/(1-'Operating costs'!$B$44)/'Replacement plan'!$L$30*60,0)</f>
        <v>0</v>
      </c>
      <c r="AD102" s="1" t="str">
        <f>'Replacement plan'!$B$30</f>
        <v>ChengLong L2EV</v>
      </c>
      <c r="AE102" s="1">
        <f>IF(C102=0,0,VLOOKUP($A102,'Fleet register'!$A$7:$S$106,8,FALSE))</f>
        <v>0</v>
      </c>
      <c r="AF102" s="1" t="str">
        <f>IF('Replacement plan'!$H$30="","n.a.",'Replacement plan'!$H$30)</f>
        <v>n.a.</v>
      </c>
      <c r="AG102" s="1">
        <f>'Replacement plan'!$J$30</f>
        <v>22</v>
      </c>
      <c r="AH102" s="1">
        <f>IFERROR(IF(D102="EV",IF('Replacement plan'!$K$30="AC",IF(ISNUMBER(INDEX(Products!$G$7:$G$13,MATCH('Replacement plan'!$B$30,Products!$A$7:$A$13,0))),INDEX(Products!$G$7:$G$13,MATCH('Replacement plan'!$B$30,Products!$A$7:$A$13,0)),"n.a."),IF(ISNUMBER(INDEX(Products!$H$7:$H$13,MATCH('Replacement plan'!$B$30,Products!$A$7:$A$13,0))),INDEX(Products!$H$7:$H$13,MATCH('Replacement plan'!$B$30,Products!$A$7:$A$13,0)),"n.a.")),0),"n.a.")</f>
        <v>0</v>
      </c>
      <c r="AI102" s="1">
        <f>IF(AND(C102=1,D102="EV",E102&lt;120),(VLOOKUP($A102,'Fleet register'!$A$7:$S$106,7,FALSE)+IF(T102&gt;0,'Operating costs'!$B$12,0))*U102*(1-'Operating costs'!$B$44)+'Operating costs'!$B$49,0)</f>
        <v>0</v>
      </c>
      <c r="AJ102" s="1">
        <f>IF(D102="EV",'Energy and charging'!$C$50,0)</f>
        <v>0</v>
      </c>
      <c r="AK102" s="17">
        <f>EDATE('Operating costs'!$B$63,E102)</f>
        <v>46298</v>
      </c>
      <c r="AL102" s="1">
        <f>IFERROR(IF(D102="EV",INDEX(Products!$B$7:$B$13,MATCH('Replacement plan'!$B$30,Products!$A$7:$A$13,0)),0),"n.a.")</f>
        <v>0</v>
      </c>
      <c r="AM102" s="1" t="str">
        <f>'Replacement plan'!$K$30</f>
        <v>DC</v>
      </c>
      <c r="AN102" s="1" t="str">
        <f>'Replacement plan'!$AE$30</f>
        <v>Assumed</v>
      </c>
      <c r="AO102" s="47">
        <f>IF(AND(C102=1,D102="EV",E102&lt;120),(R102-'Operating costs'!$B$41)*S102+W102*'Operating costs'!$B$12,0)</f>
        <v>0</v>
      </c>
      <c r="AP102" s="41">
        <f>IF(AND(C102=1,D102="EV",E102&lt;120),IF('Operating costs'!$B$68="Hong Seh 200k average",AO102*IFERROR(INDEX(Products!$P$7:$P$13,MATCH(AD102,Products!$A$7:$A$13,0)),"n.a."),'Operating costs'!$B$26),0)</f>
        <v>0</v>
      </c>
      <c r="AQ102" s="40" t="str">
        <f>IF(D102="EV",'Operating costs'!$B$68,"Not applicable")</f>
        <v>Not applicable</v>
      </c>
    </row>
    <row r="103" spans="1:43" ht="24" customHeight="1">
      <c r="A103" s="1" t="str">
        <f>'Replacement plan'!A31</f>
        <v>T025</v>
      </c>
      <c r="B103" s="1">
        <v>0</v>
      </c>
      <c r="C103" s="1">
        <f>IF(COUNTIFS('Fleet register'!$A$7:$A$106,$A103)=1,VLOOKUP($A103,'Fleet register'!$A$7:$S$106,2,FALSE),0)</f>
        <v>0</v>
      </c>
      <c r="D103" s="1" t="str">
        <f>IF("Keep ICE"="EV","EV","ICE")</f>
        <v>ICE</v>
      </c>
      <c r="E103" s="1">
        <f>IF(C103=0,0,IF('Replacement plan'!$M$31="",VLOOKUP($A103,'Fleet register'!$A$7:$S$106,10,FALSE),'Replacement plan'!$M$31))</f>
        <v>0</v>
      </c>
      <c r="F103" s="16">
        <f>IF(C103=0,0,VLOOKUP($A103,'Fleet register'!$A$7:$S$106,11,FALSE))</f>
        <v>0</v>
      </c>
      <c r="G103" s="16">
        <f>IFERROR(IF(C103=0,0,IF(E103=120,0,IF(D103="ICE",'Replacement plan'!$C$31,IF('Replacement plan'!$D$31="",INDEX(Products!$I$7:$I$13,MATCH('Replacement plan'!$B$31,Products!$A$7:$A$13,0))+'Operating costs'!$B$57,'Replacement plan'!$D$31))*(1+'Operating costs'!$B$50)^(E103/12))),"n.a.")</f>
        <v>0</v>
      </c>
      <c r="H103" s="16">
        <f>IFERROR(IF(C103=0,0,IF(E103=0,F103,VLOOKUP($A103,'Fleet register'!$A$7:$S$106,12,FALSE)+VLOOKUP($A103,'Fleet register'!$A$7:$S$106,13,FALSE)*MAX(0,VLOOKUP($A103,'Fleet register'!$A$7:$S$106,10,FALSE)-E103)/VLOOKUP($A103,'Fleet register'!$A$7:$S$106,14,FALSE))),"n.a.")</f>
        <v>0</v>
      </c>
      <c r="I103" s="16">
        <f>IF(C103=0,0,IF(E103=120,0,'Replacement plan'!$N$31))</f>
        <v>0</v>
      </c>
      <c r="J103" s="16">
        <f>IF(C103=0,0,IF(P103="Complete",((S103*(R103-'Operating costs'!$B$39))+ROUNDUP(S103*(R103-'Operating costs'!$B$39)*IF('Replacement plan'!$AG$31="",'Operating costs'!$B$7,'Replacement plan'!$AG$31)/('Operating costs'!$B$8-'Operating costs'!$B$9*IF('Replacement plan'!$AG$31="",'Operating costs'!$B$7,'Replacement plan'!$AG$31)),0)*'Operating costs'!$B$9)*IF('Replacement plan'!$AG$31="",'Operating costs'!$B$7,'Replacement plan'!$AG$31)*('Energy and charging'!$B$9*'Energy and charging'!$B$7+(1-'Energy and charging'!$B$9)*'Energy and charging'!$B$8)*'Operating costs'!$B$23,"n.a."))</f>
        <v>0</v>
      </c>
      <c r="K103" s="16">
        <f>IF(C103=0,0,IF(P103="Complete",SUM('Operating costs'!$B$24,'Operating costs'!$B$27,'Operating costs'!$B$29,'Operating costs'!$B$31,'Operating costs'!$B$33,'Operating costs'!$B$34,'Operating costs'!$B$37,'Replacement plan'!$W$31)+'Operating costs'!$B$39*'Operating costs'!$B$42+ROUNDUP(S103*(R103-'Operating costs'!$B$39)*IF('Replacement plan'!$AG$31="",'Operating costs'!$B$7,'Replacement plan'!$AG$31)/('Operating costs'!$B$8-'Operating costs'!$B$9*IF('Replacement plan'!$AG$31="",'Operating costs'!$B$7,'Replacement plan'!$AG$31)),0)*('Operating costs'!$B$9/'Operating costs'!$B$11+'Operating costs'!$B$10/60)*'Operating costs'!$B$19*'Operating costs'!$B$21,"n.a."))</f>
        <v>0</v>
      </c>
      <c r="L103" s="16">
        <f>IF(C103=0,0,IF(P103="Complete",IF(D103="EV",X103*((1-T103)*'Energy and charging'!$B$10+T103*'Energy and charging'!$B$11)*'Operating costs'!$B$22,AA103*('Energy and charging'!$B$9*'Energy and charging'!$B$7+(1-'Energy and charging'!$B$9)*'Energy and charging'!$B$8)*'Operating costs'!$B$23),"n.a."))</f>
        <v>0</v>
      </c>
      <c r="M103" s="37">
        <f>IF(C103=0,0,IF(P103="Complete",IF(D103="ICE",SUM('Operating costs'!$B$25,'Operating costs'!$B$27,'Operating costs'!$B$29,'Operating costs'!$B$31,'Operating costs'!$B$33,'Operating costs'!$B$35,'Operating costs'!$B$37,'Replacement plan'!$X$31)+'Operating costs'!$B$40*'Operating costs'!$B$42+ROUNDUP(S103*(R103-'Operating costs'!$B$40)*IF('Replacement plan'!$AH$31="",'Operating costs'!$B$7,'Replacement plan'!$AH$31)/('Operating costs'!$B$8-'Operating costs'!$B$9*IF('Replacement plan'!$AH$31="",'Operating costs'!$B$7,'Replacement plan'!$AH$31)),0)*('Operating costs'!$B$9/'Operating costs'!$B$11+'Operating costs'!$B$10/60)*'Operating costs'!$B$19*'Operating costs'!$B$21,SUM(AP103,'Operating costs'!$B$28,'Operating costs'!$B$30,'Operating costs'!$B$32,'Operating costs'!$B$33,'Operating costs'!$B$36,'Operating costs'!$B$38,'Replacement plan'!$Y$31)+'Operating costs'!$B$41*'Operating costs'!$B$43+W103*'Operating costs'!$B$15+(T103*X103/'Replacement plan'!$L$31+W103*('Operating costs'!$B$12/'Operating costs'!$B$11+('Operating costs'!$B$13+'Operating costs'!$B$14)/60)+(R103-'Operating costs'!$B$41)*(IF(T103&lt;1,'Operating costs'!$B$16,0)+'Operating costs'!$B$17)/60)*'Operating costs'!$B$19*'Operating costs'!$B$20),"n.a."))</f>
        <v>0</v>
      </c>
      <c r="N103" s="16">
        <f>IF(AND(C103=1,D103="EV",E103&lt;120,E103+'Replacement plan'!$AA$31&lt;=120),'Replacement plan'!$Z$31,0)</f>
        <v>0</v>
      </c>
      <c r="O103" s="1">
        <f>E103+'Replacement plan'!$AA$31</f>
        <v>0</v>
      </c>
      <c r="P103" s="35" t="str">
        <f>IFERROR(IF(C103=0,"Excluded",IF(OR(COUNTIFS('Fleet register'!$A$7:$A$106,A103)&lt;&gt;1,COUNTIFS('Replacement plan'!$A$7:$A$106,A103)&lt;&gt;1),"Duplicate/missing ID",IF(NOT(AND(ISNUMBER(VLOOKUP($A103,'Fleet register'!$A$7:$S$106,5,FALSE)),ISNUMBER(VLOOKUP($A103,'Fleet register'!$A$7:$S$106,6,FALSE)),ISNUMBER(VLOOKUP($A103,'Fleet register'!$A$7:$S$106,10,FALSE)),ISNUMBER(VLOOKUP($A103,'Fleet register'!$A$7:$S$106,11,FALSE)),ISNUMBER(VLOOKUP($A103,'Fleet register'!$A$7:$S$106,12,FALSE)),ISNUMBER(VLOOKUP($A103,'Fleet register'!$A$7:$S$106,13,FALSE)),ISNUMBER(VLOOKUP($A103,'Fleet register'!$A$7:$S$106,14,FALSE)),VLOOKUP($A103,'Fleet register'!$A$7:$S$106,14,FALSE)&gt;0,ISNUMBER('Replacement plan'!$C$31),OR(E103=120,ISNUMBER('Replacement plan'!$N$31)),ISNUMBER(E103))),"Missing vehicle input",IF(OR(E103&lt;0,E103&gt;VLOOKUP($A103,'Fleet register'!$A$7:$S$106,10,FALSE),E103&gt;120,E103&lt;&gt;INT(E103),VLOOKUP($A103,'Fleet register'!$A$7:$S$106,6,FALSE)&lt;=0,VLOOKUP($A103,'Fleet register'!$A$7:$S$106,6,FALSE)&gt;366,VLOOKUP($A103,'Fleet register'!$A$7:$S$106,5,FALSE)&lt;0,VLOOKUP($A103,'Fleet register'!$A$7:$S$106,11,FALSE)&lt;0,I103&lt;0,'Operating costs'!$B$8&lt;='Operating costs'!$B$7*'Operating costs'!$B$9,'Operating costs'!$B$11&lt;=0,'Operating costs'!$B$39&gt;R103,'Operating costs'!$B$40&gt;R103,'Operating costs'!$B$41&gt;R103,NOT(OR("Keep ICE"="Keep ICE","Keep ICE"="New ICE","Keep ICE"="EV"))),"Invalid vehicle input",IF(AND(D103="EV",E103&lt;120,OR(NOT(ISNUMBER(U103)),NOT(ISNUMBER(V103)),V103&lt;=0,T103&lt;0,T103&gt;1,'Replacement plan'!$L$31&lt;=0,'Operating costs'!$B$44&lt;0,'Operating costs'!$B$44&gt;=1,'Operating costs'!$B$47&lt;=0,'Operating costs'!$B$47&gt;1,V103*'Operating costs'!$B$47/(1-'Operating costs'!$B$44)&lt;=T103*'Operating costs'!$B$12*U103,AND('Replacement plan'!$Z$31&gt;0,OR('Replacement plan'!$AB$31&lt;&gt;"Yes",'Operating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charging'!$B$8&gt;=0))),ISNUMBER(VLOOKUP($A103,'Fleet register'!$A$7:$S$106,15,FALSE)),ISNUMBER(VLOOKUP($A103,'Fleet register'!$A$7:$S$106,16,FALSE)),ISNUMBER('Replacement plan'!$W$31),ISNUMBER('Replacement plan'!$X$31),OR(E103=120,AND(ISNUMBER(G103),G103&gt;=0)),ISNUMBER(H103),H103&gt;=0,OR(D103&lt;&gt;"EV",E103=120,AND(ISNUMBER('Operating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average",ISNUMBER(IFERROR(INDEX(Products!$P$7:$P$13,MATCH(AD103,Products!$A$7:$A$13,0)),"")))),ISNUMBER('Operating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plan'!$Y$31),ISNUMBER('Replacement plan'!$Z$31),'Replacement plan'!$Z$31&gt;=0,ISNUMBER('Replacement plan'!$AA$31),'Replacement plan'!$AA$31&gt;=0,'Replacement plan'!$AA$31=INT('Replacement plan'!$AA$31),ISNUMBER('Replacement plan'!$L$31))),'Operating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plan'!$AG$31="",'Operating costs'!$B$7,'Replacement plan'!$AG$31)),IF('Replacement plan'!$AG$31="",'Operating costs'!$B$7,'Replacement plan'!$AG$31)&gt;=0,ISNUMBER(IF('Replacement plan'!$AH$31="",'Operating costs'!$B$7,'Replacement plan'!$AH$31)),IF('Replacement plan'!$AH$31="",'Operating costs'!$B$7,'Replacement plan'!$AH$31)&gt;=0,'Operating costs'!$B$8&gt;MAX(IF('Replacement plan'!$AG$31="",'Operating costs'!$B$7,'Replacement plan'!$AG$31),IF('Replacement plan'!$AH$31="",'Operating costs'!$B$7,'Replacement plan'!$AH$31))*'Operating costs'!$B$9),IF(AND(VLOOKUP($A103,'Fleet register'!$A$7:$S$106,10,FALSE)&gt;=0,VLOOKUP($A103,'Fleet register'!$A$7:$S$106,10,FALSE)&lt;=120,VLOOKUP($A103,'Fleet register'!$A$7:$S$106,10,FALSE)=INT(VLOOKUP($A103,'Fleet register'!$A$7:$S$106,10,FALSE)),VLOOKUP($A103,'Fleet register'!$A$7:$S$106,15,FALSE)&gt;=0,VLOOKUP($A103,'Fleet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costs'!$B$67)&gt;=0,OR(D103&lt;&gt;"EV",E103=120,AND(MIN('Operating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03" s="1" t="str">
        <f>IF(C103=0,"Excluded",IF(P103&lt;&gt;"Complete",P103,IF(OR('Replacement plan'!$AD$31&lt;120-E103,AND(D103="EV",E103&lt;120,OR('Replacement plan'!$AC$31&lt;120-E103,'Replacement plan'!$I$31="No",AND(ISNUMBER(AF103),AE103&gt;AF103),AI103&gt;V103*(1-'Operating costs'!$B$46)^MAX(0,AB103-1)*(1-'Operating costs'!$B$45),AC103&gt;'Operating costs'!$B$18,AND(T103&lt;1,OR(AG103&lt;=0,AND(ISNUMBER(AH103),AG103&gt;AH103))),'Replacement plan'!$L$31&gt;INDEX(Products!$H$7:$H$13,MATCH('Replacement plan'!$B$31,Products!$A$7:$A$13,0))))),"Fails entered limits",IF(AND(D103="EV",E103&lt;120,OR(NOT(ISNUMBER(VLOOKUP($A103,'Fleet register'!$A$7:$S$106,7,FALSE))),NOT(ISNUMBER(VLOOKUP($A103,'Fleet register'!$A$7:$S$106,8,FALSE))),NOT(ISNUMBER(AF103)),'Replacement plan'!$I$31&lt;&gt;"Yes",NOT(ISNUMBER(AH103)),'Operating costs'!$B$59&lt;&gt;"Yes",'Operating costs'!$B$58&lt;&gt;"Yes")),"Unverified","Within entered limits"))))</f>
        <v>Excluded</v>
      </c>
      <c r="R103" s="1">
        <f>IF(C103=0,0,VLOOKUP($A103,'Fleet register'!$A$7:$S$106,6,FALSE))</f>
        <v>0</v>
      </c>
      <c r="S103" s="1">
        <f>IF(C103=0,0,VLOOKUP($A103,'Fleet register'!$A$7:$S$106,5,FALSE))</f>
        <v>0</v>
      </c>
      <c r="T103" s="1">
        <f>IF(D103="EV",'Energy and charging'!$B$12,0)</f>
        <v>0</v>
      </c>
      <c r="U103" s="1">
        <f>IFERROR(IF(C103=0,0,IF(D103="EV",IF('Replacement plan'!$F$31="",INDEX(Products!$E$7:$E$13,MATCH('Replacement plan'!$B$31,Products!$A$7:$A$13,0)),'Replacement plan'!$F$31)/IF('Replacement plan'!$G$31="Battery",1-'Operating costs'!$B$44,1),0)),"n.a.")</f>
        <v>0</v>
      </c>
      <c r="V103" s="1">
        <f>IFERROR(IF(C103=0,0,IF(D103="EV",IF('Replacement plan'!$E$31="",INDEX(Products!$D$7:$D$13,MATCH('Replacement plan'!$B$31,Products!$A$7:$A$13,0)),'Replacement plan'!$E$31),0)),"n.a.")</f>
        <v>0</v>
      </c>
      <c r="W103" s="1">
        <f>IF(C103=0,0,IF(AND(P103="Complete",D103="EV",E103&lt;120),IF(T103=0,0,ROUNDUP(T103*(R103-'Operating costs'!$B$41)*(S103*U103+'Operating costs'!$B$48/(1-'Operating costs'!$B$44))/(V103*'Operating costs'!$B$47/(1-'Operating costs'!$B$44)-T103*'Operating costs'!$B$12*U103),0)),0))</f>
        <v>0</v>
      </c>
      <c r="X103" s="1">
        <f>IF(C103=0,0,IF(AND(P103="Complete",D103="EV",E103&lt;120),(R103-'Operating costs'!$B$41)*(S103*U103+'Operating costs'!$B$48/(1-'Operating costs'!$B$44))+W103*'Operating costs'!$B$12*U103,0))</f>
        <v>0</v>
      </c>
      <c r="Y103" s="1">
        <f>IF(AND(C103=1,D103="EV",E103&lt;120),AI103/(1-'Operating costs'!$B$44)*(1-T103),0)</f>
        <v>0</v>
      </c>
      <c r="Z103" s="1">
        <f t="shared" si="2"/>
        <v>0</v>
      </c>
      <c r="AA103" s="1">
        <f>IF(C103=0,0,IF(P103="Complete",((S103*(R103-'Operating costs'!$B$40))+ROUNDUP(S103*(R103-'Operating costs'!$B$40)*IF('Replacement plan'!$AH$31="",'Operating costs'!$B$7,'Replacement plan'!$AH$31)/('Operating costs'!$B$8-'Operating costs'!$B$9*IF('Replacement plan'!$AH$31="",'Operating costs'!$B$7,'Replacement plan'!$AH$31)),0)*'Operating costs'!$B$9)*IF('Replacement plan'!$AH$31="",'Operating costs'!$B$7,'Replacement plan'!$AH$31),"n.a."))</f>
        <v>0</v>
      </c>
      <c r="AB103" s="1">
        <f t="shared" si="3"/>
        <v>0</v>
      </c>
      <c r="AC103" s="1">
        <f>IF(AND(C103=1,D103="EV",E103&lt;120,T103&gt;0),'Operating costs'!$B$12/'Operating costs'!$B$11*60+'Operating costs'!$B$13+'Operating costs'!$B$14+V103*'Operating costs'!$B$47/(1-'Operating costs'!$B$44)/'Replacement plan'!$L$31*60,0)</f>
        <v>0</v>
      </c>
      <c r="AD103" s="1" t="str">
        <f>'Replacement plan'!$B$31</f>
        <v>ChengLong L2EV</v>
      </c>
      <c r="AE103" s="1">
        <f>IF(C103=0,0,VLOOKUP($A103,'Fleet register'!$A$7:$S$106,8,FALSE))</f>
        <v>0</v>
      </c>
      <c r="AF103" s="1" t="str">
        <f>IF('Replacement plan'!$H$31="","n.a.",'Replacement plan'!$H$31)</f>
        <v>n.a.</v>
      </c>
      <c r="AG103" s="1">
        <f>'Replacement plan'!$J$31</f>
        <v>22</v>
      </c>
      <c r="AH103" s="1">
        <f>IFERROR(IF(D103="EV",IF('Replacement plan'!$K$31="AC",IF(ISNUMBER(INDEX(Products!$G$7:$G$13,MATCH('Replacement plan'!$B$31,Products!$A$7:$A$13,0))),INDEX(Products!$G$7:$G$13,MATCH('Replacement plan'!$B$31,Products!$A$7:$A$13,0)),"n.a."),IF(ISNUMBER(INDEX(Products!$H$7:$H$13,MATCH('Replacement plan'!$B$31,Products!$A$7:$A$13,0))),INDEX(Products!$H$7:$H$13,MATCH('Replacement plan'!$B$31,Products!$A$7:$A$13,0)),"n.a.")),0),"n.a.")</f>
        <v>0</v>
      </c>
      <c r="AI103" s="1">
        <f>IF(AND(C103=1,D103="EV",E103&lt;120),(VLOOKUP($A103,'Fleet register'!$A$7:$S$106,7,FALSE)+IF(T103&gt;0,'Operating costs'!$B$12,0))*U103*(1-'Operating costs'!$B$44)+'Operating costs'!$B$49,0)</f>
        <v>0</v>
      </c>
      <c r="AJ103" s="1">
        <f>IF(D103="EV",'Energy and charging'!$B$50,0)</f>
        <v>0</v>
      </c>
      <c r="AK103" s="17">
        <f>EDATE('Operating costs'!$B$63,E103)</f>
        <v>46298</v>
      </c>
      <c r="AL103" s="1">
        <f>IFERROR(IF(D103="EV",INDEX(Products!$B$7:$B$13,MATCH('Replacement plan'!$B$31,Products!$A$7:$A$13,0)),0),"n.a.")</f>
        <v>0</v>
      </c>
      <c r="AM103" s="1" t="str">
        <f>'Replacement plan'!$K$31</f>
        <v>DC</v>
      </c>
      <c r="AN103" s="1" t="str">
        <f>'Replacement plan'!$AE$31</f>
        <v>Assumed</v>
      </c>
      <c r="AO103" s="47">
        <f>IF(AND(C103=1,D103="EV",E103&lt;120),(R103-'Operating costs'!$B$41)*S103+W103*'Operating costs'!$B$12,0)</f>
        <v>0</v>
      </c>
      <c r="AP103" s="41">
        <f>IF(AND(C103=1,D103="EV",E103&lt;120),IF('Operating costs'!$B$68="Hong Seh 200k average",AO103*IFERROR(INDEX(Products!$P$7:$P$13,MATCH(AD103,Products!$A$7:$A$13,0)),"n.a."),'Operating costs'!$B$26),0)</f>
        <v>0</v>
      </c>
      <c r="AQ103" s="40" t="str">
        <f>IF(D103="EV",'Operating costs'!$B$68,"Not applicable")</f>
        <v>Not applicable</v>
      </c>
    </row>
    <row r="104" spans="1:43" ht="24" customHeight="1">
      <c r="A104" s="1" t="str">
        <f>'Replacement plan'!A31</f>
        <v>T025</v>
      </c>
      <c r="B104" s="1">
        <v>1</v>
      </c>
      <c r="C104" s="1">
        <f>IF(COUNTIFS('Fleet register'!$A$7:$A$106,$A104)=1,VLOOKUP($A104,'Fleet register'!$A$7:$S$106,2,FALSE),0)</f>
        <v>0</v>
      </c>
      <c r="D104" s="1" t="str">
        <f>IF("New ICE"="EV","EV","ICE")</f>
        <v>ICE</v>
      </c>
      <c r="E104" s="1">
        <f>IF(C104=0,0,0)</f>
        <v>0</v>
      </c>
      <c r="F104" s="16">
        <f>IF(C104=0,0,VLOOKUP($A104,'Fleet register'!$A$7:$S$106,11,FALSE))</f>
        <v>0</v>
      </c>
      <c r="G104" s="16">
        <f>IFERROR(IF(C104=0,0,IF(E104=120,0,IF(D104="ICE",'Replacement plan'!$C$31,IF('Replacement plan'!$D$31="",INDEX(Products!$I$7:$I$13,MATCH('Replacement plan'!$B$31,Products!$A$7:$A$13,0))+'Operating costs'!$B$57,'Replacement plan'!$D$31))*(1+'Operating costs'!$B$50)^(E104/12))),"n.a.")</f>
        <v>0</v>
      </c>
      <c r="H104" s="16">
        <f>IFERROR(IF(C104=0,0,IF(E104=0,F104,VLOOKUP($A104,'Fleet register'!$A$7:$S$106,12,FALSE)+VLOOKUP($A104,'Fleet register'!$A$7:$S$106,13,FALSE)*MAX(0,VLOOKUP($A104,'Fleet register'!$A$7:$S$106,10,FALSE)-E104)/VLOOKUP($A104,'Fleet register'!$A$7:$S$106,14,FALSE))),"n.a.")</f>
        <v>0</v>
      </c>
      <c r="I104" s="16">
        <f>IF(C104=0,0,IF(E104=120,0,IF('Replacement plan'!$AI$31="",'Operating costs'!$B$56,'Replacement plan'!$AI$31)))</f>
        <v>0</v>
      </c>
      <c r="J104" s="16">
        <f>IF(C104=0,0,IF(P104="Complete",((S104*(R104-'Operating costs'!$B$39))+ROUNDUP(S104*(R104-'Operating costs'!$B$39)*IF('Replacement plan'!$AG$31="",'Operating costs'!$B$7,'Replacement plan'!$AG$31)/('Operating costs'!$B$8-'Operating costs'!$B$9*IF('Replacement plan'!$AG$31="",'Operating costs'!$B$7,'Replacement plan'!$AG$31)),0)*'Operating costs'!$B$9)*IF('Replacement plan'!$AG$31="",'Operating costs'!$B$7,'Replacement plan'!$AG$31)*('Energy and charging'!$B$9*'Energy and charging'!$B$7+(1-'Energy and charging'!$B$9)*'Energy and charging'!$B$8)*'Operating costs'!$B$23,"n.a."))</f>
        <v>0</v>
      </c>
      <c r="K104" s="16">
        <f>IF(C104=0,0,IF(P104="Complete",SUM('Operating costs'!$B$24,'Operating costs'!$B$27,'Operating costs'!$B$29,'Operating costs'!$B$31,'Operating costs'!$B$33,'Operating costs'!$B$34,'Operating costs'!$B$37,'Replacement plan'!$W$31)+'Operating costs'!$B$39*'Operating costs'!$B$42+ROUNDUP(S104*(R104-'Operating costs'!$B$39)*IF('Replacement plan'!$AG$31="",'Operating costs'!$B$7,'Replacement plan'!$AG$31)/('Operating costs'!$B$8-'Operating costs'!$B$9*IF('Replacement plan'!$AG$31="",'Operating costs'!$B$7,'Replacement plan'!$AG$31)),0)*('Operating costs'!$B$9/'Operating costs'!$B$11+'Operating costs'!$B$10/60)*'Operating costs'!$B$19*'Operating costs'!$B$21,"n.a."))</f>
        <v>0</v>
      </c>
      <c r="L104" s="16">
        <f>IF(C104=0,0,IF(P104="Complete",IF(D104="EV",X104*((1-T104)*'Energy and charging'!$B$10+T104*'Energy and charging'!$B$11)*'Operating costs'!$B$22,AA104*('Energy and charging'!$B$9*'Energy and charging'!$B$7+(1-'Energy and charging'!$B$9)*'Energy and charging'!$B$8)*'Operating costs'!$B$23),"n.a."))</f>
        <v>0</v>
      </c>
      <c r="M104" s="37">
        <f>IF(C104=0,0,IF(P104="Complete",IF(D104="ICE",SUM('Operating costs'!$B$25,'Operating costs'!$B$27,'Operating costs'!$B$29,'Operating costs'!$B$31,'Operating costs'!$B$33,'Operating costs'!$B$35,'Operating costs'!$B$37,'Replacement plan'!$X$31)+'Operating costs'!$B$40*'Operating costs'!$B$42+ROUNDUP(S104*(R104-'Operating costs'!$B$40)*IF('Replacement plan'!$AH$31="",'Operating costs'!$B$7,'Replacement plan'!$AH$31)/('Operating costs'!$B$8-'Operating costs'!$B$9*IF('Replacement plan'!$AH$31="",'Operating costs'!$B$7,'Replacement plan'!$AH$31)),0)*('Operating costs'!$B$9/'Operating costs'!$B$11+'Operating costs'!$B$10/60)*'Operating costs'!$B$19*'Operating costs'!$B$21,SUM(AP104,'Operating costs'!$B$28,'Operating costs'!$B$30,'Operating costs'!$B$32,'Operating costs'!$B$33,'Operating costs'!$B$36,'Operating costs'!$B$38,'Replacement plan'!$Y$31)+'Operating costs'!$B$41*'Operating costs'!$B$43+W104*'Operating costs'!$B$15+(T104*X104/'Replacement plan'!$L$31+W104*('Operating costs'!$B$12/'Operating costs'!$B$11+('Operating costs'!$B$13+'Operating costs'!$B$14)/60)+(R104-'Operating costs'!$B$41)*(IF(T104&lt;1,'Operating costs'!$B$16,0)+'Operating costs'!$B$17)/60)*'Operating costs'!$B$19*'Operating costs'!$B$20),"n.a."))</f>
        <v>0</v>
      </c>
      <c r="N104" s="16">
        <f>IF(AND(C104=1,D104="EV",E104&lt;120,E104+'Replacement plan'!$AA$31&lt;=120),'Replacement plan'!$Z$31,0)</f>
        <v>0</v>
      </c>
      <c r="O104" s="1">
        <f>E104+'Replacement plan'!$AA$31</f>
        <v>0</v>
      </c>
      <c r="P104" s="35" t="str">
        <f>IFERROR(IF(C104=0,"Excluded",IF(OR(COUNTIFS('Fleet register'!$A$7:$A$106,A104)&lt;&gt;1,COUNTIFS('Replacement plan'!$A$7:$A$106,A104)&lt;&gt;1),"Duplicate/missing ID",IF(NOT(AND(ISNUMBER(VLOOKUP($A104,'Fleet register'!$A$7:$S$106,5,FALSE)),ISNUMBER(VLOOKUP($A104,'Fleet register'!$A$7:$S$106,6,FALSE)),ISNUMBER(VLOOKUP($A104,'Fleet register'!$A$7:$S$106,10,FALSE)),ISNUMBER(VLOOKUP($A104,'Fleet register'!$A$7:$S$106,11,FALSE)),ISNUMBER(VLOOKUP($A104,'Fleet register'!$A$7:$S$106,12,FALSE)),ISNUMBER(VLOOKUP($A104,'Fleet register'!$A$7:$S$106,13,FALSE)),ISNUMBER(VLOOKUP($A104,'Fleet register'!$A$7:$S$106,14,FALSE)),VLOOKUP($A104,'Fleet register'!$A$7:$S$106,14,FALSE)&gt;0,ISNUMBER('Replacement plan'!$C$31),OR(E104=120,OR(ISNUMBER('Replacement plan'!$AI$31),AND('Replacement plan'!$AI$31="",ISNUMBER('Operating costs'!$B$56)))),ISNUMBER(E104))),"Missing vehicle input",IF(OR(E104&lt;0,E104&gt;VLOOKUP($A104,'Fleet register'!$A$7:$S$106,10,FALSE),E104&gt;120,E104&lt;&gt;INT(E104),VLOOKUP($A104,'Fleet register'!$A$7:$S$106,6,FALSE)&lt;=0,VLOOKUP($A104,'Fleet register'!$A$7:$S$106,6,FALSE)&gt;366,VLOOKUP($A104,'Fleet register'!$A$7:$S$106,5,FALSE)&lt;0,VLOOKUP($A104,'Fleet register'!$A$7:$S$106,11,FALSE)&lt;0,I104&lt;0,'Operating costs'!$B$8&lt;='Operating costs'!$B$7*'Operating costs'!$B$9,'Operating costs'!$B$11&lt;=0,'Operating costs'!$B$39&gt;R104,'Operating costs'!$B$40&gt;R104,'Operating costs'!$B$41&gt;R104,NOT(OR("New ICE"="Keep ICE","New ICE"="New ICE","New ICE"="EV"))),"Invalid vehicle input",IF(AND(D104="EV",E104&lt;120,OR(NOT(ISNUMBER(U104)),NOT(ISNUMBER(V104)),V104&lt;=0,T104&lt;0,T104&gt;1,'Replacement plan'!$L$31&lt;=0,'Operating costs'!$B$44&lt;0,'Operating costs'!$B$44&gt;=1,'Operating costs'!$B$47&lt;=0,'Operating costs'!$B$47&gt;1,V104*'Operating costs'!$B$47/(1-'Operating costs'!$B$44)&lt;=T104*'Operating costs'!$B$12*U104,AND('Replacement plan'!$Z$31&gt;0,OR('Replacement plan'!$AB$31&lt;&gt;"Yes",'Operating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charging'!$B$8&gt;=0))),ISNUMBER(VLOOKUP($A104,'Fleet register'!$A$7:$S$106,15,FALSE)),ISNUMBER(VLOOKUP($A104,'Fleet register'!$A$7:$S$106,16,FALSE)),ISNUMBER('Replacement plan'!$W$31),ISNUMBER('Replacement plan'!$X$31),OR(E104=120,AND(ISNUMBER(G104),G104&gt;=0)),ISNUMBER(H104),H104&gt;=0,OR(D104&lt;&gt;"EV",E104=120,AND(ISNUMBER('Operating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average",ISNUMBER(IFERROR(INDEX(Products!$P$7:$P$13,MATCH(AD104,Products!$A$7:$A$13,0)),"")))),ISNUMBER('Operating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plan'!$Y$31),ISNUMBER('Replacement plan'!$Z$31),'Replacement plan'!$Z$31&gt;=0,ISNUMBER('Replacement plan'!$AA$31),'Replacement plan'!$AA$31&gt;=0,'Replacement plan'!$AA$31=INT('Replacement plan'!$AA$31),ISNUMBER('Replacement plan'!$L$31))),'Operating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plan'!$AG$31="",'Operating costs'!$B$7,'Replacement plan'!$AG$31)),IF('Replacement plan'!$AG$31="",'Operating costs'!$B$7,'Replacement plan'!$AG$31)&gt;=0,ISNUMBER(IF('Replacement plan'!$AH$31="",'Operating costs'!$B$7,'Replacement plan'!$AH$31)),IF('Replacement plan'!$AH$31="",'Operating costs'!$B$7,'Replacement plan'!$AH$31)&gt;=0,'Operating costs'!$B$8&gt;MAX(IF('Replacement plan'!$AG$31="",'Operating costs'!$B$7,'Replacement plan'!$AG$31),IF('Replacement plan'!$AH$31="",'Operating costs'!$B$7,'Replacement plan'!$AH$31))*'Operating costs'!$B$9),IF(AND(VLOOKUP($A104,'Fleet register'!$A$7:$S$106,10,FALSE)&gt;=0,VLOOKUP($A104,'Fleet register'!$A$7:$S$106,10,FALSE)&lt;=120,VLOOKUP($A104,'Fleet register'!$A$7:$S$106,10,FALSE)=INT(VLOOKUP($A104,'Fleet register'!$A$7:$S$106,10,FALSE)),VLOOKUP($A104,'Fleet register'!$A$7:$S$106,15,FALSE)&gt;=0,VLOOKUP($A104,'Fleet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costs'!$B$67)&gt;=0,OR(D104&lt;&gt;"EV",E104=120,AND(MIN('Operating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04" s="1" t="str">
        <f>IF(C104=0,"Excluded",IF(P104&lt;&gt;"Complete",P104,IF(OR('Replacement plan'!$AD$31&lt;120-E104,AND(D104="EV",E104&lt;120,OR('Replacement plan'!$AC$31&lt;120-E104,'Replacement plan'!$I$31="No",AND(ISNUMBER(AF104),AE104&gt;AF104),AI104&gt;V104*(1-'Operating costs'!$B$46)^MAX(0,AB104-1)*(1-'Operating costs'!$B$45),AC104&gt;'Operating costs'!$B$18,AND(T104&lt;1,OR(AG104&lt;=0,AND(ISNUMBER(AH104),AG104&gt;AH104))),'Replacement plan'!$L$31&gt;INDEX(Products!$H$7:$H$13,MATCH('Replacement plan'!$B$31,Products!$A$7:$A$13,0))))),"Fails entered limits",IF(AND(D104="EV",E104&lt;120,OR(NOT(ISNUMBER(VLOOKUP($A104,'Fleet register'!$A$7:$S$106,7,FALSE))),NOT(ISNUMBER(VLOOKUP($A104,'Fleet register'!$A$7:$S$106,8,FALSE))),NOT(ISNUMBER(AF104)),'Replacement plan'!$I$31&lt;&gt;"Yes",NOT(ISNUMBER(AH104)),'Operating costs'!$B$59&lt;&gt;"Yes",'Operating costs'!$B$58&lt;&gt;"Yes")),"Unverified","Within entered limits"))))</f>
        <v>Excluded</v>
      </c>
      <c r="R104" s="1">
        <f>IF(C104=0,0,VLOOKUP($A104,'Fleet register'!$A$7:$S$106,6,FALSE))</f>
        <v>0</v>
      </c>
      <c r="S104" s="1">
        <f>IF(C104=0,0,VLOOKUP($A104,'Fleet register'!$A$7:$S$106,5,FALSE))</f>
        <v>0</v>
      </c>
      <c r="T104" s="1">
        <f>IF(D104="EV",'Energy and charging'!$B$12,0)</f>
        <v>0</v>
      </c>
      <c r="U104" s="1">
        <f>IFERROR(IF(C104=0,0,IF(D104="EV",IF('Replacement plan'!$F$31="",INDEX(Products!$E$7:$E$13,MATCH('Replacement plan'!$B$31,Products!$A$7:$A$13,0)),'Replacement plan'!$F$31)/IF('Replacement plan'!$G$31="Battery",1-'Operating costs'!$B$44,1),0)),"n.a.")</f>
        <v>0</v>
      </c>
      <c r="V104" s="1">
        <f>IFERROR(IF(C104=0,0,IF(D104="EV",IF('Replacement plan'!$E$31="",INDEX(Products!$D$7:$D$13,MATCH('Replacement plan'!$B$31,Products!$A$7:$A$13,0)),'Replacement plan'!$E$31),0)),"n.a.")</f>
        <v>0</v>
      </c>
      <c r="W104" s="1">
        <f>IF(C104=0,0,IF(AND(P104="Complete",D104="EV",E104&lt;120),IF(T104=0,0,ROUNDUP(T104*(R104-'Operating costs'!$B$41)*(S104*U104+'Operating costs'!$B$48/(1-'Operating costs'!$B$44))/(V104*'Operating costs'!$B$47/(1-'Operating costs'!$B$44)-T104*'Operating costs'!$B$12*U104),0)),0))</f>
        <v>0</v>
      </c>
      <c r="X104" s="1">
        <f>IF(C104=0,0,IF(AND(P104="Complete",D104="EV",E104&lt;120),(R104-'Operating costs'!$B$41)*(S104*U104+'Operating costs'!$B$48/(1-'Operating costs'!$B$44))+W104*'Operating costs'!$B$12*U104,0))</f>
        <v>0</v>
      </c>
      <c r="Y104" s="1">
        <f>IF(AND(C104=1,D104="EV",E104&lt;120),AI104/(1-'Operating costs'!$B$44)*(1-T104),0)</f>
        <v>0</v>
      </c>
      <c r="Z104" s="1">
        <f t="shared" si="2"/>
        <v>0</v>
      </c>
      <c r="AA104" s="1">
        <f>IF(C104=0,0,IF(P104="Complete",((S104*(R104-'Operating costs'!$B$40))+ROUNDUP(S104*(R104-'Operating costs'!$B$40)*IF('Replacement plan'!$AH$31="",'Operating costs'!$B$7,'Replacement plan'!$AH$31)/('Operating costs'!$B$8-'Operating costs'!$B$9*IF('Replacement plan'!$AH$31="",'Operating costs'!$B$7,'Replacement plan'!$AH$31)),0)*'Operating costs'!$B$9)*IF('Replacement plan'!$AH$31="",'Operating costs'!$B$7,'Replacement plan'!$AH$31),"n.a."))</f>
        <v>0</v>
      </c>
      <c r="AB104" s="1">
        <f t="shared" si="3"/>
        <v>0</v>
      </c>
      <c r="AC104" s="1">
        <f>IF(AND(C104=1,D104="EV",E104&lt;120,T104&gt;0),'Operating costs'!$B$12/'Operating costs'!$B$11*60+'Operating costs'!$B$13+'Operating costs'!$B$14+V104*'Operating costs'!$B$47/(1-'Operating costs'!$B$44)/'Replacement plan'!$L$31*60,0)</f>
        <v>0</v>
      </c>
      <c r="AD104" s="1" t="str">
        <f>'Replacement plan'!$B$31</f>
        <v>ChengLong L2EV</v>
      </c>
      <c r="AE104" s="1">
        <f>IF(C104=0,0,VLOOKUP($A104,'Fleet register'!$A$7:$S$106,8,FALSE))</f>
        <v>0</v>
      </c>
      <c r="AF104" s="1" t="str">
        <f>IF('Replacement plan'!$H$31="","n.a.",'Replacement plan'!$H$31)</f>
        <v>n.a.</v>
      </c>
      <c r="AG104" s="1">
        <f>'Replacement plan'!$J$31</f>
        <v>22</v>
      </c>
      <c r="AH104" s="1">
        <f>IFERROR(IF(D104="EV",IF('Replacement plan'!$K$31="AC",IF(ISNUMBER(INDEX(Products!$G$7:$G$13,MATCH('Replacement plan'!$B$31,Products!$A$7:$A$13,0))),INDEX(Products!$G$7:$G$13,MATCH('Replacement plan'!$B$31,Products!$A$7:$A$13,0)),"n.a."),IF(ISNUMBER(INDEX(Products!$H$7:$H$13,MATCH('Replacement plan'!$B$31,Products!$A$7:$A$13,0))),INDEX(Products!$H$7:$H$13,MATCH('Replacement plan'!$B$31,Products!$A$7:$A$13,0)),"n.a.")),0),"n.a.")</f>
        <v>0</v>
      </c>
      <c r="AI104" s="1">
        <f>IF(AND(C104=1,D104="EV",E104&lt;120),(VLOOKUP($A104,'Fleet register'!$A$7:$S$106,7,FALSE)+IF(T104&gt;0,'Operating costs'!$B$12,0))*U104*(1-'Operating costs'!$B$44)+'Operating costs'!$B$49,0)</f>
        <v>0</v>
      </c>
      <c r="AJ104" s="1">
        <f>IF(D104="EV",'Energy and charging'!$B$50,0)</f>
        <v>0</v>
      </c>
      <c r="AK104" s="17">
        <f>EDATE('Operating costs'!$B$63,E104)</f>
        <v>46298</v>
      </c>
      <c r="AL104" s="1">
        <f>IFERROR(IF(D104="EV",INDEX(Products!$B$7:$B$13,MATCH('Replacement plan'!$B$31,Products!$A$7:$A$13,0)),0),"n.a.")</f>
        <v>0</v>
      </c>
      <c r="AM104" s="1" t="str">
        <f>'Replacement plan'!$K$31</f>
        <v>DC</v>
      </c>
      <c r="AN104" s="1" t="str">
        <f>'Replacement plan'!$AE$31</f>
        <v>Assumed</v>
      </c>
      <c r="AO104" s="47">
        <f>IF(AND(C104=1,D104="EV",E104&lt;120),(R104-'Operating costs'!$B$41)*S104+W104*'Operating costs'!$B$12,0)</f>
        <v>0</v>
      </c>
      <c r="AP104" s="41">
        <f>IF(AND(C104=1,D104="EV",E104&lt;120),IF('Operating costs'!$B$68="Hong Seh 200k average",AO104*IFERROR(INDEX(Products!$P$7:$P$13,MATCH(AD104,Products!$A$7:$A$13,0)),"n.a."),'Operating costs'!$B$26),0)</f>
        <v>0</v>
      </c>
      <c r="AQ104" s="40" t="str">
        <f>IF(D104="EV",'Operating costs'!$B$68,"Not applicable")</f>
        <v>Not applicable</v>
      </c>
    </row>
    <row r="105" spans="1:43" ht="24" customHeight="1">
      <c r="A105" s="1" t="str">
        <f>'Replacement plan'!A31</f>
        <v>T025</v>
      </c>
      <c r="B105" s="1">
        <v>2</v>
      </c>
      <c r="C105" s="1">
        <f>IF(COUNTIFS('Fleet register'!$A$7:$A$106,$A105)=1,VLOOKUP($A105,'Fleet register'!$A$7:$S$106,2,FALSE),0)</f>
        <v>0</v>
      </c>
      <c r="D105" s="1" t="str">
        <f>IF('Replacement plan'!$O$31="EV","EV","ICE")</f>
        <v>ICE</v>
      </c>
      <c r="E105" s="1">
        <f>IF(C105=0,0,IF('Replacement plan'!$P$31="",IF('Replacement plan'!$O$31="Keep ICE",IF('Replacement plan'!$M$31="",VLOOKUP($A105,'Fleet register'!$A$7:$S$106,10,FALSE),'Replacement plan'!$M$31),0),'Replacement plan'!$P$31))</f>
        <v>0</v>
      </c>
      <c r="F105" s="16">
        <f>IF(C105=0,0,VLOOKUP($A105,'Fleet register'!$A$7:$S$106,11,FALSE))</f>
        <v>0</v>
      </c>
      <c r="G105" s="16">
        <f>IFERROR(IF(C105=0,0,IF(E105=120,0,IF(D105="ICE",'Replacement plan'!$C$31,IF('Replacement plan'!$D$31="",INDEX(Products!$I$7:$I$13,MATCH('Replacement plan'!$B$31,Products!$A$7:$A$13,0))+'Operating costs'!$B$57,'Replacement plan'!$D$31))*(1+'Operating costs'!$B$50)^(E105/12))),"n.a.")</f>
        <v>0</v>
      </c>
      <c r="H105" s="16">
        <f>IFERROR(IF(C105=0,0,IF('Replacement plan'!$U$31&lt;&gt;"",'Replacement plan'!$U$31,IF(E105=0,F105,VLOOKUP($A105,'Fleet register'!$A$7:$S$106,12,FALSE)+VLOOKUP($A105,'Fleet register'!$A$7:$S$106,13,FALSE)*MAX(0,VLOOKUP($A105,'Fleet register'!$A$7:$S$106,10,FALSE)-E105)/VLOOKUP($A105,'Fleet register'!$A$7:$S$106,14,FALSE)))),"n.a.")</f>
        <v>0</v>
      </c>
      <c r="I105" s="16">
        <f>IF(C105=0,0,IF(E105=120,0,'Replacement plan'!$Q$31))</f>
        <v>0</v>
      </c>
      <c r="J105" s="16">
        <f>IF(C105=0,0,IF(P105="Complete",((S105*(R105-'Operating costs'!$B$39))+ROUNDUP(S105*(R105-'Operating costs'!$B$39)*IF('Replacement plan'!$AG$31="",'Operating costs'!$B$7,'Replacement plan'!$AG$31)/('Operating costs'!$B$8-'Operating costs'!$B$9*IF('Replacement plan'!$AG$31="",'Operating costs'!$B$7,'Replacement plan'!$AG$31)),0)*'Operating costs'!$B$9)*IF('Replacement plan'!$AG$31="",'Operating costs'!$B$7,'Replacement plan'!$AG$31)*('Energy and charging'!$B$9*'Energy and charging'!$B$7+(1-'Energy and charging'!$B$9)*'Energy and charging'!$B$8)*'Operating costs'!$B$23,"n.a."))</f>
        <v>0</v>
      </c>
      <c r="K105" s="16">
        <f>IF(C105=0,0,IF(P105="Complete",SUM('Operating costs'!$B$24,'Operating costs'!$B$27,'Operating costs'!$B$29,'Operating costs'!$B$31,'Operating costs'!$B$33,'Operating costs'!$B$34,'Operating costs'!$B$37,'Replacement plan'!$W$31)+'Operating costs'!$B$39*'Operating costs'!$B$42+ROUNDUP(S105*(R105-'Operating costs'!$B$39)*IF('Replacement plan'!$AG$31="",'Operating costs'!$B$7,'Replacement plan'!$AG$31)/('Operating costs'!$B$8-'Operating costs'!$B$9*IF('Replacement plan'!$AG$31="",'Operating costs'!$B$7,'Replacement plan'!$AG$31)),0)*('Operating costs'!$B$9/'Operating costs'!$B$11+'Operating costs'!$B$10/60)*'Operating costs'!$B$19*'Operating costs'!$B$21,"n.a."))</f>
        <v>0</v>
      </c>
      <c r="L105" s="16">
        <f>IF(C105=0,0,IF(P105="Complete",IF(D105="EV",X105*((1-T105)*'Energy and charging'!$B$10+T105*'Energy and charging'!$B$11)*'Operating costs'!$B$22,AA105*('Energy and charging'!$B$9*'Energy and charging'!$B$7+(1-'Energy and charging'!$B$9)*'Energy and charging'!$B$8)*'Operating costs'!$B$23),"n.a."))</f>
        <v>0</v>
      </c>
      <c r="M105" s="37">
        <f>IF(C105=0,0,IF(P105="Complete",IF(D105="ICE",SUM('Operating costs'!$B$25,'Operating costs'!$B$27,'Operating costs'!$B$29,'Operating costs'!$B$31,'Operating costs'!$B$33,'Operating costs'!$B$35,'Operating costs'!$B$37,'Replacement plan'!$X$31)+'Operating costs'!$B$40*'Operating costs'!$B$42+ROUNDUP(S105*(R105-'Operating costs'!$B$40)*IF('Replacement plan'!$AH$31="",'Operating costs'!$B$7,'Replacement plan'!$AH$31)/('Operating costs'!$B$8-'Operating costs'!$B$9*IF('Replacement plan'!$AH$31="",'Operating costs'!$B$7,'Replacement plan'!$AH$31)),0)*('Operating costs'!$B$9/'Operating costs'!$B$11+'Operating costs'!$B$10/60)*'Operating costs'!$B$19*'Operating costs'!$B$21,SUM(AP105,'Operating costs'!$B$28,'Operating costs'!$B$30,'Operating costs'!$B$32,'Operating costs'!$B$33,'Operating costs'!$B$36,'Operating costs'!$B$38,'Replacement plan'!$Y$31)+'Operating costs'!$B$41*'Operating costs'!$B$43+W105*'Operating costs'!$B$15+(T105*X105/'Replacement plan'!$L$31+W105*('Operating costs'!$B$12/'Operating costs'!$B$11+('Operating costs'!$B$13+'Operating costs'!$B$14)/60)+(R105-'Operating costs'!$B$41)*(IF(T105&lt;1,'Operating costs'!$B$16,0)+'Operating costs'!$B$17)/60)*'Operating costs'!$B$19*'Operating costs'!$B$20),"n.a."))</f>
        <v>0</v>
      </c>
      <c r="N105" s="16">
        <f>IF(AND(C105=1,D105="EV",E105&lt;120,E105+'Replacement plan'!$AA$31&lt;=120),'Replacement plan'!$Z$31,0)</f>
        <v>0</v>
      </c>
      <c r="O105" s="1">
        <f>E105+'Replacement plan'!$AA$31</f>
        <v>0</v>
      </c>
      <c r="P105" s="35" t="str">
        <f>IFERROR(IF(C105=0,"Excluded",IF(OR(COUNTIFS('Fleet register'!$A$7:$A$106,A105)&lt;&gt;1,COUNTIFS('Replacement plan'!$A$7:$A$106,A105)&lt;&gt;1),"Duplicate/missing ID",IF(NOT(AND(ISNUMBER(VLOOKUP($A105,'Fleet register'!$A$7:$S$106,5,FALSE)),ISNUMBER(VLOOKUP($A105,'Fleet register'!$A$7:$S$106,6,FALSE)),ISNUMBER(VLOOKUP($A105,'Fleet register'!$A$7:$S$106,10,FALSE)),ISNUMBER(VLOOKUP($A105,'Fleet register'!$A$7:$S$106,11,FALSE)),ISNUMBER(VLOOKUP($A105,'Fleet register'!$A$7:$S$106,12,FALSE)),ISNUMBER(VLOOKUP($A105,'Fleet register'!$A$7:$S$106,13,FALSE)),ISNUMBER(VLOOKUP($A105,'Fleet register'!$A$7:$S$106,14,FALSE)),VLOOKUP($A105,'Fleet register'!$A$7:$S$106,14,FALSE)&gt;0,ISNUMBER('Replacement plan'!$C$31),OR(E105=120,ISNUMBER('Replacement plan'!$Q$31)),ISNUMBER(E105))),"Missing vehicle input",IF(OR(E105&lt;0,E105&gt;VLOOKUP($A105,'Fleet register'!$A$7:$S$106,10,FALSE),E105&gt;120,E105&lt;&gt;INT(E105),VLOOKUP($A105,'Fleet register'!$A$7:$S$106,6,FALSE)&lt;=0,VLOOKUP($A105,'Fleet register'!$A$7:$S$106,6,FALSE)&gt;366,VLOOKUP($A105,'Fleet register'!$A$7:$S$106,5,FALSE)&lt;0,VLOOKUP($A105,'Fleet register'!$A$7:$S$106,11,FALSE)&lt;0,I105&lt;0,'Operating costs'!$B$8&lt;='Operating costs'!$B$7*'Operating costs'!$B$9,'Operating costs'!$B$11&lt;=0,'Operating costs'!$B$39&gt;R105,'Operating costs'!$B$40&gt;R105,'Operating costs'!$B$41&gt;R105,NOT(OR('Replacement plan'!$O$31="Keep ICE",'Replacement plan'!$O$31="New ICE",'Replacement plan'!$O$31="EV"))),"Invalid vehicle input",IF(AND(D105="EV",E105&lt;120,OR(NOT(ISNUMBER(U105)),NOT(ISNUMBER(V105)),V105&lt;=0,T105&lt;0,T105&gt;1,'Replacement plan'!$L$31&lt;=0,'Operating costs'!$B$44&lt;0,'Operating costs'!$B$44&gt;=1,'Operating costs'!$B$47&lt;=0,'Operating costs'!$B$47&gt;1,V105*'Operating costs'!$B$47/(1-'Operating costs'!$B$44)&lt;=T105*'Operating costs'!$B$12*U105,AND('Replacement plan'!$Z$31&gt;0,OR('Replacement plan'!$AB$31&lt;&gt;"Yes",'Operating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charging'!$B$8&gt;=0))),ISNUMBER(VLOOKUP($A105,'Fleet register'!$A$7:$S$106,15,FALSE)),ISNUMBER(VLOOKUP($A105,'Fleet register'!$A$7:$S$106,16,FALSE)),ISNUMBER('Replacement plan'!$W$31),ISNUMBER('Replacement plan'!$X$31),OR(E105=120,AND(ISNUMBER(G105),G105&gt;=0)),ISNUMBER(H105),H105&gt;=0,OR(D105&lt;&gt;"EV",E105=120,AND(ISNUMBER('Operating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average",ISNUMBER(IFERROR(INDEX(Products!$P$7:$P$13,MATCH(AD105,Products!$A$7:$A$13,0)),"")))),ISNUMBER('Operating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plan'!$Y$31),ISNUMBER('Replacement plan'!$Z$31),'Replacement plan'!$Z$31&gt;=0,ISNUMBER('Replacement plan'!$AA$31),'Replacement plan'!$AA$31&gt;=0,'Replacement plan'!$AA$31=INT('Replacement plan'!$AA$31),ISNUMBER('Replacement plan'!$L$31))),'Operating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plan'!$AG$31="",'Operating costs'!$B$7,'Replacement plan'!$AG$31)),IF('Replacement plan'!$AG$31="",'Operating costs'!$B$7,'Replacement plan'!$AG$31)&gt;=0,ISNUMBER(IF('Replacement plan'!$AH$31="",'Operating costs'!$B$7,'Replacement plan'!$AH$31)),IF('Replacement plan'!$AH$31="",'Operating costs'!$B$7,'Replacement plan'!$AH$31)&gt;=0,'Operating costs'!$B$8&gt;MAX(IF('Replacement plan'!$AG$31="",'Operating costs'!$B$7,'Replacement plan'!$AG$31),IF('Replacement plan'!$AH$31="",'Operating costs'!$B$7,'Replacement plan'!$AH$31))*'Operating costs'!$B$9),IF(AND(VLOOKUP($A105,'Fleet register'!$A$7:$S$106,10,FALSE)&gt;=0,VLOOKUP($A105,'Fleet register'!$A$7:$S$106,10,FALSE)&lt;=120,VLOOKUP($A105,'Fleet register'!$A$7:$S$106,10,FALSE)=INT(VLOOKUP($A105,'Fleet register'!$A$7:$S$106,10,FALSE)),VLOOKUP($A105,'Fleet register'!$A$7:$S$106,15,FALSE)&gt;=0,VLOOKUP($A105,'Fleet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costs'!$B$67)&gt;=0,OR(D105&lt;&gt;"EV",E105=120,AND(MIN('Operating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05" s="1" t="str">
        <f>IF(C105=0,"Excluded",IF(P105&lt;&gt;"Complete",P105,IF(OR('Replacement plan'!$AD$31&lt;120-E105,AND(D105="EV",E105&lt;120,OR('Replacement plan'!$AC$31&lt;120-E105,'Replacement plan'!$I$31="No",AND(ISNUMBER(AF105),AE105&gt;AF105),AI105&gt;V105*(1-'Operating costs'!$B$46)^MAX(0,AB105-1)*(1-'Operating costs'!$B$45),AC105&gt;'Operating costs'!$B$18,AND(T105&lt;1,OR(AG105&lt;=0,AND(ISNUMBER(AH105),AG105&gt;AH105))),'Replacement plan'!$L$31&gt;INDEX(Products!$H$7:$H$13,MATCH('Replacement plan'!$B$31,Products!$A$7:$A$13,0))))),"Fails entered limits",IF(AND(D105="EV",E105&lt;120,OR(NOT(ISNUMBER(VLOOKUP($A105,'Fleet register'!$A$7:$S$106,7,FALSE))),NOT(ISNUMBER(VLOOKUP($A105,'Fleet register'!$A$7:$S$106,8,FALSE))),NOT(ISNUMBER(AF105)),'Replacement plan'!$I$31&lt;&gt;"Yes",NOT(ISNUMBER(AH105)),'Operating costs'!$B$59&lt;&gt;"Yes",'Operating costs'!$B$58&lt;&gt;"Yes")),"Unverified","Within entered limits"))))</f>
        <v>Excluded</v>
      </c>
      <c r="R105" s="1">
        <f>IF(C105=0,0,VLOOKUP($A105,'Fleet register'!$A$7:$S$106,6,FALSE))</f>
        <v>0</v>
      </c>
      <c r="S105" s="1">
        <f>IF(C105=0,0,VLOOKUP($A105,'Fleet register'!$A$7:$S$106,5,FALSE))</f>
        <v>0</v>
      </c>
      <c r="T105" s="1">
        <f>IF(D105="EV",'Energy and charging'!$B$12,0)</f>
        <v>0</v>
      </c>
      <c r="U105" s="1">
        <f>IFERROR(IF(C105=0,0,IF(D105="EV",IF('Replacement plan'!$F$31="",INDEX(Products!$E$7:$E$13,MATCH('Replacement plan'!$B$31,Products!$A$7:$A$13,0)),'Replacement plan'!$F$31)/IF('Replacement plan'!$G$31="Battery",1-'Operating costs'!$B$44,1),0)),"n.a.")</f>
        <v>0</v>
      </c>
      <c r="V105" s="1">
        <f>IFERROR(IF(C105=0,0,IF(D105="EV",IF('Replacement plan'!$E$31="",INDEX(Products!$D$7:$D$13,MATCH('Replacement plan'!$B$31,Products!$A$7:$A$13,0)),'Replacement plan'!$E$31),0)),"n.a.")</f>
        <v>0</v>
      </c>
      <c r="W105" s="1">
        <f>IF(C105=0,0,IF(AND(P105="Complete",D105="EV",E105&lt;120),IF(T105=0,0,ROUNDUP(T105*(R105-'Operating costs'!$B$41)*(S105*U105+'Operating costs'!$B$48/(1-'Operating costs'!$B$44))/(V105*'Operating costs'!$B$47/(1-'Operating costs'!$B$44)-T105*'Operating costs'!$B$12*U105),0)),0))</f>
        <v>0</v>
      </c>
      <c r="X105" s="1">
        <f>IF(C105=0,0,IF(AND(P105="Complete",D105="EV",E105&lt;120),(R105-'Operating costs'!$B$41)*(S105*U105+'Operating costs'!$B$48/(1-'Operating costs'!$B$44))+W105*'Operating costs'!$B$12*U105,0))</f>
        <v>0</v>
      </c>
      <c r="Y105" s="1">
        <f>IF(AND(C105=1,D105="EV",E105&lt;120),AI105/(1-'Operating costs'!$B$44)*(1-T105),0)</f>
        <v>0</v>
      </c>
      <c r="Z105" s="1">
        <f t="shared" si="2"/>
        <v>0</v>
      </c>
      <c r="AA105" s="1">
        <f>IF(C105=0,0,IF(P105="Complete",((S105*(R105-'Operating costs'!$B$40))+ROUNDUP(S105*(R105-'Operating costs'!$B$40)*IF('Replacement plan'!$AH$31="",'Operating costs'!$B$7,'Replacement plan'!$AH$31)/('Operating costs'!$B$8-'Operating costs'!$B$9*IF('Replacement plan'!$AH$31="",'Operating costs'!$B$7,'Replacement plan'!$AH$31)),0)*'Operating costs'!$B$9)*IF('Replacement plan'!$AH$31="",'Operating costs'!$B$7,'Replacement plan'!$AH$31),"n.a."))</f>
        <v>0</v>
      </c>
      <c r="AB105" s="1">
        <f t="shared" si="3"/>
        <v>0</v>
      </c>
      <c r="AC105" s="1">
        <f>IF(AND(C105=1,D105="EV",E105&lt;120,T105&gt;0),'Operating costs'!$B$12/'Operating costs'!$B$11*60+'Operating costs'!$B$13+'Operating costs'!$B$14+V105*'Operating costs'!$B$47/(1-'Operating costs'!$B$44)/'Replacement plan'!$L$31*60,0)</f>
        <v>0</v>
      </c>
      <c r="AD105" s="1" t="str">
        <f>'Replacement plan'!$B$31</f>
        <v>ChengLong L2EV</v>
      </c>
      <c r="AE105" s="1">
        <f>IF(C105=0,0,VLOOKUP($A105,'Fleet register'!$A$7:$S$106,8,FALSE))</f>
        <v>0</v>
      </c>
      <c r="AF105" s="1" t="str">
        <f>IF('Replacement plan'!$H$31="","n.a.",'Replacement plan'!$H$31)</f>
        <v>n.a.</v>
      </c>
      <c r="AG105" s="1">
        <f>'Replacement plan'!$J$31</f>
        <v>22</v>
      </c>
      <c r="AH105" s="1">
        <f>IFERROR(IF(D105="EV",IF('Replacement plan'!$K$31="AC",IF(ISNUMBER(INDEX(Products!$G$7:$G$13,MATCH('Replacement plan'!$B$31,Products!$A$7:$A$13,0))),INDEX(Products!$G$7:$G$13,MATCH('Replacement plan'!$B$31,Products!$A$7:$A$13,0)),"n.a."),IF(ISNUMBER(INDEX(Products!$H$7:$H$13,MATCH('Replacement plan'!$B$31,Products!$A$7:$A$13,0))),INDEX(Products!$H$7:$H$13,MATCH('Replacement plan'!$B$31,Products!$A$7:$A$13,0)),"n.a.")),0),"n.a.")</f>
        <v>0</v>
      </c>
      <c r="AI105" s="1">
        <f>IF(AND(C105=1,D105="EV",E105&lt;120),(VLOOKUP($A105,'Fleet register'!$A$7:$S$106,7,FALSE)+IF(T105&gt;0,'Operating costs'!$B$12,0))*U105*(1-'Operating costs'!$B$44)+'Operating costs'!$B$49,0)</f>
        <v>0</v>
      </c>
      <c r="AJ105" s="1">
        <f>IF(D105="EV",'Energy and charging'!$B$50,0)</f>
        <v>0</v>
      </c>
      <c r="AK105" s="17">
        <f>EDATE('Operating costs'!$B$63,E105)</f>
        <v>46298</v>
      </c>
      <c r="AL105" s="1">
        <f>IFERROR(IF(D105="EV",INDEX(Products!$B$7:$B$13,MATCH('Replacement plan'!$B$31,Products!$A$7:$A$13,0)),0),"n.a.")</f>
        <v>0</v>
      </c>
      <c r="AM105" s="1" t="str">
        <f>'Replacement plan'!$K$31</f>
        <v>DC</v>
      </c>
      <c r="AN105" s="1" t="str">
        <f>'Replacement plan'!$AE$31</f>
        <v>Assumed</v>
      </c>
      <c r="AO105" s="47">
        <f>IF(AND(C105=1,D105="EV",E105&lt;120),(R105-'Operating costs'!$B$41)*S105+W105*'Operating costs'!$B$12,0)</f>
        <v>0</v>
      </c>
      <c r="AP105" s="41">
        <f>IF(AND(C105=1,D105="EV",E105&lt;120),IF('Operating costs'!$B$68="Hong Seh 200k average",AO105*IFERROR(INDEX(Products!$P$7:$P$13,MATCH(AD105,Products!$A$7:$A$13,0)),"n.a."),'Operating costs'!$B$26),0)</f>
        <v>0</v>
      </c>
      <c r="AQ105" s="40" t="str">
        <f>IF(D105="EV",'Operating costs'!$B$68,"Not applicable")</f>
        <v>Not applicable</v>
      </c>
    </row>
    <row r="106" spans="1:43" ht="24" customHeight="1">
      <c r="A106" s="1" t="str">
        <f>'Replacement plan'!A31</f>
        <v>T025</v>
      </c>
      <c r="B106" s="1">
        <v>3</v>
      </c>
      <c r="C106" s="1">
        <f>IF(COUNTIFS('Fleet register'!$A$7:$A$106,$A106)=1,VLOOKUP($A106,'Fleet register'!$A$7:$S$106,2,FALSE),0)</f>
        <v>0</v>
      </c>
      <c r="D106" s="1" t="str">
        <f>IF('Replacement plan'!$R$31="EV","EV","ICE")</f>
        <v>ICE</v>
      </c>
      <c r="E106" s="1">
        <f>IF(C106=0,0,IF('Replacement plan'!$S$31="",IF('Replacement plan'!$R$31="Keep ICE",IF('Replacement plan'!$M$31="",VLOOKUP($A106,'Fleet register'!$A$7:$S$106,10,FALSE),'Replacement plan'!$M$31),0),'Replacement plan'!$S$31))</f>
        <v>0</v>
      </c>
      <c r="F106" s="16">
        <f>IF(C106=0,0,VLOOKUP($A106,'Fleet register'!$A$7:$S$106,11,FALSE))</f>
        <v>0</v>
      </c>
      <c r="G106" s="16">
        <f>IFERROR(IF(C106=0,0,IF(E106=120,0,IF(D106="ICE",'Replacement plan'!$C$31,IF('Replacement plan'!$D$31="",INDEX(Products!$I$7:$I$13,MATCH('Replacement plan'!$B$31,Products!$A$7:$A$13,0))+'Operating costs'!$B$57,'Replacement plan'!$D$31))*(1+'Operating costs'!$B$50)^(E106/12))),"n.a.")</f>
        <v>0</v>
      </c>
      <c r="H106" s="16">
        <f>IFERROR(IF(C106=0,0,IF('Replacement plan'!$V$31&lt;&gt;"",'Replacement plan'!$V$31,IF(E106=0,F106,VLOOKUP($A106,'Fleet register'!$A$7:$S$106,12,FALSE)+VLOOKUP($A106,'Fleet register'!$A$7:$S$106,13,FALSE)*MAX(0,VLOOKUP($A106,'Fleet register'!$A$7:$S$106,10,FALSE)-E106)/VLOOKUP($A106,'Fleet register'!$A$7:$S$106,14,FALSE)))),"n.a.")</f>
        <v>0</v>
      </c>
      <c r="I106" s="16">
        <f>IF(C106=0,0,IF(E106=120,0,'Replacement plan'!$T$31))</f>
        <v>0</v>
      </c>
      <c r="J106" s="16">
        <f>IF(C106=0,0,IF(P106="Complete",((S106*(R106-'Operating costs'!$B$39))+ROUNDUP(S106*(R106-'Operating costs'!$B$39)*IF('Replacement plan'!$AG$31="",'Operating costs'!$B$7,'Replacement plan'!$AG$31)/('Operating costs'!$B$8-'Operating costs'!$B$9*IF('Replacement plan'!$AG$31="",'Operating costs'!$B$7,'Replacement plan'!$AG$31)),0)*'Operating costs'!$B$9)*IF('Replacement plan'!$AG$31="",'Operating costs'!$B$7,'Replacement plan'!$AG$31)*('Energy and charging'!$C$9*'Energy and charging'!$C$7+(1-'Energy and charging'!$C$9)*'Energy and charging'!$C$8)*'Operating costs'!$B$23,"n.a."))</f>
        <v>0</v>
      </c>
      <c r="K106" s="16">
        <f>IF(C106=0,0,IF(P106="Complete",SUM('Operating costs'!$B$24,'Operating costs'!$B$27,'Operating costs'!$B$29,'Operating costs'!$B$31,'Operating costs'!$B$33,'Operating costs'!$B$34,'Operating costs'!$B$37,'Replacement plan'!$W$31)+'Operating costs'!$B$39*'Operating costs'!$B$42+ROUNDUP(S106*(R106-'Operating costs'!$B$39)*IF('Replacement plan'!$AG$31="",'Operating costs'!$B$7,'Replacement plan'!$AG$31)/('Operating costs'!$B$8-'Operating costs'!$B$9*IF('Replacement plan'!$AG$31="",'Operating costs'!$B$7,'Replacement plan'!$AG$31)),0)*('Operating costs'!$B$9/'Operating costs'!$B$11+'Operating costs'!$B$10/60)*'Operating costs'!$B$19*'Operating costs'!$B$21,"n.a."))</f>
        <v>0</v>
      </c>
      <c r="L106" s="16">
        <f>IF(C106=0,0,IF(P106="Complete",IF(D106="EV",X106*((1-T106)*'Energy and charging'!$C$10+T106*'Energy and charging'!$C$11)*'Operating costs'!$B$22,AA106*('Energy and charging'!$C$9*'Energy and charging'!$C$7+(1-'Energy and charging'!$C$9)*'Energy and charging'!$C$8)*'Operating costs'!$B$23),"n.a."))</f>
        <v>0</v>
      </c>
      <c r="M106" s="37">
        <f>IF(C106=0,0,IF(P106="Complete",IF(D106="ICE",SUM('Operating costs'!$B$25,'Operating costs'!$B$27,'Operating costs'!$B$29,'Operating costs'!$B$31,'Operating costs'!$B$33,'Operating costs'!$B$35,'Operating costs'!$B$37,'Replacement plan'!$X$31)+'Operating costs'!$B$40*'Operating costs'!$B$42+ROUNDUP(S106*(R106-'Operating costs'!$B$40)*IF('Replacement plan'!$AH$31="",'Operating costs'!$B$7,'Replacement plan'!$AH$31)/('Operating costs'!$B$8-'Operating costs'!$B$9*IF('Replacement plan'!$AH$31="",'Operating costs'!$B$7,'Replacement plan'!$AH$31)),0)*('Operating costs'!$B$9/'Operating costs'!$B$11+'Operating costs'!$B$10/60)*'Operating costs'!$B$19*'Operating costs'!$B$21,SUM(AP106,'Operating costs'!$B$28,'Operating costs'!$B$30,'Operating costs'!$B$32,'Operating costs'!$B$33,'Operating costs'!$B$36,'Operating costs'!$B$38,'Replacement plan'!$Y$31)+'Operating costs'!$B$41*'Operating costs'!$B$43+W106*'Operating costs'!$B$15+(T106*X106/'Replacement plan'!$L$31+W106*('Operating costs'!$B$12/'Operating costs'!$B$11+('Operating costs'!$B$13+'Operating costs'!$B$14)/60)+(R106-'Operating costs'!$B$41)*(IF(T106&lt;1,'Operating costs'!$B$16,0)+'Operating costs'!$B$17)/60)*'Operating costs'!$B$19*'Operating costs'!$B$20),"n.a."))</f>
        <v>0</v>
      </c>
      <c r="N106" s="16">
        <f>IF(AND(C106=1,D106="EV",E106&lt;120,E106+'Replacement plan'!$AA$31&lt;=120),'Replacement plan'!$Z$31,0)</f>
        <v>0</v>
      </c>
      <c r="O106" s="1">
        <f>E106+'Replacement plan'!$AA$31</f>
        <v>0</v>
      </c>
      <c r="P106" s="35" t="str">
        <f>IFERROR(IF(C106=0,"Excluded",IF(OR(COUNTIFS('Fleet register'!$A$7:$A$106,A106)&lt;&gt;1,COUNTIFS('Replacement plan'!$A$7:$A$106,A106)&lt;&gt;1),"Duplicate/missing ID",IF(NOT(AND(ISNUMBER(VLOOKUP($A106,'Fleet register'!$A$7:$S$106,5,FALSE)),ISNUMBER(VLOOKUP($A106,'Fleet register'!$A$7:$S$106,6,FALSE)),ISNUMBER(VLOOKUP($A106,'Fleet register'!$A$7:$S$106,10,FALSE)),ISNUMBER(VLOOKUP($A106,'Fleet register'!$A$7:$S$106,11,FALSE)),ISNUMBER(VLOOKUP($A106,'Fleet register'!$A$7:$S$106,12,FALSE)),ISNUMBER(VLOOKUP($A106,'Fleet register'!$A$7:$S$106,13,FALSE)),ISNUMBER(VLOOKUP($A106,'Fleet register'!$A$7:$S$106,14,FALSE)),VLOOKUP($A106,'Fleet register'!$A$7:$S$106,14,FALSE)&gt;0,ISNUMBER('Replacement plan'!$C$31),OR(E106=120,ISNUMBER('Replacement plan'!$T$31)),ISNUMBER(E106))),"Missing vehicle input",IF(OR(E106&lt;0,E106&gt;VLOOKUP($A106,'Fleet register'!$A$7:$S$106,10,FALSE),E106&gt;120,E106&lt;&gt;INT(E106),VLOOKUP($A106,'Fleet register'!$A$7:$S$106,6,FALSE)&lt;=0,VLOOKUP($A106,'Fleet register'!$A$7:$S$106,6,FALSE)&gt;366,VLOOKUP($A106,'Fleet register'!$A$7:$S$106,5,FALSE)&lt;0,VLOOKUP($A106,'Fleet register'!$A$7:$S$106,11,FALSE)&lt;0,I106&lt;0,'Operating costs'!$B$8&lt;='Operating costs'!$B$7*'Operating costs'!$B$9,'Operating costs'!$B$11&lt;=0,'Operating costs'!$B$39&gt;R106,'Operating costs'!$B$40&gt;R106,'Operating costs'!$B$41&gt;R106,NOT(OR('Replacement plan'!$R$31="Keep ICE",'Replacement plan'!$R$31="New ICE",'Replacement plan'!$R$31="EV"))),"Invalid vehicle input",IF(AND(D106="EV",E106&lt;120,OR(NOT(ISNUMBER(U106)),NOT(ISNUMBER(V106)),V106&lt;=0,T106&lt;0,T106&gt;1,'Replacement plan'!$L$31&lt;=0,'Operating costs'!$B$44&lt;0,'Operating costs'!$B$44&gt;=1,'Operating costs'!$B$47&lt;=0,'Operating costs'!$B$47&gt;1,V106*'Operating costs'!$B$47/(1-'Operating costs'!$B$44)&lt;=T106*'Operating costs'!$B$12*U106,AND('Replacement plan'!$Z$31&gt;0,OR('Replacement plan'!$AB$31&lt;&gt;"Yes",'Operating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charging'!$C$8&gt;=0))),ISNUMBER(VLOOKUP($A106,'Fleet register'!$A$7:$S$106,15,FALSE)),ISNUMBER(VLOOKUP($A106,'Fleet register'!$A$7:$S$106,16,FALSE)),ISNUMBER('Replacement plan'!$W$31),ISNUMBER('Replacement plan'!$X$31),OR(E106=120,AND(ISNUMBER(G106),G106&gt;=0)),ISNUMBER(H106),H106&gt;=0,OR(D106&lt;&gt;"EV",E106=120,AND(ISNUMBER('Operating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average",ISNUMBER(IFERROR(INDEX(Products!$P$7:$P$13,MATCH(AD106,Products!$A$7:$A$13,0)),"")))),ISNUMBER('Operating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plan'!$Y$31),ISNUMBER('Replacement plan'!$Z$31),'Replacement plan'!$Z$31&gt;=0,ISNUMBER('Replacement plan'!$AA$31),'Replacement plan'!$AA$31&gt;=0,'Replacement plan'!$AA$31=INT('Replacement plan'!$AA$31),ISNUMBER('Replacement plan'!$L$31))),'Operating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plan'!$AG$31="",'Operating costs'!$B$7,'Replacement plan'!$AG$31)),IF('Replacement plan'!$AG$31="",'Operating costs'!$B$7,'Replacement plan'!$AG$31)&gt;=0,ISNUMBER(IF('Replacement plan'!$AH$31="",'Operating costs'!$B$7,'Replacement plan'!$AH$31)),IF('Replacement plan'!$AH$31="",'Operating costs'!$B$7,'Replacement plan'!$AH$31)&gt;=0,'Operating costs'!$B$8&gt;MAX(IF('Replacement plan'!$AG$31="",'Operating costs'!$B$7,'Replacement plan'!$AG$31),IF('Replacement plan'!$AH$31="",'Operating costs'!$B$7,'Replacement plan'!$AH$31))*'Operating costs'!$B$9),IF(AND(VLOOKUP($A106,'Fleet register'!$A$7:$S$106,10,FALSE)&gt;=0,VLOOKUP($A106,'Fleet register'!$A$7:$S$106,10,FALSE)&lt;=120,VLOOKUP($A106,'Fleet register'!$A$7:$S$106,10,FALSE)=INT(VLOOKUP($A106,'Fleet register'!$A$7:$S$106,10,FALSE)),VLOOKUP($A106,'Fleet register'!$A$7:$S$106,15,FALSE)&gt;=0,VLOOKUP($A106,'Fleet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costs'!$B$67)&gt;=0,OR(D106&lt;&gt;"EV",E106=120,AND(MIN('Operating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06" s="1" t="str">
        <f>IF(C106=0,"Excluded",IF(P106&lt;&gt;"Complete",P106,IF(OR('Replacement plan'!$AD$31&lt;120-E106,AND(D106="EV",E106&lt;120,OR('Replacement plan'!$AC$31&lt;120-E106,'Replacement plan'!$I$31="No",AND(ISNUMBER(AF106),AE106&gt;AF106),AI106&gt;V106*(1-'Operating costs'!$B$46)^MAX(0,AB106-1)*(1-'Operating costs'!$B$45),AC106&gt;'Operating costs'!$B$18,AND(T106&lt;1,OR(AG106&lt;=0,AND(ISNUMBER(AH106),AG106&gt;AH106))),'Replacement plan'!$L$31&gt;INDEX(Products!$H$7:$H$13,MATCH('Replacement plan'!$B$31,Products!$A$7:$A$13,0))))),"Fails entered limits",IF(AND(D106="EV",E106&lt;120,OR(NOT(ISNUMBER(VLOOKUP($A106,'Fleet register'!$A$7:$S$106,7,FALSE))),NOT(ISNUMBER(VLOOKUP($A106,'Fleet register'!$A$7:$S$106,8,FALSE))),NOT(ISNUMBER(AF106)),'Replacement plan'!$I$31&lt;&gt;"Yes",NOT(ISNUMBER(AH106)),'Operating costs'!$B$59&lt;&gt;"Yes",'Operating costs'!$B$58&lt;&gt;"Yes")),"Unverified","Within entered limits"))))</f>
        <v>Excluded</v>
      </c>
      <c r="R106" s="1">
        <f>IF(C106=0,0,VLOOKUP($A106,'Fleet register'!$A$7:$S$106,6,FALSE))</f>
        <v>0</v>
      </c>
      <c r="S106" s="1">
        <f>IF(C106=0,0,VLOOKUP($A106,'Fleet register'!$A$7:$S$106,5,FALSE))</f>
        <v>0</v>
      </c>
      <c r="T106" s="1">
        <f>IF(D106="EV",'Energy and charging'!$C$12,0)</f>
        <v>0</v>
      </c>
      <c r="U106" s="1">
        <f>IFERROR(IF(C106=0,0,IF(D106="EV",IF('Replacement plan'!$F$31="",INDEX(Products!$E$7:$E$13,MATCH('Replacement plan'!$B$31,Products!$A$7:$A$13,0)),'Replacement plan'!$F$31)/IF('Replacement plan'!$G$31="Battery",1-'Operating costs'!$B$44,1),0)),"n.a.")</f>
        <v>0</v>
      </c>
      <c r="V106" s="1">
        <f>IFERROR(IF(C106=0,0,IF(D106="EV",IF('Replacement plan'!$E$31="",INDEX(Products!$D$7:$D$13,MATCH('Replacement plan'!$B$31,Products!$A$7:$A$13,0)),'Replacement plan'!$E$31),0)),"n.a.")</f>
        <v>0</v>
      </c>
      <c r="W106" s="1">
        <f>IF(C106=0,0,IF(AND(P106="Complete",D106="EV",E106&lt;120),IF(T106=0,0,ROUNDUP(T106*(R106-'Operating costs'!$B$41)*(S106*U106+'Operating costs'!$B$48/(1-'Operating costs'!$B$44))/(V106*'Operating costs'!$B$47/(1-'Operating costs'!$B$44)-T106*'Operating costs'!$B$12*U106),0)),0))</f>
        <v>0</v>
      </c>
      <c r="X106" s="1">
        <f>IF(C106=0,0,IF(AND(P106="Complete",D106="EV",E106&lt;120),(R106-'Operating costs'!$B$41)*(S106*U106+'Operating costs'!$B$48/(1-'Operating costs'!$B$44))+W106*'Operating costs'!$B$12*U106,0))</f>
        <v>0</v>
      </c>
      <c r="Y106" s="1">
        <f>IF(AND(C106=1,D106="EV",E106&lt;120),AI106/(1-'Operating costs'!$B$44)*(1-T106),0)</f>
        <v>0</v>
      </c>
      <c r="Z106" s="1">
        <f t="shared" si="2"/>
        <v>0</v>
      </c>
      <c r="AA106" s="1">
        <f>IF(C106=0,0,IF(P106="Complete",((S106*(R106-'Operating costs'!$B$40))+ROUNDUP(S106*(R106-'Operating costs'!$B$40)*IF('Replacement plan'!$AH$31="",'Operating costs'!$B$7,'Replacement plan'!$AH$31)/('Operating costs'!$B$8-'Operating costs'!$B$9*IF('Replacement plan'!$AH$31="",'Operating costs'!$B$7,'Replacement plan'!$AH$31)),0)*'Operating costs'!$B$9)*IF('Replacement plan'!$AH$31="",'Operating costs'!$B$7,'Replacement plan'!$AH$31),"n.a."))</f>
        <v>0</v>
      </c>
      <c r="AB106" s="1">
        <f t="shared" si="3"/>
        <v>0</v>
      </c>
      <c r="AC106" s="1">
        <f>IF(AND(C106=1,D106="EV",E106&lt;120,T106&gt;0),'Operating costs'!$B$12/'Operating costs'!$B$11*60+'Operating costs'!$B$13+'Operating costs'!$B$14+V106*'Operating costs'!$B$47/(1-'Operating costs'!$B$44)/'Replacement plan'!$L$31*60,0)</f>
        <v>0</v>
      </c>
      <c r="AD106" s="1" t="str">
        <f>'Replacement plan'!$B$31</f>
        <v>ChengLong L2EV</v>
      </c>
      <c r="AE106" s="1">
        <f>IF(C106=0,0,VLOOKUP($A106,'Fleet register'!$A$7:$S$106,8,FALSE))</f>
        <v>0</v>
      </c>
      <c r="AF106" s="1" t="str">
        <f>IF('Replacement plan'!$H$31="","n.a.",'Replacement plan'!$H$31)</f>
        <v>n.a.</v>
      </c>
      <c r="AG106" s="1">
        <f>'Replacement plan'!$J$31</f>
        <v>22</v>
      </c>
      <c r="AH106" s="1">
        <f>IFERROR(IF(D106="EV",IF('Replacement plan'!$K$31="AC",IF(ISNUMBER(INDEX(Products!$G$7:$G$13,MATCH('Replacement plan'!$B$31,Products!$A$7:$A$13,0))),INDEX(Products!$G$7:$G$13,MATCH('Replacement plan'!$B$31,Products!$A$7:$A$13,0)),"n.a."),IF(ISNUMBER(INDEX(Products!$H$7:$H$13,MATCH('Replacement plan'!$B$31,Products!$A$7:$A$13,0))),INDEX(Products!$H$7:$H$13,MATCH('Replacement plan'!$B$31,Products!$A$7:$A$13,0)),"n.a.")),0),"n.a.")</f>
        <v>0</v>
      </c>
      <c r="AI106" s="1">
        <f>IF(AND(C106=1,D106="EV",E106&lt;120),(VLOOKUP($A106,'Fleet register'!$A$7:$S$106,7,FALSE)+IF(T106&gt;0,'Operating costs'!$B$12,0))*U106*(1-'Operating costs'!$B$44)+'Operating costs'!$B$49,0)</f>
        <v>0</v>
      </c>
      <c r="AJ106" s="1">
        <f>IF(D106="EV",'Energy and charging'!$C$50,0)</f>
        <v>0</v>
      </c>
      <c r="AK106" s="17">
        <f>EDATE('Operating costs'!$B$63,E106)</f>
        <v>46298</v>
      </c>
      <c r="AL106" s="1">
        <f>IFERROR(IF(D106="EV",INDEX(Products!$B$7:$B$13,MATCH('Replacement plan'!$B$31,Products!$A$7:$A$13,0)),0),"n.a.")</f>
        <v>0</v>
      </c>
      <c r="AM106" s="1" t="str">
        <f>'Replacement plan'!$K$31</f>
        <v>DC</v>
      </c>
      <c r="AN106" s="1" t="str">
        <f>'Replacement plan'!$AE$31</f>
        <v>Assumed</v>
      </c>
      <c r="AO106" s="47">
        <f>IF(AND(C106=1,D106="EV",E106&lt;120),(R106-'Operating costs'!$B$41)*S106+W106*'Operating costs'!$B$12,0)</f>
        <v>0</v>
      </c>
      <c r="AP106" s="41">
        <f>IF(AND(C106=1,D106="EV",E106&lt;120),IF('Operating costs'!$B$68="Hong Seh 200k average",AO106*IFERROR(INDEX(Products!$P$7:$P$13,MATCH(AD106,Products!$A$7:$A$13,0)),"n.a."),'Operating costs'!$B$26),0)</f>
        <v>0</v>
      </c>
      <c r="AQ106" s="40" t="str">
        <f>IF(D106="EV",'Operating costs'!$B$68,"Not applicable")</f>
        <v>Not applicable</v>
      </c>
    </row>
    <row r="107" spans="1:43" ht="24" customHeight="1">
      <c r="A107" s="1" t="str">
        <f>'Replacement plan'!A32</f>
        <v>T026</v>
      </c>
      <c r="B107" s="1">
        <v>0</v>
      </c>
      <c r="C107" s="1">
        <f>IF(COUNTIFS('Fleet register'!$A$7:$A$106,$A107)=1,VLOOKUP($A107,'Fleet register'!$A$7:$S$106,2,FALSE),0)</f>
        <v>0</v>
      </c>
      <c r="D107" s="1" t="str">
        <f>IF("Keep ICE"="EV","EV","ICE")</f>
        <v>ICE</v>
      </c>
      <c r="E107" s="1">
        <f>IF(C107=0,0,IF('Replacement plan'!$M$32="",VLOOKUP($A107,'Fleet register'!$A$7:$S$106,10,FALSE),'Replacement plan'!$M$32))</f>
        <v>0</v>
      </c>
      <c r="F107" s="16">
        <f>IF(C107=0,0,VLOOKUP($A107,'Fleet register'!$A$7:$S$106,11,FALSE))</f>
        <v>0</v>
      </c>
      <c r="G107" s="16">
        <f>IFERROR(IF(C107=0,0,IF(E107=120,0,IF(D107="ICE",'Replacement plan'!$C$32,IF('Replacement plan'!$D$32="",INDEX(Products!$I$7:$I$13,MATCH('Replacement plan'!$B$32,Products!$A$7:$A$13,0))+'Operating costs'!$B$57,'Replacement plan'!$D$32))*(1+'Operating costs'!$B$50)^(E107/12))),"n.a.")</f>
        <v>0</v>
      </c>
      <c r="H107" s="16">
        <f>IFERROR(IF(C107=0,0,IF(E107=0,F107,VLOOKUP($A107,'Fleet register'!$A$7:$S$106,12,FALSE)+VLOOKUP($A107,'Fleet register'!$A$7:$S$106,13,FALSE)*MAX(0,VLOOKUP($A107,'Fleet register'!$A$7:$S$106,10,FALSE)-E107)/VLOOKUP($A107,'Fleet register'!$A$7:$S$106,14,FALSE))),"n.a.")</f>
        <v>0</v>
      </c>
      <c r="I107" s="16">
        <f>IF(C107=0,0,IF(E107=120,0,'Replacement plan'!$N$32))</f>
        <v>0</v>
      </c>
      <c r="J107" s="16">
        <f>IF(C107=0,0,IF(P107="Complete",((S107*(R107-'Operating costs'!$B$39))+ROUNDUP(S107*(R107-'Operating costs'!$B$39)*IF('Replacement plan'!$AG$32="",'Operating costs'!$B$7,'Replacement plan'!$AG$32)/('Operating costs'!$B$8-'Operating costs'!$B$9*IF('Replacement plan'!$AG$32="",'Operating costs'!$B$7,'Replacement plan'!$AG$32)),0)*'Operating costs'!$B$9)*IF('Replacement plan'!$AG$32="",'Operating costs'!$B$7,'Replacement plan'!$AG$32)*('Energy and charging'!$B$9*'Energy and charging'!$B$7+(1-'Energy and charging'!$B$9)*'Energy and charging'!$B$8)*'Operating costs'!$B$23,"n.a."))</f>
        <v>0</v>
      </c>
      <c r="K107" s="16">
        <f>IF(C107=0,0,IF(P107="Complete",SUM('Operating costs'!$B$24,'Operating costs'!$B$27,'Operating costs'!$B$29,'Operating costs'!$B$31,'Operating costs'!$B$33,'Operating costs'!$B$34,'Operating costs'!$B$37,'Replacement plan'!$W$32)+'Operating costs'!$B$39*'Operating costs'!$B$42+ROUNDUP(S107*(R107-'Operating costs'!$B$39)*IF('Replacement plan'!$AG$32="",'Operating costs'!$B$7,'Replacement plan'!$AG$32)/('Operating costs'!$B$8-'Operating costs'!$B$9*IF('Replacement plan'!$AG$32="",'Operating costs'!$B$7,'Replacement plan'!$AG$32)),0)*('Operating costs'!$B$9/'Operating costs'!$B$11+'Operating costs'!$B$10/60)*'Operating costs'!$B$19*'Operating costs'!$B$21,"n.a."))</f>
        <v>0</v>
      </c>
      <c r="L107" s="16">
        <f>IF(C107=0,0,IF(P107="Complete",IF(D107="EV",X107*((1-T107)*'Energy and charging'!$B$10+T107*'Energy and charging'!$B$11)*'Operating costs'!$B$22,AA107*('Energy and charging'!$B$9*'Energy and charging'!$B$7+(1-'Energy and charging'!$B$9)*'Energy and charging'!$B$8)*'Operating costs'!$B$23),"n.a."))</f>
        <v>0</v>
      </c>
      <c r="M107" s="37">
        <f>IF(C107=0,0,IF(P107="Complete",IF(D107="ICE",SUM('Operating costs'!$B$25,'Operating costs'!$B$27,'Operating costs'!$B$29,'Operating costs'!$B$31,'Operating costs'!$B$33,'Operating costs'!$B$35,'Operating costs'!$B$37,'Replacement plan'!$X$32)+'Operating costs'!$B$40*'Operating costs'!$B$42+ROUNDUP(S107*(R107-'Operating costs'!$B$40)*IF('Replacement plan'!$AH$32="",'Operating costs'!$B$7,'Replacement plan'!$AH$32)/('Operating costs'!$B$8-'Operating costs'!$B$9*IF('Replacement plan'!$AH$32="",'Operating costs'!$B$7,'Replacement plan'!$AH$32)),0)*('Operating costs'!$B$9/'Operating costs'!$B$11+'Operating costs'!$B$10/60)*'Operating costs'!$B$19*'Operating costs'!$B$21,SUM(AP107,'Operating costs'!$B$28,'Operating costs'!$B$30,'Operating costs'!$B$32,'Operating costs'!$B$33,'Operating costs'!$B$36,'Operating costs'!$B$38,'Replacement plan'!$Y$32)+'Operating costs'!$B$41*'Operating costs'!$B$43+W107*'Operating costs'!$B$15+(T107*X107/'Replacement plan'!$L$32+W107*('Operating costs'!$B$12/'Operating costs'!$B$11+('Operating costs'!$B$13+'Operating costs'!$B$14)/60)+(R107-'Operating costs'!$B$41)*(IF(T107&lt;1,'Operating costs'!$B$16,0)+'Operating costs'!$B$17)/60)*'Operating costs'!$B$19*'Operating costs'!$B$20),"n.a."))</f>
        <v>0</v>
      </c>
      <c r="N107" s="16">
        <f>IF(AND(C107=1,D107="EV",E107&lt;120,E107+'Replacement plan'!$AA$32&lt;=120),'Replacement plan'!$Z$32,0)</f>
        <v>0</v>
      </c>
      <c r="O107" s="1">
        <f>E107+'Replacement plan'!$AA$32</f>
        <v>0</v>
      </c>
      <c r="P107" s="35" t="str">
        <f>IFERROR(IF(C107=0,"Excluded",IF(OR(COUNTIFS('Fleet register'!$A$7:$A$106,A107)&lt;&gt;1,COUNTIFS('Replacement plan'!$A$7:$A$106,A107)&lt;&gt;1),"Duplicate/missing ID",IF(NOT(AND(ISNUMBER(VLOOKUP($A107,'Fleet register'!$A$7:$S$106,5,FALSE)),ISNUMBER(VLOOKUP($A107,'Fleet register'!$A$7:$S$106,6,FALSE)),ISNUMBER(VLOOKUP($A107,'Fleet register'!$A$7:$S$106,10,FALSE)),ISNUMBER(VLOOKUP($A107,'Fleet register'!$A$7:$S$106,11,FALSE)),ISNUMBER(VLOOKUP($A107,'Fleet register'!$A$7:$S$106,12,FALSE)),ISNUMBER(VLOOKUP($A107,'Fleet register'!$A$7:$S$106,13,FALSE)),ISNUMBER(VLOOKUP($A107,'Fleet register'!$A$7:$S$106,14,FALSE)),VLOOKUP($A107,'Fleet register'!$A$7:$S$106,14,FALSE)&gt;0,ISNUMBER('Replacement plan'!$C$32),OR(E107=120,ISNUMBER('Replacement plan'!$N$32)),ISNUMBER(E107))),"Missing vehicle input",IF(OR(E107&lt;0,E107&gt;VLOOKUP($A107,'Fleet register'!$A$7:$S$106,10,FALSE),E107&gt;120,E107&lt;&gt;INT(E107),VLOOKUP($A107,'Fleet register'!$A$7:$S$106,6,FALSE)&lt;=0,VLOOKUP($A107,'Fleet register'!$A$7:$S$106,6,FALSE)&gt;366,VLOOKUP($A107,'Fleet register'!$A$7:$S$106,5,FALSE)&lt;0,VLOOKUP($A107,'Fleet register'!$A$7:$S$106,11,FALSE)&lt;0,I107&lt;0,'Operating costs'!$B$8&lt;='Operating costs'!$B$7*'Operating costs'!$B$9,'Operating costs'!$B$11&lt;=0,'Operating costs'!$B$39&gt;R107,'Operating costs'!$B$40&gt;R107,'Operating costs'!$B$41&gt;R107,NOT(OR("Keep ICE"="Keep ICE","Keep ICE"="New ICE","Keep ICE"="EV"))),"Invalid vehicle input",IF(AND(D107="EV",E107&lt;120,OR(NOT(ISNUMBER(U107)),NOT(ISNUMBER(V107)),V107&lt;=0,T107&lt;0,T107&gt;1,'Replacement plan'!$L$32&lt;=0,'Operating costs'!$B$44&lt;0,'Operating costs'!$B$44&gt;=1,'Operating costs'!$B$47&lt;=0,'Operating costs'!$B$47&gt;1,V107*'Operating costs'!$B$47/(1-'Operating costs'!$B$44)&lt;=T107*'Operating costs'!$B$12*U107,AND('Replacement plan'!$Z$32&gt;0,OR('Replacement plan'!$AB$32&lt;&gt;"Yes",'Operating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charging'!$B$8&gt;=0))),ISNUMBER(VLOOKUP($A107,'Fleet register'!$A$7:$S$106,15,FALSE)),ISNUMBER(VLOOKUP($A107,'Fleet register'!$A$7:$S$106,16,FALSE)),ISNUMBER('Replacement plan'!$W$32),ISNUMBER('Replacement plan'!$X$32),OR(E107=120,AND(ISNUMBER(G107),G107&gt;=0)),ISNUMBER(H107),H107&gt;=0,OR(D107&lt;&gt;"EV",E107=120,AND(ISNUMBER('Operating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average",ISNUMBER(IFERROR(INDEX(Products!$P$7:$P$13,MATCH(AD107,Products!$A$7:$A$13,0)),"")))),ISNUMBER('Operating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plan'!$Y$32),ISNUMBER('Replacement plan'!$Z$32),'Replacement plan'!$Z$32&gt;=0,ISNUMBER('Replacement plan'!$AA$32),'Replacement plan'!$AA$32&gt;=0,'Replacement plan'!$AA$32=INT('Replacement plan'!$AA$32),ISNUMBER('Replacement plan'!$L$32))),'Operating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plan'!$AG$32="",'Operating costs'!$B$7,'Replacement plan'!$AG$32)),IF('Replacement plan'!$AG$32="",'Operating costs'!$B$7,'Replacement plan'!$AG$32)&gt;=0,ISNUMBER(IF('Replacement plan'!$AH$32="",'Operating costs'!$B$7,'Replacement plan'!$AH$32)),IF('Replacement plan'!$AH$32="",'Operating costs'!$B$7,'Replacement plan'!$AH$32)&gt;=0,'Operating costs'!$B$8&gt;MAX(IF('Replacement plan'!$AG$32="",'Operating costs'!$B$7,'Replacement plan'!$AG$32),IF('Replacement plan'!$AH$32="",'Operating costs'!$B$7,'Replacement plan'!$AH$32))*'Operating costs'!$B$9),IF(AND(VLOOKUP($A107,'Fleet register'!$A$7:$S$106,10,FALSE)&gt;=0,VLOOKUP($A107,'Fleet register'!$A$7:$S$106,10,FALSE)&lt;=120,VLOOKUP($A107,'Fleet register'!$A$7:$S$106,10,FALSE)=INT(VLOOKUP($A107,'Fleet register'!$A$7:$S$106,10,FALSE)),VLOOKUP($A107,'Fleet register'!$A$7:$S$106,15,FALSE)&gt;=0,VLOOKUP($A107,'Fleet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costs'!$B$67)&gt;=0,OR(D107&lt;&gt;"EV",E107=120,AND(MIN('Operating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07" s="1" t="str">
        <f>IF(C107=0,"Excluded",IF(P107&lt;&gt;"Complete",P107,IF(OR('Replacement plan'!$AD$32&lt;120-E107,AND(D107="EV",E107&lt;120,OR('Replacement plan'!$AC$32&lt;120-E107,'Replacement plan'!$I$32="No",AND(ISNUMBER(AF107),AE107&gt;AF107),AI107&gt;V107*(1-'Operating costs'!$B$46)^MAX(0,AB107-1)*(1-'Operating costs'!$B$45),AC107&gt;'Operating costs'!$B$18,AND(T107&lt;1,OR(AG107&lt;=0,AND(ISNUMBER(AH107),AG107&gt;AH107))),'Replacement plan'!$L$32&gt;INDEX(Products!$H$7:$H$13,MATCH('Replacement plan'!$B$32,Products!$A$7:$A$13,0))))),"Fails entered limits",IF(AND(D107="EV",E107&lt;120,OR(NOT(ISNUMBER(VLOOKUP($A107,'Fleet register'!$A$7:$S$106,7,FALSE))),NOT(ISNUMBER(VLOOKUP($A107,'Fleet register'!$A$7:$S$106,8,FALSE))),NOT(ISNUMBER(AF107)),'Replacement plan'!$I$32&lt;&gt;"Yes",NOT(ISNUMBER(AH107)),'Operating costs'!$B$59&lt;&gt;"Yes",'Operating costs'!$B$58&lt;&gt;"Yes")),"Unverified","Within entered limits"))))</f>
        <v>Excluded</v>
      </c>
      <c r="R107" s="1">
        <f>IF(C107=0,0,VLOOKUP($A107,'Fleet register'!$A$7:$S$106,6,FALSE))</f>
        <v>0</v>
      </c>
      <c r="S107" s="1">
        <f>IF(C107=0,0,VLOOKUP($A107,'Fleet register'!$A$7:$S$106,5,FALSE))</f>
        <v>0</v>
      </c>
      <c r="T107" s="1">
        <f>IF(D107="EV",'Energy and charging'!$B$12,0)</f>
        <v>0</v>
      </c>
      <c r="U107" s="1">
        <f>IFERROR(IF(C107=0,0,IF(D107="EV",IF('Replacement plan'!$F$32="",INDEX(Products!$E$7:$E$13,MATCH('Replacement plan'!$B$32,Products!$A$7:$A$13,0)),'Replacement plan'!$F$32)/IF('Replacement plan'!$G$32="Battery",1-'Operating costs'!$B$44,1),0)),"n.a.")</f>
        <v>0</v>
      </c>
      <c r="V107" s="1">
        <f>IFERROR(IF(C107=0,0,IF(D107="EV",IF('Replacement plan'!$E$32="",INDEX(Products!$D$7:$D$13,MATCH('Replacement plan'!$B$32,Products!$A$7:$A$13,0)),'Replacement plan'!$E$32),0)),"n.a.")</f>
        <v>0</v>
      </c>
      <c r="W107" s="1">
        <f>IF(C107=0,0,IF(AND(P107="Complete",D107="EV",E107&lt;120),IF(T107=0,0,ROUNDUP(T107*(R107-'Operating costs'!$B$41)*(S107*U107+'Operating costs'!$B$48/(1-'Operating costs'!$B$44))/(V107*'Operating costs'!$B$47/(1-'Operating costs'!$B$44)-T107*'Operating costs'!$B$12*U107),0)),0))</f>
        <v>0</v>
      </c>
      <c r="X107" s="1">
        <f>IF(C107=0,0,IF(AND(P107="Complete",D107="EV",E107&lt;120),(R107-'Operating costs'!$B$41)*(S107*U107+'Operating costs'!$B$48/(1-'Operating costs'!$B$44))+W107*'Operating costs'!$B$12*U107,0))</f>
        <v>0</v>
      </c>
      <c r="Y107" s="1">
        <f>IF(AND(C107=1,D107="EV",E107&lt;120),AI107/(1-'Operating costs'!$B$44)*(1-T107),0)</f>
        <v>0</v>
      </c>
      <c r="Z107" s="1">
        <f t="shared" si="2"/>
        <v>0</v>
      </c>
      <c r="AA107" s="1">
        <f>IF(C107=0,0,IF(P107="Complete",((S107*(R107-'Operating costs'!$B$40))+ROUNDUP(S107*(R107-'Operating costs'!$B$40)*IF('Replacement plan'!$AH$32="",'Operating costs'!$B$7,'Replacement plan'!$AH$32)/('Operating costs'!$B$8-'Operating costs'!$B$9*IF('Replacement plan'!$AH$32="",'Operating costs'!$B$7,'Replacement plan'!$AH$32)),0)*'Operating costs'!$B$9)*IF('Replacement plan'!$AH$32="",'Operating costs'!$B$7,'Replacement plan'!$AH$32),"n.a."))</f>
        <v>0</v>
      </c>
      <c r="AB107" s="1">
        <f t="shared" si="3"/>
        <v>0</v>
      </c>
      <c r="AC107" s="1">
        <f>IF(AND(C107=1,D107="EV",E107&lt;120,T107&gt;0),'Operating costs'!$B$12/'Operating costs'!$B$11*60+'Operating costs'!$B$13+'Operating costs'!$B$14+V107*'Operating costs'!$B$47/(1-'Operating costs'!$B$44)/'Replacement plan'!$L$32*60,0)</f>
        <v>0</v>
      </c>
      <c r="AD107" s="1" t="str">
        <f>'Replacement plan'!$B$32</f>
        <v>ChengLong L2EV</v>
      </c>
      <c r="AE107" s="1">
        <f>IF(C107=0,0,VLOOKUP($A107,'Fleet register'!$A$7:$S$106,8,FALSE))</f>
        <v>0</v>
      </c>
      <c r="AF107" s="1" t="str">
        <f>IF('Replacement plan'!$H$32="","n.a.",'Replacement plan'!$H$32)</f>
        <v>n.a.</v>
      </c>
      <c r="AG107" s="1">
        <f>'Replacement plan'!$J$32</f>
        <v>22</v>
      </c>
      <c r="AH107" s="1">
        <f>IFERROR(IF(D107="EV",IF('Replacement plan'!$K$32="AC",IF(ISNUMBER(INDEX(Products!$G$7:$G$13,MATCH('Replacement plan'!$B$32,Products!$A$7:$A$13,0))),INDEX(Products!$G$7:$G$13,MATCH('Replacement plan'!$B$32,Products!$A$7:$A$13,0)),"n.a."),IF(ISNUMBER(INDEX(Products!$H$7:$H$13,MATCH('Replacement plan'!$B$32,Products!$A$7:$A$13,0))),INDEX(Products!$H$7:$H$13,MATCH('Replacement plan'!$B$32,Products!$A$7:$A$13,0)),"n.a.")),0),"n.a.")</f>
        <v>0</v>
      </c>
      <c r="AI107" s="1">
        <f>IF(AND(C107=1,D107="EV",E107&lt;120),(VLOOKUP($A107,'Fleet register'!$A$7:$S$106,7,FALSE)+IF(T107&gt;0,'Operating costs'!$B$12,0))*U107*(1-'Operating costs'!$B$44)+'Operating costs'!$B$49,0)</f>
        <v>0</v>
      </c>
      <c r="AJ107" s="1">
        <f>IF(D107="EV",'Energy and charging'!$B$50,0)</f>
        <v>0</v>
      </c>
      <c r="AK107" s="17">
        <f>EDATE('Operating costs'!$B$63,E107)</f>
        <v>46298</v>
      </c>
      <c r="AL107" s="1">
        <f>IFERROR(IF(D107="EV",INDEX(Products!$B$7:$B$13,MATCH('Replacement plan'!$B$32,Products!$A$7:$A$13,0)),0),"n.a.")</f>
        <v>0</v>
      </c>
      <c r="AM107" s="1" t="str">
        <f>'Replacement plan'!$K$32</f>
        <v>DC</v>
      </c>
      <c r="AN107" s="1" t="str">
        <f>'Replacement plan'!$AE$32</f>
        <v>Assumed</v>
      </c>
      <c r="AO107" s="47">
        <f>IF(AND(C107=1,D107="EV",E107&lt;120),(R107-'Operating costs'!$B$41)*S107+W107*'Operating costs'!$B$12,0)</f>
        <v>0</v>
      </c>
      <c r="AP107" s="41">
        <f>IF(AND(C107=1,D107="EV",E107&lt;120),IF('Operating costs'!$B$68="Hong Seh 200k average",AO107*IFERROR(INDEX(Products!$P$7:$P$13,MATCH(AD107,Products!$A$7:$A$13,0)),"n.a."),'Operating costs'!$B$26),0)</f>
        <v>0</v>
      </c>
      <c r="AQ107" s="40" t="str">
        <f>IF(D107="EV",'Operating costs'!$B$68,"Not applicable")</f>
        <v>Not applicable</v>
      </c>
    </row>
    <row r="108" spans="1:43" ht="24" customHeight="1">
      <c r="A108" s="1" t="str">
        <f>'Replacement plan'!A32</f>
        <v>T026</v>
      </c>
      <c r="B108" s="1">
        <v>1</v>
      </c>
      <c r="C108" s="1">
        <f>IF(COUNTIFS('Fleet register'!$A$7:$A$106,$A108)=1,VLOOKUP($A108,'Fleet register'!$A$7:$S$106,2,FALSE),0)</f>
        <v>0</v>
      </c>
      <c r="D108" s="1" t="str">
        <f>IF("New ICE"="EV","EV","ICE")</f>
        <v>ICE</v>
      </c>
      <c r="E108" s="1">
        <f>IF(C108=0,0,0)</f>
        <v>0</v>
      </c>
      <c r="F108" s="16">
        <f>IF(C108=0,0,VLOOKUP($A108,'Fleet register'!$A$7:$S$106,11,FALSE))</f>
        <v>0</v>
      </c>
      <c r="G108" s="16">
        <f>IFERROR(IF(C108=0,0,IF(E108=120,0,IF(D108="ICE",'Replacement plan'!$C$32,IF('Replacement plan'!$D$32="",INDEX(Products!$I$7:$I$13,MATCH('Replacement plan'!$B$32,Products!$A$7:$A$13,0))+'Operating costs'!$B$57,'Replacement plan'!$D$32))*(1+'Operating costs'!$B$50)^(E108/12))),"n.a.")</f>
        <v>0</v>
      </c>
      <c r="H108" s="16">
        <f>IFERROR(IF(C108=0,0,IF(E108=0,F108,VLOOKUP($A108,'Fleet register'!$A$7:$S$106,12,FALSE)+VLOOKUP($A108,'Fleet register'!$A$7:$S$106,13,FALSE)*MAX(0,VLOOKUP($A108,'Fleet register'!$A$7:$S$106,10,FALSE)-E108)/VLOOKUP($A108,'Fleet register'!$A$7:$S$106,14,FALSE))),"n.a.")</f>
        <v>0</v>
      </c>
      <c r="I108" s="16">
        <f>IF(C108=0,0,IF(E108=120,0,IF('Replacement plan'!$AI$32="",'Operating costs'!$B$56,'Replacement plan'!$AI$32)))</f>
        <v>0</v>
      </c>
      <c r="J108" s="16">
        <f>IF(C108=0,0,IF(P108="Complete",((S108*(R108-'Operating costs'!$B$39))+ROUNDUP(S108*(R108-'Operating costs'!$B$39)*IF('Replacement plan'!$AG$32="",'Operating costs'!$B$7,'Replacement plan'!$AG$32)/('Operating costs'!$B$8-'Operating costs'!$B$9*IF('Replacement plan'!$AG$32="",'Operating costs'!$B$7,'Replacement plan'!$AG$32)),0)*'Operating costs'!$B$9)*IF('Replacement plan'!$AG$32="",'Operating costs'!$B$7,'Replacement plan'!$AG$32)*('Energy and charging'!$B$9*'Energy and charging'!$B$7+(1-'Energy and charging'!$B$9)*'Energy and charging'!$B$8)*'Operating costs'!$B$23,"n.a."))</f>
        <v>0</v>
      </c>
      <c r="K108" s="16">
        <f>IF(C108=0,0,IF(P108="Complete",SUM('Operating costs'!$B$24,'Operating costs'!$B$27,'Operating costs'!$B$29,'Operating costs'!$B$31,'Operating costs'!$B$33,'Operating costs'!$B$34,'Operating costs'!$B$37,'Replacement plan'!$W$32)+'Operating costs'!$B$39*'Operating costs'!$B$42+ROUNDUP(S108*(R108-'Operating costs'!$B$39)*IF('Replacement plan'!$AG$32="",'Operating costs'!$B$7,'Replacement plan'!$AG$32)/('Operating costs'!$B$8-'Operating costs'!$B$9*IF('Replacement plan'!$AG$32="",'Operating costs'!$B$7,'Replacement plan'!$AG$32)),0)*('Operating costs'!$B$9/'Operating costs'!$B$11+'Operating costs'!$B$10/60)*'Operating costs'!$B$19*'Operating costs'!$B$21,"n.a."))</f>
        <v>0</v>
      </c>
      <c r="L108" s="16">
        <f>IF(C108=0,0,IF(P108="Complete",IF(D108="EV",X108*((1-T108)*'Energy and charging'!$B$10+T108*'Energy and charging'!$B$11)*'Operating costs'!$B$22,AA108*('Energy and charging'!$B$9*'Energy and charging'!$B$7+(1-'Energy and charging'!$B$9)*'Energy and charging'!$B$8)*'Operating costs'!$B$23),"n.a."))</f>
        <v>0</v>
      </c>
      <c r="M108" s="37">
        <f>IF(C108=0,0,IF(P108="Complete",IF(D108="ICE",SUM('Operating costs'!$B$25,'Operating costs'!$B$27,'Operating costs'!$B$29,'Operating costs'!$B$31,'Operating costs'!$B$33,'Operating costs'!$B$35,'Operating costs'!$B$37,'Replacement plan'!$X$32)+'Operating costs'!$B$40*'Operating costs'!$B$42+ROUNDUP(S108*(R108-'Operating costs'!$B$40)*IF('Replacement plan'!$AH$32="",'Operating costs'!$B$7,'Replacement plan'!$AH$32)/('Operating costs'!$B$8-'Operating costs'!$B$9*IF('Replacement plan'!$AH$32="",'Operating costs'!$B$7,'Replacement plan'!$AH$32)),0)*('Operating costs'!$B$9/'Operating costs'!$B$11+'Operating costs'!$B$10/60)*'Operating costs'!$B$19*'Operating costs'!$B$21,SUM(AP108,'Operating costs'!$B$28,'Operating costs'!$B$30,'Operating costs'!$B$32,'Operating costs'!$B$33,'Operating costs'!$B$36,'Operating costs'!$B$38,'Replacement plan'!$Y$32)+'Operating costs'!$B$41*'Operating costs'!$B$43+W108*'Operating costs'!$B$15+(T108*X108/'Replacement plan'!$L$32+W108*('Operating costs'!$B$12/'Operating costs'!$B$11+('Operating costs'!$B$13+'Operating costs'!$B$14)/60)+(R108-'Operating costs'!$B$41)*(IF(T108&lt;1,'Operating costs'!$B$16,0)+'Operating costs'!$B$17)/60)*'Operating costs'!$B$19*'Operating costs'!$B$20),"n.a."))</f>
        <v>0</v>
      </c>
      <c r="N108" s="16">
        <f>IF(AND(C108=1,D108="EV",E108&lt;120,E108+'Replacement plan'!$AA$32&lt;=120),'Replacement plan'!$Z$32,0)</f>
        <v>0</v>
      </c>
      <c r="O108" s="1">
        <f>E108+'Replacement plan'!$AA$32</f>
        <v>0</v>
      </c>
      <c r="P108" s="35" t="str">
        <f>IFERROR(IF(C108=0,"Excluded",IF(OR(COUNTIFS('Fleet register'!$A$7:$A$106,A108)&lt;&gt;1,COUNTIFS('Replacement plan'!$A$7:$A$106,A108)&lt;&gt;1),"Duplicate/missing ID",IF(NOT(AND(ISNUMBER(VLOOKUP($A108,'Fleet register'!$A$7:$S$106,5,FALSE)),ISNUMBER(VLOOKUP($A108,'Fleet register'!$A$7:$S$106,6,FALSE)),ISNUMBER(VLOOKUP($A108,'Fleet register'!$A$7:$S$106,10,FALSE)),ISNUMBER(VLOOKUP($A108,'Fleet register'!$A$7:$S$106,11,FALSE)),ISNUMBER(VLOOKUP($A108,'Fleet register'!$A$7:$S$106,12,FALSE)),ISNUMBER(VLOOKUP($A108,'Fleet register'!$A$7:$S$106,13,FALSE)),ISNUMBER(VLOOKUP($A108,'Fleet register'!$A$7:$S$106,14,FALSE)),VLOOKUP($A108,'Fleet register'!$A$7:$S$106,14,FALSE)&gt;0,ISNUMBER('Replacement plan'!$C$32),OR(E108=120,OR(ISNUMBER('Replacement plan'!$AI$32),AND('Replacement plan'!$AI$32="",ISNUMBER('Operating costs'!$B$56)))),ISNUMBER(E108))),"Missing vehicle input",IF(OR(E108&lt;0,E108&gt;VLOOKUP($A108,'Fleet register'!$A$7:$S$106,10,FALSE),E108&gt;120,E108&lt;&gt;INT(E108),VLOOKUP($A108,'Fleet register'!$A$7:$S$106,6,FALSE)&lt;=0,VLOOKUP($A108,'Fleet register'!$A$7:$S$106,6,FALSE)&gt;366,VLOOKUP($A108,'Fleet register'!$A$7:$S$106,5,FALSE)&lt;0,VLOOKUP($A108,'Fleet register'!$A$7:$S$106,11,FALSE)&lt;0,I108&lt;0,'Operating costs'!$B$8&lt;='Operating costs'!$B$7*'Operating costs'!$B$9,'Operating costs'!$B$11&lt;=0,'Operating costs'!$B$39&gt;R108,'Operating costs'!$B$40&gt;R108,'Operating costs'!$B$41&gt;R108,NOT(OR("New ICE"="Keep ICE","New ICE"="New ICE","New ICE"="EV"))),"Invalid vehicle input",IF(AND(D108="EV",E108&lt;120,OR(NOT(ISNUMBER(U108)),NOT(ISNUMBER(V108)),V108&lt;=0,T108&lt;0,T108&gt;1,'Replacement plan'!$L$32&lt;=0,'Operating costs'!$B$44&lt;0,'Operating costs'!$B$44&gt;=1,'Operating costs'!$B$47&lt;=0,'Operating costs'!$B$47&gt;1,V108*'Operating costs'!$B$47/(1-'Operating costs'!$B$44)&lt;=T108*'Operating costs'!$B$12*U108,AND('Replacement plan'!$Z$32&gt;0,OR('Replacement plan'!$AB$32&lt;&gt;"Yes",'Operating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charging'!$B$8&gt;=0))),ISNUMBER(VLOOKUP($A108,'Fleet register'!$A$7:$S$106,15,FALSE)),ISNUMBER(VLOOKUP($A108,'Fleet register'!$A$7:$S$106,16,FALSE)),ISNUMBER('Replacement plan'!$W$32),ISNUMBER('Replacement plan'!$X$32),OR(E108=120,AND(ISNUMBER(G108),G108&gt;=0)),ISNUMBER(H108),H108&gt;=0,OR(D108&lt;&gt;"EV",E108=120,AND(ISNUMBER('Operating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average",ISNUMBER(IFERROR(INDEX(Products!$P$7:$P$13,MATCH(AD108,Products!$A$7:$A$13,0)),"")))),ISNUMBER('Operating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plan'!$Y$32),ISNUMBER('Replacement plan'!$Z$32),'Replacement plan'!$Z$32&gt;=0,ISNUMBER('Replacement plan'!$AA$32),'Replacement plan'!$AA$32&gt;=0,'Replacement plan'!$AA$32=INT('Replacement plan'!$AA$32),ISNUMBER('Replacement plan'!$L$32))),'Operating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plan'!$AG$32="",'Operating costs'!$B$7,'Replacement plan'!$AG$32)),IF('Replacement plan'!$AG$32="",'Operating costs'!$B$7,'Replacement plan'!$AG$32)&gt;=0,ISNUMBER(IF('Replacement plan'!$AH$32="",'Operating costs'!$B$7,'Replacement plan'!$AH$32)),IF('Replacement plan'!$AH$32="",'Operating costs'!$B$7,'Replacement plan'!$AH$32)&gt;=0,'Operating costs'!$B$8&gt;MAX(IF('Replacement plan'!$AG$32="",'Operating costs'!$B$7,'Replacement plan'!$AG$32),IF('Replacement plan'!$AH$32="",'Operating costs'!$B$7,'Replacement plan'!$AH$32))*'Operating costs'!$B$9),IF(AND(VLOOKUP($A108,'Fleet register'!$A$7:$S$106,10,FALSE)&gt;=0,VLOOKUP($A108,'Fleet register'!$A$7:$S$106,10,FALSE)&lt;=120,VLOOKUP($A108,'Fleet register'!$A$7:$S$106,10,FALSE)=INT(VLOOKUP($A108,'Fleet register'!$A$7:$S$106,10,FALSE)),VLOOKUP($A108,'Fleet register'!$A$7:$S$106,15,FALSE)&gt;=0,VLOOKUP($A108,'Fleet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costs'!$B$67)&gt;=0,OR(D108&lt;&gt;"EV",E108=120,AND(MIN('Operating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08" s="1" t="str">
        <f>IF(C108=0,"Excluded",IF(P108&lt;&gt;"Complete",P108,IF(OR('Replacement plan'!$AD$32&lt;120-E108,AND(D108="EV",E108&lt;120,OR('Replacement plan'!$AC$32&lt;120-E108,'Replacement plan'!$I$32="No",AND(ISNUMBER(AF108),AE108&gt;AF108),AI108&gt;V108*(1-'Operating costs'!$B$46)^MAX(0,AB108-1)*(1-'Operating costs'!$B$45),AC108&gt;'Operating costs'!$B$18,AND(T108&lt;1,OR(AG108&lt;=0,AND(ISNUMBER(AH108),AG108&gt;AH108))),'Replacement plan'!$L$32&gt;INDEX(Products!$H$7:$H$13,MATCH('Replacement plan'!$B$32,Products!$A$7:$A$13,0))))),"Fails entered limits",IF(AND(D108="EV",E108&lt;120,OR(NOT(ISNUMBER(VLOOKUP($A108,'Fleet register'!$A$7:$S$106,7,FALSE))),NOT(ISNUMBER(VLOOKUP($A108,'Fleet register'!$A$7:$S$106,8,FALSE))),NOT(ISNUMBER(AF108)),'Replacement plan'!$I$32&lt;&gt;"Yes",NOT(ISNUMBER(AH108)),'Operating costs'!$B$59&lt;&gt;"Yes",'Operating costs'!$B$58&lt;&gt;"Yes")),"Unverified","Within entered limits"))))</f>
        <v>Excluded</v>
      </c>
      <c r="R108" s="1">
        <f>IF(C108=0,0,VLOOKUP($A108,'Fleet register'!$A$7:$S$106,6,FALSE))</f>
        <v>0</v>
      </c>
      <c r="S108" s="1">
        <f>IF(C108=0,0,VLOOKUP($A108,'Fleet register'!$A$7:$S$106,5,FALSE))</f>
        <v>0</v>
      </c>
      <c r="T108" s="1">
        <f>IF(D108="EV",'Energy and charging'!$B$12,0)</f>
        <v>0</v>
      </c>
      <c r="U108" s="1">
        <f>IFERROR(IF(C108=0,0,IF(D108="EV",IF('Replacement plan'!$F$32="",INDEX(Products!$E$7:$E$13,MATCH('Replacement plan'!$B$32,Products!$A$7:$A$13,0)),'Replacement plan'!$F$32)/IF('Replacement plan'!$G$32="Battery",1-'Operating costs'!$B$44,1),0)),"n.a.")</f>
        <v>0</v>
      </c>
      <c r="V108" s="1">
        <f>IFERROR(IF(C108=0,0,IF(D108="EV",IF('Replacement plan'!$E$32="",INDEX(Products!$D$7:$D$13,MATCH('Replacement plan'!$B$32,Products!$A$7:$A$13,0)),'Replacement plan'!$E$32),0)),"n.a.")</f>
        <v>0</v>
      </c>
      <c r="W108" s="1">
        <f>IF(C108=0,0,IF(AND(P108="Complete",D108="EV",E108&lt;120),IF(T108=0,0,ROUNDUP(T108*(R108-'Operating costs'!$B$41)*(S108*U108+'Operating costs'!$B$48/(1-'Operating costs'!$B$44))/(V108*'Operating costs'!$B$47/(1-'Operating costs'!$B$44)-T108*'Operating costs'!$B$12*U108),0)),0))</f>
        <v>0</v>
      </c>
      <c r="X108" s="1">
        <f>IF(C108=0,0,IF(AND(P108="Complete",D108="EV",E108&lt;120),(R108-'Operating costs'!$B$41)*(S108*U108+'Operating costs'!$B$48/(1-'Operating costs'!$B$44))+W108*'Operating costs'!$B$12*U108,0))</f>
        <v>0</v>
      </c>
      <c r="Y108" s="1">
        <f>IF(AND(C108=1,D108="EV",E108&lt;120),AI108/(1-'Operating costs'!$B$44)*(1-T108),0)</f>
        <v>0</v>
      </c>
      <c r="Z108" s="1">
        <f t="shared" si="2"/>
        <v>0</v>
      </c>
      <c r="AA108" s="1">
        <f>IF(C108=0,0,IF(P108="Complete",((S108*(R108-'Operating costs'!$B$40))+ROUNDUP(S108*(R108-'Operating costs'!$B$40)*IF('Replacement plan'!$AH$32="",'Operating costs'!$B$7,'Replacement plan'!$AH$32)/('Operating costs'!$B$8-'Operating costs'!$B$9*IF('Replacement plan'!$AH$32="",'Operating costs'!$B$7,'Replacement plan'!$AH$32)),0)*'Operating costs'!$B$9)*IF('Replacement plan'!$AH$32="",'Operating costs'!$B$7,'Replacement plan'!$AH$32),"n.a."))</f>
        <v>0</v>
      </c>
      <c r="AB108" s="1">
        <f t="shared" si="3"/>
        <v>0</v>
      </c>
      <c r="AC108" s="1">
        <f>IF(AND(C108=1,D108="EV",E108&lt;120,T108&gt;0),'Operating costs'!$B$12/'Operating costs'!$B$11*60+'Operating costs'!$B$13+'Operating costs'!$B$14+V108*'Operating costs'!$B$47/(1-'Operating costs'!$B$44)/'Replacement plan'!$L$32*60,0)</f>
        <v>0</v>
      </c>
      <c r="AD108" s="1" t="str">
        <f>'Replacement plan'!$B$32</f>
        <v>ChengLong L2EV</v>
      </c>
      <c r="AE108" s="1">
        <f>IF(C108=0,0,VLOOKUP($A108,'Fleet register'!$A$7:$S$106,8,FALSE))</f>
        <v>0</v>
      </c>
      <c r="AF108" s="1" t="str">
        <f>IF('Replacement plan'!$H$32="","n.a.",'Replacement plan'!$H$32)</f>
        <v>n.a.</v>
      </c>
      <c r="AG108" s="1">
        <f>'Replacement plan'!$J$32</f>
        <v>22</v>
      </c>
      <c r="AH108" s="1">
        <f>IFERROR(IF(D108="EV",IF('Replacement plan'!$K$32="AC",IF(ISNUMBER(INDEX(Products!$G$7:$G$13,MATCH('Replacement plan'!$B$32,Products!$A$7:$A$13,0))),INDEX(Products!$G$7:$G$13,MATCH('Replacement plan'!$B$32,Products!$A$7:$A$13,0)),"n.a."),IF(ISNUMBER(INDEX(Products!$H$7:$H$13,MATCH('Replacement plan'!$B$32,Products!$A$7:$A$13,0))),INDEX(Products!$H$7:$H$13,MATCH('Replacement plan'!$B$32,Products!$A$7:$A$13,0)),"n.a.")),0),"n.a.")</f>
        <v>0</v>
      </c>
      <c r="AI108" s="1">
        <f>IF(AND(C108=1,D108="EV",E108&lt;120),(VLOOKUP($A108,'Fleet register'!$A$7:$S$106,7,FALSE)+IF(T108&gt;0,'Operating costs'!$B$12,0))*U108*(1-'Operating costs'!$B$44)+'Operating costs'!$B$49,0)</f>
        <v>0</v>
      </c>
      <c r="AJ108" s="1">
        <f>IF(D108="EV",'Energy and charging'!$B$50,0)</f>
        <v>0</v>
      </c>
      <c r="AK108" s="17">
        <f>EDATE('Operating costs'!$B$63,E108)</f>
        <v>46298</v>
      </c>
      <c r="AL108" s="1">
        <f>IFERROR(IF(D108="EV",INDEX(Products!$B$7:$B$13,MATCH('Replacement plan'!$B$32,Products!$A$7:$A$13,0)),0),"n.a.")</f>
        <v>0</v>
      </c>
      <c r="AM108" s="1" t="str">
        <f>'Replacement plan'!$K$32</f>
        <v>DC</v>
      </c>
      <c r="AN108" s="1" t="str">
        <f>'Replacement plan'!$AE$32</f>
        <v>Assumed</v>
      </c>
      <c r="AO108" s="47">
        <f>IF(AND(C108=1,D108="EV",E108&lt;120),(R108-'Operating costs'!$B$41)*S108+W108*'Operating costs'!$B$12,0)</f>
        <v>0</v>
      </c>
      <c r="AP108" s="41">
        <f>IF(AND(C108=1,D108="EV",E108&lt;120),IF('Operating costs'!$B$68="Hong Seh 200k average",AO108*IFERROR(INDEX(Products!$P$7:$P$13,MATCH(AD108,Products!$A$7:$A$13,0)),"n.a."),'Operating costs'!$B$26),0)</f>
        <v>0</v>
      </c>
      <c r="AQ108" s="40" t="str">
        <f>IF(D108="EV",'Operating costs'!$B$68,"Not applicable")</f>
        <v>Not applicable</v>
      </c>
    </row>
    <row r="109" spans="1:43" ht="24" customHeight="1">
      <c r="A109" s="1" t="str">
        <f>'Replacement plan'!A32</f>
        <v>T026</v>
      </c>
      <c r="B109" s="1">
        <v>2</v>
      </c>
      <c r="C109" s="1">
        <f>IF(COUNTIFS('Fleet register'!$A$7:$A$106,$A109)=1,VLOOKUP($A109,'Fleet register'!$A$7:$S$106,2,FALSE),0)</f>
        <v>0</v>
      </c>
      <c r="D109" s="1" t="str">
        <f>IF('Replacement plan'!$O$32="EV","EV","ICE")</f>
        <v>ICE</v>
      </c>
      <c r="E109" s="1">
        <f>IF(C109=0,0,IF('Replacement plan'!$P$32="",IF('Replacement plan'!$O$32="Keep ICE",IF('Replacement plan'!$M$32="",VLOOKUP($A109,'Fleet register'!$A$7:$S$106,10,FALSE),'Replacement plan'!$M$32),0),'Replacement plan'!$P$32))</f>
        <v>0</v>
      </c>
      <c r="F109" s="16">
        <f>IF(C109=0,0,VLOOKUP($A109,'Fleet register'!$A$7:$S$106,11,FALSE))</f>
        <v>0</v>
      </c>
      <c r="G109" s="16">
        <f>IFERROR(IF(C109=0,0,IF(E109=120,0,IF(D109="ICE",'Replacement plan'!$C$32,IF('Replacement plan'!$D$32="",INDEX(Products!$I$7:$I$13,MATCH('Replacement plan'!$B$32,Products!$A$7:$A$13,0))+'Operating costs'!$B$57,'Replacement plan'!$D$32))*(1+'Operating costs'!$B$50)^(E109/12))),"n.a.")</f>
        <v>0</v>
      </c>
      <c r="H109" s="16">
        <f>IFERROR(IF(C109=0,0,IF('Replacement plan'!$U$32&lt;&gt;"",'Replacement plan'!$U$32,IF(E109=0,F109,VLOOKUP($A109,'Fleet register'!$A$7:$S$106,12,FALSE)+VLOOKUP($A109,'Fleet register'!$A$7:$S$106,13,FALSE)*MAX(0,VLOOKUP($A109,'Fleet register'!$A$7:$S$106,10,FALSE)-E109)/VLOOKUP($A109,'Fleet register'!$A$7:$S$106,14,FALSE)))),"n.a.")</f>
        <v>0</v>
      </c>
      <c r="I109" s="16">
        <f>IF(C109=0,0,IF(E109=120,0,'Replacement plan'!$Q$32))</f>
        <v>0</v>
      </c>
      <c r="J109" s="16">
        <f>IF(C109=0,0,IF(P109="Complete",((S109*(R109-'Operating costs'!$B$39))+ROUNDUP(S109*(R109-'Operating costs'!$B$39)*IF('Replacement plan'!$AG$32="",'Operating costs'!$B$7,'Replacement plan'!$AG$32)/('Operating costs'!$B$8-'Operating costs'!$B$9*IF('Replacement plan'!$AG$32="",'Operating costs'!$B$7,'Replacement plan'!$AG$32)),0)*'Operating costs'!$B$9)*IF('Replacement plan'!$AG$32="",'Operating costs'!$B$7,'Replacement plan'!$AG$32)*('Energy and charging'!$B$9*'Energy and charging'!$B$7+(1-'Energy and charging'!$B$9)*'Energy and charging'!$B$8)*'Operating costs'!$B$23,"n.a."))</f>
        <v>0</v>
      </c>
      <c r="K109" s="16">
        <f>IF(C109=0,0,IF(P109="Complete",SUM('Operating costs'!$B$24,'Operating costs'!$B$27,'Operating costs'!$B$29,'Operating costs'!$B$31,'Operating costs'!$B$33,'Operating costs'!$B$34,'Operating costs'!$B$37,'Replacement plan'!$W$32)+'Operating costs'!$B$39*'Operating costs'!$B$42+ROUNDUP(S109*(R109-'Operating costs'!$B$39)*IF('Replacement plan'!$AG$32="",'Operating costs'!$B$7,'Replacement plan'!$AG$32)/('Operating costs'!$B$8-'Operating costs'!$B$9*IF('Replacement plan'!$AG$32="",'Operating costs'!$B$7,'Replacement plan'!$AG$32)),0)*('Operating costs'!$B$9/'Operating costs'!$B$11+'Operating costs'!$B$10/60)*'Operating costs'!$B$19*'Operating costs'!$B$21,"n.a."))</f>
        <v>0</v>
      </c>
      <c r="L109" s="16">
        <f>IF(C109=0,0,IF(P109="Complete",IF(D109="EV",X109*((1-T109)*'Energy and charging'!$B$10+T109*'Energy and charging'!$B$11)*'Operating costs'!$B$22,AA109*('Energy and charging'!$B$9*'Energy and charging'!$B$7+(1-'Energy and charging'!$B$9)*'Energy and charging'!$B$8)*'Operating costs'!$B$23),"n.a."))</f>
        <v>0</v>
      </c>
      <c r="M109" s="37">
        <f>IF(C109=0,0,IF(P109="Complete",IF(D109="ICE",SUM('Operating costs'!$B$25,'Operating costs'!$B$27,'Operating costs'!$B$29,'Operating costs'!$B$31,'Operating costs'!$B$33,'Operating costs'!$B$35,'Operating costs'!$B$37,'Replacement plan'!$X$32)+'Operating costs'!$B$40*'Operating costs'!$B$42+ROUNDUP(S109*(R109-'Operating costs'!$B$40)*IF('Replacement plan'!$AH$32="",'Operating costs'!$B$7,'Replacement plan'!$AH$32)/('Operating costs'!$B$8-'Operating costs'!$B$9*IF('Replacement plan'!$AH$32="",'Operating costs'!$B$7,'Replacement plan'!$AH$32)),0)*('Operating costs'!$B$9/'Operating costs'!$B$11+'Operating costs'!$B$10/60)*'Operating costs'!$B$19*'Operating costs'!$B$21,SUM(AP109,'Operating costs'!$B$28,'Operating costs'!$B$30,'Operating costs'!$B$32,'Operating costs'!$B$33,'Operating costs'!$B$36,'Operating costs'!$B$38,'Replacement plan'!$Y$32)+'Operating costs'!$B$41*'Operating costs'!$B$43+W109*'Operating costs'!$B$15+(T109*X109/'Replacement plan'!$L$32+W109*('Operating costs'!$B$12/'Operating costs'!$B$11+('Operating costs'!$B$13+'Operating costs'!$B$14)/60)+(R109-'Operating costs'!$B$41)*(IF(T109&lt;1,'Operating costs'!$B$16,0)+'Operating costs'!$B$17)/60)*'Operating costs'!$B$19*'Operating costs'!$B$20),"n.a."))</f>
        <v>0</v>
      </c>
      <c r="N109" s="16">
        <f>IF(AND(C109=1,D109="EV",E109&lt;120,E109+'Replacement plan'!$AA$32&lt;=120),'Replacement plan'!$Z$32,0)</f>
        <v>0</v>
      </c>
      <c r="O109" s="1">
        <f>E109+'Replacement plan'!$AA$32</f>
        <v>0</v>
      </c>
      <c r="P109" s="35" t="str">
        <f>IFERROR(IF(C109=0,"Excluded",IF(OR(COUNTIFS('Fleet register'!$A$7:$A$106,A109)&lt;&gt;1,COUNTIFS('Replacement plan'!$A$7:$A$106,A109)&lt;&gt;1),"Duplicate/missing ID",IF(NOT(AND(ISNUMBER(VLOOKUP($A109,'Fleet register'!$A$7:$S$106,5,FALSE)),ISNUMBER(VLOOKUP($A109,'Fleet register'!$A$7:$S$106,6,FALSE)),ISNUMBER(VLOOKUP($A109,'Fleet register'!$A$7:$S$106,10,FALSE)),ISNUMBER(VLOOKUP($A109,'Fleet register'!$A$7:$S$106,11,FALSE)),ISNUMBER(VLOOKUP($A109,'Fleet register'!$A$7:$S$106,12,FALSE)),ISNUMBER(VLOOKUP($A109,'Fleet register'!$A$7:$S$106,13,FALSE)),ISNUMBER(VLOOKUP($A109,'Fleet register'!$A$7:$S$106,14,FALSE)),VLOOKUP($A109,'Fleet register'!$A$7:$S$106,14,FALSE)&gt;0,ISNUMBER('Replacement plan'!$C$32),OR(E109=120,ISNUMBER('Replacement plan'!$Q$32)),ISNUMBER(E109))),"Missing vehicle input",IF(OR(E109&lt;0,E109&gt;VLOOKUP($A109,'Fleet register'!$A$7:$S$106,10,FALSE),E109&gt;120,E109&lt;&gt;INT(E109),VLOOKUP($A109,'Fleet register'!$A$7:$S$106,6,FALSE)&lt;=0,VLOOKUP($A109,'Fleet register'!$A$7:$S$106,6,FALSE)&gt;366,VLOOKUP($A109,'Fleet register'!$A$7:$S$106,5,FALSE)&lt;0,VLOOKUP($A109,'Fleet register'!$A$7:$S$106,11,FALSE)&lt;0,I109&lt;0,'Operating costs'!$B$8&lt;='Operating costs'!$B$7*'Operating costs'!$B$9,'Operating costs'!$B$11&lt;=0,'Operating costs'!$B$39&gt;R109,'Operating costs'!$B$40&gt;R109,'Operating costs'!$B$41&gt;R109,NOT(OR('Replacement plan'!$O$32="Keep ICE",'Replacement plan'!$O$32="New ICE",'Replacement plan'!$O$32="EV"))),"Invalid vehicle input",IF(AND(D109="EV",E109&lt;120,OR(NOT(ISNUMBER(U109)),NOT(ISNUMBER(V109)),V109&lt;=0,T109&lt;0,T109&gt;1,'Replacement plan'!$L$32&lt;=0,'Operating costs'!$B$44&lt;0,'Operating costs'!$B$44&gt;=1,'Operating costs'!$B$47&lt;=0,'Operating costs'!$B$47&gt;1,V109*'Operating costs'!$B$47/(1-'Operating costs'!$B$44)&lt;=T109*'Operating costs'!$B$12*U109,AND('Replacement plan'!$Z$32&gt;0,OR('Replacement plan'!$AB$32&lt;&gt;"Yes",'Operating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charging'!$B$8&gt;=0))),ISNUMBER(VLOOKUP($A109,'Fleet register'!$A$7:$S$106,15,FALSE)),ISNUMBER(VLOOKUP($A109,'Fleet register'!$A$7:$S$106,16,FALSE)),ISNUMBER('Replacement plan'!$W$32),ISNUMBER('Replacement plan'!$X$32),OR(E109=120,AND(ISNUMBER(G109),G109&gt;=0)),ISNUMBER(H109),H109&gt;=0,OR(D109&lt;&gt;"EV",E109=120,AND(ISNUMBER('Operating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average",ISNUMBER(IFERROR(INDEX(Products!$P$7:$P$13,MATCH(AD109,Products!$A$7:$A$13,0)),"")))),ISNUMBER('Operating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plan'!$Y$32),ISNUMBER('Replacement plan'!$Z$32),'Replacement plan'!$Z$32&gt;=0,ISNUMBER('Replacement plan'!$AA$32),'Replacement plan'!$AA$32&gt;=0,'Replacement plan'!$AA$32=INT('Replacement plan'!$AA$32),ISNUMBER('Replacement plan'!$L$32))),'Operating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plan'!$AG$32="",'Operating costs'!$B$7,'Replacement plan'!$AG$32)),IF('Replacement plan'!$AG$32="",'Operating costs'!$B$7,'Replacement plan'!$AG$32)&gt;=0,ISNUMBER(IF('Replacement plan'!$AH$32="",'Operating costs'!$B$7,'Replacement plan'!$AH$32)),IF('Replacement plan'!$AH$32="",'Operating costs'!$B$7,'Replacement plan'!$AH$32)&gt;=0,'Operating costs'!$B$8&gt;MAX(IF('Replacement plan'!$AG$32="",'Operating costs'!$B$7,'Replacement plan'!$AG$32),IF('Replacement plan'!$AH$32="",'Operating costs'!$B$7,'Replacement plan'!$AH$32))*'Operating costs'!$B$9),IF(AND(VLOOKUP($A109,'Fleet register'!$A$7:$S$106,10,FALSE)&gt;=0,VLOOKUP($A109,'Fleet register'!$A$7:$S$106,10,FALSE)&lt;=120,VLOOKUP($A109,'Fleet register'!$A$7:$S$106,10,FALSE)=INT(VLOOKUP($A109,'Fleet register'!$A$7:$S$106,10,FALSE)),VLOOKUP($A109,'Fleet register'!$A$7:$S$106,15,FALSE)&gt;=0,VLOOKUP($A109,'Fleet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costs'!$B$67)&gt;=0,OR(D109&lt;&gt;"EV",E109=120,AND(MIN('Operating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09" s="1" t="str">
        <f>IF(C109=0,"Excluded",IF(P109&lt;&gt;"Complete",P109,IF(OR('Replacement plan'!$AD$32&lt;120-E109,AND(D109="EV",E109&lt;120,OR('Replacement plan'!$AC$32&lt;120-E109,'Replacement plan'!$I$32="No",AND(ISNUMBER(AF109),AE109&gt;AF109),AI109&gt;V109*(1-'Operating costs'!$B$46)^MAX(0,AB109-1)*(1-'Operating costs'!$B$45),AC109&gt;'Operating costs'!$B$18,AND(T109&lt;1,OR(AG109&lt;=0,AND(ISNUMBER(AH109),AG109&gt;AH109))),'Replacement plan'!$L$32&gt;INDEX(Products!$H$7:$H$13,MATCH('Replacement plan'!$B$32,Products!$A$7:$A$13,0))))),"Fails entered limits",IF(AND(D109="EV",E109&lt;120,OR(NOT(ISNUMBER(VLOOKUP($A109,'Fleet register'!$A$7:$S$106,7,FALSE))),NOT(ISNUMBER(VLOOKUP($A109,'Fleet register'!$A$7:$S$106,8,FALSE))),NOT(ISNUMBER(AF109)),'Replacement plan'!$I$32&lt;&gt;"Yes",NOT(ISNUMBER(AH109)),'Operating costs'!$B$59&lt;&gt;"Yes",'Operating costs'!$B$58&lt;&gt;"Yes")),"Unverified","Within entered limits"))))</f>
        <v>Excluded</v>
      </c>
      <c r="R109" s="1">
        <f>IF(C109=0,0,VLOOKUP($A109,'Fleet register'!$A$7:$S$106,6,FALSE))</f>
        <v>0</v>
      </c>
      <c r="S109" s="1">
        <f>IF(C109=0,0,VLOOKUP($A109,'Fleet register'!$A$7:$S$106,5,FALSE))</f>
        <v>0</v>
      </c>
      <c r="T109" s="1">
        <f>IF(D109="EV",'Energy and charging'!$B$12,0)</f>
        <v>0</v>
      </c>
      <c r="U109" s="1">
        <f>IFERROR(IF(C109=0,0,IF(D109="EV",IF('Replacement plan'!$F$32="",INDEX(Products!$E$7:$E$13,MATCH('Replacement plan'!$B$32,Products!$A$7:$A$13,0)),'Replacement plan'!$F$32)/IF('Replacement plan'!$G$32="Battery",1-'Operating costs'!$B$44,1),0)),"n.a.")</f>
        <v>0</v>
      </c>
      <c r="V109" s="1">
        <f>IFERROR(IF(C109=0,0,IF(D109="EV",IF('Replacement plan'!$E$32="",INDEX(Products!$D$7:$D$13,MATCH('Replacement plan'!$B$32,Products!$A$7:$A$13,0)),'Replacement plan'!$E$32),0)),"n.a.")</f>
        <v>0</v>
      </c>
      <c r="W109" s="1">
        <f>IF(C109=0,0,IF(AND(P109="Complete",D109="EV",E109&lt;120),IF(T109=0,0,ROUNDUP(T109*(R109-'Operating costs'!$B$41)*(S109*U109+'Operating costs'!$B$48/(1-'Operating costs'!$B$44))/(V109*'Operating costs'!$B$47/(1-'Operating costs'!$B$44)-T109*'Operating costs'!$B$12*U109),0)),0))</f>
        <v>0</v>
      </c>
      <c r="X109" s="1">
        <f>IF(C109=0,0,IF(AND(P109="Complete",D109="EV",E109&lt;120),(R109-'Operating costs'!$B$41)*(S109*U109+'Operating costs'!$B$48/(1-'Operating costs'!$B$44))+W109*'Operating costs'!$B$12*U109,0))</f>
        <v>0</v>
      </c>
      <c r="Y109" s="1">
        <f>IF(AND(C109=1,D109="EV",E109&lt;120),AI109/(1-'Operating costs'!$B$44)*(1-T109),0)</f>
        <v>0</v>
      </c>
      <c r="Z109" s="1">
        <f t="shared" si="2"/>
        <v>0</v>
      </c>
      <c r="AA109" s="1">
        <f>IF(C109=0,0,IF(P109="Complete",((S109*(R109-'Operating costs'!$B$40))+ROUNDUP(S109*(R109-'Operating costs'!$B$40)*IF('Replacement plan'!$AH$32="",'Operating costs'!$B$7,'Replacement plan'!$AH$32)/('Operating costs'!$B$8-'Operating costs'!$B$9*IF('Replacement plan'!$AH$32="",'Operating costs'!$B$7,'Replacement plan'!$AH$32)),0)*'Operating costs'!$B$9)*IF('Replacement plan'!$AH$32="",'Operating costs'!$B$7,'Replacement plan'!$AH$32),"n.a."))</f>
        <v>0</v>
      </c>
      <c r="AB109" s="1">
        <f t="shared" si="3"/>
        <v>0</v>
      </c>
      <c r="AC109" s="1">
        <f>IF(AND(C109=1,D109="EV",E109&lt;120,T109&gt;0),'Operating costs'!$B$12/'Operating costs'!$B$11*60+'Operating costs'!$B$13+'Operating costs'!$B$14+V109*'Operating costs'!$B$47/(1-'Operating costs'!$B$44)/'Replacement plan'!$L$32*60,0)</f>
        <v>0</v>
      </c>
      <c r="AD109" s="1" t="str">
        <f>'Replacement plan'!$B$32</f>
        <v>ChengLong L2EV</v>
      </c>
      <c r="AE109" s="1">
        <f>IF(C109=0,0,VLOOKUP($A109,'Fleet register'!$A$7:$S$106,8,FALSE))</f>
        <v>0</v>
      </c>
      <c r="AF109" s="1" t="str">
        <f>IF('Replacement plan'!$H$32="","n.a.",'Replacement plan'!$H$32)</f>
        <v>n.a.</v>
      </c>
      <c r="AG109" s="1">
        <f>'Replacement plan'!$J$32</f>
        <v>22</v>
      </c>
      <c r="AH109" s="1">
        <f>IFERROR(IF(D109="EV",IF('Replacement plan'!$K$32="AC",IF(ISNUMBER(INDEX(Products!$G$7:$G$13,MATCH('Replacement plan'!$B$32,Products!$A$7:$A$13,0))),INDEX(Products!$G$7:$G$13,MATCH('Replacement plan'!$B$32,Products!$A$7:$A$13,0)),"n.a."),IF(ISNUMBER(INDEX(Products!$H$7:$H$13,MATCH('Replacement plan'!$B$32,Products!$A$7:$A$13,0))),INDEX(Products!$H$7:$H$13,MATCH('Replacement plan'!$B$32,Products!$A$7:$A$13,0)),"n.a.")),0),"n.a.")</f>
        <v>0</v>
      </c>
      <c r="AI109" s="1">
        <f>IF(AND(C109=1,D109="EV",E109&lt;120),(VLOOKUP($A109,'Fleet register'!$A$7:$S$106,7,FALSE)+IF(T109&gt;0,'Operating costs'!$B$12,0))*U109*(1-'Operating costs'!$B$44)+'Operating costs'!$B$49,0)</f>
        <v>0</v>
      </c>
      <c r="AJ109" s="1">
        <f>IF(D109="EV",'Energy and charging'!$B$50,0)</f>
        <v>0</v>
      </c>
      <c r="AK109" s="17">
        <f>EDATE('Operating costs'!$B$63,E109)</f>
        <v>46298</v>
      </c>
      <c r="AL109" s="1">
        <f>IFERROR(IF(D109="EV",INDEX(Products!$B$7:$B$13,MATCH('Replacement plan'!$B$32,Products!$A$7:$A$13,0)),0),"n.a.")</f>
        <v>0</v>
      </c>
      <c r="AM109" s="1" t="str">
        <f>'Replacement plan'!$K$32</f>
        <v>DC</v>
      </c>
      <c r="AN109" s="1" t="str">
        <f>'Replacement plan'!$AE$32</f>
        <v>Assumed</v>
      </c>
      <c r="AO109" s="47">
        <f>IF(AND(C109=1,D109="EV",E109&lt;120),(R109-'Operating costs'!$B$41)*S109+W109*'Operating costs'!$B$12,0)</f>
        <v>0</v>
      </c>
      <c r="AP109" s="41">
        <f>IF(AND(C109=1,D109="EV",E109&lt;120),IF('Operating costs'!$B$68="Hong Seh 200k average",AO109*IFERROR(INDEX(Products!$P$7:$P$13,MATCH(AD109,Products!$A$7:$A$13,0)),"n.a."),'Operating costs'!$B$26),0)</f>
        <v>0</v>
      </c>
      <c r="AQ109" s="40" t="str">
        <f>IF(D109="EV",'Operating costs'!$B$68,"Not applicable")</f>
        <v>Not applicable</v>
      </c>
    </row>
    <row r="110" spans="1:43" ht="24" customHeight="1">
      <c r="A110" s="1" t="str">
        <f>'Replacement plan'!A32</f>
        <v>T026</v>
      </c>
      <c r="B110" s="1">
        <v>3</v>
      </c>
      <c r="C110" s="1">
        <f>IF(COUNTIFS('Fleet register'!$A$7:$A$106,$A110)=1,VLOOKUP($A110,'Fleet register'!$A$7:$S$106,2,FALSE),0)</f>
        <v>0</v>
      </c>
      <c r="D110" s="1" t="str">
        <f>IF('Replacement plan'!$R$32="EV","EV","ICE")</f>
        <v>ICE</v>
      </c>
      <c r="E110" s="1">
        <f>IF(C110=0,0,IF('Replacement plan'!$S$32="",IF('Replacement plan'!$R$32="Keep ICE",IF('Replacement plan'!$M$32="",VLOOKUP($A110,'Fleet register'!$A$7:$S$106,10,FALSE),'Replacement plan'!$M$32),0),'Replacement plan'!$S$32))</f>
        <v>0</v>
      </c>
      <c r="F110" s="16">
        <f>IF(C110=0,0,VLOOKUP($A110,'Fleet register'!$A$7:$S$106,11,FALSE))</f>
        <v>0</v>
      </c>
      <c r="G110" s="16">
        <f>IFERROR(IF(C110=0,0,IF(E110=120,0,IF(D110="ICE",'Replacement plan'!$C$32,IF('Replacement plan'!$D$32="",INDEX(Products!$I$7:$I$13,MATCH('Replacement plan'!$B$32,Products!$A$7:$A$13,0))+'Operating costs'!$B$57,'Replacement plan'!$D$32))*(1+'Operating costs'!$B$50)^(E110/12))),"n.a.")</f>
        <v>0</v>
      </c>
      <c r="H110" s="16">
        <f>IFERROR(IF(C110=0,0,IF('Replacement plan'!$V$32&lt;&gt;"",'Replacement plan'!$V$32,IF(E110=0,F110,VLOOKUP($A110,'Fleet register'!$A$7:$S$106,12,FALSE)+VLOOKUP($A110,'Fleet register'!$A$7:$S$106,13,FALSE)*MAX(0,VLOOKUP($A110,'Fleet register'!$A$7:$S$106,10,FALSE)-E110)/VLOOKUP($A110,'Fleet register'!$A$7:$S$106,14,FALSE)))),"n.a.")</f>
        <v>0</v>
      </c>
      <c r="I110" s="16">
        <f>IF(C110=0,0,IF(E110=120,0,'Replacement plan'!$T$32))</f>
        <v>0</v>
      </c>
      <c r="J110" s="16">
        <f>IF(C110=0,0,IF(P110="Complete",((S110*(R110-'Operating costs'!$B$39))+ROUNDUP(S110*(R110-'Operating costs'!$B$39)*IF('Replacement plan'!$AG$32="",'Operating costs'!$B$7,'Replacement plan'!$AG$32)/('Operating costs'!$B$8-'Operating costs'!$B$9*IF('Replacement plan'!$AG$32="",'Operating costs'!$B$7,'Replacement plan'!$AG$32)),0)*'Operating costs'!$B$9)*IF('Replacement plan'!$AG$32="",'Operating costs'!$B$7,'Replacement plan'!$AG$32)*('Energy and charging'!$C$9*'Energy and charging'!$C$7+(1-'Energy and charging'!$C$9)*'Energy and charging'!$C$8)*'Operating costs'!$B$23,"n.a."))</f>
        <v>0</v>
      </c>
      <c r="K110" s="16">
        <f>IF(C110=0,0,IF(P110="Complete",SUM('Operating costs'!$B$24,'Operating costs'!$B$27,'Operating costs'!$B$29,'Operating costs'!$B$31,'Operating costs'!$B$33,'Operating costs'!$B$34,'Operating costs'!$B$37,'Replacement plan'!$W$32)+'Operating costs'!$B$39*'Operating costs'!$B$42+ROUNDUP(S110*(R110-'Operating costs'!$B$39)*IF('Replacement plan'!$AG$32="",'Operating costs'!$B$7,'Replacement plan'!$AG$32)/('Operating costs'!$B$8-'Operating costs'!$B$9*IF('Replacement plan'!$AG$32="",'Operating costs'!$B$7,'Replacement plan'!$AG$32)),0)*('Operating costs'!$B$9/'Operating costs'!$B$11+'Operating costs'!$B$10/60)*'Operating costs'!$B$19*'Operating costs'!$B$21,"n.a."))</f>
        <v>0</v>
      </c>
      <c r="L110" s="16">
        <f>IF(C110=0,0,IF(P110="Complete",IF(D110="EV",X110*((1-T110)*'Energy and charging'!$C$10+T110*'Energy and charging'!$C$11)*'Operating costs'!$B$22,AA110*('Energy and charging'!$C$9*'Energy and charging'!$C$7+(1-'Energy and charging'!$C$9)*'Energy and charging'!$C$8)*'Operating costs'!$B$23),"n.a."))</f>
        <v>0</v>
      </c>
      <c r="M110" s="37">
        <f>IF(C110=0,0,IF(P110="Complete",IF(D110="ICE",SUM('Operating costs'!$B$25,'Operating costs'!$B$27,'Operating costs'!$B$29,'Operating costs'!$B$31,'Operating costs'!$B$33,'Operating costs'!$B$35,'Operating costs'!$B$37,'Replacement plan'!$X$32)+'Operating costs'!$B$40*'Operating costs'!$B$42+ROUNDUP(S110*(R110-'Operating costs'!$B$40)*IF('Replacement plan'!$AH$32="",'Operating costs'!$B$7,'Replacement plan'!$AH$32)/('Operating costs'!$B$8-'Operating costs'!$B$9*IF('Replacement plan'!$AH$32="",'Operating costs'!$B$7,'Replacement plan'!$AH$32)),0)*('Operating costs'!$B$9/'Operating costs'!$B$11+'Operating costs'!$B$10/60)*'Operating costs'!$B$19*'Operating costs'!$B$21,SUM(AP110,'Operating costs'!$B$28,'Operating costs'!$B$30,'Operating costs'!$B$32,'Operating costs'!$B$33,'Operating costs'!$B$36,'Operating costs'!$B$38,'Replacement plan'!$Y$32)+'Operating costs'!$B$41*'Operating costs'!$B$43+W110*'Operating costs'!$B$15+(T110*X110/'Replacement plan'!$L$32+W110*('Operating costs'!$B$12/'Operating costs'!$B$11+('Operating costs'!$B$13+'Operating costs'!$B$14)/60)+(R110-'Operating costs'!$B$41)*(IF(T110&lt;1,'Operating costs'!$B$16,0)+'Operating costs'!$B$17)/60)*'Operating costs'!$B$19*'Operating costs'!$B$20),"n.a."))</f>
        <v>0</v>
      </c>
      <c r="N110" s="16">
        <f>IF(AND(C110=1,D110="EV",E110&lt;120,E110+'Replacement plan'!$AA$32&lt;=120),'Replacement plan'!$Z$32,0)</f>
        <v>0</v>
      </c>
      <c r="O110" s="1">
        <f>E110+'Replacement plan'!$AA$32</f>
        <v>0</v>
      </c>
      <c r="P110" s="35" t="str">
        <f>IFERROR(IF(C110=0,"Excluded",IF(OR(COUNTIFS('Fleet register'!$A$7:$A$106,A110)&lt;&gt;1,COUNTIFS('Replacement plan'!$A$7:$A$106,A110)&lt;&gt;1),"Duplicate/missing ID",IF(NOT(AND(ISNUMBER(VLOOKUP($A110,'Fleet register'!$A$7:$S$106,5,FALSE)),ISNUMBER(VLOOKUP($A110,'Fleet register'!$A$7:$S$106,6,FALSE)),ISNUMBER(VLOOKUP($A110,'Fleet register'!$A$7:$S$106,10,FALSE)),ISNUMBER(VLOOKUP($A110,'Fleet register'!$A$7:$S$106,11,FALSE)),ISNUMBER(VLOOKUP($A110,'Fleet register'!$A$7:$S$106,12,FALSE)),ISNUMBER(VLOOKUP($A110,'Fleet register'!$A$7:$S$106,13,FALSE)),ISNUMBER(VLOOKUP($A110,'Fleet register'!$A$7:$S$106,14,FALSE)),VLOOKUP($A110,'Fleet register'!$A$7:$S$106,14,FALSE)&gt;0,ISNUMBER('Replacement plan'!$C$32),OR(E110=120,ISNUMBER('Replacement plan'!$T$32)),ISNUMBER(E110))),"Missing vehicle input",IF(OR(E110&lt;0,E110&gt;VLOOKUP($A110,'Fleet register'!$A$7:$S$106,10,FALSE),E110&gt;120,E110&lt;&gt;INT(E110),VLOOKUP($A110,'Fleet register'!$A$7:$S$106,6,FALSE)&lt;=0,VLOOKUP($A110,'Fleet register'!$A$7:$S$106,6,FALSE)&gt;366,VLOOKUP($A110,'Fleet register'!$A$7:$S$106,5,FALSE)&lt;0,VLOOKUP($A110,'Fleet register'!$A$7:$S$106,11,FALSE)&lt;0,I110&lt;0,'Operating costs'!$B$8&lt;='Operating costs'!$B$7*'Operating costs'!$B$9,'Operating costs'!$B$11&lt;=0,'Operating costs'!$B$39&gt;R110,'Operating costs'!$B$40&gt;R110,'Operating costs'!$B$41&gt;R110,NOT(OR('Replacement plan'!$R$32="Keep ICE",'Replacement plan'!$R$32="New ICE",'Replacement plan'!$R$32="EV"))),"Invalid vehicle input",IF(AND(D110="EV",E110&lt;120,OR(NOT(ISNUMBER(U110)),NOT(ISNUMBER(V110)),V110&lt;=0,T110&lt;0,T110&gt;1,'Replacement plan'!$L$32&lt;=0,'Operating costs'!$B$44&lt;0,'Operating costs'!$B$44&gt;=1,'Operating costs'!$B$47&lt;=0,'Operating costs'!$B$47&gt;1,V110*'Operating costs'!$B$47/(1-'Operating costs'!$B$44)&lt;=T110*'Operating costs'!$B$12*U110,AND('Replacement plan'!$Z$32&gt;0,OR('Replacement plan'!$AB$32&lt;&gt;"Yes",'Operating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charging'!$C$8&gt;=0))),ISNUMBER(VLOOKUP($A110,'Fleet register'!$A$7:$S$106,15,FALSE)),ISNUMBER(VLOOKUP($A110,'Fleet register'!$A$7:$S$106,16,FALSE)),ISNUMBER('Replacement plan'!$W$32),ISNUMBER('Replacement plan'!$X$32),OR(E110=120,AND(ISNUMBER(G110),G110&gt;=0)),ISNUMBER(H110),H110&gt;=0,OR(D110&lt;&gt;"EV",E110=120,AND(ISNUMBER('Operating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average",ISNUMBER(IFERROR(INDEX(Products!$P$7:$P$13,MATCH(AD110,Products!$A$7:$A$13,0)),"")))),ISNUMBER('Operating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plan'!$Y$32),ISNUMBER('Replacement plan'!$Z$32),'Replacement plan'!$Z$32&gt;=0,ISNUMBER('Replacement plan'!$AA$32),'Replacement plan'!$AA$32&gt;=0,'Replacement plan'!$AA$32=INT('Replacement plan'!$AA$32),ISNUMBER('Replacement plan'!$L$32))),'Operating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plan'!$AG$32="",'Operating costs'!$B$7,'Replacement plan'!$AG$32)),IF('Replacement plan'!$AG$32="",'Operating costs'!$B$7,'Replacement plan'!$AG$32)&gt;=0,ISNUMBER(IF('Replacement plan'!$AH$32="",'Operating costs'!$B$7,'Replacement plan'!$AH$32)),IF('Replacement plan'!$AH$32="",'Operating costs'!$B$7,'Replacement plan'!$AH$32)&gt;=0,'Operating costs'!$B$8&gt;MAX(IF('Replacement plan'!$AG$32="",'Operating costs'!$B$7,'Replacement plan'!$AG$32),IF('Replacement plan'!$AH$32="",'Operating costs'!$B$7,'Replacement plan'!$AH$32))*'Operating costs'!$B$9),IF(AND(VLOOKUP($A110,'Fleet register'!$A$7:$S$106,10,FALSE)&gt;=0,VLOOKUP($A110,'Fleet register'!$A$7:$S$106,10,FALSE)&lt;=120,VLOOKUP($A110,'Fleet register'!$A$7:$S$106,10,FALSE)=INT(VLOOKUP($A110,'Fleet register'!$A$7:$S$106,10,FALSE)),VLOOKUP($A110,'Fleet register'!$A$7:$S$106,15,FALSE)&gt;=0,VLOOKUP($A110,'Fleet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costs'!$B$67)&gt;=0,OR(D110&lt;&gt;"EV",E110=120,AND(MIN('Operating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10" s="1" t="str">
        <f>IF(C110=0,"Excluded",IF(P110&lt;&gt;"Complete",P110,IF(OR('Replacement plan'!$AD$32&lt;120-E110,AND(D110="EV",E110&lt;120,OR('Replacement plan'!$AC$32&lt;120-E110,'Replacement plan'!$I$32="No",AND(ISNUMBER(AF110),AE110&gt;AF110),AI110&gt;V110*(1-'Operating costs'!$B$46)^MAX(0,AB110-1)*(1-'Operating costs'!$B$45),AC110&gt;'Operating costs'!$B$18,AND(T110&lt;1,OR(AG110&lt;=0,AND(ISNUMBER(AH110),AG110&gt;AH110))),'Replacement plan'!$L$32&gt;INDEX(Products!$H$7:$H$13,MATCH('Replacement plan'!$B$32,Products!$A$7:$A$13,0))))),"Fails entered limits",IF(AND(D110="EV",E110&lt;120,OR(NOT(ISNUMBER(VLOOKUP($A110,'Fleet register'!$A$7:$S$106,7,FALSE))),NOT(ISNUMBER(VLOOKUP($A110,'Fleet register'!$A$7:$S$106,8,FALSE))),NOT(ISNUMBER(AF110)),'Replacement plan'!$I$32&lt;&gt;"Yes",NOT(ISNUMBER(AH110)),'Operating costs'!$B$59&lt;&gt;"Yes",'Operating costs'!$B$58&lt;&gt;"Yes")),"Unverified","Within entered limits"))))</f>
        <v>Excluded</v>
      </c>
      <c r="R110" s="1">
        <f>IF(C110=0,0,VLOOKUP($A110,'Fleet register'!$A$7:$S$106,6,FALSE))</f>
        <v>0</v>
      </c>
      <c r="S110" s="1">
        <f>IF(C110=0,0,VLOOKUP($A110,'Fleet register'!$A$7:$S$106,5,FALSE))</f>
        <v>0</v>
      </c>
      <c r="T110" s="1">
        <f>IF(D110="EV",'Energy and charging'!$C$12,0)</f>
        <v>0</v>
      </c>
      <c r="U110" s="1">
        <f>IFERROR(IF(C110=0,0,IF(D110="EV",IF('Replacement plan'!$F$32="",INDEX(Products!$E$7:$E$13,MATCH('Replacement plan'!$B$32,Products!$A$7:$A$13,0)),'Replacement plan'!$F$32)/IF('Replacement plan'!$G$32="Battery",1-'Operating costs'!$B$44,1),0)),"n.a.")</f>
        <v>0</v>
      </c>
      <c r="V110" s="1">
        <f>IFERROR(IF(C110=0,0,IF(D110="EV",IF('Replacement plan'!$E$32="",INDEX(Products!$D$7:$D$13,MATCH('Replacement plan'!$B$32,Products!$A$7:$A$13,0)),'Replacement plan'!$E$32),0)),"n.a.")</f>
        <v>0</v>
      </c>
      <c r="W110" s="1">
        <f>IF(C110=0,0,IF(AND(P110="Complete",D110="EV",E110&lt;120),IF(T110=0,0,ROUNDUP(T110*(R110-'Operating costs'!$B$41)*(S110*U110+'Operating costs'!$B$48/(1-'Operating costs'!$B$44))/(V110*'Operating costs'!$B$47/(1-'Operating costs'!$B$44)-T110*'Operating costs'!$B$12*U110),0)),0))</f>
        <v>0</v>
      </c>
      <c r="X110" s="1">
        <f>IF(C110=0,0,IF(AND(P110="Complete",D110="EV",E110&lt;120),(R110-'Operating costs'!$B$41)*(S110*U110+'Operating costs'!$B$48/(1-'Operating costs'!$B$44))+W110*'Operating costs'!$B$12*U110,0))</f>
        <v>0</v>
      </c>
      <c r="Y110" s="1">
        <f>IF(AND(C110=1,D110="EV",E110&lt;120),AI110/(1-'Operating costs'!$B$44)*(1-T110),0)</f>
        <v>0</v>
      </c>
      <c r="Z110" s="1">
        <f t="shared" si="2"/>
        <v>0</v>
      </c>
      <c r="AA110" s="1">
        <f>IF(C110=0,0,IF(P110="Complete",((S110*(R110-'Operating costs'!$B$40))+ROUNDUP(S110*(R110-'Operating costs'!$B$40)*IF('Replacement plan'!$AH$32="",'Operating costs'!$B$7,'Replacement plan'!$AH$32)/('Operating costs'!$B$8-'Operating costs'!$B$9*IF('Replacement plan'!$AH$32="",'Operating costs'!$B$7,'Replacement plan'!$AH$32)),0)*'Operating costs'!$B$9)*IF('Replacement plan'!$AH$32="",'Operating costs'!$B$7,'Replacement plan'!$AH$32),"n.a."))</f>
        <v>0</v>
      </c>
      <c r="AB110" s="1">
        <f t="shared" si="3"/>
        <v>0</v>
      </c>
      <c r="AC110" s="1">
        <f>IF(AND(C110=1,D110="EV",E110&lt;120,T110&gt;0),'Operating costs'!$B$12/'Operating costs'!$B$11*60+'Operating costs'!$B$13+'Operating costs'!$B$14+V110*'Operating costs'!$B$47/(1-'Operating costs'!$B$44)/'Replacement plan'!$L$32*60,0)</f>
        <v>0</v>
      </c>
      <c r="AD110" s="1" t="str">
        <f>'Replacement plan'!$B$32</f>
        <v>ChengLong L2EV</v>
      </c>
      <c r="AE110" s="1">
        <f>IF(C110=0,0,VLOOKUP($A110,'Fleet register'!$A$7:$S$106,8,FALSE))</f>
        <v>0</v>
      </c>
      <c r="AF110" s="1" t="str">
        <f>IF('Replacement plan'!$H$32="","n.a.",'Replacement plan'!$H$32)</f>
        <v>n.a.</v>
      </c>
      <c r="AG110" s="1">
        <f>'Replacement plan'!$J$32</f>
        <v>22</v>
      </c>
      <c r="AH110" s="1">
        <f>IFERROR(IF(D110="EV",IF('Replacement plan'!$K$32="AC",IF(ISNUMBER(INDEX(Products!$G$7:$G$13,MATCH('Replacement plan'!$B$32,Products!$A$7:$A$13,0))),INDEX(Products!$G$7:$G$13,MATCH('Replacement plan'!$B$32,Products!$A$7:$A$13,0)),"n.a."),IF(ISNUMBER(INDEX(Products!$H$7:$H$13,MATCH('Replacement plan'!$B$32,Products!$A$7:$A$13,0))),INDEX(Products!$H$7:$H$13,MATCH('Replacement plan'!$B$32,Products!$A$7:$A$13,0)),"n.a.")),0),"n.a.")</f>
        <v>0</v>
      </c>
      <c r="AI110" s="1">
        <f>IF(AND(C110=1,D110="EV",E110&lt;120),(VLOOKUP($A110,'Fleet register'!$A$7:$S$106,7,FALSE)+IF(T110&gt;0,'Operating costs'!$B$12,0))*U110*(1-'Operating costs'!$B$44)+'Operating costs'!$B$49,0)</f>
        <v>0</v>
      </c>
      <c r="AJ110" s="1">
        <f>IF(D110="EV",'Energy and charging'!$C$50,0)</f>
        <v>0</v>
      </c>
      <c r="AK110" s="17">
        <f>EDATE('Operating costs'!$B$63,E110)</f>
        <v>46298</v>
      </c>
      <c r="AL110" s="1">
        <f>IFERROR(IF(D110="EV",INDEX(Products!$B$7:$B$13,MATCH('Replacement plan'!$B$32,Products!$A$7:$A$13,0)),0),"n.a.")</f>
        <v>0</v>
      </c>
      <c r="AM110" s="1" t="str">
        <f>'Replacement plan'!$K$32</f>
        <v>DC</v>
      </c>
      <c r="AN110" s="1" t="str">
        <f>'Replacement plan'!$AE$32</f>
        <v>Assumed</v>
      </c>
      <c r="AO110" s="47">
        <f>IF(AND(C110=1,D110="EV",E110&lt;120),(R110-'Operating costs'!$B$41)*S110+W110*'Operating costs'!$B$12,0)</f>
        <v>0</v>
      </c>
      <c r="AP110" s="41">
        <f>IF(AND(C110=1,D110="EV",E110&lt;120),IF('Operating costs'!$B$68="Hong Seh 200k average",AO110*IFERROR(INDEX(Products!$P$7:$P$13,MATCH(AD110,Products!$A$7:$A$13,0)),"n.a."),'Operating costs'!$B$26),0)</f>
        <v>0</v>
      </c>
      <c r="AQ110" s="40" t="str">
        <f>IF(D110="EV",'Operating costs'!$B$68,"Not applicable")</f>
        <v>Not applicable</v>
      </c>
    </row>
    <row r="111" spans="1:43" ht="24" customHeight="1">
      <c r="A111" s="1" t="str">
        <f>'Replacement plan'!A33</f>
        <v>T027</v>
      </c>
      <c r="B111" s="1">
        <v>0</v>
      </c>
      <c r="C111" s="1">
        <f>IF(COUNTIFS('Fleet register'!$A$7:$A$106,$A111)=1,VLOOKUP($A111,'Fleet register'!$A$7:$S$106,2,FALSE),0)</f>
        <v>0</v>
      </c>
      <c r="D111" s="1" t="str">
        <f>IF("Keep ICE"="EV","EV","ICE")</f>
        <v>ICE</v>
      </c>
      <c r="E111" s="1">
        <f>IF(C111=0,0,IF('Replacement plan'!$M$33="",VLOOKUP($A111,'Fleet register'!$A$7:$S$106,10,FALSE),'Replacement plan'!$M$33))</f>
        <v>0</v>
      </c>
      <c r="F111" s="16">
        <f>IF(C111=0,0,VLOOKUP($A111,'Fleet register'!$A$7:$S$106,11,FALSE))</f>
        <v>0</v>
      </c>
      <c r="G111" s="16">
        <f>IFERROR(IF(C111=0,0,IF(E111=120,0,IF(D111="ICE",'Replacement plan'!$C$33,IF('Replacement plan'!$D$33="",INDEX(Products!$I$7:$I$13,MATCH('Replacement plan'!$B$33,Products!$A$7:$A$13,0))+'Operating costs'!$B$57,'Replacement plan'!$D$33))*(1+'Operating costs'!$B$50)^(E111/12))),"n.a.")</f>
        <v>0</v>
      </c>
      <c r="H111" s="16">
        <f>IFERROR(IF(C111=0,0,IF(E111=0,F111,VLOOKUP($A111,'Fleet register'!$A$7:$S$106,12,FALSE)+VLOOKUP($A111,'Fleet register'!$A$7:$S$106,13,FALSE)*MAX(0,VLOOKUP($A111,'Fleet register'!$A$7:$S$106,10,FALSE)-E111)/VLOOKUP($A111,'Fleet register'!$A$7:$S$106,14,FALSE))),"n.a.")</f>
        <v>0</v>
      </c>
      <c r="I111" s="16">
        <f>IF(C111=0,0,IF(E111=120,0,'Replacement plan'!$N$33))</f>
        <v>0</v>
      </c>
      <c r="J111" s="16">
        <f>IF(C111=0,0,IF(P111="Complete",((S111*(R111-'Operating costs'!$B$39))+ROUNDUP(S111*(R111-'Operating costs'!$B$39)*IF('Replacement plan'!$AG$33="",'Operating costs'!$B$7,'Replacement plan'!$AG$33)/('Operating costs'!$B$8-'Operating costs'!$B$9*IF('Replacement plan'!$AG$33="",'Operating costs'!$B$7,'Replacement plan'!$AG$33)),0)*'Operating costs'!$B$9)*IF('Replacement plan'!$AG$33="",'Operating costs'!$B$7,'Replacement plan'!$AG$33)*('Energy and charging'!$B$9*'Energy and charging'!$B$7+(1-'Energy and charging'!$B$9)*'Energy and charging'!$B$8)*'Operating costs'!$B$23,"n.a."))</f>
        <v>0</v>
      </c>
      <c r="K111" s="16">
        <f>IF(C111=0,0,IF(P111="Complete",SUM('Operating costs'!$B$24,'Operating costs'!$B$27,'Operating costs'!$B$29,'Operating costs'!$B$31,'Operating costs'!$B$33,'Operating costs'!$B$34,'Operating costs'!$B$37,'Replacement plan'!$W$33)+'Operating costs'!$B$39*'Operating costs'!$B$42+ROUNDUP(S111*(R111-'Operating costs'!$B$39)*IF('Replacement plan'!$AG$33="",'Operating costs'!$B$7,'Replacement plan'!$AG$33)/('Operating costs'!$B$8-'Operating costs'!$B$9*IF('Replacement plan'!$AG$33="",'Operating costs'!$B$7,'Replacement plan'!$AG$33)),0)*('Operating costs'!$B$9/'Operating costs'!$B$11+'Operating costs'!$B$10/60)*'Operating costs'!$B$19*'Operating costs'!$B$21,"n.a."))</f>
        <v>0</v>
      </c>
      <c r="L111" s="16">
        <f>IF(C111=0,0,IF(P111="Complete",IF(D111="EV",X111*((1-T111)*'Energy and charging'!$B$10+T111*'Energy and charging'!$B$11)*'Operating costs'!$B$22,AA111*('Energy and charging'!$B$9*'Energy and charging'!$B$7+(1-'Energy and charging'!$B$9)*'Energy and charging'!$B$8)*'Operating costs'!$B$23),"n.a."))</f>
        <v>0</v>
      </c>
      <c r="M111" s="37">
        <f>IF(C111=0,0,IF(P111="Complete",IF(D111="ICE",SUM('Operating costs'!$B$25,'Operating costs'!$B$27,'Operating costs'!$B$29,'Operating costs'!$B$31,'Operating costs'!$B$33,'Operating costs'!$B$35,'Operating costs'!$B$37,'Replacement plan'!$X$33)+'Operating costs'!$B$40*'Operating costs'!$B$42+ROUNDUP(S111*(R111-'Operating costs'!$B$40)*IF('Replacement plan'!$AH$33="",'Operating costs'!$B$7,'Replacement plan'!$AH$33)/('Operating costs'!$B$8-'Operating costs'!$B$9*IF('Replacement plan'!$AH$33="",'Operating costs'!$B$7,'Replacement plan'!$AH$33)),0)*('Operating costs'!$B$9/'Operating costs'!$B$11+'Operating costs'!$B$10/60)*'Operating costs'!$B$19*'Operating costs'!$B$21,SUM(AP111,'Operating costs'!$B$28,'Operating costs'!$B$30,'Operating costs'!$B$32,'Operating costs'!$B$33,'Operating costs'!$B$36,'Operating costs'!$B$38,'Replacement plan'!$Y$33)+'Operating costs'!$B$41*'Operating costs'!$B$43+W111*'Operating costs'!$B$15+(T111*X111/'Replacement plan'!$L$33+W111*('Operating costs'!$B$12/'Operating costs'!$B$11+('Operating costs'!$B$13+'Operating costs'!$B$14)/60)+(R111-'Operating costs'!$B$41)*(IF(T111&lt;1,'Operating costs'!$B$16,0)+'Operating costs'!$B$17)/60)*'Operating costs'!$B$19*'Operating costs'!$B$20),"n.a."))</f>
        <v>0</v>
      </c>
      <c r="N111" s="16">
        <f>IF(AND(C111=1,D111="EV",E111&lt;120,E111+'Replacement plan'!$AA$33&lt;=120),'Replacement plan'!$Z$33,0)</f>
        <v>0</v>
      </c>
      <c r="O111" s="1">
        <f>E111+'Replacement plan'!$AA$33</f>
        <v>0</v>
      </c>
      <c r="P111" s="35" t="str">
        <f>IFERROR(IF(C111=0,"Excluded",IF(OR(COUNTIFS('Fleet register'!$A$7:$A$106,A111)&lt;&gt;1,COUNTIFS('Replacement plan'!$A$7:$A$106,A111)&lt;&gt;1),"Duplicate/missing ID",IF(NOT(AND(ISNUMBER(VLOOKUP($A111,'Fleet register'!$A$7:$S$106,5,FALSE)),ISNUMBER(VLOOKUP($A111,'Fleet register'!$A$7:$S$106,6,FALSE)),ISNUMBER(VLOOKUP($A111,'Fleet register'!$A$7:$S$106,10,FALSE)),ISNUMBER(VLOOKUP($A111,'Fleet register'!$A$7:$S$106,11,FALSE)),ISNUMBER(VLOOKUP($A111,'Fleet register'!$A$7:$S$106,12,FALSE)),ISNUMBER(VLOOKUP($A111,'Fleet register'!$A$7:$S$106,13,FALSE)),ISNUMBER(VLOOKUP($A111,'Fleet register'!$A$7:$S$106,14,FALSE)),VLOOKUP($A111,'Fleet register'!$A$7:$S$106,14,FALSE)&gt;0,ISNUMBER('Replacement plan'!$C$33),OR(E111=120,ISNUMBER('Replacement plan'!$N$33)),ISNUMBER(E111))),"Missing vehicle input",IF(OR(E111&lt;0,E111&gt;VLOOKUP($A111,'Fleet register'!$A$7:$S$106,10,FALSE),E111&gt;120,E111&lt;&gt;INT(E111),VLOOKUP($A111,'Fleet register'!$A$7:$S$106,6,FALSE)&lt;=0,VLOOKUP($A111,'Fleet register'!$A$7:$S$106,6,FALSE)&gt;366,VLOOKUP($A111,'Fleet register'!$A$7:$S$106,5,FALSE)&lt;0,VLOOKUP($A111,'Fleet register'!$A$7:$S$106,11,FALSE)&lt;0,I111&lt;0,'Operating costs'!$B$8&lt;='Operating costs'!$B$7*'Operating costs'!$B$9,'Operating costs'!$B$11&lt;=0,'Operating costs'!$B$39&gt;R111,'Operating costs'!$B$40&gt;R111,'Operating costs'!$B$41&gt;R111,NOT(OR("Keep ICE"="Keep ICE","Keep ICE"="New ICE","Keep ICE"="EV"))),"Invalid vehicle input",IF(AND(D111="EV",E111&lt;120,OR(NOT(ISNUMBER(U111)),NOT(ISNUMBER(V111)),V111&lt;=0,T111&lt;0,T111&gt;1,'Replacement plan'!$L$33&lt;=0,'Operating costs'!$B$44&lt;0,'Operating costs'!$B$44&gt;=1,'Operating costs'!$B$47&lt;=0,'Operating costs'!$B$47&gt;1,V111*'Operating costs'!$B$47/(1-'Operating costs'!$B$44)&lt;=T111*'Operating costs'!$B$12*U111,AND('Replacement plan'!$Z$33&gt;0,OR('Replacement plan'!$AB$33&lt;&gt;"Yes",'Operating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charging'!$B$8&gt;=0))),ISNUMBER(VLOOKUP($A111,'Fleet register'!$A$7:$S$106,15,FALSE)),ISNUMBER(VLOOKUP($A111,'Fleet register'!$A$7:$S$106,16,FALSE)),ISNUMBER('Replacement plan'!$W$33),ISNUMBER('Replacement plan'!$X$33),OR(E111=120,AND(ISNUMBER(G111),G111&gt;=0)),ISNUMBER(H111),H111&gt;=0,OR(D111&lt;&gt;"EV",E111=120,AND(ISNUMBER('Operating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average",ISNUMBER(IFERROR(INDEX(Products!$P$7:$P$13,MATCH(AD111,Products!$A$7:$A$13,0)),"")))),ISNUMBER('Operating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plan'!$Y$33),ISNUMBER('Replacement plan'!$Z$33),'Replacement plan'!$Z$33&gt;=0,ISNUMBER('Replacement plan'!$AA$33),'Replacement plan'!$AA$33&gt;=0,'Replacement plan'!$AA$33=INT('Replacement plan'!$AA$33),ISNUMBER('Replacement plan'!$L$33))),'Operating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plan'!$AG$33="",'Operating costs'!$B$7,'Replacement plan'!$AG$33)),IF('Replacement plan'!$AG$33="",'Operating costs'!$B$7,'Replacement plan'!$AG$33)&gt;=0,ISNUMBER(IF('Replacement plan'!$AH$33="",'Operating costs'!$B$7,'Replacement plan'!$AH$33)),IF('Replacement plan'!$AH$33="",'Operating costs'!$B$7,'Replacement plan'!$AH$33)&gt;=0,'Operating costs'!$B$8&gt;MAX(IF('Replacement plan'!$AG$33="",'Operating costs'!$B$7,'Replacement plan'!$AG$33),IF('Replacement plan'!$AH$33="",'Operating costs'!$B$7,'Replacement plan'!$AH$33))*'Operating costs'!$B$9),IF(AND(VLOOKUP($A111,'Fleet register'!$A$7:$S$106,10,FALSE)&gt;=0,VLOOKUP($A111,'Fleet register'!$A$7:$S$106,10,FALSE)&lt;=120,VLOOKUP($A111,'Fleet register'!$A$7:$S$106,10,FALSE)=INT(VLOOKUP($A111,'Fleet register'!$A$7:$S$106,10,FALSE)),VLOOKUP($A111,'Fleet register'!$A$7:$S$106,15,FALSE)&gt;=0,VLOOKUP($A111,'Fleet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costs'!$B$67)&gt;=0,OR(D111&lt;&gt;"EV",E111=120,AND(MIN('Operating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11" s="1" t="str">
        <f>IF(C111=0,"Excluded",IF(P111&lt;&gt;"Complete",P111,IF(OR('Replacement plan'!$AD$33&lt;120-E111,AND(D111="EV",E111&lt;120,OR('Replacement plan'!$AC$33&lt;120-E111,'Replacement plan'!$I$33="No",AND(ISNUMBER(AF111),AE111&gt;AF111),AI111&gt;V111*(1-'Operating costs'!$B$46)^MAX(0,AB111-1)*(1-'Operating costs'!$B$45),AC111&gt;'Operating costs'!$B$18,AND(T111&lt;1,OR(AG111&lt;=0,AND(ISNUMBER(AH111),AG111&gt;AH111))),'Replacement plan'!$L$33&gt;INDEX(Products!$H$7:$H$13,MATCH('Replacement plan'!$B$33,Products!$A$7:$A$13,0))))),"Fails entered limits",IF(AND(D111="EV",E111&lt;120,OR(NOT(ISNUMBER(VLOOKUP($A111,'Fleet register'!$A$7:$S$106,7,FALSE))),NOT(ISNUMBER(VLOOKUP($A111,'Fleet register'!$A$7:$S$106,8,FALSE))),NOT(ISNUMBER(AF111)),'Replacement plan'!$I$33&lt;&gt;"Yes",NOT(ISNUMBER(AH111)),'Operating costs'!$B$59&lt;&gt;"Yes",'Operating costs'!$B$58&lt;&gt;"Yes")),"Unverified","Within entered limits"))))</f>
        <v>Excluded</v>
      </c>
      <c r="R111" s="1">
        <f>IF(C111=0,0,VLOOKUP($A111,'Fleet register'!$A$7:$S$106,6,FALSE))</f>
        <v>0</v>
      </c>
      <c r="S111" s="1">
        <f>IF(C111=0,0,VLOOKUP($A111,'Fleet register'!$A$7:$S$106,5,FALSE))</f>
        <v>0</v>
      </c>
      <c r="T111" s="1">
        <f>IF(D111="EV",'Energy and charging'!$B$12,0)</f>
        <v>0</v>
      </c>
      <c r="U111" s="1">
        <f>IFERROR(IF(C111=0,0,IF(D111="EV",IF('Replacement plan'!$F$33="",INDEX(Products!$E$7:$E$13,MATCH('Replacement plan'!$B$33,Products!$A$7:$A$13,0)),'Replacement plan'!$F$33)/IF('Replacement plan'!$G$33="Battery",1-'Operating costs'!$B$44,1),0)),"n.a.")</f>
        <v>0</v>
      </c>
      <c r="V111" s="1">
        <f>IFERROR(IF(C111=0,0,IF(D111="EV",IF('Replacement plan'!$E$33="",INDEX(Products!$D$7:$D$13,MATCH('Replacement plan'!$B$33,Products!$A$7:$A$13,0)),'Replacement plan'!$E$33),0)),"n.a.")</f>
        <v>0</v>
      </c>
      <c r="W111" s="1">
        <f>IF(C111=0,0,IF(AND(P111="Complete",D111="EV",E111&lt;120),IF(T111=0,0,ROUNDUP(T111*(R111-'Operating costs'!$B$41)*(S111*U111+'Operating costs'!$B$48/(1-'Operating costs'!$B$44))/(V111*'Operating costs'!$B$47/(1-'Operating costs'!$B$44)-T111*'Operating costs'!$B$12*U111),0)),0))</f>
        <v>0</v>
      </c>
      <c r="X111" s="1">
        <f>IF(C111=0,0,IF(AND(P111="Complete",D111="EV",E111&lt;120),(R111-'Operating costs'!$B$41)*(S111*U111+'Operating costs'!$B$48/(1-'Operating costs'!$B$44))+W111*'Operating costs'!$B$12*U111,0))</f>
        <v>0</v>
      </c>
      <c r="Y111" s="1">
        <f>IF(AND(C111=1,D111="EV",E111&lt;120),AI111/(1-'Operating costs'!$B$44)*(1-T111),0)</f>
        <v>0</v>
      </c>
      <c r="Z111" s="1">
        <f t="shared" si="2"/>
        <v>0</v>
      </c>
      <c r="AA111" s="1">
        <f>IF(C111=0,0,IF(P111="Complete",((S111*(R111-'Operating costs'!$B$40))+ROUNDUP(S111*(R111-'Operating costs'!$B$40)*IF('Replacement plan'!$AH$33="",'Operating costs'!$B$7,'Replacement plan'!$AH$33)/('Operating costs'!$B$8-'Operating costs'!$B$9*IF('Replacement plan'!$AH$33="",'Operating costs'!$B$7,'Replacement plan'!$AH$33)),0)*'Operating costs'!$B$9)*IF('Replacement plan'!$AH$33="",'Operating costs'!$B$7,'Replacement plan'!$AH$33),"n.a."))</f>
        <v>0</v>
      </c>
      <c r="AB111" s="1">
        <f t="shared" si="3"/>
        <v>0</v>
      </c>
      <c r="AC111" s="1">
        <f>IF(AND(C111=1,D111="EV",E111&lt;120,T111&gt;0),'Operating costs'!$B$12/'Operating costs'!$B$11*60+'Operating costs'!$B$13+'Operating costs'!$B$14+V111*'Operating costs'!$B$47/(1-'Operating costs'!$B$44)/'Replacement plan'!$L$33*60,0)</f>
        <v>0</v>
      </c>
      <c r="AD111" s="1" t="str">
        <f>'Replacement plan'!$B$33</f>
        <v>ChengLong L2EV</v>
      </c>
      <c r="AE111" s="1">
        <f>IF(C111=0,0,VLOOKUP($A111,'Fleet register'!$A$7:$S$106,8,FALSE))</f>
        <v>0</v>
      </c>
      <c r="AF111" s="1" t="str">
        <f>IF('Replacement plan'!$H$33="","n.a.",'Replacement plan'!$H$33)</f>
        <v>n.a.</v>
      </c>
      <c r="AG111" s="1">
        <f>'Replacement plan'!$J$33</f>
        <v>22</v>
      </c>
      <c r="AH111" s="1">
        <f>IFERROR(IF(D111="EV",IF('Replacement plan'!$K$33="AC",IF(ISNUMBER(INDEX(Products!$G$7:$G$13,MATCH('Replacement plan'!$B$33,Products!$A$7:$A$13,0))),INDEX(Products!$G$7:$G$13,MATCH('Replacement plan'!$B$33,Products!$A$7:$A$13,0)),"n.a."),IF(ISNUMBER(INDEX(Products!$H$7:$H$13,MATCH('Replacement plan'!$B$33,Products!$A$7:$A$13,0))),INDEX(Products!$H$7:$H$13,MATCH('Replacement plan'!$B$33,Products!$A$7:$A$13,0)),"n.a.")),0),"n.a.")</f>
        <v>0</v>
      </c>
      <c r="AI111" s="1">
        <f>IF(AND(C111=1,D111="EV",E111&lt;120),(VLOOKUP($A111,'Fleet register'!$A$7:$S$106,7,FALSE)+IF(T111&gt;0,'Operating costs'!$B$12,0))*U111*(1-'Operating costs'!$B$44)+'Operating costs'!$B$49,0)</f>
        <v>0</v>
      </c>
      <c r="AJ111" s="1">
        <f>IF(D111="EV",'Energy and charging'!$B$50,0)</f>
        <v>0</v>
      </c>
      <c r="AK111" s="17">
        <f>EDATE('Operating costs'!$B$63,E111)</f>
        <v>46298</v>
      </c>
      <c r="AL111" s="1">
        <f>IFERROR(IF(D111="EV",INDEX(Products!$B$7:$B$13,MATCH('Replacement plan'!$B$33,Products!$A$7:$A$13,0)),0),"n.a.")</f>
        <v>0</v>
      </c>
      <c r="AM111" s="1" t="str">
        <f>'Replacement plan'!$K$33</f>
        <v>DC</v>
      </c>
      <c r="AN111" s="1" t="str">
        <f>'Replacement plan'!$AE$33</f>
        <v>Assumed</v>
      </c>
      <c r="AO111" s="47">
        <f>IF(AND(C111=1,D111="EV",E111&lt;120),(R111-'Operating costs'!$B$41)*S111+W111*'Operating costs'!$B$12,0)</f>
        <v>0</v>
      </c>
      <c r="AP111" s="41">
        <f>IF(AND(C111=1,D111="EV",E111&lt;120),IF('Operating costs'!$B$68="Hong Seh 200k average",AO111*IFERROR(INDEX(Products!$P$7:$P$13,MATCH(AD111,Products!$A$7:$A$13,0)),"n.a."),'Operating costs'!$B$26),0)</f>
        <v>0</v>
      </c>
      <c r="AQ111" s="40" t="str">
        <f>IF(D111="EV",'Operating costs'!$B$68,"Not applicable")</f>
        <v>Not applicable</v>
      </c>
    </row>
    <row r="112" spans="1:43" ht="24" customHeight="1">
      <c r="A112" s="1" t="str">
        <f>'Replacement plan'!A33</f>
        <v>T027</v>
      </c>
      <c r="B112" s="1">
        <v>1</v>
      </c>
      <c r="C112" s="1">
        <f>IF(COUNTIFS('Fleet register'!$A$7:$A$106,$A112)=1,VLOOKUP($A112,'Fleet register'!$A$7:$S$106,2,FALSE),0)</f>
        <v>0</v>
      </c>
      <c r="D112" s="1" t="str">
        <f>IF("New ICE"="EV","EV","ICE")</f>
        <v>ICE</v>
      </c>
      <c r="E112" s="1">
        <f>IF(C112=0,0,0)</f>
        <v>0</v>
      </c>
      <c r="F112" s="16">
        <f>IF(C112=0,0,VLOOKUP($A112,'Fleet register'!$A$7:$S$106,11,FALSE))</f>
        <v>0</v>
      </c>
      <c r="G112" s="16">
        <f>IFERROR(IF(C112=0,0,IF(E112=120,0,IF(D112="ICE",'Replacement plan'!$C$33,IF('Replacement plan'!$D$33="",INDEX(Products!$I$7:$I$13,MATCH('Replacement plan'!$B$33,Products!$A$7:$A$13,0))+'Operating costs'!$B$57,'Replacement plan'!$D$33))*(1+'Operating costs'!$B$50)^(E112/12))),"n.a.")</f>
        <v>0</v>
      </c>
      <c r="H112" s="16">
        <f>IFERROR(IF(C112=0,0,IF(E112=0,F112,VLOOKUP($A112,'Fleet register'!$A$7:$S$106,12,FALSE)+VLOOKUP($A112,'Fleet register'!$A$7:$S$106,13,FALSE)*MAX(0,VLOOKUP($A112,'Fleet register'!$A$7:$S$106,10,FALSE)-E112)/VLOOKUP($A112,'Fleet register'!$A$7:$S$106,14,FALSE))),"n.a.")</f>
        <v>0</v>
      </c>
      <c r="I112" s="16">
        <f>IF(C112=0,0,IF(E112=120,0,IF('Replacement plan'!$AI$33="",'Operating costs'!$B$56,'Replacement plan'!$AI$33)))</f>
        <v>0</v>
      </c>
      <c r="J112" s="16">
        <f>IF(C112=0,0,IF(P112="Complete",((S112*(R112-'Operating costs'!$B$39))+ROUNDUP(S112*(R112-'Operating costs'!$B$39)*IF('Replacement plan'!$AG$33="",'Operating costs'!$B$7,'Replacement plan'!$AG$33)/('Operating costs'!$B$8-'Operating costs'!$B$9*IF('Replacement plan'!$AG$33="",'Operating costs'!$B$7,'Replacement plan'!$AG$33)),0)*'Operating costs'!$B$9)*IF('Replacement plan'!$AG$33="",'Operating costs'!$B$7,'Replacement plan'!$AG$33)*('Energy and charging'!$B$9*'Energy and charging'!$B$7+(1-'Energy and charging'!$B$9)*'Energy and charging'!$B$8)*'Operating costs'!$B$23,"n.a."))</f>
        <v>0</v>
      </c>
      <c r="K112" s="16">
        <f>IF(C112=0,0,IF(P112="Complete",SUM('Operating costs'!$B$24,'Operating costs'!$B$27,'Operating costs'!$B$29,'Operating costs'!$B$31,'Operating costs'!$B$33,'Operating costs'!$B$34,'Operating costs'!$B$37,'Replacement plan'!$W$33)+'Operating costs'!$B$39*'Operating costs'!$B$42+ROUNDUP(S112*(R112-'Operating costs'!$B$39)*IF('Replacement plan'!$AG$33="",'Operating costs'!$B$7,'Replacement plan'!$AG$33)/('Operating costs'!$B$8-'Operating costs'!$B$9*IF('Replacement plan'!$AG$33="",'Operating costs'!$B$7,'Replacement plan'!$AG$33)),0)*('Operating costs'!$B$9/'Operating costs'!$B$11+'Operating costs'!$B$10/60)*'Operating costs'!$B$19*'Operating costs'!$B$21,"n.a."))</f>
        <v>0</v>
      </c>
      <c r="L112" s="16">
        <f>IF(C112=0,0,IF(P112="Complete",IF(D112="EV",X112*((1-T112)*'Energy and charging'!$B$10+T112*'Energy and charging'!$B$11)*'Operating costs'!$B$22,AA112*('Energy and charging'!$B$9*'Energy and charging'!$B$7+(1-'Energy and charging'!$B$9)*'Energy and charging'!$B$8)*'Operating costs'!$B$23),"n.a."))</f>
        <v>0</v>
      </c>
      <c r="M112" s="37">
        <f>IF(C112=0,0,IF(P112="Complete",IF(D112="ICE",SUM('Operating costs'!$B$25,'Operating costs'!$B$27,'Operating costs'!$B$29,'Operating costs'!$B$31,'Operating costs'!$B$33,'Operating costs'!$B$35,'Operating costs'!$B$37,'Replacement plan'!$X$33)+'Operating costs'!$B$40*'Operating costs'!$B$42+ROUNDUP(S112*(R112-'Operating costs'!$B$40)*IF('Replacement plan'!$AH$33="",'Operating costs'!$B$7,'Replacement plan'!$AH$33)/('Operating costs'!$B$8-'Operating costs'!$B$9*IF('Replacement plan'!$AH$33="",'Operating costs'!$B$7,'Replacement plan'!$AH$33)),0)*('Operating costs'!$B$9/'Operating costs'!$B$11+'Operating costs'!$B$10/60)*'Operating costs'!$B$19*'Operating costs'!$B$21,SUM(AP112,'Operating costs'!$B$28,'Operating costs'!$B$30,'Operating costs'!$B$32,'Operating costs'!$B$33,'Operating costs'!$B$36,'Operating costs'!$B$38,'Replacement plan'!$Y$33)+'Operating costs'!$B$41*'Operating costs'!$B$43+W112*'Operating costs'!$B$15+(T112*X112/'Replacement plan'!$L$33+W112*('Operating costs'!$B$12/'Operating costs'!$B$11+('Operating costs'!$B$13+'Operating costs'!$B$14)/60)+(R112-'Operating costs'!$B$41)*(IF(T112&lt;1,'Operating costs'!$B$16,0)+'Operating costs'!$B$17)/60)*'Operating costs'!$B$19*'Operating costs'!$B$20),"n.a."))</f>
        <v>0</v>
      </c>
      <c r="N112" s="16">
        <f>IF(AND(C112=1,D112="EV",E112&lt;120,E112+'Replacement plan'!$AA$33&lt;=120),'Replacement plan'!$Z$33,0)</f>
        <v>0</v>
      </c>
      <c r="O112" s="1">
        <f>E112+'Replacement plan'!$AA$33</f>
        <v>0</v>
      </c>
      <c r="P112" s="35" t="str">
        <f>IFERROR(IF(C112=0,"Excluded",IF(OR(COUNTIFS('Fleet register'!$A$7:$A$106,A112)&lt;&gt;1,COUNTIFS('Replacement plan'!$A$7:$A$106,A112)&lt;&gt;1),"Duplicate/missing ID",IF(NOT(AND(ISNUMBER(VLOOKUP($A112,'Fleet register'!$A$7:$S$106,5,FALSE)),ISNUMBER(VLOOKUP($A112,'Fleet register'!$A$7:$S$106,6,FALSE)),ISNUMBER(VLOOKUP($A112,'Fleet register'!$A$7:$S$106,10,FALSE)),ISNUMBER(VLOOKUP($A112,'Fleet register'!$A$7:$S$106,11,FALSE)),ISNUMBER(VLOOKUP($A112,'Fleet register'!$A$7:$S$106,12,FALSE)),ISNUMBER(VLOOKUP($A112,'Fleet register'!$A$7:$S$106,13,FALSE)),ISNUMBER(VLOOKUP($A112,'Fleet register'!$A$7:$S$106,14,FALSE)),VLOOKUP($A112,'Fleet register'!$A$7:$S$106,14,FALSE)&gt;0,ISNUMBER('Replacement plan'!$C$33),OR(E112=120,OR(ISNUMBER('Replacement plan'!$AI$33),AND('Replacement plan'!$AI$33="",ISNUMBER('Operating costs'!$B$56)))),ISNUMBER(E112))),"Missing vehicle input",IF(OR(E112&lt;0,E112&gt;VLOOKUP($A112,'Fleet register'!$A$7:$S$106,10,FALSE),E112&gt;120,E112&lt;&gt;INT(E112),VLOOKUP($A112,'Fleet register'!$A$7:$S$106,6,FALSE)&lt;=0,VLOOKUP($A112,'Fleet register'!$A$7:$S$106,6,FALSE)&gt;366,VLOOKUP($A112,'Fleet register'!$A$7:$S$106,5,FALSE)&lt;0,VLOOKUP($A112,'Fleet register'!$A$7:$S$106,11,FALSE)&lt;0,I112&lt;0,'Operating costs'!$B$8&lt;='Operating costs'!$B$7*'Operating costs'!$B$9,'Operating costs'!$B$11&lt;=0,'Operating costs'!$B$39&gt;R112,'Operating costs'!$B$40&gt;R112,'Operating costs'!$B$41&gt;R112,NOT(OR("New ICE"="Keep ICE","New ICE"="New ICE","New ICE"="EV"))),"Invalid vehicle input",IF(AND(D112="EV",E112&lt;120,OR(NOT(ISNUMBER(U112)),NOT(ISNUMBER(V112)),V112&lt;=0,T112&lt;0,T112&gt;1,'Replacement plan'!$L$33&lt;=0,'Operating costs'!$B$44&lt;0,'Operating costs'!$B$44&gt;=1,'Operating costs'!$B$47&lt;=0,'Operating costs'!$B$47&gt;1,V112*'Operating costs'!$B$47/(1-'Operating costs'!$B$44)&lt;=T112*'Operating costs'!$B$12*U112,AND('Replacement plan'!$Z$33&gt;0,OR('Replacement plan'!$AB$33&lt;&gt;"Yes",'Operating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charging'!$B$8&gt;=0))),ISNUMBER(VLOOKUP($A112,'Fleet register'!$A$7:$S$106,15,FALSE)),ISNUMBER(VLOOKUP($A112,'Fleet register'!$A$7:$S$106,16,FALSE)),ISNUMBER('Replacement plan'!$W$33),ISNUMBER('Replacement plan'!$X$33),OR(E112=120,AND(ISNUMBER(G112),G112&gt;=0)),ISNUMBER(H112),H112&gt;=0,OR(D112&lt;&gt;"EV",E112=120,AND(ISNUMBER('Operating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average",ISNUMBER(IFERROR(INDEX(Products!$P$7:$P$13,MATCH(AD112,Products!$A$7:$A$13,0)),"")))),ISNUMBER('Operating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plan'!$Y$33),ISNUMBER('Replacement plan'!$Z$33),'Replacement plan'!$Z$33&gt;=0,ISNUMBER('Replacement plan'!$AA$33),'Replacement plan'!$AA$33&gt;=0,'Replacement plan'!$AA$33=INT('Replacement plan'!$AA$33),ISNUMBER('Replacement plan'!$L$33))),'Operating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plan'!$AG$33="",'Operating costs'!$B$7,'Replacement plan'!$AG$33)),IF('Replacement plan'!$AG$33="",'Operating costs'!$B$7,'Replacement plan'!$AG$33)&gt;=0,ISNUMBER(IF('Replacement plan'!$AH$33="",'Operating costs'!$B$7,'Replacement plan'!$AH$33)),IF('Replacement plan'!$AH$33="",'Operating costs'!$B$7,'Replacement plan'!$AH$33)&gt;=0,'Operating costs'!$B$8&gt;MAX(IF('Replacement plan'!$AG$33="",'Operating costs'!$B$7,'Replacement plan'!$AG$33),IF('Replacement plan'!$AH$33="",'Operating costs'!$B$7,'Replacement plan'!$AH$33))*'Operating costs'!$B$9),IF(AND(VLOOKUP($A112,'Fleet register'!$A$7:$S$106,10,FALSE)&gt;=0,VLOOKUP($A112,'Fleet register'!$A$7:$S$106,10,FALSE)&lt;=120,VLOOKUP($A112,'Fleet register'!$A$7:$S$106,10,FALSE)=INT(VLOOKUP($A112,'Fleet register'!$A$7:$S$106,10,FALSE)),VLOOKUP($A112,'Fleet register'!$A$7:$S$106,15,FALSE)&gt;=0,VLOOKUP($A112,'Fleet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costs'!$B$67)&gt;=0,OR(D112&lt;&gt;"EV",E112=120,AND(MIN('Operating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12" s="1" t="str">
        <f>IF(C112=0,"Excluded",IF(P112&lt;&gt;"Complete",P112,IF(OR('Replacement plan'!$AD$33&lt;120-E112,AND(D112="EV",E112&lt;120,OR('Replacement plan'!$AC$33&lt;120-E112,'Replacement plan'!$I$33="No",AND(ISNUMBER(AF112),AE112&gt;AF112),AI112&gt;V112*(1-'Operating costs'!$B$46)^MAX(0,AB112-1)*(1-'Operating costs'!$B$45),AC112&gt;'Operating costs'!$B$18,AND(T112&lt;1,OR(AG112&lt;=0,AND(ISNUMBER(AH112),AG112&gt;AH112))),'Replacement plan'!$L$33&gt;INDEX(Products!$H$7:$H$13,MATCH('Replacement plan'!$B$33,Products!$A$7:$A$13,0))))),"Fails entered limits",IF(AND(D112="EV",E112&lt;120,OR(NOT(ISNUMBER(VLOOKUP($A112,'Fleet register'!$A$7:$S$106,7,FALSE))),NOT(ISNUMBER(VLOOKUP($A112,'Fleet register'!$A$7:$S$106,8,FALSE))),NOT(ISNUMBER(AF112)),'Replacement plan'!$I$33&lt;&gt;"Yes",NOT(ISNUMBER(AH112)),'Operating costs'!$B$59&lt;&gt;"Yes",'Operating costs'!$B$58&lt;&gt;"Yes")),"Unverified","Within entered limits"))))</f>
        <v>Excluded</v>
      </c>
      <c r="R112" s="1">
        <f>IF(C112=0,0,VLOOKUP($A112,'Fleet register'!$A$7:$S$106,6,FALSE))</f>
        <v>0</v>
      </c>
      <c r="S112" s="1">
        <f>IF(C112=0,0,VLOOKUP($A112,'Fleet register'!$A$7:$S$106,5,FALSE))</f>
        <v>0</v>
      </c>
      <c r="T112" s="1">
        <f>IF(D112="EV",'Energy and charging'!$B$12,0)</f>
        <v>0</v>
      </c>
      <c r="U112" s="1">
        <f>IFERROR(IF(C112=0,0,IF(D112="EV",IF('Replacement plan'!$F$33="",INDEX(Products!$E$7:$E$13,MATCH('Replacement plan'!$B$33,Products!$A$7:$A$13,0)),'Replacement plan'!$F$33)/IF('Replacement plan'!$G$33="Battery",1-'Operating costs'!$B$44,1),0)),"n.a.")</f>
        <v>0</v>
      </c>
      <c r="V112" s="1">
        <f>IFERROR(IF(C112=0,0,IF(D112="EV",IF('Replacement plan'!$E$33="",INDEX(Products!$D$7:$D$13,MATCH('Replacement plan'!$B$33,Products!$A$7:$A$13,0)),'Replacement plan'!$E$33),0)),"n.a.")</f>
        <v>0</v>
      </c>
      <c r="W112" s="1">
        <f>IF(C112=0,0,IF(AND(P112="Complete",D112="EV",E112&lt;120),IF(T112=0,0,ROUNDUP(T112*(R112-'Operating costs'!$B$41)*(S112*U112+'Operating costs'!$B$48/(1-'Operating costs'!$B$44))/(V112*'Operating costs'!$B$47/(1-'Operating costs'!$B$44)-T112*'Operating costs'!$B$12*U112),0)),0))</f>
        <v>0</v>
      </c>
      <c r="X112" s="1">
        <f>IF(C112=0,0,IF(AND(P112="Complete",D112="EV",E112&lt;120),(R112-'Operating costs'!$B$41)*(S112*U112+'Operating costs'!$B$48/(1-'Operating costs'!$B$44))+W112*'Operating costs'!$B$12*U112,0))</f>
        <v>0</v>
      </c>
      <c r="Y112" s="1">
        <f>IF(AND(C112=1,D112="EV",E112&lt;120),AI112/(1-'Operating costs'!$B$44)*(1-T112),0)</f>
        <v>0</v>
      </c>
      <c r="Z112" s="1">
        <f t="shared" si="2"/>
        <v>0</v>
      </c>
      <c r="AA112" s="1">
        <f>IF(C112=0,0,IF(P112="Complete",((S112*(R112-'Operating costs'!$B$40))+ROUNDUP(S112*(R112-'Operating costs'!$B$40)*IF('Replacement plan'!$AH$33="",'Operating costs'!$B$7,'Replacement plan'!$AH$33)/('Operating costs'!$B$8-'Operating costs'!$B$9*IF('Replacement plan'!$AH$33="",'Operating costs'!$B$7,'Replacement plan'!$AH$33)),0)*'Operating costs'!$B$9)*IF('Replacement plan'!$AH$33="",'Operating costs'!$B$7,'Replacement plan'!$AH$33),"n.a."))</f>
        <v>0</v>
      </c>
      <c r="AB112" s="1">
        <f t="shared" si="3"/>
        <v>0</v>
      </c>
      <c r="AC112" s="1">
        <f>IF(AND(C112=1,D112="EV",E112&lt;120,T112&gt;0),'Operating costs'!$B$12/'Operating costs'!$B$11*60+'Operating costs'!$B$13+'Operating costs'!$B$14+V112*'Operating costs'!$B$47/(1-'Operating costs'!$B$44)/'Replacement plan'!$L$33*60,0)</f>
        <v>0</v>
      </c>
      <c r="AD112" s="1" t="str">
        <f>'Replacement plan'!$B$33</f>
        <v>ChengLong L2EV</v>
      </c>
      <c r="AE112" s="1">
        <f>IF(C112=0,0,VLOOKUP($A112,'Fleet register'!$A$7:$S$106,8,FALSE))</f>
        <v>0</v>
      </c>
      <c r="AF112" s="1" t="str">
        <f>IF('Replacement plan'!$H$33="","n.a.",'Replacement plan'!$H$33)</f>
        <v>n.a.</v>
      </c>
      <c r="AG112" s="1">
        <f>'Replacement plan'!$J$33</f>
        <v>22</v>
      </c>
      <c r="AH112" s="1">
        <f>IFERROR(IF(D112="EV",IF('Replacement plan'!$K$33="AC",IF(ISNUMBER(INDEX(Products!$G$7:$G$13,MATCH('Replacement plan'!$B$33,Products!$A$7:$A$13,0))),INDEX(Products!$G$7:$G$13,MATCH('Replacement plan'!$B$33,Products!$A$7:$A$13,0)),"n.a."),IF(ISNUMBER(INDEX(Products!$H$7:$H$13,MATCH('Replacement plan'!$B$33,Products!$A$7:$A$13,0))),INDEX(Products!$H$7:$H$13,MATCH('Replacement plan'!$B$33,Products!$A$7:$A$13,0)),"n.a.")),0),"n.a.")</f>
        <v>0</v>
      </c>
      <c r="AI112" s="1">
        <f>IF(AND(C112=1,D112="EV",E112&lt;120),(VLOOKUP($A112,'Fleet register'!$A$7:$S$106,7,FALSE)+IF(T112&gt;0,'Operating costs'!$B$12,0))*U112*(1-'Operating costs'!$B$44)+'Operating costs'!$B$49,0)</f>
        <v>0</v>
      </c>
      <c r="AJ112" s="1">
        <f>IF(D112="EV",'Energy and charging'!$B$50,0)</f>
        <v>0</v>
      </c>
      <c r="AK112" s="17">
        <f>EDATE('Operating costs'!$B$63,E112)</f>
        <v>46298</v>
      </c>
      <c r="AL112" s="1">
        <f>IFERROR(IF(D112="EV",INDEX(Products!$B$7:$B$13,MATCH('Replacement plan'!$B$33,Products!$A$7:$A$13,0)),0),"n.a.")</f>
        <v>0</v>
      </c>
      <c r="AM112" s="1" t="str">
        <f>'Replacement plan'!$K$33</f>
        <v>DC</v>
      </c>
      <c r="AN112" s="1" t="str">
        <f>'Replacement plan'!$AE$33</f>
        <v>Assumed</v>
      </c>
      <c r="AO112" s="47">
        <f>IF(AND(C112=1,D112="EV",E112&lt;120),(R112-'Operating costs'!$B$41)*S112+W112*'Operating costs'!$B$12,0)</f>
        <v>0</v>
      </c>
      <c r="AP112" s="41">
        <f>IF(AND(C112=1,D112="EV",E112&lt;120),IF('Operating costs'!$B$68="Hong Seh 200k average",AO112*IFERROR(INDEX(Products!$P$7:$P$13,MATCH(AD112,Products!$A$7:$A$13,0)),"n.a."),'Operating costs'!$B$26),0)</f>
        <v>0</v>
      </c>
      <c r="AQ112" s="40" t="str">
        <f>IF(D112="EV",'Operating costs'!$B$68,"Not applicable")</f>
        <v>Not applicable</v>
      </c>
    </row>
    <row r="113" spans="1:43" ht="24" customHeight="1">
      <c r="A113" s="1" t="str">
        <f>'Replacement plan'!A33</f>
        <v>T027</v>
      </c>
      <c r="B113" s="1">
        <v>2</v>
      </c>
      <c r="C113" s="1">
        <f>IF(COUNTIFS('Fleet register'!$A$7:$A$106,$A113)=1,VLOOKUP($A113,'Fleet register'!$A$7:$S$106,2,FALSE),0)</f>
        <v>0</v>
      </c>
      <c r="D113" s="1" t="str">
        <f>IF('Replacement plan'!$O$33="EV","EV","ICE")</f>
        <v>ICE</v>
      </c>
      <c r="E113" s="1">
        <f>IF(C113=0,0,IF('Replacement plan'!$P$33="",IF('Replacement plan'!$O$33="Keep ICE",IF('Replacement plan'!$M$33="",VLOOKUP($A113,'Fleet register'!$A$7:$S$106,10,FALSE),'Replacement plan'!$M$33),0),'Replacement plan'!$P$33))</f>
        <v>0</v>
      </c>
      <c r="F113" s="16">
        <f>IF(C113=0,0,VLOOKUP($A113,'Fleet register'!$A$7:$S$106,11,FALSE))</f>
        <v>0</v>
      </c>
      <c r="G113" s="16">
        <f>IFERROR(IF(C113=0,0,IF(E113=120,0,IF(D113="ICE",'Replacement plan'!$C$33,IF('Replacement plan'!$D$33="",INDEX(Products!$I$7:$I$13,MATCH('Replacement plan'!$B$33,Products!$A$7:$A$13,0))+'Operating costs'!$B$57,'Replacement plan'!$D$33))*(1+'Operating costs'!$B$50)^(E113/12))),"n.a.")</f>
        <v>0</v>
      </c>
      <c r="H113" s="16">
        <f>IFERROR(IF(C113=0,0,IF('Replacement plan'!$U$33&lt;&gt;"",'Replacement plan'!$U$33,IF(E113=0,F113,VLOOKUP($A113,'Fleet register'!$A$7:$S$106,12,FALSE)+VLOOKUP($A113,'Fleet register'!$A$7:$S$106,13,FALSE)*MAX(0,VLOOKUP($A113,'Fleet register'!$A$7:$S$106,10,FALSE)-E113)/VLOOKUP($A113,'Fleet register'!$A$7:$S$106,14,FALSE)))),"n.a.")</f>
        <v>0</v>
      </c>
      <c r="I113" s="16">
        <f>IF(C113=0,0,IF(E113=120,0,'Replacement plan'!$Q$33))</f>
        <v>0</v>
      </c>
      <c r="J113" s="16">
        <f>IF(C113=0,0,IF(P113="Complete",((S113*(R113-'Operating costs'!$B$39))+ROUNDUP(S113*(R113-'Operating costs'!$B$39)*IF('Replacement plan'!$AG$33="",'Operating costs'!$B$7,'Replacement plan'!$AG$33)/('Operating costs'!$B$8-'Operating costs'!$B$9*IF('Replacement plan'!$AG$33="",'Operating costs'!$B$7,'Replacement plan'!$AG$33)),0)*'Operating costs'!$B$9)*IF('Replacement plan'!$AG$33="",'Operating costs'!$B$7,'Replacement plan'!$AG$33)*('Energy and charging'!$B$9*'Energy and charging'!$B$7+(1-'Energy and charging'!$B$9)*'Energy and charging'!$B$8)*'Operating costs'!$B$23,"n.a."))</f>
        <v>0</v>
      </c>
      <c r="K113" s="16">
        <f>IF(C113=0,0,IF(P113="Complete",SUM('Operating costs'!$B$24,'Operating costs'!$B$27,'Operating costs'!$B$29,'Operating costs'!$B$31,'Operating costs'!$B$33,'Operating costs'!$B$34,'Operating costs'!$B$37,'Replacement plan'!$W$33)+'Operating costs'!$B$39*'Operating costs'!$B$42+ROUNDUP(S113*(R113-'Operating costs'!$B$39)*IF('Replacement plan'!$AG$33="",'Operating costs'!$B$7,'Replacement plan'!$AG$33)/('Operating costs'!$B$8-'Operating costs'!$B$9*IF('Replacement plan'!$AG$33="",'Operating costs'!$B$7,'Replacement plan'!$AG$33)),0)*('Operating costs'!$B$9/'Operating costs'!$B$11+'Operating costs'!$B$10/60)*'Operating costs'!$B$19*'Operating costs'!$B$21,"n.a."))</f>
        <v>0</v>
      </c>
      <c r="L113" s="16">
        <f>IF(C113=0,0,IF(P113="Complete",IF(D113="EV",X113*((1-T113)*'Energy and charging'!$B$10+T113*'Energy and charging'!$B$11)*'Operating costs'!$B$22,AA113*('Energy and charging'!$B$9*'Energy and charging'!$B$7+(1-'Energy and charging'!$B$9)*'Energy and charging'!$B$8)*'Operating costs'!$B$23),"n.a."))</f>
        <v>0</v>
      </c>
      <c r="M113" s="37">
        <f>IF(C113=0,0,IF(P113="Complete",IF(D113="ICE",SUM('Operating costs'!$B$25,'Operating costs'!$B$27,'Operating costs'!$B$29,'Operating costs'!$B$31,'Operating costs'!$B$33,'Operating costs'!$B$35,'Operating costs'!$B$37,'Replacement plan'!$X$33)+'Operating costs'!$B$40*'Operating costs'!$B$42+ROUNDUP(S113*(R113-'Operating costs'!$B$40)*IF('Replacement plan'!$AH$33="",'Operating costs'!$B$7,'Replacement plan'!$AH$33)/('Operating costs'!$B$8-'Operating costs'!$B$9*IF('Replacement plan'!$AH$33="",'Operating costs'!$B$7,'Replacement plan'!$AH$33)),0)*('Operating costs'!$B$9/'Operating costs'!$B$11+'Operating costs'!$B$10/60)*'Operating costs'!$B$19*'Operating costs'!$B$21,SUM(AP113,'Operating costs'!$B$28,'Operating costs'!$B$30,'Operating costs'!$B$32,'Operating costs'!$B$33,'Operating costs'!$B$36,'Operating costs'!$B$38,'Replacement plan'!$Y$33)+'Operating costs'!$B$41*'Operating costs'!$B$43+W113*'Operating costs'!$B$15+(T113*X113/'Replacement plan'!$L$33+W113*('Operating costs'!$B$12/'Operating costs'!$B$11+('Operating costs'!$B$13+'Operating costs'!$B$14)/60)+(R113-'Operating costs'!$B$41)*(IF(T113&lt;1,'Operating costs'!$B$16,0)+'Operating costs'!$B$17)/60)*'Operating costs'!$B$19*'Operating costs'!$B$20),"n.a."))</f>
        <v>0</v>
      </c>
      <c r="N113" s="16">
        <f>IF(AND(C113=1,D113="EV",E113&lt;120,E113+'Replacement plan'!$AA$33&lt;=120),'Replacement plan'!$Z$33,0)</f>
        <v>0</v>
      </c>
      <c r="O113" s="1">
        <f>E113+'Replacement plan'!$AA$33</f>
        <v>0</v>
      </c>
      <c r="P113" s="35" t="str">
        <f>IFERROR(IF(C113=0,"Excluded",IF(OR(COUNTIFS('Fleet register'!$A$7:$A$106,A113)&lt;&gt;1,COUNTIFS('Replacement plan'!$A$7:$A$106,A113)&lt;&gt;1),"Duplicate/missing ID",IF(NOT(AND(ISNUMBER(VLOOKUP($A113,'Fleet register'!$A$7:$S$106,5,FALSE)),ISNUMBER(VLOOKUP($A113,'Fleet register'!$A$7:$S$106,6,FALSE)),ISNUMBER(VLOOKUP($A113,'Fleet register'!$A$7:$S$106,10,FALSE)),ISNUMBER(VLOOKUP($A113,'Fleet register'!$A$7:$S$106,11,FALSE)),ISNUMBER(VLOOKUP($A113,'Fleet register'!$A$7:$S$106,12,FALSE)),ISNUMBER(VLOOKUP($A113,'Fleet register'!$A$7:$S$106,13,FALSE)),ISNUMBER(VLOOKUP($A113,'Fleet register'!$A$7:$S$106,14,FALSE)),VLOOKUP($A113,'Fleet register'!$A$7:$S$106,14,FALSE)&gt;0,ISNUMBER('Replacement plan'!$C$33),OR(E113=120,ISNUMBER('Replacement plan'!$Q$33)),ISNUMBER(E113))),"Missing vehicle input",IF(OR(E113&lt;0,E113&gt;VLOOKUP($A113,'Fleet register'!$A$7:$S$106,10,FALSE),E113&gt;120,E113&lt;&gt;INT(E113),VLOOKUP($A113,'Fleet register'!$A$7:$S$106,6,FALSE)&lt;=0,VLOOKUP($A113,'Fleet register'!$A$7:$S$106,6,FALSE)&gt;366,VLOOKUP($A113,'Fleet register'!$A$7:$S$106,5,FALSE)&lt;0,VLOOKUP($A113,'Fleet register'!$A$7:$S$106,11,FALSE)&lt;0,I113&lt;0,'Operating costs'!$B$8&lt;='Operating costs'!$B$7*'Operating costs'!$B$9,'Operating costs'!$B$11&lt;=0,'Operating costs'!$B$39&gt;R113,'Operating costs'!$B$40&gt;R113,'Operating costs'!$B$41&gt;R113,NOT(OR('Replacement plan'!$O$33="Keep ICE",'Replacement plan'!$O$33="New ICE",'Replacement plan'!$O$33="EV"))),"Invalid vehicle input",IF(AND(D113="EV",E113&lt;120,OR(NOT(ISNUMBER(U113)),NOT(ISNUMBER(V113)),V113&lt;=0,T113&lt;0,T113&gt;1,'Replacement plan'!$L$33&lt;=0,'Operating costs'!$B$44&lt;0,'Operating costs'!$B$44&gt;=1,'Operating costs'!$B$47&lt;=0,'Operating costs'!$B$47&gt;1,V113*'Operating costs'!$B$47/(1-'Operating costs'!$B$44)&lt;=T113*'Operating costs'!$B$12*U113,AND('Replacement plan'!$Z$33&gt;0,OR('Replacement plan'!$AB$33&lt;&gt;"Yes",'Operating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charging'!$B$8&gt;=0))),ISNUMBER(VLOOKUP($A113,'Fleet register'!$A$7:$S$106,15,FALSE)),ISNUMBER(VLOOKUP($A113,'Fleet register'!$A$7:$S$106,16,FALSE)),ISNUMBER('Replacement plan'!$W$33),ISNUMBER('Replacement plan'!$X$33),OR(E113=120,AND(ISNUMBER(G113),G113&gt;=0)),ISNUMBER(H113),H113&gt;=0,OR(D113&lt;&gt;"EV",E113=120,AND(ISNUMBER('Operating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average",ISNUMBER(IFERROR(INDEX(Products!$P$7:$P$13,MATCH(AD113,Products!$A$7:$A$13,0)),"")))),ISNUMBER('Operating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plan'!$Y$33),ISNUMBER('Replacement plan'!$Z$33),'Replacement plan'!$Z$33&gt;=0,ISNUMBER('Replacement plan'!$AA$33),'Replacement plan'!$AA$33&gt;=0,'Replacement plan'!$AA$33=INT('Replacement plan'!$AA$33),ISNUMBER('Replacement plan'!$L$33))),'Operating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plan'!$AG$33="",'Operating costs'!$B$7,'Replacement plan'!$AG$33)),IF('Replacement plan'!$AG$33="",'Operating costs'!$B$7,'Replacement plan'!$AG$33)&gt;=0,ISNUMBER(IF('Replacement plan'!$AH$33="",'Operating costs'!$B$7,'Replacement plan'!$AH$33)),IF('Replacement plan'!$AH$33="",'Operating costs'!$B$7,'Replacement plan'!$AH$33)&gt;=0,'Operating costs'!$B$8&gt;MAX(IF('Replacement plan'!$AG$33="",'Operating costs'!$B$7,'Replacement plan'!$AG$33),IF('Replacement plan'!$AH$33="",'Operating costs'!$B$7,'Replacement plan'!$AH$33))*'Operating costs'!$B$9),IF(AND(VLOOKUP($A113,'Fleet register'!$A$7:$S$106,10,FALSE)&gt;=0,VLOOKUP($A113,'Fleet register'!$A$7:$S$106,10,FALSE)&lt;=120,VLOOKUP($A113,'Fleet register'!$A$7:$S$106,10,FALSE)=INT(VLOOKUP($A113,'Fleet register'!$A$7:$S$106,10,FALSE)),VLOOKUP($A113,'Fleet register'!$A$7:$S$106,15,FALSE)&gt;=0,VLOOKUP($A113,'Fleet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costs'!$B$67)&gt;=0,OR(D113&lt;&gt;"EV",E113=120,AND(MIN('Operating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13" s="1" t="str">
        <f>IF(C113=0,"Excluded",IF(P113&lt;&gt;"Complete",P113,IF(OR('Replacement plan'!$AD$33&lt;120-E113,AND(D113="EV",E113&lt;120,OR('Replacement plan'!$AC$33&lt;120-E113,'Replacement plan'!$I$33="No",AND(ISNUMBER(AF113),AE113&gt;AF113),AI113&gt;V113*(1-'Operating costs'!$B$46)^MAX(0,AB113-1)*(1-'Operating costs'!$B$45),AC113&gt;'Operating costs'!$B$18,AND(T113&lt;1,OR(AG113&lt;=0,AND(ISNUMBER(AH113),AG113&gt;AH113))),'Replacement plan'!$L$33&gt;INDEX(Products!$H$7:$H$13,MATCH('Replacement plan'!$B$33,Products!$A$7:$A$13,0))))),"Fails entered limits",IF(AND(D113="EV",E113&lt;120,OR(NOT(ISNUMBER(VLOOKUP($A113,'Fleet register'!$A$7:$S$106,7,FALSE))),NOT(ISNUMBER(VLOOKUP($A113,'Fleet register'!$A$7:$S$106,8,FALSE))),NOT(ISNUMBER(AF113)),'Replacement plan'!$I$33&lt;&gt;"Yes",NOT(ISNUMBER(AH113)),'Operating costs'!$B$59&lt;&gt;"Yes",'Operating costs'!$B$58&lt;&gt;"Yes")),"Unverified","Within entered limits"))))</f>
        <v>Excluded</v>
      </c>
      <c r="R113" s="1">
        <f>IF(C113=0,0,VLOOKUP($A113,'Fleet register'!$A$7:$S$106,6,FALSE))</f>
        <v>0</v>
      </c>
      <c r="S113" s="1">
        <f>IF(C113=0,0,VLOOKUP($A113,'Fleet register'!$A$7:$S$106,5,FALSE))</f>
        <v>0</v>
      </c>
      <c r="T113" s="1">
        <f>IF(D113="EV",'Energy and charging'!$B$12,0)</f>
        <v>0</v>
      </c>
      <c r="U113" s="1">
        <f>IFERROR(IF(C113=0,0,IF(D113="EV",IF('Replacement plan'!$F$33="",INDEX(Products!$E$7:$E$13,MATCH('Replacement plan'!$B$33,Products!$A$7:$A$13,0)),'Replacement plan'!$F$33)/IF('Replacement plan'!$G$33="Battery",1-'Operating costs'!$B$44,1),0)),"n.a.")</f>
        <v>0</v>
      </c>
      <c r="V113" s="1">
        <f>IFERROR(IF(C113=0,0,IF(D113="EV",IF('Replacement plan'!$E$33="",INDEX(Products!$D$7:$D$13,MATCH('Replacement plan'!$B$33,Products!$A$7:$A$13,0)),'Replacement plan'!$E$33),0)),"n.a.")</f>
        <v>0</v>
      </c>
      <c r="W113" s="1">
        <f>IF(C113=0,0,IF(AND(P113="Complete",D113="EV",E113&lt;120),IF(T113=0,0,ROUNDUP(T113*(R113-'Operating costs'!$B$41)*(S113*U113+'Operating costs'!$B$48/(1-'Operating costs'!$B$44))/(V113*'Operating costs'!$B$47/(1-'Operating costs'!$B$44)-T113*'Operating costs'!$B$12*U113),0)),0))</f>
        <v>0</v>
      </c>
      <c r="X113" s="1">
        <f>IF(C113=0,0,IF(AND(P113="Complete",D113="EV",E113&lt;120),(R113-'Operating costs'!$B$41)*(S113*U113+'Operating costs'!$B$48/(1-'Operating costs'!$B$44))+W113*'Operating costs'!$B$12*U113,0))</f>
        <v>0</v>
      </c>
      <c r="Y113" s="1">
        <f>IF(AND(C113=1,D113="EV",E113&lt;120),AI113/(1-'Operating costs'!$B$44)*(1-T113),0)</f>
        <v>0</v>
      </c>
      <c r="Z113" s="1">
        <f t="shared" si="2"/>
        <v>0</v>
      </c>
      <c r="AA113" s="1">
        <f>IF(C113=0,0,IF(P113="Complete",((S113*(R113-'Operating costs'!$B$40))+ROUNDUP(S113*(R113-'Operating costs'!$B$40)*IF('Replacement plan'!$AH$33="",'Operating costs'!$B$7,'Replacement plan'!$AH$33)/('Operating costs'!$B$8-'Operating costs'!$B$9*IF('Replacement plan'!$AH$33="",'Operating costs'!$B$7,'Replacement plan'!$AH$33)),0)*'Operating costs'!$B$9)*IF('Replacement plan'!$AH$33="",'Operating costs'!$B$7,'Replacement plan'!$AH$33),"n.a."))</f>
        <v>0</v>
      </c>
      <c r="AB113" s="1">
        <f t="shared" si="3"/>
        <v>0</v>
      </c>
      <c r="AC113" s="1">
        <f>IF(AND(C113=1,D113="EV",E113&lt;120,T113&gt;0),'Operating costs'!$B$12/'Operating costs'!$B$11*60+'Operating costs'!$B$13+'Operating costs'!$B$14+V113*'Operating costs'!$B$47/(1-'Operating costs'!$B$44)/'Replacement plan'!$L$33*60,0)</f>
        <v>0</v>
      </c>
      <c r="AD113" s="1" t="str">
        <f>'Replacement plan'!$B$33</f>
        <v>ChengLong L2EV</v>
      </c>
      <c r="AE113" s="1">
        <f>IF(C113=0,0,VLOOKUP($A113,'Fleet register'!$A$7:$S$106,8,FALSE))</f>
        <v>0</v>
      </c>
      <c r="AF113" s="1" t="str">
        <f>IF('Replacement plan'!$H$33="","n.a.",'Replacement plan'!$H$33)</f>
        <v>n.a.</v>
      </c>
      <c r="AG113" s="1">
        <f>'Replacement plan'!$J$33</f>
        <v>22</v>
      </c>
      <c r="AH113" s="1">
        <f>IFERROR(IF(D113="EV",IF('Replacement plan'!$K$33="AC",IF(ISNUMBER(INDEX(Products!$G$7:$G$13,MATCH('Replacement plan'!$B$33,Products!$A$7:$A$13,0))),INDEX(Products!$G$7:$G$13,MATCH('Replacement plan'!$B$33,Products!$A$7:$A$13,0)),"n.a."),IF(ISNUMBER(INDEX(Products!$H$7:$H$13,MATCH('Replacement plan'!$B$33,Products!$A$7:$A$13,0))),INDEX(Products!$H$7:$H$13,MATCH('Replacement plan'!$B$33,Products!$A$7:$A$13,0)),"n.a.")),0),"n.a.")</f>
        <v>0</v>
      </c>
      <c r="AI113" s="1">
        <f>IF(AND(C113=1,D113="EV",E113&lt;120),(VLOOKUP($A113,'Fleet register'!$A$7:$S$106,7,FALSE)+IF(T113&gt;0,'Operating costs'!$B$12,0))*U113*(1-'Operating costs'!$B$44)+'Operating costs'!$B$49,0)</f>
        <v>0</v>
      </c>
      <c r="AJ113" s="1">
        <f>IF(D113="EV",'Energy and charging'!$B$50,0)</f>
        <v>0</v>
      </c>
      <c r="AK113" s="17">
        <f>EDATE('Operating costs'!$B$63,E113)</f>
        <v>46298</v>
      </c>
      <c r="AL113" s="1">
        <f>IFERROR(IF(D113="EV",INDEX(Products!$B$7:$B$13,MATCH('Replacement plan'!$B$33,Products!$A$7:$A$13,0)),0),"n.a.")</f>
        <v>0</v>
      </c>
      <c r="AM113" s="1" t="str">
        <f>'Replacement plan'!$K$33</f>
        <v>DC</v>
      </c>
      <c r="AN113" s="1" t="str">
        <f>'Replacement plan'!$AE$33</f>
        <v>Assumed</v>
      </c>
      <c r="AO113" s="47">
        <f>IF(AND(C113=1,D113="EV",E113&lt;120),(R113-'Operating costs'!$B$41)*S113+W113*'Operating costs'!$B$12,0)</f>
        <v>0</v>
      </c>
      <c r="AP113" s="41">
        <f>IF(AND(C113=1,D113="EV",E113&lt;120),IF('Operating costs'!$B$68="Hong Seh 200k average",AO113*IFERROR(INDEX(Products!$P$7:$P$13,MATCH(AD113,Products!$A$7:$A$13,0)),"n.a."),'Operating costs'!$B$26),0)</f>
        <v>0</v>
      </c>
      <c r="AQ113" s="40" t="str">
        <f>IF(D113="EV",'Operating costs'!$B$68,"Not applicable")</f>
        <v>Not applicable</v>
      </c>
    </row>
    <row r="114" spans="1:43" ht="24" customHeight="1">
      <c r="A114" s="1" t="str">
        <f>'Replacement plan'!A33</f>
        <v>T027</v>
      </c>
      <c r="B114" s="1">
        <v>3</v>
      </c>
      <c r="C114" s="1">
        <f>IF(COUNTIFS('Fleet register'!$A$7:$A$106,$A114)=1,VLOOKUP($A114,'Fleet register'!$A$7:$S$106,2,FALSE),0)</f>
        <v>0</v>
      </c>
      <c r="D114" s="1" t="str">
        <f>IF('Replacement plan'!$R$33="EV","EV","ICE")</f>
        <v>ICE</v>
      </c>
      <c r="E114" s="1">
        <f>IF(C114=0,0,IF('Replacement plan'!$S$33="",IF('Replacement plan'!$R$33="Keep ICE",IF('Replacement plan'!$M$33="",VLOOKUP($A114,'Fleet register'!$A$7:$S$106,10,FALSE),'Replacement plan'!$M$33),0),'Replacement plan'!$S$33))</f>
        <v>0</v>
      </c>
      <c r="F114" s="16">
        <f>IF(C114=0,0,VLOOKUP($A114,'Fleet register'!$A$7:$S$106,11,FALSE))</f>
        <v>0</v>
      </c>
      <c r="G114" s="16">
        <f>IFERROR(IF(C114=0,0,IF(E114=120,0,IF(D114="ICE",'Replacement plan'!$C$33,IF('Replacement plan'!$D$33="",INDEX(Products!$I$7:$I$13,MATCH('Replacement plan'!$B$33,Products!$A$7:$A$13,0))+'Operating costs'!$B$57,'Replacement plan'!$D$33))*(1+'Operating costs'!$B$50)^(E114/12))),"n.a.")</f>
        <v>0</v>
      </c>
      <c r="H114" s="16">
        <f>IFERROR(IF(C114=0,0,IF('Replacement plan'!$V$33&lt;&gt;"",'Replacement plan'!$V$33,IF(E114=0,F114,VLOOKUP($A114,'Fleet register'!$A$7:$S$106,12,FALSE)+VLOOKUP($A114,'Fleet register'!$A$7:$S$106,13,FALSE)*MAX(0,VLOOKUP($A114,'Fleet register'!$A$7:$S$106,10,FALSE)-E114)/VLOOKUP($A114,'Fleet register'!$A$7:$S$106,14,FALSE)))),"n.a.")</f>
        <v>0</v>
      </c>
      <c r="I114" s="16">
        <f>IF(C114=0,0,IF(E114=120,0,'Replacement plan'!$T$33))</f>
        <v>0</v>
      </c>
      <c r="J114" s="16">
        <f>IF(C114=0,0,IF(P114="Complete",((S114*(R114-'Operating costs'!$B$39))+ROUNDUP(S114*(R114-'Operating costs'!$B$39)*IF('Replacement plan'!$AG$33="",'Operating costs'!$B$7,'Replacement plan'!$AG$33)/('Operating costs'!$B$8-'Operating costs'!$B$9*IF('Replacement plan'!$AG$33="",'Operating costs'!$B$7,'Replacement plan'!$AG$33)),0)*'Operating costs'!$B$9)*IF('Replacement plan'!$AG$33="",'Operating costs'!$B$7,'Replacement plan'!$AG$33)*('Energy and charging'!$C$9*'Energy and charging'!$C$7+(1-'Energy and charging'!$C$9)*'Energy and charging'!$C$8)*'Operating costs'!$B$23,"n.a."))</f>
        <v>0</v>
      </c>
      <c r="K114" s="16">
        <f>IF(C114=0,0,IF(P114="Complete",SUM('Operating costs'!$B$24,'Operating costs'!$B$27,'Operating costs'!$B$29,'Operating costs'!$B$31,'Operating costs'!$B$33,'Operating costs'!$B$34,'Operating costs'!$B$37,'Replacement plan'!$W$33)+'Operating costs'!$B$39*'Operating costs'!$B$42+ROUNDUP(S114*(R114-'Operating costs'!$B$39)*IF('Replacement plan'!$AG$33="",'Operating costs'!$B$7,'Replacement plan'!$AG$33)/('Operating costs'!$B$8-'Operating costs'!$B$9*IF('Replacement plan'!$AG$33="",'Operating costs'!$B$7,'Replacement plan'!$AG$33)),0)*('Operating costs'!$B$9/'Operating costs'!$B$11+'Operating costs'!$B$10/60)*'Operating costs'!$B$19*'Operating costs'!$B$21,"n.a."))</f>
        <v>0</v>
      </c>
      <c r="L114" s="16">
        <f>IF(C114=0,0,IF(P114="Complete",IF(D114="EV",X114*((1-T114)*'Energy and charging'!$C$10+T114*'Energy and charging'!$C$11)*'Operating costs'!$B$22,AA114*('Energy and charging'!$C$9*'Energy and charging'!$C$7+(1-'Energy and charging'!$C$9)*'Energy and charging'!$C$8)*'Operating costs'!$B$23),"n.a."))</f>
        <v>0</v>
      </c>
      <c r="M114" s="37">
        <f>IF(C114=0,0,IF(P114="Complete",IF(D114="ICE",SUM('Operating costs'!$B$25,'Operating costs'!$B$27,'Operating costs'!$B$29,'Operating costs'!$B$31,'Operating costs'!$B$33,'Operating costs'!$B$35,'Operating costs'!$B$37,'Replacement plan'!$X$33)+'Operating costs'!$B$40*'Operating costs'!$B$42+ROUNDUP(S114*(R114-'Operating costs'!$B$40)*IF('Replacement plan'!$AH$33="",'Operating costs'!$B$7,'Replacement plan'!$AH$33)/('Operating costs'!$B$8-'Operating costs'!$B$9*IF('Replacement plan'!$AH$33="",'Operating costs'!$B$7,'Replacement plan'!$AH$33)),0)*('Operating costs'!$B$9/'Operating costs'!$B$11+'Operating costs'!$B$10/60)*'Operating costs'!$B$19*'Operating costs'!$B$21,SUM(AP114,'Operating costs'!$B$28,'Operating costs'!$B$30,'Operating costs'!$B$32,'Operating costs'!$B$33,'Operating costs'!$B$36,'Operating costs'!$B$38,'Replacement plan'!$Y$33)+'Operating costs'!$B$41*'Operating costs'!$B$43+W114*'Operating costs'!$B$15+(T114*X114/'Replacement plan'!$L$33+W114*('Operating costs'!$B$12/'Operating costs'!$B$11+('Operating costs'!$B$13+'Operating costs'!$B$14)/60)+(R114-'Operating costs'!$B$41)*(IF(T114&lt;1,'Operating costs'!$B$16,0)+'Operating costs'!$B$17)/60)*'Operating costs'!$B$19*'Operating costs'!$B$20),"n.a."))</f>
        <v>0</v>
      </c>
      <c r="N114" s="16">
        <f>IF(AND(C114=1,D114="EV",E114&lt;120,E114+'Replacement plan'!$AA$33&lt;=120),'Replacement plan'!$Z$33,0)</f>
        <v>0</v>
      </c>
      <c r="O114" s="1">
        <f>E114+'Replacement plan'!$AA$33</f>
        <v>0</v>
      </c>
      <c r="P114" s="35" t="str">
        <f>IFERROR(IF(C114=0,"Excluded",IF(OR(COUNTIFS('Fleet register'!$A$7:$A$106,A114)&lt;&gt;1,COUNTIFS('Replacement plan'!$A$7:$A$106,A114)&lt;&gt;1),"Duplicate/missing ID",IF(NOT(AND(ISNUMBER(VLOOKUP($A114,'Fleet register'!$A$7:$S$106,5,FALSE)),ISNUMBER(VLOOKUP($A114,'Fleet register'!$A$7:$S$106,6,FALSE)),ISNUMBER(VLOOKUP($A114,'Fleet register'!$A$7:$S$106,10,FALSE)),ISNUMBER(VLOOKUP($A114,'Fleet register'!$A$7:$S$106,11,FALSE)),ISNUMBER(VLOOKUP($A114,'Fleet register'!$A$7:$S$106,12,FALSE)),ISNUMBER(VLOOKUP($A114,'Fleet register'!$A$7:$S$106,13,FALSE)),ISNUMBER(VLOOKUP($A114,'Fleet register'!$A$7:$S$106,14,FALSE)),VLOOKUP($A114,'Fleet register'!$A$7:$S$106,14,FALSE)&gt;0,ISNUMBER('Replacement plan'!$C$33),OR(E114=120,ISNUMBER('Replacement plan'!$T$33)),ISNUMBER(E114))),"Missing vehicle input",IF(OR(E114&lt;0,E114&gt;VLOOKUP($A114,'Fleet register'!$A$7:$S$106,10,FALSE),E114&gt;120,E114&lt;&gt;INT(E114),VLOOKUP($A114,'Fleet register'!$A$7:$S$106,6,FALSE)&lt;=0,VLOOKUP($A114,'Fleet register'!$A$7:$S$106,6,FALSE)&gt;366,VLOOKUP($A114,'Fleet register'!$A$7:$S$106,5,FALSE)&lt;0,VLOOKUP($A114,'Fleet register'!$A$7:$S$106,11,FALSE)&lt;0,I114&lt;0,'Operating costs'!$B$8&lt;='Operating costs'!$B$7*'Operating costs'!$B$9,'Operating costs'!$B$11&lt;=0,'Operating costs'!$B$39&gt;R114,'Operating costs'!$B$40&gt;R114,'Operating costs'!$B$41&gt;R114,NOT(OR('Replacement plan'!$R$33="Keep ICE",'Replacement plan'!$R$33="New ICE",'Replacement plan'!$R$33="EV"))),"Invalid vehicle input",IF(AND(D114="EV",E114&lt;120,OR(NOT(ISNUMBER(U114)),NOT(ISNUMBER(V114)),V114&lt;=0,T114&lt;0,T114&gt;1,'Replacement plan'!$L$33&lt;=0,'Operating costs'!$B$44&lt;0,'Operating costs'!$B$44&gt;=1,'Operating costs'!$B$47&lt;=0,'Operating costs'!$B$47&gt;1,V114*'Operating costs'!$B$47/(1-'Operating costs'!$B$44)&lt;=T114*'Operating costs'!$B$12*U114,AND('Replacement plan'!$Z$33&gt;0,OR('Replacement plan'!$AB$33&lt;&gt;"Yes",'Operating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charging'!$C$8&gt;=0))),ISNUMBER(VLOOKUP($A114,'Fleet register'!$A$7:$S$106,15,FALSE)),ISNUMBER(VLOOKUP($A114,'Fleet register'!$A$7:$S$106,16,FALSE)),ISNUMBER('Replacement plan'!$W$33),ISNUMBER('Replacement plan'!$X$33),OR(E114=120,AND(ISNUMBER(G114),G114&gt;=0)),ISNUMBER(H114),H114&gt;=0,OR(D114&lt;&gt;"EV",E114=120,AND(ISNUMBER('Operating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average",ISNUMBER(IFERROR(INDEX(Products!$P$7:$P$13,MATCH(AD114,Products!$A$7:$A$13,0)),"")))),ISNUMBER('Operating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plan'!$Y$33),ISNUMBER('Replacement plan'!$Z$33),'Replacement plan'!$Z$33&gt;=0,ISNUMBER('Replacement plan'!$AA$33),'Replacement plan'!$AA$33&gt;=0,'Replacement plan'!$AA$33=INT('Replacement plan'!$AA$33),ISNUMBER('Replacement plan'!$L$33))),'Operating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plan'!$AG$33="",'Operating costs'!$B$7,'Replacement plan'!$AG$33)),IF('Replacement plan'!$AG$33="",'Operating costs'!$B$7,'Replacement plan'!$AG$33)&gt;=0,ISNUMBER(IF('Replacement plan'!$AH$33="",'Operating costs'!$B$7,'Replacement plan'!$AH$33)),IF('Replacement plan'!$AH$33="",'Operating costs'!$B$7,'Replacement plan'!$AH$33)&gt;=0,'Operating costs'!$B$8&gt;MAX(IF('Replacement plan'!$AG$33="",'Operating costs'!$B$7,'Replacement plan'!$AG$33),IF('Replacement plan'!$AH$33="",'Operating costs'!$B$7,'Replacement plan'!$AH$33))*'Operating costs'!$B$9),IF(AND(VLOOKUP($A114,'Fleet register'!$A$7:$S$106,10,FALSE)&gt;=0,VLOOKUP($A114,'Fleet register'!$A$7:$S$106,10,FALSE)&lt;=120,VLOOKUP($A114,'Fleet register'!$A$7:$S$106,10,FALSE)=INT(VLOOKUP($A114,'Fleet register'!$A$7:$S$106,10,FALSE)),VLOOKUP($A114,'Fleet register'!$A$7:$S$106,15,FALSE)&gt;=0,VLOOKUP($A114,'Fleet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costs'!$B$67)&gt;=0,OR(D114&lt;&gt;"EV",E114=120,AND(MIN('Operating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14" s="1" t="str">
        <f>IF(C114=0,"Excluded",IF(P114&lt;&gt;"Complete",P114,IF(OR('Replacement plan'!$AD$33&lt;120-E114,AND(D114="EV",E114&lt;120,OR('Replacement plan'!$AC$33&lt;120-E114,'Replacement plan'!$I$33="No",AND(ISNUMBER(AF114),AE114&gt;AF114),AI114&gt;V114*(1-'Operating costs'!$B$46)^MAX(0,AB114-1)*(1-'Operating costs'!$B$45),AC114&gt;'Operating costs'!$B$18,AND(T114&lt;1,OR(AG114&lt;=0,AND(ISNUMBER(AH114),AG114&gt;AH114))),'Replacement plan'!$L$33&gt;INDEX(Products!$H$7:$H$13,MATCH('Replacement plan'!$B$33,Products!$A$7:$A$13,0))))),"Fails entered limits",IF(AND(D114="EV",E114&lt;120,OR(NOT(ISNUMBER(VLOOKUP($A114,'Fleet register'!$A$7:$S$106,7,FALSE))),NOT(ISNUMBER(VLOOKUP($A114,'Fleet register'!$A$7:$S$106,8,FALSE))),NOT(ISNUMBER(AF114)),'Replacement plan'!$I$33&lt;&gt;"Yes",NOT(ISNUMBER(AH114)),'Operating costs'!$B$59&lt;&gt;"Yes",'Operating costs'!$B$58&lt;&gt;"Yes")),"Unverified","Within entered limits"))))</f>
        <v>Excluded</v>
      </c>
      <c r="R114" s="1">
        <f>IF(C114=0,0,VLOOKUP($A114,'Fleet register'!$A$7:$S$106,6,FALSE))</f>
        <v>0</v>
      </c>
      <c r="S114" s="1">
        <f>IF(C114=0,0,VLOOKUP($A114,'Fleet register'!$A$7:$S$106,5,FALSE))</f>
        <v>0</v>
      </c>
      <c r="T114" s="1">
        <f>IF(D114="EV",'Energy and charging'!$C$12,0)</f>
        <v>0</v>
      </c>
      <c r="U114" s="1">
        <f>IFERROR(IF(C114=0,0,IF(D114="EV",IF('Replacement plan'!$F$33="",INDEX(Products!$E$7:$E$13,MATCH('Replacement plan'!$B$33,Products!$A$7:$A$13,0)),'Replacement plan'!$F$33)/IF('Replacement plan'!$G$33="Battery",1-'Operating costs'!$B$44,1),0)),"n.a.")</f>
        <v>0</v>
      </c>
      <c r="V114" s="1">
        <f>IFERROR(IF(C114=0,0,IF(D114="EV",IF('Replacement plan'!$E$33="",INDEX(Products!$D$7:$D$13,MATCH('Replacement plan'!$B$33,Products!$A$7:$A$13,0)),'Replacement plan'!$E$33),0)),"n.a.")</f>
        <v>0</v>
      </c>
      <c r="W114" s="1">
        <f>IF(C114=0,0,IF(AND(P114="Complete",D114="EV",E114&lt;120),IF(T114=0,0,ROUNDUP(T114*(R114-'Operating costs'!$B$41)*(S114*U114+'Operating costs'!$B$48/(1-'Operating costs'!$B$44))/(V114*'Operating costs'!$B$47/(1-'Operating costs'!$B$44)-T114*'Operating costs'!$B$12*U114),0)),0))</f>
        <v>0</v>
      </c>
      <c r="X114" s="1">
        <f>IF(C114=0,0,IF(AND(P114="Complete",D114="EV",E114&lt;120),(R114-'Operating costs'!$B$41)*(S114*U114+'Operating costs'!$B$48/(1-'Operating costs'!$B$44))+W114*'Operating costs'!$B$12*U114,0))</f>
        <v>0</v>
      </c>
      <c r="Y114" s="1">
        <f>IF(AND(C114=1,D114="EV",E114&lt;120),AI114/(1-'Operating costs'!$B$44)*(1-T114),0)</f>
        <v>0</v>
      </c>
      <c r="Z114" s="1">
        <f t="shared" si="2"/>
        <v>0</v>
      </c>
      <c r="AA114" s="1">
        <f>IF(C114=0,0,IF(P114="Complete",((S114*(R114-'Operating costs'!$B$40))+ROUNDUP(S114*(R114-'Operating costs'!$B$40)*IF('Replacement plan'!$AH$33="",'Operating costs'!$B$7,'Replacement plan'!$AH$33)/('Operating costs'!$B$8-'Operating costs'!$B$9*IF('Replacement plan'!$AH$33="",'Operating costs'!$B$7,'Replacement plan'!$AH$33)),0)*'Operating costs'!$B$9)*IF('Replacement plan'!$AH$33="",'Operating costs'!$B$7,'Replacement plan'!$AH$33),"n.a."))</f>
        <v>0</v>
      </c>
      <c r="AB114" s="1">
        <f t="shared" si="3"/>
        <v>0</v>
      </c>
      <c r="AC114" s="1">
        <f>IF(AND(C114=1,D114="EV",E114&lt;120,T114&gt;0),'Operating costs'!$B$12/'Operating costs'!$B$11*60+'Operating costs'!$B$13+'Operating costs'!$B$14+V114*'Operating costs'!$B$47/(1-'Operating costs'!$B$44)/'Replacement plan'!$L$33*60,0)</f>
        <v>0</v>
      </c>
      <c r="AD114" s="1" t="str">
        <f>'Replacement plan'!$B$33</f>
        <v>ChengLong L2EV</v>
      </c>
      <c r="AE114" s="1">
        <f>IF(C114=0,0,VLOOKUP($A114,'Fleet register'!$A$7:$S$106,8,FALSE))</f>
        <v>0</v>
      </c>
      <c r="AF114" s="1" t="str">
        <f>IF('Replacement plan'!$H$33="","n.a.",'Replacement plan'!$H$33)</f>
        <v>n.a.</v>
      </c>
      <c r="AG114" s="1">
        <f>'Replacement plan'!$J$33</f>
        <v>22</v>
      </c>
      <c r="AH114" s="1">
        <f>IFERROR(IF(D114="EV",IF('Replacement plan'!$K$33="AC",IF(ISNUMBER(INDEX(Products!$G$7:$G$13,MATCH('Replacement plan'!$B$33,Products!$A$7:$A$13,0))),INDEX(Products!$G$7:$G$13,MATCH('Replacement plan'!$B$33,Products!$A$7:$A$13,0)),"n.a."),IF(ISNUMBER(INDEX(Products!$H$7:$H$13,MATCH('Replacement plan'!$B$33,Products!$A$7:$A$13,0))),INDEX(Products!$H$7:$H$13,MATCH('Replacement plan'!$B$33,Products!$A$7:$A$13,0)),"n.a.")),0),"n.a.")</f>
        <v>0</v>
      </c>
      <c r="AI114" s="1">
        <f>IF(AND(C114=1,D114="EV",E114&lt;120),(VLOOKUP($A114,'Fleet register'!$A$7:$S$106,7,FALSE)+IF(T114&gt;0,'Operating costs'!$B$12,0))*U114*(1-'Operating costs'!$B$44)+'Operating costs'!$B$49,0)</f>
        <v>0</v>
      </c>
      <c r="AJ114" s="1">
        <f>IF(D114="EV",'Energy and charging'!$C$50,0)</f>
        <v>0</v>
      </c>
      <c r="AK114" s="17">
        <f>EDATE('Operating costs'!$B$63,E114)</f>
        <v>46298</v>
      </c>
      <c r="AL114" s="1">
        <f>IFERROR(IF(D114="EV",INDEX(Products!$B$7:$B$13,MATCH('Replacement plan'!$B$33,Products!$A$7:$A$13,0)),0),"n.a.")</f>
        <v>0</v>
      </c>
      <c r="AM114" s="1" t="str">
        <f>'Replacement plan'!$K$33</f>
        <v>DC</v>
      </c>
      <c r="AN114" s="1" t="str">
        <f>'Replacement plan'!$AE$33</f>
        <v>Assumed</v>
      </c>
      <c r="AO114" s="47">
        <f>IF(AND(C114=1,D114="EV",E114&lt;120),(R114-'Operating costs'!$B$41)*S114+W114*'Operating costs'!$B$12,0)</f>
        <v>0</v>
      </c>
      <c r="AP114" s="41">
        <f>IF(AND(C114=1,D114="EV",E114&lt;120),IF('Operating costs'!$B$68="Hong Seh 200k average",AO114*IFERROR(INDEX(Products!$P$7:$P$13,MATCH(AD114,Products!$A$7:$A$13,0)),"n.a."),'Operating costs'!$B$26),0)</f>
        <v>0</v>
      </c>
      <c r="AQ114" s="40" t="str">
        <f>IF(D114="EV",'Operating costs'!$B$68,"Not applicable")</f>
        <v>Not applicable</v>
      </c>
    </row>
    <row r="115" spans="1:43" ht="24" customHeight="1">
      <c r="A115" s="1" t="str">
        <f>'Replacement plan'!A34</f>
        <v>T028</v>
      </c>
      <c r="B115" s="1">
        <v>0</v>
      </c>
      <c r="C115" s="1">
        <f>IF(COUNTIFS('Fleet register'!$A$7:$A$106,$A115)=1,VLOOKUP($A115,'Fleet register'!$A$7:$S$106,2,FALSE),0)</f>
        <v>0</v>
      </c>
      <c r="D115" s="1" t="str">
        <f>IF("Keep ICE"="EV","EV","ICE")</f>
        <v>ICE</v>
      </c>
      <c r="E115" s="1">
        <f>IF(C115=0,0,IF('Replacement plan'!$M$34="",VLOOKUP($A115,'Fleet register'!$A$7:$S$106,10,FALSE),'Replacement plan'!$M$34))</f>
        <v>0</v>
      </c>
      <c r="F115" s="16">
        <f>IF(C115=0,0,VLOOKUP($A115,'Fleet register'!$A$7:$S$106,11,FALSE))</f>
        <v>0</v>
      </c>
      <c r="G115" s="16">
        <f>IFERROR(IF(C115=0,0,IF(E115=120,0,IF(D115="ICE",'Replacement plan'!$C$34,IF('Replacement plan'!$D$34="",INDEX(Products!$I$7:$I$13,MATCH('Replacement plan'!$B$34,Products!$A$7:$A$13,0))+'Operating costs'!$B$57,'Replacement plan'!$D$34))*(1+'Operating costs'!$B$50)^(E115/12))),"n.a.")</f>
        <v>0</v>
      </c>
      <c r="H115" s="16">
        <f>IFERROR(IF(C115=0,0,IF(E115=0,F115,VLOOKUP($A115,'Fleet register'!$A$7:$S$106,12,FALSE)+VLOOKUP($A115,'Fleet register'!$A$7:$S$106,13,FALSE)*MAX(0,VLOOKUP($A115,'Fleet register'!$A$7:$S$106,10,FALSE)-E115)/VLOOKUP($A115,'Fleet register'!$A$7:$S$106,14,FALSE))),"n.a.")</f>
        <v>0</v>
      </c>
      <c r="I115" s="16">
        <f>IF(C115=0,0,IF(E115=120,0,'Replacement plan'!$N$34))</f>
        <v>0</v>
      </c>
      <c r="J115" s="16">
        <f>IF(C115=0,0,IF(P115="Complete",((S115*(R115-'Operating costs'!$B$39))+ROUNDUP(S115*(R115-'Operating costs'!$B$39)*IF('Replacement plan'!$AG$34="",'Operating costs'!$B$7,'Replacement plan'!$AG$34)/('Operating costs'!$B$8-'Operating costs'!$B$9*IF('Replacement plan'!$AG$34="",'Operating costs'!$B$7,'Replacement plan'!$AG$34)),0)*'Operating costs'!$B$9)*IF('Replacement plan'!$AG$34="",'Operating costs'!$B$7,'Replacement plan'!$AG$34)*('Energy and charging'!$B$9*'Energy and charging'!$B$7+(1-'Energy and charging'!$B$9)*'Energy and charging'!$B$8)*'Operating costs'!$B$23,"n.a."))</f>
        <v>0</v>
      </c>
      <c r="K115" s="16">
        <f>IF(C115=0,0,IF(P115="Complete",SUM('Operating costs'!$B$24,'Operating costs'!$B$27,'Operating costs'!$B$29,'Operating costs'!$B$31,'Operating costs'!$B$33,'Operating costs'!$B$34,'Operating costs'!$B$37,'Replacement plan'!$W$34)+'Operating costs'!$B$39*'Operating costs'!$B$42+ROUNDUP(S115*(R115-'Operating costs'!$B$39)*IF('Replacement plan'!$AG$34="",'Operating costs'!$B$7,'Replacement plan'!$AG$34)/('Operating costs'!$B$8-'Operating costs'!$B$9*IF('Replacement plan'!$AG$34="",'Operating costs'!$B$7,'Replacement plan'!$AG$34)),0)*('Operating costs'!$B$9/'Operating costs'!$B$11+'Operating costs'!$B$10/60)*'Operating costs'!$B$19*'Operating costs'!$B$21,"n.a."))</f>
        <v>0</v>
      </c>
      <c r="L115" s="16">
        <f>IF(C115=0,0,IF(P115="Complete",IF(D115="EV",X115*((1-T115)*'Energy and charging'!$B$10+T115*'Energy and charging'!$B$11)*'Operating costs'!$B$22,AA115*('Energy and charging'!$B$9*'Energy and charging'!$B$7+(1-'Energy and charging'!$B$9)*'Energy and charging'!$B$8)*'Operating costs'!$B$23),"n.a."))</f>
        <v>0</v>
      </c>
      <c r="M115" s="37">
        <f>IF(C115=0,0,IF(P115="Complete",IF(D115="ICE",SUM('Operating costs'!$B$25,'Operating costs'!$B$27,'Operating costs'!$B$29,'Operating costs'!$B$31,'Operating costs'!$B$33,'Operating costs'!$B$35,'Operating costs'!$B$37,'Replacement plan'!$X$34)+'Operating costs'!$B$40*'Operating costs'!$B$42+ROUNDUP(S115*(R115-'Operating costs'!$B$40)*IF('Replacement plan'!$AH$34="",'Operating costs'!$B$7,'Replacement plan'!$AH$34)/('Operating costs'!$B$8-'Operating costs'!$B$9*IF('Replacement plan'!$AH$34="",'Operating costs'!$B$7,'Replacement plan'!$AH$34)),0)*('Operating costs'!$B$9/'Operating costs'!$B$11+'Operating costs'!$B$10/60)*'Operating costs'!$B$19*'Operating costs'!$B$21,SUM(AP115,'Operating costs'!$B$28,'Operating costs'!$B$30,'Operating costs'!$B$32,'Operating costs'!$B$33,'Operating costs'!$B$36,'Operating costs'!$B$38,'Replacement plan'!$Y$34)+'Operating costs'!$B$41*'Operating costs'!$B$43+W115*'Operating costs'!$B$15+(T115*X115/'Replacement plan'!$L$34+W115*('Operating costs'!$B$12/'Operating costs'!$B$11+('Operating costs'!$B$13+'Operating costs'!$B$14)/60)+(R115-'Operating costs'!$B$41)*(IF(T115&lt;1,'Operating costs'!$B$16,0)+'Operating costs'!$B$17)/60)*'Operating costs'!$B$19*'Operating costs'!$B$20),"n.a."))</f>
        <v>0</v>
      </c>
      <c r="N115" s="16">
        <f>IF(AND(C115=1,D115="EV",E115&lt;120,E115+'Replacement plan'!$AA$34&lt;=120),'Replacement plan'!$Z$34,0)</f>
        <v>0</v>
      </c>
      <c r="O115" s="1">
        <f>E115+'Replacement plan'!$AA$34</f>
        <v>0</v>
      </c>
      <c r="P115" s="35" t="str">
        <f>IFERROR(IF(C115=0,"Excluded",IF(OR(COUNTIFS('Fleet register'!$A$7:$A$106,A115)&lt;&gt;1,COUNTIFS('Replacement plan'!$A$7:$A$106,A115)&lt;&gt;1),"Duplicate/missing ID",IF(NOT(AND(ISNUMBER(VLOOKUP($A115,'Fleet register'!$A$7:$S$106,5,FALSE)),ISNUMBER(VLOOKUP($A115,'Fleet register'!$A$7:$S$106,6,FALSE)),ISNUMBER(VLOOKUP($A115,'Fleet register'!$A$7:$S$106,10,FALSE)),ISNUMBER(VLOOKUP($A115,'Fleet register'!$A$7:$S$106,11,FALSE)),ISNUMBER(VLOOKUP($A115,'Fleet register'!$A$7:$S$106,12,FALSE)),ISNUMBER(VLOOKUP($A115,'Fleet register'!$A$7:$S$106,13,FALSE)),ISNUMBER(VLOOKUP($A115,'Fleet register'!$A$7:$S$106,14,FALSE)),VLOOKUP($A115,'Fleet register'!$A$7:$S$106,14,FALSE)&gt;0,ISNUMBER('Replacement plan'!$C$34),OR(E115=120,ISNUMBER('Replacement plan'!$N$34)),ISNUMBER(E115))),"Missing vehicle input",IF(OR(E115&lt;0,E115&gt;VLOOKUP($A115,'Fleet register'!$A$7:$S$106,10,FALSE),E115&gt;120,E115&lt;&gt;INT(E115),VLOOKUP($A115,'Fleet register'!$A$7:$S$106,6,FALSE)&lt;=0,VLOOKUP($A115,'Fleet register'!$A$7:$S$106,6,FALSE)&gt;366,VLOOKUP($A115,'Fleet register'!$A$7:$S$106,5,FALSE)&lt;0,VLOOKUP($A115,'Fleet register'!$A$7:$S$106,11,FALSE)&lt;0,I115&lt;0,'Operating costs'!$B$8&lt;='Operating costs'!$B$7*'Operating costs'!$B$9,'Operating costs'!$B$11&lt;=0,'Operating costs'!$B$39&gt;R115,'Operating costs'!$B$40&gt;R115,'Operating costs'!$B$41&gt;R115,NOT(OR("Keep ICE"="Keep ICE","Keep ICE"="New ICE","Keep ICE"="EV"))),"Invalid vehicle input",IF(AND(D115="EV",E115&lt;120,OR(NOT(ISNUMBER(U115)),NOT(ISNUMBER(V115)),V115&lt;=0,T115&lt;0,T115&gt;1,'Replacement plan'!$L$34&lt;=0,'Operating costs'!$B$44&lt;0,'Operating costs'!$B$44&gt;=1,'Operating costs'!$B$47&lt;=0,'Operating costs'!$B$47&gt;1,V115*'Operating costs'!$B$47/(1-'Operating costs'!$B$44)&lt;=T115*'Operating costs'!$B$12*U115,AND('Replacement plan'!$Z$34&gt;0,OR('Replacement plan'!$AB$34&lt;&gt;"Yes",'Operating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charging'!$B$8&gt;=0))),ISNUMBER(VLOOKUP($A115,'Fleet register'!$A$7:$S$106,15,FALSE)),ISNUMBER(VLOOKUP($A115,'Fleet register'!$A$7:$S$106,16,FALSE)),ISNUMBER('Replacement plan'!$W$34),ISNUMBER('Replacement plan'!$X$34),OR(E115=120,AND(ISNUMBER(G115),G115&gt;=0)),ISNUMBER(H115),H115&gt;=0,OR(D115&lt;&gt;"EV",E115=120,AND(ISNUMBER('Operating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average",ISNUMBER(IFERROR(INDEX(Products!$P$7:$P$13,MATCH(AD115,Products!$A$7:$A$13,0)),"")))),ISNUMBER('Operating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plan'!$Y$34),ISNUMBER('Replacement plan'!$Z$34),'Replacement plan'!$Z$34&gt;=0,ISNUMBER('Replacement plan'!$AA$34),'Replacement plan'!$AA$34&gt;=0,'Replacement plan'!$AA$34=INT('Replacement plan'!$AA$34),ISNUMBER('Replacement plan'!$L$34))),'Operating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plan'!$AG$34="",'Operating costs'!$B$7,'Replacement plan'!$AG$34)),IF('Replacement plan'!$AG$34="",'Operating costs'!$B$7,'Replacement plan'!$AG$34)&gt;=0,ISNUMBER(IF('Replacement plan'!$AH$34="",'Operating costs'!$B$7,'Replacement plan'!$AH$34)),IF('Replacement plan'!$AH$34="",'Operating costs'!$B$7,'Replacement plan'!$AH$34)&gt;=0,'Operating costs'!$B$8&gt;MAX(IF('Replacement plan'!$AG$34="",'Operating costs'!$B$7,'Replacement plan'!$AG$34),IF('Replacement plan'!$AH$34="",'Operating costs'!$B$7,'Replacement plan'!$AH$34))*'Operating costs'!$B$9),IF(AND(VLOOKUP($A115,'Fleet register'!$A$7:$S$106,10,FALSE)&gt;=0,VLOOKUP($A115,'Fleet register'!$A$7:$S$106,10,FALSE)&lt;=120,VLOOKUP($A115,'Fleet register'!$A$7:$S$106,10,FALSE)=INT(VLOOKUP($A115,'Fleet register'!$A$7:$S$106,10,FALSE)),VLOOKUP($A115,'Fleet register'!$A$7:$S$106,15,FALSE)&gt;=0,VLOOKUP($A115,'Fleet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costs'!$B$67)&gt;=0,OR(D115&lt;&gt;"EV",E115=120,AND(MIN('Operating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15" s="1" t="str">
        <f>IF(C115=0,"Excluded",IF(P115&lt;&gt;"Complete",P115,IF(OR('Replacement plan'!$AD$34&lt;120-E115,AND(D115="EV",E115&lt;120,OR('Replacement plan'!$AC$34&lt;120-E115,'Replacement plan'!$I$34="No",AND(ISNUMBER(AF115),AE115&gt;AF115),AI115&gt;V115*(1-'Operating costs'!$B$46)^MAX(0,AB115-1)*(1-'Operating costs'!$B$45),AC115&gt;'Operating costs'!$B$18,AND(T115&lt;1,OR(AG115&lt;=0,AND(ISNUMBER(AH115),AG115&gt;AH115))),'Replacement plan'!$L$34&gt;INDEX(Products!$H$7:$H$13,MATCH('Replacement plan'!$B$34,Products!$A$7:$A$13,0))))),"Fails entered limits",IF(AND(D115="EV",E115&lt;120,OR(NOT(ISNUMBER(VLOOKUP($A115,'Fleet register'!$A$7:$S$106,7,FALSE))),NOT(ISNUMBER(VLOOKUP($A115,'Fleet register'!$A$7:$S$106,8,FALSE))),NOT(ISNUMBER(AF115)),'Replacement plan'!$I$34&lt;&gt;"Yes",NOT(ISNUMBER(AH115)),'Operating costs'!$B$59&lt;&gt;"Yes",'Operating costs'!$B$58&lt;&gt;"Yes")),"Unverified","Within entered limits"))))</f>
        <v>Excluded</v>
      </c>
      <c r="R115" s="1">
        <f>IF(C115=0,0,VLOOKUP($A115,'Fleet register'!$A$7:$S$106,6,FALSE))</f>
        <v>0</v>
      </c>
      <c r="S115" s="1">
        <f>IF(C115=0,0,VLOOKUP($A115,'Fleet register'!$A$7:$S$106,5,FALSE))</f>
        <v>0</v>
      </c>
      <c r="T115" s="1">
        <f>IF(D115="EV",'Energy and charging'!$B$12,0)</f>
        <v>0</v>
      </c>
      <c r="U115" s="1">
        <f>IFERROR(IF(C115=0,0,IF(D115="EV",IF('Replacement plan'!$F$34="",INDEX(Products!$E$7:$E$13,MATCH('Replacement plan'!$B$34,Products!$A$7:$A$13,0)),'Replacement plan'!$F$34)/IF('Replacement plan'!$G$34="Battery",1-'Operating costs'!$B$44,1),0)),"n.a.")</f>
        <v>0</v>
      </c>
      <c r="V115" s="1">
        <f>IFERROR(IF(C115=0,0,IF(D115="EV",IF('Replacement plan'!$E$34="",INDEX(Products!$D$7:$D$13,MATCH('Replacement plan'!$B$34,Products!$A$7:$A$13,0)),'Replacement plan'!$E$34),0)),"n.a.")</f>
        <v>0</v>
      </c>
      <c r="W115" s="1">
        <f>IF(C115=0,0,IF(AND(P115="Complete",D115="EV",E115&lt;120),IF(T115=0,0,ROUNDUP(T115*(R115-'Operating costs'!$B$41)*(S115*U115+'Operating costs'!$B$48/(1-'Operating costs'!$B$44))/(V115*'Operating costs'!$B$47/(1-'Operating costs'!$B$44)-T115*'Operating costs'!$B$12*U115),0)),0))</f>
        <v>0</v>
      </c>
      <c r="X115" s="1">
        <f>IF(C115=0,0,IF(AND(P115="Complete",D115="EV",E115&lt;120),(R115-'Operating costs'!$B$41)*(S115*U115+'Operating costs'!$B$48/(1-'Operating costs'!$B$44))+W115*'Operating costs'!$B$12*U115,0))</f>
        <v>0</v>
      </c>
      <c r="Y115" s="1">
        <f>IF(AND(C115=1,D115="EV",E115&lt;120),AI115/(1-'Operating costs'!$B$44)*(1-T115),0)</f>
        <v>0</v>
      </c>
      <c r="Z115" s="1">
        <f t="shared" si="2"/>
        <v>0</v>
      </c>
      <c r="AA115" s="1">
        <f>IF(C115=0,0,IF(P115="Complete",((S115*(R115-'Operating costs'!$B$40))+ROUNDUP(S115*(R115-'Operating costs'!$B$40)*IF('Replacement plan'!$AH$34="",'Operating costs'!$B$7,'Replacement plan'!$AH$34)/('Operating costs'!$B$8-'Operating costs'!$B$9*IF('Replacement plan'!$AH$34="",'Operating costs'!$B$7,'Replacement plan'!$AH$34)),0)*'Operating costs'!$B$9)*IF('Replacement plan'!$AH$34="",'Operating costs'!$B$7,'Replacement plan'!$AH$34),"n.a."))</f>
        <v>0</v>
      </c>
      <c r="AB115" s="1">
        <f t="shared" si="3"/>
        <v>0</v>
      </c>
      <c r="AC115" s="1">
        <f>IF(AND(C115=1,D115="EV",E115&lt;120,T115&gt;0),'Operating costs'!$B$12/'Operating costs'!$B$11*60+'Operating costs'!$B$13+'Operating costs'!$B$14+V115*'Operating costs'!$B$47/(1-'Operating costs'!$B$44)/'Replacement plan'!$L$34*60,0)</f>
        <v>0</v>
      </c>
      <c r="AD115" s="1" t="str">
        <f>'Replacement plan'!$B$34</f>
        <v>ChengLong L2EV</v>
      </c>
      <c r="AE115" s="1">
        <f>IF(C115=0,0,VLOOKUP($A115,'Fleet register'!$A$7:$S$106,8,FALSE))</f>
        <v>0</v>
      </c>
      <c r="AF115" s="1" t="str">
        <f>IF('Replacement plan'!$H$34="","n.a.",'Replacement plan'!$H$34)</f>
        <v>n.a.</v>
      </c>
      <c r="AG115" s="1">
        <f>'Replacement plan'!$J$34</f>
        <v>22</v>
      </c>
      <c r="AH115" s="1">
        <f>IFERROR(IF(D115="EV",IF('Replacement plan'!$K$34="AC",IF(ISNUMBER(INDEX(Products!$G$7:$G$13,MATCH('Replacement plan'!$B$34,Products!$A$7:$A$13,0))),INDEX(Products!$G$7:$G$13,MATCH('Replacement plan'!$B$34,Products!$A$7:$A$13,0)),"n.a."),IF(ISNUMBER(INDEX(Products!$H$7:$H$13,MATCH('Replacement plan'!$B$34,Products!$A$7:$A$13,0))),INDEX(Products!$H$7:$H$13,MATCH('Replacement plan'!$B$34,Products!$A$7:$A$13,0)),"n.a.")),0),"n.a.")</f>
        <v>0</v>
      </c>
      <c r="AI115" s="1">
        <f>IF(AND(C115=1,D115="EV",E115&lt;120),(VLOOKUP($A115,'Fleet register'!$A$7:$S$106,7,FALSE)+IF(T115&gt;0,'Operating costs'!$B$12,0))*U115*(1-'Operating costs'!$B$44)+'Operating costs'!$B$49,0)</f>
        <v>0</v>
      </c>
      <c r="AJ115" s="1">
        <f>IF(D115="EV",'Energy and charging'!$B$50,0)</f>
        <v>0</v>
      </c>
      <c r="AK115" s="17">
        <f>EDATE('Operating costs'!$B$63,E115)</f>
        <v>46298</v>
      </c>
      <c r="AL115" s="1">
        <f>IFERROR(IF(D115="EV",INDEX(Products!$B$7:$B$13,MATCH('Replacement plan'!$B$34,Products!$A$7:$A$13,0)),0),"n.a.")</f>
        <v>0</v>
      </c>
      <c r="AM115" s="1" t="str">
        <f>'Replacement plan'!$K$34</f>
        <v>DC</v>
      </c>
      <c r="AN115" s="1" t="str">
        <f>'Replacement plan'!$AE$34</f>
        <v>Assumed</v>
      </c>
      <c r="AO115" s="47">
        <f>IF(AND(C115=1,D115="EV",E115&lt;120),(R115-'Operating costs'!$B$41)*S115+W115*'Operating costs'!$B$12,0)</f>
        <v>0</v>
      </c>
      <c r="AP115" s="41">
        <f>IF(AND(C115=1,D115="EV",E115&lt;120),IF('Operating costs'!$B$68="Hong Seh 200k average",AO115*IFERROR(INDEX(Products!$P$7:$P$13,MATCH(AD115,Products!$A$7:$A$13,0)),"n.a."),'Operating costs'!$B$26),0)</f>
        <v>0</v>
      </c>
      <c r="AQ115" s="40" t="str">
        <f>IF(D115="EV",'Operating costs'!$B$68,"Not applicable")</f>
        <v>Not applicable</v>
      </c>
    </row>
    <row r="116" spans="1:43" ht="24" customHeight="1">
      <c r="A116" s="1" t="str">
        <f>'Replacement plan'!A34</f>
        <v>T028</v>
      </c>
      <c r="B116" s="1">
        <v>1</v>
      </c>
      <c r="C116" s="1">
        <f>IF(COUNTIFS('Fleet register'!$A$7:$A$106,$A116)=1,VLOOKUP($A116,'Fleet register'!$A$7:$S$106,2,FALSE),0)</f>
        <v>0</v>
      </c>
      <c r="D116" s="1" t="str">
        <f>IF("New ICE"="EV","EV","ICE")</f>
        <v>ICE</v>
      </c>
      <c r="E116" s="1">
        <f>IF(C116=0,0,0)</f>
        <v>0</v>
      </c>
      <c r="F116" s="16">
        <f>IF(C116=0,0,VLOOKUP($A116,'Fleet register'!$A$7:$S$106,11,FALSE))</f>
        <v>0</v>
      </c>
      <c r="G116" s="16">
        <f>IFERROR(IF(C116=0,0,IF(E116=120,0,IF(D116="ICE",'Replacement plan'!$C$34,IF('Replacement plan'!$D$34="",INDEX(Products!$I$7:$I$13,MATCH('Replacement plan'!$B$34,Products!$A$7:$A$13,0))+'Operating costs'!$B$57,'Replacement plan'!$D$34))*(1+'Operating costs'!$B$50)^(E116/12))),"n.a.")</f>
        <v>0</v>
      </c>
      <c r="H116" s="16">
        <f>IFERROR(IF(C116=0,0,IF(E116=0,F116,VLOOKUP($A116,'Fleet register'!$A$7:$S$106,12,FALSE)+VLOOKUP($A116,'Fleet register'!$A$7:$S$106,13,FALSE)*MAX(0,VLOOKUP($A116,'Fleet register'!$A$7:$S$106,10,FALSE)-E116)/VLOOKUP($A116,'Fleet register'!$A$7:$S$106,14,FALSE))),"n.a.")</f>
        <v>0</v>
      </c>
      <c r="I116" s="16">
        <f>IF(C116=0,0,IF(E116=120,0,IF('Replacement plan'!$AI$34="",'Operating costs'!$B$56,'Replacement plan'!$AI$34)))</f>
        <v>0</v>
      </c>
      <c r="J116" s="16">
        <f>IF(C116=0,0,IF(P116="Complete",((S116*(R116-'Operating costs'!$B$39))+ROUNDUP(S116*(R116-'Operating costs'!$B$39)*IF('Replacement plan'!$AG$34="",'Operating costs'!$B$7,'Replacement plan'!$AG$34)/('Operating costs'!$B$8-'Operating costs'!$B$9*IF('Replacement plan'!$AG$34="",'Operating costs'!$B$7,'Replacement plan'!$AG$34)),0)*'Operating costs'!$B$9)*IF('Replacement plan'!$AG$34="",'Operating costs'!$B$7,'Replacement plan'!$AG$34)*('Energy and charging'!$B$9*'Energy and charging'!$B$7+(1-'Energy and charging'!$B$9)*'Energy and charging'!$B$8)*'Operating costs'!$B$23,"n.a."))</f>
        <v>0</v>
      </c>
      <c r="K116" s="16">
        <f>IF(C116=0,0,IF(P116="Complete",SUM('Operating costs'!$B$24,'Operating costs'!$B$27,'Operating costs'!$B$29,'Operating costs'!$B$31,'Operating costs'!$B$33,'Operating costs'!$B$34,'Operating costs'!$B$37,'Replacement plan'!$W$34)+'Operating costs'!$B$39*'Operating costs'!$B$42+ROUNDUP(S116*(R116-'Operating costs'!$B$39)*IF('Replacement plan'!$AG$34="",'Operating costs'!$B$7,'Replacement plan'!$AG$34)/('Operating costs'!$B$8-'Operating costs'!$B$9*IF('Replacement plan'!$AG$34="",'Operating costs'!$B$7,'Replacement plan'!$AG$34)),0)*('Operating costs'!$B$9/'Operating costs'!$B$11+'Operating costs'!$B$10/60)*'Operating costs'!$B$19*'Operating costs'!$B$21,"n.a."))</f>
        <v>0</v>
      </c>
      <c r="L116" s="16">
        <f>IF(C116=0,0,IF(P116="Complete",IF(D116="EV",X116*((1-T116)*'Energy and charging'!$B$10+T116*'Energy and charging'!$B$11)*'Operating costs'!$B$22,AA116*('Energy and charging'!$B$9*'Energy and charging'!$B$7+(1-'Energy and charging'!$B$9)*'Energy and charging'!$B$8)*'Operating costs'!$B$23),"n.a."))</f>
        <v>0</v>
      </c>
      <c r="M116" s="37">
        <f>IF(C116=0,0,IF(P116="Complete",IF(D116="ICE",SUM('Operating costs'!$B$25,'Operating costs'!$B$27,'Operating costs'!$B$29,'Operating costs'!$B$31,'Operating costs'!$B$33,'Operating costs'!$B$35,'Operating costs'!$B$37,'Replacement plan'!$X$34)+'Operating costs'!$B$40*'Operating costs'!$B$42+ROUNDUP(S116*(R116-'Operating costs'!$B$40)*IF('Replacement plan'!$AH$34="",'Operating costs'!$B$7,'Replacement plan'!$AH$34)/('Operating costs'!$B$8-'Operating costs'!$B$9*IF('Replacement plan'!$AH$34="",'Operating costs'!$B$7,'Replacement plan'!$AH$34)),0)*('Operating costs'!$B$9/'Operating costs'!$B$11+'Operating costs'!$B$10/60)*'Operating costs'!$B$19*'Operating costs'!$B$21,SUM(AP116,'Operating costs'!$B$28,'Operating costs'!$B$30,'Operating costs'!$B$32,'Operating costs'!$B$33,'Operating costs'!$B$36,'Operating costs'!$B$38,'Replacement plan'!$Y$34)+'Operating costs'!$B$41*'Operating costs'!$B$43+W116*'Operating costs'!$B$15+(T116*X116/'Replacement plan'!$L$34+W116*('Operating costs'!$B$12/'Operating costs'!$B$11+('Operating costs'!$B$13+'Operating costs'!$B$14)/60)+(R116-'Operating costs'!$B$41)*(IF(T116&lt;1,'Operating costs'!$B$16,0)+'Operating costs'!$B$17)/60)*'Operating costs'!$B$19*'Operating costs'!$B$20),"n.a."))</f>
        <v>0</v>
      </c>
      <c r="N116" s="16">
        <f>IF(AND(C116=1,D116="EV",E116&lt;120,E116+'Replacement plan'!$AA$34&lt;=120),'Replacement plan'!$Z$34,0)</f>
        <v>0</v>
      </c>
      <c r="O116" s="1">
        <f>E116+'Replacement plan'!$AA$34</f>
        <v>0</v>
      </c>
      <c r="P116" s="35" t="str">
        <f>IFERROR(IF(C116=0,"Excluded",IF(OR(COUNTIFS('Fleet register'!$A$7:$A$106,A116)&lt;&gt;1,COUNTIFS('Replacement plan'!$A$7:$A$106,A116)&lt;&gt;1),"Duplicate/missing ID",IF(NOT(AND(ISNUMBER(VLOOKUP($A116,'Fleet register'!$A$7:$S$106,5,FALSE)),ISNUMBER(VLOOKUP($A116,'Fleet register'!$A$7:$S$106,6,FALSE)),ISNUMBER(VLOOKUP($A116,'Fleet register'!$A$7:$S$106,10,FALSE)),ISNUMBER(VLOOKUP($A116,'Fleet register'!$A$7:$S$106,11,FALSE)),ISNUMBER(VLOOKUP($A116,'Fleet register'!$A$7:$S$106,12,FALSE)),ISNUMBER(VLOOKUP($A116,'Fleet register'!$A$7:$S$106,13,FALSE)),ISNUMBER(VLOOKUP($A116,'Fleet register'!$A$7:$S$106,14,FALSE)),VLOOKUP($A116,'Fleet register'!$A$7:$S$106,14,FALSE)&gt;0,ISNUMBER('Replacement plan'!$C$34),OR(E116=120,OR(ISNUMBER('Replacement plan'!$AI$34),AND('Replacement plan'!$AI$34="",ISNUMBER('Operating costs'!$B$56)))),ISNUMBER(E116))),"Missing vehicle input",IF(OR(E116&lt;0,E116&gt;VLOOKUP($A116,'Fleet register'!$A$7:$S$106,10,FALSE),E116&gt;120,E116&lt;&gt;INT(E116),VLOOKUP($A116,'Fleet register'!$A$7:$S$106,6,FALSE)&lt;=0,VLOOKUP($A116,'Fleet register'!$A$7:$S$106,6,FALSE)&gt;366,VLOOKUP($A116,'Fleet register'!$A$7:$S$106,5,FALSE)&lt;0,VLOOKUP($A116,'Fleet register'!$A$7:$S$106,11,FALSE)&lt;0,I116&lt;0,'Operating costs'!$B$8&lt;='Operating costs'!$B$7*'Operating costs'!$B$9,'Operating costs'!$B$11&lt;=0,'Operating costs'!$B$39&gt;R116,'Operating costs'!$B$40&gt;R116,'Operating costs'!$B$41&gt;R116,NOT(OR("New ICE"="Keep ICE","New ICE"="New ICE","New ICE"="EV"))),"Invalid vehicle input",IF(AND(D116="EV",E116&lt;120,OR(NOT(ISNUMBER(U116)),NOT(ISNUMBER(V116)),V116&lt;=0,T116&lt;0,T116&gt;1,'Replacement plan'!$L$34&lt;=0,'Operating costs'!$B$44&lt;0,'Operating costs'!$B$44&gt;=1,'Operating costs'!$B$47&lt;=0,'Operating costs'!$B$47&gt;1,V116*'Operating costs'!$B$47/(1-'Operating costs'!$B$44)&lt;=T116*'Operating costs'!$B$12*U116,AND('Replacement plan'!$Z$34&gt;0,OR('Replacement plan'!$AB$34&lt;&gt;"Yes",'Operating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charging'!$B$8&gt;=0))),ISNUMBER(VLOOKUP($A116,'Fleet register'!$A$7:$S$106,15,FALSE)),ISNUMBER(VLOOKUP($A116,'Fleet register'!$A$7:$S$106,16,FALSE)),ISNUMBER('Replacement plan'!$W$34),ISNUMBER('Replacement plan'!$X$34),OR(E116=120,AND(ISNUMBER(G116),G116&gt;=0)),ISNUMBER(H116),H116&gt;=0,OR(D116&lt;&gt;"EV",E116=120,AND(ISNUMBER('Operating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average",ISNUMBER(IFERROR(INDEX(Products!$P$7:$P$13,MATCH(AD116,Products!$A$7:$A$13,0)),"")))),ISNUMBER('Operating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plan'!$Y$34),ISNUMBER('Replacement plan'!$Z$34),'Replacement plan'!$Z$34&gt;=0,ISNUMBER('Replacement plan'!$AA$34),'Replacement plan'!$AA$34&gt;=0,'Replacement plan'!$AA$34=INT('Replacement plan'!$AA$34),ISNUMBER('Replacement plan'!$L$34))),'Operating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plan'!$AG$34="",'Operating costs'!$B$7,'Replacement plan'!$AG$34)),IF('Replacement plan'!$AG$34="",'Operating costs'!$B$7,'Replacement plan'!$AG$34)&gt;=0,ISNUMBER(IF('Replacement plan'!$AH$34="",'Operating costs'!$B$7,'Replacement plan'!$AH$34)),IF('Replacement plan'!$AH$34="",'Operating costs'!$B$7,'Replacement plan'!$AH$34)&gt;=0,'Operating costs'!$B$8&gt;MAX(IF('Replacement plan'!$AG$34="",'Operating costs'!$B$7,'Replacement plan'!$AG$34),IF('Replacement plan'!$AH$34="",'Operating costs'!$B$7,'Replacement plan'!$AH$34))*'Operating costs'!$B$9),IF(AND(VLOOKUP($A116,'Fleet register'!$A$7:$S$106,10,FALSE)&gt;=0,VLOOKUP($A116,'Fleet register'!$A$7:$S$106,10,FALSE)&lt;=120,VLOOKUP($A116,'Fleet register'!$A$7:$S$106,10,FALSE)=INT(VLOOKUP($A116,'Fleet register'!$A$7:$S$106,10,FALSE)),VLOOKUP($A116,'Fleet register'!$A$7:$S$106,15,FALSE)&gt;=0,VLOOKUP($A116,'Fleet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costs'!$B$67)&gt;=0,OR(D116&lt;&gt;"EV",E116=120,AND(MIN('Operating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16" s="1" t="str">
        <f>IF(C116=0,"Excluded",IF(P116&lt;&gt;"Complete",P116,IF(OR('Replacement plan'!$AD$34&lt;120-E116,AND(D116="EV",E116&lt;120,OR('Replacement plan'!$AC$34&lt;120-E116,'Replacement plan'!$I$34="No",AND(ISNUMBER(AF116),AE116&gt;AF116),AI116&gt;V116*(1-'Operating costs'!$B$46)^MAX(0,AB116-1)*(1-'Operating costs'!$B$45),AC116&gt;'Operating costs'!$B$18,AND(T116&lt;1,OR(AG116&lt;=0,AND(ISNUMBER(AH116),AG116&gt;AH116))),'Replacement plan'!$L$34&gt;INDEX(Products!$H$7:$H$13,MATCH('Replacement plan'!$B$34,Products!$A$7:$A$13,0))))),"Fails entered limits",IF(AND(D116="EV",E116&lt;120,OR(NOT(ISNUMBER(VLOOKUP($A116,'Fleet register'!$A$7:$S$106,7,FALSE))),NOT(ISNUMBER(VLOOKUP($A116,'Fleet register'!$A$7:$S$106,8,FALSE))),NOT(ISNUMBER(AF116)),'Replacement plan'!$I$34&lt;&gt;"Yes",NOT(ISNUMBER(AH116)),'Operating costs'!$B$59&lt;&gt;"Yes",'Operating costs'!$B$58&lt;&gt;"Yes")),"Unverified","Within entered limits"))))</f>
        <v>Excluded</v>
      </c>
      <c r="R116" s="1">
        <f>IF(C116=0,0,VLOOKUP($A116,'Fleet register'!$A$7:$S$106,6,FALSE))</f>
        <v>0</v>
      </c>
      <c r="S116" s="1">
        <f>IF(C116=0,0,VLOOKUP($A116,'Fleet register'!$A$7:$S$106,5,FALSE))</f>
        <v>0</v>
      </c>
      <c r="T116" s="1">
        <f>IF(D116="EV",'Energy and charging'!$B$12,0)</f>
        <v>0</v>
      </c>
      <c r="U116" s="1">
        <f>IFERROR(IF(C116=0,0,IF(D116="EV",IF('Replacement plan'!$F$34="",INDEX(Products!$E$7:$E$13,MATCH('Replacement plan'!$B$34,Products!$A$7:$A$13,0)),'Replacement plan'!$F$34)/IF('Replacement plan'!$G$34="Battery",1-'Operating costs'!$B$44,1),0)),"n.a.")</f>
        <v>0</v>
      </c>
      <c r="V116" s="1">
        <f>IFERROR(IF(C116=0,0,IF(D116="EV",IF('Replacement plan'!$E$34="",INDEX(Products!$D$7:$D$13,MATCH('Replacement plan'!$B$34,Products!$A$7:$A$13,0)),'Replacement plan'!$E$34),0)),"n.a.")</f>
        <v>0</v>
      </c>
      <c r="W116" s="1">
        <f>IF(C116=0,0,IF(AND(P116="Complete",D116="EV",E116&lt;120),IF(T116=0,0,ROUNDUP(T116*(R116-'Operating costs'!$B$41)*(S116*U116+'Operating costs'!$B$48/(1-'Operating costs'!$B$44))/(V116*'Operating costs'!$B$47/(1-'Operating costs'!$B$44)-T116*'Operating costs'!$B$12*U116),0)),0))</f>
        <v>0</v>
      </c>
      <c r="X116" s="1">
        <f>IF(C116=0,0,IF(AND(P116="Complete",D116="EV",E116&lt;120),(R116-'Operating costs'!$B$41)*(S116*U116+'Operating costs'!$B$48/(1-'Operating costs'!$B$44))+W116*'Operating costs'!$B$12*U116,0))</f>
        <v>0</v>
      </c>
      <c r="Y116" s="1">
        <f>IF(AND(C116=1,D116="EV",E116&lt;120),AI116/(1-'Operating costs'!$B$44)*(1-T116),0)</f>
        <v>0</v>
      </c>
      <c r="Z116" s="1">
        <f t="shared" si="2"/>
        <v>0</v>
      </c>
      <c r="AA116" s="1">
        <f>IF(C116=0,0,IF(P116="Complete",((S116*(R116-'Operating costs'!$B$40))+ROUNDUP(S116*(R116-'Operating costs'!$B$40)*IF('Replacement plan'!$AH$34="",'Operating costs'!$B$7,'Replacement plan'!$AH$34)/('Operating costs'!$B$8-'Operating costs'!$B$9*IF('Replacement plan'!$AH$34="",'Operating costs'!$B$7,'Replacement plan'!$AH$34)),0)*'Operating costs'!$B$9)*IF('Replacement plan'!$AH$34="",'Operating costs'!$B$7,'Replacement plan'!$AH$34),"n.a."))</f>
        <v>0</v>
      </c>
      <c r="AB116" s="1">
        <f t="shared" si="3"/>
        <v>0</v>
      </c>
      <c r="AC116" s="1">
        <f>IF(AND(C116=1,D116="EV",E116&lt;120,T116&gt;0),'Operating costs'!$B$12/'Operating costs'!$B$11*60+'Operating costs'!$B$13+'Operating costs'!$B$14+V116*'Operating costs'!$B$47/(1-'Operating costs'!$B$44)/'Replacement plan'!$L$34*60,0)</f>
        <v>0</v>
      </c>
      <c r="AD116" s="1" t="str">
        <f>'Replacement plan'!$B$34</f>
        <v>ChengLong L2EV</v>
      </c>
      <c r="AE116" s="1">
        <f>IF(C116=0,0,VLOOKUP($A116,'Fleet register'!$A$7:$S$106,8,FALSE))</f>
        <v>0</v>
      </c>
      <c r="AF116" s="1" t="str">
        <f>IF('Replacement plan'!$H$34="","n.a.",'Replacement plan'!$H$34)</f>
        <v>n.a.</v>
      </c>
      <c r="AG116" s="1">
        <f>'Replacement plan'!$J$34</f>
        <v>22</v>
      </c>
      <c r="AH116" s="1">
        <f>IFERROR(IF(D116="EV",IF('Replacement plan'!$K$34="AC",IF(ISNUMBER(INDEX(Products!$G$7:$G$13,MATCH('Replacement plan'!$B$34,Products!$A$7:$A$13,0))),INDEX(Products!$G$7:$G$13,MATCH('Replacement plan'!$B$34,Products!$A$7:$A$13,0)),"n.a."),IF(ISNUMBER(INDEX(Products!$H$7:$H$13,MATCH('Replacement plan'!$B$34,Products!$A$7:$A$13,0))),INDEX(Products!$H$7:$H$13,MATCH('Replacement plan'!$B$34,Products!$A$7:$A$13,0)),"n.a.")),0),"n.a.")</f>
        <v>0</v>
      </c>
      <c r="AI116" s="1">
        <f>IF(AND(C116=1,D116="EV",E116&lt;120),(VLOOKUP($A116,'Fleet register'!$A$7:$S$106,7,FALSE)+IF(T116&gt;0,'Operating costs'!$B$12,0))*U116*(1-'Operating costs'!$B$44)+'Operating costs'!$B$49,0)</f>
        <v>0</v>
      </c>
      <c r="AJ116" s="1">
        <f>IF(D116="EV",'Energy and charging'!$B$50,0)</f>
        <v>0</v>
      </c>
      <c r="AK116" s="17">
        <f>EDATE('Operating costs'!$B$63,E116)</f>
        <v>46298</v>
      </c>
      <c r="AL116" s="1">
        <f>IFERROR(IF(D116="EV",INDEX(Products!$B$7:$B$13,MATCH('Replacement plan'!$B$34,Products!$A$7:$A$13,0)),0),"n.a.")</f>
        <v>0</v>
      </c>
      <c r="AM116" s="1" t="str">
        <f>'Replacement plan'!$K$34</f>
        <v>DC</v>
      </c>
      <c r="AN116" s="1" t="str">
        <f>'Replacement plan'!$AE$34</f>
        <v>Assumed</v>
      </c>
      <c r="AO116" s="47">
        <f>IF(AND(C116=1,D116="EV",E116&lt;120),(R116-'Operating costs'!$B$41)*S116+W116*'Operating costs'!$B$12,0)</f>
        <v>0</v>
      </c>
      <c r="AP116" s="41">
        <f>IF(AND(C116=1,D116="EV",E116&lt;120),IF('Operating costs'!$B$68="Hong Seh 200k average",AO116*IFERROR(INDEX(Products!$P$7:$P$13,MATCH(AD116,Products!$A$7:$A$13,0)),"n.a."),'Operating costs'!$B$26),0)</f>
        <v>0</v>
      </c>
      <c r="AQ116" s="40" t="str">
        <f>IF(D116="EV",'Operating costs'!$B$68,"Not applicable")</f>
        <v>Not applicable</v>
      </c>
    </row>
    <row r="117" spans="1:43" ht="24" customHeight="1">
      <c r="A117" s="1" t="str">
        <f>'Replacement plan'!A34</f>
        <v>T028</v>
      </c>
      <c r="B117" s="1">
        <v>2</v>
      </c>
      <c r="C117" s="1">
        <f>IF(COUNTIFS('Fleet register'!$A$7:$A$106,$A117)=1,VLOOKUP($A117,'Fleet register'!$A$7:$S$106,2,FALSE),0)</f>
        <v>0</v>
      </c>
      <c r="D117" s="1" t="str">
        <f>IF('Replacement plan'!$O$34="EV","EV","ICE")</f>
        <v>ICE</v>
      </c>
      <c r="E117" s="1">
        <f>IF(C117=0,0,IF('Replacement plan'!$P$34="",IF('Replacement plan'!$O$34="Keep ICE",IF('Replacement plan'!$M$34="",VLOOKUP($A117,'Fleet register'!$A$7:$S$106,10,FALSE),'Replacement plan'!$M$34),0),'Replacement plan'!$P$34))</f>
        <v>0</v>
      </c>
      <c r="F117" s="16">
        <f>IF(C117=0,0,VLOOKUP($A117,'Fleet register'!$A$7:$S$106,11,FALSE))</f>
        <v>0</v>
      </c>
      <c r="G117" s="16">
        <f>IFERROR(IF(C117=0,0,IF(E117=120,0,IF(D117="ICE",'Replacement plan'!$C$34,IF('Replacement plan'!$D$34="",INDEX(Products!$I$7:$I$13,MATCH('Replacement plan'!$B$34,Products!$A$7:$A$13,0))+'Operating costs'!$B$57,'Replacement plan'!$D$34))*(1+'Operating costs'!$B$50)^(E117/12))),"n.a.")</f>
        <v>0</v>
      </c>
      <c r="H117" s="16">
        <f>IFERROR(IF(C117=0,0,IF('Replacement plan'!$U$34&lt;&gt;"",'Replacement plan'!$U$34,IF(E117=0,F117,VLOOKUP($A117,'Fleet register'!$A$7:$S$106,12,FALSE)+VLOOKUP($A117,'Fleet register'!$A$7:$S$106,13,FALSE)*MAX(0,VLOOKUP($A117,'Fleet register'!$A$7:$S$106,10,FALSE)-E117)/VLOOKUP($A117,'Fleet register'!$A$7:$S$106,14,FALSE)))),"n.a.")</f>
        <v>0</v>
      </c>
      <c r="I117" s="16">
        <f>IF(C117=0,0,IF(E117=120,0,'Replacement plan'!$Q$34))</f>
        <v>0</v>
      </c>
      <c r="J117" s="16">
        <f>IF(C117=0,0,IF(P117="Complete",((S117*(R117-'Operating costs'!$B$39))+ROUNDUP(S117*(R117-'Operating costs'!$B$39)*IF('Replacement plan'!$AG$34="",'Operating costs'!$B$7,'Replacement plan'!$AG$34)/('Operating costs'!$B$8-'Operating costs'!$B$9*IF('Replacement plan'!$AG$34="",'Operating costs'!$B$7,'Replacement plan'!$AG$34)),0)*'Operating costs'!$B$9)*IF('Replacement plan'!$AG$34="",'Operating costs'!$B$7,'Replacement plan'!$AG$34)*('Energy and charging'!$B$9*'Energy and charging'!$B$7+(1-'Energy and charging'!$B$9)*'Energy and charging'!$B$8)*'Operating costs'!$B$23,"n.a."))</f>
        <v>0</v>
      </c>
      <c r="K117" s="16">
        <f>IF(C117=0,0,IF(P117="Complete",SUM('Operating costs'!$B$24,'Operating costs'!$B$27,'Operating costs'!$B$29,'Operating costs'!$B$31,'Operating costs'!$B$33,'Operating costs'!$B$34,'Operating costs'!$B$37,'Replacement plan'!$W$34)+'Operating costs'!$B$39*'Operating costs'!$B$42+ROUNDUP(S117*(R117-'Operating costs'!$B$39)*IF('Replacement plan'!$AG$34="",'Operating costs'!$B$7,'Replacement plan'!$AG$34)/('Operating costs'!$B$8-'Operating costs'!$B$9*IF('Replacement plan'!$AG$34="",'Operating costs'!$B$7,'Replacement plan'!$AG$34)),0)*('Operating costs'!$B$9/'Operating costs'!$B$11+'Operating costs'!$B$10/60)*'Operating costs'!$B$19*'Operating costs'!$B$21,"n.a."))</f>
        <v>0</v>
      </c>
      <c r="L117" s="16">
        <f>IF(C117=0,0,IF(P117="Complete",IF(D117="EV",X117*((1-T117)*'Energy and charging'!$B$10+T117*'Energy and charging'!$B$11)*'Operating costs'!$B$22,AA117*('Energy and charging'!$B$9*'Energy and charging'!$B$7+(1-'Energy and charging'!$B$9)*'Energy and charging'!$B$8)*'Operating costs'!$B$23),"n.a."))</f>
        <v>0</v>
      </c>
      <c r="M117" s="37">
        <f>IF(C117=0,0,IF(P117="Complete",IF(D117="ICE",SUM('Operating costs'!$B$25,'Operating costs'!$B$27,'Operating costs'!$B$29,'Operating costs'!$B$31,'Operating costs'!$B$33,'Operating costs'!$B$35,'Operating costs'!$B$37,'Replacement plan'!$X$34)+'Operating costs'!$B$40*'Operating costs'!$B$42+ROUNDUP(S117*(R117-'Operating costs'!$B$40)*IF('Replacement plan'!$AH$34="",'Operating costs'!$B$7,'Replacement plan'!$AH$34)/('Operating costs'!$B$8-'Operating costs'!$B$9*IF('Replacement plan'!$AH$34="",'Operating costs'!$B$7,'Replacement plan'!$AH$34)),0)*('Operating costs'!$B$9/'Operating costs'!$B$11+'Operating costs'!$B$10/60)*'Operating costs'!$B$19*'Operating costs'!$B$21,SUM(AP117,'Operating costs'!$B$28,'Operating costs'!$B$30,'Operating costs'!$B$32,'Operating costs'!$B$33,'Operating costs'!$B$36,'Operating costs'!$B$38,'Replacement plan'!$Y$34)+'Operating costs'!$B$41*'Operating costs'!$B$43+W117*'Operating costs'!$B$15+(T117*X117/'Replacement plan'!$L$34+W117*('Operating costs'!$B$12/'Operating costs'!$B$11+('Operating costs'!$B$13+'Operating costs'!$B$14)/60)+(R117-'Operating costs'!$B$41)*(IF(T117&lt;1,'Operating costs'!$B$16,0)+'Operating costs'!$B$17)/60)*'Operating costs'!$B$19*'Operating costs'!$B$20),"n.a."))</f>
        <v>0</v>
      </c>
      <c r="N117" s="16">
        <f>IF(AND(C117=1,D117="EV",E117&lt;120,E117+'Replacement plan'!$AA$34&lt;=120),'Replacement plan'!$Z$34,0)</f>
        <v>0</v>
      </c>
      <c r="O117" s="1">
        <f>E117+'Replacement plan'!$AA$34</f>
        <v>0</v>
      </c>
      <c r="P117" s="35" t="str">
        <f>IFERROR(IF(C117=0,"Excluded",IF(OR(COUNTIFS('Fleet register'!$A$7:$A$106,A117)&lt;&gt;1,COUNTIFS('Replacement plan'!$A$7:$A$106,A117)&lt;&gt;1),"Duplicate/missing ID",IF(NOT(AND(ISNUMBER(VLOOKUP($A117,'Fleet register'!$A$7:$S$106,5,FALSE)),ISNUMBER(VLOOKUP($A117,'Fleet register'!$A$7:$S$106,6,FALSE)),ISNUMBER(VLOOKUP($A117,'Fleet register'!$A$7:$S$106,10,FALSE)),ISNUMBER(VLOOKUP($A117,'Fleet register'!$A$7:$S$106,11,FALSE)),ISNUMBER(VLOOKUP($A117,'Fleet register'!$A$7:$S$106,12,FALSE)),ISNUMBER(VLOOKUP($A117,'Fleet register'!$A$7:$S$106,13,FALSE)),ISNUMBER(VLOOKUP($A117,'Fleet register'!$A$7:$S$106,14,FALSE)),VLOOKUP($A117,'Fleet register'!$A$7:$S$106,14,FALSE)&gt;0,ISNUMBER('Replacement plan'!$C$34),OR(E117=120,ISNUMBER('Replacement plan'!$Q$34)),ISNUMBER(E117))),"Missing vehicle input",IF(OR(E117&lt;0,E117&gt;VLOOKUP($A117,'Fleet register'!$A$7:$S$106,10,FALSE),E117&gt;120,E117&lt;&gt;INT(E117),VLOOKUP($A117,'Fleet register'!$A$7:$S$106,6,FALSE)&lt;=0,VLOOKUP($A117,'Fleet register'!$A$7:$S$106,6,FALSE)&gt;366,VLOOKUP($A117,'Fleet register'!$A$7:$S$106,5,FALSE)&lt;0,VLOOKUP($A117,'Fleet register'!$A$7:$S$106,11,FALSE)&lt;0,I117&lt;0,'Operating costs'!$B$8&lt;='Operating costs'!$B$7*'Operating costs'!$B$9,'Operating costs'!$B$11&lt;=0,'Operating costs'!$B$39&gt;R117,'Operating costs'!$B$40&gt;R117,'Operating costs'!$B$41&gt;R117,NOT(OR('Replacement plan'!$O$34="Keep ICE",'Replacement plan'!$O$34="New ICE",'Replacement plan'!$O$34="EV"))),"Invalid vehicle input",IF(AND(D117="EV",E117&lt;120,OR(NOT(ISNUMBER(U117)),NOT(ISNUMBER(V117)),V117&lt;=0,T117&lt;0,T117&gt;1,'Replacement plan'!$L$34&lt;=0,'Operating costs'!$B$44&lt;0,'Operating costs'!$B$44&gt;=1,'Operating costs'!$B$47&lt;=0,'Operating costs'!$B$47&gt;1,V117*'Operating costs'!$B$47/(1-'Operating costs'!$B$44)&lt;=T117*'Operating costs'!$B$12*U117,AND('Replacement plan'!$Z$34&gt;0,OR('Replacement plan'!$AB$34&lt;&gt;"Yes",'Operating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charging'!$B$8&gt;=0))),ISNUMBER(VLOOKUP($A117,'Fleet register'!$A$7:$S$106,15,FALSE)),ISNUMBER(VLOOKUP($A117,'Fleet register'!$A$7:$S$106,16,FALSE)),ISNUMBER('Replacement plan'!$W$34),ISNUMBER('Replacement plan'!$X$34),OR(E117=120,AND(ISNUMBER(G117),G117&gt;=0)),ISNUMBER(H117),H117&gt;=0,OR(D117&lt;&gt;"EV",E117=120,AND(ISNUMBER('Operating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average",ISNUMBER(IFERROR(INDEX(Products!$P$7:$P$13,MATCH(AD117,Products!$A$7:$A$13,0)),"")))),ISNUMBER('Operating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plan'!$Y$34),ISNUMBER('Replacement plan'!$Z$34),'Replacement plan'!$Z$34&gt;=0,ISNUMBER('Replacement plan'!$AA$34),'Replacement plan'!$AA$34&gt;=0,'Replacement plan'!$AA$34=INT('Replacement plan'!$AA$34),ISNUMBER('Replacement plan'!$L$34))),'Operating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plan'!$AG$34="",'Operating costs'!$B$7,'Replacement plan'!$AG$34)),IF('Replacement plan'!$AG$34="",'Operating costs'!$B$7,'Replacement plan'!$AG$34)&gt;=0,ISNUMBER(IF('Replacement plan'!$AH$34="",'Operating costs'!$B$7,'Replacement plan'!$AH$34)),IF('Replacement plan'!$AH$34="",'Operating costs'!$B$7,'Replacement plan'!$AH$34)&gt;=0,'Operating costs'!$B$8&gt;MAX(IF('Replacement plan'!$AG$34="",'Operating costs'!$B$7,'Replacement plan'!$AG$34),IF('Replacement plan'!$AH$34="",'Operating costs'!$B$7,'Replacement plan'!$AH$34))*'Operating costs'!$B$9),IF(AND(VLOOKUP($A117,'Fleet register'!$A$7:$S$106,10,FALSE)&gt;=0,VLOOKUP($A117,'Fleet register'!$A$7:$S$106,10,FALSE)&lt;=120,VLOOKUP($A117,'Fleet register'!$A$7:$S$106,10,FALSE)=INT(VLOOKUP($A117,'Fleet register'!$A$7:$S$106,10,FALSE)),VLOOKUP($A117,'Fleet register'!$A$7:$S$106,15,FALSE)&gt;=0,VLOOKUP($A117,'Fleet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costs'!$B$67)&gt;=0,OR(D117&lt;&gt;"EV",E117=120,AND(MIN('Operating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17" s="1" t="str">
        <f>IF(C117=0,"Excluded",IF(P117&lt;&gt;"Complete",P117,IF(OR('Replacement plan'!$AD$34&lt;120-E117,AND(D117="EV",E117&lt;120,OR('Replacement plan'!$AC$34&lt;120-E117,'Replacement plan'!$I$34="No",AND(ISNUMBER(AF117),AE117&gt;AF117),AI117&gt;V117*(1-'Operating costs'!$B$46)^MAX(0,AB117-1)*(1-'Operating costs'!$B$45),AC117&gt;'Operating costs'!$B$18,AND(T117&lt;1,OR(AG117&lt;=0,AND(ISNUMBER(AH117),AG117&gt;AH117))),'Replacement plan'!$L$34&gt;INDEX(Products!$H$7:$H$13,MATCH('Replacement plan'!$B$34,Products!$A$7:$A$13,0))))),"Fails entered limits",IF(AND(D117="EV",E117&lt;120,OR(NOT(ISNUMBER(VLOOKUP($A117,'Fleet register'!$A$7:$S$106,7,FALSE))),NOT(ISNUMBER(VLOOKUP($A117,'Fleet register'!$A$7:$S$106,8,FALSE))),NOT(ISNUMBER(AF117)),'Replacement plan'!$I$34&lt;&gt;"Yes",NOT(ISNUMBER(AH117)),'Operating costs'!$B$59&lt;&gt;"Yes",'Operating costs'!$B$58&lt;&gt;"Yes")),"Unverified","Within entered limits"))))</f>
        <v>Excluded</v>
      </c>
      <c r="R117" s="1">
        <f>IF(C117=0,0,VLOOKUP($A117,'Fleet register'!$A$7:$S$106,6,FALSE))</f>
        <v>0</v>
      </c>
      <c r="S117" s="1">
        <f>IF(C117=0,0,VLOOKUP($A117,'Fleet register'!$A$7:$S$106,5,FALSE))</f>
        <v>0</v>
      </c>
      <c r="T117" s="1">
        <f>IF(D117="EV",'Energy and charging'!$B$12,0)</f>
        <v>0</v>
      </c>
      <c r="U117" s="1">
        <f>IFERROR(IF(C117=0,0,IF(D117="EV",IF('Replacement plan'!$F$34="",INDEX(Products!$E$7:$E$13,MATCH('Replacement plan'!$B$34,Products!$A$7:$A$13,0)),'Replacement plan'!$F$34)/IF('Replacement plan'!$G$34="Battery",1-'Operating costs'!$B$44,1),0)),"n.a.")</f>
        <v>0</v>
      </c>
      <c r="V117" s="1">
        <f>IFERROR(IF(C117=0,0,IF(D117="EV",IF('Replacement plan'!$E$34="",INDEX(Products!$D$7:$D$13,MATCH('Replacement plan'!$B$34,Products!$A$7:$A$13,0)),'Replacement plan'!$E$34),0)),"n.a.")</f>
        <v>0</v>
      </c>
      <c r="W117" s="1">
        <f>IF(C117=0,0,IF(AND(P117="Complete",D117="EV",E117&lt;120),IF(T117=0,0,ROUNDUP(T117*(R117-'Operating costs'!$B$41)*(S117*U117+'Operating costs'!$B$48/(1-'Operating costs'!$B$44))/(V117*'Operating costs'!$B$47/(1-'Operating costs'!$B$44)-T117*'Operating costs'!$B$12*U117),0)),0))</f>
        <v>0</v>
      </c>
      <c r="X117" s="1">
        <f>IF(C117=0,0,IF(AND(P117="Complete",D117="EV",E117&lt;120),(R117-'Operating costs'!$B$41)*(S117*U117+'Operating costs'!$B$48/(1-'Operating costs'!$B$44))+W117*'Operating costs'!$B$12*U117,0))</f>
        <v>0</v>
      </c>
      <c r="Y117" s="1">
        <f>IF(AND(C117=1,D117="EV",E117&lt;120),AI117/(1-'Operating costs'!$B$44)*(1-T117),0)</f>
        <v>0</v>
      </c>
      <c r="Z117" s="1">
        <f t="shared" si="2"/>
        <v>0</v>
      </c>
      <c r="AA117" s="1">
        <f>IF(C117=0,0,IF(P117="Complete",((S117*(R117-'Operating costs'!$B$40))+ROUNDUP(S117*(R117-'Operating costs'!$B$40)*IF('Replacement plan'!$AH$34="",'Operating costs'!$B$7,'Replacement plan'!$AH$34)/('Operating costs'!$B$8-'Operating costs'!$B$9*IF('Replacement plan'!$AH$34="",'Operating costs'!$B$7,'Replacement plan'!$AH$34)),0)*'Operating costs'!$B$9)*IF('Replacement plan'!$AH$34="",'Operating costs'!$B$7,'Replacement plan'!$AH$34),"n.a."))</f>
        <v>0</v>
      </c>
      <c r="AB117" s="1">
        <f t="shared" si="3"/>
        <v>0</v>
      </c>
      <c r="AC117" s="1">
        <f>IF(AND(C117=1,D117="EV",E117&lt;120,T117&gt;0),'Operating costs'!$B$12/'Operating costs'!$B$11*60+'Operating costs'!$B$13+'Operating costs'!$B$14+V117*'Operating costs'!$B$47/(1-'Operating costs'!$B$44)/'Replacement plan'!$L$34*60,0)</f>
        <v>0</v>
      </c>
      <c r="AD117" s="1" t="str">
        <f>'Replacement plan'!$B$34</f>
        <v>ChengLong L2EV</v>
      </c>
      <c r="AE117" s="1">
        <f>IF(C117=0,0,VLOOKUP($A117,'Fleet register'!$A$7:$S$106,8,FALSE))</f>
        <v>0</v>
      </c>
      <c r="AF117" s="1" t="str">
        <f>IF('Replacement plan'!$H$34="","n.a.",'Replacement plan'!$H$34)</f>
        <v>n.a.</v>
      </c>
      <c r="AG117" s="1">
        <f>'Replacement plan'!$J$34</f>
        <v>22</v>
      </c>
      <c r="AH117" s="1">
        <f>IFERROR(IF(D117="EV",IF('Replacement plan'!$K$34="AC",IF(ISNUMBER(INDEX(Products!$G$7:$G$13,MATCH('Replacement plan'!$B$34,Products!$A$7:$A$13,0))),INDEX(Products!$G$7:$G$13,MATCH('Replacement plan'!$B$34,Products!$A$7:$A$13,0)),"n.a."),IF(ISNUMBER(INDEX(Products!$H$7:$H$13,MATCH('Replacement plan'!$B$34,Products!$A$7:$A$13,0))),INDEX(Products!$H$7:$H$13,MATCH('Replacement plan'!$B$34,Products!$A$7:$A$13,0)),"n.a.")),0),"n.a.")</f>
        <v>0</v>
      </c>
      <c r="AI117" s="1">
        <f>IF(AND(C117=1,D117="EV",E117&lt;120),(VLOOKUP($A117,'Fleet register'!$A$7:$S$106,7,FALSE)+IF(T117&gt;0,'Operating costs'!$B$12,0))*U117*(1-'Operating costs'!$B$44)+'Operating costs'!$B$49,0)</f>
        <v>0</v>
      </c>
      <c r="AJ117" s="1">
        <f>IF(D117="EV",'Energy and charging'!$B$50,0)</f>
        <v>0</v>
      </c>
      <c r="AK117" s="17">
        <f>EDATE('Operating costs'!$B$63,E117)</f>
        <v>46298</v>
      </c>
      <c r="AL117" s="1">
        <f>IFERROR(IF(D117="EV",INDEX(Products!$B$7:$B$13,MATCH('Replacement plan'!$B$34,Products!$A$7:$A$13,0)),0),"n.a.")</f>
        <v>0</v>
      </c>
      <c r="AM117" s="1" t="str">
        <f>'Replacement plan'!$K$34</f>
        <v>DC</v>
      </c>
      <c r="AN117" s="1" t="str">
        <f>'Replacement plan'!$AE$34</f>
        <v>Assumed</v>
      </c>
      <c r="AO117" s="47">
        <f>IF(AND(C117=1,D117="EV",E117&lt;120),(R117-'Operating costs'!$B$41)*S117+W117*'Operating costs'!$B$12,0)</f>
        <v>0</v>
      </c>
      <c r="AP117" s="41">
        <f>IF(AND(C117=1,D117="EV",E117&lt;120),IF('Operating costs'!$B$68="Hong Seh 200k average",AO117*IFERROR(INDEX(Products!$P$7:$P$13,MATCH(AD117,Products!$A$7:$A$13,0)),"n.a."),'Operating costs'!$B$26),0)</f>
        <v>0</v>
      </c>
      <c r="AQ117" s="40" t="str">
        <f>IF(D117="EV",'Operating costs'!$B$68,"Not applicable")</f>
        <v>Not applicable</v>
      </c>
    </row>
    <row r="118" spans="1:43" ht="24" customHeight="1">
      <c r="A118" s="1" t="str">
        <f>'Replacement plan'!A34</f>
        <v>T028</v>
      </c>
      <c r="B118" s="1">
        <v>3</v>
      </c>
      <c r="C118" s="1">
        <f>IF(COUNTIFS('Fleet register'!$A$7:$A$106,$A118)=1,VLOOKUP($A118,'Fleet register'!$A$7:$S$106,2,FALSE),0)</f>
        <v>0</v>
      </c>
      <c r="D118" s="1" t="str">
        <f>IF('Replacement plan'!$R$34="EV","EV","ICE")</f>
        <v>ICE</v>
      </c>
      <c r="E118" s="1">
        <f>IF(C118=0,0,IF('Replacement plan'!$S$34="",IF('Replacement plan'!$R$34="Keep ICE",IF('Replacement plan'!$M$34="",VLOOKUP($A118,'Fleet register'!$A$7:$S$106,10,FALSE),'Replacement plan'!$M$34),0),'Replacement plan'!$S$34))</f>
        <v>0</v>
      </c>
      <c r="F118" s="16">
        <f>IF(C118=0,0,VLOOKUP($A118,'Fleet register'!$A$7:$S$106,11,FALSE))</f>
        <v>0</v>
      </c>
      <c r="G118" s="16">
        <f>IFERROR(IF(C118=0,0,IF(E118=120,0,IF(D118="ICE",'Replacement plan'!$C$34,IF('Replacement plan'!$D$34="",INDEX(Products!$I$7:$I$13,MATCH('Replacement plan'!$B$34,Products!$A$7:$A$13,0))+'Operating costs'!$B$57,'Replacement plan'!$D$34))*(1+'Operating costs'!$B$50)^(E118/12))),"n.a.")</f>
        <v>0</v>
      </c>
      <c r="H118" s="16">
        <f>IFERROR(IF(C118=0,0,IF('Replacement plan'!$V$34&lt;&gt;"",'Replacement plan'!$V$34,IF(E118=0,F118,VLOOKUP($A118,'Fleet register'!$A$7:$S$106,12,FALSE)+VLOOKUP($A118,'Fleet register'!$A$7:$S$106,13,FALSE)*MAX(0,VLOOKUP($A118,'Fleet register'!$A$7:$S$106,10,FALSE)-E118)/VLOOKUP($A118,'Fleet register'!$A$7:$S$106,14,FALSE)))),"n.a.")</f>
        <v>0</v>
      </c>
      <c r="I118" s="16">
        <f>IF(C118=0,0,IF(E118=120,0,'Replacement plan'!$T$34))</f>
        <v>0</v>
      </c>
      <c r="J118" s="16">
        <f>IF(C118=0,0,IF(P118="Complete",((S118*(R118-'Operating costs'!$B$39))+ROUNDUP(S118*(R118-'Operating costs'!$B$39)*IF('Replacement plan'!$AG$34="",'Operating costs'!$B$7,'Replacement plan'!$AG$34)/('Operating costs'!$B$8-'Operating costs'!$B$9*IF('Replacement plan'!$AG$34="",'Operating costs'!$B$7,'Replacement plan'!$AG$34)),0)*'Operating costs'!$B$9)*IF('Replacement plan'!$AG$34="",'Operating costs'!$B$7,'Replacement plan'!$AG$34)*('Energy and charging'!$C$9*'Energy and charging'!$C$7+(1-'Energy and charging'!$C$9)*'Energy and charging'!$C$8)*'Operating costs'!$B$23,"n.a."))</f>
        <v>0</v>
      </c>
      <c r="K118" s="16">
        <f>IF(C118=0,0,IF(P118="Complete",SUM('Operating costs'!$B$24,'Operating costs'!$B$27,'Operating costs'!$B$29,'Operating costs'!$B$31,'Operating costs'!$B$33,'Operating costs'!$B$34,'Operating costs'!$B$37,'Replacement plan'!$W$34)+'Operating costs'!$B$39*'Operating costs'!$B$42+ROUNDUP(S118*(R118-'Operating costs'!$B$39)*IF('Replacement plan'!$AG$34="",'Operating costs'!$B$7,'Replacement plan'!$AG$34)/('Operating costs'!$B$8-'Operating costs'!$B$9*IF('Replacement plan'!$AG$34="",'Operating costs'!$B$7,'Replacement plan'!$AG$34)),0)*('Operating costs'!$B$9/'Operating costs'!$B$11+'Operating costs'!$B$10/60)*'Operating costs'!$B$19*'Operating costs'!$B$21,"n.a."))</f>
        <v>0</v>
      </c>
      <c r="L118" s="16">
        <f>IF(C118=0,0,IF(P118="Complete",IF(D118="EV",X118*((1-T118)*'Energy and charging'!$C$10+T118*'Energy and charging'!$C$11)*'Operating costs'!$B$22,AA118*('Energy and charging'!$C$9*'Energy and charging'!$C$7+(1-'Energy and charging'!$C$9)*'Energy and charging'!$C$8)*'Operating costs'!$B$23),"n.a."))</f>
        <v>0</v>
      </c>
      <c r="M118" s="37">
        <f>IF(C118=0,0,IF(P118="Complete",IF(D118="ICE",SUM('Operating costs'!$B$25,'Operating costs'!$B$27,'Operating costs'!$B$29,'Operating costs'!$B$31,'Operating costs'!$B$33,'Operating costs'!$B$35,'Operating costs'!$B$37,'Replacement plan'!$X$34)+'Operating costs'!$B$40*'Operating costs'!$B$42+ROUNDUP(S118*(R118-'Operating costs'!$B$40)*IF('Replacement plan'!$AH$34="",'Operating costs'!$B$7,'Replacement plan'!$AH$34)/('Operating costs'!$B$8-'Operating costs'!$B$9*IF('Replacement plan'!$AH$34="",'Operating costs'!$B$7,'Replacement plan'!$AH$34)),0)*('Operating costs'!$B$9/'Operating costs'!$B$11+'Operating costs'!$B$10/60)*'Operating costs'!$B$19*'Operating costs'!$B$21,SUM(AP118,'Operating costs'!$B$28,'Operating costs'!$B$30,'Operating costs'!$B$32,'Operating costs'!$B$33,'Operating costs'!$B$36,'Operating costs'!$B$38,'Replacement plan'!$Y$34)+'Operating costs'!$B$41*'Operating costs'!$B$43+W118*'Operating costs'!$B$15+(T118*X118/'Replacement plan'!$L$34+W118*('Operating costs'!$B$12/'Operating costs'!$B$11+('Operating costs'!$B$13+'Operating costs'!$B$14)/60)+(R118-'Operating costs'!$B$41)*(IF(T118&lt;1,'Operating costs'!$B$16,0)+'Operating costs'!$B$17)/60)*'Operating costs'!$B$19*'Operating costs'!$B$20),"n.a."))</f>
        <v>0</v>
      </c>
      <c r="N118" s="16">
        <f>IF(AND(C118=1,D118="EV",E118&lt;120,E118+'Replacement plan'!$AA$34&lt;=120),'Replacement plan'!$Z$34,0)</f>
        <v>0</v>
      </c>
      <c r="O118" s="1">
        <f>E118+'Replacement plan'!$AA$34</f>
        <v>0</v>
      </c>
      <c r="P118" s="35" t="str">
        <f>IFERROR(IF(C118=0,"Excluded",IF(OR(COUNTIFS('Fleet register'!$A$7:$A$106,A118)&lt;&gt;1,COUNTIFS('Replacement plan'!$A$7:$A$106,A118)&lt;&gt;1),"Duplicate/missing ID",IF(NOT(AND(ISNUMBER(VLOOKUP($A118,'Fleet register'!$A$7:$S$106,5,FALSE)),ISNUMBER(VLOOKUP($A118,'Fleet register'!$A$7:$S$106,6,FALSE)),ISNUMBER(VLOOKUP($A118,'Fleet register'!$A$7:$S$106,10,FALSE)),ISNUMBER(VLOOKUP($A118,'Fleet register'!$A$7:$S$106,11,FALSE)),ISNUMBER(VLOOKUP($A118,'Fleet register'!$A$7:$S$106,12,FALSE)),ISNUMBER(VLOOKUP($A118,'Fleet register'!$A$7:$S$106,13,FALSE)),ISNUMBER(VLOOKUP($A118,'Fleet register'!$A$7:$S$106,14,FALSE)),VLOOKUP($A118,'Fleet register'!$A$7:$S$106,14,FALSE)&gt;0,ISNUMBER('Replacement plan'!$C$34),OR(E118=120,ISNUMBER('Replacement plan'!$T$34)),ISNUMBER(E118))),"Missing vehicle input",IF(OR(E118&lt;0,E118&gt;VLOOKUP($A118,'Fleet register'!$A$7:$S$106,10,FALSE),E118&gt;120,E118&lt;&gt;INT(E118),VLOOKUP($A118,'Fleet register'!$A$7:$S$106,6,FALSE)&lt;=0,VLOOKUP($A118,'Fleet register'!$A$7:$S$106,6,FALSE)&gt;366,VLOOKUP($A118,'Fleet register'!$A$7:$S$106,5,FALSE)&lt;0,VLOOKUP($A118,'Fleet register'!$A$7:$S$106,11,FALSE)&lt;0,I118&lt;0,'Operating costs'!$B$8&lt;='Operating costs'!$B$7*'Operating costs'!$B$9,'Operating costs'!$B$11&lt;=0,'Operating costs'!$B$39&gt;R118,'Operating costs'!$B$40&gt;R118,'Operating costs'!$B$41&gt;R118,NOT(OR('Replacement plan'!$R$34="Keep ICE",'Replacement plan'!$R$34="New ICE",'Replacement plan'!$R$34="EV"))),"Invalid vehicle input",IF(AND(D118="EV",E118&lt;120,OR(NOT(ISNUMBER(U118)),NOT(ISNUMBER(V118)),V118&lt;=0,T118&lt;0,T118&gt;1,'Replacement plan'!$L$34&lt;=0,'Operating costs'!$B$44&lt;0,'Operating costs'!$B$44&gt;=1,'Operating costs'!$B$47&lt;=0,'Operating costs'!$B$47&gt;1,V118*'Operating costs'!$B$47/(1-'Operating costs'!$B$44)&lt;=T118*'Operating costs'!$B$12*U118,AND('Replacement plan'!$Z$34&gt;0,OR('Replacement plan'!$AB$34&lt;&gt;"Yes",'Operating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charging'!$C$8&gt;=0))),ISNUMBER(VLOOKUP($A118,'Fleet register'!$A$7:$S$106,15,FALSE)),ISNUMBER(VLOOKUP($A118,'Fleet register'!$A$7:$S$106,16,FALSE)),ISNUMBER('Replacement plan'!$W$34),ISNUMBER('Replacement plan'!$X$34),OR(E118=120,AND(ISNUMBER(G118),G118&gt;=0)),ISNUMBER(H118),H118&gt;=0,OR(D118&lt;&gt;"EV",E118=120,AND(ISNUMBER('Operating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average",ISNUMBER(IFERROR(INDEX(Products!$P$7:$P$13,MATCH(AD118,Products!$A$7:$A$13,0)),"")))),ISNUMBER('Operating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plan'!$Y$34),ISNUMBER('Replacement plan'!$Z$34),'Replacement plan'!$Z$34&gt;=0,ISNUMBER('Replacement plan'!$AA$34),'Replacement plan'!$AA$34&gt;=0,'Replacement plan'!$AA$34=INT('Replacement plan'!$AA$34),ISNUMBER('Replacement plan'!$L$34))),'Operating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plan'!$AG$34="",'Operating costs'!$B$7,'Replacement plan'!$AG$34)),IF('Replacement plan'!$AG$34="",'Operating costs'!$B$7,'Replacement plan'!$AG$34)&gt;=0,ISNUMBER(IF('Replacement plan'!$AH$34="",'Operating costs'!$B$7,'Replacement plan'!$AH$34)),IF('Replacement plan'!$AH$34="",'Operating costs'!$B$7,'Replacement plan'!$AH$34)&gt;=0,'Operating costs'!$B$8&gt;MAX(IF('Replacement plan'!$AG$34="",'Operating costs'!$B$7,'Replacement plan'!$AG$34),IF('Replacement plan'!$AH$34="",'Operating costs'!$B$7,'Replacement plan'!$AH$34))*'Operating costs'!$B$9),IF(AND(VLOOKUP($A118,'Fleet register'!$A$7:$S$106,10,FALSE)&gt;=0,VLOOKUP($A118,'Fleet register'!$A$7:$S$106,10,FALSE)&lt;=120,VLOOKUP($A118,'Fleet register'!$A$7:$S$106,10,FALSE)=INT(VLOOKUP($A118,'Fleet register'!$A$7:$S$106,10,FALSE)),VLOOKUP($A118,'Fleet register'!$A$7:$S$106,15,FALSE)&gt;=0,VLOOKUP($A118,'Fleet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costs'!$B$67)&gt;=0,OR(D118&lt;&gt;"EV",E118=120,AND(MIN('Operating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18" s="1" t="str">
        <f>IF(C118=0,"Excluded",IF(P118&lt;&gt;"Complete",P118,IF(OR('Replacement plan'!$AD$34&lt;120-E118,AND(D118="EV",E118&lt;120,OR('Replacement plan'!$AC$34&lt;120-E118,'Replacement plan'!$I$34="No",AND(ISNUMBER(AF118),AE118&gt;AF118),AI118&gt;V118*(1-'Operating costs'!$B$46)^MAX(0,AB118-1)*(1-'Operating costs'!$B$45),AC118&gt;'Operating costs'!$B$18,AND(T118&lt;1,OR(AG118&lt;=0,AND(ISNUMBER(AH118),AG118&gt;AH118))),'Replacement plan'!$L$34&gt;INDEX(Products!$H$7:$H$13,MATCH('Replacement plan'!$B$34,Products!$A$7:$A$13,0))))),"Fails entered limits",IF(AND(D118="EV",E118&lt;120,OR(NOT(ISNUMBER(VLOOKUP($A118,'Fleet register'!$A$7:$S$106,7,FALSE))),NOT(ISNUMBER(VLOOKUP($A118,'Fleet register'!$A$7:$S$106,8,FALSE))),NOT(ISNUMBER(AF118)),'Replacement plan'!$I$34&lt;&gt;"Yes",NOT(ISNUMBER(AH118)),'Operating costs'!$B$59&lt;&gt;"Yes",'Operating costs'!$B$58&lt;&gt;"Yes")),"Unverified","Within entered limits"))))</f>
        <v>Excluded</v>
      </c>
      <c r="R118" s="1">
        <f>IF(C118=0,0,VLOOKUP($A118,'Fleet register'!$A$7:$S$106,6,FALSE))</f>
        <v>0</v>
      </c>
      <c r="S118" s="1">
        <f>IF(C118=0,0,VLOOKUP($A118,'Fleet register'!$A$7:$S$106,5,FALSE))</f>
        <v>0</v>
      </c>
      <c r="T118" s="1">
        <f>IF(D118="EV",'Energy and charging'!$C$12,0)</f>
        <v>0</v>
      </c>
      <c r="U118" s="1">
        <f>IFERROR(IF(C118=0,0,IF(D118="EV",IF('Replacement plan'!$F$34="",INDEX(Products!$E$7:$E$13,MATCH('Replacement plan'!$B$34,Products!$A$7:$A$13,0)),'Replacement plan'!$F$34)/IF('Replacement plan'!$G$34="Battery",1-'Operating costs'!$B$44,1),0)),"n.a.")</f>
        <v>0</v>
      </c>
      <c r="V118" s="1">
        <f>IFERROR(IF(C118=0,0,IF(D118="EV",IF('Replacement plan'!$E$34="",INDEX(Products!$D$7:$D$13,MATCH('Replacement plan'!$B$34,Products!$A$7:$A$13,0)),'Replacement plan'!$E$34),0)),"n.a.")</f>
        <v>0</v>
      </c>
      <c r="W118" s="1">
        <f>IF(C118=0,0,IF(AND(P118="Complete",D118="EV",E118&lt;120),IF(T118=0,0,ROUNDUP(T118*(R118-'Operating costs'!$B$41)*(S118*U118+'Operating costs'!$B$48/(1-'Operating costs'!$B$44))/(V118*'Operating costs'!$B$47/(1-'Operating costs'!$B$44)-T118*'Operating costs'!$B$12*U118),0)),0))</f>
        <v>0</v>
      </c>
      <c r="X118" s="1">
        <f>IF(C118=0,0,IF(AND(P118="Complete",D118="EV",E118&lt;120),(R118-'Operating costs'!$B$41)*(S118*U118+'Operating costs'!$B$48/(1-'Operating costs'!$B$44))+W118*'Operating costs'!$B$12*U118,0))</f>
        <v>0</v>
      </c>
      <c r="Y118" s="1">
        <f>IF(AND(C118=1,D118="EV",E118&lt;120),AI118/(1-'Operating costs'!$B$44)*(1-T118),0)</f>
        <v>0</v>
      </c>
      <c r="Z118" s="1">
        <f t="shared" si="2"/>
        <v>0</v>
      </c>
      <c r="AA118" s="1">
        <f>IF(C118=0,0,IF(P118="Complete",((S118*(R118-'Operating costs'!$B$40))+ROUNDUP(S118*(R118-'Operating costs'!$B$40)*IF('Replacement plan'!$AH$34="",'Operating costs'!$B$7,'Replacement plan'!$AH$34)/('Operating costs'!$B$8-'Operating costs'!$B$9*IF('Replacement plan'!$AH$34="",'Operating costs'!$B$7,'Replacement plan'!$AH$34)),0)*'Operating costs'!$B$9)*IF('Replacement plan'!$AH$34="",'Operating costs'!$B$7,'Replacement plan'!$AH$34),"n.a."))</f>
        <v>0</v>
      </c>
      <c r="AB118" s="1">
        <f t="shared" si="3"/>
        <v>0</v>
      </c>
      <c r="AC118" s="1">
        <f>IF(AND(C118=1,D118="EV",E118&lt;120,T118&gt;0),'Operating costs'!$B$12/'Operating costs'!$B$11*60+'Operating costs'!$B$13+'Operating costs'!$B$14+V118*'Operating costs'!$B$47/(1-'Operating costs'!$B$44)/'Replacement plan'!$L$34*60,0)</f>
        <v>0</v>
      </c>
      <c r="AD118" s="1" t="str">
        <f>'Replacement plan'!$B$34</f>
        <v>ChengLong L2EV</v>
      </c>
      <c r="AE118" s="1">
        <f>IF(C118=0,0,VLOOKUP($A118,'Fleet register'!$A$7:$S$106,8,FALSE))</f>
        <v>0</v>
      </c>
      <c r="AF118" s="1" t="str">
        <f>IF('Replacement plan'!$H$34="","n.a.",'Replacement plan'!$H$34)</f>
        <v>n.a.</v>
      </c>
      <c r="AG118" s="1">
        <f>'Replacement plan'!$J$34</f>
        <v>22</v>
      </c>
      <c r="AH118" s="1">
        <f>IFERROR(IF(D118="EV",IF('Replacement plan'!$K$34="AC",IF(ISNUMBER(INDEX(Products!$G$7:$G$13,MATCH('Replacement plan'!$B$34,Products!$A$7:$A$13,0))),INDEX(Products!$G$7:$G$13,MATCH('Replacement plan'!$B$34,Products!$A$7:$A$13,0)),"n.a."),IF(ISNUMBER(INDEX(Products!$H$7:$H$13,MATCH('Replacement plan'!$B$34,Products!$A$7:$A$13,0))),INDEX(Products!$H$7:$H$13,MATCH('Replacement plan'!$B$34,Products!$A$7:$A$13,0)),"n.a.")),0),"n.a.")</f>
        <v>0</v>
      </c>
      <c r="AI118" s="1">
        <f>IF(AND(C118=1,D118="EV",E118&lt;120),(VLOOKUP($A118,'Fleet register'!$A$7:$S$106,7,FALSE)+IF(T118&gt;0,'Operating costs'!$B$12,0))*U118*(1-'Operating costs'!$B$44)+'Operating costs'!$B$49,0)</f>
        <v>0</v>
      </c>
      <c r="AJ118" s="1">
        <f>IF(D118="EV",'Energy and charging'!$C$50,0)</f>
        <v>0</v>
      </c>
      <c r="AK118" s="17">
        <f>EDATE('Operating costs'!$B$63,E118)</f>
        <v>46298</v>
      </c>
      <c r="AL118" s="1">
        <f>IFERROR(IF(D118="EV",INDEX(Products!$B$7:$B$13,MATCH('Replacement plan'!$B$34,Products!$A$7:$A$13,0)),0),"n.a.")</f>
        <v>0</v>
      </c>
      <c r="AM118" s="1" t="str">
        <f>'Replacement plan'!$K$34</f>
        <v>DC</v>
      </c>
      <c r="AN118" s="1" t="str">
        <f>'Replacement plan'!$AE$34</f>
        <v>Assumed</v>
      </c>
      <c r="AO118" s="47">
        <f>IF(AND(C118=1,D118="EV",E118&lt;120),(R118-'Operating costs'!$B$41)*S118+W118*'Operating costs'!$B$12,0)</f>
        <v>0</v>
      </c>
      <c r="AP118" s="41">
        <f>IF(AND(C118=1,D118="EV",E118&lt;120),IF('Operating costs'!$B$68="Hong Seh 200k average",AO118*IFERROR(INDEX(Products!$P$7:$P$13,MATCH(AD118,Products!$A$7:$A$13,0)),"n.a."),'Operating costs'!$B$26),0)</f>
        <v>0</v>
      </c>
      <c r="AQ118" s="40" t="str">
        <f>IF(D118="EV",'Operating costs'!$B$68,"Not applicable")</f>
        <v>Not applicable</v>
      </c>
    </row>
    <row r="119" spans="1:43" ht="24" customHeight="1">
      <c r="A119" s="1" t="str">
        <f>'Replacement plan'!A35</f>
        <v>T029</v>
      </c>
      <c r="B119" s="1">
        <v>0</v>
      </c>
      <c r="C119" s="1">
        <f>IF(COUNTIFS('Fleet register'!$A$7:$A$106,$A119)=1,VLOOKUP($A119,'Fleet register'!$A$7:$S$106,2,FALSE),0)</f>
        <v>0</v>
      </c>
      <c r="D119" s="1" t="str">
        <f>IF("Keep ICE"="EV","EV","ICE")</f>
        <v>ICE</v>
      </c>
      <c r="E119" s="1">
        <f>IF(C119=0,0,IF('Replacement plan'!$M$35="",VLOOKUP($A119,'Fleet register'!$A$7:$S$106,10,FALSE),'Replacement plan'!$M$35))</f>
        <v>0</v>
      </c>
      <c r="F119" s="16">
        <f>IF(C119=0,0,VLOOKUP($A119,'Fleet register'!$A$7:$S$106,11,FALSE))</f>
        <v>0</v>
      </c>
      <c r="G119" s="16">
        <f>IFERROR(IF(C119=0,0,IF(E119=120,0,IF(D119="ICE",'Replacement plan'!$C$35,IF('Replacement plan'!$D$35="",INDEX(Products!$I$7:$I$13,MATCH('Replacement plan'!$B$35,Products!$A$7:$A$13,0))+'Operating costs'!$B$57,'Replacement plan'!$D$35))*(1+'Operating costs'!$B$50)^(E119/12))),"n.a.")</f>
        <v>0</v>
      </c>
      <c r="H119" s="16">
        <f>IFERROR(IF(C119=0,0,IF(E119=0,F119,VLOOKUP($A119,'Fleet register'!$A$7:$S$106,12,FALSE)+VLOOKUP($A119,'Fleet register'!$A$7:$S$106,13,FALSE)*MAX(0,VLOOKUP($A119,'Fleet register'!$A$7:$S$106,10,FALSE)-E119)/VLOOKUP($A119,'Fleet register'!$A$7:$S$106,14,FALSE))),"n.a.")</f>
        <v>0</v>
      </c>
      <c r="I119" s="16">
        <f>IF(C119=0,0,IF(E119=120,0,'Replacement plan'!$N$35))</f>
        <v>0</v>
      </c>
      <c r="J119" s="16">
        <f>IF(C119=0,0,IF(P119="Complete",((S119*(R119-'Operating costs'!$B$39))+ROUNDUP(S119*(R119-'Operating costs'!$B$39)*IF('Replacement plan'!$AG$35="",'Operating costs'!$B$7,'Replacement plan'!$AG$35)/('Operating costs'!$B$8-'Operating costs'!$B$9*IF('Replacement plan'!$AG$35="",'Operating costs'!$B$7,'Replacement plan'!$AG$35)),0)*'Operating costs'!$B$9)*IF('Replacement plan'!$AG$35="",'Operating costs'!$B$7,'Replacement plan'!$AG$35)*('Energy and charging'!$B$9*'Energy and charging'!$B$7+(1-'Energy and charging'!$B$9)*'Energy and charging'!$B$8)*'Operating costs'!$B$23,"n.a."))</f>
        <v>0</v>
      </c>
      <c r="K119" s="16">
        <f>IF(C119=0,0,IF(P119="Complete",SUM('Operating costs'!$B$24,'Operating costs'!$B$27,'Operating costs'!$B$29,'Operating costs'!$B$31,'Operating costs'!$B$33,'Operating costs'!$B$34,'Operating costs'!$B$37,'Replacement plan'!$W$35)+'Operating costs'!$B$39*'Operating costs'!$B$42+ROUNDUP(S119*(R119-'Operating costs'!$B$39)*IF('Replacement plan'!$AG$35="",'Operating costs'!$B$7,'Replacement plan'!$AG$35)/('Operating costs'!$B$8-'Operating costs'!$B$9*IF('Replacement plan'!$AG$35="",'Operating costs'!$B$7,'Replacement plan'!$AG$35)),0)*('Operating costs'!$B$9/'Operating costs'!$B$11+'Operating costs'!$B$10/60)*'Operating costs'!$B$19*'Operating costs'!$B$21,"n.a."))</f>
        <v>0</v>
      </c>
      <c r="L119" s="16">
        <f>IF(C119=0,0,IF(P119="Complete",IF(D119="EV",X119*((1-T119)*'Energy and charging'!$B$10+T119*'Energy and charging'!$B$11)*'Operating costs'!$B$22,AA119*('Energy and charging'!$B$9*'Energy and charging'!$B$7+(1-'Energy and charging'!$B$9)*'Energy and charging'!$B$8)*'Operating costs'!$B$23),"n.a."))</f>
        <v>0</v>
      </c>
      <c r="M119" s="37">
        <f>IF(C119=0,0,IF(P119="Complete",IF(D119="ICE",SUM('Operating costs'!$B$25,'Operating costs'!$B$27,'Operating costs'!$B$29,'Operating costs'!$B$31,'Operating costs'!$B$33,'Operating costs'!$B$35,'Operating costs'!$B$37,'Replacement plan'!$X$35)+'Operating costs'!$B$40*'Operating costs'!$B$42+ROUNDUP(S119*(R119-'Operating costs'!$B$40)*IF('Replacement plan'!$AH$35="",'Operating costs'!$B$7,'Replacement plan'!$AH$35)/('Operating costs'!$B$8-'Operating costs'!$B$9*IF('Replacement plan'!$AH$35="",'Operating costs'!$B$7,'Replacement plan'!$AH$35)),0)*('Operating costs'!$B$9/'Operating costs'!$B$11+'Operating costs'!$B$10/60)*'Operating costs'!$B$19*'Operating costs'!$B$21,SUM(AP119,'Operating costs'!$B$28,'Operating costs'!$B$30,'Operating costs'!$B$32,'Operating costs'!$B$33,'Operating costs'!$B$36,'Operating costs'!$B$38,'Replacement plan'!$Y$35)+'Operating costs'!$B$41*'Operating costs'!$B$43+W119*'Operating costs'!$B$15+(T119*X119/'Replacement plan'!$L$35+W119*('Operating costs'!$B$12/'Operating costs'!$B$11+('Operating costs'!$B$13+'Operating costs'!$B$14)/60)+(R119-'Operating costs'!$B$41)*(IF(T119&lt;1,'Operating costs'!$B$16,0)+'Operating costs'!$B$17)/60)*'Operating costs'!$B$19*'Operating costs'!$B$20),"n.a."))</f>
        <v>0</v>
      </c>
      <c r="N119" s="16">
        <f>IF(AND(C119=1,D119="EV",E119&lt;120,E119+'Replacement plan'!$AA$35&lt;=120),'Replacement plan'!$Z$35,0)</f>
        <v>0</v>
      </c>
      <c r="O119" s="1">
        <f>E119+'Replacement plan'!$AA$35</f>
        <v>0</v>
      </c>
      <c r="P119" s="35" t="str">
        <f>IFERROR(IF(C119=0,"Excluded",IF(OR(COUNTIFS('Fleet register'!$A$7:$A$106,A119)&lt;&gt;1,COUNTIFS('Replacement plan'!$A$7:$A$106,A119)&lt;&gt;1),"Duplicate/missing ID",IF(NOT(AND(ISNUMBER(VLOOKUP($A119,'Fleet register'!$A$7:$S$106,5,FALSE)),ISNUMBER(VLOOKUP($A119,'Fleet register'!$A$7:$S$106,6,FALSE)),ISNUMBER(VLOOKUP($A119,'Fleet register'!$A$7:$S$106,10,FALSE)),ISNUMBER(VLOOKUP($A119,'Fleet register'!$A$7:$S$106,11,FALSE)),ISNUMBER(VLOOKUP($A119,'Fleet register'!$A$7:$S$106,12,FALSE)),ISNUMBER(VLOOKUP($A119,'Fleet register'!$A$7:$S$106,13,FALSE)),ISNUMBER(VLOOKUP($A119,'Fleet register'!$A$7:$S$106,14,FALSE)),VLOOKUP($A119,'Fleet register'!$A$7:$S$106,14,FALSE)&gt;0,ISNUMBER('Replacement plan'!$C$35),OR(E119=120,ISNUMBER('Replacement plan'!$N$35)),ISNUMBER(E119))),"Missing vehicle input",IF(OR(E119&lt;0,E119&gt;VLOOKUP($A119,'Fleet register'!$A$7:$S$106,10,FALSE),E119&gt;120,E119&lt;&gt;INT(E119),VLOOKUP($A119,'Fleet register'!$A$7:$S$106,6,FALSE)&lt;=0,VLOOKUP($A119,'Fleet register'!$A$7:$S$106,6,FALSE)&gt;366,VLOOKUP($A119,'Fleet register'!$A$7:$S$106,5,FALSE)&lt;0,VLOOKUP($A119,'Fleet register'!$A$7:$S$106,11,FALSE)&lt;0,I119&lt;0,'Operating costs'!$B$8&lt;='Operating costs'!$B$7*'Operating costs'!$B$9,'Operating costs'!$B$11&lt;=0,'Operating costs'!$B$39&gt;R119,'Operating costs'!$B$40&gt;R119,'Operating costs'!$B$41&gt;R119,NOT(OR("Keep ICE"="Keep ICE","Keep ICE"="New ICE","Keep ICE"="EV"))),"Invalid vehicle input",IF(AND(D119="EV",E119&lt;120,OR(NOT(ISNUMBER(U119)),NOT(ISNUMBER(V119)),V119&lt;=0,T119&lt;0,T119&gt;1,'Replacement plan'!$L$35&lt;=0,'Operating costs'!$B$44&lt;0,'Operating costs'!$B$44&gt;=1,'Operating costs'!$B$47&lt;=0,'Operating costs'!$B$47&gt;1,V119*'Operating costs'!$B$47/(1-'Operating costs'!$B$44)&lt;=T119*'Operating costs'!$B$12*U119,AND('Replacement plan'!$Z$35&gt;0,OR('Replacement plan'!$AB$35&lt;&gt;"Yes",'Operating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charging'!$B$8&gt;=0))),ISNUMBER(VLOOKUP($A119,'Fleet register'!$A$7:$S$106,15,FALSE)),ISNUMBER(VLOOKUP($A119,'Fleet register'!$A$7:$S$106,16,FALSE)),ISNUMBER('Replacement plan'!$W$35),ISNUMBER('Replacement plan'!$X$35),OR(E119=120,AND(ISNUMBER(G119),G119&gt;=0)),ISNUMBER(H119),H119&gt;=0,OR(D119&lt;&gt;"EV",E119=120,AND(ISNUMBER('Operating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average",ISNUMBER(IFERROR(INDEX(Products!$P$7:$P$13,MATCH(AD119,Products!$A$7:$A$13,0)),"")))),ISNUMBER('Operating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plan'!$Y$35),ISNUMBER('Replacement plan'!$Z$35),'Replacement plan'!$Z$35&gt;=0,ISNUMBER('Replacement plan'!$AA$35),'Replacement plan'!$AA$35&gt;=0,'Replacement plan'!$AA$35=INT('Replacement plan'!$AA$35),ISNUMBER('Replacement plan'!$L$35))),'Operating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plan'!$AG$35="",'Operating costs'!$B$7,'Replacement plan'!$AG$35)),IF('Replacement plan'!$AG$35="",'Operating costs'!$B$7,'Replacement plan'!$AG$35)&gt;=0,ISNUMBER(IF('Replacement plan'!$AH$35="",'Operating costs'!$B$7,'Replacement plan'!$AH$35)),IF('Replacement plan'!$AH$35="",'Operating costs'!$B$7,'Replacement plan'!$AH$35)&gt;=0,'Operating costs'!$B$8&gt;MAX(IF('Replacement plan'!$AG$35="",'Operating costs'!$B$7,'Replacement plan'!$AG$35),IF('Replacement plan'!$AH$35="",'Operating costs'!$B$7,'Replacement plan'!$AH$35))*'Operating costs'!$B$9),IF(AND(VLOOKUP($A119,'Fleet register'!$A$7:$S$106,10,FALSE)&gt;=0,VLOOKUP($A119,'Fleet register'!$A$7:$S$106,10,FALSE)&lt;=120,VLOOKUP($A119,'Fleet register'!$A$7:$S$106,10,FALSE)=INT(VLOOKUP($A119,'Fleet register'!$A$7:$S$106,10,FALSE)),VLOOKUP($A119,'Fleet register'!$A$7:$S$106,15,FALSE)&gt;=0,VLOOKUP($A119,'Fleet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costs'!$B$67)&gt;=0,OR(D119&lt;&gt;"EV",E119=120,AND(MIN('Operating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19" s="1" t="str">
        <f>IF(C119=0,"Excluded",IF(P119&lt;&gt;"Complete",P119,IF(OR('Replacement plan'!$AD$35&lt;120-E119,AND(D119="EV",E119&lt;120,OR('Replacement plan'!$AC$35&lt;120-E119,'Replacement plan'!$I$35="No",AND(ISNUMBER(AF119),AE119&gt;AF119),AI119&gt;V119*(1-'Operating costs'!$B$46)^MAX(0,AB119-1)*(1-'Operating costs'!$B$45),AC119&gt;'Operating costs'!$B$18,AND(T119&lt;1,OR(AG119&lt;=0,AND(ISNUMBER(AH119),AG119&gt;AH119))),'Replacement plan'!$L$35&gt;INDEX(Products!$H$7:$H$13,MATCH('Replacement plan'!$B$35,Products!$A$7:$A$13,0))))),"Fails entered limits",IF(AND(D119="EV",E119&lt;120,OR(NOT(ISNUMBER(VLOOKUP($A119,'Fleet register'!$A$7:$S$106,7,FALSE))),NOT(ISNUMBER(VLOOKUP($A119,'Fleet register'!$A$7:$S$106,8,FALSE))),NOT(ISNUMBER(AF119)),'Replacement plan'!$I$35&lt;&gt;"Yes",NOT(ISNUMBER(AH119)),'Operating costs'!$B$59&lt;&gt;"Yes",'Operating costs'!$B$58&lt;&gt;"Yes")),"Unverified","Within entered limits"))))</f>
        <v>Excluded</v>
      </c>
      <c r="R119" s="1">
        <f>IF(C119=0,0,VLOOKUP($A119,'Fleet register'!$A$7:$S$106,6,FALSE))</f>
        <v>0</v>
      </c>
      <c r="S119" s="1">
        <f>IF(C119=0,0,VLOOKUP($A119,'Fleet register'!$A$7:$S$106,5,FALSE))</f>
        <v>0</v>
      </c>
      <c r="T119" s="1">
        <f>IF(D119="EV",'Energy and charging'!$B$12,0)</f>
        <v>0</v>
      </c>
      <c r="U119" s="1">
        <f>IFERROR(IF(C119=0,0,IF(D119="EV",IF('Replacement plan'!$F$35="",INDEX(Products!$E$7:$E$13,MATCH('Replacement plan'!$B$35,Products!$A$7:$A$13,0)),'Replacement plan'!$F$35)/IF('Replacement plan'!$G$35="Battery",1-'Operating costs'!$B$44,1),0)),"n.a.")</f>
        <v>0</v>
      </c>
      <c r="V119" s="1">
        <f>IFERROR(IF(C119=0,0,IF(D119="EV",IF('Replacement plan'!$E$35="",INDEX(Products!$D$7:$D$13,MATCH('Replacement plan'!$B$35,Products!$A$7:$A$13,0)),'Replacement plan'!$E$35),0)),"n.a.")</f>
        <v>0</v>
      </c>
      <c r="W119" s="1">
        <f>IF(C119=0,0,IF(AND(P119="Complete",D119="EV",E119&lt;120),IF(T119=0,0,ROUNDUP(T119*(R119-'Operating costs'!$B$41)*(S119*U119+'Operating costs'!$B$48/(1-'Operating costs'!$B$44))/(V119*'Operating costs'!$B$47/(1-'Operating costs'!$B$44)-T119*'Operating costs'!$B$12*U119),0)),0))</f>
        <v>0</v>
      </c>
      <c r="X119" s="1">
        <f>IF(C119=0,0,IF(AND(P119="Complete",D119="EV",E119&lt;120),(R119-'Operating costs'!$B$41)*(S119*U119+'Operating costs'!$B$48/(1-'Operating costs'!$B$44))+W119*'Operating costs'!$B$12*U119,0))</f>
        <v>0</v>
      </c>
      <c r="Y119" s="1">
        <f>IF(AND(C119=1,D119="EV",E119&lt;120),AI119/(1-'Operating costs'!$B$44)*(1-T119),0)</f>
        <v>0</v>
      </c>
      <c r="Z119" s="1">
        <f t="shared" si="2"/>
        <v>0</v>
      </c>
      <c r="AA119" s="1">
        <f>IF(C119=0,0,IF(P119="Complete",((S119*(R119-'Operating costs'!$B$40))+ROUNDUP(S119*(R119-'Operating costs'!$B$40)*IF('Replacement plan'!$AH$35="",'Operating costs'!$B$7,'Replacement plan'!$AH$35)/('Operating costs'!$B$8-'Operating costs'!$B$9*IF('Replacement plan'!$AH$35="",'Operating costs'!$B$7,'Replacement plan'!$AH$35)),0)*'Operating costs'!$B$9)*IF('Replacement plan'!$AH$35="",'Operating costs'!$B$7,'Replacement plan'!$AH$35),"n.a."))</f>
        <v>0</v>
      </c>
      <c r="AB119" s="1">
        <f t="shared" si="3"/>
        <v>0</v>
      </c>
      <c r="AC119" s="1">
        <f>IF(AND(C119=1,D119="EV",E119&lt;120,T119&gt;0),'Operating costs'!$B$12/'Operating costs'!$B$11*60+'Operating costs'!$B$13+'Operating costs'!$B$14+V119*'Operating costs'!$B$47/(1-'Operating costs'!$B$44)/'Replacement plan'!$L$35*60,0)</f>
        <v>0</v>
      </c>
      <c r="AD119" s="1" t="str">
        <f>'Replacement plan'!$B$35</f>
        <v>ChengLong L2EV</v>
      </c>
      <c r="AE119" s="1">
        <f>IF(C119=0,0,VLOOKUP($A119,'Fleet register'!$A$7:$S$106,8,FALSE))</f>
        <v>0</v>
      </c>
      <c r="AF119" s="1" t="str">
        <f>IF('Replacement plan'!$H$35="","n.a.",'Replacement plan'!$H$35)</f>
        <v>n.a.</v>
      </c>
      <c r="AG119" s="1">
        <f>'Replacement plan'!$J$35</f>
        <v>22</v>
      </c>
      <c r="AH119" s="1">
        <f>IFERROR(IF(D119="EV",IF('Replacement plan'!$K$35="AC",IF(ISNUMBER(INDEX(Products!$G$7:$G$13,MATCH('Replacement plan'!$B$35,Products!$A$7:$A$13,0))),INDEX(Products!$G$7:$G$13,MATCH('Replacement plan'!$B$35,Products!$A$7:$A$13,0)),"n.a."),IF(ISNUMBER(INDEX(Products!$H$7:$H$13,MATCH('Replacement plan'!$B$35,Products!$A$7:$A$13,0))),INDEX(Products!$H$7:$H$13,MATCH('Replacement plan'!$B$35,Products!$A$7:$A$13,0)),"n.a.")),0),"n.a.")</f>
        <v>0</v>
      </c>
      <c r="AI119" s="1">
        <f>IF(AND(C119=1,D119="EV",E119&lt;120),(VLOOKUP($A119,'Fleet register'!$A$7:$S$106,7,FALSE)+IF(T119&gt;0,'Operating costs'!$B$12,0))*U119*(1-'Operating costs'!$B$44)+'Operating costs'!$B$49,0)</f>
        <v>0</v>
      </c>
      <c r="AJ119" s="1">
        <f>IF(D119="EV",'Energy and charging'!$B$50,0)</f>
        <v>0</v>
      </c>
      <c r="AK119" s="17">
        <f>EDATE('Operating costs'!$B$63,E119)</f>
        <v>46298</v>
      </c>
      <c r="AL119" s="1">
        <f>IFERROR(IF(D119="EV",INDEX(Products!$B$7:$B$13,MATCH('Replacement plan'!$B$35,Products!$A$7:$A$13,0)),0),"n.a.")</f>
        <v>0</v>
      </c>
      <c r="AM119" s="1" t="str">
        <f>'Replacement plan'!$K$35</f>
        <v>DC</v>
      </c>
      <c r="AN119" s="1" t="str">
        <f>'Replacement plan'!$AE$35</f>
        <v>Assumed</v>
      </c>
      <c r="AO119" s="47">
        <f>IF(AND(C119=1,D119="EV",E119&lt;120),(R119-'Operating costs'!$B$41)*S119+W119*'Operating costs'!$B$12,0)</f>
        <v>0</v>
      </c>
      <c r="AP119" s="41">
        <f>IF(AND(C119=1,D119="EV",E119&lt;120),IF('Operating costs'!$B$68="Hong Seh 200k average",AO119*IFERROR(INDEX(Products!$P$7:$P$13,MATCH(AD119,Products!$A$7:$A$13,0)),"n.a."),'Operating costs'!$B$26),0)</f>
        <v>0</v>
      </c>
      <c r="AQ119" s="40" t="str">
        <f>IF(D119="EV",'Operating costs'!$B$68,"Not applicable")</f>
        <v>Not applicable</v>
      </c>
    </row>
    <row r="120" spans="1:43" ht="24" customHeight="1">
      <c r="A120" s="1" t="str">
        <f>'Replacement plan'!A35</f>
        <v>T029</v>
      </c>
      <c r="B120" s="1">
        <v>1</v>
      </c>
      <c r="C120" s="1">
        <f>IF(COUNTIFS('Fleet register'!$A$7:$A$106,$A120)=1,VLOOKUP($A120,'Fleet register'!$A$7:$S$106,2,FALSE),0)</f>
        <v>0</v>
      </c>
      <c r="D120" s="1" t="str">
        <f>IF("New ICE"="EV","EV","ICE")</f>
        <v>ICE</v>
      </c>
      <c r="E120" s="1">
        <f>IF(C120=0,0,0)</f>
        <v>0</v>
      </c>
      <c r="F120" s="16">
        <f>IF(C120=0,0,VLOOKUP($A120,'Fleet register'!$A$7:$S$106,11,FALSE))</f>
        <v>0</v>
      </c>
      <c r="G120" s="16">
        <f>IFERROR(IF(C120=0,0,IF(E120=120,0,IF(D120="ICE",'Replacement plan'!$C$35,IF('Replacement plan'!$D$35="",INDEX(Products!$I$7:$I$13,MATCH('Replacement plan'!$B$35,Products!$A$7:$A$13,0))+'Operating costs'!$B$57,'Replacement plan'!$D$35))*(1+'Operating costs'!$B$50)^(E120/12))),"n.a.")</f>
        <v>0</v>
      </c>
      <c r="H120" s="16">
        <f>IFERROR(IF(C120=0,0,IF(E120=0,F120,VLOOKUP($A120,'Fleet register'!$A$7:$S$106,12,FALSE)+VLOOKUP($A120,'Fleet register'!$A$7:$S$106,13,FALSE)*MAX(0,VLOOKUP($A120,'Fleet register'!$A$7:$S$106,10,FALSE)-E120)/VLOOKUP($A120,'Fleet register'!$A$7:$S$106,14,FALSE))),"n.a.")</f>
        <v>0</v>
      </c>
      <c r="I120" s="16">
        <f>IF(C120=0,0,IF(E120=120,0,IF('Replacement plan'!$AI$35="",'Operating costs'!$B$56,'Replacement plan'!$AI$35)))</f>
        <v>0</v>
      </c>
      <c r="J120" s="16">
        <f>IF(C120=0,0,IF(P120="Complete",((S120*(R120-'Operating costs'!$B$39))+ROUNDUP(S120*(R120-'Operating costs'!$B$39)*IF('Replacement plan'!$AG$35="",'Operating costs'!$B$7,'Replacement plan'!$AG$35)/('Operating costs'!$B$8-'Operating costs'!$B$9*IF('Replacement plan'!$AG$35="",'Operating costs'!$B$7,'Replacement plan'!$AG$35)),0)*'Operating costs'!$B$9)*IF('Replacement plan'!$AG$35="",'Operating costs'!$B$7,'Replacement plan'!$AG$35)*('Energy and charging'!$B$9*'Energy and charging'!$B$7+(1-'Energy and charging'!$B$9)*'Energy and charging'!$B$8)*'Operating costs'!$B$23,"n.a."))</f>
        <v>0</v>
      </c>
      <c r="K120" s="16">
        <f>IF(C120=0,0,IF(P120="Complete",SUM('Operating costs'!$B$24,'Operating costs'!$B$27,'Operating costs'!$B$29,'Operating costs'!$B$31,'Operating costs'!$B$33,'Operating costs'!$B$34,'Operating costs'!$B$37,'Replacement plan'!$W$35)+'Operating costs'!$B$39*'Operating costs'!$B$42+ROUNDUP(S120*(R120-'Operating costs'!$B$39)*IF('Replacement plan'!$AG$35="",'Operating costs'!$B$7,'Replacement plan'!$AG$35)/('Operating costs'!$B$8-'Operating costs'!$B$9*IF('Replacement plan'!$AG$35="",'Operating costs'!$B$7,'Replacement plan'!$AG$35)),0)*('Operating costs'!$B$9/'Operating costs'!$B$11+'Operating costs'!$B$10/60)*'Operating costs'!$B$19*'Operating costs'!$B$21,"n.a."))</f>
        <v>0</v>
      </c>
      <c r="L120" s="16">
        <f>IF(C120=0,0,IF(P120="Complete",IF(D120="EV",X120*((1-T120)*'Energy and charging'!$B$10+T120*'Energy and charging'!$B$11)*'Operating costs'!$B$22,AA120*('Energy and charging'!$B$9*'Energy and charging'!$B$7+(1-'Energy and charging'!$B$9)*'Energy and charging'!$B$8)*'Operating costs'!$B$23),"n.a."))</f>
        <v>0</v>
      </c>
      <c r="M120" s="37">
        <f>IF(C120=0,0,IF(P120="Complete",IF(D120="ICE",SUM('Operating costs'!$B$25,'Operating costs'!$B$27,'Operating costs'!$B$29,'Operating costs'!$B$31,'Operating costs'!$B$33,'Operating costs'!$B$35,'Operating costs'!$B$37,'Replacement plan'!$X$35)+'Operating costs'!$B$40*'Operating costs'!$B$42+ROUNDUP(S120*(R120-'Operating costs'!$B$40)*IF('Replacement plan'!$AH$35="",'Operating costs'!$B$7,'Replacement plan'!$AH$35)/('Operating costs'!$B$8-'Operating costs'!$B$9*IF('Replacement plan'!$AH$35="",'Operating costs'!$B$7,'Replacement plan'!$AH$35)),0)*('Operating costs'!$B$9/'Operating costs'!$B$11+'Operating costs'!$B$10/60)*'Operating costs'!$B$19*'Operating costs'!$B$21,SUM(AP120,'Operating costs'!$B$28,'Operating costs'!$B$30,'Operating costs'!$B$32,'Operating costs'!$B$33,'Operating costs'!$B$36,'Operating costs'!$B$38,'Replacement plan'!$Y$35)+'Operating costs'!$B$41*'Operating costs'!$B$43+W120*'Operating costs'!$B$15+(T120*X120/'Replacement plan'!$L$35+W120*('Operating costs'!$B$12/'Operating costs'!$B$11+('Operating costs'!$B$13+'Operating costs'!$B$14)/60)+(R120-'Operating costs'!$B$41)*(IF(T120&lt;1,'Operating costs'!$B$16,0)+'Operating costs'!$B$17)/60)*'Operating costs'!$B$19*'Operating costs'!$B$20),"n.a."))</f>
        <v>0</v>
      </c>
      <c r="N120" s="16">
        <f>IF(AND(C120=1,D120="EV",E120&lt;120,E120+'Replacement plan'!$AA$35&lt;=120),'Replacement plan'!$Z$35,0)</f>
        <v>0</v>
      </c>
      <c r="O120" s="1">
        <f>E120+'Replacement plan'!$AA$35</f>
        <v>0</v>
      </c>
      <c r="P120" s="35" t="str">
        <f>IFERROR(IF(C120=0,"Excluded",IF(OR(COUNTIFS('Fleet register'!$A$7:$A$106,A120)&lt;&gt;1,COUNTIFS('Replacement plan'!$A$7:$A$106,A120)&lt;&gt;1),"Duplicate/missing ID",IF(NOT(AND(ISNUMBER(VLOOKUP($A120,'Fleet register'!$A$7:$S$106,5,FALSE)),ISNUMBER(VLOOKUP($A120,'Fleet register'!$A$7:$S$106,6,FALSE)),ISNUMBER(VLOOKUP($A120,'Fleet register'!$A$7:$S$106,10,FALSE)),ISNUMBER(VLOOKUP($A120,'Fleet register'!$A$7:$S$106,11,FALSE)),ISNUMBER(VLOOKUP($A120,'Fleet register'!$A$7:$S$106,12,FALSE)),ISNUMBER(VLOOKUP($A120,'Fleet register'!$A$7:$S$106,13,FALSE)),ISNUMBER(VLOOKUP($A120,'Fleet register'!$A$7:$S$106,14,FALSE)),VLOOKUP($A120,'Fleet register'!$A$7:$S$106,14,FALSE)&gt;0,ISNUMBER('Replacement plan'!$C$35),OR(E120=120,OR(ISNUMBER('Replacement plan'!$AI$35),AND('Replacement plan'!$AI$35="",ISNUMBER('Operating costs'!$B$56)))),ISNUMBER(E120))),"Missing vehicle input",IF(OR(E120&lt;0,E120&gt;VLOOKUP($A120,'Fleet register'!$A$7:$S$106,10,FALSE),E120&gt;120,E120&lt;&gt;INT(E120),VLOOKUP($A120,'Fleet register'!$A$7:$S$106,6,FALSE)&lt;=0,VLOOKUP($A120,'Fleet register'!$A$7:$S$106,6,FALSE)&gt;366,VLOOKUP($A120,'Fleet register'!$A$7:$S$106,5,FALSE)&lt;0,VLOOKUP($A120,'Fleet register'!$A$7:$S$106,11,FALSE)&lt;0,I120&lt;0,'Operating costs'!$B$8&lt;='Operating costs'!$B$7*'Operating costs'!$B$9,'Operating costs'!$B$11&lt;=0,'Operating costs'!$B$39&gt;R120,'Operating costs'!$B$40&gt;R120,'Operating costs'!$B$41&gt;R120,NOT(OR("New ICE"="Keep ICE","New ICE"="New ICE","New ICE"="EV"))),"Invalid vehicle input",IF(AND(D120="EV",E120&lt;120,OR(NOT(ISNUMBER(U120)),NOT(ISNUMBER(V120)),V120&lt;=0,T120&lt;0,T120&gt;1,'Replacement plan'!$L$35&lt;=0,'Operating costs'!$B$44&lt;0,'Operating costs'!$B$44&gt;=1,'Operating costs'!$B$47&lt;=0,'Operating costs'!$B$47&gt;1,V120*'Operating costs'!$B$47/(1-'Operating costs'!$B$44)&lt;=T120*'Operating costs'!$B$12*U120,AND('Replacement plan'!$Z$35&gt;0,OR('Replacement plan'!$AB$35&lt;&gt;"Yes",'Operating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charging'!$B$8&gt;=0))),ISNUMBER(VLOOKUP($A120,'Fleet register'!$A$7:$S$106,15,FALSE)),ISNUMBER(VLOOKUP($A120,'Fleet register'!$A$7:$S$106,16,FALSE)),ISNUMBER('Replacement plan'!$W$35),ISNUMBER('Replacement plan'!$X$35),OR(E120=120,AND(ISNUMBER(G120),G120&gt;=0)),ISNUMBER(H120),H120&gt;=0,OR(D120&lt;&gt;"EV",E120=120,AND(ISNUMBER('Operating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average",ISNUMBER(IFERROR(INDEX(Products!$P$7:$P$13,MATCH(AD120,Products!$A$7:$A$13,0)),"")))),ISNUMBER('Operating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plan'!$Y$35),ISNUMBER('Replacement plan'!$Z$35),'Replacement plan'!$Z$35&gt;=0,ISNUMBER('Replacement plan'!$AA$35),'Replacement plan'!$AA$35&gt;=0,'Replacement plan'!$AA$35=INT('Replacement plan'!$AA$35),ISNUMBER('Replacement plan'!$L$35))),'Operating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plan'!$AG$35="",'Operating costs'!$B$7,'Replacement plan'!$AG$35)),IF('Replacement plan'!$AG$35="",'Operating costs'!$B$7,'Replacement plan'!$AG$35)&gt;=0,ISNUMBER(IF('Replacement plan'!$AH$35="",'Operating costs'!$B$7,'Replacement plan'!$AH$35)),IF('Replacement plan'!$AH$35="",'Operating costs'!$B$7,'Replacement plan'!$AH$35)&gt;=0,'Operating costs'!$B$8&gt;MAX(IF('Replacement plan'!$AG$35="",'Operating costs'!$B$7,'Replacement plan'!$AG$35),IF('Replacement plan'!$AH$35="",'Operating costs'!$B$7,'Replacement plan'!$AH$35))*'Operating costs'!$B$9),IF(AND(VLOOKUP($A120,'Fleet register'!$A$7:$S$106,10,FALSE)&gt;=0,VLOOKUP($A120,'Fleet register'!$A$7:$S$106,10,FALSE)&lt;=120,VLOOKUP($A120,'Fleet register'!$A$7:$S$106,10,FALSE)=INT(VLOOKUP($A120,'Fleet register'!$A$7:$S$106,10,FALSE)),VLOOKUP($A120,'Fleet register'!$A$7:$S$106,15,FALSE)&gt;=0,VLOOKUP($A120,'Fleet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costs'!$B$67)&gt;=0,OR(D120&lt;&gt;"EV",E120=120,AND(MIN('Operating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20" s="1" t="str">
        <f>IF(C120=0,"Excluded",IF(P120&lt;&gt;"Complete",P120,IF(OR('Replacement plan'!$AD$35&lt;120-E120,AND(D120="EV",E120&lt;120,OR('Replacement plan'!$AC$35&lt;120-E120,'Replacement plan'!$I$35="No",AND(ISNUMBER(AF120),AE120&gt;AF120),AI120&gt;V120*(1-'Operating costs'!$B$46)^MAX(0,AB120-1)*(1-'Operating costs'!$B$45),AC120&gt;'Operating costs'!$B$18,AND(T120&lt;1,OR(AG120&lt;=0,AND(ISNUMBER(AH120),AG120&gt;AH120))),'Replacement plan'!$L$35&gt;INDEX(Products!$H$7:$H$13,MATCH('Replacement plan'!$B$35,Products!$A$7:$A$13,0))))),"Fails entered limits",IF(AND(D120="EV",E120&lt;120,OR(NOT(ISNUMBER(VLOOKUP($A120,'Fleet register'!$A$7:$S$106,7,FALSE))),NOT(ISNUMBER(VLOOKUP($A120,'Fleet register'!$A$7:$S$106,8,FALSE))),NOT(ISNUMBER(AF120)),'Replacement plan'!$I$35&lt;&gt;"Yes",NOT(ISNUMBER(AH120)),'Operating costs'!$B$59&lt;&gt;"Yes",'Operating costs'!$B$58&lt;&gt;"Yes")),"Unverified","Within entered limits"))))</f>
        <v>Excluded</v>
      </c>
      <c r="R120" s="1">
        <f>IF(C120=0,0,VLOOKUP($A120,'Fleet register'!$A$7:$S$106,6,FALSE))</f>
        <v>0</v>
      </c>
      <c r="S120" s="1">
        <f>IF(C120=0,0,VLOOKUP($A120,'Fleet register'!$A$7:$S$106,5,FALSE))</f>
        <v>0</v>
      </c>
      <c r="T120" s="1">
        <f>IF(D120="EV",'Energy and charging'!$B$12,0)</f>
        <v>0</v>
      </c>
      <c r="U120" s="1">
        <f>IFERROR(IF(C120=0,0,IF(D120="EV",IF('Replacement plan'!$F$35="",INDEX(Products!$E$7:$E$13,MATCH('Replacement plan'!$B$35,Products!$A$7:$A$13,0)),'Replacement plan'!$F$35)/IF('Replacement plan'!$G$35="Battery",1-'Operating costs'!$B$44,1),0)),"n.a.")</f>
        <v>0</v>
      </c>
      <c r="V120" s="1">
        <f>IFERROR(IF(C120=0,0,IF(D120="EV",IF('Replacement plan'!$E$35="",INDEX(Products!$D$7:$D$13,MATCH('Replacement plan'!$B$35,Products!$A$7:$A$13,0)),'Replacement plan'!$E$35),0)),"n.a.")</f>
        <v>0</v>
      </c>
      <c r="W120" s="1">
        <f>IF(C120=0,0,IF(AND(P120="Complete",D120="EV",E120&lt;120),IF(T120=0,0,ROUNDUP(T120*(R120-'Operating costs'!$B$41)*(S120*U120+'Operating costs'!$B$48/(1-'Operating costs'!$B$44))/(V120*'Operating costs'!$B$47/(1-'Operating costs'!$B$44)-T120*'Operating costs'!$B$12*U120),0)),0))</f>
        <v>0</v>
      </c>
      <c r="X120" s="1">
        <f>IF(C120=0,0,IF(AND(P120="Complete",D120="EV",E120&lt;120),(R120-'Operating costs'!$B$41)*(S120*U120+'Operating costs'!$B$48/(1-'Operating costs'!$B$44))+W120*'Operating costs'!$B$12*U120,0))</f>
        <v>0</v>
      </c>
      <c r="Y120" s="1">
        <f>IF(AND(C120=1,D120="EV",E120&lt;120),AI120/(1-'Operating costs'!$B$44)*(1-T120),0)</f>
        <v>0</v>
      </c>
      <c r="Z120" s="1">
        <f t="shared" si="2"/>
        <v>0</v>
      </c>
      <c r="AA120" s="1">
        <f>IF(C120=0,0,IF(P120="Complete",((S120*(R120-'Operating costs'!$B$40))+ROUNDUP(S120*(R120-'Operating costs'!$B$40)*IF('Replacement plan'!$AH$35="",'Operating costs'!$B$7,'Replacement plan'!$AH$35)/('Operating costs'!$B$8-'Operating costs'!$B$9*IF('Replacement plan'!$AH$35="",'Operating costs'!$B$7,'Replacement plan'!$AH$35)),0)*'Operating costs'!$B$9)*IF('Replacement plan'!$AH$35="",'Operating costs'!$B$7,'Replacement plan'!$AH$35),"n.a."))</f>
        <v>0</v>
      </c>
      <c r="AB120" s="1">
        <f t="shared" si="3"/>
        <v>0</v>
      </c>
      <c r="AC120" s="1">
        <f>IF(AND(C120=1,D120="EV",E120&lt;120,T120&gt;0),'Operating costs'!$B$12/'Operating costs'!$B$11*60+'Operating costs'!$B$13+'Operating costs'!$B$14+V120*'Operating costs'!$B$47/(1-'Operating costs'!$B$44)/'Replacement plan'!$L$35*60,0)</f>
        <v>0</v>
      </c>
      <c r="AD120" s="1" t="str">
        <f>'Replacement plan'!$B$35</f>
        <v>ChengLong L2EV</v>
      </c>
      <c r="AE120" s="1">
        <f>IF(C120=0,0,VLOOKUP($A120,'Fleet register'!$A$7:$S$106,8,FALSE))</f>
        <v>0</v>
      </c>
      <c r="AF120" s="1" t="str">
        <f>IF('Replacement plan'!$H$35="","n.a.",'Replacement plan'!$H$35)</f>
        <v>n.a.</v>
      </c>
      <c r="AG120" s="1">
        <f>'Replacement plan'!$J$35</f>
        <v>22</v>
      </c>
      <c r="AH120" s="1">
        <f>IFERROR(IF(D120="EV",IF('Replacement plan'!$K$35="AC",IF(ISNUMBER(INDEX(Products!$G$7:$G$13,MATCH('Replacement plan'!$B$35,Products!$A$7:$A$13,0))),INDEX(Products!$G$7:$G$13,MATCH('Replacement plan'!$B$35,Products!$A$7:$A$13,0)),"n.a."),IF(ISNUMBER(INDEX(Products!$H$7:$H$13,MATCH('Replacement plan'!$B$35,Products!$A$7:$A$13,0))),INDEX(Products!$H$7:$H$13,MATCH('Replacement plan'!$B$35,Products!$A$7:$A$13,0)),"n.a.")),0),"n.a.")</f>
        <v>0</v>
      </c>
      <c r="AI120" s="1">
        <f>IF(AND(C120=1,D120="EV",E120&lt;120),(VLOOKUP($A120,'Fleet register'!$A$7:$S$106,7,FALSE)+IF(T120&gt;0,'Operating costs'!$B$12,0))*U120*(1-'Operating costs'!$B$44)+'Operating costs'!$B$49,0)</f>
        <v>0</v>
      </c>
      <c r="AJ120" s="1">
        <f>IF(D120="EV",'Energy and charging'!$B$50,0)</f>
        <v>0</v>
      </c>
      <c r="AK120" s="17">
        <f>EDATE('Operating costs'!$B$63,E120)</f>
        <v>46298</v>
      </c>
      <c r="AL120" s="1">
        <f>IFERROR(IF(D120="EV",INDEX(Products!$B$7:$B$13,MATCH('Replacement plan'!$B$35,Products!$A$7:$A$13,0)),0),"n.a.")</f>
        <v>0</v>
      </c>
      <c r="AM120" s="1" t="str">
        <f>'Replacement plan'!$K$35</f>
        <v>DC</v>
      </c>
      <c r="AN120" s="1" t="str">
        <f>'Replacement plan'!$AE$35</f>
        <v>Assumed</v>
      </c>
      <c r="AO120" s="47">
        <f>IF(AND(C120=1,D120="EV",E120&lt;120),(R120-'Operating costs'!$B$41)*S120+W120*'Operating costs'!$B$12,0)</f>
        <v>0</v>
      </c>
      <c r="AP120" s="41">
        <f>IF(AND(C120=1,D120="EV",E120&lt;120),IF('Operating costs'!$B$68="Hong Seh 200k average",AO120*IFERROR(INDEX(Products!$P$7:$P$13,MATCH(AD120,Products!$A$7:$A$13,0)),"n.a."),'Operating costs'!$B$26),0)</f>
        <v>0</v>
      </c>
      <c r="AQ120" s="40" t="str">
        <f>IF(D120="EV",'Operating costs'!$B$68,"Not applicable")</f>
        <v>Not applicable</v>
      </c>
    </row>
    <row r="121" spans="1:43" ht="24" customHeight="1">
      <c r="A121" s="1" t="str">
        <f>'Replacement plan'!A35</f>
        <v>T029</v>
      </c>
      <c r="B121" s="1">
        <v>2</v>
      </c>
      <c r="C121" s="1">
        <f>IF(COUNTIFS('Fleet register'!$A$7:$A$106,$A121)=1,VLOOKUP($A121,'Fleet register'!$A$7:$S$106,2,FALSE),0)</f>
        <v>0</v>
      </c>
      <c r="D121" s="1" t="str">
        <f>IF('Replacement plan'!$O$35="EV","EV","ICE")</f>
        <v>ICE</v>
      </c>
      <c r="E121" s="1">
        <f>IF(C121=0,0,IF('Replacement plan'!$P$35="",IF('Replacement plan'!$O$35="Keep ICE",IF('Replacement plan'!$M$35="",VLOOKUP($A121,'Fleet register'!$A$7:$S$106,10,FALSE),'Replacement plan'!$M$35),0),'Replacement plan'!$P$35))</f>
        <v>0</v>
      </c>
      <c r="F121" s="16">
        <f>IF(C121=0,0,VLOOKUP($A121,'Fleet register'!$A$7:$S$106,11,FALSE))</f>
        <v>0</v>
      </c>
      <c r="G121" s="16">
        <f>IFERROR(IF(C121=0,0,IF(E121=120,0,IF(D121="ICE",'Replacement plan'!$C$35,IF('Replacement plan'!$D$35="",INDEX(Products!$I$7:$I$13,MATCH('Replacement plan'!$B$35,Products!$A$7:$A$13,0))+'Operating costs'!$B$57,'Replacement plan'!$D$35))*(1+'Operating costs'!$B$50)^(E121/12))),"n.a.")</f>
        <v>0</v>
      </c>
      <c r="H121" s="16">
        <f>IFERROR(IF(C121=0,0,IF('Replacement plan'!$U$35&lt;&gt;"",'Replacement plan'!$U$35,IF(E121=0,F121,VLOOKUP($A121,'Fleet register'!$A$7:$S$106,12,FALSE)+VLOOKUP($A121,'Fleet register'!$A$7:$S$106,13,FALSE)*MAX(0,VLOOKUP($A121,'Fleet register'!$A$7:$S$106,10,FALSE)-E121)/VLOOKUP($A121,'Fleet register'!$A$7:$S$106,14,FALSE)))),"n.a.")</f>
        <v>0</v>
      </c>
      <c r="I121" s="16">
        <f>IF(C121=0,0,IF(E121=120,0,'Replacement plan'!$Q$35))</f>
        <v>0</v>
      </c>
      <c r="J121" s="16">
        <f>IF(C121=0,0,IF(P121="Complete",((S121*(R121-'Operating costs'!$B$39))+ROUNDUP(S121*(R121-'Operating costs'!$B$39)*IF('Replacement plan'!$AG$35="",'Operating costs'!$B$7,'Replacement plan'!$AG$35)/('Operating costs'!$B$8-'Operating costs'!$B$9*IF('Replacement plan'!$AG$35="",'Operating costs'!$B$7,'Replacement plan'!$AG$35)),0)*'Operating costs'!$B$9)*IF('Replacement plan'!$AG$35="",'Operating costs'!$B$7,'Replacement plan'!$AG$35)*('Energy and charging'!$B$9*'Energy and charging'!$B$7+(1-'Energy and charging'!$B$9)*'Energy and charging'!$B$8)*'Operating costs'!$B$23,"n.a."))</f>
        <v>0</v>
      </c>
      <c r="K121" s="16">
        <f>IF(C121=0,0,IF(P121="Complete",SUM('Operating costs'!$B$24,'Operating costs'!$B$27,'Operating costs'!$B$29,'Operating costs'!$B$31,'Operating costs'!$B$33,'Operating costs'!$B$34,'Operating costs'!$B$37,'Replacement plan'!$W$35)+'Operating costs'!$B$39*'Operating costs'!$B$42+ROUNDUP(S121*(R121-'Operating costs'!$B$39)*IF('Replacement plan'!$AG$35="",'Operating costs'!$B$7,'Replacement plan'!$AG$35)/('Operating costs'!$B$8-'Operating costs'!$B$9*IF('Replacement plan'!$AG$35="",'Operating costs'!$B$7,'Replacement plan'!$AG$35)),0)*('Operating costs'!$B$9/'Operating costs'!$B$11+'Operating costs'!$B$10/60)*'Operating costs'!$B$19*'Operating costs'!$B$21,"n.a."))</f>
        <v>0</v>
      </c>
      <c r="L121" s="16">
        <f>IF(C121=0,0,IF(P121="Complete",IF(D121="EV",X121*((1-T121)*'Energy and charging'!$B$10+T121*'Energy and charging'!$B$11)*'Operating costs'!$B$22,AA121*('Energy and charging'!$B$9*'Energy and charging'!$B$7+(1-'Energy and charging'!$B$9)*'Energy and charging'!$B$8)*'Operating costs'!$B$23),"n.a."))</f>
        <v>0</v>
      </c>
      <c r="M121" s="37">
        <f>IF(C121=0,0,IF(P121="Complete",IF(D121="ICE",SUM('Operating costs'!$B$25,'Operating costs'!$B$27,'Operating costs'!$B$29,'Operating costs'!$B$31,'Operating costs'!$B$33,'Operating costs'!$B$35,'Operating costs'!$B$37,'Replacement plan'!$X$35)+'Operating costs'!$B$40*'Operating costs'!$B$42+ROUNDUP(S121*(R121-'Operating costs'!$B$40)*IF('Replacement plan'!$AH$35="",'Operating costs'!$B$7,'Replacement plan'!$AH$35)/('Operating costs'!$B$8-'Operating costs'!$B$9*IF('Replacement plan'!$AH$35="",'Operating costs'!$B$7,'Replacement plan'!$AH$35)),0)*('Operating costs'!$B$9/'Operating costs'!$B$11+'Operating costs'!$B$10/60)*'Operating costs'!$B$19*'Operating costs'!$B$21,SUM(AP121,'Operating costs'!$B$28,'Operating costs'!$B$30,'Operating costs'!$B$32,'Operating costs'!$B$33,'Operating costs'!$B$36,'Operating costs'!$B$38,'Replacement plan'!$Y$35)+'Operating costs'!$B$41*'Operating costs'!$B$43+W121*'Operating costs'!$B$15+(T121*X121/'Replacement plan'!$L$35+W121*('Operating costs'!$B$12/'Operating costs'!$B$11+('Operating costs'!$B$13+'Operating costs'!$B$14)/60)+(R121-'Operating costs'!$B$41)*(IF(T121&lt;1,'Operating costs'!$B$16,0)+'Operating costs'!$B$17)/60)*'Operating costs'!$B$19*'Operating costs'!$B$20),"n.a."))</f>
        <v>0</v>
      </c>
      <c r="N121" s="16">
        <f>IF(AND(C121=1,D121="EV",E121&lt;120,E121+'Replacement plan'!$AA$35&lt;=120),'Replacement plan'!$Z$35,0)</f>
        <v>0</v>
      </c>
      <c r="O121" s="1">
        <f>E121+'Replacement plan'!$AA$35</f>
        <v>0</v>
      </c>
      <c r="P121" s="35" t="str">
        <f>IFERROR(IF(C121=0,"Excluded",IF(OR(COUNTIFS('Fleet register'!$A$7:$A$106,A121)&lt;&gt;1,COUNTIFS('Replacement plan'!$A$7:$A$106,A121)&lt;&gt;1),"Duplicate/missing ID",IF(NOT(AND(ISNUMBER(VLOOKUP($A121,'Fleet register'!$A$7:$S$106,5,FALSE)),ISNUMBER(VLOOKUP($A121,'Fleet register'!$A$7:$S$106,6,FALSE)),ISNUMBER(VLOOKUP($A121,'Fleet register'!$A$7:$S$106,10,FALSE)),ISNUMBER(VLOOKUP($A121,'Fleet register'!$A$7:$S$106,11,FALSE)),ISNUMBER(VLOOKUP($A121,'Fleet register'!$A$7:$S$106,12,FALSE)),ISNUMBER(VLOOKUP($A121,'Fleet register'!$A$7:$S$106,13,FALSE)),ISNUMBER(VLOOKUP($A121,'Fleet register'!$A$7:$S$106,14,FALSE)),VLOOKUP($A121,'Fleet register'!$A$7:$S$106,14,FALSE)&gt;0,ISNUMBER('Replacement plan'!$C$35),OR(E121=120,ISNUMBER('Replacement plan'!$Q$35)),ISNUMBER(E121))),"Missing vehicle input",IF(OR(E121&lt;0,E121&gt;VLOOKUP($A121,'Fleet register'!$A$7:$S$106,10,FALSE),E121&gt;120,E121&lt;&gt;INT(E121),VLOOKUP($A121,'Fleet register'!$A$7:$S$106,6,FALSE)&lt;=0,VLOOKUP($A121,'Fleet register'!$A$7:$S$106,6,FALSE)&gt;366,VLOOKUP($A121,'Fleet register'!$A$7:$S$106,5,FALSE)&lt;0,VLOOKUP($A121,'Fleet register'!$A$7:$S$106,11,FALSE)&lt;0,I121&lt;0,'Operating costs'!$B$8&lt;='Operating costs'!$B$7*'Operating costs'!$B$9,'Operating costs'!$B$11&lt;=0,'Operating costs'!$B$39&gt;R121,'Operating costs'!$B$40&gt;R121,'Operating costs'!$B$41&gt;R121,NOT(OR('Replacement plan'!$O$35="Keep ICE",'Replacement plan'!$O$35="New ICE",'Replacement plan'!$O$35="EV"))),"Invalid vehicle input",IF(AND(D121="EV",E121&lt;120,OR(NOT(ISNUMBER(U121)),NOT(ISNUMBER(V121)),V121&lt;=0,T121&lt;0,T121&gt;1,'Replacement plan'!$L$35&lt;=0,'Operating costs'!$B$44&lt;0,'Operating costs'!$B$44&gt;=1,'Operating costs'!$B$47&lt;=0,'Operating costs'!$B$47&gt;1,V121*'Operating costs'!$B$47/(1-'Operating costs'!$B$44)&lt;=T121*'Operating costs'!$B$12*U121,AND('Replacement plan'!$Z$35&gt;0,OR('Replacement plan'!$AB$35&lt;&gt;"Yes",'Operating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charging'!$B$8&gt;=0))),ISNUMBER(VLOOKUP($A121,'Fleet register'!$A$7:$S$106,15,FALSE)),ISNUMBER(VLOOKUP($A121,'Fleet register'!$A$7:$S$106,16,FALSE)),ISNUMBER('Replacement plan'!$W$35),ISNUMBER('Replacement plan'!$X$35),OR(E121=120,AND(ISNUMBER(G121),G121&gt;=0)),ISNUMBER(H121),H121&gt;=0,OR(D121&lt;&gt;"EV",E121=120,AND(ISNUMBER('Operating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average",ISNUMBER(IFERROR(INDEX(Products!$P$7:$P$13,MATCH(AD121,Products!$A$7:$A$13,0)),"")))),ISNUMBER('Operating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plan'!$Y$35),ISNUMBER('Replacement plan'!$Z$35),'Replacement plan'!$Z$35&gt;=0,ISNUMBER('Replacement plan'!$AA$35),'Replacement plan'!$AA$35&gt;=0,'Replacement plan'!$AA$35=INT('Replacement plan'!$AA$35),ISNUMBER('Replacement plan'!$L$35))),'Operating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plan'!$AG$35="",'Operating costs'!$B$7,'Replacement plan'!$AG$35)),IF('Replacement plan'!$AG$35="",'Operating costs'!$B$7,'Replacement plan'!$AG$35)&gt;=0,ISNUMBER(IF('Replacement plan'!$AH$35="",'Operating costs'!$B$7,'Replacement plan'!$AH$35)),IF('Replacement plan'!$AH$35="",'Operating costs'!$B$7,'Replacement plan'!$AH$35)&gt;=0,'Operating costs'!$B$8&gt;MAX(IF('Replacement plan'!$AG$35="",'Operating costs'!$B$7,'Replacement plan'!$AG$35),IF('Replacement plan'!$AH$35="",'Operating costs'!$B$7,'Replacement plan'!$AH$35))*'Operating costs'!$B$9),IF(AND(VLOOKUP($A121,'Fleet register'!$A$7:$S$106,10,FALSE)&gt;=0,VLOOKUP($A121,'Fleet register'!$A$7:$S$106,10,FALSE)&lt;=120,VLOOKUP($A121,'Fleet register'!$A$7:$S$106,10,FALSE)=INT(VLOOKUP($A121,'Fleet register'!$A$7:$S$106,10,FALSE)),VLOOKUP($A121,'Fleet register'!$A$7:$S$106,15,FALSE)&gt;=0,VLOOKUP($A121,'Fleet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costs'!$B$67)&gt;=0,OR(D121&lt;&gt;"EV",E121=120,AND(MIN('Operating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21" s="1" t="str">
        <f>IF(C121=0,"Excluded",IF(P121&lt;&gt;"Complete",P121,IF(OR('Replacement plan'!$AD$35&lt;120-E121,AND(D121="EV",E121&lt;120,OR('Replacement plan'!$AC$35&lt;120-E121,'Replacement plan'!$I$35="No",AND(ISNUMBER(AF121),AE121&gt;AF121),AI121&gt;V121*(1-'Operating costs'!$B$46)^MAX(0,AB121-1)*(1-'Operating costs'!$B$45),AC121&gt;'Operating costs'!$B$18,AND(T121&lt;1,OR(AG121&lt;=0,AND(ISNUMBER(AH121),AG121&gt;AH121))),'Replacement plan'!$L$35&gt;INDEX(Products!$H$7:$H$13,MATCH('Replacement plan'!$B$35,Products!$A$7:$A$13,0))))),"Fails entered limits",IF(AND(D121="EV",E121&lt;120,OR(NOT(ISNUMBER(VLOOKUP($A121,'Fleet register'!$A$7:$S$106,7,FALSE))),NOT(ISNUMBER(VLOOKUP($A121,'Fleet register'!$A$7:$S$106,8,FALSE))),NOT(ISNUMBER(AF121)),'Replacement plan'!$I$35&lt;&gt;"Yes",NOT(ISNUMBER(AH121)),'Operating costs'!$B$59&lt;&gt;"Yes",'Operating costs'!$B$58&lt;&gt;"Yes")),"Unverified","Within entered limits"))))</f>
        <v>Excluded</v>
      </c>
      <c r="R121" s="1">
        <f>IF(C121=0,0,VLOOKUP($A121,'Fleet register'!$A$7:$S$106,6,FALSE))</f>
        <v>0</v>
      </c>
      <c r="S121" s="1">
        <f>IF(C121=0,0,VLOOKUP($A121,'Fleet register'!$A$7:$S$106,5,FALSE))</f>
        <v>0</v>
      </c>
      <c r="T121" s="1">
        <f>IF(D121="EV",'Energy and charging'!$B$12,0)</f>
        <v>0</v>
      </c>
      <c r="U121" s="1">
        <f>IFERROR(IF(C121=0,0,IF(D121="EV",IF('Replacement plan'!$F$35="",INDEX(Products!$E$7:$E$13,MATCH('Replacement plan'!$B$35,Products!$A$7:$A$13,0)),'Replacement plan'!$F$35)/IF('Replacement plan'!$G$35="Battery",1-'Operating costs'!$B$44,1),0)),"n.a.")</f>
        <v>0</v>
      </c>
      <c r="V121" s="1">
        <f>IFERROR(IF(C121=0,0,IF(D121="EV",IF('Replacement plan'!$E$35="",INDEX(Products!$D$7:$D$13,MATCH('Replacement plan'!$B$35,Products!$A$7:$A$13,0)),'Replacement plan'!$E$35),0)),"n.a.")</f>
        <v>0</v>
      </c>
      <c r="W121" s="1">
        <f>IF(C121=0,0,IF(AND(P121="Complete",D121="EV",E121&lt;120),IF(T121=0,0,ROUNDUP(T121*(R121-'Operating costs'!$B$41)*(S121*U121+'Operating costs'!$B$48/(1-'Operating costs'!$B$44))/(V121*'Operating costs'!$B$47/(1-'Operating costs'!$B$44)-T121*'Operating costs'!$B$12*U121),0)),0))</f>
        <v>0</v>
      </c>
      <c r="X121" s="1">
        <f>IF(C121=0,0,IF(AND(P121="Complete",D121="EV",E121&lt;120),(R121-'Operating costs'!$B$41)*(S121*U121+'Operating costs'!$B$48/(1-'Operating costs'!$B$44))+W121*'Operating costs'!$B$12*U121,0))</f>
        <v>0</v>
      </c>
      <c r="Y121" s="1">
        <f>IF(AND(C121=1,D121="EV",E121&lt;120),AI121/(1-'Operating costs'!$B$44)*(1-T121),0)</f>
        <v>0</v>
      </c>
      <c r="Z121" s="1">
        <f t="shared" si="2"/>
        <v>0</v>
      </c>
      <c r="AA121" s="1">
        <f>IF(C121=0,0,IF(P121="Complete",((S121*(R121-'Operating costs'!$B$40))+ROUNDUP(S121*(R121-'Operating costs'!$B$40)*IF('Replacement plan'!$AH$35="",'Operating costs'!$B$7,'Replacement plan'!$AH$35)/('Operating costs'!$B$8-'Operating costs'!$B$9*IF('Replacement plan'!$AH$35="",'Operating costs'!$B$7,'Replacement plan'!$AH$35)),0)*'Operating costs'!$B$9)*IF('Replacement plan'!$AH$35="",'Operating costs'!$B$7,'Replacement plan'!$AH$35),"n.a."))</f>
        <v>0</v>
      </c>
      <c r="AB121" s="1">
        <f t="shared" si="3"/>
        <v>0</v>
      </c>
      <c r="AC121" s="1">
        <f>IF(AND(C121=1,D121="EV",E121&lt;120,T121&gt;0),'Operating costs'!$B$12/'Operating costs'!$B$11*60+'Operating costs'!$B$13+'Operating costs'!$B$14+V121*'Operating costs'!$B$47/(1-'Operating costs'!$B$44)/'Replacement plan'!$L$35*60,0)</f>
        <v>0</v>
      </c>
      <c r="AD121" s="1" t="str">
        <f>'Replacement plan'!$B$35</f>
        <v>ChengLong L2EV</v>
      </c>
      <c r="AE121" s="1">
        <f>IF(C121=0,0,VLOOKUP($A121,'Fleet register'!$A$7:$S$106,8,FALSE))</f>
        <v>0</v>
      </c>
      <c r="AF121" s="1" t="str">
        <f>IF('Replacement plan'!$H$35="","n.a.",'Replacement plan'!$H$35)</f>
        <v>n.a.</v>
      </c>
      <c r="AG121" s="1">
        <f>'Replacement plan'!$J$35</f>
        <v>22</v>
      </c>
      <c r="AH121" s="1">
        <f>IFERROR(IF(D121="EV",IF('Replacement plan'!$K$35="AC",IF(ISNUMBER(INDEX(Products!$G$7:$G$13,MATCH('Replacement plan'!$B$35,Products!$A$7:$A$13,0))),INDEX(Products!$G$7:$G$13,MATCH('Replacement plan'!$B$35,Products!$A$7:$A$13,0)),"n.a."),IF(ISNUMBER(INDEX(Products!$H$7:$H$13,MATCH('Replacement plan'!$B$35,Products!$A$7:$A$13,0))),INDEX(Products!$H$7:$H$13,MATCH('Replacement plan'!$B$35,Products!$A$7:$A$13,0)),"n.a.")),0),"n.a.")</f>
        <v>0</v>
      </c>
      <c r="AI121" s="1">
        <f>IF(AND(C121=1,D121="EV",E121&lt;120),(VLOOKUP($A121,'Fleet register'!$A$7:$S$106,7,FALSE)+IF(T121&gt;0,'Operating costs'!$B$12,0))*U121*(1-'Operating costs'!$B$44)+'Operating costs'!$B$49,0)</f>
        <v>0</v>
      </c>
      <c r="AJ121" s="1">
        <f>IF(D121="EV",'Energy and charging'!$B$50,0)</f>
        <v>0</v>
      </c>
      <c r="AK121" s="17">
        <f>EDATE('Operating costs'!$B$63,E121)</f>
        <v>46298</v>
      </c>
      <c r="AL121" s="1">
        <f>IFERROR(IF(D121="EV",INDEX(Products!$B$7:$B$13,MATCH('Replacement plan'!$B$35,Products!$A$7:$A$13,0)),0),"n.a.")</f>
        <v>0</v>
      </c>
      <c r="AM121" s="1" t="str">
        <f>'Replacement plan'!$K$35</f>
        <v>DC</v>
      </c>
      <c r="AN121" s="1" t="str">
        <f>'Replacement plan'!$AE$35</f>
        <v>Assumed</v>
      </c>
      <c r="AO121" s="47">
        <f>IF(AND(C121=1,D121="EV",E121&lt;120),(R121-'Operating costs'!$B$41)*S121+W121*'Operating costs'!$B$12,0)</f>
        <v>0</v>
      </c>
      <c r="AP121" s="41">
        <f>IF(AND(C121=1,D121="EV",E121&lt;120),IF('Operating costs'!$B$68="Hong Seh 200k average",AO121*IFERROR(INDEX(Products!$P$7:$P$13,MATCH(AD121,Products!$A$7:$A$13,0)),"n.a."),'Operating costs'!$B$26),0)</f>
        <v>0</v>
      </c>
      <c r="AQ121" s="40" t="str">
        <f>IF(D121="EV",'Operating costs'!$B$68,"Not applicable")</f>
        <v>Not applicable</v>
      </c>
    </row>
    <row r="122" spans="1:43" ht="24" customHeight="1">
      <c r="A122" s="1" t="str">
        <f>'Replacement plan'!A35</f>
        <v>T029</v>
      </c>
      <c r="B122" s="1">
        <v>3</v>
      </c>
      <c r="C122" s="1">
        <f>IF(COUNTIFS('Fleet register'!$A$7:$A$106,$A122)=1,VLOOKUP($A122,'Fleet register'!$A$7:$S$106,2,FALSE),0)</f>
        <v>0</v>
      </c>
      <c r="D122" s="1" t="str">
        <f>IF('Replacement plan'!$R$35="EV","EV","ICE")</f>
        <v>ICE</v>
      </c>
      <c r="E122" s="1">
        <f>IF(C122=0,0,IF('Replacement plan'!$S$35="",IF('Replacement plan'!$R$35="Keep ICE",IF('Replacement plan'!$M$35="",VLOOKUP($A122,'Fleet register'!$A$7:$S$106,10,FALSE),'Replacement plan'!$M$35),0),'Replacement plan'!$S$35))</f>
        <v>0</v>
      </c>
      <c r="F122" s="16">
        <f>IF(C122=0,0,VLOOKUP($A122,'Fleet register'!$A$7:$S$106,11,FALSE))</f>
        <v>0</v>
      </c>
      <c r="G122" s="16">
        <f>IFERROR(IF(C122=0,0,IF(E122=120,0,IF(D122="ICE",'Replacement plan'!$C$35,IF('Replacement plan'!$D$35="",INDEX(Products!$I$7:$I$13,MATCH('Replacement plan'!$B$35,Products!$A$7:$A$13,0))+'Operating costs'!$B$57,'Replacement plan'!$D$35))*(1+'Operating costs'!$B$50)^(E122/12))),"n.a.")</f>
        <v>0</v>
      </c>
      <c r="H122" s="16">
        <f>IFERROR(IF(C122=0,0,IF('Replacement plan'!$V$35&lt;&gt;"",'Replacement plan'!$V$35,IF(E122=0,F122,VLOOKUP($A122,'Fleet register'!$A$7:$S$106,12,FALSE)+VLOOKUP($A122,'Fleet register'!$A$7:$S$106,13,FALSE)*MAX(0,VLOOKUP($A122,'Fleet register'!$A$7:$S$106,10,FALSE)-E122)/VLOOKUP($A122,'Fleet register'!$A$7:$S$106,14,FALSE)))),"n.a.")</f>
        <v>0</v>
      </c>
      <c r="I122" s="16">
        <f>IF(C122=0,0,IF(E122=120,0,'Replacement plan'!$T$35))</f>
        <v>0</v>
      </c>
      <c r="J122" s="16">
        <f>IF(C122=0,0,IF(P122="Complete",((S122*(R122-'Operating costs'!$B$39))+ROUNDUP(S122*(R122-'Operating costs'!$B$39)*IF('Replacement plan'!$AG$35="",'Operating costs'!$B$7,'Replacement plan'!$AG$35)/('Operating costs'!$B$8-'Operating costs'!$B$9*IF('Replacement plan'!$AG$35="",'Operating costs'!$B$7,'Replacement plan'!$AG$35)),0)*'Operating costs'!$B$9)*IF('Replacement plan'!$AG$35="",'Operating costs'!$B$7,'Replacement plan'!$AG$35)*('Energy and charging'!$C$9*'Energy and charging'!$C$7+(1-'Energy and charging'!$C$9)*'Energy and charging'!$C$8)*'Operating costs'!$B$23,"n.a."))</f>
        <v>0</v>
      </c>
      <c r="K122" s="16">
        <f>IF(C122=0,0,IF(P122="Complete",SUM('Operating costs'!$B$24,'Operating costs'!$B$27,'Operating costs'!$B$29,'Operating costs'!$B$31,'Operating costs'!$B$33,'Operating costs'!$B$34,'Operating costs'!$B$37,'Replacement plan'!$W$35)+'Operating costs'!$B$39*'Operating costs'!$B$42+ROUNDUP(S122*(R122-'Operating costs'!$B$39)*IF('Replacement plan'!$AG$35="",'Operating costs'!$B$7,'Replacement plan'!$AG$35)/('Operating costs'!$B$8-'Operating costs'!$B$9*IF('Replacement plan'!$AG$35="",'Operating costs'!$B$7,'Replacement plan'!$AG$35)),0)*('Operating costs'!$B$9/'Operating costs'!$B$11+'Operating costs'!$B$10/60)*'Operating costs'!$B$19*'Operating costs'!$B$21,"n.a."))</f>
        <v>0</v>
      </c>
      <c r="L122" s="16">
        <f>IF(C122=0,0,IF(P122="Complete",IF(D122="EV",X122*((1-T122)*'Energy and charging'!$C$10+T122*'Energy and charging'!$C$11)*'Operating costs'!$B$22,AA122*('Energy and charging'!$C$9*'Energy and charging'!$C$7+(1-'Energy and charging'!$C$9)*'Energy and charging'!$C$8)*'Operating costs'!$B$23),"n.a."))</f>
        <v>0</v>
      </c>
      <c r="M122" s="37">
        <f>IF(C122=0,0,IF(P122="Complete",IF(D122="ICE",SUM('Operating costs'!$B$25,'Operating costs'!$B$27,'Operating costs'!$B$29,'Operating costs'!$B$31,'Operating costs'!$B$33,'Operating costs'!$B$35,'Operating costs'!$B$37,'Replacement plan'!$X$35)+'Operating costs'!$B$40*'Operating costs'!$B$42+ROUNDUP(S122*(R122-'Operating costs'!$B$40)*IF('Replacement plan'!$AH$35="",'Operating costs'!$B$7,'Replacement plan'!$AH$35)/('Operating costs'!$B$8-'Operating costs'!$B$9*IF('Replacement plan'!$AH$35="",'Operating costs'!$B$7,'Replacement plan'!$AH$35)),0)*('Operating costs'!$B$9/'Operating costs'!$B$11+'Operating costs'!$B$10/60)*'Operating costs'!$B$19*'Operating costs'!$B$21,SUM(AP122,'Operating costs'!$B$28,'Operating costs'!$B$30,'Operating costs'!$B$32,'Operating costs'!$B$33,'Operating costs'!$B$36,'Operating costs'!$B$38,'Replacement plan'!$Y$35)+'Operating costs'!$B$41*'Operating costs'!$B$43+W122*'Operating costs'!$B$15+(T122*X122/'Replacement plan'!$L$35+W122*('Operating costs'!$B$12/'Operating costs'!$B$11+('Operating costs'!$B$13+'Operating costs'!$B$14)/60)+(R122-'Operating costs'!$B$41)*(IF(T122&lt;1,'Operating costs'!$B$16,0)+'Operating costs'!$B$17)/60)*'Operating costs'!$B$19*'Operating costs'!$B$20),"n.a."))</f>
        <v>0</v>
      </c>
      <c r="N122" s="16">
        <f>IF(AND(C122=1,D122="EV",E122&lt;120,E122+'Replacement plan'!$AA$35&lt;=120),'Replacement plan'!$Z$35,0)</f>
        <v>0</v>
      </c>
      <c r="O122" s="1">
        <f>E122+'Replacement plan'!$AA$35</f>
        <v>0</v>
      </c>
      <c r="P122" s="35" t="str">
        <f>IFERROR(IF(C122=0,"Excluded",IF(OR(COUNTIFS('Fleet register'!$A$7:$A$106,A122)&lt;&gt;1,COUNTIFS('Replacement plan'!$A$7:$A$106,A122)&lt;&gt;1),"Duplicate/missing ID",IF(NOT(AND(ISNUMBER(VLOOKUP($A122,'Fleet register'!$A$7:$S$106,5,FALSE)),ISNUMBER(VLOOKUP($A122,'Fleet register'!$A$7:$S$106,6,FALSE)),ISNUMBER(VLOOKUP($A122,'Fleet register'!$A$7:$S$106,10,FALSE)),ISNUMBER(VLOOKUP($A122,'Fleet register'!$A$7:$S$106,11,FALSE)),ISNUMBER(VLOOKUP($A122,'Fleet register'!$A$7:$S$106,12,FALSE)),ISNUMBER(VLOOKUP($A122,'Fleet register'!$A$7:$S$106,13,FALSE)),ISNUMBER(VLOOKUP($A122,'Fleet register'!$A$7:$S$106,14,FALSE)),VLOOKUP($A122,'Fleet register'!$A$7:$S$106,14,FALSE)&gt;0,ISNUMBER('Replacement plan'!$C$35),OR(E122=120,ISNUMBER('Replacement plan'!$T$35)),ISNUMBER(E122))),"Missing vehicle input",IF(OR(E122&lt;0,E122&gt;VLOOKUP($A122,'Fleet register'!$A$7:$S$106,10,FALSE),E122&gt;120,E122&lt;&gt;INT(E122),VLOOKUP($A122,'Fleet register'!$A$7:$S$106,6,FALSE)&lt;=0,VLOOKUP($A122,'Fleet register'!$A$7:$S$106,6,FALSE)&gt;366,VLOOKUP($A122,'Fleet register'!$A$7:$S$106,5,FALSE)&lt;0,VLOOKUP($A122,'Fleet register'!$A$7:$S$106,11,FALSE)&lt;0,I122&lt;0,'Operating costs'!$B$8&lt;='Operating costs'!$B$7*'Operating costs'!$B$9,'Operating costs'!$B$11&lt;=0,'Operating costs'!$B$39&gt;R122,'Operating costs'!$B$40&gt;R122,'Operating costs'!$B$41&gt;R122,NOT(OR('Replacement plan'!$R$35="Keep ICE",'Replacement plan'!$R$35="New ICE",'Replacement plan'!$R$35="EV"))),"Invalid vehicle input",IF(AND(D122="EV",E122&lt;120,OR(NOT(ISNUMBER(U122)),NOT(ISNUMBER(V122)),V122&lt;=0,T122&lt;0,T122&gt;1,'Replacement plan'!$L$35&lt;=0,'Operating costs'!$B$44&lt;0,'Operating costs'!$B$44&gt;=1,'Operating costs'!$B$47&lt;=0,'Operating costs'!$B$47&gt;1,V122*'Operating costs'!$B$47/(1-'Operating costs'!$B$44)&lt;=T122*'Operating costs'!$B$12*U122,AND('Replacement plan'!$Z$35&gt;0,OR('Replacement plan'!$AB$35&lt;&gt;"Yes",'Operating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charging'!$C$8&gt;=0))),ISNUMBER(VLOOKUP($A122,'Fleet register'!$A$7:$S$106,15,FALSE)),ISNUMBER(VLOOKUP($A122,'Fleet register'!$A$7:$S$106,16,FALSE)),ISNUMBER('Replacement plan'!$W$35),ISNUMBER('Replacement plan'!$X$35),OR(E122=120,AND(ISNUMBER(G122),G122&gt;=0)),ISNUMBER(H122),H122&gt;=0,OR(D122&lt;&gt;"EV",E122=120,AND(ISNUMBER('Operating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average",ISNUMBER(IFERROR(INDEX(Products!$P$7:$P$13,MATCH(AD122,Products!$A$7:$A$13,0)),"")))),ISNUMBER('Operating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plan'!$Y$35),ISNUMBER('Replacement plan'!$Z$35),'Replacement plan'!$Z$35&gt;=0,ISNUMBER('Replacement plan'!$AA$35),'Replacement plan'!$AA$35&gt;=0,'Replacement plan'!$AA$35=INT('Replacement plan'!$AA$35),ISNUMBER('Replacement plan'!$L$35))),'Operating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plan'!$AG$35="",'Operating costs'!$B$7,'Replacement plan'!$AG$35)),IF('Replacement plan'!$AG$35="",'Operating costs'!$B$7,'Replacement plan'!$AG$35)&gt;=0,ISNUMBER(IF('Replacement plan'!$AH$35="",'Operating costs'!$B$7,'Replacement plan'!$AH$35)),IF('Replacement plan'!$AH$35="",'Operating costs'!$B$7,'Replacement plan'!$AH$35)&gt;=0,'Operating costs'!$B$8&gt;MAX(IF('Replacement plan'!$AG$35="",'Operating costs'!$B$7,'Replacement plan'!$AG$35),IF('Replacement plan'!$AH$35="",'Operating costs'!$B$7,'Replacement plan'!$AH$35))*'Operating costs'!$B$9),IF(AND(VLOOKUP($A122,'Fleet register'!$A$7:$S$106,10,FALSE)&gt;=0,VLOOKUP($A122,'Fleet register'!$A$7:$S$106,10,FALSE)&lt;=120,VLOOKUP($A122,'Fleet register'!$A$7:$S$106,10,FALSE)=INT(VLOOKUP($A122,'Fleet register'!$A$7:$S$106,10,FALSE)),VLOOKUP($A122,'Fleet register'!$A$7:$S$106,15,FALSE)&gt;=0,VLOOKUP($A122,'Fleet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costs'!$B$67)&gt;=0,OR(D122&lt;&gt;"EV",E122=120,AND(MIN('Operating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22" s="1" t="str">
        <f>IF(C122=0,"Excluded",IF(P122&lt;&gt;"Complete",P122,IF(OR('Replacement plan'!$AD$35&lt;120-E122,AND(D122="EV",E122&lt;120,OR('Replacement plan'!$AC$35&lt;120-E122,'Replacement plan'!$I$35="No",AND(ISNUMBER(AF122),AE122&gt;AF122),AI122&gt;V122*(1-'Operating costs'!$B$46)^MAX(0,AB122-1)*(1-'Operating costs'!$B$45),AC122&gt;'Operating costs'!$B$18,AND(T122&lt;1,OR(AG122&lt;=0,AND(ISNUMBER(AH122),AG122&gt;AH122))),'Replacement plan'!$L$35&gt;INDEX(Products!$H$7:$H$13,MATCH('Replacement plan'!$B$35,Products!$A$7:$A$13,0))))),"Fails entered limits",IF(AND(D122="EV",E122&lt;120,OR(NOT(ISNUMBER(VLOOKUP($A122,'Fleet register'!$A$7:$S$106,7,FALSE))),NOT(ISNUMBER(VLOOKUP($A122,'Fleet register'!$A$7:$S$106,8,FALSE))),NOT(ISNUMBER(AF122)),'Replacement plan'!$I$35&lt;&gt;"Yes",NOT(ISNUMBER(AH122)),'Operating costs'!$B$59&lt;&gt;"Yes",'Operating costs'!$B$58&lt;&gt;"Yes")),"Unverified","Within entered limits"))))</f>
        <v>Excluded</v>
      </c>
      <c r="R122" s="1">
        <f>IF(C122=0,0,VLOOKUP($A122,'Fleet register'!$A$7:$S$106,6,FALSE))</f>
        <v>0</v>
      </c>
      <c r="S122" s="1">
        <f>IF(C122=0,0,VLOOKUP($A122,'Fleet register'!$A$7:$S$106,5,FALSE))</f>
        <v>0</v>
      </c>
      <c r="T122" s="1">
        <f>IF(D122="EV",'Energy and charging'!$C$12,0)</f>
        <v>0</v>
      </c>
      <c r="U122" s="1">
        <f>IFERROR(IF(C122=0,0,IF(D122="EV",IF('Replacement plan'!$F$35="",INDEX(Products!$E$7:$E$13,MATCH('Replacement plan'!$B$35,Products!$A$7:$A$13,0)),'Replacement plan'!$F$35)/IF('Replacement plan'!$G$35="Battery",1-'Operating costs'!$B$44,1),0)),"n.a.")</f>
        <v>0</v>
      </c>
      <c r="V122" s="1">
        <f>IFERROR(IF(C122=0,0,IF(D122="EV",IF('Replacement plan'!$E$35="",INDEX(Products!$D$7:$D$13,MATCH('Replacement plan'!$B$35,Products!$A$7:$A$13,0)),'Replacement plan'!$E$35),0)),"n.a.")</f>
        <v>0</v>
      </c>
      <c r="W122" s="1">
        <f>IF(C122=0,0,IF(AND(P122="Complete",D122="EV",E122&lt;120),IF(T122=0,0,ROUNDUP(T122*(R122-'Operating costs'!$B$41)*(S122*U122+'Operating costs'!$B$48/(1-'Operating costs'!$B$44))/(V122*'Operating costs'!$B$47/(1-'Operating costs'!$B$44)-T122*'Operating costs'!$B$12*U122),0)),0))</f>
        <v>0</v>
      </c>
      <c r="X122" s="1">
        <f>IF(C122=0,0,IF(AND(P122="Complete",D122="EV",E122&lt;120),(R122-'Operating costs'!$B$41)*(S122*U122+'Operating costs'!$B$48/(1-'Operating costs'!$B$44))+W122*'Operating costs'!$B$12*U122,0))</f>
        <v>0</v>
      </c>
      <c r="Y122" s="1">
        <f>IF(AND(C122=1,D122="EV",E122&lt;120),AI122/(1-'Operating costs'!$B$44)*(1-T122),0)</f>
        <v>0</v>
      </c>
      <c r="Z122" s="1">
        <f t="shared" si="2"/>
        <v>0</v>
      </c>
      <c r="AA122" s="1">
        <f>IF(C122=0,0,IF(P122="Complete",((S122*(R122-'Operating costs'!$B$40))+ROUNDUP(S122*(R122-'Operating costs'!$B$40)*IF('Replacement plan'!$AH$35="",'Operating costs'!$B$7,'Replacement plan'!$AH$35)/('Operating costs'!$B$8-'Operating costs'!$B$9*IF('Replacement plan'!$AH$35="",'Operating costs'!$B$7,'Replacement plan'!$AH$35)),0)*'Operating costs'!$B$9)*IF('Replacement plan'!$AH$35="",'Operating costs'!$B$7,'Replacement plan'!$AH$35),"n.a."))</f>
        <v>0</v>
      </c>
      <c r="AB122" s="1">
        <f t="shared" si="3"/>
        <v>0</v>
      </c>
      <c r="AC122" s="1">
        <f>IF(AND(C122=1,D122="EV",E122&lt;120,T122&gt;0),'Operating costs'!$B$12/'Operating costs'!$B$11*60+'Operating costs'!$B$13+'Operating costs'!$B$14+V122*'Operating costs'!$B$47/(1-'Operating costs'!$B$44)/'Replacement plan'!$L$35*60,0)</f>
        <v>0</v>
      </c>
      <c r="AD122" s="1" t="str">
        <f>'Replacement plan'!$B$35</f>
        <v>ChengLong L2EV</v>
      </c>
      <c r="AE122" s="1">
        <f>IF(C122=0,0,VLOOKUP($A122,'Fleet register'!$A$7:$S$106,8,FALSE))</f>
        <v>0</v>
      </c>
      <c r="AF122" s="1" t="str">
        <f>IF('Replacement plan'!$H$35="","n.a.",'Replacement plan'!$H$35)</f>
        <v>n.a.</v>
      </c>
      <c r="AG122" s="1">
        <f>'Replacement plan'!$J$35</f>
        <v>22</v>
      </c>
      <c r="AH122" s="1">
        <f>IFERROR(IF(D122="EV",IF('Replacement plan'!$K$35="AC",IF(ISNUMBER(INDEX(Products!$G$7:$G$13,MATCH('Replacement plan'!$B$35,Products!$A$7:$A$13,0))),INDEX(Products!$G$7:$G$13,MATCH('Replacement plan'!$B$35,Products!$A$7:$A$13,0)),"n.a."),IF(ISNUMBER(INDEX(Products!$H$7:$H$13,MATCH('Replacement plan'!$B$35,Products!$A$7:$A$13,0))),INDEX(Products!$H$7:$H$13,MATCH('Replacement plan'!$B$35,Products!$A$7:$A$13,0)),"n.a.")),0),"n.a.")</f>
        <v>0</v>
      </c>
      <c r="AI122" s="1">
        <f>IF(AND(C122=1,D122="EV",E122&lt;120),(VLOOKUP($A122,'Fleet register'!$A$7:$S$106,7,FALSE)+IF(T122&gt;0,'Operating costs'!$B$12,0))*U122*(1-'Operating costs'!$B$44)+'Operating costs'!$B$49,0)</f>
        <v>0</v>
      </c>
      <c r="AJ122" s="1">
        <f>IF(D122="EV",'Energy and charging'!$C$50,0)</f>
        <v>0</v>
      </c>
      <c r="AK122" s="17">
        <f>EDATE('Operating costs'!$B$63,E122)</f>
        <v>46298</v>
      </c>
      <c r="AL122" s="1">
        <f>IFERROR(IF(D122="EV",INDEX(Products!$B$7:$B$13,MATCH('Replacement plan'!$B$35,Products!$A$7:$A$13,0)),0),"n.a.")</f>
        <v>0</v>
      </c>
      <c r="AM122" s="1" t="str">
        <f>'Replacement plan'!$K$35</f>
        <v>DC</v>
      </c>
      <c r="AN122" s="1" t="str">
        <f>'Replacement plan'!$AE$35</f>
        <v>Assumed</v>
      </c>
      <c r="AO122" s="47">
        <f>IF(AND(C122=1,D122="EV",E122&lt;120),(R122-'Operating costs'!$B$41)*S122+W122*'Operating costs'!$B$12,0)</f>
        <v>0</v>
      </c>
      <c r="AP122" s="41">
        <f>IF(AND(C122=1,D122="EV",E122&lt;120),IF('Operating costs'!$B$68="Hong Seh 200k average",AO122*IFERROR(INDEX(Products!$P$7:$P$13,MATCH(AD122,Products!$A$7:$A$13,0)),"n.a."),'Operating costs'!$B$26),0)</f>
        <v>0</v>
      </c>
      <c r="AQ122" s="40" t="str">
        <f>IF(D122="EV",'Operating costs'!$B$68,"Not applicable")</f>
        <v>Not applicable</v>
      </c>
    </row>
    <row r="123" spans="1:43" ht="24" customHeight="1">
      <c r="A123" s="1" t="str">
        <f>'Replacement plan'!A36</f>
        <v>T030</v>
      </c>
      <c r="B123" s="1">
        <v>0</v>
      </c>
      <c r="C123" s="1">
        <f>IF(COUNTIFS('Fleet register'!$A$7:$A$106,$A123)=1,VLOOKUP($A123,'Fleet register'!$A$7:$S$106,2,FALSE),0)</f>
        <v>0</v>
      </c>
      <c r="D123" s="1" t="str">
        <f>IF("Keep ICE"="EV","EV","ICE")</f>
        <v>ICE</v>
      </c>
      <c r="E123" s="1">
        <f>IF(C123=0,0,IF('Replacement plan'!$M$36="",VLOOKUP($A123,'Fleet register'!$A$7:$S$106,10,FALSE),'Replacement plan'!$M$36))</f>
        <v>0</v>
      </c>
      <c r="F123" s="16">
        <f>IF(C123=0,0,VLOOKUP($A123,'Fleet register'!$A$7:$S$106,11,FALSE))</f>
        <v>0</v>
      </c>
      <c r="G123" s="16">
        <f>IFERROR(IF(C123=0,0,IF(E123=120,0,IF(D123="ICE",'Replacement plan'!$C$36,IF('Replacement plan'!$D$36="",INDEX(Products!$I$7:$I$13,MATCH('Replacement plan'!$B$36,Products!$A$7:$A$13,0))+'Operating costs'!$B$57,'Replacement plan'!$D$36))*(1+'Operating costs'!$B$50)^(E123/12))),"n.a.")</f>
        <v>0</v>
      </c>
      <c r="H123" s="16">
        <f>IFERROR(IF(C123=0,0,IF(E123=0,F123,VLOOKUP($A123,'Fleet register'!$A$7:$S$106,12,FALSE)+VLOOKUP($A123,'Fleet register'!$A$7:$S$106,13,FALSE)*MAX(0,VLOOKUP($A123,'Fleet register'!$A$7:$S$106,10,FALSE)-E123)/VLOOKUP($A123,'Fleet register'!$A$7:$S$106,14,FALSE))),"n.a.")</f>
        <v>0</v>
      </c>
      <c r="I123" s="16">
        <f>IF(C123=0,0,IF(E123=120,0,'Replacement plan'!$N$36))</f>
        <v>0</v>
      </c>
      <c r="J123" s="16">
        <f>IF(C123=0,0,IF(P123="Complete",((S123*(R123-'Operating costs'!$B$39))+ROUNDUP(S123*(R123-'Operating costs'!$B$39)*IF('Replacement plan'!$AG$36="",'Operating costs'!$B$7,'Replacement plan'!$AG$36)/('Operating costs'!$B$8-'Operating costs'!$B$9*IF('Replacement plan'!$AG$36="",'Operating costs'!$B$7,'Replacement plan'!$AG$36)),0)*'Operating costs'!$B$9)*IF('Replacement plan'!$AG$36="",'Operating costs'!$B$7,'Replacement plan'!$AG$36)*('Energy and charging'!$B$9*'Energy and charging'!$B$7+(1-'Energy and charging'!$B$9)*'Energy and charging'!$B$8)*'Operating costs'!$B$23,"n.a."))</f>
        <v>0</v>
      </c>
      <c r="K123" s="16">
        <f>IF(C123=0,0,IF(P123="Complete",SUM('Operating costs'!$B$24,'Operating costs'!$B$27,'Operating costs'!$B$29,'Operating costs'!$B$31,'Operating costs'!$B$33,'Operating costs'!$B$34,'Operating costs'!$B$37,'Replacement plan'!$W$36)+'Operating costs'!$B$39*'Operating costs'!$B$42+ROUNDUP(S123*(R123-'Operating costs'!$B$39)*IF('Replacement plan'!$AG$36="",'Operating costs'!$B$7,'Replacement plan'!$AG$36)/('Operating costs'!$B$8-'Operating costs'!$B$9*IF('Replacement plan'!$AG$36="",'Operating costs'!$B$7,'Replacement plan'!$AG$36)),0)*('Operating costs'!$B$9/'Operating costs'!$B$11+'Operating costs'!$B$10/60)*'Operating costs'!$B$19*'Operating costs'!$B$21,"n.a."))</f>
        <v>0</v>
      </c>
      <c r="L123" s="16">
        <f>IF(C123=0,0,IF(P123="Complete",IF(D123="EV",X123*((1-T123)*'Energy and charging'!$B$10+T123*'Energy and charging'!$B$11)*'Operating costs'!$B$22,AA123*('Energy and charging'!$B$9*'Energy and charging'!$B$7+(1-'Energy and charging'!$B$9)*'Energy and charging'!$B$8)*'Operating costs'!$B$23),"n.a."))</f>
        <v>0</v>
      </c>
      <c r="M123" s="37">
        <f>IF(C123=0,0,IF(P123="Complete",IF(D123="ICE",SUM('Operating costs'!$B$25,'Operating costs'!$B$27,'Operating costs'!$B$29,'Operating costs'!$B$31,'Operating costs'!$B$33,'Operating costs'!$B$35,'Operating costs'!$B$37,'Replacement plan'!$X$36)+'Operating costs'!$B$40*'Operating costs'!$B$42+ROUNDUP(S123*(R123-'Operating costs'!$B$40)*IF('Replacement plan'!$AH$36="",'Operating costs'!$B$7,'Replacement plan'!$AH$36)/('Operating costs'!$B$8-'Operating costs'!$B$9*IF('Replacement plan'!$AH$36="",'Operating costs'!$B$7,'Replacement plan'!$AH$36)),0)*('Operating costs'!$B$9/'Operating costs'!$B$11+'Operating costs'!$B$10/60)*'Operating costs'!$B$19*'Operating costs'!$B$21,SUM(AP123,'Operating costs'!$B$28,'Operating costs'!$B$30,'Operating costs'!$B$32,'Operating costs'!$B$33,'Operating costs'!$B$36,'Operating costs'!$B$38,'Replacement plan'!$Y$36)+'Operating costs'!$B$41*'Operating costs'!$B$43+W123*'Operating costs'!$B$15+(T123*X123/'Replacement plan'!$L$36+W123*('Operating costs'!$B$12/'Operating costs'!$B$11+('Operating costs'!$B$13+'Operating costs'!$B$14)/60)+(R123-'Operating costs'!$B$41)*(IF(T123&lt;1,'Operating costs'!$B$16,0)+'Operating costs'!$B$17)/60)*'Operating costs'!$B$19*'Operating costs'!$B$20),"n.a."))</f>
        <v>0</v>
      </c>
      <c r="N123" s="16">
        <f>IF(AND(C123=1,D123="EV",E123&lt;120,E123+'Replacement plan'!$AA$36&lt;=120),'Replacement plan'!$Z$36,0)</f>
        <v>0</v>
      </c>
      <c r="O123" s="1">
        <f>E123+'Replacement plan'!$AA$36</f>
        <v>0</v>
      </c>
      <c r="P123" s="35" t="str">
        <f>IFERROR(IF(C123=0,"Excluded",IF(OR(COUNTIFS('Fleet register'!$A$7:$A$106,A123)&lt;&gt;1,COUNTIFS('Replacement plan'!$A$7:$A$106,A123)&lt;&gt;1),"Duplicate/missing ID",IF(NOT(AND(ISNUMBER(VLOOKUP($A123,'Fleet register'!$A$7:$S$106,5,FALSE)),ISNUMBER(VLOOKUP($A123,'Fleet register'!$A$7:$S$106,6,FALSE)),ISNUMBER(VLOOKUP($A123,'Fleet register'!$A$7:$S$106,10,FALSE)),ISNUMBER(VLOOKUP($A123,'Fleet register'!$A$7:$S$106,11,FALSE)),ISNUMBER(VLOOKUP($A123,'Fleet register'!$A$7:$S$106,12,FALSE)),ISNUMBER(VLOOKUP($A123,'Fleet register'!$A$7:$S$106,13,FALSE)),ISNUMBER(VLOOKUP($A123,'Fleet register'!$A$7:$S$106,14,FALSE)),VLOOKUP($A123,'Fleet register'!$A$7:$S$106,14,FALSE)&gt;0,ISNUMBER('Replacement plan'!$C$36),OR(E123=120,ISNUMBER('Replacement plan'!$N$36)),ISNUMBER(E123))),"Missing vehicle input",IF(OR(E123&lt;0,E123&gt;VLOOKUP($A123,'Fleet register'!$A$7:$S$106,10,FALSE),E123&gt;120,E123&lt;&gt;INT(E123),VLOOKUP($A123,'Fleet register'!$A$7:$S$106,6,FALSE)&lt;=0,VLOOKUP($A123,'Fleet register'!$A$7:$S$106,6,FALSE)&gt;366,VLOOKUP($A123,'Fleet register'!$A$7:$S$106,5,FALSE)&lt;0,VLOOKUP($A123,'Fleet register'!$A$7:$S$106,11,FALSE)&lt;0,I123&lt;0,'Operating costs'!$B$8&lt;='Operating costs'!$B$7*'Operating costs'!$B$9,'Operating costs'!$B$11&lt;=0,'Operating costs'!$B$39&gt;R123,'Operating costs'!$B$40&gt;R123,'Operating costs'!$B$41&gt;R123,NOT(OR("Keep ICE"="Keep ICE","Keep ICE"="New ICE","Keep ICE"="EV"))),"Invalid vehicle input",IF(AND(D123="EV",E123&lt;120,OR(NOT(ISNUMBER(U123)),NOT(ISNUMBER(V123)),V123&lt;=0,T123&lt;0,T123&gt;1,'Replacement plan'!$L$36&lt;=0,'Operating costs'!$B$44&lt;0,'Operating costs'!$B$44&gt;=1,'Operating costs'!$B$47&lt;=0,'Operating costs'!$B$47&gt;1,V123*'Operating costs'!$B$47/(1-'Operating costs'!$B$44)&lt;=T123*'Operating costs'!$B$12*U123,AND('Replacement plan'!$Z$36&gt;0,OR('Replacement plan'!$AB$36&lt;&gt;"Yes",'Operating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charging'!$B$8&gt;=0))),ISNUMBER(VLOOKUP($A123,'Fleet register'!$A$7:$S$106,15,FALSE)),ISNUMBER(VLOOKUP($A123,'Fleet register'!$A$7:$S$106,16,FALSE)),ISNUMBER('Replacement plan'!$W$36),ISNUMBER('Replacement plan'!$X$36),OR(E123=120,AND(ISNUMBER(G123),G123&gt;=0)),ISNUMBER(H123),H123&gt;=0,OR(D123&lt;&gt;"EV",E123=120,AND(ISNUMBER('Operating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average",ISNUMBER(IFERROR(INDEX(Products!$P$7:$P$13,MATCH(AD123,Products!$A$7:$A$13,0)),"")))),ISNUMBER('Operating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plan'!$Y$36),ISNUMBER('Replacement plan'!$Z$36),'Replacement plan'!$Z$36&gt;=0,ISNUMBER('Replacement plan'!$AA$36),'Replacement plan'!$AA$36&gt;=0,'Replacement plan'!$AA$36=INT('Replacement plan'!$AA$36),ISNUMBER('Replacement plan'!$L$36))),'Operating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plan'!$AG$36="",'Operating costs'!$B$7,'Replacement plan'!$AG$36)),IF('Replacement plan'!$AG$36="",'Operating costs'!$B$7,'Replacement plan'!$AG$36)&gt;=0,ISNUMBER(IF('Replacement plan'!$AH$36="",'Operating costs'!$B$7,'Replacement plan'!$AH$36)),IF('Replacement plan'!$AH$36="",'Operating costs'!$B$7,'Replacement plan'!$AH$36)&gt;=0,'Operating costs'!$B$8&gt;MAX(IF('Replacement plan'!$AG$36="",'Operating costs'!$B$7,'Replacement plan'!$AG$36),IF('Replacement plan'!$AH$36="",'Operating costs'!$B$7,'Replacement plan'!$AH$36))*'Operating costs'!$B$9),IF(AND(VLOOKUP($A123,'Fleet register'!$A$7:$S$106,10,FALSE)&gt;=0,VLOOKUP($A123,'Fleet register'!$A$7:$S$106,10,FALSE)&lt;=120,VLOOKUP($A123,'Fleet register'!$A$7:$S$106,10,FALSE)=INT(VLOOKUP($A123,'Fleet register'!$A$7:$S$106,10,FALSE)),VLOOKUP($A123,'Fleet register'!$A$7:$S$106,15,FALSE)&gt;=0,VLOOKUP($A123,'Fleet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costs'!$B$67)&gt;=0,OR(D123&lt;&gt;"EV",E123=120,AND(MIN('Operating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23" s="1" t="str">
        <f>IF(C123=0,"Excluded",IF(P123&lt;&gt;"Complete",P123,IF(OR('Replacement plan'!$AD$36&lt;120-E123,AND(D123="EV",E123&lt;120,OR('Replacement plan'!$AC$36&lt;120-E123,'Replacement plan'!$I$36="No",AND(ISNUMBER(AF123),AE123&gt;AF123),AI123&gt;V123*(1-'Operating costs'!$B$46)^MAX(0,AB123-1)*(1-'Operating costs'!$B$45),AC123&gt;'Operating costs'!$B$18,AND(T123&lt;1,OR(AG123&lt;=0,AND(ISNUMBER(AH123),AG123&gt;AH123))),'Replacement plan'!$L$36&gt;INDEX(Products!$H$7:$H$13,MATCH('Replacement plan'!$B$36,Products!$A$7:$A$13,0))))),"Fails entered limits",IF(AND(D123="EV",E123&lt;120,OR(NOT(ISNUMBER(VLOOKUP($A123,'Fleet register'!$A$7:$S$106,7,FALSE))),NOT(ISNUMBER(VLOOKUP($A123,'Fleet register'!$A$7:$S$106,8,FALSE))),NOT(ISNUMBER(AF123)),'Replacement plan'!$I$36&lt;&gt;"Yes",NOT(ISNUMBER(AH123)),'Operating costs'!$B$59&lt;&gt;"Yes",'Operating costs'!$B$58&lt;&gt;"Yes")),"Unverified","Within entered limits"))))</f>
        <v>Excluded</v>
      </c>
      <c r="R123" s="1">
        <f>IF(C123=0,0,VLOOKUP($A123,'Fleet register'!$A$7:$S$106,6,FALSE))</f>
        <v>0</v>
      </c>
      <c r="S123" s="1">
        <f>IF(C123=0,0,VLOOKUP($A123,'Fleet register'!$A$7:$S$106,5,FALSE))</f>
        <v>0</v>
      </c>
      <c r="T123" s="1">
        <f>IF(D123="EV",'Energy and charging'!$B$12,0)</f>
        <v>0</v>
      </c>
      <c r="U123" s="1">
        <f>IFERROR(IF(C123=0,0,IF(D123="EV",IF('Replacement plan'!$F$36="",INDEX(Products!$E$7:$E$13,MATCH('Replacement plan'!$B$36,Products!$A$7:$A$13,0)),'Replacement plan'!$F$36)/IF('Replacement plan'!$G$36="Battery",1-'Operating costs'!$B$44,1),0)),"n.a.")</f>
        <v>0</v>
      </c>
      <c r="V123" s="1">
        <f>IFERROR(IF(C123=0,0,IF(D123="EV",IF('Replacement plan'!$E$36="",INDEX(Products!$D$7:$D$13,MATCH('Replacement plan'!$B$36,Products!$A$7:$A$13,0)),'Replacement plan'!$E$36),0)),"n.a.")</f>
        <v>0</v>
      </c>
      <c r="W123" s="1">
        <f>IF(C123=0,0,IF(AND(P123="Complete",D123="EV",E123&lt;120),IF(T123=0,0,ROUNDUP(T123*(R123-'Operating costs'!$B$41)*(S123*U123+'Operating costs'!$B$48/(1-'Operating costs'!$B$44))/(V123*'Operating costs'!$B$47/(1-'Operating costs'!$B$44)-T123*'Operating costs'!$B$12*U123),0)),0))</f>
        <v>0</v>
      </c>
      <c r="X123" s="1">
        <f>IF(C123=0,0,IF(AND(P123="Complete",D123="EV",E123&lt;120),(R123-'Operating costs'!$B$41)*(S123*U123+'Operating costs'!$B$48/(1-'Operating costs'!$B$44))+W123*'Operating costs'!$B$12*U123,0))</f>
        <v>0</v>
      </c>
      <c r="Y123" s="1">
        <f>IF(AND(C123=1,D123="EV",E123&lt;120),AI123/(1-'Operating costs'!$B$44)*(1-T123),0)</f>
        <v>0</v>
      </c>
      <c r="Z123" s="1">
        <f t="shared" si="2"/>
        <v>0</v>
      </c>
      <c r="AA123" s="1">
        <f>IF(C123=0,0,IF(P123="Complete",((S123*(R123-'Operating costs'!$B$40))+ROUNDUP(S123*(R123-'Operating costs'!$B$40)*IF('Replacement plan'!$AH$36="",'Operating costs'!$B$7,'Replacement plan'!$AH$36)/('Operating costs'!$B$8-'Operating costs'!$B$9*IF('Replacement plan'!$AH$36="",'Operating costs'!$B$7,'Replacement plan'!$AH$36)),0)*'Operating costs'!$B$9)*IF('Replacement plan'!$AH$36="",'Operating costs'!$B$7,'Replacement plan'!$AH$36),"n.a."))</f>
        <v>0</v>
      </c>
      <c r="AB123" s="1">
        <f t="shared" si="3"/>
        <v>0</v>
      </c>
      <c r="AC123" s="1">
        <f>IF(AND(C123=1,D123="EV",E123&lt;120,T123&gt;0),'Operating costs'!$B$12/'Operating costs'!$B$11*60+'Operating costs'!$B$13+'Operating costs'!$B$14+V123*'Operating costs'!$B$47/(1-'Operating costs'!$B$44)/'Replacement plan'!$L$36*60,0)</f>
        <v>0</v>
      </c>
      <c r="AD123" s="1" t="str">
        <f>'Replacement plan'!$B$36</f>
        <v>ChengLong L2EV</v>
      </c>
      <c r="AE123" s="1">
        <f>IF(C123=0,0,VLOOKUP($A123,'Fleet register'!$A$7:$S$106,8,FALSE))</f>
        <v>0</v>
      </c>
      <c r="AF123" s="1" t="str">
        <f>IF('Replacement plan'!$H$36="","n.a.",'Replacement plan'!$H$36)</f>
        <v>n.a.</v>
      </c>
      <c r="AG123" s="1">
        <f>'Replacement plan'!$J$36</f>
        <v>22</v>
      </c>
      <c r="AH123" s="1">
        <f>IFERROR(IF(D123="EV",IF('Replacement plan'!$K$36="AC",IF(ISNUMBER(INDEX(Products!$G$7:$G$13,MATCH('Replacement plan'!$B$36,Products!$A$7:$A$13,0))),INDEX(Products!$G$7:$G$13,MATCH('Replacement plan'!$B$36,Products!$A$7:$A$13,0)),"n.a."),IF(ISNUMBER(INDEX(Products!$H$7:$H$13,MATCH('Replacement plan'!$B$36,Products!$A$7:$A$13,0))),INDEX(Products!$H$7:$H$13,MATCH('Replacement plan'!$B$36,Products!$A$7:$A$13,0)),"n.a.")),0),"n.a.")</f>
        <v>0</v>
      </c>
      <c r="AI123" s="1">
        <f>IF(AND(C123=1,D123="EV",E123&lt;120),(VLOOKUP($A123,'Fleet register'!$A$7:$S$106,7,FALSE)+IF(T123&gt;0,'Operating costs'!$B$12,0))*U123*(1-'Operating costs'!$B$44)+'Operating costs'!$B$49,0)</f>
        <v>0</v>
      </c>
      <c r="AJ123" s="1">
        <f>IF(D123="EV",'Energy and charging'!$B$50,0)</f>
        <v>0</v>
      </c>
      <c r="AK123" s="17">
        <f>EDATE('Operating costs'!$B$63,E123)</f>
        <v>46298</v>
      </c>
      <c r="AL123" s="1">
        <f>IFERROR(IF(D123="EV",INDEX(Products!$B$7:$B$13,MATCH('Replacement plan'!$B$36,Products!$A$7:$A$13,0)),0),"n.a.")</f>
        <v>0</v>
      </c>
      <c r="AM123" s="1" t="str">
        <f>'Replacement plan'!$K$36</f>
        <v>DC</v>
      </c>
      <c r="AN123" s="1" t="str">
        <f>'Replacement plan'!$AE$36</f>
        <v>Assumed</v>
      </c>
      <c r="AO123" s="47">
        <f>IF(AND(C123=1,D123="EV",E123&lt;120),(R123-'Operating costs'!$B$41)*S123+W123*'Operating costs'!$B$12,0)</f>
        <v>0</v>
      </c>
      <c r="AP123" s="41">
        <f>IF(AND(C123=1,D123="EV",E123&lt;120),IF('Operating costs'!$B$68="Hong Seh 200k average",AO123*IFERROR(INDEX(Products!$P$7:$P$13,MATCH(AD123,Products!$A$7:$A$13,0)),"n.a."),'Operating costs'!$B$26),0)</f>
        <v>0</v>
      </c>
      <c r="AQ123" s="40" t="str">
        <f>IF(D123="EV",'Operating costs'!$B$68,"Not applicable")</f>
        <v>Not applicable</v>
      </c>
    </row>
    <row r="124" spans="1:43" ht="24" customHeight="1">
      <c r="A124" s="1" t="str">
        <f>'Replacement plan'!A36</f>
        <v>T030</v>
      </c>
      <c r="B124" s="1">
        <v>1</v>
      </c>
      <c r="C124" s="1">
        <f>IF(COUNTIFS('Fleet register'!$A$7:$A$106,$A124)=1,VLOOKUP($A124,'Fleet register'!$A$7:$S$106,2,FALSE),0)</f>
        <v>0</v>
      </c>
      <c r="D124" s="1" t="str">
        <f>IF("New ICE"="EV","EV","ICE")</f>
        <v>ICE</v>
      </c>
      <c r="E124" s="1">
        <f>IF(C124=0,0,0)</f>
        <v>0</v>
      </c>
      <c r="F124" s="16">
        <f>IF(C124=0,0,VLOOKUP($A124,'Fleet register'!$A$7:$S$106,11,FALSE))</f>
        <v>0</v>
      </c>
      <c r="G124" s="16">
        <f>IFERROR(IF(C124=0,0,IF(E124=120,0,IF(D124="ICE",'Replacement plan'!$C$36,IF('Replacement plan'!$D$36="",INDEX(Products!$I$7:$I$13,MATCH('Replacement plan'!$B$36,Products!$A$7:$A$13,0))+'Operating costs'!$B$57,'Replacement plan'!$D$36))*(1+'Operating costs'!$B$50)^(E124/12))),"n.a.")</f>
        <v>0</v>
      </c>
      <c r="H124" s="16">
        <f>IFERROR(IF(C124=0,0,IF(E124=0,F124,VLOOKUP($A124,'Fleet register'!$A$7:$S$106,12,FALSE)+VLOOKUP($A124,'Fleet register'!$A$7:$S$106,13,FALSE)*MAX(0,VLOOKUP($A124,'Fleet register'!$A$7:$S$106,10,FALSE)-E124)/VLOOKUP($A124,'Fleet register'!$A$7:$S$106,14,FALSE))),"n.a.")</f>
        <v>0</v>
      </c>
      <c r="I124" s="16">
        <f>IF(C124=0,0,IF(E124=120,0,IF('Replacement plan'!$AI$36="",'Operating costs'!$B$56,'Replacement plan'!$AI$36)))</f>
        <v>0</v>
      </c>
      <c r="J124" s="16">
        <f>IF(C124=0,0,IF(P124="Complete",((S124*(R124-'Operating costs'!$B$39))+ROUNDUP(S124*(R124-'Operating costs'!$B$39)*IF('Replacement plan'!$AG$36="",'Operating costs'!$B$7,'Replacement plan'!$AG$36)/('Operating costs'!$B$8-'Operating costs'!$B$9*IF('Replacement plan'!$AG$36="",'Operating costs'!$B$7,'Replacement plan'!$AG$36)),0)*'Operating costs'!$B$9)*IF('Replacement plan'!$AG$36="",'Operating costs'!$B$7,'Replacement plan'!$AG$36)*('Energy and charging'!$B$9*'Energy and charging'!$B$7+(1-'Energy and charging'!$B$9)*'Energy and charging'!$B$8)*'Operating costs'!$B$23,"n.a."))</f>
        <v>0</v>
      </c>
      <c r="K124" s="16">
        <f>IF(C124=0,0,IF(P124="Complete",SUM('Operating costs'!$B$24,'Operating costs'!$B$27,'Operating costs'!$B$29,'Operating costs'!$B$31,'Operating costs'!$B$33,'Operating costs'!$B$34,'Operating costs'!$B$37,'Replacement plan'!$W$36)+'Operating costs'!$B$39*'Operating costs'!$B$42+ROUNDUP(S124*(R124-'Operating costs'!$B$39)*IF('Replacement plan'!$AG$36="",'Operating costs'!$B$7,'Replacement plan'!$AG$36)/('Operating costs'!$B$8-'Operating costs'!$B$9*IF('Replacement plan'!$AG$36="",'Operating costs'!$B$7,'Replacement plan'!$AG$36)),0)*('Operating costs'!$B$9/'Operating costs'!$B$11+'Operating costs'!$B$10/60)*'Operating costs'!$B$19*'Operating costs'!$B$21,"n.a."))</f>
        <v>0</v>
      </c>
      <c r="L124" s="16">
        <f>IF(C124=0,0,IF(P124="Complete",IF(D124="EV",X124*((1-T124)*'Energy and charging'!$B$10+T124*'Energy and charging'!$B$11)*'Operating costs'!$B$22,AA124*('Energy and charging'!$B$9*'Energy and charging'!$B$7+(1-'Energy and charging'!$B$9)*'Energy and charging'!$B$8)*'Operating costs'!$B$23),"n.a."))</f>
        <v>0</v>
      </c>
      <c r="M124" s="37">
        <f>IF(C124=0,0,IF(P124="Complete",IF(D124="ICE",SUM('Operating costs'!$B$25,'Operating costs'!$B$27,'Operating costs'!$B$29,'Operating costs'!$B$31,'Operating costs'!$B$33,'Operating costs'!$B$35,'Operating costs'!$B$37,'Replacement plan'!$X$36)+'Operating costs'!$B$40*'Operating costs'!$B$42+ROUNDUP(S124*(R124-'Operating costs'!$B$40)*IF('Replacement plan'!$AH$36="",'Operating costs'!$B$7,'Replacement plan'!$AH$36)/('Operating costs'!$B$8-'Operating costs'!$B$9*IF('Replacement plan'!$AH$36="",'Operating costs'!$B$7,'Replacement plan'!$AH$36)),0)*('Operating costs'!$B$9/'Operating costs'!$B$11+'Operating costs'!$B$10/60)*'Operating costs'!$B$19*'Operating costs'!$B$21,SUM(AP124,'Operating costs'!$B$28,'Operating costs'!$B$30,'Operating costs'!$B$32,'Operating costs'!$B$33,'Operating costs'!$B$36,'Operating costs'!$B$38,'Replacement plan'!$Y$36)+'Operating costs'!$B$41*'Operating costs'!$B$43+W124*'Operating costs'!$B$15+(T124*X124/'Replacement plan'!$L$36+W124*('Operating costs'!$B$12/'Operating costs'!$B$11+('Operating costs'!$B$13+'Operating costs'!$B$14)/60)+(R124-'Operating costs'!$B$41)*(IF(T124&lt;1,'Operating costs'!$B$16,0)+'Operating costs'!$B$17)/60)*'Operating costs'!$B$19*'Operating costs'!$B$20),"n.a."))</f>
        <v>0</v>
      </c>
      <c r="N124" s="16">
        <f>IF(AND(C124=1,D124="EV",E124&lt;120,E124+'Replacement plan'!$AA$36&lt;=120),'Replacement plan'!$Z$36,0)</f>
        <v>0</v>
      </c>
      <c r="O124" s="1">
        <f>E124+'Replacement plan'!$AA$36</f>
        <v>0</v>
      </c>
      <c r="P124" s="35" t="str">
        <f>IFERROR(IF(C124=0,"Excluded",IF(OR(COUNTIFS('Fleet register'!$A$7:$A$106,A124)&lt;&gt;1,COUNTIFS('Replacement plan'!$A$7:$A$106,A124)&lt;&gt;1),"Duplicate/missing ID",IF(NOT(AND(ISNUMBER(VLOOKUP($A124,'Fleet register'!$A$7:$S$106,5,FALSE)),ISNUMBER(VLOOKUP($A124,'Fleet register'!$A$7:$S$106,6,FALSE)),ISNUMBER(VLOOKUP($A124,'Fleet register'!$A$7:$S$106,10,FALSE)),ISNUMBER(VLOOKUP($A124,'Fleet register'!$A$7:$S$106,11,FALSE)),ISNUMBER(VLOOKUP($A124,'Fleet register'!$A$7:$S$106,12,FALSE)),ISNUMBER(VLOOKUP($A124,'Fleet register'!$A$7:$S$106,13,FALSE)),ISNUMBER(VLOOKUP($A124,'Fleet register'!$A$7:$S$106,14,FALSE)),VLOOKUP($A124,'Fleet register'!$A$7:$S$106,14,FALSE)&gt;0,ISNUMBER('Replacement plan'!$C$36),OR(E124=120,OR(ISNUMBER('Replacement plan'!$AI$36),AND('Replacement plan'!$AI$36="",ISNUMBER('Operating costs'!$B$56)))),ISNUMBER(E124))),"Missing vehicle input",IF(OR(E124&lt;0,E124&gt;VLOOKUP($A124,'Fleet register'!$A$7:$S$106,10,FALSE),E124&gt;120,E124&lt;&gt;INT(E124),VLOOKUP($A124,'Fleet register'!$A$7:$S$106,6,FALSE)&lt;=0,VLOOKUP($A124,'Fleet register'!$A$7:$S$106,6,FALSE)&gt;366,VLOOKUP($A124,'Fleet register'!$A$7:$S$106,5,FALSE)&lt;0,VLOOKUP($A124,'Fleet register'!$A$7:$S$106,11,FALSE)&lt;0,I124&lt;0,'Operating costs'!$B$8&lt;='Operating costs'!$B$7*'Operating costs'!$B$9,'Operating costs'!$B$11&lt;=0,'Operating costs'!$B$39&gt;R124,'Operating costs'!$B$40&gt;R124,'Operating costs'!$B$41&gt;R124,NOT(OR("New ICE"="Keep ICE","New ICE"="New ICE","New ICE"="EV"))),"Invalid vehicle input",IF(AND(D124="EV",E124&lt;120,OR(NOT(ISNUMBER(U124)),NOT(ISNUMBER(V124)),V124&lt;=0,T124&lt;0,T124&gt;1,'Replacement plan'!$L$36&lt;=0,'Operating costs'!$B$44&lt;0,'Operating costs'!$B$44&gt;=1,'Operating costs'!$B$47&lt;=0,'Operating costs'!$B$47&gt;1,V124*'Operating costs'!$B$47/(1-'Operating costs'!$B$44)&lt;=T124*'Operating costs'!$B$12*U124,AND('Replacement plan'!$Z$36&gt;0,OR('Replacement plan'!$AB$36&lt;&gt;"Yes",'Operating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charging'!$B$8&gt;=0))),ISNUMBER(VLOOKUP($A124,'Fleet register'!$A$7:$S$106,15,FALSE)),ISNUMBER(VLOOKUP($A124,'Fleet register'!$A$7:$S$106,16,FALSE)),ISNUMBER('Replacement plan'!$W$36),ISNUMBER('Replacement plan'!$X$36),OR(E124=120,AND(ISNUMBER(G124),G124&gt;=0)),ISNUMBER(H124),H124&gt;=0,OR(D124&lt;&gt;"EV",E124=120,AND(ISNUMBER('Operating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average",ISNUMBER(IFERROR(INDEX(Products!$P$7:$P$13,MATCH(AD124,Products!$A$7:$A$13,0)),"")))),ISNUMBER('Operating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plan'!$Y$36),ISNUMBER('Replacement plan'!$Z$36),'Replacement plan'!$Z$36&gt;=0,ISNUMBER('Replacement plan'!$AA$36),'Replacement plan'!$AA$36&gt;=0,'Replacement plan'!$AA$36=INT('Replacement plan'!$AA$36),ISNUMBER('Replacement plan'!$L$36))),'Operating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plan'!$AG$36="",'Operating costs'!$B$7,'Replacement plan'!$AG$36)),IF('Replacement plan'!$AG$36="",'Operating costs'!$B$7,'Replacement plan'!$AG$36)&gt;=0,ISNUMBER(IF('Replacement plan'!$AH$36="",'Operating costs'!$B$7,'Replacement plan'!$AH$36)),IF('Replacement plan'!$AH$36="",'Operating costs'!$B$7,'Replacement plan'!$AH$36)&gt;=0,'Operating costs'!$B$8&gt;MAX(IF('Replacement plan'!$AG$36="",'Operating costs'!$B$7,'Replacement plan'!$AG$36),IF('Replacement plan'!$AH$36="",'Operating costs'!$B$7,'Replacement plan'!$AH$36))*'Operating costs'!$B$9),IF(AND(VLOOKUP($A124,'Fleet register'!$A$7:$S$106,10,FALSE)&gt;=0,VLOOKUP($A124,'Fleet register'!$A$7:$S$106,10,FALSE)&lt;=120,VLOOKUP($A124,'Fleet register'!$A$7:$S$106,10,FALSE)=INT(VLOOKUP($A124,'Fleet register'!$A$7:$S$106,10,FALSE)),VLOOKUP($A124,'Fleet register'!$A$7:$S$106,15,FALSE)&gt;=0,VLOOKUP($A124,'Fleet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costs'!$B$67)&gt;=0,OR(D124&lt;&gt;"EV",E124=120,AND(MIN('Operating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24" s="1" t="str">
        <f>IF(C124=0,"Excluded",IF(P124&lt;&gt;"Complete",P124,IF(OR('Replacement plan'!$AD$36&lt;120-E124,AND(D124="EV",E124&lt;120,OR('Replacement plan'!$AC$36&lt;120-E124,'Replacement plan'!$I$36="No",AND(ISNUMBER(AF124),AE124&gt;AF124),AI124&gt;V124*(1-'Operating costs'!$B$46)^MAX(0,AB124-1)*(1-'Operating costs'!$B$45),AC124&gt;'Operating costs'!$B$18,AND(T124&lt;1,OR(AG124&lt;=0,AND(ISNUMBER(AH124),AG124&gt;AH124))),'Replacement plan'!$L$36&gt;INDEX(Products!$H$7:$H$13,MATCH('Replacement plan'!$B$36,Products!$A$7:$A$13,0))))),"Fails entered limits",IF(AND(D124="EV",E124&lt;120,OR(NOT(ISNUMBER(VLOOKUP($A124,'Fleet register'!$A$7:$S$106,7,FALSE))),NOT(ISNUMBER(VLOOKUP($A124,'Fleet register'!$A$7:$S$106,8,FALSE))),NOT(ISNUMBER(AF124)),'Replacement plan'!$I$36&lt;&gt;"Yes",NOT(ISNUMBER(AH124)),'Operating costs'!$B$59&lt;&gt;"Yes",'Operating costs'!$B$58&lt;&gt;"Yes")),"Unverified","Within entered limits"))))</f>
        <v>Excluded</v>
      </c>
      <c r="R124" s="1">
        <f>IF(C124=0,0,VLOOKUP($A124,'Fleet register'!$A$7:$S$106,6,FALSE))</f>
        <v>0</v>
      </c>
      <c r="S124" s="1">
        <f>IF(C124=0,0,VLOOKUP($A124,'Fleet register'!$A$7:$S$106,5,FALSE))</f>
        <v>0</v>
      </c>
      <c r="T124" s="1">
        <f>IF(D124="EV",'Energy and charging'!$B$12,0)</f>
        <v>0</v>
      </c>
      <c r="U124" s="1">
        <f>IFERROR(IF(C124=0,0,IF(D124="EV",IF('Replacement plan'!$F$36="",INDEX(Products!$E$7:$E$13,MATCH('Replacement plan'!$B$36,Products!$A$7:$A$13,0)),'Replacement plan'!$F$36)/IF('Replacement plan'!$G$36="Battery",1-'Operating costs'!$B$44,1),0)),"n.a.")</f>
        <v>0</v>
      </c>
      <c r="V124" s="1">
        <f>IFERROR(IF(C124=0,0,IF(D124="EV",IF('Replacement plan'!$E$36="",INDEX(Products!$D$7:$D$13,MATCH('Replacement plan'!$B$36,Products!$A$7:$A$13,0)),'Replacement plan'!$E$36),0)),"n.a.")</f>
        <v>0</v>
      </c>
      <c r="W124" s="1">
        <f>IF(C124=0,0,IF(AND(P124="Complete",D124="EV",E124&lt;120),IF(T124=0,0,ROUNDUP(T124*(R124-'Operating costs'!$B$41)*(S124*U124+'Operating costs'!$B$48/(1-'Operating costs'!$B$44))/(V124*'Operating costs'!$B$47/(1-'Operating costs'!$B$44)-T124*'Operating costs'!$B$12*U124),0)),0))</f>
        <v>0</v>
      </c>
      <c r="X124" s="1">
        <f>IF(C124=0,0,IF(AND(P124="Complete",D124="EV",E124&lt;120),(R124-'Operating costs'!$B$41)*(S124*U124+'Operating costs'!$B$48/(1-'Operating costs'!$B$44))+W124*'Operating costs'!$B$12*U124,0))</f>
        <v>0</v>
      </c>
      <c r="Y124" s="1">
        <f>IF(AND(C124=1,D124="EV",E124&lt;120),AI124/(1-'Operating costs'!$B$44)*(1-T124),0)</f>
        <v>0</v>
      </c>
      <c r="Z124" s="1">
        <f t="shared" si="2"/>
        <v>0</v>
      </c>
      <c r="AA124" s="1">
        <f>IF(C124=0,0,IF(P124="Complete",((S124*(R124-'Operating costs'!$B$40))+ROUNDUP(S124*(R124-'Operating costs'!$B$40)*IF('Replacement plan'!$AH$36="",'Operating costs'!$B$7,'Replacement plan'!$AH$36)/('Operating costs'!$B$8-'Operating costs'!$B$9*IF('Replacement plan'!$AH$36="",'Operating costs'!$B$7,'Replacement plan'!$AH$36)),0)*'Operating costs'!$B$9)*IF('Replacement plan'!$AH$36="",'Operating costs'!$B$7,'Replacement plan'!$AH$36),"n.a."))</f>
        <v>0</v>
      </c>
      <c r="AB124" s="1">
        <f t="shared" si="3"/>
        <v>0</v>
      </c>
      <c r="AC124" s="1">
        <f>IF(AND(C124=1,D124="EV",E124&lt;120,T124&gt;0),'Operating costs'!$B$12/'Operating costs'!$B$11*60+'Operating costs'!$B$13+'Operating costs'!$B$14+V124*'Operating costs'!$B$47/(1-'Operating costs'!$B$44)/'Replacement plan'!$L$36*60,0)</f>
        <v>0</v>
      </c>
      <c r="AD124" s="1" t="str">
        <f>'Replacement plan'!$B$36</f>
        <v>ChengLong L2EV</v>
      </c>
      <c r="AE124" s="1">
        <f>IF(C124=0,0,VLOOKUP($A124,'Fleet register'!$A$7:$S$106,8,FALSE))</f>
        <v>0</v>
      </c>
      <c r="AF124" s="1" t="str">
        <f>IF('Replacement plan'!$H$36="","n.a.",'Replacement plan'!$H$36)</f>
        <v>n.a.</v>
      </c>
      <c r="AG124" s="1">
        <f>'Replacement plan'!$J$36</f>
        <v>22</v>
      </c>
      <c r="AH124" s="1">
        <f>IFERROR(IF(D124="EV",IF('Replacement plan'!$K$36="AC",IF(ISNUMBER(INDEX(Products!$G$7:$G$13,MATCH('Replacement plan'!$B$36,Products!$A$7:$A$13,0))),INDEX(Products!$G$7:$G$13,MATCH('Replacement plan'!$B$36,Products!$A$7:$A$13,0)),"n.a."),IF(ISNUMBER(INDEX(Products!$H$7:$H$13,MATCH('Replacement plan'!$B$36,Products!$A$7:$A$13,0))),INDEX(Products!$H$7:$H$13,MATCH('Replacement plan'!$B$36,Products!$A$7:$A$13,0)),"n.a.")),0),"n.a.")</f>
        <v>0</v>
      </c>
      <c r="AI124" s="1">
        <f>IF(AND(C124=1,D124="EV",E124&lt;120),(VLOOKUP($A124,'Fleet register'!$A$7:$S$106,7,FALSE)+IF(T124&gt;0,'Operating costs'!$B$12,0))*U124*(1-'Operating costs'!$B$44)+'Operating costs'!$B$49,0)</f>
        <v>0</v>
      </c>
      <c r="AJ124" s="1">
        <f>IF(D124="EV",'Energy and charging'!$B$50,0)</f>
        <v>0</v>
      </c>
      <c r="AK124" s="17">
        <f>EDATE('Operating costs'!$B$63,E124)</f>
        <v>46298</v>
      </c>
      <c r="AL124" s="1">
        <f>IFERROR(IF(D124="EV",INDEX(Products!$B$7:$B$13,MATCH('Replacement plan'!$B$36,Products!$A$7:$A$13,0)),0),"n.a.")</f>
        <v>0</v>
      </c>
      <c r="AM124" s="1" t="str">
        <f>'Replacement plan'!$K$36</f>
        <v>DC</v>
      </c>
      <c r="AN124" s="1" t="str">
        <f>'Replacement plan'!$AE$36</f>
        <v>Assumed</v>
      </c>
      <c r="AO124" s="47">
        <f>IF(AND(C124=1,D124="EV",E124&lt;120),(R124-'Operating costs'!$B$41)*S124+W124*'Operating costs'!$B$12,0)</f>
        <v>0</v>
      </c>
      <c r="AP124" s="41">
        <f>IF(AND(C124=1,D124="EV",E124&lt;120),IF('Operating costs'!$B$68="Hong Seh 200k average",AO124*IFERROR(INDEX(Products!$P$7:$P$13,MATCH(AD124,Products!$A$7:$A$13,0)),"n.a."),'Operating costs'!$B$26),0)</f>
        <v>0</v>
      </c>
      <c r="AQ124" s="40" t="str">
        <f>IF(D124="EV",'Operating costs'!$B$68,"Not applicable")</f>
        <v>Not applicable</v>
      </c>
    </row>
    <row r="125" spans="1:43" ht="24" customHeight="1">
      <c r="A125" s="1" t="str">
        <f>'Replacement plan'!A36</f>
        <v>T030</v>
      </c>
      <c r="B125" s="1">
        <v>2</v>
      </c>
      <c r="C125" s="1">
        <f>IF(COUNTIFS('Fleet register'!$A$7:$A$106,$A125)=1,VLOOKUP($A125,'Fleet register'!$A$7:$S$106,2,FALSE),0)</f>
        <v>0</v>
      </c>
      <c r="D125" s="1" t="str">
        <f>IF('Replacement plan'!$O$36="EV","EV","ICE")</f>
        <v>ICE</v>
      </c>
      <c r="E125" s="1">
        <f>IF(C125=0,0,IF('Replacement plan'!$P$36="",IF('Replacement plan'!$O$36="Keep ICE",IF('Replacement plan'!$M$36="",VLOOKUP($A125,'Fleet register'!$A$7:$S$106,10,FALSE),'Replacement plan'!$M$36),0),'Replacement plan'!$P$36))</f>
        <v>0</v>
      </c>
      <c r="F125" s="16">
        <f>IF(C125=0,0,VLOOKUP($A125,'Fleet register'!$A$7:$S$106,11,FALSE))</f>
        <v>0</v>
      </c>
      <c r="G125" s="16">
        <f>IFERROR(IF(C125=0,0,IF(E125=120,0,IF(D125="ICE",'Replacement plan'!$C$36,IF('Replacement plan'!$D$36="",INDEX(Products!$I$7:$I$13,MATCH('Replacement plan'!$B$36,Products!$A$7:$A$13,0))+'Operating costs'!$B$57,'Replacement plan'!$D$36))*(1+'Operating costs'!$B$50)^(E125/12))),"n.a.")</f>
        <v>0</v>
      </c>
      <c r="H125" s="16">
        <f>IFERROR(IF(C125=0,0,IF('Replacement plan'!$U$36&lt;&gt;"",'Replacement plan'!$U$36,IF(E125=0,F125,VLOOKUP($A125,'Fleet register'!$A$7:$S$106,12,FALSE)+VLOOKUP($A125,'Fleet register'!$A$7:$S$106,13,FALSE)*MAX(0,VLOOKUP($A125,'Fleet register'!$A$7:$S$106,10,FALSE)-E125)/VLOOKUP($A125,'Fleet register'!$A$7:$S$106,14,FALSE)))),"n.a.")</f>
        <v>0</v>
      </c>
      <c r="I125" s="16">
        <f>IF(C125=0,0,IF(E125=120,0,'Replacement plan'!$Q$36))</f>
        <v>0</v>
      </c>
      <c r="J125" s="16">
        <f>IF(C125=0,0,IF(P125="Complete",((S125*(R125-'Operating costs'!$B$39))+ROUNDUP(S125*(R125-'Operating costs'!$B$39)*IF('Replacement plan'!$AG$36="",'Operating costs'!$B$7,'Replacement plan'!$AG$36)/('Operating costs'!$B$8-'Operating costs'!$B$9*IF('Replacement plan'!$AG$36="",'Operating costs'!$B$7,'Replacement plan'!$AG$36)),0)*'Operating costs'!$B$9)*IF('Replacement plan'!$AG$36="",'Operating costs'!$B$7,'Replacement plan'!$AG$36)*('Energy and charging'!$B$9*'Energy and charging'!$B$7+(1-'Energy and charging'!$B$9)*'Energy and charging'!$B$8)*'Operating costs'!$B$23,"n.a."))</f>
        <v>0</v>
      </c>
      <c r="K125" s="16">
        <f>IF(C125=0,0,IF(P125="Complete",SUM('Operating costs'!$B$24,'Operating costs'!$B$27,'Operating costs'!$B$29,'Operating costs'!$B$31,'Operating costs'!$B$33,'Operating costs'!$B$34,'Operating costs'!$B$37,'Replacement plan'!$W$36)+'Operating costs'!$B$39*'Operating costs'!$B$42+ROUNDUP(S125*(R125-'Operating costs'!$B$39)*IF('Replacement plan'!$AG$36="",'Operating costs'!$B$7,'Replacement plan'!$AG$36)/('Operating costs'!$B$8-'Operating costs'!$B$9*IF('Replacement plan'!$AG$36="",'Operating costs'!$B$7,'Replacement plan'!$AG$36)),0)*('Operating costs'!$B$9/'Operating costs'!$B$11+'Operating costs'!$B$10/60)*'Operating costs'!$B$19*'Operating costs'!$B$21,"n.a."))</f>
        <v>0</v>
      </c>
      <c r="L125" s="16">
        <f>IF(C125=0,0,IF(P125="Complete",IF(D125="EV",X125*((1-T125)*'Energy and charging'!$B$10+T125*'Energy and charging'!$B$11)*'Operating costs'!$B$22,AA125*('Energy and charging'!$B$9*'Energy and charging'!$B$7+(1-'Energy and charging'!$B$9)*'Energy and charging'!$B$8)*'Operating costs'!$B$23),"n.a."))</f>
        <v>0</v>
      </c>
      <c r="M125" s="37">
        <f>IF(C125=0,0,IF(P125="Complete",IF(D125="ICE",SUM('Operating costs'!$B$25,'Operating costs'!$B$27,'Operating costs'!$B$29,'Operating costs'!$B$31,'Operating costs'!$B$33,'Operating costs'!$B$35,'Operating costs'!$B$37,'Replacement plan'!$X$36)+'Operating costs'!$B$40*'Operating costs'!$B$42+ROUNDUP(S125*(R125-'Operating costs'!$B$40)*IF('Replacement plan'!$AH$36="",'Operating costs'!$B$7,'Replacement plan'!$AH$36)/('Operating costs'!$B$8-'Operating costs'!$B$9*IF('Replacement plan'!$AH$36="",'Operating costs'!$B$7,'Replacement plan'!$AH$36)),0)*('Operating costs'!$B$9/'Operating costs'!$B$11+'Operating costs'!$B$10/60)*'Operating costs'!$B$19*'Operating costs'!$B$21,SUM(AP125,'Operating costs'!$B$28,'Operating costs'!$B$30,'Operating costs'!$B$32,'Operating costs'!$B$33,'Operating costs'!$B$36,'Operating costs'!$B$38,'Replacement plan'!$Y$36)+'Operating costs'!$B$41*'Operating costs'!$B$43+W125*'Operating costs'!$B$15+(T125*X125/'Replacement plan'!$L$36+W125*('Operating costs'!$B$12/'Operating costs'!$B$11+('Operating costs'!$B$13+'Operating costs'!$B$14)/60)+(R125-'Operating costs'!$B$41)*(IF(T125&lt;1,'Operating costs'!$B$16,0)+'Operating costs'!$B$17)/60)*'Operating costs'!$B$19*'Operating costs'!$B$20),"n.a."))</f>
        <v>0</v>
      </c>
      <c r="N125" s="16">
        <f>IF(AND(C125=1,D125="EV",E125&lt;120,E125+'Replacement plan'!$AA$36&lt;=120),'Replacement plan'!$Z$36,0)</f>
        <v>0</v>
      </c>
      <c r="O125" s="1">
        <f>E125+'Replacement plan'!$AA$36</f>
        <v>0</v>
      </c>
      <c r="P125" s="35" t="str">
        <f>IFERROR(IF(C125=0,"Excluded",IF(OR(COUNTIFS('Fleet register'!$A$7:$A$106,A125)&lt;&gt;1,COUNTIFS('Replacement plan'!$A$7:$A$106,A125)&lt;&gt;1),"Duplicate/missing ID",IF(NOT(AND(ISNUMBER(VLOOKUP($A125,'Fleet register'!$A$7:$S$106,5,FALSE)),ISNUMBER(VLOOKUP($A125,'Fleet register'!$A$7:$S$106,6,FALSE)),ISNUMBER(VLOOKUP($A125,'Fleet register'!$A$7:$S$106,10,FALSE)),ISNUMBER(VLOOKUP($A125,'Fleet register'!$A$7:$S$106,11,FALSE)),ISNUMBER(VLOOKUP($A125,'Fleet register'!$A$7:$S$106,12,FALSE)),ISNUMBER(VLOOKUP($A125,'Fleet register'!$A$7:$S$106,13,FALSE)),ISNUMBER(VLOOKUP($A125,'Fleet register'!$A$7:$S$106,14,FALSE)),VLOOKUP($A125,'Fleet register'!$A$7:$S$106,14,FALSE)&gt;0,ISNUMBER('Replacement plan'!$C$36),OR(E125=120,ISNUMBER('Replacement plan'!$Q$36)),ISNUMBER(E125))),"Missing vehicle input",IF(OR(E125&lt;0,E125&gt;VLOOKUP($A125,'Fleet register'!$A$7:$S$106,10,FALSE),E125&gt;120,E125&lt;&gt;INT(E125),VLOOKUP($A125,'Fleet register'!$A$7:$S$106,6,FALSE)&lt;=0,VLOOKUP($A125,'Fleet register'!$A$7:$S$106,6,FALSE)&gt;366,VLOOKUP($A125,'Fleet register'!$A$7:$S$106,5,FALSE)&lt;0,VLOOKUP($A125,'Fleet register'!$A$7:$S$106,11,FALSE)&lt;0,I125&lt;0,'Operating costs'!$B$8&lt;='Operating costs'!$B$7*'Operating costs'!$B$9,'Operating costs'!$B$11&lt;=0,'Operating costs'!$B$39&gt;R125,'Operating costs'!$B$40&gt;R125,'Operating costs'!$B$41&gt;R125,NOT(OR('Replacement plan'!$O$36="Keep ICE",'Replacement plan'!$O$36="New ICE",'Replacement plan'!$O$36="EV"))),"Invalid vehicle input",IF(AND(D125="EV",E125&lt;120,OR(NOT(ISNUMBER(U125)),NOT(ISNUMBER(V125)),V125&lt;=0,T125&lt;0,T125&gt;1,'Replacement plan'!$L$36&lt;=0,'Operating costs'!$B$44&lt;0,'Operating costs'!$B$44&gt;=1,'Operating costs'!$B$47&lt;=0,'Operating costs'!$B$47&gt;1,V125*'Operating costs'!$B$47/(1-'Operating costs'!$B$44)&lt;=T125*'Operating costs'!$B$12*U125,AND('Replacement plan'!$Z$36&gt;0,OR('Replacement plan'!$AB$36&lt;&gt;"Yes",'Operating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charging'!$B$8&gt;=0))),ISNUMBER(VLOOKUP($A125,'Fleet register'!$A$7:$S$106,15,FALSE)),ISNUMBER(VLOOKUP($A125,'Fleet register'!$A$7:$S$106,16,FALSE)),ISNUMBER('Replacement plan'!$W$36),ISNUMBER('Replacement plan'!$X$36),OR(E125=120,AND(ISNUMBER(G125),G125&gt;=0)),ISNUMBER(H125),H125&gt;=0,OR(D125&lt;&gt;"EV",E125=120,AND(ISNUMBER('Operating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average",ISNUMBER(IFERROR(INDEX(Products!$P$7:$P$13,MATCH(AD125,Products!$A$7:$A$13,0)),"")))),ISNUMBER('Operating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plan'!$Y$36),ISNUMBER('Replacement plan'!$Z$36),'Replacement plan'!$Z$36&gt;=0,ISNUMBER('Replacement plan'!$AA$36),'Replacement plan'!$AA$36&gt;=0,'Replacement plan'!$AA$36=INT('Replacement plan'!$AA$36),ISNUMBER('Replacement plan'!$L$36))),'Operating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plan'!$AG$36="",'Operating costs'!$B$7,'Replacement plan'!$AG$36)),IF('Replacement plan'!$AG$36="",'Operating costs'!$B$7,'Replacement plan'!$AG$36)&gt;=0,ISNUMBER(IF('Replacement plan'!$AH$36="",'Operating costs'!$B$7,'Replacement plan'!$AH$36)),IF('Replacement plan'!$AH$36="",'Operating costs'!$B$7,'Replacement plan'!$AH$36)&gt;=0,'Operating costs'!$B$8&gt;MAX(IF('Replacement plan'!$AG$36="",'Operating costs'!$B$7,'Replacement plan'!$AG$36),IF('Replacement plan'!$AH$36="",'Operating costs'!$B$7,'Replacement plan'!$AH$36))*'Operating costs'!$B$9),IF(AND(VLOOKUP($A125,'Fleet register'!$A$7:$S$106,10,FALSE)&gt;=0,VLOOKUP($A125,'Fleet register'!$A$7:$S$106,10,FALSE)&lt;=120,VLOOKUP($A125,'Fleet register'!$A$7:$S$106,10,FALSE)=INT(VLOOKUP($A125,'Fleet register'!$A$7:$S$106,10,FALSE)),VLOOKUP($A125,'Fleet register'!$A$7:$S$106,15,FALSE)&gt;=0,VLOOKUP($A125,'Fleet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costs'!$B$67)&gt;=0,OR(D125&lt;&gt;"EV",E125=120,AND(MIN('Operating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25" s="1" t="str">
        <f>IF(C125=0,"Excluded",IF(P125&lt;&gt;"Complete",P125,IF(OR('Replacement plan'!$AD$36&lt;120-E125,AND(D125="EV",E125&lt;120,OR('Replacement plan'!$AC$36&lt;120-E125,'Replacement plan'!$I$36="No",AND(ISNUMBER(AF125),AE125&gt;AF125),AI125&gt;V125*(1-'Operating costs'!$B$46)^MAX(0,AB125-1)*(1-'Operating costs'!$B$45),AC125&gt;'Operating costs'!$B$18,AND(T125&lt;1,OR(AG125&lt;=0,AND(ISNUMBER(AH125),AG125&gt;AH125))),'Replacement plan'!$L$36&gt;INDEX(Products!$H$7:$H$13,MATCH('Replacement plan'!$B$36,Products!$A$7:$A$13,0))))),"Fails entered limits",IF(AND(D125="EV",E125&lt;120,OR(NOT(ISNUMBER(VLOOKUP($A125,'Fleet register'!$A$7:$S$106,7,FALSE))),NOT(ISNUMBER(VLOOKUP($A125,'Fleet register'!$A$7:$S$106,8,FALSE))),NOT(ISNUMBER(AF125)),'Replacement plan'!$I$36&lt;&gt;"Yes",NOT(ISNUMBER(AH125)),'Operating costs'!$B$59&lt;&gt;"Yes",'Operating costs'!$B$58&lt;&gt;"Yes")),"Unverified","Within entered limits"))))</f>
        <v>Excluded</v>
      </c>
      <c r="R125" s="1">
        <f>IF(C125=0,0,VLOOKUP($A125,'Fleet register'!$A$7:$S$106,6,FALSE))</f>
        <v>0</v>
      </c>
      <c r="S125" s="1">
        <f>IF(C125=0,0,VLOOKUP($A125,'Fleet register'!$A$7:$S$106,5,FALSE))</f>
        <v>0</v>
      </c>
      <c r="T125" s="1">
        <f>IF(D125="EV",'Energy and charging'!$B$12,0)</f>
        <v>0</v>
      </c>
      <c r="U125" s="1">
        <f>IFERROR(IF(C125=0,0,IF(D125="EV",IF('Replacement plan'!$F$36="",INDEX(Products!$E$7:$E$13,MATCH('Replacement plan'!$B$36,Products!$A$7:$A$13,0)),'Replacement plan'!$F$36)/IF('Replacement plan'!$G$36="Battery",1-'Operating costs'!$B$44,1),0)),"n.a.")</f>
        <v>0</v>
      </c>
      <c r="V125" s="1">
        <f>IFERROR(IF(C125=0,0,IF(D125="EV",IF('Replacement plan'!$E$36="",INDEX(Products!$D$7:$D$13,MATCH('Replacement plan'!$B$36,Products!$A$7:$A$13,0)),'Replacement plan'!$E$36),0)),"n.a.")</f>
        <v>0</v>
      </c>
      <c r="W125" s="1">
        <f>IF(C125=0,0,IF(AND(P125="Complete",D125="EV",E125&lt;120),IF(T125=0,0,ROUNDUP(T125*(R125-'Operating costs'!$B$41)*(S125*U125+'Operating costs'!$B$48/(1-'Operating costs'!$B$44))/(V125*'Operating costs'!$B$47/(1-'Operating costs'!$B$44)-T125*'Operating costs'!$B$12*U125),0)),0))</f>
        <v>0</v>
      </c>
      <c r="X125" s="1">
        <f>IF(C125=0,0,IF(AND(P125="Complete",D125="EV",E125&lt;120),(R125-'Operating costs'!$B$41)*(S125*U125+'Operating costs'!$B$48/(1-'Operating costs'!$B$44))+W125*'Operating costs'!$B$12*U125,0))</f>
        <v>0</v>
      </c>
      <c r="Y125" s="1">
        <f>IF(AND(C125=1,D125="EV",E125&lt;120),AI125/(1-'Operating costs'!$B$44)*(1-T125),0)</f>
        <v>0</v>
      </c>
      <c r="Z125" s="1">
        <f t="shared" si="2"/>
        <v>0</v>
      </c>
      <c r="AA125" s="1">
        <f>IF(C125=0,0,IF(P125="Complete",((S125*(R125-'Operating costs'!$B$40))+ROUNDUP(S125*(R125-'Operating costs'!$B$40)*IF('Replacement plan'!$AH$36="",'Operating costs'!$B$7,'Replacement plan'!$AH$36)/('Operating costs'!$B$8-'Operating costs'!$B$9*IF('Replacement plan'!$AH$36="",'Operating costs'!$B$7,'Replacement plan'!$AH$36)),0)*'Operating costs'!$B$9)*IF('Replacement plan'!$AH$36="",'Operating costs'!$B$7,'Replacement plan'!$AH$36),"n.a."))</f>
        <v>0</v>
      </c>
      <c r="AB125" s="1">
        <f t="shared" si="3"/>
        <v>0</v>
      </c>
      <c r="AC125" s="1">
        <f>IF(AND(C125=1,D125="EV",E125&lt;120,T125&gt;0),'Operating costs'!$B$12/'Operating costs'!$B$11*60+'Operating costs'!$B$13+'Operating costs'!$B$14+V125*'Operating costs'!$B$47/(1-'Operating costs'!$B$44)/'Replacement plan'!$L$36*60,0)</f>
        <v>0</v>
      </c>
      <c r="AD125" s="1" t="str">
        <f>'Replacement plan'!$B$36</f>
        <v>ChengLong L2EV</v>
      </c>
      <c r="AE125" s="1">
        <f>IF(C125=0,0,VLOOKUP($A125,'Fleet register'!$A$7:$S$106,8,FALSE))</f>
        <v>0</v>
      </c>
      <c r="AF125" s="1" t="str">
        <f>IF('Replacement plan'!$H$36="","n.a.",'Replacement plan'!$H$36)</f>
        <v>n.a.</v>
      </c>
      <c r="AG125" s="1">
        <f>'Replacement plan'!$J$36</f>
        <v>22</v>
      </c>
      <c r="AH125" s="1">
        <f>IFERROR(IF(D125="EV",IF('Replacement plan'!$K$36="AC",IF(ISNUMBER(INDEX(Products!$G$7:$G$13,MATCH('Replacement plan'!$B$36,Products!$A$7:$A$13,0))),INDEX(Products!$G$7:$G$13,MATCH('Replacement plan'!$B$36,Products!$A$7:$A$13,0)),"n.a."),IF(ISNUMBER(INDEX(Products!$H$7:$H$13,MATCH('Replacement plan'!$B$36,Products!$A$7:$A$13,0))),INDEX(Products!$H$7:$H$13,MATCH('Replacement plan'!$B$36,Products!$A$7:$A$13,0)),"n.a.")),0),"n.a.")</f>
        <v>0</v>
      </c>
      <c r="AI125" s="1">
        <f>IF(AND(C125=1,D125="EV",E125&lt;120),(VLOOKUP($A125,'Fleet register'!$A$7:$S$106,7,FALSE)+IF(T125&gt;0,'Operating costs'!$B$12,0))*U125*(1-'Operating costs'!$B$44)+'Operating costs'!$B$49,0)</f>
        <v>0</v>
      </c>
      <c r="AJ125" s="1">
        <f>IF(D125="EV",'Energy and charging'!$B$50,0)</f>
        <v>0</v>
      </c>
      <c r="AK125" s="17">
        <f>EDATE('Operating costs'!$B$63,E125)</f>
        <v>46298</v>
      </c>
      <c r="AL125" s="1">
        <f>IFERROR(IF(D125="EV",INDEX(Products!$B$7:$B$13,MATCH('Replacement plan'!$B$36,Products!$A$7:$A$13,0)),0),"n.a.")</f>
        <v>0</v>
      </c>
      <c r="AM125" s="1" t="str">
        <f>'Replacement plan'!$K$36</f>
        <v>DC</v>
      </c>
      <c r="AN125" s="1" t="str">
        <f>'Replacement plan'!$AE$36</f>
        <v>Assumed</v>
      </c>
      <c r="AO125" s="47">
        <f>IF(AND(C125=1,D125="EV",E125&lt;120),(R125-'Operating costs'!$B$41)*S125+W125*'Operating costs'!$B$12,0)</f>
        <v>0</v>
      </c>
      <c r="AP125" s="41">
        <f>IF(AND(C125=1,D125="EV",E125&lt;120),IF('Operating costs'!$B$68="Hong Seh 200k average",AO125*IFERROR(INDEX(Products!$P$7:$P$13,MATCH(AD125,Products!$A$7:$A$13,0)),"n.a."),'Operating costs'!$B$26),0)</f>
        <v>0</v>
      </c>
      <c r="AQ125" s="40" t="str">
        <f>IF(D125="EV",'Operating costs'!$B$68,"Not applicable")</f>
        <v>Not applicable</v>
      </c>
    </row>
    <row r="126" spans="1:43" ht="24" customHeight="1">
      <c r="A126" s="1" t="str">
        <f>'Replacement plan'!A36</f>
        <v>T030</v>
      </c>
      <c r="B126" s="1">
        <v>3</v>
      </c>
      <c r="C126" s="1">
        <f>IF(COUNTIFS('Fleet register'!$A$7:$A$106,$A126)=1,VLOOKUP($A126,'Fleet register'!$A$7:$S$106,2,FALSE),0)</f>
        <v>0</v>
      </c>
      <c r="D126" s="1" t="str">
        <f>IF('Replacement plan'!$R$36="EV","EV","ICE")</f>
        <v>ICE</v>
      </c>
      <c r="E126" s="1">
        <f>IF(C126=0,0,IF('Replacement plan'!$S$36="",IF('Replacement plan'!$R$36="Keep ICE",IF('Replacement plan'!$M$36="",VLOOKUP($A126,'Fleet register'!$A$7:$S$106,10,FALSE),'Replacement plan'!$M$36),0),'Replacement plan'!$S$36))</f>
        <v>0</v>
      </c>
      <c r="F126" s="16">
        <f>IF(C126=0,0,VLOOKUP($A126,'Fleet register'!$A$7:$S$106,11,FALSE))</f>
        <v>0</v>
      </c>
      <c r="G126" s="16">
        <f>IFERROR(IF(C126=0,0,IF(E126=120,0,IF(D126="ICE",'Replacement plan'!$C$36,IF('Replacement plan'!$D$36="",INDEX(Products!$I$7:$I$13,MATCH('Replacement plan'!$B$36,Products!$A$7:$A$13,0))+'Operating costs'!$B$57,'Replacement plan'!$D$36))*(1+'Operating costs'!$B$50)^(E126/12))),"n.a.")</f>
        <v>0</v>
      </c>
      <c r="H126" s="16">
        <f>IFERROR(IF(C126=0,0,IF('Replacement plan'!$V$36&lt;&gt;"",'Replacement plan'!$V$36,IF(E126=0,F126,VLOOKUP($A126,'Fleet register'!$A$7:$S$106,12,FALSE)+VLOOKUP($A126,'Fleet register'!$A$7:$S$106,13,FALSE)*MAX(0,VLOOKUP($A126,'Fleet register'!$A$7:$S$106,10,FALSE)-E126)/VLOOKUP($A126,'Fleet register'!$A$7:$S$106,14,FALSE)))),"n.a.")</f>
        <v>0</v>
      </c>
      <c r="I126" s="16">
        <f>IF(C126=0,0,IF(E126=120,0,'Replacement plan'!$T$36))</f>
        <v>0</v>
      </c>
      <c r="J126" s="16">
        <f>IF(C126=0,0,IF(P126="Complete",((S126*(R126-'Operating costs'!$B$39))+ROUNDUP(S126*(R126-'Operating costs'!$B$39)*IF('Replacement plan'!$AG$36="",'Operating costs'!$B$7,'Replacement plan'!$AG$36)/('Operating costs'!$B$8-'Operating costs'!$B$9*IF('Replacement plan'!$AG$36="",'Operating costs'!$B$7,'Replacement plan'!$AG$36)),0)*'Operating costs'!$B$9)*IF('Replacement plan'!$AG$36="",'Operating costs'!$B$7,'Replacement plan'!$AG$36)*('Energy and charging'!$C$9*'Energy and charging'!$C$7+(1-'Energy and charging'!$C$9)*'Energy and charging'!$C$8)*'Operating costs'!$B$23,"n.a."))</f>
        <v>0</v>
      </c>
      <c r="K126" s="16">
        <f>IF(C126=0,0,IF(P126="Complete",SUM('Operating costs'!$B$24,'Operating costs'!$B$27,'Operating costs'!$B$29,'Operating costs'!$B$31,'Operating costs'!$B$33,'Operating costs'!$B$34,'Operating costs'!$B$37,'Replacement plan'!$W$36)+'Operating costs'!$B$39*'Operating costs'!$B$42+ROUNDUP(S126*(R126-'Operating costs'!$B$39)*IF('Replacement plan'!$AG$36="",'Operating costs'!$B$7,'Replacement plan'!$AG$36)/('Operating costs'!$B$8-'Operating costs'!$B$9*IF('Replacement plan'!$AG$36="",'Operating costs'!$B$7,'Replacement plan'!$AG$36)),0)*('Operating costs'!$B$9/'Operating costs'!$B$11+'Operating costs'!$B$10/60)*'Operating costs'!$B$19*'Operating costs'!$B$21,"n.a."))</f>
        <v>0</v>
      </c>
      <c r="L126" s="16">
        <f>IF(C126=0,0,IF(P126="Complete",IF(D126="EV",X126*((1-T126)*'Energy and charging'!$C$10+T126*'Energy and charging'!$C$11)*'Operating costs'!$B$22,AA126*('Energy and charging'!$C$9*'Energy and charging'!$C$7+(1-'Energy and charging'!$C$9)*'Energy and charging'!$C$8)*'Operating costs'!$B$23),"n.a."))</f>
        <v>0</v>
      </c>
      <c r="M126" s="37">
        <f>IF(C126=0,0,IF(P126="Complete",IF(D126="ICE",SUM('Operating costs'!$B$25,'Operating costs'!$B$27,'Operating costs'!$B$29,'Operating costs'!$B$31,'Operating costs'!$B$33,'Operating costs'!$B$35,'Operating costs'!$B$37,'Replacement plan'!$X$36)+'Operating costs'!$B$40*'Operating costs'!$B$42+ROUNDUP(S126*(R126-'Operating costs'!$B$40)*IF('Replacement plan'!$AH$36="",'Operating costs'!$B$7,'Replacement plan'!$AH$36)/('Operating costs'!$B$8-'Operating costs'!$B$9*IF('Replacement plan'!$AH$36="",'Operating costs'!$B$7,'Replacement plan'!$AH$36)),0)*('Operating costs'!$B$9/'Operating costs'!$B$11+'Operating costs'!$B$10/60)*'Operating costs'!$B$19*'Operating costs'!$B$21,SUM(AP126,'Operating costs'!$B$28,'Operating costs'!$B$30,'Operating costs'!$B$32,'Operating costs'!$B$33,'Operating costs'!$B$36,'Operating costs'!$B$38,'Replacement plan'!$Y$36)+'Operating costs'!$B$41*'Operating costs'!$B$43+W126*'Operating costs'!$B$15+(T126*X126/'Replacement plan'!$L$36+W126*('Operating costs'!$B$12/'Operating costs'!$B$11+('Operating costs'!$B$13+'Operating costs'!$B$14)/60)+(R126-'Operating costs'!$B$41)*(IF(T126&lt;1,'Operating costs'!$B$16,0)+'Operating costs'!$B$17)/60)*'Operating costs'!$B$19*'Operating costs'!$B$20),"n.a."))</f>
        <v>0</v>
      </c>
      <c r="N126" s="16">
        <f>IF(AND(C126=1,D126="EV",E126&lt;120,E126+'Replacement plan'!$AA$36&lt;=120),'Replacement plan'!$Z$36,0)</f>
        <v>0</v>
      </c>
      <c r="O126" s="1">
        <f>E126+'Replacement plan'!$AA$36</f>
        <v>0</v>
      </c>
      <c r="P126" s="35" t="str">
        <f>IFERROR(IF(C126=0,"Excluded",IF(OR(COUNTIFS('Fleet register'!$A$7:$A$106,A126)&lt;&gt;1,COUNTIFS('Replacement plan'!$A$7:$A$106,A126)&lt;&gt;1),"Duplicate/missing ID",IF(NOT(AND(ISNUMBER(VLOOKUP($A126,'Fleet register'!$A$7:$S$106,5,FALSE)),ISNUMBER(VLOOKUP($A126,'Fleet register'!$A$7:$S$106,6,FALSE)),ISNUMBER(VLOOKUP($A126,'Fleet register'!$A$7:$S$106,10,FALSE)),ISNUMBER(VLOOKUP($A126,'Fleet register'!$A$7:$S$106,11,FALSE)),ISNUMBER(VLOOKUP($A126,'Fleet register'!$A$7:$S$106,12,FALSE)),ISNUMBER(VLOOKUP($A126,'Fleet register'!$A$7:$S$106,13,FALSE)),ISNUMBER(VLOOKUP($A126,'Fleet register'!$A$7:$S$106,14,FALSE)),VLOOKUP($A126,'Fleet register'!$A$7:$S$106,14,FALSE)&gt;0,ISNUMBER('Replacement plan'!$C$36),OR(E126=120,ISNUMBER('Replacement plan'!$T$36)),ISNUMBER(E126))),"Missing vehicle input",IF(OR(E126&lt;0,E126&gt;VLOOKUP($A126,'Fleet register'!$A$7:$S$106,10,FALSE),E126&gt;120,E126&lt;&gt;INT(E126),VLOOKUP($A126,'Fleet register'!$A$7:$S$106,6,FALSE)&lt;=0,VLOOKUP($A126,'Fleet register'!$A$7:$S$106,6,FALSE)&gt;366,VLOOKUP($A126,'Fleet register'!$A$7:$S$106,5,FALSE)&lt;0,VLOOKUP($A126,'Fleet register'!$A$7:$S$106,11,FALSE)&lt;0,I126&lt;0,'Operating costs'!$B$8&lt;='Operating costs'!$B$7*'Operating costs'!$B$9,'Operating costs'!$B$11&lt;=0,'Operating costs'!$B$39&gt;R126,'Operating costs'!$B$40&gt;R126,'Operating costs'!$B$41&gt;R126,NOT(OR('Replacement plan'!$R$36="Keep ICE",'Replacement plan'!$R$36="New ICE",'Replacement plan'!$R$36="EV"))),"Invalid vehicle input",IF(AND(D126="EV",E126&lt;120,OR(NOT(ISNUMBER(U126)),NOT(ISNUMBER(V126)),V126&lt;=0,T126&lt;0,T126&gt;1,'Replacement plan'!$L$36&lt;=0,'Operating costs'!$B$44&lt;0,'Operating costs'!$B$44&gt;=1,'Operating costs'!$B$47&lt;=0,'Operating costs'!$B$47&gt;1,V126*'Operating costs'!$B$47/(1-'Operating costs'!$B$44)&lt;=T126*'Operating costs'!$B$12*U126,AND('Replacement plan'!$Z$36&gt;0,OR('Replacement plan'!$AB$36&lt;&gt;"Yes",'Operating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charging'!$C$8&gt;=0))),ISNUMBER(VLOOKUP($A126,'Fleet register'!$A$7:$S$106,15,FALSE)),ISNUMBER(VLOOKUP($A126,'Fleet register'!$A$7:$S$106,16,FALSE)),ISNUMBER('Replacement plan'!$W$36),ISNUMBER('Replacement plan'!$X$36),OR(E126=120,AND(ISNUMBER(G126),G126&gt;=0)),ISNUMBER(H126),H126&gt;=0,OR(D126&lt;&gt;"EV",E126=120,AND(ISNUMBER('Operating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average",ISNUMBER(IFERROR(INDEX(Products!$P$7:$P$13,MATCH(AD126,Products!$A$7:$A$13,0)),"")))),ISNUMBER('Operating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plan'!$Y$36),ISNUMBER('Replacement plan'!$Z$36),'Replacement plan'!$Z$36&gt;=0,ISNUMBER('Replacement plan'!$AA$36),'Replacement plan'!$AA$36&gt;=0,'Replacement plan'!$AA$36=INT('Replacement plan'!$AA$36),ISNUMBER('Replacement plan'!$L$36))),'Operating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plan'!$AG$36="",'Operating costs'!$B$7,'Replacement plan'!$AG$36)),IF('Replacement plan'!$AG$36="",'Operating costs'!$B$7,'Replacement plan'!$AG$36)&gt;=0,ISNUMBER(IF('Replacement plan'!$AH$36="",'Operating costs'!$B$7,'Replacement plan'!$AH$36)),IF('Replacement plan'!$AH$36="",'Operating costs'!$B$7,'Replacement plan'!$AH$36)&gt;=0,'Operating costs'!$B$8&gt;MAX(IF('Replacement plan'!$AG$36="",'Operating costs'!$B$7,'Replacement plan'!$AG$36),IF('Replacement plan'!$AH$36="",'Operating costs'!$B$7,'Replacement plan'!$AH$36))*'Operating costs'!$B$9),IF(AND(VLOOKUP($A126,'Fleet register'!$A$7:$S$106,10,FALSE)&gt;=0,VLOOKUP($A126,'Fleet register'!$A$7:$S$106,10,FALSE)&lt;=120,VLOOKUP($A126,'Fleet register'!$A$7:$S$106,10,FALSE)=INT(VLOOKUP($A126,'Fleet register'!$A$7:$S$106,10,FALSE)),VLOOKUP($A126,'Fleet register'!$A$7:$S$106,15,FALSE)&gt;=0,VLOOKUP($A126,'Fleet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costs'!$B$67)&gt;=0,OR(D126&lt;&gt;"EV",E126=120,AND(MIN('Operating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26" s="1" t="str">
        <f>IF(C126=0,"Excluded",IF(P126&lt;&gt;"Complete",P126,IF(OR('Replacement plan'!$AD$36&lt;120-E126,AND(D126="EV",E126&lt;120,OR('Replacement plan'!$AC$36&lt;120-E126,'Replacement plan'!$I$36="No",AND(ISNUMBER(AF126),AE126&gt;AF126),AI126&gt;V126*(1-'Operating costs'!$B$46)^MAX(0,AB126-1)*(1-'Operating costs'!$B$45),AC126&gt;'Operating costs'!$B$18,AND(T126&lt;1,OR(AG126&lt;=0,AND(ISNUMBER(AH126),AG126&gt;AH126))),'Replacement plan'!$L$36&gt;INDEX(Products!$H$7:$H$13,MATCH('Replacement plan'!$B$36,Products!$A$7:$A$13,0))))),"Fails entered limits",IF(AND(D126="EV",E126&lt;120,OR(NOT(ISNUMBER(VLOOKUP($A126,'Fleet register'!$A$7:$S$106,7,FALSE))),NOT(ISNUMBER(VLOOKUP($A126,'Fleet register'!$A$7:$S$106,8,FALSE))),NOT(ISNUMBER(AF126)),'Replacement plan'!$I$36&lt;&gt;"Yes",NOT(ISNUMBER(AH126)),'Operating costs'!$B$59&lt;&gt;"Yes",'Operating costs'!$B$58&lt;&gt;"Yes")),"Unverified","Within entered limits"))))</f>
        <v>Excluded</v>
      </c>
      <c r="R126" s="1">
        <f>IF(C126=0,0,VLOOKUP($A126,'Fleet register'!$A$7:$S$106,6,FALSE))</f>
        <v>0</v>
      </c>
      <c r="S126" s="1">
        <f>IF(C126=0,0,VLOOKUP($A126,'Fleet register'!$A$7:$S$106,5,FALSE))</f>
        <v>0</v>
      </c>
      <c r="T126" s="1">
        <f>IF(D126="EV",'Energy and charging'!$C$12,0)</f>
        <v>0</v>
      </c>
      <c r="U126" s="1">
        <f>IFERROR(IF(C126=0,0,IF(D126="EV",IF('Replacement plan'!$F$36="",INDEX(Products!$E$7:$E$13,MATCH('Replacement plan'!$B$36,Products!$A$7:$A$13,0)),'Replacement plan'!$F$36)/IF('Replacement plan'!$G$36="Battery",1-'Operating costs'!$B$44,1),0)),"n.a.")</f>
        <v>0</v>
      </c>
      <c r="V126" s="1">
        <f>IFERROR(IF(C126=0,0,IF(D126="EV",IF('Replacement plan'!$E$36="",INDEX(Products!$D$7:$D$13,MATCH('Replacement plan'!$B$36,Products!$A$7:$A$13,0)),'Replacement plan'!$E$36),0)),"n.a.")</f>
        <v>0</v>
      </c>
      <c r="W126" s="1">
        <f>IF(C126=0,0,IF(AND(P126="Complete",D126="EV",E126&lt;120),IF(T126=0,0,ROUNDUP(T126*(R126-'Operating costs'!$B$41)*(S126*U126+'Operating costs'!$B$48/(1-'Operating costs'!$B$44))/(V126*'Operating costs'!$B$47/(1-'Operating costs'!$B$44)-T126*'Operating costs'!$B$12*U126),0)),0))</f>
        <v>0</v>
      </c>
      <c r="X126" s="1">
        <f>IF(C126=0,0,IF(AND(P126="Complete",D126="EV",E126&lt;120),(R126-'Operating costs'!$B$41)*(S126*U126+'Operating costs'!$B$48/(1-'Operating costs'!$B$44))+W126*'Operating costs'!$B$12*U126,0))</f>
        <v>0</v>
      </c>
      <c r="Y126" s="1">
        <f>IF(AND(C126=1,D126="EV",E126&lt;120),AI126/(1-'Operating costs'!$B$44)*(1-T126),0)</f>
        <v>0</v>
      </c>
      <c r="Z126" s="1">
        <f t="shared" si="2"/>
        <v>0</v>
      </c>
      <c r="AA126" s="1">
        <f>IF(C126=0,0,IF(P126="Complete",((S126*(R126-'Operating costs'!$B$40))+ROUNDUP(S126*(R126-'Operating costs'!$B$40)*IF('Replacement plan'!$AH$36="",'Operating costs'!$B$7,'Replacement plan'!$AH$36)/('Operating costs'!$B$8-'Operating costs'!$B$9*IF('Replacement plan'!$AH$36="",'Operating costs'!$B$7,'Replacement plan'!$AH$36)),0)*'Operating costs'!$B$9)*IF('Replacement plan'!$AH$36="",'Operating costs'!$B$7,'Replacement plan'!$AH$36),"n.a."))</f>
        <v>0</v>
      </c>
      <c r="AB126" s="1">
        <f t="shared" si="3"/>
        <v>0</v>
      </c>
      <c r="AC126" s="1">
        <f>IF(AND(C126=1,D126="EV",E126&lt;120,T126&gt;0),'Operating costs'!$B$12/'Operating costs'!$B$11*60+'Operating costs'!$B$13+'Operating costs'!$B$14+V126*'Operating costs'!$B$47/(1-'Operating costs'!$B$44)/'Replacement plan'!$L$36*60,0)</f>
        <v>0</v>
      </c>
      <c r="AD126" s="1" t="str">
        <f>'Replacement plan'!$B$36</f>
        <v>ChengLong L2EV</v>
      </c>
      <c r="AE126" s="1">
        <f>IF(C126=0,0,VLOOKUP($A126,'Fleet register'!$A$7:$S$106,8,FALSE))</f>
        <v>0</v>
      </c>
      <c r="AF126" s="1" t="str">
        <f>IF('Replacement plan'!$H$36="","n.a.",'Replacement plan'!$H$36)</f>
        <v>n.a.</v>
      </c>
      <c r="AG126" s="1">
        <f>'Replacement plan'!$J$36</f>
        <v>22</v>
      </c>
      <c r="AH126" s="1">
        <f>IFERROR(IF(D126="EV",IF('Replacement plan'!$K$36="AC",IF(ISNUMBER(INDEX(Products!$G$7:$G$13,MATCH('Replacement plan'!$B$36,Products!$A$7:$A$13,0))),INDEX(Products!$G$7:$G$13,MATCH('Replacement plan'!$B$36,Products!$A$7:$A$13,0)),"n.a."),IF(ISNUMBER(INDEX(Products!$H$7:$H$13,MATCH('Replacement plan'!$B$36,Products!$A$7:$A$13,0))),INDEX(Products!$H$7:$H$13,MATCH('Replacement plan'!$B$36,Products!$A$7:$A$13,0)),"n.a.")),0),"n.a.")</f>
        <v>0</v>
      </c>
      <c r="AI126" s="1">
        <f>IF(AND(C126=1,D126="EV",E126&lt;120),(VLOOKUP($A126,'Fleet register'!$A$7:$S$106,7,FALSE)+IF(T126&gt;0,'Operating costs'!$B$12,0))*U126*(1-'Operating costs'!$B$44)+'Operating costs'!$B$49,0)</f>
        <v>0</v>
      </c>
      <c r="AJ126" s="1">
        <f>IF(D126="EV",'Energy and charging'!$C$50,0)</f>
        <v>0</v>
      </c>
      <c r="AK126" s="17">
        <f>EDATE('Operating costs'!$B$63,E126)</f>
        <v>46298</v>
      </c>
      <c r="AL126" s="1">
        <f>IFERROR(IF(D126="EV",INDEX(Products!$B$7:$B$13,MATCH('Replacement plan'!$B$36,Products!$A$7:$A$13,0)),0),"n.a.")</f>
        <v>0</v>
      </c>
      <c r="AM126" s="1" t="str">
        <f>'Replacement plan'!$K$36</f>
        <v>DC</v>
      </c>
      <c r="AN126" s="1" t="str">
        <f>'Replacement plan'!$AE$36</f>
        <v>Assumed</v>
      </c>
      <c r="AO126" s="47">
        <f>IF(AND(C126=1,D126="EV",E126&lt;120),(R126-'Operating costs'!$B$41)*S126+W126*'Operating costs'!$B$12,0)</f>
        <v>0</v>
      </c>
      <c r="AP126" s="41">
        <f>IF(AND(C126=1,D126="EV",E126&lt;120),IF('Operating costs'!$B$68="Hong Seh 200k average",AO126*IFERROR(INDEX(Products!$P$7:$P$13,MATCH(AD126,Products!$A$7:$A$13,0)),"n.a."),'Operating costs'!$B$26),0)</f>
        <v>0</v>
      </c>
      <c r="AQ126" s="40" t="str">
        <f>IF(D126="EV",'Operating costs'!$B$68,"Not applicable")</f>
        <v>Not applicable</v>
      </c>
    </row>
    <row r="127" spans="1:43" ht="24" customHeight="1">
      <c r="A127" s="1" t="str">
        <f>'Replacement plan'!A37</f>
        <v>T031</v>
      </c>
      <c r="B127" s="1">
        <v>0</v>
      </c>
      <c r="C127" s="1">
        <f>IF(COUNTIFS('Fleet register'!$A$7:$A$106,$A127)=1,VLOOKUP($A127,'Fleet register'!$A$7:$S$106,2,FALSE),0)</f>
        <v>0</v>
      </c>
      <c r="D127" s="1" t="str">
        <f>IF("Keep ICE"="EV","EV","ICE")</f>
        <v>ICE</v>
      </c>
      <c r="E127" s="1">
        <f>IF(C127=0,0,IF('Replacement plan'!$M$37="",VLOOKUP($A127,'Fleet register'!$A$7:$S$106,10,FALSE),'Replacement plan'!$M$37))</f>
        <v>0</v>
      </c>
      <c r="F127" s="16">
        <f>IF(C127=0,0,VLOOKUP($A127,'Fleet register'!$A$7:$S$106,11,FALSE))</f>
        <v>0</v>
      </c>
      <c r="G127" s="16">
        <f>IFERROR(IF(C127=0,0,IF(E127=120,0,IF(D127="ICE",'Replacement plan'!$C$37,IF('Replacement plan'!$D$37="",INDEX(Products!$I$7:$I$13,MATCH('Replacement plan'!$B$37,Products!$A$7:$A$13,0))+'Operating costs'!$B$57,'Replacement plan'!$D$37))*(1+'Operating costs'!$B$50)^(E127/12))),"n.a.")</f>
        <v>0</v>
      </c>
      <c r="H127" s="16">
        <f>IFERROR(IF(C127=0,0,IF(E127=0,F127,VLOOKUP($A127,'Fleet register'!$A$7:$S$106,12,FALSE)+VLOOKUP($A127,'Fleet register'!$A$7:$S$106,13,FALSE)*MAX(0,VLOOKUP($A127,'Fleet register'!$A$7:$S$106,10,FALSE)-E127)/VLOOKUP($A127,'Fleet register'!$A$7:$S$106,14,FALSE))),"n.a.")</f>
        <v>0</v>
      </c>
      <c r="I127" s="16">
        <f>IF(C127=0,0,IF(E127=120,0,'Replacement plan'!$N$37))</f>
        <v>0</v>
      </c>
      <c r="J127" s="16">
        <f>IF(C127=0,0,IF(P127="Complete",((S127*(R127-'Operating costs'!$B$39))+ROUNDUP(S127*(R127-'Operating costs'!$B$39)*IF('Replacement plan'!$AG$37="",'Operating costs'!$B$7,'Replacement plan'!$AG$37)/('Operating costs'!$B$8-'Operating costs'!$B$9*IF('Replacement plan'!$AG$37="",'Operating costs'!$B$7,'Replacement plan'!$AG$37)),0)*'Operating costs'!$B$9)*IF('Replacement plan'!$AG$37="",'Operating costs'!$B$7,'Replacement plan'!$AG$37)*('Energy and charging'!$B$9*'Energy and charging'!$B$7+(1-'Energy and charging'!$B$9)*'Energy and charging'!$B$8)*'Operating costs'!$B$23,"n.a."))</f>
        <v>0</v>
      </c>
      <c r="K127" s="16">
        <f>IF(C127=0,0,IF(P127="Complete",SUM('Operating costs'!$B$24,'Operating costs'!$B$27,'Operating costs'!$B$29,'Operating costs'!$B$31,'Operating costs'!$B$33,'Operating costs'!$B$34,'Operating costs'!$B$37,'Replacement plan'!$W$37)+'Operating costs'!$B$39*'Operating costs'!$B$42+ROUNDUP(S127*(R127-'Operating costs'!$B$39)*IF('Replacement plan'!$AG$37="",'Operating costs'!$B$7,'Replacement plan'!$AG$37)/('Operating costs'!$B$8-'Operating costs'!$B$9*IF('Replacement plan'!$AG$37="",'Operating costs'!$B$7,'Replacement plan'!$AG$37)),0)*('Operating costs'!$B$9/'Operating costs'!$B$11+'Operating costs'!$B$10/60)*'Operating costs'!$B$19*'Operating costs'!$B$21,"n.a."))</f>
        <v>0</v>
      </c>
      <c r="L127" s="16">
        <f>IF(C127=0,0,IF(P127="Complete",IF(D127="EV",X127*((1-T127)*'Energy and charging'!$B$10+T127*'Energy and charging'!$B$11)*'Operating costs'!$B$22,AA127*('Energy and charging'!$B$9*'Energy and charging'!$B$7+(1-'Energy and charging'!$B$9)*'Energy and charging'!$B$8)*'Operating costs'!$B$23),"n.a."))</f>
        <v>0</v>
      </c>
      <c r="M127" s="37">
        <f>IF(C127=0,0,IF(P127="Complete",IF(D127="ICE",SUM('Operating costs'!$B$25,'Operating costs'!$B$27,'Operating costs'!$B$29,'Operating costs'!$B$31,'Operating costs'!$B$33,'Operating costs'!$B$35,'Operating costs'!$B$37,'Replacement plan'!$X$37)+'Operating costs'!$B$40*'Operating costs'!$B$42+ROUNDUP(S127*(R127-'Operating costs'!$B$40)*IF('Replacement plan'!$AH$37="",'Operating costs'!$B$7,'Replacement plan'!$AH$37)/('Operating costs'!$B$8-'Operating costs'!$B$9*IF('Replacement plan'!$AH$37="",'Operating costs'!$B$7,'Replacement plan'!$AH$37)),0)*('Operating costs'!$B$9/'Operating costs'!$B$11+'Operating costs'!$B$10/60)*'Operating costs'!$B$19*'Operating costs'!$B$21,SUM(AP127,'Operating costs'!$B$28,'Operating costs'!$B$30,'Operating costs'!$B$32,'Operating costs'!$B$33,'Operating costs'!$B$36,'Operating costs'!$B$38,'Replacement plan'!$Y$37)+'Operating costs'!$B$41*'Operating costs'!$B$43+W127*'Operating costs'!$B$15+(T127*X127/'Replacement plan'!$L$37+W127*('Operating costs'!$B$12/'Operating costs'!$B$11+('Operating costs'!$B$13+'Operating costs'!$B$14)/60)+(R127-'Operating costs'!$B$41)*(IF(T127&lt;1,'Operating costs'!$B$16,0)+'Operating costs'!$B$17)/60)*'Operating costs'!$B$19*'Operating costs'!$B$20),"n.a."))</f>
        <v>0</v>
      </c>
      <c r="N127" s="16">
        <f>IF(AND(C127=1,D127="EV",E127&lt;120,E127+'Replacement plan'!$AA$37&lt;=120),'Replacement plan'!$Z$37,0)</f>
        <v>0</v>
      </c>
      <c r="O127" s="1">
        <f>E127+'Replacement plan'!$AA$37</f>
        <v>0</v>
      </c>
      <c r="P127" s="35" t="str">
        <f>IFERROR(IF(C127=0,"Excluded",IF(OR(COUNTIFS('Fleet register'!$A$7:$A$106,A127)&lt;&gt;1,COUNTIFS('Replacement plan'!$A$7:$A$106,A127)&lt;&gt;1),"Duplicate/missing ID",IF(NOT(AND(ISNUMBER(VLOOKUP($A127,'Fleet register'!$A$7:$S$106,5,FALSE)),ISNUMBER(VLOOKUP($A127,'Fleet register'!$A$7:$S$106,6,FALSE)),ISNUMBER(VLOOKUP($A127,'Fleet register'!$A$7:$S$106,10,FALSE)),ISNUMBER(VLOOKUP($A127,'Fleet register'!$A$7:$S$106,11,FALSE)),ISNUMBER(VLOOKUP($A127,'Fleet register'!$A$7:$S$106,12,FALSE)),ISNUMBER(VLOOKUP($A127,'Fleet register'!$A$7:$S$106,13,FALSE)),ISNUMBER(VLOOKUP($A127,'Fleet register'!$A$7:$S$106,14,FALSE)),VLOOKUP($A127,'Fleet register'!$A$7:$S$106,14,FALSE)&gt;0,ISNUMBER('Replacement plan'!$C$37),OR(E127=120,ISNUMBER('Replacement plan'!$N$37)),ISNUMBER(E127))),"Missing vehicle input",IF(OR(E127&lt;0,E127&gt;VLOOKUP($A127,'Fleet register'!$A$7:$S$106,10,FALSE),E127&gt;120,E127&lt;&gt;INT(E127),VLOOKUP($A127,'Fleet register'!$A$7:$S$106,6,FALSE)&lt;=0,VLOOKUP($A127,'Fleet register'!$A$7:$S$106,6,FALSE)&gt;366,VLOOKUP($A127,'Fleet register'!$A$7:$S$106,5,FALSE)&lt;0,VLOOKUP($A127,'Fleet register'!$A$7:$S$106,11,FALSE)&lt;0,I127&lt;0,'Operating costs'!$B$8&lt;='Operating costs'!$B$7*'Operating costs'!$B$9,'Operating costs'!$B$11&lt;=0,'Operating costs'!$B$39&gt;R127,'Operating costs'!$B$40&gt;R127,'Operating costs'!$B$41&gt;R127,NOT(OR("Keep ICE"="Keep ICE","Keep ICE"="New ICE","Keep ICE"="EV"))),"Invalid vehicle input",IF(AND(D127="EV",E127&lt;120,OR(NOT(ISNUMBER(U127)),NOT(ISNUMBER(V127)),V127&lt;=0,T127&lt;0,T127&gt;1,'Replacement plan'!$L$37&lt;=0,'Operating costs'!$B$44&lt;0,'Operating costs'!$B$44&gt;=1,'Operating costs'!$B$47&lt;=0,'Operating costs'!$B$47&gt;1,V127*'Operating costs'!$B$47/(1-'Operating costs'!$B$44)&lt;=T127*'Operating costs'!$B$12*U127,AND('Replacement plan'!$Z$37&gt;0,OR('Replacement plan'!$AB$37&lt;&gt;"Yes",'Operating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charging'!$B$8&gt;=0))),ISNUMBER(VLOOKUP($A127,'Fleet register'!$A$7:$S$106,15,FALSE)),ISNUMBER(VLOOKUP($A127,'Fleet register'!$A$7:$S$106,16,FALSE)),ISNUMBER('Replacement plan'!$W$37),ISNUMBER('Replacement plan'!$X$37),OR(E127=120,AND(ISNUMBER(G127),G127&gt;=0)),ISNUMBER(H127),H127&gt;=0,OR(D127&lt;&gt;"EV",E127=120,AND(ISNUMBER('Operating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average",ISNUMBER(IFERROR(INDEX(Products!$P$7:$P$13,MATCH(AD127,Products!$A$7:$A$13,0)),"")))),ISNUMBER('Operating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plan'!$Y$37),ISNUMBER('Replacement plan'!$Z$37),'Replacement plan'!$Z$37&gt;=0,ISNUMBER('Replacement plan'!$AA$37),'Replacement plan'!$AA$37&gt;=0,'Replacement plan'!$AA$37=INT('Replacement plan'!$AA$37),ISNUMBER('Replacement plan'!$L$37))),'Operating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plan'!$AG$37="",'Operating costs'!$B$7,'Replacement plan'!$AG$37)),IF('Replacement plan'!$AG$37="",'Operating costs'!$B$7,'Replacement plan'!$AG$37)&gt;=0,ISNUMBER(IF('Replacement plan'!$AH$37="",'Operating costs'!$B$7,'Replacement plan'!$AH$37)),IF('Replacement plan'!$AH$37="",'Operating costs'!$B$7,'Replacement plan'!$AH$37)&gt;=0,'Operating costs'!$B$8&gt;MAX(IF('Replacement plan'!$AG$37="",'Operating costs'!$B$7,'Replacement plan'!$AG$37),IF('Replacement plan'!$AH$37="",'Operating costs'!$B$7,'Replacement plan'!$AH$37))*'Operating costs'!$B$9),IF(AND(VLOOKUP($A127,'Fleet register'!$A$7:$S$106,10,FALSE)&gt;=0,VLOOKUP($A127,'Fleet register'!$A$7:$S$106,10,FALSE)&lt;=120,VLOOKUP($A127,'Fleet register'!$A$7:$S$106,10,FALSE)=INT(VLOOKUP($A127,'Fleet register'!$A$7:$S$106,10,FALSE)),VLOOKUP($A127,'Fleet register'!$A$7:$S$106,15,FALSE)&gt;=0,VLOOKUP($A127,'Fleet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costs'!$B$67)&gt;=0,OR(D127&lt;&gt;"EV",E127=120,AND(MIN('Operating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27" s="1" t="str">
        <f>IF(C127=0,"Excluded",IF(P127&lt;&gt;"Complete",P127,IF(OR('Replacement plan'!$AD$37&lt;120-E127,AND(D127="EV",E127&lt;120,OR('Replacement plan'!$AC$37&lt;120-E127,'Replacement plan'!$I$37="No",AND(ISNUMBER(AF127),AE127&gt;AF127),AI127&gt;V127*(1-'Operating costs'!$B$46)^MAX(0,AB127-1)*(1-'Operating costs'!$B$45),AC127&gt;'Operating costs'!$B$18,AND(T127&lt;1,OR(AG127&lt;=0,AND(ISNUMBER(AH127),AG127&gt;AH127))),'Replacement plan'!$L$37&gt;INDEX(Products!$H$7:$H$13,MATCH('Replacement plan'!$B$37,Products!$A$7:$A$13,0))))),"Fails entered limits",IF(AND(D127="EV",E127&lt;120,OR(NOT(ISNUMBER(VLOOKUP($A127,'Fleet register'!$A$7:$S$106,7,FALSE))),NOT(ISNUMBER(VLOOKUP($A127,'Fleet register'!$A$7:$S$106,8,FALSE))),NOT(ISNUMBER(AF127)),'Replacement plan'!$I$37&lt;&gt;"Yes",NOT(ISNUMBER(AH127)),'Operating costs'!$B$59&lt;&gt;"Yes",'Operating costs'!$B$58&lt;&gt;"Yes")),"Unverified","Within entered limits"))))</f>
        <v>Excluded</v>
      </c>
      <c r="R127" s="1">
        <f>IF(C127=0,0,VLOOKUP($A127,'Fleet register'!$A$7:$S$106,6,FALSE))</f>
        <v>0</v>
      </c>
      <c r="S127" s="1">
        <f>IF(C127=0,0,VLOOKUP($A127,'Fleet register'!$A$7:$S$106,5,FALSE))</f>
        <v>0</v>
      </c>
      <c r="T127" s="1">
        <f>IF(D127="EV",'Energy and charging'!$B$12,0)</f>
        <v>0</v>
      </c>
      <c r="U127" s="1">
        <f>IFERROR(IF(C127=0,0,IF(D127="EV",IF('Replacement plan'!$F$37="",INDEX(Products!$E$7:$E$13,MATCH('Replacement plan'!$B$37,Products!$A$7:$A$13,0)),'Replacement plan'!$F$37)/IF('Replacement plan'!$G$37="Battery",1-'Operating costs'!$B$44,1),0)),"n.a.")</f>
        <v>0</v>
      </c>
      <c r="V127" s="1">
        <f>IFERROR(IF(C127=0,0,IF(D127="EV",IF('Replacement plan'!$E$37="",INDEX(Products!$D$7:$D$13,MATCH('Replacement plan'!$B$37,Products!$A$7:$A$13,0)),'Replacement plan'!$E$37),0)),"n.a.")</f>
        <v>0</v>
      </c>
      <c r="W127" s="1">
        <f>IF(C127=0,0,IF(AND(P127="Complete",D127="EV",E127&lt;120),IF(T127=0,0,ROUNDUP(T127*(R127-'Operating costs'!$B$41)*(S127*U127+'Operating costs'!$B$48/(1-'Operating costs'!$B$44))/(V127*'Operating costs'!$B$47/(1-'Operating costs'!$B$44)-T127*'Operating costs'!$B$12*U127),0)),0))</f>
        <v>0</v>
      </c>
      <c r="X127" s="1">
        <f>IF(C127=0,0,IF(AND(P127="Complete",D127="EV",E127&lt;120),(R127-'Operating costs'!$B$41)*(S127*U127+'Operating costs'!$B$48/(1-'Operating costs'!$B$44))+W127*'Operating costs'!$B$12*U127,0))</f>
        <v>0</v>
      </c>
      <c r="Y127" s="1">
        <f>IF(AND(C127=1,D127="EV",E127&lt;120),AI127/(1-'Operating costs'!$B$44)*(1-T127),0)</f>
        <v>0</v>
      </c>
      <c r="Z127" s="1">
        <f t="shared" si="2"/>
        <v>0</v>
      </c>
      <c r="AA127" s="1">
        <f>IF(C127=0,0,IF(P127="Complete",((S127*(R127-'Operating costs'!$B$40))+ROUNDUP(S127*(R127-'Operating costs'!$B$40)*IF('Replacement plan'!$AH$37="",'Operating costs'!$B$7,'Replacement plan'!$AH$37)/('Operating costs'!$B$8-'Operating costs'!$B$9*IF('Replacement plan'!$AH$37="",'Operating costs'!$B$7,'Replacement plan'!$AH$37)),0)*'Operating costs'!$B$9)*IF('Replacement plan'!$AH$37="",'Operating costs'!$B$7,'Replacement plan'!$AH$37),"n.a."))</f>
        <v>0</v>
      </c>
      <c r="AB127" s="1">
        <f t="shared" si="3"/>
        <v>0</v>
      </c>
      <c r="AC127" s="1">
        <f>IF(AND(C127=1,D127="EV",E127&lt;120,T127&gt;0),'Operating costs'!$B$12/'Operating costs'!$B$11*60+'Operating costs'!$B$13+'Operating costs'!$B$14+V127*'Operating costs'!$B$47/(1-'Operating costs'!$B$44)/'Replacement plan'!$L$37*60,0)</f>
        <v>0</v>
      </c>
      <c r="AD127" s="1" t="str">
        <f>'Replacement plan'!$B$37</f>
        <v>ChengLong L2EV</v>
      </c>
      <c r="AE127" s="1">
        <f>IF(C127=0,0,VLOOKUP($A127,'Fleet register'!$A$7:$S$106,8,FALSE))</f>
        <v>0</v>
      </c>
      <c r="AF127" s="1" t="str">
        <f>IF('Replacement plan'!$H$37="","n.a.",'Replacement plan'!$H$37)</f>
        <v>n.a.</v>
      </c>
      <c r="AG127" s="1">
        <f>'Replacement plan'!$J$37</f>
        <v>22</v>
      </c>
      <c r="AH127" s="1">
        <f>IFERROR(IF(D127="EV",IF('Replacement plan'!$K$37="AC",IF(ISNUMBER(INDEX(Products!$G$7:$G$13,MATCH('Replacement plan'!$B$37,Products!$A$7:$A$13,0))),INDEX(Products!$G$7:$G$13,MATCH('Replacement plan'!$B$37,Products!$A$7:$A$13,0)),"n.a."),IF(ISNUMBER(INDEX(Products!$H$7:$H$13,MATCH('Replacement plan'!$B$37,Products!$A$7:$A$13,0))),INDEX(Products!$H$7:$H$13,MATCH('Replacement plan'!$B$37,Products!$A$7:$A$13,0)),"n.a.")),0),"n.a.")</f>
        <v>0</v>
      </c>
      <c r="AI127" s="1">
        <f>IF(AND(C127=1,D127="EV",E127&lt;120),(VLOOKUP($A127,'Fleet register'!$A$7:$S$106,7,FALSE)+IF(T127&gt;0,'Operating costs'!$B$12,0))*U127*(1-'Operating costs'!$B$44)+'Operating costs'!$B$49,0)</f>
        <v>0</v>
      </c>
      <c r="AJ127" s="1">
        <f>IF(D127="EV",'Energy and charging'!$B$50,0)</f>
        <v>0</v>
      </c>
      <c r="AK127" s="17">
        <f>EDATE('Operating costs'!$B$63,E127)</f>
        <v>46298</v>
      </c>
      <c r="AL127" s="1">
        <f>IFERROR(IF(D127="EV",INDEX(Products!$B$7:$B$13,MATCH('Replacement plan'!$B$37,Products!$A$7:$A$13,0)),0),"n.a.")</f>
        <v>0</v>
      </c>
      <c r="AM127" s="1" t="str">
        <f>'Replacement plan'!$K$37</f>
        <v>DC</v>
      </c>
      <c r="AN127" s="1" t="str">
        <f>'Replacement plan'!$AE$37</f>
        <v>Assumed</v>
      </c>
      <c r="AO127" s="47">
        <f>IF(AND(C127=1,D127="EV",E127&lt;120),(R127-'Operating costs'!$B$41)*S127+W127*'Operating costs'!$B$12,0)</f>
        <v>0</v>
      </c>
      <c r="AP127" s="41">
        <f>IF(AND(C127=1,D127="EV",E127&lt;120),IF('Operating costs'!$B$68="Hong Seh 200k average",AO127*IFERROR(INDEX(Products!$P$7:$P$13,MATCH(AD127,Products!$A$7:$A$13,0)),"n.a."),'Operating costs'!$B$26),0)</f>
        <v>0</v>
      </c>
      <c r="AQ127" s="40" t="str">
        <f>IF(D127="EV",'Operating costs'!$B$68,"Not applicable")</f>
        <v>Not applicable</v>
      </c>
    </row>
    <row r="128" spans="1:43" ht="24" customHeight="1">
      <c r="A128" s="1" t="str">
        <f>'Replacement plan'!A37</f>
        <v>T031</v>
      </c>
      <c r="B128" s="1">
        <v>1</v>
      </c>
      <c r="C128" s="1">
        <f>IF(COUNTIFS('Fleet register'!$A$7:$A$106,$A128)=1,VLOOKUP($A128,'Fleet register'!$A$7:$S$106,2,FALSE),0)</f>
        <v>0</v>
      </c>
      <c r="D128" s="1" t="str">
        <f>IF("New ICE"="EV","EV","ICE")</f>
        <v>ICE</v>
      </c>
      <c r="E128" s="1">
        <f>IF(C128=0,0,0)</f>
        <v>0</v>
      </c>
      <c r="F128" s="16">
        <f>IF(C128=0,0,VLOOKUP($A128,'Fleet register'!$A$7:$S$106,11,FALSE))</f>
        <v>0</v>
      </c>
      <c r="G128" s="16">
        <f>IFERROR(IF(C128=0,0,IF(E128=120,0,IF(D128="ICE",'Replacement plan'!$C$37,IF('Replacement plan'!$D$37="",INDEX(Products!$I$7:$I$13,MATCH('Replacement plan'!$B$37,Products!$A$7:$A$13,0))+'Operating costs'!$B$57,'Replacement plan'!$D$37))*(1+'Operating costs'!$B$50)^(E128/12))),"n.a.")</f>
        <v>0</v>
      </c>
      <c r="H128" s="16">
        <f>IFERROR(IF(C128=0,0,IF(E128=0,F128,VLOOKUP($A128,'Fleet register'!$A$7:$S$106,12,FALSE)+VLOOKUP($A128,'Fleet register'!$A$7:$S$106,13,FALSE)*MAX(0,VLOOKUP($A128,'Fleet register'!$A$7:$S$106,10,FALSE)-E128)/VLOOKUP($A128,'Fleet register'!$A$7:$S$106,14,FALSE))),"n.a.")</f>
        <v>0</v>
      </c>
      <c r="I128" s="16">
        <f>IF(C128=0,0,IF(E128=120,0,IF('Replacement plan'!$AI$37="",'Operating costs'!$B$56,'Replacement plan'!$AI$37)))</f>
        <v>0</v>
      </c>
      <c r="J128" s="16">
        <f>IF(C128=0,0,IF(P128="Complete",((S128*(R128-'Operating costs'!$B$39))+ROUNDUP(S128*(R128-'Operating costs'!$B$39)*IF('Replacement plan'!$AG$37="",'Operating costs'!$B$7,'Replacement plan'!$AG$37)/('Operating costs'!$B$8-'Operating costs'!$B$9*IF('Replacement plan'!$AG$37="",'Operating costs'!$B$7,'Replacement plan'!$AG$37)),0)*'Operating costs'!$B$9)*IF('Replacement plan'!$AG$37="",'Operating costs'!$B$7,'Replacement plan'!$AG$37)*('Energy and charging'!$B$9*'Energy and charging'!$B$7+(1-'Energy and charging'!$B$9)*'Energy and charging'!$B$8)*'Operating costs'!$B$23,"n.a."))</f>
        <v>0</v>
      </c>
      <c r="K128" s="16">
        <f>IF(C128=0,0,IF(P128="Complete",SUM('Operating costs'!$B$24,'Operating costs'!$B$27,'Operating costs'!$B$29,'Operating costs'!$B$31,'Operating costs'!$B$33,'Operating costs'!$B$34,'Operating costs'!$B$37,'Replacement plan'!$W$37)+'Operating costs'!$B$39*'Operating costs'!$B$42+ROUNDUP(S128*(R128-'Operating costs'!$B$39)*IF('Replacement plan'!$AG$37="",'Operating costs'!$B$7,'Replacement plan'!$AG$37)/('Operating costs'!$B$8-'Operating costs'!$B$9*IF('Replacement plan'!$AG$37="",'Operating costs'!$B$7,'Replacement plan'!$AG$37)),0)*('Operating costs'!$B$9/'Operating costs'!$B$11+'Operating costs'!$B$10/60)*'Operating costs'!$B$19*'Operating costs'!$B$21,"n.a."))</f>
        <v>0</v>
      </c>
      <c r="L128" s="16">
        <f>IF(C128=0,0,IF(P128="Complete",IF(D128="EV",X128*((1-T128)*'Energy and charging'!$B$10+T128*'Energy and charging'!$B$11)*'Operating costs'!$B$22,AA128*('Energy and charging'!$B$9*'Energy and charging'!$B$7+(1-'Energy and charging'!$B$9)*'Energy and charging'!$B$8)*'Operating costs'!$B$23),"n.a."))</f>
        <v>0</v>
      </c>
      <c r="M128" s="37">
        <f>IF(C128=0,0,IF(P128="Complete",IF(D128="ICE",SUM('Operating costs'!$B$25,'Operating costs'!$B$27,'Operating costs'!$B$29,'Operating costs'!$B$31,'Operating costs'!$B$33,'Operating costs'!$B$35,'Operating costs'!$B$37,'Replacement plan'!$X$37)+'Operating costs'!$B$40*'Operating costs'!$B$42+ROUNDUP(S128*(R128-'Operating costs'!$B$40)*IF('Replacement plan'!$AH$37="",'Operating costs'!$B$7,'Replacement plan'!$AH$37)/('Operating costs'!$B$8-'Operating costs'!$B$9*IF('Replacement plan'!$AH$37="",'Operating costs'!$B$7,'Replacement plan'!$AH$37)),0)*('Operating costs'!$B$9/'Operating costs'!$B$11+'Operating costs'!$B$10/60)*'Operating costs'!$B$19*'Operating costs'!$B$21,SUM(AP128,'Operating costs'!$B$28,'Operating costs'!$B$30,'Operating costs'!$B$32,'Operating costs'!$B$33,'Operating costs'!$B$36,'Operating costs'!$B$38,'Replacement plan'!$Y$37)+'Operating costs'!$B$41*'Operating costs'!$B$43+W128*'Operating costs'!$B$15+(T128*X128/'Replacement plan'!$L$37+W128*('Operating costs'!$B$12/'Operating costs'!$B$11+('Operating costs'!$B$13+'Operating costs'!$B$14)/60)+(R128-'Operating costs'!$B$41)*(IF(T128&lt;1,'Operating costs'!$B$16,0)+'Operating costs'!$B$17)/60)*'Operating costs'!$B$19*'Operating costs'!$B$20),"n.a."))</f>
        <v>0</v>
      </c>
      <c r="N128" s="16">
        <f>IF(AND(C128=1,D128="EV",E128&lt;120,E128+'Replacement plan'!$AA$37&lt;=120),'Replacement plan'!$Z$37,0)</f>
        <v>0</v>
      </c>
      <c r="O128" s="1">
        <f>E128+'Replacement plan'!$AA$37</f>
        <v>0</v>
      </c>
      <c r="P128" s="35" t="str">
        <f>IFERROR(IF(C128=0,"Excluded",IF(OR(COUNTIFS('Fleet register'!$A$7:$A$106,A128)&lt;&gt;1,COUNTIFS('Replacement plan'!$A$7:$A$106,A128)&lt;&gt;1),"Duplicate/missing ID",IF(NOT(AND(ISNUMBER(VLOOKUP($A128,'Fleet register'!$A$7:$S$106,5,FALSE)),ISNUMBER(VLOOKUP($A128,'Fleet register'!$A$7:$S$106,6,FALSE)),ISNUMBER(VLOOKUP($A128,'Fleet register'!$A$7:$S$106,10,FALSE)),ISNUMBER(VLOOKUP($A128,'Fleet register'!$A$7:$S$106,11,FALSE)),ISNUMBER(VLOOKUP($A128,'Fleet register'!$A$7:$S$106,12,FALSE)),ISNUMBER(VLOOKUP($A128,'Fleet register'!$A$7:$S$106,13,FALSE)),ISNUMBER(VLOOKUP($A128,'Fleet register'!$A$7:$S$106,14,FALSE)),VLOOKUP($A128,'Fleet register'!$A$7:$S$106,14,FALSE)&gt;0,ISNUMBER('Replacement plan'!$C$37),OR(E128=120,OR(ISNUMBER('Replacement plan'!$AI$37),AND('Replacement plan'!$AI$37="",ISNUMBER('Operating costs'!$B$56)))),ISNUMBER(E128))),"Missing vehicle input",IF(OR(E128&lt;0,E128&gt;VLOOKUP($A128,'Fleet register'!$A$7:$S$106,10,FALSE),E128&gt;120,E128&lt;&gt;INT(E128),VLOOKUP($A128,'Fleet register'!$A$7:$S$106,6,FALSE)&lt;=0,VLOOKUP($A128,'Fleet register'!$A$7:$S$106,6,FALSE)&gt;366,VLOOKUP($A128,'Fleet register'!$A$7:$S$106,5,FALSE)&lt;0,VLOOKUP($A128,'Fleet register'!$A$7:$S$106,11,FALSE)&lt;0,I128&lt;0,'Operating costs'!$B$8&lt;='Operating costs'!$B$7*'Operating costs'!$B$9,'Operating costs'!$B$11&lt;=0,'Operating costs'!$B$39&gt;R128,'Operating costs'!$B$40&gt;R128,'Operating costs'!$B$41&gt;R128,NOT(OR("New ICE"="Keep ICE","New ICE"="New ICE","New ICE"="EV"))),"Invalid vehicle input",IF(AND(D128="EV",E128&lt;120,OR(NOT(ISNUMBER(U128)),NOT(ISNUMBER(V128)),V128&lt;=0,T128&lt;0,T128&gt;1,'Replacement plan'!$L$37&lt;=0,'Operating costs'!$B$44&lt;0,'Operating costs'!$B$44&gt;=1,'Operating costs'!$B$47&lt;=0,'Operating costs'!$B$47&gt;1,V128*'Operating costs'!$B$47/(1-'Operating costs'!$B$44)&lt;=T128*'Operating costs'!$B$12*U128,AND('Replacement plan'!$Z$37&gt;0,OR('Replacement plan'!$AB$37&lt;&gt;"Yes",'Operating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charging'!$B$8&gt;=0))),ISNUMBER(VLOOKUP($A128,'Fleet register'!$A$7:$S$106,15,FALSE)),ISNUMBER(VLOOKUP($A128,'Fleet register'!$A$7:$S$106,16,FALSE)),ISNUMBER('Replacement plan'!$W$37),ISNUMBER('Replacement plan'!$X$37),OR(E128=120,AND(ISNUMBER(G128),G128&gt;=0)),ISNUMBER(H128),H128&gt;=0,OR(D128&lt;&gt;"EV",E128=120,AND(ISNUMBER('Operating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average",ISNUMBER(IFERROR(INDEX(Products!$P$7:$P$13,MATCH(AD128,Products!$A$7:$A$13,0)),"")))),ISNUMBER('Operating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plan'!$Y$37),ISNUMBER('Replacement plan'!$Z$37),'Replacement plan'!$Z$37&gt;=0,ISNUMBER('Replacement plan'!$AA$37),'Replacement plan'!$AA$37&gt;=0,'Replacement plan'!$AA$37=INT('Replacement plan'!$AA$37),ISNUMBER('Replacement plan'!$L$37))),'Operating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plan'!$AG$37="",'Operating costs'!$B$7,'Replacement plan'!$AG$37)),IF('Replacement plan'!$AG$37="",'Operating costs'!$B$7,'Replacement plan'!$AG$37)&gt;=0,ISNUMBER(IF('Replacement plan'!$AH$37="",'Operating costs'!$B$7,'Replacement plan'!$AH$37)),IF('Replacement plan'!$AH$37="",'Operating costs'!$B$7,'Replacement plan'!$AH$37)&gt;=0,'Operating costs'!$B$8&gt;MAX(IF('Replacement plan'!$AG$37="",'Operating costs'!$B$7,'Replacement plan'!$AG$37),IF('Replacement plan'!$AH$37="",'Operating costs'!$B$7,'Replacement plan'!$AH$37))*'Operating costs'!$B$9),IF(AND(VLOOKUP($A128,'Fleet register'!$A$7:$S$106,10,FALSE)&gt;=0,VLOOKUP($A128,'Fleet register'!$A$7:$S$106,10,FALSE)&lt;=120,VLOOKUP($A128,'Fleet register'!$A$7:$S$106,10,FALSE)=INT(VLOOKUP($A128,'Fleet register'!$A$7:$S$106,10,FALSE)),VLOOKUP($A128,'Fleet register'!$A$7:$S$106,15,FALSE)&gt;=0,VLOOKUP($A128,'Fleet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costs'!$B$67)&gt;=0,OR(D128&lt;&gt;"EV",E128=120,AND(MIN('Operating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28" s="1" t="str">
        <f>IF(C128=0,"Excluded",IF(P128&lt;&gt;"Complete",P128,IF(OR('Replacement plan'!$AD$37&lt;120-E128,AND(D128="EV",E128&lt;120,OR('Replacement plan'!$AC$37&lt;120-E128,'Replacement plan'!$I$37="No",AND(ISNUMBER(AF128),AE128&gt;AF128),AI128&gt;V128*(1-'Operating costs'!$B$46)^MAX(0,AB128-1)*(1-'Operating costs'!$B$45),AC128&gt;'Operating costs'!$B$18,AND(T128&lt;1,OR(AG128&lt;=0,AND(ISNUMBER(AH128),AG128&gt;AH128))),'Replacement plan'!$L$37&gt;INDEX(Products!$H$7:$H$13,MATCH('Replacement plan'!$B$37,Products!$A$7:$A$13,0))))),"Fails entered limits",IF(AND(D128="EV",E128&lt;120,OR(NOT(ISNUMBER(VLOOKUP($A128,'Fleet register'!$A$7:$S$106,7,FALSE))),NOT(ISNUMBER(VLOOKUP($A128,'Fleet register'!$A$7:$S$106,8,FALSE))),NOT(ISNUMBER(AF128)),'Replacement plan'!$I$37&lt;&gt;"Yes",NOT(ISNUMBER(AH128)),'Operating costs'!$B$59&lt;&gt;"Yes",'Operating costs'!$B$58&lt;&gt;"Yes")),"Unverified","Within entered limits"))))</f>
        <v>Excluded</v>
      </c>
      <c r="R128" s="1">
        <f>IF(C128=0,0,VLOOKUP($A128,'Fleet register'!$A$7:$S$106,6,FALSE))</f>
        <v>0</v>
      </c>
      <c r="S128" s="1">
        <f>IF(C128=0,0,VLOOKUP($A128,'Fleet register'!$A$7:$S$106,5,FALSE))</f>
        <v>0</v>
      </c>
      <c r="T128" s="1">
        <f>IF(D128="EV",'Energy and charging'!$B$12,0)</f>
        <v>0</v>
      </c>
      <c r="U128" s="1">
        <f>IFERROR(IF(C128=0,0,IF(D128="EV",IF('Replacement plan'!$F$37="",INDEX(Products!$E$7:$E$13,MATCH('Replacement plan'!$B$37,Products!$A$7:$A$13,0)),'Replacement plan'!$F$37)/IF('Replacement plan'!$G$37="Battery",1-'Operating costs'!$B$44,1),0)),"n.a.")</f>
        <v>0</v>
      </c>
      <c r="V128" s="1">
        <f>IFERROR(IF(C128=0,0,IF(D128="EV",IF('Replacement plan'!$E$37="",INDEX(Products!$D$7:$D$13,MATCH('Replacement plan'!$B$37,Products!$A$7:$A$13,0)),'Replacement plan'!$E$37),0)),"n.a.")</f>
        <v>0</v>
      </c>
      <c r="W128" s="1">
        <f>IF(C128=0,0,IF(AND(P128="Complete",D128="EV",E128&lt;120),IF(T128=0,0,ROUNDUP(T128*(R128-'Operating costs'!$B$41)*(S128*U128+'Operating costs'!$B$48/(1-'Operating costs'!$B$44))/(V128*'Operating costs'!$B$47/(1-'Operating costs'!$B$44)-T128*'Operating costs'!$B$12*U128),0)),0))</f>
        <v>0</v>
      </c>
      <c r="X128" s="1">
        <f>IF(C128=0,0,IF(AND(P128="Complete",D128="EV",E128&lt;120),(R128-'Operating costs'!$B$41)*(S128*U128+'Operating costs'!$B$48/(1-'Operating costs'!$B$44))+W128*'Operating costs'!$B$12*U128,0))</f>
        <v>0</v>
      </c>
      <c r="Y128" s="1">
        <f>IF(AND(C128=1,D128="EV",E128&lt;120),AI128/(1-'Operating costs'!$B$44)*(1-T128),0)</f>
        <v>0</v>
      </c>
      <c r="Z128" s="1">
        <f t="shared" si="2"/>
        <v>0</v>
      </c>
      <c r="AA128" s="1">
        <f>IF(C128=0,0,IF(P128="Complete",((S128*(R128-'Operating costs'!$B$40))+ROUNDUP(S128*(R128-'Operating costs'!$B$40)*IF('Replacement plan'!$AH$37="",'Operating costs'!$B$7,'Replacement plan'!$AH$37)/('Operating costs'!$B$8-'Operating costs'!$B$9*IF('Replacement plan'!$AH$37="",'Operating costs'!$B$7,'Replacement plan'!$AH$37)),0)*'Operating costs'!$B$9)*IF('Replacement plan'!$AH$37="",'Operating costs'!$B$7,'Replacement plan'!$AH$37),"n.a."))</f>
        <v>0</v>
      </c>
      <c r="AB128" s="1">
        <f t="shared" si="3"/>
        <v>0</v>
      </c>
      <c r="AC128" s="1">
        <f>IF(AND(C128=1,D128="EV",E128&lt;120,T128&gt;0),'Operating costs'!$B$12/'Operating costs'!$B$11*60+'Operating costs'!$B$13+'Operating costs'!$B$14+V128*'Operating costs'!$B$47/(1-'Operating costs'!$B$44)/'Replacement plan'!$L$37*60,0)</f>
        <v>0</v>
      </c>
      <c r="AD128" s="1" t="str">
        <f>'Replacement plan'!$B$37</f>
        <v>ChengLong L2EV</v>
      </c>
      <c r="AE128" s="1">
        <f>IF(C128=0,0,VLOOKUP($A128,'Fleet register'!$A$7:$S$106,8,FALSE))</f>
        <v>0</v>
      </c>
      <c r="AF128" s="1" t="str">
        <f>IF('Replacement plan'!$H$37="","n.a.",'Replacement plan'!$H$37)</f>
        <v>n.a.</v>
      </c>
      <c r="AG128" s="1">
        <f>'Replacement plan'!$J$37</f>
        <v>22</v>
      </c>
      <c r="AH128" s="1">
        <f>IFERROR(IF(D128="EV",IF('Replacement plan'!$K$37="AC",IF(ISNUMBER(INDEX(Products!$G$7:$G$13,MATCH('Replacement plan'!$B$37,Products!$A$7:$A$13,0))),INDEX(Products!$G$7:$G$13,MATCH('Replacement plan'!$B$37,Products!$A$7:$A$13,0)),"n.a."),IF(ISNUMBER(INDEX(Products!$H$7:$H$13,MATCH('Replacement plan'!$B$37,Products!$A$7:$A$13,0))),INDEX(Products!$H$7:$H$13,MATCH('Replacement plan'!$B$37,Products!$A$7:$A$13,0)),"n.a.")),0),"n.a.")</f>
        <v>0</v>
      </c>
      <c r="AI128" s="1">
        <f>IF(AND(C128=1,D128="EV",E128&lt;120),(VLOOKUP($A128,'Fleet register'!$A$7:$S$106,7,FALSE)+IF(T128&gt;0,'Operating costs'!$B$12,0))*U128*(1-'Operating costs'!$B$44)+'Operating costs'!$B$49,0)</f>
        <v>0</v>
      </c>
      <c r="AJ128" s="1">
        <f>IF(D128="EV",'Energy and charging'!$B$50,0)</f>
        <v>0</v>
      </c>
      <c r="AK128" s="17">
        <f>EDATE('Operating costs'!$B$63,E128)</f>
        <v>46298</v>
      </c>
      <c r="AL128" s="1">
        <f>IFERROR(IF(D128="EV",INDEX(Products!$B$7:$B$13,MATCH('Replacement plan'!$B$37,Products!$A$7:$A$13,0)),0),"n.a.")</f>
        <v>0</v>
      </c>
      <c r="AM128" s="1" t="str">
        <f>'Replacement plan'!$K$37</f>
        <v>DC</v>
      </c>
      <c r="AN128" s="1" t="str">
        <f>'Replacement plan'!$AE$37</f>
        <v>Assumed</v>
      </c>
      <c r="AO128" s="47">
        <f>IF(AND(C128=1,D128="EV",E128&lt;120),(R128-'Operating costs'!$B$41)*S128+W128*'Operating costs'!$B$12,0)</f>
        <v>0</v>
      </c>
      <c r="AP128" s="41">
        <f>IF(AND(C128=1,D128="EV",E128&lt;120),IF('Operating costs'!$B$68="Hong Seh 200k average",AO128*IFERROR(INDEX(Products!$P$7:$P$13,MATCH(AD128,Products!$A$7:$A$13,0)),"n.a."),'Operating costs'!$B$26),0)</f>
        <v>0</v>
      </c>
      <c r="AQ128" s="40" t="str">
        <f>IF(D128="EV",'Operating costs'!$B$68,"Not applicable")</f>
        <v>Not applicable</v>
      </c>
    </row>
    <row r="129" spans="1:43" ht="24" customHeight="1">
      <c r="A129" s="1" t="str">
        <f>'Replacement plan'!A37</f>
        <v>T031</v>
      </c>
      <c r="B129" s="1">
        <v>2</v>
      </c>
      <c r="C129" s="1">
        <f>IF(COUNTIFS('Fleet register'!$A$7:$A$106,$A129)=1,VLOOKUP($A129,'Fleet register'!$A$7:$S$106,2,FALSE),0)</f>
        <v>0</v>
      </c>
      <c r="D129" s="1" t="str">
        <f>IF('Replacement plan'!$O$37="EV","EV","ICE")</f>
        <v>ICE</v>
      </c>
      <c r="E129" s="1">
        <f>IF(C129=0,0,IF('Replacement plan'!$P$37="",IF('Replacement plan'!$O$37="Keep ICE",IF('Replacement plan'!$M$37="",VLOOKUP($A129,'Fleet register'!$A$7:$S$106,10,FALSE),'Replacement plan'!$M$37),0),'Replacement plan'!$P$37))</f>
        <v>0</v>
      </c>
      <c r="F129" s="16">
        <f>IF(C129=0,0,VLOOKUP($A129,'Fleet register'!$A$7:$S$106,11,FALSE))</f>
        <v>0</v>
      </c>
      <c r="G129" s="16">
        <f>IFERROR(IF(C129=0,0,IF(E129=120,0,IF(D129="ICE",'Replacement plan'!$C$37,IF('Replacement plan'!$D$37="",INDEX(Products!$I$7:$I$13,MATCH('Replacement plan'!$B$37,Products!$A$7:$A$13,0))+'Operating costs'!$B$57,'Replacement plan'!$D$37))*(1+'Operating costs'!$B$50)^(E129/12))),"n.a.")</f>
        <v>0</v>
      </c>
      <c r="H129" s="16">
        <f>IFERROR(IF(C129=0,0,IF('Replacement plan'!$U$37&lt;&gt;"",'Replacement plan'!$U$37,IF(E129=0,F129,VLOOKUP($A129,'Fleet register'!$A$7:$S$106,12,FALSE)+VLOOKUP($A129,'Fleet register'!$A$7:$S$106,13,FALSE)*MAX(0,VLOOKUP($A129,'Fleet register'!$A$7:$S$106,10,FALSE)-E129)/VLOOKUP($A129,'Fleet register'!$A$7:$S$106,14,FALSE)))),"n.a.")</f>
        <v>0</v>
      </c>
      <c r="I129" s="16">
        <f>IF(C129=0,0,IF(E129=120,0,'Replacement plan'!$Q$37))</f>
        <v>0</v>
      </c>
      <c r="J129" s="16">
        <f>IF(C129=0,0,IF(P129="Complete",((S129*(R129-'Operating costs'!$B$39))+ROUNDUP(S129*(R129-'Operating costs'!$B$39)*IF('Replacement plan'!$AG$37="",'Operating costs'!$B$7,'Replacement plan'!$AG$37)/('Operating costs'!$B$8-'Operating costs'!$B$9*IF('Replacement plan'!$AG$37="",'Operating costs'!$B$7,'Replacement plan'!$AG$37)),0)*'Operating costs'!$B$9)*IF('Replacement plan'!$AG$37="",'Operating costs'!$B$7,'Replacement plan'!$AG$37)*('Energy and charging'!$B$9*'Energy and charging'!$B$7+(1-'Energy and charging'!$B$9)*'Energy and charging'!$B$8)*'Operating costs'!$B$23,"n.a."))</f>
        <v>0</v>
      </c>
      <c r="K129" s="16">
        <f>IF(C129=0,0,IF(P129="Complete",SUM('Operating costs'!$B$24,'Operating costs'!$B$27,'Operating costs'!$B$29,'Operating costs'!$B$31,'Operating costs'!$B$33,'Operating costs'!$B$34,'Operating costs'!$B$37,'Replacement plan'!$W$37)+'Operating costs'!$B$39*'Operating costs'!$B$42+ROUNDUP(S129*(R129-'Operating costs'!$B$39)*IF('Replacement plan'!$AG$37="",'Operating costs'!$B$7,'Replacement plan'!$AG$37)/('Operating costs'!$B$8-'Operating costs'!$B$9*IF('Replacement plan'!$AG$37="",'Operating costs'!$B$7,'Replacement plan'!$AG$37)),0)*('Operating costs'!$B$9/'Operating costs'!$B$11+'Operating costs'!$B$10/60)*'Operating costs'!$B$19*'Operating costs'!$B$21,"n.a."))</f>
        <v>0</v>
      </c>
      <c r="L129" s="16">
        <f>IF(C129=0,0,IF(P129="Complete",IF(D129="EV",X129*((1-T129)*'Energy and charging'!$B$10+T129*'Energy and charging'!$B$11)*'Operating costs'!$B$22,AA129*('Energy and charging'!$B$9*'Energy and charging'!$B$7+(1-'Energy and charging'!$B$9)*'Energy and charging'!$B$8)*'Operating costs'!$B$23),"n.a."))</f>
        <v>0</v>
      </c>
      <c r="M129" s="37">
        <f>IF(C129=0,0,IF(P129="Complete",IF(D129="ICE",SUM('Operating costs'!$B$25,'Operating costs'!$B$27,'Operating costs'!$B$29,'Operating costs'!$B$31,'Operating costs'!$B$33,'Operating costs'!$B$35,'Operating costs'!$B$37,'Replacement plan'!$X$37)+'Operating costs'!$B$40*'Operating costs'!$B$42+ROUNDUP(S129*(R129-'Operating costs'!$B$40)*IF('Replacement plan'!$AH$37="",'Operating costs'!$B$7,'Replacement plan'!$AH$37)/('Operating costs'!$B$8-'Operating costs'!$B$9*IF('Replacement plan'!$AH$37="",'Operating costs'!$B$7,'Replacement plan'!$AH$37)),0)*('Operating costs'!$B$9/'Operating costs'!$B$11+'Operating costs'!$B$10/60)*'Operating costs'!$B$19*'Operating costs'!$B$21,SUM(AP129,'Operating costs'!$B$28,'Operating costs'!$B$30,'Operating costs'!$B$32,'Operating costs'!$B$33,'Operating costs'!$B$36,'Operating costs'!$B$38,'Replacement plan'!$Y$37)+'Operating costs'!$B$41*'Operating costs'!$B$43+W129*'Operating costs'!$B$15+(T129*X129/'Replacement plan'!$L$37+W129*('Operating costs'!$B$12/'Operating costs'!$B$11+('Operating costs'!$B$13+'Operating costs'!$B$14)/60)+(R129-'Operating costs'!$B$41)*(IF(T129&lt;1,'Operating costs'!$B$16,0)+'Operating costs'!$B$17)/60)*'Operating costs'!$B$19*'Operating costs'!$B$20),"n.a."))</f>
        <v>0</v>
      </c>
      <c r="N129" s="16">
        <f>IF(AND(C129=1,D129="EV",E129&lt;120,E129+'Replacement plan'!$AA$37&lt;=120),'Replacement plan'!$Z$37,0)</f>
        <v>0</v>
      </c>
      <c r="O129" s="1">
        <f>E129+'Replacement plan'!$AA$37</f>
        <v>0</v>
      </c>
      <c r="P129" s="35" t="str">
        <f>IFERROR(IF(C129=0,"Excluded",IF(OR(COUNTIFS('Fleet register'!$A$7:$A$106,A129)&lt;&gt;1,COUNTIFS('Replacement plan'!$A$7:$A$106,A129)&lt;&gt;1),"Duplicate/missing ID",IF(NOT(AND(ISNUMBER(VLOOKUP($A129,'Fleet register'!$A$7:$S$106,5,FALSE)),ISNUMBER(VLOOKUP($A129,'Fleet register'!$A$7:$S$106,6,FALSE)),ISNUMBER(VLOOKUP($A129,'Fleet register'!$A$7:$S$106,10,FALSE)),ISNUMBER(VLOOKUP($A129,'Fleet register'!$A$7:$S$106,11,FALSE)),ISNUMBER(VLOOKUP($A129,'Fleet register'!$A$7:$S$106,12,FALSE)),ISNUMBER(VLOOKUP($A129,'Fleet register'!$A$7:$S$106,13,FALSE)),ISNUMBER(VLOOKUP($A129,'Fleet register'!$A$7:$S$106,14,FALSE)),VLOOKUP($A129,'Fleet register'!$A$7:$S$106,14,FALSE)&gt;0,ISNUMBER('Replacement plan'!$C$37),OR(E129=120,ISNUMBER('Replacement plan'!$Q$37)),ISNUMBER(E129))),"Missing vehicle input",IF(OR(E129&lt;0,E129&gt;VLOOKUP($A129,'Fleet register'!$A$7:$S$106,10,FALSE),E129&gt;120,E129&lt;&gt;INT(E129),VLOOKUP($A129,'Fleet register'!$A$7:$S$106,6,FALSE)&lt;=0,VLOOKUP($A129,'Fleet register'!$A$7:$S$106,6,FALSE)&gt;366,VLOOKUP($A129,'Fleet register'!$A$7:$S$106,5,FALSE)&lt;0,VLOOKUP($A129,'Fleet register'!$A$7:$S$106,11,FALSE)&lt;0,I129&lt;0,'Operating costs'!$B$8&lt;='Operating costs'!$B$7*'Operating costs'!$B$9,'Operating costs'!$B$11&lt;=0,'Operating costs'!$B$39&gt;R129,'Operating costs'!$B$40&gt;R129,'Operating costs'!$B$41&gt;R129,NOT(OR('Replacement plan'!$O$37="Keep ICE",'Replacement plan'!$O$37="New ICE",'Replacement plan'!$O$37="EV"))),"Invalid vehicle input",IF(AND(D129="EV",E129&lt;120,OR(NOT(ISNUMBER(U129)),NOT(ISNUMBER(V129)),V129&lt;=0,T129&lt;0,T129&gt;1,'Replacement plan'!$L$37&lt;=0,'Operating costs'!$B$44&lt;0,'Operating costs'!$B$44&gt;=1,'Operating costs'!$B$47&lt;=0,'Operating costs'!$B$47&gt;1,V129*'Operating costs'!$B$47/(1-'Operating costs'!$B$44)&lt;=T129*'Operating costs'!$B$12*U129,AND('Replacement plan'!$Z$37&gt;0,OR('Replacement plan'!$AB$37&lt;&gt;"Yes",'Operating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charging'!$B$8&gt;=0))),ISNUMBER(VLOOKUP($A129,'Fleet register'!$A$7:$S$106,15,FALSE)),ISNUMBER(VLOOKUP($A129,'Fleet register'!$A$7:$S$106,16,FALSE)),ISNUMBER('Replacement plan'!$W$37),ISNUMBER('Replacement plan'!$X$37),OR(E129=120,AND(ISNUMBER(G129),G129&gt;=0)),ISNUMBER(H129),H129&gt;=0,OR(D129&lt;&gt;"EV",E129=120,AND(ISNUMBER('Operating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average",ISNUMBER(IFERROR(INDEX(Products!$P$7:$P$13,MATCH(AD129,Products!$A$7:$A$13,0)),"")))),ISNUMBER('Operating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plan'!$Y$37),ISNUMBER('Replacement plan'!$Z$37),'Replacement plan'!$Z$37&gt;=0,ISNUMBER('Replacement plan'!$AA$37),'Replacement plan'!$AA$37&gt;=0,'Replacement plan'!$AA$37=INT('Replacement plan'!$AA$37),ISNUMBER('Replacement plan'!$L$37))),'Operating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plan'!$AG$37="",'Operating costs'!$B$7,'Replacement plan'!$AG$37)),IF('Replacement plan'!$AG$37="",'Operating costs'!$B$7,'Replacement plan'!$AG$37)&gt;=0,ISNUMBER(IF('Replacement plan'!$AH$37="",'Operating costs'!$B$7,'Replacement plan'!$AH$37)),IF('Replacement plan'!$AH$37="",'Operating costs'!$B$7,'Replacement plan'!$AH$37)&gt;=0,'Operating costs'!$B$8&gt;MAX(IF('Replacement plan'!$AG$37="",'Operating costs'!$B$7,'Replacement plan'!$AG$37),IF('Replacement plan'!$AH$37="",'Operating costs'!$B$7,'Replacement plan'!$AH$37))*'Operating costs'!$B$9),IF(AND(VLOOKUP($A129,'Fleet register'!$A$7:$S$106,10,FALSE)&gt;=0,VLOOKUP($A129,'Fleet register'!$A$7:$S$106,10,FALSE)&lt;=120,VLOOKUP($A129,'Fleet register'!$A$7:$S$106,10,FALSE)=INT(VLOOKUP($A129,'Fleet register'!$A$7:$S$106,10,FALSE)),VLOOKUP($A129,'Fleet register'!$A$7:$S$106,15,FALSE)&gt;=0,VLOOKUP($A129,'Fleet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costs'!$B$67)&gt;=0,OR(D129&lt;&gt;"EV",E129=120,AND(MIN('Operating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29" s="1" t="str">
        <f>IF(C129=0,"Excluded",IF(P129&lt;&gt;"Complete",P129,IF(OR('Replacement plan'!$AD$37&lt;120-E129,AND(D129="EV",E129&lt;120,OR('Replacement plan'!$AC$37&lt;120-E129,'Replacement plan'!$I$37="No",AND(ISNUMBER(AF129),AE129&gt;AF129),AI129&gt;V129*(1-'Operating costs'!$B$46)^MAX(0,AB129-1)*(1-'Operating costs'!$B$45),AC129&gt;'Operating costs'!$B$18,AND(T129&lt;1,OR(AG129&lt;=0,AND(ISNUMBER(AH129),AG129&gt;AH129))),'Replacement plan'!$L$37&gt;INDEX(Products!$H$7:$H$13,MATCH('Replacement plan'!$B$37,Products!$A$7:$A$13,0))))),"Fails entered limits",IF(AND(D129="EV",E129&lt;120,OR(NOT(ISNUMBER(VLOOKUP($A129,'Fleet register'!$A$7:$S$106,7,FALSE))),NOT(ISNUMBER(VLOOKUP($A129,'Fleet register'!$A$7:$S$106,8,FALSE))),NOT(ISNUMBER(AF129)),'Replacement plan'!$I$37&lt;&gt;"Yes",NOT(ISNUMBER(AH129)),'Operating costs'!$B$59&lt;&gt;"Yes",'Operating costs'!$B$58&lt;&gt;"Yes")),"Unverified","Within entered limits"))))</f>
        <v>Excluded</v>
      </c>
      <c r="R129" s="1">
        <f>IF(C129=0,0,VLOOKUP($A129,'Fleet register'!$A$7:$S$106,6,FALSE))</f>
        <v>0</v>
      </c>
      <c r="S129" s="1">
        <f>IF(C129=0,0,VLOOKUP($A129,'Fleet register'!$A$7:$S$106,5,FALSE))</f>
        <v>0</v>
      </c>
      <c r="T129" s="1">
        <f>IF(D129="EV",'Energy and charging'!$B$12,0)</f>
        <v>0</v>
      </c>
      <c r="U129" s="1">
        <f>IFERROR(IF(C129=0,0,IF(D129="EV",IF('Replacement plan'!$F$37="",INDEX(Products!$E$7:$E$13,MATCH('Replacement plan'!$B$37,Products!$A$7:$A$13,0)),'Replacement plan'!$F$37)/IF('Replacement plan'!$G$37="Battery",1-'Operating costs'!$B$44,1),0)),"n.a.")</f>
        <v>0</v>
      </c>
      <c r="V129" s="1">
        <f>IFERROR(IF(C129=0,0,IF(D129="EV",IF('Replacement plan'!$E$37="",INDEX(Products!$D$7:$D$13,MATCH('Replacement plan'!$B$37,Products!$A$7:$A$13,0)),'Replacement plan'!$E$37),0)),"n.a.")</f>
        <v>0</v>
      </c>
      <c r="W129" s="1">
        <f>IF(C129=0,0,IF(AND(P129="Complete",D129="EV",E129&lt;120),IF(T129=0,0,ROUNDUP(T129*(R129-'Operating costs'!$B$41)*(S129*U129+'Operating costs'!$B$48/(1-'Operating costs'!$B$44))/(V129*'Operating costs'!$B$47/(1-'Operating costs'!$B$44)-T129*'Operating costs'!$B$12*U129),0)),0))</f>
        <v>0</v>
      </c>
      <c r="X129" s="1">
        <f>IF(C129=0,0,IF(AND(P129="Complete",D129="EV",E129&lt;120),(R129-'Operating costs'!$B$41)*(S129*U129+'Operating costs'!$B$48/(1-'Operating costs'!$B$44))+W129*'Operating costs'!$B$12*U129,0))</f>
        <v>0</v>
      </c>
      <c r="Y129" s="1">
        <f>IF(AND(C129=1,D129="EV",E129&lt;120),AI129/(1-'Operating costs'!$B$44)*(1-T129),0)</f>
        <v>0</v>
      </c>
      <c r="Z129" s="1">
        <f t="shared" si="2"/>
        <v>0</v>
      </c>
      <c r="AA129" s="1">
        <f>IF(C129=0,0,IF(P129="Complete",((S129*(R129-'Operating costs'!$B$40))+ROUNDUP(S129*(R129-'Operating costs'!$B$40)*IF('Replacement plan'!$AH$37="",'Operating costs'!$B$7,'Replacement plan'!$AH$37)/('Operating costs'!$B$8-'Operating costs'!$B$9*IF('Replacement plan'!$AH$37="",'Operating costs'!$B$7,'Replacement plan'!$AH$37)),0)*'Operating costs'!$B$9)*IF('Replacement plan'!$AH$37="",'Operating costs'!$B$7,'Replacement plan'!$AH$37),"n.a."))</f>
        <v>0</v>
      </c>
      <c r="AB129" s="1">
        <f t="shared" si="3"/>
        <v>0</v>
      </c>
      <c r="AC129" s="1">
        <f>IF(AND(C129=1,D129="EV",E129&lt;120,T129&gt;0),'Operating costs'!$B$12/'Operating costs'!$B$11*60+'Operating costs'!$B$13+'Operating costs'!$B$14+V129*'Operating costs'!$B$47/(1-'Operating costs'!$B$44)/'Replacement plan'!$L$37*60,0)</f>
        <v>0</v>
      </c>
      <c r="AD129" s="1" t="str">
        <f>'Replacement plan'!$B$37</f>
        <v>ChengLong L2EV</v>
      </c>
      <c r="AE129" s="1">
        <f>IF(C129=0,0,VLOOKUP($A129,'Fleet register'!$A$7:$S$106,8,FALSE))</f>
        <v>0</v>
      </c>
      <c r="AF129" s="1" t="str">
        <f>IF('Replacement plan'!$H$37="","n.a.",'Replacement plan'!$H$37)</f>
        <v>n.a.</v>
      </c>
      <c r="AG129" s="1">
        <f>'Replacement plan'!$J$37</f>
        <v>22</v>
      </c>
      <c r="AH129" s="1">
        <f>IFERROR(IF(D129="EV",IF('Replacement plan'!$K$37="AC",IF(ISNUMBER(INDEX(Products!$G$7:$G$13,MATCH('Replacement plan'!$B$37,Products!$A$7:$A$13,0))),INDEX(Products!$G$7:$G$13,MATCH('Replacement plan'!$B$37,Products!$A$7:$A$13,0)),"n.a."),IF(ISNUMBER(INDEX(Products!$H$7:$H$13,MATCH('Replacement plan'!$B$37,Products!$A$7:$A$13,0))),INDEX(Products!$H$7:$H$13,MATCH('Replacement plan'!$B$37,Products!$A$7:$A$13,0)),"n.a.")),0),"n.a.")</f>
        <v>0</v>
      </c>
      <c r="AI129" s="1">
        <f>IF(AND(C129=1,D129="EV",E129&lt;120),(VLOOKUP($A129,'Fleet register'!$A$7:$S$106,7,FALSE)+IF(T129&gt;0,'Operating costs'!$B$12,0))*U129*(1-'Operating costs'!$B$44)+'Operating costs'!$B$49,0)</f>
        <v>0</v>
      </c>
      <c r="AJ129" s="1">
        <f>IF(D129="EV",'Energy and charging'!$B$50,0)</f>
        <v>0</v>
      </c>
      <c r="AK129" s="17">
        <f>EDATE('Operating costs'!$B$63,E129)</f>
        <v>46298</v>
      </c>
      <c r="AL129" s="1">
        <f>IFERROR(IF(D129="EV",INDEX(Products!$B$7:$B$13,MATCH('Replacement plan'!$B$37,Products!$A$7:$A$13,0)),0),"n.a.")</f>
        <v>0</v>
      </c>
      <c r="AM129" s="1" t="str">
        <f>'Replacement plan'!$K$37</f>
        <v>DC</v>
      </c>
      <c r="AN129" s="1" t="str">
        <f>'Replacement plan'!$AE$37</f>
        <v>Assumed</v>
      </c>
      <c r="AO129" s="47">
        <f>IF(AND(C129=1,D129="EV",E129&lt;120),(R129-'Operating costs'!$B$41)*S129+W129*'Operating costs'!$B$12,0)</f>
        <v>0</v>
      </c>
      <c r="AP129" s="41">
        <f>IF(AND(C129=1,D129="EV",E129&lt;120),IF('Operating costs'!$B$68="Hong Seh 200k average",AO129*IFERROR(INDEX(Products!$P$7:$P$13,MATCH(AD129,Products!$A$7:$A$13,0)),"n.a."),'Operating costs'!$B$26),0)</f>
        <v>0</v>
      </c>
      <c r="AQ129" s="40" t="str">
        <f>IF(D129="EV",'Operating costs'!$B$68,"Not applicable")</f>
        <v>Not applicable</v>
      </c>
    </row>
    <row r="130" spans="1:43" ht="24" customHeight="1">
      <c r="A130" s="1" t="str">
        <f>'Replacement plan'!A37</f>
        <v>T031</v>
      </c>
      <c r="B130" s="1">
        <v>3</v>
      </c>
      <c r="C130" s="1">
        <f>IF(COUNTIFS('Fleet register'!$A$7:$A$106,$A130)=1,VLOOKUP($A130,'Fleet register'!$A$7:$S$106,2,FALSE),0)</f>
        <v>0</v>
      </c>
      <c r="D130" s="1" t="str">
        <f>IF('Replacement plan'!$R$37="EV","EV","ICE")</f>
        <v>ICE</v>
      </c>
      <c r="E130" s="1">
        <f>IF(C130=0,0,IF('Replacement plan'!$S$37="",IF('Replacement plan'!$R$37="Keep ICE",IF('Replacement plan'!$M$37="",VLOOKUP($A130,'Fleet register'!$A$7:$S$106,10,FALSE),'Replacement plan'!$M$37),0),'Replacement plan'!$S$37))</f>
        <v>0</v>
      </c>
      <c r="F130" s="16">
        <f>IF(C130=0,0,VLOOKUP($A130,'Fleet register'!$A$7:$S$106,11,FALSE))</f>
        <v>0</v>
      </c>
      <c r="G130" s="16">
        <f>IFERROR(IF(C130=0,0,IF(E130=120,0,IF(D130="ICE",'Replacement plan'!$C$37,IF('Replacement plan'!$D$37="",INDEX(Products!$I$7:$I$13,MATCH('Replacement plan'!$B$37,Products!$A$7:$A$13,0))+'Operating costs'!$B$57,'Replacement plan'!$D$37))*(1+'Operating costs'!$B$50)^(E130/12))),"n.a.")</f>
        <v>0</v>
      </c>
      <c r="H130" s="16">
        <f>IFERROR(IF(C130=0,0,IF('Replacement plan'!$V$37&lt;&gt;"",'Replacement plan'!$V$37,IF(E130=0,F130,VLOOKUP($A130,'Fleet register'!$A$7:$S$106,12,FALSE)+VLOOKUP($A130,'Fleet register'!$A$7:$S$106,13,FALSE)*MAX(0,VLOOKUP($A130,'Fleet register'!$A$7:$S$106,10,FALSE)-E130)/VLOOKUP($A130,'Fleet register'!$A$7:$S$106,14,FALSE)))),"n.a.")</f>
        <v>0</v>
      </c>
      <c r="I130" s="16">
        <f>IF(C130=0,0,IF(E130=120,0,'Replacement plan'!$T$37))</f>
        <v>0</v>
      </c>
      <c r="J130" s="16">
        <f>IF(C130=0,0,IF(P130="Complete",((S130*(R130-'Operating costs'!$B$39))+ROUNDUP(S130*(R130-'Operating costs'!$B$39)*IF('Replacement plan'!$AG$37="",'Operating costs'!$B$7,'Replacement plan'!$AG$37)/('Operating costs'!$B$8-'Operating costs'!$B$9*IF('Replacement plan'!$AG$37="",'Operating costs'!$B$7,'Replacement plan'!$AG$37)),0)*'Operating costs'!$B$9)*IF('Replacement plan'!$AG$37="",'Operating costs'!$B$7,'Replacement plan'!$AG$37)*('Energy and charging'!$C$9*'Energy and charging'!$C$7+(1-'Energy and charging'!$C$9)*'Energy and charging'!$C$8)*'Operating costs'!$B$23,"n.a."))</f>
        <v>0</v>
      </c>
      <c r="K130" s="16">
        <f>IF(C130=0,0,IF(P130="Complete",SUM('Operating costs'!$B$24,'Operating costs'!$B$27,'Operating costs'!$B$29,'Operating costs'!$B$31,'Operating costs'!$B$33,'Operating costs'!$B$34,'Operating costs'!$B$37,'Replacement plan'!$W$37)+'Operating costs'!$B$39*'Operating costs'!$B$42+ROUNDUP(S130*(R130-'Operating costs'!$B$39)*IF('Replacement plan'!$AG$37="",'Operating costs'!$B$7,'Replacement plan'!$AG$37)/('Operating costs'!$B$8-'Operating costs'!$B$9*IF('Replacement plan'!$AG$37="",'Operating costs'!$B$7,'Replacement plan'!$AG$37)),0)*('Operating costs'!$B$9/'Operating costs'!$B$11+'Operating costs'!$B$10/60)*'Operating costs'!$B$19*'Operating costs'!$B$21,"n.a."))</f>
        <v>0</v>
      </c>
      <c r="L130" s="16">
        <f>IF(C130=0,0,IF(P130="Complete",IF(D130="EV",X130*((1-T130)*'Energy and charging'!$C$10+T130*'Energy and charging'!$C$11)*'Operating costs'!$B$22,AA130*('Energy and charging'!$C$9*'Energy and charging'!$C$7+(1-'Energy and charging'!$C$9)*'Energy and charging'!$C$8)*'Operating costs'!$B$23),"n.a."))</f>
        <v>0</v>
      </c>
      <c r="M130" s="37">
        <f>IF(C130=0,0,IF(P130="Complete",IF(D130="ICE",SUM('Operating costs'!$B$25,'Operating costs'!$B$27,'Operating costs'!$B$29,'Operating costs'!$B$31,'Operating costs'!$B$33,'Operating costs'!$B$35,'Operating costs'!$B$37,'Replacement plan'!$X$37)+'Operating costs'!$B$40*'Operating costs'!$B$42+ROUNDUP(S130*(R130-'Operating costs'!$B$40)*IF('Replacement plan'!$AH$37="",'Operating costs'!$B$7,'Replacement plan'!$AH$37)/('Operating costs'!$B$8-'Operating costs'!$B$9*IF('Replacement plan'!$AH$37="",'Operating costs'!$B$7,'Replacement plan'!$AH$37)),0)*('Operating costs'!$B$9/'Operating costs'!$B$11+'Operating costs'!$B$10/60)*'Operating costs'!$B$19*'Operating costs'!$B$21,SUM(AP130,'Operating costs'!$B$28,'Operating costs'!$B$30,'Operating costs'!$B$32,'Operating costs'!$B$33,'Operating costs'!$B$36,'Operating costs'!$B$38,'Replacement plan'!$Y$37)+'Operating costs'!$B$41*'Operating costs'!$B$43+W130*'Operating costs'!$B$15+(T130*X130/'Replacement plan'!$L$37+W130*('Operating costs'!$B$12/'Operating costs'!$B$11+('Operating costs'!$B$13+'Operating costs'!$B$14)/60)+(R130-'Operating costs'!$B$41)*(IF(T130&lt;1,'Operating costs'!$B$16,0)+'Operating costs'!$B$17)/60)*'Operating costs'!$B$19*'Operating costs'!$B$20),"n.a."))</f>
        <v>0</v>
      </c>
      <c r="N130" s="16">
        <f>IF(AND(C130=1,D130="EV",E130&lt;120,E130+'Replacement plan'!$AA$37&lt;=120),'Replacement plan'!$Z$37,0)</f>
        <v>0</v>
      </c>
      <c r="O130" s="1">
        <f>E130+'Replacement plan'!$AA$37</f>
        <v>0</v>
      </c>
      <c r="P130" s="35" t="str">
        <f>IFERROR(IF(C130=0,"Excluded",IF(OR(COUNTIFS('Fleet register'!$A$7:$A$106,A130)&lt;&gt;1,COUNTIFS('Replacement plan'!$A$7:$A$106,A130)&lt;&gt;1),"Duplicate/missing ID",IF(NOT(AND(ISNUMBER(VLOOKUP($A130,'Fleet register'!$A$7:$S$106,5,FALSE)),ISNUMBER(VLOOKUP($A130,'Fleet register'!$A$7:$S$106,6,FALSE)),ISNUMBER(VLOOKUP($A130,'Fleet register'!$A$7:$S$106,10,FALSE)),ISNUMBER(VLOOKUP($A130,'Fleet register'!$A$7:$S$106,11,FALSE)),ISNUMBER(VLOOKUP($A130,'Fleet register'!$A$7:$S$106,12,FALSE)),ISNUMBER(VLOOKUP($A130,'Fleet register'!$A$7:$S$106,13,FALSE)),ISNUMBER(VLOOKUP($A130,'Fleet register'!$A$7:$S$106,14,FALSE)),VLOOKUP($A130,'Fleet register'!$A$7:$S$106,14,FALSE)&gt;0,ISNUMBER('Replacement plan'!$C$37),OR(E130=120,ISNUMBER('Replacement plan'!$T$37)),ISNUMBER(E130))),"Missing vehicle input",IF(OR(E130&lt;0,E130&gt;VLOOKUP($A130,'Fleet register'!$A$7:$S$106,10,FALSE),E130&gt;120,E130&lt;&gt;INT(E130),VLOOKUP($A130,'Fleet register'!$A$7:$S$106,6,FALSE)&lt;=0,VLOOKUP($A130,'Fleet register'!$A$7:$S$106,6,FALSE)&gt;366,VLOOKUP($A130,'Fleet register'!$A$7:$S$106,5,FALSE)&lt;0,VLOOKUP($A130,'Fleet register'!$A$7:$S$106,11,FALSE)&lt;0,I130&lt;0,'Operating costs'!$B$8&lt;='Operating costs'!$B$7*'Operating costs'!$B$9,'Operating costs'!$B$11&lt;=0,'Operating costs'!$B$39&gt;R130,'Operating costs'!$B$40&gt;R130,'Operating costs'!$B$41&gt;R130,NOT(OR('Replacement plan'!$R$37="Keep ICE",'Replacement plan'!$R$37="New ICE",'Replacement plan'!$R$37="EV"))),"Invalid vehicle input",IF(AND(D130="EV",E130&lt;120,OR(NOT(ISNUMBER(U130)),NOT(ISNUMBER(V130)),V130&lt;=0,T130&lt;0,T130&gt;1,'Replacement plan'!$L$37&lt;=0,'Operating costs'!$B$44&lt;0,'Operating costs'!$B$44&gt;=1,'Operating costs'!$B$47&lt;=0,'Operating costs'!$B$47&gt;1,V130*'Operating costs'!$B$47/(1-'Operating costs'!$B$44)&lt;=T130*'Operating costs'!$B$12*U130,AND('Replacement plan'!$Z$37&gt;0,OR('Replacement plan'!$AB$37&lt;&gt;"Yes",'Operating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charging'!$C$8&gt;=0))),ISNUMBER(VLOOKUP($A130,'Fleet register'!$A$7:$S$106,15,FALSE)),ISNUMBER(VLOOKUP($A130,'Fleet register'!$A$7:$S$106,16,FALSE)),ISNUMBER('Replacement plan'!$W$37),ISNUMBER('Replacement plan'!$X$37),OR(E130=120,AND(ISNUMBER(G130),G130&gt;=0)),ISNUMBER(H130),H130&gt;=0,OR(D130&lt;&gt;"EV",E130=120,AND(ISNUMBER('Operating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average",ISNUMBER(IFERROR(INDEX(Products!$P$7:$P$13,MATCH(AD130,Products!$A$7:$A$13,0)),"")))),ISNUMBER('Operating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plan'!$Y$37),ISNUMBER('Replacement plan'!$Z$37),'Replacement plan'!$Z$37&gt;=0,ISNUMBER('Replacement plan'!$AA$37),'Replacement plan'!$AA$37&gt;=0,'Replacement plan'!$AA$37=INT('Replacement plan'!$AA$37),ISNUMBER('Replacement plan'!$L$37))),'Operating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plan'!$AG$37="",'Operating costs'!$B$7,'Replacement plan'!$AG$37)),IF('Replacement plan'!$AG$37="",'Operating costs'!$B$7,'Replacement plan'!$AG$37)&gt;=0,ISNUMBER(IF('Replacement plan'!$AH$37="",'Operating costs'!$B$7,'Replacement plan'!$AH$37)),IF('Replacement plan'!$AH$37="",'Operating costs'!$B$7,'Replacement plan'!$AH$37)&gt;=0,'Operating costs'!$B$8&gt;MAX(IF('Replacement plan'!$AG$37="",'Operating costs'!$B$7,'Replacement plan'!$AG$37),IF('Replacement plan'!$AH$37="",'Operating costs'!$B$7,'Replacement plan'!$AH$37))*'Operating costs'!$B$9),IF(AND(VLOOKUP($A130,'Fleet register'!$A$7:$S$106,10,FALSE)&gt;=0,VLOOKUP($A130,'Fleet register'!$A$7:$S$106,10,FALSE)&lt;=120,VLOOKUP($A130,'Fleet register'!$A$7:$S$106,10,FALSE)=INT(VLOOKUP($A130,'Fleet register'!$A$7:$S$106,10,FALSE)),VLOOKUP($A130,'Fleet register'!$A$7:$S$106,15,FALSE)&gt;=0,VLOOKUP($A130,'Fleet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costs'!$B$67)&gt;=0,OR(D130&lt;&gt;"EV",E130=120,AND(MIN('Operating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30" s="1" t="str">
        <f>IF(C130=0,"Excluded",IF(P130&lt;&gt;"Complete",P130,IF(OR('Replacement plan'!$AD$37&lt;120-E130,AND(D130="EV",E130&lt;120,OR('Replacement plan'!$AC$37&lt;120-E130,'Replacement plan'!$I$37="No",AND(ISNUMBER(AF130),AE130&gt;AF130),AI130&gt;V130*(1-'Operating costs'!$B$46)^MAX(0,AB130-1)*(1-'Operating costs'!$B$45),AC130&gt;'Operating costs'!$B$18,AND(T130&lt;1,OR(AG130&lt;=0,AND(ISNUMBER(AH130),AG130&gt;AH130))),'Replacement plan'!$L$37&gt;INDEX(Products!$H$7:$H$13,MATCH('Replacement plan'!$B$37,Products!$A$7:$A$13,0))))),"Fails entered limits",IF(AND(D130="EV",E130&lt;120,OR(NOT(ISNUMBER(VLOOKUP($A130,'Fleet register'!$A$7:$S$106,7,FALSE))),NOT(ISNUMBER(VLOOKUP($A130,'Fleet register'!$A$7:$S$106,8,FALSE))),NOT(ISNUMBER(AF130)),'Replacement plan'!$I$37&lt;&gt;"Yes",NOT(ISNUMBER(AH130)),'Operating costs'!$B$59&lt;&gt;"Yes",'Operating costs'!$B$58&lt;&gt;"Yes")),"Unverified","Within entered limits"))))</f>
        <v>Excluded</v>
      </c>
      <c r="R130" s="1">
        <f>IF(C130=0,0,VLOOKUP($A130,'Fleet register'!$A$7:$S$106,6,FALSE))</f>
        <v>0</v>
      </c>
      <c r="S130" s="1">
        <f>IF(C130=0,0,VLOOKUP($A130,'Fleet register'!$A$7:$S$106,5,FALSE))</f>
        <v>0</v>
      </c>
      <c r="T130" s="1">
        <f>IF(D130="EV",'Energy and charging'!$C$12,0)</f>
        <v>0</v>
      </c>
      <c r="U130" s="1">
        <f>IFERROR(IF(C130=0,0,IF(D130="EV",IF('Replacement plan'!$F$37="",INDEX(Products!$E$7:$E$13,MATCH('Replacement plan'!$B$37,Products!$A$7:$A$13,0)),'Replacement plan'!$F$37)/IF('Replacement plan'!$G$37="Battery",1-'Operating costs'!$B$44,1),0)),"n.a.")</f>
        <v>0</v>
      </c>
      <c r="V130" s="1">
        <f>IFERROR(IF(C130=0,0,IF(D130="EV",IF('Replacement plan'!$E$37="",INDEX(Products!$D$7:$D$13,MATCH('Replacement plan'!$B$37,Products!$A$7:$A$13,0)),'Replacement plan'!$E$37),0)),"n.a.")</f>
        <v>0</v>
      </c>
      <c r="W130" s="1">
        <f>IF(C130=0,0,IF(AND(P130="Complete",D130="EV",E130&lt;120),IF(T130=0,0,ROUNDUP(T130*(R130-'Operating costs'!$B$41)*(S130*U130+'Operating costs'!$B$48/(1-'Operating costs'!$B$44))/(V130*'Operating costs'!$B$47/(1-'Operating costs'!$B$44)-T130*'Operating costs'!$B$12*U130),0)),0))</f>
        <v>0</v>
      </c>
      <c r="X130" s="1">
        <f>IF(C130=0,0,IF(AND(P130="Complete",D130="EV",E130&lt;120),(R130-'Operating costs'!$B$41)*(S130*U130+'Operating costs'!$B$48/(1-'Operating costs'!$B$44))+W130*'Operating costs'!$B$12*U130,0))</f>
        <v>0</v>
      </c>
      <c r="Y130" s="1">
        <f>IF(AND(C130=1,D130="EV",E130&lt;120),AI130/(1-'Operating costs'!$B$44)*(1-T130),0)</f>
        <v>0</v>
      </c>
      <c r="Z130" s="1">
        <f t="shared" si="2"/>
        <v>0</v>
      </c>
      <c r="AA130" s="1">
        <f>IF(C130=0,0,IF(P130="Complete",((S130*(R130-'Operating costs'!$B$40))+ROUNDUP(S130*(R130-'Operating costs'!$B$40)*IF('Replacement plan'!$AH$37="",'Operating costs'!$B$7,'Replacement plan'!$AH$37)/('Operating costs'!$B$8-'Operating costs'!$B$9*IF('Replacement plan'!$AH$37="",'Operating costs'!$B$7,'Replacement plan'!$AH$37)),0)*'Operating costs'!$B$9)*IF('Replacement plan'!$AH$37="",'Operating costs'!$B$7,'Replacement plan'!$AH$37),"n.a."))</f>
        <v>0</v>
      </c>
      <c r="AB130" s="1">
        <f t="shared" si="3"/>
        <v>0</v>
      </c>
      <c r="AC130" s="1">
        <f>IF(AND(C130=1,D130="EV",E130&lt;120,T130&gt;0),'Operating costs'!$B$12/'Operating costs'!$B$11*60+'Operating costs'!$B$13+'Operating costs'!$B$14+V130*'Operating costs'!$B$47/(1-'Operating costs'!$B$44)/'Replacement plan'!$L$37*60,0)</f>
        <v>0</v>
      </c>
      <c r="AD130" s="1" t="str">
        <f>'Replacement plan'!$B$37</f>
        <v>ChengLong L2EV</v>
      </c>
      <c r="AE130" s="1">
        <f>IF(C130=0,0,VLOOKUP($A130,'Fleet register'!$A$7:$S$106,8,FALSE))</f>
        <v>0</v>
      </c>
      <c r="AF130" s="1" t="str">
        <f>IF('Replacement plan'!$H$37="","n.a.",'Replacement plan'!$H$37)</f>
        <v>n.a.</v>
      </c>
      <c r="AG130" s="1">
        <f>'Replacement plan'!$J$37</f>
        <v>22</v>
      </c>
      <c r="AH130" s="1">
        <f>IFERROR(IF(D130="EV",IF('Replacement plan'!$K$37="AC",IF(ISNUMBER(INDEX(Products!$G$7:$G$13,MATCH('Replacement plan'!$B$37,Products!$A$7:$A$13,0))),INDEX(Products!$G$7:$G$13,MATCH('Replacement plan'!$B$37,Products!$A$7:$A$13,0)),"n.a."),IF(ISNUMBER(INDEX(Products!$H$7:$H$13,MATCH('Replacement plan'!$B$37,Products!$A$7:$A$13,0))),INDEX(Products!$H$7:$H$13,MATCH('Replacement plan'!$B$37,Products!$A$7:$A$13,0)),"n.a.")),0),"n.a.")</f>
        <v>0</v>
      </c>
      <c r="AI130" s="1">
        <f>IF(AND(C130=1,D130="EV",E130&lt;120),(VLOOKUP($A130,'Fleet register'!$A$7:$S$106,7,FALSE)+IF(T130&gt;0,'Operating costs'!$B$12,0))*U130*(1-'Operating costs'!$B$44)+'Operating costs'!$B$49,0)</f>
        <v>0</v>
      </c>
      <c r="AJ130" s="1">
        <f>IF(D130="EV",'Energy and charging'!$C$50,0)</f>
        <v>0</v>
      </c>
      <c r="AK130" s="17">
        <f>EDATE('Operating costs'!$B$63,E130)</f>
        <v>46298</v>
      </c>
      <c r="AL130" s="1">
        <f>IFERROR(IF(D130="EV",INDEX(Products!$B$7:$B$13,MATCH('Replacement plan'!$B$37,Products!$A$7:$A$13,0)),0),"n.a.")</f>
        <v>0</v>
      </c>
      <c r="AM130" s="1" t="str">
        <f>'Replacement plan'!$K$37</f>
        <v>DC</v>
      </c>
      <c r="AN130" s="1" t="str">
        <f>'Replacement plan'!$AE$37</f>
        <v>Assumed</v>
      </c>
      <c r="AO130" s="47">
        <f>IF(AND(C130=1,D130="EV",E130&lt;120),(R130-'Operating costs'!$B$41)*S130+W130*'Operating costs'!$B$12,0)</f>
        <v>0</v>
      </c>
      <c r="AP130" s="41">
        <f>IF(AND(C130=1,D130="EV",E130&lt;120),IF('Operating costs'!$B$68="Hong Seh 200k average",AO130*IFERROR(INDEX(Products!$P$7:$P$13,MATCH(AD130,Products!$A$7:$A$13,0)),"n.a."),'Operating costs'!$B$26),0)</f>
        <v>0</v>
      </c>
      <c r="AQ130" s="40" t="str">
        <f>IF(D130="EV",'Operating costs'!$B$68,"Not applicable")</f>
        <v>Not applicable</v>
      </c>
    </row>
    <row r="131" spans="1:43" ht="24" customHeight="1">
      <c r="A131" s="1" t="str">
        <f>'Replacement plan'!A38</f>
        <v>T032</v>
      </c>
      <c r="B131" s="1">
        <v>0</v>
      </c>
      <c r="C131" s="1">
        <f>IF(COUNTIFS('Fleet register'!$A$7:$A$106,$A131)=1,VLOOKUP($A131,'Fleet register'!$A$7:$S$106,2,FALSE),0)</f>
        <v>0</v>
      </c>
      <c r="D131" s="1" t="str">
        <f>IF("Keep ICE"="EV","EV","ICE")</f>
        <v>ICE</v>
      </c>
      <c r="E131" s="1">
        <f>IF(C131=0,0,IF('Replacement plan'!$M$38="",VLOOKUP($A131,'Fleet register'!$A$7:$S$106,10,FALSE),'Replacement plan'!$M$38))</f>
        <v>0</v>
      </c>
      <c r="F131" s="16">
        <f>IF(C131=0,0,VLOOKUP($A131,'Fleet register'!$A$7:$S$106,11,FALSE))</f>
        <v>0</v>
      </c>
      <c r="G131" s="16">
        <f>IFERROR(IF(C131=0,0,IF(E131=120,0,IF(D131="ICE",'Replacement plan'!$C$38,IF('Replacement plan'!$D$38="",INDEX(Products!$I$7:$I$13,MATCH('Replacement plan'!$B$38,Products!$A$7:$A$13,0))+'Operating costs'!$B$57,'Replacement plan'!$D$38))*(1+'Operating costs'!$B$50)^(E131/12))),"n.a.")</f>
        <v>0</v>
      </c>
      <c r="H131" s="16">
        <f>IFERROR(IF(C131=0,0,IF(E131=0,F131,VLOOKUP($A131,'Fleet register'!$A$7:$S$106,12,FALSE)+VLOOKUP($A131,'Fleet register'!$A$7:$S$106,13,FALSE)*MAX(0,VLOOKUP($A131,'Fleet register'!$A$7:$S$106,10,FALSE)-E131)/VLOOKUP($A131,'Fleet register'!$A$7:$S$106,14,FALSE))),"n.a.")</f>
        <v>0</v>
      </c>
      <c r="I131" s="16">
        <f>IF(C131=0,0,IF(E131=120,0,'Replacement plan'!$N$38))</f>
        <v>0</v>
      </c>
      <c r="J131" s="16">
        <f>IF(C131=0,0,IF(P131="Complete",((S131*(R131-'Operating costs'!$B$39))+ROUNDUP(S131*(R131-'Operating costs'!$B$39)*IF('Replacement plan'!$AG$38="",'Operating costs'!$B$7,'Replacement plan'!$AG$38)/('Operating costs'!$B$8-'Operating costs'!$B$9*IF('Replacement plan'!$AG$38="",'Operating costs'!$B$7,'Replacement plan'!$AG$38)),0)*'Operating costs'!$B$9)*IF('Replacement plan'!$AG$38="",'Operating costs'!$B$7,'Replacement plan'!$AG$38)*('Energy and charging'!$B$9*'Energy and charging'!$B$7+(1-'Energy and charging'!$B$9)*'Energy and charging'!$B$8)*'Operating costs'!$B$23,"n.a."))</f>
        <v>0</v>
      </c>
      <c r="K131" s="16">
        <f>IF(C131=0,0,IF(P131="Complete",SUM('Operating costs'!$B$24,'Operating costs'!$B$27,'Operating costs'!$B$29,'Operating costs'!$B$31,'Operating costs'!$B$33,'Operating costs'!$B$34,'Operating costs'!$B$37,'Replacement plan'!$W$38)+'Operating costs'!$B$39*'Operating costs'!$B$42+ROUNDUP(S131*(R131-'Operating costs'!$B$39)*IF('Replacement plan'!$AG$38="",'Operating costs'!$B$7,'Replacement plan'!$AG$38)/('Operating costs'!$B$8-'Operating costs'!$B$9*IF('Replacement plan'!$AG$38="",'Operating costs'!$B$7,'Replacement plan'!$AG$38)),0)*('Operating costs'!$B$9/'Operating costs'!$B$11+'Operating costs'!$B$10/60)*'Operating costs'!$B$19*'Operating costs'!$B$21,"n.a."))</f>
        <v>0</v>
      </c>
      <c r="L131" s="16">
        <f>IF(C131=0,0,IF(P131="Complete",IF(D131="EV",X131*((1-T131)*'Energy and charging'!$B$10+T131*'Energy and charging'!$B$11)*'Operating costs'!$B$22,AA131*('Energy and charging'!$B$9*'Energy and charging'!$B$7+(1-'Energy and charging'!$B$9)*'Energy and charging'!$B$8)*'Operating costs'!$B$23),"n.a."))</f>
        <v>0</v>
      </c>
      <c r="M131" s="37">
        <f>IF(C131=0,0,IF(P131="Complete",IF(D131="ICE",SUM('Operating costs'!$B$25,'Operating costs'!$B$27,'Operating costs'!$B$29,'Operating costs'!$B$31,'Operating costs'!$B$33,'Operating costs'!$B$35,'Operating costs'!$B$37,'Replacement plan'!$X$38)+'Operating costs'!$B$40*'Operating costs'!$B$42+ROUNDUP(S131*(R131-'Operating costs'!$B$40)*IF('Replacement plan'!$AH$38="",'Operating costs'!$B$7,'Replacement plan'!$AH$38)/('Operating costs'!$B$8-'Operating costs'!$B$9*IF('Replacement plan'!$AH$38="",'Operating costs'!$B$7,'Replacement plan'!$AH$38)),0)*('Operating costs'!$B$9/'Operating costs'!$B$11+'Operating costs'!$B$10/60)*'Operating costs'!$B$19*'Operating costs'!$B$21,SUM(AP131,'Operating costs'!$B$28,'Operating costs'!$B$30,'Operating costs'!$B$32,'Operating costs'!$B$33,'Operating costs'!$B$36,'Operating costs'!$B$38,'Replacement plan'!$Y$38)+'Operating costs'!$B$41*'Operating costs'!$B$43+W131*'Operating costs'!$B$15+(T131*X131/'Replacement plan'!$L$38+W131*('Operating costs'!$B$12/'Operating costs'!$B$11+('Operating costs'!$B$13+'Operating costs'!$B$14)/60)+(R131-'Operating costs'!$B$41)*(IF(T131&lt;1,'Operating costs'!$B$16,0)+'Operating costs'!$B$17)/60)*'Operating costs'!$B$19*'Operating costs'!$B$20),"n.a."))</f>
        <v>0</v>
      </c>
      <c r="N131" s="16">
        <f>IF(AND(C131=1,D131="EV",E131&lt;120,E131+'Replacement plan'!$AA$38&lt;=120),'Replacement plan'!$Z$38,0)</f>
        <v>0</v>
      </c>
      <c r="O131" s="1">
        <f>E131+'Replacement plan'!$AA$38</f>
        <v>0</v>
      </c>
      <c r="P131" s="35" t="str">
        <f>IFERROR(IF(C131=0,"Excluded",IF(OR(COUNTIFS('Fleet register'!$A$7:$A$106,A131)&lt;&gt;1,COUNTIFS('Replacement plan'!$A$7:$A$106,A131)&lt;&gt;1),"Duplicate/missing ID",IF(NOT(AND(ISNUMBER(VLOOKUP($A131,'Fleet register'!$A$7:$S$106,5,FALSE)),ISNUMBER(VLOOKUP($A131,'Fleet register'!$A$7:$S$106,6,FALSE)),ISNUMBER(VLOOKUP($A131,'Fleet register'!$A$7:$S$106,10,FALSE)),ISNUMBER(VLOOKUP($A131,'Fleet register'!$A$7:$S$106,11,FALSE)),ISNUMBER(VLOOKUP($A131,'Fleet register'!$A$7:$S$106,12,FALSE)),ISNUMBER(VLOOKUP($A131,'Fleet register'!$A$7:$S$106,13,FALSE)),ISNUMBER(VLOOKUP($A131,'Fleet register'!$A$7:$S$106,14,FALSE)),VLOOKUP($A131,'Fleet register'!$A$7:$S$106,14,FALSE)&gt;0,ISNUMBER('Replacement plan'!$C$38),OR(E131=120,ISNUMBER('Replacement plan'!$N$38)),ISNUMBER(E131))),"Missing vehicle input",IF(OR(E131&lt;0,E131&gt;VLOOKUP($A131,'Fleet register'!$A$7:$S$106,10,FALSE),E131&gt;120,E131&lt;&gt;INT(E131),VLOOKUP($A131,'Fleet register'!$A$7:$S$106,6,FALSE)&lt;=0,VLOOKUP($A131,'Fleet register'!$A$7:$S$106,6,FALSE)&gt;366,VLOOKUP($A131,'Fleet register'!$A$7:$S$106,5,FALSE)&lt;0,VLOOKUP($A131,'Fleet register'!$A$7:$S$106,11,FALSE)&lt;0,I131&lt;0,'Operating costs'!$B$8&lt;='Operating costs'!$B$7*'Operating costs'!$B$9,'Operating costs'!$B$11&lt;=0,'Operating costs'!$B$39&gt;R131,'Operating costs'!$B$40&gt;R131,'Operating costs'!$B$41&gt;R131,NOT(OR("Keep ICE"="Keep ICE","Keep ICE"="New ICE","Keep ICE"="EV"))),"Invalid vehicle input",IF(AND(D131="EV",E131&lt;120,OR(NOT(ISNUMBER(U131)),NOT(ISNUMBER(V131)),V131&lt;=0,T131&lt;0,T131&gt;1,'Replacement plan'!$L$38&lt;=0,'Operating costs'!$B$44&lt;0,'Operating costs'!$B$44&gt;=1,'Operating costs'!$B$47&lt;=0,'Operating costs'!$B$47&gt;1,V131*'Operating costs'!$B$47/(1-'Operating costs'!$B$44)&lt;=T131*'Operating costs'!$B$12*U131,AND('Replacement plan'!$Z$38&gt;0,OR('Replacement plan'!$AB$38&lt;&gt;"Yes",'Operating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charging'!$B$8&gt;=0))),ISNUMBER(VLOOKUP($A131,'Fleet register'!$A$7:$S$106,15,FALSE)),ISNUMBER(VLOOKUP($A131,'Fleet register'!$A$7:$S$106,16,FALSE)),ISNUMBER('Replacement plan'!$W$38),ISNUMBER('Replacement plan'!$X$38),OR(E131=120,AND(ISNUMBER(G131),G131&gt;=0)),ISNUMBER(H131),H131&gt;=0,OR(D131&lt;&gt;"EV",E131=120,AND(ISNUMBER('Operating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average",ISNUMBER(IFERROR(INDEX(Products!$P$7:$P$13,MATCH(AD131,Products!$A$7:$A$13,0)),"")))),ISNUMBER('Operating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plan'!$Y$38),ISNUMBER('Replacement plan'!$Z$38),'Replacement plan'!$Z$38&gt;=0,ISNUMBER('Replacement plan'!$AA$38),'Replacement plan'!$AA$38&gt;=0,'Replacement plan'!$AA$38=INT('Replacement plan'!$AA$38),ISNUMBER('Replacement plan'!$L$38))),'Operating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plan'!$AG$38="",'Operating costs'!$B$7,'Replacement plan'!$AG$38)),IF('Replacement plan'!$AG$38="",'Operating costs'!$B$7,'Replacement plan'!$AG$38)&gt;=0,ISNUMBER(IF('Replacement plan'!$AH$38="",'Operating costs'!$B$7,'Replacement plan'!$AH$38)),IF('Replacement plan'!$AH$38="",'Operating costs'!$B$7,'Replacement plan'!$AH$38)&gt;=0,'Operating costs'!$B$8&gt;MAX(IF('Replacement plan'!$AG$38="",'Operating costs'!$B$7,'Replacement plan'!$AG$38),IF('Replacement plan'!$AH$38="",'Operating costs'!$B$7,'Replacement plan'!$AH$38))*'Operating costs'!$B$9),IF(AND(VLOOKUP($A131,'Fleet register'!$A$7:$S$106,10,FALSE)&gt;=0,VLOOKUP($A131,'Fleet register'!$A$7:$S$106,10,FALSE)&lt;=120,VLOOKUP($A131,'Fleet register'!$A$7:$S$106,10,FALSE)=INT(VLOOKUP($A131,'Fleet register'!$A$7:$S$106,10,FALSE)),VLOOKUP($A131,'Fleet register'!$A$7:$S$106,15,FALSE)&gt;=0,VLOOKUP($A131,'Fleet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costs'!$B$67)&gt;=0,OR(D131&lt;&gt;"EV",E131=120,AND(MIN('Operating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31" s="1" t="str">
        <f>IF(C131=0,"Excluded",IF(P131&lt;&gt;"Complete",P131,IF(OR('Replacement plan'!$AD$38&lt;120-E131,AND(D131="EV",E131&lt;120,OR('Replacement plan'!$AC$38&lt;120-E131,'Replacement plan'!$I$38="No",AND(ISNUMBER(AF131),AE131&gt;AF131),AI131&gt;V131*(1-'Operating costs'!$B$46)^MAX(0,AB131-1)*(1-'Operating costs'!$B$45),AC131&gt;'Operating costs'!$B$18,AND(T131&lt;1,OR(AG131&lt;=0,AND(ISNUMBER(AH131),AG131&gt;AH131))),'Replacement plan'!$L$38&gt;INDEX(Products!$H$7:$H$13,MATCH('Replacement plan'!$B$38,Products!$A$7:$A$13,0))))),"Fails entered limits",IF(AND(D131="EV",E131&lt;120,OR(NOT(ISNUMBER(VLOOKUP($A131,'Fleet register'!$A$7:$S$106,7,FALSE))),NOT(ISNUMBER(VLOOKUP($A131,'Fleet register'!$A$7:$S$106,8,FALSE))),NOT(ISNUMBER(AF131)),'Replacement plan'!$I$38&lt;&gt;"Yes",NOT(ISNUMBER(AH131)),'Operating costs'!$B$59&lt;&gt;"Yes",'Operating costs'!$B$58&lt;&gt;"Yes")),"Unverified","Within entered limits"))))</f>
        <v>Excluded</v>
      </c>
      <c r="R131" s="1">
        <f>IF(C131=0,0,VLOOKUP($A131,'Fleet register'!$A$7:$S$106,6,FALSE))</f>
        <v>0</v>
      </c>
      <c r="S131" s="1">
        <f>IF(C131=0,0,VLOOKUP($A131,'Fleet register'!$A$7:$S$106,5,FALSE))</f>
        <v>0</v>
      </c>
      <c r="T131" s="1">
        <f>IF(D131="EV",'Energy and charging'!$B$12,0)</f>
        <v>0</v>
      </c>
      <c r="U131" s="1">
        <f>IFERROR(IF(C131=0,0,IF(D131="EV",IF('Replacement plan'!$F$38="",INDEX(Products!$E$7:$E$13,MATCH('Replacement plan'!$B$38,Products!$A$7:$A$13,0)),'Replacement plan'!$F$38)/IF('Replacement plan'!$G$38="Battery",1-'Operating costs'!$B$44,1),0)),"n.a.")</f>
        <v>0</v>
      </c>
      <c r="V131" s="1">
        <f>IFERROR(IF(C131=0,0,IF(D131="EV",IF('Replacement plan'!$E$38="",INDEX(Products!$D$7:$D$13,MATCH('Replacement plan'!$B$38,Products!$A$7:$A$13,0)),'Replacement plan'!$E$38),0)),"n.a.")</f>
        <v>0</v>
      </c>
      <c r="W131" s="1">
        <f>IF(C131=0,0,IF(AND(P131="Complete",D131="EV",E131&lt;120),IF(T131=0,0,ROUNDUP(T131*(R131-'Operating costs'!$B$41)*(S131*U131+'Operating costs'!$B$48/(1-'Operating costs'!$B$44))/(V131*'Operating costs'!$B$47/(1-'Operating costs'!$B$44)-T131*'Operating costs'!$B$12*U131),0)),0))</f>
        <v>0</v>
      </c>
      <c r="X131" s="1">
        <f>IF(C131=0,0,IF(AND(P131="Complete",D131="EV",E131&lt;120),(R131-'Operating costs'!$B$41)*(S131*U131+'Operating costs'!$B$48/(1-'Operating costs'!$B$44))+W131*'Operating costs'!$B$12*U131,0))</f>
        <v>0</v>
      </c>
      <c r="Y131" s="1">
        <f>IF(AND(C131=1,D131="EV",E131&lt;120),AI131/(1-'Operating costs'!$B$44)*(1-T131),0)</f>
        <v>0</v>
      </c>
      <c r="Z131" s="1">
        <f t="shared" si="2"/>
        <v>0</v>
      </c>
      <c r="AA131" s="1">
        <f>IF(C131=0,0,IF(P131="Complete",((S131*(R131-'Operating costs'!$B$40))+ROUNDUP(S131*(R131-'Operating costs'!$B$40)*IF('Replacement plan'!$AH$38="",'Operating costs'!$B$7,'Replacement plan'!$AH$38)/('Operating costs'!$B$8-'Operating costs'!$B$9*IF('Replacement plan'!$AH$38="",'Operating costs'!$B$7,'Replacement plan'!$AH$38)),0)*'Operating costs'!$B$9)*IF('Replacement plan'!$AH$38="",'Operating costs'!$B$7,'Replacement plan'!$AH$38),"n.a."))</f>
        <v>0</v>
      </c>
      <c r="AB131" s="1">
        <f t="shared" si="3"/>
        <v>0</v>
      </c>
      <c r="AC131" s="1">
        <f>IF(AND(C131=1,D131="EV",E131&lt;120,T131&gt;0),'Operating costs'!$B$12/'Operating costs'!$B$11*60+'Operating costs'!$B$13+'Operating costs'!$B$14+V131*'Operating costs'!$B$47/(1-'Operating costs'!$B$44)/'Replacement plan'!$L$38*60,0)</f>
        <v>0</v>
      </c>
      <c r="AD131" s="1" t="str">
        <f>'Replacement plan'!$B$38</f>
        <v>ChengLong L2EV</v>
      </c>
      <c r="AE131" s="1">
        <f>IF(C131=0,0,VLOOKUP($A131,'Fleet register'!$A$7:$S$106,8,FALSE))</f>
        <v>0</v>
      </c>
      <c r="AF131" s="1" t="str">
        <f>IF('Replacement plan'!$H$38="","n.a.",'Replacement plan'!$H$38)</f>
        <v>n.a.</v>
      </c>
      <c r="AG131" s="1">
        <f>'Replacement plan'!$J$38</f>
        <v>22</v>
      </c>
      <c r="AH131" s="1">
        <f>IFERROR(IF(D131="EV",IF('Replacement plan'!$K$38="AC",IF(ISNUMBER(INDEX(Products!$G$7:$G$13,MATCH('Replacement plan'!$B$38,Products!$A$7:$A$13,0))),INDEX(Products!$G$7:$G$13,MATCH('Replacement plan'!$B$38,Products!$A$7:$A$13,0)),"n.a."),IF(ISNUMBER(INDEX(Products!$H$7:$H$13,MATCH('Replacement plan'!$B$38,Products!$A$7:$A$13,0))),INDEX(Products!$H$7:$H$13,MATCH('Replacement plan'!$B$38,Products!$A$7:$A$13,0)),"n.a.")),0),"n.a.")</f>
        <v>0</v>
      </c>
      <c r="AI131" s="1">
        <f>IF(AND(C131=1,D131="EV",E131&lt;120),(VLOOKUP($A131,'Fleet register'!$A$7:$S$106,7,FALSE)+IF(T131&gt;0,'Operating costs'!$B$12,0))*U131*(1-'Operating costs'!$B$44)+'Operating costs'!$B$49,0)</f>
        <v>0</v>
      </c>
      <c r="AJ131" s="1">
        <f>IF(D131="EV",'Energy and charging'!$B$50,0)</f>
        <v>0</v>
      </c>
      <c r="AK131" s="17">
        <f>EDATE('Operating costs'!$B$63,E131)</f>
        <v>46298</v>
      </c>
      <c r="AL131" s="1">
        <f>IFERROR(IF(D131="EV",INDEX(Products!$B$7:$B$13,MATCH('Replacement plan'!$B$38,Products!$A$7:$A$13,0)),0),"n.a.")</f>
        <v>0</v>
      </c>
      <c r="AM131" s="1" t="str">
        <f>'Replacement plan'!$K$38</f>
        <v>DC</v>
      </c>
      <c r="AN131" s="1" t="str">
        <f>'Replacement plan'!$AE$38</f>
        <v>Assumed</v>
      </c>
      <c r="AO131" s="47">
        <f>IF(AND(C131=1,D131="EV",E131&lt;120),(R131-'Operating costs'!$B$41)*S131+W131*'Operating costs'!$B$12,0)</f>
        <v>0</v>
      </c>
      <c r="AP131" s="41">
        <f>IF(AND(C131=1,D131="EV",E131&lt;120),IF('Operating costs'!$B$68="Hong Seh 200k average",AO131*IFERROR(INDEX(Products!$P$7:$P$13,MATCH(AD131,Products!$A$7:$A$13,0)),"n.a."),'Operating costs'!$B$26),0)</f>
        <v>0</v>
      </c>
      <c r="AQ131" s="40" t="str">
        <f>IF(D131="EV",'Operating costs'!$B$68,"Not applicable")</f>
        <v>Not applicable</v>
      </c>
    </row>
    <row r="132" spans="1:43" ht="24" customHeight="1">
      <c r="A132" s="1" t="str">
        <f>'Replacement plan'!A38</f>
        <v>T032</v>
      </c>
      <c r="B132" s="1">
        <v>1</v>
      </c>
      <c r="C132" s="1">
        <f>IF(COUNTIFS('Fleet register'!$A$7:$A$106,$A132)=1,VLOOKUP($A132,'Fleet register'!$A$7:$S$106,2,FALSE),0)</f>
        <v>0</v>
      </c>
      <c r="D132" s="1" t="str">
        <f>IF("New ICE"="EV","EV","ICE")</f>
        <v>ICE</v>
      </c>
      <c r="E132" s="1">
        <f>IF(C132=0,0,0)</f>
        <v>0</v>
      </c>
      <c r="F132" s="16">
        <f>IF(C132=0,0,VLOOKUP($A132,'Fleet register'!$A$7:$S$106,11,FALSE))</f>
        <v>0</v>
      </c>
      <c r="G132" s="16">
        <f>IFERROR(IF(C132=0,0,IF(E132=120,0,IF(D132="ICE",'Replacement plan'!$C$38,IF('Replacement plan'!$D$38="",INDEX(Products!$I$7:$I$13,MATCH('Replacement plan'!$B$38,Products!$A$7:$A$13,0))+'Operating costs'!$B$57,'Replacement plan'!$D$38))*(1+'Operating costs'!$B$50)^(E132/12))),"n.a.")</f>
        <v>0</v>
      </c>
      <c r="H132" s="16">
        <f>IFERROR(IF(C132=0,0,IF(E132=0,F132,VLOOKUP($A132,'Fleet register'!$A$7:$S$106,12,FALSE)+VLOOKUP($A132,'Fleet register'!$A$7:$S$106,13,FALSE)*MAX(0,VLOOKUP($A132,'Fleet register'!$A$7:$S$106,10,FALSE)-E132)/VLOOKUP($A132,'Fleet register'!$A$7:$S$106,14,FALSE))),"n.a.")</f>
        <v>0</v>
      </c>
      <c r="I132" s="16">
        <f>IF(C132=0,0,IF(E132=120,0,IF('Replacement plan'!$AI$38="",'Operating costs'!$B$56,'Replacement plan'!$AI$38)))</f>
        <v>0</v>
      </c>
      <c r="J132" s="16">
        <f>IF(C132=0,0,IF(P132="Complete",((S132*(R132-'Operating costs'!$B$39))+ROUNDUP(S132*(R132-'Operating costs'!$B$39)*IF('Replacement plan'!$AG$38="",'Operating costs'!$B$7,'Replacement plan'!$AG$38)/('Operating costs'!$B$8-'Operating costs'!$B$9*IF('Replacement plan'!$AG$38="",'Operating costs'!$B$7,'Replacement plan'!$AG$38)),0)*'Operating costs'!$B$9)*IF('Replacement plan'!$AG$38="",'Operating costs'!$B$7,'Replacement plan'!$AG$38)*('Energy and charging'!$B$9*'Energy and charging'!$B$7+(1-'Energy and charging'!$B$9)*'Energy and charging'!$B$8)*'Operating costs'!$B$23,"n.a."))</f>
        <v>0</v>
      </c>
      <c r="K132" s="16">
        <f>IF(C132=0,0,IF(P132="Complete",SUM('Operating costs'!$B$24,'Operating costs'!$B$27,'Operating costs'!$B$29,'Operating costs'!$B$31,'Operating costs'!$B$33,'Operating costs'!$B$34,'Operating costs'!$B$37,'Replacement plan'!$W$38)+'Operating costs'!$B$39*'Operating costs'!$B$42+ROUNDUP(S132*(R132-'Operating costs'!$B$39)*IF('Replacement plan'!$AG$38="",'Operating costs'!$B$7,'Replacement plan'!$AG$38)/('Operating costs'!$B$8-'Operating costs'!$B$9*IF('Replacement plan'!$AG$38="",'Operating costs'!$B$7,'Replacement plan'!$AG$38)),0)*('Operating costs'!$B$9/'Operating costs'!$B$11+'Operating costs'!$B$10/60)*'Operating costs'!$B$19*'Operating costs'!$B$21,"n.a."))</f>
        <v>0</v>
      </c>
      <c r="L132" s="16">
        <f>IF(C132=0,0,IF(P132="Complete",IF(D132="EV",X132*((1-T132)*'Energy and charging'!$B$10+T132*'Energy and charging'!$B$11)*'Operating costs'!$B$22,AA132*('Energy and charging'!$B$9*'Energy and charging'!$B$7+(1-'Energy and charging'!$B$9)*'Energy and charging'!$B$8)*'Operating costs'!$B$23),"n.a."))</f>
        <v>0</v>
      </c>
      <c r="M132" s="37">
        <f>IF(C132=0,0,IF(P132="Complete",IF(D132="ICE",SUM('Operating costs'!$B$25,'Operating costs'!$B$27,'Operating costs'!$B$29,'Operating costs'!$B$31,'Operating costs'!$B$33,'Operating costs'!$B$35,'Operating costs'!$B$37,'Replacement plan'!$X$38)+'Operating costs'!$B$40*'Operating costs'!$B$42+ROUNDUP(S132*(R132-'Operating costs'!$B$40)*IF('Replacement plan'!$AH$38="",'Operating costs'!$B$7,'Replacement plan'!$AH$38)/('Operating costs'!$B$8-'Operating costs'!$B$9*IF('Replacement plan'!$AH$38="",'Operating costs'!$B$7,'Replacement plan'!$AH$38)),0)*('Operating costs'!$B$9/'Operating costs'!$B$11+'Operating costs'!$B$10/60)*'Operating costs'!$B$19*'Operating costs'!$B$21,SUM(AP132,'Operating costs'!$B$28,'Operating costs'!$B$30,'Operating costs'!$B$32,'Operating costs'!$B$33,'Operating costs'!$B$36,'Operating costs'!$B$38,'Replacement plan'!$Y$38)+'Operating costs'!$B$41*'Operating costs'!$B$43+W132*'Operating costs'!$B$15+(T132*X132/'Replacement plan'!$L$38+W132*('Operating costs'!$B$12/'Operating costs'!$B$11+('Operating costs'!$B$13+'Operating costs'!$B$14)/60)+(R132-'Operating costs'!$B$41)*(IF(T132&lt;1,'Operating costs'!$B$16,0)+'Operating costs'!$B$17)/60)*'Operating costs'!$B$19*'Operating costs'!$B$20),"n.a."))</f>
        <v>0</v>
      </c>
      <c r="N132" s="16">
        <f>IF(AND(C132=1,D132="EV",E132&lt;120,E132+'Replacement plan'!$AA$38&lt;=120),'Replacement plan'!$Z$38,0)</f>
        <v>0</v>
      </c>
      <c r="O132" s="1">
        <f>E132+'Replacement plan'!$AA$38</f>
        <v>0</v>
      </c>
      <c r="P132" s="35" t="str">
        <f>IFERROR(IF(C132=0,"Excluded",IF(OR(COUNTIFS('Fleet register'!$A$7:$A$106,A132)&lt;&gt;1,COUNTIFS('Replacement plan'!$A$7:$A$106,A132)&lt;&gt;1),"Duplicate/missing ID",IF(NOT(AND(ISNUMBER(VLOOKUP($A132,'Fleet register'!$A$7:$S$106,5,FALSE)),ISNUMBER(VLOOKUP($A132,'Fleet register'!$A$7:$S$106,6,FALSE)),ISNUMBER(VLOOKUP($A132,'Fleet register'!$A$7:$S$106,10,FALSE)),ISNUMBER(VLOOKUP($A132,'Fleet register'!$A$7:$S$106,11,FALSE)),ISNUMBER(VLOOKUP($A132,'Fleet register'!$A$7:$S$106,12,FALSE)),ISNUMBER(VLOOKUP($A132,'Fleet register'!$A$7:$S$106,13,FALSE)),ISNUMBER(VLOOKUP($A132,'Fleet register'!$A$7:$S$106,14,FALSE)),VLOOKUP($A132,'Fleet register'!$A$7:$S$106,14,FALSE)&gt;0,ISNUMBER('Replacement plan'!$C$38),OR(E132=120,OR(ISNUMBER('Replacement plan'!$AI$38),AND('Replacement plan'!$AI$38="",ISNUMBER('Operating costs'!$B$56)))),ISNUMBER(E132))),"Missing vehicle input",IF(OR(E132&lt;0,E132&gt;VLOOKUP($A132,'Fleet register'!$A$7:$S$106,10,FALSE),E132&gt;120,E132&lt;&gt;INT(E132),VLOOKUP($A132,'Fleet register'!$A$7:$S$106,6,FALSE)&lt;=0,VLOOKUP($A132,'Fleet register'!$A$7:$S$106,6,FALSE)&gt;366,VLOOKUP($A132,'Fleet register'!$A$7:$S$106,5,FALSE)&lt;0,VLOOKUP($A132,'Fleet register'!$A$7:$S$106,11,FALSE)&lt;0,I132&lt;0,'Operating costs'!$B$8&lt;='Operating costs'!$B$7*'Operating costs'!$B$9,'Operating costs'!$B$11&lt;=0,'Operating costs'!$B$39&gt;R132,'Operating costs'!$B$40&gt;R132,'Operating costs'!$B$41&gt;R132,NOT(OR("New ICE"="Keep ICE","New ICE"="New ICE","New ICE"="EV"))),"Invalid vehicle input",IF(AND(D132="EV",E132&lt;120,OR(NOT(ISNUMBER(U132)),NOT(ISNUMBER(V132)),V132&lt;=0,T132&lt;0,T132&gt;1,'Replacement plan'!$L$38&lt;=0,'Operating costs'!$B$44&lt;0,'Operating costs'!$B$44&gt;=1,'Operating costs'!$B$47&lt;=0,'Operating costs'!$B$47&gt;1,V132*'Operating costs'!$B$47/(1-'Operating costs'!$B$44)&lt;=T132*'Operating costs'!$B$12*U132,AND('Replacement plan'!$Z$38&gt;0,OR('Replacement plan'!$AB$38&lt;&gt;"Yes",'Operating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charging'!$B$8&gt;=0))),ISNUMBER(VLOOKUP($A132,'Fleet register'!$A$7:$S$106,15,FALSE)),ISNUMBER(VLOOKUP($A132,'Fleet register'!$A$7:$S$106,16,FALSE)),ISNUMBER('Replacement plan'!$W$38),ISNUMBER('Replacement plan'!$X$38),OR(E132=120,AND(ISNUMBER(G132),G132&gt;=0)),ISNUMBER(H132),H132&gt;=0,OR(D132&lt;&gt;"EV",E132=120,AND(ISNUMBER('Operating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average",ISNUMBER(IFERROR(INDEX(Products!$P$7:$P$13,MATCH(AD132,Products!$A$7:$A$13,0)),"")))),ISNUMBER('Operating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plan'!$Y$38),ISNUMBER('Replacement plan'!$Z$38),'Replacement plan'!$Z$38&gt;=0,ISNUMBER('Replacement plan'!$AA$38),'Replacement plan'!$AA$38&gt;=0,'Replacement plan'!$AA$38=INT('Replacement plan'!$AA$38),ISNUMBER('Replacement plan'!$L$38))),'Operating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plan'!$AG$38="",'Operating costs'!$B$7,'Replacement plan'!$AG$38)),IF('Replacement plan'!$AG$38="",'Operating costs'!$B$7,'Replacement plan'!$AG$38)&gt;=0,ISNUMBER(IF('Replacement plan'!$AH$38="",'Operating costs'!$B$7,'Replacement plan'!$AH$38)),IF('Replacement plan'!$AH$38="",'Operating costs'!$B$7,'Replacement plan'!$AH$38)&gt;=0,'Operating costs'!$B$8&gt;MAX(IF('Replacement plan'!$AG$38="",'Operating costs'!$B$7,'Replacement plan'!$AG$38),IF('Replacement plan'!$AH$38="",'Operating costs'!$B$7,'Replacement plan'!$AH$38))*'Operating costs'!$B$9),IF(AND(VLOOKUP($A132,'Fleet register'!$A$7:$S$106,10,FALSE)&gt;=0,VLOOKUP($A132,'Fleet register'!$A$7:$S$106,10,FALSE)&lt;=120,VLOOKUP($A132,'Fleet register'!$A$7:$S$106,10,FALSE)=INT(VLOOKUP($A132,'Fleet register'!$A$7:$S$106,10,FALSE)),VLOOKUP($A132,'Fleet register'!$A$7:$S$106,15,FALSE)&gt;=0,VLOOKUP($A132,'Fleet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costs'!$B$67)&gt;=0,OR(D132&lt;&gt;"EV",E132=120,AND(MIN('Operating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32" s="1" t="str">
        <f>IF(C132=0,"Excluded",IF(P132&lt;&gt;"Complete",P132,IF(OR('Replacement plan'!$AD$38&lt;120-E132,AND(D132="EV",E132&lt;120,OR('Replacement plan'!$AC$38&lt;120-E132,'Replacement plan'!$I$38="No",AND(ISNUMBER(AF132),AE132&gt;AF132),AI132&gt;V132*(1-'Operating costs'!$B$46)^MAX(0,AB132-1)*(1-'Operating costs'!$B$45),AC132&gt;'Operating costs'!$B$18,AND(T132&lt;1,OR(AG132&lt;=0,AND(ISNUMBER(AH132),AG132&gt;AH132))),'Replacement plan'!$L$38&gt;INDEX(Products!$H$7:$H$13,MATCH('Replacement plan'!$B$38,Products!$A$7:$A$13,0))))),"Fails entered limits",IF(AND(D132="EV",E132&lt;120,OR(NOT(ISNUMBER(VLOOKUP($A132,'Fleet register'!$A$7:$S$106,7,FALSE))),NOT(ISNUMBER(VLOOKUP($A132,'Fleet register'!$A$7:$S$106,8,FALSE))),NOT(ISNUMBER(AF132)),'Replacement plan'!$I$38&lt;&gt;"Yes",NOT(ISNUMBER(AH132)),'Operating costs'!$B$59&lt;&gt;"Yes",'Operating costs'!$B$58&lt;&gt;"Yes")),"Unverified","Within entered limits"))))</f>
        <v>Excluded</v>
      </c>
      <c r="R132" s="1">
        <f>IF(C132=0,0,VLOOKUP($A132,'Fleet register'!$A$7:$S$106,6,FALSE))</f>
        <v>0</v>
      </c>
      <c r="S132" s="1">
        <f>IF(C132=0,0,VLOOKUP($A132,'Fleet register'!$A$7:$S$106,5,FALSE))</f>
        <v>0</v>
      </c>
      <c r="T132" s="1">
        <f>IF(D132="EV",'Energy and charging'!$B$12,0)</f>
        <v>0</v>
      </c>
      <c r="U132" s="1">
        <f>IFERROR(IF(C132=0,0,IF(D132="EV",IF('Replacement plan'!$F$38="",INDEX(Products!$E$7:$E$13,MATCH('Replacement plan'!$B$38,Products!$A$7:$A$13,0)),'Replacement plan'!$F$38)/IF('Replacement plan'!$G$38="Battery",1-'Operating costs'!$B$44,1),0)),"n.a.")</f>
        <v>0</v>
      </c>
      <c r="V132" s="1">
        <f>IFERROR(IF(C132=0,0,IF(D132="EV",IF('Replacement plan'!$E$38="",INDEX(Products!$D$7:$D$13,MATCH('Replacement plan'!$B$38,Products!$A$7:$A$13,0)),'Replacement plan'!$E$38),0)),"n.a.")</f>
        <v>0</v>
      </c>
      <c r="W132" s="1">
        <f>IF(C132=0,0,IF(AND(P132="Complete",D132="EV",E132&lt;120),IF(T132=0,0,ROUNDUP(T132*(R132-'Operating costs'!$B$41)*(S132*U132+'Operating costs'!$B$48/(1-'Operating costs'!$B$44))/(V132*'Operating costs'!$B$47/(1-'Operating costs'!$B$44)-T132*'Operating costs'!$B$12*U132),0)),0))</f>
        <v>0</v>
      </c>
      <c r="X132" s="1">
        <f>IF(C132=0,0,IF(AND(P132="Complete",D132="EV",E132&lt;120),(R132-'Operating costs'!$B$41)*(S132*U132+'Operating costs'!$B$48/(1-'Operating costs'!$B$44))+W132*'Operating costs'!$B$12*U132,0))</f>
        <v>0</v>
      </c>
      <c r="Y132" s="1">
        <f>IF(AND(C132=1,D132="EV",E132&lt;120),AI132/(1-'Operating costs'!$B$44)*(1-T132),0)</f>
        <v>0</v>
      </c>
      <c r="Z132" s="1">
        <f t="shared" si="2"/>
        <v>0</v>
      </c>
      <c r="AA132" s="1">
        <f>IF(C132=0,0,IF(P132="Complete",((S132*(R132-'Operating costs'!$B$40))+ROUNDUP(S132*(R132-'Operating costs'!$B$40)*IF('Replacement plan'!$AH$38="",'Operating costs'!$B$7,'Replacement plan'!$AH$38)/('Operating costs'!$B$8-'Operating costs'!$B$9*IF('Replacement plan'!$AH$38="",'Operating costs'!$B$7,'Replacement plan'!$AH$38)),0)*'Operating costs'!$B$9)*IF('Replacement plan'!$AH$38="",'Operating costs'!$B$7,'Replacement plan'!$AH$38),"n.a."))</f>
        <v>0</v>
      </c>
      <c r="AB132" s="1">
        <f t="shared" si="3"/>
        <v>0</v>
      </c>
      <c r="AC132" s="1">
        <f>IF(AND(C132=1,D132="EV",E132&lt;120,T132&gt;0),'Operating costs'!$B$12/'Operating costs'!$B$11*60+'Operating costs'!$B$13+'Operating costs'!$B$14+V132*'Operating costs'!$B$47/(1-'Operating costs'!$B$44)/'Replacement plan'!$L$38*60,0)</f>
        <v>0</v>
      </c>
      <c r="AD132" s="1" t="str">
        <f>'Replacement plan'!$B$38</f>
        <v>ChengLong L2EV</v>
      </c>
      <c r="AE132" s="1">
        <f>IF(C132=0,0,VLOOKUP($A132,'Fleet register'!$A$7:$S$106,8,FALSE))</f>
        <v>0</v>
      </c>
      <c r="AF132" s="1" t="str">
        <f>IF('Replacement plan'!$H$38="","n.a.",'Replacement plan'!$H$38)</f>
        <v>n.a.</v>
      </c>
      <c r="AG132" s="1">
        <f>'Replacement plan'!$J$38</f>
        <v>22</v>
      </c>
      <c r="AH132" s="1">
        <f>IFERROR(IF(D132="EV",IF('Replacement plan'!$K$38="AC",IF(ISNUMBER(INDEX(Products!$G$7:$G$13,MATCH('Replacement plan'!$B$38,Products!$A$7:$A$13,0))),INDEX(Products!$G$7:$G$13,MATCH('Replacement plan'!$B$38,Products!$A$7:$A$13,0)),"n.a."),IF(ISNUMBER(INDEX(Products!$H$7:$H$13,MATCH('Replacement plan'!$B$38,Products!$A$7:$A$13,0))),INDEX(Products!$H$7:$H$13,MATCH('Replacement plan'!$B$38,Products!$A$7:$A$13,0)),"n.a.")),0),"n.a.")</f>
        <v>0</v>
      </c>
      <c r="AI132" s="1">
        <f>IF(AND(C132=1,D132="EV",E132&lt;120),(VLOOKUP($A132,'Fleet register'!$A$7:$S$106,7,FALSE)+IF(T132&gt;0,'Operating costs'!$B$12,0))*U132*(1-'Operating costs'!$B$44)+'Operating costs'!$B$49,0)</f>
        <v>0</v>
      </c>
      <c r="AJ132" s="1">
        <f>IF(D132="EV",'Energy and charging'!$B$50,0)</f>
        <v>0</v>
      </c>
      <c r="AK132" s="17">
        <f>EDATE('Operating costs'!$B$63,E132)</f>
        <v>46298</v>
      </c>
      <c r="AL132" s="1">
        <f>IFERROR(IF(D132="EV",INDEX(Products!$B$7:$B$13,MATCH('Replacement plan'!$B$38,Products!$A$7:$A$13,0)),0),"n.a.")</f>
        <v>0</v>
      </c>
      <c r="AM132" s="1" t="str">
        <f>'Replacement plan'!$K$38</f>
        <v>DC</v>
      </c>
      <c r="AN132" s="1" t="str">
        <f>'Replacement plan'!$AE$38</f>
        <v>Assumed</v>
      </c>
      <c r="AO132" s="47">
        <f>IF(AND(C132=1,D132="EV",E132&lt;120),(R132-'Operating costs'!$B$41)*S132+W132*'Operating costs'!$B$12,0)</f>
        <v>0</v>
      </c>
      <c r="AP132" s="41">
        <f>IF(AND(C132=1,D132="EV",E132&lt;120),IF('Operating costs'!$B$68="Hong Seh 200k average",AO132*IFERROR(INDEX(Products!$P$7:$P$13,MATCH(AD132,Products!$A$7:$A$13,0)),"n.a."),'Operating costs'!$B$26),0)</f>
        <v>0</v>
      </c>
      <c r="AQ132" s="40" t="str">
        <f>IF(D132="EV",'Operating costs'!$B$68,"Not applicable")</f>
        <v>Not applicable</v>
      </c>
    </row>
    <row r="133" spans="1:43" ht="24" customHeight="1">
      <c r="A133" s="1" t="str">
        <f>'Replacement plan'!A38</f>
        <v>T032</v>
      </c>
      <c r="B133" s="1">
        <v>2</v>
      </c>
      <c r="C133" s="1">
        <f>IF(COUNTIFS('Fleet register'!$A$7:$A$106,$A133)=1,VLOOKUP($A133,'Fleet register'!$A$7:$S$106,2,FALSE),0)</f>
        <v>0</v>
      </c>
      <c r="D133" s="1" t="str">
        <f>IF('Replacement plan'!$O$38="EV","EV","ICE")</f>
        <v>ICE</v>
      </c>
      <c r="E133" s="1">
        <f>IF(C133=0,0,IF('Replacement plan'!$P$38="",IF('Replacement plan'!$O$38="Keep ICE",IF('Replacement plan'!$M$38="",VLOOKUP($A133,'Fleet register'!$A$7:$S$106,10,FALSE),'Replacement plan'!$M$38),0),'Replacement plan'!$P$38))</f>
        <v>0</v>
      </c>
      <c r="F133" s="16">
        <f>IF(C133=0,0,VLOOKUP($A133,'Fleet register'!$A$7:$S$106,11,FALSE))</f>
        <v>0</v>
      </c>
      <c r="G133" s="16">
        <f>IFERROR(IF(C133=0,0,IF(E133=120,0,IF(D133="ICE",'Replacement plan'!$C$38,IF('Replacement plan'!$D$38="",INDEX(Products!$I$7:$I$13,MATCH('Replacement plan'!$B$38,Products!$A$7:$A$13,0))+'Operating costs'!$B$57,'Replacement plan'!$D$38))*(1+'Operating costs'!$B$50)^(E133/12))),"n.a.")</f>
        <v>0</v>
      </c>
      <c r="H133" s="16">
        <f>IFERROR(IF(C133=0,0,IF('Replacement plan'!$U$38&lt;&gt;"",'Replacement plan'!$U$38,IF(E133=0,F133,VLOOKUP($A133,'Fleet register'!$A$7:$S$106,12,FALSE)+VLOOKUP($A133,'Fleet register'!$A$7:$S$106,13,FALSE)*MAX(0,VLOOKUP($A133,'Fleet register'!$A$7:$S$106,10,FALSE)-E133)/VLOOKUP($A133,'Fleet register'!$A$7:$S$106,14,FALSE)))),"n.a.")</f>
        <v>0</v>
      </c>
      <c r="I133" s="16">
        <f>IF(C133=0,0,IF(E133=120,0,'Replacement plan'!$Q$38))</f>
        <v>0</v>
      </c>
      <c r="J133" s="16">
        <f>IF(C133=0,0,IF(P133="Complete",((S133*(R133-'Operating costs'!$B$39))+ROUNDUP(S133*(R133-'Operating costs'!$B$39)*IF('Replacement plan'!$AG$38="",'Operating costs'!$B$7,'Replacement plan'!$AG$38)/('Operating costs'!$B$8-'Operating costs'!$B$9*IF('Replacement plan'!$AG$38="",'Operating costs'!$B$7,'Replacement plan'!$AG$38)),0)*'Operating costs'!$B$9)*IF('Replacement plan'!$AG$38="",'Operating costs'!$B$7,'Replacement plan'!$AG$38)*('Energy and charging'!$B$9*'Energy and charging'!$B$7+(1-'Energy and charging'!$B$9)*'Energy and charging'!$B$8)*'Operating costs'!$B$23,"n.a."))</f>
        <v>0</v>
      </c>
      <c r="K133" s="16">
        <f>IF(C133=0,0,IF(P133="Complete",SUM('Operating costs'!$B$24,'Operating costs'!$B$27,'Operating costs'!$B$29,'Operating costs'!$B$31,'Operating costs'!$B$33,'Operating costs'!$B$34,'Operating costs'!$B$37,'Replacement plan'!$W$38)+'Operating costs'!$B$39*'Operating costs'!$B$42+ROUNDUP(S133*(R133-'Operating costs'!$B$39)*IF('Replacement plan'!$AG$38="",'Operating costs'!$B$7,'Replacement plan'!$AG$38)/('Operating costs'!$B$8-'Operating costs'!$B$9*IF('Replacement plan'!$AG$38="",'Operating costs'!$B$7,'Replacement plan'!$AG$38)),0)*('Operating costs'!$B$9/'Operating costs'!$B$11+'Operating costs'!$B$10/60)*'Operating costs'!$B$19*'Operating costs'!$B$21,"n.a."))</f>
        <v>0</v>
      </c>
      <c r="L133" s="16">
        <f>IF(C133=0,0,IF(P133="Complete",IF(D133="EV",X133*((1-T133)*'Energy and charging'!$B$10+T133*'Energy and charging'!$B$11)*'Operating costs'!$B$22,AA133*('Energy and charging'!$B$9*'Energy and charging'!$B$7+(1-'Energy and charging'!$B$9)*'Energy and charging'!$B$8)*'Operating costs'!$B$23),"n.a."))</f>
        <v>0</v>
      </c>
      <c r="M133" s="37">
        <f>IF(C133=0,0,IF(P133="Complete",IF(D133="ICE",SUM('Operating costs'!$B$25,'Operating costs'!$B$27,'Operating costs'!$B$29,'Operating costs'!$B$31,'Operating costs'!$B$33,'Operating costs'!$B$35,'Operating costs'!$B$37,'Replacement plan'!$X$38)+'Operating costs'!$B$40*'Operating costs'!$B$42+ROUNDUP(S133*(R133-'Operating costs'!$B$40)*IF('Replacement plan'!$AH$38="",'Operating costs'!$B$7,'Replacement plan'!$AH$38)/('Operating costs'!$B$8-'Operating costs'!$B$9*IF('Replacement plan'!$AH$38="",'Operating costs'!$B$7,'Replacement plan'!$AH$38)),0)*('Operating costs'!$B$9/'Operating costs'!$B$11+'Operating costs'!$B$10/60)*'Operating costs'!$B$19*'Operating costs'!$B$21,SUM(AP133,'Operating costs'!$B$28,'Operating costs'!$B$30,'Operating costs'!$B$32,'Operating costs'!$B$33,'Operating costs'!$B$36,'Operating costs'!$B$38,'Replacement plan'!$Y$38)+'Operating costs'!$B$41*'Operating costs'!$B$43+W133*'Operating costs'!$B$15+(T133*X133/'Replacement plan'!$L$38+W133*('Operating costs'!$B$12/'Operating costs'!$B$11+('Operating costs'!$B$13+'Operating costs'!$B$14)/60)+(R133-'Operating costs'!$B$41)*(IF(T133&lt;1,'Operating costs'!$B$16,0)+'Operating costs'!$B$17)/60)*'Operating costs'!$B$19*'Operating costs'!$B$20),"n.a."))</f>
        <v>0</v>
      </c>
      <c r="N133" s="16">
        <f>IF(AND(C133=1,D133="EV",E133&lt;120,E133+'Replacement plan'!$AA$38&lt;=120),'Replacement plan'!$Z$38,0)</f>
        <v>0</v>
      </c>
      <c r="O133" s="1">
        <f>E133+'Replacement plan'!$AA$38</f>
        <v>0</v>
      </c>
      <c r="P133" s="35" t="str">
        <f>IFERROR(IF(C133=0,"Excluded",IF(OR(COUNTIFS('Fleet register'!$A$7:$A$106,A133)&lt;&gt;1,COUNTIFS('Replacement plan'!$A$7:$A$106,A133)&lt;&gt;1),"Duplicate/missing ID",IF(NOT(AND(ISNUMBER(VLOOKUP($A133,'Fleet register'!$A$7:$S$106,5,FALSE)),ISNUMBER(VLOOKUP($A133,'Fleet register'!$A$7:$S$106,6,FALSE)),ISNUMBER(VLOOKUP($A133,'Fleet register'!$A$7:$S$106,10,FALSE)),ISNUMBER(VLOOKUP($A133,'Fleet register'!$A$7:$S$106,11,FALSE)),ISNUMBER(VLOOKUP($A133,'Fleet register'!$A$7:$S$106,12,FALSE)),ISNUMBER(VLOOKUP($A133,'Fleet register'!$A$7:$S$106,13,FALSE)),ISNUMBER(VLOOKUP($A133,'Fleet register'!$A$7:$S$106,14,FALSE)),VLOOKUP($A133,'Fleet register'!$A$7:$S$106,14,FALSE)&gt;0,ISNUMBER('Replacement plan'!$C$38),OR(E133=120,ISNUMBER('Replacement plan'!$Q$38)),ISNUMBER(E133))),"Missing vehicle input",IF(OR(E133&lt;0,E133&gt;VLOOKUP($A133,'Fleet register'!$A$7:$S$106,10,FALSE),E133&gt;120,E133&lt;&gt;INT(E133),VLOOKUP($A133,'Fleet register'!$A$7:$S$106,6,FALSE)&lt;=0,VLOOKUP($A133,'Fleet register'!$A$7:$S$106,6,FALSE)&gt;366,VLOOKUP($A133,'Fleet register'!$A$7:$S$106,5,FALSE)&lt;0,VLOOKUP($A133,'Fleet register'!$A$7:$S$106,11,FALSE)&lt;0,I133&lt;0,'Operating costs'!$B$8&lt;='Operating costs'!$B$7*'Operating costs'!$B$9,'Operating costs'!$B$11&lt;=0,'Operating costs'!$B$39&gt;R133,'Operating costs'!$B$40&gt;R133,'Operating costs'!$B$41&gt;R133,NOT(OR('Replacement plan'!$O$38="Keep ICE",'Replacement plan'!$O$38="New ICE",'Replacement plan'!$O$38="EV"))),"Invalid vehicle input",IF(AND(D133="EV",E133&lt;120,OR(NOT(ISNUMBER(U133)),NOT(ISNUMBER(V133)),V133&lt;=0,T133&lt;0,T133&gt;1,'Replacement plan'!$L$38&lt;=0,'Operating costs'!$B$44&lt;0,'Operating costs'!$B$44&gt;=1,'Operating costs'!$B$47&lt;=0,'Operating costs'!$B$47&gt;1,V133*'Operating costs'!$B$47/(1-'Operating costs'!$B$44)&lt;=T133*'Operating costs'!$B$12*U133,AND('Replacement plan'!$Z$38&gt;0,OR('Replacement plan'!$AB$38&lt;&gt;"Yes",'Operating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charging'!$B$8&gt;=0))),ISNUMBER(VLOOKUP($A133,'Fleet register'!$A$7:$S$106,15,FALSE)),ISNUMBER(VLOOKUP($A133,'Fleet register'!$A$7:$S$106,16,FALSE)),ISNUMBER('Replacement plan'!$W$38),ISNUMBER('Replacement plan'!$X$38),OR(E133=120,AND(ISNUMBER(G133),G133&gt;=0)),ISNUMBER(H133),H133&gt;=0,OR(D133&lt;&gt;"EV",E133=120,AND(ISNUMBER('Operating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average",ISNUMBER(IFERROR(INDEX(Products!$P$7:$P$13,MATCH(AD133,Products!$A$7:$A$13,0)),"")))),ISNUMBER('Operating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plan'!$Y$38),ISNUMBER('Replacement plan'!$Z$38),'Replacement plan'!$Z$38&gt;=0,ISNUMBER('Replacement plan'!$AA$38),'Replacement plan'!$AA$38&gt;=0,'Replacement plan'!$AA$38=INT('Replacement plan'!$AA$38),ISNUMBER('Replacement plan'!$L$38))),'Operating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plan'!$AG$38="",'Operating costs'!$B$7,'Replacement plan'!$AG$38)),IF('Replacement plan'!$AG$38="",'Operating costs'!$B$7,'Replacement plan'!$AG$38)&gt;=0,ISNUMBER(IF('Replacement plan'!$AH$38="",'Operating costs'!$B$7,'Replacement plan'!$AH$38)),IF('Replacement plan'!$AH$38="",'Operating costs'!$B$7,'Replacement plan'!$AH$38)&gt;=0,'Operating costs'!$B$8&gt;MAX(IF('Replacement plan'!$AG$38="",'Operating costs'!$B$7,'Replacement plan'!$AG$38),IF('Replacement plan'!$AH$38="",'Operating costs'!$B$7,'Replacement plan'!$AH$38))*'Operating costs'!$B$9),IF(AND(VLOOKUP($A133,'Fleet register'!$A$7:$S$106,10,FALSE)&gt;=0,VLOOKUP($A133,'Fleet register'!$A$7:$S$106,10,FALSE)&lt;=120,VLOOKUP($A133,'Fleet register'!$A$7:$S$106,10,FALSE)=INT(VLOOKUP($A133,'Fleet register'!$A$7:$S$106,10,FALSE)),VLOOKUP($A133,'Fleet register'!$A$7:$S$106,15,FALSE)&gt;=0,VLOOKUP($A133,'Fleet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costs'!$B$67)&gt;=0,OR(D133&lt;&gt;"EV",E133=120,AND(MIN('Operating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33" s="1" t="str">
        <f>IF(C133=0,"Excluded",IF(P133&lt;&gt;"Complete",P133,IF(OR('Replacement plan'!$AD$38&lt;120-E133,AND(D133="EV",E133&lt;120,OR('Replacement plan'!$AC$38&lt;120-E133,'Replacement plan'!$I$38="No",AND(ISNUMBER(AF133),AE133&gt;AF133),AI133&gt;V133*(1-'Operating costs'!$B$46)^MAX(0,AB133-1)*(1-'Operating costs'!$B$45),AC133&gt;'Operating costs'!$B$18,AND(T133&lt;1,OR(AG133&lt;=0,AND(ISNUMBER(AH133),AG133&gt;AH133))),'Replacement plan'!$L$38&gt;INDEX(Products!$H$7:$H$13,MATCH('Replacement plan'!$B$38,Products!$A$7:$A$13,0))))),"Fails entered limits",IF(AND(D133="EV",E133&lt;120,OR(NOT(ISNUMBER(VLOOKUP($A133,'Fleet register'!$A$7:$S$106,7,FALSE))),NOT(ISNUMBER(VLOOKUP($A133,'Fleet register'!$A$7:$S$106,8,FALSE))),NOT(ISNUMBER(AF133)),'Replacement plan'!$I$38&lt;&gt;"Yes",NOT(ISNUMBER(AH133)),'Operating costs'!$B$59&lt;&gt;"Yes",'Operating costs'!$B$58&lt;&gt;"Yes")),"Unverified","Within entered limits"))))</f>
        <v>Excluded</v>
      </c>
      <c r="R133" s="1">
        <f>IF(C133=0,0,VLOOKUP($A133,'Fleet register'!$A$7:$S$106,6,FALSE))</f>
        <v>0</v>
      </c>
      <c r="S133" s="1">
        <f>IF(C133=0,0,VLOOKUP($A133,'Fleet register'!$A$7:$S$106,5,FALSE))</f>
        <v>0</v>
      </c>
      <c r="T133" s="1">
        <f>IF(D133="EV",'Energy and charging'!$B$12,0)</f>
        <v>0</v>
      </c>
      <c r="U133" s="1">
        <f>IFERROR(IF(C133=0,0,IF(D133="EV",IF('Replacement plan'!$F$38="",INDEX(Products!$E$7:$E$13,MATCH('Replacement plan'!$B$38,Products!$A$7:$A$13,0)),'Replacement plan'!$F$38)/IF('Replacement plan'!$G$38="Battery",1-'Operating costs'!$B$44,1),0)),"n.a.")</f>
        <v>0</v>
      </c>
      <c r="V133" s="1">
        <f>IFERROR(IF(C133=0,0,IF(D133="EV",IF('Replacement plan'!$E$38="",INDEX(Products!$D$7:$D$13,MATCH('Replacement plan'!$B$38,Products!$A$7:$A$13,0)),'Replacement plan'!$E$38),0)),"n.a.")</f>
        <v>0</v>
      </c>
      <c r="W133" s="1">
        <f>IF(C133=0,0,IF(AND(P133="Complete",D133="EV",E133&lt;120),IF(T133=0,0,ROUNDUP(T133*(R133-'Operating costs'!$B$41)*(S133*U133+'Operating costs'!$B$48/(1-'Operating costs'!$B$44))/(V133*'Operating costs'!$B$47/(1-'Operating costs'!$B$44)-T133*'Operating costs'!$B$12*U133),0)),0))</f>
        <v>0</v>
      </c>
      <c r="X133" s="1">
        <f>IF(C133=0,0,IF(AND(P133="Complete",D133="EV",E133&lt;120),(R133-'Operating costs'!$B$41)*(S133*U133+'Operating costs'!$B$48/(1-'Operating costs'!$B$44))+W133*'Operating costs'!$B$12*U133,0))</f>
        <v>0</v>
      </c>
      <c r="Y133" s="1">
        <f>IF(AND(C133=1,D133="EV",E133&lt;120),AI133/(1-'Operating costs'!$B$44)*(1-T133),0)</f>
        <v>0</v>
      </c>
      <c r="Z133" s="1">
        <f t="shared" si="2"/>
        <v>0</v>
      </c>
      <c r="AA133" s="1">
        <f>IF(C133=0,0,IF(P133="Complete",((S133*(R133-'Operating costs'!$B$40))+ROUNDUP(S133*(R133-'Operating costs'!$B$40)*IF('Replacement plan'!$AH$38="",'Operating costs'!$B$7,'Replacement plan'!$AH$38)/('Operating costs'!$B$8-'Operating costs'!$B$9*IF('Replacement plan'!$AH$38="",'Operating costs'!$B$7,'Replacement plan'!$AH$38)),0)*'Operating costs'!$B$9)*IF('Replacement plan'!$AH$38="",'Operating costs'!$B$7,'Replacement plan'!$AH$38),"n.a."))</f>
        <v>0</v>
      </c>
      <c r="AB133" s="1">
        <f t="shared" si="3"/>
        <v>0</v>
      </c>
      <c r="AC133" s="1">
        <f>IF(AND(C133=1,D133="EV",E133&lt;120,T133&gt;0),'Operating costs'!$B$12/'Operating costs'!$B$11*60+'Operating costs'!$B$13+'Operating costs'!$B$14+V133*'Operating costs'!$B$47/(1-'Operating costs'!$B$44)/'Replacement plan'!$L$38*60,0)</f>
        <v>0</v>
      </c>
      <c r="AD133" s="1" t="str">
        <f>'Replacement plan'!$B$38</f>
        <v>ChengLong L2EV</v>
      </c>
      <c r="AE133" s="1">
        <f>IF(C133=0,0,VLOOKUP($A133,'Fleet register'!$A$7:$S$106,8,FALSE))</f>
        <v>0</v>
      </c>
      <c r="AF133" s="1" t="str">
        <f>IF('Replacement plan'!$H$38="","n.a.",'Replacement plan'!$H$38)</f>
        <v>n.a.</v>
      </c>
      <c r="AG133" s="1">
        <f>'Replacement plan'!$J$38</f>
        <v>22</v>
      </c>
      <c r="AH133" s="1">
        <f>IFERROR(IF(D133="EV",IF('Replacement plan'!$K$38="AC",IF(ISNUMBER(INDEX(Products!$G$7:$G$13,MATCH('Replacement plan'!$B$38,Products!$A$7:$A$13,0))),INDEX(Products!$G$7:$G$13,MATCH('Replacement plan'!$B$38,Products!$A$7:$A$13,0)),"n.a."),IF(ISNUMBER(INDEX(Products!$H$7:$H$13,MATCH('Replacement plan'!$B$38,Products!$A$7:$A$13,0))),INDEX(Products!$H$7:$H$13,MATCH('Replacement plan'!$B$38,Products!$A$7:$A$13,0)),"n.a.")),0),"n.a.")</f>
        <v>0</v>
      </c>
      <c r="AI133" s="1">
        <f>IF(AND(C133=1,D133="EV",E133&lt;120),(VLOOKUP($A133,'Fleet register'!$A$7:$S$106,7,FALSE)+IF(T133&gt;0,'Operating costs'!$B$12,0))*U133*(1-'Operating costs'!$B$44)+'Operating costs'!$B$49,0)</f>
        <v>0</v>
      </c>
      <c r="AJ133" s="1">
        <f>IF(D133="EV",'Energy and charging'!$B$50,0)</f>
        <v>0</v>
      </c>
      <c r="AK133" s="17">
        <f>EDATE('Operating costs'!$B$63,E133)</f>
        <v>46298</v>
      </c>
      <c r="AL133" s="1">
        <f>IFERROR(IF(D133="EV",INDEX(Products!$B$7:$B$13,MATCH('Replacement plan'!$B$38,Products!$A$7:$A$13,0)),0),"n.a.")</f>
        <v>0</v>
      </c>
      <c r="AM133" s="1" t="str">
        <f>'Replacement plan'!$K$38</f>
        <v>DC</v>
      </c>
      <c r="AN133" s="1" t="str">
        <f>'Replacement plan'!$AE$38</f>
        <v>Assumed</v>
      </c>
      <c r="AO133" s="47">
        <f>IF(AND(C133=1,D133="EV",E133&lt;120),(R133-'Operating costs'!$B$41)*S133+W133*'Operating costs'!$B$12,0)</f>
        <v>0</v>
      </c>
      <c r="AP133" s="41">
        <f>IF(AND(C133=1,D133="EV",E133&lt;120),IF('Operating costs'!$B$68="Hong Seh 200k average",AO133*IFERROR(INDEX(Products!$P$7:$P$13,MATCH(AD133,Products!$A$7:$A$13,0)),"n.a."),'Operating costs'!$B$26),0)</f>
        <v>0</v>
      </c>
      <c r="AQ133" s="40" t="str">
        <f>IF(D133="EV",'Operating costs'!$B$68,"Not applicable")</f>
        <v>Not applicable</v>
      </c>
    </row>
    <row r="134" spans="1:43" ht="24" customHeight="1">
      <c r="A134" s="1" t="str">
        <f>'Replacement plan'!A38</f>
        <v>T032</v>
      </c>
      <c r="B134" s="1">
        <v>3</v>
      </c>
      <c r="C134" s="1">
        <f>IF(COUNTIFS('Fleet register'!$A$7:$A$106,$A134)=1,VLOOKUP($A134,'Fleet register'!$A$7:$S$106,2,FALSE),0)</f>
        <v>0</v>
      </c>
      <c r="D134" s="1" t="str">
        <f>IF('Replacement plan'!$R$38="EV","EV","ICE")</f>
        <v>ICE</v>
      </c>
      <c r="E134" s="1">
        <f>IF(C134=0,0,IF('Replacement plan'!$S$38="",IF('Replacement plan'!$R$38="Keep ICE",IF('Replacement plan'!$M$38="",VLOOKUP($A134,'Fleet register'!$A$7:$S$106,10,FALSE),'Replacement plan'!$M$38),0),'Replacement plan'!$S$38))</f>
        <v>0</v>
      </c>
      <c r="F134" s="16">
        <f>IF(C134=0,0,VLOOKUP($A134,'Fleet register'!$A$7:$S$106,11,FALSE))</f>
        <v>0</v>
      </c>
      <c r="G134" s="16">
        <f>IFERROR(IF(C134=0,0,IF(E134=120,0,IF(D134="ICE",'Replacement plan'!$C$38,IF('Replacement plan'!$D$38="",INDEX(Products!$I$7:$I$13,MATCH('Replacement plan'!$B$38,Products!$A$7:$A$13,0))+'Operating costs'!$B$57,'Replacement plan'!$D$38))*(1+'Operating costs'!$B$50)^(E134/12))),"n.a.")</f>
        <v>0</v>
      </c>
      <c r="H134" s="16">
        <f>IFERROR(IF(C134=0,0,IF('Replacement plan'!$V$38&lt;&gt;"",'Replacement plan'!$V$38,IF(E134=0,F134,VLOOKUP($A134,'Fleet register'!$A$7:$S$106,12,FALSE)+VLOOKUP($A134,'Fleet register'!$A$7:$S$106,13,FALSE)*MAX(0,VLOOKUP($A134,'Fleet register'!$A$7:$S$106,10,FALSE)-E134)/VLOOKUP($A134,'Fleet register'!$A$7:$S$106,14,FALSE)))),"n.a.")</f>
        <v>0</v>
      </c>
      <c r="I134" s="16">
        <f>IF(C134=0,0,IF(E134=120,0,'Replacement plan'!$T$38))</f>
        <v>0</v>
      </c>
      <c r="J134" s="16">
        <f>IF(C134=0,0,IF(P134="Complete",((S134*(R134-'Operating costs'!$B$39))+ROUNDUP(S134*(R134-'Operating costs'!$B$39)*IF('Replacement plan'!$AG$38="",'Operating costs'!$B$7,'Replacement plan'!$AG$38)/('Operating costs'!$B$8-'Operating costs'!$B$9*IF('Replacement plan'!$AG$38="",'Operating costs'!$B$7,'Replacement plan'!$AG$38)),0)*'Operating costs'!$B$9)*IF('Replacement plan'!$AG$38="",'Operating costs'!$B$7,'Replacement plan'!$AG$38)*('Energy and charging'!$C$9*'Energy and charging'!$C$7+(1-'Energy and charging'!$C$9)*'Energy and charging'!$C$8)*'Operating costs'!$B$23,"n.a."))</f>
        <v>0</v>
      </c>
      <c r="K134" s="16">
        <f>IF(C134=0,0,IF(P134="Complete",SUM('Operating costs'!$B$24,'Operating costs'!$B$27,'Operating costs'!$B$29,'Operating costs'!$B$31,'Operating costs'!$B$33,'Operating costs'!$B$34,'Operating costs'!$B$37,'Replacement plan'!$W$38)+'Operating costs'!$B$39*'Operating costs'!$B$42+ROUNDUP(S134*(R134-'Operating costs'!$B$39)*IF('Replacement plan'!$AG$38="",'Operating costs'!$B$7,'Replacement plan'!$AG$38)/('Operating costs'!$B$8-'Operating costs'!$B$9*IF('Replacement plan'!$AG$38="",'Operating costs'!$B$7,'Replacement plan'!$AG$38)),0)*('Operating costs'!$B$9/'Operating costs'!$B$11+'Operating costs'!$B$10/60)*'Operating costs'!$B$19*'Operating costs'!$B$21,"n.a."))</f>
        <v>0</v>
      </c>
      <c r="L134" s="16">
        <f>IF(C134=0,0,IF(P134="Complete",IF(D134="EV",X134*((1-T134)*'Energy and charging'!$C$10+T134*'Energy and charging'!$C$11)*'Operating costs'!$B$22,AA134*('Energy and charging'!$C$9*'Energy and charging'!$C$7+(1-'Energy and charging'!$C$9)*'Energy and charging'!$C$8)*'Operating costs'!$B$23),"n.a."))</f>
        <v>0</v>
      </c>
      <c r="M134" s="37">
        <f>IF(C134=0,0,IF(P134="Complete",IF(D134="ICE",SUM('Operating costs'!$B$25,'Operating costs'!$B$27,'Operating costs'!$B$29,'Operating costs'!$B$31,'Operating costs'!$B$33,'Operating costs'!$B$35,'Operating costs'!$B$37,'Replacement plan'!$X$38)+'Operating costs'!$B$40*'Operating costs'!$B$42+ROUNDUP(S134*(R134-'Operating costs'!$B$40)*IF('Replacement plan'!$AH$38="",'Operating costs'!$B$7,'Replacement plan'!$AH$38)/('Operating costs'!$B$8-'Operating costs'!$B$9*IF('Replacement plan'!$AH$38="",'Operating costs'!$B$7,'Replacement plan'!$AH$38)),0)*('Operating costs'!$B$9/'Operating costs'!$B$11+'Operating costs'!$B$10/60)*'Operating costs'!$B$19*'Operating costs'!$B$21,SUM(AP134,'Operating costs'!$B$28,'Operating costs'!$B$30,'Operating costs'!$B$32,'Operating costs'!$B$33,'Operating costs'!$B$36,'Operating costs'!$B$38,'Replacement plan'!$Y$38)+'Operating costs'!$B$41*'Operating costs'!$B$43+W134*'Operating costs'!$B$15+(T134*X134/'Replacement plan'!$L$38+W134*('Operating costs'!$B$12/'Operating costs'!$B$11+('Operating costs'!$B$13+'Operating costs'!$B$14)/60)+(R134-'Operating costs'!$B$41)*(IF(T134&lt;1,'Operating costs'!$B$16,0)+'Operating costs'!$B$17)/60)*'Operating costs'!$B$19*'Operating costs'!$B$20),"n.a."))</f>
        <v>0</v>
      </c>
      <c r="N134" s="16">
        <f>IF(AND(C134=1,D134="EV",E134&lt;120,E134+'Replacement plan'!$AA$38&lt;=120),'Replacement plan'!$Z$38,0)</f>
        <v>0</v>
      </c>
      <c r="O134" s="1">
        <f>E134+'Replacement plan'!$AA$38</f>
        <v>0</v>
      </c>
      <c r="P134" s="35" t="str">
        <f>IFERROR(IF(C134=0,"Excluded",IF(OR(COUNTIFS('Fleet register'!$A$7:$A$106,A134)&lt;&gt;1,COUNTIFS('Replacement plan'!$A$7:$A$106,A134)&lt;&gt;1),"Duplicate/missing ID",IF(NOT(AND(ISNUMBER(VLOOKUP($A134,'Fleet register'!$A$7:$S$106,5,FALSE)),ISNUMBER(VLOOKUP($A134,'Fleet register'!$A$7:$S$106,6,FALSE)),ISNUMBER(VLOOKUP($A134,'Fleet register'!$A$7:$S$106,10,FALSE)),ISNUMBER(VLOOKUP($A134,'Fleet register'!$A$7:$S$106,11,FALSE)),ISNUMBER(VLOOKUP($A134,'Fleet register'!$A$7:$S$106,12,FALSE)),ISNUMBER(VLOOKUP($A134,'Fleet register'!$A$7:$S$106,13,FALSE)),ISNUMBER(VLOOKUP($A134,'Fleet register'!$A$7:$S$106,14,FALSE)),VLOOKUP($A134,'Fleet register'!$A$7:$S$106,14,FALSE)&gt;0,ISNUMBER('Replacement plan'!$C$38),OR(E134=120,ISNUMBER('Replacement plan'!$T$38)),ISNUMBER(E134))),"Missing vehicle input",IF(OR(E134&lt;0,E134&gt;VLOOKUP($A134,'Fleet register'!$A$7:$S$106,10,FALSE),E134&gt;120,E134&lt;&gt;INT(E134),VLOOKUP($A134,'Fleet register'!$A$7:$S$106,6,FALSE)&lt;=0,VLOOKUP($A134,'Fleet register'!$A$7:$S$106,6,FALSE)&gt;366,VLOOKUP($A134,'Fleet register'!$A$7:$S$106,5,FALSE)&lt;0,VLOOKUP($A134,'Fleet register'!$A$7:$S$106,11,FALSE)&lt;0,I134&lt;0,'Operating costs'!$B$8&lt;='Operating costs'!$B$7*'Operating costs'!$B$9,'Operating costs'!$B$11&lt;=0,'Operating costs'!$B$39&gt;R134,'Operating costs'!$B$40&gt;R134,'Operating costs'!$B$41&gt;R134,NOT(OR('Replacement plan'!$R$38="Keep ICE",'Replacement plan'!$R$38="New ICE",'Replacement plan'!$R$38="EV"))),"Invalid vehicle input",IF(AND(D134="EV",E134&lt;120,OR(NOT(ISNUMBER(U134)),NOT(ISNUMBER(V134)),V134&lt;=0,T134&lt;0,T134&gt;1,'Replacement plan'!$L$38&lt;=0,'Operating costs'!$B$44&lt;0,'Operating costs'!$B$44&gt;=1,'Operating costs'!$B$47&lt;=0,'Operating costs'!$B$47&gt;1,V134*'Operating costs'!$B$47/(1-'Operating costs'!$B$44)&lt;=T134*'Operating costs'!$B$12*U134,AND('Replacement plan'!$Z$38&gt;0,OR('Replacement plan'!$AB$38&lt;&gt;"Yes",'Operating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charging'!$C$8&gt;=0))),ISNUMBER(VLOOKUP($A134,'Fleet register'!$A$7:$S$106,15,FALSE)),ISNUMBER(VLOOKUP($A134,'Fleet register'!$A$7:$S$106,16,FALSE)),ISNUMBER('Replacement plan'!$W$38),ISNUMBER('Replacement plan'!$X$38),OR(E134=120,AND(ISNUMBER(G134),G134&gt;=0)),ISNUMBER(H134),H134&gt;=0,OR(D134&lt;&gt;"EV",E134=120,AND(ISNUMBER('Operating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average",ISNUMBER(IFERROR(INDEX(Products!$P$7:$P$13,MATCH(AD134,Products!$A$7:$A$13,0)),"")))),ISNUMBER('Operating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plan'!$Y$38),ISNUMBER('Replacement plan'!$Z$38),'Replacement plan'!$Z$38&gt;=0,ISNUMBER('Replacement plan'!$AA$38),'Replacement plan'!$AA$38&gt;=0,'Replacement plan'!$AA$38=INT('Replacement plan'!$AA$38),ISNUMBER('Replacement plan'!$L$38))),'Operating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plan'!$AG$38="",'Operating costs'!$B$7,'Replacement plan'!$AG$38)),IF('Replacement plan'!$AG$38="",'Operating costs'!$B$7,'Replacement plan'!$AG$38)&gt;=0,ISNUMBER(IF('Replacement plan'!$AH$38="",'Operating costs'!$B$7,'Replacement plan'!$AH$38)),IF('Replacement plan'!$AH$38="",'Operating costs'!$B$7,'Replacement plan'!$AH$38)&gt;=0,'Operating costs'!$B$8&gt;MAX(IF('Replacement plan'!$AG$38="",'Operating costs'!$B$7,'Replacement plan'!$AG$38),IF('Replacement plan'!$AH$38="",'Operating costs'!$B$7,'Replacement plan'!$AH$38))*'Operating costs'!$B$9),IF(AND(VLOOKUP($A134,'Fleet register'!$A$7:$S$106,10,FALSE)&gt;=0,VLOOKUP($A134,'Fleet register'!$A$7:$S$106,10,FALSE)&lt;=120,VLOOKUP($A134,'Fleet register'!$A$7:$S$106,10,FALSE)=INT(VLOOKUP($A134,'Fleet register'!$A$7:$S$106,10,FALSE)),VLOOKUP($A134,'Fleet register'!$A$7:$S$106,15,FALSE)&gt;=0,VLOOKUP($A134,'Fleet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costs'!$B$67)&gt;=0,OR(D134&lt;&gt;"EV",E134=120,AND(MIN('Operating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34" s="1" t="str">
        <f>IF(C134=0,"Excluded",IF(P134&lt;&gt;"Complete",P134,IF(OR('Replacement plan'!$AD$38&lt;120-E134,AND(D134="EV",E134&lt;120,OR('Replacement plan'!$AC$38&lt;120-E134,'Replacement plan'!$I$38="No",AND(ISNUMBER(AF134),AE134&gt;AF134),AI134&gt;V134*(1-'Operating costs'!$B$46)^MAX(0,AB134-1)*(1-'Operating costs'!$B$45),AC134&gt;'Operating costs'!$B$18,AND(T134&lt;1,OR(AG134&lt;=0,AND(ISNUMBER(AH134),AG134&gt;AH134))),'Replacement plan'!$L$38&gt;INDEX(Products!$H$7:$H$13,MATCH('Replacement plan'!$B$38,Products!$A$7:$A$13,0))))),"Fails entered limits",IF(AND(D134="EV",E134&lt;120,OR(NOT(ISNUMBER(VLOOKUP($A134,'Fleet register'!$A$7:$S$106,7,FALSE))),NOT(ISNUMBER(VLOOKUP($A134,'Fleet register'!$A$7:$S$106,8,FALSE))),NOT(ISNUMBER(AF134)),'Replacement plan'!$I$38&lt;&gt;"Yes",NOT(ISNUMBER(AH134)),'Operating costs'!$B$59&lt;&gt;"Yes",'Operating costs'!$B$58&lt;&gt;"Yes")),"Unverified","Within entered limits"))))</f>
        <v>Excluded</v>
      </c>
      <c r="R134" s="1">
        <f>IF(C134=0,0,VLOOKUP($A134,'Fleet register'!$A$7:$S$106,6,FALSE))</f>
        <v>0</v>
      </c>
      <c r="S134" s="1">
        <f>IF(C134=0,0,VLOOKUP($A134,'Fleet register'!$A$7:$S$106,5,FALSE))</f>
        <v>0</v>
      </c>
      <c r="T134" s="1">
        <f>IF(D134="EV",'Energy and charging'!$C$12,0)</f>
        <v>0</v>
      </c>
      <c r="U134" s="1">
        <f>IFERROR(IF(C134=0,0,IF(D134="EV",IF('Replacement plan'!$F$38="",INDEX(Products!$E$7:$E$13,MATCH('Replacement plan'!$B$38,Products!$A$7:$A$13,0)),'Replacement plan'!$F$38)/IF('Replacement plan'!$G$38="Battery",1-'Operating costs'!$B$44,1),0)),"n.a.")</f>
        <v>0</v>
      </c>
      <c r="V134" s="1">
        <f>IFERROR(IF(C134=0,0,IF(D134="EV",IF('Replacement plan'!$E$38="",INDEX(Products!$D$7:$D$13,MATCH('Replacement plan'!$B$38,Products!$A$7:$A$13,0)),'Replacement plan'!$E$38),0)),"n.a.")</f>
        <v>0</v>
      </c>
      <c r="W134" s="1">
        <f>IF(C134=0,0,IF(AND(P134="Complete",D134="EV",E134&lt;120),IF(T134=0,0,ROUNDUP(T134*(R134-'Operating costs'!$B$41)*(S134*U134+'Operating costs'!$B$48/(1-'Operating costs'!$B$44))/(V134*'Operating costs'!$B$47/(1-'Operating costs'!$B$44)-T134*'Operating costs'!$B$12*U134),0)),0))</f>
        <v>0</v>
      </c>
      <c r="X134" s="1">
        <f>IF(C134=0,0,IF(AND(P134="Complete",D134="EV",E134&lt;120),(R134-'Operating costs'!$B$41)*(S134*U134+'Operating costs'!$B$48/(1-'Operating costs'!$B$44))+W134*'Operating costs'!$B$12*U134,0))</f>
        <v>0</v>
      </c>
      <c r="Y134" s="1">
        <f>IF(AND(C134=1,D134="EV",E134&lt;120),AI134/(1-'Operating costs'!$B$44)*(1-T134),0)</f>
        <v>0</v>
      </c>
      <c r="Z134" s="1">
        <f t="shared" si="2"/>
        <v>0</v>
      </c>
      <c r="AA134" s="1">
        <f>IF(C134=0,0,IF(P134="Complete",((S134*(R134-'Operating costs'!$B$40))+ROUNDUP(S134*(R134-'Operating costs'!$B$40)*IF('Replacement plan'!$AH$38="",'Operating costs'!$B$7,'Replacement plan'!$AH$38)/('Operating costs'!$B$8-'Operating costs'!$B$9*IF('Replacement plan'!$AH$38="",'Operating costs'!$B$7,'Replacement plan'!$AH$38)),0)*'Operating costs'!$B$9)*IF('Replacement plan'!$AH$38="",'Operating costs'!$B$7,'Replacement plan'!$AH$38),"n.a."))</f>
        <v>0</v>
      </c>
      <c r="AB134" s="1">
        <f t="shared" si="3"/>
        <v>0</v>
      </c>
      <c r="AC134" s="1">
        <f>IF(AND(C134=1,D134="EV",E134&lt;120,T134&gt;0),'Operating costs'!$B$12/'Operating costs'!$B$11*60+'Operating costs'!$B$13+'Operating costs'!$B$14+V134*'Operating costs'!$B$47/(1-'Operating costs'!$B$44)/'Replacement plan'!$L$38*60,0)</f>
        <v>0</v>
      </c>
      <c r="AD134" s="1" t="str">
        <f>'Replacement plan'!$B$38</f>
        <v>ChengLong L2EV</v>
      </c>
      <c r="AE134" s="1">
        <f>IF(C134=0,0,VLOOKUP($A134,'Fleet register'!$A$7:$S$106,8,FALSE))</f>
        <v>0</v>
      </c>
      <c r="AF134" s="1" t="str">
        <f>IF('Replacement plan'!$H$38="","n.a.",'Replacement plan'!$H$38)</f>
        <v>n.a.</v>
      </c>
      <c r="AG134" s="1">
        <f>'Replacement plan'!$J$38</f>
        <v>22</v>
      </c>
      <c r="AH134" s="1">
        <f>IFERROR(IF(D134="EV",IF('Replacement plan'!$K$38="AC",IF(ISNUMBER(INDEX(Products!$G$7:$G$13,MATCH('Replacement plan'!$B$38,Products!$A$7:$A$13,0))),INDEX(Products!$G$7:$G$13,MATCH('Replacement plan'!$B$38,Products!$A$7:$A$13,0)),"n.a."),IF(ISNUMBER(INDEX(Products!$H$7:$H$13,MATCH('Replacement plan'!$B$38,Products!$A$7:$A$13,0))),INDEX(Products!$H$7:$H$13,MATCH('Replacement plan'!$B$38,Products!$A$7:$A$13,0)),"n.a.")),0),"n.a.")</f>
        <v>0</v>
      </c>
      <c r="AI134" s="1">
        <f>IF(AND(C134=1,D134="EV",E134&lt;120),(VLOOKUP($A134,'Fleet register'!$A$7:$S$106,7,FALSE)+IF(T134&gt;0,'Operating costs'!$B$12,0))*U134*(1-'Operating costs'!$B$44)+'Operating costs'!$B$49,0)</f>
        <v>0</v>
      </c>
      <c r="AJ134" s="1">
        <f>IF(D134="EV",'Energy and charging'!$C$50,0)</f>
        <v>0</v>
      </c>
      <c r="AK134" s="17">
        <f>EDATE('Operating costs'!$B$63,E134)</f>
        <v>46298</v>
      </c>
      <c r="AL134" s="1">
        <f>IFERROR(IF(D134="EV",INDEX(Products!$B$7:$B$13,MATCH('Replacement plan'!$B$38,Products!$A$7:$A$13,0)),0),"n.a.")</f>
        <v>0</v>
      </c>
      <c r="AM134" s="1" t="str">
        <f>'Replacement plan'!$K$38</f>
        <v>DC</v>
      </c>
      <c r="AN134" s="1" t="str">
        <f>'Replacement plan'!$AE$38</f>
        <v>Assumed</v>
      </c>
      <c r="AO134" s="47">
        <f>IF(AND(C134=1,D134="EV",E134&lt;120),(R134-'Operating costs'!$B$41)*S134+W134*'Operating costs'!$B$12,0)</f>
        <v>0</v>
      </c>
      <c r="AP134" s="41">
        <f>IF(AND(C134=1,D134="EV",E134&lt;120),IF('Operating costs'!$B$68="Hong Seh 200k average",AO134*IFERROR(INDEX(Products!$P$7:$P$13,MATCH(AD134,Products!$A$7:$A$13,0)),"n.a."),'Operating costs'!$B$26),0)</f>
        <v>0</v>
      </c>
      <c r="AQ134" s="40" t="str">
        <f>IF(D134="EV",'Operating costs'!$B$68,"Not applicable")</f>
        <v>Not applicable</v>
      </c>
    </row>
    <row r="135" spans="1:43" ht="24" customHeight="1">
      <c r="A135" s="1" t="str">
        <f>'Replacement plan'!A39</f>
        <v>T033</v>
      </c>
      <c r="B135" s="1">
        <v>0</v>
      </c>
      <c r="C135" s="1">
        <f>IF(COUNTIFS('Fleet register'!$A$7:$A$106,$A135)=1,VLOOKUP($A135,'Fleet register'!$A$7:$S$106,2,FALSE),0)</f>
        <v>0</v>
      </c>
      <c r="D135" s="1" t="str">
        <f>IF("Keep ICE"="EV","EV","ICE")</f>
        <v>ICE</v>
      </c>
      <c r="E135" s="1">
        <f>IF(C135=0,0,IF('Replacement plan'!$M$39="",VLOOKUP($A135,'Fleet register'!$A$7:$S$106,10,FALSE),'Replacement plan'!$M$39))</f>
        <v>0</v>
      </c>
      <c r="F135" s="16">
        <f>IF(C135=0,0,VLOOKUP($A135,'Fleet register'!$A$7:$S$106,11,FALSE))</f>
        <v>0</v>
      </c>
      <c r="G135" s="16">
        <f>IFERROR(IF(C135=0,0,IF(E135=120,0,IF(D135="ICE",'Replacement plan'!$C$39,IF('Replacement plan'!$D$39="",INDEX(Products!$I$7:$I$13,MATCH('Replacement plan'!$B$39,Products!$A$7:$A$13,0))+'Operating costs'!$B$57,'Replacement plan'!$D$39))*(1+'Operating costs'!$B$50)^(E135/12))),"n.a.")</f>
        <v>0</v>
      </c>
      <c r="H135" s="16">
        <f>IFERROR(IF(C135=0,0,IF(E135=0,F135,VLOOKUP($A135,'Fleet register'!$A$7:$S$106,12,FALSE)+VLOOKUP($A135,'Fleet register'!$A$7:$S$106,13,FALSE)*MAX(0,VLOOKUP($A135,'Fleet register'!$A$7:$S$106,10,FALSE)-E135)/VLOOKUP($A135,'Fleet register'!$A$7:$S$106,14,FALSE))),"n.a.")</f>
        <v>0</v>
      </c>
      <c r="I135" s="16">
        <f>IF(C135=0,0,IF(E135=120,0,'Replacement plan'!$N$39))</f>
        <v>0</v>
      </c>
      <c r="J135" s="16">
        <f>IF(C135=0,0,IF(P135="Complete",((S135*(R135-'Operating costs'!$B$39))+ROUNDUP(S135*(R135-'Operating costs'!$B$39)*IF('Replacement plan'!$AG$39="",'Operating costs'!$B$7,'Replacement plan'!$AG$39)/('Operating costs'!$B$8-'Operating costs'!$B$9*IF('Replacement plan'!$AG$39="",'Operating costs'!$B$7,'Replacement plan'!$AG$39)),0)*'Operating costs'!$B$9)*IF('Replacement plan'!$AG$39="",'Operating costs'!$B$7,'Replacement plan'!$AG$39)*('Energy and charging'!$B$9*'Energy and charging'!$B$7+(1-'Energy and charging'!$B$9)*'Energy and charging'!$B$8)*'Operating costs'!$B$23,"n.a."))</f>
        <v>0</v>
      </c>
      <c r="K135" s="16">
        <f>IF(C135=0,0,IF(P135="Complete",SUM('Operating costs'!$B$24,'Operating costs'!$B$27,'Operating costs'!$B$29,'Operating costs'!$B$31,'Operating costs'!$B$33,'Operating costs'!$B$34,'Operating costs'!$B$37,'Replacement plan'!$W$39)+'Operating costs'!$B$39*'Operating costs'!$B$42+ROUNDUP(S135*(R135-'Operating costs'!$B$39)*IF('Replacement plan'!$AG$39="",'Operating costs'!$B$7,'Replacement plan'!$AG$39)/('Operating costs'!$B$8-'Operating costs'!$B$9*IF('Replacement plan'!$AG$39="",'Operating costs'!$B$7,'Replacement plan'!$AG$39)),0)*('Operating costs'!$B$9/'Operating costs'!$B$11+'Operating costs'!$B$10/60)*'Operating costs'!$B$19*'Operating costs'!$B$21,"n.a."))</f>
        <v>0</v>
      </c>
      <c r="L135" s="16">
        <f>IF(C135=0,0,IF(P135="Complete",IF(D135="EV",X135*((1-T135)*'Energy and charging'!$B$10+T135*'Energy and charging'!$B$11)*'Operating costs'!$B$22,AA135*('Energy and charging'!$B$9*'Energy and charging'!$B$7+(1-'Energy and charging'!$B$9)*'Energy and charging'!$B$8)*'Operating costs'!$B$23),"n.a."))</f>
        <v>0</v>
      </c>
      <c r="M135" s="37">
        <f>IF(C135=0,0,IF(P135="Complete",IF(D135="ICE",SUM('Operating costs'!$B$25,'Operating costs'!$B$27,'Operating costs'!$B$29,'Operating costs'!$B$31,'Operating costs'!$B$33,'Operating costs'!$B$35,'Operating costs'!$B$37,'Replacement plan'!$X$39)+'Operating costs'!$B$40*'Operating costs'!$B$42+ROUNDUP(S135*(R135-'Operating costs'!$B$40)*IF('Replacement plan'!$AH$39="",'Operating costs'!$B$7,'Replacement plan'!$AH$39)/('Operating costs'!$B$8-'Operating costs'!$B$9*IF('Replacement plan'!$AH$39="",'Operating costs'!$B$7,'Replacement plan'!$AH$39)),0)*('Operating costs'!$B$9/'Operating costs'!$B$11+'Operating costs'!$B$10/60)*'Operating costs'!$B$19*'Operating costs'!$B$21,SUM(AP135,'Operating costs'!$B$28,'Operating costs'!$B$30,'Operating costs'!$B$32,'Operating costs'!$B$33,'Operating costs'!$B$36,'Operating costs'!$B$38,'Replacement plan'!$Y$39)+'Operating costs'!$B$41*'Operating costs'!$B$43+W135*'Operating costs'!$B$15+(T135*X135/'Replacement plan'!$L$39+W135*('Operating costs'!$B$12/'Operating costs'!$B$11+('Operating costs'!$B$13+'Operating costs'!$B$14)/60)+(R135-'Operating costs'!$B$41)*(IF(T135&lt;1,'Operating costs'!$B$16,0)+'Operating costs'!$B$17)/60)*'Operating costs'!$B$19*'Operating costs'!$B$20),"n.a."))</f>
        <v>0</v>
      </c>
      <c r="N135" s="16">
        <f>IF(AND(C135=1,D135="EV",E135&lt;120,E135+'Replacement plan'!$AA$39&lt;=120),'Replacement plan'!$Z$39,0)</f>
        <v>0</v>
      </c>
      <c r="O135" s="1">
        <f>E135+'Replacement plan'!$AA$39</f>
        <v>0</v>
      </c>
      <c r="P135" s="35" t="str">
        <f>IFERROR(IF(C135=0,"Excluded",IF(OR(COUNTIFS('Fleet register'!$A$7:$A$106,A135)&lt;&gt;1,COUNTIFS('Replacement plan'!$A$7:$A$106,A135)&lt;&gt;1),"Duplicate/missing ID",IF(NOT(AND(ISNUMBER(VLOOKUP($A135,'Fleet register'!$A$7:$S$106,5,FALSE)),ISNUMBER(VLOOKUP($A135,'Fleet register'!$A$7:$S$106,6,FALSE)),ISNUMBER(VLOOKUP($A135,'Fleet register'!$A$7:$S$106,10,FALSE)),ISNUMBER(VLOOKUP($A135,'Fleet register'!$A$7:$S$106,11,FALSE)),ISNUMBER(VLOOKUP($A135,'Fleet register'!$A$7:$S$106,12,FALSE)),ISNUMBER(VLOOKUP($A135,'Fleet register'!$A$7:$S$106,13,FALSE)),ISNUMBER(VLOOKUP($A135,'Fleet register'!$A$7:$S$106,14,FALSE)),VLOOKUP($A135,'Fleet register'!$A$7:$S$106,14,FALSE)&gt;0,ISNUMBER('Replacement plan'!$C$39),OR(E135=120,ISNUMBER('Replacement plan'!$N$39)),ISNUMBER(E135))),"Missing vehicle input",IF(OR(E135&lt;0,E135&gt;VLOOKUP($A135,'Fleet register'!$A$7:$S$106,10,FALSE),E135&gt;120,E135&lt;&gt;INT(E135),VLOOKUP($A135,'Fleet register'!$A$7:$S$106,6,FALSE)&lt;=0,VLOOKUP($A135,'Fleet register'!$A$7:$S$106,6,FALSE)&gt;366,VLOOKUP($A135,'Fleet register'!$A$7:$S$106,5,FALSE)&lt;0,VLOOKUP($A135,'Fleet register'!$A$7:$S$106,11,FALSE)&lt;0,I135&lt;0,'Operating costs'!$B$8&lt;='Operating costs'!$B$7*'Operating costs'!$B$9,'Operating costs'!$B$11&lt;=0,'Operating costs'!$B$39&gt;R135,'Operating costs'!$B$40&gt;R135,'Operating costs'!$B$41&gt;R135,NOT(OR("Keep ICE"="Keep ICE","Keep ICE"="New ICE","Keep ICE"="EV"))),"Invalid vehicle input",IF(AND(D135="EV",E135&lt;120,OR(NOT(ISNUMBER(U135)),NOT(ISNUMBER(V135)),V135&lt;=0,T135&lt;0,T135&gt;1,'Replacement plan'!$L$39&lt;=0,'Operating costs'!$B$44&lt;0,'Operating costs'!$B$44&gt;=1,'Operating costs'!$B$47&lt;=0,'Operating costs'!$B$47&gt;1,V135*'Operating costs'!$B$47/(1-'Operating costs'!$B$44)&lt;=T135*'Operating costs'!$B$12*U135,AND('Replacement plan'!$Z$39&gt;0,OR('Replacement plan'!$AB$39&lt;&gt;"Yes",'Operating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charging'!$B$8&gt;=0))),ISNUMBER(VLOOKUP($A135,'Fleet register'!$A$7:$S$106,15,FALSE)),ISNUMBER(VLOOKUP($A135,'Fleet register'!$A$7:$S$106,16,FALSE)),ISNUMBER('Replacement plan'!$W$39),ISNUMBER('Replacement plan'!$X$39),OR(E135=120,AND(ISNUMBER(G135),G135&gt;=0)),ISNUMBER(H135),H135&gt;=0,OR(D135&lt;&gt;"EV",E135=120,AND(ISNUMBER('Operating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average",ISNUMBER(IFERROR(INDEX(Products!$P$7:$P$13,MATCH(AD135,Products!$A$7:$A$13,0)),"")))),ISNUMBER('Operating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plan'!$Y$39),ISNUMBER('Replacement plan'!$Z$39),'Replacement plan'!$Z$39&gt;=0,ISNUMBER('Replacement plan'!$AA$39),'Replacement plan'!$AA$39&gt;=0,'Replacement plan'!$AA$39=INT('Replacement plan'!$AA$39),ISNUMBER('Replacement plan'!$L$39))),'Operating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plan'!$AG$39="",'Operating costs'!$B$7,'Replacement plan'!$AG$39)),IF('Replacement plan'!$AG$39="",'Operating costs'!$B$7,'Replacement plan'!$AG$39)&gt;=0,ISNUMBER(IF('Replacement plan'!$AH$39="",'Operating costs'!$B$7,'Replacement plan'!$AH$39)),IF('Replacement plan'!$AH$39="",'Operating costs'!$B$7,'Replacement plan'!$AH$39)&gt;=0,'Operating costs'!$B$8&gt;MAX(IF('Replacement plan'!$AG$39="",'Operating costs'!$B$7,'Replacement plan'!$AG$39),IF('Replacement plan'!$AH$39="",'Operating costs'!$B$7,'Replacement plan'!$AH$39))*'Operating costs'!$B$9),IF(AND(VLOOKUP($A135,'Fleet register'!$A$7:$S$106,10,FALSE)&gt;=0,VLOOKUP($A135,'Fleet register'!$A$7:$S$106,10,FALSE)&lt;=120,VLOOKUP($A135,'Fleet register'!$A$7:$S$106,10,FALSE)=INT(VLOOKUP($A135,'Fleet register'!$A$7:$S$106,10,FALSE)),VLOOKUP($A135,'Fleet register'!$A$7:$S$106,15,FALSE)&gt;=0,VLOOKUP($A135,'Fleet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costs'!$B$67)&gt;=0,OR(D135&lt;&gt;"EV",E135=120,AND(MIN('Operating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35" s="1" t="str">
        <f>IF(C135=0,"Excluded",IF(P135&lt;&gt;"Complete",P135,IF(OR('Replacement plan'!$AD$39&lt;120-E135,AND(D135="EV",E135&lt;120,OR('Replacement plan'!$AC$39&lt;120-E135,'Replacement plan'!$I$39="No",AND(ISNUMBER(AF135),AE135&gt;AF135),AI135&gt;V135*(1-'Operating costs'!$B$46)^MAX(0,AB135-1)*(1-'Operating costs'!$B$45),AC135&gt;'Operating costs'!$B$18,AND(T135&lt;1,OR(AG135&lt;=0,AND(ISNUMBER(AH135),AG135&gt;AH135))),'Replacement plan'!$L$39&gt;INDEX(Products!$H$7:$H$13,MATCH('Replacement plan'!$B$39,Products!$A$7:$A$13,0))))),"Fails entered limits",IF(AND(D135="EV",E135&lt;120,OR(NOT(ISNUMBER(VLOOKUP($A135,'Fleet register'!$A$7:$S$106,7,FALSE))),NOT(ISNUMBER(VLOOKUP($A135,'Fleet register'!$A$7:$S$106,8,FALSE))),NOT(ISNUMBER(AF135)),'Replacement plan'!$I$39&lt;&gt;"Yes",NOT(ISNUMBER(AH135)),'Operating costs'!$B$59&lt;&gt;"Yes",'Operating costs'!$B$58&lt;&gt;"Yes")),"Unverified","Within entered limits"))))</f>
        <v>Excluded</v>
      </c>
      <c r="R135" s="1">
        <f>IF(C135=0,0,VLOOKUP($A135,'Fleet register'!$A$7:$S$106,6,FALSE))</f>
        <v>0</v>
      </c>
      <c r="S135" s="1">
        <f>IF(C135=0,0,VLOOKUP($A135,'Fleet register'!$A$7:$S$106,5,FALSE))</f>
        <v>0</v>
      </c>
      <c r="T135" s="1">
        <f>IF(D135="EV",'Energy and charging'!$B$12,0)</f>
        <v>0</v>
      </c>
      <c r="U135" s="1">
        <f>IFERROR(IF(C135=0,0,IF(D135="EV",IF('Replacement plan'!$F$39="",INDEX(Products!$E$7:$E$13,MATCH('Replacement plan'!$B$39,Products!$A$7:$A$13,0)),'Replacement plan'!$F$39)/IF('Replacement plan'!$G$39="Battery",1-'Operating costs'!$B$44,1),0)),"n.a.")</f>
        <v>0</v>
      </c>
      <c r="V135" s="1">
        <f>IFERROR(IF(C135=0,0,IF(D135="EV",IF('Replacement plan'!$E$39="",INDEX(Products!$D$7:$D$13,MATCH('Replacement plan'!$B$39,Products!$A$7:$A$13,0)),'Replacement plan'!$E$39),0)),"n.a.")</f>
        <v>0</v>
      </c>
      <c r="W135" s="1">
        <f>IF(C135=0,0,IF(AND(P135="Complete",D135="EV",E135&lt;120),IF(T135=0,0,ROUNDUP(T135*(R135-'Operating costs'!$B$41)*(S135*U135+'Operating costs'!$B$48/(1-'Operating costs'!$B$44))/(V135*'Operating costs'!$B$47/(1-'Operating costs'!$B$44)-T135*'Operating costs'!$B$12*U135),0)),0))</f>
        <v>0</v>
      </c>
      <c r="X135" s="1">
        <f>IF(C135=0,0,IF(AND(P135="Complete",D135="EV",E135&lt;120),(R135-'Operating costs'!$B$41)*(S135*U135+'Operating costs'!$B$48/(1-'Operating costs'!$B$44))+W135*'Operating costs'!$B$12*U135,0))</f>
        <v>0</v>
      </c>
      <c r="Y135" s="1">
        <f>IF(AND(C135=1,D135="EV",E135&lt;120),AI135/(1-'Operating costs'!$B$44)*(1-T135),0)</f>
        <v>0</v>
      </c>
      <c r="Z135" s="1">
        <f t="shared" ref="Z135:Z198" si="4">IF(AND(C135=1,D135="EV",E135&lt;120,T135&lt;1,AG135&gt;0),Y135/AG135,0)</f>
        <v>0</v>
      </c>
      <c r="AA135" s="1">
        <f>IF(C135=0,0,IF(P135="Complete",((S135*(R135-'Operating costs'!$B$40))+ROUNDUP(S135*(R135-'Operating costs'!$B$40)*IF('Replacement plan'!$AH$39="",'Operating costs'!$B$7,'Replacement plan'!$AH$39)/('Operating costs'!$B$8-'Operating costs'!$B$9*IF('Replacement plan'!$AH$39="",'Operating costs'!$B$7,'Replacement plan'!$AH$39)),0)*'Operating costs'!$B$9)*IF('Replacement plan'!$AH$39="",'Operating costs'!$B$7,'Replacement plan'!$AH$39),"n.a."))</f>
        <v>0</v>
      </c>
      <c r="AB135" s="1">
        <f t="shared" ref="AB135:AB198" si="5">IF(D135="EV",(120-E135)/12,0)</f>
        <v>0</v>
      </c>
      <c r="AC135" s="1">
        <f>IF(AND(C135=1,D135="EV",E135&lt;120,T135&gt;0),'Operating costs'!$B$12/'Operating costs'!$B$11*60+'Operating costs'!$B$13+'Operating costs'!$B$14+V135*'Operating costs'!$B$47/(1-'Operating costs'!$B$44)/'Replacement plan'!$L$39*60,0)</f>
        <v>0</v>
      </c>
      <c r="AD135" s="1" t="str">
        <f>'Replacement plan'!$B$39</f>
        <v>ChengLong L2EV</v>
      </c>
      <c r="AE135" s="1">
        <f>IF(C135=0,0,VLOOKUP($A135,'Fleet register'!$A$7:$S$106,8,FALSE))</f>
        <v>0</v>
      </c>
      <c r="AF135" s="1" t="str">
        <f>IF('Replacement plan'!$H$39="","n.a.",'Replacement plan'!$H$39)</f>
        <v>n.a.</v>
      </c>
      <c r="AG135" s="1">
        <f>'Replacement plan'!$J$39</f>
        <v>22</v>
      </c>
      <c r="AH135" s="1">
        <f>IFERROR(IF(D135="EV",IF('Replacement plan'!$K$39="AC",IF(ISNUMBER(INDEX(Products!$G$7:$G$13,MATCH('Replacement plan'!$B$39,Products!$A$7:$A$13,0))),INDEX(Products!$G$7:$G$13,MATCH('Replacement plan'!$B$39,Products!$A$7:$A$13,0)),"n.a."),IF(ISNUMBER(INDEX(Products!$H$7:$H$13,MATCH('Replacement plan'!$B$39,Products!$A$7:$A$13,0))),INDEX(Products!$H$7:$H$13,MATCH('Replacement plan'!$B$39,Products!$A$7:$A$13,0)),"n.a.")),0),"n.a.")</f>
        <v>0</v>
      </c>
      <c r="AI135" s="1">
        <f>IF(AND(C135=1,D135="EV",E135&lt;120),(VLOOKUP($A135,'Fleet register'!$A$7:$S$106,7,FALSE)+IF(T135&gt;0,'Operating costs'!$B$12,0))*U135*(1-'Operating costs'!$B$44)+'Operating costs'!$B$49,0)</f>
        <v>0</v>
      </c>
      <c r="AJ135" s="1">
        <f>IF(D135="EV",'Energy and charging'!$B$50,0)</f>
        <v>0</v>
      </c>
      <c r="AK135" s="17">
        <f>EDATE('Operating costs'!$B$63,E135)</f>
        <v>46298</v>
      </c>
      <c r="AL135" s="1">
        <f>IFERROR(IF(D135="EV",INDEX(Products!$B$7:$B$13,MATCH('Replacement plan'!$B$39,Products!$A$7:$A$13,0)),0),"n.a.")</f>
        <v>0</v>
      </c>
      <c r="AM135" s="1" t="str">
        <f>'Replacement plan'!$K$39</f>
        <v>DC</v>
      </c>
      <c r="AN135" s="1" t="str">
        <f>'Replacement plan'!$AE$39</f>
        <v>Assumed</v>
      </c>
      <c r="AO135" s="47">
        <f>IF(AND(C135=1,D135="EV",E135&lt;120),(R135-'Operating costs'!$B$41)*S135+W135*'Operating costs'!$B$12,0)</f>
        <v>0</v>
      </c>
      <c r="AP135" s="41">
        <f>IF(AND(C135=1,D135="EV",E135&lt;120),IF('Operating costs'!$B$68="Hong Seh 200k average",AO135*IFERROR(INDEX(Products!$P$7:$P$13,MATCH(AD135,Products!$A$7:$A$13,0)),"n.a."),'Operating costs'!$B$26),0)</f>
        <v>0</v>
      </c>
      <c r="AQ135" s="40" t="str">
        <f>IF(D135="EV",'Operating costs'!$B$68,"Not applicable")</f>
        <v>Not applicable</v>
      </c>
    </row>
    <row r="136" spans="1:43" ht="24" customHeight="1">
      <c r="A136" s="1" t="str">
        <f>'Replacement plan'!A39</f>
        <v>T033</v>
      </c>
      <c r="B136" s="1">
        <v>1</v>
      </c>
      <c r="C136" s="1">
        <f>IF(COUNTIFS('Fleet register'!$A$7:$A$106,$A136)=1,VLOOKUP($A136,'Fleet register'!$A$7:$S$106,2,FALSE),0)</f>
        <v>0</v>
      </c>
      <c r="D136" s="1" t="str">
        <f>IF("New ICE"="EV","EV","ICE")</f>
        <v>ICE</v>
      </c>
      <c r="E136" s="1">
        <f>IF(C136=0,0,0)</f>
        <v>0</v>
      </c>
      <c r="F136" s="16">
        <f>IF(C136=0,0,VLOOKUP($A136,'Fleet register'!$A$7:$S$106,11,FALSE))</f>
        <v>0</v>
      </c>
      <c r="G136" s="16">
        <f>IFERROR(IF(C136=0,0,IF(E136=120,0,IF(D136="ICE",'Replacement plan'!$C$39,IF('Replacement plan'!$D$39="",INDEX(Products!$I$7:$I$13,MATCH('Replacement plan'!$B$39,Products!$A$7:$A$13,0))+'Operating costs'!$B$57,'Replacement plan'!$D$39))*(1+'Operating costs'!$B$50)^(E136/12))),"n.a.")</f>
        <v>0</v>
      </c>
      <c r="H136" s="16">
        <f>IFERROR(IF(C136=0,0,IF(E136=0,F136,VLOOKUP($A136,'Fleet register'!$A$7:$S$106,12,FALSE)+VLOOKUP($A136,'Fleet register'!$A$7:$S$106,13,FALSE)*MAX(0,VLOOKUP($A136,'Fleet register'!$A$7:$S$106,10,FALSE)-E136)/VLOOKUP($A136,'Fleet register'!$A$7:$S$106,14,FALSE))),"n.a.")</f>
        <v>0</v>
      </c>
      <c r="I136" s="16">
        <f>IF(C136=0,0,IF(E136=120,0,IF('Replacement plan'!$AI$39="",'Operating costs'!$B$56,'Replacement plan'!$AI$39)))</f>
        <v>0</v>
      </c>
      <c r="J136" s="16">
        <f>IF(C136=0,0,IF(P136="Complete",((S136*(R136-'Operating costs'!$B$39))+ROUNDUP(S136*(R136-'Operating costs'!$B$39)*IF('Replacement plan'!$AG$39="",'Operating costs'!$B$7,'Replacement plan'!$AG$39)/('Operating costs'!$B$8-'Operating costs'!$B$9*IF('Replacement plan'!$AG$39="",'Operating costs'!$B$7,'Replacement plan'!$AG$39)),0)*'Operating costs'!$B$9)*IF('Replacement plan'!$AG$39="",'Operating costs'!$B$7,'Replacement plan'!$AG$39)*('Energy and charging'!$B$9*'Energy and charging'!$B$7+(1-'Energy and charging'!$B$9)*'Energy and charging'!$B$8)*'Operating costs'!$B$23,"n.a."))</f>
        <v>0</v>
      </c>
      <c r="K136" s="16">
        <f>IF(C136=0,0,IF(P136="Complete",SUM('Operating costs'!$B$24,'Operating costs'!$B$27,'Operating costs'!$B$29,'Operating costs'!$B$31,'Operating costs'!$B$33,'Operating costs'!$B$34,'Operating costs'!$B$37,'Replacement plan'!$W$39)+'Operating costs'!$B$39*'Operating costs'!$B$42+ROUNDUP(S136*(R136-'Operating costs'!$B$39)*IF('Replacement plan'!$AG$39="",'Operating costs'!$B$7,'Replacement plan'!$AG$39)/('Operating costs'!$B$8-'Operating costs'!$B$9*IF('Replacement plan'!$AG$39="",'Operating costs'!$B$7,'Replacement plan'!$AG$39)),0)*('Operating costs'!$B$9/'Operating costs'!$B$11+'Operating costs'!$B$10/60)*'Operating costs'!$B$19*'Operating costs'!$B$21,"n.a."))</f>
        <v>0</v>
      </c>
      <c r="L136" s="16">
        <f>IF(C136=0,0,IF(P136="Complete",IF(D136="EV",X136*((1-T136)*'Energy and charging'!$B$10+T136*'Energy and charging'!$B$11)*'Operating costs'!$B$22,AA136*('Energy and charging'!$B$9*'Energy and charging'!$B$7+(1-'Energy and charging'!$B$9)*'Energy and charging'!$B$8)*'Operating costs'!$B$23),"n.a."))</f>
        <v>0</v>
      </c>
      <c r="M136" s="37">
        <f>IF(C136=0,0,IF(P136="Complete",IF(D136="ICE",SUM('Operating costs'!$B$25,'Operating costs'!$B$27,'Operating costs'!$B$29,'Operating costs'!$B$31,'Operating costs'!$B$33,'Operating costs'!$B$35,'Operating costs'!$B$37,'Replacement plan'!$X$39)+'Operating costs'!$B$40*'Operating costs'!$B$42+ROUNDUP(S136*(R136-'Operating costs'!$B$40)*IF('Replacement plan'!$AH$39="",'Operating costs'!$B$7,'Replacement plan'!$AH$39)/('Operating costs'!$B$8-'Operating costs'!$B$9*IF('Replacement plan'!$AH$39="",'Operating costs'!$B$7,'Replacement plan'!$AH$39)),0)*('Operating costs'!$B$9/'Operating costs'!$B$11+'Operating costs'!$B$10/60)*'Operating costs'!$B$19*'Operating costs'!$B$21,SUM(AP136,'Operating costs'!$B$28,'Operating costs'!$B$30,'Operating costs'!$B$32,'Operating costs'!$B$33,'Operating costs'!$B$36,'Operating costs'!$B$38,'Replacement plan'!$Y$39)+'Operating costs'!$B$41*'Operating costs'!$B$43+W136*'Operating costs'!$B$15+(T136*X136/'Replacement plan'!$L$39+W136*('Operating costs'!$B$12/'Operating costs'!$B$11+('Operating costs'!$B$13+'Operating costs'!$B$14)/60)+(R136-'Operating costs'!$B$41)*(IF(T136&lt;1,'Operating costs'!$B$16,0)+'Operating costs'!$B$17)/60)*'Operating costs'!$B$19*'Operating costs'!$B$20),"n.a."))</f>
        <v>0</v>
      </c>
      <c r="N136" s="16">
        <f>IF(AND(C136=1,D136="EV",E136&lt;120,E136+'Replacement plan'!$AA$39&lt;=120),'Replacement plan'!$Z$39,0)</f>
        <v>0</v>
      </c>
      <c r="O136" s="1">
        <f>E136+'Replacement plan'!$AA$39</f>
        <v>0</v>
      </c>
      <c r="P136" s="35" t="str">
        <f>IFERROR(IF(C136=0,"Excluded",IF(OR(COUNTIFS('Fleet register'!$A$7:$A$106,A136)&lt;&gt;1,COUNTIFS('Replacement plan'!$A$7:$A$106,A136)&lt;&gt;1),"Duplicate/missing ID",IF(NOT(AND(ISNUMBER(VLOOKUP($A136,'Fleet register'!$A$7:$S$106,5,FALSE)),ISNUMBER(VLOOKUP($A136,'Fleet register'!$A$7:$S$106,6,FALSE)),ISNUMBER(VLOOKUP($A136,'Fleet register'!$A$7:$S$106,10,FALSE)),ISNUMBER(VLOOKUP($A136,'Fleet register'!$A$7:$S$106,11,FALSE)),ISNUMBER(VLOOKUP($A136,'Fleet register'!$A$7:$S$106,12,FALSE)),ISNUMBER(VLOOKUP($A136,'Fleet register'!$A$7:$S$106,13,FALSE)),ISNUMBER(VLOOKUP($A136,'Fleet register'!$A$7:$S$106,14,FALSE)),VLOOKUP($A136,'Fleet register'!$A$7:$S$106,14,FALSE)&gt;0,ISNUMBER('Replacement plan'!$C$39),OR(E136=120,OR(ISNUMBER('Replacement plan'!$AI$39),AND('Replacement plan'!$AI$39="",ISNUMBER('Operating costs'!$B$56)))),ISNUMBER(E136))),"Missing vehicle input",IF(OR(E136&lt;0,E136&gt;VLOOKUP($A136,'Fleet register'!$A$7:$S$106,10,FALSE),E136&gt;120,E136&lt;&gt;INT(E136),VLOOKUP($A136,'Fleet register'!$A$7:$S$106,6,FALSE)&lt;=0,VLOOKUP($A136,'Fleet register'!$A$7:$S$106,6,FALSE)&gt;366,VLOOKUP($A136,'Fleet register'!$A$7:$S$106,5,FALSE)&lt;0,VLOOKUP($A136,'Fleet register'!$A$7:$S$106,11,FALSE)&lt;0,I136&lt;0,'Operating costs'!$B$8&lt;='Operating costs'!$B$7*'Operating costs'!$B$9,'Operating costs'!$B$11&lt;=0,'Operating costs'!$B$39&gt;R136,'Operating costs'!$B$40&gt;R136,'Operating costs'!$B$41&gt;R136,NOT(OR("New ICE"="Keep ICE","New ICE"="New ICE","New ICE"="EV"))),"Invalid vehicle input",IF(AND(D136="EV",E136&lt;120,OR(NOT(ISNUMBER(U136)),NOT(ISNUMBER(V136)),V136&lt;=0,T136&lt;0,T136&gt;1,'Replacement plan'!$L$39&lt;=0,'Operating costs'!$B$44&lt;0,'Operating costs'!$B$44&gt;=1,'Operating costs'!$B$47&lt;=0,'Operating costs'!$B$47&gt;1,V136*'Operating costs'!$B$47/(1-'Operating costs'!$B$44)&lt;=T136*'Operating costs'!$B$12*U136,AND('Replacement plan'!$Z$39&gt;0,OR('Replacement plan'!$AB$39&lt;&gt;"Yes",'Operating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charging'!$B$8&gt;=0))),ISNUMBER(VLOOKUP($A136,'Fleet register'!$A$7:$S$106,15,FALSE)),ISNUMBER(VLOOKUP($A136,'Fleet register'!$A$7:$S$106,16,FALSE)),ISNUMBER('Replacement plan'!$W$39),ISNUMBER('Replacement plan'!$X$39),OR(E136=120,AND(ISNUMBER(G136),G136&gt;=0)),ISNUMBER(H136),H136&gt;=0,OR(D136&lt;&gt;"EV",E136=120,AND(ISNUMBER('Operating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average",ISNUMBER(IFERROR(INDEX(Products!$P$7:$P$13,MATCH(AD136,Products!$A$7:$A$13,0)),"")))),ISNUMBER('Operating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plan'!$Y$39),ISNUMBER('Replacement plan'!$Z$39),'Replacement plan'!$Z$39&gt;=0,ISNUMBER('Replacement plan'!$AA$39),'Replacement plan'!$AA$39&gt;=0,'Replacement plan'!$AA$39=INT('Replacement plan'!$AA$39),ISNUMBER('Replacement plan'!$L$39))),'Operating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plan'!$AG$39="",'Operating costs'!$B$7,'Replacement plan'!$AG$39)),IF('Replacement plan'!$AG$39="",'Operating costs'!$B$7,'Replacement plan'!$AG$39)&gt;=0,ISNUMBER(IF('Replacement plan'!$AH$39="",'Operating costs'!$B$7,'Replacement plan'!$AH$39)),IF('Replacement plan'!$AH$39="",'Operating costs'!$B$7,'Replacement plan'!$AH$39)&gt;=0,'Operating costs'!$B$8&gt;MAX(IF('Replacement plan'!$AG$39="",'Operating costs'!$B$7,'Replacement plan'!$AG$39),IF('Replacement plan'!$AH$39="",'Operating costs'!$B$7,'Replacement plan'!$AH$39))*'Operating costs'!$B$9),IF(AND(VLOOKUP($A136,'Fleet register'!$A$7:$S$106,10,FALSE)&gt;=0,VLOOKUP($A136,'Fleet register'!$A$7:$S$106,10,FALSE)&lt;=120,VLOOKUP($A136,'Fleet register'!$A$7:$S$106,10,FALSE)=INT(VLOOKUP($A136,'Fleet register'!$A$7:$S$106,10,FALSE)),VLOOKUP($A136,'Fleet register'!$A$7:$S$106,15,FALSE)&gt;=0,VLOOKUP($A136,'Fleet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costs'!$B$67)&gt;=0,OR(D136&lt;&gt;"EV",E136=120,AND(MIN('Operating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36" s="1" t="str">
        <f>IF(C136=0,"Excluded",IF(P136&lt;&gt;"Complete",P136,IF(OR('Replacement plan'!$AD$39&lt;120-E136,AND(D136="EV",E136&lt;120,OR('Replacement plan'!$AC$39&lt;120-E136,'Replacement plan'!$I$39="No",AND(ISNUMBER(AF136),AE136&gt;AF136),AI136&gt;V136*(1-'Operating costs'!$B$46)^MAX(0,AB136-1)*(1-'Operating costs'!$B$45),AC136&gt;'Operating costs'!$B$18,AND(T136&lt;1,OR(AG136&lt;=0,AND(ISNUMBER(AH136),AG136&gt;AH136))),'Replacement plan'!$L$39&gt;INDEX(Products!$H$7:$H$13,MATCH('Replacement plan'!$B$39,Products!$A$7:$A$13,0))))),"Fails entered limits",IF(AND(D136="EV",E136&lt;120,OR(NOT(ISNUMBER(VLOOKUP($A136,'Fleet register'!$A$7:$S$106,7,FALSE))),NOT(ISNUMBER(VLOOKUP($A136,'Fleet register'!$A$7:$S$106,8,FALSE))),NOT(ISNUMBER(AF136)),'Replacement plan'!$I$39&lt;&gt;"Yes",NOT(ISNUMBER(AH136)),'Operating costs'!$B$59&lt;&gt;"Yes",'Operating costs'!$B$58&lt;&gt;"Yes")),"Unverified","Within entered limits"))))</f>
        <v>Excluded</v>
      </c>
      <c r="R136" s="1">
        <f>IF(C136=0,0,VLOOKUP($A136,'Fleet register'!$A$7:$S$106,6,FALSE))</f>
        <v>0</v>
      </c>
      <c r="S136" s="1">
        <f>IF(C136=0,0,VLOOKUP($A136,'Fleet register'!$A$7:$S$106,5,FALSE))</f>
        <v>0</v>
      </c>
      <c r="T136" s="1">
        <f>IF(D136="EV",'Energy and charging'!$B$12,0)</f>
        <v>0</v>
      </c>
      <c r="U136" s="1">
        <f>IFERROR(IF(C136=0,0,IF(D136="EV",IF('Replacement plan'!$F$39="",INDEX(Products!$E$7:$E$13,MATCH('Replacement plan'!$B$39,Products!$A$7:$A$13,0)),'Replacement plan'!$F$39)/IF('Replacement plan'!$G$39="Battery",1-'Operating costs'!$B$44,1),0)),"n.a.")</f>
        <v>0</v>
      </c>
      <c r="V136" s="1">
        <f>IFERROR(IF(C136=0,0,IF(D136="EV",IF('Replacement plan'!$E$39="",INDEX(Products!$D$7:$D$13,MATCH('Replacement plan'!$B$39,Products!$A$7:$A$13,0)),'Replacement plan'!$E$39),0)),"n.a.")</f>
        <v>0</v>
      </c>
      <c r="W136" s="1">
        <f>IF(C136=0,0,IF(AND(P136="Complete",D136="EV",E136&lt;120),IF(T136=0,0,ROUNDUP(T136*(R136-'Operating costs'!$B$41)*(S136*U136+'Operating costs'!$B$48/(1-'Operating costs'!$B$44))/(V136*'Operating costs'!$B$47/(1-'Operating costs'!$B$44)-T136*'Operating costs'!$B$12*U136),0)),0))</f>
        <v>0</v>
      </c>
      <c r="X136" s="1">
        <f>IF(C136=0,0,IF(AND(P136="Complete",D136="EV",E136&lt;120),(R136-'Operating costs'!$B$41)*(S136*U136+'Operating costs'!$B$48/(1-'Operating costs'!$B$44))+W136*'Operating costs'!$B$12*U136,0))</f>
        <v>0</v>
      </c>
      <c r="Y136" s="1">
        <f>IF(AND(C136=1,D136="EV",E136&lt;120),AI136/(1-'Operating costs'!$B$44)*(1-T136),0)</f>
        <v>0</v>
      </c>
      <c r="Z136" s="1">
        <f t="shared" si="4"/>
        <v>0</v>
      </c>
      <c r="AA136" s="1">
        <f>IF(C136=0,0,IF(P136="Complete",((S136*(R136-'Operating costs'!$B$40))+ROUNDUP(S136*(R136-'Operating costs'!$B$40)*IF('Replacement plan'!$AH$39="",'Operating costs'!$B$7,'Replacement plan'!$AH$39)/('Operating costs'!$B$8-'Operating costs'!$B$9*IF('Replacement plan'!$AH$39="",'Operating costs'!$B$7,'Replacement plan'!$AH$39)),0)*'Operating costs'!$B$9)*IF('Replacement plan'!$AH$39="",'Operating costs'!$B$7,'Replacement plan'!$AH$39),"n.a."))</f>
        <v>0</v>
      </c>
      <c r="AB136" s="1">
        <f t="shared" si="5"/>
        <v>0</v>
      </c>
      <c r="AC136" s="1">
        <f>IF(AND(C136=1,D136="EV",E136&lt;120,T136&gt;0),'Operating costs'!$B$12/'Operating costs'!$B$11*60+'Operating costs'!$B$13+'Operating costs'!$B$14+V136*'Operating costs'!$B$47/(1-'Operating costs'!$B$44)/'Replacement plan'!$L$39*60,0)</f>
        <v>0</v>
      </c>
      <c r="AD136" s="1" t="str">
        <f>'Replacement plan'!$B$39</f>
        <v>ChengLong L2EV</v>
      </c>
      <c r="AE136" s="1">
        <f>IF(C136=0,0,VLOOKUP($A136,'Fleet register'!$A$7:$S$106,8,FALSE))</f>
        <v>0</v>
      </c>
      <c r="AF136" s="1" t="str">
        <f>IF('Replacement plan'!$H$39="","n.a.",'Replacement plan'!$H$39)</f>
        <v>n.a.</v>
      </c>
      <c r="AG136" s="1">
        <f>'Replacement plan'!$J$39</f>
        <v>22</v>
      </c>
      <c r="AH136" s="1">
        <f>IFERROR(IF(D136="EV",IF('Replacement plan'!$K$39="AC",IF(ISNUMBER(INDEX(Products!$G$7:$G$13,MATCH('Replacement plan'!$B$39,Products!$A$7:$A$13,0))),INDEX(Products!$G$7:$G$13,MATCH('Replacement plan'!$B$39,Products!$A$7:$A$13,0)),"n.a."),IF(ISNUMBER(INDEX(Products!$H$7:$H$13,MATCH('Replacement plan'!$B$39,Products!$A$7:$A$13,0))),INDEX(Products!$H$7:$H$13,MATCH('Replacement plan'!$B$39,Products!$A$7:$A$13,0)),"n.a.")),0),"n.a.")</f>
        <v>0</v>
      </c>
      <c r="AI136" s="1">
        <f>IF(AND(C136=1,D136="EV",E136&lt;120),(VLOOKUP($A136,'Fleet register'!$A$7:$S$106,7,FALSE)+IF(T136&gt;0,'Operating costs'!$B$12,0))*U136*(1-'Operating costs'!$B$44)+'Operating costs'!$B$49,0)</f>
        <v>0</v>
      </c>
      <c r="AJ136" s="1">
        <f>IF(D136="EV",'Energy and charging'!$B$50,0)</f>
        <v>0</v>
      </c>
      <c r="AK136" s="17">
        <f>EDATE('Operating costs'!$B$63,E136)</f>
        <v>46298</v>
      </c>
      <c r="AL136" s="1">
        <f>IFERROR(IF(D136="EV",INDEX(Products!$B$7:$B$13,MATCH('Replacement plan'!$B$39,Products!$A$7:$A$13,0)),0),"n.a.")</f>
        <v>0</v>
      </c>
      <c r="AM136" s="1" t="str">
        <f>'Replacement plan'!$K$39</f>
        <v>DC</v>
      </c>
      <c r="AN136" s="1" t="str">
        <f>'Replacement plan'!$AE$39</f>
        <v>Assumed</v>
      </c>
      <c r="AO136" s="47">
        <f>IF(AND(C136=1,D136="EV",E136&lt;120),(R136-'Operating costs'!$B$41)*S136+W136*'Operating costs'!$B$12,0)</f>
        <v>0</v>
      </c>
      <c r="AP136" s="41">
        <f>IF(AND(C136=1,D136="EV",E136&lt;120),IF('Operating costs'!$B$68="Hong Seh 200k average",AO136*IFERROR(INDEX(Products!$P$7:$P$13,MATCH(AD136,Products!$A$7:$A$13,0)),"n.a."),'Operating costs'!$B$26),0)</f>
        <v>0</v>
      </c>
      <c r="AQ136" s="40" t="str">
        <f>IF(D136="EV",'Operating costs'!$B$68,"Not applicable")</f>
        <v>Not applicable</v>
      </c>
    </row>
    <row r="137" spans="1:43" ht="24" customHeight="1">
      <c r="A137" s="1" t="str">
        <f>'Replacement plan'!A39</f>
        <v>T033</v>
      </c>
      <c r="B137" s="1">
        <v>2</v>
      </c>
      <c r="C137" s="1">
        <f>IF(COUNTIFS('Fleet register'!$A$7:$A$106,$A137)=1,VLOOKUP($A137,'Fleet register'!$A$7:$S$106,2,FALSE),0)</f>
        <v>0</v>
      </c>
      <c r="D137" s="1" t="str">
        <f>IF('Replacement plan'!$O$39="EV","EV","ICE")</f>
        <v>ICE</v>
      </c>
      <c r="E137" s="1">
        <f>IF(C137=0,0,IF('Replacement plan'!$P$39="",IF('Replacement plan'!$O$39="Keep ICE",IF('Replacement plan'!$M$39="",VLOOKUP($A137,'Fleet register'!$A$7:$S$106,10,FALSE),'Replacement plan'!$M$39),0),'Replacement plan'!$P$39))</f>
        <v>0</v>
      </c>
      <c r="F137" s="16">
        <f>IF(C137=0,0,VLOOKUP($A137,'Fleet register'!$A$7:$S$106,11,FALSE))</f>
        <v>0</v>
      </c>
      <c r="G137" s="16">
        <f>IFERROR(IF(C137=0,0,IF(E137=120,0,IF(D137="ICE",'Replacement plan'!$C$39,IF('Replacement plan'!$D$39="",INDEX(Products!$I$7:$I$13,MATCH('Replacement plan'!$B$39,Products!$A$7:$A$13,0))+'Operating costs'!$B$57,'Replacement plan'!$D$39))*(1+'Operating costs'!$B$50)^(E137/12))),"n.a.")</f>
        <v>0</v>
      </c>
      <c r="H137" s="16">
        <f>IFERROR(IF(C137=0,0,IF('Replacement plan'!$U$39&lt;&gt;"",'Replacement plan'!$U$39,IF(E137=0,F137,VLOOKUP($A137,'Fleet register'!$A$7:$S$106,12,FALSE)+VLOOKUP($A137,'Fleet register'!$A$7:$S$106,13,FALSE)*MAX(0,VLOOKUP($A137,'Fleet register'!$A$7:$S$106,10,FALSE)-E137)/VLOOKUP($A137,'Fleet register'!$A$7:$S$106,14,FALSE)))),"n.a.")</f>
        <v>0</v>
      </c>
      <c r="I137" s="16">
        <f>IF(C137=0,0,IF(E137=120,0,'Replacement plan'!$Q$39))</f>
        <v>0</v>
      </c>
      <c r="J137" s="16">
        <f>IF(C137=0,0,IF(P137="Complete",((S137*(R137-'Operating costs'!$B$39))+ROUNDUP(S137*(R137-'Operating costs'!$B$39)*IF('Replacement plan'!$AG$39="",'Operating costs'!$B$7,'Replacement plan'!$AG$39)/('Operating costs'!$B$8-'Operating costs'!$B$9*IF('Replacement plan'!$AG$39="",'Operating costs'!$B$7,'Replacement plan'!$AG$39)),0)*'Operating costs'!$B$9)*IF('Replacement plan'!$AG$39="",'Operating costs'!$B$7,'Replacement plan'!$AG$39)*('Energy and charging'!$B$9*'Energy and charging'!$B$7+(1-'Energy and charging'!$B$9)*'Energy and charging'!$B$8)*'Operating costs'!$B$23,"n.a."))</f>
        <v>0</v>
      </c>
      <c r="K137" s="16">
        <f>IF(C137=0,0,IF(P137="Complete",SUM('Operating costs'!$B$24,'Operating costs'!$B$27,'Operating costs'!$B$29,'Operating costs'!$B$31,'Operating costs'!$B$33,'Operating costs'!$B$34,'Operating costs'!$B$37,'Replacement plan'!$W$39)+'Operating costs'!$B$39*'Operating costs'!$B$42+ROUNDUP(S137*(R137-'Operating costs'!$B$39)*IF('Replacement plan'!$AG$39="",'Operating costs'!$B$7,'Replacement plan'!$AG$39)/('Operating costs'!$B$8-'Operating costs'!$B$9*IF('Replacement plan'!$AG$39="",'Operating costs'!$B$7,'Replacement plan'!$AG$39)),0)*('Operating costs'!$B$9/'Operating costs'!$B$11+'Operating costs'!$B$10/60)*'Operating costs'!$B$19*'Operating costs'!$B$21,"n.a."))</f>
        <v>0</v>
      </c>
      <c r="L137" s="16">
        <f>IF(C137=0,0,IF(P137="Complete",IF(D137="EV",X137*((1-T137)*'Energy and charging'!$B$10+T137*'Energy and charging'!$B$11)*'Operating costs'!$B$22,AA137*('Energy and charging'!$B$9*'Energy and charging'!$B$7+(1-'Energy and charging'!$B$9)*'Energy and charging'!$B$8)*'Operating costs'!$B$23),"n.a."))</f>
        <v>0</v>
      </c>
      <c r="M137" s="37">
        <f>IF(C137=0,0,IF(P137="Complete",IF(D137="ICE",SUM('Operating costs'!$B$25,'Operating costs'!$B$27,'Operating costs'!$B$29,'Operating costs'!$B$31,'Operating costs'!$B$33,'Operating costs'!$B$35,'Operating costs'!$B$37,'Replacement plan'!$X$39)+'Operating costs'!$B$40*'Operating costs'!$B$42+ROUNDUP(S137*(R137-'Operating costs'!$B$40)*IF('Replacement plan'!$AH$39="",'Operating costs'!$B$7,'Replacement plan'!$AH$39)/('Operating costs'!$B$8-'Operating costs'!$B$9*IF('Replacement plan'!$AH$39="",'Operating costs'!$B$7,'Replacement plan'!$AH$39)),0)*('Operating costs'!$B$9/'Operating costs'!$B$11+'Operating costs'!$B$10/60)*'Operating costs'!$B$19*'Operating costs'!$B$21,SUM(AP137,'Operating costs'!$B$28,'Operating costs'!$B$30,'Operating costs'!$B$32,'Operating costs'!$B$33,'Operating costs'!$B$36,'Operating costs'!$B$38,'Replacement plan'!$Y$39)+'Operating costs'!$B$41*'Operating costs'!$B$43+W137*'Operating costs'!$B$15+(T137*X137/'Replacement plan'!$L$39+W137*('Operating costs'!$B$12/'Operating costs'!$B$11+('Operating costs'!$B$13+'Operating costs'!$B$14)/60)+(R137-'Operating costs'!$B$41)*(IF(T137&lt;1,'Operating costs'!$B$16,0)+'Operating costs'!$B$17)/60)*'Operating costs'!$B$19*'Operating costs'!$B$20),"n.a."))</f>
        <v>0</v>
      </c>
      <c r="N137" s="16">
        <f>IF(AND(C137=1,D137="EV",E137&lt;120,E137+'Replacement plan'!$AA$39&lt;=120),'Replacement plan'!$Z$39,0)</f>
        <v>0</v>
      </c>
      <c r="O137" s="1">
        <f>E137+'Replacement plan'!$AA$39</f>
        <v>0</v>
      </c>
      <c r="P137" s="35" t="str">
        <f>IFERROR(IF(C137=0,"Excluded",IF(OR(COUNTIFS('Fleet register'!$A$7:$A$106,A137)&lt;&gt;1,COUNTIFS('Replacement plan'!$A$7:$A$106,A137)&lt;&gt;1),"Duplicate/missing ID",IF(NOT(AND(ISNUMBER(VLOOKUP($A137,'Fleet register'!$A$7:$S$106,5,FALSE)),ISNUMBER(VLOOKUP($A137,'Fleet register'!$A$7:$S$106,6,FALSE)),ISNUMBER(VLOOKUP($A137,'Fleet register'!$A$7:$S$106,10,FALSE)),ISNUMBER(VLOOKUP($A137,'Fleet register'!$A$7:$S$106,11,FALSE)),ISNUMBER(VLOOKUP($A137,'Fleet register'!$A$7:$S$106,12,FALSE)),ISNUMBER(VLOOKUP($A137,'Fleet register'!$A$7:$S$106,13,FALSE)),ISNUMBER(VLOOKUP($A137,'Fleet register'!$A$7:$S$106,14,FALSE)),VLOOKUP($A137,'Fleet register'!$A$7:$S$106,14,FALSE)&gt;0,ISNUMBER('Replacement plan'!$C$39),OR(E137=120,ISNUMBER('Replacement plan'!$Q$39)),ISNUMBER(E137))),"Missing vehicle input",IF(OR(E137&lt;0,E137&gt;VLOOKUP($A137,'Fleet register'!$A$7:$S$106,10,FALSE),E137&gt;120,E137&lt;&gt;INT(E137),VLOOKUP($A137,'Fleet register'!$A$7:$S$106,6,FALSE)&lt;=0,VLOOKUP($A137,'Fleet register'!$A$7:$S$106,6,FALSE)&gt;366,VLOOKUP($A137,'Fleet register'!$A$7:$S$106,5,FALSE)&lt;0,VLOOKUP($A137,'Fleet register'!$A$7:$S$106,11,FALSE)&lt;0,I137&lt;0,'Operating costs'!$B$8&lt;='Operating costs'!$B$7*'Operating costs'!$B$9,'Operating costs'!$B$11&lt;=0,'Operating costs'!$B$39&gt;R137,'Operating costs'!$B$40&gt;R137,'Operating costs'!$B$41&gt;R137,NOT(OR('Replacement plan'!$O$39="Keep ICE",'Replacement plan'!$O$39="New ICE",'Replacement plan'!$O$39="EV"))),"Invalid vehicle input",IF(AND(D137="EV",E137&lt;120,OR(NOT(ISNUMBER(U137)),NOT(ISNUMBER(V137)),V137&lt;=0,T137&lt;0,T137&gt;1,'Replacement plan'!$L$39&lt;=0,'Operating costs'!$B$44&lt;0,'Operating costs'!$B$44&gt;=1,'Operating costs'!$B$47&lt;=0,'Operating costs'!$B$47&gt;1,V137*'Operating costs'!$B$47/(1-'Operating costs'!$B$44)&lt;=T137*'Operating costs'!$B$12*U137,AND('Replacement plan'!$Z$39&gt;0,OR('Replacement plan'!$AB$39&lt;&gt;"Yes",'Operating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charging'!$B$8&gt;=0))),ISNUMBER(VLOOKUP($A137,'Fleet register'!$A$7:$S$106,15,FALSE)),ISNUMBER(VLOOKUP($A137,'Fleet register'!$A$7:$S$106,16,FALSE)),ISNUMBER('Replacement plan'!$W$39),ISNUMBER('Replacement plan'!$X$39),OR(E137=120,AND(ISNUMBER(G137),G137&gt;=0)),ISNUMBER(H137),H137&gt;=0,OR(D137&lt;&gt;"EV",E137=120,AND(ISNUMBER('Operating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average",ISNUMBER(IFERROR(INDEX(Products!$P$7:$P$13,MATCH(AD137,Products!$A$7:$A$13,0)),"")))),ISNUMBER('Operating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plan'!$Y$39),ISNUMBER('Replacement plan'!$Z$39),'Replacement plan'!$Z$39&gt;=0,ISNUMBER('Replacement plan'!$AA$39),'Replacement plan'!$AA$39&gt;=0,'Replacement plan'!$AA$39=INT('Replacement plan'!$AA$39),ISNUMBER('Replacement plan'!$L$39))),'Operating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plan'!$AG$39="",'Operating costs'!$B$7,'Replacement plan'!$AG$39)),IF('Replacement plan'!$AG$39="",'Operating costs'!$B$7,'Replacement plan'!$AG$39)&gt;=0,ISNUMBER(IF('Replacement plan'!$AH$39="",'Operating costs'!$B$7,'Replacement plan'!$AH$39)),IF('Replacement plan'!$AH$39="",'Operating costs'!$B$7,'Replacement plan'!$AH$39)&gt;=0,'Operating costs'!$B$8&gt;MAX(IF('Replacement plan'!$AG$39="",'Operating costs'!$B$7,'Replacement plan'!$AG$39),IF('Replacement plan'!$AH$39="",'Operating costs'!$B$7,'Replacement plan'!$AH$39))*'Operating costs'!$B$9),IF(AND(VLOOKUP($A137,'Fleet register'!$A$7:$S$106,10,FALSE)&gt;=0,VLOOKUP($A137,'Fleet register'!$A$7:$S$106,10,FALSE)&lt;=120,VLOOKUP($A137,'Fleet register'!$A$7:$S$106,10,FALSE)=INT(VLOOKUP($A137,'Fleet register'!$A$7:$S$106,10,FALSE)),VLOOKUP($A137,'Fleet register'!$A$7:$S$106,15,FALSE)&gt;=0,VLOOKUP($A137,'Fleet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costs'!$B$67)&gt;=0,OR(D137&lt;&gt;"EV",E137=120,AND(MIN('Operating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37" s="1" t="str">
        <f>IF(C137=0,"Excluded",IF(P137&lt;&gt;"Complete",P137,IF(OR('Replacement plan'!$AD$39&lt;120-E137,AND(D137="EV",E137&lt;120,OR('Replacement plan'!$AC$39&lt;120-E137,'Replacement plan'!$I$39="No",AND(ISNUMBER(AF137),AE137&gt;AF137),AI137&gt;V137*(1-'Operating costs'!$B$46)^MAX(0,AB137-1)*(1-'Operating costs'!$B$45),AC137&gt;'Operating costs'!$B$18,AND(T137&lt;1,OR(AG137&lt;=0,AND(ISNUMBER(AH137),AG137&gt;AH137))),'Replacement plan'!$L$39&gt;INDEX(Products!$H$7:$H$13,MATCH('Replacement plan'!$B$39,Products!$A$7:$A$13,0))))),"Fails entered limits",IF(AND(D137="EV",E137&lt;120,OR(NOT(ISNUMBER(VLOOKUP($A137,'Fleet register'!$A$7:$S$106,7,FALSE))),NOT(ISNUMBER(VLOOKUP($A137,'Fleet register'!$A$7:$S$106,8,FALSE))),NOT(ISNUMBER(AF137)),'Replacement plan'!$I$39&lt;&gt;"Yes",NOT(ISNUMBER(AH137)),'Operating costs'!$B$59&lt;&gt;"Yes",'Operating costs'!$B$58&lt;&gt;"Yes")),"Unverified","Within entered limits"))))</f>
        <v>Excluded</v>
      </c>
      <c r="R137" s="1">
        <f>IF(C137=0,0,VLOOKUP($A137,'Fleet register'!$A$7:$S$106,6,FALSE))</f>
        <v>0</v>
      </c>
      <c r="S137" s="1">
        <f>IF(C137=0,0,VLOOKUP($A137,'Fleet register'!$A$7:$S$106,5,FALSE))</f>
        <v>0</v>
      </c>
      <c r="T137" s="1">
        <f>IF(D137="EV",'Energy and charging'!$B$12,0)</f>
        <v>0</v>
      </c>
      <c r="U137" s="1">
        <f>IFERROR(IF(C137=0,0,IF(D137="EV",IF('Replacement plan'!$F$39="",INDEX(Products!$E$7:$E$13,MATCH('Replacement plan'!$B$39,Products!$A$7:$A$13,0)),'Replacement plan'!$F$39)/IF('Replacement plan'!$G$39="Battery",1-'Operating costs'!$B$44,1),0)),"n.a.")</f>
        <v>0</v>
      </c>
      <c r="V137" s="1">
        <f>IFERROR(IF(C137=0,0,IF(D137="EV",IF('Replacement plan'!$E$39="",INDEX(Products!$D$7:$D$13,MATCH('Replacement plan'!$B$39,Products!$A$7:$A$13,0)),'Replacement plan'!$E$39),0)),"n.a.")</f>
        <v>0</v>
      </c>
      <c r="W137" s="1">
        <f>IF(C137=0,0,IF(AND(P137="Complete",D137="EV",E137&lt;120),IF(T137=0,0,ROUNDUP(T137*(R137-'Operating costs'!$B$41)*(S137*U137+'Operating costs'!$B$48/(1-'Operating costs'!$B$44))/(V137*'Operating costs'!$B$47/(1-'Operating costs'!$B$44)-T137*'Operating costs'!$B$12*U137),0)),0))</f>
        <v>0</v>
      </c>
      <c r="X137" s="1">
        <f>IF(C137=0,0,IF(AND(P137="Complete",D137="EV",E137&lt;120),(R137-'Operating costs'!$B$41)*(S137*U137+'Operating costs'!$B$48/(1-'Operating costs'!$B$44))+W137*'Operating costs'!$B$12*U137,0))</f>
        <v>0</v>
      </c>
      <c r="Y137" s="1">
        <f>IF(AND(C137=1,D137="EV",E137&lt;120),AI137/(1-'Operating costs'!$B$44)*(1-T137),0)</f>
        <v>0</v>
      </c>
      <c r="Z137" s="1">
        <f t="shared" si="4"/>
        <v>0</v>
      </c>
      <c r="AA137" s="1">
        <f>IF(C137=0,0,IF(P137="Complete",((S137*(R137-'Operating costs'!$B$40))+ROUNDUP(S137*(R137-'Operating costs'!$B$40)*IF('Replacement plan'!$AH$39="",'Operating costs'!$B$7,'Replacement plan'!$AH$39)/('Operating costs'!$B$8-'Operating costs'!$B$9*IF('Replacement plan'!$AH$39="",'Operating costs'!$B$7,'Replacement plan'!$AH$39)),0)*'Operating costs'!$B$9)*IF('Replacement plan'!$AH$39="",'Operating costs'!$B$7,'Replacement plan'!$AH$39),"n.a."))</f>
        <v>0</v>
      </c>
      <c r="AB137" s="1">
        <f t="shared" si="5"/>
        <v>0</v>
      </c>
      <c r="AC137" s="1">
        <f>IF(AND(C137=1,D137="EV",E137&lt;120,T137&gt;0),'Operating costs'!$B$12/'Operating costs'!$B$11*60+'Operating costs'!$B$13+'Operating costs'!$B$14+V137*'Operating costs'!$B$47/(1-'Operating costs'!$B$44)/'Replacement plan'!$L$39*60,0)</f>
        <v>0</v>
      </c>
      <c r="AD137" s="1" t="str">
        <f>'Replacement plan'!$B$39</f>
        <v>ChengLong L2EV</v>
      </c>
      <c r="AE137" s="1">
        <f>IF(C137=0,0,VLOOKUP($A137,'Fleet register'!$A$7:$S$106,8,FALSE))</f>
        <v>0</v>
      </c>
      <c r="AF137" s="1" t="str">
        <f>IF('Replacement plan'!$H$39="","n.a.",'Replacement plan'!$H$39)</f>
        <v>n.a.</v>
      </c>
      <c r="AG137" s="1">
        <f>'Replacement plan'!$J$39</f>
        <v>22</v>
      </c>
      <c r="AH137" s="1">
        <f>IFERROR(IF(D137="EV",IF('Replacement plan'!$K$39="AC",IF(ISNUMBER(INDEX(Products!$G$7:$G$13,MATCH('Replacement plan'!$B$39,Products!$A$7:$A$13,0))),INDEX(Products!$G$7:$G$13,MATCH('Replacement plan'!$B$39,Products!$A$7:$A$13,0)),"n.a."),IF(ISNUMBER(INDEX(Products!$H$7:$H$13,MATCH('Replacement plan'!$B$39,Products!$A$7:$A$13,0))),INDEX(Products!$H$7:$H$13,MATCH('Replacement plan'!$B$39,Products!$A$7:$A$13,0)),"n.a.")),0),"n.a.")</f>
        <v>0</v>
      </c>
      <c r="AI137" s="1">
        <f>IF(AND(C137=1,D137="EV",E137&lt;120),(VLOOKUP($A137,'Fleet register'!$A$7:$S$106,7,FALSE)+IF(T137&gt;0,'Operating costs'!$B$12,0))*U137*(1-'Operating costs'!$B$44)+'Operating costs'!$B$49,0)</f>
        <v>0</v>
      </c>
      <c r="AJ137" s="1">
        <f>IF(D137="EV",'Energy and charging'!$B$50,0)</f>
        <v>0</v>
      </c>
      <c r="AK137" s="17">
        <f>EDATE('Operating costs'!$B$63,E137)</f>
        <v>46298</v>
      </c>
      <c r="AL137" s="1">
        <f>IFERROR(IF(D137="EV",INDEX(Products!$B$7:$B$13,MATCH('Replacement plan'!$B$39,Products!$A$7:$A$13,0)),0),"n.a.")</f>
        <v>0</v>
      </c>
      <c r="AM137" s="1" t="str">
        <f>'Replacement plan'!$K$39</f>
        <v>DC</v>
      </c>
      <c r="AN137" s="1" t="str">
        <f>'Replacement plan'!$AE$39</f>
        <v>Assumed</v>
      </c>
      <c r="AO137" s="47">
        <f>IF(AND(C137=1,D137="EV",E137&lt;120),(R137-'Operating costs'!$B$41)*S137+W137*'Operating costs'!$B$12,0)</f>
        <v>0</v>
      </c>
      <c r="AP137" s="41">
        <f>IF(AND(C137=1,D137="EV",E137&lt;120),IF('Operating costs'!$B$68="Hong Seh 200k average",AO137*IFERROR(INDEX(Products!$P$7:$P$13,MATCH(AD137,Products!$A$7:$A$13,0)),"n.a."),'Operating costs'!$B$26),0)</f>
        <v>0</v>
      </c>
      <c r="AQ137" s="40" t="str">
        <f>IF(D137="EV",'Operating costs'!$B$68,"Not applicable")</f>
        <v>Not applicable</v>
      </c>
    </row>
    <row r="138" spans="1:43" ht="24" customHeight="1">
      <c r="A138" s="1" t="str">
        <f>'Replacement plan'!A39</f>
        <v>T033</v>
      </c>
      <c r="B138" s="1">
        <v>3</v>
      </c>
      <c r="C138" s="1">
        <f>IF(COUNTIFS('Fleet register'!$A$7:$A$106,$A138)=1,VLOOKUP($A138,'Fleet register'!$A$7:$S$106,2,FALSE),0)</f>
        <v>0</v>
      </c>
      <c r="D138" s="1" t="str">
        <f>IF('Replacement plan'!$R$39="EV","EV","ICE")</f>
        <v>ICE</v>
      </c>
      <c r="E138" s="1">
        <f>IF(C138=0,0,IF('Replacement plan'!$S$39="",IF('Replacement plan'!$R$39="Keep ICE",IF('Replacement plan'!$M$39="",VLOOKUP($A138,'Fleet register'!$A$7:$S$106,10,FALSE),'Replacement plan'!$M$39),0),'Replacement plan'!$S$39))</f>
        <v>0</v>
      </c>
      <c r="F138" s="16">
        <f>IF(C138=0,0,VLOOKUP($A138,'Fleet register'!$A$7:$S$106,11,FALSE))</f>
        <v>0</v>
      </c>
      <c r="G138" s="16">
        <f>IFERROR(IF(C138=0,0,IF(E138=120,0,IF(D138="ICE",'Replacement plan'!$C$39,IF('Replacement plan'!$D$39="",INDEX(Products!$I$7:$I$13,MATCH('Replacement plan'!$B$39,Products!$A$7:$A$13,0))+'Operating costs'!$B$57,'Replacement plan'!$D$39))*(1+'Operating costs'!$B$50)^(E138/12))),"n.a.")</f>
        <v>0</v>
      </c>
      <c r="H138" s="16">
        <f>IFERROR(IF(C138=0,0,IF('Replacement plan'!$V$39&lt;&gt;"",'Replacement plan'!$V$39,IF(E138=0,F138,VLOOKUP($A138,'Fleet register'!$A$7:$S$106,12,FALSE)+VLOOKUP($A138,'Fleet register'!$A$7:$S$106,13,FALSE)*MAX(0,VLOOKUP($A138,'Fleet register'!$A$7:$S$106,10,FALSE)-E138)/VLOOKUP($A138,'Fleet register'!$A$7:$S$106,14,FALSE)))),"n.a.")</f>
        <v>0</v>
      </c>
      <c r="I138" s="16">
        <f>IF(C138=0,0,IF(E138=120,0,'Replacement plan'!$T$39))</f>
        <v>0</v>
      </c>
      <c r="J138" s="16">
        <f>IF(C138=0,0,IF(P138="Complete",((S138*(R138-'Operating costs'!$B$39))+ROUNDUP(S138*(R138-'Operating costs'!$B$39)*IF('Replacement plan'!$AG$39="",'Operating costs'!$B$7,'Replacement plan'!$AG$39)/('Operating costs'!$B$8-'Operating costs'!$B$9*IF('Replacement plan'!$AG$39="",'Operating costs'!$B$7,'Replacement plan'!$AG$39)),0)*'Operating costs'!$B$9)*IF('Replacement plan'!$AG$39="",'Operating costs'!$B$7,'Replacement plan'!$AG$39)*('Energy and charging'!$C$9*'Energy and charging'!$C$7+(1-'Energy and charging'!$C$9)*'Energy and charging'!$C$8)*'Operating costs'!$B$23,"n.a."))</f>
        <v>0</v>
      </c>
      <c r="K138" s="16">
        <f>IF(C138=0,0,IF(P138="Complete",SUM('Operating costs'!$B$24,'Operating costs'!$B$27,'Operating costs'!$B$29,'Operating costs'!$B$31,'Operating costs'!$B$33,'Operating costs'!$B$34,'Operating costs'!$B$37,'Replacement plan'!$W$39)+'Operating costs'!$B$39*'Operating costs'!$B$42+ROUNDUP(S138*(R138-'Operating costs'!$B$39)*IF('Replacement plan'!$AG$39="",'Operating costs'!$B$7,'Replacement plan'!$AG$39)/('Operating costs'!$B$8-'Operating costs'!$B$9*IF('Replacement plan'!$AG$39="",'Operating costs'!$B$7,'Replacement plan'!$AG$39)),0)*('Operating costs'!$B$9/'Operating costs'!$B$11+'Operating costs'!$B$10/60)*'Operating costs'!$B$19*'Operating costs'!$B$21,"n.a."))</f>
        <v>0</v>
      </c>
      <c r="L138" s="16">
        <f>IF(C138=0,0,IF(P138="Complete",IF(D138="EV",X138*((1-T138)*'Energy and charging'!$C$10+T138*'Energy and charging'!$C$11)*'Operating costs'!$B$22,AA138*('Energy and charging'!$C$9*'Energy and charging'!$C$7+(1-'Energy and charging'!$C$9)*'Energy and charging'!$C$8)*'Operating costs'!$B$23),"n.a."))</f>
        <v>0</v>
      </c>
      <c r="M138" s="37">
        <f>IF(C138=0,0,IF(P138="Complete",IF(D138="ICE",SUM('Operating costs'!$B$25,'Operating costs'!$B$27,'Operating costs'!$B$29,'Operating costs'!$B$31,'Operating costs'!$B$33,'Operating costs'!$B$35,'Operating costs'!$B$37,'Replacement plan'!$X$39)+'Operating costs'!$B$40*'Operating costs'!$B$42+ROUNDUP(S138*(R138-'Operating costs'!$B$40)*IF('Replacement plan'!$AH$39="",'Operating costs'!$B$7,'Replacement plan'!$AH$39)/('Operating costs'!$B$8-'Operating costs'!$B$9*IF('Replacement plan'!$AH$39="",'Operating costs'!$B$7,'Replacement plan'!$AH$39)),0)*('Operating costs'!$B$9/'Operating costs'!$B$11+'Operating costs'!$B$10/60)*'Operating costs'!$B$19*'Operating costs'!$B$21,SUM(AP138,'Operating costs'!$B$28,'Operating costs'!$B$30,'Operating costs'!$B$32,'Operating costs'!$B$33,'Operating costs'!$B$36,'Operating costs'!$B$38,'Replacement plan'!$Y$39)+'Operating costs'!$B$41*'Operating costs'!$B$43+W138*'Operating costs'!$B$15+(T138*X138/'Replacement plan'!$L$39+W138*('Operating costs'!$B$12/'Operating costs'!$B$11+('Operating costs'!$B$13+'Operating costs'!$B$14)/60)+(R138-'Operating costs'!$B$41)*(IF(T138&lt;1,'Operating costs'!$B$16,0)+'Operating costs'!$B$17)/60)*'Operating costs'!$B$19*'Operating costs'!$B$20),"n.a."))</f>
        <v>0</v>
      </c>
      <c r="N138" s="16">
        <f>IF(AND(C138=1,D138="EV",E138&lt;120,E138+'Replacement plan'!$AA$39&lt;=120),'Replacement plan'!$Z$39,0)</f>
        <v>0</v>
      </c>
      <c r="O138" s="1">
        <f>E138+'Replacement plan'!$AA$39</f>
        <v>0</v>
      </c>
      <c r="P138" s="35" t="str">
        <f>IFERROR(IF(C138=0,"Excluded",IF(OR(COUNTIFS('Fleet register'!$A$7:$A$106,A138)&lt;&gt;1,COUNTIFS('Replacement plan'!$A$7:$A$106,A138)&lt;&gt;1),"Duplicate/missing ID",IF(NOT(AND(ISNUMBER(VLOOKUP($A138,'Fleet register'!$A$7:$S$106,5,FALSE)),ISNUMBER(VLOOKUP($A138,'Fleet register'!$A$7:$S$106,6,FALSE)),ISNUMBER(VLOOKUP($A138,'Fleet register'!$A$7:$S$106,10,FALSE)),ISNUMBER(VLOOKUP($A138,'Fleet register'!$A$7:$S$106,11,FALSE)),ISNUMBER(VLOOKUP($A138,'Fleet register'!$A$7:$S$106,12,FALSE)),ISNUMBER(VLOOKUP($A138,'Fleet register'!$A$7:$S$106,13,FALSE)),ISNUMBER(VLOOKUP($A138,'Fleet register'!$A$7:$S$106,14,FALSE)),VLOOKUP($A138,'Fleet register'!$A$7:$S$106,14,FALSE)&gt;0,ISNUMBER('Replacement plan'!$C$39),OR(E138=120,ISNUMBER('Replacement plan'!$T$39)),ISNUMBER(E138))),"Missing vehicle input",IF(OR(E138&lt;0,E138&gt;VLOOKUP($A138,'Fleet register'!$A$7:$S$106,10,FALSE),E138&gt;120,E138&lt;&gt;INT(E138),VLOOKUP($A138,'Fleet register'!$A$7:$S$106,6,FALSE)&lt;=0,VLOOKUP($A138,'Fleet register'!$A$7:$S$106,6,FALSE)&gt;366,VLOOKUP($A138,'Fleet register'!$A$7:$S$106,5,FALSE)&lt;0,VLOOKUP($A138,'Fleet register'!$A$7:$S$106,11,FALSE)&lt;0,I138&lt;0,'Operating costs'!$B$8&lt;='Operating costs'!$B$7*'Operating costs'!$B$9,'Operating costs'!$B$11&lt;=0,'Operating costs'!$B$39&gt;R138,'Operating costs'!$B$40&gt;R138,'Operating costs'!$B$41&gt;R138,NOT(OR('Replacement plan'!$R$39="Keep ICE",'Replacement plan'!$R$39="New ICE",'Replacement plan'!$R$39="EV"))),"Invalid vehicle input",IF(AND(D138="EV",E138&lt;120,OR(NOT(ISNUMBER(U138)),NOT(ISNUMBER(V138)),V138&lt;=0,T138&lt;0,T138&gt;1,'Replacement plan'!$L$39&lt;=0,'Operating costs'!$B$44&lt;0,'Operating costs'!$B$44&gt;=1,'Operating costs'!$B$47&lt;=0,'Operating costs'!$B$47&gt;1,V138*'Operating costs'!$B$47/(1-'Operating costs'!$B$44)&lt;=T138*'Operating costs'!$B$12*U138,AND('Replacement plan'!$Z$39&gt;0,OR('Replacement plan'!$AB$39&lt;&gt;"Yes",'Operating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charging'!$C$8&gt;=0))),ISNUMBER(VLOOKUP($A138,'Fleet register'!$A$7:$S$106,15,FALSE)),ISNUMBER(VLOOKUP($A138,'Fleet register'!$A$7:$S$106,16,FALSE)),ISNUMBER('Replacement plan'!$W$39),ISNUMBER('Replacement plan'!$X$39),OR(E138=120,AND(ISNUMBER(G138),G138&gt;=0)),ISNUMBER(H138),H138&gt;=0,OR(D138&lt;&gt;"EV",E138=120,AND(ISNUMBER('Operating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average",ISNUMBER(IFERROR(INDEX(Products!$P$7:$P$13,MATCH(AD138,Products!$A$7:$A$13,0)),"")))),ISNUMBER('Operating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plan'!$Y$39),ISNUMBER('Replacement plan'!$Z$39),'Replacement plan'!$Z$39&gt;=0,ISNUMBER('Replacement plan'!$AA$39),'Replacement plan'!$AA$39&gt;=0,'Replacement plan'!$AA$39=INT('Replacement plan'!$AA$39),ISNUMBER('Replacement plan'!$L$39))),'Operating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plan'!$AG$39="",'Operating costs'!$B$7,'Replacement plan'!$AG$39)),IF('Replacement plan'!$AG$39="",'Operating costs'!$B$7,'Replacement plan'!$AG$39)&gt;=0,ISNUMBER(IF('Replacement plan'!$AH$39="",'Operating costs'!$B$7,'Replacement plan'!$AH$39)),IF('Replacement plan'!$AH$39="",'Operating costs'!$B$7,'Replacement plan'!$AH$39)&gt;=0,'Operating costs'!$B$8&gt;MAX(IF('Replacement plan'!$AG$39="",'Operating costs'!$B$7,'Replacement plan'!$AG$39),IF('Replacement plan'!$AH$39="",'Operating costs'!$B$7,'Replacement plan'!$AH$39))*'Operating costs'!$B$9),IF(AND(VLOOKUP($A138,'Fleet register'!$A$7:$S$106,10,FALSE)&gt;=0,VLOOKUP($A138,'Fleet register'!$A$7:$S$106,10,FALSE)&lt;=120,VLOOKUP($A138,'Fleet register'!$A$7:$S$106,10,FALSE)=INT(VLOOKUP($A138,'Fleet register'!$A$7:$S$106,10,FALSE)),VLOOKUP($A138,'Fleet register'!$A$7:$S$106,15,FALSE)&gt;=0,VLOOKUP($A138,'Fleet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costs'!$B$67)&gt;=0,OR(D138&lt;&gt;"EV",E138=120,AND(MIN('Operating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38" s="1" t="str">
        <f>IF(C138=0,"Excluded",IF(P138&lt;&gt;"Complete",P138,IF(OR('Replacement plan'!$AD$39&lt;120-E138,AND(D138="EV",E138&lt;120,OR('Replacement plan'!$AC$39&lt;120-E138,'Replacement plan'!$I$39="No",AND(ISNUMBER(AF138),AE138&gt;AF138),AI138&gt;V138*(1-'Operating costs'!$B$46)^MAX(0,AB138-1)*(1-'Operating costs'!$B$45),AC138&gt;'Operating costs'!$B$18,AND(T138&lt;1,OR(AG138&lt;=0,AND(ISNUMBER(AH138),AG138&gt;AH138))),'Replacement plan'!$L$39&gt;INDEX(Products!$H$7:$H$13,MATCH('Replacement plan'!$B$39,Products!$A$7:$A$13,0))))),"Fails entered limits",IF(AND(D138="EV",E138&lt;120,OR(NOT(ISNUMBER(VLOOKUP($A138,'Fleet register'!$A$7:$S$106,7,FALSE))),NOT(ISNUMBER(VLOOKUP($A138,'Fleet register'!$A$7:$S$106,8,FALSE))),NOT(ISNUMBER(AF138)),'Replacement plan'!$I$39&lt;&gt;"Yes",NOT(ISNUMBER(AH138)),'Operating costs'!$B$59&lt;&gt;"Yes",'Operating costs'!$B$58&lt;&gt;"Yes")),"Unverified","Within entered limits"))))</f>
        <v>Excluded</v>
      </c>
      <c r="R138" s="1">
        <f>IF(C138=0,0,VLOOKUP($A138,'Fleet register'!$A$7:$S$106,6,FALSE))</f>
        <v>0</v>
      </c>
      <c r="S138" s="1">
        <f>IF(C138=0,0,VLOOKUP($A138,'Fleet register'!$A$7:$S$106,5,FALSE))</f>
        <v>0</v>
      </c>
      <c r="T138" s="1">
        <f>IF(D138="EV",'Energy and charging'!$C$12,0)</f>
        <v>0</v>
      </c>
      <c r="U138" s="1">
        <f>IFERROR(IF(C138=0,0,IF(D138="EV",IF('Replacement plan'!$F$39="",INDEX(Products!$E$7:$E$13,MATCH('Replacement plan'!$B$39,Products!$A$7:$A$13,0)),'Replacement plan'!$F$39)/IF('Replacement plan'!$G$39="Battery",1-'Operating costs'!$B$44,1),0)),"n.a.")</f>
        <v>0</v>
      </c>
      <c r="V138" s="1">
        <f>IFERROR(IF(C138=0,0,IF(D138="EV",IF('Replacement plan'!$E$39="",INDEX(Products!$D$7:$D$13,MATCH('Replacement plan'!$B$39,Products!$A$7:$A$13,0)),'Replacement plan'!$E$39),0)),"n.a.")</f>
        <v>0</v>
      </c>
      <c r="W138" s="1">
        <f>IF(C138=0,0,IF(AND(P138="Complete",D138="EV",E138&lt;120),IF(T138=0,0,ROUNDUP(T138*(R138-'Operating costs'!$B$41)*(S138*U138+'Operating costs'!$B$48/(1-'Operating costs'!$B$44))/(V138*'Operating costs'!$B$47/(1-'Operating costs'!$B$44)-T138*'Operating costs'!$B$12*U138),0)),0))</f>
        <v>0</v>
      </c>
      <c r="X138" s="1">
        <f>IF(C138=0,0,IF(AND(P138="Complete",D138="EV",E138&lt;120),(R138-'Operating costs'!$B$41)*(S138*U138+'Operating costs'!$B$48/(1-'Operating costs'!$B$44))+W138*'Operating costs'!$B$12*U138,0))</f>
        <v>0</v>
      </c>
      <c r="Y138" s="1">
        <f>IF(AND(C138=1,D138="EV",E138&lt;120),AI138/(1-'Operating costs'!$B$44)*(1-T138),0)</f>
        <v>0</v>
      </c>
      <c r="Z138" s="1">
        <f t="shared" si="4"/>
        <v>0</v>
      </c>
      <c r="AA138" s="1">
        <f>IF(C138=0,0,IF(P138="Complete",((S138*(R138-'Operating costs'!$B$40))+ROUNDUP(S138*(R138-'Operating costs'!$B$40)*IF('Replacement plan'!$AH$39="",'Operating costs'!$B$7,'Replacement plan'!$AH$39)/('Operating costs'!$B$8-'Operating costs'!$B$9*IF('Replacement plan'!$AH$39="",'Operating costs'!$B$7,'Replacement plan'!$AH$39)),0)*'Operating costs'!$B$9)*IF('Replacement plan'!$AH$39="",'Operating costs'!$B$7,'Replacement plan'!$AH$39),"n.a."))</f>
        <v>0</v>
      </c>
      <c r="AB138" s="1">
        <f t="shared" si="5"/>
        <v>0</v>
      </c>
      <c r="AC138" s="1">
        <f>IF(AND(C138=1,D138="EV",E138&lt;120,T138&gt;0),'Operating costs'!$B$12/'Operating costs'!$B$11*60+'Operating costs'!$B$13+'Operating costs'!$B$14+V138*'Operating costs'!$B$47/(1-'Operating costs'!$B$44)/'Replacement plan'!$L$39*60,0)</f>
        <v>0</v>
      </c>
      <c r="AD138" s="1" t="str">
        <f>'Replacement plan'!$B$39</f>
        <v>ChengLong L2EV</v>
      </c>
      <c r="AE138" s="1">
        <f>IF(C138=0,0,VLOOKUP($A138,'Fleet register'!$A$7:$S$106,8,FALSE))</f>
        <v>0</v>
      </c>
      <c r="AF138" s="1" t="str">
        <f>IF('Replacement plan'!$H$39="","n.a.",'Replacement plan'!$H$39)</f>
        <v>n.a.</v>
      </c>
      <c r="AG138" s="1">
        <f>'Replacement plan'!$J$39</f>
        <v>22</v>
      </c>
      <c r="AH138" s="1">
        <f>IFERROR(IF(D138="EV",IF('Replacement plan'!$K$39="AC",IF(ISNUMBER(INDEX(Products!$G$7:$G$13,MATCH('Replacement plan'!$B$39,Products!$A$7:$A$13,0))),INDEX(Products!$G$7:$G$13,MATCH('Replacement plan'!$B$39,Products!$A$7:$A$13,0)),"n.a."),IF(ISNUMBER(INDEX(Products!$H$7:$H$13,MATCH('Replacement plan'!$B$39,Products!$A$7:$A$13,0))),INDEX(Products!$H$7:$H$13,MATCH('Replacement plan'!$B$39,Products!$A$7:$A$13,0)),"n.a.")),0),"n.a.")</f>
        <v>0</v>
      </c>
      <c r="AI138" s="1">
        <f>IF(AND(C138=1,D138="EV",E138&lt;120),(VLOOKUP($A138,'Fleet register'!$A$7:$S$106,7,FALSE)+IF(T138&gt;0,'Operating costs'!$B$12,0))*U138*(1-'Operating costs'!$B$44)+'Operating costs'!$B$49,0)</f>
        <v>0</v>
      </c>
      <c r="AJ138" s="1">
        <f>IF(D138="EV",'Energy and charging'!$C$50,0)</f>
        <v>0</v>
      </c>
      <c r="AK138" s="17">
        <f>EDATE('Operating costs'!$B$63,E138)</f>
        <v>46298</v>
      </c>
      <c r="AL138" s="1">
        <f>IFERROR(IF(D138="EV",INDEX(Products!$B$7:$B$13,MATCH('Replacement plan'!$B$39,Products!$A$7:$A$13,0)),0),"n.a.")</f>
        <v>0</v>
      </c>
      <c r="AM138" s="1" t="str">
        <f>'Replacement plan'!$K$39</f>
        <v>DC</v>
      </c>
      <c r="AN138" s="1" t="str">
        <f>'Replacement plan'!$AE$39</f>
        <v>Assumed</v>
      </c>
      <c r="AO138" s="47">
        <f>IF(AND(C138=1,D138="EV",E138&lt;120),(R138-'Operating costs'!$B$41)*S138+W138*'Operating costs'!$B$12,0)</f>
        <v>0</v>
      </c>
      <c r="AP138" s="41">
        <f>IF(AND(C138=1,D138="EV",E138&lt;120),IF('Operating costs'!$B$68="Hong Seh 200k average",AO138*IFERROR(INDEX(Products!$P$7:$P$13,MATCH(AD138,Products!$A$7:$A$13,0)),"n.a."),'Operating costs'!$B$26),0)</f>
        <v>0</v>
      </c>
      <c r="AQ138" s="40" t="str">
        <f>IF(D138="EV",'Operating costs'!$B$68,"Not applicable")</f>
        <v>Not applicable</v>
      </c>
    </row>
    <row r="139" spans="1:43" ht="24" customHeight="1">
      <c r="A139" s="1" t="str">
        <f>'Replacement plan'!A40</f>
        <v>T034</v>
      </c>
      <c r="B139" s="1">
        <v>0</v>
      </c>
      <c r="C139" s="1">
        <f>IF(COUNTIFS('Fleet register'!$A$7:$A$106,$A139)=1,VLOOKUP($A139,'Fleet register'!$A$7:$S$106,2,FALSE),0)</f>
        <v>0</v>
      </c>
      <c r="D139" s="1" t="str">
        <f>IF("Keep ICE"="EV","EV","ICE")</f>
        <v>ICE</v>
      </c>
      <c r="E139" s="1">
        <f>IF(C139=0,0,IF('Replacement plan'!$M$40="",VLOOKUP($A139,'Fleet register'!$A$7:$S$106,10,FALSE),'Replacement plan'!$M$40))</f>
        <v>0</v>
      </c>
      <c r="F139" s="16">
        <f>IF(C139=0,0,VLOOKUP($A139,'Fleet register'!$A$7:$S$106,11,FALSE))</f>
        <v>0</v>
      </c>
      <c r="G139" s="16">
        <f>IFERROR(IF(C139=0,0,IF(E139=120,0,IF(D139="ICE",'Replacement plan'!$C$40,IF('Replacement plan'!$D$40="",INDEX(Products!$I$7:$I$13,MATCH('Replacement plan'!$B$40,Products!$A$7:$A$13,0))+'Operating costs'!$B$57,'Replacement plan'!$D$40))*(1+'Operating costs'!$B$50)^(E139/12))),"n.a.")</f>
        <v>0</v>
      </c>
      <c r="H139" s="16">
        <f>IFERROR(IF(C139=0,0,IF(E139=0,F139,VLOOKUP($A139,'Fleet register'!$A$7:$S$106,12,FALSE)+VLOOKUP($A139,'Fleet register'!$A$7:$S$106,13,FALSE)*MAX(0,VLOOKUP($A139,'Fleet register'!$A$7:$S$106,10,FALSE)-E139)/VLOOKUP($A139,'Fleet register'!$A$7:$S$106,14,FALSE))),"n.a.")</f>
        <v>0</v>
      </c>
      <c r="I139" s="16">
        <f>IF(C139=0,0,IF(E139=120,0,'Replacement plan'!$N$40))</f>
        <v>0</v>
      </c>
      <c r="J139" s="16">
        <f>IF(C139=0,0,IF(P139="Complete",((S139*(R139-'Operating costs'!$B$39))+ROUNDUP(S139*(R139-'Operating costs'!$B$39)*IF('Replacement plan'!$AG$40="",'Operating costs'!$B$7,'Replacement plan'!$AG$40)/('Operating costs'!$B$8-'Operating costs'!$B$9*IF('Replacement plan'!$AG$40="",'Operating costs'!$B$7,'Replacement plan'!$AG$40)),0)*'Operating costs'!$B$9)*IF('Replacement plan'!$AG$40="",'Operating costs'!$B$7,'Replacement plan'!$AG$40)*('Energy and charging'!$B$9*'Energy and charging'!$B$7+(1-'Energy and charging'!$B$9)*'Energy and charging'!$B$8)*'Operating costs'!$B$23,"n.a."))</f>
        <v>0</v>
      </c>
      <c r="K139" s="16">
        <f>IF(C139=0,0,IF(P139="Complete",SUM('Operating costs'!$B$24,'Operating costs'!$B$27,'Operating costs'!$B$29,'Operating costs'!$B$31,'Operating costs'!$B$33,'Operating costs'!$B$34,'Operating costs'!$B$37,'Replacement plan'!$W$40)+'Operating costs'!$B$39*'Operating costs'!$B$42+ROUNDUP(S139*(R139-'Operating costs'!$B$39)*IF('Replacement plan'!$AG$40="",'Operating costs'!$B$7,'Replacement plan'!$AG$40)/('Operating costs'!$B$8-'Operating costs'!$B$9*IF('Replacement plan'!$AG$40="",'Operating costs'!$B$7,'Replacement plan'!$AG$40)),0)*('Operating costs'!$B$9/'Operating costs'!$B$11+'Operating costs'!$B$10/60)*'Operating costs'!$B$19*'Operating costs'!$B$21,"n.a."))</f>
        <v>0</v>
      </c>
      <c r="L139" s="16">
        <f>IF(C139=0,0,IF(P139="Complete",IF(D139="EV",X139*((1-T139)*'Energy and charging'!$B$10+T139*'Energy and charging'!$B$11)*'Operating costs'!$B$22,AA139*('Energy and charging'!$B$9*'Energy and charging'!$B$7+(1-'Energy and charging'!$B$9)*'Energy and charging'!$B$8)*'Operating costs'!$B$23),"n.a."))</f>
        <v>0</v>
      </c>
      <c r="M139" s="37">
        <f>IF(C139=0,0,IF(P139="Complete",IF(D139="ICE",SUM('Operating costs'!$B$25,'Operating costs'!$B$27,'Operating costs'!$B$29,'Operating costs'!$B$31,'Operating costs'!$B$33,'Operating costs'!$B$35,'Operating costs'!$B$37,'Replacement plan'!$X$40)+'Operating costs'!$B$40*'Operating costs'!$B$42+ROUNDUP(S139*(R139-'Operating costs'!$B$40)*IF('Replacement plan'!$AH$40="",'Operating costs'!$B$7,'Replacement plan'!$AH$40)/('Operating costs'!$B$8-'Operating costs'!$B$9*IF('Replacement plan'!$AH$40="",'Operating costs'!$B$7,'Replacement plan'!$AH$40)),0)*('Operating costs'!$B$9/'Operating costs'!$B$11+'Operating costs'!$B$10/60)*'Operating costs'!$B$19*'Operating costs'!$B$21,SUM(AP139,'Operating costs'!$B$28,'Operating costs'!$B$30,'Operating costs'!$B$32,'Operating costs'!$B$33,'Operating costs'!$B$36,'Operating costs'!$B$38,'Replacement plan'!$Y$40)+'Operating costs'!$B$41*'Operating costs'!$B$43+W139*'Operating costs'!$B$15+(T139*X139/'Replacement plan'!$L$40+W139*('Operating costs'!$B$12/'Operating costs'!$B$11+('Operating costs'!$B$13+'Operating costs'!$B$14)/60)+(R139-'Operating costs'!$B$41)*(IF(T139&lt;1,'Operating costs'!$B$16,0)+'Operating costs'!$B$17)/60)*'Operating costs'!$B$19*'Operating costs'!$B$20),"n.a."))</f>
        <v>0</v>
      </c>
      <c r="N139" s="16">
        <f>IF(AND(C139=1,D139="EV",E139&lt;120,E139+'Replacement plan'!$AA$40&lt;=120),'Replacement plan'!$Z$40,0)</f>
        <v>0</v>
      </c>
      <c r="O139" s="1">
        <f>E139+'Replacement plan'!$AA$40</f>
        <v>0</v>
      </c>
      <c r="P139" s="35" t="str">
        <f>IFERROR(IF(C139=0,"Excluded",IF(OR(COUNTIFS('Fleet register'!$A$7:$A$106,A139)&lt;&gt;1,COUNTIFS('Replacement plan'!$A$7:$A$106,A139)&lt;&gt;1),"Duplicate/missing ID",IF(NOT(AND(ISNUMBER(VLOOKUP($A139,'Fleet register'!$A$7:$S$106,5,FALSE)),ISNUMBER(VLOOKUP($A139,'Fleet register'!$A$7:$S$106,6,FALSE)),ISNUMBER(VLOOKUP($A139,'Fleet register'!$A$7:$S$106,10,FALSE)),ISNUMBER(VLOOKUP($A139,'Fleet register'!$A$7:$S$106,11,FALSE)),ISNUMBER(VLOOKUP($A139,'Fleet register'!$A$7:$S$106,12,FALSE)),ISNUMBER(VLOOKUP($A139,'Fleet register'!$A$7:$S$106,13,FALSE)),ISNUMBER(VLOOKUP($A139,'Fleet register'!$A$7:$S$106,14,FALSE)),VLOOKUP($A139,'Fleet register'!$A$7:$S$106,14,FALSE)&gt;0,ISNUMBER('Replacement plan'!$C$40),OR(E139=120,ISNUMBER('Replacement plan'!$N$40)),ISNUMBER(E139))),"Missing vehicle input",IF(OR(E139&lt;0,E139&gt;VLOOKUP($A139,'Fleet register'!$A$7:$S$106,10,FALSE),E139&gt;120,E139&lt;&gt;INT(E139),VLOOKUP($A139,'Fleet register'!$A$7:$S$106,6,FALSE)&lt;=0,VLOOKUP($A139,'Fleet register'!$A$7:$S$106,6,FALSE)&gt;366,VLOOKUP($A139,'Fleet register'!$A$7:$S$106,5,FALSE)&lt;0,VLOOKUP($A139,'Fleet register'!$A$7:$S$106,11,FALSE)&lt;0,I139&lt;0,'Operating costs'!$B$8&lt;='Operating costs'!$B$7*'Operating costs'!$B$9,'Operating costs'!$B$11&lt;=0,'Operating costs'!$B$39&gt;R139,'Operating costs'!$B$40&gt;R139,'Operating costs'!$B$41&gt;R139,NOT(OR("Keep ICE"="Keep ICE","Keep ICE"="New ICE","Keep ICE"="EV"))),"Invalid vehicle input",IF(AND(D139="EV",E139&lt;120,OR(NOT(ISNUMBER(U139)),NOT(ISNUMBER(V139)),V139&lt;=0,T139&lt;0,T139&gt;1,'Replacement plan'!$L$40&lt;=0,'Operating costs'!$B$44&lt;0,'Operating costs'!$B$44&gt;=1,'Operating costs'!$B$47&lt;=0,'Operating costs'!$B$47&gt;1,V139*'Operating costs'!$B$47/(1-'Operating costs'!$B$44)&lt;=T139*'Operating costs'!$B$12*U139,AND('Replacement plan'!$Z$40&gt;0,OR('Replacement plan'!$AB$40&lt;&gt;"Yes",'Operating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charging'!$B$8&gt;=0))),ISNUMBER(VLOOKUP($A139,'Fleet register'!$A$7:$S$106,15,FALSE)),ISNUMBER(VLOOKUP($A139,'Fleet register'!$A$7:$S$106,16,FALSE)),ISNUMBER('Replacement plan'!$W$40),ISNUMBER('Replacement plan'!$X$40),OR(E139=120,AND(ISNUMBER(G139),G139&gt;=0)),ISNUMBER(H139),H139&gt;=0,OR(D139&lt;&gt;"EV",E139=120,AND(ISNUMBER('Operating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average",ISNUMBER(IFERROR(INDEX(Products!$P$7:$P$13,MATCH(AD139,Products!$A$7:$A$13,0)),"")))),ISNUMBER('Operating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plan'!$Y$40),ISNUMBER('Replacement plan'!$Z$40),'Replacement plan'!$Z$40&gt;=0,ISNUMBER('Replacement plan'!$AA$40),'Replacement plan'!$AA$40&gt;=0,'Replacement plan'!$AA$40=INT('Replacement plan'!$AA$40),ISNUMBER('Replacement plan'!$L$40))),'Operating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plan'!$AG$40="",'Operating costs'!$B$7,'Replacement plan'!$AG$40)),IF('Replacement plan'!$AG$40="",'Operating costs'!$B$7,'Replacement plan'!$AG$40)&gt;=0,ISNUMBER(IF('Replacement plan'!$AH$40="",'Operating costs'!$B$7,'Replacement plan'!$AH$40)),IF('Replacement plan'!$AH$40="",'Operating costs'!$B$7,'Replacement plan'!$AH$40)&gt;=0,'Operating costs'!$B$8&gt;MAX(IF('Replacement plan'!$AG$40="",'Operating costs'!$B$7,'Replacement plan'!$AG$40),IF('Replacement plan'!$AH$40="",'Operating costs'!$B$7,'Replacement plan'!$AH$40))*'Operating costs'!$B$9),IF(AND(VLOOKUP($A139,'Fleet register'!$A$7:$S$106,10,FALSE)&gt;=0,VLOOKUP($A139,'Fleet register'!$A$7:$S$106,10,FALSE)&lt;=120,VLOOKUP($A139,'Fleet register'!$A$7:$S$106,10,FALSE)=INT(VLOOKUP($A139,'Fleet register'!$A$7:$S$106,10,FALSE)),VLOOKUP($A139,'Fleet register'!$A$7:$S$106,15,FALSE)&gt;=0,VLOOKUP($A139,'Fleet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costs'!$B$67)&gt;=0,OR(D139&lt;&gt;"EV",E139=120,AND(MIN('Operating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39" s="1" t="str">
        <f>IF(C139=0,"Excluded",IF(P139&lt;&gt;"Complete",P139,IF(OR('Replacement plan'!$AD$40&lt;120-E139,AND(D139="EV",E139&lt;120,OR('Replacement plan'!$AC$40&lt;120-E139,'Replacement plan'!$I$40="No",AND(ISNUMBER(AF139),AE139&gt;AF139),AI139&gt;V139*(1-'Operating costs'!$B$46)^MAX(0,AB139-1)*(1-'Operating costs'!$B$45),AC139&gt;'Operating costs'!$B$18,AND(T139&lt;1,OR(AG139&lt;=0,AND(ISNUMBER(AH139),AG139&gt;AH139))),'Replacement plan'!$L$40&gt;INDEX(Products!$H$7:$H$13,MATCH('Replacement plan'!$B$40,Products!$A$7:$A$13,0))))),"Fails entered limits",IF(AND(D139="EV",E139&lt;120,OR(NOT(ISNUMBER(VLOOKUP($A139,'Fleet register'!$A$7:$S$106,7,FALSE))),NOT(ISNUMBER(VLOOKUP($A139,'Fleet register'!$A$7:$S$106,8,FALSE))),NOT(ISNUMBER(AF139)),'Replacement plan'!$I$40&lt;&gt;"Yes",NOT(ISNUMBER(AH139)),'Operating costs'!$B$59&lt;&gt;"Yes",'Operating costs'!$B$58&lt;&gt;"Yes")),"Unverified","Within entered limits"))))</f>
        <v>Excluded</v>
      </c>
      <c r="R139" s="1">
        <f>IF(C139=0,0,VLOOKUP($A139,'Fleet register'!$A$7:$S$106,6,FALSE))</f>
        <v>0</v>
      </c>
      <c r="S139" s="1">
        <f>IF(C139=0,0,VLOOKUP($A139,'Fleet register'!$A$7:$S$106,5,FALSE))</f>
        <v>0</v>
      </c>
      <c r="T139" s="1">
        <f>IF(D139="EV",'Energy and charging'!$B$12,0)</f>
        <v>0</v>
      </c>
      <c r="U139" s="1">
        <f>IFERROR(IF(C139=0,0,IF(D139="EV",IF('Replacement plan'!$F$40="",INDEX(Products!$E$7:$E$13,MATCH('Replacement plan'!$B$40,Products!$A$7:$A$13,0)),'Replacement plan'!$F$40)/IF('Replacement plan'!$G$40="Battery",1-'Operating costs'!$B$44,1),0)),"n.a.")</f>
        <v>0</v>
      </c>
      <c r="V139" s="1">
        <f>IFERROR(IF(C139=0,0,IF(D139="EV",IF('Replacement plan'!$E$40="",INDEX(Products!$D$7:$D$13,MATCH('Replacement plan'!$B$40,Products!$A$7:$A$13,0)),'Replacement plan'!$E$40),0)),"n.a.")</f>
        <v>0</v>
      </c>
      <c r="W139" s="1">
        <f>IF(C139=0,0,IF(AND(P139="Complete",D139="EV",E139&lt;120),IF(T139=0,0,ROUNDUP(T139*(R139-'Operating costs'!$B$41)*(S139*U139+'Operating costs'!$B$48/(1-'Operating costs'!$B$44))/(V139*'Operating costs'!$B$47/(1-'Operating costs'!$B$44)-T139*'Operating costs'!$B$12*U139),0)),0))</f>
        <v>0</v>
      </c>
      <c r="X139" s="1">
        <f>IF(C139=0,0,IF(AND(P139="Complete",D139="EV",E139&lt;120),(R139-'Operating costs'!$B$41)*(S139*U139+'Operating costs'!$B$48/(1-'Operating costs'!$B$44))+W139*'Operating costs'!$B$12*U139,0))</f>
        <v>0</v>
      </c>
      <c r="Y139" s="1">
        <f>IF(AND(C139=1,D139="EV",E139&lt;120),AI139/(1-'Operating costs'!$B$44)*(1-T139),0)</f>
        <v>0</v>
      </c>
      <c r="Z139" s="1">
        <f t="shared" si="4"/>
        <v>0</v>
      </c>
      <c r="AA139" s="1">
        <f>IF(C139=0,0,IF(P139="Complete",((S139*(R139-'Operating costs'!$B$40))+ROUNDUP(S139*(R139-'Operating costs'!$B$40)*IF('Replacement plan'!$AH$40="",'Operating costs'!$B$7,'Replacement plan'!$AH$40)/('Operating costs'!$B$8-'Operating costs'!$B$9*IF('Replacement plan'!$AH$40="",'Operating costs'!$B$7,'Replacement plan'!$AH$40)),0)*'Operating costs'!$B$9)*IF('Replacement plan'!$AH$40="",'Operating costs'!$B$7,'Replacement plan'!$AH$40),"n.a."))</f>
        <v>0</v>
      </c>
      <c r="AB139" s="1">
        <f t="shared" si="5"/>
        <v>0</v>
      </c>
      <c r="AC139" s="1">
        <f>IF(AND(C139=1,D139="EV",E139&lt;120,T139&gt;0),'Operating costs'!$B$12/'Operating costs'!$B$11*60+'Operating costs'!$B$13+'Operating costs'!$B$14+V139*'Operating costs'!$B$47/(1-'Operating costs'!$B$44)/'Replacement plan'!$L$40*60,0)</f>
        <v>0</v>
      </c>
      <c r="AD139" s="1" t="str">
        <f>'Replacement plan'!$B$40</f>
        <v>ChengLong L2EV</v>
      </c>
      <c r="AE139" s="1">
        <f>IF(C139=0,0,VLOOKUP($A139,'Fleet register'!$A$7:$S$106,8,FALSE))</f>
        <v>0</v>
      </c>
      <c r="AF139" s="1" t="str">
        <f>IF('Replacement plan'!$H$40="","n.a.",'Replacement plan'!$H$40)</f>
        <v>n.a.</v>
      </c>
      <c r="AG139" s="1">
        <f>'Replacement plan'!$J$40</f>
        <v>22</v>
      </c>
      <c r="AH139" s="1">
        <f>IFERROR(IF(D139="EV",IF('Replacement plan'!$K$40="AC",IF(ISNUMBER(INDEX(Products!$G$7:$G$13,MATCH('Replacement plan'!$B$40,Products!$A$7:$A$13,0))),INDEX(Products!$G$7:$G$13,MATCH('Replacement plan'!$B$40,Products!$A$7:$A$13,0)),"n.a."),IF(ISNUMBER(INDEX(Products!$H$7:$H$13,MATCH('Replacement plan'!$B$40,Products!$A$7:$A$13,0))),INDEX(Products!$H$7:$H$13,MATCH('Replacement plan'!$B$40,Products!$A$7:$A$13,0)),"n.a.")),0),"n.a.")</f>
        <v>0</v>
      </c>
      <c r="AI139" s="1">
        <f>IF(AND(C139=1,D139="EV",E139&lt;120),(VLOOKUP($A139,'Fleet register'!$A$7:$S$106,7,FALSE)+IF(T139&gt;0,'Operating costs'!$B$12,0))*U139*(1-'Operating costs'!$B$44)+'Operating costs'!$B$49,0)</f>
        <v>0</v>
      </c>
      <c r="AJ139" s="1">
        <f>IF(D139="EV",'Energy and charging'!$B$50,0)</f>
        <v>0</v>
      </c>
      <c r="AK139" s="17">
        <f>EDATE('Operating costs'!$B$63,E139)</f>
        <v>46298</v>
      </c>
      <c r="AL139" s="1">
        <f>IFERROR(IF(D139="EV",INDEX(Products!$B$7:$B$13,MATCH('Replacement plan'!$B$40,Products!$A$7:$A$13,0)),0),"n.a.")</f>
        <v>0</v>
      </c>
      <c r="AM139" s="1" t="str">
        <f>'Replacement plan'!$K$40</f>
        <v>DC</v>
      </c>
      <c r="AN139" s="1" t="str">
        <f>'Replacement plan'!$AE$40</f>
        <v>Assumed</v>
      </c>
      <c r="AO139" s="47">
        <f>IF(AND(C139=1,D139="EV",E139&lt;120),(R139-'Operating costs'!$B$41)*S139+W139*'Operating costs'!$B$12,0)</f>
        <v>0</v>
      </c>
      <c r="AP139" s="41">
        <f>IF(AND(C139=1,D139="EV",E139&lt;120),IF('Operating costs'!$B$68="Hong Seh 200k average",AO139*IFERROR(INDEX(Products!$P$7:$P$13,MATCH(AD139,Products!$A$7:$A$13,0)),"n.a."),'Operating costs'!$B$26),0)</f>
        <v>0</v>
      </c>
      <c r="AQ139" s="40" t="str">
        <f>IF(D139="EV",'Operating costs'!$B$68,"Not applicable")</f>
        <v>Not applicable</v>
      </c>
    </row>
    <row r="140" spans="1:43" ht="24" customHeight="1">
      <c r="A140" s="1" t="str">
        <f>'Replacement plan'!A40</f>
        <v>T034</v>
      </c>
      <c r="B140" s="1">
        <v>1</v>
      </c>
      <c r="C140" s="1">
        <f>IF(COUNTIFS('Fleet register'!$A$7:$A$106,$A140)=1,VLOOKUP($A140,'Fleet register'!$A$7:$S$106,2,FALSE),0)</f>
        <v>0</v>
      </c>
      <c r="D140" s="1" t="str">
        <f>IF("New ICE"="EV","EV","ICE")</f>
        <v>ICE</v>
      </c>
      <c r="E140" s="1">
        <f>IF(C140=0,0,0)</f>
        <v>0</v>
      </c>
      <c r="F140" s="16">
        <f>IF(C140=0,0,VLOOKUP($A140,'Fleet register'!$A$7:$S$106,11,FALSE))</f>
        <v>0</v>
      </c>
      <c r="G140" s="16">
        <f>IFERROR(IF(C140=0,0,IF(E140=120,0,IF(D140="ICE",'Replacement plan'!$C$40,IF('Replacement plan'!$D$40="",INDEX(Products!$I$7:$I$13,MATCH('Replacement plan'!$B$40,Products!$A$7:$A$13,0))+'Operating costs'!$B$57,'Replacement plan'!$D$40))*(1+'Operating costs'!$B$50)^(E140/12))),"n.a.")</f>
        <v>0</v>
      </c>
      <c r="H140" s="16">
        <f>IFERROR(IF(C140=0,0,IF(E140=0,F140,VLOOKUP($A140,'Fleet register'!$A$7:$S$106,12,FALSE)+VLOOKUP($A140,'Fleet register'!$A$7:$S$106,13,FALSE)*MAX(0,VLOOKUP($A140,'Fleet register'!$A$7:$S$106,10,FALSE)-E140)/VLOOKUP($A140,'Fleet register'!$A$7:$S$106,14,FALSE))),"n.a.")</f>
        <v>0</v>
      </c>
      <c r="I140" s="16">
        <f>IF(C140=0,0,IF(E140=120,0,IF('Replacement plan'!$AI$40="",'Operating costs'!$B$56,'Replacement plan'!$AI$40)))</f>
        <v>0</v>
      </c>
      <c r="J140" s="16">
        <f>IF(C140=0,0,IF(P140="Complete",((S140*(R140-'Operating costs'!$B$39))+ROUNDUP(S140*(R140-'Operating costs'!$B$39)*IF('Replacement plan'!$AG$40="",'Operating costs'!$B$7,'Replacement plan'!$AG$40)/('Operating costs'!$B$8-'Operating costs'!$B$9*IF('Replacement plan'!$AG$40="",'Operating costs'!$B$7,'Replacement plan'!$AG$40)),0)*'Operating costs'!$B$9)*IF('Replacement plan'!$AG$40="",'Operating costs'!$B$7,'Replacement plan'!$AG$40)*('Energy and charging'!$B$9*'Energy and charging'!$B$7+(1-'Energy and charging'!$B$9)*'Energy and charging'!$B$8)*'Operating costs'!$B$23,"n.a."))</f>
        <v>0</v>
      </c>
      <c r="K140" s="16">
        <f>IF(C140=0,0,IF(P140="Complete",SUM('Operating costs'!$B$24,'Operating costs'!$B$27,'Operating costs'!$B$29,'Operating costs'!$B$31,'Operating costs'!$B$33,'Operating costs'!$B$34,'Operating costs'!$B$37,'Replacement plan'!$W$40)+'Operating costs'!$B$39*'Operating costs'!$B$42+ROUNDUP(S140*(R140-'Operating costs'!$B$39)*IF('Replacement plan'!$AG$40="",'Operating costs'!$B$7,'Replacement plan'!$AG$40)/('Operating costs'!$B$8-'Operating costs'!$B$9*IF('Replacement plan'!$AG$40="",'Operating costs'!$B$7,'Replacement plan'!$AG$40)),0)*('Operating costs'!$B$9/'Operating costs'!$B$11+'Operating costs'!$B$10/60)*'Operating costs'!$B$19*'Operating costs'!$B$21,"n.a."))</f>
        <v>0</v>
      </c>
      <c r="L140" s="16">
        <f>IF(C140=0,0,IF(P140="Complete",IF(D140="EV",X140*((1-T140)*'Energy and charging'!$B$10+T140*'Energy and charging'!$B$11)*'Operating costs'!$B$22,AA140*('Energy and charging'!$B$9*'Energy and charging'!$B$7+(1-'Energy and charging'!$B$9)*'Energy and charging'!$B$8)*'Operating costs'!$B$23),"n.a."))</f>
        <v>0</v>
      </c>
      <c r="M140" s="37">
        <f>IF(C140=0,0,IF(P140="Complete",IF(D140="ICE",SUM('Operating costs'!$B$25,'Operating costs'!$B$27,'Operating costs'!$B$29,'Operating costs'!$B$31,'Operating costs'!$B$33,'Operating costs'!$B$35,'Operating costs'!$B$37,'Replacement plan'!$X$40)+'Operating costs'!$B$40*'Operating costs'!$B$42+ROUNDUP(S140*(R140-'Operating costs'!$B$40)*IF('Replacement plan'!$AH$40="",'Operating costs'!$B$7,'Replacement plan'!$AH$40)/('Operating costs'!$B$8-'Operating costs'!$B$9*IF('Replacement plan'!$AH$40="",'Operating costs'!$B$7,'Replacement plan'!$AH$40)),0)*('Operating costs'!$B$9/'Operating costs'!$B$11+'Operating costs'!$B$10/60)*'Operating costs'!$B$19*'Operating costs'!$B$21,SUM(AP140,'Operating costs'!$B$28,'Operating costs'!$B$30,'Operating costs'!$B$32,'Operating costs'!$B$33,'Operating costs'!$B$36,'Operating costs'!$B$38,'Replacement plan'!$Y$40)+'Operating costs'!$B$41*'Operating costs'!$B$43+W140*'Operating costs'!$B$15+(T140*X140/'Replacement plan'!$L$40+W140*('Operating costs'!$B$12/'Operating costs'!$B$11+('Operating costs'!$B$13+'Operating costs'!$B$14)/60)+(R140-'Operating costs'!$B$41)*(IF(T140&lt;1,'Operating costs'!$B$16,0)+'Operating costs'!$B$17)/60)*'Operating costs'!$B$19*'Operating costs'!$B$20),"n.a."))</f>
        <v>0</v>
      </c>
      <c r="N140" s="16">
        <f>IF(AND(C140=1,D140="EV",E140&lt;120,E140+'Replacement plan'!$AA$40&lt;=120),'Replacement plan'!$Z$40,0)</f>
        <v>0</v>
      </c>
      <c r="O140" s="1">
        <f>E140+'Replacement plan'!$AA$40</f>
        <v>0</v>
      </c>
      <c r="P140" s="35" t="str">
        <f>IFERROR(IF(C140=0,"Excluded",IF(OR(COUNTIFS('Fleet register'!$A$7:$A$106,A140)&lt;&gt;1,COUNTIFS('Replacement plan'!$A$7:$A$106,A140)&lt;&gt;1),"Duplicate/missing ID",IF(NOT(AND(ISNUMBER(VLOOKUP($A140,'Fleet register'!$A$7:$S$106,5,FALSE)),ISNUMBER(VLOOKUP($A140,'Fleet register'!$A$7:$S$106,6,FALSE)),ISNUMBER(VLOOKUP($A140,'Fleet register'!$A$7:$S$106,10,FALSE)),ISNUMBER(VLOOKUP($A140,'Fleet register'!$A$7:$S$106,11,FALSE)),ISNUMBER(VLOOKUP($A140,'Fleet register'!$A$7:$S$106,12,FALSE)),ISNUMBER(VLOOKUP($A140,'Fleet register'!$A$7:$S$106,13,FALSE)),ISNUMBER(VLOOKUP($A140,'Fleet register'!$A$7:$S$106,14,FALSE)),VLOOKUP($A140,'Fleet register'!$A$7:$S$106,14,FALSE)&gt;0,ISNUMBER('Replacement plan'!$C$40),OR(E140=120,OR(ISNUMBER('Replacement plan'!$AI$40),AND('Replacement plan'!$AI$40="",ISNUMBER('Operating costs'!$B$56)))),ISNUMBER(E140))),"Missing vehicle input",IF(OR(E140&lt;0,E140&gt;VLOOKUP($A140,'Fleet register'!$A$7:$S$106,10,FALSE),E140&gt;120,E140&lt;&gt;INT(E140),VLOOKUP($A140,'Fleet register'!$A$7:$S$106,6,FALSE)&lt;=0,VLOOKUP($A140,'Fleet register'!$A$7:$S$106,6,FALSE)&gt;366,VLOOKUP($A140,'Fleet register'!$A$7:$S$106,5,FALSE)&lt;0,VLOOKUP($A140,'Fleet register'!$A$7:$S$106,11,FALSE)&lt;0,I140&lt;0,'Operating costs'!$B$8&lt;='Operating costs'!$B$7*'Operating costs'!$B$9,'Operating costs'!$B$11&lt;=0,'Operating costs'!$B$39&gt;R140,'Operating costs'!$B$40&gt;R140,'Operating costs'!$B$41&gt;R140,NOT(OR("New ICE"="Keep ICE","New ICE"="New ICE","New ICE"="EV"))),"Invalid vehicle input",IF(AND(D140="EV",E140&lt;120,OR(NOT(ISNUMBER(U140)),NOT(ISNUMBER(V140)),V140&lt;=0,T140&lt;0,T140&gt;1,'Replacement plan'!$L$40&lt;=0,'Operating costs'!$B$44&lt;0,'Operating costs'!$B$44&gt;=1,'Operating costs'!$B$47&lt;=0,'Operating costs'!$B$47&gt;1,V140*'Operating costs'!$B$47/(1-'Operating costs'!$B$44)&lt;=T140*'Operating costs'!$B$12*U140,AND('Replacement plan'!$Z$40&gt;0,OR('Replacement plan'!$AB$40&lt;&gt;"Yes",'Operating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charging'!$B$8&gt;=0))),ISNUMBER(VLOOKUP($A140,'Fleet register'!$A$7:$S$106,15,FALSE)),ISNUMBER(VLOOKUP($A140,'Fleet register'!$A$7:$S$106,16,FALSE)),ISNUMBER('Replacement plan'!$W$40),ISNUMBER('Replacement plan'!$X$40),OR(E140=120,AND(ISNUMBER(G140),G140&gt;=0)),ISNUMBER(H140),H140&gt;=0,OR(D140&lt;&gt;"EV",E140=120,AND(ISNUMBER('Operating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average",ISNUMBER(IFERROR(INDEX(Products!$P$7:$P$13,MATCH(AD140,Products!$A$7:$A$13,0)),"")))),ISNUMBER('Operating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plan'!$Y$40),ISNUMBER('Replacement plan'!$Z$40),'Replacement plan'!$Z$40&gt;=0,ISNUMBER('Replacement plan'!$AA$40),'Replacement plan'!$AA$40&gt;=0,'Replacement plan'!$AA$40=INT('Replacement plan'!$AA$40),ISNUMBER('Replacement plan'!$L$40))),'Operating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plan'!$AG$40="",'Operating costs'!$B$7,'Replacement plan'!$AG$40)),IF('Replacement plan'!$AG$40="",'Operating costs'!$B$7,'Replacement plan'!$AG$40)&gt;=0,ISNUMBER(IF('Replacement plan'!$AH$40="",'Operating costs'!$B$7,'Replacement plan'!$AH$40)),IF('Replacement plan'!$AH$40="",'Operating costs'!$B$7,'Replacement plan'!$AH$40)&gt;=0,'Operating costs'!$B$8&gt;MAX(IF('Replacement plan'!$AG$40="",'Operating costs'!$B$7,'Replacement plan'!$AG$40),IF('Replacement plan'!$AH$40="",'Operating costs'!$B$7,'Replacement plan'!$AH$40))*'Operating costs'!$B$9),IF(AND(VLOOKUP($A140,'Fleet register'!$A$7:$S$106,10,FALSE)&gt;=0,VLOOKUP($A140,'Fleet register'!$A$7:$S$106,10,FALSE)&lt;=120,VLOOKUP($A140,'Fleet register'!$A$7:$S$106,10,FALSE)=INT(VLOOKUP($A140,'Fleet register'!$A$7:$S$106,10,FALSE)),VLOOKUP($A140,'Fleet register'!$A$7:$S$106,15,FALSE)&gt;=0,VLOOKUP($A140,'Fleet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costs'!$B$67)&gt;=0,OR(D140&lt;&gt;"EV",E140=120,AND(MIN('Operating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40" s="1" t="str">
        <f>IF(C140=0,"Excluded",IF(P140&lt;&gt;"Complete",P140,IF(OR('Replacement plan'!$AD$40&lt;120-E140,AND(D140="EV",E140&lt;120,OR('Replacement plan'!$AC$40&lt;120-E140,'Replacement plan'!$I$40="No",AND(ISNUMBER(AF140),AE140&gt;AF140),AI140&gt;V140*(1-'Operating costs'!$B$46)^MAX(0,AB140-1)*(1-'Operating costs'!$B$45),AC140&gt;'Operating costs'!$B$18,AND(T140&lt;1,OR(AG140&lt;=0,AND(ISNUMBER(AH140),AG140&gt;AH140))),'Replacement plan'!$L$40&gt;INDEX(Products!$H$7:$H$13,MATCH('Replacement plan'!$B$40,Products!$A$7:$A$13,0))))),"Fails entered limits",IF(AND(D140="EV",E140&lt;120,OR(NOT(ISNUMBER(VLOOKUP($A140,'Fleet register'!$A$7:$S$106,7,FALSE))),NOT(ISNUMBER(VLOOKUP($A140,'Fleet register'!$A$7:$S$106,8,FALSE))),NOT(ISNUMBER(AF140)),'Replacement plan'!$I$40&lt;&gt;"Yes",NOT(ISNUMBER(AH140)),'Operating costs'!$B$59&lt;&gt;"Yes",'Operating costs'!$B$58&lt;&gt;"Yes")),"Unverified","Within entered limits"))))</f>
        <v>Excluded</v>
      </c>
      <c r="R140" s="1">
        <f>IF(C140=0,0,VLOOKUP($A140,'Fleet register'!$A$7:$S$106,6,FALSE))</f>
        <v>0</v>
      </c>
      <c r="S140" s="1">
        <f>IF(C140=0,0,VLOOKUP($A140,'Fleet register'!$A$7:$S$106,5,FALSE))</f>
        <v>0</v>
      </c>
      <c r="T140" s="1">
        <f>IF(D140="EV",'Energy and charging'!$B$12,0)</f>
        <v>0</v>
      </c>
      <c r="U140" s="1">
        <f>IFERROR(IF(C140=0,0,IF(D140="EV",IF('Replacement plan'!$F$40="",INDEX(Products!$E$7:$E$13,MATCH('Replacement plan'!$B$40,Products!$A$7:$A$13,0)),'Replacement plan'!$F$40)/IF('Replacement plan'!$G$40="Battery",1-'Operating costs'!$B$44,1),0)),"n.a.")</f>
        <v>0</v>
      </c>
      <c r="V140" s="1">
        <f>IFERROR(IF(C140=0,0,IF(D140="EV",IF('Replacement plan'!$E$40="",INDEX(Products!$D$7:$D$13,MATCH('Replacement plan'!$B$40,Products!$A$7:$A$13,0)),'Replacement plan'!$E$40),0)),"n.a.")</f>
        <v>0</v>
      </c>
      <c r="W140" s="1">
        <f>IF(C140=0,0,IF(AND(P140="Complete",D140="EV",E140&lt;120),IF(T140=0,0,ROUNDUP(T140*(R140-'Operating costs'!$B$41)*(S140*U140+'Operating costs'!$B$48/(1-'Operating costs'!$B$44))/(V140*'Operating costs'!$B$47/(1-'Operating costs'!$B$44)-T140*'Operating costs'!$B$12*U140),0)),0))</f>
        <v>0</v>
      </c>
      <c r="X140" s="1">
        <f>IF(C140=0,0,IF(AND(P140="Complete",D140="EV",E140&lt;120),(R140-'Operating costs'!$B$41)*(S140*U140+'Operating costs'!$B$48/(1-'Operating costs'!$B$44))+W140*'Operating costs'!$B$12*U140,0))</f>
        <v>0</v>
      </c>
      <c r="Y140" s="1">
        <f>IF(AND(C140=1,D140="EV",E140&lt;120),AI140/(1-'Operating costs'!$B$44)*(1-T140),0)</f>
        <v>0</v>
      </c>
      <c r="Z140" s="1">
        <f t="shared" si="4"/>
        <v>0</v>
      </c>
      <c r="AA140" s="1">
        <f>IF(C140=0,0,IF(P140="Complete",((S140*(R140-'Operating costs'!$B$40))+ROUNDUP(S140*(R140-'Operating costs'!$B$40)*IF('Replacement plan'!$AH$40="",'Operating costs'!$B$7,'Replacement plan'!$AH$40)/('Operating costs'!$B$8-'Operating costs'!$B$9*IF('Replacement plan'!$AH$40="",'Operating costs'!$B$7,'Replacement plan'!$AH$40)),0)*'Operating costs'!$B$9)*IF('Replacement plan'!$AH$40="",'Operating costs'!$B$7,'Replacement plan'!$AH$40),"n.a."))</f>
        <v>0</v>
      </c>
      <c r="AB140" s="1">
        <f t="shared" si="5"/>
        <v>0</v>
      </c>
      <c r="AC140" s="1">
        <f>IF(AND(C140=1,D140="EV",E140&lt;120,T140&gt;0),'Operating costs'!$B$12/'Operating costs'!$B$11*60+'Operating costs'!$B$13+'Operating costs'!$B$14+V140*'Operating costs'!$B$47/(1-'Operating costs'!$B$44)/'Replacement plan'!$L$40*60,0)</f>
        <v>0</v>
      </c>
      <c r="AD140" s="1" t="str">
        <f>'Replacement plan'!$B$40</f>
        <v>ChengLong L2EV</v>
      </c>
      <c r="AE140" s="1">
        <f>IF(C140=0,0,VLOOKUP($A140,'Fleet register'!$A$7:$S$106,8,FALSE))</f>
        <v>0</v>
      </c>
      <c r="AF140" s="1" t="str">
        <f>IF('Replacement plan'!$H$40="","n.a.",'Replacement plan'!$H$40)</f>
        <v>n.a.</v>
      </c>
      <c r="AG140" s="1">
        <f>'Replacement plan'!$J$40</f>
        <v>22</v>
      </c>
      <c r="AH140" s="1">
        <f>IFERROR(IF(D140="EV",IF('Replacement plan'!$K$40="AC",IF(ISNUMBER(INDEX(Products!$G$7:$G$13,MATCH('Replacement plan'!$B$40,Products!$A$7:$A$13,0))),INDEX(Products!$G$7:$G$13,MATCH('Replacement plan'!$B$40,Products!$A$7:$A$13,0)),"n.a."),IF(ISNUMBER(INDEX(Products!$H$7:$H$13,MATCH('Replacement plan'!$B$40,Products!$A$7:$A$13,0))),INDEX(Products!$H$7:$H$13,MATCH('Replacement plan'!$B$40,Products!$A$7:$A$13,0)),"n.a.")),0),"n.a.")</f>
        <v>0</v>
      </c>
      <c r="AI140" s="1">
        <f>IF(AND(C140=1,D140="EV",E140&lt;120),(VLOOKUP($A140,'Fleet register'!$A$7:$S$106,7,FALSE)+IF(T140&gt;0,'Operating costs'!$B$12,0))*U140*(1-'Operating costs'!$B$44)+'Operating costs'!$B$49,0)</f>
        <v>0</v>
      </c>
      <c r="AJ140" s="1">
        <f>IF(D140="EV",'Energy and charging'!$B$50,0)</f>
        <v>0</v>
      </c>
      <c r="AK140" s="17">
        <f>EDATE('Operating costs'!$B$63,E140)</f>
        <v>46298</v>
      </c>
      <c r="AL140" s="1">
        <f>IFERROR(IF(D140="EV",INDEX(Products!$B$7:$B$13,MATCH('Replacement plan'!$B$40,Products!$A$7:$A$13,0)),0),"n.a.")</f>
        <v>0</v>
      </c>
      <c r="AM140" s="1" t="str">
        <f>'Replacement plan'!$K$40</f>
        <v>DC</v>
      </c>
      <c r="AN140" s="1" t="str">
        <f>'Replacement plan'!$AE$40</f>
        <v>Assumed</v>
      </c>
      <c r="AO140" s="47">
        <f>IF(AND(C140=1,D140="EV",E140&lt;120),(R140-'Operating costs'!$B$41)*S140+W140*'Operating costs'!$B$12,0)</f>
        <v>0</v>
      </c>
      <c r="AP140" s="41">
        <f>IF(AND(C140=1,D140="EV",E140&lt;120),IF('Operating costs'!$B$68="Hong Seh 200k average",AO140*IFERROR(INDEX(Products!$P$7:$P$13,MATCH(AD140,Products!$A$7:$A$13,0)),"n.a."),'Operating costs'!$B$26),0)</f>
        <v>0</v>
      </c>
      <c r="AQ140" s="40" t="str">
        <f>IF(D140="EV",'Operating costs'!$B$68,"Not applicable")</f>
        <v>Not applicable</v>
      </c>
    </row>
    <row r="141" spans="1:43" ht="24" customHeight="1">
      <c r="A141" s="1" t="str">
        <f>'Replacement plan'!A40</f>
        <v>T034</v>
      </c>
      <c r="B141" s="1">
        <v>2</v>
      </c>
      <c r="C141" s="1">
        <f>IF(COUNTIFS('Fleet register'!$A$7:$A$106,$A141)=1,VLOOKUP($A141,'Fleet register'!$A$7:$S$106,2,FALSE),0)</f>
        <v>0</v>
      </c>
      <c r="D141" s="1" t="str">
        <f>IF('Replacement plan'!$O$40="EV","EV","ICE")</f>
        <v>ICE</v>
      </c>
      <c r="E141" s="1">
        <f>IF(C141=0,0,IF('Replacement plan'!$P$40="",IF('Replacement plan'!$O$40="Keep ICE",IF('Replacement plan'!$M$40="",VLOOKUP($A141,'Fleet register'!$A$7:$S$106,10,FALSE),'Replacement plan'!$M$40),0),'Replacement plan'!$P$40))</f>
        <v>0</v>
      </c>
      <c r="F141" s="16">
        <f>IF(C141=0,0,VLOOKUP($A141,'Fleet register'!$A$7:$S$106,11,FALSE))</f>
        <v>0</v>
      </c>
      <c r="G141" s="16">
        <f>IFERROR(IF(C141=0,0,IF(E141=120,0,IF(D141="ICE",'Replacement plan'!$C$40,IF('Replacement plan'!$D$40="",INDEX(Products!$I$7:$I$13,MATCH('Replacement plan'!$B$40,Products!$A$7:$A$13,0))+'Operating costs'!$B$57,'Replacement plan'!$D$40))*(1+'Operating costs'!$B$50)^(E141/12))),"n.a.")</f>
        <v>0</v>
      </c>
      <c r="H141" s="16">
        <f>IFERROR(IF(C141=0,0,IF('Replacement plan'!$U$40&lt;&gt;"",'Replacement plan'!$U$40,IF(E141=0,F141,VLOOKUP($A141,'Fleet register'!$A$7:$S$106,12,FALSE)+VLOOKUP($A141,'Fleet register'!$A$7:$S$106,13,FALSE)*MAX(0,VLOOKUP($A141,'Fleet register'!$A$7:$S$106,10,FALSE)-E141)/VLOOKUP($A141,'Fleet register'!$A$7:$S$106,14,FALSE)))),"n.a.")</f>
        <v>0</v>
      </c>
      <c r="I141" s="16">
        <f>IF(C141=0,0,IF(E141=120,0,'Replacement plan'!$Q$40))</f>
        <v>0</v>
      </c>
      <c r="J141" s="16">
        <f>IF(C141=0,0,IF(P141="Complete",((S141*(R141-'Operating costs'!$B$39))+ROUNDUP(S141*(R141-'Operating costs'!$B$39)*IF('Replacement plan'!$AG$40="",'Operating costs'!$B$7,'Replacement plan'!$AG$40)/('Operating costs'!$B$8-'Operating costs'!$B$9*IF('Replacement plan'!$AG$40="",'Operating costs'!$B$7,'Replacement plan'!$AG$40)),0)*'Operating costs'!$B$9)*IF('Replacement plan'!$AG$40="",'Operating costs'!$B$7,'Replacement plan'!$AG$40)*('Energy and charging'!$B$9*'Energy and charging'!$B$7+(1-'Energy and charging'!$B$9)*'Energy and charging'!$B$8)*'Operating costs'!$B$23,"n.a."))</f>
        <v>0</v>
      </c>
      <c r="K141" s="16">
        <f>IF(C141=0,0,IF(P141="Complete",SUM('Operating costs'!$B$24,'Operating costs'!$B$27,'Operating costs'!$B$29,'Operating costs'!$B$31,'Operating costs'!$B$33,'Operating costs'!$B$34,'Operating costs'!$B$37,'Replacement plan'!$W$40)+'Operating costs'!$B$39*'Operating costs'!$B$42+ROUNDUP(S141*(R141-'Operating costs'!$B$39)*IF('Replacement plan'!$AG$40="",'Operating costs'!$B$7,'Replacement plan'!$AG$40)/('Operating costs'!$B$8-'Operating costs'!$B$9*IF('Replacement plan'!$AG$40="",'Operating costs'!$B$7,'Replacement plan'!$AG$40)),0)*('Operating costs'!$B$9/'Operating costs'!$B$11+'Operating costs'!$B$10/60)*'Operating costs'!$B$19*'Operating costs'!$B$21,"n.a."))</f>
        <v>0</v>
      </c>
      <c r="L141" s="16">
        <f>IF(C141=0,0,IF(P141="Complete",IF(D141="EV",X141*((1-T141)*'Energy and charging'!$B$10+T141*'Energy and charging'!$B$11)*'Operating costs'!$B$22,AA141*('Energy and charging'!$B$9*'Energy and charging'!$B$7+(1-'Energy and charging'!$B$9)*'Energy and charging'!$B$8)*'Operating costs'!$B$23),"n.a."))</f>
        <v>0</v>
      </c>
      <c r="M141" s="37">
        <f>IF(C141=0,0,IF(P141="Complete",IF(D141="ICE",SUM('Operating costs'!$B$25,'Operating costs'!$B$27,'Operating costs'!$B$29,'Operating costs'!$B$31,'Operating costs'!$B$33,'Operating costs'!$B$35,'Operating costs'!$B$37,'Replacement plan'!$X$40)+'Operating costs'!$B$40*'Operating costs'!$B$42+ROUNDUP(S141*(R141-'Operating costs'!$B$40)*IF('Replacement plan'!$AH$40="",'Operating costs'!$B$7,'Replacement plan'!$AH$40)/('Operating costs'!$B$8-'Operating costs'!$B$9*IF('Replacement plan'!$AH$40="",'Operating costs'!$B$7,'Replacement plan'!$AH$40)),0)*('Operating costs'!$B$9/'Operating costs'!$B$11+'Operating costs'!$B$10/60)*'Operating costs'!$B$19*'Operating costs'!$B$21,SUM(AP141,'Operating costs'!$B$28,'Operating costs'!$B$30,'Operating costs'!$B$32,'Operating costs'!$B$33,'Operating costs'!$B$36,'Operating costs'!$B$38,'Replacement plan'!$Y$40)+'Operating costs'!$B$41*'Operating costs'!$B$43+W141*'Operating costs'!$B$15+(T141*X141/'Replacement plan'!$L$40+W141*('Operating costs'!$B$12/'Operating costs'!$B$11+('Operating costs'!$B$13+'Operating costs'!$B$14)/60)+(R141-'Operating costs'!$B$41)*(IF(T141&lt;1,'Operating costs'!$B$16,0)+'Operating costs'!$B$17)/60)*'Operating costs'!$B$19*'Operating costs'!$B$20),"n.a."))</f>
        <v>0</v>
      </c>
      <c r="N141" s="16">
        <f>IF(AND(C141=1,D141="EV",E141&lt;120,E141+'Replacement plan'!$AA$40&lt;=120),'Replacement plan'!$Z$40,0)</f>
        <v>0</v>
      </c>
      <c r="O141" s="1">
        <f>E141+'Replacement plan'!$AA$40</f>
        <v>0</v>
      </c>
      <c r="P141" s="35" t="str">
        <f>IFERROR(IF(C141=0,"Excluded",IF(OR(COUNTIFS('Fleet register'!$A$7:$A$106,A141)&lt;&gt;1,COUNTIFS('Replacement plan'!$A$7:$A$106,A141)&lt;&gt;1),"Duplicate/missing ID",IF(NOT(AND(ISNUMBER(VLOOKUP($A141,'Fleet register'!$A$7:$S$106,5,FALSE)),ISNUMBER(VLOOKUP($A141,'Fleet register'!$A$7:$S$106,6,FALSE)),ISNUMBER(VLOOKUP($A141,'Fleet register'!$A$7:$S$106,10,FALSE)),ISNUMBER(VLOOKUP($A141,'Fleet register'!$A$7:$S$106,11,FALSE)),ISNUMBER(VLOOKUP($A141,'Fleet register'!$A$7:$S$106,12,FALSE)),ISNUMBER(VLOOKUP($A141,'Fleet register'!$A$7:$S$106,13,FALSE)),ISNUMBER(VLOOKUP($A141,'Fleet register'!$A$7:$S$106,14,FALSE)),VLOOKUP($A141,'Fleet register'!$A$7:$S$106,14,FALSE)&gt;0,ISNUMBER('Replacement plan'!$C$40),OR(E141=120,ISNUMBER('Replacement plan'!$Q$40)),ISNUMBER(E141))),"Missing vehicle input",IF(OR(E141&lt;0,E141&gt;VLOOKUP($A141,'Fleet register'!$A$7:$S$106,10,FALSE),E141&gt;120,E141&lt;&gt;INT(E141),VLOOKUP($A141,'Fleet register'!$A$7:$S$106,6,FALSE)&lt;=0,VLOOKUP($A141,'Fleet register'!$A$7:$S$106,6,FALSE)&gt;366,VLOOKUP($A141,'Fleet register'!$A$7:$S$106,5,FALSE)&lt;0,VLOOKUP($A141,'Fleet register'!$A$7:$S$106,11,FALSE)&lt;0,I141&lt;0,'Operating costs'!$B$8&lt;='Operating costs'!$B$7*'Operating costs'!$B$9,'Operating costs'!$B$11&lt;=0,'Operating costs'!$B$39&gt;R141,'Operating costs'!$B$40&gt;R141,'Operating costs'!$B$41&gt;R141,NOT(OR('Replacement plan'!$O$40="Keep ICE",'Replacement plan'!$O$40="New ICE",'Replacement plan'!$O$40="EV"))),"Invalid vehicle input",IF(AND(D141="EV",E141&lt;120,OR(NOT(ISNUMBER(U141)),NOT(ISNUMBER(V141)),V141&lt;=0,T141&lt;0,T141&gt;1,'Replacement plan'!$L$40&lt;=0,'Operating costs'!$B$44&lt;0,'Operating costs'!$B$44&gt;=1,'Operating costs'!$B$47&lt;=0,'Operating costs'!$B$47&gt;1,V141*'Operating costs'!$B$47/(1-'Operating costs'!$B$44)&lt;=T141*'Operating costs'!$B$12*U141,AND('Replacement plan'!$Z$40&gt;0,OR('Replacement plan'!$AB$40&lt;&gt;"Yes",'Operating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charging'!$B$8&gt;=0))),ISNUMBER(VLOOKUP($A141,'Fleet register'!$A$7:$S$106,15,FALSE)),ISNUMBER(VLOOKUP($A141,'Fleet register'!$A$7:$S$106,16,FALSE)),ISNUMBER('Replacement plan'!$W$40),ISNUMBER('Replacement plan'!$X$40),OR(E141=120,AND(ISNUMBER(G141),G141&gt;=0)),ISNUMBER(H141),H141&gt;=0,OR(D141&lt;&gt;"EV",E141=120,AND(ISNUMBER('Operating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average",ISNUMBER(IFERROR(INDEX(Products!$P$7:$P$13,MATCH(AD141,Products!$A$7:$A$13,0)),"")))),ISNUMBER('Operating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plan'!$Y$40),ISNUMBER('Replacement plan'!$Z$40),'Replacement plan'!$Z$40&gt;=0,ISNUMBER('Replacement plan'!$AA$40),'Replacement plan'!$AA$40&gt;=0,'Replacement plan'!$AA$40=INT('Replacement plan'!$AA$40),ISNUMBER('Replacement plan'!$L$40))),'Operating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plan'!$AG$40="",'Operating costs'!$B$7,'Replacement plan'!$AG$40)),IF('Replacement plan'!$AG$40="",'Operating costs'!$B$7,'Replacement plan'!$AG$40)&gt;=0,ISNUMBER(IF('Replacement plan'!$AH$40="",'Operating costs'!$B$7,'Replacement plan'!$AH$40)),IF('Replacement plan'!$AH$40="",'Operating costs'!$B$7,'Replacement plan'!$AH$40)&gt;=0,'Operating costs'!$B$8&gt;MAX(IF('Replacement plan'!$AG$40="",'Operating costs'!$B$7,'Replacement plan'!$AG$40),IF('Replacement plan'!$AH$40="",'Operating costs'!$B$7,'Replacement plan'!$AH$40))*'Operating costs'!$B$9),IF(AND(VLOOKUP($A141,'Fleet register'!$A$7:$S$106,10,FALSE)&gt;=0,VLOOKUP($A141,'Fleet register'!$A$7:$S$106,10,FALSE)&lt;=120,VLOOKUP($A141,'Fleet register'!$A$7:$S$106,10,FALSE)=INT(VLOOKUP($A141,'Fleet register'!$A$7:$S$106,10,FALSE)),VLOOKUP($A141,'Fleet register'!$A$7:$S$106,15,FALSE)&gt;=0,VLOOKUP($A141,'Fleet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costs'!$B$67)&gt;=0,OR(D141&lt;&gt;"EV",E141=120,AND(MIN('Operating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41" s="1" t="str">
        <f>IF(C141=0,"Excluded",IF(P141&lt;&gt;"Complete",P141,IF(OR('Replacement plan'!$AD$40&lt;120-E141,AND(D141="EV",E141&lt;120,OR('Replacement plan'!$AC$40&lt;120-E141,'Replacement plan'!$I$40="No",AND(ISNUMBER(AF141),AE141&gt;AF141),AI141&gt;V141*(1-'Operating costs'!$B$46)^MAX(0,AB141-1)*(1-'Operating costs'!$B$45),AC141&gt;'Operating costs'!$B$18,AND(T141&lt;1,OR(AG141&lt;=0,AND(ISNUMBER(AH141),AG141&gt;AH141))),'Replacement plan'!$L$40&gt;INDEX(Products!$H$7:$H$13,MATCH('Replacement plan'!$B$40,Products!$A$7:$A$13,0))))),"Fails entered limits",IF(AND(D141="EV",E141&lt;120,OR(NOT(ISNUMBER(VLOOKUP($A141,'Fleet register'!$A$7:$S$106,7,FALSE))),NOT(ISNUMBER(VLOOKUP($A141,'Fleet register'!$A$7:$S$106,8,FALSE))),NOT(ISNUMBER(AF141)),'Replacement plan'!$I$40&lt;&gt;"Yes",NOT(ISNUMBER(AH141)),'Operating costs'!$B$59&lt;&gt;"Yes",'Operating costs'!$B$58&lt;&gt;"Yes")),"Unverified","Within entered limits"))))</f>
        <v>Excluded</v>
      </c>
      <c r="R141" s="1">
        <f>IF(C141=0,0,VLOOKUP($A141,'Fleet register'!$A$7:$S$106,6,FALSE))</f>
        <v>0</v>
      </c>
      <c r="S141" s="1">
        <f>IF(C141=0,0,VLOOKUP($A141,'Fleet register'!$A$7:$S$106,5,FALSE))</f>
        <v>0</v>
      </c>
      <c r="T141" s="1">
        <f>IF(D141="EV",'Energy and charging'!$B$12,0)</f>
        <v>0</v>
      </c>
      <c r="U141" s="1">
        <f>IFERROR(IF(C141=0,0,IF(D141="EV",IF('Replacement plan'!$F$40="",INDEX(Products!$E$7:$E$13,MATCH('Replacement plan'!$B$40,Products!$A$7:$A$13,0)),'Replacement plan'!$F$40)/IF('Replacement plan'!$G$40="Battery",1-'Operating costs'!$B$44,1),0)),"n.a.")</f>
        <v>0</v>
      </c>
      <c r="V141" s="1">
        <f>IFERROR(IF(C141=0,0,IF(D141="EV",IF('Replacement plan'!$E$40="",INDEX(Products!$D$7:$D$13,MATCH('Replacement plan'!$B$40,Products!$A$7:$A$13,0)),'Replacement plan'!$E$40),0)),"n.a.")</f>
        <v>0</v>
      </c>
      <c r="W141" s="1">
        <f>IF(C141=0,0,IF(AND(P141="Complete",D141="EV",E141&lt;120),IF(T141=0,0,ROUNDUP(T141*(R141-'Operating costs'!$B$41)*(S141*U141+'Operating costs'!$B$48/(1-'Operating costs'!$B$44))/(V141*'Operating costs'!$B$47/(1-'Operating costs'!$B$44)-T141*'Operating costs'!$B$12*U141),0)),0))</f>
        <v>0</v>
      </c>
      <c r="X141" s="1">
        <f>IF(C141=0,0,IF(AND(P141="Complete",D141="EV",E141&lt;120),(R141-'Operating costs'!$B$41)*(S141*U141+'Operating costs'!$B$48/(1-'Operating costs'!$B$44))+W141*'Operating costs'!$B$12*U141,0))</f>
        <v>0</v>
      </c>
      <c r="Y141" s="1">
        <f>IF(AND(C141=1,D141="EV",E141&lt;120),AI141/(1-'Operating costs'!$B$44)*(1-T141),0)</f>
        <v>0</v>
      </c>
      <c r="Z141" s="1">
        <f t="shared" si="4"/>
        <v>0</v>
      </c>
      <c r="AA141" s="1">
        <f>IF(C141=0,0,IF(P141="Complete",((S141*(R141-'Operating costs'!$B$40))+ROUNDUP(S141*(R141-'Operating costs'!$B$40)*IF('Replacement plan'!$AH$40="",'Operating costs'!$B$7,'Replacement plan'!$AH$40)/('Operating costs'!$B$8-'Operating costs'!$B$9*IF('Replacement plan'!$AH$40="",'Operating costs'!$B$7,'Replacement plan'!$AH$40)),0)*'Operating costs'!$B$9)*IF('Replacement plan'!$AH$40="",'Operating costs'!$B$7,'Replacement plan'!$AH$40),"n.a."))</f>
        <v>0</v>
      </c>
      <c r="AB141" s="1">
        <f t="shared" si="5"/>
        <v>0</v>
      </c>
      <c r="AC141" s="1">
        <f>IF(AND(C141=1,D141="EV",E141&lt;120,T141&gt;0),'Operating costs'!$B$12/'Operating costs'!$B$11*60+'Operating costs'!$B$13+'Operating costs'!$B$14+V141*'Operating costs'!$B$47/(1-'Operating costs'!$B$44)/'Replacement plan'!$L$40*60,0)</f>
        <v>0</v>
      </c>
      <c r="AD141" s="1" t="str">
        <f>'Replacement plan'!$B$40</f>
        <v>ChengLong L2EV</v>
      </c>
      <c r="AE141" s="1">
        <f>IF(C141=0,0,VLOOKUP($A141,'Fleet register'!$A$7:$S$106,8,FALSE))</f>
        <v>0</v>
      </c>
      <c r="AF141" s="1" t="str">
        <f>IF('Replacement plan'!$H$40="","n.a.",'Replacement plan'!$H$40)</f>
        <v>n.a.</v>
      </c>
      <c r="AG141" s="1">
        <f>'Replacement plan'!$J$40</f>
        <v>22</v>
      </c>
      <c r="AH141" s="1">
        <f>IFERROR(IF(D141="EV",IF('Replacement plan'!$K$40="AC",IF(ISNUMBER(INDEX(Products!$G$7:$G$13,MATCH('Replacement plan'!$B$40,Products!$A$7:$A$13,0))),INDEX(Products!$G$7:$G$13,MATCH('Replacement plan'!$B$40,Products!$A$7:$A$13,0)),"n.a."),IF(ISNUMBER(INDEX(Products!$H$7:$H$13,MATCH('Replacement plan'!$B$40,Products!$A$7:$A$13,0))),INDEX(Products!$H$7:$H$13,MATCH('Replacement plan'!$B$40,Products!$A$7:$A$13,0)),"n.a.")),0),"n.a.")</f>
        <v>0</v>
      </c>
      <c r="AI141" s="1">
        <f>IF(AND(C141=1,D141="EV",E141&lt;120),(VLOOKUP($A141,'Fleet register'!$A$7:$S$106,7,FALSE)+IF(T141&gt;0,'Operating costs'!$B$12,0))*U141*(1-'Operating costs'!$B$44)+'Operating costs'!$B$49,0)</f>
        <v>0</v>
      </c>
      <c r="AJ141" s="1">
        <f>IF(D141="EV",'Energy and charging'!$B$50,0)</f>
        <v>0</v>
      </c>
      <c r="AK141" s="17">
        <f>EDATE('Operating costs'!$B$63,E141)</f>
        <v>46298</v>
      </c>
      <c r="AL141" s="1">
        <f>IFERROR(IF(D141="EV",INDEX(Products!$B$7:$B$13,MATCH('Replacement plan'!$B$40,Products!$A$7:$A$13,0)),0),"n.a.")</f>
        <v>0</v>
      </c>
      <c r="AM141" s="1" t="str">
        <f>'Replacement plan'!$K$40</f>
        <v>DC</v>
      </c>
      <c r="AN141" s="1" t="str">
        <f>'Replacement plan'!$AE$40</f>
        <v>Assumed</v>
      </c>
      <c r="AO141" s="47">
        <f>IF(AND(C141=1,D141="EV",E141&lt;120),(R141-'Operating costs'!$B$41)*S141+W141*'Operating costs'!$B$12,0)</f>
        <v>0</v>
      </c>
      <c r="AP141" s="41">
        <f>IF(AND(C141=1,D141="EV",E141&lt;120),IF('Operating costs'!$B$68="Hong Seh 200k average",AO141*IFERROR(INDEX(Products!$P$7:$P$13,MATCH(AD141,Products!$A$7:$A$13,0)),"n.a."),'Operating costs'!$B$26),0)</f>
        <v>0</v>
      </c>
      <c r="AQ141" s="40" t="str">
        <f>IF(D141="EV",'Operating costs'!$B$68,"Not applicable")</f>
        <v>Not applicable</v>
      </c>
    </row>
    <row r="142" spans="1:43" ht="24" customHeight="1">
      <c r="A142" s="1" t="str">
        <f>'Replacement plan'!A40</f>
        <v>T034</v>
      </c>
      <c r="B142" s="1">
        <v>3</v>
      </c>
      <c r="C142" s="1">
        <f>IF(COUNTIFS('Fleet register'!$A$7:$A$106,$A142)=1,VLOOKUP($A142,'Fleet register'!$A$7:$S$106,2,FALSE),0)</f>
        <v>0</v>
      </c>
      <c r="D142" s="1" t="str">
        <f>IF('Replacement plan'!$R$40="EV","EV","ICE")</f>
        <v>ICE</v>
      </c>
      <c r="E142" s="1">
        <f>IF(C142=0,0,IF('Replacement plan'!$S$40="",IF('Replacement plan'!$R$40="Keep ICE",IF('Replacement plan'!$M$40="",VLOOKUP($A142,'Fleet register'!$A$7:$S$106,10,FALSE),'Replacement plan'!$M$40),0),'Replacement plan'!$S$40))</f>
        <v>0</v>
      </c>
      <c r="F142" s="16">
        <f>IF(C142=0,0,VLOOKUP($A142,'Fleet register'!$A$7:$S$106,11,FALSE))</f>
        <v>0</v>
      </c>
      <c r="G142" s="16">
        <f>IFERROR(IF(C142=0,0,IF(E142=120,0,IF(D142="ICE",'Replacement plan'!$C$40,IF('Replacement plan'!$D$40="",INDEX(Products!$I$7:$I$13,MATCH('Replacement plan'!$B$40,Products!$A$7:$A$13,0))+'Operating costs'!$B$57,'Replacement plan'!$D$40))*(1+'Operating costs'!$B$50)^(E142/12))),"n.a.")</f>
        <v>0</v>
      </c>
      <c r="H142" s="16">
        <f>IFERROR(IF(C142=0,0,IF('Replacement plan'!$V$40&lt;&gt;"",'Replacement plan'!$V$40,IF(E142=0,F142,VLOOKUP($A142,'Fleet register'!$A$7:$S$106,12,FALSE)+VLOOKUP($A142,'Fleet register'!$A$7:$S$106,13,FALSE)*MAX(0,VLOOKUP($A142,'Fleet register'!$A$7:$S$106,10,FALSE)-E142)/VLOOKUP($A142,'Fleet register'!$A$7:$S$106,14,FALSE)))),"n.a.")</f>
        <v>0</v>
      </c>
      <c r="I142" s="16">
        <f>IF(C142=0,0,IF(E142=120,0,'Replacement plan'!$T$40))</f>
        <v>0</v>
      </c>
      <c r="J142" s="16">
        <f>IF(C142=0,0,IF(P142="Complete",((S142*(R142-'Operating costs'!$B$39))+ROUNDUP(S142*(R142-'Operating costs'!$B$39)*IF('Replacement plan'!$AG$40="",'Operating costs'!$B$7,'Replacement plan'!$AG$40)/('Operating costs'!$B$8-'Operating costs'!$B$9*IF('Replacement plan'!$AG$40="",'Operating costs'!$B$7,'Replacement plan'!$AG$40)),0)*'Operating costs'!$B$9)*IF('Replacement plan'!$AG$40="",'Operating costs'!$B$7,'Replacement plan'!$AG$40)*('Energy and charging'!$C$9*'Energy and charging'!$C$7+(1-'Energy and charging'!$C$9)*'Energy and charging'!$C$8)*'Operating costs'!$B$23,"n.a."))</f>
        <v>0</v>
      </c>
      <c r="K142" s="16">
        <f>IF(C142=0,0,IF(P142="Complete",SUM('Operating costs'!$B$24,'Operating costs'!$B$27,'Operating costs'!$B$29,'Operating costs'!$B$31,'Operating costs'!$B$33,'Operating costs'!$B$34,'Operating costs'!$B$37,'Replacement plan'!$W$40)+'Operating costs'!$B$39*'Operating costs'!$B$42+ROUNDUP(S142*(R142-'Operating costs'!$B$39)*IF('Replacement plan'!$AG$40="",'Operating costs'!$B$7,'Replacement plan'!$AG$40)/('Operating costs'!$B$8-'Operating costs'!$B$9*IF('Replacement plan'!$AG$40="",'Operating costs'!$B$7,'Replacement plan'!$AG$40)),0)*('Operating costs'!$B$9/'Operating costs'!$B$11+'Operating costs'!$B$10/60)*'Operating costs'!$B$19*'Operating costs'!$B$21,"n.a."))</f>
        <v>0</v>
      </c>
      <c r="L142" s="16">
        <f>IF(C142=0,0,IF(P142="Complete",IF(D142="EV",X142*((1-T142)*'Energy and charging'!$C$10+T142*'Energy and charging'!$C$11)*'Operating costs'!$B$22,AA142*('Energy and charging'!$C$9*'Energy and charging'!$C$7+(1-'Energy and charging'!$C$9)*'Energy and charging'!$C$8)*'Operating costs'!$B$23),"n.a."))</f>
        <v>0</v>
      </c>
      <c r="M142" s="37">
        <f>IF(C142=0,0,IF(P142="Complete",IF(D142="ICE",SUM('Operating costs'!$B$25,'Operating costs'!$B$27,'Operating costs'!$B$29,'Operating costs'!$B$31,'Operating costs'!$B$33,'Operating costs'!$B$35,'Operating costs'!$B$37,'Replacement plan'!$X$40)+'Operating costs'!$B$40*'Operating costs'!$B$42+ROUNDUP(S142*(R142-'Operating costs'!$B$40)*IF('Replacement plan'!$AH$40="",'Operating costs'!$B$7,'Replacement plan'!$AH$40)/('Operating costs'!$B$8-'Operating costs'!$B$9*IF('Replacement plan'!$AH$40="",'Operating costs'!$B$7,'Replacement plan'!$AH$40)),0)*('Operating costs'!$B$9/'Operating costs'!$B$11+'Operating costs'!$B$10/60)*'Operating costs'!$B$19*'Operating costs'!$B$21,SUM(AP142,'Operating costs'!$B$28,'Operating costs'!$B$30,'Operating costs'!$B$32,'Operating costs'!$B$33,'Operating costs'!$B$36,'Operating costs'!$B$38,'Replacement plan'!$Y$40)+'Operating costs'!$B$41*'Operating costs'!$B$43+W142*'Operating costs'!$B$15+(T142*X142/'Replacement plan'!$L$40+W142*('Operating costs'!$B$12/'Operating costs'!$B$11+('Operating costs'!$B$13+'Operating costs'!$B$14)/60)+(R142-'Operating costs'!$B$41)*(IF(T142&lt;1,'Operating costs'!$B$16,0)+'Operating costs'!$B$17)/60)*'Operating costs'!$B$19*'Operating costs'!$B$20),"n.a."))</f>
        <v>0</v>
      </c>
      <c r="N142" s="16">
        <f>IF(AND(C142=1,D142="EV",E142&lt;120,E142+'Replacement plan'!$AA$40&lt;=120),'Replacement plan'!$Z$40,0)</f>
        <v>0</v>
      </c>
      <c r="O142" s="1">
        <f>E142+'Replacement plan'!$AA$40</f>
        <v>0</v>
      </c>
      <c r="P142" s="35" t="str">
        <f>IFERROR(IF(C142=0,"Excluded",IF(OR(COUNTIFS('Fleet register'!$A$7:$A$106,A142)&lt;&gt;1,COUNTIFS('Replacement plan'!$A$7:$A$106,A142)&lt;&gt;1),"Duplicate/missing ID",IF(NOT(AND(ISNUMBER(VLOOKUP($A142,'Fleet register'!$A$7:$S$106,5,FALSE)),ISNUMBER(VLOOKUP($A142,'Fleet register'!$A$7:$S$106,6,FALSE)),ISNUMBER(VLOOKUP($A142,'Fleet register'!$A$7:$S$106,10,FALSE)),ISNUMBER(VLOOKUP($A142,'Fleet register'!$A$7:$S$106,11,FALSE)),ISNUMBER(VLOOKUP($A142,'Fleet register'!$A$7:$S$106,12,FALSE)),ISNUMBER(VLOOKUP($A142,'Fleet register'!$A$7:$S$106,13,FALSE)),ISNUMBER(VLOOKUP($A142,'Fleet register'!$A$7:$S$106,14,FALSE)),VLOOKUP($A142,'Fleet register'!$A$7:$S$106,14,FALSE)&gt;0,ISNUMBER('Replacement plan'!$C$40),OR(E142=120,ISNUMBER('Replacement plan'!$T$40)),ISNUMBER(E142))),"Missing vehicle input",IF(OR(E142&lt;0,E142&gt;VLOOKUP($A142,'Fleet register'!$A$7:$S$106,10,FALSE),E142&gt;120,E142&lt;&gt;INT(E142),VLOOKUP($A142,'Fleet register'!$A$7:$S$106,6,FALSE)&lt;=0,VLOOKUP($A142,'Fleet register'!$A$7:$S$106,6,FALSE)&gt;366,VLOOKUP($A142,'Fleet register'!$A$7:$S$106,5,FALSE)&lt;0,VLOOKUP($A142,'Fleet register'!$A$7:$S$106,11,FALSE)&lt;0,I142&lt;0,'Operating costs'!$B$8&lt;='Operating costs'!$B$7*'Operating costs'!$B$9,'Operating costs'!$B$11&lt;=0,'Operating costs'!$B$39&gt;R142,'Operating costs'!$B$40&gt;R142,'Operating costs'!$B$41&gt;R142,NOT(OR('Replacement plan'!$R$40="Keep ICE",'Replacement plan'!$R$40="New ICE",'Replacement plan'!$R$40="EV"))),"Invalid vehicle input",IF(AND(D142="EV",E142&lt;120,OR(NOT(ISNUMBER(U142)),NOT(ISNUMBER(V142)),V142&lt;=0,T142&lt;0,T142&gt;1,'Replacement plan'!$L$40&lt;=0,'Operating costs'!$B$44&lt;0,'Operating costs'!$B$44&gt;=1,'Operating costs'!$B$47&lt;=0,'Operating costs'!$B$47&gt;1,V142*'Operating costs'!$B$47/(1-'Operating costs'!$B$44)&lt;=T142*'Operating costs'!$B$12*U142,AND('Replacement plan'!$Z$40&gt;0,OR('Replacement plan'!$AB$40&lt;&gt;"Yes",'Operating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charging'!$C$8&gt;=0))),ISNUMBER(VLOOKUP($A142,'Fleet register'!$A$7:$S$106,15,FALSE)),ISNUMBER(VLOOKUP($A142,'Fleet register'!$A$7:$S$106,16,FALSE)),ISNUMBER('Replacement plan'!$W$40),ISNUMBER('Replacement plan'!$X$40),OR(E142=120,AND(ISNUMBER(G142),G142&gt;=0)),ISNUMBER(H142),H142&gt;=0,OR(D142&lt;&gt;"EV",E142=120,AND(ISNUMBER('Operating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average",ISNUMBER(IFERROR(INDEX(Products!$P$7:$P$13,MATCH(AD142,Products!$A$7:$A$13,0)),"")))),ISNUMBER('Operating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plan'!$Y$40),ISNUMBER('Replacement plan'!$Z$40),'Replacement plan'!$Z$40&gt;=0,ISNUMBER('Replacement plan'!$AA$40),'Replacement plan'!$AA$40&gt;=0,'Replacement plan'!$AA$40=INT('Replacement plan'!$AA$40),ISNUMBER('Replacement plan'!$L$40))),'Operating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plan'!$AG$40="",'Operating costs'!$B$7,'Replacement plan'!$AG$40)),IF('Replacement plan'!$AG$40="",'Operating costs'!$B$7,'Replacement plan'!$AG$40)&gt;=0,ISNUMBER(IF('Replacement plan'!$AH$40="",'Operating costs'!$B$7,'Replacement plan'!$AH$40)),IF('Replacement plan'!$AH$40="",'Operating costs'!$B$7,'Replacement plan'!$AH$40)&gt;=0,'Operating costs'!$B$8&gt;MAX(IF('Replacement plan'!$AG$40="",'Operating costs'!$B$7,'Replacement plan'!$AG$40),IF('Replacement plan'!$AH$40="",'Operating costs'!$B$7,'Replacement plan'!$AH$40))*'Operating costs'!$B$9),IF(AND(VLOOKUP($A142,'Fleet register'!$A$7:$S$106,10,FALSE)&gt;=0,VLOOKUP($A142,'Fleet register'!$A$7:$S$106,10,FALSE)&lt;=120,VLOOKUP($A142,'Fleet register'!$A$7:$S$106,10,FALSE)=INT(VLOOKUP($A142,'Fleet register'!$A$7:$S$106,10,FALSE)),VLOOKUP($A142,'Fleet register'!$A$7:$S$106,15,FALSE)&gt;=0,VLOOKUP($A142,'Fleet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costs'!$B$67)&gt;=0,OR(D142&lt;&gt;"EV",E142=120,AND(MIN('Operating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42" s="1" t="str">
        <f>IF(C142=0,"Excluded",IF(P142&lt;&gt;"Complete",P142,IF(OR('Replacement plan'!$AD$40&lt;120-E142,AND(D142="EV",E142&lt;120,OR('Replacement plan'!$AC$40&lt;120-E142,'Replacement plan'!$I$40="No",AND(ISNUMBER(AF142),AE142&gt;AF142),AI142&gt;V142*(1-'Operating costs'!$B$46)^MAX(0,AB142-1)*(1-'Operating costs'!$B$45),AC142&gt;'Operating costs'!$B$18,AND(T142&lt;1,OR(AG142&lt;=0,AND(ISNUMBER(AH142),AG142&gt;AH142))),'Replacement plan'!$L$40&gt;INDEX(Products!$H$7:$H$13,MATCH('Replacement plan'!$B$40,Products!$A$7:$A$13,0))))),"Fails entered limits",IF(AND(D142="EV",E142&lt;120,OR(NOT(ISNUMBER(VLOOKUP($A142,'Fleet register'!$A$7:$S$106,7,FALSE))),NOT(ISNUMBER(VLOOKUP($A142,'Fleet register'!$A$7:$S$106,8,FALSE))),NOT(ISNUMBER(AF142)),'Replacement plan'!$I$40&lt;&gt;"Yes",NOT(ISNUMBER(AH142)),'Operating costs'!$B$59&lt;&gt;"Yes",'Operating costs'!$B$58&lt;&gt;"Yes")),"Unverified","Within entered limits"))))</f>
        <v>Excluded</v>
      </c>
      <c r="R142" s="1">
        <f>IF(C142=0,0,VLOOKUP($A142,'Fleet register'!$A$7:$S$106,6,FALSE))</f>
        <v>0</v>
      </c>
      <c r="S142" s="1">
        <f>IF(C142=0,0,VLOOKUP($A142,'Fleet register'!$A$7:$S$106,5,FALSE))</f>
        <v>0</v>
      </c>
      <c r="T142" s="1">
        <f>IF(D142="EV",'Energy and charging'!$C$12,0)</f>
        <v>0</v>
      </c>
      <c r="U142" s="1">
        <f>IFERROR(IF(C142=0,0,IF(D142="EV",IF('Replacement plan'!$F$40="",INDEX(Products!$E$7:$E$13,MATCH('Replacement plan'!$B$40,Products!$A$7:$A$13,0)),'Replacement plan'!$F$40)/IF('Replacement plan'!$G$40="Battery",1-'Operating costs'!$B$44,1),0)),"n.a.")</f>
        <v>0</v>
      </c>
      <c r="V142" s="1">
        <f>IFERROR(IF(C142=0,0,IF(D142="EV",IF('Replacement plan'!$E$40="",INDEX(Products!$D$7:$D$13,MATCH('Replacement plan'!$B$40,Products!$A$7:$A$13,0)),'Replacement plan'!$E$40),0)),"n.a.")</f>
        <v>0</v>
      </c>
      <c r="W142" s="1">
        <f>IF(C142=0,0,IF(AND(P142="Complete",D142="EV",E142&lt;120),IF(T142=0,0,ROUNDUP(T142*(R142-'Operating costs'!$B$41)*(S142*U142+'Operating costs'!$B$48/(1-'Operating costs'!$B$44))/(V142*'Operating costs'!$B$47/(1-'Operating costs'!$B$44)-T142*'Operating costs'!$B$12*U142),0)),0))</f>
        <v>0</v>
      </c>
      <c r="X142" s="1">
        <f>IF(C142=0,0,IF(AND(P142="Complete",D142="EV",E142&lt;120),(R142-'Operating costs'!$B$41)*(S142*U142+'Operating costs'!$B$48/(1-'Operating costs'!$B$44))+W142*'Operating costs'!$B$12*U142,0))</f>
        <v>0</v>
      </c>
      <c r="Y142" s="1">
        <f>IF(AND(C142=1,D142="EV",E142&lt;120),AI142/(1-'Operating costs'!$B$44)*(1-T142),0)</f>
        <v>0</v>
      </c>
      <c r="Z142" s="1">
        <f t="shared" si="4"/>
        <v>0</v>
      </c>
      <c r="AA142" s="1">
        <f>IF(C142=0,0,IF(P142="Complete",((S142*(R142-'Operating costs'!$B$40))+ROUNDUP(S142*(R142-'Operating costs'!$B$40)*IF('Replacement plan'!$AH$40="",'Operating costs'!$B$7,'Replacement plan'!$AH$40)/('Operating costs'!$B$8-'Operating costs'!$B$9*IF('Replacement plan'!$AH$40="",'Operating costs'!$B$7,'Replacement plan'!$AH$40)),0)*'Operating costs'!$B$9)*IF('Replacement plan'!$AH$40="",'Operating costs'!$B$7,'Replacement plan'!$AH$40),"n.a."))</f>
        <v>0</v>
      </c>
      <c r="AB142" s="1">
        <f t="shared" si="5"/>
        <v>0</v>
      </c>
      <c r="AC142" s="1">
        <f>IF(AND(C142=1,D142="EV",E142&lt;120,T142&gt;0),'Operating costs'!$B$12/'Operating costs'!$B$11*60+'Operating costs'!$B$13+'Operating costs'!$B$14+V142*'Operating costs'!$B$47/(1-'Operating costs'!$B$44)/'Replacement plan'!$L$40*60,0)</f>
        <v>0</v>
      </c>
      <c r="AD142" s="1" t="str">
        <f>'Replacement plan'!$B$40</f>
        <v>ChengLong L2EV</v>
      </c>
      <c r="AE142" s="1">
        <f>IF(C142=0,0,VLOOKUP($A142,'Fleet register'!$A$7:$S$106,8,FALSE))</f>
        <v>0</v>
      </c>
      <c r="AF142" s="1" t="str">
        <f>IF('Replacement plan'!$H$40="","n.a.",'Replacement plan'!$H$40)</f>
        <v>n.a.</v>
      </c>
      <c r="AG142" s="1">
        <f>'Replacement plan'!$J$40</f>
        <v>22</v>
      </c>
      <c r="AH142" s="1">
        <f>IFERROR(IF(D142="EV",IF('Replacement plan'!$K$40="AC",IF(ISNUMBER(INDEX(Products!$G$7:$G$13,MATCH('Replacement plan'!$B$40,Products!$A$7:$A$13,0))),INDEX(Products!$G$7:$G$13,MATCH('Replacement plan'!$B$40,Products!$A$7:$A$13,0)),"n.a."),IF(ISNUMBER(INDEX(Products!$H$7:$H$13,MATCH('Replacement plan'!$B$40,Products!$A$7:$A$13,0))),INDEX(Products!$H$7:$H$13,MATCH('Replacement plan'!$B$40,Products!$A$7:$A$13,0)),"n.a.")),0),"n.a.")</f>
        <v>0</v>
      </c>
      <c r="AI142" s="1">
        <f>IF(AND(C142=1,D142="EV",E142&lt;120),(VLOOKUP($A142,'Fleet register'!$A$7:$S$106,7,FALSE)+IF(T142&gt;0,'Operating costs'!$B$12,0))*U142*(1-'Operating costs'!$B$44)+'Operating costs'!$B$49,0)</f>
        <v>0</v>
      </c>
      <c r="AJ142" s="1">
        <f>IF(D142="EV",'Energy and charging'!$C$50,0)</f>
        <v>0</v>
      </c>
      <c r="AK142" s="17">
        <f>EDATE('Operating costs'!$B$63,E142)</f>
        <v>46298</v>
      </c>
      <c r="AL142" s="1">
        <f>IFERROR(IF(D142="EV",INDEX(Products!$B$7:$B$13,MATCH('Replacement plan'!$B$40,Products!$A$7:$A$13,0)),0),"n.a.")</f>
        <v>0</v>
      </c>
      <c r="AM142" s="1" t="str">
        <f>'Replacement plan'!$K$40</f>
        <v>DC</v>
      </c>
      <c r="AN142" s="1" t="str">
        <f>'Replacement plan'!$AE$40</f>
        <v>Assumed</v>
      </c>
      <c r="AO142" s="47">
        <f>IF(AND(C142=1,D142="EV",E142&lt;120),(R142-'Operating costs'!$B$41)*S142+W142*'Operating costs'!$B$12,0)</f>
        <v>0</v>
      </c>
      <c r="AP142" s="41">
        <f>IF(AND(C142=1,D142="EV",E142&lt;120),IF('Operating costs'!$B$68="Hong Seh 200k average",AO142*IFERROR(INDEX(Products!$P$7:$P$13,MATCH(AD142,Products!$A$7:$A$13,0)),"n.a."),'Operating costs'!$B$26),0)</f>
        <v>0</v>
      </c>
      <c r="AQ142" s="40" t="str">
        <f>IF(D142="EV",'Operating costs'!$B$68,"Not applicable")</f>
        <v>Not applicable</v>
      </c>
    </row>
    <row r="143" spans="1:43" ht="24" customHeight="1">
      <c r="A143" s="1" t="str">
        <f>'Replacement plan'!A41</f>
        <v>T035</v>
      </c>
      <c r="B143" s="1">
        <v>0</v>
      </c>
      <c r="C143" s="1">
        <f>IF(COUNTIFS('Fleet register'!$A$7:$A$106,$A143)=1,VLOOKUP($A143,'Fleet register'!$A$7:$S$106,2,FALSE),0)</f>
        <v>0</v>
      </c>
      <c r="D143" s="1" t="str">
        <f>IF("Keep ICE"="EV","EV","ICE")</f>
        <v>ICE</v>
      </c>
      <c r="E143" s="1">
        <f>IF(C143=0,0,IF('Replacement plan'!$M$41="",VLOOKUP($A143,'Fleet register'!$A$7:$S$106,10,FALSE),'Replacement plan'!$M$41))</f>
        <v>0</v>
      </c>
      <c r="F143" s="16">
        <f>IF(C143=0,0,VLOOKUP($A143,'Fleet register'!$A$7:$S$106,11,FALSE))</f>
        <v>0</v>
      </c>
      <c r="G143" s="16">
        <f>IFERROR(IF(C143=0,0,IF(E143=120,0,IF(D143="ICE",'Replacement plan'!$C$41,IF('Replacement plan'!$D$41="",INDEX(Products!$I$7:$I$13,MATCH('Replacement plan'!$B$41,Products!$A$7:$A$13,0))+'Operating costs'!$B$57,'Replacement plan'!$D$41))*(1+'Operating costs'!$B$50)^(E143/12))),"n.a.")</f>
        <v>0</v>
      </c>
      <c r="H143" s="16">
        <f>IFERROR(IF(C143=0,0,IF(E143=0,F143,VLOOKUP($A143,'Fleet register'!$A$7:$S$106,12,FALSE)+VLOOKUP($A143,'Fleet register'!$A$7:$S$106,13,FALSE)*MAX(0,VLOOKUP($A143,'Fleet register'!$A$7:$S$106,10,FALSE)-E143)/VLOOKUP($A143,'Fleet register'!$A$7:$S$106,14,FALSE))),"n.a.")</f>
        <v>0</v>
      </c>
      <c r="I143" s="16">
        <f>IF(C143=0,0,IF(E143=120,0,'Replacement plan'!$N$41))</f>
        <v>0</v>
      </c>
      <c r="J143" s="16">
        <f>IF(C143=0,0,IF(P143="Complete",((S143*(R143-'Operating costs'!$B$39))+ROUNDUP(S143*(R143-'Operating costs'!$B$39)*IF('Replacement plan'!$AG$41="",'Operating costs'!$B$7,'Replacement plan'!$AG$41)/('Operating costs'!$B$8-'Operating costs'!$B$9*IF('Replacement plan'!$AG$41="",'Operating costs'!$B$7,'Replacement plan'!$AG$41)),0)*'Operating costs'!$B$9)*IF('Replacement plan'!$AG$41="",'Operating costs'!$B$7,'Replacement plan'!$AG$41)*('Energy and charging'!$B$9*'Energy and charging'!$B$7+(1-'Energy and charging'!$B$9)*'Energy and charging'!$B$8)*'Operating costs'!$B$23,"n.a."))</f>
        <v>0</v>
      </c>
      <c r="K143" s="16">
        <f>IF(C143=0,0,IF(P143="Complete",SUM('Operating costs'!$B$24,'Operating costs'!$B$27,'Operating costs'!$B$29,'Operating costs'!$B$31,'Operating costs'!$B$33,'Operating costs'!$B$34,'Operating costs'!$B$37,'Replacement plan'!$W$41)+'Operating costs'!$B$39*'Operating costs'!$B$42+ROUNDUP(S143*(R143-'Operating costs'!$B$39)*IF('Replacement plan'!$AG$41="",'Operating costs'!$B$7,'Replacement plan'!$AG$41)/('Operating costs'!$B$8-'Operating costs'!$B$9*IF('Replacement plan'!$AG$41="",'Operating costs'!$B$7,'Replacement plan'!$AG$41)),0)*('Operating costs'!$B$9/'Operating costs'!$B$11+'Operating costs'!$B$10/60)*'Operating costs'!$B$19*'Operating costs'!$B$21,"n.a."))</f>
        <v>0</v>
      </c>
      <c r="L143" s="16">
        <f>IF(C143=0,0,IF(P143="Complete",IF(D143="EV",X143*((1-T143)*'Energy and charging'!$B$10+T143*'Energy and charging'!$B$11)*'Operating costs'!$B$22,AA143*('Energy and charging'!$B$9*'Energy and charging'!$B$7+(1-'Energy and charging'!$B$9)*'Energy and charging'!$B$8)*'Operating costs'!$B$23),"n.a."))</f>
        <v>0</v>
      </c>
      <c r="M143" s="37">
        <f>IF(C143=0,0,IF(P143="Complete",IF(D143="ICE",SUM('Operating costs'!$B$25,'Operating costs'!$B$27,'Operating costs'!$B$29,'Operating costs'!$B$31,'Operating costs'!$B$33,'Operating costs'!$B$35,'Operating costs'!$B$37,'Replacement plan'!$X$41)+'Operating costs'!$B$40*'Operating costs'!$B$42+ROUNDUP(S143*(R143-'Operating costs'!$B$40)*IF('Replacement plan'!$AH$41="",'Operating costs'!$B$7,'Replacement plan'!$AH$41)/('Operating costs'!$B$8-'Operating costs'!$B$9*IF('Replacement plan'!$AH$41="",'Operating costs'!$B$7,'Replacement plan'!$AH$41)),0)*('Operating costs'!$B$9/'Operating costs'!$B$11+'Operating costs'!$B$10/60)*'Operating costs'!$B$19*'Operating costs'!$B$21,SUM(AP143,'Operating costs'!$B$28,'Operating costs'!$B$30,'Operating costs'!$B$32,'Operating costs'!$B$33,'Operating costs'!$B$36,'Operating costs'!$B$38,'Replacement plan'!$Y$41)+'Operating costs'!$B$41*'Operating costs'!$B$43+W143*'Operating costs'!$B$15+(T143*X143/'Replacement plan'!$L$41+W143*('Operating costs'!$B$12/'Operating costs'!$B$11+('Operating costs'!$B$13+'Operating costs'!$B$14)/60)+(R143-'Operating costs'!$B$41)*(IF(T143&lt;1,'Operating costs'!$B$16,0)+'Operating costs'!$B$17)/60)*'Operating costs'!$B$19*'Operating costs'!$B$20),"n.a."))</f>
        <v>0</v>
      </c>
      <c r="N143" s="16">
        <f>IF(AND(C143=1,D143="EV",E143&lt;120,E143+'Replacement plan'!$AA$41&lt;=120),'Replacement plan'!$Z$41,0)</f>
        <v>0</v>
      </c>
      <c r="O143" s="1">
        <f>E143+'Replacement plan'!$AA$41</f>
        <v>0</v>
      </c>
      <c r="P143" s="35" t="str">
        <f>IFERROR(IF(C143=0,"Excluded",IF(OR(COUNTIFS('Fleet register'!$A$7:$A$106,A143)&lt;&gt;1,COUNTIFS('Replacement plan'!$A$7:$A$106,A143)&lt;&gt;1),"Duplicate/missing ID",IF(NOT(AND(ISNUMBER(VLOOKUP($A143,'Fleet register'!$A$7:$S$106,5,FALSE)),ISNUMBER(VLOOKUP($A143,'Fleet register'!$A$7:$S$106,6,FALSE)),ISNUMBER(VLOOKUP($A143,'Fleet register'!$A$7:$S$106,10,FALSE)),ISNUMBER(VLOOKUP($A143,'Fleet register'!$A$7:$S$106,11,FALSE)),ISNUMBER(VLOOKUP($A143,'Fleet register'!$A$7:$S$106,12,FALSE)),ISNUMBER(VLOOKUP($A143,'Fleet register'!$A$7:$S$106,13,FALSE)),ISNUMBER(VLOOKUP($A143,'Fleet register'!$A$7:$S$106,14,FALSE)),VLOOKUP($A143,'Fleet register'!$A$7:$S$106,14,FALSE)&gt;0,ISNUMBER('Replacement plan'!$C$41),OR(E143=120,ISNUMBER('Replacement plan'!$N$41)),ISNUMBER(E143))),"Missing vehicle input",IF(OR(E143&lt;0,E143&gt;VLOOKUP($A143,'Fleet register'!$A$7:$S$106,10,FALSE),E143&gt;120,E143&lt;&gt;INT(E143),VLOOKUP($A143,'Fleet register'!$A$7:$S$106,6,FALSE)&lt;=0,VLOOKUP($A143,'Fleet register'!$A$7:$S$106,6,FALSE)&gt;366,VLOOKUP($A143,'Fleet register'!$A$7:$S$106,5,FALSE)&lt;0,VLOOKUP($A143,'Fleet register'!$A$7:$S$106,11,FALSE)&lt;0,I143&lt;0,'Operating costs'!$B$8&lt;='Operating costs'!$B$7*'Operating costs'!$B$9,'Operating costs'!$B$11&lt;=0,'Operating costs'!$B$39&gt;R143,'Operating costs'!$B$40&gt;R143,'Operating costs'!$B$41&gt;R143,NOT(OR("Keep ICE"="Keep ICE","Keep ICE"="New ICE","Keep ICE"="EV"))),"Invalid vehicle input",IF(AND(D143="EV",E143&lt;120,OR(NOT(ISNUMBER(U143)),NOT(ISNUMBER(V143)),V143&lt;=0,T143&lt;0,T143&gt;1,'Replacement plan'!$L$41&lt;=0,'Operating costs'!$B$44&lt;0,'Operating costs'!$B$44&gt;=1,'Operating costs'!$B$47&lt;=0,'Operating costs'!$B$47&gt;1,V143*'Operating costs'!$B$47/(1-'Operating costs'!$B$44)&lt;=T143*'Operating costs'!$B$12*U143,AND('Replacement plan'!$Z$41&gt;0,OR('Replacement plan'!$AB$41&lt;&gt;"Yes",'Operating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charging'!$B$8&gt;=0))),ISNUMBER(VLOOKUP($A143,'Fleet register'!$A$7:$S$106,15,FALSE)),ISNUMBER(VLOOKUP($A143,'Fleet register'!$A$7:$S$106,16,FALSE)),ISNUMBER('Replacement plan'!$W$41),ISNUMBER('Replacement plan'!$X$41),OR(E143=120,AND(ISNUMBER(G143),G143&gt;=0)),ISNUMBER(H143),H143&gt;=0,OR(D143&lt;&gt;"EV",E143=120,AND(ISNUMBER('Operating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average",ISNUMBER(IFERROR(INDEX(Products!$P$7:$P$13,MATCH(AD143,Products!$A$7:$A$13,0)),"")))),ISNUMBER('Operating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plan'!$Y$41),ISNUMBER('Replacement plan'!$Z$41),'Replacement plan'!$Z$41&gt;=0,ISNUMBER('Replacement plan'!$AA$41),'Replacement plan'!$AA$41&gt;=0,'Replacement plan'!$AA$41=INT('Replacement plan'!$AA$41),ISNUMBER('Replacement plan'!$L$41))),'Operating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plan'!$AG$41="",'Operating costs'!$B$7,'Replacement plan'!$AG$41)),IF('Replacement plan'!$AG$41="",'Operating costs'!$B$7,'Replacement plan'!$AG$41)&gt;=0,ISNUMBER(IF('Replacement plan'!$AH$41="",'Operating costs'!$B$7,'Replacement plan'!$AH$41)),IF('Replacement plan'!$AH$41="",'Operating costs'!$B$7,'Replacement plan'!$AH$41)&gt;=0,'Operating costs'!$B$8&gt;MAX(IF('Replacement plan'!$AG$41="",'Operating costs'!$B$7,'Replacement plan'!$AG$41),IF('Replacement plan'!$AH$41="",'Operating costs'!$B$7,'Replacement plan'!$AH$41))*'Operating costs'!$B$9),IF(AND(VLOOKUP($A143,'Fleet register'!$A$7:$S$106,10,FALSE)&gt;=0,VLOOKUP($A143,'Fleet register'!$A$7:$S$106,10,FALSE)&lt;=120,VLOOKUP($A143,'Fleet register'!$A$7:$S$106,10,FALSE)=INT(VLOOKUP($A143,'Fleet register'!$A$7:$S$106,10,FALSE)),VLOOKUP($A143,'Fleet register'!$A$7:$S$106,15,FALSE)&gt;=0,VLOOKUP($A143,'Fleet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costs'!$B$67)&gt;=0,OR(D143&lt;&gt;"EV",E143=120,AND(MIN('Operating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43" s="1" t="str">
        <f>IF(C143=0,"Excluded",IF(P143&lt;&gt;"Complete",P143,IF(OR('Replacement plan'!$AD$41&lt;120-E143,AND(D143="EV",E143&lt;120,OR('Replacement plan'!$AC$41&lt;120-E143,'Replacement plan'!$I$41="No",AND(ISNUMBER(AF143),AE143&gt;AF143),AI143&gt;V143*(1-'Operating costs'!$B$46)^MAX(0,AB143-1)*(1-'Operating costs'!$B$45),AC143&gt;'Operating costs'!$B$18,AND(T143&lt;1,OR(AG143&lt;=0,AND(ISNUMBER(AH143),AG143&gt;AH143))),'Replacement plan'!$L$41&gt;INDEX(Products!$H$7:$H$13,MATCH('Replacement plan'!$B$41,Products!$A$7:$A$13,0))))),"Fails entered limits",IF(AND(D143="EV",E143&lt;120,OR(NOT(ISNUMBER(VLOOKUP($A143,'Fleet register'!$A$7:$S$106,7,FALSE))),NOT(ISNUMBER(VLOOKUP($A143,'Fleet register'!$A$7:$S$106,8,FALSE))),NOT(ISNUMBER(AF143)),'Replacement plan'!$I$41&lt;&gt;"Yes",NOT(ISNUMBER(AH143)),'Operating costs'!$B$59&lt;&gt;"Yes",'Operating costs'!$B$58&lt;&gt;"Yes")),"Unverified","Within entered limits"))))</f>
        <v>Excluded</v>
      </c>
      <c r="R143" s="1">
        <f>IF(C143=0,0,VLOOKUP($A143,'Fleet register'!$A$7:$S$106,6,FALSE))</f>
        <v>0</v>
      </c>
      <c r="S143" s="1">
        <f>IF(C143=0,0,VLOOKUP($A143,'Fleet register'!$A$7:$S$106,5,FALSE))</f>
        <v>0</v>
      </c>
      <c r="T143" s="1">
        <f>IF(D143="EV",'Energy and charging'!$B$12,0)</f>
        <v>0</v>
      </c>
      <c r="U143" s="1">
        <f>IFERROR(IF(C143=0,0,IF(D143="EV",IF('Replacement plan'!$F$41="",INDEX(Products!$E$7:$E$13,MATCH('Replacement plan'!$B$41,Products!$A$7:$A$13,0)),'Replacement plan'!$F$41)/IF('Replacement plan'!$G$41="Battery",1-'Operating costs'!$B$44,1),0)),"n.a.")</f>
        <v>0</v>
      </c>
      <c r="V143" s="1">
        <f>IFERROR(IF(C143=0,0,IF(D143="EV",IF('Replacement plan'!$E$41="",INDEX(Products!$D$7:$D$13,MATCH('Replacement plan'!$B$41,Products!$A$7:$A$13,0)),'Replacement plan'!$E$41),0)),"n.a.")</f>
        <v>0</v>
      </c>
      <c r="W143" s="1">
        <f>IF(C143=0,0,IF(AND(P143="Complete",D143="EV",E143&lt;120),IF(T143=0,0,ROUNDUP(T143*(R143-'Operating costs'!$B$41)*(S143*U143+'Operating costs'!$B$48/(1-'Operating costs'!$B$44))/(V143*'Operating costs'!$B$47/(1-'Operating costs'!$B$44)-T143*'Operating costs'!$B$12*U143),0)),0))</f>
        <v>0</v>
      </c>
      <c r="X143" s="1">
        <f>IF(C143=0,0,IF(AND(P143="Complete",D143="EV",E143&lt;120),(R143-'Operating costs'!$B$41)*(S143*U143+'Operating costs'!$B$48/(1-'Operating costs'!$B$44))+W143*'Operating costs'!$B$12*U143,0))</f>
        <v>0</v>
      </c>
      <c r="Y143" s="1">
        <f>IF(AND(C143=1,D143="EV",E143&lt;120),AI143/(1-'Operating costs'!$B$44)*(1-T143),0)</f>
        <v>0</v>
      </c>
      <c r="Z143" s="1">
        <f t="shared" si="4"/>
        <v>0</v>
      </c>
      <c r="AA143" s="1">
        <f>IF(C143=0,0,IF(P143="Complete",((S143*(R143-'Operating costs'!$B$40))+ROUNDUP(S143*(R143-'Operating costs'!$B$40)*IF('Replacement plan'!$AH$41="",'Operating costs'!$B$7,'Replacement plan'!$AH$41)/('Operating costs'!$B$8-'Operating costs'!$B$9*IF('Replacement plan'!$AH$41="",'Operating costs'!$B$7,'Replacement plan'!$AH$41)),0)*'Operating costs'!$B$9)*IF('Replacement plan'!$AH$41="",'Operating costs'!$B$7,'Replacement plan'!$AH$41),"n.a."))</f>
        <v>0</v>
      </c>
      <c r="AB143" s="1">
        <f t="shared" si="5"/>
        <v>0</v>
      </c>
      <c r="AC143" s="1">
        <f>IF(AND(C143=1,D143="EV",E143&lt;120,T143&gt;0),'Operating costs'!$B$12/'Operating costs'!$B$11*60+'Operating costs'!$B$13+'Operating costs'!$B$14+V143*'Operating costs'!$B$47/(1-'Operating costs'!$B$44)/'Replacement plan'!$L$41*60,0)</f>
        <v>0</v>
      </c>
      <c r="AD143" s="1" t="str">
        <f>'Replacement plan'!$B$41</f>
        <v>ChengLong L2EV</v>
      </c>
      <c r="AE143" s="1">
        <f>IF(C143=0,0,VLOOKUP($A143,'Fleet register'!$A$7:$S$106,8,FALSE))</f>
        <v>0</v>
      </c>
      <c r="AF143" s="1" t="str">
        <f>IF('Replacement plan'!$H$41="","n.a.",'Replacement plan'!$H$41)</f>
        <v>n.a.</v>
      </c>
      <c r="AG143" s="1">
        <f>'Replacement plan'!$J$41</f>
        <v>22</v>
      </c>
      <c r="AH143" s="1">
        <f>IFERROR(IF(D143="EV",IF('Replacement plan'!$K$41="AC",IF(ISNUMBER(INDEX(Products!$G$7:$G$13,MATCH('Replacement plan'!$B$41,Products!$A$7:$A$13,0))),INDEX(Products!$G$7:$G$13,MATCH('Replacement plan'!$B$41,Products!$A$7:$A$13,0)),"n.a."),IF(ISNUMBER(INDEX(Products!$H$7:$H$13,MATCH('Replacement plan'!$B$41,Products!$A$7:$A$13,0))),INDEX(Products!$H$7:$H$13,MATCH('Replacement plan'!$B$41,Products!$A$7:$A$13,0)),"n.a.")),0),"n.a.")</f>
        <v>0</v>
      </c>
      <c r="AI143" s="1">
        <f>IF(AND(C143=1,D143="EV",E143&lt;120),(VLOOKUP($A143,'Fleet register'!$A$7:$S$106,7,FALSE)+IF(T143&gt;0,'Operating costs'!$B$12,0))*U143*(1-'Operating costs'!$B$44)+'Operating costs'!$B$49,0)</f>
        <v>0</v>
      </c>
      <c r="AJ143" s="1">
        <f>IF(D143="EV",'Energy and charging'!$B$50,0)</f>
        <v>0</v>
      </c>
      <c r="AK143" s="17">
        <f>EDATE('Operating costs'!$B$63,E143)</f>
        <v>46298</v>
      </c>
      <c r="AL143" s="1">
        <f>IFERROR(IF(D143="EV",INDEX(Products!$B$7:$B$13,MATCH('Replacement plan'!$B$41,Products!$A$7:$A$13,0)),0),"n.a.")</f>
        <v>0</v>
      </c>
      <c r="AM143" s="1" t="str">
        <f>'Replacement plan'!$K$41</f>
        <v>DC</v>
      </c>
      <c r="AN143" s="1" t="str">
        <f>'Replacement plan'!$AE$41</f>
        <v>Assumed</v>
      </c>
      <c r="AO143" s="47">
        <f>IF(AND(C143=1,D143="EV",E143&lt;120),(R143-'Operating costs'!$B$41)*S143+W143*'Operating costs'!$B$12,0)</f>
        <v>0</v>
      </c>
      <c r="AP143" s="41">
        <f>IF(AND(C143=1,D143="EV",E143&lt;120),IF('Operating costs'!$B$68="Hong Seh 200k average",AO143*IFERROR(INDEX(Products!$P$7:$P$13,MATCH(AD143,Products!$A$7:$A$13,0)),"n.a."),'Operating costs'!$B$26),0)</f>
        <v>0</v>
      </c>
      <c r="AQ143" s="40" t="str">
        <f>IF(D143="EV",'Operating costs'!$B$68,"Not applicable")</f>
        <v>Not applicable</v>
      </c>
    </row>
    <row r="144" spans="1:43" ht="24" customHeight="1">
      <c r="A144" s="1" t="str">
        <f>'Replacement plan'!A41</f>
        <v>T035</v>
      </c>
      <c r="B144" s="1">
        <v>1</v>
      </c>
      <c r="C144" s="1">
        <f>IF(COUNTIFS('Fleet register'!$A$7:$A$106,$A144)=1,VLOOKUP($A144,'Fleet register'!$A$7:$S$106,2,FALSE),0)</f>
        <v>0</v>
      </c>
      <c r="D144" s="1" t="str">
        <f>IF("New ICE"="EV","EV","ICE")</f>
        <v>ICE</v>
      </c>
      <c r="E144" s="1">
        <f>IF(C144=0,0,0)</f>
        <v>0</v>
      </c>
      <c r="F144" s="16">
        <f>IF(C144=0,0,VLOOKUP($A144,'Fleet register'!$A$7:$S$106,11,FALSE))</f>
        <v>0</v>
      </c>
      <c r="G144" s="16">
        <f>IFERROR(IF(C144=0,0,IF(E144=120,0,IF(D144="ICE",'Replacement plan'!$C$41,IF('Replacement plan'!$D$41="",INDEX(Products!$I$7:$I$13,MATCH('Replacement plan'!$B$41,Products!$A$7:$A$13,0))+'Operating costs'!$B$57,'Replacement plan'!$D$41))*(1+'Operating costs'!$B$50)^(E144/12))),"n.a.")</f>
        <v>0</v>
      </c>
      <c r="H144" s="16">
        <f>IFERROR(IF(C144=0,0,IF(E144=0,F144,VLOOKUP($A144,'Fleet register'!$A$7:$S$106,12,FALSE)+VLOOKUP($A144,'Fleet register'!$A$7:$S$106,13,FALSE)*MAX(0,VLOOKUP($A144,'Fleet register'!$A$7:$S$106,10,FALSE)-E144)/VLOOKUP($A144,'Fleet register'!$A$7:$S$106,14,FALSE))),"n.a.")</f>
        <v>0</v>
      </c>
      <c r="I144" s="16">
        <f>IF(C144=0,0,IF(E144=120,0,IF('Replacement plan'!$AI$41="",'Operating costs'!$B$56,'Replacement plan'!$AI$41)))</f>
        <v>0</v>
      </c>
      <c r="J144" s="16">
        <f>IF(C144=0,0,IF(P144="Complete",((S144*(R144-'Operating costs'!$B$39))+ROUNDUP(S144*(R144-'Operating costs'!$B$39)*IF('Replacement plan'!$AG$41="",'Operating costs'!$B$7,'Replacement plan'!$AG$41)/('Operating costs'!$B$8-'Operating costs'!$B$9*IF('Replacement plan'!$AG$41="",'Operating costs'!$B$7,'Replacement plan'!$AG$41)),0)*'Operating costs'!$B$9)*IF('Replacement plan'!$AG$41="",'Operating costs'!$B$7,'Replacement plan'!$AG$41)*('Energy and charging'!$B$9*'Energy and charging'!$B$7+(1-'Energy and charging'!$B$9)*'Energy and charging'!$B$8)*'Operating costs'!$B$23,"n.a."))</f>
        <v>0</v>
      </c>
      <c r="K144" s="16">
        <f>IF(C144=0,0,IF(P144="Complete",SUM('Operating costs'!$B$24,'Operating costs'!$B$27,'Operating costs'!$B$29,'Operating costs'!$B$31,'Operating costs'!$B$33,'Operating costs'!$B$34,'Operating costs'!$B$37,'Replacement plan'!$W$41)+'Operating costs'!$B$39*'Operating costs'!$B$42+ROUNDUP(S144*(R144-'Operating costs'!$B$39)*IF('Replacement plan'!$AG$41="",'Operating costs'!$B$7,'Replacement plan'!$AG$41)/('Operating costs'!$B$8-'Operating costs'!$B$9*IF('Replacement plan'!$AG$41="",'Operating costs'!$B$7,'Replacement plan'!$AG$41)),0)*('Operating costs'!$B$9/'Operating costs'!$B$11+'Operating costs'!$B$10/60)*'Operating costs'!$B$19*'Operating costs'!$B$21,"n.a."))</f>
        <v>0</v>
      </c>
      <c r="L144" s="16">
        <f>IF(C144=0,0,IF(P144="Complete",IF(D144="EV",X144*((1-T144)*'Energy and charging'!$B$10+T144*'Energy and charging'!$B$11)*'Operating costs'!$B$22,AA144*('Energy and charging'!$B$9*'Energy and charging'!$B$7+(1-'Energy and charging'!$B$9)*'Energy and charging'!$B$8)*'Operating costs'!$B$23),"n.a."))</f>
        <v>0</v>
      </c>
      <c r="M144" s="37">
        <f>IF(C144=0,0,IF(P144="Complete",IF(D144="ICE",SUM('Operating costs'!$B$25,'Operating costs'!$B$27,'Operating costs'!$B$29,'Operating costs'!$B$31,'Operating costs'!$B$33,'Operating costs'!$B$35,'Operating costs'!$B$37,'Replacement plan'!$X$41)+'Operating costs'!$B$40*'Operating costs'!$B$42+ROUNDUP(S144*(R144-'Operating costs'!$B$40)*IF('Replacement plan'!$AH$41="",'Operating costs'!$B$7,'Replacement plan'!$AH$41)/('Operating costs'!$B$8-'Operating costs'!$B$9*IF('Replacement plan'!$AH$41="",'Operating costs'!$B$7,'Replacement plan'!$AH$41)),0)*('Operating costs'!$B$9/'Operating costs'!$B$11+'Operating costs'!$B$10/60)*'Operating costs'!$B$19*'Operating costs'!$B$21,SUM(AP144,'Operating costs'!$B$28,'Operating costs'!$B$30,'Operating costs'!$B$32,'Operating costs'!$B$33,'Operating costs'!$B$36,'Operating costs'!$B$38,'Replacement plan'!$Y$41)+'Operating costs'!$B$41*'Operating costs'!$B$43+W144*'Operating costs'!$B$15+(T144*X144/'Replacement plan'!$L$41+W144*('Operating costs'!$B$12/'Operating costs'!$B$11+('Operating costs'!$B$13+'Operating costs'!$B$14)/60)+(R144-'Operating costs'!$B$41)*(IF(T144&lt;1,'Operating costs'!$B$16,0)+'Operating costs'!$B$17)/60)*'Operating costs'!$B$19*'Operating costs'!$B$20),"n.a."))</f>
        <v>0</v>
      </c>
      <c r="N144" s="16">
        <f>IF(AND(C144=1,D144="EV",E144&lt;120,E144+'Replacement plan'!$AA$41&lt;=120),'Replacement plan'!$Z$41,0)</f>
        <v>0</v>
      </c>
      <c r="O144" s="1">
        <f>E144+'Replacement plan'!$AA$41</f>
        <v>0</v>
      </c>
      <c r="P144" s="35" t="str">
        <f>IFERROR(IF(C144=0,"Excluded",IF(OR(COUNTIFS('Fleet register'!$A$7:$A$106,A144)&lt;&gt;1,COUNTIFS('Replacement plan'!$A$7:$A$106,A144)&lt;&gt;1),"Duplicate/missing ID",IF(NOT(AND(ISNUMBER(VLOOKUP($A144,'Fleet register'!$A$7:$S$106,5,FALSE)),ISNUMBER(VLOOKUP($A144,'Fleet register'!$A$7:$S$106,6,FALSE)),ISNUMBER(VLOOKUP($A144,'Fleet register'!$A$7:$S$106,10,FALSE)),ISNUMBER(VLOOKUP($A144,'Fleet register'!$A$7:$S$106,11,FALSE)),ISNUMBER(VLOOKUP($A144,'Fleet register'!$A$7:$S$106,12,FALSE)),ISNUMBER(VLOOKUP($A144,'Fleet register'!$A$7:$S$106,13,FALSE)),ISNUMBER(VLOOKUP($A144,'Fleet register'!$A$7:$S$106,14,FALSE)),VLOOKUP($A144,'Fleet register'!$A$7:$S$106,14,FALSE)&gt;0,ISNUMBER('Replacement plan'!$C$41),OR(E144=120,OR(ISNUMBER('Replacement plan'!$AI$41),AND('Replacement plan'!$AI$41="",ISNUMBER('Operating costs'!$B$56)))),ISNUMBER(E144))),"Missing vehicle input",IF(OR(E144&lt;0,E144&gt;VLOOKUP($A144,'Fleet register'!$A$7:$S$106,10,FALSE),E144&gt;120,E144&lt;&gt;INT(E144),VLOOKUP($A144,'Fleet register'!$A$7:$S$106,6,FALSE)&lt;=0,VLOOKUP($A144,'Fleet register'!$A$7:$S$106,6,FALSE)&gt;366,VLOOKUP($A144,'Fleet register'!$A$7:$S$106,5,FALSE)&lt;0,VLOOKUP($A144,'Fleet register'!$A$7:$S$106,11,FALSE)&lt;0,I144&lt;0,'Operating costs'!$B$8&lt;='Operating costs'!$B$7*'Operating costs'!$B$9,'Operating costs'!$B$11&lt;=0,'Operating costs'!$B$39&gt;R144,'Operating costs'!$B$40&gt;R144,'Operating costs'!$B$41&gt;R144,NOT(OR("New ICE"="Keep ICE","New ICE"="New ICE","New ICE"="EV"))),"Invalid vehicle input",IF(AND(D144="EV",E144&lt;120,OR(NOT(ISNUMBER(U144)),NOT(ISNUMBER(V144)),V144&lt;=0,T144&lt;0,T144&gt;1,'Replacement plan'!$L$41&lt;=0,'Operating costs'!$B$44&lt;0,'Operating costs'!$B$44&gt;=1,'Operating costs'!$B$47&lt;=0,'Operating costs'!$B$47&gt;1,V144*'Operating costs'!$B$47/(1-'Operating costs'!$B$44)&lt;=T144*'Operating costs'!$B$12*U144,AND('Replacement plan'!$Z$41&gt;0,OR('Replacement plan'!$AB$41&lt;&gt;"Yes",'Operating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charging'!$B$8&gt;=0))),ISNUMBER(VLOOKUP($A144,'Fleet register'!$A$7:$S$106,15,FALSE)),ISNUMBER(VLOOKUP($A144,'Fleet register'!$A$7:$S$106,16,FALSE)),ISNUMBER('Replacement plan'!$W$41),ISNUMBER('Replacement plan'!$X$41),OR(E144=120,AND(ISNUMBER(G144),G144&gt;=0)),ISNUMBER(H144),H144&gt;=0,OR(D144&lt;&gt;"EV",E144=120,AND(ISNUMBER('Operating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average",ISNUMBER(IFERROR(INDEX(Products!$P$7:$P$13,MATCH(AD144,Products!$A$7:$A$13,0)),"")))),ISNUMBER('Operating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plan'!$Y$41),ISNUMBER('Replacement plan'!$Z$41),'Replacement plan'!$Z$41&gt;=0,ISNUMBER('Replacement plan'!$AA$41),'Replacement plan'!$AA$41&gt;=0,'Replacement plan'!$AA$41=INT('Replacement plan'!$AA$41),ISNUMBER('Replacement plan'!$L$41))),'Operating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plan'!$AG$41="",'Operating costs'!$B$7,'Replacement plan'!$AG$41)),IF('Replacement plan'!$AG$41="",'Operating costs'!$B$7,'Replacement plan'!$AG$41)&gt;=0,ISNUMBER(IF('Replacement plan'!$AH$41="",'Operating costs'!$B$7,'Replacement plan'!$AH$41)),IF('Replacement plan'!$AH$41="",'Operating costs'!$B$7,'Replacement plan'!$AH$41)&gt;=0,'Operating costs'!$B$8&gt;MAX(IF('Replacement plan'!$AG$41="",'Operating costs'!$B$7,'Replacement plan'!$AG$41),IF('Replacement plan'!$AH$41="",'Operating costs'!$B$7,'Replacement plan'!$AH$41))*'Operating costs'!$B$9),IF(AND(VLOOKUP($A144,'Fleet register'!$A$7:$S$106,10,FALSE)&gt;=0,VLOOKUP($A144,'Fleet register'!$A$7:$S$106,10,FALSE)&lt;=120,VLOOKUP($A144,'Fleet register'!$A$7:$S$106,10,FALSE)=INT(VLOOKUP($A144,'Fleet register'!$A$7:$S$106,10,FALSE)),VLOOKUP($A144,'Fleet register'!$A$7:$S$106,15,FALSE)&gt;=0,VLOOKUP($A144,'Fleet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costs'!$B$67)&gt;=0,OR(D144&lt;&gt;"EV",E144=120,AND(MIN('Operating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44" s="1" t="str">
        <f>IF(C144=0,"Excluded",IF(P144&lt;&gt;"Complete",P144,IF(OR('Replacement plan'!$AD$41&lt;120-E144,AND(D144="EV",E144&lt;120,OR('Replacement plan'!$AC$41&lt;120-E144,'Replacement plan'!$I$41="No",AND(ISNUMBER(AF144),AE144&gt;AF144),AI144&gt;V144*(1-'Operating costs'!$B$46)^MAX(0,AB144-1)*(1-'Operating costs'!$B$45),AC144&gt;'Operating costs'!$B$18,AND(T144&lt;1,OR(AG144&lt;=0,AND(ISNUMBER(AH144),AG144&gt;AH144))),'Replacement plan'!$L$41&gt;INDEX(Products!$H$7:$H$13,MATCH('Replacement plan'!$B$41,Products!$A$7:$A$13,0))))),"Fails entered limits",IF(AND(D144="EV",E144&lt;120,OR(NOT(ISNUMBER(VLOOKUP($A144,'Fleet register'!$A$7:$S$106,7,FALSE))),NOT(ISNUMBER(VLOOKUP($A144,'Fleet register'!$A$7:$S$106,8,FALSE))),NOT(ISNUMBER(AF144)),'Replacement plan'!$I$41&lt;&gt;"Yes",NOT(ISNUMBER(AH144)),'Operating costs'!$B$59&lt;&gt;"Yes",'Operating costs'!$B$58&lt;&gt;"Yes")),"Unverified","Within entered limits"))))</f>
        <v>Excluded</v>
      </c>
      <c r="R144" s="1">
        <f>IF(C144=0,0,VLOOKUP($A144,'Fleet register'!$A$7:$S$106,6,FALSE))</f>
        <v>0</v>
      </c>
      <c r="S144" s="1">
        <f>IF(C144=0,0,VLOOKUP($A144,'Fleet register'!$A$7:$S$106,5,FALSE))</f>
        <v>0</v>
      </c>
      <c r="T144" s="1">
        <f>IF(D144="EV",'Energy and charging'!$B$12,0)</f>
        <v>0</v>
      </c>
      <c r="U144" s="1">
        <f>IFERROR(IF(C144=0,0,IF(D144="EV",IF('Replacement plan'!$F$41="",INDEX(Products!$E$7:$E$13,MATCH('Replacement plan'!$B$41,Products!$A$7:$A$13,0)),'Replacement plan'!$F$41)/IF('Replacement plan'!$G$41="Battery",1-'Operating costs'!$B$44,1),0)),"n.a.")</f>
        <v>0</v>
      </c>
      <c r="V144" s="1">
        <f>IFERROR(IF(C144=0,0,IF(D144="EV",IF('Replacement plan'!$E$41="",INDEX(Products!$D$7:$D$13,MATCH('Replacement plan'!$B$41,Products!$A$7:$A$13,0)),'Replacement plan'!$E$41),0)),"n.a.")</f>
        <v>0</v>
      </c>
      <c r="W144" s="1">
        <f>IF(C144=0,0,IF(AND(P144="Complete",D144="EV",E144&lt;120),IF(T144=0,0,ROUNDUP(T144*(R144-'Operating costs'!$B$41)*(S144*U144+'Operating costs'!$B$48/(1-'Operating costs'!$B$44))/(V144*'Operating costs'!$B$47/(1-'Operating costs'!$B$44)-T144*'Operating costs'!$B$12*U144),0)),0))</f>
        <v>0</v>
      </c>
      <c r="X144" s="1">
        <f>IF(C144=0,0,IF(AND(P144="Complete",D144="EV",E144&lt;120),(R144-'Operating costs'!$B$41)*(S144*U144+'Operating costs'!$B$48/(1-'Operating costs'!$B$44))+W144*'Operating costs'!$B$12*U144,0))</f>
        <v>0</v>
      </c>
      <c r="Y144" s="1">
        <f>IF(AND(C144=1,D144="EV",E144&lt;120),AI144/(1-'Operating costs'!$B$44)*(1-T144),0)</f>
        <v>0</v>
      </c>
      <c r="Z144" s="1">
        <f t="shared" si="4"/>
        <v>0</v>
      </c>
      <c r="AA144" s="1">
        <f>IF(C144=0,0,IF(P144="Complete",((S144*(R144-'Operating costs'!$B$40))+ROUNDUP(S144*(R144-'Operating costs'!$B$40)*IF('Replacement plan'!$AH$41="",'Operating costs'!$B$7,'Replacement plan'!$AH$41)/('Operating costs'!$B$8-'Operating costs'!$B$9*IF('Replacement plan'!$AH$41="",'Operating costs'!$B$7,'Replacement plan'!$AH$41)),0)*'Operating costs'!$B$9)*IF('Replacement plan'!$AH$41="",'Operating costs'!$B$7,'Replacement plan'!$AH$41),"n.a."))</f>
        <v>0</v>
      </c>
      <c r="AB144" s="1">
        <f t="shared" si="5"/>
        <v>0</v>
      </c>
      <c r="AC144" s="1">
        <f>IF(AND(C144=1,D144="EV",E144&lt;120,T144&gt;0),'Operating costs'!$B$12/'Operating costs'!$B$11*60+'Operating costs'!$B$13+'Operating costs'!$B$14+V144*'Operating costs'!$B$47/(1-'Operating costs'!$B$44)/'Replacement plan'!$L$41*60,0)</f>
        <v>0</v>
      </c>
      <c r="AD144" s="1" t="str">
        <f>'Replacement plan'!$B$41</f>
        <v>ChengLong L2EV</v>
      </c>
      <c r="AE144" s="1">
        <f>IF(C144=0,0,VLOOKUP($A144,'Fleet register'!$A$7:$S$106,8,FALSE))</f>
        <v>0</v>
      </c>
      <c r="AF144" s="1" t="str">
        <f>IF('Replacement plan'!$H$41="","n.a.",'Replacement plan'!$H$41)</f>
        <v>n.a.</v>
      </c>
      <c r="AG144" s="1">
        <f>'Replacement plan'!$J$41</f>
        <v>22</v>
      </c>
      <c r="AH144" s="1">
        <f>IFERROR(IF(D144="EV",IF('Replacement plan'!$K$41="AC",IF(ISNUMBER(INDEX(Products!$G$7:$G$13,MATCH('Replacement plan'!$B$41,Products!$A$7:$A$13,0))),INDEX(Products!$G$7:$G$13,MATCH('Replacement plan'!$B$41,Products!$A$7:$A$13,0)),"n.a."),IF(ISNUMBER(INDEX(Products!$H$7:$H$13,MATCH('Replacement plan'!$B$41,Products!$A$7:$A$13,0))),INDEX(Products!$H$7:$H$13,MATCH('Replacement plan'!$B$41,Products!$A$7:$A$13,0)),"n.a.")),0),"n.a.")</f>
        <v>0</v>
      </c>
      <c r="AI144" s="1">
        <f>IF(AND(C144=1,D144="EV",E144&lt;120),(VLOOKUP($A144,'Fleet register'!$A$7:$S$106,7,FALSE)+IF(T144&gt;0,'Operating costs'!$B$12,0))*U144*(1-'Operating costs'!$B$44)+'Operating costs'!$B$49,0)</f>
        <v>0</v>
      </c>
      <c r="AJ144" s="1">
        <f>IF(D144="EV",'Energy and charging'!$B$50,0)</f>
        <v>0</v>
      </c>
      <c r="AK144" s="17">
        <f>EDATE('Operating costs'!$B$63,E144)</f>
        <v>46298</v>
      </c>
      <c r="AL144" s="1">
        <f>IFERROR(IF(D144="EV",INDEX(Products!$B$7:$B$13,MATCH('Replacement plan'!$B$41,Products!$A$7:$A$13,0)),0),"n.a.")</f>
        <v>0</v>
      </c>
      <c r="AM144" s="1" t="str">
        <f>'Replacement plan'!$K$41</f>
        <v>DC</v>
      </c>
      <c r="AN144" s="1" t="str">
        <f>'Replacement plan'!$AE$41</f>
        <v>Assumed</v>
      </c>
      <c r="AO144" s="47">
        <f>IF(AND(C144=1,D144="EV",E144&lt;120),(R144-'Operating costs'!$B$41)*S144+W144*'Operating costs'!$B$12,0)</f>
        <v>0</v>
      </c>
      <c r="AP144" s="41">
        <f>IF(AND(C144=1,D144="EV",E144&lt;120),IF('Operating costs'!$B$68="Hong Seh 200k average",AO144*IFERROR(INDEX(Products!$P$7:$P$13,MATCH(AD144,Products!$A$7:$A$13,0)),"n.a."),'Operating costs'!$B$26),0)</f>
        <v>0</v>
      </c>
      <c r="AQ144" s="40" t="str">
        <f>IF(D144="EV",'Operating costs'!$B$68,"Not applicable")</f>
        <v>Not applicable</v>
      </c>
    </row>
    <row r="145" spans="1:43" ht="24" customHeight="1">
      <c r="A145" s="1" t="str">
        <f>'Replacement plan'!A41</f>
        <v>T035</v>
      </c>
      <c r="B145" s="1">
        <v>2</v>
      </c>
      <c r="C145" s="1">
        <f>IF(COUNTIFS('Fleet register'!$A$7:$A$106,$A145)=1,VLOOKUP($A145,'Fleet register'!$A$7:$S$106,2,FALSE),0)</f>
        <v>0</v>
      </c>
      <c r="D145" s="1" t="str">
        <f>IF('Replacement plan'!$O$41="EV","EV","ICE")</f>
        <v>ICE</v>
      </c>
      <c r="E145" s="1">
        <f>IF(C145=0,0,IF('Replacement plan'!$P$41="",IF('Replacement plan'!$O$41="Keep ICE",IF('Replacement plan'!$M$41="",VLOOKUP($A145,'Fleet register'!$A$7:$S$106,10,FALSE),'Replacement plan'!$M$41),0),'Replacement plan'!$P$41))</f>
        <v>0</v>
      </c>
      <c r="F145" s="16">
        <f>IF(C145=0,0,VLOOKUP($A145,'Fleet register'!$A$7:$S$106,11,FALSE))</f>
        <v>0</v>
      </c>
      <c r="G145" s="16">
        <f>IFERROR(IF(C145=0,0,IF(E145=120,0,IF(D145="ICE",'Replacement plan'!$C$41,IF('Replacement plan'!$D$41="",INDEX(Products!$I$7:$I$13,MATCH('Replacement plan'!$B$41,Products!$A$7:$A$13,0))+'Operating costs'!$B$57,'Replacement plan'!$D$41))*(1+'Operating costs'!$B$50)^(E145/12))),"n.a.")</f>
        <v>0</v>
      </c>
      <c r="H145" s="16">
        <f>IFERROR(IF(C145=0,0,IF('Replacement plan'!$U$41&lt;&gt;"",'Replacement plan'!$U$41,IF(E145=0,F145,VLOOKUP($A145,'Fleet register'!$A$7:$S$106,12,FALSE)+VLOOKUP($A145,'Fleet register'!$A$7:$S$106,13,FALSE)*MAX(0,VLOOKUP($A145,'Fleet register'!$A$7:$S$106,10,FALSE)-E145)/VLOOKUP($A145,'Fleet register'!$A$7:$S$106,14,FALSE)))),"n.a.")</f>
        <v>0</v>
      </c>
      <c r="I145" s="16">
        <f>IF(C145=0,0,IF(E145=120,0,'Replacement plan'!$Q$41))</f>
        <v>0</v>
      </c>
      <c r="J145" s="16">
        <f>IF(C145=0,0,IF(P145="Complete",((S145*(R145-'Operating costs'!$B$39))+ROUNDUP(S145*(R145-'Operating costs'!$B$39)*IF('Replacement plan'!$AG$41="",'Operating costs'!$B$7,'Replacement plan'!$AG$41)/('Operating costs'!$B$8-'Operating costs'!$B$9*IF('Replacement plan'!$AG$41="",'Operating costs'!$B$7,'Replacement plan'!$AG$41)),0)*'Operating costs'!$B$9)*IF('Replacement plan'!$AG$41="",'Operating costs'!$B$7,'Replacement plan'!$AG$41)*('Energy and charging'!$B$9*'Energy and charging'!$B$7+(1-'Energy and charging'!$B$9)*'Energy and charging'!$B$8)*'Operating costs'!$B$23,"n.a."))</f>
        <v>0</v>
      </c>
      <c r="K145" s="16">
        <f>IF(C145=0,0,IF(P145="Complete",SUM('Operating costs'!$B$24,'Operating costs'!$B$27,'Operating costs'!$B$29,'Operating costs'!$B$31,'Operating costs'!$B$33,'Operating costs'!$B$34,'Operating costs'!$B$37,'Replacement plan'!$W$41)+'Operating costs'!$B$39*'Operating costs'!$B$42+ROUNDUP(S145*(R145-'Operating costs'!$B$39)*IF('Replacement plan'!$AG$41="",'Operating costs'!$B$7,'Replacement plan'!$AG$41)/('Operating costs'!$B$8-'Operating costs'!$B$9*IF('Replacement plan'!$AG$41="",'Operating costs'!$B$7,'Replacement plan'!$AG$41)),0)*('Operating costs'!$B$9/'Operating costs'!$B$11+'Operating costs'!$B$10/60)*'Operating costs'!$B$19*'Operating costs'!$B$21,"n.a."))</f>
        <v>0</v>
      </c>
      <c r="L145" s="16">
        <f>IF(C145=0,0,IF(P145="Complete",IF(D145="EV",X145*((1-T145)*'Energy and charging'!$B$10+T145*'Energy and charging'!$B$11)*'Operating costs'!$B$22,AA145*('Energy and charging'!$B$9*'Energy and charging'!$B$7+(1-'Energy and charging'!$B$9)*'Energy and charging'!$B$8)*'Operating costs'!$B$23),"n.a."))</f>
        <v>0</v>
      </c>
      <c r="M145" s="37">
        <f>IF(C145=0,0,IF(P145="Complete",IF(D145="ICE",SUM('Operating costs'!$B$25,'Operating costs'!$B$27,'Operating costs'!$B$29,'Operating costs'!$B$31,'Operating costs'!$B$33,'Operating costs'!$B$35,'Operating costs'!$B$37,'Replacement plan'!$X$41)+'Operating costs'!$B$40*'Operating costs'!$B$42+ROUNDUP(S145*(R145-'Operating costs'!$B$40)*IF('Replacement plan'!$AH$41="",'Operating costs'!$B$7,'Replacement plan'!$AH$41)/('Operating costs'!$B$8-'Operating costs'!$B$9*IF('Replacement plan'!$AH$41="",'Operating costs'!$B$7,'Replacement plan'!$AH$41)),0)*('Operating costs'!$B$9/'Operating costs'!$B$11+'Operating costs'!$B$10/60)*'Operating costs'!$B$19*'Operating costs'!$B$21,SUM(AP145,'Operating costs'!$B$28,'Operating costs'!$B$30,'Operating costs'!$B$32,'Operating costs'!$B$33,'Operating costs'!$B$36,'Operating costs'!$B$38,'Replacement plan'!$Y$41)+'Operating costs'!$B$41*'Operating costs'!$B$43+W145*'Operating costs'!$B$15+(T145*X145/'Replacement plan'!$L$41+W145*('Operating costs'!$B$12/'Operating costs'!$B$11+('Operating costs'!$B$13+'Operating costs'!$B$14)/60)+(R145-'Operating costs'!$B$41)*(IF(T145&lt;1,'Operating costs'!$B$16,0)+'Operating costs'!$B$17)/60)*'Operating costs'!$B$19*'Operating costs'!$B$20),"n.a."))</f>
        <v>0</v>
      </c>
      <c r="N145" s="16">
        <f>IF(AND(C145=1,D145="EV",E145&lt;120,E145+'Replacement plan'!$AA$41&lt;=120),'Replacement plan'!$Z$41,0)</f>
        <v>0</v>
      </c>
      <c r="O145" s="1">
        <f>E145+'Replacement plan'!$AA$41</f>
        <v>0</v>
      </c>
      <c r="P145" s="35" t="str">
        <f>IFERROR(IF(C145=0,"Excluded",IF(OR(COUNTIFS('Fleet register'!$A$7:$A$106,A145)&lt;&gt;1,COUNTIFS('Replacement plan'!$A$7:$A$106,A145)&lt;&gt;1),"Duplicate/missing ID",IF(NOT(AND(ISNUMBER(VLOOKUP($A145,'Fleet register'!$A$7:$S$106,5,FALSE)),ISNUMBER(VLOOKUP($A145,'Fleet register'!$A$7:$S$106,6,FALSE)),ISNUMBER(VLOOKUP($A145,'Fleet register'!$A$7:$S$106,10,FALSE)),ISNUMBER(VLOOKUP($A145,'Fleet register'!$A$7:$S$106,11,FALSE)),ISNUMBER(VLOOKUP($A145,'Fleet register'!$A$7:$S$106,12,FALSE)),ISNUMBER(VLOOKUP($A145,'Fleet register'!$A$7:$S$106,13,FALSE)),ISNUMBER(VLOOKUP($A145,'Fleet register'!$A$7:$S$106,14,FALSE)),VLOOKUP($A145,'Fleet register'!$A$7:$S$106,14,FALSE)&gt;0,ISNUMBER('Replacement plan'!$C$41),OR(E145=120,ISNUMBER('Replacement plan'!$Q$41)),ISNUMBER(E145))),"Missing vehicle input",IF(OR(E145&lt;0,E145&gt;VLOOKUP($A145,'Fleet register'!$A$7:$S$106,10,FALSE),E145&gt;120,E145&lt;&gt;INT(E145),VLOOKUP($A145,'Fleet register'!$A$7:$S$106,6,FALSE)&lt;=0,VLOOKUP($A145,'Fleet register'!$A$7:$S$106,6,FALSE)&gt;366,VLOOKUP($A145,'Fleet register'!$A$7:$S$106,5,FALSE)&lt;0,VLOOKUP($A145,'Fleet register'!$A$7:$S$106,11,FALSE)&lt;0,I145&lt;0,'Operating costs'!$B$8&lt;='Operating costs'!$B$7*'Operating costs'!$B$9,'Operating costs'!$B$11&lt;=0,'Operating costs'!$B$39&gt;R145,'Operating costs'!$B$40&gt;R145,'Operating costs'!$B$41&gt;R145,NOT(OR('Replacement plan'!$O$41="Keep ICE",'Replacement plan'!$O$41="New ICE",'Replacement plan'!$O$41="EV"))),"Invalid vehicle input",IF(AND(D145="EV",E145&lt;120,OR(NOT(ISNUMBER(U145)),NOT(ISNUMBER(V145)),V145&lt;=0,T145&lt;0,T145&gt;1,'Replacement plan'!$L$41&lt;=0,'Operating costs'!$B$44&lt;0,'Operating costs'!$B$44&gt;=1,'Operating costs'!$B$47&lt;=0,'Operating costs'!$B$47&gt;1,V145*'Operating costs'!$B$47/(1-'Operating costs'!$B$44)&lt;=T145*'Operating costs'!$B$12*U145,AND('Replacement plan'!$Z$41&gt;0,OR('Replacement plan'!$AB$41&lt;&gt;"Yes",'Operating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charging'!$B$8&gt;=0))),ISNUMBER(VLOOKUP($A145,'Fleet register'!$A$7:$S$106,15,FALSE)),ISNUMBER(VLOOKUP($A145,'Fleet register'!$A$7:$S$106,16,FALSE)),ISNUMBER('Replacement plan'!$W$41),ISNUMBER('Replacement plan'!$X$41),OR(E145=120,AND(ISNUMBER(G145),G145&gt;=0)),ISNUMBER(H145),H145&gt;=0,OR(D145&lt;&gt;"EV",E145=120,AND(ISNUMBER('Operating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average",ISNUMBER(IFERROR(INDEX(Products!$P$7:$P$13,MATCH(AD145,Products!$A$7:$A$13,0)),"")))),ISNUMBER('Operating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plan'!$Y$41),ISNUMBER('Replacement plan'!$Z$41),'Replacement plan'!$Z$41&gt;=0,ISNUMBER('Replacement plan'!$AA$41),'Replacement plan'!$AA$41&gt;=0,'Replacement plan'!$AA$41=INT('Replacement plan'!$AA$41),ISNUMBER('Replacement plan'!$L$41))),'Operating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plan'!$AG$41="",'Operating costs'!$B$7,'Replacement plan'!$AG$41)),IF('Replacement plan'!$AG$41="",'Operating costs'!$B$7,'Replacement plan'!$AG$41)&gt;=0,ISNUMBER(IF('Replacement plan'!$AH$41="",'Operating costs'!$B$7,'Replacement plan'!$AH$41)),IF('Replacement plan'!$AH$41="",'Operating costs'!$B$7,'Replacement plan'!$AH$41)&gt;=0,'Operating costs'!$B$8&gt;MAX(IF('Replacement plan'!$AG$41="",'Operating costs'!$B$7,'Replacement plan'!$AG$41),IF('Replacement plan'!$AH$41="",'Operating costs'!$B$7,'Replacement plan'!$AH$41))*'Operating costs'!$B$9),IF(AND(VLOOKUP($A145,'Fleet register'!$A$7:$S$106,10,FALSE)&gt;=0,VLOOKUP($A145,'Fleet register'!$A$7:$S$106,10,FALSE)&lt;=120,VLOOKUP($A145,'Fleet register'!$A$7:$S$106,10,FALSE)=INT(VLOOKUP($A145,'Fleet register'!$A$7:$S$106,10,FALSE)),VLOOKUP($A145,'Fleet register'!$A$7:$S$106,15,FALSE)&gt;=0,VLOOKUP($A145,'Fleet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costs'!$B$67)&gt;=0,OR(D145&lt;&gt;"EV",E145=120,AND(MIN('Operating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45" s="1" t="str">
        <f>IF(C145=0,"Excluded",IF(P145&lt;&gt;"Complete",P145,IF(OR('Replacement plan'!$AD$41&lt;120-E145,AND(D145="EV",E145&lt;120,OR('Replacement plan'!$AC$41&lt;120-E145,'Replacement plan'!$I$41="No",AND(ISNUMBER(AF145),AE145&gt;AF145),AI145&gt;V145*(1-'Operating costs'!$B$46)^MAX(0,AB145-1)*(1-'Operating costs'!$B$45),AC145&gt;'Operating costs'!$B$18,AND(T145&lt;1,OR(AG145&lt;=0,AND(ISNUMBER(AH145),AG145&gt;AH145))),'Replacement plan'!$L$41&gt;INDEX(Products!$H$7:$H$13,MATCH('Replacement plan'!$B$41,Products!$A$7:$A$13,0))))),"Fails entered limits",IF(AND(D145="EV",E145&lt;120,OR(NOT(ISNUMBER(VLOOKUP($A145,'Fleet register'!$A$7:$S$106,7,FALSE))),NOT(ISNUMBER(VLOOKUP($A145,'Fleet register'!$A$7:$S$106,8,FALSE))),NOT(ISNUMBER(AF145)),'Replacement plan'!$I$41&lt;&gt;"Yes",NOT(ISNUMBER(AH145)),'Operating costs'!$B$59&lt;&gt;"Yes",'Operating costs'!$B$58&lt;&gt;"Yes")),"Unverified","Within entered limits"))))</f>
        <v>Excluded</v>
      </c>
      <c r="R145" s="1">
        <f>IF(C145=0,0,VLOOKUP($A145,'Fleet register'!$A$7:$S$106,6,FALSE))</f>
        <v>0</v>
      </c>
      <c r="S145" s="1">
        <f>IF(C145=0,0,VLOOKUP($A145,'Fleet register'!$A$7:$S$106,5,FALSE))</f>
        <v>0</v>
      </c>
      <c r="T145" s="1">
        <f>IF(D145="EV",'Energy and charging'!$B$12,0)</f>
        <v>0</v>
      </c>
      <c r="U145" s="1">
        <f>IFERROR(IF(C145=0,0,IF(D145="EV",IF('Replacement plan'!$F$41="",INDEX(Products!$E$7:$E$13,MATCH('Replacement plan'!$B$41,Products!$A$7:$A$13,0)),'Replacement plan'!$F$41)/IF('Replacement plan'!$G$41="Battery",1-'Operating costs'!$B$44,1),0)),"n.a.")</f>
        <v>0</v>
      </c>
      <c r="V145" s="1">
        <f>IFERROR(IF(C145=0,0,IF(D145="EV",IF('Replacement plan'!$E$41="",INDEX(Products!$D$7:$D$13,MATCH('Replacement plan'!$B$41,Products!$A$7:$A$13,0)),'Replacement plan'!$E$41),0)),"n.a.")</f>
        <v>0</v>
      </c>
      <c r="W145" s="1">
        <f>IF(C145=0,0,IF(AND(P145="Complete",D145="EV",E145&lt;120),IF(T145=0,0,ROUNDUP(T145*(R145-'Operating costs'!$B$41)*(S145*U145+'Operating costs'!$B$48/(1-'Operating costs'!$B$44))/(V145*'Operating costs'!$B$47/(1-'Operating costs'!$B$44)-T145*'Operating costs'!$B$12*U145),0)),0))</f>
        <v>0</v>
      </c>
      <c r="X145" s="1">
        <f>IF(C145=0,0,IF(AND(P145="Complete",D145="EV",E145&lt;120),(R145-'Operating costs'!$B$41)*(S145*U145+'Operating costs'!$B$48/(1-'Operating costs'!$B$44))+W145*'Operating costs'!$B$12*U145,0))</f>
        <v>0</v>
      </c>
      <c r="Y145" s="1">
        <f>IF(AND(C145=1,D145="EV",E145&lt;120),AI145/(1-'Operating costs'!$B$44)*(1-T145),0)</f>
        <v>0</v>
      </c>
      <c r="Z145" s="1">
        <f t="shared" si="4"/>
        <v>0</v>
      </c>
      <c r="AA145" s="1">
        <f>IF(C145=0,0,IF(P145="Complete",((S145*(R145-'Operating costs'!$B$40))+ROUNDUP(S145*(R145-'Operating costs'!$B$40)*IF('Replacement plan'!$AH$41="",'Operating costs'!$B$7,'Replacement plan'!$AH$41)/('Operating costs'!$B$8-'Operating costs'!$B$9*IF('Replacement plan'!$AH$41="",'Operating costs'!$B$7,'Replacement plan'!$AH$41)),0)*'Operating costs'!$B$9)*IF('Replacement plan'!$AH$41="",'Operating costs'!$B$7,'Replacement plan'!$AH$41),"n.a."))</f>
        <v>0</v>
      </c>
      <c r="AB145" s="1">
        <f t="shared" si="5"/>
        <v>0</v>
      </c>
      <c r="AC145" s="1">
        <f>IF(AND(C145=1,D145="EV",E145&lt;120,T145&gt;0),'Operating costs'!$B$12/'Operating costs'!$B$11*60+'Operating costs'!$B$13+'Operating costs'!$B$14+V145*'Operating costs'!$B$47/(1-'Operating costs'!$B$44)/'Replacement plan'!$L$41*60,0)</f>
        <v>0</v>
      </c>
      <c r="AD145" s="1" t="str">
        <f>'Replacement plan'!$B$41</f>
        <v>ChengLong L2EV</v>
      </c>
      <c r="AE145" s="1">
        <f>IF(C145=0,0,VLOOKUP($A145,'Fleet register'!$A$7:$S$106,8,FALSE))</f>
        <v>0</v>
      </c>
      <c r="AF145" s="1" t="str">
        <f>IF('Replacement plan'!$H$41="","n.a.",'Replacement plan'!$H$41)</f>
        <v>n.a.</v>
      </c>
      <c r="AG145" s="1">
        <f>'Replacement plan'!$J$41</f>
        <v>22</v>
      </c>
      <c r="AH145" s="1">
        <f>IFERROR(IF(D145="EV",IF('Replacement plan'!$K$41="AC",IF(ISNUMBER(INDEX(Products!$G$7:$G$13,MATCH('Replacement plan'!$B$41,Products!$A$7:$A$13,0))),INDEX(Products!$G$7:$G$13,MATCH('Replacement plan'!$B$41,Products!$A$7:$A$13,0)),"n.a."),IF(ISNUMBER(INDEX(Products!$H$7:$H$13,MATCH('Replacement plan'!$B$41,Products!$A$7:$A$13,0))),INDEX(Products!$H$7:$H$13,MATCH('Replacement plan'!$B$41,Products!$A$7:$A$13,0)),"n.a.")),0),"n.a.")</f>
        <v>0</v>
      </c>
      <c r="AI145" s="1">
        <f>IF(AND(C145=1,D145="EV",E145&lt;120),(VLOOKUP($A145,'Fleet register'!$A$7:$S$106,7,FALSE)+IF(T145&gt;0,'Operating costs'!$B$12,0))*U145*(1-'Operating costs'!$B$44)+'Operating costs'!$B$49,0)</f>
        <v>0</v>
      </c>
      <c r="AJ145" s="1">
        <f>IF(D145="EV",'Energy and charging'!$B$50,0)</f>
        <v>0</v>
      </c>
      <c r="AK145" s="17">
        <f>EDATE('Operating costs'!$B$63,E145)</f>
        <v>46298</v>
      </c>
      <c r="AL145" s="1">
        <f>IFERROR(IF(D145="EV",INDEX(Products!$B$7:$B$13,MATCH('Replacement plan'!$B$41,Products!$A$7:$A$13,0)),0),"n.a.")</f>
        <v>0</v>
      </c>
      <c r="AM145" s="1" t="str">
        <f>'Replacement plan'!$K$41</f>
        <v>DC</v>
      </c>
      <c r="AN145" s="1" t="str">
        <f>'Replacement plan'!$AE$41</f>
        <v>Assumed</v>
      </c>
      <c r="AO145" s="47">
        <f>IF(AND(C145=1,D145="EV",E145&lt;120),(R145-'Operating costs'!$B$41)*S145+W145*'Operating costs'!$B$12,0)</f>
        <v>0</v>
      </c>
      <c r="AP145" s="41">
        <f>IF(AND(C145=1,D145="EV",E145&lt;120),IF('Operating costs'!$B$68="Hong Seh 200k average",AO145*IFERROR(INDEX(Products!$P$7:$P$13,MATCH(AD145,Products!$A$7:$A$13,0)),"n.a."),'Operating costs'!$B$26),0)</f>
        <v>0</v>
      </c>
      <c r="AQ145" s="40" t="str">
        <f>IF(D145="EV",'Operating costs'!$B$68,"Not applicable")</f>
        <v>Not applicable</v>
      </c>
    </row>
    <row r="146" spans="1:43" ht="24" customHeight="1">
      <c r="A146" s="1" t="str">
        <f>'Replacement plan'!A41</f>
        <v>T035</v>
      </c>
      <c r="B146" s="1">
        <v>3</v>
      </c>
      <c r="C146" s="1">
        <f>IF(COUNTIFS('Fleet register'!$A$7:$A$106,$A146)=1,VLOOKUP($A146,'Fleet register'!$A$7:$S$106,2,FALSE),0)</f>
        <v>0</v>
      </c>
      <c r="D146" s="1" t="str">
        <f>IF('Replacement plan'!$R$41="EV","EV","ICE")</f>
        <v>ICE</v>
      </c>
      <c r="E146" s="1">
        <f>IF(C146=0,0,IF('Replacement plan'!$S$41="",IF('Replacement plan'!$R$41="Keep ICE",IF('Replacement plan'!$M$41="",VLOOKUP($A146,'Fleet register'!$A$7:$S$106,10,FALSE),'Replacement plan'!$M$41),0),'Replacement plan'!$S$41))</f>
        <v>0</v>
      </c>
      <c r="F146" s="16">
        <f>IF(C146=0,0,VLOOKUP($A146,'Fleet register'!$A$7:$S$106,11,FALSE))</f>
        <v>0</v>
      </c>
      <c r="G146" s="16">
        <f>IFERROR(IF(C146=0,0,IF(E146=120,0,IF(D146="ICE",'Replacement plan'!$C$41,IF('Replacement plan'!$D$41="",INDEX(Products!$I$7:$I$13,MATCH('Replacement plan'!$B$41,Products!$A$7:$A$13,0))+'Operating costs'!$B$57,'Replacement plan'!$D$41))*(1+'Operating costs'!$B$50)^(E146/12))),"n.a.")</f>
        <v>0</v>
      </c>
      <c r="H146" s="16">
        <f>IFERROR(IF(C146=0,0,IF('Replacement plan'!$V$41&lt;&gt;"",'Replacement plan'!$V$41,IF(E146=0,F146,VLOOKUP($A146,'Fleet register'!$A$7:$S$106,12,FALSE)+VLOOKUP($A146,'Fleet register'!$A$7:$S$106,13,FALSE)*MAX(0,VLOOKUP($A146,'Fleet register'!$A$7:$S$106,10,FALSE)-E146)/VLOOKUP($A146,'Fleet register'!$A$7:$S$106,14,FALSE)))),"n.a.")</f>
        <v>0</v>
      </c>
      <c r="I146" s="16">
        <f>IF(C146=0,0,IF(E146=120,0,'Replacement plan'!$T$41))</f>
        <v>0</v>
      </c>
      <c r="J146" s="16">
        <f>IF(C146=0,0,IF(P146="Complete",((S146*(R146-'Operating costs'!$B$39))+ROUNDUP(S146*(R146-'Operating costs'!$B$39)*IF('Replacement plan'!$AG$41="",'Operating costs'!$B$7,'Replacement plan'!$AG$41)/('Operating costs'!$B$8-'Operating costs'!$B$9*IF('Replacement plan'!$AG$41="",'Operating costs'!$B$7,'Replacement plan'!$AG$41)),0)*'Operating costs'!$B$9)*IF('Replacement plan'!$AG$41="",'Operating costs'!$B$7,'Replacement plan'!$AG$41)*('Energy and charging'!$C$9*'Energy and charging'!$C$7+(1-'Energy and charging'!$C$9)*'Energy and charging'!$C$8)*'Operating costs'!$B$23,"n.a."))</f>
        <v>0</v>
      </c>
      <c r="K146" s="16">
        <f>IF(C146=0,0,IF(P146="Complete",SUM('Operating costs'!$B$24,'Operating costs'!$B$27,'Operating costs'!$B$29,'Operating costs'!$B$31,'Operating costs'!$B$33,'Operating costs'!$B$34,'Operating costs'!$B$37,'Replacement plan'!$W$41)+'Operating costs'!$B$39*'Operating costs'!$B$42+ROUNDUP(S146*(R146-'Operating costs'!$B$39)*IF('Replacement plan'!$AG$41="",'Operating costs'!$B$7,'Replacement plan'!$AG$41)/('Operating costs'!$B$8-'Operating costs'!$B$9*IF('Replacement plan'!$AG$41="",'Operating costs'!$B$7,'Replacement plan'!$AG$41)),0)*('Operating costs'!$B$9/'Operating costs'!$B$11+'Operating costs'!$B$10/60)*'Operating costs'!$B$19*'Operating costs'!$B$21,"n.a."))</f>
        <v>0</v>
      </c>
      <c r="L146" s="16">
        <f>IF(C146=0,0,IF(P146="Complete",IF(D146="EV",X146*((1-T146)*'Energy and charging'!$C$10+T146*'Energy and charging'!$C$11)*'Operating costs'!$B$22,AA146*('Energy and charging'!$C$9*'Energy and charging'!$C$7+(1-'Energy and charging'!$C$9)*'Energy and charging'!$C$8)*'Operating costs'!$B$23),"n.a."))</f>
        <v>0</v>
      </c>
      <c r="M146" s="37">
        <f>IF(C146=0,0,IF(P146="Complete",IF(D146="ICE",SUM('Operating costs'!$B$25,'Operating costs'!$B$27,'Operating costs'!$B$29,'Operating costs'!$B$31,'Operating costs'!$B$33,'Operating costs'!$B$35,'Operating costs'!$B$37,'Replacement plan'!$X$41)+'Operating costs'!$B$40*'Operating costs'!$B$42+ROUNDUP(S146*(R146-'Operating costs'!$B$40)*IF('Replacement plan'!$AH$41="",'Operating costs'!$B$7,'Replacement plan'!$AH$41)/('Operating costs'!$B$8-'Operating costs'!$B$9*IF('Replacement plan'!$AH$41="",'Operating costs'!$B$7,'Replacement plan'!$AH$41)),0)*('Operating costs'!$B$9/'Operating costs'!$B$11+'Operating costs'!$B$10/60)*'Operating costs'!$B$19*'Operating costs'!$B$21,SUM(AP146,'Operating costs'!$B$28,'Operating costs'!$B$30,'Operating costs'!$B$32,'Operating costs'!$B$33,'Operating costs'!$B$36,'Operating costs'!$B$38,'Replacement plan'!$Y$41)+'Operating costs'!$B$41*'Operating costs'!$B$43+W146*'Operating costs'!$B$15+(T146*X146/'Replacement plan'!$L$41+W146*('Operating costs'!$B$12/'Operating costs'!$B$11+('Operating costs'!$B$13+'Operating costs'!$B$14)/60)+(R146-'Operating costs'!$B$41)*(IF(T146&lt;1,'Operating costs'!$B$16,0)+'Operating costs'!$B$17)/60)*'Operating costs'!$B$19*'Operating costs'!$B$20),"n.a."))</f>
        <v>0</v>
      </c>
      <c r="N146" s="16">
        <f>IF(AND(C146=1,D146="EV",E146&lt;120,E146+'Replacement plan'!$AA$41&lt;=120),'Replacement plan'!$Z$41,0)</f>
        <v>0</v>
      </c>
      <c r="O146" s="1">
        <f>E146+'Replacement plan'!$AA$41</f>
        <v>0</v>
      </c>
      <c r="P146" s="35" t="str">
        <f>IFERROR(IF(C146=0,"Excluded",IF(OR(COUNTIFS('Fleet register'!$A$7:$A$106,A146)&lt;&gt;1,COUNTIFS('Replacement plan'!$A$7:$A$106,A146)&lt;&gt;1),"Duplicate/missing ID",IF(NOT(AND(ISNUMBER(VLOOKUP($A146,'Fleet register'!$A$7:$S$106,5,FALSE)),ISNUMBER(VLOOKUP($A146,'Fleet register'!$A$7:$S$106,6,FALSE)),ISNUMBER(VLOOKUP($A146,'Fleet register'!$A$7:$S$106,10,FALSE)),ISNUMBER(VLOOKUP($A146,'Fleet register'!$A$7:$S$106,11,FALSE)),ISNUMBER(VLOOKUP($A146,'Fleet register'!$A$7:$S$106,12,FALSE)),ISNUMBER(VLOOKUP($A146,'Fleet register'!$A$7:$S$106,13,FALSE)),ISNUMBER(VLOOKUP($A146,'Fleet register'!$A$7:$S$106,14,FALSE)),VLOOKUP($A146,'Fleet register'!$A$7:$S$106,14,FALSE)&gt;0,ISNUMBER('Replacement plan'!$C$41),OR(E146=120,ISNUMBER('Replacement plan'!$T$41)),ISNUMBER(E146))),"Missing vehicle input",IF(OR(E146&lt;0,E146&gt;VLOOKUP($A146,'Fleet register'!$A$7:$S$106,10,FALSE),E146&gt;120,E146&lt;&gt;INT(E146),VLOOKUP($A146,'Fleet register'!$A$7:$S$106,6,FALSE)&lt;=0,VLOOKUP($A146,'Fleet register'!$A$7:$S$106,6,FALSE)&gt;366,VLOOKUP($A146,'Fleet register'!$A$7:$S$106,5,FALSE)&lt;0,VLOOKUP($A146,'Fleet register'!$A$7:$S$106,11,FALSE)&lt;0,I146&lt;0,'Operating costs'!$B$8&lt;='Operating costs'!$B$7*'Operating costs'!$B$9,'Operating costs'!$B$11&lt;=0,'Operating costs'!$B$39&gt;R146,'Operating costs'!$B$40&gt;R146,'Operating costs'!$B$41&gt;R146,NOT(OR('Replacement plan'!$R$41="Keep ICE",'Replacement plan'!$R$41="New ICE",'Replacement plan'!$R$41="EV"))),"Invalid vehicle input",IF(AND(D146="EV",E146&lt;120,OR(NOT(ISNUMBER(U146)),NOT(ISNUMBER(V146)),V146&lt;=0,T146&lt;0,T146&gt;1,'Replacement plan'!$L$41&lt;=0,'Operating costs'!$B$44&lt;0,'Operating costs'!$B$44&gt;=1,'Operating costs'!$B$47&lt;=0,'Operating costs'!$B$47&gt;1,V146*'Operating costs'!$B$47/(1-'Operating costs'!$B$44)&lt;=T146*'Operating costs'!$B$12*U146,AND('Replacement plan'!$Z$41&gt;0,OR('Replacement plan'!$AB$41&lt;&gt;"Yes",'Operating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charging'!$C$8&gt;=0))),ISNUMBER(VLOOKUP($A146,'Fleet register'!$A$7:$S$106,15,FALSE)),ISNUMBER(VLOOKUP($A146,'Fleet register'!$A$7:$S$106,16,FALSE)),ISNUMBER('Replacement plan'!$W$41),ISNUMBER('Replacement plan'!$X$41),OR(E146=120,AND(ISNUMBER(G146),G146&gt;=0)),ISNUMBER(H146),H146&gt;=0,OR(D146&lt;&gt;"EV",E146=120,AND(ISNUMBER('Operating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average",ISNUMBER(IFERROR(INDEX(Products!$P$7:$P$13,MATCH(AD146,Products!$A$7:$A$13,0)),"")))),ISNUMBER('Operating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plan'!$Y$41),ISNUMBER('Replacement plan'!$Z$41),'Replacement plan'!$Z$41&gt;=0,ISNUMBER('Replacement plan'!$AA$41),'Replacement plan'!$AA$41&gt;=0,'Replacement plan'!$AA$41=INT('Replacement plan'!$AA$41),ISNUMBER('Replacement plan'!$L$41))),'Operating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plan'!$AG$41="",'Operating costs'!$B$7,'Replacement plan'!$AG$41)),IF('Replacement plan'!$AG$41="",'Operating costs'!$B$7,'Replacement plan'!$AG$41)&gt;=0,ISNUMBER(IF('Replacement plan'!$AH$41="",'Operating costs'!$B$7,'Replacement plan'!$AH$41)),IF('Replacement plan'!$AH$41="",'Operating costs'!$B$7,'Replacement plan'!$AH$41)&gt;=0,'Operating costs'!$B$8&gt;MAX(IF('Replacement plan'!$AG$41="",'Operating costs'!$B$7,'Replacement plan'!$AG$41),IF('Replacement plan'!$AH$41="",'Operating costs'!$B$7,'Replacement plan'!$AH$41))*'Operating costs'!$B$9),IF(AND(VLOOKUP($A146,'Fleet register'!$A$7:$S$106,10,FALSE)&gt;=0,VLOOKUP($A146,'Fleet register'!$A$7:$S$106,10,FALSE)&lt;=120,VLOOKUP($A146,'Fleet register'!$A$7:$S$106,10,FALSE)=INT(VLOOKUP($A146,'Fleet register'!$A$7:$S$106,10,FALSE)),VLOOKUP($A146,'Fleet register'!$A$7:$S$106,15,FALSE)&gt;=0,VLOOKUP($A146,'Fleet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costs'!$B$67)&gt;=0,OR(D146&lt;&gt;"EV",E146=120,AND(MIN('Operating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46" s="1" t="str">
        <f>IF(C146=0,"Excluded",IF(P146&lt;&gt;"Complete",P146,IF(OR('Replacement plan'!$AD$41&lt;120-E146,AND(D146="EV",E146&lt;120,OR('Replacement plan'!$AC$41&lt;120-E146,'Replacement plan'!$I$41="No",AND(ISNUMBER(AF146),AE146&gt;AF146),AI146&gt;V146*(1-'Operating costs'!$B$46)^MAX(0,AB146-1)*(1-'Operating costs'!$B$45),AC146&gt;'Operating costs'!$B$18,AND(T146&lt;1,OR(AG146&lt;=0,AND(ISNUMBER(AH146),AG146&gt;AH146))),'Replacement plan'!$L$41&gt;INDEX(Products!$H$7:$H$13,MATCH('Replacement plan'!$B$41,Products!$A$7:$A$13,0))))),"Fails entered limits",IF(AND(D146="EV",E146&lt;120,OR(NOT(ISNUMBER(VLOOKUP($A146,'Fleet register'!$A$7:$S$106,7,FALSE))),NOT(ISNUMBER(VLOOKUP($A146,'Fleet register'!$A$7:$S$106,8,FALSE))),NOT(ISNUMBER(AF146)),'Replacement plan'!$I$41&lt;&gt;"Yes",NOT(ISNUMBER(AH146)),'Operating costs'!$B$59&lt;&gt;"Yes",'Operating costs'!$B$58&lt;&gt;"Yes")),"Unverified","Within entered limits"))))</f>
        <v>Excluded</v>
      </c>
      <c r="R146" s="1">
        <f>IF(C146=0,0,VLOOKUP($A146,'Fleet register'!$A$7:$S$106,6,FALSE))</f>
        <v>0</v>
      </c>
      <c r="S146" s="1">
        <f>IF(C146=0,0,VLOOKUP($A146,'Fleet register'!$A$7:$S$106,5,FALSE))</f>
        <v>0</v>
      </c>
      <c r="T146" s="1">
        <f>IF(D146="EV",'Energy and charging'!$C$12,0)</f>
        <v>0</v>
      </c>
      <c r="U146" s="1">
        <f>IFERROR(IF(C146=0,0,IF(D146="EV",IF('Replacement plan'!$F$41="",INDEX(Products!$E$7:$E$13,MATCH('Replacement plan'!$B$41,Products!$A$7:$A$13,0)),'Replacement plan'!$F$41)/IF('Replacement plan'!$G$41="Battery",1-'Operating costs'!$B$44,1),0)),"n.a.")</f>
        <v>0</v>
      </c>
      <c r="V146" s="1">
        <f>IFERROR(IF(C146=0,0,IF(D146="EV",IF('Replacement plan'!$E$41="",INDEX(Products!$D$7:$D$13,MATCH('Replacement plan'!$B$41,Products!$A$7:$A$13,0)),'Replacement plan'!$E$41),0)),"n.a.")</f>
        <v>0</v>
      </c>
      <c r="W146" s="1">
        <f>IF(C146=0,0,IF(AND(P146="Complete",D146="EV",E146&lt;120),IF(T146=0,0,ROUNDUP(T146*(R146-'Operating costs'!$B$41)*(S146*U146+'Operating costs'!$B$48/(1-'Operating costs'!$B$44))/(V146*'Operating costs'!$B$47/(1-'Operating costs'!$B$44)-T146*'Operating costs'!$B$12*U146),0)),0))</f>
        <v>0</v>
      </c>
      <c r="X146" s="1">
        <f>IF(C146=0,0,IF(AND(P146="Complete",D146="EV",E146&lt;120),(R146-'Operating costs'!$B$41)*(S146*U146+'Operating costs'!$B$48/(1-'Operating costs'!$B$44))+W146*'Operating costs'!$B$12*U146,0))</f>
        <v>0</v>
      </c>
      <c r="Y146" s="1">
        <f>IF(AND(C146=1,D146="EV",E146&lt;120),AI146/(1-'Operating costs'!$B$44)*(1-T146),0)</f>
        <v>0</v>
      </c>
      <c r="Z146" s="1">
        <f t="shared" si="4"/>
        <v>0</v>
      </c>
      <c r="AA146" s="1">
        <f>IF(C146=0,0,IF(P146="Complete",((S146*(R146-'Operating costs'!$B$40))+ROUNDUP(S146*(R146-'Operating costs'!$B$40)*IF('Replacement plan'!$AH$41="",'Operating costs'!$B$7,'Replacement plan'!$AH$41)/('Operating costs'!$B$8-'Operating costs'!$B$9*IF('Replacement plan'!$AH$41="",'Operating costs'!$B$7,'Replacement plan'!$AH$41)),0)*'Operating costs'!$B$9)*IF('Replacement plan'!$AH$41="",'Operating costs'!$B$7,'Replacement plan'!$AH$41),"n.a."))</f>
        <v>0</v>
      </c>
      <c r="AB146" s="1">
        <f t="shared" si="5"/>
        <v>0</v>
      </c>
      <c r="AC146" s="1">
        <f>IF(AND(C146=1,D146="EV",E146&lt;120,T146&gt;0),'Operating costs'!$B$12/'Operating costs'!$B$11*60+'Operating costs'!$B$13+'Operating costs'!$B$14+V146*'Operating costs'!$B$47/(1-'Operating costs'!$B$44)/'Replacement plan'!$L$41*60,0)</f>
        <v>0</v>
      </c>
      <c r="AD146" s="1" t="str">
        <f>'Replacement plan'!$B$41</f>
        <v>ChengLong L2EV</v>
      </c>
      <c r="AE146" s="1">
        <f>IF(C146=0,0,VLOOKUP($A146,'Fleet register'!$A$7:$S$106,8,FALSE))</f>
        <v>0</v>
      </c>
      <c r="AF146" s="1" t="str">
        <f>IF('Replacement plan'!$H$41="","n.a.",'Replacement plan'!$H$41)</f>
        <v>n.a.</v>
      </c>
      <c r="AG146" s="1">
        <f>'Replacement plan'!$J$41</f>
        <v>22</v>
      </c>
      <c r="AH146" s="1">
        <f>IFERROR(IF(D146="EV",IF('Replacement plan'!$K$41="AC",IF(ISNUMBER(INDEX(Products!$G$7:$G$13,MATCH('Replacement plan'!$B$41,Products!$A$7:$A$13,0))),INDEX(Products!$G$7:$G$13,MATCH('Replacement plan'!$B$41,Products!$A$7:$A$13,0)),"n.a."),IF(ISNUMBER(INDEX(Products!$H$7:$H$13,MATCH('Replacement plan'!$B$41,Products!$A$7:$A$13,0))),INDEX(Products!$H$7:$H$13,MATCH('Replacement plan'!$B$41,Products!$A$7:$A$13,0)),"n.a.")),0),"n.a.")</f>
        <v>0</v>
      </c>
      <c r="AI146" s="1">
        <f>IF(AND(C146=1,D146="EV",E146&lt;120),(VLOOKUP($A146,'Fleet register'!$A$7:$S$106,7,FALSE)+IF(T146&gt;0,'Operating costs'!$B$12,0))*U146*(1-'Operating costs'!$B$44)+'Operating costs'!$B$49,0)</f>
        <v>0</v>
      </c>
      <c r="AJ146" s="1">
        <f>IF(D146="EV",'Energy and charging'!$C$50,0)</f>
        <v>0</v>
      </c>
      <c r="AK146" s="17">
        <f>EDATE('Operating costs'!$B$63,E146)</f>
        <v>46298</v>
      </c>
      <c r="AL146" s="1">
        <f>IFERROR(IF(D146="EV",INDEX(Products!$B$7:$B$13,MATCH('Replacement plan'!$B$41,Products!$A$7:$A$13,0)),0),"n.a.")</f>
        <v>0</v>
      </c>
      <c r="AM146" s="1" t="str">
        <f>'Replacement plan'!$K$41</f>
        <v>DC</v>
      </c>
      <c r="AN146" s="1" t="str">
        <f>'Replacement plan'!$AE$41</f>
        <v>Assumed</v>
      </c>
      <c r="AO146" s="47">
        <f>IF(AND(C146=1,D146="EV",E146&lt;120),(R146-'Operating costs'!$B$41)*S146+W146*'Operating costs'!$B$12,0)</f>
        <v>0</v>
      </c>
      <c r="AP146" s="41">
        <f>IF(AND(C146=1,D146="EV",E146&lt;120),IF('Operating costs'!$B$68="Hong Seh 200k average",AO146*IFERROR(INDEX(Products!$P$7:$P$13,MATCH(AD146,Products!$A$7:$A$13,0)),"n.a."),'Operating costs'!$B$26),0)</f>
        <v>0</v>
      </c>
      <c r="AQ146" s="40" t="str">
        <f>IF(D146="EV",'Operating costs'!$B$68,"Not applicable")</f>
        <v>Not applicable</v>
      </c>
    </row>
    <row r="147" spans="1:43" ht="24" customHeight="1">
      <c r="A147" s="1" t="str">
        <f>'Replacement plan'!A42</f>
        <v>T036</v>
      </c>
      <c r="B147" s="1">
        <v>0</v>
      </c>
      <c r="C147" s="1">
        <f>IF(COUNTIFS('Fleet register'!$A$7:$A$106,$A147)=1,VLOOKUP($A147,'Fleet register'!$A$7:$S$106,2,FALSE),0)</f>
        <v>0</v>
      </c>
      <c r="D147" s="1" t="str">
        <f>IF("Keep ICE"="EV","EV","ICE")</f>
        <v>ICE</v>
      </c>
      <c r="E147" s="1">
        <f>IF(C147=0,0,IF('Replacement plan'!$M$42="",VLOOKUP($A147,'Fleet register'!$A$7:$S$106,10,FALSE),'Replacement plan'!$M$42))</f>
        <v>0</v>
      </c>
      <c r="F147" s="16">
        <f>IF(C147=0,0,VLOOKUP($A147,'Fleet register'!$A$7:$S$106,11,FALSE))</f>
        <v>0</v>
      </c>
      <c r="G147" s="16">
        <f>IFERROR(IF(C147=0,0,IF(E147=120,0,IF(D147="ICE",'Replacement plan'!$C$42,IF('Replacement plan'!$D$42="",INDEX(Products!$I$7:$I$13,MATCH('Replacement plan'!$B$42,Products!$A$7:$A$13,0))+'Operating costs'!$B$57,'Replacement plan'!$D$42))*(1+'Operating costs'!$B$50)^(E147/12))),"n.a.")</f>
        <v>0</v>
      </c>
      <c r="H147" s="16">
        <f>IFERROR(IF(C147=0,0,IF(E147=0,F147,VLOOKUP($A147,'Fleet register'!$A$7:$S$106,12,FALSE)+VLOOKUP($A147,'Fleet register'!$A$7:$S$106,13,FALSE)*MAX(0,VLOOKUP($A147,'Fleet register'!$A$7:$S$106,10,FALSE)-E147)/VLOOKUP($A147,'Fleet register'!$A$7:$S$106,14,FALSE))),"n.a.")</f>
        <v>0</v>
      </c>
      <c r="I147" s="16">
        <f>IF(C147=0,0,IF(E147=120,0,'Replacement plan'!$N$42))</f>
        <v>0</v>
      </c>
      <c r="J147" s="16">
        <f>IF(C147=0,0,IF(P147="Complete",((S147*(R147-'Operating costs'!$B$39))+ROUNDUP(S147*(R147-'Operating costs'!$B$39)*IF('Replacement plan'!$AG$42="",'Operating costs'!$B$7,'Replacement plan'!$AG$42)/('Operating costs'!$B$8-'Operating costs'!$B$9*IF('Replacement plan'!$AG$42="",'Operating costs'!$B$7,'Replacement plan'!$AG$42)),0)*'Operating costs'!$B$9)*IF('Replacement plan'!$AG$42="",'Operating costs'!$B$7,'Replacement plan'!$AG$42)*('Energy and charging'!$B$9*'Energy and charging'!$B$7+(1-'Energy and charging'!$B$9)*'Energy and charging'!$B$8)*'Operating costs'!$B$23,"n.a."))</f>
        <v>0</v>
      </c>
      <c r="K147" s="16">
        <f>IF(C147=0,0,IF(P147="Complete",SUM('Operating costs'!$B$24,'Operating costs'!$B$27,'Operating costs'!$B$29,'Operating costs'!$B$31,'Operating costs'!$B$33,'Operating costs'!$B$34,'Operating costs'!$B$37,'Replacement plan'!$W$42)+'Operating costs'!$B$39*'Operating costs'!$B$42+ROUNDUP(S147*(R147-'Operating costs'!$B$39)*IF('Replacement plan'!$AG$42="",'Operating costs'!$B$7,'Replacement plan'!$AG$42)/('Operating costs'!$B$8-'Operating costs'!$B$9*IF('Replacement plan'!$AG$42="",'Operating costs'!$B$7,'Replacement plan'!$AG$42)),0)*('Operating costs'!$B$9/'Operating costs'!$B$11+'Operating costs'!$B$10/60)*'Operating costs'!$B$19*'Operating costs'!$B$21,"n.a."))</f>
        <v>0</v>
      </c>
      <c r="L147" s="16">
        <f>IF(C147=0,0,IF(P147="Complete",IF(D147="EV",X147*((1-T147)*'Energy and charging'!$B$10+T147*'Energy and charging'!$B$11)*'Operating costs'!$B$22,AA147*('Energy and charging'!$B$9*'Energy and charging'!$B$7+(1-'Energy and charging'!$B$9)*'Energy and charging'!$B$8)*'Operating costs'!$B$23),"n.a."))</f>
        <v>0</v>
      </c>
      <c r="M147" s="37">
        <f>IF(C147=0,0,IF(P147="Complete",IF(D147="ICE",SUM('Operating costs'!$B$25,'Operating costs'!$B$27,'Operating costs'!$B$29,'Operating costs'!$B$31,'Operating costs'!$B$33,'Operating costs'!$B$35,'Operating costs'!$B$37,'Replacement plan'!$X$42)+'Operating costs'!$B$40*'Operating costs'!$B$42+ROUNDUP(S147*(R147-'Operating costs'!$B$40)*IF('Replacement plan'!$AH$42="",'Operating costs'!$B$7,'Replacement plan'!$AH$42)/('Operating costs'!$B$8-'Operating costs'!$B$9*IF('Replacement plan'!$AH$42="",'Operating costs'!$B$7,'Replacement plan'!$AH$42)),0)*('Operating costs'!$B$9/'Operating costs'!$B$11+'Operating costs'!$B$10/60)*'Operating costs'!$B$19*'Operating costs'!$B$21,SUM(AP147,'Operating costs'!$B$28,'Operating costs'!$B$30,'Operating costs'!$B$32,'Operating costs'!$B$33,'Operating costs'!$B$36,'Operating costs'!$B$38,'Replacement plan'!$Y$42)+'Operating costs'!$B$41*'Operating costs'!$B$43+W147*'Operating costs'!$B$15+(T147*X147/'Replacement plan'!$L$42+W147*('Operating costs'!$B$12/'Operating costs'!$B$11+('Operating costs'!$B$13+'Operating costs'!$B$14)/60)+(R147-'Operating costs'!$B$41)*(IF(T147&lt;1,'Operating costs'!$B$16,0)+'Operating costs'!$B$17)/60)*'Operating costs'!$B$19*'Operating costs'!$B$20),"n.a."))</f>
        <v>0</v>
      </c>
      <c r="N147" s="16">
        <f>IF(AND(C147=1,D147="EV",E147&lt;120,E147+'Replacement plan'!$AA$42&lt;=120),'Replacement plan'!$Z$42,0)</f>
        <v>0</v>
      </c>
      <c r="O147" s="1">
        <f>E147+'Replacement plan'!$AA$42</f>
        <v>0</v>
      </c>
      <c r="P147" s="35" t="str">
        <f>IFERROR(IF(C147=0,"Excluded",IF(OR(COUNTIFS('Fleet register'!$A$7:$A$106,A147)&lt;&gt;1,COUNTIFS('Replacement plan'!$A$7:$A$106,A147)&lt;&gt;1),"Duplicate/missing ID",IF(NOT(AND(ISNUMBER(VLOOKUP($A147,'Fleet register'!$A$7:$S$106,5,FALSE)),ISNUMBER(VLOOKUP($A147,'Fleet register'!$A$7:$S$106,6,FALSE)),ISNUMBER(VLOOKUP($A147,'Fleet register'!$A$7:$S$106,10,FALSE)),ISNUMBER(VLOOKUP($A147,'Fleet register'!$A$7:$S$106,11,FALSE)),ISNUMBER(VLOOKUP($A147,'Fleet register'!$A$7:$S$106,12,FALSE)),ISNUMBER(VLOOKUP($A147,'Fleet register'!$A$7:$S$106,13,FALSE)),ISNUMBER(VLOOKUP($A147,'Fleet register'!$A$7:$S$106,14,FALSE)),VLOOKUP($A147,'Fleet register'!$A$7:$S$106,14,FALSE)&gt;0,ISNUMBER('Replacement plan'!$C$42),OR(E147=120,ISNUMBER('Replacement plan'!$N$42)),ISNUMBER(E147))),"Missing vehicle input",IF(OR(E147&lt;0,E147&gt;VLOOKUP($A147,'Fleet register'!$A$7:$S$106,10,FALSE),E147&gt;120,E147&lt;&gt;INT(E147),VLOOKUP($A147,'Fleet register'!$A$7:$S$106,6,FALSE)&lt;=0,VLOOKUP($A147,'Fleet register'!$A$7:$S$106,6,FALSE)&gt;366,VLOOKUP($A147,'Fleet register'!$A$7:$S$106,5,FALSE)&lt;0,VLOOKUP($A147,'Fleet register'!$A$7:$S$106,11,FALSE)&lt;0,I147&lt;0,'Operating costs'!$B$8&lt;='Operating costs'!$B$7*'Operating costs'!$B$9,'Operating costs'!$B$11&lt;=0,'Operating costs'!$B$39&gt;R147,'Operating costs'!$B$40&gt;R147,'Operating costs'!$B$41&gt;R147,NOT(OR("Keep ICE"="Keep ICE","Keep ICE"="New ICE","Keep ICE"="EV"))),"Invalid vehicle input",IF(AND(D147="EV",E147&lt;120,OR(NOT(ISNUMBER(U147)),NOT(ISNUMBER(V147)),V147&lt;=0,T147&lt;0,T147&gt;1,'Replacement plan'!$L$42&lt;=0,'Operating costs'!$B$44&lt;0,'Operating costs'!$B$44&gt;=1,'Operating costs'!$B$47&lt;=0,'Operating costs'!$B$47&gt;1,V147*'Operating costs'!$B$47/(1-'Operating costs'!$B$44)&lt;=T147*'Operating costs'!$B$12*U147,AND('Replacement plan'!$Z$42&gt;0,OR('Replacement plan'!$AB$42&lt;&gt;"Yes",'Operating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charging'!$B$8&gt;=0))),ISNUMBER(VLOOKUP($A147,'Fleet register'!$A$7:$S$106,15,FALSE)),ISNUMBER(VLOOKUP($A147,'Fleet register'!$A$7:$S$106,16,FALSE)),ISNUMBER('Replacement plan'!$W$42),ISNUMBER('Replacement plan'!$X$42),OR(E147=120,AND(ISNUMBER(G147),G147&gt;=0)),ISNUMBER(H147),H147&gt;=0,OR(D147&lt;&gt;"EV",E147=120,AND(ISNUMBER('Operating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average",ISNUMBER(IFERROR(INDEX(Products!$P$7:$P$13,MATCH(AD147,Products!$A$7:$A$13,0)),"")))),ISNUMBER('Operating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plan'!$Y$42),ISNUMBER('Replacement plan'!$Z$42),'Replacement plan'!$Z$42&gt;=0,ISNUMBER('Replacement plan'!$AA$42),'Replacement plan'!$AA$42&gt;=0,'Replacement plan'!$AA$42=INT('Replacement plan'!$AA$42),ISNUMBER('Replacement plan'!$L$42))),'Operating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plan'!$AG$42="",'Operating costs'!$B$7,'Replacement plan'!$AG$42)),IF('Replacement plan'!$AG$42="",'Operating costs'!$B$7,'Replacement plan'!$AG$42)&gt;=0,ISNUMBER(IF('Replacement plan'!$AH$42="",'Operating costs'!$B$7,'Replacement plan'!$AH$42)),IF('Replacement plan'!$AH$42="",'Operating costs'!$B$7,'Replacement plan'!$AH$42)&gt;=0,'Operating costs'!$B$8&gt;MAX(IF('Replacement plan'!$AG$42="",'Operating costs'!$B$7,'Replacement plan'!$AG$42),IF('Replacement plan'!$AH$42="",'Operating costs'!$B$7,'Replacement plan'!$AH$42))*'Operating costs'!$B$9),IF(AND(VLOOKUP($A147,'Fleet register'!$A$7:$S$106,10,FALSE)&gt;=0,VLOOKUP($A147,'Fleet register'!$A$7:$S$106,10,FALSE)&lt;=120,VLOOKUP($A147,'Fleet register'!$A$7:$S$106,10,FALSE)=INT(VLOOKUP($A147,'Fleet register'!$A$7:$S$106,10,FALSE)),VLOOKUP($A147,'Fleet register'!$A$7:$S$106,15,FALSE)&gt;=0,VLOOKUP($A147,'Fleet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costs'!$B$67)&gt;=0,OR(D147&lt;&gt;"EV",E147=120,AND(MIN('Operating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47" s="1" t="str">
        <f>IF(C147=0,"Excluded",IF(P147&lt;&gt;"Complete",P147,IF(OR('Replacement plan'!$AD$42&lt;120-E147,AND(D147="EV",E147&lt;120,OR('Replacement plan'!$AC$42&lt;120-E147,'Replacement plan'!$I$42="No",AND(ISNUMBER(AF147),AE147&gt;AF147),AI147&gt;V147*(1-'Operating costs'!$B$46)^MAX(0,AB147-1)*(1-'Operating costs'!$B$45),AC147&gt;'Operating costs'!$B$18,AND(T147&lt;1,OR(AG147&lt;=0,AND(ISNUMBER(AH147),AG147&gt;AH147))),'Replacement plan'!$L$42&gt;INDEX(Products!$H$7:$H$13,MATCH('Replacement plan'!$B$42,Products!$A$7:$A$13,0))))),"Fails entered limits",IF(AND(D147="EV",E147&lt;120,OR(NOT(ISNUMBER(VLOOKUP($A147,'Fleet register'!$A$7:$S$106,7,FALSE))),NOT(ISNUMBER(VLOOKUP($A147,'Fleet register'!$A$7:$S$106,8,FALSE))),NOT(ISNUMBER(AF147)),'Replacement plan'!$I$42&lt;&gt;"Yes",NOT(ISNUMBER(AH147)),'Operating costs'!$B$59&lt;&gt;"Yes",'Operating costs'!$B$58&lt;&gt;"Yes")),"Unverified","Within entered limits"))))</f>
        <v>Excluded</v>
      </c>
      <c r="R147" s="1">
        <f>IF(C147=0,0,VLOOKUP($A147,'Fleet register'!$A$7:$S$106,6,FALSE))</f>
        <v>0</v>
      </c>
      <c r="S147" s="1">
        <f>IF(C147=0,0,VLOOKUP($A147,'Fleet register'!$A$7:$S$106,5,FALSE))</f>
        <v>0</v>
      </c>
      <c r="T147" s="1">
        <f>IF(D147="EV",'Energy and charging'!$B$12,0)</f>
        <v>0</v>
      </c>
      <c r="U147" s="1">
        <f>IFERROR(IF(C147=0,0,IF(D147="EV",IF('Replacement plan'!$F$42="",INDEX(Products!$E$7:$E$13,MATCH('Replacement plan'!$B$42,Products!$A$7:$A$13,0)),'Replacement plan'!$F$42)/IF('Replacement plan'!$G$42="Battery",1-'Operating costs'!$B$44,1),0)),"n.a.")</f>
        <v>0</v>
      </c>
      <c r="V147" s="1">
        <f>IFERROR(IF(C147=0,0,IF(D147="EV",IF('Replacement plan'!$E$42="",INDEX(Products!$D$7:$D$13,MATCH('Replacement plan'!$B$42,Products!$A$7:$A$13,0)),'Replacement plan'!$E$42),0)),"n.a.")</f>
        <v>0</v>
      </c>
      <c r="W147" s="1">
        <f>IF(C147=0,0,IF(AND(P147="Complete",D147="EV",E147&lt;120),IF(T147=0,0,ROUNDUP(T147*(R147-'Operating costs'!$B$41)*(S147*U147+'Operating costs'!$B$48/(1-'Operating costs'!$B$44))/(V147*'Operating costs'!$B$47/(1-'Operating costs'!$B$44)-T147*'Operating costs'!$B$12*U147),0)),0))</f>
        <v>0</v>
      </c>
      <c r="X147" s="1">
        <f>IF(C147=0,0,IF(AND(P147="Complete",D147="EV",E147&lt;120),(R147-'Operating costs'!$B$41)*(S147*U147+'Operating costs'!$B$48/(1-'Operating costs'!$B$44))+W147*'Operating costs'!$B$12*U147,0))</f>
        <v>0</v>
      </c>
      <c r="Y147" s="1">
        <f>IF(AND(C147=1,D147="EV",E147&lt;120),AI147/(1-'Operating costs'!$B$44)*(1-T147),0)</f>
        <v>0</v>
      </c>
      <c r="Z147" s="1">
        <f t="shared" si="4"/>
        <v>0</v>
      </c>
      <c r="AA147" s="1">
        <f>IF(C147=0,0,IF(P147="Complete",((S147*(R147-'Operating costs'!$B$40))+ROUNDUP(S147*(R147-'Operating costs'!$B$40)*IF('Replacement plan'!$AH$42="",'Operating costs'!$B$7,'Replacement plan'!$AH$42)/('Operating costs'!$B$8-'Operating costs'!$B$9*IF('Replacement plan'!$AH$42="",'Operating costs'!$B$7,'Replacement plan'!$AH$42)),0)*'Operating costs'!$B$9)*IF('Replacement plan'!$AH$42="",'Operating costs'!$B$7,'Replacement plan'!$AH$42),"n.a."))</f>
        <v>0</v>
      </c>
      <c r="AB147" s="1">
        <f t="shared" si="5"/>
        <v>0</v>
      </c>
      <c r="AC147" s="1">
        <f>IF(AND(C147=1,D147="EV",E147&lt;120,T147&gt;0),'Operating costs'!$B$12/'Operating costs'!$B$11*60+'Operating costs'!$B$13+'Operating costs'!$B$14+V147*'Operating costs'!$B$47/(1-'Operating costs'!$B$44)/'Replacement plan'!$L$42*60,0)</f>
        <v>0</v>
      </c>
      <c r="AD147" s="1" t="str">
        <f>'Replacement plan'!$B$42</f>
        <v>ChengLong L2EV</v>
      </c>
      <c r="AE147" s="1">
        <f>IF(C147=0,0,VLOOKUP($A147,'Fleet register'!$A$7:$S$106,8,FALSE))</f>
        <v>0</v>
      </c>
      <c r="AF147" s="1" t="str">
        <f>IF('Replacement plan'!$H$42="","n.a.",'Replacement plan'!$H$42)</f>
        <v>n.a.</v>
      </c>
      <c r="AG147" s="1">
        <f>'Replacement plan'!$J$42</f>
        <v>22</v>
      </c>
      <c r="AH147" s="1">
        <f>IFERROR(IF(D147="EV",IF('Replacement plan'!$K$42="AC",IF(ISNUMBER(INDEX(Products!$G$7:$G$13,MATCH('Replacement plan'!$B$42,Products!$A$7:$A$13,0))),INDEX(Products!$G$7:$G$13,MATCH('Replacement plan'!$B$42,Products!$A$7:$A$13,0)),"n.a."),IF(ISNUMBER(INDEX(Products!$H$7:$H$13,MATCH('Replacement plan'!$B$42,Products!$A$7:$A$13,0))),INDEX(Products!$H$7:$H$13,MATCH('Replacement plan'!$B$42,Products!$A$7:$A$13,0)),"n.a.")),0),"n.a.")</f>
        <v>0</v>
      </c>
      <c r="AI147" s="1">
        <f>IF(AND(C147=1,D147="EV",E147&lt;120),(VLOOKUP($A147,'Fleet register'!$A$7:$S$106,7,FALSE)+IF(T147&gt;0,'Operating costs'!$B$12,0))*U147*(1-'Operating costs'!$B$44)+'Operating costs'!$B$49,0)</f>
        <v>0</v>
      </c>
      <c r="AJ147" s="1">
        <f>IF(D147="EV",'Energy and charging'!$B$50,0)</f>
        <v>0</v>
      </c>
      <c r="AK147" s="17">
        <f>EDATE('Operating costs'!$B$63,E147)</f>
        <v>46298</v>
      </c>
      <c r="AL147" s="1">
        <f>IFERROR(IF(D147="EV",INDEX(Products!$B$7:$B$13,MATCH('Replacement plan'!$B$42,Products!$A$7:$A$13,0)),0),"n.a.")</f>
        <v>0</v>
      </c>
      <c r="AM147" s="1" t="str">
        <f>'Replacement plan'!$K$42</f>
        <v>DC</v>
      </c>
      <c r="AN147" s="1" t="str">
        <f>'Replacement plan'!$AE$42</f>
        <v>Assumed</v>
      </c>
      <c r="AO147" s="47">
        <f>IF(AND(C147=1,D147="EV",E147&lt;120),(R147-'Operating costs'!$B$41)*S147+W147*'Operating costs'!$B$12,0)</f>
        <v>0</v>
      </c>
      <c r="AP147" s="41">
        <f>IF(AND(C147=1,D147="EV",E147&lt;120),IF('Operating costs'!$B$68="Hong Seh 200k average",AO147*IFERROR(INDEX(Products!$P$7:$P$13,MATCH(AD147,Products!$A$7:$A$13,0)),"n.a."),'Operating costs'!$B$26),0)</f>
        <v>0</v>
      </c>
      <c r="AQ147" s="40" t="str">
        <f>IF(D147="EV",'Operating costs'!$B$68,"Not applicable")</f>
        <v>Not applicable</v>
      </c>
    </row>
    <row r="148" spans="1:43" ht="24" customHeight="1">
      <c r="A148" s="1" t="str">
        <f>'Replacement plan'!A42</f>
        <v>T036</v>
      </c>
      <c r="B148" s="1">
        <v>1</v>
      </c>
      <c r="C148" s="1">
        <f>IF(COUNTIFS('Fleet register'!$A$7:$A$106,$A148)=1,VLOOKUP($A148,'Fleet register'!$A$7:$S$106,2,FALSE),0)</f>
        <v>0</v>
      </c>
      <c r="D148" s="1" t="str">
        <f>IF("New ICE"="EV","EV","ICE")</f>
        <v>ICE</v>
      </c>
      <c r="E148" s="1">
        <f>IF(C148=0,0,0)</f>
        <v>0</v>
      </c>
      <c r="F148" s="16">
        <f>IF(C148=0,0,VLOOKUP($A148,'Fleet register'!$A$7:$S$106,11,FALSE))</f>
        <v>0</v>
      </c>
      <c r="G148" s="16">
        <f>IFERROR(IF(C148=0,0,IF(E148=120,0,IF(D148="ICE",'Replacement plan'!$C$42,IF('Replacement plan'!$D$42="",INDEX(Products!$I$7:$I$13,MATCH('Replacement plan'!$B$42,Products!$A$7:$A$13,0))+'Operating costs'!$B$57,'Replacement plan'!$D$42))*(1+'Operating costs'!$B$50)^(E148/12))),"n.a.")</f>
        <v>0</v>
      </c>
      <c r="H148" s="16">
        <f>IFERROR(IF(C148=0,0,IF(E148=0,F148,VLOOKUP($A148,'Fleet register'!$A$7:$S$106,12,FALSE)+VLOOKUP($A148,'Fleet register'!$A$7:$S$106,13,FALSE)*MAX(0,VLOOKUP($A148,'Fleet register'!$A$7:$S$106,10,FALSE)-E148)/VLOOKUP($A148,'Fleet register'!$A$7:$S$106,14,FALSE))),"n.a.")</f>
        <v>0</v>
      </c>
      <c r="I148" s="16">
        <f>IF(C148=0,0,IF(E148=120,0,IF('Replacement plan'!$AI$42="",'Operating costs'!$B$56,'Replacement plan'!$AI$42)))</f>
        <v>0</v>
      </c>
      <c r="J148" s="16">
        <f>IF(C148=0,0,IF(P148="Complete",((S148*(R148-'Operating costs'!$B$39))+ROUNDUP(S148*(R148-'Operating costs'!$B$39)*IF('Replacement plan'!$AG$42="",'Operating costs'!$B$7,'Replacement plan'!$AG$42)/('Operating costs'!$B$8-'Operating costs'!$B$9*IF('Replacement plan'!$AG$42="",'Operating costs'!$B$7,'Replacement plan'!$AG$42)),0)*'Operating costs'!$B$9)*IF('Replacement plan'!$AG$42="",'Operating costs'!$B$7,'Replacement plan'!$AG$42)*('Energy and charging'!$B$9*'Energy and charging'!$B$7+(1-'Energy and charging'!$B$9)*'Energy and charging'!$B$8)*'Operating costs'!$B$23,"n.a."))</f>
        <v>0</v>
      </c>
      <c r="K148" s="16">
        <f>IF(C148=0,0,IF(P148="Complete",SUM('Operating costs'!$B$24,'Operating costs'!$B$27,'Operating costs'!$B$29,'Operating costs'!$B$31,'Operating costs'!$B$33,'Operating costs'!$B$34,'Operating costs'!$B$37,'Replacement plan'!$W$42)+'Operating costs'!$B$39*'Operating costs'!$B$42+ROUNDUP(S148*(R148-'Operating costs'!$B$39)*IF('Replacement plan'!$AG$42="",'Operating costs'!$B$7,'Replacement plan'!$AG$42)/('Operating costs'!$B$8-'Operating costs'!$B$9*IF('Replacement plan'!$AG$42="",'Operating costs'!$B$7,'Replacement plan'!$AG$42)),0)*('Operating costs'!$B$9/'Operating costs'!$B$11+'Operating costs'!$B$10/60)*'Operating costs'!$B$19*'Operating costs'!$B$21,"n.a."))</f>
        <v>0</v>
      </c>
      <c r="L148" s="16">
        <f>IF(C148=0,0,IF(P148="Complete",IF(D148="EV",X148*((1-T148)*'Energy and charging'!$B$10+T148*'Energy and charging'!$B$11)*'Operating costs'!$B$22,AA148*('Energy and charging'!$B$9*'Energy and charging'!$B$7+(1-'Energy and charging'!$B$9)*'Energy and charging'!$B$8)*'Operating costs'!$B$23),"n.a."))</f>
        <v>0</v>
      </c>
      <c r="M148" s="37">
        <f>IF(C148=0,0,IF(P148="Complete",IF(D148="ICE",SUM('Operating costs'!$B$25,'Operating costs'!$B$27,'Operating costs'!$B$29,'Operating costs'!$B$31,'Operating costs'!$B$33,'Operating costs'!$B$35,'Operating costs'!$B$37,'Replacement plan'!$X$42)+'Operating costs'!$B$40*'Operating costs'!$B$42+ROUNDUP(S148*(R148-'Operating costs'!$B$40)*IF('Replacement plan'!$AH$42="",'Operating costs'!$B$7,'Replacement plan'!$AH$42)/('Operating costs'!$B$8-'Operating costs'!$B$9*IF('Replacement plan'!$AH$42="",'Operating costs'!$B$7,'Replacement plan'!$AH$42)),0)*('Operating costs'!$B$9/'Operating costs'!$B$11+'Operating costs'!$B$10/60)*'Operating costs'!$B$19*'Operating costs'!$B$21,SUM(AP148,'Operating costs'!$B$28,'Operating costs'!$B$30,'Operating costs'!$B$32,'Operating costs'!$B$33,'Operating costs'!$B$36,'Operating costs'!$B$38,'Replacement plan'!$Y$42)+'Operating costs'!$B$41*'Operating costs'!$B$43+W148*'Operating costs'!$B$15+(T148*X148/'Replacement plan'!$L$42+W148*('Operating costs'!$B$12/'Operating costs'!$B$11+('Operating costs'!$B$13+'Operating costs'!$B$14)/60)+(R148-'Operating costs'!$B$41)*(IF(T148&lt;1,'Operating costs'!$B$16,0)+'Operating costs'!$B$17)/60)*'Operating costs'!$B$19*'Operating costs'!$B$20),"n.a."))</f>
        <v>0</v>
      </c>
      <c r="N148" s="16">
        <f>IF(AND(C148=1,D148="EV",E148&lt;120,E148+'Replacement plan'!$AA$42&lt;=120),'Replacement plan'!$Z$42,0)</f>
        <v>0</v>
      </c>
      <c r="O148" s="1">
        <f>E148+'Replacement plan'!$AA$42</f>
        <v>0</v>
      </c>
      <c r="P148" s="35" t="str">
        <f>IFERROR(IF(C148=0,"Excluded",IF(OR(COUNTIFS('Fleet register'!$A$7:$A$106,A148)&lt;&gt;1,COUNTIFS('Replacement plan'!$A$7:$A$106,A148)&lt;&gt;1),"Duplicate/missing ID",IF(NOT(AND(ISNUMBER(VLOOKUP($A148,'Fleet register'!$A$7:$S$106,5,FALSE)),ISNUMBER(VLOOKUP($A148,'Fleet register'!$A$7:$S$106,6,FALSE)),ISNUMBER(VLOOKUP($A148,'Fleet register'!$A$7:$S$106,10,FALSE)),ISNUMBER(VLOOKUP($A148,'Fleet register'!$A$7:$S$106,11,FALSE)),ISNUMBER(VLOOKUP($A148,'Fleet register'!$A$7:$S$106,12,FALSE)),ISNUMBER(VLOOKUP($A148,'Fleet register'!$A$7:$S$106,13,FALSE)),ISNUMBER(VLOOKUP($A148,'Fleet register'!$A$7:$S$106,14,FALSE)),VLOOKUP($A148,'Fleet register'!$A$7:$S$106,14,FALSE)&gt;0,ISNUMBER('Replacement plan'!$C$42),OR(E148=120,OR(ISNUMBER('Replacement plan'!$AI$42),AND('Replacement plan'!$AI$42="",ISNUMBER('Operating costs'!$B$56)))),ISNUMBER(E148))),"Missing vehicle input",IF(OR(E148&lt;0,E148&gt;VLOOKUP($A148,'Fleet register'!$A$7:$S$106,10,FALSE),E148&gt;120,E148&lt;&gt;INT(E148),VLOOKUP($A148,'Fleet register'!$A$7:$S$106,6,FALSE)&lt;=0,VLOOKUP($A148,'Fleet register'!$A$7:$S$106,6,FALSE)&gt;366,VLOOKUP($A148,'Fleet register'!$A$7:$S$106,5,FALSE)&lt;0,VLOOKUP($A148,'Fleet register'!$A$7:$S$106,11,FALSE)&lt;0,I148&lt;0,'Operating costs'!$B$8&lt;='Operating costs'!$B$7*'Operating costs'!$B$9,'Operating costs'!$B$11&lt;=0,'Operating costs'!$B$39&gt;R148,'Operating costs'!$B$40&gt;R148,'Operating costs'!$B$41&gt;R148,NOT(OR("New ICE"="Keep ICE","New ICE"="New ICE","New ICE"="EV"))),"Invalid vehicle input",IF(AND(D148="EV",E148&lt;120,OR(NOT(ISNUMBER(U148)),NOT(ISNUMBER(V148)),V148&lt;=0,T148&lt;0,T148&gt;1,'Replacement plan'!$L$42&lt;=0,'Operating costs'!$B$44&lt;0,'Operating costs'!$B$44&gt;=1,'Operating costs'!$B$47&lt;=0,'Operating costs'!$B$47&gt;1,V148*'Operating costs'!$B$47/(1-'Operating costs'!$B$44)&lt;=T148*'Operating costs'!$B$12*U148,AND('Replacement plan'!$Z$42&gt;0,OR('Replacement plan'!$AB$42&lt;&gt;"Yes",'Operating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charging'!$B$8&gt;=0))),ISNUMBER(VLOOKUP($A148,'Fleet register'!$A$7:$S$106,15,FALSE)),ISNUMBER(VLOOKUP($A148,'Fleet register'!$A$7:$S$106,16,FALSE)),ISNUMBER('Replacement plan'!$W$42),ISNUMBER('Replacement plan'!$X$42),OR(E148=120,AND(ISNUMBER(G148),G148&gt;=0)),ISNUMBER(H148),H148&gt;=0,OR(D148&lt;&gt;"EV",E148=120,AND(ISNUMBER('Operating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average",ISNUMBER(IFERROR(INDEX(Products!$P$7:$P$13,MATCH(AD148,Products!$A$7:$A$13,0)),"")))),ISNUMBER('Operating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plan'!$Y$42),ISNUMBER('Replacement plan'!$Z$42),'Replacement plan'!$Z$42&gt;=0,ISNUMBER('Replacement plan'!$AA$42),'Replacement plan'!$AA$42&gt;=0,'Replacement plan'!$AA$42=INT('Replacement plan'!$AA$42),ISNUMBER('Replacement plan'!$L$42))),'Operating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plan'!$AG$42="",'Operating costs'!$B$7,'Replacement plan'!$AG$42)),IF('Replacement plan'!$AG$42="",'Operating costs'!$B$7,'Replacement plan'!$AG$42)&gt;=0,ISNUMBER(IF('Replacement plan'!$AH$42="",'Operating costs'!$B$7,'Replacement plan'!$AH$42)),IF('Replacement plan'!$AH$42="",'Operating costs'!$B$7,'Replacement plan'!$AH$42)&gt;=0,'Operating costs'!$B$8&gt;MAX(IF('Replacement plan'!$AG$42="",'Operating costs'!$B$7,'Replacement plan'!$AG$42),IF('Replacement plan'!$AH$42="",'Operating costs'!$B$7,'Replacement plan'!$AH$42))*'Operating costs'!$B$9),IF(AND(VLOOKUP($A148,'Fleet register'!$A$7:$S$106,10,FALSE)&gt;=0,VLOOKUP($A148,'Fleet register'!$A$7:$S$106,10,FALSE)&lt;=120,VLOOKUP($A148,'Fleet register'!$A$7:$S$106,10,FALSE)=INT(VLOOKUP($A148,'Fleet register'!$A$7:$S$106,10,FALSE)),VLOOKUP($A148,'Fleet register'!$A$7:$S$106,15,FALSE)&gt;=0,VLOOKUP($A148,'Fleet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costs'!$B$67)&gt;=0,OR(D148&lt;&gt;"EV",E148=120,AND(MIN('Operating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48" s="1" t="str">
        <f>IF(C148=0,"Excluded",IF(P148&lt;&gt;"Complete",P148,IF(OR('Replacement plan'!$AD$42&lt;120-E148,AND(D148="EV",E148&lt;120,OR('Replacement plan'!$AC$42&lt;120-E148,'Replacement plan'!$I$42="No",AND(ISNUMBER(AF148),AE148&gt;AF148),AI148&gt;V148*(1-'Operating costs'!$B$46)^MAX(0,AB148-1)*(1-'Operating costs'!$B$45),AC148&gt;'Operating costs'!$B$18,AND(T148&lt;1,OR(AG148&lt;=0,AND(ISNUMBER(AH148),AG148&gt;AH148))),'Replacement plan'!$L$42&gt;INDEX(Products!$H$7:$H$13,MATCH('Replacement plan'!$B$42,Products!$A$7:$A$13,0))))),"Fails entered limits",IF(AND(D148="EV",E148&lt;120,OR(NOT(ISNUMBER(VLOOKUP($A148,'Fleet register'!$A$7:$S$106,7,FALSE))),NOT(ISNUMBER(VLOOKUP($A148,'Fleet register'!$A$7:$S$106,8,FALSE))),NOT(ISNUMBER(AF148)),'Replacement plan'!$I$42&lt;&gt;"Yes",NOT(ISNUMBER(AH148)),'Operating costs'!$B$59&lt;&gt;"Yes",'Operating costs'!$B$58&lt;&gt;"Yes")),"Unverified","Within entered limits"))))</f>
        <v>Excluded</v>
      </c>
      <c r="R148" s="1">
        <f>IF(C148=0,0,VLOOKUP($A148,'Fleet register'!$A$7:$S$106,6,FALSE))</f>
        <v>0</v>
      </c>
      <c r="S148" s="1">
        <f>IF(C148=0,0,VLOOKUP($A148,'Fleet register'!$A$7:$S$106,5,FALSE))</f>
        <v>0</v>
      </c>
      <c r="T148" s="1">
        <f>IF(D148="EV",'Energy and charging'!$B$12,0)</f>
        <v>0</v>
      </c>
      <c r="U148" s="1">
        <f>IFERROR(IF(C148=0,0,IF(D148="EV",IF('Replacement plan'!$F$42="",INDEX(Products!$E$7:$E$13,MATCH('Replacement plan'!$B$42,Products!$A$7:$A$13,0)),'Replacement plan'!$F$42)/IF('Replacement plan'!$G$42="Battery",1-'Operating costs'!$B$44,1),0)),"n.a.")</f>
        <v>0</v>
      </c>
      <c r="V148" s="1">
        <f>IFERROR(IF(C148=0,0,IF(D148="EV",IF('Replacement plan'!$E$42="",INDEX(Products!$D$7:$D$13,MATCH('Replacement plan'!$B$42,Products!$A$7:$A$13,0)),'Replacement plan'!$E$42),0)),"n.a.")</f>
        <v>0</v>
      </c>
      <c r="W148" s="1">
        <f>IF(C148=0,0,IF(AND(P148="Complete",D148="EV",E148&lt;120),IF(T148=0,0,ROUNDUP(T148*(R148-'Operating costs'!$B$41)*(S148*U148+'Operating costs'!$B$48/(1-'Operating costs'!$B$44))/(V148*'Operating costs'!$B$47/(1-'Operating costs'!$B$44)-T148*'Operating costs'!$B$12*U148),0)),0))</f>
        <v>0</v>
      </c>
      <c r="X148" s="1">
        <f>IF(C148=0,0,IF(AND(P148="Complete",D148="EV",E148&lt;120),(R148-'Operating costs'!$B$41)*(S148*U148+'Operating costs'!$B$48/(1-'Operating costs'!$B$44))+W148*'Operating costs'!$B$12*U148,0))</f>
        <v>0</v>
      </c>
      <c r="Y148" s="1">
        <f>IF(AND(C148=1,D148="EV",E148&lt;120),AI148/(1-'Operating costs'!$B$44)*(1-T148),0)</f>
        <v>0</v>
      </c>
      <c r="Z148" s="1">
        <f t="shared" si="4"/>
        <v>0</v>
      </c>
      <c r="AA148" s="1">
        <f>IF(C148=0,0,IF(P148="Complete",((S148*(R148-'Operating costs'!$B$40))+ROUNDUP(S148*(R148-'Operating costs'!$B$40)*IF('Replacement plan'!$AH$42="",'Operating costs'!$B$7,'Replacement plan'!$AH$42)/('Operating costs'!$B$8-'Operating costs'!$B$9*IF('Replacement plan'!$AH$42="",'Operating costs'!$B$7,'Replacement plan'!$AH$42)),0)*'Operating costs'!$B$9)*IF('Replacement plan'!$AH$42="",'Operating costs'!$B$7,'Replacement plan'!$AH$42),"n.a."))</f>
        <v>0</v>
      </c>
      <c r="AB148" s="1">
        <f t="shared" si="5"/>
        <v>0</v>
      </c>
      <c r="AC148" s="1">
        <f>IF(AND(C148=1,D148="EV",E148&lt;120,T148&gt;0),'Operating costs'!$B$12/'Operating costs'!$B$11*60+'Operating costs'!$B$13+'Operating costs'!$B$14+V148*'Operating costs'!$B$47/(1-'Operating costs'!$B$44)/'Replacement plan'!$L$42*60,0)</f>
        <v>0</v>
      </c>
      <c r="AD148" s="1" t="str">
        <f>'Replacement plan'!$B$42</f>
        <v>ChengLong L2EV</v>
      </c>
      <c r="AE148" s="1">
        <f>IF(C148=0,0,VLOOKUP($A148,'Fleet register'!$A$7:$S$106,8,FALSE))</f>
        <v>0</v>
      </c>
      <c r="AF148" s="1" t="str">
        <f>IF('Replacement plan'!$H$42="","n.a.",'Replacement plan'!$H$42)</f>
        <v>n.a.</v>
      </c>
      <c r="AG148" s="1">
        <f>'Replacement plan'!$J$42</f>
        <v>22</v>
      </c>
      <c r="AH148" s="1">
        <f>IFERROR(IF(D148="EV",IF('Replacement plan'!$K$42="AC",IF(ISNUMBER(INDEX(Products!$G$7:$G$13,MATCH('Replacement plan'!$B$42,Products!$A$7:$A$13,0))),INDEX(Products!$G$7:$G$13,MATCH('Replacement plan'!$B$42,Products!$A$7:$A$13,0)),"n.a."),IF(ISNUMBER(INDEX(Products!$H$7:$H$13,MATCH('Replacement plan'!$B$42,Products!$A$7:$A$13,0))),INDEX(Products!$H$7:$H$13,MATCH('Replacement plan'!$B$42,Products!$A$7:$A$13,0)),"n.a.")),0),"n.a.")</f>
        <v>0</v>
      </c>
      <c r="AI148" s="1">
        <f>IF(AND(C148=1,D148="EV",E148&lt;120),(VLOOKUP($A148,'Fleet register'!$A$7:$S$106,7,FALSE)+IF(T148&gt;0,'Operating costs'!$B$12,0))*U148*(1-'Operating costs'!$B$44)+'Operating costs'!$B$49,0)</f>
        <v>0</v>
      </c>
      <c r="AJ148" s="1">
        <f>IF(D148="EV",'Energy and charging'!$B$50,0)</f>
        <v>0</v>
      </c>
      <c r="AK148" s="17">
        <f>EDATE('Operating costs'!$B$63,E148)</f>
        <v>46298</v>
      </c>
      <c r="AL148" s="1">
        <f>IFERROR(IF(D148="EV",INDEX(Products!$B$7:$B$13,MATCH('Replacement plan'!$B$42,Products!$A$7:$A$13,0)),0),"n.a.")</f>
        <v>0</v>
      </c>
      <c r="AM148" s="1" t="str">
        <f>'Replacement plan'!$K$42</f>
        <v>DC</v>
      </c>
      <c r="AN148" s="1" t="str">
        <f>'Replacement plan'!$AE$42</f>
        <v>Assumed</v>
      </c>
      <c r="AO148" s="47">
        <f>IF(AND(C148=1,D148="EV",E148&lt;120),(R148-'Operating costs'!$B$41)*S148+W148*'Operating costs'!$B$12,0)</f>
        <v>0</v>
      </c>
      <c r="AP148" s="41">
        <f>IF(AND(C148=1,D148="EV",E148&lt;120),IF('Operating costs'!$B$68="Hong Seh 200k average",AO148*IFERROR(INDEX(Products!$P$7:$P$13,MATCH(AD148,Products!$A$7:$A$13,0)),"n.a."),'Operating costs'!$B$26),0)</f>
        <v>0</v>
      </c>
      <c r="AQ148" s="40" t="str">
        <f>IF(D148="EV",'Operating costs'!$B$68,"Not applicable")</f>
        <v>Not applicable</v>
      </c>
    </row>
    <row r="149" spans="1:43" ht="24" customHeight="1">
      <c r="A149" s="1" t="str">
        <f>'Replacement plan'!A42</f>
        <v>T036</v>
      </c>
      <c r="B149" s="1">
        <v>2</v>
      </c>
      <c r="C149" s="1">
        <f>IF(COUNTIFS('Fleet register'!$A$7:$A$106,$A149)=1,VLOOKUP($A149,'Fleet register'!$A$7:$S$106,2,FALSE),0)</f>
        <v>0</v>
      </c>
      <c r="D149" s="1" t="str">
        <f>IF('Replacement plan'!$O$42="EV","EV","ICE")</f>
        <v>ICE</v>
      </c>
      <c r="E149" s="1">
        <f>IF(C149=0,0,IF('Replacement plan'!$P$42="",IF('Replacement plan'!$O$42="Keep ICE",IF('Replacement plan'!$M$42="",VLOOKUP($A149,'Fleet register'!$A$7:$S$106,10,FALSE),'Replacement plan'!$M$42),0),'Replacement plan'!$P$42))</f>
        <v>0</v>
      </c>
      <c r="F149" s="16">
        <f>IF(C149=0,0,VLOOKUP($A149,'Fleet register'!$A$7:$S$106,11,FALSE))</f>
        <v>0</v>
      </c>
      <c r="G149" s="16">
        <f>IFERROR(IF(C149=0,0,IF(E149=120,0,IF(D149="ICE",'Replacement plan'!$C$42,IF('Replacement plan'!$D$42="",INDEX(Products!$I$7:$I$13,MATCH('Replacement plan'!$B$42,Products!$A$7:$A$13,0))+'Operating costs'!$B$57,'Replacement plan'!$D$42))*(1+'Operating costs'!$B$50)^(E149/12))),"n.a.")</f>
        <v>0</v>
      </c>
      <c r="H149" s="16">
        <f>IFERROR(IF(C149=0,0,IF('Replacement plan'!$U$42&lt;&gt;"",'Replacement plan'!$U$42,IF(E149=0,F149,VLOOKUP($A149,'Fleet register'!$A$7:$S$106,12,FALSE)+VLOOKUP($A149,'Fleet register'!$A$7:$S$106,13,FALSE)*MAX(0,VLOOKUP($A149,'Fleet register'!$A$7:$S$106,10,FALSE)-E149)/VLOOKUP($A149,'Fleet register'!$A$7:$S$106,14,FALSE)))),"n.a.")</f>
        <v>0</v>
      </c>
      <c r="I149" s="16">
        <f>IF(C149=0,0,IF(E149=120,0,'Replacement plan'!$Q$42))</f>
        <v>0</v>
      </c>
      <c r="J149" s="16">
        <f>IF(C149=0,0,IF(P149="Complete",((S149*(R149-'Operating costs'!$B$39))+ROUNDUP(S149*(R149-'Operating costs'!$B$39)*IF('Replacement plan'!$AG$42="",'Operating costs'!$B$7,'Replacement plan'!$AG$42)/('Operating costs'!$B$8-'Operating costs'!$B$9*IF('Replacement plan'!$AG$42="",'Operating costs'!$B$7,'Replacement plan'!$AG$42)),0)*'Operating costs'!$B$9)*IF('Replacement plan'!$AG$42="",'Operating costs'!$B$7,'Replacement plan'!$AG$42)*('Energy and charging'!$B$9*'Energy and charging'!$B$7+(1-'Energy and charging'!$B$9)*'Energy and charging'!$B$8)*'Operating costs'!$B$23,"n.a."))</f>
        <v>0</v>
      </c>
      <c r="K149" s="16">
        <f>IF(C149=0,0,IF(P149="Complete",SUM('Operating costs'!$B$24,'Operating costs'!$B$27,'Operating costs'!$B$29,'Operating costs'!$B$31,'Operating costs'!$B$33,'Operating costs'!$B$34,'Operating costs'!$B$37,'Replacement plan'!$W$42)+'Operating costs'!$B$39*'Operating costs'!$B$42+ROUNDUP(S149*(R149-'Operating costs'!$B$39)*IF('Replacement plan'!$AG$42="",'Operating costs'!$B$7,'Replacement plan'!$AG$42)/('Operating costs'!$B$8-'Operating costs'!$B$9*IF('Replacement plan'!$AG$42="",'Operating costs'!$B$7,'Replacement plan'!$AG$42)),0)*('Operating costs'!$B$9/'Operating costs'!$B$11+'Operating costs'!$B$10/60)*'Operating costs'!$B$19*'Operating costs'!$B$21,"n.a."))</f>
        <v>0</v>
      </c>
      <c r="L149" s="16">
        <f>IF(C149=0,0,IF(P149="Complete",IF(D149="EV",X149*((1-T149)*'Energy and charging'!$B$10+T149*'Energy and charging'!$B$11)*'Operating costs'!$B$22,AA149*('Energy and charging'!$B$9*'Energy and charging'!$B$7+(1-'Energy and charging'!$B$9)*'Energy and charging'!$B$8)*'Operating costs'!$B$23),"n.a."))</f>
        <v>0</v>
      </c>
      <c r="M149" s="37">
        <f>IF(C149=0,0,IF(P149="Complete",IF(D149="ICE",SUM('Operating costs'!$B$25,'Operating costs'!$B$27,'Operating costs'!$B$29,'Operating costs'!$B$31,'Operating costs'!$B$33,'Operating costs'!$B$35,'Operating costs'!$B$37,'Replacement plan'!$X$42)+'Operating costs'!$B$40*'Operating costs'!$B$42+ROUNDUP(S149*(R149-'Operating costs'!$B$40)*IF('Replacement plan'!$AH$42="",'Operating costs'!$B$7,'Replacement plan'!$AH$42)/('Operating costs'!$B$8-'Operating costs'!$B$9*IF('Replacement plan'!$AH$42="",'Operating costs'!$B$7,'Replacement plan'!$AH$42)),0)*('Operating costs'!$B$9/'Operating costs'!$B$11+'Operating costs'!$B$10/60)*'Operating costs'!$B$19*'Operating costs'!$B$21,SUM(AP149,'Operating costs'!$B$28,'Operating costs'!$B$30,'Operating costs'!$B$32,'Operating costs'!$B$33,'Operating costs'!$B$36,'Operating costs'!$B$38,'Replacement plan'!$Y$42)+'Operating costs'!$B$41*'Operating costs'!$B$43+W149*'Operating costs'!$B$15+(T149*X149/'Replacement plan'!$L$42+W149*('Operating costs'!$B$12/'Operating costs'!$B$11+('Operating costs'!$B$13+'Operating costs'!$B$14)/60)+(R149-'Operating costs'!$B$41)*(IF(T149&lt;1,'Operating costs'!$B$16,0)+'Operating costs'!$B$17)/60)*'Operating costs'!$B$19*'Operating costs'!$B$20),"n.a."))</f>
        <v>0</v>
      </c>
      <c r="N149" s="16">
        <f>IF(AND(C149=1,D149="EV",E149&lt;120,E149+'Replacement plan'!$AA$42&lt;=120),'Replacement plan'!$Z$42,0)</f>
        <v>0</v>
      </c>
      <c r="O149" s="1">
        <f>E149+'Replacement plan'!$AA$42</f>
        <v>0</v>
      </c>
      <c r="P149" s="35" t="str">
        <f>IFERROR(IF(C149=0,"Excluded",IF(OR(COUNTIFS('Fleet register'!$A$7:$A$106,A149)&lt;&gt;1,COUNTIFS('Replacement plan'!$A$7:$A$106,A149)&lt;&gt;1),"Duplicate/missing ID",IF(NOT(AND(ISNUMBER(VLOOKUP($A149,'Fleet register'!$A$7:$S$106,5,FALSE)),ISNUMBER(VLOOKUP($A149,'Fleet register'!$A$7:$S$106,6,FALSE)),ISNUMBER(VLOOKUP($A149,'Fleet register'!$A$7:$S$106,10,FALSE)),ISNUMBER(VLOOKUP($A149,'Fleet register'!$A$7:$S$106,11,FALSE)),ISNUMBER(VLOOKUP($A149,'Fleet register'!$A$7:$S$106,12,FALSE)),ISNUMBER(VLOOKUP($A149,'Fleet register'!$A$7:$S$106,13,FALSE)),ISNUMBER(VLOOKUP($A149,'Fleet register'!$A$7:$S$106,14,FALSE)),VLOOKUP($A149,'Fleet register'!$A$7:$S$106,14,FALSE)&gt;0,ISNUMBER('Replacement plan'!$C$42),OR(E149=120,ISNUMBER('Replacement plan'!$Q$42)),ISNUMBER(E149))),"Missing vehicle input",IF(OR(E149&lt;0,E149&gt;VLOOKUP($A149,'Fleet register'!$A$7:$S$106,10,FALSE),E149&gt;120,E149&lt;&gt;INT(E149),VLOOKUP($A149,'Fleet register'!$A$7:$S$106,6,FALSE)&lt;=0,VLOOKUP($A149,'Fleet register'!$A$7:$S$106,6,FALSE)&gt;366,VLOOKUP($A149,'Fleet register'!$A$7:$S$106,5,FALSE)&lt;0,VLOOKUP($A149,'Fleet register'!$A$7:$S$106,11,FALSE)&lt;0,I149&lt;0,'Operating costs'!$B$8&lt;='Operating costs'!$B$7*'Operating costs'!$B$9,'Operating costs'!$B$11&lt;=0,'Operating costs'!$B$39&gt;R149,'Operating costs'!$B$40&gt;R149,'Operating costs'!$B$41&gt;R149,NOT(OR('Replacement plan'!$O$42="Keep ICE",'Replacement plan'!$O$42="New ICE",'Replacement plan'!$O$42="EV"))),"Invalid vehicle input",IF(AND(D149="EV",E149&lt;120,OR(NOT(ISNUMBER(U149)),NOT(ISNUMBER(V149)),V149&lt;=0,T149&lt;0,T149&gt;1,'Replacement plan'!$L$42&lt;=0,'Operating costs'!$B$44&lt;0,'Operating costs'!$B$44&gt;=1,'Operating costs'!$B$47&lt;=0,'Operating costs'!$B$47&gt;1,V149*'Operating costs'!$B$47/(1-'Operating costs'!$B$44)&lt;=T149*'Operating costs'!$B$12*U149,AND('Replacement plan'!$Z$42&gt;0,OR('Replacement plan'!$AB$42&lt;&gt;"Yes",'Operating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charging'!$B$8&gt;=0))),ISNUMBER(VLOOKUP($A149,'Fleet register'!$A$7:$S$106,15,FALSE)),ISNUMBER(VLOOKUP($A149,'Fleet register'!$A$7:$S$106,16,FALSE)),ISNUMBER('Replacement plan'!$W$42),ISNUMBER('Replacement plan'!$X$42),OR(E149=120,AND(ISNUMBER(G149),G149&gt;=0)),ISNUMBER(H149),H149&gt;=0,OR(D149&lt;&gt;"EV",E149=120,AND(ISNUMBER('Operating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average",ISNUMBER(IFERROR(INDEX(Products!$P$7:$P$13,MATCH(AD149,Products!$A$7:$A$13,0)),"")))),ISNUMBER('Operating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plan'!$Y$42),ISNUMBER('Replacement plan'!$Z$42),'Replacement plan'!$Z$42&gt;=0,ISNUMBER('Replacement plan'!$AA$42),'Replacement plan'!$AA$42&gt;=0,'Replacement plan'!$AA$42=INT('Replacement plan'!$AA$42),ISNUMBER('Replacement plan'!$L$42))),'Operating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plan'!$AG$42="",'Operating costs'!$B$7,'Replacement plan'!$AG$42)),IF('Replacement plan'!$AG$42="",'Operating costs'!$B$7,'Replacement plan'!$AG$42)&gt;=0,ISNUMBER(IF('Replacement plan'!$AH$42="",'Operating costs'!$B$7,'Replacement plan'!$AH$42)),IF('Replacement plan'!$AH$42="",'Operating costs'!$B$7,'Replacement plan'!$AH$42)&gt;=0,'Operating costs'!$B$8&gt;MAX(IF('Replacement plan'!$AG$42="",'Operating costs'!$B$7,'Replacement plan'!$AG$42),IF('Replacement plan'!$AH$42="",'Operating costs'!$B$7,'Replacement plan'!$AH$42))*'Operating costs'!$B$9),IF(AND(VLOOKUP($A149,'Fleet register'!$A$7:$S$106,10,FALSE)&gt;=0,VLOOKUP($A149,'Fleet register'!$A$7:$S$106,10,FALSE)&lt;=120,VLOOKUP($A149,'Fleet register'!$A$7:$S$106,10,FALSE)=INT(VLOOKUP($A149,'Fleet register'!$A$7:$S$106,10,FALSE)),VLOOKUP($A149,'Fleet register'!$A$7:$S$106,15,FALSE)&gt;=0,VLOOKUP($A149,'Fleet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costs'!$B$67)&gt;=0,OR(D149&lt;&gt;"EV",E149=120,AND(MIN('Operating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49" s="1" t="str">
        <f>IF(C149=0,"Excluded",IF(P149&lt;&gt;"Complete",P149,IF(OR('Replacement plan'!$AD$42&lt;120-E149,AND(D149="EV",E149&lt;120,OR('Replacement plan'!$AC$42&lt;120-E149,'Replacement plan'!$I$42="No",AND(ISNUMBER(AF149),AE149&gt;AF149),AI149&gt;V149*(1-'Operating costs'!$B$46)^MAX(0,AB149-1)*(1-'Operating costs'!$B$45),AC149&gt;'Operating costs'!$B$18,AND(T149&lt;1,OR(AG149&lt;=0,AND(ISNUMBER(AH149),AG149&gt;AH149))),'Replacement plan'!$L$42&gt;INDEX(Products!$H$7:$H$13,MATCH('Replacement plan'!$B$42,Products!$A$7:$A$13,0))))),"Fails entered limits",IF(AND(D149="EV",E149&lt;120,OR(NOT(ISNUMBER(VLOOKUP($A149,'Fleet register'!$A$7:$S$106,7,FALSE))),NOT(ISNUMBER(VLOOKUP($A149,'Fleet register'!$A$7:$S$106,8,FALSE))),NOT(ISNUMBER(AF149)),'Replacement plan'!$I$42&lt;&gt;"Yes",NOT(ISNUMBER(AH149)),'Operating costs'!$B$59&lt;&gt;"Yes",'Operating costs'!$B$58&lt;&gt;"Yes")),"Unverified","Within entered limits"))))</f>
        <v>Excluded</v>
      </c>
      <c r="R149" s="1">
        <f>IF(C149=0,0,VLOOKUP($A149,'Fleet register'!$A$7:$S$106,6,FALSE))</f>
        <v>0</v>
      </c>
      <c r="S149" s="1">
        <f>IF(C149=0,0,VLOOKUP($A149,'Fleet register'!$A$7:$S$106,5,FALSE))</f>
        <v>0</v>
      </c>
      <c r="T149" s="1">
        <f>IF(D149="EV",'Energy and charging'!$B$12,0)</f>
        <v>0</v>
      </c>
      <c r="U149" s="1">
        <f>IFERROR(IF(C149=0,0,IF(D149="EV",IF('Replacement plan'!$F$42="",INDEX(Products!$E$7:$E$13,MATCH('Replacement plan'!$B$42,Products!$A$7:$A$13,0)),'Replacement plan'!$F$42)/IF('Replacement plan'!$G$42="Battery",1-'Operating costs'!$B$44,1),0)),"n.a.")</f>
        <v>0</v>
      </c>
      <c r="V149" s="1">
        <f>IFERROR(IF(C149=0,0,IF(D149="EV",IF('Replacement plan'!$E$42="",INDEX(Products!$D$7:$D$13,MATCH('Replacement plan'!$B$42,Products!$A$7:$A$13,0)),'Replacement plan'!$E$42),0)),"n.a.")</f>
        <v>0</v>
      </c>
      <c r="W149" s="1">
        <f>IF(C149=0,0,IF(AND(P149="Complete",D149="EV",E149&lt;120),IF(T149=0,0,ROUNDUP(T149*(R149-'Operating costs'!$B$41)*(S149*U149+'Operating costs'!$B$48/(1-'Operating costs'!$B$44))/(V149*'Operating costs'!$B$47/(1-'Operating costs'!$B$44)-T149*'Operating costs'!$B$12*U149),0)),0))</f>
        <v>0</v>
      </c>
      <c r="X149" s="1">
        <f>IF(C149=0,0,IF(AND(P149="Complete",D149="EV",E149&lt;120),(R149-'Operating costs'!$B$41)*(S149*U149+'Operating costs'!$B$48/(1-'Operating costs'!$B$44))+W149*'Operating costs'!$B$12*U149,0))</f>
        <v>0</v>
      </c>
      <c r="Y149" s="1">
        <f>IF(AND(C149=1,D149="EV",E149&lt;120),AI149/(1-'Operating costs'!$B$44)*(1-T149),0)</f>
        <v>0</v>
      </c>
      <c r="Z149" s="1">
        <f t="shared" si="4"/>
        <v>0</v>
      </c>
      <c r="AA149" s="1">
        <f>IF(C149=0,0,IF(P149="Complete",((S149*(R149-'Operating costs'!$B$40))+ROUNDUP(S149*(R149-'Operating costs'!$B$40)*IF('Replacement plan'!$AH$42="",'Operating costs'!$B$7,'Replacement plan'!$AH$42)/('Operating costs'!$B$8-'Operating costs'!$B$9*IF('Replacement plan'!$AH$42="",'Operating costs'!$B$7,'Replacement plan'!$AH$42)),0)*'Operating costs'!$B$9)*IF('Replacement plan'!$AH$42="",'Operating costs'!$B$7,'Replacement plan'!$AH$42),"n.a."))</f>
        <v>0</v>
      </c>
      <c r="AB149" s="1">
        <f t="shared" si="5"/>
        <v>0</v>
      </c>
      <c r="AC149" s="1">
        <f>IF(AND(C149=1,D149="EV",E149&lt;120,T149&gt;0),'Operating costs'!$B$12/'Operating costs'!$B$11*60+'Operating costs'!$B$13+'Operating costs'!$B$14+V149*'Operating costs'!$B$47/(1-'Operating costs'!$B$44)/'Replacement plan'!$L$42*60,0)</f>
        <v>0</v>
      </c>
      <c r="AD149" s="1" t="str">
        <f>'Replacement plan'!$B$42</f>
        <v>ChengLong L2EV</v>
      </c>
      <c r="AE149" s="1">
        <f>IF(C149=0,0,VLOOKUP($A149,'Fleet register'!$A$7:$S$106,8,FALSE))</f>
        <v>0</v>
      </c>
      <c r="AF149" s="1" t="str">
        <f>IF('Replacement plan'!$H$42="","n.a.",'Replacement plan'!$H$42)</f>
        <v>n.a.</v>
      </c>
      <c r="AG149" s="1">
        <f>'Replacement plan'!$J$42</f>
        <v>22</v>
      </c>
      <c r="AH149" s="1">
        <f>IFERROR(IF(D149="EV",IF('Replacement plan'!$K$42="AC",IF(ISNUMBER(INDEX(Products!$G$7:$G$13,MATCH('Replacement plan'!$B$42,Products!$A$7:$A$13,0))),INDEX(Products!$G$7:$G$13,MATCH('Replacement plan'!$B$42,Products!$A$7:$A$13,0)),"n.a."),IF(ISNUMBER(INDEX(Products!$H$7:$H$13,MATCH('Replacement plan'!$B$42,Products!$A$7:$A$13,0))),INDEX(Products!$H$7:$H$13,MATCH('Replacement plan'!$B$42,Products!$A$7:$A$13,0)),"n.a.")),0),"n.a.")</f>
        <v>0</v>
      </c>
      <c r="AI149" s="1">
        <f>IF(AND(C149=1,D149="EV",E149&lt;120),(VLOOKUP($A149,'Fleet register'!$A$7:$S$106,7,FALSE)+IF(T149&gt;0,'Operating costs'!$B$12,0))*U149*(1-'Operating costs'!$B$44)+'Operating costs'!$B$49,0)</f>
        <v>0</v>
      </c>
      <c r="AJ149" s="1">
        <f>IF(D149="EV",'Energy and charging'!$B$50,0)</f>
        <v>0</v>
      </c>
      <c r="AK149" s="17">
        <f>EDATE('Operating costs'!$B$63,E149)</f>
        <v>46298</v>
      </c>
      <c r="AL149" s="1">
        <f>IFERROR(IF(D149="EV",INDEX(Products!$B$7:$B$13,MATCH('Replacement plan'!$B$42,Products!$A$7:$A$13,0)),0),"n.a.")</f>
        <v>0</v>
      </c>
      <c r="AM149" s="1" t="str">
        <f>'Replacement plan'!$K$42</f>
        <v>DC</v>
      </c>
      <c r="AN149" s="1" t="str">
        <f>'Replacement plan'!$AE$42</f>
        <v>Assumed</v>
      </c>
      <c r="AO149" s="47">
        <f>IF(AND(C149=1,D149="EV",E149&lt;120),(R149-'Operating costs'!$B$41)*S149+W149*'Operating costs'!$B$12,0)</f>
        <v>0</v>
      </c>
      <c r="AP149" s="41">
        <f>IF(AND(C149=1,D149="EV",E149&lt;120),IF('Operating costs'!$B$68="Hong Seh 200k average",AO149*IFERROR(INDEX(Products!$P$7:$P$13,MATCH(AD149,Products!$A$7:$A$13,0)),"n.a."),'Operating costs'!$B$26),0)</f>
        <v>0</v>
      </c>
      <c r="AQ149" s="40" t="str">
        <f>IF(D149="EV",'Operating costs'!$B$68,"Not applicable")</f>
        <v>Not applicable</v>
      </c>
    </row>
    <row r="150" spans="1:43" ht="24" customHeight="1">
      <c r="A150" s="1" t="str">
        <f>'Replacement plan'!A42</f>
        <v>T036</v>
      </c>
      <c r="B150" s="1">
        <v>3</v>
      </c>
      <c r="C150" s="1">
        <f>IF(COUNTIFS('Fleet register'!$A$7:$A$106,$A150)=1,VLOOKUP($A150,'Fleet register'!$A$7:$S$106,2,FALSE),0)</f>
        <v>0</v>
      </c>
      <c r="D150" s="1" t="str">
        <f>IF('Replacement plan'!$R$42="EV","EV","ICE")</f>
        <v>ICE</v>
      </c>
      <c r="E150" s="1">
        <f>IF(C150=0,0,IF('Replacement plan'!$S$42="",IF('Replacement plan'!$R$42="Keep ICE",IF('Replacement plan'!$M$42="",VLOOKUP($A150,'Fleet register'!$A$7:$S$106,10,FALSE),'Replacement plan'!$M$42),0),'Replacement plan'!$S$42))</f>
        <v>0</v>
      </c>
      <c r="F150" s="16">
        <f>IF(C150=0,0,VLOOKUP($A150,'Fleet register'!$A$7:$S$106,11,FALSE))</f>
        <v>0</v>
      </c>
      <c r="G150" s="16">
        <f>IFERROR(IF(C150=0,0,IF(E150=120,0,IF(D150="ICE",'Replacement plan'!$C$42,IF('Replacement plan'!$D$42="",INDEX(Products!$I$7:$I$13,MATCH('Replacement plan'!$B$42,Products!$A$7:$A$13,0))+'Operating costs'!$B$57,'Replacement plan'!$D$42))*(1+'Operating costs'!$B$50)^(E150/12))),"n.a.")</f>
        <v>0</v>
      </c>
      <c r="H150" s="16">
        <f>IFERROR(IF(C150=0,0,IF('Replacement plan'!$V$42&lt;&gt;"",'Replacement plan'!$V$42,IF(E150=0,F150,VLOOKUP($A150,'Fleet register'!$A$7:$S$106,12,FALSE)+VLOOKUP($A150,'Fleet register'!$A$7:$S$106,13,FALSE)*MAX(0,VLOOKUP($A150,'Fleet register'!$A$7:$S$106,10,FALSE)-E150)/VLOOKUP($A150,'Fleet register'!$A$7:$S$106,14,FALSE)))),"n.a.")</f>
        <v>0</v>
      </c>
      <c r="I150" s="16">
        <f>IF(C150=0,0,IF(E150=120,0,'Replacement plan'!$T$42))</f>
        <v>0</v>
      </c>
      <c r="J150" s="16">
        <f>IF(C150=0,0,IF(P150="Complete",((S150*(R150-'Operating costs'!$B$39))+ROUNDUP(S150*(R150-'Operating costs'!$B$39)*IF('Replacement plan'!$AG$42="",'Operating costs'!$B$7,'Replacement plan'!$AG$42)/('Operating costs'!$B$8-'Operating costs'!$B$9*IF('Replacement plan'!$AG$42="",'Operating costs'!$B$7,'Replacement plan'!$AG$42)),0)*'Operating costs'!$B$9)*IF('Replacement plan'!$AG$42="",'Operating costs'!$B$7,'Replacement plan'!$AG$42)*('Energy and charging'!$C$9*'Energy and charging'!$C$7+(1-'Energy and charging'!$C$9)*'Energy and charging'!$C$8)*'Operating costs'!$B$23,"n.a."))</f>
        <v>0</v>
      </c>
      <c r="K150" s="16">
        <f>IF(C150=0,0,IF(P150="Complete",SUM('Operating costs'!$B$24,'Operating costs'!$B$27,'Operating costs'!$B$29,'Operating costs'!$B$31,'Operating costs'!$B$33,'Operating costs'!$B$34,'Operating costs'!$B$37,'Replacement plan'!$W$42)+'Operating costs'!$B$39*'Operating costs'!$B$42+ROUNDUP(S150*(R150-'Operating costs'!$B$39)*IF('Replacement plan'!$AG$42="",'Operating costs'!$B$7,'Replacement plan'!$AG$42)/('Operating costs'!$B$8-'Operating costs'!$B$9*IF('Replacement plan'!$AG$42="",'Operating costs'!$B$7,'Replacement plan'!$AG$42)),0)*('Operating costs'!$B$9/'Operating costs'!$B$11+'Operating costs'!$B$10/60)*'Operating costs'!$B$19*'Operating costs'!$B$21,"n.a."))</f>
        <v>0</v>
      </c>
      <c r="L150" s="16">
        <f>IF(C150=0,0,IF(P150="Complete",IF(D150="EV",X150*((1-T150)*'Energy and charging'!$C$10+T150*'Energy and charging'!$C$11)*'Operating costs'!$B$22,AA150*('Energy and charging'!$C$9*'Energy and charging'!$C$7+(1-'Energy and charging'!$C$9)*'Energy and charging'!$C$8)*'Operating costs'!$B$23),"n.a."))</f>
        <v>0</v>
      </c>
      <c r="M150" s="37">
        <f>IF(C150=0,0,IF(P150="Complete",IF(D150="ICE",SUM('Operating costs'!$B$25,'Operating costs'!$B$27,'Operating costs'!$B$29,'Operating costs'!$B$31,'Operating costs'!$B$33,'Operating costs'!$B$35,'Operating costs'!$B$37,'Replacement plan'!$X$42)+'Operating costs'!$B$40*'Operating costs'!$B$42+ROUNDUP(S150*(R150-'Operating costs'!$B$40)*IF('Replacement plan'!$AH$42="",'Operating costs'!$B$7,'Replacement plan'!$AH$42)/('Operating costs'!$B$8-'Operating costs'!$B$9*IF('Replacement plan'!$AH$42="",'Operating costs'!$B$7,'Replacement plan'!$AH$42)),0)*('Operating costs'!$B$9/'Operating costs'!$B$11+'Operating costs'!$B$10/60)*'Operating costs'!$B$19*'Operating costs'!$B$21,SUM(AP150,'Operating costs'!$B$28,'Operating costs'!$B$30,'Operating costs'!$B$32,'Operating costs'!$B$33,'Operating costs'!$B$36,'Operating costs'!$B$38,'Replacement plan'!$Y$42)+'Operating costs'!$B$41*'Operating costs'!$B$43+W150*'Operating costs'!$B$15+(T150*X150/'Replacement plan'!$L$42+W150*('Operating costs'!$B$12/'Operating costs'!$B$11+('Operating costs'!$B$13+'Operating costs'!$B$14)/60)+(R150-'Operating costs'!$B$41)*(IF(T150&lt;1,'Operating costs'!$B$16,0)+'Operating costs'!$B$17)/60)*'Operating costs'!$B$19*'Operating costs'!$B$20),"n.a."))</f>
        <v>0</v>
      </c>
      <c r="N150" s="16">
        <f>IF(AND(C150=1,D150="EV",E150&lt;120,E150+'Replacement plan'!$AA$42&lt;=120),'Replacement plan'!$Z$42,0)</f>
        <v>0</v>
      </c>
      <c r="O150" s="1">
        <f>E150+'Replacement plan'!$AA$42</f>
        <v>0</v>
      </c>
      <c r="P150" s="35" t="str">
        <f>IFERROR(IF(C150=0,"Excluded",IF(OR(COUNTIFS('Fleet register'!$A$7:$A$106,A150)&lt;&gt;1,COUNTIFS('Replacement plan'!$A$7:$A$106,A150)&lt;&gt;1),"Duplicate/missing ID",IF(NOT(AND(ISNUMBER(VLOOKUP($A150,'Fleet register'!$A$7:$S$106,5,FALSE)),ISNUMBER(VLOOKUP($A150,'Fleet register'!$A$7:$S$106,6,FALSE)),ISNUMBER(VLOOKUP($A150,'Fleet register'!$A$7:$S$106,10,FALSE)),ISNUMBER(VLOOKUP($A150,'Fleet register'!$A$7:$S$106,11,FALSE)),ISNUMBER(VLOOKUP($A150,'Fleet register'!$A$7:$S$106,12,FALSE)),ISNUMBER(VLOOKUP($A150,'Fleet register'!$A$7:$S$106,13,FALSE)),ISNUMBER(VLOOKUP($A150,'Fleet register'!$A$7:$S$106,14,FALSE)),VLOOKUP($A150,'Fleet register'!$A$7:$S$106,14,FALSE)&gt;0,ISNUMBER('Replacement plan'!$C$42),OR(E150=120,ISNUMBER('Replacement plan'!$T$42)),ISNUMBER(E150))),"Missing vehicle input",IF(OR(E150&lt;0,E150&gt;VLOOKUP($A150,'Fleet register'!$A$7:$S$106,10,FALSE),E150&gt;120,E150&lt;&gt;INT(E150),VLOOKUP($A150,'Fleet register'!$A$7:$S$106,6,FALSE)&lt;=0,VLOOKUP($A150,'Fleet register'!$A$7:$S$106,6,FALSE)&gt;366,VLOOKUP($A150,'Fleet register'!$A$7:$S$106,5,FALSE)&lt;0,VLOOKUP($A150,'Fleet register'!$A$7:$S$106,11,FALSE)&lt;0,I150&lt;0,'Operating costs'!$B$8&lt;='Operating costs'!$B$7*'Operating costs'!$B$9,'Operating costs'!$B$11&lt;=0,'Operating costs'!$B$39&gt;R150,'Operating costs'!$B$40&gt;R150,'Operating costs'!$B$41&gt;R150,NOT(OR('Replacement plan'!$R$42="Keep ICE",'Replacement plan'!$R$42="New ICE",'Replacement plan'!$R$42="EV"))),"Invalid vehicle input",IF(AND(D150="EV",E150&lt;120,OR(NOT(ISNUMBER(U150)),NOT(ISNUMBER(V150)),V150&lt;=0,T150&lt;0,T150&gt;1,'Replacement plan'!$L$42&lt;=0,'Operating costs'!$B$44&lt;0,'Operating costs'!$B$44&gt;=1,'Operating costs'!$B$47&lt;=0,'Operating costs'!$B$47&gt;1,V150*'Operating costs'!$B$47/(1-'Operating costs'!$B$44)&lt;=T150*'Operating costs'!$B$12*U150,AND('Replacement plan'!$Z$42&gt;0,OR('Replacement plan'!$AB$42&lt;&gt;"Yes",'Operating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charging'!$C$8&gt;=0))),ISNUMBER(VLOOKUP($A150,'Fleet register'!$A$7:$S$106,15,FALSE)),ISNUMBER(VLOOKUP($A150,'Fleet register'!$A$7:$S$106,16,FALSE)),ISNUMBER('Replacement plan'!$W$42),ISNUMBER('Replacement plan'!$X$42),OR(E150=120,AND(ISNUMBER(G150),G150&gt;=0)),ISNUMBER(H150),H150&gt;=0,OR(D150&lt;&gt;"EV",E150=120,AND(ISNUMBER('Operating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average",ISNUMBER(IFERROR(INDEX(Products!$P$7:$P$13,MATCH(AD150,Products!$A$7:$A$13,0)),"")))),ISNUMBER('Operating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plan'!$Y$42),ISNUMBER('Replacement plan'!$Z$42),'Replacement plan'!$Z$42&gt;=0,ISNUMBER('Replacement plan'!$AA$42),'Replacement plan'!$AA$42&gt;=0,'Replacement plan'!$AA$42=INT('Replacement plan'!$AA$42),ISNUMBER('Replacement plan'!$L$42))),'Operating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plan'!$AG$42="",'Operating costs'!$B$7,'Replacement plan'!$AG$42)),IF('Replacement plan'!$AG$42="",'Operating costs'!$B$7,'Replacement plan'!$AG$42)&gt;=0,ISNUMBER(IF('Replacement plan'!$AH$42="",'Operating costs'!$B$7,'Replacement plan'!$AH$42)),IF('Replacement plan'!$AH$42="",'Operating costs'!$B$7,'Replacement plan'!$AH$42)&gt;=0,'Operating costs'!$B$8&gt;MAX(IF('Replacement plan'!$AG$42="",'Operating costs'!$B$7,'Replacement plan'!$AG$42),IF('Replacement plan'!$AH$42="",'Operating costs'!$B$7,'Replacement plan'!$AH$42))*'Operating costs'!$B$9),IF(AND(VLOOKUP($A150,'Fleet register'!$A$7:$S$106,10,FALSE)&gt;=0,VLOOKUP($A150,'Fleet register'!$A$7:$S$106,10,FALSE)&lt;=120,VLOOKUP($A150,'Fleet register'!$A$7:$S$106,10,FALSE)=INT(VLOOKUP($A150,'Fleet register'!$A$7:$S$106,10,FALSE)),VLOOKUP($A150,'Fleet register'!$A$7:$S$106,15,FALSE)&gt;=0,VLOOKUP($A150,'Fleet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costs'!$B$67)&gt;=0,OR(D150&lt;&gt;"EV",E150=120,AND(MIN('Operating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50" s="1" t="str">
        <f>IF(C150=0,"Excluded",IF(P150&lt;&gt;"Complete",P150,IF(OR('Replacement plan'!$AD$42&lt;120-E150,AND(D150="EV",E150&lt;120,OR('Replacement plan'!$AC$42&lt;120-E150,'Replacement plan'!$I$42="No",AND(ISNUMBER(AF150),AE150&gt;AF150),AI150&gt;V150*(1-'Operating costs'!$B$46)^MAX(0,AB150-1)*(1-'Operating costs'!$B$45),AC150&gt;'Operating costs'!$B$18,AND(T150&lt;1,OR(AG150&lt;=0,AND(ISNUMBER(AH150),AG150&gt;AH150))),'Replacement plan'!$L$42&gt;INDEX(Products!$H$7:$H$13,MATCH('Replacement plan'!$B$42,Products!$A$7:$A$13,0))))),"Fails entered limits",IF(AND(D150="EV",E150&lt;120,OR(NOT(ISNUMBER(VLOOKUP($A150,'Fleet register'!$A$7:$S$106,7,FALSE))),NOT(ISNUMBER(VLOOKUP($A150,'Fleet register'!$A$7:$S$106,8,FALSE))),NOT(ISNUMBER(AF150)),'Replacement plan'!$I$42&lt;&gt;"Yes",NOT(ISNUMBER(AH150)),'Operating costs'!$B$59&lt;&gt;"Yes",'Operating costs'!$B$58&lt;&gt;"Yes")),"Unverified","Within entered limits"))))</f>
        <v>Excluded</v>
      </c>
      <c r="R150" s="1">
        <f>IF(C150=0,0,VLOOKUP($A150,'Fleet register'!$A$7:$S$106,6,FALSE))</f>
        <v>0</v>
      </c>
      <c r="S150" s="1">
        <f>IF(C150=0,0,VLOOKUP($A150,'Fleet register'!$A$7:$S$106,5,FALSE))</f>
        <v>0</v>
      </c>
      <c r="T150" s="1">
        <f>IF(D150="EV",'Energy and charging'!$C$12,0)</f>
        <v>0</v>
      </c>
      <c r="U150" s="1">
        <f>IFERROR(IF(C150=0,0,IF(D150="EV",IF('Replacement plan'!$F$42="",INDEX(Products!$E$7:$E$13,MATCH('Replacement plan'!$B$42,Products!$A$7:$A$13,0)),'Replacement plan'!$F$42)/IF('Replacement plan'!$G$42="Battery",1-'Operating costs'!$B$44,1),0)),"n.a.")</f>
        <v>0</v>
      </c>
      <c r="V150" s="1">
        <f>IFERROR(IF(C150=0,0,IF(D150="EV",IF('Replacement plan'!$E$42="",INDEX(Products!$D$7:$D$13,MATCH('Replacement plan'!$B$42,Products!$A$7:$A$13,0)),'Replacement plan'!$E$42),0)),"n.a.")</f>
        <v>0</v>
      </c>
      <c r="W150" s="1">
        <f>IF(C150=0,0,IF(AND(P150="Complete",D150="EV",E150&lt;120),IF(T150=0,0,ROUNDUP(T150*(R150-'Operating costs'!$B$41)*(S150*U150+'Operating costs'!$B$48/(1-'Operating costs'!$B$44))/(V150*'Operating costs'!$B$47/(1-'Operating costs'!$B$44)-T150*'Operating costs'!$B$12*U150),0)),0))</f>
        <v>0</v>
      </c>
      <c r="X150" s="1">
        <f>IF(C150=0,0,IF(AND(P150="Complete",D150="EV",E150&lt;120),(R150-'Operating costs'!$B$41)*(S150*U150+'Operating costs'!$B$48/(1-'Operating costs'!$B$44))+W150*'Operating costs'!$B$12*U150,0))</f>
        <v>0</v>
      </c>
      <c r="Y150" s="1">
        <f>IF(AND(C150=1,D150="EV",E150&lt;120),AI150/(1-'Operating costs'!$B$44)*(1-T150),0)</f>
        <v>0</v>
      </c>
      <c r="Z150" s="1">
        <f t="shared" si="4"/>
        <v>0</v>
      </c>
      <c r="AA150" s="1">
        <f>IF(C150=0,0,IF(P150="Complete",((S150*(R150-'Operating costs'!$B$40))+ROUNDUP(S150*(R150-'Operating costs'!$B$40)*IF('Replacement plan'!$AH$42="",'Operating costs'!$B$7,'Replacement plan'!$AH$42)/('Operating costs'!$B$8-'Operating costs'!$B$9*IF('Replacement plan'!$AH$42="",'Operating costs'!$B$7,'Replacement plan'!$AH$42)),0)*'Operating costs'!$B$9)*IF('Replacement plan'!$AH$42="",'Operating costs'!$B$7,'Replacement plan'!$AH$42),"n.a."))</f>
        <v>0</v>
      </c>
      <c r="AB150" s="1">
        <f t="shared" si="5"/>
        <v>0</v>
      </c>
      <c r="AC150" s="1">
        <f>IF(AND(C150=1,D150="EV",E150&lt;120,T150&gt;0),'Operating costs'!$B$12/'Operating costs'!$B$11*60+'Operating costs'!$B$13+'Operating costs'!$B$14+V150*'Operating costs'!$B$47/(1-'Operating costs'!$B$44)/'Replacement plan'!$L$42*60,0)</f>
        <v>0</v>
      </c>
      <c r="AD150" s="1" t="str">
        <f>'Replacement plan'!$B$42</f>
        <v>ChengLong L2EV</v>
      </c>
      <c r="AE150" s="1">
        <f>IF(C150=0,0,VLOOKUP($A150,'Fleet register'!$A$7:$S$106,8,FALSE))</f>
        <v>0</v>
      </c>
      <c r="AF150" s="1" t="str">
        <f>IF('Replacement plan'!$H$42="","n.a.",'Replacement plan'!$H$42)</f>
        <v>n.a.</v>
      </c>
      <c r="AG150" s="1">
        <f>'Replacement plan'!$J$42</f>
        <v>22</v>
      </c>
      <c r="AH150" s="1">
        <f>IFERROR(IF(D150="EV",IF('Replacement plan'!$K$42="AC",IF(ISNUMBER(INDEX(Products!$G$7:$G$13,MATCH('Replacement plan'!$B$42,Products!$A$7:$A$13,0))),INDEX(Products!$G$7:$G$13,MATCH('Replacement plan'!$B$42,Products!$A$7:$A$13,0)),"n.a."),IF(ISNUMBER(INDEX(Products!$H$7:$H$13,MATCH('Replacement plan'!$B$42,Products!$A$7:$A$13,0))),INDEX(Products!$H$7:$H$13,MATCH('Replacement plan'!$B$42,Products!$A$7:$A$13,0)),"n.a.")),0),"n.a.")</f>
        <v>0</v>
      </c>
      <c r="AI150" s="1">
        <f>IF(AND(C150=1,D150="EV",E150&lt;120),(VLOOKUP($A150,'Fleet register'!$A$7:$S$106,7,FALSE)+IF(T150&gt;0,'Operating costs'!$B$12,0))*U150*(1-'Operating costs'!$B$44)+'Operating costs'!$B$49,0)</f>
        <v>0</v>
      </c>
      <c r="AJ150" s="1">
        <f>IF(D150="EV",'Energy and charging'!$C$50,0)</f>
        <v>0</v>
      </c>
      <c r="AK150" s="17">
        <f>EDATE('Operating costs'!$B$63,E150)</f>
        <v>46298</v>
      </c>
      <c r="AL150" s="1">
        <f>IFERROR(IF(D150="EV",INDEX(Products!$B$7:$B$13,MATCH('Replacement plan'!$B$42,Products!$A$7:$A$13,0)),0),"n.a.")</f>
        <v>0</v>
      </c>
      <c r="AM150" s="1" t="str">
        <f>'Replacement plan'!$K$42</f>
        <v>DC</v>
      </c>
      <c r="AN150" s="1" t="str">
        <f>'Replacement plan'!$AE$42</f>
        <v>Assumed</v>
      </c>
      <c r="AO150" s="47">
        <f>IF(AND(C150=1,D150="EV",E150&lt;120),(R150-'Operating costs'!$B$41)*S150+W150*'Operating costs'!$B$12,0)</f>
        <v>0</v>
      </c>
      <c r="AP150" s="41">
        <f>IF(AND(C150=1,D150="EV",E150&lt;120),IF('Operating costs'!$B$68="Hong Seh 200k average",AO150*IFERROR(INDEX(Products!$P$7:$P$13,MATCH(AD150,Products!$A$7:$A$13,0)),"n.a."),'Operating costs'!$B$26),0)</f>
        <v>0</v>
      </c>
      <c r="AQ150" s="40" t="str">
        <f>IF(D150="EV",'Operating costs'!$B$68,"Not applicable")</f>
        <v>Not applicable</v>
      </c>
    </row>
    <row r="151" spans="1:43" ht="24" customHeight="1">
      <c r="A151" s="1" t="str">
        <f>'Replacement plan'!A43</f>
        <v>T037</v>
      </c>
      <c r="B151" s="1">
        <v>0</v>
      </c>
      <c r="C151" s="1">
        <f>IF(COUNTIFS('Fleet register'!$A$7:$A$106,$A151)=1,VLOOKUP($A151,'Fleet register'!$A$7:$S$106,2,FALSE),0)</f>
        <v>0</v>
      </c>
      <c r="D151" s="1" t="str">
        <f>IF("Keep ICE"="EV","EV","ICE")</f>
        <v>ICE</v>
      </c>
      <c r="E151" s="1">
        <f>IF(C151=0,0,IF('Replacement plan'!$M$43="",VLOOKUP($A151,'Fleet register'!$A$7:$S$106,10,FALSE),'Replacement plan'!$M$43))</f>
        <v>0</v>
      </c>
      <c r="F151" s="16">
        <f>IF(C151=0,0,VLOOKUP($A151,'Fleet register'!$A$7:$S$106,11,FALSE))</f>
        <v>0</v>
      </c>
      <c r="G151" s="16">
        <f>IFERROR(IF(C151=0,0,IF(E151=120,0,IF(D151="ICE",'Replacement plan'!$C$43,IF('Replacement plan'!$D$43="",INDEX(Products!$I$7:$I$13,MATCH('Replacement plan'!$B$43,Products!$A$7:$A$13,0))+'Operating costs'!$B$57,'Replacement plan'!$D$43))*(1+'Operating costs'!$B$50)^(E151/12))),"n.a.")</f>
        <v>0</v>
      </c>
      <c r="H151" s="16">
        <f>IFERROR(IF(C151=0,0,IF(E151=0,F151,VLOOKUP($A151,'Fleet register'!$A$7:$S$106,12,FALSE)+VLOOKUP($A151,'Fleet register'!$A$7:$S$106,13,FALSE)*MAX(0,VLOOKUP($A151,'Fleet register'!$A$7:$S$106,10,FALSE)-E151)/VLOOKUP($A151,'Fleet register'!$A$7:$S$106,14,FALSE))),"n.a.")</f>
        <v>0</v>
      </c>
      <c r="I151" s="16">
        <f>IF(C151=0,0,IF(E151=120,0,'Replacement plan'!$N$43))</f>
        <v>0</v>
      </c>
      <c r="J151" s="16">
        <f>IF(C151=0,0,IF(P151="Complete",((S151*(R151-'Operating costs'!$B$39))+ROUNDUP(S151*(R151-'Operating costs'!$B$39)*IF('Replacement plan'!$AG$43="",'Operating costs'!$B$7,'Replacement plan'!$AG$43)/('Operating costs'!$B$8-'Operating costs'!$B$9*IF('Replacement plan'!$AG$43="",'Operating costs'!$B$7,'Replacement plan'!$AG$43)),0)*'Operating costs'!$B$9)*IF('Replacement plan'!$AG$43="",'Operating costs'!$B$7,'Replacement plan'!$AG$43)*('Energy and charging'!$B$9*'Energy and charging'!$B$7+(1-'Energy and charging'!$B$9)*'Energy and charging'!$B$8)*'Operating costs'!$B$23,"n.a."))</f>
        <v>0</v>
      </c>
      <c r="K151" s="16">
        <f>IF(C151=0,0,IF(P151="Complete",SUM('Operating costs'!$B$24,'Operating costs'!$B$27,'Operating costs'!$B$29,'Operating costs'!$B$31,'Operating costs'!$B$33,'Operating costs'!$B$34,'Operating costs'!$B$37,'Replacement plan'!$W$43)+'Operating costs'!$B$39*'Operating costs'!$B$42+ROUNDUP(S151*(R151-'Operating costs'!$B$39)*IF('Replacement plan'!$AG$43="",'Operating costs'!$B$7,'Replacement plan'!$AG$43)/('Operating costs'!$B$8-'Operating costs'!$B$9*IF('Replacement plan'!$AG$43="",'Operating costs'!$B$7,'Replacement plan'!$AG$43)),0)*('Operating costs'!$B$9/'Operating costs'!$B$11+'Operating costs'!$B$10/60)*'Operating costs'!$B$19*'Operating costs'!$B$21,"n.a."))</f>
        <v>0</v>
      </c>
      <c r="L151" s="16">
        <f>IF(C151=0,0,IF(P151="Complete",IF(D151="EV",X151*((1-T151)*'Energy and charging'!$B$10+T151*'Energy and charging'!$B$11)*'Operating costs'!$B$22,AA151*('Energy and charging'!$B$9*'Energy and charging'!$B$7+(1-'Energy and charging'!$B$9)*'Energy and charging'!$B$8)*'Operating costs'!$B$23),"n.a."))</f>
        <v>0</v>
      </c>
      <c r="M151" s="37">
        <f>IF(C151=0,0,IF(P151="Complete",IF(D151="ICE",SUM('Operating costs'!$B$25,'Operating costs'!$B$27,'Operating costs'!$B$29,'Operating costs'!$B$31,'Operating costs'!$B$33,'Operating costs'!$B$35,'Operating costs'!$B$37,'Replacement plan'!$X$43)+'Operating costs'!$B$40*'Operating costs'!$B$42+ROUNDUP(S151*(R151-'Operating costs'!$B$40)*IF('Replacement plan'!$AH$43="",'Operating costs'!$B$7,'Replacement plan'!$AH$43)/('Operating costs'!$B$8-'Operating costs'!$B$9*IF('Replacement plan'!$AH$43="",'Operating costs'!$B$7,'Replacement plan'!$AH$43)),0)*('Operating costs'!$B$9/'Operating costs'!$B$11+'Operating costs'!$B$10/60)*'Operating costs'!$B$19*'Operating costs'!$B$21,SUM(AP151,'Operating costs'!$B$28,'Operating costs'!$B$30,'Operating costs'!$B$32,'Operating costs'!$B$33,'Operating costs'!$B$36,'Operating costs'!$B$38,'Replacement plan'!$Y$43)+'Operating costs'!$B$41*'Operating costs'!$B$43+W151*'Operating costs'!$B$15+(T151*X151/'Replacement plan'!$L$43+W151*('Operating costs'!$B$12/'Operating costs'!$B$11+('Operating costs'!$B$13+'Operating costs'!$B$14)/60)+(R151-'Operating costs'!$B$41)*(IF(T151&lt;1,'Operating costs'!$B$16,0)+'Operating costs'!$B$17)/60)*'Operating costs'!$B$19*'Operating costs'!$B$20),"n.a."))</f>
        <v>0</v>
      </c>
      <c r="N151" s="16">
        <f>IF(AND(C151=1,D151="EV",E151&lt;120,E151+'Replacement plan'!$AA$43&lt;=120),'Replacement plan'!$Z$43,0)</f>
        <v>0</v>
      </c>
      <c r="O151" s="1">
        <f>E151+'Replacement plan'!$AA$43</f>
        <v>0</v>
      </c>
      <c r="P151" s="35" t="str">
        <f>IFERROR(IF(C151=0,"Excluded",IF(OR(COUNTIFS('Fleet register'!$A$7:$A$106,A151)&lt;&gt;1,COUNTIFS('Replacement plan'!$A$7:$A$106,A151)&lt;&gt;1),"Duplicate/missing ID",IF(NOT(AND(ISNUMBER(VLOOKUP($A151,'Fleet register'!$A$7:$S$106,5,FALSE)),ISNUMBER(VLOOKUP($A151,'Fleet register'!$A$7:$S$106,6,FALSE)),ISNUMBER(VLOOKUP($A151,'Fleet register'!$A$7:$S$106,10,FALSE)),ISNUMBER(VLOOKUP($A151,'Fleet register'!$A$7:$S$106,11,FALSE)),ISNUMBER(VLOOKUP($A151,'Fleet register'!$A$7:$S$106,12,FALSE)),ISNUMBER(VLOOKUP($A151,'Fleet register'!$A$7:$S$106,13,FALSE)),ISNUMBER(VLOOKUP($A151,'Fleet register'!$A$7:$S$106,14,FALSE)),VLOOKUP($A151,'Fleet register'!$A$7:$S$106,14,FALSE)&gt;0,ISNUMBER('Replacement plan'!$C$43),OR(E151=120,ISNUMBER('Replacement plan'!$N$43)),ISNUMBER(E151))),"Missing vehicle input",IF(OR(E151&lt;0,E151&gt;VLOOKUP($A151,'Fleet register'!$A$7:$S$106,10,FALSE),E151&gt;120,E151&lt;&gt;INT(E151),VLOOKUP($A151,'Fleet register'!$A$7:$S$106,6,FALSE)&lt;=0,VLOOKUP($A151,'Fleet register'!$A$7:$S$106,6,FALSE)&gt;366,VLOOKUP($A151,'Fleet register'!$A$7:$S$106,5,FALSE)&lt;0,VLOOKUP($A151,'Fleet register'!$A$7:$S$106,11,FALSE)&lt;0,I151&lt;0,'Operating costs'!$B$8&lt;='Operating costs'!$B$7*'Operating costs'!$B$9,'Operating costs'!$B$11&lt;=0,'Operating costs'!$B$39&gt;R151,'Operating costs'!$B$40&gt;R151,'Operating costs'!$B$41&gt;R151,NOT(OR("Keep ICE"="Keep ICE","Keep ICE"="New ICE","Keep ICE"="EV"))),"Invalid vehicle input",IF(AND(D151="EV",E151&lt;120,OR(NOT(ISNUMBER(U151)),NOT(ISNUMBER(V151)),V151&lt;=0,T151&lt;0,T151&gt;1,'Replacement plan'!$L$43&lt;=0,'Operating costs'!$B$44&lt;0,'Operating costs'!$B$44&gt;=1,'Operating costs'!$B$47&lt;=0,'Operating costs'!$B$47&gt;1,V151*'Operating costs'!$B$47/(1-'Operating costs'!$B$44)&lt;=T151*'Operating costs'!$B$12*U151,AND('Replacement plan'!$Z$43&gt;0,OR('Replacement plan'!$AB$43&lt;&gt;"Yes",'Operating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charging'!$B$8&gt;=0))),ISNUMBER(VLOOKUP($A151,'Fleet register'!$A$7:$S$106,15,FALSE)),ISNUMBER(VLOOKUP($A151,'Fleet register'!$A$7:$S$106,16,FALSE)),ISNUMBER('Replacement plan'!$W$43),ISNUMBER('Replacement plan'!$X$43),OR(E151=120,AND(ISNUMBER(G151),G151&gt;=0)),ISNUMBER(H151),H151&gt;=0,OR(D151&lt;&gt;"EV",E151=120,AND(ISNUMBER('Operating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average",ISNUMBER(IFERROR(INDEX(Products!$P$7:$P$13,MATCH(AD151,Products!$A$7:$A$13,0)),"")))),ISNUMBER('Operating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plan'!$Y$43),ISNUMBER('Replacement plan'!$Z$43),'Replacement plan'!$Z$43&gt;=0,ISNUMBER('Replacement plan'!$AA$43),'Replacement plan'!$AA$43&gt;=0,'Replacement plan'!$AA$43=INT('Replacement plan'!$AA$43),ISNUMBER('Replacement plan'!$L$43))),'Operating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plan'!$AG$43="",'Operating costs'!$B$7,'Replacement plan'!$AG$43)),IF('Replacement plan'!$AG$43="",'Operating costs'!$B$7,'Replacement plan'!$AG$43)&gt;=0,ISNUMBER(IF('Replacement plan'!$AH$43="",'Operating costs'!$B$7,'Replacement plan'!$AH$43)),IF('Replacement plan'!$AH$43="",'Operating costs'!$B$7,'Replacement plan'!$AH$43)&gt;=0,'Operating costs'!$B$8&gt;MAX(IF('Replacement plan'!$AG$43="",'Operating costs'!$B$7,'Replacement plan'!$AG$43),IF('Replacement plan'!$AH$43="",'Operating costs'!$B$7,'Replacement plan'!$AH$43))*'Operating costs'!$B$9),IF(AND(VLOOKUP($A151,'Fleet register'!$A$7:$S$106,10,FALSE)&gt;=0,VLOOKUP($A151,'Fleet register'!$A$7:$S$106,10,FALSE)&lt;=120,VLOOKUP($A151,'Fleet register'!$A$7:$S$106,10,FALSE)=INT(VLOOKUP($A151,'Fleet register'!$A$7:$S$106,10,FALSE)),VLOOKUP($A151,'Fleet register'!$A$7:$S$106,15,FALSE)&gt;=0,VLOOKUP($A151,'Fleet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costs'!$B$67)&gt;=0,OR(D151&lt;&gt;"EV",E151=120,AND(MIN('Operating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51" s="1" t="str">
        <f>IF(C151=0,"Excluded",IF(P151&lt;&gt;"Complete",P151,IF(OR('Replacement plan'!$AD$43&lt;120-E151,AND(D151="EV",E151&lt;120,OR('Replacement plan'!$AC$43&lt;120-E151,'Replacement plan'!$I$43="No",AND(ISNUMBER(AF151),AE151&gt;AF151),AI151&gt;V151*(1-'Operating costs'!$B$46)^MAX(0,AB151-1)*(1-'Operating costs'!$B$45),AC151&gt;'Operating costs'!$B$18,AND(T151&lt;1,OR(AG151&lt;=0,AND(ISNUMBER(AH151),AG151&gt;AH151))),'Replacement plan'!$L$43&gt;INDEX(Products!$H$7:$H$13,MATCH('Replacement plan'!$B$43,Products!$A$7:$A$13,0))))),"Fails entered limits",IF(AND(D151="EV",E151&lt;120,OR(NOT(ISNUMBER(VLOOKUP($A151,'Fleet register'!$A$7:$S$106,7,FALSE))),NOT(ISNUMBER(VLOOKUP($A151,'Fleet register'!$A$7:$S$106,8,FALSE))),NOT(ISNUMBER(AF151)),'Replacement plan'!$I$43&lt;&gt;"Yes",NOT(ISNUMBER(AH151)),'Operating costs'!$B$59&lt;&gt;"Yes",'Operating costs'!$B$58&lt;&gt;"Yes")),"Unverified","Within entered limits"))))</f>
        <v>Excluded</v>
      </c>
      <c r="R151" s="1">
        <f>IF(C151=0,0,VLOOKUP($A151,'Fleet register'!$A$7:$S$106,6,FALSE))</f>
        <v>0</v>
      </c>
      <c r="S151" s="1">
        <f>IF(C151=0,0,VLOOKUP($A151,'Fleet register'!$A$7:$S$106,5,FALSE))</f>
        <v>0</v>
      </c>
      <c r="T151" s="1">
        <f>IF(D151="EV",'Energy and charging'!$B$12,0)</f>
        <v>0</v>
      </c>
      <c r="U151" s="1">
        <f>IFERROR(IF(C151=0,0,IF(D151="EV",IF('Replacement plan'!$F$43="",INDEX(Products!$E$7:$E$13,MATCH('Replacement plan'!$B$43,Products!$A$7:$A$13,0)),'Replacement plan'!$F$43)/IF('Replacement plan'!$G$43="Battery",1-'Operating costs'!$B$44,1),0)),"n.a.")</f>
        <v>0</v>
      </c>
      <c r="V151" s="1">
        <f>IFERROR(IF(C151=0,0,IF(D151="EV",IF('Replacement plan'!$E$43="",INDEX(Products!$D$7:$D$13,MATCH('Replacement plan'!$B$43,Products!$A$7:$A$13,0)),'Replacement plan'!$E$43),0)),"n.a.")</f>
        <v>0</v>
      </c>
      <c r="W151" s="1">
        <f>IF(C151=0,0,IF(AND(P151="Complete",D151="EV",E151&lt;120),IF(T151=0,0,ROUNDUP(T151*(R151-'Operating costs'!$B$41)*(S151*U151+'Operating costs'!$B$48/(1-'Operating costs'!$B$44))/(V151*'Operating costs'!$B$47/(1-'Operating costs'!$B$44)-T151*'Operating costs'!$B$12*U151),0)),0))</f>
        <v>0</v>
      </c>
      <c r="X151" s="1">
        <f>IF(C151=0,0,IF(AND(P151="Complete",D151="EV",E151&lt;120),(R151-'Operating costs'!$B$41)*(S151*U151+'Operating costs'!$B$48/(1-'Operating costs'!$B$44))+W151*'Operating costs'!$B$12*U151,0))</f>
        <v>0</v>
      </c>
      <c r="Y151" s="1">
        <f>IF(AND(C151=1,D151="EV",E151&lt;120),AI151/(1-'Operating costs'!$B$44)*(1-T151),0)</f>
        <v>0</v>
      </c>
      <c r="Z151" s="1">
        <f t="shared" si="4"/>
        <v>0</v>
      </c>
      <c r="AA151" s="1">
        <f>IF(C151=0,0,IF(P151="Complete",((S151*(R151-'Operating costs'!$B$40))+ROUNDUP(S151*(R151-'Operating costs'!$B$40)*IF('Replacement plan'!$AH$43="",'Operating costs'!$B$7,'Replacement plan'!$AH$43)/('Operating costs'!$B$8-'Operating costs'!$B$9*IF('Replacement plan'!$AH$43="",'Operating costs'!$B$7,'Replacement plan'!$AH$43)),0)*'Operating costs'!$B$9)*IF('Replacement plan'!$AH$43="",'Operating costs'!$B$7,'Replacement plan'!$AH$43),"n.a."))</f>
        <v>0</v>
      </c>
      <c r="AB151" s="1">
        <f t="shared" si="5"/>
        <v>0</v>
      </c>
      <c r="AC151" s="1">
        <f>IF(AND(C151=1,D151="EV",E151&lt;120,T151&gt;0),'Operating costs'!$B$12/'Operating costs'!$B$11*60+'Operating costs'!$B$13+'Operating costs'!$B$14+V151*'Operating costs'!$B$47/(1-'Operating costs'!$B$44)/'Replacement plan'!$L$43*60,0)</f>
        <v>0</v>
      </c>
      <c r="AD151" s="1" t="str">
        <f>'Replacement plan'!$B$43</f>
        <v>ChengLong L2EV</v>
      </c>
      <c r="AE151" s="1">
        <f>IF(C151=0,0,VLOOKUP($A151,'Fleet register'!$A$7:$S$106,8,FALSE))</f>
        <v>0</v>
      </c>
      <c r="AF151" s="1" t="str">
        <f>IF('Replacement plan'!$H$43="","n.a.",'Replacement plan'!$H$43)</f>
        <v>n.a.</v>
      </c>
      <c r="AG151" s="1">
        <f>'Replacement plan'!$J$43</f>
        <v>22</v>
      </c>
      <c r="AH151" s="1">
        <f>IFERROR(IF(D151="EV",IF('Replacement plan'!$K$43="AC",IF(ISNUMBER(INDEX(Products!$G$7:$G$13,MATCH('Replacement plan'!$B$43,Products!$A$7:$A$13,0))),INDEX(Products!$G$7:$G$13,MATCH('Replacement plan'!$B$43,Products!$A$7:$A$13,0)),"n.a."),IF(ISNUMBER(INDEX(Products!$H$7:$H$13,MATCH('Replacement plan'!$B$43,Products!$A$7:$A$13,0))),INDEX(Products!$H$7:$H$13,MATCH('Replacement plan'!$B$43,Products!$A$7:$A$13,0)),"n.a.")),0),"n.a.")</f>
        <v>0</v>
      </c>
      <c r="AI151" s="1">
        <f>IF(AND(C151=1,D151="EV",E151&lt;120),(VLOOKUP($A151,'Fleet register'!$A$7:$S$106,7,FALSE)+IF(T151&gt;0,'Operating costs'!$B$12,0))*U151*(1-'Operating costs'!$B$44)+'Operating costs'!$B$49,0)</f>
        <v>0</v>
      </c>
      <c r="AJ151" s="1">
        <f>IF(D151="EV",'Energy and charging'!$B$50,0)</f>
        <v>0</v>
      </c>
      <c r="AK151" s="17">
        <f>EDATE('Operating costs'!$B$63,E151)</f>
        <v>46298</v>
      </c>
      <c r="AL151" s="1">
        <f>IFERROR(IF(D151="EV",INDEX(Products!$B$7:$B$13,MATCH('Replacement plan'!$B$43,Products!$A$7:$A$13,0)),0),"n.a.")</f>
        <v>0</v>
      </c>
      <c r="AM151" s="1" t="str">
        <f>'Replacement plan'!$K$43</f>
        <v>DC</v>
      </c>
      <c r="AN151" s="1" t="str">
        <f>'Replacement plan'!$AE$43</f>
        <v>Assumed</v>
      </c>
      <c r="AO151" s="47">
        <f>IF(AND(C151=1,D151="EV",E151&lt;120),(R151-'Operating costs'!$B$41)*S151+W151*'Operating costs'!$B$12,0)</f>
        <v>0</v>
      </c>
      <c r="AP151" s="41">
        <f>IF(AND(C151=1,D151="EV",E151&lt;120),IF('Operating costs'!$B$68="Hong Seh 200k average",AO151*IFERROR(INDEX(Products!$P$7:$P$13,MATCH(AD151,Products!$A$7:$A$13,0)),"n.a."),'Operating costs'!$B$26),0)</f>
        <v>0</v>
      </c>
      <c r="AQ151" s="40" t="str">
        <f>IF(D151="EV",'Operating costs'!$B$68,"Not applicable")</f>
        <v>Not applicable</v>
      </c>
    </row>
    <row r="152" spans="1:43" ht="24" customHeight="1">
      <c r="A152" s="1" t="str">
        <f>'Replacement plan'!A43</f>
        <v>T037</v>
      </c>
      <c r="B152" s="1">
        <v>1</v>
      </c>
      <c r="C152" s="1">
        <f>IF(COUNTIFS('Fleet register'!$A$7:$A$106,$A152)=1,VLOOKUP($A152,'Fleet register'!$A$7:$S$106,2,FALSE),0)</f>
        <v>0</v>
      </c>
      <c r="D152" s="1" t="str">
        <f>IF("New ICE"="EV","EV","ICE")</f>
        <v>ICE</v>
      </c>
      <c r="E152" s="1">
        <f>IF(C152=0,0,0)</f>
        <v>0</v>
      </c>
      <c r="F152" s="16">
        <f>IF(C152=0,0,VLOOKUP($A152,'Fleet register'!$A$7:$S$106,11,FALSE))</f>
        <v>0</v>
      </c>
      <c r="G152" s="16">
        <f>IFERROR(IF(C152=0,0,IF(E152=120,0,IF(D152="ICE",'Replacement plan'!$C$43,IF('Replacement plan'!$D$43="",INDEX(Products!$I$7:$I$13,MATCH('Replacement plan'!$B$43,Products!$A$7:$A$13,0))+'Operating costs'!$B$57,'Replacement plan'!$D$43))*(1+'Operating costs'!$B$50)^(E152/12))),"n.a.")</f>
        <v>0</v>
      </c>
      <c r="H152" s="16">
        <f>IFERROR(IF(C152=0,0,IF(E152=0,F152,VLOOKUP($A152,'Fleet register'!$A$7:$S$106,12,FALSE)+VLOOKUP($A152,'Fleet register'!$A$7:$S$106,13,FALSE)*MAX(0,VLOOKUP($A152,'Fleet register'!$A$7:$S$106,10,FALSE)-E152)/VLOOKUP($A152,'Fleet register'!$A$7:$S$106,14,FALSE))),"n.a.")</f>
        <v>0</v>
      </c>
      <c r="I152" s="16">
        <f>IF(C152=0,0,IF(E152=120,0,IF('Replacement plan'!$AI$43="",'Operating costs'!$B$56,'Replacement plan'!$AI$43)))</f>
        <v>0</v>
      </c>
      <c r="J152" s="16">
        <f>IF(C152=0,0,IF(P152="Complete",((S152*(R152-'Operating costs'!$B$39))+ROUNDUP(S152*(R152-'Operating costs'!$B$39)*IF('Replacement plan'!$AG$43="",'Operating costs'!$B$7,'Replacement plan'!$AG$43)/('Operating costs'!$B$8-'Operating costs'!$B$9*IF('Replacement plan'!$AG$43="",'Operating costs'!$B$7,'Replacement plan'!$AG$43)),0)*'Operating costs'!$B$9)*IF('Replacement plan'!$AG$43="",'Operating costs'!$B$7,'Replacement plan'!$AG$43)*('Energy and charging'!$B$9*'Energy and charging'!$B$7+(1-'Energy and charging'!$B$9)*'Energy and charging'!$B$8)*'Operating costs'!$B$23,"n.a."))</f>
        <v>0</v>
      </c>
      <c r="K152" s="16">
        <f>IF(C152=0,0,IF(P152="Complete",SUM('Operating costs'!$B$24,'Operating costs'!$B$27,'Operating costs'!$B$29,'Operating costs'!$B$31,'Operating costs'!$B$33,'Operating costs'!$B$34,'Operating costs'!$B$37,'Replacement plan'!$W$43)+'Operating costs'!$B$39*'Operating costs'!$B$42+ROUNDUP(S152*(R152-'Operating costs'!$B$39)*IF('Replacement plan'!$AG$43="",'Operating costs'!$B$7,'Replacement plan'!$AG$43)/('Operating costs'!$B$8-'Operating costs'!$B$9*IF('Replacement plan'!$AG$43="",'Operating costs'!$B$7,'Replacement plan'!$AG$43)),0)*('Operating costs'!$B$9/'Operating costs'!$B$11+'Operating costs'!$B$10/60)*'Operating costs'!$B$19*'Operating costs'!$B$21,"n.a."))</f>
        <v>0</v>
      </c>
      <c r="L152" s="16">
        <f>IF(C152=0,0,IF(P152="Complete",IF(D152="EV",X152*((1-T152)*'Energy and charging'!$B$10+T152*'Energy and charging'!$B$11)*'Operating costs'!$B$22,AA152*('Energy and charging'!$B$9*'Energy and charging'!$B$7+(1-'Energy and charging'!$B$9)*'Energy and charging'!$B$8)*'Operating costs'!$B$23),"n.a."))</f>
        <v>0</v>
      </c>
      <c r="M152" s="37">
        <f>IF(C152=0,0,IF(P152="Complete",IF(D152="ICE",SUM('Operating costs'!$B$25,'Operating costs'!$B$27,'Operating costs'!$B$29,'Operating costs'!$B$31,'Operating costs'!$B$33,'Operating costs'!$B$35,'Operating costs'!$B$37,'Replacement plan'!$X$43)+'Operating costs'!$B$40*'Operating costs'!$B$42+ROUNDUP(S152*(R152-'Operating costs'!$B$40)*IF('Replacement plan'!$AH$43="",'Operating costs'!$B$7,'Replacement plan'!$AH$43)/('Operating costs'!$B$8-'Operating costs'!$B$9*IF('Replacement plan'!$AH$43="",'Operating costs'!$B$7,'Replacement plan'!$AH$43)),0)*('Operating costs'!$B$9/'Operating costs'!$B$11+'Operating costs'!$B$10/60)*'Operating costs'!$B$19*'Operating costs'!$B$21,SUM(AP152,'Operating costs'!$B$28,'Operating costs'!$B$30,'Operating costs'!$B$32,'Operating costs'!$B$33,'Operating costs'!$B$36,'Operating costs'!$B$38,'Replacement plan'!$Y$43)+'Operating costs'!$B$41*'Operating costs'!$B$43+W152*'Operating costs'!$B$15+(T152*X152/'Replacement plan'!$L$43+W152*('Operating costs'!$B$12/'Operating costs'!$B$11+('Operating costs'!$B$13+'Operating costs'!$B$14)/60)+(R152-'Operating costs'!$B$41)*(IF(T152&lt;1,'Operating costs'!$B$16,0)+'Operating costs'!$B$17)/60)*'Operating costs'!$B$19*'Operating costs'!$B$20),"n.a."))</f>
        <v>0</v>
      </c>
      <c r="N152" s="16">
        <f>IF(AND(C152=1,D152="EV",E152&lt;120,E152+'Replacement plan'!$AA$43&lt;=120),'Replacement plan'!$Z$43,0)</f>
        <v>0</v>
      </c>
      <c r="O152" s="1">
        <f>E152+'Replacement plan'!$AA$43</f>
        <v>0</v>
      </c>
      <c r="P152" s="35" t="str">
        <f>IFERROR(IF(C152=0,"Excluded",IF(OR(COUNTIFS('Fleet register'!$A$7:$A$106,A152)&lt;&gt;1,COUNTIFS('Replacement plan'!$A$7:$A$106,A152)&lt;&gt;1),"Duplicate/missing ID",IF(NOT(AND(ISNUMBER(VLOOKUP($A152,'Fleet register'!$A$7:$S$106,5,FALSE)),ISNUMBER(VLOOKUP($A152,'Fleet register'!$A$7:$S$106,6,FALSE)),ISNUMBER(VLOOKUP($A152,'Fleet register'!$A$7:$S$106,10,FALSE)),ISNUMBER(VLOOKUP($A152,'Fleet register'!$A$7:$S$106,11,FALSE)),ISNUMBER(VLOOKUP($A152,'Fleet register'!$A$7:$S$106,12,FALSE)),ISNUMBER(VLOOKUP($A152,'Fleet register'!$A$7:$S$106,13,FALSE)),ISNUMBER(VLOOKUP($A152,'Fleet register'!$A$7:$S$106,14,FALSE)),VLOOKUP($A152,'Fleet register'!$A$7:$S$106,14,FALSE)&gt;0,ISNUMBER('Replacement plan'!$C$43),OR(E152=120,OR(ISNUMBER('Replacement plan'!$AI$43),AND('Replacement plan'!$AI$43="",ISNUMBER('Operating costs'!$B$56)))),ISNUMBER(E152))),"Missing vehicle input",IF(OR(E152&lt;0,E152&gt;VLOOKUP($A152,'Fleet register'!$A$7:$S$106,10,FALSE),E152&gt;120,E152&lt;&gt;INT(E152),VLOOKUP($A152,'Fleet register'!$A$7:$S$106,6,FALSE)&lt;=0,VLOOKUP($A152,'Fleet register'!$A$7:$S$106,6,FALSE)&gt;366,VLOOKUP($A152,'Fleet register'!$A$7:$S$106,5,FALSE)&lt;0,VLOOKUP($A152,'Fleet register'!$A$7:$S$106,11,FALSE)&lt;0,I152&lt;0,'Operating costs'!$B$8&lt;='Operating costs'!$B$7*'Operating costs'!$B$9,'Operating costs'!$B$11&lt;=0,'Operating costs'!$B$39&gt;R152,'Operating costs'!$B$40&gt;R152,'Operating costs'!$B$41&gt;R152,NOT(OR("New ICE"="Keep ICE","New ICE"="New ICE","New ICE"="EV"))),"Invalid vehicle input",IF(AND(D152="EV",E152&lt;120,OR(NOT(ISNUMBER(U152)),NOT(ISNUMBER(V152)),V152&lt;=0,T152&lt;0,T152&gt;1,'Replacement plan'!$L$43&lt;=0,'Operating costs'!$B$44&lt;0,'Operating costs'!$B$44&gt;=1,'Operating costs'!$B$47&lt;=0,'Operating costs'!$B$47&gt;1,V152*'Operating costs'!$B$47/(1-'Operating costs'!$B$44)&lt;=T152*'Operating costs'!$B$12*U152,AND('Replacement plan'!$Z$43&gt;0,OR('Replacement plan'!$AB$43&lt;&gt;"Yes",'Operating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charging'!$B$8&gt;=0))),ISNUMBER(VLOOKUP($A152,'Fleet register'!$A$7:$S$106,15,FALSE)),ISNUMBER(VLOOKUP($A152,'Fleet register'!$A$7:$S$106,16,FALSE)),ISNUMBER('Replacement plan'!$W$43),ISNUMBER('Replacement plan'!$X$43),OR(E152=120,AND(ISNUMBER(G152),G152&gt;=0)),ISNUMBER(H152),H152&gt;=0,OR(D152&lt;&gt;"EV",E152=120,AND(ISNUMBER('Operating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average",ISNUMBER(IFERROR(INDEX(Products!$P$7:$P$13,MATCH(AD152,Products!$A$7:$A$13,0)),"")))),ISNUMBER('Operating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plan'!$Y$43),ISNUMBER('Replacement plan'!$Z$43),'Replacement plan'!$Z$43&gt;=0,ISNUMBER('Replacement plan'!$AA$43),'Replacement plan'!$AA$43&gt;=0,'Replacement plan'!$AA$43=INT('Replacement plan'!$AA$43),ISNUMBER('Replacement plan'!$L$43))),'Operating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plan'!$AG$43="",'Operating costs'!$B$7,'Replacement plan'!$AG$43)),IF('Replacement plan'!$AG$43="",'Operating costs'!$B$7,'Replacement plan'!$AG$43)&gt;=0,ISNUMBER(IF('Replacement plan'!$AH$43="",'Operating costs'!$B$7,'Replacement plan'!$AH$43)),IF('Replacement plan'!$AH$43="",'Operating costs'!$B$7,'Replacement plan'!$AH$43)&gt;=0,'Operating costs'!$B$8&gt;MAX(IF('Replacement plan'!$AG$43="",'Operating costs'!$B$7,'Replacement plan'!$AG$43),IF('Replacement plan'!$AH$43="",'Operating costs'!$B$7,'Replacement plan'!$AH$43))*'Operating costs'!$B$9),IF(AND(VLOOKUP($A152,'Fleet register'!$A$7:$S$106,10,FALSE)&gt;=0,VLOOKUP($A152,'Fleet register'!$A$7:$S$106,10,FALSE)&lt;=120,VLOOKUP($A152,'Fleet register'!$A$7:$S$106,10,FALSE)=INT(VLOOKUP($A152,'Fleet register'!$A$7:$S$106,10,FALSE)),VLOOKUP($A152,'Fleet register'!$A$7:$S$106,15,FALSE)&gt;=0,VLOOKUP($A152,'Fleet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costs'!$B$67)&gt;=0,OR(D152&lt;&gt;"EV",E152=120,AND(MIN('Operating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52" s="1" t="str">
        <f>IF(C152=0,"Excluded",IF(P152&lt;&gt;"Complete",P152,IF(OR('Replacement plan'!$AD$43&lt;120-E152,AND(D152="EV",E152&lt;120,OR('Replacement plan'!$AC$43&lt;120-E152,'Replacement plan'!$I$43="No",AND(ISNUMBER(AF152),AE152&gt;AF152),AI152&gt;V152*(1-'Operating costs'!$B$46)^MAX(0,AB152-1)*(1-'Operating costs'!$B$45),AC152&gt;'Operating costs'!$B$18,AND(T152&lt;1,OR(AG152&lt;=0,AND(ISNUMBER(AH152),AG152&gt;AH152))),'Replacement plan'!$L$43&gt;INDEX(Products!$H$7:$H$13,MATCH('Replacement plan'!$B$43,Products!$A$7:$A$13,0))))),"Fails entered limits",IF(AND(D152="EV",E152&lt;120,OR(NOT(ISNUMBER(VLOOKUP($A152,'Fleet register'!$A$7:$S$106,7,FALSE))),NOT(ISNUMBER(VLOOKUP($A152,'Fleet register'!$A$7:$S$106,8,FALSE))),NOT(ISNUMBER(AF152)),'Replacement plan'!$I$43&lt;&gt;"Yes",NOT(ISNUMBER(AH152)),'Operating costs'!$B$59&lt;&gt;"Yes",'Operating costs'!$B$58&lt;&gt;"Yes")),"Unverified","Within entered limits"))))</f>
        <v>Excluded</v>
      </c>
      <c r="R152" s="1">
        <f>IF(C152=0,0,VLOOKUP($A152,'Fleet register'!$A$7:$S$106,6,FALSE))</f>
        <v>0</v>
      </c>
      <c r="S152" s="1">
        <f>IF(C152=0,0,VLOOKUP($A152,'Fleet register'!$A$7:$S$106,5,FALSE))</f>
        <v>0</v>
      </c>
      <c r="T152" s="1">
        <f>IF(D152="EV",'Energy and charging'!$B$12,0)</f>
        <v>0</v>
      </c>
      <c r="U152" s="1">
        <f>IFERROR(IF(C152=0,0,IF(D152="EV",IF('Replacement plan'!$F$43="",INDEX(Products!$E$7:$E$13,MATCH('Replacement plan'!$B$43,Products!$A$7:$A$13,0)),'Replacement plan'!$F$43)/IF('Replacement plan'!$G$43="Battery",1-'Operating costs'!$B$44,1),0)),"n.a.")</f>
        <v>0</v>
      </c>
      <c r="V152" s="1">
        <f>IFERROR(IF(C152=0,0,IF(D152="EV",IF('Replacement plan'!$E$43="",INDEX(Products!$D$7:$D$13,MATCH('Replacement plan'!$B$43,Products!$A$7:$A$13,0)),'Replacement plan'!$E$43),0)),"n.a.")</f>
        <v>0</v>
      </c>
      <c r="W152" s="1">
        <f>IF(C152=0,0,IF(AND(P152="Complete",D152="EV",E152&lt;120),IF(T152=0,0,ROUNDUP(T152*(R152-'Operating costs'!$B$41)*(S152*U152+'Operating costs'!$B$48/(1-'Operating costs'!$B$44))/(V152*'Operating costs'!$B$47/(1-'Operating costs'!$B$44)-T152*'Operating costs'!$B$12*U152),0)),0))</f>
        <v>0</v>
      </c>
      <c r="X152" s="1">
        <f>IF(C152=0,0,IF(AND(P152="Complete",D152="EV",E152&lt;120),(R152-'Operating costs'!$B$41)*(S152*U152+'Operating costs'!$B$48/(1-'Operating costs'!$B$44))+W152*'Operating costs'!$B$12*U152,0))</f>
        <v>0</v>
      </c>
      <c r="Y152" s="1">
        <f>IF(AND(C152=1,D152="EV",E152&lt;120),AI152/(1-'Operating costs'!$B$44)*(1-T152),0)</f>
        <v>0</v>
      </c>
      <c r="Z152" s="1">
        <f t="shared" si="4"/>
        <v>0</v>
      </c>
      <c r="AA152" s="1">
        <f>IF(C152=0,0,IF(P152="Complete",((S152*(R152-'Operating costs'!$B$40))+ROUNDUP(S152*(R152-'Operating costs'!$B$40)*IF('Replacement plan'!$AH$43="",'Operating costs'!$B$7,'Replacement plan'!$AH$43)/('Operating costs'!$B$8-'Operating costs'!$B$9*IF('Replacement plan'!$AH$43="",'Operating costs'!$B$7,'Replacement plan'!$AH$43)),0)*'Operating costs'!$B$9)*IF('Replacement plan'!$AH$43="",'Operating costs'!$B$7,'Replacement plan'!$AH$43),"n.a."))</f>
        <v>0</v>
      </c>
      <c r="AB152" s="1">
        <f t="shared" si="5"/>
        <v>0</v>
      </c>
      <c r="AC152" s="1">
        <f>IF(AND(C152=1,D152="EV",E152&lt;120,T152&gt;0),'Operating costs'!$B$12/'Operating costs'!$B$11*60+'Operating costs'!$B$13+'Operating costs'!$B$14+V152*'Operating costs'!$B$47/(1-'Operating costs'!$B$44)/'Replacement plan'!$L$43*60,0)</f>
        <v>0</v>
      </c>
      <c r="AD152" s="1" t="str">
        <f>'Replacement plan'!$B$43</f>
        <v>ChengLong L2EV</v>
      </c>
      <c r="AE152" s="1">
        <f>IF(C152=0,0,VLOOKUP($A152,'Fleet register'!$A$7:$S$106,8,FALSE))</f>
        <v>0</v>
      </c>
      <c r="AF152" s="1" t="str">
        <f>IF('Replacement plan'!$H$43="","n.a.",'Replacement plan'!$H$43)</f>
        <v>n.a.</v>
      </c>
      <c r="AG152" s="1">
        <f>'Replacement plan'!$J$43</f>
        <v>22</v>
      </c>
      <c r="AH152" s="1">
        <f>IFERROR(IF(D152="EV",IF('Replacement plan'!$K$43="AC",IF(ISNUMBER(INDEX(Products!$G$7:$G$13,MATCH('Replacement plan'!$B$43,Products!$A$7:$A$13,0))),INDEX(Products!$G$7:$G$13,MATCH('Replacement plan'!$B$43,Products!$A$7:$A$13,0)),"n.a."),IF(ISNUMBER(INDEX(Products!$H$7:$H$13,MATCH('Replacement plan'!$B$43,Products!$A$7:$A$13,0))),INDEX(Products!$H$7:$H$13,MATCH('Replacement plan'!$B$43,Products!$A$7:$A$13,0)),"n.a.")),0),"n.a.")</f>
        <v>0</v>
      </c>
      <c r="AI152" s="1">
        <f>IF(AND(C152=1,D152="EV",E152&lt;120),(VLOOKUP($A152,'Fleet register'!$A$7:$S$106,7,FALSE)+IF(T152&gt;0,'Operating costs'!$B$12,0))*U152*(1-'Operating costs'!$B$44)+'Operating costs'!$B$49,0)</f>
        <v>0</v>
      </c>
      <c r="AJ152" s="1">
        <f>IF(D152="EV",'Energy and charging'!$B$50,0)</f>
        <v>0</v>
      </c>
      <c r="AK152" s="17">
        <f>EDATE('Operating costs'!$B$63,E152)</f>
        <v>46298</v>
      </c>
      <c r="AL152" s="1">
        <f>IFERROR(IF(D152="EV",INDEX(Products!$B$7:$B$13,MATCH('Replacement plan'!$B$43,Products!$A$7:$A$13,0)),0),"n.a.")</f>
        <v>0</v>
      </c>
      <c r="AM152" s="1" t="str">
        <f>'Replacement plan'!$K$43</f>
        <v>DC</v>
      </c>
      <c r="AN152" s="1" t="str">
        <f>'Replacement plan'!$AE$43</f>
        <v>Assumed</v>
      </c>
      <c r="AO152" s="47">
        <f>IF(AND(C152=1,D152="EV",E152&lt;120),(R152-'Operating costs'!$B$41)*S152+W152*'Operating costs'!$B$12,0)</f>
        <v>0</v>
      </c>
      <c r="AP152" s="41">
        <f>IF(AND(C152=1,D152="EV",E152&lt;120),IF('Operating costs'!$B$68="Hong Seh 200k average",AO152*IFERROR(INDEX(Products!$P$7:$P$13,MATCH(AD152,Products!$A$7:$A$13,0)),"n.a."),'Operating costs'!$B$26),0)</f>
        <v>0</v>
      </c>
      <c r="AQ152" s="40" t="str">
        <f>IF(D152="EV",'Operating costs'!$B$68,"Not applicable")</f>
        <v>Not applicable</v>
      </c>
    </row>
    <row r="153" spans="1:43" ht="24" customHeight="1">
      <c r="A153" s="1" t="str">
        <f>'Replacement plan'!A43</f>
        <v>T037</v>
      </c>
      <c r="B153" s="1">
        <v>2</v>
      </c>
      <c r="C153" s="1">
        <f>IF(COUNTIFS('Fleet register'!$A$7:$A$106,$A153)=1,VLOOKUP($A153,'Fleet register'!$A$7:$S$106,2,FALSE),0)</f>
        <v>0</v>
      </c>
      <c r="D153" s="1" t="str">
        <f>IF('Replacement plan'!$O$43="EV","EV","ICE")</f>
        <v>ICE</v>
      </c>
      <c r="E153" s="1">
        <f>IF(C153=0,0,IF('Replacement plan'!$P$43="",IF('Replacement plan'!$O$43="Keep ICE",IF('Replacement plan'!$M$43="",VLOOKUP($A153,'Fleet register'!$A$7:$S$106,10,FALSE),'Replacement plan'!$M$43),0),'Replacement plan'!$P$43))</f>
        <v>0</v>
      </c>
      <c r="F153" s="16">
        <f>IF(C153=0,0,VLOOKUP($A153,'Fleet register'!$A$7:$S$106,11,FALSE))</f>
        <v>0</v>
      </c>
      <c r="G153" s="16">
        <f>IFERROR(IF(C153=0,0,IF(E153=120,0,IF(D153="ICE",'Replacement plan'!$C$43,IF('Replacement plan'!$D$43="",INDEX(Products!$I$7:$I$13,MATCH('Replacement plan'!$B$43,Products!$A$7:$A$13,0))+'Operating costs'!$B$57,'Replacement plan'!$D$43))*(1+'Operating costs'!$B$50)^(E153/12))),"n.a.")</f>
        <v>0</v>
      </c>
      <c r="H153" s="16">
        <f>IFERROR(IF(C153=0,0,IF('Replacement plan'!$U$43&lt;&gt;"",'Replacement plan'!$U$43,IF(E153=0,F153,VLOOKUP($A153,'Fleet register'!$A$7:$S$106,12,FALSE)+VLOOKUP($A153,'Fleet register'!$A$7:$S$106,13,FALSE)*MAX(0,VLOOKUP($A153,'Fleet register'!$A$7:$S$106,10,FALSE)-E153)/VLOOKUP($A153,'Fleet register'!$A$7:$S$106,14,FALSE)))),"n.a.")</f>
        <v>0</v>
      </c>
      <c r="I153" s="16">
        <f>IF(C153=0,0,IF(E153=120,0,'Replacement plan'!$Q$43))</f>
        <v>0</v>
      </c>
      <c r="J153" s="16">
        <f>IF(C153=0,0,IF(P153="Complete",((S153*(R153-'Operating costs'!$B$39))+ROUNDUP(S153*(R153-'Operating costs'!$B$39)*IF('Replacement plan'!$AG$43="",'Operating costs'!$B$7,'Replacement plan'!$AG$43)/('Operating costs'!$B$8-'Operating costs'!$B$9*IF('Replacement plan'!$AG$43="",'Operating costs'!$B$7,'Replacement plan'!$AG$43)),0)*'Operating costs'!$B$9)*IF('Replacement plan'!$AG$43="",'Operating costs'!$B$7,'Replacement plan'!$AG$43)*('Energy and charging'!$B$9*'Energy and charging'!$B$7+(1-'Energy and charging'!$B$9)*'Energy and charging'!$B$8)*'Operating costs'!$B$23,"n.a."))</f>
        <v>0</v>
      </c>
      <c r="K153" s="16">
        <f>IF(C153=0,0,IF(P153="Complete",SUM('Operating costs'!$B$24,'Operating costs'!$B$27,'Operating costs'!$B$29,'Operating costs'!$B$31,'Operating costs'!$B$33,'Operating costs'!$B$34,'Operating costs'!$B$37,'Replacement plan'!$W$43)+'Operating costs'!$B$39*'Operating costs'!$B$42+ROUNDUP(S153*(R153-'Operating costs'!$B$39)*IF('Replacement plan'!$AG$43="",'Operating costs'!$B$7,'Replacement plan'!$AG$43)/('Operating costs'!$B$8-'Operating costs'!$B$9*IF('Replacement plan'!$AG$43="",'Operating costs'!$B$7,'Replacement plan'!$AG$43)),0)*('Operating costs'!$B$9/'Operating costs'!$B$11+'Operating costs'!$B$10/60)*'Operating costs'!$B$19*'Operating costs'!$B$21,"n.a."))</f>
        <v>0</v>
      </c>
      <c r="L153" s="16">
        <f>IF(C153=0,0,IF(P153="Complete",IF(D153="EV",X153*((1-T153)*'Energy and charging'!$B$10+T153*'Energy and charging'!$B$11)*'Operating costs'!$B$22,AA153*('Energy and charging'!$B$9*'Energy and charging'!$B$7+(1-'Energy and charging'!$B$9)*'Energy and charging'!$B$8)*'Operating costs'!$B$23),"n.a."))</f>
        <v>0</v>
      </c>
      <c r="M153" s="37">
        <f>IF(C153=0,0,IF(P153="Complete",IF(D153="ICE",SUM('Operating costs'!$B$25,'Operating costs'!$B$27,'Operating costs'!$B$29,'Operating costs'!$B$31,'Operating costs'!$B$33,'Operating costs'!$B$35,'Operating costs'!$B$37,'Replacement plan'!$X$43)+'Operating costs'!$B$40*'Operating costs'!$B$42+ROUNDUP(S153*(R153-'Operating costs'!$B$40)*IF('Replacement plan'!$AH$43="",'Operating costs'!$B$7,'Replacement plan'!$AH$43)/('Operating costs'!$B$8-'Operating costs'!$B$9*IF('Replacement plan'!$AH$43="",'Operating costs'!$B$7,'Replacement plan'!$AH$43)),0)*('Operating costs'!$B$9/'Operating costs'!$B$11+'Operating costs'!$B$10/60)*'Operating costs'!$B$19*'Operating costs'!$B$21,SUM(AP153,'Operating costs'!$B$28,'Operating costs'!$B$30,'Operating costs'!$B$32,'Operating costs'!$B$33,'Operating costs'!$B$36,'Operating costs'!$B$38,'Replacement plan'!$Y$43)+'Operating costs'!$B$41*'Operating costs'!$B$43+W153*'Operating costs'!$B$15+(T153*X153/'Replacement plan'!$L$43+W153*('Operating costs'!$B$12/'Operating costs'!$B$11+('Operating costs'!$B$13+'Operating costs'!$B$14)/60)+(R153-'Operating costs'!$B$41)*(IF(T153&lt;1,'Operating costs'!$B$16,0)+'Operating costs'!$B$17)/60)*'Operating costs'!$B$19*'Operating costs'!$B$20),"n.a."))</f>
        <v>0</v>
      </c>
      <c r="N153" s="16">
        <f>IF(AND(C153=1,D153="EV",E153&lt;120,E153+'Replacement plan'!$AA$43&lt;=120),'Replacement plan'!$Z$43,0)</f>
        <v>0</v>
      </c>
      <c r="O153" s="1">
        <f>E153+'Replacement plan'!$AA$43</f>
        <v>0</v>
      </c>
      <c r="P153" s="35" t="str">
        <f>IFERROR(IF(C153=0,"Excluded",IF(OR(COUNTIFS('Fleet register'!$A$7:$A$106,A153)&lt;&gt;1,COUNTIFS('Replacement plan'!$A$7:$A$106,A153)&lt;&gt;1),"Duplicate/missing ID",IF(NOT(AND(ISNUMBER(VLOOKUP($A153,'Fleet register'!$A$7:$S$106,5,FALSE)),ISNUMBER(VLOOKUP($A153,'Fleet register'!$A$7:$S$106,6,FALSE)),ISNUMBER(VLOOKUP($A153,'Fleet register'!$A$7:$S$106,10,FALSE)),ISNUMBER(VLOOKUP($A153,'Fleet register'!$A$7:$S$106,11,FALSE)),ISNUMBER(VLOOKUP($A153,'Fleet register'!$A$7:$S$106,12,FALSE)),ISNUMBER(VLOOKUP($A153,'Fleet register'!$A$7:$S$106,13,FALSE)),ISNUMBER(VLOOKUP($A153,'Fleet register'!$A$7:$S$106,14,FALSE)),VLOOKUP($A153,'Fleet register'!$A$7:$S$106,14,FALSE)&gt;0,ISNUMBER('Replacement plan'!$C$43),OR(E153=120,ISNUMBER('Replacement plan'!$Q$43)),ISNUMBER(E153))),"Missing vehicle input",IF(OR(E153&lt;0,E153&gt;VLOOKUP($A153,'Fleet register'!$A$7:$S$106,10,FALSE),E153&gt;120,E153&lt;&gt;INT(E153),VLOOKUP($A153,'Fleet register'!$A$7:$S$106,6,FALSE)&lt;=0,VLOOKUP($A153,'Fleet register'!$A$7:$S$106,6,FALSE)&gt;366,VLOOKUP($A153,'Fleet register'!$A$7:$S$106,5,FALSE)&lt;0,VLOOKUP($A153,'Fleet register'!$A$7:$S$106,11,FALSE)&lt;0,I153&lt;0,'Operating costs'!$B$8&lt;='Operating costs'!$B$7*'Operating costs'!$B$9,'Operating costs'!$B$11&lt;=0,'Operating costs'!$B$39&gt;R153,'Operating costs'!$B$40&gt;R153,'Operating costs'!$B$41&gt;R153,NOT(OR('Replacement plan'!$O$43="Keep ICE",'Replacement plan'!$O$43="New ICE",'Replacement plan'!$O$43="EV"))),"Invalid vehicle input",IF(AND(D153="EV",E153&lt;120,OR(NOT(ISNUMBER(U153)),NOT(ISNUMBER(V153)),V153&lt;=0,T153&lt;0,T153&gt;1,'Replacement plan'!$L$43&lt;=0,'Operating costs'!$B$44&lt;0,'Operating costs'!$B$44&gt;=1,'Operating costs'!$B$47&lt;=0,'Operating costs'!$B$47&gt;1,V153*'Operating costs'!$B$47/(1-'Operating costs'!$B$44)&lt;=T153*'Operating costs'!$B$12*U153,AND('Replacement plan'!$Z$43&gt;0,OR('Replacement plan'!$AB$43&lt;&gt;"Yes",'Operating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charging'!$B$8&gt;=0))),ISNUMBER(VLOOKUP($A153,'Fleet register'!$A$7:$S$106,15,FALSE)),ISNUMBER(VLOOKUP($A153,'Fleet register'!$A$7:$S$106,16,FALSE)),ISNUMBER('Replacement plan'!$W$43),ISNUMBER('Replacement plan'!$X$43),OR(E153=120,AND(ISNUMBER(G153),G153&gt;=0)),ISNUMBER(H153),H153&gt;=0,OR(D153&lt;&gt;"EV",E153=120,AND(ISNUMBER('Operating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average",ISNUMBER(IFERROR(INDEX(Products!$P$7:$P$13,MATCH(AD153,Products!$A$7:$A$13,0)),"")))),ISNUMBER('Operating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plan'!$Y$43),ISNUMBER('Replacement plan'!$Z$43),'Replacement plan'!$Z$43&gt;=0,ISNUMBER('Replacement plan'!$AA$43),'Replacement plan'!$AA$43&gt;=0,'Replacement plan'!$AA$43=INT('Replacement plan'!$AA$43),ISNUMBER('Replacement plan'!$L$43))),'Operating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plan'!$AG$43="",'Operating costs'!$B$7,'Replacement plan'!$AG$43)),IF('Replacement plan'!$AG$43="",'Operating costs'!$B$7,'Replacement plan'!$AG$43)&gt;=0,ISNUMBER(IF('Replacement plan'!$AH$43="",'Operating costs'!$B$7,'Replacement plan'!$AH$43)),IF('Replacement plan'!$AH$43="",'Operating costs'!$B$7,'Replacement plan'!$AH$43)&gt;=0,'Operating costs'!$B$8&gt;MAX(IF('Replacement plan'!$AG$43="",'Operating costs'!$B$7,'Replacement plan'!$AG$43),IF('Replacement plan'!$AH$43="",'Operating costs'!$B$7,'Replacement plan'!$AH$43))*'Operating costs'!$B$9),IF(AND(VLOOKUP($A153,'Fleet register'!$A$7:$S$106,10,FALSE)&gt;=0,VLOOKUP($A153,'Fleet register'!$A$7:$S$106,10,FALSE)&lt;=120,VLOOKUP($A153,'Fleet register'!$A$7:$S$106,10,FALSE)=INT(VLOOKUP($A153,'Fleet register'!$A$7:$S$106,10,FALSE)),VLOOKUP($A153,'Fleet register'!$A$7:$S$106,15,FALSE)&gt;=0,VLOOKUP($A153,'Fleet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costs'!$B$67)&gt;=0,OR(D153&lt;&gt;"EV",E153=120,AND(MIN('Operating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53" s="1" t="str">
        <f>IF(C153=0,"Excluded",IF(P153&lt;&gt;"Complete",P153,IF(OR('Replacement plan'!$AD$43&lt;120-E153,AND(D153="EV",E153&lt;120,OR('Replacement plan'!$AC$43&lt;120-E153,'Replacement plan'!$I$43="No",AND(ISNUMBER(AF153),AE153&gt;AF153),AI153&gt;V153*(1-'Operating costs'!$B$46)^MAX(0,AB153-1)*(1-'Operating costs'!$B$45),AC153&gt;'Operating costs'!$B$18,AND(T153&lt;1,OR(AG153&lt;=0,AND(ISNUMBER(AH153),AG153&gt;AH153))),'Replacement plan'!$L$43&gt;INDEX(Products!$H$7:$H$13,MATCH('Replacement plan'!$B$43,Products!$A$7:$A$13,0))))),"Fails entered limits",IF(AND(D153="EV",E153&lt;120,OR(NOT(ISNUMBER(VLOOKUP($A153,'Fleet register'!$A$7:$S$106,7,FALSE))),NOT(ISNUMBER(VLOOKUP($A153,'Fleet register'!$A$7:$S$106,8,FALSE))),NOT(ISNUMBER(AF153)),'Replacement plan'!$I$43&lt;&gt;"Yes",NOT(ISNUMBER(AH153)),'Operating costs'!$B$59&lt;&gt;"Yes",'Operating costs'!$B$58&lt;&gt;"Yes")),"Unverified","Within entered limits"))))</f>
        <v>Excluded</v>
      </c>
      <c r="R153" s="1">
        <f>IF(C153=0,0,VLOOKUP($A153,'Fleet register'!$A$7:$S$106,6,FALSE))</f>
        <v>0</v>
      </c>
      <c r="S153" s="1">
        <f>IF(C153=0,0,VLOOKUP($A153,'Fleet register'!$A$7:$S$106,5,FALSE))</f>
        <v>0</v>
      </c>
      <c r="T153" s="1">
        <f>IF(D153="EV",'Energy and charging'!$B$12,0)</f>
        <v>0</v>
      </c>
      <c r="U153" s="1">
        <f>IFERROR(IF(C153=0,0,IF(D153="EV",IF('Replacement plan'!$F$43="",INDEX(Products!$E$7:$E$13,MATCH('Replacement plan'!$B$43,Products!$A$7:$A$13,0)),'Replacement plan'!$F$43)/IF('Replacement plan'!$G$43="Battery",1-'Operating costs'!$B$44,1),0)),"n.a.")</f>
        <v>0</v>
      </c>
      <c r="V153" s="1">
        <f>IFERROR(IF(C153=0,0,IF(D153="EV",IF('Replacement plan'!$E$43="",INDEX(Products!$D$7:$D$13,MATCH('Replacement plan'!$B$43,Products!$A$7:$A$13,0)),'Replacement plan'!$E$43),0)),"n.a.")</f>
        <v>0</v>
      </c>
      <c r="W153" s="1">
        <f>IF(C153=0,0,IF(AND(P153="Complete",D153="EV",E153&lt;120),IF(T153=0,0,ROUNDUP(T153*(R153-'Operating costs'!$B$41)*(S153*U153+'Operating costs'!$B$48/(1-'Operating costs'!$B$44))/(V153*'Operating costs'!$B$47/(1-'Operating costs'!$B$44)-T153*'Operating costs'!$B$12*U153),0)),0))</f>
        <v>0</v>
      </c>
      <c r="X153" s="1">
        <f>IF(C153=0,0,IF(AND(P153="Complete",D153="EV",E153&lt;120),(R153-'Operating costs'!$B$41)*(S153*U153+'Operating costs'!$B$48/(1-'Operating costs'!$B$44))+W153*'Operating costs'!$B$12*U153,0))</f>
        <v>0</v>
      </c>
      <c r="Y153" s="1">
        <f>IF(AND(C153=1,D153="EV",E153&lt;120),AI153/(1-'Operating costs'!$B$44)*(1-T153),0)</f>
        <v>0</v>
      </c>
      <c r="Z153" s="1">
        <f t="shared" si="4"/>
        <v>0</v>
      </c>
      <c r="AA153" s="1">
        <f>IF(C153=0,0,IF(P153="Complete",((S153*(R153-'Operating costs'!$B$40))+ROUNDUP(S153*(R153-'Operating costs'!$B$40)*IF('Replacement plan'!$AH$43="",'Operating costs'!$B$7,'Replacement plan'!$AH$43)/('Operating costs'!$B$8-'Operating costs'!$B$9*IF('Replacement plan'!$AH$43="",'Operating costs'!$B$7,'Replacement plan'!$AH$43)),0)*'Operating costs'!$B$9)*IF('Replacement plan'!$AH$43="",'Operating costs'!$B$7,'Replacement plan'!$AH$43),"n.a."))</f>
        <v>0</v>
      </c>
      <c r="AB153" s="1">
        <f t="shared" si="5"/>
        <v>0</v>
      </c>
      <c r="AC153" s="1">
        <f>IF(AND(C153=1,D153="EV",E153&lt;120,T153&gt;0),'Operating costs'!$B$12/'Operating costs'!$B$11*60+'Operating costs'!$B$13+'Operating costs'!$B$14+V153*'Operating costs'!$B$47/(1-'Operating costs'!$B$44)/'Replacement plan'!$L$43*60,0)</f>
        <v>0</v>
      </c>
      <c r="AD153" s="1" t="str">
        <f>'Replacement plan'!$B$43</f>
        <v>ChengLong L2EV</v>
      </c>
      <c r="AE153" s="1">
        <f>IF(C153=0,0,VLOOKUP($A153,'Fleet register'!$A$7:$S$106,8,FALSE))</f>
        <v>0</v>
      </c>
      <c r="AF153" s="1" t="str">
        <f>IF('Replacement plan'!$H$43="","n.a.",'Replacement plan'!$H$43)</f>
        <v>n.a.</v>
      </c>
      <c r="AG153" s="1">
        <f>'Replacement plan'!$J$43</f>
        <v>22</v>
      </c>
      <c r="AH153" s="1">
        <f>IFERROR(IF(D153="EV",IF('Replacement plan'!$K$43="AC",IF(ISNUMBER(INDEX(Products!$G$7:$G$13,MATCH('Replacement plan'!$B$43,Products!$A$7:$A$13,0))),INDEX(Products!$G$7:$G$13,MATCH('Replacement plan'!$B$43,Products!$A$7:$A$13,0)),"n.a."),IF(ISNUMBER(INDEX(Products!$H$7:$H$13,MATCH('Replacement plan'!$B$43,Products!$A$7:$A$13,0))),INDEX(Products!$H$7:$H$13,MATCH('Replacement plan'!$B$43,Products!$A$7:$A$13,0)),"n.a.")),0),"n.a.")</f>
        <v>0</v>
      </c>
      <c r="AI153" s="1">
        <f>IF(AND(C153=1,D153="EV",E153&lt;120),(VLOOKUP($A153,'Fleet register'!$A$7:$S$106,7,FALSE)+IF(T153&gt;0,'Operating costs'!$B$12,0))*U153*(1-'Operating costs'!$B$44)+'Operating costs'!$B$49,0)</f>
        <v>0</v>
      </c>
      <c r="AJ153" s="1">
        <f>IF(D153="EV",'Energy and charging'!$B$50,0)</f>
        <v>0</v>
      </c>
      <c r="AK153" s="17">
        <f>EDATE('Operating costs'!$B$63,E153)</f>
        <v>46298</v>
      </c>
      <c r="AL153" s="1">
        <f>IFERROR(IF(D153="EV",INDEX(Products!$B$7:$B$13,MATCH('Replacement plan'!$B$43,Products!$A$7:$A$13,0)),0),"n.a.")</f>
        <v>0</v>
      </c>
      <c r="AM153" s="1" t="str">
        <f>'Replacement plan'!$K$43</f>
        <v>DC</v>
      </c>
      <c r="AN153" s="1" t="str">
        <f>'Replacement plan'!$AE$43</f>
        <v>Assumed</v>
      </c>
      <c r="AO153" s="47">
        <f>IF(AND(C153=1,D153="EV",E153&lt;120),(R153-'Operating costs'!$B$41)*S153+W153*'Operating costs'!$B$12,0)</f>
        <v>0</v>
      </c>
      <c r="AP153" s="41">
        <f>IF(AND(C153=1,D153="EV",E153&lt;120),IF('Operating costs'!$B$68="Hong Seh 200k average",AO153*IFERROR(INDEX(Products!$P$7:$P$13,MATCH(AD153,Products!$A$7:$A$13,0)),"n.a."),'Operating costs'!$B$26),0)</f>
        <v>0</v>
      </c>
      <c r="AQ153" s="40" t="str">
        <f>IF(D153="EV",'Operating costs'!$B$68,"Not applicable")</f>
        <v>Not applicable</v>
      </c>
    </row>
    <row r="154" spans="1:43" ht="24" customHeight="1">
      <c r="A154" s="1" t="str">
        <f>'Replacement plan'!A43</f>
        <v>T037</v>
      </c>
      <c r="B154" s="1">
        <v>3</v>
      </c>
      <c r="C154" s="1">
        <f>IF(COUNTIFS('Fleet register'!$A$7:$A$106,$A154)=1,VLOOKUP($A154,'Fleet register'!$A$7:$S$106,2,FALSE),0)</f>
        <v>0</v>
      </c>
      <c r="D154" s="1" t="str">
        <f>IF('Replacement plan'!$R$43="EV","EV","ICE")</f>
        <v>ICE</v>
      </c>
      <c r="E154" s="1">
        <f>IF(C154=0,0,IF('Replacement plan'!$S$43="",IF('Replacement plan'!$R$43="Keep ICE",IF('Replacement plan'!$M$43="",VLOOKUP($A154,'Fleet register'!$A$7:$S$106,10,FALSE),'Replacement plan'!$M$43),0),'Replacement plan'!$S$43))</f>
        <v>0</v>
      </c>
      <c r="F154" s="16">
        <f>IF(C154=0,0,VLOOKUP($A154,'Fleet register'!$A$7:$S$106,11,FALSE))</f>
        <v>0</v>
      </c>
      <c r="G154" s="16">
        <f>IFERROR(IF(C154=0,0,IF(E154=120,0,IF(D154="ICE",'Replacement plan'!$C$43,IF('Replacement plan'!$D$43="",INDEX(Products!$I$7:$I$13,MATCH('Replacement plan'!$B$43,Products!$A$7:$A$13,0))+'Operating costs'!$B$57,'Replacement plan'!$D$43))*(1+'Operating costs'!$B$50)^(E154/12))),"n.a.")</f>
        <v>0</v>
      </c>
      <c r="H154" s="16">
        <f>IFERROR(IF(C154=0,0,IF('Replacement plan'!$V$43&lt;&gt;"",'Replacement plan'!$V$43,IF(E154=0,F154,VLOOKUP($A154,'Fleet register'!$A$7:$S$106,12,FALSE)+VLOOKUP($A154,'Fleet register'!$A$7:$S$106,13,FALSE)*MAX(0,VLOOKUP($A154,'Fleet register'!$A$7:$S$106,10,FALSE)-E154)/VLOOKUP($A154,'Fleet register'!$A$7:$S$106,14,FALSE)))),"n.a.")</f>
        <v>0</v>
      </c>
      <c r="I154" s="16">
        <f>IF(C154=0,0,IF(E154=120,0,'Replacement plan'!$T$43))</f>
        <v>0</v>
      </c>
      <c r="J154" s="16">
        <f>IF(C154=0,0,IF(P154="Complete",((S154*(R154-'Operating costs'!$B$39))+ROUNDUP(S154*(R154-'Operating costs'!$B$39)*IF('Replacement plan'!$AG$43="",'Operating costs'!$B$7,'Replacement plan'!$AG$43)/('Operating costs'!$B$8-'Operating costs'!$B$9*IF('Replacement plan'!$AG$43="",'Operating costs'!$B$7,'Replacement plan'!$AG$43)),0)*'Operating costs'!$B$9)*IF('Replacement plan'!$AG$43="",'Operating costs'!$B$7,'Replacement plan'!$AG$43)*('Energy and charging'!$C$9*'Energy and charging'!$C$7+(1-'Energy and charging'!$C$9)*'Energy and charging'!$C$8)*'Operating costs'!$B$23,"n.a."))</f>
        <v>0</v>
      </c>
      <c r="K154" s="16">
        <f>IF(C154=0,0,IF(P154="Complete",SUM('Operating costs'!$B$24,'Operating costs'!$B$27,'Operating costs'!$B$29,'Operating costs'!$B$31,'Operating costs'!$B$33,'Operating costs'!$B$34,'Operating costs'!$B$37,'Replacement plan'!$W$43)+'Operating costs'!$B$39*'Operating costs'!$B$42+ROUNDUP(S154*(R154-'Operating costs'!$B$39)*IF('Replacement plan'!$AG$43="",'Operating costs'!$B$7,'Replacement plan'!$AG$43)/('Operating costs'!$B$8-'Operating costs'!$B$9*IF('Replacement plan'!$AG$43="",'Operating costs'!$B$7,'Replacement plan'!$AG$43)),0)*('Operating costs'!$B$9/'Operating costs'!$B$11+'Operating costs'!$B$10/60)*'Operating costs'!$B$19*'Operating costs'!$B$21,"n.a."))</f>
        <v>0</v>
      </c>
      <c r="L154" s="16">
        <f>IF(C154=0,0,IF(P154="Complete",IF(D154="EV",X154*((1-T154)*'Energy and charging'!$C$10+T154*'Energy and charging'!$C$11)*'Operating costs'!$B$22,AA154*('Energy and charging'!$C$9*'Energy and charging'!$C$7+(1-'Energy and charging'!$C$9)*'Energy and charging'!$C$8)*'Operating costs'!$B$23),"n.a."))</f>
        <v>0</v>
      </c>
      <c r="M154" s="37">
        <f>IF(C154=0,0,IF(P154="Complete",IF(D154="ICE",SUM('Operating costs'!$B$25,'Operating costs'!$B$27,'Operating costs'!$B$29,'Operating costs'!$B$31,'Operating costs'!$B$33,'Operating costs'!$B$35,'Operating costs'!$B$37,'Replacement plan'!$X$43)+'Operating costs'!$B$40*'Operating costs'!$B$42+ROUNDUP(S154*(R154-'Operating costs'!$B$40)*IF('Replacement plan'!$AH$43="",'Operating costs'!$B$7,'Replacement plan'!$AH$43)/('Operating costs'!$B$8-'Operating costs'!$B$9*IF('Replacement plan'!$AH$43="",'Operating costs'!$B$7,'Replacement plan'!$AH$43)),0)*('Operating costs'!$B$9/'Operating costs'!$B$11+'Operating costs'!$B$10/60)*'Operating costs'!$B$19*'Operating costs'!$B$21,SUM(AP154,'Operating costs'!$B$28,'Operating costs'!$B$30,'Operating costs'!$B$32,'Operating costs'!$B$33,'Operating costs'!$B$36,'Operating costs'!$B$38,'Replacement plan'!$Y$43)+'Operating costs'!$B$41*'Operating costs'!$B$43+W154*'Operating costs'!$B$15+(T154*X154/'Replacement plan'!$L$43+W154*('Operating costs'!$B$12/'Operating costs'!$B$11+('Operating costs'!$B$13+'Operating costs'!$B$14)/60)+(R154-'Operating costs'!$B$41)*(IF(T154&lt;1,'Operating costs'!$B$16,0)+'Operating costs'!$B$17)/60)*'Operating costs'!$B$19*'Operating costs'!$B$20),"n.a."))</f>
        <v>0</v>
      </c>
      <c r="N154" s="16">
        <f>IF(AND(C154=1,D154="EV",E154&lt;120,E154+'Replacement plan'!$AA$43&lt;=120),'Replacement plan'!$Z$43,0)</f>
        <v>0</v>
      </c>
      <c r="O154" s="1">
        <f>E154+'Replacement plan'!$AA$43</f>
        <v>0</v>
      </c>
      <c r="P154" s="35" t="str">
        <f>IFERROR(IF(C154=0,"Excluded",IF(OR(COUNTIFS('Fleet register'!$A$7:$A$106,A154)&lt;&gt;1,COUNTIFS('Replacement plan'!$A$7:$A$106,A154)&lt;&gt;1),"Duplicate/missing ID",IF(NOT(AND(ISNUMBER(VLOOKUP($A154,'Fleet register'!$A$7:$S$106,5,FALSE)),ISNUMBER(VLOOKUP($A154,'Fleet register'!$A$7:$S$106,6,FALSE)),ISNUMBER(VLOOKUP($A154,'Fleet register'!$A$7:$S$106,10,FALSE)),ISNUMBER(VLOOKUP($A154,'Fleet register'!$A$7:$S$106,11,FALSE)),ISNUMBER(VLOOKUP($A154,'Fleet register'!$A$7:$S$106,12,FALSE)),ISNUMBER(VLOOKUP($A154,'Fleet register'!$A$7:$S$106,13,FALSE)),ISNUMBER(VLOOKUP($A154,'Fleet register'!$A$7:$S$106,14,FALSE)),VLOOKUP($A154,'Fleet register'!$A$7:$S$106,14,FALSE)&gt;0,ISNUMBER('Replacement plan'!$C$43),OR(E154=120,ISNUMBER('Replacement plan'!$T$43)),ISNUMBER(E154))),"Missing vehicle input",IF(OR(E154&lt;0,E154&gt;VLOOKUP($A154,'Fleet register'!$A$7:$S$106,10,FALSE),E154&gt;120,E154&lt;&gt;INT(E154),VLOOKUP($A154,'Fleet register'!$A$7:$S$106,6,FALSE)&lt;=0,VLOOKUP($A154,'Fleet register'!$A$7:$S$106,6,FALSE)&gt;366,VLOOKUP($A154,'Fleet register'!$A$7:$S$106,5,FALSE)&lt;0,VLOOKUP($A154,'Fleet register'!$A$7:$S$106,11,FALSE)&lt;0,I154&lt;0,'Operating costs'!$B$8&lt;='Operating costs'!$B$7*'Operating costs'!$B$9,'Operating costs'!$B$11&lt;=0,'Operating costs'!$B$39&gt;R154,'Operating costs'!$B$40&gt;R154,'Operating costs'!$B$41&gt;R154,NOT(OR('Replacement plan'!$R$43="Keep ICE",'Replacement plan'!$R$43="New ICE",'Replacement plan'!$R$43="EV"))),"Invalid vehicle input",IF(AND(D154="EV",E154&lt;120,OR(NOT(ISNUMBER(U154)),NOT(ISNUMBER(V154)),V154&lt;=0,T154&lt;0,T154&gt;1,'Replacement plan'!$L$43&lt;=0,'Operating costs'!$B$44&lt;0,'Operating costs'!$B$44&gt;=1,'Operating costs'!$B$47&lt;=0,'Operating costs'!$B$47&gt;1,V154*'Operating costs'!$B$47/(1-'Operating costs'!$B$44)&lt;=T154*'Operating costs'!$B$12*U154,AND('Replacement plan'!$Z$43&gt;0,OR('Replacement plan'!$AB$43&lt;&gt;"Yes",'Operating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charging'!$C$8&gt;=0))),ISNUMBER(VLOOKUP($A154,'Fleet register'!$A$7:$S$106,15,FALSE)),ISNUMBER(VLOOKUP($A154,'Fleet register'!$A$7:$S$106,16,FALSE)),ISNUMBER('Replacement plan'!$W$43),ISNUMBER('Replacement plan'!$X$43),OR(E154=120,AND(ISNUMBER(G154),G154&gt;=0)),ISNUMBER(H154),H154&gt;=0,OR(D154&lt;&gt;"EV",E154=120,AND(ISNUMBER('Operating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average",ISNUMBER(IFERROR(INDEX(Products!$P$7:$P$13,MATCH(AD154,Products!$A$7:$A$13,0)),"")))),ISNUMBER('Operating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plan'!$Y$43),ISNUMBER('Replacement plan'!$Z$43),'Replacement plan'!$Z$43&gt;=0,ISNUMBER('Replacement plan'!$AA$43),'Replacement plan'!$AA$43&gt;=0,'Replacement plan'!$AA$43=INT('Replacement plan'!$AA$43),ISNUMBER('Replacement plan'!$L$43))),'Operating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plan'!$AG$43="",'Operating costs'!$B$7,'Replacement plan'!$AG$43)),IF('Replacement plan'!$AG$43="",'Operating costs'!$B$7,'Replacement plan'!$AG$43)&gt;=0,ISNUMBER(IF('Replacement plan'!$AH$43="",'Operating costs'!$B$7,'Replacement plan'!$AH$43)),IF('Replacement plan'!$AH$43="",'Operating costs'!$B$7,'Replacement plan'!$AH$43)&gt;=0,'Operating costs'!$B$8&gt;MAX(IF('Replacement plan'!$AG$43="",'Operating costs'!$B$7,'Replacement plan'!$AG$43),IF('Replacement plan'!$AH$43="",'Operating costs'!$B$7,'Replacement plan'!$AH$43))*'Operating costs'!$B$9),IF(AND(VLOOKUP($A154,'Fleet register'!$A$7:$S$106,10,FALSE)&gt;=0,VLOOKUP($A154,'Fleet register'!$A$7:$S$106,10,FALSE)&lt;=120,VLOOKUP($A154,'Fleet register'!$A$7:$S$106,10,FALSE)=INT(VLOOKUP($A154,'Fleet register'!$A$7:$S$106,10,FALSE)),VLOOKUP($A154,'Fleet register'!$A$7:$S$106,15,FALSE)&gt;=0,VLOOKUP($A154,'Fleet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costs'!$B$67)&gt;=0,OR(D154&lt;&gt;"EV",E154=120,AND(MIN('Operating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54" s="1" t="str">
        <f>IF(C154=0,"Excluded",IF(P154&lt;&gt;"Complete",P154,IF(OR('Replacement plan'!$AD$43&lt;120-E154,AND(D154="EV",E154&lt;120,OR('Replacement plan'!$AC$43&lt;120-E154,'Replacement plan'!$I$43="No",AND(ISNUMBER(AF154),AE154&gt;AF154),AI154&gt;V154*(1-'Operating costs'!$B$46)^MAX(0,AB154-1)*(1-'Operating costs'!$B$45),AC154&gt;'Operating costs'!$B$18,AND(T154&lt;1,OR(AG154&lt;=0,AND(ISNUMBER(AH154),AG154&gt;AH154))),'Replacement plan'!$L$43&gt;INDEX(Products!$H$7:$H$13,MATCH('Replacement plan'!$B$43,Products!$A$7:$A$13,0))))),"Fails entered limits",IF(AND(D154="EV",E154&lt;120,OR(NOT(ISNUMBER(VLOOKUP($A154,'Fleet register'!$A$7:$S$106,7,FALSE))),NOT(ISNUMBER(VLOOKUP($A154,'Fleet register'!$A$7:$S$106,8,FALSE))),NOT(ISNUMBER(AF154)),'Replacement plan'!$I$43&lt;&gt;"Yes",NOT(ISNUMBER(AH154)),'Operating costs'!$B$59&lt;&gt;"Yes",'Operating costs'!$B$58&lt;&gt;"Yes")),"Unverified","Within entered limits"))))</f>
        <v>Excluded</v>
      </c>
      <c r="R154" s="1">
        <f>IF(C154=0,0,VLOOKUP($A154,'Fleet register'!$A$7:$S$106,6,FALSE))</f>
        <v>0</v>
      </c>
      <c r="S154" s="1">
        <f>IF(C154=0,0,VLOOKUP($A154,'Fleet register'!$A$7:$S$106,5,FALSE))</f>
        <v>0</v>
      </c>
      <c r="T154" s="1">
        <f>IF(D154="EV",'Energy and charging'!$C$12,0)</f>
        <v>0</v>
      </c>
      <c r="U154" s="1">
        <f>IFERROR(IF(C154=0,0,IF(D154="EV",IF('Replacement plan'!$F$43="",INDEX(Products!$E$7:$E$13,MATCH('Replacement plan'!$B$43,Products!$A$7:$A$13,0)),'Replacement plan'!$F$43)/IF('Replacement plan'!$G$43="Battery",1-'Operating costs'!$B$44,1),0)),"n.a.")</f>
        <v>0</v>
      </c>
      <c r="V154" s="1">
        <f>IFERROR(IF(C154=0,0,IF(D154="EV",IF('Replacement plan'!$E$43="",INDEX(Products!$D$7:$D$13,MATCH('Replacement plan'!$B$43,Products!$A$7:$A$13,0)),'Replacement plan'!$E$43),0)),"n.a.")</f>
        <v>0</v>
      </c>
      <c r="W154" s="1">
        <f>IF(C154=0,0,IF(AND(P154="Complete",D154="EV",E154&lt;120),IF(T154=0,0,ROUNDUP(T154*(R154-'Operating costs'!$B$41)*(S154*U154+'Operating costs'!$B$48/(1-'Operating costs'!$B$44))/(V154*'Operating costs'!$B$47/(1-'Operating costs'!$B$44)-T154*'Operating costs'!$B$12*U154),0)),0))</f>
        <v>0</v>
      </c>
      <c r="X154" s="1">
        <f>IF(C154=0,0,IF(AND(P154="Complete",D154="EV",E154&lt;120),(R154-'Operating costs'!$B$41)*(S154*U154+'Operating costs'!$B$48/(1-'Operating costs'!$B$44))+W154*'Operating costs'!$B$12*U154,0))</f>
        <v>0</v>
      </c>
      <c r="Y154" s="1">
        <f>IF(AND(C154=1,D154="EV",E154&lt;120),AI154/(1-'Operating costs'!$B$44)*(1-T154),0)</f>
        <v>0</v>
      </c>
      <c r="Z154" s="1">
        <f t="shared" si="4"/>
        <v>0</v>
      </c>
      <c r="AA154" s="1">
        <f>IF(C154=0,0,IF(P154="Complete",((S154*(R154-'Operating costs'!$B$40))+ROUNDUP(S154*(R154-'Operating costs'!$B$40)*IF('Replacement plan'!$AH$43="",'Operating costs'!$B$7,'Replacement plan'!$AH$43)/('Operating costs'!$B$8-'Operating costs'!$B$9*IF('Replacement plan'!$AH$43="",'Operating costs'!$B$7,'Replacement plan'!$AH$43)),0)*'Operating costs'!$B$9)*IF('Replacement plan'!$AH$43="",'Operating costs'!$B$7,'Replacement plan'!$AH$43),"n.a."))</f>
        <v>0</v>
      </c>
      <c r="AB154" s="1">
        <f t="shared" si="5"/>
        <v>0</v>
      </c>
      <c r="AC154" s="1">
        <f>IF(AND(C154=1,D154="EV",E154&lt;120,T154&gt;0),'Operating costs'!$B$12/'Operating costs'!$B$11*60+'Operating costs'!$B$13+'Operating costs'!$B$14+V154*'Operating costs'!$B$47/(1-'Operating costs'!$B$44)/'Replacement plan'!$L$43*60,0)</f>
        <v>0</v>
      </c>
      <c r="AD154" s="1" t="str">
        <f>'Replacement plan'!$B$43</f>
        <v>ChengLong L2EV</v>
      </c>
      <c r="AE154" s="1">
        <f>IF(C154=0,0,VLOOKUP($A154,'Fleet register'!$A$7:$S$106,8,FALSE))</f>
        <v>0</v>
      </c>
      <c r="AF154" s="1" t="str">
        <f>IF('Replacement plan'!$H$43="","n.a.",'Replacement plan'!$H$43)</f>
        <v>n.a.</v>
      </c>
      <c r="AG154" s="1">
        <f>'Replacement plan'!$J$43</f>
        <v>22</v>
      </c>
      <c r="AH154" s="1">
        <f>IFERROR(IF(D154="EV",IF('Replacement plan'!$K$43="AC",IF(ISNUMBER(INDEX(Products!$G$7:$G$13,MATCH('Replacement plan'!$B$43,Products!$A$7:$A$13,0))),INDEX(Products!$G$7:$G$13,MATCH('Replacement plan'!$B$43,Products!$A$7:$A$13,0)),"n.a."),IF(ISNUMBER(INDEX(Products!$H$7:$H$13,MATCH('Replacement plan'!$B$43,Products!$A$7:$A$13,0))),INDEX(Products!$H$7:$H$13,MATCH('Replacement plan'!$B$43,Products!$A$7:$A$13,0)),"n.a.")),0),"n.a.")</f>
        <v>0</v>
      </c>
      <c r="AI154" s="1">
        <f>IF(AND(C154=1,D154="EV",E154&lt;120),(VLOOKUP($A154,'Fleet register'!$A$7:$S$106,7,FALSE)+IF(T154&gt;0,'Operating costs'!$B$12,0))*U154*(1-'Operating costs'!$B$44)+'Operating costs'!$B$49,0)</f>
        <v>0</v>
      </c>
      <c r="AJ154" s="1">
        <f>IF(D154="EV",'Energy and charging'!$C$50,0)</f>
        <v>0</v>
      </c>
      <c r="AK154" s="17">
        <f>EDATE('Operating costs'!$B$63,E154)</f>
        <v>46298</v>
      </c>
      <c r="AL154" s="1">
        <f>IFERROR(IF(D154="EV",INDEX(Products!$B$7:$B$13,MATCH('Replacement plan'!$B$43,Products!$A$7:$A$13,0)),0),"n.a.")</f>
        <v>0</v>
      </c>
      <c r="AM154" s="1" t="str">
        <f>'Replacement plan'!$K$43</f>
        <v>DC</v>
      </c>
      <c r="AN154" s="1" t="str">
        <f>'Replacement plan'!$AE$43</f>
        <v>Assumed</v>
      </c>
      <c r="AO154" s="47">
        <f>IF(AND(C154=1,D154="EV",E154&lt;120),(R154-'Operating costs'!$B$41)*S154+W154*'Operating costs'!$B$12,0)</f>
        <v>0</v>
      </c>
      <c r="AP154" s="41">
        <f>IF(AND(C154=1,D154="EV",E154&lt;120),IF('Operating costs'!$B$68="Hong Seh 200k average",AO154*IFERROR(INDEX(Products!$P$7:$P$13,MATCH(AD154,Products!$A$7:$A$13,0)),"n.a."),'Operating costs'!$B$26),0)</f>
        <v>0</v>
      </c>
      <c r="AQ154" s="40" t="str">
        <f>IF(D154="EV",'Operating costs'!$B$68,"Not applicable")</f>
        <v>Not applicable</v>
      </c>
    </row>
    <row r="155" spans="1:43" ht="24" customHeight="1">
      <c r="A155" s="1" t="str">
        <f>'Replacement plan'!A44</f>
        <v>T038</v>
      </c>
      <c r="B155" s="1">
        <v>0</v>
      </c>
      <c r="C155" s="1">
        <f>IF(COUNTIFS('Fleet register'!$A$7:$A$106,$A155)=1,VLOOKUP($A155,'Fleet register'!$A$7:$S$106,2,FALSE),0)</f>
        <v>0</v>
      </c>
      <c r="D155" s="1" t="str">
        <f>IF("Keep ICE"="EV","EV","ICE")</f>
        <v>ICE</v>
      </c>
      <c r="E155" s="1">
        <f>IF(C155=0,0,IF('Replacement plan'!$M$44="",VLOOKUP($A155,'Fleet register'!$A$7:$S$106,10,FALSE),'Replacement plan'!$M$44))</f>
        <v>0</v>
      </c>
      <c r="F155" s="16">
        <f>IF(C155=0,0,VLOOKUP($A155,'Fleet register'!$A$7:$S$106,11,FALSE))</f>
        <v>0</v>
      </c>
      <c r="G155" s="16">
        <f>IFERROR(IF(C155=0,0,IF(E155=120,0,IF(D155="ICE",'Replacement plan'!$C$44,IF('Replacement plan'!$D$44="",INDEX(Products!$I$7:$I$13,MATCH('Replacement plan'!$B$44,Products!$A$7:$A$13,0))+'Operating costs'!$B$57,'Replacement plan'!$D$44))*(1+'Operating costs'!$B$50)^(E155/12))),"n.a.")</f>
        <v>0</v>
      </c>
      <c r="H155" s="16">
        <f>IFERROR(IF(C155=0,0,IF(E155=0,F155,VLOOKUP($A155,'Fleet register'!$A$7:$S$106,12,FALSE)+VLOOKUP($A155,'Fleet register'!$A$7:$S$106,13,FALSE)*MAX(0,VLOOKUP($A155,'Fleet register'!$A$7:$S$106,10,FALSE)-E155)/VLOOKUP($A155,'Fleet register'!$A$7:$S$106,14,FALSE))),"n.a.")</f>
        <v>0</v>
      </c>
      <c r="I155" s="16">
        <f>IF(C155=0,0,IF(E155=120,0,'Replacement plan'!$N$44))</f>
        <v>0</v>
      </c>
      <c r="J155" s="16">
        <f>IF(C155=0,0,IF(P155="Complete",((S155*(R155-'Operating costs'!$B$39))+ROUNDUP(S155*(R155-'Operating costs'!$B$39)*IF('Replacement plan'!$AG$44="",'Operating costs'!$B$7,'Replacement plan'!$AG$44)/('Operating costs'!$B$8-'Operating costs'!$B$9*IF('Replacement plan'!$AG$44="",'Operating costs'!$B$7,'Replacement plan'!$AG$44)),0)*'Operating costs'!$B$9)*IF('Replacement plan'!$AG$44="",'Operating costs'!$B$7,'Replacement plan'!$AG$44)*('Energy and charging'!$B$9*'Energy and charging'!$B$7+(1-'Energy and charging'!$B$9)*'Energy and charging'!$B$8)*'Operating costs'!$B$23,"n.a."))</f>
        <v>0</v>
      </c>
      <c r="K155" s="16">
        <f>IF(C155=0,0,IF(P155="Complete",SUM('Operating costs'!$B$24,'Operating costs'!$B$27,'Operating costs'!$B$29,'Operating costs'!$B$31,'Operating costs'!$B$33,'Operating costs'!$B$34,'Operating costs'!$B$37,'Replacement plan'!$W$44)+'Operating costs'!$B$39*'Operating costs'!$B$42+ROUNDUP(S155*(R155-'Operating costs'!$B$39)*IF('Replacement plan'!$AG$44="",'Operating costs'!$B$7,'Replacement plan'!$AG$44)/('Operating costs'!$B$8-'Operating costs'!$B$9*IF('Replacement plan'!$AG$44="",'Operating costs'!$B$7,'Replacement plan'!$AG$44)),0)*('Operating costs'!$B$9/'Operating costs'!$B$11+'Operating costs'!$B$10/60)*'Operating costs'!$B$19*'Operating costs'!$B$21,"n.a."))</f>
        <v>0</v>
      </c>
      <c r="L155" s="16">
        <f>IF(C155=0,0,IF(P155="Complete",IF(D155="EV",X155*((1-T155)*'Energy and charging'!$B$10+T155*'Energy and charging'!$B$11)*'Operating costs'!$B$22,AA155*('Energy and charging'!$B$9*'Energy and charging'!$B$7+(1-'Energy and charging'!$B$9)*'Energy and charging'!$B$8)*'Operating costs'!$B$23),"n.a."))</f>
        <v>0</v>
      </c>
      <c r="M155" s="37">
        <f>IF(C155=0,0,IF(P155="Complete",IF(D155="ICE",SUM('Operating costs'!$B$25,'Operating costs'!$B$27,'Operating costs'!$B$29,'Operating costs'!$B$31,'Operating costs'!$B$33,'Operating costs'!$B$35,'Operating costs'!$B$37,'Replacement plan'!$X$44)+'Operating costs'!$B$40*'Operating costs'!$B$42+ROUNDUP(S155*(R155-'Operating costs'!$B$40)*IF('Replacement plan'!$AH$44="",'Operating costs'!$B$7,'Replacement plan'!$AH$44)/('Operating costs'!$B$8-'Operating costs'!$B$9*IF('Replacement plan'!$AH$44="",'Operating costs'!$B$7,'Replacement plan'!$AH$44)),0)*('Operating costs'!$B$9/'Operating costs'!$B$11+'Operating costs'!$B$10/60)*'Operating costs'!$B$19*'Operating costs'!$B$21,SUM(AP155,'Operating costs'!$B$28,'Operating costs'!$B$30,'Operating costs'!$B$32,'Operating costs'!$B$33,'Operating costs'!$B$36,'Operating costs'!$B$38,'Replacement plan'!$Y$44)+'Operating costs'!$B$41*'Operating costs'!$B$43+W155*'Operating costs'!$B$15+(T155*X155/'Replacement plan'!$L$44+W155*('Operating costs'!$B$12/'Operating costs'!$B$11+('Operating costs'!$B$13+'Operating costs'!$B$14)/60)+(R155-'Operating costs'!$B$41)*(IF(T155&lt;1,'Operating costs'!$B$16,0)+'Operating costs'!$B$17)/60)*'Operating costs'!$B$19*'Operating costs'!$B$20),"n.a."))</f>
        <v>0</v>
      </c>
      <c r="N155" s="16">
        <f>IF(AND(C155=1,D155="EV",E155&lt;120,E155+'Replacement plan'!$AA$44&lt;=120),'Replacement plan'!$Z$44,0)</f>
        <v>0</v>
      </c>
      <c r="O155" s="1">
        <f>E155+'Replacement plan'!$AA$44</f>
        <v>0</v>
      </c>
      <c r="P155" s="35" t="str">
        <f>IFERROR(IF(C155=0,"Excluded",IF(OR(COUNTIFS('Fleet register'!$A$7:$A$106,A155)&lt;&gt;1,COUNTIFS('Replacement plan'!$A$7:$A$106,A155)&lt;&gt;1),"Duplicate/missing ID",IF(NOT(AND(ISNUMBER(VLOOKUP($A155,'Fleet register'!$A$7:$S$106,5,FALSE)),ISNUMBER(VLOOKUP($A155,'Fleet register'!$A$7:$S$106,6,FALSE)),ISNUMBER(VLOOKUP($A155,'Fleet register'!$A$7:$S$106,10,FALSE)),ISNUMBER(VLOOKUP($A155,'Fleet register'!$A$7:$S$106,11,FALSE)),ISNUMBER(VLOOKUP($A155,'Fleet register'!$A$7:$S$106,12,FALSE)),ISNUMBER(VLOOKUP($A155,'Fleet register'!$A$7:$S$106,13,FALSE)),ISNUMBER(VLOOKUP($A155,'Fleet register'!$A$7:$S$106,14,FALSE)),VLOOKUP($A155,'Fleet register'!$A$7:$S$106,14,FALSE)&gt;0,ISNUMBER('Replacement plan'!$C$44),OR(E155=120,ISNUMBER('Replacement plan'!$N$44)),ISNUMBER(E155))),"Missing vehicle input",IF(OR(E155&lt;0,E155&gt;VLOOKUP($A155,'Fleet register'!$A$7:$S$106,10,FALSE),E155&gt;120,E155&lt;&gt;INT(E155),VLOOKUP($A155,'Fleet register'!$A$7:$S$106,6,FALSE)&lt;=0,VLOOKUP($A155,'Fleet register'!$A$7:$S$106,6,FALSE)&gt;366,VLOOKUP($A155,'Fleet register'!$A$7:$S$106,5,FALSE)&lt;0,VLOOKUP($A155,'Fleet register'!$A$7:$S$106,11,FALSE)&lt;0,I155&lt;0,'Operating costs'!$B$8&lt;='Operating costs'!$B$7*'Operating costs'!$B$9,'Operating costs'!$B$11&lt;=0,'Operating costs'!$B$39&gt;R155,'Operating costs'!$B$40&gt;R155,'Operating costs'!$B$41&gt;R155,NOT(OR("Keep ICE"="Keep ICE","Keep ICE"="New ICE","Keep ICE"="EV"))),"Invalid vehicle input",IF(AND(D155="EV",E155&lt;120,OR(NOT(ISNUMBER(U155)),NOT(ISNUMBER(V155)),V155&lt;=0,T155&lt;0,T155&gt;1,'Replacement plan'!$L$44&lt;=0,'Operating costs'!$B$44&lt;0,'Operating costs'!$B$44&gt;=1,'Operating costs'!$B$47&lt;=0,'Operating costs'!$B$47&gt;1,V155*'Operating costs'!$B$47/(1-'Operating costs'!$B$44)&lt;=T155*'Operating costs'!$B$12*U155,AND('Replacement plan'!$Z$44&gt;0,OR('Replacement plan'!$AB$44&lt;&gt;"Yes",'Operating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charging'!$B$8&gt;=0))),ISNUMBER(VLOOKUP($A155,'Fleet register'!$A$7:$S$106,15,FALSE)),ISNUMBER(VLOOKUP($A155,'Fleet register'!$A$7:$S$106,16,FALSE)),ISNUMBER('Replacement plan'!$W$44),ISNUMBER('Replacement plan'!$X$44),OR(E155=120,AND(ISNUMBER(G155),G155&gt;=0)),ISNUMBER(H155),H155&gt;=0,OR(D155&lt;&gt;"EV",E155=120,AND(ISNUMBER('Operating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average",ISNUMBER(IFERROR(INDEX(Products!$P$7:$P$13,MATCH(AD155,Products!$A$7:$A$13,0)),"")))),ISNUMBER('Operating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plan'!$Y$44),ISNUMBER('Replacement plan'!$Z$44),'Replacement plan'!$Z$44&gt;=0,ISNUMBER('Replacement plan'!$AA$44),'Replacement plan'!$AA$44&gt;=0,'Replacement plan'!$AA$44=INT('Replacement plan'!$AA$44),ISNUMBER('Replacement plan'!$L$44))),'Operating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plan'!$AG$44="",'Operating costs'!$B$7,'Replacement plan'!$AG$44)),IF('Replacement plan'!$AG$44="",'Operating costs'!$B$7,'Replacement plan'!$AG$44)&gt;=0,ISNUMBER(IF('Replacement plan'!$AH$44="",'Operating costs'!$B$7,'Replacement plan'!$AH$44)),IF('Replacement plan'!$AH$44="",'Operating costs'!$B$7,'Replacement plan'!$AH$44)&gt;=0,'Operating costs'!$B$8&gt;MAX(IF('Replacement plan'!$AG$44="",'Operating costs'!$B$7,'Replacement plan'!$AG$44),IF('Replacement plan'!$AH$44="",'Operating costs'!$B$7,'Replacement plan'!$AH$44))*'Operating costs'!$B$9),IF(AND(VLOOKUP($A155,'Fleet register'!$A$7:$S$106,10,FALSE)&gt;=0,VLOOKUP($A155,'Fleet register'!$A$7:$S$106,10,FALSE)&lt;=120,VLOOKUP($A155,'Fleet register'!$A$7:$S$106,10,FALSE)=INT(VLOOKUP($A155,'Fleet register'!$A$7:$S$106,10,FALSE)),VLOOKUP($A155,'Fleet register'!$A$7:$S$106,15,FALSE)&gt;=0,VLOOKUP($A155,'Fleet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costs'!$B$67)&gt;=0,OR(D155&lt;&gt;"EV",E155=120,AND(MIN('Operating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55" s="1" t="str">
        <f>IF(C155=0,"Excluded",IF(P155&lt;&gt;"Complete",P155,IF(OR('Replacement plan'!$AD$44&lt;120-E155,AND(D155="EV",E155&lt;120,OR('Replacement plan'!$AC$44&lt;120-E155,'Replacement plan'!$I$44="No",AND(ISNUMBER(AF155),AE155&gt;AF155),AI155&gt;V155*(1-'Operating costs'!$B$46)^MAX(0,AB155-1)*(1-'Operating costs'!$B$45),AC155&gt;'Operating costs'!$B$18,AND(T155&lt;1,OR(AG155&lt;=0,AND(ISNUMBER(AH155),AG155&gt;AH155))),'Replacement plan'!$L$44&gt;INDEX(Products!$H$7:$H$13,MATCH('Replacement plan'!$B$44,Products!$A$7:$A$13,0))))),"Fails entered limits",IF(AND(D155="EV",E155&lt;120,OR(NOT(ISNUMBER(VLOOKUP($A155,'Fleet register'!$A$7:$S$106,7,FALSE))),NOT(ISNUMBER(VLOOKUP($A155,'Fleet register'!$A$7:$S$106,8,FALSE))),NOT(ISNUMBER(AF155)),'Replacement plan'!$I$44&lt;&gt;"Yes",NOT(ISNUMBER(AH155)),'Operating costs'!$B$59&lt;&gt;"Yes",'Operating costs'!$B$58&lt;&gt;"Yes")),"Unverified","Within entered limits"))))</f>
        <v>Excluded</v>
      </c>
      <c r="R155" s="1">
        <f>IF(C155=0,0,VLOOKUP($A155,'Fleet register'!$A$7:$S$106,6,FALSE))</f>
        <v>0</v>
      </c>
      <c r="S155" s="1">
        <f>IF(C155=0,0,VLOOKUP($A155,'Fleet register'!$A$7:$S$106,5,FALSE))</f>
        <v>0</v>
      </c>
      <c r="T155" s="1">
        <f>IF(D155="EV",'Energy and charging'!$B$12,0)</f>
        <v>0</v>
      </c>
      <c r="U155" s="1">
        <f>IFERROR(IF(C155=0,0,IF(D155="EV",IF('Replacement plan'!$F$44="",INDEX(Products!$E$7:$E$13,MATCH('Replacement plan'!$B$44,Products!$A$7:$A$13,0)),'Replacement plan'!$F$44)/IF('Replacement plan'!$G$44="Battery",1-'Operating costs'!$B$44,1),0)),"n.a.")</f>
        <v>0</v>
      </c>
      <c r="V155" s="1">
        <f>IFERROR(IF(C155=0,0,IF(D155="EV",IF('Replacement plan'!$E$44="",INDEX(Products!$D$7:$D$13,MATCH('Replacement plan'!$B$44,Products!$A$7:$A$13,0)),'Replacement plan'!$E$44),0)),"n.a.")</f>
        <v>0</v>
      </c>
      <c r="W155" s="1">
        <f>IF(C155=0,0,IF(AND(P155="Complete",D155="EV",E155&lt;120),IF(T155=0,0,ROUNDUP(T155*(R155-'Operating costs'!$B$41)*(S155*U155+'Operating costs'!$B$48/(1-'Operating costs'!$B$44))/(V155*'Operating costs'!$B$47/(1-'Operating costs'!$B$44)-T155*'Operating costs'!$B$12*U155),0)),0))</f>
        <v>0</v>
      </c>
      <c r="X155" s="1">
        <f>IF(C155=0,0,IF(AND(P155="Complete",D155="EV",E155&lt;120),(R155-'Operating costs'!$B$41)*(S155*U155+'Operating costs'!$B$48/(1-'Operating costs'!$B$44))+W155*'Operating costs'!$B$12*U155,0))</f>
        <v>0</v>
      </c>
      <c r="Y155" s="1">
        <f>IF(AND(C155=1,D155="EV",E155&lt;120),AI155/(1-'Operating costs'!$B$44)*(1-T155),0)</f>
        <v>0</v>
      </c>
      <c r="Z155" s="1">
        <f t="shared" si="4"/>
        <v>0</v>
      </c>
      <c r="AA155" s="1">
        <f>IF(C155=0,0,IF(P155="Complete",((S155*(R155-'Operating costs'!$B$40))+ROUNDUP(S155*(R155-'Operating costs'!$B$40)*IF('Replacement plan'!$AH$44="",'Operating costs'!$B$7,'Replacement plan'!$AH$44)/('Operating costs'!$B$8-'Operating costs'!$B$9*IF('Replacement plan'!$AH$44="",'Operating costs'!$B$7,'Replacement plan'!$AH$44)),0)*'Operating costs'!$B$9)*IF('Replacement plan'!$AH$44="",'Operating costs'!$B$7,'Replacement plan'!$AH$44),"n.a."))</f>
        <v>0</v>
      </c>
      <c r="AB155" s="1">
        <f t="shared" si="5"/>
        <v>0</v>
      </c>
      <c r="AC155" s="1">
        <f>IF(AND(C155=1,D155="EV",E155&lt;120,T155&gt;0),'Operating costs'!$B$12/'Operating costs'!$B$11*60+'Operating costs'!$B$13+'Operating costs'!$B$14+V155*'Operating costs'!$B$47/(1-'Operating costs'!$B$44)/'Replacement plan'!$L$44*60,0)</f>
        <v>0</v>
      </c>
      <c r="AD155" s="1" t="str">
        <f>'Replacement plan'!$B$44</f>
        <v>ChengLong L2EV</v>
      </c>
      <c r="AE155" s="1">
        <f>IF(C155=0,0,VLOOKUP($A155,'Fleet register'!$A$7:$S$106,8,FALSE))</f>
        <v>0</v>
      </c>
      <c r="AF155" s="1" t="str">
        <f>IF('Replacement plan'!$H$44="","n.a.",'Replacement plan'!$H$44)</f>
        <v>n.a.</v>
      </c>
      <c r="AG155" s="1">
        <f>'Replacement plan'!$J$44</f>
        <v>22</v>
      </c>
      <c r="AH155" s="1">
        <f>IFERROR(IF(D155="EV",IF('Replacement plan'!$K$44="AC",IF(ISNUMBER(INDEX(Products!$G$7:$G$13,MATCH('Replacement plan'!$B$44,Products!$A$7:$A$13,0))),INDEX(Products!$G$7:$G$13,MATCH('Replacement plan'!$B$44,Products!$A$7:$A$13,0)),"n.a."),IF(ISNUMBER(INDEX(Products!$H$7:$H$13,MATCH('Replacement plan'!$B$44,Products!$A$7:$A$13,0))),INDEX(Products!$H$7:$H$13,MATCH('Replacement plan'!$B$44,Products!$A$7:$A$13,0)),"n.a.")),0),"n.a.")</f>
        <v>0</v>
      </c>
      <c r="AI155" s="1">
        <f>IF(AND(C155=1,D155="EV",E155&lt;120),(VLOOKUP($A155,'Fleet register'!$A$7:$S$106,7,FALSE)+IF(T155&gt;0,'Operating costs'!$B$12,0))*U155*(1-'Operating costs'!$B$44)+'Operating costs'!$B$49,0)</f>
        <v>0</v>
      </c>
      <c r="AJ155" s="1">
        <f>IF(D155="EV",'Energy and charging'!$B$50,0)</f>
        <v>0</v>
      </c>
      <c r="AK155" s="17">
        <f>EDATE('Operating costs'!$B$63,E155)</f>
        <v>46298</v>
      </c>
      <c r="AL155" s="1">
        <f>IFERROR(IF(D155="EV",INDEX(Products!$B$7:$B$13,MATCH('Replacement plan'!$B$44,Products!$A$7:$A$13,0)),0),"n.a.")</f>
        <v>0</v>
      </c>
      <c r="AM155" s="1" t="str">
        <f>'Replacement plan'!$K$44</f>
        <v>DC</v>
      </c>
      <c r="AN155" s="1" t="str">
        <f>'Replacement plan'!$AE$44</f>
        <v>Assumed</v>
      </c>
      <c r="AO155" s="47">
        <f>IF(AND(C155=1,D155="EV",E155&lt;120),(R155-'Operating costs'!$B$41)*S155+W155*'Operating costs'!$B$12,0)</f>
        <v>0</v>
      </c>
      <c r="AP155" s="41">
        <f>IF(AND(C155=1,D155="EV",E155&lt;120),IF('Operating costs'!$B$68="Hong Seh 200k average",AO155*IFERROR(INDEX(Products!$P$7:$P$13,MATCH(AD155,Products!$A$7:$A$13,0)),"n.a."),'Operating costs'!$B$26),0)</f>
        <v>0</v>
      </c>
      <c r="AQ155" s="40" t="str">
        <f>IF(D155="EV",'Operating costs'!$B$68,"Not applicable")</f>
        <v>Not applicable</v>
      </c>
    </row>
    <row r="156" spans="1:43" ht="24" customHeight="1">
      <c r="A156" s="1" t="str">
        <f>'Replacement plan'!A44</f>
        <v>T038</v>
      </c>
      <c r="B156" s="1">
        <v>1</v>
      </c>
      <c r="C156" s="1">
        <f>IF(COUNTIFS('Fleet register'!$A$7:$A$106,$A156)=1,VLOOKUP($A156,'Fleet register'!$A$7:$S$106,2,FALSE),0)</f>
        <v>0</v>
      </c>
      <c r="D156" s="1" t="str">
        <f>IF("New ICE"="EV","EV","ICE")</f>
        <v>ICE</v>
      </c>
      <c r="E156" s="1">
        <f>IF(C156=0,0,0)</f>
        <v>0</v>
      </c>
      <c r="F156" s="16">
        <f>IF(C156=0,0,VLOOKUP($A156,'Fleet register'!$A$7:$S$106,11,FALSE))</f>
        <v>0</v>
      </c>
      <c r="G156" s="16">
        <f>IFERROR(IF(C156=0,0,IF(E156=120,0,IF(D156="ICE",'Replacement plan'!$C$44,IF('Replacement plan'!$D$44="",INDEX(Products!$I$7:$I$13,MATCH('Replacement plan'!$B$44,Products!$A$7:$A$13,0))+'Operating costs'!$B$57,'Replacement plan'!$D$44))*(1+'Operating costs'!$B$50)^(E156/12))),"n.a.")</f>
        <v>0</v>
      </c>
      <c r="H156" s="16">
        <f>IFERROR(IF(C156=0,0,IF(E156=0,F156,VLOOKUP($A156,'Fleet register'!$A$7:$S$106,12,FALSE)+VLOOKUP($A156,'Fleet register'!$A$7:$S$106,13,FALSE)*MAX(0,VLOOKUP($A156,'Fleet register'!$A$7:$S$106,10,FALSE)-E156)/VLOOKUP($A156,'Fleet register'!$A$7:$S$106,14,FALSE))),"n.a.")</f>
        <v>0</v>
      </c>
      <c r="I156" s="16">
        <f>IF(C156=0,0,IF(E156=120,0,IF('Replacement plan'!$AI$44="",'Operating costs'!$B$56,'Replacement plan'!$AI$44)))</f>
        <v>0</v>
      </c>
      <c r="J156" s="16">
        <f>IF(C156=0,0,IF(P156="Complete",((S156*(R156-'Operating costs'!$B$39))+ROUNDUP(S156*(R156-'Operating costs'!$B$39)*IF('Replacement plan'!$AG$44="",'Operating costs'!$B$7,'Replacement plan'!$AG$44)/('Operating costs'!$B$8-'Operating costs'!$B$9*IF('Replacement plan'!$AG$44="",'Operating costs'!$B$7,'Replacement plan'!$AG$44)),0)*'Operating costs'!$B$9)*IF('Replacement plan'!$AG$44="",'Operating costs'!$B$7,'Replacement plan'!$AG$44)*('Energy and charging'!$B$9*'Energy and charging'!$B$7+(1-'Energy and charging'!$B$9)*'Energy and charging'!$B$8)*'Operating costs'!$B$23,"n.a."))</f>
        <v>0</v>
      </c>
      <c r="K156" s="16">
        <f>IF(C156=0,0,IF(P156="Complete",SUM('Operating costs'!$B$24,'Operating costs'!$B$27,'Operating costs'!$B$29,'Operating costs'!$B$31,'Operating costs'!$B$33,'Operating costs'!$B$34,'Operating costs'!$B$37,'Replacement plan'!$W$44)+'Operating costs'!$B$39*'Operating costs'!$B$42+ROUNDUP(S156*(R156-'Operating costs'!$B$39)*IF('Replacement plan'!$AG$44="",'Operating costs'!$B$7,'Replacement plan'!$AG$44)/('Operating costs'!$B$8-'Operating costs'!$B$9*IF('Replacement plan'!$AG$44="",'Operating costs'!$B$7,'Replacement plan'!$AG$44)),0)*('Operating costs'!$B$9/'Operating costs'!$B$11+'Operating costs'!$B$10/60)*'Operating costs'!$B$19*'Operating costs'!$B$21,"n.a."))</f>
        <v>0</v>
      </c>
      <c r="L156" s="16">
        <f>IF(C156=0,0,IF(P156="Complete",IF(D156="EV",X156*((1-T156)*'Energy and charging'!$B$10+T156*'Energy and charging'!$B$11)*'Operating costs'!$B$22,AA156*('Energy and charging'!$B$9*'Energy and charging'!$B$7+(1-'Energy and charging'!$B$9)*'Energy and charging'!$B$8)*'Operating costs'!$B$23),"n.a."))</f>
        <v>0</v>
      </c>
      <c r="M156" s="37">
        <f>IF(C156=0,0,IF(P156="Complete",IF(D156="ICE",SUM('Operating costs'!$B$25,'Operating costs'!$B$27,'Operating costs'!$B$29,'Operating costs'!$B$31,'Operating costs'!$B$33,'Operating costs'!$B$35,'Operating costs'!$B$37,'Replacement plan'!$X$44)+'Operating costs'!$B$40*'Operating costs'!$B$42+ROUNDUP(S156*(R156-'Operating costs'!$B$40)*IF('Replacement plan'!$AH$44="",'Operating costs'!$B$7,'Replacement plan'!$AH$44)/('Operating costs'!$B$8-'Operating costs'!$B$9*IF('Replacement plan'!$AH$44="",'Operating costs'!$B$7,'Replacement plan'!$AH$44)),0)*('Operating costs'!$B$9/'Operating costs'!$B$11+'Operating costs'!$B$10/60)*'Operating costs'!$B$19*'Operating costs'!$B$21,SUM(AP156,'Operating costs'!$B$28,'Operating costs'!$B$30,'Operating costs'!$B$32,'Operating costs'!$B$33,'Operating costs'!$B$36,'Operating costs'!$B$38,'Replacement plan'!$Y$44)+'Operating costs'!$B$41*'Operating costs'!$B$43+W156*'Operating costs'!$B$15+(T156*X156/'Replacement plan'!$L$44+W156*('Operating costs'!$B$12/'Operating costs'!$B$11+('Operating costs'!$B$13+'Operating costs'!$B$14)/60)+(R156-'Operating costs'!$B$41)*(IF(T156&lt;1,'Operating costs'!$B$16,0)+'Operating costs'!$B$17)/60)*'Operating costs'!$B$19*'Operating costs'!$B$20),"n.a."))</f>
        <v>0</v>
      </c>
      <c r="N156" s="16">
        <f>IF(AND(C156=1,D156="EV",E156&lt;120,E156+'Replacement plan'!$AA$44&lt;=120),'Replacement plan'!$Z$44,0)</f>
        <v>0</v>
      </c>
      <c r="O156" s="1">
        <f>E156+'Replacement plan'!$AA$44</f>
        <v>0</v>
      </c>
      <c r="P156" s="35" t="str">
        <f>IFERROR(IF(C156=0,"Excluded",IF(OR(COUNTIFS('Fleet register'!$A$7:$A$106,A156)&lt;&gt;1,COUNTIFS('Replacement plan'!$A$7:$A$106,A156)&lt;&gt;1),"Duplicate/missing ID",IF(NOT(AND(ISNUMBER(VLOOKUP($A156,'Fleet register'!$A$7:$S$106,5,FALSE)),ISNUMBER(VLOOKUP($A156,'Fleet register'!$A$7:$S$106,6,FALSE)),ISNUMBER(VLOOKUP($A156,'Fleet register'!$A$7:$S$106,10,FALSE)),ISNUMBER(VLOOKUP($A156,'Fleet register'!$A$7:$S$106,11,FALSE)),ISNUMBER(VLOOKUP($A156,'Fleet register'!$A$7:$S$106,12,FALSE)),ISNUMBER(VLOOKUP($A156,'Fleet register'!$A$7:$S$106,13,FALSE)),ISNUMBER(VLOOKUP($A156,'Fleet register'!$A$7:$S$106,14,FALSE)),VLOOKUP($A156,'Fleet register'!$A$7:$S$106,14,FALSE)&gt;0,ISNUMBER('Replacement plan'!$C$44),OR(E156=120,OR(ISNUMBER('Replacement plan'!$AI$44),AND('Replacement plan'!$AI$44="",ISNUMBER('Operating costs'!$B$56)))),ISNUMBER(E156))),"Missing vehicle input",IF(OR(E156&lt;0,E156&gt;VLOOKUP($A156,'Fleet register'!$A$7:$S$106,10,FALSE),E156&gt;120,E156&lt;&gt;INT(E156),VLOOKUP($A156,'Fleet register'!$A$7:$S$106,6,FALSE)&lt;=0,VLOOKUP($A156,'Fleet register'!$A$7:$S$106,6,FALSE)&gt;366,VLOOKUP($A156,'Fleet register'!$A$7:$S$106,5,FALSE)&lt;0,VLOOKUP($A156,'Fleet register'!$A$7:$S$106,11,FALSE)&lt;0,I156&lt;0,'Operating costs'!$B$8&lt;='Operating costs'!$B$7*'Operating costs'!$B$9,'Operating costs'!$B$11&lt;=0,'Operating costs'!$B$39&gt;R156,'Operating costs'!$B$40&gt;R156,'Operating costs'!$B$41&gt;R156,NOT(OR("New ICE"="Keep ICE","New ICE"="New ICE","New ICE"="EV"))),"Invalid vehicle input",IF(AND(D156="EV",E156&lt;120,OR(NOT(ISNUMBER(U156)),NOT(ISNUMBER(V156)),V156&lt;=0,T156&lt;0,T156&gt;1,'Replacement plan'!$L$44&lt;=0,'Operating costs'!$B$44&lt;0,'Operating costs'!$B$44&gt;=1,'Operating costs'!$B$47&lt;=0,'Operating costs'!$B$47&gt;1,V156*'Operating costs'!$B$47/(1-'Operating costs'!$B$44)&lt;=T156*'Operating costs'!$B$12*U156,AND('Replacement plan'!$Z$44&gt;0,OR('Replacement plan'!$AB$44&lt;&gt;"Yes",'Operating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charging'!$B$8&gt;=0))),ISNUMBER(VLOOKUP($A156,'Fleet register'!$A$7:$S$106,15,FALSE)),ISNUMBER(VLOOKUP($A156,'Fleet register'!$A$7:$S$106,16,FALSE)),ISNUMBER('Replacement plan'!$W$44),ISNUMBER('Replacement plan'!$X$44),OR(E156=120,AND(ISNUMBER(G156),G156&gt;=0)),ISNUMBER(H156),H156&gt;=0,OR(D156&lt;&gt;"EV",E156=120,AND(ISNUMBER('Operating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average",ISNUMBER(IFERROR(INDEX(Products!$P$7:$P$13,MATCH(AD156,Products!$A$7:$A$13,0)),"")))),ISNUMBER('Operating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plan'!$Y$44),ISNUMBER('Replacement plan'!$Z$44),'Replacement plan'!$Z$44&gt;=0,ISNUMBER('Replacement plan'!$AA$44),'Replacement plan'!$AA$44&gt;=0,'Replacement plan'!$AA$44=INT('Replacement plan'!$AA$44),ISNUMBER('Replacement plan'!$L$44))),'Operating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plan'!$AG$44="",'Operating costs'!$B$7,'Replacement plan'!$AG$44)),IF('Replacement plan'!$AG$44="",'Operating costs'!$B$7,'Replacement plan'!$AG$44)&gt;=0,ISNUMBER(IF('Replacement plan'!$AH$44="",'Operating costs'!$B$7,'Replacement plan'!$AH$44)),IF('Replacement plan'!$AH$44="",'Operating costs'!$B$7,'Replacement plan'!$AH$44)&gt;=0,'Operating costs'!$B$8&gt;MAX(IF('Replacement plan'!$AG$44="",'Operating costs'!$B$7,'Replacement plan'!$AG$44),IF('Replacement plan'!$AH$44="",'Operating costs'!$B$7,'Replacement plan'!$AH$44))*'Operating costs'!$B$9),IF(AND(VLOOKUP($A156,'Fleet register'!$A$7:$S$106,10,FALSE)&gt;=0,VLOOKUP($A156,'Fleet register'!$A$7:$S$106,10,FALSE)&lt;=120,VLOOKUP($A156,'Fleet register'!$A$7:$S$106,10,FALSE)=INT(VLOOKUP($A156,'Fleet register'!$A$7:$S$106,10,FALSE)),VLOOKUP($A156,'Fleet register'!$A$7:$S$106,15,FALSE)&gt;=0,VLOOKUP($A156,'Fleet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costs'!$B$67)&gt;=0,OR(D156&lt;&gt;"EV",E156=120,AND(MIN('Operating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56" s="1" t="str">
        <f>IF(C156=0,"Excluded",IF(P156&lt;&gt;"Complete",P156,IF(OR('Replacement plan'!$AD$44&lt;120-E156,AND(D156="EV",E156&lt;120,OR('Replacement plan'!$AC$44&lt;120-E156,'Replacement plan'!$I$44="No",AND(ISNUMBER(AF156),AE156&gt;AF156),AI156&gt;V156*(1-'Operating costs'!$B$46)^MAX(0,AB156-1)*(1-'Operating costs'!$B$45),AC156&gt;'Operating costs'!$B$18,AND(T156&lt;1,OR(AG156&lt;=0,AND(ISNUMBER(AH156),AG156&gt;AH156))),'Replacement plan'!$L$44&gt;INDEX(Products!$H$7:$H$13,MATCH('Replacement plan'!$B$44,Products!$A$7:$A$13,0))))),"Fails entered limits",IF(AND(D156="EV",E156&lt;120,OR(NOT(ISNUMBER(VLOOKUP($A156,'Fleet register'!$A$7:$S$106,7,FALSE))),NOT(ISNUMBER(VLOOKUP($A156,'Fleet register'!$A$7:$S$106,8,FALSE))),NOT(ISNUMBER(AF156)),'Replacement plan'!$I$44&lt;&gt;"Yes",NOT(ISNUMBER(AH156)),'Operating costs'!$B$59&lt;&gt;"Yes",'Operating costs'!$B$58&lt;&gt;"Yes")),"Unverified","Within entered limits"))))</f>
        <v>Excluded</v>
      </c>
      <c r="R156" s="1">
        <f>IF(C156=0,0,VLOOKUP($A156,'Fleet register'!$A$7:$S$106,6,FALSE))</f>
        <v>0</v>
      </c>
      <c r="S156" s="1">
        <f>IF(C156=0,0,VLOOKUP($A156,'Fleet register'!$A$7:$S$106,5,FALSE))</f>
        <v>0</v>
      </c>
      <c r="T156" s="1">
        <f>IF(D156="EV",'Energy and charging'!$B$12,0)</f>
        <v>0</v>
      </c>
      <c r="U156" s="1">
        <f>IFERROR(IF(C156=0,0,IF(D156="EV",IF('Replacement plan'!$F$44="",INDEX(Products!$E$7:$E$13,MATCH('Replacement plan'!$B$44,Products!$A$7:$A$13,0)),'Replacement plan'!$F$44)/IF('Replacement plan'!$G$44="Battery",1-'Operating costs'!$B$44,1),0)),"n.a.")</f>
        <v>0</v>
      </c>
      <c r="V156" s="1">
        <f>IFERROR(IF(C156=0,0,IF(D156="EV",IF('Replacement plan'!$E$44="",INDEX(Products!$D$7:$D$13,MATCH('Replacement plan'!$B$44,Products!$A$7:$A$13,0)),'Replacement plan'!$E$44),0)),"n.a.")</f>
        <v>0</v>
      </c>
      <c r="W156" s="1">
        <f>IF(C156=0,0,IF(AND(P156="Complete",D156="EV",E156&lt;120),IF(T156=0,0,ROUNDUP(T156*(R156-'Operating costs'!$B$41)*(S156*U156+'Operating costs'!$B$48/(1-'Operating costs'!$B$44))/(V156*'Operating costs'!$B$47/(1-'Operating costs'!$B$44)-T156*'Operating costs'!$B$12*U156),0)),0))</f>
        <v>0</v>
      </c>
      <c r="X156" s="1">
        <f>IF(C156=0,0,IF(AND(P156="Complete",D156="EV",E156&lt;120),(R156-'Operating costs'!$B$41)*(S156*U156+'Operating costs'!$B$48/(1-'Operating costs'!$B$44))+W156*'Operating costs'!$B$12*U156,0))</f>
        <v>0</v>
      </c>
      <c r="Y156" s="1">
        <f>IF(AND(C156=1,D156="EV",E156&lt;120),AI156/(1-'Operating costs'!$B$44)*(1-T156),0)</f>
        <v>0</v>
      </c>
      <c r="Z156" s="1">
        <f t="shared" si="4"/>
        <v>0</v>
      </c>
      <c r="AA156" s="1">
        <f>IF(C156=0,0,IF(P156="Complete",((S156*(R156-'Operating costs'!$B$40))+ROUNDUP(S156*(R156-'Operating costs'!$B$40)*IF('Replacement plan'!$AH$44="",'Operating costs'!$B$7,'Replacement plan'!$AH$44)/('Operating costs'!$B$8-'Operating costs'!$B$9*IF('Replacement plan'!$AH$44="",'Operating costs'!$B$7,'Replacement plan'!$AH$44)),0)*'Operating costs'!$B$9)*IF('Replacement plan'!$AH$44="",'Operating costs'!$B$7,'Replacement plan'!$AH$44),"n.a."))</f>
        <v>0</v>
      </c>
      <c r="AB156" s="1">
        <f t="shared" si="5"/>
        <v>0</v>
      </c>
      <c r="AC156" s="1">
        <f>IF(AND(C156=1,D156="EV",E156&lt;120,T156&gt;0),'Operating costs'!$B$12/'Operating costs'!$B$11*60+'Operating costs'!$B$13+'Operating costs'!$B$14+V156*'Operating costs'!$B$47/(1-'Operating costs'!$B$44)/'Replacement plan'!$L$44*60,0)</f>
        <v>0</v>
      </c>
      <c r="AD156" s="1" t="str">
        <f>'Replacement plan'!$B$44</f>
        <v>ChengLong L2EV</v>
      </c>
      <c r="AE156" s="1">
        <f>IF(C156=0,0,VLOOKUP($A156,'Fleet register'!$A$7:$S$106,8,FALSE))</f>
        <v>0</v>
      </c>
      <c r="AF156" s="1" t="str">
        <f>IF('Replacement plan'!$H$44="","n.a.",'Replacement plan'!$H$44)</f>
        <v>n.a.</v>
      </c>
      <c r="AG156" s="1">
        <f>'Replacement plan'!$J$44</f>
        <v>22</v>
      </c>
      <c r="AH156" s="1">
        <f>IFERROR(IF(D156="EV",IF('Replacement plan'!$K$44="AC",IF(ISNUMBER(INDEX(Products!$G$7:$G$13,MATCH('Replacement plan'!$B$44,Products!$A$7:$A$13,0))),INDEX(Products!$G$7:$G$13,MATCH('Replacement plan'!$B$44,Products!$A$7:$A$13,0)),"n.a."),IF(ISNUMBER(INDEX(Products!$H$7:$H$13,MATCH('Replacement plan'!$B$44,Products!$A$7:$A$13,0))),INDEX(Products!$H$7:$H$13,MATCH('Replacement plan'!$B$44,Products!$A$7:$A$13,0)),"n.a.")),0),"n.a.")</f>
        <v>0</v>
      </c>
      <c r="AI156" s="1">
        <f>IF(AND(C156=1,D156="EV",E156&lt;120),(VLOOKUP($A156,'Fleet register'!$A$7:$S$106,7,FALSE)+IF(T156&gt;0,'Operating costs'!$B$12,0))*U156*(1-'Operating costs'!$B$44)+'Operating costs'!$B$49,0)</f>
        <v>0</v>
      </c>
      <c r="AJ156" s="1">
        <f>IF(D156="EV",'Energy and charging'!$B$50,0)</f>
        <v>0</v>
      </c>
      <c r="AK156" s="17">
        <f>EDATE('Operating costs'!$B$63,E156)</f>
        <v>46298</v>
      </c>
      <c r="AL156" s="1">
        <f>IFERROR(IF(D156="EV",INDEX(Products!$B$7:$B$13,MATCH('Replacement plan'!$B$44,Products!$A$7:$A$13,0)),0),"n.a.")</f>
        <v>0</v>
      </c>
      <c r="AM156" s="1" t="str">
        <f>'Replacement plan'!$K$44</f>
        <v>DC</v>
      </c>
      <c r="AN156" s="1" t="str">
        <f>'Replacement plan'!$AE$44</f>
        <v>Assumed</v>
      </c>
      <c r="AO156" s="47">
        <f>IF(AND(C156=1,D156="EV",E156&lt;120),(R156-'Operating costs'!$B$41)*S156+W156*'Operating costs'!$B$12,0)</f>
        <v>0</v>
      </c>
      <c r="AP156" s="41">
        <f>IF(AND(C156=1,D156="EV",E156&lt;120),IF('Operating costs'!$B$68="Hong Seh 200k average",AO156*IFERROR(INDEX(Products!$P$7:$P$13,MATCH(AD156,Products!$A$7:$A$13,0)),"n.a."),'Operating costs'!$B$26),0)</f>
        <v>0</v>
      </c>
      <c r="AQ156" s="40" t="str">
        <f>IF(D156="EV",'Operating costs'!$B$68,"Not applicable")</f>
        <v>Not applicable</v>
      </c>
    </row>
    <row r="157" spans="1:43" ht="24" customHeight="1">
      <c r="A157" s="1" t="str">
        <f>'Replacement plan'!A44</f>
        <v>T038</v>
      </c>
      <c r="B157" s="1">
        <v>2</v>
      </c>
      <c r="C157" s="1">
        <f>IF(COUNTIFS('Fleet register'!$A$7:$A$106,$A157)=1,VLOOKUP($A157,'Fleet register'!$A$7:$S$106,2,FALSE),0)</f>
        <v>0</v>
      </c>
      <c r="D157" s="1" t="str">
        <f>IF('Replacement plan'!$O$44="EV","EV","ICE")</f>
        <v>ICE</v>
      </c>
      <c r="E157" s="1">
        <f>IF(C157=0,0,IF('Replacement plan'!$P$44="",IF('Replacement plan'!$O$44="Keep ICE",IF('Replacement plan'!$M$44="",VLOOKUP($A157,'Fleet register'!$A$7:$S$106,10,FALSE),'Replacement plan'!$M$44),0),'Replacement plan'!$P$44))</f>
        <v>0</v>
      </c>
      <c r="F157" s="16">
        <f>IF(C157=0,0,VLOOKUP($A157,'Fleet register'!$A$7:$S$106,11,FALSE))</f>
        <v>0</v>
      </c>
      <c r="G157" s="16">
        <f>IFERROR(IF(C157=0,0,IF(E157=120,0,IF(D157="ICE",'Replacement plan'!$C$44,IF('Replacement plan'!$D$44="",INDEX(Products!$I$7:$I$13,MATCH('Replacement plan'!$B$44,Products!$A$7:$A$13,0))+'Operating costs'!$B$57,'Replacement plan'!$D$44))*(1+'Operating costs'!$B$50)^(E157/12))),"n.a.")</f>
        <v>0</v>
      </c>
      <c r="H157" s="16">
        <f>IFERROR(IF(C157=0,0,IF('Replacement plan'!$U$44&lt;&gt;"",'Replacement plan'!$U$44,IF(E157=0,F157,VLOOKUP($A157,'Fleet register'!$A$7:$S$106,12,FALSE)+VLOOKUP($A157,'Fleet register'!$A$7:$S$106,13,FALSE)*MAX(0,VLOOKUP($A157,'Fleet register'!$A$7:$S$106,10,FALSE)-E157)/VLOOKUP($A157,'Fleet register'!$A$7:$S$106,14,FALSE)))),"n.a.")</f>
        <v>0</v>
      </c>
      <c r="I157" s="16">
        <f>IF(C157=0,0,IF(E157=120,0,'Replacement plan'!$Q$44))</f>
        <v>0</v>
      </c>
      <c r="J157" s="16">
        <f>IF(C157=0,0,IF(P157="Complete",((S157*(R157-'Operating costs'!$B$39))+ROUNDUP(S157*(R157-'Operating costs'!$B$39)*IF('Replacement plan'!$AG$44="",'Operating costs'!$B$7,'Replacement plan'!$AG$44)/('Operating costs'!$B$8-'Operating costs'!$B$9*IF('Replacement plan'!$AG$44="",'Operating costs'!$B$7,'Replacement plan'!$AG$44)),0)*'Operating costs'!$B$9)*IF('Replacement plan'!$AG$44="",'Operating costs'!$B$7,'Replacement plan'!$AG$44)*('Energy and charging'!$B$9*'Energy and charging'!$B$7+(1-'Energy and charging'!$B$9)*'Energy and charging'!$B$8)*'Operating costs'!$B$23,"n.a."))</f>
        <v>0</v>
      </c>
      <c r="K157" s="16">
        <f>IF(C157=0,0,IF(P157="Complete",SUM('Operating costs'!$B$24,'Operating costs'!$B$27,'Operating costs'!$B$29,'Operating costs'!$B$31,'Operating costs'!$B$33,'Operating costs'!$B$34,'Operating costs'!$B$37,'Replacement plan'!$W$44)+'Operating costs'!$B$39*'Operating costs'!$B$42+ROUNDUP(S157*(R157-'Operating costs'!$B$39)*IF('Replacement plan'!$AG$44="",'Operating costs'!$B$7,'Replacement plan'!$AG$44)/('Operating costs'!$B$8-'Operating costs'!$B$9*IF('Replacement plan'!$AG$44="",'Operating costs'!$B$7,'Replacement plan'!$AG$44)),0)*('Operating costs'!$B$9/'Operating costs'!$B$11+'Operating costs'!$B$10/60)*'Operating costs'!$B$19*'Operating costs'!$B$21,"n.a."))</f>
        <v>0</v>
      </c>
      <c r="L157" s="16">
        <f>IF(C157=0,0,IF(P157="Complete",IF(D157="EV",X157*((1-T157)*'Energy and charging'!$B$10+T157*'Energy and charging'!$B$11)*'Operating costs'!$B$22,AA157*('Energy and charging'!$B$9*'Energy and charging'!$B$7+(1-'Energy and charging'!$B$9)*'Energy and charging'!$B$8)*'Operating costs'!$B$23),"n.a."))</f>
        <v>0</v>
      </c>
      <c r="M157" s="37">
        <f>IF(C157=0,0,IF(P157="Complete",IF(D157="ICE",SUM('Operating costs'!$B$25,'Operating costs'!$B$27,'Operating costs'!$B$29,'Operating costs'!$B$31,'Operating costs'!$B$33,'Operating costs'!$B$35,'Operating costs'!$B$37,'Replacement plan'!$X$44)+'Operating costs'!$B$40*'Operating costs'!$B$42+ROUNDUP(S157*(R157-'Operating costs'!$B$40)*IF('Replacement plan'!$AH$44="",'Operating costs'!$B$7,'Replacement plan'!$AH$44)/('Operating costs'!$B$8-'Operating costs'!$B$9*IF('Replacement plan'!$AH$44="",'Operating costs'!$B$7,'Replacement plan'!$AH$44)),0)*('Operating costs'!$B$9/'Operating costs'!$B$11+'Operating costs'!$B$10/60)*'Operating costs'!$B$19*'Operating costs'!$B$21,SUM(AP157,'Operating costs'!$B$28,'Operating costs'!$B$30,'Operating costs'!$B$32,'Operating costs'!$B$33,'Operating costs'!$B$36,'Operating costs'!$B$38,'Replacement plan'!$Y$44)+'Operating costs'!$B$41*'Operating costs'!$B$43+W157*'Operating costs'!$B$15+(T157*X157/'Replacement plan'!$L$44+W157*('Operating costs'!$B$12/'Operating costs'!$B$11+('Operating costs'!$B$13+'Operating costs'!$B$14)/60)+(R157-'Operating costs'!$B$41)*(IF(T157&lt;1,'Operating costs'!$B$16,0)+'Operating costs'!$B$17)/60)*'Operating costs'!$B$19*'Operating costs'!$B$20),"n.a."))</f>
        <v>0</v>
      </c>
      <c r="N157" s="16">
        <f>IF(AND(C157=1,D157="EV",E157&lt;120,E157+'Replacement plan'!$AA$44&lt;=120),'Replacement plan'!$Z$44,0)</f>
        <v>0</v>
      </c>
      <c r="O157" s="1">
        <f>E157+'Replacement plan'!$AA$44</f>
        <v>0</v>
      </c>
      <c r="P157" s="35" t="str">
        <f>IFERROR(IF(C157=0,"Excluded",IF(OR(COUNTIFS('Fleet register'!$A$7:$A$106,A157)&lt;&gt;1,COUNTIFS('Replacement plan'!$A$7:$A$106,A157)&lt;&gt;1),"Duplicate/missing ID",IF(NOT(AND(ISNUMBER(VLOOKUP($A157,'Fleet register'!$A$7:$S$106,5,FALSE)),ISNUMBER(VLOOKUP($A157,'Fleet register'!$A$7:$S$106,6,FALSE)),ISNUMBER(VLOOKUP($A157,'Fleet register'!$A$7:$S$106,10,FALSE)),ISNUMBER(VLOOKUP($A157,'Fleet register'!$A$7:$S$106,11,FALSE)),ISNUMBER(VLOOKUP($A157,'Fleet register'!$A$7:$S$106,12,FALSE)),ISNUMBER(VLOOKUP($A157,'Fleet register'!$A$7:$S$106,13,FALSE)),ISNUMBER(VLOOKUP($A157,'Fleet register'!$A$7:$S$106,14,FALSE)),VLOOKUP($A157,'Fleet register'!$A$7:$S$106,14,FALSE)&gt;0,ISNUMBER('Replacement plan'!$C$44),OR(E157=120,ISNUMBER('Replacement plan'!$Q$44)),ISNUMBER(E157))),"Missing vehicle input",IF(OR(E157&lt;0,E157&gt;VLOOKUP($A157,'Fleet register'!$A$7:$S$106,10,FALSE),E157&gt;120,E157&lt;&gt;INT(E157),VLOOKUP($A157,'Fleet register'!$A$7:$S$106,6,FALSE)&lt;=0,VLOOKUP($A157,'Fleet register'!$A$7:$S$106,6,FALSE)&gt;366,VLOOKUP($A157,'Fleet register'!$A$7:$S$106,5,FALSE)&lt;0,VLOOKUP($A157,'Fleet register'!$A$7:$S$106,11,FALSE)&lt;0,I157&lt;0,'Operating costs'!$B$8&lt;='Operating costs'!$B$7*'Operating costs'!$B$9,'Operating costs'!$B$11&lt;=0,'Operating costs'!$B$39&gt;R157,'Operating costs'!$B$40&gt;R157,'Operating costs'!$B$41&gt;R157,NOT(OR('Replacement plan'!$O$44="Keep ICE",'Replacement plan'!$O$44="New ICE",'Replacement plan'!$O$44="EV"))),"Invalid vehicle input",IF(AND(D157="EV",E157&lt;120,OR(NOT(ISNUMBER(U157)),NOT(ISNUMBER(V157)),V157&lt;=0,T157&lt;0,T157&gt;1,'Replacement plan'!$L$44&lt;=0,'Operating costs'!$B$44&lt;0,'Operating costs'!$B$44&gt;=1,'Operating costs'!$B$47&lt;=0,'Operating costs'!$B$47&gt;1,V157*'Operating costs'!$B$47/(1-'Operating costs'!$B$44)&lt;=T157*'Operating costs'!$B$12*U157,AND('Replacement plan'!$Z$44&gt;0,OR('Replacement plan'!$AB$44&lt;&gt;"Yes",'Operating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charging'!$B$8&gt;=0))),ISNUMBER(VLOOKUP($A157,'Fleet register'!$A$7:$S$106,15,FALSE)),ISNUMBER(VLOOKUP($A157,'Fleet register'!$A$7:$S$106,16,FALSE)),ISNUMBER('Replacement plan'!$W$44),ISNUMBER('Replacement plan'!$X$44),OR(E157=120,AND(ISNUMBER(G157),G157&gt;=0)),ISNUMBER(H157),H157&gt;=0,OR(D157&lt;&gt;"EV",E157=120,AND(ISNUMBER('Operating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average",ISNUMBER(IFERROR(INDEX(Products!$P$7:$P$13,MATCH(AD157,Products!$A$7:$A$13,0)),"")))),ISNUMBER('Operating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plan'!$Y$44),ISNUMBER('Replacement plan'!$Z$44),'Replacement plan'!$Z$44&gt;=0,ISNUMBER('Replacement plan'!$AA$44),'Replacement plan'!$AA$44&gt;=0,'Replacement plan'!$AA$44=INT('Replacement plan'!$AA$44),ISNUMBER('Replacement plan'!$L$44))),'Operating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plan'!$AG$44="",'Operating costs'!$B$7,'Replacement plan'!$AG$44)),IF('Replacement plan'!$AG$44="",'Operating costs'!$B$7,'Replacement plan'!$AG$44)&gt;=0,ISNUMBER(IF('Replacement plan'!$AH$44="",'Operating costs'!$B$7,'Replacement plan'!$AH$44)),IF('Replacement plan'!$AH$44="",'Operating costs'!$B$7,'Replacement plan'!$AH$44)&gt;=0,'Operating costs'!$B$8&gt;MAX(IF('Replacement plan'!$AG$44="",'Operating costs'!$B$7,'Replacement plan'!$AG$44),IF('Replacement plan'!$AH$44="",'Operating costs'!$B$7,'Replacement plan'!$AH$44))*'Operating costs'!$B$9),IF(AND(VLOOKUP($A157,'Fleet register'!$A$7:$S$106,10,FALSE)&gt;=0,VLOOKUP($A157,'Fleet register'!$A$7:$S$106,10,FALSE)&lt;=120,VLOOKUP($A157,'Fleet register'!$A$7:$S$106,10,FALSE)=INT(VLOOKUP($A157,'Fleet register'!$A$7:$S$106,10,FALSE)),VLOOKUP($A157,'Fleet register'!$A$7:$S$106,15,FALSE)&gt;=0,VLOOKUP($A157,'Fleet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costs'!$B$67)&gt;=0,OR(D157&lt;&gt;"EV",E157=120,AND(MIN('Operating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57" s="1" t="str">
        <f>IF(C157=0,"Excluded",IF(P157&lt;&gt;"Complete",P157,IF(OR('Replacement plan'!$AD$44&lt;120-E157,AND(D157="EV",E157&lt;120,OR('Replacement plan'!$AC$44&lt;120-E157,'Replacement plan'!$I$44="No",AND(ISNUMBER(AF157),AE157&gt;AF157),AI157&gt;V157*(1-'Operating costs'!$B$46)^MAX(0,AB157-1)*(1-'Operating costs'!$B$45),AC157&gt;'Operating costs'!$B$18,AND(T157&lt;1,OR(AG157&lt;=0,AND(ISNUMBER(AH157),AG157&gt;AH157))),'Replacement plan'!$L$44&gt;INDEX(Products!$H$7:$H$13,MATCH('Replacement plan'!$B$44,Products!$A$7:$A$13,0))))),"Fails entered limits",IF(AND(D157="EV",E157&lt;120,OR(NOT(ISNUMBER(VLOOKUP($A157,'Fleet register'!$A$7:$S$106,7,FALSE))),NOT(ISNUMBER(VLOOKUP($A157,'Fleet register'!$A$7:$S$106,8,FALSE))),NOT(ISNUMBER(AF157)),'Replacement plan'!$I$44&lt;&gt;"Yes",NOT(ISNUMBER(AH157)),'Operating costs'!$B$59&lt;&gt;"Yes",'Operating costs'!$B$58&lt;&gt;"Yes")),"Unverified","Within entered limits"))))</f>
        <v>Excluded</v>
      </c>
      <c r="R157" s="1">
        <f>IF(C157=0,0,VLOOKUP($A157,'Fleet register'!$A$7:$S$106,6,FALSE))</f>
        <v>0</v>
      </c>
      <c r="S157" s="1">
        <f>IF(C157=0,0,VLOOKUP($A157,'Fleet register'!$A$7:$S$106,5,FALSE))</f>
        <v>0</v>
      </c>
      <c r="T157" s="1">
        <f>IF(D157="EV",'Energy and charging'!$B$12,0)</f>
        <v>0</v>
      </c>
      <c r="U157" s="1">
        <f>IFERROR(IF(C157=0,0,IF(D157="EV",IF('Replacement plan'!$F$44="",INDEX(Products!$E$7:$E$13,MATCH('Replacement plan'!$B$44,Products!$A$7:$A$13,0)),'Replacement plan'!$F$44)/IF('Replacement plan'!$G$44="Battery",1-'Operating costs'!$B$44,1),0)),"n.a.")</f>
        <v>0</v>
      </c>
      <c r="V157" s="1">
        <f>IFERROR(IF(C157=0,0,IF(D157="EV",IF('Replacement plan'!$E$44="",INDEX(Products!$D$7:$D$13,MATCH('Replacement plan'!$B$44,Products!$A$7:$A$13,0)),'Replacement plan'!$E$44),0)),"n.a.")</f>
        <v>0</v>
      </c>
      <c r="W157" s="1">
        <f>IF(C157=0,0,IF(AND(P157="Complete",D157="EV",E157&lt;120),IF(T157=0,0,ROUNDUP(T157*(R157-'Operating costs'!$B$41)*(S157*U157+'Operating costs'!$B$48/(1-'Operating costs'!$B$44))/(V157*'Operating costs'!$B$47/(1-'Operating costs'!$B$44)-T157*'Operating costs'!$B$12*U157),0)),0))</f>
        <v>0</v>
      </c>
      <c r="X157" s="1">
        <f>IF(C157=0,0,IF(AND(P157="Complete",D157="EV",E157&lt;120),(R157-'Operating costs'!$B$41)*(S157*U157+'Operating costs'!$B$48/(1-'Operating costs'!$B$44))+W157*'Operating costs'!$B$12*U157,0))</f>
        <v>0</v>
      </c>
      <c r="Y157" s="1">
        <f>IF(AND(C157=1,D157="EV",E157&lt;120),AI157/(1-'Operating costs'!$B$44)*(1-T157),0)</f>
        <v>0</v>
      </c>
      <c r="Z157" s="1">
        <f t="shared" si="4"/>
        <v>0</v>
      </c>
      <c r="AA157" s="1">
        <f>IF(C157=0,0,IF(P157="Complete",((S157*(R157-'Operating costs'!$B$40))+ROUNDUP(S157*(R157-'Operating costs'!$B$40)*IF('Replacement plan'!$AH$44="",'Operating costs'!$B$7,'Replacement plan'!$AH$44)/('Operating costs'!$B$8-'Operating costs'!$B$9*IF('Replacement plan'!$AH$44="",'Operating costs'!$B$7,'Replacement plan'!$AH$44)),0)*'Operating costs'!$B$9)*IF('Replacement plan'!$AH$44="",'Operating costs'!$B$7,'Replacement plan'!$AH$44),"n.a."))</f>
        <v>0</v>
      </c>
      <c r="AB157" s="1">
        <f t="shared" si="5"/>
        <v>0</v>
      </c>
      <c r="AC157" s="1">
        <f>IF(AND(C157=1,D157="EV",E157&lt;120,T157&gt;0),'Operating costs'!$B$12/'Operating costs'!$B$11*60+'Operating costs'!$B$13+'Operating costs'!$B$14+V157*'Operating costs'!$B$47/(1-'Operating costs'!$B$44)/'Replacement plan'!$L$44*60,0)</f>
        <v>0</v>
      </c>
      <c r="AD157" s="1" t="str">
        <f>'Replacement plan'!$B$44</f>
        <v>ChengLong L2EV</v>
      </c>
      <c r="AE157" s="1">
        <f>IF(C157=0,0,VLOOKUP($A157,'Fleet register'!$A$7:$S$106,8,FALSE))</f>
        <v>0</v>
      </c>
      <c r="AF157" s="1" t="str">
        <f>IF('Replacement plan'!$H$44="","n.a.",'Replacement plan'!$H$44)</f>
        <v>n.a.</v>
      </c>
      <c r="AG157" s="1">
        <f>'Replacement plan'!$J$44</f>
        <v>22</v>
      </c>
      <c r="AH157" s="1">
        <f>IFERROR(IF(D157="EV",IF('Replacement plan'!$K$44="AC",IF(ISNUMBER(INDEX(Products!$G$7:$G$13,MATCH('Replacement plan'!$B$44,Products!$A$7:$A$13,0))),INDEX(Products!$G$7:$G$13,MATCH('Replacement plan'!$B$44,Products!$A$7:$A$13,0)),"n.a."),IF(ISNUMBER(INDEX(Products!$H$7:$H$13,MATCH('Replacement plan'!$B$44,Products!$A$7:$A$13,0))),INDEX(Products!$H$7:$H$13,MATCH('Replacement plan'!$B$44,Products!$A$7:$A$13,0)),"n.a.")),0),"n.a.")</f>
        <v>0</v>
      </c>
      <c r="AI157" s="1">
        <f>IF(AND(C157=1,D157="EV",E157&lt;120),(VLOOKUP($A157,'Fleet register'!$A$7:$S$106,7,FALSE)+IF(T157&gt;0,'Operating costs'!$B$12,0))*U157*(1-'Operating costs'!$B$44)+'Operating costs'!$B$49,0)</f>
        <v>0</v>
      </c>
      <c r="AJ157" s="1">
        <f>IF(D157="EV",'Energy and charging'!$B$50,0)</f>
        <v>0</v>
      </c>
      <c r="AK157" s="17">
        <f>EDATE('Operating costs'!$B$63,E157)</f>
        <v>46298</v>
      </c>
      <c r="AL157" s="1">
        <f>IFERROR(IF(D157="EV",INDEX(Products!$B$7:$B$13,MATCH('Replacement plan'!$B$44,Products!$A$7:$A$13,0)),0),"n.a.")</f>
        <v>0</v>
      </c>
      <c r="AM157" s="1" t="str">
        <f>'Replacement plan'!$K$44</f>
        <v>DC</v>
      </c>
      <c r="AN157" s="1" t="str">
        <f>'Replacement plan'!$AE$44</f>
        <v>Assumed</v>
      </c>
      <c r="AO157" s="47">
        <f>IF(AND(C157=1,D157="EV",E157&lt;120),(R157-'Operating costs'!$B$41)*S157+W157*'Operating costs'!$B$12,0)</f>
        <v>0</v>
      </c>
      <c r="AP157" s="41">
        <f>IF(AND(C157=1,D157="EV",E157&lt;120),IF('Operating costs'!$B$68="Hong Seh 200k average",AO157*IFERROR(INDEX(Products!$P$7:$P$13,MATCH(AD157,Products!$A$7:$A$13,0)),"n.a."),'Operating costs'!$B$26),0)</f>
        <v>0</v>
      </c>
      <c r="AQ157" s="40" t="str">
        <f>IF(D157="EV",'Operating costs'!$B$68,"Not applicable")</f>
        <v>Not applicable</v>
      </c>
    </row>
    <row r="158" spans="1:43" ht="24" customHeight="1">
      <c r="A158" s="1" t="str">
        <f>'Replacement plan'!A44</f>
        <v>T038</v>
      </c>
      <c r="B158" s="1">
        <v>3</v>
      </c>
      <c r="C158" s="1">
        <f>IF(COUNTIFS('Fleet register'!$A$7:$A$106,$A158)=1,VLOOKUP($A158,'Fleet register'!$A$7:$S$106,2,FALSE),0)</f>
        <v>0</v>
      </c>
      <c r="D158" s="1" t="str">
        <f>IF('Replacement plan'!$R$44="EV","EV","ICE")</f>
        <v>ICE</v>
      </c>
      <c r="E158" s="1">
        <f>IF(C158=0,0,IF('Replacement plan'!$S$44="",IF('Replacement plan'!$R$44="Keep ICE",IF('Replacement plan'!$M$44="",VLOOKUP($A158,'Fleet register'!$A$7:$S$106,10,FALSE),'Replacement plan'!$M$44),0),'Replacement plan'!$S$44))</f>
        <v>0</v>
      </c>
      <c r="F158" s="16">
        <f>IF(C158=0,0,VLOOKUP($A158,'Fleet register'!$A$7:$S$106,11,FALSE))</f>
        <v>0</v>
      </c>
      <c r="G158" s="16">
        <f>IFERROR(IF(C158=0,0,IF(E158=120,0,IF(D158="ICE",'Replacement plan'!$C$44,IF('Replacement plan'!$D$44="",INDEX(Products!$I$7:$I$13,MATCH('Replacement plan'!$B$44,Products!$A$7:$A$13,0))+'Operating costs'!$B$57,'Replacement plan'!$D$44))*(1+'Operating costs'!$B$50)^(E158/12))),"n.a.")</f>
        <v>0</v>
      </c>
      <c r="H158" s="16">
        <f>IFERROR(IF(C158=0,0,IF('Replacement plan'!$V$44&lt;&gt;"",'Replacement plan'!$V$44,IF(E158=0,F158,VLOOKUP($A158,'Fleet register'!$A$7:$S$106,12,FALSE)+VLOOKUP($A158,'Fleet register'!$A$7:$S$106,13,FALSE)*MAX(0,VLOOKUP($A158,'Fleet register'!$A$7:$S$106,10,FALSE)-E158)/VLOOKUP($A158,'Fleet register'!$A$7:$S$106,14,FALSE)))),"n.a.")</f>
        <v>0</v>
      </c>
      <c r="I158" s="16">
        <f>IF(C158=0,0,IF(E158=120,0,'Replacement plan'!$T$44))</f>
        <v>0</v>
      </c>
      <c r="J158" s="16">
        <f>IF(C158=0,0,IF(P158="Complete",((S158*(R158-'Operating costs'!$B$39))+ROUNDUP(S158*(R158-'Operating costs'!$B$39)*IF('Replacement plan'!$AG$44="",'Operating costs'!$B$7,'Replacement plan'!$AG$44)/('Operating costs'!$B$8-'Operating costs'!$B$9*IF('Replacement plan'!$AG$44="",'Operating costs'!$B$7,'Replacement plan'!$AG$44)),0)*'Operating costs'!$B$9)*IF('Replacement plan'!$AG$44="",'Operating costs'!$B$7,'Replacement plan'!$AG$44)*('Energy and charging'!$C$9*'Energy and charging'!$C$7+(1-'Energy and charging'!$C$9)*'Energy and charging'!$C$8)*'Operating costs'!$B$23,"n.a."))</f>
        <v>0</v>
      </c>
      <c r="K158" s="16">
        <f>IF(C158=0,0,IF(P158="Complete",SUM('Operating costs'!$B$24,'Operating costs'!$B$27,'Operating costs'!$B$29,'Operating costs'!$B$31,'Operating costs'!$B$33,'Operating costs'!$B$34,'Operating costs'!$B$37,'Replacement plan'!$W$44)+'Operating costs'!$B$39*'Operating costs'!$B$42+ROUNDUP(S158*(R158-'Operating costs'!$B$39)*IF('Replacement plan'!$AG$44="",'Operating costs'!$B$7,'Replacement plan'!$AG$44)/('Operating costs'!$B$8-'Operating costs'!$B$9*IF('Replacement plan'!$AG$44="",'Operating costs'!$B$7,'Replacement plan'!$AG$44)),0)*('Operating costs'!$B$9/'Operating costs'!$B$11+'Operating costs'!$B$10/60)*'Operating costs'!$B$19*'Operating costs'!$B$21,"n.a."))</f>
        <v>0</v>
      </c>
      <c r="L158" s="16">
        <f>IF(C158=0,0,IF(P158="Complete",IF(D158="EV",X158*((1-T158)*'Energy and charging'!$C$10+T158*'Energy and charging'!$C$11)*'Operating costs'!$B$22,AA158*('Energy and charging'!$C$9*'Energy and charging'!$C$7+(1-'Energy and charging'!$C$9)*'Energy and charging'!$C$8)*'Operating costs'!$B$23),"n.a."))</f>
        <v>0</v>
      </c>
      <c r="M158" s="37">
        <f>IF(C158=0,0,IF(P158="Complete",IF(D158="ICE",SUM('Operating costs'!$B$25,'Operating costs'!$B$27,'Operating costs'!$B$29,'Operating costs'!$B$31,'Operating costs'!$B$33,'Operating costs'!$B$35,'Operating costs'!$B$37,'Replacement plan'!$X$44)+'Operating costs'!$B$40*'Operating costs'!$B$42+ROUNDUP(S158*(R158-'Operating costs'!$B$40)*IF('Replacement plan'!$AH$44="",'Operating costs'!$B$7,'Replacement plan'!$AH$44)/('Operating costs'!$B$8-'Operating costs'!$B$9*IF('Replacement plan'!$AH$44="",'Operating costs'!$B$7,'Replacement plan'!$AH$44)),0)*('Operating costs'!$B$9/'Operating costs'!$B$11+'Operating costs'!$B$10/60)*'Operating costs'!$B$19*'Operating costs'!$B$21,SUM(AP158,'Operating costs'!$B$28,'Operating costs'!$B$30,'Operating costs'!$B$32,'Operating costs'!$B$33,'Operating costs'!$B$36,'Operating costs'!$B$38,'Replacement plan'!$Y$44)+'Operating costs'!$B$41*'Operating costs'!$B$43+W158*'Operating costs'!$B$15+(T158*X158/'Replacement plan'!$L$44+W158*('Operating costs'!$B$12/'Operating costs'!$B$11+('Operating costs'!$B$13+'Operating costs'!$B$14)/60)+(R158-'Operating costs'!$B$41)*(IF(T158&lt;1,'Operating costs'!$B$16,0)+'Operating costs'!$B$17)/60)*'Operating costs'!$B$19*'Operating costs'!$B$20),"n.a."))</f>
        <v>0</v>
      </c>
      <c r="N158" s="16">
        <f>IF(AND(C158=1,D158="EV",E158&lt;120,E158+'Replacement plan'!$AA$44&lt;=120),'Replacement plan'!$Z$44,0)</f>
        <v>0</v>
      </c>
      <c r="O158" s="1">
        <f>E158+'Replacement plan'!$AA$44</f>
        <v>0</v>
      </c>
      <c r="P158" s="35" t="str">
        <f>IFERROR(IF(C158=0,"Excluded",IF(OR(COUNTIFS('Fleet register'!$A$7:$A$106,A158)&lt;&gt;1,COUNTIFS('Replacement plan'!$A$7:$A$106,A158)&lt;&gt;1),"Duplicate/missing ID",IF(NOT(AND(ISNUMBER(VLOOKUP($A158,'Fleet register'!$A$7:$S$106,5,FALSE)),ISNUMBER(VLOOKUP($A158,'Fleet register'!$A$7:$S$106,6,FALSE)),ISNUMBER(VLOOKUP($A158,'Fleet register'!$A$7:$S$106,10,FALSE)),ISNUMBER(VLOOKUP($A158,'Fleet register'!$A$7:$S$106,11,FALSE)),ISNUMBER(VLOOKUP($A158,'Fleet register'!$A$7:$S$106,12,FALSE)),ISNUMBER(VLOOKUP($A158,'Fleet register'!$A$7:$S$106,13,FALSE)),ISNUMBER(VLOOKUP($A158,'Fleet register'!$A$7:$S$106,14,FALSE)),VLOOKUP($A158,'Fleet register'!$A$7:$S$106,14,FALSE)&gt;0,ISNUMBER('Replacement plan'!$C$44),OR(E158=120,ISNUMBER('Replacement plan'!$T$44)),ISNUMBER(E158))),"Missing vehicle input",IF(OR(E158&lt;0,E158&gt;VLOOKUP($A158,'Fleet register'!$A$7:$S$106,10,FALSE),E158&gt;120,E158&lt;&gt;INT(E158),VLOOKUP($A158,'Fleet register'!$A$7:$S$106,6,FALSE)&lt;=0,VLOOKUP($A158,'Fleet register'!$A$7:$S$106,6,FALSE)&gt;366,VLOOKUP($A158,'Fleet register'!$A$7:$S$106,5,FALSE)&lt;0,VLOOKUP($A158,'Fleet register'!$A$7:$S$106,11,FALSE)&lt;0,I158&lt;0,'Operating costs'!$B$8&lt;='Operating costs'!$B$7*'Operating costs'!$B$9,'Operating costs'!$B$11&lt;=0,'Operating costs'!$B$39&gt;R158,'Operating costs'!$B$40&gt;R158,'Operating costs'!$B$41&gt;R158,NOT(OR('Replacement plan'!$R$44="Keep ICE",'Replacement plan'!$R$44="New ICE",'Replacement plan'!$R$44="EV"))),"Invalid vehicle input",IF(AND(D158="EV",E158&lt;120,OR(NOT(ISNUMBER(U158)),NOT(ISNUMBER(V158)),V158&lt;=0,T158&lt;0,T158&gt;1,'Replacement plan'!$L$44&lt;=0,'Operating costs'!$B$44&lt;0,'Operating costs'!$B$44&gt;=1,'Operating costs'!$B$47&lt;=0,'Operating costs'!$B$47&gt;1,V158*'Operating costs'!$B$47/(1-'Operating costs'!$B$44)&lt;=T158*'Operating costs'!$B$12*U158,AND('Replacement plan'!$Z$44&gt;0,OR('Replacement plan'!$AB$44&lt;&gt;"Yes",'Operating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charging'!$C$8&gt;=0))),ISNUMBER(VLOOKUP($A158,'Fleet register'!$A$7:$S$106,15,FALSE)),ISNUMBER(VLOOKUP($A158,'Fleet register'!$A$7:$S$106,16,FALSE)),ISNUMBER('Replacement plan'!$W$44),ISNUMBER('Replacement plan'!$X$44),OR(E158=120,AND(ISNUMBER(G158),G158&gt;=0)),ISNUMBER(H158),H158&gt;=0,OR(D158&lt;&gt;"EV",E158=120,AND(ISNUMBER('Operating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average",ISNUMBER(IFERROR(INDEX(Products!$P$7:$P$13,MATCH(AD158,Products!$A$7:$A$13,0)),"")))),ISNUMBER('Operating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plan'!$Y$44),ISNUMBER('Replacement plan'!$Z$44),'Replacement plan'!$Z$44&gt;=0,ISNUMBER('Replacement plan'!$AA$44),'Replacement plan'!$AA$44&gt;=0,'Replacement plan'!$AA$44=INT('Replacement plan'!$AA$44),ISNUMBER('Replacement plan'!$L$44))),'Operating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plan'!$AG$44="",'Operating costs'!$B$7,'Replacement plan'!$AG$44)),IF('Replacement plan'!$AG$44="",'Operating costs'!$B$7,'Replacement plan'!$AG$44)&gt;=0,ISNUMBER(IF('Replacement plan'!$AH$44="",'Operating costs'!$B$7,'Replacement plan'!$AH$44)),IF('Replacement plan'!$AH$44="",'Operating costs'!$B$7,'Replacement plan'!$AH$44)&gt;=0,'Operating costs'!$B$8&gt;MAX(IF('Replacement plan'!$AG$44="",'Operating costs'!$B$7,'Replacement plan'!$AG$44),IF('Replacement plan'!$AH$44="",'Operating costs'!$B$7,'Replacement plan'!$AH$44))*'Operating costs'!$B$9),IF(AND(VLOOKUP($A158,'Fleet register'!$A$7:$S$106,10,FALSE)&gt;=0,VLOOKUP($A158,'Fleet register'!$A$7:$S$106,10,FALSE)&lt;=120,VLOOKUP($A158,'Fleet register'!$A$7:$S$106,10,FALSE)=INT(VLOOKUP($A158,'Fleet register'!$A$7:$S$106,10,FALSE)),VLOOKUP($A158,'Fleet register'!$A$7:$S$106,15,FALSE)&gt;=0,VLOOKUP($A158,'Fleet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costs'!$B$67)&gt;=0,OR(D158&lt;&gt;"EV",E158=120,AND(MIN('Operating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58" s="1" t="str">
        <f>IF(C158=0,"Excluded",IF(P158&lt;&gt;"Complete",P158,IF(OR('Replacement plan'!$AD$44&lt;120-E158,AND(D158="EV",E158&lt;120,OR('Replacement plan'!$AC$44&lt;120-E158,'Replacement plan'!$I$44="No",AND(ISNUMBER(AF158),AE158&gt;AF158),AI158&gt;V158*(1-'Operating costs'!$B$46)^MAX(0,AB158-1)*(1-'Operating costs'!$B$45),AC158&gt;'Operating costs'!$B$18,AND(T158&lt;1,OR(AG158&lt;=0,AND(ISNUMBER(AH158),AG158&gt;AH158))),'Replacement plan'!$L$44&gt;INDEX(Products!$H$7:$H$13,MATCH('Replacement plan'!$B$44,Products!$A$7:$A$13,0))))),"Fails entered limits",IF(AND(D158="EV",E158&lt;120,OR(NOT(ISNUMBER(VLOOKUP($A158,'Fleet register'!$A$7:$S$106,7,FALSE))),NOT(ISNUMBER(VLOOKUP($A158,'Fleet register'!$A$7:$S$106,8,FALSE))),NOT(ISNUMBER(AF158)),'Replacement plan'!$I$44&lt;&gt;"Yes",NOT(ISNUMBER(AH158)),'Operating costs'!$B$59&lt;&gt;"Yes",'Operating costs'!$B$58&lt;&gt;"Yes")),"Unverified","Within entered limits"))))</f>
        <v>Excluded</v>
      </c>
      <c r="R158" s="1">
        <f>IF(C158=0,0,VLOOKUP($A158,'Fleet register'!$A$7:$S$106,6,FALSE))</f>
        <v>0</v>
      </c>
      <c r="S158" s="1">
        <f>IF(C158=0,0,VLOOKUP($A158,'Fleet register'!$A$7:$S$106,5,FALSE))</f>
        <v>0</v>
      </c>
      <c r="T158" s="1">
        <f>IF(D158="EV",'Energy and charging'!$C$12,0)</f>
        <v>0</v>
      </c>
      <c r="U158" s="1">
        <f>IFERROR(IF(C158=0,0,IF(D158="EV",IF('Replacement plan'!$F$44="",INDEX(Products!$E$7:$E$13,MATCH('Replacement plan'!$B$44,Products!$A$7:$A$13,0)),'Replacement plan'!$F$44)/IF('Replacement plan'!$G$44="Battery",1-'Operating costs'!$B$44,1),0)),"n.a.")</f>
        <v>0</v>
      </c>
      <c r="V158" s="1">
        <f>IFERROR(IF(C158=0,0,IF(D158="EV",IF('Replacement plan'!$E$44="",INDEX(Products!$D$7:$D$13,MATCH('Replacement plan'!$B$44,Products!$A$7:$A$13,0)),'Replacement plan'!$E$44),0)),"n.a.")</f>
        <v>0</v>
      </c>
      <c r="W158" s="1">
        <f>IF(C158=0,0,IF(AND(P158="Complete",D158="EV",E158&lt;120),IF(T158=0,0,ROUNDUP(T158*(R158-'Operating costs'!$B$41)*(S158*U158+'Operating costs'!$B$48/(1-'Operating costs'!$B$44))/(V158*'Operating costs'!$B$47/(1-'Operating costs'!$B$44)-T158*'Operating costs'!$B$12*U158),0)),0))</f>
        <v>0</v>
      </c>
      <c r="X158" s="1">
        <f>IF(C158=0,0,IF(AND(P158="Complete",D158="EV",E158&lt;120),(R158-'Operating costs'!$B$41)*(S158*U158+'Operating costs'!$B$48/(1-'Operating costs'!$B$44))+W158*'Operating costs'!$B$12*U158,0))</f>
        <v>0</v>
      </c>
      <c r="Y158" s="1">
        <f>IF(AND(C158=1,D158="EV",E158&lt;120),AI158/(1-'Operating costs'!$B$44)*(1-T158),0)</f>
        <v>0</v>
      </c>
      <c r="Z158" s="1">
        <f t="shared" si="4"/>
        <v>0</v>
      </c>
      <c r="AA158" s="1">
        <f>IF(C158=0,0,IF(P158="Complete",((S158*(R158-'Operating costs'!$B$40))+ROUNDUP(S158*(R158-'Operating costs'!$B$40)*IF('Replacement plan'!$AH$44="",'Operating costs'!$B$7,'Replacement plan'!$AH$44)/('Operating costs'!$B$8-'Operating costs'!$B$9*IF('Replacement plan'!$AH$44="",'Operating costs'!$B$7,'Replacement plan'!$AH$44)),0)*'Operating costs'!$B$9)*IF('Replacement plan'!$AH$44="",'Operating costs'!$B$7,'Replacement plan'!$AH$44),"n.a."))</f>
        <v>0</v>
      </c>
      <c r="AB158" s="1">
        <f t="shared" si="5"/>
        <v>0</v>
      </c>
      <c r="AC158" s="1">
        <f>IF(AND(C158=1,D158="EV",E158&lt;120,T158&gt;0),'Operating costs'!$B$12/'Operating costs'!$B$11*60+'Operating costs'!$B$13+'Operating costs'!$B$14+V158*'Operating costs'!$B$47/(1-'Operating costs'!$B$44)/'Replacement plan'!$L$44*60,0)</f>
        <v>0</v>
      </c>
      <c r="AD158" s="1" t="str">
        <f>'Replacement plan'!$B$44</f>
        <v>ChengLong L2EV</v>
      </c>
      <c r="AE158" s="1">
        <f>IF(C158=0,0,VLOOKUP($A158,'Fleet register'!$A$7:$S$106,8,FALSE))</f>
        <v>0</v>
      </c>
      <c r="AF158" s="1" t="str">
        <f>IF('Replacement plan'!$H$44="","n.a.",'Replacement plan'!$H$44)</f>
        <v>n.a.</v>
      </c>
      <c r="AG158" s="1">
        <f>'Replacement plan'!$J$44</f>
        <v>22</v>
      </c>
      <c r="AH158" s="1">
        <f>IFERROR(IF(D158="EV",IF('Replacement plan'!$K$44="AC",IF(ISNUMBER(INDEX(Products!$G$7:$G$13,MATCH('Replacement plan'!$B$44,Products!$A$7:$A$13,0))),INDEX(Products!$G$7:$G$13,MATCH('Replacement plan'!$B$44,Products!$A$7:$A$13,0)),"n.a."),IF(ISNUMBER(INDEX(Products!$H$7:$H$13,MATCH('Replacement plan'!$B$44,Products!$A$7:$A$13,0))),INDEX(Products!$H$7:$H$13,MATCH('Replacement plan'!$B$44,Products!$A$7:$A$13,0)),"n.a.")),0),"n.a.")</f>
        <v>0</v>
      </c>
      <c r="AI158" s="1">
        <f>IF(AND(C158=1,D158="EV",E158&lt;120),(VLOOKUP($A158,'Fleet register'!$A$7:$S$106,7,FALSE)+IF(T158&gt;0,'Operating costs'!$B$12,0))*U158*(1-'Operating costs'!$B$44)+'Operating costs'!$B$49,0)</f>
        <v>0</v>
      </c>
      <c r="AJ158" s="1">
        <f>IF(D158="EV",'Energy and charging'!$C$50,0)</f>
        <v>0</v>
      </c>
      <c r="AK158" s="17">
        <f>EDATE('Operating costs'!$B$63,E158)</f>
        <v>46298</v>
      </c>
      <c r="AL158" s="1">
        <f>IFERROR(IF(D158="EV",INDEX(Products!$B$7:$B$13,MATCH('Replacement plan'!$B$44,Products!$A$7:$A$13,0)),0),"n.a.")</f>
        <v>0</v>
      </c>
      <c r="AM158" s="1" t="str">
        <f>'Replacement plan'!$K$44</f>
        <v>DC</v>
      </c>
      <c r="AN158" s="1" t="str">
        <f>'Replacement plan'!$AE$44</f>
        <v>Assumed</v>
      </c>
      <c r="AO158" s="47">
        <f>IF(AND(C158=1,D158="EV",E158&lt;120),(R158-'Operating costs'!$B$41)*S158+W158*'Operating costs'!$B$12,0)</f>
        <v>0</v>
      </c>
      <c r="AP158" s="41">
        <f>IF(AND(C158=1,D158="EV",E158&lt;120),IF('Operating costs'!$B$68="Hong Seh 200k average",AO158*IFERROR(INDEX(Products!$P$7:$P$13,MATCH(AD158,Products!$A$7:$A$13,0)),"n.a."),'Operating costs'!$B$26),0)</f>
        <v>0</v>
      </c>
      <c r="AQ158" s="40" t="str">
        <f>IF(D158="EV",'Operating costs'!$B$68,"Not applicable")</f>
        <v>Not applicable</v>
      </c>
    </row>
    <row r="159" spans="1:43" ht="24" customHeight="1">
      <c r="A159" s="1" t="str">
        <f>'Replacement plan'!A45</f>
        <v>T039</v>
      </c>
      <c r="B159" s="1">
        <v>0</v>
      </c>
      <c r="C159" s="1">
        <f>IF(COUNTIFS('Fleet register'!$A$7:$A$106,$A159)=1,VLOOKUP($A159,'Fleet register'!$A$7:$S$106,2,FALSE),0)</f>
        <v>0</v>
      </c>
      <c r="D159" s="1" t="str">
        <f>IF("Keep ICE"="EV","EV","ICE")</f>
        <v>ICE</v>
      </c>
      <c r="E159" s="1">
        <f>IF(C159=0,0,IF('Replacement plan'!$M$45="",VLOOKUP($A159,'Fleet register'!$A$7:$S$106,10,FALSE),'Replacement plan'!$M$45))</f>
        <v>0</v>
      </c>
      <c r="F159" s="16">
        <f>IF(C159=0,0,VLOOKUP($A159,'Fleet register'!$A$7:$S$106,11,FALSE))</f>
        <v>0</v>
      </c>
      <c r="G159" s="16">
        <f>IFERROR(IF(C159=0,0,IF(E159=120,0,IF(D159="ICE",'Replacement plan'!$C$45,IF('Replacement plan'!$D$45="",INDEX(Products!$I$7:$I$13,MATCH('Replacement plan'!$B$45,Products!$A$7:$A$13,0))+'Operating costs'!$B$57,'Replacement plan'!$D$45))*(1+'Operating costs'!$B$50)^(E159/12))),"n.a.")</f>
        <v>0</v>
      </c>
      <c r="H159" s="16">
        <f>IFERROR(IF(C159=0,0,IF(E159=0,F159,VLOOKUP($A159,'Fleet register'!$A$7:$S$106,12,FALSE)+VLOOKUP($A159,'Fleet register'!$A$7:$S$106,13,FALSE)*MAX(0,VLOOKUP($A159,'Fleet register'!$A$7:$S$106,10,FALSE)-E159)/VLOOKUP($A159,'Fleet register'!$A$7:$S$106,14,FALSE))),"n.a.")</f>
        <v>0</v>
      </c>
      <c r="I159" s="16">
        <f>IF(C159=0,0,IF(E159=120,0,'Replacement plan'!$N$45))</f>
        <v>0</v>
      </c>
      <c r="J159" s="16">
        <f>IF(C159=0,0,IF(P159="Complete",((S159*(R159-'Operating costs'!$B$39))+ROUNDUP(S159*(R159-'Operating costs'!$B$39)*IF('Replacement plan'!$AG$45="",'Operating costs'!$B$7,'Replacement plan'!$AG$45)/('Operating costs'!$B$8-'Operating costs'!$B$9*IF('Replacement plan'!$AG$45="",'Operating costs'!$B$7,'Replacement plan'!$AG$45)),0)*'Operating costs'!$B$9)*IF('Replacement plan'!$AG$45="",'Operating costs'!$B$7,'Replacement plan'!$AG$45)*('Energy and charging'!$B$9*'Energy and charging'!$B$7+(1-'Energy and charging'!$B$9)*'Energy and charging'!$B$8)*'Operating costs'!$B$23,"n.a."))</f>
        <v>0</v>
      </c>
      <c r="K159" s="16">
        <f>IF(C159=0,0,IF(P159="Complete",SUM('Operating costs'!$B$24,'Operating costs'!$B$27,'Operating costs'!$B$29,'Operating costs'!$B$31,'Operating costs'!$B$33,'Operating costs'!$B$34,'Operating costs'!$B$37,'Replacement plan'!$W$45)+'Operating costs'!$B$39*'Operating costs'!$B$42+ROUNDUP(S159*(R159-'Operating costs'!$B$39)*IF('Replacement plan'!$AG$45="",'Operating costs'!$B$7,'Replacement plan'!$AG$45)/('Operating costs'!$B$8-'Operating costs'!$B$9*IF('Replacement plan'!$AG$45="",'Operating costs'!$B$7,'Replacement plan'!$AG$45)),0)*('Operating costs'!$B$9/'Operating costs'!$B$11+'Operating costs'!$B$10/60)*'Operating costs'!$B$19*'Operating costs'!$B$21,"n.a."))</f>
        <v>0</v>
      </c>
      <c r="L159" s="16">
        <f>IF(C159=0,0,IF(P159="Complete",IF(D159="EV",X159*((1-T159)*'Energy and charging'!$B$10+T159*'Energy and charging'!$B$11)*'Operating costs'!$B$22,AA159*('Energy and charging'!$B$9*'Energy and charging'!$B$7+(1-'Energy and charging'!$B$9)*'Energy and charging'!$B$8)*'Operating costs'!$B$23),"n.a."))</f>
        <v>0</v>
      </c>
      <c r="M159" s="37">
        <f>IF(C159=0,0,IF(P159="Complete",IF(D159="ICE",SUM('Operating costs'!$B$25,'Operating costs'!$B$27,'Operating costs'!$B$29,'Operating costs'!$B$31,'Operating costs'!$B$33,'Operating costs'!$B$35,'Operating costs'!$B$37,'Replacement plan'!$X$45)+'Operating costs'!$B$40*'Operating costs'!$B$42+ROUNDUP(S159*(R159-'Operating costs'!$B$40)*IF('Replacement plan'!$AH$45="",'Operating costs'!$B$7,'Replacement plan'!$AH$45)/('Operating costs'!$B$8-'Operating costs'!$B$9*IF('Replacement plan'!$AH$45="",'Operating costs'!$B$7,'Replacement plan'!$AH$45)),0)*('Operating costs'!$B$9/'Operating costs'!$B$11+'Operating costs'!$B$10/60)*'Operating costs'!$B$19*'Operating costs'!$B$21,SUM(AP159,'Operating costs'!$B$28,'Operating costs'!$B$30,'Operating costs'!$B$32,'Operating costs'!$B$33,'Operating costs'!$B$36,'Operating costs'!$B$38,'Replacement plan'!$Y$45)+'Operating costs'!$B$41*'Operating costs'!$B$43+W159*'Operating costs'!$B$15+(T159*X159/'Replacement plan'!$L$45+W159*('Operating costs'!$B$12/'Operating costs'!$B$11+('Operating costs'!$B$13+'Operating costs'!$B$14)/60)+(R159-'Operating costs'!$B$41)*(IF(T159&lt;1,'Operating costs'!$B$16,0)+'Operating costs'!$B$17)/60)*'Operating costs'!$B$19*'Operating costs'!$B$20),"n.a."))</f>
        <v>0</v>
      </c>
      <c r="N159" s="16">
        <f>IF(AND(C159=1,D159="EV",E159&lt;120,E159+'Replacement plan'!$AA$45&lt;=120),'Replacement plan'!$Z$45,0)</f>
        <v>0</v>
      </c>
      <c r="O159" s="1">
        <f>E159+'Replacement plan'!$AA$45</f>
        <v>0</v>
      </c>
      <c r="P159" s="35" t="str">
        <f>IFERROR(IF(C159=0,"Excluded",IF(OR(COUNTIFS('Fleet register'!$A$7:$A$106,A159)&lt;&gt;1,COUNTIFS('Replacement plan'!$A$7:$A$106,A159)&lt;&gt;1),"Duplicate/missing ID",IF(NOT(AND(ISNUMBER(VLOOKUP($A159,'Fleet register'!$A$7:$S$106,5,FALSE)),ISNUMBER(VLOOKUP($A159,'Fleet register'!$A$7:$S$106,6,FALSE)),ISNUMBER(VLOOKUP($A159,'Fleet register'!$A$7:$S$106,10,FALSE)),ISNUMBER(VLOOKUP($A159,'Fleet register'!$A$7:$S$106,11,FALSE)),ISNUMBER(VLOOKUP($A159,'Fleet register'!$A$7:$S$106,12,FALSE)),ISNUMBER(VLOOKUP($A159,'Fleet register'!$A$7:$S$106,13,FALSE)),ISNUMBER(VLOOKUP($A159,'Fleet register'!$A$7:$S$106,14,FALSE)),VLOOKUP($A159,'Fleet register'!$A$7:$S$106,14,FALSE)&gt;0,ISNUMBER('Replacement plan'!$C$45),OR(E159=120,ISNUMBER('Replacement plan'!$N$45)),ISNUMBER(E159))),"Missing vehicle input",IF(OR(E159&lt;0,E159&gt;VLOOKUP($A159,'Fleet register'!$A$7:$S$106,10,FALSE),E159&gt;120,E159&lt;&gt;INT(E159),VLOOKUP($A159,'Fleet register'!$A$7:$S$106,6,FALSE)&lt;=0,VLOOKUP($A159,'Fleet register'!$A$7:$S$106,6,FALSE)&gt;366,VLOOKUP($A159,'Fleet register'!$A$7:$S$106,5,FALSE)&lt;0,VLOOKUP($A159,'Fleet register'!$A$7:$S$106,11,FALSE)&lt;0,I159&lt;0,'Operating costs'!$B$8&lt;='Operating costs'!$B$7*'Operating costs'!$B$9,'Operating costs'!$B$11&lt;=0,'Operating costs'!$B$39&gt;R159,'Operating costs'!$B$40&gt;R159,'Operating costs'!$B$41&gt;R159,NOT(OR("Keep ICE"="Keep ICE","Keep ICE"="New ICE","Keep ICE"="EV"))),"Invalid vehicle input",IF(AND(D159="EV",E159&lt;120,OR(NOT(ISNUMBER(U159)),NOT(ISNUMBER(V159)),V159&lt;=0,T159&lt;0,T159&gt;1,'Replacement plan'!$L$45&lt;=0,'Operating costs'!$B$44&lt;0,'Operating costs'!$B$44&gt;=1,'Operating costs'!$B$47&lt;=0,'Operating costs'!$B$47&gt;1,V159*'Operating costs'!$B$47/(1-'Operating costs'!$B$44)&lt;=T159*'Operating costs'!$B$12*U159,AND('Replacement plan'!$Z$45&gt;0,OR('Replacement plan'!$AB$45&lt;&gt;"Yes",'Operating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charging'!$B$8&gt;=0))),ISNUMBER(VLOOKUP($A159,'Fleet register'!$A$7:$S$106,15,FALSE)),ISNUMBER(VLOOKUP($A159,'Fleet register'!$A$7:$S$106,16,FALSE)),ISNUMBER('Replacement plan'!$W$45),ISNUMBER('Replacement plan'!$X$45),OR(E159=120,AND(ISNUMBER(G159),G159&gt;=0)),ISNUMBER(H159),H159&gt;=0,OR(D159&lt;&gt;"EV",E159=120,AND(ISNUMBER('Operating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average",ISNUMBER(IFERROR(INDEX(Products!$P$7:$P$13,MATCH(AD159,Products!$A$7:$A$13,0)),"")))),ISNUMBER('Operating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plan'!$Y$45),ISNUMBER('Replacement plan'!$Z$45),'Replacement plan'!$Z$45&gt;=0,ISNUMBER('Replacement plan'!$AA$45),'Replacement plan'!$AA$45&gt;=0,'Replacement plan'!$AA$45=INT('Replacement plan'!$AA$45),ISNUMBER('Replacement plan'!$L$45))),'Operating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plan'!$AG$45="",'Operating costs'!$B$7,'Replacement plan'!$AG$45)),IF('Replacement plan'!$AG$45="",'Operating costs'!$B$7,'Replacement plan'!$AG$45)&gt;=0,ISNUMBER(IF('Replacement plan'!$AH$45="",'Operating costs'!$B$7,'Replacement plan'!$AH$45)),IF('Replacement plan'!$AH$45="",'Operating costs'!$B$7,'Replacement plan'!$AH$45)&gt;=0,'Operating costs'!$B$8&gt;MAX(IF('Replacement plan'!$AG$45="",'Operating costs'!$B$7,'Replacement plan'!$AG$45),IF('Replacement plan'!$AH$45="",'Operating costs'!$B$7,'Replacement plan'!$AH$45))*'Operating costs'!$B$9),IF(AND(VLOOKUP($A159,'Fleet register'!$A$7:$S$106,10,FALSE)&gt;=0,VLOOKUP($A159,'Fleet register'!$A$7:$S$106,10,FALSE)&lt;=120,VLOOKUP($A159,'Fleet register'!$A$7:$S$106,10,FALSE)=INT(VLOOKUP($A159,'Fleet register'!$A$7:$S$106,10,FALSE)),VLOOKUP($A159,'Fleet register'!$A$7:$S$106,15,FALSE)&gt;=0,VLOOKUP($A159,'Fleet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costs'!$B$67)&gt;=0,OR(D159&lt;&gt;"EV",E159=120,AND(MIN('Operating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59" s="1" t="str">
        <f>IF(C159=0,"Excluded",IF(P159&lt;&gt;"Complete",P159,IF(OR('Replacement plan'!$AD$45&lt;120-E159,AND(D159="EV",E159&lt;120,OR('Replacement plan'!$AC$45&lt;120-E159,'Replacement plan'!$I$45="No",AND(ISNUMBER(AF159),AE159&gt;AF159),AI159&gt;V159*(1-'Operating costs'!$B$46)^MAX(0,AB159-1)*(1-'Operating costs'!$B$45),AC159&gt;'Operating costs'!$B$18,AND(T159&lt;1,OR(AG159&lt;=0,AND(ISNUMBER(AH159),AG159&gt;AH159))),'Replacement plan'!$L$45&gt;INDEX(Products!$H$7:$H$13,MATCH('Replacement plan'!$B$45,Products!$A$7:$A$13,0))))),"Fails entered limits",IF(AND(D159="EV",E159&lt;120,OR(NOT(ISNUMBER(VLOOKUP($A159,'Fleet register'!$A$7:$S$106,7,FALSE))),NOT(ISNUMBER(VLOOKUP($A159,'Fleet register'!$A$7:$S$106,8,FALSE))),NOT(ISNUMBER(AF159)),'Replacement plan'!$I$45&lt;&gt;"Yes",NOT(ISNUMBER(AH159)),'Operating costs'!$B$59&lt;&gt;"Yes",'Operating costs'!$B$58&lt;&gt;"Yes")),"Unverified","Within entered limits"))))</f>
        <v>Excluded</v>
      </c>
      <c r="R159" s="1">
        <f>IF(C159=0,0,VLOOKUP($A159,'Fleet register'!$A$7:$S$106,6,FALSE))</f>
        <v>0</v>
      </c>
      <c r="S159" s="1">
        <f>IF(C159=0,0,VLOOKUP($A159,'Fleet register'!$A$7:$S$106,5,FALSE))</f>
        <v>0</v>
      </c>
      <c r="T159" s="1">
        <f>IF(D159="EV",'Energy and charging'!$B$12,0)</f>
        <v>0</v>
      </c>
      <c r="U159" s="1">
        <f>IFERROR(IF(C159=0,0,IF(D159="EV",IF('Replacement plan'!$F$45="",INDEX(Products!$E$7:$E$13,MATCH('Replacement plan'!$B$45,Products!$A$7:$A$13,0)),'Replacement plan'!$F$45)/IF('Replacement plan'!$G$45="Battery",1-'Operating costs'!$B$44,1),0)),"n.a.")</f>
        <v>0</v>
      </c>
      <c r="V159" s="1">
        <f>IFERROR(IF(C159=0,0,IF(D159="EV",IF('Replacement plan'!$E$45="",INDEX(Products!$D$7:$D$13,MATCH('Replacement plan'!$B$45,Products!$A$7:$A$13,0)),'Replacement plan'!$E$45),0)),"n.a.")</f>
        <v>0</v>
      </c>
      <c r="W159" s="1">
        <f>IF(C159=0,0,IF(AND(P159="Complete",D159="EV",E159&lt;120),IF(T159=0,0,ROUNDUP(T159*(R159-'Operating costs'!$B$41)*(S159*U159+'Operating costs'!$B$48/(1-'Operating costs'!$B$44))/(V159*'Operating costs'!$B$47/(1-'Operating costs'!$B$44)-T159*'Operating costs'!$B$12*U159),0)),0))</f>
        <v>0</v>
      </c>
      <c r="X159" s="1">
        <f>IF(C159=0,0,IF(AND(P159="Complete",D159="EV",E159&lt;120),(R159-'Operating costs'!$B$41)*(S159*U159+'Operating costs'!$B$48/(1-'Operating costs'!$B$44))+W159*'Operating costs'!$B$12*U159,0))</f>
        <v>0</v>
      </c>
      <c r="Y159" s="1">
        <f>IF(AND(C159=1,D159="EV",E159&lt;120),AI159/(1-'Operating costs'!$B$44)*(1-T159),0)</f>
        <v>0</v>
      </c>
      <c r="Z159" s="1">
        <f t="shared" si="4"/>
        <v>0</v>
      </c>
      <c r="AA159" s="1">
        <f>IF(C159=0,0,IF(P159="Complete",((S159*(R159-'Operating costs'!$B$40))+ROUNDUP(S159*(R159-'Operating costs'!$B$40)*IF('Replacement plan'!$AH$45="",'Operating costs'!$B$7,'Replacement plan'!$AH$45)/('Operating costs'!$B$8-'Operating costs'!$B$9*IF('Replacement plan'!$AH$45="",'Operating costs'!$B$7,'Replacement plan'!$AH$45)),0)*'Operating costs'!$B$9)*IF('Replacement plan'!$AH$45="",'Operating costs'!$B$7,'Replacement plan'!$AH$45),"n.a."))</f>
        <v>0</v>
      </c>
      <c r="AB159" s="1">
        <f t="shared" si="5"/>
        <v>0</v>
      </c>
      <c r="AC159" s="1">
        <f>IF(AND(C159=1,D159="EV",E159&lt;120,T159&gt;0),'Operating costs'!$B$12/'Operating costs'!$B$11*60+'Operating costs'!$B$13+'Operating costs'!$B$14+V159*'Operating costs'!$B$47/(1-'Operating costs'!$B$44)/'Replacement plan'!$L$45*60,0)</f>
        <v>0</v>
      </c>
      <c r="AD159" s="1" t="str">
        <f>'Replacement plan'!$B$45</f>
        <v>ChengLong L2EV</v>
      </c>
      <c r="AE159" s="1">
        <f>IF(C159=0,0,VLOOKUP($A159,'Fleet register'!$A$7:$S$106,8,FALSE))</f>
        <v>0</v>
      </c>
      <c r="AF159" s="1" t="str">
        <f>IF('Replacement plan'!$H$45="","n.a.",'Replacement plan'!$H$45)</f>
        <v>n.a.</v>
      </c>
      <c r="AG159" s="1">
        <f>'Replacement plan'!$J$45</f>
        <v>22</v>
      </c>
      <c r="AH159" s="1">
        <f>IFERROR(IF(D159="EV",IF('Replacement plan'!$K$45="AC",IF(ISNUMBER(INDEX(Products!$G$7:$G$13,MATCH('Replacement plan'!$B$45,Products!$A$7:$A$13,0))),INDEX(Products!$G$7:$G$13,MATCH('Replacement plan'!$B$45,Products!$A$7:$A$13,0)),"n.a."),IF(ISNUMBER(INDEX(Products!$H$7:$H$13,MATCH('Replacement plan'!$B$45,Products!$A$7:$A$13,0))),INDEX(Products!$H$7:$H$13,MATCH('Replacement plan'!$B$45,Products!$A$7:$A$13,0)),"n.a.")),0),"n.a.")</f>
        <v>0</v>
      </c>
      <c r="AI159" s="1">
        <f>IF(AND(C159=1,D159="EV",E159&lt;120),(VLOOKUP($A159,'Fleet register'!$A$7:$S$106,7,FALSE)+IF(T159&gt;0,'Operating costs'!$B$12,0))*U159*(1-'Operating costs'!$B$44)+'Operating costs'!$B$49,0)</f>
        <v>0</v>
      </c>
      <c r="AJ159" s="1">
        <f>IF(D159="EV",'Energy and charging'!$B$50,0)</f>
        <v>0</v>
      </c>
      <c r="AK159" s="17">
        <f>EDATE('Operating costs'!$B$63,E159)</f>
        <v>46298</v>
      </c>
      <c r="AL159" s="1">
        <f>IFERROR(IF(D159="EV",INDEX(Products!$B$7:$B$13,MATCH('Replacement plan'!$B$45,Products!$A$7:$A$13,0)),0),"n.a.")</f>
        <v>0</v>
      </c>
      <c r="AM159" s="1" t="str">
        <f>'Replacement plan'!$K$45</f>
        <v>DC</v>
      </c>
      <c r="AN159" s="1" t="str">
        <f>'Replacement plan'!$AE$45</f>
        <v>Assumed</v>
      </c>
      <c r="AO159" s="47">
        <f>IF(AND(C159=1,D159="EV",E159&lt;120),(R159-'Operating costs'!$B$41)*S159+W159*'Operating costs'!$B$12,0)</f>
        <v>0</v>
      </c>
      <c r="AP159" s="41">
        <f>IF(AND(C159=1,D159="EV",E159&lt;120),IF('Operating costs'!$B$68="Hong Seh 200k average",AO159*IFERROR(INDEX(Products!$P$7:$P$13,MATCH(AD159,Products!$A$7:$A$13,0)),"n.a."),'Operating costs'!$B$26),0)</f>
        <v>0</v>
      </c>
      <c r="AQ159" s="40" t="str">
        <f>IF(D159="EV",'Operating costs'!$B$68,"Not applicable")</f>
        <v>Not applicable</v>
      </c>
    </row>
    <row r="160" spans="1:43" ht="24" customHeight="1">
      <c r="A160" s="1" t="str">
        <f>'Replacement plan'!A45</f>
        <v>T039</v>
      </c>
      <c r="B160" s="1">
        <v>1</v>
      </c>
      <c r="C160" s="1">
        <f>IF(COUNTIFS('Fleet register'!$A$7:$A$106,$A160)=1,VLOOKUP($A160,'Fleet register'!$A$7:$S$106,2,FALSE),0)</f>
        <v>0</v>
      </c>
      <c r="D160" s="1" t="str">
        <f>IF("New ICE"="EV","EV","ICE")</f>
        <v>ICE</v>
      </c>
      <c r="E160" s="1">
        <f>IF(C160=0,0,0)</f>
        <v>0</v>
      </c>
      <c r="F160" s="16">
        <f>IF(C160=0,0,VLOOKUP($A160,'Fleet register'!$A$7:$S$106,11,FALSE))</f>
        <v>0</v>
      </c>
      <c r="G160" s="16">
        <f>IFERROR(IF(C160=0,0,IF(E160=120,0,IF(D160="ICE",'Replacement plan'!$C$45,IF('Replacement plan'!$D$45="",INDEX(Products!$I$7:$I$13,MATCH('Replacement plan'!$B$45,Products!$A$7:$A$13,0))+'Operating costs'!$B$57,'Replacement plan'!$D$45))*(1+'Operating costs'!$B$50)^(E160/12))),"n.a.")</f>
        <v>0</v>
      </c>
      <c r="H160" s="16">
        <f>IFERROR(IF(C160=0,0,IF(E160=0,F160,VLOOKUP($A160,'Fleet register'!$A$7:$S$106,12,FALSE)+VLOOKUP($A160,'Fleet register'!$A$7:$S$106,13,FALSE)*MAX(0,VLOOKUP($A160,'Fleet register'!$A$7:$S$106,10,FALSE)-E160)/VLOOKUP($A160,'Fleet register'!$A$7:$S$106,14,FALSE))),"n.a.")</f>
        <v>0</v>
      </c>
      <c r="I160" s="16">
        <f>IF(C160=0,0,IF(E160=120,0,IF('Replacement plan'!$AI$45="",'Operating costs'!$B$56,'Replacement plan'!$AI$45)))</f>
        <v>0</v>
      </c>
      <c r="J160" s="16">
        <f>IF(C160=0,0,IF(P160="Complete",((S160*(R160-'Operating costs'!$B$39))+ROUNDUP(S160*(R160-'Operating costs'!$B$39)*IF('Replacement plan'!$AG$45="",'Operating costs'!$B$7,'Replacement plan'!$AG$45)/('Operating costs'!$B$8-'Operating costs'!$B$9*IF('Replacement plan'!$AG$45="",'Operating costs'!$B$7,'Replacement plan'!$AG$45)),0)*'Operating costs'!$B$9)*IF('Replacement plan'!$AG$45="",'Operating costs'!$B$7,'Replacement plan'!$AG$45)*('Energy and charging'!$B$9*'Energy and charging'!$B$7+(1-'Energy and charging'!$B$9)*'Energy and charging'!$B$8)*'Operating costs'!$B$23,"n.a."))</f>
        <v>0</v>
      </c>
      <c r="K160" s="16">
        <f>IF(C160=0,0,IF(P160="Complete",SUM('Operating costs'!$B$24,'Operating costs'!$B$27,'Operating costs'!$B$29,'Operating costs'!$B$31,'Operating costs'!$B$33,'Operating costs'!$B$34,'Operating costs'!$B$37,'Replacement plan'!$W$45)+'Operating costs'!$B$39*'Operating costs'!$B$42+ROUNDUP(S160*(R160-'Operating costs'!$B$39)*IF('Replacement plan'!$AG$45="",'Operating costs'!$B$7,'Replacement plan'!$AG$45)/('Operating costs'!$B$8-'Operating costs'!$B$9*IF('Replacement plan'!$AG$45="",'Operating costs'!$B$7,'Replacement plan'!$AG$45)),0)*('Operating costs'!$B$9/'Operating costs'!$B$11+'Operating costs'!$B$10/60)*'Operating costs'!$B$19*'Operating costs'!$B$21,"n.a."))</f>
        <v>0</v>
      </c>
      <c r="L160" s="16">
        <f>IF(C160=0,0,IF(P160="Complete",IF(D160="EV",X160*((1-T160)*'Energy and charging'!$B$10+T160*'Energy and charging'!$B$11)*'Operating costs'!$B$22,AA160*('Energy and charging'!$B$9*'Energy and charging'!$B$7+(1-'Energy and charging'!$B$9)*'Energy and charging'!$B$8)*'Operating costs'!$B$23),"n.a."))</f>
        <v>0</v>
      </c>
      <c r="M160" s="37">
        <f>IF(C160=0,0,IF(P160="Complete",IF(D160="ICE",SUM('Operating costs'!$B$25,'Operating costs'!$B$27,'Operating costs'!$B$29,'Operating costs'!$B$31,'Operating costs'!$B$33,'Operating costs'!$B$35,'Operating costs'!$B$37,'Replacement plan'!$X$45)+'Operating costs'!$B$40*'Operating costs'!$B$42+ROUNDUP(S160*(R160-'Operating costs'!$B$40)*IF('Replacement plan'!$AH$45="",'Operating costs'!$B$7,'Replacement plan'!$AH$45)/('Operating costs'!$B$8-'Operating costs'!$B$9*IF('Replacement plan'!$AH$45="",'Operating costs'!$B$7,'Replacement plan'!$AH$45)),0)*('Operating costs'!$B$9/'Operating costs'!$B$11+'Operating costs'!$B$10/60)*'Operating costs'!$B$19*'Operating costs'!$B$21,SUM(AP160,'Operating costs'!$B$28,'Operating costs'!$B$30,'Operating costs'!$B$32,'Operating costs'!$B$33,'Operating costs'!$B$36,'Operating costs'!$B$38,'Replacement plan'!$Y$45)+'Operating costs'!$B$41*'Operating costs'!$B$43+W160*'Operating costs'!$B$15+(T160*X160/'Replacement plan'!$L$45+W160*('Operating costs'!$B$12/'Operating costs'!$B$11+('Operating costs'!$B$13+'Operating costs'!$B$14)/60)+(R160-'Operating costs'!$B$41)*(IF(T160&lt;1,'Operating costs'!$B$16,0)+'Operating costs'!$B$17)/60)*'Operating costs'!$B$19*'Operating costs'!$B$20),"n.a."))</f>
        <v>0</v>
      </c>
      <c r="N160" s="16">
        <f>IF(AND(C160=1,D160="EV",E160&lt;120,E160+'Replacement plan'!$AA$45&lt;=120),'Replacement plan'!$Z$45,0)</f>
        <v>0</v>
      </c>
      <c r="O160" s="1">
        <f>E160+'Replacement plan'!$AA$45</f>
        <v>0</v>
      </c>
      <c r="P160" s="35" t="str">
        <f>IFERROR(IF(C160=0,"Excluded",IF(OR(COUNTIFS('Fleet register'!$A$7:$A$106,A160)&lt;&gt;1,COUNTIFS('Replacement plan'!$A$7:$A$106,A160)&lt;&gt;1),"Duplicate/missing ID",IF(NOT(AND(ISNUMBER(VLOOKUP($A160,'Fleet register'!$A$7:$S$106,5,FALSE)),ISNUMBER(VLOOKUP($A160,'Fleet register'!$A$7:$S$106,6,FALSE)),ISNUMBER(VLOOKUP($A160,'Fleet register'!$A$7:$S$106,10,FALSE)),ISNUMBER(VLOOKUP($A160,'Fleet register'!$A$7:$S$106,11,FALSE)),ISNUMBER(VLOOKUP($A160,'Fleet register'!$A$7:$S$106,12,FALSE)),ISNUMBER(VLOOKUP($A160,'Fleet register'!$A$7:$S$106,13,FALSE)),ISNUMBER(VLOOKUP($A160,'Fleet register'!$A$7:$S$106,14,FALSE)),VLOOKUP($A160,'Fleet register'!$A$7:$S$106,14,FALSE)&gt;0,ISNUMBER('Replacement plan'!$C$45),OR(E160=120,OR(ISNUMBER('Replacement plan'!$AI$45),AND('Replacement plan'!$AI$45="",ISNUMBER('Operating costs'!$B$56)))),ISNUMBER(E160))),"Missing vehicle input",IF(OR(E160&lt;0,E160&gt;VLOOKUP($A160,'Fleet register'!$A$7:$S$106,10,FALSE),E160&gt;120,E160&lt;&gt;INT(E160),VLOOKUP($A160,'Fleet register'!$A$7:$S$106,6,FALSE)&lt;=0,VLOOKUP($A160,'Fleet register'!$A$7:$S$106,6,FALSE)&gt;366,VLOOKUP($A160,'Fleet register'!$A$7:$S$106,5,FALSE)&lt;0,VLOOKUP($A160,'Fleet register'!$A$7:$S$106,11,FALSE)&lt;0,I160&lt;0,'Operating costs'!$B$8&lt;='Operating costs'!$B$7*'Operating costs'!$B$9,'Operating costs'!$B$11&lt;=0,'Operating costs'!$B$39&gt;R160,'Operating costs'!$B$40&gt;R160,'Operating costs'!$B$41&gt;R160,NOT(OR("New ICE"="Keep ICE","New ICE"="New ICE","New ICE"="EV"))),"Invalid vehicle input",IF(AND(D160="EV",E160&lt;120,OR(NOT(ISNUMBER(U160)),NOT(ISNUMBER(V160)),V160&lt;=0,T160&lt;0,T160&gt;1,'Replacement plan'!$L$45&lt;=0,'Operating costs'!$B$44&lt;0,'Operating costs'!$B$44&gt;=1,'Operating costs'!$B$47&lt;=0,'Operating costs'!$B$47&gt;1,V160*'Operating costs'!$B$47/(1-'Operating costs'!$B$44)&lt;=T160*'Operating costs'!$B$12*U160,AND('Replacement plan'!$Z$45&gt;0,OR('Replacement plan'!$AB$45&lt;&gt;"Yes",'Operating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charging'!$B$8&gt;=0))),ISNUMBER(VLOOKUP($A160,'Fleet register'!$A$7:$S$106,15,FALSE)),ISNUMBER(VLOOKUP($A160,'Fleet register'!$A$7:$S$106,16,FALSE)),ISNUMBER('Replacement plan'!$W$45),ISNUMBER('Replacement plan'!$X$45),OR(E160=120,AND(ISNUMBER(G160),G160&gt;=0)),ISNUMBER(H160),H160&gt;=0,OR(D160&lt;&gt;"EV",E160=120,AND(ISNUMBER('Operating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average",ISNUMBER(IFERROR(INDEX(Products!$P$7:$P$13,MATCH(AD160,Products!$A$7:$A$13,0)),"")))),ISNUMBER('Operating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plan'!$Y$45),ISNUMBER('Replacement plan'!$Z$45),'Replacement plan'!$Z$45&gt;=0,ISNUMBER('Replacement plan'!$AA$45),'Replacement plan'!$AA$45&gt;=0,'Replacement plan'!$AA$45=INT('Replacement plan'!$AA$45),ISNUMBER('Replacement plan'!$L$45))),'Operating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plan'!$AG$45="",'Operating costs'!$B$7,'Replacement plan'!$AG$45)),IF('Replacement plan'!$AG$45="",'Operating costs'!$B$7,'Replacement plan'!$AG$45)&gt;=0,ISNUMBER(IF('Replacement plan'!$AH$45="",'Operating costs'!$B$7,'Replacement plan'!$AH$45)),IF('Replacement plan'!$AH$45="",'Operating costs'!$B$7,'Replacement plan'!$AH$45)&gt;=0,'Operating costs'!$B$8&gt;MAX(IF('Replacement plan'!$AG$45="",'Operating costs'!$B$7,'Replacement plan'!$AG$45),IF('Replacement plan'!$AH$45="",'Operating costs'!$B$7,'Replacement plan'!$AH$45))*'Operating costs'!$B$9),IF(AND(VLOOKUP($A160,'Fleet register'!$A$7:$S$106,10,FALSE)&gt;=0,VLOOKUP($A160,'Fleet register'!$A$7:$S$106,10,FALSE)&lt;=120,VLOOKUP($A160,'Fleet register'!$A$7:$S$106,10,FALSE)=INT(VLOOKUP($A160,'Fleet register'!$A$7:$S$106,10,FALSE)),VLOOKUP($A160,'Fleet register'!$A$7:$S$106,15,FALSE)&gt;=0,VLOOKUP($A160,'Fleet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costs'!$B$67)&gt;=0,OR(D160&lt;&gt;"EV",E160=120,AND(MIN('Operating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60" s="1" t="str">
        <f>IF(C160=0,"Excluded",IF(P160&lt;&gt;"Complete",P160,IF(OR('Replacement plan'!$AD$45&lt;120-E160,AND(D160="EV",E160&lt;120,OR('Replacement plan'!$AC$45&lt;120-E160,'Replacement plan'!$I$45="No",AND(ISNUMBER(AF160),AE160&gt;AF160),AI160&gt;V160*(1-'Operating costs'!$B$46)^MAX(0,AB160-1)*(1-'Operating costs'!$B$45),AC160&gt;'Operating costs'!$B$18,AND(T160&lt;1,OR(AG160&lt;=0,AND(ISNUMBER(AH160),AG160&gt;AH160))),'Replacement plan'!$L$45&gt;INDEX(Products!$H$7:$H$13,MATCH('Replacement plan'!$B$45,Products!$A$7:$A$13,0))))),"Fails entered limits",IF(AND(D160="EV",E160&lt;120,OR(NOT(ISNUMBER(VLOOKUP($A160,'Fleet register'!$A$7:$S$106,7,FALSE))),NOT(ISNUMBER(VLOOKUP($A160,'Fleet register'!$A$7:$S$106,8,FALSE))),NOT(ISNUMBER(AF160)),'Replacement plan'!$I$45&lt;&gt;"Yes",NOT(ISNUMBER(AH160)),'Operating costs'!$B$59&lt;&gt;"Yes",'Operating costs'!$B$58&lt;&gt;"Yes")),"Unverified","Within entered limits"))))</f>
        <v>Excluded</v>
      </c>
      <c r="R160" s="1">
        <f>IF(C160=0,0,VLOOKUP($A160,'Fleet register'!$A$7:$S$106,6,FALSE))</f>
        <v>0</v>
      </c>
      <c r="S160" s="1">
        <f>IF(C160=0,0,VLOOKUP($A160,'Fleet register'!$A$7:$S$106,5,FALSE))</f>
        <v>0</v>
      </c>
      <c r="T160" s="1">
        <f>IF(D160="EV",'Energy and charging'!$B$12,0)</f>
        <v>0</v>
      </c>
      <c r="U160" s="1">
        <f>IFERROR(IF(C160=0,0,IF(D160="EV",IF('Replacement plan'!$F$45="",INDEX(Products!$E$7:$E$13,MATCH('Replacement plan'!$B$45,Products!$A$7:$A$13,0)),'Replacement plan'!$F$45)/IF('Replacement plan'!$G$45="Battery",1-'Operating costs'!$B$44,1),0)),"n.a.")</f>
        <v>0</v>
      </c>
      <c r="V160" s="1">
        <f>IFERROR(IF(C160=0,0,IF(D160="EV",IF('Replacement plan'!$E$45="",INDEX(Products!$D$7:$D$13,MATCH('Replacement plan'!$B$45,Products!$A$7:$A$13,0)),'Replacement plan'!$E$45),0)),"n.a.")</f>
        <v>0</v>
      </c>
      <c r="W160" s="1">
        <f>IF(C160=0,0,IF(AND(P160="Complete",D160="EV",E160&lt;120),IF(T160=0,0,ROUNDUP(T160*(R160-'Operating costs'!$B$41)*(S160*U160+'Operating costs'!$B$48/(1-'Operating costs'!$B$44))/(V160*'Operating costs'!$B$47/(1-'Operating costs'!$B$44)-T160*'Operating costs'!$B$12*U160),0)),0))</f>
        <v>0</v>
      </c>
      <c r="X160" s="1">
        <f>IF(C160=0,0,IF(AND(P160="Complete",D160="EV",E160&lt;120),(R160-'Operating costs'!$B$41)*(S160*U160+'Operating costs'!$B$48/(1-'Operating costs'!$B$44))+W160*'Operating costs'!$B$12*U160,0))</f>
        <v>0</v>
      </c>
      <c r="Y160" s="1">
        <f>IF(AND(C160=1,D160="EV",E160&lt;120),AI160/(1-'Operating costs'!$B$44)*(1-T160),0)</f>
        <v>0</v>
      </c>
      <c r="Z160" s="1">
        <f t="shared" si="4"/>
        <v>0</v>
      </c>
      <c r="AA160" s="1">
        <f>IF(C160=0,0,IF(P160="Complete",((S160*(R160-'Operating costs'!$B$40))+ROUNDUP(S160*(R160-'Operating costs'!$B$40)*IF('Replacement plan'!$AH$45="",'Operating costs'!$B$7,'Replacement plan'!$AH$45)/('Operating costs'!$B$8-'Operating costs'!$B$9*IF('Replacement plan'!$AH$45="",'Operating costs'!$B$7,'Replacement plan'!$AH$45)),0)*'Operating costs'!$B$9)*IF('Replacement plan'!$AH$45="",'Operating costs'!$B$7,'Replacement plan'!$AH$45),"n.a."))</f>
        <v>0</v>
      </c>
      <c r="AB160" s="1">
        <f t="shared" si="5"/>
        <v>0</v>
      </c>
      <c r="AC160" s="1">
        <f>IF(AND(C160=1,D160="EV",E160&lt;120,T160&gt;0),'Operating costs'!$B$12/'Operating costs'!$B$11*60+'Operating costs'!$B$13+'Operating costs'!$B$14+V160*'Operating costs'!$B$47/(1-'Operating costs'!$B$44)/'Replacement plan'!$L$45*60,0)</f>
        <v>0</v>
      </c>
      <c r="AD160" s="1" t="str">
        <f>'Replacement plan'!$B$45</f>
        <v>ChengLong L2EV</v>
      </c>
      <c r="AE160" s="1">
        <f>IF(C160=0,0,VLOOKUP($A160,'Fleet register'!$A$7:$S$106,8,FALSE))</f>
        <v>0</v>
      </c>
      <c r="AF160" s="1" t="str">
        <f>IF('Replacement plan'!$H$45="","n.a.",'Replacement plan'!$H$45)</f>
        <v>n.a.</v>
      </c>
      <c r="AG160" s="1">
        <f>'Replacement plan'!$J$45</f>
        <v>22</v>
      </c>
      <c r="AH160" s="1">
        <f>IFERROR(IF(D160="EV",IF('Replacement plan'!$K$45="AC",IF(ISNUMBER(INDEX(Products!$G$7:$G$13,MATCH('Replacement plan'!$B$45,Products!$A$7:$A$13,0))),INDEX(Products!$G$7:$G$13,MATCH('Replacement plan'!$B$45,Products!$A$7:$A$13,0)),"n.a."),IF(ISNUMBER(INDEX(Products!$H$7:$H$13,MATCH('Replacement plan'!$B$45,Products!$A$7:$A$13,0))),INDEX(Products!$H$7:$H$13,MATCH('Replacement plan'!$B$45,Products!$A$7:$A$13,0)),"n.a.")),0),"n.a.")</f>
        <v>0</v>
      </c>
      <c r="AI160" s="1">
        <f>IF(AND(C160=1,D160="EV",E160&lt;120),(VLOOKUP($A160,'Fleet register'!$A$7:$S$106,7,FALSE)+IF(T160&gt;0,'Operating costs'!$B$12,0))*U160*(1-'Operating costs'!$B$44)+'Operating costs'!$B$49,0)</f>
        <v>0</v>
      </c>
      <c r="AJ160" s="1">
        <f>IF(D160="EV",'Energy and charging'!$B$50,0)</f>
        <v>0</v>
      </c>
      <c r="AK160" s="17">
        <f>EDATE('Operating costs'!$B$63,E160)</f>
        <v>46298</v>
      </c>
      <c r="AL160" s="1">
        <f>IFERROR(IF(D160="EV",INDEX(Products!$B$7:$B$13,MATCH('Replacement plan'!$B$45,Products!$A$7:$A$13,0)),0),"n.a.")</f>
        <v>0</v>
      </c>
      <c r="AM160" s="1" t="str">
        <f>'Replacement plan'!$K$45</f>
        <v>DC</v>
      </c>
      <c r="AN160" s="1" t="str">
        <f>'Replacement plan'!$AE$45</f>
        <v>Assumed</v>
      </c>
      <c r="AO160" s="47">
        <f>IF(AND(C160=1,D160="EV",E160&lt;120),(R160-'Operating costs'!$B$41)*S160+W160*'Operating costs'!$B$12,0)</f>
        <v>0</v>
      </c>
      <c r="AP160" s="41">
        <f>IF(AND(C160=1,D160="EV",E160&lt;120),IF('Operating costs'!$B$68="Hong Seh 200k average",AO160*IFERROR(INDEX(Products!$P$7:$P$13,MATCH(AD160,Products!$A$7:$A$13,0)),"n.a."),'Operating costs'!$B$26),0)</f>
        <v>0</v>
      </c>
      <c r="AQ160" s="40" t="str">
        <f>IF(D160="EV",'Operating costs'!$B$68,"Not applicable")</f>
        <v>Not applicable</v>
      </c>
    </row>
    <row r="161" spans="1:43" ht="24" customHeight="1">
      <c r="A161" s="1" t="str">
        <f>'Replacement plan'!A45</f>
        <v>T039</v>
      </c>
      <c r="B161" s="1">
        <v>2</v>
      </c>
      <c r="C161" s="1">
        <f>IF(COUNTIFS('Fleet register'!$A$7:$A$106,$A161)=1,VLOOKUP($A161,'Fleet register'!$A$7:$S$106,2,FALSE),0)</f>
        <v>0</v>
      </c>
      <c r="D161" s="1" t="str">
        <f>IF('Replacement plan'!$O$45="EV","EV","ICE")</f>
        <v>ICE</v>
      </c>
      <c r="E161" s="1">
        <f>IF(C161=0,0,IF('Replacement plan'!$P$45="",IF('Replacement plan'!$O$45="Keep ICE",IF('Replacement plan'!$M$45="",VLOOKUP($A161,'Fleet register'!$A$7:$S$106,10,FALSE),'Replacement plan'!$M$45),0),'Replacement plan'!$P$45))</f>
        <v>0</v>
      </c>
      <c r="F161" s="16">
        <f>IF(C161=0,0,VLOOKUP($A161,'Fleet register'!$A$7:$S$106,11,FALSE))</f>
        <v>0</v>
      </c>
      <c r="G161" s="16">
        <f>IFERROR(IF(C161=0,0,IF(E161=120,0,IF(D161="ICE",'Replacement plan'!$C$45,IF('Replacement plan'!$D$45="",INDEX(Products!$I$7:$I$13,MATCH('Replacement plan'!$B$45,Products!$A$7:$A$13,0))+'Operating costs'!$B$57,'Replacement plan'!$D$45))*(1+'Operating costs'!$B$50)^(E161/12))),"n.a.")</f>
        <v>0</v>
      </c>
      <c r="H161" s="16">
        <f>IFERROR(IF(C161=0,0,IF('Replacement plan'!$U$45&lt;&gt;"",'Replacement plan'!$U$45,IF(E161=0,F161,VLOOKUP($A161,'Fleet register'!$A$7:$S$106,12,FALSE)+VLOOKUP($A161,'Fleet register'!$A$7:$S$106,13,FALSE)*MAX(0,VLOOKUP($A161,'Fleet register'!$A$7:$S$106,10,FALSE)-E161)/VLOOKUP($A161,'Fleet register'!$A$7:$S$106,14,FALSE)))),"n.a.")</f>
        <v>0</v>
      </c>
      <c r="I161" s="16">
        <f>IF(C161=0,0,IF(E161=120,0,'Replacement plan'!$Q$45))</f>
        <v>0</v>
      </c>
      <c r="J161" s="16">
        <f>IF(C161=0,0,IF(P161="Complete",((S161*(R161-'Operating costs'!$B$39))+ROUNDUP(S161*(R161-'Operating costs'!$B$39)*IF('Replacement plan'!$AG$45="",'Operating costs'!$B$7,'Replacement plan'!$AG$45)/('Operating costs'!$B$8-'Operating costs'!$B$9*IF('Replacement plan'!$AG$45="",'Operating costs'!$B$7,'Replacement plan'!$AG$45)),0)*'Operating costs'!$B$9)*IF('Replacement plan'!$AG$45="",'Operating costs'!$B$7,'Replacement plan'!$AG$45)*('Energy and charging'!$B$9*'Energy and charging'!$B$7+(1-'Energy and charging'!$B$9)*'Energy and charging'!$B$8)*'Operating costs'!$B$23,"n.a."))</f>
        <v>0</v>
      </c>
      <c r="K161" s="16">
        <f>IF(C161=0,0,IF(P161="Complete",SUM('Operating costs'!$B$24,'Operating costs'!$B$27,'Operating costs'!$B$29,'Operating costs'!$B$31,'Operating costs'!$B$33,'Operating costs'!$B$34,'Operating costs'!$B$37,'Replacement plan'!$W$45)+'Operating costs'!$B$39*'Operating costs'!$B$42+ROUNDUP(S161*(R161-'Operating costs'!$B$39)*IF('Replacement plan'!$AG$45="",'Operating costs'!$B$7,'Replacement plan'!$AG$45)/('Operating costs'!$B$8-'Operating costs'!$B$9*IF('Replacement plan'!$AG$45="",'Operating costs'!$B$7,'Replacement plan'!$AG$45)),0)*('Operating costs'!$B$9/'Operating costs'!$B$11+'Operating costs'!$B$10/60)*'Operating costs'!$B$19*'Operating costs'!$B$21,"n.a."))</f>
        <v>0</v>
      </c>
      <c r="L161" s="16">
        <f>IF(C161=0,0,IF(P161="Complete",IF(D161="EV",X161*((1-T161)*'Energy and charging'!$B$10+T161*'Energy and charging'!$B$11)*'Operating costs'!$B$22,AA161*('Energy and charging'!$B$9*'Energy and charging'!$B$7+(1-'Energy and charging'!$B$9)*'Energy and charging'!$B$8)*'Operating costs'!$B$23),"n.a."))</f>
        <v>0</v>
      </c>
      <c r="M161" s="37">
        <f>IF(C161=0,0,IF(P161="Complete",IF(D161="ICE",SUM('Operating costs'!$B$25,'Operating costs'!$B$27,'Operating costs'!$B$29,'Operating costs'!$B$31,'Operating costs'!$B$33,'Operating costs'!$B$35,'Operating costs'!$B$37,'Replacement plan'!$X$45)+'Operating costs'!$B$40*'Operating costs'!$B$42+ROUNDUP(S161*(R161-'Operating costs'!$B$40)*IF('Replacement plan'!$AH$45="",'Operating costs'!$B$7,'Replacement plan'!$AH$45)/('Operating costs'!$B$8-'Operating costs'!$B$9*IF('Replacement plan'!$AH$45="",'Operating costs'!$B$7,'Replacement plan'!$AH$45)),0)*('Operating costs'!$B$9/'Operating costs'!$B$11+'Operating costs'!$B$10/60)*'Operating costs'!$B$19*'Operating costs'!$B$21,SUM(AP161,'Operating costs'!$B$28,'Operating costs'!$B$30,'Operating costs'!$B$32,'Operating costs'!$B$33,'Operating costs'!$B$36,'Operating costs'!$B$38,'Replacement plan'!$Y$45)+'Operating costs'!$B$41*'Operating costs'!$B$43+W161*'Operating costs'!$B$15+(T161*X161/'Replacement plan'!$L$45+W161*('Operating costs'!$B$12/'Operating costs'!$B$11+('Operating costs'!$B$13+'Operating costs'!$B$14)/60)+(R161-'Operating costs'!$B$41)*(IF(T161&lt;1,'Operating costs'!$B$16,0)+'Operating costs'!$B$17)/60)*'Operating costs'!$B$19*'Operating costs'!$B$20),"n.a."))</f>
        <v>0</v>
      </c>
      <c r="N161" s="16">
        <f>IF(AND(C161=1,D161="EV",E161&lt;120,E161+'Replacement plan'!$AA$45&lt;=120),'Replacement plan'!$Z$45,0)</f>
        <v>0</v>
      </c>
      <c r="O161" s="1">
        <f>E161+'Replacement plan'!$AA$45</f>
        <v>0</v>
      </c>
      <c r="P161" s="35" t="str">
        <f>IFERROR(IF(C161=0,"Excluded",IF(OR(COUNTIFS('Fleet register'!$A$7:$A$106,A161)&lt;&gt;1,COUNTIFS('Replacement plan'!$A$7:$A$106,A161)&lt;&gt;1),"Duplicate/missing ID",IF(NOT(AND(ISNUMBER(VLOOKUP($A161,'Fleet register'!$A$7:$S$106,5,FALSE)),ISNUMBER(VLOOKUP($A161,'Fleet register'!$A$7:$S$106,6,FALSE)),ISNUMBER(VLOOKUP($A161,'Fleet register'!$A$7:$S$106,10,FALSE)),ISNUMBER(VLOOKUP($A161,'Fleet register'!$A$7:$S$106,11,FALSE)),ISNUMBER(VLOOKUP($A161,'Fleet register'!$A$7:$S$106,12,FALSE)),ISNUMBER(VLOOKUP($A161,'Fleet register'!$A$7:$S$106,13,FALSE)),ISNUMBER(VLOOKUP($A161,'Fleet register'!$A$7:$S$106,14,FALSE)),VLOOKUP($A161,'Fleet register'!$A$7:$S$106,14,FALSE)&gt;0,ISNUMBER('Replacement plan'!$C$45),OR(E161=120,ISNUMBER('Replacement plan'!$Q$45)),ISNUMBER(E161))),"Missing vehicle input",IF(OR(E161&lt;0,E161&gt;VLOOKUP($A161,'Fleet register'!$A$7:$S$106,10,FALSE),E161&gt;120,E161&lt;&gt;INT(E161),VLOOKUP($A161,'Fleet register'!$A$7:$S$106,6,FALSE)&lt;=0,VLOOKUP($A161,'Fleet register'!$A$7:$S$106,6,FALSE)&gt;366,VLOOKUP($A161,'Fleet register'!$A$7:$S$106,5,FALSE)&lt;0,VLOOKUP($A161,'Fleet register'!$A$7:$S$106,11,FALSE)&lt;0,I161&lt;0,'Operating costs'!$B$8&lt;='Operating costs'!$B$7*'Operating costs'!$B$9,'Operating costs'!$B$11&lt;=0,'Operating costs'!$B$39&gt;R161,'Operating costs'!$B$40&gt;R161,'Operating costs'!$B$41&gt;R161,NOT(OR('Replacement plan'!$O$45="Keep ICE",'Replacement plan'!$O$45="New ICE",'Replacement plan'!$O$45="EV"))),"Invalid vehicle input",IF(AND(D161="EV",E161&lt;120,OR(NOT(ISNUMBER(U161)),NOT(ISNUMBER(V161)),V161&lt;=0,T161&lt;0,T161&gt;1,'Replacement plan'!$L$45&lt;=0,'Operating costs'!$B$44&lt;0,'Operating costs'!$B$44&gt;=1,'Operating costs'!$B$47&lt;=0,'Operating costs'!$B$47&gt;1,V161*'Operating costs'!$B$47/(1-'Operating costs'!$B$44)&lt;=T161*'Operating costs'!$B$12*U161,AND('Replacement plan'!$Z$45&gt;0,OR('Replacement plan'!$AB$45&lt;&gt;"Yes",'Operating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charging'!$B$8&gt;=0))),ISNUMBER(VLOOKUP($A161,'Fleet register'!$A$7:$S$106,15,FALSE)),ISNUMBER(VLOOKUP($A161,'Fleet register'!$A$7:$S$106,16,FALSE)),ISNUMBER('Replacement plan'!$W$45),ISNUMBER('Replacement plan'!$X$45),OR(E161=120,AND(ISNUMBER(G161),G161&gt;=0)),ISNUMBER(H161),H161&gt;=0,OR(D161&lt;&gt;"EV",E161=120,AND(ISNUMBER('Operating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average",ISNUMBER(IFERROR(INDEX(Products!$P$7:$P$13,MATCH(AD161,Products!$A$7:$A$13,0)),"")))),ISNUMBER('Operating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plan'!$Y$45),ISNUMBER('Replacement plan'!$Z$45),'Replacement plan'!$Z$45&gt;=0,ISNUMBER('Replacement plan'!$AA$45),'Replacement plan'!$AA$45&gt;=0,'Replacement plan'!$AA$45=INT('Replacement plan'!$AA$45),ISNUMBER('Replacement plan'!$L$45))),'Operating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plan'!$AG$45="",'Operating costs'!$B$7,'Replacement plan'!$AG$45)),IF('Replacement plan'!$AG$45="",'Operating costs'!$B$7,'Replacement plan'!$AG$45)&gt;=0,ISNUMBER(IF('Replacement plan'!$AH$45="",'Operating costs'!$B$7,'Replacement plan'!$AH$45)),IF('Replacement plan'!$AH$45="",'Operating costs'!$B$7,'Replacement plan'!$AH$45)&gt;=0,'Operating costs'!$B$8&gt;MAX(IF('Replacement plan'!$AG$45="",'Operating costs'!$B$7,'Replacement plan'!$AG$45),IF('Replacement plan'!$AH$45="",'Operating costs'!$B$7,'Replacement plan'!$AH$45))*'Operating costs'!$B$9),IF(AND(VLOOKUP($A161,'Fleet register'!$A$7:$S$106,10,FALSE)&gt;=0,VLOOKUP($A161,'Fleet register'!$A$7:$S$106,10,FALSE)&lt;=120,VLOOKUP($A161,'Fleet register'!$A$7:$S$106,10,FALSE)=INT(VLOOKUP($A161,'Fleet register'!$A$7:$S$106,10,FALSE)),VLOOKUP($A161,'Fleet register'!$A$7:$S$106,15,FALSE)&gt;=0,VLOOKUP($A161,'Fleet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costs'!$B$67)&gt;=0,OR(D161&lt;&gt;"EV",E161=120,AND(MIN('Operating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61" s="1" t="str">
        <f>IF(C161=0,"Excluded",IF(P161&lt;&gt;"Complete",P161,IF(OR('Replacement plan'!$AD$45&lt;120-E161,AND(D161="EV",E161&lt;120,OR('Replacement plan'!$AC$45&lt;120-E161,'Replacement plan'!$I$45="No",AND(ISNUMBER(AF161),AE161&gt;AF161),AI161&gt;V161*(1-'Operating costs'!$B$46)^MAX(0,AB161-1)*(1-'Operating costs'!$B$45),AC161&gt;'Operating costs'!$B$18,AND(T161&lt;1,OR(AG161&lt;=0,AND(ISNUMBER(AH161),AG161&gt;AH161))),'Replacement plan'!$L$45&gt;INDEX(Products!$H$7:$H$13,MATCH('Replacement plan'!$B$45,Products!$A$7:$A$13,0))))),"Fails entered limits",IF(AND(D161="EV",E161&lt;120,OR(NOT(ISNUMBER(VLOOKUP($A161,'Fleet register'!$A$7:$S$106,7,FALSE))),NOT(ISNUMBER(VLOOKUP($A161,'Fleet register'!$A$7:$S$106,8,FALSE))),NOT(ISNUMBER(AF161)),'Replacement plan'!$I$45&lt;&gt;"Yes",NOT(ISNUMBER(AH161)),'Operating costs'!$B$59&lt;&gt;"Yes",'Operating costs'!$B$58&lt;&gt;"Yes")),"Unverified","Within entered limits"))))</f>
        <v>Excluded</v>
      </c>
      <c r="R161" s="1">
        <f>IF(C161=0,0,VLOOKUP($A161,'Fleet register'!$A$7:$S$106,6,FALSE))</f>
        <v>0</v>
      </c>
      <c r="S161" s="1">
        <f>IF(C161=0,0,VLOOKUP($A161,'Fleet register'!$A$7:$S$106,5,FALSE))</f>
        <v>0</v>
      </c>
      <c r="T161" s="1">
        <f>IF(D161="EV",'Energy and charging'!$B$12,0)</f>
        <v>0</v>
      </c>
      <c r="U161" s="1">
        <f>IFERROR(IF(C161=0,0,IF(D161="EV",IF('Replacement plan'!$F$45="",INDEX(Products!$E$7:$E$13,MATCH('Replacement plan'!$B$45,Products!$A$7:$A$13,0)),'Replacement plan'!$F$45)/IF('Replacement plan'!$G$45="Battery",1-'Operating costs'!$B$44,1),0)),"n.a.")</f>
        <v>0</v>
      </c>
      <c r="V161" s="1">
        <f>IFERROR(IF(C161=0,0,IF(D161="EV",IF('Replacement plan'!$E$45="",INDEX(Products!$D$7:$D$13,MATCH('Replacement plan'!$B$45,Products!$A$7:$A$13,0)),'Replacement plan'!$E$45),0)),"n.a.")</f>
        <v>0</v>
      </c>
      <c r="W161" s="1">
        <f>IF(C161=0,0,IF(AND(P161="Complete",D161="EV",E161&lt;120),IF(T161=0,0,ROUNDUP(T161*(R161-'Operating costs'!$B$41)*(S161*U161+'Operating costs'!$B$48/(1-'Operating costs'!$B$44))/(V161*'Operating costs'!$B$47/(1-'Operating costs'!$B$44)-T161*'Operating costs'!$B$12*U161),0)),0))</f>
        <v>0</v>
      </c>
      <c r="X161" s="1">
        <f>IF(C161=0,0,IF(AND(P161="Complete",D161="EV",E161&lt;120),(R161-'Operating costs'!$B$41)*(S161*U161+'Operating costs'!$B$48/(1-'Operating costs'!$B$44))+W161*'Operating costs'!$B$12*U161,0))</f>
        <v>0</v>
      </c>
      <c r="Y161" s="1">
        <f>IF(AND(C161=1,D161="EV",E161&lt;120),AI161/(1-'Operating costs'!$B$44)*(1-T161),0)</f>
        <v>0</v>
      </c>
      <c r="Z161" s="1">
        <f t="shared" si="4"/>
        <v>0</v>
      </c>
      <c r="AA161" s="1">
        <f>IF(C161=0,0,IF(P161="Complete",((S161*(R161-'Operating costs'!$B$40))+ROUNDUP(S161*(R161-'Operating costs'!$B$40)*IF('Replacement plan'!$AH$45="",'Operating costs'!$B$7,'Replacement plan'!$AH$45)/('Operating costs'!$B$8-'Operating costs'!$B$9*IF('Replacement plan'!$AH$45="",'Operating costs'!$B$7,'Replacement plan'!$AH$45)),0)*'Operating costs'!$B$9)*IF('Replacement plan'!$AH$45="",'Operating costs'!$B$7,'Replacement plan'!$AH$45),"n.a."))</f>
        <v>0</v>
      </c>
      <c r="AB161" s="1">
        <f t="shared" si="5"/>
        <v>0</v>
      </c>
      <c r="AC161" s="1">
        <f>IF(AND(C161=1,D161="EV",E161&lt;120,T161&gt;0),'Operating costs'!$B$12/'Operating costs'!$B$11*60+'Operating costs'!$B$13+'Operating costs'!$B$14+V161*'Operating costs'!$B$47/(1-'Operating costs'!$B$44)/'Replacement plan'!$L$45*60,0)</f>
        <v>0</v>
      </c>
      <c r="AD161" s="1" t="str">
        <f>'Replacement plan'!$B$45</f>
        <v>ChengLong L2EV</v>
      </c>
      <c r="AE161" s="1">
        <f>IF(C161=0,0,VLOOKUP($A161,'Fleet register'!$A$7:$S$106,8,FALSE))</f>
        <v>0</v>
      </c>
      <c r="AF161" s="1" t="str">
        <f>IF('Replacement plan'!$H$45="","n.a.",'Replacement plan'!$H$45)</f>
        <v>n.a.</v>
      </c>
      <c r="AG161" s="1">
        <f>'Replacement plan'!$J$45</f>
        <v>22</v>
      </c>
      <c r="AH161" s="1">
        <f>IFERROR(IF(D161="EV",IF('Replacement plan'!$K$45="AC",IF(ISNUMBER(INDEX(Products!$G$7:$G$13,MATCH('Replacement plan'!$B$45,Products!$A$7:$A$13,0))),INDEX(Products!$G$7:$G$13,MATCH('Replacement plan'!$B$45,Products!$A$7:$A$13,0)),"n.a."),IF(ISNUMBER(INDEX(Products!$H$7:$H$13,MATCH('Replacement plan'!$B$45,Products!$A$7:$A$13,0))),INDEX(Products!$H$7:$H$13,MATCH('Replacement plan'!$B$45,Products!$A$7:$A$13,0)),"n.a.")),0),"n.a.")</f>
        <v>0</v>
      </c>
      <c r="AI161" s="1">
        <f>IF(AND(C161=1,D161="EV",E161&lt;120),(VLOOKUP($A161,'Fleet register'!$A$7:$S$106,7,FALSE)+IF(T161&gt;0,'Operating costs'!$B$12,0))*U161*(1-'Operating costs'!$B$44)+'Operating costs'!$B$49,0)</f>
        <v>0</v>
      </c>
      <c r="AJ161" s="1">
        <f>IF(D161="EV",'Energy and charging'!$B$50,0)</f>
        <v>0</v>
      </c>
      <c r="AK161" s="17">
        <f>EDATE('Operating costs'!$B$63,E161)</f>
        <v>46298</v>
      </c>
      <c r="AL161" s="1">
        <f>IFERROR(IF(D161="EV",INDEX(Products!$B$7:$B$13,MATCH('Replacement plan'!$B$45,Products!$A$7:$A$13,0)),0),"n.a.")</f>
        <v>0</v>
      </c>
      <c r="AM161" s="1" t="str">
        <f>'Replacement plan'!$K$45</f>
        <v>DC</v>
      </c>
      <c r="AN161" s="1" t="str">
        <f>'Replacement plan'!$AE$45</f>
        <v>Assumed</v>
      </c>
      <c r="AO161" s="47">
        <f>IF(AND(C161=1,D161="EV",E161&lt;120),(R161-'Operating costs'!$B$41)*S161+W161*'Operating costs'!$B$12,0)</f>
        <v>0</v>
      </c>
      <c r="AP161" s="41">
        <f>IF(AND(C161=1,D161="EV",E161&lt;120),IF('Operating costs'!$B$68="Hong Seh 200k average",AO161*IFERROR(INDEX(Products!$P$7:$P$13,MATCH(AD161,Products!$A$7:$A$13,0)),"n.a."),'Operating costs'!$B$26),0)</f>
        <v>0</v>
      </c>
      <c r="AQ161" s="40" t="str">
        <f>IF(D161="EV",'Operating costs'!$B$68,"Not applicable")</f>
        <v>Not applicable</v>
      </c>
    </row>
    <row r="162" spans="1:43" ht="24" customHeight="1">
      <c r="A162" s="1" t="str">
        <f>'Replacement plan'!A45</f>
        <v>T039</v>
      </c>
      <c r="B162" s="1">
        <v>3</v>
      </c>
      <c r="C162" s="1">
        <f>IF(COUNTIFS('Fleet register'!$A$7:$A$106,$A162)=1,VLOOKUP($A162,'Fleet register'!$A$7:$S$106,2,FALSE),0)</f>
        <v>0</v>
      </c>
      <c r="D162" s="1" t="str">
        <f>IF('Replacement plan'!$R$45="EV","EV","ICE")</f>
        <v>ICE</v>
      </c>
      <c r="E162" s="1">
        <f>IF(C162=0,0,IF('Replacement plan'!$S$45="",IF('Replacement plan'!$R$45="Keep ICE",IF('Replacement plan'!$M$45="",VLOOKUP($A162,'Fleet register'!$A$7:$S$106,10,FALSE),'Replacement plan'!$M$45),0),'Replacement plan'!$S$45))</f>
        <v>0</v>
      </c>
      <c r="F162" s="16">
        <f>IF(C162=0,0,VLOOKUP($A162,'Fleet register'!$A$7:$S$106,11,FALSE))</f>
        <v>0</v>
      </c>
      <c r="G162" s="16">
        <f>IFERROR(IF(C162=0,0,IF(E162=120,0,IF(D162="ICE",'Replacement plan'!$C$45,IF('Replacement plan'!$D$45="",INDEX(Products!$I$7:$I$13,MATCH('Replacement plan'!$B$45,Products!$A$7:$A$13,0))+'Operating costs'!$B$57,'Replacement plan'!$D$45))*(1+'Operating costs'!$B$50)^(E162/12))),"n.a.")</f>
        <v>0</v>
      </c>
      <c r="H162" s="16">
        <f>IFERROR(IF(C162=0,0,IF('Replacement plan'!$V$45&lt;&gt;"",'Replacement plan'!$V$45,IF(E162=0,F162,VLOOKUP($A162,'Fleet register'!$A$7:$S$106,12,FALSE)+VLOOKUP($A162,'Fleet register'!$A$7:$S$106,13,FALSE)*MAX(0,VLOOKUP($A162,'Fleet register'!$A$7:$S$106,10,FALSE)-E162)/VLOOKUP($A162,'Fleet register'!$A$7:$S$106,14,FALSE)))),"n.a.")</f>
        <v>0</v>
      </c>
      <c r="I162" s="16">
        <f>IF(C162=0,0,IF(E162=120,0,'Replacement plan'!$T$45))</f>
        <v>0</v>
      </c>
      <c r="J162" s="16">
        <f>IF(C162=0,0,IF(P162="Complete",((S162*(R162-'Operating costs'!$B$39))+ROUNDUP(S162*(R162-'Operating costs'!$B$39)*IF('Replacement plan'!$AG$45="",'Operating costs'!$B$7,'Replacement plan'!$AG$45)/('Operating costs'!$B$8-'Operating costs'!$B$9*IF('Replacement plan'!$AG$45="",'Operating costs'!$B$7,'Replacement plan'!$AG$45)),0)*'Operating costs'!$B$9)*IF('Replacement plan'!$AG$45="",'Operating costs'!$B$7,'Replacement plan'!$AG$45)*('Energy and charging'!$C$9*'Energy and charging'!$C$7+(1-'Energy and charging'!$C$9)*'Energy and charging'!$C$8)*'Operating costs'!$B$23,"n.a."))</f>
        <v>0</v>
      </c>
      <c r="K162" s="16">
        <f>IF(C162=0,0,IF(P162="Complete",SUM('Operating costs'!$B$24,'Operating costs'!$B$27,'Operating costs'!$B$29,'Operating costs'!$B$31,'Operating costs'!$B$33,'Operating costs'!$B$34,'Operating costs'!$B$37,'Replacement plan'!$W$45)+'Operating costs'!$B$39*'Operating costs'!$B$42+ROUNDUP(S162*(R162-'Operating costs'!$B$39)*IF('Replacement plan'!$AG$45="",'Operating costs'!$B$7,'Replacement plan'!$AG$45)/('Operating costs'!$B$8-'Operating costs'!$B$9*IF('Replacement plan'!$AG$45="",'Operating costs'!$B$7,'Replacement plan'!$AG$45)),0)*('Operating costs'!$B$9/'Operating costs'!$B$11+'Operating costs'!$B$10/60)*'Operating costs'!$B$19*'Operating costs'!$B$21,"n.a."))</f>
        <v>0</v>
      </c>
      <c r="L162" s="16">
        <f>IF(C162=0,0,IF(P162="Complete",IF(D162="EV",X162*((1-T162)*'Energy and charging'!$C$10+T162*'Energy and charging'!$C$11)*'Operating costs'!$B$22,AA162*('Energy and charging'!$C$9*'Energy and charging'!$C$7+(1-'Energy and charging'!$C$9)*'Energy and charging'!$C$8)*'Operating costs'!$B$23),"n.a."))</f>
        <v>0</v>
      </c>
      <c r="M162" s="37">
        <f>IF(C162=0,0,IF(P162="Complete",IF(D162="ICE",SUM('Operating costs'!$B$25,'Operating costs'!$B$27,'Operating costs'!$B$29,'Operating costs'!$B$31,'Operating costs'!$B$33,'Operating costs'!$B$35,'Operating costs'!$B$37,'Replacement plan'!$X$45)+'Operating costs'!$B$40*'Operating costs'!$B$42+ROUNDUP(S162*(R162-'Operating costs'!$B$40)*IF('Replacement plan'!$AH$45="",'Operating costs'!$B$7,'Replacement plan'!$AH$45)/('Operating costs'!$B$8-'Operating costs'!$B$9*IF('Replacement plan'!$AH$45="",'Operating costs'!$B$7,'Replacement plan'!$AH$45)),0)*('Operating costs'!$B$9/'Operating costs'!$B$11+'Operating costs'!$B$10/60)*'Operating costs'!$B$19*'Operating costs'!$B$21,SUM(AP162,'Operating costs'!$B$28,'Operating costs'!$B$30,'Operating costs'!$B$32,'Operating costs'!$B$33,'Operating costs'!$B$36,'Operating costs'!$B$38,'Replacement plan'!$Y$45)+'Operating costs'!$B$41*'Operating costs'!$B$43+W162*'Operating costs'!$B$15+(T162*X162/'Replacement plan'!$L$45+W162*('Operating costs'!$B$12/'Operating costs'!$B$11+('Operating costs'!$B$13+'Operating costs'!$B$14)/60)+(R162-'Operating costs'!$B$41)*(IF(T162&lt;1,'Operating costs'!$B$16,0)+'Operating costs'!$B$17)/60)*'Operating costs'!$B$19*'Operating costs'!$B$20),"n.a."))</f>
        <v>0</v>
      </c>
      <c r="N162" s="16">
        <f>IF(AND(C162=1,D162="EV",E162&lt;120,E162+'Replacement plan'!$AA$45&lt;=120),'Replacement plan'!$Z$45,0)</f>
        <v>0</v>
      </c>
      <c r="O162" s="1">
        <f>E162+'Replacement plan'!$AA$45</f>
        <v>0</v>
      </c>
      <c r="P162" s="35" t="str">
        <f>IFERROR(IF(C162=0,"Excluded",IF(OR(COUNTIFS('Fleet register'!$A$7:$A$106,A162)&lt;&gt;1,COUNTIFS('Replacement plan'!$A$7:$A$106,A162)&lt;&gt;1),"Duplicate/missing ID",IF(NOT(AND(ISNUMBER(VLOOKUP($A162,'Fleet register'!$A$7:$S$106,5,FALSE)),ISNUMBER(VLOOKUP($A162,'Fleet register'!$A$7:$S$106,6,FALSE)),ISNUMBER(VLOOKUP($A162,'Fleet register'!$A$7:$S$106,10,FALSE)),ISNUMBER(VLOOKUP($A162,'Fleet register'!$A$7:$S$106,11,FALSE)),ISNUMBER(VLOOKUP($A162,'Fleet register'!$A$7:$S$106,12,FALSE)),ISNUMBER(VLOOKUP($A162,'Fleet register'!$A$7:$S$106,13,FALSE)),ISNUMBER(VLOOKUP($A162,'Fleet register'!$A$7:$S$106,14,FALSE)),VLOOKUP($A162,'Fleet register'!$A$7:$S$106,14,FALSE)&gt;0,ISNUMBER('Replacement plan'!$C$45),OR(E162=120,ISNUMBER('Replacement plan'!$T$45)),ISNUMBER(E162))),"Missing vehicle input",IF(OR(E162&lt;0,E162&gt;VLOOKUP($A162,'Fleet register'!$A$7:$S$106,10,FALSE),E162&gt;120,E162&lt;&gt;INT(E162),VLOOKUP($A162,'Fleet register'!$A$7:$S$106,6,FALSE)&lt;=0,VLOOKUP($A162,'Fleet register'!$A$7:$S$106,6,FALSE)&gt;366,VLOOKUP($A162,'Fleet register'!$A$7:$S$106,5,FALSE)&lt;0,VLOOKUP($A162,'Fleet register'!$A$7:$S$106,11,FALSE)&lt;0,I162&lt;0,'Operating costs'!$B$8&lt;='Operating costs'!$B$7*'Operating costs'!$B$9,'Operating costs'!$B$11&lt;=0,'Operating costs'!$B$39&gt;R162,'Operating costs'!$B$40&gt;R162,'Operating costs'!$B$41&gt;R162,NOT(OR('Replacement plan'!$R$45="Keep ICE",'Replacement plan'!$R$45="New ICE",'Replacement plan'!$R$45="EV"))),"Invalid vehicle input",IF(AND(D162="EV",E162&lt;120,OR(NOT(ISNUMBER(U162)),NOT(ISNUMBER(V162)),V162&lt;=0,T162&lt;0,T162&gt;1,'Replacement plan'!$L$45&lt;=0,'Operating costs'!$B$44&lt;0,'Operating costs'!$B$44&gt;=1,'Operating costs'!$B$47&lt;=0,'Operating costs'!$B$47&gt;1,V162*'Operating costs'!$B$47/(1-'Operating costs'!$B$44)&lt;=T162*'Operating costs'!$B$12*U162,AND('Replacement plan'!$Z$45&gt;0,OR('Replacement plan'!$AB$45&lt;&gt;"Yes",'Operating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charging'!$C$8&gt;=0))),ISNUMBER(VLOOKUP($A162,'Fleet register'!$A$7:$S$106,15,FALSE)),ISNUMBER(VLOOKUP($A162,'Fleet register'!$A$7:$S$106,16,FALSE)),ISNUMBER('Replacement plan'!$W$45),ISNUMBER('Replacement plan'!$X$45),OR(E162=120,AND(ISNUMBER(G162),G162&gt;=0)),ISNUMBER(H162),H162&gt;=0,OR(D162&lt;&gt;"EV",E162=120,AND(ISNUMBER('Operating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average",ISNUMBER(IFERROR(INDEX(Products!$P$7:$P$13,MATCH(AD162,Products!$A$7:$A$13,0)),"")))),ISNUMBER('Operating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plan'!$Y$45),ISNUMBER('Replacement plan'!$Z$45),'Replacement plan'!$Z$45&gt;=0,ISNUMBER('Replacement plan'!$AA$45),'Replacement plan'!$AA$45&gt;=0,'Replacement plan'!$AA$45=INT('Replacement plan'!$AA$45),ISNUMBER('Replacement plan'!$L$45))),'Operating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plan'!$AG$45="",'Operating costs'!$B$7,'Replacement plan'!$AG$45)),IF('Replacement plan'!$AG$45="",'Operating costs'!$B$7,'Replacement plan'!$AG$45)&gt;=0,ISNUMBER(IF('Replacement plan'!$AH$45="",'Operating costs'!$B$7,'Replacement plan'!$AH$45)),IF('Replacement plan'!$AH$45="",'Operating costs'!$B$7,'Replacement plan'!$AH$45)&gt;=0,'Operating costs'!$B$8&gt;MAX(IF('Replacement plan'!$AG$45="",'Operating costs'!$B$7,'Replacement plan'!$AG$45),IF('Replacement plan'!$AH$45="",'Operating costs'!$B$7,'Replacement plan'!$AH$45))*'Operating costs'!$B$9),IF(AND(VLOOKUP($A162,'Fleet register'!$A$7:$S$106,10,FALSE)&gt;=0,VLOOKUP($A162,'Fleet register'!$A$7:$S$106,10,FALSE)&lt;=120,VLOOKUP($A162,'Fleet register'!$A$7:$S$106,10,FALSE)=INT(VLOOKUP($A162,'Fleet register'!$A$7:$S$106,10,FALSE)),VLOOKUP($A162,'Fleet register'!$A$7:$S$106,15,FALSE)&gt;=0,VLOOKUP($A162,'Fleet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costs'!$B$67)&gt;=0,OR(D162&lt;&gt;"EV",E162=120,AND(MIN('Operating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62" s="1" t="str">
        <f>IF(C162=0,"Excluded",IF(P162&lt;&gt;"Complete",P162,IF(OR('Replacement plan'!$AD$45&lt;120-E162,AND(D162="EV",E162&lt;120,OR('Replacement plan'!$AC$45&lt;120-E162,'Replacement plan'!$I$45="No",AND(ISNUMBER(AF162),AE162&gt;AF162),AI162&gt;V162*(1-'Operating costs'!$B$46)^MAX(0,AB162-1)*(1-'Operating costs'!$B$45),AC162&gt;'Operating costs'!$B$18,AND(T162&lt;1,OR(AG162&lt;=0,AND(ISNUMBER(AH162),AG162&gt;AH162))),'Replacement plan'!$L$45&gt;INDEX(Products!$H$7:$H$13,MATCH('Replacement plan'!$B$45,Products!$A$7:$A$13,0))))),"Fails entered limits",IF(AND(D162="EV",E162&lt;120,OR(NOT(ISNUMBER(VLOOKUP($A162,'Fleet register'!$A$7:$S$106,7,FALSE))),NOT(ISNUMBER(VLOOKUP($A162,'Fleet register'!$A$7:$S$106,8,FALSE))),NOT(ISNUMBER(AF162)),'Replacement plan'!$I$45&lt;&gt;"Yes",NOT(ISNUMBER(AH162)),'Operating costs'!$B$59&lt;&gt;"Yes",'Operating costs'!$B$58&lt;&gt;"Yes")),"Unverified","Within entered limits"))))</f>
        <v>Excluded</v>
      </c>
      <c r="R162" s="1">
        <f>IF(C162=0,0,VLOOKUP($A162,'Fleet register'!$A$7:$S$106,6,FALSE))</f>
        <v>0</v>
      </c>
      <c r="S162" s="1">
        <f>IF(C162=0,0,VLOOKUP($A162,'Fleet register'!$A$7:$S$106,5,FALSE))</f>
        <v>0</v>
      </c>
      <c r="T162" s="1">
        <f>IF(D162="EV",'Energy and charging'!$C$12,0)</f>
        <v>0</v>
      </c>
      <c r="U162" s="1">
        <f>IFERROR(IF(C162=0,0,IF(D162="EV",IF('Replacement plan'!$F$45="",INDEX(Products!$E$7:$E$13,MATCH('Replacement plan'!$B$45,Products!$A$7:$A$13,0)),'Replacement plan'!$F$45)/IF('Replacement plan'!$G$45="Battery",1-'Operating costs'!$B$44,1),0)),"n.a.")</f>
        <v>0</v>
      </c>
      <c r="V162" s="1">
        <f>IFERROR(IF(C162=0,0,IF(D162="EV",IF('Replacement plan'!$E$45="",INDEX(Products!$D$7:$D$13,MATCH('Replacement plan'!$B$45,Products!$A$7:$A$13,0)),'Replacement plan'!$E$45),0)),"n.a.")</f>
        <v>0</v>
      </c>
      <c r="W162" s="1">
        <f>IF(C162=0,0,IF(AND(P162="Complete",D162="EV",E162&lt;120),IF(T162=0,0,ROUNDUP(T162*(R162-'Operating costs'!$B$41)*(S162*U162+'Operating costs'!$B$48/(1-'Operating costs'!$B$44))/(V162*'Operating costs'!$B$47/(1-'Operating costs'!$B$44)-T162*'Operating costs'!$B$12*U162),0)),0))</f>
        <v>0</v>
      </c>
      <c r="X162" s="1">
        <f>IF(C162=0,0,IF(AND(P162="Complete",D162="EV",E162&lt;120),(R162-'Operating costs'!$B$41)*(S162*U162+'Operating costs'!$B$48/(1-'Operating costs'!$B$44))+W162*'Operating costs'!$B$12*U162,0))</f>
        <v>0</v>
      </c>
      <c r="Y162" s="1">
        <f>IF(AND(C162=1,D162="EV",E162&lt;120),AI162/(1-'Operating costs'!$B$44)*(1-T162),0)</f>
        <v>0</v>
      </c>
      <c r="Z162" s="1">
        <f t="shared" si="4"/>
        <v>0</v>
      </c>
      <c r="AA162" s="1">
        <f>IF(C162=0,0,IF(P162="Complete",((S162*(R162-'Operating costs'!$B$40))+ROUNDUP(S162*(R162-'Operating costs'!$B$40)*IF('Replacement plan'!$AH$45="",'Operating costs'!$B$7,'Replacement plan'!$AH$45)/('Operating costs'!$B$8-'Operating costs'!$B$9*IF('Replacement plan'!$AH$45="",'Operating costs'!$B$7,'Replacement plan'!$AH$45)),0)*'Operating costs'!$B$9)*IF('Replacement plan'!$AH$45="",'Operating costs'!$B$7,'Replacement plan'!$AH$45),"n.a."))</f>
        <v>0</v>
      </c>
      <c r="AB162" s="1">
        <f t="shared" si="5"/>
        <v>0</v>
      </c>
      <c r="AC162" s="1">
        <f>IF(AND(C162=1,D162="EV",E162&lt;120,T162&gt;0),'Operating costs'!$B$12/'Operating costs'!$B$11*60+'Operating costs'!$B$13+'Operating costs'!$B$14+V162*'Operating costs'!$B$47/(1-'Operating costs'!$B$44)/'Replacement plan'!$L$45*60,0)</f>
        <v>0</v>
      </c>
      <c r="AD162" s="1" t="str">
        <f>'Replacement plan'!$B$45</f>
        <v>ChengLong L2EV</v>
      </c>
      <c r="AE162" s="1">
        <f>IF(C162=0,0,VLOOKUP($A162,'Fleet register'!$A$7:$S$106,8,FALSE))</f>
        <v>0</v>
      </c>
      <c r="AF162" s="1" t="str">
        <f>IF('Replacement plan'!$H$45="","n.a.",'Replacement plan'!$H$45)</f>
        <v>n.a.</v>
      </c>
      <c r="AG162" s="1">
        <f>'Replacement plan'!$J$45</f>
        <v>22</v>
      </c>
      <c r="AH162" s="1">
        <f>IFERROR(IF(D162="EV",IF('Replacement plan'!$K$45="AC",IF(ISNUMBER(INDEX(Products!$G$7:$G$13,MATCH('Replacement plan'!$B$45,Products!$A$7:$A$13,0))),INDEX(Products!$G$7:$G$13,MATCH('Replacement plan'!$B$45,Products!$A$7:$A$13,0)),"n.a."),IF(ISNUMBER(INDEX(Products!$H$7:$H$13,MATCH('Replacement plan'!$B$45,Products!$A$7:$A$13,0))),INDEX(Products!$H$7:$H$13,MATCH('Replacement plan'!$B$45,Products!$A$7:$A$13,0)),"n.a.")),0),"n.a.")</f>
        <v>0</v>
      </c>
      <c r="AI162" s="1">
        <f>IF(AND(C162=1,D162="EV",E162&lt;120),(VLOOKUP($A162,'Fleet register'!$A$7:$S$106,7,FALSE)+IF(T162&gt;0,'Operating costs'!$B$12,0))*U162*(1-'Operating costs'!$B$44)+'Operating costs'!$B$49,0)</f>
        <v>0</v>
      </c>
      <c r="AJ162" s="1">
        <f>IF(D162="EV",'Energy and charging'!$C$50,0)</f>
        <v>0</v>
      </c>
      <c r="AK162" s="17">
        <f>EDATE('Operating costs'!$B$63,E162)</f>
        <v>46298</v>
      </c>
      <c r="AL162" s="1">
        <f>IFERROR(IF(D162="EV",INDEX(Products!$B$7:$B$13,MATCH('Replacement plan'!$B$45,Products!$A$7:$A$13,0)),0),"n.a.")</f>
        <v>0</v>
      </c>
      <c r="AM162" s="1" t="str">
        <f>'Replacement plan'!$K$45</f>
        <v>DC</v>
      </c>
      <c r="AN162" s="1" t="str">
        <f>'Replacement plan'!$AE$45</f>
        <v>Assumed</v>
      </c>
      <c r="AO162" s="47">
        <f>IF(AND(C162=1,D162="EV",E162&lt;120),(R162-'Operating costs'!$B$41)*S162+W162*'Operating costs'!$B$12,0)</f>
        <v>0</v>
      </c>
      <c r="AP162" s="41">
        <f>IF(AND(C162=1,D162="EV",E162&lt;120),IF('Operating costs'!$B$68="Hong Seh 200k average",AO162*IFERROR(INDEX(Products!$P$7:$P$13,MATCH(AD162,Products!$A$7:$A$13,0)),"n.a."),'Operating costs'!$B$26),0)</f>
        <v>0</v>
      </c>
      <c r="AQ162" s="40" t="str">
        <f>IF(D162="EV",'Operating costs'!$B$68,"Not applicable")</f>
        <v>Not applicable</v>
      </c>
    </row>
    <row r="163" spans="1:43" ht="24" customHeight="1">
      <c r="A163" s="1" t="str">
        <f>'Replacement plan'!A46</f>
        <v>T040</v>
      </c>
      <c r="B163" s="1">
        <v>0</v>
      </c>
      <c r="C163" s="1">
        <f>IF(COUNTIFS('Fleet register'!$A$7:$A$106,$A163)=1,VLOOKUP($A163,'Fleet register'!$A$7:$S$106,2,FALSE),0)</f>
        <v>0</v>
      </c>
      <c r="D163" s="1" t="str">
        <f>IF("Keep ICE"="EV","EV","ICE")</f>
        <v>ICE</v>
      </c>
      <c r="E163" s="1">
        <f>IF(C163=0,0,IF('Replacement plan'!$M$46="",VLOOKUP($A163,'Fleet register'!$A$7:$S$106,10,FALSE),'Replacement plan'!$M$46))</f>
        <v>0</v>
      </c>
      <c r="F163" s="16">
        <f>IF(C163=0,0,VLOOKUP($A163,'Fleet register'!$A$7:$S$106,11,FALSE))</f>
        <v>0</v>
      </c>
      <c r="G163" s="16">
        <f>IFERROR(IF(C163=0,0,IF(E163=120,0,IF(D163="ICE",'Replacement plan'!$C$46,IF('Replacement plan'!$D$46="",INDEX(Products!$I$7:$I$13,MATCH('Replacement plan'!$B$46,Products!$A$7:$A$13,0))+'Operating costs'!$B$57,'Replacement plan'!$D$46))*(1+'Operating costs'!$B$50)^(E163/12))),"n.a.")</f>
        <v>0</v>
      </c>
      <c r="H163" s="16">
        <f>IFERROR(IF(C163=0,0,IF(E163=0,F163,VLOOKUP($A163,'Fleet register'!$A$7:$S$106,12,FALSE)+VLOOKUP($A163,'Fleet register'!$A$7:$S$106,13,FALSE)*MAX(0,VLOOKUP($A163,'Fleet register'!$A$7:$S$106,10,FALSE)-E163)/VLOOKUP($A163,'Fleet register'!$A$7:$S$106,14,FALSE))),"n.a.")</f>
        <v>0</v>
      </c>
      <c r="I163" s="16">
        <f>IF(C163=0,0,IF(E163=120,0,'Replacement plan'!$N$46))</f>
        <v>0</v>
      </c>
      <c r="J163" s="16">
        <f>IF(C163=0,0,IF(P163="Complete",((S163*(R163-'Operating costs'!$B$39))+ROUNDUP(S163*(R163-'Operating costs'!$B$39)*IF('Replacement plan'!$AG$46="",'Operating costs'!$B$7,'Replacement plan'!$AG$46)/('Operating costs'!$B$8-'Operating costs'!$B$9*IF('Replacement plan'!$AG$46="",'Operating costs'!$B$7,'Replacement plan'!$AG$46)),0)*'Operating costs'!$B$9)*IF('Replacement plan'!$AG$46="",'Operating costs'!$B$7,'Replacement plan'!$AG$46)*('Energy and charging'!$B$9*'Energy and charging'!$B$7+(1-'Energy and charging'!$B$9)*'Energy and charging'!$B$8)*'Operating costs'!$B$23,"n.a."))</f>
        <v>0</v>
      </c>
      <c r="K163" s="16">
        <f>IF(C163=0,0,IF(P163="Complete",SUM('Operating costs'!$B$24,'Operating costs'!$B$27,'Operating costs'!$B$29,'Operating costs'!$B$31,'Operating costs'!$B$33,'Operating costs'!$B$34,'Operating costs'!$B$37,'Replacement plan'!$W$46)+'Operating costs'!$B$39*'Operating costs'!$B$42+ROUNDUP(S163*(R163-'Operating costs'!$B$39)*IF('Replacement plan'!$AG$46="",'Operating costs'!$B$7,'Replacement plan'!$AG$46)/('Operating costs'!$B$8-'Operating costs'!$B$9*IF('Replacement plan'!$AG$46="",'Operating costs'!$B$7,'Replacement plan'!$AG$46)),0)*('Operating costs'!$B$9/'Operating costs'!$B$11+'Operating costs'!$B$10/60)*'Operating costs'!$B$19*'Operating costs'!$B$21,"n.a."))</f>
        <v>0</v>
      </c>
      <c r="L163" s="16">
        <f>IF(C163=0,0,IF(P163="Complete",IF(D163="EV",X163*((1-T163)*'Energy and charging'!$B$10+T163*'Energy and charging'!$B$11)*'Operating costs'!$B$22,AA163*('Energy and charging'!$B$9*'Energy and charging'!$B$7+(1-'Energy and charging'!$B$9)*'Energy and charging'!$B$8)*'Operating costs'!$B$23),"n.a."))</f>
        <v>0</v>
      </c>
      <c r="M163" s="37">
        <f>IF(C163=0,0,IF(P163="Complete",IF(D163="ICE",SUM('Operating costs'!$B$25,'Operating costs'!$B$27,'Operating costs'!$B$29,'Operating costs'!$B$31,'Operating costs'!$B$33,'Operating costs'!$B$35,'Operating costs'!$B$37,'Replacement plan'!$X$46)+'Operating costs'!$B$40*'Operating costs'!$B$42+ROUNDUP(S163*(R163-'Operating costs'!$B$40)*IF('Replacement plan'!$AH$46="",'Operating costs'!$B$7,'Replacement plan'!$AH$46)/('Operating costs'!$B$8-'Operating costs'!$B$9*IF('Replacement plan'!$AH$46="",'Operating costs'!$B$7,'Replacement plan'!$AH$46)),0)*('Operating costs'!$B$9/'Operating costs'!$B$11+'Operating costs'!$B$10/60)*'Operating costs'!$B$19*'Operating costs'!$B$21,SUM(AP163,'Operating costs'!$B$28,'Operating costs'!$B$30,'Operating costs'!$B$32,'Operating costs'!$B$33,'Operating costs'!$B$36,'Operating costs'!$B$38,'Replacement plan'!$Y$46)+'Operating costs'!$B$41*'Operating costs'!$B$43+W163*'Operating costs'!$B$15+(T163*X163/'Replacement plan'!$L$46+W163*('Operating costs'!$B$12/'Operating costs'!$B$11+('Operating costs'!$B$13+'Operating costs'!$B$14)/60)+(R163-'Operating costs'!$B$41)*(IF(T163&lt;1,'Operating costs'!$B$16,0)+'Operating costs'!$B$17)/60)*'Operating costs'!$B$19*'Operating costs'!$B$20),"n.a."))</f>
        <v>0</v>
      </c>
      <c r="N163" s="16">
        <f>IF(AND(C163=1,D163="EV",E163&lt;120,E163+'Replacement plan'!$AA$46&lt;=120),'Replacement plan'!$Z$46,0)</f>
        <v>0</v>
      </c>
      <c r="O163" s="1">
        <f>E163+'Replacement plan'!$AA$46</f>
        <v>0</v>
      </c>
      <c r="P163" s="35" t="str">
        <f>IFERROR(IF(C163=0,"Excluded",IF(OR(COUNTIFS('Fleet register'!$A$7:$A$106,A163)&lt;&gt;1,COUNTIFS('Replacement plan'!$A$7:$A$106,A163)&lt;&gt;1),"Duplicate/missing ID",IF(NOT(AND(ISNUMBER(VLOOKUP($A163,'Fleet register'!$A$7:$S$106,5,FALSE)),ISNUMBER(VLOOKUP($A163,'Fleet register'!$A$7:$S$106,6,FALSE)),ISNUMBER(VLOOKUP($A163,'Fleet register'!$A$7:$S$106,10,FALSE)),ISNUMBER(VLOOKUP($A163,'Fleet register'!$A$7:$S$106,11,FALSE)),ISNUMBER(VLOOKUP($A163,'Fleet register'!$A$7:$S$106,12,FALSE)),ISNUMBER(VLOOKUP($A163,'Fleet register'!$A$7:$S$106,13,FALSE)),ISNUMBER(VLOOKUP($A163,'Fleet register'!$A$7:$S$106,14,FALSE)),VLOOKUP($A163,'Fleet register'!$A$7:$S$106,14,FALSE)&gt;0,ISNUMBER('Replacement plan'!$C$46),OR(E163=120,ISNUMBER('Replacement plan'!$N$46)),ISNUMBER(E163))),"Missing vehicle input",IF(OR(E163&lt;0,E163&gt;VLOOKUP($A163,'Fleet register'!$A$7:$S$106,10,FALSE),E163&gt;120,E163&lt;&gt;INT(E163),VLOOKUP($A163,'Fleet register'!$A$7:$S$106,6,FALSE)&lt;=0,VLOOKUP($A163,'Fleet register'!$A$7:$S$106,6,FALSE)&gt;366,VLOOKUP($A163,'Fleet register'!$A$7:$S$106,5,FALSE)&lt;0,VLOOKUP($A163,'Fleet register'!$A$7:$S$106,11,FALSE)&lt;0,I163&lt;0,'Operating costs'!$B$8&lt;='Operating costs'!$B$7*'Operating costs'!$B$9,'Operating costs'!$B$11&lt;=0,'Operating costs'!$B$39&gt;R163,'Operating costs'!$B$40&gt;R163,'Operating costs'!$B$41&gt;R163,NOT(OR("Keep ICE"="Keep ICE","Keep ICE"="New ICE","Keep ICE"="EV"))),"Invalid vehicle input",IF(AND(D163="EV",E163&lt;120,OR(NOT(ISNUMBER(U163)),NOT(ISNUMBER(V163)),V163&lt;=0,T163&lt;0,T163&gt;1,'Replacement plan'!$L$46&lt;=0,'Operating costs'!$B$44&lt;0,'Operating costs'!$B$44&gt;=1,'Operating costs'!$B$47&lt;=0,'Operating costs'!$B$47&gt;1,V163*'Operating costs'!$B$47/(1-'Operating costs'!$B$44)&lt;=T163*'Operating costs'!$B$12*U163,AND('Replacement plan'!$Z$46&gt;0,OR('Replacement plan'!$AB$46&lt;&gt;"Yes",'Operating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charging'!$B$8&gt;=0))),ISNUMBER(VLOOKUP($A163,'Fleet register'!$A$7:$S$106,15,FALSE)),ISNUMBER(VLOOKUP($A163,'Fleet register'!$A$7:$S$106,16,FALSE)),ISNUMBER('Replacement plan'!$W$46),ISNUMBER('Replacement plan'!$X$46),OR(E163=120,AND(ISNUMBER(G163),G163&gt;=0)),ISNUMBER(H163),H163&gt;=0,OR(D163&lt;&gt;"EV",E163=120,AND(ISNUMBER('Operating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average",ISNUMBER(IFERROR(INDEX(Products!$P$7:$P$13,MATCH(AD163,Products!$A$7:$A$13,0)),"")))),ISNUMBER('Operating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plan'!$Y$46),ISNUMBER('Replacement plan'!$Z$46),'Replacement plan'!$Z$46&gt;=0,ISNUMBER('Replacement plan'!$AA$46),'Replacement plan'!$AA$46&gt;=0,'Replacement plan'!$AA$46=INT('Replacement plan'!$AA$46),ISNUMBER('Replacement plan'!$L$46))),'Operating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plan'!$AG$46="",'Operating costs'!$B$7,'Replacement plan'!$AG$46)),IF('Replacement plan'!$AG$46="",'Operating costs'!$B$7,'Replacement plan'!$AG$46)&gt;=0,ISNUMBER(IF('Replacement plan'!$AH$46="",'Operating costs'!$B$7,'Replacement plan'!$AH$46)),IF('Replacement plan'!$AH$46="",'Operating costs'!$B$7,'Replacement plan'!$AH$46)&gt;=0,'Operating costs'!$B$8&gt;MAX(IF('Replacement plan'!$AG$46="",'Operating costs'!$B$7,'Replacement plan'!$AG$46),IF('Replacement plan'!$AH$46="",'Operating costs'!$B$7,'Replacement plan'!$AH$46))*'Operating costs'!$B$9),IF(AND(VLOOKUP($A163,'Fleet register'!$A$7:$S$106,10,FALSE)&gt;=0,VLOOKUP($A163,'Fleet register'!$A$7:$S$106,10,FALSE)&lt;=120,VLOOKUP($A163,'Fleet register'!$A$7:$S$106,10,FALSE)=INT(VLOOKUP($A163,'Fleet register'!$A$7:$S$106,10,FALSE)),VLOOKUP($A163,'Fleet register'!$A$7:$S$106,15,FALSE)&gt;=0,VLOOKUP($A163,'Fleet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costs'!$B$67)&gt;=0,OR(D163&lt;&gt;"EV",E163=120,AND(MIN('Operating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63" s="1" t="str">
        <f>IF(C163=0,"Excluded",IF(P163&lt;&gt;"Complete",P163,IF(OR('Replacement plan'!$AD$46&lt;120-E163,AND(D163="EV",E163&lt;120,OR('Replacement plan'!$AC$46&lt;120-E163,'Replacement plan'!$I$46="No",AND(ISNUMBER(AF163),AE163&gt;AF163),AI163&gt;V163*(1-'Operating costs'!$B$46)^MAX(0,AB163-1)*(1-'Operating costs'!$B$45),AC163&gt;'Operating costs'!$B$18,AND(T163&lt;1,OR(AG163&lt;=0,AND(ISNUMBER(AH163),AG163&gt;AH163))),'Replacement plan'!$L$46&gt;INDEX(Products!$H$7:$H$13,MATCH('Replacement plan'!$B$46,Products!$A$7:$A$13,0))))),"Fails entered limits",IF(AND(D163="EV",E163&lt;120,OR(NOT(ISNUMBER(VLOOKUP($A163,'Fleet register'!$A$7:$S$106,7,FALSE))),NOT(ISNUMBER(VLOOKUP($A163,'Fleet register'!$A$7:$S$106,8,FALSE))),NOT(ISNUMBER(AF163)),'Replacement plan'!$I$46&lt;&gt;"Yes",NOT(ISNUMBER(AH163)),'Operating costs'!$B$59&lt;&gt;"Yes",'Operating costs'!$B$58&lt;&gt;"Yes")),"Unverified","Within entered limits"))))</f>
        <v>Excluded</v>
      </c>
      <c r="R163" s="1">
        <f>IF(C163=0,0,VLOOKUP($A163,'Fleet register'!$A$7:$S$106,6,FALSE))</f>
        <v>0</v>
      </c>
      <c r="S163" s="1">
        <f>IF(C163=0,0,VLOOKUP($A163,'Fleet register'!$A$7:$S$106,5,FALSE))</f>
        <v>0</v>
      </c>
      <c r="T163" s="1">
        <f>IF(D163="EV",'Energy and charging'!$B$12,0)</f>
        <v>0</v>
      </c>
      <c r="U163" s="1">
        <f>IFERROR(IF(C163=0,0,IF(D163="EV",IF('Replacement plan'!$F$46="",INDEX(Products!$E$7:$E$13,MATCH('Replacement plan'!$B$46,Products!$A$7:$A$13,0)),'Replacement plan'!$F$46)/IF('Replacement plan'!$G$46="Battery",1-'Operating costs'!$B$44,1),0)),"n.a.")</f>
        <v>0</v>
      </c>
      <c r="V163" s="1">
        <f>IFERROR(IF(C163=0,0,IF(D163="EV",IF('Replacement plan'!$E$46="",INDEX(Products!$D$7:$D$13,MATCH('Replacement plan'!$B$46,Products!$A$7:$A$13,0)),'Replacement plan'!$E$46),0)),"n.a.")</f>
        <v>0</v>
      </c>
      <c r="W163" s="1">
        <f>IF(C163=0,0,IF(AND(P163="Complete",D163="EV",E163&lt;120),IF(T163=0,0,ROUNDUP(T163*(R163-'Operating costs'!$B$41)*(S163*U163+'Operating costs'!$B$48/(1-'Operating costs'!$B$44))/(V163*'Operating costs'!$B$47/(1-'Operating costs'!$B$44)-T163*'Operating costs'!$B$12*U163),0)),0))</f>
        <v>0</v>
      </c>
      <c r="X163" s="1">
        <f>IF(C163=0,0,IF(AND(P163="Complete",D163="EV",E163&lt;120),(R163-'Operating costs'!$B$41)*(S163*U163+'Operating costs'!$B$48/(1-'Operating costs'!$B$44))+W163*'Operating costs'!$B$12*U163,0))</f>
        <v>0</v>
      </c>
      <c r="Y163" s="1">
        <f>IF(AND(C163=1,D163="EV",E163&lt;120),AI163/(1-'Operating costs'!$B$44)*(1-T163),0)</f>
        <v>0</v>
      </c>
      <c r="Z163" s="1">
        <f t="shared" si="4"/>
        <v>0</v>
      </c>
      <c r="AA163" s="1">
        <f>IF(C163=0,0,IF(P163="Complete",((S163*(R163-'Operating costs'!$B$40))+ROUNDUP(S163*(R163-'Operating costs'!$B$40)*IF('Replacement plan'!$AH$46="",'Operating costs'!$B$7,'Replacement plan'!$AH$46)/('Operating costs'!$B$8-'Operating costs'!$B$9*IF('Replacement plan'!$AH$46="",'Operating costs'!$B$7,'Replacement plan'!$AH$46)),0)*'Operating costs'!$B$9)*IF('Replacement plan'!$AH$46="",'Operating costs'!$B$7,'Replacement plan'!$AH$46),"n.a."))</f>
        <v>0</v>
      </c>
      <c r="AB163" s="1">
        <f t="shared" si="5"/>
        <v>0</v>
      </c>
      <c r="AC163" s="1">
        <f>IF(AND(C163=1,D163="EV",E163&lt;120,T163&gt;0),'Operating costs'!$B$12/'Operating costs'!$B$11*60+'Operating costs'!$B$13+'Operating costs'!$B$14+V163*'Operating costs'!$B$47/(1-'Operating costs'!$B$44)/'Replacement plan'!$L$46*60,0)</f>
        <v>0</v>
      </c>
      <c r="AD163" s="1" t="str">
        <f>'Replacement plan'!$B$46</f>
        <v>ChengLong L2EV</v>
      </c>
      <c r="AE163" s="1">
        <f>IF(C163=0,0,VLOOKUP($A163,'Fleet register'!$A$7:$S$106,8,FALSE))</f>
        <v>0</v>
      </c>
      <c r="AF163" s="1" t="str">
        <f>IF('Replacement plan'!$H$46="","n.a.",'Replacement plan'!$H$46)</f>
        <v>n.a.</v>
      </c>
      <c r="AG163" s="1">
        <f>'Replacement plan'!$J$46</f>
        <v>22</v>
      </c>
      <c r="AH163" s="1">
        <f>IFERROR(IF(D163="EV",IF('Replacement plan'!$K$46="AC",IF(ISNUMBER(INDEX(Products!$G$7:$G$13,MATCH('Replacement plan'!$B$46,Products!$A$7:$A$13,0))),INDEX(Products!$G$7:$G$13,MATCH('Replacement plan'!$B$46,Products!$A$7:$A$13,0)),"n.a."),IF(ISNUMBER(INDEX(Products!$H$7:$H$13,MATCH('Replacement plan'!$B$46,Products!$A$7:$A$13,0))),INDEX(Products!$H$7:$H$13,MATCH('Replacement plan'!$B$46,Products!$A$7:$A$13,0)),"n.a.")),0),"n.a.")</f>
        <v>0</v>
      </c>
      <c r="AI163" s="1">
        <f>IF(AND(C163=1,D163="EV",E163&lt;120),(VLOOKUP($A163,'Fleet register'!$A$7:$S$106,7,FALSE)+IF(T163&gt;0,'Operating costs'!$B$12,0))*U163*(1-'Operating costs'!$B$44)+'Operating costs'!$B$49,0)</f>
        <v>0</v>
      </c>
      <c r="AJ163" s="1">
        <f>IF(D163="EV",'Energy and charging'!$B$50,0)</f>
        <v>0</v>
      </c>
      <c r="AK163" s="17">
        <f>EDATE('Operating costs'!$B$63,E163)</f>
        <v>46298</v>
      </c>
      <c r="AL163" s="1">
        <f>IFERROR(IF(D163="EV",INDEX(Products!$B$7:$B$13,MATCH('Replacement plan'!$B$46,Products!$A$7:$A$13,0)),0),"n.a.")</f>
        <v>0</v>
      </c>
      <c r="AM163" s="1" t="str">
        <f>'Replacement plan'!$K$46</f>
        <v>DC</v>
      </c>
      <c r="AN163" s="1" t="str">
        <f>'Replacement plan'!$AE$46</f>
        <v>Assumed</v>
      </c>
      <c r="AO163" s="47">
        <f>IF(AND(C163=1,D163="EV",E163&lt;120),(R163-'Operating costs'!$B$41)*S163+W163*'Operating costs'!$B$12,0)</f>
        <v>0</v>
      </c>
      <c r="AP163" s="41">
        <f>IF(AND(C163=1,D163="EV",E163&lt;120),IF('Operating costs'!$B$68="Hong Seh 200k average",AO163*IFERROR(INDEX(Products!$P$7:$P$13,MATCH(AD163,Products!$A$7:$A$13,0)),"n.a."),'Operating costs'!$B$26),0)</f>
        <v>0</v>
      </c>
      <c r="AQ163" s="40" t="str">
        <f>IF(D163="EV",'Operating costs'!$B$68,"Not applicable")</f>
        <v>Not applicable</v>
      </c>
    </row>
    <row r="164" spans="1:43" ht="24" customHeight="1">
      <c r="A164" s="1" t="str">
        <f>'Replacement plan'!A46</f>
        <v>T040</v>
      </c>
      <c r="B164" s="1">
        <v>1</v>
      </c>
      <c r="C164" s="1">
        <f>IF(COUNTIFS('Fleet register'!$A$7:$A$106,$A164)=1,VLOOKUP($A164,'Fleet register'!$A$7:$S$106,2,FALSE),0)</f>
        <v>0</v>
      </c>
      <c r="D164" s="1" t="str">
        <f>IF("New ICE"="EV","EV","ICE")</f>
        <v>ICE</v>
      </c>
      <c r="E164" s="1">
        <f>IF(C164=0,0,0)</f>
        <v>0</v>
      </c>
      <c r="F164" s="16">
        <f>IF(C164=0,0,VLOOKUP($A164,'Fleet register'!$A$7:$S$106,11,FALSE))</f>
        <v>0</v>
      </c>
      <c r="G164" s="16">
        <f>IFERROR(IF(C164=0,0,IF(E164=120,0,IF(D164="ICE",'Replacement plan'!$C$46,IF('Replacement plan'!$D$46="",INDEX(Products!$I$7:$I$13,MATCH('Replacement plan'!$B$46,Products!$A$7:$A$13,0))+'Operating costs'!$B$57,'Replacement plan'!$D$46))*(1+'Operating costs'!$B$50)^(E164/12))),"n.a.")</f>
        <v>0</v>
      </c>
      <c r="H164" s="16">
        <f>IFERROR(IF(C164=0,0,IF(E164=0,F164,VLOOKUP($A164,'Fleet register'!$A$7:$S$106,12,FALSE)+VLOOKUP($A164,'Fleet register'!$A$7:$S$106,13,FALSE)*MAX(0,VLOOKUP($A164,'Fleet register'!$A$7:$S$106,10,FALSE)-E164)/VLOOKUP($A164,'Fleet register'!$A$7:$S$106,14,FALSE))),"n.a.")</f>
        <v>0</v>
      </c>
      <c r="I164" s="16">
        <f>IF(C164=0,0,IF(E164=120,0,IF('Replacement plan'!$AI$46="",'Operating costs'!$B$56,'Replacement plan'!$AI$46)))</f>
        <v>0</v>
      </c>
      <c r="J164" s="16">
        <f>IF(C164=0,0,IF(P164="Complete",((S164*(R164-'Operating costs'!$B$39))+ROUNDUP(S164*(R164-'Operating costs'!$B$39)*IF('Replacement plan'!$AG$46="",'Operating costs'!$B$7,'Replacement plan'!$AG$46)/('Operating costs'!$B$8-'Operating costs'!$B$9*IF('Replacement plan'!$AG$46="",'Operating costs'!$B$7,'Replacement plan'!$AG$46)),0)*'Operating costs'!$B$9)*IF('Replacement plan'!$AG$46="",'Operating costs'!$B$7,'Replacement plan'!$AG$46)*('Energy and charging'!$B$9*'Energy and charging'!$B$7+(1-'Energy and charging'!$B$9)*'Energy and charging'!$B$8)*'Operating costs'!$B$23,"n.a."))</f>
        <v>0</v>
      </c>
      <c r="K164" s="16">
        <f>IF(C164=0,0,IF(P164="Complete",SUM('Operating costs'!$B$24,'Operating costs'!$B$27,'Operating costs'!$B$29,'Operating costs'!$B$31,'Operating costs'!$B$33,'Operating costs'!$B$34,'Operating costs'!$B$37,'Replacement plan'!$W$46)+'Operating costs'!$B$39*'Operating costs'!$B$42+ROUNDUP(S164*(R164-'Operating costs'!$B$39)*IF('Replacement plan'!$AG$46="",'Operating costs'!$B$7,'Replacement plan'!$AG$46)/('Operating costs'!$B$8-'Operating costs'!$B$9*IF('Replacement plan'!$AG$46="",'Operating costs'!$B$7,'Replacement plan'!$AG$46)),0)*('Operating costs'!$B$9/'Operating costs'!$B$11+'Operating costs'!$B$10/60)*'Operating costs'!$B$19*'Operating costs'!$B$21,"n.a."))</f>
        <v>0</v>
      </c>
      <c r="L164" s="16">
        <f>IF(C164=0,0,IF(P164="Complete",IF(D164="EV",X164*((1-T164)*'Energy and charging'!$B$10+T164*'Energy and charging'!$B$11)*'Operating costs'!$B$22,AA164*('Energy and charging'!$B$9*'Energy and charging'!$B$7+(1-'Energy and charging'!$B$9)*'Energy and charging'!$B$8)*'Operating costs'!$B$23),"n.a."))</f>
        <v>0</v>
      </c>
      <c r="M164" s="37">
        <f>IF(C164=0,0,IF(P164="Complete",IF(D164="ICE",SUM('Operating costs'!$B$25,'Operating costs'!$B$27,'Operating costs'!$B$29,'Operating costs'!$B$31,'Operating costs'!$B$33,'Operating costs'!$B$35,'Operating costs'!$B$37,'Replacement plan'!$X$46)+'Operating costs'!$B$40*'Operating costs'!$B$42+ROUNDUP(S164*(R164-'Operating costs'!$B$40)*IF('Replacement plan'!$AH$46="",'Operating costs'!$B$7,'Replacement plan'!$AH$46)/('Operating costs'!$B$8-'Operating costs'!$B$9*IF('Replacement plan'!$AH$46="",'Operating costs'!$B$7,'Replacement plan'!$AH$46)),0)*('Operating costs'!$B$9/'Operating costs'!$B$11+'Operating costs'!$B$10/60)*'Operating costs'!$B$19*'Operating costs'!$B$21,SUM(AP164,'Operating costs'!$B$28,'Operating costs'!$B$30,'Operating costs'!$B$32,'Operating costs'!$B$33,'Operating costs'!$B$36,'Operating costs'!$B$38,'Replacement plan'!$Y$46)+'Operating costs'!$B$41*'Operating costs'!$B$43+W164*'Operating costs'!$B$15+(T164*X164/'Replacement plan'!$L$46+W164*('Operating costs'!$B$12/'Operating costs'!$B$11+('Operating costs'!$B$13+'Operating costs'!$B$14)/60)+(R164-'Operating costs'!$B$41)*(IF(T164&lt;1,'Operating costs'!$B$16,0)+'Operating costs'!$B$17)/60)*'Operating costs'!$B$19*'Operating costs'!$B$20),"n.a."))</f>
        <v>0</v>
      </c>
      <c r="N164" s="16">
        <f>IF(AND(C164=1,D164="EV",E164&lt;120,E164+'Replacement plan'!$AA$46&lt;=120),'Replacement plan'!$Z$46,0)</f>
        <v>0</v>
      </c>
      <c r="O164" s="1">
        <f>E164+'Replacement plan'!$AA$46</f>
        <v>0</v>
      </c>
      <c r="P164" s="35" t="str">
        <f>IFERROR(IF(C164=0,"Excluded",IF(OR(COUNTIFS('Fleet register'!$A$7:$A$106,A164)&lt;&gt;1,COUNTIFS('Replacement plan'!$A$7:$A$106,A164)&lt;&gt;1),"Duplicate/missing ID",IF(NOT(AND(ISNUMBER(VLOOKUP($A164,'Fleet register'!$A$7:$S$106,5,FALSE)),ISNUMBER(VLOOKUP($A164,'Fleet register'!$A$7:$S$106,6,FALSE)),ISNUMBER(VLOOKUP($A164,'Fleet register'!$A$7:$S$106,10,FALSE)),ISNUMBER(VLOOKUP($A164,'Fleet register'!$A$7:$S$106,11,FALSE)),ISNUMBER(VLOOKUP($A164,'Fleet register'!$A$7:$S$106,12,FALSE)),ISNUMBER(VLOOKUP($A164,'Fleet register'!$A$7:$S$106,13,FALSE)),ISNUMBER(VLOOKUP($A164,'Fleet register'!$A$7:$S$106,14,FALSE)),VLOOKUP($A164,'Fleet register'!$A$7:$S$106,14,FALSE)&gt;0,ISNUMBER('Replacement plan'!$C$46),OR(E164=120,OR(ISNUMBER('Replacement plan'!$AI$46),AND('Replacement plan'!$AI$46="",ISNUMBER('Operating costs'!$B$56)))),ISNUMBER(E164))),"Missing vehicle input",IF(OR(E164&lt;0,E164&gt;VLOOKUP($A164,'Fleet register'!$A$7:$S$106,10,FALSE),E164&gt;120,E164&lt;&gt;INT(E164),VLOOKUP($A164,'Fleet register'!$A$7:$S$106,6,FALSE)&lt;=0,VLOOKUP($A164,'Fleet register'!$A$7:$S$106,6,FALSE)&gt;366,VLOOKUP($A164,'Fleet register'!$A$7:$S$106,5,FALSE)&lt;0,VLOOKUP($A164,'Fleet register'!$A$7:$S$106,11,FALSE)&lt;0,I164&lt;0,'Operating costs'!$B$8&lt;='Operating costs'!$B$7*'Operating costs'!$B$9,'Operating costs'!$B$11&lt;=0,'Operating costs'!$B$39&gt;R164,'Operating costs'!$B$40&gt;R164,'Operating costs'!$B$41&gt;R164,NOT(OR("New ICE"="Keep ICE","New ICE"="New ICE","New ICE"="EV"))),"Invalid vehicle input",IF(AND(D164="EV",E164&lt;120,OR(NOT(ISNUMBER(U164)),NOT(ISNUMBER(V164)),V164&lt;=0,T164&lt;0,T164&gt;1,'Replacement plan'!$L$46&lt;=0,'Operating costs'!$B$44&lt;0,'Operating costs'!$B$44&gt;=1,'Operating costs'!$B$47&lt;=0,'Operating costs'!$B$47&gt;1,V164*'Operating costs'!$B$47/(1-'Operating costs'!$B$44)&lt;=T164*'Operating costs'!$B$12*U164,AND('Replacement plan'!$Z$46&gt;0,OR('Replacement plan'!$AB$46&lt;&gt;"Yes",'Operating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charging'!$B$8&gt;=0))),ISNUMBER(VLOOKUP($A164,'Fleet register'!$A$7:$S$106,15,FALSE)),ISNUMBER(VLOOKUP($A164,'Fleet register'!$A$7:$S$106,16,FALSE)),ISNUMBER('Replacement plan'!$W$46),ISNUMBER('Replacement plan'!$X$46),OR(E164=120,AND(ISNUMBER(G164),G164&gt;=0)),ISNUMBER(H164),H164&gt;=0,OR(D164&lt;&gt;"EV",E164=120,AND(ISNUMBER('Operating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average",ISNUMBER(IFERROR(INDEX(Products!$P$7:$P$13,MATCH(AD164,Products!$A$7:$A$13,0)),"")))),ISNUMBER('Operating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plan'!$Y$46),ISNUMBER('Replacement plan'!$Z$46),'Replacement plan'!$Z$46&gt;=0,ISNUMBER('Replacement plan'!$AA$46),'Replacement plan'!$AA$46&gt;=0,'Replacement plan'!$AA$46=INT('Replacement plan'!$AA$46),ISNUMBER('Replacement plan'!$L$46))),'Operating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plan'!$AG$46="",'Operating costs'!$B$7,'Replacement plan'!$AG$46)),IF('Replacement plan'!$AG$46="",'Operating costs'!$B$7,'Replacement plan'!$AG$46)&gt;=0,ISNUMBER(IF('Replacement plan'!$AH$46="",'Operating costs'!$B$7,'Replacement plan'!$AH$46)),IF('Replacement plan'!$AH$46="",'Operating costs'!$B$7,'Replacement plan'!$AH$46)&gt;=0,'Operating costs'!$B$8&gt;MAX(IF('Replacement plan'!$AG$46="",'Operating costs'!$B$7,'Replacement plan'!$AG$46),IF('Replacement plan'!$AH$46="",'Operating costs'!$B$7,'Replacement plan'!$AH$46))*'Operating costs'!$B$9),IF(AND(VLOOKUP($A164,'Fleet register'!$A$7:$S$106,10,FALSE)&gt;=0,VLOOKUP($A164,'Fleet register'!$A$7:$S$106,10,FALSE)&lt;=120,VLOOKUP($A164,'Fleet register'!$A$7:$S$106,10,FALSE)=INT(VLOOKUP($A164,'Fleet register'!$A$7:$S$106,10,FALSE)),VLOOKUP($A164,'Fleet register'!$A$7:$S$106,15,FALSE)&gt;=0,VLOOKUP($A164,'Fleet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costs'!$B$67)&gt;=0,OR(D164&lt;&gt;"EV",E164=120,AND(MIN('Operating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64" s="1" t="str">
        <f>IF(C164=0,"Excluded",IF(P164&lt;&gt;"Complete",P164,IF(OR('Replacement plan'!$AD$46&lt;120-E164,AND(D164="EV",E164&lt;120,OR('Replacement plan'!$AC$46&lt;120-E164,'Replacement plan'!$I$46="No",AND(ISNUMBER(AF164),AE164&gt;AF164),AI164&gt;V164*(1-'Operating costs'!$B$46)^MAX(0,AB164-1)*(1-'Operating costs'!$B$45),AC164&gt;'Operating costs'!$B$18,AND(T164&lt;1,OR(AG164&lt;=0,AND(ISNUMBER(AH164),AG164&gt;AH164))),'Replacement plan'!$L$46&gt;INDEX(Products!$H$7:$H$13,MATCH('Replacement plan'!$B$46,Products!$A$7:$A$13,0))))),"Fails entered limits",IF(AND(D164="EV",E164&lt;120,OR(NOT(ISNUMBER(VLOOKUP($A164,'Fleet register'!$A$7:$S$106,7,FALSE))),NOT(ISNUMBER(VLOOKUP($A164,'Fleet register'!$A$7:$S$106,8,FALSE))),NOT(ISNUMBER(AF164)),'Replacement plan'!$I$46&lt;&gt;"Yes",NOT(ISNUMBER(AH164)),'Operating costs'!$B$59&lt;&gt;"Yes",'Operating costs'!$B$58&lt;&gt;"Yes")),"Unverified","Within entered limits"))))</f>
        <v>Excluded</v>
      </c>
      <c r="R164" s="1">
        <f>IF(C164=0,0,VLOOKUP($A164,'Fleet register'!$A$7:$S$106,6,FALSE))</f>
        <v>0</v>
      </c>
      <c r="S164" s="1">
        <f>IF(C164=0,0,VLOOKUP($A164,'Fleet register'!$A$7:$S$106,5,FALSE))</f>
        <v>0</v>
      </c>
      <c r="T164" s="1">
        <f>IF(D164="EV",'Energy and charging'!$B$12,0)</f>
        <v>0</v>
      </c>
      <c r="U164" s="1">
        <f>IFERROR(IF(C164=0,0,IF(D164="EV",IF('Replacement plan'!$F$46="",INDEX(Products!$E$7:$E$13,MATCH('Replacement plan'!$B$46,Products!$A$7:$A$13,0)),'Replacement plan'!$F$46)/IF('Replacement plan'!$G$46="Battery",1-'Operating costs'!$B$44,1),0)),"n.a.")</f>
        <v>0</v>
      </c>
      <c r="V164" s="1">
        <f>IFERROR(IF(C164=0,0,IF(D164="EV",IF('Replacement plan'!$E$46="",INDEX(Products!$D$7:$D$13,MATCH('Replacement plan'!$B$46,Products!$A$7:$A$13,0)),'Replacement plan'!$E$46),0)),"n.a.")</f>
        <v>0</v>
      </c>
      <c r="W164" s="1">
        <f>IF(C164=0,0,IF(AND(P164="Complete",D164="EV",E164&lt;120),IF(T164=0,0,ROUNDUP(T164*(R164-'Operating costs'!$B$41)*(S164*U164+'Operating costs'!$B$48/(1-'Operating costs'!$B$44))/(V164*'Operating costs'!$B$47/(1-'Operating costs'!$B$44)-T164*'Operating costs'!$B$12*U164),0)),0))</f>
        <v>0</v>
      </c>
      <c r="X164" s="1">
        <f>IF(C164=0,0,IF(AND(P164="Complete",D164="EV",E164&lt;120),(R164-'Operating costs'!$B$41)*(S164*U164+'Operating costs'!$B$48/(1-'Operating costs'!$B$44))+W164*'Operating costs'!$B$12*U164,0))</f>
        <v>0</v>
      </c>
      <c r="Y164" s="1">
        <f>IF(AND(C164=1,D164="EV",E164&lt;120),AI164/(1-'Operating costs'!$B$44)*(1-T164),0)</f>
        <v>0</v>
      </c>
      <c r="Z164" s="1">
        <f t="shared" si="4"/>
        <v>0</v>
      </c>
      <c r="AA164" s="1">
        <f>IF(C164=0,0,IF(P164="Complete",((S164*(R164-'Operating costs'!$B$40))+ROUNDUP(S164*(R164-'Operating costs'!$B$40)*IF('Replacement plan'!$AH$46="",'Operating costs'!$B$7,'Replacement plan'!$AH$46)/('Operating costs'!$B$8-'Operating costs'!$B$9*IF('Replacement plan'!$AH$46="",'Operating costs'!$B$7,'Replacement plan'!$AH$46)),0)*'Operating costs'!$B$9)*IF('Replacement plan'!$AH$46="",'Operating costs'!$B$7,'Replacement plan'!$AH$46),"n.a."))</f>
        <v>0</v>
      </c>
      <c r="AB164" s="1">
        <f t="shared" si="5"/>
        <v>0</v>
      </c>
      <c r="AC164" s="1">
        <f>IF(AND(C164=1,D164="EV",E164&lt;120,T164&gt;0),'Operating costs'!$B$12/'Operating costs'!$B$11*60+'Operating costs'!$B$13+'Operating costs'!$B$14+V164*'Operating costs'!$B$47/(1-'Operating costs'!$B$44)/'Replacement plan'!$L$46*60,0)</f>
        <v>0</v>
      </c>
      <c r="AD164" s="1" t="str">
        <f>'Replacement plan'!$B$46</f>
        <v>ChengLong L2EV</v>
      </c>
      <c r="AE164" s="1">
        <f>IF(C164=0,0,VLOOKUP($A164,'Fleet register'!$A$7:$S$106,8,FALSE))</f>
        <v>0</v>
      </c>
      <c r="AF164" s="1" t="str">
        <f>IF('Replacement plan'!$H$46="","n.a.",'Replacement plan'!$H$46)</f>
        <v>n.a.</v>
      </c>
      <c r="AG164" s="1">
        <f>'Replacement plan'!$J$46</f>
        <v>22</v>
      </c>
      <c r="AH164" s="1">
        <f>IFERROR(IF(D164="EV",IF('Replacement plan'!$K$46="AC",IF(ISNUMBER(INDEX(Products!$G$7:$G$13,MATCH('Replacement plan'!$B$46,Products!$A$7:$A$13,0))),INDEX(Products!$G$7:$G$13,MATCH('Replacement plan'!$B$46,Products!$A$7:$A$13,0)),"n.a."),IF(ISNUMBER(INDEX(Products!$H$7:$H$13,MATCH('Replacement plan'!$B$46,Products!$A$7:$A$13,0))),INDEX(Products!$H$7:$H$13,MATCH('Replacement plan'!$B$46,Products!$A$7:$A$13,0)),"n.a.")),0),"n.a.")</f>
        <v>0</v>
      </c>
      <c r="AI164" s="1">
        <f>IF(AND(C164=1,D164="EV",E164&lt;120),(VLOOKUP($A164,'Fleet register'!$A$7:$S$106,7,FALSE)+IF(T164&gt;0,'Operating costs'!$B$12,0))*U164*(1-'Operating costs'!$B$44)+'Operating costs'!$B$49,0)</f>
        <v>0</v>
      </c>
      <c r="AJ164" s="1">
        <f>IF(D164="EV",'Energy and charging'!$B$50,0)</f>
        <v>0</v>
      </c>
      <c r="AK164" s="17">
        <f>EDATE('Operating costs'!$B$63,E164)</f>
        <v>46298</v>
      </c>
      <c r="AL164" s="1">
        <f>IFERROR(IF(D164="EV",INDEX(Products!$B$7:$B$13,MATCH('Replacement plan'!$B$46,Products!$A$7:$A$13,0)),0),"n.a.")</f>
        <v>0</v>
      </c>
      <c r="AM164" s="1" t="str">
        <f>'Replacement plan'!$K$46</f>
        <v>DC</v>
      </c>
      <c r="AN164" s="1" t="str">
        <f>'Replacement plan'!$AE$46</f>
        <v>Assumed</v>
      </c>
      <c r="AO164" s="47">
        <f>IF(AND(C164=1,D164="EV",E164&lt;120),(R164-'Operating costs'!$B$41)*S164+W164*'Operating costs'!$B$12,0)</f>
        <v>0</v>
      </c>
      <c r="AP164" s="41">
        <f>IF(AND(C164=1,D164="EV",E164&lt;120),IF('Operating costs'!$B$68="Hong Seh 200k average",AO164*IFERROR(INDEX(Products!$P$7:$P$13,MATCH(AD164,Products!$A$7:$A$13,0)),"n.a."),'Operating costs'!$B$26),0)</f>
        <v>0</v>
      </c>
      <c r="AQ164" s="40" t="str">
        <f>IF(D164="EV",'Operating costs'!$B$68,"Not applicable")</f>
        <v>Not applicable</v>
      </c>
    </row>
    <row r="165" spans="1:43" ht="24" customHeight="1">
      <c r="A165" s="1" t="str">
        <f>'Replacement plan'!A46</f>
        <v>T040</v>
      </c>
      <c r="B165" s="1">
        <v>2</v>
      </c>
      <c r="C165" s="1">
        <f>IF(COUNTIFS('Fleet register'!$A$7:$A$106,$A165)=1,VLOOKUP($A165,'Fleet register'!$A$7:$S$106,2,FALSE),0)</f>
        <v>0</v>
      </c>
      <c r="D165" s="1" t="str">
        <f>IF('Replacement plan'!$O$46="EV","EV","ICE")</f>
        <v>ICE</v>
      </c>
      <c r="E165" s="1">
        <f>IF(C165=0,0,IF('Replacement plan'!$P$46="",IF('Replacement plan'!$O$46="Keep ICE",IF('Replacement plan'!$M$46="",VLOOKUP($A165,'Fleet register'!$A$7:$S$106,10,FALSE),'Replacement plan'!$M$46),0),'Replacement plan'!$P$46))</f>
        <v>0</v>
      </c>
      <c r="F165" s="16">
        <f>IF(C165=0,0,VLOOKUP($A165,'Fleet register'!$A$7:$S$106,11,FALSE))</f>
        <v>0</v>
      </c>
      <c r="G165" s="16">
        <f>IFERROR(IF(C165=0,0,IF(E165=120,0,IF(D165="ICE",'Replacement plan'!$C$46,IF('Replacement plan'!$D$46="",INDEX(Products!$I$7:$I$13,MATCH('Replacement plan'!$B$46,Products!$A$7:$A$13,0))+'Operating costs'!$B$57,'Replacement plan'!$D$46))*(1+'Operating costs'!$B$50)^(E165/12))),"n.a.")</f>
        <v>0</v>
      </c>
      <c r="H165" s="16">
        <f>IFERROR(IF(C165=0,0,IF('Replacement plan'!$U$46&lt;&gt;"",'Replacement plan'!$U$46,IF(E165=0,F165,VLOOKUP($A165,'Fleet register'!$A$7:$S$106,12,FALSE)+VLOOKUP($A165,'Fleet register'!$A$7:$S$106,13,FALSE)*MAX(0,VLOOKUP($A165,'Fleet register'!$A$7:$S$106,10,FALSE)-E165)/VLOOKUP($A165,'Fleet register'!$A$7:$S$106,14,FALSE)))),"n.a.")</f>
        <v>0</v>
      </c>
      <c r="I165" s="16">
        <f>IF(C165=0,0,IF(E165=120,0,'Replacement plan'!$Q$46))</f>
        <v>0</v>
      </c>
      <c r="J165" s="16">
        <f>IF(C165=0,0,IF(P165="Complete",((S165*(R165-'Operating costs'!$B$39))+ROUNDUP(S165*(R165-'Operating costs'!$B$39)*IF('Replacement plan'!$AG$46="",'Operating costs'!$B$7,'Replacement plan'!$AG$46)/('Operating costs'!$B$8-'Operating costs'!$B$9*IF('Replacement plan'!$AG$46="",'Operating costs'!$B$7,'Replacement plan'!$AG$46)),0)*'Operating costs'!$B$9)*IF('Replacement plan'!$AG$46="",'Operating costs'!$B$7,'Replacement plan'!$AG$46)*('Energy and charging'!$B$9*'Energy and charging'!$B$7+(1-'Energy and charging'!$B$9)*'Energy and charging'!$B$8)*'Operating costs'!$B$23,"n.a."))</f>
        <v>0</v>
      </c>
      <c r="K165" s="16">
        <f>IF(C165=0,0,IF(P165="Complete",SUM('Operating costs'!$B$24,'Operating costs'!$B$27,'Operating costs'!$B$29,'Operating costs'!$B$31,'Operating costs'!$B$33,'Operating costs'!$B$34,'Operating costs'!$B$37,'Replacement plan'!$W$46)+'Operating costs'!$B$39*'Operating costs'!$B$42+ROUNDUP(S165*(R165-'Operating costs'!$B$39)*IF('Replacement plan'!$AG$46="",'Operating costs'!$B$7,'Replacement plan'!$AG$46)/('Operating costs'!$B$8-'Operating costs'!$B$9*IF('Replacement plan'!$AG$46="",'Operating costs'!$B$7,'Replacement plan'!$AG$46)),0)*('Operating costs'!$B$9/'Operating costs'!$B$11+'Operating costs'!$B$10/60)*'Operating costs'!$B$19*'Operating costs'!$B$21,"n.a."))</f>
        <v>0</v>
      </c>
      <c r="L165" s="16">
        <f>IF(C165=0,0,IF(P165="Complete",IF(D165="EV",X165*((1-T165)*'Energy and charging'!$B$10+T165*'Energy and charging'!$B$11)*'Operating costs'!$B$22,AA165*('Energy and charging'!$B$9*'Energy and charging'!$B$7+(1-'Energy and charging'!$B$9)*'Energy and charging'!$B$8)*'Operating costs'!$B$23),"n.a."))</f>
        <v>0</v>
      </c>
      <c r="M165" s="37">
        <f>IF(C165=0,0,IF(P165="Complete",IF(D165="ICE",SUM('Operating costs'!$B$25,'Operating costs'!$B$27,'Operating costs'!$B$29,'Operating costs'!$B$31,'Operating costs'!$B$33,'Operating costs'!$B$35,'Operating costs'!$B$37,'Replacement plan'!$X$46)+'Operating costs'!$B$40*'Operating costs'!$B$42+ROUNDUP(S165*(R165-'Operating costs'!$B$40)*IF('Replacement plan'!$AH$46="",'Operating costs'!$B$7,'Replacement plan'!$AH$46)/('Operating costs'!$B$8-'Operating costs'!$B$9*IF('Replacement plan'!$AH$46="",'Operating costs'!$B$7,'Replacement plan'!$AH$46)),0)*('Operating costs'!$B$9/'Operating costs'!$B$11+'Operating costs'!$B$10/60)*'Operating costs'!$B$19*'Operating costs'!$B$21,SUM(AP165,'Operating costs'!$B$28,'Operating costs'!$B$30,'Operating costs'!$B$32,'Operating costs'!$B$33,'Operating costs'!$B$36,'Operating costs'!$B$38,'Replacement plan'!$Y$46)+'Operating costs'!$B$41*'Operating costs'!$B$43+W165*'Operating costs'!$B$15+(T165*X165/'Replacement plan'!$L$46+W165*('Operating costs'!$B$12/'Operating costs'!$B$11+('Operating costs'!$B$13+'Operating costs'!$B$14)/60)+(R165-'Operating costs'!$B$41)*(IF(T165&lt;1,'Operating costs'!$B$16,0)+'Operating costs'!$B$17)/60)*'Operating costs'!$B$19*'Operating costs'!$B$20),"n.a."))</f>
        <v>0</v>
      </c>
      <c r="N165" s="16">
        <f>IF(AND(C165=1,D165="EV",E165&lt;120,E165+'Replacement plan'!$AA$46&lt;=120),'Replacement plan'!$Z$46,0)</f>
        <v>0</v>
      </c>
      <c r="O165" s="1">
        <f>E165+'Replacement plan'!$AA$46</f>
        <v>0</v>
      </c>
      <c r="P165" s="35" t="str">
        <f>IFERROR(IF(C165=0,"Excluded",IF(OR(COUNTIFS('Fleet register'!$A$7:$A$106,A165)&lt;&gt;1,COUNTIFS('Replacement plan'!$A$7:$A$106,A165)&lt;&gt;1),"Duplicate/missing ID",IF(NOT(AND(ISNUMBER(VLOOKUP($A165,'Fleet register'!$A$7:$S$106,5,FALSE)),ISNUMBER(VLOOKUP($A165,'Fleet register'!$A$7:$S$106,6,FALSE)),ISNUMBER(VLOOKUP($A165,'Fleet register'!$A$7:$S$106,10,FALSE)),ISNUMBER(VLOOKUP($A165,'Fleet register'!$A$7:$S$106,11,FALSE)),ISNUMBER(VLOOKUP($A165,'Fleet register'!$A$7:$S$106,12,FALSE)),ISNUMBER(VLOOKUP($A165,'Fleet register'!$A$7:$S$106,13,FALSE)),ISNUMBER(VLOOKUP($A165,'Fleet register'!$A$7:$S$106,14,FALSE)),VLOOKUP($A165,'Fleet register'!$A$7:$S$106,14,FALSE)&gt;0,ISNUMBER('Replacement plan'!$C$46),OR(E165=120,ISNUMBER('Replacement plan'!$Q$46)),ISNUMBER(E165))),"Missing vehicle input",IF(OR(E165&lt;0,E165&gt;VLOOKUP($A165,'Fleet register'!$A$7:$S$106,10,FALSE),E165&gt;120,E165&lt;&gt;INT(E165),VLOOKUP($A165,'Fleet register'!$A$7:$S$106,6,FALSE)&lt;=0,VLOOKUP($A165,'Fleet register'!$A$7:$S$106,6,FALSE)&gt;366,VLOOKUP($A165,'Fleet register'!$A$7:$S$106,5,FALSE)&lt;0,VLOOKUP($A165,'Fleet register'!$A$7:$S$106,11,FALSE)&lt;0,I165&lt;0,'Operating costs'!$B$8&lt;='Operating costs'!$B$7*'Operating costs'!$B$9,'Operating costs'!$B$11&lt;=0,'Operating costs'!$B$39&gt;R165,'Operating costs'!$B$40&gt;R165,'Operating costs'!$B$41&gt;R165,NOT(OR('Replacement plan'!$O$46="Keep ICE",'Replacement plan'!$O$46="New ICE",'Replacement plan'!$O$46="EV"))),"Invalid vehicle input",IF(AND(D165="EV",E165&lt;120,OR(NOT(ISNUMBER(U165)),NOT(ISNUMBER(V165)),V165&lt;=0,T165&lt;0,T165&gt;1,'Replacement plan'!$L$46&lt;=0,'Operating costs'!$B$44&lt;0,'Operating costs'!$B$44&gt;=1,'Operating costs'!$B$47&lt;=0,'Operating costs'!$B$47&gt;1,V165*'Operating costs'!$B$47/(1-'Operating costs'!$B$44)&lt;=T165*'Operating costs'!$B$12*U165,AND('Replacement plan'!$Z$46&gt;0,OR('Replacement plan'!$AB$46&lt;&gt;"Yes",'Operating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charging'!$B$8&gt;=0))),ISNUMBER(VLOOKUP($A165,'Fleet register'!$A$7:$S$106,15,FALSE)),ISNUMBER(VLOOKUP($A165,'Fleet register'!$A$7:$S$106,16,FALSE)),ISNUMBER('Replacement plan'!$W$46),ISNUMBER('Replacement plan'!$X$46),OR(E165=120,AND(ISNUMBER(G165),G165&gt;=0)),ISNUMBER(H165),H165&gt;=0,OR(D165&lt;&gt;"EV",E165=120,AND(ISNUMBER('Operating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average",ISNUMBER(IFERROR(INDEX(Products!$P$7:$P$13,MATCH(AD165,Products!$A$7:$A$13,0)),"")))),ISNUMBER('Operating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plan'!$Y$46),ISNUMBER('Replacement plan'!$Z$46),'Replacement plan'!$Z$46&gt;=0,ISNUMBER('Replacement plan'!$AA$46),'Replacement plan'!$AA$46&gt;=0,'Replacement plan'!$AA$46=INT('Replacement plan'!$AA$46),ISNUMBER('Replacement plan'!$L$46))),'Operating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plan'!$AG$46="",'Operating costs'!$B$7,'Replacement plan'!$AG$46)),IF('Replacement plan'!$AG$46="",'Operating costs'!$B$7,'Replacement plan'!$AG$46)&gt;=0,ISNUMBER(IF('Replacement plan'!$AH$46="",'Operating costs'!$B$7,'Replacement plan'!$AH$46)),IF('Replacement plan'!$AH$46="",'Operating costs'!$B$7,'Replacement plan'!$AH$46)&gt;=0,'Operating costs'!$B$8&gt;MAX(IF('Replacement plan'!$AG$46="",'Operating costs'!$B$7,'Replacement plan'!$AG$46),IF('Replacement plan'!$AH$46="",'Operating costs'!$B$7,'Replacement plan'!$AH$46))*'Operating costs'!$B$9),IF(AND(VLOOKUP($A165,'Fleet register'!$A$7:$S$106,10,FALSE)&gt;=0,VLOOKUP($A165,'Fleet register'!$A$7:$S$106,10,FALSE)&lt;=120,VLOOKUP($A165,'Fleet register'!$A$7:$S$106,10,FALSE)=INT(VLOOKUP($A165,'Fleet register'!$A$7:$S$106,10,FALSE)),VLOOKUP($A165,'Fleet register'!$A$7:$S$106,15,FALSE)&gt;=0,VLOOKUP($A165,'Fleet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costs'!$B$67)&gt;=0,OR(D165&lt;&gt;"EV",E165=120,AND(MIN('Operating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65" s="1" t="str">
        <f>IF(C165=0,"Excluded",IF(P165&lt;&gt;"Complete",P165,IF(OR('Replacement plan'!$AD$46&lt;120-E165,AND(D165="EV",E165&lt;120,OR('Replacement plan'!$AC$46&lt;120-E165,'Replacement plan'!$I$46="No",AND(ISNUMBER(AF165),AE165&gt;AF165),AI165&gt;V165*(1-'Operating costs'!$B$46)^MAX(0,AB165-1)*(1-'Operating costs'!$B$45),AC165&gt;'Operating costs'!$B$18,AND(T165&lt;1,OR(AG165&lt;=0,AND(ISNUMBER(AH165),AG165&gt;AH165))),'Replacement plan'!$L$46&gt;INDEX(Products!$H$7:$H$13,MATCH('Replacement plan'!$B$46,Products!$A$7:$A$13,0))))),"Fails entered limits",IF(AND(D165="EV",E165&lt;120,OR(NOT(ISNUMBER(VLOOKUP($A165,'Fleet register'!$A$7:$S$106,7,FALSE))),NOT(ISNUMBER(VLOOKUP($A165,'Fleet register'!$A$7:$S$106,8,FALSE))),NOT(ISNUMBER(AF165)),'Replacement plan'!$I$46&lt;&gt;"Yes",NOT(ISNUMBER(AH165)),'Operating costs'!$B$59&lt;&gt;"Yes",'Operating costs'!$B$58&lt;&gt;"Yes")),"Unverified","Within entered limits"))))</f>
        <v>Excluded</v>
      </c>
      <c r="R165" s="1">
        <f>IF(C165=0,0,VLOOKUP($A165,'Fleet register'!$A$7:$S$106,6,FALSE))</f>
        <v>0</v>
      </c>
      <c r="S165" s="1">
        <f>IF(C165=0,0,VLOOKUP($A165,'Fleet register'!$A$7:$S$106,5,FALSE))</f>
        <v>0</v>
      </c>
      <c r="T165" s="1">
        <f>IF(D165="EV",'Energy and charging'!$B$12,0)</f>
        <v>0</v>
      </c>
      <c r="U165" s="1">
        <f>IFERROR(IF(C165=0,0,IF(D165="EV",IF('Replacement plan'!$F$46="",INDEX(Products!$E$7:$E$13,MATCH('Replacement plan'!$B$46,Products!$A$7:$A$13,0)),'Replacement plan'!$F$46)/IF('Replacement plan'!$G$46="Battery",1-'Operating costs'!$B$44,1),0)),"n.a.")</f>
        <v>0</v>
      </c>
      <c r="V165" s="1">
        <f>IFERROR(IF(C165=0,0,IF(D165="EV",IF('Replacement plan'!$E$46="",INDEX(Products!$D$7:$D$13,MATCH('Replacement plan'!$B$46,Products!$A$7:$A$13,0)),'Replacement plan'!$E$46),0)),"n.a.")</f>
        <v>0</v>
      </c>
      <c r="W165" s="1">
        <f>IF(C165=0,0,IF(AND(P165="Complete",D165="EV",E165&lt;120),IF(T165=0,0,ROUNDUP(T165*(R165-'Operating costs'!$B$41)*(S165*U165+'Operating costs'!$B$48/(1-'Operating costs'!$B$44))/(V165*'Operating costs'!$B$47/(1-'Operating costs'!$B$44)-T165*'Operating costs'!$B$12*U165),0)),0))</f>
        <v>0</v>
      </c>
      <c r="X165" s="1">
        <f>IF(C165=0,0,IF(AND(P165="Complete",D165="EV",E165&lt;120),(R165-'Operating costs'!$B$41)*(S165*U165+'Operating costs'!$B$48/(1-'Operating costs'!$B$44))+W165*'Operating costs'!$B$12*U165,0))</f>
        <v>0</v>
      </c>
      <c r="Y165" s="1">
        <f>IF(AND(C165=1,D165="EV",E165&lt;120),AI165/(1-'Operating costs'!$B$44)*(1-T165),0)</f>
        <v>0</v>
      </c>
      <c r="Z165" s="1">
        <f t="shared" si="4"/>
        <v>0</v>
      </c>
      <c r="AA165" s="1">
        <f>IF(C165=0,0,IF(P165="Complete",((S165*(R165-'Operating costs'!$B$40))+ROUNDUP(S165*(R165-'Operating costs'!$B$40)*IF('Replacement plan'!$AH$46="",'Operating costs'!$B$7,'Replacement plan'!$AH$46)/('Operating costs'!$B$8-'Operating costs'!$B$9*IF('Replacement plan'!$AH$46="",'Operating costs'!$B$7,'Replacement plan'!$AH$46)),0)*'Operating costs'!$B$9)*IF('Replacement plan'!$AH$46="",'Operating costs'!$B$7,'Replacement plan'!$AH$46),"n.a."))</f>
        <v>0</v>
      </c>
      <c r="AB165" s="1">
        <f t="shared" si="5"/>
        <v>0</v>
      </c>
      <c r="AC165" s="1">
        <f>IF(AND(C165=1,D165="EV",E165&lt;120,T165&gt;0),'Operating costs'!$B$12/'Operating costs'!$B$11*60+'Operating costs'!$B$13+'Operating costs'!$B$14+V165*'Operating costs'!$B$47/(1-'Operating costs'!$B$44)/'Replacement plan'!$L$46*60,0)</f>
        <v>0</v>
      </c>
      <c r="AD165" s="1" t="str">
        <f>'Replacement plan'!$B$46</f>
        <v>ChengLong L2EV</v>
      </c>
      <c r="AE165" s="1">
        <f>IF(C165=0,0,VLOOKUP($A165,'Fleet register'!$A$7:$S$106,8,FALSE))</f>
        <v>0</v>
      </c>
      <c r="AF165" s="1" t="str">
        <f>IF('Replacement plan'!$H$46="","n.a.",'Replacement plan'!$H$46)</f>
        <v>n.a.</v>
      </c>
      <c r="AG165" s="1">
        <f>'Replacement plan'!$J$46</f>
        <v>22</v>
      </c>
      <c r="AH165" s="1">
        <f>IFERROR(IF(D165="EV",IF('Replacement plan'!$K$46="AC",IF(ISNUMBER(INDEX(Products!$G$7:$G$13,MATCH('Replacement plan'!$B$46,Products!$A$7:$A$13,0))),INDEX(Products!$G$7:$G$13,MATCH('Replacement plan'!$B$46,Products!$A$7:$A$13,0)),"n.a."),IF(ISNUMBER(INDEX(Products!$H$7:$H$13,MATCH('Replacement plan'!$B$46,Products!$A$7:$A$13,0))),INDEX(Products!$H$7:$H$13,MATCH('Replacement plan'!$B$46,Products!$A$7:$A$13,0)),"n.a.")),0),"n.a.")</f>
        <v>0</v>
      </c>
      <c r="AI165" s="1">
        <f>IF(AND(C165=1,D165="EV",E165&lt;120),(VLOOKUP($A165,'Fleet register'!$A$7:$S$106,7,FALSE)+IF(T165&gt;0,'Operating costs'!$B$12,0))*U165*(1-'Operating costs'!$B$44)+'Operating costs'!$B$49,0)</f>
        <v>0</v>
      </c>
      <c r="AJ165" s="1">
        <f>IF(D165="EV",'Energy and charging'!$B$50,0)</f>
        <v>0</v>
      </c>
      <c r="AK165" s="17">
        <f>EDATE('Operating costs'!$B$63,E165)</f>
        <v>46298</v>
      </c>
      <c r="AL165" s="1">
        <f>IFERROR(IF(D165="EV",INDEX(Products!$B$7:$B$13,MATCH('Replacement plan'!$B$46,Products!$A$7:$A$13,0)),0),"n.a.")</f>
        <v>0</v>
      </c>
      <c r="AM165" s="1" t="str">
        <f>'Replacement plan'!$K$46</f>
        <v>DC</v>
      </c>
      <c r="AN165" s="1" t="str">
        <f>'Replacement plan'!$AE$46</f>
        <v>Assumed</v>
      </c>
      <c r="AO165" s="47">
        <f>IF(AND(C165=1,D165="EV",E165&lt;120),(R165-'Operating costs'!$B$41)*S165+W165*'Operating costs'!$B$12,0)</f>
        <v>0</v>
      </c>
      <c r="AP165" s="41">
        <f>IF(AND(C165=1,D165="EV",E165&lt;120),IF('Operating costs'!$B$68="Hong Seh 200k average",AO165*IFERROR(INDEX(Products!$P$7:$P$13,MATCH(AD165,Products!$A$7:$A$13,0)),"n.a."),'Operating costs'!$B$26),0)</f>
        <v>0</v>
      </c>
      <c r="AQ165" s="40" t="str">
        <f>IF(D165="EV",'Operating costs'!$B$68,"Not applicable")</f>
        <v>Not applicable</v>
      </c>
    </row>
    <row r="166" spans="1:43" ht="24" customHeight="1">
      <c r="A166" s="1" t="str">
        <f>'Replacement plan'!A46</f>
        <v>T040</v>
      </c>
      <c r="B166" s="1">
        <v>3</v>
      </c>
      <c r="C166" s="1">
        <f>IF(COUNTIFS('Fleet register'!$A$7:$A$106,$A166)=1,VLOOKUP($A166,'Fleet register'!$A$7:$S$106,2,FALSE),0)</f>
        <v>0</v>
      </c>
      <c r="D166" s="1" t="str">
        <f>IF('Replacement plan'!$R$46="EV","EV","ICE")</f>
        <v>ICE</v>
      </c>
      <c r="E166" s="1">
        <f>IF(C166=0,0,IF('Replacement plan'!$S$46="",IF('Replacement plan'!$R$46="Keep ICE",IF('Replacement plan'!$M$46="",VLOOKUP($A166,'Fleet register'!$A$7:$S$106,10,FALSE),'Replacement plan'!$M$46),0),'Replacement plan'!$S$46))</f>
        <v>0</v>
      </c>
      <c r="F166" s="16">
        <f>IF(C166=0,0,VLOOKUP($A166,'Fleet register'!$A$7:$S$106,11,FALSE))</f>
        <v>0</v>
      </c>
      <c r="G166" s="16">
        <f>IFERROR(IF(C166=0,0,IF(E166=120,0,IF(D166="ICE",'Replacement plan'!$C$46,IF('Replacement plan'!$D$46="",INDEX(Products!$I$7:$I$13,MATCH('Replacement plan'!$B$46,Products!$A$7:$A$13,0))+'Operating costs'!$B$57,'Replacement plan'!$D$46))*(1+'Operating costs'!$B$50)^(E166/12))),"n.a.")</f>
        <v>0</v>
      </c>
      <c r="H166" s="16">
        <f>IFERROR(IF(C166=0,0,IF('Replacement plan'!$V$46&lt;&gt;"",'Replacement plan'!$V$46,IF(E166=0,F166,VLOOKUP($A166,'Fleet register'!$A$7:$S$106,12,FALSE)+VLOOKUP($A166,'Fleet register'!$A$7:$S$106,13,FALSE)*MAX(0,VLOOKUP($A166,'Fleet register'!$A$7:$S$106,10,FALSE)-E166)/VLOOKUP($A166,'Fleet register'!$A$7:$S$106,14,FALSE)))),"n.a.")</f>
        <v>0</v>
      </c>
      <c r="I166" s="16">
        <f>IF(C166=0,0,IF(E166=120,0,'Replacement plan'!$T$46))</f>
        <v>0</v>
      </c>
      <c r="J166" s="16">
        <f>IF(C166=0,0,IF(P166="Complete",((S166*(R166-'Operating costs'!$B$39))+ROUNDUP(S166*(R166-'Operating costs'!$B$39)*IF('Replacement plan'!$AG$46="",'Operating costs'!$B$7,'Replacement plan'!$AG$46)/('Operating costs'!$B$8-'Operating costs'!$B$9*IF('Replacement plan'!$AG$46="",'Operating costs'!$B$7,'Replacement plan'!$AG$46)),0)*'Operating costs'!$B$9)*IF('Replacement plan'!$AG$46="",'Operating costs'!$B$7,'Replacement plan'!$AG$46)*('Energy and charging'!$C$9*'Energy and charging'!$C$7+(1-'Energy and charging'!$C$9)*'Energy and charging'!$C$8)*'Operating costs'!$B$23,"n.a."))</f>
        <v>0</v>
      </c>
      <c r="K166" s="16">
        <f>IF(C166=0,0,IF(P166="Complete",SUM('Operating costs'!$B$24,'Operating costs'!$B$27,'Operating costs'!$B$29,'Operating costs'!$B$31,'Operating costs'!$B$33,'Operating costs'!$B$34,'Operating costs'!$B$37,'Replacement plan'!$W$46)+'Operating costs'!$B$39*'Operating costs'!$B$42+ROUNDUP(S166*(R166-'Operating costs'!$B$39)*IF('Replacement plan'!$AG$46="",'Operating costs'!$B$7,'Replacement plan'!$AG$46)/('Operating costs'!$B$8-'Operating costs'!$B$9*IF('Replacement plan'!$AG$46="",'Operating costs'!$B$7,'Replacement plan'!$AG$46)),0)*('Operating costs'!$B$9/'Operating costs'!$B$11+'Operating costs'!$B$10/60)*'Operating costs'!$B$19*'Operating costs'!$B$21,"n.a."))</f>
        <v>0</v>
      </c>
      <c r="L166" s="16">
        <f>IF(C166=0,0,IF(P166="Complete",IF(D166="EV",X166*((1-T166)*'Energy and charging'!$C$10+T166*'Energy and charging'!$C$11)*'Operating costs'!$B$22,AA166*('Energy and charging'!$C$9*'Energy and charging'!$C$7+(1-'Energy and charging'!$C$9)*'Energy and charging'!$C$8)*'Operating costs'!$B$23),"n.a."))</f>
        <v>0</v>
      </c>
      <c r="M166" s="37">
        <f>IF(C166=0,0,IF(P166="Complete",IF(D166="ICE",SUM('Operating costs'!$B$25,'Operating costs'!$B$27,'Operating costs'!$B$29,'Operating costs'!$B$31,'Operating costs'!$B$33,'Operating costs'!$B$35,'Operating costs'!$B$37,'Replacement plan'!$X$46)+'Operating costs'!$B$40*'Operating costs'!$B$42+ROUNDUP(S166*(R166-'Operating costs'!$B$40)*IF('Replacement plan'!$AH$46="",'Operating costs'!$B$7,'Replacement plan'!$AH$46)/('Operating costs'!$B$8-'Operating costs'!$B$9*IF('Replacement plan'!$AH$46="",'Operating costs'!$B$7,'Replacement plan'!$AH$46)),0)*('Operating costs'!$B$9/'Operating costs'!$B$11+'Operating costs'!$B$10/60)*'Operating costs'!$B$19*'Operating costs'!$B$21,SUM(AP166,'Operating costs'!$B$28,'Operating costs'!$B$30,'Operating costs'!$B$32,'Operating costs'!$B$33,'Operating costs'!$B$36,'Operating costs'!$B$38,'Replacement plan'!$Y$46)+'Operating costs'!$B$41*'Operating costs'!$B$43+W166*'Operating costs'!$B$15+(T166*X166/'Replacement plan'!$L$46+W166*('Operating costs'!$B$12/'Operating costs'!$B$11+('Operating costs'!$B$13+'Operating costs'!$B$14)/60)+(R166-'Operating costs'!$B$41)*(IF(T166&lt;1,'Operating costs'!$B$16,0)+'Operating costs'!$B$17)/60)*'Operating costs'!$B$19*'Operating costs'!$B$20),"n.a."))</f>
        <v>0</v>
      </c>
      <c r="N166" s="16">
        <f>IF(AND(C166=1,D166="EV",E166&lt;120,E166+'Replacement plan'!$AA$46&lt;=120),'Replacement plan'!$Z$46,0)</f>
        <v>0</v>
      </c>
      <c r="O166" s="1">
        <f>E166+'Replacement plan'!$AA$46</f>
        <v>0</v>
      </c>
      <c r="P166" s="35" t="str">
        <f>IFERROR(IF(C166=0,"Excluded",IF(OR(COUNTIFS('Fleet register'!$A$7:$A$106,A166)&lt;&gt;1,COUNTIFS('Replacement plan'!$A$7:$A$106,A166)&lt;&gt;1),"Duplicate/missing ID",IF(NOT(AND(ISNUMBER(VLOOKUP($A166,'Fleet register'!$A$7:$S$106,5,FALSE)),ISNUMBER(VLOOKUP($A166,'Fleet register'!$A$7:$S$106,6,FALSE)),ISNUMBER(VLOOKUP($A166,'Fleet register'!$A$7:$S$106,10,FALSE)),ISNUMBER(VLOOKUP($A166,'Fleet register'!$A$7:$S$106,11,FALSE)),ISNUMBER(VLOOKUP($A166,'Fleet register'!$A$7:$S$106,12,FALSE)),ISNUMBER(VLOOKUP($A166,'Fleet register'!$A$7:$S$106,13,FALSE)),ISNUMBER(VLOOKUP($A166,'Fleet register'!$A$7:$S$106,14,FALSE)),VLOOKUP($A166,'Fleet register'!$A$7:$S$106,14,FALSE)&gt;0,ISNUMBER('Replacement plan'!$C$46),OR(E166=120,ISNUMBER('Replacement plan'!$T$46)),ISNUMBER(E166))),"Missing vehicle input",IF(OR(E166&lt;0,E166&gt;VLOOKUP($A166,'Fleet register'!$A$7:$S$106,10,FALSE),E166&gt;120,E166&lt;&gt;INT(E166),VLOOKUP($A166,'Fleet register'!$A$7:$S$106,6,FALSE)&lt;=0,VLOOKUP($A166,'Fleet register'!$A$7:$S$106,6,FALSE)&gt;366,VLOOKUP($A166,'Fleet register'!$A$7:$S$106,5,FALSE)&lt;0,VLOOKUP($A166,'Fleet register'!$A$7:$S$106,11,FALSE)&lt;0,I166&lt;0,'Operating costs'!$B$8&lt;='Operating costs'!$B$7*'Operating costs'!$B$9,'Operating costs'!$B$11&lt;=0,'Operating costs'!$B$39&gt;R166,'Operating costs'!$B$40&gt;R166,'Operating costs'!$B$41&gt;R166,NOT(OR('Replacement plan'!$R$46="Keep ICE",'Replacement plan'!$R$46="New ICE",'Replacement plan'!$R$46="EV"))),"Invalid vehicle input",IF(AND(D166="EV",E166&lt;120,OR(NOT(ISNUMBER(U166)),NOT(ISNUMBER(V166)),V166&lt;=0,T166&lt;0,T166&gt;1,'Replacement plan'!$L$46&lt;=0,'Operating costs'!$B$44&lt;0,'Operating costs'!$B$44&gt;=1,'Operating costs'!$B$47&lt;=0,'Operating costs'!$B$47&gt;1,V166*'Operating costs'!$B$47/(1-'Operating costs'!$B$44)&lt;=T166*'Operating costs'!$B$12*U166,AND('Replacement plan'!$Z$46&gt;0,OR('Replacement plan'!$AB$46&lt;&gt;"Yes",'Operating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charging'!$C$8&gt;=0))),ISNUMBER(VLOOKUP($A166,'Fleet register'!$A$7:$S$106,15,FALSE)),ISNUMBER(VLOOKUP($A166,'Fleet register'!$A$7:$S$106,16,FALSE)),ISNUMBER('Replacement plan'!$W$46),ISNUMBER('Replacement plan'!$X$46),OR(E166=120,AND(ISNUMBER(G166),G166&gt;=0)),ISNUMBER(H166),H166&gt;=0,OR(D166&lt;&gt;"EV",E166=120,AND(ISNUMBER('Operating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average",ISNUMBER(IFERROR(INDEX(Products!$P$7:$P$13,MATCH(AD166,Products!$A$7:$A$13,0)),"")))),ISNUMBER('Operating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plan'!$Y$46),ISNUMBER('Replacement plan'!$Z$46),'Replacement plan'!$Z$46&gt;=0,ISNUMBER('Replacement plan'!$AA$46),'Replacement plan'!$AA$46&gt;=0,'Replacement plan'!$AA$46=INT('Replacement plan'!$AA$46),ISNUMBER('Replacement plan'!$L$46))),'Operating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plan'!$AG$46="",'Operating costs'!$B$7,'Replacement plan'!$AG$46)),IF('Replacement plan'!$AG$46="",'Operating costs'!$B$7,'Replacement plan'!$AG$46)&gt;=0,ISNUMBER(IF('Replacement plan'!$AH$46="",'Operating costs'!$B$7,'Replacement plan'!$AH$46)),IF('Replacement plan'!$AH$46="",'Operating costs'!$B$7,'Replacement plan'!$AH$46)&gt;=0,'Operating costs'!$B$8&gt;MAX(IF('Replacement plan'!$AG$46="",'Operating costs'!$B$7,'Replacement plan'!$AG$46),IF('Replacement plan'!$AH$46="",'Operating costs'!$B$7,'Replacement plan'!$AH$46))*'Operating costs'!$B$9),IF(AND(VLOOKUP($A166,'Fleet register'!$A$7:$S$106,10,FALSE)&gt;=0,VLOOKUP($A166,'Fleet register'!$A$7:$S$106,10,FALSE)&lt;=120,VLOOKUP($A166,'Fleet register'!$A$7:$S$106,10,FALSE)=INT(VLOOKUP($A166,'Fleet register'!$A$7:$S$106,10,FALSE)),VLOOKUP($A166,'Fleet register'!$A$7:$S$106,15,FALSE)&gt;=0,VLOOKUP($A166,'Fleet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costs'!$B$67)&gt;=0,OR(D166&lt;&gt;"EV",E166=120,AND(MIN('Operating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66" s="1" t="str">
        <f>IF(C166=0,"Excluded",IF(P166&lt;&gt;"Complete",P166,IF(OR('Replacement plan'!$AD$46&lt;120-E166,AND(D166="EV",E166&lt;120,OR('Replacement plan'!$AC$46&lt;120-E166,'Replacement plan'!$I$46="No",AND(ISNUMBER(AF166),AE166&gt;AF166),AI166&gt;V166*(1-'Operating costs'!$B$46)^MAX(0,AB166-1)*(1-'Operating costs'!$B$45),AC166&gt;'Operating costs'!$B$18,AND(T166&lt;1,OR(AG166&lt;=0,AND(ISNUMBER(AH166),AG166&gt;AH166))),'Replacement plan'!$L$46&gt;INDEX(Products!$H$7:$H$13,MATCH('Replacement plan'!$B$46,Products!$A$7:$A$13,0))))),"Fails entered limits",IF(AND(D166="EV",E166&lt;120,OR(NOT(ISNUMBER(VLOOKUP($A166,'Fleet register'!$A$7:$S$106,7,FALSE))),NOT(ISNUMBER(VLOOKUP($A166,'Fleet register'!$A$7:$S$106,8,FALSE))),NOT(ISNUMBER(AF166)),'Replacement plan'!$I$46&lt;&gt;"Yes",NOT(ISNUMBER(AH166)),'Operating costs'!$B$59&lt;&gt;"Yes",'Operating costs'!$B$58&lt;&gt;"Yes")),"Unverified","Within entered limits"))))</f>
        <v>Excluded</v>
      </c>
      <c r="R166" s="1">
        <f>IF(C166=0,0,VLOOKUP($A166,'Fleet register'!$A$7:$S$106,6,FALSE))</f>
        <v>0</v>
      </c>
      <c r="S166" s="1">
        <f>IF(C166=0,0,VLOOKUP($A166,'Fleet register'!$A$7:$S$106,5,FALSE))</f>
        <v>0</v>
      </c>
      <c r="T166" s="1">
        <f>IF(D166="EV",'Energy and charging'!$C$12,0)</f>
        <v>0</v>
      </c>
      <c r="U166" s="1">
        <f>IFERROR(IF(C166=0,0,IF(D166="EV",IF('Replacement plan'!$F$46="",INDEX(Products!$E$7:$E$13,MATCH('Replacement plan'!$B$46,Products!$A$7:$A$13,0)),'Replacement plan'!$F$46)/IF('Replacement plan'!$G$46="Battery",1-'Operating costs'!$B$44,1),0)),"n.a.")</f>
        <v>0</v>
      </c>
      <c r="V166" s="1">
        <f>IFERROR(IF(C166=0,0,IF(D166="EV",IF('Replacement plan'!$E$46="",INDEX(Products!$D$7:$D$13,MATCH('Replacement plan'!$B$46,Products!$A$7:$A$13,0)),'Replacement plan'!$E$46),0)),"n.a.")</f>
        <v>0</v>
      </c>
      <c r="W166" s="1">
        <f>IF(C166=0,0,IF(AND(P166="Complete",D166="EV",E166&lt;120),IF(T166=0,0,ROUNDUP(T166*(R166-'Operating costs'!$B$41)*(S166*U166+'Operating costs'!$B$48/(1-'Operating costs'!$B$44))/(V166*'Operating costs'!$B$47/(1-'Operating costs'!$B$44)-T166*'Operating costs'!$B$12*U166),0)),0))</f>
        <v>0</v>
      </c>
      <c r="X166" s="1">
        <f>IF(C166=0,0,IF(AND(P166="Complete",D166="EV",E166&lt;120),(R166-'Operating costs'!$B$41)*(S166*U166+'Operating costs'!$B$48/(1-'Operating costs'!$B$44))+W166*'Operating costs'!$B$12*U166,0))</f>
        <v>0</v>
      </c>
      <c r="Y166" s="1">
        <f>IF(AND(C166=1,D166="EV",E166&lt;120),AI166/(1-'Operating costs'!$B$44)*(1-T166),0)</f>
        <v>0</v>
      </c>
      <c r="Z166" s="1">
        <f t="shared" si="4"/>
        <v>0</v>
      </c>
      <c r="AA166" s="1">
        <f>IF(C166=0,0,IF(P166="Complete",((S166*(R166-'Operating costs'!$B$40))+ROUNDUP(S166*(R166-'Operating costs'!$B$40)*IF('Replacement plan'!$AH$46="",'Operating costs'!$B$7,'Replacement plan'!$AH$46)/('Operating costs'!$B$8-'Operating costs'!$B$9*IF('Replacement plan'!$AH$46="",'Operating costs'!$B$7,'Replacement plan'!$AH$46)),0)*'Operating costs'!$B$9)*IF('Replacement plan'!$AH$46="",'Operating costs'!$B$7,'Replacement plan'!$AH$46),"n.a."))</f>
        <v>0</v>
      </c>
      <c r="AB166" s="1">
        <f t="shared" si="5"/>
        <v>0</v>
      </c>
      <c r="AC166" s="1">
        <f>IF(AND(C166=1,D166="EV",E166&lt;120,T166&gt;0),'Operating costs'!$B$12/'Operating costs'!$B$11*60+'Operating costs'!$B$13+'Operating costs'!$B$14+V166*'Operating costs'!$B$47/(1-'Operating costs'!$B$44)/'Replacement plan'!$L$46*60,0)</f>
        <v>0</v>
      </c>
      <c r="AD166" s="1" t="str">
        <f>'Replacement plan'!$B$46</f>
        <v>ChengLong L2EV</v>
      </c>
      <c r="AE166" s="1">
        <f>IF(C166=0,0,VLOOKUP($A166,'Fleet register'!$A$7:$S$106,8,FALSE))</f>
        <v>0</v>
      </c>
      <c r="AF166" s="1" t="str">
        <f>IF('Replacement plan'!$H$46="","n.a.",'Replacement plan'!$H$46)</f>
        <v>n.a.</v>
      </c>
      <c r="AG166" s="1">
        <f>'Replacement plan'!$J$46</f>
        <v>22</v>
      </c>
      <c r="AH166" s="1">
        <f>IFERROR(IF(D166="EV",IF('Replacement plan'!$K$46="AC",IF(ISNUMBER(INDEX(Products!$G$7:$G$13,MATCH('Replacement plan'!$B$46,Products!$A$7:$A$13,0))),INDEX(Products!$G$7:$G$13,MATCH('Replacement plan'!$B$46,Products!$A$7:$A$13,0)),"n.a."),IF(ISNUMBER(INDEX(Products!$H$7:$H$13,MATCH('Replacement plan'!$B$46,Products!$A$7:$A$13,0))),INDEX(Products!$H$7:$H$13,MATCH('Replacement plan'!$B$46,Products!$A$7:$A$13,0)),"n.a.")),0),"n.a.")</f>
        <v>0</v>
      </c>
      <c r="AI166" s="1">
        <f>IF(AND(C166=1,D166="EV",E166&lt;120),(VLOOKUP($A166,'Fleet register'!$A$7:$S$106,7,FALSE)+IF(T166&gt;0,'Operating costs'!$B$12,0))*U166*(1-'Operating costs'!$B$44)+'Operating costs'!$B$49,0)</f>
        <v>0</v>
      </c>
      <c r="AJ166" s="1">
        <f>IF(D166="EV",'Energy and charging'!$C$50,0)</f>
        <v>0</v>
      </c>
      <c r="AK166" s="17">
        <f>EDATE('Operating costs'!$B$63,E166)</f>
        <v>46298</v>
      </c>
      <c r="AL166" s="1">
        <f>IFERROR(IF(D166="EV",INDEX(Products!$B$7:$B$13,MATCH('Replacement plan'!$B$46,Products!$A$7:$A$13,0)),0),"n.a.")</f>
        <v>0</v>
      </c>
      <c r="AM166" s="1" t="str">
        <f>'Replacement plan'!$K$46</f>
        <v>DC</v>
      </c>
      <c r="AN166" s="1" t="str">
        <f>'Replacement plan'!$AE$46</f>
        <v>Assumed</v>
      </c>
      <c r="AO166" s="47">
        <f>IF(AND(C166=1,D166="EV",E166&lt;120),(R166-'Operating costs'!$B$41)*S166+W166*'Operating costs'!$B$12,0)</f>
        <v>0</v>
      </c>
      <c r="AP166" s="41">
        <f>IF(AND(C166=1,D166="EV",E166&lt;120),IF('Operating costs'!$B$68="Hong Seh 200k average",AO166*IFERROR(INDEX(Products!$P$7:$P$13,MATCH(AD166,Products!$A$7:$A$13,0)),"n.a."),'Operating costs'!$B$26),0)</f>
        <v>0</v>
      </c>
      <c r="AQ166" s="40" t="str">
        <f>IF(D166="EV",'Operating costs'!$B$68,"Not applicable")</f>
        <v>Not applicable</v>
      </c>
    </row>
    <row r="167" spans="1:43" ht="24" customHeight="1">
      <c r="A167" s="1" t="str">
        <f>'Replacement plan'!A47</f>
        <v>T041</v>
      </c>
      <c r="B167" s="1">
        <v>0</v>
      </c>
      <c r="C167" s="1">
        <f>IF(COUNTIFS('Fleet register'!$A$7:$A$106,$A167)=1,VLOOKUP($A167,'Fleet register'!$A$7:$S$106,2,FALSE),0)</f>
        <v>0</v>
      </c>
      <c r="D167" s="1" t="str">
        <f>IF("Keep ICE"="EV","EV","ICE")</f>
        <v>ICE</v>
      </c>
      <c r="E167" s="1">
        <f>IF(C167=0,0,IF('Replacement plan'!$M$47="",VLOOKUP($A167,'Fleet register'!$A$7:$S$106,10,FALSE),'Replacement plan'!$M$47))</f>
        <v>0</v>
      </c>
      <c r="F167" s="16">
        <f>IF(C167=0,0,VLOOKUP($A167,'Fleet register'!$A$7:$S$106,11,FALSE))</f>
        <v>0</v>
      </c>
      <c r="G167" s="16">
        <f>IFERROR(IF(C167=0,0,IF(E167=120,0,IF(D167="ICE",'Replacement plan'!$C$47,IF('Replacement plan'!$D$47="",INDEX(Products!$I$7:$I$13,MATCH('Replacement plan'!$B$47,Products!$A$7:$A$13,0))+'Operating costs'!$B$57,'Replacement plan'!$D$47))*(1+'Operating costs'!$B$50)^(E167/12))),"n.a.")</f>
        <v>0</v>
      </c>
      <c r="H167" s="16">
        <f>IFERROR(IF(C167=0,0,IF(E167=0,F167,VLOOKUP($A167,'Fleet register'!$A$7:$S$106,12,FALSE)+VLOOKUP($A167,'Fleet register'!$A$7:$S$106,13,FALSE)*MAX(0,VLOOKUP($A167,'Fleet register'!$A$7:$S$106,10,FALSE)-E167)/VLOOKUP($A167,'Fleet register'!$A$7:$S$106,14,FALSE))),"n.a.")</f>
        <v>0</v>
      </c>
      <c r="I167" s="16">
        <f>IF(C167=0,0,IF(E167=120,0,'Replacement plan'!$N$47))</f>
        <v>0</v>
      </c>
      <c r="J167" s="16">
        <f>IF(C167=0,0,IF(P167="Complete",((S167*(R167-'Operating costs'!$B$39))+ROUNDUP(S167*(R167-'Operating costs'!$B$39)*IF('Replacement plan'!$AG$47="",'Operating costs'!$B$7,'Replacement plan'!$AG$47)/('Operating costs'!$B$8-'Operating costs'!$B$9*IF('Replacement plan'!$AG$47="",'Operating costs'!$B$7,'Replacement plan'!$AG$47)),0)*'Operating costs'!$B$9)*IF('Replacement plan'!$AG$47="",'Operating costs'!$B$7,'Replacement plan'!$AG$47)*('Energy and charging'!$B$9*'Energy and charging'!$B$7+(1-'Energy and charging'!$B$9)*'Energy and charging'!$B$8)*'Operating costs'!$B$23,"n.a."))</f>
        <v>0</v>
      </c>
      <c r="K167" s="16">
        <f>IF(C167=0,0,IF(P167="Complete",SUM('Operating costs'!$B$24,'Operating costs'!$B$27,'Operating costs'!$B$29,'Operating costs'!$B$31,'Operating costs'!$B$33,'Operating costs'!$B$34,'Operating costs'!$B$37,'Replacement plan'!$W$47)+'Operating costs'!$B$39*'Operating costs'!$B$42+ROUNDUP(S167*(R167-'Operating costs'!$B$39)*IF('Replacement plan'!$AG$47="",'Operating costs'!$B$7,'Replacement plan'!$AG$47)/('Operating costs'!$B$8-'Operating costs'!$B$9*IF('Replacement plan'!$AG$47="",'Operating costs'!$B$7,'Replacement plan'!$AG$47)),0)*('Operating costs'!$B$9/'Operating costs'!$B$11+'Operating costs'!$B$10/60)*'Operating costs'!$B$19*'Operating costs'!$B$21,"n.a."))</f>
        <v>0</v>
      </c>
      <c r="L167" s="16">
        <f>IF(C167=0,0,IF(P167="Complete",IF(D167="EV",X167*((1-T167)*'Energy and charging'!$B$10+T167*'Energy and charging'!$B$11)*'Operating costs'!$B$22,AA167*('Energy and charging'!$B$9*'Energy and charging'!$B$7+(1-'Energy and charging'!$B$9)*'Energy and charging'!$B$8)*'Operating costs'!$B$23),"n.a."))</f>
        <v>0</v>
      </c>
      <c r="M167" s="37">
        <f>IF(C167=0,0,IF(P167="Complete",IF(D167="ICE",SUM('Operating costs'!$B$25,'Operating costs'!$B$27,'Operating costs'!$B$29,'Operating costs'!$B$31,'Operating costs'!$B$33,'Operating costs'!$B$35,'Operating costs'!$B$37,'Replacement plan'!$X$47)+'Operating costs'!$B$40*'Operating costs'!$B$42+ROUNDUP(S167*(R167-'Operating costs'!$B$40)*IF('Replacement plan'!$AH$47="",'Operating costs'!$B$7,'Replacement plan'!$AH$47)/('Operating costs'!$B$8-'Operating costs'!$B$9*IF('Replacement plan'!$AH$47="",'Operating costs'!$B$7,'Replacement plan'!$AH$47)),0)*('Operating costs'!$B$9/'Operating costs'!$B$11+'Operating costs'!$B$10/60)*'Operating costs'!$B$19*'Operating costs'!$B$21,SUM(AP167,'Operating costs'!$B$28,'Operating costs'!$B$30,'Operating costs'!$B$32,'Operating costs'!$B$33,'Operating costs'!$B$36,'Operating costs'!$B$38,'Replacement plan'!$Y$47)+'Operating costs'!$B$41*'Operating costs'!$B$43+W167*'Operating costs'!$B$15+(T167*X167/'Replacement plan'!$L$47+W167*('Operating costs'!$B$12/'Operating costs'!$B$11+('Operating costs'!$B$13+'Operating costs'!$B$14)/60)+(R167-'Operating costs'!$B$41)*(IF(T167&lt;1,'Operating costs'!$B$16,0)+'Operating costs'!$B$17)/60)*'Operating costs'!$B$19*'Operating costs'!$B$20),"n.a."))</f>
        <v>0</v>
      </c>
      <c r="N167" s="16">
        <f>IF(AND(C167=1,D167="EV",E167&lt;120,E167+'Replacement plan'!$AA$47&lt;=120),'Replacement plan'!$Z$47,0)</f>
        <v>0</v>
      </c>
      <c r="O167" s="1">
        <f>E167+'Replacement plan'!$AA$47</f>
        <v>0</v>
      </c>
      <c r="P167" s="35" t="str">
        <f>IFERROR(IF(C167=0,"Excluded",IF(OR(COUNTIFS('Fleet register'!$A$7:$A$106,A167)&lt;&gt;1,COUNTIFS('Replacement plan'!$A$7:$A$106,A167)&lt;&gt;1),"Duplicate/missing ID",IF(NOT(AND(ISNUMBER(VLOOKUP($A167,'Fleet register'!$A$7:$S$106,5,FALSE)),ISNUMBER(VLOOKUP($A167,'Fleet register'!$A$7:$S$106,6,FALSE)),ISNUMBER(VLOOKUP($A167,'Fleet register'!$A$7:$S$106,10,FALSE)),ISNUMBER(VLOOKUP($A167,'Fleet register'!$A$7:$S$106,11,FALSE)),ISNUMBER(VLOOKUP($A167,'Fleet register'!$A$7:$S$106,12,FALSE)),ISNUMBER(VLOOKUP($A167,'Fleet register'!$A$7:$S$106,13,FALSE)),ISNUMBER(VLOOKUP($A167,'Fleet register'!$A$7:$S$106,14,FALSE)),VLOOKUP($A167,'Fleet register'!$A$7:$S$106,14,FALSE)&gt;0,ISNUMBER('Replacement plan'!$C$47),OR(E167=120,ISNUMBER('Replacement plan'!$N$47)),ISNUMBER(E167))),"Missing vehicle input",IF(OR(E167&lt;0,E167&gt;VLOOKUP($A167,'Fleet register'!$A$7:$S$106,10,FALSE),E167&gt;120,E167&lt;&gt;INT(E167),VLOOKUP($A167,'Fleet register'!$A$7:$S$106,6,FALSE)&lt;=0,VLOOKUP($A167,'Fleet register'!$A$7:$S$106,6,FALSE)&gt;366,VLOOKUP($A167,'Fleet register'!$A$7:$S$106,5,FALSE)&lt;0,VLOOKUP($A167,'Fleet register'!$A$7:$S$106,11,FALSE)&lt;0,I167&lt;0,'Operating costs'!$B$8&lt;='Operating costs'!$B$7*'Operating costs'!$B$9,'Operating costs'!$B$11&lt;=0,'Operating costs'!$B$39&gt;R167,'Operating costs'!$B$40&gt;R167,'Operating costs'!$B$41&gt;R167,NOT(OR("Keep ICE"="Keep ICE","Keep ICE"="New ICE","Keep ICE"="EV"))),"Invalid vehicle input",IF(AND(D167="EV",E167&lt;120,OR(NOT(ISNUMBER(U167)),NOT(ISNUMBER(V167)),V167&lt;=0,T167&lt;0,T167&gt;1,'Replacement plan'!$L$47&lt;=0,'Operating costs'!$B$44&lt;0,'Operating costs'!$B$44&gt;=1,'Operating costs'!$B$47&lt;=0,'Operating costs'!$B$47&gt;1,V167*'Operating costs'!$B$47/(1-'Operating costs'!$B$44)&lt;=T167*'Operating costs'!$B$12*U167,AND('Replacement plan'!$Z$47&gt;0,OR('Replacement plan'!$AB$47&lt;&gt;"Yes",'Operating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charging'!$B$8&gt;=0))),ISNUMBER(VLOOKUP($A167,'Fleet register'!$A$7:$S$106,15,FALSE)),ISNUMBER(VLOOKUP($A167,'Fleet register'!$A$7:$S$106,16,FALSE)),ISNUMBER('Replacement plan'!$W$47),ISNUMBER('Replacement plan'!$X$47),OR(E167=120,AND(ISNUMBER(G167),G167&gt;=0)),ISNUMBER(H167),H167&gt;=0,OR(D167&lt;&gt;"EV",E167=120,AND(ISNUMBER('Operating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average",ISNUMBER(IFERROR(INDEX(Products!$P$7:$P$13,MATCH(AD167,Products!$A$7:$A$13,0)),"")))),ISNUMBER('Operating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plan'!$Y$47),ISNUMBER('Replacement plan'!$Z$47),'Replacement plan'!$Z$47&gt;=0,ISNUMBER('Replacement plan'!$AA$47),'Replacement plan'!$AA$47&gt;=0,'Replacement plan'!$AA$47=INT('Replacement plan'!$AA$47),ISNUMBER('Replacement plan'!$L$47))),'Operating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plan'!$AG$47="",'Operating costs'!$B$7,'Replacement plan'!$AG$47)),IF('Replacement plan'!$AG$47="",'Operating costs'!$B$7,'Replacement plan'!$AG$47)&gt;=0,ISNUMBER(IF('Replacement plan'!$AH$47="",'Operating costs'!$B$7,'Replacement plan'!$AH$47)),IF('Replacement plan'!$AH$47="",'Operating costs'!$B$7,'Replacement plan'!$AH$47)&gt;=0,'Operating costs'!$B$8&gt;MAX(IF('Replacement plan'!$AG$47="",'Operating costs'!$B$7,'Replacement plan'!$AG$47),IF('Replacement plan'!$AH$47="",'Operating costs'!$B$7,'Replacement plan'!$AH$47))*'Operating costs'!$B$9),IF(AND(VLOOKUP($A167,'Fleet register'!$A$7:$S$106,10,FALSE)&gt;=0,VLOOKUP($A167,'Fleet register'!$A$7:$S$106,10,FALSE)&lt;=120,VLOOKUP($A167,'Fleet register'!$A$7:$S$106,10,FALSE)=INT(VLOOKUP($A167,'Fleet register'!$A$7:$S$106,10,FALSE)),VLOOKUP($A167,'Fleet register'!$A$7:$S$106,15,FALSE)&gt;=0,VLOOKUP($A167,'Fleet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costs'!$B$67)&gt;=0,OR(D167&lt;&gt;"EV",E167=120,AND(MIN('Operating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67" s="1" t="str">
        <f>IF(C167=0,"Excluded",IF(P167&lt;&gt;"Complete",P167,IF(OR('Replacement plan'!$AD$47&lt;120-E167,AND(D167="EV",E167&lt;120,OR('Replacement plan'!$AC$47&lt;120-E167,'Replacement plan'!$I$47="No",AND(ISNUMBER(AF167),AE167&gt;AF167),AI167&gt;V167*(1-'Operating costs'!$B$46)^MAX(0,AB167-1)*(1-'Operating costs'!$B$45),AC167&gt;'Operating costs'!$B$18,AND(T167&lt;1,OR(AG167&lt;=0,AND(ISNUMBER(AH167),AG167&gt;AH167))),'Replacement plan'!$L$47&gt;INDEX(Products!$H$7:$H$13,MATCH('Replacement plan'!$B$47,Products!$A$7:$A$13,0))))),"Fails entered limits",IF(AND(D167="EV",E167&lt;120,OR(NOT(ISNUMBER(VLOOKUP($A167,'Fleet register'!$A$7:$S$106,7,FALSE))),NOT(ISNUMBER(VLOOKUP($A167,'Fleet register'!$A$7:$S$106,8,FALSE))),NOT(ISNUMBER(AF167)),'Replacement plan'!$I$47&lt;&gt;"Yes",NOT(ISNUMBER(AH167)),'Operating costs'!$B$59&lt;&gt;"Yes",'Operating costs'!$B$58&lt;&gt;"Yes")),"Unverified","Within entered limits"))))</f>
        <v>Excluded</v>
      </c>
      <c r="R167" s="1">
        <f>IF(C167=0,0,VLOOKUP($A167,'Fleet register'!$A$7:$S$106,6,FALSE))</f>
        <v>0</v>
      </c>
      <c r="S167" s="1">
        <f>IF(C167=0,0,VLOOKUP($A167,'Fleet register'!$A$7:$S$106,5,FALSE))</f>
        <v>0</v>
      </c>
      <c r="T167" s="1">
        <f>IF(D167="EV",'Energy and charging'!$B$12,0)</f>
        <v>0</v>
      </c>
      <c r="U167" s="1">
        <f>IFERROR(IF(C167=0,0,IF(D167="EV",IF('Replacement plan'!$F$47="",INDEX(Products!$E$7:$E$13,MATCH('Replacement plan'!$B$47,Products!$A$7:$A$13,0)),'Replacement plan'!$F$47)/IF('Replacement plan'!$G$47="Battery",1-'Operating costs'!$B$44,1),0)),"n.a.")</f>
        <v>0</v>
      </c>
      <c r="V167" s="1">
        <f>IFERROR(IF(C167=0,0,IF(D167="EV",IF('Replacement plan'!$E$47="",INDEX(Products!$D$7:$D$13,MATCH('Replacement plan'!$B$47,Products!$A$7:$A$13,0)),'Replacement plan'!$E$47),0)),"n.a.")</f>
        <v>0</v>
      </c>
      <c r="W167" s="1">
        <f>IF(C167=0,0,IF(AND(P167="Complete",D167="EV",E167&lt;120),IF(T167=0,0,ROUNDUP(T167*(R167-'Operating costs'!$B$41)*(S167*U167+'Operating costs'!$B$48/(1-'Operating costs'!$B$44))/(V167*'Operating costs'!$B$47/(1-'Operating costs'!$B$44)-T167*'Operating costs'!$B$12*U167),0)),0))</f>
        <v>0</v>
      </c>
      <c r="X167" s="1">
        <f>IF(C167=0,0,IF(AND(P167="Complete",D167="EV",E167&lt;120),(R167-'Operating costs'!$B$41)*(S167*U167+'Operating costs'!$B$48/(1-'Operating costs'!$B$44))+W167*'Operating costs'!$B$12*U167,0))</f>
        <v>0</v>
      </c>
      <c r="Y167" s="1">
        <f>IF(AND(C167=1,D167="EV",E167&lt;120),AI167/(1-'Operating costs'!$B$44)*(1-T167),0)</f>
        <v>0</v>
      </c>
      <c r="Z167" s="1">
        <f t="shared" si="4"/>
        <v>0</v>
      </c>
      <c r="AA167" s="1">
        <f>IF(C167=0,0,IF(P167="Complete",((S167*(R167-'Operating costs'!$B$40))+ROUNDUP(S167*(R167-'Operating costs'!$B$40)*IF('Replacement plan'!$AH$47="",'Operating costs'!$B$7,'Replacement plan'!$AH$47)/('Operating costs'!$B$8-'Operating costs'!$B$9*IF('Replacement plan'!$AH$47="",'Operating costs'!$B$7,'Replacement plan'!$AH$47)),0)*'Operating costs'!$B$9)*IF('Replacement plan'!$AH$47="",'Operating costs'!$B$7,'Replacement plan'!$AH$47),"n.a."))</f>
        <v>0</v>
      </c>
      <c r="AB167" s="1">
        <f t="shared" si="5"/>
        <v>0</v>
      </c>
      <c r="AC167" s="1">
        <f>IF(AND(C167=1,D167="EV",E167&lt;120,T167&gt;0),'Operating costs'!$B$12/'Operating costs'!$B$11*60+'Operating costs'!$B$13+'Operating costs'!$B$14+V167*'Operating costs'!$B$47/(1-'Operating costs'!$B$44)/'Replacement plan'!$L$47*60,0)</f>
        <v>0</v>
      </c>
      <c r="AD167" s="1" t="str">
        <f>'Replacement plan'!$B$47</f>
        <v>ChengLong L2EV</v>
      </c>
      <c r="AE167" s="1">
        <f>IF(C167=0,0,VLOOKUP($A167,'Fleet register'!$A$7:$S$106,8,FALSE))</f>
        <v>0</v>
      </c>
      <c r="AF167" s="1" t="str">
        <f>IF('Replacement plan'!$H$47="","n.a.",'Replacement plan'!$H$47)</f>
        <v>n.a.</v>
      </c>
      <c r="AG167" s="1">
        <f>'Replacement plan'!$J$47</f>
        <v>22</v>
      </c>
      <c r="AH167" s="1">
        <f>IFERROR(IF(D167="EV",IF('Replacement plan'!$K$47="AC",IF(ISNUMBER(INDEX(Products!$G$7:$G$13,MATCH('Replacement plan'!$B$47,Products!$A$7:$A$13,0))),INDEX(Products!$G$7:$G$13,MATCH('Replacement plan'!$B$47,Products!$A$7:$A$13,0)),"n.a."),IF(ISNUMBER(INDEX(Products!$H$7:$H$13,MATCH('Replacement plan'!$B$47,Products!$A$7:$A$13,0))),INDEX(Products!$H$7:$H$13,MATCH('Replacement plan'!$B$47,Products!$A$7:$A$13,0)),"n.a.")),0),"n.a.")</f>
        <v>0</v>
      </c>
      <c r="AI167" s="1">
        <f>IF(AND(C167=1,D167="EV",E167&lt;120),(VLOOKUP($A167,'Fleet register'!$A$7:$S$106,7,FALSE)+IF(T167&gt;0,'Operating costs'!$B$12,0))*U167*(1-'Operating costs'!$B$44)+'Operating costs'!$B$49,0)</f>
        <v>0</v>
      </c>
      <c r="AJ167" s="1">
        <f>IF(D167="EV",'Energy and charging'!$B$50,0)</f>
        <v>0</v>
      </c>
      <c r="AK167" s="17">
        <f>EDATE('Operating costs'!$B$63,E167)</f>
        <v>46298</v>
      </c>
      <c r="AL167" s="1">
        <f>IFERROR(IF(D167="EV",INDEX(Products!$B$7:$B$13,MATCH('Replacement plan'!$B$47,Products!$A$7:$A$13,0)),0),"n.a.")</f>
        <v>0</v>
      </c>
      <c r="AM167" s="1" t="str">
        <f>'Replacement plan'!$K$47</f>
        <v>DC</v>
      </c>
      <c r="AN167" s="1" t="str">
        <f>'Replacement plan'!$AE$47</f>
        <v>Assumed</v>
      </c>
      <c r="AO167" s="47">
        <f>IF(AND(C167=1,D167="EV",E167&lt;120),(R167-'Operating costs'!$B$41)*S167+W167*'Operating costs'!$B$12,0)</f>
        <v>0</v>
      </c>
      <c r="AP167" s="41">
        <f>IF(AND(C167=1,D167="EV",E167&lt;120),IF('Operating costs'!$B$68="Hong Seh 200k average",AO167*IFERROR(INDEX(Products!$P$7:$P$13,MATCH(AD167,Products!$A$7:$A$13,0)),"n.a."),'Operating costs'!$B$26),0)</f>
        <v>0</v>
      </c>
      <c r="AQ167" s="40" t="str">
        <f>IF(D167="EV",'Operating costs'!$B$68,"Not applicable")</f>
        <v>Not applicable</v>
      </c>
    </row>
    <row r="168" spans="1:43" ht="24" customHeight="1">
      <c r="A168" s="1" t="str">
        <f>'Replacement plan'!A47</f>
        <v>T041</v>
      </c>
      <c r="B168" s="1">
        <v>1</v>
      </c>
      <c r="C168" s="1">
        <f>IF(COUNTIFS('Fleet register'!$A$7:$A$106,$A168)=1,VLOOKUP($A168,'Fleet register'!$A$7:$S$106,2,FALSE),0)</f>
        <v>0</v>
      </c>
      <c r="D168" s="1" t="str">
        <f>IF("New ICE"="EV","EV","ICE")</f>
        <v>ICE</v>
      </c>
      <c r="E168" s="1">
        <f>IF(C168=0,0,0)</f>
        <v>0</v>
      </c>
      <c r="F168" s="16">
        <f>IF(C168=0,0,VLOOKUP($A168,'Fleet register'!$A$7:$S$106,11,FALSE))</f>
        <v>0</v>
      </c>
      <c r="G168" s="16">
        <f>IFERROR(IF(C168=0,0,IF(E168=120,0,IF(D168="ICE",'Replacement plan'!$C$47,IF('Replacement plan'!$D$47="",INDEX(Products!$I$7:$I$13,MATCH('Replacement plan'!$B$47,Products!$A$7:$A$13,0))+'Operating costs'!$B$57,'Replacement plan'!$D$47))*(1+'Operating costs'!$B$50)^(E168/12))),"n.a.")</f>
        <v>0</v>
      </c>
      <c r="H168" s="16">
        <f>IFERROR(IF(C168=0,0,IF(E168=0,F168,VLOOKUP($A168,'Fleet register'!$A$7:$S$106,12,FALSE)+VLOOKUP($A168,'Fleet register'!$A$7:$S$106,13,FALSE)*MAX(0,VLOOKUP($A168,'Fleet register'!$A$7:$S$106,10,FALSE)-E168)/VLOOKUP($A168,'Fleet register'!$A$7:$S$106,14,FALSE))),"n.a.")</f>
        <v>0</v>
      </c>
      <c r="I168" s="16">
        <f>IF(C168=0,0,IF(E168=120,0,IF('Replacement plan'!$AI$47="",'Operating costs'!$B$56,'Replacement plan'!$AI$47)))</f>
        <v>0</v>
      </c>
      <c r="J168" s="16">
        <f>IF(C168=0,0,IF(P168="Complete",((S168*(R168-'Operating costs'!$B$39))+ROUNDUP(S168*(R168-'Operating costs'!$B$39)*IF('Replacement plan'!$AG$47="",'Operating costs'!$B$7,'Replacement plan'!$AG$47)/('Operating costs'!$B$8-'Operating costs'!$B$9*IF('Replacement plan'!$AG$47="",'Operating costs'!$B$7,'Replacement plan'!$AG$47)),0)*'Operating costs'!$B$9)*IF('Replacement plan'!$AG$47="",'Operating costs'!$B$7,'Replacement plan'!$AG$47)*('Energy and charging'!$B$9*'Energy and charging'!$B$7+(1-'Energy and charging'!$B$9)*'Energy and charging'!$B$8)*'Operating costs'!$B$23,"n.a."))</f>
        <v>0</v>
      </c>
      <c r="K168" s="16">
        <f>IF(C168=0,0,IF(P168="Complete",SUM('Operating costs'!$B$24,'Operating costs'!$B$27,'Operating costs'!$B$29,'Operating costs'!$B$31,'Operating costs'!$B$33,'Operating costs'!$B$34,'Operating costs'!$B$37,'Replacement plan'!$W$47)+'Operating costs'!$B$39*'Operating costs'!$B$42+ROUNDUP(S168*(R168-'Operating costs'!$B$39)*IF('Replacement plan'!$AG$47="",'Operating costs'!$B$7,'Replacement plan'!$AG$47)/('Operating costs'!$B$8-'Operating costs'!$B$9*IF('Replacement plan'!$AG$47="",'Operating costs'!$B$7,'Replacement plan'!$AG$47)),0)*('Operating costs'!$B$9/'Operating costs'!$B$11+'Operating costs'!$B$10/60)*'Operating costs'!$B$19*'Operating costs'!$B$21,"n.a."))</f>
        <v>0</v>
      </c>
      <c r="L168" s="16">
        <f>IF(C168=0,0,IF(P168="Complete",IF(D168="EV",X168*((1-T168)*'Energy and charging'!$B$10+T168*'Energy and charging'!$B$11)*'Operating costs'!$B$22,AA168*('Energy and charging'!$B$9*'Energy and charging'!$B$7+(1-'Energy and charging'!$B$9)*'Energy and charging'!$B$8)*'Operating costs'!$B$23),"n.a."))</f>
        <v>0</v>
      </c>
      <c r="M168" s="37">
        <f>IF(C168=0,0,IF(P168="Complete",IF(D168="ICE",SUM('Operating costs'!$B$25,'Operating costs'!$B$27,'Operating costs'!$B$29,'Operating costs'!$B$31,'Operating costs'!$B$33,'Operating costs'!$B$35,'Operating costs'!$B$37,'Replacement plan'!$X$47)+'Operating costs'!$B$40*'Operating costs'!$B$42+ROUNDUP(S168*(R168-'Operating costs'!$B$40)*IF('Replacement plan'!$AH$47="",'Operating costs'!$B$7,'Replacement plan'!$AH$47)/('Operating costs'!$B$8-'Operating costs'!$B$9*IF('Replacement plan'!$AH$47="",'Operating costs'!$B$7,'Replacement plan'!$AH$47)),0)*('Operating costs'!$B$9/'Operating costs'!$B$11+'Operating costs'!$B$10/60)*'Operating costs'!$B$19*'Operating costs'!$B$21,SUM(AP168,'Operating costs'!$B$28,'Operating costs'!$B$30,'Operating costs'!$B$32,'Operating costs'!$B$33,'Operating costs'!$B$36,'Operating costs'!$B$38,'Replacement plan'!$Y$47)+'Operating costs'!$B$41*'Operating costs'!$B$43+W168*'Operating costs'!$B$15+(T168*X168/'Replacement plan'!$L$47+W168*('Operating costs'!$B$12/'Operating costs'!$B$11+('Operating costs'!$B$13+'Operating costs'!$B$14)/60)+(R168-'Operating costs'!$B$41)*(IF(T168&lt;1,'Operating costs'!$B$16,0)+'Operating costs'!$B$17)/60)*'Operating costs'!$B$19*'Operating costs'!$B$20),"n.a."))</f>
        <v>0</v>
      </c>
      <c r="N168" s="16">
        <f>IF(AND(C168=1,D168="EV",E168&lt;120,E168+'Replacement plan'!$AA$47&lt;=120),'Replacement plan'!$Z$47,0)</f>
        <v>0</v>
      </c>
      <c r="O168" s="1">
        <f>E168+'Replacement plan'!$AA$47</f>
        <v>0</v>
      </c>
      <c r="P168" s="35" t="str">
        <f>IFERROR(IF(C168=0,"Excluded",IF(OR(COUNTIFS('Fleet register'!$A$7:$A$106,A168)&lt;&gt;1,COUNTIFS('Replacement plan'!$A$7:$A$106,A168)&lt;&gt;1),"Duplicate/missing ID",IF(NOT(AND(ISNUMBER(VLOOKUP($A168,'Fleet register'!$A$7:$S$106,5,FALSE)),ISNUMBER(VLOOKUP($A168,'Fleet register'!$A$7:$S$106,6,FALSE)),ISNUMBER(VLOOKUP($A168,'Fleet register'!$A$7:$S$106,10,FALSE)),ISNUMBER(VLOOKUP($A168,'Fleet register'!$A$7:$S$106,11,FALSE)),ISNUMBER(VLOOKUP($A168,'Fleet register'!$A$7:$S$106,12,FALSE)),ISNUMBER(VLOOKUP($A168,'Fleet register'!$A$7:$S$106,13,FALSE)),ISNUMBER(VLOOKUP($A168,'Fleet register'!$A$7:$S$106,14,FALSE)),VLOOKUP($A168,'Fleet register'!$A$7:$S$106,14,FALSE)&gt;0,ISNUMBER('Replacement plan'!$C$47),OR(E168=120,OR(ISNUMBER('Replacement plan'!$AI$47),AND('Replacement plan'!$AI$47="",ISNUMBER('Operating costs'!$B$56)))),ISNUMBER(E168))),"Missing vehicle input",IF(OR(E168&lt;0,E168&gt;VLOOKUP($A168,'Fleet register'!$A$7:$S$106,10,FALSE),E168&gt;120,E168&lt;&gt;INT(E168),VLOOKUP($A168,'Fleet register'!$A$7:$S$106,6,FALSE)&lt;=0,VLOOKUP($A168,'Fleet register'!$A$7:$S$106,6,FALSE)&gt;366,VLOOKUP($A168,'Fleet register'!$A$7:$S$106,5,FALSE)&lt;0,VLOOKUP($A168,'Fleet register'!$A$7:$S$106,11,FALSE)&lt;0,I168&lt;0,'Operating costs'!$B$8&lt;='Operating costs'!$B$7*'Operating costs'!$B$9,'Operating costs'!$B$11&lt;=0,'Operating costs'!$B$39&gt;R168,'Operating costs'!$B$40&gt;R168,'Operating costs'!$B$41&gt;R168,NOT(OR("New ICE"="Keep ICE","New ICE"="New ICE","New ICE"="EV"))),"Invalid vehicle input",IF(AND(D168="EV",E168&lt;120,OR(NOT(ISNUMBER(U168)),NOT(ISNUMBER(V168)),V168&lt;=0,T168&lt;0,T168&gt;1,'Replacement plan'!$L$47&lt;=0,'Operating costs'!$B$44&lt;0,'Operating costs'!$B$44&gt;=1,'Operating costs'!$B$47&lt;=0,'Operating costs'!$B$47&gt;1,V168*'Operating costs'!$B$47/(1-'Operating costs'!$B$44)&lt;=T168*'Operating costs'!$B$12*U168,AND('Replacement plan'!$Z$47&gt;0,OR('Replacement plan'!$AB$47&lt;&gt;"Yes",'Operating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charging'!$B$8&gt;=0))),ISNUMBER(VLOOKUP($A168,'Fleet register'!$A$7:$S$106,15,FALSE)),ISNUMBER(VLOOKUP($A168,'Fleet register'!$A$7:$S$106,16,FALSE)),ISNUMBER('Replacement plan'!$W$47),ISNUMBER('Replacement plan'!$X$47),OR(E168=120,AND(ISNUMBER(G168),G168&gt;=0)),ISNUMBER(H168),H168&gt;=0,OR(D168&lt;&gt;"EV",E168=120,AND(ISNUMBER('Operating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average",ISNUMBER(IFERROR(INDEX(Products!$P$7:$P$13,MATCH(AD168,Products!$A$7:$A$13,0)),"")))),ISNUMBER('Operating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plan'!$Y$47),ISNUMBER('Replacement plan'!$Z$47),'Replacement plan'!$Z$47&gt;=0,ISNUMBER('Replacement plan'!$AA$47),'Replacement plan'!$AA$47&gt;=0,'Replacement plan'!$AA$47=INT('Replacement plan'!$AA$47),ISNUMBER('Replacement plan'!$L$47))),'Operating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plan'!$AG$47="",'Operating costs'!$B$7,'Replacement plan'!$AG$47)),IF('Replacement plan'!$AG$47="",'Operating costs'!$B$7,'Replacement plan'!$AG$47)&gt;=0,ISNUMBER(IF('Replacement plan'!$AH$47="",'Operating costs'!$B$7,'Replacement plan'!$AH$47)),IF('Replacement plan'!$AH$47="",'Operating costs'!$B$7,'Replacement plan'!$AH$47)&gt;=0,'Operating costs'!$B$8&gt;MAX(IF('Replacement plan'!$AG$47="",'Operating costs'!$B$7,'Replacement plan'!$AG$47),IF('Replacement plan'!$AH$47="",'Operating costs'!$B$7,'Replacement plan'!$AH$47))*'Operating costs'!$B$9),IF(AND(VLOOKUP($A168,'Fleet register'!$A$7:$S$106,10,FALSE)&gt;=0,VLOOKUP($A168,'Fleet register'!$A$7:$S$106,10,FALSE)&lt;=120,VLOOKUP($A168,'Fleet register'!$A$7:$S$106,10,FALSE)=INT(VLOOKUP($A168,'Fleet register'!$A$7:$S$106,10,FALSE)),VLOOKUP($A168,'Fleet register'!$A$7:$S$106,15,FALSE)&gt;=0,VLOOKUP($A168,'Fleet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costs'!$B$67)&gt;=0,OR(D168&lt;&gt;"EV",E168=120,AND(MIN('Operating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68" s="1" t="str">
        <f>IF(C168=0,"Excluded",IF(P168&lt;&gt;"Complete",P168,IF(OR('Replacement plan'!$AD$47&lt;120-E168,AND(D168="EV",E168&lt;120,OR('Replacement plan'!$AC$47&lt;120-E168,'Replacement plan'!$I$47="No",AND(ISNUMBER(AF168),AE168&gt;AF168),AI168&gt;V168*(1-'Operating costs'!$B$46)^MAX(0,AB168-1)*(1-'Operating costs'!$B$45),AC168&gt;'Operating costs'!$B$18,AND(T168&lt;1,OR(AG168&lt;=0,AND(ISNUMBER(AH168),AG168&gt;AH168))),'Replacement plan'!$L$47&gt;INDEX(Products!$H$7:$H$13,MATCH('Replacement plan'!$B$47,Products!$A$7:$A$13,0))))),"Fails entered limits",IF(AND(D168="EV",E168&lt;120,OR(NOT(ISNUMBER(VLOOKUP($A168,'Fleet register'!$A$7:$S$106,7,FALSE))),NOT(ISNUMBER(VLOOKUP($A168,'Fleet register'!$A$7:$S$106,8,FALSE))),NOT(ISNUMBER(AF168)),'Replacement plan'!$I$47&lt;&gt;"Yes",NOT(ISNUMBER(AH168)),'Operating costs'!$B$59&lt;&gt;"Yes",'Operating costs'!$B$58&lt;&gt;"Yes")),"Unverified","Within entered limits"))))</f>
        <v>Excluded</v>
      </c>
      <c r="R168" s="1">
        <f>IF(C168=0,0,VLOOKUP($A168,'Fleet register'!$A$7:$S$106,6,FALSE))</f>
        <v>0</v>
      </c>
      <c r="S168" s="1">
        <f>IF(C168=0,0,VLOOKUP($A168,'Fleet register'!$A$7:$S$106,5,FALSE))</f>
        <v>0</v>
      </c>
      <c r="T168" s="1">
        <f>IF(D168="EV",'Energy and charging'!$B$12,0)</f>
        <v>0</v>
      </c>
      <c r="U168" s="1">
        <f>IFERROR(IF(C168=0,0,IF(D168="EV",IF('Replacement plan'!$F$47="",INDEX(Products!$E$7:$E$13,MATCH('Replacement plan'!$B$47,Products!$A$7:$A$13,0)),'Replacement plan'!$F$47)/IF('Replacement plan'!$G$47="Battery",1-'Operating costs'!$B$44,1),0)),"n.a.")</f>
        <v>0</v>
      </c>
      <c r="V168" s="1">
        <f>IFERROR(IF(C168=0,0,IF(D168="EV",IF('Replacement plan'!$E$47="",INDEX(Products!$D$7:$D$13,MATCH('Replacement plan'!$B$47,Products!$A$7:$A$13,0)),'Replacement plan'!$E$47),0)),"n.a.")</f>
        <v>0</v>
      </c>
      <c r="W168" s="1">
        <f>IF(C168=0,0,IF(AND(P168="Complete",D168="EV",E168&lt;120),IF(T168=0,0,ROUNDUP(T168*(R168-'Operating costs'!$B$41)*(S168*U168+'Operating costs'!$B$48/(1-'Operating costs'!$B$44))/(V168*'Operating costs'!$B$47/(1-'Operating costs'!$B$44)-T168*'Operating costs'!$B$12*U168),0)),0))</f>
        <v>0</v>
      </c>
      <c r="X168" s="1">
        <f>IF(C168=0,0,IF(AND(P168="Complete",D168="EV",E168&lt;120),(R168-'Operating costs'!$B$41)*(S168*U168+'Operating costs'!$B$48/(1-'Operating costs'!$B$44))+W168*'Operating costs'!$B$12*U168,0))</f>
        <v>0</v>
      </c>
      <c r="Y168" s="1">
        <f>IF(AND(C168=1,D168="EV",E168&lt;120),AI168/(1-'Operating costs'!$B$44)*(1-T168),0)</f>
        <v>0</v>
      </c>
      <c r="Z168" s="1">
        <f t="shared" si="4"/>
        <v>0</v>
      </c>
      <c r="AA168" s="1">
        <f>IF(C168=0,0,IF(P168="Complete",((S168*(R168-'Operating costs'!$B$40))+ROUNDUP(S168*(R168-'Operating costs'!$B$40)*IF('Replacement plan'!$AH$47="",'Operating costs'!$B$7,'Replacement plan'!$AH$47)/('Operating costs'!$B$8-'Operating costs'!$B$9*IF('Replacement plan'!$AH$47="",'Operating costs'!$B$7,'Replacement plan'!$AH$47)),0)*'Operating costs'!$B$9)*IF('Replacement plan'!$AH$47="",'Operating costs'!$B$7,'Replacement plan'!$AH$47),"n.a."))</f>
        <v>0</v>
      </c>
      <c r="AB168" s="1">
        <f t="shared" si="5"/>
        <v>0</v>
      </c>
      <c r="AC168" s="1">
        <f>IF(AND(C168=1,D168="EV",E168&lt;120,T168&gt;0),'Operating costs'!$B$12/'Operating costs'!$B$11*60+'Operating costs'!$B$13+'Operating costs'!$B$14+V168*'Operating costs'!$B$47/(1-'Operating costs'!$B$44)/'Replacement plan'!$L$47*60,0)</f>
        <v>0</v>
      </c>
      <c r="AD168" s="1" t="str">
        <f>'Replacement plan'!$B$47</f>
        <v>ChengLong L2EV</v>
      </c>
      <c r="AE168" s="1">
        <f>IF(C168=0,0,VLOOKUP($A168,'Fleet register'!$A$7:$S$106,8,FALSE))</f>
        <v>0</v>
      </c>
      <c r="AF168" s="1" t="str">
        <f>IF('Replacement plan'!$H$47="","n.a.",'Replacement plan'!$H$47)</f>
        <v>n.a.</v>
      </c>
      <c r="AG168" s="1">
        <f>'Replacement plan'!$J$47</f>
        <v>22</v>
      </c>
      <c r="AH168" s="1">
        <f>IFERROR(IF(D168="EV",IF('Replacement plan'!$K$47="AC",IF(ISNUMBER(INDEX(Products!$G$7:$G$13,MATCH('Replacement plan'!$B$47,Products!$A$7:$A$13,0))),INDEX(Products!$G$7:$G$13,MATCH('Replacement plan'!$B$47,Products!$A$7:$A$13,0)),"n.a."),IF(ISNUMBER(INDEX(Products!$H$7:$H$13,MATCH('Replacement plan'!$B$47,Products!$A$7:$A$13,0))),INDEX(Products!$H$7:$H$13,MATCH('Replacement plan'!$B$47,Products!$A$7:$A$13,0)),"n.a.")),0),"n.a.")</f>
        <v>0</v>
      </c>
      <c r="AI168" s="1">
        <f>IF(AND(C168=1,D168="EV",E168&lt;120),(VLOOKUP($A168,'Fleet register'!$A$7:$S$106,7,FALSE)+IF(T168&gt;0,'Operating costs'!$B$12,0))*U168*(1-'Operating costs'!$B$44)+'Operating costs'!$B$49,0)</f>
        <v>0</v>
      </c>
      <c r="AJ168" s="1">
        <f>IF(D168="EV",'Energy and charging'!$B$50,0)</f>
        <v>0</v>
      </c>
      <c r="AK168" s="17">
        <f>EDATE('Operating costs'!$B$63,E168)</f>
        <v>46298</v>
      </c>
      <c r="AL168" s="1">
        <f>IFERROR(IF(D168="EV",INDEX(Products!$B$7:$B$13,MATCH('Replacement plan'!$B$47,Products!$A$7:$A$13,0)),0),"n.a.")</f>
        <v>0</v>
      </c>
      <c r="AM168" s="1" t="str">
        <f>'Replacement plan'!$K$47</f>
        <v>DC</v>
      </c>
      <c r="AN168" s="1" t="str">
        <f>'Replacement plan'!$AE$47</f>
        <v>Assumed</v>
      </c>
      <c r="AO168" s="47">
        <f>IF(AND(C168=1,D168="EV",E168&lt;120),(R168-'Operating costs'!$B$41)*S168+W168*'Operating costs'!$B$12,0)</f>
        <v>0</v>
      </c>
      <c r="AP168" s="41">
        <f>IF(AND(C168=1,D168="EV",E168&lt;120),IF('Operating costs'!$B$68="Hong Seh 200k average",AO168*IFERROR(INDEX(Products!$P$7:$P$13,MATCH(AD168,Products!$A$7:$A$13,0)),"n.a."),'Operating costs'!$B$26),0)</f>
        <v>0</v>
      </c>
      <c r="AQ168" s="40" t="str">
        <f>IF(D168="EV",'Operating costs'!$B$68,"Not applicable")</f>
        <v>Not applicable</v>
      </c>
    </row>
    <row r="169" spans="1:43" ht="24" customHeight="1">
      <c r="A169" s="1" t="str">
        <f>'Replacement plan'!A47</f>
        <v>T041</v>
      </c>
      <c r="B169" s="1">
        <v>2</v>
      </c>
      <c r="C169" s="1">
        <f>IF(COUNTIFS('Fleet register'!$A$7:$A$106,$A169)=1,VLOOKUP($A169,'Fleet register'!$A$7:$S$106,2,FALSE),0)</f>
        <v>0</v>
      </c>
      <c r="D169" s="1" t="str">
        <f>IF('Replacement plan'!$O$47="EV","EV","ICE")</f>
        <v>ICE</v>
      </c>
      <c r="E169" s="1">
        <f>IF(C169=0,0,IF('Replacement plan'!$P$47="",IF('Replacement plan'!$O$47="Keep ICE",IF('Replacement plan'!$M$47="",VLOOKUP($A169,'Fleet register'!$A$7:$S$106,10,FALSE),'Replacement plan'!$M$47),0),'Replacement plan'!$P$47))</f>
        <v>0</v>
      </c>
      <c r="F169" s="16">
        <f>IF(C169=0,0,VLOOKUP($A169,'Fleet register'!$A$7:$S$106,11,FALSE))</f>
        <v>0</v>
      </c>
      <c r="G169" s="16">
        <f>IFERROR(IF(C169=0,0,IF(E169=120,0,IF(D169="ICE",'Replacement plan'!$C$47,IF('Replacement plan'!$D$47="",INDEX(Products!$I$7:$I$13,MATCH('Replacement plan'!$B$47,Products!$A$7:$A$13,0))+'Operating costs'!$B$57,'Replacement plan'!$D$47))*(1+'Operating costs'!$B$50)^(E169/12))),"n.a.")</f>
        <v>0</v>
      </c>
      <c r="H169" s="16">
        <f>IFERROR(IF(C169=0,0,IF('Replacement plan'!$U$47&lt;&gt;"",'Replacement plan'!$U$47,IF(E169=0,F169,VLOOKUP($A169,'Fleet register'!$A$7:$S$106,12,FALSE)+VLOOKUP($A169,'Fleet register'!$A$7:$S$106,13,FALSE)*MAX(0,VLOOKUP($A169,'Fleet register'!$A$7:$S$106,10,FALSE)-E169)/VLOOKUP($A169,'Fleet register'!$A$7:$S$106,14,FALSE)))),"n.a.")</f>
        <v>0</v>
      </c>
      <c r="I169" s="16">
        <f>IF(C169=0,0,IF(E169=120,0,'Replacement plan'!$Q$47))</f>
        <v>0</v>
      </c>
      <c r="J169" s="16">
        <f>IF(C169=0,0,IF(P169="Complete",((S169*(R169-'Operating costs'!$B$39))+ROUNDUP(S169*(R169-'Operating costs'!$B$39)*IF('Replacement plan'!$AG$47="",'Operating costs'!$B$7,'Replacement plan'!$AG$47)/('Operating costs'!$B$8-'Operating costs'!$B$9*IF('Replacement plan'!$AG$47="",'Operating costs'!$B$7,'Replacement plan'!$AG$47)),0)*'Operating costs'!$B$9)*IF('Replacement plan'!$AG$47="",'Operating costs'!$B$7,'Replacement plan'!$AG$47)*('Energy and charging'!$B$9*'Energy and charging'!$B$7+(1-'Energy and charging'!$B$9)*'Energy and charging'!$B$8)*'Operating costs'!$B$23,"n.a."))</f>
        <v>0</v>
      </c>
      <c r="K169" s="16">
        <f>IF(C169=0,0,IF(P169="Complete",SUM('Operating costs'!$B$24,'Operating costs'!$B$27,'Operating costs'!$B$29,'Operating costs'!$B$31,'Operating costs'!$B$33,'Operating costs'!$B$34,'Operating costs'!$B$37,'Replacement plan'!$W$47)+'Operating costs'!$B$39*'Operating costs'!$B$42+ROUNDUP(S169*(R169-'Operating costs'!$B$39)*IF('Replacement plan'!$AG$47="",'Operating costs'!$B$7,'Replacement plan'!$AG$47)/('Operating costs'!$B$8-'Operating costs'!$B$9*IF('Replacement plan'!$AG$47="",'Operating costs'!$B$7,'Replacement plan'!$AG$47)),0)*('Operating costs'!$B$9/'Operating costs'!$B$11+'Operating costs'!$B$10/60)*'Operating costs'!$B$19*'Operating costs'!$B$21,"n.a."))</f>
        <v>0</v>
      </c>
      <c r="L169" s="16">
        <f>IF(C169=0,0,IF(P169="Complete",IF(D169="EV",X169*((1-T169)*'Energy and charging'!$B$10+T169*'Energy and charging'!$B$11)*'Operating costs'!$B$22,AA169*('Energy and charging'!$B$9*'Energy and charging'!$B$7+(1-'Energy and charging'!$B$9)*'Energy and charging'!$B$8)*'Operating costs'!$B$23),"n.a."))</f>
        <v>0</v>
      </c>
      <c r="M169" s="37">
        <f>IF(C169=0,0,IF(P169="Complete",IF(D169="ICE",SUM('Operating costs'!$B$25,'Operating costs'!$B$27,'Operating costs'!$B$29,'Operating costs'!$B$31,'Operating costs'!$B$33,'Operating costs'!$B$35,'Operating costs'!$B$37,'Replacement plan'!$X$47)+'Operating costs'!$B$40*'Operating costs'!$B$42+ROUNDUP(S169*(R169-'Operating costs'!$B$40)*IF('Replacement plan'!$AH$47="",'Operating costs'!$B$7,'Replacement plan'!$AH$47)/('Operating costs'!$B$8-'Operating costs'!$B$9*IF('Replacement plan'!$AH$47="",'Operating costs'!$B$7,'Replacement plan'!$AH$47)),0)*('Operating costs'!$B$9/'Operating costs'!$B$11+'Operating costs'!$B$10/60)*'Operating costs'!$B$19*'Operating costs'!$B$21,SUM(AP169,'Operating costs'!$B$28,'Operating costs'!$B$30,'Operating costs'!$B$32,'Operating costs'!$B$33,'Operating costs'!$B$36,'Operating costs'!$B$38,'Replacement plan'!$Y$47)+'Operating costs'!$B$41*'Operating costs'!$B$43+W169*'Operating costs'!$B$15+(T169*X169/'Replacement plan'!$L$47+W169*('Operating costs'!$B$12/'Operating costs'!$B$11+('Operating costs'!$B$13+'Operating costs'!$B$14)/60)+(R169-'Operating costs'!$B$41)*(IF(T169&lt;1,'Operating costs'!$B$16,0)+'Operating costs'!$B$17)/60)*'Operating costs'!$B$19*'Operating costs'!$B$20),"n.a."))</f>
        <v>0</v>
      </c>
      <c r="N169" s="16">
        <f>IF(AND(C169=1,D169="EV",E169&lt;120,E169+'Replacement plan'!$AA$47&lt;=120),'Replacement plan'!$Z$47,0)</f>
        <v>0</v>
      </c>
      <c r="O169" s="1">
        <f>E169+'Replacement plan'!$AA$47</f>
        <v>0</v>
      </c>
      <c r="P169" s="35" t="str">
        <f>IFERROR(IF(C169=0,"Excluded",IF(OR(COUNTIFS('Fleet register'!$A$7:$A$106,A169)&lt;&gt;1,COUNTIFS('Replacement plan'!$A$7:$A$106,A169)&lt;&gt;1),"Duplicate/missing ID",IF(NOT(AND(ISNUMBER(VLOOKUP($A169,'Fleet register'!$A$7:$S$106,5,FALSE)),ISNUMBER(VLOOKUP($A169,'Fleet register'!$A$7:$S$106,6,FALSE)),ISNUMBER(VLOOKUP($A169,'Fleet register'!$A$7:$S$106,10,FALSE)),ISNUMBER(VLOOKUP($A169,'Fleet register'!$A$7:$S$106,11,FALSE)),ISNUMBER(VLOOKUP($A169,'Fleet register'!$A$7:$S$106,12,FALSE)),ISNUMBER(VLOOKUP($A169,'Fleet register'!$A$7:$S$106,13,FALSE)),ISNUMBER(VLOOKUP($A169,'Fleet register'!$A$7:$S$106,14,FALSE)),VLOOKUP($A169,'Fleet register'!$A$7:$S$106,14,FALSE)&gt;0,ISNUMBER('Replacement plan'!$C$47),OR(E169=120,ISNUMBER('Replacement plan'!$Q$47)),ISNUMBER(E169))),"Missing vehicle input",IF(OR(E169&lt;0,E169&gt;VLOOKUP($A169,'Fleet register'!$A$7:$S$106,10,FALSE),E169&gt;120,E169&lt;&gt;INT(E169),VLOOKUP($A169,'Fleet register'!$A$7:$S$106,6,FALSE)&lt;=0,VLOOKUP($A169,'Fleet register'!$A$7:$S$106,6,FALSE)&gt;366,VLOOKUP($A169,'Fleet register'!$A$7:$S$106,5,FALSE)&lt;0,VLOOKUP($A169,'Fleet register'!$A$7:$S$106,11,FALSE)&lt;0,I169&lt;0,'Operating costs'!$B$8&lt;='Operating costs'!$B$7*'Operating costs'!$B$9,'Operating costs'!$B$11&lt;=0,'Operating costs'!$B$39&gt;R169,'Operating costs'!$B$40&gt;R169,'Operating costs'!$B$41&gt;R169,NOT(OR('Replacement plan'!$O$47="Keep ICE",'Replacement plan'!$O$47="New ICE",'Replacement plan'!$O$47="EV"))),"Invalid vehicle input",IF(AND(D169="EV",E169&lt;120,OR(NOT(ISNUMBER(U169)),NOT(ISNUMBER(V169)),V169&lt;=0,T169&lt;0,T169&gt;1,'Replacement plan'!$L$47&lt;=0,'Operating costs'!$B$44&lt;0,'Operating costs'!$B$44&gt;=1,'Operating costs'!$B$47&lt;=0,'Operating costs'!$B$47&gt;1,V169*'Operating costs'!$B$47/(1-'Operating costs'!$B$44)&lt;=T169*'Operating costs'!$B$12*U169,AND('Replacement plan'!$Z$47&gt;0,OR('Replacement plan'!$AB$47&lt;&gt;"Yes",'Operating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charging'!$B$8&gt;=0))),ISNUMBER(VLOOKUP($A169,'Fleet register'!$A$7:$S$106,15,FALSE)),ISNUMBER(VLOOKUP($A169,'Fleet register'!$A$7:$S$106,16,FALSE)),ISNUMBER('Replacement plan'!$W$47),ISNUMBER('Replacement plan'!$X$47),OR(E169=120,AND(ISNUMBER(G169),G169&gt;=0)),ISNUMBER(H169),H169&gt;=0,OR(D169&lt;&gt;"EV",E169=120,AND(ISNUMBER('Operating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average",ISNUMBER(IFERROR(INDEX(Products!$P$7:$P$13,MATCH(AD169,Products!$A$7:$A$13,0)),"")))),ISNUMBER('Operating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plan'!$Y$47),ISNUMBER('Replacement plan'!$Z$47),'Replacement plan'!$Z$47&gt;=0,ISNUMBER('Replacement plan'!$AA$47),'Replacement plan'!$AA$47&gt;=0,'Replacement plan'!$AA$47=INT('Replacement plan'!$AA$47),ISNUMBER('Replacement plan'!$L$47))),'Operating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plan'!$AG$47="",'Operating costs'!$B$7,'Replacement plan'!$AG$47)),IF('Replacement plan'!$AG$47="",'Operating costs'!$B$7,'Replacement plan'!$AG$47)&gt;=0,ISNUMBER(IF('Replacement plan'!$AH$47="",'Operating costs'!$B$7,'Replacement plan'!$AH$47)),IF('Replacement plan'!$AH$47="",'Operating costs'!$B$7,'Replacement plan'!$AH$47)&gt;=0,'Operating costs'!$B$8&gt;MAX(IF('Replacement plan'!$AG$47="",'Operating costs'!$B$7,'Replacement plan'!$AG$47),IF('Replacement plan'!$AH$47="",'Operating costs'!$B$7,'Replacement plan'!$AH$47))*'Operating costs'!$B$9),IF(AND(VLOOKUP($A169,'Fleet register'!$A$7:$S$106,10,FALSE)&gt;=0,VLOOKUP($A169,'Fleet register'!$A$7:$S$106,10,FALSE)&lt;=120,VLOOKUP($A169,'Fleet register'!$A$7:$S$106,10,FALSE)=INT(VLOOKUP($A169,'Fleet register'!$A$7:$S$106,10,FALSE)),VLOOKUP($A169,'Fleet register'!$A$7:$S$106,15,FALSE)&gt;=0,VLOOKUP($A169,'Fleet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costs'!$B$67)&gt;=0,OR(D169&lt;&gt;"EV",E169=120,AND(MIN('Operating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69" s="1" t="str">
        <f>IF(C169=0,"Excluded",IF(P169&lt;&gt;"Complete",P169,IF(OR('Replacement plan'!$AD$47&lt;120-E169,AND(D169="EV",E169&lt;120,OR('Replacement plan'!$AC$47&lt;120-E169,'Replacement plan'!$I$47="No",AND(ISNUMBER(AF169),AE169&gt;AF169),AI169&gt;V169*(1-'Operating costs'!$B$46)^MAX(0,AB169-1)*(1-'Operating costs'!$B$45),AC169&gt;'Operating costs'!$B$18,AND(T169&lt;1,OR(AG169&lt;=0,AND(ISNUMBER(AH169),AG169&gt;AH169))),'Replacement plan'!$L$47&gt;INDEX(Products!$H$7:$H$13,MATCH('Replacement plan'!$B$47,Products!$A$7:$A$13,0))))),"Fails entered limits",IF(AND(D169="EV",E169&lt;120,OR(NOT(ISNUMBER(VLOOKUP($A169,'Fleet register'!$A$7:$S$106,7,FALSE))),NOT(ISNUMBER(VLOOKUP($A169,'Fleet register'!$A$7:$S$106,8,FALSE))),NOT(ISNUMBER(AF169)),'Replacement plan'!$I$47&lt;&gt;"Yes",NOT(ISNUMBER(AH169)),'Operating costs'!$B$59&lt;&gt;"Yes",'Operating costs'!$B$58&lt;&gt;"Yes")),"Unverified","Within entered limits"))))</f>
        <v>Excluded</v>
      </c>
      <c r="R169" s="1">
        <f>IF(C169=0,0,VLOOKUP($A169,'Fleet register'!$A$7:$S$106,6,FALSE))</f>
        <v>0</v>
      </c>
      <c r="S169" s="1">
        <f>IF(C169=0,0,VLOOKUP($A169,'Fleet register'!$A$7:$S$106,5,FALSE))</f>
        <v>0</v>
      </c>
      <c r="T169" s="1">
        <f>IF(D169="EV",'Energy and charging'!$B$12,0)</f>
        <v>0</v>
      </c>
      <c r="U169" s="1">
        <f>IFERROR(IF(C169=0,0,IF(D169="EV",IF('Replacement plan'!$F$47="",INDEX(Products!$E$7:$E$13,MATCH('Replacement plan'!$B$47,Products!$A$7:$A$13,0)),'Replacement plan'!$F$47)/IF('Replacement plan'!$G$47="Battery",1-'Operating costs'!$B$44,1),0)),"n.a.")</f>
        <v>0</v>
      </c>
      <c r="V169" s="1">
        <f>IFERROR(IF(C169=0,0,IF(D169="EV",IF('Replacement plan'!$E$47="",INDEX(Products!$D$7:$D$13,MATCH('Replacement plan'!$B$47,Products!$A$7:$A$13,0)),'Replacement plan'!$E$47),0)),"n.a.")</f>
        <v>0</v>
      </c>
      <c r="W169" s="1">
        <f>IF(C169=0,0,IF(AND(P169="Complete",D169="EV",E169&lt;120),IF(T169=0,0,ROUNDUP(T169*(R169-'Operating costs'!$B$41)*(S169*U169+'Operating costs'!$B$48/(1-'Operating costs'!$B$44))/(V169*'Operating costs'!$B$47/(1-'Operating costs'!$B$44)-T169*'Operating costs'!$B$12*U169),0)),0))</f>
        <v>0</v>
      </c>
      <c r="X169" s="1">
        <f>IF(C169=0,0,IF(AND(P169="Complete",D169="EV",E169&lt;120),(R169-'Operating costs'!$B$41)*(S169*U169+'Operating costs'!$B$48/(1-'Operating costs'!$B$44))+W169*'Operating costs'!$B$12*U169,0))</f>
        <v>0</v>
      </c>
      <c r="Y169" s="1">
        <f>IF(AND(C169=1,D169="EV",E169&lt;120),AI169/(1-'Operating costs'!$B$44)*(1-T169),0)</f>
        <v>0</v>
      </c>
      <c r="Z169" s="1">
        <f t="shared" si="4"/>
        <v>0</v>
      </c>
      <c r="AA169" s="1">
        <f>IF(C169=0,0,IF(P169="Complete",((S169*(R169-'Operating costs'!$B$40))+ROUNDUP(S169*(R169-'Operating costs'!$B$40)*IF('Replacement plan'!$AH$47="",'Operating costs'!$B$7,'Replacement plan'!$AH$47)/('Operating costs'!$B$8-'Operating costs'!$B$9*IF('Replacement plan'!$AH$47="",'Operating costs'!$B$7,'Replacement plan'!$AH$47)),0)*'Operating costs'!$B$9)*IF('Replacement plan'!$AH$47="",'Operating costs'!$B$7,'Replacement plan'!$AH$47),"n.a."))</f>
        <v>0</v>
      </c>
      <c r="AB169" s="1">
        <f t="shared" si="5"/>
        <v>0</v>
      </c>
      <c r="AC169" s="1">
        <f>IF(AND(C169=1,D169="EV",E169&lt;120,T169&gt;0),'Operating costs'!$B$12/'Operating costs'!$B$11*60+'Operating costs'!$B$13+'Operating costs'!$B$14+V169*'Operating costs'!$B$47/(1-'Operating costs'!$B$44)/'Replacement plan'!$L$47*60,0)</f>
        <v>0</v>
      </c>
      <c r="AD169" s="1" t="str">
        <f>'Replacement plan'!$B$47</f>
        <v>ChengLong L2EV</v>
      </c>
      <c r="AE169" s="1">
        <f>IF(C169=0,0,VLOOKUP($A169,'Fleet register'!$A$7:$S$106,8,FALSE))</f>
        <v>0</v>
      </c>
      <c r="AF169" s="1" t="str">
        <f>IF('Replacement plan'!$H$47="","n.a.",'Replacement plan'!$H$47)</f>
        <v>n.a.</v>
      </c>
      <c r="AG169" s="1">
        <f>'Replacement plan'!$J$47</f>
        <v>22</v>
      </c>
      <c r="AH169" s="1">
        <f>IFERROR(IF(D169="EV",IF('Replacement plan'!$K$47="AC",IF(ISNUMBER(INDEX(Products!$G$7:$G$13,MATCH('Replacement plan'!$B$47,Products!$A$7:$A$13,0))),INDEX(Products!$G$7:$G$13,MATCH('Replacement plan'!$B$47,Products!$A$7:$A$13,0)),"n.a."),IF(ISNUMBER(INDEX(Products!$H$7:$H$13,MATCH('Replacement plan'!$B$47,Products!$A$7:$A$13,0))),INDEX(Products!$H$7:$H$13,MATCH('Replacement plan'!$B$47,Products!$A$7:$A$13,0)),"n.a.")),0),"n.a.")</f>
        <v>0</v>
      </c>
      <c r="AI169" s="1">
        <f>IF(AND(C169=1,D169="EV",E169&lt;120),(VLOOKUP($A169,'Fleet register'!$A$7:$S$106,7,FALSE)+IF(T169&gt;0,'Operating costs'!$B$12,0))*U169*(1-'Operating costs'!$B$44)+'Operating costs'!$B$49,0)</f>
        <v>0</v>
      </c>
      <c r="AJ169" s="1">
        <f>IF(D169="EV",'Energy and charging'!$B$50,0)</f>
        <v>0</v>
      </c>
      <c r="AK169" s="17">
        <f>EDATE('Operating costs'!$B$63,E169)</f>
        <v>46298</v>
      </c>
      <c r="AL169" s="1">
        <f>IFERROR(IF(D169="EV",INDEX(Products!$B$7:$B$13,MATCH('Replacement plan'!$B$47,Products!$A$7:$A$13,0)),0),"n.a.")</f>
        <v>0</v>
      </c>
      <c r="AM169" s="1" t="str">
        <f>'Replacement plan'!$K$47</f>
        <v>DC</v>
      </c>
      <c r="AN169" s="1" t="str">
        <f>'Replacement plan'!$AE$47</f>
        <v>Assumed</v>
      </c>
      <c r="AO169" s="47">
        <f>IF(AND(C169=1,D169="EV",E169&lt;120),(R169-'Operating costs'!$B$41)*S169+W169*'Operating costs'!$B$12,0)</f>
        <v>0</v>
      </c>
      <c r="AP169" s="41">
        <f>IF(AND(C169=1,D169="EV",E169&lt;120),IF('Operating costs'!$B$68="Hong Seh 200k average",AO169*IFERROR(INDEX(Products!$P$7:$P$13,MATCH(AD169,Products!$A$7:$A$13,0)),"n.a."),'Operating costs'!$B$26),0)</f>
        <v>0</v>
      </c>
      <c r="AQ169" s="40" t="str">
        <f>IF(D169="EV",'Operating costs'!$B$68,"Not applicable")</f>
        <v>Not applicable</v>
      </c>
    </row>
    <row r="170" spans="1:43" ht="24" customHeight="1">
      <c r="A170" s="1" t="str">
        <f>'Replacement plan'!A47</f>
        <v>T041</v>
      </c>
      <c r="B170" s="1">
        <v>3</v>
      </c>
      <c r="C170" s="1">
        <f>IF(COUNTIFS('Fleet register'!$A$7:$A$106,$A170)=1,VLOOKUP($A170,'Fleet register'!$A$7:$S$106,2,FALSE),0)</f>
        <v>0</v>
      </c>
      <c r="D170" s="1" t="str">
        <f>IF('Replacement plan'!$R$47="EV","EV","ICE")</f>
        <v>ICE</v>
      </c>
      <c r="E170" s="1">
        <f>IF(C170=0,0,IF('Replacement plan'!$S$47="",IF('Replacement plan'!$R$47="Keep ICE",IF('Replacement plan'!$M$47="",VLOOKUP($A170,'Fleet register'!$A$7:$S$106,10,FALSE),'Replacement plan'!$M$47),0),'Replacement plan'!$S$47))</f>
        <v>0</v>
      </c>
      <c r="F170" s="16">
        <f>IF(C170=0,0,VLOOKUP($A170,'Fleet register'!$A$7:$S$106,11,FALSE))</f>
        <v>0</v>
      </c>
      <c r="G170" s="16">
        <f>IFERROR(IF(C170=0,0,IF(E170=120,0,IF(D170="ICE",'Replacement plan'!$C$47,IF('Replacement plan'!$D$47="",INDEX(Products!$I$7:$I$13,MATCH('Replacement plan'!$B$47,Products!$A$7:$A$13,0))+'Operating costs'!$B$57,'Replacement plan'!$D$47))*(1+'Operating costs'!$B$50)^(E170/12))),"n.a.")</f>
        <v>0</v>
      </c>
      <c r="H170" s="16">
        <f>IFERROR(IF(C170=0,0,IF('Replacement plan'!$V$47&lt;&gt;"",'Replacement plan'!$V$47,IF(E170=0,F170,VLOOKUP($A170,'Fleet register'!$A$7:$S$106,12,FALSE)+VLOOKUP($A170,'Fleet register'!$A$7:$S$106,13,FALSE)*MAX(0,VLOOKUP($A170,'Fleet register'!$A$7:$S$106,10,FALSE)-E170)/VLOOKUP($A170,'Fleet register'!$A$7:$S$106,14,FALSE)))),"n.a.")</f>
        <v>0</v>
      </c>
      <c r="I170" s="16">
        <f>IF(C170=0,0,IF(E170=120,0,'Replacement plan'!$T$47))</f>
        <v>0</v>
      </c>
      <c r="J170" s="16">
        <f>IF(C170=0,0,IF(P170="Complete",((S170*(R170-'Operating costs'!$B$39))+ROUNDUP(S170*(R170-'Operating costs'!$B$39)*IF('Replacement plan'!$AG$47="",'Operating costs'!$B$7,'Replacement plan'!$AG$47)/('Operating costs'!$B$8-'Operating costs'!$B$9*IF('Replacement plan'!$AG$47="",'Operating costs'!$B$7,'Replacement plan'!$AG$47)),0)*'Operating costs'!$B$9)*IF('Replacement plan'!$AG$47="",'Operating costs'!$B$7,'Replacement plan'!$AG$47)*('Energy and charging'!$C$9*'Energy and charging'!$C$7+(1-'Energy and charging'!$C$9)*'Energy and charging'!$C$8)*'Operating costs'!$B$23,"n.a."))</f>
        <v>0</v>
      </c>
      <c r="K170" s="16">
        <f>IF(C170=0,0,IF(P170="Complete",SUM('Operating costs'!$B$24,'Operating costs'!$B$27,'Operating costs'!$B$29,'Operating costs'!$B$31,'Operating costs'!$B$33,'Operating costs'!$B$34,'Operating costs'!$B$37,'Replacement plan'!$W$47)+'Operating costs'!$B$39*'Operating costs'!$B$42+ROUNDUP(S170*(R170-'Operating costs'!$B$39)*IF('Replacement plan'!$AG$47="",'Operating costs'!$B$7,'Replacement plan'!$AG$47)/('Operating costs'!$B$8-'Operating costs'!$B$9*IF('Replacement plan'!$AG$47="",'Operating costs'!$B$7,'Replacement plan'!$AG$47)),0)*('Operating costs'!$B$9/'Operating costs'!$B$11+'Operating costs'!$B$10/60)*'Operating costs'!$B$19*'Operating costs'!$B$21,"n.a."))</f>
        <v>0</v>
      </c>
      <c r="L170" s="16">
        <f>IF(C170=0,0,IF(P170="Complete",IF(D170="EV",X170*((1-T170)*'Energy and charging'!$C$10+T170*'Energy and charging'!$C$11)*'Operating costs'!$B$22,AA170*('Energy and charging'!$C$9*'Energy and charging'!$C$7+(1-'Energy and charging'!$C$9)*'Energy and charging'!$C$8)*'Operating costs'!$B$23),"n.a."))</f>
        <v>0</v>
      </c>
      <c r="M170" s="37">
        <f>IF(C170=0,0,IF(P170="Complete",IF(D170="ICE",SUM('Operating costs'!$B$25,'Operating costs'!$B$27,'Operating costs'!$B$29,'Operating costs'!$B$31,'Operating costs'!$B$33,'Operating costs'!$B$35,'Operating costs'!$B$37,'Replacement plan'!$X$47)+'Operating costs'!$B$40*'Operating costs'!$B$42+ROUNDUP(S170*(R170-'Operating costs'!$B$40)*IF('Replacement plan'!$AH$47="",'Operating costs'!$B$7,'Replacement plan'!$AH$47)/('Operating costs'!$B$8-'Operating costs'!$B$9*IF('Replacement plan'!$AH$47="",'Operating costs'!$B$7,'Replacement plan'!$AH$47)),0)*('Operating costs'!$B$9/'Operating costs'!$B$11+'Operating costs'!$B$10/60)*'Operating costs'!$B$19*'Operating costs'!$B$21,SUM(AP170,'Operating costs'!$B$28,'Operating costs'!$B$30,'Operating costs'!$B$32,'Operating costs'!$B$33,'Operating costs'!$B$36,'Operating costs'!$B$38,'Replacement plan'!$Y$47)+'Operating costs'!$B$41*'Operating costs'!$B$43+W170*'Operating costs'!$B$15+(T170*X170/'Replacement plan'!$L$47+W170*('Operating costs'!$B$12/'Operating costs'!$B$11+('Operating costs'!$B$13+'Operating costs'!$B$14)/60)+(R170-'Operating costs'!$B$41)*(IF(T170&lt;1,'Operating costs'!$B$16,0)+'Operating costs'!$B$17)/60)*'Operating costs'!$B$19*'Operating costs'!$B$20),"n.a."))</f>
        <v>0</v>
      </c>
      <c r="N170" s="16">
        <f>IF(AND(C170=1,D170="EV",E170&lt;120,E170+'Replacement plan'!$AA$47&lt;=120),'Replacement plan'!$Z$47,0)</f>
        <v>0</v>
      </c>
      <c r="O170" s="1">
        <f>E170+'Replacement plan'!$AA$47</f>
        <v>0</v>
      </c>
      <c r="P170" s="35" t="str">
        <f>IFERROR(IF(C170=0,"Excluded",IF(OR(COUNTIFS('Fleet register'!$A$7:$A$106,A170)&lt;&gt;1,COUNTIFS('Replacement plan'!$A$7:$A$106,A170)&lt;&gt;1),"Duplicate/missing ID",IF(NOT(AND(ISNUMBER(VLOOKUP($A170,'Fleet register'!$A$7:$S$106,5,FALSE)),ISNUMBER(VLOOKUP($A170,'Fleet register'!$A$7:$S$106,6,FALSE)),ISNUMBER(VLOOKUP($A170,'Fleet register'!$A$7:$S$106,10,FALSE)),ISNUMBER(VLOOKUP($A170,'Fleet register'!$A$7:$S$106,11,FALSE)),ISNUMBER(VLOOKUP($A170,'Fleet register'!$A$7:$S$106,12,FALSE)),ISNUMBER(VLOOKUP($A170,'Fleet register'!$A$7:$S$106,13,FALSE)),ISNUMBER(VLOOKUP($A170,'Fleet register'!$A$7:$S$106,14,FALSE)),VLOOKUP($A170,'Fleet register'!$A$7:$S$106,14,FALSE)&gt;0,ISNUMBER('Replacement plan'!$C$47),OR(E170=120,ISNUMBER('Replacement plan'!$T$47)),ISNUMBER(E170))),"Missing vehicle input",IF(OR(E170&lt;0,E170&gt;VLOOKUP($A170,'Fleet register'!$A$7:$S$106,10,FALSE),E170&gt;120,E170&lt;&gt;INT(E170),VLOOKUP($A170,'Fleet register'!$A$7:$S$106,6,FALSE)&lt;=0,VLOOKUP($A170,'Fleet register'!$A$7:$S$106,6,FALSE)&gt;366,VLOOKUP($A170,'Fleet register'!$A$7:$S$106,5,FALSE)&lt;0,VLOOKUP($A170,'Fleet register'!$A$7:$S$106,11,FALSE)&lt;0,I170&lt;0,'Operating costs'!$B$8&lt;='Operating costs'!$B$7*'Operating costs'!$B$9,'Operating costs'!$B$11&lt;=0,'Operating costs'!$B$39&gt;R170,'Operating costs'!$B$40&gt;R170,'Operating costs'!$B$41&gt;R170,NOT(OR('Replacement plan'!$R$47="Keep ICE",'Replacement plan'!$R$47="New ICE",'Replacement plan'!$R$47="EV"))),"Invalid vehicle input",IF(AND(D170="EV",E170&lt;120,OR(NOT(ISNUMBER(U170)),NOT(ISNUMBER(V170)),V170&lt;=0,T170&lt;0,T170&gt;1,'Replacement plan'!$L$47&lt;=0,'Operating costs'!$B$44&lt;0,'Operating costs'!$B$44&gt;=1,'Operating costs'!$B$47&lt;=0,'Operating costs'!$B$47&gt;1,V170*'Operating costs'!$B$47/(1-'Operating costs'!$B$44)&lt;=T170*'Operating costs'!$B$12*U170,AND('Replacement plan'!$Z$47&gt;0,OR('Replacement plan'!$AB$47&lt;&gt;"Yes",'Operating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charging'!$C$8&gt;=0))),ISNUMBER(VLOOKUP($A170,'Fleet register'!$A$7:$S$106,15,FALSE)),ISNUMBER(VLOOKUP($A170,'Fleet register'!$A$7:$S$106,16,FALSE)),ISNUMBER('Replacement plan'!$W$47),ISNUMBER('Replacement plan'!$X$47),OR(E170=120,AND(ISNUMBER(G170),G170&gt;=0)),ISNUMBER(H170),H170&gt;=0,OR(D170&lt;&gt;"EV",E170=120,AND(ISNUMBER('Operating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average",ISNUMBER(IFERROR(INDEX(Products!$P$7:$P$13,MATCH(AD170,Products!$A$7:$A$13,0)),"")))),ISNUMBER('Operating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plan'!$Y$47),ISNUMBER('Replacement plan'!$Z$47),'Replacement plan'!$Z$47&gt;=0,ISNUMBER('Replacement plan'!$AA$47),'Replacement plan'!$AA$47&gt;=0,'Replacement plan'!$AA$47=INT('Replacement plan'!$AA$47),ISNUMBER('Replacement plan'!$L$47))),'Operating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plan'!$AG$47="",'Operating costs'!$B$7,'Replacement plan'!$AG$47)),IF('Replacement plan'!$AG$47="",'Operating costs'!$B$7,'Replacement plan'!$AG$47)&gt;=0,ISNUMBER(IF('Replacement plan'!$AH$47="",'Operating costs'!$B$7,'Replacement plan'!$AH$47)),IF('Replacement plan'!$AH$47="",'Operating costs'!$B$7,'Replacement plan'!$AH$47)&gt;=0,'Operating costs'!$B$8&gt;MAX(IF('Replacement plan'!$AG$47="",'Operating costs'!$B$7,'Replacement plan'!$AG$47),IF('Replacement plan'!$AH$47="",'Operating costs'!$B$7,'Replacement plan'!$AH$47))*'Operating costs'!$B$9),IF(AND(VLOOKUP($A170,'Fleet register'!$A$7:$S$106,10,FALSE)&gt;=0,VLOOKUP($A170,'Fleet register'!$A$7:$S$106,10,FALSE)&lt;=120,VLOOKUP($A170,'Fleet register'!$A$7:$S$106,10,FALSE)=INT(VLOOKUP($A170,'Fleet register'!$A$7:$S$106,10,FALSE)),VLOOKUP($A170,'Fleet register'!$A$7:$S$106,15,FALSE)&gt;=0,VLOOKUP($A170,'Fleet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costs'!$B$67)&gt;=0,OR(D170&lt;&gt;"EV",E170=120,AND(MIN('Operating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70" s="1" t="str">
        <f>IF(C170=0,"Excluded",IF(P170&lt;&gt;"Complete",P170,IF(OR('Replacement plan'!$AD$47&lt;120-E170,AND(D170="EV",E170&lt;120,OR('Replacement plan'!$AC$47&lt;120-E170,'Replacement plan'!$I$47="No",AND(ISNUMBER(AF170),AE170&gt;AF170),AI170&gt;V170*(1-'Operating costs'!$B$46)^MAX(0,AB170-1)*(1-'Operating costs'!$B$45),AC170&gt;'Operating costs'!$B$18,AND(T170&lt;1,OR(AG170&lt;=0,AND(ISNUMBER(AH170),AG170&gt;AH170))),'Replacement plan'!$L$47&gt;INDEX(Products!$H$7:$H$13,MATCH('Replacement plan'!$B$47,Products!$A$7:$A$13,0))))),"Fails entered limits",IF(AND(D170="EV",E170&lt;120,OR(NOT(ISNUMBER(VLOOKUP($A170,'Fleet register'!$A$7:$S$106,7,FALSE))),NOT(ISNUMBER(VLOOKUP($A170,'Fleet register'!$A$7:$S$106,8,FALSE))),NOT(ISNUMBER(AF170)),'Replacement plan'!$I$47&lt;&gt;"Yes",NOT(ISNUMBER(AH170)),'Operating costs'!$B$59&lt;&gt;"Yes",'Operating costs'!$B$58&lt;&gt;"Yes")),"Unverified","Within entered limits"))))</f>
        <v>Excluded</v>
      </c>
      <c r="R170" s="1">
        <f>IF(C170=0,0,VLOOKUP($A170,'Fleet register'!$A$7:$S$106,6,FALSE))</f>
        <v>0</v>
      </c>
      <c r="S170" s="1">
        <f>IF(C170=0,0,VLOOKUP($A170,'Fleet register'!$A$7:$S$106,5,FALSE))</f>
        <v>0</v>
      </c>
      <c r="T170" s="1">
        <f>IF(D170="EV",'Energy and charging'!$C$12,0)</f>
        <v>0</v>
      </c>
      <c r="U170" s="1">
        <f>IFERROR(IF(C170=0,0,IF(D170="EV",IF('Replacement plan'!$F$47="",INDEX(Products!$E$7:$E$13,MATCH('Replacement plan'!$B$47,Products!$A$7:$A$13,0)),'Replacement plan'!$F$47)/IF('Replacement plan'!$G$47="Battery",1-'Operating costs'!$B$44,1),0)),"n.a.")</f>
        <v>0</v>
      </c>
      <c r="V170" s="1">
        <f>IFERROR(IF(C170=0,0,IF(D170="EV",IF('Replacement plan'!$E$47="",INDEX(Products!$D$7:$D$13,MATCH('Replacement plan'!$B$47,Products!$A$7:$A$13,0)),'Replacement plan'!$E$47),0)),"n.a.")</f>
        <v>0</v>
      </c>
      <c r="W170" s="1">
        <f>IF(C170=0,0,IF(AND(P170="Complete",D170="EV",E170&lt;120),IF(T170=0,0,ROUNDUP(T170*(R170-'Operating costs'!$B$41)*(S170*U170+'Operating costs'!$B$48/(1-'Operating costs'!$B$44))/(V170*'Operating costs'!$B$47/(1-'Operating costs'!$B$44)-T170*'Operating costs'!$B$12*U170),0)),0))</f>
        <v>0</v>
      </c>
      <c r="X170" s="1">
        <f>IF(C170=0,0,IF(AND(P170="Complete",D170="EV",E170&lt;120),(R170-'Operating costs'!$B$41)*(S170*U170+'Operating costs'!$B$48/(1-'Operating costs'!$B$44))+W170*'Operating costs'!$B$12*U170,0))</f>
        <v>0</v>
      </c>
      <c r="Y170" s="1">
        <f>IF(AND(C170=1,D170="EV",E170&lt;120),AI170/(1-'Operating costs'!$B$44)*(1-T170),0)</f>
        <v>0</v>
      </c>
      <c r="Z170" s="1">
        <f t="shared" si="4"/>
        <v>0</v>
      </c>
      <c r="AA170" s="1">
        <f>IF(C170=0,0,IF(P170="Complete",((S170*(R170-'Operating costs'!$B$40))+ROUNDUP(S170*(R170-'Operating costs'!$B$40)*IF('Replacement plan'!$AH$47="",'Operating costs'!$B$7,'Replacement plan'!$AH$47)/('Operating costs'!$B$8-'Operating costs'!$B$9*IF('Replacement plan'!$AH$47="",'Operating costs'!$B$7,'Replacement plan'!$AH$47)),0)*'Operating costs'!$B$9)*IF('Replacement plan'!$AH$47="",'Operating costs'!$B$7,'Replacement plan'!$AH$47),"n.a."))</f>
        <v>0</v>
      </c>
      <c r="AB170" s="1">
        <f t="shared" si="5"/>
        <v>0</v>
      </c>
      <c r="AC170" s="1">
        <f>IF(AND(C170=1,D170="EV",E170&lt;120,T170&gt;0),'Operating costs'!$B$12/'Operating costs'!$B$11*60+'Operating costs'!$B$13+'Operating costs'!$B$14+V170*'Operating costs'!$B$47/(1-'Operating costs'!$B$44)/'Replacement plan'!$L$47*60,0)</f>
        <v>0</v>
      </c>
      <c r="AD170" s="1" t="str">
        <f>'Replacement plan'!$B$47</f>
        <v>ChengLong L2EV</v>
      </c>
      <c r="AE170" s="1">
        <f>IF(C170=0,0,VLOOKUP($A170,'Fleet register'!$A$7:$S$106,8,FALSE))</f>
        <v>0</v>
      </c>
      <c r="AF170" s="1" t="str">
        <f>IF('Replacement plan'!$H$47="","n.a.",'Replacement plan'!$H$47)</f>
        <v>n.a.</v>
      </c>
      <c r="AG170" s="1">
        <f>'Replacement plan'!$J$47</f>
        <v>22</v>
      </c>
      <c r="AH170" s="1">
        <f>IFERROR(IF(D170="EV",IF('Replacement plan'!$K$47="AC",IF(ISNUMBER(INDEX(Products!$G$7:$G$13,MATCH('Replacement plan'!$B$47,Products!$A$7:$A$13,0))),INDEX(Products!$G$7:$G$13,MATCH('Replacement plan'!$B$47,Products!$A$7:$A$13,0)),"n.a."),IF(ISNUMBER(INDEX(Products!$H$7:$H$13,MATCH('Replacement plan'!$B$47,Products!$A$7:$A$13,0))),INDEX(Products!$H$7:$H$13,MATCH('Replacement plan'!$B$47,Products!$A$7:$A$13,0)),"n.a.")),0),"n.a.")</f>
        <v>0</v>
      </c>
      <c r="AI170" s="1">
        <f>IF(AND(C170=1,D170="EV",E170&lt;120),(VLOOKUP($A170,'Fleet register'!$A$7:$S$106,7,FALSE)+IF(T170&gt;0,'Operating costs'!$B$12,0))*U170*(1-'Operating costs'!$B$44)+'Operating costs'!$B$49,0)</f>
        <v>0</v>
      </c>
      <c r="AJ170" s="1">
        <f>IF(D170="EV",'Energy and charging'!$C$50,0)</f>
        <v>0</v>
      </c>
      <c r="AK170" s="17">
        <f>EDATE('Operating costs'!$B$63,E170)</f>
        <v>46298</v>
      </c>
      <c r="AL170" s="1">
        <f>IFERROR(IF(D170="EV",INDEX(Products!$B$7:$B$13,MATCH('Replacement plan'!$B$47,Products!$A$7:$A$13,0)),0),"n.a.")</f>
        <v>0</v>
      </c>
      <c r="AM170" s="1" t="str">
        <f>'Replacement plan'!$K$47</f>
        <v>DC</v>
      </c>
      <c r="AN170" s="1" t="str">
        <f>'Replacement plan'!$AE$47</f>
        <v>Assumed</v>
      </c>
      <c r="AO170" s="47">
        <f>IF(AND(C170=1,D170="EV",E170&lt;120),(R170-'Operating costs'!$B$41)*S170+W170*'Operating costs'!$B$12,0)</f>
        <v>0</v>
      </c>
      <c r="AP170" s="41">
        <f>IF(AND(C170=1,D170="EV",E170&lt;120),IF('Operating costs'!$B$68="Hong Seh 200k average",AO170*IFERROR(INDEX(Products!$P$7:$P$13,MATCH(AD170,Products!$A$7:$A$13,0)),"n.a."),'Operating costs'!$B$26),0)</f>
        <v>0</v>
      </c>
      <c r="AQ170" s="40" t="str">
        <f>IF(D170="EV",'Operating costs'!$B$68,"Not applicable")</f>
        <v>Not applicable</v>
      </c>
    </row>
    <row r="171" spans="1:43" ht="24" customHeight="1">
      <c r="A171" s="1" t="str">
        <f>'Replacement plan'!A48</f>
        <v>T042</v>
      </c>
      <c r="B171" s="1">
        <v>0</v>
      </c>
      <c r="C171" s="1">
        <f>IF(COUNTIFS('Fleet register'!$A$7:$A$106,$A171)=1,VLOOKUP($A171,'Fleet register'!$A$7:$S$106,2,FALSE),0)</f>
        <v>0</v>
      </c>
      <c r="D171" s="1" t="str">
        <f>IF("Keep ICE"="EV","EV","ICE")</f>
        <v>ICE</v>
      </c>
      <c r="E171" s="1">
        <f>IF(C171=0,0,IF('Replacement plan'!$M$48="",VLOOKUP($A171,'Fleet register'!$A$7:$S$106,10,FALSE),'Replacement plan'!$M$48))</f>
        <v>0</v>
      </c>
      <c r="F171" s="16">
        <f>IF(C171=0,0,VLOOKUP($A171,'Fleet register'!$A$7:$S$106,11,FALSE))</f>
        <v>0</v>
      </c>
      <c r="G171" s="16">
        <f>IFERROR(IF(C171=0,0,IF(E171=120,0,IF(D171="ICE",'Replacement plan'!$C$48,IF('Replacement plan'!$D$48="",INDEX(Products!$I$7:$I$13,MATCH('Replacement plan'!$B$48,Products!$A$7:$A$13,0))+'Operating costs'!$B$57,'Replacement plan'!$D$48))*(1+'Operating costs'!$B$50)^(E171/12))),"n.a.")</f>
        <v>0</v>
      </c>
      <c r="H171" s="16">
        <f>IFERROR(IF(C171=0,0,IF(E171=0,F171,VLOOKUP($A171,'Fleet register'!$A$7:$S$106,12,FALSE)+VLOOKUP($A171,'Fleet register'!$A$7:$S$106,13,FALSE)*MAX(0,VLOOKUP($A171,'Fleet register'!$A$7:$S$106,10,FALSE)-E171)/VLOOKUP($A171,'Fleet register'!$A$7:$S$106,14,FALSE))),"n.a.")</f>
        <v>0</v>
      </c>
      <c r="I171" s="16">
        <f>IF(C171=0,0,IF(E171=120,0,'Replacement plan'!$N$48))</f>
        <v>0</v>
      </c>
      <c r="J171" s="16">
        <f>IF(C171=0,0,IF(P171="Complete",((S171*(R171-'Operating costs'!$B$39))+ROUNDUP(S171*(R171-'Operating costs'!$B$39)*IF('Replacement plan'!$AG$48="",'Operating costs'!$B$7,'Replacement plan'!$AG$48)/('Operating costs'!$B$8-'Operating costs'!$B$9*IF('Replacement plan'!$AG$48="",'Operating costs'!$B$7,'Replacement plan'!$AG$48)),0)*'Operating costs'!$B$9)*IF('Replacement plan'!$AG$48="",'Operating costs'!$B$7,'Replacement plan'!$AG$48)*('Energy and charging'!$B$9*'Energy and charging'!$B$7+(1-'Energy and charging'!$B$9)*'Energy and charging'!$B$8)*'Operating costs'!$B$23,"n.a."))</f>
        <v>0</v>
      </c>
      <c r="K171" s="16">
        <f>IF(C171=0,0,IF(P171="Complete",SUM('Operating costs'!$B$24,'Operating costs'!$B$27,'Operating costs'!$B$29,'Operating costs'!$B$31,'Operating costs'!$B$33,'Operating costs'!$B$34,'Operating costs'!$B$37,'Replacement plan'!$W$48)+'Operating costs'!$B$39*'Operating costs'!$B$42+ROUNDUP(S171*(R171-'Operating costs'!$B$39)*IF('Replacement plan'!$AG$48="",'Operating costs'!$B$7,'Replacement plan'!$AG$48)/('Operating costs'!$B$8-'Operating costs'!$B$9*IF('Replacement plan'!$AG$48="",'Operating costs'!$B$7,'Replacement plan'!$AG$48)),0)*('Operating costs'!$B$9/'Operating costs'!$B$11+'Operating costs'!$B$10/60)*'Operating costs'!$B$19*'Operating costs'!$B$21,"n.a."))</f>
        <v>0</v>
      </c>
      <c r="L171" s="16">
        <f>IF(C171=0,0,IF(P171="Complete",IF(D171="EV",X171*((1-T171)*'Energy and charging'!$B$10+T171*'Energy and charging'!$B$11)*'Operating costs'!$B$22,AA171*('Energy and charging'!$B$9*'Energy and charging'!$B$7+(1-'Energy and charging'!$B$9)*'Energy and charging'!$B$8)*'Operating costs'!$B$23),"n.a."))</f>
        <v>0</v>
      </c>
      <c r="M171" s="37">
        <f>IF(C171=0,0,IF(P171="Complete",IF(D171="ICE",SUM('Operating costs'!$B$25,'Operating costs'!$B$27,'Operating costs'!$B$29,'Operating costs'!$B$31,'Operating costs'!$B$33,'Operating costs'!$B$35,'Operating costs'!$B$37,'Replacement plan'!$X$48)+'Operating costs'!$B$40*'Operating costs'!$B$42+ROUNDUP(S171*(R171-'Operating costs'!$B$40)*IF('Replacement plan'!$AH$48="",'Operating costs'!$B$7,'Replacement plan'!$AH$48)/('Operating costs'!$B$8-'Operating costs'!$B$9*IF('Replacement plan'!$AH$48="",'Operating costs'!$B$7,'Replacement plan'!$AH$48)),0)*('Operating costs'!$B$9/'Operating costs'!$B$11+'Operating costs'!$B$10/60)*'Operating costs'!$B$19*'Operating costs'!$B$21,SUM(AP171,'Operating costs'!$B$28,'Operating costs'!$B$30,'Operating costs'!$B$32,'Operating costs'!$B$33,'Operating costs'!$B$36,'Operating costs'!$B$38,'Replacement plan'!$Y$48)+'Operating costs'!$B$41*'Operating costs'!$B$43+W171*'Operating costs'!$B$15+(T171*X171/'Replacement plan'!$L$48+W171*('Operating costs'!$B$12/'Operating costs'!$B$11+('Operating costs'!$B$13+'Operating costs'!$B$14)/60)+(R171-'Operating costs'!$B$41)*(IF(T171&lt;1,'Operating costs'!$B$16,0)+'Operating costs'!$B$17)/60)*'Operating costs'!$B$19*'Operating costs'!$B$20),"n.a."))</f>
        <v>0</v>
      </c>
      <c r="N171" s="16">
        <f>IF(AND(C171=1,D171="EV",E171&lt;120,E171+'Replacement plan'!$AA$48&lt;=120),'Replacement plan'!$Z$48,0)</f>
        <v>0</v>
      </c>
      <c r="O171" s="1">
        <f>E171+'Replacement plan'!$AA$48</f>
        <v>0</v>
      </c>
      <c r="P171" s="35" t="str">
        <f>IFERROR(IF(C171=0,"Excluded",IF(OR(COUNTIFS('Fleet register'!$A$7:$A$106,A171)&lt;&gt;1,COUNTIFS('Replacement plan'!$A$7:$A$106,A171)&lt;&gt;1),"Duplicate/missing ID",IF(NOT(AND(ISNUMBER(VLOOKUP($A171,'Fleet register'!$A$7:$S$106,5,FALSE)),ISNUMBER(VLOOKUP($A171,'Fleet register'!$A$7:$S$106,6,FALSE)),ISNUMBER(VLOOKUP($A171,'Fleet register'!$A$7:$S$106,10,FALSE)),ISNUMBER(VLOOKUP($A171,'Fleet register'!$A$7:$S$106,11,FALSE)),ISNUMBER(VLOOKUP($A171,'Fleet register'!$A$7:$S$106,12,FALSE)),ISNUMBER(VLOOKUP($A171,'Fleet register'!$A$7:$S$106,13,FALSE)),ISNUMBER(VLOOKUP($A171,'Fleet register'!$A$7:$S$106,14,FALSE)),VLOOKUP($A171,'Fleet register'!$A$7:$S$106,14,FALSE)&gt;0,ISNUMBER('Replacement plan'!$C$48),OR(E171=120,ISNUMBER('Replacement plan'!$N$48)),ISNUMBER(E171))),"Missing vehicle input",IF(OR(E171&lt;0,E171&gt;VLOOKUP($A171,'Fleet register'!$A$7:$S$106,10,FALSE),E171&gt;120,E171&lt;&gt;INT(E171),VLOOKUP($A171,'Fleet register'!$A$7:$S$106,6,FALSE)&lt;=0,VLOOKUP($A171,'Fleet register'!$A$7:$S$106,6,FALSE)&gt;366,VLOOKUP($A171,'Fleet register'!$A$7:$S$106,5,FALSE)&lt;0,VLOOKUP($A171,'Fleet register'!$A$7:$S$106,11,FALSE)&lt;0,I171&lt;0,'Operating costs'!$B$8&lt;='Operating costs'!$B$7*'Operating costs'!$B$9,'Operating costs'!$B$11&lt;=0,'Operating costs'!$B$39&gt;R171,'Operating costs'!$B$40&gt;R171,'Operating costs'!$B$41&gt;R171,NOT(OR("Keep ICE"="Keep ICE","Keep ICE"="New ICE","Keep ICE"="EV"))),"Invalid vehicle input",IF(AND(D171="EV",E171&lt;120,OR(NOT(ISNUMBER(U171)),NOT(ISNUMBER(V171)),V171&lt;=0,T171&lt;0,T171&gt;1,'Replacement plan'!$L$48&lt;=0,'Operating costs'!$B$44&lt;0,'Operating costs'!$B$44&gt;=1,'Operating costs'!$B$47&lt;=0,'Operating costs'!$B$47&gt;1,V171*'Operating costs'!$B$47/(1-'Operating costs'!$B$44)&lt;=T171*'Operating costs'!$B$12*U171,AND('Replacement plan'!$Z$48&gt;0,OR('Replacement plan'!$AB$48&lt;&gt;"Yes",'Operating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charging'!$B$8&gt;=0))),ISNUMBER(VLOOKUP($A171,'Fleet register'!$A$7:$S$106,15,FALSE)),ISNUMBER(VLOOKUP($A171,'Fleet register'!$A$7:$S$106,16,FALSE)),ISNUMBER('Replacement plan'!$W$48),ISNUMBER('Replacement plan'!$X$48),OR(E171=120,AND(ISNUMBER(G171),G171&gt;=0)),ISNUMBER(H171),H171&gt;=0,OR(D171&lt;&gt;"EV",E171=120,AND(ISNUMBER('Operating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average",ISNUMBER(IFERROR(INDEX(Products!$P$7:$P$13,MATCH(AD171,Products!$A$7:$A$13,0)),"")))),ISNUMBER('Operating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plan'!$Y$48),ISNUMBER('Replacement plan'!$Z$48),'Replacement plan'!$Z$48&gt;=0,ISNUMBER('Replacement plan'!$AA$48),'Replacement plan'!$AA$48&gt;=0,'Replacement plan'!$AA$48=INT('Replacement plan'!$AA$48),ISNUMBER('Replacement plan'!$L$48))),'Operating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plan'!$AG$48="",'Operating costs'!$B$7,'Replacement plan'!$AG$48)),IF('Replacement plan'!$AG$48="",'Operating costs'!$B$7,'Replacement plan'!$AG$48)&gt;=0,ISNUMBER(IF('Replacement plan'!$AH$48="",'Operating costs'!$B$7,'Replacement plan'!$AH$48)),IF('Replacement plan'!$AH$48="",'Operating costs'!$B$7,'Replacement plan'!$AH$48)&gt;=0,'Operating costs'!$B$8&gt;MAX(IF('Replacement plan'!$AG$48="",'Operating costs'!$B$7,'Replacement plan'!$AG$48),IF('Replacement plan'!$AH$48="",'Operating costs'!$B$7,'Replacement plan'!$AH$48))*'Operating costs'!$B$9),IF(AND(VLOOKUP($A171,'Fleet register'!$A$7:$S$106,10,FALSE)&gt;=0,VLOOKUP($A171,'Fleet register'!$A$7:$S$106,10,FALSE)&lt;=120,VLOOKUP($A171,'Fleet register'!$A$7:$S$106,10,FALSE)=INT(VLOOKUP($A171,'Fleet register'!$A$7:$S$106,10,FALSE)),VLOOKUP($A171,'Fleet register'!$A$7:$S$106,15,FALSE)&gt;=0,VLOOKUP($A171,'Fleet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costs'!$B$67)&gt;=0,OR(D171&lt;&gt;"EV",E171=120,AND(MIN('Operating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71" s="1" t="str">
        <f>IF(C171=0,"Excluded",IF(P171&lt;&gt;"Complete",P171,IF(OR('Replacement plan'!$AD$48&lt;120-E171,AND(D171="EV",E171&lt;120,OR('Replacement plan'!$AC$48&lt;120-E171,'Replacement plan'!$I$48="No",AND(ISNUMBER(AF171),AE171&gt;AF171),AI171&gt;V171*(1-'Operating costs'!$B$46)^MAX(0,AB171-1)*(1-'Operating costs'!$B$45),AC171&gt;'Operating costs'!$B$18,AND(T171&lt;1,OR(AG171&lt;=0,AND(ISNUMBER(AH171),AG171&gt;AH171))),'Replacement plan'!$L$48&gt;INDEX(Products!$H$7:$H$13,MATCH('Replacement plan'!$B$48,Products!$A$7:$A$13,0))))),"Fails entered limits",IF(AND(D171="EV",E171&lt;120,OR(NOT(ISNUMBER(VLOOKUP($A171,'Fleet register'!$A$7:$S$106,7,FALSE))),NOT(ISNUMBER(VLOOKUP($A171,'Fleet register'!$A$7:$S$106,8,FALSE))),NOT(ISNUMBER(AF171)),'Replacement plan'!$I$48&lt;&gt;"Yes",NOT(ISNUMBER(AH171)),'Operating costs'!$B$59&lt;&gt;"Yes",'Operating costs'!$B$58&lt;&gt;"Yes")),"Unverified","Within entered limits"))))</f>
        <v>Excluded</v>
      </c>
      <c r="R171" s="1">
        <f>IF(C171=0,0,VLOOKUP($A171,'Fleet register'!$A$7:$S$106,6,FALSE))</f>
        <v>0</v>
      </c>
      <c r="S171" s="1">
        <f>IF(C171=0,0,VLOOKUP($A171,'Fleet register'!$A$7:$S$106,5,FALSE))</f>
        <v>0</v>
      </c>
      <c r="T171" s="1">
        <f>IF(D171="EV",'Energy and charging'!$B$12,0)</f>
        <v>0</v>
      </c>
      <c r="U171" s="1">
        <f>IFERROR(IF(C171=0,0,IF(D171="EV",IF('Replacement plan'!$F$48="",INDEX(Products!$E$7:$E$13,MATCH('Replacement plan'!$B$48,Products!$A$7:$A$13,0)),'Replacement plan'!$F$48)/IF('Replacement plan'!$G$48="Battery",1-'Operating costs'!$B$44,1),0)),"n.a.")</f>
        <v>0</v>
      </c>
      <c r="V171" s="1">
        <f>IFERROR(IF(C171=0,0,IF(D171="EV",IF('Replacement plan'!$E$48="",INDEX(Products!$D$7:$D$13,MATCH('Replacement plan'!$B$48,Products!$A$7:$A$13,0)),'Replacement plan'!$E$48),0)),"n.a.")</f>
        <v>0</v>
      </c>
      <c r="W171" s="1">
        <f>IF(C171=0,0,IF(AND(P171="Complete",D171="EV",E171&lt;120),IF(T171=0,0,ROUNDUP(T171*(R171-'Operating costs'!$B$41)*(S171*U171+'Operating costs'!$B$48/(1-'Operating costs'!$B$44))/(V171*'Operating costs'!$B$47/(1-'Operating costs'!$B$44)-T171*'Operating costs'!$B$12*U171),0)),0))</f>
        <v>0</v>
      </c>
      <c r="X171" s="1">
        <f>IF(C171=0,0,IF(AND(P171="Complete",D171="EV",E171&lt;120),(R171-'Operating costs'!$B$41)*(S171*U171+'Operating costs'!$B$48/(1-'Operating costs'!$B$44))+W171*'Operating costs'!$B$12*U171,0))</f>
        <v>0</v>
      </c>
      <c r="Y171" s="1">
        <f>IF(AND(C171=1,D171="EV",E171&lt;120),AI171/(1-'Operating costs'!$B$44)*(1-T171),0)</f>
        <v>0</v>
      </c>
      <c r="Z171" s="1">
        <f t="shared" si="4"/>
        <v>0</v>
      </c>
      <c r="AA171" s="1">
        <f>IF(C171=0,0,IF(P171="Complete",((S171*(R171-'Operating costs'!$B$40))+ROUNDUP(S171*(R171-'Operating costs'!$B$40)*IF('Replacement plan'!$AH$48="",'Operating costs'!$B$7,'Replacement plan'!$AH$48)/('Operating costs'!$B$8-'Operating costs'!$B$9*IF('Replacement plan'!$AH$48="",'Operating costs'!$B$7,'Replacement plan'!$AH$48)),0)*'Operating costs'!$B$9)*IF('Replacement plan'!$AH$48="",'Operating costs'!$B$7,'Replacement plan'!$AH$48),"n.a."))</f>
        <v>0</v>
      </c>
      <c r="AB171" s="1">
        <f t="shared" si="5"/>
        <v>0</v>
      </c>
      <c r="AC171" s="1">
        <f>IF(AND(C171=1,D171="EV",E171&lt;120,T171&gt;0),'Operating costs'!$B$12/'Operating costs'!$B$11*60+'Operating costs'!$B$13+'Operating costs'!$B$14+V171*'Operating costs'!$B$47/(1-'Operating costs'!$B$44)/'Replacement plan'!$L$48*60,0)</f>
        <v>0</v>
      </c>
      <c r="AD171" s="1" t="str">
        <f>'Replacement plan'!$B$48</f>
        <v>ChengLong L2EV</v>
      </c>
      <c r="AE171" s="1">
        <f>IF(C171=0,0,VLOOKUP($A171,'Fleet register'!$A$7:$S$106,8,FALSE))</f>
        <v>0</v>
      </c>
      <c r="AF171" s="1" t="str">
        <f>IF('Replacement plan'!$H$48="","n.a.",'Replacement plan'!$H$48)</f>
        <v>n.a.</v>
      </c>
      <c r="AG171" s="1">
        <f>'Replacement plan'!$J$48</f>
        <v>22</v>
      </c>
      <c r="AH171" s="1">
        <f>IFERROR(IF(D171="EV",IF('Replacement plan'!$K$48="AC",IF(ISNUMBER(INDEX(Products!$G$7:$G$13,MATCH('Replacement plan'!$B$48,Products!$A$7:$A$13,0))),INDEX(Products!$G$7:$G$13,MATCH('Replacement plan'!$B$48,Products!$A$7:$A$13,0)),"n.a."),IF(ISNUMBER(INDEX(Products!$H$7:$H$13,MATCH('Replacement plan'!$B$48,Products!$A$7:$A$13,0))),INDEX(Products!$H$7:$H$13,MATCH('Replacement plan'!$B$48,Products!$A$7:$A$13,0)),"n.a.")),0),"n.a.")</f>
        <v>0</v>
      </c>
      <c r="AI171" s="1">
        <f>IF(AND(C171=1,D171="EV",E171&lt;120),(VLOOKUP($A171,'Fleet register'!$A$7:$S$106,7,FALSE)+IF(T171&gt;0,'Operating costs'!$B$12,0))*U171*(1-'Operating costs'!$B$44)+'Operating costs'!$B$49,0)</f>
        <v>0</v>
      </c>
      <c r="AJ171" s="1">
        <f>IF(D171="EV",'Energy and charging'!$B$50,0)</f>
        <v>0</v>
      </c>
      <c r="AK171" s="17">
        <f>EDATE('Operating costs'!$B$63,E171)</f>
        <v>46298</v>
      </c>
      <c r="AL171" s="1">
        <f>IFERROR(IF(D171="EV",INDEX(Products!$B$7:$B$13,MATCH('Replacement plan'!$B$48,Products!$A$7:$A$13,0)),0),"n.a.")</f>
        <v>0</v>
      </c>
      <c r="AM171" s="1" t="str">
        <f>'Replacement plan'!$K$48</f>
        <v>DC</v>
      </c>
      <c r="AN171" s="1" t="str">
        <f>'Replacement plan'!$AE$48</f>
        <v>Assumed</v>
      </c>
      <c r="AO171" s="47">
        <f>IF(AND(C171=1,D171="EV",E171&lt;120),(R171-'Operating costs'!$B$41)*S171+W171*'Operating costs'!$B$12,0)</f>
        <v>0</v>
      </c>
      <c r="AP171" s="41">
        <f>IF(AND(C171=1,D171="EV",E171&lt;120),IF('Operating costs'!$B$68="Hong Seh 200k average",AO171*IFERROR(INDEX(Products!$P$7:$P$13,MATCH(AD171,Products!$A$7:$A$13,0)),"n.a."),'Operating costs'!$B$26),0)</f>
        <v>0</v>
      </c>
      <c r="AQ171" s="40" t="str">
        <f>IF(D171="EV",'Operating costs'!$B$68,"Not applicable")</f>
        <v>Not applicable</v>
      </c>
    </row>
    <row r="172" spans="1:43" ht="24" customHeight="1">
      <c r="A172" s="1" t="str">
        <f>'Replacement plan'!A48</f>
        <v>T042</v>
      </c>
      <c r="B172" s="1">
        <v>1</v>
      </c>
      <c r="C172" s="1">
        <f>IF(COUNTIFS('Fleet register'!$A$7:$A$106,$A172)=1,VLOOKUP($A172,'Fleet register'!$A$7:$S$106,2,FALSE),0)</f>
        <v>0</v>
      </c>
      <c r="D172" s="1" t="str">
        <f>IF("New ICE"="EV","EV","ICE")</f>
        <v>ICE</v>
      </c>
      <c r="E172" s="1">
        <f>IF(C172=0,0,0)</f>
        <v>0</v>
      </c>
      <c r="F172" s="16">
        <f>IF(C172=0,0,VLOOKUP($A172,'Fleet register'!$A$7:$S$106,11,FALSE))</f>
        <v>0</v>
      </c>
      <c r="G172" s="16">
        <f>IFERROR(IF(C172=0,0,IF(E172=120,0,IF(D172="ICE",'Replacement plan'!$C$48,IF('Replacement plan'!$D$48="",INDEX(Products!$I$7:$I$13,MATCH('Replacement plan'!$B$48,Products!$A$7:$A$13,0))+'Operating costs'!$B$57,'Replacement plan'!$D$48))*(1+'Operating costs'!$B$50)^(E172/12))),"n.a.")</f>
        <v>0</v>
      </c>
      <c r="H172" s="16">
        <f>IFERROR(IF(C172=0,0,IF(E172=0,F172,VLOOKUP($A172,'Fleet register'!$A$7:$S$106,12,FALSE)+VLOOKUP($A172,'Fleet register'!$A$7:$S$106,13,FALSE)*MAX(0,VLOOKUP($A172,'Fleet register'!$A$7:$S$106,10,FALSE)-E172)/VLOOKUP($A172,'Fleet register'!$A$7:$S$106,14,FALSE))),"n.a.")</f>
        <v>0</v>
      </c>
      <c r="I172" s="16">
        <f>IF(C172=0,0,IF(E172=120,0,IF('Replacement plan'!$AI$48="",'Operating costs'!$B$56,'Replacement plan'!$AI$48)))</f>
        <v>0</v>
      </c>
      <c r="J172" s="16">
        <f>IF(C172=0,0,IF(P172="Complete",((S172*(R172-'Operating costs'!$B$39))+ROUNDUP(S172*(R172-'Operating costs'!$B$39)*IF('Replacement plan'!$AG$48="",'Operating costs'!$B$7,'Replacement plan'!$AG$48)/('Operating costs'!$B$8-'Operating costs'!$B$9*IF('Replacement plan'!$AG$48="",'Operating costs'!$B$7,'Replacement plan'!$AG$48)),0)*'Operating costs'!$B$9)*IF('Replacement plan'!$AG$48="",'Operating costs'!$B$7,'Replacement plan'!$AG$48)*('Energy and charging'!$B$9*'Energy and charging'!$B$7+(1-'Energy and charging'!$B$9)*'Energy and charging'!$B$8)*'Operating costs'!$B$23,"n.a."))</f>
        <v>0</v>
      </c>
      <c r="K172" s="16">
        <f>IF(C172=0,0,IF(P172="Complete",SUM('Operating costs'!$B$24,'Operating costs'!$B$27,'Operating costs'!$B$29,'Operating costs'!$B$31,'Operating costs'!$B$33,'Operating costs'!$B$34,'Operating costs'!$B$37,'Replacement plan'!$W$48)+'Operating costs'!$B$39*'Operating costs'!$B$42+ROUNDUP(S172*(R172-'Operating costs'!$B$39)*IF('Replacement plan'!$AG$48="",'Operating costs'!$B$7,'Replacement plan'!$AG$48)/('Operating costs'!$B$8-'Operating costs'!$B$9*IF('Replacement plan'!$AG$48="",'Operating costs'!$B$7,'Replacement plan'!$AG$48)),0)*('Operating costs'!$B$9/'Operating costs'!$B$11+'Operating costs'!$B$10/60)*'Operating costs'!$B$19*'Operating costs'!$B$21,"n.a."))</f>
        <v>0</v>
      </c>
      <c r="L172" s="16">
        <f>IF(C172=0,0,IF(P172="Complete",IF(D172="EV",X172*((1-T172)*'Energy and charging'!$B$10+T172*'Energy and charging'!$B$11)*'Operating costs'!$B$22,AA172*('Energy and charging'!$B$9*'Energy and charging'!$B$7+(1-'Energy and charging'!$B$9)*'Energy and charging'!$B$8)*'Operating costs'!$B$23),"n.a."))</f>
        <v>0</v>
      </c>
      <c r="M172" s="37">
        <f>IF(C172=0,0,IF(P172="Complete",IF(D172="ICE",SUM('Operating costs'!$B$25,'Operating costs'!$B$27,'Operating costs'!$B$29,'Operating costs'!$B$31,'Operating costs'!$B$33,'Operating costs'!$B$35,'Operating costs'!$B$37,'Replacement plan'!$X$48)+'Operating costs'!$B$40*'Operating costs'!$B$42+ROUNDUP(S172*(R172-'Operating costs'!$B$40)*IF('Replacement plan'!$AH$48="",'Operating costs'!$B$7,'Replacement plan'!$AH$48)/('Operating costs'!$B$8-'Operating costs'!$B$9*IF('Replacement plan'!$AH$48="",'Operating costs'!$B$7,'Replacement plan'!$AH$48)),0)*('Operating costs'!$B$9/'Operating costs'!$B$11+'Operating costs'!$B$10/60)*'Operating costs'!$B$19*'Operating costs'!$B$21,SUM(AP172,'Operating costs'!$B$28,'Operating costs'!$B$30,'Operating costs'!$B$32,'Operating costs'!$B$33,'Operating costs'!$B$36,'Operating costs'!$B$38,'Replacement plan'!$Y$48)+'Operating costs'!$B$41*'Operating costs'!$B$43+W172*'Operating costs'!$B$15+(T172*X172/'Replacement plan'!$L$48+W172*('Operating costs'!$B$12/'Operating costs'!$B$11+('Operating costs'!$B$13+'Operating costs'!$B$14)/60)+(R172-'Operating costs'!$B$41)*(IF(T172&lt;1,'Operating costs'!$B$16,0)+'Operating costs'!$B$17)/60)*'Operating costs'!$B$19*'Operating costs'!$B$20),"n.a."))</f>
        <v>0</v>
      </c>
      <c r="N172" s="16">
        <f>IF(AND(C172=1,D172="EV",E172&lt;120,E172+'Replacement plan'!$AA$48&lt;=120),'Replacement plan'!$Z$48,0)</f>
        <v>0</v>
      </c>
      <c r="O172" s="1">
        <f>E172+'Replacement plan'!$AA$48</f>
        <v>0</v>
      </c>
      <c r="P172" s="35" t="str">
        <f>IFERROR(IF(C172=0,"Excluded",IF(OR(COUNTIFS('Fleet register'!$A$7:$A$106,A172)&lt;&gt;1,COUNTIFS('Replacement plan'!$A$7:$A$106,A172)&lt;&gt;1),"Duplicate/missing ID",IF(NOT(AND(ISNUMBER(VLOOKUP($A172,'Fleet register'!$A$7:$S$106,5,FALSE)),ISNUMBER(VLOOKUP($A172,'Fleet register'!$A$7:$S$106,6,FALSE)),ISNUMBER(VLOOKUP($A172,'Fleet register'!$A$7:$S$106,10,FALSE)),ISNUMBER(VLOOKUP($A172,'Fleet register'!$A$7:$S$106,11,FALSE)),ISNUMBER(VLOOKUP($A172,'Fleet register'!$A$7:$S$106,12,FALSE)),ISNUMBER(VLOOKUP($A172,'Fleet register'!$A$7:$S$106,13,FALSE)),ISNUMBER(VLOOKUP($A172,'Fleet register'!$A$7:$S$106,14,FALSE)),VLOOKUP($A172,'Fleet register'!$A$7:$S$106,14,FALSE)&gt;0,ISNUMBER('Replacement plan'!$C$48),OR(E172=120,OR(ISNUMBER('Replacement plan'!$AI$48),AND('Replacement plan'!$AI$48="",ISNUMBER('Operating costs'!$B$56)))),ISNUMBER(E172))),"Missing vehicle input",IF(OR(E172&lt;0,E172&gt;VLOOKUP($A172,'Fleet register'!$A$7:$S$106,10,FALSE),E172&gt;120,E172&lt;&gt;INT(E172),VLOOKUP($A172,'Fleet register'!$A$7:$S$106,6,FALSE)&lt;=0,VLOOKUP($A172,'Fleet register'!$A$7:$S$106,6,FALSE)&gt;366,VLOOKUP($A172,'Fleet register'!$A$7:$S$106,5,FALSE)&lt;0,VLOOKUP($A172,'Fleet register'!$A$7:$S$106,11,FALSE)&lt;0,I172&lt;0,'Operating costs'!$B$8&lt;='Operating costs'!$B$7*'Operating costs'!$B$9,'Operating costs'!$B$11&lt;=0,'Operating costs'!$B$39&gt;R172,'Operating costs'!$B$40&gt;R172,'Operating costs'!$B$41&gt;R172,NOT(OR("New ICE"="Keep ICE","New ICE"="New ICE","New ICE"="EV"))),"Invalid vehicle input",IF(AND(D172="EV",E172&lt;120,OR(NOT(ISNUMBER(U172)),NOT(ISNUMBER(V172)),V172&lt;=0,T172&lt;0,T172&gt;1,'Replacement plan'!$L$48&lt;=0,'Operating costs'!$B$44&lt;0,'Operating costs'!$B$44&gt;=1,'Operating costs'!$B$47&lt;=0,'Operating costs'!$B$47&gt;1,V172*'Operating costs'!$B$47/(1-'Operating costs'!$B$44)&lt;=T172*'Operating costs'!$B$12*U172,AND('Replacement plan'!$Z$48&gt;0,OR('Replacement plan'!$AB$48&lt;&gt;"Yes",'Operating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charging'!$B$8&gt;=0))),ISNUMBER(VLOOKUP($A172,'Fleet register'!$A$7:$S$106,15,FALSE)),ISNUMBER(VLOOKUP($A172,'Fleet register'!$A$7:$S$106,16,FALSE)),ISNUMBER('Replacement plan'!$W$48),ISNUMBER('Replacement plan'!$X$48),OR(E172=120,AND(ISNUMBER(G172),G172&gt;=0)),ISNUMBER(H172),H172&gt;=0,OR(D172&lt;&gt;"EV",E172=120,AND(ISNUMBER('Operating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average",ISNUMBER(IFERROR(INDEX(Products!$P$7:$P$13,MATCH(AD172,Products!$A$7:$A$13,0)),"")))),ISNUMBER('Operating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plan'!$Y$48),ISNUMBER('Replacement plan'!$Z$48),'Replacement plan'!$Z$48&gt;=0,ISNUMBER('Replacement plan'!$AA$48),'Replacement plan'!$AA$48&gt;=0,'Replacement plan'!$AA$48=INT('Replacement plan'!$AA$48),ISNUMBER('Replacement plan'!$L$48))),'Operating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plan'!$AG$48="",'Operating costs'!$B$7,'Replacement plan'!$AG$48)),IF('Replacement plan'!$AG$48="",'Operating costs'!$B$7,'Replacement plan'!$AG$48)&gt;=0,ISNUMBER(IF('Replacement plan'!$AH$48="",'Operating costs'!$B$7,'Replacement plan'!$AH$48)),IF('Replacement plan'!$AH$48="",'Operating costs'!$B$7,'Replacement plan'!$AH$48)&gt;=0,'Operating costs'!$B$8&gt;MAX(IF('Replacement plan'!$AG$48="",'Operating costs'!$B$7,'Replacement plan'!$AG$48),IF('Replacement plan'!$AH$48="",'Operating costs'!$B$7,'Replacement plan'!$AH$48))*'Operating costs'!$B$9),IF(AND(VLOOKUP($A172,'Fleet register'!$A$7:$S$106,10,FALSE)&gt;=0,VLOOKUP($A172,'Fleet register'!$A$7:$S$106,10,FALSE)&lt;=120,VLOOKUP($A172,'Fleet register'!$A$7:$S$106,10,FALSE)=INT(VLOOKUP($A172,'Fleet register'!$A$7:$S$106,10,FALSE)),VLOOKUP($A172,'Fleet register'!$A$7:$S$106,15,FALSE)&gt;=0,VLOOKUP($A172,'Fleet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costs'!$B$67)&gt;=0,OR(D172&lt;&gt;"EV",E172=120,AND(MIN('Operating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72" s="1" t="str">
        <f>IF(C172=0,"Excluded",IF(P172&lt;&gt;"Complete",P172,IF(OR('Replacement plan'!$AD$48&lt;120-E172,AND(D172="EV",E172&lt;120,OR('Replacement plan'!$AC$48&lt;120-E172,'Replacement plan'!$I$48="No",AND(ISNUMBER(AF172),AE172&gt;AF172),AI172&gt;V172*(1-'Operating costs'!$B$46)^MAX(0,AB172-1)*(1-'Operating costs'!$B$45),AC172&gt;'Operating costs'!$B$18,AND(T172&lt;1,OR(AG172&lt;=0,AND(ISNUMBER(AH172),AG172&gt;AH172))),'Replacement plan'!$L$48&gt;INDEX(Products!$H$7:$H$13,MATCH('Replacement plan'!$B$48,Products!$A$7:$A$13,0))))),"Fails entered limits",IF(AND(D172="EV",E172&lt;120,OR(NOT(ISNUMBER(VLOOKUP($A172,'Fleet register'!$A$7:$S$106,7,FALSE))),NOT(ISNUMBER(VLOOKUP($A172,'Fleet register'!$A$7:$S$106,8,FALSE))),NOT(ISNUMBER(AF172)),'Replacement plan'!$I$48&lt;&gt;"Yes",NOT(ISNUMBER(AH172)),'Operating costs'!$B$59&lt;&gt;"Yes",'Operating costs'!$B$58&lt;&gt;"Yes")),"Unverified","Within entered limits"))))</f>
        <v>Excluded</v>
      </c>
      <c r="R172" s="1">
        <f>IF(C172=0,0,VLOOKUP($A172,'Fleet register'!$A$7:$S$106,6,FALSE))</f>
        <v>0</v>
      </c>
      <c r="S172" s="1">
        <f>IF(C172=0,0,VLOOKUP($A172,'Fleet register'!$A$7:$S$106,5,FALSE))</f>
        <v>0</v>
      </c>
      <c r="T172" s="1">
        <f>IF(D172="EV",'Energy and charging'!$B$12,0)</f>
        <v>0</v>
      </c>
      <c r="U172" s="1">
        <f>IFERROR(IF(C172=0,0,IF(D172="EV",IF('Replacement plan'!$F$48="",INDEX(Products!$E$7:$E$13,MATCH('Replacement plan'!$B$48,Products!$A$7:$A$13,0)),'Replacement plan'!$F$48)/IF('Replacement plan'!$G$48="Battery",1-'Operating costs'!$B$44,1),0)),"n.a.")</f>
        <v>0</v>
      </c>
      <c r="V172" s="1">
        <f>IFERROR(IF(C172=0,0,IF(D172="EV",IF('Replacement plan'!$E$48="",INDEX(Products!$D$7:$D$13,MATCH('Replacement plan'!$B$48,Products!$A$7:$A$13,0)),'Replacement plan'!$E$48),0)),"n.a.")</f>
        <v>0</v>
      </c>
      <c r="W172" s="1">
        <f>IF(C172=0,0,IF(AND(P172="Complete",D172="EV",E172&lt;120),IF(T172=0,0,ROUNDUP(T172*(R172-'Operating costs'!$B$41)*(S172*U172+'Operating costs'!$B$48/(1-'Operating costs'!$B$44))/(V172*'Operating costs'!$B$47/(1-'Operating costs'!$B$44)-T172*'Operating costs'!$B$12*U172),0)),0))</f>
        <v>0</v>
      </c>
      <c r="X172" s="1">
        <f>IF(C172=0,0,IF(AND(P172="Complete",D172="EV",E172&lt;120),(R172-'Operating costs'!$B$41)*(S172*U172+'Operating costs'!$B$48/(1-'Operating costs'!$B$44))+W172*'Operating costs'!$B$12*U172,0))</f>
        <v>0</v>
      </c>
      <c r="Y172" s="1">
        <f>IF(AND(C172=1,D172="EV",E172&lt;120),AI172/(1-'Operating costs'!$B$44)*(1-T172),0)</f>
        <v>0</v>
      </c>
      <c r="Z172" s="1">
        <f t="shared" si="4"/>
        <v>0</v>
      </c>
      <c r="AA172" s="1">
        <f>IF(C172=0,0,IF(P172="Complete",((S172*(R172-'Operating costs'!$B$40))+ROUNDUP(S172*(R172-'Operating costs'!$B$40)*IF('Replacement plan'!$AH$48="",'Operating costs'!$B$7,'Replacement plan'!$AH$48)/('Operating costs'!$B$8-'Operating costs'!$B$9*IF('Replacement plan'!$AH$48="",'Operating costs'!$B$7,'Replacement plan'!$AH$48)),0)*'Operating costs'!$B$9)*IF('Replacement plan'!$AH$48="",'Operating costs'!$B$7,'Replacement plan'!$AH$48),"n.a."))</f>
        <v>0</v>
      </c>
      <c r="AB172" s="1">
        <f t="shared" si="5"/>
        <v>0</v>
      </c>
      <c r="AC172" s="1">
        <f>IF(AND(C172=1,D172="EV",E172&lt;120,T172&gt;0),'Operating costs'!$B$12/'Operating costs'!$B$11*60+'Operating costs'!$B$13+'Operating costs'!$B$14+V172*'Operating costs'!$B$47/(1-'Operating costs'!$B$44)/'Replacement plan'!$L$48*60,0)</f>
        <v>0</v>
      </c>
      <c r="AD172" s="1" t="str">
        <f>'Replacement plan'!$B$48</f>
        <v>ChengLong L2EV</v>
      </c>
      <c r="AE172" s="1">
        <f>IF(C172=0,0,VLOOKUP($A172,'Fleet register'!$A$7:$S$106,8,FALSE))</f>
        <v>0</v>
      </c>
      <c r="AF172" s="1" t="str">
        <f>IF('Replacement plan'!$H$48="","n.a.",'Replacement plan'!$H$48)</f>
        <v>n.a.</v>
      </c>
      <c r="AG172" s="1">
        <f>'Replacement plan'!$J$48</f>
        <v>22</v>
      </c>
      <c r="AH172" s="1">
        <f>IFERROR(IF(D172="EV",IF('Replacement plan'!$K$48="AC",IF(ISNUMBER(INDEX(Products!$G$7:$G$13,MATCH('Replacement plan'!$B$48,Products!$A$7:$A$13,0))),INDEX(Products!$G$7:$G$13,MATCH('Replacement plan'!$B$48,Products!$A$7:$A$13,0)),"n.a."),IF(ISNUMBER(INDEX(Products!$H$7:$H$13,MATCH('Replacement plan'!$B$48,Products!$A$7:$A$13,0))),INDEX(Products!$H$7:$H$13,MATCH('Replacement plan'!$B$48,Products!$A$7:$A$13,0)),"n.a.")),0),"n.a.")</f>
        <v>0</v>
      </c>
      <c r="AI172" s="1">
        <f>IF(AND(C172=1,D172="EV",E172&lt;120),(VLOOKUP($A172,'Fleet register'!$A$7:$S$106,7,FALSE)+IF(T172&gt;0,'Operating costs'!$B$12,0))*U172*(1-'Operating costs'!$B$44)+'Operating costs'!$B$49,0)</f>
        <v>0</v>
      </c>
      <c r="AJ172" s="1">
        <f>IF(D172="EV",'Energy and charging'!$B$50,0)</f>
        <v>0</v>
      </c>
      <c r="AK172" s="17">
        <f>EDATE('Operating costs'!$B$63,E172)</f>
        <v>46298</v>
      </c>
      <c r="AL172" s="1">
        <f>IFERROR(IF(D172="EV",INDEX(Products!$B$7:$B$13,MATCH('Replacement plan'!$B$48,Products!$A$7:$A$13,0)),0),"n.a.")</f>
        <v>0</v>
      </c>
      <c r="AM172" s="1" t="str">
        <f>'Replacement plan'!$K$48</f>
        <v>DC</v>
      </c>
      <c r="AN172" s="1" t="str">
        <f>'Replacement plan'!$AE$48</f>
        <v>Assumed</v>
      </c>
      <c r="AO172" s="47">
        <f>IF(AND(C172=1,D172="EV",E172&lt;120),(R172-'Operating costs'!$B$41)*S172+W172*'Operating costs'!$B$12,0)</f>
        <v>0</v>
      </c>
      <c r="AP172" s="41">
        <f>IF(AND(C172=1,D172="EV",E172&lt;120),IF('Operating costs'!$B$68="Hong Seh 200k average",AO172*IFERROR(INDEX(Products!$P$7:$P$13,MATCH(AD172,Products!$A$7:$A$13,0)),"n.a."),'Operating costs'!$B$26),0)</f>
        <v>0</v>
      </c>
      <c r="AQ172" s="40" t="str">
        <f>IF(D172="EV",'Operating costs'!$B$68,"Not applicable")</f>
        <v>Not applicable</v>
      </c>
    </row>
    <row r="173" spans="1:43" ht="24" customHeight="1">
      <c r="A173" s="1" t="str">
        <f>'Replacement plan'!A48</f>
        <v>T042</v>
      </c>
      <c r="B173" s="1">
        <v>2</v>
      </c>
      <c r="C173" s="1">
        <f>IF(COUNTIFS('Fleet register'!$A$7:$A$106,$A173)=1,VLOOKUP($A173,'Fleet register'!$A$7:$S$106,2,FALSE),0)</f>
        <v>0</v>
      </c>
      <c r="D173" s="1" t="str">
        <f>IF('Replacement plan'!$O$48="EV","EV","ICE")</f>
        <v>ICE</v>
      </c>
      <c r="E173" s="1">
        <f>IF(C173=0,0,IF('Replacement plan'!$P$48="",IF('Replacement plan'!$O$48="Keep ICE",IF('Replacement plan'!$M$48="",VLOOKUP($A173,'Fleet register'!$A$7:$S$106,10,FALSE),'Replacement plan'!$M$48),0),'Replacement plan'!$P$48))</f>
        <v>0</v>
      </c>
      <c r="F173" s="16">
        <f>IF(C173=0,0,VLOOKUP($A173,'Fleet register'!$A$7:$S$106,11,FALSE))</f>
        <v>0</v>
      </c>
      <c r="G173" s="16">
        <f>IFERROR(IF(C173=0,0,IF(E173=120,0,IF(D173="ICE",'Replacement plan'!$C$48,IF('Replacement plan'!$D$48="",INDEX(Products!$I$7:$I$13,MATCH('Replacement plan'!$B$48,Products!$A$7:$A$13,0))+'Operating costs'!$B$57,'Replacement plan'!$D$48))*(1+'Operating costs'!$B$50)^(E173/12))),"n.a.")</f>
        <v>0</v>
      </c>
      <c r="H173" s="16">
        <f>IFERROR(IF(C173=0,0,IF('Replacement plan'!$U$48&lt;&gt;"",'Replacement plan'!$U$48,IF(E173=0,F173,VLOOKUP($A173,'Fleet register'!$A$7:$S$106,12,FALSE)+VLOOKUP($A173,'Fleet register'!$A$7:$S$106,13,FALSE)*MAX(0,VLOOKUP($A173,'Fleet register'!$A$7:$S$106,10,FALSE)-E173)/VLOOKUP($A173,'Fleet register'!$A$7:$S$106,14,FALSE)))),"n.a.")</f>
        <v>0</v>
      </c>
      <c r="I173" s="16">
        <f>IF(C173=0,0,IF(E173=120,0,'Replacement plan'!$Q$48))</f>
        <v>0</v>
      </c>
      <c r="J173" s="16">
        <f>IF(C173=0,0,IF(P173="Complete",((S173*(R173-'Operating costs'!$B$39))+ROUNDUP(S173*(R173-'Operating costs'!$B$39)*IF('Replacement plan'!$AG$48="",'Operating costs'!$B$7,'Replacement plan'!$AG$48)/('Operating costs'!$B$8-'Operating costs'!$B$9*IF('Replacement plan'!$AG$48="",'Operating costs'!$B$7,'Replacement plan'!$AG$48)),0)*'Operating costs'!$B$9)*IF('Replacement plan'!$AG$48="",'Operating costs'!$B$7,'Replacement plan'!$AG$48)*('Energy and charging'!$B$9*'Energy and charging'!$B$7+(1-'Energy and charging'!$B$9)*'Energy and charging'!$B$8)*'Operating costs'!$B$23,"n.a."))</f>
        <v>0</v>
      </c>
      <c r="K173" s="16">
        <f>IF(C173=0,0,IF(P173="Complete",SUM('Operating costs'!$B$24,'Operating costs'!$B$27,'Operating costs'!$B$29,'Operating costs'!$B$31,'Operating costs'!$B$33,'Operating costs'!$B$34,'Operating costs'!$B$37,'Replacement plan'!$W$48)+'Operating costs'!$B$39*'Operating costs'!$B$42+ROUNDUP(S173*(R173-'Operating costs'!$B$39)*IF('Replacement plan'!$AG$48="",'Operating costs'!$B$7,'Replacement plan'!$AG$48)/('Operating costs'!$B$8-'Operating costs'!$B$9*IF('Replacement plan'!$AG$48="",'Operating costs'!$B$7,'Replacement plan'!$AG$48)),0)*('Operating costs'!$B$9/'Operating costs'!$B$11+'Operating costs'!$B$10/60)*'Operating costs'!$B$19*'Operating costs'!$B$21,"n.a."))</f>
        <v>0</v>
      </c>
      <c r="L173" s="16">
        <f>IF(C173=0,0,IF(P173="Complete",IF(D173="EV",X173*((1-T173)*'Energy and charging'!$B$10+T173*'Energy and charging'!$B$11)*'Operating costs'!$B$22,AA173*('Energy and charging'!$B$9*'Energy and charging'!$B$7+(1-'Energy and charging'!$B$9)*'Energy and charging'!$B$8)*'Operating costs'!$B$23),"n.a."))</f>
        <v>0</v>
      </c>
      <c r="M173" s="37">
        <f>IF(C173=0,0,IF(P173="Complete",IF(D173="ICE",SUM('Operating costs'!$B$25,'Operating costs'!$B$27,'Operating costs'!$B$29,'Operating costs'!$B$31,'Operating costs'!$B$33,'Operating costs'!$B$35,'Operating costs'!$B$37,'Replacement plan'!$X$48)+'Operating costs'!$B$40*'Operating costs'!$B$42+ROUNDUP(S173*(R173-'Operating costs'!$B$40)*IF('Replacement plan'!$AH$48="",'Operating costs'!$B$7,'Replacement plan'!$AH$48)/('Operating costs'!$B$8-'Operating costs'!$B$9*IF('Replacement plan'!$AH$48="",'Operating costs'!$B$7,'Replacement plan'!$AH$48)),0)*('Operating costs'!$B$9/'Operating costs'!$B$11+'Operating costs'!$B$10/60)*'Operating costs'!$B$19*'Operating costs'!$B$21,SUM(AP173,'Operating costs'!$B$28,'Operating costs'!$B$30,'Operating costs'!$B$32,'Operating costs'!$B$33,'Operating costs'!$B$36,'Operating costs'!$B$38,'Replacement plan'!$Y$48)+'Operating costs'!$B$41*'Operating costs'!$B$43+W173*'Operating costs'!$B$15+(T173*X173/'Replacement plan'!$L$48+W173*('Operating costs'!$B$12/'Operating costs'!$B$11+('Operating costs'!$B$13+'Operating costs'!$B$14)/60)+(R173-'Operating costs'!$B$41)*(IF(T173&lt;1,'Operating costs'!$B$16,0)+'Operating costs'!$B$17)/60)*'Operating costs'!$B$19*'Operating costs'!$B$20),"n.a."))</f>
        <v>0</v>
      </c>
      <c r="N173" s="16">
        <f>IF(AND(C173=1,D173="EV",E173&lt;120,E173+'Replacement plan'!$AA$48&lt;=120),'Replacement plan'!$Z$48,0)</f>
        <v>0</v>
      </c>
      <c r="O173" s="1">
        <f>E173+'Replacement plan'!$AA$48</f>
        <v>0</v>
      </c>
      <c r="P173" s="35" t="str">
        <f>IFERROR(IF(C173=0,"Excluded",IF(OR(COUNTIFS('Fleet register'!$A$7:$A$106,A173)&lt;&gt;1,COUNTIFS('Replacement plan'!$A$7:$A$106,A173)&lt;&gt;1),"Duplicate/missing ID",IF(NOT(AND(ISNUMBER(VLOOKUP($A173,'Fleet register'!$A$7:$S$106,5,FALSE)),ISNUMBER(VLOOKUP($A173,'Fleet register'!$A$7:$S$106,6,FALSE)),ISNUMBER(VLOOKUP($A173,'Fleet register'!$A$7:$S$106,10,FALSE)),ISNUMBER(VLOOKUP($A173,'Fleet register'!$A$7:$S$106,11,FALSE)),ISNUMBER(VLOOKUP($A173,'Fleet register'!$A$7:$S$106,12,FALSE)),ISNUMBER(VLOOKUP($A173,'Fleet register'!$A$7:$S$106,13,FALSE)),ISNUMBER(VLOOKUP($A173,'Fleet register'!$A$7:$S$106,14,FALSE)),VLOOKUP($A173,'Fleet register'!$A$7:$S$106,14,FALSE)&gt;0,ISNUMBER('Replacement plan'!$C$48),OR(E173=120,ISNUMBER('Replacement plan'!$Q$48)),ISNUMBER(E173))),"Missing vehicle input",IF(OR(E173&lt;0,E173&gt;VLOOKUP($A173,'Fleet register'!$A$7:$S$106,10,FALSE),E173&gt;120,E173&lt;&gt;INT(E173),VLOOKUP($A173,'Fleet register'!$A$7:$S$106,6,FALSE)&lt;=0,VLOOKUP($A173,'Fleet register'!$A$7:$S$106,6,FALSE)&gt;366,VLOOKUP($A173,'Fleet register'!$A$7:$S$106,5,FALSE)&lt;0,VLOOKUP($A173,'Fleet register'!$A$7:$S$106,11,FALSE)&lt;0,I173&lt;0,'Operating costs'!$B$8&lt;='Operating costs'!$B$7*'Operating costs'!$B$9,'Operating costs'!$B$11&lt;=0,'Operating costs'!$B$39&gt;R173,'Operating costs'!$B$40&gt;R173,'Operating costs'!$B$41&gt;R173,NOT(OR('Replacement plan'!$O$48="Keep ICE",'Replacement plan'!$O$48="New ICE",'Replacement plan'!$O$48="EV"))),"Invalid vehicle input",IF(AND(D173="EV",E173&lt;120,OR(NOT(ISNUMBER(U173)),NOT(ISNUMBER(V173)),V173&lt;=0,T173&lt;0,T173&gt;1,'Replacement plan'!$L$48&lt;=0,'Operating costs'!$B$44&lt;0,'Operating costs'!$B$44&gt;=1,'Operating costs'!$B$47&lt;=0,'Operating costs'!$B$47&gt;1,V173*'Operating costs'!$B$47/(1-'Operating costs'!$B$44)&lt;=T173*'Operating costs'!$B$12*U173,AND('Replacement plan'!$Z$48&gt;0,OR('Replacement plan'!$AB$48&lt;&gt;"Yes",'Operating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charging'!$B$8&gt;=0))),ISNUMBER(VLOOKUP($A173,'Fleet register'!$A$7:$S$106,15,FALSE)),ISNUMBER(VLOOKUP($A173,'Fleet register'!$A$7:$S$106,16,FALSE)),ISNUMBER('Replacement plan'!$W$48),ISNUMBER('Replacement plan'!$X$48),OR(E173=120,AND(ISNUMBER(G173),G173&gt;=0)),ISNUMBER(H173),H173&gt;=0,OR(D173&lt;&gt;"EV",E173=120,AND(ISNUMBER('Operating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average",ISNUMBER(IFERROR(INDEX(Products!$P$7:$P$13,MATCH(AD173,Products!$A$7:$A$13,0)),"")))),ISNUMBER('Operating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plan'!$Y$48),ISNUMBER('Replacement plan'!$Z$48),'Replacement plan'!$Z$48&gt;=0,ISNUMBER('Replacement plan'!$AA$48),'Replacement plan'!$AA$48&gt;=0,'Replacement plan'!$AA$48=INT('Replacement plan'!$AA$48),ISNUMBER('Replacement plan'!$L$48))),'Operating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plan'!$AG$48="",'Operating costs'!$B$7,'Replacement plan'!$AG$48)),IF('Replacement plan'!$AG$48="",'Operating costs'!$B$7,'Replacement plan'!$AG$48)&gt;=0,ISNUMBER(IF('Replacement plan'!$AH$48="",'Operating costs'!$B$7,'Replacement plan'!$AH$48)),IF('Replacement plan'!$AH$48="",'Operating costs'!$B$7,'Replacement plan'!$AH$48)&gt;=0,'Operating costs'!$B$8&gt;MAX(IF('Replacement plan'!$AG$48="",'Operating costs'!$B$7,'Replacement plan'!$AG$48),IF('Replacement plan'!$AH$48="",'Operating costs'!$B$7,'Replacement plan'!$AH$48))*'Operating costs'!$B$9),IF(AND(VLOOKUP($A173,'Fleet register'!$A$7:$S$106,10,FALSE)&gt;=0,VLOOKUP($A173,'Fleet register'!$A$7:$S$106,10,FALSE)&lt;=120,VLOOKUP($A173,'Fleet register'!$A$7:$S$106,10,FALSE)=INT(VLOOKUP($A173,'Fleet register'!$A$7:$S$106,10,FALSE)),VLOOKUP($A173,'Fleet register'!$A$7:$S$106,15,FALSE)&gt;=0,VLOOKUP($A173,'Fleet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costs'!$B$67)&gt;=0,OR(D173&lt;&gt;"EV",E173=120,AND(MIN('Operating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73" s="1" t="str">
        <f>IF(C173=0,"Excluded",IF(P173&lt;&gt;"Complete",P173,IF(OR('Replacement plan'!$AD$48&lt;120-E173,AND(D173="EV",E173&lt;120,OR('Replacement plan'!$AC$48&lt;120-E173,'Replacement plan'!$I$48="No",AND(ISNUMBER(AF173),AE173&gt;AF173),AI173&gt;V173*(1-'Operating costs'!$B$46)^MAX(0,AB173-1)*(1-'Operating costs'!$B$45),AC173&gt;'Operating costs'!$B$18,AND(T173&lt;1,OR(AG173&lt;=0,AND(ISNUMBER(AH173),AG173&gt;AH173))),'Replacement plan'!$L$48&gt;INDEX(Products!$H$7:$H$13,MATCH('Replacement plan'!$B$48,Products!$A$7:$A$13,0))))),"Fails entered limits",IF(AND(D173="EV",E173&lt;120,OR(NOT(ISNUMBER(VLOOKUP($A173,'Fleet register'!$A$7:$S$106,7,FALSE))),NOT(ISNUMBER(VLOOKUP($A173,'Fleet register'!$A$7:$S$106,8,FALSE))),NOT(ISNUMBER(AF173)),'Replacement plan'!$I$48&lt;&gt;"Yes",NOT(ISNUMBER(AH173)),'Operating costs'!$B$59&lt;&gt;"Yes",'Operating costs'!$B$58&lt;&gt;"Yes")),"Unverified","Within entered limits"))))</f>
        <v>Excluded</v>
      </c>
      <c r="R173" s="1">
        <f>IF(C173=0,0,VLOOKUP($A173,'Fleet register'!$A$7:$S$106,6,FALSE))</f>
        <v>0</v>
      </c>
      <c r="S173" s="1">
        <f>IF(C173=0,0,VLOOKUP($A173,'Fleet register'!$A$7:$S$106,5,FALSE))</f>
        <v>0</v>
      </c>
      <c r="T173" s="1">
        <f>IF(D173="EV",'Energy and charging'!$B$12,0)</f>
        <v>0</v>
      </c>
      <c r="U173" s="1">
        <f>IFERROR(IF(C173=0,0,IF(D173="EV",IF('Replacement plan'!$F$48="",INDEX(Products!$E$7:$E$13,MATCH('Replacement plan'!$B$48,Products!$A$7:$A$13,0)),'Replacement plan'!$F$48)/IF('Replacement plan'!$G$48="Battery",1-'Operating costs'!$B$44,1),0)),"n.a.")</f>
        <v>0</v>
      </c>
      <c r="V173" s="1">
        <f>IFERROR(IF(C173=0,0,IF(D173="EV",IF('Replacement plan'!$E$48="",INDEX(Products!$D$7:$D$13,MATCH('Replacement plan'!$B$48,Products!$A$7:$A$13,0)),'Replacement plan'!$E$48),0)),"n.a.")</f>
        <v>0</v>
      </c>
      <c r="W173" s="1">
        <f>IF(C173=0,0,IF(AND(P173="Complete",D173="EV",E173&lt;120),IF(T173=0,0,ROUNDUP(T173*(R173-'Operating costs'!$B$41)*(S173*U173+'Operating costs'!$B$48/(1-'Operating costs'!$B$44))/(V173*'Operating costs'!$B$47/(1-'Operating costs'!$B$44)-T173*'Operating costs'!$B$12*U173),0)),0))</f>
        <v>0</v>
      </c>
      <c r="X173" s="1">
        <f>IF(C173=0,0,IF(AND(P173="Complete",D173="EV",E173&lt;120),(R173-'Operating costs'!$B$41)*(S173*U173+'Operating costs'!$B$48/(1-'Operating costs'!$B$44))+W173*'Operating costs'!$B$12*U173,0))</f>
        <v>0</v>
      </c>
      <c r="Y173" s="1">
        <f>IF(AND(C173=1,D173="EV",E173&lt;120),AI173/(1-'Operating costs'!$B$44)*(1-T173),0)</f>
        <v>0</v>
      </c>
      <c r="Z173" s="1">
        <f t="shared" si="4"/>
        <v>0</v>
      </c>
      <c r="AA173" s="1">
        <f>IF(C173=0,0,IF(P173="Complete",((S173*(R173-'Operating costs'!$B$40))+ROUNDUP(S173*(R173-'Operating costs'!$B$40)*IF('Replacement plan'!$AH$48="",'Operating costs'!$B$7,'Replacement plan'!$AH$48)/('Operating costs'!$B$8-'Operating costs'!$B$9*IF('Replacement plan'!$AH$48="",'Operating costs'!$B$7,'Replacement plan'!$AH$48)),0)*'Operating costs'!$B$9)*IF('Replacement plan'!$AH$48="",'Operating costs'!$B$7,'Replacement plan'!$AH$48),"n.a."))</f>
        <v>0</v>
      </c>
      <c r="AB173" s="1">
        <f t="shared" si="5"/>
        <v>0</v>
      </c>
      <c r="AC173" s="1">
        <f>IF(AND(C173=1,D173="EV",E173&lt;120,T173&gt;0),'Operating costs'!$B$12/'Operating costs'!$B$11*60+'Operating costs'!$B$13+'Operating costs'!$B$14+V173*'Operating costs'!$B$47/(1-'Operating costs'!$B$44)/'Replacement plan'!$L$48*60,0)</f>
        <v>0</v>
      </c>
      <c r="AD173" s="1" t="str">
        <f>'Replacement plan'!$B$48</f>
        <v>ChengLong L2EV</v>
      </c>
      <c r="AE173" s="1">
        <f>IF(C173=0,0,VLOOKUP($A173,'Fleet register'!$A$7:$S$106,8,FALSE))</f>
        <v>0</v>
      </c>
      <c r="AF173" s="1" t="str">
        <f>IF('Replacement plan'!$H$48="","n.a.",'Replacement plan'!$H$48)</f>
        <v>n.a.</v>
      </c>
      <c r="AG173" s="1">
        <f>'Replacement plan'!$J$48</f>
        <v>22</v>
      </c>
      <c r="AH173" s="1">
        <f>IFERROR(IF(D173="EV",IF('Replacement plan'!$K$48="AC",IF(ISNUMBER(INDEX(Products!$G$7:$G$13,MATCH('Replacement plan'!$B$48,Products!$A$7:$A$13,0))),INDEX(Products!$G$7:$G$13,MATCH('Replacement plan'!$B$48,Products!$A$7:$A$13,0)),"n.a."),IF(ISNUMBER(INDEX(Products!$H$7:$H$13,MATCH('Replacement plan'!$B$48,Products!$A$7:$A$13,0))),INDEX(Products!$H$7:$H$13,MATCH('Replacement plan'!$B$48,Products!$A$7:$A$13,0)),"n.a.")),0),"n.a.")</f>
        <v>0</v>
      </c>
      <c r="AI173" s="1">
        <f>IF(AND(C173=1,D173="EV",E173&lt;120),(VLOOKUP($A173,'Fleet register'!$A$7:$S$106,7,FALSE)+IF(T173&gt;0,'Operating costs'!$B$12,0))*U173*(1-'Operating costs'!$B$44)+'Operating costs'!$B$49,0)</f>
        <v>0</v>
      </c>
      <c r="AJ173" s="1">
        <f>IF(D173="EV",'Energy and charging'!$B$50,0)</f>
        <v>0</v>
      </c>
      <c r="AK173" s="17">
        <f>EDATE('Operating costs'!$B$63,E173)</f>
        <v>46298</v>
      </c>
      <c r="AL173" s="1">
        <f>IFERROR(IF(D173="EV",INDEX(Products!$B$7:$B$13,MATCH('Replacement plan'!$B$48,Products!$A$7:$A$13,0)),0),"n.a.")</f>
        <v>0</v>
      </c>
      <c r="AM173" s="1" t="str">
        <f>'Replacement plan'!$K$48</f>
        <v>DC</v>
      </c>
      <c r="AN173" s="1" t="str">
        <f>'Replacement plan'!$AE$48</f>
        <v>Assumed</v>
      </c>
      <c r="AO173" s="47">
        <f>IF(AND(C173=1,D173="EV",E173&lt;120),(R173-'Operating costs'!$B$41)*S173+W173*'Operating costs'!$B$12,0)</f>
        <v>0</v>
      </c>
      <c r="AP173" s="41">
        <f>IF(AND(C173=1,D173="EV",E173&lt;120),IF('Operating costs'!$B$68="Hong Seh 200k average",AO173*IFERROR(INDEX(Products!$P$7:$P$13,MATCH(AD173,Products!$A$7:$A$13,0)),"n.a."),'Operating costs'!$B$26),0)</f>
        <v>0</v>
      </c>
      <c r="AQ173" s="40" t="str">
        <f>IF(D173="EV",'Operating costs'!$B$68,"Not applicable")</f>
        <v>Not applicable</v>
      </c>
    </row>
    <row r="174" spans="1:43" ht="24" customHeight="1">
      <c r="A174" s="1" t="str">
        <f>'Replacement plan'!A48</f>
        <v>T042</v>
      </c>
      <c r="B174" s="1">
        <v>3</v>
      </c>
      <c r="C174" s="1">
        <f>IF(COUNTIFS('Fleet register'!$A$7:$A$106,$A174)=1,VLOOKUP($A174,'Fleet register'!$A$7:$S$106,2,FALSE),0)</f>
        <v>0</v>
      </c>
      <c r="D174" s="1" t="str">
        <f>IF('Replacement plan'!$R$48="EV","EV","ICE")</f>
        <v>ICE</v>
      </c>
      <c r="E174" s="1">
        <f>IF(C174=0,0,IF('Replacement plan'!$S$48="",IF('Replacement plan'!$R$48="Keep ICE",IF('Replacement plan'!$M$48="",VLOOKUP($A174,'Fleet register'!$A$7:$S$106,10,FALSE),'Replacement plan'!$M$48),0),'Replacement plan'!$S$48))</f>
        <v>0</v>
      </c>
      <c r="F174" s="16">
        <f>IF(C174=0,0,VLOOKUP($A174,'Fleet register'!$A$7:$S$106,11,FALSE))</f>
        <v>0</v>
      </c>
      <c r="G174" s="16">
        <f>IFERROR(IF(C174=0,0,IF(E174=120,0,IF(D174="ICE",'Replacement plan'!$C$48,IF('Replacement plan'!$D$48="",INDEX(Products!$I$7:$I$13,MATCH('Replacement plan'!$B$48,Products!$A$7:$A$13,0))+'Operating costs'!$B$57,'Replacement plan'!$D$48))*(1+'Operating costs'!$B$50)^(E174/12))),"n.a.")</f>
        <v>0</v>
      </c>
      <c r="H174" s="16">
        <f>IFERROR(IF(C174=0,0,IF('Replacement plan'!$V$48&lt;&gt;"",'Replacement plan'!$V$48,IF(E174=0,F174,VLOOKUP($A174,'Fleet register'!$A$7:$S$106,12,FALSE)+VLOOKUP($A174,'Fleet register'!$A$7:$S$106,13,FALSE)*MAX(0,VLOOKUP($A174,'Fleet register'!$A$7:$S$106,10,FALSE)-E174)/VLOOKUP($A174,'Fleet register'!$A$7:$S$106,14,FALSE)))),"n.a.")</f>
        <v>0</v>
      </c>
      <c r="I174" s="16">
        <f>IF(C174=0,0,IF(E174=120,0,'Replacement plan'!$T$48))</f>
        <v>0</v>
      </c>
      <c r="J174" s="16">
        <f>IF(C174=0,0,IF(P174="Complete",((S174*(R174-'Operating costs'!$B$39))+ROUNDUP(S174*(R174-'Operating costs'!$B$39)*IF('Replacement plan'!$AG$48="",'Operating costs'!$B$7,'Replacement plan'!$AG$48)/('Operating costs'!$B$8-'Operating costs'!$B$9*IF('Replacement plan'!$AG$48="",'Operating costs'!$B$7,'Replacement plan'!$AG$48)),0)*'Operating costs'!$B$9)*IF('Replacement plan'!$AG$48="",'Operating costs'!$B$7,'Replacement plan'!$AG$48)*('Energy and charging'!$C$9*'Energy and charging'!$C$7+(1-'Energy and charging'!$C$9)*'Energy and charging'!$C$8)*'Operating costs'!$B$23,"n.a."))</f>
        <v>0</v>
      </c>
      <c r="K174" s="16">
        <f>IF(C174=0,0,IF(P174="Complete",SUM('Operating costs'!$B$24,'Operating costs'!$B$27,'Operating costs'!$B$29,'Operating costs'!$B$31,'Operating costs'!$B$33,'Operating costs'!$B$34,'Operating costs'!$B$37,'Replacement plan'!$W$48)+'Operating costs'!$B$39*'Operating costs'!$B$42+ROUNDUP(S174*(R174-'Operating costs'!$B$39)*IF('Replacement plan'!$AG$48="",'Operating costs'!$B$7,'Replacement plan'!$AG$48)/('Operating costs'!$B$8-'Operating costs'!$B$9*IF('Replacement plan'!$AG$48="",'Operating costs'!$B$7,'Replacement plan'!$AG$48)),0)*('Operating costs'!$B$9/'Operating costs'!$B$11+'Operating costs'!$B$10/60)*'Operating costs'!$B$19*'Operating costs'!$B$21,"n.a."))</f>
        <v>0</v>
      </c>
      <c r="L174" s="16">
        <f>IF(C174=0,0,IF(P174="Complete",IF(D174="EV",X174*((1-T174)*'Energy and charging'!$C$10+T174*'Energy and charging'!$C$11)*'Operating costs'!$B$22,AA174*('Energy and charging'!$C$9*'Energy and charging'!$C$7+(1-'Energy and charging'!$C$9)*'Energy and charging'!$C$8)*'Operating costs'!$B$23),"n.a."))</f>
        <v>0</v>
      </c>
      <c r="M174" s="37">
        <f>IF(C174=0,0,IF(P174="Complete",IF(D174="ICE",SUM('Operating costs'!$B$25,'Operating costs'!$B$27,'Operating costs'!$B$29,'Operating costs'!$B$31,'Operating costs'!$B$33,'Operating costs'!$B$35,'Operating costs'!$B$37,'Replacement plan'!$X$48)+'Operating costs'!$B$40*'Operating costs'!$B$42+ROUNDUP(S174*(R174-'Operating costs'!$B$40)*IF('Replacement plan'!$AH$48="",'Operating costs'!$B$7,'Replacement plan'!$AH$48)/('Operating costs'!$B$8-'Operating costs'!$B$9*IF('Replacement plan'!$AH$48="",'Operating costs'!$B$7,'Replacement plan'!$AH$48)),0)*('Operating costs'!$B$9/'Operating costs'!$B$11+'Operating costs'!$B$10/60)*'Operating costs'!$B$19*'Operating costs'!$B$21,SUM(AP174,'Operating costs'!$B$28,'Operating costs'!$B$30,'Operating costs'!$B$32,'Operating costs'!$B$33,'Operating costs'!$B$36,'Operating costs'!$B$38,'Replacement plan'!$Y$48)+'Operating costs'!$B$41*'Operating costs'!$B$43+W174*'Operating costs'!$B$15+(T174*X174/'Replacement plan'!$L$48+W174*('Operating costs'!$B$12/'Operating costs'!$B$11+('Operating costs'!$B$13+'Operating costs'!$B$14)/60)+(R174-'Operating costs'!$B$41)*(IF(T174&lt;1,'Operating costs'!$B$16,0)+'Operating costs'!$B$17)/60)*'Operating costs'!$B$19*'Operating costs'!$B$20),"n.a."))</f>
        <v>0</v>
      </c>
      <c r="N174" s="16">
        <f>IF(AND(C174=1,D174="EV",E174&lt;120,E174+'Replacement plan'!$AA$48&lt;=120),'Replacement plan'!$Z$48,0)</f>
        <v>0</v>
      </c>
      <c r="O174" s="1">
        <f>E174+'Replacement plan'!$AA$48</f>
        <v>0</v>
      </c>
      <c r="P174" s="35" t="str">
        <f>IFERROR(IF(C174=0,"Excluded",IF(OR(COUNTIFS('Fleet register'!$A$7:$A$106,A174)&lt;&gt;1,COUNTIFS('Replacement plan'!$A$7:$A$106,A174)&lt;&gt;1),"Duplicate/missing ID",IF(NOT(AND(ISNUMBER(VLOOKUP($A174,'Fleet register'!$A$7:$S$106,5,FALSE)),ISNUMBER(VLOOKUP($A174,'Fleet register'!$A$7:$S$106,6,FALSE)),ISNUMBER(VLOOKUP($A174,'Fleet register'!$A$7:$S$106,10,FALSE)),ISNUMBER(VLOOKUP($A174,'Fleet register'!$A$7:$S$106,11,FALSE)),ISNUMBER(VLOOKUP($A174,'Fleet register'!$A$7:$S$106,12,FALSE)),ISNUMBER(VLOOKUP($A174,'Fleet register'!$A$7:$S$106,13,FALSE)),ISNUMBER(VLOOKUP($A174,'Fleet register'!$A$7:$S$106,14,FALSE)),VLOOKUP($A174,'Fleet register'!$A$7:$S$106,14,FALSE)&gt;0,ISNUMBER('Replacement plan'!$C$48),OR(E174=120,ISNUMBER('Replacement plan'!$T$48)),ISNUMBER(E174))),"Missing vehicle input",IF(OR(E174&lt;0,E174&gt;VLOOKUP($A174,'Fleet register'!$A$7:$S$106,10,FALSE),E174&gt;120,E174&lt;&gt;INT(E174),VLOOKUP($A174,'Fleet register'!$A$7:$S$106,6,FALSE)&lt;=0,VLOOKUP($A174,'Fleet register'!$A$7:$S$106,6,FALSE)&gt;366,VLOOKUP($A174,'Fleet register'!$A$7:$S$106,5,FALSE)&lt;0,VLOOKUP($A174,'Fleet register'!$A$7:$S$106,11,FALSE)&lt;0,I174&lt;0,'Operating costs'!$B$8&lt;='Operating costs'!$B$7*'Operating costs'!$B$9,'Operating costs'!$B$11&lt;=0,'Operating costs'!$B$39&gt;R174,'Operating costs'!$B$40&gt;R174,'Operating costs'!$B$41&gt;R174,NOT(OR('Replacement plan'!$R$48="Keep ICE",'Replacement plan'!$R$48="New ICE",'Replacement plan'!$R$48="EV"))),"Invalid vehicle input",IF(AND(D174="EV",E174&lt;120,OR(NOT(ISNUMBER(U174)),NOT(ISNUMBER(V174)),V174&lt;=0,T174&lt;0,T174&gt;1,'Replacement plan'!$L$48&lt;=0,'Operating costs'!$B$44&lt;0,'Operating costs'!$B$44&gt;=1,'Operating costs'!$B$47&lt;=0,'Operating costs'!$B$47&gt;1,V174*'Operating costs'!$B$47/(1-'Operating costs'!$B$44)&lt;=T174*'Operating costs'!$B$12*U174,AND('Replacement plan'!$Z$48&gt;0,OR('Replacement plan'!$AB$48&lt;&gt;"Yes",'Operating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charging'!$C$8&gt;=0))),ISNUMBER(VLOOKUP($A174,'Fleet register'!$A$7:$S$106,15,FALSE)),ISNUMBER(VLOOKUP($A174,'Fleet register'!$A$7:$S$106,16,FALSE)),ISNUMBER('Replacement plan'!$W$48),ISNUMBER('Replacement plan'!$X$48),OR(E174=120,AND(ISNUMBER(G174),G174&gt;=0)),ISNUMBER(H174),H174&gt;=0,OR(D174&lt;&gt;"EV",E174=120,AND(ISNUMBER('Operating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average",ISNUMBER(IFERROR(INDEX(Products!$P$7:$P$13,MATCH(AD174,Products!$A$7:$A$13,0)),"")))),ISNUMBER('Operating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plan'!$Y$48),ISNUMBER('Replacement plan'!$Z$48),'Replacement plan'!$Z$48&gt;=0,ISNUMBER('Replacement plan'!$AA$48),'Replacement plan'!$AA$48&gt;=0,'Replacement plan'!$AA$48=INT('Replacement plan'!$AA$48),ISNUMBER('Replacement plan'!$L$48))),'Operating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plan'!$AG$48="",'Operating costs'!$B$7,'Replacement plan'!$AG$48)),IF('Replacement plan'!$AG$48="",'Operating costs'!$B$7,'Replacement plan'!$AG$48)&gt;=0,ISNUMBER(IF('Replacement plan'!$AH$48="",'Operating costs'!$B$7,'Replacement plan'!$AH$48)),IF('Replacement plan'!$AH$48="",'Operating costs'!$B$7,'Replacement plan'!$AH$48)&gt;=0,'Operating costs'!$B$8&gt;MAX(IF('Replacement plan'!$AG$48="",'Operating costs'!$B$7,'Replacement plan'!$AG$48),IF('Replacement plan'!$AH$48="",'Operating costs'!$B$7,'Replacement plan'!$AH$48))*'Operating costs'!$B$9),IF(AND(VLOOKUP($A174,'Fleet register'!$A$7:$S$106,10,FALSE)&gt;=0,VLOOKUP($A174,'Fleet register'!$A$7:$S$106,10,FALSE)&lt;=120,VLOOKUP($A174,'Fleet register'!$A$7:$S$106,10,FALSE)=INT(VLOOKUP($A174,'Fleet register'!$A$7:$S$106,10,FALSE)),VLOOKUP($A174,'Fleet register'!$A$7:$S$106,15,FALSE)&gt;=0,VLOOKUP($A174,'Fleet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costs'!$B$67)&gt;=0,OR(D174&lt;&gt;"EV",E174=120,AND(MIN('Operating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74" s="1" t="str">
        <f>IF(C174=0,"Excluded",IF(P174&lt;&gt;"Complete",P174,IF(OR('Replacement plan'!$AD$48&lt;120-E174,AND(D174="EV",E174&lt;120,OR('Replacement plan'!$AC$48&lt;120-E174,'Replacement plan'!$I$48="No",AND(ISNUMBER(AF174),AE174&gt;AF174),AI174&gt;V174*(1-'Operating costs'!$B$46)^MAX(0,AB174-1)*(1-'Operating costs'!$B$45),AC174&gt;'Operating costs'!$B$18,AND(T174&lt;1,OR(AG174&lt;=0,AND(ISNUMBER(AH174),AG174&gt;AH174))),'Replacement plan'!$L$48&gt;INDEX(Products!$H$7:$H$13,MATCH('Replacement plan'!$B$48,Products!$A$7:$A$13,0))))),"Fails entered limits",IF(AND(D174="EV",E174&lt;120,OR(NOT(ISNUMBER(VLOOKUP($A174,'Fleet register'!$A$7:$S$106,7,FALSE))),NOT(ISNUMBER(VLOOKUP($A174,'Fleet register'!$A$7:$S$106,8,FALSE))),NOT(ISNUMBER(AF174)),'Replacement plan'!$I$48&lt;&gt;"Yes",NOT(ISNUMBER(AH174)),'Operating costs'!$B$59&lt;&gt;"Yes",'Operating costs'!$B$58&lt;&gt;"Yes")),"Unverified","Within entered limits"))))</f>
        <v>Excluded</v>
      </c>
      <c r="R174" s="1">
        <f>IF(C174=0,0,VLOOKUP($A174,'Fleet register'!$A$7:$S$106,6,FALSE))</f>
        <v>0</v>
      </c>
      <c r="S174" s="1">
        <f>IF(C174=0,0,VLOOKUP($A174,'Fleet register'!$A$7:$S$106,5,FALSE))</f>
        <v>0</v>
      </c>
      <c r="T174" s="1">
        <f>IF(D174="EV",'Energy and charging'!$C$12,0)</f>
        <v>0</v>
      </c>
      <c r="U174" s="1">
        <f>IFERROR(IF(C174=0,0,IF(D174="EV",IF('Replacement plan'!$F$48="",INDEX(Products!$E$7:$E$13,MATCH('Replacement plan'!$B$48,Products!$A$7:$A$13,0)),'Replacement plan'!$F$48)/IF('Replacement plan'!$G$48="Battery",1-'Operating costs'!$B$44,1),0)),"n.a.")</f>
        <v>0</v>
      </c>
      <c r="V174" s="1">
        <f>IFERROR(IF(C174=0,0,IF(D174="EV",IF('Replacement plan'!$E$48="",INDEX(Products!$D$7:$D$13,MATCH('Replacement plan'!$B$48,Products!$A$7:$A$13,0)),'Replacement plan'!$E$48),0)),"n.a.")</f>
        <v>0</v>
      </c>
      <c r="W174" s="1">
        <f>IF(C174=0,0,IF(AND(P174="Complete",D174="EV",E174&lt;120),IF(T174=0,0,ROUNDUP(T174*(R174-'Operating costs'!$B$41)*(S174*U174+'Operating costs'!$B$48/(1-'Operating costs'!$B$44))/(V174*'Operating costs'!$B$47/(1-'Operating costs'!$B$44)-T174*'Operating costs'!$B$12*U174),0)),0))</f>
        <v>0</v>
      </c>
      <c r="X174" s="1">
        <f>IF(C174=0,0,IF(AND(P174="Complete",D174="EV",E174&lt;120),(R174-'Operating costs'!$B$41)*(S174*U174+'Operating costs'!$B$48/(1-'Operating costs'!$B$44))+W174*'Operating costs'!$B$12*U174,0))</f>
        <v>0</v>
      </c>
      <c r="Y174" s="1">
        <f>IF(AND(C174=1,D174="EV",E174&lt;120),AI174/(1-'Operating costs'!$B$44)*(1-T174),0)</f>
        <v>0</v>
      </c>
      <c r="Z174" s="1">
        <f t="shared" si="4"/>
        <v>0</v>
      </c>
      <c r="AA174" s="1">
        <f>IF(C174=0,0,IF(P174="Complete",((S174*(R174-'Operating costs'!$B$40))+ROUNDUP(S174*(R174-'Operating costs'!$B$40)*IF('Replacement plan'!$AH$48="",'Operating costs'!$B$7,'Replacement plan'!$AH$48)/('Operating costs'!$B$8-'Operating costs'!$B$9*IF('Replacement plan'!$AH$48="",'Operating costs'!$B$7,'Replacement plan'!$AH$48)),0)*'Operating costs'!$B$9)*IF('Replacement plan'!$AH$48="",'Operating costs'!$B$7,'Replacement plan'!$AH$48),"n.a."))</f>
        <v>0</v>
      </c>
      <c r="AB174" s="1">
        <f t="shared" si="5"/>
        <v>0</v>
      </c>
      <c r="AC174" s="1">
        <f>IF(AND(C174=1,D174="EV",E174&lt;120,T174&gt;0),'Operating costs'!$B$12/'Operating costs'!$B$11*60+'Operating costs'!$B$13+'Operating costs'!$B$14+V174*'Operating costs'!$B$47/(1-'Operating costs'!$B$44)/'Replacement plan'!$L$48*60,0)</f>
        <v>0</v>
      </c>
      <c r="AD174" s="1" t="str">
        <f>'Replacement plan'!$B$48</f>
        <v>ChengLong L2EV</v>
      </c>
      <c r="AE174" s="1">
        <f>IF(C174=0,0,VLOOKUP($A174,'Fleet register'!$A$7:$S$106,8,FALSE))</f>
        <v>0</v>
      </c>
      <c r="AF174" s="1" t="str">
        <f>IF('Replacement plan'!$H$48="","n.a.",'Replacement plan'!$H$48)</f>
        <v>n.a.</v>
      </c>
      <c r="AG174" s="1">
        <f>'Replacement plan'!$J$48</f>
        <v>22</v>
      </c>
      <c r="AH174" s="1">
        <f>IFERROR(IF(D174="EV",IF('Replacement plan'!$K$48="AC",IF(ISNUMBER(INDEX(Products!$G$7:$G$13,MATCH('Replacement plan'!$B$48,Products!$A$7:$A$13,0))),INDEX(Products!$G$7:$G$13,MATCH('Replacement plan'!$B$48,Products!$A$7:$A$13,0)),"n.a."),IF(ISNUMBER(INDEX(Products!$H$7:$H$13,MATCH('Replacement plan'!$B$48,Products!$A$7:$A$13,0))),INDEX(Products!$H$7:$H$13,MATCH('Replacement plan'!$B$48,Products!$A$7:$A$13,0)),"n.a.")),0),"n.a.")</f>
        <v>0</v>
      </c>
      <c r="AI174" s="1">
        <f>IF(AND(C174=1,D174="EV",E174&lt;120),(VLOOKUP($A174,'Fleet register'!$A$7:$S$106,7,FALSE)+IF(T174&gt;0,'Operating costs'!$B$12,0))*U174*(1-'Operating costs'!$B$44)+'Operating costs'!$B$49,0)</f>
        <v>0</v>
      </c>
      <c r="AJ174" s="1">
        <f>IF(D174="EV",'Energy and charging'!$C$50,0)</f>
        <v>0</v>
      </c>
      <c r="AK174" s="17">
        <f>EDATE('Operating costs'!$B$63,E174)</f>
        <v>46298</v>
      </c>
      <c r="AL174" s="1">
        <f>IFERROR(IF(D174="EV",INDEX(Products!$B$7:$B$13,MATCH('Replacement plan'!$B$48,Products!$A$7:$A$13,0)),0),"n.a.")</f>
        <v>0</v>
      </c>
      <c r="AM174" s="1" t="str">
        <f>'Replacement plan'!$K$48</f>
        <v>DC</v>
      </c>
      <c r="AN174" s="1" t="str">
        <f>'Replacement plan'!$AE$48</f>
        <v>Assumed</v>
      </c>
      <c r="AO174" s="47">
        <f>IF(AND(C174=1,D174="EV",E174&lt;120),(R174-'Operating costs'!$B$41)*S174+W174*'Operating costs'!$B$12,0)</f>
        <v>0</v>
      </c>
      <c r="AP174" s="41">
        <f>IF(AND(C174=1,D174="EV",E174&lt;120),IF('Operating costs'!$B$68="Hong Seh 200k average",AO174*IFERROR(INDEX(Products!$P$7:$P$13,MATCH(AD174,Products!$A$7:$A$13,0)),"n.a."),'Operating costs'!$B$26),0)</f>
        <v>0</v>
      </c>
      <c r="AQ174" s="40" t="str">
        <f>IF(D174="EV",'Operating costs'!$B$68,"Not applicable")</f>
        <v>Not applicable</v>
      </c>
    </row>
    <row r="175" spans="1:43" ht="24" customHeight="1">
      <c r="A175" s="1" t="str">
        <f>'Replacement plan'!A49</f>
        <v>T043</v>
      </c>
      <c r="B175" s="1">
        <v>0</v>
      </c>
      <c r="C175" s="1">
        <f>IF(COUNTIFS('Fleet register'!$A$7:$A$106,$A175)=1,VLOOKUP($A175,'Fleet register'!$A$7:$S$106,2,FALSE),0)</f>
        <v>0</v>
      </c>
      <c r="D175" s="1" t="str">
        <f>IF("Keep ICE"="EV","EV","ICE")</f>
        <v>ICE</v>
      </c>
      <c r="E175" s="1">
        <f>IF(C175=0,0,IF('Replacement plan'!$M$49="",VLOOKUP($A175,'Fleet register'!$A$7:$S$106,10,FALSE),'Replacement plan'!$M$49))</f>
        <v>0</v>
      </c>
      <c r="F175" s="16">
        <f>IF(C175=0,0,VLOOKUP($A175,'Fleet register'!$A$7:$S$106,11,FALSE))</f>
        <v>0</v>
      </c>
      <c r="G175" s="16">
        <f>IFERROR(IF(C175=0,0,IF(E175=120,0,IF(D175="ICE",'Replacement plan'!$C$49,IF('Replacement plan'!$D$49="",INDEX(Products!$I$7:$I$13,MATCH('Replacement plan'!$B$49,Products!$A$7:$A$13,0))+'Operating costs'!$B$57,'Replacement plan'!$D$49))*(1+'Operating costs'!$B$50)^(E175/12))),"n.a.")</f>
        <v>0</v>
      </c>
      <c r="H175" s="16">
        <f>IFERROR(IF(C175=0,0,IF(E175=0,F175,VLOOKUP($A175,'Fleet register'!$A$7:$S$106,12,FALSE)+VLOOKUP($A175,'Fleet register'!$A$7:$S$106,13,FALSE)*MAX(0,VLOOKUP($A175,'Fleet register'!$A$7:$S$106,10,FALSE)-E175)/VLOOKUP($A175,'Fleet register'!$A$7:$S$106,14,FALSE))),"n.a.")</f>
        <v>0</v>
      </c>
      <c r="I175" s="16">
        <f>IF(C175=0,0,IF(E175=120,0,'Replacement plan'!$N$49))</f>
        <v>0</v>
      </c>
      <c r="J175" s="16">
        <f>IF(C175=0,0,IF(P175="Complete",((S175*(R175-'Operating costs'!$B$39))+ROUNDUP(S175*(R175-'Operating costs'!$B$39)*IF('Replacement plan'!$AG$49="",'Operating costs'!$B$7,'Replacement plan'!$AG$49)/('Operating costs'!$B$8-'Operating costs'!$B$9*IF('Replacement plan'!$AG$49="",'Operating costs'!$B$7,'Replacement plan'!$AG$49)),0)*'Operating costs'!$B$9)*IF('Replacement plan'!$AG$49="",'Operating costs'!$B$7,'Replacement plan'!$AG$49)*('Energy and charging'!$B$9*'Energy and charging'!$B$7+(1-'Energy and charging'!$B$9)*'Energy and charging'!$B$8)*'Operating costs'!$B$23,"n.a."))</f>
        <v>0</v>
      </c>
      <c r="K175" s="16">
        <f>IF(C175=0,0,IF(P175="Complete",SUM('Operating costs'!$B$24,'Operating costs'!$B$27,'Operating costs'!$B$29,'Operating costs'!$B$31,'Operating costs'!$B$33,'Operating costs'!$B$34,'Operating costs'!$B$37,'Replacement plan'!$W$49)+'Operating costs'!$B$39*'Operating costs'!$B$42+ROUNDUP(S175*(R175-'Operating costs'!$B$39)*IF('Replacement plan'!$AG$49="",'Operating costs'!$B$7,'Replacement plan'!$AG$49)/('Operating costs'!$B$8-'Operating costs'!$B$9*IF('Replacement plan'!$AG$49="",'Operating costs'!$B$7,'Replacement plan'!$AG$49)),0)*('Operating costs'!$B$9/'Operating costs'!$B$11+'Operating costs'!$B$10/60)*'Operating costs'!$B$19*'Operating costs'!$B$21,"n.a."))</f>
        <v>0</v>
      </c>
      <c r="L175" s="16">
        <f>IF(C175=0,0,IF(P175="Complete",IF(D175="EV",X175*((1-T175)*'Energy and charging'!$B$10+T175*'Energy and charging'!$B$11)*'Operating costs'!$B$22,AA175*('Energy and charging'!$B$9*'Energy and charging'!$B$7+(1-'Energy and charging'!$B$9)*'Energy and charging'!$B$8)*'Operating costs'!$B$23),"n.a."))</f>
        <v>0</v>
      </c>
      <c r="M175" s="37">
        <f>IF(C175=0,0,IF(P175="Complete",IF(D175="ICE",SUM('Operating costs'!$B$25,'Operating costs'!$B$27,'Operating costs'!$B$29,'Operating costs'!$B$31,'Operating costs'!$B$33,'Operating costs'!$B$35,'Operating costs'!$B$37,'Replacement plan'!$X$49)+'Operating costs'!$B$40*'Operating costs'!$B$42+ROUNDUP(S175*(R175-'Operating costs'!$B$40)*IF('Replacement plan'!$AH$49="",'Operating costs'!$B$7,'Replacement plan'!$AH$49)/('Operating costs'!$B$8-'Operating costs'!$B$9*IF('Replacement plan'!$AH$49="",'Operating costs'!$B$7,'Replacement plan'!$AH$49)),0)*('Operating costs'!$B$9/'Operating costs'!$B$11+'Operating costs'!$B$10/60)*'Operating costs'!$B$19*'Operating costs'!$B$21,SUM(AP175,'Operating costs'!$B$28,'Operating costs'!$B$30,'Operating costs'!$B$32,'Operating costs'!$B$33,'Operating costs'!$B$36,'Operating costs'!$B$38,'Replacement plan'!$Y$49)+'Operating costs'!$B$41*'Operating costs'!$B$43+W175*'Operating costs'!$B$15+(T175*X175/'Replacement plan'!$L$49+W175*('Operating costs'!$B$12/'Operating costs'!$B$11+('Operating costs'!$B$13+'Operating costs'!$B$14)/60)+(R175-'Operating costs'!$B$41)*(IF(T175&lt;1,'Operating costs'!$B$16,0)+'Operating costs'!$B$17)/60)*'Operating costs'!$B$19*'Operating costs'!$B$20),"n.a."))</f>
        <v>0</v>
      </c>
      <c r="N175" s="16">
        <f>IF(AND(C175=1,D175="EV",E175&lt;120,E175+'Replacement plan'!$AA$49&lt;=120),'Replacement plan'!$Z$49,0)</f>
        <v>0</v>
      </c>
      <c r="O175" s="1">
        <f>E175+'Replacement plan'!$AA$49</f>
        <v>0</v>
      </c>
      <c r="P175" s="35" t="str">
        <f>IFERROR(IF(C175=0,"Excluded",IF(OR(COUNTIFS('Fleet register'!$A$7:$A$106,A175)&lt;&gt;1,COUNTIFS('Replacement plan'!$A$7:$A$106,A175)&lt;&gt;1),"Duplicate/missing ID",IF(NOT(AND(ISNUMBER(VLOOKUP($A175,'Fleet register'!$A$7:$S$106,5,FALSE)),ISNUMBER(VLOOKUP($A175,'Fleet register'!$A$7:$S$106,6,FALSE)),ISNUMBER(VLOOKUP($A175,'Fleet register'!$A$7:$S$106,10,FALSE)),ISNUMBER(VLOOKUP($A175,'Fleet register'!$A$7:$S$106,11,FALSE)),ISNUMBER(VLOOKUP($A175,'Fleet register'!$A$7:$S$106,12,FALSE)),ISNUMBER(VLOOKUP($A175,'Fleet register'!$A$7:$S$106,13,FALSE)),ISNUMBER(VLOOKUP($A175,'Fleet register'!$A$7:$S$106,14,FALSE)),VLOOKUP($A175,'Fleet register'!$A$7:$S$106,14,FALSE)&gt;0,ISNUMBER('Replacement plan'!$C$49),OR(E175=120,ISNUMBER('Replacement plan'!$N$49)),ISNUMBER(E175))),"Missing vehicle input",IF(OR(E175&lt;0,E175&gt;VLOOKUP($A175,'Fleet register'!$A$7:$S$106,10,FALSE),E175&gt;120,E175&lt;&gt;INT(E175),VLOOKUP($A175,'Fleet register'!$A$7:$S$106,6,FALSE)&lt;=0,VLOOKUP($A175,'Fleet register'!$A$7:$S$106,6,FALSE)&gt;366,VLOOKUP($A175,'Fleet register'!$A$7:$S$106,5,FALSE)&lt;0,VLOOKUP($A175,'Fleet register'!$A$7:$S$106,11,FALSE)&lt;0,I175&lt;0,'Operating costs'!$B$8&lt;='Operating costs'!$B$7*'Operating costs'!$B$9,'Operating costs'!$B$11&lt;=0,'Operating costs'!$B$39&gt;R175,'Operating costs'!$B$40&gt;R175,'Operating costs'!$B$41&gt;R175,NOT(OR("Keep ICE"="Keep ICE","Keep ICE"="New ICE","Keep ICE"="EV"))),"Invalid vehicle input",IF(AND(D175="EV",E175&lt;120,OR(NOT(ISNUMBER(U175)),NOT(ISNUMBER(V175)),V175&lt;=0,T175&lt;0,T175&gt;1,'Replacement plan'!$L$49&lt;=0,'Operating costs'!$B$44&lt;0,'Operating costs'!$B$44&gt;=1,'Operating costs'!$B$47&lt;=0,'Operating costs'!$B$47&gt;1,V175*'Operating costs'!$B$47/(1-'Operating costs'!$B$44)&lt;=T175*'Operating costs'!$B$12*U175,AND('Replacement plan'!$Z$49&gt;0,OR('Replacement plan'!$AB$49&lt;&gt;"Yes",'Operating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charging'!$B$8&gt;=0))),ISNUMBER(VLOOKUP($A175,'Fleet register'!$A$7:$S$106,15,FALSE)),ISNUMBER(VLOOKUP($A175,'Fleet register'!$A$7:$S$106,16,FALSE)),ISNUMBER('Replacement plan'!$W$49),ISNUMBER('Replacement plan'!$X$49),OR(E175=120,AND(ISNUMBER(G175),G175&gt;=0)),ISNUMBER(H175),H175&gt;=0,OR(D175&lt;&gt;"EV",E175=120,AND(ISNUMBER('Operating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average",ISNUMBER(IFERROR(INDEX(Products!$P$7:$P$13,MATCH(AD175,Products!$A$7:$A$13,0)),"")))),ISNUMBER('Operating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plan'!$Y$49),ISNUMBER('Replacement plan'!$Z$49),'Replacement plan'!$Z$49&gt;=0,ISNUMBER('Replacement plan'!$AA$49),'Replacement plan'!$AA$49&gt;=0,'Replacement plan'!$AA$49=INT('Replacement plan'!$AA$49),ISNUMBER('Replacement plan'!$L$49))),'Operating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plan'!$AG$49="",'Operating costs'!$B$7,'Replacement plan'!$AG$49)),IF('Replacement plan'!$AG$49="",'Operating costs'!$B$7,'Replacement plan'!$AG$49)&gt;=0,ISNUMBER(IF('Replacement plan'!$AH$49="",'Operating costs'!$B$7,'Replacement plan'!$AH$49)),IF('Replacement plan'!$AH$49="",'Operating costs'!$B$7,'Replacement plan'!$AH$49)&gt;=0,'Operating costs'!$B$8&gt;MAX(IF('Replacement plan'!$AG$49="",'Operating costs'!$B$7,'Replacement plan'!$AG$49),IF('Replacement plan'!$AH$49="",'Operating costs'!$B$7,'Replacement plan'!$AH$49))*'Operating costs'!$B$9),IF(AND(VLOOKUP($A175,'Fleet register'!$A$7:$S$106,10,FALSE)&gt;=0,VLOOKUP($A175,'Fleet register'!$A$7:$S$106,10,FALSE)&lt;=120,VLOOKUP($A175,'Fleet register'!$A$7:$S$106,10,FALSE)=INT(VLOOKUP($A175,'Fleet register'!$A$7:$S$106,10,FALSE)),VLOOKUP($A175,'Fleet register'!$A$7:$S$106,15,FALSE)&gt;=0,VLOOKUP($A175,'Fleet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costs'!$B$67)&gt;=0,OR(D175&lt;&gt;"EV",E175=120,AND(MIN('Operating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75" s="1" t="str">
        <f>IF(C175=0,"Excluded",IF(P175&lt;&gt;"Complete",P175,IF(OR('Replacement plan'!$AD$49&lt;120-E175,AND(D175="EV",E175&lt;120,OR('Replacement plan'!$AC$49&lt;120-E175,'Replacement plan'!$I$49="No",AND(ISNUMBER(AF175),AE175&gt;AF175),AI175&gt;V175*(1-'Operating costs'!$B$46)^MAX(0,AB175-1)*(1-'Operating costs'!$B$45),AC175&gt;'Operating costs'!$B$18,AND(T175&lt;1,OR(AG175&lt;=0,AND(ISNUMBER(AH175),AG175&gt;AH175))),'Replacement plan'!$L$49&gt;INDEX(Products!$H$7:$H$13,MATCH('Replacement plan'!$B$49,Products!$A$7:$A$13,0))))),"Fails entered limits",IF(AND(D175="EV",E175&lt;120,OR(NOT(ISNUMBER(VLOOKUP($A175,'Fleet register'!$A$7:$S$106,7,FALSE))),NOT(ISNUMBER(VLOOKUP($A175,'Fleet register'!$A$7:$S$106,8,FALSE))),NOT(ISNUMBER(AF175)),'Replacement plan'!$I$49&lt;&gt;"Yes",NOT(ISNUMBER(AH175)),'Operating costs'!$B$59&lt;&gt;"Yes",'Operating costs'!$B$58&lt;&gt;"Yes")),"Unverified","Within entered limits"))))</f>
        <v>Excluded</v>
      </c>
      <c r="R175" s="1">
        <f>IF(C175=0,0,VLOOKUP($A175,'Fleet register'!$A$7:$S$106,6,FALSE))</f>
        <v>0</v>
      </c>
      <c r="S175" s="1">
        <f>IF(C175=0,0,VLOOKUP($A175,'Fleet register'!$A$7:$S$106,5,FALSE))</f>
        <v>0</v>
      </c>
      <c r="T175" s="1">
        <f>IF(D175="EV",'Energy and charging'!$B$12,0)</f>
        <v>0</v>
      </c>
      <c r="U175" s="1">
        <f>IFERROR(IF(C175=0,0,IF(D175="EV",IF('Replacement plan'!$F$49="",INDEX(Products!$E$7:$E$13,MATCH('Replacement plan'!$B$49,Products!$A$7:$A$13,0)),'Replacement plan'!$F$49)/IF('Replacement plan'!$G$49="Battery",1-'Operating costs'!$B$44,1),0)),"n.a.")</f>
        <v>0</v>
      </c>
      <c r="V175" s="1">
        <f>IFERROR(IF(C175=0,0,IF(D175="EV",IF('Replacement plan'!$E$49="",INDEX(Products!$D$7:$D$13,MATCH('Replacement plan'!$B$49,Products!$A$7:$A$13,0)),'Replacement plan'!$E$49),0)),"n.a.")</f>
        <v>0</v>
      </c>
      <c r="W175" s="1">
        <f>IF(C175=0,0,IF(AND(P175="Complete",D175="EV",E175&lt;120),IF(T175=0,0,ROUNDUP(T175*(R175-'Operating costs'!$B$41)*(S175*U175+'Operating costs'!$B$48/(1-'Operating costs'!$B$44))/(V175*'Operating costs'!$B$47/(1-'Operating costs'!$B$44)-T175*'Operating costs'!$B$12*U175),0)),0))</f>
        <v>0</v>
      </c>
      <c r="X175" s="1">
        <f>IF(C175=0,0,IF(AND(P175="Complete",D175="EV",E175&lt;120),(R175-'Operating costs'!$B$41)*(S175*U175+'Operating costs'!$B$48/(1-'Operating costs'!$B$44))+W175*'Operating costs'!$B$12*U175,0))</f>
        <v>0</v>
      </c>
      <c r="Y175" s="1">
        <f>IF(AND(C175=1,D175="EV",E175&lt;120),AI175/(1-'Operating costs'!$B$44)*(1-T175),0)</f>
        <v>0</v>
      </c>
      <c r="Z175" s="1">
        <f t="shared" si="4"/>
        <v>0</v>
      </c>
      <c r="AA175" s="1">
        <f>IF(C175=0,0,IF(P175="Complete",((S175*(R175-'Operating costs'!$B$40))+ROUNDUP(S175*(R175-'Operating costs'!$B$40)*IF('Replacement plan'!$AH$49="",'Operating costs'!$B$7,'Replacement plan'!$AH$49)/('Operating costs'!$B$8-'Operating costs'!$B$9*IF('Replacement plan'!$AH$49="",'Operating costs'!$B$7,'Replacement plan'!$AH$49)),0)*'Operating costs'!$B$9)*IF('Replacement plan'!$AH$49="",'Operating costs'!$B$7,'Replacement plan'!$AH$49),"n.a."))</f>
        <v>0</v>
      </c>
      <c r="AB175" s="1">
        <f t="shared" si="5"/>
        <v>0</v>
      </c>
      <c r="AC175" s="1">
        <f>IF(AND(C175=1,D175="EV",E175&lt;120,T175&gt;0),'Operating costs'!$B$12/'Operating costs'!$B$11*60+'Operating costs'!$B$13+'Operating costs'!$B$14+V175*'Operating costs'!$B$47/(1-'Operating costs'!$B$44)/'Replacement plan'!$L$49*60,0)</f>
        <v>0</v>
      </c>
      <c r="AD175" s="1" t="str">
        <f>'Replacement plan'!$B$49</f>
        <v>ChengLong L2EV</v>
      </c>
      <c r="AE175" s="1">
        <f>IF(C175=0,0,VLOOKUP($A175,'Fleet register'!$A$7:$S$106,8,FALSE))</f>
        <v>0</v>
      </c>
      <c r="AF175" s="1" t="str">
        <f>IF('Replacement plan'!$H$49="","n.a.",'Replacement plan'!$H$49)</f>
        <v>n.a.</v>
      </c>
      <c r="AG175" s="1">
        <f>'Replacement plan'!$J$49</f>
        <v>22</v>
      </c>
      <c r="AH175" s="1">
        <f>IFERROR(IF(D175="EV",IF('Replacement plan'!$K$49="AC",IF(ISNUMBER(INDEX(Products!$G$7:$G$13,MATCH('Replacement plan'!$B$49,Products!$A$7:$A$13,0))),INDEX(Products!$G$7:$G$13,MATCH('Replacement plan'!$B$49,Products!$A$7:$A$13,0)),"n.a."),IF(ISNUMBER(INDEX(Products!$H$7:$H$13,MATCH('Replacement plan'!$B$49,Products!$A$7:$A$13,0))),INDEX(Products!$H$7:$H$13,MATCH('Replacement plan'!$B$49,Products!$A$7:$A$13,0)),"n.a.")),0),"n.a.")</f>
        <v>0</v>
      </c>
      <c r="AI175" s="1">
        <f>IF(AND(C175=1,D175="EV",E175&lt;120),(VLOOKUP($A175,'Fleet register'!$A$7:$S$106,7,FALSE)+IF(T175&gt;0,'Operating costs'!$B$12,0))*U175*(1-'Operating costs'!$B$44)+'Operating costs'!$B$49,0)</f>
        <v>0</v>
      </c>
      <c r="AJ175" s="1">
        <f>IF(D175="EV",'Energy and charging'!$B$50,0)</f>
        <v>0</v>
      </c>
      <c r="AK175" s="17">
        <f>EDATE('Operating costs'!$B$63,E175)</f>
        <v>46298</v>
      </c>
      <c r="AL175" s="1">
        <f>IFERROR(IF(D175="EV",INDEX(Products!$B$7:$B$13,MATCH('Replacement plan'!$B$49,Products!$A$7:$A$13,0)),0),"n.a.")</f>
        <v>0</v>
      </c>
      <c r="AM175" s="1" t="str">
        <f>'Replacement plan'!$K$49</f>
        <v>DC</v>
      </c>
      <c r="AN175" s="1" t="str">
        <f>'Replacement plan'!$AE$49</f>
        <v>Assumed</v>
      </c>
      <c r="AO175" s="47">
        <f>IF(AND(C175=1,D175="EV",E175&lt;120),(R175-'Operating costs'!$B$41)*S175+W175*'Operating costs'!$B$12,0)</f>
        <v>0</v>
      </c>
      <c r="AP175" s="41">
        <f>IF(AND(C175=1,D175="EV",E175&lt;120),IF('Operating costs'!$B$68="Hong Seh 200k average",AO175*IFERROR(INDEX(Products!$P$7:$P$13,MATCH(AD175,Products!$A$7:$A$13,0)),"n.a."),'Operating costs'!$B$26),0)</f>
        <v>0</v>
      </c>
      <c r="AQ175" s="40" t="str">
        <f>IF(D175="EV",'Operating costs'!$B$68,"Not applicable")</f>
        <v>Not applicable</v>
      </c>
    </row>
    <row r="176" spans="1:43" ht="24" customHeight="1">
      <c r="A176" s="1" t="str">
        <f>'Replacement plan'!A49</f>
        <v>T043</v>
      </c>
      <c r="B176" s="1">
        <v>1</v>
      </c>
      <c r="C176" s="1">
        <f>IF(COUNTIFS('Fleet register'!$A$7:$A$106,$A176)=1,VLOOKUP($A176,'Fleet register'!$A$7:$S$106,2,FALSE),0)</f>
        <v>0</v>
      </c>
      <c r="D176" s="1" t="str">
        <f>IF("New ICE"="EV","EV","ICE")</f>
        <v>ICE</v>
      </c>
      <c r="E176" s="1">
        <f>IF(C176=0,0,0)</f>
        <v>0</v>
      </c>
      <c r="F176" s="16">
        <f>IF(C176=0,0,VLOOKUP($A176,'Fleet register'!$A$7:$S$106,11,FALSE))</f>
        <v>0</v>
      </c>
      <c r="G176" s="16">
        <f>IFERROR(IF(C176=0,0,IF(E176=120,0,IF(D176="ICE",'Replacement plan'!$C$49,IF('Replacement plan'!$D$49="",INDEX(Products!$I$7:$I$13,MATCH('Replacement plan'!$B$49,Products!$A$7:$A$13,0))+'Operating costs'!$B$57,'Replacement plan'!$D$49))*(1+'Operating costs'!$B$50)^(E176/12))),"n.a.")</f>
        <v>0</v>
      </c>
      <c r="H176" s="16">
        <f>IFERROR(IF(C176=0,0,IF(E176=0,F176,VLOOKUP($A176,'Fleet register'!$A$7:$S$106,12,FALSE)+VLOOKUP($A176,'Fleet register'!$A$7:$S$106,13,FALSE)*MAX(0,VLOOKUP($A176,'Fleet register'!$A$7:$S$106,10,FALSE)-E176)/VLOOKUP($A176,'Fleet register'!$A$7:$S$106,14,FALSE))),"n.a.")</f>
        <v>0</v>
      </c>
      <c r="I176" s="16">
        <f>IF(C176=0,0,IF(E176=120,0,IF('Replacement plan'!$AI$49="",'Operating costs'!$B$56,'Replacement plan'!$AI$49)))</f>
        <v>0</v>
      </c>
      <c r="J176" s="16">
        <f>IF(C176=0,0,IF(P176="Complete",((S176*(R176-'Operating costs'!$B$39))+ROUNDUP(S176*(R176-'Operating costs'!$B$39)*IF('Replacement plan'!$AG$49="",'Operating costs'!$B$7,'Replacement plan'!$AG$49)/('Operating costs'!$B$8-'Operating costs'!$B$9*IF('Replacement plan'!$AG$49="",'Operating costs'!$B$7,'Replacement plan'!$AG$49)),0)*'Operating costs'!$B$9)*IF('Replacement plan'!$AG$49="",'Operating costs'!$B$7,'Replacement plan'!$AG$49)*('Energy and charging'!$B$9*'Energy and charging'!$B$7+(1-'Energy and charging'!$B$9)*'Energy and charging'!$B$8)*'Operating costs'!$B$23,"n.a."))</f>
        <v>0</v>
      </c>
      <c r="K176" s="16">
        <f>IF(C176=0,0,IF(P176="Complete",SUM('Operating costs'!$B$24,'Operating costs'!$B$27,'Operating costs'!$B$29,'Operating costs'!$B$31,'Operating costs'!$B$33,'Operating costs'!$B$34,'Operating costs'!$B$37,'Replacement plan'!$W$49)+'Operating costs'!$B$39*'Operating costs'!$B$42+ROUNDUP(S176*(R176-'Operating costs'!$B$39)*IF('Replacement plan'!$AG$49="",'Operating costs'!$B$7,'Replacement plan'!$AG$49)/('Operating costs'!$B$8-'Operating costs'!$B$9*IF('Replacement plan'!$AG$49="",'Operating costs'!$B$7,'Replacement plan'!$AG$49)),0)*('Operating costs'!$B$9/'Operating costs'!$B$11+'Operating costs'!$B$10/60)*'Operating costs'!$B$19*'Operating costs'!$B$21,"n.a."))</f>
        <v>0</v>
      </c>
      <c r="L176" s="16">
        <f>IF(C176=0,0,IF(P176="Complete",IF(D176="EV",X176*((1-T176)*'Energy and charging'!$B$10+T176*'Energy and charging'!$B$11)*'Operating costs'!$B$22,AA176*('Energy and charging'!$B$9*'Energy and charging'!$B$7+(1-'Energy and charging'!$B$9)*'Energy and charging'!$B$8)*'Operating costs'!$B$23),"n.a."))</f>
        <v>0</v>
      </c>
      <c r="M176" s="37">
        <f>IF(C176=0,0,IF(P176="Complete",IF(D176="ICE",SUM('Operating costs'!$B$25,'Operating costs'!$B$27,'Operating costs'!$B$29,'Operating costs'!$B$31,'Operating costs'!$B$33,'Operating costs'!$B$35,'Operating costs'!$B$37,'Replacement plan'!$X$49)+'Operating costs'!$B$40*'Operating costs'!$B$42+ROUNDUP(S176*(R176-'Operating costs'!$B$40)*IF('Replacement plan'!$AH$49="",'Operating costs'!$B$7,'Replacement plan'!$AH$49)/('Operating costs'!$B$8-'Operating costs'!$B$9*IF('Replacement plan'!$AH$49="",'Operating costs'!$B$7,'Replacement plan'!$AH$49)),0)*('Operating costs'!$B$9/'Operating costs'!$B$11+'Operating costs'!$B$10/60)*'Operating costs'!$B$19*'Operating costs'!$B$21,SUM(AP176,'Operating costs'!$B$28,'Operating costs'!$B$30,'Operating costs'!$B$32,'Operating costs'!$B$33,'Operating costs'!$B$36,'Operating costs'!$B$38,'Replacement plan'!$Y$49)+'Operating costs'!$B$41*'Operating costs'!$B$43+W176*'Operating costs'!$B$15+(T176*X176/'Replacement plan'!$L$49+W176*('Operating costs'!$B$12/'Operating costs'!$B$11+('Operating costs'!$B$13+'Operating costs'!$B$14)/60)+(R176-'Operating costs'!$B$41)*(IF(T176&lt;1,'Operating costs'!$B$16,0)+'Operating costs'!$B$17)/60)*'Operating costs'!$B$19*'Operating costs'!$B$20),"n.a."))</f>
        <v>0</v>
      </c>
      <c r="N176" s="16">
        <f>IF(AND(C176=1,D176="EV",E176&lt;120,E176+'Replacement plan'!$AA$49&lt;=120),'Replacement plan'!$Z$49,0)</f>
        <v>0</v>
      </c>
      <c r="O176" s="1">
        <f>E176+'Replacement plan'!$AA$49</f>
        <v>0</v>
      </c>
      <c r="P176" s="35" t="str">
        <f>IFERROR(IF(C176=0,"Excluded",IF(OR(COUNTIFS('Fleet register'!$A$7:$A$106,A176)&lt;&gt;1,COUNTIFS('Replacement plan'!$A$7:$A$106,A176)&lt;&gt;1),"Duplicate/missing ID",IF(NOT(AND(ISNUMBER(VLOOKUP($A176,'Fleet register'!$A$7:$S$106,5,FALSE)),ISNUMBER(VLOOKUP($A176,'Fleet register'!$A$7:$S$106,6,FALSE)),ISNUMBER(VLOOKUP($A176,'Fleet register'!$A$7:$S$106,10,FALSE)),ISNUMBER(VLOOKUP($A176,'Fleet register'!$A$7:$S$106,11,FALSE)),ISNUMBER(VLOOKUP($A176,'Fleet register'!$A$7:$S$106,12,FALSE)),ISNUMBER(VLOOKUP($A176,'Fleet register'!$A$7:$S$106,13,FALSE)),ISNUMBER(VLOOKUP($A176,'Fleet register'!$A$7:$S$106,14,FALSE)),VLOOKUP($A176,'Fleet register'!$A$7:$S$106,14,FALSE)&gt;0,ISNUMBER('Replacement plan'!$C$49),OR(E176=120,OR(ISNUMBER('Replacement plan'!$AI$49),AND('Replacement plan'!$AI$49="",ISNUMBER('Operating costs'!$B$56)))),ISNUMBER(E176))),"Missing vehicle input",IF(OR(E176&lt;0,E176&gt;VLOOKUP($A176,'Fleet register'!$A$7:$S$106,10,FALSE),E176&gt;120,E176&lt;&gt;INT(E176),VLOOKUP($A176,'Fleet register'!$A$7:$S$106,6,FALSE)&lt;=0,VLOOKUP($A176,'Fleet register'!$A$7:$S$106,6,FALSE)&gt;366,VLOOKUP($A176,'Fleet register'!$A$7:$S$106,5,FALSE)&lt;0,VLOOKUP($A176,'Fleet register'!$A$7:$S$106,11,FALSE)&lt;0,I176&lt;0,'Operating costs'!$B$8&lt;='Operating costs'!$B$7*'Operating costs'!$B$9,'Operating costs'!$B$11&lt;=0,'Operating costs'!$B$39&gt;R176,'Operating costs'!$B$40&gt;R176,'Operating costs'!$B$41&gt;R176,NOT(OR("New ICE"="Keep ICE","New ICE"="New ICE","New ICE"="EV"))),"Invalid vehicle input",IF(AND(D176="EV",E176&lt;120,OR(NOT(ISNUMBER(U176)),NOT(ISNUMBER(V176)),V176&lt;=0,T176&lt;0,T176&gt;1,'Replacement plan'!$L$49&lt;=0,'Operating costs'!$B$44&lt;0,'Operating costs'!$B$44&gt;=1,'Operating costs'!$B$47&lt;=0,'Operating costs'!$B$47&gt;1,V176*'Operating costs'!$B$47/(1-'Operating costs'!$B$44)&lt;=T176*'Operating costs'!$B$12*U176,AND('Replacement plan'!$Z$49&gt;0,OR('Replacement plan'!$AB$49&lt;&gt;"Yes",'Operating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charging'!$B$8&gt;=0))),ISNUMBER(VLOOKUP($A176,'Fleet register'!$A$7:$S$106,15,FALSE)),ISNUMBER(VLOOKUP($A176,'Fleet register'!$A$7:$S$106,16,FALSE)),ISNUMBER('Replacement plan'!$W$49),ISNUMBER('Replacement plan'!$X$49),OR(E176=120,AND(ISNUMBER(G176),G176&gt;=0)),ISNUMBER(H176),H176&gt;=0,OR(D176&lt;&gt;"EV",E176=120,AND(ISNUMBER('Operating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average",ISNUMBER(IFERROR(INDEX(Products!$P$7:$P$13,MATCH(AD176,Products!$A$7:$A$13,0)),"")))),ISNUMBER('Operating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plan'!$Y$49),ISNUMBER('Replacement plan'!$Z$49),'Replacement plan'!$Z$49&gt;=0,ISNUMBER('Replacement plan'!$AA$49),'Replacement plan'!$AA$49&gt;=0,'Replacement plan'!$AA$49=INT('Replacement plan'!$AA$49),ISNUMBER('Replacement plan'!$L$49))),'Operating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plan'!$AG$49="",'Operating costs'!$B$7,'Replacement plan'!$AG$49)),IF('Replacement plan'!$AG$49="",'Operating costs'!$B$7,'Replacement plan'!$AG$49)&gt;=0,ISNUMBER(IF('Replacement plan'!$AH$49="",'Operating costs'!$B$7,'Replacement plan'!$AH$49)),IF('Replacement plan'!$AH$49="",'Operating costs'!$B$7,'Replacement plan'!$AH$49)&gt;=0,'Operating costs'!$B$8&gt;MAX(IF('Replacement plan'!$AG$49="",'Operating costs'!$B$7,'Replacement plan'!$AG$49),IF('Replacement plan'!$AH$49="",'Operating costs'!$B$7,'Replacement plan'!$AH$49))*'Operating costs'!$B$9),IF(AND(VLOOKUP($A176,'Fleet register'!$A$7:$S$106,10,FALSE)&gt;=0,VLOOKUP($A176,'Fleet register'!$A$7:$S$106,10,FALSE)&lt;=120,VLOOKUP($A176,'Fleet register'!$A$7:$S$106,10,FALSE)=INT(VLOOKUP($A176,'Fleet register'!$A$7:$S$106,10,FALSE)),VLOOKUP($A176,'Fleet register'!$A$7:$S$106,15,FALSE)&gt;=0,VLOOKUP($A176,'Fleet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costs'!$B$67)&gt;=0,OR(D176&lt;&gt;"EV",E176=120,AND(MIN('Operating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76" s="1" t="str">
        <f>IF(C176=0,"Excluded",IF(P176&lt;&gt;"Complete",P176,IF(OR('Replacement plan'!$AD$49&lt;120-E176,AND(D176="EV",E176&lt;120,OR('Replacement plan'!$AC$49&lt;120-E176,'Replacement plan'!$I$49="No",AND(ISNUMBER(AF176),AE176&gt;AF176),AI176&gt;V176*(1-'Operating costs'!$B$46)^MAX(0,AB176-1)*(1-'Operating costs'!$B$45),AC176&gt;'Operating costs'!$B$18,AND(T176&lt;1,OR(AG176&lt;=0,AND(ISNUMBER(AH176),AG176&gt;AH176))),'Replacement plan'!$L$49&gt;INDEX(Products!$H$7:$H$13,MATCH('Replacement plan'!$B$49,Products!$A$7:$A$13,0))))),"Fails entered limits",IF(AND(D176="EV",E176&lt;120,OR(NOT(ISNUMBER(VLOOKUP($A176,'Fleet register'!$A$7:$S$106,7,FALSE))),NOT(ISNUMBER(VLOOKUP($A176,'Fleet register'!$A$7:$S$106,8,FALSE))),NOT(ISNUMBER(AF176)),'Replacement plan'!$I$49&lt;&gt;"Yes",NOT(ISNUMBER(AH176)),'Operating costs'!$B$59&lt;&gt;"Yes",'Operating costs'!$B$58&lt;&gt;"Yes")),"Unverified","Within entered limits"))))</f>
        <v>Excluded</v>
      </c>
      <c r="R176" s="1">
        <f>IF(C176=0,0,VLOOKUP($A176,'Fleet register'!$A$7:$S$106,6,FALSE))</f>
        <v>0</v>
      </c>
      <c r="S176" s="1">
        <f>IF(C176=0,0,VLOOKUP($A176,'Fleet register'!$A$7:$S$106,5,FALSE))</f>
        <v>0</v>
      </c>
      <c r="T176" s="1">
        <f>IF(D176="EV",'Energy and charging'!$B$12,0)</f>
        <v>0</v>
      </c>
      <c r="U176" s="1">
        <f>IFERROR(IF(C176=0,0,IF(D176="EV",IF('Replacement plan'!$F$49="",INDEX(Products!$E$7:$E$13,MATCH('Replacement plan'!$B$49,Products!$A$7:$A$13,0)),'Replacement plan'!$F$49)/IF('Replacement plan'!$G$49="Battery",1-'Operating costs'!$B$44,1),0)),"n.a.")</f>
        <v>0</v>
      </c>
      <c r="V176" s="1">
        <f>IFERROR(IF(C176=0,0,IF(D176="EV",IF('Replacement plan'!$E$49="",INDEX(Products!$D$7:$D$13,MATCH('Replacement plan'!$B$49,Products!$A$7:$A$13,0)),'Replacement plan'!$E$49),0)),"n.a.")</f>
        <v>0</v>
      </c>
      <c r="W176" s="1">
        <f>IF(C176=0,0,IF(AND(P176="Complete",D176="EV",E176&lt;120),IF(T176=0,0,ROUNDUP(T176*(R176-'Operating costs'!$B$41)*(S176*U176+'Operating costs'!$B$48/(1-'Operating costs'!$B$44))/(V176*'Operating costs'!$B$47/(1-'Operating costs'!$B$44)-T176*'Operating costs'!$B$12*U176),0)),0))</f>
        <v>0</v>
      </c>
      <c r="X176" s="1">
        <f>IF(C176=0,0,IF(AND(P176="Complete",D176="EV",E176&lt;120),(R176-'Operating costs'!$B$41)*(S176*U176+'Operating costs'!$B$48/(1-'Operating costs'!$B$44))+W176*'Operating costs'!$B$12*U176,0))</f>
        <v>0</v>
      </c>
      <c r="Y176" s="1">
        <f>IF(AND(C176=1,D176="EV",E176&lt;120),AI176/(1-'Operating costs'!$B$44)*(1-T176),0)</f>
        <v>0</v>
      </c>
      <c r="Z176" s="1">
        <f t="shared" si="4"/>
        <v>0</v>
      </c>
      <c r="AA176" s="1">
        <f>IF(C176=0,0,IF(P176="Complete",((S176*(R176-'Operating costs'!$B$40))+ROUNDUP(S176*(R176-'Operating costs'!$B$40)*IF('Replacement plan'!$AH$49="",'Operating costs'!$B$7,'Replacement plan'!$AH$49)/('Operating costs'!$B$8-'Operating costs'!$B$9*IF('Replacement plan'!$AH$49="",'Operating costs'!$B$7,'Replacement plan'!$AH$49)),0)*'Operating costs'!$B$9)*IF('Replacement plan'!$AH$49="",'Operating costs'!$B$7,'Replacement plan'!$AH$49),"n.a."))</f>
        <v>0</v>
      </c>
      <c r="AB176" s="1">
        <f t="shared" si="5"/>
        <v>0</v>
      </c>
      <c r="AC176" s="1">
        <f>IF(AND(C176=1,D176="EV",E176&lt;120,T176&gt;0),'Operating costs'!$B$12/'Operating costs'!$B$11*60+'Operating costs'!$B$13+'Operating costs'!$B$14+V176*'Operating costs'!$B$47/(1-'Operating costs'!$B$44)/'Replacement plan'!$L$49*60,0)</f>
        <v>0</v>
      </c>
      <c r="AD176" s="1" t="str">
        <f>'Replacement plan'!$B$49</f>
        <v>ChengLong L2EV</v>
      </c>
      <c r="AE176" s="1">
        <f>IF(C176=0,0,VLOOKUP($A176,'Fleet register'!$A$7:$S$106,8,FALSE))</f>
        <v>0</v>
      </c>
      <c r="AF176" s="1" t="str">
        <f>IF('Replacement plan'!$H$49="","n.a.",'Replacement plan'!$H$49)</f>
        <v>n.a.</v>
      </c>
      <c r="AG176" s="1">
        <f>'Replacement plan'!$J$49</f>
        <v>22</v>
      </c>
      <c r="AH176" s="1">
        <f>IFERROR(IF(D176="EV",IF('Replacement plan'!$K$49="AC",IF(ISNUMBER(INDEX(Products!$G$7:$G$13,MATCH('Replacement plan'!$B$49,Products!$A$7:$A$13,0))),INDEX(Products!$G$7:$G$13,MATCH('Replacement plan'!$B$49,Products!$A$7:$A$13,0)),"n.a."),IF(ISNUMBER(INDEX(Products!$H$7:$H$13,MATCH('Replacement plan'!$B$49,Products!$A$7:$A$13,0))),INDEX(Products!$H$7:$H$13,MATCH('Replacement plan'!$B$49,Products!$A$7:$A$13,0)),"n.a.")),0),"n.a.")</f>
        <v>0</v>
      </c>
      <c r="AI176" s="1">
        <f>IF(AND(C176=1,D176="EV",E176&lt;120),(VLOOKUP($A176,'Fleet register'!$A$7:$S$106,7,FALSE)+IF(T176&gt;0,'Operating costs'!$B$12,0))*U176*(1-'Operating costs'!$B$44)+'Operating costs'!$B$49,0)</f>
        <v>0</v>
      </c>
      <c r="AJ176" s="1">
        <f>IF(D176="EV",'Energy and charging'!$B$50,0)</f>
        <v>0</v>
      </c>
      <c r="AK176" s="17">
        <f>EDATE('Operating costs'!$B$63,E176)</f>
        <v>46298</v>
      </c>
      <c r="AL176" s="1">
        <f>IFERROR(IF(D176="EV",INDEX(Products!$B$7:$B$13,MATCH('Replacement plan'!$B$49,Products!$A$7:$A$13,0)),0),"n.a.")</f>
        <v>0</v>
      </c>
      <c r="AM176" s="1" t="str">
        <f>'Replacement plan'!$K$49</f>
        <v>DC</v>
      </c>
      <c r="AN176" s="1" t="str">
        <f>'Replacement plan'!$AE$49</f>
        <v>Assumed</v>
      </c>
      <c r="AO176" s="47">
        <f>IF(AND(C176=1,D176="EV",E176&lt;120),(R176-'Operating costs'!$B$41)*S176+W176*'Operating costs'!$B$12,0)</f>
        <v>0</v>
      </c>
      <c r="AP176" s="41">
        <f>IF(AND(C176=1,D176="EV",E176&lt;120),IF('Operating costs'!$B$68="Hong Seh 200k average",AO176*IFERROR(INDEX(Products!$P$7:$P$13,MATCH(AD176,Products!$A$7:$A$13,0)),"n.a."),'Operating costs'!$B$26),0)</f>
        <v>0</v>
      </c>
      <c r="AQ176" s="40" t="str">
        <f>IF(D176="EV",'Operating costs'!$B$68,"Not applicable")</f>
        <v>Not applicable</v>
      </c>
    </row>
    <row r="177" spans="1:43" ht="24" customHeight="1">
      <c r="A177" s="1" t="str">
        <f>'Replacement plan'!A49</f>
        <v>T043</v>
      </c>
      <c r="B177" s="1">
        <v>2</v>
      </c>
      <c r="C177" s="1">
        <f>IF(COUNTIFS('Fleet register'!$A$7:$A$106,$A177)=1,VLOOKUP($A177,'Fleet register'!$A$7:$S$106,2,FALSE),0)</f>
        <v>0</v>
      </c>
      <c r="D177" s="1" t="str">
        <f>IF('Replacement plan'!$O$49="EV","EV","ICE")</f>
        <v>ICE</v>
      </c>
      <c r="E177" s="1">
        <f>IF(C177=0,0,IF('Replacement plan'!$P$49="",IF('Replacement plan'!$O$49="Keep ICE",IF('Replacement plan'!$M$49="",VLOOKUP($A177,'Fleet register'!$A$7:$S$106,10,FALSE),'Replacement plan'!$M$49),0),'Replacement plan'!$P$49))</f>
        <v>0</v>
      </c>
      <c r="F177" s="16">
        <f>IF(C177=0,0,VLOOKUP($A177,'Fleet register'!$A$7:$S$106,11,FALSE))</f>
        <v>0</v>
      </c>
      <c r="G177" s="16">
        <f>IFERROR(IF(C177=0,0,IF(E177=120,0,IF(D177="ICE",'Replacement plan'!$C$49,IF('Replacement plan'!$D$49="",INDEX(Products!$I$7:$I$13,MATCH('Replacement plan'!$B$49,Products!$A$7:$A$13,0))+'Operating costs'!$B$57,'Replacement plan'!$D$49))*(1+'Operating costs'!$B$50)^(E177/12))),"n.a.")</f>
        <v>0</v>
      </c>
      <c r="H177" s="16">
        <f>IFERROR(IF(C177=0,0,IF('Replacement plan'!$U$49&lt;&gt;"",'Replacement plan'!$U$49,IF(E177=0,F177,VLOOKUP($A177,'Fleet register'!$A$7:$S$106,12,FALSE)+VLOOKUP($A177,'Fleet register'!$A$7:$S$106,13,FALSE)*MAX(0,VLOOKUP($A177,'Fleet register'!$A$7:$S$106,10,FALSE)-E177)/VLOOKUP($A177,'Fleet register'!$A$7:$S$106,14,FALSE)))),"n.a.")</f>
        <v>0</v>
      </c>
      <c r="I177" s="16">
        <f>IF(C177=0,0,IF(E177=120,0,'Replacement plan'!$Q$49))</f>
        <v>0</v>
      </c>
      <c r="J177" s="16">
        <f>IF(C177=0,0,IF(P177="Complete",((S177*(R177-'Operating costs'!$B$39))+ROUNDUP(S177*(R177-'Operating costs'!$B$39)*IF('Replacement plan'!$AG$49="",'Operating costs'!$B$7,'Replacement plan'!$AG$49)/('Operating costs'!$B$8-'Operating costs'!$B$9*IF('Replacement plan'!$AG$49="",'Operating costs'!$B$7,'Replacement plan'!$AG$49)),0)*'Operating costs'!$B$9)*IF('Replacement plan'!$AG$49="",'Operating costs'!$B$7,'Replacement plan'!$AG$49)*('Energy and charging'!$B$9*'Energy and charging'!$B$7+(1-'Energy and charging'!$B$9)*'Energy and charging'!$B$8)*'Operating costs'!$B$23,"n.a."))</f>
        <v>0</v>
      </c>
      <c r="K177" s="16">
        <f>IF(C177=0,0,IF(P177="Complete",SUM('Operating costs'!$B$24,'Operating costs'!$B$27,'Operating costs'!$B$29,'Operating costs'!$B$31,'Operating costs'!$B$33,'Operating costs'!$B$34,'Operating costs'!$B$37,'Replacement plan'!$W$49)+'Operating costs'!$B$39*'Operating costs'!$B$42+ROUNDUP(S177*(R177-'Operating costs'!$B$39)*IF('Replacement plan'!$AG$49="",'Operating costs'!$B$7,'Replacement plan'!$AG$49)/('Operating costs'!$B$8-'Operating costs'!$B$9*IF('Replacement plan'!$AG$49="",'Operating costs'!$B$7,'Replacement plan'!$AG$49)),0)*('Operating costs'!$B$9/'Operating costs'!$B$11+'Operating costs'!$B$10/60)*'Operating costs'!$B$19*'Operating costs'!$B$21,"n.a."))</f>
        <v>0</v>
      </c>
      <c r="L177" s="16">
        <f>IF(C177=0,0,IF(P177="Complete",IF(D177="EV",X177*((1-T177)*'Energy and charging'!$B$10+T177*'Energy and charging'!$B$11)*'Operating costs'!$B$22,AA177*('Energy and charging'!$B$9*'Energy and charging'!$B$7+(1-'Energy and charging'!$B$9)*'Energy and charging'!$B$8)*'Operating costs'!$B$23),"n.a."))</f>
        <v>0</v>
      </c>
      <c r="M177" s="37">
        <f>IF(C177=0,0,IF(P177="Complete",IF(D177="ICE",SUM('Operating costs'!$B$25,'Operating costs'!$B$27,'Operating costs'!$B$29,'Operating costs'!$B$31,'Operating costs'!$B$33,'Operating costs'!$B$35,'Operating costs'!$B$37,'Replacement plan'!$X$49)+'Operating costs'!$B$40*'Operating costs'!$B$42+ROUNDUP(S177*(R177-'Operating costs'!$B$40)*IF('Replacement plan'!$AH$49="",'Operating costs'!$B$7,'Replacement plan'!$AH$49)/('Operating costs'!$B$8-'Operating costs'!$B$9*IF('Replacement plan'!$AH$49="",'Operating costs'!$B$7,'Replacement plan'!$AH$49)),0)*('Operating costs'!$B$9/'Operating costs'!$B$11+'Operating costs'!$B$10/60)*'Operating costs'!$B$19*'Operating costs'!$B$21,SUM(AP177,'Operating costs'!$B$28,'Operating costs'!$B$30,'Operating costs'!$B$32,'Operating costs'!$B$33,'Operating costs'!$B$36,'Operating costs'!$B$38,'Replacement plan'!$Y$49)+'Operating costs'!$B$41*'Operating costs'!$B$43+W177*'Operating costs'!$B$15+(T177*X177/'Replacement plan'!$L$49+W177*('Operating costs'!$B$12/'Operating costs'!$B$11+('Operating costs'!$B$13+'Operating costs'!$B$14)/60)+(R177-'Operating costs'!$B$41)*(IF(T177&lt;1,'Operating costs'!$B$16,0)+'Operating costs'!$B$17)/60)*'Operating costs'!$B$19*'Operating costs'!$B$20),"n.a."))</f>
        <v>0</v>
      </c>
      <c r="N177" s="16">
        <f>IF(AND(C177=1,D177="EV",E177&lt;120,E177+'Replacement plan'!$AA$49&lt;=120),'Replacement plan'!$Z$49,0)</f>
        <v>0</v>
      </c>
      <c r="O177" s="1">
        <f>E177+'Replacement plan'!$AA$49</f>
        <v>0</v>
      </c>
      <c r="P177" s="35" t="str">
        <f>IFERROR(IF(C177=0,"Excluded",IF(OR(COUNTIFS('Fleet register'!$A$7:$A$106,A177)&lt;&gt;1,COUNTIFS('Replacement plan'!$A$7:$A$106,A177)&lt;&gt;1),"Duplicate/missing ID",IF(NOT(AND(ISNUMBER(VLOOKUP($A177,'Fleet register'!$A$7:$S$106,5,FALSE)),ISNUMBER(VLOOKUP($A177,'Fleet register'!$A$7:$S$106,6,FALSE)),ISNUMBER(VLOOKUP($A177,'Fleet register'!$A$7:$S$106,10,FALSE)),ISNUMBER(VLOOKUP($A177,'Fleet register'!$A$7:$S$106,11,FALSE)),ISNUMBER(VLOOKUP($A177,'Fleet register'!$A$7:$S$106,12,FALSE)),ISNUMBER(VLOOKUP($A177,'Fleet register'!$A$7:$S$106,13,FALSE)),ISNUMBER(VLOOKUP($A177,'Fleet register'!$A$7:$S$106,14,FALSE)),VLOOKUP($A177,'Fleet register'!$A$7:$S$106,14,FALSE)&gt;0,ISNUMBER('Replacement plan'!$C$49),OR(E177=120,ISNUMBER('Replacement plan'!$Q$49)),ISNUMBER(E177))),"Missing vehicle input",IF(OR(E177&lt;0,E177&gt;VLOOKUP($A177,'Fleet register'!$A$7:$S$106,10,FALSE),E177&gt;120,E177&lt;&gt;INT(E177),VLOOKUP($A177,'Fleet register'!$A$7:$S$106,6,FALSE)&lt;=0,VLOOKUP($A177,'Fleet register'!$A$7:$S$106,6,FALSE)&gt;366,VLOOKUP($A177,'Fleet register'!$A$7:$S$106,5,FALSE)&lt;0,VLOOKUP($A177,'Fleet register'!$A$7:$S$106,11,FALSE)&lt;0,I177&lt;0,'Operating costs'!$B$8&lt;='Operating costs'!$B$7*'Operating costs'!$B$9,'Operating costs'!$B$11&lt;=0,'Operating costs'!$B$39&gt;R177,'Operating costs'!$B$40&gt;R177,'Operating costs'!$B$41&gt;R177,NOT(OR('Replacement plan'!$O$49="Keep ICE",'Replacement plan'!$O$49="New ICE",'Replacement plan'!$O$49="EV"))),"Invalid vehicle input",IF(AND(D177="EV",E177&lt;120,OR(NOT(ISNUMBER(U177)),NOT(ISNUMBER(V177)),V177&lt;=0,T177&lt;0,T177&gt;1,'Replacement plan'!$L$49&lt;=0,'Operating costs'!$B$44&lt;0,'Operating costs'!$B$44&gt;=1,'Operating costs'!$B$47&lt;=0,'Operating costs'!$B$47&gt;1,V177*'Operating costs'!$B$47/(1-'Operating costs'!$B$44)&lt;=T177*'Operating costs'!$B$12*U177,AND('Replacement plan'!$Z$49&gt;0,OR('Replacement plan'!$AB$49&lt;&gt;"Yes",'Operating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charging'!$B$8&gt;=0))),ISNUMBER(VLOOKUP($A177,'Fleet register'!$A$7:$S$106,15,FALSE)),ISNUMBER(VLOOKUP($A177,'Fleet register'!$A$7:$S$106,16,FALSE)),ISNUMBER('Replacement plan'!$W$49),ISNUMBER('Replacement plan'!$X$49),OR(E177=120,AND(ISNUMBER(G177),G177&gt;=0)),ISNUMBER(H177),H177&gt;=0,OR(D177&lt;&gt;"EV",E177=120,AND(ISNUMBER('Operating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average",ISNUMBER(IFERROR(INDEX(Products!$P$7:$P$13,MATCH(AD177,Products!$A$7:$A$13,0)),"")))),ISNUMBER('Operating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plan'!$Y$49),ISNUMBER('Replacement plan'!$Z$49),'Replacement plan'!$Z$49&gt;=0,ISNUMBER('Replacement plan'!$AA$49),'Replacement plan'!$AA$49&gt;=0,'Replacement plan'!$AA$49=INT('Replacement plan'!$AA$49),ISNUMBER('Replacement plan'!$L$49))),'Operating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plan'!$AG$49="",'Operating costs'!$B$7,'Replacement plan'!$AG$49)),IF('Replacement plan'!$AG$49="",'Operating costs'!$B$7,'Replacement plan'!$AG$49)&gt;=0,ISNUMBER(IF('Replacement plan'!$AH$49="",'Operating costs'!$B$7,'Replacement plan'!$AH$49)),IF('Replacement plan'!$AH$49="",'Operating costs'!$B$7,'Replacement plan'!$AH$49)&gt;=0,'Operating costs'!$B$8&gt;MAX(IF('Replacement plan'!$AG$49="",'Operating costs'!$B$7,'Replacement plan'!$AG$49),IF('Replacement plan'!$AH$49="",'Operating costs'!$B$7,'Replacement plan'!$AH$49))*'Operating costs'!$B$9),IF(AND(VLOOKUP($A177,'Fleet register'!$A$7:$S$106,10,FALSE)&gt;=0,VLOOKUP($A177,'Fleet register'!$A$7:$S$106,10,FALSE)&lt;=120,VLOOKUP($A177,'Fleet register'!$A$7:$S$106,10,FALSE)=INT(VLOOKUP($A177,'Fleet register'!$A$7:$S$106,10,FALSE)),VLOOKUP($A177,'Fleet register'!$A$7:$S$106,15,FALSE)&gt;=0,VLOOKUP($A177,'Fleet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costs'!$B$67)&gt;=0,OR(D177&lt;&gt;"EV",E177=120,AND(MIN('Operating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77" s="1" t="str">
        <f>IF(C177=0,"Excluded",IF(P177&lt;&gt;"Complete",P177,IF(OR('Replacement plan'!$AD$49&lt;120-E177,AND(D177="EV",E177&lt;120,OR('Replacement plan'!$AC$49&lt;120-E177,'Replacement plan'!$I$49="No",AND(ISNUMBER(AF177),AE177&gt;AF177),AI177&gt;V177*(1-'Operating costs'!$B$46)^MAX(0,AB177-1)*(1-'Operating costs'!$B$45),AC177&gt;'Operating costs'!$B$18,AND(T177&lt;1,OR(AG177&lt;=0,AND(ISNUMBER(AH177),AG177&gt;AH177))),'Replacement plan'!$L$49&gt;INDEX(Products!$H$7:$H$13,MATCH('Replacement plan'!$B$49,Products!$A$7:$A$13,0))))),"Fails entered limits",IF(AND(D177="EV",E177&lt;120,OR(NOT(ISNUMBER(VLOOKUP($A177,'Fleet register'!$A$7:$S$106,7,FALSE))),NOT(ISNUMBER(VLOOKUP($A177,'Fleet register'!$A$7:$S$106,8,FALSE))),NOT(ISNUMBER(AF177)),'Replacement plan'!$I$49&lt;&gt;"Yes",NOT(ISNUMBER(AH177)),'Operating costs'!$B$59&lt;&gt;"Yes",'Operating costs'!$B$58&lt;&gt;"Yes")),"Unverified","Within entered limits"))))</f>
        <v>Excluded</v>
      </c>
      <c r="R177" s="1">
        <f>IF(C177=0,0,VLOOKUP($A177,'Fleet register'!$A$7:$S$106,6,FALSE))</f>
        <v>0</v>
      </c>
      <c r="S177" s="1">
        <f>IF(C177=0,0,VLOOKUP($A177,'Fleet register'!$A$7:$S$106,5,FALSE))</f>
        <v>0</v>
      </c>
      <c r="T177" s="1">
        <f>IF(D177="EV",'Energy and charging'!$B$12,0)</f>
        <v>0</v>
      </c>
      <c r="U177" s="1">
        <f>IFERROR(IF(C177=0,0,IF(D177="EV",IF('Replacement plan'!$F$49="",INDEX(Products!$E$7:$E$13,MATCH('Replacement plan'!$B$49,Products!$A$7:$A$13,0)),'Replacement plan'!$F$49)/IF('Replacement plan'!$G$49="Battery",1-'Operating costs'!$B$44,1),0)),"n.a.")</f>
        <v>0</v>
      </c>
      <c r="V177" s="1">
        <f>IFERROR(IF(C177=0,0,IF(D177="EV",IF('Replacement plan'!$E$49="",INDEX(Products!$D$7:$D$13,MATCH('Replacement plan'!$B$49,Products!$A$7:$A$13,0)),'Replacement plan'!$E$49),0)),"n.a.")</f>
        <v>0</v>
      </c>
      <c r="W177" s="1">
        <f>IF(C177=0,0,IF(AND(P177="Complete",D177="EV",E177&lt;120),IF(T177=0,0,ROUNDUP(T177*(R177-'Operating costs'!$B$41)*(S177*U177+'Operating costs'!$B$48/(1-'Operating costs'!$B$44))/(V177*'Operating costs'!$B$47/(1-'Operating costs'!$B$44)-T177*'Operating costs'!$B$12*U177),0)),0))</f>
        <v>0</v>
      </c>
      <c r="X177" s="1">
        <f>IF(C177=0,0,IF(AND(P177="Complete",D177="EV",E177&lt;120),(R177-'Operating costs'!$B$41)*(S177*U177+'Operating costs'!$B$48/(1-'Operating costs'!$B$44))+W177*'Operating costs'!$B$12*U177,0))</f>
        <v>0</v>
      </c>
      <c r="Y177" s="1">
        <f>IF(AND(C177=1,D177="EV",E177&lt;120),AI177/(1-'Operating costs'!$B$44)*(1-T177),0)</f>
        <v>0</v>
      </c>
      <c r="Z177" s="1">
        <f t="shared" si="4"/>
        <v>0</v>
      </c>
      <c r="AA177" s="1">
        <f>IF(C177=0,0,IF(P177="Complete",((S177*(R177-'Operating costs'!$B$40))+ROUNDUP(S177*(R177-'Operating costs'!$B$40)*IF('Replacement plan'!$AH$49="",'Operating costs'!$B$7,'Replacement plan'!$AH$49)/('Operating costs'!$B$8-'Operating costs'!$B$9*IF('Replacement plan'!$AH$49="",'Operating costs'!$B$7,'Replacement plan'!$AH$49)),0)*'Operating costs'!$B$9)*IF('Replacement plan'!$AH$49="",'Operating costs'!$B$7,'Replacement plan'!$AH$49),"n.a."))</f>
        <v>0</v>
      </c>
      <c r="AB177" s="1">
        <f t="shared" si="5"/>
        <v>0</v>
      </c>
      <c r="AC177" s="1">
        <f>IF(AND(C177=1,D177="EV",E177&lt;120,T177&gt;0),'Operating costs'!$B$12/'Operating costs'!$B$11*60+'Operating costs'!$B$13+'Operating costs'!$B$14+V177*'Operating costs'!$B$47/(1-'Operating costs'!$B$44)/'Replacement plan'!$L$49*60,0)</f>
        <v>0</v>
      </c>
      <c r="AD177" s="1" t="str">
        <f>'Replacement plan'!$B$49</f>
        <v>ChengLong L2EV</v>
      </c>
      <c r="AE177" s="1">
        <f>IF(C177=0,0,VLOOKUP($A177,'Fleet register'!$A$7:$S$106,8,FALSE))</f>
        <v>0</v>
      </c>
      <c r="AF177" s="1" t="str">
        <f>IF('Replacement plan'!$H$49="","n.a.",'Replacement plan'!$H$49)</f>
        <v>n.a.</v>
      </c>
      <c r="AG177" s="1">
        <f>'Replacement plan'!$J$49</f>
        <v>22</v>
      </c>
      <c r="AH177" s="1">
        <f>IFERROR(IF(D177="EV",IF('Replacement plan'!$K$49="AC",IF(ISNUMBER(INDEX(Products!$G$7:$G$13,MATCH('Replacement plan'!$B$49,Products!$A$7:$A$13,0))),INDEX(Products!$G$7:$G$13,MATCH('Replacement plan'!$B$49,Products!$A$7:$A$13,0)),"n.a."),IF(ISNUMBER(INDEX(Products!$H$7:$H$13,MATCH('Replacement plan'!$B$49,Products!$A$7:$A$13,0))),INDEX(Products!$H$7:$H$13,MATCH('Replacement plan'!$B$49,Products!$A$7:$A$13,0)),"n.a.")),0),"n.a.")</f>
        <v>0</v>
      </c>
      <c r="AI177" s="1">
        <f>IF(AND(C177=1,D177="EV",E177&lt;120),(VLOOKUP($A177,'Fleet register'!$A$7:$S$106,7,FALSE)+IF(T177&gt;0,'Operating costs'!$B$12,0))*U177*(1-'Operating costs'!$B$44)+'Operating costs'!$B$49,0)</f>
        <v>0</v>
      </c>
      <c r="AJ177" s="1">
        <f>IF(D177="EV",'Energy and charging'!$B$50,0)</f>
        <v>0</v>
      </c>
      <c r="AK177" s="17">
        <f>EDATE('Operating costs'!$B$63,E177)</f>
        <v>46298</v>
      </c>
      <c r="AL177" s="1">
        <f>IFERROR(IF(D177="EV",INDEX(Products!$B$7:$B$13,MATCH('Replacement plan'!$B$49,Products!$A$7:$A$13,0)),0),"n.a.")</f>
        <v>0</v>
      </c>
      <c r="AM177" s="1" t="str">
        <f>'Replacement plan'!$K$49</f>
        <v>DC</v>
      </c>
      <c r="AN177" s="1" t="str">
        <f>'Replacement plan'!$AE$49</f>
        <v>Assumed</v>
      </c>
      <c r="AO177" s="47">
        <f>IF(AND(C177=1,D177="EV",E177&lt;120),(R177-'Operating costs'!$B$41)*S177+W177*'Operating costs'!$B$12,0)</f>
        <v>0</v>
      </c>
      <c r="AP177" s="41">
        <f>IF(AND(C177=1,D177="EV",E177&lt;120),IF('Operating costs'!$B$68="Hong Seh 200k average",AO177*IFERROR(INDEX(Products!$P$7:$P$13,MATCH(AD177,Products!$A$7:$A$13,0)),"n.a."),'Operating costs'!$B$26),0)</f>
        <v>0</v>
      </c>
      <c r="AQ177" s="40" t="str">
        <f>IF(D177="EV",'Operating costs'!$B$68,"Not applicable")</f>
        <v>Not applicable</v>
      </c>
    </row>
    <row r="178" spans="1:43" ht="24" customHeight="1">
      <c r="A178" s="1" t="str">
        <f>'Replacement plan'!A49</f>
        <v>T043</v>
      </c>
      <c r="B178" s="1">
        <v>3</v>
      </c>
      <c r="C178" s="1">
        <f>IF(COUNTIFS('Fleet register'!$A$7:$A$106,$A178)=1,VLOOKUP($A178,'Fleet register'!$A$7:$S$106,2,FALSE),0)</f>
        <v>0</v>
      </c>
      <c r="D178" s="1" t="str">
        <f>IF('Replacement plan'!$R$49="EV","EV","ICE")</f>
        <v>ICE</v>
      </c>
      <c r="E178" s="1">
        <f>IF(C178=0,0,IF('Replacement plan'!$S$49="",IF('Replacement plan'!$R$49="Keep ICE",IF('Replacement plan'!$M$49="",VLOOKUP($A178,'Fleet register'!$A$7:$S$106,10,FALSE),'Replacement plan'!$M$49),0),'Replacement plan'!$S$49))</f>
        <v>0</v>
      </c>
      <c r="F178" s="16">
        <f>IF(C178=0,0,VLOOKUP($A178,'Fleet register'!$A$7:$S$106,11,FALSE))</f>
        <v>0</v>
      </c>
      <c r="G178" s="16">
        <f>IFERROR(IF(C178=0,0,IF(E178=120,0,IF(D178="ICE",'Replacement plan'!$C$49,IF('Replacement plan'!$D$49="",INDEX(Products!$I$7:$I$13,MATCH('Replacement plan'!$B$49,Products!$A$7:$A$13,0))+'Operating costs'!$B$57,'Replacement plan'!$D$49))*(1+'Operating costs'!$B$50)^(E178/12))),"n.a.")</f>
        <v>0</v>
      </c>
      <c r="H178" s="16">
        <f>IFERROR(IF(C178=0,0,IF('Replacement plan'!$V$49&lt;&gt;"",'Replacement plan'!$V$49,IF(E178=0,F178,VLOOKUP($A178,'Fleet register'!$A$7:$S$106,12,FALSE)+VLOOKUP($A178,'Fleet register'!$A$7:$S$106,13,FALSE)*MAX(0,VLOOKUP($A178,'Fleet register'!$A$7:$S$106,10,FALSE)-E178)/VLOOKUP($A178,'Fleet register'!$A$7:$S$106,14,FALSE)))),"n.a.")</f>
        <v>0</v>
      </c>
      <c r="I178" s="16">
        <f>IF(C178=0,0,IF(E178=120,0,'Replacement plan'!$T$49))</f>
        <v>0</v>
      </c>
      <c r="J178" s="16">
        <f>IF(C178=0,0,IF(P178="Complete",((S178*(R178-'Operating costs'!$B$39))+ROUNDUP(S178*(R178-'Operating costs'!$B$39)*IF('Replacement plan'!$AG$49="",'Operating costs'!$B$7,'Replacement plan'!$AG$49)/('Operating costs'!$B$8-'Operating costs'!$B$9*IF('Replacement plan'!$AG$49="",'Operating costs'!$B$7,'Replacement plan'!$AG$49)),0)*'Operating costs'!$B$9)*IF('Replacement plan'!$AG$49="",'Operating costs'!$B$7,'Replacement plan'!$AG$49)*('Energy and charging'!$C$9*'Energy and charging'!$C$7+(1-'Energy and charging'!$C$9)*'Energy and charging'!$C$8)*'Operating costs'!$B$23,"n.a."))</f>
        <v>0</v>
      </c>
      <c r="K178" s="16">
        <f>IF(C178=0,0,IF(P178="Complete",SUM('Operating costs'!$B$24,'Operating costs'!$B$27,'Operating costs'!$B$29,'Operating costs'!$B$31,'Operating costs'!$B$33,'Operating costs'!$B$34,'Operating costs'!$B$37,'Replacement plan'!$W$49)+'Operating costs'!$B$39*'Operating costs'!$B$42+ROUNDUP(S178*(R178-'Operating costs'!$B$39)*IF('Replacement plan'!$AG$49="",'Operating costs'!$B$7,'Replacement plan'!$AG$49)/('Operating costs'!$B$8-'Operating costs'!$B$9*IF('Replacement plan'!$AG$49="",'Operating costs'!$B$7,'Replacement plan'!$AG$49)),0)*('Operating costs'!$B$9/'Operating costs'!$B$11+'Operating costs'!$B$10/60)*'Operating costs'!$B$19*'Operating costs'!$B$21,"n.a."))</f>
        <v>0</v>
      </c>
      <c r="L178" s="16">
        <f>IF(C178=0,0,IF(P178="Complete",IF(D178="EV",X178*((1-T178)*'Energy and charging'!$C$10+T178*'Energy and charging'!$C$11)*'Operating costs'!$B$22,AA178*('Energy and charging'!$C$9*'Energy and charging'!$C$7+(1-'Energy and charging'!$C$9)*'Energy and charging'!$C$8)*'Operating costs'!$B$23),"n.a."))</f>
        <v>0</v>
      </c>
      <c r="M178" s="37">
        <f>IF(C178=0,0,IF(P178="Complete",IF(D178="ICE",SUM('Operating costs'!$B$25,'Operating costs'!$B$27,'Operating costs'!$B$29,'Operating costs'!$B$31,'Operating costs'!$B$33,'Operating costs'!$B$35,'Operating costs'!$B$37,'Replacement plan'!$X$49)+'Operating costs'!$B$40*'Operating costs'!$B$42+ROUNDUP(S178*(R178-'Operating costs'!$B$40)*IF('Replacement plan'!$AH$49="",'Operating costs'!$B$7,'Replacement plan'!$AH$49)/('Operating costs'!$B$8-'Operating costs'!$B$9*IF('Replacement plan'!$AH$49="",'Operating costs'!$B$7,'Replacement plan'!$AH$49)),0)*('Operating costs'!$B$9/'Operating costs'!$B$11+'Operating costs'!$B$10/60)*'Operating costs'!$B$19*'Operating costs'!$B$21,SUM(AP178,'Operating costs'!$B$28,'Operating costs'!$B$30,'Operating costs'!$B$32,'Operating costs'!$B$33,'Operating costs'!$B$36,'Operating costs'!$B$38,'Replacement plan'!$Y$49)+'Operating costs'!$B$41*'Operating costs'!$B$43+W178*'Operating costs'!$B$15+(T178*X178/'Replacement plan'!$L$49+W178*('Operating costs'!$B$12/'Operating costs'!$B$11+('Operating costs'!$B$13+'Operating costs'!$B$14)/60)+(R178-'Operating costs'!$B$41)*(IF(T178&lt;1,'Operating costs'!$B$16,0)+'Operating costs'!$B$17)/60)*'Operating costs'!$B$19*'Operating costs'!$B$20),"n.a."))</f>
        <v>0</v>
      </c>
      <c r="N178" s="16">
        <f>IF(AND(C178=1,D178="EV",E178&lt;120,E178+'Replacement plan'!$AA$49&lt;=120),'Replacement plan'!$Z$49,0)</f>
        <v>0</v>
      </c>
      <c r="O178" s="1">
        <f>E178+'Replacement plan'!$AA$49</f>
        <v>0</v>
      </c>
      <c r="P178" s="35" t="str">
        <f>IFERROR(IF(C178=0,"Excluded",IF(OR(COUNTIFS('Fleet register'!$A$7:$A$106,A178)&lt;&gt;1,COUNTIFS('Replacement plan'!$A$7:$A$106,A178)&lt;&gt;1),"Duplicate/missing ID",IF(NOT(AND(ISNUMBER(VLOOKUP($A178,'Fleet register'!$A$7:$S$106,5,FALSE)),ISNUMBER(VLOOKUP($A178,'Fleet register'!$A$7:$S$106,6,FALSE)),ISNUMBER(VLOOKUP($A178,'Fleet register'!$A$7:$S$106,10,FALSE)),ISNUMBER(VLOOKUP($A178,'Fleet register'!$A$7:$S$106,11,FALSE)),ISNUMBER(VLOOKUP($A178,'Fleet register'!$A$7:$S$106,12,FALSE)),ISNUMBER(VLOOKUP($A178,'Fleet register'!$A$7:$S$106,13,FALSE)),ISNUMBER(VLOOKUP($A178,'Fleet register'!$A$7:$S$106,14,FALSE)),VLOOKUP($A178,'Fleet register'!$A$7:$S$106,14,FALSE)&gt;0,ISNUMBER('Replacement plan'!$C$49),OR(E178=120,ISNUMBER('Replacement plan'!$T$49)),ISNUMBER(E178))),"Missing vehicle input",IF(OR(E178&lt;0,E178&gt;VLOOKUP($A178,'Fleet register'!$A$7:$S$106,10,FALSE),E178&gt;120,E178&lt;&gt;INT(E178),VLOOKUP($A178,'Fleet register'!$A$7:$S$106,6,FALSE)&lt;=0,VLOOKUP($A178,'Fleet register'!$A$7:$S$106,6,FALSE)&gt;366,VLOOKUP($A178,'Fleet register'!$A$7:$S$106,5,FALSE)&lt;0,VLOOKUP($A178,'Fleet register'!$A$7:$S$106,11,FALSE)&lt;0,I178&lt;0,'Operating costs'!$B$8&lt;='Operating costs'!$B$7*'Operating costs'!$B$9,'Operating costs'!$B$11&lt;=0,'Operating costs'!$B$39&gt;R178,'Operating costs'!$B$40&gt;R178,'Operating costs'!$B$41&gt;R178,NOT(OR('Replacement plan'!$R$49="Keep ICE",'Replacement plan'!$R$49="New ICE",'Replacement plan'!$R$49="EV"))),"Invalid vehicle input",IF(AND(D178="EV",E178&lt;120,OR(NOT(ISNUMBER(U178)),NOT(ISNUMBER(V178)),V178&lt;=0,T178&lt;0,T178&gt;1,'Replacement plan'!$L$49&lt;=0,'Operating costs'!$B$44&lt;0,'Operating costs'!$B$44&gt;=1,'Operating costs'!$B$47&lt;=0,'Operating costs'!$B$47&gt;1,V178*'Operating costs'!$B$47/(1-'Operating costs'!$B$44)&lt;=T178*'Operating costs'!$B$12*U178,AND('Replacement plan'!$Z$49&gt;0,OR('Replacement plan'!$AB$49&lt;&gt;"Yes",'Operating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charging'!$C$8&gt;=0))),ISNUMBER(VLOOKUP($A178,'Fleet register'!$A$7:$S$106,15,FALSE)),ISNUMBER(VLOOKUP($A178,'Fleet register'!$A$7:$S$106,16,FALSE)),ISNUMBER('Replacement plan'!$W$49),ISNUMBER('Replacement plan'!$X$49),OR(E178=120,AND(ISNUMBER(G178),G178&gt;=0)),ISNUMBER(H178),H178&gt;=0,OR(D178&lt;&gt;"EV",E178=120,AND(ISNUMBER('Operating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average",ISNUMBER(IFERROR(INDEX(Products!$P$7:$P$13,MATCH(AD178,Products!$A$7:$A$13,0)),"")))),ISNUMBER('Operating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plan'!$Y$49),ISNUMBER('Replacement plan'!$Z$49),'Replacement plan'!$Z$49&gt;=0,ISNUMBER('Replacement plan'!$AA$49),'Replacement plan'!$AA$49&gt;=0,'Replacement plan'!$AA$49=INT('Replacement plan'!$AA$49),ISNUMBER('Replacement plan'!$L$49))),'Operating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plan'!$AG$49="",'Operating costs'!$B$7,'Replacement plan'!$AG$49)),IF('Replacement plan'!$AG$49="",'Operating costs'!$B$7,'Replacement plan'!$AG$49)&gt;=0,ISNUMBER(IF('Replacement plan'!$AH$49="",'Operating costs'!$B$7,'Replacement plan'!$AH$49)),IF('Replacement plan'!$AH$49="",'Operating costs'!$B$7,'Replacement plan'!$AH$49)&gt;=0,'Operating costs'!$B$8&gt;MAX(IF('Replacement plan'!$AG$49="",'Operating costs'!$B$7,'Replacement plan'!$AG$49),IF('Replacement plan'!$AH$49="",'Operating costs'!$B$7,'Replacement plan'!$AH$49))*'Operating costs'!$B$9),IF(AND(VLOOKUP($A178,'Fleet register'!$A$7:$S$106,10,FALSE)&gt;=0,VLOOKUP($A178,'Fleet register'!$A$7:$S$106,10,FALSE)&lt;=120,VLOOKUP($A178,'Fleet register'!$A$7:$S$106,10,FALSE)=INT(VLOOKUP($A178,'Fleet register'!$A$7:$S$106,10,FALSE)),VLOOKUP($A178,'Fleet register'!$A$7:$S$106,15,FALSE)&gt;=0,VLOOKUP($A178,'Fleet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costs'!$B$67)&gt;=0,OR(D178&lt;&gt;"EV",E178=120,AND(MIN('Operating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78" s="1" t="str">
        <f>IF(C178=0,"Excluded",IF(P178&lt;&gt;"Complete",P178,IF(OR('Replacement plan'!$AD$49&lt;120-E178,AND(D178="EV",E178&lt;120,OR('Replacement plan'!$AC$49&lt;120-E178,'Replacement plan'!$I$49="No",AND(ISNUMBER(AF178),AE178&gt;AF178),AI178&gt;V178*(1-'Operating costs'!$B$46)^MAX(0,AB178-1)*(1-'Operating costs'!$B$45),AC178&gt;'Operating costs'!$B$18,AND(T178&lt;1,OR(AG178&lt;=0,AND(ISNUMBER(AH178),AG178&gt;AH178))),'Replacement plan'!$L$49&gt;INDEX(Products!$H$7:$H$13,MATCH('Replacement plan'!$B$49,Products!$A$7:$A$13,0))))),"Fails entered limits",IF(AND(D178="EV",E178&lt;120,OR(NOT(ISNUMBER(VLOOKUP($A178,'Fleet register'!$A$7:$S$106,7,FALSE))),NOT(ISNUMBER(VLOOKUP($A178,'Fleet register'!$A$7:$S$106,8,FALSE))),NOT(ISNUMBER(AF178)),'Replacement plan'!$I$49&lt;&gt;"Yes",NOT(ISNUMBER(AH178)),'Operating costs'!$B$59&lt;&gt;"Yes",'Operating costs'!$B$58&lt;&gt;"Yes")),"Unverified","Within entered limits"))))</f>
        <v>Excluded</v>
      </c>
      <c r="R178" s="1">
        <f>IF(C178=0,0,VLOOKUP($A178,'Fleet register'!$A$7:$S$106,6,FALSE))</f>
        <v>0</v>
      </c>
      <c r="S178" s="1">
        <f>IF(C178=0,0,VLOOKUP($A178,'Fleet register'!$A$7:$S$106,5,FALSE))</f>
        <v>0</v>
      </c>
      <c r="T178" s="1">
        <f>IF(D178="EV",'Energy and charging'!$C$12,0)</f>
        <v>0</v>
      </c>
      <c r="U178" s="1">
        <f>IFERROR(IF(C178=0,0,IF(D178="EV",IF('Replacement plan'!$F$49="",INDEX(Products!$E$7:$E$13,MATCH('Replacement plan'!$B$49,Products!$A$7:$A$13,0)),'Replacement plan'!$F$49)/IF('Replacement plan'!$G$49="Battery",1-'Operating costs'!$B$44,1),0)),"n.a.")</f>
        <v>0</v>
      </c>
      <c r="V178" s="1">
        <f>IFERROR(IF(C178=0,0,IF(D178="EV",IF('Replacement plan'!$E$49="",INDEX(Products!$D$7:$D$13,MATCH('Replacement plan'!$B$49,Products!$A$7:$A$13,0)),'Replacement plan'!$E$49),0)),"n.a.")</f>
        <v>0</v>
      </c>
      <c r="W178" s="1">
        <f>IF(C178=0,0,IF(AND(P178="Complete",D178="EV",E178&lt;120),IF(T178=0,0,ROUNDUP(T178*(R178-'Operating costs'!$B$41)*(S178*U178+'Operating costs'!$B$48/(1-'Operating costs'!$B$44))/(V178*'Operating costs'!$B$47/(1-'Operating costs'!$B$44)-T178*'Operating costs'!$B$12*U178),0)),0))</f>
        <v>0</v>
      </c>
      <c r="X178" s="1">
        <f>IF(C178=0,0,IF(AND(P178="Complete",D178="EV",E178&lt;120),(R178-'Operating costs'!$B$41)*(S178*U178+'Operating costs'!$B$48/(1-'Operating costs'!$B$44))+W178*'Operating costs'!$B$12*U178,0))</f>
        <v>0</v>
      </c>
      <c r="Y178" s="1">
        <f>IF(AND(C178=1,D178="EV",E178&lt;120),AI178/(1-'Operating costs'!$B$44)*(1-T178),0)</f>
        <v>0</v>
      </c>
      <c r="Z178" s="1">
        <f t="shared" si="4"/>
        <v>0</v>
      </c>
      <c r="AA178" s="1">
        <f>IF(C178=0,0,IF(P178="Complete",((S178*(R178-'Operating costs'!$B$40))+ROUNDUP(S178*(R178-'Operating costs'!$B$40)*IF('Replacement plan'!$AH$49="",'Operating costs'!$B$7,'Replacement plan'!$AH$49)/('Operating costs'!$B$8-'Operating costs'!$B$9*IF('Replacement plan'!$AH$49="",'Operating costs'!$B$7,'Replacement plan'!$AH$49)),0)*'Operating costs'!$B$9)*IF('Replacement plan'!$AH$49="",'Operating costs'!$B$7,'Replacement plan'!$AH$49),"n.a."))</f>
        <v>0</v>
      </c>
      <c r="AB178" s="1">
        <f t="shared" si="5"/>
        <v>0</v>
      </c>
      <c r="AC178" s="1">
        <f>IF(AND(C178=1,D178="EV",E178&lt;120,T178&gt;0),'Operating costs'!$B$12/'Operating costs'!$B$11*60+'Operating costs'!$B$13+'Operating costs'!$B$14+V178*'Operating costs'!$B$47/(1-'Operating costs'!$B$44)/'Replacement plan'!$L$49*60,0)</f>
        <v>0</v>
      </c>
      <c r="AD178" s="1" t="str">
        <f>'Replacement plan'!$B$49</f>
        <v>ChengLong L2EV</v>
      </c>
      <c r="AE178" s="1">
        <f>IF(C178=0,0,VLOOKUP($A178,'Fleet register'!$A$7:$S$106,8,FALSE))</f>
        <v>0</v>
      </c>
      <c r="AF178" s="1" t="str">
        <f>IF('Replacement plan'!$H$49="","n.a.",'Replacement plan'!$H$49)</f>
        <v>n.a.</v>
      </c>
      <c r="AG178" s="1">
        <f>'Replacement plan'!$J$49</f>
        <v>22</v>
      </c>
      <c r="AH178" s="1">
        <f>IFERROR(IF(D178="EV",IF('Replacement plan'!$K$49="AC",IF(ISNUMBER(INDEX(Products!$G$7:$G$13,MATCH('Replacement plan'!$B$49,Products!$A$7:$A$13,0))),INDEX(Products!$G$7:$G$13,MATCH('Replacement plan'!$B$49,Products!$A$7:$A$13,0)),"n.a."),IF(ISNUMBER(INDEX(Products!$H$7:$H$13,MATCH('Replacement plan'!$B$49,Products!$A$7:$A$13,0))),INDEX(Products!$H$7:$H$13,MATCH('Replacement plan'!$B$49,Products!$A$7:$A$13,0)),"n.a.")),0),"n.a.")</f>
        <v>0</v>
      </c>
      <c r="AI178" s="1">
        <f>IF(AND(C178=1,D178="EV",E178&lt;120),(VLOOKUP($A178,'Fleet register'!$A$7:$S$106,7,FALSE)+IF(T178&gt;0,'Operating costs'!$B$12,0))*U178*(1-'Operating costs'!$B$44)+'Operating costs'!$B$49,0)</f>
        <v>0</v>
      </c>
      <c r="AJ178" s="1">
        <f>IF(D178="EV",'Energy and charging'!$C$50,0)</f>
        <v>0</v>
      </c>
      <c r="AK178" s="17">
        <f>EDATE('Operating costs'!$B$63,E178)</f>
        <v>46298</v>
      </c>
      <c r="AL178" s="1">
        <f>IFERROR(IF(D178="EV",INDEX(Products!$B$7:$B$13,MATCH('Replacement plan'!$B$49,Products!$A$7:$A$13,0)),0),"n.a.")</f>
        <v>0</v>
      </c>
      <c r="AM178" s="1" t="str">
        <f>'Replacement plan'!$K$49</f>
        <v>DC</v>
      </c>
      <c r="AN178" s="1" t="str">
        <f>'Replacement plan'!$AE$49</f>
        <v>Assumed</v>
      </c>
      <c r="AO178" s="47">
        <f>IF(AND(C178=1,D178="EV",E178&lt;120),(R178-'Operating costs'!$B$41)*S178+W178*'Operating costs'!$B$12,0)</f>
        <v>0</v>
      </c>
      <c r="AP178" s="41">
        <f>IF(AND(C178=1,D178="EV",E178&lt;120),IF('Operating costs'!$B$68="Hong Seh 200k average",AO178*IFERROR(INDEX(Products!$P$7:$P$13,MATCH(AD178,Products!$A$7:$A$13,0)),"n.a."),'Operating costs'!$B$26),0)</f>
        <v>0</v>
      </c>
      <c r="AQ178" s="40" t="str">
        <f>IF(D178="EV",'Operating costs'!$B$68,"Not applicable")</f>
        <v>Not applicable</v>
      </c>
    </row>
    <row r="179" spans="1:43" ht="24" customHeight="1">
      <c r="A179" s="1" t="str">
        <f>'Replacement plan'!A50</f>
        <v>T044</v>
      </c>
      <c r="B179" s="1">
        <v>0</v>
      </c>
      <c r="C179" s="1">
        <f>IF(COUNTIFS('Fleet register'!$A$7:$A$106,$A179)=1,VLOOKUP($A179,'Fleet register'!$A$7:$S$106,2,FALSE),0)</f>
        <v>0</v>
      </c>
      <c r="D179" s="1" t="str">
        <f>IF("Keep ICE"="EV","EV","ICE")</f>
        <v>ICE</v>
      </c>
      <c r="E179" s="1">
        <f>IF(C179=0,0,IF('Replacement plan'!$M$50="",VLOOKUP($A179,'Fleet register'!$A$7:$S$106,10,FALSE),'Replacement plan'!$M$50))</f>
        <v>0</v>
      </c>
      <c r="F179" s="16">
        <f>IF(C179=0,0,VLOOKUP($A179,'Fleet register'!$A$7:$S$106,11,FALSE))</f>
        <v>0</v>
      </c>
      <c r="G179" s="16">
        <f>IFERROR(IF(C179=0,0,IF(E179=120,0,IF(D179="ICE",'Replacement plan'!$C$50,IF('Replacement plan'!$D$50="",INDEX(Products!$I$7:$I$13,MATCH('Replacement plan'!$B$50,Products!$A$7:$A$13,0))+'Operating costs'!$B$57,'Replacement plan'!$D$50))*(1+'Operating costs'!$B$50)^(E179/12))),"n.a.")</f>
        <v>0</v>
      </c>
      <c r="H179" s="16">
        <f>IFERROR(IF(C179=0,0,IF(E179=0,F179,VLOOKUP($A179,'Fleet register'!$A$7:$S$106,12,FALSE)+VLOOKUP($A179,'Fleet register'!$A$7:$S$106,13,FALSE)*MAX(0,VLOOKUP($A179,'Fleet register'!$A$7:$S$106,10,FALSE)-E179)/VLOOKUP($A179,'Fleet register'!$A$7:$S$106,14,FALSE))),"n.a.")</f>
        <v>0</v>
      </c>
      <c r="I179" s="16">
        <f>IF(C179=0,0,IF(E179=120,0,'Replacement plan'!$N$50))</f>
        <v>0</v>
      </c>
      <c r="J179" s="16">
        <f>IF(C179=0,0,IF(P179="Complete",((S179*(R179-'Operating costs'!$B$39))+ROUNDUP(S179*(R179-'Operating costs'!$B$39)*IF('Replacement plan'!$AG$50="",'Operating costs'!$B$7,'Replacement plan'!$AG$50)/('Operating costs'!$B$8-'Operating costs'!$B$9*IF('Replacement plan'!$AG$50="",'Operating costs'!$B$7,'Replacement plan'!$AG$50)),0)*'Operating costs'!$B$9)*IF('Replacement plan'!$AG$50="",'Operating costs'!$B$7,'Replacement plan'!$AG$50)*('Energy and charging'!$B$9*'Energy and charging'!$B$7+(1-'Energy and charging'!$B$9)*'Energy and charging'!$B$8)*'Operating costs'!$B$23,"n.a."))</f>
        <v>0</v>
      </c>
      <c r="K179" s="16">
        <f>IF(C179=0,0,IF(P179="Complete",SUM('Operating costs'!$B$24,'Operating costs'!$B$27,'Operating costs'!$B$29,'Operating costs'!$B$31,'Operating costs'!$B$33,'Operating costs'!$B$34,'Operating costs'!$B$37,'Replacement plan'!$W$50)+'Operating costs'!$B$39*'Operating costs'!$B$42+ROUNDUP(S179*(R179-'Operating costs'!$B$39)*IF('Replacement plan'!$AG$50="",'Operating costs'!$B$7,'Replacement plan'!$AG$50)/('Operating costs'!$B$8-'Operating costs'!$B$9*IF('Replacement plan'!$AG$50="",'Operating costs'!$B$7,'Replacement plan'!$AG$50)),0)*('Operating costs'!$B$9/'Operating costs'!$B$11+'Operating costs'!$B$10/60)*'Operating costs'!$B$19*'Operating costs'!$B$21,"n.a."))</f>
        <v>0</v>
      </c>
      <c r="L179" s="16">
        <f>IF(C179=0,0,IF(P179="Complete",IF(D179="EV",X179*((1-T179)*'Energy and charging'!$B$10+T179*'Energy and charging'!$B$11)*'Operating costs'!$B$22,AA179*('Energy and charging'!$B$9*'Energy and charging'!$B$7+(1-'Energy and charging'!$B$9)*'Energy and charging'!$B$8)*'Operating costs'!$B$23),"n.a."))</f>
        <v>0</v>
      </c>
      <c r="M179" s="37">
        <f>IF(C179=0,0,IF(P179="Complete",IF(D179="ICE",SUM('Operating costs'!$B$25,'Operating costs'!$B$27,'Operating costs'!$B$29,'Operating costs'!$B$31,'Operating costs'!$B$33,'Operating costs'!$B$35,'Operating costs'!$B$37,'Replacement plan'!$X$50)+'Operating costs'!$B$40*'Operating costs'!$B$42+ROUNDUP(S179*(R179-'Operating costs'!$B$40)*IF('Replacement plan'!$AH$50="",'Operating costs'!$B$7,'Replacement plan'!$AH$50)/('Operating costs'!$B$8-'Operating costs'!$B$9*IF('Replacement plan'!$AH$50="",'Operating costs'!$B$7,'Replacement plan'!$AH$50)),0)*('Operating costs'!$B$9/'Operating costs'!$B$11+'Operating costs'!$B$10/60)*'Operating costs'!$B$19*'Operating costs'!$B$21,SUM(AP179,'Operating costs'!$B$28,'Operating costs'!$B$30,'Operating costs'!$B$32,'Operating costs'!$B$33,'Operating costs'!$B$36,'Operating costs'!$B$38,'Replacement plan'!$Y$50)+'Operating costs'!$B$41*'Operating costs'!$B$43+W179*'Operating costs'!$B$15+(T179*X179/'Replacement plan'!$L$50+W179*('Operating costs'!$B$12/'Operating costs'!$B$11+('Operating costs'!$B$13+'Operating costs'!$B$14)/60)+(R179-'Operating costs'!$B$41)*(IF(T179&lt;1,'Operating costs'!$B$16,0)+'Operating costs'!$B$17)/60)*'Operating costs'!$B$19*'Operating costs'!$B$20),"n.a."))</f>
        <v>0</v>
      </c>
      <c r="N179" s="16">
        <f>IF(AND(C179=1,D179="EV",E179&lt;120,E179+'Replacement plan'!$AA$50&lt;=120),'Replacement plan'!$Z$50,0)</f>
        <v>0</v>
      </c>
      <c r="O179" s="1">
        <f>E179+'Replacement plan'!$AA$50</f>
        <v>0</v>
      </c>
      <c r="P179" s="35" t="str">
        <f>IFERROR(IF(C179=0,"Excluded",IF(OR(COUNTIFS('Fleet register'!$A$7:$A$106,A179)&lt;&gt;1,COUNTIFS('Replacement plan'!$A$7:$A$106,A179)&lt;&gt;1),"Duplicate/missing ID",IF(NOT(AND(ISNUMBER(VLOOKUP($A179,'Fleet register'!$A$7:$S$106,5,FALSE)),ISNUMBER(VLOOKUP($A179,'Fleet register'!$A$7:$S$106,6,FALSE)),ISNUMBER(VLOOKUP($A179,'Fleet register'!$A$7:$S$106,10,FALSE)),ISNUMBER(VLOOKUP($A179,'Fleet register'!$A$7:$S$106,11,FALSE)),ISNUMBER(VLOOKUP($A179,'Fleet register'!$A$7:$S$106,12,FALSE)),ISNUMBER(VLOOKUP($A179,'Fleet register'!$A$7:$S$106,13,FALSE)),ISNUMBER(VLOOKUP($A179,'Fleet register'!$A$7:$S$106,14,FALSE)),VLOOKUP($A179,'Fleet register'!$A$7:$S$106,14,FALSE)&gt;0,ISNUMBER('Replacement plan'!$C$50),OR(E179=120,ISNUMBER('Replacement plan'!$N$50)),ISNUMBER(E179))),"Missing vehicle input",IF(OR(E179&lt;0,E179&gt;VLOOKUP($A179,'Fleet register'!$A$7:$S$106,10,FALSE),E179&gt;120,E179&lt;&gt;INT(E179),VLOOKUP($A179,'Fleet register'!$A$7:$S$106,6,FALSE)&lt;=0,VLOOKUP($A179,'Fleet register'!$A$7:$S$106,6,FALSE)&gt;366,VLOOKUP($A179,'Fleet register'!$A$7:$S$106,5,FALSE)&lt;0,VLOOKUP($A179,'Fleet register'!$A$7:$S$106,11,FALSE)&lt;0,I179&lt;0,'Operating costs'!$B$8&lt;='Operating costs'!$B$7*'Operating costs'!$B$9,'Operating costs'!$B$11&lt;=0,'Operating costs'!$B$39&gt;R179,'Operating costs'!$B$40&gt;R179,'Operating costs'!$B$41&gt;R179,NOT(OR("Keep ICE"="Keep ICE","Keep ICE"="New ICE","Keep ICE"="EV"))),"Invalid vehicle input",IF(AND(D179="EV",E179&lt;120,OR(NOT(ISNUMBER(U179)),NOT(ISNUMBER(V179)),V179&lt;=0,T179&lt;0,T179&gt;1,'Replacement plan'!$L$50&lt;=0,'Operating costs'!$B$44&lt;0,'Operating costs'!$B$44&gt;=1,'Operating costs'!$B$47&lt;=0,'Operating costs'!$B$47&gt;1,V179*'Operating costs'!$B$47/(1-'Operating costs'!$B$44)&lt;=T179*'Operating costs'!$B$12*U179,AND('Replacement plan'!$Z$50&gt;0,OR('Replacement plan'!$AB$50&lt;&gt;"Yes",'Operating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charging'!$B$8&gt;=0))),ISNUMBER(VLOOKUP($A179,'Fleet register'!$A$7:$S$106,15,FALSE)),ISNUMBER(VLOOKUP($A179,'Fleet register'!$A$7:$S$106,16,FALSE)),ISNUMBER('Replacement plan'!$W$50),ISNUMBER('Replacement plan'!$X$50),OR(E179=120,AND(ISNUMBER(G179),G179&gt;=0)),ISNUMBER(H179),H179&gt;=0,OR(D179&lt;&gt;"EV",E179=120,AND(ISNUMBER('Operating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average",ISNUMBER(IFERROR(INDEX(Products!$P$7:$P$13,MATCH(AD179,Products!$A$7:$A$13,0)),"")))),ISNUMBER('Operating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plan'!$Y$50),ISNUMBER('Replacement plan'!$Z$50),'Replacement plan'!$Z$50&gt;=0,ISNUMBER('Replacement plan'!$AA$50),'Replacement plan'!$AA$50&gt;=0,'Replacement plan'!$AA$50=INT('Replacement plan'!$AA$50),ISNUMBER('Replacement plan'!$L$50))),'Operating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plan'!$AG$50="",'Operating costs'!$B$7,'Replacement plan'!$AG$50)),IF('Replacement plan'!$AG$50="",'Operating costs'!$B$7,'Replacement plan'!$AG$50)&gt;=0,ISNUMBER(IF('Replacement plan'!$AH$50="",'Operating costs'!$B$7,'Replacement plan'!$AH$50)),IF('Replacement plan'!$AH$50="",'Operating costs'!$B$7,'Replacement plan'!$AH$50)&gt;=0,'Operating costs'!$B$8&gt;MAX(IF('Replacement plan'!$AG$50="",'Operating costs'!$B$7,'Replacement plan'!$AG$50),IF('Replacement plan'!$AH$50="",'Operating costs'!$B$7,'Replacement plan'!$AH$50))*'Operating costs'!$B$9),IF(AND(VLOOKUP($A179,'Fleet register'!$A$7:$S$106,10,FALSE)&gt;=0,VLOOKUP($A179,'Fleet register'!$A$7:$S$106,10,FALSE)&lt;=120,VLOOKUP($A179,'Fleet register'!$A$7:$S$106,10,FALSE)=INT(VLOOKUP($A179,'Fleet register'!$A$7:$S$106,10,FALSE)),VLOOKUP($A179,'Fleet register'!$A$7:$S$106,15,FALSE)&gt;=0,VLOOKUP($A179,'Fleet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costs'!$B$67)&gt;=0,OR(D179&lt;&gt;"EV",E179=120,AND(MIN('Operating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79" s="1" t="str">
        <f>IF(C179=0,"Excluded",IF(P179&lt;&gt;"Complete",P179,IF(OR('Replacement plan'!$AD$50&lt;120-E179,AND(D179="EV",E179&lt;120,OR('Replacement plan'!$AC$50&lt;120-E179,'Replacement plan'!$I$50="No",AND(ISNUMBER(AF179),AE179&gt;AF179),AI179&gt;V179*(1-'Operating costs'!$B$46)^MAX(0,AB179-1)*(1-'Operating costs'!$B$45),AC179&gt;'Operating costs'!$B$18,AND(T179&lt;1,OR(AG179&lt;=0,AND(ISNUMBER(AH179),AG179&gt;AH179))),'Replacement plan'!$L$50&gt;INDEX(Products!$H$7:$H$13,MATCH('Replacement plan'!$B$50,Products!$A$7:$A$13,0))))),"Fails entered limits",IF(AND(D179="EV",E179&lt;120,OR(NOT(ISNUMBER(VLOOKUP($A179,'Fleet register'!$A$7:$S$106,7,FALSE))),NOT(ISNUMBER(VLOOKUP($A179,'Fleet register'!$A$7:$S$106,8,FALSE))),NOT(ISNUMBER(AF179)),'Replacement plan'!$I$50&lt;&gt;"Yes",NOT(ISNUMBER(AH179)),'Operating costs'!$B$59&lt;&gt;"Yes",'Operating costs'!$B$58&lt;&gt;"Yes")),"Unverified","Within entered limits"))))</f>
        <v>Excluded</v>
      </c>
      <c r="R179" s="1">
        <f>IF(C179=0,0,VLOOKUP($A179,'Fleet register'!$A$7:$S$106,6,FALSE))</f>
        <v>0</v>
      </c>
      <c r="S179" s="1">
        <f>IF(C179=0,0,VLOOKUP($A179,'Fleet register'!$A$7:$S$106,5,FALSE))</f>
        <v>0</v>
      </c>
      <c r="T179" s="1">
        <f>IF(D179="EV",'Energy and charging'!$B$12,0)</f>
        <v>0</v>
      </c>
      <c r="U179" s="1">
        <f>IFERROR(IF(C179=0,0,IF(D179="EV",IF('Replacement plan'!$F$50="",INDEX(Products!$E$7:$E$13,MATCH('Replacement plan'!$B$50,Products!$A$7:$A$13,0)),'Replacement plan'!$F$50)/IF('Replacement plan'!$G$50="Battery",1-'Operating costs'!$B$44,1),0)),"n.a.")</f>
        <v>0</v>
      </c>
      <c r="V179" s="1">
        <f>IFERROR(IF(C179=0,0,IF(D179="EV",IF('Replacement plan'!$E$50="",INDEX(Products!$D$7:$D$13,MATCH('Replacement plan'!$B$50,Products!$A$7:$A$13,0)),'Replacement plan'!$E$50),0)),"n.a.")</f>
        <v>0</v>
      </c>
      <c r="W179" s="1">
        <f>IF(C179=0,0,IF(AND(P179="Complete",D179="EV",E179&lt;120),IF(T179=0,0,ROUNDUP(T179*(R179-'Operating costs'!$B$41)*(S179*U179+'Operating costs'!$B$48/(1-'Operating costs'!$B$44))/(V179*'Operating costs'!$B$47/(1-'Operating costs'!$B$44)-T179*'Operating costs'!$B$12*U179),0)),0))</f>
        <v>0</v>
      </c>
      <c r="X179" s="1">
        <f>IF(C179=0,0,IF(AND(P179="Complete",D179="EV",E179&lt;120),(R179-'Operating costs'!$B$41)*(S179*U179+'Operating costs'!$B$48/(1-'Operating costs'!$B$44))+W179*'Operating costs'!$B$12*U179,0))</f>
        <v>0</v>
      </c>
      <c r="Y179" s="1">
        <f>IF(AND(C179=1,D179="EV",E179&lt;120),AI179/(1-'Operating costs'!$B$44)*(1-T179),0)</f>
        <v>0</v>
      </c>
      <c r="Z179" s="1">
        <f t="shared" si="4"/>
        <v>0</v>
      </c>
      <c r="AA179" s="1">
        <f>IF(C179=0,0,IF(P179="Complete",((S179*(R179-'Operating costs'!$B$40))+ROUNDUP(S179*(R179-'Operating costs'!$B$40)*IF('Replacement plan'!$AH$50="",'Operating costs'!$B$7,'Replacement plan'!$AH$50)/('Operating costs'!$B$8-'Operating costs'!$B$9*IF('Replacement plan'!$AH$50="",'Operating costs'!$B$7,'Replacement plan'!$AH$50)),0)*'Operating costs'!$B$9)*IF('Replacement plan'!$AH$50="",'Operating costs'!$B$7,'Replacement plan'!$AH$50),"n.a."))</f>
        <v>0</v>
      </c>
      <c r="AB179" s="1">
        <f t="shared" si="5"/>
        <v>0</v>
      </c>
      <c r="AC179" s="1">
        <f>IF(AND(C179=1,D179="EV",E179&lt;120,T179&gt;0),'Operating costs'!$B$12/'Operating costs'!$B$11*60+'Operating costs'!$B$13+'Operating costs'!$B$14+V179*'Operating costs'!$B$47/(1-'Operating costs'!$B$44)/'Replacement plan'!$L$50*60,0)</f>
        <v>0</v>
      </c>
      <c r="AD179" s="1" t="str">
        <f>'Replacement plan'!$B$50</f>
        <v>ChengLong L2EV</v>
      </c>
      <c r="AE179" s="1">
        <f>IF(C179=0,0,VLOOKUP($A179,'Fleet register'!$A$7:$S$106,8,FALSE))</f>
        <v>0</v>
      </c>
      <c r="AF179" s="1" t="str">
        <f>IF('Replacement plan'!$H$50="","n.a.",'Replacement plan'!$H$50)</f>
        <v>n.a.</v>
      </c>
      <c r="AG179" s="1">
        <f>'Replacement plan'!$J$50</f>
        <v>22</v>
      </c>
      <c r="AH179" s="1">
        <f>IFERROR(IF(D179="EV",IF('Replacement plan'!$K$50="AC",IF(ISNUMBER(INDEX(Products!$G$7:$G$13,MATCH('Replacement plan'!$B$50,Products!$A$7:$A$13,0))),INDEX(Products!$G$7:$G$13,MATCH('Replacement plan'!$B$50,Products!$A$7:$A$13,0)),"n.a."),IF(ISNUMBER(INDEX(Products!$H$7:$H$13,MATCH('Replacement plan'!$B$50,Products!$A$7:$A$13,0))),INDEX(Products!$H$7:$H$13,MATCH('Replacement plan'!$B$50,Products!$A$7:$A$13,0)),"n.a.")),0),"n.a.")</f>
        <v>0</v>
      </c>
      <c r="AI179" s="1">
        <f>IF(AND(C179=1,D179="EV",E179&lt;120),(VLOOKUP($A179,'Fleet register'!$A$7:$S$106,7,FALSE)+IF(T179&gt;0,'Operating costs'!$B$12,0))*U179*(1-'Operating costs'!$B$44)+'Operating costs'!$B$49,0)</f>
        <v>0</v>
      </c>
      <c r="AJ179" s="1">
        <f>IF(D179="EV",'Energy and charging'!$B$50,0)</f>
        <v>0</v>
      </c>
      <c r="AK179" s="17">
        <f>EDATE('Operating costs'!$B$63,E179)</f>
        <v>46298</v>
      </c>
      <c r="AL179" s="1">
        <f>IFERROR(IF(D179="EV",INDEX(Products!$B$7:$B$13,MATCH('Replacement plan'!$B$50,Products!$A$7:$A$13,0)),0),"n.a.")</f>
        <v>0</v>
      </c>
      <c r="AM179" s="1" t="str">
        <f>'Replacement plan'!$K$50</f>
        <v>DC</v>
      </c>
      <c r="AN179" s="1" t="str">
        <f>'Replacement plan'!$AE$50</f>
        <v>Assumed</v>
      </c>
      <c r="AO179" s="47">
        <f>IF(AND(C179=1,D179="EV",E179&lt;120),(R179-'Operating costs'!$B$41)*S179+W179*'Operating costs'!$B$12,0)</f>
        <v>0</v>
      </c>
      <c r="AP179" s="41">
        <f>IF(AND(C179=1,D179="EV",E179&lt;120),IF('Operating costs'!$B$68="Hong Seh 200k average",AO179*IFERROR(INDEX(Products!$P$7:$P$13,MATCH(AD179,Products!$A$7:$A$13,0)),"n.a."),'Operating costs'!$B$26),0)</f>
        <v>0</v>
      </c>
      <c r="AQ179" s="40" t="str">
        <f>IF(D179="EV",'Operating costs'!$B$68,"Not applicable")</f>
        <v>Not applicable</v>
      </c>
    </row>
    <row r="180" spans="1:43" ht="24" customHeight="1">
      <c r="A180" s="1" t="str">
        <f>'Replacement plan'!A50</f>
        <v>T044</v>
      </c>
      <c r="B180" s="1">
        <v>1</v>
      </c>
      <c r="C180" s="1">
        <f>IF(COUNTIFS('Fleet register'!$A$7:$A$106,$A180)=1,VLOOKUP($A180,'Fleet register'!$A$7:$S$106,2,FALSE),0)</f>
        <v>0</v>
      </c>
      <c r="D180" s="1" t="str">
        <f>IF("New ICE"="EV","EV","ICE")</f>
        <v>ICE</v>
      </c>
      <c r="E180" s="1">
        <f>IF(C180=0,0,0)</f>
        <v>0</v>
      </c>
      <c r="F180" s="16">
        <f>IF(C180=0,0,VLOOKUP($A180,'Fleet register'!$A$7:$S$106,11,FALSE))</f>
        <v>0</v>
      </c>
      <c r="G180" s="16">
        <f>IFERROR(IF(C180=0,0,IF(E180=120,0,IF(D180="ICE",'Replacement plan'!$C$50,IF('Replacement plan'!$D$50="",INDEX(Products!$I$7:$I$13,MATCH('Replacement plan'!$B$50,Products!$A$7:$A$13,0))+'Operating costs'!$B$57,'Replacement plan'!$D$50))*(1+'Operating costs'!$B$50)^(E180/12))),"n.a.")</f>
        <v>0</v>
      </c>
      <c r="H180" s="16">
        <f>IFERROR(IF(C180=0,0,IF(E180=0,F180,VLOOKUP($A180,'Fleet register'!$A$7:$S$106,12,FALSE)+VLOOKUP($A180,'Fleet register'!$A$7:$S$106,13,FALSE)*MAX(0,VLOOKUP($A180,'Fleet register'!$A$7:$S$106,10,FALSE)-E180)/VLOOKUP($A180,'Fleet register'!$A$7:$S$106,14,FALSE))),"n.a.")</f>
        <v>0</v>
      </c>
      <c r="I180" s="16">
        <f>IF(C180=0,0,IF(E180=120,0,IF('Replacement plan'!$AI$50="",'Operating costs'!$B$56,'Replacement plan'!$AI$50)))</f>
        <v>0</v>
      </c>
      <c r="J180" s="16">
        <f>IF(C180=0,0,IF(P180="Complete",((S180*(R180-'Operating costs'!$B$39))+ROUNDUP(S180*(R180-'Operating costs'!$B$39)*IF('Replacement plan'!$AG$50="",'Operating costs'!$B$7,'Replacement plan'!$AG$50)/('Operating costs'!$B$8-'Operating costs'!$B$9*IF('Replacement plan'!$AG$50="",'Operating costs'!$B$7,'Replacement plan'!$AG$50)),0)*'Operating costs'!$B$9)*IF('Replacement plan'!$AG$50="",'Operating costs'!$B$7,'Replacement plan'!$AG$50)*('Energy and charging'!$B$9*'Energy and charging'!$B$7+(1-'Energy and charging'!$B$9)*'Energy and charging'!$B$8)*'Operating costs'!$B$23,"n.a."))</f>
        <v>0</v>
      </c>
      <c r="K180" s="16">
        <f>IF(C180=0,0,IF(P180="Complete",SUM('Operating costs'!$B$24,'Operating costs'!$B$27,'Operating costs'!$B$29,'Operating costs'!$B$31,'Operating costs'!$B$33,'Operating costs'!$B$34,'Operating costs'!$B$37,'Replacement plan'!$W$50)+'Operating costs'!$B$39*'Operating costs'!$B$42+ROUNDUP(S180*(R180-'Operating costs'!$B$39)*IF('Replacement plan'!$AG$50="",'Operating costs'!$B$7,'Replacement plan'!$AG$50)/('Operating costs'!$B$8-'Operating costs'!$B$9*IF('Replacement plan'!$AG$50="",'Operating costs'!$B$7,'Replacement plan'!$AG$50)),0)*('Operating costs'!$B$9/'Operating costs'!$B$11+'Operating costs'!$B$10/60)*'Operating costs'!$B$19*'Operating costs'!$B$21,"n.a."))</f>
        <v>0</v>
      </c>
      <c r="L180" s="16">
        <f>IF(C180=0,0,IF(P180="Complete",IF(D180="EV",X180*((1-T180)*'Energy and charging'!$B$10+T180*'Energy and charging'!$B$11)*'Operating costs'!$B$22,AA180*('Energy and charging'!$B$9*'Energy and charging'!$B$7+(1-'Energy and charging'!$B$9)*'Energy and charging'!$B$8)*'Operating costs'!$B$23),"n.a."))</f>
        <v>0</v>
      </c>
      <c r="M180" s="37">
        <f>IF(C180=0,0,IF(P180="Complete",IF(D180="ICE",SUM('Operating costs'!$B$25,'Operating costs'!$B$27,'Operating costs'!$B$29,'Operating costs'!$B$31,'Operating costs'!$B$33,'Operating costs'!$B$35,'Operating costs'!$B$37,'Replacement plan'!$X$50)+'Operating costs'!$B$40*'Operating costs'!$B$42+ROUNDUP(S180*(R180-'Operating costs'!$B$40)*IF('Replacement plan'!$AH$50="",'Operating costs'!$B$7,'Replacement plan'!$AH$50)/('Operating costs'!$B$8-'Operating costs'!$B$9*IF('Replacement plan'!$AH$50="",'Operating costs'!$B$7,'Replacement plan'!$AH$50)),0)*('Operating costs'!$B$9/'Operating costs'!$B$11+'Operating costs'!$B$10/60)*'Operating costs'!$B$19*'Operating costs'!$B$21,SUM(AP180,'Operating costs'!$B$28,'Operating costs'!$B$30,'Operating costs'!$B$32,'Operating costs'!$B$33,'Operating costs'!$B$36,'Operating costs'!$B$38,'Replacement plan'!$Y$50)+'Operating costs'!$B$41*'Operating costs'!$B$43+W180*'Operating costs'!$B$15+(T180*X180/'Replacement plan'!$L$50+W180*('Operating costs'!$B$12/'Operating costs'!$B$11+('Operating costs'!$B$13+'Operating costs'!$B$14)/60)+(R180-'Operating costs'!$B$41)*(IF(T180&lt;1,'Operating costs'!$B$16,0)+'Operating costs'!$B$17)/60)*'Operating costs'!$B$19*'Operating costs'!$B$20),"n.a."))</f>
        <v>0</v>
      </c>
      <c r="N180" s="16">
        <f>IF(AND(C180=1,D180="EV",E180&lt;120,E180+'Replacement plan'!$AA$50&lt;=120),'Replacement plan'!$Z$50,0)</f>
        <v>0</v>
      </c>
      <c r="O180" s="1">
        <f>E180+'Replacement plan'!$AA$50</f>
        <v>0</v>
      </c>
      <c r="P180" s="35" t="str">
        <f>IFERROR(IF(C180=0,"Excluded",IF(OR(COUNTIFS('Fleet register'!$A$7:$A$106,A180)&lt;&gt;1,COUNTIFS('Replacement plan'!$A$7:$A$106,A180)&lt;&gt;1),"Duplicate/missing ID",IF(NOT(AND(ISNUMBER(VLOOKUP($A180,'Fleet register'!$A$7:$S$106,5,FALSE)),ISNUMBER(VLOOKUP($A180,'Fleet register'!$A$7:$S$106,6,FALSE)),ISNUMBER(VLOOKUP($A180,'Fleet register'!$A$7:$S$106,10,FALSE)),ISNUMBER(VLOOKUP($A180,'Fleet register'!$A$7:$S$106,11,FALSE)),ISNUMBER(VLOOKUP($A180,'Fleet register'!$A$7:$S$106,12,FALSE)),ISNUMBER(VLOOKUP($A180,'Fleet register'!$A$7:$S$106,13,FALSE)),ISNUMBER(VLOOKUP($A180,'Fleet register'!$A$7:$S$106,14,FALSE)),VLOOKUP($A180,'Fleet register'!$A$7:$S$106,14,FALSE)&gt;0,ISNUMBER('Replacement plan'!$C$50),OR(E180=120,OR(ISNUMBER('Replacement plan'!$AI$50),AND('Replacement plan'!$AI$50="",ISNUMBER('Operating costs'!$B$56)))),ISNUMBER(E180))),"Missing vehicle input",IF(OR(E180&lt;0,E180&gt;VLOOKUP($A180,'Fleet register'!$A$7:$S$106,10,FALSE),E180&gt;120,E180&lt;&gt;INT(E180),VLOOKUP($A180,'Fleet register'!$A$7:$S$106,6,FALSE)&lt;=0,VLOOKUP($A180,'Fleet register'!$A$7:$S$106,6,FALSE)&gt;366,VLOOKUP($A180,'Fleet register'!$A$7:$S$106,5,FALSE)&lt;0,VLOOKUP($A180,'Fleet register'!$A$7:$S$106,11,FALSE)&lt;0,I180&lt;0,'Operating costs'!$B$8&lt;='Operating costs'!$B$7*'Operating costs'!$B$9,'Operating costs'!$B$11&lt;=0,'Operating costs'!$B$39&gt;R180,'Operating costs'!$B$40&gt;R180,'Operating costs'!$B$41&gt;R180,NOT(OR("New ICE"="Keep ICE","New ICE"="New ICE","New ICE"="EV"))),"Invalid vehicle input",IF(AND(D180="EV",E180&lt;120,OR(NOT(ISNUMBER(U180)),NOT(ISNUMBER(V180)),V180&lt;=0,T180&lt;0,T180&gt;1,'Replacement plan'!$L$50&lt;=0,'Operating costs'!$B$44&lt;0,'Operating costs'!$B$44&gt;=1,'Operating costs'!$B$47&lt;=0,'Operating costs'!$B$47&gt;1,V180*'Operating costs'!$B$47/(1-'Operating costs'!$B$44)&lt;=T180*'Operating costs'!$B$12*U180,AND('Replacement plan'!$Z$50&gt;0,OR('Replacement plan'!$AB$50&lt;&gt;"Yes",'Operating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charging'!$B$8&gt;=0))),ISNUMBER(VLOOKUP($A180,'Fleet register'!$A$7:$S$106,15,FALSE)),ISNUMBER(VLOOKUP($A180,'Fleet register'!$A$7:$S$106,16,FALSE)),ISNUMBER('Replacement plan'!$W$50),ISNUMBER('Replacement plan'!$X$50),OR(E180=120,AND(ISNUMBER(G180),G180&gt;=0)),ISNUMBER(H180),H180&gt;=0,OR(D180&lt;&gt;"EV",E180=120,AND(ISNUMBER('Operating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average",ISNUMBER(IFERROR(INDEX(Products!$P$7:$P$13,MATCH(AD180,Products!$A$7:$A$13,0)),"")))),ISNUMBER('Operating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plan'!$Y$50),ISNUMBER('Replacement plan'!$Z$50),'Replacement plan'!$Z$50&gt;=0,ISNUMBER('Replacement plan'!$AA$50),'Replacement plan'!$AA$50&gt;=0,'Replacement plan'!$AA$50=INT('Replacement plan'!$AA$50),ISNUMBER('Replacement plan'!$L$50))),'Operating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plan'!$AG$50="",'Operating costs'!$B$7,'Replacement plan'!$AG$50)),IF('Replacement plan'!$AG$50="",'Operating costs'!$B$7,'Replacement plan'!$AG$50)&gt;=0,ISNUMBER(IF('Replacement plan'!$AH$50="",'Operating costs'!$B$7,'Replacement plan'!$AH$50)),IF('Replacement plan'!$AH$50="",'Operating costs'!$B$7,'Replacement plan'!$AH$50)&gt;=0,'Operating costs'!$B$8&gt;MAX(IF('Replacement plan'!$AG$50="",'Operating costs'!$B$7,'Replacement plan'!$AG$50),IF('Replacement plan'!$AH$50="",'Operating costs'!$B$7,'Replacement plan'!$AH$50))*'Operating costs'!$B$9),IF(AND(VLOOKUP($A180,'Fleet register'!$A$7:$S$106,10,FALSE)&gt;=0,VLOOKUP($A180,'Fleet register'!$A$7:$S$106,10,FALSE)&lt;=120,VLOOKUP($A180,'Fleet register'!$A$7:$S$106,10,FALSE)=INT(VLOOKUP($A180,'Fleet register'!$A$7:$S$106,10,FALSE)),VLOOKUP($A180,'Fleet register'!$A$7:$S$106,15,FALSE)&gt;=0,VLOOKUP($A180,'Fleet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costs'!$B$67)&gt;=0,OR(D180&lt;&gt;"EV",E180=120,AND(MIN('Operating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80" s="1" t="str">
        <f>IF(C180=0,"Excluded",IF(P180&lt;&gt;"Complete",P180,IF(OR('Replacement plan'!$AD$50&lt;120-E180,AND(D180="EV",E180&lt;120,OR('Replacement plan'!$AC$50&lt;120-E180,'Replacement plan'!$I$50="No",AND(ISNUMBER(AF180),AE180&gt;AF180),AI180&gt;V180*(1-'Operating costs'!$B$46)^MAX(0,AB180-1)*(1-'Operating costs'!$B$45),AC180&gt;'Operating costs'!$B$18,AND(T180&lt;1,OR(AG180&lt;=0,AND(ISNUMBER(AH180),AG180&gt;AH180))),'Replacement plan'!$L$50&gt;INDEX(Products!$H$7:$H$13,MATCH('Replacement plan'!$B$50,Products!$A$7:$A$13,0))))),"Fails entered limits",IF(AND(D180="EV",E180&lt;120,OR(NOT(ISNUMBER(VLOOKUP($A180,'Fleet register'!$A$7:$S$106,7,FALSE))),NOT(ISNUMBER(VLOOKUP($A180,'Fleet register'!$A$7:$S$106,8,FALSE))),NOT(ISNUMBER(AF180)),'Replacement plan'!$I$50&lt;&gt;"Yes",NOT(ISNUMBER(AH180)),'Operating costs'!$B$59&lt;&gt;"Yes",'Operating costs'!$B$58&lt;&gt;"Yes")),"Unverified","Within entered limits"))))</f>
        <v>Excluded</v>
      </c>
      <c r="R180" s="1">
        <f>IF(C180=0,0,VLOOKUP($A180,'Fleet register'!$A$7:$S$106,6,FALSE))</f>
        <v>0</v>
      </c>
      <c r="S180" s="1">
        <f>IF(C180=0,0,VLOOKUP($A180,'Fleet register'!$A$7:$S$106,5,FALSE))</f>
        <v>0</v>
      </c>
      <c r="T180" s="1">
        <f>IF(D180="EV",'Energy and charging'!$B$12,0)</f>
        <v>0</v>
      </c>
      <c r="U180" s="1">
        <f>IFERROR(IF(C180=0,0,IF(D180="EV",IF('Replacement plan'!$F$50="",INDEX(Products!$E$7:$E$13,MATCH('Replacement plan'!$B$50,Products!$A$7:$A$13,0)),'Replacement plan'!$F$50)/IF('Replacement plan'!$G$50="Battery",1-'Operating costs'!$B$44,1),0)),"n.a.")</f>
        <v>0</v>
      </c>
      <c r="V180" s="1">
        <f>IFERROR(IF(C180=0,0,IF(D180="EV",IF('Replacement plan'!$E$50="",INDEX(Products!$D$7:$D$13,MATCH('Replacement plan'!$B$50,Products!$A$7:$A$13,0)),'Replacement plan'!$E$50),0)),"n.a.")</f>
        <v>0</v>
      </c>
      <c r="W180" s="1">
        <f>IF(C180=0,0,IF(AND(P180="Complete",D180="EV",E180&lt;120),IF(T180=0,0,ROUNDUP(T180*(R180-'Operating costs'!$B$41)*(S180*U180+'Operating costs'!$B$48/(1-'Operating costs'!$B$44))/(V180*'Operating costs'!$B$47/(1-'Operating costs'!$B$44)-T180*'Operating costs'!$B$12*U180),0)),0))</f>
        <v>0</v>
      </c>
      <c r="X180" s="1">
        <f>IF(C180=0,0,IF(AND(P180="Complete",D180="EV",E180&lt;120),(R180-'Operating costs'!$B$41)*(S180*U180+'Operating costs'!$B$48/(1-'Operating costs'!$B$44))+W180*'Operating costs'!$B$12*U180,0))</f>
        <v>0</v>
      </c>
      <c r="Y180" s="1">
        <f>IF(AND(C180=1,D180="EV",E180&lt;120),AI180/(1-'Operating costs'!$B$44)*(1-T180),0)</f>
        <v>0</v>
      </c>
      <c r="Z180" s="1">
        <f t="shared" si="4"/>
        <v>0</v>
      </c>
      <c r="AA180" s="1">
        <f>IF(C180=0,0,IF(P180="Complete",((S180*(R180-'Operating costs'!$B$40))+ROUNDUP(S180*(R180-'Operating costs'!$B$40)*IF('Replacement plan'!$AH$50="",'Operating costs'!$B$7,'Replacement plan'!$AH$50)/('Operating costs'!$B$8-'Operating costs'!$B$9*IF('Replacement plan'!$AH$50="",'Operating costs'!$B$7,'Replacement plan'!$AH$50)),0)*'Operating costs'!$B$9)*IF('Replacement plan'!$AH$50="",'Operating costs'!$B$7,'Replacement plan'!$AH$50),"n.a."))</f>
        <v>0</v>
      </c>
      <c r="AB180" s="1">
        <f t="shared" si="5"/>
        <v>0</v>
      </c>
      <c r="AC180" s="1">
        <f>IF(AND(C180=1,D180="EV",E180&lt;120,T180&gt;0),'Operating costs'!$B$12/'Operating costs'!$B$11*60+'Operating costs'!$B$13+'Operating costs'!$B$14+V180*'Operating costs'!$B$47/(1-'Operating costs'!$B$44)/'Replacement plan'!$L$50*60,0)</f>
        <v>0</v>
      </c>
      <c r="AD180" s="1" t="str">
        <f>'Replacement plan'!$B$50</f>
        <v>ChengLong L2EV</v>
      </c>
      <c r="AE180" s="1">
        <f>IF(C180=0,0,VLOOKUP($A180,'Fleet register'!$A$7:$S$106,8,FALSE))</f>
        <v>0</v>
      </c>
      <c r="AF180" s="1" t="str">
        <f>IF('Replacement plan'!$H$50="","n.a.",'Replacement plan'!$H$50)</f>
        <v>n.a.</v>
      </c>
      <c r="AG180" s="1">
        <f>'Replacement plan'!$J$50</f>
        <v>22</v>
      </c>
      <c r="AH180" s="1">
        <f>IFERROR(IF(D180="EV",IF('Replacement plan'!$K$50="AC",IF(ISNUMBER(INDEX(Products!$G$7:$G$13,MATCH('Replacement plan'!$B$50,Products!$A$7:$A$13,0))),INDEX(Products!$G$7:$G$13,MATCH('Replacement plan'!$B$50,Products!$A$7:$A$13,0)),"n.a."),IF(ISNUMBER(INDEX(Products!$H$7:$H$13,MATCH('Replacement plan'!$B$50,Products!$A$7:$A$13,0))),INDEX(Products!$H$7:$H$13,MATCH('Replacement plan'!$B$50,Products!$A$7:$A$13,0)),"n.a.")),0),"n.a.")</f>
        <v>0</v>
      </c>
      <c r="AI180" s="1">
        <f>IF(AND(C180=1,D180="EV",E180&lt;120),(VLOOKUP($A180,'Fleet register'!$A$7:$S$106,7,FALSE)+IF(T180&gt;0,'Operating costs'!$B$12,0))*U180*(1-'Operating costs'!$B$44)+'Operating costs'!$B$49,0)</f>
        <v>0</v>
      </c>
      <c r="AJ180" s="1">
        <f>IF(D180="EV",'Energy and charging'!$B$50,0)</f>
        <v>0</v>
      </c>
      <c r="AK180" s="17">
        <f>EDATE('Operating costs'!$B$63,E180)</f>
        <v>46298</v>
      </c>
      <c r="AL180" s="1">
        <f>IFERROR(IF(D180="EV",INDEX(Products!$B$7:$B$13,MATCH('Replacement plan'!$B$50,Products!$A$7:$A$13,0)),0),"n.a.")</f>
        <v>0</v>
      </c>
      <c r="AM180" s="1" t="str">
        <f>'Replacement plan'!$K$50</f>
        <v>DC</v>
      </c>
      <c r="AN180" s="1" t="str">
        <f>'Replacement plan'!$AE$50</f>
        <v>Assumed</v>
      </c>
      <c r="AO180" s="47">
        <f>IF(AND(C180=1,D180="EV",E180&lt;120),(R180-'Operating costs'!$B$41)*S180+W180*'Operating costs'!$B$12,0)</f>
        <v>0</v>
      </c>
      <c r="AP180" s="41">
        <f>IF(AND(C180=1,D180="EV",E180&lt;120),IF('Operating costs'!$B$68="Hong Seh 200k average",AO180*IFERROR(INDEX(Products!$P$7:$P$13,MATCH(AD180,Products!$A$7:$A$13,0)),"n.a."),'Operating costs'!$B$26),0)</f>
        <v>0</v>
      </c>
      <c r="AQ180" s="40" t="str">
        <f>IF(D180="EV",'Operating costs'!$B$68,"Not applicable")</f>
        <v>Not applicable</v>
      </c>
    </row>
    <row r="181" spans="1:43" ht="24" customHeight="1">
      <c r="A181" s="1" t="str">
        <f>'Replacement plan'!A50</f>
        <v>T044</v>
      </c>
      <c r="B181" s="1">
        <v>2</v>
      </c>
      <c r="C181" s="1">
        <f>IF(COUNTIFS('Fleet register'!$A$7:$A$106,$A181)=1,VLOOKUP($A181,'Fleet register'!$A$7:$S$106,2,FALSE),0)</f>
        <v>0</v>
      </c>
      <c r="D181" s="1" t="str">
        <f>IF('Replacement plan'!$O$50="EV","EV","ICE")</f>
        <v>ICE</v>
      </c>
      <c r="E181" s="1">
        <f>IF(C181=0,0,IF('Replacement plan'!$P$50="",IF('Replacement plan'!$O$50="Keep ICE",IF('Replacement plan'!$M$50="",VLOOKUP($A181,'Fleet register'!$A$7:$S$106,10,FALSE),'Replacement plan'!$M$50),0),'Replacement plan'!$P$50))</f>
        <v>0</v>
      </c>
      <c r="F181" s="16">
        <f>IF(C181=0,0,VLOOKUP($A181,'Fleet register'!$A$7:$S$106,11,FALSE))</f>
        <v>0</v>
      </c>
      <c r="G181" s="16">
        <f>IFERROR(IF(C181=0,0,IF(E181=120,0,IF(D181="ICE",'Replacement plan'!$C$50,IF('Replacement plan'!$D$50="",INDEX(Products!$I$7:$I$13,MATCH('Replacement plan'!$B$50,Products!$A$7:$A$13,0))+'Operating costs'!$B$57,'Replacement plan'!$D$50))*(1+'Operating costs'!$B$50)^(E181/12))),"n.a.")</f>
        <v>0</v>
      </c>
      <c r="H181" s="16">
        <f>IFERROR(IF(C181=0,0,IF('Replacement plan'!$U$50&lt;&gt;"",'Replacement plan'!$U$50,IF(E181=0,F181,VLOOKUP($A181,'Fleet register'!$A$7:$S$106,12,FALSE)+VLOOKUP($A181,'Fleet register'!$A$7:$S$106,13,FALSE)*MAX(0,VLOOKUP($A181,'Fleet register'!$A$7:$S$106,10,FALSE)-E181)/VLOOKUP($A181,'Fleet register'!$A$7:$S$106,14,FALSE)))),"n.a.")</f>
        <v>0</v>
      </c>
      <c r="I181" s="16">
        <f>IF(C181=0,0,IF(E181=120,0,'Replacement plan'!$Q$50))</f>
        <v>0</v>
      </c>
      <c r="J181" s="16">
        <f>IF(C181=0,0,IF(P181="Complete",((S181*(R181-'Operating costs'!$B$39))+ROUNDUP(S181*(R181-'Operating costs'!$B$39)*IF('Replacement plan'!$AG$50="",'Operating costs'!$B$7,'Replacement plan'!$AG$50)/('Operating costs'!$B$8-'Operating costs'!$B$9*IF('Replacement plan'!$AG$50="",'Operating costs'!$B$7,'Replacement plan'!$AG$50)),0)*'Operating costs'!$B$9)*IF('Replacement plan'!$AG$50="",'Operating costs'!$B$7,'Replacement plan'!$AG$50)*('Energy and charging'!$B$9*'Energy and charging'!$B$7+(1-'Energy and charging'!$B$9)*'Energy and charging'!$B$8)*'Operating costs'!$B$23,"n.a."))</f>
        <v>0</v>
      </c>
      <c r="K181" s="16">
        <f>IF(C181=0,0,IF(P181="Complete",SUM('Operating costs'!$B$24,'Operating costs'!$B$27,'Operating costs'!$B$29,'Operating costs'!$B$31,'Operating costs'!$B$33,'Operating costs'!$B$34,'Operating costs'!$B$37,'Replacement plan'!$W$50)+'Operating costs'!$B$39*'Operating costs'!$B$42+ROUNDUP(S181*(R181-'Operating costs'!$B$39)*IF('Replacement plan'!$AG$50="",'Operating costs'!$B$7,'Replacement plan'!$AG$50)/('Operating costs'!$B$8-'Operating costs'!$B$9*IF('Replacement plan'!$AG$50="",'Operating costs'!$B$7,'Replacement plan'!$AG$50)),0)*('Operating costs'!$B$9/'Operating costs'!$B$11+'Operating costs'!$B$10/60)*'Operating costs'!$B$19*'Operating costs'!$B$21,"n.a."))</f>
        <v>0</v>
      </c>
      <c r="L181" s="16">
        <f>IF(C181=0,0,IF(P181="Complete",IF(D181="EV",X181*((1-T181)*'Energy and charging'!$B$10+T181*'Energy and charging'!$B$11)*'Operating costs'!$B$22,AA181*('Energy and charging'!$B$9*'Energy and charging'!$B$7+(1-'Energy and charging'!$B$9)*'Energy and charging'!$B$8)*'Operating costs'!$B$23),"n.a."))</f>
        <v>0</v>
      </c>
      <c r="M181" s="37">
        <f>IF(C181=0,0,IF(P181="Complete",IF(D181="ICE",SUM('Operating costs'!$B$25,'Operating costs'!$B$27,'Operating costs'!$B$29,'Operating costs'!$B$31,'Operating costs'!$B$33,'Operating costs'!$B$35,'Operating costs'!$B$37,'Replacement plan'!$X$50)+'Operating costs'!$B$40*'Operating costs'!$B$42+ROUNDUP(S181*(R181-'Operating costs'!$B$40)*IF('Replacement plan'!$AH$50="",'Operating costs'!$B$7,'Replacement plan'!$AH$50)/('Operating costs'!$B$8-'Operating costs'!$B$9*IF('Replacement plan'!$AH$50="",'Operating costs'!$B$7,'Replacement plan'!$AH$50)),0)*('Operating costs'!$B$9/'Operating costs'!$B$11+'Operating costs'!$B$10/60)*'Operating costs'!$B$19*'Operating costs'!$B$21,SUM(AP181,'Operating costs'!$B$28,'Operating costs'!$B$30,'Operating costs'!$B$32,'Operating costs'!$B$33,'Operating costs'!$B$36,'Operating costs'!$B$38,'Replacement plan'!$Y$50)+'Operating costs'!$B$41*'Operating costs'!$B$43+W181*'Operating costs'!$B$15+(T181*X181/'Replacement plan'!$L$50+W181*('Operating costs'!$B$12/'Operating costs'!$B$11+('Operating costs'!$B$13+'Operating costs'!$B$14)/60)+(R181-'Operating costs'!$B$41)*(IF(T181&lt;1,'Operating costs'!$B$16,0)+'Operating costs'!$B$17)/60)*'Operating costs'!$B$19*'Operating costs'!$B$20),"n.a."))</f>
        <v>0</v>
      </c>
      <c r="N181" s="16">
        <f>IF(AND(C181=1,D181="EV",E181&lt;120,E181+'Replacement plan'!$AA$50&lt;=120),'Replacement plan'!$Z$50,0)</f>
        <v>0</v>
      </c>
      <c r="O181" s="1">
        <f>E181+'Replacement plan'!$AA$50</f>
        <v>0</v>
      </c>
      <c r="P181" s="35" t="str">
        <f>IFERROR(IF(C181=0,"Excluded",IF(OR(COUNTIFS('Fleet register'!$A$7:$A$106,A181)&lt;&gt;1,COUNTIFS('Replacement plan'!$A$7:$A$106,A181)&lt;&gt;1),"Duplicate/missing ID",IF(NOT(AND(ISNUMBER(VLOOKUP($A181,'Fleet register'!$A$7:$S$106,5,FALSE)),ISNUMBER(VLOOKUP($A181,'Fleet register'!$A$7:$S$106,6,FALSE)),ISNUMBER(VLOOKUP($A181,'Fleet register'!$A$7:$S$106,10,FALSE)),ISNUMBER(VLOOKUP($A181,'Fleet register'!$A$7:$S$106,11,FALSE)),ISNUMBER(VLOOKUP($A181,'Fleet register'!$A$7:$S$106,12,FALSE)),ISNUMBER(VLOOKUP($A181,'Fleet register'!$A$7:$S$106,13,FALSE)),ISNUMBER(VLOOKUP($A181,'Fleet register'!$A$7:$S$106,14,FALSE)),VLOOKUP($A181,'Fleet register'!$A$7:$S$106,14,FALSE)&gt;0,ISNUMBER('Replacement plan'!$C$50),OR(E181=120,ISNUMBER('Replacement plan'!$Q$50)),ISNUMBER(E181))),"Missing vehicle input",IF(OR(E181&lt;0,E181&gt;VLOOKUP($A181,'Fleet register'!$A$7:$S$106,10,FALSE),E181&gt;120,E181&lt;&gt;INT(E181),VLOOKUP($A181,'Fleet register'!$A$7:$S$106,6,FALSE)&lt;=0,VLOOKUP($A181,'Fleet register'!$A$7:$S$106,6,FALSE)&gt;366,VLOOKUP($A181,'Fleet register'!$A$7:$S$106,5,FALSE)&lt;0,VLOOKUP($A181,'Fleet register'!$A$7:$S$106,11,FALSE)&lt;0,I181&lt;0,'Operating costs'!$B$8&lt;='Operating costs'!$B$7*'Operating costs'!$B$9,'Operating costs'!$B$11&lt;=0,'Operating costs'!$B$39&gt;R181,'Operating costs'!$B$40&gt;R181,'Operating costs'!$B$41&gt;R181,NOT(OR('Replacement plan'!$O$50="Keep ICE",'Replacement plan'!$O$50="New ICE",'Replacement plan'!$O$50="EV"))),"Invalid vehicle input",IF(AND(D181="EV",E181&lt;120,OR(NOT(ISNUMBER(U181)),NOT(ISNUMBER(V181)),V181&lt;=0,T181&lt;0,T181&gt;1,'Replacement plan'!$L$50&lt;=0,'Operating costs'!$B$44&lt;0,'Operating costs'!$B$44&gt;=1,'Operating costs'!$B$47&lt;=0,'Operating costs'!$B$47&gt;1,V181*'Operating costs'!$B$47/(1-'Operating costs'!$B$44)&lt;=T181*'Operating costs'!$B$12*U181,AND('Replacement plan'!$Z$50&gt;0,OR('Replacement plan'!$AB$50&lt;&gt;"Yes",'Operating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charging'!$B$8&gt;=0))),ISNUMBER(VLOOKUP($A181,'Fleet register'!$A$7:$S$106,15,FALSE)),ISNUMBER(VLOOKUP($A181,'Fleet register'!$A$7:$S$106,16,FALSE)),ISNUMBER('Replacement plan'!$W$50),ISNUMBER('Replacement plan'!$X$50),OR(E181=120,AND(ISNUMBER(G181),G181&gt;=0)),ISNUMBER(H181),H181&gt;=0,OR(D181&lt;&gt;"EV",E181=120,AND(ISNUMBER('Operating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average",ISNUMBER(IFERROR(INDEX(Products!$P$7:$P$13,MATCH(AD181,Products!$A$7:$A$13,0)),"")))),ISNUMBER('Operating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plan'!$Y$50),ISNUMBER('Replacement plan'!$Z$50),'Replacement plan'!$Z$50&gt;=0,ISNUMBER('Replacement plan'!$AA$50),'Replacement plan'!$AA$50&gt;=0,'Replacement plan'!$AA$50=INT('Replacement plan'!$AA$50),ISNUMBER('Replacement plan'!$L$50))),'Operating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plan'!$AG$50="",'Operating costs'!$B$7,'Replacement plan'!$AG$50)),IF('Replacement plan'!$AG$50="",'Operating costs'!$B$7,'Replacement plan'!$AG$50)&gt;=0,ISNUMBER(IF('Replacement plan'!$AH$50="",'Operating costs'!$B$7,'Replacement plan'!$AH$50)),IF('Replacement plan'!$AH$50="",'Operating costs'!$B$7,'Replacement plan'!$AH$50)&gt;=0,'Operating costs'!$B$8&gt;MAX(IF('Replacement plan'!$AG$50="",'Operating costs'!$B$7,'Replacement plan'!$AG$50),IF('Replacement plan'!$AH$50="",'Operating costs'!$B$7,'Replacement plan'!$AH$50))*'Operating costs'!$B$9),IF(AND(VLOOKUP($A181,'Fleet register'!$A$7:$S$106,10,FALSE)&gt;=0,VLOOKUP($A181,'Fleet register'!$A$7:$S$106,10,FALSE)&lt;=120,VLOOKUP($A181,'Fleet register'!$A$7:$S$106,10,FALSE)=INT(VLOOKUP($A181,'Fleet register'!$A$7:$S$106,10,FALSE)),VLOOKUP($A181,'Fleet register'!$A$7:$S$106,15,FALSE)&gt;=0,VLOOKUP($A181,'Fleet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costs'!$B$67)&gt;=0,OR(D181&lt;&gt;"EV",E181=120,AND(MIN('Operating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81" s="1" t="str">
        <f>IF(C181=0,"Excluded",IF(P181&lt;&gt;"Complete",P181,IF(OR('Replacement plan'!$AD$50&lt;120-E181,AND(D181="EV",E181&lt;120,OR('Replacement plan'!$AC$50&lt;120-E181,'Replacement plan'!$I$50="No",AND(ISNUMBER(AF181),AE181&gt;AF181),AI181&gt;V181*(1-'Operating costs'!$B$46)^MAX(0,AB181-1)*(1-'Operating costs'!$B$45),AC181&gt;'Operating costs'!$B$18,AND(T181&lt;1,OR(AG181&lt;=0,AND(ISNUMBER(AH181),AG181&gt;AH181))),'Replacement plan'!$L$50&gt;INDEX(Products!$H$7:$H$13,MATCH('Replacement plan'!$B$50,Products!$A$7:$A$13,0))))),"Fails entered limits",IF(AND(D181="EV",E181&lt;120,OR(NOT(ISNUMBER(VLOOKUP($A181,'Fleet register'!$A$7:$S$106,7,FALSE))),NOT(ISNUMBER(VLOOKUP($A181,'Fleet register'!$A$7:$S$106,8,FALSE))),NOT(ISNUMBER(AF181)),'Replacement plan'!$I$50&lt;&gt;"Yes",NOT(ISNUMBER(AH181)),'Operating costs'!$B$59&lt;&gt;"Yes",'Operating costs'!$B$58&lt;&gt;"Yes")),"Unverified","Within entered limits"))))</f>
        <v>Excluded</v>
      </c>
      <c r="R181" s="1">
        <f>IF(C181=0,0,VLOOKUP($A181,'Fleet register'!$A$7:$S$106,6,FALSE))</f>
        <v>0</v>
      </c>
      <c r="S181" s="1">
        <f>IF(C181=0,0,VLOOKUP($A181,'Fleet register'!$A$7:$S$106,5,FALSE))</f>
        <v>0</v>
      </c>
      <c r="T181" s="1">
        <f>IF(D181="EV",'Energy and charging'!$B$12,0)</f>
        <v>0</v>
      </c>
      <c r="U181" s="1">
        <f>IFERROR(IF(C181=0,0,IF(D181="EV",IF('Replacement plan'!$F$50="",INDEX(Products!$E$7:$E$13,MATCH('Replacement plan'!$B$50,Products!$A$7:$A$13,0)),'Replacement plan'!$F$50)/IF('Replacement plan'!$G$50="Battery",1-'Operating costs'!$B$44,1),0)),"n.a.")</f>
        <v>0</v>
      </c>
      <c r="V181" s="1">
        <f>IFERROR(IF(C181=0,0,IF(D181="EV",IF('Replacement plan'!$E$50="",INDEX(Products!$D$7:$D$13,MATCH('Replacement plan'!$B$50,Products!$A$7:$A$13,0)),'Replacement plan'!$E$50),0)),"n.a.")</f>
        <v>0</v>
      </c>
      <c r="W181" s="1">
        <f>IF(C181=0,0,IF(AND(P181="Complete",D181="EV",E181&lt;120),IF(T181=0,0,ROUNDUP(T181*(R181-'Operating costs'!$B$41)*(S181*U181+'Operating costs'!$B$48/(1-'Operating costs'!$B$44))/(V181*'Operating costs'!$B$47/(1-'Operating costs'!$B$44)-T181*'Operating costs'!$B$12*U181),0)),0))</f>
        <v>0</v>
      </c>
      <c r="X181" s="1">
        <f>IF(C181=0,0,IF(AND(P181="Complete",D181="EV",E181&lt;120),(R181-'Operating costs'!$B$41)*(S181*U181+'Operating costs'!$B$48/(1-'Operating costs'!$B$44))+W181*'Operating costs'!$B$12*U181,0))</f>
        <v>0</v>
      </c>
      <c r="Y181" s="1">
        <f>IF(AND(C181=1,D181="EV",E181&lt;120),AI181/(1-'Operating costs'!$B$44)*(1-T181),0)</f>
        <v>0</v>
      </c>
      <c r="Z181" s="1">
        <f t="shared" si="4"/>
        <v>0</v>
      </c>
      <c r="AA181" s="1">
        <f>IF(C181=0,0,IF(P181="Complete",((S181*(R181-'Operating costs'!$B$40))+ROUNDUP(S181*(R181-'Operating costs'!$B$40)*IF('Replacement plan'!$AH$50="",'Operating costs'!$B$7,'Replacement plan'!$AH$50)/('Operating costs'!$B$8-'Operating costs'!$B$9*IF('Replacement plan'!$AH$50="",'Operating costs'!$B$7,'Replacement plan'!$AH$50)),0)*'Operating costs'!$B$9)*IF('Replacement plan'!$AH$50="",'Operating costs'!$B$7,'Replacement plan'!$AH$50),"n.a."))</f>
        <v>0</v>
      </c>
      <c r="AB181" s="1">
        <f t="shared" si="5"/>
        <v>0</v>
      </c>
      <c r="AC181" s="1">
        <f>IF(AND(C181=1,D181="EV",E181&lt;120,T181&gt;0),'Operating costs'!$B$12/'Operating costs'!$B$11*60+'Operating costs'!$B$13+'Operating costs'!$B$14+V181*'Operating costs'!$B$47/(1-'Operating costs'!$B$44)/'Replacement plan'!$L$50*60,0)</f>
        <v>0</v>
      </c>
      <c r="AD181" s="1" t="str">
        <f>'Replacement plan'!$B$50</f>
        <v>ChengLong L2EV</v>
      </c>
      <c r="AE181" s="1">
        <f>IF(C181=0,0,VLOOKUP($A181,'Fleet register'!$A$7:$S$106,8,FALSE))</f>
        <v>0</v>
      </c>
      <c r="AF181" s="1" t="str">
        <f>IF('Replacement plan'!$H$50="","n.a.",'Replacement plan'!$H$50)</f>
        <v>n.a.</v>
      </c>
      <c r="AG181" s="1">
        <f>'Replacement plan'!$J$50</f>
        <v>22</v>
      </c>
      <c r="AH181" s="1">
        <f>IFERROR(IF(D181="EV",IF('Replacement plan'!$K$50="AC",IF(ISNUMBER(INDEX(Products!$G$7:$G$13,MATCH('Replacement plan'!$B$50,Products!$A$7:$A$13,0))),INDEX(Products!$G$7:$G$13,MATCH('Replacement plan'!$B$50,Products!$A$7:$A$13,0)),"n.a."),IF(ISNUMBER(INDEX(Products!$H$7:$H$13,MATCH('Replacement plan'!$B$50,Products!$A$7:$A$13,0))),INDEX(Products!$H$7:$H$13,MATCH('Replacement plan'!$B$50,Products!$A$7:$A$13,0)),"n.a.")),0),"n.a.")</f>
        <v>0</v>
      </c>
      <c r="AI181" s="1">
        <f>IF(AND(C181=1,D181="EV",E181&lt;120),(VLOOKUP($A181,'Fleet register'!$A$7:$S$106,7,FALSE)+IF(T181&gt;0,'Operating costs'!$B$12,0))*U181*(1-'Operating costs'!$B$44)+'Operating costs'!$B$49,0)</f>
        <v>0</v>
      </c>
      <c r="AJ181" s="1">
        <f>IF(D181="EV",'Energy and charging'!$B$50,0)</f>
        <v>0</v>
      </c>
      <c r="AK181" s="17">
        <f>EDATE('Operating costs'!$B$63,E181)</f>
        <v>46298</v>
      </c>
      <c r="AL181" s="1">
        <f>IFERROR(IF(D181="EV",INDEX(Products!$B$7:$B$13,MATCH('Replacement plan'!$B$50,Products!$A$7:$A$13,0)),0),"n.a.")</f>
        <v>0</v>
      </c>
      <c r="AM181" s="1" t="str">
        <f>'Replacement plan'!$K$50</f>
        <v>DC</v>
      </c>
      <c r="AN181" s="1" t="str">
        <f>'Replacement plan'!$AE$50</f>
        <v>Assumed</v>
      </c>
      <c r="AO181" s="47">
        <f>IF(AND(C181=1,D181="EV",E181&lt;120),(R181-'Operating costs'!$B$41)*S181+W181*'Operating costs'!$B$12,0)</f>
        <v>0</v>
      </c>
      <c r="AP181" s="41">
        <f>IF(AND(C181=1,D181="EV",E181&lt;120),IF('Operating costs'!$B$68="Hong Seh 200k average",AO181*IFERROR(INDEX(Products!$P$7:$P$13,MATCH(AD181,Products!$A$7:$A$13,0)),"n.a."),'Operating costs'!$B$26),0)</f>
        <v>0</v>
      </c>
      <c r="AQ181" s="40" t="str">
        <f>IF(D181="EV",'Operating costs'!$B$68,"Not applicable")</f>
        <v>Not applicable</v>
      </c>
    </row>
    <row r="182" spans="1:43" ht="24" customHeight="1">
      <c r="A182" s="1" t="str">
        <f>'Replacement plan'!A50</f>
        <v>T044</v>
      </c>
      <c r="B182" s="1">
        <v>3</v>
      </c>
      <c r="C182" s="1">
        <f>IF(COUNTIFS('Fleet register'!$A$7:$A$106,$A182)=1,VLOOKUP($A182,'Fleet register'!$A$7:$S$106,2,FALSE),0)</f>
        <v>0</v>
      </c>
      <c r="D182" s="1" t="str">
        <f>IF('Replacement plan'!$R$50="EV","EV","ICE")</f>
        <v>ICE</v>
      </c>
      <c r="E182" s="1">
        <f>IF(C182=0,0,IF('Replacement plan'!$S$50="",IF('Replacement plan'!$R$50="Keep ICE",IF('Replacement plan'!$M$50="",VLOOKUP($A182,'Fleet register'!$A$7:$S$106,10,FALSE),'Replacement plan'!$M$50),0),'Replacement plan'!$S$50))</f>
        <v>0</v>
      </c>
      <c r="F182" s="16">
        <f>IF(C182=0,0,VLOOKUP($A182,'Fleet register'!$A$7:$S$106,11,FALSE))</f>
        <v>0</v>
      </c>
      <c r="G182" s="16">
        <f>IFERROR(IF(C182=0,0,IF(E182=120,0,IF(D182="ICE",'Replacement plan'!$C$50,IF('Replacement plan'!$D$50="",INDEX(Products!$I$7:$I$13,MATCH('Replacement plan'!$B$50,Products!$A$7:$A$13,0))+'Operating costs'!$B$57,'Replacement plan'!$D$50))*(1+'Operating costs'!$B$50)^(E182/12))),"n.a.")</f>
        <v>0</v>
      </c>
      <c r="H182" s="16">
        <f>IFERROR(IF(C182=0,0,IF('Replacement plan'!$V$50&lt;&gt;"",'Replacement plan'!$V$50,IF(E182=0,F182,VLOOKUP($A182,'Fleet register'!$A$7:$S$106,12,FALSE)+VLOOKUP($A182,'Fleet register'!$A$7:$S$106,13,FALSE)*MAX(0,VLOOKUP($A182,'Fleet register'!$A$7:$S$106,10,FALSE)-E182)/VLOOKUP($A182,'Fleet register'!$A$7:$S$106,14,FALSE)))),"n.a.")</f>
        <v>0</v>
      </c>
      <c r="I182" s="16">
        <f>IF(C182=0,0,IF(E182=120,0,'Replacement plan'!$T$50))</f>
        <v>0</v>
      </c>
      <c r="J182" s="16">
        <f>IF(C182=0,0,IF(P182="Complete",((S182*(R182-'Operating costs'!$B$39))+ROUNDUP(S182*(R182-'Operating costs'!$B$39)*IF('Replacement plan'!$AG$50="",'Operating costs'!$B$7,'Replacement plan'!$AG$50)/('Operating costs'!$B$8-'Operating costs'!$B$9*IF('Replacement plan'!$AG$50="",'Operating costs'!$B$7,'Replacement plan'!$AG$50)),0)*'Operating costs'!$B$9)*IF('Replacement plan'!$AG$50="",'Operating costs'!$B$7,'Replacement plan'!$AG$50)*('Energy and charging'!$C$9*'Energy and charging'!$C$7+(1-'Energy and charging'!$C$9)*'Energy and charging'!$C$8)*'Operating costs'!$B$23,"n.a."))</f>
        <v>0</v>
      </c>
      <c r="K182" s="16">
        <f>IF(C182=0,0,IF(P182="Complete",SUM('Operating costs'!$B$24,'Operating costs'!$B$27,'Operating costs'!$B$29,'Operating costs'!$B$31,'Operating costs'!$B$33,'Operating costs'!$B$34,'Operating costs'!$B$37,'Replacement plan'!$W$50)+'Operating costs'!$B$39*'Operating costs'!$B$42+ROUNDUP(S182*(R182-'Operating costs'!$B$39)*IF('Replacement plan'!$AG$50="",'Operating costs'!$B$7,'Replacement plan'!$AG$50)/('Operating costs'!$B$8-'Operating costs'!$B$9*IF('Replacement plan'!$AG$50="",'Operating costs'!$B$7,'Replacement plan'!$AG$50)),0)*('Operating costs'!$B$9/'Operating costs'!$B$11+'Operating costs'!$B$10/60)*'Operating costs'!$B$19*'Operating costs'!$B$21,"n.a."))</f>
        <v>0</v>
      </c>
      <c r="L182" s="16">
        <f>IF(C182=0,0,IF(P182="Complete",IF(D182="EV",X182*((1-T182)*'Energy and charging'!$C$10+T182*'Energy and charging'!$C$11)*'Operating costs'!$B$22,AA182*('Energy and charging'!$C$9*'Energy and charging'!$C$7+(1-'Energy and charging'!$C$9)*'Energy and charging'!$C$8)*'Operating costs'!$B$23),"n.a."))</f>
        <v>0</v>
      </c>
      <c r="M182" s="37">
        <f>IF(C182=0,0,IF(P182="Complete",IF(D182="ICE",SUM('Operating costs'!$B$25,'Operating costs'!$B$27,'Operating costs'!$B$29,'Operating costs'!$B$31,'Operating costs'!$B$33,'Operating costs'!$B$35,'Operating costs'!$B$37,'Replacement plan'!$X$50)+'Operating costs'!$B$40*'Operating costs'!$B$42+ROUNDUP(S182*(R182-'Operating costs'!$B$40)*IF('Replacement plan'!$AH$50="",'Operating costs'!$B$7,'Replacement plan'!$AH$50)/('Operating costs'!$B$8-'Operating costs'!$B$9*IF('Replacement plan'!$AH$50="",'Operating costs'!$B$7,'Replacement plan'!$AH$50)),0)*('Operating costs'!$B$9/'Operating costs'!$B$11+'Operating costs'!$B$10/60)*'Operating costs'!$B$19*'Operating costs'!$B$21,SUM(AP182,'Operating costs'!$B$28,'Operating costs'!$B$30,'Operating costs'!$B$32,'Operating costs'!$B$33,'Operating costs'!$B$36,'Operating costs'!$B$38,'Replacement plan'!$Y$50)+'Operating costs'!$B$41*'Operating costs'!$B$43+W182*'Operating costs'!$B$15+(T182*X182/'Replacement plan'!$L$50+W182*('Operating costs'!$B$12/'Operating costs'!$B$11+('Operating costs'!$B$13+'Operating costs'!$B$14)/60)+(R182-'Operating costs'!$B$41)*(IF(T182&lt;1,'Operating costs'!$B$16,0)+'Operating costs'!$B$17)/60)*'Operating costs'!$B$19*'Operating costs'!$B$20),"n.a."))</f>
        <v>0</v>
      </c>
      <c r="N182" s="16">
        <f>IF(AND(C182=1,D182="EV",E182&lt;120,E182+'Replacement plan'!$AA$50&lt;=120),'Replacement plan'!$Z$50,0)</f>
        <v>0</v>
      </c>
      <c r="O182" s="1">
        <f>E182+'Replacement plan'!$AA$50</f>
        <v>0</v>
      </c>
      <c r="P182" s="35" t="str">
        <f>IFERROR(IF(C182=0,"Excluded",IF(OR(COUNTIFS('Fleet register'!$A$7:$A$106,A182)&lt;&gt;1,COUNTIFS('Replacement plan'!$A$7:$A$106,A182)&lt;&gt;1),"Duplicate/missing ID",IF(NOT(AND(ISNUMBER(VLOOKUP($A182,'Fleet register'!$A$7:$S$106,5,FALSE)),ISNUMBER(VLOOKUP($A182,'Fleet register'!$A$7:$S$106,6,FALSE)),ISNUMBER(VLOOKUP($A182,'Fleet register'!$A$7:$S$106,10,FALSE)),ISNUMBER(VLOOKUP($A182,'Fleet register'!$A$7:$S$106,11,FALSE)),ISNUMBER(VLOOKUP($A182,'Fleet register'!$A$7:$S$106,12,FALSE)),ISNUMBER(VLOOKUP($A182,'Fleet register'!$A$7:$S$106,13,FALSE)),ISNUMBER(VLOOKUP($A182,'Fleet register'!$A$7:$S$106,14,FALSE)),VLOOKUP($A182,'Fleet register'!$A$7:$S$106,14,FALSE)&gt;0,ISNUMBER('Replacement plan'!$C$50),OR(E182=120,ISNUMBER('Replacement plan'!$T$50)),ISNUMBER(E182))),"Missing vehicle input",IF(OR(E182&lt;0,E182&gt;VLOOKUP($A182,'Fleet register'!$A$7:$S$106,10,FALSE),E182&gt;120,E182&lt;&gt;INT(E182),VLOOKUP($A182,'Fleet register'!$A$7:$S$106,6,FALSE)&lt;=0,VLOOKUP($A182,'Fleet register'!$A$7:$S$106,6,FALSE)&gt;366,VLOOKUP($A182,'Fleet register'!$A$7:$S$106,5,FALSE)&lt;0,VLOOKUP($A182,'Fleet register'!$A$7:$S$106,11,FALSE)&lt;0,I182&lt;0,'Operating costs'!$B$8&lt;='Operating costs'!$B$7*'Operating costs'!$B$9,'Operating costs'!$B$11&lt;=0,'Operating costs'!$B$39&gt;R182,'Operating costs'!$B$40&gt;R182,'Operating costs'!$B$41&gt;R182,NOT(OR('Replacement plan'!$R$50="Keep ICE",'Replacement plan'!$R$50="New ICE",'Replacement plan'!$R$50="EV"))),"Invalid vehicle input",IF(AND(D182="EV",E182&lt;120,OR(NOT(ISNUMBER(U182)),NOT(ISNUMBER(V182)),V182&lt;=0,T182&lt;0,T182&gt;1,'Replacement plan'!$L$50&lt;=0,'Operating costs'!$B$44&lt;0,'Operating costs'!$B$44&gt;=1,'Operating costs'!$B$47&lt;=0,'Operating costs'!$B$47&gt;1,V182*'Operating costs'!$B$47/(1-'Operating costs'!$B$44)&lt;=T182*'Operating costs'!$B$12*U182,AND('Replacement plan'!$Z$50&gt;0,OR('Replacement plan'!$AB$50&lt;&gt;"Yes",'Operating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charging'!$C$8&gt;=0))),ISNUMBER(VLOOKUP($A182,'Fleet register'!$A$7:$S$106,15,FALSE)),ISNUMBER(VLOOKUP($A182,'Fleet register'!$A$7:$S$106,16,FALSE)),ISNUMBER('Replacement plan'!$W$50),ISNUMBER('Replacement plan'!$X$50),OR(E182=120,AND(ISNUMBER(G182),G182&gt;=0)),ISNUMBER(H182),H182&gt;=0,OR(D182&lt;&gt;"EV",E182=120,AND(ISNUMBER('Operating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average",ISNUMBER(IFERROR(INDEX(Products!$P$7:$P$13,MATCH(AD182,Products!$A$7:$A$13,0)),"")))),ISNUMBER('Operating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plan'!$Y$50),ISNUMBER('Replacement plan'!$Z$50),'Replacement plan'!$Z$50&gt;=0,ISNUMBER('Replacement plan'!$AA$50),'Replacement plan'!$AA$50&gt;=0,'Replacement plan'!$AA$50=INT('Replacement plan'!$AA$50),ISNUMBER('Replacement plan'!$L$50))),'Operating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plan'!$AG$50="",'Operating costs'!$B$7,'Replacement plan'!$AG$50)),IF('Replacement plan'!$AG$50="",'Operating costs'!$B$7,'Replacement plan'!$AG$50)&gt;=0,ISNUMBER(IF('Replacement plan'!$AH$50="",'Operating costs'!$B$7,'Replacement plan'!$AH$50)),IF('Replacement plan'!$AH$50="",'Operating costs'!$B$7,'Replacement plan'!$AH$50)&gt;=0,'Operating costs'!$B$8&gt;MAX(IF('Replacement plan'!$AG$50="",'Operating costs'!$B$7,'Replacement plan'!$AG$50),IF('Replacement plan'!$AH$50="",'Operating costs'!$B$7,'Replacement plan'!$AH$50))*'Operating costs'!$B$9),IF(AND(VLOOKUP($A182,'Fleet register'!$A$7:$S$106,10,FALSE)&gt;=0,VLOOKUP($A182,'Fleet register'!$A$7:$S$106,10,FALSE)&lt;=120,VLOOKUP($A182,'Fleet register'!$A$7:$S$106,10,FALSE)=INT(VLOOKUP($A182,'Fleet register'!$A$7:$S$106,10,FALSE)),VLOOKUP($A182,'Fleet register'!$A$7:$S$106,15,FALSE)&gt;=0,VLOOKUP($A182,'Fleet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costs'!$B$67)&gt;=0,OR(D182&lt;&gt;"EV",E182=120,AND(MIN('Operating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82" s="1" t="str">
        <f>IF(C182=0,"Excluded",IF(P182&lt;&gt;"Complete",P182,IF(OR('Replacement plan'!$AD$50&lt;120-E182,AND(D182="EV",E182&lt;120,OR('Replacement plan'!$AC$50&lt;120-E182,'Replacement plan'!$I$50="No",AND(ISNUMBER(AF182),AE182&gt;AF182),AI182&gt;V182*(1-'Operating costs'!$B$46)^MAX(0,AB182-1)*(1-'Operating costs'!$B$45),AC182&gt;'Operating costs'!$B$18,AND(T182&lt;1,OR(AG182&lt;=0,AND(ISNUMBER(AH182),AG182&gt;AH182))),'Replacement plan'!$L$50&gt;INDEX(Products!$H$7:$H$13,MATCH('Replacement plan'!$B$50,Products!$A$7:$A$13,0))))),"Fails entered limits",IF(AND(D182="EV",E182&lt;120,OR(NOT(ISNUMBER(VLOOKUP($A182,'Fleet register'!$A$7:$S$106,7,FALSE))),NOT(ISNUMBER(VLOOKUP($A182,'Fleet register'!$A$7:$S$106,8,FALSE))),NOT(ISNUMBER(AF182)),'Replacement plan'!$I$50&lt;&gt;"Yes",NOT(ISNUMBER(AH182)),'Operating costs'!$B$59&lt;&gt;"Yes",'Operating costs'!$B$58&lt;&gt;"Yes")),"Unverified","Within entered limits"))))</f>
        <v>Excluded</v>
      </c>
      <c r="R182" s="1">
        <f>IF(C182=0,0,VLOOKUP($A182,'Fleet register'!$A$7:$S$106,6,FALSE))</f>
        <v>0</v>
      </c>
      <c r="S182" s="1">
        <f>IF(C182=0,0,VLOOKUP($A182,'Fleet register'!$A$7:$S$106,5,FALSE))</f>
        <v>0</v>
      </c>
      <c r="T182" s="1">
        <f>IF(D182="EV",'Energy and charging'!$C$12,0)</f>
        <v>0</v>
      </c>
      <c r="U182" s="1">
        <f>IFERROR(IF(C182=0,0,IF(D182="EV",IF('Replacement plan'!$F$50="",INDEX(Products!$E$7:$E$13,MATCH('Replacement plan'!$B$50,Products!$A$7:$A$13,0)),'Replacement plan'!$F$50)/IF('Replacement plan'!$G$50="Battery",1-'Operating costs'!$B$44,1),0)),"n.a.")</f>
        <v>0</v>
      </c>
      <c r="V182" s="1">
        <f>IFERROR(IF(C182=0,0,IF(D182="EV",IF('Replacement plan'!$E$50="",INDEX(Products!$D$7:$D$13,MATCH('Replacement plan'!$B$50,Products!$A$7:$A$13,0)),'Replacement plan'!$E$50),0)),"n.a.")</f>
        <v>0</v>
      </c>
      <c r="W182" s="1">
        <f>IF(C182=0,0,IF(AND(P182="Complete",D182="EV",E182&lt;120),IF(T182=0,0,ROUNDUP(T182*(R182-'Operating costs'!$B$41)*(S182*U182+'Operating costs'!$B$48/(1-'Operating costs'!$B$44))/(V182*'Operating costs'!$B$47/(1-'Operating costs'!$B$44)-T182*'Operating costs'!$B$12*U182),0)),0))</f>
        <v>0</v>
      </c>
      <c r="X182" s="1">
        <f>IF(C182=0,0,IF(AND(P182="Complete",D182="EV",E182&lt;120),(R182-'Operating costs'!$B$41)*(S182*U182+'Operating costs'!$B$48/(1-'Operating costs'!$B$44))+W182*'Operating costs'!$B$12*U182,0))</f>
        <v>0</v>
      </c>
      <c r="Y182" s="1">
        <f>IF(AND(C182=1,D182="EV",E182&lt;120),AI182/(1-'Operating costs'!$B$44)*(1-T182),0)</f>
        <v>0</v>
      </c>
      <c r="Z182" s="1">
        <f t="shared" si="4"/>
        <v>0</v>
      </c>
      <c r="AA182" s="1">
        <f>IF(C182=0,0,IF(P182="Complete",((S182*(R182-'Operating costs'!$B$40))+ROUNDUP(S182*(R182-'Operating costs'!$B$40)*IF('Replacement plan'!$AH$50="",'Operating costs'!$B$7,'Replacement plan'!$AH$50)/('Operating costs'!$B$8-'Operating costs'!$B$9*IF('Replacement plan'!$AH$50="",'Operating costs'!$B$7,'Replacement plan'!$AH$50)),0)*'Operating costs'!$B$9)*IF('Replacement plan'!$AH$50="",'Operating costs'!$B$7,'Replacement plan'!$AH$50),"n.a."))</f>
        <v>0</v>
      </c>
      <c r="AB182" s="1">
        <f t="shared" si="5"/>
        <v>0</v>
      </c>
      <c r="AC182" s="1">
        <f>IF(AND(C182=1,D182="EV",E182&lt;120,T182&gt;0),'Operating costs'!$B$12/'Operating costs'!$B$11*60+'Operating costs'!$B$13+'Operating costs'!$B$14+V182*'Operating costs'!$B$47/(1-'Operating costs'!$B$44)/'Replacement plan'!$L$50*60,0)</f>
        <v>0</v>
      </c>
      <c r="AD182" s="1" t="str">
        <f>'Replacement plan'!$B$50</f>
        <v>ChengLong L2EV</v>
      </c>
      <c r="AE182" s="1">
        <f>IF(C182=0,0,VLOOKUP($A182,'Fleet register'!$A$7:$S$106,8,FALSE))</f>
        <v>0</v>
      </c>
      <c r="AF182" s="1" t="str">
        <f>IF('Replacement plan'!$H$50="","n.a.",'Replacement plan'!$H$50)</f>
        <v>n.a.</v>
      </c>
      <c r="AG182" s="1">
        <f>'Replacement plan'!$J$50</f>
        <v>22</v>
      </c>
      <c r="AH182" s="1">
        <f>IFERROR(IF(D182="EV",IF('Replacement plan'!$K$50="AC",IF(ISNUMBER(INDEX(Products!$G$7:$G$13,MATCH('Replacement plan'!$B$50,Products!$A$7:$A$13,0))),INDEX(Products!$G$7:$G$13,MATCH('Replacement plan'!$B$50,Products!$A$7:$A$13,0)),"n.a."),IF(ISNUMBER(INDEX(Products!$H$7:$H$13,MATCH('Replacement plan'!$B$50,Products!$A$7:$A$13,0))),INDEX(Products!$H$7:$H$13,MATCH('Replacement plan'!$B$50,Products!$A$7:$A$13,0)),"n.a.")),0),"n.a.")</f>
        <v>0</v>
      </c>
      <c r="AI182" s="1">
        <f>IF(AND(C182=1,D182="EV",E182&lt;120),(VLOOKUP($A182,'Fleet register'!$A$7:$S$106,7,FALSE)+IF(T182&gt;0,'Operating costs'!$B$12,0))*U182*(1-'Operating costs'!$B$44)+'Operating costs'!$B$49,0)</f>
        <v>0</v>
      </c>
      <c r="AJ182" s="1">
        <f>IF(D182="EV",'Energy and charging'!$C$50,0)</f>
        <v>0</v>
      </c>
      <c r="AK182" s="17">
        <f>EDATE('Operating costs'!$B$63,E182)</f>
        <v>46298</v>
      </c>
      <c r="AL182" s="1">
        <f>IFERROR(IF(D182="EV",INDEX(Products!$B$7:$B$13,MATCH('Replacement plan'!$B$50,Products!$A$7:$A$13,0)),0),"n.a.")</f>
        <v>0</v>
      </c>
      <c r="AM182" s="1" t="str">
        <f>'Replacement plan'!$K$50</f>
        <v>DC</v>
      </c>
      <c r="AN182" s="1" t="str">
        <f>'Replacement plan'!$AE$50</f>
        <v>Assumed</v>
      </c>
      <c r="AO182" s="47">
        <f>IF(AND(C182=1,D182="EV",E182&lt;120),(R182-'Operating costs'!$B$41)*S182+W182*'Operating costs'!$B$12,0)</f>
        <v>0</v>
      </c>
      <c r="AP182" s="41">
        <f>IF(AND(C182=1,D182="EV",E182&lt;120),IF('Operating costs'!$B$68="Hong Seh 200k average",AO182*IFERROR(INDEX(Products!$P$7:$P$13,MATCH(AD182,Products!$A$7:$A$13,0)),"n.a."),'Operating costs'!$B$26),0)</f>
        <v>0</v>
      </c>
      <c r="AQ182" s="40" t="str">
        <f>IF(D182="EV",'Operating costs'!$B$68,"Not applicable")</f>
        <v>Not applicable</v>
      </c>
    </row>
    <row r="183" spans="1:43" ht="24" customHeight="1">
      <c r="A183" s="1" t="str">
        <f>'Replacement plan'!A51</f>
        <v>T045</v>
      </c>
      <c r="B183" s="1">
        <v>0</v>
      </c>
      <c r="C183" s="1">
        <f>IF(COUNTIFS('Fleet register'!$A$7:$A$106,$A183)=1,VLOOKUP($A183,'Fleet register'!$A$7:$S$106,2,FALSE),0)</f>
        <v>0</v>
      </c>
      <c r="D183" s="1" t="str">
        <f>IF("Keep ICE"="EV","EV","ICE")</f>
        <v>ICE</v>
      </c>
      <c r="E183" s="1">
        <f>IF(C183=0,0,IF('Replacement plan'!$M$51="",VLOOKUP($A183,'Fleet register'!$A$7:$S$106,10,FALSE),'Replacement plan'!$M$51))</f>
        <v>0</v>
      </c>
      <c r="F183" s="16">
        <f>IF(C183=0,0,VLOOKUP($A183,'Fleet register'!$A$7:$S$106,11,FALSE))</f>
        <v>0</v>
      </c>
      <c r="G183" s="16">
        <f>IFERROR(IF(C183=0,0,IF(E183=120,0,IF(D183="ICE",'Replacement plan'!$C$51,IF('Replacement plan'!$D$51="",INDEX(Products!$I$7:$I$13,MATCH('Replacement plan'!$B$51,Products!$A$7:$A$13,0))+'Operating costs'!$B$57,'Replacement plan'!$D$51))*(1+'Operating costs'!$B$50)^(E183/12))),"n.a.")</f>
        <v>0</v>
      </c>
      <c r="H183" s="16">
        <f>IFERROR(IF(C183=0,0,IF(E183=0,F183,VLOOKUP($A183,'Fleet register'!$A$7:$S$106,12,FALSE)+VLOOKUP($A183,'Fleet register'!$A$7:$S$106,13,FALSE)*MAX(0,VLOOKUP($A183,'Fleet register'!$A$7:$S$106,10,FALSE)-E183)/VLOOKUP($A183,'Fleet register'!$A$7:$S$106,14,FALSE))),"n.a.")</f>
        <v>0</v>
      </c>
      <c r="I183" s="16">
        <f>IF(C183=0,0,IF(E183=120,0,'Replacement plan'!$N$51))</f>
        <v>0</v>
      </c>
      <c r="J183" s="16">
        <f>IF(C183=0,0,IF(P183="Complete",((S183*(R183-'Operating costs'!$B$39))+ROUNDUP(S183*(R183-'Operating costs'!$B$39)*IF('Replacement plan'!$AG$51="",'Operating costs'!$B$7,'Replacement plan'!$AG$51)/('Operating costs'!$B$8-'Operating costs'!$B$9*IF('Replacement plan'!$AG$51="",'Operating costs'!$B$7,'Replacement plan'!$AG$51)),0)*'Operating costs'!$B$9)*IF('Replacement plan'!$AG$51="",'Operating costs'!$B$7,'Replacement plan'!$AG$51)*('Energy and charging'!$B$9*'Energy and charging'!$B$7+(1-'Energy and charging'!$B$9)*'Energy and charging'!$B$8)*'Operating costs'!$B$23,"n.a."))</f>
        <v>0</v>
      </c>
      <c r="K183" s="16">
        <f>IF(C183=0,0,IF(P183="Complete",SUM('Operating costs'!$B$24,'Operating costs'!$B$27,'Operating costs'!$B$29,'Operating costs'!$B$31,'Operating costs'!$B$33,'Operating costs'!$B$34,'Operating costs'!$B$37,'Replacement plan'!$W$51)+'Operating costs'!$B$39*'Operating costs'!$B$42+ROUNDUP(S183*(R183-'Operating costs'!$B$39)*IF('Replacement plan'!$AG$51="",'Operating costs'!$B$7,'Replacement plan'!$AG$51)/('Operating costs'!$B$8-'Operating costs'!$B$9*IF('Replacement plan'!$AG$51="",'Operating costs'!$B$7,'Replacement plan'!$AG$51)),0)*('Operating costs'!$B$9/'Operating costs'!$B$11+'Operating costs'!$B$10/60)*'Operating costs'!$B$19*'Operating costs'!$B$21,"n.a."))</f>
        <v>0</v>
      </c>
      <c r="L183" s="16">
        <f>IF(C183=0,0,IF(P183="Complete",IF(D183="EV",X183*((1-T183)*'Energy and charging'!$B$10+T183*'Energy and charging'!$B$11)*'Operating costs'!$B$22,AA183*('Energy and charging'!$B$9*'Energy and charging'!$B$7+(1-'Energy and charging'!$B$9)*'Energy and charging'!$B$8)*'Operating costs'!$B$23),"n.a."))</f>
        <v>0</v>
      </c>
      <c r="M183" s="37">
        <f>IF(C183=0,0,IF(P183="Complete",IF(D183="ICE",SUM('Operating costs'!$B$25,'Operating costs'!$B$27,'Operating costs'!$B$29,'Operating costs'!$B$31,'Operating costs'!$B$33,'Operating costs'!$B$35,'Operating costs'!$B$37,'Replacement plan'!$X$51)+'Operating costs'!$B$40*'Operating costs'!$B$42+ROUNDUP(S183*(R183-'Operating costs'!$B$40)*IF('Replacement plan'!$AH$51="",'Operating costs'!$B$7,'Replacement plan'!$AH$51)/('Operating costs'!$B$8-'Operating costs'!$B$9*IF('Replacement plan'!$AH$51="",'Operating costs'!$B$7,'Replacement plan'!$AH$51)),0)*('Operating costs'!$B$9/'Operating costs'!$B$11+'Operating costs'!$B$10/60)*'Operating costs'!$B$19*'Operating costs'!$B$21,SUM(AP183,'Operating costs'!$B$28,'Operating costs'!$B$30,'Operating costs'!$B$32,'Operating costs'!$B$33,'Operating costs'!$B$36,'Operating costs'!$B$38,'Replacement plan'!$Y$51)+'Operating costs'!$B$41*'Operating costs'!$B$43+W183*'Operating costs'!$B$15+(T183*X183/'Replacement plan'!$L$51+W183*('Operating costs'!$B$12/'Operating costs'!$B$11+('Operating costs'!$B$13+'Operating costs'!$B$14)/60)+(R183-'Operating costs'!$B$41)*(IF(T183&lt;1,'Operating costs'!$B$16,0)+'Operating costs'!$B$17)/60)*'Operating costs'!$B$19*'Operating costs'!$B$20),"n.a."))</f>
        <v>0</v>
      </c>
      <c r="N183" s="16">
        <f>IF(AND(C183=1,D183="EV",E183&lt;120,E183+'Replacement plan'!$AA$51&lt;=120),'Replacement plan'!$Z$51,0)</f>
        <v>0</v>
      </c>
      <c r="O183" s="1">
        <f>E183+'Replacement plan'!$AA$51</f>
        <v>0</v>
      </c>
      <c r="P183" s="35" t="str">
        <f>IFERROR(IF(C183=0,"Excluded",IF(OR(COUNTIFS('Fleet register'!$A$7:$A$106,A183)&lt;&gt;1,COUNTIFS('Replacement plan'!$A$7:$A$106,A183)&lt;&gt;1),"Duplicate/missing ID",IF(NOT(AND(ISNUMBER(VLOOKUP($A183,'Fleet register'!$A$7:$S$106,5,FALSE)),ISNUMBER(VLOOKUP($A183,'Fleet register'!$A$7:$S$106,6,FALSE)),ISNUMBER(VLOOKUP($A183,'Fleet register'!$A$7:$S$106,10,FALSE)),ISNUMBER(VLOOKUP($A183,'Fleet register'!$A$7:$S$106,11,FALSE)),ISNUMBER(VLOOKUP($A183,'Fleet register'!$A$7:$S$106,12,FALSE)),ISNUMBER(VLOOKUP($A183,'Fleet register'!$A$7:$S$106,13,FALSE)),ISNUMBER(VLOOKUP($A183,'Fleet register'!$A$7:$S$106,14,FALSE)),VLOOKUP($A183,'Fleet register'!$A$7:$S$106,14,FALSE)&gt;0,ISNUMBER('Replacement plan'!$C$51),OR(E183=120,ISNUMBER('Replacement plan'!$N$51)),ISNUMBER(E183))),"Missing vehicle input",IF(OR(E183&lt;0,E183&gt;VLOOKUP($A183,'Fleet register'!$A$7:$S$106,10,FALSE),E183&gt;120,E183&lt;&gt;INT(E183),VLOOKUP($A183,'Fleet register'!$A$7:$S$106,6,FALSE)&lt;=0,VLOOKUP($A183,'Fleet register'!$A$7:$S$106,6,FALSE)&gt;366,VLOOKUP($A183,'Fleet register'!$A$7:$S$106,5,FALSE)&lt;0,VLOOKUP($A183,'Fleet register'!$A$7:$S$106,11,FALSE)&lt;0,I183&lt;0,'Operating costs'!$B$8&lt;='Operating costs'!$B$7*'Operating costs'!$B$9,'Operating costs'!$B$11&lt;=0,'Operating costs'!$B$39&gt;R183,'Operating costs'!$B$40&gt;R183,'Operating costs'!$B$41&gt;R183,NOT(OR("Keep ICE"="Keep ICE","Keep ICE"="New ICE","Keep ICE"="EV"))),"Invalid vehicle input",IF(AND(D183="EV",E183&lt;120,OR(NOT(ISNUMBER(U183)),NOT(ISNUMBER(V183)),V183&lt;=0,T183&lt;0,T183&gt;1,'Replacement plan'!$L$51&lt;=0,'Operating costs'!$B$44&lt;0,'Operating costs'!$B$44&gt;=1,'Operating costs'!$B$47&lt;=0,'Operating costs'!$B$47&gt;1,V183*'Operating costs'!$B$47/(1-'Operating costs'!$B$44)&lt;=T183*'Operating costs'!$B$12*U183,AND('Replacement plan'!$Z$51&gt;0,OR('Replacement plan'!$AB$51&lt;&gt;"Yes",'Operating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charging'!$B$8&gt;=0))),ISNUMBER(VLOOKUP($A183,'Fleet register'!$A$7:$S$106,15,FALSE)),ISNUMBER(VLOOKUP($A183,'Fleet register'!$A$7:$S$106,16,FALSE)),ISNUMBER('Replacement plan'!$W$51),ISNUMBER('Replacement plan'!$X$51),OR(E183=120,AND(ISNUMBER(G183),G183&gt;=0)),ISNUMBER(H183),H183&gt;=0,OR(D183&lt;&gt;"EV",E183=120,AND(ISNUMBER('Operating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average",ISNUMBER(IFERROR(INDEX(Products!$P$7:$P$13,MATCH(AD183,Products!$A$7:$A$13,0)),"")))),ISNUMBER('Operating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plan'!$Y$51),ISNUMBER('Replacement plan'!$Z$51),'Replacement plan'!$Z$51&gt;=0,ISNUMBER('Replacement plan'!$AA$51),'Replacement plan'!$AA$51&gt;=0,'Replacement plan'!$AA$51=INT('Replacement plan'!$AA$51),ISNUMBER('Replacement plan'!$L$51))),'Operating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plan'!$AG$51="",'Operating costs'!$B$7,'Replacement plan'!$AG$51)),IF('Replacement plan'!$AG$51="",'Operating costs'!$B$7,'Replacement plan'!$AG$51)&gt;=0,ISNUMBER(IF('Replacement plan'!$AH$51="",'Operating costs'!$B$7,'Replacement plan'!$AH$51)),IF('Replacement plan'!$AH$51="",'Operating costs'!$B$7,'Replacement plan'!$AH$51)&gt;=0,'Operating costs'!$B$8&gt;MAX(IF('Replacement plan'!$AG$51="",'Operating costs'!$B$7,'Replacement plan'!$AG$51),IF('Replacement plan'!$AH$51="",'Operating costs'!$B$7,'Replacement plan'!$AH$51))*'Operating costs'!$B$9),IF(AND(VLOOKUP($A183,'Fleet register'!$A$7:$S$106,10,FALSE)&gt;=0,VLOOKUP($A183,'Fleet register'!$A$7:$S$106,10,FALSE)&lt;=120,VLOOKUP($A183,'Fleet register'!$A$7:$S$106,10,FALSE)=INT(VLOOKUP($A183,'Fleet register'!$A$7:$S$106,10,FALSE)),VLOOKUP($A183,'Fleet register'!$A$7:$S$106,15,FALSE)&gt;=0,VLOOKUP($A183,'Fleet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costs'!$B$67)&gt;=0,OR(D183&lt;&gt;"EV",E183=120,AND(MIN('Operating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83" s="1" t="str">
        <f>IF(C183=0,"Excluded",IF(P183&lt;&gt;"Complete",P183,IF(OR('Replacement plan'!$AD$51&lt;120-E183,AND(D183="EV",E183&lt;120,OR('Replacement plan'!$AC$51&lt;120-E183,'Replacement plan'!$I$51="No",AND(ISNUMBER(AF183),AE183&gt;AF183),AI183&gt;V183*(1-'Operating costs'!$B$46)^MAX(0,AB183-1)*(1-'Operating costs'!$B$45),AC183&gt;'Operating costs'!$B$18,AND(T183&lt;1,OR(AG183&lt;=0,AND(ISNUMBER(AH183),AG183&gt;AH183))),'Replacement plan'!$L$51&gt;INDEX(Products!$H$7:$H$13,MATCH('Replacement plan'!$B$51,Products!$A$7:$A$13,0))))),"Fails entered limits",IF(AND(D183="EV",E183&lt;120,OR(NOT(ISNUMBER(VLOOKUP($A183,'Fleet register'!$A$7:$S$106,7,FALSE))),NOT(ISNUMBER(VLOOKUP($A183,'Fleet register'!$A$7:$S$106,8,FALSE))),NOT(ISNUMBER(AF183)),'Replacement plan'!$I$51&lt;&gt;"Yes",NOT(ISNUMBER(AH183)),'Operating costs'!$B$59&lt;&gt;"Yes",'Operating costs'!$B$58&lt;&gt;"Yes")),"Unverified","Within entered limits"))))</f>
        <v>Excluded</v>
      </c>
      <c r="R183" s="1">
        <f>IF(C183=0,0,VLOOKUP($A183,'Fleet register'!$A$7:$S$106,6,FALSE))</f>
        <v>0</v>
      </c>
      <c r="S183" s="1">
        <f>IF(C183=0,0,VLOOKUP($A183,'Fleet register'!$A$7:$S$106,5,FALSE))</f>
        <v>0</v>
      </c>
      <c r="T183" s="1">
        <f>IF(D183="EV",'Energy and charging'!$B$12,0)</f>
        <v>0</v>
      </c>
      <c r="U183" s="1">
        <f>IFERROR(IF(C183=0,0,IF(D183="EV",IF('Replacement plan'!$F$51="",INDEX(Products!$E$7:$E$13,MATCH('Replacement plan'!$B$51,Products!$A$7:$A$13,0)),'Replacement plan'!$F$51)/IF('Replacement plan'!$G$51="Battery",1-'Operating costs'!$B$44,1),0)),"n.a.")</f>
        <v>0</v>
      </c>
      <c r="V183" s="1">
        <f>IFERROR(IF(C183=0,0,IF(D183="EV",IF('Replacement plan'!$E$51="",INDEX(Products!$D$7:$D$13,MATCH('Replacement plan'!$B$51,Products!$A$7:$A$13,0)),'Replacement plan'!$E$51),0)),"n.a.")</f>
        <v>0</v>
      </c>
      <c r="W183" s="1">
        <f>IF(C183=0,0,IF(AND(P183="Complete",D183="EV",E183&lt;120),IF(T183=0,0,ROUNDUP(T183*(R183-'Operating costs'!$B$41)*(S183*U183+'Operating costs'!$B$48/(1-'Operating costs'!$B$44))/(V183*'Operating costs'!$B$47/(1-'Operating costs'!$B$44)-T183*'Operating costs'!$B$12*U183),0)),0))</f>
        <v>0</v>
      </c>
      <c r="X183" s="1">
        <f>IF(C183=0,0,IF(AND(P183="Complete",D183="EV",E183&lt;120),(R183-'Operating costs'!$B$41)*(S183*U183+'Operating costs'!$B$48/(1-'Operating costs'!$B$44))+W183*'Operating costs'!$B$12*U183,0))</f>
        <v>0</v>
      </c>
      <c r="Y183" s="1">
        <f>IF(AND(C183=1,D183="EV",E183&lt;120),AI183/(1-'Operating costs'!$B$44)*(1-T183),0)</f>
        <v>0</v>
      </c>
      <c r="Z183" s="1">
        <f t="shared" si="4"/>
        <v>0</v>
      </c>
      <c r="AA183" s="1">
        <f>IF(C183=0,0,IF(P183="Complete",((S183*(R183-'Operating costs'!$B$40))+ROUNDUP(S183*(R183-'Operating costs'!$B$40)*IF('Replacement plan'!$AH$51="",'Operating costs'!$B$7,'Replacement plan'!$AH$51)/('Operating costs'!$B$8-'Operating costs'!$B$9*IF('Replacement plan'!$AH$51="",'Operating costs'!$B$7,'Replacement plan'!$AH$51)),0)*'Operating costs'!$B$9)*IF('Replacement plan'!$AH$51="",'Operating costs'!$B$7,'Replacement plan'!$AH$51),"n.a."))</f>
        <v>0</v>
      </c>
      <c r="AB183" s="1">
        <f t="shared" si="5"/>
        <v>0</v>
      </c>
      <c r="AC183" s="1">
        <f>IF(AND(C183=1,D183="EV",E183&lt;120,T183&gt;0),'Operating costs'!$B$12/'Operating costs'!$B$11*60+'Operating costs'!$B$13+'Operating costs'!$B$14+V183*'Operating costs'!$B$47/(1-'Operating costs'!$B$44)/'Replacement plan'!$L$51*60,0)</f>
        <v>0</v>
      </c>
      <c r="AD183" s="1" t="str">
        <f>'Replacement plan'!$B$51</f>
        <v>ChengLong L2EV</v>
      </c>
      <c r="AE183" s="1">
        <f>IF(C183=0,0,VLOOKUP($A183,'Fleet register'!$A$7:$S$106,8,FALSE))</f>
        <v>0</v>
      </c>
      <c r="AF183" s="1" t="str">
        <f>IF('Replacement plan'!$H$51="","n.a.",'Replacement plan'!$H$51)</f>
        <v>n.a.</v>
      </c>
      <c r="AG183" s="1">
        <f>'Replacement plan'!$J$51</f>
        <v>22</v>
      </c>
      <c r="AH183" s="1">
        <f>IFERROR(IF(D183="EV",IF('Replacement plan'!$K$51="AC",IF(ISNUMBER(INDEX(Products!$G$7:$G$13,MATCH('Replacement plan'!$B$51,Products!$A$7:$A$13,0))),INDEX(Products!$G$7:$G$13,MATCH('Replacement plan'!$B$51,Products!$A$7:$A$13,0)),"n.a."),IF(ISNUMBER(INDEX(Products!$H$7:$H$13,MATCH('Replacement plan'!$B$51,Products!$A$7:$A$13,0))),INDEX(Products!$H$7:$H$13,MATCH('Replacement plan'!$B$51,Products!$A$7:$A$13,0)),"n.a.")),0),"n.a.")</f>
        <v>0</v>
      </c>
      <c r="AI183" s="1">
        <f>IF(AND(C183=1,D183="EV",E183&lt;120),(VLOOKUP($A183,'Fleet register'!$A$7:$S$106,7,FALSE)+IF(T183&gt;0,'Operating costs'!$B$12,0))*U183*(1-'Operating costs'!$B$44)+'Operating costs'!$B$49,0)</f>
        <v>0</v>
      </c>
      <c r="AJ183" s="1">
        <f>IF(D183="EV",'Energy and charging'!$B$50,0)</f>
        <v>0</v>
      </c>
      <c r="AK183" s="17">
        <f>EDATE('Operating costs'!$B$63,E183)</f>
        <v>46298</v>
      </c>
      <c r="AL183" s="1">
        <f>IFERROR(IF(D183="EV",INDEX(Products!$B$7:$B$13,MATCH('Replacement plan'!$B$51,Products!$A$7:$A$13,0)),0),"n.a.")</f>
        <v>0</v>
      </c>
      <c r="AM183" s="1" t="str">
        <f>'Replacement plan'!$K$51</f>
        <v>DC</v>
      </c>
      <c r="AN183" s="1" t="str">
        <f>'Replacement plan'!$AE$51</f>
        <v>Assumed</v>
      </c>
      <c r="AO183" s="47">
        <f>IF(AND(C183=1,D183="EV",E183&lt;120),(R183-'Operating costs'!$B$41)*S183+W183*'Operating costs'!$B$12,0)</f>
        <v>0</v>
      </c>
      <c r="AP183" s="41">
        <f>IF(AND(C183=1,D183="EV",E183&lt;120),IF('Operating costs'!$B$68="Hong Seh 200k average",AO183*IFERROR(INDEX(Products!$P$7:$P$13,MATCH(AD183,Products!$A$7:$A$13,0)),"n.a."),'Operating costs'!$B$26),0)</f>
        <v>0</v>
      </c>
      <c r="AQ183" s="40" t="str">
        <f>IF(D183="EV",'Operating costs'!$B$68,"Not applicable")</f>
        <v>Not applicable</v>
      </c>
    </row>
    <row r="184" spans="1:43" ht="24" customHeight="1">
      <c r="A184" s="1" t="str">
        <f>'Replacement plan'!A51</f>
        <v>T045</v>
      </c>
      <c r="B184" s="1">
        <v>1</v>
      </c>
      <c r="C184" s="1">
        <f>IF(COUNTIFS('Fleet register'!$A$7:$A$106,$A184)=1,VLOOKUP($A184,'Fleet register'!$A$7:$S$106,2,FALSE),0)</f>
        <v>0</v>
      </c>
      <c r="D184" s="1" t="str">
        <f>IF("New ICE"="EV","EV","ICE")</f>
        <v>ICE</v>
      </c>
      <c r="E184" s="1">
        <f>IF(C184=0,0,0)</f>
        <v>0</v>
      </c>
      <c r="F184" s="16">
        <f>IF(C184=0,0,VLOOKUP($A184,'Fleet register'!$A$7:$S$106,11,FALSE))</f>
        <v>0</v>
      </c>
      <c r="G184" s="16">
        <f>IFERROR(IF(C184=0,0,IF(E184=120,0,IF(D184="ICE",'Replacement plan'!$C$51,IF('Replacement plan'!$D$51="",INDEX(Products!$I$7:$I$13,MATCH('Replacement plan'!$B$51,Products!$A$7:$A$13,0))+'Operating costs'!$B$57,'Replacement plan'!$D$51))*(1+'Operating costs'!$B$50)^(E184/12))),"n.a.")</f>
        <v>0</v>
      </c>
      <c r="H184" s="16">
        <f>IFERROR(IF(C184=0,0,IF(E184=0,F184,VLOOKUP($A184,'Fleet register'!$A$7:$S$106,12,FALSE)+VLOOKUP($A184,'Fleet register'!$A$7:$S$106,13,FALSE)*MAX(0,VLOOKUP($A184,'Fleet register'!$A$7:$S$106,10,FALSE)-E184)/VLOOKUP($A184,'Fleet register'!$A$7:$S$106,14,FALSE))),"n.a.")</f>
        <v>0</v>
      </c>
      <c r="I184" s="16">
        <f>IF(C184=0,0,IF(E184=120,0,IF('Replacement plan'!$AI$51="",'Operating costs'!$B$56,'Replacement plan'!$AI$51)))</f>
        <v>0</v>
      </c>
      <c r="J184" s="16">
        <f>IF(C184=0,0,IF(P184="Complete",((S184*(R184-'Operating costs'!$B$39))+ROUNDUP(S184*(R184-'Operating costs'!$B$39)*IF('Replacement plan'!$AG$51="",'Operating costs'!$B$7,'Replacement plan'!$AG$51)/('Operating costs'!$B$8-'Operating costs'!$B$9*IF('Replacement plan'!$AG$51="",'Operating costs'!$B$7,'Replacement plan'!$AG$51)),0)*'Operating costs'!$B$9)*IF('Replacement plan'!$AG$51="",'Operating costs'!$B$7,'Replacement plan'!$AG$51)*('Energy and charging'!$B$9*'Energy and charging'!$B$7+(1-'Energy and charging'!$B$9)*'Energy and charging'!$B$8)*'Operating costs'!$B$23,"n.a."))</f>
        <v>0</v>
      </c>
      <c r="K184" s="16">
        <f>IF(C184=0,0,IF(P184="Complete",SUM('Operating costs'!$B$24,'Operating costs'!$B$27,'Operating costs'!$B$29,'Operating costs'!$B$31,'Operating costs'!$B$33,'Operating costs'!$B$34,'Operating costs'!$B$37,'Replacement plan'!$W$51)+'Operating costs'!$B$39*'Operating costs'!$B$42+ROUNDUP(S184*(R184-'Operating costs'!$B$39)*IF('Replacement plan'!$AG$51="",'Operating costs'!$B$7,'Replacement plan'!$AG$51)/('Operating costs'!$B$8-'Operating costs'!$B$9*IF('Replacement plan'!$AG$51="",'Operating costs'!$B$7,'Replacement plan'!$AG$51)),0)*('Operating costs'!$B$9/'Operating costs'!$B$11+'Operating costs'!$B$10/60)*'Operating costs'!$B$19*'Operating costs'!$B$21,"n.a."))</f>
        <v>0</v>
      </c>
      <c r="L184" s="16">
        <f>IF(C184=0,0,IF(P184="Complete",IF(D184="EV",X184*((1-T184)*'Energy and charging'!$B$10+T184*'Energy and charging'!$B$11)*'Operating costs'!$B$22,AA184*('Energy and charging'!$B$9*'Energy and charging'!$B$7+(1-'Energy and charging'!$B$9)*'Energy and charging'!$B$8)*'Operating costs'!$B$23),"n.a."))</f>
        <v>0</v>
      </c>
      <c r="M184" s="37">
        <f>IF(C184=0,0,IF(P184="Complete",IF(D184="ICE",SUM('Operating costs'!$B$25,'Operating costs'!$B$27,'Operating costs'!$B$29,'Operating costs'!$B$31,'Operating costs'!$B$33,'Operating costs'!$B$35,'Operating costs'!$B$37,'Replacement plan'!$X$51)+'Operating costs'!$B$40*'Operating costs'!$B$42+ROUNDUP(S184*(R184-'Operating costs'!$B$40)*IF('Replacement plan'!$AH$51="",'Operating costs'!$B$7,'Replacement plan'!$AH$51)/('Operating costs'!$B$8-'Operating costs'!$B$9*IF('Replacement plan'!$AH$51="",'Operating costs'!$B$7,'Replacement plan'!$AH$51)),0)*('Operating costs'!$B$9/'Operating costs'!$B$11+'Operating costs'!$B$10/60)*'Operating costs'!$B$19*'Operating costs'!$B$21,SUM(AP184,'Operating costs'!$B$28,'Operating costs'!$B$30,'Operating costs'!$B$32,'Operating costs'!$B$33,'Operating costs'!$B$36,'Operating costs'!$B$38,'Replacement plan'!$Y$51)+'Operating costs'!$B$41*'Operating costs'!$B$43+W184*'Operating costs'!$B$15+(T184*X184/'Replacement plan'!$L$51+W184*('Operating costs'!$B$12/'Operating costs'!$B$11+('Operating costs'!$B$13+'Operating costs'!$B$14)/60)+(R184-'Operating costs'!$B$41)*(IF(T184&lt;1,'Operating costs'!$B$16,0)+'Operating costs'!$B$17)/60)*'Operating costs'!$B$19*'Operating costs'!$B$20),"n.a."))</f>
        <v>0</v>
      </c>
      <c r="N184" s="16">
        <f>IF(AND(C184=1,D184="EV",E184&lt;120,E184+'Replacement plan'!$AA$51&lt;=120),'Replacement plan'!$Z$51,0)</f>
        <v>0</v>
      </c>
      <c r="O184" s="1">
        <f>E184+'Replacement plan'!$AA$51</f>
        <v>0</v>
      </c>
      <c r="P184" s="35" t="str">
        <f>IFERROR(IF(C184=0,"Excluded",IF(OR(COUNTIFS('Fleet register'!$A$7:$A$106,A184)&lt;&gt;1,COUNTIFS('Replacement plan'!$A$7:$A$106,A184)&lt;&gt;1),"Duplicate/missing ID",IF(NOT(AND(ISNUMBER(VLOOKUP($A184,'Fleet register'!$A$7:$S$106,5,FALSE)),ISNUMBER(VLOOKUP($A184,'Fleet register'!$A$7:$S$106,6,FALSE)),ISNUMBER(VLOOKUP($A184,'Fleet register'!$A$7:$S$106,10,FALSE)),ISNUMBER(VLOOKUP($A184,'Fleet register'!$A$7:$S$106,11,FALSE)),ISNUMBER(VLOOKUP($A184,'Fleet register'!$A$7:$S$106,12,FALSE)),ISNUMBER(VLOOKUP($A184,'Fleet register'!$A$7:$S$106,13,FALSE)),ISNUMBER(VLOOKUP($A184,'Fleet register'!$A$7:$S$106,14,FALSE)),VLOOKUP($A184,'Fleet register'!$A$7:$S$106,14,FALSE)&gt;0,ISNUMBER('Replacement plan'!$C$51),OR(E184=120,OR(ISNUMBER('Replacement plan'!$AI$51),AND('Replacement plan'!$AI$51="",ISNUMBER('Operating costs'!$B$56)))),ISNUMBER(E184))),"Missing vehicle input",IF(OR(E184&lt;0,E184&gt;VLOOKUP($A184,'Fleet register'!$A$7:$S$106,10,FALSE),E184&gt;120,E184&lt;&gt;INT(E184),VLOOKUP($A184,'Fleet register'!$A$7:$S$106,6,FALSE)&lt;=0,VLOOKUP($A184,'Fleet register'!$A$7:$S$106,6,FALSE)&gt;366,VLOOKUP($A184,'Fleet register'!$A$7:$S$106,5,FALSE)&lt;0,VLOOKUP($A184,'Fleet register'!$A$7:$S$106,11,FALSE)&lt;0,I184&lt;0,'Operating costs'!$B$8&lt;='Operating costs'!$B$7*'Operating costs'!$B$9,'Operating costs'!$B$11&lt;=0,'Operating costs'!$B$39&gt;R184,'Operating costs'!$B$40&gt;R184,'Operating costs'!$B$41&gt;R184,NOT(OR("New ICE"="Keep ICE","New ICE"="New ICE","New ICE"="EV"))),"Invalid vehicle input",IF(AND(D184="EV",E184&lt;120,OR(NOT(ISNUMBER(U184)),NOT(ISNUMBER(V184)),V184&lt;=0,T184&lt;0,T184&gt;1,'Replacement plan'!$L$51&lt;=0,'Operating costs'!$B$44&lt;0,'Operating costs'!$B$44&gt;=1,'Operating costs'!$B$47&lt;=0,'Operating costs'!$B$47&gt;1,V184*'Operating costs'!$B$47/(1-'Operating costs'!$B$44)&lt;=T184*'Operating costs'!$B$12*U184,AND('Replacement plan'!$Z$51&gt;0,OR('Replacement plan'!$AB$51&lt;&gt;"Yes",'Operating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charging'!$B$8&gt;=0))),ISNUMBER(VLOOKUP($A184,'Fleet register'!$A$7:$S$106,15,FALSE)),ISNUMBER(VLOOKUP($A184,'Fleet register'!$A$7:$S$106,16,FALSE)),ISNUMBER('Replacement plan'!$W$51),ISNUMBER('Replacement plan'!$X$51),OR(E184=120,AND(ISNUMBER(G184),G184&gt;=0)),ISNUMBER(H184),H184&gt;=0,OR(D184&lt;&gt;"EV",E184=120,AND(ISNUMBER('Operating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average",ISNUMBER(IFERROR(INDEX(Products!$P$7:$P$13,MATCH(AD184,Products!$A$7:$A$13,0)),"")))),ISNUMBER('Operating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plan'!$Y$51),ISNUMBER('Replacement plan'!$Z$51),'Replacement plan'!$Z$51&gt;=0,ISNUMBER('Replacement plan'!$AA$51),'Replacement plan'!$AA$51&gt;=0,'Replacement plan'!$AA$51=INT('Replacement plan'!$AA$51),ISNUMBER('Replacement plan'!$L$51))),'Operating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plan'!$AG$51="",'Operating costs'!$B$7,'Replacement plan'!$AG$51)),IF('Replacement plan'!$AG$51="",'Operating costs'!$B$7,'Replacement plan'!$AG$51)&gt;=0,ISNUMBER(IF('Replacement plan'!$AH$51="",'Operating costs'!$B$7,'Replacement plan'!$AH$51)),IF('Replacement plan'!$AH$51="",'Operating costs'!$B$7,'Replacement plan'!$AH$51)&gt;=0,'Operating costs'!$B$8&gt;MAX(IF('Replacement plan'!$AG$51="",'Operating costs'!$B$7,'Replacement plan'!$AG$51),IF('Replacement plan'!$AH$51="",'Operating costs'!$B$7,'Replacement plan'!$AH$51))*'Operating costs'!$B$9),IF(AND(VLOOKUP($A184,'Fleet register'!$A$7:$S$106,10,FALSE)&gt;=0,VLOOKUP($A184,'Fleet register'!$A$7:$S$106,10,FALSE)&lt;=120,VLOOKUP($A184,'Fleet register'!$A$7:$S$106,10,FALSE)=INT(VLOOKUP($A184,'Fleet register'!$A$7:$S$106,10,FALSE)),VLOOKUP($A184,'Fleet register'!$A$7:$S$106,15,FALSE)&gt;=0,VLOOKUP($A184,'Fleet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costs'!$B$67)&gt;=0,OR(D184&lt;&gt;"EV",E184=120,AND(MIN('Operating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84" s="1" t="str">
        <f>IF(C184=0,"Excluded",IF(P184&lt;&gt;"Complete",P184,IF(OR('Replacement plan'!$AD$51&lt;120-E184,AND(D184="EV",E184&lt;120,OR('Replacement plan'!$AC$51&lt;120-E184,'Replacement plan'!$I$51="No",AND(ISNUMBER(AF184),AE184&gt;AF184),AI184&gt;V184*(1-'Operating costs'!$B$46)^MAX(0,AB184-1)*(1-'Operating costs'!$B$45),AC184&gt;'Operating costs'!$B$18,AND(T184&lt;1,OR(AG184&lt;=0,AND(ISNUMBER(AH184),AG184&gt;AH184))),'Replacement plan'!$L$51&gt;INDEX(Products!$H$7:$H$13,MATCH('Replacement plan'!$B$51,Products!$A$7:$A$13,0))))),"Fails entered limits",IF(AND(D184="EV",E184&lt;120,OR(NOT(ISNUMBER(VLOOKUP($A184,'Fleet register'!$A$7:$S$106,7,FALSE))),NOT(ISNUMBER(VLOOKUP($A184,'Fleet register'!$A$7:$S$106,8,FALSE))),NOT(ISNUMBER(AF184)),'Replacement plan'!$I$51&lt;&gt;"Yes",NOT(ISNUMBER(AH184)),'Operating costs'!$B$59&lt;&gt;"Yes",'Operating costs'!$B$58&lt;&gt;"Yes")),"Unverified","Within entered limits"))))</f>
        <v>Excluded</v>
      </c>
      <c r="R184" s="1">
        <f>IF(C184=0,0,VLOOKUP($A184,'Fleet register'!$A$7:$S$106,6,FALSE))</f>
        <v>0</v>
      </c>
      <c r="S184" s="1">
        <f>IF(C184=0,0,VLOOKUP($A184,'Fleet register'!$A$7:$S$106,5,FALSE))</f>
        <v>0</v>
      </c>
      <c r="T184" s="1">
        <f>IF(D184="EV",'Energy and charging'!$B$12,0)</f>
        <v>0</v>
      </c>
      <c r="U184" s="1">
        <f>IFERROR(IF(C184=0,0,IF(D184="EV",IF('Replacement plan'!$F$51="",INDEX(Products!$E$7:$E$13,MATCH('Replacement plan'!$B$51,Products!$A$7:$A$13,0)),'Replacement plan'!$F$51)/IF('Replacement plan'!$G$51="Battery",1-'Operating costs'!$B$44,1),0)),"n.a.")</f>
        <v>0</v>
      </c>
      <c r="V184" s="1">
        <f>IFERROR(IF(C184=0,0,IF(D184="EV",IF('Replacement plan'!$E$51="",INDEX(Products!$D$7:$D$13,MATCH('Replacement plan'!$B$51,Products!$A$7:$A$13,0)),'Replacement plan'!$E$51),0)),"n.a.")</f>
        <v>0</v>
      </c>
      <c r="W184" s="1">
        <f>IF(C184=0,0,IF(AND(P184="Complete",D184="EV",E184&lt;120),IF(T184=0,0,ROUNDUP(T184*(R184-'Operating costs'!$B$41)*(S184*U184+'Operating costs'!$B$48/(1-'Operating costs'!$B$44))/(V184*'Operating costs'!$B$47/(1-'Operating costs'!$B$44)-T184*'Operating costs'!$B$12*U184),0)),0))</f>
        <v>0</v>
      </c>
      <c r="X184" s="1">
        <f>IF(C184=0,0,IF(AND(P184="Complete",D184="EV",E184&lt;120),(R184-'Operating costs'!$B$41)*(S184*U184+'Operating costs'!$B$48/(1-'Operating costs'!$B$44))+W184*'Operating costs'!$B$12*U184,0))</f>
        <v>0</v>
      </c>
      <c r="Y184" s="1">
        <f>IF(AND(C184=1,D184="EV",E184&lt;120),AI184/(1-'Operating costs'!$B$44)*(1-T184),0)</f>
        <v>0</v>
      </c>
      <c r="Z184" s="1">
        <f t="shared" si="4"/>
        <v>0</v>
      </c>
      <c r="AA184" s="1">
        <f>IF(C184=0,0,IF(P184="Complete",((S184*(R184-'Operating costs'!$B$40))+ROUNDUP(S184*(R184-'Operating costs'!$B$40)*IF('Replacement plan'!$AH$51="",'Operating costs'!$B$7,'Replacement plan'!$AH$51)/('Operating costs'!$B$8-'Operating costs'!$B$9*IF('Replacement plan'!$AH$51="",'Operating costs'!$B$7,'Replacement plan'!$AH$51)),0)*'Operating costs'!$B$9)*IF('Replacement plan'!$AH$51="",'Operating costs'!$B$7,'Replacement plan'!$AH$51),"n.a."))</f>
        <v>0</v>
      </c>
      <c r="AB184" s="1">
        <f t="shared" si="5"/>
        <v>0</v>
      </c>
      <c r="AC184" s="1">
        <f>IF(AND(C184=1,D184="EV",E184&lt;120,T184&gt;0),'Operating costs'!$B$12/'Operating costs'!$B$11*60+'Operating costs'!$B$13+'Operating costs'!$B$14+V184*'Operating costs'!$B$47/(1-'Operating costs'!$B$44)/'Replacement plan'!$L$51*60,0)</f>
        <v>0</v>
      </c>
      <c r="AD184" s="1" t="str">
        <f>'Replacement plan'!$B$51</f>
        <v>ChengLong L2EV</v>
      </c>
      <c r="AE184" s="1">
        <f>IF(C184=0,0,VLOOKUP($A184,'Fleet register'!$A$7:$S$106,8,FALSE))</f>
        <v>0</v>
      </c>
      <c r="AF184" s="1" t="str">
        <f>IF('Replacement plan'!$H$51="","n.a.",'Replacement plan'!$H$51)</f>
        <v>n.a.</v>
      </c>
      <c r="AG184" s="1">
        <f>'Replacement plan'!$J$51</f>
        <v>22</v>
      </c>
      <c r="AH184" s="1">
        <f>IFERROR(IF(D184="EV",IF('Replacement plan'!$K$51="AC",IF(ISNUMBER(INDEX(Products!$G$7:$G$13,MATCH('Replacement plan'!$B$51,Products!$A$7:$A$13,0))),INDEX(Products!$G$7:$G$13,MATCH('Replacement plan'!$B$51,Products!$A$7:$A$13,0)),"n.a."),IF(ISNUMBER(INDEX(Products!$H$7:$H$13,MATCH('Replacement plan'!$B$51,Products!$A$7:$A$13,0))),INDEX(Products!$H$7:$H$13,MATCH('Replacement plan'!$B$51,Products!$A$7:$A$13,0)),"n.a.")),0),"n.a.")</f>
        <v>0</v>
      </c>
      <c r="AI184" s="1">
        <f>IF(AND(C184=1,D184="EV",E184&lt;120),(VLOOKUP($A184,'Fleet register'!$A$7:$S$106,7,FALSE)+IF(T184&gt;0,'Operating costs'!$B$12,0))*U184*(1-'Operating costs'!$B$44)+'Operating costs'!$B$49,0)</f>
        <v>0</v>
      </c>
      <c r="AJ184" s="1">
        <f>IF(D184="EV",'Energy and charging'!$B$50,0)</f>
        <v>0</v>
      </c>
      <c r="AK184" s="17">
        <f>EDATE('Operating costs'!$B$63,E184)</f>
        <v>46298</v>
      </c>
      <c r="AL184" s="1">
        <f>IFERROR(IF(D184="EV",INDEX(Products!$B$7:$B$13,MATCH('Replacement plan'!$B$51,Products!$A$7:$A$13,0)),0),"n.a.")</f>
        <v>0</v>
      </c>
      <c r="AM184" s="1" t="str">
        <f>'Replacement plan'!$K$51</f>
        <v>DC</v>
      </c>
      <c r="AN184" s="1" t="str">
        <f>'Replacement plan'!$AE$51</f>
        <v>Assumed</v>
      </c>
      <c r="AO184" s="47">
        <f>IF(AND(C184=1,D184="EV",E184&lt;120),(R184-'Operating costs'!$B$41)*S184+W184*'Operating costs'!$B$12,0)</f>
        <v>0</v>
      </c>
      <c r="AP184" s="41">
        <f>IF(AND(C184=1,D184="EV",E184&lt;120),IF('Operating costs'!$B$68="Hong Seh 200k average",AO184*IFERROR(INDEX(Products!$P$7:$P$13,MATCH(AD184,Products!$A$7:$A$13,0)),"n.a."),'Operating costs'!$B$26),0)</f>
        <v>0</v>
      </c>
      <c r="AQ184" s="40" t="str">
        <f>IF(D184="EV",'Operating costs'!$B$68,"Not applicable")</f>
        <v>Not applicable</v>
      </c>
    </row>
    <row r="185" spans="1:43" ht="24" customHeight="1">
      <c r="A185" s="1" t="str">
        <f>'Replacement plan'!A51</f>
        <v>T045</v>
      </c>
      <c r="B185" s="1">
        <v>2</v>
      </c>
      <c r="C185" s="1">
        <f>IF(COUNTIFS('Fleet register'!$A$7:$A$106,$A185)=1,VLOOKUP($A185,'Fleet register'!$A$7:$S$106,2,FALSE),0)</f>
        <v>0</v>
      </c>
      <c r="D185" s="1" t="str">
        <f>IF('Replacement plan'!$O$51="EV","EV","ICE")</f>
        <v>ICE</v>
      </c>
      <c r="E185" s="1">
        <f>IF(C185=0,0,IF('Replacement plan'!$P$51="",IF('Replacement plan'!$O$51="Keep ICE",IF('Replacement plan'!$M$51="",VLOOKUP($A185,'Fleet register'!$A$7:$S$106,10,FALSE),'Replacement plan'!$M$51),0),'Replacement plan'!$P$51))</f>
        <v>0</v>
      </c>
      <c r="F185" s="16">
        <f>IF(C185=0,0,VLOOKUP($A185,'Fleet register'!$A$7:$S$106,11,FALSE))</f>
        <v>0</v>
      </c>
      <c r="G185" s="16">
        <f>IFERROR(IF(C185=0,0,IF(E185=120,0,IF(D185="ICE",'Replacement plan'!$C$51,IF('Replacement plan'!$D$51="",INDEX(Products!$I$7:$I$13,MATCH('Replacement plan'!$B$51,Products!$A$7:$A$13,0))+'Operating costs'!$B$57,'Replacement plan'!$D$51))*(1+'Operating costs'!$B$50)^(E185/12))),"n.a.")</f>
        <v>0</v>
      </c>
      <c r="H185" s="16">
        <f>IFERROR(IF(C185=0,0,IF('Replacement plan'!$U$51&lt;&gt;"",'Replacement plan'!$U$51,IF(E185=0,F185,VLOOKUP($A185,'Fleet register'!$A$7:$S$106,12,FALSE)+VLOOKUP($A185,'Fleet register'!$A$7:$S$106,13,FALSE)*MAX(0,VLOOKUP($A185,'Fleet register'!$A$7:$S$106,10,FALSE)-E185)/VLOOKUP($A185,'Fleet register'!$A$7:$S$106,14,FALSE)))),"n.a.")</f>
        <v>0</v>
      </c>
      <c r="I185" s="16">
        <f>IF(C185=0,0,IF(E185=120,0,'Replacement plan'!$Q$51))</f>
        <v>0</v>
      </c>
      <c r="J185" s="16">
        <f>IF(C185=0,0,IF(P185="Complete",((S185*(R185-'Operating costs'!$B$39))+ROUNDUP(S185*(R185-'Operating costs'!$B$39)*IF('Replacement plan'!$AG$51="",'Operating costs'!$B$7,'Replacement plan'!$AG$51)/('Operating costs'!$B$8-'Operating costs'!$B$9*IF('Replacement plan'!$AG$51="",'Operating costs'!$B$7,'Replacement plan'!$AG$51)),0)*'Operating costs'!$B$9)*IF('Replacement plan'!$AG$51="",'Operating costs'!$B$7,'Replacement plan'!$AG$51)*('Energy and charging'!$B$9*'Energy and charging'!$B$7+(1-'Energy and charging'!$B$9)*'Energy and charging'!$B$8)*'Operating costs'!$B$23,"n.a."))</f>
        <v>0</v>
      </c>
      <c r="K185" s="16">
        <f>IF(C185=0,0,IF(P185="Complete",SUM('Operating costs'!$B$24,'Operating costs'!$B$27,'Operating costs'!$B$29,'Operating costs'!$B$31,'Operating costs'!$B$33,'Operating costs'!$B$34,'Operating costs'!$B$37,'Replacement plan'!$W$51)+'Operating costs'!$B$39*'Operating costs'!$B$42+ROUNDUP(S185*(R185-'Operating costs'!$B$39)*IF('Replacement plan'!$AG$51="",'Operating costs'!$B$7,'Replacement plan'!$AG$51)/('Operating costs'!$B$8-'Operating costs'!$B$9*IF('Replacement plan'!$AG$51="",'Operating costs'!$B$7,'Replacement plan'!$AG$51)),0)*('Operating costs'!$B$9/'Operating costs'!$B$11+'Operating costs'!$B$10/60)*'Operating costs'!$B$19*'Operating costs'!$B$21,"n.a."))</f>
        <v>0</v>
      </c>
      <c r="L185" s="16">
        <f>IF(C185=0,0,IF(P185="Complete",IF(D185="EV",X185*((1-T185)*'Energy and charging'!$B$10+T185*'Energy and charging'!$B$11)*'Operating costs'!$B$22,AA185*('Energy and charging'!$B$9*'Energy and charging'!$B$7+(1-'Energy and charging'!$B$9)*'Energy and charging'!$B$8)*'Operating costs'!$B$23),"n.a."))</f>
        <v>0</v>
      </c>
      <c r="M185" s="37">
        <f>IF(C185=0,0,IF(P185="Complete",IF(D185="ICE",SUM('Operating costs'!$B$25,'Operating costs'!$B$27,'Operating costs'!$B$29,'Operating costs'!$B$31,'Operating costs'!$B$33,'Operating costs'!$B$35,'Operating costs'!$B$37,'Replacement plan'!$X$51)+'Operating costs'!$B$40*'Operating costs'!$B$42+ROUNDUP(S185*(R185-'Operating costs'!$B$40)*IF('Replacement plan'!$AH$51="",'Operating costs'!$B$7,'Replacement plan'!$AH$51)/('Operating costs'!$B$8-'Operating costs'!$B$9*IF('Replacement plan'!$AH$51="",'Operating costs'!$B$7,'Replacement plan'!$AH$51)),0)*('Operating costs'!$B$9/'Operating costs'!$B$11+'Operating costs'!$B$10/60)*'Operating costs'!$B$19*'Operating costs'!$B$21,SUM(AP185,'Operating costs'!$B$28,'Operating costs'!$B$30,'Operating costs'!$B$32,'Operating costs'!$B$33,'Operating costs'!$B$36,'Operating costs'!$B$38,'Replacement plan'!$Y$51)+'Operating costs'!$B$41*'Operating costs'!$B$43+W185*'Operating costs'!$B$15+(T185*X185/'Replacement plan'!$L$51+W185*('Operating costs'!$B$12/'Operating costs'!$B$11+('Operating costs'!$B$13+'Operating costs'!$B$14)/60)+(R185-'Operating costs'!$B$41)*(IF(T185&lt;1,'Operating costs'!$B$16,0)+'Operating costs'!$B$17)/60)*'Operating costs'!$B$19*'Operating costs'!$B$20),"n.a."))</f>
        <v>0</v>
      </c>
      <c r="N185" s="16">
        <f>IF(AND(C185=1,D185="EV",E185&lt;120,E185+'Replacement plan'!$AA$51&lt;=120),'Replacement plan'!$Z$51,0)</f>
        <v>0</v>
      </c>
      <c r="O185" s="1">
        <f>E185+'Replacement plan'!$AA$51</f>
        <v>0</v>
      </c>
      <c r="P185" s="35" t="str">
        <f>IFERROR(IF(C185=0,"Excluded",IF(OR(COUNTIFS('Fleet register'!$A$7:$A$106,A185)&lt;&gt;1,COUNTIFS('Replacement plan'!$A$7:$A$106,A185)&lt;&gt;1),"Duplicate/missing ID",IF(NOT(AND(ISNUMBER(VLOOKUP($A185,'Fleet register'!$A$7:$S$106,5,FALSE)),ISNUMBER(VLOOKUP($A185,'Fleet register'!$A$7:$S$106,6,FALSE)),ISNUMBER(VLOOKUP($A185,'Fleet register'!$A$7:$S$106,10,FALSE)),ISNUMBER(VLOOKUP($A185,'Fleet register'!$A$7:$S$106,11,FALSE)),ISNUMBER(VLOOKUP($A185,'Fleet register'!$A$7:$S$106,12,FALSE)),ISNUMBER(VLOOKUP($A185,'Fleet register'!$A$7:$S$106,13,FALSE)),ISNUMBER(VLOOKUP($A185,'Fleet register'!$A$7:$S$106,14,FALSE)),VLOOKUP($A185,'Fleet register'!$A$7:$S$106,14,FALSE)&gt;0,ISNUMBER('Replacement plan'!$C$51),OR(E185=120,ISNUMBER('Replacement plan'!$Q$51)),ISNUMBER(E185))),"Missing vehicle input",IF(OR(E185&lt;0,E185&gt;VLOOKUP($A185,'Fleet register'!$A$7:$S$106,10,FALSE),E185&gt;120,E185&lt;&gt;INT(E185),VLOOKUP($A185,'Fleet register'!$A$7:$S$106,6,FALSE)&lt;=0,VLOOKUP($A185,'Fleet register'!$A$7:$S$106,6,FALSE)&gt;366,VLOOKUP($A185,'Fleet register'!$A$7:$S$106,5,FALSE)&lt;0,VLOOKUP($A185,'Fleet register'!$A$7:$S$106,11,FALSE)&lt;0,I185&lt;0,'Operating costs'!$B$8&lt;='Operating costs'!$B$7*'Operating costs'!$B$9,'Operating costs'!$B$11&lt;=0,'Operating costs'!$B$39&gt;R185,'Operating costs'!$B$40&gt;R185,'Operating costs'!$B$41&gt;R185,NOT(OR('Replacement plan'!$O$51="Keep ICE",'Replacement plan'!$O$51="New ICE",'Replacement plan'!$O$51="EV"))),"Invalid vehicle input",IF(AND(D185="EV",E185&lt;120,OR(NOT(ISNUMBER(U185)),NOT(ISNUMBER(V185)),V185&lt;=0,T185&lt;0,T185&gt;1,'Replacement plan'!$L$51&lt;=0,'Operating costs'!$B$44&lt;0,'Operating costs'!$B$44&gt;=1,'Operating costs'!$B$47&lt;=0,'Operating costs'!$B$47&gt;1,V185*'Operating costs'!$B$47/(1-'Operating costs'!$B$44)&lt;=T185*'Operating costs'!$B$12*U185,AND('Replacement plan'!$Z$51&gt;0,OR('Replacement plan'!$AB$51&lt;&gt;"Yes",'Operating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charging'!$B$8&gt;=0))),ISNUMBER(VLOOKUP($A185,'Fleet register'!$A$7:$S$106,15,FALSE)),ISNUMBER(VLOOKUP($A185,'Fleet register'!$A$7:$S$106,16,FALSE)),ISNUMBER('Replacement plan'!$W$51),ISNUMBER('Replacement plan'!$X$51),OR(E185=120,AND(ISNUMBER(G185),G185&gt;=0)),ISNUMBER(H185),H185&gt;=0,OR(D185&lt;&gt;"EV",E185=120,AND(ISNUMBER('Operating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average",ISNUMBER(IFERROR(INDEX(Products!$P$7:$P$13,MATCH(AD185,Products!$A$7:$A$13,0)),"")))),ISNUMBER('Operating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plan'!$Y$51),ISNUMBER('Replacement plan'!$Z$51),'Replacement plan'!$Z$51&gt;=0,ISNUMBER('Replacement plan'!$AA$51),'Replacement plan'!$AA$51&gt;=0,'Replacement plan'!$AA$51=INT('Replacement plan'!$AA$51),ISNUMBER('Replacement plan'!$L$51))),'Operating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plan'!$AG$51="",'Operating costs'!$B$7,'Replacement plan'!$AG$51)),IF('Replacement plan'!$AG$51="",'Operating costs'!$B$7,'Replacement plan'!$AG$51)&gt;=0,ISNUMBER(IF('Replacement plan'!$AH$51="",'Operating costs'!$B$7,'Replacement plan'!$AH$51)),IF('Replacement plan'!$AH$51="",'Operating costs'!$B$7,'Replacement plan'!$AH$51)&gt;=0,'Operating costs'!$B$8&gt;MAX(IF('Replacement plan'!$AG$51="",'Operating costs'!$B$7,'Replacement plan'!$AG$51),IF('Replacement plan'!$AH$51="",'Operating costs'!$B$7,'Replacement plan'!$AH$51))*'Operating costs'!$B$9),IF(AND(VLOOKUP($A185,'Fleet register'!$A$7:$S$106,10,FALSE)&gt;=0,VLOOKUP($A185,'Fleet register'!$A$7:$S$106,10,FALSE)&lt;=120,VLOOKUP($A185,'Fleet register'!$A$7:$S$106,10,FALSE)=INT(VLOOKUP($A185,'Fleet register'!$A$7:$S$106,10,FALSE)),VLOOKUP($A185,'Fleet register'!$A$7:$S$106,15,FALSE)&gt;=0,VLOOKUP($A185,'Fleet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costs'!$B$67)&gt;=0,OR(D185&lt;&gt;"EV",E185=120,AND(MIN('Operating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85" s="1" t="str">
        <f>IF(C185=0,"Excluded",IF(P185&lt;&gt;"Complete",P185,IF(OR('Replacement plan'!$AD$51&lt;120-E185,AND(D185="EV",E185&lt;120,OR('Replacement plan'!$AC$51&lt;120-E185,'Replacement plan'!$I$51="No",AND(ISNUMBER(AF185),AE185&gt;AF185),AI185&gt;V185*(1-'Operating costs'!$B$46)^MAX(0,AB185-1)*(1-'Operating costs'!$B$45),AC185&gt;'Operating costs'!$B$18,AND(T185&lt;1,OR(AG185&lt;=0,AND(ISNUMBER(AH185),AG185&gt;AH185))),'Replacement plan'!$L$51&gt;INDEX(Products!$H$7:$H$13,MATCH('Replacement plan'!$B$51,Products!$A$7:$A$13,0))))),"Fails entered limits",IF(AND(D185="EV",E185&lt;120,OR(NOT(ISNUMBER(VLOOKUP($A185,'Fleet register'!$A$7:$S$106,7,FALSE))),NOT(ISNUMBER(VLOOKUP($A185,'Fleet register'!$A$7:$S$106,8,FALSE))),NOT(ISNUMBER(AF185)),'Replacement plan'!$I$51&lt;&gt;"Yes",NOT(ISNUMBER(AH185)),'Operating costs'!$B$59&lt;&gt;"Yes",'Operating costs'!$B$58&lt;&gt;"Yes")),"Unverified","Within entered limits"))))</f>
        <v>Excluded</v>
      </c>
      <c r="R185" s="1">
        <f>IF(C185=0,0,VLOOKUP($A185,'Fleet register'!$A$7:$S$106,6,FALSE))</f>
        <v>0</v>
      </c>
      <c r="S185" s="1">
        <f>IF(C185=0,0,VLOOKUP($A185,'Fleet register'!$A$7:$S$106,5,FALSE))</f>
        <v>0</v>
      </c>
      <c r="T185" s="1">
        <f>IF(D185="EV",'Energy and charging'!$B$12,0)</f>
        <v>0</v>
      </c>
      <c r="U185" s="1">
        <f>IFERROR(IF(C185=0,0,IF(D185="EV",IF('Replacement plan'!$F$51="",INDEX(Products!$E$7:$E$13,MATCH('Replacement plan'!$B$51,Products!$A$7:$A$13,0)),'Replacement plan'!$F$51)/IF('Replacement plan'!$G$51="Battery",1-'Operating costs'!$B$44,1),0)),"n.a.")</f>
        <v>0</v>
      </c>
      <c r="V185" s="1">
        <f>IFERROR(IF(C185=0,0,IF(D185="EV",IF('Replacement plan'!$E$51="",INDEX(Products!$D$7:$D$13,MATCH('Replacement plan'!$B$51,Products!$A$7:$A$13,0)),'Replacement plan'!$E$51),0)),"n.a.")</f>
        <v>0</v>
      </c>
      <c r="W185" s="1">
        <f>IF(C185=0,0,IF(AND(P185="Complete",D185="EV",E185&lt;120),IF(T185=0,0,ROUNDUP(T185*(R185-'Operating costs'!$B$41)*(S185*U185+'Operating costs'!$B$48/(1-'Operating costs'!$B$44))/(V185*'Operating costs'!$B$47/(1-'Operating costs'!$B$44)-T185*'Operating costs'!$B$12*U185),0)),0))</f>
        <v>0</v>
      </c>
      <c r="X185" s="1">
        <f>IF(C185=0,0,IF(AND(P185="Complete",D185="EV",E185&lt;120),(R185-'Operating costs'!$B$41)*(S185*U185+'Operating costs'!$B$48/(1-'Operating costs'!$B$44))+W185*'Operating costs'!$B$12*U185,0))</f>
        <v>0</v>
      </c>
      <c r="Y185" s="1">
        <f>IF(AND(C185=1,D185="EV",E185&lt;120),AI185/(1-'Operating costs'!$B$44)*(1-T185),0)</f>
        <v>0</v>
      </c>
      <c r="Z185" s="1">
        <f t="shared" si="4"/>
        <v>0</v>
      </c>
      <c r="AA185" s="1">
        <f>IF(C185=0,0,IF(P185="Complete",((S185*(R185-'Operating costs'!$B$40))+ROUNDUP(S185*(R185-'Operating costs'!$B$40)*IF('Replacement plan'!$AH$51="",'Operating costs'!$B$7,'Replacement plan'!$AH$51)/('Operating costs'!$B$8-'Operating costs'!$B$9*IF('Replacement plan'!$AH$51="",'Operating costs'!$B$7,'Replacement plan'!$AH$51)),0)*'Operating costs'!$B$9)*IF('Replacement plan'!$AH$51="",'Operating costs'!$B$7,'Replacement plan'!$AH$51),"n.a."))</f>
        <v>0</v>
      </c>
      <c r="AB185" s="1">
        <f t="shared" si="5"/>
        <v>0</v>
      </c>
      <c r="AC185" s="1">
        <f>IF(AND(C185=1,D185="EV",E185&lt;120,T185&gt;0),'Operating costs'!$B$12/'Operating costs'!$B$11*60+'Operating costs'!$B$13+'Operating costs'!$B$14+V185*'Operating costs'!$B$47/(1-'Operating costs'!$B$44)/'Replacement plan'!$L$51*60,0)</f>
        <v>0</v>
      </c>
      <c r="AD185" s="1" t="str">
        <f>'Replacement plan'!$B$51</f>
        <v>ChengLong L2EV</v>
      </c>
      <c r="AE185" s="1">
        <f>IF(C185=0,0,VLOOKUP($A185,'Fleet register'!$A$7:$S$106,8,FALSE))</f>
        <v>0</v>
      </c>
      <c r="AF185" s="1" t="str">
        <f>IF('Replacement plan'!$H$51="","n.a.",'Replacement plan'!$H$51)</f>
        <v>n.a.</v>
      </c>
      <c r="AG185" s="1">
        <f>'Replacement plan'!$J$51</f>
        <v>22</v>
      </c>
      <c r="AH185" s="1">
        <f>IFERROR(IF(D185="EV",IF('Replacement plan'!$K$51="AC",IF(ISNUMBER(INDEX(Products!$G$7:$G$13,MATCH('Replacement plan'!$B$51,Products!$A$7:$A$13,0))),INDEX(Products!$G$7:$G$13,MATCH('Replacement plan'!$B$51,Products!$A$7:$A$13,0)),"n.a."),IF(ISNUMBER(INDEX(Products!$H$7:$H$13,MATCH('Replacement plan'!$B$51,Products!$A$7:$A$13,0))),INDEX(Products!$H$7:$H$13,MATCH('Replacement plan'!$B$51,Products!$A$7:$A$13,0)),"n.a.")),0),"n.a.")</f>
        <v>0</v>
      </c>
      <c r="AI185" s="1">
        <f>IF(AND(C185=1,D185="EV",E185&lt;120),(VLOOKUP($A185,'Fleet register'!$A$7:$S$106,7,FALSE)+IF(T185&gt;0,'Operating costs'!$B$12,0))*U185*(1-'Operating costs'!$B$44)+'Operating costs'!$B$49,0)</f>
        <v>0</v>
      </c>
      <c r="AJ185" s="1">
        <f>IF(D185="EV",'Energy and charging'!$B$50,0)</f>
        <v>0</v>
      </c>
      <c r="AK185" s="17">
        <f>EDATE('Operating costs'!$B$63,E185)</f>
        <v>46298</v>
      </c>
      <c r="AL185" s="1">
        <f>IFERROR(IF(D185="EV",INDEX(Products!$B$7:$B$13,MATCH('Replacement plan'!$B$51,Products!$A$7:$A$13,0)),0),"n.a.")</f>
        <v>0</v>
      </c>
      <c r="AM185" s="1" t="str">
        <f>'Replacement plan'!$K$51</f>
        <v>DC</v>
      </c>
      <c r="AN185" s="1" t="str">
        <f>'Replacement plan'!$AE$51</f>
        <v>Assumed</v>
      </c>
      <c r="AO185" s="47">
        <f>IF(AND(C185=1,D185="EV",E185&lt;120),(R185-'Operating costs'!$B$41)*S185+W185*'Operating costs'!$B$12,0)</f>
        <v>0</v>
      </c>
      <c r="AP185" s="41">
        <f>IF(AND(C185=1,D185="EV",E185&lt;120),IF('Operating costs'!$B$68="Hong Seh 200k average",AO185*IFERROR(INDEX(Products!$P$7:$P$13,MATCH(AD185,Products!$A$7:$A$13,0)),"n.a."),'Operating costs'!$B$26),0)</f>
        <v>0</v>
      </c>
      <c r="AQ185" s="40" t="str">
        <f>IF(D185="EV",'Operating costs'!$B$68,"Not applicable")</f>
        <v>Not applicable</v>
      </c>
    </row>
    <row r="186" spans="1:43" ht="24" customHeight="1">
      <c r="A186" s="1" t="str">
        <f>'Replacement plan'!A51</f>
        <v>T045</v>
      </c>
      <c r="B186" s="1">
        <v>3</v>
      </c>
      <c r="C186" s="1">
        <f>IF(COUNTIFS('Fleet register'!$A$7:$A$106,$A186)=1,VLOOKUP($A186,'Fleet register'!$A$7:$S$106,2,FALSE),0)</f>
        <v>0</v>
      </c>
      <c r="D186" s="1" t="str">
        <f>IF('Replacement plan'!$R$51="EV","EV","ICE")</f>
        <v>ICE</v>
      </c>
      <c r="E186" s="1">
        <f>IF(C186=0,0,IF('Replacement plan'!$S$51="",IF('Replacement plan'!$R$51="Keep ICE",IF('Replacement plan'!$M$51="",VLOOKUP($A186,'Fleet register'!$A$7:$S$106,10,FALSE),'Replacement plan'!$M$51),0),'Replacement plan'!$S$51))</f>
        <v>0</v>
      </c>
      <c r="F186" s="16">
        <f>IF(C186=0,0,VLOOKUP($A186,'Fleet register'!$A$7:$S$106,11,FALSE))</f>
        <v>0</v>
      </c>
      <c r="G186" s="16">
        <f>IFERROR(IF(C186=0,0,IF(E186=120,0,IF(D186="ICE",'Replacement plan'!$C$51,IF('Replacement plan'!$D$51="",INDEX(Products!$I$7:$I$13,MATCH('Replacement plan'!$B$51,Products!$A$7:$A$13,0))+'Operating costs'!$B$57,'Replacement plan'!$D$51))*(1+'Operating costs'!$B$50)^(E186/12))),"n.a.")</f>
        <v>0</v>
      </c>
      <c r="H186" s="16">
        <f>IFERROR(IF(C186=0,0,IF('Replacement plan'!$V$51&lt;&gt;"",'Replacement plan'!$V$51,IF(E186=0,F186,VLOOKUP($A186,'Fleet register'!$A$7:$S$106,12,FALSE)+VLOOKUP($A186,'Fleet register'!$A$7:$S$106,13,FALSE)*MAX(0,VLOOKUP($A186,'Fleet register'!$A$7:$S$106,10,FALSE)-E186)/VLOOKUP($A186,'Fleet register'!$A$7:$S$106,14,FALSE)))),"n.a.")</f>
        <v>0</v>
      </c>
      <c r="I186" s="16">
        <f>IF(C186=0,0,IF(E186=120,0,'Replacement plan'!$T$51))</f>
        <v>0</v>
      </c>
      <c r="J186" s="16">
        <f>IF(C186=0,0,IF(P186="Complete",((S186*(R186-'Operating costs'!$B$39))+ROUNDUP(S186*(R186-'Operating costs'!$B$39)*IF('Replacement plan'!$AG$51="",'Operating costs'!$B$7,'Replacement plan'!$AG$51)/('Operating costs'!$B$8-'Operating costs'!$B$9*IF('Replacement plan'!$AG$51="",'Operating costs'!$B$7,'Replacement plan'!$AG$51)),0)*'Operating costs'!$B$9)*IF('Replacement plan'!$AG$51="",'Operating costs'!$B$7,'Replacement plan'!$AG$51)*('Energy and charging'!$C$9*'Energy and charging'!$C$7+(1-'Energy and charging'!$C$9)*'Energy and charging'!$C$8)*'Operating costs'!$B$23,"n.a."))</f>
        <v>0</v>
      </c>
      <c r="K186" s="16">
        <f>IF(C186=0,0,IF(P186="Complete",SUM('Operating costs'!$B$24,'Operating costs'!$B$27,'Operating costs'!$B$29,'Operating costs'!$B$31,'Operating costs'!$B$33,'Operating costs'!$B$34,'Operating costs'!$B$37,'Replacement plan'!$W$51)+'Operating costs'!$B$39*'Operating costs'!$B$42+ROUNDUP(S186*(R186-'Operating costs'!$B$39)*IF('Replacement plan'!$AG$51="",'Operating costs'!$B$7,'Replacement plan'!$AG$51)/('Operating costs'!$B$8-'Operating costs'!$B$9*IF('Replacement plan'!$AG$51="",'Operating costs'!$B$7,'Replacement plan'!$AG$51)),0)*('Operating costs'!$B$9/'Operating costs'!$B$11+'Operating costs'!$B$10/60)*'Operating costs'!$B$19*'Operating costs'!$B$21,"n.a."))</f>
        <v>0</v>
      </c>
      <c r="L186" s="16">
        <f>IF(C186=0,0,IF(P186="Complete",IF(D186="EV",X186*((1-T186)*'Energy and charging'!$C$10+T186*'Energy and charging'!$C$11)*'Operating costs'!$B$22,AA186*('Energy and charging'!$C$9*'Energy and charging'!$C$7+(1-'Energy and charging'!$C$9)*'Energy and charging'!$C$8)*'Operating costs'!$B$23),"n.a."))</f>
        <v>0</v>
      </c>
      <c r="M186" s="37">
        <f>IF(C186=0,0,IF(P186="Complete",IF(D186="ICE",SUM('Operating costs'!$B$25,'Operating costs'!$B$27,'Operating costs'!$B$29,'Operating costs'!$B$31,'Operating costs'!$B$33,'Operating costs'!$B$35,'Operating costs'!$B$37,'Replacement plan'!$X$51)+'Operating costs'!$B$40*'Operating costs'!$B$42+ROUNDUP(S186*(R186-'Operating costs'!$B$40)*IF('Replacement plan'!$AH$51="",'Operating costs'!$B$7,'Replacement plan'!$AH$51)/('Operating costs'!$B$8-'Operating costs'!$B$9*IF('Replacement plan'!$AH$51="",'Operating costs'!$B$7,'Replacement plan'!$AH$51)),0)*('Operating costs'!$B$9/'Operating costs'!$B$11+'Operating costs'!$B$10/60)*'Operating costs'!$B$19*'Operating costs'!$B$21,SUM(AP186,'Operating costs'!$B$28,'Operating costs'!$B$30,'Operating costs'!$B$32,'Operating costs'!$B$33,'Operating costs'!$B$36,'Operating costs'!$B$38,'Replacement plan'!$Y$51)+'Operating costs'!$B$41*'Operating costs'!$B$43+W186*'Operating costs'!$B$15+(T186*X186/'Replacement plan'!$L$51+W186*('Operating costs'!$B$12/'Operating costs'!$B$11+('Operating costs'!$B$13+'Operating costs'!$B$14)/60)+(R186-'Operating costs'!$B$41)*(IF(T186&lt;1,'Operating costs'!$B$16,0)+'Operating costs'!$B$17)/60)*'Operating costs'!$B$19*'Operating costs'!$B$20),"n.a."))</f>
        <v>0</v>
      </c>
      <c r="N186" s="16">
        <f>IF(AND(C186=1,D186="EV",E186&lt;120,E186+'Replacement plan'!$AA$51&lt;=120),'Replacement plan'!$Z$51,0)</f>
        <v>0</v>
      </c>
      <c r="O186" s="1">
        <f>E186+'Replacement plan'!$AA$51</f>
        <v>0</v>
      </c>
      <c r="P186" s="35" t="str">
        <f>IFERROR(IF(C186=0,"Excluded",IF(OR(COUNTIFS('Fleet register'!$A$7:$A$106,A186)&lt;&gt;1,COUNTIFS('Replacement plan'!$A$7:$A$106,A186)&lt;&gt;1),"Duplicate/missing ID",IF(NOT(AND(ISNUMBER(VLOOKUP($A186,'Fleet register'!$A$7:$S$106,5,FALSE)),ISNUMBER(VLOOKUP($A186,'Fleet register'!$A$7:$S$106,6,FALSE)),ISNUMBER(VLOOKUP($A186,'Fleet register'!$A$7:$S$106,10,FALSE)),ISNUMBER(VLOOKUP($A186,'Fleet register'!$A$7:$S$106,11,FALSE)),ISNUMBER(VLOOKUP($A186,'Fleet register'!$A$7:$S$106,12,FALSE)),ISNUMBER(VLOOKUP($A186,'Fleet register'!$A$7:$S$106,13,FALSE)),ISNUMBER(VLOOKUP($A186,'Fleet register'!$A$7:$S$106,14,FALSE)),VLOOKUP($A186,'Fleet register'!$A$7:$S$106,14,FALSE)&gt;0,ISNUMBER('Replacement plan'!$C$51),OR(E186=120,ISNUMBER('Replacement plan'!$T$51)),ISNUMBER(E186))),"Missing vehicle input",IF(OR(E186&lt;0,E186&gt;VLOOKUP($A186,'Fleet register'!$A$7:$S$106,10,FALSE),E186&gt;120,E186&lt;&gt;INT(E186),VLOOKUP($A186,'Fleet register'!$A$7:$S$106,6,FALSE)&lt;=0,VLOOKUP($A186,'Fleet register'!$A$7:$S$106,6,FALSE)&gt;366,VLOOKUP($A186,'Fleet register'!$A$7:$S$106,5,FALSE)&lt;0,VLOOKUP($A186,'Fleet register'!$A$7:$S$106,11,FALSE)&lt;0,I186&lt;0,'Operating costs'!$B$8&lt;='Operating costs'!$B$7*'Operating costs'!$B$9,'Operating costs'!$B$11&lt;=0,'Operating costs'!$B$39&gt;R186,'Operating costs'!$B$40&gt;R186,'Operating costs'!$B$41&gt;R186,NOT(OR('Replacement plan'!$R$51="Keep ICE",'Replacement plan'!$R$51="New ICE",'Replacement plan'!$R$51="EV"))),"Invalid vehicle input",IF(AND(D186="EV",E186&lt;120,OR(NOT(ISNUMBER(U186)),NOT(ISNUMBER(V186)),V186&lt;=0,T186&lt;0,T186&gt;1,'Replacement plan'!$L$51&lt;=0,'Operating costs'!$B$44&lt;0,'Operating costs'!$B$44&gt;=1,'Operating costs'!$B$47&lt;=0,'Operating costs'!$B$47&gt;1,V186*'Operating costs'!$B$47/(1-'Operating costs'!$B$44)&lt;=T186*'Operating costs'!$B$12*U186,AND('Replacement plan'!$Z$51&gt;0,OR('Replacement plan'!$AB$51&lt;&gt;"Yes",'Operating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charging'!$C$8&gt;=0))),ISNUMBER(VLOOKUP($A186,'Fleet register'!$A$7:$S$106,15,FALSE)),ISNUMBER(VLOOKUP($A186,'Fleet register'!$A$7:$S$106,16,FALSE)),ISNUMBER('Replacement plan'!$W$51),ISNUMBER('Replacement plan'!$X$51),OR(E186=120,AND(ISNUMBER(G186),G186&gt;=0)),ISNUMBER(H186),H186&gt;=0,OR(D186&lt;&gt;"EV",E186=120,AND(ISNUMBER('Operating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average",ISNUMBER(IFERROR(INDEX(Products!$P$7:$P$13,MATCH(AD186,Products!$A$7:$A$13,0)),"")))),ISNUMBER('Operating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plan'!$Y$51),ISNUMBER('Replacement plan'!$Z$51),'Replacement plan'!$Z$51&gt;=0,ISNUMBER('Replacement plan'!$AA$51),'Replacement plan'!$AA$51&gt;=0,'Replacement plan'!$AA$51=INT('Replacement plan'!$AA$51),ISNUMBER('Replacement plan'!$L$51))),'Operating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plan'!$AG$51="",'Operating costs'!$B$7,'Replacement plan'!$AG$51)),IF('Replacement plan'!$AG$51="",'Operating costs'!$B$7,'Replacement plan'!$AG$51)&gt;=0,ISNUMBER(IF('Replacement plan'!$AH$51="",'Operating costs'!$B$7,'Replacement plan'!$AH$51)),IF('Replacement plan'!$AH$51="",'Operating costs'!$B$7,'Replacement plan'!$AH$51)&gt;=0,'Operating costs'!$B$8&gt;MAX(IF('Replacement plan'!$AG$51="",'Operating costs'!$B$7,'Replacement plan'!$AG$51),IF('Replacement plan'!$AH$51="",'Operating costs'!$B$7,'Replacement plan'!$AH$51))*'Operating costs'!$B$9),IF(AND(VLOOKUP($A186,'Fleet register'!$A$7:$S$106,10,FALSE)&gt;=0,VLOOKUP($A186,'Fleet register'!$A$7:$S$106,10,FALSE)&lt;=120,VLOOKUP($A186,'Fleet register'!$A$7:$S$106,10,FALSE)=INT(VLOOKUP($A186,'Fleet register'!$A$7:$S$106,10,FALSE)),VLOOKUP($A186,'Fleet register'!$A$7:$S$106,15,FALSE)&gt;=0,VLOOKUP($A186,'Fleet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costs'!$B$67)&gt;=0,OR(D186&lt;&gt;"EV",E186=120,AND(MIN('Operating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86" s="1" t="str">
        <f>IF(C186=0,"Excluded",IF(P186&lt;&gt;"Complete",P186,IF(OR('Replacement plan'!$AD$51&lt;120-E186,AND(D186="EV",E186&lt;120,OR('Replacement plan'!$AC$51&lt;120-E186,'Replacement plan'!$I$51="No",AND(ISNUMBER(AF186),AE186&gt;AF186),AI186&gt;V186*(1-'Operating costs'!$B$46)^MAX(0,AB186-1)*(1-'Operating costs'!$B$45),AC186&gt;'Operating costs'!$B$18,AND(T186&lt;1,OR(AG186&lt;=0,AND(ISNUMBER(AH186),AG186&gt;AH186))),'Replacement plan'!$L$51&gt;INDEX(Products!$H$7:$H$13,MATCH('Replacement plan'!$B$51,Products!$A$7:$A$13,0))))),"Fails entered limits",IF(AND(D186="EV",E186&lt;120,OR(NOT(ISNUMBER(VLOOKUP($A186,'Fleet register'!$A$7:$S$106,7,FALSE))),NOT(ISNUMBER(VLOOKUP($A186,'Fleet register'!$A$7:$S$106,8,FALSE))),NOT(ISNUMBER(AF186)),'Replacement plan'!$I$51&lt;&gt;"Yes",NOT(ISNUMBER(AH186)),'Operating costs'!$B$59&lt;&gt;"Yes",'Operating costs'!$B$58&lt;&gt;"Yes")),"Unverified","Within entered limits"))))</f>
        <v>Excluded</v>
      </c>
      <c r="R186" s="1">
        <f>IF(C186=0,0,VLOOKUP($A186,'Fleet register'!$A$7:$S$106,6,FALSE))</f>
        <v>0</v>
      </c>
      <c r="S186" s="1">
        <f>IF(C186=0,0,VLOOKUP($A186,'Fleet register'!$A$7:$S$106,5,FALSE))</f>
        <v>0</v>
      </c>
      <c r="T186" s="1">
        <f>IF(D186="EV",'Energy and charging'!$C$12,0)</f>
        <v>0</v>
      </c>
      <c r="U186" s="1">
        <f>IFERROR(IF(C186=0,0,IF(D186="EV",IF('Replacement plan'!$F$51="",INDEX(Products!$E$7:$E$13,MATCH('Replacement plan'!$B$51,Products!$A$7:$A$13,0)),'Replacement plan'!$F$51)/IF('Replacement plan'!$G$51="Battery",1-'Operating costs'!$B$44,1),0)),"n.a.")</f>
        <v>0</v>
      </c>
      <c r="V186" s="1">
        <f>IFERROR(IF(C186=0,0,IF(D186="EV",IF('Replacement plan'!$E$51="",INDEX(Products!$D$7:$D$13,MATCH('Replacement plan'!$B$51,Products!$A$7:$A$13,0)),'Replacement plan'!$E$51),0)),"n.a.")</f>
        <v>0</v>
      </c>
      <c r="W186" s="1">
        <f>IF(C186=0,0,IF(AND(P186="Complete",D186="EV",E186&lt;120),IF(T186=0,0,ROUNDUP(T186*(R186-'Operating costs'!$B$41)*(S186*U186+'Operating costs'!$B$48/(1-'Operating costs'!$B$44))/(V186*'Operating costs'!$B$47/(1-'Operating costs'!$B$44)-T186*'Operating costs'!$B$12*U186),0)),0))</f>
        <v>0</v>
      </c>
      <c r="X186" s="1">
        <f>IF(C186=0,0,IF(AND(P186="Complete",D186="EV",E186&lt;120),(R186-'Operating costs'!$B$41)*(S186*U186+'Operating costs'!$B$48/(1-'Operating costs'!$B$44))+W186*'Operating costs'!$B$12*U186,0))</f>
        <v>0</v>
      </c>
      <c r="Y186" s="1">
        <f>IF(AND(C186=1,D186="EV",E186&lt;120),AI186/(1-'Operating costs'!$B$44)*(1-T186),0)</f>
        <v>0</v>
      </c>
      <c r="Z186" s="1">
        <f t="shared" si="4"/>
        <v>0</v>
      </c>
      <c r="AA186" s="1">
        <f>IF(C186=0,0,IF(P186="Complete",((S186*(R186-'Operating costs'!$B$40))+ROUNDUP(S186*(R186-'Operating costs'!$B$40)*IF('Replacement plan'!$AH$51="",'Operating costs'!$B$7,'Replacement plan'!$AH$51)/('Operating costs'!$B$8-'Operating costs'!$B$9*IF('Replacement plan'!$AH$51="",'Operating costs'!$B$7,'Replacement plan'!$AH$51)),0)*'Operating costs'!$B$9)*IF('Replacement plan'!$AH$51="",'Operating costs'!$B$7,'Replacement plan'!$AH$51),"n.a."))</f>
        <v>0</v>
      </c>
      <c r="AB186" s="1">
        <f t="shared" si="5"/>
        <v>0</v>
      </c>
      <c r="AC186" s="1">
        <f>IF(AND(C186=1,D186="EV",E186&lt;120,T186&gt;0),'Operating costs'!$B$12/'Operating costs'!$B$11*60+'Operating costs'!$B$13+'Operating costs'!$B$14+V186*'Operating costs'!$B$47/(1-'Operating costs'!$B$44)/'Replacement plan'!$L$51*60,0)</f>
        <v>0</v>
      </c>
      <c r="AD186" s="1" t="str">
        <f>'Replacement plan'!$B$51</f>
        <v>ChengLong L2EV</v>
      </c>
      <c r="AE186" s="1">
        <f>IF(C186=0,0,VLOOKUP($A186,'Fleet register'!$A$7:$S$106,8,FALSE))</f>
        <v>0</v>
      </c>
      <c r="AF186" s="1" t="str">
        <f>IF('Replacement plan'!$H$51="","n.a.",'Replacement plan'!$H$51)</f>
        <v>n.a.</v>
      </c>
      <c r="AG186" s="1">
        <f>'Replacement plan'!$J$51</f>
        <v>22</v>
      </c>
      <c r="AH186" s="1">
        <f>IFERROR(IF(D186="EV",IF('Replacement plan'!$K$51="AC",IF(ISNUMBER(INDEX(Products!$G$7:$G$13,MATCH('Replacement plan'!$B$51,Products!$A$7:$A$13,0))),INDEX(Products!$G$7:$G$13,MATCH('Replacement plan'!$B$51,Products!$A$7:$A$13,0)),"n.a."),IF(ISNUMBER(INDEX(Products!$H$7:$H$13,MATCH('Replacement plan'!$B$51,Products!$A$7:$A$13,0))),INDEX(Products!$H$7:$H$13,MATCH('Replacement plan'!$B$51,Products!$A$7:$A$13,0)),"n.a.")),0),"n.a.")</f>
        <v>0</v>
      </c>
      <c r="AI186" s="1">
        <f>IF(AND(C186=1,D186="EV",E186&lt;120),(VLOOKUP($A186,'Fleet register'!$A$7:$S$106,7,FALSE)+IF(T186&gt;0,'Operating costs'!$B$12,0))*U186*(1-'Operating costs'!$B$44)+'Operating costs'!$B$49,0)</f>
        <v>0</v>
      </c>
      <c r="AJ186" s="1">
        <f>IF(D186="EV",'Energy and charging'!$C$50,0)</f>
        <v>0</v>
      </c>
      <c r="AK186" s="17">
        <f>EDATE('Operating costs'!$B$63,E186)</f>
        <v>46298</v>
      </c>
      <c r="AL186" s="1">
        <f>IFERROR(IF(D186="EV",INDEX(Products!$B$7:$B$13,MATCH('Replacement plan'!$B$51,Products!$A$7:$A$13,0)),0),"n.a.")</f>
        <v>0</v>
      </c>
      <c r="AM186" s="1" t="str">
        <f>'Replacement plan'!$K$51</f>
        <v>DC</v>
      </c>
      <c r="AN186" s="1" t="str">
        <f>'Replacement plan'!$AE$51</f>
        <v>Assumed</v>
      </c>
      <c r="AO186" s="47">
        <f>IF(AND(C186=1,D186="EV",E186&lt;120),(R186-'Operating costs'!$B$41)*S186+W186*'Operating costs'!$B$12,0)</f>
        <v>0</v>
      </c>
      <c r="AP186" s="41">
        <f>IF(AND(C186=1,D186="EV",E186&lt;120),IF('Operating costs'!$B$68="Hong Seh 200k average",AO186*IFERROR(INDEX(Products!$P$7:$P$13,MATCH(AD186,Products!$A$7:$A$13,0)),"n.a."),'Operating costs'!$B$26),0)</f>
        <v>0</v>
      </c>
      <c r="AQ186" s="40" t="str">
        <f>IF(D186="EV",'Operating costs'!$B$68,"Not applicable")</f>
        <v>Not applicable</v>
      </c>
    </row>
    <row r="187" spans="1:43" ht="24" customHeight="1">
      <c r="A187" s="1" t="str">
        <f>'Replacement plan'!A52</f>
        <v>T046</v>
      </c>
      <c r="B187" s="1">
        <v>0</v>
      </c>
      <c r="C187" s="1">
        <f>IF(COUNTIFS('Fleet register'!$A$7:$A$106,$A187)=1,VLOOKUP($A187,'Fleet register'!$A$7:$S$106,2,FALSE),0)</f>
        <v>0</v>
      </c>
      <c r="D187" s="1" t="str">
        <f>IF("Keep ICE"="EV","EV","ICE")</f>
        <v>ICE</v>
      </c>
      <c r="E187" s="1">
        <f>IF(C187=0,0,IF('Replacement plan'!$M$52="",VLOOKUP($A187,'Fleet register'!$A$7:$S$106,10,FALSE),'Replacement plan'!$M$52))</f>
        <v>0</v>
      </c>
      <c r="F187" s="16">
        <f>IF(C187=0,0,VLOOKUP($A187,'Fleet register'!$A$7:$S$106,11,FALSE))</f>
        <v>0</v>
      </c>
      <c r="G187" s="16">
        <f>IFERROR(IF(C187=0,0,IF(E187=120,0,IF(D187="ICE",'Replacement plan'!$C$52,IF('Replacement plan'!$D$52="",INDEX(Products!$I$7:$I$13,MATCH('Replacement plan'!$B$52,Products!$A$7:$A$13,0))+'Operating costs'!$B$57,'Replacement plan'!$D$52))*(1+'Operating costs'!$B$50)^(E187/12))),"n.a.")</f>
        <v>0</v>
      </c>
      <c r="H187" s="16">
        <f>IFERROR(IF(C187=0,0,IF(E187=0,F187,VLOOKUP($A187,'Fleet register'!$A$7:$S$106,12,FALSE)+VLOOKUP($A187,'Fleet register'!$A$7:$S$106,13,FALSE)*MAX(0,VLOOKUP($A187,'Fleet register'!$A$7:$S$106,10,FALSE)-E187)/VLOOKUP($A187,'Fleet register'!$A$7:$S$106,14,FALSE))),"n.a.")</f>
        <v>0</v>
      </c>
      <c r="I187" s="16">
        <f>IF(C187=0,0,IF(E187=120,0,'Replacement plan'!$N$52))</f>
        <v>0</v>
      </c>
      <c r="J187" s="16">
        <f>IF(C187=0,0,IF(P187="Complete",((S187*(R187-'Operating costs'!$B$39))+ROUNDUP(S187*(R187-'Operating costs'!$B$39)*IF('Replacement plan'!$AG$52="",'Operating costs'!$B$7,'Replacement plan'!$AG$52)/('Operating costs'!$B$8-'Operating costs'!$B$9*IF('Replacement plan'!$AG$52="",'Operating costs'!$B$7,'Replacement plan'!$AG$52)),0)*'Operating costs'!$B$9)*IF('Replacement plan'!$AG$52="",'Operating costs'!$B$7,'Replacement plan'!$AG$52)*('Energy and charging'!$B$9*'Energy and charging'!$B$7+(1-'Energy and charging'!$B$9)*'Energy and charging'!$B$8)*'Operating costs'!$B$23,"n.a."))</f>
        <v>0</v>
      </c>
      <c r="K187" s="16">
        <f>IF(C187=0,0,IF(P187="Complete",SUM('Operating costs'!$B$24,'Operating costs'!$B$27,'Operating costs'!$B$29,'Operating costs'!$B$31,'Operating costs'!$B$33,'Operating costs'!$B$34,'Operating costs'!$B$37,'Replacement plan'!$W$52)+'Operating costs'!$B$39*'Operating costs'!$B$42+ROUNDUP(S187*(R187-'Operating costs'!$B$39)*IF('Replacement plan'!$AG$52="",'Operating costs'!$B$7,'Replacement plan'!$AG$52)/('Operating costs'!$B$8-'Operating costs'!$B$9*IF('Replacement plan'!$AG$52="",'Operating costs'!$B$7,'Replacement plan'!$AG$52)),0)*('Operating costs'!$B$9/'Operating costs'!$B$11+'Operating costs'!$B$10/60)*'Operating costs'!$B$19*'Operating costs'!$B$21,"n.a."))</f>
        <v>0</v>
      </c>
      <c r="L187" s="16">
        <f>IF(C187=0,0,IF(P187="Complete",IF(D187="EV",X187*((1-T187)*'Energy and charging'!$B$10+T187*'Energy and charging'!$B$11)*'Operating costs'!$B$22,AA187*('Energy and charging'!$B$9*'Energy and charging'!$B$7+(1-'Energy and charging'!$B$9)*'Energy and charging'!$B$8)*'Operating costs'!$B$23),"n.a."))</f>
        <v>0</v>
      </c>
      <c r="M187" s="37">
        <f>IF(C187=0,0,IF(P187="Complete",IF(D187="ICE",SUM('Operating costs'!$B$25,'Operating costs'!$B$27,'Operating costs'!$B$29,'Operating costs'!$B$31,'Operating costs'!$B$33,'Operating costs'!$B$35,'Operating costs'!$B$37,'Replacement plan'!$X$52)+'Operating costs'!$B$40*'Operating costs'!$B$42+ROUNDUP(S187*(R187-'Operating costs'!$B$40)*IF('Replacement plan'!$AH$52="",'Operating costs'!$B$7,'Replacement plan'!$AH$52)/('Operating costs'!$B$8-'Operating costs'!$B$9*IF('Replacement plan'!$AH$52="",'Operating costs'!$B$7,'Replacement plan'!$AH$52)),0)*('Operating costs'!$B$9/'Operating costs'!$B$11+'Operating costs'!$B$10/60)*'Operating costs'!$B$19*'Operating costs'!$B$21,SUM(AP187,'Operating costs'!$B$28,'Operating costs'!$B$30,'Operating costs'!$B$32,'Operating costs'!$B$33,'Operating costs'!$B$36,'Operating costs'!$B$38,'Replacement plan'!$Y$52)+'Operating costs'!$B$41*'Operating costs'!$B$43+W187*'Operating costs'!$B$15+(T187*X187/'Replacement plan'!$L$52+W187*('Operating costs'!$B$12/'Operating costs'!$B$11+('Operating costs'!$B$13+'Operating costs'!$B$14)/60)+(R187-'Operating costs'!$B$41)*(IF(T187&lt;1,'Operating costs'!$B$16,0)+'Operating costs'!$B$17)/60)*'Operating costs'!$B$19*'Operating costs'!$B$20),"n.a."))</f>
        <v>0</v>
      </c>
      <c r="N187" s="16">
        <f>IF(AND(C187=1,D187="EV",E187&lt;120,E187+'Replacement plan'!$AA$52&lt;=120),'Replacement plan'!$Z$52,0)</f>
        <v>0</v>
      </c>
      <c r="O187" s="1">
        <f>E187+'Replacement plan'!$AA$52</f>
        <v>0</v>
      </c>
      <c r="P187" s="35" t="str">
        <f>IFERROR(IF(C187=0,"Excluded",IF(OR(COUNTIFS('Fleet register'!$A$7:$A$106,A187)&lt;&gt;1,COUNTIFS('Replacement plan'!$A$7:$A$106,A187)&lt;&gt;1),"Duplicate/missing ID",IF(NOT(AND(ISNUMBER(VLOOKUP($A187,'Fleet register'!$A$7:$S$106,5,FALSE)),ISNUMBER(VLOOKUP($A187,'Fleet register'!$A$7:$S$106,6,FALSE)),ISNUMBER(VLOOKUP($A187,'Fleet register'!$A$7:$S$106,10,FALSE)),ISNUMBER(VLOOKUP($A187,'Fleet register'!$A$7:$S$106,11,FALSE)),ISNUMBER(VLOOKUP($A187,'Fleet register'!$A$7:$S$106,12,FALSE)),ISNUMBER(VLOOKUP($A187,'Fleet register'!$A$7:$S$106,13,FALSE)),ISNUMBER(VLOOKUP($A187,'Fleet register'!$A$7:$S$106,14,FALSE)),VLOOKUP($A187,'Fleet register'!$A$7:$S$106,14,FALSE)&gt;0,ISNUMBER('Replacement plan'!$C$52),OR(E187=120,ISNUMBER('Replacement plan'!$N$52)),ISNUMBER(E187))),"Missing vehicle input",IF(OR(E187&lt;0,E187&gt;VLOOKUP($A187,'Fleet register'!$A$7:$S$106,10,FALSE),E187&gt;120,E187&lt;&gt;INT(E187),VLOOKUP($A187,'Fleet register'!$A$7:$S$106,6,FALSE)&lt;=0,VLOOKUP($A187,'Fleet register'!$A$7:$S$106,6,FALSE)&gt;366,VLOOKUP($A187,'Fleet register'!$A$7:$S$106,5,FALSE)&lt;0,VLOOKUP($A187,'Fleet register'!$A$7:$S$106,11,FALSE)&lt;0,I187&lt;0,'Operating costs'!$B$8&lt;='Operating costs'!$B$7*'Operating costs'!$B$9,'Operating costs'!$B$11&lt;=0,'Operating costs'!$B$39&gt;R187,'Operating costs'!$B$40&gt;R187,'Operating costs'!$B$41&gt;R187,NOT(OR("Keep ICE"="Keep ICE","Keep ICE"="New ICE","Keep ICE"="EV"))),"Invalid vehicle input",IF(AND(D187="EV",E187&lt;120,OR(NOT(ISNUMBER(U187)),NOT(ISNUMBER(V187)),V187&lt;=0,T187&lt;0,T187&gt;1,'Replacement plan'!$L$52&lt;=0,'Operating costs'!$B$44&lt;0,'Operating costs'!$B$44&gt;=1,'Operating costs'!$B$47&lt;=0,'Operating costs'!$B$47&gt;1,V187*'Operating costs'!$B$47/(1-'Operating costs'!$B$44)&lt;=T187*'Operating costs'!$B$12*U187,AND('Replacement plan'!$Z$52&gt;0,OR('Replacement plan'!$AB$52&lt;&gt;"Yes",'Operating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charging'!$B$8&gt;=0))),ISNUMBER(VLOOKUP($A187,'Fleet register'!$A$7:$S$106,15,FALSE)),ISNUMBER(VLOOKUP($A187,'Fleet register'!$A$7:$S$106,16,FALSE)),ISNUMBER('Replacement plan'!$W$52),ISNUMBER('Replacement plan'!$X$52),OR(E187=120,AND(ISNUMBER(G187),G187&gt;=0)),ISNUMBER(H187),H187&gt;=0,OR(D187&lt;&gt;"EV",E187=120,AND(ISNUMBER('Operating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average",ISNUMBER(IFERROR(INDEX(Products!$P$7:$P$13,MATCH(AD187,Products!$A$7:$A$13,0)),"")))),ISNUMBER('Operating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plan'!$Y$52),ISNUMBER('Replacement plan'!$Z$52),'Replacement plan'!$Z$52&gt;=0,ISNUMBER('Replacement plan'!$AA$52),'Replacement plan'!$AA$52&gt;=0,'Replacement plan'!$AA$52=INT('Replacement plan'!$AA$52),ISNUMBER('Replacement plan'!$L$52))),'Operating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plan'!$AG$52="",'Operating costs'!$B$7,'Replacement plan'!$AG$52)),IF('Replacement plan'!$AG$52="",'Operating costs'!$B$7,'Replacement plan'!$AG$52)&gt;=0,ISNUMBER(IF('Replacement plan'!$AH$52="",'Operating costs'!$B$7,'Replacement plan'!$AH$52)),IF('Replacement plan'!$AH$52="",'Operating costs'!$B$7,'Replacement plan'!$AH$52)&gt;=0,'Operating costs'!$B$8&gt;MAX(IF('Replacement plan'!$AG$52="",'Operating costs'!$B$7,'Replacement plan'!$AG$52),IF('Replacement plan'!$AH$52="",'Operating costs'!$B$7,'Replacement plan'!$AH$52))*'Operating costs'!$B$9),IF(AND(VLOOKUP($A187,'Fleet register'!$A$7:$S$106,10,FALSE)&gt;=0,VLOOKUP($A187,'Fleet register'!$A$7:$S$106,10,FALSE)&lt;=120,VLOOKUP($A187,'Fleet register'!$A$7:$S$106,10,FALSE)=INT(VLOOKUP($A187,'Fleet register'!$A$7:$S$106,10,FALSE)),VLOOKUP($A187,'Fleet register'!$A$7:$S$106,15,FALSE)&gt;=0,VLOOKUP($A187,'Fleet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costs'!$B$67)&gt;=0,OR(D187&lt;&gt;"EV",E187=120,AND(MIN('Operating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87" s="1" t="str">
        <f>IF(C187=0,"Excluded",IF(P187&lt;&gt;"Complete",P187,IF(OR('Replacement plan'!$AD$52&lt;120-E187,AND(D187="EV",E187&lt;120,OR('Replacement plan'!$AC$52&lt;120-E187,'Replacement plan'!$I$52="No",AND(ISNUMBER(AF187),AE187&gt;AF187),AI187&gt;V187*(1-'Operating costs'!$B$46)^MAX(0,AB187-1)*(1-'Operating costs'!$B$45),AC187&gt;'Operating costs'!$B$18,AND(T187&lt;1,OR(AG187&lt;=0,AND(ISNUMBER(AH187),AG187&gt;AH187))),'Replacement plan'!$L$52&gt;INDEX(Products!$H$7:$H$13,MATCH('Replacement plan'!$B$52,Products!$A$7:$A$13,0))))),"Fails entered limits",IF(AND(D187="EV",E187&lt;120,OR(NOT(ISNUMBER(VLOOKUP($A187,'Fleet register'!$A$7:$S$106,7,FALSE))),NOT(ISNUMBER(VLOOKUP($A187,'Fleet register'!$A$7:$S$106,8,FALSE))),NOT(ISNUMBER(AF187)),'Replacement plan'!$I$52&lt;&gt;"Yes",NOT(ISNUMBER(AH187)),'Operating costs'!$B$59&lt;&gt;"Yes",'Operating costs'!$B$58&lt;&gt;"Yes")),"Unverified","Within entered limits"))))</f>
        <v>Excluded</v>
      </c>
      <c r="R187" s="1">
        <f>IF(C187=0,0,VLOOKUP($A187,'Fleet register'!$A$7:$S$106,6,FALSE))</f>
        <v>0</v>
      </c>
      <c r="S187" s="1">
        <f>IF(C187=0,0,VLOOKUP($A187,'Fleet register'!$A$7:$S$106,5,FALSE))</f>
        <v>0</v>
      </c>
      <c r="T187" s="1">
        <f>IF(D187="EV",'Energy and charging'!$B$12,0)</f>
        <v>0</v>
      </c>
      <c r="U187" s="1">
        <f>IFERROR(IF(C187=0,0,IF(D187="EV",IF('Replacement plan'!$F$52="",INDEX(Products!$E$7:$E$13,MATCH('Replacement plan'!$B$52,Products!$A$7:$A$13,0)),'Replacement plan'!$F$52)/IF('Replacement plan'!$G$52="Battery",1-'Operating costs'!$B$44,1),0)),"n.a.")</f>
        <v>0</v>
      </c>
      <c r="V187" s="1">
        <f>IFERROR(IF(C187=0,0,IF(D187="EV",IF('Replacement plan'!$E$52="",INDEX(Products!$D$7:$D$13,MATCH('Replacement plan'!$B$52,Products!$A$7:$A$13,0)),'Replacement plan'!$E$52),0)),"n.a.")</f>
        <v>0</v>
      </c>
      <c r="W187" s="1">
        <f>IF(C187=0,0,IF(AND(P187="Complete",D187="EV",E187&lt;120),IF(T187=0,0,ROUNDUP(T187*(R187-'Operating costs'!$B$41)*(S187*U187+'Operating costs'!$B$48/(1-'Operating costs'!$B$44))/(V187*'Operating costs'!$B$47/(1-'Operating costs'!$B$44)-T187*'Operating costs'!$B$12*U187),0)),0))</f>
        <v>0</v>
      </c>
      <c r="X187" s="1">
        <f>IF(C187=0,0,IF(AND(P187="Complete",D187="EV",E187&lt;120),(R187-'Operating costs'!$B$41)*(S187*U187+'Operating costs'!$B$48/(1-'Operating costs'!$B$44))+W187*'Operating costs'!$B$12*U187,0))</f>
        <v>0</v>
      </c>
      <c r="Y187" s="1">
        <f>IF(AND(C187=1,D187="EV",E187&lt;120),AI187/(1-'Operating costs'!$B$44)*(1-T187),0)</f>
        <v>0</v>
      </c>
      <c r="Z187" s="1">
        <f t="shared" si="4"/>
        <v>0</v>
      </c>
      <c r="AA187" s="1">
        <f>IF(C187=0,0,IF(P187="Complete",((S187*(R187-'Operating costs'!$B$40))+ROUNDUP(S187*(R187-'Operating costs'!$B$40)*IF('Replacement plan'!$AH$52="",'Operating costs'!$B$7,'Replacement plan'!$AH$52)/('Operating costs'!$B$8-'Operating costs'!$B$9*IF('Replacement plan'!$AH$52="",'Operating costs'!$B$7,'Replacement plan'!$AH$52)),0)*'Operating costs'!$B$9)*IF('Replacement plan'!$AH$52="",'Operating costs'!$B$7,'Replacement plan'!$AH$52),"n.a."))</f>
        <v>0</v>
      </c>
      <c r="AB187" s="1">
        <f t="shared" si="5"/>
        <v>0</v>
      </c>
      <c r="AC187" s="1">
        <f>IF(AND(C187=1,D187="EV",E187&lt;120,T187&gt;0),'Operating costs'!$B$12/'Operating costs'!$B$11*60+'Operating costs'!$B$13+'Operating costs'!$B$14+V187*'Operating costs'!$B$47/(1-'Operating costs'!$B$44)/'Replacement plan'!$L$52*60,0)</f>
        <v>0</v>
      </c>
      <c r="AD187" s="1" t="str">
        <f>'Replacement plan'!$B$52</f>
        <v>ChengLong L2EV</v>
      </c>
      <c r="AE187" s="1">
        <f>IF(C187=0,0,VLOOKUP($A187,'Fleet register'!$A$7:$S$106,8,FALSE))</f>
        <v>0</v>
      </c>
      <c r="AF187" s="1" t="str">
        <f>IF('Replacement plan'!$H$52="","n.a.",'Replacement plan'!$H$52)</f>
        <v>n.a.</v>
      </c>
      <c r="AG187" s="1">
        <f>'Replacement plan'!$J$52</f>
        <v>22</v>
      </c>
      <c r="AH187" s="1">
        <f>IFERROR(IF(D187="EV",IF('Replacement plan'!$K$52="AC",IF(ISNUMBER(INDEX(Products!$G$7:$G$13,MATCH('Replacement plan'!$B$52,Products!$A$7:$A$13,0))),INDEX(Products!$G$7:$G$13,MATCH('Replacement plan'!$B$52,Products!$A$7:$A$13,0)),"n.a."),IF(ISNUMBER(INDEX(Products!$H$7:$H$13,MATCH('Replacement plan'!$B$52,Products!$A$7:$A$13,0))),INDEX(Products!$H$7:$H$13,MATCH('Replacement plan'!$B$52,Products!$A$7:$A$13,0)),"n.a.")),0),"n.a.")</f>
        <v>0</v>
      </c>
      <c r="AI187" s="1">
        <f>IF(AND(C187=1,D187="EV",E187&lt;120),(VLOOKUP($A187,'Fleet register'!$A$7:$S$106,7,FALSE)+IF(T187&gt;0,'Operating costs'!$B$12,0))*U187*(1-'Operating costs'!$B$44)+'Operating costs'!$B$49,0)</f>
        <v>0</v>
      </c>
      <c r="AJ187" s="1">
        <f>IF(D187="EV",'Energy and charging'!$B$50,0)</f>
        <v>0</v>
      </c>
      <c r="AK187" s="17">
        <f>EDATE('Operating costs'!$B$63,E187)</f>
        <v>46298</v>
      </c>
      <c r="AL187" s="1">
        <f>IFERROR(IF(D187="EV",INDEX(Products!$B$7:$B$13,MATCH('Replacement plan'!$B$52,Products!$A$7:$A$13,0)),0),"n.a.")</f>
        <v>0</v>
      </c>
      <c r="AM187" s="1" t="str">
        <f>'Replacement plan'!$K$52</f>
        <v>DC</v>
      </c>
      <c r="AN187" s="1" t="str">
        <f>'Replacement plan'!$AE$52</f>
        <v>Assumed</v>
      </c>
      <c r="AO187" s="47">
        <f>IF(AND(C187=1,D187="EV",E187&lt;120),(R187-'Operating costs'!$B$41)*S187+W187*'Operating costs'!$B$12,0)</f>
        <v>0</v>
      </c>
      <c r="AP187" s="41">
        <f>IF(AND(C187=1,D187="EV",E187&lt;120),IF('Operating costs'!$B$68="Hong Seh 200k average",AO187*IFERROR(INDEX(Products!$P$7:$P$13,MATCH(AD187,Products!$A$7:$A$13,0)),"n.a."),'Operating costs'!$B$26),0)</f>
        <v>0</v>
      </c>
      <c r="AQ187" s="40" t="str">
        <f>IF(D187="EV",'Operating costs'!$B$68,"Not applicable")</f>
        <v>Not applicable</v>
      </c>
    </row>
    <row r="188" spans="1:43" ht="24" customHeight="1">
      <c r="A188" s="1" t="str">
        <f>'Replacement plan'!A52</f>
        <v>T046</v>
      </c>
      <c r="B188" s="1">
        <v>1</v>
      </c>
      <c r="C188" s="1">
        <f>IF(COUNTIFS('Fleet register'!$A$7:$A$106,$A188)=1,VLOOKUP($A188,'Fleet register'!$A$7:$S$106,2,FALSE),0)</f>
        <v>0</v>
      </c>
      <c r="D188" s="1" t="str">
        <f>IF("New ICE"="EV","EV","ICE")</f>
        <v>ICE</v>
      </c>
      <c r="E188" s="1">
        <f>IF(C188=0,0,0)</f>
        <v>0</v>
      </c>
      <c r="F188" s="16">
        <f>IF(C188=0,0,VLOOKUP($A188,'Fleet register'!$A$7:$S$106,11,FALSE))</f>
        <v>0</v>
      </c>
      <c r="G188" s="16">
        <f>IFERROR(IF(C188=0,0,IF(E188=120,0,IF(D188="ICE",'Replacement plan'!$C$52,IF('Replacement plan'!$D$52="",INDEX(Products!$I$7:$I$13,MATCH('Replacement plan'!$B$52,Products!$A$7:$A$13,0))+'Operating costs'!$B$57,'Replacement plan'!$D$52))*(1+'Operating costs'!$B$50)^(E188/12))),"n.a.")</f>
        <v>0</v>
      </c>
      <c r="H188" s="16">
        <f>IFERROR(IF(C188=0,0,IF(E188=0,F188,VLOOKUP($A188,'Fleet register'!$A$7:$S$106,12,FALSE)+VLOOKUP($A188,'Fleet register'!$A$7:$S$106,13,FALSE)*MAX(0,VLOOKUP($A188,'Fleet register'!$A$7:$S$106,10,FALSE)-E188)/VLOOKUP($A188,'Fleet register'!$A$7:$S$106,14,FALSE))),"n.a.")</f>
        <v>0</v>
      </c>
      <c r="I188" s="16">
        <f>IF(C188=0,0,IF(E188=120,0,IF('Replacement plan'!$AI$52="",'Operating costs'!$B$56,'Replacement plan'!$AI$52)))</f>
        <v>0</v>
      </c>
      <c r="J188" s="16">
        <f>IF(C188=0,0,IF(P188="Complete",((S188*(R188-'Operating costs'!$B$39))+ROUNDUP(S188*(R188-'Operating costs'!$B$39)*IF('Replacement plan'!$AG$52="",'Operating costs'!$B$7,'Replacement plan'!$AG$52)/('Operating costs'!$B$8-'Operating costs'!$B$9*IF('Replacement plan'!$AG$52="",'Operating costs'!$B$7,'Replacement plan'!$AG$52)),0)*'Operating costs'!$B$9)*IF('Replacement plan'!$AG$52="",'Operating costs'!$B$7,'Replacement plan'!$AG$52)*('Energy and charging'!$B$9*'Energy and charging'!$B$7+(1-'Energy and charging'!$B$9)*'Energy and charging'!$B$8)*'Operating costs'!$B$23,"n.a."))</f>
        <v>0</v>
      </c>
      <c r="K188" s="16">
        <f>IF(C188=0,0,IF(P188="Complete",SUM('Operating costs'!$B$24,'Operating costs'!$B$27,'Operating costs'!$B$29,'Operating costs'!$B$31,'Operating costs'!$B$33,'Operating costs'!$B$34,'Operating costs'!$B$37,'Replacement plan'!$W$52)+'Operating costs'!$B$39*'Operating costs'!$B$42+ROUNDUP(S188*(R188-'Operating costs'!$B$39)*IF('Replacement plan'!$AG$52="",'Operating costs'!$B$7,'Replacement plan'!$AG$52)/('Operating costs'!$B$8-'Operating costs'!$B$9*IF('Replacement plan'!$AG$52="",'Operating costs'!$B$7,'Replacement plan'!$AG$52)),0)*('Operating costs'!$B$9/'Operating costs'!$B$11+'Operating costs'!$B$10/60)*'Operating costs'!$B$19*'Operating costs'!$B$21,"n.a."))</f>
        <v>0</v>
      </c>
      <c r="L188" s="16">
        <f>IF(C188=0,0,IF(P188="Complete",IF(D188="EV",X188*((1-T188)*'Energy and charging'!$B$10+T188*'Energy and charging'!$B$11)*'Operating costs'!$B$22,AA188*('Energy and charging'!$B$9*'Energy and charging'!$B$7+(1-'Energy and charging'!$B$9)*'Energy and charging'!$B$8)*'Operating costs'!$B$23),"n.a."))</f>
        <v>0</v>
      </c>
      <c r="M188" s="37">
        <f>IF(C188=0,0,IF(P188="Complete",IF(D188="ICE",SUM('Operating costs'!$B$25,'Operating costs'!$B$27,'Operating costs'!$B$29,'Operating costs'!$B$31,'Operating costs'!$B$33,'Operating costs'!$B$35,'Operating costs'!$B$37,'Replacement plan'!$X$52)+'Operating costs'!$B$40*'Operating costs'!$B$42+ROUNDUP(S188*(R188-'Operating costs'!$B$40)*IF('Replacement plan'!$AH$52="",'Operating costs'!$B$7,'Replacement plan'!$AH$52)/('Operating costs'!$B$8-'Operating costs'!$B$9*IF('Replacement plan'!$AH$52="",'Operating costs'!$B$7,'Replacement plan'!$AH$52)),0)*('Operating costs'!$B$9/'Operating costs'!$B$11+'Operating costs'!$B$10/60)*'Operating costs'!$B$19*'Operating costs'!$B$21,SUM(AP188,'Operating costs'!$B$28,'Operating costs'!$B$30,'Operating costs'!$B$32,'Operating costs'!$B$33,'Operating costs'!$B$36,'Operating costs'!$B$38,'Replacement plan'!$Y$52)+'Operating costs'!$B$41*'Operating costs'!$B$43+W188*'Operating costs'!$B$15+(T188*X188/'Replacement plan'!$L$52+W188*('Operating costs'!$B$12/'Operating costs'!$B$11+('Operating costs'!$B$13+'Operating costs'!$B$14)/60)+(R188-'Operating costs'!$B$41)*(IF(T188&lt;1,'Operating costs'!$B$16,0)+'Operating costs'!$B$17)/60)*'Operating costs'!$B$19*'Operating costs'!$B$20),"n.a."))</f>
        <v>0</v>
      </c>
      <c r="N188" s="16">
        <f>IF(AND(C188=1,D188="EV",E188&lt;120,E188+'Replacement plan'!$AA$52&lt;=120),'Replacement plan'!$Z$52,0)</f>
        <v>0</v>
      </c>
      <c r="O188" s="1">
        <f>E188+'Replacement plan'!$AA$52</f>
        <v>0</v>
      </c>
      <c r="P188" s="35" t="str">
        <f>IFERROR(IF(C188=0,"Excluded",IF(OR(COUNTIFS('Fleet register'!$A$7:$A$106,A188)&lt;&gt;1,COUNTIFS('Replacement plan'!$A$7:$A$106,A188)&lt;&gt;1),"Duplicate/missing ID",IF(NOT(AND(ISNUMBER(VLOOKUP($A188,'Fleet register'!$A$7:$S$106,5,FALSE)),ISNUMBER(VLOOKUP($A188,'Fleet register'!$A$7:$S$106,6,FALSE)),ISNUMBER(VLOOKUP($A188,'Fleet register'!$A$7:$S$106,10,FALSE)),ISNUMBER(VLOOKUP($A188,'Fleet register'!$A$7:$S$106,11,FALSE)),ISNUMBER(VLOOKUP($A188,'Fleet register'!$A$7:$S$106,12,FALSE)),ISNUMBER(VLOOKUP($A188,'Fleet register'!$A$7:$S$106,13,FALSE)),ISNUMBER(VLOOKUP($A188,'Fleet register'!$A$7:$S$106,14,FALSE)),VLOOKUP($A188,'Fleet register'!$A$7:$S$106,14,FALSE)&gt;0,ISNUMBER('Replacement plan'!$C$52),OR(E188=120,OR(ISNUMBER('Replacement plan'!$AI$52),AND('Replacement plan'!$AI$52="",ISNUMBER('Operating costs'!$B$56)))),ISNUMBER(E188))),"Missing vehicle input",IF(OR(E188&lt;0,E188&gt;VLOOKUP($A188,'Fleet register'!$A$7:$S$106,10,FALSE),E188&gt;120,E188&lt;&gt;INT(E188),VLOOKUP($A188,'Fleet register'!$A$7:$S$106,6,FALSE)&lt;=0,VLOOKUP($A188,'Fleet register'!$A$7:$S$106,6,FALSE)&gt;366,VLOOKUP($A188,'Fleet register'!$A$7:$S$106,5,FALSE)&lt;0,VLOOKUP($A188,'Fleet register'!$A$7:$S$106,11,FALSE)&lt;0,I188&lt;0,'Operating costs'!$B$8&lt;='Operating costs'!$B$7*'Operating costs'!$B$9,'Operating costs'!$B$11&lt;=0,'Operating costs'!$B$39&gt;R188,'Operating costs'!$B$40&gt;R188,'Operating costs'!$B$41&gt;R188,NOT(OR("New ICE"="Keep ICE","New ICE"="New ICE","New ICE"="EV"))),"Invalid vehicle input",IF(AND(D188="EV",E188&lt;120,OR(NOT(ISNUMBER(U188)),NOT(ISNUMBER(V188)),V188&lt;=0,T188&lt;0,T188&gt;1,'Replacement plan'!$L$52&lt;=0,'Operating costs'!$B$44&lt;0,'Operating costs'!$B$44&gt;=1,'Operating costs'!$B$47&lt;=0,'Operating costs'!$B$47&gt;1,V188*'Operating costs'!$B$47/(1-'Operating costs'!$B$44)&lt;=T188*'Operating costs'!$B$12*U188,AND('Replacement plan'!$Z$52&gt;0,OR('Replacement plan'!$AB$52&lt;&gt;"Yes",'Operating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charging'!$B$8&gt;=0))),ISNUMBER(VLOOKUP($A188,'Fleet register'!$A$7:$S$106,15,FALSE)),ISNUMBER(VLOOKUP($A188,'Fleet register'!$A$7:$S$106,16,FALSE)),ISNUMBER('Replacement plan'!$W$52),ISNUMBER('Replacement plan'!$X$52),OR(E188=120,AND(ISNUMBER(G188),G188&gt;=0)),ISNUMBER(H188),H188&gt;=0,OR(D188&lt;&gt;"EV",E188=120,AND(ISNUMBER('Operating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average",ISNUMBER(IFERROR(INDEX(Products!$P$7:$P$13,MATCH(AD188,Products!$A$7:$A$13,0)),"")))),ISNUMBER('Operating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plan'!$Y$52),ISNUMBER('Replacement plan'!$Z$52),'Replacement plan'!$Z$52&gt;=0,ISNUMBER('Replacement plan'!$AA$52),'Replacement plan'!$AA$52&gt;=0,'Replacement plan'!$AA$52=INT('Replacement plan'!$AA$52),ISNUMBER('Replacement plan'!$L$52))),'Operating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plan'!$AG$52="",'Operating costs'!$B$7,'Replacement plan'!$AG$52)),IF('Replacement plan'!$AG$52="",'Operating costs'!$B$7,'Replacement plan'!$AG$52)&gt;=0,ISNUMBER(IF('Replacement plan'!$AH$52="",'Operating costs'!$B$7,'Replacement plan'!$AH$52)),IF('Replacement plan'!$AH$52="",'Operating costs'!$B$7,'Replacement plan'!$AH$52)&gt;=0,'Operating costs'!$B$8&gt;MAX(IF('Replacement plan'!$AG$52="",'Operating costs'!$B$7,'Replacement plan'!$AG$52),IF('Replacement plan'!$AH$52="",'Operating costs'!$B$7,'Replacement plan'!$AH$52))*'Operating costs'!$B$9),IF(AND(VLOOKUP($A188,'Fleet register'!$A$7:$S$106,10,FALSE)&gt;=0,VLOOKUP($A188,'Fleet register'!$A$7:$S$106,10,FALSE)&lt;=120,VLOOKUP($A188,'Fleet register'!$A$7:$S$106,10,FALSE)=INT(VLOOKUP($A188,'Fleet register'!$A$7:$S$106,10,FALSE)),VLOOKUP($A188,'Fleet register'!$A$7:$S$106,15,FALSE)&gt;=0,VLOOKUP($A188,'Fleet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costs'!$B$67)&gt;=0,OR(D188&lt;&gt;"EV",E188=120,AND(MIN('Operating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88" s="1" t="str">
        <f>IF(C188=0,"Excluded",IF(P188&lt;&gt;"Complete",P188,IF(OR('Replacement plan'!$AD$52&lt;120-E188,AND(D188="EV",E188&lt;120,OR('Replacement plan'!$AC$52&lt;120-E188,'Replacement plan'!$I$52="No",AND(ISNUMBER(AF188),AE188&gt;AF188),AI188&gt;V188*(1-'Operating costs'!$B$46)^MAX(0,AB188-1)*(1-'Operating costs'!$B$45),AC188&gt;'Operating costs'!$B$18,AND(T188&lt;1,OR(AG188&lt;=0,AND(ISNUMBER(AH188),AG188&gt;AH188))),'Replacement plan'!$L$52&gt;INDEX(Products!$H$7:$H$13,MATCH('Replacement plan'!$B$52,Products!$A$7:$A$13,0))))),"Fails entered limits",IF(AND(D188="EV",E188&lt;120,OR(NOT(ISNUMBER(VLOOKUP($A188,'Fleet register'!$A$7:$S$106,7,FALSE))),NOT(ISNUMBER(VLOOKUP($A188,'Fleet register'!$A$7:$S$106,8,FALSE))),NOT(ISNUMBER(AF188)),'Replacement plan'!$I$52&lt;&gt;"Yes",NOT(ISNUMBER(AH188)),'Operating costs'!$B$59&lt;&gt;"Yes",'Operating costs'!$B$58&lt;&gt;"Yes")),"Unverified","Within entered limits"))))</f>
        <v>Excluded</v>
      </c>
      <c r="R188" s="1">
        <f>IF(C188=0,0,VLOOKUP($A188,'Fleet register'!$A$7:$S$106,6,FALSE))</f>
        <v>0</v>
      </c>
      <c r="S188" s="1">
        <f>IF(C188=0,0,VLOOKUP($A188,'Fleet register'!$A$7:$S$106,5,FALSE))</f>
        <v>0</v>
      </c>
      <c r="T188" s="1">
        <f>IF(D188="EV",'Energy and charging'!$B$12,0)</f>
        <v>0</v>
      </c>
      <c r="U188" s="1">
        <f>IFERROR(IF(C188=0,0,IF(D188="EV",IF('Replacement plan'!$F$52="",INDEX(Products!$E$7:$E$13,MATCH('Replacement plan'!$B$52,Products!$A$7:$A$13,0)),'Replacement plan'!$F$52)/IF('Replacement plan'!$G$52="Battery",1-'Operating costs'!$B$44,1),0)),"n.a.")</f>
        <v>0</v>
      </c>
      <c r="V188" s="1">
        <f>IFERROR(IF(C188=0,0,IF(D188="EV",IF('Replacement plan'!$E$52="",INDEX(Products!$D$7:$D$13,MATCH('Replacement plan'!$B$52,Products!$A$7:$A$13,0)),'Replacement plan'!$E$52),0)),"n.a.")</f>
        <v>0</v>
      </c>
      <c r="W188" s="1">
        <f>IF(C188=0,0,IF(AND(P188="Complete",D188="EV",E188&lt;120),IF(T188=0,0,ROUNDUP(T188*(R188-'Operating costs'!$B$41)*(S188*U188+'Operating costs'!$B$48/(1-'Operating costs'!$B$44))/(V188*'Operating costs'!$B$47/(1-'Operating costs'!$B$44)-T188*'Operating costs'!$B$12*U188),0)),0))</f>
        <v>0</v>
      </c>
      <c r="X188" s="1">
        <f>IF(C188=0,0,IF(AND(P188="Complete",D188="EV",E188&lt;120),(R188-'Operating costs'!$B$41)*(S188*U188+'Operating costs'!$B$48/(1-'Operating costs'!$B$44))+W188*'Operating costs'!$B$12*U188,0))</f>
        <v>0</v>
      </c>
      <c r="Y188" s="1">
        <f>IF(AND(C188=1,D188="EV",E188&lt;120),AI188/(1-'Operating costs'!$B$44)*(1-T188),0)</f>
        <v>0</v>
      </c>
      <c r="Z188" s="1">
        <f t="shared" si="4"/>
        <v>0</v>
      </c>
      <c r="AA188" s="1">
        <f>IF(C188=0,0,IF(P188="Complete",((S188*(R188-'Operating costs'!$B$40))+ROUNDUP(S188*(R188-'Operating costs'!$B$40)*IF('Replacement plan'!$AH$52="",'Operating costs'!$B$7,'Replacement plan'!$AH$52)/('Operating costs'!$B$8-'Operating costs'!$B$9*IF('Replacement plan'!$AH$52="",'Operating costs'!$B$7,'Replacement plan'!$AH$52)),0)*'Operating costs'!$B$9)*IF('Replacement plan'!$AH$52="",'Operating costs'!$B$7,'Replacement plan'!$AH$52),"n.a."))</f>
        <v>0</v>
      </c>
      <c r="AB188" s="1">
        <f t="shared" si="5"/>
        <v>0</v>
      </c>
      <c r="AC188" s="1">
        <f>IF(AND(C188=1,D188="EV",E188&lt;120,T188&gt;0),'Operating costs'!$B$12/'Operating costs'!$B$11*60+'Operating costs'!$B$13+'Operating costs'!$B$14+V188*'Operating costs'!$B$47/(1-'Operating costs'!$B$44)/'Replacement plan'!$L$52*60,0)</f>
        <v>0</v>
      </c>
      <c r="AD188" s="1" t="str">
        <f>'Replacement plan'!$B$52</f>
        <v>ChengLong L2EV</v>
      </c>
      <c r="AE188" s="1">
        <f>IF(C188=0,0,VLOOKUP($A188,'Fleet register'!$A$7:$S$106,8,FALSE))</f>
        <v>0</v>
      </c>
      <c r="AF188" s="1" t="str">
        <f>IF('Replacement plan'!$H$52="","n.a.",'Replacement plan'!$H$52)</f>
        <v>n.a.</v>
      </c>
      <c r="AG188" s="1">
        <f>'Replacement plan'!$J$52</f>
        <v>22</v>
      </c>
      <c r="AH188" s="1">
        <f>IFERROR(IF(D188="EV",IF('Replacement plan'!$K$52="AC",IF(ISNUMBER(INDEX(Products!$G$7:$G$13,MATCH('Replacement plan'!$B$52,Products!$A$7:$A$13,0))),INDEX(Products!$G$7:$G$13,MATCH('Replacement plan'!$B$52,Products!$A$7:$A$13,0)),"n.a."),IF(ISNUMBER(INDEX(Products!$H$7:$H$13,MATCH('Replacement plan'!$B$52,Products!$A$7:$A$13,0))),INDEX(Products!$H$7:$H$13,MATCH('Replacement plan'!$B$52,Products!$A$7:$A$13,0)),"n.a.")),0),"n.a.")</f>
        <v>0</v>
      </c>
      <c r="AI188" s="1">
        <f>IF(AND(C188=1,D188="EV",E188&lt;120),(VLOOKUP($A188,'Fleet register'!$A$7:$S$106,7,FALSE)+IF(T188&gt;0,'Operating costs'!$B$12,0))*U188*(1-'Operating costs'!$B$44)+'Operating costs'!$B$49,0)</f>
        <v>0</v>
      </c>
      <c r="AJ188" s="1">
        <f>IF(D188="EV",'Energy and charging'!$B$50,0)</f>
        <v>0</v>
      </c>
      <c r="AK188" s="17">
        <f>EDATE('Operating costs'!$B$63,E188)</f>
        <v>46298</v>
      </c>
      <c r="AL188" s="1">
        <f>IFERROR(IF(D188="EV",INDEX(Products!$B$7:$B$13,MATCH('Replacement plan'!$B$52,Products!$A$7:$A$13,0)),0),"n.a.")</f>
        <v>0</v>
      </c>
      <c r="AM188" s="1" t="str">
        <f>'Replacement plan'!$K$52</f>
        <v>DC</v>
      </c>
      <c r="AN188" s="1" t="str">
        <f>'Replacement plan'!$AE$52</f>
        <v>Assumed</v>
      </c>
      <c r="AO188" s="47">
        <f>IF(AND(C188=1,D188="EV",E188&lt;120),(R188-'Operating costs'!$B$41)*S188+W188*'Operating costs'!$B$12,0)</f>
        <v>0</v>
      </c>
      <c r="AP188" s="41">
        <f>IF(AND(C188=1,D188="EV",E188&lt;120),IF('Operating costs'!$B$68="Hong Seh 200k average",AO188*IFERROR(INDEX(Products!$P$7:$P$13,MATCH(AD188,Products!$A$7:$A$13,0)),"n.a."),'Operating costs'!$B$26),0)</f>
        <v>0</v>
      </c>
      <c r="AQ188" s="40" t="str">
        <f>IF(D188="EV",'Operating costs'!$B$68,"Not applicable")</f>
        <v>Not applicable</v>
      </c>
    </row>
    <row r="189" spans="1:43" ht="24" customHeight="1">
      <c r="A189" s="1" t="str">
        <f>'Replacement plan'!A52</f>
        <v>T046</v>
      </c>
      <c r="B189" s="1">
        <v>2</v>
      </c>
      <c r="C189" s="1">
        <f>IF(COUNTIFS('Fleet register'!$A$7:$A$106,$A189)=1,VLOOKUP($A189,'Fleet register'!$A$7:$S$106,2,FALSE),0)</f>
        <v>0</v>
      </c>
      <c r="D189" s="1" t="str">
        <f>IF('Replacement plan'!$O$52="EV","EV","ICE")</f>
        <v>ICE</v>
      </c>
      <c r="E189" s="1">
        <f>IF(C189=0,0,IF('Replacement plan'!$P$52="",IF('Replacement plan'!$O$52="Keep ICE",IF('Replacement plan'!$M$52="",VLOOKUP($A189,'Fleet register'!$A$7:$S$106,10,FALSE),'Replacement plan'!$M$52),0),'Replacement plan'!$P$52))</f>
        <v>0</v>
      </c>
      <c r="F189" s="16">
        <f>IF(C189=0,0,VLOOKUP($A189,'Fleet register'!$A$7:$S$106,11,FALSE))</f>
        <v>0</v>
      </c>
      <c r="G189" s="16">
        <f>IFERROR(IF(C189=0,0,IF(E189=120,0,IF(D189="ICE",'Replacement plan'!$C$52,IF('Replacement plan'!$D$52="",INDEX(Products!$I$7:$I$13,MATCH('Replacement plan'!$B$52,Products!$A$7:$A$13,0))+'Operating costs'!$B$57,'Replacement plan'!$D$52))*(1+'Operating costs'!$B$50)^(E189/12))),"n.a.")</f>
        <v>0</v>
      </c>
      <c r="H189" s="16">
        <f>IFERROR(IF(C189=0,0,IF('Replacement plan'!$U$52&lt;&gt;"",'Replacement plan'!$U$52,IF(E189=0,F189,VLOOKUP($A189,'Fleet register'!$A$7:$S$106,12,FALSE)+VLOOKUP($A189,'Fleet register'!$A$7:$S$106,13,FALSE)*MAX(0,VLOOKUP($A189,'Fleet register'!$A$7:$S$106,10,FALSE)-E189)/VLOOKUP($A189,'Fleet register'!$A$7:$S$106,14,FALSE)))),"n.a.")</f>
        <v>0</v>
      </c>
      <c r="I189" s="16">
        <f>IF(C189=0,0,IF(E189=120,0,'Replacement plan'!$Q$52))</f>
        <v>0</v>
      </c>
      <c r="J189" s="16">
        <f>IF(C189=0,0,IF(P189="Complete",((S189*(R189-'Operating costs'!$B$39))+ROUNDUP(S189*(R189-'Operating costs'!$B$39)*IF('Replacement plan'!$AG$52="",'Operating costs'!$B$7,'Replacement plan'!$AG$52)/('Operating costs'!$B$8-'Operating costs'!$B$9*IF('Replacement plan'!$AG$52="",'Operating costs'!$B$7,'Replacement plan'!$AG$52)),0)*'Operating costs'!$B$9)*IF('Replacement plan'!$AG$52="",'Operating costs'!$B$7,'Replacement plan'!$AG$52)*('Energy and charging'!$B$9*'Energy and charging'!$B$7+(1-'Energy and charging'!$B$9)*'Energy and charging'!$B$8)*'Operating costs'!$B$23,"n.a."))</f>
        <v>0</v>
      </c>
      <c r="K189" s="16">
        <f>IF(C189=0,0,IF(P189="Complete",SUM('Operating costs'!$B$24,'Operating costs'!$B$27,'Operating costs'!$B$29,'Operating costs'!$B$31,'Operating costs'!$B$33,'Operating costs'!$B$34,'Operating costs'!$B$37,'Replacement plan'!$W$52)+'Operating costs'!$B$39*'Operating costs'!$B$42+ROUNDUP(S189*(R189-'Operating costs'!$B$39)*IF('Replacement plan'!$AG$52="",'Operating costs'!$B$7,'Replacement plan'!$AG$52)/('Operating costs'!$B$8-'Operating costs'!$B$9*IF('Replacement plan'!$AG$52="",'Operating costs'!$B$7,'Replacement plan'!$AG$52)),0)*('Operating costs'!$B$9/'Operating costs'!$B$11+'Operating costs'!$B$10/60)*'Operating costs'!$B$19*'Operating costs'!$B$21,"n.a."))</f>
        <v>0</v>
      </c>
      <c r="L189" s="16">
        <f>IF(C189=0,0,IF(P189="Complete",IF(D189="EV",X189*((1-T189)*'Energy and charging'!$B$10+T189*'Energy and charging'!$B$11)*'Operating costs'!$B$22,AA189*('Energy and charging'!$B$9*'Energy and charging'!$B$7+(1-'Energy and charging'!$B$9)*'Energy and charging'!$B$8)*'Operating costs'!$B$23),"n.a."))</f>
        <v>0</v>
      </c>
      <c r="M189" s="37">
        <f>IF(C189=0,0,IF(P189="Complete",IF(D189="ICE",SUM('Operating costs'!$B$25,'Operating costs'!$B$27,'Operating costs'!$B$29,'Operating costs'!$B$31,'Operating costs'!$B$33,'Operating costs'!$B$35,'Operating costs'!$B$37,'Replacement plan'!$X$52)+'Operating costs'!$B$40*'Operating costs'!$B$42+ROUNDUP(S189*(R189-'Operating costs'!$B$40)*IF('Replacement plan'!$AH$52="",'Operating costs'!$B$7,'Replacement plan'!$AH$52)/('Operating costs'!$B$8-'Operating costs'!$B$9*IF('Replacement plan'!$AH$52="",'Operating costs'!$B$7,'Replacement plan'!$AH$52)),0)*('Operating costs'!$B$9/'Operating costs'!$B$11+'Operating costs'!$B$10/60)*'Operating costs'!$B$19*'Operating costs'!$B$21,SUM(AP189,'Operating costs'!$B$28,'Operating costs'!$B$30,'Operating costs'!$B$32,'Operating costs'!$B$33,'Operating costs'!$B$36,'Operating costs'!$B$38,'Replacement plan'!$Y$52)+'Operating costs'!$B$41*'Operating costs'!$B$43+W189*'Operating costs'!$B$15+(T189*X189/'Replacement plan'!$L$52+W189*('Operating costs'!$B$12/'Operating costs'!$B$11+('Operating costs'!$B$13+'Operating costs'!$B$14)/60)+(R189-'Operating costs'!$B$41)*(IF(T189&lt;1,'Operating costs'!$B$16,0)+'Operating costs'!$B$17)/60)*'Operating costs'!$B$19*'Operating costs'!$B$20),"n.a."))</f>
        <v>0</v>
      </c>
      <c r="N189" s="16">
        <f>IF(AND(C189=1,D189="EV",E189&lt;120,E189+'Replacement plan'!$AA$52&lt;=120),'Replacement plan'!$Z$52,0)</f>
        <v>0</v>
      </c>
      <c r="O189" s="1">
        <f>E189+'Replacement plan'!$AA$52</f>
        <v>0</v>
      </c>
      <c r="P189" s="35" t="str">
        <f>IFERROR(IF(C189=0,"Excluded",IF(OR(COUNTIFS('Fleet register'!$A$7:$A$106,A189)&lt;&gt;1,COUNTIFS('Replacement plan'!$A$7:$A$106,A189)&lt;&gt;1),"Duplicate/missing ID",IF(NOT(AND(ISNUMBER(VLOOKUP($A189,'Fleet register'!$A$7:$S$106,5,FALSE)),ISNUMBER(VLOOKUP($A189,'Fleet register'!$A$7:$S$106,6,FALSE)),ISNUMBER(VLOOKUP($A189,'Fleet register'!$A$7:$S$106,10,FALSE)),ISNUMBER(VLOOKUP($A189,'Fleet register'!$A$7:$S$106,11,FALSE)),ISNUMBER(VLOOKUP($A189,'Fleet register'!$A$7:$S$106,12,FALSE)),ISNUMBER(VLOOKUP($A189,'Fleet register'!$A$7:$S$106,13,FALSE)),ISNUMBER(VLOOKUP($A189,'Fleet register'!$A$7:$S$106,14,FALSE)),VLOOKUP($A189,'Fleet register'!$A$7:$S$106,14,FALSE)&gt;0,ISNUMBER('Replacement plan'!$C$52),OR(E189=120,ISNUMBER('Replacement plan'!$Q$52)),ISNUMBER(E189))),"Missing vehicle input",IF(OR(E189&lt;0,E189&gt;VLOOKUP($A189,'Fleet register'!$A$7:$S$106,10,FALSE),E189&gt;120,E189&lt;&gt;INT(E189),VLOOKUP($A189,'Fleet register'!$A$7:$S$106,6,FALSE)&lt;=0,VLOOKUP($A189,'Fleet register'!$A$7:$S$106,6,FALSE)&gt;366,VLOOKUP($A189,'Fleet register'!$A$7:$S$106,5,FALSE)&lt;0,VLOOKUP($A189,'Fleet register'!$A$7:$S$106,11,FALSE)&lt;0,I189&lt;0,'Operating costs'!$B$8&lt;='Operating costs'!$B$7*'Operating costs'!$B$9,'Operating costs'!$B$11&lt;=0,'Operating costs'!$B$39&gt;R189,'Operating costs'!$B$40&gt;R189,'Operating costs'!$B$41&gt;R189,NOT(OR('Replacement plan'!$O$52="Keep ICE",'Replacement plan'!$O$52="New ICE",'Replacement plan'!$O$52="EV"))),"Invalid vehicle input",IF(AND(D189="EV",E189&lt;120,OR(NOT(ISNUMBER(U189)),NOT(ISNUMBER(V189)),V189&lt;=0,T189&lt;0,T189&gt;1,'Replacement plan'!$L$52&lt;=0,'Operating costs'!$B$44&lt;0,'Operating costs'!$B$44&gt;=1,'Operating costs'!$B$47&lt;=0,'Operating costs'!$B$47&gt;1,V189*'Operating costs'!$B$47/(1-'Operating costs'!$B$44)&lt;=T189*'Operating costs'!$B$12*U189,AND('Replacement plan'!$Z$52&gt;0,OR('Replacement plan'!$AB$52&lt;&gt;"Yes",'Operating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charging'!$B$8&gt;=0))),ISNUMBER(VLOOKUP($A189,'Fleet register'!$A$7:$S$106,15,FALSE)),ISNUMBER(VLOOKUP($A189,'Fleet register'!$A$7:$S$106,16,FALSE)),ISNUMBER('Replacement plan'!$W$52),ISNUMBER('Replacement plan'!$X$52),OR(E189=120,AND(ISNUMBER(G189),G189&gt;=0)),ISNUMBER(H189),H189&gt;=0,OR(D189&lt;&gt;"EV",E189=120,AND(ISNUMBER('Operating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average",ISNUMBER(IFERROR(INDEX(Products!$P$7:$P$13,MATCH(AD189,Products!$A$7:$A$13,0)),"")))),ISNUMBER('Operating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plan'!$Y$52),ISNUMBER('Replacement plan'!$Z$52),'Replacement plan'!$Z$52&gt;=0,ISNUMBER('Replacement plan'!$AA$52),'Replacement plan'!$AA$52&gt;=0,'Replacement plan'!$AA$52=INT('Replacement plan'!$AA$52),ISNUMBER('Replacement plan'!$L$52))),'Operating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plan'!$AG$52="",'Operating costs'!$B$7,'Replacement plan'!$AG$52)),IF('Replacement plan'!$AG$52="",'Operating costs'!$B$7,'Replacement plan'!$AG$52)&gt;=0,ISNUMBER(IF('Replacement plan'!$AH$52="",'Operating costs'!$B$7,'Replacement plan'!$AH$52)),IF('Replacement plan'!$AH$52="",'Operating costs'!$B$7,'Replacement plan'!$AH$52)&gt;=0,'Operating costs'!$B$8&gt;MAX(IF('Replacement plan'!$AG$52="",'Operating costs'!$B$7,'Replacement plan'!$AG$52),IF('Replacement plan'!$AH$52="",'Operating costs'!$B$7,'Replacement plan'!$AH$52))*'Operating costs'!$B$9),IF(AND(VLOOKUP($A189,'Fleet register'!$A$7:$S$106,10,FALSE)&gt;=0,VLOOKUP($A189,'Fleet register'!$A$7:$S$106,10,FALSE)&lt;=120,VLOOKUP($A189,'Fleet register'!$A$7:$S$106,10,FALSE)=INT(VLOOKUP($A189,'Fleet register'!$A$7:$S$106,10,FALSE)),VLOOKUP($A189,'Fleet register'!$A$7:$S$106,15,FALSE)&gt;=0,VLOOKUP($A189,'Fleet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costs'!$B$67)&gt;=0,OR(D189&lt;&gt;"EV",E189=120,AND(MIN('Operating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89" s="1" t="str">
        <f>IF(C189=0,"Excluded",IF(P189&lt;&gt;"Complete",P189,IF(OR('Replacement plan'!$AD$52&lt;120-E189,AND(D189="EV",E189&lt;120,OR('Replacement plan'!$AC$52&lt;120-E189,'Replacement plan'!$I$52="No",AND(ISNUMBER(AF189),AE189&gt;AF189),AI189&gt;V189*(1-'Operating costs'!$B$46)^MAX(0,AB189-1)*(1-'Operating costs'!$B$45),AC189&gt;'Operating costs'!$B$18,AND(T189&lt;1,OR(AG189&lt;=0,AND(ISNUMBER(AH189),AG189&gt;AH189))),'Replacement plan'!$L$52&gt;INDEX(Products!$H$7:$H$13,MATCH('Replacement plan'!$B$52,Products!$A$7:$A$13,0))))),"Fails entered limits",IF(AND(D189="EV",E189&lt;120,OR(NOT(ISNUMBER(VLOOKUP($A189,'Fleet register'!$A$7:$S$106,7,FALSE))),NOT(ISNUMBER(VLOOKUP($A189,'Fleet register'!$A$7:$S$106,8,FALSE))),NOT(ISNUMBER(AF189)),'Replacement plan'!$I$52&lt;&gt;"Yes",NOT(ISNUMBER(AH189)),'Operating costs'!$B$59&lt;&gt;"Yes",'Operating costs'!$B$58&lt;&gt;"Yes")),"Unverified","Within entered limits"))))</f>
        <v>Excluded</v>
      </c>
      <c r="R189" s="1">
        <f>IF(C189=0,0,VLOOKUP($A189,'Fleet register'!$A$7:$S$106,6,FALSE))</f>
        <v>0</v>
      </c>
      <c r="S189" s="1">
        <f>IF(C189=0,0,VLOOKUP($A189,'Fleet register'!$A$7:$S$106,5,FALSE))</f>
        <v>0</v>
      </c>
      <c r="T189" s="1">
        <f>IF(D189="EV",'Energy and charging'!$B$12,0)</f>
        <v>0</v>
      </c>
      <c r="U189" s="1">
        <f>IFERROR(IF(C189=0,0,IF(D189="EV",IF('Replacement plan'!$F$52="",INDEX(Products!$E$7:$E$13,MATCH('Replacement plan'!$B$52,Products!$A$7:$A$13,0)),'Replacement plan'!$F$52)/IF('Replacement plan'!$G$52="Battery",1-'Operating costs'!$B$44,1),0)),"n.a.")</f>
        <v>0</v>
      </c>
      <c r="V189" s="1">
        <f>IFERROR(IF(C189=0,0,IF(D189="EV",IF('Replacement plan'!$E$52="",INDEX(Products!$D$7:$D$13,MATCH('Replacement plan'!$B$52,Products!$A$7:$A$13,0)),'Replacement plan'!$E$52),0)),"n.a.")</f>
        <v>0</v>
      </c>
      <c r="W189" s="1">
        <f>IF(C189=0,0,IF(AND(P189="Complete",D189="EV",E189&lt;120),IF(T189=0,0,ROUNDUP(T189*(R189-'Operating costs'!$B$41)*(S189*U189+'Operating costs'!$B$48/(1-'Operating costs'!$B$44))/(V189*'Operating costs'!$B$47/(1-'Operating costs'!$B$44)-T189*'Operating costs'!$B$12*U189),0)),0))</f>
        <v>0</v>
      </c>
      <c r="X189" s="1">
        <f>IF(C189=0,0,IF(AND(P189="Complete",D189="EV",E189&lt;120),(R189-'Operating costs'!$B$41)*(S189*U189+'Operating costs'!$B$48/(1-'Operating costs'!$B$44))+W189*'Operating costs'!$B$12*U189,0))</f>
        <v>0</v>
      </c>
      <c r="Y189" s="1">
        <f>IF(AND(C189=1,D189="EV",E189&lt;120),AI189/(1-'Operating costs'!$B$44)*(1-T189),0)</f>
        <v>0</v>
      </c>
      <c r="Z189" s="1">
        <f t="shared" si="4"/>
        <v>0</v>
      </c>
      <c r="AA189" s="1">
        <f>IF(C189=0,0,IF(P189="Complete",((S189*(R189-'Operating costs'!$B$40))+ROUNDUP(S189*(R189-'Operating costs'!$B$40)*IF('Replacement plan'!$AH$52="",'Operating costs'!$B$7,'Replacement plan'!$AH$52)/('Operating costs'!$B$8-'Operating costs'!$B$9*IF('Replacement plan'!$AH$52="",'Operating costs'!$B$7,'Replacement plan'!$AH$52)),0)*'Operating costs'!$B$9)*IF('Replacement plan'!$AH$52="",'Operating costs'!$B$7,'Replacement plan'!$AH$52),"n.a."))</f>
        <v>0</v>
      </c>
      <c r="AB189" s="1">
        <f t="shared" si="5"/>
        <v>0</v>
      </c>
      <c r="AC189" s="1">
        <f>IF(AND(C189=1,D189="EV",E189&lt;120,T189&gt;0),'Operating costs'!$B$12/'Operating costs'!$B$11*60+'Operating costs'!$B$13+'Operating costs'!$B$14+V189*'Operating costs'!$B$47/(1-'Operating costs'!$B$44)/'Replacement plan'!$L$52*60,0)</f>
        <v>0</v>
      </c>
      <c r="AD189" s="1" t="str">
        <f>'Replacement plan'!$B$52</f>
        <v>ChengLong L2EV</v>
      </c>
      <c r="AE189" s="1">
        <f>IF(C189=0,0,VLOOKUP($A189,'Fleet register'!$A$7:$S$106,8,FALSE))</f>
        <v>0</v>
      </c>
      <c r="AF189" s="1" t="str">
        <f>IF('Replacement plan'!$H$52="","n.a.",'Replacement plan'!$H$52)</f>
        <v>n.a.</v>
      </c>
      <c r="AG189" s="1">
        <f>'Replacement plan'!$J$52</f>
        <v>22</v>
      </c>
      <c r="AH189" s="1">
        <f>IFERROR(IF(D189="EV",IF('Replacement plan'!$K$52="AC",IF(ISNUMBER(INDEX(Products!$G$7:$G$13,MATCH('Replacement plan'!$B$52,Products!$A$7:$A$13,0))),INDEX(Products!$G$7:$G$13,MATCH('Replacement plan'!$B$52,Products!$A$7:$A$13,0)),"n.a."),IF(ISNUMBER(INDEX(Products!$H$7:$H$13,MATCH('Replacement plan'!$B$52,Products!$A$7:$A$13,0))),INDEX(Products!$H$7:$H$13,MATCH('Replacement plan'!$B$52,Products!$A$7:$A$13,0)),"n.a.")),0),"n.a.")</f>
        <v>0</v>
      </c>
      <c r="AI189" s="1">
        <f>IF(AND(C189=1,D189="EV",E189&lt;120),(VLOOKUP($A189,'Fleet register'!$A$7:$S$106,7,FALSE)+IF(T189&gt;0,'Operating costs'!$B$12,0))*U189*(1-'Operating costs'!$B$44)+'Operating costs'!$B$49,0)</f>
        <v>0</v>
      </c>
      <c r="AJ189" s="1">
        <f>IF(D189="EV",'Energy and charging'!$B$50,0)</f>
        <v>0</v>
      </c>
      <c r="AK189" s="17">
        <f>EDATE('Operating costs'!$B$63,E189)</f>
        <v>46298</v>
      </c>
      <c r="AL189" s="1">
        <f>IFERROR(IF(D189="EV",INDEX(Products!$B$7:$B$13,MATCH('Replacement plan'!$B$52,Products!$A$7:$A$13,0)),0),"n.a.")</f>
        <v>0</v>
      </c>
      <c r="AM189" s="1" t="str">
        <f>'Replacement plan'!$K$52</f>
        <v>DC</v>
      </c>
      <c r="AN189" s="1" t="str">
        <f>'Replacement plan'!$AE$52</f>
        <v>Assumed</v>
      </c>
      <c r="AO189" s="47">
        <f>IF(AND(C189=1,D189="EV",E189&lt;120),(R189-'Operating costs'!$B$41)*S189+W189*'Operating costs'!$B$12,0)</f>
        <v>0</v>
      </c>
      <c r="AP189" s="41">
        <f>IF(AND(C189=1,D189="EV",E189&lt;120),IF('Operating costs'!$B$68="Hong Seh 200k average",AO189*IFERROR(INDEX(Products!$P$7:$P$13,MATCH(AD189,Products!$A$7:$A$13,0)),"n.a."),'Operating costs'!$B$26),0)</f>
        <v>0</v>
      </c>
      <c r="AQ189" s="40" t="str">
        <f>IF(D189="EV",'Operating costs'!$B$68,"Not applicable")</f>
        <v>Not applicable</v>
      </c>
    </row>
    <row r="190" spans="1:43" ht="24" customHeight="1">
      <c r="A190" s="1" t="str">
        <f>'Replacement plan'!A52</f>
        <v>T046</v>
      </c>
      <c r="B190" s="1">
        <v>3</v>
      </c>
      <c r="C190" s="1">
        <f>IF(COUNTIFS('Fleet register'!$A$7:$A$106,$A190)=1,VLOOKUP($A190,'Fleet register'!$A$7:$S$106,2,FALSE),0)</f>
        <v>0</v>
      </c>
      <c r="D190" s="1" t="str">
        <f>IF('Replacement plan'!$R$52="EV","EV","ICE")</f>
        <v>ICE</v>
      </c>
      <c r="E190" s="1">
        <f>IF(C190=0,0,IF('Replacement plan'!$S$52="",IF('Replacement plan'!$R$52="Keep ICE",IF('Replacement plan'!$M$52="",VLOOKUP($A190,'Fleet register'!$A$7:$S$106,10,FALSE),'Replacement plan'!$M$52),0),'Replacement plan'!$S$52))</f>
        <v>0</v>
      </c>
      <c r="F190" s="16">
        <f>IF(C190=0,0,VLOOKUP($A190,'Fleet register'!$A$7:$S$106,11,FALSE))</f>
        <v>0</v>
      </c>
      <c r="G190" s="16">
        <f>IFERROR(IF(C190=0,0,IF(E190=120,0,IF(D190="ICE",'Replacement plan'!$C$52,IF('Replacement plan'!$D$52="",INDEX(Products!$I$7:$I$13,MATCH('Replacement plan'!$B$52,Products!$A$7:$A$13,0))+'Operating costs'!$B$57,'Replacement plan'!$D$52))*(1+'Operating costs'!$B$50)^(E190/12))),"n.a.")</f>
        <v>0</v>
      </c>
      <c r="H190" s="16">
        <f>IFERROR(IF(C190=0,0,IF('Replacement plan'!$V$52&lt;&gt;"",'Replacement plan'!$V$52,IF(E190=0,F190,VLOOKUP($A190,'Fleet register'!$A$7:$S$106,12,FALSE)+VLOOKUP($A190,'Fleet register'!$A$7:$S$106,13,FALSE)*MAX(0,VLOOKUP($A190,'Fleet register'!$A$7:$S$106,10,FALSE)-E190)/VLOOKUP($A190,'Fleet register'!$A$7:$S$106,14,FALSE)))),"n.a.")</f>
        <v>0</v>
      </c>
      <c r="I190" s="16">
        <f>IF(C190=0,0,IF(E190=120,0,'Replacement plan'!$T$52))</f>
        <v>0</v>
      </c>
      <c r="J190" s="16">
        <f>IF(C190=0,0,IF(P190="Complete",((S190*(R190-'Operating costs'!$B$39))+ROUNDUP(S190*(R190-'Operating costs'!$B$39)*IF('Replacement plan'!$AG$52="",'Operating costs'!$B$7,'Replacement plan'!$AG$52)/('Operating costs'!$B$8-'Operating costs'!$B$9*IF('Replacement plan'!$AG$52="",'Operating costs'!$B$7,'Replacement plan'!$AG$52)),0)*'Operating costs'!$B$9)*IF('Replacement plan'!$AG$52="",'Operating costs'!$B$7,'Replacement plan'!$AG$52)*('Energy and charging'!$C$9*'Energy and charging'!$C$7+(1-'Energy and charging'!$C$9)*'Energy and charging'!$C$8)*'Operating costs'!$B$23,"n.a."))</f>
        <v>0</v>
      </c>
      <c r="K190" s="16">
        <f>IF(C190=0,0,IF(P190="Complete",SUM('Operating costs'!$B$24,'Operating costs'!$B$27,'Operating costs'!$B$29,'Operating costs'!$B$31,'Operating costs'!$B$33,'Operating costs'!$B$34,'Operating costs'!$B$37,'Replacement plan'!$W$52)+'Operating costs'!$B$39*'Operating costs'!$B$42+ROUNDUP(S190*(R190-'Operating costs'!$B$39)*IF('Replacement plan'!$AG$52="",'Operating costs'!$B$7,'Replacement plan'!$AG$52)/('Operating costs'!$B$8-'Operating costs'!$B$9*IF('Replacement plan'!$AG$52="",'Operating costs'!$B$7,'Replacement plan'!$AG$52)),0)*('Operating costs'!$B$9/'Operating costs'!$B$11+'Operating costs'!$B$10/60)*'Operating costs'!$B$19*'Operating costs'!$B$21,"n.a."))</f>
        <v>0</v>
      </c>
      <c r="L190" s="16">
        <f>IF(C190=0,0,IF(P190="Complete",IF(D190="EV",X190*((1-T190)*'Energy and charging'!$C$10+T190*'Energy and charging'!$C$11)*'Operating costs'!$B$22,AA190*('Energy and charging'!$C$9*'Energy and charging'!$C$7+(1-'Energy and charging'!$C$9)*'Energy and charging'!$C$8)*'Operating costs'!$B$23),"n.a."))</f>
        <v>0</v>
      </c>
      <c r="M190" s="37">
        <f>IF(C190=0,0,IF(P190="Complete",IF(D190="ICE",SUM('Operating costs'!$B$25,'Operating costs'!$B$27,'Operating costs'!$B$29,'Operating costs'!$B$31,'Operating costs'!$B$33,'Operating costs'!$B$35,'Operating costs'!$B$37,'Replacement plan'!$X$52)+'Operating costs'!$B$40*'Operating costs'!$B$42+ROUNDUP(S190*(R190-'Operating costs'!$B$40)*IF('Replacement plan'!$AH$52="",'Operating costs'!$B$7,'Replacement plan'!$AH$52)/('Operating costs'!$B$8-'Operating costs'!$B$9*IF('Replacement plan'!$AH$52="",'Operating costs'!$B$7,'Replacement plan'!$AH$52)),0)*('Operating costs'!$B$9/'Operating costs'!$B$11+'Operating costs'!$B$10/60)*'Operating costs'!$B$19*'Operating costs'!$B$21,SUM(AP190,'Operating costs'!$B$28,'Operating costs'!$B$30,'Operating costs'!$B$32,'Operating costs'!$B$33,'Operating costs'!$B$36,'Operating costs'!$B$38,'Replacement plan'!$Y$52)+'Operating costs'!$B$41*'Operating costs'!$B$43+W190*'Operating costs'!$B$15+(T190*X190/'Replacement plan'!$L$52+W190*('Operating costs'!$B$12/'Operating costs'!$B$11+('Operating costs'!$B$13+'Operating costs'!$B$14)/60)+(R190-'Operating costs'!$B$41)*(IF(T190&lt;1,'Operating costs'!$B$16,0)+'Operating costs'!$B$17)/60)*'Operating costs'!$B$19*'Operating costs'!$B$20),"n.a."))</f>
        <v>0</v>
      </c>
      <c r="N190" s="16">
        <f>IF(AND(C190=1,D190="EV",E190&lt;120,E190+'Replacement plan'!$AA$52&lt;=120),'Replacement plan'!$Z$52,0)</f>
        <v>0</v>
      </c>
      <c r="O190" s="1">
        <f>E190+'Replacement plan'!$AA$52</f>
        <v>0</v>
      </c>
      <c r="P190" s="35" t="str">
        <f>IFERROR(IF(C190=0,"Excluded",IF(OR(COUNTIFS('Fleet register'!$A$7:$A$106,A190)&lt;&gt;1,COUNTIFS('Replacement plan'!$A$7:$A$106,A190)&lt;&gt;1),"Duplicate/missing ID",IF(NOT(AND(ISNUMBER(VLOOKUP($A190,'Fleet register'!$A$7:$S$106,5,FALSE)),ISNUMBER(VLOOKUP($A190,'Fleet register'!$A$7:$S$106,6,FALSE)),ISNUMBER(VLOOKUP($A190,'Fleet register'!$A$7:$S$106,10,FALSE)),ISNUMBER(VLOOKUP($A190,'Fleet register'!$A$7:$S$106,11,FALSE)),ISNUMBER(VLOOKUP($A190,'Fleet register'!$A$7:$S$106,12,FALSE)),ISNUMBER(VLOOKUP($A190,'Fleet register'!$A$7:$S$106,13,FALSE)),ISNUMBER(VLOOKUP($A190,'Fleet register'!$A$7:$S$106,14,FALSE)),VLOOKUP($A190,'Fleet register'!$A$7:$S$106,14,FALSE)&gt;0,ISNUMBER('Replacement plan'!$C$52),OR(E190=120,ISNUMBER('Replacement plan'!$T$52)),ISNUMBER(E190))),"Missing vehicle input",IF(OR(E190&lt;0,E190&gt;VLOOKUP($A190,'Fleet register'!$A$7:$S$106,10,FALSE),E190&gt;120,E190&lt;&gt;INT(E190),VLOOKUP($A190,'Fleet register'!$A$7:$S$106,6,FALSE)&lt;=0,VLOOKUP($A190,'Fleet register'!$A$7:$S$106,6,FALSE)&gt;366,VLOOKUP($A190,'Fleet register'!$A$7:$S$106,5,FALSE)&lt;0,VLOOKUP($A190,'Fleet register'!$A$7:$S$106,11,FALSE)&lt;0,I190&lt;0,'Operating costs'!$B$8&lt;='Operating costs'!$B$7*'Operating costs'!$B$9,'Operating costs'!$B$11&lt;=0,'Operating costs'!$B$39&gt;R190,'Operating costs'!$B$40&gt;R190,'Operating costs'!$B$41&gt;R190,NOT(OR('Replacement plan'!$R$52="Keep ICE",'Replacement plan'!$R$52="New ICE",'Replacement plan'!$R$52="EV"))),"Invalid vehicle input",IF(AND(D190="EV",E190&lt;120,OR(NOT(ISNUMBER(U190)),NOT(ISNUMBER(V190)),V190&lt;=0,T190&lt;0,T190&gt;1,'Replacement plan'!$L$52&lt;=0,'Operating costs'!$B$44&lt;0,'Operating costs'!$B$44&gt;=1,'Operating costs'!$B$47&lt;=0,'Operating costs'!$B$47&gt;1,V190*'Operating costs'!$B$47/(1-'Operating costs'!$B$44)&lt;=T190*'Operating costs'!$B$12*U190,AND('Replacement plan'!$Z$52&gt;0,OR('Replacement plan'!$AB$52&lt;&gt;"Yes",'Operating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charging'!$C$8&gt;=0))),ISNUMBER(VLOOKUP($A190,'Fleet register'!$A$7:$S$106,15,FALSE)),ISNUMBER(VLOOKUP($A190,'Fleet register'!$A$7:$S$106,16,FALSE)),ISNUMBER('Replacement plan'!$W$52),ISNUMBER('Replacement plan'!$X$52),OR(E190=120,AND(ISNUMBER(G190),G190&gt;=0)),ISNUMBER(H190),H190&gt;=0,OR(D190&lt;&gt;"EV",E190=120,AND(ISNUMBER('Operating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average",ISNUMBER(IFERROR(INDEX(Products!$P$7:$P$13,MATCH(AD190,Products!$A$7:$A$13,0)),"")))),ISNUMBER('Operating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plan'!$Y$52),ISNUMBER('Replacement plan'!$Z$52),'Replacement plan'!$Z$52&gt;=0,ISNUMBER('Replacement plan'!$AA$52),'Replacement plan'!$AA$52&gt;=0,'Replacement plan'!$AA$52=INT('Replacement plan'!$AA$52),ISNUMBER('Replacement plan'!$L$52))),'Operating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plan'!$AG$52="",'Operating costs'!$B$7,'Replacement plan'!$AG$52)),IF('Replacement plan'!$AG$52="",'Operating costs'!$B$7,'Replacement plan'!$AG$52)&gt;=0,ISNUMBER(IF('Replacement plan'!$AH$52="",'Operating costs'!$B$7,'Replacement plan'!$AH$52)),IF('Replacement plan'!$AH$52="",'Operating costs'!$B$7,'Replacement plan'!$AH$52)&gt;=0,'Operating costs'!$B$8&gt;MAX(IF('Replacement plan'!$AG$52="",'Operating costs'!$B$7,'Replacement plan'!$AG$52),IF('Replacement plan'!$AH$52="",'Operating costs'!$B$7,'Replacement plan'!$AH$52))*'Operating costs'!$B$9),IF(AND(VLOOKUP($A190,'Fleet register'!$A$7:$S$106,10,FALSE)&gt;=0,VLOOKUP($A190,'Fleet register'!$A$7:$S$106,10,FALSE)&lt;=120,VLOOKUP($A190,'Fleet register'!$A$7:$S$106,10,FALSE)=INT(VLOOKUP($A190,'Fleet register'!$A$7:$S$106,10,FALSE)),VLOOKUP($A190,'Fleet register'!$A$7:$S$106,15,FALSE)&gt;=0,VLOOKUP($A190,'Fleet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costs'!$B$67)&gt;=0,OR(D190&lt;&gt;"EV",E190=120,AND(MIN('Operating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90" s="1" t="str">
        <f>IF(C190=0,"Excluded",IF(P190&lt;&gt;"Complete",P190,IF(OR('Replacement plan'!$AD$52&lt;120-E190,AND(D190="EV",E190&lt;120,OR('Replacement plan'!$AC$52&lt;120-E190,'Replacement plan'!$I$52="No",AND(ISNUMBER(AF190),AE190&gt;AF190),AI190&gt;V190*(1-'Operating costs'!$B$46)^MAX(0,AB190-1)*(1-'Operating costs'!$B$45),AC190&gt;'Operating costs'!$B$18,AND(T190&lt;1,OR(AG190&lt;=0,AND(ISNUMBER(AH190),AG190&gt;AH190))),'Replacement plan'!$L$52&gt;INDEX(Products!$H$7:$H$13,MATCH('Replacement plan'!$B$52,Products!$A$7:$A$13,0))))),"Fails entered limits",IF(AND(D190="EV",E190&lt;120,OR(NOT(ISNUMBER(VLOOKUP($A190,'Fleet register'!$A$7:$S$106,7,FALSE))),NOT(ISNUMBER(VLOOKUP($A190,'Fleet register'!$A$7:$S$106,8,FALSE))),NOT(ISNUMBER(AF190)),'Replacement plan'!$I$52&lt;&gt;"Yes",NOT(ISNUMBER(AH190)),'Operating costs'!$B$59&lt;&gt;"Yes",'Operating costs'!$B$58&lt;&gt;"Yes")),"Unverified","Within entered limits"))))</f>
        <v>Excluded</v>
      </c>
      <c r="R190" s="1">
        <f>IF(C190=0,0,VLOOKUP($A190,'Fleet register'!$A$7:$S$106,6,FALSE))</f>
        <v>0</v>
      </c>
      <c r="S190" s="1">
        <f>IF(C190=0,0,VLOOKUP($A190,'Fleet register'!$A$7:$S$106,5,FALSE))</f>
        <v>0</v>
      </c>
      <c r="T190" s="1">
        <f>IF(D190="EV",'Energy and charging'!$C$12,0)</f>
        <v>0</v>
      </c>
      <c r="U190" s="1">
        <f>IFERROR(IF(C190=0,0,IF(D190="EV",IF('Replacement plan'!$F$52="",INDEX(Products!$E$7:$E$13,MATCH('Replacement plan'!$B$52,Products!$A$7:$A$13,0)),'Replacement plan'!$F$52)/IF('Replacement plan'!$G$52="Battery",1-'Operating costs'!$B$44,1),0)),"n.a.")</f>
        <v>0</v>
      </c>
      <c r="V190" s="1">
        <f>IFERROR(IF(C190=0,0,IF(D190="EV",IF('Replacement plan'!$E$52="",INDEX(Products!$D$7:$D$13,MATCH('Replacement plan'!$B$52,Products!$A$7:$A$13,0)),'Replacement plan'!$E$52),0)),"n.a.")</f>
        <v>0</v>
      </c>
      <c r="W190" s="1">
        <f>IF(C190=0,0,IF(AND(P190="Complete",D190="EV",E190&lt;120),IF(T190=0,0,ROUNDUP(T190*(R190-'Operating costs'!$B$41)*(S190*U190+'Operating costs'!$B$48/(1-'Operating costs'!$B$44))/(V190*'Operating costs'!$B$47/(1-'Operating costs'!$B$44)-T190*'Operating costs'!$B$12*U190),0)),0))</f>
        <v>0</v>
      </c>
      <c r="X190" s="1">
        <f>IF(C190=0,0,IF(AND(P190="Complete",D190="EV",E190&lt;120),(R190-'Operating costs'!$B$41)*(S190*U190+'Operating costs'!$B$48/(1-'Operating costs'!$B$44))+W190*'Operating costs'!$B$12*U190,0))</f>
        <v>0</v>
      </c>
      <c r="Y190" s="1">
        <f>IF(AND(C190=1,D190="EV",E190&lt;120),AI190/(1-'Operating costs'!$B$44)*(1-T190),0)</f>
        <v>0</v>
      </c>
      <c r="Z190" s="1">
        <f t="shared" si="4"/>
        <v>0</v>
      </c>
      <c r="AA190" s="1">
        <f>IF(C190=0,0,IF(P190="Complete",((S190*(R190-'Operating costs'!$B$40))+ROUNDUP(S190*(R190-'Operating costs'!$B$40)*IF('Replacement plan'!$AH$52="",'Operating costs'!$B$7,'Replacement plan'!$AH$52)/('Operating costs'!$B$8-'Operating costs'!$B$9*IF('Replacement plan'!$AH$52="",'Operating costs'!$B$7,'Replacement plan'!$AH$52)),0)*'Operating costs'!$B$9)*IF('Replacement plan'!$AH$52="",'Operating costs'!$B$7,'Replacement plan'!$AH$52),"n.a."))</f>
        <v>0</v>
      </c>
      <c r="AB190" s="1">
        <f t="shared" si="5"/>
        <v>0</v>
      </c>
      <c r="AC190" s="1">
        <f>IF(AND(C190=1,D190="EV",E190&lt;120,T190&gt;0),'Operating costs'!$B$12/'Operating costs'!$B$11*60+'Operating costs'!$B$13+'Operating costs'!$B$14+V190*'Operating costs'!$B$47/(1-'Operating costs'!$B$44)/'Replacement plan'!$L$52*60,0)</f>
        <v>0</v>
      </c>
      <c r="AD190" s="1" t="str">
        <f>'Replacement plan'!$B$52</f>
        <v>ChengLong L2EV</v>
      </c>
      <c r="AE190" s="1">
        <f>IF(C190=0,0,VLOOKUP($A190,'Fleet register'!$A$7:$S$106,8,FALSE))</f>
        <v>0</v>
      </c>
      <c r="AF190" s="1" t="str">
        <f>IF('Replacement plan'!$H$52="","n.a.",'Replacement plan'!$H$52)</f>
        <v>n.a.</v>
      </c>
      <c r="AG190" s="1">
        <f>'Replacement plan'!$J$52</f>
        <v>22</v>
      </c>
      <c r="AH190" s="1">
        <f>IFERROR(IF(D190="EV",IF('Replacement plan'!$K$52="AC",IF(ISNUMBER(INDEX(Products!$G$7:$G$13,MATCH('Replacement plan'!$B$52,Products!$A$7:$A$13,0))),INDEX(Products!$G$7:$G$13,MATCH('Replacement plan'!$B$52,Products!$A$7:$A$13,0)),"n.a."),IF(ISNUMBER(INDEX(Products!$H$7:$H$13,MATCH('Replacement plan'!$B$52,Products!$A$7:$A$13,0))),INDEX(Products!$H$7:$H$13,MATCH('Replacement plan'!$B$52,Products!$A$7:$A$13,0)),"n.a.")),0),"n.a.")</f>
        <v>0</v>
      </c>
      <c r="AI190" s="1">
        <f>IF(AND(C190=1,D190="EV",E190&lt;120),(VLOOKUP($A190,'Fleet register'!$A$7:$S$106,7,FALSE)+IF(T190&gt;0,'Operating costs'!$B$12,0))*U190*(1-'Operating costs'!$B$44)+'Operating costs'!$B$49,0)</f>
        <v>0</v>
      </c>
      <c r="AJ190" s="1">
        <f>IF(D190="EV",'Energy and charging'!$C$50,0)</f>
        <v>0</v>
      </c>
      <c r="AK190" s="17">
        <f>EDATE('Operating costs'!$B$63,E190)</f>
        <v>46298</v>
      </c>
      <c r="AL190" s="1">
        <f>IFERROR(IF(D190="EV",INDEX(Products!$B$7:$B$13,MATCH('Replacement plan'!$B$52,Products!$A$7:$A$13,0)),0),"n.a.")</f>
        <v>0</v>
      </c>
      <c r="AM190" s="1" t="str">
        <f>'Replacement plan'!$K$52</f>
        <v>DC</v>
      </c>
      <c r="AN190" s="1" t="str">
        <f>'Replacement plan'!$AE$52</f>
        <v>Assumed</v>
      </c>
      <c r="AO190" s="47">
        <f>IF(AND(C190=1,D190="EV",E190&lt;120),(R190-'Operating costs'!$B$41)*S190+W190*'Operating costs'!$B$12,0)</f>
        <v>0</v>
      </c>
      <c r="AP190" s="41">
        <f>IF(AND(C190=1,D190="EV",E190&lt;120),IF('Operating costs'!$B$68="Hong Seh 200k average",AO190*IFERROR(INDEX(Products!$P$7:$P$13,MATCH(AD190,Products!$A$7:$A$13,0)),"n.a."),'Operating costs'!$B$26),0)</f>
        <v>0</v>
      </c>
      <c r="AQ190" s="40" t="str">
        <f>IF(D190="EV",'Operating costs'!$B$68,"Not applicable")</f>
        <v>Not applicable</v>
      </c>
    </row>
    <row r="191" spans="1:43" ht="24" customHeight="1">
      <c r="A191" s="1" t="str">
        <f>'Replacement plan'!A53</f>
        <v>T047</v>
      </c>
      <c r="B191" s="1">
        <v>0</v>
      </c>
      <c r="C191" s="1">
        <f>IF(COUNTIFS('Fleet register'!$A$7:$A$106,$A191)=1,VLOOKUP($A191,'Fleet register'!$A$7:$S$106,2,FALSE),0)</f>
        <v>0</v>
      </c>
      <c r="D191" s="1" t="str">
        <f>IF("Keep ICE"="EV","EV","ICE")</f>
        <v>ICE</v>
      </c>
      <c r="E191" s="1">
        <f>IF(C191=0,0,IF('Replacement plan'!$M$53="",VLOOKUP($A191,'Fleet register'!$A$7:$S$106,10,FALSE),'Replacement plan'!$M$53))</f>
        <v>0</v>
      </c>
      <c r="F191" s="16">
        <f>IF(C191=0,0,VLOOKUP($A191,'Fleet register'!$A$7:$S$106,11,FALSE))</f>
        <v>0</v>
      </c>
      <c r="G191" s="16">
        <f>IFERROR(IF(C191=0,0,IF(E191=120,0,IF(D191="ICE",'Replacement plan'!$C$53,IF('Replacement plan'!$D$53="",INDEX(Products!$I$7:$I$13,MATCH('Replacement plan'!$B$53,Products!$A$7:$A$13,0))+'Operating costs'!$B$57,'Replacement plan'!$D$53))*(1+'Operating costs'!$B$50)^(E191/12))),"n.a.")</f>
        <v>0</v>
      </c>
      <c r="H191" s="16">
        <f>IFERROR(IF(C191=0,0,IF(E191=0,F191,VLOOKUP($A191,'Fleet register'!$A$7:$S$106,12,FALSE)+VLOOKUP($A191,'Fleet register'!$A$7:$S$106,13,FALSE)*MAX(0,VLOOKUP($A191,'Fleet register'!$A$7:$S$106,10,FALSE)-E191)/VLOOKUP($A191,'Fleet register'!$A$7:$S$106,14,FALSE))),"n.a.")</f>
        <v>0</v>
      </c>
      <c r="I191" s="16">
        <f>IF(C191=0,0,IF(E191=120,0,'Replacement plan'!$N$53))</f>
        <v>0</v>
      </c>
      <c r="J191" s="16">
        <f>IF(C191=0,0,IF(P191="Complete",((S191*(R191-'Operating costs'!$B$39))+ROUNDUP(S191*(R191-'Operating costs'!$B$39)*IF('Replacement plan'!$AG$53="",'Operating costs'!$B$7,'Replacement plan'!$AG$53)/('Operating costs'!$B$8-'Operating costs'!$B$9*IF('Replacement plan'!$AG$53="",'Operating costs'!$B$7,'Replacement plan'!$AG$53)),0)*'Operating costs'!$B$9)*IF('Replacement plan'!$AG$53="",'Operating costs'!$B$7,'Replacement plan'!$AG$53)*('Energy and charging'!$B$9*'Energy and charging'!$B$7+(1-'Energy and charging'!$B$9)*'Energy and charging'!$B$8)*'Operating costs'!$B$23,"n.a."))</f>
        <v>0</v>
      </c>
      <c r="K191" s="16">
        <f>IF(C191=0,0,IF(P191="Complete",SUM('Operating costs'!$B$24,'Operating costs'!$B$27,'Operating costs'!$B$29,'Operating costs'!$B$31,'Operating costs'!$B$33,'Operating costs'!$B$34,'Operating costs'!$B$37,'Replacement plan'!$W$53)+'Operating costs'!$B$39*'Operating costs'!$B$42+ROUNDUP(S191*(R191-'Operating costs'!$B$39)*IF('Replacement plan'!$AG$53="",'Operating costs'!$B$7,'Replacement plan'!$AG$53)/('Operating costs'!$B$8-'Operating costs'!$B$9*IF('Replacement plan'!$AG$53="",'Operating costs'!$B$7,'Replacement plan'!$AG$53)),0)*('Operating costs'!$B$9/'Operating costs'!$B$11+'Operating costs'!$B$10/60)*'Operating costs'!$B$19*'Operating costs'!$B$21,"n.a."))</f>
        <v>0</v>
      </c>
      <c r="L191" s="16">
        <f>IF(C191=0,0,IF(P191="Complete",IF(D191="EV",X191*((1-T191)*'Energy and charging'!$B$10+T191*'Energy and charging'!$B$11)*'Operating costs'!$B$22,AA191*('Energy and charging'!$B$9*'Energy and charging'!$B$7+(1-'Energy and charging'!$B$9)*'Energy and charging'!$B$8)*'Operating costs'!$B$23),"n.a."))</f>
        <v>0</v>
      </c>
      <c r="M191" s="37">
        <f>IF(C191=0,0,IF(P191="Complete",IF(D191="ICE",SUM('Operating costs'!$B$25,'Operating costs'!$B$27,'Operating costs'!$B$29,'Operating costs'!$B$31,'Operating costs'!$B$33,'Operating costs'!$B$35,'Operating costs'!$B$37,'Replacement plan'!$X$53)+'Operating costs'!$B$40*'Operating costs'!$B$42+ROUNDUP(S191*(R191-'Operating costs'!$B$40)*IF('Replacement plan'!$AH$53="",'Operating costs'!$B$7,'Replacement plan'!$AH$53)/('Operating costs'!$B$8-'Operating costs'!$B$9*IF('Replacement plan'!$AH$53="",'Operating costs'!$B$7,'Replacement plan'!$AH$53)),0)*('Operating costs'!$B$9/'Operating costs'!$B$11+'Operating costs'!$B$10/60)*'Operating costs'!$B$19*'Operating costs'!$B$21,SUM(AP191,'Operating costs'!$B$28,'Operating costs'!$B$30,'Operating costs'!$B$32,'Operating costs'!$B$33,'Operating costs'!$B$36,'Operating costs'!$B$38,'Replacement plan'!$Y$53)+'Operating costs'!$B$41*'Operating costs'!$B$43+W191*'Operating costs'!$B$15+(T191*X191/'Replacement plan'!$L$53+W191*('Operating costs'!$B$12/'Operating costs'!$B$11+('Operating costs'!$B$13+'Operating costs'!$B$14)/60)+(R191-'Operating costs'!$B$41)*(IF(T191&lt;1,'Operating costs'!$B$16,0)+'Operating costs'!$B$17)/60)*'Operating costs'!$B$19*'Operating costs'!$B$20),"n.a."))</f>
        <v>0</v>
      </c>
      <c r="N191" s="16">
        <f>IF(AND(C191=1,D191="EV",E191&lt;120,E191+'Replacement plan'!$AA$53&lt;=120),'Replacement plan'!$Z$53,0)</f>
        <v>0</v>
      </c>
      <c r="O191" s="1">
        <f>E191+'Replacement plan'!$AA$53</f>
        <v>0</v>
      </c>
      <c r="P191" s="35" t="str">
        <f>IFERROR(IF(C191=0,"Excluded",IF(OR(COUNTIFS('Fleet register'!$A$7:$A$106,A191)&lt;&gt;1,COUNTIFS('Replacement plan'!$A$7:$A$106,A191)&lt;&gt;1),"Duplicate/missing ID",IF(NOT(AND(ISNUMBER(VLOOKUP($A191,'Fleet register'!$A$7:$S$106,5,FALSE)),ISNUMBER(VLOOKUP($A191,'Fleet register'!$A$7:$S$106,6,FALSE)),ISNUMBER(VLOOKUP($A191,'Fleet register'!$A$7:$S$106,10,FALSE)),ISNUMBER(VLOOKUP($A191,'Fleet register'!$A$7:$S$106,11,FALSE)),ISNUMBER(VLOOKUP($A191,'Fleet register'!$A$7:$S$106,12,FALSE)),ISNUMBER(VLOOKUP($A191,'Fleet register'!$A$7:$S$106,13,FALSE)),ISNUMBER(VLOOKUP($A191,'Fleet register'!$A$7:$S$106,14,FALSE)),VLOOKUP($A191,'Fleet register'!$A$7:$S$106,14,FALSE)&gt;0,ISNUMBER('Replacement plan'!$C$53),OR(E191=120,ISNUMBER('Replacement plan'!$N$53)),ISNUMBER(E191))),"Missing vehicle input",IF(OR(E191&lt;0,E191&gt;VLOOKUP($A191,'Fleet register'!$A$7:$S$106,10,FALSE),E191&gt;120,E191&lt;&gt;INT(E191),VLOOKUP($A191,'Fleet register'!$A$7:$S$106,6,FALSE)&lt;=0,VLOOKUP($A191,'Fleet register'!$A$7:$S$106,6,FALSE)&gt;366,VLOOKUP($A191,'Fleet register'!$A$7:$S$106,5,FALSE)&lt;0,VLOOKUP($A191,'Fleet register'!$A$7:$S$106,11,FALSE)&lt;0,I191&lt;0,'Operating costs'!$B$8&lt;='Operating costs'!$B$7*'Operating costs'!$B$9,'Operating costs'!$B$11&lt;=0,'Operating costs'!$B$39&gt;R191,'Operating costs'!$B$40&gt;R191,'Operating costs'!$B$41&gt;R191,NOT(OR("Keep ICE"="Keep ICE","Keep ICE"="New ICE","Keep ICE"="EV"))),"Invalid vehicle input",IF(AND(D191="EV",E191&lt;120,OR(NOT(ISNUMBER(U191)),NOT(ISNUMBER(V191)),V191&lt;=0,T191&lt;0,T191&gt;1,'Replacement plan'!$L$53&lt;=0,'Operating costs'!$B$44&lt;0,'Operating costs'!$B$44&gt;=1,'Operating costs'!$B$47&lt;=0,'Operating costs'!$B$47&gt;1,V191*'Operating costs'!$B$47/(1-'Operating costs'!$B$44)&lt;=T191*'Operating costs'!$B$12*U191,AND('Replacement plan'!$Z$53&gt;0,OR('Replacement plan'!$AB$53&lt;&gt;"Yes",'Operating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charging'!$B$8&gt;=0))),ISNUMBER(VLOOKUP($A191,'Fleet register'!$A$7:$S$106,15,FALSE)),ISNUMBER(VLOOKUP($A191,'Fleet register'!$A$7:$S$106,16,FALSE)),ISNUMBER('Replacement plan'!$W$53),ISNUMBER('Replacement plan'!$X$53),OR(E191=120,AND(ISNUMBER(G191),G191&gt;=0)),ISNUMBER(H191),H191&gt;=0,OR(D191&lt;&gt;"EV",E191=120,AND(ISNUMBER('Operating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average",ISNUMBER(IFERROR(INDEX(Products!$P$7:$P$13,MATCH(AD191,Products!$A$7:$A$13,0)),"")))),ISNUMBER('Operating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plan'!$Y$53),ISNUMBER('Replacement plan'!$Z$53),'Replacement plan'!$Z$53&gt;=0,ISNUMBER('Replacement plan'!$AA$53),'Replacement plan'!$AA$53&gt;=0,'Replacement plan'!$AA$53=INT('Replacement plan'!$AA$53),ISNUMBER('Replacement plan'!$L$53))),'Operating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plan'!$AG$53="",'Operating costs'!$B$7,'Replacement plan'!$AG$53)),IF('Replacement plan'!$AG$53="",'Operating costs'!$B$7,'Replacement plan'!$AG$53)&gt;=0,ISNUMBER(IF('Replacement plan'!$AH$53="",'Operating costs'!$B$7,'Replacement plan'!$AH$53)),IF('Replacement plan'!$AH$53="",'Operating costs'!$B$7,'Replacement plan'!$AH$53)&gt;=0,'Operating costs'!$B$8&gt;MAX(IF('Replacement plan'!$AG$53="",'Operating costs'!$B$7,'Replacement plan'!$AG$53),IF('Replacement plan'!$AH$53="",'Operating costs'!$B$7,'Replacement plan'!$AH$53))*'Operating costs'!$B$9),IF(AND(VLOOKUP($A191,'Fleet register'!$A$7:$S$106,10,FALSE)&gt;=0,VLOOKUP($A191,'Fleet register'!$A$7:$S$106,10,FALSE)&lt;=120,VLOOKUP($A191,'Fleet register'!$A$7:$S$106,10,FALSE)=INT(VLOOKUP($A191,'Fleet register'!$A$7:$S$106,10,FALSE)),VLOOKUP($A191,'Fleet register'!$A$7:$S$106,15,FALSE)&gt;=0,VLOOKUP($A191,'Fleet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costs'!$B$67)&gt;=0,OR(D191&lt;&gt;"EV",E191=120,AND(MIN('Operating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91" s="1" t="str">
        <f>IF(C191=0,"Excluded",IF(P191&lt;&gt;"Complete",P191,IF(OR('Replacement plan'!$AD$53&lt;120-E191,AND(D191="EV",E191&lt;120,OR('Replacement plan'!$AC$53&lt;120-E191,'Replacement plan'!$I$53="No",AND(ISNUMBER(AF191),AE191&gt;AF191),AI191&gt;V191*(1-'Operating costs'!$B$46)^MAX(0,AB191-1)*(1-'Operating costs'!$B$45),AC191&gt;'Operating costs'!$B$18,AND(T191&lt;1,OR(AG191&lt;=0,AND(ISNUMBER(AH191),AG191&gt;AH191))),'Replacement plan'!$L$53&gt;INDEX(Products!$H$7:$H$13,MATCH('Replacement plan'!$B$53,Products!$A$7:$A$13,0))))),"Fails entered limits",IF(AND(D191="EV",E191&lt;120,OR(NOT(ISNUMBER(VLOOKUP($A191,'Fleet register'!$A$7:$S$106,7,FALSE))),NOT(ISNUMBER(VLOOKUP($A191,'Fleet register'!$A$7:$S$106,8,FALSE))),NOT(ISNUMBER(AF191)),'Replacement plan'!$I$53&lt;&gt;"Yes",NOT(ISNUMBER(AH191)),'Operating costs'!$B$59&lt;&gt;"Yes",'Operating costs'!$B$58&lt;&gt;"Yes")),"Unverified","Within entered limits"))))</f>
        <v>Excluded</v>
      </c>
      <c r="R191" s="1">
        <f>IF(C191=0,0,VLOOKUP($A191,'Fleet register'!$A$7:$S$106,6,FALSE))</f>
        <v>0</v>
      </c>
      <c r="S191" s="1">
        <f>IF(C191=0,0,VLOOKUP($A191,'Fleet register'!$A$7:$S$106,5,FALSE))</f>
        <v>0</v>
      </c>
      <c r="T191" s="1">
        <f>IF(D191="EV",'Energy and charging'!$B$12,0)</f>
        <v>0</v>
      </c>
      <c r="U191" s="1">
        <f>IFERROR(IF(C191=0,0,IF(D191="EV",IF('Replacement plan'!$F$53="",INDEX(Products!$E$7:$E$13,MATCH('Replacement plan'!$B$53,Products!$A$7:$A$13,0)),'Replacement plan'!$F$53)/IF('Replacement plan'!$G$53="Battery",1-'Operating costs'!$B$44,1),0)),"n.a.")</f>
        <v>0</v>
      </c>
      <c r="V191" s="1">
        <f>IFERROR(IF(C191=0,0,IF(D191="EV",IF('Replacement plan'!$E$53="",INDEX(Products!$D$7:$D$13,MATCH('Replacement plan'!$B$53,Products!$A$7:$A$13,0)),'Replacement plan'!$E$53),0)),"n.a.")</f>
        <v>0</v>
      </c>
      <c r="W191" s="1">
        <f>IF(C191=0,0,IF(AND(P191="Complete",D191="EV",E191&lt;120),IF(T191=0,0,ROUNDUP(T191*(R191-'Operating costs'!$B$41)*(S191*U191+'Operating costs'!$B$48/(1-'Operating costs'!$B$44))/(V191*'Operating costs'!$B$47/(1-'Operating costs'!$B$44)-T191*'Operating costs'!$B$12*U191),0)),0))</f>
        <v>0</v>
      </c>
      <c r="X191" s="1">
        <f>IF(C191=0,0,IF(AND(P191="Complete",D191="EV",E191&lt;120),(R191-'Operating costs'!$B$41)*(S191*U191+'Operating costs'!$B$48/(1-'Operating costs'!$B$44))+W191*'Operating costs'!$B$12*U191,0))</f>
        <v>0</v>
      </c>
      <c r="Y191" s="1">
        <f>IF(AND(C191=1,D191="EV",E191&lt;120),AI191/(1-'Operating costs'!$B$44)*(1-T191),0)</f>
        <v>0</v>
      </c>
      <c r="Z191" s="1">
        <f t="shared" si="4"/>
        <v>0</v>
      </c>
      <c r="AA191" s="1">
        <f>IF(C191=0,0,IF(P191="Complete",((S191*(R191-'Operating costs'!$B$40))+ROUNDUP(S191*(R191-'Operating costs'!$B$40)*IF('Replacement plan'!$AH$53="",'Operating costs'!$B$7,'Replacement plan'!$AH$53)/('Operating costs'!$B$8-'Operating costs'!$B$9*IF('Replacement plan'!$AH$53="",'Operating costs'!$B$7,'Replacement plan'!$AH$53)),0)*'Operating costs'!$B$9)*IF('Replacement plan'!$AH$53="",'Operating costs'!$B$7,'Replacement plan'!$AH$53),"n.a."))</f>
        <v>0</v>
      </c>
      <c r="AB191" s="1">
        <f t="shared" si="5"/>
        <v>0</v>
      </c>
      <c r="AC191" s="1">
        <f>IF(AND(C191=1,D191="EV",E191&lt;120,T191&gt;0),'Operating costs'!$B$12/'Operating costs'!$B$11*60+'Operating costs'!$B$13+'Operating costs'!$B$14+V191*'Operating costs'!$B$47/(1-'Operating costs'!$B$44)/'Replacement plan'!$L$53*60,0)</f>
        <v>0</v>
      </c>
      <c r="AD191" s="1" t="str">
        <f>'Replacement plan'!$B$53</f>
        <v>ChengLong L2EV</v>
      </c>
      <c r="AE191" s="1">
        <f>IF(C191=0,0,VLOOKUP($A191,'Fleet register'!$A$7:$S$106,8,FALSE))</f>
        <v>0</v>
      </c>
      <c r="AF191" s="1" t="str">
        <f>IF('Replacement plan'!$H$53="","n.a.",'Replacement plan'!$H$53)</f>
        <v>n.a.</v>
      </c>
      <c r="AG191" s="1">
        <f>'Replacement plan'!$J$53</f>
        <v>22</v>
      </c>
      <c r="AH191" s="1">
        <f>IFERROR(IF(D191="EV",IF('Replacement plan'!$K$53="AC",IF(ISNUMBER(INDEX(Products!$G$7:$G$13,MATCH('Replacement plan'!$B$53,Products!$A$7:$A$13,0))),INDEX(Products!$G$7:$G$13,MATCH('Replacement plan'!$B$53,Products!$A$7:$A$13,0)),"n.a."),IF(ISNUMBER(INDEX(Products!$H$7:$H$13,MATCH('Replacement plan'!$B$53,Products!$A$7:$A$13,0))),INDEX(Products!$H$7:$H$13,MATCH('Replacement plan'!$B$53,Products!$A$7:$A$13,0)),"n.a.")),0),"n.a.")</f>
        <v>0</v>
      </c>
      <c r="AI191" s="1">
        <f>IF(AND(C191=1,D191="EV",E191&lt;120),(VLOOKUP($A191,'Fleet register'!$A$7:$S$106,7,FALSE)+IF(T191&gt;0,'Operating costs'!$B$12,0))*U191*(1-'Operating costs'!$B$44)+'Operating costs'!$B$49,0)</f>
        <v>0</v>
      </c>
      <c r="AJ191" s="1">
        <f>IF(D191="EV",'Energy and charging'!$B$50,0)</f>
        <v>0</v>
      </c>
      <c r="AK191" s="17">
        <f>EDATE('Operating costs'!$B$63,E191)</f>
        <v>46298</v>
      </c>
      <c r="AL191" s="1">
        <f>IFERROR(IF(D191="EV",INDEX(Products!$B$7:$B$13,MATCH('Replacement plan'!$B$53,Products!$A$7:$A$13,0)),0),"n.a.")</f>
        <v>0</v>
      </c>
      <c r="AM191" s="1" t="str">
        <f>'Replacement plan'!$K$53</f>
        <v>DC</v>
      </c>
      <c r="AN191" s="1" t="str">
        <f>'Replacement plan'!$AE$53</f>
        <v>Assumed</v>
      </c>
      <c r="AO191" s="47">
        <f>IF(AND(C191=1,D191="EV",E191&lt;120),(R191-'Operating costs'!$B$41)*S191+W191*'Operating costs'!$B$12,0)</f>
        <v>0</v>
      </c>
      <c r="AP191" s="41">
        <f>IF(AND(C191=1,D191="EV",E191&lt;120),IF('Operating costs'!$B$68="Hong Seh 200k average",AO191*IFERROR(INDEX(Products!$P$7:$P$13,MATCH(AD191,Products!$A$7:$A$13,0)),"n.a."),'Operating costs'!$B$26),0)</f>
        <v>0</v>
      </c>
      <c r="AQ191" s="40" t="str">
        <f>IF(D191="EV",'Operating costs'!$B$68,"Not applicable")</f>
        <v>Not applicable</v>
      </c>
    </row>
    <row r="192" spans="1:43" ht="24" customHeight="1">
      <c r="A192" s="1" t="str">
        <f>'Replacement plan'!A53</f>
        <v>T047</v>
      </c>
      <c r="B192" s="1">
        <v>1</v>
      </c>
      <c r="C192" s="1">
        <f>IF(COUNTIFS('Fleet register'!$A$7:$A$106,$A192)=1,VLOOKUP($A192,'Fleet register'!$A$7:$S$106,2,FALSE),0)</f>
        <v>0</v>
      </c>
      <c r="D192" s="1" t="str">
        <f>IF("New ICE"="EV","EV","ICE")</f>
        <v>ICE</v>
      </c>
      <c r="E192" s="1">
        <f>IF(C192=0,0,0)</f>
        <v>0</v>
      </c>
      <c r="F192" s="16">
        <f>IF(C192=0,0,VLOOKUP($A192,'Fleet register'!$A$7:$S$106,11,FALSE))</f>
        <v>0</v>
      </c>
      <c r="G192" s="16">
        <f>IFERROR(IF(C192=0,0,IF(E192=120,0,IF(D192="ICE",'Replacement plan'!$C$53,IF('Replacement plan'!$D$53="",INDEX(Products!$I$7:$I$13,MATCH('Replacement plan'!$B$53,Products!$A$7:$A$13,0))+'Operating costs'!$B$57,'Replacement plan'!$D$53))*(1+'Operating costs'!$B$50)^(E192/12))),"n.a.")</f>
        <v>0</v>
      </c>
      <c r="H192" s="16">
        <f>IFERROR(IF(C192=0,0,IF(E192=0,F192,VLOOKUP($A192,'Fleet register'!$A$7:$S$106,12,FALSE)+VLOOKUP($A192,'Fleet register'!$A$7:$S$106,13,FALSE)*MAX(0,VLOOKUP($A192,'Fleet register'!$A$7:$S$106,10,FALSE)-E192)/VLOOKUP($A192,'Fleet register'!$A$7:$S$106,14,FALSE))),"n.a.")</f>
        <v>0</v>
      </c>
      <c r="I192" s="16">
        <f>IF(C192=0,0,IF(E192=120,0,IF('Replacement plan'!$AI$53="",'Operating costs'!$B$56,'Replacement plan'!$AI$53)))</f>
        <v>0</v>
      </c>
      <c r="J192" s="16">
        <f>IF(C192=0,0,IF(P192="Complete",((S192*(R192-'Operating costs'!$B$39))+ROUNDUP(S192*(R192-'Operating costs'!$B$39)*IF('Replacement plan'!$AG$53="",'Operating costs'!$B$7,'Replacement plan'!$AG$53)/('Operating costs'!$B$8-'Operating costs'!$B$9*IF('Replacement plan'!$AG$53="",'Operating costs'!$B$7,'Replacement plan'!$AG$53)),0)*'Operating costs'!$B$9)*IF('Replacement plan'!$AG$53="",'Operating costs'!$B$7,'Replacement plan'!$AG$53)*('Energy and charging'!$B$9*'Energy and charging'!$B$7+(1-'Energy and charging'!$B$9)*'Energy and charging'!$B$8)*'Operating costs'!$B$23,"n.a."))</f>
        <v>0</v>
      </c>
      <c r="K192" s="16">
        <f>IF(C192=0,0,IF(P192="Complete",SUM('Operating costs'!$B$24,'Operating costs'!$B$27,'Operating costs'!$B$29,'Operating costs'!$B$31,'Operating costs'!$B$33,'Operating costs'!$B$34,'Operating costs'!$B$37,'Replacement plan'!$W$53)+'Operating costs'!$B$39*'Operating costs'!$B$42+ROUNDUP(S192*(R192-'Operating costs'!$B$39)*IF('Replacement plan'!$AG$53="",'Operating costs'!$B$7,'Replacement plan'!$AG$53)/('Operating costs'!$B$8-'Operating costs'!$B$9*IF('Replacement plan'!$AG$53="",'Operating costs'!$B$7,'Replacement plan'!$AG$53)),0)*('Operating costs'!$B$9/'Operating costs'!$B$11+'Operating costs'!$B$10/60)*'Operating costs'!$B$19*'Operating costs'!$B$21,"n.a."))</f>
        <v>0</v>
      </c>
      <c r="L192" s="16">
        <f>IF(C192=0,0,IF(P192="Complete",IF(D192="EV",X192*((1-T192)*'Energy and charging'!$B$10+T192*'Energy and charging'!$B$11)*'Operating costs'!$B$22,AA192*('Energy and charging'!$B$9*'Energy and charging'!$B$7+(1-'Energy and charging'!$B$9)*'Energy and charging'!$B$8)*'Operating costs'!$B$23),"n.a."))</f>
        <v>0</v>
      </c>
      <c r="M192" s="37">
        <f>IF(C192=0,0,IF(P192="Complete",IF(D192="ICE",SUM('Operating costs'!$B$25,'Operating costs'!$B$27,'Operating costs'!$B$29,'Operating costs'!$B$31,'Operating costs'!$B$33,'Operating costs'!$B$35,'Operating costs'!$B$37,'Replacement plan'!$X$53)+'Operating costs'!$B$40*'Operating costs'!$B$42+ROUNDUP(S192*(R192-'Operating costs'!$B$40)*IF('Replacement plan'!$AH$53="",'Operating costs'!$B$7,'Replacement plan'!$AH$53)/('Operating costs'!$B$8-'Operating costs'!$B$9*IF('Replacement plan'!$AH$53="",'Operating costs'!$B$7,'Replacement plan'!$AH$53)),0)*('Operating costs'!$B$9/'Operating costs'!$B$11+'Operating costs'!$B$10/60)*'Operating costs'!$B$19*'Operating costs'!$B$21,SUM(AP192,'Operating costs'!$B$28,'Operating costs'!$B$30,'Operating costs'!$B$32,'Operating costs'!$B$33,'Operating costs'!$B$36,'Operating costs'!$B$38,'Replacement plan'!$Y$53)+'Operating costs'!$B$41*'Operating costs'!$B$43+W192*'Operating costs'!$B$15+(T192*X192/'Replacement plan'!$L$53+W192*('Operating costs'!$B$12/'Operating costs'!$B$11+('Operating costs'!$B$13+'Operating costs'!$B$14)/60)+(R192-'Operating costs'!$B$41)*(IF(T192&lt;1,'Operating costs'!$B$16,0)+'Operating costs'!$B$17)/60)*'Operating costs'!$B$19*'Operating costs'!$B$20),"n.a."))</f>
        <v>0</v>
      </c>
      <c r="N192" s="16">
        <f>IF(AND(C192=1,D192="EV",E192&lt;120,E192+'Replacement plan'!$AA$53&lt;=120),'Replacement plan'!$Z$53,0)</f>
        <v>0</v>
      </c>
      <c r="O192" s="1">
        <f>E192+'Replacement plan'!$AA$53</f>
        <v>0</v>
      </c>
      <c r="P192" s="35" t="str">
        <f>IFERROR(IF(C192=0,"Excluded",IF(OR(COUNTIFS('Fleet register'!$A$7:$A$106,A192)&lt;&gt;1,COUNTIFS('Replacement plan'!$A$7:$A$106,A192)&lt;&gt;1),"Duplicate/missing ID",IF(NOT(AND(ISNUMBER(VLOOKUP($A192,'Fleet register'!$A$7:$S$106,5,FALSE)),ISNUMBER(VLOOKUP($A192,'Fleet register'!$A$7:$S$106,6,FALSE)),ISNUMBER(VLOOKUP($A192,'Fleet register'!$A$7:$S$106,10,FALSE)),ISNUMBER(VLOOKUP($A192,'Fleet register'!$A$7:$S$106,11,FALSE)),ISNUMBER(VLOOKUP($A192,'Fleet register'!$A$7:$S$106,12,FALSE)),ISNUMBER(VLOOKUP($A192,'Fleet register'!$A$7:$S$106,13,FALSE)),ISNUMBER(VLOOKUP($A192,'Fleet register'!$A$7:$S$106,14,FALSE)),VLOOKUP($A192,'Fleet register'!$A$7:$S$106,14,FALSE)&gt;0,ISNUMBER('Replacement plan'!$C$53),OR(E192=120,OR(ISNUMBER('Replacement plan'!$AI$53),AND('Replacement plan'!$AI$53="",ISNUMBER('Operating costs'!$B$56)))),ISNUMBER(E192))),"Missing vehicle input",IF(OR(E192&lt;0,E192&gt;VLOOKUP($A192,'Fleet register'!$A$7:$S$106,10,FALSE),E192&gt;120,E192&lt;&gt;INT(E192),VLOOKUP($A192,'Fleet register'!$A$7:$S$106,6,FALSE)&lt;=0,VLOOKUP($A192,'Fleet register'!$A$7:$S$106,6,FALSE)&gt;366,VLOOKUP($A192,'Fleet register'!$A$7:$S$106,5,FALSE)&lt;0,VLOOKUP($A192,'Fleet register'!$A$7:$S$106,11,FALSE)&lt;0,I192&lt;0,'Operating costs'!$B$8&lt;='Operating costs'!$B$7*'Operating costs'!$B$9,'Operating costs'!$B$11&lt;=0,'Operating costs'!$B$39&gt;R192,'Operating costs'!$B$40&gt;R192,'Operating costs'!$B$41&gt;R192,NOT(OR("New ICE"="Keep ICE","New ICE"="New ICE","New ICE"="EV"))),"Invalid vehicle input",IF(AND(D192="EV",E192&lt;120,OR(NOT(ISNUMBER(U192)),NOT(ISNUMBER(V192)),V192&lt;=0,T192&lt;0,T192&gt;1,'Replacement plan'!$L$53&lt;=0,'Operating costs'!$B$44&lt;0,'Operating costs'!$B$44&gt;=1,'Operating costs'!$B$47&lt;=0,'Operating costs'!$B$47&gt;1,V192*'Operating costs'!$B$47/(1-'Operating costs'!$B$44)&lt;=T192*'Operating costs'!$B$12*U192,AND('Replacement plan'!$Z$53&gt;0,OR('Replacement plan'!$AB$53&lt;&gt;"Yes",'Operating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charging'!$B$8&gt;=0))),ISNUMBER(VLOOKUP($A192,'Fleet register'!$A$7:$S$106,15,FALSE)),ISNUMBER(VLOOKUP($A192,'Fleet register'!$A$7:$S$106,16,FALSE)),ISNUMBER('Replacement plan'!$W$53),ISNUMBER('Replacement plan'!$X$53),OR(E192=120,AND(ISNUMBER(G192),G192&gt;=0)),ISNUMBER(H192),H192&gt;=0,OR(D192&lt;&gt;"EV",E192=120,AND(ISNUMBER('Operating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average",ISNUMBER(IFERROR(INDEX(Products!$P$7:$P$13,MATCH(AD192,Products!$A$7:$A$13,0)),"")))),ISNUMBER('Operating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plan'!$Y$53),ISNUMBER('Replacement plan'!$Z$53),'Replacement plan'!$Z$53&gt;=0,ISNUMBER('Replacement plan'!$AA$53),'Replacement plan'!$AA$53&gt;=0,'Replacement plan'!$AA$53=INT('Replacement plan'!$AA$53),ISNUMBER('Replacement plan'!$L$53))),'Operating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plan'!$AG$53="",'Operating costs'!$B$7,'Replacement plan'!$AG$53)),IF('Replacement plan'!$AG$53="",'Operating costs'!$B$7,'Replacement plan'!$AG$53)&gt;=0,ISNUMBER(IF('Replacement plan'!$AH$53="",'Operating costs'!$B$7,'Replacement plan'!$AH$53)),IF('Replacement plan'!$AH$53="",'Operating costs'!$B$7,'Replacement plan'!$AH$53)&gt;=0,'Operating costs'!$B$8&gt;MAX(IF('Replacement plan'!$AG$53="",'Operating costs'!$B$7,'Replacement plan'!$AG$53),IF('Replacement plan'!$AH$53="",'Operating costs'!$B$7,'Replacement plan'!$AH$53))*'Operating costs'!$B$9),IF(AND(VLOOKUP($A192,'Fleet register'!$A$7:$S$106,10,FALSE)&gt;=0,VLOOKUP($A192,'Fleet register'!$A$7:$S$106,10,FALSE)&lt;=120,VLOOKUP($A192,'Fleet register'!$A$7:$S$106,10,FALSE)=INT(VLOOKUP($A192,'Fleet register'!$A$7:$S$106,10,FALSE)),VLOOKUP($A192,'Fleet register'!$A$7:$S$106,15,FALSE)&gt;=0,VLOOKUP($A192,'Fleet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costs'!$B$67)&gt;=0,OR(D192&lt;&gt;"EV",E192=120,AND(MIN('Operating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92" s="1" t="str">
        <f>IF(C192=0,"Excluded",IF(P192&lt;&gt;"Complete",P192,IF(OR('Replacement plan'!$AD$53&lt;120-E192,AND(D192="EV",E192&lt;120,OR('Replacement plan'!$AC$53&lt;120-E192,'Replacement plan'!$I$53="No",AND(ISNUMBER(AF192),AE192&gt;AF192),AI192&gt;V192*(1-'Operating costs'!$B$46)^MAX(0,AB192-1)*(1-'Operating costs'!$B$45),AC192&gt;'Operating costs'!$B$18,AND(T192&lt;1,OR(AG192&lt;=0,AND(ISNUMBER(AH192),AG192&gt;AH192))),'Replacement plan'!$L$53&gt;INDEX(Products!$H$7:$H$13,MATCH('Replacement plan'!$B$53,Products!$A$7:$A$13,0))))),"Fails entered limits",IF(AND(D192="EV",E192&lt;120,OR(NOT(ISNUMBER(VLOOKUP($A192,'Fleet register'!$A$7:$S$106,7,FALSE))),NOT(ISNUMBER(VLOOKUP($A192,'Fleet register'!$A$7:$S$106,8,FALSE))),NOT(ISNUMBER(AF192)),'Replacement plan'!$I$53&lt;&gt;"Yes",NOT(ISNUMBER(AH192)),'Operating costs'!$B$59&lt;&gt;"Yes",'Operating costs'!$B$58&lt;&gt;"Yes")),"Unverified","Within entered limits"))))</f>
        <v>Excluded</v>
      </c>
      <c r="R192" s="1">
        <f>IF(C192=0,0,VLOOKUP($A192,'Fleet register'!$A$7:$S$106,6,FALSE))</f>
        <v>0</v>
      </c>
      <c r="S192" s="1">
        <f>IF(C192=0,0,VLOOKUP($A192,'Fleet register'!$A$7:$S$106,5,FALSE))</f>
        <v>0</v>
      </c>
      <c r="T192" s="1">
        <f>IF(D192="EV",'Energy and charging'!$B$12,0)</f>
        <v>0</v>
      </c>
      <c r="U192" s="1">
        <f>IFERROR(IF(C192=0,0,IF(D192="EV",IF('Replacement plan'!$F$53="",INDEX(Products!$E$7:$E$13,MATCH('Replacement plan'!$B$53,Products!$A$7:$A$13,0)),'Replacement plan'!$F$53)/IF('Replacement plan'!$G$53="Battery",1-'Operating costs'!$B$44,1),0)),"n.a.")</f>
        <v>0</v>
      </c>
      <c r="V192" s="1">
        <f>IFERROR(IF(C192=0,0,IF(D192="EV",IF('Replacement plan'!$E$53="",INDEX(Products!$D$7:$D$13,MATCH('Replacement plan'!$B$53,Products!$A$7:$A$13,0)),'Replacement plan'!$E$53),0)),"n.a.")</f>
        <v>0</v>
      </c>
      <c r="W192" s="1">
        <f>IF(C192=0,0,IF(AND(P192="Complete",D192="EV",E192&lt;120),IF(T192=0,0,ROUNDUP(T192*(R192-'Operating costs'!$B$41)*(S192*U192+'Operating costs'!$B$48/(1-'Operating costs'!$B$44))/(V192*'Operating costs'!$B$47/(1-'Operating costs'!$B$44)-T192*'Operating costs'!$B$12*U192),0)),0))</f>
        <v>0</v>
      </c>
      <c r="X192" s="1">
        <f>IF(C192=0,0,IF(AND(P192="Complete",D192="EV",E192&lt;120),(R192-'Operating costs'!$B$41)*(S192*U192+'Operating costs'!$B$48/(1-'Operating costs'!$B$44))+W192*'Operating costs'!$B$12*U192,0))</f>
        <v>0</v>
      </c>
      <c r="Y192" s="1">
        <f>IF(AND(C192=1,D192="EV",E192&lt;120),AI192/(1-'Operating costs'!$B$44)*(1-T192),0)</f>
        <v>0</v>
      </c>
      <c r="Z192" s="1">
        <f t="shared" si="4"/>
        <v>0</v>
      </c>
      <c r="AA192" s="1">
        <f>IF(C192=0,0,IF(P192="Complete",((S192*(R192-'Operating costs'!$B$40))+ROUNDUP(S192*(R192-'Operating costs'!$B$40)*IF('Replacement plan'!$AH$53="",'Operating costs'!$B$7,'Replacement plan'!$AH$53)/('Operating costs'!$B$8-'Operating costs'!$B$9*IF('Replacement plan'!$AH$53="",'Operating costs'!$B$7,'Replacement plan'!$AH$53)),0)*'Operating costs'!$B$9)*IF('Replacement plan'!$AH$53="",'Operating costs'!$B$7,'Replacement plan'!$AH$53),"n.a."))</f>
        <v>0</v>
      </c>
      <c r="AB192" s="1">
        <f t="shared" si="5"/>
        <v>0</v>
      </c>
      <c r="AC192" s="1">
        <f>IF(AND(C192=1,D192="EV",E192&lt;120,T192&gt;0),'Operating costs'!$B$12/'Operating costs'!$B$11*60+'Operating costs'!$B$13+'Operating costs'!$B$14+V192*'Operating costs'!$B$47/(1-'Operating costs'!$B$44)/'Replacement plan'!$L$53*60,0)</f>
        <v>0</v>
      </c>
      <c r="AD192" s="1" t="str">
        <f>'Replacement plan'!$B$53</f>
        <v>ChengLong L2EV</v>
      </c>
      <c r="AE192" s="1">
        <f>IF(C192=0,0,VLOOKUP($A192,'Fleet register'!$A$7:$S$106,8,FALSE))</f>
        <v>0</v>
      </c>
      <c r="AF192" s="1" t="str">
        <f>IF('Replacement plan'!$H$53="","n.a.",'Replacement plan'!$H$53)</f>
        <v>n.a.</v>
      </c>
      <c r="AG192" s="1">
        <f>'Replacement plan'!$J$53</f>
        <v>22</v>
      </c>
      <c r="AH192" s="1">
        <f>IFERROR(IF(D192="EV",IF('Replacement plan'!$K$53="AC",IF(ISNUMBER(INDEX(Products!$G$7:$G$13,MATCH('Replacement plan'!$B$53,Products!$A$7:$A$13,0))),INDEX(Products!$G$7:$G$13,MATCH('Replacement plan'!$B$53,Products!$A$7:$A$13,0)),"n.a."),IF(ISNUMBER(INDEX(Products!$H$7:$H$13,MATCH('Replacement plan'!$B$53,Products!$A$7:$A$13,0))),INDEX(Products!$H$7:$H$13,MATCH('Replacement plan'!$B$53,Products!$A$7:$A$13,0)),"n.a.")),0),"n.a.")</f>
        <v>0</v>
      </c>
      <c r="AI192" s="1">
        <f>IF(AND(C192=1,D192="EV",E192&lt;120),(VLOOKUP($A192,'Fleet register'!$A$7:$S$106,7,FALSE)+IF(T192&gt;0,'Operating costs'!$B$12,0))*U192*(1-'Operating costs'!$B$44)+'Operating costs'!$B$49,0)</f>
        <v>0</v>
      </c>
      <c r="AJ192" s="1">
        <f>IF(D192="EV",'Energy and charging'!$B$50,0)</f>
        <v>0</v>
      </c>
      <c r="AK192" s="17">
        <f>EDATE('Operating costs'!$B$63,E192)</f>
        <v>46298</v>
      </c>
      <c r="AL192" s="1">
        <f>IFERROR(IF(D192="EV",INDEX(Products!$B$7:$B$13,MATCH('Replacement plan'!$B$53,Products!$A$7:$A$13,0)),0),"n.a.")</f>
        <v>0</v>
      </c>
      <c r="AM192" s="1" t="str">
        <f>'Replacement plan'!$K$53</f>
        <v>DC</v>
      </c>
      <c r="AN192" s="1" t="str">
        <f>'Replacement plan'!$AE$53</f>
        <v>Assumed</v>
      </c>
      <c r="AO192" s="47">
        <f>IF(AND(C192=1,D192="EV",E192&lt;120),(R192-'Operating costs'!$B$41)*S192+W192*'Operating costs'!$B$12,0)</f>
        <v>0</v>
      </c>
      <c r="AP192" s="41">
        <f>IF(AND(C192=1,D192="EV",E192&lt;120),IF('Operating costs'!$B$68="Hong Seh 200k average",AO192*IFERROR(INDEX(Products!$P$7:$P$13,MATCH(AD192,Products!$A$7:$A$13,0)),"n.a."),'Operating costs'!$B$26),0)</f>
        <v>0</v>
      </c>
      <c r="AQ192" s="40" t="str">
        <f>IF(D192="EV",'Operating costs'!$B$68,"Not applicable")</f>
        <v>Not applicable</v>
      </c>
    </row>
    <row r="193" spans="1:43" ht="24" customHeight="1">
      <c r="A193" s="1" t="str">
        <f>'Replacement plan'!A53</f>
        <v>T047</v>
      </c>
      <c r="B193" s="1">
        <v>2</v>
      </c>
      <c r="C193" s="1">
        <f>IF(COUNTIFS('Fleet register'!$A$7:$A$106,$A193)=1,VLOOKUP($A193,'Fleet register'!$A$7:$S$106,2,FALSE),0)</f>
        <v>0</v>
      </c>
      <c r="D193" s="1" t="str">
        <f>IF('Replacement plan'!$O$53="EV","EV","ICE")</f>
        <v>ICE</v>
      </c>
      <c r="E193" s="1">
        <f>IF(C193=0,0,IF('Replacement plan'!$P$53="",IF('Replacement plan'!$O$53="Keep ICE",IF('Replacement plan'!$M$53="",VLOOKUP($A193,'Fleet register'!$A$7:$S$106,10,FALSE),'Replacement plan'!$M$53),0),'Replacement plan'!$P$53))</f>
        <v>0</v>
      </c>
      <c r="F193" s="16">
        <f>IF(C193=0,0,VLOOKUP($A193,'Fleet register'!$A$7:$S$106,11,FALSE))</f>
        <v>0</v>
      </c>
      <c r="G193" s="16">
        <f>IFERROR(IF(C193=0,0,IF(E193=120,0,IF(D193="ICE",'Replacement plan'!$C$53,IF('Replacement plan'!$D$53="",INDEX(Products!$I$7:$I$13,MATCH('Replacement plan'!$B$53,Products!$A$7:$A$13,0))+'Operating costs'!$B$57,'Replacement plan'!$D$53))*(1+'Operating costs'!$B$50)^(E193/12))),"n.a.")</f>
        <v>0</v>
      </c>
      <c r="H193" s="16">
        <f>IFERROR(IF(C193=0,0,IF('Replacement plan'!$U$53&lt;&gt;"",'Replacement plan'!$U$53,IF(E193=0,F193,VLOOKUP($A193,'Fleet register'!$A$7:$S$106,12,FALSE)+VLOOKUP($A193,'Fleet register'!$A$7:$S$106,13,FALSE)*MAX(0,VLOOKUP($A193,'Fleet register'!$A$7:$S$106,10,FALSE)-E193)/VLOOKUP($A193,'Fleet register'!$A$7:$S$106,14,FALSE)))),"n.a.")</f>
        <v>0</v>
      </c>
      <c r="I193" s="16">
        <f>IF(C193=0,0,IF(E193=120,0,'Replacement plan'!$Q$53))</f>
        <v>0</v>
      </c>
      <c r="J193" s="16">
        <f>IF(C193=0,0,IF(P193="Complete",((S193*(R193-'Operating costs'!$B$39))+ROUNDUP(S193*(R193-'Operating costs'!$B$39)*IF('Replacement plan'!$AG$53="",'Operating costs'!$B$7,'Replacement plan'!$AG$53)/('Operating costs'!$B$8-'Operating costs'!$B$9*IF('Replacement plan'!$AG$53="",'Operating costs'!$B$7,'Replacement plan'!$AG$53)),0)*'Operating costs'!$B$9)*IF('Replacement plan'!$AG$53="",'Operating costs'!$B$7,'Replacement plan'!$AG$53)*('Energy and charging'!$B$9*'Energy and charging'!$B$7+(1-'Energy and charging'!$B$9)*'Energy and charging'!$B$8)*'Operating costs'!$B$23,"n.a."))</f>
        <v>0</v>
      </c>
      <c r="K193" s="16">
        <f>IF(C193=0,0,IF(P193="Complete",SUM('Operating costs'!$B$24,'Operating costs'!$B$27,'Operating costs'!$B$29,'Operating costs'!$B$31,'Operating costs'!$B$33,'Operating costs'!$B$34,'Operating costs'!$B$37,'Replacement plan'!$W$53)+'Operating costs'!$B$39*'Operating costs'!$B$42+ROUNDUP(S193*(R193-'Operating costs'!$B$39)*IF('Replacement plan'!$AG$53="",'Operating costs'!$B$7,'Replacement plan'!$AG$53)/('Operating costs'!$B$8-'Operating costs'!$B$9*IF('Replacement plan'!$AG$53="",'Operating costs'!$B$7,'Replacement plan'!$AG$53)),0)*('Operating costs'!$B$9/'Operating costs'!$B$11+'Operating costs'!$B$10/60)*'Operating costs'!$B$19*'Operating costs'!$B$21,"n.a."))</f>
        <v>0</v>
      </c>
      <c r="L193" s="16">
        <f>IF(C193=0,0,IF(P193="Complete",IF(D193="EV",X193*((1-T193)*'Energy and charging'!$B$10+T193*'Energy and charging'!$B$11)*'Operating costs'!$B$22,AA193*('Energy and charging'!$B$9*'Energy and charging'!$B$7+(1-'Energy and charging'!$B$9)*'Energy and charging'!$B$8)*'Operating costs'!$B$23),"n.a."))</f>
        <v>0</v>
      </c>
      <c r="M193" s="37">
        <f>IF(C193=0,0,IF(P193="Complete",IF(D193="ICE",SUM('Operating costs'!$B$25,'Operating costs'!$B$27,'Operating costs'!$B$29,'Operating costs'!$B$31,'Operating costs'!$B$33,'Operating costs'!$B$35,'Operating costs'!$B$37,'Replacement plan'!$X$53)+'Operating costs'!$B$40*'Operating costs'!$B$42+ROUNDUP(S193*(R193-'Operating costs'!$B$40)*IF('Replacement plan'!$AH$53="",'Operating costs'!$B$7,'Replacement plan'!$AH$53)/('Operating costs'!$B$8-'Operating costs'!$B$9*IF('Replacement plan'!$AH$53="",'Operating costs'!$B$7,'Replacement plan'!$AH$53)),0)*('Operating costs'!$B$9/'Operating costs'!$B$11+'Operating costs'!$B$10/60)*'Operating costs'!$B$19*'Operating costs'!$B$21,SUM(AP193,'Operating costs'!$B$28,'Operating costs'!$B$30,'Operating costs'!$B$32,'Operating costs'!$B$33,'Operating costs'!$B$36,'Operating costs'!$B$38,'Replacement plan'!$Y$53)+'Operating costs'!$B$41*'Operating costs'!$B$43+W193*'Operating costs'!$B$15+(T193*X193/'Replacement plan'!$L$53+W193*('Operating costs'!$B$12/'Operating costs'!$B$11+('Operating costs'!$B$13+'Operating costs'!$B$14)/60)+(R193-'Operating costs'!$B$41)*(IF(T193&lt;1,'Operating costs'!$B$16,0)+'Operating costs'!$B$17)/60)*'Operating costs'!$B$19*'Operating costs'!$B$20),"n.a."))</f>
        <v>0</v>
      </c>
      <c r="N193" s="16">
        <f>IF(AND(C193=1,D193="EV",E193&lt;120,E193+'Replacement plan'!$AA$53&lt;=120),'Replacement plan'!$Z$53,0)</f>
        <v>0</v>
      </c>
      <c r="O193" s="1">
        <f>E193+'Replacement plan'!$AA$53</f>
        <v>0</v>
      </c>
      <c r="P193" s="35" t="str">
        <f>IFERROR(IF(C193=0,"Excluded",IF(OR(COUNTIFS('Fleet register'!$A$7:$A$106,A193)&lt;&gt;1,COUNTIFS('Replacement plan'!$A$7:$A$106,A193)&lt;&gt;1),"Duplicate/missing ID",IF(NOT(AND(ISNUMBER(VLOOKUP($A193,'Fleet register'!$A$7:$S$106,5,FALSE)),ISNUMBER(VLOOKUP($A193,'Fleet register'!$A$7:$S$106,6,FALSE)),ISNUMBER(VLOOKUP($A193,'Fleet register'!$A$7:$S$106,10,FALSE)),ISNUMBER(VLOOKUP($A193,'Fleet register'!$A$7:$S$106,11,FALSE)),ISNUMBER(VLOOKUP($A193,'Fleet register'!$A$7:$S$106,12,FALSE)),ISNUMBER(VLOOKUP($A193,'Fleet register'!$A$7:$S$106,13,FALSE)),ISNUMBER(VLOOKUP($A193,'Fleet register'!$A$7:$S$106,14,FALSE)),VLOOKUP($A193,'Fleet register'!$A$7:$S$106,14,FALSE)&gt;0,ISNUMBER('Replacement plan'!$C$53),OR(E193=120,ISNUMBER('Replacement plan'!$Q$53)),ISNUMBER(E193))),"Missing vehicle input",IF(OR(E193&lt;0,E193&gt;VLOOKUP($A193,'Fleet register'!$A$7:$S$106,10,FALSE),E193&gt;120,E193&lt;&gt;INT(E193),VLOOKUP($A193,'Fleet register'!$A$7:$S$106,6,FALSE)&lt;=0,VLOOKUP($A193,'Fleet register'!$A$7:$S$106,6,FALSE)&gt;366,VLOOKUP($A193,'Fleet register'!$A$7:$S$106,5,FALSE)&lt;0,VLOOKUP($A193,'Fleet register'!$A$7:$S$106,11,FALSE)&lt;0,I193&lt;0,'Operating costs'!$B$8&lt;='Operating costs'!$B$7*'Operating costs'!$B$9,'Operating costs'!$B$11&lt;=0,'Operating costs'!$B$39&gt;R193,'Operating costs'!$B$40&gt;R193,'Operating costs'!$B$41&gt;R193,NOT(OR('Replacement plan'!$O$53="Keep ICE",'Replacement plan'!$O$53="New ICE",'Replacement plan'!$O$53="EV"))),"Invalid vehicle input",IF(AND(D193="EV",E193&lt;120,OR(NOT(ISNUMBER(U193)),NOT(ISNUMBER(V193)),V193&lt;=0,T193&lt;0,T193&gt;1,'Replacement plan'!$L$53&lt;=0,'Operating costs'!$B$44&lt;0,'Operating costs'!$B$44&gt;=1,'Operating costs'!$B$47&lt;=0,'Operating costs'!$B$47&gt;1,V193*'Operating costs'!$B$47/(1-'Operating costs'!$B$44)&lt;=T193*'Operating costs'!$B$12*U193,AND('Replacement plan'!$Z$53&gt;0,OR('Replacement plan'!$AB$53&lt;&gt;"Yes",'Operating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charging'!$B$8&gt;=0))),ISNUMBER(VLOOKUP($A193,'Fleet register'!$A$7:$S$106,15,FALSE)),ISNUMBER(VLOOKUP($A193,'Fleet register'!$A$7:$S$106,16,FALSE)),ISNUMBER('Replacement plan'!$W$53),ISNUMBER('Replacement plan'!$X$53),OR(E193=120,AND(ISNUMBER(G193),G193&gt;=0)),ISNUMBER(H193),H193&gt;=0,OR(D193&lt;&gt;"EV",E193=120,AND(ISNUMBER('Operating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average",ISNUMBER(IFERROR(INDEX(Products!$P$7:$P$13,MATCH(AD193,Products!$A$7:$A$13,0)),"")))),ISNUMBER('Operating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plan'!$Y$53),ISNUMBER('Replacement plan'!$Z$53),'Replacement plan'!$Z$53&gt;=0,ISNUMBER('Replacement plan'!$AA$53),'Replacement plan'!$AA$53&gt;=0,'Replacement plan'!$AA$53=INT('Replacement plan'!$AA$53),ISNUMBER('Replacement plan'!$L$53))),'Operating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plan'!$AG$53="",'Operating costs'!$B$7,'Replacement plan'!$AG$53)),IF('Replacement plan'!$AG$53="",'Operating costs'!$B$7,'Replacement plan'!$AG$53)&gt;=0,ISNUMBER(IF('Replacement plan'!$AH$53="",'Operating costs'!$B$7,'Replacement plan'!$AH$53)),IF('Replacement plan'!$AH$53="",'Operating costs'!$B$7,'Replacement plan'!$AH$53)&gt;=0,'Operating costs'!$B$8&gt;MAX(IF('Replacement plan'!$AG$53="",'Operating costs'!$B$7,'Replacement plan'!$AG$53),IF('Replacement plan'!$AH$53="",'Operating costs'!$B$7,'Replacement plan'!$AH$53))*'Operating costs'!$B$9),IF(AND(VLOOKUP($A193,'Fleet register'!$A$7:$S$106,10,FALSE)&gt;=0,VLOOKUP($A193,'Fleet register'!$A$7:$S$106,10,FALSE)&lt;=120,VLOOKUP($A193,'Fleet register'!$A$7:$S$106,10,FALSE)=INT(VLOOKUP($A193,'Fleet register'!$A$7:$S$106,10,FALSE)),VLOOKUP($A193,'Fleet register'!$A$7:$S$106,15,FALSE)&gt;=0,VLOOKUP($A193,'Fleet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costs'!$B$67)&gt;=0,OR(D193&lt;&gt;"EV",E193=120,AND(MIN('Operating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93" s="1" t="str">
        <f>IF(C193=0,"Excluded",IF(P193&lt;&gt;"Complete",P193,IF(OR('Replacement plan'!$AD$53&lt;120-E193,AND(D193="EV",E193&lt;120,OR('Replacement plan'!$AC$53&lt;120-E193,'Replacement plan'!$I$53="No",AND(ISNUMBER(AF193),AE193&gt;AF193),AI193&gt;V193*(1-'Operating costs'!$B$46)^MAX(0,AB193-1)*(1-'Operating costs'!$B$45),AC193&gt;'Operating costs'!$B$18,AND(T193&lt;1,OR(AG193&lt;=0,AND(ISNUMBER(AH193),AG193&gt;AH193))),'Replacement plan'!$L$53&gt;INDEX(Products!$H$7:$H$13,MATCH('Replacement plan'!$B$53,Products!$A$7:$A$13,0))))),"Fails entered limits",IF(AND(D193="EV",E193&lt;120,OR(NOT(ISNUMBER(VLOOKUP($A193,'Fleet register'!$A$7:$S$106,7,FALSE))),NOT(ISNUMBER(VLOOKUP($A193,'Fleet register'!$A$7:$S$106,8,FALSE))),NOT(ISNUMBER(AF193)),'Replacement plan'!$I$53&lt;&gt;"Yes",NOT(ISNUMBER(AH193)),'Operating costs'!$B$59&lt;&gt;"Yes",'Operating costs'!$B$58&lt;&gt;"Yes")),"Unverified","Within entered limits"))))</f>
        <v>Excluded</v>
      </c>
      <c r="R193" s="1">
        <f>IF(C193=0,0,VLOOKUP($A193,'Fleet register'!$A$7:$S$106,6,FALSE))</f>
        <v>0</v>
      </c>
      <c r="S193" s="1">
        <f>IF(C193=0,0,VLOOKUP($A193,'Fleet register'!$A$7:$S$106,5,FALSE))</f>
        <v>0</v>
      </c>
      <c r="T193" s="1">
        <f>IF(D193="EV",'Energy and charging'!$B$12,0)</f>
        <v>0</v>
      </c>
      <c r="U193" s="1">
        <f>IFERROR(IF(C193=0,0,IF(D193="EV",IF('Replacement plan'!$F$53="",INDEX(Products!$E$7:$E$13,MATCH('Replacement plan'!$B$53,Products!$A$7:$A$13,0)),'Replacement plan'!$F$53)/IF('Replacement plan'!$G$53="Battery",1-'Operating costs'!$B$44,1),0)),"n.a.")</f>
        <v>0</v>
      </c>
      <c r="V193" s="1">
        <f>IFERROR(IF(C193=0,0,IF(D193="EV",IF('Replacement plan'!$E$53="",INDEX(Products!$D$7:$D$13,MATCH('Replacement plan'!$B$53,Products!$A$7:$A$13,0)),'Replacement plan'!$E$53),0)),"n.a.")</f>
        <v>0</v>
      </c>
      <c r="W193" s="1">
        <f>IF(C193=0,0,IF(AND(P193="Complete",D193="EV",E193&lt;120),IF(T193=0,0,ROUNDUP(T193*(R193-'Operating costs'!$B$41)*(S193*U193+'Operating costs'!$B$48/(1-'Operating costs'!$B$44))/(V193*'Operating costs'!$B$47/(1-'Operating costs'!$B$44)-T193*'Operating costs'!$B$12*U193),0)),0))</f>
        <v>0</v>
      </c>
      <c r="X193" s="1">
        <f>IF(C193=0,0,IF(AND(P193="Complete",D193="EV",E193&lt;120),(R193-'Operating costs'!$B$41)*(S193*U193+'Operating costs'!$B$48/(1-'Operating costs'!$B$44))+W193*'Operating costs'!$B$12*U193,0))</f>
        <v>0</v>
      </c>
      <c r="Y193" s="1">
        <f>IF(AND(C193=1,D193="EV",E193&lt;120),AI193/(1-'Operating costs'!$B$44)*(1-T193),0)</f>
        <v>0</v>
      </c>
      <c r="Z193" s="1">
        <f t="shared" si="4"/>
        <v>0</v>
      </c>
      <c r="AA193" s="1">
        <f>IF(C193=0,0,IF(P193="Complete",((S193*(R193-'Operating costs'!$B$40))+ROUNDUP(S193*(R193-'Operating costs'!$B$40)*IF('Replacement plan'!$AH$53="",'Operating costs'!$B$7,'Replacement plan'!$AH$53)/('Operating costs'!$B$8-'Operating costs'!$B$9*IF('Replacement plan'!$AH$53="",'Operating costs'!$B$7,'Replacement plan'!$AH$53)),0)*'Operating costs'!$B$9)*IF('Replacement plan'!$AH$53="",'Operating costs'!$B$7,'Replacement plan'!$AH$53),"n.a."))</f>
        <v>0</v>
      </c>
      <c r="AB193" s="1">
        <f t="shared" si="5"/>
        <v>0</v>
      </c>
      <c r="AC193" s="1">
        <f>IF(AND(C193=1,D193="EV",E193&lt;120,T193&gt;0),'Operating costs'!$B$12/'Operating costs'!$B$11*60+'Operating costs'!$B$13+'Operating costs'!$B$14+V193*'Operating costs'!$B$47/(1-'Operating costs'!$B$44)/'Replacement plan'!$L$53*60,0)</f>
        <v>0</v>
      </c>
      <c r="AD193" s="1" t="str">
        <f>'Replacement plan'!$B$53</f>
        <v>ChengLong L2EV</v>
      </c>
      <c r="AE193" s="1">
        <f>IF(C193=0,0,VLOOKUP($A193,'Fleet register'!$A$7:$S$106,8,FALSE))</f>
        <v>0</v>
      </c>
      <c r="AF193" s="1" t="str">
        <f>IF('Replacement plan'!$H$53="","n.a.",'Replacement plan'!$H$53)</f>
        <v>n.a.</v>
      </c>
      <c r="AG193" s="1">
        <f>'Replacement plan'!$J$53</f>
        <v>22</v>
      </c>
      <c r="AH193" s="1">
        <f>IFERROR(IF(D193="EV",IF('Replacement plan'!$K$53="AC",IF(ISNUMBER(INDEX(Products!$G$7:$G$13,MATCH('Replacement plan'!$B$53,Products!$A$7:$A$13,0))),INDEX(Products!$G$7:$G$13,MATCH('Replacement plan'!$B$53,Products!$A$7:$A$13,0)),"n.a."),IF(ISNUMBER(INDEX(Products!$H$7:$H$13,MATCH('Replacement plan'!$B$53,Products!$A$7:$A$13,0))),INDEX(Products!$H$7:$H$13,MATCH('Replacement plan'!$B$53,Products!$A$7:$A$13,0)),"n.a.")),0),"n.a.")</f>
        <v>0</v>
      </c>
      <c r="AI193" s="1">
        <f>IF(AND(C193=1,D193="EV",E193&lt;120),(VLOOKUP($A193,'Fleet register'!$A$7:$S$106,7,FALSE)+IF(T193&gt;0,'Operating costs'!$B$12,0))*U193*(1-'Operating costs'!$B$44)+'Operating costs'!$B$49,0)</f>
        <v>0</v>
      </c>
      <c r="AJ193" s="1">
        <f>IF(D193="EV",'Energy and charging'!$B$50,0)</f>
        <v>0</v>
      </c>
      <c r="AK193" s="17">
        <f>EDATE('Operating costs'!$B$63,E193)</f>
        <v>46298</v>
      </c>
      <c r="AL193" s="1">
        <f>IFERROR(IF(D193="EV",INDEX(Products!$B$7:$B$13,MATCH('Replacement plan'!$B$53,Products!$A$7:$A$13,0)),0),"n.a.")</f>
        <v>0</v>
      </c>
      <c r="AM193" s="1" t="str">
        <f>'Replacement plan'!$K$53</f>
        <v>DC</v>
      </c>
      <c r="AN193" s="1" t="str">
        <f>'Replacement plan'!$AE$53</f>
        <v>Assumed</v>
      </c>
      <c r="AO193" s="47">
        <f>IF(AND(C193=1,D193="EV",E193&lt;120),(R193-'Operating costs'!$B$41)*S193+W193*'Operating costs'!$B$12,0)</f>
        <v>0</v>
      </c>
      <c r="AP193" s="41">
        <f>IF(AND(C193=1,D193="EV",E193&lt;120),IF('Operating costs'!$B$68="Hong Seh 200k average",AO193*IFERROR(INDEX(Products!$P$7:$P$13,MATCH(AD193,Products!$A$7:$A$13,0)),"n.a."),'Operating costs'!$B$26),0)</f>
        <v>0</v>
      </c>
      <c r="AQ193" s="40" t="str">
        <f>IF(D193="EV",'Operating costs'!$B$68,"Not applicable")</f>
        <v>Not applicable</v>
      </c>
    </row>
    <row r="194" spans="1:43" ht="24" customHeight="1">
      <c r="A194" s="1" t="str">
        <f>'Replacement plan'!A53</f>
        <v>T047</v>
      </c>
      <c r="B194" s="1">
        <v>3</v>
      </c>
      <c r="C194" s="1">
        <f>IF(COUNTIFS('Fleet register'!$A$7:$A$106,$A194)=1,VLOOKUP($A194,'Fleet register'!$A$7:$S$106,2,FALSE),0)</f>
        <v>0</v>
      </c>
      <c r="D194" s="1" t="str">
        <f>IF('Replacement plan'!$R$53="EV","EV","ICE")</f>
        <v>ICE</v>
      </c>
      <c r="E194" s="1">
        <f>IF(C194=0,0,IF('Replacement plan'!$S$53="",IF('Replacement plan'!$R$53="Keep ICE",IF('Replacement plan'!$M$53="",VLOOKUP($A194,'Fleet register'!$A$7:$S$106,10,FALSE),'Replacement plan'!$M$53),0),'Replacement plan'!$S$53))</f>
        <v>0</v>
      </c>
      <c r="F194" s="16">
        <f>IF(C194=0,0,VLOOKUP($A194,'Fleet register'!$A$7:$S$106,11,FALSE))</f>
        <v>0</v>
      </c>
      <c r="G194" s="16">
        <f>IFERROR(IF(C194=0,0,IF(E194=120,0,IF(D194="ICE",'Replacement plan'!$C$53,IF('Replacement plan'!$D$53="",INDEX(Products!$I$7:$I$13,MATCH('Replacement plan'!$B$53,Products!$A$7:$A$13,0))+'Operating costs'!$B$57,'Replacement plan'!$D$53))*(1+'Operating costs'!$B$50)^(E194/12))),"n.a.")</f>
        <v>0</v>
      </c>
      <c r="H194" s="16">
        <f>IFERROR(IF(C194=0,0,IF('Replacement plan'!$V$53&lt;&gt;"",'Replacement plan'!$V$53,IF(E194=0,F194,VLOOKUP($A194,'Fleet register'!$A$7:$S$106,12,FALSE)+VLOOKUP($A194,'Fleet register'!$A$7:$S$106,13,FALSE)*MAX(0,VLOOKUP($A194,'Fleet register'!$A$7:$S$106,10,FALSE)-E194)/VLOOKUP($A194,'Fleet register'!$A$7:$S$106,14,FALSE)))),"n.a.")</f>
        <v>0</v>
      </c>
      <c r="I194" s="16">
        <f>IF(C194=0,0,IF(E194=120,0,'Replacement plan'!$T$53))</f>
        <v>0</v>
      </c>
      <c r="J194" s="16">
        <f>IF(C194=0,0,IF(P194="Complete",((S194*(R194-'Operating costs'!$B$39))+ROUNDUP(S194*(R194-'Operating costs'!$B$39)*IF('Replacement plan'!$AG$53="",'Operating costs'!$B$7,'Replacement plan'!$AG$53)/('Operating costs'!$B$8-'Operating costs'!$B$9*IF('Replacement plan'!$AG$53="",'Operating costs'!$B$7,'Replacement plan'!$AG$53)),0)*'Operating costs'!$B$9)*IF('Replacement plan'!$AG$53="",'Operating costs'!$B$7,'Replacement plan'!$AG$53)*('Energy and charging'!$C$9*'Energy and charging'!$C$7+(1-'Energy and charging'!$C$9)*'Energy and charging'!$C$8)*'Operating costs'!$B$23,"n.a."))</f>
        <v>0</v>
      </c>
      <c r="K194" s="16">
        <f>IF(C194=0,0,IF(P194="Complete",SUM('Operating costs'!$B$24,'Operating costs'!$B$27,'Operating costs'!$B$29,'Operating costs'!$B$31,'Operating costs'!$B$33,'Operating costs'!$B$34,'Operating costs'!$B$37,'Replacement plan'!$W$53)+'Operating costs'!$B$39*'Operating costs'!$B$42+ROUNDUP(S194*(R194-'Operating costs'!$B$39)*IF('Replacement plan'!$AG$53="",'Operating costs'!$B$7,'Replacement plan'!$AG$53)/('Operating costs'!$B$8-'Operating costs'!$B$9*IF('Replacement plan'!$AG$53="",'Operating costs'!$B$7,'Replacement plan'!$AG$53)),0)*('Operating costs'!$B$9/'Operating costs'!$B$11+'Operating costs'!$B$10/60)*'Operating costs'!$B$19*'Operating costs'!$B$21,"n.a."))</f>
        <v>0</v>
      </c>
      <c r="L194" s="16">
        <f>IF(C194=0,0,IF(P194="Complete",IF(D194="EV",X194*((1-T194)*'Energy and charging'!$C$10+T194*'Energy and charging'!$C$11)*'Operating costs'!$B$22,AA194*('Energy and charging'!$C$9*'Energy and charging'!$C$7+(1-'Energy and charging'!$C$9)*'Energy and charging'!$C$8)*'Operating costs'!$B$23),"n.a."))</f>
        <v>0</v>
      </c>
      <c r="M194" s="37">
        <f>IF(C194=0,0,IF(P194="Complete",IF(D194="ICE",SUM('Operating costs'!$B$25,'Operating costs'!$B$27,'Operating costs'!$B$29,'Operating costs'!$B$31,'Operating costs'!$B$33,'Operating costs'!$B$35,'Operating costs'!$B$37,'Replacement plan'!$X$53)+'Operating costs'!$B$40*'Operating costs'!$B$42+ROUNDUP(S194*(R194-'Operating costs'!$B$40)*IF('Replacement plan'!$AH$53="",'Operating costs'!$B$7,'Replacement plan'!$AH$53)/('Operating costs'!$B$8-'Operating costs'!$B$9*IF('Replacement plan'!$AH$53="",'Operating costs'!$B$7,'Replacement plan'!$AH$53)),0)*('Operating costs'!$B$9/'Operating costs'!$B$11+'Operating costs'!$B$10/60)*'Operating costs'!$B$19*'Operating costs'!$B$21,SUM(AP194,'Operating costs'!$B$28,'Operating costs'!$B$30,'Operating costs'!$B$32,'Operating costs'!$B$33,'Operating costs'!$B$36,'Operating costs'!$B$38,'Replacement plan'!$Y$53)+'Operating costs'!$B$41*'Operating costs'!$B$43+W194*'Operating costs'!$B$15+(T194*X194/'Replacement plan'!$L$53+W194*('Operating costs'!$B$12/'Operating costs'!$B$11+('Operating costs'!$B$13+'Operating costs'!$B$14)/60)+(R194-'Operating costs'!$B$41)*(IF(T194&lt;1,'Operating costs'!$B$16,0)+'Operating costs'!$B$17)/60)*'Operating costs'!$B$19*'Operating costs'!$B$20),"n.a."))</f>
        <v>0</v>
      </c>
      <c r="N194" s="16">
        <f>IF(AND(C194=1,D194="EV",E194&lt;120,E194+'Replacement plan'!$AA$53&lt;=120),'Replacement plan'!$Z$53,0)</f>
        <v>0</v>
      </c>
      <c r="O194" s="1">
        <f>E194+'Replacement plan'!$AA$53</f>
        <v>0</v>
      </c>
      <c r="P194" s="35" t="str">
        <f>IFERROR(IF(C194=0,"Excluded",IF(OR(COUNTIFS('Fleet register'!$A$7:$A$106,A194)&lt;&gt;1,COUNTIFS('Replacement plan'!$A$7:$A$106,A194)&lt;&gt;1),"Duplicate/missing ID",IF(NOT(AND(ISNUMBER(VLOOKUP($A194,'Fleet register'!$A$7:$S$106,5,FALSE)),ISNUMBER(VLOOKUP($A194,'Fleet register'!$A$7:$S$106,6,FALSE)),ISNUMBER(VLOOKUP($A194,'Fleet register'!$A$7:$S$106,10,FALSE)),ISNUMBER(VLOOKUP($A194,'Fleet register'!$A$7:$S$106,11,FALSE)),ISNUMBER(VLOOKUP($A194,'Fleet register'!$A$7:$S$106,12,FALSE)),ISNUMBER(VLOOKUP($A194,'Fleet register'!$A$7:$S$106,13,FALSE)),ISNUMBER(VLOOKUP($A194,'Fleet register'!$A$7:$S$106,14,FALSE)),VLOOKUP($A194,'Fleet register'!$A$7:$S$106,14,FALSE)&gt;0,ISNUMBER('Replacement plan'!$C$53),OR(E194=120,ISNUMBER('Replacement plan'!$T$53)),ISNUMBER(E194))),"Missing vehicle input",IF(OR(E194&lt;0,E194&gt;VLOOKUP($A194,'Fleet register'!$A$7:$S$106,10,FALSE),E194&gt;120,E194&lt;&gt;INT(E194),VLOOKUP($A194,'Fleet register'!$A$7:$S$106,6,FALSE)&lt;=0,VLOOKUP($A194,'Fleet register'!$A$7:$S$106,6,FALSE)&gt;366,VLOOKUP($A194,'Fleet register'!$A$7:$S$106,5,FALSE)&lt;0,VLOOKUP($A194,'Fleet register'!$A$7:$S$106,11,FALSE)&lt;0,I194&lt;0,'Operating costs'!$B$8&lt;='Operating costs'!$B$7*'Operating costs'!$B$9,'Operating costs'!$B$11&lt;=0,'Operating costs'!$B$39&gt;R194,'Operating costs'!$B$40&gt;R194,'Operating costs'!$B$41&gt;R194,NOT(OR('Replacement plan'!$R$53="Keep ICE",'Replacement plan'!$R$53="New ICE",'Replacement plan'!$R$53="EV"))),"Invalid vehicle input",IF(AND(D194="EV",E194&lt;120,OR(NOT(ISNUMBER(U194)),NOT(ISNUMBER(V194)),V194&lt;=0,T194&lt;0,T194&gt;1,'Replacement plan'!$L$53&lt;=0,'Operating costs'!$B$44&lt;0,'Operating costs'!$B$44&gt;=1,'Operating costs'!$B$47&lt;=0,'Operating costs'!$B$47&gt;1,V194*'Operating costs'!$B$47/(1-'Operating costs'!$B$44)&lt;=T194*'Operating costs'!$B$12*U194,AND('Replacement plan'!$Z$53&gt;0,OR('Replacement plan'!$AB$53&lt;&gt;"Yes",'Operating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charging'!$C$8&gt;=0))),ISNUMBER(VLOOKUP($A194,'Fleet register'!$A$7:$S$106,15,FALSE)),ISNUMBER(VLOOKUP($A194,'Fleet register'!$A$7:$S$106,16,FALSE)),ISNUMBER('Replacement plan'!$W$53),ISNUMBER('Replacement plan'!$X$53),OR(E194=120,AND(ISNUMBER(G194),G194&gt;=0)),ISNUMBER(H194),H194&gt;=0,OR(D194&lt;&gt;"EV",E194=120,AND(ISNUMBER('Operating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average",ISNUMBER(IFERROR(INDEX(Products!$P$7:$P$13,MATCH(AD194,Products!$A$7:$A$13,0)),"")))),ISNUMBER('Operating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plan'!$Y$53),ISNUMBER('Replacement plan'!$Z$53),'Replacement plan'!$Z$53&gt;=0,ISNUMBER('Replacement plan'!$AA$53),'Replacement plan'!$AA$53&gt;=0,'Replacement plan'!$AA$53=INT('Replacement plan'!$AA$53),ISNUMBER('Replacement plan'!$L$53))),'Operating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plan'!$AG$53="",'Operating costs'!$B$7,'Replacement plan'!$AG$53)),IF('Replacement plan'!$AG$53="",'Operating costs'!$B$7,'Replacement plan'!$AG$53)&gt;=0,ISNUMBER(IF('Replacement plan'!$AH$53="",'Operating costs'!$B$7,'Replacement plan'!$AH$53)),IF('Replacement plan'!$AH$53="",'Operating costs'!$B$7,'Replacement plan'!$AH$53)&gt;=0,'Operating costs'!$B$8&gt;MAX(IF('Replacement plan'!$AG$53="",'Operating costs'!$B$7,'Replacement plan'!$AG$53),IF('Replacement plan'!$AH$53="",'Operating costs'!$B$7,'Replacement plan'!$AH$53))*'Operating costs'!$B$9),IF(AND(VLOOKUP($A194,'Fleet register'!$A$7:$S$106,10,FALSE)&gt;=0,VLOOKUP($A194,'Fleet register'!$A$7:$S$106,10,FALSE)&lt;=120,VLOOKUP($A194,'Fleet register'!$A$7:$S$106,10,FALSE)=INT(VLOOKUP($A194,'Fleet register'!$A$7:$S$106,10,FALSE)),VLOOKUP($A194,'Fleet register'!$A$7:$S$106,15,FALSE)&gt;=0,VLOOKUP($A194,'Fleet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costs'!$B$67)&gt;=0,OR(D194&lt;&gt;"EV",E194=120,AND(MIN('Operating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94" s="1" t="str">
        <f>IF(C194=0,"Excluded",IF(P194&lt;&gt;"Complete",P194,IF(OR('Replacement plan'!$AD$53&lt;120-E194,AND(D194="EV",E194&lt;120,OR('Replacement plan'!$AC$53&lt;120-E194,'Replacement plan'!$I$53="No",AND(ISNUMBER(AF194),AE194&gt;AF194),AI194&gt;V194*(1-'Operating costs'!$B$46)^MAX(0,AB194-1)*(1-'Operating costs'!$B$45),AC194&gt;'Operating costs'!$B$18,AND(T194&lt;1,OR(AG194&lt;=0,AND(ISNUMBER(AH194),AG194&gt;AH194))),'Replacement plan'!$L$53&gt;INDEX(Products!$H$7:$H$13,MATCH('Replacement plan'!$B$53,Products!$A$7:$A$13,0))))),"Fails entered limits",IF(AND(D194="EV",E194&lt;120,OR(NOT(ISNUMBER(VLOOKUP($A194,'Fleet register'!$A$7:$S$106,7,FALSE))),NOT(ISNUMBER(VLOOKUP($A194,'Fleet register'!$A$7:$S$106,8,FALSE))),NOT(ISNUMBER(AF194)),'Replacement plan'!$I$53&lt;&gt;"Yes",NOT(ISNUMBER(AH194)),'Operating costs'!$B$59&lt;&gt;"Yes",'Operating costs'!$B$58&lt;&gt;"Yes")),"Unverified","Within entered limits"))))</f>
        <v>Excluded</v>
      </c>
      <c r="R194" s="1">
        <f>IF(C194=0,0,VLOOKUP($A194,'Fleet register'!$A$7:$S$106,6,FALSE))</f>
        <v>0</v>
      </c>
      <c r="S194" s="1">
        <f>IF(C194=0,0,VLOOKUP($A194,'Fleet register'!$A$7:$S$106,5,FALSE))</f>
        <v>0</v>
      </c>
      <c r="T194" s="1">
        <f>IF(D194="EV",'Energy and charging'!$C$12,0)</f>
        <v>0</v>
      </c>
      <c r="U194" s="1">
        <f>IFERROR(IF(C194=0,0,IF(D194="EV",IF('Replacement plan'!$F$53="",INDEX(Products!$E$7:$E$13,MATCH('Replacement plan'!$B$53,Products!$A$7:$A$13,0)),'Replacement plan'!$F$53)/IF('Replacement plan'!$G$53="Battery",1-'Operating costs'!$B$44,1),0)),"n.a.")</f>
        <v>0</v>
      </c>
      <c r="V194" s="1">
        <f>IFERROR(IF(C194=0,0,IF(D194="EV",IF('Replacement plan'!$E$53="",INDEX(Products!$D$7:$D$13,MATCH('Replacement plan'!$B$53,Products!$A$7:$A$13,0)),'Replacement plan'!$E$53),0)),"n.a.")</f>
        <v>0</v>
      </c>
      <c r="W194" s="1">
        <f>IF(C194=0,0,IF(AND(P194="Complete",D194="EV",E194&lt;120),IF(T194=0,0,ROUNDUP(T194*(R194-'Operating costs'!$B$41)*(S194*U194+'Operating costs'!$B$48/(1-'Operating costs'!$B$44))/(V194*'Operating costs'!$B$47/(1-'Operating costs'!$B$44)-T194*'Operating costs'!$B$12*U194),0)),0))</f>
        <v>0</v>
      </c>
      <c r="X194" s="1">
        <f>IF(C194=0,0,IF(AND(P194="Complete",D194="EV",E194&lt;120),(R194-'Operating costs'!$B$41)*(S194*U194+'Operating costs'!$B$48/(1-'Operating costs'!$B$44))+W194*'Operating costs'!$B$12*U194,0))</f>
        <v>0</v>
      </c>
      <c r="Y194" s="1">
        <f>IF(AND(C194=1,D194="EV",E194&lt;120),AI194/(1-'Operating costs'!$B$44)*(1-T194),0)</f>
        <v>0</v>
      </c>
      <c r="Z194" s="1">
        <f t="shared" si="4"/>
        <v>0</v>
      </c>
      <c r="AA194" s="1">
        <f>IF(C194=0,0,IF(P194="Complete",((S194*(R194-'Operating costs'!$B$40))+ROUNDUP(S194*(R194-'Operating costs'!$B$40)*IF('Replacement plan'!$AH$53="",'Operating costs'!$B$7,'Replacement plan'!$AH$53)/('Operating costs'!$B$8-'Operating costs'!$B$9*IF('Replacement plan'!$AH$53="",'Operating costs'!$B$7,'Replacement plan'!$AH$53)),0)*'Operating costs'!$B$9)*IF('Replacement plan'!$AH$53="",'Operating costs'!$B$7,'Replacement plan'!$AH$53),"n.a."))</f>
        <v>0</v>
      </c>
      <c r="AB194" s="1">
        <f t="shared" si="5"/>
        <v>0</v>
      </c>
      <c r="AC194" s="1">
        <f>IF(AND(C194=1,D194="EV",E194&lt;120,T194&gt;0),'Operating costs'!$B$12/'Operating costs'!$B$11*60+'Operating costs'!$B$13+'Operating costs'!$B$14+V194*'Operating costs'!$B$47/(1-'Operating costs'!$B$44)/'Replacement plan'!$L$53*60,0)</f>
        <v>0</v>
      </c>
      <c r="AD194" s="1" t="str">
        <f>'Replacement plan'!$B$53</f>
        <v>ChengLong L2EV</v>
      </c>
      <c r="AE194" s="1">
        <f>IF(C194=0,0,VLOOKUP($A194,'Fleet register'!$A$7:$S$106,8,FALSE))</f>
        <v>0</v>
      </c>
      <c r="AF194" s="1" t="str">
        <f>IF('Replacement plan'!$H$53="","n.a.",'Replacement plan'!$H$53)</f>
        <v>n.a.</v>
      </c>
      <c r="AG194" s="1">
        <f>'Replacement plan'!$J$53</f>
        <v>22</v>
      </c>
      <c r="AH194" s="1">
        <f>IFERROR(IF(D194="EV",IF('Replacement plan'!$K$53="AC",IF(ISNUMBER(INDEX(Products!$G$7:$G$13,MATCH('Replacement plan'!$B$53,Products!$A$7:$A$13,0))),INDEX(Products!$G$7:$G$13,MATCH('Replacement plan'!$B$53,Products!$A$7:$A$13,0)),"n.a."),IF(ISNUMBER(INDEX(Products!$H$7:$H$13,MATCH('Replacement plan'!$B$53,Products!$A$7:$A$13,0))),INDEX(Products!$H$7:$H$13,MATCH('Replacement plan'!$B$53,Products!$A$7:$A$13,0)),"n.a.")),0),"n.a.")</f>
        <v>0</v>
      </c>
      <c r="AI194" s="1">
        <f>IF(AND(C194=1,D194="EV",E194&lt;120),(VLOOKUP($A194,'Fleet register'!$A$7:$S$106,7,FALSE)+IF(T194&gt;0,'Operating costs'!$B$12,0))*U194*(1-'Operating costs'!$B$44)+'Operating costs'!$B$49,0)</f>
        <v>0</v>
      </c>
      <c r="AJ194" s="1">
        <f>IF(D194="EV",'Energy and charging'!$C$50,0)</f>
        <v>0</v>
      </c>
      <c r="AK194" s="17">
        <f>EDATE('Operating costs'!$B$63,E194)</f>
        <v>46298</v>
      </c>
      <c r="AL194" s="1">
        <f>IFERROR(IF(D194="EV",INDEX(Products!$B$7:$B$13,MATCH('Replacement plan'!$B$53,Products!$A$7:$A$13,0)),0),"n.a.")</f>
        <v>0</v>
      </c>
      <c r="AM194" s="1" t="str">
        <f>'Replacement plan'!$K$53</f>
        <v>DC</v>
      </c>
      <c r="AN194" s="1" t="str">
        <f>'Replacement plan'!$AE$53</f>
        <v>Assumed</v>
      </c>
      <c r="AO194" s="47">
        <f>IF(AND(C194=1,D194="EV",E194&lt;120),(R194-'Operating costs'!$B$41)*S194+W194*'Operating costs'!$B$12,0)</f>
        <v>0</v>
      </c>
      <c r="AP194" s="41">
        <f>IF(AND(C194=1,D194="EV",E194&lt;120),IF('Operating costs'!$B$68="Hong Seh 200k average",AO194*IFERROR(INDEX(Products!$P$7:$P$13,MATCH(AD194,Products!$A$7:$A$13,0)),"n.a."),'Operating costs'!$B$26),0)</f>
        <v>0</v>
      </c>
      <c r="AQ194" s="40" t="str">
        <f>IF(D194="EV",'Operating costs'!$B$68,"Not applicable")</f>
        <v>Not applicable</v>
      </c>
    </row>
    <row r="195" spans="1:43" ht="24" customHeight="1">
      <c r="A195" s="1" t="str">
        <f>'Replacement plan'!A54</f>
        <v>T048</v>
      </c>
      <c r="B195" s="1">
        <v>0</v>
      </c>
      <c r="C195" s="1">
        <f>IF(COUNTIFS('Fleet register'!$A$7:$A$106,$A195)=1,VLOOKUP($A195,'Fleet register'!$A$7:$S$106,2,FALSE),0)</f>
        <v>0</v>
      </c>
      <c r="D195" s="1" t="str">
        <f>IF("Keep ICE"="EV","EV","ICE")</f>
        <v>ICE</v>
      </c>
      <c r="E195" s="1">
        <f>IF(C195=0,0,IF('Replacement plan'!$M$54="",VLOOKUP($A195,'Fleet register'!$A$7:$S$106,10,FALSE),'Replacement plan'!$M$54))</f>
        <v>0</v>
      </c>
      <c r="F195" s="16">
        <f>IF(C195=0,0,VLOOKUP($A195,'Fleet register'!$A$7:$S$106,11,FALSE))</f>
        <v>0</v>
      </c>
      <c r="G195" s="16">
        <f>IFERROR(IF(C195=0,0,IF(E195=120,0,IF(D195="ICE",'Replacement plan'!$C$54,IF('Replacement plan'!$D$54="",INDEX(Products!$I$7:$I$13,MATCH('Replacement plan'!$B$54,Products!$A$7:$A$13,0))+'Operating costs'!$B$57,'Replacement plan'!$D$54))*(1+'Operating costs'!$B$50)^(E195/12))),"n.a.")</f>
        <v>0</v>
      </c>
      <c r="H195" s="16">
        <f>IFERROR(IF(C195=0,0,IF(E195=0,F195,VLOOKUP($A195,'Fleet register'!$A$7:$S$106,12,FALSE)+VLOOKUP($A195,'Fleet register'!$A$7:$S$106,13,FALSE)*MAX(0,VLOOKUP($A195,'Fleet register'!$A$7:$S$106,10,FALSE)-E195)/VLOOKUP($A195,'Fleet register'!$A$7:$S$106,14,FALSE))),"n.a.")</f>
        <v>0</v>
      </c>
      <c r="I195" s="16">
        <f>IF(C195=0,0,IF(E195=120,0,'Replacement plan'!$N$54))</f>
        <v>0</v>
      </c>
      <c r="J195" s="16">
        <f>IF(C195=0,0,IF(P195="Complete",((S195*(R195-'Operating costs'!$B$39))+ROUNDUP(S195*(R195-'Operating costs'!$B$39)*IF('Replacement plan'!$AG$54="",'Operating costs'!$B$7,'Replacement plan'!$AG$54)/('Operating costs'!$B$8-'Operating costs'!$B$9*IF('Replacement plan'!$AG$54="",'Operating costs'!$B$7,'Replacement plan'!$AG$54)),0)*'Operating costs'!$B$9)*IF('Replacement plan'!$AG$54="",'Operating costs'!$B$7,'Replacement plan'!$AG$54)*('Energy and charging'!$B$9*'Energy and charging'!$B$7+(1-'Energy and charging'!$B$9)*'Energy and charging'!$B$8)*'Operating costs'!$B$23,"n.a."))</f>
        <v>0</v>
      </c>
      <c r="K195" s="16">
        <f>IF(C195=0,0,IF(P195="Complete",SUM('Operating costs'!$B$24,'Operating costs'!$B$27,'Operating costs'!$B$29,'Operating costs'!$B$31,'Operating costs'!$B$33,'Operating costs'!$B$34,'Operating costs'!$B$37,'Replacement plan'!$W$54)+'Operating costs'!$B$39*'Operating costs'!$B$42+ROUNDUP(S195*(R195-'Operating costs'!$B$39)*IF('Replacement plan'!$AG$54="",'Operating costs'!$B$7,'Replacement plan'!$AG$54)/('Operating costs'!$B$8-'Operating costs'!$B$9*IF('Replacement plan'!$AG$54="",'Operating costs'!$B$7,'Replacement plan'!$AG$54)),0)*('Operating costs'!$B$9/'Operating costs'!$B$11+'Operating costs'!$B$10/60)*'Operating costs'!$B$19*'Operating costs'!$B$21,"n.a."))</f>
        <v>0</v>
      </c>
      <c r="L195" s="16">
        <f>IF(C195=0,0,IF(P195="Complete",IF(D195="EV",X195*((1-T195)*'Energy and charging'!$B$10+T195*'Energy and charging'!$B$11)*'Operating costs'!$B$22,AA195*('Energy and charging'!$B$9*'Energy and charging'!$B$7+(1-'Energy and charging'!$B$9)*'Energy and charging'!$B$8)*'Operating costs'!$B$23),"n.a."))</f>
        <v>0</v>
      </c>
      <c r="M195" s="37">
        <f>IF(C195=0,0,IF(P195="Complete",IF(D195="ICE",SUM('Operating costs'!$B$25,'Operating costs'!$B$27,'Operating costs'!$B$29,'Operating costs'!$B$31,'Operating costs'!$B$33,'Operating costs'!$B$35,'Operating costs'!$B$37,'Replacement plan'!$X$54)+'Operating costs'!$B$40*'Operating costs'!$B$42+ROUNDUP(S195*(R195-'Operating costs'!$B$40)*IF('Replacement plan'!$AH$54="",'Operating costs'!$B$7,'Replacement plan'!$AH$54)/('Operating costs'!$B$8-'Operating costs'!$B$9*IF('Replacement plan'!$AH$54="",'Operating costs'!$B$7,'Replacement plan'!$AH$54)),0)*('Operating costs'!$B$9/'Operating costs'!$B$11+'Operating costs'!$B$10/60)*'Operating costs'!$B$19*'Operating costs'!$B$21,SUM(AP195,'Operating costs'!$B$28,'Operating costs'!$B$30,'Operating costs'!$B$32,'Operating costs'!$B$33,'Operating costs'!$B$36,'Operating costs'!$B$38,'Replacement plan'!$Y$54)+'Operating costs'!$B$41*'Operating costs'!$B$43+W195*'Operating costs'!$B$15+(T195*X195/'Replacement plan'!$L$54+W195*('Operating costs'!$B$12/'Operating costs'!$B$11+('Operating costs'!$B$13+'Operating costs'!$B$14)/60)+(R195-'Operating costs'!$B$41)*(IF(T195&lt;1,'Operating costs'!$B$16,0)+'Operating costs'!$B$17)/60)*'Operating costs'!$B$19*'Operating costs'!$B$20),"n.a."))</f>
        <v>0</v>
      </c>
      <c r="N195" s="16">
        <f>IF(AND(C195=1,D195="EV",E195&lt;120,E195+'Replacement plan'!$AA$54&lt;=120),'Replacement plan'!$Z$54,0)</f>
        <v>0</v>
      </c>
      <c r="O195" s="1">
        <f>E195+'Replacement plan'!$AA$54</f>
        <v>0</v>
      </c>
      <c r="P195" s="35" t="str">
        <f>IFERROR(IF(C195=0,"Excluded",IF(OR(COUNTIFS('Fleet register'!$A$7:$A$106,A195)&lt;&gt;1,COUNTIFS('Replacement plan'!$A$7:$A$106,A195)&lt;&gt;1),"Duplicate/missing ID",IF(NOT(AND(ISNUMBER(VLOOKUP($A195,'Fleet register'!$A$7:$S$106,5,FALSE)),ISNUMBER(VLOOKUP($A195,'Fleet register'!$A$7:$S$106,6,FALSE)),ISNUMBER(VLOOKUP($A195,'Fleet register'!$A$7:$S$106,10,FALSE)),ISNUMBER(VLOOKUP($A195,'Fleet register'!$A$7:$S$106,11,FALSE)),ISNUMBER(VLOOKUP($A195,'Fleet register'!$A$7:$S$106,12,FALSE)),ISNUMBER(VLOOKUP($A195,'Fleet register'!$A$7:$S$106,13,FALSE)),ISNUMBER(VLOOKUP($A195,'Fleet register'!$A$7:$S$106,14,FALSE)),VLOOKUP($A195,'Fleet register'!$A$7:$S$106,14,FALSE)&gt;0,ISNUMBER('Replacement plan'!$C$54),OR(E195=120,ISNUMBER('Replacement plan'!$N$54)),ISNUMBER(E195))),"Missing vehicle input",IF(OR(E195&lt;0,E195&gt;VLOOKUP($A195,'Fleet register'!$A$7:$S$106,10,FALSE),E195&gt;120,E195&lt;&gt;INT(E195),VLOOKUP($A195,'Fleet register'!$A$7:$S$106,6,FALSE)&lt;=0,VLOOKUP($A195,'Fleet register'!$A$7:$S$106,6,FALSE)&gt;366,VLOOKUP($A195,'Fleet register'!$A$7:$S$106,5,FALSE)&lt;0,VLOOKUP($A195,'Fleet register'!$A$7:$S$106,11,FALSE)&lt;0,I195&lt;0,'Operating costs'!$B$8&lt;='Operating costs'!$B$7*'Operating costs'!$B$9,'Operating costs'!$B$11&lt;=0,'Operating costs'!$B$39&gt;R195,'Operating costs'!$B$40&gt;R195,'Operating costs'!$B$41&gt;R195,NOT(OR("Keep ICE"="Keep ICE","Keep ICE"="New ICE","Keep ICE"="EV"))),"Invalid vehicle input",IF(AND(D195="EV",E195&lt;120,OR(NOT(ISNUMBER(U195)),NOT(ISNUMBER(V195)),V195&lt;=0,T195&lt;0,T195&gt;1,'Replacement plan'!$L$54&lt;=0,'Operating costs'!$B$44&lt;0,'Operating costs'!$B$44&gt;=1,'Operating costs'!$B$47&lt;=0,'Operating costs'!$B$47&gt;1,V195*'Operating costs'!$B$47/(1-'Operating costs'!$B$44)&lt;=T195*'Operating costs'!$B$12*U195,AND('Replacement plan'!$Z$54&gt;0,OR('Replacement plan'!$AB$54&lt;&gt;"Yes",'Operating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charging'!$B$8&gt;=0))),ISNUMBER(VLOOKUP($A195,'Fleet register'!$A$7:$S$106,15,FALSE)),ISNUMBER(VLOOKUP($A195,'Fleet register'!$A$7:$S$106,16,FALSE)),ISNUMBER('Replacement plan'!$W$54),ISNUMBER('Replacement plan'!$X$54),OR(E195=120,AND(ISNUMBER(G195),G195&gt;=0)),ISNUMBER(H195),H195&gt;=0,OR(D195&lt;&gt;"EV",E195=120,AND(ISNUMBER('Operating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average",ISNUMBER(IFERROR(INDEX(Products!$P$7:$P$13,MATCH(AD195,Products!$A$7:$A$13,0)),"")))),ISNUMBER('Operating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plan'!$Y$54),ISNUMBER('Replacement plan'!$Z$54),'Replacement plan'!$Z$54&gt;=0,ISNUMBER('Replacement plan'!$AA$54),'Replacement plan'!$AA$54&gt;=0,'Replacement plan'!$AA$54=INT('Replacement plan'!$AA$54),ISNUMBER('Replacement plan'!$L$54))),'Operating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plan'!$AG$54="",'Operating costs'!$B$7,'Replacement plan'!$AG$54)),IF('Replacement plan'!$AG$54="",'Operating costs'!$B$7,'Replacement plan'!$AG$54)&gt;=0,ISNUMBER(IF('Replacement plan'!$AH$54="",'Operating costs'!$B$7,'Replacement plan'!$AH$54)),IF('Replacement plan'!$AH$54="",'Operating costs'!$B$7,'Replacement plan'!$AH$54)&gt;=0,'Operating costs'!$B$8&gt;MAX(IF('Replacement plan'!$AG$54="",'Operating costs'!$B$7,'Replacement plan'!$AG$54),IF('Replacement plan'!$AH$54="",'Operating costs'!$B$7,'Replacement plan'!$AH$54))*'Operating costs'!$B$9),IF(AND(VLOOKUP($A195,'Fleet register'!$A$7:$S$106,10,FALSE)&gt;=0,VLOOKUP($A195,'Fleet register'!$A$7:$S$106,10,FALSE)&lt;=120,VLOOKUP($A195,'Fleet register'!$A$7:$S$106,10,FALSE)=INT(VLOOKUP($A195,'Fleet register'!$A$7:$S$106,10,FALSE)),VLOOKUP($A195,'Fleet register'!$A$7:$S$106,15,FALSE)&gt;=0,VLOOKUP($A195,'Fleet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costs'!$B$67)&gt;=0,OR(D195&lt;&gt;"EV",E195=120,AND(MIN('Operating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95" s="1" t="str">
        <f>IF(C195=0,"Excluded",IF(P195&lt;&gt;"Complete",P195,IF(OR('Replacement plan'!$AD$54&lt;120-E195,AND(D195="EV",E195&lt;120,OR('Replacement plan'!$AC$54&lt;120-E195,'Replacement plan'!$I$54="No",AND(ISNUMBER(AF195),AE195&gt;AF195),AI195&gt;V195*(1-'Operating costs'!$B$46)^MAX(0,AB195-1)*(1-'Operating costs'!$B$45),AC195&gt;'Operating costs'!$B$18,AND(T195&lt;1,OR(AG195&lt;=0,AND(ISNUMBER(AH195),AG195&gt;AH195))),'Replacement plan'!$L$54&gt;INDEX(Products!$H$7:$H$13,MATCH('Replacement plan'!$B$54,Products!$A$7:$A$13,0))))),"Fails entered limits",IF(AND(D195="EV",E195&lt;120,OR(NOT(ISNUMBER(VLOOKUP($A195,'Fleet register'!$A$7:$S$106,7,FALSE))),NOT(ISNUMBER(VLOOKUP($A195,'Fleet register'!$A$7:$S$106,8,FALSE))),NOT(ISNUMBER(AF195)),'Replacement plan'!$I$54&lt;&gt;"Yes",NOT(ISNUMBER(AH195)),'Operating costs'!$B$59&lt;&gt;"Yes",'Operating costs'!$B$58&lt;&gt;"Yes")),"Unverified","Within entered limits"))))</f>
        <v>Excluded</v>
      </c>
      <c r="R195" s="1">
        <f>IF(C195=0,0,VLOOKUP($A195,'Fleet register'!$A$7:$S$106,6,FALSE))</f>
        <v>0</v>
      </c>
      <c r="S195" s="1">
        <f>IF(C195=0,0,VLOOKUP($A195,'Fleet register'!$A$7:$S$106,5,FALSE))</f>
        <v>0</v>
      </c>
      <c r="T195" s="1">
        <f>IF(D195="EV",'Energy and charging'!$B$12,0)</f>
        <v>0</v>
      </c>
      <c r="U195" s="1">
        <f>IFERROR(IF(C195=0,0,IF(D195="EV",IF('Replacement plan'!$F$54="",INDEX(Products!$E$7:$E$13,MATCH('Replacement plan'!$B$54,Products!$A$7:$A$13,0)),'Replacement plan'!$F$54)/IF('Replacement plan'!$G$54="Battery",1-'Operating costs'!$B$44,1),0)),"n.a.")</f>
        <v>0</v>
      </c>
      <c r="V195" s="1">
        <f>IFERROR(IF(C195=0,0,IF(D195="EV",IF('Replacement plan'!$E$54="",INDEX(Products!$D$7:$D$13,MATCH('Replacement plan'!$B$54,Products!$A$7:$A$13,0)),'Replacement plan'!$E$54),0)),"n.a.")</f>
        <v>0</v>
      </c>
      <c r="W195" s="1">
        <f>IF(C195=0,0,IF(AND(P195="Complete",D195="EV",E195&lt;120),IF(T195=0,0,ROUNDUP(T195*(R195-'Operating costs'!$B$41)*(S195*U195+'Operating costs'!$B$48/(1-'Operating costs'!$B$44))/(V195*'Operating costs'!$B$47/(1-'Operating costs'!$B$44)-T195*'Operating costs'!$B$12*U195),0)),0))</f>
        <v>0</v>
      </c>
      <c r="X195" s="1">
        <f>IF(C195=0,0,IF(AND(P195="Complete",D195="EV",E195&lt;120),(R195-'Operating costs'!$B$41)*(S195*U195+'Operating costs'!$B$48/(1-'Operating costs'!$B$44))+W195*'Operating costs'!$B$12*U195,0))</f>
        <v>0</v>
      </c>
      <c r="Y195" s="1">
        <f>IF(AND(C195=1,D195="EV",E195&lt;120),AI195/(1-'Operating costs'!$B$44)*(1-T195),0)</f>
        <v>0</v>
      </c>
      <c r="Z195" s="1">
        <f t="shared" si="4"/>
        <v>0</v>
      </c>
      <c r="AA195" s="1">
        <f>IF(C195=0,0,IF(P195="Complete",((S195*(R195-'Operating costs'!$B$40))+ROUNDUP(S195*(R195-'Operating costs'!$B$40)*IF('Replacement plan'!$AH$54="",'Operating costs'!$B$7,'Replacement plan'!$AH$54)/('Operating costs'!$B$8-'Operating costs'!$B$9*IF('Replacement plan'!$AH$54="",'Operating costs'!$B$7,'Replacement plan'!$AH$54)),0)*'Operating costs'!$B$9)*IF('Replacement plan'!$AH$54="",'Operating costs'!$B$7,'Replacement plan'!$AH$54),"n.a."))</f>
        <v>0</v>
      </c>
      <c r="AB195" s="1">
        <f t="shared" si="5"/>
        <v>0</v>
      </c>
      <c r="AC195" s="1">
        <f>IF(AND(C195=1,D195="EV",E195&lt;120,T195&gt;0),'Operating costs'!$B$12/'Operating costs'!$B$11*60+'Operating costs'!$B$13+'Operating costs'!$B$14+V195*'Operating costs'!$B$47/(1-'Operating costs'!$B$44)/'Replacement plan'!$L$54*60,0)</f>
        <v>0</v>
      </c>
      <c r="AD195" s="1" t="str">
        <f>'Replacement plan'!$B$54</f>
        <v>ChengLong L2EV</v>
      </c>
      <c r="AE195" s="1">
        <f>IF(C195=0,0,VLOOKUP($A195,'Fleet register'!$A$7:$S$106,8,FALSE))</f>
        <v>0</v>
      </c>
      <c r="AF195" s="1" t="str">
        <f>IF('Replacement plan'!$H$54="","n.a.",'Replacement plan'!$H$54)</f>
        <v>n.a.</v>
      </c>
      <c r="AG195" s="1">
        <f>'Replacement plan'!$J$54</f>
        <v>22</v>
      </c>
      <c r="AH195" s="1">
        <f>IFERROR(IF(D195="EV",IF('Replacement plan'!$K$54="AC",IF(ISNUMBER(INDEX(Products!$G$7:$G$13,MATCH('Replacement plan'!$B$54,Products!$A$7:$A$13,0))),INDEX(Products!$G$7:$G$13,MATCH('Replacement plan'!$B$54,Products!$A$7:$A$13,0)),"n.a."),IF(ISNUMBER(INDEX(Products!$H$7:$H$13,MATCH('Replacement plan'!$B$54,Products!$A$7:$A$13,0))),INDEX(Products!$H$7:$H$13,MATCH('Replacement plan'!$B$54,Products!$A$7:$A$13,0)),"n.a.")),0),"n.a.")</f>
        <v>0</v>
      </c>
      <c r="AI195" s="1">
        <f>IF(AND(C195=1,D195="EV",E195&lt;120),(VLOOKUP($A195,'Fleet register'!$A$7:$S$106,7,FALSE)+IF(T195&gt;0,'Operating costs'!$B$12,0))*U195*(1-'Operating costs'!$B$44)+'Operating costs'!$B$49,0)</f>
        <v>0</v>
      </c>
      <c r="AJ195" s="1">
        <f>IF(D195="EV",'Energy and charging'!$B$50,0)</f>
        <v>0</v>
      </c>
      <c r="AK195" s="17">
        <f>EDATE('Operating costs'!$B$63,E195)</f>
        <v>46298</v>
      </c>
      <c r="AL195" s="1">
        <f>IFERROR(IF(D195="EV",INDEX(Products!$B$7:$B$13,MATCH('Replacement plan'!$B$54,Products!$A$7:$A$13,0)),0),"n.a.")</f>
        <v>0</v>
      </c>
      <c r="AM195" s="1" t="str">
        <f>'Replacement plan'!$K$54</f>
        <v>DC</v>
      </c>
      <c r="AN195" s="1" t="str">
        <f>'Replacement plan'!$AE$54</f>
        <v>Assumed</v>
      </c>
      <c r="AO195" s="47">
        <f>IF(AND(C195=1,D195="EV",E195&lt;120),(R195-'Operating costs'!$B$41)*S195+W195*'Operating costs'!$B$12,0)</f>
        <v>0</v>
      </c>
      <c r="AP195" s="41">
        <f>IF(AND(C195=1,D195="EV",E195&lt;120),IF('Operating costs'!$B$68="Hong Seh 200k average",AO195*IFERROR(INDEX(Products!$P$7:$P$13,MATCH(AD195,Products!$A$7:$A$13,0)),"n.a."),'Operating costs'!$B$26),0)</f>
        <v>0</v>
      </c>
      <c r="AQ195" s="40" t="str">
        <f>IF(D195="EV",'Operating costs'!$B$68,"Not applicable")</f>
        <v>Not applicable</v>
      </c>
    </row>
    <row r="196" spans="1:43" ht="24" customHeight="1">
      <c r="A196" s="1" t="str">
        <f>'Replacement plan'!A54</f>
        <v>T048</v>
      </c>
      <c r="B196" s="1">
        <v>1</v>
      </c>
      <c r="C196" s="1">
        <f>IF(COUNTIFS('Fleet register'!$A$7:$A$106,$A196)=1,VLOOKUP($A196,'Fleet register'!$A$7:$S$106,2,FALSE),0)</f>
        <v>0</v>
      </c>
      <c r="D196" s="1" t="str">
        <f>IF("New ICE"="EV","EV","ICE")</f>
        <v>ICE</v>
      </c>
      <c r="E196" s="1">
        <f>IF(C196=0,0,0)</f>
        <v>0</v>
      </c>
      <c r="F196" s="16">
        <f>IF(C196=0,0,VLOOKUP($A196,'Fleet register'!$A$7:$S$106,11,FALSE))</f>
        <v>0</v>
      </c>
      <c r="G196" s="16">
        <f>IFERROR(IF(C196=0,0,IF(E196=120,0,IF(D196="ICE",'Replacement plan'!$C$54,IF('Replacement plan'!$D$54="",INDEX(Products!$I$7:$I$13,MATCH('Replacement plan'!$B$54,Products!$A$7:$A$13,0))+'Operating costs'!$B$57,'Replacement plan'!$D$54))*(1+'Operating costs'!$B$50)^(E196/12))),"n.a.")</f>
        <v>0</v>
      </c>
      <c r="H196" s="16">
        <f>IFERROR(IF(C196=0,0,IF(E196=0,F196,VLOOKUP($A196,'Fleet register'!$A$7:$S$106,12,FALSE)+VLOOKUP($A196,'Fleet register'!$A$7:$S$106,13,FALSE)*MAX(0,VLOOKUP($A196,'Fleet register'!$A$7:$S$106,10,FALSE)-E196)/VLOOKUP($A196,'Fleet register'!$A$7:$S$106,14,FALSE))),"n.a.")</f>
        <v>0</v>
      </c>
      <c r="I196" s="16">
        <f>IF(C196=0,0,IF(E196=120,0,IF('Replacement plan'!$AI$54="",'Operating costs'!$B$56,'Replacement plan'!$AI$54)))</f>
        <v>0</v>
      </c>
      <c r="J196" s="16">
        <f>IF(C196=0,0,IF(P196="Complete",((S196*(R196-'Operating costs'!$B$39))+ROUNDUP(S196*(R196-'Operating costs'!$B$39)*IF('Replacement plan'!$AG$54="",'Operating costs'!$B$7,'Replacement plan'!$AG$54)/('Operating costs'!$B$8-'Operating costs'!$B$9*IF('Replacement plan'!$AG$54="",'Operating costs'!$B$7,'Replacement plan'!$AG$54)),0)*'Operating costs'!$B$9)*IF('Replacement plan'!$AG$54="",'Operating costs'!$B$7,'Replacement plan'!$AG$54)*('Energy and charging'!$B$9*'Energy and charging'!$B$7+(1-'Energy and charging'!$B$9)*'Energy and charging'!$B$8)*'Operating costs'!$B$23,"n.a."))</f>
        <v>0</v>
      </c>
      <c r="K196" s="16">
        <f>IF(C196=0,0,IF(P196="Complete",SUM('Operating costs'!$B$24,'Operating costs'!$B$27,'Operating costs'!$B$29,'Operating costs'!$B$31,'Operating costs'!$B$33,'Operating costs'!$B$34,'Operating costs'!$B$37,'Replacement plan'!$W$54)+'Operating costs'!$B$39*'Operating costs'!$B$42+ROUNDUP(S196*(R196-'Operating costs'!$B$39)*IF('Replacement plan'!$AG$54="",'Operating costs'!$B$7,'Replacement plan'!$AG$54)/('Operating costs'!$B$8-'Operating costs'!$B$9*IF('Replacement plan'!$AG$54="",'Operating costs'!$B$7,'Replacement plan'!$AG$54)),0)*('Operating costs'!$B$9/'Operating costs'!$B$11+'Operating costs'!$B$10/60)*'Operating costs'!$B$19*'Operating costs'!$B$21,"n.a."))</f>
        <v>0</v>
      </c>
      <c r="L196" s="16">
        <f>IF(C196=0,0,IF(P196="Complete",IF(D196="EV",X196*((1-T196)*'Energy and charging'!$B$10+T196*'Energy and charging'!$B$11)*'Operating costs'!$B$22,AA196*('Energy and charging'!$B$9*'Energy and charging'!$B$7+(1-'Energy and charging'!$B$9)*'Energy and charging'!$B$8)*'Operating costs'!$B$23),"n.a."))</f>
        <v>0</v>
      </c>
      <c r="M196" s="37">
        <f>IF(C196=0,0,IF(P196="Complete",IF(D196="ICE",SUM('Operating costs'!$B$25,'Operating costs'!$B$27,'Operating costs'!$B$29,'Operating costs'!$B$31,'Operating costs'!$B$33,'Operating costs'!$B$35,'Operating costs'!$B$37,'Replacement plan'!$X$54)+'Operating costs'!$B$40*'Operating costs'!$B$42+ROUNDUP(S196*(R196-'Operating costs'!$B$40)*IF('Replacement plan'!$AH$54="",'Operating costs'!$B$7,'Replacement plan'!$AH$54)/('Operating costs'!$B$8-'Operating costs'!$B$9*IF('Replacement plan'!$AH$54="",'Operating costs'!$B$7,'Replacement plan'!$AH$54)),0)*('Operating costs'!$B$9/'Operating costs'!$B$11+'Operating costs'!$B$10/60)*'Operating costs'!$B$19*'Operating costs'!$B$21,SUM(AP196,'Operating costs'!$B$28,'Operating costs'!$B$30,'Operating costs'!$B$32,'Operating costs'!$B$33,'Operating costs'!$B$36,'Operating costs'!$B$38,'Replacement plan'!$Y$54)+'Operating costs'!$B$41*'Operating costs'!$B$43+W196*'Operating costs'!$B$15+(T196*X196/'Replacement plan'!$L$54+W196*('Operating costs'!$B$12/'Operating costs'!$B$11+('Operating costs'!$B$13+'Operating costs'!$B$14)/60)+(R196-'Operating costs'!$B$41)*(IF(T196&lt;1,'Operating costs'!$B$16,0)+'Operating costs'!$B$17)/60)*'Operating costs'!$B$19*'Operating costs'!$B$20),"n.a."))</f>
        <v>0</v>
      </c>
      <c r="N196" s="16">
        <f>IF(AND(C196=1,D196="EV",E196&lt;120,E196+'Replacement plan'!$AA$54&lt;=120),'Replacement plan'!$Z$54,0)</f>
        <v>0</v>
      </c>
      <c r="O196" s="1">
        <f>E196+'Replacement plan'!$AA$54</f>
        <v>0</v>
      </c>
      <c r="P196" s="35" t="str">
        <f>IFERROR(IF(C196=0,"Excluded",IF(OR(COUNTIFS('Fleet register'!$A$7:$A$106,A196)&lt;&gt;1,COUNTIFS('Replacement plan'!$A$7:$A$106,A196)&lt;&gt;1),"Duplicate/missing ID",IF(NOT(AND(ISNUMBER(VLOOKUP($A196,'Fleet register'!$A$7:$S$106,5,FALSE)),ISNUMBER(VLOOKUP($A196,'Fleet register'!$A$7:$S$106,6,FALSE)),ISNUMBER(VLOOKUP($A196,'Fleet register'!$A$7:$S$106,10,FALSE)),ISNUMBER(VLOOKUP($A196,'Fleet register'!$A$7:$S$106,11,FALSE)),ISNUMBER(VLOOKUP($A196,'Fleet register'!$A$7:$S$106,12,FALSE)),ISNUMBER(VLOOKUP($A196,'Fleet register'!$A$7:$S$106,13,FALSE)),ISNUMBER(VLOOKUP($A196,'Fleet register'!$A$7:$S$106,14,FALSE)),VLOOKUP($A196,'Fleet register'!$A$7:$S$106,14,FALSE)&gt;0,ISNUMBER('Replacement plan'!$C$54),OR(E196=120,OR(ISNUMBER('Replacement plan'!$AI$54),AND('Replacement plan'!$AI$54="",ISNUMBER('Operating costs'!$B$56)))),ISNUMBER(E196))),"Missing vehicle input",IF(OR(E196&lt;0,E196&gt;VLOOKUP($A196,'Fleet register'!$A$7:$S$106,10,FALSE),E196&gt;120,E196&lt;&gt;INT(E196),VLOOKUP($A196,'Fleet register'!$A$7:$S$106,6,FALSE)&lt;=0,VLOOKUP($A196,'Fleet register'!$A$7:$S$106,6,FALSE)&gt;366,VLOOKUP($A196,'Fleet register'!$A$7:$S$106,5,FALSE)&lt;0,VLOOKUP($A196,'Fleet register'!$A$7:$S$106,11,FALSE)&lt;0,I196&lt;0,'Operating costs'!$B$8&lt;='Operating costs'!$B$7*'Operating costs'!$B$9,'Operating costs'!$B$11&lt;=0,'Operating costs'!$B$39&gt;R196,'Operating costs'!$B$40&gt;R196,'Operating costs'!$B$41&gt;R196,NOT(OR("New ICE"="Keep ICE","New ICE"="New ICE","New ICE"="EV"))),"Invalid vehicle input",IF(AND(D196="EV",E196&lt;120,OR(NOT(ISNUMBER(U196)),NOT(ISNUMBER(V196)),V196&lt;=0,T196&lt;0,T196&gt;1,'Replacement plan'!$L$54&lt;=0,'Operating costs'!$B$44&lt;0,'Operating costs'!$B$44&gt;=1,'Operating costs'!$B$47&lt;=0,'Operating costs'!$B$47&gt;1,V196*'Operating costs'!$B$47/(1-'Operating costs'!$B$44)&lt;=T196*'Operating costs'!$B$12*U196,AND('Replacement plan'!$Z$54&gt;0,OR('Replacement plan'!$AB$54&lt;&gt;"Yes",'Operating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charging'!$B$8&gt;=0))),ISNUMBER(VLOOKUP($A196,'Fleet register'!$A$7:$S$106,15,FALSE)),ISNUMBER(VLOOKUP($A196,'Fleet register'!$A$7:$S$106,16,FALSE)),ISNUMBER('Replacement plan'!$W$54),ISNUMBER('Replacement plan'!$X$54),OR(E196=120,AND(ISNUMBER(G196),G196&gt;=0)),ISNUMBER(H196),H196&gt;=0,OR(D196&lt;&gt;"EV",E196=120,AND(ISNUMBER('Operating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average",ISNUMBER(IFERROR(INDEX(Products!$P$7:$P$13,MATCH(AD196,Products!$A$7:$A$13,0)),"")))),ISNUMBER('Operating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plan'!$Y$54),ISNUMBER('Replacement plan'!$Z$54),'Replacement plan'!$Z$54&gt;=0,ISNUMBER('Replacement plan'!$AA$54),'Replacement plan'!$AA$54&gt;=0,'Replacement plan'!$AA$54=INT('Replacement plan'!$AA$54),ISNUMBER('Replacement plan'!$L$54))),'Operating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plan'!$AG$54="",'Operating costs'!$B$7,'Replacement plan'!$AG$54)),IF('Replacement plan'!$AG$54="",'Operating costs'!$B$7,'Replacement plan'!$AG$54)&gt;=0,ISNUMBER(IF('Replacement plan'!$AH$54="",'Operating costs'!$B$7,'Replacement plan'!$AH$54)),IF('Replacement plan'!$AH$54="",'Operating costs'!$B$7,'Replacement plan'!$AH$54)&gt;=0,'Operating costs'!$B$8&gt;MAX(IF('Replacement plan'!$AG$54="",'Operating costs'!$B$7,'Replacement plan'!$AG$54),IF('Replacement plan'!$AH$54="",'Operating costs'!$B$7,'Replacement plan'!$AH$54))*'Operating costs'!$B$9),IF(AND(VLOOKUP($A196,'Fleet register'!$A$7:$S$106,10,FALSE)&gt;=0,VLOOKUP($A196,'Fleet register'!$A$7:$S$106,10,FALSE)&lt;=120,VLOOKUP($A196,'Fleet register'!$A$7:$S$106,10,FALSE)=INT(VLOOKUP($A196,'Fleet register'!$A$7:$S$106,10,FALSE)),VLOOKUP($A196,'Fleet register'!$A$7:$S$106,15,FALSE)&gt;=0,VLOOKUP($A196,'Fleet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costs'!$B$67)&gt;=0,OR(D196&lt;&gt;"EV",E196=120,AND(MIN('Operating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96" s="1" t="str">
        <f>IF(C196=0,"Excluded",IF(P196&lt;&gt;"Complete",P196,IF(OR('Replacement plan'!$AD$54&lt;120-E196,AND(D196="EV",E196&lt;120,OR('Replacement plan'!$AC$54&lt;120-E196,'Replacement plan'!$I$54="No",AND(ISNUMBER(AF196),AE196&gt;AF196),AI196&gt;V196*(1-'Operating costs'!$B$46)^MAX(0,AB196-1)*(1-'Operating costs'!$B$45),AC196&gt;'Operating costs'!$B$18,AND(T196&lt;1,OR(AG196&lt;=0,AND(ISNUMBER(AH196),AG196&gt;AH196))),'Replacement plan'!$L$54&gt;INDEX(Products!$H$7:$H$13,MATCH('Replacement plan'!$B$54,Products!$A$7:$A$13,0))))),"Fails entered limits",IF(AND(D196="EV",E196&lt;120,OR(NOT(ISNUMBER(VLOOKUP($A196,'Fleet register'!$A$7:$S$106,7,FALSE))),NOT(ISNUMBER(VLOOKUP($A196,'Fleet register'!$A$7:$S$106,8,FALSE))),NOT(ISNUMBER(AF196)),'Replacement plan'!$I$54&lt;&gt;"Yes",NOT(ISNUMBER(AH196)),'Operating costs'!$B$59&lt;&gt;"Yes",'Operating costs'!$B$58&lt;&gt;"Yes")),"Unverified","Within entered limits"))))</f>
        <v>Excluded</v>
      </c>
      <c r="R196" s="1">
        <f>IF(C196=0,0,VLOOKUP($A196,'Fleet register'!$A$7:$S$106,6,FALSE))</f>
        <v>0</v>
      </c>
      <c r="S196" s="1">
        <f>IF(C196=0,0,VLOOKUP($A196,'Fleet register'!$A$7:$S$106,5,FALSE))</f>
        <v>0</v>
      </c>
      <c r="T196" s="1">
        <f>IF(D196="EV",'Energy and charging'!$B$12,0)</f>
        <v>0</v>
      </c>
      <c r="U196" s="1">
        <f>IFERROR(IF(C196=0,0,IF(D196="EV",IF('Replacement plan'!$F$54="",INDEX(Products!$E$7:$E$13,MATCH('Replacement plan'!$B$54,Products!$A$7:$A$13,0)),'Replacement plan'!$F$54)/IF('Replacement plan'!$G$54="Battery",1-'Operating costs'!$B$44,1),0)),"n.a.")</f>
        <v>0</v>
      </c>
      <c r="V196" s="1">
        <f>IFERROR(IF(C196=0,0,IF(D196="EV",IF('Replacement plan'!$E$54="",INDEX(Products!$D$7:$D$13,MATCH('Replacement plan'!$B$54,Products!$A$7:$A$13,0)),'Replacement plan'!$E$54),0)),"n.a.")</f>
        <v>0</v>
      </c>
      <c r="W196" s="1">
        <f>IF(C196=0,0,IF(AND(P196="Complete",D196="EV",E196&lt;120),IF(T196=0,0,ROUNDUP(T196*(R196-'Operating costs'!$B$41)*(S196*U196+'Operating costs'!$B$48/(1-'Operating costs'!$B$44))/(V196*'Operating costs'!$B$47/(1-'Operating costs'!$B$44)-T196*'Operating costs'!$B$12*U196),0)),0))</f>
        <v>0</v>
      </c>
      <c r="X196" s="1">
        <f>IF(C196=0,0,IF(AND(P196="Complete",D196="EV",E196&lt;120),(R196-'Operating costs'!$B$41)*(S196*U196+'Operating costs'!$B$48/(1-'Operating costs'!$B$44))+W196*'Operating costs'!$B$12*U196,0))</f>
        <v>0</v>
      </c>
      <c r="Y196" s="1">
        <f>IF(AND(C196=1,D196="EV",E196&lt;120),AI196/(1-'Operating costs'!$B$44)*(1-T196),0)</f>
        <v>0</v>
      </c>
      <c r="Z196" s="1">
        <f t="shared" si="4"/>
        <v>0</v>
      </c>
      <c r="AA196" s="1">
        <f>IF(C196=0,0,IF(P196="Complete",((S196*(R196-'Operating costs'!$B$40))+ROUNDUP(S196*(R196-'Operating costs'!$B$40)*IF('Replacement plan'!$AH$54="",'Operating costs'!$B$7,'Replacement plan'!$AH$54)/('Operating costs'!$B$8-'Operating costs'!$B$9*IF('Replacement plan'!$AH$54="",'Operating costs'!$B$7,'Replacement plan'!$AH$54)),0)*'Operating costs'!$B$9)*IF('Replacement plan'!$AH$54="",'Operating costs'!$B$7,'Replacement plan'!$AH$54),"n.a."))</f>
        <v>0</v>
      </c>
      <c r="AB196" s="1">
        <f t="shared" si="5"/>
        <v>0</v>
      </c>
      <c r="AC196" s="1">
        <f>IF(AND(C196=1,D196="EV",E196&lt;120,T196&gt;0),'Operating costs'!$B$12/'Operating costs'!$B$11*60+'Operating costs'!$B$13+'Operating costs'!$B$14+V196*'Operating costs'!$B$47/(1-'Operating costs'!$B$44)/'Replacement plan'!$L$54*60,0)</f>
        <v>0</v>
      </c>
      <c r="AD196" s="1" t="str">
        <f>'Replacement plan'!$B$54</f>
        <v>ChengLong L2EV</v>
      </c>
      <c r="AE196" s="1">
        <f>IF(C196=0,0,VLOOKUP($A196,'Fleet register'!$A$7:$S$106,8,FALSE))</f>
        <v>0</v>
      </c>
      <c r="AF196" s="1" t="str">
        <f>IF('Replacement plan'!$H$54="","n.a.",'Replacement plan'!$H$54)</f>
        <v>n.a.</v>
      </c>
      <c r="AG196" s="1">
        <f>'Replacement plan'!$J$54</f>
        <v>22</v>
      </c>
      <c r="AH196" s="1">
        <f>IFERROR(IF(D196="EV",IF('Replacement plan'!$K$54="AC",IF(ISNUMBER(INDEX(Products!$G$7:$G$13,MATCH('Replacement plan'!$B$54,Products!$A$7:$A$13,0))),INDEX(Products!$G$7:$G$13,MATCH('Replacement plan'!$B$54,Products!$A$7:$A$13,0)),"n.a."),IF(ISNUMBER(INDEX(Products!$H$7:$H$13,MATCH('Replacement plan'!$B$54,Products!$A$7:$A$13,0))),INDEX(Products!$H$7:$H$13,MATCH('Replacement plan'!$B$54,Products!$A$7:$A$13,0)),"n.a.")),0),"n.a.")</f>
        <v>0</v>
      </c>
      <c r="AI196" s="1">
        <f>IF(AND(C196=1,D196="EV",E196&lt;120),(VLOOKUP($A196,'Fleet register'!$A$7:$S$106,7,FALSE)+IF(T196&gt;0,'Operating costs'!$B$12,0))*U196*(1-'Operating costs'!$B$44)+'Operating costs'!$B$49,0)</f>
        <v>0</v>
      </c>
      <c r="AJ196" s="1">
        <f>IF(D196="EV",'Energy and charging'!$B$50,0)</f>
        <v>0</v>
      </c>
      <c r="AK196" s="17">
        <f>EDATE('Operating costs'!$B$63,E196)</f>
        <v>46298</v>
      </c>
      <c r="AL196" s="1">
        <f>IFERROR(IF(D196="EV",INDEX(Products!$B$7:$B$13,MATCH('Replacement plan'!$B$54,Products!$A$7:$A$13,0)),0),"n.a.")</f>
        <v>0</v>
      </c>
      <c r="AM196" s="1" t="str">
        <f>'Replacement plan'!$K$54</f>
        <v>DC</v>
      </c>
      <c r="AN196" s="1" t="str">
        <f>'Replacement plan'!$AE$54</f>
        <v>Assumed</v>
      </c>
      <c r="AO196" s="47">
        <f>IF(AND(C196=1,D196="EV",E196&lt;120),(R196-'Operating costs'!$B$41)*S196+W196*'Operating costs'!$B$12,0)</f>
        <v>0</v>
      </c>
      <c r="AP196" s="41">
        <f>IF(AND(C196=1,D196="EV",E196&lt;120),IF('Operating costs'!$B$68="Hong Seh 200k average",AO196*IFERROR(INDEX(Products!$P$7:$P$13,MATCH(AD196,Products!$A$7:$A$13,0)),"n.a."),'Operating costs'!$B$26),0)</f>
        <v>0</v>
      </c>
      <c r="AQ196" s="40" t="str">
        <f>IF(D196="EV",'Operating costs'!$B$68,"Not applicable")</f>
        <v>Not applicable</v>
      </c>
    </row>
    <row r="197" spans="1:43" ht="24" customHeight="1">
      <c r="A197" s="1" t="str">
        <f>'Replacement plan'!A54</f>
        <v>T048</v>
      </c>
      <c r="B197" s="1">
        <v>2</v>
      </c>
      <c r="C197" s="1">
        <f>IF(COUNTIFS('Fleet register'!$A$7:$A$106,$A197)=1,VLOOKUP($A197,'Fleet register'!$A$7:$S$106,2,FALSE),0)</f>
        <v>0</v>
      </c>
      <c r="D197" s="1" t="str">
        <f>IF('Replacement plan'!$O$54="EV","EV","ICE")</f>
        <v>ICE</v>
      </c>
      <c r="E197" s="1">
        <f>IF(C197=0,0,IF('Replacement plan'!$P$54="",IF('Replacement plan'!$O$54="Keep ICE",IF('Replacement plan'!$M$54="",VLOOKUP($A197,'Fleet register'!$A$7:$S$106,10,FALSE),'Replacement plan'!$M$54),0),'Replacement plan'!$P$54))</f>
        <v>0</v>
      </c>
      <c r="F197" s="16">
        <f>IF(C197=0,0,VLOOKUP($A197,'Fleet register'!$A$7:$S$106,11,FALSE))</f>
        <v>0</v>
      </c>
      <c r="G197" s="16">
        <f>IFERROR(IF(C197=0,0,IF(E197=120,0,IF(D197="ICE",'Replacement plan'!$C$54,IF('Replacement plan'!$D$54="",INDEX(Products!$I$7:$I$13,MATCH('Replacement plan'!$B$54,Products!$A$7:$A$13,0))+'Operating costs'!$B$57,'Replacement plan'!$D$54))*(1+'Operating costs'!$B$50)^(E197/12))),"n.a.")</f>
        <v>0</v>
      </c>
      <c r="H197" s="16">
        <f>IFERROR(IF(C197=0,0,IF('Replacement plan'!$U$54&lt;&gt;"",'Replacement plan'!$U$54,IF(E197=0,F197,VLOOKUP($A197,'Fleet register'!$A$7:$S$106,12,FALSE)+VLOOKUP($A197,'Fleet register'!$A$7:$S$106,13,FALSE)*MAX(0,VLOOKUP($A197,'Fleet register'!$A$7:$S$106,10,FALSE)-E197)/VLOOKUP($A197,'Fleet register'!$A$7:$S$106,14,FALSE)))),"n.a.")</f>
        <v>0</v>
      </c>
      <c r="I197" s="16">
        <f>IF(C197=0,0,IF(E197=120,0,'Replacement plan'!$Q$54))</f>
        <v>0</v>
      </c>
      <c r="J197" s="16">
        <f>IF(C197=0,0,IF(P197="Complete",((S197*(R197-'Operating costs'!$B$39))+ROUNDUP(S197*(R197-'Operating costs'!$B$39)*IF('Replacement plan'!$AG$54="",'Operating costs'!$B$7,'Replacement plan'!$AG$54)/('Operating costs'!$B$8-'Operating costs'!$B$9*IF('Replacement plan'!$AG$54="",'Operating costs'!$B$7,'Replacement plan'!$AG$54)),0)*'Operating costs'!$B$9)*IF('Replacement plan'!$AG$54="",'Operating costs'!$B$7,'Replacement plan'!$AG$54)*('Energy and charging'!$B$9*'Energy and charging'!$B$7+(1-'Energy and charging'!$B$9)*'Energy and charging'!$B$8)*'Operating costs'!$B$23,"n.a."))</f>
        <v>0</v>
      </c>
      <c r="K197" s="16">
        <f>IF(C197=0,0,IF(P197="Complete",SUM('Operating costs'!$B$24,'Operating costs'!$B$27,'Operating costs'!$B$29,'Operating costs'!$B$31,'Operating costs'!$B$33,'Operating costs'!$B$34,'Operating costs'!$B$37,'Replacement plan'!$W$54)+'Operating costs'!$B$39*'Operating costs'!$B$42+ROUNDUP(S197*(R197-'Operating costs'!$B$39)*IF('Replacement plan'!$AG$54="",'Operating costs'!$B$7,'Replacement plan'!$AG$54)/('Operating costs'!$B$8-'Operating costs'!$B$9*IF('Replacement plan'!$AG$54="",'Operating costs'!$B$7,'Replacement plan'!$AG$54)),0)*('Operating costs'!$B$9/'Operating costs'!$B$11+'Operating costs'!$B$10/60)*'Operating costs'!$B$19*'Operating costs'!$B$21,"n.a."))</f>
        <v>0</v>
      </c>
      <c r="L197" s="16">
        <f>IF(C197=0,0,IF(P197="Complete",IF(D197="EV",X197*((1-T197)*'Energy and charging'!$B$10+T197*'Energy and charging'!$B$11)*'Operating costs'!$B$22,AA197*('Energy and charging'!$B$9*'Energy and charging'!$B$7+(1-'Energy and charging'!$B$9)*'Energy and charging'!$B$8)*'Operating costs'!$B$23),"n.a."))</f>
        <v>0</v>
      </c>
      <c r="M197" s="37">
        <f>IF(C197=0,0,IF(P197="Complete",IF(D197="ICE",SUM('Operating costs'!$B$25,'Operating costs'!$B$27,'Operating costs'!$B$29,'Operating costs'!$B$31,'Operating costs'!$B$33,'Operating costs'!$B$35,'Operating costs'!$B$37,'Replacement plan'!$X$54)+'Operating costs'!$B$40*'Operating costs'!$B$42+ROUNDUP(S197*(R197-'Operating costs'!$B$40)*IF('Replacement plan'!$AH$54="",'Operating costs'!$B$7,'Replacement plan'!$AH$54)/('Operating costs'!$B$8-'Operating costs'!$B$9*IF('Replacement plan'!$AH$54="",'Operating costs'!$B$7,'Replacement plan'!$AH$54)),0)*('Operating costs'!$B$9/'Operating costs'!$B$11+'Operating costs'!$B$10/60)*'Operating costs'!$B$19*'Operating costs'!$B$21,SUM(AP197,'Operating costs'!$B$28,'Operating costs'!$B$30,'Operating costs'!$B$32,'Operating costs'!$B$33,'Operating costs'!$B$36,'Operating costs'!$B$38,'Replacement plan'!$Y$54)+'Operating costs'!$B$41*'Operating costs'!$B$43+W197*'Operating costs'!$B$15+(T197*X197/'Replacement plan'!$L$54+W197*('Operating costs'!$B$12/'Operating costs'!$B$11+('Operating costs'!$B$13+'Operating costs'!$B$14)/60)+(R197-'Operating costs'!$B$41)*(IF(T197&lt;1,'Operating costs'!$B$16,0)+'Operating costs'!$B$17)/60)*'Operating costs'!$B$19*'Operating costs'!$B$20),"n.a."))</f>
        <v>0</v>
      </c>
      <c r="N197" s="16">
        <f>IF(AND(C197=1,D197="EV",E197&lt;120,E197+'Replacement plan'!$AA$54&lt;=120),'Replacement plan'!$Z$54,0)</f>
        <v>0</v>
      </c>
      <c r="O197" s="1">
        <f>E197+'Replacement plan'!$AA$54</f>
        <v>0</v>
      </c>
      <c r="P197" s="35" t="str">
        <f>IFERROR(IF(C197=0,"Excluded",IF(OR(COUNTIFS('Fleet register'!$A$7:$A$106,A197)&lt;&gt;1,COUNTIFS('Replacement plan'!$A$7:$A$106,A197)&lt;&gt;1),"Duplicate/missing ID",IF(NOT(AND(ISNUMBER(VLOOKUP($A197,'Fleet register'!$A$7:$S$106,5,FALSE)),ISNUMBER(VLOOKUP($A197,'Fleet register'!$A$7:$S$106,6,FALSE)),ISNUMBER(VLOOKUP($A197,'Fleet register'!$A$7:$S$106,10,FALSE)),ISNUMBER(VLOOKUP($A197,'Fleet register'!$A$7:$S$106,11,FALSE)),ISNUMBER(VLOOKUP($A197,'Fleet register'!$A$7:$S$106,12,FALSE)),ISNUMBER(VLOOKUP($A197,'Fleet register'!$A$7:$S$106,13,FALSE)),ISNUMBER(VLOOKUP($A197,'Fleet register'!$A$7:$S$106,14,FALSE)),VLOOKUP($A197,'Fleet register'!$A$7:$S$106,14,FALSE)&gt;0,ISNUMBER('Replacement plan'!$C$54),OR(E197=120,ISNUMBER('Replacement plan'!$Q$54)),ISNUMBER(E197))),"Missing vehicle input",IF(OR(E197&lt;0,E197&gt;VLOOKUP($A197,'Fleet register'!$A$7:$S$106,10,FALSE),E197&gt;120,E197&lt;&gt;INT(E197),VLOOKUP($A197,'Fleet register'!$A$7:$S$106,6,FALSE)&lt;=0,VLOOKUP($A197,'Fleet register'!$A$7:$S$106,6,FALSE)&gt;366,VLOOKUP($A197,'Fleet register'!$A$7:$S$106,5,FALSE)&lt;0,VLOOKUP($A197,'Fleet register'!$A$7:$S$106,11,FALSE)&lt;0,I197&lt;0,'Operating costs'!$B$8&lt;='Operating costs'!$B$7*'Operating costs'!$B$9,'Operating costs'!$B$11&lt;=0,'Operating costs'!$B$39&gt;R197,'Operating costs'!$B$40&gt;R197,'Operating costs'!$B$41&gt;R197,NOT(OR('Replacement plan'!$O$54="Keep ICE",'Replacement plan'!$O$54="New ICE",'Replacement plan'!$O$54="EV"))),"Invalid vehicle input",IF(AND(D197="EV",E197&lt;120,OR(NOT(ISNUMBER(U197)),NOT(ISNUMBER(V197)),V197&lt;=0,T197&lt;0,T197&gt;1,'Replacement plan'!$L$54&lt;=0,'Operating costs'!$B$44&lt;0,'Operating costs'!$B$44&gt;=1,'Operating costs'!$B$47&lt;=0,'Operating costs'!$B$47&gt;1,V197*'Operating costs'!$B$47/(1-'Operating costs'!$B$44)&lt;=T197*'Operating costs'!$B$12*U197,AND('Replacement plan'!$Z$54&gt;0,OR('Replacement plan'!$AB$54&lt;&gt;"Yes",'Operating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charging'!$B$8&gt;=0))),ISNUMBER(VLOOKUP($A197,'Fleet register'!$A$7:$S$106,15,FALSE)),ISNUMBER(VLOOKUP($A197,'Fleet register'!$A$7:$S$106,16,FALSE)),ISNUMBER('Replacement plan'!$W$54),ISNUMBER('Replacement plan'!$X$54),OR(E197=120,AND(ISNUMBER(G197),G197&gt;=0)),ISNUMBER(H197),H197&gt;=0,OR(D197&lt;&gt;"EV",E197=120,AND(ISNUMBER('Operating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average",ISNUMBER(IFERROR(INDEX(Products!$P$7:$P$13,MATCH(AD197,Products!$A$7:$A$13,0)),"")))),ISNUMBER('Operating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plan'!$Y$54),ISNUMBER('Replacement plan'!$Z$54),'Replacement plan'!$Z$54&gt;=0,ISNUMBER('Replacement plan'!$AA$54),'Replacement plan'!$AA$54&gt;=0,'Replacement plan'!$AA$54=INT('Replacement plan'!$AA$54),ISNUMBER('Replacement plan'!$L$54))),'Operating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plan'!$AG$54="",'Operating costs'!$B$7,'Replacement plan'!$AG$54)),IF('Replacement plan'!$AG$54="",'Operating costs'!$B$7,'Replacement plan'!$AG$54)&gt;=0,ISNUMBER(IF('Replacement plan'!$AH$54="",'Operating costs'!$B$7,'Replacement plan'!$AH$54)),IF('Replacement plan'!$AH$54="",'Operating costs'!$B$7,'Replacement plan'!$AH$54)&gt;=0,'Operating costs'!$B$8&gt;MAX(IF('Replacement plan'!$AG$54="",'Operating costs'!$B$7,'Replacement plan'!$AG$54),IF('Replacement plan'!$AH$54="",'Operating costs'!$B$7,'Replacement plan'!$AH$54))*'Operating costs'!$B$9),IF(AND(VLOOKUP($A197,'Fleet register'!$A$7:$S$106,10,FALSE)&gt;=0,VLOOKUP($A197,'Fleet register'!$A$7:$S$106,10,FALSE)&lt;=120,VLOOKUP($A197,'Fleet register'!$A$7:$S$106,10,FALSE)=INT(VLOOKUP($A197,'Fleet register'!$A$7:$S$106,10,FALSE)),VLOOKUP($A197,'Fleet register'!$A$7:$S$106,15,FALSE)&gt;=0,VLOOKUP($A197,'Fleet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costs'!$B$67)&gt;=0,OR(D197&lt;&gt;"EV",E197=120,AND(MIN('Operating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97" s="1" t="str">
        <f>IF(C197=0,"Excluded",IF(P197&lt;&gt;"Complete",P197,IF(OR('Replacement plan'!$AD$54&lt;120-E197,AND(D197="EV",E197&lt;120,OR('Replacement plan'!$AC$54&lt;120-E197,'Replacement plan'!$I$54="No",AND(ISNUMBER(AF197),AE197&gt;AF197),AI197&gt;V197*(1-'Operating costs'!$B$46)^MAX(0,AB197-1)*(1-'Operating costs'!$B$45),AC197&gt;'Operating costs'!$B$18,AND(T197&lt;1,OR(AG197&lt;=0,AND(ISNUMBER(AH197),AG197&gt;AH197))),'Replacement plan'!$L$54&gt;INDEX(Products!$H$7:$H$13,MATCH('Replacement plan'!$B$54,Products!$A$7:$A$13,0))))),"Fails entered limits",IF(AND(D197="EV",E197&lt;120,OR(NOT(ISNUMBER(VLOOKUP($A197,'Fleet register'!$A$7:$S$106,7,FALSE))),NOT(ISNUMBER(VLOOKUP($A197,'Fleet register'!$A$7:$S$106,8,FALSE))),NOT(ISNUMBER(AF197)),'Replacement plan'!$I$54&lt;&gt;"Yes",NOT(ISNUMBER(AH197)),'Operating costs'!$B$59&lt;&gt;"Yes",'Operating costs'!$B$58&lt;&gt;"Yes")),"Unverified","Within entered limits"))))</f>
        <v>Excluded</v>
      </c>
      <c r="R197" s="1">
        <f>IF(C197=0,0,VLOOKUP($A197,'Fleet register'!$A$7:$S$106,6,FALSE))</f>
        <v>0</v>
      </c>
      <c r="S197" s="1">
        <f>IF(C197=0,0,VLOOKUP($A197,'Fleet register'!$A$7:$S$106,5,FALSE))</f>
        <v>0</v>
      </c>
      <c r="T197" s="1">
        <f>IF(D197="EV",'Energy and charging'!$B$12,0)</f>
        <v>0</v>
      </c>
      <c r="U197" s="1">
        <f>IFERROR(IF(C197=0,0,IF(D197="EV",IF('Replacement plan'!$F$54="",INDEX(Products!$E$7:$E$13,MATCH('Replacement plan'!$B$54,Products!$A$7:$A$13,0)),'Replacement plan'!$F$54)/IF('Replacement plan'!$G$54="Battery",1-'Operating costs'!$B$44,1),0)),"n.a.")</f>
        <v>0</v>
      </c>
      <c r="V197" s="1">
        <f>IFERROR(IF(C197=0,0,IF(D197="EV",IF('Replacement plan'!$E$54="",INDEX(Products!$D$7:$D$13,MATCH('Replacement plan'!$B$54,Products!$A$7:$A$13,0)),'Replacement plan'!$E$54),0)),"n.a.")</f>
        <v>0</v>
      </c>
      <c r="W197" s="1">
        <f>IF(C197=0,0,IF(AND(P197="Complete",D197="EV",E197&lt;120),IF(T197=0,0,ROUNDUP(T197*(R197-'Operating costs'!$B$41)*(S197*U197+'Operating costs'!$B$48/(1-'Operating costs'!$B$44))/(V197*'Operating costs'!$B$47/(1-'Operating costs'!$B$44)-T197*'Operating costs'!$B$12*U197),0)),0))</f>
        <v>0</v>
      </c>
      <c r="X197" s="1">
        <f>IF(C197=0,0,IF(AND(P197="Complete",D197="EV",E197&lt;120),(R197-'Operating costs'!$B$41)*(S197*U197+'Operating costs'!$B$48/(1-'Operating costs'!$B$44))+W197*'Operating costs'!$B$12*U197,0))</f>
        <v>0</v>
      </c>
      <c r="Y197" s="1">
        <f>IF(AND(C197=1,D197="EV",E197&lt;120),AI197/(1-'Operating costs'!$B$44)*(1-T197),0)</f>
        <v>0</v>
      </c>
      <c r="Z197" s="1">
        <f t="shared" si="4"/>
        <v>0</v>
      </c>
      <c r="AA197" s="1">
        <f>IF(C197=0,0,IF(P197="Complete",((S197*(R197-'Operating costs'!$B$40))+ROUNDUP(S197*(R197-'Operating costs'!$B$40)*IF('Replacement plan'!$AH$54="",'Operating costs'!$B$7,'Replacement plan'!$AH$54)/('Operating costs'!$B$8-'Operating costs'!$B$9*IF('Replacement plan'!$AH$54="",'Operating costs'!$B$7,'Replacement plan'!$AH$54)),0)*'Operating costs'!$B$9)*IF('Replacement plan'!$AH$54="",'Operating costs'!$B$7,'Replacement plan'!$AH$54),"n.a."))</f>
        <v>0</v>
      </c>
      <c r="AB197" s="1">
        <f t="shared" si="5"/>
        <v>0</v>
      </c>
      <c r="AC197" s="1">
        <f>IF(AND(C197=1,D197="EV",E197&lt;120,T197&gt;0),'Operating costs'!$B$12/'Operating costs'!$B$11*60+'Operating costs'!$B$13+'Operating costs'!$B$14+V197*'Operating costs'!$B$47/(1-'Operating costs'!$B$44)/'Replacement plan'!$L$54*60,0)</f>
        <v>0</v>
      </c>
      <c r="AD197" s="1" t="str">
        <f>'Replacement plan'!$B$54</f>
        <v>ChengLong L2EV</v>
      </c>
      <c r="AE197" s="1">
        <f>IF(C197=0,0,VLOOKUP($A197,'Fleet register'!$A$7:$S$106,8,FALSE))</f>
        <v>0</v>
      </c>
      <c r="AF197" s="1" t="str">
        <f>IF('Replacement plan'!$H$54="","n.a.",'Replacement plan'!$H$54)</f>
        <v>n.a.</v>
      </c>
      <c r="AG197" s="1">
        <f>'Replacement plan'!$J$54</f>
        <v>22</v>
      </c>
      <c r="AH197" s="1">
        <f>IFERROR(IF(D197="EV",IF('Replacement plan'!$K$54="AC",IF(ISNUMBER(INDEX(Products!$G$7:$G$13,MATCH('Replacement plan'!$B$54,Products!$A$7:$A$13,0))),INDEX(Products!$G$7:$G$13,MATCH('Replacement plan'!$B$54,Products!$A$7:$A$13,0)),"n.a."),IF(ISNUMBER(INDEX(Products!$H$7:$H$13,MATCH('Replacement plan'!$B$54,Products!$A$7:$A$13,0))),INDEX(Products!$H$7:$H$13,MATCH('Replacement plan'!$B$54,Products!$A$7:$A$13,0)),"n.a.")),0),"n.a.")</f>
        <v>0</v>
      </c>
      <c r="AI197" s="1">
        <f>IF(AND(C197=1,D197="EV",E197&lt;120),(VLOOKUP($A197,'Fleet register'!$A$7:$S$106,7,FALSE)+IF(T197&gt;0,'Operating costs'!$B$12,0))*U197*(1-'Operating costs'!$B$44)+'Operating costs'!$B$49,0)</f>
        <v>0</v>
      </c>
      <c r="AJ197" s="1">
        <f>IF(D197="EV",'Energy and charging'!$B$50,0)</f>
        <v>0</v>
      </c>
      <c r="AK197" s="17">
        <f>EDATE('Operating costs'!$B$63,E197)</f>
        <v>46298</v>
      </c>
      <c r="AL197" s="1">
        <f>IFERROR(IF(D197="EV",INDEX(Products!$B$7:$B$13,MATCH('Replacement plan'!$B$54,Products!$A$7:$A$13,0)),0),"n.a.")</f>
        <v>0</v>
      </c>
      <c r="AM197" s="1" t="str">
        <f>'Replacement plan'!$K$54</f>
        <v>DC</v>
      </c>
      <c r="AN197" s="1" t="str">
        <f>'Replacement plan'!$AE$54</f>
        <v>Assumed</v>
      </c>
      <c r="AO197" s="47">
        <f>IF(AND(C197=1,D197="EV",E197&lt;120),(R197-'Operating costs'!$B$41)*S197+W197*'Operating costs'!$B$12,0)</f>
        <v>0</v>
      </c>
      <c r="AP197" s="41">
        <f>IF(AND(C197=1,D197="EV",E197&lt;120),IF('Operating costs'!$B$68="Hong Seh 200k average",AO197*IFERROR(INDEX(Products!$P$7:$P$13,MATCH(AD197,Products!$A$7:$A$13,0)),"n.a."),'Operating costs'!$B$26),0)</f>
        <v>0</v>
      </c>
      <c r="AQ197" s="40" t="str">
        <f>IF(D197="EV",'Operating costs'!$B$68,"Not applicable")</f>
        <v>Not applicable</v>
      </c>
    </row>
    <row r="198" spans="1:43" ht="24" customHeight="1">
      <c r="A198" s="1" t="str">
        <f>'Replacement plan'!A54</f>
        <v>T048</v>
      </c>
      <c r="B198" s="1">
        <v>3</v>
      </c>
      <c r="C198" s="1">
        <f>IF(COUNTIFS('Fleet register'!$A$7:$A$106,$A198)=1,VLOOKUP($A198,'Fleet register'!$A$7:$S$106,2,FALSE),0)</f>
        <v>0</v>
      </c>
      <c r="D198" s="1" t="str">
        <f>IF('Replacement plan'!$R$54="EV","EV","ICE")</f>
        <v>ICE</v>
      </c>
      <c r="E198" s="1">
        <f>IF(C198=0,0,IF('Replacement plan'!$S$54="",IF('Replacement plan'!$R$54="Keep ICE",IF('Replacement plan'!$M$54="",VLOOKUP($A198,'Fleet register'!$A$7:$S$106,10,FALSE),'Replacement plan'!$M$54),0),'Replacement plan'!$S$54))</f>
        <v>0</v>
      </c>
      <c r="F198" s="16">
        <f>IF(C198=0,0,VLOOKUP($A198,'Fleet register'!$A$7:$S$106,11,FALSE))</f>
        <v>0</v>
      </c>
      <c r="G198" s="16">
        <f>IFERROR(IF(C198=0,0,IF(E198=120,0,IF(D198="ICE",'Replacement plan'!$C$54,IF('Replacement plan'!$D$54="",INDEX(Products!$I$7:$I$13,MATCH('Replacement plan'!$B$54,Products!$A$7:$A$13,0))+'Operating costs'!$B$57,'Replacement plan'!$D$54))*(1+'Operating costs'!$B$50)^(E198/12))),"n.a.")</f>
        <v>0</v>
      </c>
      <c r="H198" s="16">
        <f>IFERROR(IF(C198=0,0,IF('Replacement plan'!$V$54&lt;&gt;"",'Replacement plan'!$V$54,IF(E198=0,F198,VLOOKUP($A198,'Fleet register'!$A$7:$S$106,12,FALSE)+VLOOKUP($A198,'Fleet register'!$A$7:$S$106,13,FALSE)*MAX(0,VLOOKUP($A198,'Fleet register'!$A$7:$S$106,10,FALSE)-E198)/VLOOKUP($A198,'Fleet register'!$A$7:$S$106,14,FALSE)))),"n.a.")</f>
        <v>0</v>
      </c>
      <c r="I198" s="16">
        <f>IF(C198=0,0,IF(E198=120,0,'Replacement plan'!$T$54))</f>
        <v>0</v>
      </c>
      <c r="J198" s="16">
        <f>IF(C198=0,0,IF(P198="Complete",((S198*(R198-'Operating costs'!$B$39))+ROUNDUP(S198*(R198-'Operating costs'!$B$39)*IF('Replacement plan'!$AG$54="",'Operating costs'!$B$7,'Replacement plan'!$AG$54)/('Operating costs'!$B$8-'Operating costs'!$B$9*IF('Replacement plan'!$AG$54="",'Operating costs'!$B$7,'Replacement plan'!$AG$54)),0)*'Operating costs'!$B$9)*IF('Replacement plan'!$AG$54="",'Operating costs'!$B$7,'Replacement plan'!$AG$54)*('Energy and charging'!$C$9*'Energy and charging'!$C$7+(1-'Energy and charging'!$C$9)*'Energy and charging'!$C$8)*'Operating costs'!$B$23,"n.a."))</f>
        <v>0</v>
      </c>
      <c r="K198" s="16">
        <f>IF(C198=0,0,IF(P198="Complete",SUM('Operating costs'!$B$24,'Operating costs'!$B$27,'Operating costs'!$B$29,'Operating costs'!$B$31,'Operating costs'!$B$33,'Operating costs'!$B$34,'Operating costs'!$B$37,'Replacement plan'!$W$54)+'Operating costs'!$B$39*'Operating costs'!$B$42+ROUNDUP(S198*(R198-'Operating costs'!$B$39)*IF('Replacement plan'!$AG$54="",'Operating costs'!$B$7,'Replacement plan'!$AG$54)/('Operating costs'!$B$8-'Operating costs'!$B$9*IF('Replacement plan'!$AG$54="",'Operating costs'!$B$7,'Replacement plan'!$AG$54)),0)*('Operating costs'!$B$9/'Operating costs'!$B$11+'Operating costs'!$B$10/60)*'Operating costs'!$B$19*'Operating costs'!$B$21,"n.a."))</f>
        <v>0</v>
      </c>
      <c r="L198" s="16">
        <f>IF(C198=0,0,IF(P198="Complete",IF(D198="EV",X198*((1-T198)*'Energy and charging'!$C$10+T198*'Energy and charging'!$C$11)*'Operating costs'!$B$22,AA198*('Energy and charging'!$C$9*'Energy and charging'!$C$7+(1-'Energy and charging'!$C$9)*'Energy and charging'!$C$8)*'Operating costs'!$B$23),"n.a."))</f>
        <v>0</v>
      </c>
      <c r="M198" s="37">
        <f>IF(C198=0,0,IF(P198="Complete",IF(D198="ICE",SUM('Operating costs'!$B$25,'Operating costs'!$B$27,'Operating costs'!$B$29,'Operating costs'!$B$31,'Operating costs'!$B$33,'Operating costs'!$B$35,'Operating costs'!$B$37,'Replacement plan'!$X$54)+'Operating costs'!$B$40*'Operating costs'!$B$42+ROUNDUP(S198*(R198-'Operating costs'!$B$40)*IF('Replacement plan'!$AH$54="",'Operating costs'!$B$7,'Replacement plan'!$AH$54)/('Operating costs'!$B$8-'Operating costs'!$B$9*IF('Replacement plan'!$AH$54="",'Operating costs'!$B$7,'Replacement plan'!$AH$54)),0)*('Operating costs'!$B$9/'Operating costs'!$B$11+'Operating costs'!$B$10/60)*'Operating costs'!$B$19*'Operating costs'!$B$21,SUM(AP198,'Operating costs'!$B$28,'Operating costs'!$B$30,'Operating costs'!$B$32,'Operating costs'!$B$33,'Operating costs'!$B$36,'Operating costs'!$B$38,'Replacement plan'!$Y$54)+'Operating costs'!$B$41*'Operating costs'!$B$43+W198*'Operating costs'!$B$15+(T198*X198/'Replacement plan'!$L$54+W198*('Operating costs'!$B$12/'Operating costs'!$B$11+('Operating costs'!$B$13+'Operating costs'!$B$14)/60)+(R198-'Operating costs'!$B$41)*(IF(T198&lt;1,'Operating costs'!$B$16,0)+'Operating costs'!$B$17)/60)*'Operating costs'!$B$19*'Operating costs'!$B$20),"n.a."))</f>
        <v>0</v>
      </c>
      <c r="N198" s="16">
        <f>IF(AND(C198=1,D198="EV",E198&lt;120,E198+'Replacement plan'!$AA$54&lt;=120),'Replacement plan'!$Z$54,0)</f>
        <v>0</v>
      </c>
      <c r="O198" s="1">
        <f>E198+'Replacement plan'!$AA$54</f>
        <v>0</v>
      </c>
      <c r="P198" s="35" t="str">
        <f>IFERROR(IF(C198=0,"Excluded",IF(OR(COUNTIFS('Fleet register'!$A$7:$A$106,A198)&lt;&gt;1,COUNTIFS('Replacement plan'!$A$7:$A$106,A198)&lt;&gt;1),"Duplicate/missing ID",IF(NOT(AND(ISNUMBER(VLOOKUP($A198,'Fleet register'!$A$7:$S$106,5,FALSE)),ISNUMBER(VLOOKUP($A198,'Fleet register'!$A$7:$S$106,6,FALSE)),ISNUMBER(VLOOKUP($A198,'Fleet register'!$A$7:$S$106,10,FALSE)),ISNUMBER(VLOOKUP($A198,'Fleet register'!$A$7:$S$106,11,FALSE)),ISNUMBER(VLOOKUP($A198,'Fleet register'!$A$7:$S$106,12,FALSE)),ISNUMBER(VLOOKUP($A198,'Fleet register'!$A$7:$S$106,13,FALSE)),ISNUMBER(VLOOKUP($A198,'Fleet register'!$A$7:$S$106,14,FALSE)),VLOOKUP($A198,'Fleet register'!$A$7:$S$106,14,FALSE)&gt;0,ISNUMBER('Replacement plan'!$C$54),OR(E198=120,ISNUMBER('Replacement plan'!$T$54)),ISNUMBER(E198))),"Missing vehicle input",IF(OR(E198&lt;0,E198&gt;VLOOKUP($A198,'Fleet register'!$A$7:$S$106,10,FALSE),E198&gt;120,E198&lt;&gt;INT(E198),VLOOKUP($A198,'Fleet register'!$A$7:$S$106,6,FALSE)&lt;=0,VLOOKUP($A198,'Fleet register'!$A$7:$S$106,6,FALSE)&gt;366,VLOOKUP($A198,'Fleet register'!$A$7:$S$106,5,FALSE)&lt;0,VLOOKUP($A198,'Fleet register'!$A$7:$S$106,11,FALSE)&lt;0,I198&lt;0,'Operating costs'!$B$8&lt;='Operating costs'!$B$7*'Operating costs'!$B$9,'Operating costs'!$B$11&lt;=0,'Operating costs'!$B$39&gt;R198,'Operating costs'!$B$40&gt;R198,'Operating costs'!$B$41&gt;R198,NOT(OR('Replacement plan'!$R$54="Keep ICE",'Replacement plan'!$R$54="New ICE",'Replacement plan'!$R$54="EV"))),"Invalid vehicle input",IF(AND(D198="EV",E198&lt;120,OR(NOT(ISNUMBER(U198)),NOT(ISNUMBER(V198)),V198&lt;=0,T198&lt;0,T198&gt;1,'Replacement plan'!$L$54&lt;=0,'Operating costs'!$B$44&lt;0,'Operating costs'!$B$44&gt;=1,'Operating costs'!$B$47&lt;=0,'Operating costs'!$B$47&gt;1,V198*'Operating costs'!$B$47/(1-'Operating costs'!$B$44)&lt;=T198*'Operating costs'!$B$12*U198,AND('Replacement plan'!$Z$54&gt;0,OR('Replacement plan'!$AB$54&lt;&gt;"Yes",'Operating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charging'!$C$8&gt;=0))),ISNUMBER(VLOOKUP($A198,'Fleet register'!$A$7:$S$106,15,FALSE)),ISNUMBER(VLOOKUP($A198,'Fleet register'!$A$7:$S$106,16,FALSE)),ISNUMBER('Replacement plan'!$W$54),ISNUMBER('Replacement plan'!$X$54),OR(E198=120,AND(ISNUMBER(G198),G198&gt;=0)),ISNUMBER(H198),H198&gt;=0,OR(D198&lt;&gt;"EV",E198=120,AND(ISNUMBER('Operating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average",ISNUMBER(IFERROR(INDEX(Products!$P$7:$P$13,MATCH(AD198,Products!$A$7:$A$13,0)),"")))),ISNUMBER('Operating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plan'!$Y$54),ISNUMBER('Replacement plan'!$Z$54),'Replacement plan'!$Z$54&gt;=0,ISNUMBER('Replacement plan'!$AA$54),'Replacement plan'!$AA$54&gt;=0,'Replacement plan'!$AA$54=INT('Replacement plan'!$AA$54),ISNUMBER('Replacement plan'!$L$54))),'Operating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plan'!$AG$54="",'Operating costs'!$B$7,'Replacement plan'!$AG$54)),IF('Replacement plan'!$AG$54="",'Operating costs'!$B$7,'Replacement plan'!$AG$54)&gt;=0,ISNUMBER(IF('Replacement plan'!$AH$54="",'Operating costs'!$B$7,'Replacement plan'!$AH$54)),IF('Replacement plan'!$AH$54="",'Operating costs'!$B$7,'Replacement plan'!$AH$54)&gt;=0,'Operating costs'!$B$8&gt;MAX(IF('Replacement plan'!$AG$54="",'Operating costs'!$B$7,'Replacement plan'!$AG$54),IF('Replacement plan'!$AH$54="",'Operating costs'!$B$7,'Replacement plan'!$AH$54))*'Operating costs'!$B$9),IF(AND(VLOOKUP($A198,'Fleet register'!$A$7:$S$106,10,FALSE)&gt;=0,VLOOKUP($A198,'Fleet register'!$A$7:$S$106,10,FALSE)&lt;=120,VLOOKUP($A198,'Fleet register'!$A$7:$S$106,10,FALSE)=INT(VLOOKUP($A198,'Fleet register'!$A$7:$S$106,10,FALSE)),VLOOKUP($A198,'Fleet register'!$A$7:$S$106,15,FALSE)&gt;=0,VLOOKUP($A198,'Fleet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costs'!$B$67)&gt;=0,OR(D198&lt;&gt;"EV",E198=120,AND(MIN('Operating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98" s="1" t="str">
        <f>IF(C198=0,"Excluded",IF(P198&lt;&gt;"Complete",P198,IF(OR('Replacement plan'!$AD$54&lt;120-E198,AND(D198="EV",E198&lt;120,OR('Replacement plan'!$AC$54&lt;120-E198,'Replacement plan'!$I$54="No",AND(ISNUMBER(AF198),AE198&gt;AF198),AI198&gt;V198*(1-'Operating costs'!$B$46)^MAX(0,AB198-1)*(1-'Operating costs'!$B$45),AC198&gt;'Operating costs'!$B$18,AND(T198&lt;1,OR(AG198&lt;=0,AND(ISNUMBER(AH198),AG198&gt;AH198))),'Replacement plan'!$L$54&gt;INDEX(Products!$H$7:$H$13,MATCH('Replacement plan'!$B$54,Products!$A$7:$A$13,0))))),"Fails entered limits",IF(AND(D198="EV",E198&lt;120,OR(NOT(ISNUMBER(VLOOKUP($A198,'Fleet register'!$A$7:$S$106,7,FALSE))),NOT(ISNUMBER(VLOOKUP($A198,'Fleet register'!$A$7:$S$106,8,FALSE))),NOT(ISNUMBER(AF198)),'Replacement plan'!$I$54&lt;&gt;"Yes",NOT(ISNUMBER(AH198)),'Operating costs'!$B$59&lt;&gt;"Yes",'Operating costs'!$B$58&lt;&gt;"Yes")),"Unverified","Within entered limits"))))</f>
        <v>Excluded</v>
      </c>
      <c r="R198" s="1">
        <f>IF(C198=0,0,VLOOKUP($A198,'Fleet register'!$A$7:$S$106,6,FALSE))</f>
        <v>0</v>
      </c>
      <c r="S198" s="1">
        <f>IF(C198=0,0,VLOOKUP($A198,'Fleet register'!$A$7:$S$106,5,FALSE))</f>
        <v>0</v>
      </c>
      <c r="T198" s="1">
        <f>IF(D198="EV",'Energy and charging'!$C$12,0)</f>
        <v>0</v>
      </c>
      <c r="U198" s="1">
        <f>IFERROR(IF(C198=0,0,IF(D198="EV",IF('Replacement plan'!$F$54="",INDEX(Products!$E$7:$E$13,MATCH('Replacement plan'!$B$54,Products!$A$7:$A$13,0)),'Replacement plan'!$F$54)/IF('Replacement plan'!$G$54="Battery",1-'Operating costs'!$B$44,1),0)),"n.a.")</f>
        <v>0</v>
      </c>
      <c r="V198" s="1">
        <f>IFERROR(IF(C198=0,0,IF(D198="EV",IF('Replacement plan'!$E$54="",INDEX(Products!$D$7:$D$13,MATCH('Replacement plan'!$B$54,Products!$A$7:$A$13,0)),'Replacement plan'!$E$54),0)),"n.a.")</f>
        <v>0</v>
      </c>
      <c r="W198" s="1">
        <f>IF(C198=0,0,IF(AND(P198="Complete",D198="EV",E198&lt;120),IF(T198=0,0,ROUNDUP(T198*(R198-'Operating costs'!$B$41)*(S198*U198+'Operating costs'!$B$48/(1-'Operating costs'!$B$44))/(V198*'Operating costs'!$B$47/(1-'Operating costs'!$B$44)-T198*'Operating costs'!$B$12*U198),0)),0))</f>
        <v>0</v>
      </c>
      <c r="X198" s="1">
        <f>IF(C198=0,0,IF(AND(P198="Complete",D198="EV",E198&lt;120),(R198-'Operating costs'!$B$41)*(S198*U198+'Operating costs'!$B$48/(1-'Operating costs'!$B$44))+W198*'Operating costs'!$B$12*U198,0))</f>
        <v>0</v>
      </c>
      <c r="Y198" s="1">
        <f>IF(AND(C198=1,D198="EV",E198&lt;120),AI198/(1-'Operating costs'!$B$44)*(1-T198),0)</f>
        <v>0</v>
      </c>
      <c r="Z198" s="1">
        <f t="shared" si="4"/>
        <v>0</v>
      </c>
      <c r="AA198" s="1">
        <f>IF(C198=0,0,IF(P198="Complete",((S198*(R198-'Operating costs'!$B$40))+ROUNDUP(S198*(R198-'Operating costs'!$B$40)*IF('Replacement plan'!$AH$54="",'Operating costs'!$B$7,'Replacement plan'!$AH$54)/('Operating costs'!$B$8-'Operating costs'!$B$9*IF('Replacement plan'!$AH$54="",'Operating costs'!$B$7,'Replacement plan'!$AH$54)),0)*'Operating costs'!$B$9)*IF('Replacement plan'!$AH$54="",'Operating costs'!$B$7,'Replacement plan'!$AH$54),"n.a."))</f>
        <v>0</v>
      </c>
      <c r="AB198" s="1">
        <f t="shared" si="5"/>
        <v>0</v>
      </c>
      <c r="AC198" s="1">
        <f>IF(AND(C198=1,D198="EV",E198&lt;120,T198&gt;0),'Operating costs'!$B$12/'Operating costs'!$B$11*60+'Operating costs'!$B$13+'Operating costs'!$B$14+V198*'Operating costs'!$B$47/(1-'Operating costs'!$B$44)/'Replacement plan'!$L$54*60,0)</f>
        <v>0</v>
      </c>
      <c r="AD198" s="1" t="str">
        <f>'Replacement plan'!$B$54</f>
        <v>ChengLong L2EV</v>
      </c>
      <c r="AE198" s="1">
        <f>IF(C198=0,0,VLOOKUP($A198,'Fleet register'!$A$7:$S$106,8,FALSE))</f>
        <v>0</v>
      </c>
      <c r="AF198" s="1" t="str">
        <f>IF('Replacement plan'!$H$54="","n.a.",'Replacement plan'!$H$54)</f>
        <v>n.a.</v>
      </c>
      <c r="AG198" s="1">
        <f>'Replacement plan'!$J$54</f>
        <v>22</v>
      </c>
      <c r="AH198" s="1">
        <f>IFERROR(IF(D198="EV",IF('Replacement plan'!$K$54="AC",IF(ISNUMBER(INDEX(Products!$G$7:$G$13,MATCH('Replacement plan'!$B$54,Products!$A$7:$A$13,0))),INDEX(Products!$G$7:$G$13,MATCH('Replacement plan'!$B$54,Products!$A$7:$A$13,0)),"n.a."),IF(ISNUMBER(INDEX(Products!$H$7:$H$13,MATCH('Replacement plan'!$B$54,Products!$A$7:$A$13,0))),INDEX(Products!$H$7:$H$13,MATCH('Replacement plan'!$B$54,Products!$A$7:$A$13,0)),"n.a.")),0),"n.a.")</f>
        <v>0</v>
      </c>
      <c r="AI198" s="1">
        <f>IF(AND(C198=1,D198="EV",E198&lt;120),(VLOOKUP($A198,'Fleet register'!$A$7:$S$106,7,FALSE)+IF(T198&gt;0,'Operating costs'!$B$12,0))*U198*(1-'Operating costs'!$B$44)+'Operating costs'!$B$49,0)</f>
        <v>0</v>
      </c>
      <c r="AJ198" s="1">
        <f>IF(D198="EV",'Energy and charging'!$C$50,0)</f>
        <v>0</v>
      </c>
      <c r="AK198" s="17">
        <f>EDATE('Operating costs'!$B$63,E198)</f>
        <v>46298</v>
      </c>
      <c r="AL198" s="1">
        <f>IFERROR(IF(D198="EV",INDEX(Products!$B$7:$B$13,MATCH('Replacement plan'!$B$54,Products!$A$7:$A$13,0)),0),"n.a.")</f>
        <v>0</v>
      </c>
      <c r="AM198" s="1" t="str">
        <f>'Replacement plan'!$K$54</f>
        <v>DC</v>
      </c>
      <c r="AN198" s="1" t="str">
        <f>'Replacement plan'!$AE$54</f>
        <v>Assumed</v>
      </c>
      <c r="AO198" s="47">
        <f>IF(AND(C198=1,D198="EV",E198&lt;120),(R198-'Operating costs'!$B$41)*S198+W198*'Operating costs'!$B$12,0)</f>
        <v>0</v>
      </c>
      <c r="AP198" s="41">
        <f>IF(AND(C198=1,D198="EV",E198&lt;120),IF('Operating costs'!$B$68="Hong Seh 200k average",AO198*IFERROR(INDEX(Products!$P$7:$P$13,MATCH(AD198,Products!$A$7:$A$13,0)),"n.a."),'Operating costs'!$B$26),0)</f>
        <v>0</v>
      </c>
      <c r="AQ198" s="40" t="str">
        <f>IF(D198="EV",'Operating costs'!$B$68,"Not applicable")</f>
        <v>Not applicable</v>
      </c>
    </row>
    <row r="199" spans="1:43" ht="24" customHeight="1">
      <c r="A199" s="1" t="str">
        <f>'Replacement plan'!A55</f>
        <v>T049</v>
      </c>
      <c r="B199" s="1">
        <v>0</v>
      </c>
      <c r="C199" s="1">
        <f>IF(COUNTIFS('Fleet register'!$A$7:$A$106,$A199)=1,VLOOKUP($A199,'Fleet register'!$A$7:$S$106,2,FALSE),0)</f>
        <v>0</v>
      </c>
      <c r="D199" s="1" t="str">
        <f>IF("Keep ICE"="EV","EV","ICE")</f>
        <v>ICE</v>
      </c>
      <c r="E199" s="1">
        <f>IF(C199=0,0,IF('Replacement plan'!$M$55="",VLOOKUP($A199,'Fleet register'!$A$7:$S$106,10,FALSE),'Replacement plan'!$M$55))</f>
        <v>0</v>
      </c>
      <c r="F199" s="16">
        <f>IF(C199=0,0,VLOOKUP($A199,'Fleet register'!$A$7:$S$106,11,FALSE))</f>
        <v>0</v>
      </c>
      <c r="G199" s="16">
        <f>IFERROR(IF(C199=0,0,IF(E199=120,0,IF(D199="ICE",'Replacement plan'!$C$55,IF('Replacement plan'!$D$55="",INDEX(Products!$I$7:$I$13,MATCH('Replacement plan'!$B$55,Products!$A$7:$A$13,0))+'Operating costs'!$B$57,'Replacement plan'!$D$55))*(1+'Operating costs'!$B$50)^(E199/12))),"n.a.")</f>
        <v>0</v>
      </c>
      <c r="H199" s="16">
        <f>IFERROR(IF(C199=0,0,IF(E199=0,F199,VLOOKUP($A199,'Fleet register'!$A$7:$S$106,12,FALSE)+VLOOKUP($A199,'Fleet register'!$A$7:$S$106,13,FALSE)*MAX(0,VLOOKUP($A199,'Fleet register'!$A$7:$S$106,10,FALSE)-E199)/VLOOKUP($A199,'Fleet register'!$A$7:$S$106,14,FALSE))),"n.a.")</f>
        <v>0</v>
      </c>
      <c r="I199" s="16">
        <f>IF(C199=0,0,IF(E199=120,0,'Replacement plan'!$N$55))</f>
        <v>0</v>
      </c>
      <c r="J199" s="16">
        <f>IF(C199=0,0,IF(P199="Complete",((S199*(R199-'Operating costs'!$B$39))+ROUNDUP(S199*(R199-'Operating costs'!$B$39)*IF('Replacement plan'!$AG$55="",'Operating costs'!$B$7,'Replacement plan'!$AG$55)/('Operating costs'!$B$8-'Operating costs'!$B$9*IF('Replacement plan'!$AG$55="",'Operating costs'!$B$7,'Replacement plan'!$AG$55)),0)*'Operating costs'!$B$9)*IF('Replacement plan'!$AG$55="",'Operating costs'!$B$7,'Replacement plan'!$AG$55)*('Energy and charging'!$B$9*'Energy and charging'!$B$7+(1-'Energy and charging'!$B$9)*'Energy and charging'!$B$8)*'Operating costs'!$B$23,"n.a."))</f>
        <v>0</v>
      </c>
      <c r="K199" s="16">
        <f>IF(C199=0,0,IF(P199="Complete",SUM('Operating costs'!$B$24,'Operating costs'!$B$27,'Operating costs'!$B$29,'Operating costs'!$B$31,'Operating costs'!$B$33,'Operating costs'!$B$34,'Operating costs'!$B$37,'Replacement plan'!$W$55)+'Operating costs'!$B$39*'Operating costs'!$B$42+ROUNDUP(S199*(R199-'Operating costs'!$B$39)*IF('Replacement plan'!$AG$55="",'Operating costs'!$B$7,'Replacement plan'!$AG$55)/('Operating costs'!$B$8-'Operating costs'!$B$9*IF('Replacement plan'!$AG$55="",'Operating costs'!$B$7,'Replacement plan'!$AG$55)),0)*('Operating costs'!$B$9/'Operating costs'!$B$11+'Operating costs'!$B$10/60)*'Operating costs'!$B$19*'Operating costs'!$B$21,"n.a."))</f>
        <v>0</v>
      </c>
      <c r="L199" s="16">
        <f>IF(C199=0,0,IF(P199="Complete",IF(D199="EV",X199*((1-T199)*'Energy and charging'!$B$10+T199*'Energy and charging'!$B$11)*'Operating costs'!$B$22,AA199*('Energy and charging'!$B$9*'Energy and charging'!$B$7+(1-'Energy and charging'!$B$9)*'Energy and charging'!$B$8)*'Operating costs'!$B$23),"n.a."))</f>
        <v>0</v>
      </c>
      <c r="M199" s="37">
        <f>IF(C199=0,0,IF(P199="Complete",IF(D199="ICE",SUM('Operating costs'!$B$25,'Operating costs'!$B$27,'Operating costs'!$B$29,'Operating costs'!$B$31,'Operating costs'!$B$33,'Operating costs'!$B$35,'Operating costs'!$B$37,'Replacement plan'!$X$55)+'Operating costs'!$B$40*'Operating costs'!$B$42+ROUNDUP(S199*(R199-'Operating costs'!$B$40)*IF('Replacement plan'!$AH$55="",'Operating costs'!$B$7,'Replacement plan'!$AH$55)/('Operating costs'!$B$8-'Operating costs'!$B$9*IF('Replacement plan'!$AH$55="",'Operating costs'!$B$7,'Replacement plan'!$AH$55)),0)*('Operating costs'!$B$9/'Operating costs'!$B$11+'Operating costs'!$B$10/60)*'Operating costs'!$B$19*'Operating costs'!$B$21,SUM(AP199,'Operating costs'!$B$28,'Operating costs'!$B$30,'Operating costs'!$B$32,'Operating costs'!$B$33,'Operating costs'!$B$36,'Operating costs'!$B$38,'Replacement plan'!$Y$55)+'Operating costs'!$B$41*'Operating costs'!$B$43+W199*'Operating costs'!$B$15+(T199*X199/'Replacement plan'!$L$55+W199*('Operating costs'!$B$12/'Operating costs'!$B$11+('Operating costs'!$B$13+'Operating costs'!$B$14)/60)+(R199-'Operating costs'!$B$41)*(IF(T199&lt;1,'Operating costs'!$B$16,0)+'Operating costs'!$B$17)/60)*'Operating costs'!$B$19*'Operating costs'!$B$20),"n.a."))</f>
        <v>0</v>
      </c>
      <c r="N199" s="16">
        <f>IF(AND(C199=1,D199="EV",E199&lt;120,E199+'Replacement plan'!$AA$55&lt;=120),'Replacement plan'!$Z$55,0)</f>
        <v>0</v>
      </c>
      <c r="O199" s="1">
        <f>E199+'Replacement plan'!$AA$55</f>
        <v>0</v>
      </c>
      <c r="P199" s="35" t="str">
        <f>IFERROR(IF(C199=0,"Excluded",IF(OR(COUNTIFS('Fleet register'!$A$7:$A$106,A199)&lt;&gt;1,COUNTIFS('Replacement plan'!$A$7:$A$106,A199)&lt;&gt;1),"Duplicate/missing ID",IF(NOT(AND(ISNUMBER(VLOOKUP($A199,'Fleet register'!$A$7:$S$106,5,FALSE)),ISNUMBER(VLOOKUP($A199,'Fleet register'!$A$7:$S$106,6,FALSE)),ISNUMBER(VLOOKUP($A199,'Fleet register'!$A$7:$S$106,10,FALSE)),ISNUMBER(VLOOKUP($A199,'Fleet register'!$A$7:$S$106,11,FALSE)),ISNUMBER(VLOOKUP($A199,'Fleet register'!$A$7:$S$106,12,FALSE)),ISNUMBER(VLOOKUP($A199,'Fleet register'!$A$7:$S$106,13,FALSE)),ISNUMBER(VLOOKUP($A199,'Fleet register'!$A$7:$S$106,14,FALSE)),VLOOKUP($A199,'Fleet register'!$A$7:$S$106,14,FALSE)&gt;0,ISNUMBER('Replacement plan'!$C$55),OR(E199=120,ISNUMBER('Replacement plan'!$N$55)),ISNUMBER(E199))),"Missing vehicle input",IF(OR(E199&lt;0,E199&gt;VLOOKUP($A199,'Fleet register'!$A$7:$S$106,10,FALSE),E199&gt;120,E199&lt;&gt;INT(E199),VLOOKUP($A199,'Fleet register'!$A$7:$S$106,6,FALSE)&lt;=0,VLOOKUP($A199,'Fleet register'!$A$7:$S$106,6,FALSE)&gt;366,VLOOKUP($A199,'Fleet register'!$A$7:$S$106,5,FALSE)&lt;0,VLOOKUP($A199,'Fleet register'!$A$7:$S$106,11,FALSE)&lt;0,I199&lt;0,'Operating costs'!$B$8&lt;='Operating costs'!$B$7*'Operating costs'!$B$9,'Operating costs'!$B$11&lt;=0,'Operating costs'!$B$39&gt;R199,'Operating costs'!$B$40&gt;R199,'Operating costs'!$B$41&gt;R199,NOT(OR("Keep ICE"="Keep ICE","Keep ICE"="New ICE","Keep ICE"="EV"))),"Invalid vehicle input",IF(AND(D199="EV",E199&lt;120,OR(NOT(ISNUMBER(U199)),NOT(ISNUMBER(V199)),V199&lt;=0,T199&lt;0,T199&gt;1,'Replacement plan'!$L$55&lt;=0,'Operating costs'!$B$44&lt;0,'Operating costs'!$B$44&gt;=1,'Operating costs'!$B$47&lt;=0,'Operating costs'!$B$47&gt;1,V199*'Operating costs'!$B$47/(1-'Operating costs'!$B$44)&lt;=T199*'Operating costs'!$B$12*U199,AND('Replacement plan'!$Z$55&gt;0,OR('Replacement plan'!$AB$55&lt;&gt;"Yes",'Operating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charging'!$B$8&gt;=0))),ISNUMBER(VLOOKUP($A199,'Fleet register'!$A$7:$S$106,15,FALSE)),ISNUMBER(VLOOKUP($A199,'Fleet register'!$A$7:$S$106,16,FALSE)),ISNUMBER('Replacement plan'!$W$55),ISNUMBER('Replacement plan'!$X$55),OR(E199=120,AND(ISNUMBER(G199),G199&gt;=0)),ISNUMBER(H199),H199&gt;=0,OR(D199&lt;&gt;"EV",E199=120,AND(ISNUMBER('Operating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average",ISNUMBER(IFERROR(INDEX(Products!$P$7:$P$13,MATCH(AD199,Products!$A$7:$A$13,0)),"")))),ISNUMBER('Operating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plan'!$Y$55),ISNUMBER('Replacement plan'!$Z$55),'Replacement plan'!$Z$55&gt;=0,ISNUMBER('Replacement plan'!$AA$55),'Replacement plan'!$AA$55&gt;=0,'Replacement plan'!$AA$55=INT('Replacement plan'!$AA$55),ISNUMBER('Replacement plan'!$L$55))),'Operating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plan'!$AG$55="",'Operating costs'!$B$7,'Replacement plan'!$AG$55)),IF('Replacement plan'!$AG$55="",'Operating costs'!$B$7,'Replacement plan'!$AG$55)&gt;=0,ISNUMBER(IF('Replacement plan'!$AH$55="",'Operating costs'!$B$7,'Replacement plan'!$AH$55)),IF('Replacement plan'!$AH$55="",'Operating costs'!$B$7,'Replacement plan'!$AH$55)&gt;=0,'Operating costs'!$B$8&gt;MAX(IF('Replacement plan'!$AG$55="",'Operating costs'!$B$7,'Replacement plan'!$AG$55),IF('Replacement plan'!$AH$55="",'Operating costs'!$B$7,'Replacement plan'!$AH$55))*'Operating costs'!$B$9),IF(AND(VLOOKUP($A199,'Fleet register'!$A$7:$S$106,10,FALSE)&gt;=0,VLOOKUP($A199,'Fleet register'!$A$7:$S$106,10,FALSE)&lt;=120,VLOOKUP($A199,'Fleet register'!$A$7:$S$106,10,FALSE)=INT(VLOOKUP($A199,'Fleet register'!$A$7:$S$106,10,FALSE)),VLOOKUP($A199,'Fleet register'!$A$7:$S$106,15,FALSE)&gt;=0,VLOOKUP($A199,'Fleet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costs'!$B$67)&gt;=0,OR(D199&lt;&gt;"EV",E199=120,AND(MIN('Operating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199" s="1" t="str">
        <f>IF(C199=0,"Excluded",IF(P199&lt;&gt;"Complete",P199,IF(OR('Replacement plan'!$AD$55&lt;120-E199,AND(D199="EV",E199&lt;120,OR('Replacement plan'!$AC$55&lt;120-E199,'Replacement plan'!$I$55="No",AND(ISNUMBER(AF199),AE199&gt;AF199),AI199&gt;V199*(1-'Operating costs'!$B$46)^MAX(0,AB199-1)*(1-'Operating costs'!$B$45),AC199&gt;'Operating costs'!$B$18,AND(T199&lt;1,OR(AG199&lt;=0,AND(ISNUMBER(AH199),AG199&gt;AH199))),'Replacement plan'!$L$55&gt;INDEX(Products!$H$7:$H$13,MATCH('Replacement plan'!$B$55,Products!$A$7:$A$13,0))))),"Fails entered limits",IF(AND(D199="EV",E199&lt;120,OR(NOT(ISNUMBER(VLOOKUP($A199,'Fleet register'!$A$7:$S$106,7,FALSE))),NOT(ISNUMBER(VLOOKUP($A199,'Fleet register'!$A$7:$S$106,8,FALSE))),NOT(ISNUMBER(AF199)),'Replacement plan'!$I$55&lt;&gt;"Yes",NOT(ISNUMBER(AH199)),'Operating costs'!$B$59&lt;&gt;"Yes",'Operating costs'!$B$58&lt;&gt;"Yes")),"Unverified","Within entered limits"))))</f>
        <v>Excluded</v>
      </c>
      <c r="R199" s="1">
        <f>IF(C199=0,0,VLOOKUP($A199,'Fleet register'!$A$7:$S$106,6,FALSE))</f>
        <v>0</v>
      </c>
      <c r="S199" s="1">
        <f>IF(C199=0,0,VLOOKUP($A199,'Fleet register'!$A$7:$S$106,5,FALSE))</f>
        <v>0</v>
      </c>
      <c r="T199" s="1">
        <f>IF(D199="EV",'Energy and charging'!$B$12,0)</f>
        <v>0</v>
      </c>
      <c r="U199" s="1">
        <f>IFERROR(IF(C199=0,0,IF(D199="EV",IF('Replacement plan'!$F$55="",INDEX(Products!$E$7:$E$13,MATCH('Replacement plan'!$B$55,Products!$A$7:$A$13,0)),'Replacement plan'!$F$55)/IF('Replacement plan'!$G$55="Battery",1-'Operating costs'!$B$44,1),0)),"n.a.")</f>
        <v>0</v>
      </c>
      <c r="V199" s="1">
        <f>IFERROR(IF(C199=0,0,IF(D199="EV",IF('Replacement plan'!$E$55="",INDEX(Products!$D$7:$D$13,MATCH('Replacement plan'!$B$55,Products!$A$7:$A$13,0)),'Replacement plan'!$E$55),0)),"n.a.")</f>
        <v>0</v>
      </c>
      <c r="W199" s="1">
        <f>IF(C199=0,0,IF(AND(P199="Complete",D199="EV",E199&lt;120),IF(T199=0,0,ROUNDUP(T199*(R199-'Operating costs'!$B$41)*(S199*U199+'Operating costs'!$B$48/(1-'Operating costs'!$B$44))/(V199*'Operating costs'!$B$47/(1-'Operating costs'!$B$44)-T199*'Operating costs'!$B$12*U199),0)),0))</f>
        <v>0</v>
      </c>
      <c r="X199" s="1">
        <f>IF(C199=0,0,IF(AND(P199="Complete",D199="EV",E199&lt;120),(R199-'Operating costs'!$B$41)*(S199*U199+'Operating costs'!$B$48/(1-'Operating costs'!$B$44))+W199*'Operating costs'!$B$12*U199,0))</f>
        <v>0</v>
      </c>
      <c r="Y199" s="1">
        <f>IF(AND(C199=1,D199="EV",E199&lt;120),AI199/(1-'Operating costs'!$B$44)*(1-T199),0)</f>
        <v>0</v>
      </c>
      <c r="Z199" s="1">
        <f t="shared" ref="Z199:Z262" si="6">IF(AND(C199=1,D199="EV",E199&lt;120,T199&lt;1,AG199&gt;0),Y199/AG199,0)</f>
        <v>0</v>
      </c>
      <c r="AA199" s="1">
        <f>IF(C199=0,0,IF(P199="Complete",((S199*(R199-'Operating costs'!$B$40))+ROUNDUP(S199*(R199-'Operating costs'!$B$40)*IF('Replacement plan'!$AH$55="",'Operating costs'!$B$7,'Replacement plan'!$AH$55)/('Operating costs'!$B$8-'Operating costs'!$B$9*IF('Replacement plan'!$AH$55="",'Operating costs'!$B$7,'Replacement plan'!$AH$55)),0)*'Operating costs'!$B$9)*IF('Replacement plan'!$AH$55="",'Operating costs'!$B$7,'Replacement plan'!$AH$55),"n.a."))</f>
        <v>0</v>
      </c>
      <c r="AB199" s="1">
        <f t="shared" ref="AB199:AB262" si="7">IF(D199="EV",(120-E199)/12,0)</f>
        <v>0</v>
      </c>
      <c r="AC199" s="1">
        <f>IF(AND(C199=1,D199="EV",E199&lt;120,T199&gt;0),'Operating costs'!$B$12/'Operating costs'!$B$11*60+'Operating costs'!$B$13+'Operating costs'!$B$14+V199*'Operating costs'!$B$47/(1-'Operating costs'!$B$44)/'Replacement plan'!$L$55*60,0)</f>
        <v>0</v>
      </c>
      <c r="AD199" s="1" t="str">
        <f>'Replacement plan'!$B$55</f>
        <v>ChengLong L2EV</v>
      </c>
      <c r="AE199" s="1">
        <f>IF(C199=0,0,VLOOKUP($A199,'Fleet register'!$A$7:$S$106,8,FALSE))</f>
        <v>0</v>
      </c>
      <c r="AF199" s="1" t="str">
        <f>IF('Replacement plan'!$H$55="","n.a.",'Replacement plan'!$H$55)</f>
        <v>n.a.</v>
      </c>
      <c r="AG199" s="1">
        <f>'Replacement plan'!$J$55</f>
        <v>22</v>
      </c>
      <c r="AH199" s="1">
        <f>IFERROR(IF(D199="EV",IF('Replacement plan'!$K$55="AC",IF(ISNUMBER(INDEX(Products!$G$7:$G$13,MATCH('Replacement plan'!$B$55,Products!$A$7:$A$13,0))),INDEX(Products!$G$7:$G$13,MATCH('Replacement plan'!$B$55,Products!$A$7:$A$13,0)),"n.a."),IF(ISNUMBER(INDEX(Products!$H$7:$H$13,MATCH('Replacement plan'!$B$55,Products!$A$7:$A$13,0))),INDEX(Products!$H$7:$H$13,MATCH('Replacement plan'!$B$55,Products!$A$7:$A$13,0)),"n.a.")),0),"n.a.")</f>
        <v>0</v>
      </c>
      <c r="AI199" s="1">
        <f>IF(AND(C199=1,D199="EV",E199&lt;120),(VLOOKUP($A199,'Fleet register'!$A$7:$S$106,7,FALSE)+IF(T199&gt;0,'Operating costs'!$B$12,0))*U199*(1-'Operating costs'!$B$44)+'Operating costs'!$B$49,0)</f>
        <v>0</v>
      </c>
      <c r="AJ199" s="1">
        <f>IF(D199="EV",'Energy and charging'!$B$50,0)</f>
        <v>0</v>
      </c>
      <c r="AK199" s="17">
        <f>EDATE('Operating costs'!$B$63,E199)</f>
        <v>46298</v>
      </c>
      <c r="AL199" s="1">
        <f>IFERROR(IF(D199="EV",INDEX(Products!$B$7:$B$13,MATCH('Replacement plan'!$B$55,Products!$A$7:$A$13,0)),0),"n.a.")</f>
        <v>0</v>
      </c>
      <c r="AM199" s="1" t="str">
        <f>'Replacement plan'!$K$55</f>
        <v>DC</v>
      </c>
      <c r="AN199" s="1" t="str">
        <f>'Replacement plan'!$AE$55</f>
        <v>Assumed</v>
      </c>
      <c r="AO199" s="47">
        <f>IF(AND(C199=1,D199="EV",E199&lt;120),(R199-'Operating costs'!$B$41)*S199+W199*'Operating costs'!$B$12,0)</f>
        <v>0</v>
      </c>
      <c r="AP199" s="41">
        <f>IF(AND(C199=1,D199="EV",E199&lt;120),IF('Operating costs'!$B$68="Hong Seh 200k average",AO199*IFERROR(INDEX(Products!$P$7:$P$13,MATCH(AD199,Products!$A$7:$A$13,0)),"n.a."),'Operating costs'!$B$26),0)</f>
        <v>0</v>
      </c>
      <c r="AQ199" s="40" t="str">
        <f>IF(D199="EV",'Operating costs'!$B$68,"Not applicable")</f>
        <v>Not applicable</v>
      </c>
    </row>
    <row r="200" spans="1:43" ht="24" customHeight="1">
      <c r="A200" s="1" t="str">
        <f>'Replacement plan'!A55</f>
        <v>T049</v>
      </c>
      <c r="B200" s="1">
        <v>1</v>
      </c>
      <c r="C200" s="1">
        <f>IF(COUNTIFS('Fleet register'!$A$7:$A$106,$A200)=1,VLOOKUP($A200,'Fleet register'!$A$7:$S$106,2,FALSE),0)</f>
        <v>0</v>
      </c>
      <c r="D200" s="1" t="str">
        <f>IF("New ICE"="EV","EV","ICE")</f>
        <v>ICE</v>
      </c>
      <c r="E200" s="1">
        <f>IF(C200=0,0,0)</f>
        <v>0</v>
      </c>
      <c r="F200" s="16">
        <f>IF(C200=0,0,VLOOKUP($A200,'Fleet register'!$A$7:$S$106,11,FALSE))</f>
        <v>0</v>
      </c>
      <c r="G200" s="16">
        <f>IFERROR(IF(C200=0,0,IF(E200=120,0,IF(D200="ICE",'Replacement plan'!$C$55,IF('Replacement plan'!$D$55="",INDEX(Products!$I$7:$I$13,MATCH('Replacement plan'!$B$55,Products!$A$7:$A$13,0))+'Operating costs'!$B$57,'Replacement plan'!$D$55))*(1+'Operating costs'!$B$50)^(E200/12))),"n.a.")</f>
        <v>0</v>
      </c>
      <c r="H200" s="16">
        <f>IFERROR(IF(C200=0,0,IF(E200=0,F200,VLOOKUP($A200,'Fleet register'!$A$7:$S$106,12,FALSE)+VLOOKUP($A200,'Fleet register'!$A$7:$S$106,13,FALSE)*MAX(0,VLOOKUP($A200,'Fleet register'!$A$7:$S$106,10,FALSE)-E200)/VLOOKUP($A200,'Fleet register'!$A$7:$S$106,14,FALSE))),"n.a.")</f>
        <v>0</v>
      </c>
      <c r="I200" s="16">
        <f>IF(C200=0,0,IF(E200=120,0,IF('Replacement plan'!$AI$55="",'Operating costs'!$B$56,'Replacement plan'!$AI$55)))</f>
        <v>0</v>
      </c>
      <c r="J200" s="16">
        <f>IF(C200=0,0,IF(P200="Complete",((S200*(R200-'Operating costs'!$B$39))+ROUNDUP(S200*(R200-'Operating costs'!$B$39)*IF('Replacement plan'!$AG$55="",'Operating costs'!$B$7,'Replacement plan'!$AG$55)/('Operating costs'!$B$8-'Operating costs'!$B$9*IF('Replacement plan'!$AG$55="",'Operating costs'!$B$7,'Replacement plan'!$AG$55)),0)*'Operating costs'!$B$9)*IF('Replacement plan'!$AG$55="",'Operating costs'!$B$7,'Replacement plan'!$AG$55)*('Energy and charging'!$B$9*'Energy and charging'!$B$7+(1-'Energy and charging'!$B$9)*'Energy and charging'!$B$8)*'Operating costs'!$B$23,"n.a."))</f>
        <v>0</v>
      </c>
      <c r="K200" s="16">
        <f>IF(C200=0,0,IF(P200="Complete",SUM('Operating costs'!$B$24,'Operating costs'!$B$27,'Operating costs'!$B$29,'Operating costs'!$B$31,'Operating costs'!$B$33,'Operating costs'!$B$34,'Operating costs'!$B$37,'Replacement plan'!$W$55)+'Operating costs'!$B$39*'Operating costs'!$B$42+ROUNDUP(S200*(R200-'Operating costs'!$B$39)*IF('Replacement plan'!$AG$55="",'Operating costs'!$B$7,'Replacement plan'!$AG$55)/('Operating costs'!$B$8-'Operating costs'!$B$9*IF('Replacement plan'!$AG$55="",'Operating costs'!$B$7,'Replacement plan'!$AG$55)),0)*('Operating costs'!$B$9/'Operating costs'!$B$11+'Operating costs'!$B$10/60)*'Operating costs'!$B$19*'Operating costs'!$B$21,"n.a."))</f>
        <v>0</v>
      </c>
      <c r="L200" s="16">
        <f>IF(C200=0,0,IF(P200="Complete",IF(D200="EV",X200*((1-T200)*'Energy and charging'!$B$10+T200*'Energy and charging'!$B$11)*'Operating costs'!$B$22,AA200*('Energy and charging'!$B$9*'Energy and charging'!$B$7+(1-'Energy and charging'!$B$9)*'Energy and charging'!$B$8)*'Operating costs'!$B$23),"n.a."))</f>
        <v>0</v>
      </c>
      <c r="M200" s="37">
        <f>IF(C200=0,0,IF(P200="Complete",IF(D200="ICE",SUM('Operating costs'!$B$25,'Operating costs'!$B$27,'Operating costs'!$B$29,'Operating costs'!$B$31,'Operating costs'!$B$33,'Operating costs'!$B$35,'Operating costs'!$B$37,'Replacement plan'!$X$55)+'Operating costs'!$B$40*'Operating costs'!$B$42+ROUNDUP(S200*(R200-'Operating costs'!$B$40)*IF('Replacement plan'!$AH$55="",'Operating costs'!$B$7,'Replacement plan'!$AH$55)/('Operating costs'!$B$8-'Operating costs'!$B$9*IF('Replacement plan'!$AH$55="",'Operating costs'!$B$7,'Replacement plan'!$AH$55)),0)*('Operating costs'!$B$9/'Operating costs'!$B$11+'Operating costs'!$B$10/60)*'Operating costs'!$B$19*'Operating costs'!$B$21,SUM(AP200,'Operating costs'!$B$28,'Operating costs'!$B$30,'Operating costs'!$B$32,'Operating costs'!$B$33,'Operating costs'!$B$36,'Operating costs'!$B$38,'Replacement plan'!$Y$55)+'Operating costs'!$B$41*'Operating costs'!$B$43+W200*'Operating costs'!$B$15+(T200*X200/'Replacement plan'!$L$55+W200*('Operating costs'!$B$12/'Operating costs'!$B$11+('Operating costs'!$B$13+'Operating costs'!$B$14)/60)+(R200-'Operating costs'!$B$41)*(IF(T200&lt;1,'Operating costs'!$B$16,0)+'Operating costs'!$B$17)/60)*'Operating costs'!$B$19*'Operating costs'!$B$20),"n.a."))</f>
        <v>0</v>
      </c>
      <c r="N200" s="16">
        <f>IF(AND(C200=1,D200="EV",E200&lt;120,E200+'Replacement plan'!$AA$55&lt;=120),'Replacement plan'!$Z$55,0)</f>
        <v>0</v>
      </c>
      <c r="O200" s="1">
        <f>E200+'Replacement plan'!$AA$55</f>
        <v>0</v>
      </c>
      <c r="P200" s="35" t="str">
        <f>IFERROR(IF(C200=0,"Excluded",IF(OR(COUNTIFS('Fleet register'!$A$7:$A$106,A200)&lt;&gt;1,COUNTIFS('Replacement plan'!$A$7:$A$106,A200)&lt;&gt;1),"Duplicate/missing ID",IF(NOT(AND(ISNUMBER(VLOOKUP($A200,'Fleet register'!$A$7:$S$106,5,FALSE)),ISNUMBER(VLOOKUP($A200,'Fleet register'!$A$7:$S$106,6,FALSE)),ISNUMBER(VLOOKUP($A200,'Fleet register'!$A$7:$S$106,10,FALSE)),ISNUMBER(VLOOKUP($A200,'Fleet register'!$A$7:$S$106,11,FALSE)),ISNUMBER(VLOOKUP($A200,'Fleet register'!$A$7:$S$106,12,FALSE)),ISNUMBER(VLOOKUP($A200,'Fleet register'!$A$7:$S$106,13,FALSE)),ISNUMBER(VLOOKUP($A200,'Fleet register'!$A$7:$S$106,14,FALSE)),VLOOKUP($A200,'Fleet register'!$A$7:$S$106,14,FALSE)&gt;0,ISNUMBER('Replacement plan'!$C$55),OR(E200=120,OR(ISNUMBER('Replacement plan'!$AI$55),AND('Replacement plan'!$AI$55="",ISNUMBER('Operating costs'!$B$56)))),ISNUMBER(E200))),"Missing vehicle input",IF(OR(E200&lt;0,E200&gt;VLOOKUP($A200,'Fleet register'!$A$7:$S$106,10,FALSE),E200&gt;120,E200&lt;&gt;INT(E200),VLOOKUP($A200,'Fleet register'!$A$7:$S$106,6,FALSE)&lt;=0,VLOOKUP($A200,'Fleet register'!$A$7:$S$106,6,FALSE)&gt;366,VLOOKUP($A200,'Fleet register'!$A$7:$S$106,5,FALSE)&lt;0,VLOOKUP($A200,'Fleet register'!$A$7:$S$106,11,FALSE)&lt;0,I200&lt;0,'Operating costs'!$B$8&lt;='Operating costs'!$B$7*'Operating costs'!$B$9,'Operating costs'!$B$11&lt;=0,'Operating costs'!$B$39&gt;R200,'Operating costs'!$B$40&gt;R200,'Operating costs'!$B$41&gt;R200,NOT(OR("New ICE"="Keep ICE","New ICE"="New ICE","New ICE"="EV"))),"Invalid vehicle input",IF(AND(D200="EV",E200&lt;120,OR(NOT(ISNUMBER(U200)),NOT(ISNUMBER(V200)),V200&lt;=0,T200&lt;0,T200&gt;1,'Replacement plan'!$L$55&lt;=0,'Operating costs'!$B$44&lt;0,'Operating costs'!$B$44&gt;=1,'Operating costs'!$B$47&lt;=0,'Operating costs'!$B$47&gt;1,V200*'Operating costs'!$B$47/(1-'Operating costs'!$B$44)&lt;=T200*'Operating costs'!$B$12*U200,AND('Replacement plan'!$Z$55&gt;0,OR('Replacement plan'!$AB$55&lt;&gt;"Yes",'Operating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charging'!$B$8&gt;=0))),ISNUMBER(VLOOKUP($A200,'Fleet register'!$A$7:$S$106,15,FALSE)),ISNUMBER(VLOOKUP($A200,'Fleet register'!$A$7:$S$106,16,FALSE)),ISNUMBER('Replacement plan'!$W$55),ISNUMBER('Replacement plan'!$X$55),OR(E200=120,AND(ISNUMBER(G200),G200&gt;=0)),ISNUMBER(H200),H200&gt;=0,OR(D200&lt;&gt;"EV",E200=120,AND(ISNUMBER('Operating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average",ISNUMBER(IFERROR(INDEX(Products!$P$7:$P$13,MATCH(AD200,Products!$A$7:$A$13,0)),"")))),ISNUMBER('Operating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plan'!$Y$55),ISNUMBER('Replacement plan'!$Z$55),'Replacement plan'!$Z$55&gt;=0,ISNUMBER('Replacement plan'!$AA$55),'Replacement plan'!$AA$55&gt;=0,'Replacement plan'!$AA$55=INT('Replacement plan'!$AA$55),ISNUMBER('Replacement plan'!$L$55))),'Operating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plan'!$AG$55="",'Operating costs'!$B$7,'Replacement plan'!$AG$55)),IF('Replacement plan'!$AG$55="",'Operating costs'!$B$7,'Replacement plan'!$AG$55)&gt;=0,ISNUMBER(IF('Replacement plan'!$AH$55="",'Operating costs'!$B$7,'Replacement plan'!$AH$55)),IF('Replacement plan'!$AH$55="",'Operating costs'!$B$7,'Replacement plan'!$AH$55)&gt;=0,'Operating costs'!$B$8&gt;MAX(IF('Replacement plan'!$AG$55="",'Operating costs'!$B$7,'Replacement plan'!$AG$55),IF('Replacement plan'!$AH$55="",'Operating costs'!$B$7,'Replacement plan'!$AH$55))*'Operating costs'!$B$9),IF(AND(VLOOKUP($A200,'Fleet register'!$A$7:$S$106,10,FALSE)&gt;=0,VLOOKUP($A200,'Fleet register'!$A$7:$S$106,10,FALSE)&lt;=120,VLOOKUP($A200,'Fleet register'!$A$7:$S$106,10,FALSE)=INT(VLOOKUP($A200,'Fleet register'!$A$7:$S$106,10,FALSE)),VLOOKUP($A200,'Fleet register'!$A$7:$S$106,15,FALSE)&gt;=0,VLOOKUP($A200,'Fleet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costs'!$B$67)&gt;=0,OR(D200&lt;&gt;"EV",E200=120,AND(MIN('Operating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00" s="1" t="str">
        <f>IF(C200=0,"Excluded",IF(P200&lt;&gt;"Complete",P200,IF(OR('Replacement plan'!$AD$55&lt;120-E200,AND(D200="EV",E200&lt;120,OR('Replacement plan'!$AC$55&lt;120-E200,'Replacement plan'!$I$55="No",AND(ISNUMBER(AF200),AE200&gt;AF200),AI200&gt;V200*(1-'Operating costs'!$B$46)^MAX(0,AB200-1)*(1-'Operating costs'!$B$45),AC200&gt;'Operating costs'!$B$18,AND(T200&lt;1,OR(AG200&lt;=0,AND(ISNUMBER(AH200),AG200&gt;AH200))),'Replacement plan'!$L$55&gt;INDEX(Products!$H$7:$H$13,MATCH('Replacement plan'!$B$55,Products!$A$7:$A$13,0))))),"Fails entered limits",IF(AND(D200="EV",E200&lt;120,OR(NOT(ISNUMBER(VLOOKUP($A200,'Fleet register'!$A$7:$S$106,7,FALSE))),NOT(ISNUMBER(VLOOKUP($A200,'Fleet register'!$A$7:$S$106,8,FALSE))),NOT(ISNUMBER(AF200)),'Replacement plan'!$I$55&lt;&gt;"Yes",NOT(ISNUMBER(AH200)),'Operating costs'!$B$59&lt;&gt;"Yes",'Operating costs'!$B$58&lt;&gt;"Yes")),"Unverified","Within entered limits"))))</f>
        <v>Excluded</v>
      </c>
      <c r="R200" s="1">
        <f>IF(C200=0,0,VLOOKUP($A200,'Fleet register'!$A$7:$S$106,6,FALSE))</f>
        <v>0</v>
      </c>
      <c r="S200" s="1">
        <f>IF(C200=0,0,VLOOKUP($A200,'Fleet register'!$A$7:$S$106,5,FALSE))</f>
        <v>0</v>
      </c>
      <c r="T200" s="1">
        <f>IF(D200="EV",'Energy and charging'!$B$12,0)</f>
        <v>0</v>
      </c>
      <c r="U200" s="1">
        <f>IFERROR(IF(C200=0,0,IF(D200="EV",IF('Replacement plan'!$F$55="",INDEX(Products!$E$7:$E$13,MATCH('Replacement plan'!$B$55,Products!$A$7:$A$13,0)),'Replacement plan'!$F$55)/IF('Replacement plan'!$G$55="Battery",1-'Operating costs'!$B$44,1),0)),"n.a.")</f>
        <v>0</v>
      </c>
      <c r="V200" s="1">
        <f>IFERROR(IF(C200=0,0,IF(D200="EV",IF('Replacement plan'!$E$55="",INDEX(Products!$D$7:$D$13,MATCH('Replacement plan'!$B$55,Products!$A$7:$A$13,0)),'Replacement plan'!$E$55),0)),"n.a.")</f>
        <v>0</v>
      </c>
      <c r="W200" s="1">
        <f>IF(C200=0,0,IF(AND(P200="Complete",D200="EV",E200&lt;120),IF(T200=0,0,ROUNDUP(T200*(R200-'Operating costs'!$B$41)*(S200*U200+'Operating costs'!$B$48/(1-'Operating costs'!$B$44))/(V200*'Operating costs'!$B$47/(1-'Operating costs'!$B$44)-T200*'Operating costs'!$B$12*U200),0)),0))</f>
        <v>0</v>
      </c>
      <c r="X200" s="1">
        <f>IF(C200=0,0,IF(AND(P200="Complete",D200="EV",E200&lt;120),(R200-'Operating costs'!$B$41)*(S200*U200+'Operating costs'!$B$48/(1-'Operating costs'!$B$44))+W200*'Operating costs'!$B$12*U200,0))</f>
        <v>0</v>
      </c>
      <c r="Y200" s="1">
        <f>IF(AND(C200=1,D200="EV",E200&lt;120),AI200/(1-'Operating costs'!$B$44)*(1-T200),0)</f>
        <v>0</v>
      </c>
      <c r="Z200" s="1">
        <f t="shared" si="6"/>
        <v>0</v>
      </c>
      <c r="AA200" s="1">
        <f>IF(C200=0,0,IF(P200="Complete",((S200*(R200-'Operating costs'!$B$40))+ROUNDUP(S200*(R200-'Operating costs'!$B$40)*IF('Replacement plan'!$AH$55="",'Operating costs'!$B$7,'Replacement plan'!$AH$55)/('Operating costs'!$B$8-'Operating costs'!$B$9*IF('Replacement plan'!$AH$55="",'Operating costs'!$B$7,'Replacement plan'!$AH$55)),0)*'Operating costs'!$B$9)*IF('Replacement plan'!$AH$55="",'Operating costs'!$B$7,'Replacement plan'!$AH$55),"n.a."))</f>
        <v>0</v>
      </c>
      <c r="AB200" s="1">
        <f t="shared" si="7"/>
        <v>0</v>
      </c>
      <c r="AC200" s="1">
        <f>IF(AND(C200=1,D200="EV",E200&lt;120,T200&gt;0),'Operating costs'!$B$12/'Operating costs'!$B$11*60+'Operating costs'!$B$13+'Operating costs'!$B$14+V200*'Operating costs'!$B$47/(1-'Operating costs'!$B$44)/'Replacement plan'!$L$55*60,0)</f>
        <v>0</v>
      </c>
      <c r="AD200" s="1" t="str">
        <f>'Replacement plan'!$B$55</f>
        <v>ChengLong L2EV</v>
      </c>
      <c r="AE200" s="1">
        <f>IF(C200=0,0,VLOOKUP($A200,'Fleet register'!$A$7:$S$106,8,FALSE))</f>
        <v>0</v>
      </c>
      <c r="AF200" s="1" t="str">
        <f>IF('Replacement plan'!$H$55="","n.a.",'Replacement plan'!$H$55)</f>
        <v>n.a.</v>
      </c>
      <c r="AG200" s="1">
        <f>'Replacement plan'!$J$55</f>
        <v>22</v>
      </c>
      <c r="AH200" s="1">
        <f>IFERROR(IF(D200="EV",IF('Replacement plan'!$K$55="AC",IF(ISNUMBER(INDEX(Products!$G$7:$G$13,MATCH('Replacement plan'!$B$55,Products!$A$7:$A$13,0))),INDEX(Products!$G$7:$G$13,MATCH('Replacement plan'!$B$55,Products!$A$7:$A$13,0)),"n.a."),IF(ISNUMBER(INDEX(Products!$H$7:$H$13,MATCH('Replacement plan'!$B$55,Products!$A$7:$A$13,0))),INDEX(Products!$H$7:$H$13,MATCH('Replacement plan'!$B$55,Products!$A$7:$A$13,0)),"n.a.")),0),"n.a.")</f>
        <v>0</v>
      </c>
      <c r="AI200" s="1">
        <f>IF(AND(C200=1,D200="EV",E200&lt;120),(VLOOKUP($A200,'Fleet register'!$A$7:$S$106,7,FALSE)+IF(T200&gt;0,'Operating costs'!$B$12,0))*U200*(1-'Operating costs'!$B$44)+'Operating costs'!$B$49,0)</f>
        <v>0</v>
      </c>
      <c r="AJ200" s="1">
        <f>IF(D200="EV",'Energy and charging'!$B$50,0)</f>
        <v>0</v>
      </c>
      <c r="AK200" s="17">
        <f>EDATE('Operating costs'!$B$63,E200)</f>
        <v>46298</v>
      </c>
      <c r="AL200" s="1">
        <f>IFERROR(IF(D200="EV",INDEX(Products!$B$7:$B$13,MATCH('Replacement plan'!$B$55,Products!$A$7:$A$13,0)),0),"n.a.")</f>
        <v>0</v>
      </c>
      <c r="AM200" s="1" t="str">
        <f>'Replacement plan'!$K$55</f>
        <v>DC</v>
      </c>
      <c r="AN200" s="1" t="str">
        <f>'Replacement plan'!$AE$55</f>
        <v>Assumed</v>
      </c>
      <c r="AO200" s="47">
        <f>IF(AND(C200=1,D200="EV",E200&lt;120),(R200-'Operating costs'!$B$41)*S200+W200*'Operating costs'!$B$12,0)</f>
        <v>0</v>
      </c>
      <c r="AP200" s="41">
        <f>IF(AND(C200=1,D200="EV",E200&lt;120),IF('Operating costs'!$B$68="Hong Seh 200k average",AO200*IFERROR(INDEX(Products!$P$7:$P$13,MATCH(AD200,Products!$A$7:$A$13,0)),"n.a."),'Operating costs'!$B$26),0)</f>
        <v>0</v>
      </c>
      <c r="AQ200" s="40" t="str">
        <f>IF(D200="EV",'Operating costs'!$B$68,"Not applicable")</f>
        <v>Not applicable</v>
      </c>
    </row>
    <row r="201" spans="1:43" ht="24" customHeight="1">
      <c r="A201" s="1" t="str">
        <f>'Replacement plan'!A55</f>
        <v>T049</v>
      </c>
      <c r="B201" s="1">
        <v>2</v>
      </c>
      <c r="C201" s="1">
        <f>IF(COUNTIFS('Fleet register'!$A$7:$A$106,$A201)=1,VLOOKUP($A201,'Fleet register'!$A$7:$S$106,2,FALSE),0)</f>
        <v>0</v>
      </c>
      <c r="D201" s="1" t="str">
        <f>IF('Replacement plan'!$O$55="EV","EV","ICE")</f>
        <v>ICE</v>
      </c>
      <c r="E201" s="1">
        <f>IF(C201=0,0,IF('Replacement plan'!$P$55="",IF('Replacement plan'!$O$55="Keep ICE",IF('Replacement plan'!$M$55="",VLOOKUP($A201,'Fleet register'!$A$7:$S$106,10,FALSE),'Replacement plan'!$M$55),0),'Replacement plan'!$P$55))</f>
        <v>0</v>
      </c>
      <c r="F201" s="16">
        <f>IF(C201=0,0,VLOOKUP($A201,'Fleet register'!$A$7:$S$106,11,FALSE))</f>
        <v>0</v>
      </c>
      <c r="G201" s="16">
        <f>IFERROR(IF(C201=0,0,IF(E201=120,0,IF(D201="ICE",'Replacement plan'!$C$55,IF('Replacement plan'!$D$55="",INDEX(Products!$I$7:$I$13,MATCH('Replacement plan'!$B$55,Products!$A$7:$A$13,0))+'Operating costs'!$B$57,'Replacement plan'!$D$55))*(1+'Operating costs'!$B$50)^(E201/12))),"n.a.")</f>
        <v>0</v>
      </c>
      <c r="H201" s="16">
        <f>IFERROR(IF(C201=0,0,IF('Replacement plan'!$U$55&lt;&gt;"",'Replacement plan'!$U$55,IF(E201=0,F201,VLOOKUP($A201,'Fleet register'!$A$7:$S$106,12,FALSE)+VLOOKUP($A201,'Fleet register'!$A$7:$S$106,13,FALSE)*MAX(0,VLOOKUP($A201,'Fleet register'!$A$7:$S$106,10,FALSE)-E201)/VLOOKUP($A201,'Fleet register'!$A$7:$S$106,14,FALSE)))),"n.a.")</f>
        <v>0</v>
      </c>
      <c r="I201" s="16">
        <f>IF(C201=0,0,IF(E201=120,0,'Replacement plan'!$Q$55))</f>
        <v>0</v>
      </c>
      <c r="J201" s="16">
        <f>IF(C201=0,0,IF(P201="Complete",((S201*(R201-'Operating costs'!$B$39))+ROUNDUP(S201*(R201-'Operating costs'!$B$39)*IF('Replacement plan'!$AG$55="",'Operating costs'!$B$7,'Replacement plan'!$AG$55)/('Operating costs'!$B$8-'Operating costs'!$B$9*IF('Replacement plan'!$AG$55="",'Operating costs'!$B$7,'Replacement plan'!$AG$55)),0)*'Operating costs'!$B$9)*IF('Replacement plan'!$AG$55="",'Operating costs'!$B$7,'Replacement plan'!$AG$55)*('Energy and charging'!$B$9*'Energy and charging'!$B$7+(1-'Energy and charging'!$B$9)*'Energy and charging'!$B$8)*'Operating costs'!$B$23,"n.a."))</f>
        <v>0</v>
      </c>
      <c r="K201" s="16">
        <f>IF(C201=0,0,IF(P201="Complete",SUM('Operating costs'!$B$24,'Operating costs'!$B$27,'Operating costs'!$B$29,'Operating costs'!$B$31,'Operating costs'!$B$33,'Operating costs'!$B$34,'Operating costs'!$B$37,'Replacement plan'!$W$55)+'Operating costs'!$B$39*'Operating costs'!$B$42+ROUNDUP(S201*(R201-'Operating costs'!$B$39)*IF('Replacement plan'!$AG$55="",'Operating costs'!$B$7,'Replacement plan'!$AG$55)/('Operating costs'!$B$8-'Operating costs'!$B$9*IF('Replacement plan'!$AG$55="",'Operating costs'!$B$7,'Replacement plan'!$AG$55)),0)*('Operating costs'!$B$9/'Operating costs'!$B$11+'Operating costs'!$B$10/60)*'Operating costs'!$B$19*'Operating costs'!$B$21,"n.a."))</f>
        <v>0</v>
      </c>
      <c r="L201" s="16">
        <f>IF(C201=0,0,IF(P201="Complete",IF(D201="EV",X201*((1-T201)*'Energy and charging'!$B$10+T201*'Energy and charging'!$B$11)*'Operating costs'!$B$22,AA201*('Energy and charging'!$B$9*'Energy and charging'!$B$7+(1-'Energy and charging'!$B$9)*'Energy and charging'!$B$8)*'Operating costs'!$B$23),"n.a."))</f>
        <v>0</v>
      </c>
      <c r="M201" s="37">
        <f>IF(C201=0,0,IF(P201="Complete",IF(D201="ICE",SUM('Operating costs'!$B$25,'Operating costs'!$B$27,'Operating costs'!$B$29,'Operating costs'!$B$31,'Operating costs'!$B$33,'Operating costs'!$B$35,'Operating costs'!$B$37,'Replacement plan'!$X$55)+'Operating costs'!$B$40*'Operating costs'!$B$42+ROUNDUP(S201*(R201-'Operating costs'!$B$40)*IF('Replacement plan'!$AH$55="",'Operating costs'!$B$7,'Replacement plan'!$AH$55)/('Operating costs'!$B$8-'Operating costs'!$B$9*IF('Replacement plan'!$AH$55="",'Operating costs'!$B$7,'Replacement plan'!$AH$55)),0)*('Operating costs'!$B$9/'Operating costs'!$B$11+'Operating costs'!$B$10/60)*'Operating costs'!$B$19*'Operating costs'!$B$21,SUM(AP201,'Operating costs'!$B$28,'Operating costs'!$B$30,'Operating costs'!$B$32,'Operating costs'!$B$33,'Operating costs'!$B$36,'Operating costs'!$B$38,'Replacement plan'!$Y$55)+'Operating costs'!$B$41*'Operating costs'!$B$43+W201*'Operating costs'!$B$15+(T201*X201/'Replacement plan'!$L$55+W201*('Operating costs'!$B$12/'Operating costs'!$B$11+('Operating costs'!$B$13+'Operating costs'!$B$14)/60)+(R201-'Operating costs'!$B$41)*(IF(T201&lt;1,'Operating costs'!$B$16,0)+'Operating costs'!$B$17)/60)*'Operating costs'!$B$19*'Operating costs'!$B$20),"n.a."))</f>
        <v>0</v>
      </c>
      <c r="N201" s="16">
        <f>IF(AND(C201=1,D201="EV",E201&lt;120,E201+'Replacement plan'!$AA$55&lt;=120),'Replacement plan'!$Z$55,0)</f>
        <v>0</v>
      </c>
      <c r="O201" s="1">
        <f>E201+'Replacement plan'!$AA$55</f>
        <v>0</v>
      </c>
      <c r="P201" s="35" t="str">
        <f>IFERROR(IF(C201=0,"Excluded",IF(OR(COUNTIFS('Fleet register'!$A$7:$A$106,A201)&lt;&gt;1,COUNTIFS('Replacement plan'!$A$7:$A$106,A201)&lt;&gt;1),"Duplicate/missing ID",IF(NOT(AND(ISNUMBER(VLOOKUP($A201,'Fleet register'!$A$7:$S$106,5,FALSE)),ISNUMBER(VLOOKUP($A201,'Fleet register'!$A$7:$S$106,6,FALSE)),ISNUMBER(VLOOKUP($A201,'Fleet register'!$A$7:$S$106,10,FALSE)),ISNUMBER(VLOOKUP($A201,'Fleet register'!$A$7:$S$106,11,FALSE)),ISNUMBER(VLOOKUP($A201,'Fleet register'!$A$7:$S$106,12,FALSE)),ISNUMBER(VLOOKUP($A201,'Fleet register'!$A$7:$S$106,13,FALSE)),ISNUMBER(VLOOKUP($A201,'Fleet register'!$A$7:$S$106,14,FALSE)),VLOOKUP($A201,'Fleet register'!$A$7:$S$106,14,FALSE)&gt;0,ISNUMBER('Replacement plan'!$C$55),OR(E201=120,ISNUMBER('Replacement plan'!$Q$55)),ISNUMBER(E201))),"Missing vehicle input",IF(OR(E201&lt;0,E201&gt;VLOOKUP($A201,'Fleet register'!$A$7:$S$106,10,FALSE),E201&gt;120,E201&lt;&gt;INT(E201),VLOOKUP($A201,'Fleet register'!$A$7:$S$106,6,FALSE)&lt;=0,VLOOKUP($A201,'Fleet register'!$A$7:$S$106,6,FALSE)&gt;366,VLOOKUP($A201,'Fleet register'!$A$7:$S$106,5,FALSE)&lt;0,VLOOKUP($A201,'Fleet register'!$A$7:$S$106,11,FALSE)&lt;0,I201&lt;0,'Operating costs'!$B$8&lt;='Operating costs'!$B$7*'Operating costs'!$B$9,'Operating costs'!$B$11&lt;=0,'Operating costs'!$B$39&gt;R201,'Operating costs'!$B$40&gt;R201,'Operating costs'!$B$41&gt;R201,NOT(OR('Replacement plan'!$O$55="Keep ICE",'Replacement plan'!$O$55="New ICE",'Replacement plan'!$O$55="EV"))),"Invalid vehicle input",IF(AND(D201="EV",E201&lt;120,OR(NOT(ISNUMBER(U201)),NOT(ISNUMBER(V201)),V201&lt;=0,T201&lt;0,T201&gt;1,'Replacement plan'!$L$55&lt;=0,'Operating costs'!$B$44&lt;0,'Operating costs'!$B$44&gt;=1,'Operating costs'!$B$47&lt;=0,'Operating costs'!$B$47&gt;1,V201*'Operating costs'!$B$47/(1-'Operating costs'!$B$44)&lt;=T201*'Operating costs'!$B$12*U201,AND('Replacement plan'!$Z$55&gt;0,OR('Replacement plan'!$AB$55&lt;&gt;"Yes",'Operating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charging'!$B$8&gt;=0))),ISNUMBER(VLOOKUP($A201,'Fleet register'!$A$7:$S$106,15,FALSE)),ISNUMBER(VLOOKUP($A201,'Fleet register'!$A$7:$S$106,16,FALSE)),ISNUMBER('Replacement plan'!$W$55),ISNUMBER('Replacement plan'!$X$55),OR(E201=120,AND(ISNUMBER(G201),G201&gt;=0)),ISNUMBER(H201),H201&gt;=0,OR(D201&lt;&gt;"EV",E201=120,AND(ISNUMBER('Operating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average",ISNUMBER(IFERROR(INDEX(Products!$P$7:$P$13,MATCH(AD201,Products!$A$7:$A$13,0)),"")))),ISNUMBER('Operating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plan'!$Y$55),ISNUMBER('Replacement plan'!$Z$55),'Replacement plan'!$Z$55&gt;=0,ISNUMBER('Replacement plan'!$AA$55),'Replacement plan'!$AA$55&gt;=0,'Replacement plan'!$AA$55=INT('Replacement plan'!$AA$55),ISNUMBER('Replacement plan'!$L$55))),'Operating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plan'!$AG$55="",'Operating costs'!$B$7,'Replacement plan'!$AG$55)),IF('Replacement plan'!$AG$55="",'Operating costs'!$B$7,'Replacement plan'!$AG$55)&gt;=0,ISNUMBER(IF('Replacement plan'!$AH$55="",'Operating costs'!$B$7,'Replacement plan'!$AH$55)),IF('Replacement plan'!$AH$55="",'Operating costs'!$B$7,'Replacement plan'!$AH$55)&gt;=0,'Operating costs'!$B$8&gt;MAX(IF('Replacement plan'!$AG$55="",'Operating costs'!$B$7,'Replacement plan'!$AG$55),IF('Replacement plan'!$AH$55="",'Operating costs'!$B$7,'Replacement plan'!$AH$55))*'Operating costs'!$B$9),IF(AND(VLOOKUP($A201,'Fleet register'!$A$7:$S$106,10,FALSE)&gt;=0,VLOOKUP($A201,'Fleet register'!$A$7:$S$106,10,FALSE)&lt;=120,VLOOKUP($A201,'Fleet register'!$A$7:$S$106,10,FALSE)=INT(VLOOKUP($A201,'Fleet register'!$A$7:$S$106,10,FALSE)),VLOOKUP($A201,'Fleet register'!$A$7:$S$106,15,FALSE)&gt;=0,VLOOKUP($A201,'Fleet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costs'!$B$67)&gt;=0,OR(D201&lt;&gt;"EV",E201=120,AND(MIN('Operating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01" s="1" t="str">
        <f>IF(C201=0,"Excluded",IF(P201&lt;&gt;"Complete",P201,IF(OR('Replacement plan'!$AD$55&lt;120-E201,AND(D201="EV",E201&lt;120,OR('Replacement plan'!$AC$55&lt;120-E201,'Replacement plan'!$I$55="No",AND(ISNUMBER(AF201),AE201&gt;AF201),AI201&gt;V201*(1-'Operating costs'!$B$46)^MAX(0,AB201-1)*(1-'Operating costs'!$B$45),AC201&gt;'Operating costs'!$B$18,AND(T201&lt;1,OR(AG201&lt;=0,AND(ISNUMBER(AH201),AG201&gt;AH201))),'Replacement plan'!$L$55&gt;INDEX(Products!$H$7:$H$13,MATCH('Replacement plan'!$B$55,Products!$A$7:$A$13,0))))),"Fails entered limits",IF(AND(D201="EV",E201&lt;120,OR(NOT(ISNUMBER(VLOOKUP($A201,'Fleet register'!$A$7:$S$106,7,FALSE))),NOT(ISNUMBER(VLOOKUP($A201,'Fleet register'!$A$7:$S$106,8,FALSE))),NOT(ISNUMBER(AF201)),'Replacement plan'!$I$55&lt;&gt;"Yes",NOT(ISNUMBER(AH201)),'Operating costs'!$B$59&lt;&gt;"Yes",'Operating costs'!$B$58&lt;&gt;"Yes")),"Unverified","Within entered limits"))))</f>
        <v>Excluded</v>
      </c>
      <c r="R201" s="1">
        <f>IF(C201=0,0,VLOOKUP($A201,'Fleet register'!$A$7:$S$106,6,FALSE))</f>
        <v>0</v>
      </c>
      <c r="S201" s="1">
        <f>IF(C201=0,0,VLOOKUP($A201,'Fleet register'!$A$7:$S$106,5,FALSE))</f>
        <v>0</v>
      </c>
      <c r="T201" s="1">
        <f>IF(D201="EV",'Energy and charging'!$B$12,0)</f>
        <v>0</v>
      </c>
      <c r="U201" s="1">
        <f>IFERROR(IF(C201=0,0,IF(D201="EV",IF('Replacement plan'!$F$55="",INDEX(Products!$E$7:$E$13,MATCH('Replacement plan'!$B$55,Products!$A$7:$A$13,0)),'Replacement plan'!$F$55)/IF('Replacement plan'!$G$55="Battery",1-'Operating costs'!$B$44,1),0)),"n.a.")</f>
        <v>0</v>
      </c>
      <c r="V201" s="1">
        <f>IFERROR(IF(C201=0,0,IF(D201="EV",IF('Replacement plan'!$E$55="",INDEX(Products!$D$7:$D$13,MATCH('Replacement plan'!$B$55,Products!$A$7:$A$13,0)),'Replacement plan'!$E$55),0)),"n.a.")</f>
        <v>0</v>
      </c>
      <c r="W201" s="1">
        <f>IF(C201=0,0,IF(AND(P201="Complete",D201="EV",E201&lt;120),IF(T201=0,0,ROUNDUP(T201*(R201-'Operating costs'!$B$41)*(S201*U201+'Operating costs'!$B$48/(1-'Operating costs'!$B$44))/(V201*'Operating costs'!$B$47/(1-'Operating costs'!$B$44)-T201*'Operating costs'!$B$12*U201),0)),0))</f>
        <v>0</v>
      </c>
      <c r="X201" s="1">
        <f>IF(C201=0,0,IF(AND(P201="Complete",D201="EV",E201&lt;120),(R201-'Operating costs'!$B$41)*(S201*U201+'Operating costs'!$B$48/(1-'Operating costs'!$B$44))+W201*'Operating costs'!$B$12*U201,0))</f>
        <v>0</v>
      </c>
      <c r="Y201" s="1">
        <f>IF(AND(C201=1,D201="EV",E201&lt;120),AI201/(1-'Operating costs'!$B$44)*(1-T201),0)</f>
        <v>0</v>
      </c>
      <c r="Z201" s="1">
        <f t="shared" si="6"/>
        <v>0</v>
      </c>
      <c r="AA201" s="1">
        <f>IF(C201=0,0,IF(P201="Complete",((S201*(R201-'Operating costs'!$B$40))+ROUNDUP(S201*(R201-'Operating costs'!$B$40)*IF('Replacement plan'!$AH$55="",'Operating costs'!$B$7,'Replacement plan'!$AH$55)/('Operating costs'!$B$8-'Operating costs'!$B$9*IF('Replacement plan'!$AH$55="",'Operating costs'!$B$7,'Replacement plan'!$AH$55)),0)*'Operating costs'!$B$9)*IF('Replacement plan'!$AH$55="",'Operating costs'!$B$7,'Replacement plan'!$AH$55),"n.a."))</f>
        <v>0</v>
      </c>
      <c r="AB201" s="1">
        <f t="shared" si="7"/>
        <v>0</v>
      </c>
      <c r="AC201" s="1">
        <f>IF(AND(C201=1,D201="EV",E201&lt;120,T201&gt;0),'Operating costs'!$B$12/'Operating costs'!$B$11*60+'Operating costs'!$B$13+'Operating costs'!$B$14+V201*'Operating costs'!$B$47/(1-'Operating costs'!$B$44)/'Replacement plan'!$L$55*60,0)</f>
        <v>0</v>
      </c>
      <c r="AD201" s="1" t="str">
        <f>'Replacement plan'!$B$55</f>
        <v>ChengLong L2EV</v>
      </c>
      <c r="AE201" s="1">
        <f>IF(C201=0,0,VLOOKUP($A201,'Fleet register'!$A$7:$S$106,8,FALSE))</f>
        <v>0</v>
      </c>
      <c r="AF201" s="1" t="str">
        <f>IF('Replacement plan'!$H$55="","n.a.",'Replacement plan'!$H$55)</f>
        <v>n.a.</v>
      </c>
      <c r="AG201" s="1">
        <f>'Replacement plan'!$J$55</f>
        <v>22</v>
      </c>
      <c r="AH201" s="1">
        <f>IFERROR(IF(D201="EV",IF('Replacement plan'!$K$55="AC",IF(ISNUMBER(INDEX(Products!$G$7:$G$13,MATCH('Replacement plan'!$B$55,Products!$A$7:$A$13,0))),INDEX(Products!$G$7:$G$13,MATCH('Replacement plan'!$B$55,Products!$A$7:$A$13,0)),"n.a."),IF(ISNUMBER(INDEX(Products!$H$7:$H$13,MATCH('Replacement plan'!$B$55,Products!$A$7:$A$13,0))),INDEX(Products!$H$7:$H$13,MATCH('Replacement plan'!$B$55,Products!$A$7:$A$13,0)),"n.a.")),0),"n.a.")</f>
        <v>0</v>
      </c>
      <c r="AI201" s="1">
        <f>IF(AND(C201=1,D201="EV",E201&lt;120),(VLOOKUP($A201,'Fleet register'!$A$7:$S$106,7,FALSE)+IF(T201&gt;0,'Operating costs'!$B$12,0))*U201*(1-'Operating costs'!$B$44)+'Operating costs'!$B$49,0)</f>
        <v>0</v>
      </c>
      <c r="AJ201" s="1">
        <f>IF(D201="EV",'Energy and charging'!$B$50,0)</f>
        <v>0</v>
      </c>
      <c r="AK201" s="17">
        <f>EDATE('Operating costs'!$B$63,E201)</f>
        <v>46298</v>
      </c>
      <c r="AL201" s="1">
        <f>IFERROR(IF(D201="EV",INDEX(Products!$B$7:$B$13,MATCH('Replacement plan'!$B$55,Products!$A$7:$A$13,0)),0),"n.a.")</f>
        <v>0</v>
      </c>
      <c r="AM201" s="1" t="str">
        <f>'Replacement plan'!$K$55</f>
        <v>DC</v>
      </c>
      <c r="AN201" s="1" t="str">
        <f>'Replacement plan'!$AE$55</f>
        <v>Assumed</v>
      </c>
      <c r="AO201" s="47">
        <f>IF(AND(C201=1,D201="EV",E201&lt;120),(R201-'Operating costs'!$B$41)*S201+W201*'Operating costs'!$B$12,0)</f>
        <v>0</v>
      </c>
      <c r="AP201" s="41">
        <f>IF(AND(C201=1,D201="EV",E201&lt;120),IF('Operating costs'!$B$68="Hong Seh 200k average",AO201*IFERROR(INDEX(Products!$P$7:$P$13,MATCH(AD201,Products!$A$7:$A$13,0)),"n.a."),'Operating costs'!$B$26),0)</f>
        <v>0</v>
      </c>
      <c r="AQ201" s="40" t="str">
        <f>IF(D201="EV",'Operating costs'!$B$68,"Not applicable")</f>
        <v>Not applicable</v>
      </c>
    </row>
    <row r="202" spans="1:43" ht="24" customHeight="1">
      <c r="A202" s="1" t="str">
        <f>'Replacement plan'!A55</f>
        <v>T049</v>
      </c>
      <c r="B202" s="1">
        <v>3</v>
      </c>
      <c r="C202" s="1">
        <f>IF(COUNTIFS('Fleet register'!$A$7:$A$106,$A202)=1,VLOOKUP($A202,'Fleet register'!$A$7:$S$106,2,FALSE),0)</f>
        <v>0</v>
      </c>
      <c r="D202" s="1" t="str">
        <f>IF('Replacement plan'!$R$55="EV","EV","ICE")</f>
        <v>ICE</v>
      </c>
      <c r="E202" s="1">
        <f>IF(C202=0,0,IF('Replacement plan'!$S$55="",IF('Replacement plan'!$R$55="Keep ICE",IF('Replacement plan'!$M$55="",VLOOKUP($A202,'Fleet register'!$A$7:$S$106,10,FALSE),'Replacement plan'!$M$55),0),'Replacement plan'!$S$55))</f>
        <v>0</v>
      </c>
      <c r="F202" s="16">
        <f>IF(C202=0,0,VLOOKUP($A202,'Fleet register'!$A$7:$S$106,11,FALSE))</f>
        <v>0</v>
      </c>
      <c r="G202" s="16">
        <f>IFERROR(IF(C202=0,0,IF(E202=120,0,IF(D202="ICE",'Replacement plan'!$C$55,IF('Replacement plan'!$D$55="",INDEX(Products!$I$7:$I$13,MATCH('Replacement plan'!$B$55,Products!$A$7:$A$13,0))+'Operating costs'!$B$57,'Replacement plan'!$D$55))*(1+'Operating costs'!$B$50)^(E202/12))),"n.a.")</f>
        <v>0</v>
      </c>
      <c r="H202" s="16">
        <f>IFERROR(IF(C202=0,0,IF('Replacement plan'!$V$55&lt;&gt;"",'Replacement plan'!$V$55,IF(E202=0,F202,VLOOKUP($A202,'Fleet register'!$A$7:$S$106,12,FALSE)+VLOOKUP($A202,'Fleet register'!$A$7:$S$106,13,FALSE)*MAX(0,VLOOKUP($A202,'Fleet register'!$A$7:$S$106,10,FALSE)-E202)/VLOOKUP($A202,'Fleet register'!$A$7:$S$106,14,FALSE)))),"n.a.")</f>
        <v>0</v>
      </c>
      <c r="I202" s="16">
        <f>IF(C202=0,0,IF(E202=120,0,'Replacement plan'!$T$55))</f>
        <v>0</v>
      </c>
      <c r="J202" s="16">
        <f>IF(C202=0,0,IF(P202="Complete",((S202*(R202-'Operating costs'!$B$39))+ROUNDUP(S202*(R202-'Operating costs'!$B$39)*IF('Replacement plan'!$AG$55="",'Operating costs'!$B$7,'Replacement plan'!$AG$55)/('Operating costs'!$B$8-'Operating costs'!$B$9*IF('Replacement plan'!$AG$55="",'Operating costs'!$B$7,'Replacement plan'!$AG$55)),0)*'Operating costs'!$B$9)*IF('Replacement plan'!$AG$55="",'Operating costs'!$B$7,'Replacement plan'!$AG$55)*('Energy and charging'!$C$9*'Energy and charging'!$C$7+(1-'Energy and charging'!$C$9)*'Energy and charging'!$C$8)*'Operating costs'!$B$23,"n.a."))</f>
        <v>0</v>
      </c>
      <c r="K202" s="16">
        <f>IF(C202=0,0,IF(P202="Complete",SUM('Operating costs'!$B$24,'Operating costs'!$B$27,'Operating costs'!$B$29,'Operating costs'!$B$31,'Operating costs'!$B$33,'Operating costs'!$B$34,'Operating costs'!$B$37,'Replacement plan'!$W$55)+'Operating costs'!$B$39*'Operating costs'!$B$42+ROUNDUP(S202*(R202-'Operating costs'!$B$39)*IF('Replacement plan'!$AG$55="",'Operating costs'!$B$7,'Replacement plan'!$AG$55)/('Operating costs'!$B$8-'Operating costs'!$B$9*IF('Replacement plan'!$AG$55="",'Operating costs'!$B$7,'Replacement plan'!$AG$55)),0)*('Operating costs'!$B$9/'Operating costs'!$B$11+'Operating costs'!$B$10/60)*'Operating costs'!$B$19*'Operating costs'!$B$21,"n.a."))</f>
        <v>0</v>
      </c>
      <c r="L202" s="16">
        <f>IF(C202=0,0,IF(P202="Complete",IF(D202="EV",X202*((1-T202)*'Energy and charging'!$C$10+T202*'Energy and charging'!$C$11)*'Operating costs'!$B$22,AA202*('Energy and charging'!$C$9*'Energy and charging'!$C$7+(1-'Energy and charging'!$C$9)*'Energy and charging'!$C$8)*'Operating costs'!$B$23),"n.a."))</f>
        <v>0</v>
      </c>
      <c r="M202" s="37">
        <f>IF(C202=0,0,IF(P202="Complete",IF(D202="ICE",SUM('Operating costs'!$B$25,'Operating costs'!$B$27,'Operating costs'!$B$29,'Operating costs'!$B$31,'Operating costs'!$B$33,'Operating costs'!$B$35,'Operating costs'!$B$37,'Replacement plan'!$X$55)+'Operating costs'!$B$40*'Operating costs'!$B$42+ROUNDUP(S202*(R202-'Operating costs'!$B$40)*IF('Replacement plan'!$AH$55="",'Operating costs'!$B$7,'Replacement plan'!$AH$55)/('Operating costs'!$B$8-'Operating costs'!$B$9*IF('Replacement plan'!$AH$55="",'Operating costs'!$B$7,'Replacement plan'!$AH$55)),0)*('Operating costs'!$B$9/'Operating costs'!$B$11+'Operating costs'!$B$10/60)*'Operating costs'!$B$19*'Operating costs'!$B$21,SUM(AP202,'Operating costs'!$B$28,'Operating costs'!$B$30,'Operating costs'!$B$32,'Operating costs'!$B$33,'Operating costs'!$B$36,'Operating costs'!$B$38,'Replacement plan'!$Y$55)+'Operating costs'!$B$41*'Operating costs'!$B$43+W202*'Operating costs'!$B$15+(T202*X202/'Replacement plan'!$L$55+W202*('Operating costs'!$B$12/'Operating costs'!$B$11+('Operating costs'!$B$13+'Operating costs'!$B$14)/60)+(R202-'Operating costs'!$B$41)*(IF(T202&lt;1,'Operating costs'!$B$16,0)+'Operating costs'!$B$17)/60)*'Operating costs'!$B$19*'Operating costs'!$B$20),"n.a."))</f>
        <v>0</v>
      </c>
      <c r="N202" s="16">
        <f>IF(AND(C202=1,D202="EV",E202&lt;120,E202+'Replacement plan'!$AA$55&lt;=120),'Replacement plan'!$Z$55,0)</f>
        <v>0</v>
      </c>
      <c r="O202" s="1">
        <f>E202+'Replacement plan'!$AA$55</f>
        <v>0</v>
      </c>
      <c r="P202" s="35" t="str">
        <f>IFERROR(IF(C202=0,"Excluded",IF(OR(COUNTIFS('Fleet register'!$A$7:$A$106,A202)&lt;&gt;1,COUNTIFS('Replacement plan'!$A$7:$A$106,A202)&lt;&gt;1),"Duplicate/missing ID",IF(NOT(AND(ISNUMBER(VLOOKUP($A202,'Fleet register'!$A$7:$S$106,5,FALSE)),ISNUMBER(VLOOKUP($A202,'Fleet register'!$A$7:$S$106,6,FALSE)),ISNUMBER(VLOOKUP($A202,'Fleet register'!$A$7:$S$106,10,FALSE)),ISNUMBER(VLOOKUP($A202,'Fleet register'!$A$7:$S$106,11,FALSE)),ISNUMBER(VLOOKUP($A202,'Fleet register'!$A$7:$S$106,12,FALSE)),ISNUMBER(VLOOKUP($A202,'Fleet register'!$A$7:$S$106,13,FALSE)),ISNUMBER(VLOOKUP($A202,'Fleet register'!$A$7:$S$106,14,FALSE)),VLOOKUP($A202,'Fleet register'!$A$7:$S$106,14,FALSE)&gt;0,ISNUMBER('Replacement plan'!$C$55),OR(E202=120,ISNUMBER('Replacement plan'!$T$55)),ISNUMBER(E202))),"Missing vehicle input",IF(OR(E202&lt;0,E202&gt;VLOOKUP($A202,'Fleet register'!$A$7:$S$106,10,FALSE),E202&gt;120,E202&lt;&gt;INT(E202),VLOOKUP($A202,'Fleet register'!$A$7:$S$106,6,FALSE)&lt;=0,VLOOKUP($A202,'Fleet register'!$A$7:$S$106,6,FALSE)&gt;366,VLOOKUP($A202,'Fleet register'!$A$7:$S$106,5,FALSE)&lt;0,VLOOKUP($A202,'Fleet register'!$A$7:$S$106,11,FALSE)&lt;0,I202&lt;0,'Operating costs'!$B$8&lt;='Operating costs'!$B$7*'Operating costs'!$B$9,'Operating costs'!$B$11&lt;=0,'Operating costs'!$B$39&gt;R202,'Operating costs'!$B$40&gt;R202,'Operating costs'!$B$41&gt;R202,NOT(OR('Replacement plan'!$R$55="Keep ICE",'Replacement plan'!$R$55="New ICE",'Replacement plan'!$R$55="EV"))),"Invalid vehicle input",IF(AND(D202="EV",E202&lt;120,OR(NOT(ISNUMBER(U202)),NOT(ISNUMBER(V202)),V202&lt;=0,T202&lt;0,T202&gt;1,'Replacement plan'!$L$55&lt;=0,'Operating costs'!$B$44&lt;0,'Operating costs'!$B$44&gt;=1,'Operating costs'!$B$47&lt;=0,'Operating costs'!$B$47&gt;1,V202*'Operating costs'!$B$47/(1-'Operating costs'!$B$44)&lt;=T202*'Operating costs'!$B$12*U202,AND('Replacement plan'!$Z$55&gt;0,OR('Replacement plan'!$AB$55&lt;&gt;"Yes",'Operating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charging'!$C$8&gt;=0))),ISNUMBER(VLOOKUP($A202,'Fleet register'!$A$7:$S$106,15,FALSE)),ISNUMBER(VLOOKUP($A202,'Fleet register'!$A$7:$S$106,16,FALSE)),ISNUMBER('Replacement plan'!$W$55),ISNUMBER('Replacement plan'!$X$55),OR(E202=120,AND(ISNUMBER(G202),G202&gt;=0)),ISNUMBER(H202),H202&gt;=0,OR(D202&lt;&gt;"EV",E202=120,AND(ISNUMBER('Operating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average",ISNUMBER(IFERROR(INDEX(Products!$P$7:$P$13,MATCH(AD202,Products!$A$7:$A$13,0)),"")))),ISNUMBER('Operating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plan'!$Y$55),ISNUMBER('Replacement plan'!$Z$55),'Replacement plan'!$Z$55&gt;=0,ISNUMBER('Replacement plan'!$AA$55),'Replacement plan'!$AA$55&gt;=0,'Replacement plan'!$AA$55=INT('Replacement plan'!$AA$55),ISNUMBER('Replacement plan'!$L$55))),'Operating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plan'!$AG$55="",'Operating costs'!$B$7,'Replacement plan'!$AG$55)),IF('Replacement plan'!$AG$55="",'Operating costs'!$B$7,'Replacement plan'!$AG$55)&gt;=0,ISNUMBER(IF('Replacement plan'!$AH$55="",'Operating costs'!$B$7,'Replacement plan'!$AH$55)),IF('Replacement plan'!$AH$55="",'Operating costs'!$B$7,'Replacement plan'!$AH$55)&gt;=0,'Operating costs'!$B$8&gt;MAX(IF('Replacement plan'!$AG$55="",'Operating costs'!$B$7,'Replacement plan'!$AG$55),IF('Replacement plan'!$AH$55="",'Operating costs'!$B$7,'Replacement plan'!$AH$55))*'Operating costs'!$B$9),IF(AND(VLOOKUP($A202,'Fleet register'!$A$7:$S$106,10,FALSE)&gt;=0,VLOOKUP($A202,'Fleet register'!$A$7:$S$106,10,FALSE)&lt;=120,VLOOKUP($A202,'Fleet register'!$A$7:$S$106,10,FALSE)=INT(VLOOKUP($A202,'Fleet register'!$A$7:$S$106,10,FALSE)),VLOOKUP($A202,'Fleet register'!$A$7:$S$106,15,FALSE)&gt;=0,VLOOKUP($A202,'Fleet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costs'!$B$67)&gt;=0,OR(D202&lt;&gt;"EV",E202=120,AND(MIN('Operating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02" s="1" t="str">
        <f>IF(C202=0,"Excluded",IF(P202&lt;&gt;"Complete",P202,IF(OR('Replacement plan'!$AD$55&lt;120-E202,AND(D202="EV",E202&lt;120,OR('Replacement plan'!$AC$55&lt;120-E202,'Replacement plan'!$I$55="No",AND(ISNUMBER(AF202),AE202&gt;AF202),AI202&gt;V202*(1-'Operating costs'!$B$46)^MAX(0,AB202-1)*(1-'Operating costs'!$B$45),AC202&gt;'Operating costs'!$B$18,AND(T202&lt;1,OR(AG202&lt;=0,AND(ISNUMBER(AH202),AG202&gt;AH202))),'Replacement plan'!$L$55&gt;INDEX(Products!$H$7:$H$13,MATCH('Replacement plan'!$B$55,Products!$A$7:$A$13,0))))),"Fails entered limits",IF(AND(D202="EV",E202&lt;120,OR(NOT(ISNUMBER(VLOOKUP($A202,'Fleet register'!$A$7:$S$106,7,FALSE))),NOT(ISNUMBER(VLOOKUP($A202,'Fleet register'!$A$7:$S$106,8,FALSE))),NOT(ISNUMBER(AF202)),'Replacement plan'!$I$55&lt;&gt;"Yes",NOT(ISNUMBER(AH202)),'Operating costs'!$B$59&lt;&gt;"Yes",'Operating costs'!$B$58&lt;&gt;"Yes")),"Unverified","Within entered limits"))))</f>
        <v>Excluded</v>
      </c>
      <c r="R202" s="1">
        <f>IF(C202=0,0,VLOOKUP($A202,'Fleet register'!$A$7:$S$106,6,FALSE))</f>
        <v>0</v>
      </c>
      <c r="S202" s="1">
        <f>IF(C202=0,0,VLOOKUP($A202,'Fleet register'!$A$7:$S$106,5,FALSE))</f>
        <v>0</v>
      </c>
      <c r="T202" s="1">
        <f>IF(D202="EV",'Energy and charging'!$C$12,0)</f>
        <v>0</v>
      </c>
      <c r="U202" s="1">
        <f>IFERROR(IF(C202=0,0,IF(D202="EV",IF('Replacement plan'!$F$55="",INDEX(Products!$E$7:$E$13,MATCH('Replacement plan'!$B$55,Products!$A$7:$A$13,0)),'Replacement plan'!$F$55)/IF('Replacement plan'!$G$55="Battery",1-'Operating costs'!$B$44,1),0)),"n.a.")</f>
        <v>0</v>
      </c>
      <c r="V202" s="1">
        <f>IFERROR(IF(C202=0,0,IF(D202="EV",IF('Replacement plan'!$E$55="",INDEX(Products!$D$7:$D$13,MATCH('Replacement plan'!$B$55,Products!$A$7:$A$13,0)),'Replacement plan'!$E$55),0)),"n.a.")</f>
        <v>0</v>
      </c>
      <c r="W202" s="1">
        <f>IF(C202=0,0,IF(AND(P202="Complete",D202="EV",E202&lt;120),IF(T202=0,0,ROUNDUP(T202*(R202-'Operating costs'!$B$41)*(S202*U202+'Operating costs'!$B$48/(1-'Operating costs'!$B$44))/(V202*'Operating costs'!$B$47/(1-'Operating costs'!$B$44)-T202*'Operating costs'!$B$12*U202),0)),0))</f>
        <v>0</v>
      </c>
      <c r="X202" s="1">
        <f>IF(C202=0,0,IF(AND(P202="Complete",D202="EV",E202&lt;120),(R202-'Operating costs'!$B$41)*(S202*U202+'Operating costs'!$B$48/(1-'Operating costs'!$B$44))+W202*'Operating costs'!$B$12*U202,0))</f>
        <v>0</v>
      </c>
      <c r="Y202" s="1">
        <f>IF(AND(C202=1,D202="EV",E202&lt;120),AI202/(1-'Operating costs'!$B$44)*(1-T202),0)</f>
        <v>0</v>
      </c>
      <c r="Z202" s="1">
        <f t="shared" si="6"/>
        <v>0</v>
      </c>
      <c r="AA202" s="1">
        <f>IF(C202=0,0,IF(P202="Complete",((S202*(R202-'Operating costs'!$B$40))+ROUNDUP(S202*(R202-'Operating costs'!$B$40)*IF('Replacement plan'!$AH$55="",'Operating costs'!$B$7,'Replacement plan'!$AH$55)/('Operating costs'!$B$8-'Operating costs'!$B$9*IF('Replacement plan'!$AH$55="",'Operating costs'!$B$7,'Replacement plan'!$AH$55)),0)*'Operating costs'!$B$9)*IF('Replacement plan'!$AH$55="",'Operating costs'!$B$7,'Replacement plan'!$AH$55),"n.a."))</f>
        <v>0</v>
      </c>
      <c r="AB202" s="1">
        <f t="shared" si="7"/>
        <v>0</v>
      </c>
      <c r="AC202" s="1">
        <f>IF(AND(C202=1,D202="EV",E202&lt;120,T202&gt;0),'Operating costs'!$B$12/'Operating costs'!$B$11*60+'Operating costs'!$B$13+'Operating costs'!$B$14+V202*'Operating costs'!$B$47/(1-'Operating costs'!$B$44)/'Replacement plan'!$L$55*60,0)</f>
        <v>0</v>
      </c>
      <c r="AD202" s="1" t="str">
        <f>'Replacement plan'!$B$55</f>
        <v>ChengLong L2EV</v>
      </c>
      <c r="AE202" s="1">
        <f>IF(C202=0,0,VLOOKUP($A202,'Fleet register'!$A$7:$S$106,8,FALSE))</f>
        <v>0</v>
      </c>
      <c r="AF202" s="1" t="str">
        <f>IF('Replacement plan'!$H$55="","n.a.",'Replacement plan'!$H$55)</f>
        <v>n.a.</v>
      </c>
      <c r="AG202" s="1">
        <f>'Replacement plan'!$J$55</f>
        <v>22</v>
      </c>
      <c r="AH202" s="1">
        <f>IFERROR(IF(D202="EV",IF('Replacement plan'!$K$55="AC",IF(ISNUMBER(INDEX(Products!$G$7:$G$13,MATCH('Replacement plan'!$B$55,Products!$A$7:$A$13,0))),INDEX(Products!$G$7:$G$13,MATCH('Replacement plan'!$B$55,Products!$A$7:$A$13,0)),"n.a."),IF(ISNUMBER(INDEX(Products!$H$7:$H$13,MATCH('Replacement plan'!$B$55,Products!$A$7:$A$13,0))),INDEX(Products!$H$7:$H$13,MATCH('Replacement plan'!$B$55,Products!$A$7:$A$13,0)),"n.a.")),0),"n.a.")</f>
        <v>0</v>
      </c>
      <c r="AI202" s="1">
        <f>IF(AND(C202=1,D202="EV",E202&lt;120),(VLOOKUP($A202,'Fleet register'!$A$7:$S$106,7,FALSE)+IF(T202&gt;0,'Operating costs'!$B$12,0))*U202*(1-'Operating costs'!$B$44)+'Operating costs'!$B$49,0)</f>
        <v>0</v>
      </c>
      <c r="AJ202" s="1">
        <f>IF(D202="EV",'Energy and charging'!$C$50,0)</f>
        <v>0</v>
      </c>
      <c r="AK202" s="17">
        <f>EDATE('Operating costs'!$B$63,E202)</f>
        <v>46298</v>
      </c>
      <c r="AL202" s="1">
        <f>IFERROR(IF(D202="EV",INDEX(Products!$B$7:$B$13,MATCH('Replacement plan'!$B$55,Products!$A$7:$A$13,0)),0),"n.a.")</f>
        <v>0</v>
      </c>
      <c r="AM202" s="1" t="str">
        <f>'Replacement plan'!$K$55</f>
        <v>DC</v>
      </c>
      <c r="AN202" s="1" t="str">
        <f>'Replacement plan'!$AE$55</f>
        <v>Assumed</v>
      </c>
      <c r="AO202" s="47">
        <f>IF(AND(C202=1,D202="EV",E202&lt;120),(R202-'Operating costs'!$B$41)*S202+W202*'Operating costs'!$B$12,0)</f>
        <v>0</v>
      </c>
      <c r="AP202" s="41">
        <f>IF(AND(C202=1,D202="EV",E202&lt;120),IF('Operating costs'!$B$68="Hong Seh 200k average",AO202*IFERROR(INDEX(Products!$P$7:$P$13,MATCH(AD202,Products!$A$7:$A$13,0)),"n.a."),'Operating costs'!$B$26),0)</f>
        <v>0</v>
      </c>
      <c r="AQ202" s="40" t="str">
        <f>IF(D202="EV",'Operating costs'!$B$68,"Not applicable")</f>
        <v>Not applicable</v>
      </c>
    </row>
    <row r="203" spans="1:43" ht="24" customHeight="1">
      <c r="A203" s="1" t="str">
        <f>'Replacement plan'!A56</f>
        <v>T050</v>
      </c>
      <c r="B203" s="1">
        <v>0</v>
      </c>
      <c r="C203" s="1">
        <f>IF(COUNTIFS('Fleet register'!$A$7:$A$106,$A203)=1,VLOOKUP($A203,'Fleet register'!$A$7:$S$106,2,FALSE),0)</f>
        <v>0</v>
      </c>
      <c r="D203" s="1" t="str">
        <f>IF("Keep ICE"="EV","EV","ICE")</f>
        <v>ICE</v>
      </c>
      <c r="E203" s="1">
        <f>IF(C203=0,0,IF('Replacement plan'!$M$56="",VLOOKUP($A203,'Fleet register'!$A$7:$S$106,10,FALSE),'Replacement plan'!$M$56))</f>
        <v>0</v>
      </c>
      <c r="F203" s="16">
        <f>IF(C203=0,0,VLOOKUP($A203,'Fleet register'!$A$7:$S$106,11,FALSE))</f>
        <v>0</v>
      </c>
      <c r="G203" s="16">
        <f>IFERROR(IF(C203=0,0,IF(E203=120,0,IF(D203="ICE",'Replacement plan'!$C$56,IF('Replacement plan'!$D$56="",INDEX(Products!$I$7:$I$13,MATCH('Replacement plan'!$B$56,Products!$A$7:$A$13,0))+'Operating costs'!$B$57,'Replacement plan'!$D$56))*(1+'Operating costs'!$B$50)^(E203/12))),"n.a.")</f>
        <v>0</v>
      </c>
      <c r="H203" s="16">
        <f>IFERROR(IF(C203=0,0,IF(E203=0,F203,VLOOKUP($A203,'Fleet register'!$A$7:$S$106,12,FALSE)+VLOOKUP($A203,'Fleet register'!$A$7:$S$106,13,FALSE)*MAX(0,VLOOKUP($A203,'Fleet register'!$A$7:$S$106,10,FALSE)-E203)/VLOOKUP($A203,'Fleet register'!$A$7:$S$106,14,FALSE))),"n.a.")</f>
        <v>0</v>
      </c>
      <c r="I203" s="16">
        <f>IF(C203=0,0,IF(E203=120,0,'Replacement plan'!$N$56))</f>
        <v>0</v>
      </c>
      <c r="J203" s="16">
        <f>IF(C203=0,0,IF(P203="Complete",((S203*(R203-'Operating costs'!$B$39))+ROUNDUP(S203*(R203-'Operating costs'!$B$39)*IF('Replacement plan'!$AG$56="",'Operating costs'!$B$7,'Replacement plan'!$AG$56)/('Operating costs'!$B$8-'Operating costs'!$B$9*IF('Replacement plan'!$AG$56="",'Operating costs'!$B$7,'Replacement plan'!$AG$56)),0)*'Operating costs'!$B$9)*IF('Replacement plan'!$AG$56="",'Operating costs'!$B$7,'Replacement plan'!$AG$56)*('Energy and charging'!$B$9*'Energy and charging'!$B$7+(1-'Energy and charging'!$B$9)*'Energy and charging'!$B$8)*'Operating costs'!$B$23,"n.a."))</f>
        <v>0</v>
      </c>
      <c r="K203" s="16">
        <f>IF(C203=0,0,IF(P203="Complete",SUM('Operating costs'!$B$24,'Operating costs'!$B$27,'Operating costs'!$B$29,'Operating costs'!$B$31,'Operating costs'!$B$33,'Operating costs'!$B$34,'Operating costs'!$B$37,'Replacement plan'!$W$56)+'Operating costs'!$B$39*'Operating costs'!$B$42+ROUNDUP(S203*(R203-'Operating costs'!$B$39)*IF('Replacement plan'!$AG$56="",'Operating costs'!$B$7,'Replacement plan'!$AG$56)/('Operating costs'!$B$8-'Operating costs'!$B$9*IF('Replacement plan'!$AG$56="",'Operating costs'!$B$7,'Replacement plan'!$AG$56)),0)*('Operating costs'!$B$9/'Operating costs'!$B$11+'Operating costs'!$B$10/60)*'Operating costs'!$B$19*'Operating costs'!$B$21,"n.a."))</f>
        <v>0</v>
      </c>
      <c r="L203" s="16">
        <f>IF(C203=0,0,IF(P203="Complete",IF(D203="EV",X203*((1-T203)*'Energy and charging'!$B$10+T203*'Energy and charging'!$B$11)*'Operating costs'!$B$22,AA203*('Energy and charging'!$B$9*'Energy and charging'!$B$7+(1-'Energy and charging'!$B$9)*'Energy and charging'!$B$8)*'Operating costs'!$B$23),"n.a."))</f>
        <v>0</v>
      </c>
      <c r="M203" s="37">
        <f>IF(C203=0,0,IF(P203="Complete",IF(D203="ICE",SUM('Operating costs'!$B$25,'Operating costs'!$B$27,'Operating costs'!$B$29,'Operating costs'!$B$31,'Operating costs'!$B$33,'Operating costs'!$B$35,'Operating costs'!$B$37,'Replacement plan'!$X$56)+'Operating costs'!$B$40*'Operating costs'!$B$42+ROUNDUP(S203*(R203-'Operating costs'!$B$40)*IF('Replacement plan'!$AH$56="",'Operating costs'!$B$7,'Replacement plan'!$AH$56)/('Operating costs'!$B$8-'Operating costs'!$B$9*IF('Replacement plan'!$AH$56="",'Operating costs'!$B$7,'Replacement plan'!$AH$56)),0)*('Operating costs'!$B$9/'Operating costs'!$B$11+'Operating costs'!$B$10/60)*'Operating costs'!$B$19*'Operating costs'!$B$21,SUM(AP203,'Operating costs'!$B$28,'Operating costs'!$B$30,'Operating costs'!$B$32,'Operating costs'!$B$33,'Operating costs'!$B$36,'Operating costs'!$B$38,'Replacement plan'!$Y$56)+'Operating costs'!$B$41*'Operating costs'!$B$43+W203*'Operating costs'!$B$15+(T203*X203/'Replacement plan'!$L$56+W203*('Operating costs'!$B$12/'Operating costs'!$B$11+('Operating costs'!$B$13+'Operating costs'!$B$14)/60)+(R203-'Operating costs'!$B$41)*(IF(T203&lt;1,'Operating costs'!$B$16,0)+'Operating costs'!$B$17)/60)*'Operating costs'!$B$19*'Operating costs'!$B$20),"n.a."))</f>
        <v>0</v>
      </c>
      <c r="N203" s="16">
        <f>IF(AND(C203=1,D203="EV",E203&lt;120,E203+'Replacement plan'!$AA$56&lt;=120),'Replacement plan'!$Z$56,0)</f>
        <v>0</v>
      </c>
      <c r="O203" s="1">
        <f>E203+'Replacement plan'!$AA$56</f>
        <v>0</v>
      </c>
      <c r="P203" s="35" t="str">
        <f>IFERROR(IF(C203=0,"Excluded",IF(OR(COUNTIFS('Fleet register'!$A$7:$A$106,A203)&lt;&gt;1,COUNTIFS('Replacement plan'!$A$7:$A$106,A203)&lt;&gt;1),"Duplicate/missing ID",IF(NOT(AND(ISNUMBER(VLOOKUP($A203,'Fleet register'!$A$7:$S$106,5,FALSE)),ISNUMBER(VLOOKUP($A203,'Fleet register'!$A$7:$S$106,6,FALSE)),ISNUMBER(VLOOKUP($A203,'Fleet register'!$A$7:$S$106,10,FALSE)),ISNUMBER(VLOOKUP($A203,'Fleet register'!$A$7:$S$106,11,FALSE)),ISNUMBER(VLOOKUP($A203,'Fleet register'!$A$7:$S$106,12,FALSE)),ISNUMBER(VLOOKUP($A203,'Fleet register'!$A$7:$S$106,13,FALSE)),ISNUMBER(VLOOKUP($A203,'Fleet register'!$A$7:$S$106,14,FALSE)),VLOOKUP($A203,'Fleet register'!$A$7:$S$106,14,FALSE)&gt;0,ISNUMBER('Replacement plan'!$C$56),OR(E203=120,ISNUMBER('Replacement plan'!$N$56)),ISNUMBER(E203))),"Missing vehicle input",IF(OR(E203&lt;0,E203&gt;VLOOKUP($A203,'Fleet register'!$A$7:$S$106,10,FALSE),E203&gt;120,E203&lt;&gt;INT(E203),VLOOKUP($A203,'Fleet register'!$A$7:$S$106,6,FALSE)&lt;=0,VLOOKUP($A203,'Fleet register'!$A$7:$S$106,6,FALSE)&gt;366,VLOOKUP($A203,'Fleet register'!$A$7:$S$106,5,FALSE)&lt;0,VLOOKUP($A203,'Fleet register'!$A$7:$S$106,11,FALSE)&lt;0,I203&lt;0,'Operating costs'!$B$8&lt;='Operating costs'!$B$7*'Operating costs'!$B$9,'Operating costs'!$B$11&lt;=0,'Operating costs'!$B$39&gt;R203,'Operating costs'!$B$40&gt;R203,'Operating costs'!$B$41&gt;R203,NOT(OR("Keep ICE"="Keep ICE","Keep ICE"="New ICE","Keep ICE"="EV"))),"Invalid vehicle input",IF(AND(D203="EV",E203&lt;120,OR(NOT(ISNUMBER(U203)),NOT(ISNUMBER(V203)),V203&lt;=0,T203&lt;0,T203&gt;1,'Replacement plan'!$L$56&lt;=0,'Operating costs'!$B$44&lt;0,'Operating costs'!$B$44&gt;=1,'Operating costs'!$B$47&lt;=0,'Operating costs'!$B$47&gt;1,V203*'Operating costs'!$B$47/(1-'Operating costs'!$B$44)&lt;=T203*'Operating costs'!$B$12*U203,AND('Replacement plan'!$Z$56&gt;0,OR('Replacement plan'!$AB$56&lt;&gt;"Yes",'Operating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charging'!$B$8&gt;=0))),ISNUMBER(VLOOKUP($A203,'Fleet register'!$A$7:$S$106,15,FALSE)),ISNUMBER(VLOOKUP($A203,'Fleet register'!$A$7:$S$106,16,FALSE)),ISNUMBER('Replacement plan'!$W$56),ISNUMBER('Replacement plan'!$X$56),OR(E203=120,AND(ISNUMBER(G203),G203&gt;=0)),ISNUMBER(H203),H203&gt;=0,OR(D203&lt;&gt;"EV",E203=120,AND(ISNUMBER('Operating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average",ISNUMBER(IFERROR(INDEX(Products!$P$7:$P$13,MATCH(AD203,Products!$A$7:$A$13,0)),"")))),ISNUMBER('Operating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plan'!$Y$56),ISNUMBER('Replacement plan'!$Z$56),'Replacement plan'!$Z$56&gt;=0,ISNUMBER('Replacement plan'!$AA$56),'Replacement plan'!$AA$56&gt;=0,'Replacement plan'!$AA$56=INT('Replacement plan'!$AA$56),ISNUMBER('Replacement plan'!$L$56))),'Operating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plan'!$AG$56="",'Operating costs'!$B$7,'Replacement plan'!$AG$56)),IF('Replacement plan'!$AG$56="",'Operating costs'!$B$7,'Replacement plan'!$AG$56)&gt;=0,ISNUMBER(IF('Replacement plan'!$AH$56="",'Operating costs'!$B$7,'Replacement plan'!$AH$56)),IF('Replacement plan'!$AH$56="",'Operating costs'!$B$7,'Replacement plan'!$AH$56)&gt;=0,'Operating costs'!$B$8&gt;MAX(IF('Replacement plan'!$AG$56="",'Operating costs'!$B$7,'Replacement plan'!$AG$56),IF('Replacement plan'!$AH$56="",'Operating costs'!$B$7,'Replacement plan'!$AH$56))*'Operating costs'!$B$9),IF(AND(VLOOKUP($A203,'Fleet register'!$A$7:$S$106,10,FALSE)&gt;=0,VLOOKUP($A203,'Fleet register'!$A$7:$S$106,10,FALSE)&lt;=120,VLOOKUP($A203,'Fleet register'!$A$7:$S$106,10,FALSE)=INT(VLOOKUP($A203,'Fleet register'!$A$7:$S$106,10,FALSE)),VLOOKUP($A203,'Fleet register'!$A$7:$S$106,15,FALSE)&gt;=0,VLOOKUP($A203,'Fleet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costs'!$B$67)&gt;=0,OR(D203&lt;&gt;"EV",E203=120,AND(MIN('Operating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03" s="1" t="str">
        <f>IF(C203=0,"Excluded",IF(P203&lt;&gt;"Complete",P203,IF(OR('Replacement plan'!$AD$56&lt;120-E203,AND(D203="EV",E203&lt;120,OR('Replacement plan'!$AC$56&lt;120-E203,'Replacement plan'!$I$56="No",AND(ISNUMBER(AF203),AE203&gt;AF203),AI203&gt;V203*(1-'Operating costs'!$B$46)^MAX(0,AB203-1)*(1-'Operating costs'!$B$45),AC203&gt;'Operating costs'!$B$18,AND(T203&lt;1,OR(AG203&lt;=0,AND(ISNUMBER(AH203),AG203&gt;AH203))),'Replacement plan'!$L$56&gt;INDEX(Products!$H$7:$H$13,MATCH('Replacement plan'!$B$56,Products!$A$7:$A$13,0))))),"Fails entered limits",IF(AND(D203="EV",E203&lt;120,OR(NOT(ISNUMBER(VLOOKUP($A203,'Fleet register'!$A$7:$S$106,7,FALSE))),NOT(ISNUMBER(VLOOKUP($A203,'Fleet register'!$A$7:$S$106,8,FALSE))),NOT(ISNUMBER(AF203)),'Replacement plan'!$I$56&lt;&gt;"Yes",NOT(ISNUMBER(AH203)),'Operating costs'!$B$59&lt;&gt;"Yes",'Operating costs'!$B$58&lt;&gt;"Yes")),"Unverified","Within entered limits"))))</f>
        <v>Excluded</v>
      </c>
      <c r="R203" s="1">
        <f>IF(C203=0,0,VLOOKUP($A203,'Fleet register'!$A$7:$S$106,6,FALSE))</f>
        <v>0</v>
      </c>
      <c r="S203" s="1">
        <f>IF(C203=0,0,VLOOKUP($A203,'Fleet register'!$A$7:$S$106,5,FALSE))</f>
        <v>0</v>
      </c>
      <c r="T203" s="1">
        <f>IF(D203="EV",'Energy and charging'!$B$12,0)</f>
        <v>0</v>
      </c>
      <c r="U203" s="1">
        <f>IFERROR(IF(C203=0,0,IF(D203="EV",IF('Replacement plan'!$F$56="",INDEX(Products!$E$7:$E$13,MATCH('Replacement plan'!$B$56,Products!$A$7:$A$13,0)),'Replacement plan'!$F$56)/IF('Replacement plan'!$G$56="Battery",1-'Operating costs'!$B$44,1),0)),"n.a.")</f>
        <v>0</v>
      </c>
      <c r="V203" s="1">
        <f>IFERROR(IF(C203=0,0,IF(D203="EV",IF('Replacement plan'!$E$56="",INDEX(Products!$D$7:$D$13,MATCH('Replacement plan'!$B$56,Products!$A$7:$A$13,0)),'Replacement plan'!$E$56),0)),"n.a.")</f>
        <v>0</v>
      </c>
      <c r="W203" s="1">
        <f>IF(C203=0,0,IF(AND(P203="Complete",D203="EV",E203&lt;120),IF(T203=0,0,ROUNDUP(T203*(R203-'Operating costs'!$B$41)*(S203*U203+'Operating costs'!$B$48/(1-'Operating costs'!$B$44))/(V203*'Operating costs'!$B$47/(1-'Operating costs'!$B$44)-T203*'Operating costs'!$B$12*U203),0)),0))</f>
        <v>0</v>
      </c>
      <c r="X203" s="1">
        <f>IF(C203=0,0,IF(AND(P203="Complete",D203="EV",E203&lt;120),(R203-'Operating costs'!$B$41)*(S203*U203+'Operating costs'!$B$48/(1-'Operating costs'!$B$44))+W203*'Operating costs'!$B$12*U203,0))</f>
        <v>0</v>
      </c>
      <c r="Y203" s="1">
        <f>IF(AND(C203=1,D203="EV",E203&lt;120),AI203/(1-'Operating costs'!$B$44)*(1-T203),0)</f>
        <v>0</v>
      </c>
      <c r="Z203" s="1">
        <f t="shared" si="6"/>
        <v>0</v>
      </c>
      <c r="AA203" s="1">
        <f>IF(C203=0,0,IF(P203="Complete",((S203*(R203-'Operating costs'!$B$40))+ROUNDUP(S203*(R203-'Operating costs'!$B$40)*IF('Replacement plan'!$AH$56="",'Operating costs'!$B$7,'Replacement plan'!$AH$56)/('Operating costs'!$B$8-'Operating costs'!$B$9*IF('Replacement plan'!$AH$56="",'Operating costs'!$B$7,'Replacement plan'!$AH$56)),0)*'Operating costs'!$B$9)*IF('Replacement plan'!$AH$56="",'Operating costs'!$B$7,'Replacement plan'!$AH$56),"n.a."))</f>
        <v>0</v>
      </c>
      <c r="AB203" s="1">
        <f t="shared" si="7"/>
        <v>0</v>
      </c>
      <c r="AC203" s="1">
        <f>IF(AND(C203=1,D203="EV",E203&lt;120,T203&gt;0),'Operating costs'!$B$12/'Operating costs'!$B$11*60+'Operating costs'!$B$13+'Operating costs'!$B$14+V203*'Operating costs'!$B$47/(1-'Operating costs'!$B$44)/'Replacement plan'!$L$56*60,0)</f>
        <v>0</v>
      </c>
      <c r="AD203" s="1" t="str">
        <f>'Replacement plan'!$B$56</f>
        <v>ChengLong L2EV</v>
      </c>
      <c r="AE203" s="1">
        <f>IF(C203=0,0,VLOOKUP($A203,'Fleet register'!$A$7:$S$106,8,FALSE))</f>
        <v>0</v>
      </c>
      <c r="AF203" s="1" t="str">
        <f>IF('Replacement plan'!$H$56="","n.a.",'Replacement plan'!$H$56)</f>
        <v>n.a.</v>
      </c>
      <c r="AG203" s="1">
        <f>'Replacement plan'!$J$56</f>
        <v>22</v>
      </c>
      <c r="AH203" s="1">
        <f>IFERROR(IF(D203="EV",IF('Replacement plan'!$K$56="AC",IF(ISNUMBER(INDEX(Products!$G$7:$G$13,MATCH('Replacement plan'!$B$56,Products!$A$7:$A$13,0))),INDEX(Products!$G$7:$G$13,MATCH('Replacement plan'!$B$56,Products!$A$7:$A$13,0)),"n.a."),IF(ISNUMBER(INDEX(Products!$H$7:$H$13,MATCH('Replacement plan'!$B$56,Products!$A$7:$A$13,0))),INDEX(Products!$H$7:$H$13,MATCH('Replacement plan'!$B$56,Products!$A$7:$A$13,0)),"n.a.")),0),"n.a.")</f>
        <v>0</v>
      </c>
      <c r="AI203" s="1">
        <f>IF(AND(C203=1,D203="EV",E203&lt;120),(VLOOKUP($A203,'Fleet register'!$A$7:$S$106,7,FALSE)+IF(T203&gt;0,'Operating costs'!$B$12,0))*U203*(1-'Operating costs'!$B$44)+'Operating costs'!$B$49,0)</f>
        <v>0</v>
      </c>
      <c r="AJ203" s="1">
        <f>IF(D203="EV",'Energy and charging'!$B$50,0)</f>
        <v>0</v>
      </c>
      <c r="AK203" s="17">
        <f>EDATE('Operating costs'!$B$63,E203)</f>
        <v>46298</v>
      </c>
      <c r="AL203" s="1">
        <f>IFERROR(IF(D203="EV",INDEX(Products!$B$7:$B$13,MATCH('Replacement plan'!$B$56,Products!$A$7:$A$13,0)),0),"n.a.")</f>
        <v>0</v>
      </c>
      <c r="AM203" s="1" t="str">
        <f>'Replacement plan'!$K$56</f>
        <v>DC</v>
      </c>
      <c r="AN203" s="1" t="str">
        <f>'Replacement plan'!$AE$56</f>
        <v>Assumed</v>
      </c>
      <c r="AO203" s="47">
        <f>IF(AND(C203=1,D203="EV",E203&lt;120),(R203-'Operating costs'!$B$41)*S203+W203*'Operating costs'!$B$12,0)</f>
        <v>0</v>
      </c>
      <c r="AP203" s="41">
        <f>IF(AND(C203=1,D203="EV",E203&lt;120),IF('Operating costs'!$B$68="Hong Seh 200k average",AO203*IFERROR(INDEX(Products!$P$7:$P$13,MATCH(AD203,Products!$A$7:$A$13,0)),"n.a."),'Operating costs'!$B$26),0)</f>
        <v>0</v>
      </c>
      <c r="AQ203" s="40" t="str">
        <f>IF(D203="EV",'Operating costs'!$B$68,"Not applicable")</f>
        <v>Not applicable</v>
      </c>
    </row>
    <row r="204" spans="1:43" ht="24" customHeight="1">
      <c r="A204" s="1" t="str">
        <f>'Replacement plan'!A56</f>
        <v>T050</v>
      </c>
      <c r="B204" s="1">
        <v>1</v>
      </c>
      <c r="C204" s="1">
        <f>IF(COUNTIFS('Fleet register'!$A$7:$A$106,$A204)=1,VLOOKUP($A204,'Fleet register'!$A$7:$S$106,2,FALSE),0)</f>
        <v>0</v>
      </c>
      <c r="D204" s="1" t="str">
        <f>IF("New ICE"="EV","EV","ICE")</f>
        <v>ICE</v>
      </c>
      <c r="E204" s="1">
        <f>IF(C204=0,0,0)</f>
        <v>0</v>
      </c>
      <c r="F204" s="16">
        <f>IF(C204=0,0,VLOOKUP($A204,'Fleet register'!$A$7:$S$106,11,FALSE))</f>
        <v>0</v>
      </c>
      <c r="G204" s="16">
        <f>IFERROR(IF(C204=0,0,IF(E204=120,0,IF(D204="ICE",'Replacement plan'!$C$56,IF('Replacement plan'!$D$56="",INDEX(Products!$I$7:$I$13,MATCH('Replacement plan'!$B$56,Products!$A$7:$A$13,0))+'Operating costs'!$B$57,'Replacement plan'!$D$56))*(1+'Operating costs'!$B$50)^(E204/12))),"n.a.")</f>
        <v>0</v>
      </c>
      <c r="H204" s="16">
        <f>IFERROR(IF(C204=0,0,IF(E204=0,F204,VLOOKUP($A204,'Fleet register'!$A$7:$S$106,12,FALSE)+VLOOKUP($A204,'Fleet register'!$A$7:$S$106,13,FALSE)*MAX(0,VLOOKUP($A204,'Fleet register'!$A$7:$S$106,10,FALSE)-E204)/VLOOKUP($A204,'Fleet register'!$A$7:$S$106,14,FALSE))),"n.a.")</f>
        <v>0</v>
      </c>
      <c r="I204" s="16">
        <f>IF(C204=0,0,IF(E204=120,0,IF('Replacement plan'!$AI$56="",'Operating costs'!$B$56,'Replacement plan'!$AI$56)))</f>
        <v>0</v>
      </c>
      <c r="J204" s="16">
        <f>IF(C204=0,0,IF(P204="Complete",((S204*(R204-'Operating costs'!$B$39))+ROUNDUP(S204*(R204-'Operating costs'!$B$39)*IF('Replacement plan'!$AG$56="",'Operating costs'!$B$7,'Replacement plan'!$AG$56)/('Operating costs'!$B$8-'Operating costs'!$B$9*IF('Replacement plan'!$AG$56="",'Operating costs'!$B$7,'Replacement plan'!$AG$56)),0)*'Operating costs'!$B$9)*IF('Replacement plan'!$AG$56="",'Operating costs'!$B$7,'Replacement plan'!$AG$56)*('Energy and charging'!$B$9*'Energy and charging'!$B$7+(1-'Energy and charging'!$B$9)*'Energy and charging'!$B$8)*'Operating costs'!$B$23,"n.a."))</f>
        <v>0</v>
      </c>
      <c r="K204" s="16">
        <f>IF(C204=0,0,IF(P204="Complete",SUM('Operating costs'!$B$24,'Operating costs'!$B$27,'Operating costs'!$B$29,'Operating costs'!$B$31,'Operating costs'!$B$33,'Operating costs'!$B$34,'Operating costs'!$B$37,'Replacement plan'!$W$56)+'Operating costs'!$B$39*'Operating costs'!$B$42+ROUNDUP(S204*(R204-'Operating costs'!$B$39)*IF('Replacement plan'!$AG$56="",'Operating costs'!$B$7,'Replacement plan'!$AG$56)/('Operating costs'!$B$8-'Operating costs'!$B$9*IF('Replacement plan'!$AG$56="",'Operating costs'!$B$7,'Replacement plan'!$AG$56)),0)*('Operating costs'!$B$9/'Operating costs'!$B$11+'Operating costs'!$B$10/60)*'Operating costs'!$B$19*'Operating costs'!$B$21,"n.a."))</f>
        <v>0</v>
      </c>
      <c r="L204" s="16">
        <f>IF(C204=0,0,IF(P204="Complete",IF(D204="EV",X204*((1-T204)*'Energy and charging'!$B$10+T204*'Energy and charging'!$B$11)*'Operating costs'!$B$22,AA204*('Energy and charging'!$B$9*'Energy and charging'!$B$7+(1-'Energy and charging'!$B$9)*'Energy and charging'!$B$8)*'Operating costs'!$B$23),"n.a."))</f>
        <v>0</v>
      </c>
      <c r="M204" s="37">
        <f>IF(C204=0,0,IF(P204="Complete",IF(D204="ICE",SUM('Operating costs'!$B$25,'Operating costs'!$B$27,'Operating costs'!$B$29,'Operating costs'!$B$31,'Operating costs'!$B$33,'Operating costs'!$B$35,'Operating costs'!$B$37,'Replacement plan'!$X$56)+'Operating costs'!$B$40*'Operating costs'!$B$42+ROUNDUP(S204*(R204-'Operating costs'!$B$40)*IF('Replacement plan'!$AH$56="",'Operating costs'!$B$7,'Replacement plan'!$AH$56)/('Operating costs'!$B$8-'Operating costs'!$B$9*IF('Replacement plan'!$AH$56="",'Operating costs'!$B$7,'Replacement plan'!$AH$56)),0)*('Operating costs'!$B$9/'Operating costs'!$B$11+'Operating costs'!$B$10/60)*'Operating costs'!$B$19*'Operating costs'!$B$21,SUM(AP204,'Operating costs'!$B$28,'Operating costs'!$B$30,'Operating costs'!$B$32,'Operating costs'!$B$33,'Operating costs'!$B$36,'Operating costs'!$B$38,'Replacement plan'!$Y$56)+'Operating costs'!$B$41*'Operating costs'!$B$43+W204*'Operating costs'!$B$15+(T204*X204/'Replacement plan'!$L$56+W204*('Operating costs'!$B$12/'Operating costs'!$B$11+('Operating costs'!$B$13+'Operating costs'!$B$14)/60)+(R204-'Operating costs'!$B$41)*(IF(T204&lt;1,'Operating costs'!$B$16,0)+'Operating costs'!$B$17)/60)*'Operating costs'!$B$19*'Operating costs'!$B$20),"n.a."))</f>
        <v>0</v>
      </c>
      <c r="N204" s="16">
        <f>IF(AND(C204=1,D204="EV",E204&lt;120,E204+'Replacement plan'!$AA$56&lt;=120),'Replacement plan'!$Z$56,0)</f>
        <v>0</v>
      </c>
      <c r="O204" s="1">
        <f>E204+'Replacement plan'!$AA$56</f>
        <v>0</v>
      </c>
      <c r="P204" s="35" t="str">
        <f>IFERROR(IF(C204=0,"Excluded",IF(OR(COUNTIFS('Fleet register'!$A$7:$A$106,A204)&lt;&gt;1,COUNTIFS('Replacement plan'!$A$7:$A$106,A204)&lt;&gt;1),"Duplicate/missing ID",IF(NOT(AND(ISNUMBER(VLOOKUP($A204,'Fleet register'!$A$7:$S$106,5,FALSE)),ISNUMBER(VLOOKUP($A204,'Fleet register'!$A$7:$S$106,6,FALSE)),ISNUMBER(VLOOKUP($A204,'Fleet register'!$A$7:$S$106,10,FALSE)),ISNUMBER(VLOOKUP($A204,'Fleet register'!$A$7:$S$106,11,FALSE)),ISNUMBER(VLOOKUP($A204,'Fleet register'!$A$7:$S$106,12,FALSE)),ISNUMBER(VLOOKUP($A204,'Fleet register'!$A$7:$S$106,13,FALSE)),ISNUMBER(VLOOKUP($A204,'Fleet register'!$A$7:$S$106,14,FALSE)),VLOOKUP($A204,'Fleet register'!$A$7:$S$106,14,FALSE)&gt;0,ISNUMBER('Replacement plan'!$C$56),OR(E204=120,OR(ISNUMBER('Replacement plan'!$AI$56),AND('Replacement plan'!$AI$56="",ISNUMBER('Operating costs'!$B$56)))),ISNUMBER(E204))),"Missing vehicle input",IF(OR(E204&lt;0,E204&gt;VLOOKUP($A204,'Fleet register'!$A$7:$S$106,10,FALSE),E204&gt;120,E204&lt;&gt;INT(E204),VLOOKUP($A204,'Fleet register'!$A$7:$S$106,6,FALSE)&lt;=0,VLOOKUP($A204,'Fleet register'!$A$7:$S$106,6,FALSE)&gt;366,VLOOKUP($A204,'Fleet register'!$A$7:$S$106,5,FALSE)&lt;0,VLOOKUP($A204,'Fleet register'!$A$7:$S$106,11,FALSE)&lt;0,I204&lt;0,'Operating costs'!$B$8&lt;='Operating costs'!$B$7*'Operating costs'!$B$9,'Operating costs'!$B$11&lt;=0,'Operating costs'!$B$39&gt;R204,'Operating costs'!$B$40&gt;R204,'Operating costs'!$B$41&gt;R204,NOT(OR("New ICE"="Keep ICE","New ICE"="New ICE","New ICE"="EV"))),"Invalid vehicle input",IF(AND(D204="EV",E204&lt;120,OR(NOT(ISNUMBER(U204)),NOT(ISNUMBER(V204)),V204&lt;=0,T204&lt;0,T204&gt;1,'Replacement plan'!$L$56&lt;=0,'Operating costs'!$B$44&lt;0,'Operating costs'!$B$44&gt;=1,'Operating costs'!$B$47&lt;=0,'Operating costs'!$B$47&gt;1,V204*'Operating costs'!$B$47/(1-'Operating costs'!$B$44)&lt;=T204*'Operating costs'!$B$12*U204,AND('Replacement plan'!$Z$56&gt;0,OR('Replacement plan'!$AB$56&lt;&gt;"Yes",'Operating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charging'!$B$8&gt;=0))),ISNUMBER(VLOOKUP($A204,'Fleet register'!$A$7:$S$106,15,FALSE)),ISNUMBER(VLOOKUP($A204,'Fleet register'!$A$7:$S$106,16,FALSE)),ISNUMBER('Replacement plan'!$W$56),ISNUMBER('Replacement plan'!$X$56),OR(E204=120,AND(ISNUMBER(G204),G204&gt;=0)),ISNUMBER(H204),H204&gt;=0,OR(D204&lt;&gt;"EV",E204=120,AND(ISNUMBER('Operating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average",ISNUMBER(IFERROR(INDEX(Products!$P$7:$P$13,MATCH(AD204,Products!$A$7:$A$13,0)),"")))),ISNUMBER('Operating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plan'!$Y$56),ISNUMBER('Replacement plan'!$Z$56),'Replacement plan'!$Z$56&gt;=0,ISNUMBER('Replacement plan'!$AA$56),'Replacement plan'!$AA$56&gt;=0,'Replacement plan'!$AA$56=INT('Replacement plan'!$AA$56),ISNUMBER('Replacement plan'!$L$56))),'Operating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plan'!$AG$56="",'Operating costs'!$B$7,'Replacement plan'!$AG$56)),IF('Replacement plan'!$AG$56="",'Operating costs'!$B$7,'Replacement plan'!$AG$56)&gt;=0,ISNUMBER(IF('Replacement plan'!$AH$56="",'Operating costs'!$B$7,'Replacement plan'!$AH$56)),IF('Replacement plan'!$AH$56="",'Operating costs'!$B$7,'Replacement plan'!$AH$56)&gt;=0,'Operating costs'!$B$8&gt;MAX(IF('Replacement plan'!$AG$56="",'Operating costs'!$B$7,'Replacement plan'!$AG$56),IF('Replacement plan'!$AH$56="",'Operating costs'!$B$7,'Replacement plan'!$AH$56))*'Operating costs'!$B$9),IF(AND(VLOOKUP($A204,'Fleet register'!$A$7:$S$106,10,FALSE)&gt;=0,VLOOKUP($A204,'Fleet register'!$A$7:$S$106,10,FALSE)&lt;=120,VLOOKUP($A204,'Fleet register'!$A$7:$S$106,10,FALSE)=INT(VLOOKUP($A204,'Fleet register'!$A$7:$S$106,10,FALSE)),VLOOKUP($A204,'Fleet register'!$A$7:$S$106,15,FALSE)&gt;=0,VLOOKUP($A204,'Fleet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costs'!$B$67)&gt;=0,OR(D204&lt;&gt;"EV",E204=120,AND(MIN('Operating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04" s="1" t="str">
        <f>IF(C204=0,"Excluded",IF(P204&lt;&gt;"Complete",P204,IF(OR('Replacement plan'!$AD$56&lt;120-E204,AND(D204="EV",E204&lt;120,OR('Replacement plan'!$AC$56&lt;120-E204,'Replacement plan'!$I$56="No",AND(ISNUMBER(AF204),AE204&gt;AF204),AI204&gt;V204*(1-'Operating costs'!$B$46)^MAX(0,AB204-1)*(1-'Operating costs'!$B$45),AC204&gt;'Operating costs'!$B$18,AND(T204&lt;1,OR(AG204&lt;=0,AND(ISNUMBER(AH204),AG204&gt;AH204))),'Replacement plan'!$L$56&gt;INDEX(Products!$H$7:$H$13,MATCH('Replacement plan'!$B$56,Products!$A$7:$A$13,0))))),"Fails entered limits",IF(AND(D204="EV",E204&lt;120,OR(NOT(ISNUMBER(VLOOKUP($A204,'Fleet register'!$A$7:$S$106,7,FALSE))),NOT(ISNUMBER(VLOOKUP($A204,'Fleet register'!$A$7:$S$106,8,FALSE))),NOT(ISNUMBER(AF204)),'Replacement plan'!$I$56&lt;&gt;"Yes",NOT(ISNUMBER(AH204)),'Operating costs'!$B$59&lt;&gt;"Yes",'Operating costs'!$B$58&lt;&gt;"Yes")),"Unverified","Within entered limits"))))</f>
        <v>Excluded</v>
      </c>
      <c r="R204" s="1">
        <f>IF(C204=0,0,VLOOKUP($A204,'Fleet register'!$A$7:$S$106,6,FALSE))</f>
        <v>0</v>
      </c>
      <c r="S204" s="1">
        <f>IF(C204=0,0,VLOOKUP($A204,'Fleet register'!$A$7:$S$106,5,FALSE))</f>
        <v>0</v>
      </c>
      <c r="T204" s="1">
        <f>IF(D204="EV",'Energy and charging'!$B$12,0)</f>
        <v>0</v>
      </c>
      <c r="U204" s="1">
        <f>IFERROR(IF(C204=0,0,IF(D204="EV",IF('Replacement plan'!$F$56="",INDEX(Products!$E$7:$E$13,MATCH('Replacement plan'!$B$56,Products!$A$7:$A$13,0)),'Replacement plan'!$F$56)/IF('Replacement plan'!$G$56="Battery",1-'Operating costs'!$B$44,1),0)),"n.a.")</f>
        <v>0</v>
      </c>
      <c r="V204" s="1">
        <f>IFERROR(IF(C204=0,0,IF(D204="EV",IF('Replacement plan'!$E$56="",INDEX(Products!$D$7:$D$13,MATCH('Replacement plan'!$B$56,Products!$A$7:$A$13,0)),'Replacement plan'!$E$56),0)),"n.a.")</f>
        <v>0</v>
      </c>
      <c r="W204" s="1">
        <f>IF(C204=0,0,IF(AND(P204="Complete",D204="EV",E204&lt;120),IF(T204=0,0,ROUNDUP(T204*(R204-'Operating costs'!$B$41)*(S204*U204+'Operating costs'!$B$48/(1-'Operating costs'!$B$44))/(V204*'Operating costs'!$B$47/(1-'Operating costs'!$B$44)-T204*'Operating costs'!$B$12*U204),0)),0))</f>
        <v>0</v>
      </c>
      <c r="X204" s="1">
        <f>IF(C204=0,0,IF(AND(P204="Complete",D204="EV",E204&lt;120),(R204-'Operating costs'!$B$41)*(S204*U204+'Operating costs'!$B$48/(1-'Operating costs'!$B$44))+W204*'Operating costs'!$B$12*U204,0))</f>
        <v>0</v>
      </c>
      <c r="Y204" s="1">
        <f>IF(AND(C204=1,D204="EV",E204&lt;120),AI204/(1-'Operating costs'!$B$44)*(1-T204),0)</f>
        <v>0</v>
      </c>
      <c r="Z204" s="1">
        <f t="shared" si="6"/>
        <v>0</v>
      </c>
      <c r="AA204" s="1">
        <f>IF(C204=0,0,IF(P204="Complete",((S204*(R204-'Operating costs'!$B$40))+ROUNDUP(S204*(R204-'Operating costs'!$B$40)*IF('Replacement plan'!$AH$56="",'Operating costs'!$B$7,'Replacement plan'!$AH$56)/('Operating costs'!$B$8-'Operating costs'!$B$9*IF('Replacement plan'!$AH$56="",'Operating costs'!$B$7,'Replacement plan'!$AH$56)),0)*'Operating costs'!$B$9)*IF('Replacement plan'!$AH$56="",'Operating costs'!$B$7,'Replacement plan'!$AH$56),"n.a."))</f>
        <v>0</v>
      </c>
      <c r="AB204" s="1">
        <f t="shared" si="7"/>
        <v>0</v>
      </c>
      <c r="AC204" s="1">
        <f>IF(AND(C204=1,D204="EV",E204&lt;120,T204&gt;0),'Operating costs'!$B$12/'Operating costs'!$B$11*60+'Operating costs'!$B$13+'Operating costs'!$B$14+V204*'Operating costs'!$B$47/(1-'Operating costs'!$B$44)/'Replacement plan'!$L$56*60,0)</f>
        <v>0</v>
      </c>
      <c r="AD204" s="1" t="str">
        <f>'Replacement plan'!$B$56</f>
        <v>ChengLong L2EV</v>
      </c>
      <c r="AE204" s="1">
        <f>IF(C204=0,0,VLOOKUP($A204,'Fleet register'!$A$7:$S$106,8,FALSE))</f>
        <v>0</v>
      </c>
      <c r="AF204" s="1" t="str">
        <f>IF('Replacement plan'!$H$56="","n.a.",'Replacement plan'!$H$56)</f>
        <v>n.a.</v>
      </c>
      <c r="AG204" s="1">
        <f>'Replacement plan'!$J$56</f>
        <v>22</v>
      </c>
      <c r="AH204" s="1">
        <f>IFERROR(IF(D204="EV",IF('Replacement plan'!$K$56="AC",IF(ISNUMBER(INDEX(Products!$G$7:$G$13,MATCH('Replacement plan'!$B$56,Products!$A$7:$A$13,0))),INDEX(Products!$G$7:$G$13,MATCH('Replacement plan'!$B$56,Products!$A$7:$A$13,0)),"n.a."),IF(ISNUMBER(INDEX(Products!$H$7:$H$13,MATCH('Replacement plan'!$B$56,Products!$A$7:$A$13,0))),INDEX(Products!$H$7:$H$13,MATCH('Replacement plan'!$B$56,Products!$A$7:$A$13,0)),"n.a.")),0),"n.a.")</f>
        <v>0</v>
      </c>
      <c r="AI204" s="1">
        <f>IF(AND(C204=1,D204="EV",E204&lt;120),(VLOOKUP($A204,'Fleet register'!$A$7:$S$106,7,FALSE)+IF(T204&gt;0,'Operating costs'!$B$12,0))*U204*(1-'Operating costs'!$B$44)+'Operating costs'!$B$49,0)</f>
        <v>0</v>
      </c>
      <c r="AJ204" s="1">
        <f>IF(D204="EV",'Energy and charging'!$B$50,0)</f>
        <v>0</v>
      </c>
      <c r="AK204" s="17">
        <f>EDATE('Operating costs'!$B$63,E204)</f>
        <v>46298</v>
      </c>
      <c r="AL204" s="1">
        <f>IFERROR(IF(D204="EV",INDEX(Products!$B$7:$B$13,MATCH('Replacement plan'!$B$56,Products!$A$7:$A$13,0)),0),"n.a.")</f>
        <v>0</v>
      </c>
      <c r="AM204" s="1" t="str">
        <f>'Replacement plan'!$K$56</f>
        <v>DC</v>
      </c>
      <c r="AN204" s="1" t="str">
        <f>'Replacement plan'!$AE$56</f>
        <v>Assumed</v>
      </c>
      <c r="AO204" s="47">
        <f>IF(AND(C204=1,D204="EV",E204&lt;120),(R204-'Operating costs'!$B$41)*S204+W204*'Operating costs'!$B$12,0)</f>
        <v>0</v>
      </c>
      <c r="AP204" s="41">
        <f>IF(AND(C204=1,D204="EV",E204&lt;120),IF('Operating costs'!$B$68="Hong Seh 200k average",AO204*IFERROR(INDEX(Products!$P$7:$P$13,MATCH(AD204,Products!$A$7:$A$13,0)),"n.a."),'Operating costs'!$B$26),0)</f>
        <v>0</v>
      </c>
      <c r="AQ204" s="40" t="str">
        <f>IF(D204="EV",'Operating costs'!$B$68,"Not applicable")</f>
        <v>Not applicable</v>
      </c>
    </row>
    <row r="205" spans="1:43" ht="24" customHeight="1">
      <c r="A205" s="1" t="str">
        <f>'Replacement plan'!A56</f>
        <v>T050</v>
      </c>
      <c r="B205" s="1">
        <v>2</v>
      </c>
      <c r="C205" s="1">
        <f>IF(COUNTIFS('Fleet register'!$A$7:$A$106,$A205)=1,VLOOKUP($A205,'Fleet register'!$A$7:$S$106,2,FALSE),0)</f>
        <v>0</v>
      </c>
      <c r="D205" s="1" t="str">
        <f>IF('Replacement plan'!$O$56="EV","EV","ICE")</f>
        <v>ICE</v>
      </c>
      <c r="E205" s="1">
        <f>IF(C205=0,0,IF('Replacement plan'!$P$56="",IF('Replacement plan'!$O$56="Keep ICE",IF('Replacement plan'!$M$56="",VLOOKUP($A205,'Fleet register'!$A$7:$S$106,10,FALSE),'Replacement plan'!$M$56),0),'Replacement plan'!$P$56))</f>
        <v>0</v>
      </c>
      <c r="F205" s="16">
        <f>IF(C205=0,0,VLOOKUP($A205,'Fleet register'!$A$7:$S$106,11,FALSE))</f>
        <v>0</v>
      </c>
      <c r="G205" s="16">
        <f>IFERROR(IF(C205=0,0,IF(E205=120,0,IF(D205="ICE",'Replacement plan'!$C$56,IF('Replacement plan'!$D$56="",INDEX(Products!$I$7:$I$13,MATCH('Replacement plan'!$B$56,Products!$A$7:$A$13,0))+'Operating costs'!$B$57,'Replacement plan'!$D$56))*(1+'Operating costs'!$B$50)^(E205/12))),"n.a.")</f>
        <v>0</v>
      </c>
      <c r="H205" s="16">
        <f>IFERROR(IF(C205=0,0,IF('Replacement plan'!$U$56&lt;&gt;"",'Replacement plan'!$U$56,IF(E205=0,F205,VLOOKUP($A205,'Fleet register'!$A$7:$S$106,12,FALSE)+VLOOKUP($A205,'Fleet register'!$A$7:$S$106,13,FALSE)*MAX(0,VLOOKUP($A205,'Fleet register'!$A$7:$S$106,10,FALSE)-E205)/VLOOKUP($A205,'Fleet register'!$A$7:$S$106,14,FALSE)))),"n.a.")</f>
        <v>0</v>
      </c>
      <c r="I205" s="16">
        <f>IF(C205=0,0,IF(E205=120,0,'Replacement plan'!$Q$56))</f>
        <v>0</v>
      </c>
      <c r="J205" s="16">
        <f>IF(C205=0,0,IF(P205="Complete",((S205*(R205-'Operating costs'!$B$39))+ROUNDUP(S205*(R205-'Operating costs'!$B$39)*IF('Replacement plan'!$AG$56="",'Operating costs'!$B$7,'Replacement plan'!$AG$56)/('Operating costs'!$B$8-'Operating costs'!$B$9*IF('Replacement plan'!$AG$56="",'Operating costs'!$B$7,'Replacement plan'!$AG$56)),0)*'Operating costs'!$B$9)*IF('Replacement plan'!$AG$56="",'Operating costs'!$B$7,'Replacement plan'!$AG$56)*('Energy and charging'!$B$9*'Energy and charging'!$B$7+(1-'Energy and charging'!$B$9)*'Energy and charging'!$B$8)*'Operating costs'!$B$23,"n.a."))</f>
        <v>0</v>
      </c>
      <c r="K205" s="16">
        <f>IF(C205=0,0,IF(P205="Complete",SUM('Operating costs'!$B$24,'Operating costs'!$B$27,'Operating costs'!$B$29,'Operating costs'!$B$31,'Operating costs'!$B$33,'Operating costs'!$B$34,'Operating costs'!$B$37,'Replacement plan'!$W$56)+'Operating costs'!$B$39*'Operating costs'!$B$42+ROUNDUP(S205*(R205-'Operating costs'!$B$39)*IF('Replacement plan'!$AG$56="",'Operating costs'!$B$7,'Replacement plan'!$AG$56)/('Operating costs'!$B$8-'Operating costs'!$B$9*IF('Replacement plan'!$AG$56="",'Operating costs'!$B$7,'Replacement plan'!$AG$56)),0)*('Operating costs'!$B$9/'Operating costs'!$B$11+'Operating costs'!$B$10/60)*'Operating costs'!$B$19*'Operating costs'!$B$21,"n.a."))</f>
        <v>0</v>
      </c>
      <c r="L205" s="16">
        <f>IF(C205=0,0,IF(P205="Complete",IF(D205="EV",X205*((1-T205)*'Energy and charging'!$B$10+T205*'Energy and charging'!$B$11)*'Operating costs'!$B$22,AA205*('Energy and charging'!$B$9*'Energy and charging'!$B$7+(1-'Energy and charging'!$B$9)*'Energy and charging'!$B$8)*'Operating costs'!$B$23),"n.a."))</f>
        <v>0</v>
      </c>
      <c r="M205" s="37">
        <f>IF(C205=0,0,IF(P205="Complete",IF(D205="ICE",SUM('Operating costs'!$B$25,'Operating costs'!$B$27,'Operating costs'!$B$29,'Operating costs'!$B$31,'Operating costs'!$B$33,'Operating costs'!$B$35,'Operating costs'!$B$37,'Replacement plan'!$X$56)+'Operating costs'!$B$40*'Operating costs'!$B$42+ROUNDUP(S205*(R205-'Operating costs'!$B$40)*IF('Replacement plan'!$AH$56="",'Operating costs'!$B$7,'Replacement plan'!$AH$56)/('Operating costs'!$B$8-'Operating costs'!$B$9*IF('Replacement plan'!$AH$56="",'Operating costs'!$B$7,'Replacement plan'!$AH$56)),0)*('Operating costs'!$B$9/'Operating costs'!$B$11+'Operating costs'!$B$10/60)*'Operating costs'!$B$19*'Operating costs'!$B$21,SUM(AP205,'Operating costs'!$B$28,'Operating costs'!$B$30,'Operating costs'!$B$32,'Operating costs'!$B$33,'Operating costs'!$B$36,'Operating costs'!$B$38,'Replacement plan'!$Y$56)+'Operating costs'!$B$41*'Operating costs'!$B$43+W205*'Operating costs'!$B$15+(T205*X205/'Replacement plan'!$L$56+W205*('Operating costs'!$B$12/'Operating costs'!$B$11+('Operating costs'!$B$13+'Operating costs'!$B$14)/60)+(R205-'Operating costs'!$B$41)*(IF(T205&lt;1,'Operating costs'!$B$16,0)+'Operating costs'!$B$17)/60)*'Operating costs'!$B$19*'Operating costs'!$B$20),"n.a."))</f>
        <v>0</v>
      </c>
      <c r="N205" s="16">
        <f>IF(AND(C205=1,D205="EV",E205&lt;120,E205+'Replacement plan'!$AA$56&lt;=120),'Replacement plan'!$Z$56,0)</f>
        <v>0</v>
      </c>
      <c r="O205" s="1">
        <f>E205+'Replacement plan'!$AA$56</f>
        <v>0</v>
      </c>
      <c r="P205" s="35" t="str">
        <f>IFERROR(IF(C205=0,"Excluded",IF(OR(COUNTIFS('Fleet register'!$A$7:$A$106,A205)&lt;&gt;1,COUNTIFS('Replacement plan'!$A$7:$A$106,A205)&lt;&gt;1),"Duplicate/missing ID",IF(NOT(AND(ISNUMBER(VLOOKUP($A205,'Fleet register'!$A$7:$S$106,5,FALSE)),ISNUMBER(VLOOKUP($A205,'Fleet register'!$A$7:$S$106,6,FALSE)),ISNUMBER(VLOOKUP($A205,'Fleet register'!$A$7:$S$106,10,FALSE)),ISNUMBER(VLOOKUP($A205,'Fleet register'!$A$7:$S$106,11,FALSE)),ISNUMBER(VLOOKUP($A205,'Fleet register'!$A$7:$S$106,12,FALSE)),ISNUMBER(VLOOKUP($A205,'Fleet register'!$A$7:$S$106,13,FALSE)),ISNUMBER(VLOOKUP($A205,'Fleet register'!$A$7:$S$106,14,FALSE)),VLOOKUP($A205,'Fleet register'!$A$7:$S$106,14,FALSE)&gt;0,ISNUMBER('Replacement plan'!$C$56),OR(E205=120,ISNUMBER('Replacement plan'!$Q$56)),ISNUMBER(E205))),"Missing vehicle input",IF(OR(E205&lt;0,E205&gt;VLOOKUP($A205,'Fleet register'!$A$7:$S$106,10,FALSE),E205&gt;120,E205&lt;&gt;INT(E205),VLOOKUP($A205,'Fleet register'!$A$7:$S$106,6,FALSE)&lt;=0,VLOOKUP($A205,'Fleet register'!$A$7:$S$106,6,FALSE)&gt;366,VLOOKUP($A205,'Fleet register'!$A$7:$S$106,5,FALSE)&lt;0,VLOOKUP($A205,'Fleet register'!$A$7:$S$106,11,FALSE)&lt;0,I205&lt;0,'Operating costs'!$B$8&lt;='Operating costs'!$B$7*'Operating costs'!$B$9,'Operating costs'!$B$11&lt;=0,'Operating costs'!$B$39&gt;R205,'Operating costs'!$B$40&gt;R205,'Operating costs'!$B$41&gt;R205,NOT(OR('Replacement plan'!$O$56="Keep ICE",'Replacement plan'!$O$56="New ICE",'Replacement plan'!$O$56="EV"))),"Invalid vehicle input",IF(AND(D205="EV",E205&lt;120,OR(NOT(ISNUMBER(U205)),NOT(ISNUMBER(V205)),V205&lt;=0,T205&lt;0,T205&gt;1,'Replacement plan'!$L$56&lt;=0,'Operating costs'!$B$44&lt;0,'Operating costs'!$B$44&gt;=1,'Operating costs'!$B$47&lt;=0,'Operating costs'!$B$47&gt;1,V205*'Operating costs'!$B$47/(1-'Operating costs'!$B$44)&lt;=T205*'Operating costs'!$B$12*U205,AND('Replacement plan'!$Z$56&gt;0,OR('Replacement plan'!$AB$56&lt;&gt;"Yes",'Operating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charging'!$B$8&gt;=0))),ISNUMBER(VLOOKUP($A205,'Fleet register'!$A$7:$S$106,15,FALSE)),ISNUMBER(VLOOKUP($A205,'Fleet register'!$A$7:$S$106,16,FALSE)),ISNUMBER('Replacement plan'!$W$56),ISNUMBER('Replacement plan'!$X$56),OR(E205=120,AND(ISNUMBER(G205),G205&gt;=0)),ISNUMBER(H205),H205&gt;=0,OR(D205&lt;&gt;"EV",E205=120,AND(ISNUMBER('Operating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average",ISNUMBER(IFERROR(INDEX(Products!$P$7:$P$13,MATCH(AD205,Products!$A$7:$A$13,0)),"")))),ISNUMBER('Operating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plan'!$Y$56),ISNUMBER('Replacement plan'!$Z$56),'Replacement plan'!$Z$56&gt;=0,ISNUMBER('Replacement plan'!$AA$56),'Replacement plan'!$AA$56&gt;=0,'Replacement plan'!$AA$56=INT('Replacement plan'!$AA$56),ISNUMBER('Replacement plan'!$L$56))),'Operating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plan'!$AG$56="",'Operating costs'!$B$7,'Replacement plan'!$AG$56)),IF('Replacement plan'!$AG$56="",'Operating costs'!$B$7,'Replacement plan'!$AG$56)&gt;=0,ISNUMBER(IF('Replacement plan'!$AH$56="",'Operating costs'!$B$7,'Replacement plan'!$AH$56)),IF('Replacement plan'!$AH$56="",'Operating costs'!$B$7,'Replacement plan'!$AH$56)&gt;=0,'Operating costs'!$B$8&gt;MAX(IF('Replacement plan'!$AG$56="",'Operating costs'!$B$7,'Replacement plan'!$AG$56),IF('Replacement plan'!$AH$56="",'Operating costs'!$B$7,'Replacement plan'!$AH$56))*'Operating costs'!$B$9),IF(AND(VLOOKUP($A205,'Fleet register'!$A$7:$S$106,10,FALSE)&gt;=0,VLOOKUP($A205,'Fleet register'!$A$7:$S$106,10,FALSE)&lt;=120,VLOOKUP($A205,'Fleet register'!$A$7:$S$106,10,FALSE)=INT(VLOOKUP($A205,'Fleet register'!$A$7:$S$106,10,FALSE)),VLOOKUP($A205,'Fleet register'!$A$7:$S$106,15,FALSE)&gt;=0,VLOOKUP($A205,'Fleet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costs'!$B$67)&gt;=0,OR(D205&lt;&gt;"EV",E205=120,AND(MIN('Operating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05" s="1" t="str">
        <f>IF(C205=0,"Excluded",IF(P205&lt;&gt;"Complete",P205,IF(OR('Replacement plan'!$AD$56&lt;120-E205,AND(D205="EV",E205&lt;120,OR('Replacement plan'!$AC$56&lt;120-E205,'Replacement plan'!$I$56="No",AND(ISNUMBER(AF205),AE205&gt;AF205),AI205&gt;V205*(1-'Operating costs'!$B$46)^MAX(0,AB205-1)*(1-'Operating costs'!$B$45),AC205&gt;'Operating costs'!$B$18,AND(T205&lt;1,OR(AG205&lt;=0,AND(ISNUMBER(AH205),AG205&gt;AH205))),'Replacement plan'!$L$56&gt;INDEX(Products!$H$7:$H$13,MATCH('Replacement plan'!$B$56,Products!$A$7:$A$13,0))))),"Fails entered limits",IF(AND(D205="EV",E205&lt;120,OR(NOT(ISNUMBER(VLOOKUP($A205,'Fleet register'!$A$7:$S$106,7,FALSE))),NOT(ISNUMBER(VLOOKUP($A205,'Fleet register'!$A$7:$S$106,8,FALSE))),NOT(ISNUMBER(AF205)),'Replacement plan'!$I$56&lt;&gt;"Yes",NOT(ISNUMBER(AH205)),'Operating costs'!$B$59&lt;&gt;"Yes",'Operating costs'!$B$58&lt;&gt;"Yes")),"Unverified","Within entered limits"))))</f>
        <v>Excluded</v>
      </c>
      <c r="R205" s="1">
        <f>IF(C205=0,0,VLOOKUP($A205,'Fleet register'!$A$7:$S$106,6,FALSE))</f>
        <v>0</v>
      </c>
      <c r="S205" s="1">
        <f>IF(C205=0,0,VLOOKUP($A205,'Fleet register'!$A$7:$S$106,5,FALSE))</f>
        <v>0</v>
      </c>
      <c r="T205" s="1">
        <f>IF(D205="EV",'Energy and charging'!$B$12,0)</f>
        <v>0</v>
      </c>
      <c r="U205" s="1">
        <f>IFERROR(IF(C205=0,0,IF(D205="EV",IF('Replacement plan'!$F$56="",INDEX(Products!$E$7:$E$13,MATCH('Replacement plan'!$B$56,Products!$A$7:$A$13,0)),'Replacement plan'!$F$56)/IF('Replacement plan'!$G$56="Battery",1-'Operating costs'!$B$44,1),0)),"n.a.")</f>
        <v>0</v>
      </c>
      <c r="V205" s="1">
        <f>IFERROR(IF(C205=0,0,IF(D205="EV",IF('Replacement plan'!$E$56="",INDEX(Products!$D$7:$D$13,MATCH('Replacement plan'!$B$56,Products!$A$7:$A$13,0)),'Replacement plan'!$E$56),0)),"n.a.")</f>
        <v>0</v>
      </c>
      <c r="W205" s="1">
        <f>IF(C205=0,0,IF(AND(P205="Complete",D205="EV",E205&lt;120),IF(T205=0,0,ROUNDUP(T205*(R205-'Operating costs'!$B$41)*(S205*U205+'Operating costs'!$B$48/(1-'Operating costs'!$B$44))/(V205*'Operating costs'!$B$47/(1-'Operating costs'!$B$44)-T205*'Operating costs'!$B$12*U205),0)),0))</f>
        <v>0</v>
      </c>
      <c r="X205" s="1">
        <f>IF(C205=0,0,IF(AND(P205="Complete",D205="EV",E205&lt;120),(R205-'Operating costs'!$B$41)*(S205*U205+'Operating costs'!$B$48/(1-'Operating costs'!$B$44))+W205*'Operating costs'!$B$12*U205,0))</f>
        <v>0</v>
      </c>
      <c r="Y205" s="1">
        <f>IF(AND(C205=1,D205="EV",E205&lt;120),AI205/(1-'Operating costs'!$B$44)*(1-T205),0)</f>
        <v>0</v>
      </c>
      <c r="Z205" s="1">
        <f t="shared" si="6"/>
        <v>0</v>
      </c>
      <c r="AA205" s="1">
        <f>IF(C205=0,0,IF(P205="Complete",((S205*(R205-'Operating costs'!$B$40))+ROUNDUP(S205*(R205-'Operating costs'!$B$40)*IF('Replacement plan'!$AH$56="",'Operating costs'!$B$7,'Replacement plan'!$AH$56)/('Operating costs'!$B$8-'Operating costs'!$B$9*IF('Replacement plan'!$AH$56="",'Operating costs'!$B$7,'Replacement plan'!$AH$56)),0)*'Operating costs'!$B$9)*IF('Replacement plan'!$AH$56="",'Operating costs'!$B$7,'Replacement plan'!$AH$56),"n.a."))</f>
        <v>0</v>
      </c>
      <c r="AB205" s="1">
        <f t="shared" si="7"/>
        <v>0</v>
      </c>
      <c r="AC205" s="1">
        <f>IF(AND(C205=1,D205="EV",E205&lt;120,T205&gt;0),'Operating costs'!$B$12/'Operating costs'!$B$11*60+'Operating costs'!$B$13+'Operating costs'!$B$14+V205*'Operating costs'!$B$47/(1-'Operating costs'!$B$44)/'Replacement plan'!$L$56*60,0)</f>
        <v>0</v>
      </c>
      <c r="AD205" s="1" t="str">
        <f>'Replacement plan'!$B$56</f>
        <v>ChengLong L2EV</v>
      </c>
      <c r="AE205" s="1">
        <f>IF(C205=0,0,VLOOKUP($A205,'Fleet register'!$A$7:$S$106,8,FALSE))</f>
        <v>0</v>
      </c>
      <c r="AF205" s="1" t="str">
        <f>IF('Replacement plan'!$H$56="","n.a.",'Replacement plan'!$H$56)</f>
        <v>n.a.</v>
      </c>
      <c r="AG205" s="1">
        <f>'Replacement plan'!$J$56</f>
        <v>22</v>
      </c>
      <c r="AH205" s="1">
        <f>IFERROR(IF(D205="EV",IF('Replacement plan'!$K$56="AC",IF(ISNUMBER(INDEX(Products!$G$7:$G$13,MATCH('Replacement plan'!$B$56,Products!$A$7:$A$13,0))),INDEX(Products!$G$7:$G$13,MATCH('Replacement plan'!$B$56,Products!$A$7:$A$13,0)),"n.a."),IF(ISNUMBER(INDEX(Products!$H$7:$H$13,MATCH('Replacement plan'!$B$56,Products!$A$7:$A$13,0))),INDEX(Products!$H$7:$H$13,MATCH('Replacement plan'!$B$56,Products!$A$7:$A$13,0)),"n.a.")),0),"n.a.")</f>
        <v>0</v>
      </c>
      <c r="AI205" s="1">
        <f>IF(AND(C205=1,D205="EV",E205&lt;120),(VLOOKUP($A205,'Fleet register'!$A$7:$S$106,7,FALSE)+IF(T205&gt;0,'Operating costs'!$B$12,0))*U205*(1-'Operating costs'!$B$44)+'Operating costs'!$B$49,0)</f>
        <v>0</v>
      </c>
      <c r="AJ205" s="1">
        <f>IF(D205="EV",'Energy and charging'!$B$50,0)</f>
        <v>0</v>
      </c>
      <c r="AK205" s="17">
        <f>EDATE('Operating costs'!$B$63,E205)</f>
        <v>46298</v>
      </c>
      <c r="AL205" s="1">
        <f>IFERROR(IF(D205="EV",INDEX(Products!$B$7:$B$13,MATCH('Replacement plan'!$B$56,Products!$A$7:$A$13,0)),0),"n.a.")</f>
        <v>0</v>
      </c>
      <c r="AM205" s="1" t="str">
        <f>'Replacement plan'!$K$56</f>
        <v>DC</v>
      </c>
      <c r="AN205" s="1" t="str">
        <f>'Replacement plan'!$AE$56</f>
        <v>Assumed</v>
      </c>
      <c r="AO205" s="47">
        <f>IF(AND(C205=1,D205="EV",E205&lt;120),(R205-'Operating costs'!$B$41)*S205+W205*'Operating costs'!$B$12,0)</f>
        <v>0</v>
      </c>
      <c r="AP205" s="41">
        <f>IF(AND(C205=1,D205="EV",E205&lt;120),IF('Operating costs'!$B$68="Hong Seh 200k average",AO205*IFERROR(INDEX(Products!$P$7:$P$13,MATCH(AD205,Products!$A$7:$A$13,0)),"n.a."),'Operating costs'!$B$26),0)</f>
        <v>0</v>
      </c>
      <c r="AQ205" s="40" t="str">
        <f>IF(D205="EV",'Operating costs'!$B$68,"Not applicable")</f>
        <v>Not applicable</v>
      </c>
    </row>
    <row r="206" spans="1:43" ht="24" customHeight="1">
      <c r="A206" s="1" t="str">
        <f>'Replacement plan'!A56</f>
        <v>T050</v>
      </c>
      <c r="B206" s="1">
        <v>3</v>
      </c>
      <c r="C206" s="1">
        <f>IF(COUNTIFS('Fleet register'!$A$7:$A$106,$A206)=1,VLOOKUP($A206,'Fleet register'!$A$7:$S$106,2,FALSE),0)</f>
        <v>0</v>
      </c>
      <c r="D206" s="1" t="str">
        <f>IF('Replacement plan'!$R$56="EV","EV","ICE")</f>
        <v>ICE</v>
      </c>
      <c r="E206" s="1">
        <f>IF(C206=0,0,IF('Replacement plan'!$S$56="",IF('Replacement plan'!$R$56="Keep ICE",IF('Replacement plan'!$M$56="",VLOOKUP($A206,'Fleet register'!$A$7:$S$106,10,FALSE),'Replacement plan'!$M$56),0),'Replacement plan'!$S$56))</f>
        <v>0</v>
      </c>
      <c r="F206" s="16">
        <f>IF(C206=0,0,VLOOKUP($A206,'Fleet register'!$A$7:$S$106,11,FALSE))</f>
        <v>0</v>
      </c>
      <c r="G206" s="16">
        <f>IFERROR(IF(C206=0,0,IF(E206=120,0,IF(D206="ICE",'Replacement plan'!$C$56,IF('Replacement plan'!$D$56="",INDEX(Products!$I$7:$I$13,MATCH('Replacement plan'!$B$56,Products!$A$7:$A$13,0))+'Operating costs'!$B$57,'Replacement plan'!$D$56))*(1+'Operating costs'!$B$50)^(E206/12))),"n.a.")</f>
        <v>0</v>
      </c>
      <c r="H206" s="16">
        <f>IFERROR(IF(C206=0,0,IF('Replacement plan'!$V$56&lt;&gt;"",'Replacement plan'!$V$56,IF(E206=0,F206,VLOOKUP($A206,'Fleet register'!$A$7:$S$106,12,FALSE)+VLOOKUP($A206,'Fleet register'!$A$7:$S$106,13,FALSE)*MAX(0,VLOOKUP($A206,'Fleet register'!$A$7:$S$106,10,FALSE)-E206)/VLOOKUP($A206,'Fleet register'!$A$7:$S$106,14,FALSE)))),"n.a.")</f>
        <v>0</v>
      </c>
      <c r="I206" s="16">
        <f>IF(C206=0,0,IF(E206=120,0,'Replacement plan'!$T$56))</f>
        <v>0</v>
      </c>
      <c r="J206" s="16">
        <f>IF(C206=0,0,IF(P206="Complete",((S206*(R206-'Operating costs'!$B$39))+ROUNDUP(S206*(R206-'Operating costs'!$B$39)*IF('Replacement plan'!$AG$56="",'Operating costs'!$B$7,'Replacement plan'!$AG$56)/('Operating costs'!$B$8-'Operating costs'!$B$9*IF('Replacement plan'!$AG$56="",'Operating costs'!$B$7,'Replacement plan'!$AG$56)),0)*'Operating costs'!$B$9)*IF('Replacement plan'!$AG$56="",'Operating costs'!$B$7,'Replacement plan'!$AG$56)*('Energy and charging'!$C$9*'Energy and charging'!$C$7+(1-'Energy and charging'!$C$9)*'Energy and charging'!$C$8)*'Operating costs'!$B$23,"n.a."))</f>
        <v>0</v>
      </c>
      <c r="K206" s="16">
        <f>IF(C206=0,0,IF(P206="Complete",SUM('Operating costs'!$B$24,'Operating costs'!$B$27,'Operating costs'!$B$29,'Operating costs'!$B$31,'Operating costs'!$B$33,'Operating costs'!$B$34,'Operating costs'!$B$37,'Replacement plan'!$W$56)+'Operating costs'!$B$39*'Operating costs'!$B$42+ROUNDUP(S206*(R206-'Operating costs'!$B$39)*IF('Replacement plan'!$AG$56="",'Operating costs'!$B$7,'Replacement plan'!$AG$56)/('Operating costs'!$B$8-'Operating costs'!$B$9*IF('Replacement plan'!$AG$56="",'Operating costs'!$B$7,'Replacement plan'!$AG$56)),0)*('Operating costs'!$B$9/'Operating costs'!$B$11+'Operating costs'!$B$10/60)*'Operating costs'!$B$19*'Operating costs'!$B$21,"n.a."))</f>
        <v>0</v>
      </c>
      <c r="L206" s="16">
        <f>IF(C206=0,0,IF(P206="Complete",IF(D206="EV",X206*((1-T206)*'Energy and charging'!$C$10+T206*'Energy and charging'!$C$11)*'Operating costs'!$B$22,AA206*('Energy and charging'!$C$9*'Energy and charging'!$C$7+(1-'Energy and charging'!$C$9)*'Energy and charging'!$C$8)*'Operating costs'!$B$23),"n.a."))</f>
        <v>0</v>
      </c>
      <c r="M206" s="37">
        <f>IF(C206=0,0,IF(P206="Complete",IF(D206="ICE",SUM('Operating costs'!$B$25,'Operating costs'!$B$27,'Operating costs'!$B$29,'Operating costs'!$B$31,'Operating costs'!$B$33,'Operating costs'!$B$35,'Operating costs'!$B$37,'Replacement plan'!$X$56)+'Operating costs'!$B$40*'Operating costs'!$B$42+ROUNDUP(S206*(R206-'Operating costs'!$B$40)*IF('Replacement plan'!$AH$56="",'Operating costs'!$B$7,'Replacement plan'!$AH$56)/('Operating costs'!$B$8-'Operating costs'!$B$9*IF('Replacement plan'!$AH$56="",'Operating costs'!$B$7,'Replacement plan'!$AH$56)),0)*('Operating costs'!$B$9/'Operating costs'!$B$11+'Operating costs'!$B$10/60)*'Operating costs'!$B$19*'Operating costs'!$B$21,SUM(AP206,'Operating costs'!$B$28,'Operating costs'!$B$30,'Operating costs'!$B$32,'Operating costs'!$B$33,'Operating costs'!$B$36,'Operating costs'!$B$38,'Replacement plan'!$Y$56)+'Operating costs'!$B$41*'Operating costs'!$B$43+W206*'Operating costs'!$B$15+(T206*X206/'Replacement plan'!$L$56+W206*('Operating costs'!$B$12/'Operating costs'!$B$11+('Operating costs'!$B$13+'Operating costs'!$B$14)/60)+(R206-'Operating costs'!$B$41)*(IF(T206&lt;1,'Operating costs'!$B$16,0)+'Operating costs'!$B$17)/60)*'Operating costs'!$B$19*'Operating costs'!$B$20),"n.a."))</f>
        <v>0</v>
      </c>
      <c r="N206" s="16">
        <f>IF(AND(C206=1,D206="EV",E206&lt;120,E206+'Replacement plan'!$AA$56&lt;=120),'Replacement plan'!$Z$56,0)</f>
        <v>0</v>
      </c>
      <c r="O206" s="1">
        <f>E206+'Replacement plan'!$AA$56</f>
        <v>0</v>
      </c>
      <c r="P206" s="35" t="str">
        <f>IFERROR(IF(C206=0,"Excluded",IF(OR(COUNTIFS('Fleet register'!$A$7:$A$106,A206)&lt;&gt;1,COUNTIFS('Replacement plan'!$A$7:$A$106,A206)&lt;&gt;1),"Duplicate/missing ID",IF(NOT(AND(ISNUMBER(VLOOKUP($A206,'Fleet register'!$A$7:$S$106,5,FALSE)),ISNUMBER(VLOOKUP($A206,'Fleet register'!$A$7:$S$106,6,FALSE)),ISNUMBER(VLOOKUP($A206,'Fleet register'!$A$7:$S$106,10,FALSE)),ISNUMBER(VLOOKUP($A206,'Fleet register'!$A$7:$S$106,11,FALSE)),ISNUMBER(VLOOKUP($A206,'Fleet register'!$A$7:$S$106,12,FALSE)),ISNUMBER(VLOOKUP($A206,'Fleet register'!$A$7:$S$106,13,FALSE)),ISNUMBER(VLOOKUP($A206,'Fleet register'!$A$7:$S$106,14,FALSE)),VLOOKUP($A206,'Fleet register'!$A$7:$S$106,14,FALSE)&gt;0,ISNUMBER('Replacement plan'!$C$56),OR(E206=120,ISNUMBER('Replacement plan'!$T$56)),ISNUMBER(E206))),"Missing vehicle input",IF(OR(E206&lt;0,E206&gt;VLOOKUP($A206,'Fleet register'!$A$7:$S$106,10,FALSE),E206&gt;120,E206&lt;&gt;INT(E206),VLOOKUP($A206,'Fleet register'!$A$7:$S$106,6,FALSE)&lt;=0,VLOOKUP($A206,'Fleet register'!$A$7:$S$106,6,FALSE)&gt;366,VLOOKUP($A206,'Fleet register'!$A$7:$S$106,5,FALSE)&lt;0,VLOOKUP($A206,'Fleet register'!$A$7:$S$106,11,FALSE)&lt;0,I206&lt;0,'Operating costs'!$B$8&lt;='Operating costs'!$B$7*'Operating costs'!$B$9,'Operating costs'!$B$11&lt;=0,'Operating costs'!$B$39&gt;R206,'Operating costs'!$B$40&gt;R206,'Operating costs'!$B$41&gt;R206,NOT(OR('Replacement plan'!$R$56="Keep ICE",'Replacement plan'!$R$56="New ICE",'Replacement plan'!$R$56="EV"))),"Invalid vehicle input",IF(AND(D206="EV",E206&lt;120,OR(NOT(ISNUMBER(U206)),NOT(ISNUMBER(V206)),V206&lt;=0,T206&lt;0,T206&gt;1,'Replacement plan'!$L$56&lt;=0,'Operating costs'!$B$44&lt;0,'Operating costs'!$B$44&gt;=1,'Operating costs'!$B$47&lt;=0,'Operating costs'!$B$47&gt;1,V206*'Operating costs'!$B$47/(1-'Operating costs'!$B$44)&lt;=T206*'Operating costs'!$B$12*U206,AND('Replacement plan'!$Z$56&gt;0,OR('Replacement plan'!$AB$56&lt;&gt;"Yes",'Operating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charging'!$C$8&gt;=0))),ISNUMBER(VLOOKUP($A206,'Fleet register'!$A$7:$S$106,15,FALSE)),ISNUMBER(VLOOKUP($A206,'Fleet register'!$A$7:$S$106,16,FALSE)),ISNUMBER('Replacement plan'!$W$56),ISNUMBER('Replacement plan'!$X$56),OR(E206=120,AND(ISNUMBER(G206),G206&gt;=0)),ISNUMBER(H206),H206&gt;=0,OR(D206&lt;&gt;"EV",E206=120,AND(ISNUMBER('Operating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average",ISNUMBER(IFERROR(INDEX(Products!$P$7:$P$13,MATCH(AD206,Products!$A$7:$A$13,0)),"")))),ISNUMBER('Operating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plan'!$Y$56),ISNUMBER('Replacement plan'!$Z$56),'Replacement plan'!$Z$56&gt;=0,ISNUMBER('Replacement plan'!$AA$56),'Replacement plan'!$AA$56&gt;=0,'Replacement plan'!$AA$56=INT('Replacement plan'!$AA$56),ISNUMBER('Replacement plan'!$L$56))),'Operating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plan'!$AG$56="",'Operating costs'!$B$7,'Replacement plan'!$AG$56)),IF('Replacement plan'!$AG$56="",'Operating costs'!$B$7,'Replacement plan'!$AG$56)&gt;=0,ISNUMBER(IF('Replacement plan'!$AH$56="",'Operating costs'!$B$7,'Replacement plan'!$AH$56)),IF('Replacement plan'!$AH$56="",'Operating costs'!$B$7,'Replacement plan'!$AH$56)&gt;=0,'Operating costs'!$B$8&gt;MAX(IF('Replacement plan'!$AG$56="",'Operating costs'!$B$7,'Replacement plan'!$AG$56),IF('Replacement plan'!$AH$56="",'Operating costs'!$B$7,'Replacement plan'!$AH$56))*'Operating costs'!$B$9),IF(AND(VLOOKUP($A206,'Fleet register'!$A$7:$S$106,10,FALSE)&gt;=0,VLOOKUP($A206,'Fleet register'!$A$7:$S$106,10,FALSE)&lt;=120,VLOOKUP($A206,'Fleet register'!$A$7:$S$106,10,FALSE)=INT(VLOOKUP($A206,'Fleet register'!$A$7:$S$106,10,FALSE)),VLOOKUP($A206,'Fleet register'!$A$7:$S$106,15,FALSE)&gt;=0,VLOOKUP($A206,'Fleet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costs'!$B$67)&gt;=0,OR(D206&lt;&gt;"EV",E206=120,AND(MIN('Operating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06" s="1" t="str">
        <f>IF(C206=0,"Excluded",IF(P206&lt;&gt;"Complete",P206,IF(OR('Replacement plan'!$AD$56&lt;120-E206,AND(D206="EV",E206&lt;120,OR('Replacement plan'!$AC$56&lt;120-E206,'Replacement plan'!$I$56="No",AND(ISNUMBER(AF206),AE206&gt;AF206),AI206&gt;V206*(1-'Operating costs'!$B$46)^MAX(0,AB206-1)*(1-'Operating costs'!$B$45),AC206&gt;'Operating costs'!$B$18,AND(T206&lt;1,OR(AG206&lt;=0,AND(ISNUMBER(AH206),AG206&gt;AH206))),'Replacement plan'!$L$56&gt;INDEX(Products!$H$7:$H$13,MATCH('Replacement plan'!$B$56,Products!$A$7:$A$13,0))))),"Fails entered limits",IF(AND(D206="EV",E206&lt;120,OR(NOT(ISNUMBER(VLOOKUP($A206,'Fleet register'!$A$7:$S$106,7,FALSE))),NOT(ISNUMBER(VLOOKUP($A206,'Fleet register'!$A$7:$S$106,8,FALSE))),NOT(ISNUMBER(AF206)),'Replacement plan'!$I$56&lt;&gt;"Yes",NOT(ISNUMBER(AH206)),'Operating costs'!$B$59&lt;&gt;"Yes",'Operating costs'!$B$58&lt;&gt;"Yes")),"Unverified","Within entered limits"))))</f>
        <v>Excluded</v>
      </c>
      <c r="R206" s="1">
        <f>IF(C206=0,0,VLOOKUP($A206,'Fleet register'!$A$7:$S$106,6,FALSE))</f>
        <v>0</v>
      </c>
      <c r="S206" s="1">
        <f>IF(C206=0,0,VLOOKUP($A206,'Fleet register'!$A$7:$S$106,5,FALSE))</f>
        <v>0</v>
      </c>
      <c r="T206" s="1">
        <f>IF(D206="EV",'Energy and charging'!$C$12,0)</f>
        <v>0</v>
      </c>
      <c r="U206" s="1">
        <f>IFERROR(IF(C206=0,0,IF(D206="EV",IF('Replacement plan'!$F$56="",INDEX(Products!$E$7:$E$13,MATCH('Replacement plan'!$B$56,Products!$A$7:$A$13,0)),'Replacement plan'!$F$56)/IF('Replacement plan'!$G$56="Battery",1-'Operating costs'!$B$44,1),0)),"n.a.")</f>
        <v>0</v>
      </c>
      <c r="V206" s="1">
        <f>IFERROR(IF(C206=0,0,IF(D206="EV",IF('Replacement plan'!$E$56="",INDEX(Products!$D$7:$D$13,MATCH('Replacement plan'!$B$56,Products!$A$7:$A$13,0)),'Replacement plan'!$E$56),0)),"n.a.")</f>
        <v>0</v>
      </c>
      <c r="W206" s="1">
        <f>IF(C206=0,0,IF(AND(P206="Complete",D206="EV",E206&lt;120),IF(T206=0,0,ROUNDUP(T206*(R206-'Operating costs'!$B$41)*(S206*U206+'Operating costs'!$B$48/(1-'Operating costs'!$B$44))/(V206*'Operating costs'!$B$47/(1-'Operating costs'!$B$44)-T206*'Operating costs'!$B$12*U206),0)),0))</f>
        <v>0</v>
      </c>
      <c r="X206" s="1">
        <f>IF(C206=0,0,IF(AND(P206="Complete",D206="EV",E206&lt;120),(R206-'Operating costs'!$B$41)*(S206*U206+'Operating costs'!$B$48/(1-'Operating costs'!$B$44))+W206*'Operating costs'!$B$12*U206,0))</f>
        <v>0</v>
      </c>
      <c r="Y206" s="1">
        <f>IF(AND(C206=1,D206="EV",E206&lt;120),AI206/(1-'Operating costs'!$B$44)*(1-T206),0)</f>
        <v>0</v>
      </c>
      <c r="Z206" s="1">
        <f t="shared" si="6"/>
        <v>0</v>
      </c>
      <c r="AA206" s="1">
        <f>IF(C206=0,0,IF(P206="Complete",((S206*(R206-'Operating costs'!$B$40))+ROUNDUP(S206*(R206-'Operating costs'!$B$40)*IF('Replacement plan'!$AH$56="",'Operating costs'!$B$7,'Replacement plan'!$AH$56)/('Operating costs'!$B$8-'Operating costs'!$B$9*IF('Replacement plan'!$AH$56="",'Operating costs'!$B$7,'Replacement plan'!$AH$56)),0)*'Operating costs'!$B$9)*IF('Replacement plan'!$AH$56="",'Operating costs'!$B$7,'Replacement plan'!$AH$56),"n.a."))</f>
        <v>0</v>
      </c>
      <c r="AB206" s="1">
        <f t="shared" si="7"/>
        <v>0</v>
      </c>
      <c r="AC206" s="1">
        <f>IF(AND(C206=1,D206="EV",E206&lt;120,T206&gt;0),'Operating costs'!$B$12/'Operating costs'!$B$11*60+'Operating costs'!$B$13+'Operating costs'!$B$14+V206*'Operating costs'!$B$47/(1-'Operating costs'!$B$44)/'Replacement plan'!$L$56*60,0)</f>
        <v>0</v>
      </c>
      <c r="AD206" s="1" t="str">
        <f>'Replacement plan'!$B$56</f>
        <v>ChengLong L2EV</v>
      </c>
      <c r="AE206" s="1">
        <f>IF(C206=0,0,VLOOKUP($A206,'Fleet register'!$A$7:$S$106,8,FALSE))</f>
        <v>0</v>
      </c>
      <c r="AF206" s="1" t="str">
        <f>IF('Replacement plan'!$H$56="","n.a.",'Replacement plan'!$H$56)</f>
        <v>n.a.</v>
      </c>
      <c r="AG206" s="1">
        <f>'Replacement plan'!$J$56</f>
        <v>22</v>
      </c>
      <c r="AH206" s="1">
        <f>IFERROR(IF(D206="EV",IF('Replacement plan'!$K$56="AC",IF(ISNUMBER(INDEX(Products!$G$7:$G$13,MATCH('Replacement plan'!$B$56,Products!$A$7:$A$13,0))),INDEX(Products!$G$7:$G$13,MATCH('Replacement plan'!$B$56,Products!$A$7:$A$13,0)),"n.a."),IF(ISNUMBER(INDEX(Products!$H$7:$H$13,MATCH('Replacement plan'!$B$56,Products!$A$7:$A$13,0))),INDEX(Products!$H$7:$H$13,MATCH('Replacement plan'!$B$56,Products!$A$7:$A$13,0)),"n.a.")),0),"n.a.")</f>
        <v>0</v>
      </c>
      <c r="AI206" s="1">
        <f>IF(AND(C206=1,D206="EV",E206&lt;120),(VLOOKUP($A206,'Fleet register'!$A$7:$S$106,7,FALSE)+IF(T206&gt;0,'Operating costs'!$B$12,0))*U206*(1-'Operating costs'!$B$44)+'Operating costs'!$B$49,0)</f>
        <v>0</v>
      </c>
      <c r="AJ206" s="1">
        <f>IF(D206="EV",'Energy and charging'!$C$50,0)</f>
        <v>0</v>
      </c>
      <c r="AK206" s="17">
        <f>EDATE('Operating costs'!$B$63,E206)</f>
        <v>46298</v>
      </c>
      <c r="AL206" s="1">
        <f>IFERROR(IF(D206="EV",INDEX(Products!$B$7:$B$13,MATCH('Replacement plan'!$B$56,Products!$A$7:$A$13,0)),0),"n.a.")</f>
        <v>0</v>
      </c>
      <c r="AM206" s="1" t="str">
        <f>'Replacement plan'!$K$56</f>
        <v>DC</v>
      </c>
      <c r="AN206" s="1" t="str">
        <f>'Replacement plan'!$AE$56</f>
        <v>Assumed</v>
      </c>
      <c r="AO206" s="47">
        <f>IF(AND(C206=1,D206="EV",E206&lt;120),(R206-'Operating costs'!$B$41)*S206+W206*'Operating costs'!$B$12,0)</f>
        <v>0</v>
      </c>
      <c r="AP206" s="41">
        <f>IF(AND(C206=1,D206="EV",E206&lt;120),IF('Operating costs'!$B$68="Hong Seh 200k average",AO206*IFERROR(INDEX(Products!$P$7:$P$13,MATCH(AD206,Products!$A$7:$A$13,0)),"n.a."),'Operating costs'!$B$26),0)</f>
        <v>0</v>
      </c>
      <c r="AQ206" s="40" t="str">
        <f>IF(D206="EV",'Operating costs'!$B$68,"Not applicable")</f>
        <v>Not applicable</v>
      </c>
    </row>
    <row r="207" spans="1:43" ht="24" customHeight="1">
      <c r="A207" s="1" t="str">
        <f>'Replacement plan'!A57</f>
        <v>T051</v>
      </c>
      <c r="B207" s="1">
        <v>0</v>
      </c>
      <c r="C207" s="1">
        <f>IF(COUNTIFS('Fleet register'!$A$7:$A$106,$A207)=1,VLOOKUP($A207,'Fleet register'!$A$7:$S$106,2,FALSE),0)</f>
        <v>0</v>
      </c>
      <c r="D207" s="1" t="str">
        <f>IF("Keep ICE"="EV","EV","ICE")</f>
        <v>ICE</v>
      </c>
      <c r="E207" s="1">
        <f>IF(C207=0,0,IF('Replacement plan'!$M$57="",VLOOKUP($A207,'Fleet register'!$A$7:$S$106,10,FALSE),'Replacement plan'!$M$57))</f>
        <v>0</v>
      </c>
      <c r="F207" s="16">
        <f>IF(C207=0,0,VLOOKUP($A207,'Fleet register'!$A$7:$S$106,11,FALSE))</f>
        <v>0</v>
      </c>
      <c r="G207" s="16">
        <f>IFERROR(IF(C207=0,0,IF(E207=120,0,IF(D207="ICE",'Replacement plan'!$C$57,IF('Replacement plan'!$D$57="",INDEX(Products!$I$7:$I$13,MATCH('Replacement plan'!$B$57,Products!$A$7:$A$13,0))+'Operating costs'!$B$57,'Replacement plan'!$D$57))*(1+'Operating costs'!$B$50)^(E207/12))),"n.a.")</f>
        <v>0</v>
      </c>
      <c r="H207" s="16">
        <f>IFERROR(IF(C207=0,0,IF(E207=0,F207,VLOOKUP($A207,'Fleet register'!$A$7:$S$106,12,FALSE)+VLOOKUP($A207,'Fleet register'!$A$7:$S$106,13,FALSE)*MAX(0,VLOOKUP($A207,'Fleet register'!$A$7:$S$106,10,FALSE)-E207)/VLOOKUP($A207,'Fleet register'!$A$7:$S$106,14,FALSE))),"n.a.")</f>
        <v>0</v>
      </c>
      <c r="I207" s="16">
        <f>IF(C207=0,0,IF(E207=120,0,'Replacement plan'!$N$57))</f>
        <v>0</v>
      </c>
      <c r="J207" s="16">
        <f>IF(C207=0,0,IF(P207="Complete",((S207*(R207-'Operating costs'!$B$39))+ROUNDUP(S207*(R207-'Operating costs'!$B$39)*IF('Replacement plan'!$AG$57="",'Operating costs'!$B$7,'Replacement plan'!$AG$57)/('Operating costs'!$B$8-'Operating costs'!$B$9*IF('Replacement plan'!$AG$57="",'Operating costs'!$B$7,'Replacement plan'!$AG$57)),0)*'Operating costs'!$B$9)*IF('Replacement plan'!$AG$57="",'Operating costs'!$B$7,'Replacement plan'!$AG$57)*('Energy and charging'!$B$9*'Energy and charging'!$B$7+(1-'Energy and charging'!$B$9)*'Energy and charging'!$B$8)*'Operating costs'!$B$23,"n.a."))</f>
        <v>0</v>
      </c>
      <c r="K207" s="16">
        <f>IF(C207=0,0,IF(P207="Complete",SUM('Operating costs'!$B$24,'Operating costs'!$B$27,'Operating costs'!$B$29,'Operating costs'!$B$31,'Operating costs'!$B$33,'Operating costs'!$B$34,'Operating costs'!$B$37,'Replacement plan'!$W$57)+'Operating costs'!$B$39*'Operating costs'!$B$42+ROUNDUP(S207*(R207-'Operating costs'!$B$39)*IF('Replacement plan'!$AG$57="",'Operating costs'!$B$7,'Replacement plan'!$AG$57)/('Operating costs'!$B$8-'Operating costs'!$B$9*IF('Replacement plan'!$AG$57="",'Operating costs'!$B$7,'Replacement plan'!$AG$57)),0)*('Operating costs'!$B$9/'Operating costs'!$B$11+'Operating costs'!$B$10/60)*'Operating costs'!$B$19*'Operating costs'!$B$21,"n.a."))</f>
        <v>0</v>
      </c>
      <c r="L207" s="16">
        <f>IF(C207=0,0,IF(P207="Complete",IF(D207="EV",X207*((1-T207)*'Energy and charging'!$B$10+T207*'Energy and charging'!$B$11)*'Operating costs'!$B$22,AA207*('Energy and charging'!$B$9*'Energy and charging'!$B$7+(1-'Energy and charging'!$B$9)*'Energy and charging'!$B$8)*'Operating costs'!$B$23),"n.a."))</f>
        <v>0</v>
      </c>
      <c r="M207" s="37">
        <f>IF(C207=0,0,IF(P207="Complete",IF(D207="ICE",SUM('Operating costs'!$B$25,'Operating costs'!$B$27,'Operating costs'!$B$29,'Operating costs'!$B$31,'Operating costs'!$B$33,'Operating costs'!$B$35,'Operating costs'!$B$37,'Replacement plan'!$X$57)+'Operating costs'!$B$40*'Operating costs'!$B$42+ROUNDUP(S207*(R207-'Operating costs'!$B$40)*IF('Replacement plan'!$AH$57="",'Operating costs'!$B$7,'Replacement plan'!$AH$57)/('Operating costs'!$B$8-'Operating costs'!$B$9*IF('Replacement plan'!$AH$57="",'Operating costs'!$B$7,'Replacement plan'!$AH$57)),0)*('Operating costs'!$B$9/'Operating costs'!$B$11+'Operating costs'!$B$10/60)*'Operating costs'!$B$19*'Operating costs'!$B$21,SUM(AP207,'Operating costs'!$B$28,'Operating costs'!$B$30,'Operating costs'!$B$32,'Operating costs'!$B$33,'Operating costs'!$B$36,'Operating costs'!$B$38,'Replacement plan'!$Y$57)+'Operating costs'!$B$41*'Operating costs'!$B$43+W207*'Operating costs'!$B$15+(T207*X207/'Replacement plan'!$L$57+W207*('Operating costs'!$B$12/'Operating costs'!$B$11+('Operating costs'!$B$13+'Operating costs'!$B$14)/60)+(R207-'Operating costs'!$B$41)*(IF(T207&lt;1,'Operating costs'!$B$16,0)+'Operating costs'!$B$17)/60)*'Operating costs'!$B$19*'Operating costs'!$B$20),"n.a."))</f>
        <v>0</v>
      </c>
      <c r="N207" s="16">
        <f>IF(AND(C207=1,D207="EV",E207&lt;120,E207+'Replacement plan'!$AA$57&lt;=120),'Replacement plan'!$Z$57,0)</f>
        <v>0</v>
      </c>
      <c r="O207" s="1">
        <f>E207+'Replacement plan'!$AA$57</f>
        <v>0</v>
      </c>
      <c r="P207" s="35" t="str">
        <f>IFERROR(IF(C207=0,"Excluded",IF(OR(COUNTIFS('Fleet register'!$A$7:$A$106,A207)&lt;&gt;1,COUNTIFS('Replacement plan'!$A$7:$A$106,A207)&lt;&gt;1),"Duplicate/missing ID",IF(NOT(AND(ISNUMBER(VLOOKUP($A207,'Fleet register'!$A$7:$S$106,5,FALSE)),ISNUMBER(VLOOKUP($A207,'Fleet register'!$A$7:$S$106,6,FALSE)),ISNUMBER(VLOOKUP($A207,'Fleet register'!$A$7:$S$106,10,FALSE)),ISNUMBER(VLOOKUP($A207,'Fleet register'!$A$7:$S$106,11,FALSE)),ISNUMBER(VLOOKUP($A207,'Fleet register'!$A$7:$S$106,12,FALSE)),ISNUMBER(VLOOKUP($A207,'Fleet register'!$A$7:$S$106,13,FALSE)),ISNUMBER(VLOOKUP($A207,'Fleet register'!$A$7:$S$106,14,FALSE)),VLOOKUP($A207,'Fleet register'!$A$7:$S$106,14,FALSE)&gt;0,ISNUMBER('Replacement plan'!$C$57),OR(E207=120,ISNUMBER('Replacement plan'!$N$57)),ISNUMBER(E207))),"Missing vehicle input",IF(OR(E207&lt;0,E207&gt;VLOOKUP($A207,'Fleet register'!$A$7:$S$106,10,FALSE),E207&gt;120,E207&lt;&gt;INT(E207),VLOOKUP($A207,'Fleet register'!$A$7:$S$106,6,FALSE)&lt;=0,VLOOKUP($A207,'Fleet register'!$A$7:$S$106,6,FALSE)&gt;366,VLOOKUP($A207,'Fleet register'!$A$7:$S$106,5,FALSE)&lt;0,VLOOKUP($A207,'Fleet register'!$A$7:$S$106,11,FALSE)&lt;0,I207&lt;0,'Operating costs'!$B$8&lt;='Operating costs'!$B$7*'Operating costs'!$B$9,'Operating costs'!$B$11&lt;=0,'Operating costs'!$B$39&gt;R207,'Operating costs'!$B$40&gt;R207,'Operating costs'!$B$41&gt;R207,NOT(OR("Keep ICE"="Keep ICE","Keep ICE"="New ICE","Keep ICE"="EV"))),"Invalid vehicle input",IF(AND(D207="EV",E207&lt;120,OR(NOT(ISNUMBER(U207)),NOT(ISNUMBER(V207)),V207&lt;=0,T207&lt;0,T207&gt;1,'Replacement plan'!$L$57&lt;=0,'Operating costs'!$B$44&lt;0,'Operating costs'!$B$44&gt;=1,'Operating costs'!$B$47&lt;=0,'Operating costs'!$B$47&gt;1,V207*'Operating costs'!$B$47/(1-'Operating costs'!$B$44)&lt;=T207*'Operating costs'!$B$12*U207,AND('Replacement plan'!$Z$57&gt;0,OR('Replacement plan'!$AB$57&lt;&gt;"Yes",'Operating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charging'!$B$8&gt;=0))),ISNUMBER(VLOOKUP($A207,'Fleet register'!$A$7:$S$106,15,FALSE)),ISNUMBER(VLOOKUP($A207,'Fleet register'!$A$7:$S$106,16,FALSE)),ISNUMBER('Replacement plan'!$W$57),ISNUMBER('Replacement plan'!$X$57),OR(E207=120,AND(ISNUMBER(G207),G207&gt;=0)),ISNUMBER(H207),H207&gt;=0,OR(D207&lt;&gt;"EV",E207=120,AND(ISNUMBER('Operating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average",ISNUMBER(IFERROR(INDEX(Products!$P$7:$P$13,MATCH(AD207,Products!$A$7:$A$13,0)),"")))),ISNUMBER('Operating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plan'!$Y$57),ISNUMBER('Replacement plan'!$Z$57),'Replacement plan'!$Z$57&gt;=0,ISNUMBER('Replacement plan'!$AA$57),'Replacement plan'!$AA$57&gt;=0,'Replacement plan'!$AA$57=INT('Replacement plan'!$AA$57),ISNUMBER('Replacement plan'!$L$57))),'Operating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plan'!$AG$57="",'Operating costs'!$B$7,'Replacement plan'!$AG$57)),IF('Replacement plan'!$AG$57="",'Operating costs'!$B$7,'Replacement plan'!$AG$57)&gt;=0,ISNUMBER(IF('Replacement plan'!$AH$57="",'Operating costs'!$B$7,'Replacement plan'!$AH$57)),IF('Replacement plan'!$AH$57="",'Operating costs'!$B$7,'Replacement plan'!$AH$57)&gt;=0,'Operating costs'!$B$8&gt;MAX(IF('Replacement plan'!$AG$57="",'Operating costs'!$B$7,'Replacement plan'!$AG$57),IF('Replacement plan'!$AH$57="",'Operating costs'!$B$7,'Replacement plan'!$AH$57))*'Operating costs'!$B$9),IF(AND(VLOOKUP($A207,'Fleet register'!$A$7:$S$106,10,FALSE)&gt;=0,VLOOKUP($A207,'Fleet register'!$A$7:$S$106,10,FALSE)&lt;=120,VLOOKUP($A207,'Fleet register'!$A$7:$S$106,10,FALSE)=INT(VLOOKUP($A207,'Fleet register'!$A$7:$S$106,10,FALSE)),VLOOKUP($A207,'Fleet register'!$A$7:$S$106,15,FALSE)&gt;=0,VLOOKUP($A207,'Fleet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costs'!$B$67)&gt;=0,OR(D207&lt;&gt;"EV",E207=120,AND(MIN('Operating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07" s="1" t="str">
        <f>IF(C207=0,"Excluded",IF(P207&lt;&gt;"Complete",P207,IF(OR('Replacement plan'!$AD$57&lt;120-E207,AND(D207="EV",E207&lt;120,OR('Replacement plan'!$AC$57&lt;120-E207,'Replacement plan'!$I$57="No",AND(ISNUMBER(AF207),AE207&gt;AF207),AI207&gt;V207*(1-'Operating costs'!$B$46)^MAX(0,AB207-1)*(1-'Operating costs'!$B$45),AC207&gt;'Operating costs'!$B$18,AND(T207&lt;1,OR(AG207&lt;=0,AND(ISNUMBER(AH207),AG207&gt;AH207))),'Replacement plan'!$L$57&gt;INDEX(Products!$H$7:$H$13,MATCH('Replacement plan'!$B$57,Products!$A$7:$A$13,0))))),"Fails entered limits",IF(AND(D207="EV",E207&lt;120,OR(NOT(ISNUMBER(VLOOKUP($A207,'Fleet register'!$A$7:$S$106,7,FALSE))),NOT(ISNUMBER(VLOOKUP($A207,'Fleet register'!$A$7:$S$106,8,FALSE))),NOT(ISNUMBER(AF207)),'Replacement plan'!$I$57&lt;&gt;"Yes",NOT(ISNUMBER(AH207)),'Operating costs'!$B$59&lt;&gt;"Yes",'Operating costs'!$B$58&lt;&gt;"Yes")),"Unverified","Within entered limits"))))</f>
        <v>Excluded</v>
      </c>
      <c r="R207" s="1">
        <f>IF(C207=0,0,VLOOKUP($A207,'Fleet register'!$A$7:$S$106,6,FALSE))</f>
        <v>0</v>
      </c>
      <c r="S207" s="1">
        <f>IF(C207=0,0,VLOOKUP($A207,'Fleet register'!$A$7:$S$106,5,FALSE))</f>
        <v>0</v>
      </c>
      <c r="T207" s="1">
        <f>IF(D207="EV",'Energy and charging'!$B$12,0)</f>
        <v>0</v>
      </c>
      <c r="U207" s="1">
        <f>IFERROR(IF(C207=0,0,IF(D207="EV",IF('Replacement plan'!$F$57="",INDEX(Products!$E$7:$E$13,MATCH('Replacement plan'!$B$57,Products!$A$7:$A$13,0)),'Replacement plan'!$F$57)/IF('Replacement plan'!$G$57="Battery",1-'Operating costs'!$B$44,1),0)),"n.a.")</f>
        <v>0</v>
      </c>
      <c r="V207" s="1">
        <f>IFERROR(IF(C207=0,0,IF(D207="EV",IF('Replacement plan'!$E$57="",INDEX(Products!$D$7:$D$13,MATCH('Replacement plan'!$B$57,Products!$A$7:$A$13,0)),'Replacement plan'!$E$57),0)),"n.a.")</f>
        <v>0</v>
      </c>
      <c r="W207" s="1">
        <f>IF(C207=0,0,IF(AND(P207="Complete",D207="EV",E207&lt;120),IF(T207=0,0,ROUNDUP(T207*(R207-'Operating costs'!$B$41)*(S207*U207+'Operating costs'!$B$48/(1-'Operating costs'!$B$44))/(V207*'Operating costs'!$B$47/(1-'Operating costs'!$B$44)-T207*'Operating costs'!$B$12*U207),0)),0))</f>
        <v>0</v>
      </c>
      <c r="X207" s="1">
        <f>IF(C207=0,0,IF(AND(P207="Complete",D207="EV",E207&lt;120),(R207-'Operating costs'!$B$41)*(S207*U207+'Operating costs'!$B$48/(1-'Operating costs'!$B$44))+W207*'Operating costs'!$B$12*U207,0))</f>
        <v>0</v>
      </c>
      <c r="Y207" s="1">
        <f>IF(AND(C207=1,D207="EV",E207&lt;120),AI207/(1-'Operating costs'!$B$44)*(1-T207),0)</f>
        <v>0</v>
      </c>
      <c r="Z207" s="1">
        <f t="shared" si="6"/>
        <v>0</v>
      </c>
      <c r="AA207" s="1">
        <f>IF(C207=0,0,IF(P207="Complete",((S207*(R207-'Operating costs'!$B$40))+ROUNDUP(S207*(R207-'Operating costs'!$B$40)*IF('Replacement plan'!$AH$57="",'Operating costs'!$B$7,'Replacement plan'!$AH$57)/('Operating costs'!$B$8-'Operating costs'!$B$9*IF('Replacement plan'!$AH$57="",'Operating costs'!$B$7,'Replacement plan'!$AH$57)),0)*'Operating costs'!$B$9)*IF('Replacement plan'!$AH$57="",'Operating costs'!$B$7,'Replacement plan'!$AH$57),"n.a."))</f>
        <v>0</v>
      </c>
      <c r="AB207" s="1">
        <f t="shared" si="7"/>
        <v>0</v>
      </c>
      <c r="AC207" s="1">
        <f>IF(AND(C207=1,D207="EV",E207&lt;120,T207&gt;0),'Operating costs'!$B$12/'Operating costs'!$B$11*60+'Operating costs'!$B$13+'Operating costs'!$B$14+V207*'Operating costs'!$B$47/(1-'Operating costs'!$B$44)/'Replacement plan'!$L$57*60,0)</f>
        <v>0</v>
      </c>
      <c r="AD207" s="1" t="str">
        <f>'Replacement plan'!$B$57</f>
        <v>ChengLong L2EV</v>
      </c>
      <c r="AE207" s="1">
        <f>IF(C207=0,0,VLOOKUP($A207,'Fleet register'!$A$7:$S$106,8,FALSE))</f>
        <v>0</v>
      </c>
      <c r="AF207" s="1" t="str">
        <f>IF('Replacement plan'!$H$57="","n.a.",'Replacement plan'!$H$57)</f>
        <v>n.a.</v>
      </c>
      <c r="AG207" s="1">
        <f>'Replacement plan'!$J$57</f>
        <v>22</v>
      </c>
      <c r="AH207" s="1">
        <f>IFERROR(IF(D207="EV",IF('Replacement plan'!$K$57="AC",IF(ISNUMBER(INDEX(Products!$G$7:$G$13,MATCH('Replacement plan'!$B$57,Products!$A$7:$A$13,0))),INDEX(Products!$G$7:$G$13,MATCH('Replacement plan'!$B$57,Products!$A$7:$A$13,0)),"n.a."),IF(ISNUMBER(INDEX(Products!$H$7:$H$13,MATCH('Replacement plan'!$B$57,Products!$A$7:$A$13,0))),INDEX(Products!$H$7:$H$13,MATCH('Replacement plan'!$B$57,Products!$A$7:$A$13,0)),"n.a.")),0),"n.a.")</f>
        <v>0</v>
      </c>
      <c r="AI207" s="1">
        <f>IF(AND(C207=1,D207="EV",E207&lt;120),(VLOOKUP($A207,'Fleet register'!$A$7:$S$106,7,FALSE)+IF(T207&gt;0,'Operating costs'!$B$12,0))*U207*(1-'Operating costs'!$B$44)+'Operating costs'!$B$49,0)</f>
        <v>0</v>
      </c>
      <c r="AJ207" s="1">
        <f>IF(D207="EV",'Energy and charging'!$B$50,0)</f>
        <v>0</v>
      </c>
      <c r="AK207" s="17">
        <f>EDATE('Operating costs'!$B$63,E207)</f>
        <v>46298</v>
      </c>
      <c r="AL207" s="1">
        <f>IFERROR(IF(D207="EV",INDEX(Products!$B$7:$B$13,MATCH('Replacement plan'!$B$57,Products!$A$7:$A$13,0)),0),"n.a.")</f>
        <v>0</v>
      </c>
      <c r="AM207" s="1" t="str">
        <f>'Replacement plan'!$K$57</f>
        <v>DC</v>
      </c>
      <c r="AN207" s="1" t="str">
        <f>'Replacement plan'!$AE$57</f>
        <v>Assumed</v>
      </c>
      <c r="AO207" s="47">
        <f>IF(AND(C207=1,D207="EV",E207&lt;120),(R207-'Operating costs'!$B$41)*S207+W207*'Operating costs'!$B$12,0)</f>
        <v>0</v>
      </c>
      <c r="AP207" s="41">
        <f>IF(AND(C207=1,D207="EV",E207&lt;120),IF('Operating costs'!$B$68="Hong Seh 200k average",AO207*IFERROR(INDEX(Products!$P$7:$P$13,MATCH(AD207,Products!$A$7:$A$13,0)),"n.a."),'Operating costs'!$B$26),0)</f>
        <v>0</v>
      </c>
      <c r="AQ207" s="40" t="str">
        <f>IF(D207="EV",'Operating costs'!$B$68,"Not applicable")</f>
        <v>Not applicable</v>
      </c>
    </row>
    <row r="208" spans="1:43" ht="24" customHeight="1">
      <c r="A208" s="1" t="str">
        <f>'Replacement plan'!A57</f>
        <v>T051</v>
      </c>
      <c r="B208" s="1">
        <v>1</v>
      </c>
      <c r="C208" s="1">
        <f>IF(COUNTIFS('Fleet register'!$A$7:$A$106,$A208)=1,VLOOKUP($A208,'Fleet register'!$A$7:$S$106,2,FALSE),0)</f>
        <v>0</v>
      </c>
      <c r="D208" s="1" t="str">
        <f>IF("New ICE"="EV","EV","ICE")</f>
        <v>ICE</v>
      </c>
      <c r="E208" s="1">
        <f>IF(C208=0,0,0)</f>
        <v>0</v>
      </c>
      <c r="F208" s="16">
        <f>IF(C208=0,0,VLOOKUP($A208,'Fleet register'!$A$7:$S$106,11,FALSE))</f>
        <v>0</v>
      </c>
      <c r="G208" s="16">
        <f>IFERROR(IF(C208=0,0,IF(E208=120,0,IF(D208="ICE",'Replacement plan'!$C$57,IF('Replacement plan'!$D$57="",INDEX(Products!$I$7:$I$13,MATCH('Replacement plan'!$B$57,Products!$A$7:$A$13,0))+'Operating costs'!$B$57,'Replacement plan'!$D$57))*(1+'Operating costs'!$B$50)^(E208/12))),"n.a.")</f>
        <v>0</v>
      </c>
      <c r="H208" s="16">
        <f>IFERROR(IF(C208=0,0,IF(E208=0,F208,VLOOKUP($A208,'Fleet register'!$A$7:$S$106,12,FALSE)+VLOOKUP($A208,'Fleet register'!$A$7:$S$106,13,FALSE)*MAX(0,VLOOKUP($A208,'Fleet register'!$A$7:$S$106,10,FALSE)-E208)/VLOOKUP($A208,'Fleet register'!$A$7:$S$106,14,FALSE))),"n.a.")</f>
        <v>0</v>
      </c>
      <c r="I208" s="16">
        <f>IF(C208=0,0,IF(E208=120,0,IF('Replacement plan'!$AI$57="",'Operating costs'!$B$56,'Replacement plan'!$AI$57)))</f>
        <v>0</v>
      </c>
      <c r="J208" s="16">
        <f>IF(C208=0,0,IF(P208="Complete",((S208*(R208-'Operating costs'!$B$39))+ROUNDUP(S208*(R208-'Operating costs'!$B$39)*IF('Replacement plan'!$AG$57="",'Operating costs'!$B$7,'Replacement plan'!$AG$57)/('Operating costs'!$B$8-'Operating costs'!$B$9*IF('Replacement plan'!$AG$57="",'Operating costs'!$B$7,'Replacement plan'!$AG$57)),0)*'Operating costs'!$B$9)*IF('Replacement plan'!$AG$57="",'Operating costs'!$B$7,'Replacement plan'!$AG$57)*('Energy and charging'!$B$9*'Energy and charging'!$B$7+(1-'Energy and charging'!$B$9)*'Energy and charging'!$B$8)*'Operating costs'!$B$23,"n.a."))</f>
        <v>0</v>
      </c>
      <c r="K208" s="16">
        <f>IF(C208=0,0,IF(P208="Complete",SUM('Operating costs'!$B$24,'Operating costs'!$B$27,'Operating costs'!$B$29,'Operating costs'!$B$31,'Operating costs'!$B$33,'Operating costs'!$B$34,'Operating costs'!$B$37,'Replacement plan'!$W$57)+'Operating costs'!$B$39*'Operating costs'!$B$42+ROUNDUP(S208*(R208-'Operating costs'!$B$39)*IF('Replacement plan'!$AG$57="",'Operating costs'!$B$7,'Replacement plan'!$AG$57)/('Operating costs'!$B$8-'Operating costs'!$B$9*IF('Replacement plan'!$AG$57="",'Operating costs'!$B$7,'Replacement plan'!$AG$57)),0)*('Operating costs'!$B$9/'Operating costs'!$B$11+'Operating costs'!$B$10/60)*'Operating costs'!$B$19*'Operating costs'!$B$21,"n.a."))</f>
        <v>0</v>
      </c>
      <c r="L208" s="16">
        <f>IF(C208=0,0,IF(P208="Complete",IF(D208="EV",X208*((1-T208)*'Energy and charging'!$B$10+T208*'Energy and charging'!$B$11)*'Operating costs'!$B$22,AA208*('Energy and charging'!$B$9*'Energy and charging'!$B$7+(1-'Energy and charging'!$B$9)*'Energy and charging'!$B$8)*'Operating costs'!$B$23),"n.a."))</f>
        <v>0</v>
      </c>
      <c r="M208" s="37">
        <f>IF(C208=0,0,IF(P208="Complete",IF(D208="ICE",SUM('Operating costs'!$B$25,'Operating costs'!$B$27,'Operating costs'!$B$29,'Operating costs'!$B$31,'Operating costs'!$B$33,'Operating costs'!$B$35,'Operating costs'!$B$37,'Replacement plan'!$X$57)+'Operating costs'!$B$40*'Operating costs'!$B$42+ROUNDUP(S208*(R208-'Operating costs'!$B$40)*IF('Replacement plan'!$AH$57="",'Operating costs'!$B$7,'Replacement plan'!$AH$57)/('Operating costs'!$B$8-'Operating costs'!$B$9*IF('Replacement plan'!$AH$57="",'Operating costs'!$B$7,'Replacement plan'!$AH$57)),0)*('Operating costs'!$B$9/'Operating costs'!$B$11+'Operating costs'!$B$10/60)*'Operating costs'!$B$19*'Operating costs'!$B$21,SUM(AP208,'Operating costs'!$B$28,'Operating costs'!$B$30,'Operating costs'!$B$32,'Operating costs'!$B$33,'Operating costs'!$B$36,'Operating costs'!$B$38,'Replacement plan'!$Y$57)+'Operating costs'!$B$41*'Operating costs'!$B$43+W208*'Operating costs'!$B$15+(T208*X208/'Replacement plan'!$L$57+W208*('Operating costs'!$B$12/'Operating costs'!$B$11+('Operating costs'!$B$13+'Operating costs'!$B$14)/60)+(R208-'Operating costs'!$B$41)*(IF(T208&lt;1,'Operating costs'!$B$16,0)+'Operating costs'!$B$17)/60)*'Operating costs'!$B$19*'Operating costs'!$B$20),"n.a."))</f>
        <v>0</v>
      </c>
      <c r="N208" s="16">
        <f>IF(AND(C208=1,D208="EV",E208&lt;120,E208+'Replacement plan'!$AA$57&lt;=120),'Replacement plan'!$Z$57,0)</f>
        <v>0</v>
      </c>
      <c r="O208" s="1">
        <f>E208+'Replacement plan'!$AA$57</f>
        <v>0</v>
      </c>
      <c r="P208" s="35" t="str">
        <f>IFERROR(IF(C208=0,"Excluded",IF(OR(COUNTIFS('Fleet register'!$A$7:$A$106,A208)&lt;&gt;1,COUNTIFS('Replacement plan'!$A$7:$A$106,A208)&lt;&gt;1),"Duplicate/missing ID",IF(NOT(AND(ISNUMBER(VLOOKUP($A208,'Fleet register'!$A$7:$S$106,5,FALSE)),ISNUMBER(VLOOKUP($A208,'Fleet register'!$A$7:$S$106,6,FALSE)),ISNUMBER(VLOOKUP($A208,'Fleet register'!$A$7:$S$106,10,FALSE)),ISNUMBER(VLOOKUP($A208,'Fleet register'!$A$7:$S$106,11,FALSE)),ISNUMBER(VLOOKUP($A208,'Fleet register'!$A$7:$S$106,12,FALSE)),ISNUMBER(VLOOKUP($A208,'Fleet register'!$A$7:$S$106,13,FALSE)),ISNUMBER(VLOOKUP($A208,'Fleet register'!$A$7:$S$106,14,FALSE)),VLOOKUP($A208,'Fleet register'!$A$7:$S$106,14,FALSE)&gt;0,ISNUMBER('Replacement plan'!$C$57),OR(E208=120,OR(ISNUMBER('Replacement plan'!$AI$57),AND('Replacement plan'!$AI$57="",ISNUMBER('Operating costs'!$B$56)))),ISNUMBER(E208))),"Missing vehicle input",IF(OR(E208&lt;0,E208&gt;VLOOKUP($A208,'Fleet register'!$A$7:$S$106,10,FALSE),E208&gt;120,E208&lt;&gt;INT(E208),VLOOKUP($A208,'Fleet register'!$A$7:$S$106,6,FALSE)&lt;=0,VLOOKUP($A208,'Fleet register'!$A$7:$S$106,6,FALSE)&gt;366,VLOOKUP($A208,'Fleet register'!$A$7:$S$106,5,FALSE)&lt;0,VLOOKUP($A208,'Fleet register'!$A$7:$S$106,11,FALSE)&lt;0,I208&lt;0,'Operating costs'!$B$8&lt;='Operating costs'!$B$7*'Operating costs'!$B$9,'Operating costs'!$B$11&lt;=0,'Operating costs'!$B$39&gt;R208,'Operating costs'!$B$40&gt;R208,'Operating costs'!$B$41&gt;R208,NOT(OR("New ICE"="Keep ICE","New ICE"="New ICE","New ICE"="EV"))),"Invalid vehicle input",IF(AND(D208="EV",E208&lt;120,OR(NOT(ISNUMBER(U208)),NOT(ISNUMBER(V208)),V208&lt;=0,T208&lt;0,T208&gt;1,'Replacement plan'!$L$57&lt;=0,'Operating costs'!$B$44&lt;0,'Operating costs'!$B$44&gt;=1,'Operating costs'!$B$47&lt;=0,'Operating costs'!$B$47&gt;1,V208*'Operating costs'!$B$47/(1-'Operating costs'!$B$44)&lt;=T208*'Operating costs'!$B$12*U208,AND('Replacement plan'!$Z$57&gt;0,OR('Replacement plan'!$AB$57&lt;&gt;"Yes",'Operating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charging'!$B$8&gt;=0))),ISNUMBER(VLOOKUP($A208,'Fleet register'!$A$7:$S$106,15,FALSE)),ISNUMBER(VLOOKUP($A208,'Fleet register'!$A$7:$S$106,16,FALSE)),ISNUMBER('Replacement plan'!$W$57),ISNUMBER('Replacement plan'!$X$57),OR(E208=120,AND(ISNUMBER(G208),G208&gt;=0)),ISNUMBER(H208),H208&gt;=0,OR(D208&lt;&gt;"EV",E208=120,AND(ISNUMBER('Operating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average",ISNUMBER(IFERROR(INDEX(Products!$P$7:$P$13,MATCH(AD208,Products!$A$7:$A$13,0)),"")))),ISNUMBER('Operating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plan'!$Y$57),ISNUMBER('Replacement plan'!$Z$57),'Replacement plan'!$Z$57&gt;=0,ISNUMBER('Replacement plan'!$AA$57),'Replacement plan'!$AA$57&gt;=0,'Replacement plan'!$AA$57=INT('Replacement plan'!$AA$57),ISNUMBER('Replacement plan'!$L$57))),'Operating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plan'!$AG$57="",'Operating costs'!$B$7,'Replacement plan'!$AG$57)),IF('Replacement plan'!$AG$57="",'Operating costs'!$B$7,'Replacement plan'!$AG$57)&gt;=0,ISNUMBER(IF('Replacement plan'!$AH$57="",'Operating costs'!$B$7,'Replacement plan'!$AH$57)),IF('Replacement plan'!$AH$57="",'Operating costs'!$B$7,'Replacement plan'!$AH$57)&gt;=0,'Operating costs'!$B$8&gt;MAX(IF('Replacement plan'!$AG$57="",'Operating costs'!$B$7,'Replacement plan'!$AG$57),IF('Replacement plan'!$AH$57="",'Operating costs'!$B$7,'Replacement plan'!$AH$57))*'Operating costs'!$B$9),IF(AND(VLOOKUP($A208,'Fleet register'!$A$7:$S$106,10,FALSE)&gt;=0,VLOOKUP($A208,'Fleet register'!$A$7:$S$106,10,FALSE)&lt;=120,VLOOKUP($A208,'Fleet register'!$A$7:$S$106,10,FALSE)=INT(VLOOKUP($A208,'Fleet register'!$A$7:$S$106,10,FALSE)),VLOOKUP($A208,'Fleet register'!$A$7:$S$106,15,FALSE)&gt;=0,VLOOKUP($A208,'Fleet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costs'!$B$67)&gt;=0,OR(D208&lt;&gt;"EV",E208=120,AND(MIN('Operating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08" s="1" t="str">
        <f>IF(C208=0,"Excluded",IF(P208&lt;&gt;"Complete",P208,IF(OR('Replacement plan'!$AD$57&lt;120-E208,AND(D208="EV",E208&lt;120,OR('Replacement plan'!$AC$57&lt;120-E208,'Replacement plan'!$I$57="No",AND(ISNUMBER(AF208),AE208&gt;AF208),AI208&gt;V208*(1-'Operating costs'!$B$46)^MAX(0,AB208-1)*(1-'Operating costs'!$B$45),AC208&gt;'Operating costs'!$B$18,AND(T208&lt;1,OR(AG208&lt;=0,AND(ISNUMBER(AH208),AG208&gt;AH208))),'Replacement plan'!$L$57&gt;INDEX(Products!$H$7:$H$13,MATCH('Replacement plan'!$B$57,Products!$A$7:$A$13,0))))),"Fails entered limits",IF(AND(D208="EV",E208&lt;120,OR(NOT(ISNUMBER(VLOOKUP($A208,'Fleet register'!$A$7:$S$106,7,FALSE))),NOT(ISNUMBER(VLOOKUP($A208,'Fleet register'!$A$7:$S$106,8,FALSE))),NOT(ISNUMBER(AF208)),'Replacement plan'!$I$57&lt;&gt;"Yes",NOT(ISNUMBER(AH208)),'Operating costs'!$B$59&lt;&gt;"Yes",'Operating costs'!$B$58&lt;&gt;"Yes")),"Unverified","Within entered limits"))))</f>
        <v>Excluded</v>
      </c>
      <c r="R208" s="1">
        <f>IF(C208=0,0,VLOOKUP($A208,'Fleet register'!$A$7:$S$106,6,FALSE))</f>
        <v>0</v>
      </c>
      <c r="S208" s="1">
        <f>IF(C208=0,0,VLOOKUP($A208,'Fleet register'!$A$7:$S$106,5,FALSE))</f>
        <v>0</v>
      </c>
      <c r="T208" s="1">
        <f>IF(D208="EV",'Energy and charging'!$B$12,0)</f>
        <v>0</v>
      </c>
      <c r="U208" s="1">
        <f>IFERROR(IF(C208=0,0,IF(D208="EV",IF('Replacement plan'!$F$57="",INDEX(Products!$E$7:$E$13,MATCH('Replacement plan'!$B$57,Products!$A$7:$A$13,0)),'Replacement plan'!$F$57)/IF('Replacement plan'!$G$57="Battery",1-'Operating costs'!$B$44,1),0)),"n.a.")</f>
        <v>0</v>
      </c>
      <c r="V208" s="1">
        <f>IFERROR(IF(C208=0,0,IF(D208="EV",IF('Replacement plan'!$E$57="",INDEX(Products!$D$7:$D$13,MATCH('Replacement plan'!$B$57,Products!$A$7:$A$13,0)),'Replacement plan'!$E$57),0)),"n.a.")</f>
        <v>0</v>
      </c>
      <c r="W208" s="1">
        <f>IF(C208=0,0,IF(AND(P208="Complete",D208="EV",E208&lt;120),IF(T208=0,0,ROUNDUP(T208*(R208-'Operating costs'!$B$41)*(S208*U208+'Operating costs'!$B$48/(1-'Operating costs'!$B$44))/(V208*'Operating costs'!$B$47/(1-'Operating costs'!$B$44)-T208*'Operating costs'!$B$12*U208),0)),0))</f>
        <v>0</v>
      </c>
      <c r="X208" s="1">
        <f>IF(C208=0,0,IF(AND(P208="Complete",D208="EV",E208&lt;120),(R208-'Operating costs'!$B$41)*(S208*U208+'Operating costs'!$B$48/(1-'Operating costs'!$B$44))+W208*'Operating costs'!$B$12*U208,0))</f>
        <v>0</v>
      </c>
      <c r="Y208" s="1">
        <f>IF(AND(C208=1,D208="EV",E208&lt;120),AI208/(1-'Operating costs'!$B$44)*(1-T208),0)</f>
        <v>0</v>
      </c>
      <c r="Z208" s="1">
        <f t="shared" si="6"/>
        <v>0</v>
      </c>
      <c r="AA208" s="1">
        <f>IF(C208=0,0,IF(P208="Complete",((S208*(R208-'Operating costs'!$B$40))+ROUNDUP(S208*(R208-'Operating costs'!$B$40)*IF('Replacement plan'!$AH$57="",'Operating costs'!$B$7,'Replacement plan'!$AH$57)/('Operating costs'!$B$8-'Operating costs'!$B$9*IF('Replacement plan'!$AH$57="",'Operating costs'!$B$7,'Replacement plan'!$AH$57)),0)*'Operating costs'!$B$9)*IF('Replacement plan'!$AH$57="",'Operating costs'!$B$7,'Replacement plan'!$AH$57),"n.a."))</f>
        <v>0</v>
      </c>
      <c r="AB208" s="1">
        <f t="shared" si="7"/>
        <v>0</v>
      </c>
      <c r="AC208" s="1">
        <f>IF(AND(C208=1,D208="EV",E208&lt;120,T208&gt;0),'Operating costs'!$B$12/'Operating costs'!$B$11*60+'Operating costs'!$B$13+'Operating costs'!$B$14+V208*'Operating costs'!$B$47/(1-'Operating costs'!$B$44)/'Replacement plan'!$L$57*60,0)</f>
        <v>0</v>
      </c>
      <c r="AD208" s="1" t="str">
        <f>'Replacement plan'!$B$57</f>
        <v>ChengLong L2EV</v>
      </c>
      <c r="AE208" s="1">
        <f>IF(C208=0,0,VLOOKUP($A208,'Fleet register'!$A$7:$S$106,8,FALSE))</f>
        <v>0</v>
      </c>
      <c r="AF208" s="1" t="str">
        <f>IF('Replacement plan'!$H$57="","n.a.",'Replacement plan'!$H$57)</f>
        <v>n.a.</v>
      </c>
      <c r="AG208" s="1">
        <f>'Replacement plan'!$J$57</f>
        <v>22</v>
      </c>
      <c r="AH208" s="1">
        <f>IFERROR(IF(D208="EV",IF('Replacement plan'!$K$57="AC",IF(ISNUMBER(INDEX(Products!$G$7:$G$13,MATCH('Replacement plan'!$B$57,Products!$A$7:$A$13,0))),INDEX(Products!$G$7:$G$13,MATCH('Replacement plan'!$B$57,Products!$A$7:$A$13,0)),"n.a."),IF(ISNUMBER(INDEX(Products!$H$7:$H$13,MATCH('Replacement plan'!$B$57,Products!$A$7:$A$13,0))),INDEX(Products!$H$7:$H$13,MATCH('Replacement plan'!$B$57,Products!$A$7:$A$13,0)),"n.a.")),0),"n.a.")</f>
        <v>0</v>
      </c>
      <c r="AI208" s="1">
        <f>IF(AND(C208=1,D208="EV",E208&lt;120),(VLOOKUP($A208,'Fleet register'!$A$7:$S$106,7,FALSE)+IF(T208&gt;0,'Operating costs'!$B$12,0))*U208*(1-'Operating costs'!$B$44)+'Operating costs'!$B$49,0)</f>
        <v>0</v>
      </c>
      <c r="AJ208" s="1">
        <f>IF(D208="EV",'Energy and charging'!$B$50,0)</f>
        <v>0</v>
      </c>
      <c r="AK208" s="17">
        <f>EDATE('Operating costs'!$B$63,E208)</f>
        <v>46298</v>
      </c>
      <c r="AL208" s="1">
        <f>IFERROR(IF(D208="EV",INDEX(Products!$B$7:$B$13,MATCH('Replacement plan'!$B$57,Products!$A$7:$A$13,0)),0),"n.a.")</f>
        <v>0</v>
      </c>
      <c r="AM208" s="1" t="str">
        <f>'Replacement plan'!$K$57</f>
        <v>DC</v>
      </c>
      <c r="AN208" s="1" t="str">
        <f>'Replacement plan'!$AE$57</f>
        <v>Assumed</v>
      </c>
      <c r="AO208" s="47">
        <f>IF(AND(C208=1,D208="EV",E208&lt;120),(R208-'Operating costs'!$B$41)*S208+W208*'Operating costs'!$B$12,0)</f>
        <v>0</v>
      </c>
      <c r="AP208" s="41">
        <f>IF(AND(C208=1,D208="EV",E208&lt;120),IF('Operating costs'!$B$68="Hong Seh 200k average",AO208*IFERROR(INDEX(Products!$P$7:$P$13,MATCH(AD208,Products!$A$7:$A$13,0)),"n.a."),'Operating costs'!$B$26),0)</f>
        <v>0</v>
      </c>
      <c r="AQ208" s="40" t="str">
        <f>IF(D208="EV",'Operating costs'!$B$68,"Not applicable")</f>
        <v>Not applicable</v>
      </c>
    </row>
    <row r="209" spans="1:43" ht="24" customHeight="1">
      <c r="A209" s="1" t="str">
        <f>'Replacement plan'!A57</f>
        <v>T051</v>
      </c>
      <c r="B209" s="1">
        <v>2</v>
      </c>
      <c r="C209" s="1">
        <f>IF(COUNTIFS('Fleet register'!$A$7:$A$106,$A209)=1,VLOOKUP($A209,'Fleet register'!$A$7:$S$106,2,FALSE),0)</f>
        <v>0</v>
      </c>
      <c r="D209" s="1" t="str">
        <f>IF('Replacement plan'!$O$57="EV","EV","ICE")</f>
        <v>ICE</v>
      </c>
      <c r="E209" s="1">
        <f>IF(C209=0,0,IF('Replacement plan'!$P$57="",IF('Replacement plan'!$O$57="Keep ICE",IF('Replacement plan'!$M$57="",VLOOKUP($A209,'Fleet register'!$A$7:$S$106,10,FALSE),'Replacement plan'!$M$57),0),'Replacement plan'!$P$57))</f>
        <v>0</v>
      </c>
      <c r="F209" s="16">
        <f>IF(C209=0,0,VLOOKUP($A209,'Fleet register'!$A$7:$S$106,11,FALSE))</f>
        <v>0</v>
      </c>
      <c r="G209" s="16">
        <f>IFERROR(IF(C209=0,0,IF(E209=120,0,IF(D209="ICE",'Replacement plan'!$C$57,IF('Replacement plan'!$D$57="",INDEX(Products!$I$7:$I$13,MATCH('Replacement plan'!$B$57,Products!$A$7:$A$13,0))+'Operating costs'!$B$57,'Replacement plan'!$D$57))*(1+'Operating costs'!$B$50)^(E209/12))),"n.a.")</f>
        <v>0</v>
      </c>
      <c r="H209" s="16">
        <f>IFERROR(IF(C209=0,0,IF('Replacement plan'!$U$57&lt;&gt;"",'Replacement plan'!$U$57,IF(E209=0,F209,VLOOKUP($A209,'Fleet register'!$A$7:$S$106,12,FALSE)+VLOOKUP($A209,'Fleet register'!$A$7:$S$106,13,FALSE)*MAX(0,VLOOKUP($A209,'Fleet register'!$A$7:$S$106,10,FALSE)-E209)/VLOOKUP($A209,'Fleet register'!$A$7:$S$106,14,FALSE)))),"n.a.")</f>
        <v>0</v>
      </c>
      <c r="I209" s="16">
        <f>IF(C209=0,0,IF(E209=120,0,'Replacement plan'!$Q$57))</f>
        <v>0</v>
      </c>
      <c r="J209" s="16">
        <f>IF(C209=0,0,IF(P209="Complete",((S209*(R209-'Operating costs'!$B$39))+ROUNDUP(S209*(R209-'Operating costs'!$B$39)*IF('Replacement plan'!$AG$57="",'Operating costs'!$B$7,'Replacement plan'!$AG$57)/('Operating costs'!$B$8-'Operating costs'!$B$9*IF('Replacement plan'!$AG$57="",'Operating costs'!$B$7,'Replacement plan'!$AG$57)),0)*'Operating costs'!$B$9)*IF('Replacement plan'!$AG$57="",'Operating costs'!$B$7,'Replacement plan'!$AG$57)*('Energy and charging'!$B$9*'Energy and charging'!$B$7+(1-'Energy and charging'!$B$9)*'Energy and charging'!$B$8)*'Operating costs'!$B$23,"n.a."))</f>
        <v>0</v>
      </c>
      <c r="K209" s="16">
        <f>IF(C209=0,0,IF(P209="Complete",SUM('Operating costs'!$B$24,'Operating costs'!$B$27,'Operating costs'!$B$29,'Operating costs'!$B$31,'Operating costs'!$B$33,'Operating costs'!$B$34,'Operating costs'!$B$37,'Replacement plan'!$W$57)+'Operating costs'!$B$39*'Operating costs'!$B$42+ROUNDUP(S209*(R209-'Operating costs'!$B$39)*IF('Replacement plan'!$AG$57="",'Operating costs'!$B$7,'Replacement plan'!$AG$57)/('Operating costs'!$B$8-'Operating costs'!$B$9*IF('Replacement plan'!$AG$57="",'Operating costs'!$B$7,'Replacement plan'!$AG$57)),0)*('Operating costs'!$B$9/'Operating costs'!$B$11+'Operating costs'!$B$10/60)*'Operating costs'!$B$19*'Operating costs'!$B$21,"n.a."))</f>
        <v>0</v>
      </c>
      <c r="L209" s="16">
        <f>IF(C209=0,0,IF(P209="Complete",IF(D209="EV",X209*((1-T209)*'Energy and charging'!$B$10+T209*'Energy and charging'!$B$11)*'Operating costs'!$B$22,AA209*('Energy and charging'!$B$9*'Energy and charging'!$B$7+(1-'Energy and charging'!$B$9)*'Energy and charging'!$B$8)*'Operating costs'!$B$23),"n.a."))</f>
        <v>0</v>
      </c>
      <c r="M209" s="37">
        <f>IF(C209=0,0,IF(P209="Complete",IF(D209="ICE",SUM('Operating costs'!$B$25,'Operating costs'!$B$27,'Operating costs'!$B$29,'Operating costs'!$B$31,'Operating costs'!$B$33,'Operating costs'!$B$35,'Operating costs'!$B$37,'Replacement plan'!$X$57)+'Operating costs'!$B$40*'Operating costs'!$B$42+ROUNDUP(S209*(R209-'Operating costs'!$B$40)*IF('Replacement plan'!$AH$57="",'Operating costs'!$B$7,'Replacement plan'!$AH$57)/('Operating costs'!$B$8-'Operating costs'!$B$9*IF('Replacement plan'!$AH$57="",'Operating costs'!$B$7,'Replacement plan'!$AH$57)),0)*('Operating costs'!$B$9/'Operating costs'!$B$11+'Operating costs'!$B$10/60)*'Operating costs'!$B$19*'Operating costs'!$B$21,SUM(AP209,'Operating costs'!$B$28,'Operating costs'!$B$30,'Operating costs'!$B$32,'Operating costs'!$B$33,'Operating costs'!$B$36,'Operating costs'!$B$38,'Replacement plan'!$Y$57)+'Operating costs'!$B$41*'Operating costs'!$B$43+W209*'Operating costs'!$B$15+(T209*X209/'Replacement plan'!$L$57+W209*('Operating costs'!$B$12/'Operating costs'!$B$11+('Operating costs'!$B$13+'Operating costs'!$B$14)/60)+(R209-'Operating costs'!$B$41)*(IF(T209&lt;1,'Operating costs'!$B$16,0)+'Operating costs'!$B$17)/60)*'Operating costs'!$B$19*'Operating costs'!$B$20),"n.a."))</f>
        <v>0</v>
      </c>
      <c r="N209" s="16">
        <f>IF(AND(C209=1,D209="EV",E209&lt;120,E209+'Replacement plan'!$AA$57&lt;=120),'Replacement plan'!$Z$57,0)</f>
        <v>0</v>
      </c>
      <c r="O209" s="1">
        <f>E209+'Replacement plan'!$AA$57</f>
        <v>0</v>
      </c>
      <c r="P209" s="35" t="str">
        <f>IFERROR(IF(C209=0,"Excluded",IF(OR(COUNTIFS('Fleet register'!$A$7:$A$106,A209)&lt;&gt;1,COUNTIFS('Replacement plan'!$A$7:$A$106,A209)&lt;&gt;1),"Duplicate/missing ID",IF(NOT(AND(ISNUMBER(VLOOKUP($A209,'Fleet register'!$A$7:$S$106,5,FALSE)),ISNUMBER(VLOOKUP($A209,'Fleet register'!$A$7:$S$106,6,FALSE)),ISNUMBER(VLOOKUP($A209,'Fleet register'!$A$7:$S$106,10,FALSE)),ISNUMBER(VLOOKUP($A209,'Fleet register'!$A$7:$S$106,11,FALSE)),ISNUMBER(VLOOKUP($A209,'Fleet register'!$A$7:$S$106,12,FALSE)),ISNUMBER(VLOOKUP($A209,'Fleet register'!$A$7:$S$106,13,FALSE)),ISNUMBER(VLOOKUP($A209,'Fleet register'!$A$7:$S$106,14,FALSE)),VLOOKUP($A209,'Fleet register'!$A$7:$S$106,14,FALSE)&gt;0,ISNUMBER('Replacement plan'!$C$57),OR(E209=120,ISNUMBER('Replacement plan'!$Q$57)),ISNUMBER(E209))),"Missing vehicle input",IF(OR(E209&lt;0,E209&gt;VLOOKUP($A209,'Fleet register'!$A$7:$S$106,10,FALSE),E209&gt;120,E209&lt;&gt;INT(E209),VLOOKUP($A209,'Fleet register'!$A$7:$S$106,6,FALSE)&lt;=0,VLOOKUP($A209,'Fleet register'!$A$7:$S$106,6,FALSE)&gt;366,VLOOKUP($A209,'Fleet register'!$A$7:$S$106,5,FALSE)&lt;0,VLOOKUP($A209,'Fleet register'!$A$7:$S$106,11,FALSE)&lt;0,I209&lt;0,'Operating costs'!$B$8&lt;='Operating costs'!$B$7*'Operating costs'!$B$9,'Operating costs'!$B$11&lt;=0,'Operating costs'!$B$39&gt;R209,'Operating costs'!$B$40&gt;R209,'Operating costs'!$B$41&gt;R209,NOT(OR('Replacement plan'!$O$57="Keep ICE",'Replacement plan'!$O$57="New ICE",'Replacement plan'!$O$57="EV"))),"Invalid vehicle input",IF(AND(D209="EV",E209&lt;120,OR(NOT(ISNUMBER(U209)),NOT(ISNUMBER(V209)),V209&lt;=0,T209&lt;0,T209&gt;1,'Replacement plan'!$L$57&lt;=0,'Operating costs'!$B$44&lt;0,'Operating costs'!$B$44&gt;=1,'Operating costs'!$B$47&lt;=0,'Operating costs'!$B$47&gt;1,V209*'Operating costs'!$B$47/(1-'Operating costs'!$B$44)&lt;=T209*'Operating costs'!$B$12*U209,AND('Replacement plan'!$Z$57&gt;0,OR('Replacement plan'!$AB$57&lt;&gt;"Yes",'Operating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charging'!$B$8&gt;=0))),ISNUMBER(VLOOKUP($A209,'Fleet register'!$A$7:$S$106,15,FALSE)),ISNUMBER(VLOOKUP($A209,'Fleet register'!$A$7:$S$106,16,FALSE)),ISNUMBER('Replacement plan'!$W$57),ISNUMBER('Replacement plan'!$X$57),OR(E209=120,AND(ISNUMBER(G209),G209&gt;=0)),ISNUMBER(H209),H209&gt;=0,OR(D209&lt;&gt;"EV",E209=120,AND(ISNUMBER('Operating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average",ISNUMBER(IFERROR(INDEX(Products!$P$7:$P$13,MATCH(AD209,Products!$A$7:$A$13,0)),"")))),ISNUMBER('Operating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plan'!$Y$57),ISNUMBER('Replacement plan'!$Z$57),'Replacement plan'!$Z$57&gt;=0,ISNUMBER('Replacement plan'!$AA$57),'Replacement plan'!$AA$57&gt;=0,'Replacement plan'!$AA$57=INT('Replacement plan'!$AA$57),ISNUMBER('Replacement plan'!$L$57))),'Operating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plan'!$AG$57="",'Operating costs'!$B$7,'Replacement plan'!$AG$57)),IF('Replacement plan'!$AG$57="",'Operating costs'!$B$7,'Replacement plan'!$AG$57)&gt;=0,ISNUMBER(IF('Replacement plan'!$AH$57="",'Operating costs'!$B$7,'Replacement plan'!$AH$57)),IF('Replacement plan'!$AH$57="",'Operating costs'!$B$7,'Replacement plan'!$AH$57)&gt;=0,'Operating costs'!$B$8&gt;MAX(IF('Replacement plan'!$AG$57="",'Operating costs'!$B$7,'Replacement plan'!$AG$57),IF('Replacement plan'!$AH$57="",'Operating costs'!$B$7,'Replacement plan'!$AH$57))*'Operating costs'!$B$9),IF(AND(VLOOKUP($A209,'Fleet register'!$A$7:$S$106,10,FALSE)&gt;=0,VLOOKUP($A209,'Fleet register'!$A$7:$S$106,10,FALSE)&lt;=120,VLOOKUP($A209,'Fleet register'!$A$7:$S$106,10,FALSE)=INT(VLOOKUP($A209,'Fleet register'!$A$7:$S$106,10,FALSE)),VLOOKUP($A209,'Fleet register'!$A$7:$S$106,15,FALSE)&gt;=0,VLOOKUP($A209,'Fleet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costs'!$B$67)&gt;=0,OR(D209&lt;&gt;"EV",E209=120,AND(MIN('Operating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09" s="1" t="str">
        <f>IF(C209=0,"Excluded",IF(P209&lt;&gt;"Complete",P209,IF(OR('Replacement plan'!$AD$57&lt;120-E209,AND(D209="EV",E209&lt;120,OR('Replacement plan'!$AC$57&lt;120-E209,'Replacement plan'!$I$57="No",AND(ISNUMBER(AF209),AE209&gt;AF209),AI209&gt;V209*(1-'Operating costs'!$B$46)^MAX(0,AB209-1)*(1-'Operating costs'!$B$45),AC209&gt;'Operating costs'!$B$18,AND(T209&lt;1,OR(AG209&lt;=0,AND(ISNUMBER(AH209),AG209&gt;AH209))),'Replacement plan'!$L$57&gt;INDEX(Products!$H$7:$H$13,MATCH('Replacement plan'!$B$57,Products!$A$7:$A$13,0))))),"Fails entered limits",IF(AND(D209="EV",E209&lt;120,OR(NOT(ISNUMBER(VLOOKUP($A209,'Fleet register'!$A$7:$S$106,7,FALSE))),NOT(ISNUMBER(VLOOKUP($A209,'Fleet register'!$A$7:$S$106,8,FALSE))),NOT(ISNUMBER(AF209)),'Replacement plan'!$I$57&lt;&gt;"Yes",NOT(ISNUMBER(AH209)),'Operating costs'!$B$59&lt;&gt;"Yes",'Operating costs'!$B$58&lt;&gt;"Yes")),"Unverified","Within entered limits"))))</f>
        <v>Excluded</v>
      </c>
      <c r="R209" s="1">
        <f>IF(C209=0,0,VLOOKUP($A209,'Fleet register'!$A$7:$S$106,6,FALSE))</f>
        <v>0</v>
      </c>
      <c r="S209" s="1">
        <f>IF(C209=0,0,VLOOKUP($A209,'Fleet register'!$A$7:$S$106,5,FALSE))</f>
        <v>0</v>
      </c>
      <c r="T209" s="1">
        <f>IF(D209="EV",'Energy and charging'!$B$12,0)</f>
        <v>0</v>
      </c>
      <c r="U209" s="1">
        <f>IFERROR(IF(C209=0,0,IF(D209="EV",IF('Replacement plan'!$F$57="",INDEX(Products!$E$7:$E$13,MATCH('Replacement plan'!$B$57,Products!$A$7:$A$13,0)),'Replacement plan'!$F$57)/IF('Replacement plan'!$G$57="Battery",1-'Operating costs'!$B$44,1),0)),"n.a.")</f>
        <v>0</v>
      </c>
      <c r="V209" s="1">
        <f>IFERROR(IF(C209=0,0,IF(D209="EV",IF('Replacement plan'!$E$57="",INDEX(Products!$D$7:$D$13,MATCH('Replacement plan'!$B$57,Products!$A$7:$A$13,0)),'Replacement plan'!$E$57),0)),"n.a.")</f>
        <v>0</v>
      </c>
      <c r="W209" s="1">
        <f>IF(C209=0,0,IF(AND(P209="Complete",D209="EV",E209&lt;120),IF(T209=0,0,ROUNDUP(T209*(R209-'Operating costs'!$B$41)*(S209*U209+'Operating costs'!$B$48/(1-'Operating costs'!$B$44))/(V209*'Operating costs'!$B$47/(1-'Operating costs'!$B$44)-T209*'Operating costs'!$B$12*U209),0)),0))</f>
        <v>0</v>
      </c>
      <c r="X209" s="1">
        <f>IF(C209=0,0,IF(AND(P209="Complete",D209="EV",E209&lt;120),(R209-'Operating costs'!$B$41)*(S209*U209+'Operating costs'!$B$48/(1-'Operating costs'!$B$44))+W209*'Operating costs'!$B$12*U209,0))</f>
        <v>0</v>
      </c>
      <c r="Y209" s="1">
        <f>IF(AND(C209=1,D209="EV",E209&lt;120),AI209/(1-'Operating costs'!$B$44)*(1-T209),0)</f>
        <v>0</v>
      </c>
      <c r="Z209" s="1">
        <f t="shared" si="6"/>
        <v>0</v>
      </c>
      <c r="AA209" s="1">
        <f>IF(C209=0,0,IF(P209="Complete",((S209*(R209-'Operating costs'!$B$40))+ROUNDUP(S209*(R209-'Operating costs'!$B$40)*IF('Replacement plan'!$AH$57="",'Operating costs'!$B$7,'Replacement plan'!$AH$57)/('Operating costs'!$B$8-'Operating costs'!$B$9*IF('Replacement plan'!$AH$57="",'Operating costs'!$B$7,'Replacement plan'!$AH$57)),0)*'Operating costs'!$B$9)*IF('Replacement plan'!$AH$57="",'Operating costs'!$B$7,'Replacement plan'!$AH$57),"n.a."))</f>
        <v>0</v>
      </c>
      <c r="AB209" s="1">
        <f t="shared" si="7"/>
        <v>0</v>
      </c>
      <c r="AC209" s="1">
        <f>IF(AND(C209=1,D209="EV",E209&lt;120,T209&gt;0),'Operating costs'!$B$12/'Operating costs'!$B$11*60+'Operating costs'!$B$13+'Operating costs'!$B$14+V209*'Operating costs'!$B$47/(1-'Operating costs'!$B$44)/'Replacement plan'!$L$57*60,0)</f>
        <v>0</v>
      </c>
      <c r="AD209" s="1" t="str">
        <f>'Replacement plan'!$B$57</f>
        <v>ChengLong L2EV</v>
      </c>
      <c r="AE209" s="1">
        <f>IF(C209=0,0,VLOOKUP($A209,'Fleet register'!$A$7:$S$106,8,FALSE))</f>
        <v>0</v>
      </c>
      <c r="AF209" s="1" t="str">
        <f>IF('Replacement plan'!$H$57="","n.a.",'Replacement plan'!$H$57)</f>
        <v>n.a.</v>
      </c>
      <c r="AG209" s="1">
        <f>'Replacement plan'!$J$57</f>
        <v>22</v>
      </c>
      <c r="AH209" s="1">
        <f>IFERROR(IF(D209="EV",IF('Replacement plan'!$K$57="AC",IF(ISNUMBER(INDEX(Products!$G$7:$G$13,MATCH('Replacement plan'!$B$57,Products!$A$7:$A$13,0))),INDEX(Products!$G$7:$G$13,MATCH('Replacement plan'!$B$57,Products!$A$7:$A$13,0)),"n.a."),IF(ISNUMBER(INDEX(Products!$H$7:$H$13,MATCH('Replacement plan'!$B$57,Products!$A$7:$A$13,0))),INDEX(Products!$H$7:$H$13,MATCH('Replacement plan'!$B$57,Products!$A$7:$A$13,0)),"n.a.")),0),"n.a.")</f>
        <v>0</v>
      </c>
      <c r="AI209" s="1">
        <f>IF(AND(C209=1,D209="EV",E209&lt;120),(VLOOKUP($A209,'Fleet register'!$A$7:$S$106,7,FALSE)+IF(T209&gt;0,'Operating costs'!$B$12,0))*U209*(1-'Operating costs'!$B$44)+'Operating costs'!$B$49,0)</f>
        <v>0</v>
      </c>
      <c r="AJ209" s="1">
        <f>IF(D209="EV",'Energy and charging'!$B$50,0)</f>
        <v>0</v>
      </c>
      <c r="AK209" s="17">
        <f>EDATE('Operating costs'!$B$63,E209)</f>
        <v>46298</v>
      </c>
      <c r="AL209" s="1">
        <f>IFERROR(IF(D209="EV",INDEX(Products!$B$7:$B$13,MATCH('Replacement plan'!$B$57,Products!$A$7:$A$13,0)),0),"n.a.")</f>
        <v>0</v>
      </c>
      <c r="AM209" s="1" t="str">
        <f>'Replacement plan'!$K$57</f>
        <v>DC</v>
      </c>
      <c r="AN209" s="1" t="str">
        <f>'Replacement plan'!$AE$57</f>
        <v>Assumed</v>
      </c>
      <c r="AO209" s="47">
        <f>IF(AND(C209=1,D209="EV",E209&lt;120),(R209-'Operating costs'!$B$41)*S209+W209*'Operating costs'!$B$12,0)</f>
        <v>0</v>
      </c>
      <c r="AP209" s="41">
        <f>IF(AND(C209=1,D209="EV",E209&lt;120),IF('Operating costs'!$B$68="Hong Seh 200k average",AO209*IFERROR(INDEX(Products!$P$7:$P$13,MATCH(AD209,Products!$A$7:$A$13,0)),"n.a."),'Operating costs'!$B$26),0)</f>
        <v>0</v>
      </c>
      <c r="AQ209" s="40" t="str">
        <f>IF(D209="EV",'Operating costs'!$B$68,"Not applicable")</f>
        <v>Not applicable</v>
      </c>
    </row>
    <row r="210" spans="1:43" ht="24" customHeight="1">
      <c r="A210" s="1" t="str">
        <f>'Replacement plan'!A57</f>
        <v>T051</v>
      </c>
      <c r="B210" s="1">
        <v>3</v>
      </c>
      <c r="C210" s="1">
        <f>IF(COUNTIFS('Fleet register'!$A$7:$A$106,$A210)=1,VLOOKUP($A210,'Fleet register'!$A$7:$S$106,2,FALSE),0)</f>
        <v>0</v>
      </c>
      <c r="D210" s="1" t="str">
        <f>IF('Replacement plan'!$R$57="EV","EV","ICE")</f>
        <v>ICE</v>
      </c>
      <c r="E210" s="1">
        <f>IF(C210=0,0,IF('Replacement plan'!$S$57="",IF('Replacement plan'!$R$57="Keep ICE",IF('Replacement plan'!$M$57="",VLOOKUP($A210,'Fleet register'!$A$7:$S$106,10,FALSE),'Replacement plan'!$M$57),0),'Replacement plan'!$S$57))</f>
        <v>0</v>
      </c>
      <c r="F210" s="16">
        <f>IF(C210=0,0,VLOOKUP($A210,'Fleet register'!$A$7:$S$106,11,FALSE))</f>
        <v>0</v>
      </c>
      <c r="G210" s="16">
        <f>IFERROR(IF(C210=0,0,IF(E210=120,0,IF(D210="ICE",'Replacement plan'!$C$57,IF('Replacement plan'!$D$57="",INDEX(Products!$I$7:$I$13,MATCH('Replacement plan'!$B$57,Products!$A$7:$A$13,0))+'Operating costs'!$B$57,'Replacement plan'!$D$57))*(1+'Operating costs'!$B$50)^(E210/12))),"n.a.")</f>
        <v>0</v>
      </c>
      <c r="H210" s="16">
        <f>IFERROR(IF(C210=0,0,IF('Replacement plan'!$V$57&lt;&gt;"",'Replacement plan'!$V$57,IF(E210=0,F210,VLOOKUP($A210,'Fleet register'!$A$7:$S$106,12,FALSE)+VLOOKUP($A210,'Fleet register'!$A$7:$S$106,13,FALSE)*MAX(0,VLOOKUP($A210,'Fleet register'!$A$7:$S$106,10,FALSE)-E210)/VLOOKUP($A210,'Fleet register'!$A$7:$S$106,14,FALSE)))),"n.a.")</f>
        <v>0</v>
      </c>
      <c r="I210" s="16">
        <f>IF(C210=0,0,IF(E210=120,0,'Replacement plan'!$T$57))</f>
        <v>0</v>
      </c>
      <c r="J210" s="16">
        <f>IF(C210=0,0,IF(P210="Complete",((S210*(R210-'Operating costs'!$B$39))+ROUNDUP(S210*(R210-'Operating costs'!$B$39)*IF('Replacement plan'!$AG$57="",'Operating costs'!$B$7,'Replacement plan'!$AG$57)/('Operating costs'!$B$8-'Operating costs'!$B$9*IF('Replacement plan'!$AG$57="",'Operating costs'!$B$7,'Replacement plan'!$AG$57)),0)*'Operating costs'!$B$9)*IF('Replacement plan'!$AG$57="",'Operating costs'!$B$7,'Replacement plan'!$AG$57)*('Energy and charging'!$C$9*'Energy and charging'!$C$7+(1-'Energy and charging'!$C$9)*'Energy and charging'!$C$8)*'Operating costs'!$B$23,"n.a."))</f>
        <v>0</v>
      </c>
      <c r="K210" s="16">
        <f>IF(C210=0,0,IF(P210="Complete",SUM('Operating costs'!$B$24,'Operating costs'!$B$27,'Operating costs'!$B$29,'Operating costs'!$B$31,'Operating costs'!$B$33,'Operating costs'!$B$34,'Operating costs'!$B$37,'Replacement plan'!$W$57)+'Operating costs'!$B$39*'Operating costs'!$B$42+ROUNDUP(S210*(R210-'Operating costs'!$B$39)*IF('Replacement plan'!$AG$57="",'Operating costs'!$B$7,'Replacement plan'!$AG$57)/('Operating costs'!$B$8-'Operating costs'!$B$9*IF('Replacement plan'!$AG$57="",'Operating costs'!$B$7,'Replacement plan'!$AG$57)),0)*('Operating costs'!$B$9/'Operating costs'!$B$11+'Operating costs'!$B$10/60)*'Operating costs'!$B$19*'Operating costs'!$B$21,"n.a."))</f>
        <v>0</v>
      </c>
      <c r="L210" s="16">
        <f>IF(C210=0,0,IF(P210="Complete",IF(D210="EV",X210*((1-T210)*'Energy and charging'!$C$10+T210*'Energy and charging'!$C$11)*'Operating costs'!$B$22,AA210*('Energy and charging'!$C$9*'Energy and charging'!$C$7+(1-'Energy and charging'!$C$9)*'Energy and charging'!$C$8)*'Operating costs'!$B$23),"n.a."))</f>
        <v>0</v>
      </c>
      <c r="M210" s="37">
        <f>IF(C210=0,0,IF(P210="Complete",IF(D210="ICE",SUM('Operating costs'!$B$25,'Operating costs'!$B$27,'Operating costs'!$B$29,'Operating costs'!$B$31,'Operating costs'!$B$33,'Operating costs'!$B$35,'Operating costs'!$B$37,'Replacement plan'!$X$57)+'Operating costs'!$B$40*'Operating costs'!$B$42+ROUNDUP(S210*(R210-'Operating costs'!$B$40)*IF('Replacement plan'!$AH$57="",'Operating costs'!$B$7,'Replacement plan'!$AH$57)/('Operating costs'!$B$8-'Operating costs'!$B$9*IF('Replacement plan'!$AH$57="",'Operating costs'!$B$7,'Replacement plan'!$AH$57)),0)*('Operating costs'!$B$9/'Operating costs'!$B$11+'Operating costs'!$B$10/60)*'Operating costs'!$B$19*'Operating costs'!$B$21,SUM(AP210,'Operating costs'!$B$28,'Operating costs'!$B$30,'Operating costs'!$B$32,'Operating costs'!$B$33,'Operating costs'!$B$36,'Operating costs'!$B$38,'Replacement plan'!$Y$57)+'Operating costs'!$B$41*'Operating costs'!$B$43+W210*'Operating costs'!$B$15+(T210*X210/'Replacement plan'!$L$57+W210*('Operating costs'!$B$12/'Operating costs'!$B$11+('Operating costs'!$B$13+'Operating costs'!$B$14)/60)+(R210-'Operating costs'!$B$41)*(IF(T210&lt;1,'Operating costs'!$B$16,0)+'Operating costs'!$B$17)/60)*'Operating costs'!$B$19*'Operating costs'!$B$20),"n.a."))</f>
        <v>0</v>
      </c>
      <c r="N210" s="16">
        <f>IF(AND(C210=1,D210="EV",E210&lt;120,E210+'Replacement plan'!$AA$57&lt;=120),'Replacement plan'!$Z$57,0)</f>
        <v>0</v>
      </c>
      <c r="O210" s="1">
        <f>E210+'Replacement plan'!$AA$57</f>
        <v>0</v>
      </c>
      <c r="P210" s="35" t="str">
        <f>IFERROR(IF(C210=0,"Excluded",IF(OR(COUNTIFS('Fleet register'!$A$7:$A$106,A210)&lt;&gt;1,COUNTIFS('Replacement plan'!$A$7:$A$106,A210)&lt;&gt;1),"Duplicate/missing ID",IF(NOT(AND(ISNUMBER(VLOOKUP($A210,'Fleet register'!$A$7:$S$106,5,FALSE)),ISNUMBER(VLOOKUP($A210,'Fleet register'!$A$7:$S$106,6,FALSE)),ISNUMBER(VLOOKUP($A210,'Fleet register'!$A$7:$S$106,10,FALSE)),ISNUMBER(VLOOKUP($A210,'Fleet register'!$A$7:$S$106,11,FALSE)),ISNUMBER(VLOOKUP($A210,'Fleet register'!$A$7:$S$106,12,FALSE)),ISNUMBER(VLOOKUP($A210,'Fleet register'!$A$7:$S$106,13,FALSE)),ISNUMBER(VLOOKUP($A210,'Fleet register'!$A$7:$S$106,14,FALSE)),VLOOKUP($A210,'Fleet register'!$A$7:$S$106,14,FALSE)&gt;0,ISNUMBER('Replacement plan'!$C$57),OR(E210=120,ISNUMBER('Replacement plan'!$T$57)),ISNUMBER(E210))),"Missing vehicle input",IF(OR(E210&lt;0,E210&gt;VLOOKUP($A210,'Fleet register'!$A$7:$S$106,10,FALSE),E210&gt;120,E210&lt;&gt;INT(E210),VLOOKUP($A210,'Fleet register'!$A$7:$S$106,6,FALSE)&lt;=0,VLOOKUP($A210,'Fleet register'!$A$7:$S$106,6,FALSE)&gt;366,VLOOKUP($A210,'Fleet register'!$A$7:$S$106,5,FALSE)&lt;0,VLOOKUP($A210,'Fleet register'!$A$7:$S$106,11,FALSE)&lt;0,I210&lt;0,'Operating costs'!$B$8&lt;='Operating costs'!$B$7*'Operating costs'!$B$9,'Operating costs'!$B$11&lt;=0,'Operating costs'!$B$39&gt;R210,'Operating costs'!$B$40&gt;R210,'Operating costs'!$B$41&gt;R210,NOT(OR('Replacement plan'!$R$57="Keep ICE",'Replacement plan'!$R$57="New ICE",'Replacement plan'!$R$57="EV"))),"Invalid vehicle input",IF(AND(D210="EV",E210&lt;120,OR(NOT(ISNUMBER(U210)),NOT(ISNUMBER(V210)),V210&lt;=0,T210&lt;0,T210&gt;1,'Replacement plan'!$L$57&lt;=0,'Operating costs'!$B$44&lt;0,'Operating costs'!$B$44&gt;=1,'Operating costs'!$B$47&lt;=0,'Operating costs'!$B$47&gt;1,V210*'Operating costs'!$B$47/(1-'Operating costs'!$B$44)&lt;=T210*'Operating costs'!$B$12*U210,AND('Replacement plan'!$Z$57&gt;0,OR('Replacement plan'!$AB$57&lt;&gt;"Yes",'Operating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charging'!$C$8&gt;=0))),ISNUMBER(VLOOKUP($A210,'Fleet register'!$A$7:$S$106,15,FALSE)),ISNUMBER(VLOOKUP($A210,'Fleet register'!$A$7:$S$106,16,FALSE)),ISNUMBER('Replacement plan'!$W$57),ISNUMBER('Replacement plan'!$X$57),OR(E210=120,AND(ISNUMBER(G210),G210&gt;=0)),ISNUMBER(H210),H210&gt;=0,OR(D210&lt;&gt;"EV",E210=120,AND(ISNUMBER('Operating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average",ISNUMBER(IFERROR(INDEX(Products!$P$7:$P$13,MATCH(AD210,Products!$A$7:$A$13,0)),"")))),ISNUMBER('Operating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plan'!$Y$57),ISNUMBER('Replacement plan'!$Z$57),'Replacement plan'!$Z$57&gt;=0,ISNUMBER('Replacement plan'!$AA$57),'Replacement plan'!$AA$57&gt;=0,'Replacement plan'!$AA$57=INT('Replacement plan'!$AA$57),ISNUMBER('Replacement plan'!$L$57))),'Operating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plan'!$AG$57="",'Operating costs'!$B$7,'Replacement plan'!$AG$57)),IF('Replacement plan'!$AG$57="",'Operating costs'!$B$7,'Replacement plan'!$AG$57)&gt;=0,ISNUMBER(IF('Replacement plan'!$AH$57="",'Operating costs'!$B$7,'Replacement plan'!$AH$57)),IF('Replacement plan'!$AH$57="",'Operating costs'!$B$7,'Replacement plan'!$AH$57)&gt;=0,'Operating costs'!$B$8&gt;MAX(IF('Replacement plan'!$AG$57="",'Operating costs'!$B$7,'Replacement plan'!$AG$57),IF('Replacement plan'!$AH$57="",'Operating costs'!$B$7,'Replacement plan'!$AH$57))*'Operating costs'!$B$9),IF(AND(VLOOKUP($A210,'Fleet register'!$A$7:$S$106,10,FALSE)&gt;=0,VLOOKUP($A210,'Fleet register'!$A$7:$S$106,10,FALSE)&lt;=120,VLOOKUP($A210,'Fleet register'!$A$7:$S$106,10,FALSE)=INT(VLOOKUP($A210,'Fleet register'!$A$7:$S$106,10,FALSE)),VLOOKUP($A210,'Fleet register'!$A$7:$S$106,15,FALSE)&gt;=0,VLOOKUP($A210,'Fleet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costs'!$B$67)&gt;=0,OR(D210&lt;&gt;"EV",E210=120,AND(MIN('Operating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10" s="1" t="str">
        <f>IF(C210=0,"Excluded",IF(P210&lt;&gt;"Complete",P210,IF(OR('Replacement plan'!$AD$57&lt;120-E210,AND(D210="EV",E210&lt;120,OR('Replacement plan'!$AC$57&lt;120-E210,'Replacement plan'!$I$57="No",AND(ISNUMBER(AF210),AE210&gt;AF210),AI210&gt;V210*(1-'Operating costs'!$B$46)^MAX(0,AB210-1)*(1-'Operating costs'!$B$45),AC210&gt;'Operating costs'!$B$18,AND(T210&lt;1,OR(AG210&lt;=0,AND(ISNUMBER(AH210),AG210&gt;AH210))),'Replacement plan'!$L$57&gt;INDEX(Products!$H$7:$H$13,MATCH('Replacement plan'!$B$57,Products!$A$7:$A$13,0))))),"Fails entered limits",IF(AND(D210="EV",E210&lt;120,OR(NOT(ISNUMBER(VLOOKUP($A210,'Fleet register'!$A$7:$S$106,7,FALSE))),NOT(ISNUMBER(VLOOKUP($A210,'Fleet register'!$A$7:$S$106,8,FALSE))),NOT(ISNUMBER(AF210)),'Replacement plan'!$I$57&lt;&gt;"Yes",NOT(ISNUMBER(AH210)),'Operating costs'!$B$59&lt;&gt;"Yes",'Operating costs'!$B$58&lt;&gt;"Yes")),"Unverified","Within entered limits"))))</f>
        <v>Excluded</v>
      </c>
      <c r="R210" s="1">
        <f>IF(C210=0,0,VLOOKUP($A210,'Fleet register'!$A$7:$S$106,6,FALSE))</f>
        <v>0</v>
      </c>
      <c r="S210" s="1">
        <f>IF(C210=0,0,VLOOKUP($A210,'Fleet register'!$A$7:$S$106,5,FALSE))</f>
        <v>0</v>
      </c>
      <c r="T210" s="1">
        <f>IF(D210="EV",'Energy and charging'!$C$12,0)</f>
        <v>0</v>
      </c>
      <c r="U210" s="1">
        <f>IFERROR(IF(C210=0,0,IF(D210="EV",IF('Replacement plan'!$F$57="",INDEX(Products!$E$7:$E$13,MATCH('Replacement plan'!$B$57,Products!$A$7:$A$13,0)),'Replacement plan'!$F$57)/IF('Replacement plan'!$G$57="Battery",1-'Operating costs'!$B$44,1),0)),"n.a.")</f>
        <v>0</v>
      </c>
      <c r="V210" s="1">
        <f>IFERROR(IF(C210=0,0,IF(D210="EV",IF('Replacement plan'!$E$57="",INDEX(Products!$D$7:$D$13,MATCH('Replacement plan'!$B$57,Products!$A$7:$A$13,0)),'Replacement plan'!$E$57),0)),"n.a.")</f>
        <v>0</v>
      </c>
      <c r="W210" s="1">
        <f>IF(C210=0,0,IF(AND(P210="Complete",D210="EV",E210&lt;120),IF(T210=0,0,ROUNDUP(T210*(R210-'Operating costs'!$B$41)*(S210*U210+'Operating costs'!$B$48/(1-'Operating costs'!$B$44))/(V210*'Operating costs'!$B$47/(1-'Operating costs'!$B$44)-T210*'Operating costs'!$B$12*U210),0)),0))</f>
        <v>0</v>
      </c>
      <c r="X210" s="1">
        <f>IF(C210=0,0,IF(AND(P210="Complete",D210="EV",E210&lt;120),(R210-'Operating costs'!$B$41)*(S210*U210+'Operating costs'!$B$48/(1-'Operating costs'!$B$44))+W210*'Operating costs'!$B$12*U210,0))</f>
        <v>0</v>
      </c>
      <c r="Y210" s="1">
        <f>IF(AND(C210=1,D210="EV",E210&lt;120),AI210/(1-'Operating costs'!$B$44)*(1-T210),0)</f>
        <v>0</v>
      </c>
      <c r="Z210" s="1">
        <f t="shared" si="6"/>
        <v>0</v>
      </c>
      <c r="AA210" s="1">
        <f>IF(C210=0,0,IF(P210="Complete",((S210*(R210-'Operating costs'!$B$40))+ROUNDUP(S210*(R210-'Operating costs'!$B$40)*IF('Replacement plan'!$AH$57="",'Operating costs'!$B$7,'Replacement plan'!$AH$57)/('Operating costs'!$B$8-'Operating costs'!$B$9*IF('Replacement plan'!$AH$57="",'Operating costs'!$B$7,'Replacement plan'!$AH$57)),0)*'Operating costs'!$B$9)*IF('Replacement plan'!$AH$57="",'Operating costs'!$B$7,'Replacement plan'!$AH$57),"n.a."))</f>
        <v>0</v>
      </c>
      <c r="AB210" s="1">
        <f t="shared" si="7"/>
        <v>0</v>
      </c>
      <c r="AC210" s="1">
        <f>IF(AND(C210=1,D210="EV",E210&lt;120,T210&gt;0),'Operating costs'!$B$12/'Operating costs'!$B$11*60+'Operating costs'!$B$13+'Operating costs'!$B$14+V210*'Operating costs'!$B$47/(1-'Operating costs'!$B$44)/'Replacement plan'!$L$57*60,0)</f>
        <v>0</v>
      </c>
      <c r="AD210" s="1" t="str">
        <f>'Replacement plan'!$B$57</f>
        <v>ChengLong L2EV</v>
      </c>
      <c r="AE210" s="1">
        <f>IF(C210=0,0,VLOOKUP($A210,'Fleet register'!$A$7:$S$106,8,FALSE))</f>
        <v>0</v>
      </c>
      <c r="AF210" s="1" t="str">
        <f>IF('Replacement plan'!$H$57="","n.a.",'Replacement plan'!$H$57)</f>
        <v>n.a.</v>
      </c>
      <c r="AG210" s="1">
        <f>'Replacement plan'!$J$57</f>
        <v>22</v>
      </c>
      <c r="AH210" s="1">
        <f>IFERROR(IF(D210="EV",IF('Replacement plan'!$K$57="AC",IF(ISNUMBER(INDEX(Products!$G$7:$G$13,MATCH('Replacement plan'!$B$57,Products!$A$7:$A$13,0))),INDEX(Products!$G$7:$G$13,MATCH('Replacement plan'!$B$57,Products!$A$7:$A$13,0)),"n.a."),IF(ISNUMBER(INDEX(Products!$H$7:$H$13,MATCH('Replacement plan'!$B$57,Products!$A$7:$A$13,0))),INDEX(Products!$H$7:$H$13,MATCH('Replacement plan'!$B$57,Products!$A$7:$A$13,0)),"n.a.")),0),"n.a.")</f>
        <v>0</v>
      </c>
      <c r="AI210" s="1">
        <f>IF(AND(C210=1,D210="EV",E210&lt;120),(VLOOKUP($A210,'Fleet register'!$A$7:$S$106,7,FALSE)+IF(T210&gt;0,'Operating costs'!$B$12,0))*U210*(1-'Operating costs'!$B$44)+'Operating costs'!$B$49,0)</f>
        <v>0</v>
      </c>
      <c r="AJ210" s="1">
        <f>IF(D210="EV",'Energy and charging'!$C$50,0)</f>
        <v>0</v>
      </c>
      <c r="AK210" s="17">
        <f>EDATE('Operating costs'!$B$63,E210)</f>
        <v>46298</v>
      </c>
      <c r="AL210" s="1">
        <f>IFERROR(IF(D210="EV",INDEX(Products!$B$7:$B$13,MATCH('Replacement plan'!$B$57,Products!$A$7:$A$13,0)),0),"n.a.")</f>
        <v>0</v>
      </c>
      <c r="AM210" s="1" t="str">
        <f>'Replacement plan'!$K$57</f>
        <v>DC</v>
      </c>
      <c r="AN210" s="1" t="str">
        <f>'Replacement plan'!$AE$57</f>
        <v>Assumed</v>
      </c>
      <c r="AO210" s="47">
        <f>IF(AND(C210=1,D210="EV",E210&lt;120),(R210-'Operating costs'!$B$41)*S210+W210*'Operating costs'!$B$12,0)</f>
        <v>0</v>
      </c>
      <c r="AP210" s="41">
        <f>IF(AND(C210=1,D210="EV",E210&lt;120),IF('Operating costs'!$B$68="Hong Seh 200k average",AO210*IFERROR(INDEX(Products!$P$7:$P$13,MATCH(AD210,Products!$A$7:$A$13,0)),"n.a."),'Operating costs'!$B$26),0)</f>
        <v>0</v>
      </c>
      <c r="AQ210" s="40" t="str">
        <f>IF(D210="EV",'Operating costs'!$B$68,"Not applicable")</f>
        <v>Not applicable</v>
      </c>
    </row>
    <row r="211" spans="1:43" ht="24" customHeight="1">
      <c r="A211" s="1" t="str">
        <f>'Replacement plan'!A58</f>
        <v>T052</v>
      </c>
      <c r="B211" s="1">
        <v>0</v>
      </c>
      <c r="C211" s="1">
        <f>IF(COUNTIFS('Fleet register'!$A$7:$A$106,$A211)=1,VLOOKUP($A211,'Fleet register'!$A$7:$S$106,2,FALSE),0)</f>
        <v>0</v>
      </c>
      <c r="D211" s="1" t="str">
        <f>IF("Keep ICE"="EV","EV","ICE")</f>
        <v>ICE</v>
      </c>
      <c r="E211" s="1">
        <f>IF(C211=0,0,IF('Replacement plan'!$M$58="",VLOOKUP($A211,'Fleet register'!$A$7:$S$106,10,FALSE),'Replacement plan'!$M$58))</f>
        <v>0</v>
      </c>
      <c r="F211" s="16">
        <f>IF(C211=0,0,VLOOKUP($A211,'Fleet register'!$A$7:$S$106,11,FALSE))</f>
        <v>0</v>
      </c>
      <c r="G211" s="16">
        <f>IFERROR(IF(C211=0,0,IF(E211=120,0,IF(D211="ICE",'Replacement plan'!$C$58,IF('Replacement plan'!$D$58="",INDEX(Products!$I$7:$I$13,MATCH('Replacement plan'!$B$58,Products!$A$7:$A$13,0))+'Operating costs'!$B$57,'Replacement plan'!$D$58))*(1+'Operating costs'!$B$50)^(E211/12))),"n.a.")</f>
        <v>0</v>
      </c>
      <c r="H211" s="16">
        <f>IFERROR(IF(C211=0,0,IF(E211=0,F211,VLOOKUP($A211,'Fleet register'!$A$7:$S$106,12,FALSE)+VLOOKUP($A211,'Fleet register'!$A$7:$S$106,13,FALSE)*MAX(0,VLOOKUP($A211,'Fleet register'!$A$7:$S$106,10,FALSE)-E211)/VLOOKUP($A211,'Fleet register'!$A$7:$S$106,14,FALSE))),"n.a.")</f>
        <v>0</v>
      </c>
      <c r="I211" s="16">
        <f>IF(C211=0,0,IF(E211=120,0,'Replacement plan'!$N$58))</f>
        <v>0</v>
      </c>
      <c r="J211" s="16">
        <f>IF(C211=0,0,IF(P211="Complete",((S211*(R211-'Operating costs'!$B$39))+ROUNDUP(S211*(R211-'Operating costs'!$B$39)*IF('Replacement plan'!$AG$58="",'Operating costs'!$B$7,'Replacement plan'!$AG$58)/('Operating costs'!$B$8-'Operating costs'!$B$9*IF('Replacement plan'!$AG$58="",'Operating costs'!$B$7,'Replacement plan'!$AG$58)),0)*'Operating costs'!$B$9)*IF('Replacement plan'!$AG$58="",'Operating costs'!$B$7,'Replacement plan'!$AG$58)*('Energy and charging'!$B$9*'Energy and charging'!$B$7+(1-'Energy and charging'!$B$9)*'Energy and charging'!$B$8)*'Operating costs'!$B$23,"n.a."))</f>
        <v>0</v>
      </c>
      <c r="K211" s="16">
        <f>IF(C211=0,0,IF(P211="Complete",SUM('Operating costs'!$B$24,'Operating costs'!$B$27,'Operating costs'!$B$29,'Operating costs'!$B$31,'Operating costs'!$B$33,'Operating costs'!$B$34,'Operating costs'!$B$37,'Replacement plan'!$W$58)+'Operating costs'!$B$39*'Operating costs'!$B$42+ROUNDUP(S211*(R211-'Operating costs'!$B$39)*IF('Replacement plan'!$AG$58="",'Operating costs'!$B$7,'Replacement plan'!$AG$58)/('Operating costs'!$B$8-'Operating costs'!$B$9*IF('Replacement plan'!$AG$58="",'Operating costs'!$B$7,'Replacement plan'!$AG$58)),0)*('Operating costs'!$B$9/'Operating costs'!$B$11+'Operating costs'!$B$10/60)*'Operating costs'!$B$19*'Operating costs'!$B$21,"n.a."))</f>
        <v>0</v>
      </c>
      <c r="L211" s="16">
        <f>IF(C211=0,0,IF(P211="Complete",IF(D211="EV",X211*((1-T211)*'Energy and charging'!$B$10+T211*'Energy and charging'!$B$11)*'Operating costs'!$B$22,AA211*('Energy and charging'!$B$9*'Energy and charging'!$B$7+(1-'Energy and charging'!$B$9)*'Energy and charging'!$B$8)*'Operating costs'!$B$23),"n.a."))</f>
        <v>0</v>
      </c>
      <c r="M211" s="37">
        <f>IF(C211=0,0,IF(P211="Complete",IF(D211="ICE",SUM('Operating costs'!$B$25,'Operating costs'!$B$27,'Operating costs'!$B$29,'Operating costs'!$B$31,'Operating costs'!$B$33,'Operating costs'!$B$35,'Operating costs'!$B$37,'Replacement plan'!$X$58)+'Operating costs'!$B$40*'Operating costs'!$B$42+ROUNDUP(S211*(R211-'Operating costs'!$B$40)*IF('Replacement plan'!$AH$58="",'Operating costs'!$B$7,'Replacement plan'!$AH$58)/('Operating costs'!$B$8-'Operating costs'!$B$9*IF('Replacement plan'!$AH$58="",'Operating costs'!$B$7,'Replacement plan'!$AH$58)),0)*('Operating costs'!$B$9/'Operating costs'!$B$11+'Operating costs'!$B$10/60)*'Operating costs'!$B$19*'Operating costs'!$B$21,SUM(AP211,'Operating costs'!$B$28,'Operating costs'!$B$30,'Operating costs'!$B$32,'Operating costs'!$B$33,'Operating costs'!$B$36,'Operating costs'!$B$38,'Replacement plan'!$Y$58)+'Operating costs'!$B$41*'Operating costs'!$B$43+W211*'Operating costs'!$B$15+(T211*X211/'Replacement plan'!$L$58+W211*('Operating costs'!$B$12/'Operating costs'!$B$11+('Operating costs'!$B$13+'Operating costs'!$B$14)/60)+(R211-'Operating costs'!$B$41)*(IF(T211&lt;1,'Operating costs'!$B$16,0)+'Operating costs'!$B$17)/60)*'Operating costs'!$B$19*'Operating costs'!$B$20),"n.a."))</f>
        <v>0</v>
      </c>
      <c r="N211" s="16">
        <f>IF(AND(C211=1,D211="EV",E211&lt;120,E211+'Replacement plan'!$AA$58&lt;=120),'Replacement plan'!$Z$58,0)</f>
        <v>0</v>
      </c>
      <c r="O211" s="1">
        <f>E211+'Replacement plan'!$AA$58</f>
        <v>0</v>
      </c>
      <c r="P211" s="35" t="str">
        <f>IFERROR(IF(C211=0,"Excluded",IF(OR(COUNTIFS('Fleet register'!$A$7:$A$106,A211)&lt;&gt;1,COUNTIFS('Replacement plan'!$A$7:$A$106,A211)&lt;&gt;1),"Duplicate/missing ID",IF(NOT(AND(ISNUMBER(VLOOKUP($A211,'Fleet register'!$A$7:$S$106,5,FALSE)),ISNUMBER(VLOOKUP($A211,'Fleet register'!$A$7:$S$106,6,FALSE)),ISNUMBER(VLOOKUP($A211,'Fleet register'!$A$7:$S$106,10,FALSE)),ISNUMBER(VLOOKUP($A211,'Fleet register'!$A$7:$S$106,11,FALSE)),ISNUMBER(VLOOKUP($A211,'Fleet register'!$A$7:$S$106,12,FALSE)),ISNUMBER(VLOOKUP($A211,'Fleet register'!$A$7:$S$106,13,FALSE)),ISNUMBER(VLOOKUP($A211,'Fleet register'!$A$7:$S$106,14,FALSE)),VLOOKUP($A211,'Fleet register'!$A$7:$S$106,14,FALSE)&gt;0,ISNUMBER('Replacement plan'!$C$58),OR(E211=120,ISNUMBER('Replacement plan'!$N$58)),ISNUMBER(E211))),"Missing vehicle input",IF(OR(E211&lt;0,E211&gt;VLOOKUP($A211,'Fleet register'!$A$7:$S$106,10,FALSE),E211&gt;120,E211&lt;&gt;INT(E211),VLOOKUP($A211,'Fleet register'!$A$7:$S$106,6,FALSE)&lt;=0,VLOOKUP($A211,'Fleet register'!$A$7:$S$106,6,FALSE)&gt;366,VLOOKUP($A211,'Fleet register'!$A$7:$S$106,5,FALSE)&lt;0,VLOOKUP($A211,'Fleet register'!$A$7:$S$106,11,FALSE)&lt;0,I211&lt;0,'Operating costs'!$B$8&lt;='Operating costs'!$B$7*'Operating costs'!$B$9,'Operating costs'!$B$11&lt;=0,'Operating costs'!$B$39&gt;R211,'Operating costs'!$B$40&gt;R211,'Operating costs'!$B$41&gt;R211,NOT(OR("Keep ICE"="Keep ICE","Keep ICE"="New ICE","Keep ICE"="EV"))),"Invalid vehicle input",IF(AND(D211="EV",E211&lt;120,OR(NOT(ISNUMBER(U211)),NOT(ISNUMBER(V211)),V211&lt;=0,T211&lt;0,T211&gt;1,'Replacement plan'!$L$58&lt;=0,'Operating costs'!$B$44&lt;0,'Operating costs'!$B$44&gt;=1,'Operating costs'!$B$47&lt;=0,'Operating costs'!$B$47&gt;1,V211*'Operating costs'!$B$47/(1-'Operating costs'!$B$44)&lt;=T211*'Operating costs'!$B$12*U211,AND('Replacement plan'!$Z$58&gt;0,OR('Replacement plan'!$AB$58&lt;&gt;"Yes",'Operating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charging'!$B$8&gt;=0))),ISNUMBER(VLOOKUP($A211,'Fleet register'!$A$7:$S$106,15,FALSE)),ISNUMBER(VLOOKUP($A211,'Fleet register'!$A$7:$S$106,16,FALSE)),ISNUMBER('Replacement plan'!$W$58),ISNUMBER('Replacement plan'!$X$58),OR(E211=120,AND(ISNUMBER(G211),G211&gt;=0)),ISNUMBER(H211),H211&gt;=0,OR(D211&lt;&gt;"EV",E211=120,AND(ISNUMBER('Operating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average",ISNUMBER(IFERROR(INDEX(Products!$P$7:$P$13,MATCH(AD211,Products!$A$7:$A$13,0)),"")))),ISNUMBER('Operating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plan'!$Y$58),ISNUMBER('Replacement plan'!$Z$58),'Replacement plan'!$Z$58&gt;=0,ISNUMBER('Replacement plan'!$AA$58),'Replacement plan'!$AA$58&gt;=0,'Replacement plan'!$AA$58=INT('Replacement plan'!$AA$58),ISNUMBER('Replacement plan'!$L$58))),'Operating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plan'!$AG$58="",'Operating costs'!$B$7,'Replacement plan'!$AG$58)),IF('Replacement plan'!$AG$58="",'Operating costs'!$B$7,'Replacement plan'!$AG$58)&gt;=0,ISNUMBER(IF('Replacement plan'!$AH$58="",'Operating costs'!$B$7,'Replacement plan'!$AH$58)),IF('Replacement plan'!$AH$58="",'Operating costs'!$B$7,'Replacement plan'!$AH$58)&gt;=0,'Operating costs'!$B$8&gt;MAX(IF('Replacement plan'!$AG$58="",'Operating costs'!$B$7,'Replacement plan'!$AG$58),IF('Replacement plan'!$AH$58="",'Operating costs'!$B$7,'Replacement plan'!$AH$58))*'Operating costs'!$B$9),IF(AND(VLOOKUP($A211,'Fleet register'!$A$7:$S$106,10,FALSE)&gt;=0,VLOOKUP($A211,'Fleet register'!$A$7:$S$106,10,FALSE)&lt;=120,VLOOKUP($A211,'Fleet register'!$A$7:$S$106,10,FALSE)=INT(VLOOKUP($A211,'Fleet register'!$A$7:$S$106,10,FALSE)),VLOOKUP($A211,'Fleet register'!$A$7:$S$106,15,FALSE)&gt;=0,VLOOKUP($A211,'Fleet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costs'!$B$67)&gt;=0,OR(D211&lt;&gt;"EV",E211=120,AND(MIN('Operating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11" s="1" t="str">
        <f>IF(C211=0,"Excluded",IF(P211&lt;&gt;"Complete",P211,IF(OR('Replacement plan'!$AD$58&lt;120-E211,AND(D211="EV",E211&lt;120,OR('Replacement plan'!$AC$58&lt;120-E211,'Replacement plan'!$I$58="No",AND(ISNUMBER(AF211),AE211&gt;AF211),AI211&gt;V211*(1-'Operating costs'!$B$46)^MAX(0,AB211-1)*(1-'Operating costs'!$B$45),AC211&gt;'Operating costs'!$B$18,AND(T211&lt;1,OR(AG211&lt;=0,AND(ISNUMBER(AH211),AG211&gt;AH211))),'Replacement plan'!$L$58&gt;INDEX(Products!$H$7:$H$13,MATCH('Replacement plan'!$B$58,Products!$A$7:$A$13,0))))),"Fails entered limits",IF(AND(D211="EV",E211&lt;120,OR(NOT(ISNUMBER(VLOOKUP($A211,'Fleet register'!$A$7:$S$106,7,FALSE))),NOT(ISNUMBER(VLOOKUP($A211,'Fleet register'!$A$7:$S$106,8,FALSE))),NOT(ISNUMBER(AF211)),'Replacement plan'!$I$58&lt;&gt;"Yes",NOT(ISNUMBER(AH211)),'Operating costs'!$B$59&lt;&gt;"Yes",'Operating costs'!$B$58&lt;&gt;"Yes")),"Unverified","Within entered limits"))))</f>
        <v>Excluded</v>
      </c>
      <c r="R211" s="1">
        <f>IF(C211=0,0,VLOOKUP($A211,'Fleet register'!$A$7:$S$106,6,FALSE))</f>
        <v>0</v>
      </c>
      <c r="S211" s="1">
        <f>IF(C211=0,0,VLOOKUP($A211,'Fleet register'!$A$7:$S$106,5,FALSE))</f>
        <v>0</v>
      </c>
      <c r="T211" s="1">
        <f>IF(D211="EV",'Energy and charging'!$B$12,0)</f>
        <v>0</v>
      </c>
      <c r="U211" s="1">
        <f>IFERROR(IF(C211=0,0,IF(D211="EV",IF('Replacement plan'!$F$58="",INDEX(Products!$E$7:$E$13,MATCH('Replacement plan'!$B$58,Products!$A$7:$A$13,0)),'Replacement plan'!$F$58)/IF('Replacement plan'!$G$58="Battery",1-'Operating costs'!$B$44,1),0)),"n.a.")</f>
        <v>0</v>
      </c>
      <c r="V211" s="1">
        <f>IFERROR(IF(C211=0,0,IF(D211="EV",IF('Replacement plan'!$E$58="",INDEX(Products!$D$7:$D$13,MATCH('Replacement plan'!$B$58,Products!$A$7:$A$13,0)),'Replacement plan'!$E$58),0)),"n.a.")</f>
        <v>0</v>
      </c>
      <c r="W211" s="1">
        <f>IF(C211=0,0,IF(AND(P211="Complete",D211="EV",E211&lt;120),IF(T211=0,0,ROUNDUP(T211*(R211-'Operating costs'!$B$41)*(S211*U211+'Operating costs'!$B$48/(1-'Operating costs'!$B$44))/(V211*'Operating costs'!$B$47/(1-'Operating costs'!$B$44)-T211*'Operating costs'!$B$12*U211),0)),0))</f>
        <v>0</v>
      </c>
      <c r="X211" s="1">
        <f>IF(C211=0,0,IF(AND(P211="Complete",D211="EV",E211&lt;120),(R211-'Operating costs'!$B$41)*(S211*U211+'Operating costs'!$B$48/(1-'Operating costs'!$B$44))+W211*'Operating costs'!$B$12*U211,0))</f>
        <v>0</v>
      </c>
      <c r="Y211" s="1">
        <f>IF(AND(C211=1,D211="EV",E211&lt;120),AI211/(1-'Operating costs'!$B$44)*(1-T211),0)</f>
        <v>0</v>
      </c>
      <c r="Z211" s="1">
        <f t="shared" si="6"/>
        <v>0</v>
      </c>
      <c r="AA211" s="1">
        <f>IF(C211=0,0,IF(P211="Complete",((S211*(R211-'Operating costs'!$B$40))+ROUNDUP(S211*(R211-'Operating costs'!$B$40)*IF('Replacement plan'!$AH$58="",'Operating costs'!$B$7,'Replacement plan'!$AH$58)/('Operating costs'!$B$8-'Operating costs'!$B$9*IF('Replacement plan'!$AH$58="",'Operating costs'!$B$7,'Replacement plan'!$AH$58)),0)*'Operating costs'!$B$9)*IF('Replacement plan'!$AH$58="",'Operating costs'!$B$7,'Replacement plan'!$AH$58),"n.a."))</f>
        <v>0</v>
      </c>
      <c r="AB211" s="1">
        <f t="shared" si="7"/>
        <v>0</v>
      </c>
      <c r="AC211" s="1">
        <f>IF(AND(C211=1,D211="EV",E211&lt;120,T211&gt;0),'Operating costs'!$B$12/'Operating costs'!$B$11*60+'Operating costs'!$B$13+'Operating costs'!$B$14+V211*'Operating costs'!$B$47/(1-'Operating costs'!$B$44)/'Replacement plan'!$L$58*60,0)</f>
        <v>0</v>
      </c>
      <c r="AD211" s="1" t="str">
        <f>'Replacement plan'!$B$58</f>
        <v>ChengLong L2EV</v>
      </c>
      <c r="AE211" s="1">
        <f>IF(C211=0,0,VLOOKUP($A211,'Fleet register'!$A$7:$S$106,8,FALSE))</f>
        <v>0</v>
      </c>
      <c r="AF211" s="1" t="str">
        <f>IF('Replacement plan'!$H$58="","n.a.",'Replacement plan'!$H$58)</f>
        <v>n.a.</v>
      </c>
      <c r="AG211" s="1">
        <f>'Replacement plan'!$J$58</f>
        <v>22</v>
      </c>
      <c r="AH211" s="1">
        <f>IFERROR(IF(D211="EV",IF('Replacement plan'!$K$58="AC",IF(ISNUMBER(INDEX(Products!$G$7:$G$13,MATCH('Replacement plan'!$B$58,Products!$A$7:$A$13,0))),INDEX(Products!$G$7:$G$13,MATCH('Replacement plan'!$B$58,Products!$A$7:$A$13,0)),"n.a."),IF(ISNUMBER(INDEX(Products!$H$7:$H$13,MATCH('Replacement plan'!$B$58,Products!$A$7:$A$13,0))),INDEX(Products!$H$7:$H$13,MATCH('Replacement plan'!$B$58,Products!$A$7:$A$13,0)),"n.a.")),0),"n.a.")</f>
        <v>0</v>
      </c>
      <c r="AI211" s="1">
        <f>IF(AND(C211=1,D211="EV",E211&lt;120),(VLOOKUP($A211,'Fleet register'!$A$7:$S$106,7,FALSE)+IF(T211&gt;0,'Operating costs'!$B$12,0))*U211*(1-'Operating costs'!$B$44)+'Operating costs'!$B$49,0)</f>
        <v>0</v>
      </c>
      <c r="AJ211" s="1">
        <f>IF(D211="EV",'Energy and charging'!$B$50,0)</f>
        <v>0</v>
      </c>
      <c r="AK211" s="17">
        <f>EDATE('Operating costs'!$B$63,E211)</f>
        <v>46298</v>
      </c>
      <c r="AL211" s="1">
        <f>IFERROR(IF(D211="EV",INDEX(Products!$B$7:$B$13,MATCH('Replacement plan'!$B$58,Products!$A$7:$A$13,0)),0),"n.a.")</f>
        <v>0</v>
      </c>
      <c r="AM211" s="1" t="str">
        <f>'Replacement plan'!$K$58</f>
        <v>DC</v>
      </c>
      <c r="AN211" s="1" t="str">
        <f>'Replacement plan'!$AE$58</f>
        <v>Assumed</v>
      </c>
      <c r="AO211" s="47">
        <f>IF(AND(C211=1,D211="EV",E211&lt;120),(R211-'Operating costs'!$B$41)*S211+W211*'Operating costs'!$B$12,0)</f>
        <v>0</v>
      </c>
      <c r="AP211" s="41">
        <f>IF(AND(C211=1,D211="EV",E211&lt;120),IF('Operating costs'!$B$68="Hong Seh 200k average",AO211*IFERROR(INDEX(Products!$P$7:$P$13,MATCH(AD211,Products!$A$7:$A$13,0)),"n.a."),'Operating costs'!$B$26),0)</f>
        <v>0</v>
      </c>
      <c r="AQ211" s="40" t="str">
        <f>IF(D211="EV",'Operating costs'!$B$68,"Not applicable")</f>
        <v>Not applicable</v>
      </c>
    </row>
    <row r="212" spans="1:43" ht="24" customHeight="1">
      <c r="A212" s="1" t="str">
        <f>'Replacement plan'!A58</f>
        <v>T052</v>
      </c>
      <c r="B212" s="1">
        <v>1</v>
      </c>
      <c r="C212" s="1">
        <f>IF(COUNTIFS('Fleet register'!$A$7:$A$106,$A212)=1,VLOOKUP($A212,'Fleet register'!$A$7:$S$106,2,FALSE),0)</f>
        <v>0</v>
      </c>
      <c r="D212" s="1" t="str">
        <f>IF("New ICE"="EV","EV","ICE")</f>
        <v>ICE</v>
      </c>
      <c r="E212" s="1">
        <f>IF(C212=0,0,0)</f>
        <v>0</v>
      </c>
      <c r="F212" s="16">
        <f>IF(C212=0,0,VLOOKUP($A212,'Fleet register'!$A$7:$S$106,11,FALSE))</f>
        <v>0</v>
      </c>
      <c r="G212" s="16">
        <f>IFERROR(IF(C212=0,0,IF(E212=120,0,IF(D212="ICE",'Replacement plan'!$C$58,IF('Replacement plan'!$D$58="",INDEX(Products!$I$7:$I$13,MATCH('Replacement plan'!$B$58,Products!$A$7:$A$13,0))+'Operating costs'!$B$57,'Replacement plan'!$D$58))*(1+'Operating costs'!$B$50)^(E212/12))),"n.a.")</f>
        <v>0</v>
      </c>
      <c r="H212" s="16">
        <f>IFERROR(IF(C212=0,0,IF(E212=0,F212,VLOOKUP($A212,'Fleet register'!$A$7:$S$106,12,FALSE)+VLOOKUP($A212,'Fleet register'!$A$7:$S$106,13,FALSE)*MAX(0,VLOOKUP($A212,'Fleet register'!$A$7:$S$106,10,FALSE)-E212)/VLOOKUP($A212,'Fleet register'!$A$7:$S$106,14,FALSE))),"n.a.")</f>
        <v>0</v>
      </c>
      <c r="I212" s="16">
        <f>IF(C212=0,0,IF(E212=120,0,IF('Replacement plan'!$AI$58="",'Operating costs'!$B$56,'Replacement plan'!$AI$58)))</f>
        <v>0</v>
      </c>
      <c r="J212" s="16">
        <f>IF(C212=0,0,IF(P212="Complete",((S212*(R212-'Operating costs'!$B$39))+ROUNDUP(S212*(R212-'Operating costs'!$B$39)*IF('Replacement plan'!$AG$58="",'Operating costs'!$B$7,'Replacement plan'!$AG$58)/('Operating costs'!$B$8-'Operating costs'!$B$9*IF('Replacement plan'!$AG$58="",'Operating costs'!$B$7,'Replacement plan'!$AG$58)),0)*'Operating costs'!$B$9)*IF('Replacement plan'!$AG$58="",'Operating costs'!$B$7,'Replacement plan'!$AG$58)*('Energy and charging'!$B$9*'Energy and charging'!$B$7+(1-'Energy and charging'!$B$9)*'Energy and charging'!$B$8)*'Operating costs'!$B$23,"n.a."))</f>
        <v>0</v>
      </c>
      <c r="K212" s="16">
        <f>IF(C212=0,0,IF(P212="Complete",SUM('Operating costs'!$B$24,'Operating costs'!$B$27,'Operating costs'!$B$29,'Operating costs'!$B$31,'Operating costs'!$B$33,'Operating costs'!$B$34,'Operating costs'!$B$37,'Replacement plan'!$W$58)+'Operating costs'!$B$39*'Operating costs'!$B$42+ROUNDUP(S212*(R212-'Operating costs'!$B$39)*IF('Replacement plan'!$AG$58="",'Operating costs'!$B$7,'Replacement plan'!$AG$58)/('Operating costs'!$B$8-'Operating costs'!$B$9*IF('Replacement plan'!$AG$58="",'Operating costs'!$B$7,'Replacement plan'!$AG$58)),0)*('Operating costs'!$B$9/'Operating costs'!$B$11+'Operating costs'!$B$10/60)*'Operating costs'!$B$19*'Operating costs'!$B$21,"n.a."))</f>
        <v>0</v>
      </c>
      <c r="L212" s="16">
        <f>IF(C212=0,0,IF(P212="Complete",IF(D212="EV",X212*((1-T212)*'Energy and charging'!$B$10+T212*'Energy and charging'!$B$11)*'Operating costs'!$B$22,AA212*('Energy and charging'!$B$9*'Energy and charging'!$B$7+(1-'Energy and charging'!$B$9)*'Energy and charging'!$B$8)*'Operating costs'!$B$23),"n.a."))</f>
        <v>0</v>
      </c>
      <c r="M212" s="37">
        <f>IF(C212=0,0,IF(P212="Complete",IF(D212="ICE",SUM('Operating costs'!$B$25,'Operating costs'!$B$27,'Operating costs'!$B$29,'Operating costs'!$B$31,'Operating costs'!$B$33,'Operating costs'!$B$35,'Operating costs'!$B$37,'Replacement plan'!$X$58)+'Operating costs'!$B$40*'Operating costs'!$B$42+ROUNDUP(S212*(R212-'Operating costs'!$B$40)*IF('Replacement plan'!$AH$58="",'Operating costs'!$B$7,'Replacement plan'!$AH$58)/('Operating costs'!$B$8-'Operating costs'!$B$9*IF('Replacement plan'!$AH$58="",'Operating costs'!$B$7,'Replacement plan'!$AH$58)),0)*('Operating costs'!$B$9/'Operating costs'!$B$11+'Operating costs'!$B$10/60)*'Operating costs'!$B$19*'Operating costs'!$B$21,SUM(AP212,'Operating costs'!$B$28,'Operating costs'!$B$30,'Operating costs'!$B$32,'Operating costs'!$B$33,'Operating costs'!$B$36,'Operating costs'!$B$38,'Replacement plan'!$Y$58)+'Operating costs'!$B$41*'Operating costs'!$B$43+W212*'Operating costs'!$B$15+(T212*X212/'Replacement plan'!$L$58+W212*('Operating costs'!$B$12/'Operating costs'!$B$11+('Operating costs'!$B$13+'Operating costs'!$B$14)/60)+(R212-'Operating costs'!$B$41)*(IF(T212&lt;1,'Operating costs'!$B$16,0)+'Operating costs'!$B$17)/60)*'Operating costs'!$B$19*'Operating costs'!$B$20),"n.a."))</f>
        <v>0</v>
      </c>
      <c r="N212" s="16">
        <f>IF(AND(C212=1,D212="EV",E212&lt;120,E212+'Replacement plan'!$AA$58&lt;=120),'Replacement plan'!$Z$58,0)</f>
        <v>0</v>
      </c>
      <c r="O212" s="1">
        <f>E212+'Replacement plan'!$AA$58</f>
        <v>0</v>
      </c>
      <c r="P212" s="35" t="str">
        <f>IFERROR(IF(C212=0,"Excluded",IF(OR(COUNTIFS('Fleet register'!$A$7:$A$106,A212)&lt;&gt;1,COUNTIFS('Replacement plan'!$A$7:$A$106,A212)&lt;&gt;1),"Duplicate/missing ID",IF(NOT(AND(ISNUMBER(VLOOKUP($A212,'Fleet register'!$A$7:$S$106,5,FALSE)),ISNUMBER(VLOOKUP($A212,'Fleet register'!$A$7:$S$106,6,FALSE)),ISNUMBER(VLOOKUP($A212,'Fleet register'!$A$7:$S$106,10,FALSE)),ISNUMBER(VLOOKUP($A212,'Fleet register'!$A$7:$S$106,11,FALSE)),ISNUMBER(VLOOKUP($A212,'Fleet register'!$A$7:$S$106,12,FALSE)),ISNUMBER(VLOOKUP($A212,'Fleet register'!$A$7:$S$106,13,FALSE)),ISNUMBER(VLOOKUP($A212,'Fleet register'!$A$7:$S$106,14,FALSE)),VLOOKUP($A212,'Fleet register'!$A$7:$S$106,14,FALSE)&gt;0,ISNUMBER('Replacement plan'!$C$58),OR(E212=120,OR(ISNUMBER('Replacement plan'!$AI$58),AND('Replacement plan'!$AI$58="",ISNUMBER('Operating costs'!$B$56)))),ISNUMBER(E212))),"Missing vehicle input",IF(OR(E212&lt;0,E212&gt;VLOOKUP($A212,'Fleet register'!$A$7:$S$106,10,FALSE),E212&gt;120,E212&lt;&gt;INT(E212),VLOOKUP($A212,'Fleet register'!$A$7:$S$106,6,FALSE)&lt;=0,VLOOKUP($A212,'Fleet register'!$A$7:$S$106,6,FALSE)&gt;366,VLOOKUP($A212,'Fleet register'!$A$7:$S$106,5,FALSE)&lt;0,VLOOKUP($A212,'Fleet register'!$A$7:$S$106,11,FALSE)&lt;0,I212&lt;0,'Operating costs'!$B$8&lt;='Operating costs'!$B$7*'Operating costs'!$B$9,'Operating costs'!$B$11&lt;=0,'Operating costs'!$B$39&gt;R212,'Operating costs'!$B$40&gt;R212,'Operating costs'!$B$41&gt;R212,NOT(OR("New ICE"="Keep ICE","New ICE"="New ICE","New ICE"="EV"))),"Invalid vehicle input",IF(AND(D212="EV",E212&lt;120,OR(NOT(ISNUMBER(U212)),NOT(ISNUMBER(V212)),V212&lt;=0,T212&lt;0,T212&gt;1,'Replacement plan'!$L$58&lt;=0,'Operating costs'!$B$44&lt;0,'Operating costs'!$B$44&gt;=1,'Operating costs'!$B$47&lt;=0,'Operating costs'!$B$47&gt;1,V212*'Operating costs'!$B$47/(1-'Operating costs'!$B$44)&lt;=T212*'Operating costs'!$B$12*U212,AND('Replacement plan'!$Z$58&gt;0,OR('Replacement plan'!$AB$58&lt;&gt;"Yes",'Operating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charging'!$B$8&gt;=0))),ISNUMBER(VLOOKUP($A212,'Fleet register'!$A$7:$S$106,15,FALSE)),ISNUMBER(VLOOKUP($A212,'Fleet register'!$A$7:$S$106,16,FALSE)),ISNUMBER('Replacement plan'!$W$58),ISNUMBER('Replacement plan'!$X$58),OR(E212=120,AND(ISNUMBER(G212),G212&gt;=0)),ISNUMBER(H212),H212&gt;=0,OR(D212&lt;&gt;"EV",E212=120,AND(ISNUMBER('Operating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average",ISNUMBER(IFERROR(INDEX(Products!$P$7:$P$13,MATCH(AD212,Products!$A$7:$A$13,0)),"")))),ISNUMBER('Operating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plan'!$Y$58),ISNUMBER('Replacement plan'!$Z$58),'Replacement plan'!$Z$58&gt;=0,ISNUMBER('Replacement plan'!$AA$58),'Replacement plan'!$AA$58&gt;=0,'Replacement plan'!$AA$58=INT('Replacement plan'!$AA$58),ISNUMBER('Replacement plan'!$L$58))),'Operating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plan'!$AG$58="",'Operating costs'!$B$7,'Replacement plan'!$AG$58)),IF('Replacement plan'!$AG$58="",'Operating costs'!$B$7,'Replacement plan'!$AG$58)&gt;=0,ISNUMBER(IF('Replacement plan'!$AH$58="",'Operating costs'!$B$7,'Replacement plan'!$AH$58)),IF('Replacement plan'!$AH$58="",'Operating costs'!$B$7,'Replacement plan'!$AH$58)&gt;=0,'Operating costs'!$B$8&gt;MAX(IF('Replacement plan'!$AG$58="",'Operating costs'!$B$7,'Replacement plan'!$AG$58),IF('Replacement plan'!$AH$58="",'Operating costs'!$B$7,'Replacement plan'!$AH$58))*'Operating costs'!$B$9),IF(AND(VLOOKUP($A212,'Fleet register'!$A$7:$S$106,10,FALSE)&gt;=0,VLOOKUP($A212,'Fleet register'!$A$7:$S$106,10,FALSE)&lt;=120,VLOOKUP($A212,'Fleet register'!$A$7:$S$106,10,FALSE)=INT(VLOOKUP($A212,'Fleet register'!$A$7:$S$106,10,FALSE)),VLOOKUP($A212,'Fleet register'!$A$7:$S$106,15,FALSE)&gt;=0,VLOOKUP($A212,'Fleet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costs'!$B$67)&gt;=0,OR(D212&lt;&gt;"EV",E212=120,AND(MIN('Operating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12" s="1" t="str">
        <f>IF(C212=0,"Excluded",IF(P212&lt;&gt;"Complete",P212,IF(OR('Replacement plan'!$AD$58&lt;120-E212,AND(D212="EV",E212&lt;120,OR('Replacement plan'!$AC$58&lt;120-E212,'Replacement plan'!$I$58="No",AND(ISNUMBER(AF212),AE212&gt;AF212),AI212&gt;V212*(1-'Operating costs'!$B$46)^MAX(0,AB212-1)*(1-'Operating costs'!$B$45),AC212&gt;'Operating costs'!$B$18,AND(T212&lt;1,OR(AG212&lt;=0,AND(ISNUMBER(AH212),AG212&gt;AH212))),'Replacement plan'!$L$58&gt;INDEX(Products!$H$7:$H$13,MATCH('Replacement plan'!$B$58,Products!$A$7:$A$13,0))))),"Fails entered limits",IF(AND(D212="EV",E212&lt;120,OR(NOT(ISNUMBER(VLOOKUP($A212,'Fleet register'!$A$7:$S$106,7,FALSE))),NOT(ISNUMBER(VLOOKUP($A212,'Fleet register'!$A$7:$S$106,8,FALSE))),NOT(ISNUMBER(AF212)),'Replacement plan'!$I$58&lt;&gt;"Yes",NOT(ISNUMBER(AH212)),'Operating costs'!$B$59&lt;&gt;"Yes",'Operating costs'!$B$58&lt;&gt;"Yes")),"Unverified","Within entered limits"))))</f>
        <v>Excluded</v>
      </c>
      <c r="R212" s="1">
        <f>IF(C212=0,0,VLOOKUP($A212,'Fleet register'!$A$7:$S$106,6,FALSE))</f>
        <v>0</v>
      </c>
      <c r="S212" s="1">
        <f>IF(C212=0,0,VLOOKUP($A212,'Fleet register'!$A$7:$S$106,5,FALSE))</f>
        <v>0</v>
      </c>
      <c r="T212" s="1">
        <f>IF(D212="EV",'Energy and charging'!$B$12,0)</f>
        <v>0</v>
      </c>
      <c r="U212" s="1">
        <f>IFERROR(IF(C212=0,0,IF(D212="EV",IF('Replacement plan'!$F$58="",INDEX(Products!$E$7:$E$13,MATCH('Replacement plan'!$B$58,Products!$A$7:$A$13,0)),'Replacement plan'!$F$58)/IF('Replacement plan'!$G$58="Battery",1-'Operating costs'!$B$44,1),0)),"n.a.")</f>
        <v>0</v>
      </c>
      <c r="V212" s="1">
        <f>IFERROR(IF(C212=0,0,IF(D212="EV",IF('Replacement plan'!$E$58="",INDEX(Products!$D$7:$D$13,MATCH('Replacement plan'!$B$58,Products!$A$7:$A$13,0)),'Replacement plan'!$E$58),0)),"n.a.")</f>
        <v>0</v>
      </c>
      <c r="W212" s="1">
        <f>IF(C212=0,0,IF(AND(P212="Complete",D212="EV",E212&lt;120),IF(T212=0,0,ROUNDUP(T212*(R212-'Operating costs'!$B$41)*(S212*U212+'Operating costs'!$B$48/(1-'Operating costs'!$B$44))/(V212*'Operating costs'!$B$47/(1-'Operating costs'!$B$44)-T212*'Operating costs'!$B$12*U212),0)),0))</f>
        <v>0</v>
      </c>
      <c r="X212" s="1">
        <f>IF(C212=0,0,IF(AND(P212="Complete",D212="EV",E212&lt;120),(R212-'Operating costs'!$B$41)*(S212*U212+'Operating costs'!$B$48/(1-'Operating costs'!$B$44))+W212*'Operating costs'!$B$12*U212,0))</f>
        <v>0</v>
      </c>
      <c r="Y212" s="1">
        <f>IF(AND(C212=1,D212="EV",E212&lt;120),AI212/(1-'Operating costs'!$B$44)*(1-T212),0)</f>
        <v>0</v>
      </c>
      <c r="Z212" s="1">
        <f t="shared" si="6"/>
        <v>0</v>
      </c>
      <c r="AA212" s="1">
        <f>IF(C212=0,0,IF(P212="Complete",((S212*(R212-'Operating costs'!$B$40))+ROUNDUP(S212*(R212-'Operating costs'!$B$40)*IF('Replacement plan'!$AH$58="",'Operating costs'!$B$7,'Replacement plan'!$AH$58)/('Operating costs'!$B$8-'Operating costs'!$B$9*IF('Replacement plan'!$AH$58="",'Operating costs'!$B$7,'Replacement plan'!$AH$58)),0)*'Operating costs'!$B$9)*IF('Replacement plan'!$AH$58="",'Operating costs'!$B$7,'Replacement plan'!$AH$58),"n.a."))</f>
        <v>0</v>
      </c>
      <c r="AB212" s="1">
        <f t="shared" si="7"/>
        <v>0</v>
      </c>
      <c r="AC212" s="1">
        <f>IF(AND(C212=1,D212="EV",E212&lt;120,T212&gt;0),'Operating costs'!$B$12/'Operating costs'!$B$11*60+'Operating costs'!$B$13+'Operating costs'!$B$14+V212*'Operating costs'!$B$47/(1-'Operating costs'!$B$44)/'Replacement plan'!$L$58*60,0)</f>
        <v>0</v>
      </c>
      <c r="AD212" s="1" t="str">
        <f>'Replacement plan'!$B$58</f>
        <v>ChengLong L2EV</v>
      </c>
      <c r="AE212" s="1">
        <f>IF(C212=0,0,VLOOKUP($A212,'Fleet register'!$A$7:$S$106,8,FALSE))</f>
        <v>0</v>
      </c>
      <c r="AF212" s="1" t="str">
        <f>IF('Replacement plan'!$H$58="","n.a.",'Replacement plan'!$H$58)</f>
        <v>n.a.</v>
      </c>
      <c r="AG212" s="1">
        <f>'Replacement plan'!$J$58</f>
        <v>22</v>
      </c>
      <c r="AH212" s="1">
        <f>IFERROR(IF(D212="EV",IF('Replacement plan'!$K$58="AC",IF(ISNUMBER(INDEX(Products!$G$7:$G$13,MATCH('Replacement plan'!$B$58,Products!$A$7:$A$13,0))),INDEX(Products!$G$7:$G$13,MATCH('Replacement plan'!$B$58,Products!$A$7:$A$13,0)),"n.a."),IF(ISNUMBER(INDEX(Products!$H$7:$H$13,MATCH('Replacement plan'!$B$58,Products!$A$7:$A$13,0))),INDEX(Products!$H$7:$H$13,MATCH('Replacement plan'!$B$58,Products!$A$7:$A$13,0)),"n.a.")),0),"n.a.")</f>
        <v>0</v>
      </c>
      <c r="AI212" s="1">
        <f>IF(AND(C212=1,D212="EV",E212&lt;120),(VLOOKUP($A212,'Fleet register'!$A$7:$S$106,7,FALSE)+IF(T212&gt;0,'Operating costs'!$B$12,0))*U212*(1-'Operating costs'!$B$44)+'Operating costs'!$B$49,0)</f>
        <v>0</v>
      </c>
      <c r="AJ212" s="1">
        <f>IF(D212="EV",'Energy and charging'!$B$50,0)</f>
        <v>0</v>
      </c>
      <c r="AK212" s="17">
        <f>EDATE('Operating costs'!$B$63,E212)</f>
        <v>46298</v>
      </c>
      <c r="AL212" s="1">
        <f>IFERROR(IF(D212="EV",INDEX(Products!$B$7:$B$13,MATCH('Replacement plan'!$B$58,Products!$A$7:$A$13,0)),0),"n.a.")</f>
        <v>0</v>
      </c>
      <c r="AM212" s="1" t="str">
        <f>'Replacement plan'!$K$58</f>
        <v>DC</v>
      </c>
      <c r="AN212" s="1" t="str">
        <f>'Replacement plan'!$AE$58</f>
        <v>Assumed</v>
      </c>
      <c r="AO212" s="47">
        <f>IF(AND(C212=1,D212="EV",E212&lt;120),(R212-'Operating costs'!$B$41)*S212+W212*'Operating costs'!$B$12,0)</f>
        <v>0</v>
      </c>
      <c r="AP212" s="41">
        <f>IF(AND(C212=1,D212="EV",E212&lt;120),IF('Operating costs'!$B$68="Hong Seh 200k average",AO212*IFERROR(INDEX(Products!$P$7:$P$13,MATCH(AD212,Products!$A$7:$A$13,0)),"n.a."),'Operating costs'!$B$26),0)</f>
        <v>0</v>
      </c>
      <c r="AQ212" s="40" t="str">
        <f>IF(D212="EV",'Operating costs'!$B$68,"Not applicable")</f>
        <v>Not applicable</v>
      </c>
    </row>
    <row r="213" spans="1:43" ht="24" customHeight="1">
      <c r="A213" s="1" t="str">
        <f>'Replacement plan'!A58</f>
        <v>T052</v>
      </c>
      <c r="B213" s="1">
        <v>2</v>
      </c>
      <c r="C213" s="1">
        <f>IF(COUNTIFS('Fleet register'!$A$7:$A$106,$A213)=1,VLOOKUP($A213,'Fleet register'!$A$7:$S$106,2,FALSE),0)</f>
        <v>0</v>
      </c>
      <c r="D213" s="1" t="str">
        <f>IF('Replacement plan'!$O$58="EV","EV","ICE")</f>
        <v>ICE</v>
      </c>
      <c r="E213" s="1">
        <f>IF(C213=0,0,IF('Replacement plan'!$P$58="",IF('Replacement plan'!$O$58="Keep ICE",IF('Replacement plan'!$M$58="",VLOOKUP($A213,'Fleet register'!$A$7:$S$106,10,FALSE),'Replacement plan'!$M$58),0),'Replacement plan'!$P$58))</f>
        <v>0</v>
      </c>
      <c r="F213" s="16">
        <f>IF(C213=0,0,VLOOKUP($A213,'Fleet register'!$A$7:$S$106,11,FALSE))</f>
        <v>0</v>
      </c>
      <c r="G213" s="16">
        <f>IFERROR(IF(C213=0,0,IF(E213=120,0,IF(D213="ICE",'Replacement plan'!$C$58,IF('Replacement plan'!$D$58="",INDEX(Products!$I$7:$I$13,MATCH('Replacement plan'!$B$58,Products!$A$7:$A$13,0))+'Operating costs'!$B$57,'Replacement plan'!$D$58))*(1+'Operating costs'!$B$50)^(E213/12))),"n.a.")</f>
        <v>0</v>
      </c>
      <c r="H213" s="16">
        <f>IFERROR(IF(C213=0,0,IF('Replacement plan'!$U$58&lt;&gt;"",'Replacement plan'!$U$58,IF(E213=0,F213,VLOOKUP($A213,'Fleet register'!$A$7:$S$106,12,FALSE)+VLOOKUP($A213,'Fleet register'!$A$7:$S$106,13,FALSE)*MAX(0,VLOOKUP($A213,'Fleet register'!$A$7:$S$106,10,FALSE)-E213)/VLOOKUP($A213,'Fleet register'!$A$7:$S$106,14,FALSE)))),"n.a.")</f>
        <v>0</v>
      </c>
      <c r="I213" s="16">
        <f>IF(C213=0,0,IF(E213=120,0,'Replacement plan'!$Q$58))</f>
        <v>0</v>
      </c>
      <c r="J213" s="16">
        <f>IF(C213=0,0,IF(P213="Complete",((S213*(R213-'Operating costs'!$B$39))+ROUNDUP(S213*(R213-'Operating costs'!$B$39)*IF('Replacement plan'!$AG$58="",'Operating costs'!$B$7,'Replacement plan'!$AG$58)/('Operating costs'!$B$8-'Operating costs'!$B$9*IF('Replacement plan'!$AG$58="",'Operating costs'!$B$7,'Replacement plan'!$AG$58)),0)*'Operating costs'!$B$9)*IF('Replacement plan'!$AG$58="",'Operating costs'!$B$7,'Replacement plan'!$AG$58)*('Energy and charging'!$B$9*'Energy and charging'!$B$7+(1-'Energy and charging'!$B$9)*'Energy and charging'!$B$8)*'Operating costs'!$B$23,"n.a."))</f>
        <v>0</v>
      </c>
      <c r="K213" s="16">
        <f>IF(C213=0,0,IF(P213="Complete",SUM('Operating costs'!$B$24,'Operating costs'!$B$27,'Operating costs'!$B$29,'Operating costs'!$B$31,'Operating costs'!$B$33,'Operating costs'!$B$34,'Operating costs'!$B$37,'Replacement plan'!$W$58)+'Operating costs'!$B$39*'Operating costs'!$B$42+ROUNDUP(S213*(R213-'Operating costs'!$B$39)*IF('Replacement plan'!$AG$58="",'Operating costs'!$B$7,'Replacement plan'!$AG$58)/('Operating costs'!$B$8-'Operating costs'!$B$9*IF('Replacement plan'!$AG$58="",'Operating costs'!$B$7,'Replacement plan'!$AG$58)),0)*('Operating costs'!$B$9/'Operating costs'!$B$11+'Operating costs'!$B$10/60)*'Operating costs'!$B$19*'Operating costs'!$B$21,"n.a."))</f>
        <v>0</v>
      </c>
      <c r="L213" s="16">
        <f>IF(C213=0,0,IF(P213="Complete",IF(D213="EV",X213*((1-T213)*'Energy and charging'!$B$10+T213*'Energy and charging'!$B$11)*'Operating costs'!$B$22,AA213*('Energy and charging'!$B$9*'Energy and charging'!$B$7+(1-'Energy and charging'!$B$9)*'Energy and charging'!$B$8)*'Operating costs'!$B$23),"n.a."))</f>
        <v>0</v>
      </c>
      <c r="M213" s="37">
        <f>IF(C213=0,0,IF(P213="Complete",IF(D213="ICE",SUM('Operating costs'!$B$25,'Operating costs'!$B$27,'Operating costs'!$B$29,'Operating costs'!$B$31,'Operating costs'!$B$33,'Operating costs'!$B$35,'Operating costs'!$B$37,'Replacement plan'!$X$58)+'Operating costs'!$B$40*'Operating costs'!$B$42+ROUNDUP(S213*(R213-'Operating costs'!$B$40)*IF('Replacement plan'!$AH$58="",'Operating costs'!$B$7,'Replacement plan'!$AH$58)/('Operating costs'!$B$8-'Operating costs'!$B$9*IF('Replacement plan'!$AH$58="",'Operating costs'!$B$7,'Replacement plan'!$AH$58)),0)*('Operating costs'!$B$9/'Operating costs'!$B$11+'Operating costs'!$B$10/60)*'Operating costs'!$B$19*'Operating costs'!$B$21,SUM(AP213,'Operating costs'!$B$28,'Operating costs'!$B$30,'Operating costs'!$B$32,'Operating costs'!$B$33,'Operating costs'!$B$36,'Operating costs'!$B$38,'Replacement plan'!$Y$58)+'Operating costs'!$B$41*'Operating costs'!$B$43+W213*'Operating costs'!$B$15+(T213*X213/'Replacement plan'!$L$58+W213*('Operating costs'!$B$12/'Operating costs'!$B$11+('Operating costs'!$B$13+'Operating costs'!$B$14)/60)+(R213-'Operating costs'!$B$41)*(IF(T213&lt;1,'Operating costs'!$B$16,0)+'Operating costs'!$B$17)/60)*'Operating costs'!$B$19*'Operating costs'!$B$20),"n.a."))</f>
        <v>0</v>
      </c>
      <c r="N213" s="16">
        <f>IF(AND(C213=1,D213="EV",E213&lt;120,E213+'Replacement plan'!$AA$58&lt;=120),'Replacement plan'!$Z$58,0)</f>
        <v>0</v>
      </c>
      <c r="O213" s="1">
        <f>E213+'Replacement plan'!$AA$58</f>
        <v>0</v>
      </c>
      <c r="P213" s="35" t="str">
        <f>IFERROR(IF(C213=0,"Excluded",IF(OR(COUNTIFS('Fleet register'!$A$7:$A$106,A213)&lt;&gt;1,COUNTIFS('Replacement plan'!$A$7:$A$106,A213)&lt;&gt;1),"Duplicate/missing ID",IF(NOT(AND(ISNUMBER(VLOOKUP($A213,'Fleet register'!$A$7:$S$106,5,FALSE)),ISNUMBER(VLOOKUP($A213,'Fleet register'!$A$7:$S$106,6,FALSE)),ISNUMBER(VLOOKUP($A213,'Fleet register'!$A$7:$S$106,10,FALSE)),ISNUMBER(VLOOKUP($A213,'Fleet register'!$A$7:$S$106,11,FALSE)),ISNUMBER(VLOOKUP($A213,'Fleet register'!$A$7:$S$106,12,FALSE)),ISNUMBER(VLOOKUP($A213,'Fleet register'!$A$7:$S$106,13,FALSE)),ISNUMBER(VLOOKUP($A213,'Fleet register'!$A$7:$S$106,14,FALSE)),VLOOKUP($A213,'Fleet register'!$A$7:$S$106,14,FALSE)&gt;0,ISNUMBER('Replacement plan'!$C$58),OR(E213=120,ISNUMBER('Replacement plan'!$Q$58)),ISNUMBER(E213))),"Missing vehicle input",IF(OR(E213&lt;0,E213&gt;VLOOKUP($A213,'Fleet register'!$A$7:$S$106,10,FALSE),E213&gt;120,E213&lt;&gt;INT(E213),VLOOKUP($A213,'Fleet register'!$A$7:$S$106,6,FALSE)&lt;=0,VLOOKUP($A213,'Fleet register'!$A$7:$S$106,6,FALSE)&gt;366,VLOOKUP($A213,'Fleet register'!$A$7:$S$106,5,FALSE)&lt;0,VLOOKUP($A213,'Fleet register'!$A$7:$S$106,11,FALSE)&lt;0,I213&lt;0,'Operating costs'!$B$8&lt;='Operating costs'!$B$7*'Operating costs'!$B$9,'Operating costs'!$B$11&lt;=0,'Operating costs'!$B$39&gt;R213,'Operating costs'!$B$40&gt;R213,'Operating costs'!$B$41&gt;R213,NOT(OR('Replacement plan'!$O$58="Keep ICE",'Replacement plan'!$O$58="New ICE",'Replacement plan'!$O$58="EV"))),"Invalid vehicle input",IF(AND(D213="EV",E213&lt;120,OR(NOT(ISNUMBER(U213)),NOT(ISNUMBER(V213)),V213&lt;=0,T213&lt;0,T213&gt;1,'Replacement plan'!$L$58&lt;=0,'Operating costs'!$B$44&lt;0,'Operating costs'!$B$44&gt;=1,'Operating costs'!$B$47&lt;=0,'Operating costs'!$B$47&gt;1,V213*'Operating costs'!$B$47/(1-'Operating costs'!$B$44)&lt;=T213*'Operating costs'!$B$12*U213,AND('Replacement plan'!$Z$58&gt;0,OR('Replacement plan'!$AB$58&lt;&gt;"Yes",'Operating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charging'!$B$8&gt;=0))),ISNUMBER(VLOOKUP($A213,'Fleet register'!$A$7:$S$106,15,FALSE)),ISNUMBER(VLOOKUP($A213,'Fleet register'!$A$7:$S$106,16,FALSE)),ISNUMBER('Replacement plan'!$W$58),ISNUMBER('Replacement plan'!$X$58),OR(E213=120,AND(ISNUMBER(G213),G213&gt;=0)),ISNUMBER(H213),H213&gt;=0,OR(D213&lt;&gt;"EV",E213=120,AND(ISNUMBER('Operating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average",ISNUMBER(IFERROR(INDEX(Products!$P$7:$P$13,MATCH(AD213,Products!$A$7:$A$13,0)),"")))),ISNUMBER('Operating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plan'!$Y$58),ISNUMBER('Replacement plan'!$Z$58),'Replacement plan'!$Z$58&gt;=0,ISNUMBER('Replacement plan'!$AA$58),'Replacement plan'!$AA$58&gt;=0,'Replacement plan'!$AA$58=INT('Replacement plan'!$AA$58),ISNUMBER('Replacement plan'!$L$58))),'Operating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plan'!$AG$58="",'Operating costs'!$B$7,'Replacement plan'!$AG$58)),IF('Replacement plan'!$AG$58="",'Operating costs'!$B$7,'Replacement plan'!$AG$58)&gt;=0,ISNUMBER(IF('Replacement plan'!$AH$58="",'Operating costs'!$B$7,'Replacement plan'!$AH$58)),IF('Replacement plan'!$AH$58="",'Operating costs'!$B$7,'Replacement plan'!$AH$58)&gt;=0,'Operating costs'!$B$8&gt;MAX(IF('Replacement plan'!$AG$58="",'Operating costs'!$B$7,'Replacement plan'!$AG$58),IF('Replacement plan'!$AH$58="",'Operating costs'!$B$7,'Replacement plan'!$AH$58))*'Operating costs'!$B$9),IF(AND(VLOOKUP($A213,'Fleet register'!$A$7:$S$106,10,FALSE)&gt;=0,VLOOKUP($A213,'Fleet register'!$A$7:$S$106,10,FALSE)&lt;=120,VLOOKUP($A213,'Fleet register'!$A$7:$S$106,10,FALSE)=INT(VLOOKUP($A213,'Fleet register'!$A$7:$S$106,10,FALSE)),VLOOKUP($A213,'Fleet register'!$A$7:$S$106,15,FALSE)&gt;=0,VLOOKUP($A213,'Fleet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costs'!$B$67)&gt;=0,OR(D213&lt;&gt;"EV",E213=120,AND(MIN('Operating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13" s="1" t="str">
        <f>IF(C213=0,"Excluded",IF(P213&lt;&gt;"Complete",P213,IF(OR('Replacement plan'!$AD$58&lt;120-E213,AND(D213="EV",E213&lt;120,OR('Replacement plan'!$AC$58&lt;120-E213,'Replacement plan'!$I$58="No",AND(ISNUMBER(AF213),AE213&gt;AF213),AI213&gt;V213*(1-'Operating costs'!$B$46)^MAX(0,AB213-1)*(1-'Operating costs'!$B$45),AC213&gt;'Operating costs'!$B$18,AND(T213&lt;1,OR(AG213&lt;=0,AND(ISNUMBER(AH213),AG213&gt;AH213))),'Replacement plan'!$L$58&gt;INDEX(Products!$H$7:$H$13,MATCH('Replacement plan'!$B$58,Products!$A$7:$A$13,0))))),"Fails entered limits",IF(AND(D213="EV",E213&lt;120,OR(NOT(ISNUMBER(VLOOKUP($A213,'Fleet register'!$A$7:$S$106,7,FALSE))),NOT(ISNUMBER(VLOOKUP($A213,'Fleet register'!$A$7:$S$106,8,FALSE))),NOT(ISNUMBER(AF213)),'Replacement plan'!$I$58&lt;&gt;"Yes",NOT(ISNUMBER(AH213)),'Operating costs'!$B$59&lt;&gt;"Yes",'Operating costs'!$B$58&lt;&gt;"Yes")),"Unverified","Within entered limits"))))</f>
        <v>Excluded</v>
      </c>
      <c r="R213" s="1">
        <f>IF(C213=0,0,VLOOKUP($A213,'Fleet register'!$A$7:$S$106,6,FALSE))</f>
        <v>0</v>
      </c>
      <c r="S213" s="1">
        <f>IF(C213=0,0,VLOOKUP($A213,'Fleet register'!$A$7:$S$106,5,FALSE))</f>
        <v>0</v>
      </c>
      <c r="T213" s="1">
        <f>IF(D213="EV",'Energy and charging'!$B$12,0)</f>
        <v>0</v>
      </c>
      <c r="U213" s="1">
        <f>IFERROR(IF(C213=0,0,IF(D213="EV",IF('Replacement plan'!$F$58="",INDEX(Products!$E$7:$E$13,MATCH('Replacement plan'!$B$58,Products!$A$7:$A$13,0)),'Replacement plan'!$F$58)/IF('Replacement plan'!$G$58="Battery",1-'Operating costs'!$B$44,1),0)),"n.a.")</f>
        <v>0</v>
      </c>
      <c r="V213" s="1">
        <f>IFERROR(IF(C213=0,0,IF(D213="EV",IF('Replacement plan'!$E$58="",INDEX(Products!$D$7:$D$13,MATCH('Replacement plan'!$B$58,Products!$A$7:$A$13,0)),'Replacement plan'!$E$58),0)),"n.a.")</f>
        <v>0</v>
      </c>
      <c r="W213" s="1">
        <f>IF(C213=0,0,IF(AND(P213="Complete",D213="EV",E213&lt;120),IF(T213=0,0,ROUNDUP(T213*(R213-'Operating costs'!$B$41)*(S213*U213+'Operating costs'!$B$48/(1-'Operating costs'!$B$44))/(V213*'Operating costs'!$B$47/(1-'Operating costs'!$B$44)-T213*'Operating costs'!$B$12*U213),0)),0))</f>
        <v>0</v>
      </c>
      <c r="X213" s="1">
        <f>IF(C213=0,0,IF(AND(P213="Complete",D213="EV",E213&lt;120),(R213-'Operating costs'!$B$41)*(S213*U213+'Operating costs'!$B$48/(1-'Operating costs'!$B$44))+W213*'Operating costs'!$B$12*U213,0))</f>
        <v>0</v>
      </c>
      <c r="Y213" s="1">
        <f>IF(AND(C213=1,D213="EV",E213&lt;120),AI213/(1-'Operating costs'!$B$44)*(1-T213),0)</f>
        <v>0</v>
      </c>
      <c r="Z213" s="1">
        <f t="shared" si="6"/>
        <v>0</v>
      </c>
      <c r="AA213" s="1">
        <f>IF(C213=0,0,IF(P213="Complete",((S213*(R213-'Operating costs'!$B$40))+ROUNDUP(S213*(R213-'Operating costs'!$B$40)*IF('Replacement plan'!$AH$58="",'Operating costs'!$B$7,'Replacement plan'!$AH$58)/('Operating costs'!$B$8-'Operating costs'!$B$9*IF('Replacement plan'!$AH$58="",'Operating costs'!$B$7,'Replacement plan'!$AH$58)),0)*'Operating costs'!$B$9)*IF('Replacement plan'!$AH$58="",'Operating costs'!$B$7,'Replacement plan'!$AH$58),"n.a."))</f>
        <v>0</v>
      </c>
      <c r="AB213" s="1">
        <f t="shared" si="7"/>
        <v>0</v>
      </c>
      <c r="AC213" s="1">
        <f>IF(AND(C213=1,D213="EV",E213&lt;120,T213&gt;0),'Operating costs'!$B$12/'Operating costs'!$B$11*60+'Operating costs'!$B$13+'Operating costs'!$B$14+V213*'Operating costs'!$B$47/(1-'Operating costs'!$B$44)/'Replacement plan'!$L$58*60,0)</f>
        <v>0</v>
      </c>
      <c r="AD213" s="1" t="str">
        <f>'Replacement plan'!$B$58</f>
        <v>ChengLong L2EV</v>
      </c>
      <c r="AE213" s="1">
        <f>IF(C213=0,0,VLOOKUP($A213,'Fleet register'!$A$7:$S$106,8,FALSE))</f>
        <v>0</v>
      </c>
      <c r="AF213" s="1" t="str">
        <f>IF('Replacement plan'!$H$58="","n.a.",'Replacement plan'!$H$58)</f>
        <v>n.a.</v>
      </c>
      <c r="AG213" s="1">
        <f>'Replacement plan'!$J$58</f>
        <v>22</v>
      </c>
      <c r="AH213" s="1">
        <f>IFERROR(IF(D213="EV",IF('Replacement plan'!$K$58="AC",IF(ISNUMBER(INDEX(Products!$G$7:$G$13,MATCH('Replacement plan'!$B$58,Products!$A$7:$A$13,0))),INDEX(Products!$G$7:$G$13,MATCH('Replacement plan'!$B$58,Products!$A$7:$A$13,0)),"n.a."),IF(ISNUMBER(INDEX(Products!$H$7:$H$13,MATCH('Replacement plan'!$B$58,Products!$A$7:$A$13,0))),INDEX(Products!$H$7:$H$13,MATCH('Replacement plan'!$B$58,Products!$A$7:$A$13,0)),"n.a.")),0),"n.a.")</f>
        <v>0</v>
      </c>
      <c r="AI213" s="1">
        <f>IF(AND(C213=1,D213="EV",E213&lt;120),(VLOOKUP($A213,'Fleet register'!$A$7:$S$106,7,FALSE)+IF(T213&gt;0,'Operating costs'!$B$12,0))*U213*(1-'Operating costs'!$B$44)+'Operating costs'!$B$49,0)</f>
        <v>0</v>
      </c>
      <c r="AJ213" s="1">
        <f>IF(D213="EV",'Energy and charging'!$B$50,0)</f>
        <v>0</v>
      </c>
      <c r="AK213" s="17">
        <f>EDATE('Operating costs'!$B$63,E213)</f>
        <v>46298</v>
      </c>
      <c r="AL213" s="1">
        <f>IFERROR(IF(D213="EV",INDEX(Products!$B$7:$B$13,MATCH('Replacement plan'!$B$58,Products!$A$7:$A$13,0)),0),"n.a.")</f>
        <v>0</v>
      </c>
      <c r="AM213" s="1" t="str">
        <f>'Replacement plan'!$K$58</f>
        <v>DC</v>
      </c>
      <c r="AN213" s="1" t="str">
        <f>'Replacement plan'!$AE$58</f>
        <v>Assumed</v>
      </c>
      <c r="AO213" s="47">
        <f>IF(AND(C213=1,D213="EV",E213&lt;120),(R213-'Operating costs'!$B$41)*S213+W213*'Operating costs'!$B$12,0)</f>
        <v>0</v>
      </c>
      <c r="AP213" s="41">
        <f>IF(AND(C213=1,D213="EV",E213&lt;120),IF('Operating costs'!$B$68="Hong Seh 200k average",AO213*IFERROR(INDEX(Products!$P$7:$P$13,MATCH(AD213,Products!$A$7:$A$13,0)),"n.a."),'Operating costs'!$B$26),0)</f>
        <v>0</v>
      </c>
      <c r="AQ213" s="40" t="str">
        <f>IF(D213="EV",'Operating costs'!$B$68,"Not applicable")</f>
        <v>Not applicable</v>
      </c>
    </row>
    <row r="214" spans="1:43" ht="24" customHeight="1">
      <c r="A214" s="1" t="str">
        <f>'Replacement plan'!A58</f>
        <v>T052</v>
      </c>
      <c r="B214" s="1">
        <v>3</v>
      </c>
      <c r="C214" s="1">
        <f>IF(COUNTIFS('Fleet register'!$A$7:$A$106,$A214)=1,VLOOKUP($A214,'Fleet register'!$A$7:$S$106,2,FALSE),0)</f>
        <v>0</v>
      </c>
      <c r="D214" s="1" t="str">
        <f>IF('Replacement plan'!$R$58="EV","EV","ICE")</f>
        <v>ICE</v>
      </c>
      <c r="E214" s="1">
        <f>IF(C214=0,0,IF('Replacement plan'!$S$58="",IF('Replacement plan'!$R$58="Keep ICE",IF('Replacement plan'!$M$58="",VLOOKUP($A214,'Fleet register'!$A$7:$S$106,10,FALSE),'Replacement plan'!$M$58),0),'Replacement plan'!$S$58))</f>
        <v>0</v>
      </c>
      <c r="F214" s="16">
        <f>IF(C214=0,0,VLOOKUP($A214,'Fleet register'!$A$7:$S$106,11,FALSE))</f>
        <v>0</v>
      </c>
      <c r="G214" s="16">
        <f>IFERROR(IF(C214=0,0,IF(E214=120,0,IF(D214="ICE",'Replacement plan'!$C$58,IF('Replacement plan'!$D$58="",INDEX(Products!$I$7:$I$13,MATCH('Replacement plan'!$B$58,Products!$A$7:$A$13,0))+'Operating costs'!$B$57,'Replacement plan'!$D$58))*(1+'Operating costs'!$B$50)^(E214/12))),"n.a.")</f>
        <v>0</v>
      </c>
      <c r="H214" s="16">
        <f>IFERROR(IF(C214=0,0,IF('Replacement plan'!$V$58&lt;&gt;"",'Replacement plan'!$V$58,IF(E214=0,F214,VLOOKUP($A214,'Fleet register'!$A$7:$S$106,12,FALSE)+VLOOKUP($A214,'Fleet register'!$A$7:$S$106,13,FALSE)*MAX(0,VLOOKUP($A214,'Fleet register'!$A$7:$S$106,10,FALSE)-E214)/VLOOKUP($A214,'Fleet register'!$A$7:$S$106,14,FALSE)))),"n.a.")</f>
        <v>0</v>
      </c>
      <c r="I214" s="16">
        <f>IF(C214=0,0,IF(E214=120,0,'Replacement plan'!$T$58))</f>
        <v>0</v>
      </c>
      <c r="J214" s="16">
        <f>IF(C214=0,0,IF(P214="Complete",((S214*(R214-'Operating costs'!$B$39))+ROUNDUP(S214*(R214-'Operating costs'!$B$39)*IF('Replacement plan'!$AG$58="",'Operating costs'!$B$7,'Replacement plan'!$AG$58)/('Operating costs'!$B$8-'Operating costs'!$B$9*IF('Replacement plan'!$AG$58="",'Operating costs'!$B$7,'Replacement plan'!$AG$58)),0)*'Operating costs'!$B$9)*IF('Replacement plan'!$AG$58="",'Operating costs'!$B$7,'Replacement plan'!$AG$58)*('Energy and charging'!$C$9*'Energy and charging'!$C$7+(1-'Energy and charging'!$C$9)*'Energy and charging'!$C$8)*'Operating costs'!$B$23,"n.a."))</f>
        <v>0</v>
      </c>
      <c r="K214" s="16">
        <f>IF(C214=0,0,IF(P214="Complete",SUM('Operating costs'!$B$24,'Operating costs'!$B$27,'Operating costs'!$B$29,'Operating costs'!$B$31,'Operating costs'!$B$33,'Operating costs'!$B$34,'Operating costs'!$B$37,'Replacement plan'!$W$58)+'Operating costs'!$B$39*'Operating costs'!$B$42+ROUNDUP(S214*(R214-'Operating costs'!$B$39)*IF('Replacement plan'!$AG$58="",'Operating costs'!$B$7,'Replacement plan'!$AG$58)/('Operating costs'!$B$8-'Operating costs'!$B$9*IF('Replacement plan'!$AG$58="",'Operating costs'!$B$7,'Replacement plan'!$AG$58)),0)*('Operating costs'!$B$9/'Operating costs'!$B$11+'Operating costs'!$B$10/60)*'Operating costs'!$B$19*'Operating costs'!$B$21,"n.a."))</f>
        <v>0</v>
      </c>
      <c r="L214" s="16">
        <f>IF(C214=0,0,IF(P214="Complete",IF(D214="EV",X214*((1-T214)*'Energy and charging'!$C$10+T214*'Energy and charging'!$C$11)*'Operating costs'!$B$22,AA214*('Energy and charging'!$C$9*'Energy and charging'!$C$7+(1-'Energy and charging'!$C$9)*'Energy and charging'!$C$8)*'Operating costs'!$B$23),"n.a."))</f>
        <v>0</v>
      </c>
      <c r="M214" s="37">
        <f>IF(C214=0,0,IF(P214="Complete",IF(D214="ICE",SUM('Operating costs'!$B$25,'Operating costs'!$B$27,'Operating costs'!$B$29,'Operating costs'!$B$31,'Operating costs'!$B$33,'Operating costs'!$B$35,'Operating costs'!$B$37,'Replacement plan'!$X$58)+'Operating costs'!$B$40*'Operating costs'!$B$42+ROUNDUP(S214*(R214-'Operating costs'!$B$40)*IF('Replacement plan'!$AH$58="",'Operating costs'!$B$7,'Replacement plan'!$AH$58)/('Operating costs'!$B$8-'Operating costs'!$B$9*IF('Replacement plan'!$AH$58="",'Operating costs'!$B$7,'Replacement plan'!$AH$58)),0)*('Operating costs'!$B$9/'Operating costs'!$B$11+'Operating costs'!$B$10/60)*'Operating costs'!$B$19*'Operating costs'!$B$21,SUM(AP214,'Operating costs'!$B$28,'Operating costs'!$B$30,'Operating costs'!$B$32,'Operating costs'!$B$33,'Operating costs'!$B$36,'Operating costs'!$B$38,'Replacement plan'!$Y$58)+'Operating costs'!$B$41*'Operating costs'!$B$43+W214*'Operating costs'!$B$15+(T214*X214/'Replacement plan'!$L$58+W214*('Operating costs'!$B$12/'Operating costs'!$B$11+('Operating costs'!$B$13+'Operating costs'!$B$14)/60)+(R214-'Operating costs'!$B$41)*(IF(T214&lt;1,'Operating costs'!$B$16,0)+'Operating costs'!$B$17)/60)*'Operating costs'!$B$19*'Operating costs'!$B$20),"n.a."))</f>
        <v>0</v>
      </c>
      <c r="N214" s="16">
        <f>IF(AND(C214=1,D214="EV",E214&lt;120,E214+'Replacement plan'!$AA$58&lt;=120),'Replacement plan'!$Z$58,0)</f>
        <v>0</v>
      </c>
      <c r="O214" s="1">
        <f>E214+'Replacement plan'!$AA$58</f>
        <v>0</v>
      </c>
      <c r="P214" s="35" t="str">
        <f>IFERROR(IF(C214=0,"Excluded",IF(OR(COUNTIFS('Fleet register'!$A$7:$A$106,A214)&lt;&gt;1,COUNTIFS('Replacement plan'!$A$7:$A$106,A214)&lt;&gt;1),"Duplicate/missing ID",IF(NOT(AND(ISNUMBER(VLOOKUP($A214,'Fleet register'!$A$7:$S$106,5,FALSE)),ISNUMBER(VLOOKUP($A214,'Fleet register'!$A$7:$S$106,6,FALSE)),ISNUMBER(VLOOKUP($A214,'Fleet register'!$A$7:$S$106,10,FALSE)),ISNUMBER(VLOOKUP($A214,'Fleet register'!$A$7:$S$106,11,FALSE)),ISNUMBER(VLOOKUP($A214,'Fleet register'!$A$7:$S$106,12,FALSE)),ISNUMBER(VLOOKUP($A214,'Fleet register'!$A$7:$S$106,13,FALSE)),ISNUMBER(VLOOKUP($A214,'Fleet register'!$A$7:$S$106,14,FALSE)),VLOOKUP($A214,'Fleet register'!$A$7:$S$106,14,FALSE)&gt;0,ISNUMBER('Replacement plan'!$C$58),OR(E214=120,ISNUMBER('Replacement plan'!$T$58)),ISNUMBER(E214))),"Missing vehicle input",IF(OR(E214&lt;0,E214&gt;VLOOKUP($A214,'Fleet register'!$A$7:$S$106,10,FALSE),E214&gt;120,E214&lt;&gt;INT(E214),VLOOKUP($A214,'Fleet register'!$A$7:$S$106,6,FALSE)&lt;=0,VLOOKUP($A214,'Fleet register'!$A$7:$S$106,6,FALSE)&gt;366,VLOOKUP($A214,'Fleet register'!$A$7:$S$106,5,FALSE)&lt;0,VLOOKUP($A214,'Fleet register'!$A$7:$S$106,11,FALSE)&lt;0,I214&lt;0,'Operating costs'!$B$8&lt;='Operating costs'!$B$7*'Operating costs'!$B$9,'Operating costs'!$B$11&lt;=0,'Operating costs'!$B$39&gt;R214,'Operating costs'!$B$40&gt;R214,'Operating costs'!$B$41&gt;R214,NOT(OR('Replacement plan'!$R$58="Keep ICE",'Replacement plan'!$R$58="New ICE",'Replacement plan'!$R$58="EV"))),"Invalid vehicle input",IF(AND(D214="EV",E214&lt;120,OR(NOT(ISNUMBER(U214)),NOT(ISNUMBER(V214)),V214&lt;=0,T214&lt;0,T214&gt;1,'Replacement plan'!$L$58&lt;=0,'Operating costs'!$B$44&lt;0,'Operating costs'!$B$44&gt;=1,'Operating costs'!$B$47&lt;=0,'Operating costs'!$B$47&gt;1,V214*'Operating costs'!$B$47/(1-'Operating costs'!$B$44)&lt;=T214*'Operating costs'!$B$12*U214,AND('Replacement plan'!$Z$58&gt;0,OR('Replacement plan'!$AB$58&lt;&gt;"Yes",'Operating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charging'!$C$8&gt;=0))),ISNUMBER(VLOOKUP($A214,'Fleet register'!$A$7:$S$106,15,FALSE)),ISNUMBER(VLOOKUP($A214,'Fleet register'!$A$7:$S$106,16,FALSE)),ISNUMBER('Replacement plan'!$W$58),ISNUMBER('Replacement plan'!$X$58),OR(E214=120,AND(ISNUMBER(G214),G214&gt;=0)),ISNUMBER(H214),H214&gt;=0,OR(D214&lt;&gt;"EV",E214=120,AND(ISNUMBER('Operating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average",ISNUMBER(IFERROR(INDEX(Products!$P$7:$P$13,MATCH(AD214,Products!$A$7:$A$13,0)),"")))),ISNUMBER('Operating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plan'!$Y$58),ISNUMBER('Replacement plan'!$Z$58),'Replacement plan'!$Z$58&gt;=0,ISNUMBER('Replacement plan'!$AA$58),'Replacement plan'!$AA$58&gt;=0,'Replacement plan'!$AA$58=INT('Replacement plan'!$AA$58),ISNUMBER('Replacement plan'!$L$58))),'Operating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plan'!$AG$58="",'Operating costs'!$B$7,'Replacement plan'!$AG$58)),IF('Replacement plan'!$AG$58="",'Operating costs'!$B$7,'Replacement plan'!$AG$58)&gt;=0,ISNUMBER(IF('Replacement plan'!$AH$58="",'Operating costs'!$B$7,'Replacement plan'!$AH$58)),IF('Replacement plan'!$AH$58="",'Operating costs'!$B$7,'Replacement plan'!$AH$58)&gt;=0,'Operating costs'!$B$8&gt;MAX(IF('Replacement plan'!$AG$58="",'Operating costs'!$B$7,'Replacement plan'!$AG$58),IF('Replacement plan'!$AH$58="",'Operating costs'!$B$7,'Replacement plan'!$AH$58))*'Operating costs'!$B$9),IF(AND(VLOOKUP($A214,'Fleet register'!$A$7:$S$106,10,FALSE)&gt;=0,VLOOKUP($A214,'Fleet register'!$A$7:$S$106,10,FALSE)&lt;=120,VLOOKUP($A214,'Fleet register'!$A$7:$S$106,10,FALSE)=INT(VLOOKUP($A214,'Fleet register'!$A$7:$S$106,10,FALSE)),VLOOKUP($A214,'Fleet register'!$A$7:$S$106,15,FALSE)&gt;=0,VLOOKUP($A214,'Fleet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costs'!$B$67)&gt;=0,OR(D214&lt;&gt;"EV",E214=120,AND(MIN('Operating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14" s="1" t="str">
        <f>IF(C214=0,"Excluded",IF(P214&lt;&gt;"Complete",P214,IF(OR('Replacement plan'!$AD$58&lt;120-E214,AND(D214="EV",E214&lt;120,OR('Replacement plan'!$AC$58&lt;120-E214,'Replacement plan'!$I$58="No",AND(ISNUMBER(AF214),AE214&gt;AF214),AI214&gt;V214*(1-'Operating costs'!$B$46)^MAX(0,AB214-1)*(1-'Operating costs'!$B$45),AC214&gt;'Operating costs'!$B$18,AND(T214&lt;1,OR(AG214&lt;=0,AND(ISNUMBER(AH214),AG214&gt;AH214))),'Replacement plan'!$L$58&gt;INDEX(Products!$H$7:$H$13,MATCH('Replacement plan'!$B$58,Products!$A$7:$A$13,0))))),"Fails entered limits",IF(AND(D214="EV",E214&lt;120,OR(NOT(ISNUMBER(VLOOKUP($A214,'Fleet register'!$A$7:$S$106,7,FALSE))),NOT(ISNUMBER(VLOOKUP($A214,'Fleet register'!$A$7:$S$106,8,FALSE))),NOT(ISNUMBER(AF214)),'Replacement plan'!$I$58&lt;&gt;"Yes",NOT(ISNUMBER(AH214)),'Operating costs'!$B$59&lt;&gt;"Yes",'Operating costs'!$B$58&lt;&gt;"Yes")),"Unverified","Within entered limits"))))</f>
        <v>Excluded</v>
      </c>
      <c r="R214" s="1">
        <f>IF(C214=0,0,VLOOKUP($A214,'Fleet register'!$A$7:$S$106,6,FALSE))</f>
        <v>0</v>
      </c>
      <c r="S214" s="1">
        <f>IF(C214=0,0,VLOOKUP($A214,'Fleet register'!$A$7:$S$106,5,FALSE))</f>
        <v>0</v>
      </c>
      <c r="T214" s="1">
        <f>IF(D214="EV",'Energy and charging'!$C$12,0)</f>
        <v>0</v>
      </c>
      <c r="U214" s="1">
        <f>IFERROR(IF(C214=0,0,IF(D214="EV",IF('Replacement plan'!$F$58="",INDEX(Products!$E$7:$E$13,MATCH('Replacement plan'!$B$58,Products!$A$7:$A$13,0)),'Replacement plan'!$F$58)/IF('Replacement plan'!$G$58="Battery",1-'Operating costs'!$B$44,1),0)),"n.a.")</f>
        <v>0</v>
      </c>
      <c r="V214" s="1">
        <f>IFERROR(IF(C214=0,0,IF(D214="EV",IF('Replacement plan'!$E$58="",INDEX(Products!$D$7:$D$13,MATCH('Replacement plan'!$B$58,Products!$A$7:$A$13,0)),'Replacement plan'!$E$58),0)),"n.a.")</f>
        <v>0</v>
      </c>
      <c r="W214" s="1">
        <f>IF(C214=0,0,IF(AND(P214="Complete",D214="EV",E214&lt;120),IF(T214=0,0,ROUNDUP(T214*(R214-'Operating costs'!$B$41)*(S214*U214+'Operating costs'!$B$48/(1-'Operating costs'!$B$44))/(V214*'Operating costs'!$B$47/(1-'Operating costs'!$B$44)-T214*'Operating costs'!$B$12*U214),0)),0))</f>
        <v>0</v>
      </c>
      <c r="X214" s="1">
        <f>IF(C214=0,0,IF(AND(P214="Complete",D214="EV",E214&lt;120),(R214-'Operating costs'!$B$41)*(S214*U214+'Operating costs'!$B$48/(1-'Operating costs'!$B$44))+W214*'Operating costs'!$B$12*U214,0))</f>
        <v>0</v>
      </c>
      <c r="Y214" s="1">
        <f>IF(AND(C214=1,D214="EV",E214&lt;120),AI214/(1-'Operating costs'!$B$44)*(1-T214),0)</f>
        <v>0</v>
      </c>
      <c r="Z214" s="1">
        <f t="shared" si="6"/>
        <v>0</v>
      </c>
      <c r="AA214" s="1">
        <f>IF(C214=0,0,IF(P214="Complete",((S214*(R214-'Operating costs'!$B$40))+ROUNDUP(S214*(R214-'Operating costs'!$B$40)*IF('Replacement plan'!$AH$58="",'Operating costs'!$B$7,'Replacement plan'!$AH$58)/('Operating costs'!$B$8-'Operating costs'!$B$9*IF('Replacement plan'!$AH$58="",'Operating costs'!$B$7,'Replacement plan'!$AH$58)),0)*'Operating costs'!$B$9)*IF('Replacement plan'!$AH$58="",'Operating costs'!$B$7,'Replacement plan'!$AH$58),"n.a."))</f>
        <v>0</v>
      </c>
      <c r="AB214" s="1">
        <f t="shared" si="7"/>
        <v>0</v>
      </c>
      <c r="AC214" s="1">
        <f>IF(AND(C214=1,D214="EV",E214&lt;120,T214&gt;0),'Operating costs'!$B$12/'Operating costs'!$B$11*60+'Operating costs'!$B$13+'Operating costs'!$B$14+V214*'Operating costs'!$B$47/(1-'Operating costs'!$B$44)/'Replacement plan'!$L$58*60,0)</f>
        <v>0</v>
      </c>
      <c r="AD214" s="1" t="str">
        <f>'Replacement plan'!$B$58</f>
        <v>ChengLong L2EV</v>
      </c>
      <c r="AE214" s="1">
        <f>IF(C214=0,0,VLOOKUP($A214,'Fleet register'!$A$7:$S$106,8,FALSE))</f>
        <v>0</v>
      </c>
      <c r="AF214" s="1" t="str">
        <f>IF('Replacement plan'!$H$58="","n.a.",'Replacement plan'!$H$58)</f>
        <v>n.a.</v>
      </c>
      <c r="AG214" s="1">
        <f>'Replacement plan'!$J$58</f>
        <v>22</v>
      </c>
      <c r="AH214" s="1">
        <f>IFERROR(IF(D214="EV",IF('Replacement plan'!$K$58="AC",IF(ISNUMBER(INDEX(Products!$G$7:$G$13,MATCH('Replacement plan'!$B$58,Products!$A$7:$A$13,0))),INDEX(Products!$G$7:$G$13,MATCH('Replacement plan'!$B$58,Products!$A$7:$A$13,0)),"n.a."),IF(ISNUMBER(INDEX(Products!$H$7:$H$13,MATCH('Replacement plan'!$B$58,Products!$A$7:$A$13,0))),INDEX(Products!$H$7:$H$13,MATCH('Replacement plan'!$B$58,Products!$A$7:$A$13,0)),"n.a.")),0),"n.a.")</f>
        <v>0</v>
      </c>
      <c r="AI214" s="1">
        <f>IF(AND(C214=1,D214="EV",E214&lt;120),(VLOOKUP($A214,'Fleet register'!$A$7:$S$106,7,FALSE)+IF(T214&gt;0,'Operating costs'!$B$12,0))*U214*(1-'Operating costs'!$B$44)+'Operating costs'!$B$49,0)</f>
        <v>0</v>
      </c>
      <c r="AJ214" s="1">
        <f>IF(D214="EV",'Energy and charging'!$C$50,0)</f>
        <v>0</v>
      </c>
      <c r="AK214" s="17">
        <f>EDATE('Operating costs'!$B$63,E214)</f>
        <v>46298</v>
      </c>
      <c r="AL214" s="1">
        <f>IFERROR(IF(D214="EV",INDEX(Products!$B$7:$B$13,MATCH('Replacement plan'!$B$58,Products!$A$7:$A$13,0)),0),"n.a.")</f>
        <v>0</v>
      </c>
      <c r="AM214" s="1" t="str">
        <f>'Replacement plan'!$K$58</f>
        <v>DC</v>
      </c>
      <c r="AN214" s="1" t="str">
        <f>'Replacement plan'!$AE$58</f>
        <v>Assumed</v>
      </c>
      <c r="AO214" s="47">
        <f>IF(AND(C214=1,D214="EV",E214&lt;120),(R214-'Operating costs'!$B$41)*S214+W214*'Operating costs'!$B$12,0)</f>
        <v>0</v>
      </c>
      <c r="AP214" s="41">
        <f>IF(AND(C214=1,D214="EV",E214&lt;120),IF('Operating costs'!$B$68="Hong Seh 200k average",AO214*IFERROR(INDEX(Products!$P$7:$P$13,MATCH(AD214,Products!$A$7:$A$13,0)),"n.a."),'Operating costs'!$B$26),0)</f>
        <v>0</v>
      </c>
      <c r="AQ214" s="40" t="str">
        <f>IF(D214="EV",'Operating costs'!$B$68,"Not applicable")</f>
        <v>Not applicable</v>
      </c>
    </row>
    <row r="215" spans="1:43" ht="24" customHeight="1">
      <c r="A215" s="1" t="str">
        <f>'Replacement plan'!A59</f>
        <v>T053</v>
      </c>
      <c r="B215" s="1">
        <v>0</v>
      </c>
      <c r="C215" s="1">
        <f>IF(COUNTIFS('Fleet register'!$A$7:$A$106,$A215)=1,VLOOKUP($A215,'Fleet register'!$A$7:$S$106,2,FALSE),0)</f>
        <v>0</v>
      </c>
      <c r="D215" s="1" t="str">
        <f>IF("Keep ICE"="EV","EV","ICE")</f>
        <v>ICE</v>
      </c>
      <c r="E215" s="1">
        <f>IF(C215=0,0,IF('Replacement plan'!$M$59="",VLOOKUP($A215,'Fleet register'!$A$7:$S$106,10,FALSE),'Replacement plan'!$M$59))</f>
        <v>0</v>
      </c>
      <c r="F215" s="16">
        <f>IF(C215=0,0,VLOOKUP($A215,'Fleet register'!$A$7:$S$106,11,FALSE))</f>
        <v>0</v>
      </c>
      <c r="G215" s="16">
        <f>IFERROR(IF(C215=0,0,IF(E215=120,0,IF(D215="ICE",'Replacement plan'!$C$59,IF('Replacement plan'!$D$59="",INDEX(Products!$I$7:$I$13,MATCH('Replacement plan'!$B$59,Products!$A$7:$A$13,0))+'Operating costs'!$B$57,'Replacement plan'!$D$59))*(1+'Operating costs'!$B$50)^(E215/12))),"n.a.")</f>
        <v>0</v>
      </c>
      <c r="H215" s="16">
        <f>IFERROR(IF(C215=0,0,IF(E215=0,F215,VLOOKUP($A215,'Fleet register'!$A$7:$S$106,12,FALSE)+VLOOKUP($A215,'Fleet register'!$A$7:$S$106,13,FALSE)*MAX(0,VLOOKUP($A215,'Fleet register'!$A$7:$S$106,10,FALSE)-E215)/VLOOKUP($A215,'Fleet register'!$A$7:$S$106,14,FALSE))),"n.a.")</f>
        <v>0</v>
      </c>
      <c r="I215" s="16">
        <f>IF(C215=0,0,IF(E215=120,0,'Replacement plan'!$N$59))</f>
        <v>0</v>
      </c>
      <c r="J215" s="16">
        <f>IF(C215=0,0,IF(P215="Complete",((S215*(R215-'Operating costs'!$B$39))+ROUNDUP(S215*(R215-'Operating costs'!$B$39)*IF('Replacement plan'!$AG$59="",'Operating costs'!$B$7,'Replacement plan'!$AG$59)/('Operating costs'!$B$8-'Operating costs'!$B$9*IF('Replacement plan'!$AG$59="",'Operating costs'!$B$7,'Replacement plan'!$AG$59)),0)*'Operating costs'!$B$9)*IF('Replacement plan'!$AG$59="",'Operating costs'!$B$7,'Replacement plan'!$AG$59)*('Energy and charging'!$B$9*'Energy and charging'!$B$7+(1-'Energy and charging'!$B$9)*'Energy and charging'!$B$8)*'Operating costs'!$B$23,"n.a."))</f>
        <v>0</v>
      </c>
      <c r="K215" s="16">
        <f>IF(C215=0,0,IF(P215="Complete",SUM('Operating costs'!$B$24,'Operating costs'!$B$27,'Operating costs'!$B$29,'Operating costs'!$B$31,'Operating costs'!$B$33,'Operating costs'!$B$34,'Operating costs'!$B$37,'Replacement plan'!$W$59)+'Operating costs'!$B$39*'Operating costs'!$B$42+ROUNDUP(S215*(R215-'Operating costs'!$B$39)*IF('Replacement plan'!$AG$59="",'Operating costs'!$B$7,'Replacement plan'!$AG$59)/('Operating costs'!$B$8-'Operating costs'!$B$9*IF('Replacement plan'!$AG$59="",'Operating costs'!$B$7,'Replacement plan'!$AG$59)),0)*('Operating costs'!$B$9/'Operating costs'!$B$11+'Operating costs'!$B$10/60)*'Operating costs'!$B$19*'Operating costs'!$B$21,"n.a."))</f>
        <v>0</v>
      </c>
      <c r="L215" s="16">
        <f>IF(C215=0,0,IF(P215="Complete",IF(D215="EV",X215*((1-T215)*'Energy and charging'!$B$10+T215*'Energy and charging'!$B$11)*'Operating costs'!$B$22,AA215*('Energy and charging'!$B$9*'Energy and charging'!$B$7+(1-'Energy and charging'!$B$9)*'Energy and charging'!$B$8)*'Operating costs'!$B$23),"n.a."))</f>
        <v>0</v>
      </c>
      <c r="M215" s="37">
        <f>IF(C215=0,0,IF(P215="Complete",IF(D215="ICE",SUM('Operating costs'!$B$25,'Operating costs'!$B$27,'Operating costs'!$B$29,'Operating costs'!$B$31,'Operating costs'!$B$33,'Operating costs'!$B$35,'Operating costs'!$B$37,'Replacement plan'!$X$59)+'Operating costs'!$B$40*'Operating costs'!$B$42+ROUNDUP(S215*(R215-'Operating costs'!$B$40)*IF('Replacement plan'!$AH$59="",'Operating costs'!$B$7,'Replacement plan'!$AH$59)/('Operating costs'!$B$8-'Operating costs'!$B$9*IF('Replacement plan'!$AH$59="",'Operating costs'!$B$7,'Replacement plan'!$AH$59)),0)*('Operating costs'!$B$9/'Operating costs'!$B$11+'Operating costs'!$B$10/60)*'Operating costs'!$B$19*'Operating costs'!$B$21,SUM(AP215,'Operating costs'!$B$28,'Operating costs'!$B$30,'Operating costs'!$B$32,'Operating costs'!$B$33,'Operating costs'!$B$36,'Operating costs'!$B$38,'Replacement plan'!$Y$59)+'Operating costs'!$B$41*'Operating costs'!$B$43+W215*'Operating costs'!$B$15+(T215*X215/'Replacement plan'!$L$59+W215*('Operating costs'!$B$12/'Operating costs'!$B$11+('Operating costs'!$B$13+'Operating costs'!$B$14)/60)+(R215-'Operating costs'!$B$41)*(IF(T215&lt;1,'Operating costs'!$B$16,0)+'Operating costs'!$B$17)/60)*'Operating costs'!$B$19*'Operating costs'!$B$20),"n.a."))</f>
        <v>0</v>
      </c>
      <c r="N215" s="16">
        <f>IF(AND(C215=1,D215="EV",E215&lt;120,E215+'Replacement plan'!$AA$59&lt;=120),'Replacement plan'!$Z$59,0)</f>
        <v>0</v>
      </c>
      <c r="O215" s="1">
        <f>E215+'Replacement plan'!$AA$59</f>
        <v>0</v>
      </c>
      <c r="P215" s="35" t="str">
        <f>IFERROR(IF(C215=0,"Excluded",IF(OR(COUNTIFS('Fleet register'!$A$7:$A$106,A215)&lt;&gt;1,COUNTIFS('Replacement plan'!$A$7:$A$106,A215)&lt;&gt;1),"Duplicate/missing ID",IF(NOT(AND(ISNUMBER(VLOOKUP($A215,'Fleet register'!$A$7:$S$106,5,FALSE)),ISNUMBER(VLOOKUP($A215,'Fleet register'!$A$7:$S$106,6,FALSE)),ISNUMBER(VLOOKUP($A215,'Fleet register'!$A$7:$S$106,10,FALSE)),ISNUMBER(VLOOKUP($A215,'Fleet register'!$A$7:$S$106,11,FALSE)),ISNUMBER(VLOOKUP($A215,'Fleet register'!$A$7:$S$106,12,FALSE)),ISNUMBER(VLOOKUP($A215,'Fleet register'!$A$7:$S$106,13,FALSE)),ISNUMBER(VLOOKUP($A215,'Fleet register'!$A$7:$S$106,14,FALSE)),VLOOKUP($A215,'Fleet register'!$A$7:$S$106,14,FALSE)&gt;0,ISNUMBER('Replacement plan'!$C$59),OR(E215=120,ISNUMBER('Replacement plan'!$N$59)),ISNUMBER(E215))),"Missing vehicle input",IF(OR(E215&lt;0,E215&gt;VLOOKUP($A215,'Fleet register'!$A$7:$S$106,10,FALSE),E215&gt;120,E215&lt;&gt;INT(E215),VLOOKUP($A215,'Fleet register'!$A$7:$S$106,6,FALSE)&lt;=0,VLOOKUP($A215,'Fleet register'!$A$7:$S$106,6,FALSE)&gt;366,VLOOKUP($A215,'Fleet register'!$A$7:$S$106,5,FALSE)&lt;0,VLOOKUP($A215,'Fleet register'!$A$7:$S$106,11,FALSE)&lt;0,I215&lt;0,'Operating costs'!$B$8&lt;='Operating costs'!$B$7*'Operating costs'!$B$9,'Operating costs'!$B$11&lt;=0,'Operating costs'!$B$39&gt;R215,'Operating costs'!$B$40&gt;R215,'Operating costs'!$B$41&gt;R215,NOT(OR("Keep ICE"="Keep ICE","Keep ICE"="New ICE","Keep ICE"="EV"))),"Invalid vehicle input",IF(AND(D215="EV",E215&lt;120,OR(NOT(ISNUMBER(U215)),NOT(ISNUMBER(V215)),V215&lt;=0,T215&lt;0,T215&gt;1,'Replacement plan'!$L$59&lt;=0,'Operating costs'!$B$44&lt;0,'Operating costs'!$B$44&gt;=1,'Operating costs'!$B$47&lt;=0,'Operating costs'!$B$47&gt;1,V215*'Operating costs'!$B$47/(1-'Operating costs'!$B$44)&lt;=T215*'Operating costs'!$B$12*U215,AND('Replacement plan'!$Z$59&gt;0,OR('Replacement plan'!$AB$59&lt;&gt;"Yes",'Operating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charging'!$B$8&gt;=0))),ISNUMBER(VLOOKUP($A215,'Fleet register'!$A$7:$S$106,15,FALSE)),ISNUMBER(VLOOKUP($A215,'Fleet register'!$A$7:$S$106,16,FALSE)),ISNUMBER('Replacement plan'!$W$59),ISNUMBER('Replacement plan'!$X$59),OR(E215=120,AND(ISNUMBER(G215),G215&gt;=0)),ISNUMBER(H215),H215&gt;=0,OR(D215&lt;&gt;"EV",E215=120,AND(ISNUMBER('Operating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average",ISNUMBER(IFERROR(INDEX(Products!$P$7:$P$13,MATCH(AD215,Products!$A$7:$A$13,0)),"")))),ISNUMBER('Operating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plan'!$Y$59),ISNUMBER('Replacement plan'!$Z$59),'Replacement plan'!$Z$59&gt;=0,ISNUMBER('Replacement plan'!$AA$59),'Replacement plan'!$AA$59&gt;=0,'Replacement plan'!$AA$59=INT('Replacement plan'!$AA$59),ISNUMBER('Replacement plan'!$L$59))),'Operating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plan'!$AG$59="",'Operating costs'!$B$7,'Replacement plan'!$AG$59)),IF('Replacement plan'!$AG$59="",'Operating costs'!$B$7,'Replacement plan'!$AG$59)&gt;=0,ISNUMBER(IF('Replacement plan'!$AH$59="",'Operating costs'!$B$7,'Replacement plan'!$AH$59)),IF('Replacement plan'!$AH$59="",'Operating costs'!$B$7,'Replacement plan'!$AH$59)&gt;=0,'Operating costs'!$B$8&gt;MAX(IF('Replacement plan'!$AG$59="",'Operating costs'!$B$7,'Replacement plan'!$AG$59),IF('Replacement plan'!$AH$59="",'Operating costs'!$B$7,'Replacement plan'!$AH$59))*'Operating costs'!$B$9),IF(AND(VLOOKUP($A215,'Fleet register'!$A$7:$S$106,10,FALSE)&gt;=0,VLOOKUP($A215,'Fleet register'!$A$7:$S$106,10,FALSE)&lt;=120,VLOOKUP($A215,'Fleet register'!$A$7:$S$106,10,FALSE)=INT(VLOOKUP($A215,'Fleet register'!$A$7:$S$106,10,FALSE)),VLOOKUP($A215,'Fleet register'!$A$7:$S$106,15,FALSE)&gt;=0,VLOOKUP($A215,'Fleet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costs'!$B$67)&gt;=0,OR(D215&lt;&gt;"EV",E215=120,AND(MIN('Operating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15" s="1" t="str">
        <f>IF(C215=0,"Excluded",IF(P215&lt;&gt;"Complete",P215,IF(OR('Replacement plan'!$AD$59&lt;120-E215,AND(D215="EV",E215&lt;120,OR('Replacement plan'!$AC$59&lt;120-E215,'Replacement plan'!$I$59="No",AND(ISNUMBER(AF215),AE215&gt;AF215),AI215&gt;V215*(1-'Operating costs'!$B$46)^MAX(0,AB215-1)*(1-'Operating costs'!$B$45),AC215&gt;'Operating costs'!$B$18,AND(T215&lt;1,OR(AG215&lt;=0,AND(ISNUMBER(AH215),AG215&gt;AH215))),'Replacement plan'!$L$59&gt;INDEX(Products!$H$7:$H$13,MATCH('Replacement plan'!$B$59,Products!$A$7:$A$13,0))))),"Fails entered limits",IF(AND(D215="EV",E215&lt;120,OR(NOT(ISNUMBER(VLOOKUP($A215,'Fleet register'!$A$7:$S$106,7,FALSE))),NOT(ISNUMBER(VLOOKUP($A215,'Fleet register'!$A$7:$S$106,8,FALSE))),NOT(ISNUMBER(AF215)),'Replacement plan'!$I$59&lt;&gt;"Yes",NOT(ISNUMBER(AH215)),'Operating costs'!$B$59&lt;&gt;"Yes",'Operating costs'!$B$58&lt;&gt;"Yes")),"Unverified","Within entered limits"))))</f>
        <v>Excluded</v>
      </c>
      <c r="R215" s="1">
        <f>IF(C215=0,0,VLOOKUP($A215,'Fleet register'!$A$7:$S$106,6,FALSE))</f>
        <v>0</v>
      </c>
      <c r="S215" s="1">
        <f>IF(C215=0,0,VLOOKUP($A215,'Fleet register'!$A$7:$S$106,5,FALSE))</f>
        <v>0</v>
      </c>
      <c r="T215" s="1">
        <f>IF(D215="EV",'Energy and charging'!$B$12,0)</f>
        <v>0</v>
      </c>
      <c r="U215" s="1">
        <f>IFERROR(IF(C215=0,0,IF(D215="EV",IF('Replacement plan'!$F$59="",INDEX(Products!$E$7:$E$13,MATCH('Replacement plan'!$B$59,Products!$A$7:$A$13,0)),'Replacement plan'!$F$59)/IF('Replacement plan'!$G$59="Battery",1-'Operating costs'!$B$44,1),0)),"n.a.")</f>
        <v>0</v>
      </c>
      <c r="V215" s="1">
        <f>IFERROR(IF(C215=0,0,IF(D215="EV",IF('Replacement plan'!$E$59="",INDEX(Products!$D$7:$D$13,MATCH('Replacement plan'!$B$59,Products!$A$7:$A$13,0)),'Replacement plan'!$E$59),0)),"n.a.")</f>
        <v>0</v>
      </c>
      <c r="W215" s="1">
        <f>IF(C215=0,0,IF(AND(P215="Complete",D215="EV",E215&lt;120),IF(T215=0,0,ROUNDUP(T215*(R215-'Operating costs'!$B$41)*(S215*U215+'Operating costs'!$B$48/(1-'Operating costs'!$B$44))/(V215*'Operating costs'!$B$47/(1-'Operating costs'!$B$44)-T215*'Operating costs'!$B$12*U215),0)),0))</f>
        <v>0</v>
      </c>
      <c r="X215" s="1">
        <f>IF(C215=0,0,IF(AND(P215="Complete",D215="EV",E215&lt;120),(R215-'Operating costs'!$B$41)*(S215*U215+'Operating costs'!$B$48/(1-'Operating costs'!$B$44))+W215*'Operating costs'!$B$12*U215,0))</f>
        <v>0</v>
      </c>
      <c r="Y215" s="1">
        <f>IF(AND(C215=1,D215="EV",E215&lt;120),AI215/(1-'Operating costs'!$B$44)*(1-T215),0)</f>
        <v>0</v>
      </c>
      <c r="Z215" s="1">
        <f t="shared" si="6"/>
        <v>0</v>
      </c>
      <c r="AA215" s="1">
        <f>IF(C215=0,0,IF(P215="Complete",((S215*(R215-'Operating costs'!$B$40))+ROUNDUP(S215*(R215-'Operating costs'!$B$40)*IF('Replacement plan'!$AH$59="",'Operating costs'!$B$7,'Replacement plan'!$AH$59)/('Operating costs'!$B$8-'Operating costs'!$B$9*IF('Replacement plan'!$AH$59="",'Operating costs'!$B$7,'Replacement plan'!$AH$59)),0)*'Operating costs'!$B$9)*IF('Replacement plan'!$AH$59="",'Operating costs'!$B$7,'Replacement plan'!$AH$59),"n.a."))</f>
        <v>0</v>
      </c>
      <c r="AB215" s="1">
        <f t="shared" si="7"/>
        <v>0</v>
      </c>
      <c r="AC215" s="1">
        <f>IF(AND(C215=1,D215="EV",E215&lt;120,T215&gt;0),'Operating costs'!$B$12/'Operating costs'!$B$11*60+'Operating costs'!$B$13+'Operating costs'!$B$14+V215*'Operating costs'!$B$47/(1-'Operating costs'!$B$44)/'Replacement plan'!$L$59*60,0)</f>
        <v>0</v>
      </c>
      <c r="AD215" s="1" t="str">
        <f>'Replacement plan'!$B$59</f>
        <v>ChengLong L2EV</v>
      </c>
      <c r="AE215" s="1">
        <f>IF(C215=0,0,VLOOKUP($A215,'Fleet register'!$A$7:$S$106,8,FALSE))</f>
        <v>0</v>
      </c>
      <c r="AF215" s="1" t="str">
        <f>IF('Replacement plan'!$H$59="","n.a.",'Replacement plan'!$H$59)</f>
        <v>n.a.</v>
      </c>
      <c r="AG215" s="1">
        <f>'Replacement plan'!$J$59</f>
        <v>22</v>
      </c>
      <c r="AH215" s="1">
        <f>IFERROR(IF(D215="EV",IF('Replacement plan'!$K$59="AC",IF(ISNUMBER(INDEX(Products!$G$7:$G$13,MATCH('Replacement plan'!$B$59,Products!$A$7:$A$13,0))),INDEX(Products!$G$7:$G$13,MATCH('Replacement plan'!$B$59,Products!$A$7:$A$13,0)),"n.a."),IF(ISNUMBER(INDEX(Products!$H$7:$H$13,MATCH('Replacement plan'!$B$59,Products!$A$7:$A$13,0))),INDEX(Products!$H$7:$H$13,MATCH('Replacement plan'!$B$59,Products!$A$7:$A$13,0)),"n.a.")),0),"n.a.")</f>
        <v>0</v>
      </c>
      <c r="AI215" s="1">
        <f>IF(AND(C215=1,D215="EV",E215&lt;120),(VLOOKUP($A215,'Fleet register'!$A$7:$S$106,7,FALSE)+IF(T215&gt;0,'Operating costs'!$B$12,0))*U215*(1-'Operating costs'!$B$44)+'Operating costs'!$B$49,0)</f>
        <v>0</v>
      </c>
      <c r="AJ215" s="1">
        <f>IF(D215="EV",'Energy and charging'!$B$50,0)</f>
        <v>0</v>
      </c>
      <c r="AK215" s="17">
        <f>EDATE('Operating costs'!$B$63,E215)</f>
        <v>46298</v>
      </c>
      <c r="AL215" s="1">
        <f>IFERROR(IF(D215="EV",INDEX(Products!$B$7:$B$13,MATCH('Replacement plan'!$B$59,Products!$A$7:$A$13,0)),0),"n.a.")</f>
        <v>0</v>
      </c>
      <c r="AM215" s="1" t="str">
        <f>'Replacement plan'!$K$59</f>
        <v>DC</v>
      </c>
      <c r="AN215" s="1" t="str">
        <f>'Replacement plan'!$AE$59</f>
        <v>Assumed</v>
      </c>
      <c r="AO215" s="47">
        <f>IF(AND(C215=1,D215="EV",E215&lt;120),(R215-'Operating costs'!$B$41)*S215+W215*'Operating costs'!$B$12,0)</f>
        <v>0</v>
      </c>
      <c r="AP215" s="41">
        <f>IF(AND(C215=1,D215="EV",E215&lt;120),IF('Operating costs'!$B$68="Hong Seh 200k average",AO215*IFERROR(INDEX(Products!$P$7:$P$13,MATCH(AD215,Products!$A$7:$A$13,0)),"n.a."),'Operating costs'!$B$26),0)</f>
        <v>0</v>
      </c>
      <c r="AQ215" s="40" t="str">
        <f>IF(D215="EV",'Operating costs'!$B$68,"Not applicable")</f>
        <v>Not applicable</v>
      </c>
    </row>
    <row r="216" spans="1:43" ht="24" customHeight="1">
      <c r="A216" s="1" t="str">
        <f>'Replacement plan'!A59</f>
        <v>T053</v>
      </c>
      <c r="B216" s="1">
        <v>1</v>
      </c>
      <c r="C216" s="1">
        <f>IF(COUNTIFS('Fleet register'!$A$7:$A$106,$A216)=1,VLOOKUP($A216,'Fleet register'!$A$7:$S$106,2,FALSE),0)</f>
        <v>0</v>
      </c>
      <c r="D216" s="1" t="str">
        <f>IF("New ICE"="EV","EV","ICE")</f>
        <v>ICE</v>
      </c>
      <c r="E216" s="1">
        <f>IF(C216=0,0,0)</f>
        <v>0</v>
      </c>
      <c r="F216" s="16">
        <f>IF(C216=0,0,VLOOKUP($A216,'Fleet register'!$A$7:$S$106,11,FALSE))</f>
        <v>0</v>
      </c>
      <c r="G216" s="16">
        <f>IFERROR(IF(C216=0,0,IF(E216=120,0,IF(D216="ICE",'Replacement plan'!$C$59,IF('Replacement plan'!$D$59="",INDEX(Products!$I$7:$I$13,MATCH('Replacement plan'!$B$59,Products!$A$7:$A$13,0))+'Operating costs'!$B$57,'Replacement plan'!$D$59))*(1+'Operating costs'!$B$50)^(E216/12))),"n.a.")</f>
        <v>0</v>
      </c>
      <c r="H216" s="16">
        <f>IFERROR(IF(C216=0,0,IF(E216=0,F216,VLOOKUP($A216,'Fleet register'!$A$7:$S$106,12,FALSE)+VLOOKUP($A216,'Fleet register'!$A$7:$S$106,13,FALSE)*MAX(0,VLOOKUP($A216,'Fleet register'!$A$7:$S$106,10,FALSE)-E216)/VLOOKUP($A216,'Fleet register'!$A$7:$S$106,14,FALSE))),"n.a.")</f>
        <v>0</v>
      </c>
      <c r="I216" s="16">
        <f>IF(C216=0,0,IF(E216=120,0,IF('Replacement plan'!$AI$59="",'Operating costs'!$B$56,'Replacement plan'!$AI$59)))</f>
        <v>0</v>
      </c>
      <c r="J216" s="16">
        <f>IF(C216=0,0,IF(P216="Complete",((S216*(R216-'Operating costs'!$B$39))+ROUNDUP(S216*(R216-'Operating costs'!$B$39)*IF('Replacement plan'!$AG$59="",'Operating costs'!$B$7,'Replacement plan'!$AG$59)/('Operating costs'!$B$8-'Operating costs'!$B$9*IF('Replacement plan'!$AG$59="",'Operating costs'!$B$7,'Replacement plan'!$AG$59)),0)*'Operating costs'!$B$9)*IF('Replacement plan'!$AG$59="",'Operating costs'!$B$7,'Replacement plan'!$AG$59)*('Energy and charging'!$B$9*'Energy and charging'!$B$7+(1-'Energy and charging'!$B$9)*'Energy and charging'!$B$8)*'Operating costs'!$B$23,"n.a."))</f>
        <v>0</v>
      </c>
      <c r="K216" s="16">
        <f>IF(C216=0,0,IF(P216="Complete",SUM('Operating costs'!$B$24,'Operating costs'!$B$27,'Operating costs'!$B$29,'Operating costs'!$B$31,'Operating costs'!$B$33,'Operating costs'!$B$34,'Operating costs'!$B$37,'Replacement plan'!$W$59)+'Operating costs'!$B$39*'Operating costs'!$B$42+ROUNDUP(S216*(R216-'Operating costs'!$B$39)*IF('Replacement plan'!$AG$59="",'Operating costs'!$B$7,'Replacement plan'!$AG$59)/('Operating costs'!$B$8-'Operating costs'!$B$9*IF('Replacement plan'!$AG$59="",'Operating costs'!$B$7,'Replacement plan'!$AG$59)),0)*('Operating costs'!$B$9/'Operating costs'!$B$11+'Operating costs'!$B$10/60)*'Operating costs'!$B$19*'Operating costs'!$B$21,"n.a."))</f>
        <v>0</v>
      </c>
      <c r="L216" s="16">
        <f>IF(C216=0,0,IF(P216="Complete",IF(D216="EV",X216*((1-T216)*'Energy and charging'!$B$10+T216*'Energy and charging'!$B$11)*'Operating costs'!$B$22,AA216*('Energy and charging'!$B$9*'Energy and charging'!$B$7+(1-'Energy and charging'!$B$9)*'Energy and charging'!$B$8)*'Operating costs'!$B$23),"n.a."))</f>
        <v>0</v>
      </c>
      <c r="M216" s="37">
        <f>IF(C216=0,0,IF(P216="Complete",IF(D216="ICE",SUM('Operating costs'!$B$25,'Operating costs'!$B$27,'Operating costs'!$B$29,'Operating costs'!$B$31,'Operating costs'!$B$33,'Operating costs'!$B$35,'Operating costs'!$B$37,'Replacement plan'!$X$59)+'Operating costs'!$B$40*'Operating costs'!$B$42+ROUNDUP(S216*(R216-'Operating costs'!$B$40)*IF('Replacement plan'!$AH$59="",'Operating costs'!$B$7,'Replacement plan'!$AH$59)/('Operating costs'!$B$8-'Operating costs'!$B$9*IF('Replacement plan'!$AH$59="",'Operating costs'!$B$7,'Replacement plan'!$AH$59)),0)*('Operating costs'!$B$9/'Operating costs'!$B$11+'Operating costs'!$B$10/60)*'Operating costs'!$B$19*'Operating costs'!$B$21,SUM(AP216,'Operating costs'!$B$28,'Operating costs'!$B$30,'Operating costs'!$B$32,'Operating costs'!$B$33,'Operating costs'!$B$36,'Operating costs'!$B$38,'Replacement plan'!$Y$59)+'Operating costs'!$B$41*'Operating costs'!$B$43+W216*'Operating costs'!$B$15+(T216*X216/'Replacement plan'!$L$59+W216*('Operating costs'!$B$12/'Operating costs'!$B$11+('Operating costs'!$B$13+'Operating costs'!$B$14)/60)+(R216-'Operating costs'!$B$41)*(IF(T216&lt;1,'Operating costs'!$B$16,0)+'Operating costs'!$B$17)/60)*'Operating costs'!$B$19*'Operating costs'!$B$20),"n.a."))</f>
        <v>0</v>
      </c>
      <c r="N216" s="16">
        <f>IF(AND(C216=1,D216="EV",E216&lt;120,E216+'Replacement plan'!$AA$59&lt;=120),'Replacement plan'!$Z$59,0)</f>
        <v>0</v>
      </c>
      <c r="O216" s="1">
        <f>E216+'Replacement plan'!$AA$59</f>
        <v>0</v>
      </c>
      <c r="P216" s="35" t="str">
        <f>IFERROR(IF(C216=0,"Excluded",IF(OR(COUNTIFS('Fleet register'!$A$7:$A$106,A216)&lt;&gt;1,COUNTIFS('Replacement plan'!$A$7:$A$106,A216)&lt;&gt;1),"Duplicate/missing ID",IF(NOT(AND(ISNUMBER(VLOOKUP($A216,'Fleet register'!$A$7:$S$106,5,FALSE)),ISNUMBER(VLOOKUP($A216,'Fleet register'!$A$7:$S$106,6,FALSE)),ISNUMBER(VLOOKUP($A216,'Fleet register'!$A$7:$S$106,10,FALSE)),ISNUMBER(VLOOKUP($A216,'Fleet register'!$A$7:$S$106,11,FALSE)),ISNUMBER(VLOOKUP($A216,'Fleet register'!$A$7:$S$106,12,FALSE)),ISNUMBER(VLOOKUP($A216,'Fleet register'!$A$7:$S$106,13,FALSE)),ISNUMBER(VLOOKUP($A216,'Fleet register'!$A$7:$S$106,14,FALSE)),VLOOKUP($A216,'Fleet register'!$A$7:$S$106,14,FALSE)&gt;0,ISNUMBER('Replacement plan'!$C$59),OR(E216=120,OR(ISNUMBER('Replacement plan'!$AI$59),AND('Replacement plan'!$AI$59="",ISNUMBER('Operating costs'!$B$56)))),ISNUMBER(E216))),"Missing vehicle input",IF(OR(E216&lt;0,E216&gt;VLOOKUP($A216,'Fleet register'!$A$7:$S$106,10,FALSE),E216&gt;120,E216&lt;&gt;INT(E216),VLOOKUP($A216,'Fleet register'!$A$7:$S$106,6,FALSE)&lt;=0,VLOOKUP($A216,'Fleet register'!$A$7:$S$106,6,FALSE)&gt;366,VLOOKUP($A216,'Fleet register'!$A$7:$S$106,5,FALSE)&lt;0,VLOOKUP($A216,'Fleet register'!$A$7:$S$106,11,FALSE)&lt;0,I216&lt;0,'Operating costs'!$B$8&lt;='Operating costs'!$B$7*'Operating costs'!$B$9,'Operating costs'!$B$11&lt;=0,'Operating costs'!$B$39&gt;R216,'Operating costs'!$B$40&gt;R216,'Operating costs'!$B$41&gt;R216,NOT(OR("New ICE"="Keep ICE","New ICE"="New ICE","New ICE"="EV"))),"Invalid vehicle input",IF(AND(D216="EV",E216&lt;120,OR(NOT(ISNUMBER(U216)),NOT(ISNUMBER(V216)),V216&lt;=0,T216&lt;0,T216&gt;1,'Replacement plan'!$L$59&lt;=0,'Operating costs'!$B$44&lt;0,'Operating costs'!$B$44&gt;=1,'Operating costs'!$B$47&lt;=0,'Operating costs'!$B$47&gt;1,V216*'Operating costs'!$B$47/(1-'Operating costs'!$B$44)&lt;=T216*'Operating costs'!$B$12*U216,AND('Replacement plan'!$Z$59&gt;0,OR('Replacement plan'!$AB$59&lt;&gt;"Yes",'Operating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charging'!$B$8&gt;=0))),ISNUMBER(VLOOKUP($A216,'Fleet register'!$A$7:$S$106,15,FALSE)),ISNUMBER(VLOOKUP($A216,'Fleet register'!$A$7:$S$106,16,FALSE)),ISNUMBER('Replacement plan'!$W$59),ISNUMBER('Replacement plan'!$X$59),OR(E216=120,AND(ISNUMBER(G216),G216&gt;=0)),ISNUMBER(H216),H216&gt;=0,OR(D216&lt;&gt;"EV",E216=120,AND(ISNUMBER('Operating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average",ISNUMBER(IFERROR(INDEX(Products!$P$7:$P$13,MATCH(AD216,Products!$A$7:$A$13,0)),"")))),ISNUMBER('Operating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plan'!$Y$59),ISNUMBER('Replacement plan'!$Z$59),'Replacement plan'!$Z$59&gt;=0,ISNUMBER('Replacement plan'!$AA$59),'Replacement plan'!$AA$59&gt;=0,'Replacement plan'!$AA$59=INT('Replacement plan'!$AA$59),ISNUMBER('Replacement plan'!$L$59))),'Operating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plan'!$AG$59="",'Operating costs'!$B$7,'Replacement plan'!$AG$59)),IF('Replacement plan'!$AG$59="",'Operating costs'!$B$7,'Replacement plan'!$AG$59)&gt;=0,ISNUMBER(IF('Replacement plan'!$AH$59="",'Operating costs'!$B$7,'Replacement plan'!$AH$59)),IF('Replacement plan'!$AH$59="",'Operating costs'!$B$7,'Replacement plan'!$AH$59)&gt;=0,'Operating costs'!$B$8&gt;MAX(IF('Replacement plan'!$AG$59="",'Operating costs'!$B$7,'Replacement plan'!$AG$59),IF('Replacement plan'!$AH$59="",'Operating costs'!$B$7,'Replacement plan'!$AH$59))*'Operating costs'!$B$9),IF(AND(VLOOKUP($A216,'Fleet register'!$A$7:$S$106,10,FALSE)&gt;=0,VLOOKUP($A216,'Fleet register'!$A$7:$S$106,10,FALSE)&lt;=120,VLOOKUP($A216,'Fleet register'!$A$7:$S$106,10,FALSE)=INT(VLOOKUP($A216,'Fleet register'!$A$7:$S$106,10,FALSE)),VLOOKUP($A216,'Fleet register'!$A$7:$S$106,15,FALSE)&gt;=0,VLOOKUP($A216,'Fleet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costs'!$B$67)&gt;=0,OR(D216&lt;&gt;"EV",E216=120,AND(MIN('Operating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16" s="1" t="str">
        <f>IF(C216=0,"Excluded",IF(P216&lt;&gt;"Complete",P216,IF(OR('Replacement plan'!$AD$59&lt;120-E216,AND(D216="EV",E216&lt;120,OR('Replacement plan'!$AC$59&lt;120-E216,'Replacement plan'!$I$59="No",AND(ISNUMBER(AF216),AE216&gt;AF216),AI216&gt;V216*(1-'Operating costs'!$B$46)^MAX(0,AB216-1)*(1-'Operating costs'!$B$45),AC216&gt;'Operating costs'!$B$18,AND(T216&lt;1,OR(AG216&lt;=0,AND(ISNUMBER(AH216),AG216&gt;AH216))),'Replacement plan'!$L$59&gt;INDEX(Products!$H$7:$H$13,MATCH('Replacement plan'!$B$59,Products!$A$7:$A$13,0))))),"Fails entered limits",IF(AND(D216="EV",E216&lt;120,OR(NOT(ISNUMBER(VLOOKUP($A216,'Fleet register'!$A$7:$S$106,7,FALSE))),NOT(ISNUMBER(VLOOKUP($A216,'Fleet register'!$A$7:$S$106,8,FALSE))),NOT(ISNUMBER(AF216)),'Replacement plan'!$I$59&lt;&gt;"Yes",NOT(ISNUMBER(AH216)),'Operating costs'!$B$59&lt;&gt;"Yes",'Operating costs'!$B$58&lt;&gt;"Yes")),"Unverified","Within entered limits"))))</f>
        <v>Excluded</v>
      </c>
      <c r="R216" s="1">
        <f>IF(C216=0,0,VLOOKUP($A216,'Fleet register'!$A$7:$S$106,6,FALSE))</f>
        <v>0</v>
      </c>
      <c r="S216" s="1">
        <f>IF(C216=0,0,VLOOKUP($A216,'Fleet register'!$A$7:$S$106,5,FALSE))</f>
        <v>0</v>
      </c>
      <c r="T216" s="1">
        <f>IF(D216="EV",'Energy and charging'!$B$12,0)</f>
        <v>0</v>
      </c>
      <c r="U216" s="1">
        <f>IFERROR(IF(C216=0,0,IF(D216="EV",IF('Replacement plan'!$F$59="",INDEX(Products!$E$7:$E$13,MATCH('Replacement plan'!$B$59,Products!$A$7:$A$13,0)),'Replacement plan'!$F$59)/IF('Replacement plan'!$G$59="Battery",1-'Operating costs'!$B$44,1),0)),"n.a.")</f>
        <v>0</v>
      </c>
      <c r="V216" s="1">
        <f>IFERROR(IF(C216=0,0,IF(D216="EV",IF('Replacement plan'!$E$59="",INDEX(Products!$D$7:$D$13,MATCH('Replacement plan'!$B$59,Products!$A$7:$A$13,0)),'Replacement plan'!$E$59),0)),"n.a.")</f>
        <v>0</v>
      </c>
      <c r="W216" s="1">
        <f>IF(C216=0,0,IF(AND(P216="Complete",D216="EV",E216&lt;120),IF(T216=0,0,ROUNDUP(T216*(R216-'Operating costs'!$B$41)*(S216*U216+'Operating costs'!$B$48/(1-'Operating costs'!$B$44))/(V216*'Operating costs'!$B$47/(1-'Operating costs'!$B$44)-T216*'Operating costs'!$B$12*U216),0)),0))</f>
        <v>0</v>
      </c>
      <c r="X216" s="1">
        <f>IF(C216=0,0,IF(AND(P216="Complete",D216="EV",E216&lt;120),(R216-'Operating costs'!$B$41)*(S216*U216+'Operating costs'!$B$48/(1-'Operating costs'!$B$44))+W216*'Operating costs'!$B$12*U216,0))</f>
        <v>0</v>
      </c>
      <c r="Y216" s="1">
        <f>IF(AND(C216=1,D216="EV",E216&lt;120),AI216/(1-'Operating costs'!$B$44)*(1-T216),0)</f>
        <v>0</v>
      </c>
      <c r="Z216" s="1">
        <f t="shared" si="6"/>
        <v>0</v>
      </c>
      <c r="AA216" s="1">
        <f>IF(C216=0,0,IF(P216="Complete",((S216*(R216-'Operating costs'!$B$40))+ROUNDUP(S216*(R216-'Operating costs'!$B$40)*IF('Replacement plan'!$AH$59="",'Operating costs'!$B$7,'Replacement plan'!$AH$59)/('Operating costs'!$B$8-'Operating costs'!$B$9*IF('Replacement plan'!$AH$59="",'Operating costs'!$B$7,'Replacement plan'!$AH$59)),0)*'Operating costs'!$B$9)*IF('Replacement plan'!$AH$59="",'Operating costs'!$B$7,'Replacement plan'!$AH$59),"n.a."))</f>
        <v>0</v>
      </c>
      <c r="AB216" s="1">
        <f t="shared" si="7"/>
        <v>0</v>
      </c>
      <c r="AC216" s="1">
        <f>IF(AND(C216=1,D216="EV",E216&lt;120,T216&gt;0),'Operating costs'!$B$12/'Operating costs'!$B$11*60+'Operating costs'!$B$13+'Operating costs'!$B$14+V216*'Operating costs'!$B$47/(1-'Operating costs'!$B$44)/'Replacement plan'!$L$59*60,0)</f>
        <v>0</v>
      </c>
      <c r="AD216" s="1" t="str">
        <f>'Replacement plan'!$B$59</f>
        <v>ChengLong L2EV</v>
      </c>
      <c r="AE216" s="1">
        <f>IF(C216=0,0,VLOOKUP($A216,'Fleet register'!$A$7:$S$106,8,FALSE))</f>
        <v>0</v>
      </c>
      <c r="AF216" s="1" t="str">
        <f>IF('Replacement plan'!$H$59="","n.a.",'Replacement plan'!$H$59)</f>
        <v>n.a.</v>
      </c>
      <c r="AG216" s="1">
        <f>'Replacement plan'!$J$59</f>
        <v>22</v>
      </c>
      <c r="AH216" s="1">
        <f>IFERROR(IF(D216="EV",IF('Replacement plan'!$K$59="AC",IF(ISNUMBER(INDEX(Products!$G$7:$G$13,MATCH('Replacement plan'!$B$59,Products!$A$7:$A$13,0))),INDEX(Products!$G$7:$G$13,MATCH('Replacement plan'!$B$59,Products!$A$7:$A$13,0)),"n.a."),IF(ISNUMBER(INDEX(Products!$H$7:$H$13,MATCH('Replacement plan'!$B$59,Products!$A$7:$A$13,0))),INDEX(Products!$H$7:$H$13,MATCH('Replacement plan'!$B$59,Products!$A$7:$A$13,0)),"n.a.")),0),"n.a.")</f>
        <v>0</v>
      </c>
      <c r="AI216" s="1">
        <f>IF(AND(C216=1,D216="EV",E216&lt;120),(VLOOKUP($A216,'Fleet register'!$A$7:$S$106,7,FALSE)+IF(T216&gt;0,'Operating costs'!$B$12,0))*U216*(1-'Operating costs'!$B$44)+'Operating costs'!$B$49,0)</f>
        <v>0</v>
      </c>
      <c r="AJ216" s="1">
        <f>IF(D216="EV",'Energy and charging'!$B$50,0)</f>
        <v>0</v>
      </c>
      <c r="AK216" s="17">
        <f>EDATE('Operating costs'!$B$63,E216)</f>
        <v>46298</v>
      </c>
      <c r="AL216" s="1">
        <f>IFERROR(IF(D216="EV",INDEX(Products!$B$7:$B$13,MATCH('Replacement plan'!$B$59,Products!$A$7:$A$13,0)),0),"n.a.")</f>
        <v>0</v>
      </c>
      <c r="AM216" s="1" t="str">
        <f>'Replacement plan'!$K$59</f>
        <v>DC</v>
      </c>
      <c r="AN216" s="1" t="str">
        <f>'Replacement plan'!$AE$59</f>
        <v>Assumed</v>
      </c>
      <c r="AO216" s="47">
        <f>IF(AND(C216=1,D216="EV",E216&lt;120),(R216-'Operating costs'!$B$41)*S216+W216*'Operating costs'!$B$12,0)</f>
        <v>0</v>
      </c>
      <c r="AP216" s="41">
        <f>IF(AND(C216=1,D216="EV",E216&lt;120),IF('Operating costs'!$B$68="Hong Seh 200k average",AO216*IFERROR(INDEX(Products!$P$7:$P$13,MATCH(AD216,Products!$A$7:$A$13,0)),"n.a."),'Operating costs'!$B$26),0)</f>
        <v>0</v>
      </c>
      <c r="AQ216" s="40" t="str">
        <f>IF(D216="EV",'Operating costs'!$B$68,"Not applicable")</f>
        <v>Not applicable</v>
      </c>
    </row>
    <row r="217" spans="1:43" ht="24" customHeight="1">
      <c r="A217" s="1" t="str">
        <f>'Replacement plan'!A59</f>
        <v>T053</v>
      </c>
      <c r="B217" s="1">
        <v>2</v>
      </c>
      <c r="C217" s="1">
        <f>IF(COUNTIFS('Fleet register'!$A$7:$A$106,$A217)=1,VLOOKUP($A217,'Fleet register'!$A$7:$S$106,2,FALSE),0)</f>
        <v>0</v>
      </c>
      <c r="D217" s="1" t="str">
        <f>IF('Replacement plan'!$O$59="EV","EV","ICE")</f>
        <v>ICE</v>
      </c>
      <c r="E217" s="1">
        <f>IF(C217=0,0,IF('Replacement plan'!$P$59="",IF('Replacement plan'!$O$59="Keep ICE",IF('Replacement plan'!$M$59="",VLOOKUP($A217,'Fleet register'!$A$7:$S$106,10,FALSE),'Replacement plan'!$M$59),0),'Replacement plan'!$P$59))</f>
        <v>0</v>
      </c>
      <c r="F217" s="16">
        <f>IF(C217=0,0,VLOOKUP($A217,'Fleet register'!$A$7:$S$106,11,FALSE))</f>
        <v>0</v>
      </c>
      <c r="G217" s="16">
        <f>IFERROR(IF(C217=0,0,IF(E217=120,0,IF(D217="ICE",'Replacement plan'!$C$59,IF('Replacement plan'!$D$59="",INDEX(Products!$I$7:$I$13,MATCH('Replacement plan'!$B$59,Products!$A$7:$A$13,0))+'Operating costs'!$B$57,'Replacement plan'!$D$59))*(1+'Operating costs'!$B$50)^(E217/12))),"n.a.")</f>
        <v>0</v>
      </c>
      <c r="H217" s="16">
        <f>IFERROR(IF(C217=0,0,IF('Replacement plan'!$U$59&lt;&gt;"",'Replacement plan'!$U$59,IF(E217=0,F217,VLOOKUP($A217,'Fleet register'!$A$7:$S$106,12,FALSE)+VLOOKUP($A217,'Fleet register'!$A$7:$S$106,13,FALSE)*MAX(0,VLOOKUP($A217,'Fleet register'!$A$7:$S$106,10,FALSE)-E217)/VLOOKUP($A217,'Fleet register'!$A$7:$S$106,14,FALSE)))),"n.a.")</f>
        <v>0</v>
      </c>
      <c r="I217" s="16">
        <f>IF(C217=0,0,IF(E217=120,0,'Replacement plan'!$Q$59))</f>
        <v>0</v>
      </c>
      <c r="J217" s="16">
        <f>IF(C217=0,0,IF(P217="Complete",((S217*(R217-'Operating costs'!$B$39))+ROUNDUP(S217*(R217-'Operating costs'!$B$39)*IF('Replacement plan'!$AG$59="",'Operating costs'!$B$7,'Replacement plan'!$AG$59)/('Operating costs'!$B$8-'Operating costs'!$B$9*IF('Replacement plan'!$AG$59="",'Operating costs'!$B$7,'Replacement plan'!$AG$59)),0)*'Operating costs'!$B$9)*IF('Replacement plan'!$AG$59="",'Operating costs'!$B$7,'Replacement plan'!$AG$59)*('Energy and charging'!$B$9*'Energy and charging'!$B$7+(1-'Energy and charging'!$B$9)*'Energy and charging'!$B$8)*'Operating costs'!$B$23,"n.a."))</f>
        <v>0</v>
      </c>
      <c r="K217" s="16">
        <f>IF(C217=0,0,IF(P217="Complete",SUM('Operating costs'!$B$24,'Operating costs'!$B$27,'Operating costs'!$B$29,'Operating costs'!$B$31,'Operating costs'!$B$33,'Operating costs'!$B$34,'Operating costs'!$B$37,'Replacement plan'!$W$59)+'Operating costs'!$B$39*'Operating costs'!$B$42+ROUNDUP(S217*(R217-'Operating costs'!$B$39)*IF('Replacement plan'!$AG$59="",'Operating costs'!$B$7,'Replacement plan'!$AG$59)/('Operating costs'!$B$8-'Operating costs'!$B$9*IF('Replacement plan'!$AG$59="",'Operating costs'!$B$7,'Replacement plan'!$AG$59)),0)*('Operating costs'!$B$9/'Operating costs'!$B$11+'Operating costs'!$B$10/60)*'Operating costs'!$B$19*'Operating costs'!$B$21,"n.a."))</f>
        <v>0</v>
      </c>
      <c r="L217" s="16">
        <f>IF(C217=0,0,IF(P217="Complete",IF(D217="EV",X217*((1-T217)*'Energy and charging'!$B$10+T217*'Energy and charging'!$B$11)*'Operating costs'!$B$22,AA217*('Energy and charging'!$B$9*'Energy and charging'!$B$7+(1-'Energy and charging'!$B$9)*'Energy and charging'!$B$8)*'Operating costs'!$B$23),"n.a."))</f>
        <v>0</v>
      </c>
      <c r="M217" s="37">
        <f>IF(C217=0,0,IF(P217="Complete",IF(D217="ICE",SUM('Operating costs'!$B$25,'Operating costs'!$B$27,'Operating costs'!$B$29,'Operating costs'!$B$31,'Operating costs'!$B$33,'Operating costs'!$B$35,'Operating costs'!$B$37,'Replacement plan'!$X$59)+'Operating costs'!$B$40*'Operating costs'!$B$42+ROUNDUP(S217*(R217-'Operating costs'!$B$40)*IF('Replacement plan'!$AH$59="",'Operating costs'!$B$7,'Replacement plan'!$AH$59)/('Operating costs'!$B$8-'Operating costs'!$B$9*IF('Replacement plan'!$AH$59="",'Operating costs'!$B$7,'Replacement plan'!$AH$59)),0)*('Operating costs'!$B$9/'Operating costs'!$B$11+'Operating costs'!$B$10/60)*'Operating costs'!$B$19*'Operating costs'!$B$21,SUM(AP217,'Operating costs'!$B$28,'Operating costs'!$B$30,'Operating costs'!$B$32,'Operating costs'!$B$33,'Operating costs'!$B$36,'Operating costs'!$B$38,'Replacement plan'!$Y$59)+'Operating costs'!$B$41*'Operating costs'!$B$43+W217*'Operating costs'!$B$15+(T217*X217/'Replacement plan'!$L$59+W217*('Operating costs'!$B$12/'Operating costs'!$B$11+('Operating costs'!$B$13+'Operating costs'!$B$14)/60)+(R217-'Operating costs'!$B$41)*(IF(T217&lt;1,'Operating costs'!$B$16,0)+'Operating costs'!$B$17)/60)*'Operating costs'!$B$19*'Operating costs'!$B$20),"n.a."))</f>
        <v>0</v>
      </c>
      <c r="N217" s="16">
        <f>IF(AND(C217=1,D217="EV",E217&lt;120,E217+'Replacement plan'!$AA$59&lt;=120),'Replacement plan'!$Z$59,0)</f>
        <v>0</v>
      </c>
      <c r="O217" s="1">
        <f>E217+'Replacement plan'!$AA$59</f>
        <v>0</v>
      </c>
      <c r="P217" s="35" t="str">
        <f>IFERROR(IF(C217=0,"Excluded",IF(OR(COUNTIFS('Fleet register'!$A$7:$A$106,A217)&lt;&gt;1,COUNTIFS('Replacement plan'!$A$7:$A$106,A217)&lt;&gt;1),"Duplicate/missing ID",IF(NOT(AND(ISNUMBER(VLOOKUP($A217,'Fleet register'!$A$7:$S$106,5,FALSE)),ISNUMBER(VLOOKUP($A217,'Fleet register'!$A$7:$S$106,6,FALSE)),ISNUMBER(VLOOKUP($A217,'Fleet register'!$A$7:$S$106,10,FALSE)),ISNUMBER(VLOOKUP($A217,'Fleet register'!$A$7:$S$106,11,FALSE)),ISNUMBER(VLOOKUP($A217,'Fleet register'!$A$7:$S$106,12,FALSE)),ISNUMBER(VLOOKUP($A217,'Fleet register'!$A$7:$S$106,13,FALSE)),ISNUMBER(VLOOKUP($A217,'Fleet register'!$A$7:$S$106,14,FALSE)),VLOOKUP($A217,'Fleet register'!$A$7:$S$106,14,FALSE)&gt;0,ISNUMBER('Replacement plan'!$C$59),OR(E217=120,ISNUMBER('Replacement plan'!$Q$59)),ISNUMBER(E217))),"Missing vehicle input",IF(OR(E217&lt;0,E217&gt;VLOOKUP($A217,'Fleet register'!$A$7:$S$106,10,FALSE),E217&gt;120,E217&lt;&gt;INT(E217),VLOOKUP($A217,'Fleet register'!$A$7:$S$106,6,FALSE)&lt;=0,VLOOKUP($A217,'Fleet register'!$A$7:$S$106,6,FALSE)&gt;366,VLOOKUP($A217,'Fleet register'!$A$7:$S$106,5,FALSE)&lt;0,VLOOKUP($A217,'Fleet register'!$A$7:$S$106,11,FALSE)&lt;0,I217&lt;0,'Operating costs'!$B$8&lt;='Operating costs'!$B$7*'Operating costs'!$B$9,'Operating costs'!$B$11&lt;=0,'Operating costs'!$B$39&gt;R217,'Operating costs'!$B$40&gt;R217,'Operating costs'!$B$41&gt;R217,NOT(OR('Replacement plan'!$O$59="Keep ICE",'Replacement plan'!$O$59="New ICE",'Replacement plan'!$O$59="EV"))),"Invalid vehicle input",IF(AND(D217="EV",E217&lt;120,OR(NOT(ISNUMBER(U217)),NOT(ISNUMBER(V217)),V217&lt;=0,T217&lt;0,T217&gt;1,'Replacement plan'!$L$59&lt;=0,'Operating costs'!$B$44&lt;0,'Operating costs'!$B$44&gt;=1,'Operating costs'!$B$47&lt;=0,'Operating costs'!$B$47&gt;1,V217*'Operating costs'!$B$47/(1-'Operating costs'!$B$44)&lt;=T217*'Operating costs'!$B$12*U217,AND('Replacement plan'!$Z$59&gt;0,OR('Replacement plan'!$AB$59&lt;&gt;"Yes",'Operating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charging'!$B$8&gt;=0))),ISNUMBER(VLOOKUP($A217,'Fleet register'!$A$7:$S$106,15,FALSE)),ISNUMBER(VLOOKUP($A217,'Fleet register'!$A$7:$S$106,16,FALSE)),ISNUMBER('Replacement plan'!$W$59),ISNUMBER('Replacement plan'!$X$59),OR(E217=120,AND(ISNUMBER(G217),G217&gt;=0)),ISNUMBER(H217),H217&gt;=0,OR(D217&lt;&gt;"EV",E217=120,AND(ISNUMBER('Operating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average",ISNUMBER(IFERROR(INDEX(Products!$P$7:$P$13,MATCH(AD217,Products!$A$7:$A$13,0)),"")))),ISNUMBER('Operating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plan'!$Y$59),ISNUMBER('Replacement plan'!$Z$59),'Replacement plan'!$Z$59&gt;=0,ISNUMBER('Replacement plan'!$AA$59),'Replacement plan'!$AA$59&gt;=0,'Replacement plan'!$AA$59=INT('Replacement plan'!$AA$59),ISNUMBER('Replacement plan'!$L$59))),'Operating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plan'!$AG$59="",'Operating costs'!$B$7,'Replacement plan'!$AG$59)),IF('Replacement plan'!$AG$59="",'Operating costs'!$B$7,'Replacement plan'!$AG$59)&gt;=0,ISNUMBER(IF('Replacement plan'!$AH$59="",'Operating costs'!$B$7,'Replacement plan'!$AH$59)),IF('Replacement plan'!$AH$59="",'Operating costs'!$B$7,'Replacement plan'!$AH$59)&gt;=0,'Operating costs'!$B$8&gt;MAX(IF('Replacement plan'!$AG$59="",'Operating costs'!$B$7,'Replacement plan'!$AG$59),IF('Replacement plan'!$AH$59="",'Operating costs'!$B$7,'Replacement plan'!$AH$59))*'Operating costs'!$B$9),IF(AND(VLOOKUP($A217,'Fleet register'!$A$7:$S$106,10,FALSE)&gt;=0,VLOOKUP($A217,'Fleet register'!$A$7:$S$106,10,FALSE)&lt;=120,VLOOKUP($A217,'Fleet register'!$A$7:$S$106,10,FALSE)=INT(VLOOKUP($A217,'Fleet register'!$A$7:$S$106,10,FALSE)),VLOOKUP($A217,'Fleet register'!$A$7:$S$106,15,FALSE)&gt;=0,VLOOKUP($A217,'Fleet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costs'!$B$67)&gt;=0,OR(D217&lt;&gt;"EV",E217=120,AND(MIN('Operating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17" s="1" t="str">
        <f>IF(C217=0,"Excluded",IF(P217&lt;&gt;"Complete",P217,IF(OR('Replacement plan'!$AD$59&lt;120-E217,AND(D217="EV",E217&lt;120,OR('Replacement plan'!$AC$59&lt;120-E217,'Replacement plan'!$I$59="No",AND(ISNUMBER(AF217),AE217&gt;AF217),AI217&gt;V217*(1-'Operating costs'!$B$46)^MAX(0,AB217-1)*(1-'Operating costs'!$B$45),AC217&gt;'Operating costs'!$B$18,AND(T217&lt;1,OR(AG217&lt;=0,AND(ISNUMBER(AH217),AG217&gt;AH217))),'Replacement plan'!$L$59&gt;INDEX(Products!$H$7:$H$13,MATCH('Replacement plan'!$B$59,Products!$A$7:$A$13,0))))),"Fails entered limits",IF(AND(D217="EV",E217&lt;120,OR(NOT(ISNUMBER(VLOOKUP($A217,'Fleet register'!$A$7:$S$106,7,FALSE))),NOT(ISNUMBER(VLOOKUP($A217,'Fleet register'!$A$7:$S$106,8,FALSE))),NOT(ISNUMBER(AF217)),'Replacement plan'!$I$59&lt;&gt;"Yes",NOT(ISNUMBER(AH217)),'Operating costs'!$B$59&lt;&gt;"Yes",'Operating costs'!$B$58&lt;&gt;"Yes")),"Unverified","Within entered limits"))))</f>
        <v>Excluded</v>
      </c>
      <c r="R217" s="1">
        <f>IF(C217=0,0,VLOOKUP($A217,'Fleet register'!$A$7:$S$106,6,FALSE))</f>
        <v>0</v>
      </c>
      <c r="S217" s="1">
        <f>IF(C217=0,0,VLOOKUP($A217,'Fleet register'!$A$7:$S$106,5,FALSE))</f>
        <v>0</v>
      </c>
      <c r="T217" s="1">
        <f>IF(D217="EV",'Energy and charging'!$B$12,0)</f>
        <v>0</v>
      </c>
      <c r="U217" s="1">
        <f>IFERROR(IF(C217=0,0,IF(D217="EV",IF('Replacement plan'!$F$59="",INDEX(Products!$E$7:$E$13,MATCH('Replacement plan'!$B$59,Products!$A$7:$A$13,0)),'Replacement plan'!$F$59)/IF('Replacement plan'!$G$59="Battery",1-'Operating costs'!$B$44,1),0)),"n.a.")</f>
        <v>0</v>
      </c>
      <c r="V217" s="1">
        <f>IFERROR(IF(C217=0,0,IF(D217="EV",IF('Replacement plan'!$E$59="",INDEX(Products!$D$7:$D$13,MATCH('Replacement plan'!$B$59,Products!$A$7:$A$13,0)),'Replacement plan'!$E$59),0)),"n.a.")</f>
        <v>0</v>
      </c>
      <c r="W217" s="1">
        <f>IF(C217=0,0,IF(AND(P217="Complete",D217="EV",E217&lt;120),IF(T217=0,0,ROUNDUP(T217*(R217-'Operating costs'!$B$41)*(S217*U217+'Operating costs'!$B$48/(1-'Operating costs'!$B$44))/(V217*'Operating costs'!$B$47/(1-'Operating costs'!$B$44)-T217*'Operating costs'!$B$12*U217),0)),0))</f>
        <v>0</v>
      </c>
      <c r="X217" s="1">
        <f>IF(C217=0,0,IF(AND(P217="Complete",D217="EV",E217&lt;120),(R217-'Operating costs'!$B$41)*(S217*U217+'Operating costs'!$B$48/(1-'Operating costs'!$B$44))+W217*'Operating costs'!$B$12*U217,0))</f>
        <v>0</v>
      </c>
      <c r="Y217" s="1">
        <f>IF(AND(C217=1,D217="EV",E217&lt;120),AI217/(1-'Operating costs'!$B$44)*(1-T217),0)</f>
        <v>0</v>
      </c>
      <c r="Z217" s="1">
        <f t="shared" si="6"/>
        <v>0</v>
      </c>
      <c r="AA217" s="1">
        <f>IF(C217=0,0,IF(P217="Complete",((S217*(R217-'Operating costs'!$B$40))+ROUNDUP(S217*(R217-'Operating costs'!$B$40)*IF('Replacement plan'!$AH$59="",'Operating costs'!$B$7,'Replacement plan'!$AH$59)/('Operating costs'!$B$8-'Operating costs'!$B$9*IF('Replacement plan'!$AH$59="",'Operating costs'!$B$7,'Replacement plan'!$AH$59)),0)*'Operating costs'!$B$9)*IF('Replacement plan'!$AH$59="",'Operating costs'!$B$7,'Replacement plan'!$AH$59),"n.a."))</f>
        <v>0</v>
      </c>
      <c r="AB217" s="1">
        <f t="shared" si="7"/>
        <v>0</v>
      </c>
      <c r="AC217" s="1">
        <f>IF(AND(C217=1,D217="EV",E217&lt;120,T217&gt;0),'Operating costs'!$B$12/'Operating costs'!$B$11*60+'Operating costs'!$B$13+'Operating costs'!$B$14+V217*'Operating costs'!$B$47/(1-'Operating costs'!$B$44)/'Replacement plan'!$L$59*60,0)</f>
        <v>0</v>
      </c>
      <c r="AD217" s="1" t="str">
        <f>'Replacement plan'!$B$59</f>
        <v>ChengLong L2EV</v>
      </c>
      <c r="AE217" s="1">
        <f>IF(C217=0,0,VLOOKUP($A217,'Fleet register'!$A$7:$S$106,8,FALSE))</f>
        <v>0</v>
      </c>
      <c r="AF217" s="1" t="str">
        <f>IF('Replacement plan'!$H$59="","n.a.",'Replacement plan'!$H$59)</f>
        <v>n.a.</v>
      </c>
      <c r="AG217" s="1">
        <f>'Replacement plan'!$J$59</f>
        <v>22</v>
      </c>
      <c r="AH217" s="1">
        <f>IFERROR(IF(D217="EV",IF('Replacement plan'!$K$59="AC",IF(ISNUMBER(INDEX(Products!$G$7:$G$13,MATCH('Replacement plan'!$B$59,Products!$A$7:$A$13,0))),INDEX(Products!$G$7:$G$13,MATCH('Replacement plan'!$B$59,Products!$A$7:$A$13,0)),"n.a."),IF(ISNUMBER(INDEX(Products!$H$7:$H$13,MATCH('Replacement plan'!$B$59,Products!$A$7:$A$13,0))),INDEX(Products!$H$7:$H$13,MATCH('Replacement plan'!$B$59,Products!$A$7:$A$13,0)),"n.a.")),0),"n.a.")</f>
        <v>0</v>
      </c>
      <c r="AI217" s="1">
        <f>IF(AND(C217=1,D217="EV",E217&lt;120),(VLOOKUP($A217,'Fleet register'!$A$7:$S$106,7,FALSE)+IF(T217&gt;0,'Operating costs'!$B$12,0))*U217*(1-'Operating costs'!$B$44)+'Operating costs'!$B$49,0)</f>
        <v>0</v>
      </c>
      <c r="AJ217" s="1">
        <f>IF(D217="EV",'Energy and charging'!$B$50,0)</f>
        <v>0</v>
      </c>
      <c r="AK217" s="17">
        <f>EDATE('Operating costs'!$B$63,E217)</f>
        <v>46298</v>
      </c>
      <c r="AL217" s="1">
        <f>IFERROR(IF(D217="EV",INDEX(Products!$B$7:$B$13,MATCH('Replacement plan'!$B$59,Products!$A$7:$A$13,0)),0),"n.a.")</f>
        <v>0</v>
      </c>
      <c r="AM217" s="1" t="str">
        <f>'Replacement plan'!$K$59</f>
        <v>DC</v>
      </c>
      <c r="AN217" s="1" t="str">
        <f>'Replacement plan'!$AE$59</f>
        <v>Assumed</v>
      </c>
      <c r="AO217" s="47">
        <f>IF(AND(C217=1,D217="EV",E217&lt;120),(R217-'Operating costs'!$B$41)*S217+W217*'Operating costs'!$B$12,0)</f>
        <v>0</v>
      </c>
      <c r="AP217" s="41">
        <f>IF(AND(C217=1,D217="EV",E217&lt;120),IF('Operating costs'!$B$68="Hong Seh 200k average",AO217*IFERROR(INDEX(Products!$P$7:$P$13,MATCH(AD217,Products!$A$7:$A$13,0)),"n.a."),'Operating costs'!$B$26),0)</f>
        <v>0</v>
      </c>
      <c r="AQ217" s="40" t="str">
        <f>IF(D217="EV",'Operating costs'!$B$68,"Not applicable")</f>
        <v>Not applicable</v>
      </c>
    </row>
    <row r="218" spans="1:43" ht="24" customHeight="1">
      <c r="A218" s="1" t="str">
        <f>'Replacement plan'!A59</f>
        <v>T053</v>
      </c>
      <c r="B218" s="1">
        <v>3</v>
      </c>
      <c r="C218" s="1">
        <f>IF(COUNTIFS('Fleet register'!$A$7:$A$106,$A218)=1,VLOOKUP($A218,'Fleet register'!$A$7:$S$106,2,FALSE),0)</f>
        <v>0</v>
      </c>
      <c r="D218" s="1" t="str">
        <f>IF('Replacement plan'!$R$59="EV","EV","ICE")</f>
        <v>ICE</v>
      </c>
      <c r="E218" s="1">
        <f>IF(C218=0,0,IF('Replacement plan'!$S$59="",IF('Replacement plan'!$R$59="Keep ICE",IF('Replacement plan'!$M$59="",VLOOKUP($A218,'Fleet register'!$A$7:$S$106,10,FALSE),'Replacement plan'!$M$59),0),'Replacement plan'!$S$59))</f>
        <v>0</v>
      </c>
      <c r="F218" s="16">
        <f>IF(C218=0,0,VLOOKUP($A218,'Fleet register'!$A$7:$S$106,11,FALSE))</f>
        <v>0</v>
      </c>
      <c r="G218" s="16">
        <f>IFERROR(IF(C218=0,0,IF(E218=120,0,IF(D218="ICE",'Replacement plan'!$C$59,IF('Replacement plan'!$D$59="",INDEX(Products!$I$7:$I$13,MATCH('Replacement plan'!$B$59,Products!$A$7:$A$13,0))+'Operating costs'!$B$57,'Replacement plan'!$D$59))*(1+'Operating costs'!$B$50)^(E218/12))),"n.a.")</f>
        <v>0</v>
      </c>
      <c r="H218" s="16">
        <f>IFERROR(IF(C218=0,0,IF('Replacement plan'!$V$59&lt;&gt;"",'Replacement plan'!$V$59,IF(E218=0,F218,VLOOKUP($A218,'Fleet register'!$A$7:$S$106,12,FALSE)+VLOOKUP($A218,'Fleet register'!$A$7:$S$106,13,FALSE)*MAX(0,VLOOKUP($A218,'Fleet register'!$A$7:$S$106,10,FALSE)-E218)/VLOOKUP($A218,'Fleet register'!$A$7:$S$106,14,FALSE)))),"n.a.")</f>
        <v>0</v>
      </c>
      <c r="I218" s="16">
        <f>IF(C218=0,0,IF(E218=120,0,'Replacement plan'!$T$59))</f>
        <v>0</v>
      </c>
      <c r="J218" s="16">
        <f>IF(C218=0,0,IF(P218="Complete",((S218*(R218-'Operating costs'!$B$39))+ROUNDUP(S218*(R218-'Operating costs'!$B$39)*IF('Replacement plan'!$AG$59="",'Operating costs'!$B$7,'Replacement plan'!$AG$59)/('Operating costs'!$B$8-'Operating costs'!$B$9*IF('Replacement plan'!$AG$59="",'Operating costs'!$B$7,'Replacement plan'!$AG$59)),0)*'Operating costs'!$B$9)*IF('Replacement plan'!$AG$59="",'Operating costs'!$B$7,'Replacement plan'!$AG$59)*('Energy and charging'!$C$9*'Energy and charging'!$C$7+(1-'Energy and charging'!$C$9)*'Energy and charging'!$C$8)*'Operating costs'!$B$23,"n.a."))</f>
        <v>0</v>
      </c>
      <c r="K218" s="16">
        <f>IF(C218=0,0,IF(P218="Complete",SUM('Operating costs'!$B$24,'Operating costs'!$B$27,'Operating costs'!$B$29,'Operating costs'!$B$31,'Operating costs'!$B$33,'Operating costs'!$B$34,'Operating costs'!$B$37,'Replacement plan'!$W$59)+'Operating costs'!$B$39*'Operating costs'!$B$42+ROUNDUP(S218*(R218-'Operating costs'!$B$39)*IF('Replacement plan'!$AG$59="",'Operating costs'!$B$7,'Replacement plan'!$AG$59)/('Operating costs'!$B$8-'Operating costs'!$B$9*IF('Replacement plan'!$AG$59="",'Operating costs'!$B$7,'Replacement plan'!$AG$59)),0)*('Operating costs'!$B$9/'Operating costs'!$B$11+'Operating costs'!$B$10/60)*'Operating costs'!$B$19*'Operating costs'!$B$21,"n.a."))</f>
        <v>0</v>
      </c>
      <c r="L218" s="16">
        <f>IF(C218=0,0,IF(P218="Complete",IF(D218="EV",X218*((1-T218)*'Energy and charging'!$C$10+T218*'Energy and charging'!$C$11)*'Operating costs'!$B$22,AA218*('Energy and charging'!$C$9*'Energy and charging'!$C$7+(1-'Energy and charging'!$C$9)*'Energy and charging'!$C$8)*'Operating costs'!$B$23),"n.a."))</f>
        <v>0</v>
      </c>
      <c r="M218" s="37">
        <f>IF(C218=0,0,IF(P218="Complete",IF(D218="ICE",SUM('Operating costs'!$B$25,'Operating costs'!$B$27,'Operating costs'!$B$29,'Operating costs'!$B$31,'Operating costs'!$B$33,'Operating costs'!$B$35,'Operating costs'!$B$37,'Replacement plan'!$X$59)+'Operating costs'!$B$40*'Operating costs'!$B$42+ROUNDUP(S218*(R218-'Operating costs'!$B$40)*IF('Replacement plan'!$AH$59="",'Operating costs'!$B$7,'Replacement plan'!$AH$59)/('Operating costs'!$B$8-'Operating costs'!$B$9*IF('Replacement plan'!$AH$59="",'Operating costs'!$B$7,'Replacement plan'!$AH$59)),0)*('Operating costs'!$B$9/'Operating costs'!$B$11+'Operating costs'!$B$10/60)*'Operating costs'!$B$19*'Operating costs'!$B$21,SUM(AP218,'Operating costs'!$B$28,'Operating costs'!$B$30,'Operating costs'!$B$32,'Operating costs'!$B$33,'Operating costs'!$B$36,'Operating costs'!$B$38,'Replacement plan'!$Y$59)+'Operating costs'!$B$41*'Operating costs'!$B$43+W218*'Operating costs'!$B$15+(T218*X218/'Replacement plan'!$L$59+W218*('Operating costs'!$B$12/'Operating costs'!$B$11+('Operating costs'!$B$13+'Operating costs'!$B$14)/60)+(R218-'Operating costs'!$B$41)*(IF(T218&lt;1,'Operating costs'!$B$16,0)+'Operating costs'!$B$17)/60)*'Operating costs'!$B$19*'Operating costs'!$B$20),"n.a."))</f>
        <v>0</v>
      </c>
      <c r="N218" s="16">
        <f>IF(AND(C218=1,D218="EV",E218&lt;120,E218+'Replacement plan'!$AA$59&lt;=120),'Replacement plan'!$Z$59,0)</f>
        <v>0</v>
      </c>
      <c r="O218" s="1">
        <f>E218+'Replacement plan'!$AA$59</f>
        <v>0</v>
      </c>
      <c r="P218" s="35" t="str">
        <f>IFERROR(IF(C218=0,"Excluded",IF(OR(COUNTIFS('Fleet register'!$A$7:$A$106,A218)&lt;&gt;1,COUNTIFS('Replacement plan'!$A$7:$A$106,A218)&lt;&gt;1),"Duplicate/missing ID",IF(NOT(AND(ISNUMBER(VLOOKUP($A218,'Fleet register'!$A$7:$S$106,5,FALSE)),ISNUMBER(VLOOKUP($A218,'Fleet register'!$A$7:$S$106,6,FALSE)),ISNUMBER(VLOOKUP($A218,'Fleet register'!$A$7:$S$106,10,FALSE)),ISNUMBER(VLOOKUP($A218,'Fleet register'!$A$7:$S$106,11,FALSE)),ISNUMBER(VLOOKUP($A218,'Fleet register'!$A$7:$S$106,12,FALSE)),ISNUMBER(VLOOKUP($A218,'Fleet register'!$A$7:$S$106,13,FALSE)),ISNUMBER(VLOOKUP($A218,'Fleet register'!$A$7:$S$106,14,FALSE)),VLOOKUP($A218,'Fleet register'!$A$7:$S$106,14,FALSE)&gt;0,ISNUMBER('Replacement plan'!$C$59),OR(E218=120,ISNUMBER('Replacement plan'!$T$59)),ISNUMBER(E218))),"Missing vehicle input",IF(OR(E218&lt;0,E218&gt;VLOOKUP($A218,'Fleet register'!$A$7:$S$106,10,FALSE),E218&gt;120,E218&lt;&gt;INT(E218),VLOOKUP($A218,'Fleet register'!$A$7:$S$106,6,FALSE)&lt;=0,VLOOKUP($A218,'Fleet register'!$A$7:$S$106,6,FALSE)&gt;366,VLOOKUP($A218,'Fleet register'!$A$7:$S$106,5,FALSE)&lt;0,VLOOKUP($A218,'Fleet register'!$A$7:$S$106,11,FALSE)&lt;0,I218&lt;0,'Operating costs'!$B$8&lt;='Operating costs'!$B$7*'Operating costs'!$B$9,'Operating costs'!$B$11&lt;=0,'Operating costs'!$B$39&gt;R218,'Operating costs'!$B$40&gt;R218,'Operating costs'!$B$41&gt;R218,NOT(OR('Replacement plan'!$R$59="Keep ICE",'Replacement plan'!$R$59="New ICE",'Replacement plan'!$R$59="EV"))),"Invalid vehicle input",IF(AND(D218="EV",E218&lt;120,OR(NOT(ISNUMBER(U218)),NOT(ISNUMBER(V218)),V218&lt;=0,T218&lt;0,T218&gt;1,'Replacement plan'!$L$59&lt;=0,'Operating costs'!$B$44&lt;0,'Operating costs'!$B$44&gt;=1,'Operating costs'!$B$47&lt;=0,'Operating costs'!$B$47&gt;1,V218*'Operating costs'!$B$47/(1-'Operating costs'!$B$44)&lt;=T218*'Operating costs'!$B$12*U218,AND('Replacement plan'!$Z$59&gt;0,OR('Replacement plan'!$AB$59&lt;&gt;"Yes",'Operating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charging'!$C$8&gt;=0))),ISNUMBER(VLOOKUP($A218,'Fleet register'!$A$7:$S$106,15,FALSE)),ISNUMBER(VLOOKUP($A218,'Fleet register'!$A$7:$S$106,16,FALSE)),ISNUMBER('Replacement plan'!$W$59),ISNUMBER('Replacement plan'!$X$59),OR(E218=120,AND(ISNUMBER(G218),G218&gt;=0)),ISNUMBER(H218),H218&gt;=0,OR(D218&lt;&gt;"EV",E218=120,AND(ISNUMBER('Operating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average",ISNUMBER(IFERROR(INDEX(Products!$P$7:$P$13,MATCH(AD218,Products!$A$7:$A$13,0)),"")))),ISNUMBER('Operating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plan'!$Y$59),ISNUMBER('Replacement plan'!$Z$59),'Replacement plan'!$Z$59&gt;=0,ISNUMBER('Replacement plan'!$AA$59),'Replacement plan'!$AA$59&gt;=0,'Replacement plan'!$AA$59=INT('Replacement plan'!$AA$59),ISNUMBER('Replacement plan'!$L$59))),'Operating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plan'!$AG$59="",'Operating costs'!$B$7,'Replacement plan'!$AG$59)),IF('Replacement plan'!$AG$59="",'Operating costs'!$B$7,'Replacement plan'!$AG$59)&gt;=0,ISNUMBER(IF('Replacement plan'!$AH$59="",'Operating costs'!$B$7,'Replacement plan'!$AH$59)),IF('Replacement plan'!$AH$59="",'Operating costs'!$B$7,'Replacement plan'!$AH$59)&gt;=0,'Operating costs'!$B$8&gt;MAX(IF('Replacement plan'!$AG$59="",'Operating costs'!$B$7,'Replacement plan'!$AG$59),IF('Replacement plan'!$AH$59="",'Operating costs'!$B$7,'Replacement plan'!$AH$59))*'Operating costs'!$B$9),IF(AND(VLOOKUP($A218,'Fleet register'!$A$7:$S$106,10,FALSE)&gt;=0,VLOOKUP($A218,'Fleet register'!$A$7:$S$106,10,FALSE)&lt;=120,VLOOKUP($A218,'Fleet register'!$A$7:$S$106,10,FALSE)=INT(VLOOKUP($A218,'Fleet register'!$A$7:$S$106,10,FALSE)),VLOOKUP($A218,'Fleet register'!$A$7:$S$106,15,FALSE)&gt;=0,VLOOKUP($A218,'Fleet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costs'!$B$67)&gt;=0,OR(D218&lt;&gt;"EV",E218=120,AND(MIN('Operating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18" s="1" t="str">
        <f>IF(C218=0,"Excluded",IF(P218&lt;&gt;"Complete",P218,IF(OR('Replacement plan'!$AD$59&lt;120-E218,AND(D218="EV",E218&lt;120,OR('Replacement plan'!$AC$59&lt;120-E218,'Replacement plan'!$I$59="No",AND(ISNUMBER(AF218),AE218&gt;AF218),AI218&gt;V218*(1-'Operating costs'!$B$46)^MAX(0,AB218-1)*(1-'Operating costs'!$B$45),AC218&gt;'Operating costs'!$B$18,AND(T218&lt;1,OR(AG218&lt;=0,AND(ISNUMBER(AH218),AG218&gt;AH218))),'Replacement plan'!$L$59&gt;INDEX(Products!$H$7:$H$13,MATCH('Replacement plan'!$B$59,Products!$A$7:$A$13,0))))),"Fails entered limits",IF(AND(D218="EV",E218&lt;120,OR(NOT(ISNUMBER(VLOOKUP($A218,'Fleet register'!$A$7:$S$106,7,FALSE))),NOT(ISNUMBER(VLOOKUP($A218,'Fleet register'!$A$7:$S$106,8,FALSE))),NOT(ISNUMBER(AF218)),'Replacement plan'!$I$59&lt;&gt;"Yes",NOT(ISNUMBER(AH218)),'Operating costs'!$B$59&lt;&gt;"Yes",'Operating costs'!$B$58&lt;&gt;"Yes")),"Unverified","Within entered limits"))))</f>
        <v>Excluded</v>
      </c>
      <c r="R218" s="1">
        <f>IF(C218=0,0,VLOOKUP($A218,'Fleet register'!$A$7:$S$106,6,FALSE))</f>
        <v>0</v>
      </c>
      <c r="S218" s="1">
        <f>IF(C218=0,0,VLOOKUP($A218,'Fleet register'!$A$7:$S$106,5,FALSE))</f>
        <v>0</v>
      </c>
      <c r="T218" s="1">
        <f>IF(D218="EV",'Energy and charging'!$C$12,0)</f>
        <v>0</v>
      </c>
      <c r="U218" s="1">
        <f>IFERROR(IF(C218=0,0,IF(D218="EV",IF('Replacement plan'!$F$59="",INDEX(Products!$E$7:$E$13,MATCH('Replacement plan'!$B$59,Products!$A$7:$A$13,0)),'Replacement plan'!$F$59)/IF('Replacement plan'!$G$59="Battery",1-'Operating costs'!$B$44,1),0)),"n.a.")</f>
        <v>0</v>
      </c>
      <c r="V218" s="1">
        <f>IFERROR(IF(C218=0,0,IF(D218="EV",IF('Replacement plan'!$E$59="",INDEX(Products!$D$7:$D$13,MATCH('Replacement plan'!$B$59,Products!$A$7:$A$13,0)),'Replacement plan'!$E$59),0)),"n.a.")</f>
        <v>0</v>
      </c>
      <c r="W218" s="1">
        <f>IF(C218=0,0,IF(AND(P218="Complete",D218="EV",E218&lt;120),IF(T218=0,0,ROUNDUP(T218*(R218-'Operating costs'!$B$41)*(S218*U218+'Operating costs'!$B$48/(1-'Operating costs'!$B$44))/(V218*'Operating costs'!$B$47/(1-'Operating costs'!$B$44)-T218*'Operating costs'!$B$12*U218),0)),0))</f>
        <v>0</v>
      </c>
      <c r="X218" s="1">
        <f>IF(C218=0,0,IF(AND(P218="Complete",D218="EV",E218&lt;120),(R218-'Operating costs'!$B$41)*(S218*U218+'Operating costs'!$B$48/(1-'Operating costs'!$B$44))+W218*'Operating costs'!$B$12*U218,0))</f>
        <v>0</v>
      </c>
      <c r="Y218" s="1">
        <f>IF(AND(C218=1,D218="EV",E218&lt;120),AI218/(1-'Operating costs'!$B$44)*(1-T218),0)</f>
        <v>0</v>
      </c>
      <c r="Z218" s="1">
        <f t="shared" si="6"/>
        <v>0</v>
      </c>
      <c r="AA218" s="1">
        <f>IF(C218=0,0,IF(P218="Complete",((S218*(R218-'Operating costs'!$B$40))+ROUNDUP(S218*(R218-'Operating costs'!$B$40)*IF('Replacement plan'!$AH$59="",'Operating costs'!$B$7,'Replacement plan'!$AH$59)/('Operating costs'!$B$8-'Operating costs'!$B$9*IF('Replacement plan'!$AH$59="",'Operating costs'!$B$7,'Replacement plan'!$AH$59)),0)*'Operating costs'!$B$9)*IF('Replacement plan'!$AH$59="",'Operating costs'!$B$7,'Replacement plan'!$AH$59),"n.a."))</f>
        <v>0</v>
      </c>
      <c r="AB218" s="1">
        <f t="shared" si="7"/>
        <v>0</v>
      </c>
      <c r="AC218" s="1">
        <f>IF(AND(C218=1,D218="EV",E218&lt;120,T218&gt;0),'Operating costs'!$B$12/'Operating costs'!$B$11*60+'Operating costs'!$B$13+'Operating costs'!$B$14+V218*'Operating costs'!$B$47/(1-'Operating costs'!$B$44)/'Replacement plan'!$L$59*60,0)</f>
        <v>0</v>
      </c>
      <c r="AD218" s="1" t="str">
        <f>'Replacement plan'!$B$59</f>
        <v>ChengLong L2EV</v>
      </c>
      <c r="AE218" s="1">
        <f>IF(C218=0,0,VLOOKUP($A218,'Fleet register'!$A$7:$S$106,8,FALSE))</f>
        <v>0</v>
      </c>
      <c r="AF218" s="1" t="str">
        <f>IF('Replacement plan'!$H$59="","n.a.",'Replacement plan'!$H$59)</f>
        <v>n.a.</v>
      </c>
      <c r="AG218" s="1">
        <f>'Replacement plan'!$J$59</f>
        <v>22</v>
      </c>
      <c r="AH218" s="1">
        <f>IFERROR(IF(D218="EV",IF('Replacement plan'!$K$59="AC",IF(ISNUMBER(INDEX(Products!$G$7:$G$13,MATCH('Replacement plan'!$B$59,Products!$A$7:$A$13,0))),INDEX(Products!$G$7:$G$13,MATCH('Replacement plan'!$B$59,Products!$A$7:$A$13,0)),"n.a."),IF(ISNUMBER(INDEX(Products!$H$7:$H$13,MATCH('Replacement plan'!$B$59,Products!$A$7:$A$13,0))),INDEX(Products!$H$7:$H$13,MATCH('Replacement plan'!$B$59,Products!$A$7:$A$13,0)),"n.a.")),0),"n.a.")</f>
        <v>0</v>
      </c>
      <c r="AI218" s="1">
        <f>IF(AND(C218=1,D218="EV",E218&lt;120),(VLOOKUP($A218,'Fleet register'!$A$7:$S$106,7,FALSE)+IF(T218&gt;0,'Operating costs'!$B$12,0))*U218*(1-'Operating costs'!$B$44)+'Operating costs'!$B$49,0)</f>
        <v>0</v>
      </c>
      <c r="AJ218" s="1">
        <f>IF(D218="EV",'Energy and charging'!$C$50,0)</f>
        <v>0</v>
      </c>
      <c r="AK218" s="17">
        <f>EDATE('Operating costs'!$B$63,E218)</f>
        <v>46298</v>
      </c>
      <c r="AL218" s="1">
        <f>IFERROR(IF(D218="EV",INDEX(Products!$B$7:$B$13,MATCH('Replacement plan'!$B$59,Products!$A$7:$A$13,0)),0),"n.a.")</f>
        <v>0</v>
      </c>
      <c r="AM218" s="1" t="str">
        <f>'Replacement plan'!$K$59</f>
        <v>DC</v>
      </c>
      <c r="AN218" s="1" t="str">
        <f>'Replacement plan'!$AE$59</f>
        <v>Assumed</v>
      </c>
      <c r="AO218" s="47">
        <f>IF(AND(C218=1,D218="EV",E218&lt;120),(R218-'Operating costs'!$B$41)*S218+W218*'Operating costs'!$B$12,0)</f>
        <v>0</v>
      </c>
      <c r="AP218" s="41">
        <f>IF(AND(C218=1,D218="EV",E218&lt;120),IF('Operating costs'!$B$68="Hong Seh 200k average",AO218*IFERROR(INDEX(Products!$P$7:$P$13,MATCH(AD218,Products!$A$7:$A$13,0)),"n.a."),'Operating costs'!$B$26),0)</f>
        <v>0</v>
      </c>
      <c r="AQ218" s="40" t="str">
        <f>IF(D218="EV",'Operating costs'!$B$68,"Not applicable")</f>
        <v>Not applicable</v>
      </c>
    </row>
    <row r="219" spans="1:43" ht="24" customHeight="1">
      <c r="A219" s="1" t="str">
        <f>'Replacement plan'!A60</f>
        <v>T054</v>
      </c>
      <c r="B219" s="1">
        <v>0</v>
      </c>
      <c r="C219" s="1">
        <f>IF(COUNTIFS('Fleet register'!$A$7:$A$106,$A219)=1,VLOOKUP($A219,'Fleet register'!$A$7:$S$106,2,FALSE),0)</f>
        <v>0</v>
      </c>
      <c r="D219" s="1" t="str">
        <f>IF("Keep ICE"="EV","EV","ICE")</f>
        <v>ICE</v>
      </c>
      <c r="E219" s="1">
        <f>IF(C219=0,0,IF('Replacement plan'!$M$60="",VLOOKUP($A219,'Fleet register'!$A$7:$S$106,10,FALSE),'Replacement plan'!$M$60))</f>
        <v>0</v>
      </c>
      <c r="F219" s="16">
        <f>IF(C219=0,0,VLOOKUP($A219,'Fleet register'!$A$7:$S$106,11,FALSE))</f>
        <v>0</v>
      </c>
      <c r="G219" s="16">
        <f>IFERROR(IF(C219=0,0,IF(E219=120,0,IF(D219="ICE",'Replacement plan'!$C$60,IF('Replacement plan'!$D$60="",INDEX(Products!$I$7:$I$13,MATCH('Replacement plan'!$B$60,Products!$A$7:$A$13,0))+'Operating costs'!$B$57,'Replacement plan'!$D$60))*(1+'Operating costs'!$B$50)^(E219/12))),"n.a.")</f>
        <v>0</v>
      </c>
      <c r="H219" s="16">
        <f>IFERROR(IF(C219=0,0,IF(E219=0,F219,VLOOKUP($A219,'Fleet register'!$A$7:$S$106,12,FALSE)+VLOOKUP($A219,'Fleet register'!$A$7:$S$106,13,FALSE)*MAX(0,VLOOKUP($A219,'Fleet register'!$A$7:$S$106,10,FALSE)-E219)/VLOOKUP($A219,'Fleet register'!$A$7:$S$106,14,FALSE))),"n.a.")</f>
        <v>0</v>
      </c>
      <c r="I219" s="16">
        <f>IF(C219=0,0,IF(E219=120,0,'Replacement plan'!$N$60))</f>
        <v>0</v>
      </c>
      <c r="J219" s="16">
        <f>IF(C219=0,0,IF(P219="Complete",((S219*(R219-'Operating costs'!$B$39))+ROUNDUP(S219*(R219-'Operating costs'!$B$39)*IF('Replacement plan'!$AG$60="",'Operating costs'!$B$7,'Replacement plan'!$AG$60)/('Operating costs'!$B$8-'Operating costs'!$B$9*IF('Replacement plan'!$AG$60="",'Operating costs'!$B$7,'Replacement plan'!$AG$60)),0)*'Operating costs'!$B$9)*IF('Replacement plan'!$AG$60="",'Operating costs'!$B$7,'Replacement plan'!$AG$60)*('Energy and charging'!$B$9*'Energy and charging'!$B$7+(1-'Energy and charging'!$B$9)*'Energy and charging'!$B$8)*'Operating costs'!$B$23,"n.a."))</f>
        <v>0</v>
      </c>
      <c r="K219" s="16">
        <f>IF(C219=0,0,IF(P219="Complete",SUM('Operating costs'!$B$24,'Operating costs'!$B$27,'Operating costs'!$B$29,'Operating costs'!$B$31,'Operating costs'!$B$33,'Operating costs'!$B$34,'Operating costs'!$B$37,'Replacement plan'!$W$60)+'Operating costs'!$B$39*'Operating costs'!$B$42+ROUNDUP(S219*(R219-'Operating costs'!$B$39)*IF('Replacement plan'!$AG$60="",'Operating costs'!$B$7,'Replacement plan'!$AG$60)/('Operating costs'!$B$8-'Operating costs'!$B$9*IF('Replacement plan'!$AG$60="",'Operating costs'!$B$7,'Replacement plan'!$AG$60)),0)*('Operating costs'!$B$9/'Operating costs'!$B$11+'Operating costs'!$B$10/60)*'Operating costs'!$B$19*'Operating costs'!$B$21,"n.a."))</f>
        <v>0</v>
      </c>
      <c r="L219" s="16">
        <f>IF(C219=0,0,IF(P219="Complete",IF(D219="EV",X219*((1-T219)*'Energy and charging'!$B$10+T219*'Energy and charging'!$B$11)*'Operating costs'!$B$22,AA219*('Energy and charging'!$B$9*'Energy and charging'!$B$7+(1-'Energy and charging'!$B$9)*'Energy and charging'!$B$8)*'Operating costs'!$B$23),"n.a."))</f>
        <v>0</v>
      </c>
      <c r="M219" s="37">
        <f>IF(C219=0,0,IF(P219="Complete",IF(D219="ICE",SUM('Operating costs'!$B$25,'Operating costs'!$B$27,'Operating costs'!$B$29,'Operating costs'!$B$31,'Operating costs'!$B$33,'Operating costs'!$B$35,'Operating costs'!$B$37,'Replacement plan'!$X$60)+'Operating costs'!$B$40*'Operating costs'!$B$42+ROUNDUP(S219*(R219-'Operating costs'!$B$40)*IF('Replacement plan'!$AH$60="",'Operating costs'!$B$7,'Replacement plan'!$AH$60)/('Operating costs'!$B$8-'Operating costs'!$B$9*IF('Replacement plan'!$AH$60="",'Operating costs'!$B$7,'Replacement plan'!$AH$60)),0)*('Operating costs'!$B$9/'Operating costs'!$B$11+'Operating costs'!$B$10/60)*'Operating costs'!$B$19*'Operating costs'!$B$21,SUM(AP219,'Operating costs'!$B$28,'Operating costs'!$B$30,'Operating costs'!$B$32,'Operating costs'!$B$33,'Operating costs'!$B$36,'Operating costs'!$B$38,'Replacement plan'!$Y$60)+'Operating costs'!$B$41*'Operating costs'!$B$43+W219*'Operating costs'!$B$15+(T219*X219/'Replacement plan'!$L$60+W219*('Operating costs'!$B$12/'Operating costs'!$B$11+('Operating costs'!$B$13+'Operating costs'!$B$14)/60)+(R219-'Operating costs'!$B$41)*(IF(T219&lt;1,'Operating costs'!$B$16,0)+'Operating costs'!$B$17)/60)*'Operating costs'!$B$19*'Operating costs'!$B$20),"n.a."))</f>
        <v>0</v>
      </c>
      <c r="N219" s="16">
        <f>IF(AND(C219=1,D219="EV",E219&lt;120,E219+'Replacement plan'!$AA$60&lt;=120),'Replacement plan'!$Z$60,0)</f>
        <v>0</v>
      </c>
      <c r="O219" s="1">
        <f>E219+'Replacement plan'!$AA$60</f>
        <v>0</v>
      </c>
      <c r="P219" s="35" t="str">
        <f>IFERROR(IF(C219=0,"Excluded",IF(OR(COUNTIFS('Fleet register'!$A$7:$A$106,A219)&lt;&gt;1,COUNTIFS('Replacement plan'!$A$7:$A$106,A219)&lt;&gt;1),"Duplicate/missing ID",IF(NOT(AND(ISNUMBER(VLOOKUP($A219,'Fleet register'!$A$7:$S$106,5,FALSE)),ISNUMBER(VLOOKUP($A219,'Fleet register'!$A$7:$S$106,6,FALSE)),ISNUMBER(VLOOKUP($A219,'Fleet register'!$A$7:$S$106,10,FALSE)),ISNUMBER(VLOOKUP($A219,'Fleet register'!$A$7:$S$106,11,FALSE)),ISNUMBER(VLOOKUP($A219,'Fleet register'!$A$7:$S$106,12,FALSE)),ISNUMBER(VLOOKUP($A219,'Fleet register'!$A$7:$S$106,13,FALSE)),ISNUMBER(VLOOKUP($A219,'Fleet register'!$A$7:$S$106,14,FALSE)),VLOOKUP($A219,'Fleet register'!$A$7:$S$106,14,FALSE)&gt;0,ISNUMBER('Replacement plan'!$C$60),OR(E219=120,ISNUMBER('Replacement plan'!$N$60)),ISNUMBER(E219))),"Missing vehicle input",IF(OR(E219&lt;0,E219&gt;VLOOKUP($A219,'Fleet register'!$A$7:$S$106,10,FALSE),E219&gt;120,E219&lt;&gt;INT(E219),VLOOKUP($A219,'Fleet register'!$A$7:$S$106,6,FALSE)&lt;=0,VLOOKUP($A219,'Fleet register'!$A$7:$S$106,6,FALSE)&gt;366,VLOOKUP($A219,'Fleet register'!$A$7:$S$106,5,FALSE)&lt;0,VLOOKUP($A219,'Fleet register'!$A$7:$S$106,11,FALSE)&lt;0,I219&lt;0,'Operating costs'!$B$8&lt;='Operating costs'!$B$7*'Operating costs'!$B$9,'Operating costs'!$B$11&lt;=0,'Operating costs'!$B$39&gt;R219,'Operating costs'!$B$40&gt;R219,'Operating costs'!$B$41&gt;R219,NOT(OR("Keep ICE"="Keep ICE","Keep ICE"="New ICE","Keep ICE"="EV"))),"Invalid vehicle input",IF(AND(D219="EV",E219&lt;120,OR(NOT(ISNUMBER(U219)),NOT(ISNUMBER(V219)),V219&lt;=0,T219&lt;0,T219&gt;1,'Replacement plan'!$L$60&lt;=0,'Operating costs'!$B$44&lt;0,'Operating costs'!$B$44&gt;=1,'Operating costs'!$B$47&lt;=0,'Operating costs'!$B$47&gt;1,V219*'Operating costs'!$B$47/(1-'Operating costs'!$B$44)&lt;=T219*'Operating costs'!$B$12*U219,AND('Replacement plan'!$Z$60&gt;0,OR('Replacement plan'!$AB$60&lt;&gt;"Yes",'Operating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charging'!$B$8&gt;=0))),ISNUMBER(VLOOKUP($A219,'Fleet register'!$A$7:$S$106,15,FALSE)),ISNUMBER(VLOOKUP($A219,'Fleet register'!$A$7:$S$106,16,FALSE)),ISNUMBER('Replacement plan'!$W$60),ISNUMBER('Replacement plan'!$X$60),OR(E219=120,AND(ISNUMBER(G219),G219&gt;=0)),ISNUMBER(H219),H219&gt;=0,OR(D219&lt;&gt;"EV",E219=120,AND(ISNUMBER('Operating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average",ISNUMBER(IFERROR(INDEX(Products!$P$7:$P$13,MATCH(AD219,Products!$A$7:$A$13,0)),"")))),ISNUMBER('Operating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plan'!$Y$60),ISNUMBER('Replacement plan'!$Z$60),'Replacement plan'!$Z$60&gt;=0,ISNUMBER('Replacement plan'!$AA$60),'Replacement plan'!$AA$60&gt;=0,'Replacement plan'!$AA$60=INT('Replacement plan'!$AA$60),ISNUMBER('Replacement plan'!$L$60))),'Operating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plan'!$AG$60="",'Operating costs'!$B$7,'Replacement plan'!$AG$60)),IF('Replacement plan'!$AG$60="",'Operating costs'!$B$7,'Replacement plan'!$AG$60)&gt;=0,ISNUMBER(IF('Replacement plan'!$AH$60="",'Operating costs'!$B$7,'Replacement plan'!$AH$60)),IF('Replacement plan'!$AH$60="",'Operating costs'!$B$7,'Replacement plan'!$AH$60)&gt;=0,'Operating costs'!$B$8&gt;MAX(IF('Replacement plan'!$AG$60="",'Operating costs'!$B$7,'Replacement plan'!$AG$60),IF('Replacement plan'!$AH$60="",'Operating costs'!$B$7,'Replacement plan'!$AH$60))*'Operating costs'!$B$9),IF(AND(VLOOKUP($A219,'Fleet register'!$A$7:$S$106,10,FALSE)&gt;=0,VLOOKUP($A219,'Fleet register'!$A$7:$S$106,10,FALSE)&lt;=120,VLOOKUP($A219,'Fleet register'!$A$7:$S$106,10,FALSE)=INT(VLOOKUP($A219,'Fleet register'!$A$7:$S$106,10,FALSE)),VLOOKUP($A219,'Fleet register'!$A$7:$S$106,15,FALSE)&gt;=0,VLOOKUP($A219,'Fleet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costs'!$B$67)&gt;=0,OR(D219&lt;&gt;"EV",E219=120,AND(MIN('Operating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19" s="1" t="str">
        <f>IF(C219=0,"Excluded",IF(P219&lt;&gt;"Complete",P219,IF(OR('Replacement plan'!$AD$60&lt;120-E219,AND(D219="EV",E219&lt;120,OR('Replacement plan'!$AC$60&lt;120-E219,'Replacement plan'!$I$60="No",AND(ISNUMBER(AF219),AE219&gt;AF219),AI219&gt;V219*(1-'Operating costs'!$B$46)^MAX(0,AB219-1)*(1-'Operating costs'!$B$45),AC219&gt;'Operating costs'!$B$18,AND(T219&lt;1,OR(AG219&lt;=0,AND(ISNUMBER(AH219),AG219&gt;AH219))),'Replacement plan'!$L$60&gt;INDEX(Products!$H$7:$H$13,MATCH('Replacement plan'!$B$60,Products!$A$7:$A$13,0))))),"Fails entered limits",IF(AND(D219="EV",E219&lt;120,OR(NOT(ISNUMBER(VLOOKUP($A219,'Fleet register'!$A$7:$S$106,7,FALSE))),NOT(ISNUMBER(VLOOKUP($A219,'Fleet register'!$A$7:$S$106,8,FALSE))),NOT(ISNUMBER(AF219)),'Replacement plan'!$I$60&lt;&gt;"Yes",NOT(ISNUMBER(AH219)),'Operating costs'!$B$59&lt;&gt;"Yes",'Operating costs'!$B$58&lt;&gt;"Yes")),"Unverified","Within entered limits"))))</f>
        <v>Excluded</v>
      </c>
      <c r="R219" s="1">
        <f>IF(C219=0,0,VLOOKUP($A219,'Fleet register'!$A$7:$S$106,6,FALSE))</f>
        <v>0</v>
      </c>
      <c r="S219" s="1">
        <f>IF(C219=0,0,VLOOKUP($A219,'Fleet register'!$A$7:$S$106,5,FALSE))</f>
        <v>0</v>
      </c>
      <c r="T219" s="1">
        <f>IF(D219="EV",'Energy and charging'!$B$12,0)</f>
        <v>0</v>
      </c>
      <c r="U219" s="1">
        <f>IFERROR(IF(C219=0,0,IF(D219="EV",IF('Replacement plan'!$F$60="",INDEX(Products!$E$7:$E$13,MATCH('Replacement plan'!$B$60,Products!$A$7:$A$13,0)),'Replacement plan'!$F$60)/IF('Replacement plan'!$G$60="Battery",1-'Operating costs'!$B$44,1),0)),"n.a.")</f>
        <v>0</v>
      </c>
      <c r="V219" s="1">
        <f>IFERROR(IF(C219=0,0,IF(D219="EV",IF('Replacement plan'!$E$60="",INDEX(Products!$D$7:$D$13,MATCH('Replacement plan'!$B$60,Products!$A$7:$A$13,0)),'Replacement plan'!$E$60),0)),"n.a.")</f>
        <v>0</v>
      </c>
      <c r="W219" s="1">
        <f>IF(C219=0,0,IF(AND(P219="Complete",D219="EV",E219&lt;120),IF(T219=0,0,ROUNDUP(T219*(R219-'Operating costs'!$B$41)*(S219*U219+'Operating costs'!$B$48/(1-'Operating costs'!$B$44))/(V219*'Operating costs'!$B$47/(1-'Operating costs'!$B$44)-T219*'Operating costs'!$B$12*U219),0)),0))</f>
        <v>0</v>
      </c>
      <c r="X219" s="1">
        <f>IF(C219=0,0,IF(AND(P219="Complete",D219="EV",E219&lt;120),(R219-'Operating costs'!$B$41)*(S219*U219+'Operating costs'!$B$48/(1-'Operating costs'!$B$44))+W219*'Operating costs'!$B$12*U219,0))</f>
        <v>0</v>
      </c>
      <c r="Y219" s="1">
        <f>IF(AND(C219=1,D219="EV",E219&lt;120),AI219/(1-'Operating costs'!$B$44)*(1-T219),0)</f>
        <v>0</v>
      </c>
      <c r="Z219" s="1">
        <f t="shared" si="6"/>
        <v>0</v>
      </c>
      <c r="AA219" s="1">
        <f>IF(C219=0,0,IF(P219="Complete",((S219*(R219-'Operating costs'!$B$40))+ROUNDUP(S219*(R219-'Operating costs'!$B$40)*IF('Replacement plan'!$AH$60="",'Operating costs'!$B$7,'Replacement plan'!$AH$60)/('Operating costs'!$B$8-'Operating costs'!$B$9*IF('Replacement plan'!$AH$60="",'Operating costs'!$B$7,'Replacement plan'!$AH$60)),0)*'Operating costs'!$B$9)*IF('Replacement plan'!$AH$60="",'Operating costs'!$B$7,'Replacement plan'!$AH$60),"n.a."))</f>
        <v>0</v>
      </c>
      <c r="AB219" s="1">
        <f t="shared" si="7"/>
        <v>0</v>
      </c>
      <c r="AC219" s="1">
        <f>IF(AND(C219=1,D219="EV",E219&lt;120,T219&gt;0),'Operating costs'!$B$12/'Operating costs'!$B$11*60+'Operating costs'!$B$13+'Operating costs'!$B$14+V219*'Operating costs'!$B$47/(1-'Operating costs'!$B$44)/'Replacement plan'!$L$60*60,0)</f>
        <v>0</v>
      </c>
      <c r="AD219" s="1" t="str">
        <f>'Replacement plan'!$B$60</f>
        <v>ChengLong L2EV</v>
      </c>
      <c r="AE219" s="1">
        <f>IF(C219=0,0,VLOOKUP($A219,'Fleet register'!$A$7:$S$106,8,FALSE))</f>
        <v>0</v>
      </c>
      <c r="AF219" s="1" t="str">
        <f>IF('Replacement plan'!$H$60="","n.a.",'Replacement plan'!$H$60)</f>
        <v>n.a.</v>
      </c>
      <c r="AG219" s="1">
        <f>'Replacement plan'!$J$60</f>
        <v>22</v>
      </c>
      <c r="AH219" s="1">
        <f>IFERROR(IF(D219="EV",IF('Replacement plan'!$K$60="AC",IF(ISNUMBER(INDEX(Products!$G$7:$G$13,MATCH('Replacement plan'!$B$60,Products!$A$7:$A$13,0))),INDEX(Products!$G$7:$G$13,MATCH('Replacement plan'!$B$60,Products!$A$7:$A$13,0)),"n.a."),IF(ISNUMBER(INDEX(Products!$H$7:$H$13,MATCH('Replacement plan'!$B$60,Products!$A$7:$A$13,0))),INDEX(Products!$H$7:$H$13,MATCH('Replacement plan'!$B$60,Products!$A$7:$A$13,0)),"n.a.")),0),"n.a.")</f>
        <v>0</v>
      </c>
      <c r="AI219" s="1">
        <f>IF(AND(C219=1,D219="EV",E219&lt;120),(VLOOKUP($A219,'Fleet register'!$A$7:$S$106,7,FALSE)+IF(T219&gt;0,'Operating costs'!$B$12,0))*U219*(1-'Operating costs'!$B$44)+'Operating costs'!$B$49,0)</f>
        <v>0</v>
      </c>
      <c r="AJ219" s="1">
        <f>IF(D219="EV",'Energy and charging'!$B$50,0)</f>
        <v>0</v>
      </c>
      <c r="AK219" s="17">
        <f>EDATE('Operating costs'!$B$63,E219)</f>
        <v>46298</v>
      </c>
      <c r="AL219" s="1">
        <f>IFERROR(IF(D219="EV",INDEX(Products!$B$7:$B$13,MATCH('Replacement plan'!$B$60,Products!$A$7:$A$13,0)),0),"n.a.")</f>
        <v>0</v>
      </c>
      <c r="AM219" s="1" t="str">
        <f>'Replacement plan'!$K$60</f>
        <v>DC</v>
      </c>
      <c r="AN219" s="1" t="str">
        <f>'Replacement plan'!$AE$60</f>
        <v>Assumed</v>
      </c>
      <c r="AO219" s="47">
        <f>IF(AND(C219=1,D219="EV",E219&lt;120),(R219-'Operating costs'!$B$41)*S219+W219*'Operating costs'!$B$12,0)</f>
        <v>0</v>
      </c>
      <c r="AP219" s="41">
        <f>IF(AND(C219=1,D219="EV",E219&lt;120),IF('Operating costs'!$B$68="Hong Seh 200k average",AO219*IFERROR(INDEX(Products!$P$7:$P$13,MATCH(AD219,Products!$A$7:$A$13,0)),"n.a."),'Operating costs'!$B$26),0)</f>
        <v>0</v>
      </c>
      <c r="AQ219" s="40" t="str">
        <f>IF(D219="EV",'Operating costs'!$B$68,"Not applicable")</f>
        <v>Not applicable</v>
      </c>
    </row>
    <row r="220" spans="1:43" ht="24" customHeight="1">
      <c r="A220" s="1" t="str">
        <f>'Replacement plan'!A60</f>
        <v>T054</v>
      </c>
      <c r="B220" s="1">
        <v>1</v>
      </c>
      <c r="C220" s="1">
        <f>IF(COUNTIFS('Fleet register'!$A$7:$A$106,$A220)=1,VLOOKUP($A220,'Fleet register'!$A$7:$S$106,2,FALSE),0)</f>
        <v>0</v>
      </c>
      <c r="D220" s="1" t="str">
        <f>IF("New ICE"="EV","EV","ICE")</f>
        <v>ICE</v>
      </c>
      <c r="E220" s="1">
        <f>IF(C220=0,0,0)</f>
        <v>0</v>
      </c>
      <c r="F220" s="16">
        <f>IF(C220=0,0,VLOOKUP($A220,'Fleet register'!$A$7:$S$106,11,FALSE))</f>
        <v>0</v>
      </c>
      <c r="G220" s="16">
        <f>IFERROR(IF(C220=0,0,IF(E220=120,0,IF(D220="ICE",'Replacement plan'!$C$60,IF('Replacement plan'!$D$60="",INDEX(Products!$I$7:$I$13,MATCH('Replacement plan'!$B$60,Products!$A$7:$A$13,0))+'Operating costs'!$B$57,'Replacement plan'!$D$60))*(1+'Operating costs'!$B$50)^(E220/12))),"n.a.")</f>
        <v>0</v>
      </c>
      <c r="H220" s="16">
        <f>IFERROR(IF(C220=0,0,IF(E220=0,F220,VLOOKUP($A220,'Fleet register'!$A$7:$S$106,12,FALSE)+VLOOKUP($A220,'Fleet register'!$A$7:$S$106,13,FALSE)*MAX(0,VLOOKUP($A220,'Fleet register'!$A$7:$S$106,10,FALSE)-E220)/VLOOKUP($A220,'Fleet register'!$A$7:$S$106,14,FALSE))),"n.a.")</f>
        <v>0</v>
      </c>
      <c r="I220" s="16">
        <f>IF(C220=0,0,IF(E220=120,0,IF('Replacement plan'!$AI$60="",'Operating costs'!$B$56,'Replacement plan'!$AI$60)))</f>
        <v>0</v>
      </c>
      <c r="J220" s="16">
        <f>IF(C220=0,0,IF(P220="Complete",((S220*(R220-'Operating costs'!$B$39))+ROUNDUP(S220*(R220-'Operating costs'!$B$39)*IF('Replacement plan'!$AG$60="",'Operating costs'!$B$7,'Replacement plan'!$AG$60)/('Operating costs'!$B$8-'Operating costs'!$B$9*IF('Replacement plan'!$AG$60="",'Operating costs'!$B$7,'Replacement plan'!$AG$60)),0)*'Operating costs'!$B$9)*IF('Replacement plan'!$AG$60="",'Operating costs'!$B$7,'Replacement plan'!$AG$60)*('Energy and charging'!$B$9*'Energy and charging'!$B$7+(1-'Energy and charging'!$B$9)*'Energy and charging'!$B$8)*'Operating costs'!$B$23,"n.a."))</f>
        <v>0</v>
      </c>
      <c r="K220" s="16">
        <f>IF(C220=0,0,IF(P220="Complete",SUM('Operating costs'!$B$24,'Operating costs'!$B$27,'Operating costs'!$B$29,'Operating costs'!$B$31,'Operating costs'!$B$33,'Operating costs'!$B$34,'Operating costs'!$B$37,'Replacement plan'!$W$60)+'Operating costs'!$B$39*'Operating costs'!$B$42+ROUNDUP(S220*(R220-'Operating costs'!$B$39)*IF('Replacement plan'!$AG$60="",'Operating costs'!$B$7,'Replacement plan'!$AG$60)/('Operating costs'!$B$8-'Operating costs'!$B$9*IF('Replacement plan'!$AG$60="",'Operating costs'!$B$7,'Replacement plan'!$AG$60)),0)*('Operating costs'!$B$9/'Operating costs'!$B$11+'Operating costs'!$B$10/60)*'Operating costs'!$B$19*'Operating costs'!$B$21,"n.a."))</f>
        <v>0</v>
      </c>
      <c r="L220" s="16">
        <f>IF(C220=0,0,IF(P220="Complete",IF(D220="EV",X220*((1-T220)*'Energy and charging'!$B$10+T220*'Energy and charging'!$B$11)*'Operating costs'!$B$22,AA220*('Energy and charging'!$B$9*'Energy and charging'!$B$7+(1-'Energy and charging'!$B$9)*'Energy and charging'!$B$8)*'Operating costs'!$B$23),"n.a."))</f>
        <v>0</v>
      </c>
      <c r="M220" s="37">
        <f>IF(C220=0,0,IF(P220="Complete",IF(D220="ICE",SUM('Operating costs'!$B$25,'Operating costs'!$B$27,'Operating costs'!$B$29,'Operating costs'!$B$31,'Operating costs'!$B$33,'Operating costs'!$B$35,'Operating costs'!$B$37,'Replacement plan'!$X$60)+'Operating costs'!$B$40*'Operating costs'!$B$42+ROUNDUP(S220*(R220-'Operating costs'!$B$40)*IF('Replacement plan'!$AH$60="",'Operating costs'!$B$7,'Replacement plan'!$AH$60)/('Operating costs'!$B$8-'Operating costs'!$B$9*IF('Replacement plan'!$AH$60="",'Operating costs'!$B$7,'Replacement plan'!$AH$60)),0)*('Operating costs'!$B$9/'Operating costs'!$B$11+'Operating costs'!$B$10/60)*'Operating costs'!$B$19*'Operating costs'!$B$21,SUM(AP220,'Operating costs'!$B$28,'Operating costs'!$B$30,'Operating costs'!$B$32,'Operating costs'!$B$33,'Operating costs'!$B$36,'Operating costs'!$B$38,'Replacement plan'!$Y$60)+'Operating costs'!$B$41*'Operating costs'!$B$43+W220*'Operating costs'!$B$15+(T220*X220/'Replacement plan'!$L$60+W220*('Operating costs'!$B$12/'Operating costs'!$B$11+('Operating costs'!$B$13+'Operating costs'!$B$14)/60)+(R220-'Operating costs'!$B$41)*(IF(T220&lt;1,'Operating costs'!$B$16,0)+'Operating costs'!$B$17)/60)*'Operating costs'!$B$19*'Operating costs'!$B$20),"n.a."))</f>
        <v>0</v>
      </c>
      <c r="N220" s="16">
        <f>IF(AND(C220=1,D220="EV",E220&lt;120,E220+'Replacement plan'!$AA$60&lt;=120),'Replacement plan'!$Z$60,0)</f>
        <v>0</v>
      </c>
      <c r="O220" s="1">
        <f>E220+'Replacement plan'!$AA$60</f>
        <v>0</v>
      </c>
      <c r="P220" s="35" t="str">
        <f>IFERROR(IF(C220=0,"Excluded",IF(OR(COUNTIFS('Fleet register'!$A$7:$A$106,A220)&lt;&gt;1,COUNTIFS('Replacement plan'!$A$7:$A$106,A220)&lt;&gt;1),"Duplicate/missing ID",IF(NOT(AND(ISNUMBER(VLOOKUP($A220,'Fleet register'!$A$7:$S$106,5,FALSE)),ISNUMBER(VLOOKUP($A220,'Fleet register'!$A$7:$S$106,6,FALSE)),ISNUMBER(VLOOKUP($A220,'Fleet register'!$A$7:$S$106,10,FALSE)),ISNUMBER(VLOOKUP($A220,'Fleet register'!$A$7:$S$106,11,FALSE)),ISNUMBER(VLOOKUP($A220,'Fleet register'!$A$7:$S$106,12,FALSE)),ISNUMBER(VLOOKUP($A220,'Fleet register'!$A$7:$S$106,13,FALSE)),ISNUMBER(VLOOKUP($A220,'Fleet register'!$A$7:$S$106,14,FALSE)),VLOOKUP($A220,'Fleet register'!$A$7:$S$106,14,FALSE)&gt;0,ISNUMBER('Replacement plan'!$C$60),OR(E220=120,OR(ISNUMBER('Replacement plan'!$AI$60),AND('Replacement plan'!$AI$60="",ISNUMBER('Operating costs'!$B$56)))),ISNUMBER(E220))),"Missing vehicle input",IF(OR(E220&lt;0,E220&gt;VLOOKUP($A220,'Fleet register'!$A$7:$S$106,10,FALSE),E220&gt;120,E220&lt;&gt;INT(E220),VLOOKUP($A220,'Fleet register'!$A$7:$S$106,6,FALSE)&lt;=0,VLOOKUP($A220,'Fleet register'!$A$7:$S$106,6,FALSE)&gt;366,VLOOKUP($A220,'Fleet register'!$A$7:$S$106,5,FALSE)&lt;0,VLOOKUP($A220,'Fleet register'!$A$7:$S$106,11,FALSE)&lt;0,I220&lt;0,'Operating costs'!$B$8&lt;='Operating costs'!$B$7*'Operating costs'!$B$9,'Operating costs'!$B$11&lt;=0,'Operating costs'!$B$39&gt;R220,'Operating costs'!$B$40&gt;R220,'Operating costs'!$B$41&gt;R220,NOT(OR("New ICE"="Keep ICE","New ICE"="New ICE","New ICE"="EV"))),"Invalid vehicle input",IF(AND(D220="EV",E220&lt;120,OR(NOT(ISNUMBER(U220)),NOT(ISNUMBER(V220)),V220&lt;=0,T220&lt;0,T220&gt;1,'Replacement plan'!$L$60&lt;=0,'Operating costs'!$B$44&lt;0,'Operating costs'!$B$44&gt;=1,'Operating costs'!$B$47&lt;=0,'Operating costs'!$B$47&gt;1,V220*'Operating costs'!$B$47/(1-'Operating costs'!$B$44)&lt;=T220*'Operating costs'!$B$12*U220,AND('Replacement plan'!$Z$60&gt;0,OR('Replacement plan'!$AB$60&lt;&gt;"Yes",'Operating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charging'!$B$8&gt;=0))),ISNUMBER(VLOOKUP($A220,'Fleet register'!$A$7:$S$106,15,FALSE)),ISNUMBER(VLOOKUP($A220,'Fleet register'!$A$7:$S$106,16,FALSE)),ISNUMBER('Replacement plan'!$W$60),ISNUMBER('Replacement plan'!$X$60),OR(E220=120,AND(ISNUMBER(G220),G220&gt;=0)),ISNUMBER(H220),H220&gt;=0,OR(D220&lt;&gt;"EV",E220=120,AND(ISNUMBER('Operating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average",ISNUMBER(IFERROR(INDEX(Products!$P$7:$P$13,MATCH(AD220,Products!$A$7:$A$13,0)),"")))),ISNUMBER('Operating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plan'!$Y$60),ISNUMBER('Replacement plan'!$Z$60),'Replacement plan'!$Z$60&gt;=0,ISNUMBER('Replacement plan'!$AA$60),'Replacement plan'!$AA$60&gt;=0,'Replacement plan'!$AA$60=INT('Replacement plan'!$AA$60),ISNUMBER('Replacement plan'!$L$60))),'Operating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plan'!$AG$60="",'Operating costs'!$B$7,'Replacement plan'!$AG$60)),IF('Replacement plan'!$AG$60="",'Operating costs'!$B$7,'Replacement plan'!$AG$60)&gt;=0,ISNUMBER(IF('Replacement plan'!$AH$60="",'Operating costs'!$B$7,'Replacement plan'!$AH$60)),IF('Replacement plan'!$AH$60="",'Operating costs'!$B$7,'Replacement plan'!$AH$60)&gt;=0,'Operating costs'!$B$8&gt;MAX(IF('Replacement plan'!$AG$60="",'Operating costs'!$B$7,'Replacement plan'!$AG$60),IF('Replacement plan'!$AH$60="",'Operating costs'!$B$7,'Replacement plan'!$AH$60))*'Operating costs'!$B$9),IF(AND(VLOOKUP($A220,'Fleet register'!$A$7:$S$106,10,FALSE)&gt;=0,VLOOKUP($A220,'Fleet register'!$A$7:$S$106,10,FALSE)&lt;=120,VLOOKUP($A220,'Fleet register'!$A$7:$S$106,10,FALSE)=INT(VLOOKUP($A220,'Fleet register'!$A$7:$S$106,10,FALSE)),VLOOKUP($A220,'Fleet register'!$A$7:$S$106,15,FALSE)&gt;=0,VLOOKUP($A220,'Fleet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costs'!$B$67)&gt;=0,OR(D220&lt;&gt;"EV",E220=120,AND(MIN('Operating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20" s="1" t="str">
        <f>IF(C220=0,"Excluded",IF(P220&lt;&gt;"Complete",P220,IF(OR('Replacement plan'!$AD$60&lt;120-E220,AND(D220="EV",E220&lt;120,OR('Replacement plan'!$AC$60&lt;120-E220,'Replacement plan'!$I$60="No",AND(ISNUMBER(AF220),AE220&gt;AF220),AI220&gt;V220*(1-'Operating costs'!$B$46)^MAX(0,AB220-1)*(1-'Operating costs'!$B$45),AC220&gt;'Operating costs'!$B$18,AND(T220&lt;1,OR(AG220&lt;=0,AND(ISNUMBER(AH220),AG220&gt;AH220))),'Replacement plan'!$L$60&gt;INDEX(Products!$H$7:$H$13,MATCH('Replacement plan'!$B$60,Products!$A$7:$A$13,0))))),"Fails entered limits",IF(AND(D220="EV",E220&lt;120,OR(NOT(ISNUMBER(VLOOKUP($A220,'Fleet register'!$A$7:$S$106,7,FALSE))),NOT(ISNUMBER(VLOOKUP($A220,'Fleet register'!$A$7:$S$106,8,FALSE))),NOT(ISNUMBER(AF220)),'Replacement plan'!$I$60&lt;&gt;"Yes",NOT(ISNUMBER(AH220)),'Operating costs'!$B$59&lt;&gt;"Yes",'Operating costs'!$B$58&lt;&gt;"Yes")),"Unverified","Within entered limits"))))</f>
        <v>Excluded</v>
      </c>
      <c r="R220" s="1">
        <f>IF(C220=0,0,VLOOKUP($A220,'Fleet register'!$A$7:$S$106,6,FALSE))</f>
        <v>0</v>
      </c>
      <c r="S220" s="1">
        <f>IF(C220=0,0,VLOOKUP($A220,'Fleet register'!$A$7:$S$106,5,FALSE))</f>
        <v>0</v>
      </c>
      <c r="T220" s="1">
        <f>IF(D220="EV",'Energy and charging'!$B$12,0)</f>
        <v>0</v>
      </c>
      <c r="U220" s="1">
        <f>IFERROR(IF(C220=0,0,IF(D220="EV",IF('Replacement plan'!$F$60="",INDEX(Products!$E$7:$E$13,MATCH('Replacement plan'!$B$60,Products!$A$7:$A$13,0)),'Replacement plan'!$F$60)/IF('Replacement plan'!$G$60="Battery",1-'Operating costs'!$B$44,1),0)),"n.a.")</f>
        <v>0</v>
      </c>
      <c r="V220" s="1">
        <f>IFERROR(IF(C220=0,0,IF(D220="EV",IF('Replacement plan'!$E$60="",INDEX(Products!$D$7:$D$13,MATCH('Replacement plan'!$B$60,Products!$A$7:$A$13,0)),'Replacement plan'!$E$60),0)),"n.a.")</f>
        <v>0</v>
      </c>
      <c r="W220" s="1">
        <f>IF(C220=0,0,IF(AND(P220="Complete",D220="EV",E220&lt;120),IF(T220=0,0,ROUNDUP(T220*(R220-'Operating costs'!$B$41)*(S220*U220+'Operating costs'!$B$48/(1-'Operating costs'!$B$44))/(V220*'Operating costs'!$B$47/(1-'Operating costs'!$B$44)-T220*'Operating costs'!$B$12*U220),0)),0))</f>
        <v>0</v>
      </c>
      <c r="X220" s="1">
        <f>IF(C220=0,0,IF(AND(P220="Complete",D220="EV",E220&lt;120),(R220-'Operating costs'!$B$41)*(S220*U220+'Operating costs'!$B$48/(1-'Operating costs'!$B$44))+W220*'Operating costs'!$B$12*U220,0))</f>
        <v>0</v>
      </c>
      <c r="Y220" s="1">
        <f>IF(AND(C220=1,D220="EV",E220&lt;120),AI220/(1-'Operating costs'!$B$44)*(1-T220),0)</f>
        <v>0</v>
      </c>
      <c r="Z220" s="1">
        <f t="shared" si="6"/>
        <v>0</v>
      </c>
      <c r="AA220" s="1">
        <f>IF(C220=0,0,IF(P220="Complete",((S220*(R220-'Operating costs'!$B$40))+ROUNDUP(S220*(R220-'Operating costs'!$B$40)*IF('Replacement plan'!$AH$60="",'Operating costs'!$B$7,'Replacement plan'!$AH$60)/('Operating costs'!$B$8-'Operating costs'!$B$9*IF('Replacement plan'!$AH$60="",'Operating costs'!$B$7,'Replacement plan'!$AH$60)),0)*'Operating costs'!$B$9)*IF('Replacement plan'!$AH$60="",'Operating costs'!$B$7,'Replacement plan'!$AH$60),"n.a."))</f>
        <v>0</v>
      </c>
      <c r="AB220" s="1">
        <f t="shared" si="7"/>
        <v>0</v>
      </c>
      <c r="AC220" s="1">
        <f>IF(AND(C220=1,D220="EV",E220&lt;120,T220&gt;0),'Operating costs'!$B$12/'Operating costs'!$B$11*60+'Operating costs'!$B$13+'Operating costs'!$B$14+V220*'Operating costs'!$B$47/(1-'Operating costs'!$B$44)/'Replacement plan'!$L$60*60,0)</f>
        <v>0</v>
      </c>
      <c r="AD220" s="1" t="str">
        <f>'Replacement plan'!$B$60</f>
        <v>ChengLong L2EV</v>
      </c>
      <c r="AE220" s="1">
        <f>IF(C220=0,0,VLOOKUP($A220,'Fleet register'!$A$7:$S$106,8,FALSE))</f>
        <v>0</v>
      </c>
      <c r="AF220" s="1" t="str">
        <f>IF('Replacement plan'!$H$60="","n.a.",'Replacement plan'!$H$60)</f>
        <v>n.a.</v>
      </c>
      <c r="AG220" s="1">
        <f>'Replacement plan'!$J$60</f>
        <v>22</v>
      </c>
      <c r="AH220" s="1">
        <f>IFERROR(IF(D220="EV",IF('Replacement plan'!$K$60="AC",IF(ISNUMBER(INDEX(Products!$G$7:$G$13,MATCH('Replacement plan'!$B$60,Products!$A$7:$A$13,0))),INDEX(Products!$G$7:$G$13,MATCH('Replacement plan'!$B$60,Products!$A$7:$A$13,0)),"n.a."),IF(ISNUMBER(INDEX(Products!$H$7:$H$13,MATCH('Replacement plan'!$B$60,Products!$A$7:$A$13,0))),INDEX(Products!$H$7:$H$13,MATCH('Replacement plan'!$B$60,Products!$A$7:$A$13,0)),"n.a.")),0),"n.a.")</f>
        <v>0</v>
      </c>
      <c r="AI220" s="1">
        <f>IF(AND(C220=1,D220="EV",E220&lt;120),(VLOOKUP($A220,'Fleet register'!$A$7:$S$106,7,FALSE)+IF(T220&gt;0,'Operating costs'!$B$12,0))*U220*(1-'Operating costs'!$B$44)+'Operating costs'!$B$49,0)</f>
        <v>0</v>
      </c>
      <c r="AJ220" s="1">
        <f>IF(D220="EV",'Energy and charging'!$B$50,0)</f>
        <v>0</v>
      </c>
      <c r="AK220" s="17">
        <f>EDATE('Operating costs'!$B$63,E220)</f>
        <v>46298</v>
      </c>
      <c r="AL220" s="1">
        <f>IFERROR(IF(D220="EV",INDEX(Products!$B$7:$B$13,MATCH('Replacement plan'!$B$60,Products!$A$7:$A$13,0)),0),"n.a.")</f>
        <v>0</v>
      </c>
      <c r="AM220" s="1" t="str">
        <f>'Replacement plan'!$K$60</f>
        <v>DC</v>
      </c>
      <c r="AN220" s="1" t="str">
        <f>'Replacement plan'!$AE$60</f>
        <v>Assumed</v>
      </c>
      <c r="AO220" s="47">
        <f>IF(AND(C220=1,D220="EV",E220&lt;120),(R220-'Operating costs'!$B$41)*S220+W220*'Operating costs'!$B$12,0)</f>
        <v>0</v>
      </c>
      <c r="AP220" s="41">
        <f>IF(AND(C220=1,D220="EV",E220&lt;120),IF('Operating costs'!$B$68="Hong Seh 200k average",AO220*IFERROR(INDEX(Products!$P$7:$P$13,MATCH(AD220,Products!$A$7:$A$13,0)),"n.a."),'Operating costs'!$B$26),0)</f>
        <v>0</v>
      </c>
      <c r="AQ220" s="40" t="str">
        <f>IF(D220="EV",'Operating costs'!$B$68,"Not applicable")</f>
        <v>Not applicable</v>
      </c>
    </row>
    <row r="221" spans="1:43" ht="24" customHeight="1">
      <c r="A221" s="1" t="str">
        <f>'Replacement plan'!A60</f>
        <v>T054</v>
      </c>
      <c r="B221" s="1">
        <v>2</v>
      </c>
      <c r="C221" s="1">
        <f>IF(COUNTIFS('Fleet register'!$A$7:$A$106,$A221)=1,VLOOKUP($A221,'Fleet register'!$A$7:$S$106,2,FALSE),0)</f>
        <v>0</v>
      </c>
      <c r="D221" s="1" t="str">
        <f>IF('Replacement plan'!$O$60="EV","EV","ICE")</f>
        <v>ICE</v>
      </c>
      <c r="E221" s="1">
        <f>IF(C221=0,0,IF('Replacement plan'!$P$60="",IF('Replacement plan'!$O$60="Keep ICE",IF('Replacement plan'!$M$60="",VLOOKUP($A221,'Fleet register'!$A$7:$S$106,10,FALSE),'Replacement plan'!$M$60),0),'Replacement plan'!$P$60))</f>
        <v>0</v>
      </c>
      <c r="F221" s="16">
        <f>IF(C221=0,0,VLOOKUP($A221,'Fleet register'!$A$7:$S$106,11,FALSE))</f>
        <v>0</v>
      </c>
      <c r="G221" s="16">
        <f>IFERROR(IF(C221=0,0,IF(E221=120,0,IF(D221="ICE",'Replacement plan'!$C$60,IF('Replacement plan'!$D$60="",INDEX(Products!$I$7:$I$13,MATCH('Replacement plan'!$B$60,Products!$A$7:$A$13,0))+'Operating costs'!$B$57,'Replacement plan'!$D$60))*(1+'Operating costs'!$B$50)^(E221/12))),"n.a.")</f>
        <v>0</v>
      </c>
      <c r="H221" s="16">
        <f>IFERROR(IF(C221=0,0,IF('Replacement plan'!$U$60&lt;&gt;"",'Replacement plan'!$U$60,IF(E221=0,F221,VLOOKUP($A221,'Fleet register'!$A$7:$S$106,12,FALSE)+VLOOKUP($A221,'Fleet register'!$A$7:$S$106,13,FALSE)*MAX(0,VLOOKUP($A221,'Fleet register'!$A$7:$S$106,10,FALSE)-E221)/VLOOKUP($A221,'Fleet register'!$A$7:$S$106,14,FALSE)))),"n.a.")</f>
        <v>0</v>
      </c>
      <c r="I221" s="16">
        <f>IF(C221=0,0,IF(E221=120,0,'Replacement plan'!$Q$60))</f>
        <v>0</v>
      </c>
      <c r="J221" s="16">
        <f>IF(C221=0,0,IF(P221="Complete",((S221*(R221-'Operating costs'!$B$39))+ROUNDUP(S221*(R221-'Operating costs'!$B$39)*IF('Replacement plan'!$AG$60="",'Operating costs'!$B$7,'Replacement plan'!$AG$60)/('Operating costs'!$B$8-'Operating costs'!$B$9*IF('Replacement plan'!$AG$60="",'Operating costs'!$B$7,'Replacement plan'!$AG$60)),0)*'Operating costs'!$B$9)*IF('Replacement plan'!$AG$60="",'Operating costs'!$B$7,'Replacement plan'!$AG$60)*('Energy and charging'!$B$9*'Energy and charging'!$B$7+(1-'Energy and charging'!$B$9)*'Energy and charging'!$B$8)*'Operating costs'!$B$23,"n.a."))</f>
        <v>0</v>
      </c>
      <c r="K221" s="16">
        <f>IF(C221=0,0,IF(P221="Complete",SUM('Operating costs'!$B$24,'Operating costs'!$B$27,'Operating costs'!$B$29,'Operating costs'!$B$31,'Operating costs'!$B$33,'Operating costs'!$B$34,'Operating costs'!$B$37,'Replacement plan'!$W$60)+'Operating costs'!$B$39*'Operating costs'!$B$42+ROUNDUP(S221*(R221-'Operating costs'!$B$39)*IF('Replacement plan'!$AG$60="",'Operating costs'!$B$7,'Replacement plan'!$AG$60)/('Operating costs'!$B$8-'Operating costs'!$B$9*IF('Replacement plan'!$AG$60="",'Operating costs'!$B$7,'Replacement plan'!$AG$60)),0)*('Operating costs'!$B$9/'Operating costs'!$B$11+'Operating costs'!$B$10/60)*'Operating costs'!$B$19*'Operating costs'!$B$21,"n.a."))</f>
        <v>0</v>
      </c>
      <c r="L221" s="16">
        <f>IF(C221=0,0,IF(P221="Complete",IF(D221="EV",X221*((1-T221)*'Energy and charging'!$B$10+T221*'Energy and charging'!$B$11)*'Operating costs'!$B$22,AA221*('Energy and charging'!$B$9*'Energy and charging'!$B$7+(1-'Energy and charging'!$B$9)*'Energy and charging'!$B$8)*'Operating costs'!$B$23),"n.a."))</f>
        <v>0</v>
      </c>
      <c r="M221" s="37">
        <f>IF(C221=0,0,IF(P221="Complete",IF(D221="ICE",SUM('Operating costs'!$B$25,'Operating costs'!$B$27,'Operating costs'!$B$29,'Operating costs'!$B$31,'Operating costs'!$B$33,'Operating costs'!$B$35,'Operating costs'!$B$37,'Replacement plan'!$X$60)+'Operating costs'!$B$40*'Operating costs'!$B$42+ROUNDUP(S221*(R221-'Operating costs'!$B$40)*IF('Replacement plan'!$AH$60="",'Operating costs'!$B$7,'Replacement plan'!$AH$60)/('Operating costs'!$B$8-'Operating costs'!$B$9*IF('Replacement plan'!$AH$60="",'Operating costs'!$B$7,'Replacement plan'!$AH$60)),0)*('Operating costs'!$B$9/'Operating costs'!$B$11+'Operating costs'!$B$10/60)*'Operating costs'!$B$19*'Operating costs'!$B$21,SUM(AP221,'Operating costs'!$B$28,'Operating costs'!$B$30,'Operating costs'!$B$32,'Operating costs'!$B$33,'Operating costs'!$B$36,'Operating costs'!$B$38,'Replacement plan'!$Y$60)+'Operating costs'!$B$41*'Operating costs'!$B$43+W221*'Operating costs'!$B$15+(T221*X221/'Replacement plan'!$L$60+W221*('Operating costs'!$B$12/'Operating costs'!$B$11+('Operating costs'!$B$13+'Operating costs'!$B$14)/60)+(R221-'Operating costs'!$B$41)*(IF(T221&lt;1,'Operating costs'!$B$16,0)+'Operating costs'!$B$17)/60)*'Operating costs'!$B$19*'Operating costs'!$B$20),"n.a."))</f>
        <v>0</v>
      </c>
      <c r="N221" s="16">
        <f>IF(AND(C221=1,D221="EV",E221&lt;120,E221+'Replacement plan'!$AA$60&lt;=120),'Replacement plan'!$Z$60,0)</f>
        <v>0</v>
      </c>
      <c r="O221" s="1">
        <f>E221+'Replacement plan'!$AA$60</f>
        <v>0</v>
      </c>
      <c r="P221" s="35" t="str">
        <f>IFERROR(IF(C221=0,"Excluded",IF(OR(COUNTIFS('Fleet register'!$A$7:$A$106,A221)&lt;&gt;1,COUNTIFS('Replacement plan'!$A$7:$A$106,A221)&lt;&gt;1),"Duplicate/missing ID",IF(NOT(AND(ISNUMBER(VLOOKUP($A221,'Fleet register'!$A$7:$S$106,5,FALSE)),ISNUMBER(VLOOKUP($A221,'Fleet register'!$A$7:$S$106,6,FALSE)),ISNUMBER(VLOOKUP($A221,'Fleet register'!$A$7:$S$106,10,FALSE)),ISNUMBER(VLOOKUP($A221,'Fleet register'!$A$7:$S$106,11,FALSE)),ISNUMBER(VLOOKUP($A221,'Fleet register'!$A$7:$S$106,12,FALSE)),ISNUMBER(VLOOKUP($A221,'Fleet register'!$A$7:$S$106,13,FALSE)),ISNUMBER(VLOOKUP($A221,'Fleet register'!$A$7:$S$106,14,FALSE)),VLOOKUP($A221,'Fleet register'!$A$7:$S$106,14,FALSE)&gt;0,ISNUMBER('Replacement plan'!$C$60),OR(E221=120,ISNUMBER('Replacement plan'!$Q$60)),ISNUMBER(E221))),"Missing vehicle input",IF(OR(E221&lt;0,E221&gt;VLOOKUP($A221,'Fleet register'!$A$7:$S$106,10,FALSE),E221&gt;120,E221&lt;&gt;INT(E221),VLOOKUP($A221,'Fleet register'!$A$7:$S$106,6,FALSE)&lt;=0,VLOOKUP($A221,'Fleet register'!$A$7:$S$106,6,FALSE)&gt;366,VLOOKUP($A221,'Fleet register'!$A$7:$S$106,5,FALSE)&lt;0,VLOOKUP($A221,'Fleet register'!$A$7:$S$106,11,FALSE)&lt;0,I221&lt;0,'Operating costs'!$B$8&lt;='Operating costs'!$B$7*'Operating costs'!$B$9,'Operating costs'!$B$11&lt;=0,'Operating costs'!$B$39&gt;R221,'Operating costs'!$B$40&gt;R221,'Operating costs'!$B$41&gt;R221,NOT(OR('Replacement plan'!$O$60="Keep ICE",'Replacement plan'!$O$60="New ICE",'Replacement plan'!$O$60="EV"))),"Invalid vehicle input",IF(AND(D221="EV",E221&lt;120,OR(NOT(ISNUMBER(U221)),NOT(ISNUMBER(V221)),V221&lt;=0,T221&lt;0,T221&gt;1,'Replacement plan'!$L$60&lt;=0,'Operating costs'!$B$44&lt;0,'Operating costs'!$B$44&gt;=1,'Operating costs'!$B$47&lt;=0,'Operating costs'!$B$47&gt;1,V221*'Operating costs'!$B$47/(1-'Operating costs'!$B$44)&lt;=T221*'Operating costs'!$B$12*U221,AND('Replacement plan'!$Z$60&gt;0,OR('Replacement plan'!$AB$60&lt;&gt;"Yes",'Operating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charging'!$B$8&gt;=0))),ISNUMBER(VLOOKUP($A221,'Fleet register'!$A$7:$S$106,15,FALSE)),ISNUMBER(VLOOKUP($A221,'Fleet register'!$A$7:$S$106,16,FALSE)),ISNUMBER('Replacement plan'!$W$60),ISNUMBER('Replacement plan'!$X$60),OR(E221=120,AND(ISNUMBER(G221),G221&gt;=0)),ISNUMBER(H221),H221&gt;=0,OR(D221&lt;&gt;"EV",E221=120,AND(ISNUMBER('Operating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average",ISNUMBER(IFERROR(INDEX(Products!$P$7:$P$13,MATCH(AD221,Products!$A$7:$A$13,0)),"")))),ISNUMBER('Operating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plan'!$Y$60),ISNUMBER('Replacement plan'!$Z$60),'Replacement plan'!$Z$60&gt;=0,ISNUMBER('Replacement plan'!$AA$60),'Replacement plan'!$AA$60&gt;=0,'Replacement plan'!$AA$60=INT('Replacement plan'!$AA$60),ISNUMBER('Replacement plan'!$L$60))),'Operating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plan'!$AG$60="",'Operating costs'!$B$7,'Replacement plan'!$AG$60)),IF('Replacement plan'!$AG$60="",'Operating costs'!$B$7,'Replacement plan'!$AG$60)&gt;=0,ISNUMBER(IF('Replacement plan'!$AH$60="",'Operating costs'!$B$7,'Replacement plan'!$AH$60)),IF('Replacement plan'!$AH$60="",'Operating costs'!$B$7,'Replacement plan'!$AH$60)&gt;=0,'Operating costs'!$B$8&gt;MAX(IF('Replacement plan'!$AG$60="",'Operating costs'!$B$7,'Replacement plan'!$AG$60),IF('Replacement plan'!$AH$60="",'Operating costs'!$B$7,'Replacement plan'!$AH$60))*'Operating costs'!$B$9),IF(AND(VLOOKUP($A221,'Fleet register'!$A$7:$S$106,10,FALSE)&gt;=0,VLOOKUP($A221,'Fleet register'!$A$7:$S$106,10,FALSE)&lt;=120,VLOOKUP($A221,'Fleet register'!$A$7:$S$106,10,FALSE)=INT(VLOOKUP($A221,'Fleet register'!$A$7:$S$106,10,FALSE)),VLOOKUP($A221,'Fleet register'!$A$7:$S$106,15,FALSE)&gt;=0,VLOOKUP($A221,'Fleet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costs'!$B$67)&gt;=0,OR(D221&lt;&gt;"EV",E221=120,AND(MIN('Operating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21" s="1" t="str">
        <f>IF(C221=0,"Excluded",IF(P221&lt;&gt;"Complete",P221,IF(OR('Replacement plan'!$AD$60&lt;120-E221,AND(D221="EV",E221&lt;120,OR('Replacement plan'!$AC$60&lt;120-E221,'Replacement plan'!$I$60="No",AND(ISNUMBER(AF221),AE221&gt;AF221),AI221&gt;V221*(1-'Operating costs'!$B$46)^MAX(0,AB221-1)*(1-'Operating costs'!$B$45),AC221&gt;'Operating costs'!$B$18,AND(T221&lt;1,OR(AG221&lt;=0,AND(ISNUMBER(AH221),AG221&gt;AH221))),'Replacement plan'!$L$60&gt;INDEX(Products!$H$7:$H$13,MATCH('Replacement plan'!$B$60,Products!$A$7:$A$13,0))))),"Fails entered limits",IF(AND(D221="EV",E221&lt;120,OR(NOT(ISNUMBER(VLOOKUP($A221,'Fleet register'!$A$7:$S$106,7,FALSE))),NOT(ISNUMBER(VLOOKUP($A221,'Fleet register'!$A$7:$S$106,8,FALSE))),NOT(ISNUMBER(AF221)),'Replacement plan'!$I$60&lt;&gt;"Yes",NOT(ISNUMBER(AH221)),'Operating costs'!$B$59&lt;&gt;"Yes",'Operating costs'!$B$58&lt;&gt;"Yes")),"Unverified","Within entered limits"))))</f>
        <v>Excluded</v>
      </c>
      <c r="R221" s="1">
        <f>IF(C221=0,0,VLOOKUP($A221,'Fleet register'!$A$7:$S$106,6,FALSE))</f>
        <v>0</v>
      </c>
      <c r="S221" s="1">
        <f>IF(C221=0,0,VLOOKUP($A221,'Fleet register'!$A$7:$S$106,5,FALSE))</f>
        <v>0</v>
      </c>
      <c r="T221" s="1">
        <f>IF(D221="EV",'Energy and charging'!$B$12,0)</f>
        <v>0</v>
      </c>
      <c r="U221" s="1">
        <f>IFERROR(IF(C221=0,0,IF(D221="EV",IF('Replacement plan'!$F$60="",INDEX(Products!$E$7:$E$13,MATCH('Replacement plan'!$B$60,Products!$A$7:$A$13,0)),'Replacement plan'!$F$60)/IF('Replacement plan'!$G$60="Battery",1-'Operating costs'!$B$44,1),0)),"n.a.")</f>
        <v>0</v>
      </c>
      <c r="V221" s="1">
        <f>IFERROR(IF(C221=0,0,IF(D221="EV",IF('Replacement plan'!$E$60="",INDEX(Products!$D$7:$D$13,MATCH('Replacement plan'!$B$60,Products!$A$7:$A$13,0)),'Replacement plan'!$E$60),0)),"n.a.")</f>
        <v>0</v>
      </c>
      <c r="W221" s="1">
        <f>IF(C221=0,0,IF(AND(P221="Complete",D221="EV",E221&lt;120),IF(T221=0,0,ROUNDUP(T221*(R221-'Operating costs'!$B$41)*(S221*U221+'Operating costs'!$B$48/(1-'Operating costs'!$B$44))/(V221*'Operating costs'!$B$47/(1-'Operating costs'!$B$44)-T221*'Operating costs'!$B$12*U221),0)),0))</f>
        <v>0</v>
      </c>
      <c r="X221" s="1">
        <f>IF(C221=0,0,IF(AND(P221="Complete",D221="EV",E221&lt;120),(R221-'Operating costs'!$B$41)*(S221*U221+'Operating costs'!$B$48/(1-'Operating costs'!$B$44))+W221*'Operating costs'!$B$12*U221,0))</f>
        <v>0</v>
      </c>
      <c r="Y221" s="1">
        <f>IF(AND(C221=1,D221="EV",E221&lt;120),AI221/(1-'Operating costs'!$B$44)*(1-T221),0)</f>
        <v>0</v>
      </c>
      <c r="Z221" s="1">
        <f t="shared" si="6"/>
        <v>0</v>
      </c>
      <c r="AA221" s="1">
        <f>IF(C221=0,0,IF(P221="Complete",((S221*(R221-'Operating costs'!$B$40))+ROUNDUP(S221*(R221-'Operating costs'!$B$40)*IF('Replacement plan'!$AH$60="",'Operating costs'!$B$7,'Replacement plan'!$AH$60)/('Operating costs'!$B$8-'Operating costs'!$B$9*IF('Replacement plan'!$AH$60="",'Operating costs'!$B$7,'Replacement plan'!$AH$60)),0)*'Operating costs'!$B$9)*IF('Replacement plan'!$AH$60="",'Operating costs'!$B$7,'Replacement plan'!$AH$60),"n.a."))</f>
        <v>0</v>
      </c>
      <c r="AB221" s="1">
        <f t="shared" si="7"/>
        <v>0</v>
      </c>
      <c r="AC221" s="1">
        <f>IF(AND(C221=1,D221="EV",E221&lt;120,T221&gt;0),'Operating costs'!$B$12/'Operating costs'!$B$11*60+'Operating costs'!$B$13+'Operating costs'!$B$14+V221*'Operating costs'!$B$47/(1-'Operating costs'!$B$44)/'Replacement plan'!$L$60*60,0)</f>
        <v>0</v>
      </c>
      <c r="AD221" s="1" t="str">
        <f>'Replacement plan'!$B$60</f>
        <v>ChengLong L2EV</v>
      </c>
      <c r="AE221" s="1">
        <f>IF(C221=0,0,VLOOKUP($A221,'Fleet register'!$A$7:$S$106,8,FALSE))</f>
        <v>0</v>
      </c>
      <c r="AF221" s="1" t="str">
        <f>IF('Replacement plan'!$H$60="","n.a.",'Replacement plan'!$H$60)</f>
        <v>n.a.</v>
      </c>
      <c r="AG221" s="1">
        <f>'Replacement plan'!$J$60</f>
        <v>22</v>
      </c>
      <c r="AH221" s="1">
        <f>IFERROR(IF(D221="EV",IF('Replacement plan'!$K$60="AC",IF(ISNUMBER(INDEX(Products!$G$7:$G$13,MATCH('Replacement plan'!$B$60,Products!$A$7:$A$13,0))),INDEX(Products!$G$7:$G$13,MATCH('Replacement plan'!$B$60,Products!$A$7:$A$13,0)),"n.a."),IF(ISNUMBER(INDEX(Products!$H$7:$H$13,MATCH('Replacement plan'!$B$60,Products!$A$7:$A$13,0))),INDEX(Products!$H$7:$H$13,MATCH('Replacement plan'!$B$60,Products!$A$7:$A$13,0)),"n.a.")),0),"n.a.")</f>
        <v>0</v>
      </c>
      <c r="AI221" s="1">
        <f>IF(AND(C221=1,D221="EV",E221&lt;120),(VLOOKUP($A221,'Fleet register'!$A$7:$S$106,7,FALSE)+IF(T221&gt;0,'Operating costs'!$B$12,0))*U221*(1-'Operating costs'!$B$44)+'Operating costs'!$B$49,0)</f>
        <v>0</v>
      </c>
      <c r="AJ221" s="1">
        <f>IF(D221="EV",'Energy and charging'!$B$50,0)</f>
        <v>0</v>
      </c>
      <c r="AK221" s="17">
        <f>EDATE('Operating costs'!$B$63,E221)</f>
        <v>46298</v>
      </c>
      <c r="AL221" s="1">
        <f>IFERROR(IF(D221="EV",INDEX(Products!$B$7:$B$13,MATCH('Replacement plan'!$B$60,Products!$A$7:$A$13,0)),0),"n.a.")</f>
        <v>0</v>
      </c>
      <c r="AM221" s="1" t="str">
        <f>'Replacement plan'!$K$60</f>
        <v>DC</v>
      </c>
      <c r="AN221" s="1" t="str">
        <f>'Replacement plan'!$AE$60</f>
        <v>Assumed</v>
      </c>
      <c r="AO221" s="47">
        <f>IF(AND(C221=1,D221="EV",E221&lt;120),(R221-'Operating costs'!$B$41)*S221+W221*'Operating costs'!$B$12,0)</f>
        <v>0</v>
      </c>
      <c r="AP221" s="41">
        <f>IF(AND(C221=1,D221="EV",E221&lt;120),IF('Operating costs'!$B$68="Hong Seh 200k average",AO221*IFERROR(INDEX(Products!$P$7:$P$13,MATCH(AD221,Products!$A$7:$A$13,0)),"n.a."),'Operating costs'!$B$26),0)</f>
        <v>0</v>
      </c>
      <c r="AQ221" s="40" t="str">
        <f>IF(D221="EV",'Operating costs'!$B$68,"Not applicable")</f>
        <v>Not applicable</v>
      </c>
    </row>
    <row r="222" spans="1:43" ht="24" customHeight="1">
      <c r="A222" s="1" t="str">
        <f>'Replacement plan'!A60</f>
        <v>T054</v>
      </c>
      <c r="B222" s="1">
        <v>3</v>
      </c>
      <c r="C222" s="1">
        <f>IF(COUNTIFS('Fleet register'!$A$7:$A$106,$A222)=1,VLOOKUP($A222,'Fleet register'!$A$7:$S$106,2,FALSE),0)</f>
        <v>0</v>
      </c>
      <c r="D222" s="1" t="str">
        <f>IF('Replacement plan'!$R$60="EV","EV","ICE")</f>
        <v>ICE</v>
      </c>
      <c r="E222" s="1">
        <f>IF(C222=0,0,IF('Replacement plan'!$S$60="",IF('Replacement plan'!$R$60="Keep ICE",IF('Replacement plan'!$M$60="",VLOOKUP($A222,'Fleet register'!$A$7:$S$106,10,FALSE),'Replacement plan'!$M$60),0),'Replacement plan'!$S$60))</f>
        <v>0</v>
      </c>
      <c r="F222" s="16">
        <f>IF(C222=0,0,VLOOKUP($A222,'Fleet register'!$A$7:$S$106,11,FALSE))</f>
        <v>0</v>
      </c>
      <c r="G222" s="16">
        <f>IFERROR(IF(C222=0,0,IF(E222=120,0,IF(D222="ICE",'Replacement plan'!$C$60,IF('Replacement plan'!$D$60="",INDEX(Products!$I$7:$I$13,MATCH('Replacement plan'!$B$60,Products!$A$7:$A$13,0))+'Operating costs'!$B$57,'Replacement plan'!$D$60))*(1+'Operating costs'!$B$50)^(E222/12))),"n.a.")</f>
        <v>0</v>
      </c>
      <c r="H222" s="16">
        <f>IFERROR(IF(C222=0,0,IF('Replacement plan'!$V$60&lt;&gt;"",'Replacement plan'!$V$60,IF(E222=0,F222,VLOOKUP($A222,'Fleet register'!$A$7:$S$106,12,FALSE)+VLOOKUP($A222,'Fleet register'!$A$7:$S$106,13,FALSE)*MAX(0,VLOOKUP($A222,'Fleet register'!$A$7:$S$106,10,FALSE)-E222)/VLOOKUP($A222,'Fleet register'!$A$7:$S$106,14,FALSE)))),"n.a.")</f>
        <v>0</v>
      </c>
      <c r="I222" s="16">
        <f>IF(C222=0,0,IF(E222=120,0,'Replacement plan'!$T$60))</f>
        <v>0</v>
      </c>
      <c r="J222" s="16">
        <f>IF(C222=0,0,IF(P222="Complete",((S222*(R222-'Operating costs'!$B$39))+ROUNDUP(S222*(R222-'Operating costs'!$B$39)*IF('Replacement plan'!$AG$60="",'Operating costs'!$B$7,'Replacement plan'!$AG$60)/('Operating costs'!$B$8-'Operating costs'!$B$9*IF('Replacement plan'!$AG$60="",'Operating costs'!$B$7,'Replacement plan'!$AG$60)),0)*'Operating costs'!$B$9)*IF('Replacement plan'!$AG$60="",'Operating costs'!$B$7,'Replacement plan'!$AG$60)*('Energy and charging'!$C$9*'Energy and charging'!$C$7+(1-'Energy and charging'!$C$9)*'Energy and charging'!$C$8)*'Operating costs'!$B$23,"n.a."))</f>
        <v>0</v>
      </c>
      <c r="K222" s="16">
        <f>IF(C222=0,0,IF(P222="Complete",SUM('Operating costs'!$B$24,'Operating costs'!$B$27,'Operating costs'!$B$29,'Operating costs'!$B$31,'Operating costs'!$B$33,'Operating costs'!$B$34,'Operating costs'!$B$37,'Replacement plan'!$W$60)+'Operating costs'!$B$39*'Operating costs'!$B$42+ROUNDUP(S222*(R222-'Operating costs'!$B$39)*IF('Replacement plan'!$AG$60="",'Operating costs'!$B$7,'Replacement plan'!$AG$60)/('Operating costs'!$B$8-'Operating costs'!$B$9*IF('Replacement plan'!$AG$60="",'Operating costs'!$B$7,'Replacement plan'!$AG$60)),0)*('Operating costs'!$B$9/'Operating costs'!$B$11+'Operating costs'!$B$10/60)*'Operating costs'!$B$19*'Operating costs'!$B$21,"n.a."))</f>
        <v>0</v>
      </c>
      <c r="L222" s="16">
        <f>IF(C222=0,0,IF(P222="Complete",IF(D222="EV",X222*((1-T222)*'Energy and charging'!$C$10+T222*'Energy and charging'!$C$11)*'Operating costs'!$B$22,AA222*('Energy and charging'!$C$9*'Energy and charging'!$C$7+(1-'Energy and charging'!$C$9)*'Energy and charging'!$C$8)*'Operating costs'!$B$23),"n.a."))</f>
        <v>0</v>
      </c>
      <c r="M222" s="37">
        <f>IF(C222=0,0,IF(P222="Complete",IF(D222="ICE",SUM('Operating costs'!$B$25,'Operating costs'!$B$27,'Operating costs'!$B$29,'Operating costs'!$B$31,'Operating costs'!$B$33,'Operating costs'!$B$35,'Operating costs'!$B$37,'Replacement plan'!$X$60)+'Operating costs'!$B$40*'Operating costs'!$B$42+ROUNDUP(S222*(R222-'Operating costs'!$B$40)*IF('Replacement plan'!$AH$60="",'Operating costs'!$B$7,'Replacement plan'!$AH$60)/('Operating costs'!$B$8-'Operating costs'!$B$9*IF('Replacement plan'!$AH$60="",'Operating costs'!$B$7,'Replacement plan'!$AH$60)),0)*('Operating costs'!$B$9/'Operating costs'!$B$11+'Operating costs'!$B$10/60)*'Operating costs'!$B$19*'Operating costs'!$B$21,SUM(AP222,'Operating costs'!$B$28,'Operating costs'!$B$30,'Operating costs'!$B$32,'Operating costs'!$B$33,'Operating costs'!$B$36,'Operating costs'!$B$38,'Replacement plan'!$Y$60)+'Operating costs'!$B$41*'Operating costs'!$B$43+W222*'Operating costs'!$B$15+(T222*X222/'Replacement plan'!$L$60+W222*('Operating costs'!$B$12/'Operating costs'!$B$11+('Operating costs'!$B$13+'Operating costs'!$B$14)/60)+(R222-'Operating costs'!$B$41)*(IF(T222&lt;1,'Operating costs'!$B$16,0)+'Operating costs'!$B$17)/60)*'Operating costs'!$B$19*'Operating costs'!$B$20),"n.a."))</f>
        <v>0</v>
      </c>
      <c r="N222" s="16">
        <f>IF(AND(C222=1,D222="EV",E222&lt;120,E222+'Replacement plan'!$AA$60&lt;=120),'Replacement plan'!$Z$60,0)</f>
        <v>0</v>
      </c>
      <c r="O222" s="1">
        <f>E222+'Replacement plan'!$AA$60</f>
        <v>0</v>
      </c>
      <c r="P222" s="35" t="str">
        <f>IFERROR(IF(C222=0,"Excluded",IF(OR(COUNTIFS('Fleet register'!$A$7:$A$106,A222)&lt;&gt;1,COUNTIFS('Replacement plan'!$A$7:$A$106,A222)&lt;&gt;1),"Duplicate/missing ID",IF(NOT(AND(ISNUMBER(VLOOKUP($A222,'Fleet register'!$A$7:$S$106,5,FALSE)),ISNUMBER(VLOOKUP($A222,'Fleet register'!$A$7:$S$106,6,FALSE)),ISNUMBER(VLOOKUP($A222,'Fleet register'!$A$7:$S$106,10,FALSE)),ISNUMBER(VLOOKUP($A222,'Fleet register'!$A$7:$S$106,11,FALSE)),ISNUMBER(VLOOKUP($A222,'Fleet register'!$A$7:$S$106,12,FALSE)),ISNUMBER(VLOOKUP($A222,'Fleet register'!$A$7:$S$106,13,FALSE)),ISNUMBER(VLOOKUP($A222,'Fleet register'!$A$7:$S$106,14,FALSE)),VLOOKUP($A222,'Fleet register'!$A$7:$S$106,14,FALSE)&gt;0,ISNUMBER('Replacement plan'!$C$60),OR(E222=120,ISNUMBER('Replacement plan'!$T$60)),ISNUMBER(E222))),"Missing vehicle input",IF(OR(E222&lt;0,E222&gt;VLOOKUP($A222,'Fleet register'!$A$7:$S$106,10,FALSE),E222&gt;120,E222&lt;&gt;INT(E222),VLOOKUP($A222,'Fleet register'!$A$7:$S$106,6,FALSE)&lt;=0,VLOOKUP($A222,'Fleet register'!$A$7:$S$106,6,FALSE)&gt;366,VLOOKUP($A222,'Fleet register'!$A$7:$S$106,5,FALSE)&lt;0,VLOOKUP($A222,'Fleet register'!$A$7:$S$106,11,FALSE)&lt;0,I222&lt;0,'Operating costs'!$B$8&lt;='Operating costs'!$B$7*'Operating costs'!$B$9,'Operating costs'!$B$11&lt;=0,'Operating costs'!$B$39&gt;R222,'Operating costs'!$B$40&gt;R222,'Operating costs'!$B$41&gt;R222,NOT(OR('Replacement plan'!$R$60="Keep ICE",'Replacement plan'!$R$60="New ICE",'Replacement plan'!$R$60="EV"))),"Invalid vehicle input",IF(AND(D222="EV",E222&lt;120,OR(NOT(ISNUMBER(U222)),NOT(ISNUMBER(V222)),V222&lt;=0,T222&lt;0,T222&gt;1,'Replacement plan'!$L$60&lt;=0,'Operating costs'!$B$44&lt;0,'Operating costs'!$B$44&gt;=1,'Operating costs'!$B$47&lt;=0,'Operating costs'!$B$47&gt;1,V222*'Operating costs'!$B$47/(1-'Operating costs'!$B$44)&lt;=T222*'Operating costs'!$B$12*U222,AND('Replacement plan'!$Z$60&gt;0,OR('Replacement plan'!$AB$60&lt;&gt;"Yes",'Operating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charging'!$C$8&gt;=0))),ISNUMBER(VLOOKUP($A222,'Fleet register'!$A$7:$S$106,15,FALSE)),ISNUMBER(VLOOKUP($A222,'Fleet register'!$A$7:$S$106,16,FALSE)),ISNUMBER('Replacement plan'!$W$60),ISNUMBER('Replacement plan'!$X$60),OR(E222=120,AND(ISNUMBER(G222),G222&gt;=0)),ISNUMBER(H222),H222&gt;=0,OR(D222&lt;&gt;"EV",E222=120,AND(ISNUMBER('Operating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average",ISNUMBER(IFERROR(INDEX(Products!$P$7:$P$13,MATCH(AD222,Products!$A$7:$A$13,0)),"")))),ISNUMBER('Operating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plan'!$Y$60),ISNUMBER('Replacement plan'!$Z$60),'Replacement plan'!$Z$60&gt;=0,ISNUMBER('Replacement plan'!$AA$60),'Replacement plan'!$AA$60&gt;=0,'Replacement plan'!$AA$60=INT('Replacement plan'!$AA$60),ISNUMBER('Replacement plan'!$L$60))),'Operating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plan'!$AG$60="",'Operating costs'!$B$7,'Replacement plan'!$AG$60)),IF('Replacement plan'!$AG$60="",'Operating costs'!$B$7,'Replacement plan'!$AG$60)&gt;=0,ISNUMBER(IF('Replacement plan'!$AH$60="",'Operating costs'!$B$7,'Replacement plan'!$AH$60)),IF('Replacement plan'!$AH$60="",'Operating costs'!$B$7,'Replacement plan'!$AH$60)&gt;=0,'Operating costs'!$B$8&gt;MAX(IF('Replacement plan'!$AG$60="",'Operating costs'!$B$7,'Replacement plan'!$AG$60),IF('Replacement plan'!$AH$60="",'Operating costs'!$B$7,'Replacement plan'!$AH$60))*'Operating costs'!$B$9),IF(AND(VLOOKUP($A222,'Fleet register'!$A$7:$S$106,10,FALSE)&gt;=0,VLOOKUP($A222,'Fleet register'!$A$7:$S$106,10,FALSE)&lt;=120,VLOOKUP($A222,'Fleet register'!$A$7:$S$106,10,FALSE)=INT(VLOOKUP($A222,'Fleet register'!$A$7:$S$106,10,FALSE)),VLOOKUP($A222,'Fleet register'!$A$7:$S$106,15,FALSE)&gt;=0,VLOOKUP($A222,'Fleet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costs'!$B$67)&gt;=0,OR(D222&lt;&gt;"EV",E222=120,AND(MIN('Operating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22" s="1" t="str">
        <f>IF(C222=0,"Excluded",IF(P222&lt;&gt;"Complete",P222,IF(OR('Replacement plan'!$AD$60&lt;120-E222,AND(D222="EV",E222&lt;120,OR('Replacement plan'!$AC$60&lt;120-E222,'Replacement plan'!$I$60="No",AND(ISNUMBER(AF222),AE222&gt;AF222),AI222&gt;V222*(1-'Operating costs'!$B$46)^MAX(0,AB222-1)*(1-'Operating costs'!$B$45),AC222&gt;'Operating costs'!$B$18,AND(T222&lt;1,OR(AG222&lt;=0,AND(ISNUMBER(AH222),AG222&gt;AH222))),'Replacement plan'!$L$60&gt;INDEX(Products!$H$7:$H$13,MATCH('Replacement plan'!$B$60,Products!$A$7:$A$13,0))))),"Fails entered limits",IF(AND(D222="EV",E222&lt;120,OR(NOT(ISNUMBER(VLOOKUP($A222,'Fleet register'!$A$7:$S$106,7,FALSE))),NOT(ISNUMBER(VLOOKUP($A222,'Fleet register'!$A$7:$S$106,8,FALSE))),NOT(ISNUMBER(AF222)),'Replacement plan'!$I$60&lt;&gt;"Yes",NOT(ISNUMBER(AH222)),'Operating costs'!$B$59&lt;&gt;"Yes",'Operating costs'!$B$58&lt;&gt;"Yes")),"Unverified","Within entered limits"))))</f>
        <v>Excluded</v>
      </c>
      <c r="R222" s="1">
        <f>IF(C222=0,0,VLOOKUP($A222,'Fleet register'!$A$7:$S$106,6,FALSE))</f>
        <v>0</v>
      </c>
      <c r="S222" s="1">
        <f>IF(C222=0,0,VLOOKUP($A222,'Fleet register'!$A$7:$S$106,5,FALSE))</f>
        <v>0</v>
      </c>
      <c r="T222" s="1">
        <f>IF(D222="EV",'Energy and charging'!$C$12,0)</f>
        <v>0</v>
      </c>
      <c r="U222" s="1">
        <f>IFERROR(IF(C222=0,0,IF(D222="EV",IF('Replacement plan'!$F$60="",INDEX(Products!$E$7:$E$13,MATCH('Replacement plan'!$B$60,Products!$A$7:$A$13,0)),'Replacement plan'!$F$60)/IF('Replacement plan'!$G$60="Battery",1-'Operating costs'!$B$44,1),0)),"n.a.")</f>
        <v>0</v>
      </c>
      <c r="V222" s="1">
        <f>IFERROR(IF(C222=0,0,IF(D222="EV",IF('Replacement plan'!$E$60="",INDEX(Products!$D$7:$D$13,MATCH('Replacement plan'!$B$60,Products!$A$7:$A$13,0)),'Replacement plan'!$E$60),0)),"n.a.")</f>
        <v>0</v>
      </c>
      <c r="W222" s="1">
        <f>IF(C222=0,0,IF(AND(P222="Complete",D222="EV",E222&lt;120),IF(T222=0,0,ROUNDUP(T222*(R222-'Operating costs'!$B$41)*(S222*U222+'Operating costs'!$B$48/(1-'Operating costs'!$B$44))/(V222*'Operating costs'!$B$47/(1-'Operating costs'!$B$44)-T222*'Operating costs'!$B$12*U222),0)),0))</f>
        <v>0</v>
      </c>
      <c r="X222" s="1">
        <f>IF(C222=0,0,IF(AND(P222="Complete",D222="EV",E222&lt;120),(R222-'Operating costs'!$B$41)*(S222*U222+'Operating costs'!$B$48/(1-'Operating costs'!$B$44))+W222*'Operating costs'!$B$12*U222,0))</f>
        <v>0</v>
      </c>
      <c r="Y222" s="1">
        <f>IF(AND(C222=1,D222="EV",E222&lt;120),AI222/(1-'Operating costs'!$B$44)*(1-T222),0)</f>
        <v>0</v>
      </c>
      <c r="Z222" s="1">
        <f t="shared" si="6"/>
        <v>0</v>
      </c>
      <c r="AA222" s="1">
        <f>IF(C222=0,0,IF(P222="Complete",((S222*(R222-'Operating costs'!$B$40))+ROUNDUP(S222*(R222-'Operating costs'!$B$40)*IF('Replacement plan'!$AH$60="",'Operating costs'!$B$7,'Replacement plan'!$AH$60)/('Operating costs'!$B$8-'Operating costs'!$B$9*IF('Replacement plan'!$AH$60="",'Operating costs'!$B$7,'Replacement plan'!$AH$60)),0)*'Operating costs'!$B$9)*IF('Replacement plan'!$AH$60="",'Operating costs'!$B$7,'Replacement plan'!$AH$60),"n.a."))</f>
        <v>0</v>
      </c>
      <c r="AB222" s="1">
        <f t="shared" si="7"/>
        <v>0</v>
      </c>
      <c r="AC222" s="1">
        <f>IF(AND(C222=1,D222="EV",E222&lt;120,T222&gt;0),'Operating costs'!$B$12/'Operating costs'!$B$11*60+'Operating costs'!$B$13+'Operating costs'!$B$14+V222*'Operating costs'!$B$47/(1-'Operating costs'!$B$44)/'Replacement plan'!$L$60*60,0)</f>
        <v>0</v>
      </c>
      <c r="AD222" s="1" t="str">
        <f>'Replacement plan'!$B$60</f>
        <v>ChengLong L2EV</v>
      </c>
      <c r="AE222" s="1">
        <f>IF(C222=0,0,VLOOKUP($A222,'Fleet register'!$A$7:$S$106,8,FALSE))</f>
        <v>0</v>
      </c>
      <c r="AF222" s="1" t="str">
        <f>IF('Replacement plan'!$H$60="","n.a.",'Replacement plan'!$H$60)</f>
        <v>n.a.</v>
      </c>
      <c r="AG222" s="1">
        <f>'Replacement plan'!$J$60</f>
        <v>22</v>
      </c>
      <c r="AH222" s="1">
        <f>IFERROR(IF(D222="EV",IF('Replacement plan'!$K$60="AC",IF(ISNUMBER(INDEX(Products!$G$7:$G$13,MATCH('Replacement plan'!$B$60,Products!$A$7:$A$13,0))),INDEX(Products!$G$7:$G$13,MATCH('Replacement plan'!$B$60,Products!$A$7:$A$13,0)),"n.a."),IF(ISNUMBER(INDEX(Products!$H$7:$H$13,MATCH('Replacement plan'!$B$60,Products!$A$7:$A$13,0))),INDEX(Products!$H$7:$H$13,MATCH('Replacement plan'!$B$60,Products!$A$7:$A$13,0)),"n.a.")),0),"n.a.")</f>
        <v>0</v>
      </c>
      <c r="AI222" s="1">
        <f>IF(AND(C222=1,D222="EV",E222&lt;120),(VLOOKUP($A222,'Fleet register'!$A$7:$S$106,7,FALSE)+IF(T222&gt;0,'Operating costs'!$B$12,0))*U222*(1-'Operating costs'!$B$44)+'Operating costs'!$B$49,0)</f>
        <v>0</v>
      </c>
      <c r="AJ222" s="1">
        <f>IF(D222="EV",'Energy and charging'!$C$50,0)</f>
        <v>0</v>
      </c>
      <c r="AK222" s="17">
        <f>EDATE('Operating costs'!$B$63,E222)</f>
        <v>46298</v>
      </c>
      <c r="AL222" s="1">
        <f>IFERROR(IF(D222="EV",INDEX(Products!$B$7:$B$13,MATCH('Replacement plan'!$B$60,Products!$A$7:$A$13,0)),0),"n.a.")</f>
        <v>0</v>
      </c>
      <c r="AM222" s="1" t="str">
        <f>'Replacement plan'!$K$60</f>
        <v>DC</v>
      </c>
      <c r="AN222" s="1" t="str">
        <f>'Replacement plan'!$AE$60</f>
        <v>Assumed</v>
      </c>
      <c r="AO222" s="47">
        <f>IF(AND(C222=1,D222="EV",E222&lt;120),(R222-'Operating costs'!$B$41)*S222+W222*'Operating costs'!$B$12,0)</f>
        <v>0</v>
      </c>
      <c r="AP222" s="41">
        <f>IF(AND(C222=1,D222="EV",E222&lt;120),IF('Operating costs'!$B$68="Hong Seh 200k average",AO222*IFERROR(INDEX(Products!$P$7:$P$13,MATCH(AD222,Products!$A$7:$A$13,0)),"n.a."),'Operating costs'!$B$26),0)</f>
        <v>0</v>
      </c>
      <c r="AQ222" s="40" t="str">
        <f>IF(D222="EV",'Operating costs'!$B$68,"Not applicable")</f>
        <v>Not applicable</v>
      </c>
    </row>
    <row r="223" spans="1:43" ht="24" customHeight="1">
      <c r="A223" s="1" t="str">
        <f>'Replacement plan'!A61</f>
        <v>T055</v>
      </c>
      <c r="B223" s="1">
        <v>0</v>
      </c>
      <c r="C223" s="1">
        <f>IF(COUNTIFS('Fleet register'!$A$7:$A$106,$A223)=1,VLOOKUP($A223,'Fleet register'!$A$7:$S$106,2,FALSE),0)</f>
        <v>0</v>
      </c>
      <c r="D223" s="1" t="str">
        <f>IF("Keep ICE"="EV","EV","ICE")</f>
        <v>ICE</v>
      </c>
      <c r="E223" s="1">
        <f>IF(C223=0,0,IF('Replacement plan'!$M$61="",VLOOKUP($A223,'Fleet register'!$A$7:$S$106,10,FALSE),'Replacement plan'!$M$61))</f>
        <v>0</v>
      </c>
      <c r="F223" s="16">
        <f>IF(C223=0,0,VLOOKUP($A223,'Fleet register'!$A$7:$S$106,11,FALSE))</f>
        <v>0</v>
      </c>
      <c r="G223" s="16">
        <f>IFERROR(IF(C223=0,0,IF(E223=120,0,IF(D223="ICE",'Replacement plan'!$C$61,IF('Replacement plan'!$D$61="",INDEX(Products!$I$7:$I$13,MATCH('Replacement plan'!$B$61,Products!$A$7:$A$13,0))+'Operating costs'!$B$57,'Replacement plan'!$D$61))*(1+'Operating costs'!$B$50)^(E223/12))),"n.a.")</f>
        <v>0</v>
      </c>
      <c r="H223" s="16">
        <f>IFERROR(IF(C223=0,0,IF(E223=0,F223,VLOOKUP($A223,'Fleet register'!$A$7:$S$106,12,FALSE)+VLOOKUP($A223,'Fleet register'!$A$7:$S$106,13,FALSE)*MAX(0,VLOOKUP($A223,'Fleet register'!$A$7:$S$106,10,FALSE)-E223)/VLOOKUP($A223,'Fleet register'!$A$7:$S$106,14,FALSE))),"n.a.")</f>
        <v>0</v>
      </c>
      <c r="I223" s="16">
        <f>IF(C223=0,0,IF(E223=120,0,'Replacement plan'!$N$61))</f>
        <v>0</v>
      </c>
      <c r="J223" s="16">
        <f>IF(C223=0,0,IF(P223="Complete",((S223*(R223-'Operating costs'!$B$39))+ROUNDUP(S223*(R223-'Operating costs'!$B$39)*IF('Replacement plan'!$AG$61="",'Operating costs'!$B$7,'Replacement plan'!$AG$61)/('Operating costs'!$B$8-'Operating costs'!$B$9*IF('Replacement plan'!$AG$61="",'Operating costs'!$B$7,'Replacement plan'!$AG$61)),0)*'Operating costs'!$B$9)*IF('Replacement plan'!$AG$61="",'Operating costs'!$B$7,'Replacement plan'!$AG$61)*('Energy and charging'!$B$9*'Energy and charging'!$B$7+(1-'Energy and charging'!$B$9)*'Energy and charging'!$B$8)*'Operating costs'!$B$23,"n.a."))</f>
        <v>0</v>
      </c>
      <c r="K223" s="16">
        <f>IF(C223=0,0,IF(P223="Complete",SUM('Operating costs'!$B$24,'Operating costs'!$B$27,'Operating costs'!$B$29,'Operating costs'!$B$31,'Operating costs'!$B$33,'Operating costs'!$B$34,'Operating costs'!$B$37,'Replacement plan'!$W$61)+'Operating costs'!$B$39*'Operating costs'!$B$42+ROUNDUP(S223*(R223-'Operating costs'!$B$39)*IF('Replacement plan'!$AG$61="",'Operating costs'!$B$7,'Replacement plan'!$AG$61)/('Operating costs'!$B$8-'Operating costs'!$B$9*IF('Replacement plan'!$AG$61="",'Operating costs'!$B$7,'Replacement plan'!$AG$61)),0)*('Operating costs'!$B$9/'Operating costs'!$B$11+'Operating costs'!$B$10/60)*'Operating costs'!$B$19*'Operating costs'!$B$21,"n.a."))</f>
        <v>0</v>
      </c>
      <c r="L223" s="16">
        <f>IF(C223=0,0,IF(P223="Complete",IF(D223="EV",X223*((1-T223)*'Energy and charging'!$B$10+T223*'Energy and charging'!$B$11)*'Operating costs'!$B$22,AA223*('Energy and charging'!$B$9*'Energy and charging'!$B$7+(1-'Energy and charging'!$B$9)*'Energy and charging'!$B$8)*'Operating costs'!$B$23),"n.a."))</f>
        <v>0</v>
      </c>
      <c r="M223" s="37">
        <f>IF(C223=0,0,IF(P223="Complete",IF(D223="ICE",SUM('Operating costs'!$B$25,'Operating costs'!$B$27,'Operating costs'!$B$29,'Operating costs'!$B$31,'Operating costs'!$B$33,'Operating costs'!$B$35,'Operating costs'!$B$37,'Replacement plan'!$X$61)+'Operating costs'!$B$40*'Operating costs'!$B$42+ROUNDUP(S223*(R223-'Operating costs'!$B$40)*IF('Replacement plan'!$AH$61="",'Operating costs'!$B$7,'Replacement plan'!$AH$61)/('Operating costs'!$B$8-'Operating costs'!$B$9*IF('Replacement plan'!$AH$61="",'Operating costs'!$B$7,'Replacement plan'!$AH$61)),0)*('Operating costs'!$B$9/'Operating costs'!$B$11+'Operating costs'!$B$10/60)*'Operating costs'!$B$19*'Operating costs'!$B$21,SUM(AP223,'Operating costs'!$B$28,'Operating costs'!$B$30,'Operating costs'!$B$32,'Operating costs'!$B$33,'Operating costs'!$B$36,'Operating costs'!$B$38,'Replacement plan'!$Y$61)+'Operating costs'!$B$41*'Operating costs'!$B$43+W223*'Operating costs'!$B$15+(T223*X223/'Replacement plan'!$L$61+W223*('Operating costs'!$B$12/'Operating costs'!$B$11+('Operating costs'!$B$13+'Operating costs'!$B$14)/60)+(R223-'Operating costs'!$B$41)*(IF(T223&lt;1,'Operating costs'!$B$16,0)+'Operating costs'!$B$17)/60)*'Operating costs'!$B$19*'Operating costs'!$B$20),"n.a."))</f>
        <v>0</v>
      </c>
      <c r="N223" s="16">
        <f>IF(AND(C223=1,D223="EV",E223&lt;120,E223+'Replacement plan'!$AA$61&lt;=120),'Replacement plan'!$Z$61,0)</f>
        <v>0</v>
      </c>
      <c r="O223" s="1">
        <f>E223+'Replacement plan'!$AA$61</f>
        <v>0</v>
      </c>
      <c r="P223" s="35" t="str">
        <f>IFERROR(IF(C223=0,"Excluded",IF(OR(COUNTIFS('Fleet register'!$A$7:$A$106,A223)&lt;&gt;1,COUNTIFS('Replacement plan'!$A$7:$A$106,A223)&lt;&gt;1),"Duplicate/missing ID",IF(NOT(AND(ISNUMBER(VLOOKUP($A223,'Fleet register'!$A$7:$S$106,5,FALSE)),ISNUMBER(VLOOKUP($A223,'Fleet register'!$A$7:$S$106,6,FALSE)),ISNUMBER(VLOOKUP($A223,'Fleet register'!$A$7:$S$106,10,FALSE)),ISNUMBER(VLOOKUP($A223,'Fleet register'!$A$7:$S$106,11,FALSE)),ISNUMBER(VLOOKUP($A223,'Fleet register'!$A$7:$S$106,12,FALSE)),ISNUMBER(VLOOKUP($A223,'Fleet register'!$A$7:$S$106,13,FALSE)),ISNUMBER(VLOOKUP($A223,'Fleet register'!$A$7:$S$106,14,FALSE)),VLOOKUP($A223,'Fleet register'!$A$7:$S$106,14,FALSE)&gt;0,ISNUMBER('Replacement plan'!$C$61),OR(E223=120,ISNUMBER('Replacement plan'!$N$61)),ISNUMBER(E223))),"Missing vehicle input",IF(OR(E223&lt;0,E223&gt;VLOOKUP($A223,'Fleet register'!$A$7:$S$106,10,FALSE),E223&gt;120,E223&lt;&gt;INT(E223),VLOOKUP($A223,'Fleet register'!$A$7:$S$106,6,FALSE)&lt;=0,VLOOKUP($A223,'Fleet register'!$A$7:$S$106,6,FALSE)&gt;366,VLOOKUP($A223,'Fleet register'!$A$7:$S$106,5,FALSE)&lt;0,VLOOKUP($A223,'Fleet register'!$A$7:$S$106,11,FALSE)&lt;0,I223&lt;0,'Operating costs'!$B$8&lt;='Operating costs'!$B$7*'Operating costs'!$B$9,'Operating costs'!$B$11&lt;=0,'Operating costs'!$B$39&gt;R223,'Operating costs'!$B$40&gt;R223,'Operating costs'!$B$41&gt;R223,NOT(OR("Keep ICE"="Keep ICE","Keep ICE"="New ICE","Keep ICE"="EV"))),"Invalid vehicle input",IF(AND(D223="EV",E223&lt;120,OR(NOT(ISNUMBER(U223)),NOT(ISNUMBER(V223)),V223&lt;=0,T223&lt;0,T223&gt;1,'Replacement plan'!$L$61&lt;=0,'Operating costs'!$B$44&lt;0,'Operating costs'!$B$44&gt;=1,'Operating costs'!$B$47&lt;=0,'Operating costs'!$B$47&gt;1,V223*'Operating costs'!$B$47/(1-'Operating costs'!$B$44)&lt;=T223*'Operating costs'!$B$12*U223,AND('Replacement plan'!$Z$61&gt;0,OR('Replacement plan'!$AB$61&lt;&gt;"Yes",'Operating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charging'!$B$8&gt;=0))),ISNUMBER(VLOOKUP($A223,'Fleet register'!$A$7:$S$106,15,FALSE)),ISNUMBER(VLOOKUP($A223,'Fleet register'!$A$7:$S$106,16,FALSE)),ISNUMBER('Replacement plan'!$W$61),ISNUMBER('Replacement plan'!$X$61),OR(E223=120,AND(ISNUMBER(G223),G223&gt;=0)),ISNUMBER(H223),H223&gt;=0,OR(D223&lt;&gt;"EV",E223=120,AND(ISNUMBER('Operating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average",ISNUMBER(IFERROR(INDEX(Products!$P$7:$P$13,MATCH(AD223,Products!$A$7:$A$13,0)),"")))),ISNUMBER('Operating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plan'!$Y$61),ISNUMBER('Replacement plan'!$Z$61),'Replacement plan'!$Z$61&gt;=0,ISNUMBER('Replacement plan'!$AA$61),'Replacement plan'!$AA$61&gt;=0,'Replacement plan'!$AA$61=INT('Replacement plan'!$AA$61),ISNUMBER('Replacement plan'!$L$61))),'Operating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plan'!$AG$61="",'Operating costs'!$B$7,'Replacement plan'!$AG$61)),IF('Replacement plan'!$AG$61="",'Operating costs'!$B$7,'Replacement plan'!$AG$61)&gt;=0,ISNUMBER(IF('Replacement plan'!$AH$61="",'Operating costs'!$B$7,'Replacement plan'!$AH$61)),IF('Replacement plan'!$AH$61="",'Operating costs'!$B$7,'Replacement plan'!$AH$61)&gt;=0,'Operating costs'!$B$8&gt;MAX(IF('Replacement plan'!$AG$61="",'Operating costs'!$B$7,'Replacement plan'!$AG$61),IF('Replacement plan'!$AH$61="",'Operating costs'!$B$7,'Replacement plan'!$AH$61))*'Operating costs'!$B$9),IF(AND(VLOOKUP($A223,'Fleet register'!$A$7:$S$106,10,FALSE)&gt;=0,VLOOKUP($A223,'Fleet register'!$A$7:$S$106,10,FALSE)&lt;=120,VLOOKUP($A223,'Fleet register'!$A$7:$S$106,10,FALSE)=INT(VLOOKUP($A223,'Fleet register'!$A$7:$S$106,10,FALSE)),VLOOKUP($A223,'Fleet register'!$A$7:$S$106,15,FALSE)&gt;=0,VLOOKUP($A223,'Fleet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costs'!$B$67)&gt;=0,OR(D223&lt;&gt;"EV",E223=120,AND(MIN('Operating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23" s="1" t="str">
        <f>IF(C223=0,"Excluded",IF(P223&lt;&gt;"Complete",P223,IF(OR('Replacement plan'!$AD$61&lt;120-E223,AND(D223="EV",E223&lt;120,OR('Replacement plan'!$AC$61&lt;120-E223,'Replacement plan'!$I$61="No",AND(ISNUMBER(AF223),AE223&gt;AF223),AI223&gt;V223*(1-'Operating costs'!$B$46)^MAX(0,AB223-1)*(1-'Operating costs'!$B$45),AC223&gt;'Operating costs'!$B$18,AND(T223&lt;1,OR(AG223&lt;=0,AND(ISNUMBER(AH223),AG223&gt;AH223))),'Replacement plan'!$L$61&gt;INDEX(Products!$H$7:$H$13,MATCH('Replacement plan'!$B$61,Products!$A$7:$A$13,0))))),"Fails entered limits",IF(AND(D223="EV",E223&lt;120,OR(NOT(ISNUMBER(VLOOKUP($A223,'Fleet register'!$A$7:$S$106,7,FALSE))),NOT(ISNUMBER(VLOOKUP($A223,'Fleet register'!$A$7:$S$106,8,FALSE))),NOT(ISNUMBER(AF223)),'Replacement plan'!$I$61&lt;&gt;"Yes",NOT(ISNUMBER(AH223)),'Operating costs'!$B$59&lt;&gt;"Yes",'Operating costs'!$B$58&lt;&gt;"Yes")),"Unverified","Within entered limits"))))</f>
        <v>Excluded</v>
      </c>
      <c r="R223" s="1">
        <f>IF(C223=0,0,VLOOKUP($A223,'Fleet register'!$A$7:$S$106,6,FALSE))</f>
        <v>0</v>
      </c>
      <c r="S223" s="1">
        <f>IF(C223=0,0,VLOOKUP($A223,'Fleet register'!$A$7:$S$106,5,FALSE))</f>
        <v>0</v>
      </c>
      <c r="T223" s="1">
        <f>IF(D223="EV",'Energy and charging'!$B$12,0)</f>
        <v>0</v>
      </c>
      <c r="U223" s="1">
        <f>IFERROR(IF(C223=0,0,IF(D223="EV",IF('Replacement plan'!$F$61="",INDEX(Products!$E$7:$E$13,MATCH('Replacement plan'!$B$61,Products!$A$7:$A$13,0)),'Replacement plan'!$F$61)/IF('Replacement plan'!$G$61="Battery",1-'Operating costs'!$B$44,1),0)),"n.a.")</f>
        <v>0</v>
      </c>
      <c r="V223" s="1">
        <f>IFERROR(IF(C223=0,0,IF(D223="EV",IF('Replacement plan'!$E$61="",INDEX(Products!$D$7:$D$13,MATCH('Replacement plan'!$B$61,Products!$A$7:$A$13,0)),'Replacement plan'!$E$61),0)),"n.a.")</f>
        <v>0</v>
      </c>
      <c r="W223" s="1">
        <f>IF(C223=0,0,IF(AND(P223="Complete",D223="EV",E223&lt;120),IF(T223=0,0,ROUNDUP(T223*(R223-'Operating costs'!$B$41)*(S223*U223+'Operating costs'!$B$48/(1-'Operating costs'!$B$44))/(V223*'Operating costs'!$B$47/(1-'Operating costs'!$B$44)-T223*'Operating costs'!$B$12*U223),0)),0))</f>
        <v>0</v>
      </c>
      <c r="X223" s="1">
        <f>IF(C223=0,0,IF(AND(P223="Complete",D223="EV",E223&lt;120),(R223-'Operating costs'!$B$41)*(S223*U223+'Operating costs'!$B$48/(1-'Operating costs'!$B$44))+W223*'Operating costs'!$B$12*U223,0))</f>
        <v>0</v>
      </c>
      <c r="Y223" s="1">
        <f>IF(AND(C223=1,D223="EV",E223&lt;120),AI223/(1-'Operating costs'!$B$44)*(1-T223),0)</f>
        <v>0</v>
      </c>
      <c r="Z223" s="1">
        <f t="shared" si="6"/>
        <v>0</v>
      </c>
      <c r="AA223" s="1">
        <f>IF(C223=0,0,IF(P223="Complete",((S223*(R223-'Operating costs'!$B$40))+ROUNDUP(S223*(R223-'Operating costs'!$B$40)*IF('Replacement plan'!$AH$61="",'Operating costs'!$B$7,'Replacement plan'!$AH$61)/('Operating costs'!$B$8-'Operating costs'!$B$9*IF('Replacement plan'!$AH$61="",'Operating costs'!$B$7,'Replacement plan'!$AH$61)),0)*'Operating costs'!$B$9)*IF('Replacement plan'!$AH$61="",'Operating costs'!$B$7,'Replacement plan'!$AH$61),"n.a."))</f>
        <v>0</v>
      </c>
      <c r="AB223" s="1">
        <f t="shared" si="7"/>
        <v>0</v>
      </c>
      <c r="AC223" s="1">
        <f>IF(AND(C223=1,D223="EV",E223&lt;120,T223&gt;0),'Operating costs'!$B$12/'Operating costs'!$B$11*60+'Operating costs'!$B$13+'Operating costs'!$B$14+V223*'Operating costs'!$B$47/(1-'Operating costs'!$B$44)/'Replacement plan'!$L$61*60,0)</f>
        <v>0</v>
      </c>
      <c r="AD223" s="1" t="str">
        <f>'Replacement plan'!$B$61</f>
        <v>ChengLong L2EV</v>
      </c>
      <c r="AE223" s="1">
        <f>IF(C223=0,0,VLOOKUP($A223,'Fleet register'!$A$7:$S$106,8,FALSE))</f>
        <v>0</v>
      </c>
      <c r="AF223" s="1" t="str">
        <f>IF('Replacement plan'!$H$61="","n.a.",'Replacement plan'!$H$61)</f>
        <v>n.a.</v>
      </c>
      <c r="AG223" s="1">
        <f>'Replacement plan'!$J$61</f>
        <v>22</v>
      </c>
      <c r="AH223" s="1">
        <f>IFERROR(IF(D223="EV",IF('Replacement plan'!$K$61="AC",IF(ISNUMBER(INDEX(Products!$G$7:$G$13,MATCH('Replacement plan'!$B$61,Products!$A$7:$A$13,0))),INDEX(Products!$G$7:$G$13,MATCH('Replacement plan'!$B$61,Products!$A$7:$A$13,0)),"n.a."),IF(ISNUMBER(INDEX(Products!$H$7:$H$13,MATCH('Replacement plan'!$B$61,Products!$A$7:$A$13,0))),INDEX(Products!$H$7:$H$13,MATCH('Replacement plan'!$B$61,Products!$A$7:$A$13,0)),"n.a.")),0),"n.a.")</f>
        <v>0</v>
      </c>
      <c r="AI223" s="1">
        <f>IF(AND(C223=1,D223="EV",E223&lt;120),(VLOOKUP($A223,'Fleet register'!$A$7:$S$106,7,FALSE)+IF(T223&gt;0,'Operating costs'!$B$12,0))*U223*(1-'Operating costs'!$B$44)+'Operating costs'!$B$49,0)</f>
        <v>0</v>
      </c>
      <c r="AJ223" s="1">
        <f>IF(D223="EV",'Energy and charging'!$B$50,0)</f>
        <v>0</v>
      </c>
      <c r="AK223" s="17">
        <f>EDATE('Operating costs'!$B$63,E223)</f>
        <v>46298</v>
      </c>
      <c r="AL223" s="1">
        <f>IFERROR(IF(D223="EV",INDEX(Products!$B$7:$B$13,MATCH('Replacement plan'!$B$61,Products!$A$7:$A$13,0)),0),"n.a.")</f>
        <v>0</v>
      </c>
      <c r="AM223" s="1" t="str">
        <f>'Replacement plan'!$K$61</f>
        <v>DC</v>
      </c>
      <c r="AN223" s="1" t="str">
        <f>'Replacement plan'!$AE$61</f>
        <v>Assumed</v>
      </c>
      <c r="AO223" s="47">
        <f>IF(AND(C223=1,D223="EV",E223&lt;120),(R223-'Operating costs'!$B$41)*S223+W223*'Operating costs'!$B$12,0)</f>
        <v>0</v>
      </c>
      <c r="AP223" s="41">
        <f>IF(AND(C223=1,D223="EV",E223&lt;120),IF('Operating costs'!$B$68="Hong Seh 200k average",AO223*IFERROR(INDEX(Products!$P$7:$P$13,MATCH(AD223,Products!$A$7:$A$13,0)),"n.a."),'Operating costs'!$B$26),0)</f>
        <v>0</v>
      </c>
      <c r="AQ223" s="40" t="str">
        <f>IF(D223="EV",'Operating costs'!$B$68,"Not applicable")</f>
        <v>Not applicable</v>
      </c>
    </row>
    <row r="224" spans="1:43" ht="24" customHeight="1">
      <c r="A224" s="1" t="str">
        <f>'Replacement plan'!A61</f>
        <v>T055</v>
      </c>
      <c r="B224" s="1">
        <v>1</v>
      </c>
      <c r="C224" s="1">
        <f>IF(COUNTIFS('Fleet register'!$A$7:$A$106,$A224)=1,VLOOKUP($A224,'Fleet register'!$A$7:$S$106,2,FALSE),0)</f>
        <v>0</v>
      </c>
      <c r="D224" s="1" t="str">
        <f>IF("New ICE"="EV","EV","ICE")</f>
        <v>ICE</v>
      </c>
      <c r="E224" s="1">
        <f>IF(C224=0,0,0)</f>
        <v>0</v>
      </c>
      <c r="F224" s="16">
        <f>IF(C224=0,0,VLOOKUP($A224,'Fleet register'!$A$7:$S$106,11,FALSE))</f>
        <v>0</v>
      </c>
      <c r="G224" s="16">
        <f>IFERROR(IF(C224=0,0,IF(E224=120,0,IF(D224="ICE",'Replacement plan'!$C$61,IF('Replacement plan'!$D$61="",INDEX(Products!$I$7:$I$13,MATCH('Replacement plan'!$B$61,Products!$A$7:$A$13,0))+'Operating costs'!$B$57,'Replacement plan'!$D$61))*(1+'Operating costs'!$B$50)^(E224/12))),"n.a.")</f>
        <v>0</v>
      </c>
      <c r="H224" s="16">
        <f>IFERROR(IF(C224=0,0,IF(E224=0,F224,VLOOKUP($A224,'Fleet register'!$A$7:$S$106,12,FALSE)+VLOOKUP($A224,'Fleet register'!$A$7:$S$106,13,FALSE)*MAX(0,VLOOKUP($A224,'Fleet register'!$A$7:$S$106,10,FALSE)-E224)/VLOOKUP($A224,'Fleet register'!$A$7:$S$106,14,FALSE))),"n.a.")</f>
        <v>0</v>
      </c>
      <c r="I224" s="16">
        <f>IF(C224=0,0,IF(E224=120,0,IF('Replacement plan'!$AI$61="",'Operating costs'!$B$56,'Replacement plan'!$AI$61)))</f>
        <v>0</v>
      </c>
      <c r="J224" s="16">
        <f>IF(C224=0,0,IF(P224="Complete",((S224*(R224-'Operating costs'!$B$39))+ROUNDUP(S224*(R224-'Operating costs'!$B$39)*IF('Replacement plan'!$AG$61="",'Operating costs'!$B$7,'Replacement plan'!$AG$61)/('Operating costs'!$B$8-'Operating costs'!$B$9*IF('Replacement plan'!$AG$61="",'Operating costs'!$B$7,'Replacement plan'!$AG$61)),0)*'Operating costs'!$B$9)*IF('Replacement plan'!$AG$61="",'Operating costs'!$B$7,'Replacement plan'!$AG$61)*('Energy and charging'!$B$9*'Energy and charging'!$B$7+(1-'Energy and charging'!$B$9)*'Energy and charging'!$B$8)*'Operating costs'!$B$23,"n.a."))</f>
        <v>0</v>
      </c>
      <c r="K224" s="16">
        <f>IF(C224=0,0,IF(P224="Complete",SUM('Operating costs'!$B$24,'Operating costs'!$B$27,'Operating costs'!$B$29,'Operating costs'!$B$31,'Operating costs'!$B$33,'Operating costs'!$B$34,'Operating costs'!$B$37,'Replacement plan'!$W$61)+'Operating costs'!$B$39*'Operating costs'!$B$42+ROUNDUP(S224*(R224-'Operating costs'!$B$39)*IF('Replacement plan'!$AG$61="",'Operating costs'!$B$7,'Replacement plan'!$AG$61)/('Operating costs'!$B$8-'Operating costs'!$B$9*IF('Replacement plan'!$AG$61="",'Operating costs'!$B$7,'Replacement plan'!$AG$61)),0)*('Operating costs'!$B$9/'Operating costs'!$B$11+'Operating costs'!$B$10/60)*'Operating costs'!$B$19*'Operating costs'!$B$21,"n.a."))</f>
        <v>0</v>
      </c>
      <c r="L224" s="16">
        <f>IF(C224=0,0,IF(P224="Complete",IF(D224="EV",X224*((1-T224)*'Energy and charging'!$B$10+T224*'Energy and charging'!$B$11)*'Operating costs'!$B$22,AA224*('Energy and charging'!$B$9*'Energy and charging'!$B$7+(1-'Energy and charging'!$B$9)*'Energy and charging'!$B$8)*'Operating costs'!$B$23),"n.a."))</f>
        <v>0</v>
      </c>
      <c r="M224" s="37">
        <f>IF(C224=0,0,IF(P224="Complete",IF(D224="ICE",SUM('Operating costs'!$B$25,'Operating costs'!$B$27,'Operating costs'!$B$29,'Operating costs'!$B$31,'Operating costs'!$B$33,'Operating costs'!$B$35,'Operating costs'!$B$37,'Replacement plan'!$X$61)+'Operating costs'!$B$40*'Operating costs'!$B$42+ROUNDUP(S224*(R224-'Operating costs'!$B$40)*IF('Replacement plan'!$AH$61="",'Operating costs'!$B$7,'Replacement plan'!$AH$61)/('Operating costs'!$B$8-'Operating costs'!$B$9*IF('Replacement plan'!$AH$61="",'Operating costs'!$B$7,'Replacement plan'!$AH$61)),0)*('Operating costs'!$B$9/'Operating costs'!$B$11+'Operating costs'!$B$10/60)*'Operating costs'!$B$19*'Operating costs'!$B$21,SUM(AP224,'Operating costs'!$B$28,'Operating costs'!$B$30,'Operating costs'!$B$32,'Operating costs'!$B$33,'Operating costs'!$B$36,'Operating costs'!$B$38,'Replacement plan'!$Y$61)+'Operating costs'!$B$41*'Operating costs'!$B$43+W224*'Operating costs'!$B$15+(T224*X224/'Replacement plan'!$L$61+W224*('Operating costs'!$B$12/'Operating costs'!$B$11+('Operating costs'!$B$13+'Operating costs'!$B$14)/60)+(R224-'Operating costs'!$B$41)*(IF(T224&lt;1,'Operating costs'!$B$16,0)+'Operating costs'!$B$17)/60)*'Operating costs'!$B$19*'Operating costs'!$B$20),"n.a."))</f>
        <v>0</v>
      </c>
      <c r="N224" s="16">
        <f>IF(AND(C224=1,D224="EV",E224&lt;120,E224+'Replacement plan'!$AA$61&lt;=120),'Replacement plan'!$Z$61,0)</f>
        <v>0</v>
      </c>
      <c r="O224" s="1">
        <f>E224+'Replacement plan'!$AA$61</f>
        <v>0</v>
      </c>
      <c r="P224" s="35" t="str">
        <f>IFERROR(IF(C224=0,"Excluded",IF(OR(COUNTIFS('Fleet register'!$A$7:$A$106,A224)&lt;&gt;1,COUNTIFS('Replacement plan'!$A$7:$A$106,A224)&lt;&gt;1),"Duplicate/missing ID",IF(NOT(AND(ISNUMBER(VLOOKUP($A224,'Fleet register'!$A$7:$S$106,5,FALSE)),ISNUMBER(VLOOKUP($A224,'Fleet register'!$A$7:$S$106,6,FALSE)),ISNUMBER(VLOOKUP($A224,'Fleet register'!$A$7:$S$106,10,FALSE)),ISNUMBER(VLOOKUP($A224,'Fleet register'!$A$7:$S$106,11,FALSE)),ISNUMBER(VLOOKUP($A224,'Fleet register'!$A$7:$S$106,12,FALSE)),ISNUMBER(VLOOKUP($A224,'Fleet register'!$A$7:$S$106,13,FALSE)),ISNUMBER(VLOOKUP($A224,'Fleet register'!$A$7:$S$106,14,FALSE)),VLOOKUP($A224,'Fleet register'!$A$7:$S$106,14,FALSE)&gt;0,ISNUMBER('Replacement plan'!$C$61),OR(E224=120,OR(ISNUMBER('Replacement plan'!$AI$61),AND('Replacement plan'!$AI$61="",ISNUMBER('Operating costs'!$B$56)))),ISNUMBER(E224))),"Missing vehicle input",IF(OR(E224&lt;0,E224&gt;VLOOKUP($A224,'Fleet register'!$A$7:$S$106,10,FALSE),E224&gt;120,E224&lt;&gt;INT(E224),VLOOKUP($A224,'Fleet register'!$A$7:$S$106,6,FALSE)&lt;=0,VLOOKUP($A224,'Fleet register'!$A$7:$S$106,6,FALSE)&gt;366,VLOOKUP($A224,'Fleet register'!$A$7:$S$106,5,FALSE)&lt;0,VLOOKUP($A224,'Fleet register'!$A$7:$S$106,11,FALSE)&lt;0,I224&lt;0,'Operating costs'!$B$8&lt;='Operating costs'!$B$7*'Operating costs'!$B$9,'Operating costs'!$B$11&lt;=0,'Operating costs'!$B$39&gt;R224,'Operating costs'!$B$40&gt;R224,'Operating costs'!$B$41&gt;R224,NOT(OR("New ICE"="Keep ICE","New ICE"="New ICE","New ICE"="EV"))),"Invalid vehicle input",IF(AND(D224="EV",E224&lt;120,OR(NOT(ISNUMBER(U224)),NOT(ISNUMBER(V224)),V224&lt;=0,T224&lt;0,T224&gt;1,'Replacement plan'!$L$61&lt;=0,'Operating costs'!$B$44&lt;0,'Operating costs'!$B$44&gt;=1,'Operating costs'!$B$47&lt;=0,'Operating costs'!$B$47&gt;1,V224*'Operating costs'!$B$47/(1-'Operating costs'!$B$44)&lt;=T224*'Operating costs'!$B$12*U224,AND('Replacement plan'!$Z$61&gt;0,OR('Replacement plan'!$AB$61&lt;&gt;"Yes",'Operating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charging'!$B$8&gt;=0))),ISNUMBER(VLOOKUP($A224,'Fleet register'!$A$7:$S$106,15,FALSE)),ISNUMBER(VLOOKUP($A224,'Fleet register'!$A$7:$S$106,16,FALSE)),ISNUMBER('Replacement plan'!$W$61),ISNUMBER('Replacement plan'!$X$61),OR(E224=120,AND(ISNUMBER(G224),G224&gt;=0)),ISNUMBER(H224),H224&gt;=0,OR(D224&lt;&gt;"EV",E224=120,AND(ISNUMBER('Operating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average",ISNUMBER(IFERROR(INDEX(Products!$P$7:$P$13,MATCH(AD224,Products!$A$7:$A$13,0)),"")))),ISNUMBER('Operating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plan'!$Y$61),ISNUMBER('Replacement plan'!$Z$61),'Replacement plan'!$Z$61&gt;=0,ISNUMBER('Replacement plan'!$AA$61),'Replacement plan'!$AA$61&gt;=0,'Replacement plan'!$AA$61=INT('Replacement plan'!$AA$61),ISNUMBER('Replacement plan'!$L$61))),'Operating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plan'!$AG$61="",'Operating costs'!$B$7,'Replacement plan'!$AG$61)),IF('Replacement plan'!$AG$61="",'Operating costs'!$B$7,'Replacement plan'!$AG$61)&gt;=0,ISNUMBER(IF('Replacement plan'!$AH$61="",'Operating costs'!$B$7,'Replacement plan'!$AH$61)),IF('Replacement plan'!$AH$61="",'Operating costs'!$B$7,'Replacement plan'!$AH$61)&gt;=0,'Operating costs'!$B$8&gt;MAX(IF('Replacement plan'!$AG$61="",'Operating costs'!$B$7,'Replacement plan'!$AG$61),IF('Replacement plan'!$AH$61="",'Operating costs'!$B$7,'Replacement plan'!$AH$61))*'Operating costs'!$B$9),IF(AND(VLOOKUP($A224,'Fleet register'!$A$7:$S$106,10,FALSE)&gt;=0,VLOOKUP($A224,'Fleet register'!$A$7:$S$106,10,FALSE)&lt;=120,VLOOKUP($A224,'Fleet register'!$A$7:$S$106,10,FALSE)=INT(VLOOKUP($A224,'Fleet register'!$A$7:$S$106,10,FALSE)),VLOOKUP($A224,'Fleet register'!$A$7:$S$106,15,FALSE)&gt;=0,VLOOKUP($A224,'Fleet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costs'!$B$67)&gt;=0,OR(D224&lt;&gt;"EV",E224=120,AND(MIN('Operating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24" s="1" t="str">
        <f>IF(C224=0,"Excluded",IF(P224&lt;&gt;"Complete",P224,IF(OR('Replacement plan'!$AD$61&lt;120-E224,AND(D224="EV",E224&lt;120,OR('Replacement plan'!$AC$61&lt;120-E224,'Replacement plan'!$I$61="No",AND(ISNUMBER(AF224),AE224&gt;AF224),AI224&gt;V224*(1-'Operating costs'!$B$46)^MAX(0,AB224-1)*(1-'Operating costs'!$B$45),AC224&gt;'Operating costs'!$B$18,AND(T224&lt;1,OR(AG224&lt;=0,AND(ISNUMBER(AH224),AG224&gt;AH224))),'Replacement plan'!$L$61&gt;INDEX(Products!$H$7:$H$13,MATCH('Replacement plan'!$B$61,Products!$A$7:$A$13,0))))),"Fails entered limits",IF(AND(D224="EV",E224&lt;120,OR(NOT(ISNUMBER(VLOOKUP($A224,'Fleet register'!$A$7:$S$106,7,FALSE))),NOT(ISNUMBER(VLOOKUP($A224,'Fleet register'!$A$7:$S$106,8,FALSE))),NOT(ISNUMBER(AF224)),'Replacement plan'!$I$61&lt;&gt;"Yes",NOT(ISNUMBER(AH224)),'Operating costs'!$B$59&lt;&gt;"Yes",'Operating costs'!$B$58&lt;&gt;"Yes")),"Unverified","Within entered limits"))))</f>
        <v>Excluded</v>
      </c>
      <c r="R224" s="1">
        <f>IF(C224=0,0,VLOOKUP($A224,'Fleet register'!$A$7:$S$106,6,FALSE))</f>
        <v>0</v>
      </c>
      <c r="S224" s="1">
        <f>IF(C224=0,0,VLOOKUP($A224,'Fleet register'!$A$7:$S$106,5,FALSE))</f>
        <v>0</v>
      </c>
      <c r="T224" s="1">
        <f>IF(D224="EV",'Energy and charging'!$B$12,0)</f>
        <v>0</v>
      </c>
      <c r="U224" s="1">
        <f>IFERROR(IF(C224=0,0,IF(D224="EV",IF('Replacement plan'!$F$61="",INDEX(Products!$E$7:$E$13,MATCH('Replacement plan'!$B$61,Products!$A$7:$A$13,0)),'Replacement plan'!$F$61)/IF('Replacement plan'!$G$61="Battery",1-'Operating costs'!$B$44,1),0)),"n.a.")</f>
        <v>0</v>
      </c>
      <c r="V224" s="1">
        <f>IFERROR(IF(C224=0,0,IF(D224="EV",IF('Replacement plan'!$E$61="",INDEX(Products!$D$7:$D$13,MATCH('Replacement plan'!$B$61,Products!$A$7:$A$13,0)),'Replacement plan'!$E$61),0)),"n.a.")</f>
        <v>0</v>
      </c>
      <c r="W224" s="1">
        <f>IF(C224=0,0,IF(AND(P224="Complete",D224="EV",E224&lt;120),IF(T224=0,0,ROUNDUP(T224*(R224-'Operating costs'!$B$41)*(S224*U224+'Operating costs'!$B$48/(1-'Operating costs'!$B$44))/(V224*'Operating costs'!$B$47/(1-'Operating costs'!$B$44)-T224*'Operating costs'!$B$12*U224),0)),0))</f>
        <v>0</v>
      </c>
      <c r="X224" s="1">
        <f>IF(C224=0,0,IF(AND(P224="Complete",D224="EV",E224&lt;120),(R224-'Operating costs'!$B$41)*(S224*U224+'Operating costs'!$B$48/(1-'Operating costs'!$B$44))+W224*'Operating costs'!$B$12*U224,0))</f>
        <v>0</v>
      </c>
      <c r="Y224" s="1">
        <f>IF(AND(C224=1,D224="EV",E224&lt;120),AI224/(1-'Operating costs'!$B$44)*(1-T224),0)</f>
        <v>0</v>
      </c>
      <c r="Z224" s="1">
        <f t="shared" si="6"/>
        <v>0</v>
      </c>
      <c r="AA224" s="1">
        <f>IF(C224=0,0,IF(P224="Complete",((S224*(R224-'Operating costs'!$B$40))+ROUNDUP(S224*(R224-'Operating costs'!$B$40)*IF('Replacement plan'!$AH$61="",'Operating costs'!$B$7,'Replacement plan'!$AH$61)/('Operating costs'!$B$8-'Operating costs'!$B$9*IF('Replacement plan'!$AH$61="",'Operating costs'!$B$7,'Replacement plan'!$AH$61)),0)*'Operating costs'!$B$9)*IF('Replacement plan'!$AH$61="",'Operating costs'!$B$7,'Replacement plan'!$AH$61),"n.a."))</f>
        <v>0</v>
      </c>
      <c r="AB224" s="1">
        <f t="shared" si="7"/>
        <v>0</v>
      </c>
      <c r="AC224" s="1">
        <f>IF(AND(C224=1,D224="EV",E224&lt;120,T224&gt;0),'Operating costs'!$B$12/'Operating costs'!$B$11*60+'Operating costs'!$B$13+'Operating costs'!$B$14+V224*'Operating costs'!$B$47/(1-'Operating costs'!$B$44)/'Replacement plan'!$L$61*60,0)</f>
        <v>0</v>
      </c>
      <c r="AD224" s="1" t="str">
        <f>'Replacement plan'!$B$61</f>
        <v>ChengLong L2EV</v>
      </c>
      <c r="AE224" s="1">
        <f>IF(C224=0,0,VLOOKUP($A224,'Fleet register'!$A$7:$S$106,8,FALSE))</f>
        <v>0</v>
      </c>
      <c r="AF224" s="1" t="str">
        <f>IF('Replacement plan'!$H$61="","n.a.",'Replacement plan'!$H$61)</f>
        <v>n.a.</v>
      </c>
      <c r="AG224" s="1">
        <f>'Replacement plan'!$J$61</f>
        <v>22</v>
      </c>
      <c r="AH224" s="1">
        <f>IFERROR(IF(D224="EV",IF('Replacement plan'!$K$61="AC",IF(ISNUMBER(INDEX(Products!$G$7:$G$13,MATCH('Replacement plan'!$B$61,Products!$A$7:$A$13,0))),INDEX(Products!$G$7:$G$13,MATCH('Replacement plan'!$B$61,Products!$A$7:$A$13,0)),"n.a."),IF(ISNUMBER(INDEX(Products!$H$7:$H$13,MATCH('Replacement plan'!$B$61,Products!$A$7:$A$13,0))),INDEX(Products!$H$7:$H$13,MATCH('Replacement plan'!$B$61,Products!$A$7:$A$13,0)),"n.a.")),0),"n.a.")</f>
        <v>0</v>
      </c>
      <c r="AI224" s="1">
        <f>IF(AND(C224=1,D224="EV",E224&lt;120),(VLOOKUP($A224,'Fleet register'!$A$7:$S$106,7,FALSE)+IF(T224&gt;0,'Operating costs'!$B$12,0))*U224*(1-'Operating costs'!$B$44)+'Operating costs'!$B$49,0)</f>
        <v>0</v>
      </c>
      <c r="AJ224" s="1">
        <f>IF(D224="EV",'Energy and charging'!$B$50,0)</f>
        <v>0</v>
      </c>
      <c r="AK224" s="17">
        <f>EDATE('Operating costs'!$B$63,E224)</f>
        <v>46298</v>
      </c>
      <c r="AL224" s="1">
        <f>IFERROR(IF(D224="EV",INDEX(Products!$B$7:$B$13,MATCH('Replacement plan'!$B$61,Products!$A$7:$A$13,0)),0),"n.a.")</f>
        <v>0</v>
      </c>
      <c r="AM224" s="1" t="str">
        <f>'Replacement plan'!$K$61</f>
        <v>DC</v>
      </c>
      <c r="AN224" s="1" t="str">
        <f>'Replacement plan'!$AE$61</f>
        <v>Assumed</v>
      </c>
      <c r="AO224" s="47">
        <f>IF(AND(C224=1,D224="EV",E224&lt;120),(R224-'Operating costs'!$B$41)*S224+W224*'Operating costs'!$B$12,0)</f>
        <v>0</v>
      </c>
      <c r="AP224" s="41">
        <f>IF(AND(C224=1,D224="EV",E224&lt;120),IF('Operating costs'!$B$68="Hong Seh 200k average",AO224*IFERROR(INDEX(Products!$P$7:$P$13,MATCH(AD224,Products!$A$7:$A$13,0)),"n.a."),'Operating costs'!$B$26),0)</f>
        <v>0</v>
      </c>
      <c r="AQ224" s="40" t="str">
        <f>IF(D224="EV",'Operating costs'!$B$68,"Not applicable")</f>
        <v>Not applicable</v>
      </c>
    </row>
    <row r="225" spans="1:43" ht="24" customHeight="1">
      <c r="A225" s="1" t="str">
        <f>'Replacement plan'!A61</f>
        <v>T055</v>
      </c>
      <c r="B225" s="1">
        <v>2</v>
      </c>
      <c r="C225" s="1">
        <f>IF(COUNTIFS('Fleet register'!$A$7:$A$106,$A225)=1,VLOOKUP($A225,'Fleet register'!$A$7:$S$106,2,FALSE),0)</f>
        <v>0</v>
      </c>
      <c r="D225" s="1" t="str">
        <f>IF('Replacement plan'!$O$61="EV","EV","ICE")</f>
        <v>ICE</v>
      </c>
      <c r="E225" s="1">
        <f>IF(C225=0,0,IF('Replacement plan'!$P$61="",IF('Replacement plan'!$O$61="Keep ICE",IF('Replacement plan'!$M$61="",VLOOKUP($A225,'Fleet register'!$A$7:$S$106,10,FALSE),'Replacement plan'!$M$61),0),'Replacement plan'!$P$61))</f>
        <v>0</v>
      </c>
      <c r="F225" s="16">
        <f>IF(C225=0,0,VLOOKUP($A225,'Fleet register'!$A$7:$S$106,11,FALSE))</f>
        <v>0</v>
      </c>
      <c r="G225" s="16">
        <f>IFERROR(IF(C225=0,0,IF(E225=120,0,IF(D225="ICE",'Replacement plan'!$C$61,IF('Replacement plan'!$D$61="",INDEX(Products!$I$7:$I$13,MATCH('Replacement plan'!$B$61,Products!$A$7:$A$13,0))+'Operating costs'!$B$57,'Replacement plan'!$D$61))*(1+'Operating costs'!$B$50)^(E225/12))),"n.a.")</f>
        <v>0</v>
      </c>
      <c r="H225" s="16">
        <f>IFERROR(IF(C225=0,0,IF('Replacement plan'!$U$61&lt;&gt;"",'Replacement plan'!$U$61,IF(E225=0,F225,VLOOKUP($A225,'Fleet register'!$A$7:$S$106,12,FALSE)+VLOOKUP($A225,'Fleet register'!$A$7:$S$106,13,FALSE)*MAX(0,VLOOKUP($A225,'Fleet register'!$A$7:$S$106,10,FALSE)-E225)/VLOOKUP($A225,'Fleet register'!$A$7:$S$106,14,FALSE)))),"n.a.")</f>
        <v>0</v>
      </c>
      <c r="I225" s="16">
        <f>IF(C225=0,0,IF(E225=120,0,'Replacement plan'!$Q$61))</f>
        <v>0</v>
      </c>
      <c r="J225" s="16">
        <f>IF(C225=0,0,IF(P225="Complete",((S225*(R225-'Operating costs'!$B$39))+ROUNDUP(S225*(R225-'Operating costs'!$B$39)*IF('Replacement plan'!$AG$61="",'Operating costs'!$B$7,'Replacement plan'!$AG$61)/('Operating costs'!$B$8-'Operating costs'!$B$9*IF('Replacement plan'!$AG$61="",'Operating costs'!$B$7,'Replacement plan'!$AG$61)),0)*'Operating costs'!$B$9)*IF('Replacement plan'!$AG$61="",'Operating costs'!$B$7,'Replacement plan'!$AG$61)*('Energy and charging'!$B$9*'Energy and charging'!$B$7+(1-'Energy and charging'!$B$9)*'Energy and charging'!$B$8)*'Operating costs'!$B$23,"n.a."))</f>
        <v>0</v>
      </c>
      <c r="K225" s="16">
        <f>IF(C225=0,0,IF(P225="Complete",SUM('Operating costs'!$B$24,'Operating costs'!$B$27,'Operating costs'!$B$29,'Operating costs'!$B$31,'Operating costs'!$B$33,'Operating costs'!$B$34,'Operating costs'!$B$37,'Replacement plan'!$W$61)+'Operating costs'!$B$39*'Operating costs'!$B$42+ROUNDUP(S225*(R225-'Operating costs'!$B$39)*IF('Replacement plan'!$AG$61="",'Operating costs'!$B$7,'Replacement plan'!$AG$61)/('Operating costs'!$B$8-'Operating costs'!$B$9*IF('Replacement plan'!$AG$61="",'Operating costs'!$B$7,'Replacement plan'!$AG$61)),0)*('Operating costs'!$B$9/'Operating costs'!$B$11+'Operating costs'!$B$10/60)*'Operating costs'!$B$19*'Operating costs'!$B$21,"n.a."))</f>
        <v>0</v>
      </c>
      <c r="L225" s="16">
        <f>IF(C225=0,0,IF(P225="Complete",IF(D225="EV",X225*((1-T225)*'Energy and charging'!$B$10+T225*'Energy and charging'!$B$11)*'Operating costs'!$B$22,AA225*('Energy and charging'!$B$9*'Energy and charging'!$B$7+(1-'Energy and charging'!$B$9)*'Energy and charging'!$B$8)*'Operating costs'!$B$23),"n.a."))</f>
        <v>0</v>
      </c>
      <c r="M225" s="37">
        <f>IF(C225=0,0,IF(P225="Complete",IF(D225="ICE",SUM('Operating costs'!$B$25,'Operating costs'!$B$27,'Operating costs'!$B$29,'Operating costs'!$B$31,'Operating costs'!$B$33,'Operating costs'!$B$35,'Operating costs'!$B$37,'Replacement plan'!$X$61)+'Operating costs'!$B$40*'Operating costs'!$B$42+ROUNDUP(S225*(R225-'Operating costs'!$B$40)*IF('Replacement plan'!$AH$61="",'Operating costs'!$B$7,'Replacement plan'!$AH$61)/('Operating costs'!$B$8-'Operating costs'!$B$9*IF('Replacement plan'!$AH$61="",'Operating costs'!$B$7,'Replacement plan'!$AH$61)),0)*('Operating costs'!$B$9/'Operating costs'!$B$11+'Operating costs'!$B$10/60)*'Operating costs'!$B$19*'Operating costs'!$B$21,SUM(AP225,'Operating costs'!$B$28,'Operating costs'!$B$30,'Operating costs'!$B$32,'Operating costs'!$B$33,'Operating costs'!$B$36,'Operating costs'!$B$38,'Replacement plan'!$Y$61)+'Operating costs'!$B$41*'Operating costs'!$B$43+W225*'Operating costs'!$B$15+(T225*X225/'Replacement plan'!$L$61+W225*('Operating costs'!$B$12/'Operating costs'!$B$11+('Operating costs'!$B$13+'Operating costs'!$B$14)/60)+(R225-'Operating costs'!$B$41)*(IF(T225&lt;1,'Operating costs'!$B$16,0)+'Operating costs'!$B$17)/60)*'Operating costs'!$B$19*'Operating costs'!$B$20),"n.a."))</f>
        <v>0</v>
      </c>
      <c r="N225" s="16">
        <f>IF(AND(C225=1,D225="EV",E225&lt;120,E225+'Replacement plan'!$AA$61&lt;=120),'Replacement plan'!$Z$61,0)</f>
        <v>0</v>
      </c>
      <c r="O225" s="1">
        <f>E225+'Replacement plan'!$AA$61</f>
        <v>0</v>
      </c>
      <c r="P225" s="35" t="str">
        <f>IFERROR(IF(C225=0,"Excluded",IF(OR(COUNTIFS('Fleet register'!$A$7:$A$106,A225)&lt;&gt;1,COUNTIFS('Replacement plan'!$A$7:$A$106,A225)&lt;&gt;1),"Duplicate/missing ID",IF(NOT(AND(ISNUMBER(VLOOKUP($A225,'Fleet register'!$A$7:$S$106,5,FALSE)),ISNUMBER(VLOOKUP($A225,'Fleet register'!$A$7:$S$106,6,FALSE)),ISNUMBER(VLOOKUP($A225,'Fleet register'!$A$7:$S$106,10,FALSE)),ISNUMBER(VLOOKUP($A225,'Fleet register'!$A$7:$S$106,11,FALSE)),ISNUMBER(VLOOKUP($A225,'Fleet register'!$A$7:$S$106,12,FALSE)),ISNUMBER(VLOOKUP($A225,'Fleet register'!$A$7:$S$106,13,FALSE)),ISNUMBER(VLOOKUP($A225,'Fleet register'!$A$7:$S$106,14,FALSE)),VLOOKUP($A225,'Fleet register'!$A$7:$S$106,14,FALSE)&gt;0,ISNUMBER('Replacement plan'!$C$61),OR(E225=120,ISNUMBER('Replacement plan'!$Q$61)),ISNUMBER(E225))),"Missing vehicle input",IF(OR(E225&lt;0,E225&gt;VLOOKUP($A225,'Fleet register'!$A$7:$S$106,10,FALSE),E225&gt;120,E225&lt;&gt;INT(E225),VLOOKUP($A225,'Fleet register'!$A$7:$S$106,6,FALSE)&lt;=0,VLOOKUP($A225,'Fleet register'!$A$7:$S$106,6,FALSE)&gt;366,VLOOKUP($A225,'Fleet register'!$A$7:$S$106,5,FALSE)&lt;0,VLOOKUP($A225,'Fleet register'!$A$7:$S$106,11,FALSE)&lt;0,I225&lt;0,'Operating costs'!$B$8&lt;='Operating costs'!$B$7*'Operating costs'!$B$9,'Operating costs'!$B$11&lt;=0,'Operating costs'!$B$39&gt;R225,'Operating costs'!$B$40&gt;R225,'Operating costs'!$B$41&gt;R225,NOT(OR('Replacement plan'!$O$61="Keep ICE",'Replacement plan'!$O$61="New ICE",'Replacement plan'!$O$61="EV"))),"Invalid vehicle input",IF(AND(D225="EV",E225&lt;120,OR(NOT(ISNUMBER(U225)),NOT(ISNUMBER(V225)),V225&lt;=0,T225&lt;0,T225&gt;1,'Replacement plan'!$L$61&lt;=0,'Operating costs'!$B$44&lt;0,'Operating costs'!$B$44&gt;=1,'Operating costs'!$B$47&lt;=0,'Operating costs'!$B$47&gt;1,V225*'Operating costs'!$B$47/(1-'Operating costs'!$B$44)&lt;=T225*'Operating costs'!$B$12*U225,AND('Replacement plan'!$Z$61&gt;0,OR('Replacement plan'!$AB$61&lt;&gt;"Yes",'Operating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charging'!$B$8&gt;=0))),ISNUMBER(VLOOKUP($A225,'Fleet register'!$A$7:$S$106,15,FALSE)),ISNUMBER(VLOOKUP($A225,'Fleet register'!$A$7:$S$106,16,FALSE)),ISNUMBER('Replacement plan'!$W$61),ISNUMBER('Replacement plan'!$X$61),OR(E225=120,AND(ISNUMBER(G225),G225&gt;=0)),ISNUMBER(H225),H225&gt;=0,OR(D225&lt;&gt;"EV",E225=120,AND(ISNUMBER('Operating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average",ISNUMBER(IFERROR(INDEX(Products!$P$7:$P$13,MATCH(AD225,Products!$A$7:$A$13,0)),"")))),ISNUMBER('Operating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plan'!$Y$61),ISNUMBER('Replacement plan'!$Z$61),'Replacement plan'!$Z$61&gt;=0,ISNUMBER('Replacement plan'!$AA$61),'Replacement plan'!$AA$61&gt;=0,'Replacement plan'!$AA$61=INT('Replacement plan'!$AA$61),ISNUMBER('Replacement plan'!$L$61))),'Operating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plan'!$AG$61="",'Operating costs'!$B$7,'Replacement plan'!$AG$61)),IF('Replacement plan'!$AG$61="",'Operating costs'!$B$7,'Replacement plan'!$AG$61)&gt;=0,ISNUMBER(IF('Replacement plan'!$AH$61="",'Operating costs'!$B$7,'Replacement plan'!$AH$61)),IF('Replacement plan'!$AH$61="",'Operating costs'!$B$7,'Replacement plan'!$AH$61)&gt;=0,'Operating costs'!$B$8&gt;MAX(IF('Replacement plan'!$AG$61="",'Operating costs'!$B$7,'Replacement plan'!$AG$61),IF('Replacement plan'!$AH$61="",'Operating costs'!$B$7,'Replacement plan'!$AH$61))*'Operating costs'!$B$9),IF(AND(VLOOKUP($A225,'Fleet register'!$A$7:$S$106,10,FALSE)&gt;=0,VLOOKUP($A225,'Fleet register'!$A$7:$S$106,10,FALSE)&lt;=120,VLOOKUP($A225,'Fleet register'!$A$7:$S$106,10,FALSE)=INT(VLOOKUP($A225,'Fleet register'!$A$7:$S$106,10,FALSE)),VLOOKUP($A225,'Fleet register'!$A$7:$S$106,15,FALSE)&gt;=0,VLOOKUP($A225,'Fleet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costs'!$B$67)&gt;=0,OR(D225&lt;&gt;"EV",E225=120,AND(MIN('Operating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25" s="1" t="str">
        <f>IF(C225=0,"Excluded",IF(P225&lt;&gt;"Complete",P225,IF(OR('Replacement plan'!$AD$61&lt;120-E225,AND(D225="EV",E225&lt;120,OR('Replacement plan'!$AC$61&lt;120-E225,'Replacement plan'!$I$61="No",AND(ISNUMBER(AF225),AE225&gt;AF225),AI225&gt;V225*(1-'Operating costs'!$B$46)^MAX(0,AB225-1)*(1-'Operating costs'!$B$45),AC225&gt;'Operating costs'!$B$18,AND(T225&lt;1,OR(AG225&lt;=0,AND(ISNUMBER(AH225),AG225&gt;AH225))),'Replacement plan'!$L$61&gt;INDEX(Products!$H$7:$H$13,MATCH('Replacement plan'!$B$61,Products!$A$7:$A$13,0))))),"Fails entered limits",IF(AND(D225="EV",E225&lt;120,OR(NOT(ISNUMBER(VLOOKUP($A225,'Fleet register'!$A$7:$S$106,7,FALSE))),NOT(ISNUMBER(VLOOKUP($A225,'Fleet register'!$A$7:$S$106,8,FALSE))),NOT(ISNUMBER(AF225)),'Replacement plan'!$I$61&lt;&gt;"Yes",NOT(ISNUMBER(AH225)),'Operating costs'!$B$59&lt;&gt;"Yes",'Operating costs'!$B$58&lt;&gt;"Yes")),"Unverified","Within entered limits"))))</f>
        <v>Excluded</v>
      </c>
      <c r="R225" s="1">
        <f>IF(C225=0,0,VLOOKUP($A225,'Fleet register'!$A$7:$S$106,6,FALSE))</f>
        <v>0</v>
      </c>
      <c r="S225" s="1">
        <f>IF(C225=0,0,VLOOKUP($A225,'Fleet register'!$A$7:$S$106,5,FALSE))</f>
        <v>0</v>
      </c>
      <c r="T225" s="1">
        <f>IF(D225="EV",'Energy and charging'!$B$12,0)</f>
        <v>0</v>
      </c>
      <c r="U225" s="1">
        <f>IFERROR(IF(C225=0,0,IF(D225="EV",IF('Replacement plan'!$F$61="",INDEX(Products!$E$7:$E$13,MATCH('Replacement plan'!$B$61,Products!$A$7:$A$13,0)),'Replacement plan'!$F$61)/IF('Replacement plan'!$G$61="Battery",1-'Operating costs'!$B$44,1),0)),"n.a.")</f>
        <v>0</v>
      </c>
      <c r="V225" s="1">
        <f>IFERROR(IF(C225=0,0,IF(D225="EV",IF('Replacement plan'!$E$61="",INDEX(Products!$D$7:$D$13,MATCH('Replacement plan'!$B$61,Products!$A$7:$A$13,0)),'Replacement plan'!$E$61),0)),"n.a.")</f>
        <v>0</v>
      </c>
      <c r="W225" s="1">
        <f>IF(C225=0,0,IF(AND(P225="Complete",D225="EV",E225&lt;120),IF(T225=0,0,ROUNDUP(T225*(R225-'Operating costs'!$B$41)*(S225*U225+'Operating costs'!$B$48/(1-'Operating costs'!$B$44))/(V225*'Operating costs'!$B$47/(1-'Operating costs'!$B$44)-T225*'Operating costs'!$B$12*U225),0)),0))</f>
        <v>0</v>
      </c>
      <c r="X225" s="1">
        <f>IF(C225=0,0,IF(AND(P225="Complete",D225="EV",E225&lt;120),(R225-'Operating costs'!$B$41)*(S225*U225+'Operating costs'!$B$48/(1-'Operating costs'!$B$44))+W225*'Operating costs'!$B$12*U225,0))</f>
        <v>0</v>
      </c>
      <c r="Y225" s="1">
        <f>IF(AND(C225=1,D225="EV",E225&lt;120),AI225/(1-'Operating costs'!$B$44)*(1-T225),0)</f>
        <v>0</v>
      </c>
      <c r="Z225" s="1">
        <f t="shared" si="6"/>
        <v>0</v>
      </c>
      <c r="AA225" s="1">
        <f>IF(C225=0,0,IF(P225="Complete",((S225*(R225-'Operating costs'!$B$40))+ROUNDUP(S225*(R225-'Operating costs'!$B$40)*IF('Replacement plan'!$AH$61="",'Operating costs'!$B$7,'Replacement plan'!$AH$61)/('Operating costs'!$B$8-'Operating costs'!$B$9*IF('Replacement plan'!$AH$61="",'Operating costs'!$B$7,'Replacement plan'!$AH$61)),0)*'Operating costs'!$B$9)*IF('Replacement plan'!$AH$61="",'Operating costs'!$B$7,'Replacement plan'!$AH$61),"n.a."))</f>
        <v>0</v>
      </c>
      <c r="AB225" s="1">
        <f t="shared" si="7"/>
        <v>0</v>
      </c>
      <c r="AC225" s="1">
        <f>IF(AND(C225=1,D225="EV",E225&lt;120,T225&gt;0),'Operating costs'!$B$12/'Operating costs'!$B$11*60+'Operating costs'!$B$13+'Operating costs'!$B$14+V225*'Operating costs'!$B$47/(1-'Operating costs'!$B$44)/'Replacement plan'!$L$61*60,0)</f>
        <v>0</v>
      </c>
      <c r="AD225" s="1" t="str">
        <f>'Replacement plan'!$B$61</f>
        <v>ChengLong L2EV</v>
      </c>
      <c r="AE225" s="1">
        <f>IF(C225=0,0,VLOOKUP($A225,'Fleet register'!$A$7:$S$106,8,FALSE))</f>
        <v>0</v>
      </c>
      <c r="AF225" s="1" t="str">
        <f>IF('Replacement plan'!$H$61="","n.a.",'Replacement plan'!$H$61)</f>
        <v>n.a.</v>
      </c>
      <c r="AG225" s="1">
        <f>'Replacement plan'!$J$61</f>
        <v>22</v>
      </c>
      <c r="AH225" s="1">
        <f>IFERROR(IF(D225="EV",IF('Replacement plan'!$K$61="AC",IF(ISNUMBER(INDEX(Products!$G$7:$G$13,MATCH('Replacement plan'!$B$61,Products!$A$7:$A$13,0))),INDEX(Products!$G$7:$G$13,MATCH('Replacement plan'!$B$61,Products!$A$7:$A$13,0)),"n.a."),IF(ISNUMBER(INDEX(Products!$H$7:$H$13,MATCH('Replacement plan'!$B$61,Products!$A$7:$A$13,0))),INDEX(Products!$H$7:$H$13,MATCH('Replacement plan'!$B$61,Products!$A$7:$A$13,0)),"n.a.")),0),"n.a.")</f>
        <v>0</v>
      </c>
      <c r="AI225" s="1">
        <f>IF(AND(C225=1,D225="EV",E225&lt;120),(VLOOKUP($A225,'Fleet register'!$A$7:$S$106,7,FALSE)+IF(T225&gt;0,'Operating costs'!$B$12,0))*U225*(1-'Operating costs'!$B$44)+'Operating costs'!$B$49,0)</f>
        <v>0</v>
      </c>
      <c r="AJ225" s="1">
        <f>IF(D225="EV",'Energy and charging'!$B$50,0)</f>
        <v>0</v>
      </c>
      <c r="AK225" s="17">
        <f>EDATE('Operating costs'!$B$63,E225)</f>
        <v>46298</v>
      </c>
      <c r="AL225" s="1">
        <f>IFERROR(IF(D225="EV",INDEX(Products!$B$7:$B$13,MATCH('Replacement plan'!$B$61,Products!$A$7:$A$13,0)),0),"n.a.")</f>
        <v>0</v>
      </c>
      <c r="AM225" s="1" t="str">
        <f>'Replacement plan'!$K$61</f>
        <v>DC</v>
      </c>
      <c r="AN225" s="1" t="str">
        <f>'Replacement plan'!$AE$61</f>
        <v>Assumed</v>
      </c>
      <c r="AO225" s="47">
        <f>IF(AND(C225=1,D225="EV",E225&lt;120),(R225-'Operating costs'!$B$41)*S225+W225*'Operating costs'!$B$12,0)</f>
        <v>0</v>
      </c>
      <c r="AP225" s="41">
        <f>IF(AND(C225=1,D225="EV",E225&lt;120),IF('Operating costs'!$B$68="Hong Seh 200k average",AO225*IFERROR(INDEX(Products!$P$7:$P$13,MATCH(AD225,Products!$A$7:$A$13,0)),"n.a."),'Operating costs'!$B$26),0)</f>
        <v>0</v>
      </c>
      <c r="AQ225" s="40" t="str">
        <f>IF(D225="EV",'Operating costs'!$B$68,"Not applicable")</f>
        <v>Not applicable</v>
      </c>
    </row>
    <row r="226" spans="1:43" ht="24" customHeight="1">
      <c r="A226" s="1" t="str">
        <f>'Replacement plan'!A61</f>
        <v>T055</v>
      </c>
      <c r="B226" s="1">
        <v>3</v>
      </c>
      <c r="C226" s="1">
        <f>IF(COUNTIFS('Fleet register'!$A$7:$A$106,$A226)=1,VLOOKUP($A226,'Fleet register'!$A$7:$S$106,2,FALSE),0)</f>
        <v>0</v>
      </c>
      <c r="D226" s="1" t="str">
        <f>IF('Replacement plan'!$R$61="EV","EV","ICE")</f>
        <v>ICE</v>
      </c>
      <c r="E226" s="1">
        <f>IF(C226=0,0,IF('Replacement plan'!$S$61="",IF('Replacement plan'!$R$61="Keep ICE",IF('Replacement plan'!$M$61="",VLOOKUP($A226,'Fleet register'!$A$7:$S$106,10,FALSE),'Replacement plan'!$M$61),0),'Replacement plan'!$S$61))</f>
        <v>0</v>
      </c>
      <c r="F226" s="16">
        <f>IF(C226=0,0,VLOOKUP($A226,'Fleet register'!$A$7:$S$106,11,FALSE))</f>
        <v>0</v>
      </c>
      <c r="G226" s="16">
        <f>IFERROR(IF(C226=0,0,IF(E226=120,0,IF(D226="ICE",'Replacement plan'!$C$61,IF('Replacement plan'!$D$61="",INDEX(Products!$I$7:$I$13,MATCH('Replacement plan'!$B$61,Products!$A$7:$A$13,0))+'Operating costs'!$B$57,'Replacement plan'!$D$61))*(1+'Operating costs'!$B$50)^(E226/12))),"n.a.")</f>
        <v>0</v>
      </c>
      <c r="H226" s="16">
        <f>IFERROR(IF(C226=0,0,IF('Replacement plan'!$V$61&lt;&gt;"",'Replacement plan'!$V$61,IF(E226=0,F226,VLOOKUP($A226,'Fleet register'!$A$7:$S$106,12,FALSE)+VLOOKUP($A226,'Fleet register'!$A$7:$S$106,13,FALSE)*MAX(0,VLOOKUP($A226,'Fleet register'!$A$7:$S$106,10,FALSE)-E226)/VLOOKUP($A226,'Fleet register'!$A$7:$S$106,14,FALSE)))),"n.a.")</f>
        <v>0</v>
      </c>
      <c r="I226" s="16">
        <f>IF(C226=0,0,IF(E226=120,0,'Replacement plan'!$T$61))</f>
        <v>0</v>
      </c>
      <c r="J226" s="16">
        <f>IF(C226=0,0,IF(P226="Complete",((S226*(R226-'Operating costs'!$B$39))+ROUNDUP(S226*(R226-'Operating costs'!$B$39)*IF('Replacement plan'!$AG$61="",'Operating costs'!$B$7,'Replacement plan'!$AG$61)/('Operating costs'!$B$8-'Operating costs'!$B$9*IF('Replacement plan'!$AG$61="",'Operating costs'!$B$7,'Replacement plan'!$AG$61)),0)*'Operating costs'!$B$9)*IF('Replacement plan'!$AG$61="",'Operating costs'!$B$7,'Replacement plan'!$AG$61)*('Energy and charging'!$C$9*'Energy and charging'!$C$7+(1-'Energy and charging'!$C$9)*'Energy and charging'!$C$8)*'Operating costs'!$B$23,"n.a."))</f>
        <v>0</v>
      </c>
      <c r="K226" s="16">
        <f>IF(C226=0,0,IF(P226="Complete",SUM('Operating costs'!$B$24,'Operating costs'!$B$27,'Operating costs'!$B$29,'Operating costs'!$B$31,'Operating costs'!$B$33,'Operating costs'!$B$34,'Operating costs'!$B$37,'Replacement plan'!$W$61)+'Operating costs'!$B$39*'Operating costs'!$B$42+ROUNDUP(S226*(R226-'Operating costs'!$B$39)*IF('Replacement plan'!$AG$61="",'Operating costs'!$B$7,'Replacement plan'!$AG$61)/('Operating costs'!$B$8-'Operating costs'!$B$9*IF('Replacement plan'!$AG$61="",'Operating costs'!$B$7,'Replacement plan'!$AG$61)),0)*('Operating costs'!$B$9/'Operating costs'!$B$11+'Operating costs'!$B$10/60)*'Operating costs'!$B$19*'Operating costs'!$B$21,"n.a."))</f>
        <v>0</v>
      </c>
      <c r="L226" s="16">
        <f>IF(C226=0,0,IF(P226="Complete",IF(D226="EV",X226*((1-T226)*'Energy and charging'!$C$10+T226*'Energy and charging'!$C$11)*'Operating costs'!$B$22,AA226*('Energy and charging'!$C$9*'Energy and charging'!$C$7+(1-'Energy and charging'!$C$9)*'Energy and charging'!$C$8)*'Operating costs'!$B$23),"n.a."))</f>
        <v>0</v>
      </c>
      <c r="M226" s="37">
        <f>IF(C226=0,0,IF(P226="Complete",IF(D226="ICE",SUM('Operating costs'!$B$25,'Operating costs'!$B$27,'Operating costs'!$B$29,'Operating costs'!$B$31,'Operating costs'!$B$33,'Operating costs'!$B$35,'Operating costs'!$B$37,'Replacement plan'!$X$61)+'Operating costs'!$B$40*'Operating costs'!$B$42+ROUNDUP(S226*(R226-'Operating costs'!$B$40)*IF('Replacement plan'!$AH$61="",'Operating costs'!$B$7,'Replacement plan'!$AH$61)/('Operating costs'!$B$8-'Operating costs'!$B$9*IF('Replacement plan'!$AH$61="",'Operating costs'!$B$7,'Replacement plan'!$AH$61)),0)*('Operating costs'!$B$9/'Operating costs'!$B$11+'Operating costs'!$B$10/60)*'Operating costs'!$B$19*'Operating costs'!$B$21,SUM(AP226,'Operating costs'!$B$28,'Operating costs'!$B$30,'Operating costs'!$B$32,'Operating costs'!$B$33,'Operating costs'!$B$36,'Operating costs'!$B$38,'Replacement plan'!$Y$61)+'Operating costs'!$B$41*'Operating costs'!$B$43+W226*'Operating costs'!$B$15+(T226*X226/'Replacement plan'!$L$61+W226*('Operating costs'!$B$12/'Operating costs'!$B$11+('Operating costs'!$B$13+'Operating costs'!$B$14)/60)+(R226-'Operating costs'!$B$41)*(IF(T226&lt;1,'Operating costs'!$B$16,0)+'Operating costs'!$B$17)/60)*'Operating costs'!$B$19*'Operating costs'!$B$20),"n.a."))</f>
        <v>0</v>
      </c>
      <c r="N226" s="16">
        <f>IF(AND(C226=1,D226="EV",E226&lt;120,E226+'Replacement plan'!$AA$61&lt;=120),'Replacement plan'!$Z$61,0)</f>
        <v>0</v>
      </c>
      <c r="O226" s="1">
        <f>E226+'Replacement plan'!$AA$61</f>
        <v>0</v>
      </c>
      <c r="P226" s="35" t="str">
        <f>IFERROR(IF(C226=0,"Excluded",IF(OR(COUNTIFS('Fleet register'!$A$7:$A$106,A226)&lt;&gt;1,COUNTIFS('Replacement plan'!$A$7:$A$106,A226)&lt;&gt;1),"Duplicate/missing ID",IF(NOT(AND(ISNUMBER(VLOOKUP($A226,'Fleet register'!$A$7:$S$106,5,FALSE)),ISNUMBER(VLOOKUP($A226,'Fleet register'!$A$7:$S$106,6,FALSE)),ISNUMBER(VLOOKUP($A226,'Fleet register'!$A$7:$S$106,10,FALSE)),ISNUMBER(VLOOKUP($A226,'Fleet register'!$A$7:$S$106,11,FALSE)),ISNUMBER(VLOOKUP($A226,'Fleet register'!$A$7:$S$106,12,FALSE)),ISNUMBER(VLOOKUP($A226,'Fleet register'!$A$7:$S$106,13,FALSE)),ISNUMBER(VLOOKUP($A226,'Fleet register'!$A$7:$S$106,14,FALSE)),VLOOKUP($A226,'Fleet register'!$A$7:$S$106,14,FALSE)&gt;0,ISNUMBER('Replacement plan'!$C$61),OR(E226=120,ISNUMBER('Replacement plan'!$T$61)),ISNUMBER(E226))),"Missing vehicle input",IF(OR(E226&lt;0,E226&gt;VLOOKUP($A226,'Fleet register'!$A$7:$S$106,10,FALSE),E226&gt;120,E226&lt;&gt;INT(E226),VLOOKUP($A226,'Fleet register'!$A$7:$S$106,6,FALSE)&lt;=0,VLOOKUP($A226,'Fleet register'!$A$7:$S$106,6,FALSE)&gt;366,VLOOKUP($A226,'Fleet register'!$A$7:$S$106,5,FALSE)&lt;0,VLOOKUP($A226,'Fleet register'!$A$7:$S$106,11,FALSE)&lt;0,I226&lt;0,'Operating costs'!$B$8&lt;='Operating costs'!$B$7*'Operating costs'!$B$9,'Operating costs'!$B$11&lt;=0,'Operating costs'!$B$39&gt;R226,'Operating costs'!$B$40&gt;R226,'Operating costs'!$B$41&gt;R226,NOT(OR('Replacement plan'!$R$61="Keep ICE",'Replacement plan'!$R$61="New ICE",'Replacement plan'!$R$61="EV"))),"Invalid vehicle input",IF(AND(D226="EV",E226&lt;120,OR(NOT(ISNUMBER(U226)),NOT(ISNUMBER(V226)),V226&lt;=0,T226&lt;0,T226&gt;1,'Replacement plan'!$L$61&lt;=0,'Operating costs'!$B$44&lt;0,'Operating costs'!$B$44&gt;=1,'Operating costs'!$B$47&lt;=0,'Operating costs'!$B$47&gt;1,V226*'Operating costs'!$B$47/(1-'Operating costs'!$B$44)&lt;=T226*'Operating costs'!$B$12*U226,AND('Replacement plan'!$Z$61&gt;0,OR('Replacement plan'!$AB$61&lt;&gt;"Yes",'Operating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charging'!$C$8&gt;=0))),ISNUMBER(VLOOKUP($A226,'Fleet register'!$A$7:$S$106,15,FALSE)),ISNUMBER(VLOOKUP($A226,'Fleet register'!$A$7:$S$106,16,FALSE)),ISNUMBER('Replacement plan'!$W$61),ISNUMBER('Replacement plan'!$X$61),OR(E226=120,AND(ISNUMBER(G226),G226&gt;=0)),ISNUMBER(H226),H226&gt;=0,OR(D226&lt;&gt;"EV",E226=120,AND(ISNUMBER('Operating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average",ISNUMBER(IFERROR(INDEX(Products!$P$7:$P$13,MATCH(AD226,Products!$A$7:$A$13,0)),"")))),ISNUMBER('Operating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plan'!$Y$61),ISNUMBER('Replacement plan'!$Z$61),'Replacement plan'!$Z$61&gt;=0,ISNUMBER('Replacement plan'!$AA$61),'Replacement plan'!$AA$61&gt;=0,'Replacement plan'!$AA$61=INT('Replacement plan'!$AA$61),ISNUMBER('Replacement plan'!$L$61))),'Operating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plan'!$AG$61="",'Operating costs'!$B$7,'Replacement plan'!$AG$61)),IF('Replacement plan'!$AG$61="",'Operating costs'!$B$7,'Replacement plan'!$AG$61)&gt;=0,ISNUMBER(IF('Replacement plan'!$AH$61="",'Operating costs'!$B$7,'Replacement plan'!$AH$61)),IF('Replacement plan'!$AH$61="",'Operating costs'!$B$7,'Replacement plan'!$AH$61)&gt;=0,'Operating costs'!$B$8&gt;MAX(IF('Replacement plan'!$AG$61="",'Operating costs'!$B$7,'Replacement plan'!$AG$61),IF('Replacement plan'!$AH$61="",'Operating costs'!$B$7,'Replacement plan'!$AH$61))*'Operating costs'!$B$9),IF(AND(VLOOKUP($A226,'Fleet register'!$A$7:$S$106,10,FALSE)&gt;=0,VLOOKUP($A226,'Fleet register'!$A$7:$S$106,10,FALSE)&lt;=120,VLOOKUP($A226,'Fleet register'!$A$7:$S$106,10,FALSE)=INT(VLOOKUP($A226,'Fleet register'!$A$7:$S$106,10,FALSE)),VLOOKUP($A226,'Fleet register'!$A$7:$S$106,15,FALSE)&gt;=0,VLOOKUP($A226,'Fleet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costs'!$B$67)&gt;=0,OR(D226&lt;&gt;"EV",E226=120,AND(MIN('Operating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26" s="1" t="str">
        <f>IF(C226=0,"Excluded",IF(P226&lt;&gt;"Complete",P226,IF(OR('Replacement plan'!$AD$61&lt;120-E226,AND(D226="EV",E226&lt;120,OR('Replacement plan'!$AC$61&lt;120-E226,'Replacement plan'!$I$61="No",AND(ISNUMBER(AF226),AE226&gt;AF226),AI226&gt;V226*(1-'Operating costs'!$B$46)^MAX(0,AB226-1)*(1-'Operating costs'!$B$45),AC226&gt;'Operating costs'!$B$18,AND(T226&lt;1,OR(AG226&lt;=0,AND(ISNUMBER(AH226),AG226&gt;AH226))),'Replacement plan'!$L$61&gt;INDEX(Products!$H$7:$H$13,MATCH('Replacement plan'!$B$61,Products!$A$7:$A$13,0))))),"Fails entered limits",IF(AND(D226="EV",E226&lt;120,OR(NOT(ISNUMBER(VLOOKUP($A226,'Fleet register'!$A$7:$S$106,7,FALSE))),NOT(ISNUMBER(VLOOKUP($A226,'Fleet register'!$A$7:$S$106,8,FALSE))),NOT(ISNUMBER(AF226)),'Replacement plan'!$I$61&lt;&gt;"Yes",NOT(ISNUMBER(AH226)),'Operating costs'!$B$59&lt;&gt;"Yes",'Operating costs'!$B$58&lt;&gt;"Yes")),"Unverified","Within entered limits"))))</f>
        <v>Excluded</v>
      </c>
      <c r="R226" s="1">
        <f>IF(C226=0,0,VLOOKUP($A226,'Fleet register'!$A$7:$S$106,6,FALSE))</f>
        <v>0</v>
      </c>
      <c r="S226" s="1">
        <f>IF(C226=0,0,VLOOKUP($A226,'Fleet register'!$A$7:$S$106,5,FALSE))</f>
        <v>0</v>
      </c>
      <c r="T226" s="1">
        <f>IF(D226="EV",'Energy and charging'!$C$12,0)</f>
        <v>0</v>
      </c>
      <c r="U226" s="1">
        <f>IFERROR(IF(C226=0,0,IF(D226="EV",IF('Replacement plan'!$F$61="",INDEX(Products!$E$7:$E$13,MATCH('Replacement plan'!$B$61,Products!$A$7:$A$13,0)),'Replacement plan'!$F$61)/IF('Replacement plan'!$G$61="Battery",1-'Operating costs'!$B$44,1),0)),"n.a.")</f>
        <v>0</v>
      </c>
      <c r="V226" s="1">
        <f>IFERROR(IF(C226=0,0,IF(D226="EV",IF('Replacement plan'!$E$61="",INDEX(Products!$D$7:$D$13,MATCH('Replacement plan'!$B$61,Products!$A$7:$A$13,0)),'Replacement plan'!$E$61),0)),"n.a.")</f>
        <v>0</v>
      </c>
      <c r="W226" s="1">
        <f>IF(C226=0,0,IF(AND(P226="Complete",D226="EV",E226&lt;120),IF(T226=0,0,ROUNDUP(T226*(R226-'Operating costs'!$B$41)*(S226*U226+'Operating costs'!$B$48/(1-'Operating costs'!$B$44))/(V226*'Operating costs'!$B$47/(1-'Operating costs'!$B$44)-T226*'Operating costs'!$B$12*U226),0)),0))</f>
        <v>0</v>
      </c>
      <c r="X226" s="1">
        <f>IF(C226=0,0,IF(AND(P226="Complete",D226="EV",E226&lt;120),(R226-'Operating costs'!$B$41)*(S226*U226+'Operating costs'!$B$48/(1-'Operating costs'!$B$44))+W226*'Operating costs'!$B$12*U226,0))</f>
        <v>0</v>
      </c>
      <c r="Y226" s="1">
        <f>IF(AND(C226=1,D226="EV",E226&lt;120),AI226/(1-'Operating costs'!$B$44)*(1-T226),0)</f>
        <v>0</v>
      </c>
      <c r="Z226" s="1">
        <f t="shared" si="6"/>
        <v>0</v>
      </c>
      <c r="AA226" s="1">
        <f>IF(C226=0,0,IF(P226="Complete",((S226*(R226-'Operating costs'!$B$40))+ROUNDUP(S226*(R226-'Operating costs'!$B$40)*IF('Replacement plan'!$AH$61="",'Operating costs'!$B$7,'Replacement plan'!$AH$61)/('Operating costs'!$B$8-'Operating costs'!$B$9*IF('Replacement plan'!$AH$61="",'Operating costs'!$B$7,'Replacement plan'!$AH$61)),0)*'Operating costs'!$B$9)*IF('Replacement plan'!$AH$61="",'Operating costs'!$B$7,'Replacement plan'!$AH$61),"n.a."))</f>
        <v>0</v>
      </c>
      <c r="AB226" s="1">
        <f t="shared" si="7"/>
        <v>0</v>
      </c>
      <c r="AC226" s="1">
        <f>IF(AND(C226=1,D226="EV",E226&lt;120,T226&gt;0),'Operating costs'!$B$12/'Operating costs'!$B$11*60+'Operating costs'!$B$13+'Operating costs'!$B$14+V226*'Operating costs'!$B$47/(1-'Operating costs'!$B$44)/'Replacement plan'!$L$61*60,0)</f>
        <v>0</v>
      </c>
      <c r="AD226" s="1" t="str">
        <f>'Replacement plan'!$B$61</f>
        <v>ChengLong L2EV</v>
      </c>
      <c r="AE226" s="1">
        <f>IF(C226=0,0,VLOOKUP($A226,'Fleet register'!$A$7:$S$106,8,FALSE))</f>
        <v>0</v>
      </c>
      <c r="AF226" s="1" t="str">
        <f>IF('Replacement plan'!$H$61="","n.a.",'Replacement plan'!$H$61)</f>
        <v>n.a.</v>
      </c>
      <c r="AG226" s="1">
        <f>'Replacement plan'!$J$61</f>
        <v>22</v>
      </c>
      <c r="AH226" s="1">
        <f>IFERROR(IF(D226="EV",IF('Replacement plan'!$K$61="AC",IF(ISNUMBER(INDEX(Products!$G$7:$G$13,MATCH('Replacement plan'!$B$61,Products!$A$7:$A$13,0))),INDEX(Products!$G$7:$G$13,MATCH('Replacement plan'!$B$61,Products!$A$7:$A$13,0)),"n.a."),IF(ISNUMBER(INDEX(Products!$H$7:$H$13,MATCH('Replacement plan'!$B$61,Products!$A$7:$A$13,0))),INDEX(Products!$H$7:$H$13,MATCH('Replacement plan'!$B$61,Products!$A$7:$A$13,0)),"n.a.")),0),"n.a.")</f>
        <v>0</v>
      </c>
      <c r="AI226" s="1">
        <f>IF(AND(C226=1,D226="EV",E226&lt;120),(VLOOKUP($A226,'Fleet register'!$A$7:$S$106,7,FALSE)+IF(T226&gt;0,'Operating costs'!$B$12,0))*U226*(1-'Operating costs'!$B$44)+'Operating costs'!$B$49,0)</f>
        <v>0</v>
      </c>
      <c r="AJ226" s="1">
        <f>IF(D226="EV",'Energy and charging'!$C$50,0)</f>
        <v>0</v>
      </c>
      <c r="AK226" s="17">
        <f>EDATE('Operating costs'!$B$63,E226)</f>
        <v>46298</v>
      </c>
      <c r="AL226" s="1">
        <f>IFERROR(IF(D226="EV",INDEX(Products!$B$7:$B$13,MATCH('Replacement plan'!$B$61,Products!$A$7:$A$13,0)),0),"n.a.")</f>
        <v>0</v>
      </c>
      <c r="AM226" s="1" t="str">
        <f>'Replacement plan'!$K$61</f>
        <v>DC</v>
      </c>
      <c r="AN226" s="1" t="str">
        <f>'Replacement plan'!$AE$61</f>
        <v>Assumed</v>
      </c>
      <c r="AO226" s="47">
        <f>IF(AND(C226=1,D226="EV",E226&lt;120),(R226-'Operating costs'!$B$41)*S226+W226*'Operating costs'!$B$12,0)</f>
        <v>0</v>
      </c>
      <c r="AP226" s="41">
        <f>IF(AND(C226=1,D226="EV",E226&lt;120),IF('Operating costs'!$B$68="Hong Seh 200k average",AO226*IFERROR(INDEX(Products!$P$7:$P$13,MATCH(AD226,Products!$A$7:$A$13,0)),"n.a."),'Operating costs'!$B$26),0)</f>
        <v>0</v>
      </c>
      <c r="AQ226" s="40" t="str">
        <f>IF(D226="EV",'Operating costs'!$B$68,"Not applicable")</f>
        <v>Not applicable</v>
      </c>
    </row>
    <row r="227" spans="1:43" ht="24" customHeight="1">
      <c r="A227" s="1" t="str">
        <f>'Replacement plan'!A62</f>
        <v>T056</v>
      </c>
      <c r="B227" s="1">
        <v>0</v>
      </c>
      <c r="C227" s="1">
        <f>IF(COUNTIFS('Fleet register'!$A$7:$A$106,$A227)=1,VLOOKUP($A227,'Fleet register'!$A$7:$S$106,2,FALSE),0)</f>
        <v>0</v>
      </c>
      <c r="D227" s="1" t="str">
        <f>IF("Keep ICE"="EV","EV","ICE")</f>
        <v>ICE</v>
      </c>
      <c r="E227" s="1">
        <f>IF(C227=0,0,IF('Replacement plan'!$M$62="",VLOOKUP($A227,'Fleet register'!$A$7:$S$106,10,FALSE),'Replacement plan'!$M$62))</f>
        <v>0</v>
      </c>
      <c r="F227" s="16">
        <f>IF(C227=0,0,VLOOKUP($A227,'Fleet register'!$A$7:$S$106,11,FALSE))</f>
        <v>0</v>
      </c>
      <c r="G227" s="16">
        <f>IFERROR(IF(C227=0,0,IF(E227=120,0,IF(D227="ICE",'Replacement plan'!$C$62,IF('Replacement plan'!$D$62="",INDEX(Products!$I$7:$I$13,MATCH('Replacement plan'!$B$62,Products!$A$7:$A$13,0))+'Operating costs'!$B$57,'Replacement plan'!$D$62))*(1+'Operating costs'!$B$50)^(E227/12))),"n.a.")</f>
        <v>0</v>
      </c>
      <c r="H227" s="16">
        <f>IFERROR(IF(C227=0,0,IF(E227=0,F227,VLOOKUP($A227,'Fleet register'!$A$7:$S$106,12,FALSE)+VLOOKUP($A227,'Fleet register'!$A$7:$S$106,13,FALSE)*MAX(0,VLOOKUP($A227,'Fleet register'!$A$7:$S$106,10,FALSE)-E227)/VLOOKUP($A227,'Fleet register'!$A$7:$S$106,14,FALSE))),"n.a.")</f>
        <v>0</v>
      </c>
      <c r="I227" s="16">
        <f>IF(C227=0,0,IF(E227=120,0,'Replacement plan'!$N$62))</f>
        <v>0</v>
      </c>
      <c r="J227" s="16">
        <f>IF(C227=0,0,IF(P227="Complete",((S227*(R227-'Operating costs'!$B$39))+ROUNDUP(S227*(R227-'Operating costs'!$B$39)*IF('Replacement plan'!$AG$62="",'Operating costs'!$B$7,'Replacement plan'!$AG$62)/('Operating costs'!$B$8-'Operating costs'!$B$9*IF('Replacement plan'!$AG$62="",'Operating costs'!$B$7,'Replacement plan'!$AG$62)),0)*'Operating costs'!$B$9)*IF('Replacement plan'!$AG$62="",'Operating costs'!$B$7,'Replacement plan'!$AG$62)*('Energy and charging'!$B$9*'Energy and charging'!$B$7+(1-'Energy and charging'!$B$9)*'Energy and charging'!$B$8)*'Operating costs'!$B$23,"n.a."))</f>
        <v>0</v>
      </c>
      <c r="K227" s="16">
        <f>IF(C227=0,0,IF(P227="Complete",SUM('Operating costs'!$B$24,'Operating costs'!$B$27,'Operating costs'!$B$29,'Operating costs'!$B$31,'Operating costs'!$B$33,'Operating costs'!$B$34,'Operating costs'!$B$37,'Replacement plan'!$W$62)+'Operating costs'!$B$39*'Operating costs'!$B$42+ROUNDUP(S227*(R227-'Operating costs'!$B$39)*IF('Replacement plan'!$AG$62="",'Operating costs'!$B$7,'Replacement plan'!$AG$62)/('Operating costs'!$B$8-'Operating costs'!$B$9*IF('Replacement plan'!$AG$62="",'Operating costs'!$B$7,'Replacement plan'!$AG$62)),0)*('Operating costs'!$B$9/'Operating costs'!$B$11+'Operating costs'!$B$10/60)*'Operating costs'!$B$19*'Operating costs'!$B$21,"n.a."))</f>
        <v>0</v>
      </c>
      <c r="L227" s="16">
        <f>IF(C227=0,0,IF(P227="Complete",IF(D227="EV",X227*((1-T227)*'Energy and charging'!$B$10+T227*'Energy and charging'!$B$11)*'Operating costs'!$B$22,AA227*('Energy and charging'!$B$9*'Energy and charging'!$B$7+(1-'Energy and charging'!$B$9)*'Energy and charging'!$B$8)*'Operating costs'!$B$23),"n.a."))</f>
        <v>0</v>
      </c>
      <c r="M227" s="37">
        <f>IF(C227=0,0,IF(P227="Complete",IF(D227="ICE",SUM('Operating costs'!$B$25,'Operating costs'!$B$27,'Operating costs'!$B$29,'Operating costs'!$B$31,'Operating costs'!$B$33,'Operating costs'!$B$35,'Operating costs'!$B$37,'Replacement plan'!$X$62)+'Operating costs'!$B$40*'Operating costs'!$B$42+ROUNDUP(S227*(R227-'Operating costs'!$B$40)*IF('Replacement plan'!$AH$62="",'Operating costs'!$B$7,'Replacement plan'!$AH$62)/('Operating costs'!$B$8-'Operating costs'!$B$9*IF('Replacement plan'!$AH$62="",'Operating costs'!$B$7,'Replacement plan'!$AH$62)),0)*('Operating costs'!$B$9/'Operating costs'!$B$11+'Operating costs'!$B$10/60)*'Operating costs'!$B$19*'Operating costs'!$B$21,SUM(AP227,'Operating costs'!$B$28,'Operating costs'!$B$30,'Operating costs'!$B$32,'Operating costs'!$B$33,'Operating costs'!$B$36,'Operating costs'!$B$38,'Replacement plan'!$Y$62)+'Operating costs'!$B$41*'Operating costs'!$B$43+W227*'Operating costs'!$B$15+(T227*X227/'Replacement plan'!$L$62+W227*('Operating costs'!$B$12/'Operating costs'!$B$11+('Operating costs'!$B$13+'Operating costs'!$B$14)/60)+(R227-'Operating costs'!$B$41)*(IF(T227&lt;1,'Operating costs'!$B$16,0)+'Operating costs'!$B$17)/60)*'Operating costs'!$B$19*'Operating costs'!$B$20),"n.a."))</f>
        <v>0</v>
      </c>
      <c r="N227" s="16">
        <f>IF(AND(C227=1,D227="EV",E227&lt;120,E227+'Replacement plan'!$AA$62&lt;=120),'Replacement plan'!$Z$62,0)</f>
        <v>0</v>
      </c>
      <c r="O227" s="1">
        <f>E227+'Replacement plan'!$AA$62</f>
        <v>0</v>
      </c>
      <c r="P227" s="35" t="str">
        <f>IFERROR(IF(C227=0,"Excluded",IF(OR(COUNTIFS('Fleet register'!$A$7:$A$106,A227)&lt;&gt;1,COUNTIFS('Replacement plan'!$A$7:$A$106,A227)&lt;&gt;1),"Duplicate/missing ID",IF(NOT(AND(ISNUMBER(VLOOKUP($A227,'Fleet register'!$A$7:$S$106,5,FALSE)),ISNUMBER(VLOOKUP($A227,'Fleet register'!$A$7:$S$106,6,FALSE)),ISNUMBER(VLOOKUP($A227,'Fleet register'!$A$7:$S$106,10,FALSE)),ISNUMBER(VLOOKUP($A227,'Fleet register'!$A$7:$S$106,11,FALSE)),ISNUMBER(VLOOKUP($A227,'Fleet register'!$A$7:$S$106,12,FALSE)),ISNUMBER(VLOOKUP($A227,'Fleet register'!$A$7:$S$106,13,FALSE)),ISNUMBER(VLOOKUP($A227,'Fleet register'!$A$7:$S$106,14,FALSE)),VLOOKUP($A227,'Fleet register'!$A$7:$S$106,14,FALSE)&gt;0,ISNUMBER('Replacement plan'!$C$62),OR(E227=120,ISNUMBER('Replacement plan'!$N$62)),ISNUMBER(E227))),"Missing vehicle input",IF(OR(E227&lt;0,E227&gt;VLOOKUP($A227,'Fleet register'!$A$7:$S$106,10,FALSE),E227&gt;120,E227&lt;&gt;INT(E227),VLOOKUP($A227,'Fleet register'!$A$7:$S$106,6,FALSE)&lt;=0,VLOOKUP($A227,'Fleet register'!$A$7:$S$106,6,FALSE)&gt;366,VLOOKUP($A227,'Fleet register'!$A$7:$S$106,5,FALSE)&lt;0,VLOOKUP($A227,'Fleet register'!$A$7:$S$106,11,FALSE)&lt;0,I227&lt;0,'Operating costs'!$B$8&lt;='Operating costs'!$B$7*'Operating costs'!$B$9,'Operating costs'!$B$11&lt;=0,'Operating costs'!$B$39&gt;R227,'Operating costs'!$B$40&gt;R227,'Operating costs'!$B$41&gt;R227,NOT(OR("Keep ICE"="Keep ICE","Keep ICE"="New ICE","Keep ICE"="EV"))),"Invalid vehicle input",IF(AND(D227="EV",E227&lt;120,OR(NOT(ISNUMBER(U227)),NOT(ISNUMBER(V227)),V227&lt;=0,T227&lt;0,T227&gt;1,'Replacement plan'!$L$62&lt;=0,'Operating costs'!$B$44&lt;0,'Operating costs'!$B$44&gt;=1,'Operating costs'!$B$47&lt;=0,'Operating costs'!$B$47&gt;1,V227*'Operating costs'!$B$47/(1-'Operating costs'!$B$44)&lt;=T227*'Operating costs'!$B$12*U227,AND('Replacement plan'!$Z$62&gt;0,OR('Replacement plan'!$AB$62&lt;&gt;"Yes",'Operating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charging'!$B$8&gt;=0))),ISNUMBER(VLOOKUP($A227,'Fleet register'!$A$7:$S$106,15,FALSE)),ISNUMBER(VLOOKUP($A227,'Fleet register'!$A$7:$S$106,16,FALSE)),ISNUMBER('Replacement plan'!$W$62),ISNUMBER('Replacement plan'!$X$62),OR(E227=120,AND(ISNUMBER(G227),G227&gt;=0)),ISNUMBER(H227),H227&gt;=0,OR(D227&lt;&gt;"EV",E227=120,AND(ISNUMBER('Operating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average",ISNUMBER(IFERROR(INDEX(Products!$P$7:$P$13,MATCH(AD227,Products!$A$7:$A$13,0)),"")))),ISNUMBER('Operating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plan'!$Y$62),ISNUMBER('Replacement plan'!$Z$62),'Replacement plan'!$Z$62&gt;=0,ISNUMBER('Replacement plan'!$AA$62),'Replacement plan'!$AA$62&gt;=0,'Replacement plan'!$AA$62=INT('Replacement plan'!$AA$62),ISNUMBER('Replacement plan'!$L$62))),'Operating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plan'!$AG$62="",'Operating costs'!$B$7,'Replacement plan'!$AG$62)),IF('Replacement plan'!$AG$62="",'Operating costs'!$B$7,'Replacement plan'!$AG$62)&gt;=0,ISNUMBER(IF('Replacement plan'!$AH$62="",'Operating costs'!$B$7,'Replacement plan'!$AH$62)),IF('Replacement plan'!$AH$62="",'Operating costs'!$B$7,'Replacement plan'!$AH$62)&gt;=0,'Operating costs'!$B$8&gt;MAX(IF('Replacement plan'!$AG$62="",'Operating costs'!$B$7,'Replacement plan'!$AG$62),IF('Replacement plan'!$AH$62="",'Operating costs'!$B$7,'Replacement plan'!$AH$62))*'Operating costs'!$B$9),IF(AND(VLOOKUP($A227,'Fleet register'!$A$7:$S$106,10,FALSE)&gt;=0,VLOOKUP($A227,'Fleet register'!$A$7:$S$106,10,FALSE)&lt;=120,VLOOKUP($A227,'Fleet register'!$A$7:$S$106,10,FALSE)=INT(VLOOKUP($A227,'Fleet register'!$A$7:$S$106,10,FALSE)),VLOOKUP($A227,'Fleet register'!$A$7:$S$106,15,FALSE)&gt;=0,VLOOKUP($A227,'Fleet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costs'!$B$67)&gt;=0,OR(D227&lt;&gt;"EV",E227=120,AND(MIN('Operating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27" s="1" t="str">
        <f>IF(C227=0,"Excluded",IF(P227&lt;&gt;"Complete",P227,IF(OR('Replacement plan'!$AD$62&lt;120-E227,AND(D227="EV",E227&lt;120,OR('Replacement plan'!$AC$62&lt;120-E227,'Replacement plan'!$I$62="No",AND(ISNUMBER(AF227),AE227&gt;AF227),AI227&gt;V227*(1-'Operating costs'!$B$46)^MAX(0,AB227-1)*(1-'Operating costs'!$B$45),AC227&gt;'Operating costs'!$B$18,AND(T227&lt;1,OR(AG227&lt;=0,AND(ISNUMBER(AH227),AG227&gt;AH227))),'Replacement plan'!$L$62&gt;INDEX(Products!$H$7:$H$13,MATCH('Replacement plan'!$B$62,Products!$A$7:$A$13,0))))),"Fails entered limits",IF(AND(D227="EV",E227&lt;120,OR(NOT(ISNUMBER(VLOOKUP($A227,'Fleet register'!$A$7:$S$106,7,FALSE))),NOT(ISNUMBER(VLOOKUP($A227,'Fleet register'!$A$7:$S$106,8,FALSE))),NOT(ISNUMBER(AF227)),'Replacement plan'!$I$62&lt;&gt;"Yes",NOT(ISNUMBER(AH227)),'Operating costs'!$B$59&lt;&gt;"Yes",'Operating costs'!$B$58&lt;&gt;"Yes")),"Unverified","Within entered limits"))))</f>
        <v>Excluded</v>
      </c>
      <c r="R227" s="1">
        <f>IF(C227=0,0,VLOOKUP($A227,'Fleet register'!$A$7:$S$106,6,FALSE))</f>
        <v>0</v>
      </c>
      <c r="S227" s="1">
        <f>IF(C227=0,0,VLOOKUP($A227,'Fleet register'!$A$7:$S$106,5,FALSE))</f>
        <v>0</v>
      </c>
      <c r="T227" s="1">
        <f>IF(D227="EV",'Energy and charging'!$B$12,0)</f>
        <v>0</v>
      </c>
      <c r="U227" s="1">
        <f>IFERROR(IF(C227=0,0,IF(D227="EV",IF('Replacement plan'!$F$62="",INDEX(Products!$E$7:$E$13,MATCH('Replacement plan'!$B$62,Products!$A$7:$A$13,0)),'Replacement plan'!$F$62)/IF('Replacement plan'!$G$62="Battery",1-'Operating costs'!$B$44,1),0)),"n.a.")</f>
        <v>0</v>
      </c>
      <c r="V227" s="1">
        <f>IFERROR(IF(C227=0,0,IF(D227="EV",IF('Replacement plan'!$E$62="",INDEX(Products!$D$7:$D$13,MATCH('Replacement plan'!$B$62,Products!$A$7:$A$13,0)),'Replacement plan'!$E$62),0)),"n.a.")</f>
        <v>0</v>
      </c>
      <c r="W227" s="1">
        <f>IF(C227=0,0,IF(AND(P227="Complete",D227="EV",E227&lt;120),IF(T227=0,0,ROUNDUP(T227*(R227-'Operating costs'!$B$41)*(S227*U227+'Operating costs'!$B$48/(1-'Operating costs'!$B$44))/(V227*'Operating costs'!$B$47/(1-'Operating costs'!$B$44)-T227*'Operating costs'!$B$12*U227),0)),0))</f>
        <v>0</v>
      </c>
      <c r="X227" s="1">
        <f>IF(C227=0,0,IF(AND(P227="Complete",D227="EV",E227&lt;120),(R227-'Operating costs'!$B$41)*(S227*U227+'Operating costs'!$B$48/(1-'Operating costs'!$B$44))+W227*'Operating costs'!$B$12*U227,0))</f>
        <v>0</v>
      </c>
      <c r="Y227" s="1">
        <f>IF(AND(C227=1,D227="EV",E227&lt;120),AI227/(1-'Operating costs'!$B$44)*(1-T227),0)</f>
        <v>0</v>
      </c>
      <c r="Z227" s="1">
        <f t="shared" si="6"/>
        <v>0</v>
      </c>
      <c r="AA227" s="1">
        <f>IF(C227=0,0,IF(P227="Complete",((S227*(R227-'Operating costs'!$B$40))+ROUNDUP(S227*(R227-'Operating costs'!$B$40)*IF('Replacement plan'!$AH$62="",'Operating costs'!$B$7,'Replacement plan'!$AH$62)/('Operating costs'!$B$8-'Operating costs'!$B$9*IF('Replacement plan'!$AH$62="",'Operating costs'!$B$7,'Replacement plan'!$AH$62)),0)*'Operating costs'!$B$9)*IF('Replacement plan'!$AH$62="",'Operating costs'!$B$7,'Replacement plan'!$AH$62),"n.a."))</f>
        <v>0</v>
      </c>
      <c r="AB227" s="1">
        <f t="shared" si="7"/>
        <v>0</v>
      </c>
      <c r="AC227" s="1">
        <f>IF(AND(C227=1,D227="EV",E227&lt;120,T227&gt;0),'Operating costs'!$B$12/'Operating costs'!$B$11*60+'Operating costs'!$B$13+'Operating costs'!$B$14+V227*'Operating costs'!$B$47/(1-'Operating costs'!$B$44)/'Replacement plan'!$L$62*60,0)</f>
        <v>0</v>
      </c>
      <c r="AD227" s="1" t="str">
        <f>'Replacement plan'!$B$62</f>
        <v>ChengLong L2EV</v>
      </c>
      <c r="AE227" s="1">
        <f>IF(C227=0,0,VLOOKUP($A227,'Fleet register'!$A$7:$S$106,8,FALSE))</f>
        <v>0</v>
      </c>
      <c r="AF227" s="1" t="str">
        <f>IF('Replacement plan'!$H$62="","n.a.",'Replacement plan'!$H$62)</f>
        <v>n.a.</v>
      </c>
      <c r="AG227" s="1">
        <f>'Replacement plan'!$J$62</f>
        <v>22</v>
      </c>
      <c r="AH227" s="1">
        <f>IFERROR(IF(D227="EV",IF('Replacement plan'!$K$62="AC",IF(ISNUMBER(INDEX(Products!$G$7:$G$13,MATCH('Replacement plan'!$B$62,Products!$A$7:$A$13,0))),INDEX(Products!$G$7:$G$13,MATCH('Replacement plan'!$B$62,Products!$A$7:$A$13,0)),"n.a."),IF(ISNUMBER(INDEX(Products!$H$7:$H$13,MATCH('Replacement plan'!$B$62,Products!$A$7:$A$13,0))),INDEX(Products!$H$7:$H$13,MATCH('Replacement plan'!$B$62,Products!$A$7:$A$13,0)),"n.a.")),0),"n.a.")</f>
        <v>0</v>
      </c>
      <c r="AI227" s="1">
        <f>IF(AND(C227=1,D227="EV",E227&lt;120),(VLOOKUP($A227,'Fleet register'!$A$7:$S$106,7,FALSE)+IF(T227&gt;0,'Operating costs'!$B$12,0))*U227*(1-'Operating costs'!$B$44)+'Operating costs'!$B$49,0)</f>
        <v>0</v>
      </c>
      <c r="AJ227" s="1">
        <f>IF(D227="EV",'Energy and charging'!$B$50,0)</f>
        <v>0</v>
      </c>
      <c r="AK227" s="17">
        <f>EDATE('Operating costs'!$B$63,E227)</f>
        <v>46298</v>
      </c>
      <c r="AL227" s="1">
        <f>IFERROR(IF(D227="EV",INDEX(Products!$B$7:$B$13,MATCH('Replacement plan'!$B$62,Products!$A$7:$A$13,0)),0),"n.a.")</f>
        <v>0</v>
      </c>
      <c r="AM227" s="1" t="str">
        <f>'Replacement plan'!$K$62</f>
        <v>DC</v>
      </c>
      <c r="AN227" s="1" t="str">
        <f>'Replacement plan'!$AE$62</f>
        <v>Assumed</v>
      </c>
      <c r="AO227" s="47">
        <f>IF(AND(C227=1,D227="EV",E227&lt;120),(R227-'Operating costs'!$B$41)*S227+W227*'Operating costs'!$B$12,0)</f>
        <v>0</v>
      </c>
      <c r="AP227" s="41">
        <f>IF(AND(C227=1,D227="EV",E227&lt;120),IF('Operating costs'!$B$68="Hong Seh 200k average",AO227*IFERROR(INDEX(Products!$P$7:$P$13,MATCH(AD227,Products!$A$7:$A$13,0)),"n.a."),'Operating costs'!$B$26),0)</f>
        <v>0</v>
      </c>
      <c r="AQ227" s="40" t="str">
        <f>IF(D227="EV",'Operating costs'!$B$68,"Not applicable")</f>
        <v>Not applicable</v>
      </c>
    </row>
    <row r="228" spans="1:43" ht="24" customHeight="1">
      <c r="A228" s="1" t="str">
        <f>'Replacement plan'!A62</f>
        <v>T056</v>
      </c>
      <c r="B228" s="1">
        <v>1</v>
      </c>
      <c r="C228" s="1">
        <f>IF(COUNTIFS('Fleet register'!$A$7:$A$106,$A228)=1,VLOOKUP($A228,'Fleet register'!$A$7:$S$106,2,FALSE),0)</f>
        <v>0</v>
      </c>
      <c r="D228" s="1" t="str">
        <f>IF("New ICE"="EV","EV","ICE")</f>
        <v>ICE</v>
      </c>
      <c r="E228" s="1">
        <f>IF(C228=0,0,0)</f>
        <v>0</v>
      </c>
      <c r="F228" s="16">
        <f>IF(C228=0,0,VLOOKUP($A228,'Fleet register'!$A$7:$S$106,11,FALSE))</f>
        <v>0</v>
      </c>
      <c r="G228" s="16">
        <f>IFERROR(IF(C228=0,0,IF(E228=120,0,IF(D228="ICE",'Replacement plan'!$C$62,IF('Replacement plan'!$D$62="",INDEX(Products!$I$7:$I$13,MATCH('Replacement plan'!$B$62,Products!$A$7:$A$13,0))+'Operating costs'!$B$57,'Replacement plan'!$D$62))*(1+'Operating costs'!$B$50)^(E228/12))),"n.a.")</f>
        <v>0</v>
      </c>
      <c r="H228" s="16">
        <f>IFERROR(IF(C228=0,0,IF(E228=0,F228,VLOOKUP($A228,'Fleet register'!$A$7:$S$106,12,FALSE)+VLOOKUP($A228,'Fleet register'!$A$7:$S$106,13,FALSE)*MAX(0,VLOOKUP($A228,'Fleet register'!$A$7:$S$106,10,FALSE)-E228)/VLOOKUP($A228,'Fleet register'!$A$7:$S$106,14,FALSE))),"n.a.")</f>
        <v>0</v>
      </c>
      <c r="I228" s="16">
        <f>IF(C228=0,0,IF(E228=120,0,IF('Replacement plan'!$AI$62="",'Operating costs'!$B$56,'Replacement plan'!$AI$62)))</f>
        <v>0</v>
      </c>
      <c r="J228" s="16">
        <f>IF(C228=0,0,IF(P228="Complete",((S228*(R228-'Operating costs'!$B$39))+ROUNDUP(S228*(R228-'Operating costs'!$B$39)*IF('Replacement plan'!$AG$62="",'Operating costs'!$B$7,'Replacement plan'!$AG$62)/('Operating costs'!$B$8-'Operating costs'!$B$9*IF('Replacement plan'!$AG$62="",'Operating costs'!$B$7,'Replacement plan'!$AG$62)),0)*'Operating costs'!$B$9)*IF('Replacement plan'!$AG$62="",'Operating costs'!$B$7,'Replacement plan'!$AG$62)*('Energy and charging'!$B$9*'Energy and charging'!$B$7+(1-'Energy and charging'!$B$9)*'Energy and charging'!$B$8)*'Operating costs'!$B$23,"n.a."))</f>
        <v>0</v>
      </c>
      <c r="K228" s="16">
        <f>IF(C228=0,0,IF(P228="Complete",SUM('Operating costs'!$B$24,'Operating costs'!$B$27,'Operating costs'!$B$29,'Operating costs'!$B$31,'Operating costs'!$B$33,'Operating costs'!$B$34,'Operating costs'!$B$37,'Replacement plan'!$W$62)+'Operating costs'!$B$39*'Operating costs'!$B$42+ROUNDUP(S228*(R228-'Operating costs'!$B$39)*IF('Replacement plan'!$AG$62="",'Operating costs'!$B$7,'Replacement plan'!$AG$62)/('Operating costs'!$B$8-'Operating costs'!$B$9*IF('Replacement plan'!$AG$62="",'Operating costs'!$B$7,'Replacement plan'!$AG$62)),0)*('Operating costs'!$B$9/'Operating costs'!$B$11+'Operating costs'!$B$10/60)*'Operating costs'!$B$19*'Operating costs'!$B$21,"n.a."))</f>
        <v>0</v>
      </c>
      <c r="L228" s="16">
        <f>IF(C228=0,0,IF(P228="Complete",IF(D228="EV",X228*((1-T228)*'Energy and charging'!$B$10+T228*'Energy and charging'!$B$11)*'Operating costs'!$B$22,AA228*('Energy and charging'!$B$9*'Energy and charging'!$B$7+(1-'Energy and charging'!$B$9)*'Energy and charging'!$B$8)*'Operating costs'!$B$23),"n.a."))</f>
        <v>0</v>
      </c>
      <c r="M228" s="37">
        <f>IF(C228=0,0,IF(P228="Complete",IF(D228="ICE",SUM('Operating costs'!$B$25,'Operating costs'!$B$27,'Operating costs'!$B$29,'Operating costs'!$B$31,'Operating costs'!$B$33,'Operating costs'!$B$35,'Operating costs'!$B$37,'Replacement plan'!$X$62)+'Operating costs'!$B$40*'Operating costs'!$B$42+ROUNDUP(S228*(R228-'Operating costs'!$B$40)*IF('Replacement plan'!$AH$62="",'Operating costs'!$B$7,'Replacement plan'!$AH$62)/('Operating costs'!$B$8-'Operating costs'!$B$9*IF('Replacement plan'!$AH$62="",'Operating costs'!$B$7,'Replacement plan'!$AH$62)),0)*('Operating costs'!$B$9/'Operating costs'!$B$11+'Operating costs'!$B$10/60)*'Operating costs'!$B$19*'Operating costs'!$B$21,SUM(AP228,'Operating costs'!$B$28,'Operating costs'!$B$30,'Operating costs'!$B$32,'Operating costs'!$B$33,'Operating costs'!$B$36,'Operating costs'!$B$38,'Replacement plan'!$Y$62)+'Operating costs'!$B$41*'Operating costs'!$B$43+W228*'Operating costs'!$B$15+(T228*X228/'Replacement plan'!$L$62+W228*('Operating costs'!$B$12/'Operating costs'!$B$11+('Operating costs'!$B$13+'Operating costs'!$B$14)/60)+(R228-'Operating costs'!$B$41)*(IF(T228&lt;1,'Operating costs'!$B$16,0)+'Operating costs'!$B$17)/60)*'Operating costs'!$B$19*'Operating costs'!$B$20),"n.a."))</f>
        <v>0</v>
      </c>
      <c r="N228" s="16">
        <f>IF(AND(C228=1,D228="EV",E228&lt;120,E228+'Replacement plan'!$AA$62&lt;=120),'Replacement plan'!$Z$62,0)</f>
        <v>0</v>
      </c>
      <c r="O228" s="1">
        <f>E228+'Replacement plan'!$AA$62</f>
        <v>0</v>
      </c>
      <c r="P228" s="35" t="str">
        <f>IFERROR(IF(C228=0,"Excluded",IF(OR(COUNTIFS('Fleet register'!$A$7:$A$106,A228)&lt;&gt;1,COUNTIFS('Replacement plan'!$A$7:$A$106,A228)&lt;&gt;1),"Duplicate/missing ID",IF(NOT(AND(ISNUMBER(VLOOKUP($A228,'Fleet register'!$A$7:$S$106,5,FALSE)),ISNUMBER(VLOOKUP($A228,'Fleet register'!$A$7:$S$106,6,FALSE)),ISNUMBER(VLOOKUP($A228,'Fleet register'!$A$7:$S$106,10,FALSE)),ISNUMBER(VLOOKUP($A228,'Fleet register'!$A$7:$S$106,11,FALSE)),ISNUMBER(VLOOKUP($A228,'Fleet register'!$A$7:$S$106,12,FALSE)),ISNUMBER(VLOOKUP($A228,'Fleet register'!$A$7:$S$106,13,FALSE)),ISNUMBER(VLOOKUP($A228,'Fleet register'!$A$7:$S$106,14,FALSE)),VLOOKUP($A228,'Fleet register'!$A$7:$S$106,14,FALSE)&gt;0,ISNUMBER('Replacement plan'!$C$62),OR(E228=120,OR(ISNUMBER('Replacement plan'!$AI$62),AND('Replacement plan'!$AI$62="",ISNUMBER('Operating costs'!$B$56)))),ISNUMBER(E228))),"Missing vehicle input",IF(OR(E228&lt;0,E228&gt;VLOOKUP($A228,'Fleet register'!$A$7:$S$106,10,FALSE),E228&gt;120,E228&lt;&gt;INT(E228),VLOOKUP($A228,'Fleet register'!$A$7:$S$106,6,FALSE)&lt;=0,VLOOKUP($A228,'Fleet register'!$A$7:$S$106,6,FALSE)&gt;366,VLOOKUP($A228,'Fleet register'!$A$7:$S$106,5,FALSE)&lt;0,VLOOKUP($A228,'Fleet register'!$A$7:$S$106,11,FALSE)&lt;0,I228&lt;0,'Operating costs'!$B$8&lt;='Operating costs'!$B$7*'Operating costs'!$B$9,'Operating costs'!$B$11&lt;=0,'Operating costs'!$B$39&gt;R228,'Operating costs'!$B$40&gt;R228,'Operating costs'!$B$41&gt;R228,NOT(OR("New ICE"="Keep ICE","New ICE"="New ICE","New ICE"="EV"))),"Invalid vehicle input",IF(AND(D228="EV",E228&lt;120,OR(NOT(ISNUMBER(U228)),NOT(ISNUMBER(V228)),V228&lt;=0,T228&lt;0,T228&gt;1,'Replacement plan'!$L$62&lt;=0,'Operating costs'!$B$44&lt;0,'Operating costs'!$B$44&gt;=1,'Operating costs'!$B$47&lt;=0,'Operating costs'!$B$47&gt;1,V228*'Operating costs'!$B$47/(1-'Operating costs'!$B$44)&lt;=T228*'Operating costs'!$B$12*U228,AND('Replacement plan'!$Z$62&gt;0,OR('Replacement plan'!$AB$62&lt;&gt;"Yes",'Operating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charging'!$B$8&gt;=0))),ISNUMBER(VLOOKUP($A228,'Fleet register'!$A$7:$S$106,15,FALSE)),ISNUMBER(VLOOKUP($A228,'Fleet register'!$A$7:$S$106,16,FALSE)),ISNUMBER('Replacement plan'!$W$62),ISNUMBER('Replacement plan'!$X$62),OR(E228=120,AND(ISNUMBER(G228),G228&gt;=0)),ISNUMBER(H228),H228&gt;=0,OR(D228&lt;&gt;"EV",E228=120,AND(ISNUMBER('Operating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average",ISNUMBER(IFERROR(INDEX(Products!$P$7:$P$13,MATCH(AD228,Products!$A$7:$A$13,0)),"")))),ISNUMBER('Operating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plan'!$Y$62),ISNUMBER('Replacement plan'!$Z$62),'Replacement plan'!$Z$62&gt;=0,ISNUMBER('Replacement plan'!$AA$62),'Replacement plan'!$AA$62&gt;=0,'Replacement plan'!$AA$62=INT('Replacement plan'!$AA$62),ISNUMBER('Replacement plan'!$L$62))),'Operating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plan'!$AG$62="",'Operating costs'!$B$7,'Replacement plan'!$AG$62)),IF('Replacement plan'!$AG$62="",'Operating costs'!$B$7,'Replacement plan'!$AG$62)&gt;=0,ISNUMBER(IF('Replacement plan'!$AH$62="",'Operating costs'!$B$7,'Replacement plan'!$AH$62)),IF('Replacement plan'!$AH$62="",'Operating costs'!$B$7,'Replacement plan'!$AH$62)&gt;=0,'Operating costs'!$B$8&gt;MAX(IF('Replacement plan'!$AG$62="",'Operating costs'!$B$7,'Replacement plan'!$AG$62),IF('Replacement plan'!$AH$62="",'Operating costs'!$B$7,'Replacement plan'!$AH$62))*'Operating costs'!$B$9),IF(AND(VLOOKUP($A228,'Fleet register'!$A$7:$S$106,10,FALSE)&gt;=0,VLOOKUP($A228,'Fleet register'!$A$7:$S$106,10,FALSE)&lt;=120,VLOOKUP($A228,'Fleet register'!$A$7:$S$106,10,FALSE)=INT(VLOOKUP($A228,'Fleet register'!$A$7:$S$106,10,FALSE)),VLOOKUP($A228,'Fleet register'!$A$7:$S$106,15,FALSE)&gt;=0,VLOOKUP($A228,'Fleet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costs'!$B$67)&gt;=0,OR(D228&lt;&gt;"EV",E228=120,AND(MIN('Operating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28" s="1" t="str">
        <f>IF(C228=0,"Excluded",IF(P228&lt;&gt;"Complete",P228,IF(OR('Replacement plan'!$AD$62&lt;120-E228,AND(D228="EV",E228&lt;120,OR('Replacement plan'!$AC$62&lt;120-E228,'Replacement plan'!$I$62="No",AND(ISNUMBER(AF228),AE228&gt;AF228),AI228&gt;V228*(1-'Operating costs'!$B$46)^MAX(0,AB228-1)*(1-'Operating costs'!$B$45),AC228&gt;'Operating costs'!$B$18,AND(T228&lt;1,OR(AG228&lt;=0,AND(ISNUMBER(AH228),AG228&gt;AH228))),'Replacement plan'!$L$62&gt;INDEX(Products!$H$7:$H$13,MATCH('Replacement plan'!$B$62,Products!$A$7:$A$13,0))))),"Fails entered limits",IF(AND(D228="EV",E228&lt;120,OR(NOT(ISNUMBER(VLOOKUP($A228,'Fleet register'!$A$7:$S$106,7,FALSE))),NOT(ISNUMBER(VLOOKUP($A228,'Fleet register'!$A$7:$S$106,8,FALSE))),NOT(ISNUMBER(AF228)),'Replacement plan'!$I$62&lt;&gt;"Yes",NOT(ISNUMBER(AH228)),'Operating costs'!$B$59&lt;&gt;"Yes",'Operating costs'!$B$58&lt;&gt;"Yes")),"Unverified","Within entered limits"))))</f>
        <v>Excluded</v>
      </c>
      <c r="R228" s="1">
        <f>IF(C228=0,0,VLOOKUP($A228,'Fleet register'!$A$7:$S$106,6,FALSE))</f>
        <v>0</v>
      </c>
      <c r="S228" s="1">
        <f>IF(C228=0,0,VLOOKUP($A228,'Fleet register'!$A$7:$S$106,5,FALSE))</f>
        <v>0</v>
      </c>
      <c r="T228" s="1">
        <f>IF(D228="EV",'Energy and charging'!$B$12,0)</f>
        <v>0</v>
      </c>
      <c r="U228" s="1">
        <f>IFERROR(IF(C228=0,0,IF(D228="EV",IF('Replacement plan'!$F$62="",INDEX(Products!$E$7:$E$13,MATCH('Replacement plan'!$B$62,Products!$A$7:$A$13,0)),'Replacement plan'!$F$62)/IF('Replacement plan'!$G$62="Battery",1-'Operating costs'!$B$44,1),0)),"n.a.")</f>
        <v>0</v>
      </c>
      <c r="V228" s="1">
        <f>IFERROR(IF(C228=0,0,IF(D228="EV",IF('Replacement plan'!$E$62="",INDEX(Products!$D$7:$D$13,MATCH('Replacement plan'!$B$62,Products!$A$7:$A$13,0)),'Replacement plan'!$E$62),0)),"n.a.")</f>
        <v>0</v>
      </c>
      <c r="W228" s="1">
        <f>IF(C228=0,0,IF(AND(P228="Complete",D228="EV",E228&lt;120),IF(T228=0,0,ROUNDUP(T228*(R228-'Operating costs'!$B$41)*(S228*U228+'Operating costs'!$B$48/(1-'Operating costs'!$B$44))/(V228*'Operating costs'!$B$47/(1-'Operating costs'!$B$44)-T228*'Operating costs'!$B$12*U228),0)),0))</f>
        <v>0</v>
      </c>
      <c r="X228" s="1">
        <f>IF(C228=0,0,IF(AND(P228="Complete",D228="EV",E228&lt;120),(R228-'Operating costs'!$B$41)*(S228*U228+'Operating costs'!$B$48/(1-'Operating costs'!$B$44))+W228*'Operating costs'!$B$12*U228,0))</f>
        <v>0</v>
      </c>
      <c r="Y228" s="1">
        <f>IF(AND(C228=1,D228="EV",E228&lt;120),AI228/(1-'Operating costs'!$B$44)*(1-T228),0)</f>
        <v>0</v>
      </c>
      <c r="Z228" s="1">
        <f t="shared" si="6"/>
        <v>0</v>
      </c>
      <c r="AA228" s="1">
        <f>IF(C228=0,0,IF(P228="Complete",((S228*(R228-'Operating costs'!$B$40))+ROUNDUP(S228*(R228-'Operating costs'!$B$40)*IF('Replacement plan'!$AH$62="",'Operating costs'!$B$7,'Replacement plan'!$AH$62)/('Operating costs'!$B$8-'Operating costs'!$B$9*IF('Replacement plan'!$AH$62="",'Operating costs'!$B$7,'Replacement plan'!$AH$62)),0)*'Operating costs'!$B$9)*IF('Replacement plan'!$AH$62="",'Operating costs'!$B$7,'Replacement plan'!$AH$62),"n.a."))</f>
        <v>0</v>
      </c>
      <c r="AB228" s="1">
        <f t="shared" si="7"/>
        <v>0</v>
      </c>
      <c r="AC228" s="1">
        <f>IF(AND(C228=1,D228="EV",E228&lt;120,T228&gt;0),'Operating costs'!$B$12/'Operating costs'!$B$11*60+'Operating costs'!$B$13+'Operating costs'!$B$14+V228*'Operating costs'!$B$47/(1-'Operating costs'!$B$44)/'Replacement plan'!$L$62*60,0)</f>
        <v>0</v>
      </c>
      <c r="AD228" s="1" t="str">
        <f>'Replacement plan'!$B$62</f>
        <v>ChengLong L2EV</v>
      </c>
      <c r="AE228" s="1">
        <f>IF(C228=0,0,VLOOKUP($A228,'Fleet register'!$A$7:$S$106,8,FALSE))</f>
        <v>0</v>
      </c>
      <c r="AF228" s="1" t="str">
        <f>IF('Replacement plan'!$H$62="","n.a.",'Replacement plan'!$H$62)</f>
        <v>n.a.</v>
      </c>
      <c r="AG228" s="1">
        <f>'Replacement plan'!$J$62</f>
        <v>22</v>
      </c>
      <c r="AH228" s="1">
        <f>IFERROR(IF(D228="EV",IF('Replacement plan'!$K$62="AC",IF(ISNUMBER(INDEX(Products!$G$7:$G$13,MATCH('Replacement plan'!$B$62,Products!$A$7:$A$13,0))),INDEX(Products!$G$7:$G$13,MATCH('Replacement plan'!$B$62,Products!$A$7:$A$13,0)),"n.a."),IF(ISNUMBER(INDEX(Products!$H$7:$H$13,MATCH('Replacement plan'!$B$62,Products!$A$7:$A$13,0))),INDEX(Products!$H$7:$H$13,MATCH('Replacement plan'!$B$62,Products!$A$7:$A$13,0)),"n.a.")),0),"n.a.")</f>
        <v>0</v>
      </c>
      <c r="AI228" s="1">
        <f>IF(AND(C228=1,D228="EV",E228&lt;120),(VLOOKUP($A228,'Fleet register'!$A$7:$S$106,7,FALSE)+IF(T228&gt;0,'Operating costs'!$B$12,0))*U228*(1-'Operating costs'!$B$44)+'Operating costs'!$B$49,0)</f>
        <v>0</v>
      </c>
      <c r="AJ228" s="1">
        <f>IF(D228="EV",'Energy and charging'!$B$50,0)</f>
        <v>0</v>
      </c>
      <c r="AK228" s="17">
        <f>EDATE('Operating costs'!$B$63,E228)</f>
        <v>46298</v>
      </c>
      <c r="AL228" s="1">
        <f>IFERROR(IF(D228="EV",INDEX(Products!$B$7:$B$13,MATCH('Replacement plan'!$B$62,Products!$A$7:$A$13,0)),0),"n.a.")</f>
        <v>0</v>
      </c>
      <c r="AM228" s="1" t="str">
        <f>'Replacement plan'!$K$62</f>
        <v>DC</v>
      </c>
      <c r="AN228" s="1" t="str">
        <f>'Replacement plan'!$AE$62</f>
        <v>Assumed</v>
      </c>
      <c r="AO228" s="47">
        <f>IF(AND(C228=1,D228="EV",E228&lt;120),(R228-'Operating costs'!$B$41)*S228+W228*'Operating costs'!$B$12,0)</f>
        <v>0</v>
      </c>
      <c r="AP228" s="41">
        <f>IF(AND(C228=1,D228="EV",E228&lt;120),IF('Operating costs'!$B$68="Hong Seh 200k average",AO228*IFERROR(INDEX(Products!$P$7:$P$13,MATCH(AD228,Products!$A$7:$A$13,0)),"n.a."),'Operating costs'!$B$26),0)</f>
        <v>0</v>
      </c>
      <c r="AQ228" s="40" t="str">
        <f>IF(D228="EV",'Operating costs'!$B$68,"Not applicable")</f>
        <v>Not applicable</v>
      </c>
    </row>
    <row r="229" spans="1:43" ht="24" customHeight="1">
      <c r="A229" s="1" t="str">
        <f>'Replacement plan'!A62</f>
        <v>T056</v>
      </c>
      <c r="B229" s="1">
        <v>2</v>
      </c>
      <c r="C229" s="1">
        <f>IF(COUNTIFS('Fleet register'!$A$7:$A$106,$A229)=1,VLOOKUP($A229,'Fleet register'!$A$7:$S$106,2,FALSE),0)</f>
        <v>0</v>
      </c>
      <c r="D229" s="1" t="str">
        <f>IF('Replacement plan'!$O$62="EV","EV","ICE")</f>
        <v>ICE</v>
      </c>
      <c r="E229" s="1">
        <f>IF(C229=0,0,IF('Replacement plan'!$P$62="",IF('Replacement plan'!$O$62="Keep ICE",IF('Replacement plan'!$M$62="",VLOOKUP($A229,'Fleet register'!$A$7:$S$106,10,FALSE),'Replacement plan'!$M$62),0),'Replacement plan'!$P$62))</f>
        <v>0</v>
      </c>
      <c r="F229" s="16">
        <f>IF(C229=0,0,VLOOKUP($A229,'Fleet register'!$A$7:$S$106,11,FALSE))</f>
        <v>0</v>
      </c>
      <c r="G229" s="16">
        <f>IFERROR(IF(C229=0,0,IF(E229=120,0,IF(D229="ICE",'Replacement plan'!$C$62,IF('Replacement plan'!$D$62="",INDEX(Products!$I$7:$I$13,MATCH('Replacement plan'!$B$62,Products!$A$7:$A$13,0))+'Operating costs'!$B$57,'Replacement plan'!$D$62))*(1+'Operating costs'!$B$50)^(E229/12))),"n.a.")</f>
        <v>0</v>
      </c>
      <c r="H229" s="16">
        <f>IFERROR(IF(C229=0,0,IF('Replacement plan'!$U$62&lt;&gt;"",'Replacement plan'!$U$62,IF(E229=0,F229,VLOOKUP($A229,'Fleet register'!$A$7:$S$106,12,FALSE)+VLOOKUP($A229,'Fleet register'!$A$7:$S$106,13,FALSE)*MAX(0,VLOOKUP($A229,'Fleet register'!$A$7:$S$106,10,FALSE)-E229)/VLOOKUP($A229,'Fleet register'!$A$7:$S$106,14,FALSE)))),"n.a.")</f>
        <v>0</v>
      </c>
      <c r="I229" s="16">
        <f>IF(C229=0,0,IF(E229=120,0,'Replacement plan'!$Q$62))</f>
        <v>0</v>
      </c>
      <c r="J229" s="16">
        <f>IF(C229=0,0,IF(P229="Complete",((S229*(R229-'Operating costs'!$B$39))+ROUNDUP(S229*(R229-'Operating costs'!$B$39)*IF('Replacement plan'!$AG$62="",'Operating costs'!$B$7,'Replacement plan'!$AG$62)/('Operating costs'!$B$8-'Operating costs'!$B$9*IF('Replacement plan'!$AG$62="",'Operating costs'!$B$7,'Replacement plan'!$AG$62)),0)*'Operating costs'!$B$9)*IF('Replacement plan'!$AG$62="",'Operating costs'!$B$7,'Replacement plan'!$AG$62)*('Energy and charging'!$B$9*'Energy and charging'!$B$7+(1-'Energy and charging'!$B$9)*'Energy and charging'!$B$8)*'Operating costs'!$B$23,"n.a."))</f>
        <v>0</v>
      </c>
      <c r="K229" s="16">
        <f>IF(C229=0,0,IF(P229="Complete",SUM('Operating costs'!$B$24,'Operating costs'!$B$27,'Operating costs'!$B$29,'Operating costs'!$B$31,'Operating costs'!$B$33,'Operating costs'!$B$34,'Operating costs'!$B$37,'Replacement plan'!$W$62)+'Operating costs'!$B$39*'Operating costs'!$B$42+ROUNDUP(S229*(R229-'Operating costs'!$B$39)*IF('Replacement plan'!$AG$62="",'Operating costs'!$B$7,'Replacement plan'!$AG$62)/('Operating costs'!$B$8-'Operating costs'!$B$9*IF('Replacement plan'!$AG$62="",'Operating costs'!$B$7,'Replacement plan'!$AG$62)),0)*('Operating costs'!$B$9/'Operating costs'!$B$11+'Operating costs'!$B$10/60)*'Operating costs'!$B$19*'Operating costs'!$B$21,"n.a."))</f>
        <v>0</v>
      </c>
      <c r="L229" s="16">
        <f>IF(C229=0,0,IF(P229="Complete",IF(D229="EV",X229*((1-T229)*'Energy and charging'!$B$10+T229*'Energy and charging'!$B$11)*'Operating costs'!$B$22,AA229*('Energy and charging'!$B$9*'Energy and charging'!$B$7+(1-'Energy and charging'!$B$9)*'Energy and charging'!$B$8)*'Operating costs'!$B$23),"n.a."))</f>
        <v>0</v>
      </c>
      <c r="M229" s="37">
        <f>IF(C229=0,0,IF(P229="Complete",IF(D229="ICE",SUM('Operating costs'!$B$25,'Operating costs'!$B$27,'Operating costs'!$B$29,'Operating costs'!$B$31,'Operating costs'!$B$33,'Operating costs'!$B$35,'Operating costs'!$B$37,'Replacement plan'!$X$62)+'Operating costs'!$B$40*'Operating costs'!$B$42+ROUNDUP(S229*(R229-'Operating costs'!$B$40)*IF('Replacement plan'!$AH$62="",'Operating costs'!$B$7,'Replacement plan'!$AH$62)/('Operating costs'!$B$8-'Operating costs'!$B$9*IF('Replacement plan'!$AH$62="",'Operating costs'!$B$7,'Replacement plan'!$AH$62)),0)*('Operating costs'!$B$9/'Operating costs'!$B$11+'Operating costs'!$B$10/60)*'Operating costs'!$B$19*'Operating costs'!$B$21,SUM(AP229,'Operating costs'!$B$28,'Operating costs'!$B$30,'Operating costs'!$B$32,'Operating costs'!$B$33,'Operating costs'!$B$36,'Operating costs'!$B$38,'Replacement plan'!$Y$62)+'Operating costs'!$B$41*'Operating costs'!$B$43+W229*'Operating costs'!$B$15+(T229*X229/'Replacement plan'!$L$62+W229*('Operating costs'!$B$12/'Operating costs'!$B$11+('Operating costs'!$B$13+'Operating costs'!$B$14)/60)+(R229-'Operating costs'!$B$41)*(IF(T229&lt;1,'Operating costs'!$B$16,0)+'Operating costs'!$B$17)/60)*'Operating costs'!$B$19*'Operating costs'!$B$20),"n.a."))</f>
        <v>0</v>
      </c>
      <c r="N229" s="16">
        <f>IF(AND(C229=1,D229="EV",E229&lt;120,E229+'Replacement plan'!$AA$62&lt;=120),'Replacement plan'!$Z$62,0)</f>
        <v>0</v>
      </c>
      <c r="O229" s="1">
        <f>E229+'Replacement plan'!$AA$62</f>
        <v>0</v>
      </c>
      <c r="P229" s="35" t="str">
        <f>IFERROR(IF(C229=0,"Excluded",IF(OR(COUNTIFS('Fleet register'!$A$7:$A$106,A229)&lt;&gt;1,COUNTIFS('Replacement plan'!$A$7:$A$106,A229)&lt;&gt;1),"Duplicate/missing ID",IF(NOT(AND(ISNUMBER(VLOOKUP($A229,'Fleet register'!$A$7:$S$106,5,FALSE)),ISNUMBER(VLOOKUP($A229,'Fleet register'!$A$7:$S$106,6,FALSE)),ISNUMBER(VLOOKUP($A229,'Fleet register'!$A$7:$S$106,10,FALSE)),ISNUMBER(VLOOKUP($A229,'Fleet register'!$A$7:$S$106,11,FALSE)),ISNUMBER(VLOOKUP($A229,'Fleet register'!$A$7:$S$106,12,FALSE)),ISNUMBER(VLOOKUP($A229,'Fleet register'!$A$7:$S$106,13,FALSE)),ISNUMBER(VLOOKUP($A229,'Fleet register'!$A$7:$S$106,14,FALSE)),VLOOKUP($A229,'Fleet register'!$A$7:$S$106,14,FALSE)&gt;0,ISNUMBER('Replacement plan'!$C$62),OR(E229=120,ISNUMBER('Replacement plan'!$Q$62)),ISNUMBER(E229))),"Missing vehicle input",IF(OR(E229&lt;0,E229&gt;VLOOKUP($A229,'Fleet register'!$A$7:$S$106,10,FALSE),E229&gt;120,E229&lt;&gt;INT(E229),VLOOKUP($A229,'Fleet register'!$A$7:$S$106,6,FALSE)&lt;=0,VLOOKUP($A229,'Fleet register'!$A$7:$S$106,6,FALSE)&gt;366,VLOOKUP($A229,'Fleet register'!$A$7:$S$106,5,FALSE)&lt;0,VLOOKUP($A229,'Fleet register'!$A$7:$S$106,11,FALSE)&lt;0,I229&lt;0,'Operating costs'!$B$8&lt;='Operating costs'!$B$7*'Operating costs'!$B$9,'Operating costs'!$B$11&lt;=0,'Operating costs'!$B$39&gt;R229,'Operating costs'!$B$40&gt;R229,'Operating costs'!$B$41&gt;R229,NOT(OR('Replacement plan'!$O$62="Keep ICE",'Replacement plan'!$O$62="New ICE",'Replacement plan'!$O$62="EV"))),"Invalid vehicle input",IF(AND(D229="EV",E229&lt;120,OR(NOT(ISNUMBER(U229)),NOT(ISNUMBER(V229)),V229&lt;=0,T229&lt;0,T229&gt;1,'Replacement plan'!$L$62&lt;=0,'Operating costs'!$B$44&lt;0,'Operating costs'!$B$44&gt;=1,'Operating costs'!$B$47&lt;=0,'Operating costs'!$B$47&gt;1,V229*'Operating costs'!$B$47/(1-'Operating costs'!$B$44)&lt;=T229*'Operating costs'!$B$12*U229,AND('Replacement plan'!$Z$62&gt;0,OR('Replacement plan'!$AB$62&lt;&gt;"Yes",'Operating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charging'!$B$8&gt;=0))),ISNUMBER(VLOOKUP($A229,'Fleet register'!$A$7:$S$106,15,FALSE)),ISNUMBER(VLOOKUP($A229,'Fleet register'!$A$7:$S$106,16,FALSE)),ISNUMBER('Replacement plan'!$W$62),ISNUMBER('Replacement plan'!$X$62),OR(E229=120,AND(ISNUMBER(G229),G229&gt;=0)),ISNUMBER(H229),H229&gt;=0,OR(D229&lt;&gt;"EV",E229=120,AND(ISNUMBER('Operating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average",ISNUMBER(IFERROR(INDEX(Products!$P$7:$P$13,MATCH(AD229,Products!$A$7:$A$13,0)),"")))),ISNUMBER('Operating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plan'!$Y$62),ISNUMBER('Replacement plan'!$Z$62),'Replacement plan'!$Z$62&gt;=0,ISNUMBER('Replacement plan'!$AA$62),'Replacement plan'!$AA$62&gt;=0,'Replacement plan'!$AA$62=INT('Replacement plan'!$AA$62),ISNUMBER('Replacement plan'!$L$62))),'Operating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plan'!$AG$62="",'Operating costs'!$B$7,'Replacement plan'!$AG$62)),IF('Replacement plan'!$AG$62="",'Operating costs'!$B$7,'Replacement plan'!$AG$62)&gt;=0,ISNUMBER(IF('Replacement plan'!$AH$62="",'Operating costs'!$B$7,'Replacement plan'!$AH$62)),IF('Replacement plan'!$AH$62="",'Operating costs'!$B$7,'Replacement plan'!$AH$62)&gt;=0,'Operating costs'!$B$8&gt;MAX(IF('Replacement plan'!$AG$62="",'Operating costs'!$B$7,'Replacement plan'!$AG$62),IF('Replacement plan'!$AH$62="",'Operating costs'!$B$7,'Replacement plan'!$AH$62))*'Operating costs'!$B$9),IF(AND(VLOOKUP($A229,'Fleet register'!$A$7:$S$106,10,FALSE)&gt;=0,VLOOKUP($A229,'Fleet register'!$A$7:$S$106,10,FALSE)&lt;=120,VLOOKUP($A229,'Fleet register'!$A$7:$S$106,10,FALSE)=INT(VLOOKUP($A229,'Fleet register'!$A$7:$S$106,10,FALSE)),VLOOKUP($A229,'Fleet register'!$A$7:$S$106,15,FALSE)&gt;=0,VLOOKUP($A229,'Fleet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costs'!$B$67)&gt;=0,OR(D229&lt;&gt;"EV",E229=120,AND(MIN('Operating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29" s="1" t="str">
        <f>IF(C229=0,"Excluded",IF(P229&lt;&gt;"Complete",P229,IF(OR('Replacement plan'!$AD$62&lt;120-E229,AND(D229="EV",E229&lt;120,OR('Replacement plan'!$AC$62&lt;120-E229,'Replacement plan'!$I$62="No",AND(ISNUMBER(AF229),AE229&gt;AF229),AI229&gt;V229*(1-'Operating costs'!$B$46)^MAX(0,AB229-1)*(1-'Operating costs'!$B$45),AC229&gt;'Operating costs'!$B$18,AND(T229&lt;1,OR(AG229&lt;=0,AND(ISNUMBER(AH229),AG229&gt;AH229))),'Replacement plan'!$L$62&gt;INDEX(Products!$H$7:$H$13,MATCH('Replacement plan'!$B$62,Products!$A$7:$A$13,0))))),"Fails entered limits",IF(AND(D229="EV",E229&lt;120,OR(NOT(ISNUMBER(VLOOKUP($A229,'Fleet register'!$A$7:$S$106,7,FALSE))),NOT(ISNUMBER(VLOOKUP($A229,'Fleet register'!$A$7:$S$106,8,FALSE))),NOT(ISNUMBER(AF229)),'Replacement plan'!$I$62&lt;&gt;"Yes",NOT(ISNUMBER(AH229)),'Operating costs'!$B$59&lt;&gt;"Yes",'Operating costs'!$B$58&lt;&gt;"Yes")),"Unverified","Within entered limits"))))</f>
        <v>Excluded</v>
      </c>
      <c r="R229" s="1">
        <f>IF(C229=0,0,VLOOKUP($A229,'Fleet register'!$A$7:$S$106,6,FALSE))</f>
        <v>0</v>
      </c>
      <c r="S229" s="1">
        <f>IF(C229=0,0,VLOOKUP($A229,'Fleet register'!$A$7:$S$106,5,FALSE))</f>
        <v>0</v>
      </c>
      <c r="T229" s="1">
        <f>IF(D229="EV",'Energy and charging'!$B$12,0)</f>
        <v>0</v>
      </c>
      <c r="U229" s="1">
        <f>IFERROR(IF(C229=0,0,IF(D229="EV",IF('Replacement plan'!$F$62="",INDEX(Products!$E$7:$E$13,MATCH('Replacement plan'!$B$62,Products!$A$7:$A$13,0)),'Replacement plan'!$F$62)/IF('Replacement plan'!$G$62="Battery",1-'Operating costs'!$B$44,1),0)),"n.a.")</f>
        <v>0</v>
      </c>
      <c r="V229" s="1">
        <f>IFERROR(IF(C229=0,0,IF(D229="EV",IF('Replacement plan'!$E$62="",INDEX(Products!$D$7:$D$13,MATCH('Replacement plan'!$B$62,Products!$A$7:$A$13,0)),'Replacement plan'!$E$62),0)),"n.a.")</f>
        <v>0</v>
      </c>
      <c r="W229" s="1">
        <f>IF(C229=0,0,IF(AND(P229="Complete",D229="EV",E229&lt;120),IF(T229=0,0,ROUNDUP(T229*(R229-'Operating costs'!$B$41)*(S229*U229+'Operating costs'!$B$48/(1-'Operating costs'!$B$44))/(V229*'Operating costs'!$B$47/(1-'Operating costs'!$B$44)-T229*'Operating costs'!$B$12*U229),0)),0))</f>
        <v>0</v>
      </c>
      <c r="X229" s="1">
        <f>IF(C229=0,0,IF(AND(P229="Complete",D229="EV",E229&lt;120),(R229-'Operating costs'!$B$41)*(S229*U229+'Operating costs'!$B$48/(1-'Operating costs'!$B$44))+W229*'Operating costs'!$B$12*U229,0))</f>
        <v>0</v>
      </c>
      <c r="Y229" s="1">
        <f>IF(AND(C229=1,D229="EV",E229&lt;120),AI229/(1-'Operating costs'!$B$44)*(1-T229),0)</f>
        <v>0</v>
      </c>
      <c r="Z229" s="1">
        <f t="shared" si="6"/>
        <v>0</v>
      </c>
      <c r="AA229" s="1">
        <f>IF(C229=0,0,IF(P229="Complete",((S229*(R229-'Operating costs'!$B$40))+ROUNDUP(S229*(R229-'Operating costs'!$B$40)*IF('Replacement plan'!$AH$62="",'Operating costs'!$B$7,'Replacement plan'!$AH$62)/('Operating costs'!$B$8-'Operating costs'!$B$9*IF('Replacement plan'!$AH$62="",'Operating costs'!$B$7,'Replacement plan'!$AH$62)),0)*'Operating costs'!$B$9)*IF('Replacement plan'!$AH$62="",'Operating costs'!$B$7,'Replacement plan'!$AH$62),"n.a."))</f>
        <v>0</v>
      </c>
      <c r="AB229" s="1">
        <f t="shared" si="7"/>
        <v>0</v>
      </c>
      <c r="AC229" s="1">
        <f>IF(AND(C229=1,D229="EV",E229&lt;120,T229&gt;0),'Operating costs'!$B$12/'Operating costs'!$B$11*60+'Operating costs'!$B$13+'Operating costs'!$B$14+V229*'Operating costs'!$B$47/(1-'Operating costs'!$B$44)/'Replacement plan'!$L$62*60,0)</f>
        <v>0</v>
      </c>
      <c r="AD229" s="1" t="str">
        <f>'Replacement plan'!$B$62</f>
        <v>ChengLong L2EV</v>
      </c>
      <c r="AE229" s="1">
        <f>IF(C229=0,0,VLOOKUP($A229,'Fleet register'!$A$7:$S$106,8,FALSE))</f>
        <v>0</v>
      </c>
      <c r="AF229" s="1" t="str">
        <f>IF('Replacement plan'!$H$62="","n.a.",'Replacement plan'!$H$62)</f>
        <v>n.a.</v>
      </c>
      <c r="AG229" s="1">
        <f>'Replacement plan'!$J$62</f>
        <v>22</v>
      </c>
      <c r="AH229" s="1">
        <f>IFERROR(IF(D229="EV",IF('Replacement plan'!$K$62="AC",IF(ISNUMBER(INDEX(Products!$G$7:$G$13,MATCH('Replacement plan'!$B$62,Products!$A$7:$A$13,0))),INDEX(Products!$G$7:$G$13,MATCH('Replacement plan'!$B$62,Products!$A$7:$A$13,0)),"n.a."),IF(ISNUMBER(INDEX(Products!$H$7:$H$13,MATCH('Replacement plan'!$B$62,Products!$A$7:$A$13,0))),INDEX(Products!$H$7:$H$13,MATCH('Replacement plan'!$B$62,Products!$A$7:$A$13,0)),"n.a.")),0),"n.a.")</f>
        <v>0</v>
      </c>
      <c r="AI229" s="1">
        <f>IF(AND(C229=1,D229="EV",E229&lt;120),(VLOOKUP($A229,'Fleet register'!$A$7:$S$106,7,FALSE)+IF(T229&gt;0,'Operating costs'!$B$12,0))*U229*(1-'Operating costs'!$B$44)+'Operating costs'!$B$49,0)</f>
        <v>0</v>
      </c>
      <c r="AJ229" s="1">
        <f>IF(D229="EV",'Energy and charging'!$B$50,0)</f>
        <v>0</v>
      </c>
      <c r="AK229" s="17">
        <f>EDATE('Operating costs'!$B$63,E229)</f>
        <v>46298</v>
      </c>
      <c r="AL229" s="1">
        <f>IFERROR(IF(D229="EV",INDEX(Products!$B$7:$B$13,MATCH('Replacement plan'!$B$62,Products!$A$7:$A$13,0)),0),"n.a.")</f>
        <v>0</v>
      </c>
      <c r="AM229" s="1" t="str">
        <f>'Replacement plan'!$K$62</f>
        <v>DC</v>
      </c>
      <c r="AN229" s="1" t="str">
        <f>'Replacement plan'!$AE$62</f>
        <v>Assumed</v>
      </c>
      <c r="AO229" s="47">
        <f>IF(AND(C229=1,D229="EV",E229&lt;120),(R229-'Operating costs'!$B$41)*S229+W229*'Operating costs'!$B$12,0)</f>
        <v>0</v>
      </c>
      <c r="AP229" s="41">
        <f>IF(AND(C229=1,D229="EV",E229&lt;120),IF('Operating costs'!$B$68="Hong Seh 200k average",AO229*IFERROR(INDEX(Products!$P$7:$P$13,MATCH(AD229,Products!$A$7:$A$13,0)),"n.a."),'Operating costs'!$B$26),0)</f>
        <v>0</v>
      </c>
      <c r="AQ229" s="40" t="str">
        <f>IF(D229="EV",'Operating costs'!$B$68,"Not applicable")</f>
        <v>Not applicable</v>
      </c>
    </row>
    <row r="230" spans="1:43" ht="24" customHeight="1">
      <c r="A230" s="1" t="str">
        <f>'Replacement plan'!A62</f>
        <v>T056</v>
      </c>
      <c r="B230" s="1">
        <v>3</v>
      </c>
      <c r="C230" s="1">
        <f>IF(COUNTIFS('Fleet register'!$A$7:$A$106,$A230)=1,VLOOKUP($A230,'Fleet register'!$A$7:$S$106,2,FALSE),0)</f>
        <v>0</v>
      </c>
      <c r="D230" s="1" t="str">
        <f>IF('Replacement plan'!$R$62="EV","EV","ICE")</f>
        <v>ICE</v>
      </c>
      <c r="E230" s="1">
        <f>IF(C230=0,0,IF('Replacement plan'!$S$62="",IF('Replacement plan'!$R$62="Keep ICE",IF('Replacement plan'!$M$62="",VLOOKUP($A230,'Fleet register'!$A$7:$S$106,10,FALSE),'Replacement plan'!$M$62),0),'Replacement plan'!$S$62))</f>
        <v>0</v>
      </c>
      <c r="F230" s="16">
        <f>IF(C230=0,0,VLOOKUP($A230,'Fleet register'!$A$7:$S$106,11,FALSE))</f>
        <v>0</v>
      </c>
      <c r="G230" s="16">
        <f>IFERROR(IF(C230=0,0,IF(E230=120,0,IF(D230="ICE",'Replacement plan'!$C$62,IF('Replacement plan'!$D$62="",INDEX(Products!$I$7:$I$13,MATCH('Replacement plan'!$B$62,Products!$A$7:$A$13,0))+'Operating costs'!$B$57,'Replacement plan'!$D$62))*(1+'Operating costs'!$B$50)^(E230/12))),"n.a.")</f>
        <v>0</v>
      </c>
      <c r="H230" s="16">
        <f>IFERROR(IF(C230=0,0,IF('Replacement plan'!$V$62&lt;&gt;"",'Replacement plan'!$V$62,IF(E230=0,F230,VLOOKUP($A230,'Fleet register'!$A$7:$S$106,12,FALSE)+VLOOKUP($A230,'Fleet register'!$A$7:$S$106,13,FALSE)*MAX(0,VLOOKUP($A230,'Fleet register'!$A$7:$S$106,10,FALSE)-E230)/VLOOKUP($A230,'Fleet register'!$A$7:$S$106,14,FALSE)))),"n.a.")</f>
        <v>0</v>
      </c>
      <c r="I230" s="16">
        <f>IF(C230=0,0,IF(E230=120,0,'Replacement plan'!$T$62))</f>
        <v>0</v>
      </c>
      <c r="J230" s="16">
        <f>IF(C230=0,0,IF(P230="Complete",((S230*(R230-'Operating costs'!$B$39))+ROUNDUP(S230*(R230-'Operating costs'!$B$39)*IF('Replacement plan'!$AG$62="",'Operating costs'!$B$7,'Replacement plan'!$AG$62)/('Operating costs'!$B$8-'Operating costs'!$B$9*IF('Replacement plan'!$AG$62="",'Operating costs'!$B$7,'Replacement plan'!$AG$62)),0)*'Operating costs'!$B$9)*IF('Replacement plan'!$AG$62="",'Operating costs'!$B$7,'Replacement plan'!$AG$62)*('Energy and charging'!$C$9*'Energy and charging'!$C$7+(1-'Energy and charging'!$C$9)*'Energy and charging'!$C$8)*'Operating costs'!$B$23,"n.a."))</f>
        <v>0</v>
      </c>
      <c r="K230" s="16">
        <f>IF(C230=0,0,IF(P230="Complete",SUM('Operating costs'!$B$24,'Operating costs'!$B$27,'Operating costs'!$B$29,'Operating costs'!$B$31,'Operating costs'!$B$33,'Operating costs'!$B$34,'Operating costs'!$B$37,'Replacement plan'!$W$62)+'Operating costs'!$B$39*'Operating costs'!$B$42+ROUNDUP(S230*(R230-'Operating costs'!$B$39)*IF('Replacement plan'!$AG$62="",'Operating costs'!$B$7,'Replacement plan'!$AG$62)/('Operating costs'!$B$8-'Operating costs'!$B$9*IF('Replacement plan'!$AG$62="",'Operating costs'!$B$7,'Replacement plan'!$AG$62)),0)*('Operating costs'!$B$9/'Operating costs'!$B$11+'Operating costs'!$B$10/60)*'Operating costs'!$B$19*'Operating costs'!$B$21,"n.a."))</f>
        <v>0</v>
      </c>
      <c r="L230" s="16">
        <f>IF(C230=0,0,IF(P230="Complete",IF(D230="EV",X230*((1-T230)*'Energy and charging'!$C$10+T230*'Energy and charging'!$C$11)*'Operating costs'!$B$22,AA230*('Energy and charging'!$C$9*'Energy and charging'!$C$7+(1-'Energy and charging'!$C$9)*'Energy and charging'!$C$8)*'Operating costs'!$B$23),"n.a."))</f>
        <v>0</v>
      </c>
      <c r="M230" s="37">
        <f>IF(C230=0,0,IF(P230="Complete",IF(D230="ICE",SUM('Operating costs'!$B$25,'Operating costs'!$B$27,'Operating costs'!$B$29,'Operating costs'!$B$31,'Operating costs'!$B$33,'Operating costs'!$B$35,'Operating costs'!$B$37,'Replacement plan'!$X$62)+'Operating costs'!$B$40*'Operating costs'!$B$42+ROUNDUP(S230*(R230-'Operating costs'!$B$40)*IF('Replacement plan'!$AH$62="",'Operating costs'!$B$7,'Replacement plan'!$AH$62)/('Operating costs'!$B$8-'Operating costs'!$B$9*IF('Replacement plan'!$AH$62="",'Operating costs'!$B$7,'Replacement plan'!$AH$62)),0)*('Operating costs'!$B$9/'Operating costs'!$B$11+'Operating costs'!$B$10/60)*'Operating costs'!$B$19*'Operating costs'!$B$21,SUM(AP230,'Operating costs'!$B$28,'Operating costs'!$B$30,'Operating costs'!$B$32,'Operating costs'!$B$33,'Operating costs'!$B$36,'Operating costs'!$B$38,'Replacement plan'!$Y$62)+'Operating costs'!$B$41*'Operating costs'!$B$43+W230*'Operating costs'!$B$15+(T230*X230/'Replacement plan'!$L$62+W230*('Operating costs'!$B$12/'Operating costs'!$B$11+('Operating costs'!$B$13+'Operating costs'!$B$14)/60)+(R230-'Operating costs'!$B$41)*(IF(T230&lt;1,'Operating costs'!$B$16,0)+'Operating costs'!$B$17)/60)*'Operating costs'!$B$19*'Operating costs'!$B$20),"n.a."))</f>
        <v>0</v>
      </c>
      <c r="N230" s="16">
        <f>IF(AND(C230=1,D230="EV",E230&lt;120,E230+'Replacement plan'!$AA$62&lt;=120),'Replacement plan'!$Z$62,0)</f>
        <v>0</v>
      </c>
      <c r="O230" s="1">
        <f>E230+'Replacement plan'!$AA$62</f>
        <v>0</v>
      </c>
      <c r="P230" s="35" t="str">
        <f>IFERROR(IF(C230=0,"Excluded",IF(OR(COUNTIFS('Fleet register'!$A$7:$A$106,A230)&lt;&gt;1,COUNTIFS('Replacement plan'!$A$7:$A$106,A230)&lt;&gt;1),"Duplicate/missing ID",IF(NOT(AND(ISNUMBER(VLOOKUP($A230,'Fleet register'!$A$7:$S$106,5,FALSE)),ISNUMBER(VLOOKUP($A230,'Fleet register'!$A$7:$S$106,6,FALSE)),ISNUMBER(VLOOKUP($A230,'Fleet register'!$A$7:$S$106,10,FALSE)),ISNUMBER(VLOOKUP($A230,'Fleet register'!$A$7:$S$106,11,FALSE)),ISNUMBER(VLOOKUP($A230,'Fleet register'!$A$7:$S$106,12,FALSE)),ISNUMBER(VLOOKUP($A230,'Fleet register'!$A$7:$S$106,13,FALSE)),ISNUMBER(VLOOKUP($A230,'Fleet register'!$A$7:$S$106,14,FALSE)),VLOOKUP($A230,'Fleet register'!$A$7:$S$106,14,FALSE)&gt;0,ISNUMBER('Replacement plan'!$C$62),OR(E230=120,ISNUMBER('Replacement plan'!$T$62)),ISNUMBER(E230))),"Missing vehicle input",IF(OR(E230&lt;0,E230&gt;VLOOKUP($A230,'Fleet register'!$A$7:$S$106,10,FALSE),E230&gt;120,E230&lt;&gt;INT(E230),VLOOKUP($A230,'Fleet register'!$A$7:$S$106,6,FALSE)&lt;=0,VLOOKUP($A230,'Fleet register'!$A$7:$S$106,6,FALSE)&gt;366,VLOOKUP($A230,'Fleet register'!$A$7:$S$106,5,FALSE)&lt;0,VLOOKUP($A230,'Fleet register'!$A$7:$S$106,11,FALSE)&lt;0,I230&lt;0,'Operating costs'!$B$8&lt;='Operating costs'!$B$7*'Operating costs'!$B$9,'Operating costs'!$B$11&lt;=0,'Operating costs'!$B$39&gt;R230,'Operating costs'!$B$40&gt;R230,'Operating costs'!$B$41&gt;R230,NOT(OR('Replacement plan'!$R$62="Keep ICE",'Replacement plan'!$R$62="New ICE",'Replacement plan'!$R$62="EV"))),"Invalid vehicle input",IF(AND(D230="EV",E230&lt;120,OR(NOT(ISNUMBER(U230)),NOT(ISNUMBER(V230)),V230&lt;=0,T230&lt;0,T230&gt;1,'Replacement plan'!$L$62&lt;=0,'Operating costs'!$B$44&lt;0,'Operating costs'!$B$44&gt;=1,'Operating costs'!$B$47&lt;=0,'Operating costs'!$B$47&gt;1,V230*'Operating costs'!$B$47/(1-'Operating costs'!$B$44)&lt;=T230*'Operating costs'!$B$12*U230,AND('Replacement plan'!$Z$62&gt;0,OR('Replacement plan'!$AB$62&lt;&gt;"Yes",'Operating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charging'!$C$8&gt;=0))),ISNUMBER(VLOOKUP($A230,'Fleet register'!$A$7:$S$106,15,FALSE)),ISNUMBER(VLOOKUP($A230,'Fleet register'!$A$7:$S$106,16,FALSE)),ISNUMBER('Replacement plan'!$W$62),ISNUMBER('Replacement plan'!$X$62),OR(E230=120,AND(ISNUMBER(G230),G230&gt;=0)),ISNUMBER(H230),H230&gt;=0,OR(D230&lt;&gt;"EV",E230=120,AND(ISNUMBER('Operating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average",ISNUMBER(IFERROR(INDEX(Products!$P$7:$P$13,MATCH(AD230,Products!$A$7:$A$13,0)),"")))),ISNUMBER('Operating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plan'!$Y$62),ISNUMBER('Replacement plan'!$Z$62),'Replacement plan'!$Z$62&gt;=0,ISNUMBER('Replacement plan'!$AA$62),'Replacement plan'!$AA$62&gt;=0,'Replacement plan'!$AA$62=INT('Replacement plan'!$AA$62),ISNUMBER('Replacement plan'!$L$62))),'Operating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plan'!$AG$62="",'Operating costs'!$B$7,'Replacement plan'!$AG$62)),IF('Replacement plan'!$AG$62="",'Operating costs'!$B$7,'Replacement plan'!$AG$62)&gt;=0,ISNUMBER(IF('Replacement plan'!$AH$62="",'Operating costs'!$B$7,'Replacement plan'!$AH$62)),IF('Replacement plan'!$AH$62="",'Operating costs'!$B$7,'Replacement plan'!$AH$62)&gt;=0,'Operating costs'!$B$8&gt;MAX(IF('Replacement plan'!$AG$62="",'Operating costs'!$B$7,'Replacement plan'!$AG$62),IF('Replacement plan'!$AH$62="",'Operating costs'!$B$7,'Replacement plan'!$AH$62))*'Operating costs'!$B$9),IF(AND(VLOOKUP($A230,'Fleet register'!$A$7:$S$106,10,FALSE)&gt;=0,VLOOKUP($A230,'Fleet register'!$A$7:$S$106,10,FALSE)&lt;=120,VLOOKUP($A230,'Fleet register'!$A$7:$S$106,10,FALSE)=INT(VLOOKUP($A230,'Fleet register'!$A$7:$S$106,10,FALSE)),VLOOKUP($A230,'Fleet register'!$A$7:$S$106,15,FALSE)&gt;=0,VLOOKUP($A230,'Fleet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costs'!$B$67)&gt;=0,OR(D230&lt;&gt;"EV",E230=120,AND(MIN('Operating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30" s="1" t="str">
        <f>IF(C230=0,"Excluded",IF(P230&lt;&gt;"Complete",P230,IF(OR('Replacement plan'!$AD$62&lt;120-E230,AND(D230="EV",E230&lt;120,OR('Replacement plan'!$AC$62&lt;120-E230,'Replacement plan'!$I$62="No",AND(ISNUMBER(AF230),AE230&gt;AF230),AI230&gt;V230*(1-'Operating costs'!$B$46)^MAX(0,AB230-1)*(1-'Operating costs'!$B$45),AC230&gt;'Operating costs'!$B$18,AND(T230&lt;1,OR(AG230&lt;=0,AND(ISNUMBER(AH230),AG230&gt;AH230))),'Replacement plan'!$L$62&gt;INDEX(Products!$H$7:$H$13,MATCH('Replacement plan'!$B$62,Products!$A$7:$A$13,0))))),"Fails entered limits",IF(AND(D230="EV",E230&lt;120,OR(NOT(ISNUMBER(VLOOKUP($A230,'Fleet register'!$A$7:$S$106,7,FALSE))),NOT(ISNUMBER(VLOOKUP($A230,'Fleet register'!$A$7:$S$106,8,FALSE))),NOT(ISNUMBER(AF230)),'Replacement plan'!$I$62&lt;&gt;"Yes",NOT(ISNUMBER(AH230)),'Operating costs'!$B$59&lt;&gt;"Yes",'Operating costs'!$B$58&lt;&gt;"Yes")),"Unverified","Within entered limits"))))</f>
        <v>Excluded</v>
      </c>
      <c r="R230" s="1">
        <f>IF(C230=0,0,VLOOKUP($A230,'Fleet register'!$A$7:$S$106,6,FALSE))</f>
        <v>0</v>
      </c>
      <c r="S230" s="1">
        <f>IF(C230=0,0,VLOOKUP($A230,'Fleet register'!$A$7:$S$106,5,FALSE))</f>
        <v>0</v>
      </c>
      <c r="T230" s="1">
        <f>IF(D230="EV",'Energy and charging'!$C$12,0)</f>
        <v>0</v>
      </c>
      <c r="U230" s="1">
        <f>IFERROR(IF(C230=0,0,IF(D230="EV",IF('Replacement plan'!$F$62="",INDEX(Products!$E$7:$E$13,MATCH('Replacement plan'!$B$62,Products!$A$7:$A$13,0)),'Replacement plan'!$F$62)/IF('Replacement plan'!$G$62="Battery",1-'Operating costs'!$B$44,1),0)),"n.a.")</f>
        <v>0</v>
      </c>
      <c r="V230" s="1">
        <f>IFERROR(IF(C230=0,0,IF(D230="EV",IF('Replacement plan'!$E$62="",INDEX(Products!$D$7:$D$13,MATCH('Replacement plan'!$B$62,Products!$A$7:$A$13,0)),'Replacement plan'!$E$62),0)),"n.a.")</f>
        <v>0</v>
      </c>
      <c r="W230" s="1">
        <f>IF(C230=0,0,IF(AND(P230="Complete",D230="EV",E230&lt;120),IF(T230=0,0,ROUNDUP(T230*(R230-'Operating costs'!$B$41)*(S230*U230+'Operating costs'!$B$48/(1-'Operating costs'!$B$44))/(V230*'Operating costs'!$B$47/(1-'Operating costs'!$B$44)-T230*'Operating costs'!$B$12*U230),0)),0))</f>
        <v>0</v>
      </c>
      <c r="X230" s="1">
        <f>IF(C230=0,0,IF(AND(P230="Complete",D230="EV",E230&lt;120),(R230-'Operating costs'!$B$41)*(S230*U230+'Operating costs'!$B$48/(1-'Operating costs'!$B$44))+W230*'Operating costs'!$B$12*U230,0))</f>
        <v>0</v>
      </c>
      <c r="Y230" s="1">
        <f>IF(AND(C230=1,D230="EV",E230&lt;120),AI230/(1-'Operating costs'!$B$44)*(1-T230),0)</f>
        <v>0</v>
      </c>
      <c r="Z230" s="1">
        <f t="shared" si="6"/>
        <v>0</v>
      </c>
      <c r="AA230" s="1">
        <f>IF(C230=0,0,IF(P230="Complete",((S230*(R230-'Operating costs'!$B$40))+ROUNDUP(S230*(R230-'Operating costs'!$B$40)*IF('Replacement plan'!$AH$62="",'Operating costs'!$B$7,'Replacement plan'!$AH$62)/('Operating costs'!$B$8-'Operating costs'!$B$9*IF('Replacement plan'!$AH$62="",'Operating costs'!$B$7,'Replacement plan'!$AH$62)),0)*'Operating costs'!$B$9)*IF('Replacement plan'!$AH$62="",'Operating costs'!$B$7,'Replacement plan'!$AH$62),"n.a."))</f>
        <v>0</v>
      </c>
      <c r="AB230" s="1">
        <f t="shared" si="7"/>
        <v>0</v>
      </c>
      <c r="AC230" s="1">
        <f>IF(AND(C230=1,D230="EV",E230&lt;120,T230&gt;0),'Operating costs'!$B$12/'Operating costs'!$B$11*60+'Operating costs'!$B$13+'Operating costs'!$B$14+V230*'Operating costs'!$B$47/(1-'Operating costs'!$B$44)/'Replacement plan'!$L$62*60,0)</f>
        <v>0</v>
      </c>
      <c r="AD230" s="1" t="str">
        <f>'Replacement plan'!$B$62</f>
        <v>ChengLong L2EV</v>
      </c>
      <c r="AE230" s="1">
        <f>IF(C230=0,0,VLOOKUP($A230,'Fleet register'!$A$7:$S$106,8,FALSE))</f>
        <v>0</v>
      </c>
      <c r="AF230" s="1" t="str">
        <f>IF('Replacement plan'!$H$62="","n.a.",'Replacement plan'!$H$62)</f>
        <v>n.a.</v>
      </c>
      <c r="AG230" s="1">
        <f>'Replacement plan'!$J$62</f>
        <v>22</v>
      </c>
      <c r="AH230" s="1">
        <f>IFERROR(IF(D230="EV",IF('Replacement plan'!$K$62="AC",IF(ISNUMBER(INDEX(Products!$G$7:$G$13,MATCH('Replacement plan'!$B$62,Products!$A$7:$A$13,0))),INDEX(Products!$G$7:$G$13,MATCH('Replacement plan'!$B$62,Products!$A$7:$A$13,0)),"n.a."),IF(ISNUMBER(INDEX(Products!$H$7:$H$13,MATCH('Replacement plan'!$B$62,Products!$A$7:$A$13,0))),INDEX(Products!$H$7:$H$13,MATCH('Replacement plan'!$B$62,Products!$A$7:$A$13,0)),"n.a.")),0),"n.a.")</f>
        <v>0</v>
      </c>
      <c r="AI230" s="1">
        <f>IF(AND(C230=1,D230="EV",E230&lt;120),(VLOOKUP($A230,'Fleet register'!$A$7:$S$106,7,FALSE)+IF(T230&gt;0,'Operating costs'!$B$12,0))*U230*(1-'Operating costs'!$B$44)+'Operating costs'!$B$49,0)</f>
        <v>0</v>
      </c>
      <c r="AJ230" s="1">
        <f>IF(D230="EV",'Energy and charging'!$C$50,0)</f>
        <v>0</v>
      </c>
      <c r="AK230" s="17">
        <f>EDATE('Operating costs'!$B$63,E230)</f>
        <v>46298</v>
      </c>
      <c r="AL230" s="1">
        <f>IFERROR(IF(D230="EV",INDEX(Products!$B$7:$B$13,MATCH('Replacement plan'!$B$62,Products!$A$7:$A$13,0)),0),"n.a.")</f>
        <v>0</v>
      </c>
      <c r="AM230" s="1" t="str">
        <f>'Replacement plan'!$K$62</f>
        <v>DC</v>
      </c>
      <c r="AN230" s="1" t="str">
        <f>'Replacement plan'!$AE$62</f>
        <v>Assumed</v>
      </c>
      <c r="AO230" s="47">
        <f>IF(AND(C230=1,D230="EV",E230&lt;120),(R230-'Operating costs'!$B$41)*S230+W230*'Operating costs'!$B$12,0)</f>
        <v>0</v>
      </c>
      <c r="AP230" s="41">
        <f>IF(AND(C230=1,D230="EV",E230&lt;120),IF('Operating costs'!$B$68="Hong Seh 200k average",AO230*IFERROR(INDEX(Products!$P$7:$P$13,MATCH(AD230,Products!$A$7:$A$13,0)),"n.a."),'Operating costs'!$B$26),0)</f>
        <v>0</v>
      </c>
      <c r="AQ230" s="40" t="str">
        <f>IF(D230="EV",'Operating costs'!$B$68,"Not applicable")</f>
        <v>Not applicable</v>
      </c>
    </row>
    <row r="231" spans="1:43" ht="24" customHeight="1">
      <c r="A231" s="1" t="str">
        <f>'Replacement plan'!A63</f>
        <v>T057</v>
      </c>
      <c r="B231" s="1">
        <v>0</v>
      </c>
      <c r="C231" s="1">
        <f>IF(COUNTIFS('Fleet register'!$A$7:$A$106,$A231)=1,VLOOKUP($A231,'Fleet register'!$A$7:$S$106,2,FALSE),0)</f>
        <v>0</v>
      </c>
      <c r="D231" s="1" t="str">
        <f>IF("Keep ICE"="EV","EV","ICE")</f>
        <v>ICE</v>
      </c>
      <c r="E231" s="1">
        <f>IF(C231=0,0,IF('Replacement plan'!$M$63="",VLOOKUP($A231,'Fleet register'!$A$7:$S$106,10,FALSE),'Replacement plan'!$M$63))</f>
        <v>0</v>
      </c>
      <c r="F231" s="16">
        <f>IF(C231=0,0,VLOOKUP($A231,'Fleet register'!$A$7:$S$106,11,FALSE))</f>
        <v>0</v>
      </c>
      <c r="G231" s="16">
        <f>IFERROR(IF(C231=0,0,IF(E231=120,0,IF(D231="ICE",'Replacement plan'!$C$63,IF('Replacement plan'!$D$63="",INDEX(Products!$I$7:$I$13,MATCH('Replacement plan'!$B$63,Products!$A$7:$A$13,0))+'Operating costs'!$B$57,'Replacement plan'!$D$63))*(1+'Operating costs'!$B$50)^(E231/12))),"n.a.")</f>
        <v>0</v>
      </c>
      <c r="H231" s="16">
        <f>IFERROR(IF(C231=0,0,IF(E231=0,F231,VLOOKUP($A231,'Fleet register'!$A$7:$S$106,12,FALSE)+VLOOKUP($A231,'Fleet register'!$A$7:$S$106,13,FALSE)*MAX(0,VLOOKUP($A231,'Fleet register'!$A$7:$S$106,10,FALSE)-E231)/VLOOKUP($A231,'Fleet register'!$A$7:$S$106,14,FALSE))),"n.a.")</f>
        <v>0</v>
      </c>
      <c r="I231" s="16">
        <f>IF(C231=0,0,IF(E231=120,0,'Replacement plan'!$N$63))</f>
        <v>0</v>
      </c>
      <c r="J231" s="16">
        <f>IF(C231=0,0,IF(P231="Complete",((S231*(R231-'Operating costs'!$B$39))+ROUNDUP(S231*(R231-'Operating costs'!$B$39)*IF('Replacement plan'!$AG$63="",'Operating costs'!$B$7,'Replacement plan'!$AG$63)/('Operating costs'!$B$8-'Operating costs'!$B$9*IF('Replacement plan'!$AG$63="",'Operating costs'!$B$7,'Replacement plan'!$AG$63)),0)*'Operating costs'!$B$9)*IF('Replacement plan'!$AG$63="",'Operating costs'!$B$7,'Replacement plan'!$AG$63)*('Energy and charging'!$B$9*'Energy and charging'!$B$7+(1-'Energy and charging'!$B$9)*'Energy and charging'!$B$8)*'Operating costs'!$B$23,"n.a."))</f>
        <v>0</v>
      </c>
      <c r="K231" s="16">
        <f>IF(C231=0,0,IF(P231="Complete",SUM('Operating costs'!$B$24,'Operating costs'!$B$27,'Operating costs'!$B$29,'Operating costs'!$B$31,'Operating costs'!$B$33,'Operating costs'!$B$34,'Operating costs'!$B$37,'Replacement plan'!$W$63)+'Operating costs'!$B$39*'Operating costs'!$B$42+ROUNDUP(S231*(R231-'Operating costs'!$B$39)*IF('Replacement plan'!$AG$63="",'Operating costs'!$B$7,'Replacement plan'!$AG$63)/('Operating costs'!$B$8-'Operating costs'!$B$9*IF('Replacement plan'!$AG$63="",'Operating costs'!$B$7,'Replacement plan'!$AG$63)),0)*('Operating costs'!$B$9/'Operating costs'!$B$11+'Operating costs'!$B$10/60)*'Operating costs'!$B$19*'Operating costs'!$B$21,"n.a."))</f>
        <v>0</v>
      </c>
      <c r="L231" s="16">
        <f>IF(C231=0,0,IF(P231="Complete",IF(D231="EV",X231*((1-T231)*'Energy and charging'!$B$10+T231*'Energy and charging'!$B$11)*'Operating costs'!$B$22,AA231*('Energy and charging'!$B$9*'Energy and charging'!$B$7+(1-'Energy and charging'!$B$9)*'Energy and charging'!$B$8)*'Operating costs'!$B$23),"n.a."))</f>
        <v>0</v>
      </c>
      <c r="M231" s="37">
        <f>IF(C231=0,0,IF(P231="Complete",IF(D231="ICE",SUM('Operating costs'!$B$25,'Operating costs'!$B$27,'Operating costs'!$B$29,'Operating costs'!$B$31,'Operating costs'!$B$33,'Operating costs'!$B$35,'Operating costs'!$B$37,'Replacement plan'!$X$63)+'Operating costs'!$B$40*'Operating costs'!$B$42+ROUNDUP(S231*(R231-'Operating costs'!$B$40)*IF('Replacement plan'!$AH$63="",'Operating costs'!$B$7,'Replacement plan'!$AH$63)/('Operating costs'!$B$8-'Operating costs'!$B$9*IF('Replacement plan'!$AH$63="",'Operating costs'!$B$7,'Replacement plan'!$AH$63)),0)*('Operating costs'!$B$9/'Operating costs'!$B$11+'Operating costs'!$B$10/60)*'Operating costs'!$B$19*'Operating costs'!$B$21,SUM(AP231,'Operating costs'!$B$28,'Operating costs'!$B$30,'Operating costs'!$B$32,'Operating costs'!$B$33,'Operating costs'!$B$36,'Operating costs'!$B$38,'Replacement plan'!$Y$63)+'Operating costs'!$B$41*'Operating costs'!$B$43+W231*'Operating costs'!$B$15+(T231*X231/'Replacement plan'!$L$63+W231*('Operating costs'!$B$12/'Operating costs'!$B$11+('Operating costs'!$B$13+'Operating costs'!$B$14)/60)+(R231-'Operating costs'!$B$41)*(IF(T231&lt;1,'Operating costs'!$B$16,0)+'Operating costs'!$B$17)/60)*'Operating costs'!$B$19*'Operating costs'!$B$20),"n.a."))</f>
        <v>0</v>
      </c>
      <c r="N231" s="16">
        <f>IF(AND(C231=1,D231="EV",E231&lt;120,E231+'Replacement plan'!$AA$63&lt;=120),'Replacement plan'!$Z$63,0)</f>
        <v>0</v>
      </c>
      <c r="O231" s="1">
        <f>E231+'Replacement plan'!$AA$63</f>
        <v>0</v>
      </c>
      <c r="P231" s="35" t="str">
        <f>IFERROR(IF(C231=0,"Excluded",IF(OR(COUNTIFS('Fleet register'!$A$7:$A$106,A231)&lt;&gt;1,COUNTIFS('Replacement plan'!$A$7:$A$106,A231)&lt;&gt;1),"Duplicate/missing ID",IF(NOT(AND(ISNUMBER(VLOOKUP($A231,'Fleet register'!$A$7:$S$106,5,FALSE)),ISNUMBER(VLOOKUP($A231,'Fleet register'!$A$7:$S$106,6,FALSE)),ISNUMBER(VLOOKUP($A231,'Fleet register'!$A$7:$S$106,10,FALSE)),ISNUMBER(VLOOKUP($A231,'Fleet register'!$A$7:$S$106,11,FALSE)),ISNUMBER(VLOOKUP($A231,'Fleet register'!$A$7:$S$106,12,FALSE)),ISNUMBER(VLOOKUP($A231,'Fleet register'!$A$7:$S$106,13,FALSE)),ISNUMBER(VLOOKUP($A231,'Fleet register'!$A$7:$S$106,14,FALSE)),VLOOKUP($A231,'Fleet register'!$A$7:$S$106,14,FALSE)&gt;0,ISNUMBER('Replacement plan'!$C$63),OR(E231=120,ISNUMBER('Replacement plan'!$N$63)),ISNUMBER(E231))),"Missing vehicle input",IF(OR(E231&lt;0,E231&gt;VLOOKUP($A231,'Fleet register'!$A$7:$S$106,10,FALSE),E231&gt;120,E231&lt;&gt;INT(E231),VLOOKUP($A231,'Fleet register'!$A$7:$S$106,6,FALSE)&lt;=0,VLOOKUP($A231,'Fleet register'!$A$7:$S$106,6,FALSE)&gt;366,VLOOKUP($A231,'Fleet register'!$A$7:$S$106,5,FALSE)&lt;0,VLOOKUP($A231,'Fleet register'!$A$7:$S$106,11,FALSE)&lt;0,I231&lt;0,'Operating costs'!$B$8&lt;='Operating costs'!$B$7*'Operating costs'!$B$9,'Operating costs'!$B$11&lt;=0,'Operating costs'!$B$39&gt;R231,'Operating costs'!$B$40&gt;R231,'Operating costs'!$B$41&gt;R231,NOT(OR("Keep ICE"="Keep ICE","Keep ICE"="New ICE","Keep ICE"="EV"))),"Invalid vehicle input",IF(AND(D231="EV",E231&lt;120,OR(NOT(ISNUMBER(U231)),NOT(ISNUMBER(V231)),V231&lt;=0,T231&lt;0,T231&gt;1,'Replacement plan'!$L$63&lt;=0,'Operating costs'!$B$44&lt;0,'Operating costs'!$B$44&gt;=1,'Operating costs'!$B$47&lt;=0,'Operating costs'!$B$47&gt;1,V231*'Operating costs'!$B$47/(1-'Operating costs'!$B$44)&lt;=T231*'Operating costs'!$B$12*U231,AND('Replacement plan'!$Z$63&gt;0,OR('Replacement plan'!$AB$63&lt;&gt;"Yes",'Operating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charging'!$B$8&gt;=0))),ISNUMBER(VLOOKUP($A231,'Fleet register'!$A$7:$S$106,15,FALSE)),ISNUMBER(VLOOKUP($A231,'Fleet register'!$A$7:$S$106,16,FALSE)),ISNUMBER('Replacement plan'!$W$63),ISNUMBER('Replacement plan'!$X$63),OR(E231=120,AND(ISNUMBER(G231),G231&gt;=0)),ISNUMBER(H231),H231&gt;=0,OR(D231&lt;&gt;"EV",E231=120,AND(ISNUMBER('Operating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average",ISNUMBER(IFERROR(INDEX(Products!$P$7:$P$13,MATCH(AD231,Products!$A$7:$A$13,0)),"")))),ISNUMBER('Operating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plan'!$Y$63),ISNUMBER('Replacement plan'!$Z$63),'Replacement plan'!$Z$63&gt;=0,ISNUMBER('Replacement plan'!$AA$63),'Replacement plan'!$AA$63&gt;=0,'Replacement plan'!$AA$63=INT('Replacement plan'!$AA$63),ISNUMBER('Replacement plan'!$L$63))),'Operating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plan'!$AG$63="",'Operating costs'!$B$7,'Replacement plan'!$AG$63)),IF('Replacement plan'!$AG$63="",'Operating costs'!$B$7,'Replacement plan'!$AG$63)&gt;=0,ISNUMBER(IF('Replacement plan'!$AH$63="",'Operating costs'!$B$7,'Replacement plan'!$AH$63)),IF('Replacement plan'!$AH$63="",'Operating costs'!$B$7,'Replacement plan'!$AH$63)&gt;=0,'Operating costs'!$B$8&gt;MAX(IF('Replacement plan'!$AG$63="",'Operating costs'!$B$7,'Replacement plan'!$AG$63),IF('Replacement plan'!$AH$63="",'Operating costs'!$B$7,'Replacement plan'!$AH$63))*'Operating costs'!$B$9),IF(AND(VLOOKUP($A231,'Fleet register'!$A$7:$S$106,10,FALSE)&gt;=0,VLOOKUP($A231,'Fleet register'!$A$7:$S$106,10,FALSE)&lt;=120,VLOOKUP($A231,'Fleet register'!$A$7:$S$106,10,FALSE)=INT(VLOOKUP($A231,'Fleet register'!$A$7:$S$106,10,FALSE)),VLOOKUP($A231,'Fleet register'!$A$7:$S$106,15,FALSE)&gt;=0,VLOOKUP($A231,'Fleet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costs'!$B$67)&gt;=0,OR(D231&lt;&gt;"EV",E231=120,AND(MIN('Operating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31" s="1" t="str">
        <f>IF(C231=0,"Excluded",IF(P231&lt;&gt;"Complete",P231,IF(OR('Replacement plan'!$AD$63&lt;120-E231,AND(D231="EV",E231&lt;120,OR('Replacement plan'!$AC$63&lt;120-E231,'Replacement plan'!$I$63="No",AND(ISNUMBER(AF231),AE231&gt;AF231),AI231&gt;V231*(1-'Operating costs'!$B$46)^MAX(0,AB231-1)*(1-'Operating costs'!$B$45),AC231&gt;'Operating costs'!$B$18,AND(T231&lt;1,OR(AG231&lt;=0,AND(ISNUMBER(AH231),AG231&gt;AH231))),'Replacement plan'!$L$63&gt;INDEX(Products!$H$7:$H$13,MATCH('Replacement plan'!$B$63,Products!$A$7:$A$13,0))))),"Fails entered limits",IF(AND(D231="EV",E231&lt;120,OR(NOT(ISNUMBER(VLOOKUP($A231,'Fleet register'!$A$7:$S$106,7,FALSE))),NOT(ISNUMBER(VLOOKUP($A231,'Fleet register'!$A$7:$S$106,8,FALSE))),NOT(ISNUMBER(AF231)),'Replacement plan'!$I$63&lt;&gt;"Yes",NOT(ISNUMBER(AH231)),'Operating costs'!$B$59&lt;&gt;"Yes",'Operating costs'!$B$58&lt;&gt;"Yes")),"Unverified","Within entered limits"))))</f>
        <v>Excluded</v>
      </c>
      <c r="R231" s="1">
        <f>IF(C231=0,0,VLOOKUP($A231,'Fleet register'!$A$7:$S$106,6,FALSE))</f>
        <v>0</v>
      </c>
      <c r="S231" s="1">
        <f>IF(C231=0,0,VLOOKUP($A231,'Fleet register'!$A$7:$S$106,5,FALSE))</f>
        <v>0</v>
      </c>
      <c r="T231" s="1">
        <f>IF(D231="EV",'Energy and charging'!$B$12,0)</f>
        <v>0</v>
      </c>
      <c r="U231" s="1">
        <f>IFERROR(IF(C231=0,0,IF(D231="EV",IF('Replacement plan'!$F$63="",INDEX(Products!$E$7:$E$13,MATCH('Replacement plan'!$B$63,Products!$A$7:$A$13,0)),'Replacement plan'!$F$63)/IF('Replacement plan'!$G$63="Battery",1-'Operating costs'!$B$44,1),0)),"n.a.")</f>
        <v>0</v>
      </c>
      <c r="V231" s="1">
        <f>IFERROR(IF(C231=0,0,IF(D231="EV",IF('Replacement plan'!$E$63="",INDEX(Products!$D$7:$D$13,MATCH('Replacement plan'!$B$63,Products!$A$7:$A$13,0)),'Replacement plan'!$E$63),0)),"n.a.")</f>
        <v>0</v>
      </c>
      <c r="W231" s="1">
        <f>IF(C231=0,0,IF(AND(P231="Complete",D231="EV",E231&lt;120),IF(T231=0,0,ROUNDUP(T231*(R231-'Operating costs'!$B$41)*(S231*U231+'Operating costs'!$B$48/(1-'Operating costs'!$B$44))/(V231*'Operating costs'!$B$47/(1-'Operating costs'!$B$44)-T231*'Operating costs'!$B$12*U231),0)),0))</f>
        <v>0</v>
      </c>
      <c r="X231" s="1">
        <f>IF(C231=0,0,IF(AND(P231="Complete",D231="EV",E231&lt;120),(R231-'Operating costs'!$B$41)*(S231*U231+'Operating costs'!$B$48/(1-'Operating costs'!$B$44))+W231*'Operating costs'!$B$12*U231,0))</f>
        <v>0</v>
      </c>
      <c r="Y231" s="1">
        <f>IF(AND(C231=1,D231="EV",E231&lt;120),AI231/(1-'Operating costs'!$B$44)*(1-T231),0)</f>
        <v>0</v>
      </c>
      <c r="Z231" s="1">
        <f t="shared" si="6"/>
        <v>0</v>
      </c>
      <c r="AA231" s="1">
        <f>IF(C231=0,0,IF(P231="Complete",((S231*(R231-'Operating costs'!$B$40))+ROUNDUP(S231*(R231-'Operating costs'!$B$40)*IF('Replacement plan'!$AH$63="",'Operating costs'!$B$7,'Replacement plan'!$AH$63)/('Operating costs'!$B$8-'Operating costs'!$B$9*IF('Replacement plan'!$AH$63="",'Operating costs'!$B$7,'Replacement plan'!$AH$63)),0)*'Operating costs'!$B$9)*IF('Replacement plan'!$AH$63="",'Operating costs'!$B$7,'Replacement plan'!$AH$63),"n.a."))</f>
        <v>0</v>
      </c>
      <c r="AB231" s="1">
        <f t="shared" si="7"/>
        <v>0</v>
      </c>
      <c r="AC231" s="1">
        <f>IF(AND(C231=1,D231="EV",E231&lt;120,T231&gt;0),'Operating costs'!$B$12/'Operating costs'!$B$11*60+'Operating costs'!$B$13+'Operating costs'!$B$14+V231*'Operating costs'!$B$47/(1-'Operating costs'!$B$44)/'Replacement plan'!$L$63*60,0)</f>
        <v>0</v>
      </c>
      <c r="AD231" s="1" t="str">
        <f>'Replacement plan'!$B$63</f>
        <v>ChengLong L2EV</v>
      </c>
      <c r="AE231" s="1">
        <f>IF(C231=0,0,VLOOKUP($A231,'Fleet register'!$A$7:$S$106,8,FALSE))</f>
        <v>0</v>
      </c>
      <c r="AF231" s="1" t="str">
        <f>IF('Replacement plan'!$H$63="","n.a.",'Replacement plan'!$H$63)</f>
        <v>n.a.</v>
      </c>
      <c r="AG231" s="1">
        <f>'Replacement plan'!$J$63</f>
        <v>22</v>
      </c>
      <c r="AH231" s="1">
        <f>IFERROR(IF(D231="EV",IF('Replacement plan'!$K$63="AC",IF(ISNUMBER(INDEX(Products!$G$7:$G$13,MATCH('Replacement plan'!$B$63,Products!$A$7:$A$13,0))),INDEX(Products!$G$7:$G$13,MATCH('Replacement plan'!$B$63,Products!$A$7:$A$13,0)),"n.a."),IF(ISNUMBER(INDEX(Products!$H$7:$H$13,MATCH('Replacement plan'!$B$63,Products!$A$7:$A$13,0))),INDEX(Products!$H$7:$H$13,MATCH('Replacement plan'!$B$63,Products!$A$7:$A$13,0)),"n.a.")),0),"n.a.")</f>
        <v>0</v>
      </c>
      <c r="AI231" s="1">
        <f>IF(AND(C231=1,D231="EV",E231&lt;120),(VLOOKUP($A231,'Fleet register'!$A$7:$S$106,7,FALSE)+IF(T231&gt;0,'Operating costs'!$B$12,0))*U231*(1-'Operating costs'!$B$44)+'Operating costs'!$B$49,0)</f>
        <v>0</v>
      </c>
      <c r="AJ231" s="1">
        <f>IF(D231="EV",'Energy and charging'!$B$50,0)</f>
        <v>0</v>
      </c>
      <c r="AK231" s="17">
        <f>EDATE('Operating costs'!$B$63,E231)</f>
        <v>46298</v>
      </c>
      <c r="AL231" s="1">
        <f>IFERROR(IF(D231="EV",INDEX(Products!$B$7:$B$13,MATCH('Replacement plan'!$B$63,Products!$A$7:$A$13,0)),0),"n.a.")</f>
        <v>0</v>
      </c>
      <c r="AM231" s="1" t="str">
        <f>'Replacement plan'!$K$63</f>
        <v>DC</v>
      </c>
      <c r="AN231" s="1" t="str">
        <f>'Replacement plan'!$AE$63</f>
        <v>Assumed</v>
      </c>
      <c r="AO231" s="47">
        <f>IF(AND(C231=1,D231="EV",E231&lt;120),(R231-'Operating costs'!$B$41)*S231+W231*'Operating costs'!$B$12,0)</f>
        <v>0</v>
      </c>
      <c r="AP231" s="41">
        <f>IF(AND(C231=1,D231="EV",E231&lt;120),IF('Operating costs'!$B$68="Hong Seh 200k average",AO231*IFERROR(INDEX(Products!$P$7:$P$13,MATCH(AD231,Products!$A$7:$A$13,0)),"n.a."),'Operating costs'!$B$26),0)</f>
        <v>0</v>
      </c>
      <c r="AQ231" s="40" t="str">
        <f>IF(D231="EV",'Operating costs'!$B$68,"Not applicable")</f>
        <v>Not applicable</v>
      </c>
    </row>
    <row r="232" spans="1:43" ht="24" customHeight="1">
      <c r="A232" s="1" t="str">
        <f>'Replacement plan'!A63</f>
        <v>T057</v>
      </c>
      <c r="B232" s="1">
        <v>1</v>
      </c>
      <c r="C232" s="1">
        <f>IF(COUNTIFS('Fleet register'!$A$7:$A$106,$A232)=1,VLOOKUP($A232,'Fleet register'!$A$7:$S$106,2,FALSE),0)</f>
        <v>0</v>
      </c>
      <c r="D232" s="1" t="str">
        <f>IF("New ICE"="EV","EV","ICE")</f>
        <v>ICE</v>
      </c>
      <c r="E232" s="1">
        <f>IF(C232=0,0,0)</f>
        <v>0</v>
      </c>
      <c r="F232" s="16">
        <f>IF(C232=0,0,VLOOKUP($A232,'Fleet register'!$A$7:$S$106,11,FALSE))</f>
        <v>0</v>
      </c>
      <c r="G232" s="16">
        <f>IFERROR(IF(C232=0,0,IF(E232=120,0,IF(D232="ICE",'Replacement plan'!$C$63,IF('Replacement plan'!$D$63="",INDEX(Products!$I$7:$I$13,MATCH('Replacement plan'!$B$63,Products!$A$7:$A$13,0))+'Operating costs'!$B$57,'Replacement plan'!$D$63))*(1+'Operating costs'!$B$50)^(E232/12))),"n.a.")</f>
        <v>0</v>
      </c>
      <c r="H232" s="16">
        <f>IFERROR(IF(C232=0,0,IF(E232=0,F232,VLOOKUP($A232,'Fleet register'!$A$7:$S$106,12,FALSE)+VLOOKUP($A232,'Fleet register'!$A$7:$S$106,13,FALSE)*MAX(0,VLOOKUP($A232,'Fleet register'!$A$7:$S$106,10,FALSE)-E232)/VLOOKUP($A232,'Fleet register'!$A$7:$S$106,14,FALSE))),"n.a.")</f>
        <v>0</v>
      </c>
      <c r="I232" s="16">
        <f>IF(C232=0,0,IF(E232=120,0,IF('Replacement plan'!$AI$63="",'Operating costs'!$B$56,'Replacement plan'!$AI$63)))</f>
        <v>0</v>
      </c>
      <c r="J232" s="16">
        <f>IF(C232=0,0,IF(P232="Complete",((S232*(R232-'Operating costs'!$B$39))+ROUNDUP(S232*(R232-'Operating costs'!$B$39)*IF('Replacement plan'!$AG$63="",'Operating costs'!$B$7,'Replacement plan'!$AG$63)/('Operating costs'!$B$8-'Operating costs'!$B$9*IF('Replacement plan'!$AG$63="",'Operating costs'!$B$7,'Replacement plan'!$AG$63)),0)*'Operating costs'!$B$9)*IF('Replacement plan'!$AG$63="",'Operating costs'!$B$7,'Replacement plan'!$AG$63)*('Energy and charging'!$B$9*'Energy and charging'!$B$7+(1-'Energy and charging'!$B$9)*'Energy and charging'!$B$8)*'Operating costs'!$B$23,"n.a."))</f>
        <v>0</v>
      </c>
      <c r="K232" s="16">
        <f>IF(C232=0,0,IF(P232="Complete",SUM('Operating costs'!$B$24,'Operating costs'!$B$27,'Operating costs'!$B$29,'Operating costs'!$B$31,'Operating costs'!$B$33,'Operating costs'!$B$34,'Operating costs'!$B$37,'Replacement plan'!$W$63)+'Operating costs'!$B$39*'Operating costs'!$B$42+ROUNDUP(S232*(R232-'Operating costs'!$B$39)*IF('Replacement plan'!$AG$63="",'Operating costs'!$B$7,'Replacement plan'!$AG$63)/('Operating costs'!$B$8-'Operating costs'!$B$9*IF('Replacement plan'!$AG$63="",'Operating costs'!$B$7,'Replacement plan'!$AG$63)),0)*('Operating costs'!$B$9/'Operating costs'!$B$11+'Operating costs'!$B$10/60)*'Operating costs'!$B$19*'Operating costs'!$B$21,"n.a."))</f>
        <v>0</v>
      </c>
      <c r="L232" s="16">
        <f>IF(C232=0,0,IF(P232="Complete",IF(D232="EV",X232*((1-T232)*'Energy and charging'!$B$10+T232*'Energy and charging'!$B$11)*'Operating costs'!$B$22,AA232*('Energy and charging'!$B$9*'Energy and charging'!$B$7+(1-'Energy and charging'!$B$9)*'Energy and charging'!$B$8)*'Operating costs'!$B$23),"n.a."))</f>
        <v>0</v>
      </c>
      <c r="M232" s="37">
        <f>IF(C232=0,0,IF(P232="Complete",IF(D232="ICE",SUM('Operating costs'!$B$25,'Operating costs'!$B$27,'Operating costs'!$B$29,'Operating costs'!$B$31,'Operating costs'!$B$33,'Operating costs'!$B$35,'Operating costs'!$B$37,'Replacement plan'!$X$63)+'Operating costs'!$B$40*'Operating costs'!$B$42+ROUNDUP(S232*(R232-'Operating costs'!$B$40)*IF('Replacement plan'!$AH$63="",'Operating costs'!$B$7,'Replacement plan'!$AH$63)/('Operating costs'!$B$8-'Operating costs'!$B$9*IF('Replacement plan'!$AH$63="",'Operating costs'!$B$7,'Replacement plan'!$AH$63)),0)*('Operating costs'!$B$9/'Operating costs'!$B$11+'Operating costs'!$B$10/60)*'Operating costs'!$B$19*'Operating costs'!$B$21,SUM(AP232,'Operating costs'!$B$28,'Operating costs'!$B$30,'Operating costs'!$B$32,'Operating costs'!$B$33,'Operating costs'!$B$36,'Operating costs'!$B$38,'Replacement plan'!$Y$63)+'Operating costs'!$B$41*'Operating costs'!$B$43+W232*'Operating costs'!$B$15+(T232*X232/'Replacement plan'!$L$63+W232*('Operating costs'!$B$12/'Operating costs'!$B$11+('Operating costs'!$B$13+'Operating costs'!$B$14)/60)+(R232-'Operating costs'!$B$41)*(IF(T232&lt;1,'Operating costs'!$B$16,0)+'Operating costs'!$B$17)/60)*'Operating costs'!$B$19*'Operating costs'!$B$20),"n.a."))</f>
        <v>0</v>
      </c>
      <c r="N232" s="16">
        <f>IF(AND(C232=1,D232="EV",E232&lt;120,E232+'Replacement plan'!$AA$63&lt;=120),'Replacement plan'!$Z$63,0)</f>
        <v>0</v>
      </c>
      <c r="O232" s="1">
        <f>E232+'Replacement plan'!$AA$63</f>
        <v>0</v>
      </c>
      <c r="P232" s="35" t="str">
        <f>IFERROR(IF(C232=0,"Excluded",IF(OR(COUNTIFS('Fleet register'!$A$7:$A$106,A232)&lt;&gt;1,COUNTIFS('Replacement plan'!$A$7:$A$106,A232)&lt;&gt;1),"Duplicate/missing ID",IF(NOT(AND(ISNUMBER(VLOOKUP($A232,'Fleet register'!$A$7:$S$106,5,FALSE)),ISNUMBER(VLOOKUP($A232,'Fleet register'!$A$7:$S$106,6,FALSE)),ISNUMBER(VLOOKUP($A232,'Fleet register'!$A$7:$S$106,10,FALSE)),ISNUMBER(VLOOKUP($A232,'Fleet register'!$A$7:$S$106,11,FALSE)),ISNUMBER(VLOOKUP($A232,'Fleet register'!$A$7:$S$106,12,FALSE)),ISNUMBER(VLOOKUP($A232,'Fleet register'!$A$7:$S$106,13,FALSE)),ISNUMBER(VLOOKUP($A232,'Fleet register'!$A$7:$S$106,14,FALSE)),VLOOKUP($A232,'Fleet register'!$A$7:$S$106,14,FALSE)&gt;0,ISNUMBER('Replacement plan'!$C$63),OR(E232=120,OR(ISNUMBER('Replacement plan'!$AI$63),AND('Replacement plan'!$AI$63="",ISNUMBER('Operating costs'!$B$56)))),ISNUMBER(E232))),"Missing vehicle input",IF(OR(E232&lt;0,E232&gt;VLOOKUP($A232,'Fleet register'!$A$7:$S$106,10,FALSE),E232&gt;120,E232&lt;&gt;INT(E232),VLOOKUP($A232,'Fleet register'!$A$7:$S$106,6,FALSE)&lt;=0,VLOOKUP($A232,'Fleet register'!$A$7:$S$106,6,FALSE)&gt;366,VLOOKUP($A232,'Fleet register'!$A$7:$S$106,5,FALSE)&lt;0,VLOOKUP($A232,'Fleet register'!$A$7:$S$106,11,FALSE)&lt;0,I232&lt;0,'Operating costs'!$B$8&lt;='Operating costs'!$B$7*'Operating costs'!$B$9,'Operating costs'!$B$11&lt;=0,'Operating costs'!$B$39&gt;R232,'Operating costs'!$B$40&gt;R232,'Operating costs'!$B$41&gt;R232,NOT(OR("New ICE"="Keep ICE","New ICE"="New ICE","New ICE"="EV"))),"Invalid vehicle input",IF(AND(D232="EV",E232&lt;120,OR(NOT(ISNUMBER(U232)),NOT(ISNUMBER(V232)),V232&lt;=0,T232&lt;0,T232&gt;1,'Replacement plan'!$L$63&lt;=0,'Operating costs'!$B$44&lt;0,'Operating costs'!$B$44&gt;=1,'Operating costs'!$B$47&lt;=0,'Operating costs'!$B$47&gt;1,V232*'Operating costs'!$B$47/(1-'Operating costs'!$B$44)&lt;=T232*'Operating costs'!$B$12*U232,AND('Replacement plan'!$Z$63&gt;0,OR('Replacement plan'!$AB$63&lt;&gt;"Yes",'Operating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charging'!$B$8&gt;=0))),ISNUMBER(VLOOKUP($A232,'Fleet register'!$A$7:$S$106,15,FALSE)),ISNUMBER(VLOOKUP($A232,'Fleet register'!$A$7:$S$106,16,FALSE)),ISNUMBER('Replacement plan'!$W$63),ISNUMBER('Replacement plan'!$X$63),OR(E232=120,AND(ISNUMBER(G232),G232&gt;=0)),ISNUMBER(H232),H232&gt;=0,OR(D232&lt;&gt;"EV",E232=120,AND(ISNUMBER('Operating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average",ISNUMBER(IFERROR(INDEX(Products!$P$7:$P$13,MATCH(AD232,Products!$A$7:$A$13,0)),"")))),ISNUMBER('Operating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plan'!$Y$63),ISNUMBER('Replacement plan'!$Z$63),'Replacement plan'!$Z$63&gt;=0,ISNUMBER('Replacement plan'!$AA$63),'Replacement plan'!$AA$63&gt;=0,'Replacement plan'!$AA$63=INT('Replacement plan'!$AA$63),ISNUMBER('Replacement plan'!$L$63))),'Operating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plan'!$AG$63="",'Operating costs'!$B$7,'Replacement plan'!$AG$63)),IF('Replacement plan'!$AG$63="",'Operating costs'!$B$7,'Replacement plan'!$AG$63)&gt;=0,ISNUMBER(IF('Replacement plan'!$AH$63="",'Operating costs'!$B$7,'Replacement plan'!$AH$63)),IF('Replacement plan'!$AH$63="",'Operating costs'!$B$7,'Replacement plan'!$AH$63)&gt;=0,'Operating costs'!$B$8&gt;MAX(IF('Replacement plan'!$AG$63="",'Operating costs'!$B$7,'Replacement plan'!$AG$63),IF('Replacement plan'!$AH$63="",'Operating costs'!$B$7,'Replacement plan'!$AH$63))*'Operating costs'!$B$9),IF(AND(VLOOKUP($A232,'Fleet register'!$A$7:$S$106,10,FALSE)&gt;=0,VLOOKUP($A232,'Fleet register'!$A$7:$S$106,10,FALSE)&lt;=120,VLOOKUP($A232,'Fleet register'!$A$7:$S$106,10,FALSE)=INT(VLOOKUP($A232,'Fleet register'!$A$7:$S$106,10,FALSE)),VLOOKUP($A232,'Fleet register'!$A$7:$S$106,15,FALSE)&gt;=0,VLOOKUP($A232,'Fleet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costs'!$B$67)&gt;=0,OR(D232&lt;&gt;"EV",E232=120,AND(MIN('Operating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32" s="1" t="str">
        <f>IF(C232=0,"Excluded",IF(P232&lt;&gt;"Complete",P232,IF(OR('Replacement plan'!$AD$63&lt;120-E232,AND(D232="EV",E232&lt;120,OR('Replacement plan'!$AC$63&lt;120-E232,'Replacement plan'!$I$63="No",AND(ISNUMBER(AF232),AE232&gt;AF232),AI232&gt;V232*(1-'Operating costs'!$B$46)^MAX(0,AB232-1)*(1-'Operating costs'!$B$45),AC232&gt;'Operating costs'!$B$18,AND(T232&lt;1,OR(AG232&lt;=0,AND(ISNUMBER(AH232),AG232&gt;AH232))),'Replacement plan'!$L$63&gt;INDEX(Products!$H$7:$H$13,MATCH('Replacement plan'!$B$63,Products!$A$7:$A$13,0))))),"Fails entered limits",IF(AND(D232="EV",E232&lt;120,OR(NOT(ISNUMBER(VLOOKUP($A232,'Fleet register'!$A$7:$S$106,7,FALSE))),NOT(ISNUMBER(VLOOKUP($A232,'Fleet register'!$A$7:$S$106,8,FALSE))),NOT(ISNUMBER(AF232)),'Replacement plan'!$I$63&lt;&gt;"Yes",NOT(ISNUMBER(AH232)),'Operating costs'!$B$59&lt;&gt;"Yes",'Operating costs'!$B$58&lt;&gt;"Yes")),"Unverified","Within entered limits"))))</f>
        <v>Excluded</v>
      </c>
      <c r="R232" s="1">
        <f>IF(C232=0,0,VLOOKUP($A232,'Fleet register'!$A$7:$S$106,6,FALSE))</f>
        <v>0</v>
      </c>
      <c r="S232" s="1">
        <f>IF(C232=0,0,VLOOKUP($A232,'Fleet register'!$A$7:$S$106,5,FALSE))</f>
        <v>0</v>
      </c>
      <c r="T232" s="1">
        <f>IF(D232="EV",'Energy and charging'!$B$12,0)</f>
        <v>0</v>
      </c>
      <c r="U232" s="1">
        <f>IFERROR(IF(C232=0,0,IF(D232="EV",IF('Replacement plan'!$F$63="",INDEX(Products!$E$7:$E$13,MATCH('Replacement plan'!$B$63,Products!$A$7:$A$13,0)),'Replacement plan'!$F$63)/IF('Replacement plan'!$G$63="Battery",1-'Operating costs'!$B$44,1),0)),"n.a.")</f>
        <v>0</v>
      </c>
      <c r="V232" s="1">
        <f>IFERROR(IF(C232=0,0,IF(D232="EV",IF('Replacement plan'!$E$63="",INDEX(Products!$D$7:$D$13,MATCH('Replacement plan'!$B$63,Products!$A$7:$A$13,0)),'Replacement plan'!$E$63),0)),"n.a.")</f>
        <v>0</v>
      </c>
      <c r="W232" s="1">
        <f>IF(C232=0,0,IF(AND(P232="Complete",D232="EV",E232&lt;120),IF(T232=0,0,ROUNDUP(T232*(R232-'Operating costs'!$B$41)*(S232*U232+'Operating costs'!$B$48/(1-'Operating costs'!$B$44))/(V232*'Operating costs'!$B$47/(1-'Operating costs'!$B$44)-T232*'Operating costs'!$B$12*U232),0)),0))</f>
        <v>0</v>
      </c>
      <c r="X232" s="1">
        <f>IF(C232=0,0,IF(AND(P232="Complete",D232="EV",E232&lt;120),(R232-'Operating costs'!$B$41)*(S232*U232+'Operating costs'!$B$48/(1-'Operating costs'!$B$44))+W232*'Operating costs'!$B$12*U232,0))</f>
        <v>0</v>
      </c>
      <c r="Y232" s="1">
        <f>IF(AND(C232=1,D232="EV",E232&lt;120),AI232/(1-'Operating costs'!$B$44)*(1-T232),0)</f>
        <v>0</v>
      </c>
      <c r="Z232" s="1">
        <f t="shared" si="6"/>
        <v>0</v>
      </c>
      <c r="AA232" s="1">
        <f>IF(C232=0,0,IF(P232="Complete",((S232*(R232-'Operating costs'!$B$40))+ROUNDUP(S232*(R232-'Operating costs'!$B$40)*IF('Replacement plan'!$AH$63="",'Operating costs'!$B$7,'Replacement plan'!$AH$63)/('Operating costs'!$B$8-'Operating costs'!$B$9*IF('Replacement plan'!$AH$63="",'Operating costs'!$B$7,'Replacement plan'!$AH$63)),0)*'Operating costs'!$B$9)*IF('Replacement plan'!$AH$63="",'Operating costs'!$B$7,'Replacement plan'!$AH$63),"n.a."))</f>
        <v>0</v>
      </c>
      <c r="AB232" s="1">
        <f t="shared" si="7"/>
        <v>0</v>
      </c>
      <c r="AC232" s="1">
        <f>IF(AND(C232=1,D232="EV",E232&lt;120,T232&gt;0),'Operating costs'!$B$12/'Operating costs'!$B$11*60+'Operating costs'!$B$13+'Operating costs'!$B$14+V232*'Operating costs'!$B$47/(1-'Operating costs'!$B$44)/'Replacement plan'!$L$63*60,0)</f>
        <v>0</v>
      </c>
      <c r="AD232" s="1" t="str">
        <f>'Replacement plan'!$B$63</f>
        <v>ChengLong L2EV</v>
      </c>
      <c r="AE232" s="1">
        <f>IF(C232=0,0,VLOOKUP($A232,'Fleet register'!$A$7:$S$106,8,FALSE))</f>
        <v>0</v>
      </c>
      <c r="AF232" s="1" t="str">
        <f>IF('Replacement plan'!$H$63="","n.a.",'Replacement plan'!$H$63)</f>
        <v>n.a.</v>
      </c>
      <c r="AG232" s="1">
        <f>'Replacement plan'!$J$63</f>
        <v>22</v>
      </c>
      <c r="AH232" s="1">
        <f>IFERROR(IF(D232="EV",IF('Replacement plan'!$K$63="AC",IF(ISNUMBER(INDEX(Products!$G$7:$G$13,MATCH('Replacement plan'!$B$63,Products!$A$7:$A$13,0))),INDEX(Products!$G$7:$G$13,MATCH('Replacement plan'!$B$63,Products!$A$7:$A$13,0)),"n.a."),IF(ISNUMBER(INDEX(Products!$H$7:$H$13,MATCH('Replacement plan'!$B$63,Products!$A$7:$A$13,0))),INDEX(Products!$H$7:$H$13,MATCH('Replacement plan'!$B$63,Products!$A$7:$A$13,0)),"n.a.")),0),"n.a.")</f>
        <v>0</v>
      </c>
      <c r="AI232" s="1">
        <f>IF(AND(C232=1,D232="EV",E232&lt;120),(VLOOKUP($A232,'Fleet register'!$A$7:$S$106,7,FALSE)+IF(T232&gt;0,'Operating costs'!$B$12,0))*U232*(1-'Operating costs'!$B$44)+'Operating costs'!$B$49,0)</f>
        <v>0</v>
      </c>
      <c r="AJ232" s="1">
        <f>IF(D232="EV",'Energy and charging'!$B$50,0)</f>
        <v>0</v>
      </c>
      <c r="AK232" s="17">
        <f>EDATE('Operating costs'!$B$63,E232)</f>
        <v>46298</v>
      </c>
      <c r="AL232" s="1">
        <f>IFERROR(IF(D232="EV",INDEX(Products!$B$7:$B$13,MATCH('Replacement plan'!$B$63,Products!$A$7:$A$13,0)),0),"n.a.")</f>
        <v>0</v>
      </c>
      <c r="AM232" s="1" t="str">
        <f>'Replacement plan'!$K$63</f>
        <v>DC</v>
      </c>
      <c r="AN232" s="1" t="str">
        <f>'Replacement plan'!$AE$63</f>
        <v>Assumed</v>
      </c>
      <c r="AO232" s="47">
        <f>IF(AND(C232=1,D232="EV",E232&lt;120),(R232-'Operating costs'!$B$41)*S232+W232*'Operating costs'!$B$12,0)</f>
        <v>0</v>
      </c>
      <c r="AP232" s="41">
        <f>IF(AND(C232=1,D232="EV",E232&lt;120),IF('Operating costs'!$B$68="Hong Seh 200k average",AO232*IFERROR(INDEX(Products!$P$7:$P$13,MATCH(AD232,Products!$A$7:$A$13,0)),"n.a."),'Operating costs'!$B$26),0)</f>
        <v>0</v>
      </c>
      <c r="AQ232" s="40" t="str">
        <f>IF(D232="EV",'Operating costs'!$B$68,"Not applicable")</f>
        <v>Not applicable</v>
      </c>
    </row>
    <row r="233" spans="1:43" ht="24" customHeight="1">
      <c r="A233" s="1" t="str">
        <f>'Replacement plan'!A63</f>
        <v>T057</v>
      </c>
      <c r="B233" s="1">
        <v>2</v>
      </c>
      <c r="C233" s="1">
        <f>IF(COUNTIFS('Fleet register'!$A$7:$A$106,$A233)=1,VLOOKUP($A233,'Fleet register'!$A$7:$S$106,2,FALSE),0)</f>
        <v>0</v>
      </c>
      <c r="D233" s="1" t="str">
        <f>IF('Replacement plan'!$O$63="EV","EV","ICE")</f>
        <v>ICE</v>
      </c>
      <c r="E233" s="1">
        <f>IF(C233=0,0,IF('Replacement plan'!$P$63="",IF('Replacement plan'!$O$63="Keep ICE",IF('Replacement plan'!$M$63="",VLOOKUP($A233,'Fleet register'!$A$7:$S$106,10,FALSE),'Replacement plan'!$M$63),0),'Replacement plan'!$P$63))</f>
        <v>0</v>
      </c>
      <c r="F233" s="16">
        <f>IF(C233=0,0,VLOOKUP($A233,'Fleet register'!$A$7:$S$106,11,FALSE))</f>
        <v>0</v>
      </c>
      <c r="G233" s="16">
        <f>IFERROR(IF(C233=0,0,IF(E233=120,0,IF(D233="ICE",'Replacement plan'!$C$63,IF('Replacement plan'!$D$63="",INDEX(Products!$I$7:$I$13,MATCH('Replacement plan'!$B$63,Products!$A$7:$A$13,0))+'Operating costs'!$B$57,'Replacement plan'!$D$63))*(1+'Operating costs'!$B$50)^(E233/12))),"n.a.")</f>
        <v>0</v>
      </c>
      <c r="H233" s="16">
        <f>IFERROR(IF(C233=0,0,IF('Replacement plan'!$U$63&lt;&gt;"",'Replacement plan'!$U$63,IF(E233=0,F233,VLOOKUP($A233,'Fleet register'!$A$7:$S$106,12,FALSE)+VLOOKUP($A233,'Fleet register'!$A$7:$S$106,13,FALSE)*MAX(0,VLOOKUP($A233,'Fleet register'!$A$7:$S$106,10,FALSE)-E233)/VLOOKUP($A233,'Fleet register'!$A$7:$S$106,14,FALSE)))),"n.a.")</f>
        <v>0</v>
      </c>
      <c r="I233" s="16">
        <f>IF(C233=0,0,IF(E233=120,0,'Replacement plan'!$Q$63))</f>
        <v>0</v>
      </c>
      <c r="J233" s="16">
        <f>IF(C233=0,0,IF(P233="Complete",((S233*(R233-'Operating costs'!$B$39))+ROUNDUP(S233*(R233-'Operating costs'!$B$39)*IF('Replacement plan'!$AG$63="",'Operating costs'!$B$7,'Replacement plan'!$AG$63)/('Operating costs'!$B$8-'Operating costs'!$B$9*IF('Replacement plan'!$AG$63="",'Operating costs'!$B$7,'Replacement plan'!$AG$63)),0)*'Operating costs'!$B$9)*IF('Replacement plan'!$AG$63="",'Operating costs'!$B$7,'Replacement plan'!$AG$63)*('Energy and charging'!$B$9*'Energy and charging'!$B$7+(1-'Energy and charging'!$B$9)*'Energy and charging'!$B$8)*'Operating costs'!$B$23,"n.a."))</f>
        <v>0</v>
      </c>
      <c r="K233" s="16">
        <f>IF(C233=0,0,IF(P233="Complete",SUM('Operating costs'!$B$24,'Operating costs'!$B$27,'Operating costs'!$B$29,'Operating costs'!$B$31,'Operating costs'!$B$33,'Operating costs'!$B$34,'Operating costs'!$B$37,'Replacement plan'!$W$63)+'Operating costs'!$B$39*'Operating costs'!$B$42+ROUNDUP(S233*(R233-'Operating costs'!$B$39)*IF('Replacement plan'!$AG$63="",'Operating costs'!$B$7,'Replacement plan'!$AG$63)/('Operating costs'!$B$8-'Operating costs'!$B$9*IF('Replacement plan'!$AG$63="",'Operating costs'!$B$7,'Replacement plan'!$AG$63)),0)*('Operating costs'!$B$9/'Operating costs'!$B$11+'Operating costs'!$B$10/60)*'Operating costs'!$B$19*'Operating costs'!$B$21,"n.a."))</f>
        <v>0</v>
      </c>
      <c r="L233" s="16">
        <f>IF(C233=0,0,IF(P233="Complete",IF(D233="EV",X233*((1-T233)*'Energy and charging'!$B$10+T233*'Energy and charging'!$B$11)*'Operating costs'!$B$22,AA233*('Energy and charging'!$B$9*'Energy and charging'!$B$7+(1-'Energy and charging'!$B$9)*'Energy and charging'!$B$8)*'Operating costs'!$B$23),"n.a."))</f>
        <v>0</v>
      </c>
      <c r="M233" s="37">
        <f>IF(C233=0,0,IF(P233="Complete",IF(D233="ICE",SUM('Operating costs'!$B$25,'Operating costs'!$B$27,'Operating costs'!$B$29,'Operating costs'!$B$31,'Operating costs'!$B$33,'Operating costs'!$B$35,'Operating costs'!$B$37,'Replacement plan'!$X$63)+'Operating costs'!$B$40*'Operating costs'!$B$42+ROUNDUP(S233*(R233-'Operating costs'!$B$40)*IF('Replacement plan'!$AH$63="",'Operating costs'!$B$7,'Replacement plan'!$AH$63)/('Operating costs'!$B$8-'Operating costs'!$B$9*IF('Replacement plan'!$AH$63="",'Operating costs'!$B$7,'Replacement plan'!$AH$63)),0)*('Operating costs'!$B$9/'Operating costs'!$B$11+'Operating costs'!$B$10/60)*'Operating costs'!$B$19*'Operating costs'!$B$21,SUM(AP233,'Operating costs'!$B$28,'Operating costs'!$B$30,'Operating costs'!$B$32,'Operating costs'!$B$33,'Operating costs'!$B$36,'Operating costs'!$B$38,'Replacement plan'!$Y$63)+'Operating costs'!$B$41*'Operating costs'!$B$43+W233*'Operating costs'!$B$15+(T233*X233/'Replacement plan'!$L$63+W233*('Operating costs'!$B$12/'Operating costs'!$B$11+('Operating costs'!$B$13+'Operating costs'!$B$14)/60)+(R233-'Operating costs'!$B$41)*(IF(T233&lt;1,'Operating costs'!$B$16,0)+'Operating costs'!$B$17)/60)*'Operating costs'!$B$19*'Operating costs'!$B$20),"n.a."))</f>
        <v>0</v>
      </c>
      <c r="N233" s="16">
        <f>IF(AND(C233=1,D233="EV",E233&lt;120,E233+'Replacement plan'!$AA$63&lt;=120),'Replacement plan'!$Z$63,0)</f>
        <v>0</v>
      </c>
      <c r="O233" s="1">
        <f>E233+'Replacement plan'!$AA$63</f>
        <v>0</v>
      </c>
      <c r="P233" s="35" t="str">
        <f>IFERROR(IF(C233=0,"Excluded",IF(OR(COUNTIFS('Fleet register'!$A$7:$A$106,A233)&lt;&gt;1,COUNTIFS('Replacement plan'!$A$7:$A$106,A233)&lt;&gt;1),"Duplicate/missing ID",IF(NOT(AND(ISNUMBER(VLOOKUP($A233,'Fleet register'!$A$7:$S$106,5,FALSE)),ISNUMBER(VLOOKUP($A233,'Fleet register'!$A$7:$S$106,6,FALSE)),ISNUMBER(VLOOKUP($A233,'Fleet register'!$A$7:$S$106,10,FALSE)),ISNUMBER(VLOOKUP($A233,'Fleet register'!$A$7:$S$106,11,FALSE)),ISNUMBER(VLOOKUP($A233,'Fleet register'!$A$7:$S$106,12,FALSE)),ISNUMBER(VLOOKUP($A233,'Fleet register'!$A$7:$S$106,13,FALSE)),ISNUMBER(VLOOKUP($A233,'Fleet register'!$A$7:$S$106,14,FALSE)),VLOOKUP($A233,'Fleet register'!$A$7:$S$106,14,FALSE)&gt;0,ISNUMBER('Replacement plan'!$C$63),OR(E233=120,ISNUMBER('Replacement plan'!$Q$63)),ISNUMBER(E233))),"Missing vehicle input",IF(OR(E233&lt;0,E233&gt;VLOOKUP($A233,'Fleet register'!$A$7:$S$106,10,FALSE),E233&gt;120,E233&lt;&gt;INT(E233),VLOOKUP($A233,'Fleet register'!$A$7:$S$106,6,FALSE)&lt;=0,VLOOKUP($A233,'Fleet register'!$A$7:$S$106,6,FALSE)&gt;366,VLOOKUP($A233,'Fleet register'!$A$7:$S$106,5,FALSE)&lt;0,VLOOKUP($A233,'Fleet register'!$A$7:$S$106,11,FALSE)&lt;0,I233&lt;0,'Operating costs'!$B$8&lt;='Operating costs'!$B$7*'Operating costs'!$B$9,'Operating costs'!$B$11&lt;=0,'Operating costs'!$B$39&gt;R233,'Operating costs'!$B$40&gt;R233,'Operating costs'!$B$41&gt;R233,NOT(OR('Replacement plan'!$O$63="Keep ICE",'Replacement plan'!$O$63="New ICE",'Replacement plan'!$O$63="EV"))),"Invalid vehicle input",IF(AND(D233="EV",E233&lt;120,OR(NOT(ISNUMBER(U233)),NOT(ISNUMBER(V233)),V233&lt;=0,T233&lt;0,T233&gt;1,'Replacement plan'!$L$63&lt;=0,'Operating costs'!$B$44&lt;0,'Operating costs'!$B$44&gt;=1,'Operating costs'!$B$47&lt;=0,'Operating costs'!$B$47&gt;1,V233*'Operating costs'!$B$47/(1-'Operating costs'!$B$44)&lt;=T233*'Operating costs'!$B$12*U233,AND('Replacement plan'!$Z$63&gt;0,OR('Replacement plan'!$AB$63&lt;&gt;"Yes",'Operating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charging'!$B$8&gt;=0))),ISNUMBER(VLOOKUP($A233,'Fleet register'!$A$7:$S$106,15,FALSE)),ISNUMBER(VLOOKUP($A233,'Fleet register'!$A$7:$S$106,16,FALSE)),ISNUMBER('Replacement plan'!$W$63),ISNUMBER('Replacement plan'!$X$63),OR(E233=120,AND(ISNUMBER(G233),G233&gt;=0)),ISNUMBER(H233),H233&gt;=0,OR(D233&lt;&gt;"EV",E233=120,AND(ISNUMBER('Operating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average",ISNUMBER(IFERROR(INDEX(Products!$P$7:$P$13,MATCH(AD233,Products!$A$7:$A$13,0)),"")))),ISNUMBER('Operating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plan'!$Y$63),ISNUMBER('Replacement plan'!$Z$63),'Replacement plan'!$Z$63&gt;=0,ISNUMBER('Replacement plan'!$AA$63),'Replacement plan'!$AA$63&gt;=0,'Replacement plan'!$AA$63=INT('Replacement plan'!$AA$63),ISNUMBER('Replacement plan'!$L$63))),'Operating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plan'!$AG$63="",'Operating costs'!$B$7,'Replacement plan'!$AG$63)),IF('Replacement plan'!$AG$63="",'Operating costs'!$B$7,'Replacement plan'!$AG$63)&gt;=0,ISNUMBER(IF('Replacement plan'!$AH$63="",'Operating costs'!$B$7,'Replacement plan'!$AH$63)),IF('Replacement plan'!$AH$63="",'Operating costs'!$B$7,'Replacement plan'!$AH$63)&gt;=0,'Operating costs'!$B$8&gt;MAX(IF('Replacement plan'!$AG$63="",'Operating costs'!$B$7,'Replacement plan'!$AG$63),IF('Replacement plan'!$AH$63="",'Operating costs'!$B$7,'Replacement plan'!$AH$63))*'Operating costs'!$B$9),IF(AND(VLOOKUP($A233,'Fleet register'!$A$7:$S$106,10,FALSE)&gt;=0,VLOOKUP($A233,'Fleet register'!$A$7:$S$106,10,FALSE)&lt;=120,VLOOKUP($A233,'Fleet register'!$A$7:$S$106,10,FALSE)=INT(VLOOKUP($A233,'Fleet register'!$A$7:$S$106,10,FALSE)),VLOOKUP($A233,'Fleet register'!$A$7:$S$106,15,FALSE)&gt;=0,VLOOKUP($A233,'Fleet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costs'!$B$67)&gt;=0,OR(D233&lt;&gt;"EV",E233=120,AND(MIN('Operating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33" s="1" t="str">
        <f>IF(C233=0,"Excluded",IF(P233&lt;&gt;"Complete",P233,IF(OR('Replacement plan'!$AD$63&lt;120-E233,AND(D233="EV",E233&lt;120,OR('Replacement plan'!$AC$63&lt;120-E233,'Replacement plan'!$I$63="No",AND(ISNUMBER(AF233),AE233&gt;AF233),AI233&gt;V233*(1-'Operating costs'!$B$46)^MAX(0,AB233-1)*(1-'Operating costs'!$B$45),AC233&gt;'Operating costs'!$B$18,AND(T233&lt;1,OR(AG233&lt;=0,AND(ISNUMBER(AH233),AG233&gt;AH233))),'Replacement plan'!$L$63&gt;INDEX(Products!$H$7:$H$13,MATCH('Replacement plan'!$B$63,Products!$A$7:$A$13,0))))),"Fails entered limits",IF(AND(D233="EV",E233&lt;120,OR(NOT(ISNUMBER(VLOOKUP($A233,'Fleet register'!$A$7:$S$106,7,FALSE))),NOT(ISNUMBER(VLOOKUP($A233,'Fleet register'!$A$7:$S$106,8,FALSE))),NOT(ISNUMBER(AF233)),'Replacement plan'!$I$63&lt;&gt;"Yes",NOT(ISNUMBER(AH233)),'Operating costs'!$B$59&lt;&gt;"Yes",'Operating costs'!$B$58&lt;&gt;"Yes")),"Unverified","Within entered limits"))))</f>
        <v>Excluded</v>
      </c>
      <c r="R233" s="1">
        <f>IF(C233=0,0,VLOOKUP($A233,'Fleet register'!$A$7:$S$106,6,FALSE))</f>
        <v>0</v>
      </c>
      <c r="S233" s="1">
        <f>IF(C233=0,0,VLOOKUP($A233,'Fleet register'!$A$7:$S$106,5,FALSE))</f>
        <v>0</v>
      </c>
      <c r="T233" s="1">
        <f>IF(D233="EV",'Energy and charging'!$B$12,0)</f>
        <v>0</v>
      </c>
      <c r="U233" s="1">
        <f>IFERROR(IF(C233=0,0,IF(D233="EV",IF('Replacement plan'!$F$63="",INDEX(Products!$E$7:$E$13,MATCH('Replacement plan'!$B$63,Products!$A$7:$A$13,0)),'Replacement plan'!$F$63)/IF('Replacement plan'!$G$63="Battery",1-'Operating costs'!$B$44,1),0)),"n.a.")</f>
        <v>0</v>
      </c>
      <c r="V233" s="1">
        <f>IFERROR(IF(C233=0,0,IF(D233="EV",IF('Replacement plan'!$E$63="",INDEX(Products!$D$7:$D$13,MATCH('Replacement plan'!$B$63,Products!$A$7:$A$13,0)),'Replacement plan'!$E$63),0)),"n.a.")</f>
        <v>0</v>
      </c>
      <c r="W233" s="1">
        <f>IF(C233=0,0,IF(AND(P233="Complete",D233="EV",E233&lt;120),IF(T233=0,0,ROUNDUP(T233*(R233-'Operating costs'!$B$41)*(S233*U233+'Operating costs'!$B$48/(1-'Operating costs'!$B$44))/(V233*'Operating costs'!$B$47/(1-'Operating costs'!$B$44)-T233*'Operating costs'!$B$12*U233),0)),0))</f>
        <v>0</v>
      </c>
      <c r="X233" s="1">
        <f>IF(C233=0,0,IF(AND(P233="Complete",D233="EV",E233&lt;120),(R233-'Operating costs'!$B$41)*(S233*U233+'Operating costs'!$B$48/(1-'Operating costs'!$B$44))+W233*'Operating costs'!$B$12*U233,0))</f>
        <v>0</v>
      </c>
      <c r="Y233" s="1">
        <f>IF(AND(C233=1,D233="EV",E233&lt;120),AI233/(1-'Operating costs'!$B$44)*(1-T233),0)</f>
        <v>0</v>
      </c>
      <c r="Z233" s="1">
        <f t="shared" si="6"/>
        <v>0</v>
      </c>
      <c r="AA233" s="1">
        <f>IF(C233=0,0,IF(P233="Complete",((S233*(R233-'Operating costs'!$B$40))+ROUNDUP(S233*(R233-'Operating costs'!$B$40)*IF('Replacement plan'!$AH$63="",'Operating costs'!$B$7,'Replacement plan'!$AH$63)/('Operating costs'!$B$8-'Operating costs'!$B$9*IF('Replacement plan'!$AH$63="",'Operating costs'!$B$7,'Replacement plan'!$AH$63)),0)*'Operating costs'!$B$9)*IF('Replacement plan'!$AH$63="",'Operating costs'!$B$7,'Replacement plan'!$AH$63),"n.a."))</f>
        <v>0</v>
      </c>
      <c r="AB233" s="1">
        <f t="shared" si="7"/>
        <v>0</v>
      </c>
      <c r="AC233" s="1">
        <f>IF(AND(C233=1,D233="EV",E233&lt;120,T233&gt;0),'Operating costs'!$B$12/'Operating costs'!$B$11*60+'Operating costs'!$B$13+'Operating costs'!$B$14+V233*'Operating costs'!$B$47/(1-'Operating costs'!$B$44)/'Replacement plan'!$L$63*60,0)</f>
        <v>0</v>
      </c>
      <c r="AD233" s="1" t="str">
        <f>'Replacement plan'!$B$63</f>
        <v>ChengLong L2EV</v>
      </c>
      <c r="AE233" s="1">
        <f>IF(C233=0,0,VLOOKUP($A233,'Fleet register'!$A$7:$S$106,8,FALSE))</f>
        <v>0</v>
      </c>
      <c r="AF233" s="1" t="str">
        <f>IF('Replacement plan'!$H$63="","n.a.",'Replacement plan'!$H$63)</f>
        <v>n.a.</v>
      </c>
      <c r="AG233" s="1">
        <f>'Replacement plan'!$J$63</f>
        <v>22</v>
      </c>
      <c r="AH233" s="1">
        <f>IFERROR(IF(D233="EV",IF('Replacement plan'!$K$63="AC",IF(ISNUMBER(INDEX(Products!$G$7:$G$13,MATCH('Replacement plan'!$B$63,Products!$A$7:$A$13,0))),INDEX(Products!$G$7:$G$13,MATCH('Replacement plan'!$B$63,Products!$A$7:$A$13,0)),"n.a."),IF(ISNUMBER(INDEX(Products!$H$7:$H$13,MATCH('Replacement plan'!$B$63,Products!$A$7:$A$13,0))),INDEX(Products!$H$7:$H$13,MATCH('Replacement plan'!$B$63,Products!$A$7:$A$13,0)),"n.a.")),0),"n.a.")</f>
        <v>0</v>
      </c>
      <c r="AI233" s="1">
        <f>IF(AND(C233=1,D233="EV",E233&lt;120),(VLOOKUP($A233,'Fleet register'!$A$7:$S$106,7,FALSE)+IF(T233&gt;0,'Operating costs'!$B$12,0))*U233*(1-'Operating costs'!$B$44)+'Operating costs'!$B$49,0)</f>
        <v>0</v>
      </c>
      <c r="AJ233" s="1">
        <f>IF(D233="EV",'Energy and charging'!$B$50,0)</f>
        <v>0</v>
      </c>
      <c r="AK233" s="17">
        <f>EDATE('Operating costs'!$B$63,E233)</f>
        <v>46298</v>
      </c>
      <c r="AL233" s="1">
        <f>IFERROR(IF(D233="EV",INDEX(Products!$B$7:$B$13,MATCH('Replacement plan'!$B$63,Products!$A$7:$A$13,0)),0),"n.a.")</f>
        <v>0</v>
      </c>
      <c r="AM233" s="1" t="str">
        <f>'Replacement plan'!$K$63</f>
        <v>DC</v>
      </c>
      <c r="AN233" s="1" t="str">
        <f>'Replacement plan'!$AE$63</f>
        <v>Assumed</v>
      </c>
      <c r="AO233" s="47">
        <f>IF(AND(C233=1,D233="EV",E233&lt;120),(R233-'Operating costs'!$B$41)*S233+W233*'Operating costs'!$B$12,0)</f>
        <v>0</v>
      </c>
      <c r="AP233" s="41">
        <f>IF(AND(C233=1,D233="EV",E233&lt;120),IF('Operating costs'!$B$68="Hong Seh 200k average",AO233*IFERROR(INDEX(Products!$P$7:$P$13,MATCH(AD233,Products!$A$7:$A$13,0)),"n.a."),'Operating costs'!$B$26),0)</f>
        <v>0</v>
      </c>
      <c r="AQ233" s="40" t="str">
        <f>IF(D233="EV",'Operating costs'!$B$68,"Not applicable")</f>
        <v>Not applicable</v>
      </c>
    </row>
    <row r="234" spans="1:43" ht="24" customHeight="1">
      <c r="A234" s="1" t="str">
        <f>'Replacement plan'!A63</f>
        <v>T057</v>
      </c>
      <c r="B234" s="1">
        <v>3</v>
      </c>
      <c r="C234" s="1">
        <f>IF(COUNTIFS('Fleet register'!$A$7:$A$106,$A234)=1,VLOOKUP($A234,'Fleet register'!$A$7:$S$106,2,FALSE),0)</f>
        <v>0</v>
      </c>
      <c r="D234" s="1" t="str">
        <f>IF('Replacement plan'!$R$63="EV","EV","ICE")</f>
        <v>ICE</v>
      </c>
      <c r="E234" s="1">
        <f>IF(C234=0,0,IF('Replacement plan'!$S$63="",IF('Replacement plan'!$R$63="Keep ICE",IF('Replacement plan'!$M$63="",VLOOKUP($A234,'Fleet register'!$A$7:$S$106,10,FALSE),'Replacement plan'!$M$63),0),'Replacement plan'!$S$63))</f>
        <v>0</v>
      </c>
      <c r="F234" s="16">
        <f>IF(C234=0,0,VLOOKUP($A234,'Fleet register'!$A$7:$S$106,11,FALSE))</f>
        <v>0</v>
      </c>
      <c r="G234" s="16">
        <f>IFERROR(IF(C234=0,0,IF(E234=120,0,IF(D234="ICE",'Replacement plan'!$C$63,IF('Replacement plan'!$D$63="",INDEX(Products!$I$7:$I$13,MATCH('Replacement plan'!$B$63,Products!$A$7:$A$13,0))+'Operating costs'!$B$57,'Replacement plan'!$D$63))*(1+'Operating costs'!$B$50)^(E234/12))),"n.a.")</f>
        <v>0</v>
      </c>
      <c r="H234" s="16">
        <f>IFERROR(IF(C234=0,0,IF('Replacement plan'!$V$63&lt;&gt;"",'Replacement plan'!$V$63,IF(E234=0,F234,VLOOKUP($A234,'Fleet register'!$A$7:$S$106,12,FALSE)+VLOOKUP($A234,'Fleet register'!$A$7:$S$106,13,FALSE)*MAX(0,VLOOKUP($A234,'Fleet register'!$A$7:$S$106,10,FALSE)-E234)/VLOOKUP($A234,'Fleet register'!$A$7:$S$106,14,FALSE)))),"n.a.")</f>
        <v>0</v>
      </c>
      <c r="I234" s="16">
        <f>IF(C234=0,0,IF(E234=120,0,'Replacement plan'!$T$63))</f>
        <v>0</v>
      </c>
      <c r="J234" s="16">
        <f>IF(C234=0,0,IF(P234="Complete",((S234*(R234-'Operating costs'!$B$39))+ROUNDUP(S234*(R234-'Operating costs'!$B$39)*IF('Replacement plan'!$AG$63="",'Operating costs'!$B$7,'Replacement plan'!$AG$63)/('Operating costs'!$B$8-'Operating costs'!$B$9*IF('Replacement plan'!$AG$63="",'Operating costs'!$B$7,'Replacement plan'!$AG$63)),0)*'Operating costs'!$B$9)*IF('Replacement plan'!$AG$63="",'Operating costs'!$B$7,'Replacement plan'!$AG$63)*('Energy and charging'!$C$9*'Energy and charging'!$C$7+(1-'Energy and charging'!$C$9)*'Energy and charging'!$C$8)*'Operating costs'!$B$23,"n.a."))</f>
        <v>0</v>
      </c>
      <c r="K234" s="16">
        <f>IF(C234=0,0,IF(P234="Complete",SUM('Operating costs'!$B$24,'Operating costs'!$B$27,'Operating costs'!$B$29,'Operating costs'!$B$31,'Operating costs'!$B$33,'Operating costs'!$B$34,'Operating costs'!$B$37,'Replacement plan'!$W$63)+'Operating costs'!$B$39*'Operating costs'!$B$42+ROUNDUP(S234*(R234-'Operating costs'!$B$39)*IF('Replacement plan'!$AG$63="",'Operating costs'!$B$7,'Replacement plan'!$AG$63)/('Operating costs'!$B$8-'Operating costs'!$B$9*IF('Replacement plan'!$AG$63="",'Operating costs'!$B$7,'Replacement plan'!$AG$63)),0)*('Operating costs'!$B$9/'Operating costs'!$B$11+'Operating costs'!$B$10/60)*'Operating costs'!$B$19*'Operating costs'!$B$21,"n.a."))</f>
        <v>0</v>
      </c>
      <c r="L234" s="16">
        <f>IF(C234=0,0,IF(P234="Complete",IF(D234="EV",X234*((1-T234)*'Energy and charging'!$C$10+T234*'Energy and charging'!$C$11)*'Operating costs'!$B$22,AA234*('Energy and charging'!$C$9*'Energy and charging'!$C$7+(1-'Energy and charging'!$C$9)*'Energy and charging'!$C$8)*'Operating costs'!$B$23),"n.a."))</f>
        <v>0</v>
      </c>
      <c r="M234" s="37">
        <f>IF(C234=0,0,IF(P234="Complete",IF(D234="ICE",SUM('Operating costs'!$B$25,'Operating costs'!$B$27,'Operating costs'!$B$29,'Operating costs'!$B$31,'Operating costs'!$B$33,'Operating costs'!$B$35,'Operating costs'!$B$37,'Replacement plan'!$X$63)+'Operating costs'!$B$40*'Operating costs'!$B$42+ROUNDUP(S234*(R234-'Operating costs'!$B$40)*IF('Replacement plan'!$AH$63="",'Operating costs'!$B$7,'Replacement plan'!$AH$63)/('Operating costs'!$B$8-'Operating costs'!$B$9*IF('Replacement plan'!$AH$63="",'Operating costs'!$B$7,'Replacement plan'!$AH$63)),0)*('Operating costs'!$B$9/'Operating costs'!$B$11+'Operating costs'!$B$10/60)*'Operating costs'!$B$19*'Operating costs'!$B$21,SUM(AP234,'Operating costs'!$B$28,'Operating costs'!$B$30,'Operating costs'!$B$32,'Operating costs'!$B$33,'Operating costs'!$B$36,'Operating costs'!$B$38,'Replacement plan'!$Y$63)+'Operating costs'!$B$41*'Operating costs'!$B$43+W234*'Operating costs'!$B$15+(T234*X234/'Replacement plan'!$L$63+W234*('Operating costs'!$B$12/'Operating costs'!$B$11+('Operating costs'!$B$13+'Operating costs'!$B$14)/60)+(R234-'Operating costs'!$B$41)*(IF(T234&lt;1,'Operating costs'!$B$16,0)+'Operating costs'!$B$17)/60)*'Operating costs'!$B$19*'Operating costs'!$B$20),"n.a."))</f>
        <v>0</v>
      </c>
      <c r="N234" s="16">
        <f>IF(AND(C234=1,D234="EV",E234&lt;120,E234+'Replacement plan'!$AA$63&lt;=120),'Replacement plan'!$Z$63,0)</f>
        <v>0</v>
      </c>
      <c r="O234" s="1">
        <f>E234+'Replacement plan'!$AA$63</f>
        <v>0</v>
      </c>
      <c r="P234" s="35" t="str">
        <f>IFERROR(IF(C234=0,"Excluded",IF(OR(COUNTIFS('Fleet register'!$A$7:$A$106,A234)&lt;&gt;1,COUNTIFS('Replacement plan'!$A$7:$A$106,A234)&lt;&gt;1),"Duplicate/missing ID",IF(NOT(AND(ISNUMBER(VLOOKUP($A234,'Fleet register'!$A$7:$S$106,5,FALSE)),ISNUMBER(VLOOKUP($A234,'Fleet register'!$A$7:$S$106,6,FALSE)),ISNUMBER(VLOOKUP($A234,'Fleet register'!$A$7:$S$106,10,FALSE)),ISNUMBER(VLOOKUP($A234,'Fleet register'!$A$7:$S$106,11,FALSE)),ISNUMBER(VLOOKUP($A234,'Fleet register'!$A$7:$S$106,12,FALSE)),ISNUMBER(VLOOKUP($A234,'Fleet register'!$A$7:$S$106,13,FALSE)),ISNUMBER(VLOOKUP($A234,'Fleet register'!$A$7:$S$106,14,FALSE)),VLOOKUP($A234,'Fleet register'!$A$7:$S$106,14,FALSE)&gt;0,ISNUMBER('Replacement plan'!$C$63),OR(E234=120,ISNUMBER('Replacement plan'!$T$63)),ISNUMBER(E234))),"Missing vehicle input",IF(OR(E234&lt;0,E234&gt;VLOOKUP($A234,'Fleet register'!$A$7:$S$106,10,FALSE),E234&gt;120,E234&lt;&gt;INT(E234),VLOOKUP($A234,'Fleet register'!$A$7:$S$106,6,FALSE)&lt;=0,VLOOKUP($A234,'Fleet register'!$A$7:$S$106,6,FALSE)&gt;366,VLOOKUP($A234,'Fleet register'!$A$7:$S$106,5,FALSE)&lt;0,VLOOKUP($A234,'Fleet register'!$A$7:$S$106,11,FALSE)&lt;0,I234&lt;0,'Operating costs'!$B$8&lt;='Operating costs'!$B$7*'Operating costs'!$B$9,'Operating costs'!$B$11&lt;=0,'Operating costs'!$B$39&gt;R234,'Operating costs'!$B$40&gt;R234,'Operating costs'!$B$41&gt;R234,NOT(OR('Replacement plan'!$R$63="Keep ICE",'Replacement plan'!$R$63="New ICE",'Replacement plan'!$R$63="EV"))),"Invalid vehicle input",IF(AND(D234="EV",E234&lt;120,OR(NOT(ISNUMBER(U234)),NOT(ISNUMBER(V234)),V234&lt;=0,T234&lt;0,T234&gt;1,'Replacement plan'!$L$63&lt;=0,'Operating costs'!$B$44&lt;0,'Operating costs'!$B$44&gt;=1,'Operating costs'!$B$47&lt;=0,'Operating costs'!$B$47&gt;1,V234*'Operating costs'!$B$47/(1-'Operating costs'!$B$44)&lt;=T234*'Operating costs'!$B$12*U234,AND('Replacement plan'!$Z$63&gt;0,OR('Replacement plan'!$AB$63&lt;&gt;"Yes",'Operating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charging'!$C$8&gt;=0))),ISNUMBER(VLOOKUP($A234,'Fleet register'!$A$7:$S$106,15,FALSE)),ISNUMBER(VLOOKUP($A234,'Fleet register'!$A$7:$S$106,16,FALSE)),ISNUMBER('Replacement plan'!$W$63),ISNUMBER('Replacement plan'!$X$63),OR(E234=120,AND(ISNUMBER(G234),G234&gt;=0)),ISNUMBER(H234),H234&gt;=0,OR(D234&lt;&gt;"EV",E234=120,AND(ISNUMBER('Operating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average",ISNUMBER(IFERROR(INDEX(Products!$P$7:$P$13,MATCH(AD234,Products!$A$7:$A$13,0)),"")))),ISNUMBER('Operating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plan'!$Y$63),ISNUMBER('Replacement plan'!$Z$63),'Replacement plan'!$Z$63&gt;=0,ISNUMBER('Replacement plan'!$AA$63),'Replacement plan'!$AA$63&gt;=0,'Replacement plan'!$AA$63=INT('Replacement plan'!$AA$63),ISNUMBER('Replacement plan'!$L$63))),'Operating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plan'!$AG$63="",'Operating costs'!$B$7,'Replacement plan'!$AG$63)),IF('Replacement plan'!$AG$63="",'Operating costs'!$B$7,'Replacement plan'!$AG$63)&gt;=0,ISNUMBER(IF('Replacement plan'!$AH$63="",'Operating costs'!$B$7,'Replacement plan'!$AH$63)),IF('Replacement plan'!$AH$63="",'Operating costs'!$B$7,'Replacement plan'!$AH$63)&gt;=0,'Operating costs'!$B$8&gt;MAX(IF('Replacement plan'!$AG$63="",'Operating costs'!$B$7,'Replacement plan'!$AG$63),IF('Replacement plan'!$AH$63="",'Operating costs'!$B$7,'Replacement plan'!$AH$63))*'Operating costs'!$B$9),IF(AND(VLOOKUP($A234,'Fleet register'!$A$7:$S$106,10,FALSE)&gt;=0,VLOOKUP($A234,'Fleet register'!$A$7:$S$106,10,FALSE)&lt;=120,VLOOKUP($A234,'Fleet register'!$A$7:$S$106,10,FALSE)=INT(VLOOKUP($A234,'Fleet register'!$A$7:$S$106,10,FALSE)),VLOOKUP($A234,'Fleet register'!$A$7:$S$106,15,FALSE)&gt;=0,VLOOKUP($A234,'Fleet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costs'!$B$67)&gt;=0,OR(D234&lt;&gt;"EV",E234=120,AND(MIN('Operating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34" s="1" t="str">
        <f>IF(C234=0,"Excluded",IF(P234&lt;&gt;"Complete",P234,IF(OR('Replacement plan'!$AD$63&lt;120-E234,AND(D234="EV",E234&lt;120,OR('Replacement plan'!$AC$63&lt;120-E234,'Replacement plan'!$I$63="No",AND(ISNUMBER(AF234),AE234&gt;AF234),AI234&gt;V234*(1-'Operating costs'!$B$46)^MAX(0,AB234-1)*(1-'Operating costs'!$B$45),AC234&gt;'Operating costs'!$B$18,AND(T234&lt;1,OR(AG234&lt;=0,AND(ISNUMBER(AH234),AG234&gt;AH234))),'Replacement plan'!$L$63&gt;INDEX(Products!$H$7:$H$13,MATCH('Replacement plan'!$B$63,Products!$A$7:$A$13,0))))),"Fails entered limits",IF(AND(D234="EV",E234&lt;120,OR(NOT(ISNUMBER(VLOOKUP($A234,'Fleet register'!$A$7:$S$106,7,FALSE))),NOT(ISNUMBER(VLOOKUP($A234,'Fleet register'!$A$7:$S$106,8,FALSE))),NOT(ISNUMBER(AF234)),'Replacement plan'!$I$63&lt;&gt;"Yes",NOT(ISNUMBER(AH234)),'Operating costs'!$B$59&lt;&gt;"Yes",'Operating costs'!$B$58&lt;&gt;"Yes")),"Unverified","Within entered limits"))))</f>
        <v>Excluded</v>
      </c>
      <c r="R234" s="1">
        <f>IF(C234=0,0,VLOOKUP($A234,'Fleet register'!$A$7:$S$106,6,FALSE))</f>
        <v>0</v>
      </c>
      <c r="S234" s="1">
        <f>IF(C234=0,0,VLOOKUP($A234,'Fleet register'!$A$7:$S$106,5,FALSE))</f>
        <v>0</v>
      </c>
      <c r="T234" s="1">
        <f>IF(D234="EV",'Energy and charging'!$C$12,0)</f>
        <v>0</v>
      </c>
      <c r="U234" s="1">
        <f>IFERROR(IF(C234=0,0,IF(D234="EV",IF('Replacement plan'!$F$63="",INDEX(Products!$E$7:$E$13,MATCH('Replacement plan'!$B$63,Products!$A$7:$A$13,0)),'Replacement plan'!$F$63)/IF('Replacement plan'!$G$63="Battery",1-'Operating costs'!$B$44,1),0)),"n.a.")</f>
        <v>0</v>
      </c>
      <c r="V234" s="1">
        <f>IFERROR(IF(C234=0,0,IF(D234="EV",IF('Replacement plan'!$E$63="",INDEX(Products!$D$7:$D$13,MATCH('Replacement plan'!$B$63,Products!$A$7:$A$13,0)),'Replacement plan'!$E$63),0)),"n.a.")</f>
        <v>0</v>
      </c>
      <c r="W234" s="1">
        <f>IF(C234=0,0,IF(AND(P234="Complete",D234="EV",E234&lt;120),IF(T234=0,0,ROUNDUP(T234*(R234-'Operating costs'!$B$41)*(S234*U234+'Operating costs'!$B$48/(1-'Operating costs'!$B$44))/(V234*'Operating costs'!$B$47/(1-'Operating costs'!$B$44)-T234*'Operating costs'!$B$12*U234),0)),0))</f>
        <v>0</v>
      </c>
      <c r="X234" s="1">
        <f>IF(C234=0,0,IF(AND(P234="Complete",D234="EV",E234&lt;120),(R234-'Operating costs'!$B$41)*(S234*U234+'Operating costs'!$B$48/(1-'Operating costs'!$B$44))+W234*'Operating costs'!$B$12*U234,0))</f>
        <v>0</v>
      </c>
      <c r="Y234" s="1">
        <f>IF(AND(C234=1,D234="EV",E234&lt;120),AI234/(1-'Operating costs'!$B$44)*(1-T234),0)</f>
        <v>0</v>
      </c>
      <c r="Z234" s="1">
        <f t="shared" si="6"/>
        <v>0</v>
      </c>
      <c r="AA234" s="1">
        <f>IF(C234=0,0,IF(P234="Complete",((S234*(R234-'Operating costs'!$B$40))+ROUNDUP(S234*(R234-'Operating costs'!$B$40)*IF('Replacement plan'!$AH$63="",'Operating costs'!$B$7,'Replacement plan'!$AH$63)/('Operating costs'!$B$8-'Operating costs'!$B$9*IF('Replacement plan'!$AH$63="",'Operating costs'!$B$7,'Replacement plan'!$AH$63)),0)*'Operating costs'!$B$9)*IF('Replacement plan'!$AH$63="",'Operating costs'!$B$7,'Replacement plan'!$AH$63),"n.a."))</f>
        <v>0</v>
      </c>
      <c r="AB234" s="1">
        <f t="shared" si="7"/>
        <v>0</v>
      </c>
      <c r="AC234" s="1">
        <f>IF(AND(C234=1,D234="EV",E234&lt;120,T234&gt;0),'Operating costs'!$B$12/'Operating costs'!$B$11*60+'Operating costs'!$B$13+'Operating costs'!$B$14+V234*'Operating costs'!$B$47/(1-'Operating costs'!$B$44)/'Replacement plan'!$L$63*60,0)</f>
        <v>0</v>
      </c>
      <c r="AD234" s="1" t="str">
        <f>'Replacement plan'!$B$63</f>
        <v>ChengLong L2EV</v>
      </c>
      <c r="AE234" s="1">
        <f>IF(C234=0,0,VLOOKUP($A234,'Fleet register'!$A$7:$S$106,8,FALSE))</f>
        <v>0</v>
      </c>
      <c r="AF234" s="1" t="str">
        <f>IF('Replacement plan'!$H$63="","n.a.",'Replacement plan'!$H$63)</f>
        <v>n.a.</v>
      </c>
      <c r="AG234" s="1">
        <f>'Replacement plan'!$J$63</f>
        <v>22</v>
      </c>
      <c r="AH234" s="1">
        <f>IFERROR(IF(D234="EV",IF('Replacement plan'!$K$63="AC",IF(ISNUMBER(INDEX(Products!$G$7:$G$13,MATCH('Replacement plan'!$B$63,Products!$A$7:$A$13,0))),INDEX(Products!$G$7:$G$13,MATCH('Replacement plan'!$B$63,Products!$A$7:$A$13,0)),"n.a."),IF(ISNUMBER(INDEX(Products!$H$7:$H$13,MATCH('Replacement plan'!$B$63,Products!$A$7:$A$13,0))),INDEX(Products!$H$7:$H$13,MATCH('Replacement plan'!$B$63,Products!$A$7:$A$13,0)),"n.a.")),0),"n.a.")</f>
        <v>0</v>
      </c>
      <c r="AI234" s="1">
        <f>IF(AND(C234=1,D234="EV",E234&lt;120),(VLOOKUP($A234,'Fleet register'!$A$7:$S$106,7,FALSE)+IF(T234&gt;0,'Operating costs'!$B$12,0))*U234*(1-'Operating costs'!$B$44)+'Operating costs'!$B$49,0)</f>
        <v>0</v>
      </c>
      <c r="AJ234" s="1">
        <f>IF(D234="EV",'Energy and charging'!$C$50,0)</f>
        <v>0</v>
      </c>
      <c r="AK234" s="17">
        <f>EDATE('Operating costs'!$B$63,E234)</f>
        <v>46298</v>
      </c>
      <c r="AL234" s="1">
        <f>IFERROR(IF(D234="EV",INDEX(Products!$B$7:$B$13,MATCH('Replacement plan'!$B$63,Products!$A$7:$A$13,0)),0),"n.a.")</f>
        <v>0</v>
      </c>
      <c r="AM234" s="1" t="str">
        <f>'Replacement plan'!$K$63</f>
        <v>DC</v>
      </c>
      <c r="AN234" s="1" t="str">
        <f>'Replacement plan'!$AE$63</f>
        <v>Assumed</v>
      </c>
      <c r="AO234" s="47">
        <f>IF(AND(C234=1,D234="EV",E234&lt;120),(R234-'Operating costs'!$B$41)*S234+W234*'Operating costs'!$B$12,0)</f>
        <v>0</v>
      </c>
      <c r="AP234" s="41">
        <f>IF(AND(C234=1,D234="EV",E234&lt;120),IF('Operating costs'!$B$68="Hong Seh 200k average",AO234*IFERROR(INDEX(Products!$P$7:$P$13,MATCH(AD234,Products!$A$7:$A$13,0)),"n.a."),'Operating costs'!$B$26),0)</f>
        <v>0</v>
      </c>
      <c r="AQ234" s="40" t="str">
        <f>IF(D234="EV",'Operating costs'!$B$68,"Not applicable")</f>
        <v>Not applicable</v>
      </c>
    </row>
    <row r="235" spans="1:43" ht="24" customHeight="1">
      <c r="A235" s="1" t="str">
        <f>'Replacement plan'!A64</f>
        <v>T058</v>
      </c>
      <c r="B235" s="1">
        <v>0</v>
      </c>
      <c r="C235" s="1">
        <f>IF(COUNTIFS('Fleet register'!$A$7:$A$106,$A235)=1,VLOOKUP($A235,'Fleet register'!$A$7:$S$106,2,FALSE),0)</f>
        <v>0</v>
      </c>
      <c r="D235" s="1" t="str">
        <f>IF("Keep ICE"="EV","EV","ICE")</f>
        <v>ICE</v>
      </c>
      <c r="E235" s="1">
        <f>IF(C235=0,0,IF('Replacement plan'!$M$64="",VLOOKUP($A235,'Fleet register'!$A$7:$S$106,10,FALSE),'Replacement plan'!$M$64))</f>
        <v>0</v>
      </c>
      <c r="F235" s="16">
        <f>IF(C235=0,0,VLOOKUP($A235,'Fleet register'!$A$7:$S$106,11,FALSE))</f>
        <v>0</v>
      </c>
      <c r="G235" s="16">
        <f>IFERROR(IF(C235=0,0,IF(E235=120,0,IF(D235="ICE",'Replacement plan'!$C$64,IF('Replacement plan'!$D$64="",INDEX(Products!$I$7:$I$13,MATCH('Replacement plan'!$B$64,Products!$A$7:$A$13,0))+'Operating costs'!$B$57,'Replacement plan'!$D$64))*(1+'Operating costs'!$B$50)^(E235/12))),"n.a.")</f>
        <v>0</v>
      </c>
      <c r="H235" s="16">
        <f>IFERROR(IF(C235=0,0,IF(E235=0,F235,VLOOKUP($A235,'Fleet register'!$A$7:$S$106,12,FALSE)+VLOOKUP($A235,'Fleet register'!$A$7:$S$106,13,FALSE)*MAX(0,VLOOKUP($A235,'Fleet register'!$A$7:$S$106,10,FALSE)-E235)/VLOOKUP($A235,'Fleet register'!$A$7:$S$106,14,FALSE))),"n.a.")</f>
        <v>0</v>
      </c>
      <c r="I235" s="16">
        <f>IF(C235=0,0,IF(E235=120,0,'Replacement plan'!$N$64))</f>
        <v>0</v>
      </c>
      <c r="J235" s="16">
        <f>IF(C235=0,0,IF(P235="Complete",((S235*(R235-'Operating costs'!$B$39))+ROUNDUP(S235*(R235-'Operating costs'!$B$39)*IF('Replacement plan'!$AG$64="",'Operating costs'!$B$7,'Replacement plan'!$AG$64)/('Operating costs'!$B$8-'Operating costs'!$B$9*IF('Replacement plan'!$AG$64="",'Operating costs'!$B$7,'Replacement plan'!$AG$64)),0)*'Operating costs'!$B$9)*IF('Replacement plan'!$AG$64="",'Operating costs'!$B$7,'Replacement plan'!$AG$64)*('Energy and charging'!$B$9*'Energy and charging'!$B$7+(1-'Energy and charging'!$B$9)*'Energy and charging'!$B$8)*'Operating costs'!$B$23,"n.a."))</f>
        <v>0</v>
      </c>
      <c r="K235" s="16">
        <f>IF(C235=0,0,IF(P235="Complete",SUM('Operating costs'!$B$24,'Operating costs'!$B$27,'Operating costs'!$B$29,'Operating costs'!$B$31,'Operating costs'!$B$33,'Operating costs'!$B$34,'Operating costs'!$B$37,'Replacement plan'!$W$64)+'Operating costs'!$B$39*'Operating costs'!$B$42+ROUNDUP(S235*(R235-'Operating costs'!$B$39)*IF('Replacement plan'!$AG$64="",'Operating costs'!$B$7,'Replacement plan'!$AG$64)/('Operating costs'!$B$8-'Operating costs'!$B$9*IF('Replacement plan'!$AG$64="",'Operating costs'!$B$7,'Replacement plan'!$AG$64)),0)*('Operating costs'!$B$9/'Operating costs'!$B$11+'Operating costs'!$B$10/60)*'Operating costs'!$B$19*'Operating costs'!$B$21,"n.a."))</f>
        <v>0</v>
      </c>
      <c r="L235" s="16">
        <f>IF(C235=0,0,IF(P235="Complete",IF(D235="EV",X235*((1-T235)*'Energy and charging'!$B$10+T235*'Energy and charging'!$B$11)*'Operating costs'!$B$22,AA235*('Energy and charging'!$B$9*'Energy and charging'!$B$7+(1-'Energy and charging'!$B$9)*'Energy and charging'!$B$8)*'Operating costs'!$B$23),"n.a."))</f>
        <v>0</v>
      </c>
      <c r="M235" s="37">
        <f>IF(C235=0,0,IF(P235="Complete",IF(D235="ICE",SUM('Operating costs'!$B$25,'Operating costs'!$B$27,'Operating costs'!$B$29,'Operating costs'!$B$31,'Operating costs'!$B$33,'Operating costs'!$B$35,'Operating costs'!$B$37,'Replacement plan'!$X$64)+'Operating costs'!$B$40*'Operating costs'!$B$42+ROUNDUP(S235*(R235-'Operating costs'!$B$40)*IF('Replacement plan'!$AH$64="",'Operating costs'!$B$7,'Replacement plan'!$AH$64)/('Operating costs'!$B$8-'Operating costs'!$B$9*IF('Replacement plan'!$AH$64="",'Operating costs'!$B$7,'Replacement plan'!$AH$64)),0)*('Operating costs'!$B$9/'Operating costs'!$B$11+'Operating costs'!$B$10/60)*'Operating costs'!$B$19*'Operating costs'!$B$21,SUM(AP235,'Operating costs'!$B$28,'Operating costs'!$B$30,'Operating costs'!$B$32,'Operating costs'!$B$33,'Operating costs'!$B$36,'Operating costs'!$B$38,'Replacement plan'!$Y$64)+'Operating costs'!$B$41*'Operating costs'!$B$43+W235*'Operating costs'!$B$15+(T235*X235/'Replacement plan'!$L$64+W235*('Operating costs'!$B$12/'Operating costs'!$B$11+('Operating costs'!$B$13+'Operating costs'!$B$14)/60)+(R235-'Operating costs'!$B$41)*(IF(T235&lt;1,'Operating costs'!$B$16,0)+'Operating costs'!$B$17)/60)*'Operating costs'!$B$19*'Operating costs'!$B$20),"n.a."))</f>
        <v>0</v>
      </c>
      <c r="N235" s="16">
        <f>IF(AND(C235=1,D235="EV",E235&lt;120,E235+'Replacement plan'!$AA$64&lt;=120),'Replacement plan'!$Z$64,0)</f>
        <v>0</v>
      </c>
      <c r="O235" s="1">
        <f>E235+'Replacement plan'!$AA$64</f>
        <v>0</v>
      </c>
      <c r="P235" s="35" t="str">
        <f>IFERROR(IF(C235=0,"Excluded",IF(OR(COUNTIFS('Fleet register'!$A$7:$A$106,A235)&lt;&gt;1,COUNTIFS('Replacement plan'!$A$7:$A$106,A235)&lt;&gt;1),"Duplicate/missing ID",IF(NOT(AND(ISNUMBER(VLOOKUP($A235,'Fleet register'!$A$7:$S$106,5,FALSE)),ISNUMBER(VLOOKUP($A235,'Fleet register'!$A$7:$S$106,6,FALSE)),ISNUMBER(VLOOKUP($A235,'Fleet register'!$A$7:$S$106,10,FALSE)),ISNUMBER(VLOOKUP($A235,'Fleet register'!$A$7:$S$106,11,FALSE)),ISNUMBER(VLOOKUP($A235,'Fleet register'!$A$7:$S$106,12,FALSE)),ISNUMBER(VLOOKUP($A235,'Fleet register'!$A$7:$S$106,13,FALSE)),ISNUMBER(VLOOKUP($A235,'Fleet register'!$A$7:$S$106,14,FALSE)),VLOOKUP($A235,'Fleet register'!$A$7:$S$106,14,FALSE)&gt;0,ISNUMBER('Replacement plan'!$C$64),OR(E235=120,ISNUMBER('Replacement plan'!$N$64)),ISNUMBER(E235))),"Missing vehicle input",IF(OR(E235&lt;0,E235&gt;VLOOKUP($A235,'Fleet register'!$A$7:$S$106,10,FALSE),E235&gt;120,E235&lt;&gt;INT(E235),VLOOKUP($A235,'Fleet register'!$A$7:$S$106,6,FALSE)&lt;=0,VLOOKUP($A235,'Fleet register'!$A$7:$S$106,6,FALSE)&gt;366,VLOOKUP($A235,'Fleet register'!$A$7:$S$106,5,FALSE)&lt;0,VLOOKUP($A235,'Fleet register'!$A$7:$S$106,11,FALSE)&lt;0,I235&lt;0,'Operating costs'!$B$8&lt;='Operating costs'!$B$7*'Operating costs'!$B$9,'Operating costs'!$B$11&lt;=0,'Operating costs'!$B$39&gt;R235,'Operating costs'!$B$40&gt;R235,'Operating costs'!$B$41&gt;R235,NOT(OR("Keep ICE"="Keep ICE","Keep ICE"="New ICE","Keep ICE"="EV"))),"Invalid vehicle input",IF(AND(D235="EV",E235&lt;120,OR(NOT(ISNUMBER(U235)),NOT(ISNUMBER(V235)),V235&lt;=0,T235&lt;0,T235&gt;1,'Replacement plan'!$L$64&lt;=0,'Operating costs'!$B$44&lt;0,'Operating costs'!$B$44&gt;=1,'Operating costs'!$B$47&lt;=0,'Operating costs'!$B$47&gt;1,V235*'Operating costs'!$B$47/(1-'Operating costs'!$B$44)&lt;=T235*'Operating costs'!$B$12*U235,AND('Replacement plan'!$Z$64&gt;0,OR('Replacement plan'!$AB$64&lt;&gt;"Yes",'Operating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charging'!$B$8&gt;=0))),ISNUMBER(VLOOKUP($A235,'Fleet register'!$A$7:$S$106,15,FALSE)),ISNUMBER(VLOOKUP($A235,'Fleet register'!$A$7:$S$106,16,FALSE)),ISNUMBER('Replacement plan'!$W$64),ISNUMBER('Replacement plan'!$X$64),OR(E235=120,AND(ISNUMBER(G235),G235&gt;=0)),ISNUMBER(H235),H235&gt;=0,OR(D235&lt;&gt;"EV",E235=120,AND(ISNUMBER('Operating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average",ISNUMBER(IFERROR(INDEX(Products!$P$7:$P$13,MATCH(AD235,Products!$A$7:$A$13,0)),"")))),ISNUMBER('Operating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plan'!$Y$64),ISNUMBER('Replacement plan'!$Z$64),'Replacement plan'!$Z$64&gt;=0,ISNUMBER('Replacement plan'!$AA$64),'Replacement plan'!$AA$64&gt;=0,'Replacement plan'!$AA$64=INT('Replacement plan'!$AA$64),ISNUMBER('Replacement plan'!$L$64))),'Operating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plan'!$AG$64="",'Operating costs'!$B$7,'Replacement plan'!$AG$64)),IF('Replacement plan'!$AG$64="",'Operating costs'!$B$7,'Replacement plan'!$AG$64)&gt;=0,ISNUMBER(IF('Replacement plan'!$AH$64="",'Operating costs'!$B$7,'Replacement plan'!$AH$64)),IF('Replacement plan'!$AH$64="",'Operating costs'!$B$7,'Replacement plan'!$AH$64)&gt;=0,'Operating costs'!$B$8&gt;MAX(IF('Replacement plan'!$AG$64="",'Operating costs'!$B$7,'Replacement plan'!$AG$64),IF('Replacement plan'!$AH$64="",'Operating costs'!$B$7,'Replacement plan'!$AH$64))*'Operating costs'!$B$9),IF(AND(VLOOKUP($A235,'Fleet register'!$A$7:$S$106,10,FALSE)&gt;=0,VLOOKUP($A235,'Fleet register'!$A$7:$S$106,10,FALSE)&lt;=120,VLOOKUP($A235,'Fleet register'!$A$7:$S$106,10,FALSE)=INT(VLOOKUP($A235,'Fleet register'!$A$7:$S$106,10,FALSE)),VLOOKUP($A235,'Fleet register'!$A$7:$S$106,15,FALSE)&gt;=0,VLOOKUP($A235,'Fleet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costs'!$B$67)&gt;=0,OR(D235&lt;&gt;"EV",E235=120,AND(MIN('Operating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35" s="1" t="str">
        <f>IF(C235=0,"Excluded",IF(P235&lt;&gt;"Complete",P235,IF(OR('Replacement plan'!$AD$64&lt;120-E235,AND(D235="EV",E235&lt;120,OR('Replacement plan'!$AC$64&lt;120-E235,'Replacement plan'!$I$64="No",AND(ISNUMBER(AF235),AE235&gt;AF235),AI235&gt;V235*(1-'Operating costs'!$B$46)^MAX(0,AB235-1)*(1-'Operating costs'!$B$45),AC235&gt;'Operating costs'!$B$18,AND(T235&lt;1,OR(AG235&lt;=0,AND(ISNUMBER(AH235),AG235&gt;AH235))),'Replacement plan'!$L$64&gt;INDEX(Products!$H$7:$H$13,MATCH('Replacement plan'!$B$64,Products!$A$7:$A$13,0))))),"Fails entered limits",IF(AND(D235="EV",E235&lt;120,OR(NOT(ISNUMBER(VLOOKUP($A235,'Fleet register'!$A$7:$S$106,7,FALSE))),NOT(ISNUMBER(VLOOKUP($A235,'Fleet register'!$A$7:$S$106,8,FALSE))),NOT(ISNUMBER(AF235)),'Replacement plan'!$I$64&lt;&gt;"Yes",NOT(ISNUMBER(AH235)),'Operating costs'!$B$59&lt;&gt;"Yes",'Operating costs'!$B$58&lt;&gt;"Yes")),"Unverified","Within entered limits"))))</f>
        <v>Excluded</v>
      </c>
      <c r="R235" s="1">
        <f>IF(C235=0,0,VLOOKUP($A235,'Fleet register'!$A$7:$S$106,6,FALSE))</f>
        <v>0</v>
      </c>
      <c r="S235" s="1">
        <f>IF(C235=0,0,VLOOKUP($A235,'Fleet register'!$A$7:$S$106,5,FALSE))</f>
        <v>0</v>
      </c>
      <c r="T235" s="1">
        <f>IF(D235="EV",'Energy and charging'!$B$12,0)</f>
        <v>0</v>
      </c>
      <c r="U235" s="1">
        <f>IFERROR(IF(C235=0,0,IF(D235="EV",IF('Replacement plan'!$F$64="",INDEX(Products!$E$7:$E$13,MATCH('Replacement plan'!$B$64,Products!$A$7:$A$13,0)),'Replacement plan'!$F$64)/IF('Replacement plan'!$G$64="Battery",1-'Operating costs'!$B$44,1),0)),"n.a.")</f>
        <v>0</v>
      </c>
      <c r="V235" s="1">
        <f>IFERROR(IF(C235=0,0,IF(D235="EV",IF('Replacement plan'!$E$64="",INDEX(Products!$D$7:$D$13,MATCH('Replacement plan'!$B$64,Products!$A$7:$A$13,0)),'Replacement plan'!$E$64),0)),"n.a.")</f>
        <v>0</v>
      </c>
      <c r="W235" s="1">
        <f>IF(C235=0,0,IF(AND(P235="Complete",D235="EV",E235&lt;120),IF(T235=0,0,ROUNDUP(T235*(R235-'Operating costs'!$B$41)*(S235*U235+'Operating costs'!$B$48/(1-'Operating costs'!$B$44))/(V235*'Operating costs'!$B$47/(1-'Operating costs'!$B$44)-T235*'Operating costs'!$B$12*U235),0)),0))</f>
        <v>0</v>
      </c>
      <c r="X235" s="1">
        <f>IF(C235=0,0,IF(AND(P235="Complete",D235="EV",E235&lt;120),(R235-'Operating costs'!$B$41)*(S235*U235+'Operating costs'!$B$48/(1-'Operating costs'!$B$44))+W235*'Operating costs'!$B$12*U235,0))</f>
        <v>0</v>
      </c>
      <c r="Y235" s="1">
        <f>IF(AND(C235=1,D235="EV",E235&lt;120),AI235/(1-'Operating costs'!$B$44)*(1-T235),0)</f>
        <v>0</v>
      </c>
      <c r="Z235" s="1">
        <f t="shared" si="6"/>
        <v>0</v>
      </c>
      <c r="AA235" s="1">
        <f>IF(C235=0,0,IF(P235="Complete",((S235*(R235-'Operating costs'!$B$40))+ROUNDUP(S235*(R235-'Operating costs'!$B$40)*IF('Replacement plan'!$AH$64="",'Operating costs'!$B$7,'Replacement plan'!$AH$64)/('Operating costs'!$B$8-'Operating costs'!$B$9*IF('Replacement plan'!$AH$64="",'Operating costs'!$B$7,'Replacement plan'!$AH$64)),0)*'Operating costs'!$B$9)*IF('Replacement plan'!$AH$64="",'Operating costs'!$B$7,'Replacement plan'!$AH$64),"n.a."))</f>
        <v>0</v>
      </c>
      <c r="AB235" s="1">
        <f t="shared" si="7"/>
        <v>0</v>
      </c>
      <c r="AC235" s="1">
        <f>IF(AND(C235=1,D235="EV",E235&lt;120,T235&gt;0),'Operating costs'!$B$12/'Operating costs'!$B$11*60+'Operating costs'!$B$13+'Operating costs'!$B$14+V235*'Operating costs'!$B$47/(1-'Operating costs'!$B$44)/'Replacement plan'!$L$64*60,0)</f>
        <v>0</v>
      </c>
      <c r="AD235" s="1" t="str">
        <f>'Replacement plan'!$B$64</f>
        <v>ChengLong L2EV</v>
      </c>
      <c r="AE235" s="1">
        <f>IF(C235=0,0,VLOOKUP($A235,'Fleet register'!$A$7:$S$106,8,FALSE))</f>
        <v>0</v>
      </c>
      <c r="AF235" s="1" t="str">
        <f>IF('Replacement plan'!$H$64="","n.a.",'Replacement plan'!$H$64)</f>
        <v>n.a.</v>
      </c>
      <c r="AG235" s="1">
        <f>'Replacement plan'!$J$64</f>
        <v>22</v>
      </c>
      <c r="AH235" s="1">
        <f>IFERROR(IF(D235="EV",IF('Replacement plan'!$K$64="AC",IF(ISNUMBER(INDEX(Products!$G$7:$G$13,MATCH('Replacement plan'!$B$64,Products!$A$7:$A$13,0))),INDEX(Products!$G$7:$G$13,MATCH('Replacement plan'!$B$64,Products!$A$7:$A$13,0)),"n.a."),IF(ISNUMBER(INDEX(Products!$H$7:$H$13,MATCH('Replacement plan'!$B$64,Products!$A$7:$A$13,0))),INDEX(Products!$H$7:$H$13,MATCH('Replacement plan'!$B$64,Products!$A$7:$A$13,0)),"n.a.")),0),"n.a.")</f>
        <v>0</v>
      </c>
      <c r="AI235" s="1">
        <f>IF(AND(C235=1,D235="EV",E235&lt;120),(VLOOKUP($A235,'Fleet register'!$A$7:$S$106,7,FALSE)+IF(T235&gt;0,'Operating costs'!$B$12,0))*U235*(1-'Operating costs'!$B$44)+'Operating costs'!$B$49,0)</f>
        <v>0</v>
      </c>
      <c r="AJ235" s="1">
        <f>IF(D235="EV",'Energy and charging'!$B$50,0)</f>
        <v>0</v>
      </c>
      <c r="AK235" s="17">
        <f>EDATE('Operating costs'!$B$63,E235)</f>
        <v>46298</v>
      </c>
      <c r="AL235" s="1">
        <f>IFERROR(IF(D235="EV",INDEX(Products!$B$7:$B$13,MATCH('Replacement plan'!$B$64,Products!$A$7:$A$13,0)),0),"n.a.")</f>
        <v>0</v>
      </c>
      <c r="AM235" s="1" t="str">
        <f>'Replacement plan'!$K$64</f>
        <v>DC</v>
      </c>
      <c r="AN235" s="1" t="str">
        <f>'Replacement plan'!$AE$64</f>
        <v>Assumed</v>
      </c>
      <c r="AO235" s="47">
        <f>IF(AND(C235=1,D235="EV",E235&lt;120),(R235-'Operating costs'!$B$41)*S235+W235*'Operating costs'!$B$12,0)</f>
        <v>0</v>
      </c>
      <c r="AP235" s="41">
        <f>IF(AND(C235=1,D235="EV",E235&lt;120),IF('Operating costs'!$B$68="Hong Seh 200k average",AO235*IFERROR(INDEX(Products!$P$7:$P$13,MATCH(AD235,Products!$A$7:$A$13,0)),"n.a."),'Operating costs'!$B$26),0)</f>
        <v>0</v>
      </c>
      <c r="AQ235" s="40" t="str">
        <f>IF(D235="EV",'Operating costs'!$B$68,"Not applicable")</f>
        <v>Not applicable</v>
      </c>
    </row>
    <row r="236" spans="1:43" ht="24" customHeight="1">
      <c r="A236" s="1" t="str">
        <f>'Replacement plan'!A64</f>
        <v>T058</v>
      </c>
      <c r="B236" s="1">
        <v>1</v>
      </c>
      <c r="C236" s="1">
        <f>IF(COUNTIFS('Fleet register'!$A$7:$A$106,$A236)=1,VLOOKUP($A236,'Fleet register'!$A$7:$S$106,2,FALSE),0)</f>
        <v>0</v>
      </c>
      <c r="D236" s="1" t="str">
        <f>IF("New ICE"="EV","EV","ICE")</f>
        <v>ICE</v>
      </c>
      <c r="E236" s="1">
        <f>IF(C236=0,0,0)</f>
        <v>0</v>
      </c>
      <c r="F236" s="16">
        <f>IF(C236=0,0,VLOOKUP($A236,'Fleet register'!$A$7:$S$106,11,FALSE))</f>
        <v>0</v>
      </c>
      <c r="G236" s="16">
        <f>IFERROR(IF(C236=0,0,IF(E236=120,0,IF(D236="ICE",'Replacement plan'!$C$64,IF('Replacement plan'!$D$64="",INDEX(Products!$I$7:$I$13,MATCH('Replacement plan'!$B$64,Products!$A$7:$A$13,0))+'Operating costs'!$B$57,'Replacement plan'!$D$64))*(1+'Operating costs'!$B$50)^(E236/12))),"n.a.")</f>
        <v>0</v>
      </c>
      <c r="H236" s="16">
        <f>IFERROR(IF(C236=0,0,IF(E236=0,F236,VLOOKUP($A236,'Fleet register'!$A$7:$S$106,12,FALSE)+VLOOKUP($A236,'Fleet register'!$A$7:$S$106,13,FALSE)*MAX(0,VLOOKUP($A236,'Fleet register'!$A$7:$S$106,10,FALSE)-E236)/VLOOKUP($A236,'Fleet register'!$A$7:$S$106,14,FALSE))),"n.a.")</f>
        <v>0</v>
      </c>
      <c r="I236" s="16">
        <f>IF(C236=0,0,IF(E236=120,0,IF('Replacement plan'!$AI$64="",'Operating costs'!$B$56,'Replacement plan'!$AI$64)))</f>
        <v>0</v>
      </c>
      <c r="J236" s="16">
        <f>IF(C236=0,0,IF(P236="Complete",((S236*(R236-'Operating costs'!$B$39))+ROUNDUP(S236*(R236-'Operating costs'!$B$39)*IF('Replacement plan'!$AG$64="",'Operating costs'!$B$7,'Replacement plan'!$AG$64)/('Operating costs'!$B$8-'Operating costs'!$B$9*IF('Replacement plan'!$AG$64="",'Operating costs'!$B$7,'Replacement plan'!$AG$64)),0)*'Operating costs'!$B$9)*IF('Replacement plan'!$AG$64="",'Operating costs'!$B$7,'Replacement plan'!$AG$64)*('Energy and charging'!$B$9*'Energy and charging'!$B$7+(1-'Energy and charging'!$B$9)*'Energy and charging'!$B$8)*'Operating costs'!$B$23,"n.a."))</f>
        <v>0</v>
      </c>
      <c r="K236" s="16">
        <f>IF(C236=0,0,IF(P236="Complete",SUM('Operating costs'!$B$24,'Operating costs'!$B$27,'Operating costs'!$B$29,'Operating costs'!$B$31,'Operating costs'!$B$33,'Operating costs'!$B$34,'Operating costs'!$B$37,'Replacement plan'!$W$64)+'Operating costs'!$B$39*'Operating costs'!$B$42+ROUNDUP(S236*(R236-'Operating costs'!$B$39)*IF('Replacement plan'!$AG$64="",'Operating costs'!$B$7,'Replacement plan'!$AG$64)/('Operating costs'!$B$8-'Operating costs'!$B$9*IF('Replacement plan'!$AG$64="",'Operating costs'!$B$7,'Replacement plan'!$AG$64)),0)*('Operating costs'!$B$9/'Operating costs'!$B$11+'Operating costs'!$B$10/60)*'Operating costs'!$B$19*'Operating costs'!$B$21,"n.a."))</f>
        <v>0</v>
      </c>
      <c r="L236" s="16">
        <f>IF(C236=0,0,IF(P236="Complete",IF(D236="EV",X236*((1-T236)*'Energy and charging'!$B$10+T236*'Energy and charging'!$B$11)*'Operating costs'!$B$22,AA236*('Energy and charging'!$B$9*'Energy and charging'!$B$7+(1-'Energy and charging'!$B$9)*'Energy and charging'!$B$8)*'Operating costs'!$B$23),"n.a."))</f>
        <v>0</v>
      </c>
      <c r="M236" s="37">
        <f>IF(C236=0,0,IF(P236="Complete",IF(D236="ICE",SUM('Operating costs'!$B$25,'Operating costs'!$B$27,'Operating costs'!$B$29,'Operating costs'!$B$31,'Operating costs'!$B$33,'Operating costs'!$B$35,'Operating costs'!$B$37,'Replacement plan'!$X$64)+'Operating costs'!$B$40*'Operating costs'!$B$42+ROUNDUP(S236*(R236-'Operating costs'!$B$40)*IF('Replacement plan'!$AH$64="",'Operating costs'!$B$7,'Replacement plan'!$AH$64)/('Operating costs'!$B$8-'Operating costs'!$B$9*IF('Replacement plan'!$AH$64="",'Operating costs'!$B$7,'Replacement plan'!$AH$64)),0)*('Operating costs'!$B$9/'Operating costs'!$B$11+'Operating costs'!$B$10/60)*'Operating costs'!$B$19*'Operating costs'!$B$21,SUM(AP236,'Operating costs'!$B$28,'Operating costs'!$B$30,'Operating costs'!$B$32,'Operating costs'!$B$33,'Operating costs'!$B$36,'Operating costs'!$B$38,'Replacement plan'!$Y$64)+'Operating costs'!$B$41*'Operating costs'!$B$43+W236*'Operating costs'!$B$15+(T236*X236/'Replacement plan'!$L$64+W236*('Operating costs'!$B$12/'Operating costs'!$B$11+('Operating costs'!$B$13+'Operating costs'!$B$14)/60)+(R236-'Operating costs'!$B$41)*(IF(T236&lt;1,'Operating costs'!$B$16,0)+'Operating costs'!$B$17)/60)*'Operating costs'!$B$19*'Operating costs'!$B$20),"n.a."))</f>
        <v>0</v>
      </c>
      <c r="N236" s="16">
        <f>IF(AND(C236=1,D236="EV",E236&lt;120,E236+'Replacement plan'!$AA$64&lt;=120),'Replacement plan'!$Z$64,0)</f>
        <v>0</v>
      </c>
      <c r="O236" s="1">
        <f>E236+'Replacement plan'!$AA$64</f>
        <v>0</v>
      </c>
      <c r="P236" s="35" t="str">
        <f>IFERROR(IF(C236=0,"Excluded",IF(OR(COUNTIFS('Fleet register'!$A$7:$A$106,A236)&lt;&gt;1,COUNTIFS('Replacement plan'!$A$7:$A$106,A236)&lt;&gt;1),"Duplicate/missing ID",IF(NOT(AND(ISNUMBER(VLOOKUP($A236,'Fleet register'!$A$7:$S$106,5,FALSE)),ISNUMBER(VLOOKUP($A236,'Fleet register'!$A$7:$S$106,6,FALSE)),ISNUMBER(VLOOKUP($A236,'Fleet register'!$A$7:$S$106,10,FALSE)),ISNUMBER(VLOOKUP($A236,'Fleet register'!$A$7:$S$106,11,FALSE)),ISNUMBER(VLOOKUP($A236,'Fleet register'!$A$7:$S$106,12,FALSE)),ISNUMBER(VLOOKUP($A236,'Fleet register'!$A$7:$S$106,13,FALSE)),ISNUMBER(VLOOKUP($A236,'Fleet register'!$A$7:$S$106,14,FALSE)),VLOOKUP($A236,'Fleet register'!$A$7:$S$106,14,FALSE)&gt;0,ISNUMBER('Replacement plan'!$C$64),OR(E236=120,OR(ISNUMBER('Replacement plan'!$AI$64),AND('Replacement plan'!$AI$64="",ISNUMBER('Operating costs'!$B$56)))),ISNUMBER(E236))),"Missing vehicle input",IF(OR(E236&lt;0,E236&gt;VLOOKUP($A236,'Fleet register'!$A$7:$S$106,10,FALSE),E236&gt;120,E236&lt;&gt;INT(E236),VLOOKUP($A236,'Fleet register'!$A$7:$S$106,6,FALSE)&lt;=0,VLOOKUP($A236,'Fleet register'!$A$7:$S$106,6,FALSE)&gt;366,VLOOKUP($A236,'Fleet register'!$A$7:$S$106,5,FALSE)&lt;0,VLOOKUP($A236,'Fleet register'!$A$7:$S$106,11,FALSE)&lt;0,I236&lt;0,'Operating costs'!$B$8&lt;='Operating costs'!$B$7*'Operating costs'!$B$9,'Operating costs'!$B$11&lt;=0,'Operating costs'!$B$39&gt;R236,'Operating costs'!$B$40&gt;R236,'Operating costs'!$B$41&gt;R236,NOT(OR("New ICE"="Keep ICE","New ICE"="New ICE","New ICE"="EV"))),"Invalid vehicle input",IF(AND(D236="EV",E236&lt;120,OR(NOT(ISNUMBER(U236)),NOT(ISNUMBER(V236)),V236&lt;=0,T236&lt;0,T236&gt;1,'Replacement plan'!$L$64&lt;=0,'Operating costs'!$B$44&lt;0,'Operating costs'!$B$44&gt;=1,'Operating costs'!$B$47&lt;=0,'Operating costs'!$B$47&gt;1,V236*'Operating costs'!$B$47/(1-'Operating costs'!$B$44)&lt;=T236*'Operating costs'!$B$12*U236,AND('Replacement plan'!$Z$64&gt;0,OR('Replacement plan'!$AB$64&lt;&gt;"Yes",'Operating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charging'!$B$8&gt;=0))),ISNUMBER(VLOOKUP($A236,'Fleet register'!$A$7:$S$106,15,FALSE)),ISNUMBER(VLOOKUP($A236,'Fleet register'!$A$7:$S$106,16,FALSE)),ISNUMBER('Replacement plan'!$W$64),ISNUMBER('Replacement plan'!$X$64),OR(E236=120,AND(ISNUMBER(G236),G236&gt;=0)),ISNUMBER(H236),H236&gt;=0,OR(D236&lt;&gt;"EV",E236=120,AND(ISNUMBER('Operating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average",ISNUMBER(IFERROR(INDEX(Products!$P$7:$P$13,MATCH(AD236,Products!$A$7:$A$13,0)),"")))),ISNUMBER('Operating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plan'!$Y$64),ISNUMBER('Replacement plan'!$Z$64),'Replacement plan'!$Z$64&gt;=0,ISNUMBER('Replacement plan'!$AA$64),'Replacement plan'!$AA$64&gt;=0,'Replacement plan'!$AA$64=INT('Replacement plan'!$AA$64),ISNUMBER('Replacement plan'!$L$64))),'Operating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plan'!$AG$64="",'Operating costs'!$B$7,'Replacement plan'!$AG$64)),IF('Replacement plan'!$AG$64="",'Operating costs'!$B$7,'Replacement plan'!$AG$64)&gt;=0,ISNUMBER(IF('Replacement plan'!$AH$64="",'Operating costs'!$B$7,'Replacement plan'!$AH$64)),IF('Replacement plan'!$AH$64="",'Operating costs'!$B$7,'Replacement plan'!$AH$64)&gt;=0,'Operating costs'!$B$8&gt;MAX(IF('Replacement plan'!$AG$64="",'Operating costs'!$B$7,'Replacement plan'!$AG$64),IF('Replacement plan'!$AH$64="",'Operating costs'!$B$7,'Replacement plan'!$AH$64))*'Operating costs'!$B$9),IF(AND(VLOOKUP($A236,'Fleet register'!$A$7:$S$106,10,FALSE)&gt;=0,VLOOKUP($A236,'Fleet register'!$A$7:$S$106,10,FALSE)&lt;=120,VLOOKUP($A236,'Fleet register'!$A$7:$S$106,10,FALSE)=INT(VLOOKUP($A236,'Fleet register'!$A$7:$S$106,10,FALSE)),VLOOKUP($A236,'Fleet register'!$A$7:$S$106,15,FALSE)&gt;=0,VLOOKUP($A236,'Fleet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costs'!$B$67)&gt;=0,OR(D236&lt;&gt;"EV",E236=120,AND(MIN('Operating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36" s="1" t="str">
        <f>IF(C236=0,"Excluded",IF(P236&lt;&gt;"Complete",P236,IF(OR('Replacement plan'!$AD$64&lt;120-E236,AND(D236="EV",E236&lt;120,OR('Replacement plan'!$AC$64&lt;120-E236,'Replacement plan'!$I$64="No",AND(ISNUMBER(AF236),AE236&gt;AF236),AI236&gt;V236*(1-'Operating costs'!$B$46)^MAX(0,AB236-1)*(1-'Operating costs'!$B$45),AC236&gt;'Operating costs'!$B$18,AND(T236&lt;1,OR(AG236&lt;=0,AND(ISNUMBER(AH236),AG236&gt;AH236))),'Replacement plan'!$L$64&gt;INDEX(Products!$H$7:$H$13,MATCH('Replacement plan'!$B$64,Products!$A$7:$A$13,0))))),"Fails entered limits",IF(AND(D236="EV",E236&lt;120,OR(NOT(ISNUMBER(VLOOKUP($A236,'Fleet register'!$A$7:$S$106,7,FALSE))),NOT(ISNUMBER(VLOOKUP($A236,'Fleet register'!$A$7:$S$106,8,FALSE))),NOT(ISNUMBER(AF236)),'Replacement plan'!$I$64&lt;&gt;"Yes",NOT(ISNUMBER(AH236)),'Operating costs'!$B$59&lt;&gt;"Yes",'Operating costs'!$B$58&lt;&gt;"Yes")),"Unverified","Within entered limits"))))</f>
        <v>Excluded</v>
      </c>
      <c r="R236" s="1">
        <f>IF(C236=0,0,VLOOKUP($A236,'Fleet register'!$A$7:$S$106,6,FALSE))</f>
        <v>0</v>
      </c>
      <c r="S236" s="1">
        <f>IF(C236=0,0,VLOOKUP($A236,'Fleet register'!$A$7:$S$106,5,FALSE))</f>
        <v>0</v>
      </c>
      <c r="T236" s="1">
        <f>IF(D236="EV",'Energy and charging'!$B$12,0)</f>
        <v>0</v>
      </c>
      <c r="U236" s="1">
        <f>IFERROR(IF(C236=0,0,IF(D236="EV",IF('Replacement plan'!$F$64="",INDEX(Products!$E$7:$E$13,MATCH('Replacement plan'!$B$64,Products!$A$7:$A$13,0)),'Replacement plan'!$F$64)/IF('Replacement plan'!$G$64="Battery",1-'Operating costs'!$B$44,1),0)),"n.a.")</f>
        <v>0</v>
      </c>
      <c r="V236" s="1">
        <f>IFERROR(IF(C236=0,0,IF(D236="EV",IF('Replacement plan'!$E$64="",INDEX(Products!$D$7:$D$13,MATCH('Replacement plan'!$B$64,Products!$A$7:$A$13,0)),'Replacement plan'!$E$64),0)),"n.a.")</f>
        <v>0</v>
      </c>
      <c r="W236" s="1">
        <f>IF(C236=0,0,IF(AND(P236="Complete",D236="EV",E236&lt;120),IF(T236=0,0,ROUNDUP(T236*(R236-'Operating costs'!$B$41)*(S236*U236+'Operating costs'!$B$48/(1-'Operating costs'!$B$44))/(V236*'Operating costs'!$B$47/(1-'Operating costs'!$B$44)-T236*'Operating costs'!$B$12*U236),0)),0))</f>
        <v>0</v>
      </c>
      <c r="X236" s="1">
        <f>IF(C236=0,0,IF(AND(P236="Complete",D236="EV",E236&lt;120),(R236-'Operating costs'!$B$41)*(S236*U236+'Operating costs'!$B$48/(1-'Operating costs'!$B$44))+W236*'Operating costs'!$B$12*U236,0))</f>
        <v>0</v>
      </c>
      <c r="Y236" s="1">
        <f>IF(AND(C236=1,D236="EV",E236&lt;120),AI236/(1-'Operating costs'!$B$44)*(1-T236),0)</f>
        <v>0</v>
      </c>
      <c r="Z236" s="1">
        <f t="shared" si="6"/>
        <v>0</v>
      </c>
      <c r="AA236" s="1">
        <f>IF(C236=0,0,IF(P236="Complete",((S236*(R236-'Operating costs'!$B$40))+ROUNDUP(S236*(R236-'Operating costs'!$B$40)*IF('Replacement plan'!$AH$64="",'Operating costs'!$B$7,'Replacement plan'!$AH$64)/('Operating costs'!$B$8-'Operating costs'!$B$9*IF('Replacement plan'!$AH$64="",'Operating costs'!$B$7,'Replacement plan'!$AH$64)),0)*'Operating costs'!$B$9)*IF('Replacement plan'!$AH$64="",'Operating costs'!$B$7,'Replacement plan'!$AH$64),"n.a."))</f>
        <v>0</v>
      </c>
      <c r="AB236" s="1">
        <f t="shared" si="7"/>
        <v>0</v>
      </c>
      <c r="AC236" s="1">
        <f>IF(AND(C236=1,D236="EV",E236&lt;120,T236&gt;0),'Operating costs'!$B$12/'Operating costs'!$B$11*60+'Operating costs'!$B$13+'Operating costs'!$B$14+V236*'Operating costs'!$B$47/(1-'Operating costs'!$B$44)/'Replacement plan'!$L$64*60,0)</f>
        <v>0</v>
      </c>
      <c r="AD236" s="1" t="str">
        <f>'Replacement plan'!$B$64</f>
        <v>ChengLong L2EV</v>
      </c>
      <c r="AE236" s="1">
        <f>IF(C236=0,0,VLOOKUP($A236,'Fleet register'!$A$7:$S$106,8,FALSE))</f>
        <v>0</v>
      </c>
      <c r="AF236" s="1" t="str">
        <f>IF('Replacement plan'!$H$64="","n.a.",'Replacement plan'!$H$64)</f>
        <v>n.a.</v>
      </c>
      <c r="AG236" s="1">
        <f>'Replacement plan'!$J$64</f>
        <v>22</v>
      </c>
      <c r="AH236" s="1">
        <f>IFERROR(IF(D236="EV",IF('Replacement plan'!$K$64="AC",IF(ISNUMBER(INDEX(Products!$G$7:$G$13,MATCH('Replacement plan'!$B$64,Products!$A$7:$A$13,0))),INDEX(Products!$G$7:$G$13,MATCH('Replacement plan'!$B$64,Products!$A$7:$A$13,0)),"n.a."),IF(ISNUMBER(INDEX(Products!$H$7:$H$13,MATCH('Replacement plan'!$B$64,Products!$A$7:$A$13,0))),INDEX(Products!$H$7:$H$13,MATCH('Replacement plan'!$B$64,Products!$A$7:$A$13,0)),"n.a.")),0),"n.a.")</f>
        <v>0</v>
      </c>
      <c r="AI236" s="1">
        <f>IF(AND(C236=1,D236="EV",E236&lt;120),(VLOOKUP($A236,'Fleet register'!$A$7:$S$106,7,FALSE)+IF(T236&gt;0,'Operating costs'!$B$12,0))*U236*(1-'Operating costs'!$B$44)+'Operating costs'!$B$49,0)</f>
        <v>0</v>
      </c>
      <c r="AJ236" s="1">
        <f>IF(D236="EV",'Energy and charging'!$B$50,0)</f>
        <v>0</v>
      </c>
      <c r="AK236" s="17">
        <f>EDATE('Operating costs'!$B$63,E236)</f>
        <v>46298</v>
      </c>
      <c r="AL236" s="1">
        <f>IFERROR(IF(D236="EV",INDEX(Products!$B$7:$B$13,MATCH('Replacement plan'!$B$64,Products!$A$7:$A$13,0)),0),"n.a.")</f>
        <v>0</v>
      </c>
      <c r="AM236" s="1" t="str">
        <f>'Replacement plan'!$K$64</f>
        <v>DC</v>
      </c>
      <c r="AN236" s="1" t="str">
        <f>'Replacement plan'!$AE$64</f>
        <v>Assumed</v>
      </c>
      <c r="AO236" s="47">
        <f>IF(AND(C236=1,D236="EV",E236&lt;120),(R236-'Operating costs'!$B$41)*S236+W236*'Operating costs'!$B$12,0)</f>
        <v>0</v>
      </c>
      <c r="AP236" s="41">
        <f>IF(AND(C236=1,D236="EV",E236&lt;120),IF('Operating costs'!$B$68="Hong Seh 200k average",AO236*IFERROR(INDEX(Products!$P$7:$P$13,MATCH(AD236,Products!$A$7:$A$13,0)),"n.a."),'Operating costs'!$B$26),0)</f>
        <v>0</v>
      </c>
      <c r="AQ236" s="40" t="str">
        <f>IF(D236="EV",'Operating costs'!$B$68,"Not applicable")</f>
        <v>Not applicable</v>
      </c>
    </row>
    <row r="237" spans="1:43" ht="24" customHeight="1">
      <c r="A237" s="1" t="str">
        <f>'Replacement plan'!A64</f>
        <v>T058</v>
      </c>
      <c r="B237" s="1">
        <v>2</v>
      </c>
      <c r="C237" s="1">
        <f>IF(COUNTIFS('Fleet register'!$A$7:$A$106,$A237)=1,VLOOKUP($A237,'Fleet register'!$A$7:$S$106,2,FALSE),0)</f>
        <v>0</v>
      </c>
      <c r="D237" s="1" t="str">
        <f>IF('Replacement plan'!$O$64="EV","EV","ICE")</f>
        <v>ICE</v>
      </c>
      <c r="E237" s="1">
        <f>IF(C237=0,0,IF('Replacement plan'!$P$64="",IF('Replacement plan'!$O$64="Keep ICE",IF('Replacement plan'!$M$64="",VLOOKUP($A237,'Fleet register'!$A$7:$S$106,10,FALSE),'Replacement plan'!$M$64),0),'Replacement plan'!$P$64))</f>
        <v>0</v>
      </c>
      <c r="F237" s="16">
        <f>IF(C237=0,0,VLOOKUP($A237,'Fleet register'!$A$7:$S$106,11,FALSE))</f>
        <v>0</v>
      </c>
      <c r="G237" s="16">
        <f>IFERROR(IF(C237=0,0,IF(E237=120,0,IF(D237="ICE",'Replacement plan'!$C$64,IF('Replacement plan'!$D$64="",INDEX(Products!$I$7:$I$13,MATCH('Replacement plan'!$B$64,Products!$A$7:$A$13,0))+'Operating costs'!$B$57,'Replacement plan'!$D$64))*(1+'Operating costs'!$B$50)^(E237/12))),"n.a.")</f>
        <v>0</v>
      </c>
      <c r="H237" s="16">
        <f>IFERROR(IF(C237=0,0,IF('Replacement plan'!$U$64&lt;&gt;"",'Replacement plan'!$U$64,IF(E237=0,F237,VLOOKUP($A237,'Fleet register'!$A$7:$S$106,12,FALSE)+VLOOKUP($A237,'Fleet register'!$A$7:$S$106,13,FALSE)*MAX(0,VLOOKUP($A237,'Fleet register'!$A$7:$S$106,10,FALSE)-E237)/VLOOKUP($A237,'Fleet register'!$A$7:$S$106,14,FALSE)))),"n.a.")</f>
        <v>0</v>
      </c>
      <c r="I237" s="16">
        <f>IF(C237=0,0,IF(E237=120,0,'Replacement plan'!$Q$64))</f>
        <v>0</v>
      </c>
      <c r="J237" s="16">
        <f>IF(C237=0,0,IF(P237="Complete",((S237*(R237-'Operating costs'!$B$39))+ROUNDUP(S237*(R237-'Operating costs'!$B$39)*IF('Replacement plan'!$AG$64="",'Operating costs'!$B$7,'Replacement plan'!$AG$64)/('Operating costs'!$B$8-'Operating costs'!$B$9*IF('Replacement plan'!$AG$64="",'Operating costs'!$B$7,'Replacement plan'!$AG$64)),0)*'Operating costs'!$B$9)*IF('Replacement plan'!$AG$64="",'Operating costs'!$B$7,'Replacement plan'!$AG$64)*('Energy and charging'!$B$9*'Energy and charging'!$B$7+(1-'Energy and charging'!$B$9)*'Energy and charging'!$B$8)*'Operating costs'!$B$23,"n.a."))</f>
        <v>0</v>
      </c>
      <c r="K237" s="16">
        <f>IF(C237=0,0,IF(P237="Complete",SUM('Operating costs'!$B$24,'Operating costs'!$B$27,'Operating costs'!$B$29,'Operating costs'!$B$31,'Operating costs'!$B$33,'Operating costs'!$B$34,'Operating costs'!$B$37,'Replacement plan'!$W$64)+'Operating costs'!$B$39*'Operating costs'!$B$42+ROUNDUP(S237*(R237-'Operating costs'!$B$39)*IF('Replacement plan'!$AG$64="",'Operating costs'!$B$7,'Replacement plan'!$AG$64)/('Operating costs'!$B$8-'Operating costs'!$B$9*IF('Replacement plan'!$AG$64="",'Operating costs'!$B$7,'Replacement plan'!$AG$64)),0)*('Operating costs'!$B$9/'Operating costs'!$B$11+'Operating costs'!$B$10/60)*'Operating costs'!$B$19*'Operating costs'!$B$21,"n.a."))</f>
        <v>0</v>
      </c>
      <c r="L237" s="16">
        <f>IF(C237=0,0,IF(P237="Complete",IF(D237="EV",X237*((1-T237)*'Energy and charging'!$B$10+T237*'Energy and charging'!$B$11)*'Operating costs'!$B$22,AA237*('Energy and charging'!$B$9*'Energy and charging'!$B$7+(1-'Energy and charging'!$B$9)*'Energy and charging'!$B$8)*'Operating costs'!$B$23),"n.a."))</f>
        <v>0</v>
      </c>
      <c r="M237" s="37">
        <f>IF(C237=0,0,IF(P237="Complete",IF(D237="ICE",SUM('Operating costs'!$B$25,'Operating costs'!$B$27,'Operating costs'!$B$29,'Operating costs'!$B$31,'Operating costs'!$B$33,'Operating costs'!$B$35,'Operating costs'!$B$37,'Replacement plan'!$X$64)+'Operating costs'!$B$40*'Operating costs'!$B$42+ROUNDUP(S237*(R237-'Operating costs'!$B$40)*IF('Replacement plan'!$AH$64="",'Operating costs'!$B$7,'Replacement plan'!$AH$64)/('Operating costs'!$B$8-'Operating costs'!$B$9*IF('Replacement plan'!$AH$64="",'Operating costs'!$B$7,'Replacement plan'!$AH$64)),0)*('Operating costs'!$B$9/'Operating costs'!$B$11+'Operating costs'!$B$10/60)*'Operating costs'!$B$19*'Operating costs'!$B$21,SUM(AP237,'Operating costs'!$B$28,'Operating costs'!$B$30,'Operating costs'!$B$32,'Operating costs'!$B$33,'Operating costs'!$B$36,'Operating costs'!$B$38,'Replacement plan'!$Y$64)+'Operating costs'!$B$41*'Operating costs'!$B$43+W237*'Operating costs'!$B$15+(T237*X237/'Replacement plan'!$L$64+W237*('Operating costs'!$B$12/'Operating costs'!$B$11+('Operating costs'!$B$13+'Operating costs'!$B$14)/60)+(R237-'Operating costs'!$B$41)*(IF(T237&lt;1,'Operating costs'!$B$16,0)+'Operating costs'!$B$17)/60)*'Operating costs'!$B$19*'Operating costs'!$B$20),"n.a."))</f>
        <v>0</v>
      </c>
      <c r="N237" s="16">
        <f>IF(AND(C237=1,D237="EV",E237&lt;120,E237+'Replacement plan'!$AA$64&lt;=120),'Replacement plan'!$Z$64,0)</f>
        <v>0</v>
      </c>
      <c r="O237" s="1">
        <f>E237+'Replacement plan'!$AA$64</f>
        <v>0</v>
      </c>
      <c r="P237" s="35" t="str">
        <f>IFERROR(IF(C237=0,"Excluded",IF(OR(COUNTIFS('Fleet register'!$A$7:$A$106,A237)&lt;&gt;1,COUNTIFS('Replacement plan'!$A$7:$A$106,A237)&lt;&gt;1),"Duplicate/missing ID",IF(NOT(AND(ISNUMBER(VLOOKUP($A237,'Fleet register'!$A$7:$S$106,5,FALSE)),ISNUMBER(VLOOKUP($A237,'Fleet register'!$A$7:$S$106,6,FALSE)),ISNUMBER(VLOOKUP($A237,'Fleet register'!$A$7:$S$106,10,FALSE)),ISNUMBER(VLOOKUP($A237,'Fleet register'!$A$7:$S$106,11,FALSE)),ISNUMBER(VLOOKUP($A237,'Fleet register'!$A$7:$S$106,12,FALSE)),ISNUMBER(VLOOKUP($A237,'Fleet register'!$A$7:$S$106,13,FALSE)),ISNUMBER(VLOOKUP($A237,'Fleet register'!$A$7:$S$106,14,FALSE)),VLOOKUP($A237,'Fleet register'!$A$7:$S$106,14,FALSE)&gt;0,ISNUMBER('Replacement plan'!$C$64),OR(E237=120,ISNUMBER('Replacement plan'!$Q$64)),ISNUMBER(E237))),"Missing vehicle input",IF(OR(E237&lt;0,E237&gt;VLOOKUP($A237,'Fleet register'!$A$7:$S$106,10,FALSE),E237&gt;120,E237&lt;&gt;INT(E237),VLOOKUP($A237,'Fleet register'!$A$7:$S$106,6,FALSE)&lt;=0,VLOOKUP($A237,'Fleet register'!$A$7:$S$106,6,FALSE)&gt;366,VLOOKUP($A237,'Fleet register'!$A$7:$S$106,5,FALSE)&lt;0,VLOOKUP($A237,'Fleet register'!$A$7:$S$106,11,FALSE)&lt;0,I237&lt;0,'Operating costs'!$B$8&lt;='Operating costs'!$B$7*'Operating costs'!$B$9,'Operating costs'!$B$11&lt;=0,'Operating costs'!$B$39&gt;R237,'Operating costs'!$B$40&gt;R237,'Operating costs'!$B$41&gt;R237,NOT(OR('Replacement plan'!$O$64="Keep ICE",'Replacement plan'!$O$64="New ICE",'Replacement plan'!$O$64="EV"))),"Invalid vehicle input",IF(AND(D237="EV",E237&lt;120,OR(NOT(ISNUMBER(U237)),NOT(ISNUMBER(V237)),V237&lt;=0,T237&lt;0,T237&gt;1,'Replacement plan'!$L$64&lt;=0,'Operating costs'!$B$44&lt;0,'Operating costs'!$B$44&gt;=1,'Operating costs'!$B$47&lt;=0,'Operating costs'!$B$47&gt;1,V237*'Operating costs'!$B$47/(1-'Operating costs'!$B$44)&lt;=T237*'Operating costs'!$B$12*U237,AND('Replacement plan'!$Z$64&gt;0,OR('Replacement plan'!$AB$64&lt;&gt;"Yes",'Operating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charging'!$B$8&gt;=0))),ISNUMBER(VLOOKUP($A237,'Fleet register'!$A$7:$S$106,15,FALSE)),ISNUMBER(VLOOKUP($A237,'Fleet register'!$A$7:$S$106,16,FALSE)),ISNUMBER('Replacement plan'!$W$64),ISNUMBER('Replacement plan'!$X$64),OR(E237=120,AND(ISNUMBER(G237),G237&gt;=0)),ISNUMBER(H237),H237&gt;=0,OR(D237&lt;&gt;"EV",E237=120,AND(ISNUMBER('Operating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average",ISNUMBER(IFERROR(INDEX(Products!$P$7:$P$13,MATCH(AD237,Products!$A$7:$A$13,0)),"")))),ISNUMBER('Operating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plan'!$Y$64),ISNUMBER('Replacement plan'!$Z$64),'Replacement plan'!$Z$64&gt;=0,ISNUMBER('Replacement plan'!$AA$64),'Replacement plan'!$AA$64&gt;=0,'Replacement plan'!$AA$64=INT('Replacement plan'!$AA$64),ISNUMBER('Replacement plan'!$L$64))),'Operating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plan'!$AG$64="",'Operating costs'!$B$7,'Replacement plan'!$AG$64)),IF('Replacement plan'!$AG$64="",'Operating costs'!$B$7,'Replacement plan'!$AG$64)&gt;=0,ISNUMBER(IF('Replacement plan'!$AH$64="",'Operating costs'!$B$7,'Replacement plan'!$AH$64)),IF('Replacement plan'!$AH$64="",'Operating costs'!$B$7,'Replacement plan'!$AH$64)&gt;=0,'Operating costs'!$B$8&gt;MAX(IF('Replacement plan'!$AG$64="",'Operating costs'!$B$7,'Replacement plan'!$AG$64),IF('Replacement plan'!$AH$64="",'Operating costs'!$B$7,'Replacement plan'!$AH$64))*'Operating costs'!$B$9),IF(AND(VLOOKUP($A237,'Fleet register'!$A$7:$S$106,10,FALSE)&gt;=0,VLOOKUP($A237,'Fleet register'!$A$7:$S$106,10,FALSE)&lt;=120,VLOOKUP($A237,'Fleet register'!$A$7:$S$106,10,FALSE)=INT(VLOOKUP($A237,'Fleet register'!$A$7:$S$106,10,FALSE)),VLOOKUP($A237,'Fleet register'!$A$7:$S$106,15,FALSE)&gt;=0,VLOOKUP($A237,'Fleet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costs'!$B$67)&gt;=0,OR(D237&lt;&gt;"EV",E237=120,AND(MIN('Operating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37" s="1" t="str">
        <f>IF(C237=0,"Excluded",IF(P237&lt;&gt;"Complete",P237,IF(OR('Replacement plan'!$AD$64&lt;120-E237,AND(D237="EV",E237&lt;120,OR('Replacement plan'!$AC$64&lt;120-E237,'Replacement plan'!$I$64="No",AND(ISNUMBER(AF237),AE237&gt;AF237),AI237&gt;V237*(1-'Operating costs'!$B$46)^MAX(0,AB237-1)*(1-'Operating costs'!$B$45),AC237&gt;'Operating costs'!$B$18,AND(T237&lt;1,OR(AG237&lt;=0,AND(ISNUMBER(AH237),AG237&gt;AH237))),'Replacement plan'!$L$64&gt;INDEX(Products!$H$7:$H$13,MATCH('Replacement plan'!$B$64,Products!$A$7:$A$13,0))))),"Fails entered limits",IF(AND(D237="EV",E237&lt;120,OR(NOT(ISNUMBER(VLOOKUP($A237,'Fleet register'!$A$7:$S$106,7,FALSE))),NOT(ISNUMBER(VLOOKUP($A237,'Fleet register'!$A$7:$S$106,8,FALSE))),NOT(ISNUMBER(AF237)),'Replacement plan'!$I$64&lt;&gt;"Yes",NOT(ISNUMBER(AH237)),'Operating costs'!$B$59&lt;&gt;"Yes",'Operating costs'!$B$58&lt;&gt;"Yes")),"Unverified","Within entered limits"))))</f>
        <v>Excluded</v>
      </c>
      <c r="R237" s="1">
        <f>IF(C237=0,0,VLOOKUP($A237,'Fleet register'!$A$7:$S$106,6,FALSE))</f>
        <v>0</v>
      </c>
      <c r="S237" s="1">
        <f>IF(C237=0,0,VLOOKUP($A237,'Fleet register'!$A$7:$S$106,5,FALSE))</f>
        <v>0</v>
      </c>
      <c r="T237" s="1">
        <f>IF(D237="EV",'Energy and charging'!$B$12,0)</f>
        <v>0</v>
      </c>
      <c r="U237" s="1">
        <f>IFERROR(IF(C237=0,0,IF(D237="EV",IF('Replacement plan'!$F$64="",INDEX(Products!$E$7:$E$13,MATCH('Replacement plan'!$B$64,Products!$A$7:$A$13,0)),'Replacement plan'!$F$64)/IF('Replacement plan'!$G$64="Battery",1-'Operating costs'!$B$44,1),0)),"n.a.")</f>
        <v>0</v>
      </c>
      <c r="V237" s="1">
        <f>IFERROR(IF(C237=0,0,IF(D237="EV",IF('Replacement plan'!$E$64="",INDEX(Products!$D$7:$D$13,MATCH('Replacement plan'!$B$64,Products!$A$7:$A$13,0)),'Replacement plan'!$E$64),0)),"n.a.")</f>
        <v>0</v>
      </c>
      <c r="W237" s="1">
        <f>IF(C237=0,0,IF(AND(P237="Complete",D237="EV",E237&lt;120),IF(T237=0,0,ROUNDUP(T237*(R237-'Operating costs'!$B$41)*(S237*U237+'Operating costs'!$B$48/(1-'Operating costs'!$B$44))/(V237*'Operating costs'!$B$47/(1-'Operating costs'!$B$44)-T237*'Operating costs'!$B$12*U237),0)),0))</f>
        <v>0</v>
      </c>
      <c r="X237" s="1">
        <f>IF(C237=0,0,IF(AND(P237="Complete",D237="EV",E237&lt;120),(R237-'Operating costs'!$B$41)*(S237*U237+'Operating costs'!$B$48/(1-'Operating costs'!$B$44))+W237*'Operating costs'!$B$12*U237,0))</f>
        <v>0</v>
      </c>
      <c r="Y237" s="1">
        <f>IF(AND(C237=1,D237="EV",E237&lt;120),AI237/(1-'Operating costs'!$B$44)*(1-T237),0)</f>
        <v>0</v>
      </c>
      <c r="Z237" s="1">
        <f t="shared" si="6"/>
        <v>0</v>
      </c>
      <c r="AA237" s="1">
        <f>IF(C237=0,0,IF(P237="Complete",((S237*(R237-'Operating costs'!$B$40))+ROUNDUP(S237*(R237-'Operating costs'!$B$40)*IF('Replacement plan'!$AH$64="",'Operating costs'!$B$7,'Replacement plan'!$AH$64)/('Operating costs'!$B$8-'Operating costs'!$B$9*IF('Replacement plan'!$AH$64="",'Operating costs'!$B$7,'Replacement plan'!$AH$64)),0)*'Operating costs'!$B$9)*IF('Replacement plan'!$AH$64="",'Operating costs'!$B$7,'Replacement plan'!$AH$64),"n.a."))</f>
        <v>0</v>
      </c>
      <c r="AB237" s="1">
        <f t="shared" si="7"/>
        <v>0</v>
      </c>
      <c r="AC237" s="1">
        <f>IF(AND(C237=1,D237="EV",E237&lt;120,T237&gt;0),'Operating costs'!$B$12/'Operating costs'!$B$11*60+'Operating costs'!$B$13+'Operating costs'!$B$14+V237*'Operating costs'!$B$47/(1-'Operating costs'!$B$44)/'Replacement plan'!$L$64*60,0)</f>
        <v>0</v>
      </c>
      <c r="AD237" s="1" t="str">
        <f>'Replacement plan'!$B$64</f>
        <v>ChengLong L2EV</v>
      </c>
      <c r="AE237" s="1">
        <f>IF(C237=0,0,VLOOKUP($A237,'Fleet register'!$A$7:$S$106,8,FALSE))</f>
        <v>0</v>
      </c>
      <c r="AF237" s="1" t="str">
        <f>IF('Replacement plan'!$H$64="","n.a.",'Replacement plan'!$H$64)</f>
        <v>n.a.</v>
      </c>
      <c r="AG237" s="1">
        <f>'Replacement plan'!$J$64</f>
        <v>22</v>
      </c>
      <c r="AH237" s="1">
        <f>IFERROR(IF(D237="EV",IF('Replacement plan'!$K$64="AC",IF(ISNUMBER(INDEX(Products!$G$7:$G$13,MATCH('Replacement plan'!$B$64,Products!$A$7:$A$13,0))),INDEX(Products!$G$7:$G$13,MATCH('Replacement plan'!$B$64,Products!$A$7:$A$13,0)),"n.a."),IF(ISNUMBER(INDEX(Products!$H$7:$H$13,MATCH('Replacement plan'!$B$64,Products!$A$7:$A$13,0))),INDEX(Products!$H$7:$H$13,MATCH('Replacement plan'!$B$64,Products!$A$7:$A$13,0)),"n.a.")),0),"n.a.")</f>
        <v>0</v>
      </c>
      <c r="AI237" s="1">
        <f>IF(AND(C237=1,D237="EV",E237&lt;120),(VLOOKUP($A237,'Fleet register'!$A$7:$S$106,7,FALSE)+IF(T237&gt;0,'Operating costs'!$B$12,0))*U237*(1-'Operating costs'!$B$44)+'Operating costs'!$B$49,0)</f>
        <v>0</v>
      </c>
      <c r="AJ237" s="1">
        <f>IF(D237="EV",'Energy and charging'!$B$50,0)</f>
        <v>0</v>
      </c>
      <c r="AK237" s="17">
        <f>EDATE('Operating costs'!$B$63,E237)</f>
        <v>46298</v>
      </c>
      <c r="AL237" s="1">
        <f>IFERROR(IF(D237="EV",INDEX(Products!$B$7:$B$13,MATCH('Replacement plan'!$B$64,Products!$A$7:$A$13,0)),0),"n.a.")</f>
        <v>0</v>
      </c>
      <c r="AM237" s="1" t="str">
        <f>'Replacement plan'!$K$64</f>
        <v>DC</v>
      </c>
      <c r="AN237" s="1" t="str">
        <f>'Replacement plan'!$AE$64</f>
        <v>Assumed</v>
      </c>
      <c r="AO237" s="47">
        <f>IF(AND(C237=1,D237="EV",E237&lt;120),(R237-'Operating costs'!$B$41)*S237+W237*'Operating costs'!$B$12,0)</f>
        <v>0</v>
      </c>
      <c r="AP237" s="41">
        <f>IF(AND(C237=1,D237="EV",E237&lt;120),IF('Operating costs'!$B$68="Hong Seh 200k average",AO237*IFERROR(INDEX(Products!$P$7:$P$13,MATCH(AD237,Products!$A$7:$A$13,0)),"n.a."),'Operating costs'!$B$26),0)</f>
        <v>0</v>
      </c>
      <c r="AQ237" s="40" t="str">
        <f>IF(D237="EV",'Operating costs'!$B$68,"Not applicable")</f>
        <v>Not applicable</v>
      </c>
    </row>
    <row r="238" spans="1:43" ht="24" customHeight="1">
      <c r="A238" s="1" t="str">
        <f>'Replacement plan'!A64</f>
        <v>T058</v>
      </c>
      <c r="B238" s="1">
        <v>3</v>
      </c>
      <c r="C238" s="1">
        <f>IF(COUNTIFS('Fleet register'!$A$7:$A$106,$A238)=1,VLOOKUP($A238,'Fleet register'!$A$7:$S$106,2,FALSE),0)</f>
        <v>0</v>
      </c>
      <c r="D238" s="1" t="str">
        <f>IF('Replacement plan'!$R$64="EV","EV","ICE")</f>
        <v>ICE</v>
      </c>
      <c r="E238" s="1">
        <f>IF(C238=0,0,IF('Replacement plan'!$S$64="",IF('Replacement plan'!$R$64="Keep ICE",IF('Replacement plan'!$M$64="",VLOOKUP($A238,'Fleet register'!$A$7:$S$106,10,FALSE),'Replacement plan'!$M$64),0),'Replacement plan'!$S$64))</f>
        <v>0</v>
      </c>
      <c r="F238" s="16">
        <f>IF(C238=0,0,VLOOKUP($A238,'Fleet register'!$A$7:$S$106,11,FALSE))</f>
        <v>0</v>
      </c>
      <c r="G238" s="16">
        <f>IFERROR(IF(C238=0,0,IF(E238=120,0,IF(D238="ICE",'Replacement plan'!$C$64,IF('Replacement plan'!$D$64="",INDEX(Products!$I$7:$I$13,MATCH('Replacement plan'!$B$64,Products!$A$7:$A$13,0))+'Operating costs'!$B$57,'Replacement plan'!$D$64))*(1+'Operating costs'!$B$50)^(E238/12))),"n.a.")</f>
        <v>0</v>
      </c>
      <c r="H238" s="16">
        <f>IFERROR(IF(C238=0,0,IF('Replacement plan'!$V$64&lt;&gt;"",'Replacement plan'!$V$64,IF(E238=0,F238,VLOOKUP($A238,'Fleet register'!$A$7:$S$106,12,FALSE)+VLOOKUP($A238,'Fleet register'!$A$7:$S$106,13,FALSE)*MAX(0,VLOOKUP($A238,'Fleet register'!$A$7:$S$106,10,FALSE)-E238)/VLOOKUP($A238,'Fleet register'!$A$7:$S$106,14,FALSE)))),"n.a.")</f>
        <v>0</v>
      </c>
      <c r="I238" s="16">
        <f>IF(C238=0,0,IF(E238=120,0,'Replacement plan'!$T$64))</f>
        <v>0</v>
      </c>
      <c r="J238" s="16">
        <f>IF(C238=0,0,IF(P238="Complete",((S238*(R238-'Operating costs'!$B$39))+ROUNDUP(S238*(R238-'Operating costs'!$B$39)*IF('Replacement plan'!$AG$64="",'Operating costs'!$B$7,'Replacement plan'!$AG$64)/('Operating costs'!$B$8-'Operating costs'!$B$9*IF('Replacement plan'!$AG$64="",'Operating costs'!$B$7,'Replacement plan'!$AG$64)),0)*'Operating costs'!$B$9)*IF('Replacement plan'!$AG$64="",'Operating costs'!$B$7,'Replacement plan'!$AG$64)*('Energy and charging'!$C$9*'Energy and charging'!$C$7+(1-'Energy and charging'!$C$9)*'Energy and charging'!$C$8)*'Operating costs'!$B$23,"n.a."))</f>
        <v>0</v>
      </c>
      <c r="K238" s="16">
        <f>IF(C238=0,0,IF(P238="Complete",SUM('Operating costs'!$B$24,'Operating costs'!$B$27,'Operating costs'!$B$29,'Operating costs'!$B$31,'Operating costs'!$B$33,'Operating costs'!$B$34,'Operating costs'!$B$37,'Replacement plan'!$W$64)+'Operating costs'!$B$39*'Operating costs'!$B$42+ROUNDUP(S238*(R238-'Operating costs'!$B$39)*IF('Replacement plan'!$AG$64="",'Operating costs'!$B$7,'Replacement plan'!$AG$64)/('Operating costs'!$B$8-'Operating costs'!$B$9*IF('Replacement plan'!$AG$64="",'Operating costs'!$B$7,'Replacement plan'!$AG$64)),0)*('Operating costs'!$B$9/'Operating costs'!$B$11+'Operating costs'!$B$10/60)*'Operating costs'!$B$19*'Operating costs'!$B$21,"n.a."))</f>
        <v>0</v>
      </c>
      <c r="L238" s="16">
        <f>IF(C238=0,0,IF(P238="Complete",IF(D238="EV",X238*((1-T238)*'Energy and charging'!$C$10+T238*'Energy and charging'!$C$11)*'Operating costs'!$B$22,AA238*('Energy and charging'!$C$9*'Energy and charging'!$C$7+(1-'Energy and charging'!$C$9)*'Energy and charging'!$C$8)*'Operating costs'!$B$23),"n.a."))</f>
        <v>0</v>
      </c>
      <c r="M238" s="37">
        <f>IF(C238=0,0,IF(P238="Complete",IF(D238="ICE",SUM('Operating costs'!$B$25,'Operating costs'!$B$27,'Operating costs'!$B$29,'Operating costs'!$B$31,'Operating costs'!$B$33,'Operating costs'!$B$35,'Operating costs'!$B$37,'Replacement plan'!$X$64)+'Operating costs'!$B$40*'Operating costs'!$B$42+ROUNDUP(S238*(R238-'Operating costs'!$B$40)*IF('Replacement plan'!$AH$64="",'Operating costs'!$B$7,'Replacement plan'!$AH$64)/('Operating costs'!$B$8-'Operating costs'!$B$9*IF('Replacement plan'!$AH$64="",'Operating costs'!$B$7,'Replacement plan'!$AH$64)),0)*('Operating costs'!$B$9/'Operating costs'!$B$11+'Operating costs'!$B$10/60)*'Operating costs'!$B$19*'Operating costs'!$B$21,SUM(AP238,'Operating costs'!$B$28,'Operating costs'!$B$30,'Operating costs'!$B$32,'Operating costs'!$B$33,'Operating costs'!$B$36,'Operating costs'!$B$38,'Replacement plan'!$Y$64)+'Operating costs'!$B$41*'Operating costs'!$B$43+W238*'Operating costs'!$B$15+(T238*X238/'Replacement plan'!$L$64+W238*('Operating costs'!$B$12/'Operating costs'!$B$11+('Operating costs'!$B$13+'Operating costs'!$B$14)/60)+(R238-'Operating costs'!$B$41)*(IF(T238&lt;1,'Operating costs'!$B$16,0)+'Operating costs'!$B$17)/60)*'Operating costs'!$B$19*'Operating costs'!$B$20),"n.a."))</f>
        <v>0</v>
      </c>
      <c r="N238" s="16">
        <f>IF(AND(C238=1,D238="EV",E238&lt;120,E238+'Replacement plan'!$AA$64&lt;=120),'Replacement plan'!$Z$64,0)</f>
        <v>0</v>
      </c>
      <c r="O238" s="1">
        <f>E238+'Replacement plan'!$AA$64</f>
        <v>0</v>
      </c>
      <c r="P238" s="35" t="str">
        <f>IFERROR(IF(C238=0,"Excluded",IF(OR(COUNTIFS('Fleet register'!$A$7:$A$106,A238)&lt;&gt;1,COUNTIFS('Replacement plan'!$A$7:$A$106,A238)&lt;&gt;1),"Duplicate/missing ID",IF(NOT(AND(ISNUMBER(VLOOKUP($A238,'Fleet register'!$A$7:$S$106,5,FALSE)),ISNUMBER(VLOOKUP($A238,'Fleet register'!$A$7:$S$106,6,FALSE)),ISNUMBER(VLOOKUP($A238,'Fleet register'!$A$7:$S$106,10,FALSE)),ISNUMBER(VLOOKUP($A238,'Fleet register'!$A$7:$S$106,11,FALSE)),ISNUMBER(VLOOKUP($A238,'Fleet register'!$A$7:$S$106,12,FALSE)),ISNUMBER(VLOOKUP($A238,'Fleet register'!$A$7:$S$106,13,FALSE)),ISNUMBER(VLOOKUP($A238,'Fleet register'!$A$7:$S$106,14,FALSE)),VLOOKUP($A238,'Fleet register'!$A$7:$S$106,14,FALSE)&gt;0,ISNUMBER('Replacement plan'!$C$64),OR(E238=120,ISNUMBER('Replacement plan'!$T$64)),ISNUMBER(E238))),"Missing vehicle input",IF(OR(E238&lt;0,E238&gt;VLOOKUP($A238,'Fleet register'!$A$7:$S$106,10,FALSE),E238&gt;120,E238&lt;&gt;INT(E238),VLOOKUP($A238,'Fleet register'!$A$7:$S$106,6,FALSE)&lt;=0,VLOOKUP($A238,'Fleet register'!$A$7:$S$106,6,FALSE)&gt;366,VLOOKUP($A238,'Fleet register'!$A$7:$S$106,5,FALSE)&lt;0,VLOOKUP($A238,'Fleet register'!$A$7:$S$106,11,FALSE)&lt;0,I238&lt;0,'Operating costs'!$B$8&lt;='Operating costs'!$B$7*'Operating costs'!$B$9,'Operating costs'!$B$11&lt;=0,'Operating costs'!$B$39&gt;R238,'Operating costs'!$B$40&gt;R238,'Operating costs'!$B$41&gt;R238,NOT(OR('Replacement plan'!$R$64="Keep ICE",'Replacement plan'!$R$64="New ICE",'Replacement plan'!$R$64="EV"))),"Invalid vehicle input",IF(AND(D238="EV",E238&lt;120,OR(NOT(ISNUMBER(U238)),NOT(ISNUMBER(V238)),V238&lt;=0,T238&lt;0,T238&gt;1,'Replacement plan'!$L$64&lt;=0,'Operating costs'!$B$44&lt;0,'Operating costs'!$B$44&gt;=1,'Operating costs'!$B$47&lt;=0,'Operating costs'!$B$47&gt;1,V238*'Operating costs'!$B$47/(1-'Operating costs'!$B$44)&lt;=T238*'Operating costs'!$B$12*U238,AND('Replacement plan'!$Z$64&gt;0,OR('Replacement plan'!$AB$64&lt;&gt;"Yes",'Operating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charging'!$C$8&gt;=0))),ISNUMBER(VLOOKUP($A238,'Fleet register'!$A$7:$S$106,15,FALSE)),ISNUMBER(VLOOKUP($A238,'Fleet register'!$A$7:$S$106,16,FALSE)),ISNUMBER('Replacement plan'!$W$64),ISNUMBER('Replacement plan'!$X$64),OR(E238=120,AND(ISNUMBER(G238),G238&gt;=0)),ISNUMBER(H238),H238&gt;=0,OR(D238&lt;&gt;"EV",E238=120,AND(ISNUMBER('Operating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average",ISNUMBER(IFERROR(INDEX(Products!$P$7:$P$13,MATCH(AD238,Products!$A$7:$A$13,0)),"")))),ISNUMBER('Operating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plan'!$Y$64),ISNUMBER('Replacement plan'!$Z$64),'Replacement plan'!$Z$64&gt;=0,ISNUMBER('Replacement plan'!$AA$64),'Replacement plan'!$AA$64&gt;=0,'Replacement plan'!$AA$64=INT('Replacement plan'!$AA$64),ISNUMBER('Replacement plan'!$L$64))),'Operating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plan'!$AG$64="",'Operating costs'!$B$7,'Replacement plan'!$AG$64)),IF('Replacement plan'!$AG$64="",'Operating costs'!$B$7,'Replacement plan'!$AG$64)&gt;=0,ISNUMBER(IF('Replacement plan'!$AH$64="",'Operating costs'!$B$7,'Replacement plan'!$AH$64)),IF('Replacement plan'!$AH$64="",'Operating costs'!$B$7,'Replacement plan'!$AH$64)&gt;=0,'Operating costs'!$B$8&gt;MAX(IF('Replacement plan'!$AG$64="",'Operating costs'!$B$7,'Replacement plan'!$AG$64),IF('Replacement plan'!$AH$64="",'Operating costs'!$B$7,'Replacement plan'!$AH$64))*'Operating costs'!$B$9),IF(AND(VLOOKUP($A238,'Fleet register'!$A$7:$S$106,10,FALSE)&gt;=0,VLOOKUP($A238,'Fleet register'!$A$7:$S$106,10,FALSE)&lt;=120,VLOOKUP($A238,'Fleet register'!$A$7:$S$106,10,FALSE)=INT(VLOOKUP($A238,'Fleet register'!$A$7:$S$106,10,FALSE)),VLOOKUP($A238,'Fleet register'!$A$7:$S$106,15,FALSE)&gt;=0,VLOOKUP($A238,'Fleet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costs'!$B$67)&gt;=0,OR(D238&lt;&gt;"EV",E238=120,AND(MIN('Operating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38" s="1" t="str">
        <f>IF(C238=0,"Excluded",IF(P238&lt;&gt;"Complete",P238,IF(OR('Replacement plan'!$AD$64&lt;120-E238,AND(D238="EV",E238&lt;120,OR('Replacement plan'!$AC$64&lt;120-E238,'Replacement plan'!$I$64="No",AND(ISNUMBER(AF238),AE238&gt;AF238),AI238&gt;V238*(1-'Operating costs'!$B$46)^MAX(0,AB238-1)*(1-'Operating costs'!$B$45),AC238&gt;'Operating costs'!$B$18,AND(T238&lt;1,OR(AG238&lt;=0,AND(ISNUMBER(AH238),AG238&gt;AH238))),'Replacement plan'!$L$64&gt;INDEX(Products!$H$7:$H$13,MATCH('Replacement plan'!$B$64,Products!$A$7:$A$13,0))))),"Fails entered limits",IF(AND(D238="EV",E238&lt;120,OR(NOT(ISNUMBER(VLOOKUP($A238,'Fleet register'!$A$7:$S$106,7,FALSE))),NOT(ISNUMBER(VLOOKUP($A238,'Fleet register'!$A$7:$S$106,8,FALSE))),NOT(ISNUMBER(AF238)),'Replacement plan'!$I$64&lt;&gt;"Yes",NOT(ISNUMBER(AH238)),'Operating costs'!$B$59&lt;&gt;"Yes",'Operating costs'!$B$58&lt;&gt;"Yes")),"Unverified","Within entered limits"))))</f>
        <v>Excluded</v>
      </c>
      <c r="R238" s="1">
        <f>IF(C238=0,0,VLOOKUP($A238,'Fleet register'!$A$7:$S$106,6,FALSE))</f>
        <v>0</v>
      </c>
      <c r="S238" s="1">
        <f>IF(C238=0,0,VLOOKUP($A238,'Fleet register'!$A$7:$S$106,5,FALSE))</f>
        <v>0</v>
      </c>
      <c r="T238" s="1">
        <f>IF(D238="EV",'Energy and charging'!$C$12,0)</f>
        <v>0</v>
      </c>
      <c r="U238" s="1">
        <f>IFERROR(IF(C238=0,0,IF(D238="EV",IF('Replacement plan'!$F$64="",INDEX(Products!$E$7:$E$13,MATCH('Replacement plan'!$B$64,Products!$A$7:$A$13,0)),'Replacement plan'!$F$64)/IF('Replacement plan'!$G$64="Battery",1-'Operating costs'!$B$44,1),0)),"n.a.")</f>
        <v>0</v>
      </c>
      <c r="V238" s="1">
        <f>IFERROR(IF(C238=0,0,IF(D238="EV",IF('Replacement plan'!$E$64="",INDEX(Products!$D$7:$D$13,MATCH('Replacement plan'!$B$64,Products!$A$7:$A$13,0)),'Replacement plan'!$E$64),0)),"n.a.")</f>
        <v>0</v>
      </c>
      <c r="W238" s="1">
        <f>IF(C238=0,0,IF(AND(P238="Complete",D238="EV",E238&lt;120),IF(T238=0,0,ROUNDUP(T238*(R238-'Operating costs'!$B$41)*(S238*U238+'Operating costs'!$B$48/(1-'Operating costs'!$B$44))/(V238*'Operating costs'!$B$47/(1-'Operating costs'!$B$44)-T238*'Operating costs'!$B$12*U238),0)),0))</f>
        <v>0</v>
      </c>
      <c r="X238" s="1">
        <f>IF(C238=0,0,IF(AND(P238="Complete",D238="EV",E238&lt;120),(R238-'Operating costs'!$B$41)*(S238*U238+'Operating costs'!$B$48/(1-'Operating costs'!$B$44))+W238*'Operating costs'!$B$12*U238,0))</f>
        <v>0</v>
      </c>
      <c r="Y238" s="1">
        <f>IF(AND(C238=1,D238="EV",E238&lt;120),AI238/(1-'Operating costs'!$B$44)*(1-T238),0)</f>
        <v>0</v>
      </c>
      <c r="Z238" s="1">
        <f t="shared" si="6"/>
        <v>0</v>
      </c>
      <c r="AA238" s="1">
        <f>IF(C238=0,0,IF(P238="Complete",((S238*(R238-'Operating costs'!$B$40))+ROUNDUP(S238*(R238-'Operating costs'!$B$40)*IF('Replacement plan'!$AH$64="",'Operating costs'!$B$7,'Replacement plan'!$AH$64)/('Operating costs'!$B$8-'Operating costs'!$B$9*IF('Replacement plan'!$AH$64="",'Operating costs'!$B$7,'Replacement plan'!$AH$64)),0)*'Operating costs'!$B$9)*IF('Replacement plan'!$AH$64="",'Operating costs'!$B$7,'Replacement plan'!$AH$64),"n.a."))</f>
        <v>0</v>
      </c>
      <c r="AB238" s="1">
        <f t="shared" si="7"/>
        <v>0</v>
      </c>
      <c r="AC238" s="1">
        <f>IF(AND(C238=1,D238="EV",E238&lt;120,T238&gt;0),'Operating costs'!$B$12/'Operating costs'!$B$11*60+'Operating costs'!$B$13+'Operating costs'!$B$14+V238*'Operating costs'!$B$47/(1-'Operating costs'!$B$44)/'Replacement plan'!$L$64*60,0)</f>
        <v>0</v>
      </c>
      <c r="AD238" s="1" t="str">
        <f>'Replacement plan'!$B$64</f>
        <v>ChengLong L2EV</v>
      </c>
      <c r="AE238" s="1">
        <f>IF(C238=0,0,VLOOKUP($A238,'Fleet register'!$A$7:$S$106,8,FALSE))</f>
        <v>0</v>
      </c>
      <c r="AF238" s="1" t="str">
        <f>IF('Replacement plan'!$H$64="","n.a.",'Replacement plan'!$H$64)</f>
        <v>n.a.</v>
      </c>
      <c r="AG238" s="1">
        <f>'Replacement plan'!$J$64</f>
        <v>22</v>
      </c>
      <c r="AH238" s="1">
        <f>IFERROR(IF(D238="EV",IF('Replacement plan'!$K$64="AC",IF(ISNUMBER(INDEX(Products!$G$7:$G$13,MATCH('Replacement plan'!$B$64,Products!$A$7:$A$13,0))),INDEX(Products!$G$7:$G$13,MATCH('Replacement plan'!$B$64,Products!$A$7:$A$13,0)),"n.a."),IF(ISNUMBER(INDEX(Products!$H$7:$H$13,MATCH('Replacement plan'!$B$64,Products!$A$7:$A$13,0))),INDEX(Products!$H$7:$H$13,MATCH('Replacement plan'!$B$64,Products!$A$7:$A$13,0)),"n.a.")),0),"n.a.")</f>
        <v>0</v>
      </c>
      <c r="AI238" s="1">
        <f>IF(AND(C238=1,D238="EV",E238&lt;120),(VLOOKUP($A238,'Fleet register'!$A$7:$S$106,7,FALSE)+IF(T238&gt;0,'Operating costs'!$B$12,0))*U238*(1-'Operating costs'!$B$44)+'Operating costs'!$B$49,0)</f>
        <v>0</v>
      </c>
      <c r="AJ238" s="1">
        <f>IF(D238="EV",'Energy and charging'!$C$50,0)</f>
        <v>0</v>
      </c>
      <c r="AK238" s="17">
        <f>EDATE('Operating costs'!$B$63,E238)</f>
        <v>46298</v>
      </c>
      <c r="AL238" s="1">
        <f>IFERROR(IF(D238="EV",INDEX(Products!$B$7:$B$13,MATCH('Replacement plan'!$B$64,Products!$A$7:$A$13,0)),0),"n.a.")</f>
        <v>0</v>
      </c>
      <c r="AM238" s="1" t="str">
        <f>'Replacement plan'!$K$64</f>
        <v>DC</v>
      </c>
      <c r="AN238" s="1" t="str">
        <f>'Replacement plan'!$AE$64</f>
        <v>Assumed</v>
      </c>
      <c r="AO238" s="47">
        <f>IF(AND(C238=1,D238="EV",E238&lt;120),(R238-'Operating costs'!$B$41)*S238+W238*'Operating costs'!$B$12,0)</f>
        <v>0</v>
      </c>
      <c r="AP238" s="41">
        <f>IF(AND(C238=1,D238="EV",E238&lt;120),IF('Operating costs'!$B$68="Hong Seh 200k average",AO238*IFERROR(INDEX(Products!$P$7:$P$13,MATCH(AD238,Products!$A$7:$A$13,0)),"n.a."),'Operating costs'!$B$26),0)</f>
        <v>0</v>
      </c>
      <c r="AQ238" s="40" t="str">
        <f>IF(D238="EV",'Operating costs'!$B$68,"Not applicable")</f>
        <v>Not applicable</v>
      </c>
    </row>
    <row r="239" spans="1:43" ht="24" customHeight="1">
      <c r="A239" s="1" t="str">
        <f>'Replacement plan'!A65</f>
        <v>T059</v>
      </c>
      <c r="B239" s="1">
        <v>0</v>
      </c>
      <c r="C239" s="1">
        <f>IF(COUNTIFS('Fleet register'!$A$7:$A$106,$A239)=1,VLOOKUP($A239,'Fleet register'!$A$7:$S$106,2,FALSE),0)</f>
        <v>0</v>
      </c>
      <c r="D239" s="1" t="str">
        <f>IF("Keep ICE"="EV","EV","ICE")</f>
        <v>ICE</v>
      </c>
      <c r="E239" s="1">
        <f>IF(C239=0,0,IF('Replacement plan'!$M$65="",VLOOKUP($A239,'Fleet register'!$A$7:$S$106,10,FALSE),'Replacement plan'!$M$65))</f>
        <v>0</v>
      </c>
      <c r="F239" s="16">
        <f>IF(C239=0,0,VLOOKUP($A239,'Fleet register'!$A$7:$S$106,11,FALSE))</f>
        <v>0</v>
      </c>
      <c r="G239" s="16">
        <f>IFERROR(IF(C239=0,0,IF(E239=120,0,IF(D239="ICE",'Replacement plan'!$C$65,IF('Replacement plan'!$D$65="",INDEX(Products!$I$7:$I$13,MATCH('Replacement plan'!$B$65,Products!$A$7:$A$13,0))+'Operating costs'!$B$57,'Replacement plan'!$D$65))*(1+'Operating costs'!$B$50)^(E239/12))),"n.a.")</f>
        <v>0</v>
      </c>
      <c r="H239" s="16">
        <f>IFERROR(IF(C239=0,0,IF(E239=0,F239,VLOOKUP($A239,'Fleet register'!$A$7:$S$106,12,FALSE)+VLOOKUP($A239,'Fleet register'!$A$7:$S$106,13,FALSE)*MAX(0,VLOOKUP($A239,'Fleet register'!$A$7:$S$106,10,FALSE)-E239)/VLOOKUP($A239,'Fleet register'!$A$7:$S$106,14,FALSE))),"n.a.")</f>
        <v>0</v>
      </c>
      <c r="I239" s="16">
        <f>IF(C239=0,0,IF(E239=120,0,'Replacement plan'!$N$65))</f>
        <v>0</v>
      </c>
      <c r="J239" s="16">
        <f>IF(C239=0,0,IF(P239="Complete",((S239*(R239-'Operating costs'!$B$39))+ROUNDUP(S239*(R239-'Operating costs'!$B$39)*IF('Replacement plan'!$AG$65="",'Operating costs'!$B$7,'Replacement plan'!$AG$65)/('Operating costs'!$B$8-'Operating costs'!$B$9*IF('Replacement plan'!$AG$65="",'Operating costs'!$B$7,'Replacement plan'!$AG$65)),0)*'Operating costs'!$B$9)*IF('Replacement plan'!$AG$65="",'Operating costs'!$B$7,'Replacement plan'!$AG$65)*('Energy and charging'!$B$9*'Energy and charging'!$B$7+(1-'Energy and charging'!$B$9)*'Energy and charging'!$B$8)*'Operating costs'!$B$23,"n.a."))</f>
        <v>0</v>
      </c>
      <c r="K239" s="16">
        <f>IF(C239=0,0,IF(P239="Complete",SUM('Operating costs'!$B$24,'Operating costs'!$B$27,'Operating costs'!$B$29,'Operating costs'!$B$31,'Operating costs'!$B$33,'Operating costs'!$B$34,'Operating costs'!$B$37,'Replacement plan'!$W$65)+'Operating costs'!$B$39*'Operating costs'!$B$42+ROUNDUP(S239*(R239-'Operating costs'!$B$39)*IF('Replacement plan'!$AG$65="",'Operating costs'!$B$7,'Replacement plan'!$AG$65)/('Operating costs'!$B$8-'Operating costs'!$B$9*IF('Replacement plan'!$AG$65="",'Operating costs'!$B$7,'Replacement plan'!$AG$65)),0)*('Operating costs'!$B$9/'Operating costs'!$B$11+'Operating costs'!$B$10/60)*'Operating costs'!$B$19*'Operating costs'!$B$21,"n.a."))</f>
        <v>0</v>
      </c>
      <c r="L239" s="16">
        <f>IF(C239=0,0,IF(P239="Complete",IF(D239="EV",X239*((1-T239)*'Energy and charging'!$B$10+T239*'Energy and charging'!$B$11)*'Operating costs'!$B$22,AA239*('Energy and charging'!$B$9*'Energy and charging'!$B$7+(1-'Energy and charging'!$B$9)*'Energy and charging'!$B$8)*'Operating costs'!$B$23),"n.a."))</f>
        <v>0</v>
      </c>
      <c r="M239" s="37">
        <f>IF(C239=0,0,IF(P239="Complete",IF(D239="ICE",SUM('Operating costs'!$B$25,'Operating costs'!$B$27,'Operating costs'!$B$29,'Operating costs'!$B$31,'Operating costs'!$B$33,'Operating costs'!$B$35,'Operating costs'!$B$37,'Replacement plan'!$X$65)+'Operating costs'!$B$40*'Operating costs'!$B$42+ROUNDUP(S239*(R239-'Operating costs'!$B$40)*IF('Replacement plan'!$AH$65="",'Operating costs'!$B$7,'Replacement plan'!$AH$65)/('Operating costs'!$B$8-'Operating costs'!$B$9*IF('Replacement plan'!$AH$65="",'Operating costs'!$B$7,'Replacement plan'!$AH$65)),0)*('Operating costs'!$B$9/'Operating costs'!$B$11+'Operating costs'!$B$10/60)*'Operating costs'!$B$19*'Operating costs'!$B$21,SUM(AP239,'Operating costs'!$B$28,'Operating costs'!$B$30,'Operating costs'!$B$32,'Operating costs'!$B$33,'Operating costs'!$B$36,'Operating costs'!$B$38,'Replacement plan'!$Y$65)+'Operating costs'!$B$41*'Operating costs'!$B$43+W239*'Operating costs'!$B$15+(T239*X239/'Replacement plan'!$L$65+W239*('Operating costs'!$B$12/'Operating costs'!$B$11+('Operating costs'!$B$13+'Operating costs'!$B$14)/60)+(R239-'Operating costs'!$B$41)*(IF(T239&lt;1,'Operating costs'!$B$16,0)+'Operating costs'!$B$17)/60)*'Operating costs'!$B$19*'Operating costs'!$B$20),"n.a."))</f>
        <v>0</v>
      </c>
      <c r="N239" s="16">
        <f>IF(AND(C239=1,D239="EV",E239&lt;120,E239+'Replacement plan'!$AA$65&lt;=120),'Replacement plan'!$Z$65,0)</f>
        <v>0</v>
      </c>
      <c r="O239" s="1">
        <f>E239+'Replacement plan'!$AA$65</f>
        <v>0</v>
      </c>
      <c r="P239" s="35" t="str">
        <f>IFERROR(IF(C239=0,"Excluded",IF(OR(COUNTIFS('Fleet register'!$A$7:$A$106,A239)&lt;&gt;1,COUNTIFS('Replacement plan'!$A$7:$A$106,A239)&lt;&gt;1),"Duplicate/missing ID",IF(NOT(AND(ISNUMBER(VLOOKUP($A239,'Fleet register'!$A$7:$S$106,5,FALSE)),ISNUMBER(VLOOKUP($A239,'Fleet register'!$A$7:$S$106,6,FALSE)),ISNUMBER(VLOOKUP($A239,'Fleet register'!$A$7:$S$106,10,FALSE)),ISNUMBER(VLOOKUP($A239,'Fleet register'!$A$7:$S$106,11,FALSE)),ISNUMBER(VLOOKUP($A239,'Fleet register'!$A$7:$S$106,12,FALSE)),ISNUMBER(VLOOKUP($A239,'Fleet register'!$A$7:$S$106,13,FALSE)),ISNUMBER(VLOOKUP($A239,'Fleet register'!$A$7:$S$106,14,FALSE)),VLOOKUP($A239,'Fleet register'!$A$7:$S$106,14,FALSE)&gt;0,ISNUMBER('Replacement plan'!$C$65),OR(E239=120,ISNUMBER('Replacement plan'!$N$65)),ISNUMBER(E239))),"Missing vehicle input",IF(OR(E239&lt;0,E239&gt;VLOOKUP($A239,'Fleet register'!$A$7:$S$106,10,FALSE),E239&gt;120,E239&lt;&gt;INT(E239),VLOOKUP($A239,'Fleet register'!$A$7:$S$106,6,FALSE)&lt;=0,VLOOKUP($A239,'Fleet register'!$A$7:$S$106,6,FALSE)&gt;366,VLOOKUP($A239,'Fleet register'!$A$7:$S$106,5,FALSE)&lt;0,VLOOKUP($A239,'Fleet register'!$A$7:$S$106,11,FALSE)&lt;0,I239&lt;0,'Operating costs'!$B$8&lt;='Operating costs'!$B$7*'Operating costs'!$B$9,'Operating costs'!$B$11&lt;=0,'Operating costs'!$B$39&gt;R239,'Operating costs'!$B$40&gt;R239,'Operating costs'!$B$41&gt;R239,NOT(OR("Keep ICE"="Keep ICE","Keep ICE"="New ICE","Keep ICE"="EV"))),"Invalid vehicle input",IF(AND(D239="EV",E239&lt;120,OR(NOT(ISNUMBER(U239)),NOT(ISNUMBER(V239)),V239&lt;=0,T239&lt;0,T239&gt;1,'Replacement plan'!$L$65&lt;=0,'Operating costs'!$B$44&lt;0,'Operating costs'!$B$44&gt;=1,'Operating costs'!$B$47&lt;=0,'Operating costs'!$B$47&gt;1,V239*'Operating costs'!$B$47/(1-'Operating costs'!$B$44)&lt;=T239*'Operating costs'!$B$12*U239,AND('Replacement plan'!$Z$65&gt;0,OR('Replacement plan'!$AB$65&lt;&gt;"Yes",'Operating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charging'!$B$8&gt;=0))),ISNUMBER(VLOOKUP($A239,'Fleet register'!$A$7:$S$106,15,FALSE)),ISNUMBER(VLOOKUP($A239,'Fleet register'!$A$7:$S$106,16,FALSE)),ISNUMBER('Replacement plan'!$W$65),ISNUMBER('Replacement plan'!$X$65),OR(E239=120,AND(ISNUMBER(G239),G239&gt;=0)),ISNUMBER(H239),H239&gt;=0,OR(D239&lt;&gt;"EV",E239=120,AND(ISNUMBER('Operating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average",ISNUMBER(IFERROR(INDEX(Products!$P$7:$P$13,MATCH(AD239,Products!$A$7:$A$13,0)),"")))),ISNUMBER('Operating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plan'!$Y$65),ISNUMBER('Replacement plan'!$Z$65),'Replacement plan'!$Z$65&gt;=0,ISNUMBER('Replacement plan'!$AA$65),'Replacement plan'!$AA$65&gt;=0,'Replacement plan'!$AA$65=INT('Replacement plan'!$AA$65),ISNUMBER('Replacement plan'!$L$65))),'Operating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plan'!$AG$65="",'Operating costs'!$B$7,'Replacement plan'!$AG$65)),IF('Replacement plan'!$AG$65="",'Operating costs'!$B$7,'Replacement plan'!$AG$65)&gt;=0,ISNUMBER(IF('Replacement plan'!$AH$65="",'Operating costs'!$B$7,'Replacement plan'!$AH$65)),IF('Replacement plan'!$AH$65="",'Operating costs'!$B$7,'Replacement plan'!$AH$65)&gt;=0,'Operating costs'!$B$8&gt;MAX(IF('Replacement plan'!$AG$65="",'Operating costs'!$B$7,'Replacement plan'!$AG$65),IF('Replacement plan'!$AH$65="",'Operating costs'!$B$7,'Replacement plan'!$AH$65))*'Operating costs'!$B$9),IF(AND(VLOOKUP($A239,'Fleet register'!$A$7:$S$106,10,FALSE)&gt;=0,VLOOKUP($A239,'Fleet register'!$A$7:$S$106,10,FALSE)&lt;=120,VLOOKUP($A239,'Fleet register'!$A$7:$S$106,10,FALSE)=INT(VLOOKUP($A239,'Fleet register'!$A$7:$S$106,10,FALSE)),VLOOKUP($A239,'Fleet register'!$A$7:$S$106,15,FALSE)&gt;=0,VLOOKUP($A239,'Fleet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costs'!$B$67)&gt;=0,OR(D239&lt;&gt;"EV",E239=120,AND(MIN('Operating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39" s="1" t="str">
        <f>IF(C239=0,"Excluded",IF(P239&lt;&gt;"Complete",P239,IF(OR('Replacement plan'!$AD$65&lt;120-E239,AND(D239="EV",E239&lt;120,OR('Replacement plan'!$AC$65&lt;120-E239,'Replacement plan'!$I$65="No",AND(ISNUMBER(AF239),AE239&gt;AF239),AI239&gt;V239*(1-'Operating costs'!$B$46)^MAX(0,AB239-1)*(1-'Operating costs'!$B$45),AC239&gt;'Operating costs'!$B$18,AND(T239&lt;1,OR(AG239&lt;=0,AND(ISNUMBER(AH239),AG239&gt;AH239))),'Replacement plan'!$L$65&gt;INDEX(Products!$H$7:$H$13,MATCH('Replacement plan'!$B$65,Products!$A$7:$A$13,0))))),"Fails entered limits",IF(AND(D239="EV",E239&lt;120,OR(NOT(ISNUMBER(VLOOKUP($A239,'Fleet register'!$A$7:$S$106,7,FALSE))),NOT(ISNUMBER(VLOOKUP($A239,'Fleet register'!$A$7:$S$106,8,FALSE))),NOT(ISNUMBER(AF239)),'Replacement plan'!$I$65&lt;&gt;"Yes",NOT(ISNUMBER(AH239)),'Operating costs'!$B$59&lt;&gt;"Yes",'Operating costs'!$B$58&lt;&gt;"Yes")),"Unverified","Within entered limits"))))</f>
        <v>Excluded</v>
      </c>
      <c r="R239" s="1">
        <f>IF(C239=0,0,VLOOKUP($A239,'Fleet register'!$A$7:$S$106,6,FALSE))</f>
        <v>0</v>
      </c>
      <c r="S239" s="1">
        <f>IF(C239=0,0,VLOOKUP($A239,'Fleet register'!$A$7:$S$106,5,FALSE))</f>
        <v>0</v>
      </c>
      <c r="T239" s="1">
        <f>IF(D239="EV",'Energy and charging'!$B$12,0)</f>
        <v>0</v>
      </c>
      <c r="U239" s="1">
        <f>IFERROR(IF(C239=0,0,IF(D239="EV",IF('Replacement plan'!$F$65="",INDEX(Products!$E$7:$E$13,MATCH('Replacement plan'!$B$65,Products!$A$7:$A$13,0)),'Replacement plan'!$F$65)/IF('Replacement plan'!$G$65="Battery",1-'Operating costs'!$B$44,1),0)),"n.a.")</f>
        <v>0</v>
      </c>
      <c r="V239" s="1">
        <f>IFERROR(IF(C239=0,0,IF(D239="EV",IF('Replacement plan'!$E$65="",INDEX(Products!$D$7:$D$13,MATCH('Replacement plan'!$B$65,Products!$A$7:$A$13,0)),'Replacement plan'!$E$65),0)),"n.a.")</f>
        <v>0</v>
      </c>
      <c r="W239" s="1">
        <f>IF(C239=0,0,IF(AND(P239="Complete",D239="EV",E239&lt;120),IF(T239=0,0,ROUNDUP(T239*(R239-'Operating costs'!$B$41)*(S239*U239+'Operating costs'!$B$48/(1-'Operating costs'!$B$44))/(V239*'Operating costs'!$B$47/(1-'Operating costs'!$B$44)-T239*'Operating costs'!$B$12*U239),0)),0))</f>
        <v>0</v>
      </c>
      <c r="X239" s="1">
        <f>IF(C239=0,0,IF(AND(P239="Complete",D239="EV",E239&lt;120),(R239-'Operating costs'!$B$41)*(S239*U239+'Operating costs'!$B$48/(1-'Operating costs'!$B$44))+W239*'Operating costs'!$B$12*U239,0))</f>
        <v>0</v>
      </c>
      <c r="Y239" s="1">
        <f>IF(AND(C239=1,D239="EV",E239&lt;120),AI239/(1-'Operating costs'!$B$44)*(1-T239),0)</f>
        <v>0</v>
      </c>
      <c r="Z239" s="1">
        <f t="shared" si="6"/>
        <v>0</v>
      </c>
      <c r="AA239" s="1">
        <f>IF(C239=0,0,IF(P239="Complete",((S239*(R239-'Operating costs'!$B$40))+ROUNDUP(S239*(R239-'Operating costs'!$B$40)*IF('Replacement plan'!$AH$65="",'Operating costs'!$B$7,'Replacement plan'!$AH$65)/('Operating costs'!$B$8-'Operating costs'!$B$9*IF('Replacement plan'!$AH$65="",'Operating costs'!$B$7,'Replacement plan'!$AH$65)),0)*'Operating costs'!$B$9)*IF('Replacement plan'!$AH$65="",'Operating costs'!$B$7,'Replacement plan'!$AH$65),"n.a."))</f>
        <v>0</v>
      </c>
      <c r="AB239" s="1">
        <f t="shared" si="7"/>
        <v>0</v>
      </c>
      <c r="AC239" s="1">
        <f>IF(AND(C239=1,D239="EV",E239&lt;120,T239&gt;0),'Operating costs'!$B$12/'Operating costs'!$B$11*60+'Operating costs'!$B$13+'Operating costs'!$B$14+V239*'Operating costs'!$B$47/(1-'Operating costs'!$B$44)/'Replacement plan'!$L$65*60,0)</f>
        <v>0</v>
      </c>
      <c r="AD239" s="1" t="str">
        <f>'Replacement plan'!$B$65</f>
        <v>ChengLong L2EV</v>
      </c>
      <c r="AE239" s="1">
        <f>IF(C239=0,0,VLOOKUP($A239,'Fleet register'!$A$7:$S$106,8,FALSE))</f>
        <v>0</v>
      </c>
      <c r="AF239" s="1" t="str">
        <f>IF('Replacement plan'!$H$65="","n.a.",'Replacement plan'!$H$65)</f>
        <v>n.a.</v>
      </c>
      <c r="AG239" s="1">
        <f>'Replacement plan'!$J$65</f>
        <v>22</v>
      </c>
      <c r="AH239" s="1">
        <f>IFERROR(IF(D239="EV",IF('Replacement plan'!$K$65="AC",IF(ISNUMBER(INDEX(Products!$G$7:$G$13,MATCH('Replacement plan'!$B$65,Products!$A$7:$A$13,0))),INDEX(Products!$G$7:$G$13,MATCH('Replacement plan'!$B$65,Products!$A$7:$A$13,0)),"n.a."),IF(ISNUMBER(INDEX(Products!$H$7:$H$13,MATCH('Replacement plan'!$B$65,Products!$A$7:$A$13,0))),INDEX(Products!$H$7:$H$13,MATCH('Replacement plan'!$B$65,Products!$A$7:$A$13,0)),"n.a.")),0),"n.a.")</f>
        <v>0</v>
      </c>
      <c r="AI239" s="1">
        <f>IF(AND(C239=1,D239="EV",E239&lt;120),(VLOOKUP($A239,'Fleet register'!$A$7:$S$106,7,FALSE)+IF(T239&gt;0,'Operating costs'!$B$12,0))*U239*(1-'Operating costs'!$B$44)+'Operating costs'!$B$49,0)</f>
        <v>0</v>
      </c>
      <c r="AJ239" s="1">
        <f>IF(D239="EV",'Energy and charging'!$B$50,0)</f>
        <v>0</v>
      </c>
      <c r="AK239" s="17">
        <f>EDATE('Operating costs'!$B$63,E239)</f>
        <v>46298</v>
      </c>
      <c r="AL239" s="1">
        <f>IFERROR(IF(D239="EV",INDEX(Products!$B$7:$B$13,MATCH('Replacement plan'!$B$65,Products!$A$7:$A$13,0)),0),"n.a.")</f>
        <v>0</v>
      </c>
      <c r="AM239" s="1" t="str">
        <f>'Replacement plan'!$K$65</f>
        <v>DC</v>
      </c>
      <c r="AN239" s="1" t="str">
        <f>'Replacement plan'!$AE$65</f>
        <v>Assumed</v>
      </c>
      <c r="AO239" s="47">
        <f>IF(AND(C239=1,D239="EV",E239&lt;120),(R239-'Operating costs'!$B$41)*S239+W239*'Operating costs'!$B$12,0)</f>
        <v>0</v>
      </c>
      <c r="AP239" s="41">
        <f>IF(AND(C239=1,D239="EV",E239&lt;120),IF('Operating costs'!$B$68="Hong Seh 200k average",AO239*IFERROR(INDEX(Products!$P$7:$P$13,MATCH(AD239,Products!$A$7:$A$13,0)),"n.a."),'Operating costs'!$B$26),0)</f>
        <v>0</v>
      </c>
      <c r="AQ239" s="40" t="str">
        <f>IF(D239="EV",'Operating costs'!$B$68,"Not applicable")</f>
        <v>Not applicable</v>
      </c>
    </row>
    <row r="240" spans="1:43" ht="24" customHeight="1">
      <c r="A240" s="1" t="str">
        <f>'Replacement plan'!A65</f>
        <v>T059</v>
      </c>
      <c r="B240" s="1">
        <v>1</v>
      </c>
      <c r="C240" s="1">
        <f>IF(COUNTIFS('Fleet register'!$A$7:$A$106,$A240)=1,VLOOKUP($A240,'Fleet register'!$A$7:$S$106,2,FALSE),0)</f>
        <v>0</v>
      </c>
      <c r="D240" s="1" t="str">
        <f>IF("New ICE"="EV","EV","ICE")</f>
        <v>ICE</v>
      </c>
      <c r="E240" s="1">
        <f>IF(C240=0,0,0)</f>
        <v>0</v>
      </c>
      <c r="F240" s="16">
        <f>IF(C240=0,0,VLOOKUP($A240,'Fleet register'!$A$7:$S$106,11,FALSE))</f>
        <v>0</v>
      </c>
      <c r="G240" s="16">
        <f>IFERROR(IF(C240=0,0,IF(E240=120,0,IF(D240="ICE",'Replacement plan'!$C$65,IF('Replacement plan'!$D$65="",INDEX(Products!$I$7:$I$13,MATCH('Replacement plan'!$B$65,Products!$A$7:$A$13,0))+'Operating costs'!$B$57,'Replacement plan'!$D$65))*(1+'Operating costs'!$B$50)^(E240/12))),"n.a.")</f>
        <v>0</v>
      </c>
      <c r="H240" s="16">
        <f>IFERROR(IF(C240=0,0,IF(E240=0,F240,VLOOKUP($A240,'Fleet register'!$A$7:$S$106,12,FALSE)+VLOOKUP($A240,'Fleet register'!$A$7:$S$106,13,FALSE)*MAX(0,VLOOKUP($A240,'Fleet register'!$A$7:$S$106,10,FALSE)-E240)/VLOOKUP($A240,'Fleet register'!$A$7:$S$106,14,FALSE))),"n.a.")</f>
        <v>0</v>
      </c>
      <c r="I240" s="16">
        <f>IF(C240=0,0,IF(E240=120,0,IF('Replacement plan'!$AI$65="",'Operating costs'!$B$56,'Replacement plan'!$AI$65)))</f>
        <v>0</v>
      </c>
      <c r="J240" s="16">
        <f>IF(C240=0,0,IF(P240="Complete",((S240*(R240-'Operating costs'!$B$39))+ROUNDUP(S240*(R240-'Operating costs'!$B$39)*IF('Replacement plan'!$AG$65="",'Operating costs'!$B$7,'Replacement plan'!$AG$65)/('Operating costs'!$B$8-'Operating costs'!$B$9*IF('Replacement plan'!$AG$65="",'Operating costs'!$B$7,'Replacement plan'!$AG$65)),0)*'Operating costs'!$B$9)*IF('Replacement plan'!$AG$65="",'Operating costs'!$B$7,'Replacement plan'!$AG$65)*('Energy and charging'!$B$9*'Energy and charging'!$B$7+(1-'Energy and charging'!$B$9)*'Energy and charging'!$B$8)*'Operating costs'!$B$23,"n.a."))</f>
        <v>0</v>
      </c>
      <c r="K240" s="16">
        <f>IF(C240=0,0,IF(P240="Complete",SUM('Operating costs'!$B$24,'Operating costs'!$B$27,'Operating costs'!$B$29,'Operating costs'!$B$31,'Operating costs'!$B$33,'Operating costs'!$B$34,'Operating costs'!$B$37,'Replacement plan'!$W$65)+'Operating costs'!$B$39*'Operating costs'!$B$42+ROUNDUP(S240*(R240-'Operating costs'!$B$39)*IF('Replacement plan'!$AG$65="",'Operating costs'!$B$7,'Replacement plan'!$AG$65)/('Operating costs'!$B$8-'Operating costs'!$B$9*IF('Replacement plan'!$AG$65="",'Operating costs'!$B$7,'Replacement plan'!$AG$65)),0)*('Operating costs'!$B$9/'Operating costs'!$B$11+'Operating costs'!$B$10/60)*'Operating costs'!$B$19*'Operating costs'!$B$21,"n.a."))</f>
        <v>0</v>
      </c>
      <c r="L240" s="16">
        <f>IF(C240=0,0,IF(P240="Complete",IF(D240="EV",X240*((1-T240)*'Energy and charging'!$B$10+T240*'Energy and charging'!$B$11)*'Operating costs'!$B$22,AA240*('Energy and charging'!$B$9*'Energy and charging'!$B$7+(1-'Energy and charging'!$B$9)*'Energy and charging'!$B$8)*'Operating costs'!$B$23),"n.a."))</f>
        <v>0</v>
      </c>
      <c r="M240" s="37">
        <f>IF(C240=0,0,IF(P240="Complete",IF(D240="ICE",SUM('Operating costs'!$B$25,'Operating costs'!$B$27,'Operating costs'!$B$29,'Operating costs'!$B$31,'Operating costs'!$B$33,'Operating costs'!$B$35,'Operating costs'!$B$37,'Replacement plan'!$X$65)+'Operating costs'!$B$40*'Operating costs'!$B$42+ROUNDUP(S240*(R240-'Operating costs'!$B$40)*IF('Replacement plan'!$AH$65="",'Operating costs'!$B$7,'Replacement plan'!$AH$65)/('Operating costs'!$B$8-'Operating costs'!$B$9*IF('Replacement plan'!$AH$65="",'Operating costs'!$B$7,'Replacement plan'!$AH$65)),0)*('Operating costs'!$B$9/'Operating costs'!$B$11+'Operating costs'!$B$10/60)*'Operating costs'!$B$19*'Operating costs'!$B$21,SUM(AP240,'Operating costs'!$B$28,'Operating costs'!$B$30,'Operating costs'!$B$32,'Operating costs'!$B$33,'Operating costs'!$B$36,'Operating costs'!$B$38,'Replacement plan'!$Y$65)+'Operating costs'!$B$41*'Operating costs'!$B$43+W240*'Operating costs'!$B$15+(T240*X240/'Replacement plan'!$L$65+W240*('Operating costs'!$B$12/'Operating costs'!$B$11+('Operating costs'!$B$13+'Operating costs'!$B$14)/60)+(R240-'Operating costs'!$B$41)*(IF(T240&lt;1,'Operating costs'!$B$16,0)+'Operating costs'!$B$17)/60)*'Operating costs'!$B$19*'Operating costs'!$B$20),"n.a."))</f>
        <v>0</v>
      </c>
      <c r="N240" s="16">
        <f>IF(AND(C240=1,D240="EV",E240&lt;120,E240+'Replacement plan'!$AA$65&lt;=120),'Replacement plan'!$Z$65,0)</f>
        <v>0</v>
      </c>
      <c r="O240" s="1">
        <f>E240+'Replacement plan'!$AA$65</f>
        <v>0</v>
      </c>
      <c r="P240" s="35" t="str">
        <f>IFERROR(IF(C240=0,"Excluded",IF(OR(COUNTIFS('Fleet register'!$A$7:$A$106,A240)&lt;&gt;1,COUNTIFS('Replacement plan'!$A$7:$A$106,A240)&lt;&gt;1),"Duplicate/missing ID",IF(NOT(AND(ISNUMBER(VLOOKUP($A240,'Fleet register'!$A$7:$S$106,5,FALSE)),ISNUMBER(VLOOKUP($A240,'Fleet register'!$A$7:$S$106,6,FALSE)),ISNUMBER(VLOOKUP($A240,'Fleet register'!$A$7:$S$106,10,FALSE)),ISNUMBER(VLOOKUP($A240,'Fleet register'!$A$7:$S$106,11,FALSE)),ISNUMBER(VLOOKUP($A240,'Fleet register'!$A$7:$S$106,12,FALSE)),ISNUMBER(VLOOKUP($A240,'Fleet register'!$A$7:$S$106,13,FALSE)),ISNUMBER(VLOOKUP($A240,'Fleet register'!$A$7:$S$106,14,FALSE)),VLOOKUP($A240,'Fleet register'!$A$7:$S$106,14,FALSE)&gt;0,ISNUMBER('Replacement plan'!$C$65),OR(E240=120,OR(ISNUMBER('Replacement plan'!$AI$65),AND('Replacement plan'!$AI$65="",ISNUMBER('Operating costs'!$B$56)))),ISNUMBER(E240))),"Missing vehicle input",IF(OR(E240&lt;0,E240&gt;VLOOKUP($A240,'Fleet register'!$A$7:$S$106,10,FALSE),E240&gt;120,E240&lt;&gt;INT(E240),VLOOKUP($A240,'Fleet register'!$A$7:$S$106,6,FALSE)&lt;=0,VLOOKUP($A240,'Fleet register'!$A$7:$S$106,6,FALSE)&gt;366,VLOOKUP($A240,'Fleet register'!$A$7:$S$106,5,FALSE)&lt;0,VLOOKUP($A240,'Fleet register'!$A$7:$S$106,11,FALSE)&lt;0,I240&lt;0,'Operating costs'!$B$8&lt;='Operating costs'!$B$7*'Operating costs'!$B$9,'Operating costs'!$B$11&lt;=0,'Operating costs'!$B$39&gt;R240,'Operating costs'!$B$40&gt;R240,'Operating costs'!$B$41&gt;R240,NOT(OR("New ICE"="Keep ICE","New ICE"="New ICE","New ICE"="EV"))),"Invalid vehicle input",IF(AND(D240="EV",E240&lt;120,OR(NOT(ISNUMBER(U240)),NOT(ISNUMBER(V240)),V240&lt;=0,T240&lt;0,T240&gt;1,'Replacement plan'!$L$65&lt;=0,'Operating costs'!$B$44&lt;0,'Operating costs'!$B$44&gt;=1,'Operating costs'!$B$47&lt;=0,'Operating costs'!$B$47&gt;1,V240*'Operating costs'!$B$47/(1-'Operating costs'!$B$44)&lt;=T240*'Operating costs'!$B$12*U240,AND('Replacement plan'!$Z$65&gt;0,OR('Replacement plan'!$AB$65&lt;&gt;"Yes",'Operating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charging'!$B$8&gt;=0))),ISNUMBER(VLOOKUP($A240,'Fleet register'!$A$7:$S$106,15,FALSE)),ISNUMBER(VLOOKUP($A240,'Fleet register'!$A$7:$S$106,16,FALSE)),ISNUMBER('Replacement plan'!$W$65),ISNUMBER('Replacement plan'!$X$65),OR(E240=120,AND(ISNUMBER(G240),G240&gt;=0)),ISNUMBER(H240),H240&gt;=0,OR(D240&lt;&gt;"EV",E240=120,AND(ISNUMBER('Operating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average",ISNUMBER(IFERROR(INDEX(Products!$P$7:$P$13,MATCH(AD240,Products!$A$7:$A$13,0)),"")))),ISNUMBER('Operating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plan'!$Y$65),ISNUMBER('Replacement plan'!$Z$65),'Replacement plan'!$Z$65&gt;=0,ISNUMBER('Replacement plan'!$AA$65),'Replacement plan'!$AA$65&gt;=0,'Replacement plan'!$AA$65=INT('Replacement plan'!$AA$65),ISNUMBER('Replacement plan'!$L$65))),'Operating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plan'!$AG$65="",'Operating costs'!$B$7,'Replacement plan'!$AG$65)),IF('Replacement plan'!$AG$65="",'Operating costs'!$B$7,'Replacement plan'!$AG$65)&gt;=0,ISNUMBER(IF('Replacement plan'!$AH$65="",'Operating costs'!$B$7,'Replacement plan'!$AH$65)),IF('Replacement plan'!$AH$65="",'Operating costs'!$B$7,'Replacement plan'!$AH$65)&gt;=0,'Operating costs'!$B$8&gt;MAX(IF('Replacement plan'!$AG$65="",'Operating costs'!$B$7,'Replacement plan'!$AG$65),IF('Replacement plan'!$AH$65="",'Operating costs'!$B$7,'Replacement plan'!$AH$65))*'Operating costs'!$B$9),IF(AND(VLOOKUP($A240,'Fleet register'!$A$7:$S$106,10,FALSE)&gt;=0,VLOOKUP($A240,'Fleet register'!$A$7:$S$106,10,FALSE)&lt;=120,VLOOKUP($A240,'Fleet register'!$A$7:$S$106,10,FALSE)=INT(VLOOKUP($A240,'Fleet register'!$A$7:$S$106,10,FALSE)),VLOOKUP($A240,'Fleet register'!$A$7:$S$106,15,FALSE)&gt;=0,VLOOKUP($A240,'Fleet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costs'!$B$67)&gt;=0,OR(D240&lt;&gt;"EV",E240=120,AND(MIN('Operating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40" s="1" t="str">
        <f>IF(C240=0,"Excluded",IF(P240&lt;&gt;"Complete",P240,IF(OR('Replacement plan'!$AD$65&lt;120-E240,AND(D240="EV",E240&lt;120,OR('Replacement plan'!$AC$65&lt;120-E240,'Replacement plan'!$I$65="No",AND(ISNUMBER(AF240),AE240&gt;AF240),AI240&gt;V240*(1-'Operating costs'!$B$46)^MAX(0,AB240-1)*(1-'Operating costs'!$B$45),AC240&gt;'Operating costs'!$B$18,AND(T240&lt;1,OR(AG240&lt;=0,AND(ISNUMBER(AH240),AG240&gt;AH240))),'Replacement plan'!$L$65&gt;INDEX(Products!$H$7:$H$13,MATCH('Replacement plan'!$B$65,Products!$A$7:$A$13,0))))),"Fails entered limits",IF(AND(D240="EV",E240&lt;120,OR(NOT(ISNUMBER(VLOOKUP($A240,'Fleet register'!$A$7:$S$106,7,FALSE))),NOT(ISNUMBER(VLOOKUP($A240,'Fleet register'!$A$7:$S$106,8,FALSE))),NOT(ISNUMBER(AF240)),'Replacement plan'!$I$65&lt;&gt;"Yes",NOT(ISNUMBER(AH240)),'Operating costs'!$B$59&lt;&gt;"Yes",'Operating costs'!$B$58&lt;&gt;"Yes")),"Unverified","Within entered limits"))))</f>
        <v>Excluded</v>
      </c>
      <c r="R240" s="1">
        <f>IF(C240=0,0,VLOOKUP($A240,'Fleet register'!$A$7:$S$106,6,FALSE))</f>
        <v>0</v>
      </c>
      <c r="S240" s="1">
        <f>IF(C240=0,0,VLOOKUP($A240,'Fleet register'!$A$7:$S$106,5,FALSE))</f>
        <v>0</v>
      </c>
      <c r="T240" s="1">
        <f>IF(D240="EV",'Energy and charging'!$B$12,0)</f>
        <v>0</v>
      </c>
      <c r="U240" s="1">
        <f>IFERROR(IF(C240=0,0,IF(D240="EV",IF('Replacement plan'!$F$65="",INDEX(Products!$E$7:$E$13,MATCH('Replacement plan'!$B$65,Products!$A$7:$A$13,0)),'Replacement plan'!$F$65)/IF('Replacement plan'!$G$65="Battery",1-'Operating costs'!$B$44,1),0)),"n.a.")</f>
        <v>0</v>
      </c>
      <c r="V240" s="1">
        <f>IFERROR(IF(C240=0,0,IF(D240="EV",IF('Replacement plan'!$E$65="",INDEX(Products!$D$7:$D$13,MATCH('Replacement plan'!$B$65,Products!$A$7:$A$13,0)),'Replacement plan'!$E$65),0)),"n.a.")</f>
        <v>0</v>
      </c>
      <c r="W240" s="1">
        <f>IF(C240=0,0,IF(AND(P240="Complete",D240="EV",E240&lt;120),IF(T240=0,0,ROUNDUP(T240*(R240-'Operating costs'!$B$41)*(S240*U240+'Operating costs'!$B$48/(1-'Operating costs'!$B$44))/(V240*'Operating costs'!$B$47/(1-'Operating costs'!$B$44)-T240*'Operating costs'!$B$12*U240),0)),0))</f>
        <v>0</v>
      </c>
      <c r="X240" s="1">
        <f>IF(C240=0,0,IF(AND(P240="Complete",D240="EV",E240&lt;120),(R240-'Operating costs'!$B$41)*(S240*U240+'Operating costs'!$B$48/(1-'Operating costs'!$B$44))+W240*'Operating costs'!$B$12*U240,0))</f>
        <v>0</v>
      </c>
      <c r="Y240" s="1">
        <f>IF(AND(C240=1,D240="EV",E240&lt;120),AI240/(1-'Operating costs'!$B$44)*(1-T240),0)</f>
        <v>0</v>
      </c>
      <c r="Z240" s="1">
        <f t="shared" si="6"/>
        <v>0</v>
      </c>
      <c r="AA240" s="1">
        <f>IF(C240=0,0,IF(P240="Complete",((S240*(R240-'Operating costs'!$B$40))+ROUNDUP(S240*(R240-'Operating costs'!$B$40)*IF('Replacement plan'!$AH$65="",'Operating costs'!$B$7,'Replacement plan'!$AH$65)/('Operating costs'!$B$8-'Operating costs'!$B$9*IF('Replacement plan'!$AH$65="",'Operating costs'!$B$7,'Replacement plan'!$AH$65)),0)*'Operating costs'!$B$9)*IF('Replacement plan'!$AH$65="",'Operating costs'!$B$7,'Replacement plan'!$AH$65),"n.a."))</f>
        <v>0</v>
      </c>
      <c r="AB240" s="1">
        <f t="shared" si="7"/>
        <v>0</v>
      </c>
      <c r="AC240" s="1">
        <f>IF(AND(C240=1,D240="EV",E240&lt;120,T240&gt;0),'Operating costs'!$B$12/'Operating costs'!$B$11*60+'Operating costs'!$B$13+'Operating costs'!$B$14+V240*'Operating costs'!$B$47/(1-'Operating costs'!$B$44)/'Replacement plan'!$L$65*60,0)</f>
        <v>0</v>
      </c>
      <c r="AD240" s="1" t="str">
        <f>'Replacement plan'!$B$65</f>
        <v>ChengLong L2EV</v>
      </c>
      <c r="AE240" s="1">
        <f>IF(C240=0,0,VLOOKUP($A240,'Fleet register'!$A$7:$S$106,8,FALSE))</f>
        <v>0</v>
      </c>
      <c r="AF240" s="1" t="str">
        <f>IF('Replacement plan'!$H$65="","n.a.",'Replacement plan'!$H$65)</f>
        <v>n.a.</v>
      </c>
      <c r="AG240" s="1">
        <f>'Replacement plan'!$J$65</f>
        <v>22</v>
      </c>
      <c r="AH240" s="1">
        <f>IFERROR(IF(D240="EV",IF('Replacement plan'!$K$65="AC",IF(ISNUMBER(INDEX(Products!$G$7:$G$13,MATCH('Replacement plan'!$B$65,Products!$A$7:$A$13,0))),INDEX(Products!$G$7:$G$13,MATCH('Replacement plan'!$B$65,Products!$A$7:$A$13,0)),"n.a."),IF(ISNUMBER(INDEX(Products!$H$7:$H$13,MATCH('Replacement plan'!$B$65,Products!$A$7:$A$13,0))),INDEX(Products!$H$7:$H$13,MATCH('Replacement plan'!$B$65,Products!$A$7:$A$13,0)),"n.a.")),0),"n.a.")</f>
        <v>0</v>
      </c>
      <c r="AI240" s="1">
        <f>IF(AND(C240=1,D240="EV",E240&lt;120),(VLOOKUP($A240,'Fleet register'!$A$7:$S$106,7,FALSE)+IF(T240&gt;0,'Operating costs'!$B$12,0))*U240*(1-'Operating costs'!$B$44)+'Operating costs'!$B$49,0)</f>
        <v>0</v>
      </c>
      <c r="AJ240" s="1">
        <f>IF(D240="EV",'Energy and charging'!$B$50,0)</f>
        <v>0</v>
      </c>
      <c r="AK240" s="17">
        <f>EDATE('Operating costs'!$B$63,E240)</f>
        <v>46298</v>
      </c>
      <c r="AL240" s="1">
        <f>IFERROR(IF(D240="EV",INDEX(Products!$B$7:$B$13,MATCH('Replacement plan'!$B$65,Products!$A$7:$A$13,0)),0),"n.a.")</f>
        <v>0</v>
      </c>
      <c r="AM240" s="1" t="str">
        <f>'Replacement plan'!$K$65</f>
        <v>DC</v>
      </c>
      <c r="AN240" s="1" t="str">
        <f>'Replacement plan'!$AE$65</f>
        <v>Assumed</v>
      </c>
      <c r="AO240" s="47">
        <f>IF(AND(C240=1,D240="EV",E240&lt;120),(R240-'Operating costs'!$B$41)*S240+W240*'Operating costs'!$B$12,0)</f>
        <v>0</v>
      </c>
      <c r="AP240" s="41">
        <f>IF(AND(C240=1,D240="EV",E240&lt;120),IF('Operating costs'!$B$68="Hong Seh 200k average",AO240*IFERROR(INDEX(Products!$P$7:$P$13,MATCH(AD240,Products!$A$7:$A$13,0)),"n.a."),'Operating costs'!$B$26),0)</f>
        <v>0</v>
      </c>
      <c r="AQ240" s="40" t="str">
        <f>IF(D240="EV",'Operating costs'!$B$68,"Not applicable")</f>
        <v>Not applicable</v>
      </c>
    </row>
    <row r="241" spans="1:43" ht="24" customHeight="1">
      <c r="A241" s="1" t="str">
        <f>'Replacement plan'!A65</f>
        <v>T059</v>
      </c>
      <c r="B241" s="1">
        <v>2</v>
      </c>
      <c r="C241" s="1">
        <f>IF(COUNTIFS('Fleet register'!$A$7:$A$106,$A241)=1,VLOOKUP($A241,'Fleet register'!$A$7:$S$106,2,FALSE),0)</f>
        <v>0</v>
      </c>
      <c r="D241" s="1" t="str">
        <f>IF('Replacement plan'!$O$65="EV","EV","ICE")</f>
        <v>ICE</v>
      </c>
      <c r="E241" s="1">
        <f>IF(C241=0,0,IF('Replacement plan'!$P$65="",IF('Replacement plan'!$O$65="Keep ICE",IF('Replacement plan'!$M$65="",VLOOKUP($A241,'Fleet register'!$A$7:$S$106,10,FALSE),'Replacement plan'!$M$65),0),'Replacement plan'!$P$65))</f>
        <v>0</v>
      </c>
      <c r="F241" s="16">
        <f>IF(C241=0,0,VLOOKUP($A241,'Fleet register'!$A$7:$S$106,11,FALSE))</f>
        <v>0</v>
      </c>
      <c r="G241" s="16">
        <f>IFERROR(IF(C241=0,0,IF(E241=120,0,IF(D241="ICE",'Replacement plan'!$C$65,IF('Replacement plan'!$D$65="",INDEX(Products!$I$7:$I$13,MATCH('Replacement plan'!$B$65,Products!$A$7:$A$13,0))+'Operating costs'!$B$57,'Replacement plan'!$D$65))*(1+'Operating costs'!$B$50)^(E241/12))),"n.a.")</f>
        <v>0</v>
      </c>
      <c r="H241" s="16">
        <f>IFERROR(IF(C241=0,0,IF('Replacement plan'!$U$65&lt;&gt;"",'Replacement plan'!$U$65,IF(E241=0,F241,VLOOKUP($A241,'Fleet register'!$A$7:$S$106,12,FALSE)+VLOOKUP($A241,'Fleet register'!$A$7:$S$106,13,FALSE)*MAX(0,VLOOKUP($A241,'Fleet register'!$A$7:$S$106,10,FALSE)-E241)/VLOOKUP($A241,'Fleet register'!$A$7:$S$106,14,FALSE)))),"n.a.")</f>
        <v>0</v>
      </c>
      <c r="I241" s="16">
        <f>IF(C241=0,0,IF(E241=120,0,'Replacement plan'!$Q$65))</f>
        <v>0</v>
      </c>
      <c r="J241" s="16">
        <f>IF(C241=0,0,IF(P241="Complete",((S241*(R241-'Operating costs'!$B$39))+ROUNDUP(S241*(R241-'Operating costs'!$B$39)*IF('Replacement plan'!$AG$65="",'Operating costs'!$B$7,'Replacement plan'!$AG$65)/('Operating costs'!$B$8-'Operating costs'!$B$9*IF('Replacement plan'!$AG$65="",'Operating costs'!$B$7,'Replacement plan'!$AG$65)),0)*'Operating costs'!$B$9)*IF('Replacement plan'!$AG$65="",'Operating costs'!$B$7,'Replacement plan'!$AG$65)*('Energy and charging'!$B$9*'Energy and charging'!$B$7+(1-'Energy and charging'!$B$9)*'Energy and charging'!$B$8)*'Operating costs'!$B$23,"n.a."))</f>
        <v>0</v>
      </c>
      <c r="K241" s="16">
        <f>IF(C241=0,0,IF(P241="Complete",SUM('Operating costs'!$B$24,'Operating costs'!$B$27,'Operating costs'!$B$29,'Operating costs'!$B$31,'Operating costs'!$B$33,'Operating costs'!$B$34,'Operating costs'!$B$37,'Replacement plan'!$W$65)+'Operating costs'!$B$39*'Operating costs'!$B$42+ROUNDUP(S241*(R241-'Operating costs'!$B$39)*IF('Replacement plan'!$AG$65="",'Operating costs'!$B$7,'Replacement plan'!$AG$65)/('Operating costs'!$B$8-'Operating costs'!$B$9*IF('Replacement plan'!$AG$65="",'Operating costs'!$B$7,'Replacement plan'!$AG$65)),0)*('Operating costs'!$B$9/'Operating costs'!$B$11+'Operating costs'!$B$10/60)*'Operating costs'!$B$19*'Operating costs'!$B$21,"n.a."))</f>
        <v>0</v>
      </c>
      <c r="L241" s="16">
        <f>IF(C241=0,0,IF(P241="Complete",IF(D241="EV",X241*((1-T241)*'Energy and charging'!$B$10+T241*'Energy and charging'!$B$11)*'Operating costs'!$B$22,AA241*('Energy and charging'!$B$9*'Energy and charging'!$B$7+(1-'Energy and charging'!$B$9)*'Energy and charging'!$B$8)*'Operating costs'!$B$23),"n.a."))</f>
        <v>0</v>
      </c>
      <c r="M241" s="37">
        <f>IF(C241=0,0,IF(P241="Complete",IF(D241="ICE",SUM('Operating costs'!$B$25,'Operating costs'!$B$27,'Operating costs'!$B$29,'Operating costs'!$B$31,'Operating costs'!$B$33,'Operating costs'!$B$35,'Operating costs'!$B$37,'Replacement plan'!$X$65)+'Operating costs'!$B$40*'Operating costs'!$B$42+ROUNDUP(S241*(R241-'Operating costs'!$B$40)*IF('Replacement plan'!$AH$65="",'Operating costs'!$B$7,'Replacement plan'!$AH$65)/('Operating costs'!$B$8-'Operating costs'!$B$9*IF('Replacement plan'!$AH$65="",'Operating costs'!$B$7,'Replacement plan'!$AH$65)),0)*('Operating costs'!$B$9/'Operating costs'!$B$11+'Operating costs'!$B$10/60)*'Operating costs'!$B$19*'Operating costs'!$B$21,SUM(AP241,'Operating costs'!$B$28,'Operating costs'!$B$30,'Operating costs'!$B$32,'Operating costs'!$B$33,'Operating costs'!$B$36,'Operating costs'!$B$38,'Replacement plan'!$Y$65)+'Operating costs'!$B$41*'Operating costs'!$B$43+W241*'Operating costs'!$B$15+(T241*X241/'Replacement plan'!$L$65+W241*('Operating costs'!$B$12/'Operating costs'!$B$11+('Operating costs'!$B$13+'Operating costs'!$B$14)/60)+(R241-'Operating costs'!$B$41)*(IF(T241&lt;1,'Operating costs'!$B$16,0)+'Operating costs'!$B$17)/60)*'Operating costs'!$B$19*'Operating costs'!$B$20),"n.a."))</f>
        <v>0</v>
      </c>
      <c r="N241" s="16">
        <f>IF(AND(C241=1,D241="EV",E241&lt;120,E241+'Replacement plan'!$AA$65&lt;=120),'Replacement plan'!$Z$65,0)</f>
        <v>0</v>
      </c>
      <c r="O241" s="1">
        <f>E241+'Replacement plan'!$AA$65</f>
        <v>0</v>
      </c>
      <c r="P241" s="35" t="str">
        <f>IFERROR(IF(C241=0,"Excluded",IF(OR(COUNTIFS('Fleet register'!$A$7:$A$106,A241)&lt;&gt;1,COUNTIFS('Replacement plan'!$A$7:$A$106,A241)&lt;&gt;1),"Duplicate/missing ID",IF(NOT(AND(ISNUMBER(VLOOKUP($A241,'Fleet register'!$A$7:$S$106,5,FALSE)),ISNUMBER(VLOOKUP($A241,'Fleet register'!$A$7:$S$106,6,FALSE)),ISNUMBER(VLOOKUP($A241,'Fleet register'!$A$7:$S$106,10,FALSE)),ISNUMBER(VLOOKUP($A241,'Fleet register'!$A$7:$S$106,11,FALSE)),ISNUMBER(VLOOKUP($A241,'Fleet register'!$A$7:$S$106,12,FALSE)),ISNUMBER(VLOOKUP($A241,'Fleet register'!$A$7:$S$106,13,FALSE)),ISNUMBER(VLOOKUP($A241,'Fleet register'!$A$7:$S$106,14,FALSE)),VLOOKUP($A241,'Fleet register'!$A$7:$S$106,14,FALSE)&gt;0,ISNUMBER('Replacement plan'!$C$65),OR(E241=120,ISNUMBER('Replacement plan'!$Q$65)),ISNUMBER(E241))),"Missing vehicle input",IF(OR(E241&lt;0,E241&gt;VLOOKUP($A241,'Fleet register'!$A$7:$S$106,10,FALSE),E241&gt;120,E241&lt;&gt;INT(E241),VLOOKUP($A241,'Fleet register'!$A$7:$S$106,6,FALSE)&lt;=0,VLOOKUP($A241,'Fleet register'!$A$7:$S$106,6,FALSE)&gt;366,VLOOKUP($A241,'Fleet register'!$A$7:$S$106,5,FALSE)&lt;0,VLOOKUP($A241,'Fleet register'!$A$7:$S$106,11,FALSE)&lt;0,I241&lt;0,'Operating costs'!$B$8&lt;='Operating costs'!$B$7*'Operating costs'!$B$9,'Operating costs'!$B$11&lt;=0,'Operating costs'!$B$39&gt;R241,'Operating costs'!$B$40&gt;R241,'Operating costs'!$B$41&gt;R241,NOT(OR('Replacement plan'!$O$65="Keep ICE",'Replacement plan'!$O$65="New ICE",'Replacement plan'!$O$65="EV"))),"Invalid vehicle input",IF(AND(D241="EV",E241&lt;120,OR(NOT(ISNUMBER(U241)),NOT(ISNUMBER(V241)),V241&lt;=0,T241&lt;0,T241&gt;1,'Replacement plan'!$L$65&lt;=0,'Operating costs'!$B$44&lt;0,'Operating costs'!$B$44&gt;=1,'Operating costs'!$B$47&lt;=0,'Operating costs'!$B$47&gt;1,V241*'Operating costs'!$B$47/(1-'Operating costs'!$B$44)&lt;=T241*'Operating costs'!$B$12*U241,AND('Replacement plan'!$Z$65&gt;0,OR('Replacement plan'!$AB$65&lt;&gt;"Yes",'Operating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charging'!$B$8&gt;=0))),ISNUMBER(VLOOKUP($A241,'Fleet register'!$A$7:$S$106,15,FALSE)),ISNUMBER(VLOOKUP($A241,'Fleet register'!$A$7:$S$106,16,FALSE)),ISNUMBER('Replacement plan'!$W$65),ISNUMBER('Replacement plan'!$X$65),OR(E241=120,AND(ISNUMBER(G241),G241&gt;=0)),ISNUMBER(H241),H241&gt;=0,OR(D241&lt;&gt;"EV",E241=120,AND(ISNUMBER('Operating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average",ISNUMBER(IFERROR(INDEX(Products!$P$7:$P$13,MATCH(AD241,Products!$A$7:$A$13,0)),"")))),ISNUMBER('Operating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plan'!$Y$65),ISNUMBER('Replacement plan'!$Z$65),'Replacement plan'!$Z$65&gt;=0,ISNUMBER('Replacement plan'!$AA$65),'Replacement plan'!$AA$65&gt;=0,'Replacement plan'!$AA$65=INT('Replacement plan'!$AA$65),ISNUMBER('Replacement plan'!$L$65))),'Operating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plan'!$AG$65="",'Operating costs'!$B$7,'Replacement plan'!$AG$65)),IF('Replacement plan'!$AG$65="",'Operating costs'!$B$7,'Replacement plan'!$AG$65)&gt;=0,ISNUMBER(IF('Replacement plan'!$AH$65="",'Operating costs'!$B$7,'Replacement plan'!$AH$65)),IF('Replacement plan'!$AH$65="",'Operating costs'!$B$7,'Replacement plan'!$AH$65)&gt;=0,'Operating costs'!$B$8&gt;MAX(IF('Replacement plan'!$AG$65="",'Operating costs'!$B$7,'Replacement plan'!$AG$65),IF('Replacement plan'!$AH$65="",'Operating costs'!$B$7,'Replacement plan'!$AH$65))*'Operating costs'!$B$9),IF(AND(VLOOKUP($A241,'Fleet register'!$A$7:$S$106,10,FALSE)&gt;=0,VLOOKUP($A241,'Fleet register'!$A$7:$S$106,10,FALSE)&lt;=120,VLOOKUP($A241,'Fleet register'!$A$7:$S$106,10,FALSE)=INT(VLOOKUP($A241,'Fleet register'!$A$7:$S$106,10,FALSE)),VLOOKUP($A241,'Fleet register'!$A$7:$S$106,15,FALSE)&gt;=0,VLOOKUP($A241,'Fleet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costs'!$B$67)&gt;=0,OR(D241&lt;&gt;"EV",E241=120,AND(MIN('Operating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41" s="1" t="str">
        <f>IF(C241=0,"Excluded",IF(P241&lt;&gt;"Complete",P241,IF(OR('Replacement plan'!$AD$65&lt;120-E241,AND(D241="EV",E241&lt;120,OR('Replacement plan'!$AC$65&lt;120-E241,'Replacement plan'!$I$65="No",AND(ISNUMBER(AF241),AE241&gt;AF241),AI241&gt;V241*(1-'Operating costs'!$B$46)^MAX(0,AB241-1)*(1-'Operating costs'!$B$45),AC241&gt;'Operating costs'!$B$18,AND(T241&lt;1,OR(AG241&lt;=0,AND(ISNUMBER(AH241),AG241&gt;AH241))),'Replacement plan'!$L$65&gt;INDEX(Products!$H$7:$H$13,MATCH('Replacement plan'!$B$65,Products!$A$7:$A$13,0))))),"Fails entered limits",IF(AND(D241="EV",E241&lt;120,OR(NOT(ISNUMBER(VLOOKUP($A241,'Fleet register'!$A$7:$S$106,7,FALSE))),NOT(ISNUMBER(VLOOKUP($A241,'Fleet register'!$A$7:$S$106,8,FALSE))),NOT(ISNUMBER(AF241)),'Replacement plan'!$I$65&lt;&gt;"Yes",NOT(ISNUMBER(AH241)),'Operating costs'!$B$59&lt;&gt;"Yes",'Operating costs'!$B$58&lt;&gt;"Yes")),"Unverified","Within entered limits"))))</f>
        <v>Excluded</v>
      </c>
      <c r="R241" s="1">
        <f>IF(C241=0,0,VLOOKUP($A241,'Fleet register'!$A$7:$S$106,6,FALSE))</f>
        <v>0</v>
      </c>
      <c r="S241" s="1">
        <f>IF(C241=0,0,VLOOKUP($A241,'Fleet register'!$A$7:$S$106,5,FALSE))</f>
        <v>0</v>
      </c>
      <c r="T241" s="1">
        <f>IF(D241="EV",'Energy and charging'!$B$12,0)</f>
        <v>0</v>
      </c>
      <c r="U241" s="1">
        <f>IFERROR(IF(C241=0,0,IF(D241="EV",IF('Replacement plan'!$F$65="",INDEX(Products!$E$7:$E$13,MATCH('Replacement plan'!$B$65,Products!$A$7:$A$13,0)),'Replacement plan'!$F$65)/IF('Replacement plan'!$G$65="Battery",1-'Operating costs'!$B$44,1),0)),"n.a.")</f>
        <v>0</v>
      </c>
      <c r="V241" s="1">
        <f>IFERROR(IF(C241=0,0,IF(D241="EV",IF('Replacement plan'!$E$65="",INDEX(Products!$D$7:$D$13,MATCH('Replacement plan'!$B$65,Products!$A$7:$A$13,0)),'Replacement plan'!$E$65),0)),"n.a.")</f>
        <v>0</v>
      </c>
      <c r="W241" s="1">
        <f>IF(C241=0,0,IF(AND(P241="Complete",D241="EV",E241&lt;120),IF(T241=0,0,ROUNDUP(T241*(R241-'Operating costs'!$B$41)*(S241*U241+'Operating costs'!$B$48/(1-'Operating costs'!$B$44))/(V241*'Operating costs'!$B$47/(1-'Operating costs'!$B$44)-T241*'Operating costs'!$B$12*U241),0)),0))</f>
        <v>0</v>
      </c>
      <c r="X241" s="1">
        <f>IF(C241=0,0,IF(AND(P241="Complete",D241="EV",E241&lt;120),(R241-'Operating costs'!$B$41)*(S241*U241+'Operating costs'!$B$48/(1-'Operating costs'!$B$44))+W241*'Operating costs'!$B$12*U241,0))</f>
        <v>0</v>
      </c>
      <c r="Y241" s="1">
        <f>IF(AND(C241=1,D241="EV",E241&lt;120),AI241/(1-'Operating costs'!$B$44)*(1-T241),0)</f>
        <v>0</v>
      </c>
      <c r="Z241" s="1">
        <f t="shared" si="6"/>
        <v>0</v>
      </c>
      <c r="AA241" s="1">
        <f>IF(C241=0,0,IF(P241="Complete",((S241*(R241-'Operating costs'!$B$40))+ROUNDUP(S241*(R241-'Operating costs'!$B$40)*IF('Replacement plan'!$AH$65="",'Operating costs'!$B$7,'Replacement plan'!$AH$65)/('Operating costs'!$B$8-'Operating costs'!$B$9*IF('Replacement plan'!$AH$65="",'Operating costs'!$B$7,'Replacement plan'!$AH$65)),0)*'Operating costs'!$B$9)*IF('Replacement plan'!$AH$65="",'Operating costs'!$B$7,'Replacement plan'!$AH$65),"n.a."))</f>
        <v>0</v>
      </c>
      <c r="AB241" s="1">
        <f t="shared" si="7"/>
        <v>0</v>
      </c>
      <c r="AC241" s="1">
        <f>IF(AND(C241=1,D241="EV",E241&lt;120,T241&gt;0),'Operating costs'!$B$12/'Operating costs'!$B$11*60+'Operating costs'!$B$13+'Operating costs'!$B$14+V241*'Operating costs'!$B$47/(1-'Operating costs'!$B$44)/'Replacement plan'!$L$65*60,0)</f>
        <v>0</v>
      </c>
      <c r="AD241" s="1" t="str">
        <f>'Replacement plan'!$B$65</f>
        <v>ChengLong L2EV</v>
      </c>
      <c r="AE241" s="1">
        <f>IF(C241=0,0,VLOOKUP($A241,'Fleet register'!$A$7:$S$106,8,FALSE))</f>
        <v>0</v>
      </c>
      <c r="AF241" s="1" t="str">
        <f>IF('Replacement plan'!$H$65="","n.a.",'Replacement plan'!$H$65)</f>
        <v>n.a.</v>
      </c>
      <c r="AG241" s="1">
        <f>'Replacement plan'!$J$65</f>
        <v>22</v>
      </c>
      <c r="AH241" s="1">
        <f>IFERROR(IF(D241="EV",IF('Replacement plan'!$K$65="AC",IF(ISNUMBER(INDEX(Products!$G$7:$G$13,MATCH('Replacement plan'!$B$65,Products!$A$7:$A$13,0))),INDEX(Products!$G$7:$G$13,MATCH('Replacement plan'!$B$65,Products!$A$7:$A$13,0)),"n.a."),IF(ISNUMBER(INDEX(Products!$H$7:$H$13,MATCH('Replacement plan'!$B$65,Products!$A$7:$A$13,0))),INDEX(Products!$H$7:$H$13,MATCH('Replacement plan'!$B$65,Products!$A$7:$A$13,0)),"n.a.")),0),"n.a.")</f>
        <v>0</v>
      </c>
      <c r="AI241" s="1">
        <f>IF(AND(C241=1,D241="EV",E241&lt;120),(VLOOKUP($A241,'Fleet register'!$A$7:$S$106,7,FALSE)+IF(T241&gt;0,'Operating costs'!$B$12,0))*U241*(1-'Operating costs'!$B$44)+'Operating costs'!$B$49,0)</f>
        <v>0</v>
      </c>
      <c r="AJ241" s="1">
        <f>IF(D241="EV",'Energy and charging'!$B$50,0)</f>
        <v>0</v>
      </c>
      <c r="AK241" s="17">
        <f>EDATE('Operating costs'!$B$63,E241)</f>
        <v>46298</v>
      </c>
      <c r="AL241" s="1">
        <f>IFERROR(IF(D241="EV",INDEX(Products!$B$7:$B$13,MATCH('Replacement plan'!$B$65,Products!$A$7:$A$13,0)),0),"n.a.")</f>
        <v>0</v>
      </c>
      <c r="AM241" s="1" t="str">
        <f>'Replacement plan'!$K$65</f>
        <v>DC</v>
      </c>
      <c r="AN241" s="1" t="str">
        <f>'Replacement plan'!$AE$65</f>
        <v>Assumed</v>
      </c>
      <c r="AO241" s="47">
        <f>IF(AND(C241=1,D241="EV",E241&lt;120),(R241-'Operating costs'!$B$41)*S241+W241*'Operating costs'!$B$12,0)</f>
        <v>0</v>
      </c>
      <c r="AP241" s="41">
        <f>IF(AND(C241=1,D241="EV",E241&lt;120),IF('Operating costs'!$B$68="Hong Seh 200k average",AO241*IFERROR(INDEX(Products!$P$7:$P$13,MATCH(AD241,Products!$A$7:$A$13,0)),"n.a."),'Operating costs'!$B$26),0)</f>
        <v>0</v>
      </c>
      <c r="AQ241" s="40" t="str">
        <f>IF(D241="EV",'Operating costs'!$B$68,"Not applicable")</f>
        <v>Not applicable</v>
      </c>
    </row>
    <row r="242" spans="1:43" ht="24" customHeight="1">
      <c r="A242" s="1" t="str">
        <f>'Replacement plan'!A65</f>
        <v>T059</v>
      </c>
      <c r="B242" s="1">
        <v>3</v>
      </c>
      <c r="C242" s="1">
        <f>IF(COUNTIFS('Fleet register'!$A$7:$A$106,$A242)=1,VLOOKUP($A242,'Fleet register'!$A$7:$S$106,2,FALSE),0)</f>
        <v>0</v>
      </c>
      <c r="D242" s="1" t="str">
        <f>IF('Replacement plan'!$R$65="EV","EV","ICE")</f>
        <v>ICE</v>
      </c>
      <c r="E242" s="1">
        <f>IF(C242=0,0,IF('Replacement plan'!$S$65="",IF('Replacement plan'!$R$65="Keep ICE",IF('Replacement plan'!$M$65="",VLOOKUP($A242,'Fleet register'!$A$7:$S$106,10,FALSE),'Replacement plan'!$M$65),0),'Replacement plan'!$S$65))</f>
        <v>0</v>
      </c>
      <c r="F242" s="16">
        <f>IF(C242=0,0,VLOOKUP($A242,'Fleet register'!$A$7:$S$106,11,FALSE))</f>
        <v>0</v>
      </c>
      <c r="G242" s="16">
        <f>IFERROR(IF(C242=0,0,IF(E242=120,0,IF(D242="ICE",'Replacement plan'!$C$65,IF('Replacement plan'!$D$65="",INDEX(Products!$I$7:$I$13,MATCH('Replacement plan'!$B$65,Products!$A$7:$A$13,0))+'Operating costs'!$B$57,'Replacement plan'!$D$65))*(1+'Operating costs'!$B$50)^(E242/12))),"n.a.")</f>
        <v>0</v>
      </c>
      <c r="H242" s="16">
        <f>IFERROR(IF(C242=0,0,IF('Replacement plan'!$V$65&lt;&gt;"",'Replacement plan'!$V$65,IF(E242=0,F242,VLOOKUP($A242,'Fleet register'!$A$7:$S$106,12,FALSE)+VLOOKUP($A242,'Fleet register'!$A$7:$S$106,13,FALSE)*MAX(0,VLOOKUP($A242,'Fleet register'!$A$7:$S$106,10,FALSE)-E242)/VLOOKUP($A242,'Fleet register'!$A$7:$S$106,14,FALSE)))),"n.a.")</f>
        <v>0</v>
      </c>
      <c r="I242" s="16">
        <f>IF(C242=0,0,IF(E242=120,0,'Replacement plan'!$T$65))</f>
        <v>0</v>
      </c>
      <c r="J242" s="16">
        <f>IF(C242=0,0,IF(P242="Complete",((S242*(R242-'Operating costs'!$B$39))+ROUNDUP(S242*(R242-'Operating costs'!$B$39)*IF('Replacement plan'!$AG$65="",'Operating costs'!$B$7,'Replacement plan'!$AG$65)/('Operating costs'!$B$8-'Operating costs'!$B$9*IF('Replacement plan'!$AG$65="",'Operating costs'!$B$7,'Replacement plan'!$AG$65)),0)*'Operating costs'!$B$9)*IF('Replacement plan'!$AG$65="",'Operating costs'!$B$7,'Replacement plan'!$AG$65)*('Energy and charging'!$C$9*'Energy and charging'!$C$7+(1-'Energy and charging'!$C$9)*'Energy and charging'!$C$8)*'Operating costs'!$B$23,"n.a."))</f>
        <v>0</v>
      </c>
      <c r="K242" s="16">
        <f>IF(C242=0,0,IF(P242="Complete",SUM('Operating costs'!$B$24,'Operating costs'!$B$27,'Operating costs'!$B$29,'Operating costs'!$B$31,'Operating costs'!$B$33,'Operating costs'!$B$34,'Operating costs'!$B$37,'Replacement plan'!$W$65)+'Operating costs'!$B$39*'Operating costs'!$B$42+ROUNDUP(S242*(R242-'Operating costs'!$B$39)*IF('Replacement plan'!$AG$65="",'Operating costs'!$B$7,'Replacement plan'!$AG$65)/('Operating costs'!$B$8-'Operating costs'!$B$9*IF('Replacement plan'!$AG$65="",'Operating costs'!$B$7,'Replacement plan'!$AG$65)),0)*('Operating costs'!$B$9/'Operating costs'!$B$11+'Operating costs'!$B$10/60)*'Operating costs'!$B$19*'Operating costs'!$B$21,"n.a."))</f>
        <v>0</v>
      </c>
      <c r="L242" s="16">
        <f>IF(C242=0,0,IF(P242="Complete",IF(D242="EV",X242*((1-T242)*'Energy and charging'!$C$10+T242*'Energy and charging'!$C$11)*'Operating costs'!$B$22,AA242*('Energy and charging'!$C$9*'Energy and charging'!$C$7+(1-'Energy and charging'!$C$9)*'Energy and charging'!$C$8)*'Operating costs'!$B$23),"n.a."))</f>
        <v>0</v>
      </c>
      <c r="M242" s="37">
        <f>IF(C242=0,0,IF(P242="Complete",IF(D242="ICE",SUM('Operating costs'!$B$25,'Operating costs'!$B$27,'Operating costs'!$B$29,'Operating costs'!$B$31,'Operating costs'!$B$33,'Operating costs'!$B$35,'Operating costs'!$B$37,'Replacement plan'!$X$65)+'Operating costs'!$B$40*'Operating costs'!$B$42+ROUNDUP(S242*(R242-'Operating costs'!$B$40)*IF('Replacement plan'!$AH$65="",'Operating costs'!$B$7,'Replacement plan'!$AH$65)/('Operating costs'!$B$8-'Operating costs'!$B$9*IF('Replacement plan'!$AH$65="",'Operating costs'!$B$7,'Replacement plan'!$AH$65)),0)*('Operating costs'!$B$9/'Operating costs'!$B$11+'Operating costs'!$B$10/60)*'Operating costs'!$B$19*'Operating costs'!$B$21,SUM(AP242,'Operating costs'!$B$28,'Operating costs'!$B$30,'Operating costs'!$B$32,'Operating costs'!$B$33,'Operating costs'!$B$36,'Operating costs'!$B$38,'Replacement plan'!$Y$65)+'Operating costs'!$B$41*'Operating costs'!$B$43+W242*'Operating costs'!$B$15+(T242*X242/'Replacement plan'!$L$65+W242*('Operating costs'!$B$12/'Operating costs'!$B$11+('Operating costs'!$B$13+'Operating costs'!$B$14)/60)+(R242-'Operating costs'!$B$41)*(IF(T242&lt;1,'Operating costs'!$B$16,0)+'Operating costs'!$B$17)/60)*'Operating costs'!$B$19*'Operating costs'!$B$20),"n.a."))</f>
        <v>0</v>
      </c>
      <c r="N242" s="16">
        <f>IF(AND(C242=1,D242="EV",E242&lt;120,E242+'Replacement plan'!$AA$65&lt;=120),'Replacement plan'!$Z$65,0)</f>
        <v>0</v>
      </c>
      <c r="O242" s="1">
        <f>E242+'Replacement plan'!$AA$65</f>
        <v>0</v>
      </c>
      <c r="P242" s="35" t="str">
        <f>IFERROR(IF(C242=0,"Excluded",IF(OR(COUNTIFS('Fleet register'!$A$7:$A$106,A242)&lt;&gt;1,COUNTIFS('Replacement plan'!$A$7:$A$106,A242)&lt;&gt;1),"Duplicate/missing ID",IF(NOT(AND(ISNUMBER(VLOOKUP($A242,'Fleet register'!$A$7:$S$106,5,FALSE)),ISNUMBER(VLOOKUP($A242,'Fleet register'!$A$7:$S$106,6,FALSE)),ISNUMBER(VLOOKUP($A242,'Fleet register'!$A$7:$S$106,10,FALSE)),ISNUMBER(VLOOKUP($A242,'Fleet register'!$A$7:$S$106,11,FALSE)),ISNUMBER(VLOOKUP($A242,'Fleet register'!$A$7:$S$106,12,FALSE)),ISNUMBER(VLOOKUP($A242,'Fleet register'!$A$7:$S$106,13,FALSE)),ISNUMBER(VLOOKUP($A242,'Fleet register'!$A$7:$S$106,14,FALSE)),VLOOKUP($A242,'Fleet register'!$A$7:$S$106,14,FALSE)&gt;0,ISNUMBER('Replacement plan'!$C$65),OR(E242=120,ISNUMBER('Replacement plan'!$T$65)),ISNUMBER(E242))),"Missing vehicle input",IF(OR(E242&lt;0,E242&gt;VLOOKUP($A242,'Fleet register'!$A$7:$S$106,10,FALSE),E242&gt;120,E242&lt;&gt;INT(E242),VLOOKUP($A242,'Fleet register'!$A$7:$S$106,6,FALSE)&lt;=0,VLOOKUP($A242,'Fleet register'!$A$7:$S$106,6,FALSE)&gt;366,VLOOKUP($A242,'Fleet register'!$A$7:$S$106,5,FALSE)&lt;0,VLOOKUP($A242,'Fleet register'!$A$7:$S$106,11,FALSE)&lt;0,I242&lt;0,'Operating costs'!$B$8&lt;='Operating costs'!$B$7*'Operating costs'!$B$9,'Operating costs'!$B$11&lt;=0,'Operating costs'!$B$39&gt;R242,'Operating costs'!$B$40&gt;R242,'Operating costs'!$B$41&gt;R242,NOT(OR('Replacement plan'!$R$65="Keep ICE",'Replacement plan'!$R$65="New ICE",'Replacement plan'!$R$65="EV"))),"Invalid vehicle input",IF(AND(D242="EV",E242&lt;120,OR(NOT(ISNUMBER(U242)),NOT(ISNUMBER(V242)),V242&lt;=0,T242&lt;0,T242&gt;1,'Replacement plan'!$L$65&lt;=0,'Operating costs'!$B$44&lt;0,'Operating costs'!$B$44&gt;=1,'Operating costs'!$B$47&lt;=0,'Operating costs'!$B$47&gt;1,V242*'Operating costs'!$B$47/(1-'Operating costs'!$B$44)&lt;=T242*'Operating costs'!$B$12*U242,AND('Replacement plan'!$Z$65&gt;0,OR('Replacement plan'!$AB$65&lt;&gt;"Yes",'Operating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charging'!$C$8&gt;=0))),ISNUMBER(VLOOKUP($A242,'Fleet register'!$A$7:$S$106,15,FALSE)),ISNUMBER(VLOOKUP($A242,'Fleet register'!$A$7:$S$106,16,FALSE)),ISNUMBER('Replacement plan'!$W$65),ISNUMBER('Replacement plan'!$X$65),OR(E242=120,AND(ISNUMBER(G242),G242&gt;=0)),ISNUMBER(H242),H242&gt;=0,OR(D242&lt;&gt;"EV",E242=120,AND(ISNUMBER('Operating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average",ISNUMBER(IFERROR(INDEX(Products!$P$7:$P$13,MATCH(AD242,Products!$A$7:$A$13,0)),"")))),ISNUMBER('Operating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plan'!$Y$65),ISNUMBER('Replacement plan'!$Z$65),'Replacement plan'!$Z$65&gt;=0,ISNUMBER('Replacement plan'!$AA$65),'Replacement plan'!$AA$65&gt;=0,'Replacement plan'!$AA$65=INT('Replacement plan'!$AA$65),ISNUMBER('Replacement plan'!$L$65))),'Operating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plan'!$AG$65="",'Operating costs'!$B$7,'Replacement plan'!$AG$65)),IF('Replacement plan'!$AG$65="",'Operating costs'!$B$7,'Replacement plan'!$AG$65)&gt;=0,ISNUMBER(IF('Replacement plan'!$AH$65="",'Operating costs'!$B$7,'Replacement plan'!$AH$65)),IF('Replacement plan'!$AH$65="",'Operating costs'!$B$7,'Replacement plan'!$AH$65)&gt;=0,'Operating costs'!$B$8&gt;MAX(IF('Replacement plan'!$AG$65="",'Operating costs'!$B$7,'Replacement plan'!$AG$65),IF('Replacement plan'!$AH$65="",'Operating costs'!$B$7,'Replacement plan'!$AH$65))*'Operating costs'!$B$9),IF(AND(VLOOKUP($A242,'Fleet register'!$A$7:$S$106,10,FALSE)&gt;=0,VLOOKUP($A242,'Fleet register'!$A$7:$S$106,10,FALSE)&lt;=120,VLOOKUP($A242,'Fleet register'!$A$7:$S$106,10,FALSE)=INT(VLOOKUP($A242,'Fleet register'!$A$7:$S$106,10,FALSE)),VLOOKUP($A242,'Fleet register'!$A$7:$S$106,15,FALSE)&gt;=0,VLOOKUP($A242,'Fleet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costs'!$B$67)&gt;=0,OR(D242&lt;&gt;"EV",E242=120,AND(MIN('Operating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42" s="1" t="str">
        <f>IF(C242=0,"Excluded",IF(P242&lt;&gt;"Complete",P242,IF(OR('Replacement plan'!$AD$65&lt;120-E242,AND(D242="EV",E242&lt;120,OR('Replacement plan'!$AC$65&lt;120-E242,'Replacement plan'!$I$65="No",AND(ISNUMBER(AF242),AE242&gt;AF242),AI242&gt;V242*(1-'Operating costs'!$B$46)^MAX(0,AB242-1)*(1-'Operating costs'!$B$45),AC242&gt;'Operating costs'!$B$18,AND(T242&lt;1,OR(AG242&lt;=0,AND(ISNUMBER(AH242),AG242&gt;AH242))),'Replacement plan'!$L$65&gt;INDEX(Products!$H$7:$H$13,MATCH('Replacement plan'!$B$65,Products!$A$7:$A$13,0))))),"Fails entered limits",IF(AND(D242="EV",E242&lt;120,OR(NOT(ISNUMBER(VLOOKUP($A242,'Fleet register'!$A$7:$S$106,7,FALSE))),NOT(ISNUMBER(VLOOKUP($A242,'Fleet register'!$A$7:$S$106,8,FALSE))),NOT(ISNUMBER(AF242)),'Replacement plan'!$I$65&lt;&gt;"Yes",NOT(ISNUMBER(AH242)),'Operating costs'!$B$59&lt;&gt;"Yes",'Operating costs'!$B$58&lt;&gt;"Yes")),"Unverified","Within entered limits"))))</f>
        <v>Excluded</v>
      </c>
      <c r="R242" s="1">
        <f>IF(C242=0,0,VLOOKUP($A242,'Fleet register'!$A$7:$S$106,6,FALSE))</f>
        <v>0</v>
      </c>
      <c r="S242" s="1">
        <f>IF(C242=0,0,VLOOKUP($A242,'Fleet register'!$A$7:$S$106,5,FALSE))</f>
        <v>0</v>
      </c>
      <c r="T242" s="1">
        <f>IF(D242="EV",'Energy and charging'!$C$12,0)</f>
        <v>0</v>
      </c>
      <c r="U242" s="1">
        <f>IFERROR(IF(C242=0,0,IF(D242="EV",IF('Replacement plan'!$F$65="",INDEX(Products!$E$7:$E$13,MATCH('Replacement plan'!$B$65,Products!$A$7:$A$13,0)),'Replacement plan'!$F$65)/IF('Replacement plan'!$G$65="Battery",1-'Operating costs'!$B$44,1),0)),"n.a.")</f>
        <v>0</v>
      </c>
      <c r="V242" s="1">
        <f>IFERROR(IF(C242=0,0,IF(D242="EV",IF('Replacement plan'!$E$65="",INDEX(Products!$D$7:$D$13,MATCH('Replacement plan'!$B$65,Products!$A$7:$A$13,0)),'Replacement plan'!$E$65),0)),"n.a.")</f>
        <v>0</v>
      </c>
      <c r="W242" s="1">
        <f>IF(C242=0,0,IF(AND(P242="Complete",D242="EV",E242&lt;120),IF(T242=0,0,ROUNDUP(T242*(R242-'Operating costs'!$B$41)*(S242*U242+'Operating costs'!$B$48/(1-'Operating costs'!$B$44))/(V242*'Operating costs'!$B$47/(1-'Operating costs'!$B$44)-T242*'Operating costs'!$B$12*U242),0)),0))</f>
        <v>0</v>
      </c>
      <c r="X242" s="1">
        <f>IF(C242=0,0,IF(AND(P242="Complete",D242="EV",E242&lt;120),(R242-'Operating costs'!$B$41)*(S242*U242+'Operating costs'!$B$48/(1-'Operating costs'!$B$44))+W242*'Operating costs'!$B$12*U242,0))</f>
        <v>0</v>
      </c>
      <c r="Y242" s="1">
        <f>IF(AND(C242=1,D242="EV",E242&lt;120),AI242/(1-'Operating costs'!$B$44)*(1-T242),0)</f>
        <v>0</v>
      </c>
      <c r="Z242" s="1">
        <f t="shared" si="6"/>
        <v>0</v>
      </c>
      <c r="AA242" s="1">
        <f>IF(C242=0,0,IF(P242="Complete",((S242*(R242-'Operating costs'!$B$40))+ROUNDUP(S242*(R242-'Operating costs'!$B$40)*IF('Replacement plan'!$AH$65="",'Operating costs'!$B$7,'Replacement plan'!$AH$65)/('Operating costs'!$B$8-'Operating costs'!$B$9*IF('Replacement plan'!$AH$65="",'Operating costs'!$B$7,'Replacement plan'!$AH$65)),0)*'Operating costs'!$B$9)*IF('Replacement plan'!$AH$65="",'Operating costs'!$B$7,'Replacement plan'!$AH$65),"n.a."))</f>
        <v>0</v>
      </c>
      <c r="AB242" s="1">
        <f t="shared" si="7"/>
        <v>0</v>
      </c>
      <c r="AC242" s="1">
        <f>IF(AND(C242=1,D242="EV",E242&lt;120,T242&gt;0),'Operating costs'!$B$12/'Operating costs'!$B$11*60+'Operating costs'!$B$13+'Operating costs'!$B$14+V242*'Operating costs'!$B$47/(1-'Operating costs'!$B$44)/'Replacement plan'!$L$65*60,0)</f>
        <v>0</v>
      </c>
      <c r="AD242" s="1" t="str">
        <f>'Replacement plan'!$B$65</f>
        <v>ChengLong L2EV</v>
      </c>
      <c r="AE242" s="1">
        <f>IF(C242=0,0,VLOOKUP($A242,'Fleet register'!$A$7:$S$106,8,FALSE))</f>
        <v>0</v>
      </c>
      <c r="AF242" s="1" t="str">
        <f>IF('Replacement plan'!$H$65="","n.a.",'Replacement plan'!$H$65)</f>
        <v>n.a.</v>
      </c>
      <c r="AG242" s="1">
        <f>'Replacement plan'!$J$65</f>
        <v>22</v>
      </c>
      <c r="AH242" s="1">
        <f>IFERROR(IF(D242="EV",IF('Replacement plan'!$K$65="AC",IF(ISNUMBER(INDEX(Products!$G$7:$G$13,MATCH('Replacement plan'!$B$65,Products!$A$7:$A$13,0))),INDEX(Products!$G$7:$G$13,MATCH('Replacement plan'!$B$65,Products!$A$7:$A$13,0)),"n.a."),IF(ISNUMBER(INDEX(Products!$H$7:$H$13,MATCH('Replacement plan'!$B$65,Products!$A$7:$A$13,0))),INDEX(Products!$H$7:$H$13,MATCH('Replacement plan'!$B$65,Products!$A$7:$A$13,0)),"n.a.")),0),"n.a.")</f>
        <v>0</v>
      </c>
      <c r="AI242" s="1">
        <f>IF(AND(C242=1,D242="EV",E242&lt;120),(VLOOKUP($A242,'Fleet register'!$A$7:$S$106,7,FALSE)+IF(T242&gt;0,'Operating costs'!$B$12,0))*U242*(1-'Operating costs'!$B$44)+'Operating costs'!$B$49,0)</f>
        <v>0</v>
      </c>
      <c r="AJ242" s="1">
        <f>IF(D242="EV",'Energy and charging'!$C$50,0)</f>
        <v>0</v>
      </c>
      <c r="AK242" s="17">
        <f>EDATE('Operating costs'!$B$63,E242)</f>
        <v>46298</v>
      </c>
      <c r="AL242" s="1">
        <f>IFERROR(IF(D242="EV",INDEX(Products!$B$7:$B$13,MATCH('Replacement plan'!$B$65,Products!$A$7:$A$13,0)),0),"n.a.")</f>
        <v>0</v>
      </c>
      <c r="AM242" s="1" t="str">
        <f>'Replacement plan'!$K$65</f>
        <v>DC</v>
      </c>
      <c r="AN242" s="1" t="str">
        <f>'Replacement plan'!$AE$65</f>
        <v>Assumed</v>
      </c>
      <c r="AO242" s="47">
        <f>IF(AND(C242=1,D242="EV",E242&lt;120),(R242-'Operating costs'!$B$41)*S242+W242*'Operating costs'!$B$12,0)</f>
        <v>0</v>
      </c>
      <c r="AP242" s="41">
        <f>IF(AND(C242=1,D242="EV",E242&lt;120),IF('Operating costs'!$B$68="Hong Seh 200k average",AO242*IFERROR(INDEX(Products!$P$7:$P$13,MATCH(AD242,Products!$A$7:$A$13,0)),"n.a."),'Operating costs'!$B$26),0)</f>
        <v>0</v>
      </c>
      <c r="AQ242" s="40" t="str">
        <f>IF(D242="EV",'Operating costs'!$B$68,"Not applicable")</f>
        <v>Not applicable</v>
      </c>
    </row>
    <row r="243" spans="1:43" ht="24" customHeight="1">
      <c r="A243" s="1" t="str">
        <f>'Replacement plan'!A66</f>
        <v>T060</v>
      </c>
      <c r="B243" s="1">
        <v>0</v>
      </c>
      <c r="C243" s="1">
        <f>IF(COUNTIFS('Fleet register'!$A$7:$A$106,$A243)=1,VLOOKUP($A243,'Fleet register'!$A$7:$S$106,2,FALSE),0)</f>
        <v>0</v>
      </c>
      <c r="D243" s="1" t="str">
        <f>IF("Keep ICE"="EV","EV","ICE")</f>
        <v>ICE</v>
      </c>
      <c r="E243" s="1">
        <f>IF(C243=0,0,IF('Replacement plan'!$M$66="",VLOOKUP($A243,'Fleet register'!$A$7:$S$106,10,FALSE),'Replacement plan'!$M$66))</f>
        <v>0</v>
      </c>
      <c r="F243" s="16">
        <f>IF(C243=0,0,VLOOKUP($A243,'Fleet register'!$A$7:$S$106,11,FALSE))</f>
        <v>0</v>
      </c>
      <c r="G243" s="16">
        <f>IFERROR(IF(C243=0,0,IF(E243=120,0,IF(D243="ICE",'Replacement plan'!$C$66,IF('Replacement plan'!$D$66="",INDEX(Products!$I$7:$I$13,MATCH('Replacement plan'!$B$66,Products!$A$7:$A$13,0))+'Operating costs'!$B$57,'Replacement plan'!$D$66))*(1+'Operating costs'!$B$50)^(E243/12))),"n.a.")</f>
        <v>0</v>
      </c>
      <c r="H243" s="16">
        <f>IFERROR(IF(C243=0,0,IF(E243=0,F243,VLOOKUP($A243,'Fleet register'!$A$7:$S$106,12,FALSE)+VLOOKUP($A243,'Fleet register'!$A$7:$S$106,13,FALSE)*MAX(0,VLOOKUP($A243,'Fleet register'!$A$7:$S$106,10,FALSE)-E243)/VLOOKUP($A243,'Fleet register'!$A$7:$S$106,14,FALSE))),"n.a.")</f>
        <v>0</v>
      </c>
      <c r="I243" s="16">
        <f>IF(C243=0,0,IF(E243=120,0,'Replacement plan'!$N$66))</f>
        <v>0</v>
      </c>
      <c r="J243" s="16">
        <f>IF(C243=0,0,IF(P243="Complete",((S243*(R243-'Operating costs'!$B$39))+ROUNDUP(S243*(R243-'Operating costs'!$B$39)*IF('Replacement plan'!$AG$66="",'Operating costs'!$B$7,'Replacement plan'!$AG$66)/('Operating costs'!$B$8-'Operating costs'!$B$9*IF('Replacement plan'!$AG$66="",'Operating costs'!$B$7,'Replacement plan'!$AG$66)),0)*'Operating costs'!$B$9)*IF('Replacement plan'!$AG$66="",'Operating costs'!$B$7,'Replacement plan'!$AG$66)*('Energy and charging'!$B$9*'Energy and charging'!$B$7+(1-'Energy and charging'!$B$9)*'Energy and charging'!$B$8)*'Operating costs'!$B$23,"n.a."))</f>
        <v>0</v>
      </c>
      <c r="K243" s="16">
        <f>IF(C243=0,0,IF(P243="Complete",SUM('Operating costs'!$B$24,'Operating costs'!$B$27,'Operating costs'!$B$29,'Operating costs'!$B$31,'Operating costs'!$B$33,'Operating costs'!$B$34,'Operating costs'!$B$37,'Replacement plan'!$W$66)+'Operating costs'!$B$39*'Operating costs'!$B$42+ROUNDUP(S243*(R243-'Operating costs'!$B$39)*IF('Replacement plan'!$AG$66="",'Operating costs'!$B$7,'Replacement plan'!$AG$66)/('Operating costs'!$B$8-'Operating costs'!$B$9*IF('Replacement plan'!$AG$66="",'Operating costs'!$B$7,'Replacement plan'!$AG$66)),0)*('Operating costs'!$B$9/'Operating costs'!$B$11+'Operating costs'!$B$10/60)*'Operating costs'!$B$19*'Operating costs'!$B$21,"n.a."))</f>
        <v>0</v>
      </c>
      <c r="L243" s="16">
        <f>IF(C243=0,0,IF(P243="Complete",IF(D243="EV",X243*((1-T243)*'Energy and charging'!$B$10+T243*'Energy and charging'!$B$11)*'Operating costs'!$B$22,AA243*('Energy and charging'!$B$9*'Energy and charging'!$B$7+(1-'Energy and charging'!$B$9)*'Energy and charging'!$B$8)*'Operating costs'!$B$23),"n.a."))</f>
        <v>0</v>
      </c>
      <c r="M243" s="37">
        <f>IF(C243=0,0,IF(P243="Complete",IF(D243="ICE",SUM('Operating costs'!$B$25,'Operating costs'!$B$27,'Operating costs'!$B$29,'Operating costs'!$B$31,'Operating costs'!$B$33,'Operating costs'!$B$35,'Operating costs'!$B$37,'Replacement plan'!$X$66)+'Operating costs'!$B$40*'Operating costs'!$B$42+ROUNDUP(S243*(R243-'Operating costs'!$B$40)*IF('Replacement plan'!$AH$66="",'Operating costs'!$B$7,'Replacement plan'!$AH$66)/('Operating costs'!$B$8-'Operating costs'!$B$9*IF('Replacement plan'!$AH$66="",'Operating costs'!$B$7,'Replacement plan'!$AH$66)),0)*('Operating costs'!$B$9/'Operating costs'!$B$11+'Operating costs'!$B$10/60)*'Operating costs'!$B$19*'Operating costs'!$B$21,SUM(AP243,'Operating costs'!$B$28,'Operating costs'!$B$30,'Operating costs'!$B$32,'Operating costs'!$B$33,'Operating costs'!$B$36,'Operating costs'!$B$38,'Replacement plan'!$Y$66)+'Operating costs'!$B$41*'Operating costs'!$B$43+W243*'Operating costs'!$B$15+(T243*X243/'Replacement plan'!$L$66+W243*('Operating costs'!$B$12/'Operating costs'!$B$11+('Operating costs'!$B$13+'Operating costs'!$B$14)/60)+(R243-'Operating costs'!$B$41)*(IF(T243&lt;1,'Operating costs'!$B$16,0)+'Operating costs'!$B$17)/60)*'Operating costs'!$B$19*'Operating costs'!$B$20),"n.a."))</f>
        <v>0</v>
      </c>
      <c r="N243" s="16">
        <f>IF(AND(C243=1,D243="EV",E243&lt;120,E243+'Replacement plan'!$AA$66&lt;=120),'Replacement plan'!$Z$66,0)</f>
        <v>0</v>
      </c>
      <c r="O243" s="1">
        <f>E243+'Replacement plan'!$AA$66</f>
        <v>0</v>
      </c>
      <c r="P243" s="35" t="str">
        <f>IFERROR(IF(C243=0,"Excluded",IF(OR(COUNTIFS('Fleet register'!$A$7:$A$106,A243)&lt;&gt;1,COUNTIFS('Replacement plan'!$A$7:$A$106,A243)&lt;&gt;1),"Duplicate/missing ID",IF(NOT(AND(ISNUMBER(VLOOKUP($A243,'Fleet register'!$A$7:$S$106,5,FALSE)),ISNUMBER(VLOOKUP($A243,'Fleet register'!$A$7:$S$106,6,FALSE)),ISNUMBER(VLOOKUP($A243,'Fleet register'!$A$7:$S$106,10,FALSE)),ISNUMBER(VLOOKUP($A243,'Fleet register'!$A$7:$S$106,11,FALSE)),ISNUMBER(VLOOKUP($A243,'Fleet register'!$A$7:$S$106,12,FALSE)),ISNUMBER(VLOOKUP($A243,'Fleet register'!$A$7:$S$106,13,FALSE)),ISNUMBER(VLOOKUP($A243,'Fleet register'!$A$7:$S$106,14,FALSE)),VLOOKUP($A243,'Fleet register'!$A$7:$S$106,14,FALSE)&gt;0,ISNUMBER('Replacement plan'!$C$66),OR(E243=120,ISNUMBER('Replacement plan'!$N$66)),ISNUMBER(E243))),"Missing vehicle input",IF(OR(E243&lt;0,E243&gt;VLOOKUP($A243,'Fleet register'!$A$7:$S$106,10,FALSE),E243&gt;120,E243&lt;&gt;INT(E243),VLOOKUP($A243,'Fleet register'!$A$7:$S$106,6,FALSE)&lt;=0,VLOOKUP($A243,'Fleet register'!$A$7:$S$106,6,FALSE)&gt;366,VLOOKUP($A243,'Fleet register'!$A$7:$S$106,5,FALSE)&lt;0,VLOOKUP($A243,'Fleet register'!$A$7:$S$106,11,FALSE)&lt;0,I243&lt;0,'Operating costs'!$B$8&lt;='Operating costs'!$B$7*'Operating costs'!$B$9,'Operating costs'!$B$11&lt;=0,'Operating costs'!$B$39&gt;R243,'Operating costs'!$B$40&gt;R243,'Operating costs'!$B$41&gt;R243,NOT(OR("Keep ICE"="Keep ICE","Keep ICE"="New ICE","Keep ICE"="EV"))),"Invalid vehicle input",IF(AND(D243="EV",E243&lt;120,OR(NOT(ISNUMBER(U243)),NOT(ISNUMBER(V243)),V243&lt;=0,T243&lt;0,T243&gt;1,'Replacement plan'!$L$66&lt;=0,'Operating costs'!$B$44&lt;0,'Operating costs'!$B$44&gt;=1,'Operating costs'!$B$47&lt;=0,'Operating costs'!$B$47&gt;1,V243*'Operating costs'!$B$47/(1-'Operating costs'!$B$44)&lt;=T243*'Operating costs'!$B$12*U243,AND('Replacement plan'!$Z$66&gt;0,OR('Replacement plan'!$AB$66&lt;&gt;"Yes",'Operating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charging'!$B$8&gt;=0))),ISNUMBER(VLOOKUP($A243,'Fleet register'!$A$7:$S$106,15,FALSE)),ISNUMBER(VLOOKUP($A243,'Fleet register'!$A$7:$S$106,16,FALSE)),ISNUMBER('Replacement plan'!$W$66),ISNUMBER('Replacement plan'!$X$66),OR(E243=120,AND(ISNUMBER(G243),G243&gt;=0)),ISNUMBER(H243),H243&gt;=0,OR(D243&lt;&gt;"EV",E243=120,AND(ISNUMBER('Operating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average",ISNUMBER(IFERROR(INDEX(Products!$P$7:$P$13,MATCH(AD243,Products!$A$7:$A$13,0)),"")))),ISNUMBER('Operating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plan'!$Y$66),ISNUMBER('Replacement plan'!$Z$66),'Replacement plan'!$Z$66&gt;=0,ISNUMBER('Replacement plan'!$AA$66),'Replacement plan'!$AA$66&gt;=0,'Replacement plan'!$AA$66=INT('Replacement plan'!$AA$66),ISNUMBER('Replacement plan'!$L$66))),'Operating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plan'!$AG$66="",'Operating costs'!$B$7,'Replacement plan'!$AG$66)),IF('Replacement plan'!$AG$66="",'Operating costs'!$B$7,'Replacement plan'!$AG$66)&gt;=0,ISNUMBER(IF('Replacement plan'!$AH$66="",'Operating costs'!$B$7,'Replacement plan'!$AH$66)),IF('Replacement plan'!$AH$66="",'Operating costs'!$B$7,'Replacement plan'!$AH$66)&gt;=0,'Operating costs'!$B$8&gt;MAX(IF('Replacement plan'!$AG$66="",'Operating costs'!$B$7,'Replacement plan'!$AG$66),IF('Replacement plan'!$AH$66="",'Operating costs'!$B$7,'Replacement plan'!$AH$66))*'Operating costs'!$B$9),IF(AND(VLOOKUP($A243,'Fleet register'!$A$7:$S$106,10,FALSE)&gt;=0,VLOOKUP($A243,'Fleet register'!$A$7:$S$106,10,FALSE)&lt;=120,VLOOKUP($A243,'Fleet register'!$A$7:$S$106,10,FALSE)=INT(VLOOKUP($A243,'Fleet register'!$A$7:$S$106,10,FALSE)),VLOOKUP($A243,'Fleet register'!$A$7:$S$106,15,FALSE)&gt;=0,VLOOKUP($A243,'Fleet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costs'!$B$67)&gt;=0,OR(D243&lt;&gt;"EV",E243=120,AND(MIN('Operating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43" s="1" t="str">
        <f>IF(C243=0,"Excluded",IF(P243&lt;&gt;"Complete",P243,IF(OR('Replacement plan'!$AD$66&lt;120-E243,AND(D243="EV",E243&lt;120,OR('Replacement plan'!$AC$66&lt;120-E243,'Replacement plan'!$I$66="No",AND(ISNUMBER(AF243),AE243&gt;AF243),AI243&gt;V243*(1-'Operating costs'!$B$46)^MAX(0,AB243-1)*(1-'Operating costs'!$B$45),AC243&gt;'Operating costs'!$B$18,AND(T243&lt;1,OR(AG243&lt;=0,AND(ISNUMBER(AH243),AG243&gt;AH243))),'Replacement plan'!$L$66&gt;INDEX(Products!$H$7:$H$13,MATCH('Replacement plan'!$B$66,Products!$A$7:$A$13,0))))),"Fails entered limits",IF(AND(D243="EV",E243&lt;120,OR(NOT(ISNUMBER(VLOOKUP($A243,'Fleet register'!$A$7:$S$106,7,FALSE))),NOT(ISNUMBER(VLOOKUP($A243,'Fleet register'!$A$7:$S$106,8,FALSE))),NOT(ISNUMBER(AF243)),'Replacement plan'!$I$66&lt;&gt;"Yes",NOT(ISNUMBER(AH243)),'Operating costs'!$B$59&lt;&gt;"Yes",'Operating costs'!$B$58&lt;&gt;"Yes")),"Unverified","Within entered limits"))))</f>
        <v>Excluded</v>
      </c>
      <c r="R243" s="1">
        <f>IF(C243=0,0,VLOOKUP($A243,'Fleet register'!$A$7:$S$106,6,FALSE))</f>
        <v>0</v>
      </c>
      <c r="S243" s="1">
        <f>IF(C243=0,0,VLOOKUP($A243,'Fleet register'!$A$7:$S$106,5,FALSE))</f>
        <v>0</v>
      </c>
      <c r="T243" s="1">
        <f>IF(D243="EV",'Energy and charging'!$B$12,0)</f>
        <v>0</v>
      </c>
      <c r="U243" s="1">
        <f>IFERROR(IF(C243=0,0,IF(D243="EV",IF('Replacement plan'!$F$66="",INDEX(Products!$E$7:$E$13,MATCH('Replacement plan'!$B$66,Products!$A$7:$A$13,0)),'Replacement plan'!$F$66)/IF('Replacement plan'!$G$66="Battery",1-'Operating costs'!$B$44,1),0)),"n.a.")</f>
        <v>0</v>
      </c>
      <c r="V243" s="1">
        <f>IFERROR(IF(C243=0,0,IF(D243="EV",IF('Replacement plan'!$E$66="",INDEX(Products!$D$7:$D$13,MATCH('Replacement plan'!$B$66,Products!$A$7:$A$13,0)),'Replacement plan'!$E$66),0)),"n.a.")</f>
        <v>0</v>
      </c>
      <c r="W243" s="1">
        <f>IF(C243=0,0,IF(AND(P243="Complete",D243="EV",E243&lt;120),IF(T243=0,0,ROUNDUP(T243*(R243-'Operating costs'!$B$41)*(S243*U243+'Operating costs'!$B$48/(1-'Operating costs'!$B$44))/(V243*'Operating costs'!$B$47/(1-'Operating costs'!$B$44)-T243*'Operating costs'!$B$12*U243),0)),0))</f>
        <v>0</v>
      </c>
      <c r="X243" s="1">
        <f>IF(C243=0,0,IF(AND(P243="Complete",D243="EV",E243&lt;120),(R243-'Operating costs'!$B$41)*(S243*U243+'Operating costs'!$B$48/(1-'Operating costs'!$B$44))+W243*'Operating costs'!$B$12*U243,0))</f>
        <v>0</v>
      </c>
      <c r="Y243" s="1">
        <f>IF(AND(C243=1,D243="EV",E243&lt;120),AI243/(1-'Operating costs'!$B$44)*(1-T243),0)</f>
        <v>0</v>
      </c>
      <c r="Z243" s="1">
        <f t="shared" si="6"/>
        <v>0</v>
      </c>
      <c r="AA243" s="1">
        <f>IF(C243=0,0,IF(P243="Complete",((S243*(R243-'Operating costs'!$B$40))+ROUNDUP(S243*(R243-'Operating costs'!$B$40)*IF('Replacement plan'!$AH$66="",'Operating costs'!$B$7,'Replacement plan'!$AH$66)/('Operating costs'!$B$8-'Operating costs'!$B$9*IF('Replacement plan'!$AH$66="",'Operating costs'!$B$7,'Replacement plan'!$AH$66)),0)*'Operating costs'!$B$9)*IF('Replacement plan'!$AH$66="",'Operating costs'!$B$7,'Replacement plan'!$AH$66),"n.a."))</f>
        <v>0</v>
      </c>
      <c r="AB243" s="1">
        <f t="shared" si="7"/>
        <v>0</v>
      </c>
      <c r="AC243" s="1">
        <f>IF(AND(C243=1,D243="EV",E243&lt;120,T243&gt;0),'Operating costs'!$B$12/'Operating costs'!$B$11*60+'Operating costs'!$B$13+'Operating costs'!$B$14+V243*'Operating costs'!$B$47/(1-'Operating costs'!$B$44)/'Replacement plan'!$L$66*60,0)</f>
        <v>0</v>
      </c>
      <c r="AD243" s="1" t="str">
        <f>'Replacement plan'!$B$66</f>
        <v>ChengLong L2EV</v>
      </c>
      <c r="AE243" s="1">
        <f>IF(C243=0,0,VLOOKUP($A243,'Fleet register'!$A$7:$S$106,8,FALSE))</f>
        <v>0</v>
      </c>
      <c r="AF243" s="1" t="str">
        <f>IF('Replacement plan'!$H$66="","n.a.",'Replacement plan'!$H$66)</f>
        <v>n.a.</v>
      </c>
      <c r="AG243" s="1">
        <f>'Replacement plan'!$J$66</f>
        <v>22</v>
      </c>
      <c r="AH243" s="1">
        <f>IFERROR(IF(D243="EV",IF('Replacement plan'!$K$66="AC",IF(ISNUMBER(INDEX(Products!$G$7:$G$13,MATCH('Replacement plan'!$B$66,Products!$A$7:$A$13,0))),INDEX(Products!$G$7:$G$13,MATCH('Replacement plan'!$B$66,Products!$A$7:$A$13,0)),"n.a."),IF(ISNUMBER(INDEX(Products!$H$7:$H$13,MATCH('Replacement plan'!$B$66,Products!$A$7:$A$13,0))),INDEX(Products!$H$7:$H$13,MATCH('Replacement plan'!$B$66,Products!$A$7:$A$13,0)),"n.a.")),0),"n.a.")</f>
        <v>0</v>
      </c>
      <c r="AI243" s="1">
        <f>IF(AND(C243=1,D243="EV",E243&lt;120),(VLOOKUP($A243,'Fleet register'!$A$7:$S$106,7,FALSE)+IF(T243&gt;0,'Operating costs'!$B$12,0))*U243*(1-'Operating costs'!$B$44)+'Operating costs'!$B$49,0)</f>
        <v>0</v>
      </c>
      <c r="AJ243" s="1">
        <f>IF(D243="EV",'Energy and charging'!$B$50,0)</f>
        <v>0</v>
      </c>
      <c r="AK243" s="17">
        <f>EDATE('Operating costs'!$B$63,E243)</f>
        <v>46298</v>
      </c>
      <c r="AL243" s="1">
        <f>IFERROR(IF(D243="EV",INDEX(Products!$B$7:$B$13,MATCH('Replacement plan'!$B$66,Products!$A$7:$A$13,0)),0),"n.a.")</f>
        <v>0</v>
      </c>
      <c r="AM243" s="1" t="str">
        <f>'Replacement plan'!$K$66</f>
        <v>DC</v>
      </c>
      <c r="AN243" s="1" t="str">
        <f>'Replacement plan'!$AE$66</f>
        <v>Assumed</v>
      </c>
      <c r="AO243" s="47">
        <f>IF(AND(C243=1,D243="EV",E243&lt;120),(R243-'Operating costs'!$B$41)*S243+W243*'Operating costs'!$B$12,0)</f>
        <v>0</v>
      </c>
      <c r="AP243" s="41">
        <f>IF(AND(C243=1,D243="EV",E243&lt;120),IF('Operating costs'!$B$68="Hong Seh 200k average",AO243*IFERROR(INDEX(Products!$P$7:$P$13,MATCH(AD243,Products!$A$7:$A$13,0)),"n.a."),'Operating costs'!$B$26),0)</f>
        <v>0</v>
      </c>
      <c r="AQ243" s="40" t="str">
        <f>IF(D243="EV",'Operating costs'!$B$68,"Not applicable")</f>
        <v>Not applicable</v>
      </c>
    </row>
    <row r="244" spans="1:43" ht="24" customHeight="1">
      <c r="A244" s="1" t="str">
        <f>'Replacement plan'!A66</f>
        <v>T060</v>
      </c>
      <c r="B244" s="1">
        <v>1</v>
      </c>
      <c r="C244" s="1">
        <f>IF(COUNTIFS('Fleet register'!$A$7:$A$106,$A244)=1,VLOOKUP($A244,'Fleet register'!$A$7:$S$106,2,FALSE),0)</f>
        <v>0</v>
      </c>
      <c r="D244" s="1" t="str">
        <f>IF("New ICE"="EV","EV","ICE")</f>
        <v>ICE</v>
      </c>
      <c r="E244" s="1">
        <f>IF(C244=0,0,0)</f>
        <v>0</v>
      </c>
      <c r="F244" s="16">
        <f>IF(C244=0,0,VLOOKUP($A244,'Fleet register'!$A$7:$S$106,11,FALSE))</f>
        <v>0</v>
      </c>
      <c r="G244" s="16">
        <f>IFERROR(IF(C244=0,0,IF(E244=120,0,IF(D244="ICE",'Replacement plan'!$C$66,IF('Replacement plan'!$D$66="",INDEX(Products!$I$7:$I$13,MATCH('Replacement plan'!$B$66,Products!$A$7:$A$13,0))+'Operating costs'!$B$57,'Replacement plan'!$D$66))*(1+'Operating costs'!$B$50)^(E244/12))),"n.a.")</f>
        <v>0</v>
      </c>
      <c r="H244" s="16">
        <f>IFERROR(IF(C244=0,0,IF(E244=0,F244,VLOOKUP($A244,'Fleet register'!$A$7:$S$106,12,FALSE)+VLOOKUP($A244,'Fleet register'!$A$7:$S$106,13,FALSE)*MAX(0,VLOOKUP($A244,'Fleet register'!$A$7:$S$106,10,FALSE)-E244)/VLOOKUP($A244,'Fleet register'!$A$7:$S$106,14,FALSE))),"n.a.")</f>
        <v>0</v>
      </c>
      <c r="I244" s="16">
        <f>IF(C244=0,0,IF(E244=120,0,IF('Replacement plan'!$AI$66="",'Operating costs'!$B$56,'Replacement plan'!$AI$66)))</f>
        <v>0</v>
      </c>
      <c r="J244" s="16">
        <f>IF(C244=0,0,IF(P244="Complete",((S244*(R244-'Operating costs'!$B$39))+ROUNDUP(S244*(R244-'Operating costs'!$B$39)*IF('Replacement plan'!$AG$66="",'Operating costs'!$B$7,'Replacement plan'!$AG$66)/('Operating costs'!$B$8-'Operating costs'!$B$9*IF('Replacement plan'!$AG$66="",'Operating costs'!$B$7,'Replacement plan'!$AG$66)),0)*'Operating costs'!$B$9)*IF('Replacement plan'!$AG$66="",'Operating costs'!$B$7,'Replacement plan'!$AG$66)*('Energy and charging'!$B$9*'Energy and charging'!$B$7+(1-'Energy and charging'!$B$9)*'Energy and charging'!$B$8)*'Operating costs'!$B$23,"n.a."))</f>
        <v>0</v>
      </c>
      <c r="K244" s="16">
        <f>IF(C244=0,0,IF(P244="Complete",SUM('Operating costs'!$B$24,'Operating costs'!$B$27,'Operating costs'!$B$29,'Operating costs'!$B$31,'Operating costs'!$B$33,'Operating costs'!$B$34,'Operating costs'!$B$37,'Replacement plan'!$W$66)+'Operating costs'!$B$39*'Operating costs'!$B$42+ROUNDUP(S244*(R244-'Operating costs'!$B$39)*IF('Replacement plan'!$AG$66="",'Operating costs'!$B$7,'Replacement plan'!$AG$66)/('Operating costs'!$B$8-'Operating costs'!$B$9*IF('Replacement plan'!$AG$66="",'Operating costs'!$B$7,'Replacement plan'!$AG$66)),0)*('Operating costs'!$B$9/'Operating costs'!$B$11+'Operating costs'!$B$10/60)*'Operating costs'!$B$19*'Operating costs'!$B$21,"n.a."))</f>
        <v>0</v>
      </c>
      <c r="L244" s="16">
        <f>IF(C244=0,0,IF(P244="Complete",IF(D244="EV",X244*((1-T244)*'Energy and charging'!$B$10+T244*'Energy and charging'!$B$11)*'Operating costs'!$B$22,AA244*('Energy and charging'!$B$9*'Energy and charging'!$B$7+(1-'Energy and charging'!$B$9)*'Energy and charging'!$B$8)*'Operating costs'!$B$23),"n.a."))</f>
        <v>0</v>
      </c>
      <c r="M244" s="37">
        <f>IF(C244=0,0,IF(P244="Complete",IF(D244="ICE",SUM('Operating costs'!$B$25,'Operating costs'!$B$27,'Operating costs'!$B$29,'Operating costs'!$B$31,'Operating costs'!$B$33,'Operating costs'!$B$35,'Operating costs'!$B$37,'Replacement plan'!$X$66)+'Operating costs'!$B$40*'Operating costs'!$B$42+ROUNDUP(S244*(R244-'Operating costs'!$B$40)*IF('Replacement plan'!$AH$66="",'Operating costs'!$B$7,'Replacement plan'!$AH$66)/('Operating costs'!$B$8-'Operating costs'!$B$9*IF('Replacement plan'!$AH$66="",'Operating costs'!$B$7,'Replacement plan'!$AH$66)),0)*('Operating costs'!$B$9/'Operating costs'!$B$11+'Operating costs'!$B$10/60)*'Operating costs'!$B$19*'Operating costs'!$B$21,SUM(AP244,'Operating costs'!$B$28,'Operating costs'!$B$30,'Operating costs'!$B$32,'Operating costs'!$B$33,'Operating costs'!$B$36,'Operating costs'!$B$38,'Replacement plan'!$Y$66)+'Operating costs'!$B$41*'Operating costs'!$B$43+W244*'Operating costs'!$B$15+(T244*X244/'Replacement plan'!$L$66+W244*('Operating costs'!$B$12/'Operating costs'!$B$11+('Operating costs'!$B$13+'Operating costs'!$B$14)/60)+(R244-'Operating costs'!$B$41)*(IF(T244&lt;1,'Operating costs'!$B$16,0)+'Operating costs'!$B$17)/60)*'Operating costs'!$B$19*'Operating costs'!$B$20),"n.a."))</f>
        <v>0</v>
      </c>
      <c r="N244" s="16">
        <f>IF(AND(C244=1,D244="EV",E244&lt;120,E244+'Replacement plan'!$AA$66&lt;=120),'Replacement plan'!$Z$66,0)</f>
        <v>0</v>
      </c>
      <c r="O244" s="1">
        <f>E244+'Replacement plan'!$AA$66</f>
        <v>0</v>
      </c>
      <c r="P244" s="35" t="str">
        <f>IFERROR(IF(C244=0,"Excluded",IF(OR(COUNTIFS('Fleet register'!$A$7:$A$106,A244)&lt;&gt;1,COUNTIFS('Replacement plan'!$A$7:$A$106,A244)&lt;&gt;1),"Duplicate/missing ID",IF(NOT(AND(ISNUMBER(VLOOKUP($A244,'Fleet register'!$A$7:$S$106,5,FALSE)),ISNUMBER(VLOOKUP($A244,'Fleet register'!$A$7:$S$106,6,FALSE)),ISNUMBER(VLOOKUP($A244,'Fleet register'!$A$7:$S$106,10,FALSE)),ISNUMBER(VLOOKUP($A244,'Fleet register'!$A$7:$S$106,11,FALSE)),ISNUMBER(VLOOKUP($A244,'Fleet register'!$A$7:$S$106,12,FALSE)),ISNUMBER(VLOOKUP($A244,'Fleet register'!$A$7:$S$106,13,FALSE)),ISNUMBER(VLOOKUP($A244,'Fleet register'!$A$7:$S$106,14,FALSE)),VLOOKUP($A244,'Fleet register'!$A$7:$S$106,14,FALSE)&gt;0,ISNUMBER('Replacement plan'!$C$66),OR(E244=120,OR(ISNUMBER('Replacement plan'!$AI$66),AND('Replacement plan'!$AI$66="",ISNUMBER('Operating costs'!$B$56)))),ISNUMBER(E244))),"Missing vehicle input",IF(OR(E244&lt;0,E244&gt;VLOOKUP($A244,'Fleet register'!$A$7:$S$106,10,FALSE),E244&gt;120,E244&lt;&gt;INT(E244),VLOOKUP($A244,'Fleet register'!$A$7:$S$106,6,FALSE)&lt;=0,VLOOKUP($A244,'Fleet register'!$A$7:$S$106,6,FALSE)&gt;366,VLOOKUP($A244,'Fleet register'!$A$7:$S$106,5,FALSE)&lt;0,VLOOKUP($A244,'Fleet register'!$A$7:$S$106,11,FALSE)&lt;0,I244&lt;0,'Operating costs'!$B$8&lt;='Operating costs'!$B$7*'Operating costs'!$B$9,'Operating costs'!$B$11&lt;=0,'Operating costs'!$B$39&gt;R244,'Operating costs'!$B$40&gt;R244,'Operating costs'!$B$41&gt;R244,NOT(OR("New ICE"="Keep ICE","New ICE"="New ICE","New ICE"="EV"))),"Invalid vehicle input",IF(AND(D244="EV",E244&lt;120,OR(NOT(ISNUMBER(U244)),NOT(ISNUMBER(V244)),V244&lt;=0,T244&lt;0,T244&gt;1,'Replacement plan'!$L$66&lt;=0,'Operating costs'!$B$44&lt;0,'Operating costs'!$B$44&gt;=1,'Operating costs'!$B$47&lt;=0,'Operating costs'!$B$47&gt;1,V244*'Operating costs'!$B$47/(1-'Operating costs'!$B$44)&lt;=T244*'Operating costs'!$B$12*U244,AND('Replacement plan'!$Z$66&gt;0,OR('Replacement plan'!$AB$66&lt;&gt;"Yes",'Operating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charging'!$B$8&gt;=0))),ISNUMBER(VLOOKUP($A244,'Fleet register'!$A$7:$S$106,15,FALSE)),ISNUMBER(VLOOKUP($A244,'Fleet register'!$A$7:$S$106,16,FALSE)),ISNUMBER('Replacement plan'!$W$66),ISNUMBER('Replacement plan'!$X$66),OR(E244=120,AND(ISNUMBER(G244),G244&gt;=0)),ISNUMBER(H244),H244&gt;=0,OR(D244&lt;&gt;"EV",E244=120,AND(ISNUMBER('Operating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average",ISNUMBER(IFERROR(INDEX(Products!$P$7:$P$13,MATCH(AD244,Products!$A$7:$A$13,0)),"")))),ISNUMBER('Operating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plan'!$Y$66),ISNUMBER('Replacement plan'!$Z$66),'Replacement plan'!$Z$66&gt;=0,ISNUMBER('Replacement plan'!$AA$66),'Replacement plan'!$AA$66&gt;=0,'Replacement plan'!$AA$66=INT('Replacement plan'!$AA$66),ISNUMBER('Replacement plan'!$L$66))),'Operating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plan'!$AG$66="",'Operating costs'!$B$7,'Replacement plan'!$AG$66)),IF('Replacement plan'!$AG$66="",'Operating costs'!$B$7,'Replacement plan'!$AG$66)&gt;=0,ISNUMBER(IF('Replacement plan'!$AH$66="",'Operating costs'!$B$7,'Replacement plan'!$AH$66)),IF('Replacement plan'!$AH$66="",'Operating costs'!$B$7,'Replacement plan'!$AH$66)&gt;=0,'Operating costs'!$B$8&gt;MAX(IF('Replacement plan'!$AG$66="",'Operating costs'!$B$7,'Replacement plan'!$AG$66),IF('Replacement plan'!$AH$66="",'Operating costs'!$B$7,'Replacement plan'!$AH$66))*'Operating costs'!$B$9),IF(AND(VLOOKUP($A244,'Fleet register'!$A$7:$S$106,10,FALSE)&gt;=0,VLOOKUP($A244,'Fleet register'!$A$7:$S$106,10,FALSE)&lt;=120,VLOOKUP($A244,'Fleet register'!$A$7:$S$106,10,FALSE)=INT(VLOOKUP($A244,'Fleet register'!$A$7:$S$106,10,FALSE)),VLOOKUP($A244,'Fleet register'!$A$7:$S$106,15,FALSE)&gt;=0,VLOOKUP($A244,'Fleet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costs'!$B$67)&gt;=0,OR(D244&lt;&gt;"EV",E244=120,AND(MIN('Operating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44" s="1" t="str">
        <f>IF(C244=0,"Excluded",IF(P244&lt;&gt;"Complete",P244,IF(OR('Replacement plan'!$AD$66&lt;120-E244,AND(D244="EV",E244&lt;120,OR('Replacement plan'!$AC$66&lt;120-E244,'Replacement plan'!$I$66="No",AND(ISNUMBER(AF244),AE244&gt;AF244),AI244&gt;V244*(1-'Operating costs'!$B$46)^MAX(0,AB244-1)*(1-'Operating costs'!$B$45),AC244&gt;'Operating costs'!$B$18,AND(T244&lt;1,OR(AG244&lt;=0,AND(ISNUMBER(AH244),AG244&gt;AH244))),'Replacement plan'!$L$66&gt;INDEX(Products!$H$7:$H$13,MATCH('Replacement plan'!$B$66,Products!$A$7:$A$13,0))))),"Fails entered limits",IF(AND(D244="EV",E244&lt;120,OR(NOT(ISNUMBER(VLOOKUP($A244,'Fleet register'!$A$7:$S$106,7,FALSE))),NOT(ISNUMBER(VLOOKUP($A244,'Fleet register'!$A$7:$S$106,8,FALSE))),NOT(ISNUMBER(AF244)),'Replacement plan'!$I$66&lt;&gt;"Yes",NOT(ISNUMBER(AH244)),'Operating costs'!$B$59&lt;&gt;"Yes",'Operating costs'!$B$58&lt;&gt;"Yes")),"Unverified","Within entered limits"))))</f>
        <v>Excluded</v>
      </c>
      <c r="R244" s="1">
        <f>IF(C244=0,0,VLOOKUP($A244,'Fleet register'!$A$7:$S$106,6,FALSE))</f>
        <v>0</v>
      </c>
      <c r="S244" s="1">
        <f>IF(C244=0,0,VLOOKUP($A244,'Fleet register'!$A$7:$S$106,5,FALSE))</f>
        <v>0</v>
      </c>
      <c r="T244" s="1">
        <f>IF(D244="EV",'Energy and charging'!$B$12,0)</f>
        <v>0</v>
      </c>
      <c r="U244" s="1">
        <f>IFERROR(IF(C244=0,0,IF(D244="EV",IF('Replacement plan'!$F$66="",INDEX(Products!$E$7:$E$13,MATCH('Replacement plan'!$B$66,Products!$A$7:$A$13,0)),'Replacement plan'!$F$66)/IF('Replacement plan'!$G$66="Battery",1-'Operating costs'!$B$44,1),0)),"n.a.")</f>
        <v>0</v>
      </c>
      <c r="V244" s="1">
        <f>IFERROR(IF(C244=0,0,IF(D244="EV",IF('Replacement plan'!$E$66="",INDEX(Products!$D$7:$D$13,MATCH('Replacement plan'!$B$66,Products!$A$7:$A$13,0)),'Replacement plan'!$E$66),0)),"n.a.")</f>
        <v>0</v>
      </c>
      <c r="W244" s="1">
        <f>IF(C244=0,0,IF(AND(P244="Complete",D244="EV",E244&lt;120),IF(T244=0,0,ROUNDUP(T244*(R244-'Operating costs'!$B$41)*(S244*U244+'Operating costs'!$B$48/(1-'Operating costs'!$B$44))/(V244*'Operating costs'!$B$47/(1-'Operating costs'!$B$44)-T244*'Operating costs'!$B$12*U244),0)),0))</f>
        <v>0</v>
      </c>
      <c r="X244" s="1">
        <f>IF(C244=0,0,IF(AND(P244="Complete",D244="EV",E244&lt;120),(R244-'Operating costs'!$B$41)*(S244*U244+'Operating costs'!$B$48/(1-'Operating costs'!$B$44))+W244*'Operating costs'!$B$12*U244,0))</f>
        <v>0</v>
      </c>
      <c r="Y244" s="1">
        <f>IF(AND(C244=1,D244="EV",E244&lt;120),AI244/(1-'Operating costs'!$B$44)*(1-T244),0)</f>
        <v>0</v>
      </c>
      <c r="Z244" s="1">
        <f t="shared" si="6"/>
        <v>0</v>
      </c>
      <c r="AA244" s="1">
        <f>IF(C244=0,0,IF(P244="Complete",((S244*(R244-'Operating costs'!$B$40))+ROUNDUP(S244*(R244-'Operating costs'!$B$40)*IF('Replacement plan'!$AH$66="",'Operating costs'!$B$7,'Replacement plan'!$AH$66)/('Operating costs'!$B$8-'Operating costs'!$B$9*IF('Replacement plan'!$AH$66="",'Operating costs'!$B$7,'Replacement plan'!$AH$66)),0)*'Operating costs'!$B$9)*IF('Replacement plan'!$AH$66="",'Operating costs'!$B$7,'Replacement plan'!$AH$66),"n.a."))</f>
        <v>0</v>
      </c>
      <c r="AB244" s="1">
        <f t="shared" si="7"/>
        <v>0</v>
      </c>
      <c r="AC244" s="1">
        <f>IF(AND(C244=1,D244="EV",E244&lt;120,T244&gt;0),'Operating costs'!$B$12/'Operating costs'!$B$11*60+'Operating costs'!$B$13+'Operating costs'!$B$14+V244*'Operating costs'!$B$47/(1-'Operating costs'!$B$44)/'Replacement plan'!$L$66*60,0)</f>
        <v>0</v>
      </c>
      <c r="AD244" s="1" t="str">
        <f>'Replacement plan'!$B$66</f>
        <v>ChengLong L2EV</v>
      </c>
      <c r="AE244" s="1">
        <f>IF(C244=0,0,VLOOKUP($A244,'Fleet register'!$A$7:$S$106,8,FALSE))</f>
        <v>0</v>
      </c>
      <c r="AF244" s="1" t="str">
        <f>IF('Replacement plan'!$H$66="","n.a.",'Replacement plan'!$H$66)</f>
        <v>n.a.</v>
      </c>
      <c r="AG244" s="1">
        <f>'Replacement plan'!$J$66</f>
        <v>22</v>
      </c>
      <c r="AH244" s="1">
        <f>IFERROR(IF(D244="EV",IF('Replacement plan'!$K$66="AC",IF(ISNUMBER(INDEX(Products!$G$7:$G$13,MATCH('Replacement plan'!$B$66,Products!$A$7:$A$13,0))),INDEX(Products!$G$7:$G$13,MATCH('Replacement plan'!$B$66,Products!$A$7:$A$13,0)),"n.a."),IF(ISNUMBER(INDEX(Products!$H$7:$H$13,MATCH('Replacement plan'!$B$66,Products!$A$7:$A$13,0))),INDEX(Products!$H$7:$H$13,MATCH('Replacement plan'!$B$66,Products!$A$7:$A$13,0)),"n.a.")),0),"n.a.")</f>
        <v>0</v>
      </c>
      <c r="AI244" s="1">
        <f>IF(AND(C244=1,D244="EV",E244&lt;120),(VLOOKUP($A244,'Fleet register'!$A$7:$S$106,7,FALSE)+IF(T244&gt;0,'Operating costs'!$B$12,0))*U244*(1-'Operating costs'!$B$44)+'Operating costs'!$B$49,0)</f>
        <v>0</v>
      </c>
      <c r="AJ244" s="1">
        <f>IF(D244="EV",'Energy and charging'!$B$50,0)</f>
        <v>0</v>
      </c>
      <c r="AK244" s="17">
        <f>EDATE('Operating costs'!$B$63,E244)</f>
        <v>46298</v>
      </c>
      <c r="AL244" s="1">
        <f>IFERROR(IF(D244="EV",INDEX(Products!$B$7:$B$13,MATCH('Replacement plan'!$B$66,Products!$A$7:$A$13,0)),0),"n.a.")</f>
        <v>0</v>
      </c>
      <c r="AM244" s="1" t="str">
        <f>'Replacement plan'!$K$66</f>
        <v>DC</v>
      </c>
      <c r="AN244" s="1" t="str">
        <f>'Replacement plan'!$AE$66</f>
        <v>Assumed</v>
      </c>
      <c r="AO244" s="47">
        <f>IF(AND(C244=1,D244="EV",E244&lt;120),(R244-'Operating costs'!$B$41)*S244+W244*'Operating costs'!$B$12,0)</f>
        <v>0</v>
      </c>
      <c r="AP244" s="41">
        <f>IF(AND(C244=1,D244="EV",E244&lt;120),IF('Operating costs'!$B$68="Hong Seh 200k average",AO244*IFERROR(INDEX(Products!$P$7:$P$13,MATCH(AD244,Products!$A$7:$A$13,0)),"n.a."),'Operating costs'!$B$26),0)</f>
        <v>0</v>
      </c>
      <c r="AQ244" s="40" t="str">
        <f>IF(D244="EV",'Operating costs'!$B$68,"Not applicable")</f>
        <v>Not applicable</v>
      </c>
    </row>
    <row r="245" spans="1:43" ht="24" customHeight="1">
      <c r="A245" s="1" t="str">
        <f>'Replacement plan'!A66</f>
        <v>T060</v>
      </c>
      <c r="B245" s="1">
        <v>2</v>
      </c>
      <c r="C245" s="1">
        <f>IF(COUNTIFS('Fleet register'!$A$7:$A$106,$A245)=1,VLOOKUP($A245,'Fleet register'!$A$7:$S$106,2,FALSE),0)</f>
        <v>0</v>
      </c>
      <c r="D245" s="1" t="str">
        <f>IF('Replacement plan'!$O$66="EV","EV","ICE")</f>
        <v>ICE</v>
      </c>
      <c r="E245" s="1">
        <f>IF(C245=0,0,IF('Replacement plan'!$P$66="",IF('Replacement plan'!$O$66="Keep ICE",IF('Replacement plan'!$M$66="",VLOOKUP($A245,'Fleet register'!$A$7:$S$106,10,FALSE),'Replacement plan'!$M$66),0),'Replacement plan'!$P$66))</f>
        <v>0</v>
      </c>
      <c r="F245" s="16">
        <f>IF(C245=0,0,VLOOKUP($A245,'Fleet register'!$A$7:$S$106,11,FALSE))</f>
        <v>0</v>
      </c>
      <c r="G245" s="16">
        <f>IFERROR(IF(C245=0,0,IF(E245=120,0,IF(D245="ICE",'Replacement plan'!$C$66,IF('Replacement plan'!$D$66="",INDEX(Products!$I$7:$I$13,MATCH('Replacement plan'!$B$66,Products!$A$7:$A$13,0))+'Operating costs'!$B$57,'Replacement plan'!$D$66))*(1+'Operating costs'!$B$50)^(E245/12))),"n.a.")</f>
        <v>0</v>
      </c>
      <c r="H245" s="16">
        <f>IFERROR(IF(C245=0,0,IF('Replacement plan'!$U$66&lt;&gt;"",'Replacement plan'!$U$66,IF(E245=0,F245,VLOOKUP($A245,'Fleet register'!$A$7:$S$106,12,FALSE)+VLOOKUP($A245,'Fleet register'!$A$7:$S$106,13,FALSE)*MAX(0,VLOOKUP($A245,'Fleet register'!$A$7:$S$106,10,FALSE)-E245)/VLOOKUP($A245,'Fleet register'!$A$7:$S$106,14,FALSE)))),"n.a.")</f>
        <v>0</v>
      </c>
      <c r="I245" s="16">
        <f>IF(C245=0,0,IF(E245=120,0,'Replacement plan'!$Q$66))</f>
        <v>0</v>
      </c>
      <c r="J245" s="16">
        <f>IF(C245=0,0,IF(P245="Complete",((S245*(R245-'Operating costs'!$B$39))+ROUNDUP(S245*(R245-'Operating costs'!$B$39)*IF('Replacement plan'!$AG$66="",'Operating costs'!$B$7,'Replacement plan'!$AG$66)/('Operating costs'!$B$8-'Operating costs'!$B$9*IF('Replacement plan'!$AG$66="",'Operating costs'!$B$7,'Replacement plan'!$AG$66)),0)*'Operating costs'!$B$9)*IF('Replacement plan'!$AG$66="",'Operating costs'!$B$7,'Replacement plan'!$AG$66)*('Energy and charging'!$B$9*'Energy and charging'!$B$7+(1-'Energy and charging'!$B$9)*'Energy and charging'!$B$8)*'Operating costs'!$B$23,"n.a."))</f>
        <v>0</v>
      </c>
      <c r="K245" s="16">
        <f>IF(C245=0,0,IF(P245="Complete",SUM('Operating costs'!$B$24,'Operating costs'!$B$27,'Operating costs'!$B$29,'Operating costs'!$B$31,'Operating costs'!$B$33,'Operating costs'!$B$34,'Operating costs'!$B$37,'Replacement plan'!$W$66)+'Operating costs'!$B$39*'Operating costs'!$B$42+ROUNDUP(S245*(R245-'Operating costs'!$B$39)*IF('Replacement plan'!$AG$66="",'Operating costs'!$B$7,'Replacement plan'!$AG$66)/('Operating costs'!$B$8-'Operating costs'!$B$9*IF('Replacement plan'!$AG$66="",'Operating costs'!$B$7,'Replacement plan'!$AG$66)),0)*('Operating costs'!$B$9/'Operating costs'!$B$11+'Operating costs'!$B$10/60)*'Operating costs'!$B$19*'Operating costs'!$B$21,"n.a."))</f>
        <v>0</v>
      </c>
      <c r="L245" s="16">
        <f>IF(C245=0,0,IF(P245="Complete",IF(D245="EV",X245*((1-T245)*'Energy and charging'!$B$10+T245*'Energy and charging'!$B$11)*'Operating costs'!$B$22,AA245*('Energy and charging'!$B$9*'Energy and charging'!$B$7+(1-'Energy and charging'!$B$9)*'Energy and charging'!$B$8)*'Operating costs'!$B$23),"n.a."))</f>
        <v>0</v>
      </c>
      <c r="M245" s="37">
        <f>IF(C245=0,0,IF(P245="Complete",IF(D245="ICE",SUM('Operating costs'!$B$25,'Operating costs'!$B$27,'Operating costs'!$B$29,'Operating costs'!$B$31,'Operating costs'!$B$33,'Operating costs'!$B$35,'Operating costs'!$B$37,'Replacement plan'!$X$66)+'Operating costs'!$B$40*'Operating costs'!$B$42+ROUNDUP(S245*(R245-'Operating costs'!$B$40)*IF('Replacement plan'!$AH$66="",'Operating costs'!$B$7,'Replacement plan'!$AH$66)/('Operating costs'!$B$8-'Operating costs'!$B$9*IF('Replacement plan'!$AH$66="",'Operating costs'!$B$7,'Replacement plan'!$AH$66)),0)*('Operating costs'!$B$9/'Operating costs'!$B$11+'Operating costs'!$B$10/60)*'Operating costs'!$B$19*'Operating costs'!$B$21,SUM(AP245,'Operating costs'!$B$28,'Operating costs'!$B$30,'Operating costs'!$B$32,'Operating costs'!$B$33,'Operating costs'!$B$36,'Operating costs'!$B$38,'Replacement plan'!$Y$66)+'Operating costs'!$B$41*'Operating costs'!$B$43+W245*'Operating costs'!$B$15+(T245*X245/'Replacement plan'!$L$66+W245*('Operating costs'!$B$12/'Operating costs'!$B$11+('Operating costs'!$B$13+'Operating costs'!$B$14)/60)+(R245-'Operating costs'!$B$41)*(IF(T245&lt;1,'Operating costs'!$B$16,0)+'Operating costs'!$B$17)/60)*'Operating costs'!$B$19*'Operating costs'!$B$20),"n.a."))</f>
        <v>0</v>
      </c>
      <c r="N245" s="16">
        <f>IF(AND(C245=1,D245="EV",E245&lt;120,E245+'Replacement plan'!$AA$66&lt;=120),'Replacement plan'!$Z$66,0)</f>
        <v>0</v>
      </c>
      <c r="O245" s="1">
        <f>E245+'Replacement plan'!$AA$66</f>
        <v>0</v>
      </c>
      <c r="P245" s="35" t="str">
        <f>IFERROR(IF(C245=0,"Excluded",IF(OR(COUNTIFS('Fleet register'!$A$7:$A$106,A245)&lt;&gt;1,COUNTIFS('Replacement plan'!$A$7:$A$106,A245)&lt;&gt;1),"Duplicate/missing ID",IF(NOT(AND(ISNUMBER(VLOOKUP($A245,'Fleet register'!$A$7:$S$106,5,FALSE)),ISNUMBER(VLOOKUP($A245,'Fleet register'!$A$7:$S$106,6,FALSE)),ISNUMBER(VLOOKUP($A245,'Fleet register'!$A$7:$S$106,10,FALSE)),ISNUMBER(VLOOKUP($A245,'Fleet register'!$A$7:$S$106,11,FALSE)),ISNUMBER(VLOOKUP($A245,'Fleet register'!$A$7:$S$106,12,FALSE)),ISNUMBER(VLOOKUP($A245,'Fleet register'!$A$7:$S$106,13,FALSE)),ISNUMBER(VLOOKUP($A245,'Fleet register'!$A$7:$S$106,14,FALSE)),VLOOKUP($A245,'Fleet register'!$A$7:$S$106,14,FALSE)&gt;0,ISNUMBER('Replacement plan'!$C$66),OR(E245=120,ISNUMBER('Replacement plan'!$Q$66)),ISNUMBER(E245))),"Missing vehicle input",IF(OR(E245&lt;0,E245&gt;VLOOKUP($A245,'Fleet register'!$A$7:$S$106,10,FALSE),E245&gt;120,E245&lt;&gt;INT(E245),VLOOKUP($A245,'Fleet register'!$A$7:$S$106,6,FALSE)&lt;=0,VLOOKUP($A245,'Fleet register'!$A$7:$S$106,6,FALSE)&gt;366,VLOOKUP($A245,'Fleet register'!$A$7:$S$106,5,FALSE)&lt;0,VLOOKUP($A245,'Fleet register'!$A$7:$S$106,11,FALSE)&lt;0,I245&lt;0,'Operating costs'!$B$8&lt;='Operating costs'!$B$7*'Operating costs'!$B$9,'Operating costs'!$B$11&lt;=0,'Operating costs'!$B$39&gt;R245,'Operating costs'!$B$40&gt;R245,'Operating costs'!$B$41&gt;R245,NOT(OR('Replacement plan'!$O$66="Keep ICE",'Replacement plan'!$O$66="New ICE",'Replacement plan'!$O$66="EV"))),"Invalid vehicle input",IF(AND(D245="EV",E245&lt;120,OR(NOT(ISNUMBER(U245)),NOT(ISNUMBER(V245)),V245&lt;=0,T245&lt;0,T245&gt;1,'Replacement plan'!$L$66&lt;=0,'Operating costs'!$B$44&lt;0,'Operating costs'!$B$44&gt;=1,'Operating costs'!$B$47&lt;=0,'Operating costs'!$B$47&gt;1,V245*'Operating costs'!$B$47/(1-'Operating costs'!$B$44)&lt;=T245*'Operating costs'!$B$12*U245,AND('Replacement plan'!$Z$66&gt;0,OR('Replacement plan'!$AB$66&lt;&gt;"Yes",'Operating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charging'!$B$8&gt;=0))),ISNUMBER(VLOOKUP($A245,'Fleet register'!$A$7:$S$106,15,FALSE)),ISNUMBER(VLOOKUP($A245,'Fleet register'!$A$7:$S$106,16,FALSE)),ISNUMBER('Replacement plan'!$W$66),ISNUMBER('Replacement plan'!$X$66),OR(E245=120,AND(ISNUMBER(G245),G245&gt;=0)),ISNUMBER(H245),H245&gt;=0,OR(D245&lt;&gt;"EV",E245=120,AND(ISNUMBER('Operating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average",ISNUMBER(IFERROR(INDEX(Products!$P$7:$P$13,MATCH(AD245,Products!$A$7:$A$13,0)),"")))),ISNUMBER('Operating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plan'!$Y$66),ISNUMBER('Replacement plan'!$Z$66),'Replacement plan'!$Z$66&gt;=0,ISNUMBER('Replacement plan'!$AA$66),'Replacement plan'!$AA$66&gt;=0,'Replacement plan'!$AA$66=INT('Replacement plan'!$AA$66),ISNUMBER('Replacement plan'!$L$66))),'Operating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plan'!$AG$66="",'Operating costs'!$B$7,'Replacement plan'!$AG$66)),IF('Replacement plan'!$AG$66="",'Operating costs'!$B$7,'Replacement plan'!$AG$66)&gt;=0,ISNUMBER(IF('Replacement plan'!$AH$66="",'Operating costs'!$B$7,'Replacement plan'!$AH$66)),IF('Replacement plan'!$AH$66="",'Operating costs'!$B$7,'Replacement plan'!$AH$66)&gt;=0,'Operating costs'!$B$8&gt;MAX(IF('Replacement plan'!$AG$66="",'Operating costs'!$B$7,'Replacement plan'!$AG$66),IF('Replacement plan'!$AH$66="",'Operating costs'!$B$7,'Replacement plan'!$AH$66))*'Operating costs'!$B$9),IF(AND(VLOOKUP($A245,'Fleet register'!$A$7:$S$106,10,FALSE)&gt;=0,VLOOKUP($A245,'Fleet register'!$A$7:$S$106,10,FALSE)&lt;=120,VLOOKUP($A245,'Fleet register'!$A$7:$S$106,10,FALSE)=INT(VLOOKUP($A245,'Fleet register'!$A$7:$S$106,10,FALSE)),VLOOKUP($A245,'Fleet register'!$A$7:$S$106,15,FALSE)&gt;=0,VLOOKUP($A245,'Fleet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costs'!$B$67)&gt;=0,OR(D245&lt;&gt;"EV",E245=120,AND(MIN('Operating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45" s="1" t="str">
        <f>IF(C245=0,"Excluded",IF(P245&lt;&gt;"Complete",P245,IF(OR('Replacement plan'!$AD$66&lt;120-E245,AND(D245="EV",E245&lt;120,OR('Replacement plan'!$AC$66&lt;120-E245,'Replacement plan'!$I$66="No",AND(ISNUMBER(AF245),AE245&gt;AF245),AI245&gt;V245*(1-'Operating costs'!$B$46)^MAX(0,AB245-1)*(1-'Operating costs'!$B$45),AC245&gt;'Operating costs'!$B$18,AND(T245&lt;1,OR(AG245&lt;=0,AND(ISNUMBER(AH245),AG245&gt;AH245))),'Replacement plan'!$L$66&gt;INDEX(Products!$H$7:$H$13,MATCH('Replacement plan'!$B$66,Products!$A$7:$A$13,0))))),"Fails entered limits",IF(AND(D245="EV",E245&lt;120,OR(NOT(ISNUMBER(VLOOKUP($A245,'Fleet register'!$A$7:$S$106,7,FALSE))),NOT(ISNUMBER(VLOOKUP($A245,'Fleet register'!$A$7:$S$106,8,FALSE))),NOT(ISNUMBER(AF245)),'Replacement plan'!$I$66&lt;&gt;"Yes",NOT(ISNUMBER(AH245)),'Operating costs'!$B$59&lt;&gt;"Yes",'Operating costs'!$B$58&lt;&gt;"Yes")),"Unverified","Within entered limits"))))</f>
        <v>Excluded</v>
      </c>
      <c r="R245" s="1">
        <f>IF(C245=0,0,VLOOKUP($A245,'Fleet register'!$A$7:$S$106,6,FALSE))</f>
        <v>0</v>
      </c>
      <c r="S245" s="1">
        <f>IF(C245=0,0,VLOOKUP($A245,'Fleet register'!$A$7:$S$106,5,FALSE))</f>
        <v>0</v>
      </c>
      <c r="T245" s="1">
        <f>IF(D245="EV",'Energy and charging'!$B$12,0)</f>
        <v>0</v>
      </c>
      <c r="U245" s="1">
        <f>IFERROR(IF(C245=0,0,IF(D245="EV",IF('Replacement plan'!$F$66="",INDEX(Products!$E$7:$E$13,MATCH('Replacement plan'!$B$66,Products!$A$7:$A$13,0)),'Replacement plan'!$F$66)/IF('Replacement plan'!$G$66="Battery",1-'Operating costs'!$B$44,1),0)),"n.a.")</f>
        <v>0</v>
      </c>
      <c r="V245" s="1">
        <f>IFERROR(IF(C245=0,0,IF(D245="EV",IF('Replacement plan'!$E$66="",INDEX(Products!$D$7:$D$13,MATCH('Replacement plan'!$B$66,Products!$A$7:$A$13,0)),'Replacement plan'!$E$66),0)),"n.a.")</f>
        <v>0</v>
      </c>
      <c r="W245" s="1">
        <f>IF(C245=0,0,IF(AND(P245="Complete",D245="EV",E245&lt;120),IF(T245=0,0,ROUNDUP(T245*(R245-'Operating costs'!$B$41)*(S245*U245+'Operating costs'!$B$48/(1-'Operating costs'!$B$44))/(V245*'Operating costs'!$B$47/(1-'Operating costs'!$B$44)-T245*'Operating costs'!$B$12*U245),0)),0))</f>
        <v>0</v>
      </c>
      <c r="X245" s="1">
        <f>IF(C245=0,0,IF(AND(P245="Complete",D245="EV",E245&lt;120),(R245-'Operating costs'!$B$41)*(S245*U245+'Operating costs'!$B$48/(1-'Operating costs'!$B$44))+W245*'Operating costs'!$B$12*U245,0))</f>
        <v>0</v>
      </c>
      <c r="Y245" s="1">
        <f>IF(AND(C245=1,D245="EV",E245&lt;120),AI245/(1-'Operating costs'!$B$44)*(1-T245),0)</f>
        <v>0</v>
      </c>
      <c r="Z245" s="1">
        <f t="shared" si="6"/>
        <v>0</v>
      </c>
      <c r="AA245" s="1">
        <f>IF(C245=0,0,IF(P245="Complete",((S245*(R245-'Operating costs'!$B$40))+ROUNDUP(S245*(R245-'Operating costs'!$B$40)*IF('Replacement plan'!$AH$66="",'Operating costs'!$B$7,'Replacement plan'!$AH$66)/('Operating costs'!$B$8-'Operating costs'!$B$9*IF('Replacement plan'!$AH$66="",'Operating costs'!$B$7,'Replacement plan'!$AH$66)),0)*'Operating costs'!$B$9)*IF('Replacement plan'!$AH$66="",'Operating costs'!$B$7,'Replacement plan'!$AH$66),"n.a."))</f>
        <v>0</v>
      </c>
      <c r="AB245" s="1">
        <f t="shared" si="7"/>
        <v>0</v>
      </c>
      <c r="AC245" s="1">
        <f>IF(AND(C245=1,D245="EV",E245&lt;120,T245&gt;0),'Operating costs'!$B$12/'Operating costs'!$B$11*60+'Operating costs'!$B$13+'Operating costs'!$B$14+V245*'Operating costs'!$B$47/(1-'Operating costs'!$B$44)/'Replacement plan'!$L$66*60,0)</f>
        <v>0</v>
      </c>
      <c r="AD245" s="1" t="str">
        <f>'Replacement plan'!$B$66</f>
        <v>ChengLong L2EV</v>
      </c>
      <c r="AE245" s="1">
        <f>IF(C245=0,0,VLOOKUP($A245,'Fleet register'!$A$7:$S$106,8,FALSE))</f>
        <v>0</v>
      </c>
      <c r="AF245" s="1" t="str">
        <f>IF('Replacement plan'!$H$66="","n.a.",'Replacement plan'!$H$66)</f>
        <v>n.a.</v>
      </c>
      <c r="AG245" s="1">
        <f>'Replacement plan'!$J$66</f>
        <v>22</v>
      </c>
      <c r="AH245" s="1">
        <f>IFERROR(IF(D245="EV",IF('Replacement plan'!$K$66="AC",IF(ISNUMBER(INDEX(Products!$G$7:$G$13,MATCH('Replacement plan'!$B$66,Products!$A$7:$A$13,0))),INDEX(Products!$G$7:$G$13,MATCH('Replacement plan'!$B$66,Products!$A$7:$A$13,0)),"n.a."),IF(ISNUMBER(INDEX(Products!$H$7:$H$13,MATCH('Replacement plan'!$B$66,Products!$A$7:$A$13,0))),INDEX(Products!$H$7:$H$13,MATCH('Replacement plan'!$B$66,Products!$A$7:$A$13,0)),"n.a.")),0),"n.a.")</f>
        <v>0</v>
      </c>
      <c r="AI245" s="1">
        <f>IF(AND(C245=1,D245="EV",E245&lt;120),(VLOOKUP($A245,'Fleet register'!$A$7:$S$106,7,FALSE)+IF(T245&gt;0,'Operating costs'!$B$12,0))*U245*(1-'Operating costs'!$B$44)+'Operating costs'!$B$49,0)</f>
        <v>0</v>
      </c>
      <c r="AJ245" s="1">
        <f>IF(D245="EV",'Energy and charging'!$B$50,0)</f>
        <v>0</v>
      </c>
      <c r="AK245" s="17">
        <f>EDATE('Operating costs'!$B$63,E245)</f>
        <v>46298</v>
      </c>
      <c r="AL245" s="1">
        <f>IFERROR(IF(D245="EV",INDEX(Products!$B$7:$B$13,MATCH('Replacement plan'!$B$66,Products!$A$7:$A$13,0)),0),"n.a.")</f>
        <v>0</v>
      </c>
      <c r="AM245" s="1" t="str">
        <f>'Replacement plan'!$K$66</f>
        <v>DC</v>
      </c>
      <c r="AN245" s="1" t="str">
        <f>'Replacement plan'!$AE$66</f>
        <v>Assumed</v>
      </c>
      <c r="AO245" s="47">
        <f>IF(AND(C245=1,D245="EV",E245&lt;120),(R245-'Operating costs'!$B$41)*S245+W245*'Operating costs'!$B$12,0)</f>
        <v>0</v>
      </c>
      <c r="AP245" s="41">
        <f>IF(AND(C245=1,D245="EV",E245&lt;120),IF('Operating costs'!$B$68="Hong Seh 200k average",AO245*IFERROR(INDEX(Products!$P$7:$P$13,MATCH(AD245,Products!$A$7:$A$13,0)),"n.a."),'Operating costs'!$B$26),0)</f>
        <v>0</v>
      </c>
      <c r="AQ245" s="40" t="str">
        <f>IF(D245="EV",'Operating costs'!$B$68,"Not applicable")</f>
        <v>Not applicable</v>
      </c>
    </row>
    <row r="246" spans="1:43" ht="24" customHeight="1">
      <c r="A246" s="1" t="str">
        <f>'Replacement plan'!A66</f>
        <v>T060</v>
      </c>
      <c r="B246" s="1">
        <v>3</v>
      </c>
      <c r="C246" s="1">
        <f>IF(COUNTIFS('Fleet register'!$A$7:$A$106,$A246)=1,VLOOKUP($A246,'Fleet register'!$A$7:$S$106,2,FALSE),0)</f>
        <v>0</v>
      </c>
      <c r="D246" s="1" t="str">
        <f>IF('Replacement plan'!$R$66="EV","EV","ICE")</f>
        <v>ICE</v>
      </c>
      <c r="E246" s="1">
        <f>IF(C246=0,0,IF('Replacement plan'!$S$66="",IF('Replacement plan'!$R$66="Keep ICE",IF('Replacement plan'!$M$66="",VLOOKUP($A246,'Fleet register'!$A$7:$S$106,10,FALSE),'Replacement plan'!$M$66),0),'Replacement plan'!$S$66))</f>
        <v>0</v>
      </c>
      <c r="F246" s="16">
        <f>IF(C246=0,0,VLOOKUP($A246,'Fleet register'!$A$7:$S$106,11,FALSE))</f>
        <v>0</v>
      </c>
      <c r="G246" s="16">
        <f>IFERROR(IF(C246=0,0,IF(E246=120,0,IF(D246="ICE",'Replacement plan'!$C$66,IF('Replacement plan'!$D$66="",INDEX(Products!$I$7:$I$13,MATCH('Replacement plan'!$B$66,Products!$A$7:$A$13,0))+'Operating costs'!$B$57,'Replacement plan'!$D$66))*(1+'Operating costs'!$B$50)^(E246/12))),"n.a.")</f>
        <v>0</v>
      </c>
      <c r="H246" s="16">
        <f>IFERROR(IF(C246=0,0,IF('Replacement plan'!$V$66&lt;&gt;"",'Replacement plan'!$V$66,IF(E246=0,F246,VLOOKUP($A246,'Fleet register'!$A$7:$S$106,12,FALSE)+VLOOKUP($A246,'Fleet register'!$A$7:$S$106,13,FALSE)*MAX(0,VLOOKUP($A246,'Fleet register'!$A$7:$S$106,10,FALSE)-E246)/VLOOKUP($A246,'Fleet register'!$A$7:$S$106,14,FALSE)))),"n.a.")</f>
        <v>0</v>
      </c>
      <c r="I246" s="16">
        <f>IF(C246=0,0,IF(E246=120,0,'Replacement plan'!$T$66))</f>
        <v>0</v>
      </c>
      <c r="J246" s="16">
        <f>IF(C246=0,0,IF(P246="Complete",((S246*(R246-'Operating costs'!$B$39))+ROUNDUP(S246*(R246-'Operating costs'!$B$39)*IF('Replacement plan'!$AG$66="",'Operating costs'!$B$7,'Replacement plan'!$AG$66)/('Operating costs'!$B$8-'Operating costs'!$B$9*IF('Replacement plan'!$AG$66="",'Operating costs'!$B$7,'Replacement plan'!$AG$66)),0)*'Operating costs'!$B$9)*IF('Replacement plan'!$AG$66="",'Operating costs'!$B$7,'Replacement plan'!$AG$66)*('Energy and charging'!$C$9*'Energy and charging'!$C$7+(1-'Energy and charging'!$C$9)*'Energy and charging'!$C$8)*'Operating costs'!$B$23,"n.a."))</f>
        <v>0</v>
      </c>
      <c r="K246" s="16">
        <f>IF(C246=0,0,IF(P246="Complete",SUM('Operating costs'!$B$24,'Operating costs'!$B$27,'Operating costs'!$B$29,'Operating costs'!$B$31,'Operating costs'!$B$33,'Operating costs'!$B$34,'Operating costs'!$B$37,'Replacement plan'!$W$66)+'Operating costs'!$B$39*'Operating costs'!$B$42+ROUNDUP(S246*(R246-'Operating costs'!$B$39)*IF('Replacement plan'!$AG$66="",'Operating costs'!$B$7,'Replacement plan'!$AG$66)/('Operating costs'!$B$8-'Operating costs'!$B$9*IF('Replacement plan'!$AG$66="",'Operating costs'!$B$7,'Replacement plan'!$AG$66)),0)*('Operating costs'!$B$9/'Operating costs'!$B$11+'Operating costs'!$B$10/60)*'Operating costs'!$B$19*'Operating costs'!$B$21,"n.a."))</f>
        <v>0</v>
      </c>
      <c r="L246" s="16">
        <f>IF(C246=0,0,IF(P246="Complete",IF(D246="EV",X246*((1-T246)*'Energy and charging'!$C$10+T246*'Energy and charging'!$C$11)*'Operating costs'!$B$22,AA246*('Energy and charging'!$C$9*'Energy and charging'!$C$7+(1-'Energy and charging'!$C$9)*'Energy and charging'!$C$8)*'Operating costs'!$B$23),"n.a."))</f>
        <v>0</v>
      </c>
      <c r="M246" s="37">
        <f>IF(C246=0,0,IF(P246="Complete",IF(D246="ICE",SUM('Operating costs'!$B$25,'Operating costs'!$B$27,'Operating costs'!$B$29,'Operating costs'!$B$31,'Operating costs'!$B$33,'Operating costs'!$B$35,'Operating costs'!$B$37,'Replacement plan'!$X$66)+'Operating costs'!$B$40*'Operating costs'!$B$42+ROUNDUP(S246*(R246-'Operating costs'!$B$40)*IF('Replacement plan'!$AH$66="",'Operating costs'!$B$7,'Replacement plan'!$AH$66)/('Operating costs'!$B$8-'Operating costs'!$B$9*IF('Replacement plan'!$AH$66="",'Operating costs'!$B$7,'Replacement plan'!$AH$66)),0)*('Operating costs'!$B$9/'Operating costs'!$B$11+'Operating costs'!$B$10/60)*'Operating costs'!$B$19*'Operating costs'!$B$21,SUM(AP246,'Operating costs'!$B$28,'Operating costs'!$B$30,'Operating costs'!$B$32,'Operating costs'!$B$33,'Operating costs'!$B$36,'Operating costs'!$B$38,'Replacement plan'!$Y$66)+'Operating costs'!$B$41*'Operating costs'!$B$43+W246*'Operating costs'!$B$15+(T246*X246/'Replacement plan'!$L$66+W246*('Operating costs'!$B$12/'Operating costs'!$B$11+('Operating costs'!$B$13+'Operating costs'!$B$14)/60)+(R246-'Operating costs'!$B$41)*(IF(T246&lt;1,'Operating costs'!$B$16,0)+'Operating costs'!$B$17)/60)*'Operating costs'!$B$19*'Operating costs'!$B$20),"n.a."))</f>
        <v>0</v>
      </c>
      <c r="N246" s="16">
        <f>IF(AND(C246=1,D246="EV",E246&lt;120,E246+'Replacement plan'!$AA$66&lt;=120),'Replacement plan'!$Z$66,0)</f>
        <v>0</v>
      </c>
      <c r="O246" s="1">
        <f>E246+'Replacement plan'!$AA$66</f>
        <v>0</v>
      </c>
      <c r="P246" s="35" t="str">
        <f>IFERROR(IF(C246=0,"Excluded",IF(OR(COUNTIFS('Fleet register'!$A$7:$A$106,A246)&lt;&gt;1,COUNTIFS('Replacement plan'!$A$7:$A$106,A246)&lt;&gt;1),"Duplicate/missing ID",IF(NOT(AND(ISNUMBER(VLOOKUP($A246,'Fleet register'!$A$7:$S$106,5,FALSE)),ISNUMBER(VLOOKUP($A246,'Fleet register'!$A$7:$S$106,6,FALSE)),ISNUMBER(VLOOKUP($A246,'Fleet register'!$A$7:$S$106,10,FALSE)),ISNUMBER(VLOOKUP($A246,'Fleet register'!$A$7:$S$106,11,FALSE)),ISNUMBER(VLOOKUP($A246,'Fleet register'!$A$7:$S$106,12,FALSE)),ISNUMBER(VLOOKUP($A246,'Fleet register'!$A$7:$S$106,13,FALSE)),ISNUMBER(VLOOKUP($A246,'Fleet register'!$A$7:$S$106,14,FALSE)),VLOOKUP($A246,'Fleet register'!$A$7:$S$106,14,FALSE)&gt;0,ISNUMBER('Replacement plan'!$C$66),OR(E246=120,ISNUMBER('Replacement plan'!$T$66)),ISNUMBER(E246))),"Missing vehicle input",IF(OR(E246&lt;0,E246&gt;VLOOKUP($A246,'Fleet register'!$A$7:$S$106,10,FALSE),E246&gt;120,E246&lt;&gt;INT(E246),VLOOKUP($A246,'Fleet register'!$A$7:$S$106,6,FALSE)&lt;=0,VLOOKUP($A246,'Fleet register'!$A$7:$S$106,6,FALSE)&gt;366,VLOOKUP($A246,'Fleet register'!$A$7:$S$106,5,FALSE)&lt;0,VLOOKUP($A246,'Fleet register'!$A$7:$S$106,11,FALSE)&lt;0,I246&lt;0,'Operating costs'!$B$8&lt;='Operating costs'!$B$7*'Operating costs'!$B$9,'Operating costs'!$B$11&lt;=0,'Operating costs'!$B$39&gt;R246,'Operating costs'!$B$40&gt;R246,'Operating costs'!$B$41&gt;R246,NOT(OR('Replacement plan'!$R$66="Keep ICE",'Replacement plan'!$R$66="New ICE",'Replacement plan'!$R$66="EV"))),"Invalid vehicle input",IF(AND(D246="EV",E246&lt;120,OR(NOT(ISNUMBER(U246)),NOT(ISNUMBER(V246)),V246&lt;=0,T246&lt;0,T246&gt;1,'Replacement plan'!$L$66&lt;=0,'Operating costs'!$B$44&lt;0,'Operating costs'!$B$44&gt;=1,'Operating costs'!$B$47&lt;=0,'Operating costs'!$B$47&gt;1,V246*'Operating costs'!$B$47/(1-'Operating costs'!$B$44)&lt;=T246*'Operating costs'!$B$12*U246,AND('Replacement plan'!$Z$66&gt;0,OR('Replacement plan'!$AB$66&lt;&gt;"Yes",'Operating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charging'!$C$8&gt;=0))),ISNUMBER(VLOOKUP($A246,'Fleet register'!$A$7:$S$106,15,FALSE)),ISNUMBER(VLOOKUP($A246,'Fleet register'!$A$7:$S$106,16,FALSE)),ISNUMBER('Replacement plan'!$W$66),ISNUMBER('Replacement plan'!$X$66),OR(E246=120,AND(ISNUMBER(G246),G246&gt;=0)),ISNUMBER(H246),H246&gt;=0,OR(D246&lt;&gt;"EV",E246=120,AND(ISNUMBER('Operating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average",ISNUMBER(IFERROR(INDEX(Products!$P$7:$P$13,MATCH(AD246,Products!$A$7:$A$13,0)),"")))),ISNUMBER('Operating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plan'!$Y$66),ISNUMBER('Replacement plan'!$Z$66),'Replacement plan'!$Z$66&gt;=0,ISNUMBER('Replacement plan'!$AA$66),'Replacement plan'!$AA$66&gt;=0,'Replacement plan'!$AA$66=INT('Replacement plan'!$AA$66),ISNUMBER('Replacement plan'!$L$66))),'Operating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plan'!$AG$66="",'Operating costs'!$B$7,'Replacement plan'!$AG$66)),IF('Replacement plan'!$AG$66="",'Operating costs'!$B$7,'Replacement plan'!$AG$66)&gt;=0,ISNUMBER(IF('Replacement plan'!$AH$66="",'Operating costs'!$B$7,'Replacement plan'!$AH$66)),IF('Replacement plan'!$AH$66="",'Operating costs'!$B$7,'Replacement plan'!$AH$66)&gt;=0,'Operating costs'!$B$8&gt;MAX(IF('Replacement plan'!$AG$66="",'Operating costs'!$B$7,'Replacement plan'!$AG$66),IF('Replacement plan'!$AH$66="",'Operating costs'!$B$7,'Replacement plan'!$AH$66))*'Operating costs'!$B$9),IF(AND(VLOOKUP($A246,'Fleet register'!$A$7:$S$106,10,FALSE)&gt;=0,VLOOKUP($A246,'Fleet register'!$A$7:$S$106,10,FALSE)&lt;=120,VLOOKUP($A246,'Fleet register'!$A$7:$S$106,10,FALSE)=INT(VLOOKUP($A246,'Fleet register'!$A$7:$S$106,10,FALSE)),VLOOKUP($A246,'Fleet register'!$A$7:$S$106,15,FALSE)&gt;=0,VLOOKUP($A246,'Fleet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costs'!$B$67)&gt;=0,OR(D246&lt;&gt;"EV",E246=120,AND(MIN('Operating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46" s="1" t="str">
        <f>IF(C246=0,"Excluded",IF(P246&lt;&gt;"Complete",P246,IF(OR('Replacement plan'!$AD$66&lt;120-E246,AND(D246="EV",E246&lt;120,OR('Replacement plan'!$AC$66&lt;120-E246,'Replacement plan'!$I$66="No",AND(ISNUMBER(AF246),AE246&gt;AF246),AI246&gt;V246*(1-'Operating costs'!$B$46)^MAX(0,AB246-1)*(1-'Operating costs'!$B$45),AC246&gt;'Operating costs'!$B$18,AND(T246&lt;1,OR(AG246&lt;=0,AND(ISNUMBER(AH246),AG246&gt;AH246))),'Replacement plan'!$L$66&gt;INDEX(Products!$H$7:$H$13,MATCH('Replacement plan'!$B$66,Products!$A$7:$A$13,0))))),"Fails entered limits",IF(AND(D246="EV",E246&lt;120,OR(NOT(ISNUMBER(VLOOKUP($A246,'Fleet register'!$A$7:$S$106,7,FALSE))),NOT(ISNUMBER(VLOOKUP($A246,'Fleet register'!$A$7:$S$106,8,FALSE))),NOT(ISNUMBER(AF246)),'Replacement plan'!$I$66&lt;&gt;"Yes",NOT(ISNUMBER(AH246)),'Operating costs'!$B$59&lt;&gt;"Yes",'Operating costs'!$B$58&lt;&gt;"Yes")),"Unverified","Within entered limits"))))</f>
        <v>Excluded</v>
      </c>
      <c r="R246" s="1">
        <f>IF(C246=0,0,VLOOKUP($A246,'Fleet register'!$A$7:$S$106,6,FALSE))</f>
        <v>0</v>
      </c>
      <c r="S246" s="1">
        <f>IF(C246=0,0,VLOOKUP($A246,'Fleet register'!$A$7:$S$106,5,FALSE))</f>
        <v>0</v>
      </c>
      <c r="T246" s="1">
        <f>IF(D246="EV",'Energy and charging'!$C$12,0)</f>
        <v>0</v>
      </c>
      <c r="U246" s="1">
        <f>IFERROR(IF(C246=0,0,IF(D246="EV",IF('Replacement plan'!$F$66="",INDEX(Products!$E$7:$E$13,MATCH('Replacement plan'!$B$66,Products!$A$7:$A$13,0)),'Replacement plan'!$F$66)/IF('Replacement plan'!$G$66="Battery",1-'Operating costs'!$B$44,1),0)),"n.a.")</f>
        <v>0</v>
      </c>
      <c r="V246" s="1">
        <f>IFERROR(IF(C246=0,0,IF(D246="EV",IF('Replacement plan'!$E$66="",INDEX(Products!$D$7:$D$13,MATCH('Replacement plan'!$B$66,Products!$A$7:$A$13,0)),'Replacement plan'!$E$66),0)),"n.a.")</f>
        <v>0</v>
      </c>
      <c r="W246" s="1">
        <f>IF(C246=0,0,IF(AND(P246="Complete",D246="EV",E246&lt;120),IF(T246=0,0,ROUNDUP(T246*(R246-'Operating costs'!$B$41)*(S246*U246+'Operating costs'!$B$48/(1-'Operating costs'!$B$44))/(V246*'Operating costs'!$B$47/(1-'Operating costs'!$B$44)-T246*'Operating costs'!$B$12*U246),0)),0))</f>
        <v>0</v>
      </c>
      <c r="X246" s="1">
        <f>IF(C246=0,0,IF(AND(P246="Complete",D246="EV",E246&lt;120),(R246-'Operating costs'!$B$41)*(S246*U246+'Operating costs'!$B$48/(1-'Operating costs'!$B$44))+W246*'Operating costs'!$B$12*U246,0))</f>
        <v>0</v>
      </c>
      <c r="Y246" s="1">
        <f>IF(AND(C246=1,D246="EV",E246&lt;120),AI246/(1-'Operating costs'!$B$44)*(1-T246),0)</f>
        <v>0</v>
      </c>
      <c r="Z246" s="1">
        <f t="shared" si="6"/>
        <v>0</v>
      </c>
      <c r="AA246" s="1">
        <f>IF(C246=0,0,IF(P246="Complete",((S246*(R246-'Operating costs'!$B$40))+ROUNDUP(S246*(R246-'Operating costs'!$B$40)*IF('Replacement plan'!$AH$66="",'Operating costs'!$B$7,'Replacement plan'!$AH$66)/('Operating costs'!$B$8-'Operating costs'!$B$9*IF('Replacement plan'!$AH$66="",'Operating costs'!$B$7,'Replacement plan'!$AH$66)),0)*'Operating costs'!$B$9)*IF('Replacement plan'!$AH$66="",'Operating costs'!$B$7,'Replacement plan'!$AH$66),"n.a."))</f>
        <v>0</v>
      </c>
      <c r="AB246" s="1">
        <f t="shared" si="7"/>
        <v>0</v>
      </c>
      <c r="AC246" s="1">
        <f>IF(AND(C246=1,D246="EV",E246&lt;120,T246&gt;0),'Operating costs'!$B$12/'Operating costs'!$B$11*60+'Operating costs'!$B$13+'Operating costs'!$B$14+V246*'Operating costs'!$B$47/(1-'Operating costs'!$B$44)/'Replacement plan'!$L$66*60,0)</f>
        <v>0</v>
      </c>
      <c r="AD246" s="1" t="str">
        <f>'Replacement plan'!$B$66</f>
        <v>ChengLong L2EV</v>
      </c>
      <c r="AE246" s="1">
        <f>IF(C246=0,0,VLOOKUP($A246,'Fleet register'!$A$7:$S$106,8,FALSE))</f>
        <v>0</v>
      </c>
      <c r="AF246" s="1" t="str">
        <f>IF('Replacement plan'!$H$66="","n.a.",'Replacement plan'!$H$66)</f>
        <v>n.a.</v>
      </c>
      <c r="AG246" s="1">
        <f>'Replacement plan'!$J$66</f>
        <v>22</v>
      </c>
      <c r="AH246" s="1">
        <f>IFERROR(IF(D246="EV",IF('Replacement plan'!$K$66="AC",IF(ISNUMBER(INDEX(Products!$G$7:$G$13,MATCH('Replacement plan'!$B$66,Products!$A$7:$A$13,0))),INDEX(Products!$G$7:$G$13,MATCH('Replacement plan'!$B$66,Products!$A$7:$A$13,0)),"n.a."),IF(ISNUMBER(INDEX(Products!$H$7:$H$13,MATCH('Replacement plan'!$B$66,Products!$A$7:$A$13,0))),INDEX(Products!$H$7:$H$13,MATCH('Replacement plan'!$B$66,Products!$A$7:$A$13,0)),"n.a.")),0),"n.a.")</f>
        <v>0</v>
      </c>
      <c r="AI246" s="1">
        <f>IF(AND(C246=1,D246="EV",E246&lt;120),(VLOOKUP($A246,'Fleet register'!$A$7:$S$106,7,FALSE)+IF(T246&gt;0,'Operating costs'!$B$12,0))*U246*(1-'Operating costs'!$B$44)+'Operating costs'!$B$49,0)</f>
        <v>0</v>
      </c>
      <c r="AJ246" s="1">
        <f>IF(D246="EV",'Energy and charging'!$C$50,0)</f>
        <v>0</v>
      </c>
      <c r="AK246" s="17">
        <f>EDATE('Operating costs'!$B$63,E246)</f>
        <v>46298</v>
      </c>
      <c r="AL246" s="1">
        <f>IFERROR(IF(D246="EV",INDEX(Products!$B$7:$B$13,MATCH('Replacement plan'!$B$66,Products!$A$7:$A$13,0)),0),"n.a.")</f>
        <v>0</v>
      </c>
      <c r="AM246" s="1" t="str">
        <f>'Replacement plan'!$K$66</f>
        <v>DC</v>
      </c>
      <c r="AN246" s="1" t="str">
        <f>'Replacement plan'!$AE$66</f>
        <v>Assumed</v>
      </c>
      <c r="AO246" s="47">
        <f>IF(AND(C246=1,D246="EV",E246&lt;120),(R246-'Operating costs'!$B$41)*S246+W246*'Operating costs'!$B$12,0)</f>
        <v>0</v>
      </c>
      <c r="AP246" s="41">
        <f>IF(AND(C246=1,D246="EV",E246&lt;120),IF('Operating costs'!$B$68="Hong Seh 200k average",AO246*IFERROR(INDEX(Products!$P$7:$P$13,MATCH(AD246,Products!$A$7:$A$13,0)),"n.a."),'Operating costs'!$B$26),0)</f>
        <v>0</v>
      </c>
      <c r="AQ246" s="40" t="str">
        <f>IF(D246="EV",'Operating costs'!$B$68,"Not applicable")</f>
        <v>Not applicable</v>
      </c>
    </row>
    <row r="247" spans="1:43" ht="24" customHeight="1">
      <c r="A247" s="1" t="str">
        <f>'Replacement plan'!A67</f>
        <v>T061</v>
      </c>
      <c r="B247" s="1">
        <v>0</v>
      </c>
      <c r="C247" s="1">
        <f>IF(COUNTIFS('Fleet register'!$A$7:$A$106,$A247)=1,VLOOKUP($A247,'Fleet register'!$A$7:$S$106,2,FALSE),0)</f>
        <v>0</v>
      </c>
      <c r="D247" s="1" t="str">
        <f>IF("Keep ICE"="EV","EV","ICE")</f>
        <v>ICE</v>
      </c>
      <c r="E247" s="1">
        <f>IF(C247=0,0,IF('Replacement plan'!$M$67="",VLOOKUP($A247,'Fleet register'!$A$7:$S$106,10,FALSE),'Replacement plan'!$M$67))</f>
        <v>0</v>
      </c>
      <c r="F247" s="16">
        <f>IF(C247=0,0,VLOOKUP($A247,'Fleet register'!$A$7:$S$106,11,FALSE))</f>
        <v>0</v>
      </c>
      <c r="G247" s="16">
        <f>IFERROR(IF(C247=0,0,IF(E247=120,0,IF(D247="ICE",'Replacement plan'!$C$67,IF('Replacement plan'!$D$67="",INDEX(Products!$I$7:$I$13,MATCH('Replacement plan'!$B$67,Products!$A$7:$A$13,0))+'Operating costs'!$B$57,'Replacement plan'!$D$67))*(1+'Operating costs'!$B$50)^(E247/12))),"n.a.")</f>
        <v>0</v>
      </c>
      <c r="H247" s="16">
        <f>IFERROR(IF(C247=0,0,IF(E247=0,F247,VLOOKUP($A247,'Fleet register'!$A$7:$S$106,12,FALSE)+VLOOKUP($A247,'Fleet register'!$A$7:$S$106,13,FALSE)*MAX(0,VLOOKUP($A247,'Fleet register'!$A$7:$S$106,10,FALSE)-E247)/VLOOKUP($A247,'Fleet register'!$A$7:$S$106,14,FALSE))),"n.a.")</f>
        <v>0</v>
      </c>
      <c r="I247" s="16">
        <f>IF(C247=0,0,IF(E247=120,0,'Replacement plan'!$N$67))</f>
        <v>0</v>
      </c>
      <c r="J247" s="16">
        <f>IF(C247=0,0,IF(P247="Complete",((S247*(R247-'Operating costs'!$B$39))+ROUNDUP(S247*(R247-'Operating costs'!$B$39)*IF('Replacement plan'!$AG$67="",'Operating costs'!$B$7,'Replacement plan'!$AG$67)/('Operating costs'!$B$8-'Operating costs'!$B$9*IF('Replacement plan'!$AG$67="",'Operating costs'!$B$7,'Replacement plan'!$AG$67)),0)*'Operating costs'!$B$9)*IF('Replacement plan'!$AG$67="",'Operating costs'!$B$7,'Replacement plan'!$AG$67)*('Energy and charging'!$B$9*'Energy and charging'!$B$7+(1-'Energy and charging'!$B$9)*'Energy and charging'!$B$8)*'Operating costs'!$B$23,"n.a."))</f>
        <v>0</v>
      </c>
      <c r="K247" s="16">
        <f>IF(C247=0,0,IF(P247="Complete",SUM('Operating costs'!$B$24,'Operating costs'!$B$27,'Operating costs'!$B$29,'Operating costs'!$B$31,'Operating costs'!$B$33,'Operating costs'!$B$34,'Operating costs'!$B$37,'Replacement plan'!$W$67)+'Operating costs'!$B$39*'Operating costs'!$B$42+ROUNDUP(S247*(R247-'Operating costs'!$B$39)*IF('Replacement plan'!$AG$67="",'Operating costs'!$B$7,'Replacement plan'!$AG$67)/('Operating costs'!$B$8-'Operating costs'!$B$9*IF('Replacement plan'!$AG$67="",'Operating costs'!$B$7,'Replacement plan'!$AG$67)),0)*('Operating costs'!$B$9/'Operating costs'!$B$11+'Operating costs'!$B$10/60)*'Operating costs'!$B$19*'Operating costs'!$B$21,"n.a."))</f>
        <v>0</v>
      </c>
      <c r="L247" s="16">
        <f>IF(C247=0,0,IF(P247="Complete",IF(D247="EV",X247*((1-T247)*'Energy and charging'!$B$10+T247*'Energy and charging'!$B$11)*'Operating costs'!$B$22,AA247*('Energy and charging'!$B$9*'Energy and charging'!$B$7+(1-'Energy and charging'!$B$9)*'Energy and charging'!$B$8)*'Operating costs'!$B$23),"n.a."))</f>
        <v>0</v>
      </c>
      <c r="M247" s="37">
        <f>IF(C247=0,0,IF(P247="Complete",IF(D247="ICE",SUM('Operating costs'!$B$25,'Operating costs'!$B$27,'Operating costs'!$B$29,'Operating costs'!$B$31,'Operating costs'!$B$33,'Operating costs'!$B$35,'Operating costs'!$B$37,'Replacement plan'!$X$67)+'Operating costs'!$B$40*'Operating costs'!$B$42+ROUNDUP(S247*(R247-'Operating costs'!$B$40)*IF('Replacement plan'!$AH$67="",'Operating costs'!$B$7,'Replacement plan'!$AH$67)/('Operating costs'!$B$8-'Operating costs'!$B$9*IF('Replacement plan'!$AH$67="",'Operating costs'!$B$7,'Replacement plan'!$AH$67)),0)*('Operating costs'!$B$9/'Operating costs'!$B$11+'Operating costs'!$B$10/60)*'Operating costs'!$B$19*'Operating costs'!$B$21,SUM(AP247,'Operating costs'!$B$28,'Operating costs'!$B$30,'Operating costs'!$B$32,'Operating costs'!$B$33,'Operating costs'!$B$36,'Operating costs'!$B$38,'Replacement plan'!$Y$67)+'Operating costs'!$B$41*'Operating costs'!$B$43+W247*'Operating costs'!$B$15+(T247*X247/'Replacement plan'!$L$67+W247*('Operating costs'!$B$12/'Operating costs'!$B$11+('Operating costs'!$B$13+'Operating costs'!$B$14)/60)+(R247-'Operating costs'!$B$41)*(IF(T247&lt;1,'Operating costs'!$B$16,0)+'Operating costs'!$B$17)/60)*'Operating costs'!$B$19*'Operating costs'!$B$20),"n.a."))</f>
        <v>0</v>
      </c>
      <c r="N247" s="16">
        <f>IF(AND(C247=1,D247="EV",E247&lt;120,E247+'Replacement plan'!$AA$67&lt;=120),'Replacement plan'!$Z$67,0)</f>
        <v>0</v>
      </c>
      <c r="O247" s="1">
        <f>E247+'Replacement plan'!$AA$67</f>
        <v>0</v>
      </c>
      <c r="P247" s="35" t="str">
        <f>IFERROR(IF(C247=0,"Excluded",IF(OR(COUNTIFS('Fleet register'!$A$7:$A$106,A247)&lt;&gt;1,COUNTIFS('Replacement plan'!$A$7:$A$106,A247)&lt;&gt;1),"Duplicate/missing ID",IF(NOT(AND(ISNUMBER(VLOOKUP($A247,'Fleet register'!$A$7:$S$106,5,FALSE)),ISNUMBER(VLOOKUP($A247,'Fleet register'!$A$7:$S$106,6,FALSE)),ISNUMBER(VLOOKUP($A247,'Fleet register'!$A$7:$S$106,10,FALSE)),ISNUMBER(VLOOKUP($A247,'Fleet register'!$A$7:$S$106,11,FALSE)),ISNUMBER(VLOOKUP($A247,'Fleet register'!$A$7:$S$106,12,FALSE)),ISNUMBER(VLOOKUP($A247,'Fleet register'!$A$7:$S$106,13,FALSE)),ISNUMBER(VLOOKUP($A247,'Fleet register'!$A$7:$S$106,14,FALSE)),VLOOKUP($A247,'Fleet register'!$A$7:$S$106,14,FALSE)&gt;0,ISNUMBER('Replacement plan'!$C$67),OR(E247=120,ISNUMBER('Replacement plan'!$N$67)),ISNUMBER(E247))),"Missing vehicle input",IF(OR(E247&lt;0,E247&gt;VLOOKUP($A247,'Fleet register'!$A$7:$S$106,10,FALSE),E247&gt;120,E247&lt;&gt;INT(E247),VLOOKUP($A247,'Fleet register'!$A$7:$S$106,6,FALSE)&lt;=0,VLOOKUP($A247,'Fleet register'!$A$7:$S$106,6,FALSE)&gt;366,VLOOKUP($A247,'Fleet register'!$A$7:$S$106,5,FALSE)&lt;0,VLOOKUP($A247,'Fleet register'!$A$7:$S$106,11,FALSE)&lt;0,I247&lt;0,'Operating costs'!$B$8&lt;='Operating costs'!$B$7*'Operating costs'!$B$9,'Operating costs'!$B$11&lt;=0,'Operating costs'!$B$39&gt;R247,'Operating costs'!$B$40&gt;R247,'Operating costs'!$B$41&gt;R247,NOT(OR("Keep ICE"="Keep ICE","Keep ICE"="New ICE","Keep ICE"="EV"))),"Invalid vehicle input",IF(AND(D247="EV",E247&lt;120,OR(NOT(ISNUMBER(U247)),NOT(ISNUMBER(V247)),V247&lt;=0,T247&lt;0,T247&gt;1,'Replacement plan'!$L$67&lt;=0,'Operating costs'!$B$44&lt;0,'Operating costs'!$B$44&gt;=1,'Operating costs'!$B$47&lt;=0,'Operating costs'!$B$47&gt;1,V247*'Operating costs'!$B$47/(1-'Operating costs'!$B$44)&lt;=T247*'Operating costs'!$B$12*U247,AND('Replacement plan'!$Z$67&gt;0,OR('Replacement plan'!$AB$67&lt;&gt;"Yes",'Operating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charging'!$B$8&gt;=0))),ISNUMBER(VLOOKUP($A247,'Fleet register'!$A$7:$S$106,15,FALSE)),ISNUMBER(VLOOKUP($A247,'Fleet register'!$A$7:$S$106,16,FALSE)),ISNUMBER('Replacement plan'!$W$67),ISNUMBER('Replacement plan'!$X$67),OR(E247=120,AND(ISNUMBER(G247),G247&gt;=0)),ISNUMBER(H247),H247&gt;=0,OR(D247&lt;&gt;"EV",E247=120,AND(ISNUMBER('Operating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average",ISNUMBER(IFERROR(INDEX(Products!$P$7:$P$13,MATCH(AD247,Products!$A$7:$A$13,0)),"")))),ISNUMBER('Operating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plan'!$Y$67),ISNUMBER('Replacement plan'!$Z$67),'Replacement plan'!$Z$67&gt;=0,ISNUMBER('Replacement plan'!$AA$67),'Replacement plan'!$AA$67&gt;=0,'Replacement plan'!$AA$67=INT('Replacement plan'!$AA$67),ISNUMBER('Replacement plan'!$L$67))),'Operating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plan'!$AG$67="",'Operating costs'!$B$7,'Replacement plan'!$AG$67)),IF('Replacement plan'!$AG$67="",'Operating costs'!$B$7,'Replacement plan'!$AG$67)&gt;=0,ISNUMBER(IF('Replacement plan'!$AH$67="",'Operating costs'!$B$7,'Replacement plan'!$AH$67)),IF('Replacement plan'!$AH$67="",'Operating costs'!$B$7,'Replacement plan'!$AH$67)&gt;=0,'Operating costs'!$B$8&gt;MAX(IF('Replacement plan'!$AG$67="",'Operating costs'!$B$7,'Replacement plan'!$AG$67),IF('Replacement plan'!$AH$67="",'Operating costs'!$B$7,'Replacement plan'!$AH$67))*'Operating costs'!$B$9),IF(AND(VLOOKUP($A247,'Fleet register'!$A$7:$S$106,10,FALSE)&gt;=0,VLOOKUP($A247,'Fleet register'!$A$7:$S$106,10,FALSE)&lt;=120,VLOOKUP($A247,'Fleet register'!$A$7:$S$106,10,FALSE)=INT(VLOOKUP($A247,'Fleet register'!$A$7:$S$106,10,FALSE)),VLOOKUP($A247,'Fleet register'!$A$7:$S$106,15,FALSE)&gt;=0,VLOOKUP($A247,'Fleet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costs'!$B$67)&gt;=0,OR(D247&lt;&gt;"EV",E247=120,AND(MIN('Operating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47" s="1" t="str">
        <f>IF(C247=0,"Excluded",IF(P247&lt;&gt;"Complete",P247,IF(OR('Replacement plan'!$AD$67&lt;120-E247,AND(D247="EV",E247&lt;120,OR('Replacement plan'!$AC$67&lt;120-E247,'Replacement plan'!$I$67="No",AND(ISNUMBER(AF247),AE247&gt;AF247),AI247&gt;V247*(1-'Operating costs'!$B$46)^MAX(0,AB247-1)*(1-'Operating costs'!$B$45),AC247&gt;'Operating costs'!$B$18,AND(T247&lt;1,OR(AG247&lt;=0,AND(ISNUMBER(AH247),AG247&gt;AH247))),'Replacement plan'!$L$67&gt;INDEX(Products!$H$7:$H$13,MATCH('Replacement plan'!$B$67,Products!$A$7:$A$13,0))))),"Fails entered limits",IF(AND(D247="EV",E247&lt;120,OR(NOT(ISNUMBER(VLOOKUP($A247,'Fleet register'!$A$7:$S$106,7,FALSE))),NOT(ISNUMBER(VLOOKUP($A247,'Fleet register'!$A$7:$S$106,8,FALSE))),NOT(ISNUMBER(AF247)),'Replacement plan'!$I$67&lt;&gt;"Yes",NOT(ISNUMBER(AH247)),'Operating costs'!$B$59&lt;&gt;"Yes",'Operating costs'!$B$58&lt;&gt;"Yes")),"Unverified","Within entered limits"))))</f>
        <v>Excluded</v>
      </c>
      <c r="R247" s="1">
        <f>IF(C247=0,0,VLOOKUP($A247,'Fleet register'!$A$7:$S$106,6,FALSE))</f>
        <v>0</v>
      </c>
      <c r="S247" s="1">
        <f>IF(C247=0,0,VLOOKUP($A247,'Fleet register'!$A$7:$S$106,5,FALSE))</f>
        <v>0</v>
      </c>
      <c r="T247" s="1">
        <f>IF(D247="EV",'Energy and charging'!$B$12,0)</f>
        <v>0</v>
      </c>
      <c r="U247" s="1">
        <f>IFERROR(IF(C247=0,0,IF(D247="EV",IF('Replacement plan'!$F$67="",INDEX(Products!$E$7:$E$13,MATCH('Replacement plan'!$B$67,Products!$A$7:$A$13,0)),'Replacement plan'!$F$67)/IF('Replacement plan'!$G$67="Battery",1-'Operating costs'!$B$44,1),0)),"n.a.")</f>
        <v>0</v>
      </c>
      <c r="V247" s="1">
        <f>IFERROR(IF(C247=0,0,IF(D247="EV",IF('Replacement plan'!$E$67="",INDEX(Products!$D$7:$D$13,MATCH('Replacement plan'!$B$67,Products!$A$7:$A$13,0)),'Replacement plan'!$E$67),0)),"n.a.")</f>
        <v>0</v>
      </c>
      <c r="W247" s="1">
        <f>IF(C247=0,0,IF(AND(P247="Complete",D247="EV",E247&lt;120),IF(T247=0,0,ROUNDUP(T247*(R247-'Operating costs'!$B$41)*(S247*U247+'Operating costs'!$B$48/(1-'Operating costs'!$B$44))/(V247*'Operating costs'!$B$47/(1-'Operating costs'!$B$44)-T247*'Operating costs'!$B$12*U247),0)),0))</f>
        <v>0</v>
      </c>
      <c r="X247" s="1">
        <f>IF(C247=0,0,IF(AND(P247="Complete",D247="EV",E247&lt;120),(R247-'Operating costs'!$B$41)*(S247*U247+'Operating costs'!$B$48/(1-'Operating costs'!$B$44))+W247*'Operating costs'!$B$12*U247,0))</f>
        <v>0</v>
      </c>
      <c r="Y247" s="1">
        <f>IF(AND(C247=1,D247="EV",E247&lt;120),AI247/(1-'Operating costs'!$B$44)*(1-T247),0)</f>
        <v>0</v>
      </c>
      <c r="Z247" s="1">
        <f t="shared" si="6"/>
        <v>0</v>
      </c>
      <c r="AA247" s="1">
        <f>IF(C247=0,0,IF(P247="Complete",((S247*(R247-'Operating costs'!$B$40))+ROUNDUP(S247*(R247-'Operating costs'!$B$40)*IF('Replacement plan'!$AH$67="",'Operating costs'!$B$7,'Replacement plan'!$AH$67)/('Operating costs'!$B$8-'Operating costs'!$B$9*IF('Replacement plan'!$AH$67="",'Operating costs'!$B$7,'Replacement plan'!$AH$67)),0)*'Operating costs'!$B$9)*IF('Replacement plan'!$AH$67="",'Operating costs'!$B$7,'Replacement plan'!$AH$67),"n.a."))</f>
        <v>0</v>
      </c>
      <c r="AB247" s="1">
        <f t="shared" si="7"/>
        <v>0</v>
      </c>
      <c r="AC247" s="1">
        <f>IF(AND(C247=1,D247="EV",E247&lt;120,T247&gt;0),'Operating costs'!$B$12/'Operating costs'!$B$11*60+'Operating costs'!$B$13+'Operating costs'!$B$14+V247*'Operating costs'!$B$47/(1-'Operating costs'!$B$44)/'Replacement plan'!$L$67*60,0)</f>
        <v>0</v>
      </c>
      <c r="AD247" s="1" t="str">
        <f>'Replacement plan'!$B$67</f>
        <v>ChengLong L2EV</v>
      </c>
      <c r="AE247" s="1">
        <f>IF(C247=0,0,VLOOKUP($A247,'Fleet register'!$A$7:$S$106,8,FALSE))</f>
        <v>0</v>
      </c>
      <c r="AF247" s="1" t="str">
        <f>IF('Replacement plan'!$H$67="","n.a.",'Replacement plan'!$H$67)</f>
        <v>n.a.</v>
      </c>
      <c r="AG247" s="1">
        <f>'Replacement plan'!$J$67</f>
        <v>22</v>
      </c>
      <c r="AH247" s="1">
        <f>IFERROR(IF(D247="EV",IF('Replacement plan'!$K$67="AC",IF(ISNUMBER(INDEX(Products!$G$7:$G$13,MATCH('Replacement plan'!$B$67,Products!$A$7:$A$13,0))),INDEX(Products!$G$7:$G$13,MATCH('Replacement plan'!$B$67,Products!$A$7:$A$13,0)),"n.a."),IF(ISNUMBER(INDEX(Products!$H$7:$H$13,MATCH('Replacement plan'!$B$67,Products!$A$7:$A$13,0))),INDEX(Products!$H$7:$H$13,MATCH('Replacement plan'!$B$67,Products!$A$7:$A$13,0)),"n.a.")),0),"n.a.")</f>
        <v>0</v>
      </c>
      <c r="AI247" s="1">
        <f>IF(AND(C247=1,D247="EV",E247&lt;120),(VLOOKUP($A247,'Fleet register'!$A$7:$S$106,7,FALSE)+IF(T247&gt;0,'Operating costs'!$B$12,0))*U247*(1-'Operating costs'!$B$44)+'Operating costs'!$B$49,0)</f>
        <v>0</v>
      </c>
      <c r="AJ247" s="1">
        <f>IF(D247="EV",'Energy and charging'!$B$50,0)</f>
        <v>0</v>
      </c>
      <c r="AK247" s="17">
        <f>EDATE('Operating costs'!$B$63,E247)</f>
        <v>46298</v>
      </c>
      <c r="AL247" s="1">
        <f>IFERROR(IF(D247="EV",INDEX(Products!$B$7:$B$13,MATCH('Replacement plan'!$B$67,Products!$A$7:$A$13,0)),0),"n.a.")</f>
        <v>0</v>
      </c>
      <c r="AM247" s="1" t="str">
        <f>'Replacement plan'!$K$67</f>
        <v>DC</v>
      </c>
      <c r="AN247" s="1" t="str">
        <f>'Replacement plan'!$AE$67</f>
        <v>Assumed</v>
      </c>
      <c r="AO247" s="47">
        <f>IF(AND(C247=1,D247="EV",E247&lt;120),(R247-'Operating costs'!$B$41)*S247+W247*'Operating costs'!$B$12,0)</f>
        <v>0</v>
      </c>
      <c r="AP247" s="41">
        <f>IF(AND(C247=1,D247="EV",E247&lt;120),IF('Operating costs'!$B$68="Hong Seh 200k average",AO247*IFERROR(INDEX(Products!$P$7:$P$13,MATCH(AD247,Products!$A$7:$A$13,0)),"n.a."),'Operating costs'!$B$26),0)</f>
        <v>0</v>
      </c>
      <c r="AQ247" s="40" t="str">
        <f>IF(D247="EV",'Operating costs'!$B$68,"Not applicable")</f>
        <v>Not applicable</v>
      </c>
    </row>
    <row r="248" spans="1:43" ht="24" customHeight="1">
      <c r="A248" s="1" t="str">
        <f>'Replacement plan'!A67</f>
        <v>T061</v>
      </c>
      <c r="B248" s="1">
        <v>1</v>
      </c>
      <c r="C248" s="1">
        <f>IF(COUNTIFS('Fleet register'!$A$7:$A$106,$A248)=1,VLOOKUP($A248,'Fleet register'!$A$7:$S$106,2,FALSE),0)</f>
        <v>0</v>
      </c>
      <c r="D248" s="1" t="str">
        <f>IF("New ICE"="EV","EV","ICE")</f>
        <v>ICE</v>
      </c>
      <c r="E248" s="1">
        <f>IF(C248=0,0,0)</f>
        <v>0</v>
      </c>
      <c r="F248" s="16">
        <f>IF(C248=0,0,VLOOKUP($A248,'Fleet register'!$A$7:$S$106,11,FALSE))</f>
        <v>0</v>
      </c>
      <c r="G248" s="16">
        <f>IFERROR(IF(C248=0,0,IF(E248=120,0,IF(D248="ICE",'Replacement plan'!$C$67,IF('Replacement plan'!$D$67="",INDEX(Products!$I$7:$I$13,MATCH('Replacement plan'!$B$67,Products!$A$7:$A$13,0))+'Operating costs'!$B$57,'Replacement plan'!$D$67))*(1+'Operating costs'!$B$50)^(E248/12))),"n.a.")</f>
        <v>0</v>
      </c>
      <c r="H248" s="16">
        <f>IFERROR(IF(C248=0,0,IF(E248=0,F248,VLOOKUP($A248,'Fleet register'!$A$7:$S$106,12,FALSE)+VLOOKUP($A248,'Fleet register'!$A$7:$S$106,13,FALSE)*MAX(0,VLOOKUP($A248,'Fleet register'!$A$7:$S$106,10,FALSE)-E248)/VLOOKUP($A248,'Fleet register'!$A$7:$S$106,14,FALSE))),"n.a.")</f>
        <v>0</v>
      </c>
      <c r="I248" s="16">
        <f>IF(C248=0,0,IF(E248=120,0,IF('Replacement plan'!$AI$67="",'Operating costs'!$B$56,'Replacement plan'!$AI$67)))</f>
        <v>0</v>
      </c>
      <c r="J248" s="16">
        <f>IF(C248=0,0,IF(P248="Complete",((S248*(R248-'Operating costs'!$B$39))+ROUNDUP(S248*(R248-'Operating costs'!$B$39)*IF('Replacement plan'!$AG$67="",'Operating costs'!$B$7,'Replacement plan'!$AG$67)/('Operating costs'!$B$8-'Operating costs'!$B$9*IF('Replacement plan'!$AG$67="",'Operating costs'!$B$7,'Replacement plan'!$AG$67)),0)*'Operating costs'!$B$9)*IF('Replacement plan'!$AG$67="",'Operating costs'!$B$7,'Replacement plan'!$AG$67)*('Energy and charging'!$B$9*'Energy and charging'!$B$7+(1-'Energy and charging'!$B$9)*'Energy and charging'!$B$8)*'Operating costs'!$B$23,"n.a."))</f>
        <v>0</v>
      </c>
      <c r="K248" s="16">
        <f>IF(C248=0,0,IF(P248="Complete",SUM('Operating costs'!$B$24,'Operating costs'!$B$27,'Operating costs'!$B$29,'Operating costs'!$B$31,'Operating costs'!$B$33,'Operating costs'!$B$34,'Operating costs'!$B$37,'Replacement plan'!$W$67)+'Operating costs'!$B$39*'Operating costs'!$B$42+ROUNDUP(S248*(R248-'Operating costs'!$B$39)*IF('Replacement plan'!$AG$67="",'Operating costs'!$B$7,'Replacement plan'!$AG$67)/('Operating costs'!$B$8-'Operating costs'!$B$9*IF('Replacement plan'!$AG$67="",'Operating costs'!$B$7,'Replacement plan'!$AG$67)),0)*('Operating costs'!$B$9/'Operating costs'!$B$11+'Operating costs'!$B$10/60)*'Operating costs'!$B$19*'Operating costs'!$B$21,"n.a."))</f>
        <v>0</v>
      </c>
      <c r="L248" s="16">
        <f>IF(C248=0,0,IF(P248="Complete",IF(D248="EV",X248*((1-T248)*'Energy and charging'!$B$10+T248*'Energy and charging'!$B$11)*'Operating costs'!$B$22,AA248*('Energy and charging'!$B$9*'Energy and charging'!$B$7+(1-'Energy and charging'!$B$9)*'Energy and charging'!$B$8)*'Operating costs'!$B$23),"n.a."))</f>
        <v>0</v>
      </c>
      <c r="M248" s="37">
        <f>IF(C248=0,0,IF(P248="Complete",IF(D248="ICE",SUM('Operating costs'!$B$25,'Operating costs'!$B$27,'Operating costs'!$B$29,'Operating costs'!$B$31,'Operating costs'!$B$33,'Operating costs'!$B$35,'Operating costs'!$B$37,'Replacement plan'!$X$67)+'Operating costs'!$B$40*'Operating costs'!$B$42+ROUNDUP(S248*(R248-'Operating costs'!$B$40)*IF('Replacement plan'!$AH$67="",'Operating costs'!$B$7,'Replacement plan'!$AH$67)/('Operating costs'!$B$8-'Operating costs'!$B$9*IF('Replacement plan'!$AH$67="",'Operating costs'!$B$7,'Replacement plan'!$AH$67)),0)*('Operating costs'!$B$9/'Operating costs'!$B$11+'Operating costs'!$B$10/60)*'Operating costs'!$B$19*'Operating costs'!$B$21,SUM(AP248,'Operating costs'!$B$28,'Operating costs'!$B$30,'Operating costs'!$B$32,'Operating costs'!$B$33,'Operating costs'!$B$36,'Operating costs'!$B$38,'Replacement plan'!$Y$67)+'Operating costs'!$B$41*'Operating costs'!$B$43+W248*'Operating costs'!$B$15+(T248*X248/'Replacement plan'!$L$67+W248*('Operating costs'!$B$12/'Operating costs'!$B$11+('Operating costs'!$B$13+'Operating costs'!$B$14)/60)+(R248-'Operating costs'!$B$41)*(IF(T248&lt;1,'Operating costs'!$B$16,0)+'Operating costs'!$B$17)/60)*'Operating costs'!$B$19*'Operating costs'!$B$20),"n.a."))</f>
        <v>0</v>
      </c>
      <c r="N248" s="16">
        <f>IF(AND(C248=1,D248="EV",E248&lt;120,E248+'Replacement plan'!$AA$67&lt;=120),'Replacement plan'!$Z$67,0)</f>
        <v>0</v>
      </c>
      <c r="O248" s="1">
        <f>E248+'Replacement plan'!$AA$67</f>
        <v>0</v>
      </c>
      <c r="P248" s="35" t="str">
        <f>IFERROR(IF(C248=0,"Excluded",IF(OR(COUNTIFS('Fleet register'!$A$7:$A$106,A248)&lt;&gt;1,COUNTIFS('Replacement plan'!$A$7:$A$106,A248)&lt;&gt;1),"Duplicate/missing ID",IF(NOT(AND(ISNUMBER(VLOOKUP($A248,'Fleet register'!$A$7:$S$106,5,FALSE)),ISNUMBER(VLOOKUP($A248,'Fleet register'!$A$7:$S$106,6,FALSE)),ISNUMBER(VLOOKUP($A248,'Fleet register'!$A$7:$S$106,10,FALSE)),ISNUMBER(VLOOKUP($A248,'Fleet register'!$A$7:$S$106,11,FALSE)),ISNUMBER(VLOOKUP($A248,'Fleet register'!$A$7:$S$106,12,FALSE)),ISNUMBER(VLOOKUP($A248,'Fleet register'!$A$7:$S$106,13,FALSE)),ISNUMBER(VLOOKUP($A248,'Fleet register'!$A$7:$S$106,14,FALSE)),VLOOKUP($A248,'Fleet register'!$A$7:$S$106,14,FALSE)&gt;0,ISNUMBER('Replacement plan'!$C$67),OR(E248=120,OR(ISNUMBER('Replacement plan'!$AI$67),AND('Replacement plan'!$AI$67="",ISNUMBER('Operating costs'!$B$56)))),ISNUMBER(E248))),"Missing vehicle input",IF(OR(E248&lt;0,E248&gt;VLOOKUP($A248,'Fleet register'!$A$7:$S$106,10,FALSE),E248&gt;120,E248&lt;&gt;INT(E248),VLOOKUP($A248,'Fleet register'!$A$7:$S$106,6,FALSE)&lt;=0,VLOOKUP($A248,'Fleet register'!$A$7:$S$106,6,FALSE)&gt;366,VLOOKUP($A248,'Fleet register'!$A$7:$S$106,5,FALSE)&lt;0,VLOOKUP($A248,'Fleet register'!$A$7:$S$106,11,FALSE)&lt;0,I248&lt;0,'Operating costs'!$B$8&lt;='Operating costs'!$B$7*'Operating costs'!$B$9,'Operating costs'!$B$11&lt;=0,'Operating costs'!$B$39&gt;R248,'Operating costs'!$B$40&gt;R248,'Operating costs'!$B$41&gt;R248,NOT(OR("New ICE"="Keep ICE","New ICE"="New ICE","New ICE"="EV"))),"Invalid vehicle input",IF(AND(D248="EV",E248&lt;120,OR(NOT(ISNUMBER(U248)),NOT(ISNUMBER(V248)),V248&lt;=0,T248&lt;0,T248&gt;1,'Replacement plan'!$L$67&lt;=0,'Operating costs'!$B$44&lt;0,'Operating costs'!$B$44&gt;=1,'Operating costs'!$B$47&lt;=0,'Operating costs'!$B$47&gt;1,V248*'Operating costs'!$B$47/(1-'Operating costs'!$B$44)&lt;=T248*'Operating costs'!$B$12*U248,AND('Replacement plan'!$Z$67&gt;0,OR('Replacement plan'!$AB$67&lt;&gt;"Yes",'Operating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charging'!$B$8&gt;=0))),ISNUMBER(VLOOKUP($A248,'Fleet register'!$A$7:$S$106,15,FALSE)),ISNUMBER(VLOOKUP($A248,'Fleet register'!$A$7:$S$106,16,FALSE)),ISNUMBER('Replacement plan'!$W$67),ISNUMBER('Replacement plan'!$X$67),OR(E248=120,AND(ISNUMBER(G248),G248&gt;=0)),ISNUMBER(H248),H248&gt;=0,OR(D248&lt;&gt;"EV",E248=120,AND(ISNUMBER('Operating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average",ISNUMBER(IFERROR(INDEX(Products!$P$7:$P$13,MATCH(AD248,Products!$A$7:$A$13,0)),"")))),ISNUMBER('Operating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plan'!$Y$67),ISNUMBER('Replacement plan'!$Z$67),'Replacement plan'!$Z$67&gt;=0,ISNUMBER('Replacement plan'!$AA$67),'Replacement plan'!$AA$67&gt;=0,'Replacement plan'!$AA$67=INT('Replacement plan'!$AA$67),ISNUMBER('Replacement plan'!$L$67))),'Operating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plan'!$AG$67="",'Operating costs'!$B$7,'Replacement plan'!$AG$67)),IF('Replacement plan'!$AG$67="",'Operating costs'!$B$7,'Replacement plan'!$AG$67)&gt;=0,ISNUMBER(IF('Replacement plan'!$AH$67="",'Operating costs'!$B$7,'Replacement plan'!$AH$67)),IF('Replacement plan'!$AH$67="",'Operating costs'!$B$7,'Replacement plan'!$AH$67)&gt;=0,'Operating costs'!$B$8&gt;MAX(IF('Replacement plan'!$AG$67="",'Operating costs'!$B$7,'Replacement plan'!$AG$67),IF('Replacement plan'!$AH$67="",'Operating costs'!$B$7,'Replacement plan'!$AH$67))*'Operating costs'!$B$9),IF(AND(VLOOKUP($A248,'Fleet register'!$A$7:$S$106,10,FALSE)&gt;=0,VLOOKUP($A248,'Fleet register'!$A$7:$S$106,10,FALSE)&lt;=120,VLOOKUP($A248,'Fleet register'!$A$7:$S$106,10,FALSE)=INT(VLOOKUP($A248,'Fleet register'!$A$7:$S$106,10,FALSE)),VLOOKUP($A248,'Fleet register'!$A$7:$S$106,15,FALSE)&gt;=0,VLOOKUP($A248,'Fleet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costs'!$B$67)&gt;=0,OR(D248&lt;&gt;"EV",E248=120,AND(MIN('Operating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48" s="1" t="str">
        <f>IF(C248=0,"Excluded",IF(P248&lt;&gt;"Complete",P248,IF(OR('Replacement plan'!$AD$67&lt;120-E248,AND(D248="EV",E248&lt;120,OR('Replacement plan'!$AC$67&lt;120-E248,'Replacement plan'!$I$67="No",AND(ISNUMBER(AF248),AE248&gt;AF248),AI248&gt;V248*(1-'Operating costs'!$B$46)^MAX(0,AB248-1)*(1-'Operating costs'!$B$45),AC248&gt;'Operating costs'!$B$18,AND(T248&lt;1,OR(AG248&lt;=0,AND(ISNUMBER(AH248),AG248&gt;AH248))),'Replacement plan'!$L$67&gt;INDEX(Products!$H$7:$H$13,MATCH('Replacement plan'!$B$67,Products!$A$7:$A$13,0))))),"Fails entered limits",IF(AND(D248="EV",E248&lt;120,OR(NOT(ISNUMBER(VLOOKUP($A248,'Fleet register'!$A$7:$S$106,7,FALSE))),NOT(ISNUMBER(VLOOKUP($A248,'Fleet register'!$A$7:$S$106,8,FALSE))),NOT(ISNUMBER(AF248)),'Replacement plan'!$I$67&lt;&gt;"Yes",NOT(ISNUMBER(AH248)),'Operating costs'!$B$59&lt;&gt;"Yes",'Operating costs'!$B$58&lt;&gt;"Yes")),"Unverified","Within entered limits"))))</f>
        <v>Excluded</v>
      </c>
      <c r="R248" s="1">
        <f>IF(C248=0,0,VLOOKUP($A248,'Fleet register'!$A$7:$S$106,6,FALSE))</f>
        <v>0</v>
      </c>
      <c r="S248" s="1">
        <f>IF(C248=0,0,VLOOKUP($A248,'Fleet register'!$A$7:$S$106,5,FALSE))</f>
        <v>0</v>
      </c>
      <c r="T248" s="1">
        <f>IF(D248="EV",'Energy and charging'!$B$12,0)</f>
        <v>0</v>
      </c>
      <c r="U248" s="1">
        <f>IFERROR(IF(C248=0,0,IF(D248="EV",IF('Replacement plan'!$F$67="",INDEX(Products!$E$7:$E$13,MATCH('Replacement plan'!$B$67,Products!$A$7:$A$13,0)),'Replacement plan'!$F$67)/IF('Replacement plan'!$G$67="Battery",1-'Operating costs'!$B$44,1),0)),"n.a.")</f>
        <v>0</v>
      </c>
      <c r="V248" s="1">
        <f>IFERROR(IF(C248=0,0,IF(D248="EV",IF('Replacement plan'!$E$67="",INDEX(Products!$D$7:$D$13,MATCH('Replacement plan'!$B$67,Products!$A$7:$A$13,0)),'Replacement plan'!$E$67),0)),"n.a.")</f>
        <v>0</v>
      </c>
      <c r="W248" s="1">
        <f>IF(C248=0,0,IF(AND(P248="Complete",D248="EV",E248&lt;120),IF(T248=0,0,ROUNDUP(T248*(R248-'Operating costs'!$B$41)*(S248*U248+'Operating costs'!$B$48/(1-'Operating costs'!$B$44))/(V248*'Operating costs'!$B$47/(1-'Operating costs'!$B$44)-T248*'Operating costs'!$B$12*U248),0)),0))</f>
        <v>0</v>
      </c>
      <c r="X248" s="1">
        <f>IF(C248=0,0,IF(AND(P248="Complete",D248="EV",E248&lt;120),(R248-'Operating costs'!$B$41)*(S248*U248+'Operating costs'!$B$48/(1-'Operating costs'!$B$44))+W248*'Operating costs'!$B$12*U248,0))</f>
        <v>0</v>
      </c>
      <c r="Y248" s="1">
        <f>IF(AND(C248=1,D248="EV",E248&lt;120),AI248/(1-'Operating costs'!$B$44)*(1-T248),0)</f>
        <v>0</v>
      </c>
      <c r="Z248" s="1">
        <f t="shared" si="6"/>
        <v>0</v>
      </c>
      <c r="AA248" s="1">
        <f>IF(C248=0,0,IF(P248="Complete",((S248*(R248-'Operating costs'!$B$40))+ROUNDUP(S248*(R248-'Operating costs'!$B$40)*IF('Replacement plan'!$AH$67="",'Operating costs'!$B$7,'Replacement plan'!$AH$67)/('Operating costs'!$B$8-'Operating costs'!$B$9*IF('Replacement plan'!$AH$67="",'Operating costs'!$B$7,'Replacement plan'!$AH$67)),0)*'Operating costs'!$B$9)*IF('Replacement plan'!$AH$67="",'Operating costs'!$B$7,'Replacement plan'!$AH$67),"n.a."))</f>
        <v>0</v>
      </c>
      <c r="AB248" s="1">
        <f t="shared" si="7"/>
        <v>0</v>
      </c>
      <c r="AC248" s="1">
        <f>IF(AND(C248=1,D248="EV",E248&lt;120,T248&gt;0),'Operating costs'!$B$12/'Operating costs'!$B$11*60+'Operating costs'!$B$13+'Operating costs'!$B$14+V248*'Operating costs'!$B$47/(1-'Operating costs'!$B$44)/'Replacement plan'!$L$67*60,0)</f>
        <v>0</v>
      </c>
      <c r="AD248" s="1" t="str">
        <f>'Replacement plan'!$B$67</f>
        <v>ChengLong L2EV</v>
      </c>
      <c r="AE248" s="1">
        <f>IF(C248=0,0,VLOOKUP($A248,'Fleet register'!$A$7:$S$106,8,FALSE))</f>
        <v>0</v>
      </c>
      <c r="AF248" s="1" t="str">
        <f>IF('Replacement plan'!$H$67="","n.a.",'Replacement plan'!$H$67)</f>
        <v>n.a.</v>
      </c>
      <c r="AG248" s="1">
        <f>'Replacement plan'!$J$67</f>
        <v>22</v>
      </c>
      <c r="AH248" s="1">
        <f>IFERROR(IF(D248="EV",IF('Replacement plan'!$K$67="AC",IF(ISNUMBER(INDEX(Products!$G$7:$G$13,MATCH('Replacement plan'!$B$67,Products!$A$7:$A$13,0))),INDEX(Products!$G$7:$G$13,MATCH('Replacement plan'!$B$67,Products!$A$7:$A$13,0)),"n.a."),IF(ISNUMBER(INDEX(Products!$H$7:$H$13,MATCH('Replacement plan'!$B$67,Products!$A$7:$A$13,0))),INDEX(Products!$H$7:$H$13,MATCH('Replacement plan'!$B$67,Products!$A$7:$A$13,0)),"n.a.")),0),"n.a.")</f>
        <v>0</v>
      </c>
      <c r="AI248" s="1">
        <f>IF(AND(C248=1,D248="EV",E248&lt;120),(VLOOKUP($A248,'Fleet register'!$A$7:$S$106,7,FALSE)+IF(T248&gt;0,'Operating costs'!$B$12,0))*U248*(1-'Operating costs'!$B$44)+'Operating costs'!$B$49,0)</f>
        <v>0</v>
      </c>
      <c r="AJ248" s="1">
        <f>IF(D248="EV",'Energy and charging'!$B$50,0)</f>
        <v>0</v>
      </c>
      <c r="AK248" s="17">
        <f>EDATE('Operating costs'!$B$63,E248)</f>
        <v>46298</v>
      </c>
      <c r="AL248" s="1">
        <f>IFERROR(IF(D248="EV",INDEX(Products!$B$7:$B$13,MATCH('Replacement plan'!$B$67,Products!$A$7:$A$13,0)),0),"n.a.")</f>
        <v>0</v>
      </c>
      <c r="AM248" s="1" t="str">
        <f>'Replacement plan'!$K$67</f>
        <v>DC</v>
      </c>
      <c r="AN248" s="1" t="str">
        <f>'Replacement plan'!$AE$67</f>
        <v>Assumed</v>
      </c>
      <c r="AO248" s="47">
        <f>IF(AND(C248=1,D248="EV",E248&lt;120),(R248-'Operating costs'!$B$41)*S248+W248*'Operating costs'!$B$12,0)</f>
        <v>0</v>
      </c>
      <c r="AP248" s="41">
        <f>IF(AND(C248=1,D248="EV",E248&lt;120),IF('Operating costs'!$B$68="Hong Seh 200k average",AO248*IFERROR(INDEX(Products!$P$7:$P$13,MATCH(AD248,Products!$A$7:$A$13,0)),"n.a."),'Operating costs'!$B$26),0)</f>
        <v>0</v>
      </c>
      <c r="AQ248" s="40" t="str">
        <f>IF(D248="EV",'Operating costs'!$B$68,"Not applicable")</f>
        <v>Not applicable</v>
      </c>
    </row>
    <row r="249" spans="1:43" ht="24" customHeight="1">
      <c r="A249" s="1" t="str">
        <f>'Replacement plan'!A67</f>
        <v>T061</v>
      </c>
      <c r="B249" s="1">
        <v>2</v>
      </c>
      <c r="C249" s="1">
        <f>IF(COUNTIFS('Fleet register'!$A$7:$A$106,$A249)=1,VLOOKUP($A249,'Fleet register'!$A$7:$S$106,2,FALSE),0)</f>
        <v>0</v>
      </c>
      <c r="D249" s="1" t="str">
        <f>IF('Replacement plan'!$O$67="EV","EV","ICE")</f>
        <v>ICE</v>
      </c>
      <c r="E249" s="1">
        <f>IF(C249=0,0,IF('Replacement plan'!$P$67="",IF('Replacement plan'!$O$67="Keep ICE",IF('Replacement plan'!$M$67="",VLOOKUP($A249,'Fleet register'!$A$7:$S$106,10,FALSE),'Replacement plan'!$M$67),0),'Replacement plan'!$P$67))</f>
        <v>0</v>
      </c>
      <c r="F249" s="16">
        <f>IF(C249=0,0,VLOOKUP($A249,'Fleet register'!$A$7:$S$106,11,FALSE))</f>
        <v>0</v>
      </c>
      <c r="G249" s="16">
        <f>IFERROR(IF(C249=0,0,IF(E249=120,0,IF(D249="ICE",'Replacement plan'!$C$67,IF('Replacement plan'!$D$67="",INDEX(Products!$I$7:$I$13,MATCH('Replacement plan'!$B$67,Products!$A$7:$A$13,0))+'Operating costs'!$B$57,'Replacement plan'!$D$67))*(1+'Operating costs'!$B$50)^(E249/12))),"n.a.")</f>
        <v>0</v>
      </c>
      <c r="H249" s="16">
        <f>IFERROR(IF(C249=0,0,IF('Replacement plan'!$U$67&lt;&gt;"",'Replacement plan'!$U$67,IF(E249=0,F249,VLOOKUP($A249,'Fleet register'!$A$7:$S$106,12,FALSE)+VLOOKUP($A249,'Fleet register'!$A$7:$S$106,13,FALSE)*MAX(0,VLOOKUP($A249,'Fleet register'!$A$7:$S$106,10,FALSE)-E249)/VLOOKUP($A249,'Fleet register'!$A$7:$S$106,14,FALSE)))),"n.a.")</f>
        <v>0</v>
      </c>
      <c r="I249" s="16">
        <f>IF(C249=0,0,IF(E249=120,0,'Replacement plan'!$Q$67))</f>
        <v>0</v>
      </c>
      <c r="J249" s="16">
        <f>IF(C249=0,0,IF(P249="Complete",((S249*(R249-'Operating costs'!$B$39))+ROUNDUP(S249*(R249-'Operating costs'!$B$39)*IF('Replacement plan'!$AG$67="",'Operating costs'!$B$7,'Replacement plan'!$AG$67)/('Operating costs'!$B$8-'Operating costs'!$B$9*IF('Replacement plan'!$AG$67="",'Operating costs'!$B$7,'Replacement plan'!$AG$67)),0)*'Operating costs'!$B$9)*IF('Replacement plan'!$AG$67="",'Operating costs'!$B$7,'Replacement plan'!$AG$67)*('Energy and charging'!$B$9*'Energy and charging'!$B$7+(1-'Energy and charging'!$B$9)*'Energy and charging'!$B$8)*'Operating costs'!$B$23,"n.a."))</f>
        <v>0</v>
      </c>
      <c r="K249" s="16">
        <f>IF(C249=0,0,IF(P249="Complete",SUM('Operating costs'!$B$24,'Operating costs'!$B$27,'Operating costs'!$B$29,'Operating costs'!$B$31,'Operating costs'!$B$33,'Operating costs'!$B$34,'Operating costs'!$B$37,'Replacement plan'!$W$67)+'Operating costs'!$B$39*'Operating costs'!$B$42+ROUNDUP(S249*(R249-'Operating costs'!$B$39)*IF('Replacement plan'!$AG$67="",'Operating costs'!$B$7,'Replacement plan'!$AG$67)/('Operating costs'!$B$8-'Operating costs'!$B$9*IF('Replacement plan'!$AG$67="",'Operating costs'!$B$7,'Replacement plan'!$AG$67)),0)*('Operating costs'!$B$9/'Operating costs'!$B$11+'Operating costs'!$B$10/60)*'Operating costs'!$B$19*'Operating costs'!$B$21,"n.a."))</f>
        <v>0</v>
      </c>
      <c r="L249" s="16">
        <f>IF(C249=0,0,IF(P249="Complete",IF(D249="EV",X249*((1-T249)*'Energy and charging'!$B$10+T249*'Energy and charging'!$B$11)*'Operating costs'!$B$22,AA249*('Energy and charging'!$B$9*'Energy and charging'!$B$7+(1-'Energy and charging'!$B$9)*'Energy and charging'!$B$8)*'Operating costs'!$B$23),"n.a."))</f>
        <v>0</v>
      </c>
      <c r="M249" s="37">
        <f>IF(C249=0,0,IF(P249="Complete",IF(D249="ICE",SUM('Operating costs'!$B$25,'Operating costs'!$B$27,'Operating costs'!$B$29,'Operating costs'!$B$31,'Operating costs'!$B$33,'Operating costs'!$B$35,'Operating costs'!$B$37,'Replacement plan'!$X$67)+'Operating costs'!$B$40*'Operating costs'!$B$42+ROUNDUP(S249*(R249-'Operating costs'!$B$40)*IF('Replacement plan'!$AH$67="",'Operating costs'!$B$7,'Replacement plan'!$AH$67)/('Operating costs'!$B$8-'Operating costs'!$B$9*IF('Replacement plan'!$AH$67="",'Operating costs'!$B$7,'Replacement plan'!$AH$67)),0)*('Operating costs'!$B$9/'Operating costs'!$B$11+'Operating costs'!$B$10/60)*'Operating costs'!$B$19*'Operating costs'!$B$21,SUM(AP249,'Operating costs'!$B$28,'Operating costs'!$B$30,'Operating costs'!$B$32,'Operating costs'!$B$33,'Operating costs'!$B$36,'Operating costs'!$B$38,'Replacement plan'!$Y$67)+'Operating costs'!$B$41*'Operating costs'!$B$43+W249*'Operating costs'!$B$15+(T249*X249/'Replacement plan'!$L$67+W249*('Operating costs'!$B$12/'Operating costs'!$B$11+('Operating costs'!$B$13+'Operating costs'!$B$14)/60)+(R249-'Operating costs'!$B$41)*(IF(T249&lt;1,'Operating costs'!$B$16,0)+'Operating costs'!$B$17)/60)*'Operating costs'!$B$19*'Operating costs'!$B$20),"n.a."))</f>
        <v>0</v>
      </c>
      <c r="N249" s="16">
        <f>IF(AND(C249=1,D249="EV",E249&lt;120,E249+'Replacement plan'!$AA$67&lt;=120),'Replacement plan'!$Z$67,0)</f>
        <v>0</v>
      </c>
      <c r="O249" s="1">
        <f>E249+'Replacement plan'!$AA$67</f>
        <v>0</v>
      </c>
      <c r="P249" s="35" t="str">
        <f>IFERROR(IF(C249=0,"Excluded",IF(OR(COUNTIFS('Fleet register'!$A$7:$A$106,A249)&lt;&gt;1,COUNTIFS('Replacement plan'!$A$7:$A$106,A249)&lt;&gt;1),"Duplicate/missing ID",IF(NOT(AND(ISNUMBER(VLOOKUP($A249,'Fleet register'!$A$7:$S$106,5,FALSE)),ISNUMBER(VLOOKUP($A249,'Fleet register'!$A$7:$S$106,6,FALSE)),ISNUMBER(VLOOKUP($A249,'Fleet register'!$A$7:$S$106,10,FALSE)),ISNUMBER(VLOOKUP($A249,'Fleet register'!$A$7:$S$106,11,FALSE)),ISNUMBER(VLOOKUP($A249,'Fleet register'!$A$7:$S$106,12,FALSE)),ISNUMBER(VLOOKUP($A249,'Fleet register'!$A$7:$S$106,13,FALSE)),ISNUMBER(VLOOKUP($A249,'Fleet register'!$A$7:$S$106,14,FALSE)),VLOOKUP($A249,'Fleet register'!$A$7:$S$106,14,FALSE)&gt;0,ISNUMBER('Replacement plan'!$C$67),OR(E249=120,ISNUMBER('Replacement plan'!$Q$67)),ISNUMBER(E249))),"Missing vehicle input",IF(OR(E249&lt;0,E249&gt;VLOOKUP($A249,'Fleet register'!$A$7:$S$106,10,FALSE),E249&gt;120,E249&lt;&gt;INT(E249),VLOOKUP($A249,'Fleet register'!$A$7:$S$106,6,FALSE)&lt;=0,VLOOKUP($A249,'Fleet register'!$A$7:$S$106,6,FALSE)&gt;366,VLOOKUP($A249,'Fleet register'!$A$7:$S$106,5,FALSE)&lt;0,VLOOKUP($A249,'Fleet register'!$A$7:$S$106,11,FALSE)&lt;0,I249&lt;0,'Operating costs'!$B$8&lt;='Operating costs'!$B$7*'Operating costs'!$B$9,'Operating costs'!$B$11&lt;=0,'Operating costs'!$B$39&gt;R249,'Operating costs'!$B$40&gt;R249,'Operating costs'!$B$41&gt;R249,NOT(OR('Replacement plan'!$O$67="Keep ICE",'Replacement plan'!$O$67="New ICE",'Replacement plan'!$O$67="EV"))),"Invalid vehicle input",IF(AND(D249="EV",E249&lt;120,OR(NOT(ISNUMBER(U249)),NOT(ISNUMBER(V249)),V249&lt;=0,T249&lt;0,T249&gt;1,'Replacement plan'!$L$67&lt;=0,'Operating costs'!$B$44&lt;0,'Operating costs'!$B$44&gt;=1,'Operating costs'!$B$47&lt;=0,'Operating costs'!$B$47&gt;1,V249*'Operating costs'!$B$47/(1-'Operating costs'!$B$44)&lt;=T249*'Operating costs'!$B$12*U249,AND('Replacement plan'!$Z$67&gt;0,OR('Replacement plan'!$AB$67&lt;&gt;"Yes",'Operating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charging'!$B$8&gt;=0))),ISNUMBER(VLOOKUP($A249,'Fleet register'!$A$7:$S$106,15,FALSE)),ISNUMBER(VLOOKUP($A249,'Fleet register'!$A$7:$S$106,16,FALSE)),ISNUMBER('Replacement plan'!$W$67),ISNUMBER('Replacement plan'!$X$67),OR(E249=120,AND(ISNUMBER(G249),G249&gt;=0)),ISNUMBER(H249),H249&gt;=0,OR(D249&lt;&gt;"EV",E249=120,AND(ISNUMBER('Operating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average",ISNUMBER(IFERROR(INDEX(Products!$P$7:$P$13,MATCH(AD249,Products!$A$7:$A$13,0)),"")))),ISNUMBER('Operating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plan'!$Y$67),ISNUMBER('Replacement plan'!$Z$67),'Replacement plan'!$Z$67&gt;=0,ISNUMBER('Replacement plan'!$AA$67),'Replacement plan'!$AA$67&gt;=0,'Replacement plan'!$AA$67=INT('Replacement plan'!$AA$67),ISNUMBER('Replacement plan'!$L$67))),'Operating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plan'!$AG$67="",'Operating costs'!$B$7,'Replacement plan'!$AG$67)),IF('Replacement plan'!$AG$67="",'Operating costs'!$B$7,'Replacement plan'!$AG$67)&gt;=0,ISNUMBER(IF('Replacement plan'!$AH$67="",'Operating costs'!$B$7,'Replacement plan'!$AH$67)),IF('Replacement plan'!$AH$67="",'Operating costs'!$B$7,'Replacement plan'!$AH$67)&gt;=0,'Operating costs'!$B$8&gt;MAX(IF('Replacement plan'!$AG$67="",'Operating costs'!$B$7,'Replacement plan'!$AG$67),IF('Replacement plan'!$AH$67="",'Operating costs'!$B$7,'Replacement plan'!$AH$67))*'Operating costs'!$B$9),IF(AND(VLOOKUP($A249,'Fleet register'!$A$7:$S$106,10,FALSE)&gt;=0,VLOOKUP($A249,'Fleet register'!$A$7:$S$106,10,FALSE)&lt;=120,VLOOKUP($A249,'Fleet register'!$A$7:$S$106,10,FALSE)=INT(VLOOKUP($A249,'Fleet register'!$A$7:$S$106,10,FALSE)),VLOOKUP($A249,'Fleet register'!$A$7:$S$106,15,FALSE)&gt;=0,VLOOKUP($A249,'Fleet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costs'!$B$67)&gt;=0,OR(D249&lt;&gt;"EV",E249=120,AND(MIN('Operating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49" s="1" t="str">
        <f>IF(C249=0,"Excluded",IF(P249&lt;&gt;"Complete",P249,IF(OR('Replacement plan'!$AD$67&lt;120-E249,AND(D249="EV",E249&lt;120,OR('Replacement plan'!$AC$67&lt;120-E249,'Replacement plan'!$I$67="No",AND(ISNUMBER(AF249),AE249&gt;AF249),AI249&gt;V249*(1-'Operating costs'!$B$46)^MAX(0,AB249-1)*(1-'Operating costs'!$B$45),AC249&gt;'Operating costs'!$B$18,AND(T249&lt;1,OR(AG249&lt;=0,AND(ISNUMBER(AH249),AG249&gt;AH249))),'Replacement plan'!$L$67&gt;INDEX(Products!$H$7:$H$13,MATCH('Replacement plan'!$B$67,Products!$A$7:$A$13,0))))),"Fails entered limits",IF(AND(D249="EV",E249&lt;120,OR(NOT(ISNUMBER(VLOOKUP($A249,'Fleet register'!$A$7:$S$106,7,FALSE))),NOT(ISNUMBER(VLOOKUP($A249,'Fleet register'!$A$7:$S$106,8,FALSE))),NOT(ISNUMBER(AF249)),'Replacement plan'!$I$67&lt;&gt;"Yes",NOT(ISNUMBER(AH249)),'Operating costs'!$B$59&lt;&gt;"Yes",'Operating costs'!$B$58&lt;&gt;"Yes")),"Unverified","Within entered limits"))))</f>
        <v>Excluded</v>
      </c>
      <c r="R249" s="1">
        <f>IF(C249=0,0,VLOOKUP($A249,'Fleet register'!$A$7:$S$106,6,FALSE))</f>
        <v>0</v>
      </c>
      <c r="S249" s="1">
        <f>IF(C249=0,0,VLOOKUP($A249,'Fleet register'!$A$7:$S$106,5,FALSE))</f>
        <v>0</v>
      </c>
      <c r="T249" s="1">
        <f>IF(D249="EV",'Energy and charging'!$B$12,0)</f>
        <v>0</v>
      </c>
      <c r="U249" s="1">
        <f>IFERROR(IF(C249=0,0,IF(D249="EV",IF('Replacement plan'!$F$67="",INDEX(Products!$E$7:$E$13,MATCH('Replacement plan'!$B$67,Products!$A$7:$A$13,0)),'Replacement plan'!$F$67)/IF('Replacement plan'!$G$67="Battery",1-'Operating costs'!$B$44,1),0)),"n.a.")</f>
        <v>0</v>
      </c>
      <c r="V249" s="1">
        <f>IFERROR(IF(C249=0,0,IF(D249="EV",IF('Replacement plan'!$E$67="",INDEX(Products!$D$7:$D$13,MATCH('Replacement plan'!$B$67,Products!$A$7:$A$13,0)),'Replacement plan'!$E$67),0)),"n.a.")</f>
        <v>0</v>
      </c>
      <c r="W249" s="1">
        <f>IF(C249=0,0,IF(AND(P249="Complete",D249="EV",E249&lt;120),IF(T249=0,0,ROUNDUP(T249*(R249-'Operating costs'!$B$41)*(S249*U249+'Operating costs'!$B$48/(1-'Operating costs'!$B$44))/(V249*'Operating costs'!$B$47/(1-'Operating costs'!$B$44)-T249*'Operating costs'!$B$12*U249),0)),0))</f>
        <v>0</v>
      </c>
      <c r="X249" s="1">
        <f>IF(C249=0,0,IF(AND(P249="Complete",D249="EV",E249&lt;120),(R249-'Operating costs'!$B$41)*(S249*U249+'Operating costs'!$B$48/(1-'Operating costs'!$B$44))+W249*'Operating costs'!$B$12*U249,0))</f>
        <v>0</v>
      </c>
      <c r="Y249" s="1">
        <f>IF(AND(C249=1,D249="EV",E249&lt;120),AI249/(1-'Operating costs'!$B$44)*(1-T249),0)</f>
        <v>0</v>
      </c>
      <c r="Z249" s="1">
        <f t="shared" si="6"/>
        <v>0</v>
      </c>
      <c r="AA249" s="1">
        <f>IF(C249=0,0,IF(P249="Complete",((S249*(R249-'Operating costs'!$B$40))+ROUNDUP(S249*(R249-'Operating costs'!$B$40)*IF('Replacement plan'!$AH$67="",'Operating costs'!$B$7,'Replacement plan'!$AH$67)/('Operating costs'!$B$8-'Operating costs'!$B$9*IF('Replacement plan'!$AH$67="",'Operating costs'!$B$7,'Replacement plan'!$AH$67)),0)*'Operating costs'!$B$9)*IF('Replacement plan'!$AH$67="",'Operating costs'!$B$7,'Replacement plan'!$AH$67),"n.a."))</f>
        <v>0</v>
      </c>
      <c r="AB249" s="1">
        <f t="shared" si="7"/>
        <v>0</v>
      </c>
      <c r="AC249" s="1">
        <f>IF(AND(C249=1,D249="EV",E249&lt;120,T249&gt;0),'Operating costs'!$B$12/'Operating costs'!$B$11*60+'Operating costs'!$B$13+'Operating costs'!$B$14+V249*'Operating costs'!$B$47/(1-'Operating costs'!$B$44)/'Replacement plan'!$L$67*60,0)</f>
        <v>0</v>
      </c>
      <c r="AD249" s="1" t="str">
        <f>'Replacement plan'!$B$67</f>
        <v>ChengLong L2EV</v>
      </c>
      <c r="AE249" s="1">
        <f>IF(C249=0,0,VLOOKUP($A249,'Fleet register'!$A$7:$S$106,8,FALSE))</f>
        <v>0</v>
      </c>
      <c r="AF249" s="1" t="str">
        <f>IF('Replacement plan'!$H$67="","n.a.",'Replacement plan'!$H$67)</f>
        <v>n.a.</v>
      </c>
      <c r="AG249" s="1">
        <f>'Replacement plan'!$J$67</f>
        <v>22</v>
      </c>
      <c r="AH249" s="1">
        <f>IFERROR(IF(D249="EV",IF('Replacement plan'!$K$67="AC",IF(ISNUMBER(INDEX(Products!$G$7:$G$13,MATCH('Replacement plan'!$B$67,Products!$A$7:$A$13,0))),INDEX(Products!$G$7:$G$13,MATCH('Replacement plan'!$B$67,Products!$A$7:$A$13,0)),"n.a."),IF(ISNUMBER(INDEX(Products!$H$7:$H$13,MATCH('Replacement plan'!$B$67,Products!$A$7:$A$13,0))),INDEX(Products!$H$7:$H$13,MATCH('Replacement plan'!$B$67,Products!$A$7:$A$13,0)),"n.a.")),0),"n.a.")</f>
        <v>0</v>
      </c>
      <c r="AI249" s="1">
        <f>IF(AND(C249=1,D249="EV",E249&lt;120),(VLOOKUP($A249,'Fleet register'!$A$7:$S$106,7,FALSE)+IF(T249&gt;0,'Operating costs'!$B$12,0))*U249*(1-'Operating costs'!$B$44)+'Operating costs'!$B$49,0)</f>
        <v>0</v>
      </c>
      <c r="AJ249" s="1">
        <f>IF(D249="EV",'Energy and charging'!$B$50,0)</f>
        <v>0</v>
      </c>
      <c r="AK249" s="17">
        <f>EDATE('Operating costs'!$B$63,E249)</f>
        <v>46298</v>
      </c>
      <c r="AL249" s="1">
        <f>IFERROR(IF(D249="EV",INDEX(Products!$B$7:$B$13,MATCH('Replacement plan'!$B$67,Products!$A$7:$A$13,0)),0),"n.a.")</f>
        <v>0</v>
      </c>
      <c r="AM249" s="1" t="str">
        <f>'Replacement plan'!$K$67</f>
        <v>DC</v>
      </c>
      <c r="AN249" s="1" t="str">
        <f>'Replacement plan'!$AE$67</f>
        <v>Assumed</v>
      </c>
      <c r="AO249" s="47">
        <f>IF(AND(C249=1,D249="EV",E249&lt;120),(R249-'Operating costs'!$B$41)*S249+W249*'Operating costs'!$B$12,0)</f>
        <v>0</v>
      </c>
      <c r="AP249" s="41">
        <f>IF(AND(C249=1,D249="EV",E249&lt;120),IF('Operating costs'!$B$68="Hong Seh 200k average",AO249*IFERROR(INDEX(Products!$P$7:$P$13,MATCH(AD249,Products!$A$7:$A$13,0)),"n.a."),'Operating costs'!$B$26),0)</f>
        <v>0</v>
      </c>
      <c r="AQ249" s="40" t="str">
        <f>IF(D249="EV",'Operating costs'!$B$68,"Not applicable")</f>
        <v>Not applicable</v>
      </c>
    </row>
    <row r="250" spans="1:43" ht="24" customHeight="1">
      <c r="A250" s="1" t="str">
        <f>'Replacement plan'!A67</f>
        <v>T061</v>
      </c>
      <c r="B250" s="1">
        <v>3</v>
      </c>
      <c r="C250" s="1">
        <f>IF(COUNTIFS('Fleet register'!$A$7:$A$106,$A250)=1,VLOOKUP($A250,'Fleet register'!$A$7:$S$106,2,FALSE),0)</f>
        <v>0</v>
      </c>
      <c r="D250" s="1" t="str">
        <f>IF('Replacement plan'!$R$67="EV","EV","ICE")</f>
        <v>ICE</v>
      </c>
      <c r="E250" s="1">
        <f>IF(C250=0,0,IF('Replacement plan'!$S$67="",IF('Replacement plan'!$R$67="Keep ICE",IF('Replacement plan'!$M$67="",VLOOKUP($A250,'Fleet register'!$A$7:$S$106,10,FALSE),'Replacement plan'!$M$67),0),'Replacement plan'!$S$67))</f>
        <v>0</v>
      </c>
      <c r="F250" s="16">
        <f>IF(C250=0,0,VLOOKUP($A250,'Fleet register'!$A$7:$S$106,11,FALSE))</f>
        <v>0</v>
      </c>
      <c r="G250" s="16">
        <f>IFERROR(IF(C250=0,0,IF(E250=120,0,IF(D250="ICE",'Replacement plan'!$C$67,IF('Replacement plan'!$D$67="",INDEX(Products!$I$7:$I$13,MATCH('Replacement plan'!$B$67,Products!$A$7:$A$13,0))+'Operating costs'!$B$57,'Replacement plan'!$D$67))*(1+'Operating costs'!$B$50)^(E250/12))),"n.a.")</f>
        <v>0</v>
      </c>
      <c r="H250" s="16">
        <f>IFERROR(IF(C250=0,0,IF('Replacement plan'!$V$67&lt;&gt;"",'Replacement plan'!$V$67,IF(E250=0,F250,VLOOKUP($A250,'Fleet register'!$A$7:$S$106,12,FALSE)+VLOOKUP($A250,'Fleet register'!$A$7:$S$106,13,FALSE)*MAX(0,VLOOKUP($A250,'Fleet register'!$A$7:$S$106,10,FALSE)-E250)/VLOOKUP($A250,'Fleet register'!$A$7:$S$106,14,FALSE)))),"n.a.")</f>
        <v>0</v>
      </c>
      <c r="I250" s="16">
        <f>IF(C250=0,0,IF(E250=120,0,'Replacement plan'!$T$67))</f>
        <v>0</v>
      </c>
      <c r="J250" s="16">
        <f>IF(C250=0,0,IF(P250="Complete",((S250*(R250-'Operating costs'!$B$39))+ROUNDUP(S250*(R250-'Operating costs'!$B$39)*IF('Replacement plan'!$AG$67="",'Operating costs'!$B$7,'Replacement plan'!$AG$67)/('Operating costs'!$B$8-'Operating costs'!$B$9*IF('Replacement plan'!$AG$67="",'Operating costs'!$B$7,'Replacement plan'!$AG$67)),0)*'Operating costs'!$B$9)*IF('Replacement plan'!$AG$67="",'Operating costs'!$B$7,'Replacement plan'!$AG$67)*('Energy and charging'!$C$9*'Energy and charging'!$C$7+(1-'Energy and charging'!$C$9)*'Energy and charging'!$C$8)*'Operating costs'!$B$23,"n.a."))</f>
        <v>0</v>
      </c>
      <c r="K250" s="16">
        <f>IF(C250=0,0,IF(P250="Complete",SUM('Operating costs'!$B$24,'Operating costs'!$B$27,'Operating costs'!$B$29,'Operating costs'!$B$31,'Operating costs'!$B$33,'Operating costs'!$B$34,'Operating costs'!$B$37,'Replacement plan'!$W$67)+'Operating costs'!$B$39*'Operating costs'!$B$42+ROUNDUP(S250*(R250-'Operating costs'!$B$39)*IF('Replacement plan'!$AG$67="",'Operating costs'!$B$7,'Replacement plan'!$AG$67)/('Operating costs'!$B$8-'Operating costs'!$B$9*IF('Replacement plan'!$AG$67="",'Operating costs'!$B$7,'Replacement plan'!$AG$67)),0)*('Operating costs'!$B$9/'Operating costs'!$B$11+'Operating costs'!$B$10/60)*'Operating costs'!$B$19*'Operating costs'!$B$21,"n.a."))</f>
        <v>0</v>
      </c>
      <c r="L250" s="16">
        <f>IF(C250=0,0,IF(P250="Complete",IF(D250="EV",X250*((1-T250)*'Energy and charging'!$C$10+T250*'Energy and charging'!$C$11)*'Operating costs'!$B$22,AA250*('Energy and charging'!$C$9*'Energy and charging'!$C$7+(1-'Energy and charging'!$C$9)*'Energy and charging'!$C$8)*'Operating costs'!$B$23),"n.a."))</f>
        <v>0</v>
      </c>
      <c r="M250" s="37">
        <f>IF(C250=0,0,IF(P250="Complete",IF(D250="ICE",SUM('Operating costs'!$B$25,'Operating costs'!$B$27,'Operating costs'!$B$29,'Operating costs'!$B$31,'Operating costs'!$B$33,'Operating costs'!$B$35,'Operating costs'!$B$37,'Replacement plan'!$X$67)+'Operating costs'!$B$40*'Operating costs'!$B$42+ROUNDUP(S250*(R250-'Operating costs'!$B$40)*IF('Replacement plan'!$AH$67="",'Operating costs'!$B$7,'Replacement plan'!$AH$67)/('Operating costs'!$B$8-'Operating costs'!$B$9*IF('Replacement plan'!$AH$67="",'Operating costs'!$B$7,'Replacement plan'!$AH$67)),0)*('Operating costs'!$B$9/'Operating costs'!$B$11+'Operating costs'!$B$10/60)*'Operating costs'!$B$19*'Operating costs'!$B$21,SUM(AP250,'Operating costs'!$B$28,'Operating costs'!$B$30,'Operating costs'!$B$32,'Operating costs'!$B$33,'Operating costs'!$B$36,'Operating costs'!$B$38,'Replacement plan'!$Y$67)+'Operating costs'!$B$41*'Operating costs'!$B$43+W250*'Operating costs'!$B$15+(T250*X250/'Replacement plan'!$L$67+W250*('Operating costs'!$B$12/'Operating costs'!$B$11+('Operating costs'!$B$13+'Operating costs'!$B$14)/60)+(R250-'Operating costs'!$B$41)*(IF(T250&lt;1,'Operating costs'!$B$16,0)+'Operating costs'!$B$17)/60)*'Operating costs'!$B$19*'Operating costs'!$B$20),"n.a."))</f>
        <v>0</v>
      </c>
      <c r="N250" s="16">
        <f>IF(AND(C250=1,D250="EV",E250&lt;120,E250+'Replacement plan'!$AA$67&lt;=120),'Replacement plan'!$Z$67,0)</f>
        <v>0</v>
      </c>
      <c r="O250" s="1">
        <f>E250+'Replacement plan'!$AA$67</f>
        <v>0</v>
      </c>
      <c r="P250" s="35" t="str">
        <f>IFERROR(IF(C250=0,"Excluded",IF(OR(COUNTIFS('Fleet register'!$A$7:$A$106,A250)&lt;&gt;1,COUNTIFS('Replacement plan'!$A$7:$A$106,A250)&lt;&gt;1),"Duplicate/missing ID",IF(NOT(AND(ISNUMBER(VLOOKUP($A250,'Fleet register'!$A$7:$S$106,5,FALSE)),ISNUMBER(VLOOKUP($A250,'Fleet register'!$A$7:$S$106,6,FALSE)),ISNUMBER(VLOOKUP($A250,'Fleet register'!$A$7:$S$106,10,FALSE)),ISNUMBER(VLOOKUP($A250,'Fleet register'!$A$7:$S$106,11,FALSE)),ISNUMBER(VLOOKUP($A250,'Fleet register'!$A$7:$S$106,12,FALSE)),ISNUMBER(VLOOKUP($A250,'Fleet register'!$A$7:$S$106,13,FALSE)),ISNUMBER(VLOOKUP($A250,'Fleet register'!$A$7:$S$106,14,FALSE)),VLOOKUP($A250,'Fleet register'!$A$7:$S$106,14,FALSE)&gt;0,ISNUMBER('Replacement plan'!$C$67),OR(E250=120,ISNUMBER('Replacement plan'!$T$67)),ISNUMBER(E250))),"Missing vehicle input",IF(OR(E250&lt;0,E250&gt;VLOOKUP($A250,'Fleet register'!$A$7:$S$106,10,FALSE),E250&gt;120,E250&lt;&gt;INT(E250),VLOOKUP($A250,'Fleet register'!$A$7:$S$106,6,FALSE)&lt;=0,VLOOKUP($A250,'Fleet register'!$A$7:$S$106,6,FALSE)&gt;366,VLOOKUP($A250,'Fleet register'!$A$7:$S$106,5,FALSE)&lt;0,VLOOKUP($A250,'Fleet register'!$A$7:$S$106,11,FALSE)&lt;0,I250&lt;0,'Operating costs'!$B$8&lt;='Operating costs'!$B$7*'Operating costs'!$B$9,'Operating costs'!$B$11&lt;=0,'Operating costs'!$B$39&gt;R250,'Operating costs'!$B$40&gt;R250,'Operating costs'!$B$41&gt;R250,NOT(OR('Replacement plan'!$R$67="Keep ICE",'Replacement plan'!$R$67="New ICE",'Replacement plan'!$R$67="EV"))),"Invalid vehicle input",IF(AND(D250="EV",E250&lt;120,OR(NOT(ISNUMBER(U250)),NOT(ISNUMBER(V250)),V250&lt;=0,T250&lt;0,T250&gt;1,'Replacement plan'!$L$67&lt;=0,'Operating costs'!$B$44&lt;0,'Operating costs'!$B$44&gt;=1,'Operating costs'!$B$47&lt;=0,'Operating costs'!$B$47&gt;1,V250*'Operating costs'!$B$47/(1-'Operating costs'!$B$44)&lt;=T250*'Operating costs'!$B$12*U250,AND('Replacement plan'!$Z$67&gt;0,OR('Replacement plan'!$AB$67&lt;&gt;"Yes",'Operating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charging'!$C$8&gt;=0))),ISNUMBER(VLOOKUP($A250,'Fleet register'!$A$7:$S$106,15,FALSE)),ISNUMBER(VLOOKUP($A250,'Fleet register'!$A$7:$S$106,16,FALSE)),ISNUMBER('Replacement plan'!$W$67),ISNUMBER('Replacement plan'!$X$67),OR(E250=120,AND(ISNUMBER(G250),G250&gt;=0)),ISNUMBER(H250),H250&gt;=0,OR(D250&lt;&gt;"EV",E250=120,AND(ISNUMBER('Operating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average",ISNUMBER(IFERROR(INDEX(Products!$P$7:$P$13,MATCH(AD250,Products!$A$7:$A$13,0)),"")))),ISNUMBER('Operating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plan'!$Y$67),ISNUMBER('Replacement plan'!$Z$67),'Replacement plan'!$Z$67&gt;=0,ISNUMBER('Replacement plan'!$AA$67),'Replacement plan'!$AA$67&gt;=0,'Replacement plan'!$AA$67=INT('Replacement plan'!$AA$67),ISNUMBER('Replacement plan'!$L$67))),'Operating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plan'!$AG$67="",'Operating costs'!$B$7,'Replacement plan'!$AG$67)),IF('Replacement plan'!$AG$67="",'Operating costs'!$B$7,'Replacement plan'!$AG$67)&gt;=0,ISNUMBER(IF('Replacement plan'!$AH$67="",'Operating costs'!$B$7,'Replacement plan'!$AH$67)),IF('Replacement plan'!$AH$67="",'Operating costs'!$B$7,'Replacement plan'!$AH$67)&gt;=0,'Operating costs'!$B$8&gt;MAX(IF('Replacement plan'!$AG$67="",'Operating costs'!$B$7,'Replacement plan'!$AG$67),IF('Replacement plan'!$AH$67="",'Operating costs'!$B$7,'Replacement plan'!$AH$67))*'Operating costs'!$B$9),IF(AND(VLOOKUP($A250,'Fleet register'!$A$7:$S$106,10,FALSE)&gt;=0,VLOOKUP($A250,'Fleet register'!$A$7:$S$106,10,FALSE)&lt;=120,VLOOKUP($A250,'Fleet register'!$A$7:$S$106,10,FALSE)=INT(VLOOKUP($A250,'Fleet register'!$A$7:$S$106,10,FALSE)),VLOOKUP($A250,'Fleet register'!$A$7:$S$106,15,FALSE)&gt;=0,VLOOKUP($A250,'Fleet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costs'!$B$67)&gt;=0,OR(D250&lt;&gt;"EV",E250=120,AND(MIN('Operating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50" s="1" t="str">
        <f>IF(C250=0,"Excluded",IF(P250&lt;&gt;"Complete",P250,IF(OR('Replacement plan'!$AD$67&lt;120-E250,AND(D250="EV",E250&lt;120,OR('Replacement plan'!$AC$67&lt;120-E250,'Replacement plan'!$I$67="No",AND(ISNUMBER(AF250),AE250&gt;AF250),AI250&gt;V250*(1-'Operating costs'!$B$46)^MAX(0,AB250-1)*(1-'Operating costs'!$B$45),AC250&gt;'Operating costs'!$B$18,AND(T250&lt;1,OR(AG250&lt;=0,AND(ISNUMBER(AH250),AG250&gt;AH250))),'Replacement plan'!$L$67&gt;INDEX(Products!$H$7:$H$13,MATCH('Replacement plan'!$B$67,Products!$A$7:$A$13,0))))),"Fails entered limits",IF(AND(D250="EV",E250&lt;120,OR(NOT(ISNUMBER(VLOOKUP($A250,'Fleet register'!$A$7:$S$106,7,FALSE))),NOT(ISNUMBER(VLOOKUP($A250,'Fleet register'!$A$7:$S$106,8,FALSE))),NOT(ISNUMBER(AF250)),'Replacement plan'!$I$67&lt;&gt;"Yes",NOT(ISNUMBER(AH250)),'Operating costs'!$B$59&lt;&gt;"Yes",'Operating costs'!$B$58&lt;&gt;"Yes")),"Unverified","Within entered limits"))))</f>
        <v>Excluded</v>
      </c>
      <c r="R250" s="1">
        <f>IF(C250=0,0,VLOOKUP($A250,'Fleet register'!$A$7:$S$106,6,FALSE))</f>
        <v>0</v>
      </c>
      <c r="S250" s="1">
        <f>IF(C250=0,0,VLOOKUP($A250,'Fleet register'!$A$7:$S$106,5,FALSE))</f>
        <v>0</v>
      </c>
      <c r="T250" s="1">
        <f>IF(D250="EV",'Energy and charging'!$C$12,0)</f>
        <v>0</v>
      </c>
      <c r="U250" s="1">
        <f>IFERROR(IF(C250=0,0,IF(D250="EV",IF('Replacement plan'!$F$67="",INDEX(Products!$E$7:$E$13,MATCH('Replacement plan'!$B$67,Products!$A$7:$A$13,0)),'Replacement plan'!$F$67)/IF('Replacement plan'!$G$67="Battery",1-'Operating costs'!$B$44,1),0)),"n.a.")</f>
        <v>0</v>
      </c>
      <c r="V250" s="1">
        <f>IFERROR(IF(C250=0,0,IF(D250="EV",IF('Replacement plan'!$E$67="",INDEX(Products!$D$7:$D$13,MATCH('Replacement plan'!$B$67,Products!$A$7:$A$13,0)),'Replacement plan'!$E$67),0)),"n.a.")</f>
        <v>0</v>
      </c>
      <c r="W250" s="1">
        <f>IF(C250=0,0,IF(AND(P250="Complete",D250="EV",E250&lt;120),IF(T250=0,0,ROUNDUP(T250*(R250-'Operating costs'!$B$41)*(S250*U250+'Operating costs'!$B$48/(1-'Operating costs'!$B$44))/(V250*'Operating costs'!$B$47/(1-'Operating costs'!$B$44)-T250*'Operating costs'!$B$12*U250),0)),0))</f>
        <v>0</v>
      </c>
      <c r="X250" s="1">
        <f>IF(C250=0,0,IF(AND(P250="Complete",D250="EV",E250&lt;120),(R250-'Operating costs'!$B$41)*(S250*U250+'Operating costs'!$B$48/(1-'Operating costs'!$B$44))+W250*'Operating costs'!$B$12*U250,0))</f>
        <v>0</v>
      </c>
      <c r="Y250" s="1">
        <f>IF(AND(C250=1,D250="EV",E250&lt;120),AI250/(1-'Operating costs'!$B$44)*(1-T250),0)</f>
        <v>0</v>
      </c>
      <c r="Z250" s="1">
        <f t="shared" si="6"/>
        <v>0</v>
      </c>
      <c r="AA250" s="1">
        <f>IF(C250=0,0,IF(P250="Complete",((S250*(R250-'Operating costs'!$B$40))+ROUNDUP(S250*(R250-'Operating costs'!$B$40)*IF('Replacement plan'!$AH$67="",'Operating costs'!$B$7,'Replacement plan'!$AH$67)/('Operating costs'!$B$8-'Operating costs'!$B$9*IF('Replacement plan'!$AH$67="",'Operating costs'!$B$7,'Replacement plan'!$AH$67)),0)*'Operating costs'!$B$9)*IF('Replacement plan'!$AH$67="",'Operating costs'!$B$7,'Replacement plan'!$AH$67),"n.a."))</f>
        <v>0</v>
      </c>
      <c r="AB250" s="1">
        <f t="shared" si="7"/>
        <v>0</v>
      </c>
      <c r="AC250" s="1">
        <f>IF(AND(C250=1,D250="EV",E250&lt;120,T250&gt;0),'Operating costs'!$B$12/'Operating costs'!$B$11*60+'Operating costs'!$B$13+'Operating costs'!$B$14+V250*'Operating costs'!$B$47/(1-'Operating costs'!$B$44)/'Replacement plan'!$L$67*60,0)</f>
        <v>0</v>
      </c>
      <c r="AD250" s="1" t="str">
        <f>'Replacement plan'!$B$67</f>
        <v>ChengLong L2EV</v>
      </c>
      <c r="AE250" s="1">
        <f>IF(C250=0,0,VLOOKUP($A250,'Fleet register'!$A$7:$S$106,8,FALSE))</f>
        <v>0</v>
      </c>
      <c r="AF250" s="1" t="str">
        <f>IF('Replacement plan'!$H$67="","n.a.",'Replacement plan'!$H$67)</f>
        <v>n.a.</v>
      </c>
      <c r="AG250" s="1">
        <f>'Replacement plan'!$J$67</f>
        <v>22</v>
      </c>
      <c r="AH250" s="1">
        <f>IFERROR(IF(D250="EV",IF('Replacement plan'!$K$67="AC",IF(ISNUMBER(INDEX(Products!$G$7:$G$13,MATCH('Replacement plan'!$B$67,Products!$A$7:$A$13,0))),INDEX(Products!$G$7:$G$13,MATCH('Replacement plan'!$B$67,Products!$A$7:$A$13,0)),"n.a."),IF(ISNUMBER(INDEX(Products!$H$7:$H$13,MATCH('Replacement plan'!$B$67,Products!$A$7:$A$13,0))),INDEX(Products!$H$7:$H$13,MATCH('Replacement plan'!$B$67,Products!$A$7:$A$13,0)),"n.a.")),0),"n.a.")</f>
        <v>0</v>
      </c>
      <c r="AI250" s="1">
        <f>IF(AND(C250=1,D250="EV",E250&lt;120),(VLOOKUP($A250,'Fleet register'!$A$7:$S$106,7,FALSE)+IF(T250&gt;0,'Operating costs'!$B$12,0))*U250*(1-'Operating costs'!$B$44)+'Operating costs'!$B$49,0)</f>
        <v>0</v>
      </c>
      <c r="AJ250" s="1">
        <f>IF(D250="EV",'Energy and charging'!$C$50,0)</f>
        <v>0</v>
      </c>
      <c r="AK250" s="17">
        <f>EDATE('Operating costs'!$B$63,E250)</f>
        <v>46298</v>
      </c>
      <c r="AL250" s="1">
        <f>IFERROR(IF(D250="EV",INDEX(Products!$B$7:$B$13,MATCH('Replacement plan'!$B$67,Products!$A$7:$A$13,0)),0),"n.a.")</f>
        <v>0</v>
      </c>
      <c r="AM250" s="1" t="str">
        <f>'Replacement plan'!$K$67</f>
        <v>DC</v>
      </c>
      <c r="AN250" s="1" t="str">
        <f>'Replacement plan'!$AE$67</f>
        <v>Assumed</v>
      </c>
      <c r="AO250" s="47">
        <f>IF(AND(C250=1,D250="EV",E250&lt;120),(R250-'Operating costs'!$B$41)*S250+W250*'Operating costs'!$B$12,0)</f>
        <v>0</v>
      </c>
      <c r="AP250" s="41">
        <f>IF(AND(C250=1,D250="EV",E250&lt;120),IF('Operating costs'!$B$68="Hong Seh 200k average",AO250*IFERROR(INDEX(Products!$P$7:$P$13,MATCH(AD250,Products!$A$7:$A$13,0)),"n.a."),'Operating costs'!$B$26),0)</f>
        <v>0</v>
      </c>
      <c r="AQ250" s="40" t="str">
        <f>IF(D250="EV",'Operating costs'!$B$68,"Not applicable")</f>
        <v>Not applicable</v>
      </c>
    </row>
    <row r="251" spans="1:43" ht="24" customHeight="1">
      <c r="A251" s="1" t="str">
        <f>'Replacement plan'!A68</f>
        <v>T062</v>
      </c>
      <c r="B251" s="1">
        <v>0</v>
      </c>
      <c r="C251" s="1">
        <f>IF(COUNTIFS('Fleet register'!$A$7:$A$106,$A251)=1,VLOOKUP($A251,'Fleet register'!$A$7:$S$106,2,FALSE),0)</f>
        <v>0</v>
      </c>
      <c r="D251" s="1" t="str">
        <f>IF("Keep ICE"="EV","EV","ICE")</f>
        <v>ICE</v>
      </c>
      <c r="E251" s="1">
        <f>IF(C251=0,0,IF('Replacement plan'!$M$68="",VLOOKUP($A251,'Fleet register'!$A$7:$S$106,10,FALSE),'Replacement plan'!$M$68))</f>
        <v>0</v>
      </c>
      <c r="F251" s="16">
        <f>IF(C251=0,0,VLOOKUP($A251,'Fleet register'!$A$7:$S$106,11,FALSE))</f>
        <v>0</v>
      </c>
      <c r="G251" s="16">
        <f>IFERROR(IF(C251=0,0,IF(E251=120,0,IF(D251="ICE",'Replacement plan'!$C$68,IF('Replacement plan'!$D$68="",INDEX(Products!$I$7:$I$13,MATCH('Replacement plan'!$B$68,Products!$A$7:$A$13,0))+'Operating costs'!$B$57,'Replacement plan'!$D$68))*(1+'Operating costs'!$B$50)^(E251/12))),"n.a.")</f>
        <v>0</v>
      </c>
      <c r="H251" s="16">
        <f>IFERROR(IF(C251=0,0,IF(E251=0,F251,VLOOKUP($A251,'Fleet register'!$A$7:$S$106,12,FALSE)+VLOOKUP($A251,'Fleet register'!$A$7:$S$106,13,FALSE)*MAX(0,VLOOKUP($A251,'Fleet register'!$A$7:$S$106,10,FALSE)-E251)/VLOOKUP($A251,'Fleet register'!$A$7:$S$106,14,FALSE))),"n.a.")</f>
        <v>0</v>
      </c>
      <c r="I251" s="16">
        <f>IF(C251=0,0,IF(E251=120,0,'Replacement plan'!$N$68))</f>
        <v>0</v>
      </c>
      <c r="J251" s="16">
        <f>IF(C251=0,0,IF(P251="Complete",((S251*(R251-'Operating costs'!$B$39))+ROUNDUP(S251*(R251-'Operating costs'!$B$39)*IF('Replacement plan'!$AG$68="",'Operating costs'!$B$7,'Replacement plan'!$AG$68)/('Operating costs'!$B$8-'Operating costs'!$B$9*IF('Replacement plan'!$AG$68="",'Operating costs'!$B$7,'Replacement plan'!$AG$68)),0)*'Operating costs'!$B$9)*IF('Replacement plan'!$AG$68="",'Operating costs'!$B$7,'Replacement plan'!$AG$68)*('Energy and charging'!$B$9*'Energy and charging'!$B$7+(1-'Energy and charging'!$B$9)*'Energy and charging'!$B$8)*'Operating costs'!$B$23,"n.a."))</f>
        <v>0</v>
      </c>
      <c r="K251" s="16">
        <f>IF(C251=0,0,IF(P251="Complete",SUM('Operating costs'!$B$24,'Operating costs'!$B$27,'Operating costs'!$B$29,'Operating costs'!$B$31,'Operating costs'!$B$33,'Operating costs'!$B$34,'Operating costs'!$B$37,'Replacement plan'!$W$68)+'Operating costs'!$B$39*'Operating costs'!$B$42+ROUNDUP(S251*(R251-'Operating costs'!$B$39)*IF('Replacement plan'!$AG$68="",'Operating costs'!$B$7,'Replacement plan'!$AG$68)/('Operating costs'!$B$8-'Operating costs'!$B$9*IF('Replacement plan'!$AG$68="",'Operating costs'!$B$7,'Replacement plan'!$AG$68)),0)*('Operating costs'!$B$9/'Operating costs'!$B$11+'Operating costs'!$B$10/60)*'Operating costs'!$B$19*'Operating costs'!$B$21,"n.a."))</f>
        <v>0</v>
      </c>
      <c r="L251" s="16">
        <f>IF(C251=0,0,IF(P251="Complete",IF(D251="EV",X251*((1-T251)*'Energy and charging'!$B$10+T251*'Energy and charging'!$B$11)*'Operating costs'!$B$22,AA251*('Energy and charging'!$B$9*'Energy and charging'!$B$7+(1-'Energy and charging'!$B$9)*'Energy and charging'!$B$8)*'Operating costs'!$B$23),"n.a."))</f>
        <v>0</v>
      </c>
      <c r="M251" s="37">
        <f>IF(C251=0,0,IF(P251="Complete",IF(D251="ICE",SUM('Operating costs'!$B$25,'Operating costs'!$B$27,'Operating costs'!$B$29,'Operating costs'!$B$31,'Operating costs'!$B$33,'Operating costs'!$B$35,'Operating costs'!$B$37,'Replacement plan'!$X$68)+'Operating costs'!$B$40*'Operating costs'!$B$42+ROUNDUP(S251*(R251-'Operating costs'!$B$40)*IF('Replacement plan'!$AH$68="",'Operating costs'!$B$7,'Replacement plan'!$AH$68)/('Operating costs'!$B$8-'Operating costs'!$B$9*IF('Replacement plan'!$AH$68="",'Operating costs'!$B$7,'Replacement plan'!$AH$68)),0)*('Operating costs'!$B$9/'Operating costs'!$B$11+'Operating costs'!$B$10/60)*'Operating costs'!$B$19*'Operating costs'!$B$21,SUM(AP251,'Operating costs'!$B$28,'Operating costs'!$B$30,'Operating costs'!$B$32,'Operating costs'!$B$33,'Operating costs'!$B$36,'Operating costs'!$B$38,'Replacement plan'!$Y$68)+'Operating costs'!$B$41*'Operating costs'!$B$43+W251*'Operating costs'!$B$15+(T251*X251/'Replacement plan'!$L$68+W251*('Operating costs'!$B$12/'Operating costs'!$B$11+('Operating costs'!$B$13+'Operating costs'!$B$14)/60)+(R251-'Operating costs'!$B$41)*(IF(T251&lt;1,'Operating costs'!$B$16,0)+'Operating costs'!$B$17)/60)*'Operating costs'!$B$19*'Operating costs'!$B$20),"n.a."))</f>
        <v>0</v>
      </c>
      <c r="N251" s="16">
        <f>IF(AND(C251=1,D251="EV",E251&lt;120,E251+'Replacement plan'!$AA$68&lt;=120),'Replacement plan'!$Z$68,0)</f>
        <v>0</v>
      </c>
      <c r="O251" s="1">
        <f>E251+'Replacement plan'!$AA$68</f>
        <v>0</v>
      </c>
      <c r="P251" s="35" t="str">
        <f>IFERROR(IF(C251=0,"Excluded",IF(OR(COUNTIFS('Fleet register'!$A$7:$A$106,A251)&lt;&gt;1,COUNTIFS('Replacement plan'!$A$7:$A$106,A251)&lt;&gt;1),"Duplicate/missing ID",IF(NOT(AND(ISNUMBER(VLOOKUP($A251,'Fleet register'!$A$7:$S$106,5,FALSE)),ISNUMBER(VLOOKUP($A251,'Fleet register'!$A$7:$S$106,6,FALSE)),ISNUMBER(VLOOKUP($A251,'Fleet register'!$A$7:$S$106,10,FALSE)),ISNUMBER(VLOOKUP($A251,'Fleet register'!$A$7:$S$106,11,FALSE)),ISNUMBER(VLOOKUP($A251,'Fleet register'!$A$7:$S$106,12,FALSE)),ISNUMBER(VLOOKUP($A251,'Fleet register'!$A$7:$S$106,13,FALSE)),ISNUMBER(VLOOKUP($A251,'Fleet register'!$A$7:$S$106,14,FALSE)),VLOOKUP($A251,'Fleet register'!$A$7:$S$106,14,FALSE)&gt;0,ISNUMBER('Replacement plan'!$C$68),OR(E251=120,ISNUMBER('Replacement plan'!$N$68)),ISNUMBER(E251))),"Missing vehicle input",IF(OR(E251&lt;0,E251&gt;VLOOKUP($A251,'Fleet register'!$A$7:$S$106,10,FALSE),E251&gt;120,E251&lt;&gt;INT(E251),VLOOKUP($A251,'Fleet register'!$A$7:$S$106,6,FALSE)&lt;=0,VLOOKUP($A251,'Fleet register'!$A$7:$S$106,6,FALSE)&gt;366,VLOOKUP($A251,'Fleet register'!$A$7:$S$106,5,FALSE)&lt;0,VLOOKUP($A251,'Fleet register'!$A$7:$S$106,11,FALSE)&lt;0,I251&lt;0,'Operating costs'!$B$8&lt;='Operating costs'!$B$7*'Operating costs'!$B$9,'Operating costs'!$B$11&lt;=0,'Operating costs'!$B$39&gt;R251,'Operating costs'!$B$40&gt;R251,'Operating costs'!$B$41&gt;R251,NOT(OR("Keep ICE"="Keep ICE","Keep ICE"="New ICE","Keep ICE"="EV"))),"Invalid vehicle input",IF(AND(D251="EV",E251&lt;120,OR(NOT(ISNUMBER(U251)),NOT(ISNUMBER(V251)),V251&lt;=0,T251&lt;0,T251&gt;1,'Replacement plan'!$L$68&lt;=0,'Operating costs'!$B$44&lt;0,'Operating costs'!$B$44&gt;=1,'Operating costs'!$B$47&lt;=0,'Operating costs'!$B$47&gt;1,V251*'Operating costs'!$B$47/(1-'Operating costs'!$B$44)&lt;=T251*'Operating costs'!$B$12*U251,AND('Replacement plan'!$Z$68&gt;0,OR('Replacement plan'!$AB$68&lt;&gt;"Yes",'Operating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charging'!$B$8&gt;=0))),ISNUMBER(VLOOKUP($A251,'Fleet register'!$A$7:$S$106,15,FALSE)),ISNUMBER(VLOOKUP($A251,'Fleet register'!$A$7:$S$106,16,FALSE)),ISNUMBER('Replacement plan'!$W$68),ISNUMBER('Replacement plan'!$X$68),OR(E251=120,AND(ISNUMBER(G251),G251&gt;=0)),ISNUMBER(H251),H251&gt;=0,OR(D251&lt;&gt;"EV",E251=120,AND(ISNUMBER('Operating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average",ISNUMBER(IFERROR(INDEX(Products!$P$7:$P$13,MATCH(AD251,Products!$A$7:$A$13,0)),"")))),ISNUMBER('Operating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plan'!$Y$68),ISNUMBER('Replacement plan'!$Z$68),'Replacement plan'!$Z$68&gt;=0,ISNUMBER('Replacement plan'!$AA$68),'Replacement plan'!$AA$68&gt;=0,'Replacement plan'!$AA$68=INT('Replacement plan'!$AA$68),ISNUMBER('Replacement plan'!$L$68))),'Operating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plan'!$AG$68="",'Operating costs'!$B$7,'Replacement plan'!$AG$68)),IF('Replacement plan'!$AG$68="",'Operating costs'!$B$7,'Replacement plan'!$AG$68)&gt;=0,ISNUMBER(IF('Replacement plan'!$AH$68="",'Operating costs'!$B$7,'Replacement plan'!$AH$68)),IF('Replacement plan'!$AH$68="",'Operating costs'!$B$7,'Replacement plan'!$AH$68)&gt;=0,'Operating costs'!$B$8&gt;MAX(IF('Replacement plan'!$AG$68="",'Operating costs'!$B$7,'Replacement plan'!$AG$68),IF('Replacement plan'!$AH$68="",'Operating costs'!$B$7,'Replacement plan'!$AH$68))*'Operating costs'!$B$9),IF(AND(VLOOKUP($A251,'Fleet register'!$A$7:$S$106,10,FALSE)&gt;=0,VLOOKUP($A251,'Fleet register'!$A$7:$S$106,10,FALSE)&lt;=120,VLOOKUP($A251,'Fleet register'!$A$7:$S$106,10,FALSE)=INT(VLOOKUP($A251,'Fleet register'!$A$7:$S$106,10,FALSE)),VLOOKUP($A251,'Fleet register'!$A$7:$S$106,15,FALSE)&gt;=0,VLOOKUP($A251,'Fleet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costs'!$B$67)&gt;=0,OR(D251&lt;&gt;"EV",E251=120,AND(MIN('Operating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51" s="1" t="str">
        <f>IF(C251=0,"Excluded",IF(P251&lt;&gt;"Complete",P251,IF(OR('Replacement plan'!$AD$68&lt;120-E251,AND(D251="EV",E251&lt;120,OR('Replacement plan'!$AC$68&lt;120-E251,'Replacement plan'!$I$68="No",AND(ISNUMBER(AF251),AE251&gt;AF251),AI251&gt;V251*(1-'Operating costs'!$B$46)^MAX(0,AB251-1)*(1-'Operating costs'!$B$45),AC251&gt;'Operating costs'!$B$18,AND(T251&lt;1,OR(AG251&lt;=0,AND(ISNUMBER(AH251),AG251&gt;AH251))),'Replacement plan'!$L$68&gt;INDEX(Products!$H$7:$H$13,MATCH('Replacement plan'!$B$68,Products!$A$7:$A$13,0))))),"Fails entered limits",IF(AND(D251="EV",E251&lt;120,OR(NOT(ISNUMBER(VLOOKUP($A251,'Fleet register'!$A$7:$S$106,7,FALSE))),NOT(ISNUMBER(VLOOKUP($A251,'Fleet register'!$A$7:$S$106,8,FALSE))),NOT(ISNUMBER(AF251)),'Replacement plan'!$I$68&lt;&gt;"Yes",NOT(ISNUMBER(AH251)),'Operating costs'!$B$59&lt;&gt;"Yes",'Operating costs'!$B$58&lt;&gt;"Yes")),"Unverified","Within entered limits"))))</f>
        <v>Excluded</v>
      </c>
      <c r="R251" s="1">
        <f>IF(C251=0,0,VLOOKUP($A251,'Fleet register'!$A$7:$S$106,6,FALSE))</f>
        <v>0</v>
      </c>
      <c r="S251" s="1">
        <f>IF(C251=0,0,VLOOKUP($A251,'Fleet register'!$A$7:$S$106,5,FALSE))</f>
        <v>0</v>
      </c>
      <c r="T251" s="1">
        <f>IF(D251="EV",'Energy and charging'!$B$12,0)</f>
        <v>0</v>
      </c>
      <c r="U251" s="1">
        <f>IFERROR(IF(C251=0,0,IF(D251="EV",IF('Replacement plan'!$F$68="",INDEX(Products!$E$7:$E$13,MATCH('Replacement plan'!$B$68,Products!$A$7:$A$13,0)),'Replacement plan'!$F$68)/IF('Replacement plan'!$G$68="Battery",1-'Operating costs'!$B$44,1),0)),"n.a.")</f>
        <v>0</v>
      </c>
      <c r="V251" s="1">
        <f>IFERROR(IF(C251=0,0,IF(D251="EV",IF('Replacement plan'!$E$68="",INDEX(Products!$D$7:$D$13,MATCH('Replacement plan'!$B$68,Products!$A$7:$A$13,0)),'Replacement plan'!$E$68),0)),"n.a.")</f>
        <v>0</v>
      </c>
      <c r="W251" s="1">
        <f>IF(C251=0,0,IF(AND(P251="Complete",D251="EV",E251&lt;120),IF(T251=0,0,ROUNDUP(T251*(R251-'Operating costs'!$B$41)*(S251*U251+'Operating costs'!$B$48/(1-'Operating costs'!$B$44))/(V251*'Operating costs'!$B$47/(1-'Operating costs'!$B$44)-T251*'Operating costs'!$B$12*U251),0)),0))</f>
        <v>0</v>
      </c>
      <c r="X251" s="1">
        <f>IF(C251=0,0,IF(AND(P251="Complete",D251="EV",E251&lt;120),(R251-'Operating costs'!$B$41)*(S251*U251+'Operating costs'!$B$48/(1-'Operating costs'!$B$44))+W251*'Operating costs'!$B$12*U251,0))</f>
        <v>0</v>
      </c>
      <c r="Y251" s="1">
        <f>IF(AND(C251=1,D251="EV",E251&lt;120),AI251/(1-'Operating costs'!$B$44)*(1-T251),0)</f>
        <v>0</v>
      </c>
      <c r="Z251" s="1">
        <f t="shared" si="6"/>
        <v>0</v>
      </c>
      <c r="AA251" s="1">
        <f>IF(C251=0,0,IF(P251="Complete",((S251*(R251-'Operating costs'!$B$40))+ROUNDUP(S251*(R251-'Operating costs'!$B$40)*IF('Replacement plan'!$AH$68="",'Operating costs'!$B$7,'Replacement plan'!$AH$68)/('Operating costs'!$B$8-'Operating costs'!$B$9*IF('Replacement plan'!$AH$68="",'Operating costs'!$B$7,'Replacement plan'!$AH$68)),0)*'Operating costs'!$B$9)*IF('Replacement plan'!$AH$68="",'Operating costs'!$B$7,'Replacement plan'!$AH$68),"n.a."))</f>
        <v>0</v>
      </c>
      <c r="AB251" s="1">
        <f t="shared" si="7"/>
        <v>0</v>
      </c>
      <c r="AC251" s="1">
        <f>IF(AND(C251=1,D251="EV",E251&lt;120,T251&gt;0),'Operating costs'!$B$12/'Operating costs'!$B$11*60+'Operating costs'!$B$13+'Operating costs'!$B$14+V251*'Operating costs'!$B$47/(1-'Operating costs'!$B$44)/'Replacement plan'!$L$68*60,0)</f>
        <v>0</v>
      </c>
      <c r="AD251" s="1" t="str">
        <f>'Replacement plan'!$B$68</f>
        <v>ChengLong L2EV</v>
      </c>
      <c r="AE251" s="1">
        <f>IF(C251=0,0,VLOOKUP($A251,'Fleet register'!$A$7:$S$106,8,FALSE))</f>
        <v>0</v>
      </c>
      <c r="AF251" s="1" t="str">
        <f>IF('Replacement plan'!$H$68="","n.a.",'Replacement plan'!$H$68)</f>
        <v>n.a.</v>
      </c>
      <c r="AG251" s="1">
        <f>'Replacement plan'!$J$68</f>
        <v>22</v>
      </c>
      <c r="AH251" s="1">
        <f>IFERROR(IF(D251="EV",IF('Replacement plan'!$K$68="AC",IF(ISNUMBER(INDEX(Products!$G$7:$G$13,MATCH('Replacement plan'!$B$68,Products!$A$7:$A$13,0))),INDEX(Products!$G$7:$G$13,MATCH('Replacement plan'!$B$68,Products!$A$7:$A$13,0)),"n.a."),IF(ISNUMBER(INDEX(Products!$H$7:$H$13,MATCH('Replacement plan'!$B$68,Products!$A$7:$A$13,0))),INDEX(Products!$H$7:$H$13,MATCH('Replacement plan'!$B$68,Products!$A$7:$A$13,0)),"n.a.")),0),"n.a.")</f>
        <v>0</v>
      </c>
      <c r="AI251" s="1">
        <f>IF(AND(C251=1,D251="EV",E251&lt;120),(VLOOKUP($A251,'Fleet register'!$A$7:$S$106,7,FALSE)+IF(T251&gt;0,'Operating costs'!$B$12,0))*U251*(1-'Operating costs'!$B$44)+'Operating costs'!$B$49,0)</f>
        <v>0</v>
      </c>
      <c r="AJ251" s="1">
        <f>IF(D251="EV",'Energy and charging'!$B$50,0)</f>
        <v>0</v>
      </c>
      <c r="AK251" s="17">
        <f>EDATE('Operating costs'!$B$63,E251)</f>
        <v>46298</v>
      </c>
      <c r="AL251" s="1">
        <f>IFERROR(IF(D251="EV",INDEX(Products!$B$7:$B$13,MATCH('Replacement plan'!$B$68,Products!$A$7:$A$13,0)),0),"n.a.")</f>
        <v>0</v>
      </c>
      <c r="AM251" s="1" t="str">
        <f>'Replacement plan'!$K$68</f>
        <v>DC</v>
      </c>
      <c r="AN251" s="1" t="str">
        <f>'Replacement plan'!$AE$68</f>
        <v>Assumed</v>
      </c>
      <c r="AO251" s="47">
        <f>IF(AND(C251=1,D251="EV",E251&lt;120),(R251-'Operating costs'!$B$41)*S251+W251*'Operating costs'!$B$12,0)</f>
        <v>0</v>
      </c>
      <c r="AP251" s="41">
        <f>IF(AND(C251=1,D251="EV",E251&lt;120),IF('Operating costs'!$B$68="Hong Seh 200k average",AO251*IFERROR(INDEX(Products!$P$7:$P$13,MATCH(AD251,Products!$A$7:$A$13,0)),"n.a."),'Operating costs'!$B$26),0)</f>
        <v>0</v>
      </c>
      <c r="AQ251" s="40" t="str">
        <f>IF(D251="EV",'Operating costs'!$B$68,"Not applicable")</f>
        <v>Not applicable</v>
      </c>
    </row>
    <row r="252" spans="1:43" ht="24" customHeight="1">
      <c r="A252" s="1" t="str">
        <f>'Replacement plan'!A68</f>
        <v>T062</v>
      </c>
      <c r="B252" s="1">
        <v>1</v>
      </c>
      <c r="C252" s="1">
        <f>IF(COUNTIFS('Fleet register'!$A$7:$A$106,$A252)=1,VLOOKUP($A252,'Fleet register'!$A$7:$S$106,2,FALSE),0)</f>
        <v>0</v>
      </c>
      <c r="D252" s="1" t="str">
        <f>IF("New ICE"="EV","EV","ICE")</f>
        <v>ICE</v>
      </c>
      <c r="E252" s="1">
        <f>IF(C252=0,0,0)</f>
        <v>0</v>
      </c>
      <c r="F252" s="16">
        <f>IF(C252=0,0,VLOOKUP($A252,'Fleet register'!$A$7:$S$106,11,FALSE))</f>
        <v>0</v>
      </c>
      <c r="G252" s="16">
        <f>IFERROR(IF(C252=0,0,IF(E252=120,0,IF(D252="ICE",'Replacement plan'!$C$68,IF('Replacement plan'!$D$68="",INDEX(Products!$I$7:$I$13,MATCH('Replacement plan'!$B$68,Products!$A$7:$A$13,0))+'Operating costs'!$B$57,'Replacement plan'!$D$68))*(1+'Operating costs'!$B$50)^(E252/12))),"n.a.")</f>
        <v>0</v>
      </c>
      <c r="H252" s="16">
        <f>IFERROR(IF(C252=0,0,IF(E252=0,F252,VLOOKUP($A252,'Fleet register'!$A$7:$S$106,12,FALSE)+VLOOKUP($A252,'Fleet register'!$A$7:$S$106,13,FALSE)*MAX(0,VLOOKUP($A252,'Fleet register'!$A$7:$S$106,10,FALSE)-E252)/VLOOKUP($A252,'Fleet register'!$A$7:$S$106,14,FALSE))),"n.a.")</f>
        <v>0</v>
      </c>
      <c r="I252" s="16">
        <f>IF(C252=0,0,IF(E252=120,0,IF('Replacement plan'!$AI$68="",'Operating costs'!$B$56,'Replacement plan'!$AI$68)))</f>
        <v>0</v>
      </c>
      <c r="J252" s="16">
        <f>IF(C252=0,0,IF(P252="Complete",((S252*(R252-'Operating costs'!$B$39))+ROUNDUP(S252*(R252-'Operating costs'!$B$39)*IF('Replacement plan'!$AG$68="",'Operating costs'!$B$7,'Replacement plan'!$AG$68)/('Operating costs'!$B$8-'Operating costs'!$B$9*IF('Replacement plan'!$AG$68="",'Operating costs'!$B$7,'Replacement plan'!$AG$68)),0)*'Operating costs'!$B$9)*IF('Replacement plan'!$AG$68="",'Operating costs'!$B$7,'Replacement plan'!$AG$68)*('Energy and charging'!$B$9*'Energy and charging'!$B$7+(1-'Energy and charging'!$B$9)*'Energy and charging'!$B$8)*'Operating costs'!$B$23,"n.a."))</f>
        <v>0</v>
      </c>
      <c r="K252" s="16">
        <f>IF(C252=0,0,IF(P252="Complete",SUM('Operating costs'!$B$24,'Operating costs'!$B$27,'Operating costs'!$B$29,'Operating costs'!$B$31,'Operating costs'!$B$33,'Operating costs'!$B$34,'Operating costs'!$B$37,'Replacement plan'!$W$68)+'Operating costs'!$B$39*'Operating costs'!$B$42+ROUNDUP(S252*(R252-'Operating costs'!$B$39)*IF('Replacement plan'!$AG$68="",'Operating costs'!$B$7,'Replacement plan'!$AG$68)/('Operating costs'!$B$8-'Operating costs'!$B$9*IF('Replacement plan'!$AG$68="",'Operating costs'!$B$7,'Replacement plan'!$AG$68)),0)*('Operating costs'!$B$9/'Operating costs'!$B$11+'Operating costs'!$B$10/60)*'Operating costs'!$B$19*'Operating costs'!$B$21,"n.a."))</f>
        <v>0</v>
      </c>
      <c r="L252" s="16">
        <f>IF(C252=0,0,IF(P252="Complete",IF(D252="EV",X252*((1-T252)*'Energy and charging'!$B$10+T252*'Energy and charging'!$B$11)*'Operating costs'!$B$22,AA252*('Energy and charging'!$B$9*'Energy and charging'!$B$7+(1-'Energy and charging'!$B$9)*'Energy and charging'!$B$8)*'Operating costs'!$B$23),"n.a."))</f>
        <v>0</v>
      </c>
      <c r="M252" s="37">
        <f>IF(C252=0,0,IF(P252="Complete",IF(D252="ICE",SUM('Operating costs'!$B$25,'Operating costs'!$B$27,'Operating costs'!$B$29,'Operating costs'!$B$31,'Operating costs'!$B$33,'Operating costs'!$B$35,'Operating costs'!$B$37,'Replacement plan'!$X$68)+'Operating costs'!$B$40*'Operating costs'!$B$42+ROUNDUP(S252*(R252-'Operating costs'!$B$40)*IF('Replacement plan'!$AH$68="",'Operating costs'!$B$7,'Replacement plan'!$AH$68)/('Operating costs'!$B$8-'Operating costs'!$B$9*IF('Replacement plan'!$AH$68="",'Operating costs'!$B$7,'Replacement plan'!$AH$68)),0)*('Operating costs'!$B$9/'Operating costs'!$B$11+'Operating costs'!$B$10/60)*'Operating costs'!$B$19*'Operating costs'!$B$21,SUM(AP252,'Operating costs'!$B$28,'Operating costs'!$B$30,'Operating costs'!$B$32,'Operating costs'!$B$33,'Operating costs'!$B$36,'Operating costs'!$B$38,'Replacement plan'!$Y$68)+'Operating costs'!$B$41*'Operating costs'!$B$43+W252*'Operating costs'!$B$15+(T252*X252/'Replacement plan'!$L$68+W252*('Operating costs'!$B$12/'Operating costs'!$B$11+('Operating costs'!$B$13+'Operating costs'!$B$14)/60)+(R252-'Operating costs'!$B$41)*(IF(T252&lt;1,'Operating costs'!$B$16,0)+'Operating costs'!$B$17)/60)*'Operating costs'!$B$19*'Operating costs'!$B$20),"n.a."))</f>
        <v>0</v>
      </c>
      <c r="N252" s="16">
        <f>IF(AND(C252=1,D252="EV",E252&lt;120,E252+'Replacement plan'!$AA$68&lt;=120),'Replacement plan'!$Z$68,0)</f>
        <v>0</v>
      </c>
      <c r="O252" s="1">
        <f>E252+'Replacement plan'!$AA$68</f>
        <v>0</v>
      </c>
      <c r="P252" s="35" t="str">
        <f>IFERROR(IF(C252=0,"Excluded",IF(OR(COUNTIFS('Fleet register'!$A$7:$A$106,A252)&lt;&gt;1,COUNTIFS('Replacement plan'!$A$7:$A$106,A252)&lt;&gt;1),"Duplicate/missing ID",IF(NOT(AND(ISNUMBER(VLOOKUP($A252,'Fleet register'!$A$7:$S$106,5,FALSE)),ISNUMBER(VLOOKUP($A252,'Fleet register'!$A$7:$S$106,6,FALSE)),ISNUMBER(VLOOKUP($A252,'Fleet register'!$A$7:$S$106,10,FALSE)),ISNUMBER(VLOOKUP($A252,'Fleet register'!$A$7:$S$106,11,FALSE)),ISNUMBER(VLOOKUP($A252,'Fleet register'!$A$7:$S$106,12,FALSE)),ISNUMBER(VLOOKUP($A252,'Fleet register'!$A$7:$S$106,13,FALSE)),ISNUMBER(VLOOKUP($A252,'Fleet register'!$A$7:$S$106,14,FALSE)),VLOOKUP($A252,'Fleet register'!$A$7:$S$106,14,FALSE)&gt;0,ISNUMBER('Replacement plan'!$C$68),OR(E252=120,OR(ISNUMBER('Replacement plan'!$AI$68),AND('Replacement plan'!$AI$68="",ISNUMBER('Operating costs'!$B$56)))),ISNUMBER(E252))),"Missing vehicle input",IF(OR(E252&lt;0,E252&gt;VLOOKUP($A252,'Fleet register'!$A$7:$S$106,10,FALSE),E252&gt;120,E252&lt;&gt;INT(E252),VLOOKUP($A252,'Fleet register'!$A$7:$S$106,6,FALSE)&lt;=0,VLOOKUP($A252,'Fleet register'!$A$7:$S$106,6,FALSE)&gt;366,VLOOKUP($A252,'Fleet register'!$A$7:$S$106,5,FALSE)&lt;0,VLOOKUP($A252,'Fleet register'!$A$7:$S$106,11,FALSE)&lt;0,I252&lt;0,'Operating costs'!$B$8&lt;='Operating costs'!$B$7*'Operating costs'!$B$9,'Operating costs'!$B$11&lt;=0,'Operating costs'!$B$39&gt;R252,'Operating costs'!$B$40&gt;R252,'Operating costs'!$B$41&gt;R252,NOT(OR("New ICE"="Keep ICE","New ICE"="New ICE","New ICE"="EV"))),"Invalid vehicle input",IF(AND(D252="EV",E252&lt;120,OR(NOT(ISNUMBER(U252)),NOT(ISNUMBER(V252)),V252&lt;=0,T252&lt;0,T252&gt;1,'Replacement plan'!$L$68&lt;=0,'Operating costs'!$B$44&lt;0,'Operating costs'!$B$44&gt;=1,'Operating costs'!$B$47&lt;=0,'Operating costs'!$B$47&gt;1,V252*'Operating costs'!$B$47/(1-'Operating costs'!$B$44)&lt;=T252*'Operating costs'!$B$12*U252,AND('Replacement plan'!$Z$68&gt;0,OR('Replacement plan'!$AB$68&lt;&gt;"Yes",'Operating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charging'!$B$8&gt;=0))),ISNUMBER(VLOOKUP($A252,'Fleet register'!$A$7:$S$106,15,FALSE)),ISNUMBER(VLOOKUP($A252,'Fleet register'!$A$7:$S$106,16,FALSE)),ISNUMBER('Replacement plan'!$W$68),ISNUMBER('Replacement plan'!$X$68),OR(E252=120,AND(ISNUMBER(G252),G252&gt;=0)),ISNUMBER(H252),H252&gt;=0,OR(D252&lt;&gt;"EV",E252=120,AND(ISNUMBER('Operating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average",ISNUMBER(IFERROR(INDEX(Products!$P$7:$P$13,MATCH(AD252,Products!$A$7:$A$13,0)),"")))),ISNUMBER('Operating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plan'!$Y$68),ISNUMBER('Replacement plan'!$Z$68),'Replacement plan'!$Z$68&gt;=0,ISNUMBER('Replacement plan'!$AA$68),'Replacement plan'!$AA$68&gt;=0,'Replacement plan'!$AA$68=INT('Replacement plan'!$AA$68),ISNUMBER('Replacement plan'!$L$68))),'Operating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plan'!$AG$68="",'Operating costs'!$B$7,'Replacement plan'!$AG$68)),IF('Replacement plan'!$AG$68="",'Operating costs'!$B$7,'Replacement plan'!$AG$68)&gt;=0,ISNUMBER(IF('Replacement plan'!$AH$68="",'Operating costs'!$B$7,'Replacement plan'!$AH$68)),IF('Replacement plan'!$AH$68="",'Operating costs'!$B$7,'Replacement plan'!$AH$68)&gt;=0,'Operating costs'!$B$8&gt;MAX(IF('Replacement plan'!$AG$68="",'Operating costs'!$B$7,'Replacement plan'!$AG$68),IF('Replacement plan'!$AH$68="",'Operating costs'!$B$7,'Replacement plan'!$AH$68))*'Operating costs'!$B$9),IF(AND(VLOOKUP($A252,'Fleet register'!$A$7:$S$106,10,FALSE)&gt;=0,VLOOKUP($A252,'Fleet register'!$A$7:$S$106,10,FALSE)&lt;=120,VLOOKUP($A252,'Fleet register'!$A$7:$S$106,10,FALSE)=INT(VLOOKUP($A252,'Fleet register'!$A$7:$S$106,10,FALSE)),VLOOKUP($A252,'Fleet register'!$A$7:$S$106,15,FALSE)&gt;=0,VLOOKUP($A252,'Fleet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costs'!$B$67)&gt;=0,OR(D252&lt;&gt;"EV",E252=120,AND(MIN('Operating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52" s="1" t="str">
        <f>IF(C252=0,"Excluded",IF(P252&lt;&gt;"Complete",P252,IF(OR('Replacement plan'!$AD$68&lt;120-E252,AND(D252="EV",E252&lt;120,OR('Replacement plan'!$AC$68&lt;120-E252,'Replacement plan'!$I$68="No",AND(ISNUMBER(AF252),AE252&gt;AF252),AI252&gt;V252*(1-'Operating costs'!$B$46)^MAX(0,AB252-1)*(1-'Operating costs'!$B$45),AC252&gt;'Operating costs'!$B$18,AND(T252&lt;1,OR(AG252&lt;=0,AND(ISNUMBER(AH252),AG252&gt;AH252))),'Replacement plan'!$L$68&gt;INDEX(Products!$H$7:$H$13,MATCH('Replacement plan'!$B$68,Products!$A$7:$A$13,0))))),"Fails entered limits",IF(AND(D252="EV",E252&lt;120,OR(NOT(ISNUMBER(VLOOKUP($A252,'Fleet register'!$A$7:$S$106,7,FALSE))),NOT(ISNUMBER(VLOOKUP($A252,'Fleet register'!$A$7:$S$106,8,FALSE))),NOT(ISNUMBER(AF252)),'Replacement plan'!$I$68&lt;&gt;"Yes",NOT(ISNUMBER(AH252)),'Operating costs'!$B$59&lt;&gt;"Yes",'Operating costs'!$B$58&lt;&gt;"Yes")),"Unverified","Within entered limits"))))</f>
        <v>Excluded</v>
      </c>
      <c r="R252" s="1">
        <f>IF(C252=0,0,VLOOKUP($A252,'Fleet register'!$A$7:$S$106,6,FALSE))</f>
        <v>0</v>
      </c>
      <c r="S252" s="1">
        <f>IF(C252=0,0,VLOOKUP($A252,'Fleet register'!$A$7:$S$106,5,FALSE))</f>
        <v>0</v>
      </c>
      <c r="T252" s="1">
        <f>IF(D252="EV",'Energy and charging'!$B$12,0)</f>
        <v>0</v>
      </c>
      <c r="U252" s="1">
        <f>IFERROR(IF(C252=0,0,IF(D252="EV",IF('Replacement plan'!$F$68="",INDEX(Products!$E$7:$E$13,MATCH('Replacement plan'!$B$68,Products!$A$7:$A$13,0)),'Replacement plan'!$F$68)/IF('Replacement plan'!$G$68="Battery",1-'Operating costs'!$B$44,1),0)),"n.a.")</f>
        <v>0</v>
      </c>
      <c r="V252" s="1">
        <f>IFERROR(IF(C252=0,0,IF(D252="EV",IF('Replacement plan'!$E$68="",INDEX(Products!$D$7:$D$13,MATCH('Replacement plan'!$B$68,Products!$A$7:$A$13,0)),'Replacement plan'!$E$68),0)),"n.a.")</f>
        <v>0</v>
      </c>
      <c r="W252" s="1">
        <f>IF(C252=0,0,IF(AND(P252="Complete",D252="EV",E252&lt;120),IF(T252=0,0,ROUNDUP(T252*(R252-'Operating costs'!$B$41)*(S252*U252+'Operating costs'!$B$48/(1-'Operating costs'!$B$44))/(V252*'Operating costs'!$B$47/(1-'Operating costs'!$B$44)-T252*'Operating costs'!$B$12*U252),0)),0))</f>
        <v>0</v>
      </c>
      <c r="X252" s="1">
        <f>IF(C252=0,0,IF(AND(P252="Complete",D252="EV",E252&lt;120),(R252-'Operating costs'!$B$41)*(S252*U252+'Operating costs'!$B$48/(1-'Operating costs'!$B$44))+W252*'Operating costs'!$B$12*U252,0))</f>
        <v>0</v>
      </c>
      <c r="Y252" s="1">
        <f>IF(AND(C252=1,D252="EV",E252&lt;120),AI252/(1-'Operating costs'!$B$44)*(1-T252),0)</f>
        <v>0</v>
      </c>
      <c r="Z252" s="1">
        <f t="shared" si="6"/>
        <v>0</v>
      </c>
      <c r="AA252" s="1">
        <f>IF(C252=0,0,IF(P252="Complete",((S252*(R252-'Operating costs'!$B$40))+ROUNDUP(S252*(R252-'Operating costs'!$B$40)*IF('Replacement plan'!$AH$68="",'Operating costs'!$B$7,'Replacement plan'!$AH$68)/('Operating costs'!$B$8-'Operating costs'!$B$9*IF('Replacement plan'!$AH$68="",'Operating costs'!$B$7,'Replacement plan'!$AH$68)),0)*'Operating costs'!$B$9)*IF('Replacement plan'!$AH$68="",'Operating costs'!$B$7,'Replacement plan'!$AH$68),"n.a."))</f>
        <v>0</v>
      </c>
      <c r="AB252" s="1">
        <f t="shared" si="7"/>
        <v>0</v>
      </c>
      <c r="AC252" s="1">
        <f>IF(AND(C252=1,D252="EV",E252&lt;120,T252&gt;0),'Operating costs'!$B$12/'Operating costs'!$B$11*60+'Operating costs'!$B$13+'Operating costs'!$B$14+V252*'Operating costs'!$B$47/(1-'Operating costs'!$B$44)/'Replacement plan'!$L$68*60,0)</f>
        <v>0</v>
      </c>
      <c r="AD252" s="1" t="str">
        <f>'Replacement plan'!$B$68</f>
        <v>ChengLong L2EV</v>
      </c>
      <c r="AE252" s="1">
        <f>IF(C252=0,0,VLOOKUP($A252,'Fleet register'!$A$7:$S$106,8,FALSE))</f>
        <v>0</v>
      </c>
      <c r="AF252" s="1" t="str">
        <f>IF('Replacement plan'!$H$68="","n.a.",'Replacement plan'!$H$68)</f>
        <v>n.a.</v>
      </c>
      <c r="AG252" s="1">
        <f>'Replacement plan'!$J$68</f>
        <v>22</v>
      </c>
      <c r="AH252" s="1">
        <f>IFERROR(IF(D252="EV",IF('Replacement plan'!$K$68="AC",IF(ISNUMBER(INDEX(Products!$G$7:$G$13,MATCH('Replacement plan'!$B$68,Products!$A$7:$A$13,0))),INDEX(Products!$G$7:$G$13,MATCH('Replacement plan'!$B$68,Products!$A$7:$A$13,0)),"n.a."),IF(ISNUMBER(INDEX(Products!$H$7:$H$13,MATCH('Replacement plan'!$B$68,Products!$A$7:$A$13,0))),INDEX(Products!$H$7:$H$13,MATCH('Replacement plan'!$B$68,Products!$A$7:$A$13,0)),"n.a.")),0),"n.a.")</f>
        <v>0</v>
      </c>
      <c r="AI252" s="1">
        <f>IF(AND(C252=1,D252="EV",E252&lt;120),(VLOOKUP($A252,'Fleet register'!$A$7:$S$106,7,FALSE)+IF(T252&gt;0,'Operating costs'!$B$12,0))*U252*(1-'Operating costs'!$B$44)+'Operating costs'!$B$49,0)</f>
        <v>0</v>
      </c>
      <c r="AJ252" s="1">
        <f>IF(D252="EV",'Energy and charging'!$B$50,0)</f>
        <v>0</v>
      </c>
      <c r="AK252" s="17">
        <f>EDATE('Operating costs'!$B$63,E252)</f>
        <v>46298</v>
      </c>
      <c r="AL252" s="1">
        <f>IFERROR(IF(D252="EV",INDEX(Products!$B$7:$B$13,MATCH('Replacement plan'!$B$68,Products!$A$7:$A$13,0)),0),"n.a.")</f>
        <v>0</v>
      </c>
      <c r="AM252" s="1" t="str">
        <f>'Replacement plan'!$K$68</f>
        <v>DC</v>
      </c>
      <c r="AN252" s="1" t="str">
        <f>'Replacement plan'!$AE$68</f>
        <v>Assumed</v>
      </c>
      <c r="AO252" s="47">
        <f>IF(AND(C252=1,D252="EV",E252&lt;120),(R252-'Operating costs'!$B$41)*S252+W252*'Operating costs'!$B$12,0)</f>
        <v>0</v>
      </c>
      <c r="AP252" s="41">
        <f>IF(AND(C252=1,D252="EV",E252&lt;120),IF('Operating costs'!$B$68="Hong Seh 200k average",AO252*IFERROR(INDEX(Products!$P$7:$P$13,MATCH(AD252,Products!$A$7:$A$13,0)),"n.a."),'Operating costs'!$B$26),0)</f>
        <v>0</v>
      </c>
      <c r="AQ252" s="40" t="str">
        <f>IF(D252="EV",'Operating costs'!$B$68,"Not applicable")</f>
        <v>Not applicable</v>
      </c>
    </row>
    <row r="253" spans="1:43" ht="24" customHeight="1">
      <c r="A253" s="1" t="str">
        <f>'Replacement plan'!A68</f>
        <v>T062</v>
      </c>
      <c r="B253" s="1">
        <v>2</v>
      </c>
      <c r="C253" s="1">
        <f>IF(COUNTIFS('Fleet register'!$A$7:$A$106,$A253)=1,VLOOKUP($A253,'Fleet register'!$A$7:$S$106,2,FALSE),0)</f>
        <v>0</v>
      </c>
      <c r="D253" s="1" t="str">
        <f>IF('Replacement plan'!$O$68="EV","EV","ICE")</f>
        <v>ICE</v>
      </c>
      <c r="E253" s="1">
        <f>IF(C253=0,0,IF('Replacement plan'!$P$68="",IF('Replacement plan'!$O$68="Keep ICE",IF('Replacement plan'!$M$68="",VLOOKUP($A253,'Fleet register'!$A$7:$S$106,10,FALSE),'Replacement plan'!$M$68),0),'Replacement plan'!$P$68))</f>
        <v>0</v>
      </c>
      <c r="F253" s="16">
        <f>IF(C253=0,0,VLOOKUP($A253,'Fleet register'!$A$7:$S$106,11,FALSE))</f>
        <v>0</v>
      </c>
      <c r="G253" s="16">
        <f>IFERROR(IF(C253=0,0,IF(E253=120,0,IF(D253="ICE",'Replacement plan'!$C$68,IF('Replacement plan'!$D$68="",INDEX(Products!$I$7:$I$13,MATCH('Replacement plan'!$B$68,Products!$A$7:$A$13,0))+'Operating costs'!$B$57,'Replacement plan'!$D$68))*(1+'Operating costs'!$B$50)^(E253/12))),"n.a.")</f>
        <v>0</v>
      </c>
      <c r="H253" s="16">
        <f>IFERROR(IF(C253=0,0,IF('Replacement plan'!$U$68&lt;&gt;"",'Replacement plan'!$U$68,IF(E253=0,F253,VLOOKUP($A253,'Fleet register'!$A$7:$S$106,12,FALSE)+VLOOKUP($A253,'Fleet register'!$A$7:$S$106,13,FALSE)*MAX(0,VLOOKUP($A253,'Fleet register'!$A$7:$S$106,10,FALSE)-E253)/VLOOKUP($A253,'Fleet register'!$A$7:$S$106,14,FALSE)))),"n.a.")</f>
        <v>0</v>
      </c>
      <c r="I253" s="16">
        <f>IF(C253=0,0,IF(E253=120,0,'Replacement plan'!$Q$68))</f>
        <v>0</v>
      </c>
      <c r="J253" s="16">
        <f>IF(C253=0,0,IF(P253="Complete",((S253*(R253-'Operating costs'!$B$39))+ROUNDUP(S253*(R253-'Operating costs'!$B$39)*IF('Replacement plan'!$AG$68="",'Operating costs'!$B$7,'Replacement plan'!$AG$68)/('Operating costs'!$B$8-'Operating costs'!$B$9*IF('Replacement plan'!$AG$68="",'Operating costs'!$B$7,'Replacement plan'!$AG$68)),0)*'Operating costs'!$B$9)*IF('Replacement plan'!$AG$68="",'Operating costs'!$B$7,'Replacement plan'!$AG$68)*('Energy and charging'!$B$9*'Energy and charging'!$B$7+(1-'Energy and charging'!$B$9)*'Energy and charging'!$B$8)*'Operating costs'!$B$23,"n.a."))</f>
        <v>0</v>
      </c>
      <c r="K253" s="16">
        <f>IF(C253=0,0,IF(P253="Complete",SUM('Operating costs'!$B$24,'Operating costs'!$B$27,'Operating costs'!$B$29,'Operating costs'!$B$31,'Operating costs'!$B$33,'Operating costs'!$B$34,'Operating costs'!$B$37,'Replacement plan'!$W$68)+'Operating costs'!$B$39*'Operating costs'!$B$42+ROUNDUP(S253*(R253-'Operating costs'!$B$39)*IF('Replacement plan'!$AG$68="",'Operating costs'!$B$7,'Replacement plan'!$AG$68)/('Operating costs'!$B$8-'Operating costs'!$B$9*IF('Replacement plan'!$AG$68="",'Operating costs'!$B$7,'Replacement plan'!$AG$68)),0)*('Operating costs'!$B$9/'Operating costs'!$B$11+'Operating costs'!$B$10/60)*'Operating costs'!$B$19*'Operating costs'!$B$21,"n.a."))</f>
        <v>0</v>
      </c>
      <c r="L253" s="16">
        <f>IF(C253=0,0,IF(P253="Complete",IF(D253="EV",X253*((1-T253)*'Energy and charging'!$B$10+T253*'Energy and charging'!$B$11)*'Operating costs'!$B$22,AA253*('Energy and charging'!$B$9*'Energy and charging'!$B$7+(1-'Energy and charging'!$B$9)*'Energy and charging'!$B$8)*'Operating costs'!$B$23),"n.a."))</f>
        <v>0</v>
      </c>
      <c r="M253" s="37">
        <f>IF(C253=0,0,IF(P253="Complete",IF(D253="ICE",SUM('Operating costs'!$B$25,'Operating costs'!$B$27,'Operating costs'!$B$29,'Operating costs'!$B$31,'Operating costs'!$B$33,'Operating costs'!$B$35,'Operating costs'!$B$37,'Replacement plan'!$X$68)+'Operating costs'!$B$40*'Operating costs'!$B$42+ROUNDUP(S253*(R253-'Operating costs'!$B$40)*IF('Replacement plan'!$AH$68="",'Operating costs'!$B$7,'Replacement plan'!$AH$68)/('Operating costs'!$B$8-'Operating costs'!$B$9*IF('Replacement plan'!$AH$68="",'Operating costs'!$B$7,'Replacement plan'!$AH$68)),0)*('Operating costs'!$B$9/'Operating costs'!$B$11+'Operating costs'!$B$10/60)*'Operating costs'!$B$19*'Operating costs'!$B$21,SUM(AP253,'Operating costs'!$B$28,'Operating costs'!$B$30,'Operating costs'!$B$32,'Operating costs'!$B$33,'Operating costs'!$B$36,'Operating costs'!$B$38,'Replacement plan'!$Y$68)+'Operating costs'!$B$41*'Operating costs'!$B$43+W253*'Operating costs'!$B$15+(T253*X253/'Replacement plan'!$L$68+W253*('Operating costs'!$B$12/'Operating costs'!$B$11+('Operating costs'!$B$13+'Operating costs'!$B$14)/60)+(R253-'Operating costs'!$B$41)*(IF(T253&lt;1,'Operating costs'!$B$16,0)+'Operating costs'!$B$17)/60)*'Operating costs'!$B$19*'Operating costs'!$B$20),"n.a."))</f>
        <v>0</v>
      </c>
      <c r="N253" s="16">
        <f>IF(AND(C253=1,D253="EV",E253&lt;120,E253+'Replacement plan'!$AA$68&lt;=120),'Replacement plan'!$Z$68,0)</f>
        <v>0</v>
      </c>
      <c r="O253" s="1">
        <f>E253+'Replacement plan'!$AA$68</f>
        <v>0</v>
      </c>
      <c r="P253" s="35" t="str">
        <f>IFERROR(IF(C253=0,"Excluded",IF(OR(COUNTIFS('Fleet register'!$A$7:$A$106,A253)&lt;&gt;1,COUNTIFS('Replacement plan'!$A$7:$A$106,A253)&lt;&gt;1),"Duplicate/missing ID",IF(NOT(AND(ISNUMBER(VLOOKUP($A253,'Fleet register'!$A$7:$S$106,5,FALSE)),ISNUMBER(VLOOKUP($A253,'Fleet register'!$A$7:$S$106,6,FALSE)),ISNUMBER(VLOOKUP($A253,'Fleet register'!$A$7:$S$106,10,FALSE)),ISNUMBER(VLOOKUP($A253,'Fleet register'!$A$7:$S$106,11,FALSE)),ISNUMBER(VLOOKUP($A253,'Fleet register'!$A$7:$S$106,12,FALSE)),ISNUMBER(VLOOKUP($A253,'Fleet register'!$A$7:$S$106,13,FALSE)),ISNUMBER(VLOOKUP($A253,'Fleet register'!$A$7:$S$106,14,FALSE)),VLOOKUP($A253,'Fleet register'!$A$7:$S$106,14,FALSE)&gt;0,ISNUMBER('Replacement plan'!$C$68),OR(E253=120,ISNUMBER('Replacement plan'!$Q$68)),ISNUMBER(E253))),"Missing vehicle input",IF(OR(E253&lt;0,E253&gt;VLOOKUP($A253,'Fleet register'!$A$7:$S$106,10,FALSE),E253&gt;120,E253&lt;&gt;INT(E253),VLOOKUP($A253,'Fleet register'!$A$7:$S$106,6,FALSE)&lt;=0,VLOOKUP($A253,'Fleet register'!$A$7:$S$106,6,FALSE)&gt;366,VLOOKUP($A253,'Fleet register'!$A$7:$S$106,5,FALSE)&lt;0,VLOOKUP($A253,'Fleet register'!$A$7:$S$106,11,FALSE)&lt;0,I253&lt;0,'Operating costs'!$B$8&lt;='Operating costs'!$B$7*'Operating costs'!$B$9,'Operating costs'!$B$11&lt;=0,'Operating costs'!$B$39&gt;R253,'Operating costs'!$B$40&gt;R253,'Operating costs'!$B$41&gt;R253,NOT(OR('Replacement plan'!$O$68="Keep ICE",'Replacement plan'!$O$68="New ICE",'Replacement plan'!$O$68="EV"))),"Invalid vehicle input",IF(AND(D253="EV",E253&lt;120,OR(NOT(ISNUMBER(U253)),NOT(ISNUMBER(V253)),V253&lt;=0,T253&lt;0,T253&gt;1,'Replacement plan'!$L$68&lt;=0,'Operating costs'!$B$44&lt;0,'Operating costs'!$B$44&gt;=1,'Operating costs'!$B$47&lt;=0,'Operating costs'!$B$47&gt;1,V253*'Operating costs'!$B$47/(1-'Operating costs'!$B$44)&lt;=T253*'Operating costs'!$B$12*U253,AND('Replacement plan'!$Z$68&gt;0,OR('Replacement plan'!$AB$68&lt;&gt;"Yes",'Operating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charging'!$B$8&gt;=0))),ISNUMBER(VLOOKUP($A253,'Fleet register'!$A$7:$S$106,15,FALSE)),ISNUMBER(VLOOKUP($A253,'Fleet register'!$A$7:$S$106,16,FALSE)),ISNUMBER('Replacement plan'!$W$68),ISNUMBER('Replacement plan'!$X$68),OR(E253=120,AND(ISNUMBER(G253),G253&gt;=0)),ISNUMBER(H253),H253&gt;=0,OR(D253&lt;&gt;"EV",E253=120,AND(ISNUMBER('Operating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average",ISNUMBER(IFERROR(INDEX(Products!$P$7:$P$13,MATCH(AD253,Products!$A$7:$A$13,0)),"")))),ISNUMBER('Operating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plan'!$Y$68),ISNUMBER('Replacement plan'!$Z$68),'Replacement plan'!$Z$68&gt;=0,ISNUMBER('Replacement plan'!$AA$68),'Replacement plan'!$AA$68&gt;=0,'Replacement plan'!$AA$68=INT('Replacement plan'!$AA$68),ISNUMBER('Replacement plan'!$L$68))),'Operating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plan'!$AG$68="",'Operating costs'!$B$7,'Replacement plan'!$AG$68)),IF('Replacement plan'!$AG$68="",'Operating costs'!$B$7,'Replacement plan'!$AG$68)&gt;=0,ISNUMBER(IF('Replacement plan'!$AH$68="",'Operating costs'!$B$7,'Replacement plan'!$AH$68)),IF('Replacement plan'!$AH$68="",'Operating costs'!$B$7,'Replacement plan'!$AH$68)&gt;=0,'Operating costs'!$B$8&gt;MAX(IF('Replacement plan'!$AG$68="",'Operating costs'!$B$7,'Replacement plan'!$AG$68),IF('Replacement plan'!$AH$68="",'Operating costs'!$B$7,'Replacement plan'!$AH$68))*'Operating costs'!$B$9),IF(AND(VLOOKUP($A253,'Fleet register'!$A$7:$S$106,10,FALSE)&gt;=0,VLOOKUP($A253,'Fleet register'!$A$7:$S$106,10,FALSE)&lt;=120,VLOOKUP($A253,'Fleet register'!$A$7:$S$106,10,FALSE)=INT(VLOOKUP($A253,'Fleet register'!$A$7:$S$106,10,FALSE)),VLOOKUP($A253,'Fleet register'!$A$7:$S$106,15,FALSE)&gt;=0,VLOOKUP($A253,'Fleet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costs'!$B$67)&gt;=0,OR(D253&lt;&gt;"EV",E253=120,AND(MIN('Operating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53" s="1" t="str">
        <f>IF(C253=0,"Excluded",IF(P253&lt;&gt;"Complete",P253,IF(OR('Replacement plan'!$AD$68&lt;120-E253,AND(D253="EV",E253&lt;120,OR('Replacement plan'!$AC$68&lt;120-E253,'Replacement plan'!$I$68="No",AND(ISNUMBER(AF253),AE253&gt;AF253),AI253&gt;V253*(1-'Operating costs'!$B$46)^MAX(0,AB253-1)*(1-'Operating costs'!$B$45),AC253&gt;'Operating costs'!$B$18,AND(T253&lt;1,OR(AG253&lt;=0,AND(ISNUMBER(AH253),AG253&gt;AH253))),'Replacement plan'!$L$68&gt;INDEX(Products!$H$7:$H$13,MATCH('Replacement plan'!$B$68,Products!$A$7:$A$13,0))))),"Fails entered limits",IF(AND(D253="EV",E253&lt;120,OR(NOT(ISNUMBER(VLOOKUP($A253,'Fleet register'!$A$7:$S$106,7,FALSE))),NOT(ISNUMBER(VLOOKUP($A253,'Fleet register'!$A$7:$S$106,8,FALSE))),NOT(ISNUMBER(AF253)),'Replacement plan'!$I$68&lt;&gt;"Yes",NOT(ISNUMBER(AH253)),'Operating costs'!$B$59&lt;&gt;"Yes",'Operating costs'!$B$58&lt;&gt;"Yes")),"Unverified","Within entered limits"))))</f>
        <v>Excluded</v>
      </c>
      <c r="R253" s="1">
        <f>IF(C253=0,0,VLOOKUP($A253,'Fleet register'!$A$7:$S$106,6,FALSE))</f>
        <v>0</v>
      </c>
      <c r="S253" s="1">
        <f>IF(C253=0,0,VLOOKUP($A253,'Fleet register'!$A$7:$S$106,5,FALSE))</f>
        <v>0</v>
      </c>
      <c r="T253" s="1">
        <f>IF(D253="EV",'Energy and charging'!$B$12,0)</f>
        <v>0</v>
      </c>
      <c r="U253" s="1">
        <f>IFERROR(IF(C253=0,0,IF(D253="EV",IF('Replacement plan'!$F$68="",INDEX(Products!$E$7:$E$13,MATCH('Replacement plan'!$B$68,Products!$A$7:$A$13,0)),'Replacement plan'!$F$68)/IF('Replacement plan'!$G$68="Battery",1-'Operating costs'!$B$44,1),0)),"n.a.")</f>
        <v>0</v>
      </c>
      <c r="V253" s="1">
        <f>IFERROR(IF(C253=0,0,IF(D253="EV",IF('Replacement plan'!$E$68="",INDEX(Products!$D$7:$D$13,MATCH('Replacement plan'!$B$68,Products!$A$7:$A$13,0)),'Replacement plan'!$E$68),0)),"n.a.")</f>
        <v>0</v>
      </c>
      <c r="W253" s="1">
        <f>IF(C253=0,0,IF(AND(P253="Complete",D253="EV",E253&lt;120),IF(T253=0,0,ROUNDUP(T253*(R253-'Operating costs'!$B$41)*(S253*U253+'Operating costs'!$B$48/(1-'Operating costs'!$B$44))/(V253*'Operating costs'!$B$47/(1-'Operating costs'!$B$44)-T253*'Operating costs'!$B$12*U253),0)),0))</f>
        <v>0</v>
      </c>
      <c r="X253" s="1">
        <f>IF(C253=0,0,IF(AND(P253="Complete",D253="EV",E253&lt;120),(R253-'Operating costs'!$B$41)*(S253*U253+'Operating costs'!$B$48/(1-'Operating costs'!$B$44))+W253*'Operating costs'!$B$12*U253,0))</f>
        <v>0</v>
      </c>
      <c r="Y253" s="1">
        <f>IF(AND(C253=1,D253="EV",E253&lt;120),AI253/(1-'Operating costs'!$B$44)*(1-T253),0)</f>
        <v>0</v>
      </c>
      <c r="Z253" s="1">
        <f t="shared" si="6"/>
        <v>0</v>
      </c>
      <c r="AA253" s="1">
        <f>IF(C253=0,0,IF(P253="Complete",((S253*(R253-'Operating costs'!$B$40))+ROUNDUP(S253*(R253-'Operating costs'!$B$40)*IF('Replacement plan'!$AH$68="",'Operating costs'!$B$7,'Replacement plan'!$AH$68)/('Operating costs'!$B$8-'Operating costs'!$B$9*IF('Replacement plan'!$AH$68="",'Operating costs'!$B$7,'Replacement plan'!$AH$68)),0)*'Operating costs'!$B$9)*IF('Replacement plan'!$AH$68="",'Operating costs'!$B$7,'Replacement plan'!$AH$68),"n.a."))</f>
        <v>0</v>
      </c>
      <c r="AB253" s="1">
        <f t="shared" si="7"/>
        <v>0</v>
      </c>
      <c r="AC253" s="1">
        <f>IF(AND(C253=1,D253="EV",E253&lt;120,T253&gt;0),'Operating costs'!$B$12/'Operating costs'!$B$11*60+'Operating costs'!$B$13+'Operating costs'!$B$14+V253*'Operating costs'!$B$47/(1-'Operating costs'!$B$44)/'Replacement plan'!$L$68*60,0)</f>
        <v>0</v>
      </c>
      <c r="AD253" s="1" t="str">
        <f>'Replacement plan'!$B$68</f>
        <v>ChengLong L2EV</v>
      </c>
      <c r="AE253" s="1">
        <f>IF(C253=0,0,VLOOKUP($A253,'Fleet register'!$A$7:$S$106,8,FALSE))</f>
        <v>0</v>
      </c>
      <c r="AF253" s="1" t="str">
        <f>IF('Replacement plan'!$H$68="","n.a.",'Replacement plan'!$H$68)</f>
        <v>n.a.</v>
      </c>
      <c r="AG253" s="1">
        <f>'Replacement plan'!$J$68</f>
        <v>22</v>
      </c>
      <c r="AH253" s="1">
        <f>IFERROR(IF(D253="EV",IF('Replacement plan'!$K$68="AC",IF(ISNUMBER(INDEX(Products!$G$7:$G$13,MATCH('Replacement plan'!$B$68,Products!$A$7:$A$13,0))),INDEX(Products!$G$7:$G$13,MATCH('Replacement plan'!$B$68,Products!$A$7:$A$13,0)),"n.a."),IF(ISNUMBER(INDEX(Products!$H$7:$H$13,MATCH('Replacement plan'!$B$68,Products!$A$7:$A$13,0))),INDEX(Products!$H$7:$H$13,MATCH('Replacement plan'!$B$68,Products!$A$7:$A$13,0)),"n.a.")),0),"n.a.")</f>
        <v>0</v>
      </c>
      <c r="AI253" s="1">
        <f>IF(AND(C253=1,D253="EV",E253&lt;120),(VLOOKUP($A253,'Fleet register'!$A$7:$S$106,7,FALSE)+IF(T253&gt;0,'Operating costs'!$B$12,0))*U253*(1-'Operating costs'!$B$44)+'Operating costs'!$B$49,0)</f>
        <v>0</v>
      </c>
      <c r="AJ253" s="1">
        <f>IF(D253="EV",'Energy and charging'!$B$50,0)</f>
        <v>0</v>
      </c>
      <c r="AK253" s="17">
        <f>EDATE('Operating costs'!$B$63,E253)</f>
        <v>46298</v>
      </c>
      <c r="AL253" s="1">
        <f>IFERROR(IF(D253="EV",INDEX(Products!$B$7:$B$13,MATCH('Replacement plan'!$B$68,Products!$A$7:$A$13,0)),0),"n.a.")</f>
        <v>0</v>
      </c>
      <c r="AM253" s="1" t="str">
        <f>'Replacement plan'!$K$68</f>
        <v>DC</v>
      </c>
      <c r="AN253" s="1" t="str">
        <f>'Replacement plan'!$AE$68</f>
        <v>Assumed</v>
      </c>
      <c r="AO253" s="47">
        <f>IF(AND(C253=1,D253="EV",E253&lt;120),(R253-'Operating costs'!$B$41)*S253+W253*'Operating costs'!$B$12,0)</f>
        <v>0</v>
      </c>
      <c r="AP253" s="41">
        <f>IF(AND(C253=1,D253="EV",E253&lt;120),IF('Operating costs'!$B$68="Hong Seh 200k average",AO253*IFERROR(INDEX(Products!$P$7:$P$13,MATCH(AD253,Products!$A$7:$A$13,0)),"n.a."),'Operating costs'!$B$26),0)</f>
        <v>0</v>
      </c>
      <c r="AQ253" s="40" t="str">
        <f>IF(D253="EV",'Operating costs'!$B$68,"Not applicable")</f>
        <v>Not applicable</v>
      </c>
    </row>
    <row r="254" spans="1:43" ht="24" customHeight="1">
      <c r="A254" s="1" t="str">
        <f>'Replacement plan'!A68</f>
        <v>T062</v>
      </c>
      <c r="B254" s="1">
        <v>3</v>
      </c>
      <c r="C254" s="1">
        <f>IF(COUNTIFS('Fleet register'!$A$7:$A$106,$A254)=1,VLOOKUP($A254,'Fleet register'!$A$7:$S$106,2,FALSE),0)</f>
        <v>0</v>
      </c>
      <c r="D254" s="1" t="str">
        <f>IF('Replacement plan'!$R$68="EV","EV","ICE")</f>
        <v>ICE</v>
      </c>
      <c r="E254" s="1">
        <f>IF(C254=0,0,IF('Replacement plan'!$S$68="",IF('Replacement plan'!$R$68="Keep ICE",IF('Replacement plan'!$M$68="",VLOOKUP($A254,'Fleet register'!$A$7:$S$106,10,FALSE),'Replacement plan'!$M$68),0),'Replacement plan'!$S$68))</f>
        <v>0</v>
      </c>
      <c r="F254" s="16">
        <f>IF(C254=0,0,VLOOKUP($A254,'Fleet register'!$A$7:$S$106,11,FALSE))</f>
        <v>0</v>
      </c>
      <c r="G254" s="16">
        <f>IFERROR(IF(C254=0,0,IF(E254=120,0,IF(D254="ICE",'Replacement plan'!$C$68,IF('Replacement plan'!$D$68="",INDEX(Products!$I$7:$I$13,MATCH('Replacement plan'!$B$68,Products!$A$7:$A$13,0))+'Operating costs'!$B$57,'Replacement plan'!$D$68))*(1+'Operating costs'!$B$50)^(E254/12))),"n.a.")</f>
        <v>0</v>
      </c>
      <c r="H254" s="16">
        <f>IFERROR(IF(C254=0,0,IF('Replacement plan'!$V$68&lt;&gt;"",'Replacement plan'!$V$68,IF(E254=0,F254,VLOOKUP($A254,'Fleet register'!$A$7:$S$106,12,FALSE)+VLOOKUP($A254,'Fleet register'!$A$7:$S$106,13,FALSE)*MAX(0,VLOOKUP($A254,'Fleet register'!$A$7:$S$106,10,FALSE)-E254)/VLOOKUP($A254,'Fleet register'!$A$7:$S$106,14,FALSE)))),"n.a.")</f>
        <v>0</v>
      </c>
      <c r="I254" s="16">
        <f>IF(C254=0,0,IF(E254=120,0,'Replacement plan'!$T$68))</f>
        <v>0</v>
      </c>
      <c r="J254" s="16">
        <f>IF(C254=0,0,IF(P254="Complete",((S254*(R254-'Operating costs'!$B$39))+ROUNDUP(S254*(R254-'Operating costs'!$B$39)*IF('Replacement plan'!$AG$68="",'Operating costs'!$B$7,'Replacement plan'!$AG$68)/('Operating costs'!$B$8-'Operating costs'!$B$9*IF('Replacement plan'!$AG$68="",'Operating costs'!$B$7,'Replacement plan'!$AG$68)),0)*'Operating costs'!$B$9)*IF('Replacement plan'!$AG$68="",'Operating costs'!$B$7,'Replacement plan'!$AG$68)*('Energy and charging'!$C$9*'Energy and charging'!$C$7+(1-'Energy and charging'!$C$9)*'Energy and charging'!$C$8)*'Operating costs'!$B$23,"n.a."))</f>
        <v>0</v>
      </c>
      <c r="K254" s="16">
        <f>IF(C254=0,0,IF(P254="Complete",SUM('Operating costs'!$B$24,'Operating costs'!$B$27,'Operating costs'!$B$29,'Operating costs'!$B$31,'Operating costs'!$B$33,'Operating costs'!$B$34,'Operating costs'!$B$37,'Replacement plan'!$W$68)+'Operating costs'!$B$39*'Operating costs'!$B$42+ROUNDUP(S254*(R254-'Operating costs'!$B$39)*IF('Replacement plan'!$AG$68="",'Operating costs'!$B$7,'Replacement plan'!$AG$68)/('Operating costs'!$B$8-'Operating costs'!$B$9*IF('Replacement plan'!$AG$68="",'Operating costs'!$B$7,'Replacement plan'!$AG$68)),0)*('Operating costs'!$B$9/'Operating costs'!$B$11+'Operating costs'!$B$10/60)*'Operating costs'!$B$19*'Operating costs'!$B$21,"n.a."))</f>
        <v>0</v>
      </c>
      <c r="L254" s="16">
        <f>IF(C254=0,0,IF(P254="Complete",IF(D254="EV",X254*((1-T254)*'Energy and charging'!$C$10+T254*'Energy and charging'!$C$11)*'Operating costs'!$B$22,AA254*('Energy and charging'!$C$9*'Energy and charging'!$C$7+(1-'Energy and charging'!$C$9)*'Energy and charging'!$C$8)*'Operating costs'!$B$23),"n.a."))</f>
        <v>0</v>
      </c>
      <c r="M254" s="37">
        <f>IF(C254=0,0,IF(P254="Complete",IF(D254="ICE",SUM('Operating costs'!$B$25,'Operating costs'!$B$27,'Operating costs'!$B$29,'Operating costs'!$B$31,'Operating costs'!$B$33,'Operating costs'!$B$35,'Operating costs'!$B$37,'Replacement plan'!$X$68)+'Operating costs'!$B$40*'Operating costs'!$B$42+ROUNDUP(S254*(R254-'Operating costs'!$B$40)*IF('Replacement plan'!$AH$68="",'Operating costs'!$B$7,'Replacement plan'!$AH$68)/('Operating costs'!$B$8-'Operating costs'!$B$9*IF('Replacement plan'!$AH$68="",'Operating costs'!$B$7,'Replacement plan'!$AH$68)),0)*('Operating costs'!$B$9/'Operating costs'!$B$11+'Operating costs'!$B$10/60)*'Operating costs'!$B$19*'Operating costs'!$B$21,SUM(AP254,'Operating costs'!$B$28,'Operating costs'!$B$30,'Operating costs'!$B$32,'Operating costs'!$B$33,'Operating costs'!$B$36,'Operating costs'!$B$38,'Replacement plan'!$Y$68)+'Operating costs'!$B$41*'Operating costs'!$B$43+W254*'Operating costs'!$B$15+(T254*X254/'Replacement plan'!$L$68+W254*('Operating costs'!$B$12/'Operating costs'!$B$11+('Operating costs'!$B$13+'Operating costs'!$B$14)/60)+(R254-'Operating costs'!$B$41)*(IF(T254&lt;1,'Operating costs'!$B$16,0)+'Operating costs'!$B$17)/60)*'Operating costs'!$B$19*'Operating costs'!$B$20),"n.a."))</f>
        <v>0</v>
      </c>
      <c r="N254" s="16">
        <f>IF(AND(C254=1,D254="EV",E254&lt;120,E254+'Replacement plan'!$AA$68&lt;=120),'Replacement plan'!$Z$68,0)</f>
        <v>0</v>
      </c>
      <c r="O254" s="1">
        <f>E254+'Replacement plan'!$AA$68</f>
        <v>0</v>
      </c>
      <c r="P254" s="35" t="str">
        <f>IFERROR(IF(C254=0,"Excluded",IF(OR(COUNTIFS('Fleet register'!$A$7:$A$106,A254)&lt;&gt;1,COUNTIFS('Replacement plan'!$A$7:$A$106,A254)&lt;&gt;1),"Duplicate/missing ID",IF(NOT(AND(ISNUMBER(VLOOKUP($A254,'Fleet register'!$A$7:$S$106,5,FALSE)),ISNUMBER(VLOOKUP($A254,'Fleet register'!$A$7:$S$106,6,FALSE)),ISNUMBER(VLOOKUP($A254,'Fleet register'!$A$7:$S$106,10,FALSE)),ISNUMBER(VLOOKUP($A254,'Fleet register'!$A$7:$S$106,11,FALSE)),ISNUMBER(VLOOKUP($A254,'Fleet register'!$A$7:$S$106,12,FALSE)),ISNUMBER(VLOOKUP($A254,'Fleet register'!$A$7:$S$106,13,FALSE)),ISNUMBER(VLOOKUP($A254,'Fleet register'!$A$7:$S$106,14,FALSE)),VLOOKUP($A254,'Fleet register'!$A$7:$S$106,14,FALSE)&gt;0,ISNUMBER('Replacement plan'!$C$68),OR(E254=120,ISNUMBER('Replacement plan'!$T$68)),ISNUMBER(E254))),"Missing vehicle input",IF(OR(E254&lt;0,E254&gt;VLOOKUP($A254,'Fleet register'!$A$7:$S$106,10,FALSE),E254&gt;120,E254&lt;&gt;INT(E254),VLOOKUP($A254,'Fleet register'!$A$7:$S$106,6,FALSE)&lt;=0,VLOOKUP($A254,'Fleet register'!$A$7:$S$106,6,FALSE)&gt;366,VLOOKUP($A254,'Fleet register'!$A$7:$S$106,5,FALSE)&lt;0,VLOOKUP($A254,'Fleet register'!$A$7:$S$106,11,FALSE)&lt;0,I254&lt;0,'Operating costs'!$B$8&lt;='Operating costs'!$B$7*'Operating costs'!$B$9,'Operating costs'!$B$11&lt;=0,'Operating costs'!$B$39&gt;R254,'Operating costs'!$B$40&gt;R254,'Operating costs'!$B$41&gt;R254,NOT(OR('Replacement plan'!$R$68="Keep ICE",'Replacement plan'!$R$68="New ICE",'Replacement plan'!$R$68="EV"))),"Invalid vehicle input",IF(AND(D254="EV",E254&lt;120,OR(NOT(ISNUMBER(U254)),NOT(ISNUMBER(V254)),V254&lt;=0,T254&lt;0,T254&gt;1,'Replacement plan'!$L$68&lt;=0,'Operating costs'!$B$44&lt;0,'Operating costs'!$B$44&gt;=1,'Operating costs'!$B$47&lt;=0,'Operating costs'!$B$47&gt;1,V254*'Operating costs'!$B$47/(1-'Operating costs'!$B$44)&lt;=T254*'Operating costs'!$B$12*U254,AND('Replacement plan'!$Z$68&gt;0,OR('Replacement plan'!$AB$68&lt;&gt;"Yes",'Operating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charging'!$C$8&gt;=0))),ISNUMBER(VLOOKUP($A254,'Fleet register'!$A$7:$S$106,15,FALSE)),ISNUMBER(VLOOKUP($A254,'Fleet register'!$A$7:$S$106,16,FALSE)),ISNUMBER('Replacement plan'!$W$68),ISNUMBER('Replacement plan'!$X$68),OR(E254=120,AND(ISNUMBER(G254),G254&gt;=0)),ISNUMBER(H254),H254&gt;=0,OR(D254&lt;&gt;"EV",E254=120,AND(ISNUMBER('Operating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average",ISNUMBER(IFERROR(INDEX(Products!$P$7:$P$13,MATCH(AD254,Products!$A$7:$A$13,0)),"")))),ISNUMBER('Operating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plan'!$Y$68),ISNUMBER('Replacement plan'!$Z$68),'Replacement plan'!$Z$68&gt;=0,ISNUMBER('Replacement plan'!$AA$68),'Replacement plan'!$AA$68&gt;=0,'Replacement plan'!$AA$68=INT('Replacement plan'!$AA$68),ISNUMBER('Replacement plan'!$L$68))),'Operating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plan'!$AG$68="",'Operating costs'!$B$7,'Replacement plan'!$AG$68)),IF('Replacement plan'!$AG$68="",'Operating costs'!$B$7,'Replacement plan'!$AG$68)&gt;=0,ISNUMBER(IF('Replacement plan'!$AH$68="",'Operating costs'!$B$7,'Replacement plan'!$AH$68)),IF('Replacement plan'!$AH$68="",'Operating costs'!$B$7,'Replacement plan'!$AH$68)&gt;=0,'Operating costs'!$B$8&gt;MAX(IF('Replacement plan'!$AG$68="",'Operating costs'!$B$7,'Replacement plan'!$AG$68),IF('Replacement plan'!$AH$68="",'Operating costs'!$B$7,'Replacement plan'!$AH$68))*'Operating costs'!$B$9),IF(AND(VLOOKUP($A254,'Fleet register'!$A$7:$S$106,10,FALSE)&gt;=0,VLOOKUP($A254,'Fleet register'!$A$7:$S$106,10,FALSE)&lt;=120,VLOOKUP($A254,'Fleet register'!$A$7:$S$106,10,FALSE)=INT(VLOOKUP($A254,'Fleet register'!$A$7:$S$106,10,FALSE)),VLOOKUP($A254,'Fleet register'!$A$7:$S$106,15,FALSE)&gt;=0,VLOOKUP($A254,'Fleet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costs'!$B$67)&gt;=0,OR(D254&lt;&gt;"EV",E254=120,AND(MIN('Operating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54" s="1" t="str">
        <f>IF(C254=0,"Excluded",IF(P254&lt;&gt;"Complete",P254,IF(OR('Replacement plan'!$AD$68&lt;120-E254,AND(D254="EV",E254&lt;120,OR('Replacement plan'!$AC$68&lt;120-E254,'Replacement plan'!$I$68="No",AND(ISNUMBER(AF254),AE254&gt;AF254),AI254&gt;V254*(1-'Operating costs'!$B$46)^MAX(0,AB254-1)*(1-'Operating costs'!$B$45),AC254&gt;'Operating costs'!$B$18,AND(T254&lt;1,OR(AG254&lt;=0,AND(ISNUMBER(AH254),AG254&gt;AH254))),'Replacement plan'!$L$68&gt;INDEX(Products!$H$7:$H$13,MATCH('Replacement plan'!$B$68,Products!$A$7:$A$13,0))))),"Fails entered limits",IF(AND(D254="EV",E254&lt;120,OR(NOT(ISNUMBER(VLOOKUP($A254,'Fleet register'!$A$7:$S$106,7,FALSE))),NOT(ISNUMBER(VLOOKUP($A254,'Fleet register'!$A$7:$S$106,8,FALSE))),NOT(ISNUMBER(AF254)),'Replacement plan'!$I$68&lt;&gt;"Yes",NOT(ISNUMBER(AH254)),'Operating costs'!$B$59&lt;&gt;"Yes",'Operating costs'!$B$58&lt;&gt;"Yes")),"Unverified","Within entered limits"))))</f>
        <v>Excluded</v>
      </c>
      <c r="R254" s="1">
        <f>IF(C254=0,0,VLOOKUP($A254,'Fleet register'!$A$7:$S$106,6,FALSE))</f>
        <v>0</v>
      </c>
      <c r="S254" s="1">
        <f>IF(C254=0,0,VLOOKUP($A254,'Fleet register'!$A$7:$S$106,5,FALSE))</f>
        <v>0</v>
      </c>
      <c r="T254" s="1">
        <f>IF(D254="EV",'Energy and charging'!$C$12,0)</f>
        <v>0</v>
      </c>
      <c r="U254" s="1">
        <f>IFERROR(IF(C254=0,0,IF(D254="EV",IF('Replacement plan'!$F$68="",INDEX(Products!$E$7:$E$13,MATCH('Replacement plan'!$B$68,Products!$A$7:$A$13,0)),'Replacement plan'!$F$68)/IF('Replacement plan'!$G$68="Battery",1-'Operating costs'!$B$44,1),0)),"n.a.")</f>
        <v>0</v>
      </c>
      <c r="V254" s="1">
        <f>IFERROR(IF(C254=0,0,IF(D254="EV",IF('Replacement plan'!$E$68="",INDEX(Products!$D$7:$D$13,MATCH('Replacement plan'!$B$68,Products!$A$7:$A$13,0)),'Replacement plan'!$E$68),0)),"n.a.")</f>
        <v>0</v>
      </c>
      <c r="W254" s="1">
        <f>IF(C254=0,0,IF(AND(P254="Complete",D254="EV",E254&lt;120),IF(T254=0,0,ROUNDUP(T254*(R254-'Operating costs'!$B$41)*(S254*U254+'Operating costs'!$B$48/(1-'Operating costs'!$B$44))/(V254*'Operating costs'!$B$47/(1-'Operating costs'!$B$44)-T254*'Operating costs'!$B$12*U254),0)),0))</f>
        <v>0</v>
      </c>
      <c r="X254" s="1">
        <f>IF(C254=0,0,IF(AND(P254="Complete",D254="EV",E254&lt;120),(R254-'Operating costs'!$B$41)*(S254*U254+'Operating costs'!$B$48/(1-'Operating costs'!$B$44))+W254*'Operating costs'!$B$12*U254,0))</f>
        <v>0</v>
      </c>
      <c r="Y254" s="1">
        <f>IF(AND(C254=1,D254="EV",E254&lt;120),AI254/(1-'Operating costs'!$B$44)*(1-T254),0)</f>
        <v>0</v>
      </c>
      <c r="Z254" s="1">
        <f t="shared" si="6"/>
        <v>0</v>
      </c>
      <c r="AA254" s="1">
        <f>IF(C254=0,0,IF(P254="Complete",((S254*(R254-'Operating costs'!$B$40))+ROUNDUP(S254*(R254-'Operating costs'!$B$40)*IF('Replacement plan'!$AH$68="",'Operating costs'!$B$7,'Replacement plan'!$AH$68)/('Operating costs'!$B$8-'Operating costs'!$B$9*IF('Replacement plan'!$AH$68="",'Operating costs'!$B$7,'Replacement plan'!$AH$68)),0)*'Operating costs'!$B$9)*IF('Replacement plan'!$AH$68="",'Operating costs'!$B$7,'Replacement plan'!$AH$68),"n.a."))</f>
        <v>0</v>
      </c>
      <c r="AB254" s="1">
        <f t="shared" si="7"/>
        <v>0</v>
      </c>
      <c r="AC254" s="1">
        <f>IF(AND(C254=1,D254="EV",E254&lt;120,T254&gt;0),'Operating costs'!$B$12/'Operating costs'!$B$11*60+'Operating costs'!$B$13+'Operating costs'!$B$14+V254*'Operating costs'!$B$47/(1-'Operating costs'!$B$44)/'Replacement plan'!$L$68*60,0)</f>
        <v>0</v>
      </c>
      <c r="AD254" s="1" t="str">
        <f>'Replacement plan'!$B$68</f>
        <v>ChengLong L2EV</v>
      </c>
      <c r="AE254" s="1">
        <f>IF(C254=0,0,VLOOKUP($A254,'Fleet register'!$A$7:$S$106,8,FALSE))</f>
        <v>0</v>
      </c>
      <c r="AF254" s="1" t="str">
        <f>IF('Replacement plan'!$H$68="","n.a.",'Replacement plan'!$H$68)</f>
        <v>n.a.</v>
      </c>
      <c r="AG254" s="1">
        <f>'Replacement plan'!$J$68</f>
        <v>22</v>
      </c>
      <c r="AH254" s="1">
        <f>IFERROR(IF(D254="EV",IF('Replacement plan'!$K$68="AC",IF(ISNUMBER(INDEX(Products!$G$7:$G$13,MATCH('Replacement plan'!$B$68,Products!$A$7:$A$13,0))),INDEX(Products!$G$7:$G$13,MATCH('Replacement plan'!$B$68,Products!$A$7:$A$13,0)),"n.a."),IF(ISNUMBER(INDEX(Products!$H$7:$H$13,MATCH('Replacement plan'!$B$68,Products!$A$7:$A$13,0))),INDEX(Products!$H$7:$H$13,MATCH('Replacement plan'!$B$68,Products!$A$7:$A$13,0)),"n.a.")),0),"n.a.")</f>
        <v>0</v>
      </c>
      <c r="AI254" s="1">
        <f>IF(AND(C254=1,D254="EV",E254&lt;120),(VLOOKUP($A254,'Fleet register'!$A$7:$S$106,7,FALSE)+IF(T254&gt;0,'Operating costs'!$B$12,0))*U254*(1-'Operating costs'!$B$44)+'Operating costs'!$B$49,0)</f>
        <v>0</v>
      </c>
      <c r="AJ254" s="1">
        <f>IF(D254="EV",'Energy and charging'!$C$50,0)</f>
        <v>0</v>
      </c>
      <c r="AK254" s="17">
        <f>EDATE('Operating costs'!$B$63,E254)</f>
        <v>46298</v>
      </c>
      <c r="AL254" s="1">
        <f>IFERROR(IF(D254="EV",INDEX(Products!$B$7:$B$13,MATCH('Replacement plan'!$B$68,Products!$A$7:$A$13,0)),0),"n.a.")</f>
        <v>0</v>
      </c>
      <c r="AM254" s="1" t="str">
        <f>'Replacement plan'!$K$68</f>
        <v>DC</v>
      </c>
      <c r="AN254" s="1" t="str">
        <f>'Replacement plan'!$AE$68</f>
        <v>Assumed</v>
      </c>
      <c r="AO254" s="47">
        <f>IF(AND(C254=1,D254="EV",E254&lt;120),(R254-'Operating costs'!$B$41)*S254+W254*'Operating costs'!$B$12,0)</f>
        <v>0</v>
      </c>
      <c r="AP254" s="41">
        <f>IF(AND(C254=1,D254="EV",E254&lt;120),IF('Operating costs'!$B$68="Hong Seh 200k average",AO254*IFERROR(INDEX(Products!$P$7:$P$13,MATCH(AD254,Products!$A$7:$A$13,0)),"n.a."),'Operating costs'!$B$26),0)</f>
        <v>0</v>
      </c>
      <c r="AQ254" s="40" t="str">
        <f>IF(D254="EV",'Operating costs'!$B$68,"Not applicable")</f>
        <v>Not applicable</v>
      </c>
    </row>
    <row r="255" spans="1:43" ht="24" customHeight="1">
      <c r="A255" s="1" t="str">
        <f>'Replacement plan'!A69</f>
        <v>T063</v>
      </c>
      <c r="B255" s="1">
        <v>0</v>
      </c>
      <c r="C255" s="1">
        <f>IF(COUNTIFS('Fleet register'!$A$7:$A$106,$A255)=1,VLOOKUP($A255,'Fleet register'!$A$7:$S$106,2,FALSE),0)</f>
        <v>0</v>
      </c>
      <c r="D255" s="1" t="str">
        <f>IF("Keep ICE"="EV","EV","ICE")</f>
        <v>ICE</v>
      </c>
      <c r="E255" s="1">
        <f>IF(C255=0,0,IF('Replacement plan'!$M$69="",VLOOKUP($A255,'Fleet register'!$A$7:$S$106,10,FALSE),'Replacement plan'!$M$69))</f>
        <v>0</v>
      </c>
      <c r="F255" s="16">
        <f>IF(C255=0,0,VLOOKUP($A255,'Fleet register'!$A$7:$S$106,11,FALSE))</f>
        <v>0</v>
      </c>
      <c r="G255" s="16">
        <f>IFERROR(IF(C255=0,0,IF(E255=120,0,IF(D255="ICE",'Replacement plan'!$C$69,IF('Replacement plan'!$D$69="",INDEX(Products!$I$7:$I$13,MATCH('Replacement plan'!$B$69,Products!$A$7:$A$13,0))+'Operating costs'!$B$57,'Replacement plan'!$D$69))*(1+'Operating costs'!$B$50)^(E255/12))),"n.a.")</f>
        <v>0</v>
      </c>
      <c r="H255" s="16">
        <f>IFERROR(IF(C255=0,0,IF(E255=0,F255,VLOOKUP($A255,'Fleet register'!$A$7:$S$106,12,FALSE)+VLOOKUP($A255,'Fleet register'!$A$7:$S$106,13,FALSE)*MAX(0,VLOOKUP($A255,'Fleet register'!$A$7:$S$106,10,FALSE)-E255)/VLOOKUP($A255,'Fleet register'!$A$7:$S$106,14,FALSE))),"n.a.")</f>
        <v>0</v>
      </c>
      <c r="I255" s="16">
        <f>IF(C255=0,0,IF(E255=120,0,'Replacement plan'!$N$69))</f>
        <v>0</v>
      </c>
      <c r="J255" s="16">
        <f>IF(C255=0,0,IF(P255="Complete",((S255*(R255-'Operating costs'!$B$39))+ROUNDUP(S255*(R255-'Operating costs'!$B$39)*IF('Replacement plan'!$AG$69="",'Operating costs'!$B$7,'Replacement plan'!$AG$69)/('Operating costs'!$B$8-'Operating costs'!$B$9*IF('Replacement plan'!$AG$69="",'Operating costs'!$B$7,'Replacement plan'!$AG$69)),0)*'Operating costs'!$B$9)*IF('Replacement plan'!$AG$69="",'Operating costs'!$B$7,'Replacement plan'!$AG$69)*('Energy and charging'!$B$9*'Energy and charging'!$B$7+(1-'Energy and charging'!$B$9)*'Energy and charging'!$B$8)*'Operating costs'!$B$23,"n.a."))</f>
        <v>0</v>
      </c>
      <c r="K255" s="16">
        <f>IF(C255=0,0,IF(P255="Complete",SUM('Operating costs'!$B$24,'Operating costs'!$B$27,'Operating costs'!$B$29,'Operating costs'!$B$31,'Operating costs'!$B$33,'Operating costs'!$B$34,'Operating costs'!$B$37,'Replacement plan'!$W$69)+'Operating costs'!$B$39*'Operating costs'!$B$42+ROUNDUP(S255*(R255-'Operating costs'!$B$39)*IF('Replacement plan'!$AG$69="",'Operating costs'!$B$7,'Replacement plan'!$AG$69)/('Operating costs'!$B$8-'Operating costs'!$B$9*IF('Replacement plan'!$AG$69="",'Operating costs'!$B$7,'Replacement plan'!$AG$69)),0)*('Operating costs'!$B$9/'Operating costs'!$B$11+'Operating costs'!$B$10/60)*'Operating costs'!$B$19*'Operating costs'!$B$21,"n.a."))</f>
        <v>0</v>
      </c>
      <c r="L255" s="16">
        <f>IF(C255=0,0,IF(P255="Complete",IF(D255="EV",X255*((1-T255)*'Energy and charging'!$B$10+T255*'Energy and charging'!$B$11)*'Operating costs'!$B$22,AA255*('Energy and charging'!$B$9*'Energy and charging'!$B$7+(1-'Energy and charging'!$B$9)*'Energy and charging'!$B$8)*'Operating costs'!$B$23),"n.a."))</f>
        <v>0</v>
      </c>
      <c r="M255" s="37">
        <f>IF(C255=0,0,IF(P255="Complete",IF(D255="ICE",SUM('Operating costs'!$B$25,'Operating costs'!$B$27,'Operating costs'!$B$29,'Operating costs'!$B$31,'Operating costs'!$B$33,'Operating costs'!$B$35,'Operating costs'!$B$37,'Replacement plan'!$X$69)+'Operating costs'!$B$40*'Operating costs'!$B$42+ROUNDUP(S255*(R255-'Operating costs'!$B$40)*IF('Replacement plan'!$AH$69="",'Operating costs'!$B$7,'Replacement plan'!$AH$69)/('Operating costs'!$B$8-'Operating costs'!$B$9*IF('Replacement plan'!$AH$69="",'Operating costs'!$B$7,'Replacement plan'!$AH$69)),0)*('Operating costs'!$B$9/'Operating costs'!$B$11+'Operating costs'!$B$10/60)*'Operating costs'!$B$19*'Operating costs'!$B$21,SUM(AP255,'Operating costs'!$B$28,'Operating costs'!$B$30,'Operating costs'!$B$32,'Operating costs'!$B$33,'Operating costs'!$B$36,'Operating costs'!$B$38,'Replacement plan'!$Y$69)+'Operating costs'!$B$41*'Operating costs'!$B$43+W255*'Operating costs'!$B$15+(T255*X255/'Replacement plan'!$L$69+W255*('Operating costs'!$B$12/'Operating costs'!$B$11+('Operating costs'!$B$13+'Operating costs'!$B$14)/60)+(R255-'Operating costs'!$B$41)*(IF(T255&lt;1,'Operating costs'!$B$16,0)+'Operating costs'!$B$17)/60)*'Operating costs'!$B$19*'Operating costs'!$B$20),"n.a."))</f>
        <v>0</v>
      </c>
      <c r="N255" s="16">
        <f>IF(AND(C255=1,D255="EV",E255&lt;120,E255+'Replacement plan'!$AA$69&lt;=120),'Replacement plan'!$Z$69,0)</f>
        <v>0</v>
      </c>
      <c r="O255" s="1">
        <f>E255+'Replacement plan'!$AA$69</f>
        <v>0</v>
      </c>
      <c r="P255" s="35" t="str">
        <f>IFERROR(IF(C255=0,"Excluded",IF(OR(COUNTIFS('Fleet register'!$A$7:$A$106,A255)&lt;&gt;1,COUNTIFS('Replacement plan'!$A$7:$A$106,A255)&lt;&gt;1),"Duplicate/missing ID",IF(NOT(AND(ISNUMBER(VLOOKUP($A255,'Fleet register'!$A$7:$S$106,5,FALSE)),ISNUMBER(VLOOKUP($A255,'Fleet register'!$A$7:$S$106,6,FALSE)),ISNUMBER(VLOOKUP($A255,'Fleet register'!$A$7:$S$106,10,FALSE)),ISNUMBER(VLOOKUP($A255,'Fleet register'!$A$7:$S$106,11,FALSE)),ISNUMBER(VLOOKUP($A255,'Fleet register'!$A$7:$S$106,12,FALSE)),ISNUMBER(VLOOKUP($A255,'Fleet register'!$A$7:$S$106,13,FALSE)),ISNUMBER(VLOOKUP($A255,'Fleet register'!$A$7:$S$106,14,FALSE)),VLOOKUP($A255,'Fleet register'!$A$7:$S$106,14,FALSE)&gt;0,ISNUMBER('Replacement plan'!$C$69),OR(E255=120,ISNUMBER('Replacement plan'!$N$69)),ISNUMBER(E255))),"Missing vehicle input",IF(OR(E255&lt;0,E255&gt;VLOOKUP($A255,'Fleet register'!$A$7:$S$106,10,FALSE),E255&gt;120,E255&lt;&gt;INT(E255),VLOOKUP($A255,'Fleet register'!$A$7:$S$106,6,FALSE)&lt;=0,VLOOKUP($A255,'Fleet register'!$A$7:$S$106,6,FALSE)&gt;366,VLOOKUP($A255,'Fleet register'!$A$7:$S$106,5,FALSE)&lt;0,VLOOKUP($A255,'Fleet register'!$A$7:$S$106,11,FALSE)&lt;0,I255&lt;0,'Operating costs'!$B$8&lt;='Operating costs'!$B$7*'Operating costs'!$B$9,'Operating costs'!$B$11&lt;=0,'Operating costs'!$B$39&gt;R255,'Operating costs'!$B$40&gt;R255,'Operating costs'!$B$41&gt;R255,NOT(OR("Keep ICE"="Keep ICE","Keep ICE"="New ICE","Keep ICE"="EV"))),"Invalid vehicle input",IF(AND(D255="EV",E255&lt;120,OR(NOT(ISNUMBER(U255)),NOT(ISNUMBER(V255)),V255&lt;=0,T255&lt;0,T255&gt;1,'Replacement plan'!$L$69&lt;=0,'Operating costs'!$B$44&lt;0,'Operating costs'!$B$44&gt;=1,'Operating costs'!$B$47&lt;=0,'Operating costs'!$B$47&gt;1,V255*'Operating costs'!$B$47/(1-'Operating costs'!$B$44)&lt;=T255*'Operating costs'!$B$12*U255,AND('Replacement plan'!$Z$69&gt;0,OR('Replacement plan'!$AB$69&lt;&gt;"Yes",'Operating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charging'!$B$8&gt;=0))),ISNUMBER(VLOOKUP($A255,'Fleet register'!$A$7:$S$106,15,FALSE)),ISNUMBER(VLOOKUP($A255,'Fleet register'!$A$7:$S$106,16,FALSE)),ISNUMBER('Replacement plan'!$W$69),ISNUMBER('Replacement plan'!$X$69),OR(E255=120,AND(ISNUMBER(G255),G255&gt;=0)),ISNUMBER(H255),H255&gt;=0,OR(D255&lt;&gt;"EV",E255=120,AND(ISNUMBER('Operating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average",ISNUMBER(IFERROR(INDEX(Products!$P$7:$P$13,MATCH(AD255,Products!$A$7:$A$13,0)),"")))),ISNUMBER('Operating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plan'!$Y$69),ISNUMBER('Replacement plan'!$Z$69),'Replacement plan'!$Z$69&gt;=0,ISNUMBER('Replacement plan'!$AA$69),'Replacement plan'!$AA$69&gt;=0,'Replacement plan'!$AA$69=INT('Replacement plan'!$AA$69),ISNUMBER('Replacement plan'!$L$69))),'Operating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plan'!$AG$69="",'Operating costs'!$B$7,'Replacement plan'!$AG$69)),IF('Replacement plan'!$AG$69="",'Operating costs'!$B$7,'Replacement plan'!$AG$69)&gt;=0,ISNUMBER(IF('Replacement plan'!$AH$69="",'Operating costs'!$B$7,'Replacement plan'!$AH$69)),IF('Replacement plan'!$AH$69="",'Operating costs'!$B$7,'Replacement plan'!$AH$69)&gt;=0,'Operating costs'!$B$8&gt;MAX(IF('Replacement plan'!$AG$69="",'Operating costs'!$B$7,'Replacement plan'!$AG$69),IF('Replacement plan'!$AH$69="",'Operating costs'!$B$7,'Replacement plan'!$AH$69))*'Operating costs'!$B$9),IF(AND(VLOOKUP($A255,'Fleet register'!$A$7:$S$106,10,FALSE)&gt;=0,VLOOKUP($A255,'Fleet register'!$A$7:$S$106,10,FALSE)&lt;=120,VLOOKUP($A255,'Fleet register'!$A$7:$S$106,10,FALSE)=INT(VLOOKUP($A255,'Fleet register'!$A$7:$S$106,10,FALSE)),VLOOKUP($A255,'Fleet register'!$A$7:$S$106,15,FALSE)&gt;=0,VLOOKUP($A255,'Fleet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costs'!$B$67)&gt;=0,OR(D255&lt;&gt;"EV",E255=120,AND(MIN('Operating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55" s="1" t="str">
        <f>IF(C255=0,"Excluded",IF(P255&lt;&gt;"Complete",P255,IF(OR('Replacement plan'!$AD$69&lt;120-E255,AND(D255="EV",E255&lt;120,OR('Replacement plan'!$AC$69&lt;120-E255,'Replacement plan'!$I$69="No",AND(ISNUMBER(AF255),AE255&gt;AF255),AI255&gt;V255*(1-'Operating costs'!$B$46)^MAX(0,AB255-1)*(1-'Operating costs'!$B$45),AC255&gt;'Operating costs'!$B$18,AND(T255&lt;1,OR(AG255&lt;=0,AND(ISNUMBER(AH255),AG255&gt;AH255))),'Replacement plan'!$L$69&gt;INDEX(Products!$H$7:$H$13,MATCH('Replacement plan'!$B$69,Products!$A$7:$A$13,0))))),"Fails entered limits",IF(AND(D255="EV",E255&lt;120,OR(NOT(ISNUMBER(VLOOKUP($A255,'Fleet register'!$A$7:$S$106,7,FALSE))),NOT(ISNUMBER(VLOOKUP($A255,'Fleet register'!$A$7:$S$106,8,FALSE))),NOT(ISNUMBER(AF255)),'Replacement plan'!$I$69&lt;&gt;"Yes",NOT(ISNUMBER(AH255)),'Operating costs'!$B$59&lt;&gt;"Yes",'Operating costs'!$B$58&lt;&gt;"Yes")),"Unverified","Within entered limits"))))</f>
        <v>Excluded</v>
      </c>
      <c r="R255" s="1">
        <f>IF(C255=0,0,VLOOKUP($A255,'Fleet register'!$A$7:$S$106,6,FALSE))</f>
        <v>0</v>
      </c>
      <c r="S255" s="1">
        <f>IF(C255=0,0,VLOOKUP($A255,'Fleet register'!$A$7:$S$106,5,FALSE))</f>
        <v>0</v>
      </c>
      <c r="T255" s="1">
        <f>IF(D255="EV",'Energy and charging'!$B$12,0)</f>
        <v>0</v>
      </c>
      <c r="U255" s="1">
        <f>IFERROR(IF(C255=0,0,IF(D255="EV",IF('Replacement plan'!$F$69="",INDEX(Products!$E$7:$E$13,MATCH('Replacement plan'!$B$69,Products!$A$7:$A$13,0)),'Replacement plan'!$F$69)/IF('Replacement plan'!$G$69="Battery",1-'Operating costs'!$B$44,1),0)),"n.a.")</f>
        <v>0</v>
      </c>
      <c r="V255" s="1">
        <f>IFERROR(IF(C255=0,0,IF(D255="EV",IF('Replacement plan'!$E$69="",INDEX(Products!$D$7:$D$13,MATCH('Replacement plan'!$B$69,Products!$A$7:$A$13,0)),'Replacement plan'!$E$69),0)),"n.a.")</f>
        <v>0</v>
      </c>
      <c r="W255" s="1">
        <f>IF(C255=0,0,IF(AND(P255="Complete",D255="EV",E255&lt;120),IF(T255=0,0,ROUNDUP(T255*(R255-'Operating costs'!$B$41)*(S255*U255+'Operating costs'!$B$48/(1-'Operating costs'!$B$44))/(V255*'Operating costs'!$B$47/(1-'Operating costs'!$B$44)-T255*'Operating costs'!$B$12*U255),0)),0))</f>
        <v>0</v>
      </c>
      <c r="X255" s="1">
        <f>IF(C255=0,0,IF(AND(P255="Complete",D255="EV",E255&lt;120),(R255-'Operating costs'!$B$41)*(S255*U255+'Operating costs'!$B$48/(1-'Operating costs'!$B$44))+W255*'Operating costs'!$B$12*U255,0))</f>
        <v>0</v>
      </c>
      <c r="Y255" s="1">
        <f>IF(AND(C255=1,D255="EV",E255&lt;120),AI255/(1-'Operating costs'!$B$44)*(1-T255),0)</f>
        <v>0</v>
      </c>
      <c r="Z255" s="1">
        <f t="shared" si="6"/>
        <v>0</v>
      </c>
      <c r="AA255" s="1">
        <f>IF(C255=0,0,IF(P255="Complete",((S255*(R255-'Operating costs'!$B$40))+ROUNDUP(S255*(R255-'Operating costs'!$B$40)*IF('Replacement plan'!$AH$69="",'Operating costs'!$B$7,'Replacement plan'!$AH$69)/('Operating costs'!$B$8-'Operating costs'!$B$9*IF('Replacement plan'!$AH$69="",'Operating costs'!$B$7,'Replacement plan'!$AH$69)),0)*'Operating costs'!$B$9)*IF('Replacement plan'!$AH$69="",'Operating costs'!$B$7,'Replacement plan'!$AH$69),"n.a."))</f>
        <v>0</v>
      </c>
      <c r="AB255" s="1">
        <f t="shared" si="7"/>
        <v>0</v>
      </c>
      <c r="AC255" s="1">
        <f>IF(AND(C255=1,D255="EV",E255&lt;120,T255&gt;0),'Operating costs'!$B$12/'Operating costs'!$B$11*60+'Operating costs'!$B$13+'Operating costs'!$B$14+V255*'Operating costs'!$B$47/(1-'Operating costs'!$B$44)/'Replacement plan'!$L$69*60,0)</f>
        <v>0</v>
      </c>
      <c r="AD255" s="1" t="str">
        <f>'Replacement plan'!$B$69</f>
        <v>ChengLong L2EV</v>
      </c>
      <c r="AE255" s="1">
        <f>IF(C255=0,0,VLOOKUP($A255,'Fleet register'!$A$7:$S$106,8,FALSE))</f>
        <v>0</v>
      </c>
      <c r="AF255" s="1" t="str">
        <f>IF('Replacement plan'!$H$69="","n.a.",'Replacement plan'!$H$69)</f>
        <v>n.a.</v>
      </c>
      <c r="AG255" s="1">
        <f>'Replacement plan'!$J$69</f>
        <v>22</v>
      </c>
      <c r="AH255" s="1">
        <f>IFERROR(IF(D255="EV",IF('Replacement plan'!$K$69="AC",IF(ISNUMBER(INDEX(Products!$G$7:$G$13,MATCH('Replacement plan'!$B$69,Products!$A$7:$A$13,0))),INDEX(Products!$G$7:$G$13,MATCH('Replacement plan'!$B$69,Products!$A$7:$A$13,0)),"n.a."),IF(ISNUMBER(INDEX(Products!$H$7:$H$13,MATCH('Replacement plan'!$B$69,Products!$A$7:$A$13,0))),INDEX(Products!$H$7:$H$13,MATCH('Replacement plan'!$B$69,Products!$A$7:$A$13,0)),"n.a.")),0),"n.a.")</f>
        <v>0</v>
      </c>
      <c r="AI255" s="1">
        <f>IF(AND(C255=1,D255="EV",E255&lt;120),(VLOOKUP($A255,'Fleet register'!$A$7:$S$106,7,FALSE)+IF(T255&gt;0,'Operating costs'!$B$12,0))*U255*(1-'Operating costs'!$B$44)+'Operating costs'!$B$49,0)</f>
        <v>0</v>
      </c>
      <c r="AJ255" s="1">
        <f>IF(D255="EV",'Energy and charging'!$B$50,0)</f>
        <v>0</v>
      </c>
      <c r="AK255" s="17">
        <f>EDATE('Operating costs'!$B$63,E255)</f>
        <v>46298</v>
      </c>
      <c r="AL255" s="1">
        <f>IFERROR(IF(D255="EV",INDEX(Products!$B$7:$B$13,MATCH('Replacement plan'!$B$69,Products!$A$7:$A$13,0)),0),"n.a.")</f>
        <v>0</v>
      </c>
      <c r="AM255" s="1" t="str">
        <f>'Replacement plan'!$K$69</f>
        <v>DC</v>
      </c>
      <c r="AN255" s="1" t="str">
        <f>'Replacement plan'!$AE$69</f>
        <v>Assumed</v>
      </c>
      <c r="AO255" s="47">
        <f>IF(AND(C255=1,D255="EV",E255&lt;120),(R255-'Operating costs'!$B$41)*S255+W255*'Operating costs'!$B$12,0)</f>
        <v>0</v>
      </c>
      <c r="AP255" s="41">
        <f>IF(AND(C255=1,D255="EV",E255&lt;120),IF('Operating costs'!$B$68="Hong Seh 200k average",AO255*IFERROR(INDEX(Products!$P$7:$P$13,MATCH(AD255,Products!$A$7:$A$13,0)),"n.a."),'Operating costs'!$B$26),0)</f>
        <v>0</v>
      </c>
      <c r="AQ255" s="40" t="str">
        <f>IF(D255="EV",'Operating costs'!$B$68,"Not applicable")</f>
        <v>Not applicable</v>
      </c>
    </row>
    <row r="256" spans="1:43" ht="24" customHeight="1">
      <c r="A256" s="1" t="str">
        <f>'Replacement plan'!A69</f>
        <v>T063</v>
      </c>
      <c r="B256" s="1">
        <v>1</v>
      </c>
      <c r="C256" s="1">
        <f>IF(COUNTIFS('Fleet register'!$A$7:$A$106,$A256)=1,VLOOKUP($A256,'Fleet register'!$A$7:$S$106,2,FALSE),0)</f>
        <v>0</v>
      </c>
      <c r="D256" s="1" t="str">
        <f>IF("New ICE"="EV","EV","ICE")</f>
        <v>ICE</v>
      </c>
      <c r="E256" s="1">
        <f>IF(C256=0,0,0)</f>
        <v>0</v>
      </c>
      <c r="F256" s="16">
        <f>IF(C256=0,0,VLOOKUP($A256,'Fleet register'!$A$7:$S$106,11,FALSE))</f>
        <v>0</v>
      </c>
      <c r="G256" s="16">
        <f>IFERROR(IF(C256=0,0,IF(E256=120,0,IF(D256="ICE",'Replacement plan'!$C$69,IF('Replacement plan'!$D$69="",INDEX(Products!$I$7:$I$13,MATCH('Replacement plan'!$B$69,Products!$A$7:$A$13,0))+'Operating costs'!$B$57,'Replacement plan'!$D$69))*(1+'Operating costs'!$B$50)^(E256/12))),"n.a.")</f>
        <v>0</v>
      </c>
      <c r="H256" s="16">
        <f>IFERROR(IF(C256=0,0,IF(E256=0,F256,VLOOKUP($A256,'Fleet register'!$A$7:$S$106,12,FALSE)+VLOOKUP($A256,'Fleet register'!$A$7:$S$106,13,FALSE)*MAX(0,VLOOKUP($A256,'Fleet register'!$A$7:$S$106,10,FALSE)-E256)/VLOOKUP($A256,'Fleet register'!$A$7:$S$106,14,FALSE))),"n.a.")</f>
        <v>0</v>
      </c>
      <c r="I256" s="16">
        <f>IF(C256=0,0,IF(E256=120,0,IF('Replacement plan'!$AI$69="",'Operating costs'!$B$56,'Replacement plan'!$AI$69)))</f>
        <v>0</v>
      </c>
      <c r="J256" s="16">
        <f>IF(C256=0,0,IF(P256="Complete",((S256*(R256-'Operating costs'!$B$39))+ROUNDUP(S256*(R256-'Operating costs'!$B$39)*IF('Replacement plan'!$AG$69="",'Operating costs'!$B$7,'Replacement plan'!$AG$69)/('Operating costs'!$B$8-'Operating costs'!$B$9*IF('Replacement plan'!$AG$69="",'Operating costs'!$B$7,'Replacement plan'!$AG$69)),0)*'Operating costs'!$B$9)*IF('Replacement plan'!$AG$69="",'Operating costs'!$B$7,'Replacement plan'!$AG$69)*('Energy and charging'!$B$9*'Energy and charging'!$B$7+(1-'Energy and charging'!$B$9)*'Energy and charging'!$B$8)*'Operating costs'!$B$23,"n.a."))</f>
        <v>0</v>
      </c>
      <c r="K256" s="16">
        <f>IF(C256=0,0,IF(P256="Complete",SUM('Operating costs'!$B$24,'Operating costs'!$B$27,'Operating costs'!$B$29,'Operating costs'!$B$31,'Operating costs'!$B$33,'Operating costs'!$B$34,'Operating costs'!$B$37,'Replacement plan'!$W$69)+'Operating costs'!$B$39*'Operating costs'!$B$42+ROUNDUP(S256*(R256-'Operating costs'!$B$39)*IF('Replacement plan'!$AG$69="",'Operating costs'!$B$7,'Replacement plan'!$AG$69)/('Operating costs'!$B$8-'Operating costs'!$B$9*IF('Replacement plan'!$AG$69="",'Operating costs'!$B$7,'Replacement plan'!$AG$69)),0)*('Operating costs'!$B$9/'Operating costs'!$B$11+'Operating costs'!$B$10/60)*'Operating costs'!$B$19*'Operating costs'!$B$21,"n.a."))</f>
        <v>0</v>
      </c>
      <c r="L256" s="16">
        <f>IF(C256=0,0,IF(P256="Complete",IF(D256="EV",X256*((1-T256)*'Energy and charging'!$B$10+T256*'Energy and charging'!$B$11)*'Operating costs'!$B$22,AA256*('Energy and charging'!$B$9*'Energy and charging'!$B$7+(1-'Energy and charging'!$B$9)*'Energy and charging'!$B$8)*'Operating costs'!$B$23),"n.a."))</f>
        <v>0</v>
      </c>
      <c r="M256" s="37">
        <f>IF(C256=0,0,IF(P256="Complete",IF(D256="ICE",SUM('Operating costs'!$B$25,'Operating costs'!$B$27,'Operating costs'!$B$29,'Operating costs'!$B$31,'Operating costs'!$B$33,'Operating costs'!$B$35,'Operating costs'!$B$37,'Replacement plan'!$X$69)+'Operating costs'!$B$40*'Operating costs'!$B$42+ROUNDUP(S256*(R256-'Operating costs'!$B$40)*IF('Replacement plan'!$AH$69="",'Operating costs'!$B$7,'Replacement plan'!$AH$69)/('Operating costs'!$B$8-'Operating costs'!$B$9*IF('Replacement plan'!$AH$69="",'Operating costs'!$B$7,'Replacement plan'!$AH$69)),0)*('Operating costs'!$B$9/'Operating costs'!$B$11+'Operating costs'!$B$10/60)*'Operating costs'!$B$19*'Operating costs'!$B$21,SUM(AP256,'Operating costs'!$B$28,'Operating costs'!$B$30,'Operating costs'!$B$32,'Operating costs'!$B$33,'Operating costs'!$B$36,'Operating costs'!$B$38,'Replacement plan'!$Y$69)+'Operating costs'!$B$41*'Operating costs'!$B$43+W256*'Operating costs'!$B$15+(T256*X256/'Replacement plan'!$L$69+W256*('Operating costs'!$B$12/'Operating costs'!$B$11+('Operating costs'!$B$13+'Operating costs'!$B$14)/60)+(R256-'Operating costs'!$B$41)*(IF(T256&lt;1,'Operating costs'!$B$16,0)+'Operating costs'!$B$17)/60)*'Operating costs'!$B$19*'Operating costs'!$B$20),"n.a."))</f>
        <v>0</v>
      </c>
      <c r="N256" s="16">
        <f>IF(AND(C256=1,D256="EV",E256&lt;120,E256+'Replacement plan'!$AA$69&lt;=120),'Replacement plan'!$Z$69,0)</f>
        <v>0</v>
      </c>
      <c r="O256" s="1">
        <f>E256+'Replacement plan'!$AA$69</f>
        <v>0</v>
      </c>
      <c r="P256" s="35" t="str">
        <f>IFERROR(IF(C256=0,"Excluded",IF(OR(COUNTIFS('Fleet register'!$A$7:$A$106,A256)&lt;&gt;1,COUNTIFS('Replacement plan'!$A$7:$A$106,A256)&lt;&gt;1),"Duplicate/missing ID",IF(NOT(AND(ISNUMBER(VLOOKUP($A256,'Fleet register'!$A$7:$S$106,5,FALSE)),ISNUMBER(VLOOKUP($A256,'Fleet register'!$A$7:$S$106,6,FALSE)),ISNUMBER(VLOOKUP($A256,'Fleet register'!$A$7:$S$106,10,FALSE)),ISNUMBER(VLOOKUP($A256,'Fleet register'!$A$7:$S$106,11,FALSE)),ISNUMBER(VLOOKUP($A256,'Fleet register'!$A$7:$S$106,12,FALSE)),ISNUMBER(VLOOKUP($A256,'Fleet register'!$A$7:$S$106,13,FALSE)),ISNUMBER(VLOOKUP($A256,'Fleet register'!$A$7:$S$106,14,FALSE)),VLOOKUP($A256,'Fleet register'!$A$7:$S$106,14,FALSE)&gt;0,ISNUMBER('Replacement plan'!$C$69),OR(E256=120,OR(ISNUMBER('Replacement plan'!$AI$69),AND('Replacement plan'!$AI$69="",ISNUMBER('Operating costs'!$B$56)))),ISNUMBER(E256))),"Missing vehicle input",IF(OR(E256&lt;0,E256&gt;VLOOKUP($A256,'Fleet register'!$A$7:$S$106,10,FALSE),E256&gt;120,E256&lt;&gt;INT(E256),VLOOKUP($A256,'Fleet register'!$A$7:$S$106,6,FALSE)&lt;=0,VLOOKUP($A256,'Fleet register'!$A$7:$S$106,6,FALSE)&gt;366,VLOOKUP($A256,'Fleet register'!$A$7:$S$106,5,FALSE)&lt;0,VLOOKUP($A256,'Fleet register'!$A$7:$S$106,11,FALSE)&lt;0,I256&lt;0,'Operating costs'!$B$8&lt;='Operating costs'!$B$7*'Operating costs'!$B$9,'Operating costs'!$B$11&lt;=0,'Operating costs'!$B$39&gt;R256,'Operating costs'!$B$40&gt;R256,'Operating costs'!$B$41&gt;R256,NOT(OR("New ICE"="Keep ICE","New ICE"="New ICE","New ICE"="EV"))),"Invalid vehicle input",IF(AND(D256="EV",E256&lt;120,OR(NOT(ISNUMBER(U256)),NOT(ISNUMBER(V256)),V256&lt;=0,T256&lt;0,T256&gt;1,'Replacement plan'!$L$69&lt;=0,'Operating costs'!$B$44&lt;0,'Operating costs'!$B$44&gt;=1,'Operating costs'!$B$47&lt;=0,'Operating costs'!$B$47&gt;1,V256*'Operating costs'!$B$47/(1-'Operating costs'!$B$44)&lt;=T256*'Operating costs'!$B$12*U256,AND('Replacement plan'!$Z$69&gt;0,OR('Replacement plan'!$AB$69&lt;&gt;"Yes",'Operating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charging'!$B$8&gt;=0))),ISNUMBER(VLOOKUP($A256,'Fleet register'!$A$7:$S$106,15,FALSE)),ISNUMBER(VLOOKUP($A256,'Fleet register'!$A$7:$S$106,16,FALSE)),ISNUMBER('Replacement plan'!$W$69),ISNUMBER('Replacement plan'!$X$69),OR(E256=120,AND(ISNUMBER(G256),G256&gt;=0)),ISNUMBER(H256),H256&gt;=0,OR(D256&lt;&gt;"EV",E256=120,AND(ISNUMBER('Operating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average",ISNUMBER(IFERROR(INDEX(Products!$P$7:$P$13,MATCH(AD256,Products!$A$7:$A$13,0)),"")))),ISNUMBER('Operating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plan'!$Y$69),ISNUMBER('Replacement plan'!$Z$69),'Replacement plan'!$Z$69&gt;=0,ISNUMBER('Replacement plan'!$AA$69),'Replacement plan'!$AA$69&gt;=0,'Replacement plan'!$AA$69=INT('Replacement plan'!$AA$69),ISNUMBER('Replacement plan'!$L$69))),'Operating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plan'!$AG$69="",'Operating costs'!$B$7,'Replacement plan'!$AG$69)),IF('Replacement plan'!$AG$69="",'Operating costs'!$B$7,'Replacement plan'!$AG$69)&gt;=0,ISNUMBER(IF('Replacement plan'!$AH$69="",'Operating costs'!$B$7,'Replacement plan'!$AH$69)),IF('Replacement plan'!$AH$69="",'Operating costs'!$B$7,'Replacement plan'!$AH$69)&gt;=0,'Operating costs'!$B$8&gt;MAX(IF('Replacement plan'!$AG$69="",'Operating costs'!$B$7,'Replacement plan'!$AG$69),IF('Replacement plan'!$AH$69="",'Operating costs'!$B$7,'Replacement plan'!$AH$69))*'Operating costs'!$B$9),IF(AND(VLOOKUP($A256,'Fleet register'!$A$7:$S$106,10,FALSE)&gt;=0,VLOOKUP($A256,'Fleet register'!$A$7:$S$106,10,FALSE)&lt;=120,VLOOKUP($A256,'Fleet register'!$A$7:$S$106,10,FALSE)=INT(VLOOKUP($A256,'Fleet register'!$A$7:$S$106,10,FALSE)),VLOOKUP($A256,'Fleet register'!$A$7:$S$106,15,FALSE)&gt;=0,VLOOKUP($A256,'Fleet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costs'!$B$67)&gt;=0,OR(D256&lt;&gt;"EV",E256=120,AND(MIN('Operating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56" s="1" t="str">
        <f>IF(C256=0,"Excluded",IF(P256&lt;&gt;"Complete",P256,IF(OR('Replacement plan'!$AD$69&lt;120-E256,AND(D256="EV",E256&lt;120,OR('Replacement plan'!$AC$69&lt;120-E256,'Replacement plan'!$I$69="No",AND(ISNUMBER(AF256),AE256&gt;AF256),AI256&gt;V256*(1-'Operating costs'!$B$46)^MAX(0,AB256-1)*(1-'Operating costs'!$B$45),AC256&gt;'Operating costs'!$B$18,AND(T256&lt;1,OR(AG256&lt;=0,AND(ISNUMBER(AH256),AG256&gt;AH256))),'Replacement plan'!$L$69&gt;INDEX(Products!$H$7:$H$13,MATCH('Replacement plan'!$B$69,Products!$A$7:$A$13,0))))),"Fails entered limits",IF(AND(D256="EV",E256&lt;120,OR(NOT(ISNUMBER(VLOOKUP($A256,'Fleet register'!$A$7:$S$106,7,FALSE))),NOT(ISNUMBER(VLOOKUP($A256,'Fleet register'!$A$7:$S$106,8,FALSE))),NOT(ISNUMBER(AF256)),'Replacement plan'!$I$69&lt;&gt;"Yes",NOT(ISNUMBER(AH256)),'Operating costs'!$B$59&lt;&gt;"Yes",'Operating costs'!$B$58&lt;&gt;"Yes")),"Unverified","Within entered limits"))))</f>
        <v>Excluded</v>
      </c>
      <c r="R256" s="1">
        <f>IF(C256=0,0,VLOOKUP($A256,'Fleet register'!$A$7:$S$106,6,FALSE))</f>
        <v>0</v>
      </c>
      <c r="S256" s="1">
        <f>IF(C256=0,0,VLOOKUP($A256,'Fleet register'!$A$7:$S$106,5,FALSE))</f>
        <v>0</v>
      </c>
      <c r="T256" s="1">
        <f>IF(D256="EV",'Energy and charging'!$B$12,0)</f>
        <v>0</v>
      </c>
      <c r="U256" s="1">
        <f>IFERROR(IF(C256=0,0,IF(D256="EV",IF('Replacement plan'!$F$69="",INDEX(Products!$E$7:$E$13,MATCH('Replacement plan'!$B$69,Products!$A$7:$A$13,0)),'Replacement plan'!$F$69)/IF('Replacement plan'!$G$69="Battery",1-'Operating costs'!$B$44,1),0)),"n.a.")</f>
        <v>0</v>
      </c>
      <c r="V256" s="1">
        <f>IFERROR(IF(C256=0,0,IF(D256="EV",IF('Replacement plan'!$E$69="",INDEX(Products!$D$7:$D$13,MATCH('Replacement plan'!$B$69,Products!$A$7:$A$13,0)),'Replacement plan'!$E$69),0)),"n.a.")</f>
        <v>0</v>
      </c>
      <c r="W256" s="1">
        <f>IF(C256=0,0,IF(AND(P256="Complete",D256="EV",E256&lt;120),IF(T256=0,0,ROUNDUP(T256*(R256-'Operating costs'!$B$41)*(S256*U256+'Operating costs'!$B$48/(1-'Operating costs'!$B$44))/(V256*'Operating costs'!$B$47/(1-'Operating costs'!$B$44)-T256*'Operating costs'!$B$12*U256),0)),0))</f>
        <v>0</v>
      </c>
      <c r="X256" s="1">
        <f>IF(C256=0,0,IF(AND(P256="Complete",D256="EV",E256&lt;120),(R256-'Operating costs'!$B$41)*(S256*U256+'Operating costs'!$B$48/(1-'Operating costs'!$B$44))+W256*'Operating costs'!$B$12*U256,0))</f>
        <v>0</v>
      </c>
      <c r="Y256" s="1">
        <f>IF(AND(C256=1,D256="EV",E256&lt;120),AI256/(1-'Operating costs'!$B$44)*(1-T256),0)</f>
        <v>0</v>
      </c>
      <c r="Z256" s="1">
        <f t="shared" si="6"/>
        <v>0</v>
      </c>
      <c r="AA256" s="1">
        <f>IF(C256=0,0,IF(P256="Complete",((S256*(R256-'Operating costs'!$B$40))+ROUNDUP(S256*(R256-'Operating costs'!$B$40)*IF('Replacement plan'!$AH$69="",'Operating costs'!$B$7,'Replacement plan'!$AH$69)/('Operating costs'!$B$8-'Operating costs'!$B$9*IF('Replacement plan'!$AH$69="",'Operating costs'!$B$7,'Replacement plan'!$AH$69)),0)*'Operating costs'!$B$9)*IF('Replacement plan'!$AH$69="",'Operating costs'!$B$7,'Replacement plan'!$AH$69),"n.a."))</f>
        <v>0</v>
      </c>
      <c r="AB256" s="1">
        <f t="shared" si="7"/>
        <v>0</v>
      </c>
      <c r="AC256" s="1">
        <f>IF(AND(C256=1,D256="EV",E256&lt;120,T256&gt;0),'Operating costs'!$B$12/'Operating costs'!$B$11*60+'Operating costs'!$B$13+'Operating costs'!$B$14+V256*'Operating costs'!$B$47/(1-'Operating costs'!$B$44)/'Replacement plan'!$L$69*60,0)</f>
        <v>0</v>
      </c>
      <c r="AD256" s="1" t="str">
        <f>'Replacement plan'!$B$69</f>
        <v>ChengLong L2EV</v>
      </c>
      <c r="AE256" s="1">
        <f>IF(C256=0,0,VLOOKUP($A256,'Fleet register'!$A$7:$S$106,8,FALSE))</f>
        <v>0</v>
      </c>
      <c r="AF256" s="1" t="str">
        <f>IF('Replacement plan'!$H$69="","n.a.",'Replacement plan'!$H$69)</f>
        <v>n.a.</v>
      </c>
      <c r="AG256" s="1">
        <f>'Replacement plan'!$J$69</f>
        <v>22</v>
      </c>
      <c r="AH256" s="1">
        <f>IFERROR(IF(D256="EV",IF('Replacement plan'!$K$69="AC",IF(ISNUMBER(INDEX(Products!$G$7:$G$13,MATCH('Replacement plan'!$B$69,Products!$A$7:$A$13,0))),INDEX(Products!$G$7:$G$13,MATCH('Replacement plan'!$B$69,Products!$A$7:$A$13,0)),"n.a."),IF(ISNUMBER(INDEX(Products!$H$7:$H$13,MATCH('Replacement plan'!$B$69,Products!$A$7:$A$13,0))),INDEX(Products!$H$7:$H$13,MATCH('Replacement plan'!$B$69,Products!$A$7:$A$13,0)),"n.a.")),0),"n.a.")</f>
        <v>0</v>
      </c>
      <c r="AI256" s="1">
        <f>IF(AND(C256=1,D256="EV",E256&lt;120),(VLOOKUP($A256,'Fleet register'!$A$7:$S$106,7,FALSE)+IF(T256&gt;0,'Operating costs'!$B$12,0))*U256*(1-'Operating costs'!$B$44)+'Operating costs'!$B$49,0)</f>
        <v>0</v>
      </c>
      <c r="AJ256" s="1">
        <f>IF(D256="EV",'Energy and charging'!$B$50,0)</f>
        <v>0</v>
      </c>
      <c r="AK256" s="17">
        <f>EDATE('Operating costs'!$B$63,E256)</f>
        <v>46298</v>
      </c>
      <c r="AL256" s="1">
        <f>IFERROR(IF(D256="EV",INDEX(Products!$B$7:$B$13,MATCH('Replacement plan'!$B$69,Products!$A$7:$A$13,0)),0),"n.a.")</f>
        <v>0</v>
      </c>
      <c r="AM256" s="1" t="str">
        <f>'Replacement plan'!$K$69</f>
        <v>DC</v>
      </c>
      <c r="AN256" s="1" t="str">
        <f>'Replacement plan'!$AE$69</f>
        <v>Assumed</v>
      </c>
      <c r="AO256" s="47">
        <f>IF(AND(C256=1,D256="EV",E256&lt;120),(R256-'Operating costs'!$B$41)*S256+W256*'Operating costs'!$B$12,0)</f>
        <v>0</v>
      </c>
      <c r="AP256" s="41">
        <f>IF(AND(C256=1,D256="EV",E256&lt;120),IF('Operating costs'!$B$68="Hong Seh 200k average",AO256*IFERROR(INDEX(Products!$P$7:$P$13,MATCH(AD256,Products!$A$7:$A$13,0)),"n.a."),'Operating costs'!$B$26),0)</f>
        <v>0</v>
      </c>
      <c r="AQ256" s="40" t="str">
        <f>IF(D256="EV",'Operating costs'!$B$68,"Not applicable")</f>
        <v>Not applicable</v>
      </c>
    </row>
    <row r="257" spans="1:43" ht="24" customHeight="1">
      <c r="A257" s="1" t="str">
        <f>'Replacement plan'!A69</f>
        <v>T063</v>
      </c>
      <c r="B257" s="1">
        <v>2</v>
      </c>
      <c r="C257" s="1">
        <f>IF(COUNTIFS('Fleet register'!$A$7:$A$106,$A257)=1,VLOOKUP($A257,'Fleet register'!$A$7:$S$106,2,FALSE),0)</f>
        <v>0</v>
      </c>
      <c r="D257" s="1" t="str">
        <f>IF('Replacement plan'!$O$69="EV","EV","ICE")</f>
        <v>ICE</v>
      </c>
      <c r="E257" s="1">
        <f>IF(C257=0,0,IF('Replacement plan'!$P$69="",IF('Replacement plan'!$O$69="Keep ICE",IF('Replacement plan'!$M$69="",VLOOKUP($A257,'Fleet register'!$A$7:$S$106,10,FALSE),'Replacement plan'!$M$69),0),'Replacement plan'!$P$69))</f>
        <v>0</v>
      </c>
      <c r="F257" s="16">
        <f>IF(C257=0,0,VLOOKUP($A257,'Fleet register'!$A$7:$S$106,11,FALSE))</f>
        <v>0</v>
      </c>
      <c r="G257" s="16">
        <f>IFERROR(IF(C257=0,0,IF(E257=120,0,IF(D257="ICE",'Replacement plan'!$C$69,IF('Replacement plan'!$D$69="",INDEX(Products!$I$7:$I$13,MATCH('Replacement plan'!$B$69,Products!$A$7:$A$13,0))+'Operating costs'!$B$57,'Replacement plan'!$D$69))*(1+'Operating costs'!$B$50)^(E257/12))),"n.a.")</f>
        <v>0</v>
      </c>
      <c r="H257" s="16">
        <f>IFERROR(IF(C257=0,0,IF('Replacement plan'!$U$69&lt;&gt;"",'Replacement plan'!$U$69,IF(E257=0,F257,VLOOKUP($A257,'Fleet register'!$A$7:$S$106,12,FALSE)+VLOOKUP($A257,'Fleet register'!$A$7:$S$106,13,FALSE)*MAX(0,VLOOKUP($A257,'Fleet register'!$A$7:$S$106,10,FALSE)-E257)/VLOOKUP($A257,'Fleet register'!$A$7:$S$106,14,FALSE)))),"n.a.")</f>
        <v>0</v>
      </c>
      <c r="I257" s="16">
        <f>IF(C257=0,0,IF(E257=120,0,'Replacement plan'!$Q$69))</f>
        <v>0</v>
      </c>
      <c r="J257" s="16">
        <f>IF(C257=0,0,IF(P257="Complete",((S257*(R257-'Operating costs'!$B$39))+ROUNDUP(S257*(R257-'Operating costs'!$B$39)*IF('Replacement plan'!$AG$69="",'Operating costs'!$B$7,'Replacement plan'!$AG$69)/('Operating costs'!$B$8-'Operating costs'!$B$9*IF('Replacement plan'!$AG$69="",'Operating costs'!$B$7,'Replacement plan'!$AG$69)),0)*'Operating costs'!$B$9)*IF('Replacement plan'!$AG$69="",'Operating costs'!$B$7,'Replacement plan'!$AG$69)*('Energy and charging'!$B$9*'Energy and charging'!$B$7+(1-'Energy and charging'!$B$9)*'Energy and charging'!$B$8)*'Operating costs'!$B$23,"n.a."))</f>
        <v>0</v>
      </c>
      <c r="K257" s="16">
        <f>IF(C257=0,0,IF(P257="Complete",SUM('Operating costs'!$B$24,'Operating costs'!$B$27,'Operating costs'!$B$29,'Operating costs'!$B$31,'Operating costs'!$B$33,'Operating costs'!$B$34,'Operating costs'!$B$37,'Replacement plan'!$W$69)+'Operating costs'!$B$39*'Operating costs'!$B$42+ROUNDUP(S257*(R257-'Operating costs'!$B$39)*IF('Replacement plan'!$AG$69="",'Operating costs'!$B$7,'Replacement plan'!$AG$69)/('Operating costs'!$B$8-'Operating costs'!$B$9*IF('Replacement plan'!$AG$69="",'Operating costs'!$B$7,'Replacement plan'!$AG$69)),0)*('Operating costs'!$B$9/'Operating costs'!$B$11+'Operating costs'!$B$10/60)*'Operating costs'!$B$19*'Operating costs'!$B$21,"n.a."))</f>
        <v>0</v>
      </c>
      <c r="L257" s="16">
        <f>IF(C257=0,0,IF(P257="Complete",IF(D257="EV",X257*((1-T257)*'Energy and charging'!$B$10+T257*'Energy and charging'!$B$11)*'Operating costs'!$B$22,AA257*('Energy and charging'!$B$9*'Energy and charging'!$B$7+(1-'Energy and charging'!$B$9)*'Energy and charging'!$B$8)*'Operating costs'!$B$23),"n.a."))</f>
        <v>0</v>
      </c>
      <c r="M257" s="37">
        <f>IF(C257=0,0,IF(P257="Complete",IF(D257="ICE",SUM('Operating costs'!$B$25,'Operating costs'!$B$27,'Operating costs'!$B$29,'Operating costs'!$B$31,'Operating costs'!$B$33,'Operating costs'!$B$35,'Operating costs'!$B$37,'Replacement plan'!$X$69)+'Operating costs'!$B$40*'Operating costs'!$B$42+ROUNDUP(S257*(R257-'Operating costs'!$B$40)*IF('Replacement plan'!$AH$69="",'Operating costs'!$B$7,'Replacement plan'!$AH$69)/('Operating costs'!$B$8-'Operating costs'!$B$9*IF('Replacement plan'!$AH$69="",'Operating costs'!$B$7,'Replacement plan'!$AH$69)),0)*('Operating costs'!$B$9/'Operating costs'!$B$11+'Operating costs'!$B$10/60)*'Operating costs'!$B$19*'Operating costs'!$B$21,SUM(AP257,'Operating costs'!$B$28,'Operating costs'!$B$30,'Operating costs'!$B$32,'Operating costs'!$B$33,'Operating costs'!$B$36,'Operating costs'!$B$38,'Replacement plan'!$Y$69)+'Operating costs'!$B$41*'Operating costs'!$B$43+W257*'Operating costs'!$B$15+(T257*X257/'Replacement plan'!$L$69+W257*('Operating costs'!$B$12/'Operating costs'!$B$11+('Operating costs'!$B$13+'Operating costs'!$B$14)/60)+(R257-'Operating costs'!$B$41)*(IF(T257&lt;1,'Operating costs'!$B$16,0)+'Operating costs'!$B$17)/60)*'Operating costs'!$B$19*'Operating costs'!$B$20),"n.a."))</f>
        <v>0</v>
      </c>
      <c r="N257" s="16">
        <f>IF(AND(C257=1,D257="EV",E257&lt;120,E257+'Replacement plan'!$AA$69&lt;=120),'Replacement plan'!$Z$69,0)</f>
        <v>0</v>
      </c>
      <c r="O257" s="1">
        <f>E257+'Replacement plan'!$AA$69</f>
        <v>0</v>
      </c>
      <c r="P257" s="35" t="str">
        <f>IFERROR(IF(C257=0,"Excluded",IF(OR(COUNTIFS('Fleet register'!$A$7:$A$106,A257)&lt;&gt;1,COUNTIFS('Replacement plan'!$A$7:$A$106,A257)&lt;&gt;1),"Duplicate/missing ID",IF(NOT(AND(ISNUMBER(VLOOKUP($A257,'Fleet register'!$A$7:$S$106,5,FALSE)),ISNUMBER(VLOOKUP($A257,'Fleet register'!$A$7:$S$106,6,FALSE)),ISNUMBER(VLOOKUP($A257,'Fleet register'!$A$7:$S$106,10,FALSE)),ISNUMBER(VLOOKUP($A257,'Fleet register'!$A$7:$S$106,11,FALSE)),ISNUMBER(VLOOKUP($A257,'Fleet register'!$A$7:$S$106,12,FALSE)),ISNUMBER(VLOOKUP($A257,'Fleet register'!$A$7:$S$106,13,FALSE)),ISNUMBER(VLOOKUP($A257,'Fleet register'!$A$7:$S$106,14,FALSE)),VLOOKUP($A257,'Fleet register'!$A$7:$S$106,14,FALSE)&gt;0,ISNUMBER('Replacement plan'!$C$69),OR(E257=120,ISNUMBER('Replacement plan'!$Q$69)),ISNUMBER(E257))),"Missing vehicle input",IF(OR(E257&lt;0,E257&gt;VLOOKUP($A257,'Fleet register'!$A$7:$S$106,10,FALSE),E257&gt;120,E257&lt;&gt;INT(E257),VLOOKUP($A257,'Fleet register'!$A$7:$S$106,6,FALSE)&lt;=0,VLOOKUP($A257,'Fleet register'!$A$7:$S$106,6,FALSE)&gt;366,VLOOKUP($A257,'Fleet register'!$A$7:$S$106,5,FALSE)&lt;0,VLOOKUP($A257,'Fleet register'!$A$7:$S$106,11,FALSE)&lt;0,I257&lt;0,'Operating costs'!$B$8&lt;='Operating costs'!$B$7*'Operating costs'!$B$9,'Operating costs'!$B$11&lt;=0,'Operating costs'!$B$39&gt;R257,'Operating costs'!$B$40&gt;R257,'Operating costs'!$B$41&gt;R257,NOT(OR('Replacement plan'!$O$69="Keep ICE",'Replacement plan'!$O$69="New ICE",'Replacement plan'!$O$69="EV"))),"Invalid vehicle input",IF(AND(D257="EV",E257&lt;120,OR(NOT(ISNUMBER(U257)),NOT(ISNUMBER(V257)),V257&lt;=0,T257&lt;0,T257&gt;1,'Replacement plan'!$L$69&lt;=0,'Operating costs'!$B$44&lt;0,'Operating costs'!$B$44&gt;=1,'Operating costs'!$B$47&lt;=0,'Operating costs'!$B$47&gt;1,V257*'Operating costs'!$B$47/(1-'Operating costs'!$B$44)&lt;=T257*'Operating costs'!$B$12*U257,AND('Replacement plan'!$Z$69&gt;0,OR('Replacement plan'!$AB$69&lt;&gt;"Yes",'Operating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charging'!$B$8&gt;=0))),ISNUMBER(VLOOKUP($A257,'Fleet register'!$A$7:$S$106,15,FALSE)),ISNUMBER(VLOOKUP($A257,'Fleet register'!$A$7:$S$106,16,FALSE)),ISNUMBER('Replacement plan'!$W$69),ISNUMBER('Replacement plan'!$X$69),OR(E257=120,AND(ISNUMBER(G257),G257&gt;=0)),ISNUMBER(H257),H257&gt;=0,OR(D257&lt;&gt;"EV",E257=120,AND(ISNUMBER('Operating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average",ISNUMBER(IFERROR(INDEX(Products!$P$7:$P$13,MATCH(AD257,Products!$A$7:$A$13,0)),"")))),ISNUMBER('Operating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plan'!$Y$69),ISNUMBER('Replacement plan'!$Z$69),'Replacement plan'!$Z$69&gt;=0,ISNUMBER('Replacement plan'!$AA$69),'Replacement plan'!$AA$69&gt;=0,'Replacement plan'!$AA$69=INT('Replacement plan'!$AA$69),ISNUMBER('Replacement plan'!$L$69))),'Operating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plan'!$AG$69="",'Operating costs'!$B$7,'Replacement plan'!$AG$69)),IF('Replacement plan'!$AG$69="",'Operating costs'!$B$7,'Replacement plan'!$AG$69)&gt;=0,ISNUMBER(IF('Replacement plan'!$AH$69="",'Operating costs'!$B$7,'Replacement plan'!$AH$69)),IF('Replacement plan'!$AH$69="",'Operating costs'!$B$7,'Replacement plan'!$AH$69)&gt;=0,'Operating costs'!$B$8&gt;MAX(IF('Replacement plan'!$AG$69="",'Operating costs'!$B$7,'Replacement plan'!$AG$69),IF('Replacement plan'!$AH$69="",'Operating costs'!$B$7,'Replacement plan'!$AH$69))*'Operating costs'!$B$9),IF(AND(VLOOKUP($A257,'Fleet register'!$A$7:$S$106,10,FALSE)&gt;=0,VLOOKUP($A257,'Fleet register'!$A$7:$S$106,10,FALSE)&lt;=120,VLOOKUP($A257,'Fleet register'!$A$7:$S$106,10,FALSE)=INT(VLOOKUP($A257,'Fleet register'!$A$7:$S$106,10,FALSE)),VLOOKUP($A257,'Fleet register'!$A$7:$S$106,15,FALSE)&gt;=0,VLOOKUP($A257,'Fleet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costs'!$B$67)&gt;=0,OR(D257&lt;&gt;"EV",E257=120,AND(MIN('Operating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57" s="1" t="str">
        <f>IF(C257=0,"Excluded",IF(P257&lt;&gt;"Complete",P257,IF(OR('Replacement plan'!$AD$69&lt;120-E257,AND(D257="EV",E257&lt;120,OR('Replacement plan'!$AC$69&lt;120-E257,'Replacement plan'!$I$69="No",AND(ISNUMBER(AF257),AE257&gt;AF257),AI257&gt;V257*(1-'Operating costs'!$B$46)^MAX(0,AB257-1)*(1-'Operating costs'!$B$45),AC257&gt;'Operating costs'!$B$18,AND(T257&lt;1,OR(AG257&lt;=0,AND(ISNUMBER(AH257),AG257&gt;AH257))),'Replacement plan'!$L$69&gt;INDEX(Products!$H$7:$H$13,MATCH('Replacement plan'!$B$69,Products!$A$7:$A$13,0))))),"Fails entered limits",IF(AND(D257="EV",E257&lt;120,OR(NOT(ISNUMBER(VLOOKUP($A257,'Fleet register'!$A$7:$S$106,7,FALSE))),NOT(ISNUMBER(VLOOKUP($A257,'Fleet register'!$A$7:$S$106,8,FALSE))),NOT(ISNUMBER(AF257)),'Replacement plan'!$I$69&lt;&gt;"Yes",NOT(ISNUMBER(AH257)),'Operating costs'!$B$59&lt;&gt;"Yes",'Operating costs'!$B$58&lt;&gt;"Yes")),"Unverified","Within entered limits"))))</f>
        <v>Excluded</v>
      </c>
      <c r="R257" s="1">
        <f>IF(C257=0,0,VLOOKUP($A257,'Fleet register'!$A$7:$S$106,6,FALSE))</f>
        <v>0</v>
      </c>
      <c r="S257" s="1">
        <f>IF(C257=0,0,VLOOKUP($A257,'Fleet register'!$A$7:$S$106,5,FALSE))</f>
        <v>0</v>
      </c>
      <c r="T257" s="1">
        <f>IF(D257="EV",'Energy and charging'!$B$12,0)</f>
        <v>0</v>
      </c>
      <c r="U257" s="1">
        <f>IFERROR(IF(C257=0,0,IF(D257="EV",IF('Replacement plan'!$F$69="",INDEX(Products!$E$7:$E$13,MATCH('Replacement plan'!$B$69,Products!$A$7:$A$13,0)),'Replacement plan'!$F$69)/IF('Replacement plan'!$G$69="Battery",1-'Operating costs'!$B$44,1),0)),"n.a.")</f>
        <v>0</v>
      </c>
      <c r="V257" s="1">
        <f>IFERROR(IF(C257=0,0,IF(D257="EV",IF('Replacement plan'!$E$69="",INDEX(Products!$D$7:$D$13,MATCH('Replacement plan'!$B$69,Products!$A$7:$A$13,0)),'Replacement plan'!$E$69),0)),"n.a.")</f>
        <v>0</v>
      </c>
      <c r="W257" s="1">
        <f>IF(C257=0,0,IF(AND(P257="Complete",D257="EV",E257&lt;120),IF(T257=0,0,ROUNDUP(T257*(R257-'Operating costs'!$B$41)*(S257*U257+'Operating costs'!$B$48/(1-'Operating costs'!$B$44))/(V257*'Operating costs'!$B$47/(1-'Operating costs'!$B$44)-T257*'Operating costs'!$B$12*U257),0)),0))</f>
        <v>0</v>
      </c>
      <c r="X257" s="1">
        <f>IF(C257=0,0,IF(AND(P257="Complete",D257="EV",E257&lt;120),(R257-'Operating costs'!$B$41)*(S257*U257+'Operating costs'!$B$48/(1-'Operating costs'!$B$44))+W257*'Operating costs'!$B$12*U257,0))</f>
        <v>0</v>
      </c>
      <c r="Y257" s="1">
        <f>IF(AND(C257=1,D257="EV",E257&lt;120),AI257/(1-'Operating costs'!$B$44)*(1-T257),0)</f>
        <v>0</v>
      </c>
      <c r="Z257" s="1">
        <f t="shared" si="6"/>
        <v>0</v>
      </c>
      <c r="AA257" s="1">
        <f>IF(C257=0,0,IF(P257="Complete",((S257*(R257-'Operating costs'!$B$40))+ROUNDUP(S257*(R257-'Operating costs'!$B$40)*IF('Replacement plan'!$AH$69="",'Operating costs'!$B$7,'Replacement plan'!$AH$69)/('Operating costs'!$B$8-'Operating costs'!$B$9*IF('Replacement plan'!$AH$69="",'Operating costs'!$B$7,'Replacement plan'!$AH$69)),0)*'Operating costs'!$B$9)*IF('Replacement plan'!$AH$69="",'Operating costs'!$B$7,'Replacement plan'!$AH$69),"n.a."))</f>
        <v>0</v>
      </c>
      <c r="AB257" s="1">
        <f t="shared" si="7"/>
        <v>0</v>
      </c>
      <c r="AC257" s="1">
        <f>IF(AND(C257=1,D257="EV",E257&lt;120,T257&gt;0),'Operating costs'!$B$12/'Operating costs'!$B$11*60+'Operating costs'!$B$13+'Operating costs'!$B$14+V257*'Operating costs'!$B$47/(1-'Operating costs'!$B$44)/'Replacement plan'!$L$69*60,0)</f>
        <v>0</v>
      </c>
      <c r="AD257" s="1" t="str">
        <f>'Replacement plan'!$B$69</f>
        <v>ChengLong L2EV</v>
      </c>
      <c r="AE257" s="1">
        <f>IF(C257=0,0,VLOOKUP($A257,'Fleet register'!$A$7:$S$106,8,FALSE))</f>
        <v>0</v>
      </c>
      <c r="AF257" s="1" t="str">
        <f>IF('Replacement plan'!$H$69="","n.a.",'Replacement plan'!$H$69)</f>
        <v>n.a.</v>
      </c>
      <c r="AG257" s="1">
        <f>'Replacement plan'!$J$69</f>
        <v>22</v>
      </c>
      <c r="AH257" s="1">
        <f>IFERROR(IF(D257="EV",IF('Replacement plan'!$K$69="AC",IF(ISNUMBER(INDEX(Products!$G$7:$G$13,MATCH('Replacement plan'!$B$69,Products!$A$7:$A$13,0))),INDEX(Products!$G$7:$G$13,MATCH('Replacement plan'!$B$69,Products!$A$7:$A$13,0)),"n.a."),IF(ISNUMBER(INDEX(Products!$H$7:$H$13,MATCH('Replacement plan'!$B$69,Products!$A$7:$A$13,0))),INDEX(Products!$H$7:$H$13,MATCH('Replacement plan'!$B$69,Products!$A$7:$A$13,0)),"n.a.")),0),"n.a.")</f>
        <v>0</v>
      </c>
      <c r="AI257" s="1">
        <f>IF(AND(C257=1,D257="EV",E257&lt;120),(VLOOKUP($A257,'Fleet register'!$A$7:$S$106,7,FALSE)+IF(T257&gt;0,'Operating costs'!$B$12,0))*U257*(1-'Operating costs'!$B$44)+'Operating costs'!$B$49,0)</f>
        <v>0</v>
      </c>
      <c r="AJ257" s="1">
        <f>IF(D257="EV",'Energy and charging'!$B$50,0)</f>
        <v>0</v>
      </c>
      <c r="AK257" s="17">
        <f>EDATE('Operating costs'!$B$63,E257)</f>
        <v>46298</v>
      </c>
      <c r="AL257" s="1">
        <f>IFERROR(IF(D257="EV",INDEX(Products!$B$7:$B$13,MATCH('Replacement plan'!$B$69,Products!$A$7:$A$13,0)),0),"n.a.")</f>
        <v>0</v>
      </c>
      <c r="AM257" s="1" t="str">
        <f>'Replacement plan'!$K$69</f>
        <v>DC</v>
      </c>
      <c r="AN257" s="1" t="str">
        <f>'Replacement plan'!$AE$69</f>
        <v>Assumed</v>
      </c>
      <c r="AO257" s="47">
        <f>IF(AND(C257=1,D257="EV",E257&lt;120),(R257-'Operating costs'!$B$41)*S257+W257*'Operating costs'!$B$12,0)</f>
        <v>0</v>
      </c>
      <c r="AP257" s="41">
        <f>IF(AND(C257=1,D257="EV",E257&lt;120),IF('Operating costs'!$B$68="Hong Seh 200k average",AO257*IFERROR(INDEX(Products!$P$7:$P$13,MATCH(AD257,Products!$A$7:$A$13,0)),"n.a."),'Operating costs'!$B$26),0)</f>
        <v>0</v>
      </c>
      <c r="AQ257" s="40" t="str">
        <f>IF(D257="EV",'Operating costs'!$B$68,"Not applicable")</f>
        <v>Not applicable</v>
      </c>
    </row>
    <row r="258" spans="1:43" ht="24" customHeight="1">
      <c r="A258" s="1" t="str">
        <f>'Replacement plan'!A69</f>
        <v>T063</v>
      </c>
      <c r="B258" s="1">
        <v>3</v>
      </c>
      <c r="C258" s="1">
        <f>IF(COUNTIFS('Fleet register'!$A$7:$A$106,$A258)=1,VLOOKUP($A258,'Fleet register'!$A$7:$S$106,2,FALSE),0)</f>
        <v>0</v>
      </c>
      <c r="D258" s="1" t="str">
        <f>IF('Replacement plan'!$R$69="EV","EV","ICE")</f>
        <v>ICE</v>
      </c>
      <c r="E258" s="1">
        <f>IF(C258=0,0,IF('Replacement plan'!$S$69="",IF('Replacement plan'!$R$69="Keep ICE",IF('Replacement plan'!$M$69="",VLOOKUP($A258,'Fleet register'!$A$7:$S$106,10,FALSE),'Replacement plan'!$M$69),0),'Replacement plan'!$S$69))</f>
        <v>0</v>
      </c>
      <c r="F258" s="16">
        <f>IF(C258=0,0,VLOOKUP($A258,'Fleet register'!$A$7:$S$106,11,FALSE))</f>
        <v>0</v>
      </c>
      <c r="G258" s="16">
        <f>IFERROR(IF(C258=0,0,IF(E258=120,0,IF(D258="ICE",'Replacement plan'!$C$69,IF('Replacement plan'!$D$69="",INDEX(Products!$I$7:$I$13,MATCH('Replacement plan'!$B$69,Products!$A$7:$A$13,0))+'Operating costs'!$B$57,'Replacement plan'!$D$69))*(1+'Operating costs'!$B$50)^(E258/12))),"n.a.")</f>
        <v>0</v>
      </c>
      <c r="H258" s="16">
        <f>IFERROR(IF(C258=0,0,IF('Replacement plan'!$V$69&lt;&gt;"",'Replacement plan'!$V$69,IF(E258=0,F258,VLOOKUP($A258,'Fleet register'!$A$7:$S$106,12,FALSE)+VLOOKUP($A258,'Fleet register'!$A$7:$S$106,13,FALSE)*MAX(0,VLOOKUP($A258,'Fleet register'!$A$7:$S$106,10,FALSE)-E258)/VLOOKUP($A258,'Fleet register'!$A$7:$S$106,14,FALSE)))),"n.a.")</f>
        <v>0</v>
      </c>
      <c r="I258" s="16">
        <f>IF(C258=0,0,IF(E258=120,0,'Replacement plan'!$T$69))</f>
        <v>0</v>
      </c>
      <c r="J258" s="16">
        <f>IF(C258=0,0,IF(P258="Complete",((S258*(R258-'Operating costs'!$B$39))+ROUNDUP(S258*(R258-'Operating costs'!$B$39)*IF('Replacement plan'!$AG$69="",'Operating costs'!$B$7,'Replacement plan'!$AG$69)/('Operating costs'!$B$8-'Operating costs'!$B$9*IF('Replacement plan'!$AG$69="",'Operating costs'!$B$7,'Replacement plan'!$AG$69)),0)*'Operating costs'!$B$9)*IF('Replacement plan'!$AG$69="",'Operating costs'!$B$7,'Replacement plan'!$AG$69)*('Energy and charging'!$C$9*'Energy and charging'!$C$7+(1-'Energy and charging'!$C$9)*'Energy and charging'!$C$8)*'Operating costs'!$B$23,"n.a."))</f>
        <v>0</v>
      </c>
      <c r="K258" s="16">
        <f>IF(C258=0,0,IF(P258="Complete",SUM('Operating costs'!$B$24,'Operating costs'!$B$27,'Operating costs'!$B$29,'Operating costs'!$B$31,'Operating costs'!$B$33,'Operating costs'!$B$34,'Operating costs'!$B$37,'Replacement plan'!$W$69)+'Operating costs'!$B$39*'Operating costs'!$B$42+ROUNDUP(S258*(R258-'Operating costs'!$B$39)*IF('Replacement plan'!$AG$69="",'Operating costs'!$B$7,'Replacement plan'!$AG$69)/('Operating costs'!$B$8-'Operating costs'!$B$9*IF('Replacement plan'!$AG$69="",'Operating costs'!$B$7,'Replacement plan'!$AG$69)),0)*('Operating costs'!$B$9/'Operating costs'!$B$11+'Operating costs'!$B$10/60)*'Operating costs'!$B$19*'Operating costs'!$B$21,"n.a."))</f>
        <v>0</v>
      </c>
      <c r="L258" s="16">
        <f>IF(C258=0,0,IF(P258="Complete",IF(D258="EV",X258*((1-T258)*'Energy and charging'!$C$10+T258*'Energy and charging'!$C$11)*'Operating costs'!$B$22,AA258*('Energy and charging'!$C$9*'Energy and charging'!$C$7+(1-'Energy and charging'!$C$9)*'Energy and charging'!$C$8)*'Operating costs'!$B$23),"n.a."))</f>
        <v>0</v>
      </c>
      <c r="M258" s="37">
        <f>IF(C258=0,0,IF(P258="Complete",IF(D258="ICE",SUM('Operating costs'!$B$25,'Operating costs'!$B$27,'Operating costs'!$B$29,'Operating costs'!$B$31,'Operating costs'!$B$33,'Operating costs'!$B$35,'Operating costs'!$B$37,'Replacement plan'!$X$69)+'Operating costs'!$B$40*'Operating costs'!$B$42+ROUNDUP(S258*(R258-'Operating costs'!$B$40)*IF('Replacement plan'!$AH$69="",'Operating costs'!$B$7,'Replacement plan'!$AH$69)/('Operating costs'!$B$8-'Operating costs'!$B$9*IF('Replacement plan'!$AH$69="",'Operating costs'!$B$7,'Replacement plan'!$AH$69)),0)*('Operating costs'!$B$9/'Operating costs'!$B$11+'Operating costs'!$B$10/60)*'Operating costs'!$B$19*'Operating costs'!$B$21,SUM(AP258,'Operating costs'!$B$28,'Operating costs'!$B$30,'Operating costs'!$B$32,'Operating costs'!$B$33,'Operating costs'!$B$36,'Operating costs'!$B$38,'Replacement plan'!$Y$69)+'Operating costs'!$B$41*'Operating costs'!$B$43+W258*'Operating costs'!$B$15+(T258*X258/'Replacement plan'!$L$69+W258*('Operating costs'!$B$12/'Operating costs'!$B$11+('Operating costs'!$B$13+'Operating costs'!$B$14)/60)+(R258-'Operating costs'!$B$41)*(IF(T258&lt;1,'Operating costs'!$B$16,0)+'Operating costs'!$B$17)/60)*'Operating costs'!$B$19*'Operating costs'!$B$20),"n.a."))</f>
        <v>0</v>
      </c>
      <c r="N258" s="16">
        <f>IF(AND(C258=1,D258="EV",E258&lt;120,E258+'Replacement plan'!$AA$69&lt;=120),'Replacement plan'!$Z$69,0)</f>
        <v>0</v>
      </c>
      <c r="O258" s="1">
        <f>E258+'Replacement plan'!$AA$69</f>
        <v>0</v>
      </c>
      <c r="P258" s="35" t="str">
        <f>IFERROR(IF(C258=0,"Excluded",IF(OR(COUNTIFS('Fleet register'!$A$7:$A$106,A258)&lt;&gt;1,COUNTIFS('Replacement plan'!$A$7:$A$106,A258)&lt;&gt;1),"Duplicate/missing ID",IF(NOT(AND(ISNUMBER(VLOOKUP($A258,'Fleet register'!$A$7:$S$106,5,FALSE)),ISNUMBER(VLOOKUP($A258,'Fleet register'!$A$7:$S$106,6,FALSE)),ISNUMBER(VLOOKUP($A258,'Fleet register'!$A$7:$S$106,10,FALSE)),ISNUMBER(VLOOKUP($A258,'Fleet register'!$A$7:$S$106,11,FALSE)),ISNUMBER(VLOOKUP($A258,'Fleet register'!$A$7:$S$106,12,FALSE)),ISNUMBER(VLOOKUP($A258,'Fleet register'!$A$7:$S$106,13,FALSE)),ISNUMBER(VLOOKUP($A258,'Fleet register'!$A$7:$S$106,14,FALSE)),VLOOKUP($A258,'Fleet register'!$A$7:$S$106,14,FALSE)&gt;0,ISNUMBER('Replacement plan'!$C$69),OR(E258=120,ISNUMBER('Replacement plan'!$T$69)),ISNUMBER(E258))),"Missing vehicle input",IF(OR(E258&lt;0,E258&gt;VLOOKUP($A258,'Fleet register'!$A$7:$S$106,10,FALSE),E258&gt;120,E258&lt;&gt;INT(E258),VLOOKUP($A258,'Fleet register'!$A$7:$S$106,6,FALSE)&lt;=0,VLOOKUP($A258,'Fleet register'!$A$7:$S$106,6,FALSE)&gt;366,VLOOKUP($A258,'Fleet register'!$A$7:$S$106,5,FALSE)&lt;0,VLOOKUP($A258,'Fleet register'!$A$7:$S$106,11,FALSE)&lt;0,I258&lt;0,'Operating costs'!$B$8&lt;='Operating costs'!$B$7*'Operating costs'!$B$9,'Operating costs'!$B$11&lt;=0,'Operating costs'!$B$39&gt;R258,'Operating costs'!$B$40&gt;R258,'Operating costs'!$B$41&gt;R258,NOT(OR('Replacement plan'!$R$69="Keep ICE",'Replacement plan'!$R$69="New ICE",'Replacement plan'!$R$69="EV"))),"Invalid vehicle input",IF(AND(D258="EV",E258&lt;120,OR(NOT(ISNUMBER(U258)),NOT(ISNUMBER(V258)),V258&lt;=0,T258&lt;0,T258&gt;1,'Replacement plan'!$L$69&lt;=0,'Operating costs'!$B$44&lt;0,'Operating costs'!$B$44&gt;=1,'Operating costs'!$B$47&lt;=0,'Operating costs'!$B$47&gt;1,V258*'Operating costs'!$B$47/(1-'Operating costs'!$B$44)&lt;=T258*'Operating costs'!$B$12*U258,AND('Replacement plan'!$Z$69&gt;0,OR('Replacement plan'!$AB$69&lt;&gt;"Yes",'Operating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charging'!$C$8&gt;=0))),ISNUMBER(VLOOKUP($A258,'Fleet register'!$A$7:$S$106,15,FALSE)),ISNUMBER(VLOOKUP($A258,'Fleet register'!$A$7:$S$106,16,FALSE)),ISNUMBER('Replacement plan'!$W$69),ISNUMBER('Replacement plan'!$X$69),OR(E258=120,AND(ISNUMBER(G258),G258&gt;=0)),ISNUMBER(H258),H258&gt;=0,OR(D258&lt;&gt;"EV",E258=120,AND(ISNUMBER('Operating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average",ISNUMBER(IFERROR(INDEX(Products!$P$7:$P$13,MATCH(AD258,Products!$A$7:$A$13,0)),"")))),ISNUMBER('Operating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plan'!$Y$69),ISNUMBER('Replacement plan'!$Z$69),'Replacement plan'!$Z$69&gt;=0,ISNUMBER('Replacement plan'!$AA$69),'Replacement plan'!$AA$69&gt;=0,'Replacement plan'!$AA$69=INT('Replacement plan'!$AA$69),ISNUMBER('Replacement plan'!$L$69))),'Operating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plan'!$AG$69="",'Operating costs'!$B$7,'Replacement plan'!$AG$69)),IF('Replacement plan'!$AG$69="",'Operating costs'!$B$7,'Replacement plan'!$AG$69)&gt;=0,ISNUMBER(IF('Replacement plan'!$AH$69="",'Operating costs'!$B$7,'Replacement plan'!$AH$69)),IF('Replacement plan'!$AH$69="",'Operating costs'!$B$7,'Replacement plan'!$AH$69)&gt;=0,'Operating costs'!$B$8&gt;MAX(IF('Replacement plan'!$AG$69="",'Operating costs'!$B$7,'Replacement plan'!$AG$69),IF('Replacement plan'!$AH$69="",'Operating costs'!$B$7,'Replacement plan'!$AH$69))*'Operating costs'!$B$9),IF(AND(VLOOKUP($A258,'Fleet register'!$A$7:$S$106,10,FALSE)&gt;=0,VLOOKUP($A258,'Fleet register'!$A$7:$S$106,10,FALSE)&lt;=120,VLOOKUP($A258,'Fleet register'!$A$7:$S$106,10,FALSE)=INT(VLOOKUP($A258,'Fleet register'!$A$7:$S$106,10,FALSE)),VLOOKUP($A258,'Fleet register'!$A$7:$S$106,15,FALSE)&gt;=0,VLOOKUP($A258,'Fleet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costs'!$B$67)&gt;=0,OR(D258&lt;&gt;"EV",E258=120,AND(MIN('Operating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58" s="1" t="str">
        <f>IF(C258=0,"Excluded",IF(P258&lt;&gt;"Complete",P258,IF(OR('Replacement plan'!$AD$69&lt;120-E258,AND(D258="EV",E258&lt;120,OR('Replacement plan'!$AC$69&lt;120-E258,'Replacement plan'!$I$69="No",AND(ISNUMBER(AF258),AE258&gt;AF258),AI258&gt;V258*(1-'Operating costs'!$B$46)^MAX(0,AB258-1)*(1-'Operating costs'!$B$45),AC258&gt;'Operating costs'!$B$18,AND(T258&lt;1,OR(AG258&lt;=0,AND(ISNUMBER(AH258),AG258&gt;AH258))),'Replacement plan'!$L$69&gt;INDEX(Products!$H$7:$H$13,MATCH('Replacement plan'!$B$69,Products!$A$7:$A$13,0))))),"Fails entered limits",IF(AND(D258="EV",E258&lt;120,OR(NOT(ISNUMBER(VLOOKUP($A258,'Fleet register'!$A$7:$S$106,7,FALSE))),NOT(ISNUMBER(VLOOKUP($A258,'Fleet register'!$A$7:$S$106,8,FALSE))),NOT(ISNUMBER(AF258)),'Replacement plan'!$I$69&lt;&gt;"Yes",NOT(ISNUMBER(AH258)),'Operating costs'!$B$59&lt;&gt;"Yes",'Operating costs'!$B$58&lt;&gt;"Yes")),"Unverified","Within entered limits"))))</f>
        <v>Excluded</v>
      </c>
      <c r="R258" s="1">
        <f>IF(C258=0,0,VLOOKUP($A258,'Fleet register'!$A$7:$S$106,6,FALSE))</f>
        <v>0</v>
      </c>
      <c r="S258" s="1">
        <f>IF(C258=0,0,VLOOKUP($A258,'Fleet register'!$A$7:$S$106,5,FALSE))</f>
        <v>0</v>
      </c>
      <c r="T258" s="1">
        <f>IF(D258="EV",'Energy and charging'!$C$12,0)</f>
        <v>0</v>
      </c>
      <c r="U258" s="1">
        <f>IFERROR(IF(C258=0,0,IF(D258="EV",IF('Replacement plan'!$F$69="",INDEX(Products!$E$7:$E$13,MATCH('Replacement plan'!$B$69,Products!$A$7:$A$13,0)),'Replacement plan'!$F$69)/IF('Replacement plan'!$G$69="Battery",1-'Operating costs'!$B$44,1),0)),"n.a.")</f>
        <v>0</v>
      </c>
      <c r="V258" s="1">
        <f>IFERROR(IF(C258=0,0,IF(D258="EV",IF('Replacement plan'!$E$69="",INDEX(Products!$D$7:$D$13,MATCH('Replacement plan'!$B$69,Products!$A$7:$A$13,0)),'Replacement plan'!$E$69),0)),"n.a.")</f>
        <v>0</v>
      </c>
      <c r="W258" s="1">
        <f>IF(C258=0,0,IF(AND(P258="Complete",D258="EV",E258&lt;120),IF(T258=0,0,ROUNDUP(T258*(R258-'Operating costs'!$B$41)*(S258*U258+'Operating costs'!$B$48/(1-'Operating costs'!$B$44))/(V258*'Operating costs'!$B$47/(1-'Operating costs'!$B$44)-T258*'Operating costs'!$B$12*U258),0)),0))</f>
        <v>0</v>
      </c>
      <c r="X258" s="1">
        <f>IF(C258=0,0,IF(AND(P258="Complete",D258="EV",E258&lt;120),(R258-'Operating costs'!$B$41)*(S258*U258+'Operating costs'!$B$48/(1-'Operating costs'!$B$44))+W258*'Operating costs'!$B$12*U258,0))</f>
        <v>0</v>
      </c>
      <c r="Y258" s="1">
        <f>IF(AND(C258=1,D258="EV",E258&lt;120),AI258/(1-'Operating costs'!$B$44)*(1-T258),0)</f>
        <v>0</v>
      </c>
      <c r="Z258" s="1">
        <f t="shared" si="6"/>
        <v>0</v>
      </c>
      <c r="AA258" s="1">
        <f>IF(C258=0,0,IF(P258="Complete",((S258*(R258-'Operating costs'!$B$40))+ROUNDUP(S258*(R258-'Operating costs'!$B$40)*IF('Replacement plan'!$AH$69="",'Operating costs'!$B$7,'Replacement plan'!$AH$69)/('Operating costs'!$B$8-'Operating costs'!$B$9*IF('Replacement plan'!$AH$69="",'Operating costs'!$B$7,'Replacement plan'!$AH$69)),0)*'Operating costs'!$B$9)*IF('Replacement plan'!$AH$69="",'Operating costs'!$B$7,'Replacement plan'!$AH$69),"n.a."))</f>
        <v>0</v>
      </c>
      <c r="AB258" s="1">
        <f t="shared" si="7"/>
        <v>0</v>
      </c>
      <c r="AC258" s="1">
        <f>IF(AND(C258=1,D258="EV",E258&lt;120,T258&gt;0),'Operating costs'!$B$12/'Operating costs'!$B$11*60+'Operating costs'!$B$13+'Operating costs'!$B$14+V258*'Operating costs'!$B$47/(1-'Operating costs'!$B$44)/'Replacement plan'!$L$69*60,0)</f>
        <v>0</v>
      </c>
      <c r="AD258" s="1" t="str">
        <f>'Replacement plan'!$B$69</f>
        <v>ChengLong L2EV</v>
      </c>
      <c r="AE258" s="1">
        <f>IF(C258=0,0,VLOOKUP($A258,'Fleet register'!$A$7:$S$106,8,FALSE))</f>
        <v>0</v>
      </c>
      <c r="AF258" s="1" t="str">
        <f>IF('Replacement plan'!$H$69="","n.a.",'Replacement plan'!$H$69)</f>
        <v>n.a.</v>
      </c>
      <c r="AG258" s="1">
        <f>'Replacement plan'!$J$69</f>
        <v>22</v>
      </c>
      <c r="AH258" s="1">
        <f>IFERROR(IF(D258="EV",IF('Replacement plan'!$K$69="AC",IF(ISNUMBER(INDEX(Products!$G$7:$G$13,MATCH('Replacement plan'!$B$69,Products!$A$7:$A$13,0))),INDEX(Products!$G$7:$G$13,MATCH('Replacement plan'!$B$69,Products!$A$7:$A$13,0)),"n.a."),IF(ISNUMBER(INDEX(Products!$H$7:$H$13,MATCH('Replacement plan'!$B$69,Products!$A$7:$A$13,0))),INDEX(Products!$H$7:$H$13,MATCH('Replacement plan'!$B$69,Products!$A$7:$A$13,0)),"n.a.")),0),"n.a.")</f>
        <v>0</v>
      </c>
      <c r="AI258" s="1">
        <f>IF(AND(C258=1,D258="EV",E258&lt;120),(VLOOKUP($A258,'Fleet register'!$A$7:$S$106,7,FALSE)+IF(T258&gt;0,'Operating costs'!$B$12,0))*U258*(1-'Operating costs'!$B$44)+'Operating costs'!$B$49,0)</f>
        <v>0</v>
      </c>
      <c r="AJ258" s="1">
        <f>IF(D258="EV",'Energy and charging'!$C$50,0)</f>
        <v>0</v>
      </c>
      <c r="AK258" s="17">
        <f>EDATE('Operating costs'!$B$63,E258)</f>
        <v>46298</v>
      </c>
      <c r="AL258" s="1">
        <f>IFERROR(IF(D258="EV",INDEX(Products!$B$7:$B$13,MATCH('Replacement plan'!$B$69,Products!$A$7:$A$13,0)),0),"n.a.")</f>
        <v>0</v>
      </c>
      <c r="AM258" s="1" t="str">
        <f>'Replacement plan'!$K$69</f>
        <v>DC</v>
      </c>
      <c r="AN258" s="1" t="str">
        <f>'Replacement plan'!$AE$69</f>
        <v>Assumed</v>
      </c>
      <c r="AO258" s="47">
        <f>IF(AND(C258=1,D258="EV",E258&lt;120),(R258-'Operating costs'!$B$41)*S258+W258*'Operating costs'!$B$12,0)</f>
        <v>0</v>
      </c>
      <c r="AP258" s="41">
        <f>IF(AND(C258=1,D258="EV",E258&lt;120),IF('Operating costs'!$B$68="Hong Seh 200k average",AO258*IFERROR(INDEX(Products!$P$7:$P$13,MATCH(AD258,Products!$A$7:$A$13,0)),"n.a."),'Operating costs'!$B$26),0)</f>
        <v>0</v>
      </c>
      <c r="AQ258" s="40" t="str">
        <f>IF(D258="EV",'Operating costs'!$B$68,"Not applicable")</f>
        <v>Not applicable</v>
      </c>
    </row>
    <row r="259" spans="1:43" ht="24" customHeight="1">
      <c r="A259" s="1" t="str">
        <f>'Replacement plan'!A70</f>
        <v>T064</v>
      </c>
      <c r="B259" s="1">
        <v>0</v>
      </c>
      <c r="C259" s="1">
        <f>IF(COUNTIFS('Fleet register'!$A$7:$A$106,$A259)=1,VLOOKUP($A259,'Fleet register'!$A$7:$S$106,2,FALSE),0)</f>
        <v>0</v>
      </c>
      <c r="D259" s="1" t="str">
        <f>IF("Keep ICE"="EV","EV","ICE")</f>
        <v>ICE</v>
      </c>
      <c r="E259" s="1">
        <f>IF(C259=0,0,IF('Replacement plan'!$M$70="",VLOOKUP($A259,'Fleet register'!$A$7:$S$106,10,FALSE),'Replacement plan'!$M$70))</f>
        <v>0</v>
      </c>
      <c r="F259" s="16">
        <f>IF(C259=0,0,VLOOKUP($A259,'Fleet register'!$A$7:$S$106,11,FALSE))</f>
        <v>0</v>
      </c>
      <c r="G259" s="16">
        <f>IFERROR(IF(C259=0,0,IF(E259=120,0,IF(D259="ICE",'Replacement plan'!$C$70,IF('Replacement plan'!$D$70="",INDEX(Products!$I$7:$I$13,MATCH('Replacement plan'!$B$70,Products!$A$7:$A$13,0))+'Operating costs'!$B$57,'Replacement plan'!$D$70))*(1+'Operating costs'!$B$50)^(E259/12))),"n.a.")</f>
        <v>0</v>
      </c>
      <c r="H259" s="16">
        <f>IFERROR(IF(C259=0,0,IF(E259=0,F259,VLOOKUP($A259,'Fleet register'!$A$7:$S$106,12,FALSE)+VLOOKUP($A259,'Fleet register'!$A$7:$S$106,13,FALSE)*MAX(0,VLOOKUP($A259,'Fleet register'!$A$7:$S$106,10,FALSE)-E259)/VLOOKUP($A259,'Fleet register'!$A$7:$S$106,14,FALSE))),"n.a.")</f>
        <v>0</v>
      </c>
      <c r="I259" s="16">
        <f>IF(C259=0,0,IF(E259=120,0,'Replacement plan'!$N$70))</f>
        <v>0</v>
      </c>
      <c r="J259" s="16">
        <f>IF(C259=0,0,IF(P259="Complete",((S259*(R259-'Operating costs'!$B$39))+ROUNDUP(S259*(R259-'Operating costs'!$B$39)*IF('Replacement plan'!$AG$70="",'Operating costs'!$B$7,'Replacement plan'!$AG$70)/('Operating costs'!$B$8-'Operating costs'!$B$9*IF('Replacement plan'!$AG$70="",'Operating costs'!$B$7,'Replacement plan'!$AG$70)),0)*'Operating costs'!$B$9)*IF('Replacement plan'!$AG$70="",'Operating costs'!$B$7,'Replacement plan'!$AG$70)*('Energy and charging'!$B$9*'Energy and charging'!$B$7+(1-'Energy and charging'!$B$9)*'Energy and charging'!$B$8)*'Operating costs'!$B$23,"n.a."))</f>
        <v>0</v>
      </c>
      <c r="K259" s="16">
        <f>IF(C259=0,0,IF(P259="Complete",SUM('Operating costs'!$B$24,'Operating costs'!$B$27,'Operating costs'!$B$29,'Operating costs'!$B$31,'Operating costs'!$B$33,'Operating costs'!$B$34,'Operating costs'!$B$37,'Replacement plan'!$W$70)+'Operating costs'!$B$39*'Operating costs'!$B$42+ROUNDUP(S259*(R259-'Operating costs'!$B$39)*IF('Replacement plan'!$AG$70="",'Operating costs'!$B$7,'Replacement plan'!$AG$70)/('Operating costs'!$B$8-'Operating costs'!$B$9*IF('Replacement plan'!$AG$70="",'Operating costs'!$B$7,'Replacement plan'!$AG$70)),0)*('Operating costs'!$B$9/'Operating costs'!$B$11+'Operating costs'!$B$10/60)*'Operating costs'!$B$19*'Operating costs'!$B$21,"n.a."))</f>
        <v>0</v>
      </c>
      <c r="L259" s="16">
        <f>IF(C259=0,0,IF(P259="Complete",IF(D259="EV",X259*((1-T259)*'Energy and charging'!$B$10+T259*'Energy and charging'!$B$11)*'Operating costs'!$B$22,AA259*('Energy and charging'!$B$9*'Energy and charging'!$B$7+(1-'Energy and charging'!$B$9)*'Energy and charging'!$B$8)*'Operating costs'!$B$23),"n.a."))</f>
        <v>0</v>
      </c>
      <c r="M259" s="37">
        <f>IF(C259=0,0,IF(P259="Complete",IF(D259="ICE",SUM('Operating costs'!$B$25,'Operating costs'!$B$27,'Operating costs'!$B$29,'Operating costs'!$B$31,'Operating costs'!$B$33,'Operating costs'!$B$35,'Operating costs'!$B$37,'Replacement plan'!$X$70)+'Operating costs'!$B$40*'Operating costs'!$B$42+ROUNDUP(S259*(R259-'Operating costs'!$B$40)*IF('Replacement plan'!$AH$70="",'Operating costs'!$B$7,'Replacement plan'!$AH$70)/('Operating costs'!$B$8-'Operating costs'!$B$9*IF('Replacement plan'!$AH$70="",'Operating costs'!$B$7,'Replacement plan'!$AH$70)),0)*('Operating costs'!$B$9/'Operating costs'!$B$11+'Operating costs'!$B$10/60)*'Operating costs'!$B$19*'Operating costs'!$B$21,SUM(AP259,'Operating costs'!$B$28,'Operating costs'!$B$30,'Operating costs'!$B$32,'Operating costs'!$B$33,'Operating costs'!$B$36,'Operating costs'!$B$38,'Replacement plan'!$Y$70)+'Operating costs'!$B$41*'Operating costs'!$B$43+W259*'Operating costs'!$B$15+(T259*X259/'Replacement plan'!$L$70+W259*('Operating costs'!$B$12/'Operating costs'!$B$11+('Operating costs'!$B$13+'Operating costs'!$B$14)/60)+(R259-'Operating costs'!$B$41)*(IF(T259&lt;1,'Operating costs'!$B$16,0)+'Operating costs'!$B$17)/60)*'Operating costs'!$B$19*'Operating costs'!$B$20),"n.a."))</f>
        <v>0</v>
      </c>
      <c r="N259" s="16">
        <f>IF(AND(C259=1,D259="EV",E259&lt;120,E259+'Replacement plan'!$AA$70&lt;=120),'Replacement plan'!$Z$70,0)</f>
        <v>0</v>
      </c>
      <c r="O259" s="1">
        <f>E259+'Replacement plan'!$AA$70</f>
        <v>0</v>
      </c>
      <c r="P259" s="35" t="str">
        <f>IFERROR(IF(C259=0,"Excluded",IF(OR(COUNTIFS('Fleet register'!$A$7:$A$106,A259)&lt;&gt;1,COUNTIFS('Replacement plan'!$A$7:$A$106,A259)&lt;&gt;1),"Duplicate/missing ID",IF(NOT(AND(ISNUMBER(VLOOKUP($A259,'Fleet register'!$A$7:$S$106,5,FALSE)),ISNUMBER(VLOOKUP($A259,'Fleet register'!$A$7:$S$106,6,FALSE)),ISNUMBER(VLOOKUP($A259,'Fleet register'!$A$7:$S$106,10,FALSE)),ISNUMBER(VLOOKUP($A259,'Fleet register'!$A$7:$S$106,11,FALSE)),ISNUMBER(VLOOKUP($A259,'Fleet register'!$A$7:$S$106,12,FALSE)),ISNUMBER(VLOOKUP($A259,'Fleet register'!$A$7:$S$106,13,FALSE)),ISNUMBER(VLOOKUP($A259,'Fleet register'!$A$7:$S$106,14,FALSE)),VLOOKUP($A259,'Fleet register'!$A$7:$S$106,14,FALSE)&gt;0,ISNUMBER('Replacement plan'!$C$70),OR(E259=120,ISNUMBER('Replacement plan'!$N$70)),ISNUMBER(E259))),"Missing vehicle input",IF(OR(E259&lt;0,E259&gt;VLOOKUP($A259,'Fleet register'!$A$7:$S$106,10,FALSE),E259&gt;120,E259&lt;&gt;INT(E259),VLOOKUP($A259,'Fleet register'!$A$7:$S$106,6,FALSE)&lt;=0,VLOOKUP($A259,'Fleet register'!$A$7:$S$106,6,FALSE)&gt;366,VLOOKUP($A259,'Fleet register'!$A$7:$S$106,5,FALSE)&lt;0,VLOOKUP($A259,'Fleet register'!$A$7:$S$106,11,FALSE)&lt;0,I259&lt;0,'Operating costs'!$B$8&lt;='Operating costs'!$B$7*'Operating costs'!$B$9,'Operating costs'!$B$11&lt;=0,'Operating costs'!$B$39&gt;R259,'Operating costs'!$B$40&gt;R259,'Operating costs'!$B$41&gt;R259,NOT(OR("Keep ICE"="Keep ICE","Keep ICE"="New ICE","Keep ICE"="EV"))),"Invalid vehicle input",IF(AND(D259="EV",E259&lt;120,OR(NOT(ISNUMBER(U259)),NOT(ISNUMBER(V259)),V259&lt;=0,T259&lt;0,T259&gt;1,'Replacement plan'!$L$70&lt;=0,'Operating costs'!$B$44&lt;0,'Operating costs'!$B$44&gt;=1,'Operating costs'!$B$47&lt;=0,'Operating costs'!$B$47&gt;1,V259*'Operating costs'!$B$47/(1-'Operating costs'!$B$44)&lt;=T259*'Operating costs'!$B$12*U259,AND('Replacement plan'!$Z$70&gt;0,OR('Replacement plan'!$AB$70&lt;&gt;"Yes",'Operating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charging'!$B$8&gt;=0))),ISNUMBER(VLOOKUP($A259,'Fleet register'!$A$7:$S$106,15,FALSE)),ISNUMBER(VLOOKUP($A259,'Fleet register'!$A$7:$S$106,16,FALSE)),ISNUMBER('Replacement plan'!$W$70),ISNUMBER('Replacement plan'!$X$70),OR(E259=120,AND(ISNUMBER(G259),G259&gt;=0)),ISNUMBER(H259),H259&gt;=0,OR(D259&lt;&gt;"EV",E259=120,AND(ISNUMBER('Operating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average",ISNUMBER(IFERROR(INDEX(Products!$P$7:$P$13,MATCH(AD259,Products!$A$7:$A$13,0)),"")))),ISNUMBER('Operating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plan'!$Y$70),ISNUMBER('Replacement plan'!$Z$70),'Replacement plan'!$Z$70&gt;=0,ISNUMBER('Replacement plan'!$AA$70),'Replacement plan'!$AA$70&gt;=0,'Replacement plan'!$AA$70=INT('Replacement plan'!$AA$70),ISNUMBER('Replacement plan'!$L$70))),'Operating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plan'!$AG$70="",'Operating costs'!$B$7,'Replacement plan'!$AG$70)),IF('Replacement plan'!$AG$70="",'Operating costs'!$B$7,'Replacement plan'!$AG$70)&gt;=0,ISNUMBER(IF('Replacement plan'!$AH$70="",'Operating costs'!$B$7,'Replacement plan'!$AH$70)),IF('Replacement plan'!$AH$70="",'Operating costs'!$B$7,'Replacement plan'!$AH$70)&gt;=0,'Operating costs'!$B$8&gt;MAX(IF('Replacement plan'!$AG$70="",'Operating costs'!$B$7,'Replacement plan'!$AG$70),IF('Replacement plan'!$AH$70="",'Operating costs'!$B$7,'Replacement plan'!$AH$70))*'Operating costs'!$B$9),IF(AND(VLOOKUP($A259,'Fleet register'!$A$7:$S$106,10,FALSE)&gt;=0,VLOOKUP($A259,'Fleet register'!$A$7:$S$106,10,FALSE)&lt;=120,VLOOKUP($A259,'Fleet register'!$A$7:$S$106,10,FALSE)=INT(VLOOKUP($A259,'Fleet register'!$A$7:$S$106,10,FALSE)),VLOOKUP($A259,'Fleet register'!$A$7:$S$106,15,FALSE)&gt;=0,VLOOKUP($A259,'Fleet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costs'!$B$67)&gt;=0,OR(D259&lt;&gt;"EV",E259=120,AND(MIN('Operating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59" s="1" t="str">
        <f>IF(C259=0,"Excluded",IF(P259&lt;&gt;"Complete",P259,IF(OR('Replacement plan'!$AD$70&lt;120-E259,AND(D259="EV",E259&lt;120,OR('Replacement plan'!$AC$70&lt;120-E259,'Replacement plan'!$I$70="No",AND(ISNUMBER(AF259),AE259&gt;AF259),AI259&gt;V259*(1-'Operating costs'!$B$46)^MAX(0,AB259-1)*(1-'Operating costs'!$B$45),AC259&gt;'Operating costs'!$B$18,AND(T259&lt;1,OR(AG259&lt;=0,AND(ISNUMBER(AH259),AG259&gt;AH259))),'Replacement plan'!$L$70&gt;INDEX(Products!$H$7:$H$13,MATCH('Replacement plan'!$B$70,Products!$A$7:$A$13,0))))),"Fails entered limits",IF(AND(D259="EV",E259&lt;120,OR(NOT(ISNUMBER(VLOOKUP($A259,'Fleet register'!$A$7:$S$106,7,FALSE))),NOT(ISNUMBER(VLOOKUP($A259,'Fleet register'!$A$7:$S$106,8,FALSE))),NOT(ISNUMBER(AF259)),'Replacement plan'!$I$70&lt;&gt;"Yes",NOT(ISNUMBER(AH259)),'Operating costs'!$B$59&lt;&gt;"Yes",'Operating costs'!$B$58&lt;&gt;"Yes")),"Unverified","Within entered limits"))))</f>
        <v>Excluded</v>
      </c>
      <c r="R259" s="1">
        <f>IF(C259=0,0,VLOOKUP($A259,'Fleet register'!$A$7:$S$106,6,FALSE))</f>
        <v>0</v>
      </c>
      <c r="S259" s="1">
        <f>IF(C259=0,0,VLOOKUP($A259,'Fleet register'!$A$7:$S$106,5,FALSE))</f>
        <v>0</v>
      </c>
      <c r="T259" s="1">
        <f>IF(D259="EV",'Energy and charging'!$B$12,0)</f>
        <v>0</v>
      </c>
      <c r="U259" s="1">
        <f>IFERROR(IF(C259=0,0,IF(D259="EV",IF('Replacement plan'!$F$70="",INDEX(Products!$E$7:$E$13,MATCH('Replacement plan'!$B$70,Products!$A$7:$A$13,0)),'Replacement plan'!$F$70)/IF('Replacement plan'!$G$70="Battery",1-'Operating costs'!$B$44,1),0)),"n.a.")</f>
        <v>0</v>
      </c>
      <c r="V259" s="1">
        <f>IFERROR(IF(C259=0,0,IF(D259="EV",IF('Replacement plan'!$E$70="",INDEX(Products!$D$7:$D$13,MATCH('Replacement plan'!$B$70,Products!$A$7:$A$13,0)),'Replacement plan'!$E$70),0)),"n.a.")</f>
        <v>0</v>
      </c>
      <c r="W259" s="1">
        <f>IF(C259=0,0,IF(AND(P259="Complete",D259="EV",E259&lt;120),IF(T259=0,0,ROUNDUP(T259*(R259-'Operating costs'!$B$41)*(S259*U259+'Operating costs'!$B$48/(1-'Operating costs'!$B$44))/(V259*'Operating costs'!$B$47/(1-'Operating costs'!$B$44)-T259*'Operating costs'!$B$12*U259),0)),0))</f>
        <v>0</v>
      </c>
      <c r="X259" s="1">
        <f>IF(C259=0,0,IF(AND(P259="Complete",D259="EV",E259&lt;120),(R259-'Operating costs'!$B$41)*(S259*U259+'Operating costs'!$B$48/(1-'Operating costs'!$B$44))+W259*'Operating costs'!$B$12*U259,0))</f>
        <v>0</v>
      </c>
      <c r="Y259" s="1">
        <f>IF(AND(C259=1,D259="EV",E259&lt;120),AI259/(1-'Operating costs'!$B$44)*(1-T259),0)</f>
        <v>0</v>
      </c>
      <c r="Z259" s="1">
        <f t="shared" si="6"/>
        <v>0</v>
      </c>
      <c r="AA259" s="1">
        <f>IF(C259=0,0,IF(P259="Complete",((S259*(R259-'Operating costs'!$B$40))+ROUNDUP(S259*(R259-'Operating costs'!$B$40)*IF('Replacement plan'!$AH$70="",'Operating costs'!$B$7,'Replacement plan'!$AH$70)/('Operating costs'!$B$8-'Operating costs'!$B$9*IF('Replacement plan'!$AH$70="",'Operating costs'!$B$7,'Replacement plan'!$AH$70)),0)*'Operating costs'!$B$9)*IF('Replacement plan'!$AH$70="",'Operating costs'!$B$7,'Replacement plan'!$AH$70),"n.a."))</f>
        <v>0</v>
      </c>
      <c r="AB259" s="1">
        <f t="shared" si="7"/>
        <v>0</v>
      </c>
      <c r="AC259" s="1">
        <f>IF(AND(C259=1,D259="EV",E259&lt;120,T259&gt;0),'Operating costs'!$B$12/'Operating costs'!$B$11*60+'Operating costs'!$B$13+'Operating costs'!$B$14+V259*'Operating costs'!$B$47/(1-'Operating costs'!$B$44)/'Replacement plan'!$L$70*60,0)</f>
        <v>0</v>
      </c>
      <c r="AD259" s="1" t="str">
        <f>'Replacement plan'!$B$70</f>
        <v>ChengLong L2EV</v>
      </c>
      <c r="AE259" s="1">
        <f>IF(C259=0,0,VLOOKUP($A259,'Fleet register'!$A$7:$S$106,8,FALSE))</f>
        <v>0</v>
      </c>
      <c r="AF259" s="1" t="str">
        <f>IF('Replacement plan'!$H$70="","n.a.",'Replacement plan'!$H$70)</f>
        <v>n.a.</v>
      </c>
      <c r="AG259" s="1">
        <f>'Replacement plan'!$J$70</f>
        <v>22</v>
      </c>
      <c r="AH259" s="1">
        <f>IFERROR(IF(D259="EV",IF('Replacement plan'!$K$70="AC",IF(ISNUMBER(INDEX(Products!$G$7:$G$13,MATCH('Replacement plan'!$B$70,Products!$A$7:$A$13,0))),INDEX(Products!$G$7:$G$13,MATCH('Replacement plan'!$B$70,Products!$A$7:$A$13,0)),"n.a."),IF(ISNUMBER(INDEX(Products!$H$7:$H$13,MATCH('Replacement plan'!$B$70,Products!$A$7:$A$13,0))),INDEX(Products!$H$7:$H$13,MATCH('Replacement plan'!$B$70,Products!$A$7:$A$13,0)),"n.a.")),0),"n.a.")</f>
        <v>0</v>
      </c>
      <c r="AI259" s="1">
        <f>IF(AND(C259=1,D259="EV",E259&lt;120),(VLOOKUP($A259,'Fleet register'!$A$7:$S$106,7,FALSE)+IF(T259&gt;0,'Operating costs'!$B$12,0))*U259*(1-'Operating costs'!$B$44)+'Operating costs'!$B$49,0)</f>
        <v>0</v>
      </c>
      <c r="AJ259" s="1">
        <f>IF(D259="EV",'Energy and charging'!$B$50,0)</f>
        <v>0</v>
      </c>
      <c r="AK259" s="17">
        <f>EDATE('Operating costs'!$B$63,E259)</f>
        <v>46298</v>
      </c>
      <c r="AL259" s="1">
        <f>IFERROR(IF(D259="EV",INDEX(Products!$B$7:$B$13,MATCH('Replacement plan'!$B$70,Products!$A$7:$A$13,0)),0),"n.a.")</f>
        <v>0</v>
      </c>
      <c r="AM259" s="1" t="str">
        <f>'Replacement plan'!$K$70</f>
        <v>DC</v>
      </c>
      <c r="AN259" s="1" t="str">
        <f>'Replacement plan'!$AE$70</f>
        <v>Assumed</v>
      </c>
      <c r="AO259" s="47">
        <f>IF(AND(C259=1,D259="EV",E259&lt;120),(R259-'Operating costs'!$B$41)*S259+W259*'Operating costs'!$B$12,0)</f>
        <v>0</v>
      </c>
      <c r="AP259" s="41">
        <f>IF(AND(C259=1,D259="EV",E259&lt;120),IF('Operating costs'!$B$68="Hong Seh 200k average",AO259*IFERROR(INDEX(Products!$P$7:$P$13,MATCH(AD259,Products!$A$7:$A$13,0)),"n.a."),'Operating costs'!$B$26),0)</f>
        <v>0</v>
      </c>
      <c r="AQ259" s="40" t="str">
        <f>IF(D259="EV",'Operating costs'!$B$68,"Not applicable")</f>
        <v>Not applicable</v>
      </c>
    </row>
    <row r="260" spans="1:43" ht="24" customHeight="1">
      <c r="A260" s="1" t="str">
        <f>'Replacement plan'!A70</f>
        <v>T064</v>
      </c>
      <c r="B260" s="1">
        <v>1</v>
      </c>
      <c r="C260" s="1">
        <f>IF(COUNTIFS('Fleet register'!$A$7:$A$106,$A260)=1,VLOOKUP($A260,'Fleet register'!$A$7:$S$106,2,FALSE),0)</f>
        <v>0</v>
      </c>
      <c r="D260" s="1" t="str">
        <f>IF("New ICE"="EV","EV","ICE")</f>
        <v>ICE</v>
      </c>
      <c r="E260" s="1">
        <f>IF(C260=0,0,0)</f>
        <v>0</v>
      </c>
      <c r="F260" s="16">
        <f>IF(C260=0,0,VLOOKUP($A260,'Fleet register'!$A$7:$S$106,11,FALSE))</f>
        <v>0</v>
      </c>
      <c r="G260" s="16">
        <f>IFERROR(IF(C260=0,0,IF(E260=120,0,IF(D260="ICE",'Replacement plan'!$C$70,IF('Replacement plan'!$D$70="",INDEX(Products!$I$7:$I$13,MATCH('Replacement plan'!$B$70,Products!$A$7:$A$13,0))+'Operating costs'!$B$57,'Replacement plan'!$D$70))*(1+'Operating costs'!$B$50)^(E260/12))),"n.a.")</f>
        <v>0</v>
      </c>
      <c r="H260" s="16">
        <f>IFERROR(IF(C260=0,0,IF(E260=0,F260,VLOOKUP($A260,'Fleet register'!$A$7:$S$106,12,FALSE)+VLOOKUP($A260,'Fleet register'!$A$7:$S$106,13,FALSE)*MAX(0,VLOOKUP($A260,'Fleet register'!$A$7:$S$106,10,FALSE)-E260)/VLOOKUP($A260,'Fleet register'!$A$7:$S$106,14,FALSE))),"n.a.")</f>
        <v>0</v>
      </c>
      <c r="I260" s="16">
        <f>IF(C260=0,0,IF(E260=120,0,IF('Replacement plan'!$AI$70="",'Operating costs'!$B$56,'Replacement plan'!$AI$70)))</f>
        <v>0</v>
      </c>
      <c r="J260" s="16">
        <f>IF(C260=0,0,IF(P260="Complete",((S260*(R260-'Operating costs'!$B$39))+ROUNDUP(S260*(R260-'Operating costs'!$B$39)*IF('Replacement plan'!$AG$70="",'Operating costs'!$B$7,'Replacement plan'!$AG$70)/('Operating costs'!$B$8-'Operating costs'!$B$9*IF('Replacement plan'!$AG$70="",'Operating costs'!$B$7,'Replacement plan'!$AG$70)),0)*'Operating costs'!$B$9)*IF('Replacement plan'!$AG$70="",'Operating costs'!$B$7,'Replacement plan'!$AG$70)*('Energy and charging'!$B$9*'Energy and charging'!$B$7+(1-'Energy and charging'!$B$9)*'Energy and charging'!$B$8)*'Operating costs'!$B$23,"n.a."))</f>
        <v>0</v>
      </c>
      <c r="K260" s="16">
        <f>IF(C260=0,0,IF(P260="Complete",SUM('Operating costs'!$B$24,'Operating costs'!$B$27,'Operating costs'!$B$29,'Operating costs'!$B$31,'Operating costs'!$B$33,'Operating costs'!$B$34,'Operating costs'!$B$37,'Replacement plan'!$W$70)+'Operating costs'!$B$39*'Operating costs'!$B$42+ROUNDUP(S260*(R260-'Operating costs'!$B$39)*IF('Replacement plan'!$AG$70="",'Operating costs'!$B$7,'Replacement plan'!$AG$70)/('Operating costs'!$B$8-'Operating costs'!$B$9*IF('Replacement plan'!$AG$70="",'Operating costs'!$B$7,'Replacement plan'!$AG$70)),0)*('Operating costs'!$B$9/'Operating costs'!$B$11+'Operating costs'!$B$10/60)*'Operating costs'!$B$19*'Operating costs'!$B$21,"n.a."))</f>
        <v>0</v>
      </c>
      <c r="L260" s="16">
        <f>IF(C260=0,0,IF(P260="Complete",IF(D260="EV",X260*((1-T260)*'Energy and charging'!$B$10+T260*'Energy and charging'!$B$11)*'Operating costs'!$B$22,AA260*('Energy and charging'!$B$9*'Energy and charging'!$B$7+(1-'Energy and charging'!$B$9)*'Energy and charging'!$B$8)*'Operating costs'!$B$23),"n.a."))</f>
        <v>0</v>
      </c>
      <c r="M260" s="37">
        <f>IF(C260=0,0,IF(P260="Complete",IF(D260="ICE",SUM('Operating costs'!$B$25,'Operating costs'!$B$27,'Operating costs'!$B$29,'Operating costs'!$B$31,'Operating costs'!$B$33,'Operating costs'!$B$35,'Operating costs'!$B$37,'Replacement plan'!$X$70)+'Operating costs'!$B$40*'Operating costs'!$B$42+ROUNDUP(S260*(R260-'Operating costs'!$B$40)*IF('Replacement plan'!$AH$70="",'Operating costs'!$B$7,'Replacement plan'!$AH$70)/('Operating costs'!$B$8-'Operating costs'!$B$9*IF('Replacement plan'!$AH$70="",'Operating costs'!$B$7,'Replacement plan'!$AH$70)),0)*('Operating costs'!$B$9/'Operating costs'!$B$11+'Operating costs'!$B$10/60)*'Operating costs'!$B$19*'Operating costs'!$B$21,SUM(AP260,'Operating costs'!$B$28,'Operating costs'!$B$30,'Operating costs'!$B$32,'Operating costs'!$B$33,'Operating costs'!$B$36,'Operating costs'!$B$38,'Replacement plan'!$Y$70)+'Operating costs'!$B$41*'Operating costs'!$B$43+W260*'Operating costs'!$B$15+(T260*X260/'Replacement plan'!$L$70+W260*('Operating costs'!$B$12/'Operating costs'!$B$11+('Operating costs'!$B$13+'Operating costs'!$B$14)/60)+(R260-'Operating costs'!$B$41)*(IF(T260&lt;1,'Operating costs'!$B$16,0)+'Operating costs'!$B$17)/60)*'Operating costs'!$B$19*'Operating costs'!$B$20),"n.a."))</f>
        <v>0</v>
      </c>
      <c r="N260" s="16">
        <f>IF(AND(C260=1,D260="EV",E260&lt;120,E260+'Replacement plan'!$AA$70&lt;=120),'Replacement plan'!$Z$70,0)</f>
        <v>0</v>
      </c>
      <c r="O260" s="1">
        <f>E260+'Replacement plan'!$AA$70</f>
        <v>0</v>
      </c>
      <c r="P260" s="35" t="str">
        <f>IFERROR(IF(C260=0,"Excluded",IF(OR(COUNTIFS('Fleet register'!$A$7:$A$106,A260)&lt;&gt;1,COUNTIFS('Replacement plan'!$A$7:$A$106,A260)&lt;&gt;1),"Duplicate/missing ID",IF(NOT(AND(ISNUMBER(VLOOKUP($A260,'Fleet register'!$A$7:$S$106,5,FALSE)),ISNUMBER(VLOOKUP($A260,'Fleet register'!$A$7:$S$106,6,FALSE)),ISNUMBER(VLOOKUP($A260,'Fleet register'!$A$7:$S$106,10,FALSE)),ISNUMBER(VLOOKUP($A260,'Fleet register'!$A$7:$S$106,11,FALSE)),ISNUMBER(VLOOKUP($A260,'Fleet register'!$A$7:$S$106,12,FALSE)),ISNUMBER(VLOOKUP($A260,'Fleet register'!$A$7:$S$106,13,FALSE)),ISNUMBER(VLOOKUP($A260,'Fleet register'!$A$7:$S$106,14,FALSE)),VLOOKUP($A260,'Fleet register'!$A$7:$S$106,14,FALSE)&gt;0,ISNUMBER('Replacement plan'!$C$70),OR(E260=120,OR(ISNUMBER('Replacement plan'!$AI$70),AND('Replacement plan'!$AI$70="",ISNUMBER('Operating costs'!$B$56)))),ISNUMBER(E260))),"Missing vehicle input",IF(OR(E260&lt;0,E260&gt;VLOOKUP($A260,'Fleet register'!$A$7:$S$106,10,FALSE),E260&gt;120,E260&lt;&gt;INT(E260),VLOOKUP($A260,'Fleet register'!$A$7:$S$106,6,FALSE)&lt;=0,VLOOKUP($A260,'Fleet register'!$A$7:$S$106,6,FALSE)&gt;366,VLOOKUP($A260,'Fleet register'!$A$7:$S$106,5,FALSE)&lt;0,VLOOKUP($A260,'Fleet register'!$A$7:$S$106,11,FALSE)&lt;0,I260&lt;0,'Operating costs'!$B$8&lt;='Operating costs'!$B$7*'Operating costs'!$B$9,'Operating costs'!$B$11&lt;=0,'Operating costs'!$B$39&gt;R260,'Operating costs'!$B$40&gt;R260,'Operating costs'!$B$41&gt;R260,NOT(OR("New ICE"="Keep ICE","New ICE"="New ICE","New ICE"="EV"))),"Invalid vehicle input",IF(AND(D260="EV",E260&lt;120,OR(NOT(ISNUMBER(U260)),NOT(ISNUMBER(V260)),V260&lt;=0,T260&lt;0,T260&gt;1,'Replacement plan'!$L$70&lt;=0,'Operating costs'!$B$44&lt;0,'Operating costs'!$B$44&gt;=1,'Operating costs'!$B$47&lt;=0,'Operating costs'!$B$47&gt;1,V260*'Operating costs'!$B$47/(1-'Operating costs'!$B$44)&lt;=T260*'Operating costs'!$B$12*U260,AND('Replacement plan'!$Z$70&gt;0,OR('Replacement plan'!$AB$70&lt;&gt;"Yes",'Operating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charging'!$B$8&gt;=0))),ISNUMBER(VLOOKUP($A260,'Fleet register'!$A$7:$S$106,15,FALSE)),ISNUMBER(VLOOKUP($A260,'Fleet register'!$A$7:$S$106,16,FALSE)),ISNUMBER('Replacement plan'!$W$70),ISNUMBER('Replacement plan'!$X$70),OR(E260=120,AND(ISNUMBER(G260),G260&gt;=0)),ISNUMBER(H260),H260&gt;=0,OR(D260&lt;&gt;"EV",E260=120,AND(ISNUMBER('Operating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average",ISNUMBER(IFERROR(INDEX(Products!$P$7:$P$13,MATCH(AD260,Products!$A$7:$A$13,0)),"")))),ISNUMBER('Operating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plan'!$Y$70),ISNUMBER('Replacement plan'!$Z$70),'Replacement plan'!$Z$70&gt;=0,ISNUMBER('Replacement plan'!$AA$70),'Replacement plan'!$AA$70&gt;=0,'Replacement plan'!$AA$70=INT('Replacement plan'!$AA$70),ISNUMBER('Replacement plan'!$L$70))),'Operating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plan'!$AG$70="",'Operating costs'!$B$7,'Replacement plan'!$AG$70)),IF('Replacement plan'!$AG$70="",'Operating costs'!$B$7,'Replacement plan'!$AG$70)&gt;=0,ISNUMBER(IF('Replacement plan'!$AH$70="",'Operating costs'!$B$7,'Replacement plan'!$AH$70)),IF('Replacement plan'!$AH$70="",'Operating costs'!$B$7,'Replacement plan'!$AH$70)&gt;=0,'Operating costs'!$B$8&gt;MAX(IF('Replacement plan'!$AG$70="",'Operating costs'!$B$7,'Replacement plan'!$AG$70),IF('Replacement plan'!$AH$70="",'Operating costs'!$B$7,'Replacement plan'!$AH$70))*'Operating costs'!$B$9),IF(AND(VLOOKUP($A260,'Fleet register'!$A$7:$S$106,10,FALSE)&gt;=0,VLOOKUP($A260,'Fleet register'!$A$7:$S$106,10,FALSE)&lt;=120,VLOOKUP($A260,'Fleet register'!$A$7:$S$106,10,FALSE)=INT(VLOOKUP($A260,'Fleet register'!$A$7:$S$106,10,FALSE)),VLOOKUP($A260,'Fleet register'!$A$7:$S$106,15,FALSE)&gt;=0,VLOOKUP($A260,'Fleet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costs'!$B$67)&gt;=0,OR(D260&lt;&gt;"EV",E260=120,AND(MIN('Operating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60" s="1" t="str">
        <f>IF(C260=0,"Excluded",IF(P260&lt;&gt;"Complete",P260,IF(OR('Replacement plan'!$AD$70&lt;120-E260,AND(D260="EV",E260&lt;120,OR('Replacement plan'!$AC$70&lt;120-E260,'Replacement plan'!$I$70="No",AND(ISNUMBER(AF260),AE260&gt;AF260),AI260&gt;V260*(1-'Operating costs'!$B$46)^MAX(0,AB260-1)*(1-'Operating costs'!$B$45),AC260&gt;'Operating costs'!$B$18,AND(T260&lt;1,OR(AG260&lt;=0,AND(ISNUMBER(AH260),AG260&gt;AH260))),'Replacement plan'!$L$70&gt;INDEX(Products!$H$7:$H$13,MATCH('Replacement plan'!$B$70,Products!$A$7:$A$13,0))))),"Fails entered limits",IF(AND(D260="EV",E260&lt;120,OR(NOT(ISNUMBER(VLOOKUP($A260,'Fleet register'!$A$7:$S$106,7,FALSE))),NOT(ISNUMBER(VLOOKUP($A260,'Fleet register'!$A$7:$S$106,8,FALSE))),NOT(ISNUMBER(AF260)),'Replacement plan'!$I$70&lt;&gt;"Yes",NOT(ISNUMBER(AH260)),'Operating costs'!$B$59&lt;&gt;"Yes",'Operating costs'!$B$58&lt;&gt;"Yes")),"Unverified","Within entered limits"))))</f>
        <v>Excluded</v>
      </c>
      <c r="R260" s="1">
        <f>IF(C260=0,0,VLOOKUP($A260,'Fleet register'!$A$7:$S$106,6,FALSE))</f>
        <v>0</v>
      </c>
      <c r="S260" s="1">
        <f>IF(C260=0,0,VLOOKUP($A260,'Fleet register'!$A$7:$S$106,5,FALSE))</f>
        <v>0</v>
      </c>
      <c r="T260" s="1">
        <f>IF(D260="EV",'Energy and charging'!$B$12,0)</f>
        <v>0</v>
      </c>
      <c r="U260" s="1">
        <f>IFERROR(IF(C260=0,0,IF(D260="EV",IF('Replacement plan'!$F$70="",INDEX(Products!$E$7:$E$13,MATCH('Replacement plan'!$B$70,Products!$A$7:$A$13,0)),'Replacement plan'!$F$70)/IF('Replacement plan'!$G$70="Battery",1-'Operating costs'!$B$44,1),0)),"n.a.")</f>
        <v>0</v>
      </c>
      <c r="V260" s="1">
        <f>IFERROR(IF(C260=0,0,IF(D260="EV",IF('Replacement plan'!$E$70="",INDEX(Products!$D$7:$D$13,MATCH('Replacement plan'!$B$70,Products!$A$7:$A$13,0)),'Replacement plan'!$E$70),0)),"n.a.")</f>
        <v>0</v>
      </c>
      <c r="W260" s="1">
        <f>IF(C260=0,0,IF(AND(P260="Complete",D260="EV",E260&lt;120),IF(T260=0,0,ROUNDUP(T260*(R260-'Operating costs'!$B$41)*(S260*U260+'Operating costs'!$B$48/(1-'Operating costs'!$B$44))/(V260*'Operating costs'!$B$47/(1-'Operating costs'!$B$44)-T260*'Operating costs'!$B$12*U260),0)),0))</f>
        <v>0</v>
      </c>
      <c r="X260" s="1">
        <f>IF(C260=0,0,IF(AND(P260="Complete",D260="EV",E260&lt;120),(R260-'Operating costs'!$B$41)*(S260*U260+'Operating costs'!$B$48/(1-'Operating costs'!$B$44))+W260*'Operating costs'!$B$12*U260,0))</f>
        <v>0</v>
      </c>
      <c r="Y260" s="1">
        <f>IF(AND(C260=1,D260="EV",E260&lt;120),AI260/(1-'Operating costs'!$B$44)*(1-T260),0)</f>
        <v>0</v>
      </c>
      <c r="Z260" s="1">
        <f t="shared" si="6"/>
        <v>0</v>
      </c>
      <c r="AA260" s="1">
        <f>IF(C260=0,0,IF(P260="Complete",((S260*(R260-'Operating costs'!$B$40))+ROUNDUP(S260*(R260-'Operating costs'!$B$40)*IF('Replacement plan'!$AH$70="",'Operating costs'!$B$7,'Replacement plan'!$AH$70)/('Operating costs'!$B$8-'Operating costs'!$B$9*IF('Replacement plan'!$AH$70="",'Operating costs'!$B$7,'Replacement plan'!$AH$70)),0)*'Operating costs'!$B$9)*IF('Replacement plan'!$AH$70="",'Operating costs'!$B$7,'Replacement plan'!$AH$70),"n.a."))</f>
        <v>0</v>
      </c>
      <c r="AB260" s="1">
        <f t="shared" si="7"/>
        <v>0</v>
      </c>
      <c r="AC260" s="1">
        <f>IF(AND(C260=1,D260="EV",E260&lt;120,T260&gt;0),'Operating costs'!$B$12/'Operating costs'!$B$11*60+'Operating costs'!$B$13+'Operating costs'!$B$14+V260*'Operating costs'!$B$47/(1-'Operating costs'!$B$44)/'Replacement plan'!$L$70*60,0)</f>
        <v>0</v>
      </c>
      <c r="AD260" s="1" t="str">
        <f>'Replacement plan'!$B$70</f>
        <v>ChengLong L2EV</v>
      </c>
      <c r="AE260" s="1">
        <f>IF(C260=0,0,VLOOKUP($A260,'Fleet register'!$A$7:$S$106,8,FALSE))</f>
        <v>0</v>
      </c>
      <c r="AF260" s="1" t="str">
        <f>IF('Replacement plan'!$H$70="","n.a.",'Replacement plan'!$H$70)</f>
        <v>n.a.</v>
      </c>
      <c r="AG260" s="1">
        <f>'Replacement plan'!$J$70</f>
        <v>22</v>
      </c>
      <c r="AH260" s="1">
        <f>IFERROR(IF(D260="EV",IF('Replacement plan'!$K$70="AC",IF(ISNUMBER(INDEX(Products!$G$7:$G$13,MATCH('Replacement plan'!$B$70,Products!$A$7:$A$13,0))),INDEX(Products!$G$7:$G$13,MATCH('Replacement plan'!$B$70,Products!$A$7:$A$13,0)),"n.a."),IF(ISNUMBER(INDEX(Products!$H$7:$H$13,MATCH('Replacement plan'!$B$70,Products!$A$7:$A$13,0))),INDEX(Products!$H$7:$H$13,MATCH('Replacement plan'!$B$70,Products!$A$7:$A$13,0)),"n.a.")),0),"n.a.")</f>
        <v>0</v>
      </c>
      <c r="AI260" s="1">
        <f>IF(AND(C260=1,D260="EV",E260&lt;120),(VLOOKUP($A260,'Fleet register'!$A$7:$S$106,7,FALSE)+IF(T260&gt;0,'Operating costs'!$B$12,0))*U260*(1-'Operating costs'!$B$44)+'Operating costs'!$B$49,0)</f>
        <v>0</v>
      </c>
      <c r="AJ260" s="1">
        <f>IF(D260="EV",'Energy and charging'!$B$50,0)</f>
        <v>0</v>
      </c>
      <c r="AK260" s="17">
        <f>EDATE('Operating costs'!$B$63,E260)</f>
        <v>46298</v>
      </c>
      <c r="AL260" s="1">
        <f>IFERROR(IF(D260="EV",INDEX(Products!$B$7:$B$13,MATCH('Replacement plan'!$B$70,Products!$A$7:$A$13,0)),0),"n.a.")</f>
        <v>0</v>
      </c>
      <c r="AM260" s="1" t="str">
        <f>'Replacement plan'!$K$70</f>
        <v>DC</v>
      </c>
      <c r="AN260" s="1" t="str">
        <f>'Replacement plan'!$AE$70</f>
        <v>Assumed</v>
      </c>
      <c r="AO260" s="47">
        <f>IF(AND(C260=1,D260="EV",E260&lt;120),(R260-'Operating costs'!$B$41)*S260+W260*'Operating costs'!$B$12,0)</f>
        <v>0</v>
      </c>
      <c r="AP260" s="41">
        <f>IF(AND(C260=1,D260="EV",E260&lt;120),IF('Operating costs'!$B$68="Hong Seh 200k average",AO260*IFERROR(INDEX(Products!$P$7:$P$13,MATCH(AD260,Products!$A$7:$A$13,0)),"n.a."),'Operating costs'!$B$26),0)</f>
        <v>0</v>
      </c>
      <c r="AQ260" s="40" t="str">
        <f>IF(D260="EV",'Operating costs'!$B$68,"Not applicable")</f>
        <v>Not applicable</v>
      </c>
    </row>
    <row r="261" spans="1:43" ht="24" customHeight="1">
      <c r="A261" s="1" t="str">
        <f>'Replacement plan'!A70</f>
        <v>T064</v>
      </c>
      <c r="B261" s="1">
        <v>2</v>
      </c>
      <c r="C261" s="1">
        <f>IF(COUNTIFS('Fleet register'!$A$7:$A$106,$A261)=1,VLOOKUP($A261,'Fleet register'!$A$7:$S$106,2,FALSE),0)</f>
        <v>0</v>
      </c>
      <c r="D261" s="1" t="str">
        <f>IF('Replacement plan'!$O$70="EV","EV","ICE")</f>
        <v>ICE</v>
      </c>
      <c r="E261" s="1">
        <f>IF(C261=0,0,IF('Replacement plan'!$P$70="",IF('Replacement plan'!$O$70="Keep ICE",IF('Replacement plan'!$M$70="",VLOOKUP($A261,'Fleet register'!$A$7:$S$106,10,FALSE),'Replacement plan'!$M$70),0),'Replacement plan'!$P$70))</f>
        <v>0</v>
      </c>
      <c r="F261" s="16">
        <f>IF(C261=0,0,VLOOKUP($A261,'Fleet register'!$A$7:$S$106,11,FALSE))</f>
        <v>0</v>
      </c>
      <c r="G261" s="16">
        <f>IFERROR(IF(C261=0,0,IF(E261=120,0,IF(D261="ICE",'Replacement plan'!$C$70,IF('Replacement plan'!$D$70="",INDEX(Products!$I$7:$I$13,MATCH('Replacement plan'!$B$70,Products!$A$7:$A$13,0))+'Operating costs'!$B$57,'Replacement plan'!$D$70))*(1+'Operating costs'!$B$50)^(E261/12))),"n.a.")</f>
        <v>0</v>
      </c>
      <c r="H261" s="16">
        <f>IFERROR(IF(C261=0,0,IF('Replacement plan'!$U$70&lt;&gt;"",'Replacement plan'!$U$70,IF(E261=0,F261,VLOOKUP($A261,'Fleet register'!$A$7:$S$106,12,FALSE)+VLOOKUP($A261,'Fleet register'!$A$7:$S$106,13,FALSE)*MAX(0,VLOOKUP($A261,'Fleet register'!$A$7:$S$106,10,FALSE)-E261)/VLOOKUP($A261,'Fleet register'!$A$7:$S$106,14,FALSE)))),"n.a.")</f>
        <v>0</v>
      </c>
      <c r="I261" s="16">
        <f>IF(C261=0,0,IF(E261=120,0,'Replacement plan'!$Q$70))</f>
        <v>0</v>
      </c>
      <c r="J261" s="16">
        <f>IF(C261=0,0,IF(P261="Complete",((S261*(R261-'Operating costs'!$B$39))+ROUNDUP(S261*(R261-'Operating costs'!$B$39)*IF('Replacement plan'!$AG$70="",'Operating costs'!$B$7,'Replacement plan'!$AG$70)/('Operating costs'!$B$8-'Operating costs'!$B$9*IF('Replacement plan'!$AG$70="",'Operating costs'!$B$7,'Replacement plan'!$AG$70)),0)*'Operating costs'!$B$9)*IF('Replacement plan'!$AG$70="",'Operating costs'!$B$7,'Replacement plan'!$AG$70)*('Energy and charging'!$B$9*'Energy and charging'!$B$7+(1-'Energy and charging'!$B$9)*'Energy and charging'!$B$8)*'Operating costs'!$B$23,"n.a."))</f>
        <v>0</v>
      </c>
      <c r="K261" s="16">
        <f>IF(C261=0,0,IF(P261="Complete",SUM('Operating costs'!$B$24,'Operating costs'!$B$27,'Operating costs'!$B$29,'Operating costs'!$B$31,'Operating costs'!$B$33,'Operating costs'!$B$34,'Operating costs'!$B$37,'Replacement plan'!$W$70)+'Operating costs'!$B$39*'Operating costs'!$B$42+ROUNDUP(S261*(R261-'Operating costs'!$B$39)*IF('Replacement plan'!$AG$70="",'Operating costs'!$B$7,'Replacement plan'!$AG$70)/('Operating costs'!$B$8-'Operating costs'!$B$9*IF('Replacement plan'!$AG$70="",'Operating costs'!$B$7,'Replacement plan'!$AG$70)),0)*('Operating costs'!$B$9/'Operating costs'!$B$11+'Operating costs'!$B$10/60)*'Operating costs'!$B$19*'Operating costs'!$B$21,"n.a."))</f>
        <v>0</v>
      </c>
      <c r="L261" s="16">
        <f>IF(C261=0,0,IF(P261="Complete",IF(D261="EV",X261*((1-T261)*'Energy and charging'!$B$10+T261*'Energy and charging'!$B$11)*'Operating costs'!$B$22,AA261*('Energy and charging'!$B$9*'Energy and charging'!$B$7+(1-'Energy and charging'!$B$9)*'Energy and charging'!$B$8)*'Operating costs'!$B$23),"n.a."))</f>
        <v>0</v>
      </c>
      <c r="M261" s="37">
        <f>IF(C261=0,0,IF(P261="Complete",IF(D261="ICE",SUM('Operating costs'!$B$25,'Operating costs'!$B$27,'Operating costs'!$B$29,'Operating costs'!$B$31,'Operating costs'!$B$33,'Operating costs'!$B$35,'Operating costs'!$B$37,'Replacement plan'!$X$70)+'Operating costs'!$B$40*'Operating costs'!$B$42+ROUNDUP(S261*(R261-'Operating costs'!$B$40)*IF('Replacement plan'!$AH$70="",'Operating costs'!$B$7,'Replacement plan'!$AH$70)/('Operating costs'!$B$8-'Operating costs'!$B$9*IF('Replacement plan'!$AH$70="",'Operating costs'!$B$7,'Replacement plan'!$AH$70)),0)*('Operating costs'!$B$9/'Operating costs'!$B$11+'Operating costs'!$B$10/60)*'Operating costs'!$B$19*'Operating costs'!$B$21,SUM(AP261,'Operating costs'!$B$28,'Operating costs'!$B$30,'Operating costs'!$B$32,'Operating costs'!$B$33,'Operating costs'!$B$36,'Operating costs'!$B$38,'Replacement plan'!$Y$70)+'Operating costs'!$B$41*'Operating costs'!$B$43+W261*'Operating costs'!$B$15+(T261*X261/'Replacement plan'!$L$70+W261*('Operating costs'!$B$12/'Operating costs'!$B$11+('Operating costs'!$B$13+'Operating costs'!$B$14)/60)+(R261-'Operating costs'!$B$41)*(IF(T261&lt;1,'Operating costs'!$B$16,0)+'Operating costs'!$B$17)/60)*'Operating costs'!$B$19*'Operating costs'!$B$20),"n.a."))</f>
        <v>0</v>
      </c>
      <c r="N261" s="16">
        <f>IF(AND(C261=1,D261="EV",E261&lt;120,E261+'Replacement plan'!$AA$70&lt;=120),'Replacement plan'!$Z$70,0)</f>
        <v>0</v>
      </c>
      <c r="O261" s="1">
        <f>E261+'Replacement plan'!$AA$70</f>
        <v>0</v>
      </c>
      <c r="P261" s="35" t="str">
        <f>IFERROR(IF(C261=0,"Excluded",IF(OR(COUNTIFS('Fleet register'!$A$7:$A$106,A261)&lt;&gt;1,COUNTIFS('Replacement plan'!$A$7:$A$106,A261)&lt;&gt;1),"Duplicate/missing ID",IF(NOT(AND(ISNUMBER(VLOOKUP($A261,'Fleet register'!$A$7:$S$106,5,FALSE)),ISNUMBER(VLOOKUP($A261,'Fleet register'!$A$7:$S$106,6,FALSE)),ISNUMBER(VLOOKUP($A261,'Fleet register'!$A$7:$S$106,10,FALSE)),ISNUMBER(VLOOKUP($A261,'Fleet register'!$A$7:$S$106,11,FALSE)),ISNUMBER(VLOOKUP($A261,'Fleet register'!$A$7:$S$106,12,FALSE)),ISNUMBER(VLOOKUP($A261,'Fleet register'!$A$7:$S$106,13,FALSE)),ISNUMBER(VLOOKUP($A261,'Fleet register'!$A$7:$S$106,14,FALSE)),VLOOKUP($A261,'Fleet register'!$A$7:$S$106,14,FALSE)&gt;0,ISNUMBER('Replacement plan'!$C$70),OR(E261=120,ISNUMBER('Replacement plan'!$Q$70)),ISNUMBER(E261))),"Missing vehicle input",IF(OR(E261&lt;0,E261&gt;VLOOKUP($A261,'Fleet register'!$A$7:$S$106,10,FALSE),E261&gt;120,E261&lt;&gt;INT(E261),VLOOKUP($A261,'Fleet register'!$A$7:$S$106,6,FALSE)&lt;=0,VLOOKUP($A261,'Fleet register'!$A$7:$S$106,6,FALSE)&gt;366,VLOOKUP($A261,'Fleet register'!$A$7:$S$106,5,FALSE)&lt;0,VLOOKUP($A261,'Fleet register'!$A$7:$S$106,11,FALSE)&lt;0,I261&lt;0,'Operating costs'!$B$8&lt;='Operating costs'!$B$7*'Operating costs'!$B$9,'Operating costs'!$B$11&lt;=0,'Operating costs'!$B$39&gt;R261,'Operating costs'!$B$40&gt;R261,'Operating costs'!$B$41&gt;R261,NOT(OR('Replacement plan'!$O$70="Keep ICE",'Replacement plan'!$O$70="New ICE",'Replacement plan'!$O$70="EV"))),"Invalid vehicle input",IF(AND(D261="EV",E261&lt;120,OR(NOT(ISNUMBER(U261)),NOT(ISNUMBER(V261)),V261&lt;=0,T261&lt;0,T261&gt;1,'Replacement plan'!$L$70&lt;=0,'Operating costs'!$B$44&lt;0,'Operating costs'!$B$44&gt;=1,'Operating costs'!$B$47&lt;=0,'Operating costs'!$B$47&gt;1,V261*'Operating costs'!$B$47/(1-'Operating costs'!$B$44)&lt;=T261*'Operating costs'!$B$12*U261,AND('Replacement plan'!$Z$70&gt;0,OR('Replacement plan'!$AB$70&lt;&gt;"Yes",'Operating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charging'!$B$8&gt;=0))),ISNUMBER(VLOOKUP($A261,'Fleet register'!$A$7:$S$106,15,FALSE)),ISNUMBER(VLOOKUP($A261,'Fleet register'!$A$7:$S$106,16,FALSE)),ISNUMBER('Replacement plan'!$W$70),ISNUMBER('Replacement plan'!$X$70),OR(E261=120,AND(ISNUMBER(G261),G261&gt;=0)),ISNUMBER(H261),H261&gt;=0,OR(D261&lt;&gt;"EV",E261=120,AND(ISNUMBER('Operating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average",ISNUMBER(IFERROR(INDEX(Products!$P$7:$P$13,MATCH(AD261,Products!$A$7:$A$13,0)),"")))),ISNUMBER('Operating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plan'!$Y$70),ISNUMBER('Replacement plan'!$Z$70),'Replacement plan'!$Z$70&gt;=0,ISNUMBER('Replacement plan'!$AA$70),'Replacement plan'!$AA$70&gt;=0,'Replacement plan'!$AA$70=INT('Replacement plan'!$AA$70),ISNUMBER('Replacement plan'!$L$70))),'Operating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plan'!$AG$70="",'Operating costs'!$B$7,'Replacement plan'!$AG$70)),IF('Replacement plan'!$AG$70="",'Operating costs'!$B$7,'Replacement plan'!$AG$70)&gt;=0,ISNUMBER(IF('Replacement plan'!$AH$70="",'Operating costs'!$B$7,'Replacement plan'!$AH$70)),IF('Replacement plan'!$AH$70="",'Operating costs'!$B$7,'Replacement plan'!$AH$70)&gt;=0,'Operating costs'!$B$8&gt;MAX(IF('Replacement plan'!$AG$70="",'Operating costs'!$B$7,'Replacement plan'!$AG$70),IF('Replacement plan'!$AH$70="",'Operating costs'!$B$7,'Replacement plan'!$AH$70))*'Operating costs'!$B$9),IF(AND(VLOOKUP($A261,'Fleet register'!$A$7:$S$106,10,FALSE)&gt;=0,VLOOKUP($A261,'Fleet register'!$A$7:$S$106,10,FALSE)&lt;=120,VLOOKUP($A261,'Fleet register'!$A$7:$S$106,10,FALSE)=INT(VLOOKUP($A261,'Fleet register'!$A$7:$S$106,10,FALSE)),VLOOKUP($A261,'Fleet register'!$A$7:$S$106,15,FALSE)&gt;=0,VLOOKUP($A261,'Fleet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costs'!$B$67)&gt;=0,OR(D261&lt;&gt;"EV",E261=120,AND(MIN('Operating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61" s="1" t="str">
        <f>IF(C261=0,"Excluded",IF(P261&lt;&gt;"Complete",P261,IF(OR('Replacement plan'!$AD$70&lt;120-E261,AND(D261="EV",E261&lt;120,OR('Replacement plan'!$AC$70&lt;120-E261,'Replacement plan'!$I$70="No",AND(ISNUMBER(AF261),AE261&gt;AF261),AI261&gt;V261*(1-'Operating costs'!$B$46)^MAX(0,AB261-1)*(1-'Operating costs'!$B$45),AC261&gt;'Operating costs'!$B$18,AND(T261&lt;1,OR(AG261&lt;=0,AND(ISNUMBER(AH261),AG261&gt;AH261))),'Replacement plan'!$L$70&gt;INDEX(Products!$H$7:$H$13,MATCH('Replacement plan'!$B$70,Products!$A$7:$A$13,0))))),"Fails entered limits",IF(AND(D261="EV",E261&lt;120,OR(NOT(ISNUMBER(VLOOKUP($A261,'Fleet register'!$A$7:$S$106,7,FALSE))),NOT(ISNUMBER(VLOOKUP($A261,'Fleet register'!$A$7:$S$106,8,FALSE))),NOT(ISNUMBER(AF261)),'Replacement plan'!$I$70&lt;&gt;"Yes",NOT(ISNUMBER(AH261)),'Operating costs'!$B$59&lt;&gt;"Yes",'Operating costs'!$B$58&lt;&gt;"Yes")),"Unverified","Within entered limits"))))</f>
        <v>Excluded</v>
      </c>
      <c r="R261" s="1">
        <f>IF(C261=0,0,VLOOKUP($A261,'Fleet register'!$A$7:$S$106,6,FALSE))</f>
        <v>0</v>
      </c>
      <c r="S261" s="1">
        <f>IF(C261=0,0,VLOOKUP($A261,'Fleet register'!$A$7:$S$106,5,FALSE))</f>
        <v>0</v>
      </c>
      <c r="T261" s="1">
        <f>IF(D261="EV",'Energy and charging'!$B$12,0)</f>
        <v>0</v>
      </c>
      <c r="U261" s="1">
        <f>IFERROR(IF(C261=0,0,IF(D261="EV",IF('Replacement plan'!$F$70="",INDEX(Products!$E$7:$E$13,MATCH('Replacement plan'!$B$70,Products!$A$7:$A$13,0)),'Replacement plan'!$F$70)/IF('Replacement plan'!$G$70="Battery",1-'Operating costs'!$B$44,1),0)),"n.a.")</f>
        <v>0</v>
      </c>
      <c r="V261" s="1">
        <f>IFERROR(IF(C261=0,0,IF(D261="EV",IF('Replacement plan'!$E$70="",INDEX(Products!$D$7:$D$13,MATCH('Replacement plan'!$B$70,Products!$A$7:$A$13,0)),'Replacement plan'!$E$70),0)),"n.a.")</f>
        <v>0</v>
      </c>
      <c r="W261" s="1">
        <f>IF(C261=0,0,IF(AND(P261="Complete",D261="EV",E261&lt;120),IF(T261=0,0,ROUNDUP(T261*(R261-'Operating costs'!$B$41)*(S261*U261+'Operating costs'!$B$48/(1-'Operating costs'!$B$44))/(V261*'Operating costs'!$B$47/(1-'Operating costs'!$B$44)-T261*'Operating costs'!$B$12*U261),0)),0))</f>
        <v>0</v>
      </c>
      <c r="X261" s="1">
        <f>IF(C261=0,0,IF(AND(P261="Complete",D261="EV",E261&lt;120),(R261-'Operating costs'!$B$41)*(S261*U261+'Operating costs'!$B$48/(1-'Operating costs'!$B$44))+W261*'Operating costs'!$B$12*U261,0))</f>
        <v>0</v>
      </c>
      <c r="Y261" s="1">
        <f>IF(AND(C261=1,D261="EV",E261&lt;120),AI261/(1-'Operating costs'!$B$44)*(1-T261),0)</f>
        <v>0</v>
      </c>
      <c r="Z261" s="1">
        <f t="shared" si="6"/>
        <v>0</v>
      </c>
      <c r="AA261" s="1">
        <f>IF(C261=0,0,IF(P261="Complete",((S261*(R261-'Operating costs'!$B$40))+ROUNDUP(S261*(R261-'Operating costs'!$B$40)*IF('Replacement plan'!$AH$70="",'Operating costs'!$B$7,'Replacement plan'!$AH$70)/('Operating costs'!$B$8-'Operating costs'!$B$9*IF('Replacement plan'!$AH$70="",'Operating costs'!$B$7,'Replacement plan'!$AH$70)),0)*'Operating costs'!$B$9)*IF('Replacement plan'!$AH$70="",'Operating costs'!$B$7,'Replacement plan'!$AH$70),"n.a."))</f>
        <v>0</v>
      </c>
      <c r="AB261" s="1">
        <f t="shared" si="7"/>
        <v>0</v>
      </c>
      <c r="AC261" s="1">
        <f>IF(AND(C261=1,D261="EV",E261&lt;120,T261&gt;0),'Operating costs'!$B$12/'Operating costs'!$B$11*60+'Operating costs'!$B$13+'Operating costs'!$B$14+V261*'Operating costs'!$B$47/(1-'Operating costs'!$B$44)/'Replacement plan'!$L$70*60,0)</f>
        <v>0</v>
      </c>
      <c r="AD261" s="1" t="str">
        <f>'Replacement plan'!$B$70</f>
        <v>ChengLong L2EV</v>
      </c>
      <c r="AE261" s="1">
        <f>IF(C261=0,0,VLOOKUP($A261,'Fleet register'!$A$7:$S$106,8,FALSE))</f>
        <v>0</v>
      </c>
      <c r="AF261" s="1" t="str">
        <f>IF('Replacement plan'!$H$70="","n.a.",'Replacement plan'!$H$70)</f>
        <v>n.a.</v>
      </c>
      <c r="AG261" s="1">
        <f>'Replacement plan'!$J$70</f>
        <v>22</v>
      </c>
      <c r="AH261" s="1">
        <f>IFERROR(IF(D261="EV",IF('Replacement plan'!$K$70="AC",IF(ISNUMBER(INDEX(Products!$G$7:$G$13,MATCH('Replacement plan'!$B$70,Products!$A$7:$A$13,0))),INDEX(Products!$G$7:$G$13,MATCH('Replacement plan'!$B$70,Products!$A$7:$A$13,0)),"n.a."),IF(ISNUMBER(INDEX(Products!$H$7:$H$13,MATCH('Replacement plan'!$B$70,Products!$A$7:$A$13,0))),INDEX(Products!$H$7:$H$13,MATCH('Replacement plan'!$B$70,Products!$A$7:$A$13,0)),"n.a.")),0),"n.a.")</f>
        <v>0</v>
      </c>
      <c r="AI261" s="1">
        <f>IF(AND(C261=1,D261="EV",E261&lt;120),(VLOOKUP($A261,'Fleet register'!$A$7:$S$106,7,FALSE)+IF(T261&gt;0,'Operating costs'!$B$12,0))*U261*(1-'Operating costs'!$B$44)+'Operating costs'!$B$49,0)</f>
        <v>0</v>
      </c>
      <c r="AJ261" s="1">
        <f>IF(D261="EV",'Energy and charging'!$B$50,0)</f>
        <v>0</v>
      </c>
      <c r="AK261" s="17">
        <f>EDATE('Operating costs'!$B$63,E261)</f>
        <v>46298</v>
      </c>
      <c r="AL261" s="1">
        <f>IFERROR(IF(D261="EV",INDEX(Products!$B$7:$B$13,MATCH('Replacement plan'!$B$70,Products!$A$7:$A$13,0)),0),"n.a.")</f>
        <v>0</v>
      </c>
      <c r="AM261" s="1" t="str">
        <f>'Replacement plan'!$K$70</f>
        <v>DC</v>
      </c>
      <c r="AN261" s="1" t="str">
        <f>'Replacement plan'!$AE$70</f>
        <v>Assumed</v>
      </c>
      <c r="AO261" s="47">
        <f>IF(AND(C261=1,D261="EV",E261&lt;120),(R261-'Operating costs'!$B$41)*S261+W261*'Operating costs'!$B$12,0)</f>
        <v>0</v>
      </c>
      <c r="AP261" s="41">
        <f>IF(AND(C261=1,D261="EV",E261&lt;120),IF('Operating costs'!$B$68="Hong Seh 200k average",AO261*IFERROR(INDEX(Products!$P$7:$P$13,MATCH(AD261,Products!$A$7:$A$13,0)),"n.a."),'Operating costs'!$B$26),0)</f>
        <v>0</v>
      </c>
      <c r="AQ261" s="40" t="str">
        <f>IF(D261="EV",'Operating costs'!$B$68,"Not applicable")</f>
        <v>Not applicable</v>
      </c>
    </row>
    <row r="262" spans="1:43" ht="24" customHeight="1">
      <c r="A262" s="1" t="str">
        <f>'Replacement plan'!A70</f>
        <v>T064</v>
      </c>
      <c r="B262" s="1">
        <v>3</v>
      </c>
      <c r="C262" s="1">
        <f>IF(COUNTIFS('Fleet register'!$A$7:$A$106,$A262)=1,VLOOKUP($A262,'Fleet register'!$A$7:$S$106,2,FALSE),0)</f>
        <v>0</v>
      </c>
      <c r="D262" s="1" t="str">
        <f>IF('Replacement plan'!$R$70="EV","EV","ICE")</f>
        <v>ICE</v>
      </c>
      <c r="E262" s="1">
        <f>IF(C262=0,0,IF('Replacement plan'!$S$70="",IF('Replacement plan'!$R$70="Keep ICE",IF('Replacement plan'!$M$70="",VLOOKUP($A262,'Fleet register'!$A$7:$S$106,10,FALSE),'Replacement plan'!$M$70),0),'Replacement plan'!$S$70))</f>
        <v>0</v>
      </c>
      <c r="F262" s="16">
        <f>IF(C262=0,0,VLOOKUP($A262,'Fleet register'!$A$7:$S$106,11,FALSE))</f>
        <v>0</v>
      </c>
      <c r="G262" s="16">
        <f>IFERROR(IF(C262=0,0,IF(E262=120,0,IF(D262="ICE",'Replacement plan'!$C$70,IF('Replacement plan'!$D$70="",INDEX(Products!$I$7:$I$13,MATCH('Replacement plan'!$B$70,Products!$A$7:$A$13,0))+'Operating costs'!$B$57,'Replacement plan'!$D$70))*(1+'Operating costs'!$B$50)^(E262/12))),"n.a.")</f>
        <v>0</v>
      </c>
      <c r="H262" s="16">
        <f>IFERROR(IF(C262=0,0,IF('Replacement plan'!$V$70&lt;&gt;"",'Replacement plan'!$V$70,IF(E262=0,F262,VLOOKUP($A262,'Fleet register'!$A$7:$S$106,12,FALSE)+VLOOKUP($A262,'Fleet register'!$A$7:$S$106,13,FALSE)*MAX(0,VLOOKUP($A262,'Fleet register'!$A$7:$S$106,10,FALSE)-E262)/VLOOKUP($A262,'Fleet register'!$A$7:$S$106,14,FALSE)))),"n.a.")</f>
        <v>0</v>
      </c>
      <c r="I262" s="16">
        <f>IF(C262=0,0,IF(E262=120,0,'Replacement plan'!$T$70))</f>
        <v>0</v>
      </c>
      <c r="J262" s="16">
        <f>IF(C262=0,0,IF(P262="Complete",((S262*(R262-'Operating costs'!$B$39))+ROUNDUP(S262*(R262-'Operating costs'!$B$39)*IF('Replacement plan'!$AG$70="",'Operating costs'!$B$7,'Replacement plan'!$AG$70)/('Operating costs'!$B$8-'Operating costs'!$B$9*IF('Replacement plan'!$AG$70="",'Operating costs'!$B$7,'Replacement plan'!$AG$70)),0)*'Operating costs'!$B$9)*IF('Replacement plan'!$AG$70="",'Operating costs'!$B$7,'Replacement plan'!$AG$70)*('Energy and charging'!$C$9*'Energy and charging'!$C$7+(1-'Energy and charging'!$C$9)*'Energy and charging'!$C$8)*'Operating costs'!$B$23,"n.a."))</f>
        <v>0</v>
      </c>
      <c r="K262" s="16">
        <f>IF(C262=0,0,IF(P262="Complete",SUM('Operating costs'!$B$24,'Operating costs'!$B$27,'Operating costs'!$B$29,'Operating costs'!$B$31,'Operating costs'!$B$33,'Operating costs'!$B$34,'Operating costs'!$B$37,'Replacement plan'!$W$70)+'Operating costs'!$B$39*'Operating costs'!$B$42+ROUNDUP(S262*(R262-'Operating costs'!$B$39)*IF('Replacement plan'!$AG$70="",'Operating costs'!$B$7,'Replacement plan'!$AG$70)/('Operating costs'!$B$8-'Operating costs'!$B$9*IF('Replacement plan'!$AG$70="",'Operating costs'!$B$7,'Replacement plan'!$AG$70)),0)*('Operating costs'!$B$9/'Operating costs'!$B$11+'Operating costs'!$B$10/60)*'Operating costs'!$B$19*'Operating costs'!$B$21,"n.a."))</f>
        <v>0</v>
      </c>
      <c r="L262" s="16">
        <f>IF(C262=0,0,IF(P262="Complete",IF(D262="EV",X262*((1-T262)*'Energy and charging'!$C$10+T262*'Energy and charging'!$C$11)*'Operating costs'!$B$22,AA262*('Energy and charging'!$C$9*'Energy and charging'!$C$7+(1-'Energy and charging'!$C$9)*'Energy and charging'!$C$8)*'Operating costs'!$B$23),"n.a."))</f>
        <v>0</v>
      </c>
      <c r="M262" s="37">
        <f>IF(C262=0,0,IF(P262="Complete",IF(D262="ICE",SUM('Operating costs'!$B$25,'Operating costs'!$B$27,'Operating costs'!$B$29,'Operating costs'!$B$31,'Operating costs'!$B$33,'Operating costs'!$B$35,'Operating costs'!$B$37,'Replacement plan'!$X$70)+'Operating costs'!$B$40*'Operating costs'!$B$42+ROUNDUP(S262*(R262-'Operating costs'!$B$40)*IF('Replacement plan'!$AH$70="",'Operating costs'!$B$7,'Replacement plan'!$AH$70)/('Operating costs'!$B$8-'Operating costs'!$B$9*IF('Replacement plan'!$AH$70="",'Operating costs'!$B$7,'Replacement plan'!$AH$70)),0)*('Operating costs'!$B$9/'Operating costs'!$B$11+'Operating costs'!$B$10/60)*'Operating costs'!$B$19*'Operating costs'!$B$21,SUM(AP262,'Operating costs'!$B$28,'Operating costs'!$B$30,'Operating costs'!$B$32,'Operating costs'!$B$33,'Operating costs'!$B$36,'Operating costs'!$B$38,'Replacement plan'!$Y$70)+'Operating costs'!$B$41*'Operating costs'!$B$43+W262*'Operating costs'!$B$15+(T262*X262/'Replacement plan'!$L$70+W262*('Operating costs'!$B$12/'Operating costs'!$B$11+('Operating costs'!$B$13+'Operating costs'!$B$14)/60)+(R262-'Operating costs'!$B$41)*(IF(T262&lt;1,'Operating costs'!$B$16,0)+'Operating costs'!$B$17)/60)*'Operating costs'!$B$19*'Operating costs'!$B$20),"n.a."))</f>
        <v>0</v>
      </c>
      <c r="N262" s="16">
        <f>IF(AND(C262=1,D262="EV",E262&lt;120,E262+'Replacement plan'!$AA$70&lt;=120),'Replacement plan'!$Z$70,0)</f>
        <v>0</v>
      </c>
      <c r="O262" s="1">
        <f>E262+'Replacement plan'!$AA$70</f>
        <v>0</v>
      </c>
      <c r="P262" s="35" t="str">
        <f>IFERROR(IF(C262=0,"Excluded",IF(OR(COUNTIFS('Fleet register'!$A$7:$A$106,A262)&lt;&gt;1,COUNTIFS('Replacement plan'!$A$7:$A$106,A262)&lt;&gt;1),"Duplicate/missing ID",IF(NOT(AND(ISNUMBER(VLOOKUP($A262,'Fleet register'!$A$7:$S$106,5,FALSE)),ISNUMBER(VLOOKUP($A262,'Fleet register'!$A$7:$S$106,6,FALSE)),ISNUMBER(VLOOKUP($A262,'Fleet register'!$A$7:$S$106,10,FALSE)),ISNUMBER(VLOOKUP($A262,'Fleet register'!$A$7:$S$106,11,FALSE)),ISNUMBER(VLOOKUP($A262,'Fleet register'!$A$7:$S$106,12,FALSE)),ISNUMBER(VLOOKUP($A262,'Fleet register'!$A$7:$S$106,13,FALSE)),ISNUMBER(VLOOKUP($A262,'Fleet register'!$A$7:$S$106,14,FALSE)),VLOOKUP($A262,'Fleet register'!$A$7:$S$106,14,FALSE)&gt;0,ISNUMBER('Replacement plan'!$C$70),OR(E262=120,ISNUMBER('Replacement plan'!$T$70)),ISNUMBER(E262))),"Missing vehicle input",IF(OR(E262&lt;0,E262&gt;VLOOKUP($A262,'Fleet register'!$A$7:$S$106,10,FALSE),E262&gt;120,E262&lt;&gt;INT(E262),VLOOKUP($A262,'Fleet register'!$A$7:$S$106,6,FALSE)&lt;=0,VLOOKUP($A262,'Fleet register'!$A$7:$S$106,6,FALSE)&gt;366,VLOOKUP($A262,'Fleet register'!$A$7:$S$106,5,FALSE)&lt;0,VLOOKUP($A262,'Fleet register'!$A$7:$S$106,11,FALSE)&lt;0,I262&lt;0,'Operating costs'!$B$8&lt;='Operating costs'!$B$7*'Operating costs'!$B$9,'Operating costs'!$B$11&lt;=0,'Operating costs'!$B$39&gt;R262,'Operating costs'!$B$40&gt;R262,'Operating costs'!$B$41&gt;R262,NOT(OR('Replacement plan'!$R$70="Keep ICE",'Replacement plan'!$R$70="New ICE",'Replacement plan'!$R$70="EV"))),"Invalid vehicle input",IF(AND(D262="EV",E262&lt;120,OR(NOT(ISNUMBER(U262)),NOT(ISNUMBER(V262)),V262&lt;=0,T262&lt;0,T262&gt;1,'Replacement plan'!$L$70&lt;=0,'Operating costs'!$B$44&lt;0,'Operating costs'!$B$44&gt;=1,'Operating costs'!$B$47&lt;=0,'Operating costs'!$B$47&gt;1,V262*'Operating costs'!$B$47/(1-'Operating costs'!$B$44)&lt;=T262*'Operating costs'!$B$12*U262,AND('Replacement plan'!$Z$70&gt;0,OR('Replacement plan'!$AB$70&lt;&gt;"Yes",'Operating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charging'!$C$8&gt;=0))),ISNUMBER(VLOOKUP($A262,'Fleet register'!$A$7:$S$106,15,FALSE)),ISNUMBER(VLOOKUP($A262,'Fleet register'!$A$7:$S$106,16,FALSE)),ISNUMBER('Replacement plan'!$W$70),ISNUMBER('Replacement plan'!$X$70),OR(E262=120,AND(ISNUMBER(G262),G262&gt;=0)),ISNUMBER(H262),H262&gt;=0,OR(D262&lt;&gt;"EV",E262=120,AND(ISNUMBER('Operating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average",ISNUMBER(IFERROR(INDEX(Products!$P$7:$P$13,MATCH(AD262,Products!$A$7:$A$13,0)),"")))),ISNUMBER('Operating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plan'!$Y$70),ISNUMBER('Replacement plan'!$Z$70),'Replacement plan'!$Z$70&gt;=0,ISNUMBER('Replacement plan'!$AA$70),'Replacement plan'!$AA$70&gt;=0,'Replacement plan'!$AA$70=INT('Replacement plan'!$AA$70),ISNUMBER('Replacement plan'!$L$70))),'Operating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plan'!$AG$70="",'Operating costs'!$B$7,'Replacement plan'!$AG$70)),IF('Replacement plan'!$AG$70="",'Operating costs'!$B$7,'Replacement plan'!$AG$70)&gt;=0,ISNUMBER(IF('Replacement plan'!$AH$70="",'Operating costs'!$B$7,'Replacement plan'!$AH$70)),IF('Replacement plan'!$AH$70="",'Operating costs'!$B$7,'Replacement plan'!$AH$70)&gt;=0,'Operating costs'!$B$8&gt;MAX(IF('Replacement plan'!$AG$70="",'Operating costs'!$B$7,'Replacement plan'!$AG$70),IF('Replacement plan'!$AH$70="",'Operating costs'!$B$7,'Replacement plan'!$AH$70))*'Operating costs'!$B$9),IF(AND(VLOOKUP($A262,'Fleet register'!$A$7:$S$106,10,FALSE)&gt;=0,VLOOKUP($A262,'Fleet register'!$A$7:$S$106,10,FALSE)&lt;=120,VLOOKUP($A262,'Fleet register'!$A$7:$S$106,10,FALSE)=INT(VLOOKUP($A262,'Fleet register'!$A$7:$S$106,10,FALSE)),VLOOKUP($A262,'Fleet register'!$A$7:$S$106,15,FALSE)&gt;=0,VLOOKUP($A262,'Fleet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costs'!$B$67)&gt;=0,OR(D262&lt;&gt;"EV",E262=120,AND(MIN('Operating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62" s="1" t="str">
        <f>IF(C262=0,"Excluded",IF(P262&lt;&gt;"Complete",P262,IF(OR('Replacement plan'!$AD$70&lt;120-E262,AND(D262="EV",E262&lt;120,OR('Replacement plan'!$AC$70&lt;120-E262,'Replacement plan'!$I$70="No",AND(ISNUMBER(AF262),AE262&gt;AF262),AI262&gt;V262*(1-'Operating costs'!$B$46)^MAX(0,AB262-1)*(1-'Operating costs'!$B$45),AC262&gt;'Operating costs'!$B$18,AND(T262&lt;1,OR(AG262&lt;=0,AND(ISNUMBER(AH262),AG262&gt;AH262))),'Replacement plan'!$L$70&gt;INDEX(Products!$H$7:$H$13,MATCH('Replacement plan'!$B$70,Products!$A$7:$A$13,0))))),"Fails entered limits",IF(AND(D262="EV",E262&lt;120,OR(NOT(ISNUMBER(VLOOKUP($A262,'Fleet register'!$A$7:$S$106,7,FALSE))),NOT(ISNUMBER(VLOOKUP($A262,'Fleet register'!$A$7:$S$106,8,FALSE))),NOT(ISNUMBER(AF262)),'Replacement plan'!$I$70&lt;&gt;"Yes",NOT(ISNUMBER(AH262)),'Operating costs'!$B$59&lt;&gt;"Yes",'Operating costs'!$B$58&lt;&gt;"Yes")),"Unverified","Within entered limits"))))</f>
        <v>Excluded</v>
      </c>
      <c r="R262" s="1">
        <f>IF(C262=0,0,VLOOKUP($A262,'Fleet register'!$A$7:$S$106,6,FALSE))</f>
        <v>0</v>
      </c>
      <c r="S262" s="1">
        <f>IF(C262=0,0,VLOOKUP($A262,'Fleet register'!$A$7:$S$106,5,FALSE))</f>
        <v>0</v>
      </c>
      <c r="T262" s="1">
        <f>IF(D262="EV",'Energy and charging'!$C$12,0)</f>
        <v>0</v>
      </c>
      <c r="U262" s="1">
        <f>IFERROR(IF(C262=0,0,IF(D262="EV",IF('Replacement plan'!$F$70="",INDEX(Products!$E$7:$E$13,MATCH('Replacement plan'!$B$70,Products!$A$7:$A$13,0)),'Replacement plan'!$F$70)/IF('Replacement plan'!$G$70="Battery",1-'Operating costs'!$B$44,1),0)),"n.a.")</f>
        <v>0</v>
      </c>
      <c r="V262" s="1">
        <f>IFERROR(IF(C262=0,0,IF(D262="EV",IF('Replacement plan'!$E$70="",INDEX(Products!$D$7:$D$13,MATCH('Replacement plan'!$B$70,Products!$A$7:$A$13,0)),'Replacement plan'!$E$70),0)),"n.a.")</f>
        <v>0</v>
      </c>
      <c r="W262" s="1">
        <f>IF(C262=0,0,IF(AND(P262="Complete",D262="EV",E262&lt;120),IF(T262=0,0,ROUNDUP(T262*(R262-'Operating costs'!$B$41)*(S262*U262+'Operating costs'!$B$48/(1-'Operating costs'!$B$44))/(V262*'Operating costs'!$B$47/(1-'Operating costs'!$B$44)-T262*'Operating costs'!$B$12*U262),0)),0))</f>
        <v>0</v>
      </c>
      <c r="X262" s="1">
        <f>IF(C262=0,0,IF(AND(P262="Complete",D262="EV",E262&lt;120),(R262-'Operating costs'!$B$41)*(S262*U262+'Operating costs'!$B$48/(1-'Operating costs'!$B$44))+W262*'Operating costs'!$B$12*U262,0))</f>
        <v>0</v>
      </c>
      <c r="Y262" s="1">
        <f>IF(AND(C262=1,D262="EV",E262&lt;120),AI262/(1-'Operating costs'!$B$44)*(1-T262),0)</f>
        <v>0</v>
      </c>
      <c r="Z262" s="1">
        <f t="shared" si="6"/>
        <v>0</v>
      </c>
      <c r="AA262" s="1">
        <f>IF(C262=0,0,IF(P262="Complete",((S262*(R262-'Operating costs'!$B$40))+ROUNDUP(S262*(R262-'Operating costs'!$B$40)*IF('Replacement plan'!$AH$70="",'Operating costs'!$B$7,'Replacement plan'!$AH$70)/('Operating costs'!$B$8-'Operating costs'!$B$9*IF('Replacement plan'!$AH$70="",'Operating costs'!$B$7,'Replacement plan'!$AH$70)),0)*'Operating costs'!$B$9)*IF('Replacement plan'!$AH$70="",'Operating costs'!$B$7,'Replacement plan'!$AH$70),"n.a."))</f>
        <v>0</v>
      </c>
      <c r="AB262" s="1">
        <f t="shared" si="7"/>
        <v>0</v>
      </c>
      <c r="AC262" s="1">
        <f>IF(AND(C262=1,D262="EV",E262&lt;120,T262&gt;0),'Operating costs'!$B$12/'Operating costs'!$B$11*60+'Operating costs'!$B$13+'Operating costs'!$B$14+V262*'Operating costs'!$B$47/(1-'Operating costs'!$B$44)/'Replacement plan'!$L$70*60,0)</f>
        <v>0</v>
      </c>
      <c r="AD262" s="1" t="str">
        <f>'Replacement plan'!$B$70</f>
        <v>ChengLong L2EV</v>
      </c>
      <c r="AE262" s="1">
        <f>IF(C262=0,0,VLOOKUP($A262,'Fleet register'!$A$7:$S$106,8,FALSE))</f>
        <v>0</v>
      </c>
      <c r="AF262" s="1" t="str">
        <f>IF('Replacement plan'!$H$70="","n.a.",'Replacement plan'!$H$70)</f>
        <v>n.a.</v>
      </c>
      <c r="AG262" s="1">
        <f>'Replacement plan'!$J$70</f>
        <v>22</v>
      </c>
      <c r="AH262" s="1">
        <f>IFERROR(IF(D262="EV",IF('Replacement plan'!$K$70="AC",IF(ISNUMBER(INDEX(Products!$G$7:$G$13,MATCH('Replacement plan'!$B$70,Products!$A$7:$A$13,0))),INDEX(Products!$G$7:$G$13,MATCH('Replacement plan'!$B$70,Products!$A$7:$A$13,0)),"n.a."),IF(ISNUMBER(INDEX(Products!$H$7:$H$13,MATCH('Replacement plan'!$B$70,Products!$A$7:$A$13,0))),INDEX(Products!$H$7:$H$13,MATCH('Replacement plan'!$B$70,Products!$A$7:$A$13,0)),"n.a.")),0),"n.a.")</f>
        <v>0</v>
      </c>
      <c r="AI262" s="1">
        <f>IF(AND(C262=1,D262="EV",E262&lt;120),(VLOOKUP($A262,'Fleet register'!$A$7:$S$106,7,FALSE)+IF(T262&gt;0,'Operating costs'!$B$12,0))*U262*(1-'Operating costs'!$B$44)+'Operating costs'!$B$49,0)</f>
        <v>0</v>
      </c>
      <c r="AJ262" s="1">
        <f>IF(D262="EV",'Energy and charging'!$C$50,0)</f>
        <v>0</v>
      </c>
      <c r="AK262" s="17">
        <f>EDATE('Operating costs'!$B$63,E262)</f>
        <v>46298</v>
      </c>
      <c r="AL262" s="1">
        <f>IFERROR(IF(D262="EV",INDEX(Products!$B$7:$B$13,MATCH('Replacement plan'!$B$70,Products!$A$7:$A$13,0)),0),"n.a.")</f>
        <v>0</v>
      </c>
      <c r="AM262" s="1" t="str">
        <f>'Replacement plan'!$K$70</f>
        <v>DC</v>
      </c>
      <c r="AN262" s="1" t="str">
        <f>'Replacement plan'!$AE$70</f>
        <v>Assumed</v>
      </c>
      <c r="AO262" s="47">
        <f>IF(AND(C262=1,D262="EV",E262&lt;120),(R262-'Operating costs'!$B$41)*S262+W262*'Operating costs'!$B$12,0)</f>
        <v>0</v>
      </c>
      <c r="AP262" s="41">
        <f>IF(AND(C262=1,D262="EV",E262&lt;120),IF('Operating costs'!$B$68="Hong Seh 200k average",AO262*IFERROR(INDEX(Products!$P$7:$P$13,MATCH(AD262,Products!$A$7:$A$13,0)),"n.a."),'Operating costs'!$B$26),0)</f>
        <v>0</v>
      </c>
      <c r="AQ262" s="40" t="str">
        <f>IF(D262="EV",'Operating costs'!$B$68,"Not applicable")</f>
        <v>Not applicable</v>
      </c>
    </row>
    <row r="263" spans="1:43" ht="24" customHeight="1">
      <c r="A263" s="1" t="str">
        <f>'Replacement plan'!A71</f>
        <v>T065</v>
      </c>
      <c r="B263" s="1">
        <v>0</v>
      </c>
      <c r="C263" s="1">
        <f>IF(COUNTIFS('Fleet register'!$A$7:$A$106,$A263)=1,VLOOKUP($A263,'Fleet register'!$A$7:$S$106,2,FALSE),0)</f>
        <v>0</v>
      </c>
      <c r="D263" s="1" t="str">
        <f>IF("Keep ICE"="EV","EV","ICE")</f>
        <v>ICE</v>
      </c>
      <c r="E263" s="1">
        <f>IF(C263=0,0,IF('Replacement plan'!$M$71="",VLOOKUP($A263,'Fleet register'!$A$7:$S$106,10,FALSE),'Replacement plan'!$M$71))</f>
        <v>0</v>
      </c>
      <c r="F263" s="16">
        <f>IF(C263=0,0,VLOOKUP($A263,'Fleet register'!$A$7:$S$106,11,FALSE))</f>
        <v>0</v>
      </c>
      <c r="G263" s="16">
        <f>IFERROR(IF(C263=0,0,IF(E263=120,0,IF(D263="ICE",'Replacement plan'!$C$71,IF('Replacement plan'!$D$71="",INDEX(Products!$I$7:$I$13,MATCH('Replacement plan'!$B$71,Products!$A$7:$A$13,0))+'Operating costs'!$B$57,'Replacement plan'!$D$71))*(1+'Operating costs'!$B$50)^(E263/12))),"n.a.")</f>
        <v>0</v>
      </c>
      <c r="H263" s="16">
        <f>IFERROR(IF(C263=0,0,IF(E263=0,F263,VLOOKUP($A263,'Fleet register'!$A$7:$S$106,12,FALSE)+VLOOKUP($A263,'Fleet register'!$A$7:$S$106,13,FALSE)*MAX(0,VLOOKUP($A263,'Fleet register'!$A$7:$S$106,10,FALSE)-E263)/VLOOKUP($A263,'Fleet register'!$A$7:$S$106,14,FALSE))),"n.a.")</f>
        <v>0</v>
      </c>
      <c r="I263" s="16">
        <f>IF(C263=0,0,IF(E263=120,0,'Replacement plan'!$N$71))</f>
        <v>0</v>
      </c>
      <c r="J263" s="16">
        <f>IF(C263=0,0,IF(P263="Complete",((S263*(R263-'Operating costs'!$B$39))+ROUNDUP(S263*(R263-'Operating costs'!$B$39)*IF('Replacement plan'!$AG$71="",'Operating costs'!$B$7,'Replacement plan'!$AG$71)/('Operating costs'!$B$8-'Operating costs'!$B$9*IF('Replacement plan'!$AG$71="",'Operating costs'!$B$7,'Replacement plan'!$AG$71)),0)*'Operating costs'!$B$9)*IF('Replacement plan'!$AG$71="",'Operating costs'!$B$7,'Replacement plan'!$AG$71)*('Energy and charging'!$B$9*'Energy and charging'!$B$7+(1-'Energy and charging'!$B$9)*'Energy and charging'!$B$8)*'Operating costs'!$B$23,"n.a."))</f>
        <v>0</v>
      </c>
      <c r="K263" s="16">
        <f>IF(C263=0,0,IF(P263="Complete",SUM('Operating costs'!$B$24,'Operating costs'!$B$27,'Operating costs'!$B$29,'Operating costs'!$B$31,'Operating costs'!$B$33,'Operating costs'!$B$34,'Operating costs'!$B$37,'Replacement plan'!$W$71)+'Operating costs'!$B$39*'Operating costs'!$B$42+ROUNDUP(S263*(R263-'Operating costs'!$B$39)*IF('Replacement plan'!$AG$71="",'Operating costs'!$B$7,'Replacement plan'!$AG$71)/('Operating costs'!$B$8-'Operating costs'!$B$9*IF('Replacement plan'!$AG$71="",'Operating costs'!$B$7,'Replacement plan'!$AG$71)),0)*('Operating costs'!$B$9/'Operating costs'!$B$11+'Operating costs'!$B$10/60)*'Operating costs'!$B$19*'Operating costs'!$B$21,"n.a."))</f>
        <v>0</v>
      </c>
      <c r="L263" s="16">
        <f>IF(C263=0,0,IF(P263="Complete",IF(D263="EV",X263*((1-T263)*'Energy and charging'!$B$10+T263*'Energy and charging'!$B$11)*'Operating costs'!$B$22,AA263*('Energy and charging'!$B$9*'Energy and charging'!$B$7+(1-'Energy and charging'!$B$9)*'Energy and charging'!$B$8)*'Operating costs'!$B$23),"n.a."))</f>
        <v>0</v>
      </c>
      <c r="M263" s="37">
        <f>IF(C263=0,0,IF(P263="Complete",IF(D263="ICE",SUM('Operating costs'!$B$25,'Operating costs'!$B$27,'Operating costs'!$B$29,'Operating costs'!$B$31,'Operating costs'!$B$33,'Operating costs'!$B$35,'Operating costs'!$B$37,'Replacement plan'!$X$71)+'Operating costs'!$B$40*'Operating costs'!$B$42+ROUNDUP(S263*(R263-'Operating costs'!$B$40)*IF('Replacement plan'!$AH$71="",'Operating costs'!$B$7,'Replacement plan'!$AH$71)/('Operating costs'!$B$8-'Operating costs'!$B$9*IF('Replacement plan'!$AH$71="",'Operating costs'!$B$7,'Replacement plan'!$AH$71)),0)*('Operating costs'!$B$9/'Operating costs'!$B$11+'Operating costs'!$B$10/60)*'Operating costs'!$B$19*'Operating costs'!$B$21,SUM(AP263,'Operating costs'!$B$28,'Operating costs'!$B$30,'Operating costs'!$B$32,'Operating costs'!$B$33,'Operating costs'!$B$36,'Operating costs'!$B$38,'Replacement plan'!$Y$71)+'Operating costs'!$B$41*'Operating costs'!$B$43+W263*'Operating costs'!$B$15+(T263*X263/'Replacement plan'!$L$71+W263*('Operating costs'!$B$12/'Operating costs'!$B$11+('Operating costs'!$B$13+'Operating costs'!$B$14)/60)+(R263-'Operating costs'!$B$41)*(IF(T263&lt;1,'Operating costs'!$B$16,0)+'Operating costs'!$B$17)/60)*'Operating costs'!$B$19*'Operating costs'!$B$20),"n.a."))</f>
        <v>0</v>
      </c>
      <c r="N263" s="16">
        <f>IF(AND(C263=1,D263="EV",E263&lt;120,E263+'Replacement plan'!$AA$71&lt;=120),'Replacement plan'!$Z$71,0)</f>
        <v>0</v>
      </c>
      <c r="O263" s="1">
        <f>E263+'Replacement plan'!$AA$71</f>
        <v>0</v>
      </c>
      <c r="P263" s="35" t="str">
        <f>IFERROR(IF(C263=0,"Excluded",IF(OR(COUNTIFS('Fleet register'!$A$7:$A$106,A263)&lt;&gt;1,COUNTIFS('Replacement plan'!$A$7:$A$106,A263)&lt;&gt;1),"Duplicate/missing ID",IF(NOT(AND(ISNUMBER(VLOOKUP($A263,'Fleet register'!$A$7:$S$106,5,FALSE)),ISNUMBER(VLOOKUP($A263,'Fleet register'!$A$7:$S$106,6,FALSE)),ISNUMBER(VLOOKUP($A263,'Fleet register'!$A$7:$S$106,10,FALSE)),ISNUMBER(VLOOKUP($A263,'Fleet register'!$A$7:$S$106,11,FALSE)),ISNUMBER(VLOOKUP($A263,'Fleet register'!$A$7:$S$106,12,FALSE)),ISNUMBER(VLOOKUP($A263,'Fleet register'!$A$7:$S$106,13,FALSE)),ISNUMBER(VLOOKUP($A263,'Fleet register'!$A$7:$S$106,14,FALSE)),VLOOKUP($A263,'Fleet register'!$A$7:$S$106,14,FALSE)&gt;0,ISNUMBER('Replacement plan'!$C$71),OR(E263=120,ISNUMBER('Replacement plan'!$N$71)),ISNUMBER(E263))),"Missing vehicle input",IF(OR(E263&lt;0,E263&gt;VLOOKUP($A263,'Fleet register'!$A$7:$S$106,10,FALSE),E263&gt;120,E263&lt;&gt;INT(E263),VLOOKUP($A263,'Fleet register'!$A$7:$S$106,6,FALSE)&lt;=0,VLOOKUP($A263,'Fleet register'!$A$7:$S$106,6,FALSE)&gt;366,VLOOKUP($A263,'Fleet register'!$A$7:$S$106,5,FALSE)&lt;0,VLOOKUP($A263,'Fleet register'!$A$7:$S$106,11,FALSE)&lt;0,I263&lt;0,'Operating costs'!$B$8&lt;='Operating costs'!$B$7*'Operating costs'!$B$9,'Operating costs'!$B$11&lt;=0,'Operating costs'!$B$39&gt;R263,'Operating costs'!$B$40&gt;R263,'Operating costs'!$B$41&gt;R263,NOT(OR("Keep ICE"="Keep ICE","Keep ICE"="New ICE","Keep ICE"="EV"))),"Invalid vehicle input",IF(AND(D263="EV",E263&lt;120,OR(NOT(ISNUMBER(U263)),NOT(ISNUMBER(V263)),V263&lt;=0,T263&lt;0,T263&gt;1,'Replacement plan'!$L$71&lt;=0,'Operating costs'!$B$44&lt;0,'Operating costs'!$B$44&gt;=1,'Operating costs'!$B$47&lt;=0,'Operating costs'!$B$47&gt;1,V263*'Operating costs'!$B$47/(1-'Operating costs'!$B$44)&lt;=T263*'Operating costs'!$B$12*U263,AND('Replacement plan'!$Z$71&gt;0,OR('Replacement plan'!$AB$71&lt;&gt;"Yes",'Operating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charging'!$B$8&gt;=0))),ISNUMBER(VLOOKUP($A263,'Fleet register'!$A$7:$S$106,15,FALSE)),ISNUMBER(VLOOKUP($A263,'Fleet register'!$A$7:$S$106,16,FALSE)),ISNUMBER('Replacement plan'!$W$71),ISNUMBER('Replacement plan'!$X$71),OR(E263=120,AND(ISNUMBER(G263),G263&gt;=0)),ISNUMBER(H263),H263&gt;=0,OR(D263&lt;&gt;"EV",E263=120,AND(ISNUMBER('Operating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average",ISNUMBER(IFERROR(INDEX(Products!$P$7:$P$13,MATCH(AD263,Products!$A$7:$A$13,0)),"")))),ISNUMBER('Operating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plan'!$Y$71),ISNUMBER('Replacement plan'!$Z$71),'Replacement plan'!$Z$71&gt;=0,ISNUMBER('Replacement plan'!$AA$71),'Replacement plan'!$AA$71&gt;=0,'Replacement plan'!$AA$71=INT('Replacement plan'!$AA$71),ISNUMBER('Replacement plan'!$L$71))),'Operating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plan'!$AG$71="",'Operating costs'!$B$7,'Replacement plan'!$AG$71)),IF('Replacement plan'!$AG$71="",'Operating costs'!$B$7,'Replacement plan'!$AG$71)&gt;=0,ISNUMBER(IF('Replacement plan'!$AH$71="",'Operating costs'!$B$7,'Replacement plan'!$AH$71)),IF('Replacement plan'!$AH$71="",'Operating costs'!$B$7,'Replacement plan'!$AH$71)&gt;=0,'Operating costs'!$B$8&gt;MAX(IF('Replacement plan'!$AG$71="",'Operating costs'!$B$7,'Replacement plan'!$AG$71),IF('Replacement plan'!$AH$71="",'Operating costs'!$B$7,'Replacement plan'!$AH$71))*'Operating costs'!$B$9),IF(AND(VLOOKUP($A263,'Fleet register'!$A$7:$S$106,10,FALSE)&gt;=0,VLOOKUP($A263,'Fleet register'!$A$7:$S$106,10,FALSE)&lt;=120,VLOOKUP($A263,'Fleet register'!$A$7:$S$106,10,FALSE)=INT(VLOOKUP($A263,'Fleet register'!$A$7:$S$106,10,FALSE)),VLOOKUP($A263,'Fleet register'!$A$7:$S$106,15,FALSE)&gt;=0,VLOOKUP($A263,'Fleet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costs'!$B$67)&gt;=0,OR(D263&lt;&gt;"EV",E263=120,AND(MIN('Operating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63" s="1" t="str">
        <f>IF(C263=0,"Excluded",IF(P263&lt;&gt;"Complete",P263,IF(OR('Replacement plan'!$AD$71&lt;120-E263,AND(D263="EV",E263&lt;120,OR('Replacement plan'!$AC$71&lt;120-E263,'Replacement plan'!$I$71="No",AND(ISNUMBER(AF263),AE263&gt;AF263),AI263&gt;V263*(1-'Operating costs'!$B$46)^MAX(0,AB263-1)*(1-'Operating costs'!$B$45),AC263&gt;'Operating costs'!$B$18,AND(T263&lt;1,OR(AG263&lt;=0,AND(ISNUMBER(AH263),AG263&gt;AH263))),'Replacement plan'!$L$71&gt;INDEX(Products!$H$7:$H$13,MATCH('Replacement plan'!$B$71,Products!$A$7:$A$13,0))))),"Fails entered limits",IF(AND(D263="EV",E263&lt;120,OR(NOT(ISNUMBER(VLOOKUP($A263,'Fleet register'!$A$7:$S$106,7,FALSE))),NOT(ISNUMBER(VLOOKUP($A263,'Fleet register'!$A$7:$S$106,8,FALSE))),NOT(ISNUMBER(AF263)),'Replacement plan'!$I$71&lt;&gt;"Yes",NOT(ISNUMBER(AH263)),'Operating costs'!$B$59&lt;&gt;"Yes",'Operating costs'!$B$58&lt;&gt;"Yes")),"Unverified","Within entered limits"))))</f>
        <v>Excluded</v>
      </c>
      <c r="R263" s="1">
        <f>IF(C263=0,0,VLOOKUP($A263,'Fleet register'!$A$7:$S$106,6,FALSE))</f>
        <v>0</v>
      </c>
      <c r="S263" s="1">
        <f>IF(C263=0,0,VLOOKUP($A263,'Fleet register'!$A$7:$S$106,5,FALSE))</f>
        <v>0</v>
      </c>
      <c r="T263" s="1">
        <f>IF(D263="EV",'Energy and charging'!$B$12,0)</f>
        <v>0</v>
      </c>
      <c r="U263" s="1">
        <f>IFERROR(IF(C263=0,0,IF(D263="EV",IF('Replacement plan'!$F$71="",INDEX(Products!$E$7:$E$13,MATCH('Replacement plan'!$B$71,Products!$A$7:$A$13,0)),'Replacement plan'!$F$71)/IF('Replacement plan'!$G$71="Battery",1-'Operating costs'!$B$44,1),0)),"n.a.")</f>
        <v>0</v>
      </c>
      <c r="V263" s="1">
        <f>IFERROR(IF(C263=0,0,IF(D263="EV",IF('Replacement plan'!$E$71="",INDEX(Products!$D$7:$D$13,MATCH('Replacement plan'!$B$71,Products!$A$7:$A$13,0)),'Replacement plan'!$E$71),0)),"n.a.")</f>
        <v>0</v>
      </c>
      <c r="W263" s="1">
        <f>IF(C263=0,0,IF(AND(P263="Complete",D263="EV",E263&lt;120),IF(T263=0,0,ROUNDUP(T263*(R263-'Operating costs'!$B$41)*(S263*U263+'Operating costs'!$B$48/(1-'Operating costs'!$B$44))/(V263*'Operating costs'!$B$47/(1-'Operating costs'!$B$44)-T263*'Operating costs'!$B$12*U263),0)),0))</f>
        <v>0</v>
      </c>
      <c r="X263" s="1">
        <f>IF(C263=0,0,IF(AND(P263="Complete",D263="EV",E263&lt;120),(R263-'Operating costs'!$B$41)*(S263*U263+'Operating costs'!$B$48/(1-'Operating costs'!$B$44))+W263*'Operating costs'!$B$12*U263,0))</f>
        <v>0</v>
      </c>
      <c r="Y263" s="1">
        <f>IF(AND(C263=1,D263="EV",E263&lt;120),AI263/(1-'Operating costs'!$B$44)*(1-T263),0)</f>
        <v>0</v>
      </c>
      <c r="Z263" s="1">
        <f t="shared" ref="Z263:Z326" si="8">IF(AND(C263=1,D263="EV",E263&lt;120,T263&lt;1,AG263&gt;0),Y263/AG263,0)</f>
        <v>0</v>
      </c>
      <c r="AA263" s="1">
        <f>IF(C263=0,0,IF(P263="Complete",((S263*(R263-'Operating costs'!$B$40))+ROUNDUP(S263*(R263-'Operating costs'!$B$40)*IF('Replacement plan'!$AH$71="",'Operating costs'!$B$7,'Replacement plan'!$AH$71)/('Operating costs'!$B$8-'Operating costs'!$B$9*IF('Replacement plan'!$AH$71="",'Operating costs'!$B$7,'Replacement plan'!$AH$71)),0)*'Operating costs'!$B$9)*IF('Replacement plan'!$AH$71="",'Operating costs'!$B$7,'Replacement plan'!$AH$71),"n.a."))</f>
        <v>0</v>
      </c>
      <c r="AB263" s="1">
        <f t="shared" ref="AB263:AB326" si="9">IF(D263="EV",(120-E263)/12,0)</f>
        <v>0</v>
      </c>
      <c r="AC263" s="1">
        <f>IF(AND(C263=1,D263="EV",E263&lt;120,T263&gt;0),'Operating costs'!$B$12/'Operating costs'!$B$11*60+'Operating costs'!$B$13+'Operating costs'!$B$14+V263*'Operating costs'!$B$47/(1-'Operating costs'!$B$44)/'Replacement plan'!$L$71*60,0)</f>
        <v>0</v>
      </c>
      <c r="AD263" s="1" t="str">
        <f>'Replacement plan'!$B$71</f>
        <v>ChengLong L2EV</v>
      </c>
      <c r="AE263" s="1">
        <f>IF(C263=0,0,VLOOKUP($A263,'Fleet register'!$A$7:$S$106,8,FALSE))</f>
        <v>0</v>
      </c>
      <c r="AF263" s="1" t="str">
        <f>IF('Replacement plan'!$H$71="","n.a.",'Replacement plan'!$H$71)</f>
        <v>n.a.</v>
      </c>
      <c r="AG263" s="1">
        <f>'Replacement plan'!$J$71</f>
        <v>22</v>
      </c>
      <c r="AH263" s="1">
        <f>IFERROR(IF(D263="EV",IF('Replacement plan'!$K$71="AC",IF(ISNUMBER(INDEX(Products!$G$7:$G$13,MATCH('Replacement plan'!$B$71,Products!$A$7:$A$13,0))),INDEX(Products!$G$7:$G$13,MATCH('Replacement plan'!$B$71,Products!$A$7:$A$13,0)),"n.a."),IF(ISNUMBER(INDEX(Products!$H$7:$H$13,MATCH('Replacement plan'!$B$71,Products!$A$7:$A$13,0))),INDEX(Products!$H$7:$H$13,MATCH('Replacement plan'!$B$71,Products!$A$7:$A$13,0)),"n.a.")),0),"n.a.")</f>
        <v>0</v>
      </c>
      <c r="AI263" s="1">
        <f>IF(AND(C263=1,D263="EV",E263&lt;120),(VLOOKUP($A263,'Fleet register'!$A$7:$S$106,7,FALSE)+IF(T263&gt;0,'Operating costs'!$B$12,0))*U263*(1-'Operating costs'!$B$44)+'Operating costs'!$B$49,0)</f>
        <v>0</v>
      </c>
      <c r="AJ263" s="1">
        <f>IF(D263="EV",'Energy and charging'!$B$50,0)</f>
        <v>0</v>
      </c>
      <c r="AK263" s="17">
        <f>EDATE('Operating costs'!$B$63,E263)</f>
        <v>46298</v>
      </c>
      <c r="AL263" s="1">
        <f>IFERROR(IF(D263="EV",INDEX(Products!$B$7:$B$13,MATCH('Replacement plan'!$B$71,Products!$A$7:$A$13,0)),0),"n.a.")</f>
        <v>0</v>
      </c>
      <c r="AM263" s="1" t="str">
        <f>'Replacement plan'!$K$71</f>
        <v>DC</v>
      </c>
      <c r="AN263" s="1" t="str">
        <f>'Replacement plan'!$AE$71</f>
        <v>Assumed</v>
      </c>
      <c r="AO263" s="47">
        <f>IF(AND(C263=1,D263="EV",E263&lt;120),(R263-'Operating costs'!$B$41)*S263+W263*'Operating costs'!$B$12,0)</f>
        <v>0</v>
      </c>
      <c r="AP263" s="41">
        <f>IF(AND(C263=1,D263="EV",E263&lt;120),IF('Operating costs'!$B$68="Hong Seh 200k average",AO263*IFERROR(INDEX(Products!$P$7:$P$13,MATCH(AD263,Products!$A$7:$A$13,0)),"n.a."),'Operating costs'!$B$26),0)</f>
        <v>0</v>
      </c>
      <c r="AQ263" s="40" t="str">
        <f>IF(D263="EV",'Operating costs'!$B$68,"Not applicable")</f>
        <v>Not applicable</v>
      </c>
    </row>
    <row r="264" spans="1:43" ht="24" customHeight="1">
      <c r="A264" s="1" t="str">
        <f>'Replacement plan'!A71</f>
        <v>T065</v>
      </c>
      <c r="B264" s="1">
        <v>1</v>
      </c>
      <c r="C264" s="1">
        <f>IF(COUNTIFS('Fleet register'!$A$7:$A$106,$A264)=1,VLOOKUP($A264,'Fleet register'!$A$7:$S$106,2,FALSE),0)</f>
        <v>0</v>
      </c>
      <c r="D264" s="1" t="str">
        <f>IF("New ICE"="EV","EV","ICE")</f>
        <v>ICE</v>
      </c>
      <c r="E264" s="1">
        <f>IF(C264=0,0,0)</f>
        <v>0</v>
      </c>
      <c r="F264" s="16">
        <f>IF(C264=0,0,VLOOKUP($A264,'Fleet register'!$A$7:$S$106,11,FALSE))</f>
        <v>0</v>
      </c>
      <c r="G264" s="16">
        <f>IFERROR(IF(C264=0,0,IF(E264=120,0,IF(D264="ICE",'Replacement plan'!$C$71,IF('Replacement plan'!$D$71="",INDEX(Products!$I$7:$I$13,MATCH('Replacement plan'!$B$71,Products!$A$7:$A$13,0))+'Operating costs'!$B$57,'Replacement plan'!$D$71))*(1+'Operating costs'!$B$50)^(E264/12))),"n.a.")</f>
        <v>0</v>
      </c>
      <c r="H264" s="16">
        <f>IFERROR(IF(C264=0,0,IF(E264=0,F264,VLOOKUP($A264,'Fleet register'!$A$7:$S$106,12,FALSE)+VLOOKUP($A264,'Fleet register'!$A$7:$S$106,13,FALSE)*MAX(0,VLOOKUP($A264,'Fleet register'!$A$7:$S$106,10,FALSE)-E264)/VLOOKUP($A264,'Fleet register'!$A$7:$S$106,14,FALSE))),"n.a.")</f>
        <v>0</v>
      </c>
      <c r="I264" s="16">
        <f>IF(C264=0,0,IF(E264=120,0,IF('Replacement plan'!$AI$71="",'Operating costs'!$B$56,'Replacement plan'!$AI$71)))</f>
        <v>0</v>
      </c>
      <c r="J264" s="16">
        <f>IF(C264=0,0,IF(P264="Complete",((S264*(R264-'Operating costs'!$B$39))+ROUNDUP(S264*(R264-'Operating costs'!$B$39)*IF('Replacement plan'!$AG$71="",'Operating costs'!$B$7,'Replacement plan'!$AG$71)/('Operating costs'!$B$8-'Operating costs'!$B$9*IF('Replacement plan'!$AG$71="",'Operating costs'!$B$7,'Replacement plan'!$AG$71)),0)*'Operating costs'!$B$9)*IF('Replacement plan'!$AG$71="",'Operating costs'!$B$7,'Replacement plan'!$AG$71)*('Energy and charging'!$B$9*'Energy and charging'!$B$7+(1-'Energy and charging'!$B$9)*'Energy and charging'!$B$8)*'Operating costs'!$B$23,"n.a."))</f>
        <v>0</v>
      </c>
      <c r="K264" s="16">
        <f>IF(C264=0,0,IF(P264="Complete",SUM('Operating costs'!$B$24,'Operating costs'!$B$27,'Operating costs'!$B$29,'Operating costs'!$B$31,'Operating costs'!$B$33,'Operating costs'!$B$34,'Operating costs'!$B$37,'Replacement plan'!$W$71)+'Operating costs'!$B$39*'Operating costs'!$B$42+ROUNDUP(S264*(R264-'Operating costs'!$B$39)*IF('Replacement plan'!$AG$71="",'Operating costs'!$B$7,'Replacement plan'!$AG$71)/('Operating costs'!$B$8-'Operating costs'!$B$9*IF('Replacement plan'!$AG$71="",'Operating costs'!$B$7,'Replacement plan'!$AG$71)),0)*('Operating costs'!$B$9/'Operating costs'!$B$11+'Operating costs'!$B$10/60)*'Operating costs'!$B$19*'Operating costs'!$B$21,"n.a."))</f>
        <v>0</v>
      </c>
      <c r="L264" s="16">
        <f>IF(C264=0,0,IF(P264="Complete",IF(D264="EV",X264*((1-T264)*'Energy and charging'!$B$10+T264*'Energy and charging'!$B$11)*'Operating costs'!$B$22,AA264*('Energy and charging'!$B$9*'Energy and charging'!$B$7+(1-'Energy and charging'!$B$9)*'Energy and charging'!$B$8)*'Operating costs'!$B$23),"n.a."))</f>
        <v>0</v>
      </c>
      <c r="M264" s="37">
        <f>IF(C264=0,0,IF(P264="Complete",IF(D264="ICE",SUM('Operating costs'!$B$25,'Operating costs'!$B$27,'Operating costs'!$B$29,'Operating costs'!$B$31,'Operating costs'!$B$33,'Operating costs'!$B$35,'Operating costs'!$B$37,'Replacement plan'!$X$71)+'Operating costs'!$B$40*'Operating costs'!$B$42+ROUNDUP(S264*(R264-'Operating costs'!$B$40)*IF('Replacement plan'!$AH$71="",'Operating costs'!$B$7,'Replacement plan'!$AH$71)/('Operating costs'!$B$8-'Operating costs'!$B$9*IF('Replacement plan'!$AH$71="",'Operating costs'!$B$7,'Replacement plan'!$AH$71)),0)*('Operating costs'!$B$9/'Operating costs'!$B$11+'Operating costs'!$B$10/60)*'Operating costs'!$B$19*'Operating costs'!$B$21,SUM(AP264,'Operating costs'!$B$28,'Operating costs'!$B$30,'Operating costs'!$B$32,'Operating costs'!$B$33,'Operating costs'!$B$36,'Operating costs'!$B$38,'Replacement plan'!$Y$71)+'Operating costs'!$B$41*'Operating costs'!$B$43+W264*'Operating costs'!$B$15+(T264*X264/'Replacement plan'!$L$71+W264*('Operating costs'!$B$12/'Operating costs'!$B$11+('Operating costs'!$B$13+'Operating costs'!$B$14)/60)+(R264-'Operating costs'!$B$41)*(IF(T264&lt;1,'Operating costs'!$B$16,0)+'Operating costs'!$B$17)/60)*'Operating costs'!$B$19*'Operating costs'!$B$20),"n.a."))</f>
        <v>0</v>
      </c>
      <c r="N264" s="16">
        <f>IF(AND(C264=1,D264="EV",E264&lt;120,E264+'Replacement plan'!$AA$71&lt;=120),'Replacement plan'!$Z$71,0)</f>
        <v>0</v>
      </c>
      <c r="O264" s="1">
        <f>E264+'Replacement plan'!$AA$71</f>
        <v>0</v>
      </c>
      <c r="P264" s="35" t="str">
        <f>IFERROR(IF(C264=0,"Excluded",IF(OR(COUNTIFS('Fleet register'!$A$7:$A$106,A264)&lt;&gt;1,COUNTIFS('Replacement plan'!$A$7:$A$106,A264)&lt;&gt;1),"Duplicate/missing ID",IF(NOT(AND(ISNUMBER(VLOOKUP($A264,'Fleet register'!$A$7:$S$106,5,FALSE)),ISNUMBER(VLOOKUP($A264,'Fleet register'!$A$7:$S$106,6,FALSE)),ISNUMBER(VLOOKUP($A264,'Fleet register'!$A$7:$S$106,10,FALSE)),ISNUMBER(VLOOKUP($A264,'Fleet register'!$A$7:$S$106,11,FALSE)),ISNUMBER(VLOOKUP($A264,'Fleet register'!$A$7:$S$106,12,FALSE)),ISNUMBER(VLOOKUP($A264,'Fleet register'!$A$7:$S$106,13,FALSE)),ISNUMBER(VLOOKUP($A264,'Fleet register'!$A$7:$S$106,14,FALSE)),VLOOKUP($A264,'Fleet register'!$A$7:$S$106,14,FALSE)&gt;0,ISNUMBER('Replacement plan'!$C$71),OR(E264=120,OR(ISNUMBER('Replacement plan'!$AI$71),AND('Replacement plan'!$AI$71="",ISNUMBER('Operating costs'!$B$56)))),ISNUMBER(E264))),"Missing vehicle input",IF(OR(E264&lt;0,E264&gt;VLOOKUP($A264,'Fleet register'!$A$7:$S$106,10,FALSE),E264&gt;120,E264&lt;&gt;INT(E264),VLOOKUP($A264,'Fleet register'!$A$7:$S$106,6,FALSE)&lt;=0,VLOOKUP($A264,'Fleet register'!$A$7:$S$106,6,FALSE)&gt;366,VLOOKUP($A264,'Fleet register'!$A$7:$S$106,5,FALSE)&lt;0,VLOOKUP($A264,'Fleet register'!$A$7:$S$106,11,FALSE)&lt;0,I264&lt;0,'Operating costs'!$B$8&lt;='Operating costs'!$B$7*'Operating costs'!$B$9,'Operating costs'!$B$11&lt;=0,'Operating costs'!$B$39&gt;R264,'Operating costs'!$B$40&gt;R264,'Operating costs'!$B$41&gt;R264,NOT(OR("New ICE"="Keep ICE","New ICE"="New ICE","New ICE"="EV"))),"Invalid vehicle input",IF(AND(D264="EV",E264&lt;120,OR(NOT(ISNUMBER(U264)),NOT(ISNUMBER(V264)),V264&lt;=0,T264&lt;0,T264&gt;1,'Replacement plan'!$L$71&lt;=0,'Operating costs'!$B$44&lt;0,'Operating costs'!$B$44&gt;=1,'Operating costs'!$B$47&lt;=0,'Operating costs'!$B$47&gt;1,V264*'Operating costs'!$B$47/(1-'Operating costs'!$B$44)&lt;=T264*'Operating costs'!$B$12*U264,AND('Replacement plan'!$Z$71&gt;0,OR('Replacement plan'!$AB$71&lt;&gt;"Yes",'Operating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charging'!$B$8&gt;=0))),ISNUMBER(VLOOKUP($A264,'Fleet register'!$A$7:$S$106,15,FALSE)),ISNUMBER(VLOOKUP($A264,'Fleet register'!$A$7:$S$106,16,FALSE)),ISNUMBER('Replacement plan'!$W$71),ISNUMBER('Replacement plan'!$X$71),OR(E264=120,AND(ISNUMBER(G264),G264&gt;=0)),ISNUMBER(H264),H264&gt;=0,OR(D264&lt;&gt;"EV",E264=120,AND(ISNUMBER('Operating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average",ISNUMBER(IFERROR(INDEX(Products!$P$7:$P$13,MATCH(AD264,Products!$A$7:$A$13,0)),"")))),ISNUMBER('Operating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plan'!$Y$71),ISNUMBER('Replacement plan'!$Z$71),'Replacement plan'!$Z$71&gt;=0,ISNUMBER('Replacement plan'!$AA$71),'Replacement plan'!$AA$71&gt;=0,'Replacement plan'!$AA$71=INT('Replacement plan'!$AA$71),ISNUMBER('Replacement plan'!$L$71))),'Operating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plan'!$AG$71="",'Operating costs'!$B$7,'Replacement plan'!$AG$71)),IF('Replacement plan'!$AG$71="",'Operating costs'!$B$7,'Replacement plan'!$AG$71)&gt;=0,ISNUMBER(IF('Replacement plan'!$AH$71="",'Operating costs'!$B$7,'Replacement plan'!$AH$71)),IF('Replacement plan'!$AH$71="",'Operating costs'!$B$7,'Replacement plan'!$AH$71)&gt;=0,'Operating costs'!$B$8&gt;MAX(IF('Replacement plan'!$AG$71="",'Operating costs'!$B$7,'Replacement plan'!$AG$71),IF('Replacement plan'!$AH$71="",'Operating costs'!$B$7,'Replacement plan'!$AH$71))*'Operating costs'!$B$9),IF(AND(VLOOKUP($A264,'Fleet register'!$A$7:$S$106,10,FALSE)&gt;=0,VLOOKUP($A264,'Fleet register'!$A$7:$S$106,10,FALSE)&lt;=120,VLOOKUP($A264,'Fleet register'!$A$7:$S$106,10,FALSE)=INT(VLOOKUP($A264,'Fleet register'!$A$7:$S$106,10,FALSE)),VLOOKUP($A264,'Fleet register'!$A$7:$S$106,15,FALSE)&gt;=0,VLOOKUP($A264,'Fleet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costs'!$B$67)&gt;=0,OR(D264&lt;&gt;"EV",E264=120,AND(MIN('Operating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64" s="1" t="str">
        <f>IF(C264=0,"Excluded",IF(P264&lt;&gt;"Complete",P264,IF(OR('Replacement plan'!$AD$71&lt;120-E264,AND(D264="EV",E264&lt;120,OR('Replacement plan'!$AC$71&lt;120-E264,'Replacement plan'!$I$71="No",AND(ISNUMBER(AF264),AE264&gt;AF264),AI264&gt;V264*(1-'Operating costs'!$B$46)^MAX(0,AB264-1)*(1-'Operating costs'!$B$45),AC264&gt;'Operating costs'!$B$18,AND(T264&lt;1,OR(AG264&lt;=0,AND(ISNUMBER(AH264),AG264&gt;AH264))),'Replacement plan'!$L$71&gt;INDEX(Products!$H$7:$H$13,MATCH('Replacement plan'!$B$71,Products!$A$7:$A$13,0))))),"Fails entered limits",IF(AND(D264="EV",E264&lt;120,OR(NOT(ISNUMBER(VLOOKUP($A264,'Fleet register'!$A$7:$S$106,7,FALSE))),NOT(ISNUMBER(VLOOKUP($A264,'Fleet register'!$A$7:$S$106,8,FALSE))),NOT(ISNUMBER(AF264)),'Replacement plan'!$I$71&lt;&gt;"Yes",NOT(ISNUMBER(AH264)),'Operating costs'!$B$59&lt;&gt;"Yes",'Operating costs'!$B$58&lt;&gt;"Yes")),"Unverified","Within entered limits"))))</f>
        <v>Excluded</v>
      </c>
      <c r="R264" s="1">
        <f>IF(C264=0,0,VLOOKUP($A264,'Fleet register'!$A$7:$S$106,6,FALSE))</f>
        <v>0</v>
      </c>
      <c r="S264" s="1">
        <f>IF(C264=0,0,VLOOKUP($A264,'Fleet register'!$A$7:$S$106,5,FALSE))</f>
        <v>0</v>
      </c>
      <c r="T264" s="1">
        <f>IF(D264="EV",'Energy and charging'!$B$12,0)</f>
        <v>0</v>
      </c>
      <c r="U264" s="1">
        <f>IFERROR(IF(C264=0,0,IF(D264="EV",IF('Replacement plan'!$F$71="",INDEX(Products!$E$7:$E$13,MATCH('Replacement plan'!$B$71,Products!$A$7:$A$13,0)),'Replacement plan'!$F$71)/IF('Replacement plan'!$G$71="Battery",1-'Operating costs'!$B$44,1),0)),"n.a.")</f>
        <v>0</v>
      </c>
      <c r="V264" s="1">
        <f>IFERROR(IF(C264=0,0,IF(D264="EV",IF('Replacement plan'!$E$71="",INDEX(Products!$D$7:$D$13,MATCH('Replacement plan'!$B$71,Products!$A$7:$A$13,0)),'Replacement plan'!$E$71),0)),"n.a.")</f>
        <v>0</v>
      </c>
      <c r="W264" s="1">
        <f>IF(C264=0,0,IF(AND(P264="Complete",D264="EV",E264&lt;120),IF(T264=0,0,ROUNDUP(T264*(R264-'Operating costs'!$B$41)*(S264*U264+'Operating costs'!$B$48/(1-'Operating costs'!$B$44))/(V264*'Operating costs'!$B$47/(1-'Operating costs'!$B$44)-T264*'Operating costs'!$B$12*U264),0)),0))</f>
        <v>0</v>
      </c>
      <c r="X264" s="1">
        <f>IF(C264=0,0,IF(AND(P264="Complete",D264="EV",E264&lt;120),(R264-'Operating costs'!$B$41)*(S264*U264+'Operating costs'!$B$48/(1-'Operating costs'!$B$44))+W264*'Operating costs'!$B$12*U264,0))</f>
        <v>0</v>
      </c>
      <c r="Y264" s="1">
        <f>IF(AND(C264=1,D264="EV",E264&lt;120),AI264/(1-'Operating costs'!$B$44)*(1-T264),0)</f>
        <v>0</v>
      </c>
      <c r="Z264" s="1">
        <f t="shared" si="8"/>
        <v>0</v>
      </c>
      <c r="AA264" s="1">
        <f>IF(C264=0,0,IF(P264="Complete",((S264*(R264-'Operating costs'!$B$40))+ROUNDUP(S264*(R264-'Operating costs'!$B$40)*IF('Replacement plan'!$AH$71="",'Operating costs'!$B$7,'Replacement plan'!$AH$71)/('Operating costs'!$B$8-'Operating costs'!$B$9*IF('Replacement plan'!$AH$71="",'Operating costs'!$B$7,'Replacement plan'!$AH$71)),0)*'Operating costs'!$B$9)*IF('Replacement plan'!$AH$71="",'Operating costs'!$B$7,'Replacement plan'!$AH$71),"n.a."))</f>
        <v>0</v>
      </c>
      <c r="AB264" s="1">
        <f t="shared" si="9"/>
        <v>0</v>
      </c>
      <c r="AC264" s="1">
        <f>IF(AND(C264=1,D264="EV",E264&lt;120,T264&gt;0),'Operating costs'!$B$12/'Operating costs'!$B$11*60+'Operating costs'!$B$13+'Operating costs'!$B$14+V264*'Operating costs'!$B$47/(1-'Operating costs'!$B$44)/'Replacement plan'!$L$71*60,0)</f>
        <v>0</v>
      </c>
      <c r="AD264" s="1" t="str">
        <f>'Replacement plan'!$B$71</f>
        <v>ChengLong L2EV</v>
      </c>
      <c r="AE264" s="1">
        <f>IF(C264=0,0,VLOOKUP($A264,'Fleet register'!$A$7:$S$106,8,FALSE))</f>
        <v>0</v>
      </c>
      <c r="AF264" s="1" t="str">
        <f>IF('Replacement plan'!$H$71="","n.a.",'Replacement plan'!$H$71)</f>
        <v>n.a.</v>
      </c>
      <c r="AG264" s="1">
        <f>'Replacement plan'!$J$71</f>
        <v>22</v>
      </c>
      <c r="AH264" s="1">
        <f>IFERROR(IF(D264="EV",IF('Replacement plan'!$K$71="AC",IF(ISNUMBER(INDEX(Products!$G$7:$G$13,MATCH('Replacement plan'!$B$71,Products!$A$7:$A$13,0))),INDEX(Products!$G$7:$G$13,MATCH('Replacement plan'!$B$71,Products!$A$7:$A$13,0)),"n.a."),IF(ISNUMBER(INDEX(Products!$H$7:$H$13,MATCH('Replacement plan'!$B$71,Products!$A$7:$A$13,0))),INDEX(Products!$H$7:$H$13,MATCH('Replacement plan'!$B$71,Products!$A$7:$A$13,0)),"n.a.")),0),"n.a.")</f>
        <v>0</v>
      </c>
      <c r="AI264" s="1">
        <f>IF(AND(C264=1,D264="EV",E264&lt;120),(VLOOKUP($A264,'Fleet register'!$A$7:$S$106,7,FALSE)+IF(T264&gt;0,'Operating costs'!$B$12,0))*U264*(1-'Operating costs'!$B$44)+'Operating costs'!$B$49,0)</f>
        <v>0</v>
      </c>
      <c r="AJ264" s="1">
        <f>IF(D264="EV",'Energy and charging'!$B$50,0)</f>
        <v>0</v>
      </c>
      <c r="AK264" s="17">
        <f>EDATE('Operating costs'!$B$63,E264)</f>
        <v>46298</v>
      </c>
      <c r="AL264" s="1">
        <f>IFERROR(IF(D264="EV",INDEX(Products!$B$7:$B$13,MATCH('Replacement plan'!$B$71,Products!$A$7:$A$13,0)),0),"n.a.")</f>
        <v>0</v>
      </c>
      <c r="AM264" s="1" t="str">
        <f>'Replacement plan'!$K$71</f>
        <v>DC</v>
      </c>
      <c r="AN264" s="1" t="str">
        <f>'Replacement plan'!$AE$71</f>
        <v>Assumed</v>
      </c>
      <c r="AO264" s="47">
        <f>IF(AND(C264=1,D264="EV",E264&lt;120),(R264-'Operating costs'!$B$41)*S264+W264*'Operating costs'!$B$12,0)</f>
        <v>0</v>
      </c>
      <c r="AP264" s="41">
        <f>IF(AND(C264=1,D264="EV",E264&lt;120),IF('Operating costs'!$B$68="Hong Seh 200k average",AO264*IFERROR(INDEX(Products!$P$7:$P$13,MATCH(AD264,Products!$A$7:$A$13,0)),"n.a."),'Operating costs'!$B$26),0)</f>
        <v>0</v>
      </c>
      <c r="AQ264" s="40" t="str">
        <f>IF(D264="EV",'Operating costs'!$B$68,"Not applicable")</f>
        <v>Not applicable</v>
      </c>
    </row>
    <row r="265" spans="1:43" ht="24" customHeight="1">
      <c r="A265" s="1" t="str">
        <f>'Replacement plan'!A71</f>
        <v>T065</v>
      </c>
      <c r="B265" s="1">
        <v>2</v>
      </c>
      <c r="C265" s="1">
        <f>IF(COUNTIFS('Fleet register'!$A$7:$A$106,$A265)=1,VLOOKUP($A265,'Fleet register'!$A$7:$S$106,2,FALSE),0)</f>
        <v>0</v>
      </c>
      <c r="D265" s="1" t="str">
        <f>IF('Replacement plan'!$O$71="EV","EV","ICE")</f>
        <v>ICE</v>
      </c>
      <c r="E265" s="1">
        <f>IF(C265=0,0,IF('Replacement plan'!$P$71="",IF('Replacement plan'!$O$71="Keep ICE",IF('Replacement plan'!$M$71="",VLOOKUP($A265,'Fleet register'!$A$7:$S$106,10,FALSE),'Replacement plan'!$M$71),0),'Replacement plan'!$P$71))</f>
        <v>0</v>
      </c>
      <c r="F265" s="16">
        <f>IF(C265=0,0,VLOOKUP($A265,'Fleet register'!$A$7:$S$106,11,FALSE))</f>
        <v>0</v>
      </c>
      <c r="G265" s="16">
        <f>IFERROR(IF(C265=0,0,IF(E265=120,0,IF(D265="ICE",'Replacement plan'!$C$71,IF('Replacement plan'!$D$71="",INDEX(Products!$I$7:$I$13,MATCH('Replacement plan'!$B$71,Products!$A$7:$A$13,0))+'Operating costs'!$B$57,'Replacement plan'!$D$71))*(1+'Operating costs'!$B$50)^(E265/12))),"n.a.")</f>
        <v>0</v>
      </c>
      <c r="H265" s="16">
        <f>IFERROR(IF(C265=0,0,IF('Replacement plan'!$U$71&lt;&gt;"",'Replacement plan'!$U$71,IF(E265=0,F265,VLOOKUP($A265,'Fleet register'!$A$7:$S$106,12,FALSE)+VLOOKUP($A265,'Fleet register'!$A$7:$S$106,13,FALSE)*MAX(0,VLOOKUP($A265,'Fleet register'!$A$7:$S$106,10,FALSE)-E265)/VLOOKUP($A265,'Fleet register'!$A$7:$S$106,14,FALSE)))),"n.a.")</f>
        <v>0</v>
      </c>
      <c r="I265" s="16">
        <f>IF(C265=0,0,IF(E265=120,0,'Replacement plan'!$Q$71))</f>
        <v>0</v>
      </c>
      <c r="J265" s="16">
        <f>IF(C265=0,0,IF(P265="Complete",((S265*(R265-'Operating costs'!$B$39))+ROUNDUP(S265*(R265-'Operating costs'!$B$39)*IF('Replacement plan'!$AG$71="",'Operating costs'!$B$7,'Replacement plan'!$AG$71)/('Operating costs'!$B$8-'Operating costs'!$B$9*IF('Replacement plan'!$AG$71="",'Operating costs'!$B$7,'Replacement plan'!$AG$71)),0)*'Operating costs'!$B$9)*IF('Replacement plan'!$AG$71="",'Operating costs'!$B$7,'Replacement plan'!$AG$71)*('Energy and charging'!$B$9*'Energy and charging'!$B$7+(1-'Energy and charging'!$B$9)*'Energy and charging'!$B$8)*'Operating costs'!$B$23,"n.a."))</f>
        <v>0</v>
      </c>
      <c r="K265" s="16">
        <f>IF(C265=0,0,IF(P265="Complete",SUM('Operating costs'!$B$24,'Operating costs'!$B$27,'Operating costs'!$B$29,'Operating costs'!$B$31,'Operating costs'!$B$33,'Operating costs'!$B$34,'Operating costs'!$B$37,'Replacement plan'!$W$71)+'Operating costs'!$B$39*'Operating costs'!$B$42+ROUNDUP(S265*(R265-'Operating costs'!$B$39)*IF('Replacement plan'!$AG$71="",'Operating costs'!$B$7,'Replacement plan'!$AG$71)/('Operating costs'!$B$8-'Operating costs'!$B$9*IF('Replacement plan'!$AG$71="",'Operating costs'!$B$7,'Replacement plan'!$AG$71)),0)*('Operating costs'!$B$9/'Operating costs'!$B$11+'Operating costs'!$B$10/60)*'Operating costs'!$B$19*'Operating costs'!$B$21,"n.a."))</f>
        <v>0</v>
      </c>
      <c r="L265" s="16">
        <f>IF(C265=0,0,IF(P265="Complete",IF(D265="EV",X265*((1-T265)*'Energy and charging'!$B$10+T265*'Energy and charging'!$B$11)*'Operating costs'!$B$22,AA265*('Energy and charging'!$B$9*'Energy and charging'!$B$7+(1-'Energy and charging'!$B$9)*'Energy and charging'!$B$8)*'Operating costs'!$B$23),"n.a."))</f>
        <v>0</v>
      </c>
      <c r="M265" s="37">
        <f>IF(C265=0,0,IF(P265="Complete",IF(D265="ICE",SUM('Operating costs'!$B$25,'Operating costs'!$B$27,'Operating costs'!$B$29,'Operating costs'!$B$31,'Operating costs'!$B$33,'Operating costs'!$B$35,'Operating costs'!$B$37,'Replacement plan'!$X$71)+'Operating costs'!$B$40*'Operating costs'!$B$42+ROUNDUP(S265*(R265-'Operating costs'!$B$40)*IF('Replacement plan'!$AH$71="",'Operating costs'!$B$7,'Replacement plan'!$AH$71)/('Operating costs'!$B$8-'Operating costs'!$B$9*IF('Replacement plan'!$AH$71="",'Operating costs'!$B$7,'Replacement plan'!$AH$71)),0)*('Operating costs'!$B$9/'Operating costs'!$B$11+'Operating costs'!$B$10/60)*'Operating costs'!$B$19*'Operating costs'!$B$21,SUM(AP265,'Operating costs'!$B$28,'Operating costs'!$B$30,'Operating costs'!$B$32,'Operating costs'!$B$33,'Operating costs'!$B$36,'Operating costs'!$B$38,'Replacement plan'!$Y$71)+'Operating costs'!$B$41*'Operating costs'!$B$43+W265*'Operating costs'!$B$15+(T265*X265/'Replacement plan'!$L$71+W265*('Operating costs'!$B$12/'Operating costs'!$B$11+('Operating costs'!$B$13+'Operating costs'!$B$14)/60)+(R265-'Operating costs'!$B$41)*(IF(T265&lt;1,'Operating costs'!$B$16,0)+'Operating costs'!$B$17)/60)*'Operating costs'!$B$19*'Operating costs'!$B$20),"n.a."))</f>
        <v>0</v>
      </c>
      <c r="N265" s="16">
        <f>IF(AND(C265=1,D265="EV",E265&lt;120,E265+'Replacement plan'!$AA$71&lt;=120),'Replacement plan'!$Z$71,0)</f>
        <v>0</v>
      </c>
      <c r="O265" s="1">
        <f>E265+'Replacement plan'!$AA$71</f>
        <v>0</v>
      </c>
      <c r="P265" s="35" t="str">
        <f>IFERROR(IF(C265=0,"Excluded",IF(OR(COUNTIFS('Fleet register'!$A$7:$A$106,A265)&lt;&gt;1,COUNTIFS('Replacement plan'!$A$7:$A$106,A265)&lt;&gt;1),"Duplicate/missing ID",IF(NOT(AND(ISNUMBER(VLOOKUP($A265,'Fleet register'!$A$7:$S$106,5,FALSE)),ISNUMBER(VLOOKUP($A265,'Fleet register'!$A$7:$S$106,6,FALSE)),ISNUMBER(VLOOKUP($A265,'Fleet register'!$A$7:$S$106,10,FALSE)),ISNUMBER(VLOOKUP($A265,'Fleet register'!$A$7:$S$106,11,FALSE)),ISNUMBER(VLOOKUP($A265,'Fleet register'!$A$7:$S$106,12,FALSE)),ISNUMBER(VLOOKUP($A265,'Fleet register'!$A$7:$S$106,13,FALSE)),ISNUMBER(VLOOKUP($A265,'Fleet register'!$A$7:$S$106,14,FALSE)),VLOOKUP($A265,'Fleet register'!$A$7:$S$106,14,FALSE)&gt;0,ISNUMBER('Replacement plan'!$C$71),OR(E265=120,ISNUMBER('Replacement plan'!$Q$71)),ISNUMBER(E265))),"Missing vehicle input",IF(OR(E265&lt;0,E265&gt;VLOOKUP($A265,'Fleet register'!$A$7:$S$106,10,FALSE),E265&gt;120,E265&lt;&gt;INT(E265),VLOOKUP($A265,'Fleet register'!$A$7:$S$106,6,FALSE)&lt;=0,VLOOKUP($A265,'Fleet register'!$A$7:$S$106,6,FALSE)&gt;366,VLOOKUP($A265,'Fleet register'!$A$7:$S$106,5,FALSE)&lt;0,VLOOKUP($A265,'Fleet register'!$A$7:$S$106,11,FALSE)&lt;0,I265&lt;0,'Operating costs'!$B$8&lt;='Operating costs'!$B$7*'Operating costs'!$B$9,'Operating costs'!$B$11&lt;=0,'Operating costs'!$B$39&gt;R265,'Operating costs'!$B$40&gt;R265,'Operating costs'!$B$41&gt;R265,NOT(OR('Replacement plan'!$O$71="Keep ICE",'Replacement plan'!$O$71="New ICE",'Replacement plan'!$O$71="EV"))),"Invalid vehicle input",IF(AND(D265="EV",E265&lt;120,OR(NOT(ISNUMBER(U265)),NOT(ISNUMBER(V265)),V265&lt;=0,T265&lt;0,T265&gt;1,'Replacement plan'!$L$71&lt;=0,'Operating costs'!$B$44&lt;0,'Operating costs'!$B$44&gt;=1,'Operating costs'!$B$47&lt;=0,'Operating costs'!$B$47&gt;1,V265*'Operating costs'!$B$47/(1-'Operating costs'!$B$44)&lt;=T265*'Operating costs'!$B$12*U265,AND('Replacement plan'!$Z$71&gt;0,OR('Replacement plan'!$AB$71&lt;&gt;"Yes",'Operating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charging'!$B$8&gt;=0))),ISNUMBER(VLOOKUP($A265,'Fleet register'!$A$7:$S$106,15,FALSE)),ISNUMBER(VLOOKUP($A265,'Fleet register'!$A$7:$S$106,16,FALSE)),ISNUMBER('Replacement plan'!$W$71),ISNUMBER('Replacement plan'!$X$71),OR(E265=120,AND(ISNUMBER(G265),G265&gt;=0)),ISNUMBER(H265),H265&gt;=0,OR(D265&lt;&gt;"EV",E265=120,AND(ISNUMBER('Operating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average",ISNUMBER(IFERROR(INDEX(Products!$P$7:$P$13,MATCH(AD265,Products!$A$7:$A$13,0)),"")))),ISNUMBER('Operating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plan'!$Y$71),ISNUMBER('Replacement plan'!$Z$71),'Replacement plan'!$Z$71&gt;=0,ISNUMBER('Replacement plan'!$AA$71),'Replacement plan'!$AA$71&gt;=0,'Replacement plan'!$AA$71=INT('Replacement plan'!$AA$71),ISNUMBER('Replacement plan'!$L$71))),'Operating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plan'!$AG$71="",'Operating costs'!$B$7,'Replacement plan'!$AG$71)),IF('Replacement plan'!$AG$71="",'Operating costs'!$B$7,'Replacement plan'!$AG$71)&gt;=0,ISNUMBER(IF('Replacement plan'!$AH$71="",'Operating costs'!$B$7,'Replacement plan'!$AH$71)),IF('Replacement plan'!$AH$71="",'Operating costs'!$B$7,'Replacement plan'!$AH$71)&gt;=0,'Operating costs'!$B$8&gt;MAX(IF('Replacement plan'!$AG$71="",'Operating costs'!$B$7,'Replacement plan'!$AG$71),IF('Replacement plan'!$AH$71="",'Operating costs'!$B$7,'Replacement plan'!$AH$71))*'Operating costs'!$B$9),IF(AND(VLOOKUP($A265,'Fleet register'!$A$7:$S$106,10,FALSE)&gt;=0,VLOOKUP($A265,'Fleet register'!$A$7:$S$106,10,FALSE)&lt;=120,VLOOKUP($A265,'Fleet register'!$A$7:$S$106,10,FALSE)=INT(VLOOKUP($A265,'Fleet register'!$A$7:$S$106,10,FALSE)),VLOOKUP($A265,'Fleet register'!$A$7:$S$106,15,FALSE)&gt;=0,VLOOKUP($A265,'Fleet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costs'!$B$67)&gt;=0,OR(D265&lt;&gt;"EV",E265=120,AND(MIN('Operating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65" s="1" t="str">
        <f>IF(C265=0,"Excluded",IF(P265&lt;&gt;"Complete",P265,IF(OR('Replacement plan'!$AD$71&lt;120-E265,AND(D265="EV",E265&lt;120,OR('Replacement plan'!$AC$71&lt;120-E265,'Replacement plan'!$I$71="No",AND(ISNUMBER(AF265),AE265&gt;AF265),AI265&gt;V265*(1-'Operating costs'!$B$46)^MAX(0,AB265-1)*(1-'Operating costs'!$B$45),AC265&gt;'Operating costs'!$B$18,AND(T265&lt;1,OR(AG265&lt;=0,AND(ISNUMBER(AH265),AG265&gt;AH265))),'Replacement plan'!$L$71&gt;INDEX(Products!$H$7:$H$13,MATCH('Replacement plan'!$B$71,Products!$A$7:$A$13,0))))),"Fails entered limits",IF(AND(D265="EV",E265&lt;120,OR(NOT(ISNUMBER(VLOOKUP($A265,'Fleet register'!$A$7:$S$106,7,FALSE))),NOT(ISNUMBER(VLOOKUP($A265,'Fleet register'!$A$7:$S$106,8,FALSE))),NOT(ISNUMBER(AF265)),'Replacement plan'!$I$71&lt;&gt;"Yes",NOT(ISNUMBER(AH265)),'Operating costs'!$B$59&lt;&gt;"Yes",'Operating costs'!$B$58&lt;&gt;"Yes")),"Unverified","Within entered limits"))))</f>
        <v>Excluded</v>
      </c>
      <c r="R265" s="1">
        <f>IF(C265=0,0,VLOOKUP($A265,'Fleet register'!$A$7:$S$106,6,FALSE))</f>
        <v>0</v>
      </c>
      <c r="S265" s="1">
        <f>IF(C265=0,0,VLOOKUP($A265,'Fleet register'!$A$7:$S$106,5,FALSE))</f>
        <v>0</v>
      </c>
      <c r="T265" s="1">
        <f>IF(D265="EV",'Energy and charging'!$B$12,0)</f>
        <v>0</v>
      </c>
      <c r="U265" s="1">
        <f>IFERROR(IF(C265=0,0,IF(D265="EV",IF('Replacement plan'!$F$71="",INDEX(Products!$E$7:$E$13,MATCH('Replacement plan'!$B$71,Products!$A$7:$A$13,0)),'Replacement plan'!$F$71)/IF('Replacement plan'!$G$71="Battery",1-'Operating costs'!$B$44,1),0)),"n.a.")</f>
        <v>0</v>
      </c>
      <c r="V265" s="1">
        <f>IFERROR(IF(C265=0,0,IF(D265="EV",IF('Replacement plan'!$E$71="",INDEX(Products!$D$7:$D$13,MATCH('Replacement plan'!$B$71,Products!$A$7:$A$13,0)),'Replacement plan'!$E$71),0)),"n.a.")</f>
        <v>0</v>
      </c>
      <c r="W265" s="1">
        <f>IF(C265=0,0,IF(AND(P265="Complete",D265="EV",E265&lt;120),IF(T265=0,0,ROUNDUP(T265*(R265-'Operating costs'!$B$41)*(S265*U265+'Operating costs'!$B$48/(1-'Operating costs'!$B$44))/(V265*'Operating costs'!$B$47/(1-'Operating costs'!$B$44)-T265*'Operating costs'!$B$12*U265),0)),0))</f>
        <v>0</v>
      </c>
      <c r="X265" s="1">
        <f>IF(C265=0,0,IF(AND(P265="Complete",D265="EV",E265&lt;120),(R265-'Operating costs'!$B$41)*(S265*U265+'Operating costs'!$B$48/(1-'Operating costs'!$B$44))+W265*'Operating costs'!$B$12*U265,0))</f>
        <v>0</v>
      </c>
      <c r="Y265" s="1">
        <f>IF(AND(C265=1,D265="EV",E265&lt;120),AI265/(1-'Operating costs'!$B$44)*(1-T265),0)</f>
        <v>0</v>
      </c>
      <c r="Z265" s="1">
        <f t="shared" si="8"/>
        <v>0</v>
      </c>
      <c r="AA265" s="1">
        <f>IF(C265=0,0,IF(P265="Complete",((S265*(R265-'Operating costs'!$B$40))+ROUNDUP(S265*(R265-'Operating costs'!$B$40)*IF('Replacement plan'!$AH$71="",'Operating costs'!$B$7,'Replacement plan'!$AH$71)/('Operating costs'!$B$8-'Operating costs'!$B$9*IF('Replacement plan'!$AH$71="",'Operating costs'!$B$7,'Replacement plan'!$AH$71)),0)*'Operating costs'!$B$9)*IF('Replacement plan'!$AH$71="",'Operating costs'!$B$7,'Replacement plan'!$AH$71),"n.a."))</f>
        <v>0</v>
      </c>
      <c r="AB265" s="1">
        <f t="shared" si="9"/>
        <v>0</v>
      </c>
      <c r="AC265" s="1">
        <f>IF(AND(C265=1,D265="EV",E265&lt;120,T265&gt;0),'Operating costs'!$B$12/'Operating costs'!$B$11*60+'Operating costs'!$B$13+'Operating costs'!$B$14+V265*'Operating costs'!$B$47/(1-'Operating costs'!$B$44)/'Replacement plan'!$L$71*60,0)</f>
        <v>0</v>
      </c>
      <c r="AD265" s="1" t="str">
        <f>'Replacement plan'!$B$71</f>
        <v>ChengLong L2EV</v>
      </c>
      <c r="AE265" s="1">
        <f>IF(C265=0,0,VLOOKUP($A265,'Fleet register'!$A$7:$S$106,8,FALSE))</f>
        <v>0</v>
      </c>
      <c r="AF265" s="1" t="str">
        <f>IF('Replacement plan'!$H$71="","n.a.",'Replacement plan'!$H$71)</f>
        <v>n.a.</v>
      </c>
      <c r="AG265" s="1">
        <f>'Replacement plan'!$J$71</f>
        <v>22</v>
      </c>
      <c r="AH265" s="1">
        <f>IFERROR(IF(D265="EV",IF('Replacement plan'!$K$71="AC",IF(ISNUMBER(INDEX(Products!$G$7:$G$13,MATCH('Replacement plan'!$B$71,Products!$A$7:$A$13,0))),INDEX(Products!$G$7:$G$13,MATCH('Replacement plan'!$B$71,Products!$A$7:$A$13,0)),"n.a."),IF(ISNUMBER(INDEX(Products!$H$7:$H$13,MATCH('Replacement plan'!$B$71,Products!$A$7:$A$13,0))),INDEX(Products!$H$7:$H$13,MATCH('Replacement plan'!$B$71,Products!$A$7:$A$13,0)),"n.a.")),0),"n.a.")</f>
        <v>0</v>
      </c>
      <c r="AI265" s="1">
        <f>IF(AND(C265=1,D265="EV",E265&lt;120),(VLOOKUP($A265,'Fleet register'!$A$7:$S$106,7,FALSE)+IF(T265&gt;0,'Operating costs'!$B$12,0))*U265*(1-'Operating costs'!$B$44)+'Operating costs'!$B$49,0)</f>
        <v>0</v>
      </c>
      <c r="AJ265" s="1">
        <f>IF(D265="EV",'Energy and charging'!$B$50,0)</f>
        <v>0</v>
      </c>
      <c r="AK265" s="17">
        <f>EDATE('Operating costs'!$B$63,E265)</f>
        <v>46298</v>
      </c>
      <c r="AL265" s="1">
        <f>IFERROR(IF(D265="EV",INDEX(Products!$B$7:$B$13,MATCH('Replacement plan'!$B$71,Products!$A$7:$A$13,0)),0),"n.a.")</f>
        <v>0</v>
      </c>
      <c r="AM265" s="1" t="str">
        <f>'Replacement plan'!$K$71</f>
        <v>DC</v>
      </c>
      <c r="AN265" s="1" t="str">
        <f>'Replacement plan'!$AE$71</f>
        <v>Assumed</v>
      </c>
      <c r="AO265" s="47">
        <f>IF(AND(C265=1,D265="EV",E265&lt;120),(R265-'Operating costs'!$B$41)*S265+W265*'Operating costs'!$B$12,0)</f>
        <v>0</v>
      </c>
      <c r="AP265" s="41">
        <f>IF(AND(C265=1,D265="EV",E265&lt;120),IF('Operating costs'!$B$68="Hong Seh 200k average",AO265*IFERROR(INDEX(Products!$P$7:$P$13,MATCH(AD265,Products!$A$7:$A$13,0)),"n.a."),'Operating costs'!$B$26),0)</f>
        <v>0</v>
      </c>
      <c r="AQ265" s="40" t="str">
        <f>IF(D265="EV",'Operating costs'!$B$68,"Not applicable")</f>
        <v>Not applicable</v>
      </c>
    </row>
    <row r="266" spans="1:43" ht="24" customHeight="1">
      <c r="A266" s="1" t="str">
        <f>'Replacement plan'!A71</f>
        <v>T065</v>
      </c>
      <c r="B266" s="1">
        <v>3</v>
      </c>
      <c r="C266" s="1">
        <f>IF(COUNTIFS('Fleet register'!$A$7:$A$106,$A266)=1,VLOOKUP($A266,'Fleet register'!$A$7:$S$106,2,FALSE),0)</f>
        <v>0</v>
      </c>
      <c r="D266" s="1" t="str">
        <f>IF('Replacement plan'!$R$71="EV","EV","ICE")</f>
        <v>ICE</v>
      </c>
      <c r="E266" s="1">
        <f>IF(C266=0,0,IF('Replacement plan'!$S$71="",IF('Replacement plan'!$R$71="Keep ICE",IF('Replacement plan'!$M$71="",VLOOKUP($A266,'Fleet register'!$A$7:$S$106,10,FALSE),'Replacement plan'!$M$71),0),'Replacement plan'!$S$71))</f>
        <v>0</v>
      </c>
      <c r="F266" s="16">
        <f>IF(C266=0,0,VLOOKUP($A266,'Fleet register'!$A$7:$S$106,11,FALSE))</f>
        <v>0</v>
      </c>
      <c r="G266" s="16">
        <f>IFERROR(IF(C266=0,0,IF(E266=120,0,IF(D266="ICE",'Replacement plan'!$C$71,IF('Replacement plan'!$D$71="",INDEX(Products!$I$7:$I$13,MATCH('Replacement plan'!$B$71,Products!$A$7:$A$13,0))+'Operating costs'!$B$57,'Replacement plan'!$D$71))*(1+'Operating costs'!$B$50)^(E266/12))),"n.a.")</f>
        <v>0</v>
      </c>
      <c r="H266" s="16">
        <f>IFERROR(IF(C266=0,0,IF('Replacement plan'!$V$71&lt;&gt;"",'Replacement plan'!$V$71,IF(E266=0,F266,VLOOKUP($A266,'Fleet register'!$A$7:$S$106,12,FALSE)+VLOOKUP($A266,'Fleet register'!$A$7:$S$106,13,FALSE)*MAX(0,VLOOKUP($A266,'Fleet register'!$A$7:$S$106,10,FALSE)-E266)/VLOOKUP($A266,'Fleet register'!$A$7:$S$106,14,FALSE)))),"n.a.")</f>
        <v>0</v>
      </c>
      <c r="I266" s="16">
        <f>IF(C266=0,0,IF(E266=120,0,'Replacement plan'!$T$71))</f>
        <v>0</v>
      </c>
      <c r="J266" s="16">
        <f>IF(C266=0,0,IF(P266="Complete",((S266*(R266-'Operating costs'!$B$39))+ROUNDUP(S266*(R266-'Operating costs'!$B$39)*IF('Replacement plan'!$AG$71="",'Operating costs'!$B$7,'Replacement plan'!$AG$71)/('Operating costs'!$B$8-'Operating costs'!$B$9*IF('Replacement plan'!$AG$71="",'Operating costs'!$B$7,'Replacement plan'!$AG$71)),0)*'Operating costs'!$B$9)*IF('Replacement plan'!$AG$71="",'Operating costs'!$B$7,'Replacement plan'!$AG$71)*('Energy and charging'!$C$9*'Energy and charging'!$C$7+(1-'Energy and charging'!$C$9)*'Energy and charging'!$C$8)*'Operating costs'!$B$23,"n.a."))</f>
        <v>0</v>
      </c>
      <c r="K266" s="16">
        <f>IF(C266=0,0,IF(P266="Complete",SUM('Operating costs'!$B$24,'Operating costs'!$B$27,'Operating costs'!$B$29,'Operating costs'!$B$31,'Operating costs'!$B$33,'Operating costs'!$B$34,'Operating costs'!$B$37,'Replacement plan'!$W$71)+'Operating costs'!$B$39*'Operating costs'!$B$42+ROUNDUP(S266*(R266-'Operating costs'!$B$39)*IF('Replacement plan'!$AG$71="",'Operating costs'!$B$7,'Replacement plan'!$AG$71)/('Operating costs'!$B$8-'Operating costs'!$B$9*IF('Replacement plan'!$AG$71="",'Operating costs'!$B$7,'Replacement plan'!$AG$71)),0)*('Operating costs'!$B$9/'Operating costs'!$B$11+'Operating costs'!$B$10/60)*'Operating costs'!$B$19*'Operating costs'!$B$21,"n.a."))</f>
        <v>0</v>
      </c>
      <c r="L266" s="16">
        <f>IF(C266=0,0,IF(P266="Complete",IF(D266="EV",X266*((1-T266)*'Energy and charging'!$C$10+T266*'Energy and charging'!$C$11)*'Operating costs'!$B$22,AA266*('Energy and charging'!$C$9*'Energy and charging'!$C$7+(1-'Energy and charging'!$C$9)*'Energy and charging'!$C$8)*'Operating costs'!$B$23),"n.a."))</f>
        <v>0</v>
      </c>
      <c r="M266" s="37">
        <f>IF(C266=0,0,IF(P266="Complete",IF(D266="ICE",SUM('Operating costs'!$B$25,'Operating costs'!$B$27,'Operating costs'!$B$29,'Operating costs'!$B$31,'Operating costs'!$B$33,'Operating costs'!$B$35,'Operating costs'!$B$37,'Replacement plan'!$X$71)+'Operating costs'!$B$40*'Operating costs'!$B$42+ROUNDUP(S266*(R266-'Operating costs'!$B$40)*IF('Replacement plan'!$AH$71="",'Operating costs'!$B$7,'Replacement plan'!$AH$71)/('Operating costs'!$B$8-'Operating costs'!$B$9*IF('Replacement plan'!$AH$71="",'Operating costs'!$B$7,'Replacement plan'!$AH$71)),0)*('Operating costs'!$B$9/'Operating costs'!$B$11+'Operating costs'!$B$10/60)*'Operating costs'!$B$19*'Operating costs'!$B$21,SUM(AP266,'Operating costs'!$B$28,'Operating costs'!$B$30,'Operating costs'!$B$32,'Operating costs'!$B$33,'Operating costs'!$B$36,'Operating costs'!$B$38,'Replacement plan'!$Y$71)+'Operating costs'!$B$41*'Operating costs'!$B$43+W266*'Operating costs'!$B$15+(T266*X266/'Replacement plan'!$L$71+W266*('Operating costs'!$B$12/'Operating costs'!$B$11+('Operating costs'!$B$13+'Operating costs'!$B$14)/60)+(R266-'Operating costs'!$B$41)*(IF(T266&lt;1,'Operating costs'!$B$16,0)+'Operating costs'!$B$17)/60)*'Operating costs'!$B$19*'Operating costs'!$B$20),"n.a."))</f>
        <v>0</v>
      </c>
      <c r="N266" s="16">
        <f>IF(AND(C266=1,D266="EV",E266&lt;120,E266+'Replacement plan'!$AA$71&lt;=120),'Replacement plan'!$Z$71,0)</f>
        <v>0</v>
      </c>
      <c r="O266" s="1">
        <f>E266+'Replacement plan'!$AA$71</f>
        <v>0</v>
      </c>
      <c r="P266" s="35" t="str">
        <f>IFERROR(IF(C266=0,"Excluded",IF(OR(COUNTIFS('Fleet register'!$A$7:$A$106,A266)&lt;&gt;1,COUNTIFS('Replacement plan'!$A$7:$A$106,A266)&lt;&gt;1),"Duplicate/missing ID",IF(NOT(AND(ISNUMBER(VLOOKUP($A266,'Fleet register'!$A$7:$S$106,5,FALSE)),ISNUMBER(VLOOKUP($A266,'Fleet register'!$A$7:$S$106,6,FALSE)),ISNUMBER(VLOOKUP($A266,'Fleet register'!$A$7:$S$106,10,FALSE)),ISNUMBER(VLOOKUP($A266,'Fleet register'!$A$7:$S$106,11,FALSE)),ISNUMBER(VLOOKUP($A266,'Fleet register'!$A$7:$S$106,12,FALSE)),ISNUMBER(VLOOKUP($A266,'Fleet register'!$A$7:$S$106,13,FALSE)),ISNUMBER(VLOOKUP($A266,'Fleet register'!$A$7:$S$106,14,FALSE)),VLOOKUP($A266,'Fleet register'!$A$7:$S$106,14,FALSE)&gt;0,ISNUMBER('Replacement plan'!$C$71),OR(E266=120,ISNUMBER('Replacement plan'!$T$71)),ISNUMBER(E266))),"Missing vehicle input",IF(OR(E266&lt;0,E266&gt;VLOOKUP($A266,'Fleet register'!$A$7:$S$106,10,FALSE),E266&gt;120,E266&lt;&gt;INT(E266),VLOOKUP($A266,'Fleet register'!$A$7:$S$106,6,FALSE)&lt;=0,VLOOKUP($A266,'Fleet register'!$A$7:$S$106,6,FALSE)&gt;366,VLOOKUP($A266,'Fleet register'!$A$7:$S$106,5,FALSE)&lt;0,VLOOKUP($A266,'Fleet register'!$A$7:$S$106,11,FALSE)&lt;0,I266&lt;0,'Operating costs'!$B$8&lt;='Operating costs'!$B$7*'Operating costs'!$B$9,'Operating costs'!$B$11&lt;=0,'Operating costs'!$B$39&gt;R266,'Operating costs'!$B$40&gt;R266,'Operating costs'!$B$41&gt;R266,NOT(OR('Replacement plan'!$R$71="Keep ICE",'Replacement plan'!$R$71="New ICE",'Replacement plan'!$R$71="EV"))),"Invalid vehicle input",IF(AND(D266="EV",E266&lt;120,OR(NOT(ISNUMBER(U266)),NOT(ISNUMBER(V266)),V266&lt;=0,T266&lt;0,T266&gt;1,'Replacement plan'!$L$71&lt;=0,'Operating costs'!$B$44&lt;0,'Operating costs'!$B$44&gt;=1,'Operating costs'!$B$47&lt;=0,'Operating costs'!$B$47&gt;1,V266*'Operating costs'!$B$47/(1-'Operating costs'!$B$44)&lt;=T266*'Operating costs'!$B$12*U266,AND('Replacement plan'!$Z$71&gt;0,OR('Replacement plan'!$AB$71&lt;&gt;"Yes",'Operating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charging'!$C$8&gt;=0))),ISNUMBER(VLOOKUP($A266,'Fleet register'!$A$7:$S$106,15,FALSE)),ISNUMBER(VLOOKUP($A266,'Fleet register'!$A$7:$S$106,16,FALSE)),ISNUMBER('Replacement plan'!$W$71),ISNUMBER('Replacement plan'!$X$71),OR(E266=120,AND(ISNUMBER(G266),G266&gt;=0)),ISNUMBER(H266),H266&gt;=0,OR(D266&lt;&gt;"EV",E266=120,AND(ISNUMBER('Operating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average",ISNUMBER(IFERROR(INDEX(Products!$P$7:$P$13,MATCH(AD266,Products!$A$7:$A$13,0)),"")))),ISNUMBER('Operating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plan'!$Y$71),ISNUMBER('Replacement plan'!$Z$71),'Replacement plan'!$Z$71&gt;=0,ISNUMBER('Replacement plan'!$AA$71),'Replacement plan'!$AA$71&gt;=0,'Replacement plan'!$AA$71=INT('Replacement plan'!$AA$71),ISNUMBER('Replacement plan'!$L$71))),'Operating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plan'!$AG$71="",'Operating costs'!$B$7,'Replacement plan'!$AG$71)),IF('Replacement plan'!$AG$71="",'Operating costs'!$B$7,'Replacement plan'!$AG$71)&gt;=0,ISNUMBER(IF('Replacement plan'!$AH$71="",'Operating costs'!$B$7,'Replacement plan'!$AH$71)),IF('Replacement plan'!$AH$71="",'Operating costs'!$B$7,'Replacement plan'!$AH$71)&gt;=0,'Operating costs'!$B$8&gt;MAX(IF('Replacement plan'!$AG$71="",'Operating costs'!$B$7,'Replacement plan'!$AG$71),IF('Replacement plan'!$AH$71="",'Operating costs'!$B$7,'Replacement plan'!$AH$71))*'Operating costs'!$B$9),IF(AND(VLOOKUP($A266,'Fleet register'!$A$7:$S$106,10,FALSE)&gt;=0,VLOOKUP($A266,'Fleet register'!$A$7:$S$106,10,FALSE)&lt;=120,VLOOKUP($A266,'Fleet register'!$A$7:$S$106,10,FALSE)=INT(VLOOKUP($A266,'Fleet register'!$A$7:$S$106,10,FALSE)),VLOOKUP($A266,'Fleet register'!$A$7:$S$106,15,FALSE)&gt;=0,VLOOKUP($A266,'Fleet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costs'!$B$67)&gt;=0,OR(D266&lt;&gt;"EV",E266=120,AND(MIN('Operating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66" s="1" t="str">
        <f>IF(C266=0,"Excluded",IF(P266&lt;&gt;"Complete",P266,IF(OR('Replacement plan'!$AD$71&lt;120-E266,AND(D266="EV",E266&lt;120,OR('Replacement plan'!$AC$71&lt;120-E266,'Replacement plan'!$I$71="No",AND(ISNUMBER(AF266),AE266&gt;AF266),AI266&gt;V266*(1-'Operating costs'!$B$46)^MAX(0,AB266-1)*(1-'Operating costs'!$B$45),AC266&gt;'Operating costs'!$B$18,AND(T266&lt;1,OR(AG266&lt;=0,AND(ISNUMBER(AH266),AG266&gt;AH266))),'Replacement plan'!$L$71&gt;INDEX(Products!$H$7:$H$13,MATCH('Replacement plan'!$B$71,Products!$A$7:$A$13,0))))),"Fails entered limits",IF(AND(D266="EV",E266&lt;120,OR(NOT(ISNUMBER(VLOOKUP($A266,'Fleet register'!$A$7:$S$106,7,FALSE))),NOT(ISNUMBER(VLOOKUP($A266,'Fleet register'!$A$7:$S$106,8,FALSE))),NOT(ISNUMBER(AF266)),'Replacement plan'!$I$71&lt;&gt;"Yes",NOT(ISNUMBER(AH266)),'Operating costs'!$B$59&lt;&gt;"Yes",'Operating costs'!$B$58&lt;&gt;"Yes")),"Unverified","Within entered limits"))))</f>
        <v>Excluded</v>
      </c>
      <c r="R266" s="1">
        <f>IF(C266=0,0,VLOOKUP($A266,'Fleet register'!$A$7:$S$106,6,FALSE))</f>
        <v>0</v>
      </c>
      <c r="S266" s="1">
        <f>IF(C266=0,0,VLOOKUP($A266,'Fleet register'!$A$7:$S$106,5,FALSE))</f>
        <v>0</v>
      </c>
      <c r="T266" s="1">
        <f>IF(D266="EV",'Energy and charging'!$C$12,0)</f>
        <v>0</v>
      </c>
      <c r="U266" s="1">
        <f>IFERROR(IF(C266=0,0,IF(D266="EV",IF('Replacement plan'!$F$71="",INDEX(Products!$E$7:$E$13,MATCH('Replacement plan'!$B$71,Products!$A$7:$A$13,0)),'Replacement plan'!$F$71)/IF('Replacement plan'!$G$71="Battery",1-'Operating costs'!$B$44,1),0)),"n.a.")</f>
        <v>0</v>
      </c>
      <c r="V266" s="1">
        <f>IFERROR(IF(C266=0,0,IF(D266="EV",IF('Replacement plan'!$E$71="",INDEX(Products!$D$7:$D$13,MATCH('Replacement plan'!$B$71,Products!$A$7:$A$13,0)),'Replacement plan'!$E$71),0)),"n.a.")</f>
        <v>0</v>
      </c>
      <c r="W266" s="1">
        <f>IF(C266=0,0,IF(AND(P266="Complete",D266="EV",E266&lt;120),IF(T266=0,0,ROUNDUP(T266*(R266-'Operating costs'!$B$41)*(S266*U266+'Operating costs'!$B$48/(1-'Operating costs'!$B$44))/(V266*'Operating costs'!$B$47/(1-'Operating costs'!$B$44)-T266*'Operating costs'!$B$12*U266),0)),0))</f>
        <v>0</v>
      </c>
      <c r="X266" s="1">
        <f>IF(C266=0,0,IF(AND(P266="Complete",D266="EV",E266&lt;120),(R266-'Operating costs'!$B$41)*(S266*U266+'Operating costs'!$B$48/(1-'Operating costs'!$B$44))+W266*'Operating costs'!$B$12*U266,0))</f>
        <v>0</v>
      </c>
      <c r="Y266" s="1">
        <f>IF(AND(C266=1,D266="EV",E266&lt;120),AI266/(1-'Operating costs'!$B$44)*(1-T266),0)</f>
        <v>0</v>
      </c>
      <c r="Z266" s="1">
        <f t="shared" si="8"/>
        <v>0</v>
      </c>
      <c r="AA266" s="1">
        <f>IF(C266=0,0,IF(P266="Complete",((S266*(R266-'Operating costs'!$B$40))+ROUNDUP(S266*(R266-'Operating costs'!$B$40)*IF('Replacement plan'!$AH$71="",'Operating costs'!$B$7,'Replacement plan'!$AH$71)/('Operating costs'!$B$8-'Operating costs'!$B$9*IF('Replacement plan'!$AH$71="",'Operating costs'!$B$7,'Replacement plan'!$AH$71)),0)*'Operating costs'!$B$9)*IF('Replacement plan'!$AH$71="",'Operating costs'!$B$7,'Replacement plan'!$AH$71),"n.a."))</f>
        <v>0</v>
      </c>
      <c r="AB266" s="1">
        <f t="shared" si="9"/>
        <v>0</v>
      </c>
      <c r="AC266" s="1">
        <f>IF(AND(C266=1,D266="EV",E266&lt;120,T266&gt;0),'Operating costs'!$B$12/'Operating costs'!$B$11*60+'Operating costs'!$B$13+'Operating costs'!$B$14+V266*'Operating costs'!$B$47/(1-'Operating costs'!$B$44)/'Replacement plan'!$L$71*60,0)</f>
        <v>0</v>
      </c>
      <c r="AD266" s="1" t="str">
        <f>'Replacement plan'!$B$71</f>
        <v>ChengLong L2EV</v>
      </c>
      <c r="AE266" s="1">
        <f>IF(C266=0,0,VLOOKUP($A266,'Fleet register'!$A$7:$S$106,8,FALSE))</f>
        <v>0</v>
      </c>
      <c r="AF266" s="1" t="str">
        <f>IF('Replacement plan'!$H$71="","n.a.",'Replacement plan'!$H$71)</f>
        <v>n.a.</v>
      </c>
      <c r="AG266" s="1">
        <f>'Replacement plan'!$J$71</f>
        <v>22</v>
      </c>
      <c r="AH266" s="1">
        <f>IFERROR(IF(D266="EV",IF('Replacement plan'!$K$71="AC",IF(ISNUMBER(INDEX(Products!$G$7:$G$13,MATCH('Replacement plan'!$B$71,Products!$A$7:$A$13,0))),INDEX(Products!$G$7:$G$13,MATCH('Replacement plan'!$B$71,Products!$A$7:$A$13,0)),"n.a."),IF(ISNUMBER(INDEX(Products!$H$7:$H$13,MATCH('Replacement plan'!$B$71,Products!$A$7:$A$13,0))),INDEX(Products!$H$7:$H$13,MATCH('Replacement plan'!$B$71,Products!$A$7:$A$13,0)),"n.a.")),0),"n.a.")</f>
        <v>0</v>
      </c>
      <c r="AI266" s="1">
        <f>IF(AND(C266=1,D266="EV",E266&lt;120),(VLOOKUP($A266,'Fleet register'!$A$7:$S$106,7,FALSE)+IF(T266&gt;0,'Operating costs'!$B$12,0))*U266*(1-'Operating costs'!$B$44)+'Operating costs'!$B$49,0)</f>
        <v>0</v>
      </c>
      <c r="AJ266" s="1">
        <f>IF(D266="EV",'Energy and charging'!$C$50,0)</f>
        <v>0</v>
      </c>
      <c r="AK266" s="17">
        <f>EDATE('Operating costs'!$B$63,E266)</f>
        <v>46298</v>
      </c>
      <c r="AL266" s="1">
        <f>IFERROR(IF(D266="EV",INDEX(Products!$B$7:$B$13,MATCH('Replacement plan'!$B$71,Products!$A$7:$A$13,0)),0),"n.a.")</f>
        <v>0</v>
      </c>
      <c r="AM266" s="1" t="str">
        <f>'Replacement plan'!$K$71</f>
        <v>DC</v>
      </c>
      <c r="AN266" s="1" t="str">
        <f>'Replacement plan'!$AE$71</f>
        <v>Assumed</v>
      </c>
      <c r="AO266" s="47">
        <f>IF(AND(C266=1,D266="EV",E266&lt;120),(R266-'Operating costs'!$B$41)*S266+W266*'Operating costs'!$B$12,0)</f>
        <v>0</v>
      </c>
      <c r="AP266" s="41">
        <f>IF(AND(C266=1,D266="EV",E266&lt;120),IF('Operating costs'!$B$68="Hong Seh 200k average",AO266*IFERROR(INDEX(Products!$P$7:$P$13,MATCH(AD266,Products!$A$7:$A$13,0)),"n.a."),'Operating costs'!$B$26),0)</f>
        <v>0</v>
      </c>
      <c r="AQ266" s="40" t="str">
        <f>IF(D266="EV",'Operating costs'!$B$68,"Not applicable")</f>
        <v>Not applicable</v>
      </c>
    </row>
    <row r="267" spans="1:43" ht="24" customHeight="1">
      <c r="A267" s="1" t="str">
        <f>'Replacement plan'!A72</f>
        <v>T066</v>
      </c>
      <c r="B267" s="1">
        <v>0</v>
      </c>
      <c r="C267" s="1">
        <f>IF(COUNTIFS('Fleet register'!$A$7:$A$106,$A267)=1,VLOOKUP($A267,'Fleet register'!$A$7:$S$106,2,FALSE),0)</f>
        <v>0</v>
      </c>
      <c r="D267" s="1" t="str">
        <f>IF("Keep ICE"="EV","EV","ICE")</f>
        <v>ICE</v>
      </c>
      <c r="E267" s="1">
        <f>IF(C267=0,0,IF('Replacement plan'!$M$72="",VLOOKUP($A267,'Fleet register'!$A$7:$S$106,10,FALSE),'Replacement plan'!$M$72))</f>
        <v>0</v>
      </c>
      <c r="F267" s="16">
        <f>IF(C267=0,0,VLOOKUP($A267,'Fleet register'!$A$7:$S$106,11,FALSE))</f>
        <v>0</v>
      </c>
      <c r="G267" s="16">
        <f>IFERROR(IF(C267=0,0,IF(E267=120,0,IF(D267="ICE",'Replacement plan'!$C$72,IF('Replacement plan'!$D$72="",INDEX(Products!$I$7:$I$13,MATCH('Replacement plan'!$B$72,Products!$A$7:$A$13,0))+'Operating costs'!$B$57,'Replacement plan'!$D$72))*(1+'Operating costs'!$B$50)^(E267/12))),"n.a.")</f>
        <v>0</v>
      </c>
      <c r="H267" s="16">
        <f>IFERROR(IF(C267=0,0,IF(E267=0,F267,VLOOKUP($A267,'Fleet register'!$A$7:$S$106,12,FALSE)+VLOOKUP($A267,'Fleet register'!$A$7:$S$106,13,FALSE)*MAX(0,VLOOKUP($A267,'Fleet register'!$A$7:$S$106,10,FALSE)-E267)/VLOOKUP($A267,'Fleet register'!$A$7:$S$106,14,FALSE))),"n.a.")</f>
        <v>0</v>
      </c>
      <c r="I267" s="16">
        <f>IF(C267=0,0,IF(E267=120,0,'Replacement plan'!$N$72))</f>
        <v>0</v>
      </c>
      <c r="J267" s="16">
        <f>IF(C267=0,0,IF(P267="Complete",((S267*(R267-'Operating costs'!$B$39))+ROUNDUP(S267*(R267-'Operating costs'!$B$39)*IF('Replacement plan'!$AG$72="",'Operating costs'!$B$7,'Replacement plan'!$AG$72)/('Operating costs'!$B$8-'Operating costs'!$B$9*IF('Replacement plan'!$AG$72="",'Operating costs'!$B$7,'Replacement plan'!$AG$72)),0)*'Operating costs'!$B$9)*IF('Replacement plan'!$AG$72="",'Operating costs'!$B$7,'Replacement plan'!$AG$72)*('Energy and charging'!$B$9*'Energy and charging'!$B$7+(1-'Energy and charging'!$B$9)*'Energy and charging'!$B$8)*'Operating costs'!$B$23,"n.a."))</f>
        <v>0</v>
      </c>
      <c r="K267" s="16">
        <f>IF(C267=0,0,IF(P267="Complete",SUM('Operating costs'!$B$24,'Operating costs'!$B$27,'Operating costs'!$B$29,'Operating costs'!$B$31,'Operating costs'!$B$33,'Operating costs'!$B$34,'Operating costs'!$B$37,'Replacement plan'!$W$72)+'Operating costs'!$B$39*'Operating costs'!$B$42+ROUNDUP(S267*(R267-'Operating costs'!$B$39)*IF('Replacement plan'!$AG$72="",'Operating costs'!$B$7,'Replacement plan'!$AG$72)/('Operating costs'!$B$8-'Operating costs'!$B$9*IF('Replacement plan'!$AG$72="",'Operating costs'!$B$7,'Replacement plan'!$AG$72)),0)*('Operating costs'!$B$9/'Operating costs'!$B$11+'Operating costs'!$B$10/60)*'Operating costs'!$B$19*'Operating costs'!$B$21,"n.a."))</f>
        <v>0</v>
      </c>
      <c r="L267" s="16">
        <f>IF(C267=0,0,IF(P267="Complete",IF(D267="EV",X267*((1-T267)*'Energy and charging'!$B$10+T267*'Energy and charging'!$B$11)*'Operating costs'!$B$22,AA267*('Energy and charging'!$B$9*'Energy and charging'!$B$7+(1-'Energy and charging'!$B$9)*'Energy and charging'!$B$8)*'Operating costs'!$B$23),"n.a."))</f>
        <v>0</v>
      </c>
      <c r="M267" s="37">
        <f>IF(C267=0,0,IF(P267="Complete",IF(D267="ICE",SUM('Operating costs'!$B$25,'Operating costs'!$B$27,'Operating costs'!$B$29,'Operating costs'!$B$31,'Operating costs'!$B$33,'Operating costs'!$B$35,'Operating costs'!$B$37,'Replacement plan'!$X$72)+'Operating costs'!$B$40*'Operating costs'!$B$42+ROUNDUP(S267*(R267-'Operating costs'!$B$40)*IF('Replacement plan'!$AH$72="",'Operating costs'!$B$7,'Replacement plan'!$AH$72)/('Operating costs'!$B$8-'Operating costs'!$B$9*IF('Replacement plan'!$AH$72="",'Operating costs'!$B$7,'Replacement plan'!$AH$72)),0)*('Operating costs'!$B$9/'Operating costs'!$B$11+'Operating costs'!$B$10/60)*'Operating costs'!$B$19*'Operating costs'!$B$21,SUM(AP267,'Operating costs'!$B$28,'Operating costs'!$B$30,'Operating costs'!$B$32,'Operating costs'!$B$33,'Operating costs'!$B$36,'Operating costs'!$B$38,'Replacement plan'!$Y$72)+'Operating costs'!$B$41*'Operating costs'!$B$43+W267*'Operating costs'!$B$15+(T267*X267/'Replacement plan'!$L$72+W267*('Operating costs'!$B$12/'Operating costs'!$B$11+('Operating costs'!$B$13+'Operating costs'!$B$14)/60)+(R267-'Operating costs'!$B$41)*(IF(T267&lt;1,'Operating costs'!$B$16,0)+'Operating costs'!$B$17)/60)*'Operating costs'!$B$19*'Operating costs'!$B$20),"n.a."))</f>
        <v>0</v>
      </c>
      <c r="N267" s="16">
        <f>IF(AND(C267=1,D267="EV",E267&lt;120,E267+'Replacement plan'!$AA$72&lt;=120),'Replacement plan'!$Z$72,0)</f>
        <v>0</v>
      </c>
      <c r="O267" s="1">
        <f>E267+'Replacement plan'!$AA$72</f>
        <v>0</v>
      </c>
      <c r="P267" s="35" t="str">
        <f>IFERROR(IF(C267=0,"Excluded",IF(OR(COUNTIFS('Fleet register'!$A$7:$A$106,A267)&lt;&gt;1,COUNTIFS('Replacement plan'!$A$7:$A$106,A267)&lt;&gt;1),"Duplicate/missing ID",IF(NOT(AND(ISNUMBER(VLOOKUP($A267,'Fleet register'!$A$7:$S$106,5,FALSE)),ISNUMBER(VLOOKUP($A267,'Fleet register'!$A$7:$S$106,6,FALSE)),ISNUMBER(VLOOKUP($A267,'Fleet register'!$A$7:$S$106,10,FALSE)),ISNUMBER(VLOOKUP($A267,'Fleet register'!$A$7:$S$106,11,FALSE)),ISNUMBER(VLOOKUP($A267,'Fleet register'!$A$7:$S$106,12,FALSE)),ISNUMBER(VLOOKUP($A267,'Fleet register'!$A$7:$S$106,13,FALSE)),ISNUMBER(VLOOKUP($A267,'Fleet register'!$A$7:$S$106,14,FALSE)),VLOOKUP($A267,'Fleet register'!$A$7:$S$106,14,FALSE)&gt;0,ISNUMBER('Replacement plan'!$C$72),OR(E267=120,ISNUMBER('Replacement plan'!$N$72)),ISNUMBER(E267))),"Missing vehicle input",IF(OR(E267&lt;0,E267&gt;VLOOKUP($A267,'Fleet register'!$A$7:$S$106,10,FALSE),E267&gt;120,E267&lt;&gt;INT(E267),VLOOKUP($A267,'Fleet register'!$A$7:$S$106,6,FALSE)&lt;=0,VLOOKUP($A267,'Fleet register'!$A$7:$S$106,6,FALSE)&gt;366,VLOOKUP($A267,'Fleet register'!$A$7:$S$106,5,FALSE)&lt;0,VLOOKUP($A267,'Fleet register'!$A$7:$S$106,11,FALSE)&lt;0,I267&lt;0,'Operating costs'!$B$8&lt;='Operating costs'!$B$7*'Operating costs'!$B$9,'Operating costs'!$B$11&lt;=0,'Operating costs'!$B$39&gt;R267,'Operating costs'!$B$40&gt;R267,'Operating costs'!$B$41&gt;R267,NOT(OR("Keep ICE"="Keep ICE","Keep ICE"="New ICE","Keep ICE"="EV"))),"Invalid vehicle input",IF(AND(D267="EV",E267&lt;120,OR(NOT(ISNUMBER(U267)),NOT(ISNUMBER(V267)),V267&lt;=0,T267&lt;0,T267&gt;1,'Replacement plan'!$L$72&lt;=0,'Operating costs'!$B$44&lt;0,'Operating costs'!$B$44&gt;=1,'Operating costs'!$B$47&lt;=0,'Operating costs'!$B$47&gt;1,V267*'Operating costs'!$B$47/(1-'Operating costs'!$B$44)&lt;=T267*'Operating costs'!$B$12*U267,AND('Replacement plan'!$Z$72&gt;0,OR('Replacement plan'!$AB$72&lt;&gt;"Yes",'Operating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charging'!$B$8&gt;=0))),ISNUMBER(VLOOKUP($A267,'Fleet register'!$A$7:$S$106,15,FALSE)),ISNUMBER(VLOOKUP($A267,'Fleet register'!$A$7:$S$106,16,FALSE)),ISNUMBER('Replacement plan'!$W$72),ISNUMBER('Replacement plan'!$X$72),OR(E267=120,AND(ISNUMBER(G267),G267&gt;=0)),ISNUMBER(H267),H267&gt;=0,OR(D267&lt;&gt;"EV",E267=120,AND(ISNUMBER('Operating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average",ISNUMBER(IFERROR(INDEX(Products!$P$7:$P$13,MATCH(AD267,Products!$A$7:$A$13,0)),"")))),ISNUMBER('Operating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plan'!$Y$72),ISNUMBER('Replacement plan'!$Z$72),'Replacement plan'!$Z$72&gt;=0,ISNUMBER('Replacement plan'!$AA$72),'Replacement plan'!$AA$72&gt;=0,'Replacement plan'!$AA$72=INT('Replacement plan'!$AA$72),ISNUMBER('Replacement plan'!$L$72))),'Operating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plan'!$AG$72="",'Operating costs'!$B$7,'Replacement plan'!$AG$72)),IF('Replacement plan'!$AG$72="",'Operating costs'!$B$7,'Replacement plan'!$AG$72)&gt;=0,ISNUMBER(IF('Replacement plan'!$AH$72="",'Operating costs'!$B$7,'Replacement plan'!$AH$72)),IF('Replacement plan'!$AH$72="",'Operating costs'!$B$7,'Replacement plan'!$AH$72)&gt;=0,'Operating costs'!$B$8&gt;MAX(IF('Replacement plan'!$AG$72="",'Operating costs'!$B$7,'Replacement plan'!$AG$72),IF('Replacement plan'!$AH$72="",'Operating costs'!$B$7,'Replacement plan'!$AH$72))*'Operating costs'!$B$9),IF(AND(VLOOKUP($A267,'Fleet register'!$A$7:$S$106,10,FALSE)&gt;=0,VLOOKUP($A267,'Fleet register'!$A$7:$S$106,10,FALSE)&lt;=120,VLOOKUP($A267,'Fleet register'!$A$7:$S$106,10,FALSE)=INT(VLOOKUP($A267,'Fleet register'!$A$7:$S$106,10,FALSE)),VLOOKUP($A267,'Fleet register'!$A$7:$S$106,15,FALSE)&gt;=0,VLOOKUP($A267,'Fleet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costs'!$B$67)&gt;=0,OR(D267&lt;&gt;"EV",E267=120,AND(MIN('Operating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67" s="1" t="str">
        <f>IF(C267=0,"Excluded",IF(P267&lt;&gt;"Complete",P267,IF(OR('Replacement plan'!$AD$72&lt;120-E267,AND(D267="EV",E267&lt;120,OR('Replacement plan'!$AC$72&lt;120-E267,'Replacement plan'!$I$72="No",AND(ISNUMBER(AF267),AE267&gt;AF267),AI267&gt;V267*(1-'Operating costs'!$B$46)^MAX(0,AB267-1)*(1-'Operating costs'!$B$45),AC267&gt;'Operating costs'!$B$18,AND(T267&lt;1,OR(AG267&lt;=0,AND(ISNUMBER(AH267),AG267&gt;AH267))),'Replacement plan'!$L$72&gt;INDEX(Products!$H$7:$H$13,MATCH('Replacement plan'!$B$72,Products!$A$7:$A$13,0))))),"Fails entered limits",IF(AND(D267="EV",E267&lt;120,OR(NOT(ISNUMBER(VLOOKUP($A267,'Fleet register'!$A$7:$S$106,7,FALSE))),NOT(ISNUMBER(VLOOKUP($A267,'Fleet register'!$A$7:$S$106,8,FALSE))),NOT(ISNUMBER(AF267)),'Replacement plan'!$I$72&lt;&gt;"Yes",NOT(ISNUMBER(AH267)),'Operating costs'!$B$59&lt;&gt;"Yes",'Operating costs'!$B$58&lt;&gt;"Yes")),"Unverified","Within entered limits"))))</f>
        <v>Excluded</v>
      </c>
      <c r="R267" s="1">
        <f>IF(C267=0,0,VLOOKUP($A267,'Fleet register'!$A$7:$S$106,6,FALSE))</f>
        <v>0</v>
      </c>
      <c r="S267" s="1">
        <f>IF(C267=0,0,VLOOKUP($A267,'Fleet register'!$A$7:$S$106,5,FALSE))</f>
        <v>0</v>
      </c>
      <c r="T267" s="1">
        <f>IF(D267="EV",'Energy and charging'!$B$12,0)</f>
        <v>0</v>
      </c>
      <c r="U267" s="1">
        <f>IFERROR(IF(C267=0,0,IF(D267="EV",IF('Replacement plan'!$F$72="",INDEX(Products!$E$7:$E$13,MATCH('Replacement plan'!$B$72,Products!$A$7:$A$13,0)),'Replacement plan'!$F$72)/IF('Replacement plan'!$G$72="Battery",1-'Operating costs'!$B$44,1),0)),"n.a.")</f>
        <v>0</v>
      </c>
      <c r="V267" s="1">
        <f>IFERROR(IF(C267=0,0,IF(D267="EV",IF('Replacement plan'!$E$72="",INDEX(Products!$D$7:$D$13,MATCH('Replacement plan'!$B$72,Products!$A$7:$A$13,0)),'Replacement plan'!$E$72),0)),"n.a.")</f>
        <v>0</v>
      </c>
      <c r="W267" s="1">
        <f>IF(C267=0,0,IF(AND(P267="Complete",D267="EV",E267&lt;120),IF(T267=0,0,ROUNDUP(T267*(R267-'Operating costs'!$B$41)*(S267*U267+'Operating costs'!$B$48/(1-'Operating costs'!$B$44))/(V267*'Operating costs'!$B$47/(1-'Operating costs'!$B$44)-T267*'Operating costs'!$B$12*U267),0)),0))</f>
        <v>0</v>
      </c>
      <c r="X267" s="1">
        <f>IF(C267=0,0,IF(AND(P267="Complete",D267="EV",E267&lt;120),(R267-'Operating costs'!$B$41)*(S267*U267+'Operating costs'!$B$48/(1-'Operating costs'!$B$44))+W267*'Operating costs'!$B$12*U267,0))</f>
        <v>0</v>
      </c>
      <c r="Y267" s="1">
        <f>IF(AND(C267=1,D267="EV",E267&lt;120),AI267/(1-'Operating costs'!$B$44)*(1-T267),0)</f>
        <v>0</v>
      </c>
      <c r="Z267" s="1">
        <f t="shared" si="8"/>
        <v>0</v>
      </c>
      <c r="AA267" s="1">
        <f>IF(C267=0,0,IF(P267="Complete",((S267*(R267-'Operating costs'!$B$40))+ROUNDUP(S267*(R267-'Operating costs'!$B$40)*IF('Replacement plan'!$AH$72="",'Operating costs'!$B$7,'Replacement plan'!$AH$72)/('Operating costs'!$B$8-'Operating costs'!$B$9*IF('Replacement plan'!$AH$72="",'Operating costs'!$B$7,'Replacement plan'!$AH$72)),0)*'Operating costs'!$B$9)*IF('Replacement plan'!$AH$72="",'Operating costs'!$B$7,'Replacement plan'!$AH$72),"n.a."))</f>
        <v>0</v>
      </c>
      <c r="AB267" s="1">
        <f t="shared" si="9"/>
        <v>0</v>
      </c>
      <c r="AC267" s="1">
        <f>IF(AND(C267=1,D267="EV",E267&lt;120,T267&gt;0),'Operating costs'!$B$12/'Operating costs'!$B$11*60+'Operating costs'!$B$13+'Operating costs'!$B$14+V267*'Operating costs'!$B$47/(1-'Operating costs'!$B$44)/'Replacement plan'!$L$72*60,0)</f>
        <v>0</v>
      </c>
      <c r="AD267" s="1" t="str">
        <f>'Replacement plan'!$B$72</f>
        <v>ChengLong L2EV</v>
      </c>
      <c r="AE267" s="1">
        <f>IF(C267=0,0,VLOOKUP($A267,'Fleet register'!$A$7:$S$106,8,FALSE))</f>
        <v>0</v>
      </c>
      <c r="AF267" s="1" t="str">
        <f>IF('Replacement plan'!$H$72="","n.a.",'Replacement plan'!$H$72)</f>
        <v>n.a.</v>
      </c>
      <c r="AG267" s="1">
        <f>'Replacement plan'!$J$72</f>
        <v>22</v>
      </c>
      <c r="AH267" s="1">
        <f>IFERROR(IF(D267="EV",IF('Replacement plan'!$K$72="AC",IF(ISNUMBER(INDEX(Products!$G$7:$G$13,MATCH('Replacement plan'!$B$72,Products!$A$7:$A$13,0))),INDEX(Products!$G$7:$G$13,MATCH('Replacement plan'!$B$72,Products!$A$7:$A$13,0)),"n.a."),IF(ISNUMBER(INDEX(Products!$H$7:$H$13,MATCH('Replacement plan'!$B$72,Products!$A$7:$A$13,0))),INDEX(Products!$H$7:$H$13,MATCH('Replacement plan'!$B$72,Products!$A$7:$A$13,0)),"n.a.")),0),"n.a.")</f>
        <v>0</v>
      </c>
      <c r="AI267" s="1">
        <f>IF(AND(C267=1,D267="EV",E267&lt;120),(VLOOKUP($A267,'Fleet register'!$A$7:$S$106,7,FALSE)+IF(T267&gt;0,'Operating costs'!$B$12,0))*U267*(1-'Operating costs'!$B$44)+'Operating costs'!$B$49,0)</f>
        <v>0</v>
      </c>
      <c r="AJ267" s="1">
        <f>IF(D267="EV",'Energy and charging'!$B$50,0)</f>
        <v>0</v>
      </c>
      <c r="AK267" s="17">
        <f>EDATE('Operating costs'!$B$63,E267)</f>
        <v>46298</v>
      </c>
      <c r="AL267" s="1">
        <f>IFERROR(IF(D267="EV",INDEX(Products!$B$7:$B$13,MATCH('Replacement plan'!$B$72,Products!$A$7:$A$13,0)),0),"n.a.")</f>
        <v>0</v>
      </c>
      <c r="AM267" s="1" t="str">
        <f>'Replacement plan'!$K$72</f>
        <v>DC</v>
      </c>
      <c r="AN267" s="1" t="str">
        <f>'Replacement plan'!$AE$72</f>
        <v>Assumed</v>
      </c>
      <c r="AO267" s="47">
        <f>IF(AND(C267=1,D267="EV",E267&lt;120),(R267-'Operating costs'!$B$41)*S267+W267*'Operating costs'!$B$12,0)</f>
        <v>0</v>
      </c>
      <c r="AP267" s="41">
        <f>IF(AND(C267=1,D267="EV",E267&lt;120),IF('Operating costs'!$B$68="Hong Seh 200k average",AO267*IFERROR(INDEX(Products!$P$7:$P$13,MATCH(AD267,Products!$A$7:$A$13,0)),"n.a."),'Operating costs'!$B$26),0)</f>
        <v>0</v>
      </c>
      <c r="AQ267" s="40" t="str">
        <f>IF(D267="EV",'Operating costs'!$B$68,"Not applicable")</f>
        <v>Not applicable</v>
      </c>
    </row>
    <row r="268" spans="1:43" ht="24" customHeight="1">
      <c r="A268" s="1" t="str">
        <f>'Replacement plan'!A72</f>
        <v>T066</v>
      </c>
      <c r="B268" s="1">
        <v>1</v>
      </c>
      <c r="C268" s="1">
        <f>IF(COUNTIFS('Fleet register'!$A$7:$A$106,$A268)=1,VLOOKUP($A268,'Fleet register'!$A$7:$S$106,2,FALSE),0)</f>
        <v>0</v>
      </c>
      <c r="D268" s="1" t="str">
        <f>IF("New ICE"="EV","EV","ICE")</f>
        <v>ICE</v>
      </c>
      <c r="E268" s="1">
        <f>IF(C268=0,0,0)</f>
        <v>0</v>
      </c>
      <c r="F268" s="16">
        <f>IF(C268=0,0,VLOOKUP($A268,'Fleet register'!$A$7:$S$106,11,FALSE))</f>
        <v>0</v>
      </c>
      <c r="G268" s="16">
        <f>IFERROR(IF(C268=0,0,IF(E268=120,0,IF(D268="ICE",'Replacement plan'!$C$72,IF('Replacement plan'!$D$72="",INDEX(Products!$I$7:$I$13,MATCH('Replacement plan'!$B$72,Products!$A$7:$A$13,0))+'Operating costs'!$B$57,'Replacement plan'!$D$72))*(1+'Operating costs'!$B$50)^(E268/12))),"n.a.")</f>
        <v>0</v>
      </c>
      <c r="H268" s="16">
        <f>IFERROR(IF(C268=0,0,IF(E268=0,F268,VLOOKUP($A268,'Fleet register'!$A$7:$S$106,12,FALSE)+VLOOKUP($A268,'Fleet register'!$A$7:$S$106,13,FALSE)*MAX(0,VLOOKUP($A268,'Fleet register'!$A$7:$S$106,10,FALSE)-E268)/VLOOKUP($A268,'Fleet register'!$A$7:$S$106,14,FALSE))),"n.a.")</f>
        <v>0</v>
      </c>
      <c r="I268" s="16">
        <f>IF(C268=0,0,IF(E268=120,0,IF('Replacement plan'!$AI$72="",'Operating costs'!$B$56,'Replacement plan'!$AI$72)))</f>
        <v>0</v>
      </c>
      <c r="J268" s="16">
        <f>IF(C268=0,0,IF(P268="Complete",((S268*(R268-'Operating costs'!$B$39))+ROUNDUP(S268*(R268-'Operating costs'!$B$39)*IF('Replacement plan'!$AG$72="",'Operating costs'!$B$7,'Replacement plan'!$AG$72)/('Operating costs'!$B$8-'Operating costs'!$B$9*IF('Replacement plan'!$AG$72="",'Operating costs'!$B$7,'Replacement plan'!$AG$72)),0)*'Operating costs'!$B$9)*IF('Replacement plan'!$AG$72="",'Operating costs'!$B$7,'Replacement plan'!$AG$72)*('Energy and charging'!$B$9*'Energy and charging'!$B$7+(1-'Energy and charging'!$B$9)*'Energy and charging'!$B$8)*'Operating costs'!$B$23,"n.a."))</f>
        <v>0</v>
      </c>
      <c r="K268" s="16">
        <f>IF(C268=0,0,IF(P268="Complete",SUM('Operating costs'!$B$24,'Operating costs'!$B$27,'Operating costs'!$B$29,'Operating costs'!$B$31,'Operating costs'!$B$33,'Operating costs'!$B$34,'Operating costs'!$B$37,'Replacement plan'!$W$72)+'Operating costs'!$B$39*'Operating costs'!$B$42+ROUNDUP(S268*(R268-'Operating costs'!$B$39)*IF('Replacement plan'!$AG$72="",'Operating costs'!$B$7,'Replacement plan'!$AG$72)/('Operating costs'!$B$8-'Operating costs'!$B$9*IF('Replacement plan'!$AG$72="",'Operating costs'!$B$7,'Replacement plan'!$AG$72)),0)*('Operating costs'!$B$9/'Operating costs'!$B$11+'Operating costs'!$B$10/60)*'Operating costs'!$B$19*'Operating costs'!$B$21,"n.a."))</f>
        <v>0</v>
      </c>
      <c r="L268" s="16">
        <f>IF(C268=0,0,IF(P268="Complete",IF(D268="EV",X268*((1-T268)*'Energy and charging'!$B$10+T268*'Energy and charging'!$B$11)*'Operating costs'!$B$22,AA268*('Energy and charging'!$B$9*'Energy and charging'!$B$7+(1-'Energy and charging'!$B$9)*'Energy and charging'!$B$8)*'Operating costs'!$B$23),"n.a."))</f>
        <v>0</v>
      </c>
      <c r="M268" s="37">
        <f>IF(C268=0,0,IF(P268="Complete",IF(D268="ICE",SUM('Operating costs'!$B$25,'Operating costs'!$B$27,'Operating costs'!$B$29,'Operating costs'!$B$31,'Operating costs'!$B$33,'Operating costs'!$B$35,'Operating costs'!$B$37,'Replacement plan'!$X$72)+'Operating costs'!$B$40*'Operating costs'!$B$42+ROUNDUP(S268*(R268-'Operating costs'!$B$40)*IF('Replacement plan'!$AH$72="",'Operating costs'!$B$7,'Replacement plan'!$AH$72)/('Operating costs'!$B$8-'Operating costs'!$B$9*IF('Replacement plan'!$AH$72="",'Operating costs'!$B$7,'Replacement plan'!$AH$72)),0)*('Operating costs'!$B$9/'Operating costs'!$B$11+'Operating costs'!$B$10/60)*'Operating costs'!$B$19*'Operating costs'!$B$21,SUM(AP268,'Operating costs'!$B$28,'Operating costs'!$B$30,'Operating costs'!$B$32,'Operating costs'!$B$33,'Operating costs'!$B$36,'Operating costs'!$B$38,'Replacement plan'!$Y$72)+'Operating costs'!$B$41*'Operating costs'!$B$43+W268*'Operating costs'!$B$15+(T268*X268/'Replacement plan'!$L$72+W268*('Operating costs'!$B$12/'Operating costs'!$B$11+('Operating costs'!$B$13+'Operating costs'!$B$14)/60)+(R268-'Operating costs'!$B$41)*(IF(T268&lt;1,'Operating costs'!$B$16,0)+'Operating costs'!$B$17)/60)*'Operating costs'!$B$19*'Operating costs'!$B$20),"n.a."))</f>
        <v>0</v>
      </c>
      <c r="N268" s="16">
        <f>IF(AND(C268=1,D268="EV",E268&lt;120,E268+'Replacement plan'!$AA$72&lt;=120),'Replacement plan'!$Z$72,0)</f>
        <v>0</v>
      </c>
      <c r="O268" s="1">
        <f>E268+'Replacement plan'!$AA$72</f>
        <v>0</v>
      </c>
      <c r="P268" s="35" t="str">
        <f>IFERROR(IF(C268=0,"Excluded",IF(OR(COUNTIFS('Fleet register'!$A$7:$A$106,A268)&lt;&gt;1,COUNTIFS('Replacement plan'!$A$7:$A$106,A268)&lt;&gt;1),"Duplicate/missing ID",IF(NOT(AND(ISNUMBER(VLOOKUP($A268,'Fleet register'!$A$7:$S$106,5,FALSE)),ISNUMBER(VLOOKUP($A268,'Fleet register'!$A$7:$S$106,6,FALSE)),ISNUMBER(VLOOKUP($A268,'Fleet register'!$A$7:$S$106,10,FALSE)),ISNUMBER(VLOOKUP($A268,'Fleet register'!$A$7:$S$106,11,FALSE)),ISNUMBER(VLOOKUP($A268,'Fleet register'!$A$7:$S$106,12,FALSE)),ISNUMBER(VLOOKUP($A268,'Fleet register'!$A$7:$S$106,13,FALSE)),ISNUMBER(VLOOKUP($A268,'Fleet register'!$A$7:$S$106,14,FALSE)),VLOOKUP($A268,'Fleet register'!$A$7:$S$106,14,FALSE)&gt;0,ISNUMBER('Replacement plan'!$C$72),OR(E268=120,OR(ISNUMBER('Replacement plan'!$AI$72),AND('Replacement plan'!$AI$72="",ISNUMBER('Operating costs'!$B$56)))),ISNUMBER(E268))),"Missing vehicle input",IF(OR(E268&lt;0,E268&gt;VLOOKUP($A268,'Fleet register'!$A$7:$S$106,10,FALSE),E268&gt;120,E268&lt;&gt;INT(E268),VLOOKUP($A268,'Fleet register'!$A$7:$S$106,6,FALSE)&lt;=0,VLOOKUP($A268,'Fleet register'!$A$7:$S$106,6,FALSE)&gt;366,VLOOKUP($A268,'Fleet register'!$A$7:$S$106,5,FALSE)&lt;0,VLOOKUP($A268,'Fleet register'!$A$7:$S$106,11,FALSE)&lt;0,I268&lt;0,'Operating costs'!$B$8&lt;='Operating costs'!$B$7*'Operating costs'!$B$9,'Operating costs'!$B$11&lt;=0,'Operating costs'!$B$39&gt;R268,'Operating costs'!$B$40&gt;R268,'Operating costs'!$B$41&gt;R268,NOT(OR("New ICE"="Keep ICE","New ICE"="New ICE","New ICE"="EV"))),"Invalid vehicle input",IF(AND(D268="EV",E268&lt;120,OR(NOT(ISNUMBER(U268)),NOT(ISNUMBER(V268)),V268&lt;=0,T268&lt;0,T268&gt;1,'Replacement plan'!$L$72&lt;=0,'Operating costs'!$B$44&lt;0,'Operating costs'!$B$44&gt;=1,'Operating costs'!$B$47&lt;=0,'Operating costs'!$B$47&gt;1,V268*'Operating costs'!$B$47/(1-'Operating costs'!$B$44)&lt;=T268*'Operating costs'!$B$12*U268,AND('Replacement plan'!$Z$72&gt;0,OR('Replacement plan'!$AB$72&lt;&gt;"Yes",'Operating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charging'!$B$8&gt;=0))),ISNUMBER(VLOOKUP($A268,'Fleet register'!$A$7:$S$106,15,FALSE)),ISNUMBER(VLOOKUP($A268,'Fleet register'!$A$7:$S$106,16,FALSE)),ISNUMBER('Replacement plan'!$W$72),ISNUMBER('Replacement plan'!$X$72),OR(E268=120,AND(ISNUMBER(G268),G268&gt;=0)),ISNUMBER(H268),H268&gt;=0,OR(D268&lt;&gt;"EV",E268=120,AND(ISNUMBER('Operating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average",ISNUMBER(IFERROR(INDEX(Products!$P$7:$P$13,MATCH(AD268,Products!$A$7:$A$13,0)),"")))),ISNUMBER('Operating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plan'!$Y$72),ISNUMBER('Replacement plan'!$Z$72),'Replacement plan'!$Z$72&gt;=0,ISNUMBER('Replacement plan'!$AA$72),'Replacement plan'!$AA$72&gt;=0,'Replacement plan'!$AA$72=INT('Replacement plan'!$AA$72),ISNUMBER('Replacement plan'!$L$72))),'Operating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plan'!$AG$72="",'Operating costs'!$B$7,'Replacement plan'!$AG$72)),IF('Replacement plan'!$AG$72="",'Operating costs'!$B$7,'Replacement plan'!$AG$72)&gt;=0,ISNUMBER(IF('Replacement plan'!$AH$72="",'Operating costs'!$B$7,'Replacement plan'!$AH$72)),IF('Replacement plan'!$AH$72="",'Operating costs'!$B$7,'Replacement plan'!$AH$72)&gt;=0,'Operating costs'!$B$8&gt;MAX(IF('Replacement plan'!$AG$72="",'Operating costs'!$B$7,'Replacement plan'!$AG$72),IF('Replacement plan'!$AH$72="",'Operating costs'!$B$7,'Replacement plan'!$AH$72))*'Operating costs'!$B$9),IF(AND(VLOOKUP($A268,'Fleet register'!$A$7:$S$106,10,FALSE)&gt;=0,VLOOKUP($A268,'Fleet register'!$A$7:$S$106,10,FALSE)&lt;=120,VLOOKUP($A268,'Fleet register'!$A$7:$S$106,10,FALSE)=INT(VLOOKUP($A268,'Fleet register'!$A$7:$S$106,10,FALSE)),VLOOKUP($A268,'Fleet register'!$A$7:$S$106,15,FALSE)&gt;=0,VLOOKUP($A268,'Fleet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costs'!$B$67)&gt;=0,OR(D268&lt;&gt;"EV",E268=120,AND(MIN('Operating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68" s="1" t="str">
        <f>IF(C268=0,"Excluded",IF(P268&lt;&gt;"Complete",P268,IF(OR('Replacement plan'!$AD$72&lt;120-E268,AND(D268="EV",E268&lt;120,OR('Replacement plan'!$AC$72&lt;120-E268,'Replacement plan'!$I$72="No",AND(ISNUMBER(AF268),AE268&gt;AF268),AI268&gt;V268*(1-'Operating costs'!$B$46)^MAX(0,AB268-1)*(1-'Operating costs'!$B$45),AC268&gt;'Operating costs'!$B$18,AND(T268&lt;1,OR(AG268&lt;=0,AND(ISNUMBER(AH268),AG268&gt;AH268))),'Replacement plan'!$L$72&gt;INDEX(Products!$H$7:$H$13,MATCH('Replacement plan'!$B$72,Products!$A$7:$A$13,0))))),"Fails entered limits",IF(AND(D268="EV",E268&lt;120,OR(NOT(ISNUMBER(VLOOKUP($A268,'Fleet register'!$A$7:$S$106,7,FALSE))),NOT(ISNUMBER(VLOOKUP($A268,'Fleet register'!$A$7:$S$106,8,FALSE))),NOT(ISNUMBER(AF268)),'Replacement plan'!$I$72&lt;&gt;"Yes",NOT(ISNUMBER(AH268)),'Operating costs'!$B$59&lt;&gt;"Yes",'Operating costs'!$B$58&lt;&gt;"Yes")),"Unverified","Within entered limits"))))</f>
        <v>Excluded</v>
      </c>
      <c r="R268" s="1">
        <f>IF(C268=0,0,VLOOKUP($A268,'Fleet register'!$A$7:$S$106,6,FALSE))</f>
        <v>0</v>
      </c>
      <c r="S268" s="1">
        <f>IF(C268=0,0,VLOOKUP($A268,'Fleet register'!$A$7:$S$106,5,FALSE))</f>
        <v>0</v>
      </c>
      <c r="T268" s="1">
        <f>IF(D268="EV",'Energy and charging'!$B$12,0)</f>
        <v>0</v>
      </c>
      <c r="U268" s="1">
        <f>IFERROR(IF(C268=0,0,IF(D268="EV",IF('Replacement plan'!$F$72="",INDEX(Products!$E$7:$E$13,MATCH('Replacement plan'!$B$72,Products!$A$7:$A$13,0)),'Replacement plan'!$F$72)/IF('Replacement plan'!$G$72="Battery",1-'Operating costs'!$B$44,1),0)),"n.a.")</f>
        <v>0</v>
      </c>
      <c r="V268" s="1">
        <f>IFERROR(IF(C268=0,0,IF(D268="EV",IF('Replacement plan'!$E$72="",INDEX(Products!$D$7:$D$13,MATCH('Replacement plan'!$B$72,Products!$A$7:$A$13,0)),'Replacement plan'!$E$72),0)),"n.a.")</f>
        <v>0</v>
      </c>
      <c r="W268" s="1">
        <f>IF(C268=0,0,IF(AND(P268="Complete",D268="EV",E268&lt;120),IF(T268=0,0,ROUNDUP(T268*(R268-'Operating costs'!$B$41)*(S268*U268+'Operating costs'!$B$48/(1-'Operating costs'!$B$44))/(V268*'Operating costs'!$B$47/(1-'Operating costs'!$B$44)-T268*'Operating costs'!$B$12*U268),0)),0))</f>
        <v>0</v>
      </c>
      <c r="X268" s="1">
        <f>IF(C268=0,0,IF(AND(P268="Complete",D268="EV",E268&lt;120),(R268-'Operating costs'!$B$41)*(S268*U268+'Operating costs'!$B$48/(1-'Operating costs'!$B$44))+W268*'Operating costs'!$B$12*U268,0))</f>
        <v>0</v>
      </c>
      <c r="Y268" s="1">
        <f>IF(AND(C268=1,D268="EV",E268&lt;120),AI268/(1-'Operating costs'!$B$44)*(1-T268),0)</f>
        <v>0</v>
      </c>
      <c r="Z268" s="1">
        <f t="shared" si="8"/>
        <v>0</v>
      </c>
      <c r="AA268" s="1">
        <f>IF(C268=0,0,IF(P268="Complete",((S268*(R268-'Operating costs'!$B$40))+ROUNDUP(S268*(R268-'Operating costs'!$B$40)*IF('Replacement plan'!$AH$72="",'Operating costs'!$B$7,'Replacement plan'!$AH$72)/('Operating costs'!$B$8-'Operating costs'!$B$9*IF('Replacement plan'!$AH$72="",'Operating costs'!$B$7,'Replacement plan'!$AH$72)),0)*'Operating costs'!$B$9)*IF('Replacement plan'!$AH$72="",'Operating costs'!$B$7,'Replacement plan'!$AH$72),"n.a."))</f>
        <v>0</v>
      </c>
      <c r="AB268" s="1">
        <f t="shared" si="9"/>
        <v>0</v>
      </c>
      <c r="AC268" s="1">
        <f>IF(AND(C268=1,D268="EV",E268&lt;120,T268&gt;0),'Operating costs'!$B$12/'Operating costs'!$B$11*60+'Operating costs'!$B$13+'Operating costs'!$B$14+V268*'Operating costs'!$B$47/(1-'Operating costs'!$B$44)/'Replacement plan'!$L$72*60,0)</f>
        <v>0</v>
      </c>
      <c r="AD268" s="1" t="str">
        <f>'Replacement plan'!$B$72</f>
        <v>ChengLong L2EV</v>
      </c>
      <c r="AE268" s="1">
        <f>IF(C268=0,0,VLOOKUP($A268,'Fleet register'!$A$7:$S$106,8,FALSE))</f>
        <v>0</v>
      </c>
      <c r="AF268" s="1" t="str">
        <f>IF('Replacement plan'!$H$72="","n.a.",'Replacement plan'!$H$72)</f>
        <v>n.a.</v>
      </c>
      <c r="AG268" s="1">
        <f>'Replacement plan'!$J$72</f>
        <v>22</v>
      </c>
      <c r="AH268" s="1">
        <f>IFERROR(IF(D268="EV",IF('Replacement plan'!$K$72="AC",IF(ISNUMBER(INDEX(Products!$G$7:$G$13,MATCH('Replacement plan'!$B$72,Products!$A$7:$A$13,0))),INDEX(Products!$G$7:$G$13,MATCH('Replacement plan'!$B$72,Products!$A$7:$A$13,0)),"n.a."),IF(ISNUMBER(INDEX(Products!$H$7:$H$13,MATCH('Replacement plan'!$B$72,Products!$A$7:$A$13,0))),INDEX(Products!$H$7:$H$13,MATCH('Replacement plan'!$B$72,Products!$A$7:$A$13,0)),"n.a.")),0),"n.a.")</f>
        <v>0</v>
      </c>
      <c r="AI268" s="1">
        <f>IF(AND(C268=1,D268="EV",E268&lt;120),(VLOOKUP($A268,'Fleet register'!$A$7:$S$106,7,FALSE)+IF(T268&gt;0,'Operating costs'!$B$12,0))*U268*(1-'Operating costs'!$B$44)+'Operating costs'!$B$49,0)</f>
        <v>0</v>
      </c>
      <c r="AJ268" s="1">
        <f>IF(D268="EV",'Energy and charging'!$B$50,0)</f>
        <v>0</v>
      </c>
      <c r="AK268" s="17">
        <f>EDATE('Operating costs'!$B$63,E268)</f>
        <v>46298</v>
      </c>
      <c r="AL268" s="1">
        <f>IFERROR(IF(D268="EV",INDEX(Products!$B$7:$B$13,MATCH('Replacement plan'!$B$72,Products!$A$7:$A$13,0)),0),"n.a.")</f>
        <v>0</v>
      </c>
      <c r="AM268" s="1" t="str">
        <f>'Replacement plan'!$K$72</f>
        <v>DC</v>
      </c>
      <c r="AN268" s="1" t="str">
        <f>'Replacement plan'!$AE$72</f>
        <v>Assumed</v>
      </c>
      <c r="AO268" s="47">
        <f>IF(AND(C268=1,D268="EV",E268&lt;120),(R268-'Operating costs'!$B$41)*S268+W268*'Operating costs'!$B$12,0)</f>
        <v>0</v>
      </c>
      <c r="AP268" s="41">
        <f>IF(AND(C268=1,D268="EV",E268&lt;120),IF('Operating costs'!$B$68="Hong Seh 200k average",AO268*IFERROR(INDEX(Products!$P$7:$P$13,MATCH(AD268,Products!$A$7:$A$13,0)),"n.a."),'Operating costs'!$B$26),0)</f>
        <v>0</v>
      </c>
      <c r="AQ268" s="40" t="str">
        <f>IF(D268="EV",'Operating costs'!$B$68,"Not applicable")</f>
        <v>Not applicable</v>
      </c>
    </row>
    <row r="269" spans="1:43" ht="24" customHeight="1">
      <c r="A269" s="1" t="str">
        <f>'Replacement plan'!A72</f>
        <v>T066</v>
      </c>
      <c r="B269" s="1">
        <v>2</v>
      </c>
      <c r="C269" s="1">
        <f>IF(COUNTIFS('Fleet register'!$A$7:$A$106,$A269)=1,VLOOKUP($A269,'Fleet register'!$A$7:$S$106,2,FALSE),0)</f>
        <v>0</v>
      </c>
      <c r="D269" s="1" t="str">
        <f>IF('Replacement plan'!$O$72="EV","EV","ICE")</f>
        <v>ICE</v>
      </c>
      <c r="E269" s="1">
        <f>IF(C269=0,0,IF('Replacement plan'!$P$72="",IF('Replacement plan'!$O$72="Keep ICE",IF('Replacement plan'!$M$72="",VLOOKUP($A269,'Fleet register'!$A$7:$S$106,10,FALSE),'Replacement plan'!$M$72),0),'Replacement plan'!$P$72))</f>
        <v>0</v>
      </c>
      <c r="F269" s="16">
        <f>IF(C269=0,0,VLOOKUP($A269,'Fleet register'!$A$7:$S$106,11,FALSE))</f>
        <v>0</v>
      </c>
      <c r="G269" s="16">
        <f>IFERROR(IF(C269=0,0,IF(E269=120,0,IF(D269="ICE",'Replacement plan'!$C$72,IF('Replacement plan'!$D$72="",INDEX(Products!$I$7:$I$13,MATCH('Replacement plan'!$B$72,Products!$A$7:$A$13,0))+'Operating costs'!$B$57,'Replacement plan'!$D$72))*(1+'Operating costs'!$B$50)^(E269/12))),"n.a.")</f>
        <v>0</v>
      </c>
      <c r="H269" s="16">
        <f>IFERROR(IF(C269=0,0,IF('Replacement plan'!$U$72&lt;&gt;"",'Replacement plan'!$U$72,IF(E269=0,F269,VLOOKUP($A269,'Fleet register'!$A$7:$S$106,12,FALSE)+VLOOKUP($A269,'Fleet register'!$A$7:$S$106,13,FALSE)*MAX(0,VLOOKUP($A269,'Fleet register'!$A$7:$S$106,10,FALSE)-E269)/VLOOKUP($A269,'Fleet register'!$A$7:$S$106,14,FALSE)))),"n.a.")</f>
        <v>0</v>
      </c>
      <c r="I269" s="16">
        <f>IF(C269=0,0,IF(E269=120,0,'Replacement plan'!$Q$72))</f>
        <v>0</v>
      </c>
      <c r="J269" s="16">
        <f>IF(C269=0,0,IF(P269="Complete",((S269*(R269-'Operating costs'!$B$39))+ROUNDUP(S269*(R269-'Operating costs'!$B$39)*IF('Replacement plan'!$AG$72="",'Operating costs'!$B$7,'Replacement plan'!$AG$72)/('Operating costs'!$B$8-'Operating costs'!$B$9*IF('Replacement plan'!$AG$72="",'Operating costs'!$B$7,'Replacement plan'!$AG$72)),0)*'Operating costs'!$B$9)*IF('Replacement plan'!$AG$72="",'Operating costs'!$B$7,'Replacement plan'!$AG$72)*('Energy and charging'!$B$9*'Energy and charging'!$B$7+(1-'Energy and charging'!$B$9)*'Energy and charging'!$B$8)*'Operating costs'!$B$23,"n.a."))</f>
        <v>0</v>
      </c>
      <c r="K269" s="16">
        <f>IF(C269=0,0,IF(P269="Complete",SUM('Operating costs'!$B$24,'Operating costs'!$B$27,'Operating costs'!$B$29,'Operating costs'!$B$31,'Operating costs'!$B$33,'Operating costs'!$B$34,'Operating costs'!$B$37,'Replacement plan'!$W$72)+'Operating costs'!$B$39*'Operating costs'!$B$42+ROUNDUP(S269*(R269-'Operating costs'!$B$39)*IF('Replacement plan'!$AG$72="",'Operating costs'!$B$7,'Replacement plan'!$AG$72)/('Operating costs'!$B$8-'Operating costs'!$B$9*IF('Replacement plan'!$AG$72="",'Operating costs'!$B$7,'Replacement plan'!$AG$72)),0)*('Operating costs'!$B$9/'Operating costs'!$B$11+'Operating costs'!$B$10/60)*'Operating costs'!$B$19*'Operating costs'!$B$21,"n.a."))</f>
        <v>0</v>
      </c>
      <c r="L269" s="16">
        <f>IF(C269=0,0,IF(P269="Complete",IF(D269="EV",X269*((1-T269)*'Energy and charging'!$B$10+T269*'Energy and charging'!$B$11)*'Operating costs'!$B$22,AA269*('Energy and charging'!$B$9*'Energy and charging'!$B$7+(1-'Energy and charging'!$B$9)*'Energy and charging'!$B$8)*'Operating costs'!$B$23),"n.a."))</f>
        <v>0</v>
      </c>
      <c r="M269" s="37">
        <f>IF(C269=0,0,IF(P269="Complete",IF(D269="ICE",SUM('Operating costs'!$B$25,'Operating costs'!$B$27,'Operating costs'!$B$29,'Operating costs'!$B$31,'Operating costs'!$B$33,'Operating costs'!$B$35,'Operating costs'!$B$37,'Replacement plan'!$X$72)+'Operating costs'!$B$40*'Operating costs'!$B$42+ROUNDUP(S269*(R269-'Operating costs'!$B$40)*IF('Replacement plan'!$AH$72="",'Operating costs'!$B$7,'Replacement plan'!$AH$72)/('Operating costs'!$B$8-'Operating costs'!$B$9*IF('Replacement plan'!$AH$72="",'Operating costs'!$B$7,'Replacement plan'!$AH$72)),0)*('Operating costs'!$B$9/'Operating costs'!$B$11+'Operating costs'!$B$10/60)*'Operating costs'!$B$19*'Operating costs'!$B$21,SUM(AP269,'Operating costs'!$B$28,'Operating costs'!$B$30,'Operating costs'!$B$32,'Operating costs'!$B$33,'Operating costs'!$B$36,'Operating costs'!$B$38,'Replacement plan'!$Y$72)+'Operating costs'!$B$41*'Operating costs'!$B$43+W269*'Operating costs'!$B$15+(T269*X269/'Replacement plan'!$L$72+W269*('Operating costs'!$B$12/'Operating costs'!$B$11+('Operating costs'!$B$13+'Operating costs'!$B$14)/60)+(R269-'Operating costs'!$B$41)*(IF(T269&lt;1,'Operating costs'!$B$16,0)+'Operating costs'!$B$17)/60)*'Operating costs'!$B$19*'Operating costs'!$B$20),"n.a."))</f>
        <v>0</v>
      </c>
      <c r="N269" s="16">
        <f>IF(AND(C269=1,D269="EV",E269&lt;120,E269+'Replacement plan'!$AA$72&lt;=120),'Replacement plan'!$Z$72,0)</f>
        <v>0</v>
      </c>
      <c r="O269" s="1">
        <f>E269+'Replacement plan'!$AA$72</f>
        <v>0</v>
      </c>
      <c r="P269" s="35" t="str">
        <f>IFERROR(IF(C269=0,"Excluded",IF(OR(COUNTIFS('Fleet register'!$A$7:$A$106,A269)&lt;&gt;1,COUNTIFS('Replacement plan'!$A$7:$A$106,A269)&lt;&gt;1),"Duplicate/missing ID",IF(NOT(AND(ISNUMBER(VLOOKUP($A269,'Fleet register'!$A$7:$S$106,5,FALSE)),ISNUMBER(VLOOKUP($A269,'Fleet register'!$A$7:$S$106,6,FALSE)),ISNUMBER(VLOOKUP($A269,'Fleet register'!$A$7:$S$106,10,FALSE)),ISNUMBER(VLOOKUP($A269,'Fleet register'!$A$7:$S$106,11,FALSE)),ISNUMBER(VLOOKUP($A269,'Fleet register'!$A$7:$S$106,12,FALSE)),ISNUMBER(VLOOKUP($A269,'Fleet register'!$A$7:$S$106,13,FALSE)),ISNUMBER(VLOOKUP($A269,'Fleet register'!$A$7:$S$106,14,FALSE)),VLOOKUP($A269,'Fleet register'!$A$7:$S$106,14,FALSE)&gt;0,ISNUMBER('Replacement plan'!$C$72),OR(E269=120,ISNUMBER('Replacement plan'!$Q$72)),ISNUMBER(E269))),"Missing vehicle input",IF(OR(E269&lt;0,E269&gt;VLOOKUP($A269,'Fleet register'!$A$7:$S$106,10,FALSE),E269&gt;120,E269&lt;&gt;INT(E269),VLOOKUP($A269,'Fleet register'!$A$7:$S$106,6,FALSE)&lt;=0,VLOOKUP($A269,'Fleet register'!$A$7:$S$106,6,FALSE)&gt;366,VLOOKUP($A269,'Fleet register'!$A$7:$S$106,5,FALSE)&lt;0,VLOOKUP($A269,'Fleet register'!$A$7:$S$106,11,FALSE)&lt;0,I269&lt;0,'Operating costs'!$B$8&lt;='Operating costs'!$B$7*'Operating costs'!$B$9,'Operating costs'!$B$11&lt;=0,'Operating costs'!$B$39&gt;R269,'Operating costs'!$B$40&gt;R269,'Operating costs'!$B$41&gt;R269,NOT(OR('Replacement plan'!$O$72="Keep ICE",'Replacement plan'!$O$72="New ICE",'Replacement plan'!$O$72="EV"))),"Invalid vehicle input",IF(AND(D269="EV",E269&lt;120,OR(NOT(ISNUMBER(U269)),NOT(ISNUMBER(V269)),V269&lt;=0,T269&lt;0,T269&gt;1,'Replacement plan'!$L$72&lt;=0,'Operating costs'!$B$44&lt;0,'Operating costs'!$B$44&gt;=1,'Operating costs'!$B$47&lt;=0,'Operating costs'!$B$47&gt;1,V269*'Operating costs'!$B$47/(1-'Operating costs'!$B$44)&lt;=T269*'Operating costs'!$B$12*U269,AND('Replacement plan'!$Z$72&gt;0,OR('Replacement plan'!$AB$72&lt;&gt;"Yes",'Operating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charging'!$B$8&gt;=0))),ISNUMBER(VLOOKUP($A269,'Fleet register'!$A$7:$S$106,15,FALSE)),ISNUMBER(VLOOKUP($A269,'Fleet register'!$A$7:$S$106,16,FALSE)),ISNUMBER('Replacement plan'!$W$72),ISNUMBER('Replacement plan'!$X$72),OR(E269=120,AND(ISNUMBER(G269),G269&gt;=0)),ISNUMBER(H269),H269&gt;=0,OR(D269&lt;&gt;"EV",E269=120,AND(ISNUMBER('Operating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average",ISNUMBER(IFERROR(INDEX(Products!$P$7:$P$13,MATCH(AD269,Products!$A$7:$A$13,0)),"")))),ISNUMBER('Operating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plan'!$Y$72),ISNUMBER('Replacement plan'!$Z$72),'Replacement plan'!$Z$72&gt;=0,ISNUMBER('Replacement plan'!$AA$72),'Replacement plan'!$AA$72&gt;=0,'Replacement plan'!$AA$72=INT('Replacement plan'!$AA$72),ISNUMBER('Replacement plan'!$L$72))),'Operating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plan'!$AG$72="",'Operating costs'!$B$7,'Replacement plan'!$AG$72)),IF('Replacement plan'!$AG$72="",'Operating costs'!$B$7,'Replacement plan'!$AG$72)&gt;=0,ISNUMBER(IF('Replacement plan'!$AH$72="",'Operating costs'!$B$7,'Replacement plan'!$AH$72)),IF('Replacement plan'!$AH$72="",'Operating costs'!$B$7,'Replacement plan'!$AH$72)&gt;=0,'Operating costs'!$B$8&gt;MAX(IF('Replacement plan'!$AG$72="",'Operating costs'!$B$7,'Replacement plan'!$AG$72),IF('Replacement plan'!$AH$72="",'Operating costs'!$B$7,'Replacement plan'!$AH$72))*'Operating costs'!$B$9),IF(AND(VLOOKUP($A269,'Fleet register'!$A$7:$S$106,10,FALSE)&gt;=0,VLOOKUP($A269,'Fleet register'!$A$7:$S$106,10,FALSE)&lt;=120,VLOOKUP($A269,'Fleet register'!$A$7:$S$106,10,FALSE)=INT(VLOOKUP($A269,'Fleet register'!$A$7:$S$106,10,FALSE)),VLOOKUP($A269,'Fleet register'!$A$7:$S$106,15,FALSE)&gt;=0,VLOOKUP($A269,'Fleet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costs'!$B$67)&gt;=0,OR(D269&lt;&gt;"EV",E269=120,AND(MIN('Operating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69" s="1" t="str">
        <f>IF(C269=0,"Excluded",IF(P269&lt;&gt;"Complete",P269,IF(OR('Replacement plan'!$AD$72&lt;120-E269,AND(D269="EV",E269&lt;120,OR('Replacement plan'!$AC$72&lt;120-E269,'Replacement plan'!$I$72="No",AND(ISNUMBER(AF269),AE269&gt;AF269),AI269&gt;V269*(1-'Operating costs'!$B$46)^MAX(0,AB269-1)*(1-'Operating costs'!$B$45),AC269&gt;'Operating costs'!$B$18,AND(T269&lt;1,OR(AG269&lt;=0,AND(ISNUMBER(AH269),AG269&gt;AH269))),'Replacement plan'!$L$72&gt;INDEX(Products!$H$7:$H$13,MATCH('Replacement plan'!$B$72,Products!$A$7:$A$13,0))))),"Fails entered limits",IF(AND(D269="EV",E269&lt;120,OR(NOT(ISNUMBER(VLOOKUP($A269,'Fleet register'!$A$7:$S$106,7,FALSE))),NOT(ISNUMBER(VLOOKUP($A269,'Fleet register'!$A$7:$S$106,8,FALSE))),NOT(ISNUMBER(AF269)),'Replacement plan'!$I$72&lt;&gt;"Yes",NOT(ISNUMBER(AH269)),'Operating costs'!$B$59&lt;&gt;"Yes",'Operating costs'!$B$58&lt;&gt;"Yes")),"Unverified","Within entered limits"))))</f>
        <v>Excluded</v>
      </c>
      <c r="R269" s="1">
        <f>IF(C269=0,0,VLOOKUP($A269,'Fleet register'!$A$7:$S$106,6,FALSE))</f>
        <v>0</v>
      </c>
      <c r="S269" s="1">
        <f>IF(C269=0,0,VLOOKUP($A269,'Fleet register'!$A$7:$S$106,5,FALSE))</f>
        <v>0</v>
      </c>
      <c r="T269" s="1">
        <f>IF(D269="EV",'Energy and charging'!$B$12,0)</f>
        <v>0</v>
      </c>
      <c r="U269" s="1">
        <f>IFERROR(IF(C269=0,0,IF(D269="EV",IF('Replacement plan'!$F$72="",INDEX(Products!$E$7:$E$13,MATCH('Replacement plan'!$B$72,Products!$A$7:$A$13,0)),'Replacement plan'!$F$72)/IF('Replacement plan'!$G$72="Battery",1-'Operating costs'!$B$44,1),0)),"n.a.")</f>
        <v>0</v>
      </c>
      <c r="V269" s="1">
        <f>IFERROR(IF(C269=0,0,IF(D269="EV",IF('Replacement plan'!$E$72="",INDEX(Products!$D$7:$D$13,MATCH('Replacement plan'!$B$72,Products!$A$7:$A$13,0)),'Replacement plan'!$E$72),0)),"n.a.")</f>
        <v>0</v>
      </c>
      <c r="W269" s="1">
        <f>IF(C269=0,0,IF(AND(P269="Complete",D269="EV",E269&lt;120),IF(T269=0,0,ROUNDUP(T269*(R269-'Operating costs'!$B$41)*(S269*U269+'Operating costs'!$B$48/(1-'Operating costs'!$B$44))/(V269*'Operating costs'!$B$47/(1-'Operating costs'!$B$44)-T269*'Operating costs'!$B$12*U269),0)),0))</f>
        <v>0</v>
      </c>
      <c r="X269" s="1">
        <f>IF(C269=0,0,IF(AND(P269="Complete",D269="EV",E269&lt;120),(R269-'Operating costs'!$B$41)*(S269*U269+'Operating costs'!$B$48/(1-'Operating costs'!$B$44))+W269*'Operating costs'!$B$12*U269,0))</f>
        <v>0</v>
      </c>
      <c r="Y269" s="1">
        <f>IF(AND(C269=1,D269="EV",E269&lt;120),AI269/(1-'Operating costs'!$B$44)*(1-T269),0)</f>
        <v>0</v>
      </c>
      <c r="Z269" s="1">
        <f t="shared" si="8"/>
        <v>0</v>
      </c>
      <c r="AA269" s="1">
        <f>IF(C269=0,0,IF(P269="Complete",((S269*(R269-'Operating costs'!$B$40))+ROUNDUP(S269*(R269-'Operating costs'!$B$40)*IF('Replacement plan'!$AH$72="",'Operating costs'!$B$7,'Replacement plan'!$AH$72)/('Operating costs'!$B$8-'Operating costs'!$B$9*IF('Replacement plan'!$AH$72="",'Operating costs'!$B$7,'Replacement plan'!$AH$72)),0)*'Operating costs'!$B$9)*IF('Replacement plan'!$AH$72="",'Operating costs'!$B$7,'Replacement plan'!$AH$72),"n.a."))</f>
        <v>0</v>
      </c>
      <c r="AB269" s="1">
        <f t="shared" si="9"/>
        <v>0</v>
      </c>
      <c r="AC269" s="1">
        <f>IF(AND(C269=1,D269="EV",E269&lt;120,T269&gt;0),'Operating costs'!$B$12/'Operating costs'!$B$11*60+'Operating costs'!$B$13+'Operating costs'!$B$14+V269*'Operating costs'!$B$47/(1-'Operating costs'!$B$44)/'Replacement plan'!$L$72*60,0)</f>
        <v>0</v>
      </c>
      <c r="AD269" s="1" t="str">
        <f>'Replacement plan'!$B$72</f>
        <v>ChengLong L2EV</v>
      </c>
      <c r="AE269" s="1">
        <f>IF(C269=0,0,VLOOKUP($A269,'Fleet register'!$A$7:$S$106,8,FALSE))</f>
        <v>0</v>
      </c>
      <c r="AF269" s="1" t="str">
        <f>IF('Replacement plan'!$H$72="","n.a.",'Replacement plan'!$H$72)</f>
        <v>n.a.</v>
      </c>
      <c r="AG269" s="1">
        <f>'Replacement plan'!$J$72</f>
        <v>22</v>
      </c>
      <c r="AH269" s="1">
        <f>IFERROR(IF(D269="EV",IF('Replacement plan'!$K$72="AC",IF(ISNUMBER(INDEX(Products!$G$7:$G$13,MATCH('Replacement plan'!$B$72,Products!$A$7:$A$13,0))),INDEX(Products!$G$7:$G$13,MATCH('Replacement plan'!$B$72,Products!$A$7:$A$13,0)),"n.a."),IF(ISNUMBER(INDEX(Products!$H$7:$H$13,MATCH('Replacement plan'!$B$72,Products!$A$7:$A$13,0))),INDEX(Products!$H$7:$H$13,MATCH('Replacement plan'!$B$72,Products!$A$7:$A$13,0)),"n.a.")),0),"n.a.")</f>
        <v>0</v>
      </c>
      <c r="AI269" s="1">
        <f>IF(AND(C269=1,D269="EV",E269&lt;120),(VLOOKUP($A269,'Fleet register'!$A$7:$S$106,7,FALSE)+IF(T269&gt;0,'Operating costs'!$B$12,0))*U269*(1-'Operating costs'!$B$44)+'Operating costs'!$B$49,0)</f>
        <v>0</v>
      </c>
      <c r="AJ269" s="1">
        <f>IF(D269="EV",'Energy and charging'!$B$50,0)</f>
        <v>0</v>
      </c>
      <c r="AK269" s="17">
        <f>EDATE('Operating costs'!$B$63,E269)</f>
        <v>46298</v>
      </c>
      <c r="AL269" s="1">
        <f>IFERROR(IF(D269="EV",INDEX(Products!$B$7:$B$13,MATCH('Replacement plan'!$B$72,Products!$A$7:$A$13,0)),0),"n.a.")</f>
        <v>0</v>
      </c>
      <c r="AM269" s="1" t="str">
        <f>'Replacement plan'!$K$72</f>
        <v>DC</v>
      </c>
      <c r="AN269" s="1" t="str">
        <f>'Replacement plan'!$AE$72</f>
        <v>Assumed</v>
      </c>
      <c r="AO269" s="47">
        <f>IF(AND(C269=1,D269="EV",E269&lt;120),(R269-'Operating costs'!$B$41)*S269+W269*'Operating costs'!$B$12,0)</f>
        <v>0</v>
      </c>
      <c r="AP269" s="41">
        <f>IF(AND(C269=1,D269="EV",E269&lt;120),IF('Operating costs'!$B$68="Hong Seh 200k average",AO269*IFERROR(INDEX(Products!$P$7:$P$13,MATCH(AD269,Products!$A$7:$A$13,0)),"n.a."),'Operating costs'!$B$26),0)</f>
        <v>0</v>
      </c>
      <c r="AQ269" s="40" t="str">
        <f>IF(D269="EV",'Operating costs'!$B$68,"Not applicable")</f>
        <v>Not applicable</v>
      </c>
    </row>
    <row r="270" spans="1:43" ht="24" customHeight="1">
      <c r="A270" s="1" t="str">
        <f>'Replacement plan'!A72</f>
        <v>T066</v>
      </c>
      <c r="B270" s="1">
        <v>3</v>
      </c>
      <c r="C270" s="1">
        <f>IF(COUNTIFS('Fleet register'!$A$7:$A$106,$A270)=1,VLOOKUP($A270,'Fleet register'!$A$7:$S$106,2,FALSE),0)</f>
        <v>0</v>
      </c>
      <c r="D270" s="1" t="str">
        <f>IF('Replacement plan'!$R$72="EV","EV","ICE")</f>
        <v>ICE</v>
      </c>
      <c r="E270" s="1">
        <f>IF(C270=0,0,IF('Replacement plan'!$S$72="",IF('Replacement plan'!$R$72="Keep ICE",IF('Replacement plan'!$M$72="",VLOOKUP($A270,'Fleet register'!$A$7:$S$106,10,FALSE),'Replacement plan'!$M$72),0),'Replacement plan'!$S$72))</f>
        <v>0</v>
      </c>
      <c r="F270" s="16">
        <f>IF(C270=0,0,VLOOKUP($A270,'Fleet register'!$A$7:$S$106,11,FALSE))</f>
        <v>0</v>
      </c>
      <c r="G270" s="16">
        <f>IFERROR(IF(C270=0,0,IF(E270=120,0,IF(D270="ICE",'Replacement plan'!$C$72,IF('Replacement plan'!$D$72="",INDEX(Products!$I$7:$I$13,MATCH('Replacement plan'!$B$72,Products!$A$7:$A$13,0))+'Operating costs'!$B$57,'Replacement plan'!$D$72))*(1+'Operating costs'!$B$50)^(E270/12))),"n.a.")</f>
        <v>0</v>
      </c>
      <c r="H270" s="16">
        <f>IFERROR(IF(C270=0,0,IF('Replacement plan'!$V$72&lt;&gt;"",'Replacement plan'!$V$72,IF(E270=0,F270,VLOOKUP($A270,'Fleet register'!$A$7:$S$106,12,FALSE)+VLOOKUP($A270,'Fleet register'!$A$7:$S$106,13,FALSE)*MAX(0,VLOOKUP($A270,'Fleet register'!$A$7:$S$106,10,FALSE)-E270)/VLOOKUP($A270,'Fleet register'!$A$7:$S$106,14,FALSE)))),"n.a.")</f>
        <v>0</v>
      </c>
      <c r="I270" s="16">
        <f>IF(C270=0,0,IF(E270=120,0,'Replacement plan'!$T$72))</f>
        <v>0</v>
      </c>
      <c r="J270" s="16">
        <f>IF(C270=0,0,IF(P270="Complete",((S270*(R270-'Operating costs'!$B$39))+ROUNDUP(S270*(R270-'Operating costs'!$B$39)*IF('Replacement plan'!$AG$72="",'Operating costs'!$B$7,'Replacement plan'!$AG$72)/('Operating costs'!$B$8-'Operating costs'!$B$9*IF('Replacement plan'!$AG$72="",'Operating costs'!$B$7,'Replacement plan'!$AG$72)),0)*'Operating costs'!$B$9)*IF('Replacement plan'!$AG$72="",'Operating costs'!$B$7,'Replacement plan'!$AG$72)*('Energy and charging'!$C$9*'Energy and charging'!$C$7+(1-'Energy and charging'!$C$9)*'Energy and charging'!$C$8)*'Operating costs'!$B$23,"n.a."))</f>
        <v>0</v>
      </c>
      <c r="K270" s="16">
        <f>IF(C270=0,0,IF(P270="Complete",SUM('Operating costs'!$B$24,'Operating costs'!$B$27,'Operating costs'!$B$29,'Operating costs'!$B$31,'Operating costs'!$B$33,'Operating costs'!$B$34,'Operating costs'!$B$37,'Replacement plan'!$W$72)+'Operating costs'!$B$39*'Operating costs'!$B$42+ROUNDUP(S270*(R270-'Operating costs'!$B$39)*IF('Replacement plan'!$AG$72="",'Operating costs'!$B$7,'Replacement plan'!$AG$72)/('Operating costs'!$B$8-'Operating costs'!$B$9*IF('Replacement plan'!$AG$72="",'Operating costs'!$B$7,'Replacement plan'!$AG$72)),0)*('Operating costs'!$B$9/'Operating costs'!$B$11+'Operating costs'!$B$10/60)*'Operating costs'!$B$19*'Operating costs'!$B$21,"n.a."))</f>
        <v>0</v>
      </c>
      <c r="L270" s="16">
        <f>IF(C270=0,0,IF(P270="Complete",IF(D270="EV",X270*((1-T270)*'Energy and charging'!$C$10+T270*'Energy and charging'!$C$11)*'Operating costs'!$B$22,AA270*('Energy and charging'!$C$9*'Energy and charging'!$C$7+(1-'Energy and charging'!$C$9)*'Energy and charging'!$C$8)*'Operating costs'!$B$23),"n.a."))</f>
        <v>0</v>
      </c>
      <c r="M270" s="37">
        <f>IF(C270=0,0,IF(P270="Complete",IF(D270="ICE",SUM('Operating costs'!$B$25,'Operating costs'!$B$27,'Operating costs'!$B$29,'Operating costs'!$B$31,'Operating costs'!$B$33,'Operating costs'!$B$35,'Operating costs'!$B$37,'Replacement plan'!$X$72)+'Operating costs'!$B$40*'Operating costs'!$B$42+ROUNDUP(S270*(R270-'Operating costs'!$B$40)*IF('Replacement plan'!$AH$72="",'Operating costs'!$B$7,'Replacement plan'!$AH$72)/('Operating costs'!$B$8-'Operating costs'!$B$9*IF('Replacement plan'!$AH$72="",'Operating costs'!$B$7,'Replacement plan'!$AH$72)),0)*('Operating costs'!$B$9/'Operating costs'!$B$11+'Operating costs'!$B$10/60)*'Operating costs'!$B$19*'Operating costs'!$B$21,SUM(AP270,'Operating costs'!$B$28,'Operating costs'!$B$30,'Operating costs'!$B$32,'Operating costs'!$B$33,'Operating costs'!$B$36,'Operating costs'!$B$38,'Replacement plan'!$Y$72)+'Operating costs'!$B$41*'Operating costs'!$B$43+W270*'Operating costs'!$B$15+(T270*X270/'Replacement plan'!$L$72+W270*('Operating costs'!$B$12/'Operating costs'!$B$11+('Operating costs'!$B$13+'Operating costs'!$B$14)/60)+(R270-'Operating costs'!$B$41)*(IF(T270&lt;1,'Operating costs'!$B$16,0)+'Operating costs'!$B$17)/60)*'Operating costs'!$B$19*'Operating costs'!$B$20),"n.a."))</f>
        <v>0</v>
      </c>
      <c r="N270" s="16">
        <f>IF(AND(C270=1,D270="EV",E270&lt;120,E270+'Replacement plan'!$AA$72&lt;=120),'Replacement plan'!$Z$72,0)</f>
        <v>0</v>
      </c>
      <c r="O270" s="1">
        <f>E270+'Replacement plan'!$AA$72</f>
        <v>0</v>
      </c>
      <c r="P270" s="35" t="str">
        <f>IFERROR(IF(C270=0,"Excluded",IF(OR(COUNTIFS('Fleet register'!$A$7:$A$106,A270)&lt;&gt;1,COUNTIFS('Replacement plan'!$A$7:$A$106,A270)&lt;&gt;1),"Duplicate/missing ID",IF(NOT(AND(ISNUMBER(VLOOKUP($A270,'Fleet register'!$A$7:$S$106,5,FALSE)),ISNUMBER(VLOOKUP($A270,'Fleet register'!$A$7:$S$106,6,FALSE)),ISNUMBER(VLOOKUP($A270,'Fleet register'!$A$7:$S$106,10,FALSE)),ISNUMBER(VLOOKUP($A270,'Fleet register'!$A$7:$S$106,11,FALSE)),ISNUMBER(VLOOKUP($A270,'Fleet register'!$A$7:$S$106,12,FALSE)),ISNUMBER(VLOOKUP($A270,'Fleet register'!$A$7:$S$106,13,FALSE)),ISNUMBER(VLOOKUP($A270,'Fleet register'!$A$7:$S$106,14,FALSE)),VLOOKUP($A270,'Fleet register'!$A$7:$S$106,14,FALSE)&gt;0,ISNUMBER('Replacement plan'!$C$72),OR(E270=120,ISNUMBER('Replacement plan'!$T$72)),ISNUMBER(E270))),"Missing vehicle input",IF(OR(E270&lt;0,E270&gt;VLOOKUP($A270,'Fleet register'!$A$7:$S$106,10,FALSE),E270&gt;120,E270&lt;&gt;INT(E270),VLOOKUP($A270,'Fleet register'!$A$7:$S$106,6,FALSE)&lt;=0,VLOOKUP($A270,'Fleet register'!$A$7:$S$106,6,FALSE)&gt;366,VLOOKUP($A270,'Fleet register'!$A$7:$S$106,5,FALSE)&lt;0,VLOOKUP($A270,'Fleet register'!$A$7:$S$106,11,FALSE)&lt;0,I270&lt;0,'Operating costs'!$B$8&lt;='Operating costs'!$B$7*'Operating costs'!$B$9,'Operating costs'!$B$11&lt;=0,'Operating costs'!$B$39&gt;R270,'Operating costs'!$B$40&gt;R270,'Operating costs'!$B$41&gt;R270,NOT(OR('Replacement plan'!$R$72="Keep ICE",'Replacement plan'!$R$72="New ICE",'Replacement plan'!$R$72="EV"))),"Invalid vehicle input",IF(AND(D270="EV",E270&lt;120,OR(NOT(ISNUMBER(U270)),NOT(ISNUMBER(V270)),V270&lt;=0,T270&lt;0,T270&gt;1,'Replacement plan'!$L$72&lt;=0,'Operating costs'!$B$44&lt;0,'Operating costs'!$B$44&gt;=1,'Operating costs'!$B$47&lt;=0,'Operating costs'!$B$47&gt;1,V270*'Operating costs'!$B$47/(1-'Operating costs'!$B$44)&lt;=T270*'Operating costs'!$B$12*U270,AND('Replacement plan'!$Z$72&gt;0,OR('Replacement plan'!$AB$72&lt;&gt;"Yes",'Operating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charging'!$C$8&gt;=0))),ISNUMBER(VLOOKUP($A270,'Fleet register'!$A$7:$S$106,15,FALSE)),ISNUMBER(VLOOKUP($A270,'Fleet register'!$A$7:$S$106,16,FALSE)),ISNUMBER('Replacement plan'!$W$72),ISNUMBER('Replacement plan'!$X$72),OR(E270=120,AND(ISNUMBER(G270),G270&gt;=0)),ISNUMBER(H270),H270&gt;=0,OR(D270&lt;&gt;"EV",E270=120,AND(ISNUMBER('Operating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average",ISNUMBER(IFERROR(INDEX(Products!$P$7:$P$13,MATCH(AD270,Products!$A$7:$A$13,0)),"")))),ISNUMBER('Operating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plan'!$Y$72),ISNUMBER('Replacement plan'!$Z$72),'Replacement plan'!$Z$72&gt;=0,ISNUMBER('Replacement plan'!$AA$72),'Replacement plan'!$AA$72&gt;=0,'Replacement plan'!$AA$72=INT('Replacement plan'!$AA$72),ISNUMBER('Replacement plan'!$L$72))),'Operating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plan'!$AG$72="",'Operating costs'!$B$7,'Replacement plan'!$AG$72)),IF('Replacement plan'!$AG$72="",'Operating costs'!$B$7,'Replacement plan'!$AG$72)&gt;=0,ISNUMBER(IF('Replacement plan'!$AH$72="",'Operating costs'!$B$7,'Replacement plan'!$AH$72)),IF('Replacement plan'!$AH$72="",'Operating costs'!$B$7,'Replacement plan'!$AH$72)&gt;=0,'Operating costs'!$B$8&gt;MAX(IF('Replacement plan'!$AG$72="",'Operating costs'!$B$7,'Replacement plan'!$AG$72),IF('Replacement plan'!$AH$72="",'Operating costs'!$B$7,'Replacement plan'!$AH$72))*'Operating costs'!$B$9),IF(AND(VLOOKUP($A270,'Fleet register'!$A$7:$S$106,10,FALSE)&gt;=0,VLOOKUP($A270,'Fleet register'!$A$7:$S$106,10,FALSE)&lt;=120,VLOOKUP($A270,'Fleet register'!$A$7:$S$106,10,FALSE)=INT(VLOOKUP($A270,'Fleet register'!$A$7:$S$106,10,FALSE)),VLOOKUP($A270,'Fleet register'!$A$7:$S$106,15,FALSE)&gt;=0,VLOOKUP($A270,'Fleet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costs'!$B$67)&gt;=0,OR(D270&lt;&gt;"EV",E270=120,AND(MIN('Operating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70" s="1" t="str">
        <f>IF(C270=0,"Excluded",IF(P270&lt;&gt;"Complete",P270,IF(OR('Replacement plan'!$AD$72&lt;120-E270,AND(D270="EV",E270&lt;120,OR('Replacement plan'!$AC$72&lt;120-E270,'Replacement plan'!$I$72="No",AND(ISNUMBER(AF270),AE270&gt;AF270),AI270&gt;V270*(1-'Operating costs'!$B$46)^MAX(0,AB270-1)*(1-'Operating costs'!$B$45),AC270&gt;'Operating costs'!$B$18,AND(T270&lt;1,OR(AG270&lt;=0,AND(ISNUMBER(AH270),AG270&gt;AH270))),'Replacement plan'!$L$72&gt;INDEX(Products!$H$7:$H$13,MATCH('Replacement plan'!$B$72,Products!$A$7:$A$13,0))))),"Fails entered limits",IF(AND(D270="EV",E270&lt;120,OR(NOT(ISNUMBER(VLOOKUP($A270,'Fleet register'!$A$7:$S$106,7,FALSE))),NOT(ISNUMBER(VLOOKUP($A270,'Fleet register'!$A$7:$S$106,8,FALSE))),NOT(ISNUMBER(AF270)),'Replacement plan'!$I$72&lt;&gt;"Yes",NOT(ISNUMBER(AH270)),'Operating costs'!$B$59&lt;&gt;"Yes",'Operating costs'!$B$58&lt;&gt;"Yes")),"Unverified","Within entered limits"))))</f>
        <v>Excluded</v>
      </c>
      <c r="R270" s="1">
        <f>IF(C270=0,0,VLOOKUP($A270,'Fleet register'!$A$7:$S$106,6,FALSE))</f>
        <v>0</v>
      </c>
      <c r="S270" s="1">
        <f>IF(C270=0,0,VLOOKUP($A270,'Fleet register'!$A$7:$S$106,5,FALSE))</f>
        <v>0</v>
      </c>
      <c r="T270" s="1">
        <f>IF(D270="EV",'Energy and charging'!$C$12,0)</f>
        <v>0</v>
      </c>
      <c r="U270" s="1">
        <f>IFERROR(IF(C270=0,0,IF(D270="EV",IF('Replacement plan'!$F$72="",INDEX(Products!$E$7:$E$13,MATCH('Replacement plan'!$B$72,Products!$A$7:$A$13,0)),'Replacement plan'!$F$72)/IF('Replacement plan'!$G$72="Battery",1-'Operating costs'!$B$44,1),0)),"n.a.")</f>
        <v>0</v>
      </c>
      <c r="V270" s="1">
        <f>IFERROR(IF(C270=0,0,IF(D270="EV",IF('Replacement plan'!$E$72="",INDEX(Products!$D$7:$D$13,MATCH('Replacement plan'!$B$72,Products!$A$7:$A$13,0)),'Replacement plan'!$E$72),0)),"n.a.")</f>
        <v>0</v>
      </c>
      <c r="W270" s="1">
        <f>IF(C270=0,0,IF(AND(P270="Complete",D270="EV",E270&lt;120),IF(T270=0,0,ROUNDUP(T270*(R270-'Operating costs'!$B$41)*(S270*U270+'Operating costs'!$B$48/(1-'Operating costs'!$B$44))/(V270*'Operating costs'!$B$47/(1-'Operating costs'!$B$44)-T270*'Operating costs'!$B$12*U270),0)),0))</f>
        <v>0</v>
      </c>
      <c r="X270" s="1">
        <f>IF(C270=0,0,IF(AND(P270="Complete",D270="EV",E270&lt;120),(R270-'Operating costs'!$B$41)*(S270*U270+'Operating costs'!$B$48/(1-'Operating costs'!$B$44))+W270*'Operating costs'!$B$12*U270,0))</f>
        <v>0</v>
      </c>
      <c r="Y270" s="1">
        <f>IF(AND(C270=1,D270="EV",E270&lt;120),AI270/(1-'Operating costs'!$B$44)*(1-T270),0)</f>
        <v>0</v>
      </c>
      <c r="Z270" s="1">
        <f t="shared" si="8"/>
        <v>0</v>
      </c>
      <c r="AA270" s="1">
        <f>IF(C270=0,0,IF(P270="Complete",((S270*(R270-'Operating costs'!$B$40))+ROUNDUP(S270*(R270-'Operating costs'!$B$40)*IF('Replacement plan'!$AH$72="",'Operating costs'!$B$7,'Replacement plan'!$AH$72)/('Operating costs'!$B$8-'Operating costs'!$B$9*IF('Replacement plan'!$AH$72="",'Operating costs'!$B$7,'Replacement plan'!$AH$72)),0)*'Operating costs'!$B$9)*IF('Replacement plan'!$AH$72="",'Operating costs'!$B$7,'Replacement plan'!$AH$72),"n.a."))</f>
        <v>0</v>
      </c>
      <c r="AB270" s="1">
        <f t="shared" si="9"/>
        <v>0</v>
      </c>
      <c r="AC270" s="1">
        <f>IF(AND(C270=1,D270="EV",E270&lt;120,T270&gt;0),'Operating costs'!$B$12/'Operating costs'!$B$11*60+'Operating costs'!$B$13+'Operating costs'!$B$14+V270*'Operating costs'!$B$47/(1-'Operating costs'!$B$44)/'Replacement plan'!$L$72*60,0)</f>
        <v>0</v>
      </c>
      <c r="AD270" s="1" t="str">
        <f>'Replacement plan'!$B$72</f>
        <v>ChengLong L2EV</v>
      </c>
      <c r="AE270" s="1">
        <f>IF(C270=0,0,VLOOKUP($A270,'Fleet register'!$A$7:$S$106,8,FALSE))</f>
        <v>0</v>
      </c>
      <c r="AF270" s="1" t="str">
        <f>IF('Replacement plan'!$H$72="","n.a.",'Replacement plan'!$H$72)</f>
        <v>n.a.</v>
      </c>
      <c r="AG270" s="1">
        <f>'Replacement plan'!$J$72</f>
        <v>22</v>
      </c>
      <c r="AH270" s="1">
        <f>IFERROR(IF(D270="EV",IF('Replacement plan'!$K$72="AC",IF(ISNUMBER(INDEX(Products!$G$7:$G$13,MATCH('Replacement plan'!$B$72,Products!$A$7:$A$13,0))),INDEX(Products!$G$7:$G$13,MATCH('Replacement plan'!$B$72,Products!$A$7:$A$13,0)),"n.a."),IF(ISNUMBER(INDEX(Products!$H$7:$H$13,MATCH('Replacement plan'!$B$72,Products!$A$7:$A$13,0))),INDEX(Products!$H$7:$H$13,MATCH('Replacement plan'!$B$72,Products!$A$7:$A$13,0)),"n.a.")),0),"n.a.")</f>
        <v>0</v>
      </c>
      <c r="AI270" s="1">
        <f>IF(AND(C270=1,D270="EV",E270&lt;120),(VLOOKUP($A270,'Fleet register'!$A$7:$S$106,7,FALSE)+IF(T270&gt;0,'Operating costs'!$B$12,0))*U270*(1-'Operating costs'!$B$44)+'Operating costs'!$B$49,0)</f>
        <v>0</v>
      </c>
      <c r="AJ270" s="1">
        <f>IF(D270="EV",'Energy and charging'!$C$50,0)</f>
        <v>0</v>
      </c>
      <c r="AK270" s="17">
        <f>EDATE('Operating costs'!$B$63,E270)</f>
        <v>46298</v>
      </c>
      <c r="AL270" s="1">
        <f>IFERROR(IF(D270="EV",INDEX(Products!$B$7:$B$13,MATCH('Replacement plan'!$B$72,Products!$A$7:$A$13,0)),0),"n.a.")</f>
        <v>0</v>
      </c>
      <c r="AM270" s="1" t="str">
        <f>'Replacement plan'!$K$72</f>
        <v>DC</v>
      </c>
      <c r="AN270" s="1" t="str">
        <f>'Replacement plan'!$AE$72</f>
        <v>Assumed</v>
      </c>
      <c r="AO270" s="47">
        <f>IF(AND(C270=1,D270="EV",E270&lt;120),(R270-'Operating costs'!$B$41)*S270+W270*'Operating costs'!$B$12,0)</f>
        <v>0</v>
      </c>
      <c r="AP270" s="41">
        <f>IF(AND(C270=1,D270="EV",E270&lt;120),IF('Operating costs'!$B$68="Hong Seh 200k average",AO270*IFERROR(INDEX(Products!$P$7:$P$13,MATCH(AD270,Products!$A$7:$A$13,0)),"n.a."),'Operating costs'!$B$26),0)</f>
        <v>0</v>
      </c>
      <c r="AQ270" s="40" t="str">
        <f>IF(D270="EV",'Operating costs'!$B$68,"Not applicable")</f>
        <v>Not applicable</v>
      </c>
    </row>
    <row r="271" spans="1:43" ht="24" customHeight="1">
      <c r="A271" s="1" t="str">
        <f>'Replacement plan'!A73</f>
        <v>T067</v>
      </c>
      <c r="B271" s="1">
        <v>0</v>
      </c>
      <c r="C271" s="1">
        <f>IF(COUNTIFS('Fleet register'!$A$7:$A$106,$A271)=1,VLOOKUP($A271,'Fleet register'!$A$7:$S$106,2,FALSE),0)</f>
        <v>0</v>
      </c>
      <c r="D271" s="1" t="str">
        <f>IF("Keep ICE"="EV","EV","ICE")</f>
        <v>ICE</v>
      </c>
      <c r="E271" s="1">
        <f>IF(C271=0,0,IF('Replacement plan'!$M$73="",VLOOKUP($A271,'Fleet register'!$A$7:$S$106,10,FALSE),'Replacement plan'!$M$73))</f>
        <v>0</v>
      </c>
      <c r="F271" s="16">
        <f>IF(C271=0,0,VLOOKUP($A271,'Fleet register'!$A$7:$S$106,11,FALSE))</f>
        <v>0</v>
      </c>
      <c r="G271" s="16">
        <f>IFERROR(IF(C271=0,0,IF(E271=120,0,IF(D271="ICE",'Replacement plan'!$C$73,IF('Replacement plan'!$D$73="",INDEX(Products!$I$7:$I$13,MATCH('Replacement plan'!$B$73,Products!$A$7:$A$13,0))+'Operating costs'!$B$57,'Replacement plan'!$D$73))*(1+'Operating costs'!$B$50)^(E271/12))),"n.a.")</f>
        <v>0</v>
      </c>
      <c r="H271" s="16">
        <f>IFERROR(IF(C271=0,0,IF(E271=0,F271,VLOOKUP($A271,'Fleet register'!$A$7:$S$106,12,FALSE)+VLOOKUP($A271,'Fleet register'!$A$7:$S$106,13,FALSE)*MAX(0,VLOOKUP($A271,'Fleet register'!$A$7:$S$106,10,FALSE)-E271)/VLOOKUP($A271,'Fleet register'!$A$7:$S$106,14,FALSE))),"n.a.")</f>
        <v>0</v>
      </c>
      <c r="I271" s="16">
        <f>IF(C271=0,0,IF(E271=120,0,'Replacement plan'!$N$73))</f>
        <v>0</v>
      </c>
      <c r="J271" s="16">
        <f>IF(C271=0,0,IF(P271="Complete",((S271*(R271-'Operating costs'!$B$39))+ROUNDUP(S271*(R271-'Operating costs'!$B$39)*IF('Replacement plan'!$AG$73="",'Operating costs'!$B$7,'Replacement plan'!$AG$73)/('Operating costs'!$B$8-'Operating costs'!$B$9*IF('Replacement plan'!$AG$73="",'Operating costs'!$B$7,'Replacement plan'!$AG$73)),0)*'Operating costs'!$B$9)*IF('Replacement plan'!$AG$73="",'Operating costs'!$B$7,'Replacement plan'!$AG$73)*('Energy and charging'!$B$9*'Energy and charging'!$B$7+(1-'Energy and charging'!$B$9)*'Energy and charging'!$B$8)*'Operating costs'!$B$23,"n.a."))</f>
        <v>0</v>
      </c>
      <c r="K271" s="16">
        <f>IF(C271=0,0,IF(P271="Complete",SUM('Operating costs'!$B$24,'Operating costs'!$B$27,'Operating costs'!$B$29,'Operating costs'!$B$31,'Operating costs'!$B$33,'Operating costs'!$B$34,'Operating costs'!$B$37,'Replacement plan'!$W$73)+'Operating costs'!$B$39*'Operating costs'!$B$42+ROUNDUP(S271*(R271-'Operating costs'!$B$39)*IF('Replacement plan'!$AG$73="",'Operating costs'!$B$7,'Replacement plan'!$AG$73)/('Operating costs'!$B$8-'Operating costs'!$B$9*IF('Replacement plan'!$AG$73="",'Operating costs'!$B$7,'Replacement plan'!$AG$73)),0)*('Operating costs'!$B$9/'Operating costs'!$B$11+'Operating costs'!$B$10/60)*'Operating costs'!$B$19*'Operating costs'!$B$21,"n.a."))</f>
        <v>0</v>
      </c>
      <c r="L271" s="16">
        <f>IF(C271=0,0,IF(P271="Complete",IF(D271="EV",X271*((1-T271)*'Energy and charging'!$B$10+T271*'Energy and charging'!$B$11)*'Operating costs'!$B$22,AA271*('Energy and charging'!$B$9*'Energy and charging'!$B$7+(1-'Energy and charging'!$B$9)*'Energy and charging'!$B$8)*'Operating costs'!$B$23),"n.a."))</f>
        <v>0</v>
      </c>
      <c r="M271" s="37">
        <f>IF(C271=0,0,IF(P271="Complete",IF(D271="ICE",SUM('Operating costs'!$B$25,'Operating costs'!$B$27,'Operating costs'!$B$29,'Operating costs'!$B$31,'Operating costs'!$B$33,'Operating costs'!$B$35,'Operating costs'!$B$37,'Replacement plan'!$X$73)+'Operating costs'!$B$40*'Operating costs'!$B$42+ROUNDUP(S271*(R271-'Operating costs'!$B$40)*IF('Replacement plan'!$AH$73="",'Operating costs'!$B$7,'Replacement plan'!$AH$73)/('Operating costs'!$B$8-'Operating costs'!$B$9*IF('Replacement plan'!$AH$73="",'Operating costs'!$B$7,'Replacement plan'!$AH$73)),0)*('Operating costs'!$B$9/'Operating costs'!$B$11+'Operating costs'!$B$10/60)*'Operating costs'!$B$19*'Operating costs'!$B$21,SUM(AP271,'Operating costs'!$B$28,'Operating costs'!$B$30,'Operating costs'!$B$32,'Operating costs'!$B$33,'Operating costs'!$B$36,'Operating costs'!$B$38,'Replacement plan'!$Y$73)+'Operating costs'!$B$41*'Operating costs'!$B$43+W271*'Operating costs'!$B$15+(T271*X271/'Replacement plan'!$L$73+W271*('Operating costs'!$B$12/'Operating costs'!$B$11+('Operating costs'!$B$13+'Operating costs'!$B$14)/60)+(R271-'Operating costs'!$B$41)*(IF(T271&lt;1,'Operating costs'!$B$16,0)+'Operating costs'!$B$17)/60)*'Operating costs'!$B$19*'Operating costs'!$B$20),"n.a."))</f>
        <v>0</v>
      </c>
      <c r="N271" s="16">
        <f>IF(AND(C271=1,D271="EV",E271&lt;120,E271+'Replacement plan'!$AA$73&lt;=120),'Replacement plan'!$Z$73,0)</f>
        <v>0</v>
      </c>
      <c r="O271" s="1">
        <f>E271+'Replacement plan'!$AA$73</f>
        <v>0</v>
      </c>
      <c r="P271" s="35" t="str">
        <f>IFERROR(IF(C271=0,"Excluded",IF(OR(COUNTIFS('Fleet register'!$A$7:$A$106,A271)&lt;&gt;1,COUNTIFS('Replacement plan'!$A$7:$A$106,A271)&lt;&gt;1),"Duplicate/missing ID",IF(NOT(AND(ISNUMBER(VLOOKUP($A271,'Fleet register'!$A$7:$S$106,5,FALSE)),ISNUMBER(VLOOKUP($A271,'Fleet register'!$A$7:$S$106,6,FALSE)),ISNUMBER(VLOOKUP($A271,'Fleet register'!$A$7:$S$106,10,FALSE)),ISNUMBER(VLOOKUP($A271,'Fleet register'!$A$7:$S$106,11,FALSE)),ISNUMBER(VLOOKUP($A271,'Fleet register'!$A$7:$S$106,12,FALSE)),ISNUMBER(VLOOKUP($A271,'Fleet register'!$A$7:$S$106,13,FALSE)),ISNUMBER(VLOOKUP($A271,'Fleet register'!$A$7:$S$106,14,FALSE)),VLOOKUP($A271,'Fleet register'!$A$7:$S$106,14,FALSE)&gt;0,ISNUMBER('Replacement plan'!$C$73),OR(E271=120,ISNUMBER('Replacement plan'!$N$73)),ISNUMBER(E271))),"Missing vehicle input",IF(OR(E271&lt;0,E271&gt;VLOOKUP($A271,'Fleet register'!$A$7:$S$106,10,FALSE),E271&gt;120,E271&lt;&gt;INT(E271),VLOOKUP($A271,'Fleet register'!$A$7:$S$106,6,FALSE)&lt;=0,VLOOKUP($A271,'Fleet register'!$A$7:$S$106,6,FALSE)&gt;366,VLOOKUP($A271,'Fleet register'!$A$7:$S$106,5,FALSE)&lt;0,VLOOKUP($A271,'Fleet register'!$A$7:$S$106,11,FALSE)&lt;0,I271&lt;0,'Operating costs'!$B$8&lt;='Operating costs'!$B$7*'Operating costs'!$B$9,'Operating costs'!$B$11&lt;=0,'Operating costs'!$B$39&gt;R271,'Operating costs'!$B$40&gt;R271,'Operating costs'!$B$41&gt;R271,NOT(OR("Keep ICE"="Keep ICE","Keep ICE"="New ICE","Keep ICE"="EV"))),"Invalid vehicle input",IF(AND(D271="EV",E271&lt;120,OR(NOT(ISNUMBER(U271)),NOT(ISNUMBER(V271)),V271&lt;=0,T271&lt;0,T271&gt;1,'Replacement plan'!$L$73&lt;=0,'Operating costs'!$B$44&lt;0,'Operating costs'!$B$44&gt;=1,'Operating costs'!$B$47&lt;=0,'Operating costs'!$B$47&gt;1,V271*'Operating costs'!$B$47/(1-'Operating costs'!$B$44)&lt;=T271*'Operating costs'!$B$12*U271,AND('Replacement plan'!$Z$73&gt;0,OR('Replacement plan'!$AB$73&lt;&gt;"Yes",'Operating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charging'!$B$8&gt;=0))),ISNUMBER(VLOOKUP($A271,'Fleet register'!$A$7:$S$106,15,FALSE)),ISNUMBER(VLOOKUP($A271,'Fleet register'!$A$7:$S$106,16,FALSE)),ISNUMBER('Replacement plan'!$W$73),ISNUMBER('Replacement plan'!$X$73),OR(E271=120,AND(ISNUMBER(G271),G271&gt;=0)),ISNUMBER(H271),H271&gt;=0,OR(D271&lt;&gt;"EV",E271=120,AND(ISNUMBER('Operating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average",ISNUMBER(IFERROR(INDEX(Products!$P$7:$P$13,MATCH(AD271,Products!$A$7:$A$13,0)),"")))),ISNUMBER('Operating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plan'!$Y$73),ISNUMBER('Replacement plan'!$Z$73),'Replacement plan'!$Z$73&gt;=0,ISNUMBER('Replacement plan'!$AA$73),'Replacement plan'!$AA$73&gt;=0,'Replacement plan'!$AA$73=INT('Replacement plan'!$AA$73),ISNUMBER('Replacement plan'!$L$73))),'Operating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plan'!$AG$73="",'Operating costs'!$B$7,'Replacement plan'!$AG$73)),IF('Replacement plan'!$AG$73="",'Operating costs'!$B$7,'Replacement plan'!$AG$73)&gt;=0,ISNUMBER(IF('Replacement plan'!$AH$73="",'Operating costs'!$B$7,'Replacement plan'!$AH$73)),IF('Replacement plan'!$AH$73="",'Operating costs'!$B$7,'Replacement plan'!$AH$73)&gt;=0,'Operating costs'!$B$8&gt;MAX(IF('Replacement plan'!$AG$73="",'Operating costs'!$B$7,'Replacement plan'!$AG$73),IF('Replacement plan'!$AH$73="",'Operating costs'!$B$7,'Replacement plan'!$AH$73))*'Operating costs'!$B$9),IF(AND(VLOOKUP($A271,'Fleet register'!$A$7:$S$106,10,FALSE)&gt;=0,VLOOKUP($A271,'Fleet register'!$A$7:$S$106,10,FALSE)&lt;=120,VLOOKUP($A271,'Fleet register'!$A$7:$S$106,10,FALSE)=INT(VLOOKUP($A271,'Fleet register'!$A$7:$S$106,10,FALSE)),VLOOKUP($A271,'Fleet register'!$A$7:$S$106,15,FALSE)&gt;=0,VLOOKUP($A271,'Fleet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costs'!$B$67)&gt;=0,OR(D271&lt;&gt;"EV",E271=120,AND(MIN('Operating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71" s="1" t="str">
        <f>IF(C271=0,"Excluded",IF(P271&lt;&gt;"Complete",P271,IF(OR('Replacement plan'!$AD$73&lt;120-E271,AND(D271="EV",E271&lt;120,OR('Replacement plan'!$AC$73&lt;120-E271,'Replacement plan'!$I$73="No",AND(ISNUMBER(AF271),AE271&gt;AF271),AI271&gt;V271*(1-'Operating costs'!$B$46)^MAX(0,AB271-1)*(1-'Operating costs'!$B$45),AC271&gt;'Operating costs'!$B$18,AND(T271&lt;1,OR(AG271&lt;=0,AND(ISNUMBER(AH271),AG271&gt;AH271))),'Replacement plan'!$L$73&gt;INDEX(Products!$H$7:$H$13,MATCH('Replacement plan'!$B$73,Products!$A$7:$A$13,0))))),"Fails entered limits",IF(AND(D271="EV",E271&lt;120,OR(NOT(ISNUMBER(VLOOKUP($A271,'Fleet register'!$A$7:$S$106,7,FALSE))),NOT(ISNUMBER(VLOOKUP($A271,'Fleet register'!$A$7:$S$106,8,FALSE))),NOT(ISNUMBER(AF271)),'Replacement plan'!$I$73&lt;&gt;"Yes",NOT(ISNUMBER(AH271)),'Operating costs'!$B$59&lt;&gt;"Yes",'Operating costs'!$B$58&lt;&gt;"Yes")),"Unverified","Within entered limits"))))</f>
        <v>Excluded</v>
      </c>
      <c r="R271" s="1">
        <f>IF(C271=0,0,VLOOKUP($A271,'Fleet register'!$A$7:$S$106,6,FALSE))</f>
        <v>0</v>
      </c>
      <c r="S271" s="1">
        <f>IF(C271=0,0,VLOOKUP($A271,'Fleet register'!$A$7:$S$106,5,FALSE))</f>
        <v>0</v>
      </c>
      <c r="T271" s="1">
        <f>IF(D271="EV",'Energy and charging'!$B$12,0)</f>
        <v>0</v>
      </c>
      <c r="U271" s="1">
        <f>IFERROR(IF(C271=0,0,IF(D271="EV",IF('Replacement plan'!$F$73="",INDEX(Products!$E$7:$E$13,MATCH('Replacement plan'!$B$73,Products!$A$7:$A$13,0)),'Replacement plan'!$F$73)/IF('Replacement plan'!$G$73="Battery",1-'Operating costs'!$B$44,1),0)),"n.a.")</f>
        <v>0</v>
      </c>
      <c r="V271" s="1">
        <f>IFERROR(IF(C271=0,0,IF(D271="EV",IF('Replacement plan'!$E$73="",INDEX(Products!$D$7:$D$13,MATCH('Replacement plan'!$B$73,Products!$A$7:$A$13,0)),'Replacement plan'!$E$73),0)),"n.a.")</f>
        <v>0</v>
      </c>
      <c r="W271" s="1">
        <f>IF(C271=0,0,IF(AND(P271="Complete",D271="EV",E271&lt;120),IF(T271=0,0,ROUNDUP(T271*(R271-'Operating costs'!$B$41)*(S271*U271+'Operating costs'!$B$48/(1-'Operating costs'!$B$44))/(V271*'Operating costs'!$B$47/(1-'Operating costs'!$B$44)-T271*'Operating costs'!$B$12*U271),0)),0))</f>
        <v>0</v>
      </c>
      <c r="X271" s="1">
        <f>IF(C271=0,0,IF(AND(P271="Complete",D271="EV",E271&lt;120),(R271-'Operating costs'!$B$41)*(S271*U271+'Operating costs'!$B$48/(1-'Operating costs'!$B$44))+W271*'Operating costs'!$B$12*U271,0))</f>
        <v>0</v>
      </c>
      <c r="Y271" s="1">
        <f>IF(AND(C271=1,D271="EV",E271&lt;120),AI271/(1-'Operating costs'!$B$44)*(1-T271),0)</f>
        <v>0</v>
      </c>
      <c r="Z271" s="1">
        <f t="shared" si="8"/>
        <v>0</v>
      </c>
      <c r="AA271" s="1">
        <f>IF(C271=0,0,IF(P271="Complete",((S271*(R271-'Operating costs'!$B$40))+ROUNDUP(S271*(R271-'Operating costs'!$B$40)*IF('Replacement plan'!$AH$73="",'Operating costs'!$B$7,'Replacement plan'!$AH$73)/('Operating costs'!$B$8-'Operating costs'!$B$9*IF('Replacement plan'!$AH$73="",'Operating costs'!$B$7,'Replacement plan'!$AH$73)),0)*'Operating costs'!$B$9)*IF('Replacement plan'!$AH$73="",'Operating costs'!$B$7,'Replacement plan'!$AH$73),"n.a."))</f>
        <v>0</v>
      </c>
      <c r="AB271" s="1">
        <f t="shared" si="9"/>
        <v>0</v>
      </c>
      <c r="AC271" s="1">
        <f>IF(AND(C271=1,D271="EV",E271&lt;120,T271&gt;0),'Operating costs'!$B$12/'Operating costs'!$B$11*60+'Operating costs'!$B$13+'Operating costs'!$B$14+V271*'Operating costs'!$B$47/(1-'Operating costs'!$B$44)/'Replacement plan'!$L$73*60,0)</f>
        <v>0</v>
      </c>
      <c r="AD271" s="1" t="str">
        <f>'Replacement plan'!$B$73</f>
        <v>ChengLong L2EV</v>
      </c>
      <c r="AE271" s="1">
        <f>IF(C271=0,0,VLOOKUP($A271,'Fleet register'!$A$7:$S$106,8,FALSE))</f>
        <v>0</v>
      </c>
      <c r="AF271" s="1" t="str">
        <f>IF('Replacement plan'!$H$73="","n.a.",'Replacement plan'!$H$73)</f>
        <v>n.a.</v>
      </c>
      <c r="AG271" s="1">
        <f>'Replacement plan'!$J$73</f>
        <v>22</v>
      </c>
      <c r="AH271" s="1">
        <f>IFERROR(IF(D271="EV",IF('Replacement plan'!$K$73="AC",IF(ISNUMBER(INDEX(Products!$G$7:$G$13,MATCH('Replacement plan'!$B$73,Products!$A$7:$A$13,0))),INDEX(Products!$G$7:$G$13,MATCH('Replacement plan'!$B$73,Products!$A$7:$A$13,0)),"n.a."),IF(ISNUMBER(INDEX(Products!$H$7:$H$13,MATCH('Replacement plan'!$B$73,Products!$A$7:$A$13,0))),INDEX(Products!$H$7:$H$13,MATCH('Replacement plan'!$B$73,Products!$A$7:$A$13,0)),"n.a.")),0),"n.a.")</f>
        <v>0</v>
      </c>
      <c r="AI271" s="1">
        <f>IF(AND(C271=1,D271="EV",E271&lt;120),(VLOOKUP($A271,'Fleet register'!$A$7:$S$106,7,FALSE)+IF(T271&gt;0,'Operating costs'!$B$12,0))*U271*(1-'Operating costs'!$B$44)+'Operating costs'!$B$49,0)</f>
        <v>0</v>
      </c>
      <c r="AJ271" s="1">
        <f>IF(D271="EV",'Energy and charging'!$B$50,0)</f>
        <v>0</v>
      </c>
      <c r="AK271" s="17">
        <f>EDATE('Operating costs'!$B$63,E271)</f>
        <v>46298</v>
      </c>
      <c r="AL271" s="1">
        <f>IFERROR(IF(D271="EV",INDEX(Products!$B$7:$B$13,MATCH('Replacement plan'!$B$73,Products!$A$7:$A$13,0)),0),"n.a.")</f>
        <v>0</v>
      </c>
      <c r="AM271" s="1" t="str">
        <f>'Replacement plan'!$K$73</f>
        <v>DC</v>
      </c>
      <c r="AN271" s="1" t="str">
        <f>'Replacement plan'!$AE$73</f>
        <v>Assumed</v>
      </c>
      <c r="AO271" s="47">
        <f>IF(AND(C271=1,D271="EV",E271&lt;120),(R271-'Operating costs'!$B$41)*S271+W271*'Operating costs'!$B$12,0)</f>
        <v>0</v>
      </c>
      <c r="AP271" s="41">
        <f>IF(AND(C271=1,D271="EV",E271&lt;120),IF('Operating costs'!$B$68="Hong Seh 200k average",AO271*IFERROR(INDEX(Products!$P$7:$P$13,MATCH(AD271,Products!$A$7:$A$13,0)),"n.a."),'Operating costs'!$B$26),0)</f>
        <v>0</v>
      </c>
      <c r="AQ271" s="40" t="str">
        <f>IF(D271="EV",'Operating costs'!$B$68,"Not applicable")</f>
        <v>Not applicable</v>
      </c>
    </row>
    <row r="272" spans="1:43" ht="24" customHeight="1">
      <c r="A272" s="1" t="str">
        <f>'Replacement plan'!A73</f>
        <v>T067</v>
      </c>
      <c r="B272" s="1">
        <v>1</v>
      </c>
      <c r="C272" s="1">
        <f>IF(COUNTIFS('Fleet register'!$A$7:$A$106,$A272)=1,VLOOKUP($A272,'Fleet register'!$A$7:$S$106,2,FALSE),0)</f>
        <v>0</v>
      </c>
      <c r="D272" s="1" t="str">
        <f>IF("New ICE"="EV","EV","ICE")</f>
        <v>ICE</v>
      </c>
      <c r="E272" s="1">
        <f>IF(C272=0,0,0)</f>
        <v>0</v>
      </c>
      <c r="F272" s="16">
        <f>IF(C272=0,0,VLOOKUP($A272,'Fleet register'!$A$7:$S$106,11,FALSE))</f>
        <v>0</v>
      </c>
      <c r="G272" s="16">
        <f>IFERROR(IF(C272=0,0,IF(E272=120,0,IF(D272="ICE",'Replacement plan'!$C$73,IF('Replacement plan'!$D$73="",INDEX(Products!$I$7:$I$13,MATCH('Replacement plan'!$B$73,Products!$A$7:$A$13,0))+'Operating costs'!$B$57,'Replacement plan'!$D$73))*(1+'Operating costs'!$B$50)^(E272/12))),"n.a.")</f>
        <v>0</v>
      </c>
      <c r="H272" s="16">
        <f>IFERROR(IF(C272=0,0,IF(E272=0,F272,VLOOKUP($A272,'Fleet register'!$A$7:$S$106,12,FALSE)+VLOOKUP($A272,'Fleet register'!$A$7:$S$106,13,FALSE)*MAX(0,VLOOKUP($A272,'Fleet register'!$A$7:$S$106,10,FALSE)-E272)/VLOOKUP($A272,'Fleet register'!$A$7:$S$106,14,FALSE))),"n.a.")</f>
        <v>0</v>
      </c>
      <c r="I272" s="16">
        <f>IF(C272=0,0,IF(E272=120,0,IF('Replacement plan'!$AI$73="",'Operating costs'!$B$56,'Replacement plan'!$AI$73)))</f>
        <v>0</v>
      </c>
      <c r="J272" s="16">
        <f>IF(C272=0,0,IF(P272="Complete",((S272*(R272-'Operating costs'!$B$39))+ROUNDUP(S272*(R272-'Operating costs'!$B$39)*IF('Replacement plan'!$AG$73="",'Operating costs'!$B$7,'Replacement plan'!$AG$73)/('Operating costs'!$B$8-'Operating costs'!$B$9*IF('Replacement plan'!$AG$73="",'Operating costs'!$B$7,'Replacement plan'!$AG$73)),0)*'Operating costs'!$B$9)*IF('Replacement plan'!$AG$73="",'Operating costs'!$B$7,'Replacement plan'!$AG$73)*('Energy and charging'!$B$9*'Energy and charging'!$B$7+(1-'Energy and charging'!$B$9)*'Energy and charging'!$B$8)*'Operating costs'!$B$23,"n.a."))</f>
        <v>0</v>
      </c>
      <c r="K272" s="16">
        <f>IF(C272=0,0,IF(P272="Complete",SUM('Operating costs'!$B$24,'Operating costs'!$B$27,'Operating costs'!$B$29,'Operating costs'!$B$31,'Operating costs'!$B$33,'Operating costs'!$B$34,'Operating costs'!$B$37,'Replacement plan'!$W$73)+'Operating costs'!$B$39*'Operating costs'!$B$42+ROUNDUP(S272*(R272-'Operating costs'!$B$39)*IF('Replacement plan'!$AG$73="",'Operating costs'!$B$7,'Replacement plan'!$AG$73)/('Operating costs'!$B$8-'Operating costs'!$B$9*IF('Replacement plan'!$AG$73="",'Operating costs'!$B$7,'Replacement plan'!$AG$73)),0)*('Operating costs'!$B$9/'Operating costs'!$B$11+'Operating costs'!$B$10/60)*'Operating costs'!$B$19*'Operating costs'!$B$21,"n.a."))</f>
        <v>0</v>
      </c>
      <c r="L272" s="16">
        <f>IF(C272=0,0,IF(P272="Complete",IF(D272="EV",X272*((1-T272)*'Energy and charging'!$B$10+T272*'Energy and charging'!$B$11)*'Operating costs'!$B$22,AA272*('Energy and charging'!$B$9*'Energy and charging'!$B$7+(1-'Energy and charging'!$B$9)*'Energy and charging'!$B$8)*'Operating costs'!$B$23),"n.a."))</f>
        <v>0</v>
      </c>
      <c r="M272" s="37">
        <f>IF(C272=0,0,IF(P272="Complete",IF(D272="ICE",SUM('Operating costs'!$B$25,'Operating costs'!$B$27,'Operating costs'!$B$29,'Operating costs'!$B$31,'Operating costs'!$B$33,'Operating costs'!$B$35,'Operating costs'!$B$37,'Replacement plan'!$X$73)+'Operating costs'!$B$40*'Operating costs'!$B$42+ROUNDUP(S272*(R272-'Operating costs'!$B$40)*IF('Replacement plan'!$AH$73="",'Operating costs'!$B$7,'Replacement plan'!$AH$73)/('Operating costs'!$B$8-'Operating costs'!$B$9*IF('Replacement plan'!$AH$73="",'Operating costs'!$B$7,'Replacement plan'!$AH$73)),0)*('Operating costs'!$B$9/'Operating costs'!$B$11+'Operating costs'!$B$10/60)*'Operating costs'!$B$19*'Operating costs'!$B$21,SUM(AP272,'Operating costs'!$B$28,'Operating costs'!$B$30,'Operating costs'!$B$32,'Operating costs'!$B$33,'Operating costs'!$B$36,'Operating costs'!$B$38,'Replacement plan'!$Y$73)+'Operating costs'!$B$41*'Operating costs'!$B$43+W272*'Operating costs'!$B$15+(T272*X272/'Replacement plan'!$L$73+W272*('Operating costs'!$B$12/'Operating costs'!$B$11+('Operating costs'!$B$13+'Operating costs'!$B$14)/60)+(R272-'Operating costs'!$B$41)*(IF(T272&lt;1,'Operating costs'!$B$16,0)+'Operating costs'!$B$17)/60)*'Operating costs'!$B$19*'Operating costs'!$B$20),"n.a."))</f>
        <v>0</v>
      </c>
      <c r="N272" s="16">
        <f>IF(AND(C272=1,D272="EV",E272&lt;120,E272+'Replacement plan'!$AA$73&lt;=120),'Replacement plan'!$Z$73,0)</f>
        <v>0</v>
      </c>
      <c r="O272" s="1">
        <f>E272+'Replacement plan'!$AA$73</f>
        <v>0</v>
      </c>
      <c r="P272" s="35" t="str">
        <f>IFERROR(IF(C272=0,"Excluded",IF(OR(COUNTIFS('Fleet register'!$A$7:$A$106,A272)&lt;&gt;1,COUNTIFS('Replacement plan'!$A$7:$A$106,A272)&lt;&gt;1),"Duplicate/missing ID",IF(NOT(AND(ISNUMBER(VLOOKUP($A272,'Fleet register'!$A$7:$S$106,5,FALSE)),ISNUMBER(VLOOKUP($A272,'Fleet register'!$A$7:$S$106,6,FALSE)),ISNUMBER(VLOOKUP($A272,'Fleet register'!$A$7:$S$106,10,FALSE)),ISNUMBER(VLOOKUP($A272,'Fleet register'!$A$7:$S$106,11,FALSE)),ISNUMBER(VLOOKUP($A272,'Fleet register'!$A$7:$S$106,12,FALSE)),ISNUMBER(VLOOKUP($A272,'Fleet register'!$A$7:$S$106,13,FALSE)),ISNUMBER(VLOOKUP($A272,'Fleet register'!$A$7:$S$106,14,FALSE)),VLOOKUP($A272,'Fleet register'!$A$7:$S$106,14,FALSE)&gt;0,ISNUMBER('Replacement plan'!$C$73),OR(E272=120,OR(ISNUMBER('Replacement plan'!$AI$73),AND('Replacement plan'!$AI$73="",ISNUMBER('Operating costs'!$B$56)))),ISNUMBER(E272))),"Missing vehicle input",IF(OR(E272&lt;0,E272&gt;VLOOKUP($A272,'Fleet register'!$A$7:$S$106,10,FALSE),E272&gt;120,E272&lt;&gt;INT(E272),VLOOKUP($A272,'Fleet register'!$A$7:$S$106,6,FALSE)&lt;=0,VLOOKUP($A272,'Fleet register'!$A$7:$S$106,6,FALSE)&gt;366,VLOOKUP($A272,'Fleet register'!$A$7:$S$106,5,FALSE)&lt;0,VLOOKUP($A272,'Fleet register'!$A$7:$S$106,11,FALSE)&lt;0,I272&lt;0,'Operating costs'!$B$8&lt;='Operating costs'!$B$7*'Operating costs'!$B$9,'Operating costs'!$B$11&lt;=0,'Operating costs'!$B$39&gt;R272,'Operating costs'!$B$40&gt;R272,'Operating costs'!$B$41&gt;R272,NOT(OR("New ICE"="Keep ICE","New ICE"="New ICE","New ICE"="EV"))),"Invalid vehicle input",IF(AND(D272="EV",E272&lt;120,OR(NOT(ISNUMBER(U272)),NOT(ISNUMBER(V272)),V272&lt;=0,T272&lt;0,T272&gt;1,'Replacement plan'!$L$73&lt;=0,'Operating costs'!$B$44&lt;0,'Operating costs'!$B$44&gt;=1,'Operating costs'!$B$47&lt;=0,'Operating costs'!$B$47&gt;1,V272*'Operating costs'!$B$47/(1-'Operating costs'!$B$44)&lt;=T272*'Operating costs'!$B$12*U272,AND('Replacement plan'!$Z$73&gt;0,OR('Replacement plan'!$AB$73&lt;&gt;"Yes",'Operating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charging'!$B$8&gt;=0))),ISNUMBER(VLOOKUP($A272,'Fleet register'!$A$7:$S$106,15,FALSE)),ISNUMBER(VLOOKUP($A272,'Fleet register'!$A$7:$S$106,16,FALSE)),ISNUMBER('Replacement plan'!$W$73),ISNUMBER('Replacement plan'!$X$73),OR(E272=120,AND(ISNUMBER(G272),G272&gt;=0)),ISNUMBER(H272),H272&gt;=0,OR(D272&lt;&gt;"EV",E272=120,AND(ISNUMBER('Operating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average",ISNUMBER(IFERROR(INDEX(Products!$P$7:$P$13,MATCH(AD272,Products!$A$7:$A$13,0)),"")))),ISNUMBER('Operating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plan'!$Y$73),ISNUMBER('Replacement plan'!$Z$73),'Replacement plan'!$Z$73&gt;=0,ISNUMBER('Replacement plan'!$AA$73),'Replacement plan'!$AA$73&gt;=0,'Replacement plan'!$AA$73=INT('Replacement plan'!$AA$73),ISNUMBER('Replacement plan'!$L$73))),'Operating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plan'!$AG$73="",'Operating costs'!$B$7,'Replacement plan'!$AG$73)),IF('Replacement plan'!$AG$73="",'Operating costs'!$B$7,'Replacement plan'!$AG$73)&gt;=0,ISNUMBER(IF('Replacement plan'!$AH$73="",'Operating costs'!$B$7,'Replacement plan'!$AH$73)),IF('Replacement plan'!$AH$73="",'Operating costs'!$B$7,'Replacement plan'!$AH$73)&gt;=0,'Operating costs'!$B$8&gt;MAX(IF('Replacement plan'!$AG$73="",'Operating costs'!$B$7,'Replacement plan'!$AG$73),IF('Replacement plan'!$AH$73="",'Operating costs'!$B$7,'Replacement plan'!$AH$73))*'Operating costs'!$B$9),IF(AND(VLOOKUP($A272,'Fleet register'!$A$7:$S$106,10,FALSE)&gt;=0,VLOOKUP($A272,'Fleet register'!$A$7:$S$106,10,FALSE)&lt;=120,VLOOKUP($A272,'Fleet register'!$A$7:$S$106,10,FALSE)=INT(VLOOKUP($A272,'Fleet register'!$A$7:$S$106,10,FALSE)),VLOOKUP($A272,'Fleet register'!$A$7:$S$106,15,FALSE)&gt;=0,VLOOKUP($A272,'Fleet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costs'!$B$67)&gt;=0,OR(D272&lt;&gt;"EV",E272=120,AND(MIN('Operating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72" s="1" t="str">
        <f>IF(C272=0,"Excluded",IF(P272&lt;&gt;"Complete",P272,IF(OR('Replacement plan'!$AD$73&lt;120-E272,AND(D272="EV",E272&lt;120,OR('Replacement plan'!$AC$73&lt;120-E272,'Replacement plan'!$I$73="No",AND(ISNUMBER(AF272),AE272&gt;AF272),AI272&gt;V272*(1-'Operating costs'!$B$46)^MAX(0,AB272-1)*(1-'Operating costs'!$B$45),AC272&gt;'Operating costs'!$B$18,AND(T272&lt;1,OR(AG272&lt;=0,AND(ISNUMBER(AH272),AG272&gt;AH272))),'Replacement plan'!$L$73&gt;INDEX(Products!$H$7:$H$13,MATCH('Replacement plan'!$B$73,Products!$A$7:$A$13,0))))),"Fails entered limits",IF(AND(D272="EV",E272&lt;120,OR(NOT(ISNUMBER(VLOOKUP($A272,'Fleet register'!$A$7:$S$106,7,FALSE))),NOT(ISNUMBER(VLOOKUP($A272,'Fleet register'!$A$7:$S$106,8,FALSE))),NOT(ISNUMBER(AF272)),'Replacement plan'!$I$73&lt;&gt;"Yes",NOT(ISNUMBER(AH272)),'Operating costs'!$B$59&lt;&gt;"Yes",'Operating costs'!$B$58&lt;&gt;"Yes")),"Unverified","Within entered limits"))))</f>
        <v>Excluded</v>
      </c>
      <c r="R272" s="1">
        <f>IF(C272=0,0,VLOOKUP($A272,'Fleet register'!$A$7:$S$106,6,FALSE))</f>
        <v>0</v>
      </c>
      <c r="S272" s="1">
        <f>IF(C272=0,0,VLOOKUP($A272,'Fleet register'!$A$7:$S$106,5,FALSE))</f>
        <v>0</v>
      </c>
      <c r="T272" s="1">
        <f>IF(D272="EV",'Energy and charging'!$B$12,0)</f>
        <v>0</v>
      </c>
      <c r="U272" s="1">
        <f>IFERROR(IF(C272=0,0,IF(D272="EV",IF('Replacement plan'!$F$73="",INDEX(Products!$E$7:$E$13,MATCH('Replacement plan'!$B$73,Products!$A$7:$A$13,0)),'Replacement plan'!$F$73)/IF('Replacement plan'!$G$73="Battery",1-'Operating costs'!$B$44,1),0)),"n.a.")</f>
        <v>0</v>
      </c>
      <c r="V272" s="1">
        <f>IFERROR(IF(C272=0,0,IF(D272="EV",IF('Replacement plan'!$E$73="",INDEX(Products!$D$7:$D$13,MATCH('Replacement plan'!$B$73,Products!$A$7:$A$13,0)),'Replacement plan'!$E$73),0)),"n.a.")</f>
        <v>0</v>
      </c>
      <c r="W272" s="1">
        <f>IF(C272=0,0,IF(AND(P272="Complete",D272="EV",E272&lt;120),IF(T272=0,0,ROUNDUP(T272*(R272-'Operating costs'!$B$41)*(S272*U272+'Operating costs'!$B$48/(1-'Operating costs'!$B$44))/(V272*'Operating costs'!$B$47/(1-'Operating costs'!$B$44)-T272*'Operating costs'!$B$12*U272),0)),0))</f>
        <v>0</v>
      </c>
      <c r="X272" s="1">
        <f>IF(C272=0,0,IF(AND(P272="Complete",D272="EV",E272&lt;120),(R272-'Operating costs'!$B$41)*(S272*U272+'Operating costs'!$B$48/(1-'Operating costs'!$B$44))+W272*'Operating costs'!$B$12*U272,0))</f>
        <v>0</v>
      </c>
      <c r="Y272" s="1">
        <f>IF(AND(C272=1,D272="EV",E272&lt;120),AI272/(1-'Operating costs'!$B$44)*(1-T272),0)</f>
        <v>0</v>
      </c>
      <c r="Z272" s="1">
        <f t="shared" si="8"/>
        <v>0</v>
      </c>
      <c r="AA272" s="1">
        <f>IF(C272=0,0,IF(P272="Complete",((S272*(R272-'Operating costs'!$B$40))+ROUNDUP(S272*(R272-'Operating costs'!$B$40)*IF('Replacement plan'!$AH$73="",'Operating costs'!$B$7,'Replacement plan'!$AH$73)/('Operating costs'!$B$8-'Operating costs'!$B$9*IF('Replacement plan'!$AH$73="",'Operating costs'!$B$7,'Replacement plan'!$AH$73)),0)*'Operating costs'!$B$9)*IF('Replacement plan'!$AH$73="",'Operating costs'!$B$7,'Replacement plan'!$AH$73),"n.a."))</f>
        <v>0</v>
      </c>
      <c r="AB272" s="1">
        <f t="shared" si="9"/>
        <v>0</v>
      </c>
      <c r="AC272" s="1">
        <f>IF(AND(C272=1,D272="EV",E272&lt;120,T272&gt;0),'Operating costs'!$B$12/'Operating costs'!$B$11*60+'Operating costs'!$B$13+'Operating costs'!$B$14+V272*'Operating costs'!$B$47/(1-'Operating costs'!$B$44)/'Replacement plan'!$L$73*60,0)</f>
        <v>0</v>
      </c>
      <c r="AD272" s="1" t="str">
        <f>'Replacement plan'!$B$73</f>
        <v>ChengLong L2EV</v>
      </c>
      <c r="AE272" s="1">
        <f>IF(C272=0,0,VLOOKUP($A272,'Fleet register'!$A$7:$S$106,8,FALSE))</f>
        <v>0</v>
      </c>
      <c r="AF272" s="1" t="str">
        <f>IF('Replacement plan'!$H$73="","n.a.",'Replacement plan'!$H$73)</f>
        <v>n.a.</v>
      </c>
      <c r="AG272" s="1">
        <f>'Replacement plan'!$J$73</f>
        <v>22</v>
      </c>
      <c r="AH272" s="1">
        <f>IFERROR(IF(D272="EV",IF('Replacement plan'!$K$73="AC",IF(ISNUMBER(INDEX(Products!$G$7:$G$13,MATCH('Replacement plan'!$B$73,Products!$A$7:$A$13,0))),INDEX(Products!$G$7:$G$13,MATCH('Replacement plan'!$B$73,Products!$A$7:$A$13,0)),"n.a."),IF(ISNUMBER(INDEX(Products!$H$7:$H$13,MATCH('Replacement plan'!$B$73,Products!$A$7:$A$13,0))),INDEX(Products!$H$7:$H$13,MATCH('Replacement plan'!$B$73,Products!$A$7:$A$13,0)),"n.a.")),0),"n.a.")</f>
        <v>0</v>
      </c>
      <c r="AI272" s="1">
        <f>IF(AND(C272=1,D272="EV",E272&lt;120),(VLOOKUP($A272,'Fleet register'!$A$7:$S$106,7,FALSE)+IF(T272&gt;0,'Operating costs'!$B$12,0))*U272*(1-'Operating costs'!$B$44)+'Operating costs'!$B$49,0)</f>
        <v>0</v>
      </c>
      <c r="AJ272" s="1">
        <f>IF(D272="EV",'Energy and charging'!$B$50,0)</f>
        <v>0</v>
      </c>
      <c r="AK272" s="17">
        <f>EDATE('Operating costs'!$B$63,E272)</f>
        <v>46298</v>
      </c>
      <c r="AL272" s="1">
        <f>IFERROR(IF(D272="EV",INDEX(Products!$B$7:$B$13,MATCH('Replacement plan'!$B$73,Products!$A$7:$A$13,0)),0),"n.a.")</f>
        <v>0</v>
      </c>
      <c r="AM272" s="1" t="str">
        <f>'Replacement plan'!$K$73</f>
        <v>DC</v>
      </c>
      <c r="AN272" s="1" t="str">
        <f>'Replacement plan'!$AE$73</f>
        <v>Assumed</v>
      </c>
      <c r="AO272" s="47">
        <f>IF(AND(C272=1,D272="EV",E272&lt;120),(R272-'Operating costs'!$B$41)*S272+W272*'Operating costs'!$B$12,0)</f>
        <v>0</v>
      </c>
      <c r="AP272" s="41">
        <f>IF(AND(C272=1,D272="EV",E272&lt;120),IF('Operating costs'!$B$68="Hong Seh 200k average",AO272*IFERROR(INDEX(Products!$P$7:$P$13,MATCH(AD272,Products!$A$7:$A$13,0)),"n.a."),'Operating costs'!$B$26),0)</f>
        <v>0</v>
      </c>
      <c r="AQ272" s="40" t="str">
        <f>IF(D272="EV",'Operating costs'!$B$68,"Not applicable")</f>
        <v>Not applicable</v>
      </c>
    </row>
    <row r="273" spans="1:43" ht="24" customHeight="1">
      <c r="A273" s="1" t="str">
        <f>'Replacement plan'!A73</f>
        <v>T067</v>
      </c>
      <c r="B273" s="1">
        <v>2</v>
      </c>
      <c r="C273" s="1">
        <f>IF(COUNTIFS('Fleet register'!$A$7:$A$106,$A273)=1,VLOOKUP($A273,'Fleet register'!$A$7:$S$106,2,FALSE),0)</f>
        <v>0</v>
      </c>
      <c r="D273" s="1" t="str">
        <f>IF('Replacement plan'!$O$73="EV","EV","ICE")</f>
        <v>ICE</v>
      </c>
      <c r="E273" s="1">
        <f>IF(C273=0,0,IF('Replacement plan'!$P$73="",IF('Replacement plan'!$O$73="Keep ICE",IF('Replacement plan'!$M$73="",VLOOKUP($A273,'Fleet register'!$A$7:$S$106,10,FALSE),'Replacement plan'!$M$73),0),'Replacement plan'!$P$73))</f>
        <v>0</v>
      </c>
      <c r="F273" s="16">
        <f>IF(C273=0,0,VLOOKUP($A273,'Fleet register'!$A$7:$S$106,11,FALSE))</f>
        <v>0</v>
      </c>
      <c r="G273" s="16">
        <f>IFERROR(IF(C273=0,0,IF(E273=120,0,IF(D273="ICE",'Replacement plan'!$C$73,IF('Replacement plan'!$D$73="",INDEX(Products!$I$7:$I$13,MATCH('Replacement plan'!$B$73,Products!$A$7:$A$13,0))+'Operating costs'!$B$57,'Replacement plan'!$D$73))*(1+'Operating costs'!$B$50)^(E273/12))),"n.a.")</f>
        <v>0</v>
      </c>
      <c r="H273" s="16">
        <f>IFERROR(IF(C273=0,0,IF('Replacement plan'!$U$73&lt;&gt;"",'Replacement plan'!$U$73,IF(E273=0,F273,VLOOKUP($A273,'Fleet register'!$A$7:$S$106,12,FALSE)+VLOOKUP($A273,'Fleet register'!$A$7:$S$106,13,FALSE)*MAX(0,VLOOKUP($A273,'Fleet register'!$A$7:$S$106,10,FALSE)-E273)/VLOOKUP($A273,'Fleet register'!$A$7:$S$106,14,FALSE)))),"n.a.")</f>
        <v>0</v>
      </c>
      <c r="I273" s="16">
        <f>IF(C273=0,0,IF(E273=120,0,'Replacement plan'!$Q$73))</f>
        <v>0</v>
      </c>
      <c r="J273" s="16">
        <f>IF(C273=0,0,IF(P273="Complete",((S273*(R273-'Operating costs'!$B$39))+ROUNDUP(S273*(R273-'Operating costs'!$B$39)*IF('Replacement plan'!$AG$73="",'Operating costs'!$B$7,'Replacement plan'!$AG$73)/('Operating costs'!$B$8-'Operating costs'!$B$9*IF('Replacement plan'!$AG$73="",'Operating costs'!$B$7,'Replacement plan'!$AG$73)),0)*'Operating costs'!$B$9)*IF('Replacement plan'!$AG$73="",'Operating costs'!$B$7,'Replacement plan'!$AG$73)*('Energy and charging'!$B$9*'Energy and charging'!$B$7+(1-'Energy and charging'!$B$9)*'Energy and charging'!$B$8)*'Operating costs'!$B$23,"n.a."))</f>
        <v>0</v>
      </c>
      <c r="K273" s="16">
        <f>IF(C273=0,0,IF(P273="Complete",SUM('Operating costs'!$B$24,'Operating costs'!$B$27,'Operating costs'!$B$29,'Operating costs'!$B$31,'Operating costs'!$B$33,'Operating costs'!$B$34,'Operating costs'!$B$37,'Replacement plan'!$W$73)+'Operating costs'!$B$39*'Operating costs'!$B$42+ROUNDUP(S273*(R273-'Operating costs'!$B$39)*IF('Replacement plan'!$AG$73="",'Operating costs'!$B$7,'Replacement plan'!$AG$73)/('Operating costs'!$B$8-'Operating costs'!$B$9*IF('Replacement plan'!$AG$73="",'Operating costs'!$B$7,'Replacement plan'!$AG$73)),0)*('Operating costs'!$B$9/'Operating costs'!$B$11+'Operating costs'!$B$10/60)*'Operating costs'!$B$19*'Operating costs'!$B$21,"n.a."))</f>
        <v>0</v>
      </c>
      <c r="L273" s="16">
        <f>IF(C273=0,0,IF(P273="Complete",IF(D273="EV",X273*((1-T273)*'Energy and charging'!$B$10+T273*'Energy and charging'!$B$11)*'Operating costs'!$B$22,AA273*('Energy and charging'!$B$9*'Energy and charging'!$B$7+(1-'Energy and charging'!$B$9)*'Energy and charging'!$B$8)*'Operating costs'!$B$23),"n.a."))</f>
        <v>0</v>
      </c>
      <c r="M273" s="37">
        <f>IF(C273=0,0,IF(P273="Complete",IF(D273="ICE",SUM('Operating costs'!$B$25,'Operating costs'!$B$27,'Operating costs'!$B$29,'Operating costs'!$B$31,'Operating costs'!$B$33,'Operating costs'!$B$35,'Operating costs'!$B$37,'Replacement plan'!$X$73)+'Operating costs'!$B$40*'Operating costs'!$B$42+ROUNDUP(S273*(R273-'Operating costs'!$B$40)*IF('Replacement plan'!$AH$73="",'Operating costs'!$B$7,'Replacement plan'!$AH$73)/('Operating costs'!$B$8-'Operating costs'!$B$9*IF('Replacement plan'!$AH$73="",'Operating costs'!$B$7,'Replacement plan'!$AH$73)),0)*('Operating costs'!$B$9/'Operating costs'!$B$11+'Operating costs'!$B$10/60)*'Operating costs'!$B$19*'Operating costs'!$B$21,SUM(AP273,'Operating costs'!$B$28,'Operating costs'!$B$30,'Operating costs'!$B$32,'Operating costs'!$B$33,'Operating costs'!$B$36,'Operating costs'!$B$38,'Replacement plan'!$Y$73)+'Operating costs'!$B$41*'Operating costs'!$B$43+W273*'Operating costs'!$B$15+(T273*X273/'Replacement plan'!$L$73+W273*('Operating costs'!$B$12/'Operating costs'!$B$11+('Operating costs'!$B$13+'Operating costs'!$B$14)/60)+(R273-'Operating costs'!$B$41)*(IF(T273&lt;1,'Operating costs'!$B$16,0)+'Operating costs'!$B$17)/60)*'Operating costs'!$B$19*'Operating costs'!$B$20),"n.a."))</f>
        <v>0</v>
      </c>
      <c r="N273" s="16">
        <f>IF(AND(C273=1,D273="EV",E273&lt;120,E273+'Replacement plan'!$AA$73&lt;=120),'Replacement plan'!$Z$73,0)</f>
        <v>0</v>
      </c>
      <c r="O273" s="1">
        <f>E273+'Replacement plan'!$AA$73</f>
        <v>0</v>
      </c>
      <c r="P273" s="35" t="str">
        <f>IFERROR(IF(C273=0,"Excluded",IF(OR(COUNTIFS('Fleet register'!$A$7:$A$106,A273)&lt;&gt;1,COUNTIFS('Replacement plan'!$A$7:$A$106,A273)&lt;&gt;1),"Duplicate/missing ID",IF(NOT(AND(ISNUMBER(VLOOKUP($A273,'Fleet register'!$A$7:$S$106,5,FALSE)),ISNUMBER(VLOOKUP($A273,'Fleet register'!$A$7:$S$106,6,FALSE)),ISNUMBER(VLOOKUP($A273,'Fleet register'!$A$7:$S$106,10,FALSE)),ISNUMBER(VLOOKUP($A273,'Fleet register'!$A$7:$S$106,11,FALSE)),ISNUMBER(VLOOKUP($A273,'Fleet register'!$A$7:$S$106,12,FALSE)),ISNUMBER(VLOOKUP($A273,'Fleet register'!$A$7:$S$106,13,FALSE)),ISNUMBER(VLOOKUP($A273,'Fleet register'!$A$7:$S$106,14,FALSE)),VLOOKUP($A273,'Fleet register'!$A$7:$S$106,14,FALSE)&gt;0,ISNUMBER('Replacement plan'!$C$73),OR(E273=120,ISNUMBER('Replacement plan'!$Q$73)),ISNUMBER(E273))),"Missing vehicle input",IF(OR(E273&lt;0,E273&gt;VLOOKUP($A273,'Fleet register'!$A$7:$S$106,10,FALSE),E273&gt;120,E273&lt;&gt;INT(E273),VLOOKUP($A273,'Fleet register'!$A$7:$S$106,6,FALSE)&lt;=0,VLOOKUP($A273,'Fleet register'!$A$7:$S$106,6,FALSE)&gt;366,VLOOKUP($A273,'Fleet register'!$A$7:$S$106,5,FALSE)&lt;0,VLOOKUP($A273,'Fleet register'!$A$7:$S$106,11,FALSE)&lt;0,I273&lt;0,'Operating costs'!$B$8&lt;='Operating costs'!$B$7*'Operating costs'!$B$9,'Operating costs'!$B$11&lt;=0,'Operating costs'!$B$39&gt;R273,'Operating costs'!$B$40&gt;R273,'Operating costs'!$B$41&gt;R273,NOT(OR('Replacement plan'!$O$73="Keep ICE",'Replacement plan'!$O$73="New ICE",'Replacement plan'!$O$73="EV"))),"Invalid vehicle input",IF(AND(D273="EV",E273&lt;120,OR(NOT(ISNUMBER(U273)),NOT(ISNUMBER(V273)),V273&lt;=0,T273&lt;0,T273&gt;1,'Replacement plan'!$L$73&lt;=0,'Operating costs'!$B$44&lt;0,'Operating costs'!$B$44&gt;=1,'Operating costs'!$B$47&lt;=0,'Operating costs'!$B$47&gt;1,V273*'Operating costs'!$B$47/(1-'Operating costs'!$B$44)&lt;=T273*'Operating costs'!$B$12*U273,AND('Replacement plan'!$Z$73&gt;0,OR('Replacement plan'!$AB$73&lt;&gt;"Yes",'Operating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charging'!$B$8&gt;=0))),ISNUMBER(VLOOKUP($A273,'Fleet register'!$A$7:$S$106,15,FALSE)),ISNUMBER(VLOOKUP($A273,'Fleet register'!$A$7:$S$106,16,FALSE)),ISNUMBER('Replacement plan'!$W$73),ISNUMBER('Replacement plan'!$X$73),OR(E273=120,AND(ISNUMBER(G273),G273&gt;=0)),ISNUMBER(H273),H273&gt;=0,OR(D273&lt;&gt;"EV",E273=120,AND(ISNUMBER('Operating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average",ISNUMBER(IFERROR(INDEX(Products!$P$7:$P$13,MATCH(AD273,Products!$A$7:$A$13,0)),"")))),ISNUMBER('Operating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plan'!$Y$73),ISNUMBER('Replacement plan'!$Z$73),'Replacement plan'!$Z$73&gt;=0,ISNUMBER('Replacement plan'!$AA$73),'Replacement plan'!$AA$73&gt;=0,'Replacement plan'!$AA$73=INT('Replacement plan'!$AA$73),ISNUMBER('Replacement plan'!$L$73))),'Operating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plan'!$AG$73="",'Operating costs'!$B$7,'Replacement plan'!$AG$73)),IF('Replacement plan'!$AG$73="",'Operating costs'!$B$7,'Replacement plan'!$AG$73)&gt;=0,ISNUMBER(IF('Replacement plan'!$AH$73="",'Operating costs'!$B$7,'Replacement plan'!$AH$73)),IF('Replacement plan'!$AH$73="",'Operating costs'!$B$7,'Replacement plan'!$AH$73)&gt;=0,'Operating costs'!$B$8&gt;MAX(IF('Replacement plan'!$AG$73="",'Operating costs'!$B$7,'Replacement plan'!$AG$73),IF('Replacement plan'!$AH$73="",'Operating costs'!$B$7,'Replacement plan'!$AH$73))*'Operating costs'!$B$9),IF(AND(VLOOKUP($A273,'Fleet register'!$A$7:$S$106,10,FALSE)&gt;=0,VLOOKUP($A273,'Fleet register'!$A$7:$S$106,10,FALSE)&lt;=120,VLOOKUP($A273,'Fleet register'!$A$7:$S$106,10,FALSE)=INT(VLOOKUP($A273,'Fleet register'!$A$7:$S$106,10,FALSE)),VLOOKUP($A273,'Fleet register'!$A$7:$S$106,15,FALSE)&gt;=0,VLOOKUP($A273,'Fleet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costs'!$B$67)&gt;=0,OR(D273&lt;&gt;"EV",E273=120,AND(MIN('Operating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73" s="1" t="str">
        <f>IF(C273=0,"Excluded",IF(P273&lt;&gt;"Complete",P273,IF(OR('Replacement plan'!$AD$73&lt;120-E273,AND(D273="EV",E273&lt;120,OR('Replacement plan'!$AC$73&lt;120-E273,'Replacement plan'!$I$73="No",AND(ISNUMBER(AF273),AE273&gt;AF273),AI273&gt;V273*(1-'Operating costs'!$B$46)^MAX(0,AB273-1)*(1-'Operating costs'!$B$45),AC273&gt;'Operating costs'!$B$18,AND(T273&lt;1,OR(AG273&lt;=0,AND(ISNUMBER(AH273),AG273&gt;AH273))),'Replacement plan'!$L$73&gt;INDEX(Products!$H$7:$H$13,MATCH('Replacement plan'!$B$73,Products!$A$7:$A$13,0))))),"Fails entered limits",IF(AND(D273="EV",E273&lt;120,OR(NOT(ISNUMBER(VLOOKUP($A273,'Fleet register'!$A$7:$S$106,7,FALSE))),NOT(ISNUMBER(VLOOKUP($A273,'Fleet register'!$A$7:$S$106,8,FALSE))),NOT(ISNUMBER(AF273)),'Replacement plan'!$I$73&lt;&gt;"Yes",NOT(ISNUMBER(AH273)),'Operating costs'!$B$59&lt;&gt;"Yes",'Operating costs'!$B$58&lt;&gt;"Yes")),"Unverified","Within entered limits"))))</f>
        <v>Excluded</v>
      </c>
      <c r="R273" s="1">
        <f>IF(C273=0,0,VLOOKUP($A273,'Fleet register'!$A$7:$S$106,6,FALSE))</f>
        <v>0</v>
      </c>
      <c r="S273" s="1">
        <f>IF(C273=0,0,VLOOKUP($A273,'Fleet register'!$A$7:$S$106,5,FALSE))</f>
        <v>0</v>
      </c>
      <c r="T273" s="1">
        <f>IF(D273="EV",'Energy and charging'!$B$12,0)</f>
        <v>0</v>
      </c>
      <c r="U273" s="1">
        <f>IFERROR(IF(C273=0,0,IF(D273="EV",IF('Replacement plan'!$F$73="",INDEX(Products!$E$7:$E$13,MATCH('Replacement plan'!$B$73,Products!$A$7:$A$13,0)),'Replacement plan'!$F$73)/IF('Replacement plan'!$G$73="Battery",1-'Operating costs'!$B$44,1),0)),"n.a.")</f>
        <v>0</v>
      </c>
      <c r="V273" s="1">
        <f>IFERROR(IF(C273=0,0,IF(D273="EV",IF('Replacement plan'!$E$73="",INDEX(Products!$D$7:$D$13,MATCH('Replacement plan'!$B$73,Products!$A$7:$A$13,0)),'Replacement plan'!$E$73),0)),"n.a.")</f>
        <v>0</v>
      </c>
      <c r="W273" s="1">
        <f>IF(C273=0,0,IF(AND(P273="Complete",D273="EV",E273&lt;120),IF(T273=0,0,ROUNDUP(T273*(R273-'Operating costs'!$B$41)*(S273*U273+'Operating costs'!$B$48/(1-'Operating costs'!$B$44))/(V273*'Operating costs'!$B$47/(1-'Operating costs'!$B$44)-T273*'Operating costs'!$B$12*U273),0)),0))</f>
        <v>0</v>
      </c>
      <c r="X273" s="1">
        <f>IF(C273=0,0,IF(AND(P273="Complete",D273="EV",E273&lt;120),(R273-'Operating costs'!$B$41)*(S273*U273+'Operating costs'!$B$48/(1-'Operating costs'!$B$44))+W273*'Operating costs'!$B$12*U273,0))</f>
        <v>0</v>
      </c>
      <c r="Y273" s="1">
        <f>IF(AND(C273=1,D273="EV",E273&lt;120),AI273/(1-'Operating costs'!$B$44)*(1-T273),0)</f>
        <v>0</v>
      </c>
      <c r="Z273" s="1">
        <f t="shared" si="8"/>
        <v>0</v>
      </c>
      <c r="AA273" s="1">
        <f>IF(C273=0,0,IF(P273="Complete",((S273*(R273-'Operating costs'!$B$40))+ROUNDUP(S273*(R273-'Operating costs'!$B$40)*IF('Replacement plan'!$AH$73="",'Operating costs'!$B$7,'Replacement plan'!$AH$73)/('Operating costs'!$B$8-'Operating costs'!$B$9*IF('Replacement plan'!$AH$73="",'Operating costs'!$B$7,'Replacement plan'!$AH$73)),0)*'Operating costs'!$B$9)*IF('Replacement plan'!$AH$73="",'Operating costs'!$B$7,'Replacement plan'!$AH$73),"n.a."))</f>
        <v>0</v>
      </c>
      <c r="AB273" s="1">
        <f t="shared" si="9"/>
        <v>0</v>
      </c>
      <c r="AC273" s="1">
        <f>IF(AND(C273=1,D273="EV",E273&lt;120,T273&gt;0),'Operating costs'!$B$12/'Operating costs'!$B$11*60+'Operating costs'!$B$13+'Operating costs'!$B$14+V273*'Operating costs'!$B$47/(1-'Operating costs'!$B$44)/'Replacement plan'!$L$73*60,0)</f>
        <v>0</v>
      </c>
      <c r="AD273" s="1" t="str">
        <f>'Replacement plan'!$B$73</f>
        <v>ChengLong L2EV</v>
      </c>
      <c r="AE273" s="1">
        <f>IF(C273=0,0,VLOOKUP($A273,'Fleet register'!$A$7:$S$106,8,FALSE))</f>
        <v>0</v>
      </c>
      <c r="AF273" s="1" t="str">
        <f>IF('Replacement plan'!$H$73="","n.a.",'Replacement plan'!$H$73)</f>
        <v>n.a.</v>
      </c>
      <c r="AG273" s="1">
        <f>'Replacement plan'!$J$73</f>
        <v>22</v>
      </c>
      <c r="AH273" s="1">
        <f>IFERROR(IF(D273="EV",IF('Replacement plan'!$K$73="AC",IF(ISNUMBER(INDEX(Products!$G$7:$G$13,MATCH('Replacement plan'!$B$73,Products!$A$7:$A$13,0))),INDEX(Products!$G$7:$G$13,MATCH('Replacement plan'!$B$73,Products!$A$7:$A$13,0)),"n.a."),IF(ISNUMBER(INDEX(Products!$H$7:$H$13,MATCH('Replacement plan'!$B$73,Products!$A$7:$A$13,0))),INDEX(Products!$H$7:$H$13,MATCH('Replacement plan'!$B$73,Products!$A$7:$A$13,0)),"n.a.")),0),"n.a.")</f>
        <v>0</v>
      </c>
      <c r="AI273" s="1">
        <f>IF(AND(C273=1,D273="EV",E273&lt;120),(VLOOKUP($A273,'Fleet register'!$A$7:$S$106,7,FALSE)+IF(T273&gt;0,'Operating costs'!$B$12,0))*U273*(1-'Operating costs'!$B$44)+'Operating costs'!$B$49,0)</f>
        <v>0</v>
      </c>
      <c r="AJ273" s="1">
        <f>IF(D273="EV",'Energy and charging'!$B$50,0)</f>
        <v>0</v>
      </c>
      <c r="AK273" s="17">
        <f>EDATE('Operating costs'!$B$63,E273)</f>
        <v>46298</v>
      </c>
      <c r="AL273" s="1">
        <f>IFERROR(IF(D273="EV",INDEX(Products!$B$7:$B$13,MATCH('Replacement plan'!$B$73,Products!$A$7:$A$13,0)),0),"n.a.")</f>
        <v>0</v>
      </c>
      <c r="AM273" s="1" t="str">
        <f>'Replacement plan'!$K$73</f>
        <v>DC</v>
      </c>
      <c r="AN273" s="1" t="str">
        <f>'Replacement plan'!$AE$73</f>
        <v>Assumed</v>
      </c>
      <c r="AO273" s="47">
        <f>IF(AND(C273=1,D273="EV",E273&lt;120),(R273-'Operating costs'!$B$41)*S273+W273*'Operating costs'!$B$12,0)</f>
        <v>0</v>
      </c>
      <c r="AP273" s="41">
        <f>IF(AND(C273=1,D273="EV",E273&lt;120),IF('Operating costs'!$B$68="Hong Seh 200k average",AO273*IFERROR(INDEX(Products!$P$7:$P$13,MATCH(AD273,Products!$A$7:$A$13,0)),"n.a."),'Operating costs'!$B$26),0)</f>
        <v>0</v>
      </c>
      <c r="AQ273" s="40" t="str">
        <f>IF(D273="EV",'Operating costs'!$B$68,"Not applicable")</f>
        <v>Not applicable</v>
      </c>
    </row>
    <row r="274" spans="1:43" ht="24" customHeight="1">
      <c r="A274" s="1" t="str">
        <f>'Replacement plan'!A73</f>
        <v>T067</v>
      </c>
      <c r="B274" s="1">
        <v>3</v>
      </c>
      <c r="C274" s="1">
        <f>IF(COUNTIFS('Fleet register'!$A$7:$A$106,$A274)=1,VLOOKUP($A274,'Fleet register'!$A$7:$S$106,2,FALSE),0)</f>
        <v>0</v>
      </c>
      <c r="D274" s="1" t="str">
        <f>IF('Replacement plan'!$R$73="EV","EV","ICE")</f>
        <v>ICE</v>
      </c>
      <c r="E274" s="1">
        <f>IF(C274=0,0,IF('Replacement plan'!$S$73="",IF('Replacement plan'!$R$73="Keep ICE",IF('Replacement plan'!$M$73="",VLOOKUP($A274,'Fleet register'!$A$7:$S$106,10,FALSE),'Replacement plan'!$M$73),0),'Replacement plan'!$S$73))</f>
        <v>0</v>
      </c>
      <c r="F274" s="16">
        <f>IF(C274=0,0,VLOOKUP($A274,'Fleet register'!$A$7:$S$106,11,FALSE))</f>
        <v>0</v>
      </c>
      <c r="G274" s="16">
        <f>IFERROR(IF(C274=0,0,IF(E274=120,0,IF(D274="ICE",'Replacement plan'!$C$73,IF('Replacement plan'!$D$73="",INDEX(Products!$I$7:$I$13,MATCH('Replacement plan'!$B$73,Products!$A$7:$A$13,0))+'Operating costs'!$B$57,'Replacement plan'!$D$73))*(1+'Operating costs'!$B$50)^(E274/12))),"n.a.")</f>
        <v>0</v>
      </c>
      <c r="H274" s="16">
        <f>IFERROR(IF(C274=0,0,IF('Replacement plan'!$V$73&lt;&gt;"",'Replacement plan'!$V$73,IF(E274=0,F274,VLOOKUP($A274,'Fleet register'!$A$7:$S$106,12,FALSE)+VLOOKUP($A274,'Fleet register'!$A$7:$S$106,13,FALSE)*MAX(0,VLOOKUP($A274,'Fleet register'!$A$7:$S$106,10,FALSE)-E274)/VLOOKUP($A274,'Fleet register'!$A$7:$S$106,14,FALSE)))),"n.a.")</f>
        <v>0</v>
      </c>
      <c r="I274" s="16">
        <f>IF(C274=0,0,IF(E274=120,0,'Replacement plan'!$T$73))</f>
        <v>0</v>
      </c>
      <c r="J274" s="16">
        <f>IF(C274=0,0,IF(P274="Complete",((S274*(R274-'Operating costs'!$B$39))+ROUNDUP(S274*(R274-'Operating costs'!$B$39)*IF('Replacement plan'!$AG$73="",'Operating costs'!$B$7,'Replacement plan'!$AG$73)/('Operating costs'!$B$8-'Operating costs'!$B$9*IF('Replacement plan'!$AG$73="",'Operating costs'!$B$7,'Replacement plan'!$AG$73)),0)*'Operating costs'!$B$9)*IF('Replacement plan'!$AG$73="",'Operating costs'!$B$7,'Replacement plan'!$AG$73)*('Energy and charging'!$C$9*'Energy and charging'!$C$7+(1-'Energy and charging'!$C$9)*'Energy and charging'!$C$8)*'Operating costs'!$B$23,"n.a."))</f>
        <v>0</v>
      </c>
      <c r="K274" s="16">
        <f>IF(C274=0,0,IF(P274="Complete",SUM('Operating costs'!$B$24,'Operating costs'!$B$27,'Operating costs'!$B$29,'Operating costs'!$B$31,'Operating costs'!$B$33,'Operating costs'!$B$34,'Operating costs'!$B$37,'Replacement plan'!$W$73)+'Operating costs'!$B$39*'Operating costs'!$B$42+ROUNDUP(S274*(R274-'Operating costs'!$B$39)*IF('Replacement plan'!$AG$73="",'Operating costs'!$B$7,'Replacement plan'!$AG$73)/('Operating costs'!$B$8-'Operating costs'!$B$9*IF('Replacement plan'!$AG$73="",'Operating costs'!$B$7,'Replacement plan'!$AG$73)),0)*('Operating costs'!$B$9/'Operating costs'!$B$11+'Operating costs'!$B$10/60)*'Operating costs'!$B$19*'Operating costs'!$B$21,"n.a."))</f>
        <v>0</v>
      </c>
      <c r="L274" s="16">
        <f>IF(C274=0,0,IF(P274="Complete",IF(D274="EV",X274*((1-T274)*'Energy and charging'!$C$10+T274*'Energy and charging'!$C$11)*'Operating costs'!$B$22,AA274*('Energy and charging'!$C$9*'Energy and charging'!$C$7+(1-'Energy and charging'!$C$9)*'Energy and charging'!$C$8)*'Operating costs'!$B$23),"n.a."))</f>
        <v>0</v>
      </c>
      <c r="M274" s="37">
        <f>IF(C274=0,0,IF(P274="Complete",IF(D274="ICE",SUM('Operating costs'!$B$25,'Operating costs'!$B$27,'Operating costs'!$B$29,'Operating costs'!$B$31,'Operating costs'!$B$33,'Operating costs'!$B$35,'Operating costs'!$B$37,'Replacement plan'!$X$73)+'Operating costs'!$B$40*'Operating costs'!$B$42+ROUNDUP(S274*(R274-'Operating costs'!$B$40)*IF('Replacement plan'!$AH$73="",'Operating costs'!$B$7,'Replacement plan'!$AH$73)/('Operating costs'!$B$8-'Operating costs'!$B$9*IF('Replacement plan'!$AH$73="",'Operating costs'!$B$7,'Replacement plan'!$AH$73)),0)*('Operating costs'!$B$9/'Operating costs'!$B$11+'Operating costs'!$B$10/60)*'Operating costs'!$B$19*'Operating costs'!$B$21,SUM(AP274,'Operating costs'!$B$28,'Operating costs'!$B$30,'Operating costs'!$B$32,'Operating costs'!$B$33,'Operating costs'!$B$36,'Operating costs'!$B$38,'Replacement plan'!$Y$73)+'Operating costs'!$B$41*'Operating costs'!$B$43+W274*'Operating costs'!$B$15+(T274*X274/'Replacement plan'!$L$73+W274*('Operating costs'!$B$12/'Operating costs'!$B$11+('Operating costs'!$B$13+'Operating costs'!$B$14)/60)+(R274-'Operating costs'!$B$41)*(IF(T274&lt;1,'Operating costs'!$B$16,0)+'Operating costs'!$B$17)/60)*'Operating costs'!$B$19*'Operating costs'!$B$20),"n.a."))</f>
        <v>0</v>
      </c>
      <c r="N274" s="16">
        <f>IF(AND(C274=1,D274="EV",E274&lt;120,E274+'Replacement plan'!$AA$73&lt;=120),'Replacement plan'!$Z$73,0)</f>
        <v>0</v>
      </c>
      <c r="O274" s="1">
        <f>E274+'Replacement plan'!$AA$73</f>
        <v>0</v>
      </c>
      <c r="P274" s="35" t="str">
        <f>IFERROR(IF(C274=0,"Excluded",IF(OR(COUNTIFS('Fleet register'!$A$7:$A$106,A274)&lt;&gt;1,COUNTIFS('Replacement plan'!$A$7:$A$106,A274)&lt;&gt;1),"Duplicate/missing ID",IF(NOT(AND(ISNUMBER(VLOOKUP($A274,'Fleet register'!$A$7:$S$106,5,FALSE)),ISNUMBER(VLOOKUP($A274,'Fleet register'!$A$7:$S$106,6,FALSE)),ISNUMBER(VLOOKUP($A274,'Fleet register'!$A$7:$S$106,10,FALSE)),ISNUMBER(VLOOKUP($A274,'Fleet register'!$A$7:$S$106,11,FALSE)),ISNUMBER(VLOOKUP($A274,'Fleet register'!$A$7:$S$106,12,FALSE)),ISNUMBER(VLOOKUP($A274,'Fleet register'!$A$7:$S$106,13,FALSE)),ISNUMBER(VLOOKUP($A274,'Fleet register'!$A$7:$S$106,14,FALSE)),VLOOKUP($A274,'Fleet register'!$A$7:$S$106,14,FALSE)&gt;0,ISNUMBER('Replacement plan'!$C$73),OR(E274=120,ISNUMBER('Replacement plan'!$T$73)),ISNUMBER(E274))),"Missing vehicle input",IF(OR(E274&lt;0,E274&gt;VLOOKUP($A274,'Fleet register'!$A$7:$S$106,10,FALSE),E274&gt;120,E274&lt;&gt;INT(E274),VLOOKUP($A274,'Fleet register'!$A$7:$S$106,6,FALSE)&lt;=0,VLOOKUP($A274,'Fleet register'!$A$7:$S$106,6,FALSE)&gt;366,VLOOKUP($A274,'Fleet register'!$A$7:$S$106,5,FALSE)&lt;0,VLOOKUP($A274,'Fleet register'!$A$7:$S$106,11,FALSE)&lt;0,I274&lt;0,'Operating costs'!$B$8&lt;='Operating costs'!$B$7*'Operating costs'!$B$9,'Operating costs'!$B$11&lt;=0,'Operating costs'!$B$39&gt;R274,'Operating costs'!$B$40&gt;R274,'Operating costs'!$B$41&gt;R274,NOT(OR('Replacement plan'!$R$73="Keep ICE",'Replacement plan'!$R$73="New ICE",'Replacement plan'!$R$73="EV"))),"Invalid vehicle input",IF(AND(D274="EV",E274&lt;120,OR(NOT(ISNUMBER(U274)),NOT(ISNUMBER(V274)),V274&lt;=0,T274&lt;0,T274&gt;1,'Replacement plan'!$L$73&lt;=0,'Operating costs'!$B$44&lt;0,'Operating costs'!$B$44&gt;=1,'Operating costs'!$B$47&lt;=0,'Operating costs'!$B$47&gt;1,V274*'Operating costs'!$B$47/(1-'Operating costs'!$B$44)&lt;=T274*'Operating costs'!$B$12*U274,AND('Replacement plan'!$Z$73&gt;0,OR('Replacement plan'!$AB$73&lt;&gt;"Yes",'Operating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charging'!$C$8&gt;=0))),ISNUMBER(VLOOKUP($A274,'Fleet register'!$A$7:$S$106,15,FALSE)),ISNUMBER(VLOOKUP($A274,'Fleet register'!$A$7:$S$106,16,FALSE)),ISNUMBER('Replacement plan'!$W$73),ISNUMBER('Replacement plan'!$X$73),OR(E274=120,AND(ISNUMBER(G274),G274&gt;=0)),ISNUMBER(H274),H274&gt;=0,OR(D274&lt;&gt;"EV",E274=120,AND(ISNUMBER('Operating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average",ISNUMBER(IFERROR(INDEX(Products!$P$7:$P$13,MATCH(AD274,Products!$A$7:$A$13,0)),"")))),ISNUMBER('Operating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plan'!$Y$73),ISNUMBER('Replacement plan'!$Z$73),'Replacement plan'!$Z$73&gt;=0,ISNUMBER('Replacement plan'!$AA$73),'Replacement plan'!$AA$73&gt;=0,'Replacement plan'!$AA$73=INT('Replacement plan'!$AA$73),ISNUMBER('Replacement plan'!$L$73))),'Operating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plan'!$AG$73="",'Operating costs'!$B$7,'Replacement plan'!$AG$73)),IF('Replacement plan'!$AG$73="",'Operating costs'!$B$7,'Replacement plan'!$AG$73)&gt;=0,ISNUMBER(IF('Replacement plan'!$AH$73="",'Operating costs'!$B$7,'Replacement plan'!$AH$73)),IF('Replacement plan'!$AH$73="",'Operating costs'!$B$7,'Replacement plan'!$AH$73)&gt;=0,'Operating costs'!$B$8&gt;MAX(IF('Replacement plan'!$AG$73="",'Operating costs'!$B$7,'Replacement plan'!$AG$73),IF('Replacement plan'!$AH$73="",'Operating costs'!$B$7,'Replacement plan'!$AH$73))*'Operating costs'!$B$9),IF(AND(VLOOKUP($A274,'Fleet register'!$A$7:$S$106,10,FALSE)&gt;=0,VLOOKUP($A274,'Fleet register'!$A$7:$S$106,10,FALSE)&lt;=120,VLOOKUP($A274,'Fleet register'!$A$7:$S$106,10,FALSE)=INT(VLOOKUP($A274,'Fleet register'!$A$7:$S$106,10,FALSE)),VLOOKUP($A274,'Fleet register'!$A$7:$S$106,15,FALSE)&gt;=0,VLOOKUP($A274,'Fleet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costs'!$B$67)&gt;=0,OR(D274&lt;&gt;"EV",E274=120,AND(MIN('Operating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74" s="1" t="str">
        <f>IF(C274=0,"Excluded",IF(P274&lt;&gt;"Complete",P274,IF(OR('Replacement plan'!$AD$73&lt;120-E274,AND(D274="EV",E274&lt;120,OR('Replacement plan'!$AC$73&lt;120-E274,'Replacement plan'!$I$73="No",AND(ISNUMBER(AF274),AE274&gt;AF274),AI274&gt;V274*(1-'Operating costs'!$B$46)^MAX(0,AB274-1)*(1-'Operating costs'!$B$45),AC274&gt;'Operating costs'!$B$18,AND(T274&lt;1,OR(AG274&lt;=0,AND(ISNUMBER(AH274),AG274&gt;AH274))),'Replacement plan'!$L$73&gt;INDEX(Products!$H$7:$H$13,MATCH('Replacement plan'!$B$73,Products!$A$7:$A$13,0))))),"Fails entered limits",IF(AND(D274="EV",E274&lt;120,OR(NOT(ISNUMBER(VLOOKUP($A274,'Fleet register'!$A$7:$S$106,7,FALSE))),NOT(ISNUMBER(VLOOKUP($A274,'Fleet register'!$A$7:$S$106,8,FALSE))),NOT(ISNUMBER(AF274)),'Replacement plan'!$I$73&lt;&gt;"Yes",NOT(ISNUMBER(AH274)),'Operating costs'!$B$59&lt;&gt;"Yes",'Operating costs'!$B$58&lt;&gt;"Yes")),"Unverified","Within entered limits"))))</f>
        <v>Excluded</v>
      </c>
      <c r="R274" s="1">
        <f>IF(C274=0,0,VLOOKUP($A274,'Fleet register'!$A$7:$S$106,6,FALSE))</f>
        <v>0</v>
      </c>
      <c r="S274" s="1">
        <f>IF(C274=0,0,VLOOKUP($A274,'Fleet register'!$A$7:$S$106,5,FALSE))</f>
        <v>0</v>
      </c>
      <c r="T274" s="1">
        <f>IF(D274="EV",'Energy and charging'!$C$12,0)</f>
        <v>0</v>
      </c>
      <c r="U274" s="1">
        <f>IFERROR(IF(C274=0,0,IF(D274="EV",IF('Replacement plan'!$F$73="",INDEX(Products!$E$7:$E$13,MATCH('Replacement plan'!$B$73,Products!$A$7:$A$13,0)),'Replacement plan'!$F$73)/IF('Replacement plan'!$G$73="Battery",1-'Operating costs'!$B$44,1),0)),"n.a.")</f>
        <v>0</v>
      </c>
      <c r="V274" s="1">
        <f>IFERROR(IF(C274=0,0,IF(D274="EV",IF('Replacement plan'!$E$73="",INDEX(Products!$D$7:$D$13,MATCH('Replacement plan'!$B$73,Products!$A$7:$A$13,0)),'Replacement plan'!$E$73),0)),"n.a.")</f>
        <v>0</v>
      </c>
      <c r="W274" s="1">
        <f>IF(C274=0,0,IF(AND(P274="Complete",D274="EV",E274&lt;120),IF(T274=0,0,ROUNDUP(T274*(R274-'Operating costs'!$B$41)*(S274*U274+'Operating costs'!$B$48/(1-'Operating costs'!$B$44))/(V274*'Operating costs'!$B$47/(1-'Operating costs'!$B$44)-T274*'Operating costs'!$B$12*U274),0)),0))</f>
        <v>0</v>
      </c>
      <c r="X274" s="1">
        <f>IF(C274=0,0,IF(AND(P274="Complete",D274="EV",E274&lt;120),(R274-'Operating costs'!$B$41)*(S274*U274+'Operating costs'!$B$48/(1-'Operating costs'!$B$44))+W274*'Operating costs'!$B$12*U274,0))</f>
        <v>0</v>
      </c>
      <c r="Y274" s="1">
        <f>IF(AND(C274=1,D274="EV",E274&lt;120),AI274/(1-'Operating costs'!$B$44)*(1-T274),0)</f>
        <v>0</v>
      </c>
      <c r="Z274" s="1">
        <f t="shared" si="8"/>
        <v>0</v>
      </c>
      <c r="AA274" s="1">
        <f>IF(C274=0,0,IF(P274="Complete",((S274*(R274-'Operating costs'!$B$40))+ROUNDUP(S274*(R274-'Operating costs'!$B$40)*IF('Replacement plan'!$AH$73="",'Operating costs'!$B$7,'Replacement plan'!$AH$73)/('Operating costs'!$B$8-'Operating costs'!$B$9*IF('Replacement plan'!$AH$73="",'Operating costs'!$B$7,'Replacement plan'!$AH$73)),0)*'Operating costs'!$B$9)*IF('Replacement plan'!$AH$73="",'Operating costs'!$B$7,'Replacement plan'!$AH$73),"n.a."))</f>
        <v>0</v>
      </c>
      <c r="AB274" s="1">
        <f t="shared" si="9"/>
        <v>0</v>
      </c>
      <c r="AC274" s="1">
        <f>IF(AND(C274=1,D274="EV",E274&lt;120,T274&gt;0),'Operating costs'!$B$12/'Operating costs'!$B$11*60+'Operating costs'!$B$13+'Operating costs'!$B$14+V274*'Operating costs'!$B$47/(1-'Operating costs'!$B$44)/'Replacement plan'!$L$73*60,0)</f>
        <v>0</v>
      </c>
      <c r="AD274" s="1" t="str">
        <f>'Replacement plan'!$B$73</f>
        <v>ChengLong L2EV</v>
      </c>
      <c r="AE274" s="1">
        <f>IF(C274=0,0,VLOOKUP($A274,'Fleet register'!$A$7:$S$106,8,FALSE))</f>
        <v>0</v>
      </c>
      <c r="AF274" s="1" t="str">
        <f>IF('Replacement plan'!$H$73="","n.a.",'Replacement plan'!$H$73)</f>
        <v>n.a.</v>
      </c>
      <c r="AG274" s="1">
        <f>'Replacement plan'!$J$73</f>
        <v>22</v>
      </c>
      <c r="AH274" s="1">
        <f>IFERROR(IF(D274="EV",IF('Replacement plan'!$K$73="AC",IF(ISNUMBER(INDEX(Products!$G$7:$G$13,MATCH('Replacement plan'!$B$73,Products!$A$7:$A$13,0))),INDEX(Products!$G$7:$G$13,MATCH('Replacement plan'!$B$73,Products!$A$7:$A$13,0)),"n.a."),IF(ISNUMBER(INDEX(Products!$H$7:$H$13,MATCH('Replacement plan'!$B$73,Products!$A$7:$A$13,0))),INDEX(Products!$H$7:$H$13,MATCH('Replacement plan'!$B$73,Products!$A$7:$A$13,0)),"n.a.")),0),"n.a.")</f>
        <v>0</v>
      </c>
      <c r="AI274" s="1">
        <f>IF(AND(C274=1,D274="EV",E274&lt;120),(VLOOKUP($A274,'Fleet register'!$A$7:$S$106,7,FALSE)+IF(T274&gt;0,'Operating costs'!$B$12,0))*U274*(1-'Operating costs'!$B$44)+'Operating costs'!$B$49,0)</f>
        <v>0</v>
      </c>
      <c r="AJ274" s="1">
        <f>IF(D274="EV",'Energy and charging'!$C$50,0)</f>
        <v>0</v>
      </c>
      <c r="AK274" s="17">
        <f>EDATE('Operating costs'!$B$63,E274)</f>
        <v>46298</v>
      </c>
      <c r="AL274" s="1">
        <f>IFERROR(IF(D274="EV",INDEX(Products!$B$7:$B$13,MATCH('Replacement plan'!$B$73,Products!$A$7:$A$13,0)),0),"n.a.")</f>
        <v>0</v>
      </c>
      <c r="AM274" s="1" t="str">
        <f>'Replacement plan'!$K$73</f>
        <v>DC</v>
      </c>
      <c r="AN274" s="1" t="str">
        <f>'Replacement plan'!$AE$73</f>
        <v>Assumed</v>
      </c>
      <c r="AO274" s="47">
        <f>IF(AND(C274=1,D274="EV",E274&lt;120),(R274-'Operating costs'!$B$41)*S274+W274*'Operating costs'!$B$12,0)</f>
        <v>0</v>
      </c>
      <c r="AP274" s="41">
        <f>IF(AND(C274=1,D274="EV",E274&lt;120),IF('Operating costs'!$B$68="Hong Seh 200k average",AO274*IFERROR(INDEX(Products!$P$7:$P$13,MATCH(AD274,Products!$A$7:$A$13,0)),"n.a."),'Operating costs'!$B$26),0)</f>
        <v>0</v>
      </c>
      <c r="AQ274" s="40" t="str">
        <f>IF(D274="EV",'Operating costs'!$B$68,"Not applicable")</f>
        <v>Not applicable</v>
      </c>
    </row>
    <row r="275" spans="1:43" ht="24" customHeight="1">
      <c r="A275" s="1" t="str">
        <f>'Replacement plan'!A74</f>
        <v>T068</v>
      </c>
      <c r="B275" s="1">
        <v>0</v>
      </c>
      <c r="C275" s="1">
        <f>IF(COUNTIFS('Fleet register'!$A$7:$A$106,$A275)=1,VLOOKUP($A275,'Fleet register'!$A$7:$S$106,2,FALSE),0)</f>
        <v>0</v>
      </c>
      <c r="D275" s="1" t="str">
        <f>IF("Keep ICE"="EV","EV","ICE")</f>
        <v>ICE</v>
      </c>
      <c r="E275" s="1">
        <f>IF(C275=0,0,IF('Replacement plan'!$M$74="",VLOOKUP($A275,'Fleet register'!$A$7:$S$106,10,FALSE),'Replacement plan'!$M$74))</f>
        <v>0</v>
      </c>
      <c r="F275" s="16">
        <f>IF(C275=0,0,VLOOKUP($A275,'Fleet register'!$A$7:$S$106,11,FALSE))</f>
        <v>0</v>
      </c>
      <c r="G275" s="16">
        <f>IFERROR(IF(C275=0,0,IF(E275=120,0,IF(D275="ICE",'Replacement plan'!$C$74,IF('Replacement plan'!$D$74="",INDEX(Products!$I$7:$I$13,MATCH('Replacement plan'!$B$74,Products!$A$7:$A$13,0))+'Operating costs'!$B$57,'Replacement plan'!$D$74))*(1+'Operating costs'!$B$50)^(E275/12))),"n.a.")</f>
        <v>0</v>
      </c>
      <c r="H275" s="16">
        <f>IFERROR(IF(C275=0,0,IF(E275=0,F275,VLOOKUP($A275,'Fleet register'!$A$7:$S$106,12,FALSE)+VLOOKUP($A275,'Fleet register'!$A$7:$S$106,13,FALSE)*MAX(0,VLOOKUP($A275,'Fleet register'!$A$7:$S$106,10,FALSE)-E275)/VLOOKUP($A275,'Fleet register'!$A$7:$S$106,14,FALSE))),"n.a.")</f>
        <v>0</v>
      </c>
      <c r="I275" s="16">
        <f>IF(C275=0,0,IF(E275=120,0,'Replacement plan'!$N$74))</f>
        <v>0</v>
      </c>
      <c r="J275" s="16">
        <f>IF(C275=0,0,IF(P275="Complete",((S275*(R275-'Operating costs'!$B$39))+ROUNDUP(S275*(R275-'Operating costs'!$B$39)*IF('Replacement plan'!$AG$74="",'Operating costs'!$B$7,'Replacement plan'!$AG$74)/('Operating costs'!$B$8-'Operating costs'!$B$9*IF('Replacement plan'!$AG$74="",'Operating costs'!$B$7,'Replacement plan'!$AG$74)),0)*'Operating costs'!$B$9)*IF('Replacement plan'!$AG$74="",'Operating costs'!$B$7,'Replacement plan'!$AG$74)*('Energy and charging'!$B$9*'Energy and charging'!$B$7+(1-'Energy and charging'!$B$9)*'Energy and charging'!$B$8)*'Operating costs'!$B$23,"n.a."))</f>
        <v>0</v>
      </c>
      <c r="K275" s="16">
        <f>IF(C275=0,0,IF(P275="Complete",SUM('Operating costs'!$B$24,'Operating costs'!$B$27,'Operating costs'!$B$29,'Operating costs'!$B$31,'Operating costs'!$B$33,'Operating costs'!$B$34,'Operating costs'!$B$37,'Replacement plan'!$W$74)+'Operating costs'!$B$39*'Operating costs'!$B$42+ROUNDUP(S275*(R275-'Operating costs'!$B$39)*IF('Replacement plan'!$AG$74="",'Operating costs'!$B$7,'Replacement plan'!$AG$74)/('Operating costs'!$B$8-'Operating costs'!$B$9*IF('Replacement plan'!$AG$74="",'Operating costs'!$B$7,'Replacement plan'!$AG$74)),0)*('Operating costs'!$B$9/'Operating costs'!$B$11+'Operating costs'!$B$10/60)*'Operating costs'!$B$19*'Operating costs'!$B$21,"n.a."))</f>
        <v>0</v>
      </c>
      <c r="L275" s="16">
        <f>IF(C275=0,0,IF(P275="Complete",IF(D275="EV",X275*((1-T275)*'Energy and charging'!$B$10+T275*'Energy and charging'!$B$11)*'Operating costs'!$B$22,AA275*('Energy and charging'!$B$9*'Energy and charging'!$B$7+(1-'Energy and charging'!$B$9)*'Energy and charging'!$B$8)*'Operating costs'!$B$23),"n.a."))</f>
        <v>0</v>
      </c>
      <c r="M275" s="37">
        <f>IF(C275=0,0,IF(P275="Complete",IF(D275="ICE",SUM('Operating costs'!$B$25,'Operating costs'!$B$27,'Operating costs'!$B$29,'Operating costs'!$B$31,'Operating costs'!$B$33,'Operating costs'!$B$35,'Operating costs'!$B$37,'Replacement plan'!$X$74)+'Operating costs'!$B$40*'Operating costs'!$B$42+ROUNDUP(S275*(R275-'Operating costs'!$B$40)*IF('Replacement plan'!$AH$74="",'Operating costs'!$B$7,'Replacement plan'!$AH$74)/('Operating costs'!$B$8-'Operating costs'!$B$9*IF('Replacement plan'!$AH$74="",'Operating costs'!$B$7,'Replacement plan'!$AH$74)),0)*('Operating costs'!$B$9/'Operating costs'!$B$11+'Operating costs'!$B$10/60)*'Operating costs'!$B$19*'Operating costs'!$B$21,SUM(AP275,'Operating costs'!$B$28,'Operating costs'!$B$30,'Operating costs'!$B$32,'Operating costs'!$B$33,'Operating costs'!$B$36,'Operating costs'!$B$38,'Replacement plan'!$Y$74)+'Operating costs'!$B$41*'Operating costs'!$B$43+W275*'Operating costs'!$B$15+(T275*X275/'Replacement plan'!$L$74+W275*('Operating costs'!$B$12/'Operating costs'!$B$11+('Operating costs'!$B$13+'Operating costs'!$B$14)/60)+(R275-'Operating costs'!$B$41)*(IF(T275&lt;1,'Operating costs'!$B$16,0)+'Operating costs'!$B$17)/60)*'Operating costs'!$B$19*'Operating costs'!$B$20),"n.a."))</f>
        <v>0</v>
      </c>
      <c r="N275" s="16">
        <f>IF(AND(C275=1,D275="EV",E275&lt;120,E275+'Replacement plan'!$AA$74&lt;=120),'Replacement plan'!$Z$74,0)</f>
        <v>0</v>
      </c>
      <c r="O275" s="1">
        <f>E275+'Replacement plan'!$AA$74</f>
        <v>0</v>
      </c>
      <c r="P275" s="35" t="str">
        <f>IFERROR(IF(C275=0,"Excluded",IF(OR(COUNTIFS('Fleet register'!$A$7:$A$106,A275)&lt;&gt;1,COUNTIFS('Replacement plan'!$A$7:$A$106,A275)&lt;&gt;1),"Duplicate/missing ID",IF(NOT(AND(ISNUMBER(VLOOKUP($A275,'Fleet register'!$A$7:$S$106,5,FALSE)),ISNUMBER(VLOOKUP($A275,'Fleet register'!$A$7:$S$106,6,FALSE)),ISNUMBER(VLOOKUP($A275,'Fleet register'!$A$7:$S$106,10,FALSE)),ISNUMBER(VLOOKUP($A275,'Fleet register'!$A$7:$S$106,11,FALSE)),ISNUMBER(VLOOKUP($A275,'Fleet register'!$A$7:$S$106,12,FALSE)),ISNUMBER(VLOOKUP($A275,'Fleet register'!$A$7:$S$106,13,FALSE)),ISNUMBER(VLOOKUP($A275,'Fleet register'!$A$7:$S$106,14,FALSE)),VLOOKUP($A275,'Fleet register'!$A$7:$S$106,14,FALSE)&gt;0,ISNUMBER('Replacement plan'!$C$74),OR(E275=120,ISNUMBER('Replacement plan'!$N$74)),ISNUMBER(E275))),"Missing vehicle input",IF(OR(E275&lt;0,E275&gt;VLOOKUP($A275,'Fleet register'!$A$7:$S$106,10,FALSE),E275&gt;120,E275&lt;&gt;INT(E275),VLOOKUP($A275,'Fleet register'!$A$7:$S$106,6,FALSE)&lt;=0,VLOOKUP($A275,'Fleet register'!$A$7:$S$106,6,FALSE)&gt;366,VLOOKUP($A275,'Fleet register'!$A$7:$S$106,5,FALSE)&lt;0,VLOOKUP($A275,'Fleet register'!$A$7:$S$106,11,FALSE)&lt;0,I275&lt;0,'Operating costs'!$B$8&lt;='Operating costs'!$B$7*'Operating costs'!$B$9,'Operating costs'!$B$11&lt;=0,'Operating costs'!$B$39&gt;R275,'Operating costs'!$B$40&gt;R275,'Operating costs'!$B$41&gt;R275,NOT(OR("Keep ICE"="Keep ICE","Keep ICE"="New ICE","Keep ICE"="EV"))),"Invalid vehicle input",IF(AND(D275="EV",E275&lt;120,OR(NOT(ISNUMBER(U275)),NOT(ISNUMBER(V275)),V275&lt;=0,T275&lt;0,T275&gt;1,'Replacement plan'!$L$74&lt;=0,'Operating costs'!$B$44&lt;0,'Operating costs'!$B$44&gt;=1,'Operating costs'!$B$47&lt;=0,'Operating costs'!$B$47&gt;1,V275*'Operating costs'!$B$47/(1-'Operating costs'!$B$44)&lt;=T275*'Operating costs'!$B$12*U275,AND('Replacement plan'!$Z$74&gt;0,OR('Replacement plan'!$AB$74&lt;&gt;"Yes",'Operating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charging'!$B$8&gt;=0))),ISNUMBER(VLOOKUP($A275,'Fleet register'!$A$7:$S$106,15,FALSE)),ISNUMBER(VLOOKUP($A275,'Fleet register'!$A$7:$S$106,16,FALSE)),ISNUMBER('Replacement plan'!$W$74),ISNUMBER('Replacement plan'!$X$74),OR(E275=120,AND(ISNUMBER(G275),G275&gt;=0)),ISNUMBER(H275),H275&gt;=0,OR(D275&lt;&gt;"EV",E275=120,AND(ISNUMBER('Operating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average",ISNUMBER(IFERROR(INDEX(Products!$P$7:$P$13,MATCH(AD275,Products!$A$7:$A$13,0)),"")))),ISNUMBER('Operating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plan'!$Y$74),ISNUMBER('Replacement plan'!$Z$74),'Replacement plan'!$Z$74&gt;=0,ISNUMBER('Replacement plan'!$AA$74),'Replacement plan'!$AA$74&gt;=0,'Replacement plan'!$AA$74=INT('Replacement plan'!$AA$74),ISNUMBER('Replacement plan'!$L$74))),'Operating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plan'!$AG$74="",'Operating costs'!$B$7,'Replacement plan'!$AG$74)),IF('Replacement plan'!$AG$74="",'Operating costs'!$B$7,'Replacement plan'!$AG$74)&gt;=0,ISNUMBER(IF('Replacement plan'!$AH$74="",'Operating costs'!$B$7,'Replacement plan'!$AH$74)),IF('Replacement plan'!$AH$74="",'Operating costs'!$B$7,'Replacement plan'!$AH$74)&gt;=0,'Operating costs'!$B$8&gt;MAX(IF('Replacement plan'!$AG$74="",'Operating costs'!$B$7,'Replacement plan'!$AG$74),IF('Replacement plan'!$AH$74="",'Operating costs'!$B$7,'Replacement plan'!$AH$74))*'Operating costs'!$B$9),IF(AND(VLOOKUP($A275,'Fleet register'!$A$7:$S$106,10,FALSE)&gt;=0,VLOOKUP($A275,'Fleet register'!$A$7:$S$106,10,FALSE)&lt;=120,VLOOKUP($A275,'Fleet register'!$A$7:$S$106,10,FALSE)=INT(VLOOKUP($A275,'Fleet register'!$A$7:$S$106,10,FALSE)),VLOOKUP($A275,'Fleet register'!$A$7:$S$106,15,FALSE)&gt;=0,VLOOKUP($A275,'Fleet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costs'!$B$67)&gt;=0,OR(D275&lt;&gt;"EV",E275=120,AND(MIN('Operating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75" s="1" t="str">
        <f>IF(C275=0,"Excluded",IF(P275&lt;&gt;"Complete",P275,IF(OR('Replacement plan'!$AD$74&lt;120-E275,AND(D275="EV",E275&lt;120,OR('Replacement plan'!$AC$74&lt;120-E275,'Replacement plan'!$I$74="No",AND(ISNUMBER(AF275),AE275&gt;AF275),AI275&gt;V275*(1-'Operating costs'!$B$46)^MAX(0,AB275-1)*(1-'Operating costs'!$B$45),AC275&gt;'Operating costs'!$B$18,AND(T275&lt;1,OR(AG275&lt;=0,AND(ISNUMBER(AH275),AG275&gt;AH275))),'Replacement plan'!$L$74&gt;INDEX(Products!$H$7:$H$13,MATCH('Replacement plan'!$B$74,Products!$A$7:$A$13,0))))),"Fails entered limits",IF(AND(D275="EV",E275&lt;120,OR(NOT(ISNUMBER(VLOOKUP($A275,'Fleet register'!$A$7:$S$106,7,FALSE))),NOT(ISNUMBER(VLOOKUP($A275,'Fleet register'!$A$7:$S$106,8,FALSE))),NOT(ISNUMBER(AF275)),'Replacement plan'!$I$74&lt;&gt;"Yes",NOT(ISNUMBER(AH275)),'Operating costs'!$B$59&lt;&gt;"Yes",'Operating costs'!$B$58&lt;&gt;"Yes")),"Unverified","Within entered limits"))))</f>
        <v>Excluded</v>
      </c>
      <c r="R275" s="1">
        <f>IF(C275=0,0,VLOOKUP($A275,'Fleet register'!$A$7:$S$106,6,FALSE))</f>
        <v>0</v>
      </c>
      <c r="S275" s="1">
        <f>IF(C275=0,0,VLOOKUP($A275,'Fleet register'!$A$7:$S$106,5,FALSE))</f>
        <v>0</v>
      </c>
      <c r="T275" s="1">
        <f>IF(D275="EV",'Energy and charging'!$B$12,0)</f>
        <v>0</v>
      </c>
      <c r="U275" s="1">
        <f>IFERROR(IF(C275=0,0,IF(D275="EV",IF('Replacement plan'!$F$74="",INDEX(Products!$E$7:$E$13,MATCH('Replacement plan'!$B$74,Products!$A$7:$A$13,0)),'Replacement plan'!$F$74)/IF('Replacement plan'!$G$74="Battery",1-'Operating costs'!$B$44,1),0)),"n.a.")</f>
        <v>0</v>
      </c>
      <c r="V275" s="1">
        <f>IFERROR(IF(C275=0,0,IF(D275="EV",IF('Replacement plan'!$E$74="",INDEX(Products!$D$7:$D$13,MATCH('Replacement plan'!$B$74,Products!$A$7:$A$13,0)),'Replacement plan'!$E$74),0)),"n.a.")</f>
        <v>0</v>
      </c>
      <c r="W275" s="1">
        <f>IF(C275=0,0,IF(AND(P275="Complete",D275="EV",E275&lt;120),IF(T275=0,0,ROUNDUP(T275*(R275-'Operating costs'!$B$41)*(S275*U275+'Operating costs'!$B$48/(1-'Operating costs'!$B$44))/(V275*'Operating costs'!$B$47/(1-'Operating costs'!$B$44)-T275*'Operating costs'!$B$12*U275),0)),0))</f>
        <v>0</v>
      </c>
      <c r="X275" s="1">
        <f>IF(C275=0,0,IF(AND(P275="Complete",D275="EV",E275&lt;120),(R275-'Operating costs'!$B$41)*(S275*U275+'Operating costs'!$B$48/(1-'Operating costs'!$B$44))+W275*'Operating costs'!$B$12*U275,0))</f>
        <v>0</v>
      </c>
      <c r="Y275" s="1">
        <f>IF(AND(C275=1,D275="EV",E275&lt;120),AI275/(1-'Operating costs'!$B$44)*(1-T275),0)</f>
        <v>0</v>
      </c>
      <c r="Z275" s="1">
        <f t="shared" si="8"/>
        <v>0</v>
      </c>
      <c r="AA275" s="1">
        <f>IF(C275=0,0,IF(P275="Complete",((S275*(R275-'Operating costs'!$B$40))+ROUNDUP(S275*(R275-'Operating costs'!$B$40)*IF('Replacement plan'!$AH$74="",'Operating costs'!$B$7,'Replacement plan'!$AH$74)/('Operating costs'!$B$8-'Operating costs'!$B$9*IF('Replacement plan'!$AH$74="",'Operating costs'!$B$7,'Replacement plan'!$AH$74)),0)*'Operating costs'!$B$9)*IF('Replacement plan'!$AH$74="",'Operating costs'!$B$7,'Replacement plan'!$AH$74),"n.a."))</f>
        <v>0</v>
      </c>
      <c r="AB275" s="1">
        <f t="shared" si="9"/>
        <v>0</v>
      </c>
      <c r="AC275" s="1">
        <f>IF(AND(C275=1,D275="EV",E275&lt;120,T275&gt;0),'Operating costs'!$B$12/'Operating costs'!$B$11*60+'Operating costs'!$B$13+'Operating costs'!$B$14+V275*'Operating costs'!$B$47/(1-'Operating costs'!$B$44)/'Replacement plan'!$L$74*60,0)</f>
        <v>0</v>
      </c>
      <c r="AD275" s="1" t="str">
        <f>'Replacement plan'!$B$74</f>
        <v>ChengLong L2EV</v>
      </c>
      <c r="AE275" s="1">
        <f>IF(C275=0,0,VLOOKUP($A275,'Fleet register'!$A$7:$S$106,8,FALSE))</f>
        <v>0</v>
      </c>
      <c r="AF275" s="1" t="str">
        <f>IF('Replacement plan'!$H$74="","n.a.",'Replacement plan'!$H$74)</f>
        <v>n.a.</v>
      </c>
      <c r="AG275" s="1">
        <f>'Replacement plan'!$J$74</f>
        <v>22</v>
      </c>
      <c r="AH275" s="1">
        <f>IFERROR(IF(D275="EV",IF('Replacement plan'!$K$74="AC",IF(ISNUMBER(INDEX(Products!$G$7:$G$13,MATCH('Replacement plan'!$B$74,Products!$A$7:$A$13,0))),INDEX(Products!$G$7:$G$13,MATCH('Replacement plan'!$B$74,Products!$A$7:$A$13,0)),"n.a."),IF(ISNUMBER(INDEX(Products!$H$7:$H$13,MATCH('Replacement plan'!$B$74,Products!$A$7:$A$13,0))),INDEX(Products!$H$7:$H$13,MATCH('Replacement plan'!$B$74,Products!$A$7:$A$13,0)),"n.a.")),0),"n.a.")</f>
        <v>0</v>
      </c>
      <c r="AI275" s="1">
        <f>IF(AND(C275=1,D275="EV",E275&lt;120),(VLOOKUP($A275,'Fleet register'!$A$7:$S$106,7,FALSE)+IF(T275&gt;0,'Operating costs'!$B$12,0))*U275*(1-'Operating costs'!$B$44)+'Operating costs'!$B$49,0)</f>
        <v>0</v>
      </c>
      <c r="AJ275" s="1">
        <f>IF(D275="EV",'Energy and charging'!$B$50,0)</f>
        <v>0</v>
      </c>
      <c r="AK275" s="17">
        <f>EDATE('Operating costs'!$B$63,E275)</f>
        <v>46298</v>
      </c>
      <c r="AL275" s="1">
        <f>IFERROR(IF(D275="EV",INDEX(Products!$B$7:$B$13,MATCH('Replacement plan'!$B$74,Products!$A$7:$A$13,0)),0),"n.a.")</f>
        <v>0</v>
      </c>
      <c r="AM275" s="1" t="str">
        <f>'Replacement plan'!$K$74</f>
        <v>DC</v>
      </c>
      <c r="AN275" s="1" t="str">
        <f>'Replacement plan'!$AE$74</f>
        <v>Assumed</v>
      </c>
      <c r="AO275" s="47">
        <f>IF(AND(C275=1,D275="EV",E275&lt;120),(R275-'Operating costs'!$B$41)*S275+W275*'Operating costs'!$B$12,0)</f>
        <v>0</v>
      </c>
      <c r="AP275" s="41">
        <f>IF(AND(C275=1,D275="EV",E275&lt;120),IF('Operating costs'!$B$68="Hong Seh 200k average",AO275*IFERROR(INDEX(Products!$P$7:$P$13,MATCH(AD275,Products!$A$7:$A$13,0)),"n.a."),'Operating costs'!$B$26),0)</f>
        <v>0</v>
      </c>
      <c r="AQ275" s="40" t="str">
        <f>IF(D275="EV",'Operating costs'!$B$68,"Not applicable")</f>
        <v>Not applicable</v>
      </c>
    </row>
    <row r="276" spans="1:43" ht="24" customHeight="1">
      <c r="A276" s="1" t="str">
        <f>'Replacement plan'!A74</f>
        <v>T068</v>
      </c>
      <c r="B276" s="1">
        <v>1</v>
      </c>
      <c r="C276" s="1">
        <f>IF(COUNTIFS('Fleet register'!$A$7:$A$106,$A276)=1,VLOOKUP($A276,'Fleet register'!$A$7:$S$106,2,FALSE),0)</f>
        <v>0</v>
      </c>
      <c r="D276" s="1" t="str">
        <f>IF("New ICE"="EV","EV","ICE")</f>
        <v>ICE</v>
      </c>
      <c r="E276" s="1">
        <f>IF(C276=0,0,0)</f>
        <v>0</v>
      </c>
      <c r="F276" s="16">
        <f>IF(C276=0,0,VLOOKUP($A276,'Fleet register'!$A$7:$S$106,11,FALSE))</f>
        <v>0</v>
      </c>
      <c r="G276" s="16">
        <f>IFERROR(IF(C276=0,0,IF(E276=120,0,IF(D276="ICE",'Replacement plan'!$C$74,IF('Replacement plan'!$D$74="",INDEX(Products!$I$7:$I$13,MATCH('Replacement plan'!$B$74,Products!$A$7:$A$13,0))+'Operating costs'!$B$57,'Replacement plan'!$D$74))*(1+'Operating costs'!$B$50)^(E276/12))),"n.a.")</f>
        <v>0</v>
      </c>
      <c r="H276" s="16">
        <f>IFERROR(IF(C276=0,0,IF(E276=0,F276,VLOOKUP($A276,'Fleet register'!$A$7:$S$106,12,FALSE)+VLOOKUP($A276,'Fleet register'!$A$7:$S$106,13,FALSE)*MAX(0,VLOOKUP($A276,'Fleet register'!$A$7:$S$106,10,FALSE)-E276)/VLOOKUP($A276,'Fleet register'!$A$7:$S$106,14,FALSE))),"n.a.")</f>
        <v>0</v>
      </c>
      <c r="I276" s="16">
        <f>IF(C276=0,0,IF(E276=120,0,IF('Replacement plan'!$AI$74="",'Operating costs'!$B$56,'Replacement plan'!$AI$74)))</f>
        <v>0</v>
      </c>
      <c r="J276" s="16">
        <f>IF(C276=0,0,IF(P276="Complete",((S276*(R276-'Operating costs'!$B$39))+ROUNDUP(S276*(R276-'Operating costs'!$B$39)*IF('Replacement plan'!$AG$74="",'Operating costs'!$B$7,'Replacement plan'!$AG$74)/('Operating costs'!$B$8-'Operating costs'!$B$9*IF('Replacement plan'!$AG$74="",'Operating costs'!$B$7,'Replacement plan'!$AG$74)),0)*'Operating costs'!$B$9)*IF('Replacement plan'!$AG$74="",'Operating costs'!$B$7,'Replacement plan'!$AG$74)*('Energy and charging'!$B$9*'Energy and charging'!$B$7+(1-'Energy and charging'!$B$9)*'Energy and charging'!$B$8)*'Operating costs'!$B$23,"n.a."))</f>
        <v>0</v>
      </c>
      <c r="K276" s="16">
        <f>IF(C276=0,0,IF(P276="Complete",SUM('Operating costs'!$B$24,'Operating costs'!$B$27,'Operating costs'!$B$29,'Operating costs'!$B$31,'Operating costs'!$B$33,'Operating costs'!$B$34,'Operating costs'!$B$37,'Replacement plan'!$W$74)+'Operating costs'!$B$39*'Operating costs'!$B$42+ROUNDUP(S276*(R276-'Operating costs'!$B$39)*IF('Replacement plan'!$AG$74="",'Operating costs'!$B$7,'Replacement plan'!$AG$74)/('Operating costs'!$B$8-'Operating costs'!$B$9*IF('Replacement plan'!$AG$74="",'Operating costs'!$B$7,'Replacement plan'!$AG$74)),0)*('Operating costs'!$B$9/'Operating costs'!$B$11+'Operating costs'!$B$10/60)*'Operating costs'!$B$19*'Operating costs'!$B$21,"n.a."))</f>
        <v>0</v>
      </c>
      <c r="L276" s="16">
        <f>IF(C276=0,0,IF(P276="Complete",IF(D276="EV",X276*((1-T276)*'Energy and charging'!$B$10+T276*'Energy and charging'!$B$11)*'Operating costs'!$B$22,AA276*('Energy and charging'!$B$9*'Energy and charging'!$B$7+(1-'Energy and charging'!$B$9)*'Energy and charging'!$B$8)*'Operating costs'!$B$23),"n.a."))</f>
        <v>0</v>
      </c>
      <c r="M276" s="37">
        <f>IF(C276=0,0,IF(P276="Complete",IF(D276="ICE",SUM('Operating costs'!$B$25,'Operating costs'!$B$27,'Operating costs'!$B$29,'Operating costs'!$B$31,'Operating costs'!$B$33,'Operating costs'!$B$35,'Operating costs'!$B$37,'Replacement plan'!$X$74)+'Operating costs'!$B$40*'Operating costs'!$B$42+ROUNDUP(S276*(R276-'Operating costs'!$B$40)*IF('Replacement plan'!$AH$74="",'Operating costs'!$B$7,'Replacement plan'!$AH$74)/('Operating costs'!$B$8-'Operating costs'!$B$9*IF('Replacement plan'!$AH$74="",'Operating costs'!$B$7,'Replacement plan'!$AH$74)),0)*('Operating costs'!$B$9/'Operating costs'!$B$11+'Operating costs'!$B$10/60)*'Operating costs'!$B$19*'Operating costs'!$B$21,SUM(AP276,'Operating costs'!$B$28,'Operating costs'!$B$30,'Operating costs'!$B$32,'Operating costs'!$B$33,'Operating costs'!$B$36,'Operating costs'!$B$38,'Replacement plan'!$Y$74)+'Operating costs'!$B$41*'Operating costs'!$B$43+W276*'Operating costs'!$B$15+(T276*X276/'Replacement plan'!$L$74+W276*('Operating costs'!$B$12/'Operating costs'!$B$11+('Operating costs'!$B$13+'Operating costs'!$B$14)/60)+(R276-'Operating costs'!$B$41)*(IF(T276&lt;1,'Operating costs'!$B$16,0)+'Operating costs'!$B$17)/60)*'Operating costs'!$B$19*'Operating costs'!$B$20),"n.a."))</f>
        <v>0</v>
      </c>
      <c r="N276" s="16">
        <f>IF(AND(C276=1,D276="EV",E276&lt;120,E276+'Replacement plan'!$AA$74&lt;=120),'Replacement plan'!$Z$74,0)</f>
        <v>0</v>
      </c>
      <c r="O276" s="1">
        <f>E276+'Replacement plan'!$AA$74</f>
        <v>0</v>
      </c>
      <c r="P276" s="35" t="str">
        <f>IFERROR(IF(C276=0,"Excluded",IF(OR(COUNTIFS('Fleet register'!$A$7:$A$106,A276)&lt;&gt;1,COUNTIFS('Replacement plan'!$A$7:$A$106,A276)&lt;&gt;1),"Duplicate/missing ID",IF(NOT(AND(ISNUMBER(VLOOKUP($A276,'Fleet register'!$A$7:$S$106,5,FALSE)),ISNUMBER(VLOOKUP($A276,'Fleet register'!$A$7:$S$106,6,FALSE)),ISNUMBER(VLOOKUP($A276,'Fleet register'!$A$7:$S$106,10,FALSE)),ISNUMBER(VLOOKUP($A276,'Fleet register'!$A$7:$S$106,11,FALSE)),ISNUMBER(VLOOKUP($A276,'Fleet register'!$A$7:$S$106,12,FALSE)),ISNUMBER(VLOOKUP($A276,'Fleet register'!$A$7:$S$106,13,FALSE)),ISNUMBER(VLOOKUP($A276,'Fleet register'!$A$7:$S$106,14,FALSE)),VLOOKUP($A276,'Fleet register'!$A$7:$S$106,14,FALSE)&gt;0,ISNUMBER('Replacement plan'!$C$74),OR(E276=120,OR(ISNUMBER('Replacement plan'!$AI$74),AND('Replacement plan'!$AI$74="",ISNUMBER('Operating costs'!$B$56)))),ISNUMBER(E276))),"Missing vehicle input",IF(OR(E276&lt;0,E276&gt;VLOOKUP($A276,'Fleet register'!$A$7:$S$106,10,FALSE),E276&gt;120,E276&lt;&gt;INT(E276),VLOOKUP($A276,'Fleet register'!$A$7:$S$106,6,FALSE)&lt;=0,VLOOKUP($A276,'Fleet register'!$A$7:$S$106,6,FALSE)&gt;366,VLOOKUP($A276,'Fleet register'!$A$7:$S$106,5,FALSE)&lt;0,VLOOKUP($A276,'Fleet register'!$A$7:$S$106,11,FALSE)&lt;0,I276&lt;0,'Operating costs'!$B$8&lt;='Operating costs'!$B$7*'Operating costs'!$B$9,'Operating costs'!$B$11&lt;=0,'Operating costs'!$B$39&gt;R276,'Operating costs'!$B$40&gt;R276,'Operating costs'!$B$41&gt;R276,NOT(OR("New ICE"="Keep ICE","New ICE"="New ICE","New ICE"="EV"))),"Invalid vehicle input",IF(AND(D276="EV",E276&lt;120,OR(NOT(ISNUMBER(U276)),NOT(ISNUMBER(V276)),V276&lt;=0,T276&lt;0,T276&gt;1,'Replacement plan'!$L$74&lt;=0,'Operating costs'!$B$44&lt;0,'Operating costs'!$B$44&gt;=1,'Operating costs'!$B$47&lt;=0,'Operating costs'!$B$47&gt;1,V276*'Operating costs'!$B$47/(1-'Operating costs'!$B$44)&lt;=T276*'Operating costs'!$B$12*U276,AND('Replacement plan'!$Z$74&gt;0,OR('Replacement plan'!$AB$74&lt;&gt;"Yes",'Operating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charging'!$B$8&gt;=0))),ISNUMBER(VLOOKUP($A276,'Fleet register'!$A$7:$S$106,15,FALSE)),ISNUMBER(VLOOKUP($A276,'Fleet register'!$A$7:$S$106,16,FALSE)),ISNUMBER('Replacement plan'!$W$74),ISNUMBER('Replacement plan'!$X$74),OR(E276=120,AND(ISNUMBER(G276),G276&gt;=0)),ISNUMBER(H276),H276&gt;=0,OR(D276&lt;&gt;"EV",E276=120,AND(ISNUMBER('Operating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average",ISNUMBER(IFERROR(INDEX(Products!$P$7:$P$13,MATCH(AD276,Products!$A$7:$A$13,0)),"")))),ISNUMBER('Operating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plan'!$Y$74),ISNUMBER('Replacement plan'!$Z$74),'Replacement plan'!$Z$74&gt;=0,ISNUMBER('Replacement plan'!$AA$74),'Replacement plan'!$AA$74&gt;=0,'Replacement plan'!$AA$74=INT('Replacement plan'!$AA$74),ISNUMBER('Replacement plan'!$L$74))),'Operating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plan'!$AG$74="",'Operating costs'!$B$7,'Replacement plan'!$AG$74)),IF('Replacement plan'!$AG$74="",'Operating costs'!$B$7,'Replacement plan'!$AG$74)&gt;=0,ISNUMBER(IF('Replacement plan'!$AH$74="",'Operating costs'!$B$7,'Replacement plan'!$AH$74)),IF('Replacement plan'!$AH$74="",'Operating costs'!$B$7,'Replacement plan'!$AH$74)&gt;=0,'Operating costs'!$B$8&gt;MAX(IF('Replacement plan'!$AG$74="",'Operating costs'!$B$7,'Replacement plan'!$AG$74),IF('Replacement plan'!$AH$74="",'Operating costs'!$B$7,'Replacement plan'!$AH$74))*'Operating costs'!$B$9),IF(AND(VLOOKUP($A276,'Fleet register'!$A$7:$S$106,10,FALSE)&gt;=0,VLOOKUP($A276,'Fleet register'!$A$7:$S$106,10,FALSE)&lt;=120,VLOOKUP($A276,'Fleet register'!$A$7:$S$106,10,FALSE)=INT(VLOOKUP($A276,'Fleet register'!$A$7:$S$106,10,FALSE)),VLOOKUP($A276,'Fleet register'!$A$7:$S$106,15,FALSE)&gt;=0,VLOOKUP($A276,'Fleet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costs'!$B$67)&gt;=0,OR(D276&lt;&gt;"EV",E276=120,AND(MIN('Operating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76" s="1" t="str">
        <f>IF(C276=0,"Excluded",IF(P276&lt;&gt;"Complete",P276,IF(OR('Replacement plan'!$AD$74&lt;120-E276,AND(D276="EV",E276&lt;120,OR('Replacement plan'!$AC$74&lt;120-E276,'Replacement plan'!$I$74="No",AND(ISNUMBER(AF276),AE276&gt;AF276),AI276&gt;V276*(1-'Operating costs'!$B$46)^MAX(0,AB276-1)*(1-'Operating costs'!$B$45),AC276&gt;'Operating costs'!$B$18,AND(T276&lt;1,OR(AG276&lt;=0,AND(ISNUMBER(AH276),AG276&gt;AH276))),'Replacement plan'!$L$74&gt;INDEX(Products!$H$7:$H$13,MATCH('Replacement plan'!$B$74,Products!$A$7:$A$13,0))))),"Fails entered limits",IF(AND(D276="EV",E276&lt;120,OR(NOT(ISNUMBER(VLOOKUP($A276,'Fleet register'!$A$7:$S$106,7,FALSE))),NOT(ISNUMBER(VLOOKUP($A276,'Fleet register'!$A$7:$S$106,8,FALSE))),NOT(ISNUMBER(AF276)),'Replacement plan'!$I$74&lt;&gt;"Yes",NOT(ISNUMBER(AH276)),'Operating costs'!$B$59&lt;&gt;"Yes",'Operating costs'!$B$58&lt;&gt;"Yes")),"Unverified","Within entered limits"))))</f>
        <v>Excluded</v>
      </c>
      <c r="R276" s="1">
        <f>IF(C276=0,0,VLOOKUP($A276,'Fleet register'!$A$7:$S$106,6,FALSE))</f>
        <v>0</v>
      </c>
      <c r="S276" s="1">
        <f>IF(C276=0,0,VLOOKUP($A276,'Fleet register'!$A$7:$S$106,5,FALSE))</f>
        <v>0</v>
      </c>
      <c r="T276" s="1">
        <f>IF(D276="EV",'Energy and charging'!$B$12,0)</f>
        <v>0</v>
      </c>
      <c r="U276" s="1">
        <f>IFERROR(IF(C276=0,0,IF(D276="EV",IF('Replacement plan'!$F$74="",INDEX(Products!$E$7:$E$13,MATCH('Replacement plan'!$B$74,Products!$A$7:$A$13,0)),'Replacement plan'!$F$74)/IF('Replacement plan'!$G$74="Battery",1-'Operating costs'!$B$44,1),0)),"n.a.")</f>
        <v>0</v>
      </c>
      <c r="V276" s="1">
        <f>IFERROR(IF(C276=0,0,IF(D276="EV",IF('Replacement plan'!$E$74="",INDEX(Products!$D$7:$D$13,MATCH('Replacement plan'!$B$74,Products!$A$7:$A$13,0)),'Replacement plan'!$E$74),0)),"n.a.")</f>
        <v>0</v>
      </c>
      <c r="W276" s="1">
        <f>IF(C276=0,0,IF(AND(P276="Complete",D276="EV",E276&lt;120),IF(T276=0,0,ROUNDUP(T276*(R276-'Operating costs'!$B$41)*(S276*U276+'Operating costs'!$B$48/(1-'Operating costs'!$B$44))/(V276*'Operating costs'!$B$47/(1-'Operating costs'!$B$44)-T276*'Operating costs'!$B$12*U276),0)),0))</f>
        <v>0</v>
      </c>
      <c r="X276" s="1">
        <f>IF(C276=0,0,IF(AND(P276="Complete",D276="EV",E276&lt;120),(R276-'Operating costs'!$B$41)*(S276*U276+'Operating costs'!$B$48/(1-'Operating costs'!$B$44))+W276*'Operating costs'!$B$12*U276,0))</f>
        <v>0</v>
      </c>
      <c r="Y276" s="1">
        <f>IF(AND(C276=1,D276="EV",E276&lt;120),AI276/(1-'Operating costs'!$B$44)*(1-T276),0)</f>
        <v>0</v>
      </c>
      <c r="Z276" s="1">
        <f t="shared" si="8"/>
        <v>0</v>
      </c>
      <c r="AA276" s="1">
        <f>IF(C276=0,0,IF(P276="Complete",((S276*(R276-'Operating costs'!$B$40))+ROUNDUP(S276*(R276-'Operating costs'!$B$40)*IF('Replacement plan'!$AH$74="",'Operating costs'!$B$7,'Replacement plan'!$AH$74)/('Operating costs'!$B$8-'Operating costs'!$B$9*IF('Replacement plan'!$AH$74="",'Operating costs'!$B$7,'Replacement plan'!$AH$74)),0)*'Operating costs'!$B$9)*IF('Replacement plan'!$AH$74="",'Operating costs'!$B$7,'Replacement plan'!$AH$74),"n.a."))</f>
        <v>0</v>
      </c>
      <c r="AB276" s="1">
        <f t="shared" si="9"/>
        <v>0</v>
      </c>
      <c r="AC276" s="1">
        <f>IF(AND(C276=1,D276="EV",E276&lt;120,T276&gt;0),'Operating costs'!$B$12/'Operating costs'!$B$11*60+'Operating costs'!$B$13+'Operating costs'!$B$14+V276*'Operating costs'!$B$47/(1-'Operating costs'!$B$44)/'Replacement plan'!$L$74*60,0)</f>
        <v>0</v>
      </c>
      <c r="AD276" s="1" t="str">
        <f>'Replacement plan'!$B$74</f>
        <v>ChengLong L2EV</v>
      </c>
      <c r="AE276" s="1">
        <f>IF(C276=0,0,VLOOKUP($A276,'Fleet register'!$A$7:$S$106,8,FALSE))</f>
        <v>0</v>
      </c>
      <c r="AF276" s="1" t="str">
        <f>IF('Replacement plan'!$H$74="","n.a.",'Replacement plan'!$H$74)</f>
        <v>n.a.</v>
      </c>
      <c r="AG276" s="1">
        <f>'Replacement plan'!$J$74</f>
        <v>22</v>
      </c>
      <c r="AH276" s="1">
        <f>IFERROR(IF(D276="EV",IF('Replacement plan'!$K$74="AC",IF(ISNUMBER(INDEX(Products!$G$7:$G$13,MATCH('Replacement plan'!$B$74,Products!$A$7:$A$13,0))),INDEX(Products!$G$7:$G$13,MATCH('Replacement plan'!$B$74,Products!$A$7:$A$13,0)),"n.a."),IF(ISNUMBER(INDEX(Products!$H$7:$H$13,MATCH('Replacement plan'!$B$74,Products!$A$7:$A$13,0))),INDEX(Products!$H$7:$H$13,MATCH('Replacement plan'!$B$74,Products!$A$7:$A$13,0)),"n.a.")),0),"n.a.")</f>
        <v>0</v>
      </c>
      <c r="AI276" s="1">
        <f>IF(AND(C276=1,D276="EV",E276&lt;120),(VLOOKUP($A276,'Fleet register'!$A$7:$S$106,7,FALSE)+IF(T276&gt;0,'Operating costs'!$B$12,0))*U276*(1-'Operating costs'!$B$44)+'Operating costs'!$B$49,0)</f>
        <v>0</v>
      </c>
      <c r="AJ276" s="1">
        <f>IF(D276="EV",'Energy and charging'!$B$50,0)</f>
        <v>0</v>
      </c>
      <c r="AK276" s="17">
        <f>EDATE('Operating costs'!$B$63,E276)</f>
        <v>46298</v>
      </c>
      <c r="AL276" s="1">
        <f>IFERROR(IF(D276="EV",INDEX(Products!$B$7:$B$13,MATCH('Replacement plan'!$B$74,Products!$A$7:$A$13,0)),0),"n.a.")</f>
        <v>0</v>
      </c>
      <c r="AM276" s="1" t="str">
        <f>'Replacement plan'!$K$74</f>
        <v>DC</v>
      </c>
      <c r="AN276" s="1" t="str">
        <f>'Replacement plan'!$AE$74</f>
        <v>Assumed</v>
      </c>
      <c r="AO276" s="47">
        <f>IF(AND(C276=1,D276="EV",E276&lt;120),(R276-'Operating costs'!$B$41)*S276+W276*'Operating costs'!$B$12,0)</f>
        <v>0</v>
      </c>
      <c r="AP276" s="41">
        <f>IF(AND(C276=1,D276="EV",E276&lt;120),IF('Operating costs'!$B$68="Hong Seh 200k average",AO276*IFERROR(INDEX(Products!$P$7:$P$13,MATCH(AD276,Products!$A$7:$A$13,0)),"n.a."),'Operating costs'!$B$26),0)</f>
        <v>0</v>
      </c>
      <c r="AQ276" s="40" t="str">
        <f>IF(D276="EV",'Operating costs'!$B$68,"Not applicable")</f>
        <v>Not applicable</v>
      </c>
    </row>
    <row r="277" spans="1:43" ht="24" customHeight="1">
      <c r="A277" s="1" t="str">
        <f>'Replacement plan'!A74</f>
        <v>T068</v>
      </c>
      <c r="B277" s="1">
        <v>2</v>
      </c>
      <c r="C277" s="1">
        <f>IF(COUNTIFS('Fleet register'!$A$7:$A$106,$A277)=1,VLOOKUP($A277,'Fleet register'!$A$7:$S$106,2,FALSE),0)</f>
        <v>0</v>
      </c>
      <c r="D277" s="1" t="str">
        <f>IF('Replacement plan'!$O$74="EV","EV","ICE")</f>
        <v>ICE</v>
      </c>
      <c r="E277" s="1">
        <f>IF(C277=0,0,IF('Replacement plan'!$P$74="",IF('Replacement plan'!$O$74="Keep ICE",IF('Replacement plan'!$M$74="",VLOOKUP($A277,'Fleet register'!$A$7:$S$106,10,FALSE),'Replacement plan'!$M$74),0),'Replacement plan'!$P$74))</f>
        <v>0</v>
      </c>
      <c r="F277" s="16">
        <f>IF(C277=0,0,VLOOKUP($A277,'Fleet register'!$A$7:$S$106,11,FALSE))</f>
        <v>0</v>
      </c>
      <c r="G277" s="16">
        <f>IFERROR(IF(C277=0,0,IF(E277=120,0,IF(D277="ICE",'Replacement plan'!$C$74,IF('Replacement plan'!$D$74="",INDEX(Products!$I$7:$I$13,MATCH('Replacement plan'!$B$74,Products!$A$7:$A$13,0))+'Operating costs'!$B$57,'Replacement plan'!$D$74))*(1+'Operating costs'!$B$50)^(E277/12))),"n.a.")</f>
        <v>0</v>
      </c>
      <c r="H277" s="16">
        <f>IFERROR(IF(C277=0,0,IF('Replacement plan'!$U$74&lt;&gt;"",'Replacement plan'!$U$74,IF(E277=0,F277,VLOOKUP($A277,'Fleet register'!$A$7:$S$106,12,FALSE)+VLOOKUP($A277,'Fleet register'!$A$7:$S$106,13,FALSE)*MAX(0,VLOOKUP($A277,'Fleet register'!$A$7:$S$106,10,FALSE)-E277)/VLOOKUP($A277,'Fleet register'!$A$7:$S$106,14,FALSE)))),"n.a.")</f>
        <v>0</v>
      </c>
      <c r="I277" s="16">
        <f>IF(C277=0,0,IF(E277=120,0,'Replacement plan'!$Q$74))</f>
        <v>0</v>
      </c>
      <c r="J277" s="16">
        <f>IF(C277=0,0,IF(P277="Complete",((S277*(R277-'Operating costs'!$B$39))+ROUNDUP(S277*(R277-'Operating costs'!$B$39)*IF('Replacement plan'!$AG$74="",'Operating costs'!$B$7,'Replacement plan'!$AG$74)/('Operating costs'!$B$8-'Operating costs'!$B$9*IF('Replacement plan'!$AG$74="",'Operating costs'!$B$7,'Replacement plan'!$AG$74)),0)*'Operating costs'!$B$9)*IF('Replacement plan'!$AG$74="",'Operating costs'!$B$7,'Replacement plan'!$AG$74)*('Energy and charging'!$B$9*'Energy and charging'!$B$7+(1-'Energy and charging'!$B$9)*'Energy and charging'!$B$8)*'Operating costs'!$B$23,"n.a."))</f>
        <v>0</v>
      </c>
      <c r="K277" s="16">
        <f>IF(C277=0,0,IF(P277="Complete",SUM('Operating costs'!$B$24,'Operating costs'!$B$27,'Operating costs'!$B$29,'Operating costs'!$B$31,'Operating costs'!$B$33,'Operating costs'!$B$34,'Operating costs'!$B$37,'Replacement plan'!$W$74)+'Operating costs'!$B$39*'Operating costs'!$B$42+ROUNDUP(S277*(R277-'Operating costs'!$B$39)*IF('Replacement plan'!$AG$74="",'Operating costs'!$B$7,'Replacement plan'!$AG$74)/('Operating costs'!$B$8-'Operating costs'!$B$9*IF('Replacement plan'!$AG$74="",'Operating costs'!$B$7,'Replacement plan'!$AG$74)),0)*('Operating costs'!$B$9/'Operating costs'!$B$11+'Operating costs'!$B$10/60)*'Operating costs'!$B$19*'Operating costs'!$B$21,"n.a."))</f>
        <v>0</v>
      </c>
      <c r="L277" s="16">
        <f>IF(C277=0,0,IF(P277="Complete",IF(D277="EV",X277*((1-T277)*'Energy and charging'!$B$10+T277*'Energy and charging'!$B$11)*'Operating costs'!$B$22,AA277*('Energy and charging'!$B$9*'Energy and charging'!$B$7+(1-'Energy and charging'!$B$9)*'Energy and charging'!$B$8)*'Operating costs'!$B$23),"n.a."))</f>
        <v>0</v>
      </c>
      <c r="M277" s="37">
        <f>IF(C277=0,0,IF(P277="Complete",IF(D277="ICE",SUM('Operating costs'!$B$25,'Operating costs'!$B$27,'Operating costs'!$B$29,'Operating costs'!$B$31,'Operating costs'!$B$33,'Operating costs'!$B$35,'Operating costs'!$B$37,'Replacement plan'!$X$74)+'Operating costs'!$B$40*'Operating costs'!$B$42+ROUNDUP(S277*(R277-'Operating costs'!$B$40)*IF('Replacement plan'!$AH$74="",'Operating costs'!$B$7,'Replacement plan'!$AH$74)/('Operating costs'!$B$8-'Operating costs'!$B$9*IF('Replacement plan'!$AH$74="",'Operating costs'!$B$7,'Replacement plan'!$AH$74)),0)*('Operating costs'!$B$9/'Operating costs'!$B$11+'Operating costs'!$B$10/60)*'Operating costs'!$B$19*'Operating costs'!$B$21,SUM(AP277,'Operating costs'!$B$28,'Operating costs'!$B$30,'Operating costs'!$B$32,'Operating costs'!$B$33,'Operating costs'!$B$36,'Operating costs'!$B$38,'Replacement plan'!$Y$74)+'Operating costs'!$B$41*'Operating costs'!$B$43+W277*'Operating costs'!$B$15+(T277*X277/'Replacement plan'!$L$74+W277*('Operating costs'!$B$12/'Operating costs'!$B$11+('Operating costs'!$B$13+'Operating costs'!$B$14)/60)+(R277-'Operating costs'!$B$41)*(IF(T277&lt;1,'Operating costs'!$B$16,0)+'Operating costs'!$B$17)/60)*'Operating costs'!$B$19*'Operating costs'!$B$20),"n.a."))</f>
        <v>0</v>
      </c>
      <c r="N277" s="16">
        <f>IF(AND(C277=1,D277="EV",E277&lt;120,E277+'Replacement plan'!$AA$74&lt;=120),'Replacement plan'!$Z$74,0)</f>
        <v>0</v>
      </c>
      <c r="O277" s="1">
        <f>E277+'Replacement plan'!$AA$74</f>
        <v>0</v>
      </c>
      <c r="P277" s="35" t="str">
        <f>IFERROR(IF(C277=0,"Excluded",IF(OR(COUNTIFS('Fleet register'!$A$7:$A$106,A277)&lt;&gt;1,COUNTIFS('Replacement plan'!$A$7:$A$106,A277)&lt;&gt;1),"Duplicate/missing ID",IF(NOT(AND(ISNUMBER(VLOOKUP($A277,'Fleet register'!$A$7:$S$106,5,FALSE)),ISNUMBER(VLOOKUP($A277,'Fleet register'!$A$7:$S$106,6,FALSE)),ISNUMBER(VLOOKUP($A277,'Fleet register'!$A$7:$S$106,10,FALSE)),ISNUMBER(VLOOKUP($A277,'Fleet register'!$A$7:$S$106,11,FALSE)),ISNUMBER(VLOOKUP($A277,'Fleet register'!$A$7:$S$106,12,FALSE)),ISNUMBER(VLOOKUP($A277,'Fleet register'!$A$7:$S$106,13,FALSE)),ISNUMBER(VLOOKUP($A277,'Fleet register'!$A$7:$S$106,14,FALSE)),VLOOKUP($A277,'Fleet register'!$A$7:$S$106,14,FALSE)&gt;0,ISNUMBER('Replacement plan'!$C$74),OR(E277=120,ISNUMBER('Replacement plan'!$Q$74)),ISNUMBER(E277))),"Missing vehicle input",IF(OR(E277&lt;0,E277&gt;VLOOKUP($A277,'Fleet register'!$A$7:$S$106,10,FALSE),E277&gt;120,E277&lt;&gt;INT(E277),VLOOKUP($A277,'Fleet register'!$A$7:$S$106,6,FALSE)&lt;=0,VLOOKUP($A277,'Fleet register'!$A$7:$S$106,6,FALSE)&gt;366,VLOOKUP($A277,'Fleet register'!$A$7:$S$106,5,FALSE)&lt;0,VLOOKUP($A277,'Fleet register'!$A$7:$S$106,11,FALSE)&lt;0,I277&lt;0,'Operating costs'!$B$8&lt;='Operating costs'!$B$7*'Operating costs'!$B$9,'Operating costs'!$B$11&lt;=0,'Operating costs'!$B$39&gt;R277,'Operating costs'!$B$40&gt;R277,'Operating costs'!$B$41&gt;R277,NOT(OR('Replacement plan'!$O$74="Keep ICE",'Replacement plan'!$O$74="New ICE",'Replacement plan'!$O$74="EV"))),"Invalid vehicle input",IF(AND(D277="EV",E277&lt;120,OR(NOT(ISNUMBER(U277)),NOT(ISNUMBER(V277)),V277&lt;=0,T277&lt;0,T277&gt;1,'Replacement plan'!$L$74&lt;=0,'Operating costs'!$B$44&lt;0,'Operating costs'!$B$44&gt;=1,'Operating costs'!$B$47&lt;=0,'Operating costs'!$B$47&gt;1,V277*'Operating costs'!$B$47/(1-'Operating costs'!$B$44)&lt;=T277*'Operating costs'!$B$12*U277,AND('Replacement plan'!$Z$74&gt;0,OR('Replacement plan'!$AB$74&lt;&gt;"Yes",'Operating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charging'!$B$8&gt;=0))),ISNUMBER(VLOOKUP($A277,'Fleet register'!$A$7:$S$106,15,FALSE)),ISNUMBER(VLOOKUP($A277,'Fleet register'!$A$7:$S$106,16,FALSE)),ISNUMBER('Replacement plan'!$W$74),ISNUMBER('Replacement plan'!$X$74),OR(E277=120,AND(ISNUMBER(G277),G277&gt;=0)),ISNUMBER(H277),H277&gt;=0,OR(D277&lt;&gt;"EV",E277=120,AND(ISNUMBER('Operating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average",ISNUMBER(IFERROR(INDEX(Products!$P$7:$P$13,MATCH(AD277,Products!$A$7:$A$13,0)),"")))),ISNUMBER('Operating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plan'!$Y$74),ISNUMBER('Replacement plan'!$Z$74),'Replacement plan'!$Z$74&gt;=0,ISNUMBER('Replacement plan'!$AA$74),'Replacement plan'!$AA$74&gt;=0,'Replacement plan'!$AA$74=INT('Replacement plan'!$AA$74),ISNUMBER('Replacement plan'!$L$74))),'Operating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plan'!$AG$74="",'Operating costs'!$B$7,'Replacement plan'!$AG$74)),IF('Replacement plan'!$AG$74="",'Operating costs'!$B$7,'Replacement plan'!$AG$74)&gt;=0,ISNUMBER(IF('Replacement plan'!$AH$74="",'Operating costs'!$B$7,'Replacement plan'!$AH$74)),IF('Replacement plan'!$AH$74="",'Operating costs'!$B$7,'Replacement plan'!$AH$74)&gt;=0,'Operating costs'!$B$8&gt;MAX(IF('Replacement plan'!$AG$74="",'Operating costs'!$B$7,'Replacement plan'!$AG$74),IF('Replacement plan'!$AH$74="",'Operating costs'!$B$7,'Replacement plan'!$AH$74))*'Operating costs'!$B$9),IF(AND(VLOOKUP($A277,'Fleet register'!$A$7:$S$106,10,FALSE)&gt;=0,VLOOKUP($A277,'Fleet register'!$A$7:$S$106,10,FALSE)&lt;=120,VLOOKUP($A277,'Fleet register'!$A$7:$S$106,10,FALSE)=INT(VLOOKUP($A277,'Fleet register'!$A$7:$S$106,10,FALSE)),VLOOKUP($A277,'Fleet register'!$A$7:$S$106,15,FALSE)&gt;=0,VLOOKUP($A277,'Fleet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costs'!$B$67)&gt;=0,OR(D277&lt;&gt;"EV",E277=120,AND(MIN('Operating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77" s="1" t="str">
        <f>IF(C277=0,"Excluded",IF(P277&lt;&gt;"Complete",P277,IF(OR('Replacement plan'!$AD$74&lt;120-E277,AND(D277="EV",E277&lt;120,OR('Replacement plan'!$AC$74&lt;120-E277,'Replacement plan'!$I$74="No",AND(ISNUMBER(AF277),AE277&gt;AF277),AI277&gt;V277*(1-'Operating costs'!$B$46)^MAX(0,AB277-1)*(1-'Operating costs'!$B$45),AC277&gt;'Operating costs'!$B$18,AND(T277&lt;1,OR(AG277&lt;=0,AND(ISNUMBER(AH277),AG277&gt;AH277))),'Replacement plan'!$L$74&gt;INDEX(Products!$H$7:$H$13,MATCH('Replacement plan'!$B$74,Products!$A$7:$A$13,0))))),"Fails entered limits",IF(AND(D277="EV",E277&lt;120,OR(NOT(ISNUMBER(VLOOKUP($A277,'Fleet register'!$A$7:$S$106,7,FALSE))),NOT(ISNUMBER(VLOOKUP($A277,'Fleet register'!$A$7:$S$106,8,FALSE))),NOT(ISNUMBER(AF277)),'Replacement plan'!$I$74&lt;&gt;"Yes",NOT(ISNUMBER(AH277)),'Operating costs'!$B$59&lt;&gt;"Yes",'Operating costs'!$B$58&lt;&gt;"Yes")),"Unverified","Within entered limits"))))</f>
        <v>Excluded</v>
      </c>
      <c r="R277" s="1">
        <f>IF(C277=0,0,VLOOKUP($A277,'Fleet register'!$A$7:$S$106,6,FALSE))</f>
        <v>0</v>
      </c>
      <c r="S277" s="1">
        <f>IF(C277=0,0,VLOOKUP($A277,'Fleet register'!$A$7:$S$106,5,FALSE))</f>
        <v>0</v>
      </c>
      <c r="T277" s="1">
        <f>IF(D277="EV",'Energy and charging'!$B$12,0)</f>
        <v>0</v>
      </c>
      <c r="U277" s="1">
        <f>IFERROR(IF(C277=0,0,IF(D277="EV",IF('Replacement plan'!$F$74="",INDEX(Products!$E$7:$E$13,MATCH('Replacement plan'!$B$74,Products!$A$7:$A$13,0)),'Replacement plan'!$F$74)/IF('Replacement plan'!$G$74="Battery",1-'Operating costs'!$B$44,1),0)),"n.a.")</f>
        <v>0</v>
      </c>
      <c r="V277" s="1">
        <f>IFERROR(IF(C277=0,0,IF(D277="EV",IF('Replacement plan'!$E$74="",INDEX(Products!$D$7:$D$13,MATCH('Replacement plan'!$B$74,Products!$A$7:$A$13,0)),'Replacement plan'!$E$74),0)),"n.a.")</f>
        <v>0</v>
      </c>
      <c r="W277" s="1">
        <f>IF(C277=0,0,IF(AND(P277="Complete",D277="EV",E277&lt;120),IF(T277=0,0,ROUNDUP(T277*(R277-'Operating costs'!$B$41)*(S277*U277+'Operating costs'!$B$48/(1-'Operating costs'!$B$44))/(V277*'Operating costs'!$B$47/(1-'Operating costs'!$B$44)-T277*'Operating costs'!$B$12*U277),0)),0))</f>
        <v>0</v>
      </c>
      <c r="X277" s="1">
        <f>IF(C277=0,0,IF(AND(P277="Complete",D277="EV",E277&lt;120),(R277-'Operating costs'!$B$41)*(S277*U277+'Operating costs'!$B$48/(1-'Operating costs'!$B$44))+W277*'Operating costs'!$B$12*U277,0))</f>
        <v>0</v>
      </c>
      <c r="Y277" s="1">
        <f>IF(AND(C277=1,D277="EV",E277&lt;120),AI277/(1-'Operating costs'!$B$44)*(1-T277),0)</f>
        <v>0</v>
      </c>
      <c r="Z277" s="1">
        <f t="shared" si="8"/>
        <v>0</v>
      </c>
      <c r="AA277" s="1">
        <f>IF(C277=0,0,IF(P277="Complete",((S277*(R277-'Operating costs'!$B$40))+ROUNDUP(S277*(R277-'Operating costs'!$B$40)*IF('Replacement plan'!$AH$74="",'Operating costs'!$B$7,'Replacement plan'!$AH$74)/('Operating costs'!$B$8-'Operating costs'!$B$9*IF('Replacement plan'!$AH$74="",'Operating costs'!$B$7,'Replacement plan'!$AH$74)),0)*'Operating costs'!$B$9)*IF('Replacement plan'!$AH$74="",'Operating costs'!$B$7,'Replacement plan'!$AH$74),"n.a."))</f>
        <v>0</v>
      </c>
      <c r="AB277" s="1">
        <f t="shared" si="9"/>
        <v>0</v>
      </c>
      <c r="AC277" s="1">
        <f>IF(AND(C277=1,D277="EV",E277&lt;120,T277&gt;0),'Operating costs'!$B$12/'Operating costs'!$B$11*60+'Operating costs'!$B$13+'Operating costs'!$B$14+V277*'Operating costs'!$B$47/(1-'Operating costs'!$B$44)/'Replacement plan'!$L$74*60,0)</f>
        <v>0</v>
      </c>
      <c r="AD277" s="1" t="str">
        <f>'Replacement plan'!$B$74</f>
        <v>ChengLong L2EV</v>
      </c>
      <c r="AE277" s="1">
        <f>IF(C277=0,0,VLOOKUP($A277,'Fleet register'!$A$7:$S$106,8,FALSE))</f>
        <v>0</v>
      </c>
      <c r="AF277" s="1" t="str">
        <f>IF('Replacement plan'!$H$74="","n.a.",'Replacement plan'!$H$74)</f>
        <v>n.a.</v>
      </c>
      <c r="AG277" s="1">
        <f>'Replacement plan'!$J$74</f>
        <v>22</v>
      </c>
      <c r="AH277" s="1">
        <f>IFERROR(IF(D277="EV",IF('Replacement plan'!$K$74="AC",IF(ISNUMBER(INDEX(Products!$G$7:$G$13,MATCH('Replacement plan'!$B$74,Products!$A$7:$A$13,0))),INDEX(Products!$G$7:$G$13,MATCH('Replacement plan'!$B$74,Products!$A$7:$A$13,0)),"n.a."),IF(ISNUMBER(INDEX(Products!$H$7:$H$13,MATCH('Replacement plan'!$B$74,Products!$A$7:$A$13,0))),INDEX(Products!$H$7:$H$13,MATCH('Replacement plan'!$B$74,Products!$A$7:$A$13,0)),"n.a.")),0),"n.a.")</f>
        <v>0</v>
      </c>
      <c r="AI277" s="1">
        <f>IF(AND(C277=1,D277="EV",E277&lt;120),(VLOOKUP($A277,'Fleet register'!$A$7:$S$106,7,FALSE)+IF(T277&gt;0,'Operating costs'!$B$12,0))*U277*(1-'Operating costs'!$B$44)+'Operating costs'!$B$49,0)</f>
        <v>0</v>
      </c>
      <c r="AJ277" s="1">
        <f>IF(D277="EV",'Energy and charging'!$B$50,0)</f>
        <v>0</v>
      </c>
      <c r="AK277" s="17">
        <f>EDATE('Operating costs'!$B$63,E277)</f>
        <v>46298</v>
      </c>
      <c r="AL277" s="1">
        <f>IFERROR(IF(D277="EV",INDEX(Products!$B$7:$B$13,MATCH('Replacement plan'!$B$74,Products!$A$7:$A$13,0)),0),"n.a.")</f>
        <v>0</v>
      </c>
      <c r="AM277" s="1" t="str">
        <f>'Replacement plan'!$K$74</f>
        <v>DC</v>
      </c>
      <c r="AN277" s="1" t="str">
        <f>'Replacement plan'!$AE$74</f>
        <v>Assumed</v>
      </c>
      <c r="AO277" s="47">
        <f>IF(AND(C277=1,D277="EV",E277&lt;120),(R277-'Operating costs'!$B$41)*S277+W277*'Operating costs'!$B$12,0)</f>
        <v>0</v>
      </c>
      <c r="AP277" s="41">
        <f>IF(AND(C277=1,D277="EV",E277&lt;120),IF('Operating costs'!$B$68="Hong Seh 200k average",AO277*IFERROR(INDEX(Products!$P$7:$P$13,MATCH(AD277,Products!$A$7:$A$13,0)),"n.a."),'Operating costs'!$B$26),0)</f>
        <v>0</v>
      </c>
      <c r="AQ277" s="40" t="str">
        <f>IF(D277="EV",'Operating costs'!$B$68,"Not applicable")</f>
        <v>Not applicable</v>
      </c>
    </row>
    <row r="278" spans="1:43" ht="24" customHeight="1">
      <c r="A278" s="1" t="str">
        <f>'Replacement plan'!A74</f>
        <v>T068</v>
      </c>
      <c r="B278" s="1">
        <v>3</v>
      </c>
      <c r="C278" s="1">
        <f>IF(COUNTIFS('Fleet register'!$A$7:$A$106,$A278)=1,VLOOKUP($A278,'Fleet register'!$A$7:$S$106,2,FALSE),0)</f>
        <v>0</v>
      </c>
      <c r="D278" s="1" t="str">
        <f>IF('Replacement plan'!$R$74="EV","EV","ICE")</f>
        <v>ICE</v>
      </c>
      <c r="E278" s="1">
        <f>IF(C278=0,0,IF('Replacement plan'!$S$74="",IF('Replacement plan'!$R$74="Keep ICE",IF('Replacement plan'!$M$74="",VLOOKUP($A278,'Fleet register'!$A$7:$S$106,10,FALSE),'Replacement plan'!$M$74),0),'Replacement plan'!$S$74))</f>
        <v>0</v>
      </c>
      <c r="F278" s="16">
        <f>IF(C278=0,0,VLOOKUP($A278,'Fleet register'!$A$7:$S$106,11,FALSE))</f>
        <v>0</v>
      </c>
      <c r="G278" s="16">
        <f>IFERROR(IF(C278=0,0,IF(E278=120,0,IF(D278="ICE",'Replacement plan'!$C$74,IF('Replacement plan'!$D$74="",INDEX(Products!$I$7:$I$13,MATCH('Replacement plan'!$B$74,Products!$A$7:$A$13,0))+'Operating costs'!$B$57,'Replacement plan'!$D$74))*(1+'Operating costs'!$B$50)^(E278/12))),"n.a.")</f>
        <v>0</v>
      </c>
      <c r="H278" s="16">
        <f>IFERROR(IF(C278=0,0,IF('Replacement plan'!$V$74&lt;&gt;"",'Replacement plan'!$V$74,IF(E278=0,F278,VLOOKUP($A278,'Fleet register'!$A$7:$S$106,12,FALSE)+VLOOKUP($A278,'Fleet register'!$A$7:$S$106,13,FALSE)*MAX(0,VLOOKUP($A278,'Fleet register'!$A$7:$S$106,10,FALSE)-E278)/VLOOKUP($A278,'Fleet register'!$A$7:$S$106,14,FALSE)))),"n.a.")</f>
        <v>0</v>
      </c>
      <c r="I278" s="16">
        <f>IF(C278=0,0,IF(E278=120,0,'Replacement plan'!$T$74))</f>
        <v>0</v>
      </c>
      <c r="J278" s="16">
        <f>IF(C278=0,0,IF(P278="Complete",((S278*(R278-'Operating costs'!$B$39))+ROUNDUP(S278*(R278-'Operating costs'!$B$39)*IF('Replacement plan'!$AG$74="",'Operating costs'!$B$7,'Replacement plan'!$AG$74)/('Operating costs'!$B$8-'Operating costs'!$B$9*IF('Replacement plan'!$AG$74="",'Operating costs'!$B$7,'Replacement plan'!$AG$74)),0)*'Operating costs'!$B$9)*IF('Replacement plan'!$AG$74="",'Operating costs'!$B$7,'Replacement plan'!$AG$74)*('Energy and charging'!$C$9*'Energy and charging'!$C$7+(1-'Energy and charging'!$C$9)*'Energy and charging'!$C$8)*'Operating costs'!$B$23,"n.a."))</f>
        <v>0</v>
      </c>
      <c r="K278" s="16">
        <f>IF(C278=0,0,IF(P278="Complete",SUM('Operating costs'!$B$24,'Operating costs'!$B$27,'Operating costs'!$B$29,'Operating costs'!$B$31,'Operating costs'!$B$33,'Operating costs'!$B$34,'Operating costs'!$B$37,'Replacement plan'!$W$74)+'Operating costs'!$B$39*'Operating costs'!$B$42+ROUNDUP(S278*(R278-'Operating costs'!$B$39)*IF('Replacement plan'!$AG$74="",'Operating costs'!$B$7,'Replacement plan'!$AG$74)/('Operating costs'!$B$8-'Operating costs'!$B$9*IF('Replacement plan'!$AG$74="",'Operating costs'!$B$7,'Replacement plan'!$AG$74)),0)*('Operating costs'!$B$9/'Operating costs'!$B$11+'Operating costs'!$B$10/60)*'Operating costs'!$B$19*'Operating costs'!$B$21,"n.a."))</f>
        <v>0</v>
      </c>
      <c r="L278" s="16">
        <f>IF(C278=0,0,IF(P278="Complete",IF(D278="EV",X278*((1-T278)*'Energy and charging'!$C$10+T278*'Energy and charging'!$C$11)*'Operating costs'!$B$22,AA278*('Energy and charging'!$C$9*'Energy and charging'!$C$7+(1-'Energy and charging'!$C$9)*'Energy and charging'!$C$8)*'Operating costs'!$B$23),"n.a."))</f>
        <v>0</v>
      </c>
      <c r="M278" s="37">
        <f>IF(C278=0,0,IF(P278="Complete",IF(D278="ICE",SUM('Operating costs'!$B$25,'Operating costs'!$B$27,'Operating costs'!$B$29,'Operating costs'!$B$31,'Operating costs'!$B$33,'Operating costs'!$B$35,'Operating costs'!$B$37,'Replacement plan'!$X$74)+'Operating costs'!$B$40*'Operating costs'!$B$42+ROUNDUP(S278*(R278-'Operating costs'!$B$40)*IF('Replacement plan'!$AH$74="",'Operating costs'!$B$7,'Replacement plan'!$AH$74)/('Operating costs'!$B$8-'Operating costs'!$B$9*IF('Replacement plan'!$AH$74="",'Operating costs'!$B$7,'Replacement plan'!$AH$74)),0)*('Operating costs'!$B$9/'Operating costs'!$B$11+'Operating costs'!$B$10/60)*'Operating costs'!$B$19*'Operating costs'!$B$21,SUM(AP278,'Operating costs'!$B$28,'Operating costs'!$B$30,'Operating costs'!$B$32,'Operating costs'!$B$33,'Operating costs'!$B$36,'Operating costs'!$B$38,'Replacement plan'!$Y$74)+'Operating costs'!$B$41*'Operating costs'!$B$43+W278*'Operating costs'!$B$15+(T278*X278/'Replacement plan'!$L$74+W278*('Operating costs'!$B$12/'Operating costs'!$B$11+('Operating costs'!$B$13+'Operating costs'!$B$14)/60)+(R278-'Operating costs'!$B$41)*(IF(T278&lt;1,'Operating costs'!$B$16,0)+'Operating costs'!$B$17)/60)*'Operating costs'!$B$19*'Operating costs'!$B$20),"n.a."))</f>
        <v>0</v>
      </c>
      <c r="N278" s="16">
        <f>IF(AND(C278=1,D278="EV",E278&lt;120,E278+'Replacement plan'!$AA$74&lt;=120),'Replacement plan'!$Z$74,0)</f>
        <v>0</v>
      </c>
      <c r="O278" s="1">
        <f>E278+'Replacement plan'!$AA$74</f>
        <v>0</v>
      </c>
      <c r="P278" s="35" t="str">
        <f>IFERROR(IF(C278=0,"Excluded",IF(OR(COUNTIFS('Fleet register'!$A$7:$A$106,A278)&lt;&gt;1,COUNTIFS('Replacement plan'!$A$7:$A$106,A278)&lt;&gt;1),"Duplicate/missing ID",IF(NOT(AND(ISNUMBER(VLOOKUP($A278,'Fleet register'!$A$7:$S$106,5,FALSE)),ISNUMBER(VLOOKUP($A278,'Fleet register'!$A$7:$S$106,6,FALSE)),ISNUMBER(VLOOKUP($A278,'Fleet register'!$A$7:$S$106,10,FALSE)),ISNUMBER(VLOOKUP($A278,'Fleet register'!$A$7:$S$106,11,FALSE)),ISNUMBER(VLOOKUP($A278,'Fleet register'!$A$7:$S$106,12,FALSE)),ISNUMBER(VLOOKUP($A278,'Fleet register'!$A$7:$S$106,13,FALSE)),ISNUMBER(VLOOKUP($A278,'Fleet register'!$A$7:$S$106,14,FALSE)),VLOOKUP($A278,'Fleet register'!$A$7:$S$106,14,FALSE)&gt;0,ISNUMBER('Replacement plan'!$C$74),OR(E278=120,ISNUMBER('Replacement plan'!$T$74)),ISNUMBER(E278))),"Missing vehicle input",IF(OR(E278&lt;0,E278&gt;VLOOKUP($A278,'Fleet register'!$A$7:$S$106,10,FALSE),E278&gt;120,E278&lt;&gt;INT(E278),VLOOKUP($A278,'Fleet register'!$A$7:$S$106,6,FALSE)&lt;=0,VLOOKUP($A278,'Fleet register'!$A$7:$S$106,6,FALSE)&gt;366,VLOOKUP($A278,'Fleet register'!$A$7:$S$106,5,FALSE)&lt;0,VLOOKUP($A278,'Fleet register'!$A$7:$S$106,11,FALSE)&lt;0,I278&lt;0,'Operating costs'!$B$8&lt;='Operating costs'!$B$7*'Operating costs'!$B$9,'Operating costs'!$B$11&lt;=0,'Operating costs'!$B$39&gt;R278,'Operating costs'!$B$40&gt;R278,'Operating costs'!$B$41&gt;R278,NOT(OR('Replacement plan'!$R$74="Keep ICE",'Replacement plan'!$R$74="New ICE",'Replacement plan'!$R$74="EV"))),"Invalid vehicle input",IF(AND(D278="EV",E278&lt;120,OR(NOT(ISNUMBER(U278)),NOT(ISNUMBER(V278)),V278&lt;=0,T278&lt;0,T278&gt;1,'Replacement plan'!$L$74&lt;=0,'Operating costs'!$B$44&lt;0,'Operating costs'!$B$44&gt;=1,'Operating costs'!$B$47&lt;=0,'Operating costs'!$B$47&gt;1,V278*'Operating costs'!$B$47/(1-'Operating costs'!$B$44)&lt;=T278*'Operating costs'!$B$12*U278,AND('Replacement plan'!$Z$74&gt;0,OR('Replacement plan'!$AB$74&lt;&gt;"Yes",'Operating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charging'!$C$8&gt;=0))),ISNUMBER(VLOOKUP($A278,'Fleet register'!$A$7:$S$106,15,FALSE)),ISNUMBER(VLOOKUP($A278,'Fleet register'!$A$7:$S$106,16,FALSE)),ISNUMBER('Replacement plan'!$W$74),ISNUMBER('Replacement plan'!$X$74),OR(E278=120,AND(ISNUMBER(G278),G278&gt;=0)),ISNUMBER(H278),H278&gt;=0,OR(D278&lt;&gt;"EV",E278=120,AND(ISNUMBER('Operating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average",ISNUMBER(IFERROR(INDEX(Products!$P$7:$P$13,MATCH(AD278,Products!$A$7:$A$13,0)),"")))),ISNUMBER('Operating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plan'!$Y$74),ISNUMBER('Replacement plan'!$Z$74),'Replacement plan'!$Z$74&gt;=0,ISNUMBER('Replacement plan'!$AA$74),'Replacement plan'!$AA$74&gt;=0,'Replacement plan'!$AA$74=INT('Replacement plan'!$AA$74),ISNUMBER('Replacement plan'!$L$74))),'Operating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plan'!$AG$74="",'Operating costs'!$B$7,'Replacement plan'!$AG$74)),IF('Replacement plan'!$AG$74="",'Operating costs'!$B$7,'Replacement plan'!$AG$74)&gt;=0,ISNUMBER(IF('Replacement plan'!$AH$74="",'Operating costs'!$B$7,'Replacement plan'!$AH$74)),IF('Replacement plan'!$AH$74="",'Operating costs'!$B$7,'Replacement plan'!$AH$74)&gt;=0,'Operating costs'!$B$8&gt;MAX(IF('Replacement plan'!$AG$74="",'Operating costs'!$B$7,'Replacement plan'!$AG$74),IF('Replacement plan'!$AH$74="",'Operating costs'!$B$7,'Replacement plan'!$AH$74))*'Operating costs'!$B$9),IF(AND(VLOOKUP($A278,'Fleet register'!$A$7:$S$106,10,FALSE)&gt;=0,VLOOKUP($A278,'Fleet register'!$A$7:$S$106,10,FALSE)&lt;=120,VLOOKUP($A278,'Fleet register'!$A$7:$S$106,10,FALSE)=INT(VLOOKUP($A278,'Fleet register'!$A$7:$S$106,10,FALSE)),VLOOKUP($A278,'Fleet register'!$A$7:$S$106,15,FALSE)&gt;=0,VLOOKUP($A278,'Fleet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costs'!$B$67)&gt;=0,OR(D278&lt;&gt;"EV",E278=120,AND(MIN('Operating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78" s="1" t="str">
        <f>IF(C278=0,"Excluded",IF(P278&lt;&gt;"Complete",P278,IF(OR('Replacement plan'!$AD$74&lt;120-E278,AND(D278="EV",E278&lt;120,OR('Replacement plan'!$AC$74&lt;120-E278,'Replacement plan'!$I$74="No",AND(ISNUMBER(AF278),AE278&gt;AF278),AI278&gt;V278*(1-'Operating costs'!$B$46)^MAX(0,AB278-1)*(1-'Operating costs'!$B$45),AC278&gt;'Operating costs'!$B$18,AND(T278&lt;1,OR(AG278&lt;=0,AND(ISNUMBER(AH278),AG278&gt;AH278))),'Replacement plan'!$L$74&gt;INDEX(Products!$H$7:$H$13,MATCH('Replacement plan'!$B$74,Products!$A$7:$A$13,0))))),"Fails entered limits",IF(AND(D278="EV",E278&lt;120,OR(NOT(ISNUMBER(VLOOKUP($A278,'Fleet register'!$A$7:$S$106,7,FALSE))),NOT(ISNUMBER(VLOOKUP($A278,'Fleet register'!$A$7:$S$106,8,FALSE))),NOT(ISNUMBER(AF278)),'Replacement plan'!$I$74&lt;&gt;"Yes",NOT(ISNUMBER(AH278)),'Operating costs'!$B$59&lt;&gt;"Yes",'Operating costs'!$B$58&lt;&gt;"Yes")),"Unverified","Within entered limits"))))</f>
        <v>Excluded</v>
      </c>
      <c r="R278" s="1">
        <f>IF(C278=0,0,VLOOKUP($A278,'Fleet register'!$A$7:$S$106,6,FALSE))</f>
        <v>0</v>
      </c>
      <c r="S278" s="1">
        <f>IF(C278=0,0,VLOOKUP($A278,'Fleet register'!$A$7:$S$106,5,FALSE))</f>
        <v>0</v>
      </c>
      <c r="T278" s="1">
        <f>IF(D278="EV",'Energy and charging'!$C$12,0)</f>
        <v>0</v>
      </c>
      <c r="U278" s="1">
        <f>IFERROR(IF(C278=0,0,IF(D278="EV",IF('Replacement plan'!$F$74="",INDEX(Products!$E$7:$E$13,MATCH('Replacement plan'!$B$74,Products!$A$7:$A$13,0)),'Replacement plan'!$F$74)/IF('Replacement plan'!$G$74="Battery",1-'Operating costs'!$B$44,1),0)),"n.a.")</f>
        <v>0</v>
      </c>
      <c r="V278" s="1">
        <f>IFERROR(IF(C278=0,0,IF(D278="EV",IF('Replacement plan'!$E$74="",INDEX(Products!$D$7:$D$13,MATCH('Replacement plan'!$B$74,Products!$A$7:$A$13,0)),'Replacement plan'!$E$74),0)),"n.a.")</f>
        <v>0</v>
      </c>
      <c r="W278" s="1">
        <f>IF(C278=0,0,IF(AND(P278="Complete",D278="EV",E278&lt;120),IF(T278=0,0,ROUNDUP(T278*(R278-'Operating costs'!$B$41)*(S278*U278+'Operating costs'!$B$48/(1-'Operating costs'!$B$44))/(V278*'Operating costs'!$B$47/(1-'Operating costs'!$B$44)-T278*'Operating costs'!$B$12*U278),0)),0))</f>
        <v>0</v>
      </c>
      <c r="X278" s="1">
        <f>IF(C278=0,0,IF(AND(P278="Complete",D278="EV",E278&lt;120),(R278-'Operating costs'!$B$41)*(S278*U278+'Operating costs'!$B$48/(1-'Operating costs'!$B$44))+W278*'Operating costs'!$B$12*U278,0))</f>
        <v>0</v>
      </c>
      <c r="Y278" s="1">
        <f>IF(AND(C278=1,D278="EV",E278&lt;120),AI278/(1-'Operating costs'!$B$44)*(1-T278),0)</f>
        <v>0</v>
      </c>
      <c r="Z278" s="1">
        <f t="shared" si="8"/>
        <v>0</v>
      </c>
      <c r="AA278" s="1">
        <f>IF(C278=0,0,IF(P278="Complete",((S278*(R278-'Operating costs'!$B$40))+ROUNDUP(S278*(R278-'Operating costs'!$B$40)*IF('Replacement plan'!$AH$74="",'Operating costs'!$B$7,'Replacement plan'!$AH$74)/('Operating costs'!$B$8-'Operating costs'!$B$9*IF('Replacement plan'!$AH$74="",'Operating costs'!$B$7,'Replacement plan'!$AH$74)),0)*'Operating costs'!$B$9)*IF('Replacement plan'!$AH$74="",'Operating costs'!$B$7,'Replacement plan'!$AH$74),"n.a."))</f>
        <v>0</v>
      </c>
      <c r="AB278" s="1">
        <f t="shared" si="9"/>
        <v>0</v>
      </c>
      <c r="AC278" s="1">
        <f>IF(AND(C278=1,D278="EV",E278&lt;120,T278&gt;0),'Operating costs'!$B$12/'Operating costs'!$B$11*60+'Operating costs'!$B$13+'Operating costs'!$B$14+V278*'Operating costs'!$B$47/(1-'Operating costs'!$B$44)/'Replacement plan'!$L$74*60,0)</f>
        <v>0</v>
      </c>
      <c r="AD278" s="1" t="str">
        <f>'Replacement plan'!$B$74</f>
        <v>ChengLong L2EV</v>
      </c>
      <c r="AE278" s="1">
        <f>IF(C278=0,0,VLOOKUP($A278,'Fleet register'!$A$7:$S$106,8,FALSE))</f>
        <v>0</v>
      </c>
      <c r="AF278" s="1" t="str">
        <f>IF('Replacement plan'!$H$74="","n.a.",'Replacement plan'!$H$74)</f>
        <v>n.a.</v>
      </c>
      <c r="AG278" s="1">
        <f>'Replacement plan'!$J$74</f>
        <v>22</v>
      </c>
      <c r="AH278" s="1">
        <f>IFERROR(IF(D278="EV",IF('Replacement plan'!$K$74="AC",IF(ISNUMBER(INDEX(Products!$G$7:$G$13,MATCH('Replacement plan'!$B$74,Products!$A$7:$A$13,0))),INDEX(Products!$G$7:$G$13,MATCH('Replacement plan'!$B$74,Products!$A$7:$A$13,0)),"n.a."),IF(ISNUMBER(INDEX(Products!$H$7:$H$13,MATCH('Replacement plan'!$B$74,Products!$A$7:$A$13,0))),INDEX(Products!$H$7:$H$13,MATCH('Replacement plan'!$B$74,Products!$A$7:$A$13,0)),"n.a.")),0),"n.a.")</f>
        <v>0</v>
      </c>
      <c r="AI278" s="1">
        <f>IF(AND(C278=1,D278="EV",E278&lt;120),(VLOOKUP($A278,'Fleet register'!$A$7:$S$106,7,FALSE)+IF(T278&gt;0,'Operating costs'!$B$12,0))*U278*(1-'Operating costs'!$B$44)+'Operating costs'!$B$49,0)</f>
        <v>0</v>
      </c>
      <c r="AJ278" s="1">
        <f>IF(D278="EV",'Energy and charging'!$C$50,0)</f>
        <v>0</v>
      </c>
      <c r="AK278" s="17">
        <f>EDATE('Operating costs'!$B$63,E278)</f>
        <v>46298</v>
      </c>
      <c r="AL278" s="1">
        <f>IFERROR(IF(D278="EV",INDEX(Products!$B$7:$B$13,MATCH('Replacement plan'!$B$74,Products!$A$7:$A$13,0)),0),"n.a.")</f>
        <v>0</v>
      </c>
      <c r="AM278" s="1" t="str">
        <f>'Replacement plan'!$K$74</f>
        <v>DC</v>
      </c>
      <c r="AN278" s="1" t="str">
        <f>'Replacement plan'!$AE$74</f>
        <v>Assumed</v>
      </c>
      <c r="AO278" s="47">
        <f>IF(AND(C278=1,D278="EV",E278&lt;120),(R278-'Operating costs'!$B$41)*S278+W278*'Operating costs'!$B$12,0)</f>
        <v>0</v>
      </c>
      <c r="AP278" s="41">
        <f>IF(AND(C278=1,D278="EV",E278&lt;120),IF('Operating costs'!$B$68="Hong Seh 200k average",AO278*IFERROR(INDEX(Products!$P$7:$P$13,MATCH(AD278,Products!$A$7:$A$13,0)),"n.a."),'Operating costs'!$B$26),0)</f>
        <v>0</v>
      </c>
      <c r="AQ278" s="40" t="str">
        <f>IF(D278="EV",'Operating costs'!$B$68,"Not applicable")</f>
        <v>Not applicable</v>
      </c>
    </row>
    <row r="279" spans="1:43" ht="24" customHeight="1">
      <c r="A279" s="1" t="str">
        <f>'Replacement plan'!A75</f>
        <v>T069</v>
      </c>
      <c r="B279" s="1">
        <v>0</v>
      </c>
      <c r="C279" s="1">
        <f>IF(COUNTIFS('Fleet register'!$A$7:$A$106,$A279)=1,VLOOKUP($A279,'Fleet register'!$A$7:$S$106,2,FALSE),0)</f>
        <v>0</v>
      </c>
      <c r="D279" s="1" t="str">
        <f>IF("Keep ICE"="EV","EV","ICE")</f>
        <v>ICE</v>
      </c>
      <c r="E279" s="1">
        <f>IF(C279=0,0,IF('Replacement plan'!$M$75="",VLOOKUP($A279,'Fleet register'!$A$7:$S$106,10,FALSE),'Replacement plan'!$M$75))</f>
        <v>0</v>
      </c>
      <c r="F279" s="16">
        <f>IF(C279=0,0,VLOOKUP($A279,'Fleet register'!$A$7:$S$106,11,FALSE))</f>
        <v>0</v>
      </c>
      <c r="G279" s="16">
        <f>IFERROR(IF(C279=0,0,IF(E279=120,0,IF(D279="ICE",'Replacement plan'!$C$75,IF('Replacement plan'!$D$75="",INDEX(Products!$I$7:$I$13,MATCH('Replacement plan'!$B$75,Products!$A$7:$A$13,0))+'Operating costs'!$B$57,'Replacement plan'!$D$75))*(1+'Operating costs'!$B$50)^(E279/12))),"n.a.")</f>
        <v>0</v>
      </c>
      <c r="H279" s="16">
        <f>IFERROR(IF(C279=0,0,IF(E279=0,F279,VLOOKUP($A279,'Fleet register'!$A$7:$S$106,12,FALSE)+VLOOKUP($A279,'Fleet register'!$A$7:$S$106,13,FALSE)*MAX(0,VLOOKUP($A279,'Fleet register'!$A$7:$S$106,10,FALSE)-E279)/VLOOKUP($A279,'Fleet register'!$A$7:$S$106,14,FALSE))),"n.a.")</f>
        <v>0</v>
      </c>
      <c r="I279" s="16">
        <f>IF(C279=0,0,IF(E279=120,0,'Replacement plan'!$N$75))</f>
        <v>0</v>
      </c>
      <c r="J279" s="16">
        <f>IF(C279=0,0,IF(P279="Complete",((S279*(R279-'Operating costs'!$B$39))+ROUNDUP(S279*(R279-'Operating costs'!$B$39)*IF('Replacement plan'!$AG$75="",'Operating costs'!$B$7,'Replacement plan'!$AG$75)/('Operating costs'!$B$8-'Operating costs'!$B$9*IF('Replacement plan'!$AG$75="",'Operating costs'!$B$7,'Replacement plan'!$AG$75)),0)*'Operating costs'!$B$9)*IF('Replacement plan'!$AG$75="",'Operating costs'!$B$7,'Replacement plan'!$AG$75)*('Energy and charging'!$B$9*'Energy and charging'!$B$7+(1-'Energy and charging'!$B$9)*'Energy and charging'!$B$8)*'Operating costs'!$B$23,"n.a."))</f>
        <v>0</v>
      </c>
      <c r="K279" s="16">
        <f>IF(C279=0,0,IF(P279="Complete",SUM('Operating costs'!$B$24,'Operating costs'!$B$27,'Operating costs'!$B$29,'Operating costs'!$B$31,'Operating costs'!$B$33,'Operating costs'!$B$34,'Operating costs'!$B$37,'Replacement plan'!$W$75)+'Operating costs'!$B$39*'Operating costs'!$B$42+ROUNDUP(S279*(R279-'Operating costs'!$B$39)*IF('Replacement plan'!$AG$75="",'Operating costs'!$B$7,'Replacement plan'!$AG$75)/('Operating costs'!$B$8-'Operating costs'!$B$9*IF('Replacement plan'!$AG$75="",'Operating costs'!$B$7,'Replacement plan'!$AG$75)),0)*('Operating costs'!$B$9/'Operating costs'!$B$11+'Operating costs'!$B$10/60)*'Operating costs'!$B$19*'Operating costs'!$B$21,"n.a."))</f>
        <v>0</v>
      </c>
      <c r="L279" s="16">
        <f>IF(C279=0,0,IF(P279="Complete",IF(D279="EV",X279*((1-T279)*'Energy and charging'!$B$10+T279*'Energy and charging'!$B$11)*'Operating costs'!$B$22,AA279*('Energy and charging'!$B$9*'Energy and charging'!$B$7+(1-'Energy and charging'!$B$9)*'Energy and charging'!$B$8)*'Operating costs'!$B$23),"n.a."))</f>
        <v>0</v>
      </c>
      <c r="M279" s="37">
        <f>IF(C279=0,0,IF(P279="Complete",IF(D279="ICE",SUM('Operating costs'!$B$25,'Operating costs'!$B$27,'Operating costs'!$B$29,'Operating costs'!$B$31,'Operating costs'!$B$33,'Operating costs'!$B$35,'Operating costs'!$B$37,'Replacement plan'!$X$75)+'Operating costs'!$B$40*'Operating costs'!$B$42+ROUNDUP(S279*(R279-'Operating costs'!$B$40)*IF('Replacement plan'!$AH$75="",'Operating costs'!$B$7,'Replacement plan'!$AH$75)/('Operating costs'!$B$8-'Operating costs'!$B$9*IF('Replacement plan'!$AH$75="",'Operating costs'!$B$7,'Replacement plan'!$AH$75)),0)*('Operating costs'!$B$9/'Operating costs'!$B$11+'Operating costs'!$B$10/60)*'Operating costs'!$B$19*'Operating costs'!$B$21,SUM(AP279,'Operating costs'!$B$28,'Operating costs'!$B$30,'Operating costs'!$B$32,'Operating costs'!$B$33,'Operating costs'!$B$36,'Operating costs'!$B$38,'Replacement plan'!$Y$75)+'Operating costs'!$B$41*'Operating costs'!$B$43+W279*'Operating costs'!$B$15+(T279*X279/'Replacement plan'!$L$75+W279*('Operating costs'!$B$12/'Operating costs'!$B$11+('Operating costs'!$B$13+'Operating costs'!$B$14)/60)+(R279-'Operating costs'!$B$41)*(IF(T279&lt;1,'Operating costs'!$B$16,0)+'Operating costs'!$B$17)/60)*'Operating costs'!$B$19*'Operating costs'!$B$20),"n.a."))</f>
        <v>0</v>
      </c>
      <c r="N279" s="16">
        <f>IF(AND(C279=1,D279="EV",E279&lt;120,E279+'Replacement plan'!$AA$75&lt;=120),'Replacement plan'!$Z$75,0)</f>
        <v>0</v>
      </c>
      <c r="O279" s="1">
        <f>E279+'Replacement plan'!$AA$75</f>
        <v>0</v>
      </c>
      <c r="P279" s="35" t="str">
        <f>IFERROR(IF(C279=0,"Excluded",IF(OR(COUNTIFS('Fleet register'!$A$7:$A$106,A279)&lt;&gt;1,COUNTIFS('Replacement plan'!$A$7:$A$106,A279)&lt;&gt;1),"Duplicate/missing ID",IF(NOT(AND(ISNUMBER(VLOOKUP($A279,'Fleet register'!$A$7:$S$106,5,FALSE)),ISNUMBER(VLOOKUP($A279,'Fleet register'!$A$7:$S$106,6,FALSE)),ISNUMBER(VLOOKUP($A279,'Fleet register'!$A$7:$S$106,10,FALSE)),ISNUMBER(VLOOKUP($A279,'Fleet register'!$A$7:$S$106,11,FALSE)),ISNUMBER(VLOOKUP($A279,'Fleet register'!$A$7:$S$106,12,FALSE)),ISNUMBER(VLOOKUP($A279,'Fleet register'!$A$7:$S$106,13,FALSE)),ISNUMBER(VLOOKUP($A279,'Fleet register'!$A$7:$S$106,14,FALSE)),VLOOKUP($A279,'Fleet register'!$A$7:$S$106,14,FALSE)&gt;0,ISNUMBER('Replacement plan'!$C$75),OR(E279=120,ISNUMBER('Replacement plan'!$N$75)),ISNUMBER(E279))),"Missing vehicle input",IF(OR(E279&lt;0,E279&gt;VLOOKUP($A279,'Fleet register'!$A$7:$S$106,10,FALSE),E279&gt;120,E279&lt;&gt;INT(E279),VLOOKUP($A279,'Fleet register'!$A$7:$S$106,6,FALSE)&lt;=0,VLOOKUP($A279,'Fleet register'!$A$7:$S$106,6,FALSE)&gt;366,VLOOKUP($A279,'Fleet register'!$A$7:$S$106,5,FALSE)&lt;0,VLOOKUP($A279,'Fleet register'!$A$7:$S$106,11,FALSE)&lt;0,I279&lt;0,'Operating costs'!$B$8&lt;='Operating costs'!$B$7*'Operating costs'!$B$9,'Operating costs'!$B$11&lt;=0,'Operating costs'!$B$39&gt;R279,'Operating costs'!$B$40&gt;R279,'Operating costs'!$B$41&gt;R279,NOT(OR("Keep ICE"="Keep ICE","Keep ICE"="New ICE","Keep ICE"="EV"))),"Invalid vehicle input",IF(AND(D279="EV",E279&lt;120,OR(NOT(ISNUMBER(U279)),NOT(ISNUMBER(V279)),V279&lt;=0,T279&lt;0,T279&gt;1,'Replacement plan'!$L$75&lt;=0,'Operating costs'!$B$44&lt;0,'Operating costs'!$B$44&gt;=1,'Operating costs'!$B$47&lt;=0,'Operating costs'!$B$47&gt;1,V279*'Operating costs'!$B$47/(1-'Operating costs'!$B$44)&lt;=T279*'Operating costs'!$B$12*U279,AND('Replacement plan'!$Z$75&gt;0,OR('Replacement plan'!$AB$75&lt;&gt;"Yes",'Operating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charging'!$B$8&gt;=0))),ISNUMBER(VLOOKUP($A279,'Fleet register'!$A$7:$S$106,15,FALSE)),ISNUMBER(VLOOKUP($A279,'Fleet register'!$A$7:$S$106,16,FALSE)),ISNUMBER('Replacement plan'!$W$75),ISNUMBER('Replacement plan'!$X$75),OR(E279=120,AND(ISNUMBER(G279),G279&gt;=0)),ISNUMBER(H279),H279&gt;=0,OR(D279&lt;&gt;"EV",E279=120,AND(ISNUMBER('Operating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average",ISNUMBER(IFERROR(INDEX(Products!$P$7:$P$13,MATCH(AD279,Products!$A$7:$A$13,0)),"")))),ISNUMBER('Operating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plan'!$Y$75),ISNUMBER('Replacement plan'!$Z$75),'Replacement plan'!$Z$75&gt;=0,ISNUMBER('Replacement plan'!$AA$75),'Replacement plan'!$AA$75&gt;=0,'Replacement plan'!$AA$75=INT('Replacement plan'!$AA$75),ISNUMBER('Replacement plan'!$L$75))),'Operating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plan'!$AG$75="",'Operating costs'!$B$7,'Replacement plan'!$AG$75)),IF('Replacement plan'!$AG$75="",'Operating costs'!$B$7,'Replacement plan'!$AG$75)&gt;=0,ISNUMBER(IF('Replacement plan'!$AH$75="",'Operating costs'!$B$7,'Replacement plan'!$AH$75)),IF('Replacement plan'!$AH$75="",'Operating costs'!$B$7,'Replacement plan'!$AH$75)&gt;=0,'Operating costs'!$B$8&gt;MAX(IF('Replacement plan'!$AG$75="",'Operating costs'!$B$7,'Replacement plan'!$AG$75),IF('Replacement plan'!$AH$75="",'Operating costs'!$B$7,'Replacement plan'!$AH$75))*'Operating costs'!$B$9),IF(AND(VLOOKUP($A279,'Fleet register'!$A$7:$S$106,10,FALSE)&gt;=0,VLOOKUP($A279,'Fleet register'!$A$7:$S$106,10,FALSE)&lt;=120,VLOOKUP($A279,'Fleet register'!$A$7:$S$106,10,FALSE)=INT(VLOOKUP($A279,'Fleet register'!$A$7:$S$106,10,FALSE)),VLOOKUP($A279,'Fleet register'!$A$7:$S$106,15,FALSE)&gt;=0,VLOOKUP($A279,'Fleet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costs'!$B$67)&gt;=0,OR(D279&lt;&gt;"EV",E279=120,AND(MIN('Operating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79" s="1" t="str">
        <f>IF(C279=0,"Excluded",IF(P279&lt;&gt;"Complete",P279,IF(OR('Replacement plan'!$AD$75&lt;120-E279,AND(D279="EV",E279&lt;120,OR('Replacement plan'!$AC$75&lt;120-E279,'Replacement plan'!$I$75="No",AND(ISNUMBER(AF279),AE279&gt;AF279),AI279&gt;V279*(1-'Operating costs'!$B$46)^MAX(0,AB279-1)*(1-'Operating costs'!$B$45),AC279&gt;'Operating costs'!$B$18,AND(T279&lt;1,OR(AG279&lt;=0,AND(ISNUMBER(AH279),AG279&gt;AH279))),'Replacement plan'!$L$75&gt;INDEX(Products!$H$7:$H$13,MATCH('Replacement plan'!$B$75,Products!$A$7:$A$13,0))))),"Fails entered limits",IF(AND(D279="EV",E279&lt;120,OR(NOT(ISNUMBER(VLOOKUP($A279,'Fleet register'!$A$7:$S$106,7,FALSE))),NOT(ISNUMBER(VLOOKUP($A279,'Fleet register'!$A$7:$S$106,8,FALSE))),NOT(ISNUMBER(AF279)),'Replacement plan'!$I$75&lt;&gt;"Yes",NOT(ISNUMBER(AH279)),'Operating costs'!$B$59&lt;&gt;"Yes",'Operating costs'!$B$58&lt;&gt;"Yes")),"Unverified","Within entered limits"))))</f>
        <v>Excluded</v>
      </c>
      <c r="R279" s="1">
        <f>IF(C279=0,0,VLOOKUP($A279,'Fleet register'!$A$7:$S$106,6,FALSE))</f>
        <v>0</v>
      </c>
      <c r="S279" s="1">
        <f>IF(C279=0,0,VLOOKUP($A279,'Fleet register'!$A$7:$S$106,5,FALSE))</f>
        <v>0</v>
      </c>
      <c r="T279" s="1">
        <f>IF(D279="EV",'Energy and charging'!$B$12,0)</f>
        <v>0</v>
      </c>
      <c r="U279" s="1">
        <f>IFERROR(IF(C279=0,0,IF(D279="EV",IF('Replacement plan'!$F$75="",INDEX(Products!$E$7:$E$13,MATCH('Replacement plan'!$B$75,Products!$A$7:$A$13,0)),'Replacement plan'!$F$75)/IF('Replacement plan'!$G$75="Battery",1-'Operating costs'!$B$44,1),0)),"n.a.")</f>
        <v>0</v>
      </c>
      <c r="V279" s="1">
        <f>IFERROR(IF(C279=0,0,IF(D279="EV",IF('Replacement plan'!$E$75="",INDEX(Products!$D$7:$D$13,MATCH('Replacement plan'!$B$75,Products!$A$7:$A$13,0)),'Replacement plan'!$E$75),0)),"n.a.")</f>
        <v>0</v>
      </c>
      <c r="W279" s="1">
        <f>IF(C279=0,0,IF(AND(P279="Complete",D279="EV",E279&lt;120),IF(T279=0,0,ROUNDUP(T279*(R279-'Operating costs'!$B$41)*(S279*U279+'Operating costs'!$B$48/(1-'Operating costs'!$B$44))/(V279*'Operating costs'!$B$47/(1-'Operating costs'!$B$44)-T279*'Operating costs'!$B$12*U279),0)),0))</f>
        <v>0</v>
      </c>
      <c r="X279" s="1">
        <f>IF(C279=0,0,IF(AND(P279="Complete",D279="EV",E279&lt;120),(R279-'Operating costs'!$B$41)*(S279*U279+'Operating costs'!$B$48/(1-'Operating costs'!$B$44))+W279*'Operating costs'!$B$12*U279,0))</f>
        <v>0</v>
      </c>
      <c r="Y279" s="1">
        <f>IF(AND(C279=1,D279="EV",E279&lt;120),AI279/(1-'Operating costs'!$B$44)*(1-T279),0)</f>
        <v>0</v>
      </c>
      <c r="Z279" s="1">
        <f t="shared" si="8"/>
        <v>0</v>
      </c>
      <c r="AA279" s="1">
        <f>IF(C279=0,0,IF(P279="Complete",((S279*(R279-'Operating costs'!$B$40))+ROUNDUP(S279*(R279-'Operating costs'!$B$40)*IF('Replacement plan'!$AH$75="",'Operating costs'!$B$7,'Replacement plan'!$AH$75)/('Operating costs'!$B$8-'Operating costs'!$B$9*IF('Replacement plan'!$AH$75="",'Operating costs'!$B$7,'Replacement plan'!$AH$75)),0)*'Operating costs'!$B$9)*IF('Replacement plan'!$AH$75="",'Operating costs'!$B$7,'Replacement plan'!$AH$75),"n.a."))</f>
        <v>0</v>
      </c>
      <c r="AB279" s="1">
        <f t="shared" si="9"/>
        <v>0</v>
      </c>
      <c r="AC279" s="1">
        <f>IF(AND(C279=1,D279="EV",E279&lt;120,T279&gt;0),'Operating costs'!$B$12/'Operating costs'!$B$11*60+'Operating costs'!$B$13+'Operating costs'!$B$14+V279*'Operating costs'!$B$47/(1-'Operating costs'!$B$44)/'Replacement plan'!$L$75*60,0)</f>
        <v>0</v>
      </c>
      <c r="AD279" s="1" t="str">
        <f>'Replacement plan'!$B$75</f>
        <v>ChengLong L2EV</v>
      </c>
      <c r="AE279" s="1">
        <f>IF(C279=0,0,VLOOKUP($A279,'Fleet register'!$A$7:$S$106,8,FALSE))</f>
        <v>0</v>
      </c>
      <c r="AF279" s="1" t="str">
        <f>IF('Replacement plan'!$H$75="","n.a.",'Replacement plan'!$H$75)</f>
        <v>n.a.</v>
      </c>
      <c r="AG279" s="1">
        <f>'Replacement plan'!$J$75</f>
        <v>22</v>
      </c>
      <c r="AH279" s="1">
        <f>IFERROR(IF(D279="EV",IF('Replacement plan'!$K$75="AC",IF(ISNUMBER(INDEX(Products!$G$7:$G$13,MATCH('Replacement plan'!$B$75,Products!$A$7:$A$13,0))),INDEX(Products!$G$7:$G$13,MATCH('Replacement plan'!$B$75,Products!$A$7:$A$13,0)),"n.a."),IF(ISNUMBER(INDEX(Products!$H$7:$H$13,MATCH('Replacement plan'!$B$75,Products!$A$7:$A$13,0))),INDEX(Products!$H$7:$H$13,MATCH('Replacement plan'!$B$75,Products!$A$7:$A$13,0)),"n.a.")),0),"n.a.")</f>
        <v>0</v>
      </c>
      <c r="AI279" s="1">
        <f>IF(AND(C279=1,D279="EV",E279&lt;120),(VLOOKUP($A279,'Fleet register'!$A$7:$S$106,7,FALSE)+IF(T279&gt;0,'Operating costs'!$B$12,0))*U279*(1-'Operating costs'!$B$44)+'Operating costs'!$B$49,0)</f>
        <v>0</v>
      </c>
      <c r="AJ279" s="1">
        <f>IF(D279="EV",'Energy and charging'!$B$50,0)</f>
        <v>0</v>
      </c>
      <c r="AK279" s="17">
        <f>EDATE('Operating costs'!$B$63,E279)</f>
        <v>46298</v>
      </c>
      <c r="AL279" s="1">
        <f>IFERROR(IF(D279="EV",INDEX(Products!$B$7:$B$13,MATCH('Replacement plan'!$B$75,Products!$A$7:$A$13,0)),0),"n.a.")</f>
        <v>0</v>
      </c>
      <c r="AM279" s="1" t="str">
        <f>'Replacement plan'!$K$75</f>
        <v>DC</v>
      </c>
      <c r="AN279" s="1" t="str">
        <f>'Replacement plan'!$AE$75</f>
        <v>Assumed</v>
      </c>
      <c r="AO279" s="47">
        <f>IF(AND(C279=1,D279="EV",E279&lt;120),(R279-'Operating costs'!$B$41)*S279+W279*'Operating costs'!$B$12,0)</f>
        <v>0</v>
      </c>
      <c r="AP279" s="41">
        <f>IF(AND(C279=1,D279="EV",E279&lt;120),IF('Operating costs'!$B$68="Hong Seh 200k average",AO279*IFERROR(INDEX(Products!$P$7:$P$13,MATCH(AD279,Products!$A$7:$A$13,0)),"n.a."),'Operating costs'!$B$26),0)</f>
        <v>0</v>
      </c>
      <c r="AQ279" s="40" t="str">
        <f>IF(D279="EV",'Operating costs'!$B$68,"Not applicable")</f>
        <v>Not applicable</v>
      </c>
    </row>
    <row r="280" spans="1:43" ht="24" customHeight="1">
      <c r="A280" s="1" t="str">
        <f>'Replacement plan'!A75</f>
        <v>T069</v>
      </c>
      <c r="B280" s="1">
        <v>1</v>
      </c>
      <c r="C280" s="1">
        <f>IF(COUNTIFS('Fleet register'!$A$7:$A$106,$A280)=1,VLOOKUP($A280,'Fleet register'!$A$7:$S$106,2,FALSE),0)</f>
        <v>0</v>
      </c>
      <c r="D280" s="1" t="str">
        <f>IF("New ICE"="EV","EV","ICE")</f>
        <v>ICE</v>
      </c>
      <c r="E280" s="1">
        <f>IF(C280=0,0,0)</f>
        <v>0</v>
      </c>
      <c r="F280" s="16">
        <f>IF(C280=0,0,VLOOKUP($A280,'Fleet register'!$A$7:$S$106,11,FALSE))</f>
        <v>0</v>
      </c>
      <c r="G280" s="16">
        <f>IFERROR(IF(C280=0,0,IF(E280=120,0,IF(D280="ICE",'Replacement plan'!$C$75,IF('Replacement plan'!$D$75="",INDEX(Products!$I$7:$I$13,MATCH('Replacement plan'!$B$75,Products!$A$7:$A$13,0))+'Operating costs'!$B$57,'Replacement plan'!$D$75))*(1+'Operating costs'!$B$50)^(E280/12))),"n.a.")</f>
        <v>0</v>
      </c>
      <c r="H280" s="16">
        <f>IFERROR(IF(C280=0,0,IF(E280=0,F280,VLOOKUP($A280,'Fleet register'!$A$7:$S$106,12,FALSE)+VLOOKUP($A280,'Fleet register'!$A$7:$S$106,13,FALSE)*MAX(0,VLOOKUP($A280,'Fleet register'!$A$7:$S$106,10,FALSE)-E280)/VLOOKUP($A280,'Fleet register'!$A$7:$S$106,14,FALSE))),"n.a.")</f>
        <v>0</v>
      </c>
      <c r="I280" s="16">
        <f>IF(C280=0,0,IF(E280=120,0,IF('Replacement plan'!$AI$75="",'Operating costs'!$B$56,'Replacement plan'!$AI$75)))</f>
        <v>0</v>
      </c>
      <c r="J280" s="16">
        <f>IF(C280=0,0,IF(P280="Complete",((S280*(R280-'Operating costs'!$B$39))+ROUNDUP(S280*(R280-'Operating costs'!$B$39)*IF('Replacement plan'!$AG$75="",'Operating costs'!$B$7,'Replacement plan'!$AG$75)/('Operating costs'!$B$8-'Operating costs'!$B$9*IF('Replacement plan'!$AG$75="",'Operating costs'!$B$7,'Replacement plan'!$AG$75)),0)*'Operating costs'!$B$9)*IF('Replacement plan'!$AG$75="",'Operating costs'!$B$7,'Replacement plan'!$AG$75)*('Energy and charging'!$B$9*'Energy and charging'!$B$7+(1-'Energy and charging'!$B$9)*'Energy and charging'!$B$8)*'Operating costs'!$B$23,"n.a."))</f>
        <v>0</v>
      </c>
      <c r="K280" s="16">
        <f>IF(C280=0,0,IF(P280="Complete",SUM('Operating costs'!$B$24,'Operating costs'!$B$27,'Operating costs'!$B$29,'Operating costs'!$B$31,'Operating costs'!$B$33,'Operating costs'!$B$34,'Operating costs'!$B$37,'Replacement plan'!$W$75)+'Operating costs'!$B$39*'Operating costs'!$B$42+ROUNDUP(S280*(R280-'Operating costs'!$B$39)*IF('Replacement plan'!$AG$75="",'Operating costs'!$B$7,'Replacement plan'!$AG$75)/('Operating costs'!$B$8-'Operating costs'!$B$9*IF('Replacement plan'!$AG$75="",'Operating costs'!$B$7,'Replacement plan'!$AG$75)),0)*('Operating costs'!$B$9/'Operating costs'!$B$11+'Operating costs'!$B$10/60)*'Operating costs'!$B$19*'Operating costs'!$B$21,"n.a."))</f>
        <v>0</v>
      </c>
      <c r="L280" s="16">
        <f>IF(C280=0,0,IF(P280="Complete",IF(D280="EV",X280*((1-T280)*'Energy and charging'!$B$10+T280*'Energy and charging'!$B$11)*'Operating costs'!$B$22,AA280*('Energy and charging'!$B$9*'Energy and charging'!$B$7+(1-'Energy and charging'!$B$9)*'Energy and charging'!$B$8)*'Operating costs'!$B$23),"n.a."))</f>
        <v>0</v>
      </c>
      <c r="M280" s="37">
        <f>IF(C280=0,0,IF(P280="Complete",IF(D280="ICE",SUM('Operating costs'!$B$25,'Operating costs'!$B$27,'Operating costs'!$B$29,'Operating costs'!$B$31,'Operating costs'!$B$33,'Operating costs'!$B$35,'Operating costs'!$B$37,'Replacement plan'!$X$75)+'Operating costs'!$B$40*'Operating costs'!$B$42+ROUNDUP(S280*(R280-'Operating costs'!$B$40)*IF('Replacement plan'!$AH$75="",'Operating costs'!$B$7,'Replacement plan'!$AH$75)/('Operating costs'!$B$8-'Operating costs'!$B$9*IF('Replacement plan'!$AH$75="",'Operating costs'!$B$7,'Replacement plan'!$AH$75)),0)*('Operating costs'!$B$9/'Operating costs'!$B$11+'Operating costs'!$B$10/60)*'Operating costs'!$B$19*'Operating costs'!$B$21,SUM(AP280,'Operating costs'!$B$28,'Operating costs'!$B$30,'Operating costs'!$B$32,'Operating costs'!$B$33,'Operating costs'!$B$36,'Operating costs'!$B$38,'Replacement plan'!$Y$75)+'Operating costs'!$B$41*'Operating costs'!$B$43+W280*'Operating costs'!$B$15+(T280*X280/'Replacement plan'!$L$75+W280*('Operating costs'!$B$12/'Operating costs'!$B$11+('Operating costs'!$B$13+'Operating costs'!$B$14)/60)+(R280-'Operating costs'!$B$41)*(IF(T280&lt;1,'Operating costs'!$B$16,0)+'Operating costs'!$B$17)/60)*'Operating costs'!$B$19*'Operating costs'!$B$20),"n.a."))</f>
        <v>0</v>
      </c>
      <c r="N280" s="16">
        <f>IF(AND(C280=1,D280="EV",E280&lt;120,E280+'Replacement plan'!$AA$75&lt;=120),'Replacement plan'!$Z$75,0)</f>
        <v>0</v>
      </c>
      <c r="O280" s="1">
        <f>E280+'Replacement plan'!$AA$75</f>
        <v>0</v>
      </c>
      <c r="P280" s="35" t="str">
        <f>IFERROR(IF(C280=0,"Excluded",IF(OR(COUNTIFS('Fleet register'!$A$7:$A$106,A280)&lt;&gt;1,COUNTIFS('Replacement plan'!$A$7:$A$106,A280)&lt;&gt;1),"Duplicate/missing ID",IF(NOT(AND(ISNUMBER(VLOOKUP($A280,'Fleet register'!$A$7:$S$106,5,FALSE)),ISNUMBER(VLOOKUP($A280,'Fleet register'!$A$7:$S$106,6,FALSE)),ISNUMBER(VLOOKUP($A280,'Fleet register'!$A$7:$S$106,10,FALSE)),ISNUMBER(VLOOKUP($A280,'Fleet register'!$A$7:$S$106,11,FALSE)),ISNUMBER(VLOOKUP($A280,'Fleet register'!$A$7:$S$106,12,FALSE)),ISNUMBER(VLOOKUP($A280,'Fleet register'!$A$7:$S$106,13,FALSE)),ISNUMBER(VLOOKUP($A280,'Fleet register'!$A$7:$S$106,14,FALSE)),VLOOKUP($A280,'Fleet register'!$A$7:$S$106,14,FALSE)&gt;0,ISNUMBER('Replacement plan'!$C$75),OR(E280=120,OR(ISNUMBER('Replacement plan'!$AI$75),AND('Replacement plan'!$AI$75="",ISNUMBER('Operating costs'!$B$56)))),ISNUMBER(E280))),"Missing vehicle input",IF(OR(E280&lt;0,E280&gt;VLOOKUP($A280,'Fleet register'!$A$7:$S$106,10,FALSE),E280&gt;120,E280&lt;&gt;INT(E280),VLOOKUP($A280,'Fleet register'!$A$7:$S$106,6,FALSE)&lt;=0,VLOOKUP($A280,'Fleet register'!$A$7:$S$106,6,FALSE)&gt;366,VLOOKUP($A280,'Fleet register'!$A$7:$S$106,5,FALSE)&lt;0,VLOOKUP($A280,'Fleet register'!$A$7:$S$106,11,FALSE)&lt;0,I280&lt;0,'Operating costs'!$B$8&lt;='Operating costs'!$B$7*'Operating costs'!$B$9,'Operating costs'!$B$11&lt;=0,'Operating costs'!$B$39&gt;R280,'Operating costs'!$B$40&gt;R280,'Operating costs'!$B$41&gt;R280,NOT(OR("New ICE"="Keep ICE","New ICE"="New ICE","New ICE"="EV"))),"Invalid vehicle input",IF(AND(D280="EV",E280&lt;120,OR(NOT(ISNUMBER(U280)),NOT(ISNUMBER(V280)),V280&lt;=0,T280&lt;0,T280&gt;1,'Replacement plan'!$L$75&lt;=0,'Operating costs'!$B$44&lt;0,'Operating costs'!$B$44&gt;=1,'Operating costs'!$B$47&lt;=0,'Operating costs'!$B$47&gt;1,V280*'Operating costs'!$B$47/(1-'Operating costs'!$B$44)&lt;=T280*'Operating costs'!$B$12*U280,AND('Replacement plan'!$Z$75&gt;0,OR('Replacement plan'!$AB$75&lt;&gt;"Yes",'Operating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charging'!$B$8&gt;=0))),ISNUMBER(VLOOKUP($A280,'Fleet register'!$A$7:$S$106,15,FALSE)),ISNUMBER(VLOOKUP($A280,'Fleet register'!$A$7:$S$106,16,FALSE)),ISNUMBER('Replacement plan'!$W$75),ISNUMBER('Replacement plan'!$X$75),OR(E280=120,AND(ISNUMBER(G280),G280&gt;=0)),ISNUMBER(H280),H280&gt;=0,OR(D280&lt;&gt;"EV",E280=120,AND(ISNUMBER('Operating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average",ISNUMBER(IFERROR(INDEX(Products!$P$7:$P$13,MATCH(AD280,Products!$A$7:$A$13,0)),"")))),ISNUMBER('Operating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plan'!$Y$75),ISNUMBER('Replacement plan'!$Z$75),'Replacement plan'!$Z$75&gt;=0,ISNUMBER('Replacement plan'!$AA$75),'Replacement plan'!$AA$75&gt;=0,'Replacement plan'!$AA$75=INT('Replacement plan'!$AA$75),ISNUMBER('Replacement plan'!$L$75))),'Operating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plan'!$AG$75="",'Operating costs'!$B$7,'Replacement plan'!$AG$75)),IF('Replacement plan'!$AG$75="",'Operating costs'!$B$7,'Replacement plan'!$AG$75)&gt;=0,ISNUMBER(IF('Replacement plan'!$AH$75="",'Operating costs'!$B$7,'Replacement plan'!$AH$75)),IF('Replacement plan'!$AH$75="",'Operating costs'!$B$7,'Replacement plan'!$AH$75)&gt;=0,'Operating costs'!$B$8&gt;MAX(IF('Replacement plan'!$AG$75="",'Operating costs'!$B$7,'Replacement plan'!$AG$75),IF('Replacement plan'!$AH$75="",'Operating costs'!$B$7,'Replacement plan'!$AH$75))*'Operating costs'!$B$9),IF(AND(VLOOKUP($A280,'Fleet register'!$A$7:$S$106,10,FALSE)&gt;=0,VLOOKUP($A280,'Fleet register'!$A$7:$S$106,10,FALSE)&lt;=120,VLOOKUP($A280,'Fleet register'!$A$7:$S$106,10,FALSE)=INT(VLOOKUP($A280,'Fleet register'!$A$7:$S$106,10,FALSE)),VLOOKUP($A280,'Fleet register'!$A$7:$S$106,15,FALSE)&gt;=0,VLOOKUP($A280,'Fleet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costs'!$B$67)&gt;=0,OR(D280&lt;&gt;"EV",E280=120,AND(MIN('Operating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80" s="1" t="str">
        <f>IF(C280=0,"Excluded",IF(P280&lt;&gt;"Complete",P280,IF(OR('Replacement plan'!$AD$75&lt;120-E280,AND(D280="EV",E280&lt;120,OR('Replacement plan'!$AC$75&lt;120-E280,'Replacement plan'!$I$75="No",AND(ISNUMBER(AF280),AE280&gt;AF280),AI280&gt;V280*(1-'Operating costs'!$B$46)^MAX(0,AB280-1)*(1-'Operating costs'!$B$45),AC280&gt;'Operating costs'!$B$18,AND(T280&lt;1,OR(AG280&lt;=0,AND(ISNUMBER(AH280),AG280&gt;AH280))),'Replacement plan'!$L$75&gt;INDEX(Products!$H$7:$H$13,MATCH('Replacement plan'!$B$75,Products!$A$7:$A$13,0))))),"Fails entered limits",IF(AND(D280="EV",E280&lt;120,OR(NOT(ISNUMBER(VLOOKUP($A280,'Fleet register'!$A$7:$S$106,7,FALSE))),NOT(ISNUMBER(VLOOKUP($A280,'Fleet register'!$A$7:$S$106,8,FALSE))),NOT(ISNUMBER(AF280)),'Replacement plan'!$I$75&lt;&gt;"Yes",NOT(ISNUMBER(AH280)),'Operating costs'!$B$59&lt;&gt;"Yes",'Operating costs'!$B$58&lt;&gt;"Yes")),"Unverified","Within entered limits"))))</f>
        <v>Excluded</v>
      </c>
      <c r="R280" s="1">
        <f>IF(C280=0,0,VLOOKUP($A280,'Fleet register'!$A$7:$S$106,6,FALSE))</f>
        <v>0</v>
      </c>
      <c r="S280" s="1">
        <f>IF(C280=0,0,VLOOKUP($A280,'Fleet register'!$A$7:$S$106,5,FALSE))</f>
        <v>0</v>
      </c>
      <c r="T280" s="1">
        <f>IF(D280="EV",'Energy and charging'!$B$12,0)</f>
        <v>0</v>
      </c>
      <c r="U280" s="1">
        <f>IFERROR(IF(C280=0,0,IF(D280="EV",IF('Replacement plan'!$F$75="",INDEX(Products!$E$7:$E$13,MATCH('Replacement plan'!$B$75,Products!$A$7:$A$13,0)),'Replacement plan'!$F$75)/IF('Replacement plan'!$G$75="Battery",1-'Operating costs'!$B$44,1),0)),"n.a.")</f>
        <v>0</v>
      </c>
      <c r="V280" s="1">
        <f>IFERROR(IF(C280=0,0,IF(D280="EV",IF('Replacement plan'!$E$75="",INDEX(Products!$D$7:$D$13,MATCH('Replacement plan'!$B$75,Products!$A$7:$A$13,0)),'Replacement plan'!$E$75),0)),"n.a.")</f>
        <v>0</v>
      </c>
      <c r="W280" s="1">
        <f>IF(C280=0,0,IF(AND(P280="Complete",D280="EV",E280&lt;120),IF(T280=0,0,ROUNDUP(T280*(R280-'Operating costs'!$B$41)*(S280*U280+'Operating costs'!$B$48/(1-'Operating costs'!$B$44))/(V280*'Operating costs'!$B$47/(1-'Operating costs'!$B$44)-T280*'Operating costs'!$B$12*U280),0)),0))</f>
        <v>0</v>
      </c>
      <c r="X280" s="1">
        <f>IF(C280=0,0,IF(AND(P280="Complete",D280="EV",E280&lt;120),(R280-'Operating costs'!$B$41)*(S280*U280+'Operating costs'!$B$48/(1-'Operating costs'!$B$44))+W280*'Operating costs'!$B$12*U280,0))</f>
        <v>0</v>
      </c>
      <c r="Y280" s="1">
        <f>IF(AND(C280=1,D280="EV",E280&lt;120),AI280/(1-'Operating costs'!$B$44)*(1-T280),0)</f>
        <v>0</v>
      </c>
      <c r="Z280" s="1">
        <f t="shared" si="8"/>
        <v>0</v>
      </c>
      <c r="AA280" s="1">
        <f>IF(C280=0,0,IF(P280="Complete",((S280*(R280-'Operating costs'!$B$40))+ROUNDUP(S280*(R280-'Operating costs'!$B$40)*IF('Replacement plan'!$AH$75="",'Operating costs'!$B$7,'Replacement plan'!$AH$75)/('Operating costs'!$B$8-'Operating costs'!$B$9*IF('Replacement plan'!$AH$75="",'Operating costs'!$B$7,'Replacement plan'!$AH$75)),0)*'Operating costs'!$B$9)*IF('Replacement plan'!$AH$75="",'Operating costs'!$B$7,'Replacement plan'!$AH$75),"n.a."))</f>
        <v>0</v>
      </c>
      <c r="AB280" s="1">
        <f t="shared" si="9"/>
        <v>0</v>
      </c>
      <c r="AC280" s="1">
        <f>IF(AND(C280=1,D280="EV",E280&lt;120,T280&gt;0),'Operating costs'!$B$12/'Operating costs'!$B$11*60+'Operating costs'!$B$13+'Operating costs'!$B$14+V280*'Operating costs'!$B$47/(1-'Operating costs'!$B$44)/'Replacement plan'!$L$75*60,0)</f>
        <v>0</v>
      </c>
      <c r="AD280" s="1" t="str">
        <f>'Replacement plan'!$B$75</f>
        <v>ChengLong L2EV</v>
      </c>
      <c r="AE280" s="1">
        <f>IF(C280=0,0,VLOOKUP($A280,'Fleet register'!$A$7:$S$106,8,FALSE))</f>
        <v>0</v>
      </c>
      <c r="AF280" s="1" t="str">
        <f>IF('Replacement plan'!$H$75="","n.a.",'Replacement plan'!$H$75)</f>
        <v>n.a.</v>
      </c>
      <c r="AG280" s="1">
        <f>'Replacement plan'!$J$75</f>
        <v>22</v>
      </c>
      <c r="AH280" s="1">
        <f>IFERROR(IF(D280="EV",IF('Replacement plan'!$K$75="AC",IF(ISNUMBER(INDEX(Products!$G$7:$G$13,MATCH('Replacement plan'!$B$75,Products!$A$7:$A$13,0))),INDEX(Products!$G$7:$G$13,MATCH('Replacement plan'!$B$75,Products!$A$7:$A$13,0)),"n.a."),IF(ISNUMBER(INDEX(Products!$H$7:$H$13,MATCH('Replacement plan'!$B$75,Products!$A$7:$A$13,0))),INDEX(Products!$H$7:$H$13,MATCH('Replacement plan'!$B$75,Products!$A$7:$A$13,0)),"n.a.")),0),"n.a.")</f>
        <v>0</v>
      </c>
      <c r="AI280" s="1">
        <f>IF(AND(C280=1,D280="EV",E280&lt;120),(VLOOKUP($A280,'Fleet register'!$A$7:$S$106,7,FALSE)+IF(T280&gt;0,'Operating costs'!$B$12,0))*U280*(1-'Operating costs'!$B$44)+'Operating costs'!$B$49,0)</f>
        <v>0</v>
      </c>
      <c r="AJ280" s="1">
        <f>IF(D280="EV",'Energy and charging'!$B$50,0)</f>
        <v>0</v>
      </c>
      <c r="AK280" s="17">
        <f>EDATE('Operating costs'!$B$63,E280)</f>
        <v>46298</v>
      </c>
      <c r="AL280" s="1">
        <f>IFERROR(IF(D280="EV",INDEX(Products!$B$7:$B$13,MATCH('Replacement plan'!$B$75,Products!$A$7:$A$13,0)),0),"n.a.")</f>
        <v>0</v>
      </c>
      <c r="AM280" s="1" t="str">
        <f>'Replacement plan'!$K$75</f>
        <v>DC</v>
      </c>
      <c r="AN280" s="1" t="str">
        <f>'Replacement plan'!$AE$75</f>
        <v>Assumed</v>
      </c>
      <c r="AO280" s="47">
        <f>IF(AND(C280=1,D280="EV",E280&lt;120),(R280-'Operating costs'!$B$41)*S280+W280*'Operating costs'!$B$12,0)</f>
        <v>0</v>
      </c>
      <c r="AP280" s="41">
        <f>IF(AND(C280=1,D280="EV",E280&lt;120),IF('Operating costs'!$B$68="Hong Seh 200k average",AO280*IFERROR(INDEX(Products!$P$7:$P$13,MATCH(AD280,Products!$A$7:$A$13,0)),"n.a."),'Operating costs'!$B$26),0)</f>
        <v>0</v>
      </c>
      <c r="AQ280" s="40" t="str">
        <f>IF(D280="EV",'Operating costs'!$B$68,"Not applicable")</f>
        <v>Not applicable</v>
      </c>
    </row>
    <row r="281" spans="1:43" ht="24" customHeight="1">
      <c r="A281" s="1" t="str">
        <f>'Replacement plan'!A75</f>
        <v>T069</v>
      </c>
      <c r="B281" s="1">
        <v>2</v>
      </c>
      <c r="C281" s="1">
        <f>IF(COUNTIFS('Fleet register'!$A$7:$A$106,$A281)=1,VLOOKUP($A281,'Fleet register'!$A$7:$S$106,2,FALSE),0)</f>
        <v>0</v>
      </c>
      <c r="D281" s="1" t="str">
        <f>IF('Replacement plan'!$O$75="EV","EV","ICE")</f>
        <v>ICE</v>
      </c>
      <c r="E281" s="1">
        <f>IF(C281=0,0,IF('Replacement plan'!$P$75="",IF('Replacement plan'!$O$75="Keep ICE",IF('Replacement plan'!$M$75="",VLOOKUP($A281,'Fleet register'!$A$7:$S$106,10,FALSE),'Replacement plan'!$M$75),0),'Replacement plan'!$P$75))</f>
        <v>0</v>
      </c>
      <c r="F281" s="16">
        <f>IF(C281=0,0,VLOOKUP($A281,'Fleet register'!$A$7:$S$106,11,FALSE))</f>
        <v>0</v>
      </c>
      <c r="G281" s="16">
        <f>IFERROR(IF(C281=0,0,IF(E281=120,0,IF(D281="ICE",'Replacement plan'!$C$75,IF('Replacement plan'!$D$75="",INDEX(Products!$I$7:$I$13,MATCH('Replacement plan'!$B$75,Products!$A$7:$A$13,0))+'Operating costs'!$B$57,'Replacement plan'!$D$75))*(1+'Operating costs'!$B$50)^(E281/12))),"n.a.")</f>
        <v>0</v>
      </c>
      <c r="H281" s="16">
        <f>IFERROR(IF(C281=0,0,IF('Replacement plan'!$U$75&lt;&gt;"",'Replacement plan'!$U$75,IF(E281=0,F281,VLOOKUP($A281,'Fleet register'!$A$7:$S$106,12,FALSE)+VLOOKUP($A281,'Fleet register'!$A$7:$S$106,13,FALSE)*MAX(0,VLOOKUP($A281,'Fleet register'!$A$7:$S$106,10,FALSE)-E281)/VLOOKUP($A281,'Fleet register'!$A$7:$S$106,14,FALSE)))),"n.a.")</f>
        <v>0</v>
      </c>
      <c r="I281" s="16">
        <f>IF(C281=0,0,IF(E281=120,0,'Replacement plan'!$Q$75))</f>
        <v>0</v>
      </c>
      <c r="J281" s="16">
        <f>IF(C281=0,0,IF(P281="Complete",((S281*(R281-'Operating costs'!$B$39))+ROUNDUP(S281*(R281-'Operating costs'!$B$39)*IF('Replacement plan'!$AG$75="",'Operating costs'!$B$7,'Replacement plan'!$AG$75)/('Operating costs'!$B$8-'Operating costs'!$B$9*IF('Replacement plan'!$AG$75="",'Operating costs'!$B$7,'Replacement plan'!$AG$75)),0)*'Operating costs'!$B$9)*IF('Replacement plan'!$AG$75="",'Operating costs'!$B$7,'Replacement plan'!$AG$75)*('Energy and charging'!$B$9*'Energy and charging'!$B$7+(1-'Energy and charging'!$B$9)*'Energy and charging'!$B$8)*'Operating costs'!$B$23,"n.a."))</f>
        <v>0</v>
      </c>
      <c r="K281" s="16">
        <f>IF(C281=0,0,IF(P281="Complete",SUM('Operating costs'!$B$24,'Operating costs'!$B$27,'Operating costs'!$B$29,'Operating costs'!$B$31,'Operating costs'!$B$33,'Operating costs'!$B$34,'Operating costs'!$B$37,'Replacement plan'!$W$75)+'Operating costs'!$B$39*'Operating costs'!$B$42+ROUNDUP(S281*(R281-'Operating costs'!$B$39)*IF('Replacement plan'!$AG$75="",'Operating costs'!$B$7,'Replacement plan'!$AG$75)/('Operating costs'!$B$8-'Operating costs'!$B$9*IF('Replacement plan'!$AG$75="",'Operating costs'!$B$7,'Replacement plan'!$AG$75)),0)*('Operating costs'!$B$9/'Operating costs'!$B$11+'Operating costs'!$B$10/60)*'Operating costs'!$B$19*'Operating costs'!$B$21,"n.a."))</f>
        <v>0</v>
      </c>
      <c r="L281" s="16">
        <f>IF(C281=0,0,IF(P281="Complete",IF(D281="EV",X281*((1-T281)*'Energy and charging'!$B$10+T281*'Energy and charging'!$B$11)*'Operating costs'!$B$22,AA281*('Energy and charging'!$B$9*'Energy and charging'!$B$7+(1-'Energy and charging'!$B$9)*'Energy and charging'!$B$8)*'Operating costs'!$B$23),"n.a."))</f>
        <v>0</v>
      </c>
      <c r="M281" s="37">
        <f>IF(C281=0,0,IF(P281="Complete",IF(D281="ICE",SUM('Operating costs'!$B$25,'Operating costs'!$B$27,'Operating costs'!$B$29,'Operating costs'!$B$31,'Operating costs'!$B$33,'Operating costs'!$B$35,'Operating costs'!$B$37,'Replacement plan'!$X$75)+'Operating costs'!$B$40*'Operating costs'!$B$42+ROUNDUP(S281*(R281-'Operating costs'!$B$40)*IF('Replacement plan'!$AH$75="",'Operating costs'!$B$7,'Replacement plan'!$AH$75)/('Operating costs'!$B$8-'Operating costs'!$B$9*IF('Replacement plan'!$AH$75="",'Operating costs'!$B$7,'Replacement plan'!$AH$75)),0)*('Operating costs'!$B$9/'Operating costs'!$B$11+'Operating costs'!$B$10/60)*'Operating costs'!$B$19*'Operating costs'!$B$21,SUM(AP281,'Operating costs'!$B$28,'Operating costs'!$B$30,'Operating costs'!$B$32,'Operating costs'!$B$33,'Operating costs'!$B$36,'Operating costs'!$B$38,'Replacement plan'!$Y$75)+'Operating costs'!$B$41*'Operating costs'!$B$43+W281*'Operating costs'!$B$15+(T281*X281/'Replacement plan'!$L$75+W281*('Operating costs'!$B$12/'Operating costs'!$B$11+('Operating costs'!$B$13+'Operating costs'!$B$14)/60)+(R281-'Operating costs'!$B$41)*(IF(T281&lt;1,'Operating costs'!$B$16,0)+'Operating costs'!$B$17)/60)*'Operating costs'!$B$19*'Operating costs'!$B$20),"n.a."))</f>
        <v>0</v>
      </c>
      <c r="N281" s="16">
        <f>IF(AND(C281=1,D281="EV",E281&lt;120,E281+'Replacement plan'!$AA$75&lt;=120),'Replacement plan'!$Z$75,0)</f>
        <v>0</v>
      </c>
      <c r="O281" s="1">
        <f>E281+'Replacement plan'!$AA$75</f>
        <v>0</v>
      </c>
      <c r="P281" s="35" t="str">
        <f>IFERROR(IF(C281=0,"Excluded",IF(OR(COUNTIFS('Fleet register'!$A$7:$A$106,A281)&lt;&gt;1,COUNTIFS('Replacement plan'!$A$7:$A$106,A281)&lt;&gt;1),"Duplicate/missing ID",IF(NOT(AND(ISNUMBER(VLOOKUP($A281,'Fleet register'!$A$7:$S$106,5,FALSE)),ISNUMBER(VLOOKUP($A281,'Fleet register'!$A$7:$S$106,6,FALSE)),ISNUMBER(VLOOKUP($A281,'Fleet register'!$A$7:$S$106,10,FALSE)),ISNUMBER(VLOOKUP($A281,'Fleet register'!$A$7:$S$106,11,FALSE)),ISNUMBER(VLOOKUP($A281,'Fleet register'!$A$7:$S$106,12,FALSE)),ISNUMBER(VLOOKUP($A281,'Fleet register'!$A$7:$S$106,13,FALSE)),ISNUMBER(VLOOKUP($A281,'Fleet register'!$A$7:$S$106,14,FALSE)),VLOOKUP($A281,'Fleet register'!$A$7:$S$106,14,FALSE)&gt;0,ISNUMBER('Replacement plan'!$C$75),OR(E281=120,ISNUMBER('Replacement plan'!$Q$75)),ISNUMBER(E281))),"Missing vehicle input",IF(OR(E281&lt;0,E281&gt;VLOOKUP($A281,'Fleet register'!$A$7:$S$106,10,FALSE),E281&gt;120,E281&lt;&gt;INT(E281),VLOOKUP($A281,'Fleet register'!$A$7:$S$106,6,FALSE)&lt;=0,VLOOKUP($A281,'Fleet register'!$A$7:$S$106,6,FALSE)&gt;366,VLOOKUP($A281,'Fleet register'!$A$7:$S$106,5,FALSE)&lt;0,VLOOKUP($A281,'Fleet register'!$A$7:$S$106,11,FALSE)&lt;0,I281&lt;0,'Operating costs'!$B$8&lt;='Operating costs'!$B$7*'Operating costs'!$B$9,'Operating costs'!$B$11&lt;=0,'Operating costs'!$B$39&gt;R281,'Operating costs'!$B$40&gt;R281,'Operating costs'!$B$41&gt;R281,NOT(OR('Replacement plan'!$O$75="Keep ICE",'Replacement plan'!$O$75="New ICE",'Replacement plan'!$O$75="EV"))),"Invalid vehicle input",IF(AND(D281="EV",E281&lt;120,OR(NOT(ISNUMBER(U281)),NOT(ISNUMBER(V281)),V281&lt;=0,T281&lt;0,T281&gt;1,'Replacement plan'!$L$75&lt;=0,'Operating costs'!$B$44&lt;0,'Operating costs'!$B$44&gt;=1,'Operating costs'!$B$47&lt;=0,'Operating costs'!$B$47&gt;1,V281*'Operating costs'!$B$47/(1-'Operating costs'!$B$44)&lt;=T281*'Operating costs'!$B$12*U281,AND('Replacement plan'!$Z$75&gt;0,OR('Replacement plan'!$AB$75&lt;&gt;"Yes",'Operating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charging'!$B$8&gt;=0))),ISNUMBER(VLOOKUP($A281,'Fleet register'!$A$7:$S$106,15,FALSE)),ISNUMBER(VLOOKUP($A281,'Fleet register'!$A$7:$S$106,16,FALSE)),ISNUMBER('Replacement plan'!$W$75),ISNUMBER('Replacement plan'!$X$75),OR(E281=120,AND(ISNUMBER(G281),G281&gt;=0)),ISNUMBER(H281),H281&gt;=0,OR(D281&lt;&gt;"EV",E281=120,AND(ISNUMBER('Operating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average",ISNUMBER(IFERROR(INDEX(Products!$P$7:$P$13,MATCH(AD281,Products!$A$7:$A$13,0)),"")))),ISNUMBER('Operating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plan'!$Y$75),ISNUMBER('Replacement plan'!$Z$75),'Replacement plan'!$Z$75&gt;=0,ISNUMBER('Replacement plan'!$AA$75),'Replacement plan'!$AA$75&gt;=0,'Replacement plan'!$AA$75=INT('Replacement plan'!$AA$75),ISNUMBER('Replacement plan'!$L$75))),'Operating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plan'!$AG$75="",'Operating costs'!$B$7,'Replacement plan'!$AG$75)),IF('Replacement plan'!$AG$75="",'Operating costs'!$B$7,'Replacement plan'!$AG$75)&gt;=0,ISNUMBER(IF('Replacement plan'!$AH$75="",'Operating costs'!$B$7,'Replacement plan'!$AH$75)),IF('Replacement plan'!$AH$75="",'Operating costs'!$B$7,'Replacement plan'!$AH$75)&gt;=0,'Operating costs'!$B$8&gt;MAX(IF('Replacement plan'!$AG$75="",'Operating costs'!$B$7,'Replacement plan'!$AG$75),IF('Replacement plan'!$AH$75="",'Operating costs'!$B$7,'Replacement plan'!$AH$75))*'Operating costs'!$B$9),IF(AND(VLOOKUP($A281,'Fleet register'!$A$7:$S$106,10,FALSE)&gt;=0,VLOOKUP($A281,'Fleet register'!$A$7:$S$106,10,FALSE)&lt;=120,VLOOKUP($A281,'Fleet register'!$A$7:$S$106,10,FALSE)=INT(VLOOKUP($A281,'Fleet register'!$A$7:$S$106,10,FALSE)),VLOOKUP($A281,'Fleet register'!$A$7:$S$106,15,FALSE)&gt;=0,VLOOKUP($A281,'Fleet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costs'!$B$67)&gt;=0,OR(D281&lt;&gt;"EV",E281=120,AND(MIN('Operating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81" s="1" t="str">
        <f>IF(C281=0,"Excluded",IF(P281&lt;&gt;"Complete",P281,IF(OR('Replacement plan'!$AD$75&lt;120-E281,AND(D281="EV",E281&lt;120,OR('Replacement plan'!$AC$75&lt;120-E281,'Replacement plan'!$I$75="No",AND(ISNUMBER(AF281),AE281&gt;AF281),AI281&gt;V281*(1-'Operating costs'!$B$46)^MAX(0,AB281-1)*(1-'Operating costs'!$B$45),AC281&gt;'Operating costs'!$B$18,AND(T281&lt;1,OR(AG281&lt;=0,AND(ISNUMBER(AH281),AG281&gt;AH281))),'Replacement plan'!$L$75&gt;INDEX(Products!$H$7:$H$13,MATCH('Replacement plan'!$B$75,Products!$A$7:$A$13,0))))),"Fails entered limits",IF(AND(D281="EV",E281&lt;120,OR(NOT(ISNUMBER(VLOOKUP($A281,'Fleet register'!$A$7:$S$106,7,FALSE))),NOT(ISNUMBER(VLOOKUP($A281,'Fleet register'!$A$7:$S$106,8,FALSE))),NOT(ISNUMBER(AF281)),'Replacement plan'!$I$75&lt;&gt;"Yes",NOT(ISNUMBER(AH281)),'Operating costs'!$B$59&lt;&gt;"Yes",'Operating costs'!$B$58&lt;&gt;"Yes")),"Unverified","Within entered limits"))))</f>
        <v>Excluded</v>
      </c>
      <c r="R281" s="1">
        <f>IF(C281=0,0,VLOOKUP($A281,'Fleet register'!$A$7:$S$106,6,FALSE))</f>
        <v>0</v>
      </c>
      <c r="S281" s="1">
        <f>IF(C281=0,0,VLOOKUP($A281,'Fleet register'!$A$7:$S$106,5,FALSE))</f>
        <v>0</v>
      </c>
      <c r="T281" s="1">
        <f>IF(D281="EV",'Energy and charging'!$B$12,0)</f>
        <v>0</v>
      </c>
      <c r="U281" s="1">
        <f>IFERROR(IF(C281=0,0,IF(D281="EV",IF('Replacement plan'!$F$75="",INDEX(Products!$E$7:$E$13,MATCH('Replacement plan'!$B$75,Products!$A$7:$A$13,0)),'Replacement plan'!$F$75)/IF('Replacement plan'!$G$75="Battery",1-'Operating costs'!$B$44,1),0)),"n.a.")</f>
        <v>0</v>
      </c>
      <c r="V281" s="1">
        <f>IFERROR(IF(C281=0,0,IF(D281="EV",IF('Replacement plan'!$E$75="",INDEX(Products!$D$7:$D$13,MATCH('Replacement plan'!$B$75,Products!$A$7:$A$13,0)),'Replacement plan'!$E$75),0)),"n.a.")</f>
        <v>0</v>
      </c>
      <c r="W281" s="1">
        <f>IF(C281=0,0,IF(AND(P281="Complete",D281="EV",E281&lt;120),IF(T281=0,0,ROUNDUP(T281*(R281-'Operating costs'!$B$41)*(S281*U281+'Operating costs'!$B$48/(1-'Operating costs'!$B$44))/(V281*'Operating costs'!$B$47/(1-'Operating costs'!$B$44)-T281*'Operating costs'!$B$12*U281),0)),0))</f>
        <v>0</v>
      </c>
      <c r="X281" s="1">
        <f>IF(C281=0,0,IF(AND(P281="Complete",D281="EV",E281&lt;120),(R281-'Operating costs'!$B$41)*(S281*U281+'Operating costs'!$B$48/(1-'Operating costs'!$B$44))+W281*'Operating costs'!$B$12*U281,0))</f>
        <v>0</v>
      </c>
      <c r="Y281" s="1">
        <f>IF(AND(C281=1,D281="EV",E281&lt;120),AI281/(1-'Operating costs'!$B$44)*(1-T281),0)</f>
        <v>0</v>
      </c>
      <c r="Z281" s="1">
        <f t="shared" si="8"/>
        <v>0</v>
      </c>
      <c r="AA281" s="1">
        <f>IF(C281=0,0,IF(P281="Complete",((S281*(R281-'Operating costs'!$B$40))+ROUNDUP(S281*(R281-'Operating costs'!$B$40)*IF('Replacement plan'!$AH$75="",'Operating costs'!$B$7,'Replacement plan'!$AH$75)/('Operating costs'!$B$8-'Operating costs'!$B$9*IF('Replacement plan'!$AH$75="",'Operating costs'!$B$7,'Replacement plan'!$AH$75)),0)*'Operating costs'!$B$9)*IF('Replacement plan'!$AH$75="",'Operating costs'!$B$7,'Replacement plan'!$AH$75),"n.a."))</f>
        <v>0</v>
      </c>
      <c r="AB281" s="1">
        <f t="shared" si="9"/>
        <v>0</v>
      </c>
      <c r="AC281" s="1">
        <f>IF(AND(C281=1,D281="EV",E281&lt;120,T281&gt;0),'Operating costs'!$B$12/'Operating costs'!$B$11*60+'Operating costs'!$B$13+'Operating costs'!$B$14+V281*'Operating costs'!$B$47/(1-'Operating costs'!$B$44)/'Replacement plan'!$L$75*60,0)</f>
        <v>0</v>
      </c>
      <c r="AD281" s="1" t="str">
        <f>'Replacement plan'!$B$75</f>
        <v>ChengLong L2EV</v>
      </c>
      <c r="AE281" s="1">
        <f>IF(C281=0,0,VLOOKUP($A281,'Fleet register'!$A$7:$S$106,8,FALSE))</f>
        <v>0</v>
      </c>
      <c r="AF281" s="1" t="str">
        <f>IF('Replacement plan'!$H$75="","n.a.",'Replacement plan'!$H$75)</f>
        <v>n.a.</v>
      </c>
      <c r="AG281" s="1">
        <f>'Replacement plan'!$J$75</f>
        <v>22</v>
      </c>
      <c r="AH281" s="1">
        <f>IFERROR(IF(D281="EV",IF('Replacement plan'!$K$75="AC",IF(ISNUMBER(INDEX(Products!$G$7:$G$13,MATCH('Replacement plan'!$B$75,Products!$A$7:$A$13,0))),INDEX(Products!$G$7:$G$13,MATCH('Replacement plan'!$B$75,Products!$A$7:$A$13,0)),"n.a."),IF(ISNUMBER(INDEX(Products!$H$7:$H$13,MATCH('Replacement plan'!$B$75,Products!$A$7:$A$13,0))),INDEX(Products!$H$7:$H$13,MATCH('Replacement plan'!$B$75,Products!$A$7:$A$13,0)),"n.a.")),0),"n.a.")</f>
        <v>0</v>
      </c>
      <c r="AI281" s="1">
        <f>IF(AND(C281=1,D281="EV",E281&lt;120),(VLOOKUP($A281,'Fleet register'!$A$7:$S$106,7,FALSE)+IF(T281&gt;0,'Operating costs'!$B$12,0))*U281*(1-'Operating costs'!$B$44)+'Operating costs'!$B$49,0)</f>
        <v>0</v>
      </c>
      <c r="AJ281" s="1">
        <f>IF(D281="EV",'Energy and charging'!$B$50,0)</f>
        <v>0</v>
      </c>
      <c r="AK281" s="17">
        <f>EDATE('Operating costs'!$B$63,E281)</f>
        <v>46298</v>
      </c>
      <c r="AL281" s="1">
        <f>IFERROR(IF(D281="EV",INDEX(Products!$B$7:$B$13,MATCH('Replacement plan'!$B$75,Products!$A$7:$A$13,0)),0),"n.a.")</f>
        <v>0</v>
      </c>
      <c r="AM281" s="1" t="str">
        <f>'Replacement plan'!$K$75</f>
        <v>DC</v>
      </c>
      <c r="AN281" s="1" t="str">
        <f>'Replacement plan'!$AE$75</f>
        <v>Assumed</v>
      </c>
      <c r="AO281" s="47">
        <f>IF(AND(C281=1,D281="EV",E281&lt;120),(R281-'Operating costs'!$B$41)*S281+W281*'Operating costs'!$B$12,0)</f>
        <v>0</v>
      </c>
      <c r="AP281" s="41">
        <f>IF(AND(C281=1,D281="EV",E281&lt;120),IF('Operating costs'!$B$68="Hong Seh 200k average",AO281*IFERROR(INDEX(Products!$P$7:$P$13,MATCH(AD281,Products!$A$7:$A$13,0)),"n.a."),'Operating costs'!$B$26),0)</f>
        <v>0</v>
      </c>
      <c r="AQ281" s="40" t="str">
        <f>IF(D281="EV",'Operating costs'!$B$68,"Not applicable")</f>
        <v>Not applicable</v>
      </c>
    </row>
    <row r="282" spans="1:43" ht="24" customHeight="1">
      <c r="A282" s="1" t="str">
        <f>'Replacement plan'!A75</f>
        <v>T069</v>
      </c>
      <c r="B282" s="1">
        <v>3</v>
      </c>
      <c r="C282" s="1">
        <f>IF(COUNTIFS('Fleet register'!$A$7:$A$106,$A282)=1,VLOOKUP($A282,'Fleet register'!$A$7:$S$106,2,FALSE),0)</f>
        <v>0</v>
      </c>
      <c r="D282" s="1" t="str">
        <f>IF('Replacement plan'!$R$75="EV","EV","ICE")</f>
        <v>ICE</v>
      </c>
      <c r="E282" s="1">
        <f>IF(C282=0,0,IF('Replacement plan'!$S$75="",IF('Replacement plan'!$R$75="Keep ICE",IF('Replacement plan'!$M$75="",VLOOKUP($A282,'Fleet register'!$A$7:$S$106,10,FALSE),'Replacement plan'!$M$75),0),'Replacement plan'!$S$75))</f>
        <v>0</v>
      </c>
      <c r="F282" s="16">
        <f>IF(C282=0,0,VLOOKUP($A282,'Fleet register'!$A$7:$S$106,11,FALSE))</f>
        <v>0</v>
      </c>
      <c r="G282" s="16">
        <f>IFERROR(IF(C282=0,0,IF(E282=120,0,IF(D282="ICE",'Replacement plan'!$C$75,IF('Replacement plan'!$D$75="",INDEX(Products!$I$7:$I$13,MATCH('Replacement plan'!$B$75,Products!$A$7:$A$13,0))+'Operating costs'!$B$57,'Replacement plan'!$D$75))*(1+'Operating costs'!$B$50)^(E282/12))),"n.a.")</f>
        <v>0</v>
      </c>
      <c r="H282" s="16">
        <f>IFERROR(IF(C282=0,0,IF('Replacement plan'!$V$75&lt;&gt;"",'Replacement plan'!$V$75,IF(E282=0,F282,VLOOKUP($A282,'Fleet register'!$A$7:$S$106,12,FALSE)+VLOOKUP($A282,'Fleet register'!$A$7:$S$106,13,FALSE)*MAX(0,VLOOKUP($A282,'Fleet register'!$A$7:$S$106,10,FALSE)-E282)/VLOOKUP($A282,'Fleet register'!$A$7:$S$106,14,FALSE)))),"n.a.")</f>
        <v>0</v>
      </c>
      <c r="I282" s="16">
        <f>IF(C282=0,0,IF(E282=120,0,'Replacement plan'!$T$75))</f>
        <v>0</v>
      </c>
      <c r="J282" s="16">
        <f>IF(C282=0,0,IF(P282="Complete",((S282*(R282-'Operating costs'!$B$39))+ROUNDUP(S282*(R282-'Operating costs'!$B$39)*IF('Replacement plan'!$AG$75="",'Operating costs'!$B$7,'Replacement plan'!$AG$75)/('Operating costs'!$B$8-'Operating costs'!$B$9*IF('Replacement plan'!$AG$75="",'Operating costs'!$B$7,'Replacement plan'!$AG$75)),0)*'Operating costs'!$B$9)*IF('Replacement plan'!$AG$75="",'Operating costs'!$B$7,'Replacement plan'!$AG$75)*('Energy and charging'!$C$9*'Energy and charging'!$C$7+(1-'Energy and charging'!$C$9)*'Energy and charging'!$C$8)*'Operating costs'!$B$23,"n.a."))</f>
        <v>0</v>
      </c>
      <c r="K282" s="16">
        <f>IF(C282=0,0,IF(P282="Complete",SUM('Operating costs'!$B$24,'Operating costs'!$B$27,'Operating costs'!$B$29,'Operating costs'!$B$31,'Operating costs'!$B$33,'Operating costs'!$B$34,'Operating costs'!$B$37,'Replacement plan'!$W$75)+'Operating costs'!$B$39*'Operating costs'!$B$42+ROUNDUP(S282*(R282-'Operating costs'!$B$39)*IF('Replacement plan'!$AG$75="",'Operating costs'!$B$7,'Replacement plan'!$AG$75)/('Operating costs'!$B$8-'Operating costs'!$B$9*IF('Replacement plan'!$AG$75="",'Operating costs'!$B$7,'Replacement plan'!$AG$75)),0)*('Operating costs'!$B$9/'Operating costs'!$B$11+'Operating costs'!$B$10/60)*'Operating costs'!$B$19*'Operating costs'!$B$21,"n.a."))</f>
        <v>0</v>
      </c>
      <c r="L282" s="16">
        <f>IF(C282=0,0,IF(P282="Complete",IF(D282="EV",X282*((1-T282)*'Energy and charging'!$C$10+T282*'Energy and charging'!$C$11)*'Operating costs'!$B$22,AA282*('Energy and charging'!$C$9*'Energy and charging'!$C$7+(1-'Energy and charging'!$C$9)*'Energy and charging'!$C$8)*'Operating costs'!$B$23),"n.a."))</f>
        <v>0</v>
      </c>
      <c r="M282" s="37">
        <f>IF(C282=0,0,IF(P282="Complete",IF(D282="ICE",SUM('Operating costs'!$B$25,'Operating costs'!$B$27,'Operating costs'!$B$29,'Operating costs'!$B$31,'Operating costs'!$B$33,'Operating costs'!$B$35,'Operating costs'!$B$37,'Replacement plan'!$X$75)+'Operating costs'!$B$40*'Operating costs'!$B$42+ROUNDUP(S282*(R282-'Operating costs'!$B$40)*IF('Replacement plan'!$AH$75="",'Operating costs'!$B$7,'Replacement plan'!$AH$75)/('Operating costs'!$B$8-'Operating costs'!$B$9*IF('Replacement plan'!$AH$75="",'Operating costs'!$B$7,'Replacement plan'!$AH$75)),0)*('Operating costs'!$B$9/'Operating costs'!$B$11+'Operating costs'!$B$10/60)*'Operating costs'!$B$19*'Operating costs'!$B$21,SUM(AP282,'Operating costs'!$B$28,'Operating costs'!$B$30,'Operating costs'!$B$32,'Operating costs'!$B$33,'Operating costs'!$B$36,'Operating costs'!$B$38,'Replacement plan'!$Y$75)+'Operating costs'!$B$41*'Operating costs'!$B$43+W282*'Operating costs'!$B$15+(T282*X282/'Replacement plan'!$L$75+W282*('Operating costs'!$B$12/'Operating costs'!$B$11+('Operating costs'!$B$13+'Operating costs'!$B$14)/60)+(R282-'Operating costs'!$B$41)*(IF(T282&lt;1,'Operating costs'!$B$16,0)+'Operating costs'!$B$17)/60)*'Operating costs'!$B$19*'Operating costs'!$B$20),"n.a."))</f>
        <v>0</v>
      </c>
      <c r="N282" s="16">
        <f>IF(AND(C282=1,D282="EV",E282&lt;120,E282+'Replacement plan'!$AA$75&lt;=120),'Replacement plan'!$Z$75,0)</f>
        <v>0</v>
      </c>
      <c r="O282" s="1">
        <f>E282+'Replacement plan'!$AA$75</f>
        <v>0</v>
      </c>
      <c r="P282" s="35" t="str">
        <f>IFERROR(IF(C282=0,"Excluded",IF(OR(COUNTIFS('Fleet register'!$A$7:$A$106,A282)&lt;&gt;1,COUNTIFS('Replacement plan'!$A$7:$A$106,A282)&lt;&gt;1),"Duplicate/missing ID",IF(NOT(AND(ISNUMBER(VLOOKUP($A282,'Fleet register'!$A$7:$S$106,5,FALSE)),ISNUMBER(VLOOKUP($A282,'Fleet register'!$A$7:$S$106,6,FALSE)),ISNUMBER(VLOOKUP($A282,'Fleet register'!$A$7:$S$106,10,FALSE)),ISNUMBER(VLOOKUP($A282,'Fleet register'!$A$7:$S$106,11,FALSE)),ISNUMBER(VLOOKUP($A282,'Fleet register'!$A$7:$S$106,12,FALSE)),ISNUMBER(VLOOKUP($A282,'Fleet register'!$A$7:$S$106,13,FALSE)),ISNUMBER(VLOOKUP($A282,'Fleet register'!$A$7:$S$106,14,FALSE)),VLOOKUP($A282,'Fleet register'!$A$7:$S$106,14,FALSE)&gt;0,ISNUMBER('Replacement plan'!$C$75),OR(E282=120,ISNUMBER('Replacement plan'!$T$75)),ISNUMBER(E282))),"Missing vehicle input",IF(OR(E282&lt;0,E282&gt;VLOOKUP($A282,'Fleet register'!$A$7:$S$106,10,FALSE),E282&gt;120,E282&lt;&gt;INT(E282),VLOOKUP($A282,'Fleet register'!$A$7:$S$106,6,FALSE)&lt;=0,VLOOKUP($A282,'Fleet register'!$A$7:$S$106,6,FALSE)&gt;366,VLOOKUP($A282,'Fleet register'!$A$7:$S$106,5,FALSE)&lt;0,VLOOKUP($A282,'Fleet register'!$A$7:$S$106,11,FALSE)&lt;0,I282&lt;0,'Operating costs'!$B$8&lt;='Operating costs'!$B$7*'Operating costs'!$B$9,'Operating costs'!$B$11&lt;=0,'Operating costs'!$B$39&gt;R282,'Operating costs'!$B$40&gt;R282,'Operating costs'!$B$41&gt;R282,NOT(OR('Replacement plan'!$R$75="Keep ICE",'Replacement plan'!$R$75="New ICE",'Replacement plan'!$R$75="EV"))),"Invalid vehicle input",IF(AND(D282="EV",E282&lt;120,OR(NOT(ISNUMBER(U282)),NOT(ISNUMBER(V282)),V282&lt;=0,T282&lt;0,T282&gt;1,'Replacement plan'!$L$75&lt;=0,'Operating costs'!$B$44&lt;0,'Operating costs'!$B$44&gt;=1,'Operating costs'!$B$47&lt;=0,'Operating costs'!$B$47&gt;1,V282*'Operating costs'!$B$47/(1-'Operating costs'!$B$44)&lt;=T282*'Operating costs'!$B$12*U282,AND('Replacement plan'!$Z$75&gt;0,OR('Replacement plan'!$AB$75&lt;&gt;"Yes",'Operating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charging'!$C$8&gt;=0))),ISNUMBER(VLOOKUP($A282,'Fleet register'!$A$7:$S$106,15,FALSE)),ISNUMBER(VLOOKUP($A282,'Fleet register'!$A$7:$S$106,16,FALSE)),ISNUMBER('Replacement plan'!$W$75),ISNUMBER('Replacement plan'!$X$75),OR(E282=120,AND(ISNUMBER(G282),G282&gt;=0)),ISNUMBER(H282),H282&gt;=0,OR(D282&lt;&gt;"EV",E282=120,AND(ISNUMBER('Operating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average",ISNUMBER(IFERROR(INDEX(Products!$P$7:$P$13,MATCH(AD282,Products!$A$7:$A$13,0)),"")))),ISNUMBER('Operating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plan'!$Y$75),ISNUMBER('Replacement plan'!$Z$75),'Replacement plan'!$Z$75&gt;=0,ISNUMBER('Replacement plan'!$AA$75),'Replacement plan'!$AA$75&gt;=0,'Replacement plan'!$AA$75=INT('Replacement plan'!$AA$75),ISNUMBER('Replacement plan'!$L$75))),'Operating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plan'!$AG$75="",'Operating costs'!$B$7,'Replacement plan'!$AG$75)),IF('Replacement plan'!$AG$75="",'Operating costs'!$B$7,'Replacement plan'!$AG$75)&gt;=0,ISNUMBER(IF('Replacement plan'!$AH$75="",'Operating costs'!$B$7,'Replacement plan'!$AH$75)),IF('Replacement plan'!$AH$75="",'Operating costs'!$B$7,'Replacement plan'!$AH$75)&gt;=0,'Operating costs'!$B$8&gt;MAX(IF('Replacement plan'!$AG$75="",'Operating costs'!$B$7,'Replacement plan'!$AG$75),IF('Replacement plan'!$AH$75="",'Operating costs'!$B$7,'Replacement plan'!$AH$75))*'Operating costs'!$B$9),IF(AND(VLOOKUP($A282,'Fleet register'!$A$7:$S$106,10,FALSE)&gt;=0,VLOOKUP($A282,'Fleet register'!$A$7:$S$106,10,FALSE)&lt;=120,VLOOKUP($A282,'Fleet register'!$A$7:$S$106,10,FALSE)=INT(VLOOKUP($A282,'Fleet register'!$A$7:$S$106,10,FALSE)),VLOOKUP($A282,'Fleet register'!$A$7:$S$106,15,FALSE)&gt;=0,VLOOKUP($A282,'Fleet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costs'!$B$67)&gt;=0,OR(D282&lt;&gt;"EV",E282=120,AND(MIN('Operating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82" s="1" t="str">
        <f>IF(C282=0,"Excluded",IF(P282&lt;&gt;"Complete",P282,IF(OR('Replacement plan'!$AD$75&lt;120-E282,AND(D282="EV",E282&lt;120,OR('Replacement plan'!$AC$75&lt;120-E282,'Replacement plan'!$I$75="No",AND(ISNUMBER(AF282),AE282&gt;AF282),AI282&gt;V282*(1-'Operating costs'!$B$46)^MAX(0,AB282-1)*(1-'Operating costs'!$B$45),AC282&gt;'Operating costs'!$B$18,AND(T282&lt;1,OR(AG282&lt;=0,AND(ISNUMBER(AH282),AG282&gt;AH282))),'Replacement plan'!$L$75&gt;INDEX(Products!$H$7:$H$13,MATCH('Replacement plan'!$B$75,Products!$A$7:$A$13,0))))),"Fails entered limits",IF(AND(D282="EV",E282&lt;120,OR(NOT(ISNUMBER(VLOOKUP($A282,'Fleet register'!$A$7:$S$106,7,FALSE))),NOT(ISNUMBER(VLOOKUP($A282,'Fleet register'!$A$7:$S$106,8,FALSE))),NOT(ISNUMBER(AF282)),'Replacement plan'!$I$75&lt;&gt;"Yes",NOT(ISNUMBER(AH282)),'Operating costs'!$B$59&lt;&gt;"Yes",'Operating costs'!$B$58&lt;&gt;"Yes")),"Unverified","Within entered limits"))))</f>
        <v>Excluded</v>
      </c>
      <c r="R282" s="1">
        <f>IF(C282=0,0,VLOOKUP($A282,'Fleet register'!$A$7:$S$106,6,FALSE))</f>
        <v>0</v>
      </c>
      <c r="S282" s="1">
        <f>IF(C282=0,0,VLOOKUP($A282,'Fleet register'!$A$7:$S$106,5,FALSE))</f>
        <v>0</v>
      </c>
      <c r="T282" s="1">
        <f>IF(D282="EV",'Energy and charging'!$C$12,0)</f>
        <v>0</v>
      </c>
      <c r="U282" s="1">
        <f>IFERROR(IF(C282=0,0,IF(D282="EV",IF('Replacement plan'!$F$75="",INDEX(Products!$E$7:$E$13,MATCH('Replacement plan'!$B$75,Products!$A$7:$A$13,0)),'Replacement plan'!$F$75)/IF('Replacement plan'!$G$75="Battery",1-'Operating costs'!$B$44,1),0)),"n.a.")</f>
        <v>0</v>
      </c>
      <c r="V282" s="1">
        <f>IFERROR(IF(C282=0,0,IF(D282="EV",IF('Replacement plan'!$E$75="",INDEX(Products!$D$7:$D$13,MATCH('Replacement plan'!$B$75,Products!$A$7:$A$13,0)),'Replacement plan'!$E$75),0)),"n.a.")</f>
        <v>0</v>
      </c>
      <c r="W282" s="1">
        <f>IF(C282=0,0,IF(AND(P282="Complete",D282="EV",E282&lt;120),IF(T282=0,0,ROUNDUP(T282*(R282-'Operating costs'!$B$41)*(S282*U282+'Operating costs'!$B$48/(1-'Operating costs'!$B$44))/(V282*'Operating costs'!$B$47/(1-'Operating costs'!$B$44)-T282*'Operating costs'!$B$12*U282),0)),0))</f>
        <v>0</v>
      </c>
      <c r="X282" s="1">
        <f>IF(C282=0,0,IF(AND(P282="Complete",D282="EV",E282&lt;120),(R282-'Operating costs'!$B$41)*(S282*U282+'Operating costs'!$B$48/(1-'Operating costs'!$B$44))+W282*'Operating costs'!$B$12*U282,0))</f>
        <v>0</v>
      </c>
      <c r="Y282" s="1">
        <f>IF(AND(C282=1,D282="EV",E282&lt;120),AI282/(1-'Operating costs'!$B$44)*(1-T282),0)</f>
        <v>0</v>
      </c>
      <c r="Z282" s="1">
        <f t="shared" si="8"/>
        <v>0</v>
      </c>
      <c r="AA282" s="1">
        <f>IF(C282=0,0,IF(P282="Complete",((S282*(R282-'Operating costs'!$B$40))+ROUNDUP(S282*(R282-'Operating costs'!$B$40)*IF('Replacement plan'!$AH$75="",'Operating costs'!$B$7,'Replacement plan'!$AH$75)/('Operating costs'!$B$8-'Operating costs'!$B$9*IF('Replacement plan'!$AH$75="",'Operating costs'!$B$7,'Replacement plan'!$AH$75)),0)*'Operating costs'!$B$9)*IF('Replacement plan'!$AH$75="",'Operating costs'!$B$7,'Replacement plan'!$AH$75),"n.a."))</f>
        <v>0</v>
      </c>
      <c r="AB282" s="1">
        <f t="shared" si="9"/>
        <v>0</v>
      </c>
      <c r="AC282" s="1">
        <f>IF(AND(C282=1,D282="EV",E282&lt;120,T282&gt;0),'Operating costs'!$B$12/'Operating costs'!$B$11*60+'Operating costs'!$B$13+'Operating costs'!$B$14+V282*'Operating costs'!$B$47/(1-'Operating costs'!$B$44)/'Replacement plan'!$L$75*60,0)</f>
        <v>0</v>
      </c>
      <c r="AD282" s="1" t="str">
        <f>'Replacement plan'!$B$75</f>
        <v>ChengLong L2EV</v>
      </c>
      <c r="AE282" s="1">
        <f>IF(C282=0,0,VLOOKUP($A282,'Fleet register'!$A$7:$S$106,8,FALSE))</f>
        <v>0</v>
      </c>
      <c r="AF282" s="1" t="str">
        <f>IF('Replacement plan'!$H$75="","n.a.",'Replacement plan'!$H$75)</f>
        <v>n.a.</v>
      </c>
      <c r="AG282" s="1">
        <f>'Replacement plan'!$J$75</f>
        <v>22</v>
      </c>
      <c r="AH282" s="1">
        <f>IFERROR(IF(D282="EV",IF('Replacement plan'!$K$75="AC",IF(ISNUMBER(INDEX(Products!$G$7:$G$13,MATCH('Replacement plan'!$B$75,Products!$A$7:$A$13,0))),INDEX(Products!$G$7:$G$13,MATCH('Replacement plan'!$B$75,Products!$A$7:$A$13,0)),"n.a."),IF(ISNUMBER(INDEX(Products!$H$7:$H$13,MATCH('Replacement plan'!$B$75,Products!$A$7:$A$13,0))),INDEX(Products!$H$7:$H$13,MATCH('Replacement plan'!$B$75,Products!$A$7:$A$13,0)),"n.a.")),0),"n.a.")</f>
        <v>0</v>
      </c>
      <c r="AI282" s="1">
        <f>IF(AND(C282=1,D282="EV",E282&lt;120),(VLOOKUP($A282,'Fleet register'!$A$7:$S$106,7,FALSE)+IF(T282&gt;0,'Operating costs'!$B$12,0))*U282*(1-'Operating costs'!$B$44)+'Operating costs'!$B$49,0)</f>
        <v>0</v>
      </c>
      <c r="AJ282" s="1">
        <f>IF(D282="EV",'Energy and charging'!$C$50,0)</f>
        <v>0</v>
      </c>
      <c r="AK282" s="17">
        <f>EDATE('Operating costs'!$B$63,E282)</f>
        <v>46298</v>
      </c>
      <c r="AL282" s="1">
        <f>IFERROR(IF(D282="EV",INDEX(Products!$B$7:$B$13,MATCH('Replacement plan'!$B$75,Products!$A$7:$A$13,0)),0),"n.a.")</f>
        <v>0</v>
      </c>
      <c r="AM282" s="1" t="str">
        <f>'Replacement plan'!$K$75</f>
        <v>DC</v>
      </c>
      <c r="AN282" s="1" t="str">
        <f>'Replacement plan'!$AE$75</f>
        <v>Assumed</v>
      </c>
      <c r="AO282" s="47">
        <f>IF(AND(C282=1,D282="EV",E282&lt;120),(R282-'Operating costs'!$B$41)*S282+W282*'Operating costs'!$B$12,0)</f>
        <v>0</v>
      </c>
      <c r="AP282" s="41">
        <f>IF(AND(C282=1,D282="EV",E282&lt;120),IF('Operating costs'!$B$68="Hong Seh 200k average",AO282*IFERROR(INDEX(Products!$P$7:$P$13,MATCH(AD282,Products!$A$7:$A$13,0)),"n.a."),'Operating costs'!$B$26),0)</f>
        <v>0</v>
      </c>
      <c r="AQ282" s="40" t="str">
        <f>IF(D282="EV",'Operating costs'!$B$68,"Not applicable")</f>
        <v>Not applicable</v>
      </c>
    </row>
    <row r="283" spans="1:43" ht="24" customHeight="1">
      <c r="A283" s="1" t="str">
        <f>'Replacement plan'!A76</f>
        <v>T070</v>
      </c>
      <c r="B283" s="1">
        <v>0</v>
      </c>
      <c r="C283" s="1">
        <f>IF(COUNTIFS('Fleet register'!$A$7:$A$106,$A283)=1,VLOOKUP($A283,'Fleet register'!$A$7:$S$106,2,FALSE),0)</f>
        <v>0</v>
      </c>
      <c r="D283" s="1" t="str">
        <f>IF("Keep ICE"="EV","EV","ICE")</f>
        <v>ICE</v>
      </c>
      <c r="E283" s="1">
        <f>IF(C283=0,0,IF('Replacement plan'!$M$76="",VLOOKUP($A283,'Fleet register'!$A$7:$S$106,10,FALSE),'Replacement plan'!$M$76))</f>
        <v>0</v>
      </c>
      <c r="F283" s="16">
        <f>IF(C283=0,0,VLOOKUP($A283,'Fleet register'!$A$7:$S$106,11,FALSE))</f>
        <v>0</v>
      </c>
      <c r="G283" s="16">
        <f>IFERROR(IF(C283=0,0,IF(E283=120,0,IF(D283="ICE",'Replacement plan'!$C$76,IF('Replacement plan'!$D$76="",INDEX(Products!$I$7:$I$13,MATCH('Replacement plan'!$B$76,Products!$A$7:$A$13,0))+'Operating costs'!$B$57,'Replacement plan'!$D$76))*(1+'Operating costs'!$B$50)^(E283/12))),"n.a.")</f>
        <v>0</v>
      </c>
      <c r="H283" s="16">
        <f>IFERROR(IF(C283=0,0,IF(E283=0,F283,VLOOKUP($A283,'Fleet register'!$A$7:$S$106,12,FALSE)+VLOOKUP($A283,'Fleet register'!$A$7:$S$106,13,FALSE)*MAX(0,VLOOKUP($A283,'Fleet register'!$A$7:$S$106,10,FALSE)-E283)/VLOOKUP($A283,'Fleet register'!$A$7:$S$106,14,FALSE))),"n.a.")</f>
        <v>0</v>
      </c>
      <c r="I283" s="16">
        <f>IF(C283=0,0,IF(E283=120,0,'Replacement plan'!$N$76))</f>
        <v>0</v>
      </c>
      <c r="J283" s="16">
        <f>IF(C283=0,0,IF(P283="Complete",((S283*(R283-'Operating costs'!$B$39))+ROUNDUP(S283*(R283-'Operating costs'!$B$39)*IF('Replacement plan'!$AG$76="",'Operating costs'!$B$7,'Replacement plan'!$AG$76)/('Operating costs'!$B$8-'Operating costs'!$B$9*IF('Replacement plan'!$AG$76="",'Operating costs'!$B$7,'Replacement plan'!$AG$76)),0)*'Operating costs'!$B$9)*IF('Replacement plan'!$AG$76="",'Operating costs'!$B$7,'Replacement plan'!$AG$76)*('Energy and charging'!$B$9*'Energy and charging'!$B$7+(1-'Energy and charging'!$B$9)*'Energy and charging'!$B$8)*'Operating costs'!$B$23,"n.a."))</f>
        <v>0</v>
      </c>
      <c r="K283" s="16">
        <f>IF(C283=0,0,IF(P283="Complete",SUM('Operating costs'!$B$24,'Operating costs'!$B$27,'Operating costs'!$B$29,'Operating costs'!$B$31,'Operating costs'!$B$33,'Operating costs'!$B$34,'Operating costs'!$B$37,'Replacement plan'!$W$76)+'Operating costs'!$B$39*'Operating costs'!$B$42+ROUNDUP(S283*(R283-'Operating costs'!$B$39)*IF('Replacement plan'!$AG$76="",'Operating costs'!$B$7,'Replacement plan'!$AG$76)/('Operating costs'!$B$8-'Operating costs'!$B$9*IF('Replacement plan'!$AG$76="",'Operating costs'!$B$7,'Replacement plan'!$AG$76)),0)*('Operating costs'!$B$9/'Operating costs'!$B$11+'Operating costs'!$B$10/60)*'Operating costs'!$B$19*'Operating costs'!$B$21,"n.a."))</f>
        <v>0</v>
      </c>
      <c r="L283" s="16">
        <f>IF(C283=0,0,IF(P283="Complete",IF(D283="EV",X283*((1-T283)*'Energy and charging'!$B$10+T283*'Energy and charging'!$B$11)*'Operating costs'!$B$22,AA283*('Energy and charging'!$B$9*'Energy and charging'!$B$7+(1-'Energy and charging'!$B$9)*'Energy and charging'!$B$8)*'Operating costs'!$B$23),"n.a."))</f>
        <v>0</v>
      </c>
      <c r="M283" s="37">
        <f>IF(C283=0,0,IF(P283="Complete",IF(D283="ICE",SUM('Operating costs'!$B$25,'Operating costs'!$B$27,'Operating costs'!$B$29,'Operating costs'!$B$31,'Operating costs'!$B$33,'Operating costs'!$B$35,'Operating costs'!$B$37,'Replacement plan'!$X$76)+'Operating costs'!$B$40*'Operating costs'!$B$42+ROUNDUP(S283*(R283-'Operating costs'!$B$40)*IF('Replacement plan'!$AH$76="",'Operating costs'!$B$7,'Replacement plan'!$AH$76)/('Operating costs'!$B$8-'Operating costs'!$B$9*IF('Replacement plan'!$AH$76="",'Operating costs'!$B$7,'Replacement plan'!$AH$76)),0)*('Operating costs'!$B$9/'Operating costs'!$B$11+'Operating costs'!$B$10/60)*'Operating costs'!$B$19*'Operating costs'!$B$21,SUM(AP283,'Operating costs'!$B$28,'Operating costs'!$B$30,'Operating costs'!$B$32,'Operating costs'!$B$33,'Operating costs'!$B$36,'Operating costs'!$B$38,'Replacement plan'!$Y$76)+'Operating costs'!$B$41*'Operating costs'!$B$43+W283*'Operating costs'!$B$15+(T283*X283/'Replacement plan'!$L$76+W283*('Operating costs'!$B$12/'Operating costs'!$B$11+('Operating costs'!$B$13+'Operating costs'!$B$14)/60)+(R283-'Operating costs'!$B$41)*(IF(T283&lt;1,'Operating costs'!$B$16,0)+'Operating costs'!$B$17)/60)*'Operating costs'!$B$19*'Operating costs'!$B$20),"n.a."))</f>
        <v>0</v>
      </c>
      <c r="N283" s="16">
        <f>IF(AND(C283=1,D283="EV",E283&lt;120,E283+'Replacement plan'!$AA$76&lt;=120),'Replacement plan'!$Z$76,0)</f>
        <v>0</v>
      </c>
      <c r="O283" s="1">
        <f>E283+'Replacement plan'!$AA$76</f>
        <v>0</v>
      </c>
      <c r="P283" s="35" t="str">
        <f>IFERROR(IF(C283=0,"Excluded",IF(OR(COUNTIFS('Fleet register'!$A$7:$A$106,A283)&lt;&gt;1,COUNTIFS('Replacement plan'!$A$7:$A$106,A283)&lt;&gt;1),"Duplicate/missing ID",IF(NOT(AND(ISNUMBER(VLOOKUP($A283,'Fleet register'!$A$7:$S$106,5,FALSE)),ISNUMBER(VLOOKUP($A283,'Fleet register'!$A$7:$S$106,6,FALSE)),ISNUMBER(VLOOKUP($A283,'Fleet register'!$A$7:$S$106,10,FALSE)),ISNUMBER(VLOOKUP($A283,'Fleet register'!$A$7:$S$106,11,FALSE)),ISNUMBER(VLOOKUP($A283,'Fleet register'!$A$7:$S$106,12,FALSE)),ISNUMBER(VLOOKUP($A283,'Fleet register'!$A$7:$S$106,13,FALSE)),ISNUMBER(VLOOKUP($A283,'Fleet register'!$A$7:$S$106,14,FALSE)),VLOOKUP($A283,'Fleet register'!$A$7:$S$106,14,FALSE)&gt;0,ISNUMBER('Replacement plan'!$C$76),OR(E283=120,ISNUMBER('Replacement plan'!$N$76)),ISNUMBER(E283))),"Missing vehicle input",IF(OR(E283&lt;0,E283&gt;VLOOKUP($A283,'Fleet register'!$A$7:$S$106,10,FALSE),E283&gt;120,E283&lt;&gt;INT(E283),VLOOKUP($A283,'Fleet register'!$A$7:$S$106,6,FALSE)&lt;=0,VLOOKUP($A283,'Fleet register'!$A$7:$S$106,6,FALSE)&gt;366,VLOOKUP($A283,'Fleet register'!$A$7:$S$106,5,FALSE)&lt;0,VLOOKUP($A283,'Fleet register'!$A$7:$S$106,11,FALSE)&lt;0,I283&lt;0,'Operating costs'!$B$8&lt;='Operating costs'!$B$7*'Operating costs'!$B$9,'Operating costs'!$B$11&lt;=0,'Operating costs'!$B$39&gt;R283,'Operating costs'!$B$40&gt;R283,'Operating costs'!$B$41&gt;R283,NOT(OR("Keep ICE"="Keep ICE","Keep ICE"="New ICE","Keep ICE"="EV"))),"Invalid vehicle input",IF(AND(D283="EV",E283&lt;120,OR(NOT(ISNUMBER(U283)),NOT(ISNUMBER(V283)),V283&lt;=0,T283&lt;0,T283&gt;1,'Replacement plan'!$L$76&lt;=0,'Operating costs'!$B$44&lt;0,'Operating costs'!$B$44&gt;=1,'Operating costs'!$B$47&lt;=0,'Operating costs'!$B$47&gt;1,V283*'Operating costs'!$B$47/(1-'Operating costs'!$B$44)&lt;=T283*'Operating costs'!$B$12*U283,AND('Replacement plan'!$Z$76&gt;0,OR('Replacement plan'!$AB$76&lt;&gt;"Yes",'Operating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charging'!$B$8&gt;=0))),ISNUMBER(VLOOKUP($A283,'Fleet register'!$A$7:$S$106,15,FALSE)),ISNUMBER(VLOOKUP($A283,'Fleet register'!$A$7:$S$106,16,FALSE)),ISNUMBER('Replacement plan'!$W$76),ISNUMBER('Replacement plan'!$X$76),OR(E283=120,AND(ISNUMBER(G283),G283&gt;=0)),ISNUMBER(H283),H283&gt;=0,OR(D283&lt;&gt;"EV",E283=120,AND(ISNUMBER('Operating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average",ISNUMBER(IFERROR(INDEX(Products!$P$7:$P$13,MATCH(AD283,Products!$A$7:$A$13,0)),"")))),ISNUMBER('Operating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plan'!$Y$76),ISNUMBER('Replacement plan'!$Z$76),'Replacement plan'!$Z$76&gt;=0,ISNUMBER('Replacement plan'!$AA$76),'Replacement plan'!$AA$76&gt;=0,'Replacement plan'!$AA$76=INT('Replacement plan'!$AA$76),ISNUMBER('Replacement plan'!$L$76))),'Operating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plan'!$AG$76="",'Operating costs'!$B$7,'Replacement plan'!$AG$76)),IF('Replacement plan'!$AG$76="",'Operating costs'!$B$7,'Replacement plan'!$AG$76)&gt;=0,ISNUMBER(IF('Replacement plan'!$AH$76="",'Operating costs'!$B$7,'Replacement plan'!$AH$76)),IF('Replacement plan'!$AH$76="",'Operating costs'!$B$7,'Replacement plan'!$AH$76)&gt;=0,'Operating costs'!$B$8&gt;MAX(IF('Replacement plan'!$AG$76="",'Operating costs'!$B$7,'Replacement plan'!$AG$76),IF('Replacement plan'!$AH$76="",'Operating costs'!$B$7,'Replacement plan'!$AH$76))*'Operating costs'!$B$9),IF(AND(VLOOKUP($A283,'Fleet register'!$A$7:$S$106,10,FALSE)&gt;=0,VLOOKUP($A283,'Fleet register'!$A$7:$S$106,10,FALSE)&lt;=120,VLOOKUP($A283,'Fleet register'!$A$7:$S$106,10,FALSE)=INT(VLOOKUP($A283,'Fleet register'!$A$7:$S$106,10,FALSE)),VLOOKUP($A283,'Fleet register'!$A$7:$S$106,15,FALSE)&gt;=0,VLOOKUP($A283,'Fleet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costs'!$B$67)&gt;=0,OR(D283&lt;&gt;"EV",E283=120,AND(MIN('Operating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83" s="1" t="str">
        <f>IF(C283=0,"Excluded",IF(P283&lt;&gt;"Complete",P283,IF(OR('Replacement plan'!$AD$76&lt;120-E283,AND(D283="EV",E283&lt;120,OR('Replacement plan'!$AC$76&lt;120-E283,'Replacement plan'!$I$76="No",AND(ISNUMBER(AF283),AE283&gt;AF283),AI283&gt;V283*(1-'Operating costs'!$B$46)^MAX(0,AB283-1)*(1-'Operating costs'!$B$45),AC283&gt;'Operating costs'!$B$18,AND(T283&lt;1,OR(AG283&lt;=0,AND(ISNUMBER(AH283),AG283&gt;AH283))),'Replacement plan'!$L$76&gt;INDEX(Products!$H$7:$H$13,MATCH('Replacement plan'!$B$76,Products!$A$7:$A$13,0))))),"Fails entered limits",IF(AND(D283="EV",E283&lt;120,OR(NOT(ISNUMBER(VLOOKUP($A283,'Fleet register'!$A$7:$S$106,7,FALSE))),NOT(ISNUMBER(VLOOKUP($A283,'Fleet register'!$A$7:$S$106,8,FALSE))),NOT(ISNUMBER(AF283)),'Replacement plan'!$I$76&lt;&gt;"Yes",NOT(ISNUMBER(AH283)),'Operating costs'!$B$59&lt;&gt;"Yes",'Operating costs'!$B$58&lt;&gt;"Yes")),"Unverified","Within entered limits"))))</f>
        <v>Excluded</v>
      </c>
      <c r="R283" s="1">
        <f>IF(C283=0,0,VLOOKUP($A283,'Fleet register'!$A$7:$S$106,6,FALSE))</f>
        <v>0</v>
      </c>
      <c r="S283" s="1">
        <f>IF(C283=0,0,VLOOKUP($A283,'Fleet register'!$A$7:$S$106,5,FALSE))</f>
        <v>0</v>
      </c>
      <c r="T283" s="1">
        <f>IF(D283="EV",'Energy and charging'!$B$12,0)</f>
        <v>0</v>
      </c>
      <c r="U283" s="1">
        <f>IFERROR(IF(C283=0,0,IF(D283="EV",IF('Replacement plan'!$F$76="",INDEX(Products!$E$7:$E$13,MATCH('Replacement plan'!$B$76,Products!$A$7:$A$13,0)),'Replacement plan'!$F$76)/IF('Replacement plan'!$G$76="Battery",1-'Operating costs'!$B$44,1),0)),"n.a.")</f>
        <v>0</v>
      </c>
      <c r="V283" s="1">
        <f>IFERROR(IF(C283=0,0,IF(D283="EV",IF('Replacement plan'!$E$76="",INDEX(Products!$D$7:$D$13,MATCH('Replacement plan'!$B$76,Products!$A$7:$A$13,0)),'Replacement plan'!$E$76),0)),"n.a.")</f>
        <v>0</v>
      </c>
      <c r="W283" s="1">
        <f>IF(C283=0,0,IF(AND(P283="Complete",D283="EV",E283&lt;120),IF(T283=0,0,ROUNDUP(T283*(R283-'Operating costs'!$B$41)*(S283*U283+'Operating costs'!$B$48/(1-'Operating costs'!$B$44))/(V283*'Operating costs'!$B$47/(1-'Operating costs'!$B$44)-T283*'Operating costs'!$B$12*U283),0)),0))</f>
        <v>0</v>
      </c>
      <c r="X283" s="1">
        <f>IF(C283=0,0,IF(AND(P283="Complete",D283="EV",E283&lt;120),(R283-'Operating costs'!$B$41)*(S283*U283+'Operating costs'!$B$48/(1-'Operating costs'!$B$44))+W283*'Operating costs'!$B$12*U283,0))</f>
        <v>0</v>
      </c>
      <c r="Y283" s="1">
        <f>IF(AND(C283=1,D283="EV",E283&lt;120),AI283/(1-'Operating costs'!$B$44)*(1-T283),0)</f>
        <v>0</v>
      </c>
      <c r="Z283" s="1">
        <f t="shared" si="8"/>
        <v>0</v>
      </c>
      <c r="AA283" s="1">
        <f>IF(C283=0,0,IF(P283="Complete",((S283*(R283-'Operating costs'!$B$40))+ROUNDUP(S283*(R283-'Operating costs'!$B$40)*IF('Replacement plan'!$AH$76="",'Operating costs'!$B$7,'Replacement plan'!$AH$76)/('Operating costs'!$B$8-'Operating costs'!$B$9*IF('Replacement plan'!$AH$76="",'Operating costs'!$B$7,'Replacement plan'!$AH$76)),0)*'Operating costs'!$B$9)*IF('Replacement plan'!$AH$76="",'Operating costs'!$B$7,'Replacement plan'!$AH$76),"n.a."))</f>
        <v>0</v>
      </c>
      <c r="AB283" s="1">
        <f t="shared" si="9"/>
        <v>0</v>
      </c>
      <c r="AC283" s="1">
        <f>IF(AND(C283=1,D283="EV",E283&lt;120,T283&gt;0),'Operating costs'!$B$12/'Operating costs'!$B$11*60+'Operating costs'!$B$13+'Operating costs'!$B$14+V283*'Operating costs'!$B$47/(1-'Operating costs'!$B$44)/'Replacement plan'!$L$76*60,0)</f>
        <v>0</v>
      </c>
      <c r="AD283" s="1" t="str">
        <f>'Replacement plan'!$B$76</f>
        <v>ChengLong L2EV</v>
      </c>
      <c r="AE283" s="1">
        <f>IF(C283=0,0,VLOOKUP($A283,'Fleet register'!$A$7:$S$106,8,FALSE))</f>
        <v>0</v>
      </c>
      <c r="AF283" s="1" t="str">
        <f>IF('Replacement plan'!$H$76="","n.a.",'Replacement plan'!$H$76)</f>
        <v>n.a.</v>
      </c>
      <c r="AG283" s="1">
        <f>'Replacement plan'!$J$76</f>
        <v>22</v>
      </c>
      <c r="AH283" s="1">
        <f>IFERROR(IF(D283="EV",IF('Replacement plan'!$K$76="AC",IF(ISNUMBER(INDEX(Products!$G$7:$G$13,MATCH('Replacement plan'!$B$76,Products!$A$7:$A$13,0))),INDEX(Products!$G$7:$G$13,MATCH('Replacement plan'!$B$76,Products!$A$7:$A$13,0)),"n.a."),IF(ISNUMBER(INDEX(Products!$H$7:$H$13,MATCH('Replacement plan'!$B$76,Products!$A$7:$A$13,0))),INDEX(Products!$H$7:$H$13,MATCH('Replacement plan'!$B$76,Products!$A$7:$A$13,0)),"n.a.")),0),"n.a.")</f>
        <v>0</v>
      </c>
      <c r="AI283" s="1">
        <f>IF(AND(C283=1,D283="EV",E283&lt;120),(VLOOKUP($A283,'Fleet register'!$A$7:$S$106,7,FALSE)+IF(T283&gt;0,'Operating costs'!$B$12,0))*U283*(1-'Operating costs'!$B$44)+'Operating costs'!$B$49,0)</f>
        <v>0</v>
      </c>
      <c r="AJ283" s="1">
        <f>IF(D283="EV",'Energy and charging'!$B$50,0)</f>
        <v>0</v>
      </c>
      <c r="AK283" s="17">
        <f>EDATE('Operating costs'!$B$63,E283)</f>
        <v>46298</v>
      </c>
      <c r="AL283" s="1">
        <f>IFERROR(IF(D283="EV",INDEX(Products!$B$7:$B$13,MATCH('Replacement plan'!$B$76,Products!$A$7:$A$13,0)),0),"n.a.")</f>
        <v>0</v>
      </c>
      <c r="AM283" s="1" t="str">
        <f>'Replacement plan'!$K$76</f>
        <v>DC</v>
      </c>
      <c r="AN283" s="1" t="str">
        <f>'Replacement plan'!$AE$76</f>
        <v>Assumed</v>
      </c>
      <c r="AO283" s="47">
        <f>IF(AND(C283=1,D283="EV",E283&lt;120),(R283-'Operating costs'!$B$41)*S283+W283*'Operating costs'!$B$12,0)</f>
        <v>0</v>
      </c>
      <c r="AP283" s="41">
        <f>IF(AND(C283=1,D283="EV",E283&lt;120),IF('Operating costs'!$B$68="Hong Seh 200k average",AO283*IFERROR(INDEX(Products!$P$7:$P$13,MATCH(AD283,Products!$A$7:$A$13,0)),"n.a."),'Operating costs'!$B$26),0)</f>
        <v>0</v>
      </c>
      <c r="AQ283" s="40" t="str">
        <f>IF(D283="EV",'Operating costs'!$B$68,"Not applicable")</f>
        <v>Not applicable</v>
      </c>
    </row>
    <row r="284" spans="1:43" ht="24" customHeight="1">
      <c r="A284" s="1" t="str">
        <f>'Replacement plan'!A76</f>
        <v>T070</v>
      </c>
      <c r="B284" s="1">
        <v>1</v>
      </c>
      <c r="C284" s="1">
        <f>IF(COUNTIFS('Fleet register'!$A$7:$A$106,$A284)=1,VLOOKUP($A284,'Fleet register'!$A$7:$S$106,2,FALSE),0)</f>
        <v>0</v>
      </c>
      <c r="D284" s="1" t="str">
        <f>IF("New ICE"="EV","EV","ICE")</f>
        <v>ICE</v>
      </c>
      <c r="E284" s="1">
        <f>IF(C284=0,0,0)</f>
        <v>0</v>
      </c>
      <c r="F284" s="16">
        <f>IF(C284=0,0,VLOOKUP($A284,'Fleet register'!$A$7:$S$106,11,FALSE))</f>
        <v>0</v>
      </c>
      <c r="G284" s="16">
        <f>IFERROR(IF(C284=0,0,IF(E284=120,0,IF(D284="ICE",'Replacement plan'!$C$76,IF('Replacement plan'!$D$76="",INDEX(Products!$I$7:$I$13,MATCH('Replacement plan'!$B$76,Products!$A$7:$A$13,0))+'Operating costs'!$B$57,'Replacement plan'!$D$76))*(1+'Operating costs'!$B$50)^(E284/12))),"n.a.")</f>
        <v>0</v>
      </c>
      <c r="H284" s="16">
        <f>IFERROR(IF(C284=0,0,IF(E284=0,F284,VLOOKUP($A284,'Fleet register'!$A$7:$S$106,12,FALSE)+VLOOKUP($A284,'Fleet register'!$A$7:$S$106,13,FALSE)*MAX(0,VLOOKUP($A284,'Fleet register'!$A$7:$S$106,10,FALSE)-E284)/VLOOKUP($A284,'Fleet register'!$A$7:$S$106,14,FALSE))),"n.a.")</f>
        <v>0</v>
      </c>
      <c r="I284" s="16">
        <f>IF(C284=0,0,IF(E284=120,0,IF('Replacement plan'!$AI$76="",'Operating costs'!$B$56,'Replacement plan'!$AI$76)))</f>
        <v>0</v>
      </c>
      <c r="J284" s="16">
        <f>IF(C284=0,0,IF(P284="Complete",((S284*(R284-'Operating costs'!$B$39))+ROUNDUP(S284*(R284-'Operating costs'!$B$39)*IF('Replacement plan'!$AG$76="",'Operating costs'!$B$7,'Replacement plan'!$AG$76)/('Operating costs'!$B$8-'Operating costs'!$B$9*IF('Replacement plan'!$AG$76="",'Operating costs'!$B$7,'Replacement plan'!$AG$76)),0)*'Operating costs'!$B$9)*IF('Replacement plan'!$AG$76="",'Operating costs'!$B$7,'Replacement plan'!$AG$76)*('Energy and charging'!$B$9*'Energy and charging'!$B$7+(1-'Energy and charging'!$B$9)*'Energy and charging'!$B$8)*'Operating costs'!$B$23,"n.a."))</f>
        <v>0</v>
      </c>
      <c r="K284" s="16">
        <f>IF(C284=0,0,IF(P284="Complete",SUM('Operating costs'!$B$24,'Operating costs'!$B$27,'Operating costs'!$B$29,'Operating costs'!$B$31,'Operating costs'!$B$33,'Operating costs'!$B$34,'Operating costs'!$B$37,'Replacement plan'!$W$76)+'Operating costs'!$B$39*'Operating costs'!$B$42+ROUNDUP(S284*(R284-'Operating costs'!$B$39)*IF('Replacement plan'!$AG$76="",'Operating costs'!$B$7,'Replacement plan'!$AG$76)/('Operating costs'!$B$8-'Operating costs'!$B$9*IF('Replacement plan'!$AG$76="",'Operating costs'!$B$7,'Replacement plan'!$AG$76)),0)*('Operating costs'!$B$9/'Operating costs'!$B$11+'Operating costs'!$B$10/60)*'Operating costs'!$B$19*'Operating costs'!$B$21,"n.a."))</f>
        <v>0</v>
      </c>
      <c r="L284" s="16">
        <f>IF(C284=0,0,IF(P284="Complete",IF(D284="EV",X284*((1-T284)*'Energy and charging'!$B$10+T284*'Energy and charging'!$B$11)*'Operating costs'!$B$22,AA284*('Energy and charging'!$B$9*'Energy and charging'!$B$7+(1-'Energy and charging'!$B$9)*'Energy and charging'!$B$8)*'Operating costs'!$B$23),"n.a."))</f>
        <v>0</v>
      </c>
      <c r="M284" s="37">
        <f>IF(C284=0,0,IF(P284="Complete",IF(D284="ICE",SUM('Operating costs'!$B$25,'Operating costs'!$B$27,'Operating costs'!$B$29,'Operating costs'!$B$31,'Operating costs'!$B$33,'Operating costs'!$B$35,'Operating costs'!$B$37,'Replacement plan'!$X$76)+'Operating costs'!$B$40*'Operating costs'!$B$42+ROUNDUP(S284*(R284-'Operating costs'!$B$40)*IF('Replacement plan'!$AH$76="",'Operating costs'!$B$7,'Replacement plan'!$AH$76)/('Operating costs'!$B$8-'Operating costs'!$B$9*IF('Replacement plan'!$AH$76="",'Operating costs'!$B$7,'Replacement plan'!$AH$76)),0)*('Operating costs'!$B$9/'Operating costs'!$B$11+'Operating costs'!$B$10/60)*'Operating costs'!$B$19*'Operating costs'!$B$21,SUM(AP284,'Operating costs'!$B$28,'Operating costs'!$B$30,'Operating costs'!$B$32,'Operating costs'!$B$33,'Operating costs'!$B$36,'Operating costs'!$B$38,'Replacement plan'!$Y$76)+'Operating costs'!$B$41*'Operating costs'!$B$43+W284*'Operating costs'!$B$15+(T284*X284/'Replacement plan'!$L$76+W284*('Operating costs'!$B$12/'Operating costs'!$B$11+('Operating costs'!$B$13+'Operating costs'!$B$14)/60)+(R284-'Operating costs'!$B$41)*(IF(T284&lt;1,'Operating costs'!$B$16,0)+'Operating costs'!$B$17)/60)*'Operating costs'!$B$19*'Operating costs'!$B$20),"n.a."))</f>
        <v>0</v>
      </c>
      <c r="N284" s="16">
        <f>IF(AND(C284=1,D284="EV",E284&lt;120,E284+'Replacement plan'!$AA$76&lt;=120),'Replacement plan'!$Z$76,0)</f>
        <v>0</v>
      </c>
      <c r="O284" s="1">
        <f>E284+'Replacement plan'!$AA$76</f>
        <v>0</v>
      </c>
      <c r="P284" s="35" t="str">
        <f>IFERROR(IF(C284=0,"Excluded",IF(OR(COUNTIFS('Fleet register'!$A$7:$A$106,A284)&lt;&gt;1,COUNTIFS('Replacement plan'!$A$7:$A$106,A284)&lt;&gt;1),"Duplicate/missing ID",IF(NOT(AND(ISNUMBER(VLOOKUP($A284,'Fleet register'!$A$7:$S$106,5,FALSE)),ISNUMBER(VLOOKUP($A284,'Fleet register'!$A$7:$S$106,6,FALSE)),ISNUMBER(VLOOKUP($A284,'Fleet register'!$A$7:$S$106,10,FALSE)),ISNUMBER(VLOOKUP($A284,'Fleet register'!$A$7:$S$106,11,FALSE)),ISNUMBER(VLOOKUP($A284,'Fleet register'!$A$7:$S$106,12,FALSE)),ISNUMBER(VLOOKUP($A284,'Fleet register'!$A$7:$S$106,13,FALSE)),ISNUMBER(VLOOKUP($A284,'Fleet register'!$A$7:$S$106,14,FALSE)),VLOOKUP($A284,'Fleet register'!$A$7:$S$106,14,FALSE)&gt;0,ISNUMBER('Replacement plan'!$C$76),OR(E284=120,OR(ISNUMBER('Replacement plan'!$AI$76),AND('Replacement plan'!$AI$76="",ISNUMBER('Operating costs'!$B$56)))),ISNUMBER(E284))),"Missing vehicle input",IF(OR(E284&lt;0,E284&gt;VLOOKUP($A284,'Fleet register'!$A$7:$S$106,10,FALSE),E284&gt;120,E284&lt;&gt;INT(E284),VLOOKUP($A284,'Fleet register'!$A$7:$S$106,6,FALSE)&lt;=0,VLOOKUP($A284,'Fleet register'!$A$7:$S$106,6,FALSE)&gt;366,VLOOKUP($A284,'Fleet register'!$A$7:$S$106,5,FALSE)&lt;0,VLOOKUP($A284,'Fleet register'!$A$7:$S$106,11,FALSE)&lt;0,I284&lt;0,'Operating costs'!$B$8&lt;='Operating costs'!$B$7*'Operating costs'!$B$9,'Operating costs'!$B$11&lt;=0,'Operating costs'!$B$39&gt;R284,'Operating costs'!$B$40&gt;R284,'Operating costs'!$B$41&gt;R284,NOT(OR("New ICE"="Keep ICE","New ICE"="New ICE","New ICE"="EV"))),"Invalid vehicle input",IF(AND(D284="EV",E284&lt;120,OR(NOT(ISNUMBER(U284)),NOT(ISNUMBER(V284)),V284&lt;=0,T284&lt;0,T284&gt;1,'Replacement plan'!$L$76&lt;=0,'Operating costs'!$B$44&lt;0,'Operating costs'!$B$44&gt;=1,'Operating costs'!$B$47&lt;=0,'Operating costs'!$B$47&gt;1,V284*'Operating costs'!$B$47/(1-'Operating costs'!$B$44)&lt;=T284*'Operating costs'!$B$12*U284,AND('Replacement plan'!$Z$76&gt;0,OR('Replacement plan'!$AB$76&lt;&gt;"Yes",'Operating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charging'!$B$8&gt;=0))),ISNUMBER(VLOOKUP($A284,'Fleet register'!$A$7:$S$106,15,FALSE)),ISNUMBER(VLOOKUP($A284,'Fleet register'!$A$7:$S$106,16,FALSE)),ISNUMBER('Replacement plan'!$W$76),ISNUMBER('Replacement plan'!$X$76),OR(E284=120,AND(ISNUMBER(G284),G284&gt;=0)),ISNUMBER(H284),H284&gt;=0,OR(D284&lt;&gt;"EV",E284=120,AND(ISNUMBER('Operating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average",ISNUMBER(IFERROR(INDEX(Products!$P$7:$P$13,MATCH(AD284,Products!$A$7:$A$13,0)),"")))),ISNUMBER('Operating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plan'!$Y$76),ISNUMBER('Replacement plan'!$Z$76),'Replacement plan'!$Z$76&gt;=0,ISNUMBER('Replacement plan'!$AA$76),'Replacement plan'!$AA$76&gt;=0,'Replacement plan'!$AA$76=INT('Replacement plan'!$AA$76),ISNUMBER('Replacement plan'!$L$76))),'Operating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plan'!$AG$76="",'Operating costs'!$B$7,'Replacement plan'!$AG$76)),IF('Replacement plan'!$AG$76="",'Operating costs'!$B$7,'Replacement plan'!$AG$76)&gt;=0,ISNUMBER(IF('Replacement plan'!$AH$76="",'Operating costs'!$B$7,'Replacement plan'!$AH$76)),IF('Replacement plan'!$AH$76="",'Operating costs'!$B$7,'Replacement plan'!$AH$76)&gt;=0,'Operating costs'!$B$8&gt;MAX(IF('Replacement plan'!$AG$76="",'Operating costs'!$B$7,'Replacement plan'!$AG$76),IF('Replacement plan'!$AH$76="",'Operating costs'!$B$7,'Replacement plan'!$AH$76))*'Operating costs'!$B$9),IF(AND(VLOOKUP($A284,'Fleet register'!$A$7:$S$106,10,FALSE)&gt;=0,VLOOKUP($A284,'Fleet register'!$A$7:$S$106,10,FALSE)&lt;=120,VLOOKUP($A284,'Fleet register'!$A$7:$S$106,10,FALSE)=INT(VLOOKUP($A284,'Fleet register'!$A$7:$S$106,10,FALSE)),VLOOKUP($A284,'Fleet register'!$A$7:$S$106,15,FALSE)&gt;=0,VLOOKUP($A284,'Fleet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costs'!$B$67)&gt;=0,OR(D284&lt;&gt;"EV",E284=120,AND(MIN('Operating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84" s="1" t="str">
        <f>IF(C284=0,"Excluded",IF(P284&lt;&gt;"Complete",P284,IF(OR('Replacement plan'!$AD$76&lt;120-E284,AND(D284="EV",E284&lt;120,OR('Replacement plan'!$AC$76&lt;120-E284,'Replacement plan'!$I$76="No",AND(ISNUMBER(AF284),AE284&gt;AF284),AI284&gt;V284*(1-'Operating costs'!$B$46)^MAX(0,AB284-1)*(1-'Operating costs'!$B$45),AC284&gt;'Operating costs'!$B$18,AND(T284&lt;1,OR(AG284&lt;=0,AND(ISNUMBER(AH284),AG284&gt;AH284))),'Replacement plan'!$L$76&gt;INDEX(Products!$H$7:$H$13,MATCH('Replacement plan'!$B$76,Products!$A$7:$A$13,0))))),"Fails entered limits",IF(AND(D284="EV",E284&lt;120,OR(NOT(ISNUMBER(VLOOKUP($A284,'Fleet register'!$A$7:$S$106,7,FALSE))),NOT(ISNUMBER(VLOOKUP($A284,'Fleet register'!$A$7:$S$106,8,FALSE))),NOT(ISNUMBER(AF284)),'Replacement plan'!$I$76&lt;&gt;"Yes",NOT(ISNUMBER(AH284)),'Operating costs'!$B$59&lt;&gt;"Yes",'Operating costs'!$B$58&lt;&gt;"Yes")),"Unverified","Within entered limits"))))</f>
        <v>Excluded</v>
      </c>
      <c r="R284" s="1">
        <f>IF(C284=0,0,VLOOKUP($A284,'Fleet register'!$A$7:$S$106,6,FALSE))</f>
        <v>0</v>
      </c>
      <c r="S284" s="1">
        <f>IF(C284=0,0,VLOOKUP($A284,'Fleet register'!$A$7:$S$106,5,FALSE))</f>
        <v>0</v>
      </c>
      <c r="T284" s="1">
        <f>IF(D284="EV",'Energy and charging'!$B$12,0)</f>
        <v>0</v>
      </c>
      <c r="U284" s="1">
        <f>IFERROR(IF(C284=0,0,IF(D284="EV",IF('Replacement plan'!$F$76="",INDEX(Products!$E$7:$E$13,MATCH('Replacement plan'!$B$76,Products!$A$7:$A$13,0)),'Replacement plan'!$F$76)/IF('Replacement plan'!$G$76="Battery",1-'Operating costs'!$B$44,1),0)),"n.a.")</f>
        <v>0</v>
      </c>
      <c r="V284" s="1">
        <f>IFERROR(IF(C284=0,0,IF(D284="EV",IF('Replacement plan'!$E$76="",INDEX(Products!$D$7:$D$13,MATCH('Replacement plan'!$B$76,Products!$A$7:$A$13,0)),'Replacement plan'!$E$76),0)),"n.a.")</f>
        <v>0</v>
      </c>
      <c r="W284" s="1">
        <f>IF(C284=0,0,IF(AND(P284="Complete",D284="EV",E284&lt;120),IF(T284=0,0,ROUNDUP(T284*(R284-'Operating costs'!$B$41)*(S284*U284+'Operating costs'!$B$48/(1-'Operating costs'!$B$44))/(V284*'Operating costs'!$B$47/(1-'Operating costs'!$B$44)-T284*'Operating costs'!$B$12*U284),0)),0))</f>
        <v>0</v>
      </c>
      <c r="X284" s="1">
        <f>IF(C284=0,0,IF(AND(P284="Complete",D284="EV",E284&lt;120),(R284-'Operating costs'!$B$41)*(S284*U284+'Operating costs'!$B$48/(1-'Operating costs'!$B$44))+W284*'Operating costs'!$B$12*U284,0))</f>
        <v>0</v>
      </c>
      <c r="Y284" s="1">
        <f>IF(AND(C284=1,D284="EV",E284&lt;120),AI284/(1-'Operating costs'!$B$44)*(1-T284),0)</f>
        <v>0</v>
      </c>
      <c r="Z284" s="1">
        <f t="shared" si="8"/>
        <v>0</v>
      </c>
      <c r="AA284" s="1">
        <f>IF(C284=0,0,IF(P284="Complete",((S284*(R284-'Operating costs'!$B$40))+ROUNDUP(S284*(R284-'Operating costs'!$B$40)*IF('Replacement plan'!$AH$76="",'Operating costs'!$B$7,'Replacement plan'!$AH$76)/('Operating costs'!$B$8-'Operating costs'!$B$9*IF('Replacement plan'!$AH$76="",'Operating costs'!$B$7,'Replacement plan'!$AH$76)),0)*'Operating costs'!$B$9)*IF('Replacement plan'!$AH$76="",'Operating costs'!$B$7,'Replacement plan'!$AH$76),"n.a."))</f>
        <v>0</v>
      </c>
      <c r="AB284" s="1">
        <f t="shared" si="9"/>
        <v>0</v>
      </c>
      <c r="AC284" s="1">
        <f>IF(AND(C284=1,D284="EV",E284&lt;120,T284&gt;0),'Operating costs'!$B$12/'Operating costs'!$B$11*60+'Operating costs'!$B$13+'Operating costs'!$B$14+V284*'Operating costs'!$B$47/(1-'Operating costs'!$B$44)/'Replacement plan'!$L$76*60,0)</f>
        <v>0</v>
      </c>
      <c r="AD284" s="1" t="str">
        <f>'Replacement plan'!$B$76</f>
        <v>ChengLong L2EV</v>
      </c>
      <c r="AE284" s="1">
        <f>IF(C284=0,0,VLOOKUP($A284,'Fleet register'!$A$7:$S$106,8,FALSE))</f>
        <v>0</v>
      </c>
      <c r="AF284" s="1" t="str">
        <f>IF('Replacement plan'!$H$76="","n.a.",'Replacement plan'!$H$76)</f>
        <v>n.a.</v>
      </c>
      <c r="AG284" s="1">
        <f>'Replacement plan'!$J$76</f>
        <v>22</v>
      </c>
      <c r="AH284" s="1">
        <f>IFERROR(IF(D284="EV",IF('Replacement plan'!$K$76="AC",IF(ISNUMBER(INDEX(Products!$G$7:$G$13,MATCH('Replacement plan'!$B$76,Products!$A$7:$A$13,0))),INDEX(Products!$G$7:$G$13,MATCH('Replacement plan'!$B$76,Products!$A$7:$A$13,0)),"n.a."),IF(ISNUMBER(INDEX(Products!$H$7:$H$13,MATCH('Replacement plan'!$B$76,Products!$A$7:$A$13,0))),INDEX(Products!$H$7:$H$13,MATCH('Replacement plan'!$B$76,Products!$A$7:$A$13,0)),"n.a.")),0),"n.a.")</f>
        <v>0</v>
      </c>
      <c r="AI284" s="1">
        <f>IF(AND(C284=1,D284="EV",E284&lt;120),(VLOOKUP($A284,'Fleet register'!$A$7:$S$106,7,FALSE)+IF(T284&gt;0,'Operating costs'!$B$12,0))*U284*(1-'Operating costs'!$B$44)+'Operating costs'!$B$49,0)</f>
        <v>0</v>
      </c>
      <c r="AJ284" s="1">
        <f>IF(D284="EV",'Energy and charging'!$B$50,0)</f>
        <v>0</v>
      </c>
      <c r="AK284" s="17">
        <f>EDATE('Operating costs'!$B$63,E284)</f>
        <v>46298</v>
      </c>
      <c r="AL284" s="1">
        <f>IFERROR(IF(D284="EV",INDEX(Products!$B$7:$B$13,MATCH('Replacement plan'!$B$76,Products!$A$7:$A$13,0)),0),"n.a.")</f>
        <v>0</v>
      </c>
      <c r="AM284" s="1" t="str">
        <f>'Replacement plan'!$K$76</f>
        <v>DC</v>
      </c>
      <c r="AN284" s="1" t="str">
        <f>'Replacement plan'!$AE$76</f>
        <v>Assumed</v>
      </c>
      <c r="AO284" s="47">
        <f>IF(AND(C284=1,D284="EV",E284&lt;120),(R284-'Operating costs'!$B$41)*S284+W284*'Operating costs'!$B$12,0)</f>
        <v>0</v>
      </c>
      <c r="AP284" s="41">
        <f>IF(AND(C284=1,D284="EV",E284&lt;120),IF('Operating costs'!$B$68="Hong Seh 200k average",AO284*IFERROR(INDEX(Products!$P$7:$P$13,MATCH(AD284,Products!$A$7:$A$13,0)),"n.a."),'Operating costs'!$B$26),0)</f>
        <v>0</v>
      </c>
      <c r="AQ284" s="40" t="str">
        <f>IF(D284="EV",'Operating costs'!$B$68,"Not applicable")</f>
        <v>Not applicable</v>
      </c>
    </row>
    <row r="285" spans="1:43" ht="24" customHeight="1">
      <c r="A285" s="1" t="str">
        <f>'Replacement plan'!A76</f>
        <v>T070</v>
      </c>
      <c r="B285" s="1">
        <v>2</v>
      </c>
      <c r="C285" s="1">
        <f>IF(COUNTIFS('Fleet register'!$A$7:$A$106,$A285)=1,VLOOKUP($A285,'Fleet register'!$A$7:$S$106,2,FALSE),0)</f>
        <v>0</v>
      </c>
      <c r="D285" s="1" t="str">
        <f>IF('Replacement plan'!$O$76="EV","EV","ICE")</f>
        <v>ICE</v>
      </c>
      <c r="E285" s="1">
        <f>IF(C285=0,0,IF('Replacement plan'!$P$76="",IF('Replacement plan'!$O$76="Keep ICE",IF('Replacement plan'!$M$76="",VLOOKUP($A285,'Fleet register'!$A$7:$S$106,10,FALSE),'Replacement plan'!$M$76),0),'Replacement plan'!$P$76))</f>
        <v>0</v>
      </c>
      <c r="F285" s="16">
        <f>IF(C285=0,0,VLOOKUP($A285,'Fleet register'!$A$7:$S$106,11,FALSE))</f>
        <v>0</v>
      </c>
      <c r="G285" s="16">
        <f>IFERROR(IF(C285=0,0,IF(E285=120,0,IF(D285="ICE",'Replacement plan'!$C$76,IF('Replacement plan'!$D$76="",INDEX(Products!$I$7:$I$13,MATCH('Replacement plan'!$B$76,Products!$A$7:$A$13,0))+'Operating costs'!$B$57,'Replacement plan'!$D$76))*(1+'Operating costs'!$B$50)^(E285/12))),"n.a.")</f>
        <v>0</v>
      </c>
      <c r="H285" s="16">
        <f>IFERROR(IF(C285=0,0,IF('Replacement plan'!$U$76&lt;&gt;"",'Replacement plan'!$U$76,IF(E285=0,F285,VLOOKUP($A285,'Fleet register'!$A$7:$S$106,12,FALSE)+VLOOKUP($A285,'Fleet register'!$A$7:$S$106,13,FALSE)*MAX(0,VLOOKUP($A285,'Fleet register'!$A$7:$S$106,10,FALSE)-E285)/VLOOKUP($A285,'Fleet register'!$A$7:$S$106,14,FALSE)))),"n.a.")</f>
        <v>0</v>
      </c>
      <c r="I285" s="16">
        <f>IF(C285=0,0,IF(E285=120,0,'Replacement plan'!$Q$76))</f>
        <v>0</v>
      </c>
      <c r="J285" s="16">
        <f>IF(C285=0,0,IF(P285="Complete",((S285*(R285-'Operating costs'!$B$39))+ROUNDUP(S285*(R285-'Operating costs'!$B$39)*IF('Replacement plan'!$AG$76="",'Operating costs'!$B$7,'Replacement plan'!$AG$76)/('Operating costs'!$B$8-'Operating costs'!$B$9*IF('Replacement plan'!$AG$76="",'Operating costs'!$B$7,'Replacement plan'!$AG$76)),0)*'Operating costs'!$B$9)*IF('Replacement plan'!$AG$76="",'Operating costs'!$B$7,'Replacement plan'!$AG$76)*('Energy and charging'!$B$9*'Energy and charging'!$B$7+(1-'Energy and charging'!$B$9)*'Energy and charging'!$B$8)*'Operating costs'!$B$23,"n.a."))</f>
        <v>0</v>
      </c>
      <c r="K285" s="16">
        <f>IF(C285=0,0,IF(P285="Complete",SUM('Operating costs'!$B$24,'Operating costs'!$B$27,'Operating costs'!$B$29,'Operating costs'!$B$31,'Operating costs'!$B$33,'Operating costs'!$B$34,'Operating costs'!$B$37,'Replacement plan'!$W$76)+'Operating costs'!$B$39*'Operating costs'!$B$42+ROUNDUP(S285*(R285-'Operating costs'!$B$39)*IF('Replacement plan'!$AG$76="",'Operating costs'!$B$7,'Replacement plan'!$AG$76)/('Operating costs'!$B$8-'Operating costs'!$B$9*IF('Replacement plan'!$AG$76="",'Operating costs'!$B$7,'Replacement plan'!$AG$76)),0)*('Operating costs'!$B$9/'Operating costs'!$B$11+'Operating costs'!$B$10/60)*'Operating costs'!$B$19*'Operating costs'!$B$21,"n.a."))</f>
        <v>0</v>
      </c>
      <c r="L285" s="16">
        <f>IF(C285=0,0,IF(P285="Complete",IF(D285="EV",X285*((1-T285)*'Energy and charging'!$B$10+T285*'Energy and charging'!$B$11)*'Operating costs'!$B$22,AA285*('Energy and charging'!$B$9*'Energy and charging'!$B$7+(1-'Energy and charging'!$B$9)*'Energy and charging'!$B$8)*'Operating costs'!$B$23),"n.a."))</f>
        <v>0</v>
      </c>
      <c r="M285" s="37">
        <f>IF(C285=0,0,IF(P285="Complete",IF(D285="ICE",SUM('Operating costs'!$B$25,'Operating costs'!$B$27,'Operating costs'!$B$29,'Operating costs'!$B$31,'Operating costs'!$B$33,'Operating costs'!$B$35,'Operating costs'!$B$37,'Replacement plan'!$X$76)+'Operating costs'!$B$40*'Operating costs'!$B$42+ROUNDUP(S285*(R285-'Operating costs'!$B$40)*IF('Replacement plan'!$AH$76="",'Operating costs'!$B$7,'Replacement plan'!$AH$76)/('Operating costs'!$B$8-'Operating costs'!$B$9*IF('Replacement plan'!$AH$76="",'Operating costs'!$B$7,'Replacement plan'!$AH$76)),0)*('Operating costs'!$B$9/'Operating costs'!$B$11+'Operating costs'!$B$10/60)*'Operating costs'!$B$19*'Operating costs'!$B$21,SUM(AP285,'Operating costs'!$B$28,'Operating costs'!$B$30,'Operating costs'!$B$32,'Operating costs'!$B$33,'Operating costs'!$B$36,'Operating costs'!$B$38,'Replacement plan'!$Y$76)+'Operating costs'!$B$41*'Operating costs'!$B$43+W285*'Operating costs'!$B$15+(T285*X285/'Replacement plan'!$L$76+W285*('Operating costs'!$B$12/'Operating costs'!$B$11+('Operating costs'!$B$13+'Operating costs'!$B$14)/60)+(R285-'Operating costs'!$B$41)*(IF(T285&lt;1,'Operating costs'!$B$16,0)+'Operating costs'!$B$17)/60)*'Operating costs'!$B$19*'Operating costs'!$B$20),"n.a."))</f>
        <v>0</v>
      </c>
      <c r="N285" s="16">
        <f>IF(AND(C285=1,D285="EV",E285&lt;120,E285+'Replacement plan'!$AA$76&lt;=120),'Replacement plan'!$Z$76,0)</f>
        <v>0</v>
      </c>
      <c r="O285" s="1">
        <f>E285+'Replacement plan'!$AA$76</f>
        <v>0</v>
      </c>
      <c r="P285" s="35" t="str">
        <f>IFERROR(IF(C285=0,"Excluded",IF(OR(COUNTIFS('Fleet register'!$A$7:$A$106,A285)&lt;&gt;1,COUNTIFS('Replacement plan'!$A$7:$A$106,A285)&lt;&gt;1),"Duplicate/missing ID",IF(NOT(AND(ISNUMBER(VLOOKUP($A285,'Fleet register'!$A$7:$S$106,5,FALSE)),ISNUMBER(VLOOKUP($A285,'Fleet register'!$A$7:$S$106,6,FALSE)),ISNUMBER(VLOOKUP($A285,'Fleet register'!$A$7:$S$106,10,FALSE)),ISNUMBER(VLOOKUP($A285,'Fleet register'!$A$7:$S$106,11,FALSE)),ISNUMBER(VLOOKUP($A285,'Fleet register'!$A$7:$S$106,12,FALSE)),ISNUMBER(VLOOKUP($A285,'Fleet register'!$A$7:$S$106,13,FALSE)),ISNUMBER(VLOOKUP($A285,'Fleet register'!$A$7:$S$106,14,FALSE)),VLOOKUP($A285,'Fleet register'!$A$7:$S$106,14,FALSE)&gt;0,ISNUMBER('Replacement plan'!$C$76),OR(E285=120,ISNUMBER('Replacement plan'!$Q$76)),ISNUMBER(E285))),"Missing vehicle input",IF(OR(E285&lt;0,E285&gt;VLOOKUP($A285,'Fleet register'!$A$7:$S$106,10,FALSE),E285&gt;120,E285&lt;&gt;INT(E285),VLOOKUP($A285,'Fleet register'!$A$7:$S$106,6,FALSE)&lt;=0,VLOOKUP($A285,'Fleet register'!$A$7:$S$106,6,FALSE)&gt;366,VLOOKUP($A285,'Fleet register'!$A$7:$S$106,5,FALSE)&lt;0,VLOOKUP($A285,'Fleet register'!$A$7:$S$106,11,FALSE)&lt;0,I285&lt;0,'Operating costs'!$B$8&lt;='Operating costs'!$B$7*'Operating costs'!$B$9,'Operating costs'!$B$11&lt;=0,'Operating costs'!$B$39&gt;R285,'Operating costs'!$B$40&gt;R285,'Operating costs'!$B$41&gt;R285,NOT(OR('Replacement plan'!$O$76="Keep ICE",'Replacement plan'!$O$76="New ICE",'Replacement plan'!$O$76="EV"))),"Invalid vehicle input",IF(AND(D285="EV",E285&lt;120,OR(NOT(ISNUMBER(U285)),NOT(ISNUMBER(V285)),V285&lt;=0,T285&lt;0,T285&gt;1,'Replacement plan'!$L$76&lt;=0,'Operating costs'!$B$44&lt;0,'Operating costs'!$B$44&gt;=1,'Operating costs'!$B$47&lt;=0,'Operating costs'!$B$47&gt;1,V285*'Operating costs'!$B$47/(1-'Operating costs'!$B$44)&lt;=T285*'Operating costs'!$B$12*U285,AND('Replacement plan'!$Z$76&gt;0,OR('Replacement plan'!$AB$76&lt;&gt;"Yes",'Operating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charging'!$B$8&gt;=0))),ISNUMBER(VLOOKUP($A285,'Fleet register'!$A$7:$S$106,15,FALSE)),ISNUMBER(VLOOKUP($A285,'Fleet register'!$A$7:$S$106,16,FALSE)),ISNUMBER('Replacement plan'!$W$76),ISNUMBER('Replacement plan'!$X$76),OR(E285=120,AND(ISNUMBER(G285),G285&gt;=0)),ISNUMBER(H285),H285&gt;=0,OR(D285&lt;&gt;"EV",E285=120,AND(ISNUMBER('Operating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average",ISNUMBER(IFERROR(INDEX(Products!$P$7:$P$13,MATCH(AD285,Products!$A$7:$A$13,0)),"")))),ISNUMBER('Operating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plan'!$Y$76),ISNUMBER('Replacement plan'!$Z$76),'Replacement plan'!$Z$76&gt;=0,ISNUMBER('Replacement plan'!$AA$76),'Replacement plan'!$AA$76&gt;=0,'Replacement plan'!$AA$76=INT('Replacement plan'!$AA$76),ISNUMBER('Replacement plan'!$L$76))),'Operating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plan'!$AG$76="",'Operating costs'!$B$7,'Replacement plan'!$AG$76)),IF('Replacement plan'!$AG$76="",'Operating costs'!$B$7,'Replacement plan'!$AG$76)&gt;=0,ISNUMBER(IF('Replacement plan'!$AH$76="",'Operating costs'!$B$7,'Replacement plan'!$AH$76)),IF('Replacement plan'!$AH$76="",'Operating costs'!$B$7,'Replacement plan'!$AH$76)&gt;=0,'Operating costs'!$B$8&gt;MAX(IF('Replacement plan'!$AG$76="",'Operating costs'!$B$7,'Replacement plan'!$AG$76),IF('Replacement plan'!$AH$76="",'Operating costs'!$B$7,'Replacement plan'!$AH$76))*'Operating costs'!$B$9),IF(AND(VLOOKUP($A285,'Fleet register'!$A$7:$S$106,10,FALSE)&gt;=0,VLOOKUP($A285,'Fleet register'!$A$7:$S$106,10,FALSE)&lt;=120,VLOOKUP($A285,'Fleet register'!$A$7:$S$106,10,FALSE)=INT(VLOOKUP($A285,'Fleet register'!$A$7:$S$106,10,FALSE)),VLOOKUP($A285,'Fleet register'!$A$7:$S$106,15,FALSE)&gt;=0,VLOOKUP($A285,'Fleet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costs'!$B$67)&gt;=0,OR(D285&lt;&gt;"EV",E285=120,AND(MIN('Operating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85" s="1" t="str">
        <f>IF(C285=0,"Excluded",IF(P285&lt;&gt;"Complete",P285,IF(OR('Replacement plan'!$AD$76&lt;120-E285,AND(D285="EV",E285&lt;120,OR('Replacement plan'!$AC$76&lt;120-E285,'Replacement plan'!$I$76="No",AND(ISNUMBER(AF285),AE285&gt;AF285),AI285&gt;V285*(1-'Operating costs'!$B$46)^MAX(0,AB285-1)*(1-'Operating costs'!$B$45),AC285&gt;'Operating costs'!$B$18,AND(T285&lt;1,OR(AG285&lt;=0,AND(ISNUMBER(AH285),AG285&gt;AH285))),'Replacement plan'!$L$76&gt;INDEX(Products!$H$7:$H$13,MATCH('Replacement plan'!$B$76,Products!$A$7:$A$13,0))))),"Fails entered limits",IF(AND(D285="EV",E285&lt;120,OR(NOT(ISNUMBER(VLOOKUP($A285,'Fleet register'!$A$7:$S$106,7,FALSE))),NOT(ISNUMBER(VLOOKUP($A285,'Fleet register'!$A$7:$S$106,8,FALSE))),NOT(ISNUMBER(AF285)),'Replacement plan'!$I$76&lt;&gt;"Yes",NOT(ISNUMBER(AH285)),'Operating costs'!$B$59&lt;&gt;"Yes",'Operating costs'!$B$58&lt;&gt;"Yes")),"Unverified","Within entered limits"))))</f>
        <v>Excluded</v>
      </c>
      <c r="R285" s="1">
        <f>IF(C285=0,0,VLOOKUP($A285,'Fleet register'!$A$7:$S$106,6,FALSE))</f>
        <v>0</v>
      </c>
      <c r="S285" s="1">
        <f>IF(C285=0,0,VLOOKUP($A285,'Fleet register'!$A$7:$S$106,5,FALSE))</f>
        <v>0</v>
      </c>
      <c r="T285" s="1">
        <f>IF(D285="EV",'Energy and charging'!$B$12,0)</f>
        <v>0</v>
      </c>
      <c r="U285" s="1">
        <f>IFERROR(IF(C285=0,0,IF(D285="EV",IF('Replacement plan'!$F$76="",INDEX(Products!$E$7:$E$13,MATCH('Replacement plan'!$B$76,Products!$A$7:$A$13,0)),'Replacement plan'!$F$76)/IF('Replacement plan'!$G$76="Battery",1-'Operating costs'!$B$44,1),0)),"n.a.")</f>
        <v>0</v>
      </c>
      <c r="V285" s="1">
        <f>IFERROR(IF(C285=0,0,IF(D285="EV",IF('Replacement plan'!$E$76="",INDEX(Products!$D$7:$D$13,MATCH('Replacement plan'!$B$76,Products!$A$7:$A$13,0)),'Replacement plan'!$E$76),0)),"n.a.")</f>
        <v>0</v>
      </c>
      <c r="W285" s="1">
        <f>IF(C285=0,0,IF(AND(P285="Complete",D285="EV",E285&lt;120),IF(T285=0,0,ROUNDUP(T285*(R285-'Operating costs'!$B$41)*(S285*U285+'Operating costs'!$B$48/(1-'Operating costs'!$B$44))/(V285*'Operating costs'!$B$47/(1-'Operating costs'!$B$44)-T285*'Operating costs'!$B$12*U285),0)),0))</f>
        <v>0</v>
      </c>
      <c r="X285" s="1">
        <f>IF(C285=0,0,IF(AND(P285="Complete",D285="EV",E285&lt;120),(R285-'Operating costs'!$B$41)*(S285*U285+'Operating costs'!$B$48/(1-'Operating costs'!$B$44))+W285*'Operating costs'!$B$12*U285,0))</f>
        <v>0</v>
      </c>
      <c r="Y285" s="1">
        <f>IF(AND(C285=1,D285="EV",E285&lt;120),AI285/(1-'Operating costs'!$B$44)*(1-T285),0)</f>
        <v>0</v>
      </c>
      <c r="Z285" s="1">
        <f t="shared" si="8"/>
        <v>0</v>
      </c>
      <c r="AA285" s="1">
        <f>IF(C285=0,0,IF(P285="Complete",((S285*(R285-'Operating costs'!$B$40))+ROUNDUP(S285*(R285-'Operating costs'!$B$40)*IF('Replacement plan'!$AH$76="",'Operating costs'!$B$7,'Replacement plan'!$AH$76)/('Operating costs'!$B$8-'Operating costs'!$B$9*IF('Replacement plan'!$AH$76="",'Operating costs'!$B$7,'Replacement plan'!$AH$76)),0)*'Operating costs'!$B$9)*IF('Replacement plan'!$AH$76="",'Operating costs'!$B$7,'Replacement plan'!$AH$76),"n.a."))</f>
        <v>0</v>
      </c>
      <c r="AB285" s="1">
        <f t="shared" si="9"/>
        <v>0</v>
      </c>
      <c r="AC285" s="1">
        <f>IF(AND(C285=1,D285="EV",E285&lt;120,T285&gt;0),'Operating costs'!$B$12/'Operating costs'!$B$11*60+'Operating costs'!$B$13+'Operating costs'!$B$14+V285*'Operating costs'!$B$47/(1-'Operating costs'!$B$44)/'Replacement plan'!$L$76*60,0)</f>
        <v>0</v>
      </c>
      <c r="AD285" s="1" t="str">
        <f>'Replacement plan'!$B$76</f>
        <v>ChengLong L2EV</v>
      </c>
      <c r="AE285" s="1">
        <f>IF(C285=0,0,VLOOKUP($A285,'Fleet register'!$A$7:$S$106,8,FALSE))</f>
        <v>0</v>
      </c>
      <c r="AF285" s="1" t="str">
        <f>IF('Replacement plan'!$H$76="","n.a.",'Replacement plan'!$H$76)</f>
        <v>n.a.</v>
      </c>
      <c r="AG285" s="1">
        <f>'Replacement plan'!$J$76</f>
        <v>22</v>
      </c>
      <c r="AH285" s="1">
        <f>IFERROR(IF(D285="EV",IF('Replacement plan'!$K$76="AC",IF(ISNUMBER(INDEX(Products!$G$7:$G$13,MATCH('Replacement plan'!$B$76,Products!$A$7:$A$13,0))),INDEX(Products!$G$7:$G$13,MATCH('Replacement plan'!$B$76,Products!$A$7:$A$13,0)),"n.a."),IF(ISNUMBER(INDEX(Products!$H$7:$H$13,MATCH('Replacement plan'!$B$76,Products!$A$7:$A$13,0))),INDEX(Products!$H$7:$H$13,MATCH('Replacement plan'!$B$76,Products!$A$7:$A$13,0)),"n.a.")),0),"n.a.")</f>
        <v>0</v>
      </c>
      <c r="AI285" s="1">
        <f>IF(AND(C285=1,D285="EV",E285&lt;120),(VLOOKUP($A285,'Fleet register'!$A$7:$S$106,7,FALSE)+IF(T285&gt;0,'Operating costs'!$B$12,0))*U285*(1-'Operating costs'!$B$44)+'Operating costs'!$B$49,0)</f>
        <v>0</v>
      </c>
      <c r="AJ285" s="1">
        <f>IF(D285="EV",'Energy and charging'!$B$50,0)</f>
        <v>0</v>
      </c>
      <c r="AK285" s="17">
        <f>EDATE('Operating costs'!$B$63,E285)</f>
        <v>46298</v>
      </c>
      <c r="AL285" s="1">
        <f>IFERROR(IF(D285="EV",INDEX(Products!$B$7:$B$13,MATCH('Replacement plan'!$B$76,Products!$A$7:$A$13,0)),0),"n.a.")</f>
        <v>0</v>
      </c>
      <c r="AM285" s="1" t="str">
        <f>'Replacement plan'!$K$76</f>
        <v>DC</v>
      </c>
      <c r="AN285" s="1" t="str">
        <f>'Replacement plan'!$AE$76</f>
        <v>Assumed</v>
      </c>
      <c r="AO285" s="47">
        <f>IF(AND(C285=1,D285="EV",E285&lt;120),(R285-'Operating costs'!$B$41)*S285+W285*'Operating costs'!$B$12,0)</f>
        <v>0</v>
      </c>
      <c r="AP285" s="41">
        <f>IF(AND(C285=1,D285="EV",E285&lt;120),IF('Operating costs'!$B$68="Hong Seh 200k average",AO285*IFERROR(INDEX(Products!$P$7:$P$13,MATCH(AD285,Products!$A$7:$A$13,0)),"n.a."),'Operating costs'!$B$26),0)</f>
        <v>0</v>
      </c>
      <c r="AQ285" s="40" t="str">
        <f>IF(D285="EV",'Operating costs'!$B$68,"Not applicable")</f>
        <v>Not applicable</v>
      </c>
    </row>
    <row r="286" spans="1:43" ht="24" customHeight="1">
      <c r="A286" s="1" t="str">
        <f>'Replacement plan'!A76</f>
        <v>T070</v>
      </c>
      <c r="B286" s="1">
        <v>3</v>
      </c>
      <c r="C286" s="1">
        <f>IF(COUNTIFS('Fleet register'!$A$7:$A$106,$A286)=1,VLOOKUP($A286,'Fleet register'!$A$7:$S$106,2,FALSE),0)</f>
        <v>0</v>
      </c>
      <c r="D286" s="1" t="str">
        <f>IF('Replacement plan'!$R$76="EV","EV","ICE")</f>
        <v>ICE</v>
      </c>
      <c r="E286" s="1">
        <f>IF(C286=0,0,IF('Replacement plan'!$S$76="",IF('Replacement plan'!$R$76="Keep ICE",IF('Replacement plan'!$M$76="",VLOOKUP($A286,'Fleet register'!$A$7:$S$106,10,FALSE),'Replacement plan'!$M$76),0),'Replacement plan'!$S$76))</f>
        <v>0</v>
      </c>
      <c r="F286" s="16">
        <f>IF(C286=0,0,VLOOKUP($A286,'Fleet register'!$A$7:$S$106,11,FALSE))</f>
        <v>0</v>
      </c>
      <c r="G286" s="16">
        <f>IFERROR(IF(C286=0,0,IF(E286=120,0,IF(D286="ICE",'Replacement plan'!$C$76,IF('Replacement plan'!$D$76="",INDEX(Products!$I$7:$I$13,MATCH('Replacement plan'!$B$76,Products!$A$7:$A$13,0))+'Operating costs'!$B$57,'Replacement plan'!$D$76))*(1+'Operating costs'!$B$50)^(E286/12))),"n.a.")</f>
        <v>0</v>
      </c>
      <c r="H286" s="16">
        <f>IFERROR(IF(C286=0,0,IF('Replacement plan'!$V$76&lt;&gt;"",'Replacement plan'!$V$76,IF(E286=0,F286,VLOOKUP($A286,'Fleet register'!$A$7:$S$106,12,FALSE)+VLOOKUP($A286,'Fleet register'!$A$7:$S$106,13,FALSE)*MAX(0,VLOOKUP($A286,'Fleet register'!$A$7:$S$106,10,FALSE)-E286)/VLOOKUP($A286,'Fleet register'!$A$7:$S$106,14,FALSE)))),"n.a.")</f>
        <v>0</v>
      </c>
      <c r="I286" s="16">
        <f>IF(C286=0,0,IF(E286=120,0,'Replacement plan'!$T$76))</f>
        <v>0</v>
      </c>
      <c r="J286" s="16">
        <f>IF(C286=0,0,IF(P286="Complete",((S286*(R286-'Operating costs'!$B$39))+ROUNDUP(S286*(R286-'Operating costs'!$B$39)*IF('Replacement plan'!$AG$76="",'Operating costs'!$B$7,'Replacement plan'!$AG$76)/('Operating costs'!$B$8-'Operating costs'!$B$9*IF('Replacement plan'!$AG$76="",'Operating costs'!$B$7,'Replacement plan'!$AG$76)),0)*'Operating costs'!$B$9)*IF('Replacement plan'!$AG$76="",'Operating costs'!$B$7,'Replacement plan'!$AG$76)*('Energy and charging'!$C$9*'Energy and charging'!$C$7+(1-'Energy and charging'!$C$9)*'Energy and charging'!$C$8)*'Operating costs'!$B$23,"n.a."))</f>
        <v>0</v>
      </c>
      <c r="K286" s="16">
        <f>IF(C286=0,0,IF(P286="Complete",SUM('Operating costs'!$B$24,'Operating costs'!$B$27,'Operating costs'!$B$29,'Operating costs'!$B$31,'Operating costs'!$B$33,'Operating costs'!$B$34,'Operating costs'!$B$37,'Replacement plan'!$W$76)+'Operating costs'!$B$39*'Operating costs'!$B$42+ROUNDUP(S286*(R286-'Operating costs'!$B$39)*IF('Replacement plan'!$AG$76="",'Operating costs'!$B$7,'Replacement plan'!$AG$76)/('Operating costs'!$B$8-'Operating costs'!$B$9*IF('Replacement plan'!$AG$76="",'Operating costs'!$B$7,'Replacement plan'!$AG$76)),0)*('Operating costs'!$B$9/'Operating costs'!$B$11+'Operating costs'!$B$10/60)*'Operating costs'!$B$19*'Operating costs'!$B$21,"n.a."))</f>
        <v>0</v>
      </c>
      <c r="L286" s="16">
        <f>IF(C286=0,0,IF(P286="Complete",IF(D286="EV",X286*((1-T286)*'Energy and charging'!$C$10+T286*'Energy and charging'!$C$11)*'Operating costs'!$B$22,AA286*('Energy and charging'!$C$9*'Energy and charging'!$C$7+(1-'Energy and charging'!$C$9)*'Energy and charging'!$C$8)*'Operating costs'!$B$23),"n.a."))</f>
        <v>0</v>
      </c>
      <c r="M286" s="37">
        <f>IF(C286=0,0,IF(P286="Complete",IF(D286="ICE",SUM('Operating costs'!$B$25,'Operating costs'!$B$27,'Operating costs'!$B$29,'Operating costs'!$B$31,'Operating costs'!$B$33,'Operating costs'!$B$35,'Operating costs'!$B$37,'Replacement plan'!$X$76)+'Operating costs'!$B$40*'Operating costs'!$B$42+ROUNDUP(S286*(R286-'Operating costs'!$B$40)*IF('Replacement plan'!$AH$76="",'Operating costs'!$B$7,'Replacement plan'!$AH$76)/('Operating costs'!$B$8-'Operating costs'!$B$9*IF('Replacement plan'!$AH$76="",'Operating costs'!$B$7,'Replacement plan'!$AH$76)),0)*('Operating costs'!$B$9/'Operating costs'!$B$11+'Operating costs'!$B$10/60)*'Operating costs'!$B$19*'Operating costs'!$B$21,SUM(AP286,'Operating costs'!$B$28,'Operating costs'!$B$30,'Operating costs'!$B$32,'Operating costs'!$B$33,'Operating costs'!$B$36,'Operating costs'!$B$38,'Replacement plan'!$Y$76)+'Operating costs'!$B$41*'Operating costs'!$B$43+W286*'Operating costs'!$B$15+(T286*X286/'Replacement plan'!$L$76+W286*('Operating costs'!$B$12/'Operating costs'!$B$11+('Operating costs'!$B$13+'Operating costs'!$B$14)/60)+(R286-'Operating costs'!$B$41)*(IF(T286&lt;1,'Operating costs'!$B$16,0)+'Operating costs'!$B$17)/60)*'Operating costs'!$B$19*'Operating costs'!$B$20),"n.a."))</f>
        <v>0</v>
      </c>
      <c r="N286" s="16">
        <f>IF(AND(C286=1,D286="EV",E286&lt;120,E286+'Replacement plan'!$AA$76&lt;=120),'Replacement plan'!$Z$76,0)</f>
        <v>0</v>
      </c>
      <c r="O286" s="1">
        <f>E286+'Replacement plan'!$AA$76</f>
        <v>0</v>
      </c>
      <c r="P286" s="35" t="str">
        <f>IFERROR(IF(C286=0,"Excluded",IF(OR(COUNTIFS('Fleet register'!$A$7:$A$106,A286)&lt;&gt;1,COUNTIFS('Replacement plan'!$A$7:$A$106,A286)&lt;&gt;1),"Duplicate/missing ID",IF(NOT(AND(ISNUMBER(VLOOKUP($A286,'Fleet register'!$A$7:$S$106,5,FALSE)),ISNUMBER(VLOOKUP($A286,'Fleet register'!$A$7:$S$106,6,FALSE)),ISNUMBER(VLOOKUP($A286,'Fleet register'!$A$7:$S$106,10,FALSE)),ISNUMBER(VLOOKUP($A286,'Fleet register'!$A$7:$S$106,11,FALSE)),ISNUMBER(VLOOKUP($A286,'Fleet register'!$A$7:$S$106,12,FALSE)),ISNUMBER(VLOOKUP($A286,'Fleet register'!$A$7:$S$106,13,FALSE)),ISNUMBER(VLOOKUP($A286,'Fleet register'!$A$7:$S$106,14,FALSE)),VLOOKUP($A286,'Fleet register'!$A$7:$S$106,14,FALSE)&gt;0,ISNUMBER('Replacement plan'!$C$76),OR(E286=120,ISNUMBER('Replacement plan'!$T$76)),ISNUMBER(E286))),"Missing vehicle input",IF(OR(E286&lt;0,E286&gt;VLOOKUP($A286,'Fleet register'!$A$7:$S$106,10,FALSE),E286&gt;120,E286&lt;&gt;INT(E286),VLOOKUP($A286,'Fleet register'!$A$7:$S$106,6,FALSE)&lt;=0,VLOOKUP($A286,'Fleet register'!$A$7:$S$106,6,FALSE)&gt;366,VLOOKUP($A286,'Fleet register'!$A$7:$S$106,5,FALSE)&lt;0,VLOOKUP($A286,'Fleet register'!$A$7:$S$106,11,FALSE)&lt;0,I286&lt;0,'Operating costs'!$B$8&lt;='Operating costs'!$B$7*'Operating costs'!$B$9,'Operating costs'!$B$11&lt;=0,'Operating costs'!$B$39&gt;R286,'Operating costs'!$B$40&gt;R286,'Operating costs'!$B$41&gt;R286,NOT(OR('Replacement plan'!$R$76="Keep ICE",'Replacement plan'!$R$76="New ICE",'Replacement plan'!$R$76="EV"))),"Invalid vehicle input",IF(AND(D286="EV",E286&lt;120,OR(NOT(ISNUMBER(U286)),NOT(ISNUMBER(V286)),V286&lt;=0,T286&lt;0,T286&gt;1,'Replacement plan'!$L$76&lt;=0,'Operating costs'!$B$44&lt;0,'Operating costs'!$B$44&gt;=1,'Operating costs'!$B$47&lt;=0,'Operating costs'!$B$47&gt;1,V286*'Operating costs'!$B$47/(1-'Operating costs'!$B$44)&lt;=T286*'Operating costs'!$B$12*U286,AND('Replacement plan'!$Z$76&gt;0,OR('Replacement plan'!$AB$76&lt;&gt;"Yes",'Operating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charging'!$C$8&gt;=0))),ISNUMBER(VLOOKUP($A286,'Fleet register'!$A$7:$S$106,15,FALSE)),ISNUMBER(VLOOKUP($A286,'Fleet register'!$A$7:$S$106,16,FALSE)),ISNUMBER('Replacement plan'!$W$76),ISNUMBER('Replacement plan'!$X$76),OR(E286=120,AND(ISNUMBER(G286),G286&gt;=0)),ISNUMBER(H286),H286&gt;=0,OR(D286&lt;&gt;"EV",E286=120,AND(ISNUMBER('Operating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average",ISNUMBER(IFERROR(INDEX(Products!$P$7:$P$13,MATCH(AD286,Products!$A$7:$A$13,0)),"")))),ISNUMBER('Operating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plan'!$Y$76),ISNUMBER('Replacement plan'!$Z$76),'Replacement plan'!$Z$76&gt;=0,ISNUMBER('Replacement plan'!$AA$76),'Replacement plan'!$AA$76&gt;=0,'Replacement plan'!$AA$76=INT('Replacement plan'!$AA$76),ISNUMBER('Replacement plan'!$L$76))),'Operating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plan'!$AG$76="",'Operating costs'!$B$7,'Replacement plan'!$AG$76)),IF('Replacement plan'!$AG$76="",'Operating costs'!$B$7,'Replacement plan'!$AG$76)&gt;=0,ISNUMBER(IF('Replacement plan'!$AH$76="",'Operating costs'!$B$7,'Replacement plan'!$AH$76)),IF('Replacement plan'!$AH$76="",'Operating costs'!$B$7,'Replacement plan'!$AH$76)&gt;=0,'Operating costs'!$B$8&gt;MAX(IF('Replacement plan'!$AG$76="",'Operating costs'!$B$7,'Replacement plan'!$AG$76),IF('Replacement plan'!$AH$76="",'Operating costs'!$B$7,'Replacement plan'!$AH$76))*'Operating costs'!$B$9),IF(AND(VLOOKUP($A286,'Fleet register'!$A$7:$S$106,10,FALSE)&gt;=0,VLOOKUP($A286,'Fleet register'!$A$7:$S$106,10,FALSE)&lt;=120,VLOOKUP($A286,'Fleet register'!$A$7:$S$106,10,FALSE)=INT(VLOOKUP($A286,'Fleet register'!$A$7:$S$106,10,FALSE)),VLOOKUP($A286,'Fleet register'!$A$7:$S$106,15,FALSE)&gt;=0,VLOOKUP($A286,'Fleet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costs'!$B$67)&gt;=0,OR(D286&lt;&gt;"EV",E286=120,AND(MIN('Operating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86" s="1" t="str">
        <f>IF(C286=0,"Excluded",IF(P286&lt;&gt;"Complete",P286,IF(OR('Replacement plan'!$AD$76&lt;120-E286,AND(D286="EV",E286&lt;120,OR('Replacement plan'!$AC$76&lt;120-E286,'Replacement plan'!$I$76="No",AND(ISNUMBER(AF286),AE286&gt;AF286),AI286&gt;V286*(1-'Operating costs'!$B$46)^MAX(0,AB286-1)*(1-'Operating costs'!$B$45),AC286&gt;'Operating costs'!$B$18,AND(T286&lt;1,OR(AG286&lt;=0,AND(ISNUMBER(AH286),AG286&gt;AH286))),'Replacement plan'!$L$76&gt;INDEX(Products!$H$7:$H$13,MATCH('Replacement plan'!$B$76,Products!$A$7:$A$13,0))))),"Fails entered limits",IF(AND(D286="EV",E286&lt;120,OR(NOT(ISNUMBER(VLOOKUP($A286,'Fleet register'!$A$7:$S$106,7,FALSE))),NOT(ISNUMBER(VLOOKUP($A286,'Fleet register'!$A$7:$S$106,8,FALSE))),NOT(ISNUMBER(AF286)),'Replacement plan'!$I$76&lt;&gt;"Yes",NOT(ISNUMBER(AH286)),'Operating costs'!$B$59&lt;&gt;"Yes",'Operating costs'!$B$58&lt;&gt;"Yes")),"Unverified","Within entered limits"))))</f>
        <v>Excluded</v>
      </c>
      <c r="R286" s="1">
        <f>IF(C286=0,0,VLOOKUP($A286,'Fleet register'!$A$7:$S$106,6,FALSE))</f>
        <v>0</v>
      </c>
      <c r="S286" s="1">
        <f>IF(C286=0,0,VLOOKUP($A286,'Fleet register'!$A$7:$S$106,5,FALSE))</f>
        <v>0</v>
      </c>
      <c r="T286" s="1">
        <f>IF(D286="EV",'Energy and charging'!$C$12,0)</f>
        <v>0</v>
      </c>
      <c r="U286" s="1">
        <f>IFERROR(IF(C286=0,0,IF(D286="EV",IF('Replacement plan'!$F$76="",INDEX(Products!$E$7:$E$13,MATCH('Replacement plan'!$B$76,Products!$A$7:$A$13,0)),'Replacement plan'!$F$76)/IF('Replacement plan'!$G$76="Battery",1-'Operating costs'!$B$44,1),0)),"n.a.")</f>
        <v>0</v>
      </c>
      <c r="V286" s="1">
        <f>IFERROR(IF(C286=0,0,IF(D286="EV",IF('Replacement plan'!$E$76="",INDEX(Products!$D$7:$D$13,MATCH('Replacement plan'!$B$76,Products!$A$7:$A$13,0)),'Replacement plan'!$E$76),0)),"n.a.")</f>
        <v>0</v>
      </c>
      <c r="W286" s="1">
        <f>IF(C286=0,0,IF(AND(P286="Complete",D286="EV",E286&lt;120),IF(T286=0,0,ROUNDUP(T286*(R286-'Operating costs'!$B$41)*(S286*U286+'Operating costs'!$B$48/(1-'Operating costs'!$B$44))/(V286*'Operating costs'!$B$47/(1-'Operating costs'!$B$44)-T286*'Operating costs'!$B$12*U286),0)),0))</f>
        <v>0</v>
      </c>
      <c r="X286" s="1">
        <f>IF(C286=0,0,IF(AND(P286="Complete",D286="EV",E286&lt;120),(R286-'Operating costs'!$B$41)*(S286*U286+'Operating costs'!$B$48/(1-'Operating costs'!$B$44))+W286*'Operating costs'!$B$12*U286,0))</f>
        <v>0</v>
      </c>
      <c r="Y286" s="1">
        <f>IF(AND(C286=1,D286="EV",E286&lt;120),AI286/(1-'Operating costs'!$B$44)*(1-T286),0)</f>
        <v>0</v>
      </c>
      <c r="Z286" s="1">
        <f t="shared" si="8"/>
        <v>0</v>
      </c>
      <c r="AA286" s="1">
        <f>IF(C286=0,0,IF(P286="Complete",((S286*(R286-'Operating costs'!$B$40))+ROUNDUP(S286*(R286-'Operating costs'!$B$40)*IF('Replacement plan'!$AH$76="",'Operating costs'!$B$7,'Replacement plan'!$AH$76)/('Operating costs'!$B$8-'Operating costs'!$B$9*IF('Replacement plan'!$AH$76="",'Operating costs'!$B$7,'Replacement plan'!$AH$76)),0)*'Operating costs'!$B$9)*IF('Replacement plan'!$AH$76="",'Operating costs'!$B$7,'Replacement plan'!$AH$76),"n.a."))</f>
        <v>0</v>
      </c>
      <c r="AB286" s="1">
        <f t="shared" si="9"/>
        <v>0</v>
      </c>
      <c r="AC286" s="1">
        <f>IF(AND(C286=1,D286="EV",E286&lt;120,T286&gt;0),'Operating costs'!$B$12/'Operating costs'!$B$11*60+'Operating costs'!$B$13+'Operating costs'!$B$14+V286*'Operating costs'!$B$47/(1-'Operating costs'!$B$44)/'Replacement plan'!$L$76*60,0)</f>
        <v>0</v>
      </c>
      <c r="AD286" s="1" t="str">
        <f>'Replacement plan'!$B$76</f>
        <v>ChengLong L2EV</v>
      </c>
      <c r="AE286" s="1">
        <f>IF(C286=0,0,VLOOKUP($A286,'Fleet register'!$A$7:$S$106,8,FALSE))</f>
        <v>0</v>
      </c>
      <c r="AF286" s="1" t="str">
        <f>IF('Replacement plan'!$H$76="","n.a.",'Replacement plan'!$H$76)</f>
        <v>n.a.</v>
      </c>
      <c r="AG286" s="1">
        <f>'Replacement plan'!$J$76</f>
        <v>22</v>
      </c>
      <c r="AH286" s="1">
        <f>IFERROR(IF(D286="EV",IF('Replacement plan'!$K$76="AC",IF(ISNUMBER(INDEX(Products!$G$7:$G$13,MATCH('Replacement plan'!$B$76,Products!$A$7:$A$13,0))),INDEX(Products!$G$7:$G$13,MATCH('Replacement plan'!$B$76,Products!$A$7:$A$13,0)),"n.a."),IF(ISNUMBER(INDEX(Products!$H$7:$H$13,MATCH('Replacement plan'!$B$76,Products!$A$7:$A$13,0))),INDEX(Products!$H$7:$H$13,MATCH('Replacement plan'!$B$76,Products!$A$7:$A$13,0)),"n.a.")),0),"n.a.")</f>
        <v>0</v>
      </c>
      <c r="AI286" s="1">
        <f>IF(AND(C286=1,D286="EV",E286&lt;120),(VLOOKUP($A286,'Fleet register'!$A$7:$S$106,7,FALSE)+IF(T286&gt;0,'Operating costs'!$B$12,0))*U286*(1-'Operating costs'!$B$44)+'Operating costs'!$B$49,0)</f>
        <v>0</v>
      </c>
      <c r="AJ286" s="1">
        <f>IF(D286="EV",'Energy and charging'!$C$50,0)</f>
        <v>0</v>
      </c>
      <c r="AK286" s="17">
        <f>EDATE('Operating costs'!$B$63,E286)</f>
        <v>46298</v>
      </c>
      <c r="AL286" s="1">
        <f>IFERROR(IF(D286="EV",INDEX(Products!$B$7:$B$13,MATCH('Replacement plan'!$B$76,Products!$A$7:$A$13,0)),0),"n.a.")</f>
        <v>0</v>
      </c>
      <c r="AM286" s="1" t="str">
        <f>'Replacement plan'!$K$76</f>
        <v>DC</v>
      </c>
      <c r="AN286" s="1" t="str">
        <f>'Replacement plan'!$AE$76</f>
        <v>Assumed</v>
      </c>
      <c r="AO286" s="47">
        <f>IF(AND(C286=1,D286="EV",E286&lt;120),(R286-'Operating costs'!$B$41)*S286+W286*'Operating costs'!$B$12,0)</f>
        <v>0</v>
      </c>
      <c r="AP286" s="41">
        <f>IF(AND(C286=1,D286="EV",E286&lt;120),IF('Operating costs'!$B$68="Hong Seh 200k average",AO286*IFERROR(INDEX(Products!$P$7:$P$13,MATCH(AD286,Products!$A$7:$A$13,0)),"n.a."),'Operating costs'!$B$26),0)</f>
        <v>0</v>
      </c>
      <c r="AQ286" s="40" t="str">
        <f>IF(D286="EV",'Operating costs'!$B$68,"Not applicable")</f>
        <v>Not applicable</v>
      </c>
    </row>
    <row r="287" spans="1:43" ht="24" customHeight="1">
      <c r="A287" s="1" t="str">
        <f>'Replacement plan'!A77</f>
        <v>T071</v>
      </c>
      <c r="B287" s="1">
        <v>0</v>
      </c>
      <c r="C287" s="1">
        <f>IF(COUNTIFS('Fleet register'!$A$7:$A$106,$A287)=1,VLOOKUP($A287,'Fleet register'!$A$7:$S$106,2,FALSE),0)</f>
        <v>0</v>
      </c>
      <c r="D287" s="1" t="str">
        <f>IF("Keep ICE"="EV","EV","ICE")</f>
        <v>ICE</v>
      </c>
      <c r="E287" s="1">
        <f>IF(C287=0,0,IF('Replacement plan'!$M$77="",VLOOKUP($A287,'Fleet register'!$A$7:$S$106,10,FALSE),'Replacement plan'!$M$77))</f>
        <v>0</v>
      </c>
      <c r="F287" s="16">
        <f>IF(C287=0,0,VLOOKUP($A287,'Fleet register'!$A$7:$S$106,11,FALSE))</f>
        <v>0</v>
      </c>
      <c r="G287" s="16">
        <f>IFERROR(IF(C287=0,0,IF(E287=120,0,IF(D287="ICE",'Replacement plan'!$C$77,IF('Replacement plan'!$D$77="",INDEX(Products!$I$7:$I$13,MATCH('Replacement plan'!$B$77,Products!$A$7:$A$13,0))+'Operating costs'!$B$57,'Replacement plan'!$D$77))*(1+'Operating costs'!$B$50)^(E287/12))),"n.a.")</f>
        <v>0</v>
      </c>
      <c r="H287" s="16">
        <f>IFERROR(IF(C287=0,0,IF(E287=0,F287,VLOOKUP($A287,'Fleet register'!$A$7:$S$106,12,FALSE)+VLOOKUP($A287,'Fleet register'!$A$7:$S$106,13,FALSE)*MAX(0,VLOOKUP($A287,'Fleet register'!$A$7:$S$106,10,FALSE)-E287)/VLOOKUP($A287,'Fleet register'!$A$7:$S$106,14,FALSE))),"n.a.")</f>
        <v>0</v>
      </c>
      <c r="I287" s="16">
        <f>IF(C287=0,0,IF(E287=120,0,'Replacement plan'!$N$77))</f>
        <v>0</v>
      </c>
      <c r="J287" s="16">
        <f>IF(C287=0,0,IF(P287="Complete",((S287*(R287-'Operating costs'!$B$39))+ROUNDUP(S287*(R287-'Operating costs'!$B$39)*IF('Replacement plan'!$AG$77="",'Operating costs'!$B$7,'Replacement plan'!$AG$77)/('Operating costs'!$B$8-'Operating costs'!$B$9*IF('Replacement plan'!$AG$77="",'Operating costs'!$B$7,'Replacement plan'!$AG$77)),0)*'Operating costs'!$B$9)*IF('Replacement plan'!$AG$77="",'Operating costs'!$B$7,'Replacement plan'!$AG$77)*('Energy and charging'!$B$9*'Energy and charging'!$B$7+(1-'Energy and charging'!$B$9)*'Energy and charging'!$B$8)*'Operating costs'!$B$23,"n.a."))</f>
        <v>0</v>
      </c>
      <c r="K287" s="16">
        <f>IF(C287=0,0,IF(P287="Complete",SUM('Operating costs'!$B$24,'Operating costs'!$B$27,'Operating costs'!$B$29,'Operating costs'!$B$31,'Operating costs'!$B$33,'Operating costs'!$B$34,'Operating costs'!$B$37,'Replacement plan'!$W$77)+'Operating costs'!$B$39*'Operating costs'!$B$42+ROUNDUP(S287*(R287-'Operating costs'!$B$39)*IF('Replacement plan'!$AG$77="",'Operating costs'!$B$7,'Replacement plan'!$AG$77)/('Operating costs'!$B$8-'Operating costs'!$B$9*IF('Replacement plan'!$AG$77="",'Operating costs'!$B$7,'Replacement plan'!$AG$77)),0)*('Operating costs'!$B$9/'Operating costs'!$B$11+'Operating costs'!$B$10/60)*'Operating costs'!$B$19*'Operating costs'!$B$21,"n.a."))</f>
        <v>0</v>
      </c>
      <c r="L287" s="16">
        <f>IF(C287=0,0,IF(P287="Complete",IF(D287="EV",X287*((1-T287)*'Energy and charging'!$B$10+T287*'Energy and charging'!$B$11)*'Operating costs'!$B$22,AA287*('Energy and charging'!$B$9*'Energy and charging'!$B$7+(1-'Energy and charging'!$B$9)*'Energy and charging'!$B$8)*'Operating costs'!$B$23),"n.a."))</f>
        <v>0</v>
      </c>
      <c r="M287" s="37">
        <f>IF(C287=0,0,IF(P287="Complete",IF(D287="ICE",SUM('Operating costs'!$B$25,'Operating costs'!$B$27,'Operating costs'!$B$29,'Operating costs'!$B$31,'Operating costs'!$B$33,'Operating costs'!$B$35,'Operating costs'!$B$37,'Replacement plan'!$X$77)+'Operating costs'!$B$40*'Operating costs'!$B$42+ROUNDUP(S287*(R287-'Operating costs'!$B$40)*IF('Replacement plan'!$AH$77="",'Operating costs'!$B$7,'Replacement plan'!$AH$77)/('Operating costs'!$B$8-'Operating costs'!$B$9*IF('Replacement plan'!$AH$77="",'Operating costs'!$B$7,'Replacement plan'!$AH$77)),0)*('Operating costs'!$B$9/'Operating costs'!$B$11+'Operating costs'!$B$10/60)*'Operating costs'!$B$19*'Operating costs'!$B$21,SUM(AP287,'Operating costs'!$B$28,'Operating costs'!$B$30,'Operating costs'!$B$32,'Operating costs'!$B$33,'Operating costs'!$B$36,'Operating costs'!$B$38,'Replacement plan'!$Y$77)+'Operating costs'!$B$41*'Operating costs'!$B$43+W287*'Operating costs'!$B$15+(T287*X287/'Replacement plan'!$L$77+W287*('Operating costs'!$B$12/'Operating costs'!$B$11+('Operating costs'!$B$13+'Operating costs'!$B$14)/60)+(R287-'Operating costs'!$B$41)*(IF(T287&lt;1,'Operating costs'!$B$16,0)+'Operating costs'!$B$17)/60)*'Operating costs'!$B$19*'Operating costs'!$B$20),"n.a."))</f>
        <v>0</v>
      </c>
      <c r="N287" s="16">
        <f>IF(AND(C287=1,D287="EV",E287&lt;120,E287+'Replacement plan'!$AA$77&lt;=120),'Replacement plan'!$Z$77,0)</f>
        <v>0</v>
      </c>
      <c r="O287" s="1">
        <f>E287+'Replacement plan'!$AA$77</f>
        <v>0</v>
      </c>
      <c r="P287" s="35" t="str">
        <f>IFERROR(IF(C287=0,"Excluded",IF(OR(COUNTIFS('Fleet register'!$A$7:$A$106,A287)&lt;&gt;1,COUNTIFS('Replacement plan'!$A$7:$A$106,A287)&lt;&gt;1),"Duplicate/missing ID",IF(NOT(AND(ISNUMBER(VLOOKUP($A287,'Fleet register'!$A$7:$S$106,5,FALSE)),ISNUMBER(VLOOKUP($A287,'Fleet register'!$A$7:$S$106,6,FALSE)),ISNUMBER(VLOOKUP($A287,'Fleet register'!$A$7:$S$106,10,FALSE)),ISNUMBER(VLOOKUP($A287,'Fleet register'!$A$7:$S$106,11,FALSE)),ISNUMBER(VLOOKUP($A287,'Fleet register'!$A$7:$S$106,12,FALSE)),ISNUMBER(VLOOKUP($A287,'Fleet register'!$A$7:$S$106,13,FALSE)),ISNUMBER(VLOOKUP($A287,'Fleet register'!$A$7:$S$106,14,FALSE)),VLOOKUP($A287,'Fleet register'!$A$7:$S$106,14,FALSE)&gt;0,ISNUMBER('Replacement plan'!$C$77),OR(E287=120,ISNUMBER('Replacement plan'!$N$77)),ISNUMBER(E287))),"Missing vehicle input",IF(OR(E287&lt;0,E287&gt;VLOOKUP($A287,'Fleet register'!$A$7:$S$106,10,FALSE),E287&gt;120,E287&lt;&gt;INT(E287),VLOOKUP($A287,'Fleet register'!$A$7:$S$106,6,FALSE)&lt;=0,VLOOKUP($A287,'Fleet register'!$A$7:$S$106,6,FALSE)&gt;366,VLOOKUP($A287,'Fleet register'!$A$7:$S$106,5,FALSE)&lt;0,VLOOKUP($A287,'Fleet register'!$A$7:$S$106,11,FALSE)&lt;0,I287&lt;0,'Operating costs'!$B$8&lt;='Operating costs'!$B$7*'Operating costs'!$B$9,'Operating costs'!$B$11&lt;=0,'Operating costs'!$B$39&gt;R287,'Operating costs'!$B$40&gt;R287,'Operating costs'!$B$41&gt;R287,NOT(OR("Keep ICE"="Keep ICE","Keep ICE"="New ICE","Keep ICE"="EV"))),"Invalid vehicle input",IF(AND(D287="EV",E287&lt;120,OR(NOT(ISNUMBER(U287)),NOT(ISNUMBER(V287)),V287&lt;=0,T287&lt;0,T287&gt;1,'Replacement plan'!$L$77&lt;=0,'Operating costs'!$B$44&lt;0,'Operating costs'!$B$44&gt;=1,'Operating costs'!$B$47&lt;=0,'Operating costs'!$B$47&gt;1,V287*'Operating costs'!$B$47/(1-'Operating costs'!$B$44)&lt;=T287*'Operating costs'!$B$12*U287,AND('Replacement plan'!$Z$77&gt;0,OR('Replacement plan'!$AB$77&lt;&gt;"Yes",'Operating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charging'!$B$8&gt;=0))),ISNUMBER(VLOOKUP($A287,'Fleet register'!$A$7:$S$106,15,FALSE)),ISNUMBER(VLOOKUP($A287,'Fleet register'!$A$7:$S$106,16,FALSE)),ISNUMBER('Replacement plan'!$W$77),ISNUMBER('Replacement plan'!$X$77),OR(E287=120,AND(ISNUMBER(G287),G287&gt;=0)),ISNUMBER(H287),H287&gt;=0,OR(D287&lt;&gt;"EV",E287=120,AND(ISNUMBER('Operating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average",ISNUMBER(IFERROR(INDEX(Products!$P$7:$P$13,MATCH(AD287,Products!$A$7:$A$13,0)),"")))),ISNUMBER('Operating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plan'!$Y$77),ISNUMBER('Replacement plan'!$Z$77),'Replacement plan'!$Z$77&gt;=0,ISNUMBER('Replacement plan'!$AA$77),'Replacement plan'!$AA$77&gt;=0,'Replacement plan'!$AA$77=INT('Replacement plan'!$AA$77),ISNUMBER('Replacement plan'!$L$77))),'Operating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plan'!$AG$77="",'Operating costs'!$B$7,'Replacement plan'!$AG$77)),IF('Replacement plan'!$AG$77="",'Operating costs'!$B$7,'Replacement plan'!$AG$77)&gt;=0,ISNUMBER(IF('Replacement plan'!$AH$77="",'Operating costs'!$B$7,'Replacement plan'!$AH$77)),IF('Replacement plan'!$AH$77="",'Operating costs'!$B$7,'Replacement plan'!$AH$77)&gt;=0,'Operating costs'!$B$8&gt;MAX(IF('Replacement plan'!$AG$77="",'Operating costs'!$B$7,'Replacement plan'!$AG$77),IF('Replacement plan'!$AH$77="",'Operating costs'!$B$7,'Replacement plan'!$AH$77))*'Operating costs'!$B$9),IF(AND(VLOOKUP($A287,'Fleet register'!$A$7:$S$106,10,FALSE)&gt;=0,VLOOKUP($A287,'Fleet register'!$A$7:$S$106,10,FALSE)&lt;=120,VLOOKUP($A287,'Fleet register'!$A$7:$S$106,10,FALSE)=INT(VLOOKUP($A287,'Fleet register'!$A$7:$S$106,10,FALSE)),VLOOKUP($A287,'Fleet register'!$A$7:$S$106,15,FALSE)&gt;=0,VLOOKUP($A287,'Fleet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costs'!$B$67)&gt;=0,OR(D287&lt;&gt;"EV",E287=120,AND(MIN('Operating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87" s="1" t="str">
        <f>IF(C287=0,"Excluded",IF(P287&lt;&gt;"Complete",P287,IF(OR('Replacement plan'!$AD$77&lt;120-E287,AND(D287="EV",E287&lt;120,OR('Replacement plan'!$AC$77&lt;120-E287,'Replacement plan'!$I$77="No",AND(ISNUMBER(AF287),AE287&gt;AF287),AI287&gt;V287*(1-'Operating costs'!$B$46)^MAX(0,AB287-1)*(1-'Operating costs'!$B$45),AC287&gt;'Operating costs'!$B$18,AND(T287&lt;1,OR(AG287&lt;=0,AND(ISNUMBER(AH287),AG287&gt;AH287))),'Replacement plan'!$L$77&gt;INDEX(Products!$H$7:$H$13,MATCH('Replacement plan'!$B$77,Products!$A$7:$A$13,0))))),"Fails entered limits",IF(AND(D287="EV",E287&lt;120,OR(NOT(ISNUMBER(VLOOKUP($A287,'Fleet register'!$A$7:$S$106,7,FALSE))),NOT(ISNUMBER(VLOOKUP($A287,'Fleet register'!$A$7:$S$106,8,FALSE))),NOT(ISNUMBER(AF287)),'Replacement plan'!$I$77&lt;&gt;"Yes",NOT(ISNUMBER(AH287)),'Operating costs'!$B$59&lt;&gt;"Yes",'Operating costs'!$B$58&lt;&gt;"Yes")),"Unverified","Within entered limits"))))</f>
        <v>Excluded</v>
      </c>
      <c r="R287" s="1">
        <f>IF(C287=0,0,VLOOKUP($A287,'Fleet register'!$A$7:$S$106,6,FALSE))</f>
        <v>0</v>
      </c>
      <c r="S287" s="1">
        <f>IF(C287=0,0,VLOOKUP($A287,'Fleet register'!$A$7:$S$106,5,FALSE))</f>
        <v>0</v>
      </c>
      <c r="T287" s="1">
        <f>IF(D287="EV",'Energy and charging'!$B$12,0)</f>
        <v>0</v>
      </c>
      <c r="U287" s="1">
        <f>IFERROR(IF(C287=0,0,IF(D287="EV",IF('Replacement plan'!$F$77="",INDEX(Products!$E$7:$E$13,MATCH('Replacement plan'!$B$77,Products!$A$7:$A$13,0)),'Replacement plan'!$F$77)/IF('Replacement plan'!$G$77="Battery",1-'Operating costs'!$B$44,1),0)),"n.a.")</f>
        <v>0</v>
      </c>
      <c r="V287" s="1">
        <f>IFERROR(IF(C287=0,0,IF(D287="EV",IF('Replacement plan'!$E$77="",INDEX(Products!$D$7:$D$13,MATCH('Replacement plan'!$B$77,Products!$A$7:$A$13,0)),'Replacement plan'!$E$77),0)),"n.a.")</f>
        <v>0</v>
      </c>
      <c r="W287" s="1">
        <f>IF(C287=0,0,IF(AND(P287="Complete",D287="EV",E287&lt;120),IF(T287=0,0,ROUNDUP(T287*(R287-'Operating costs'!$B$41)*(S287*U287+'Operating costs'!$B$48/(1-'Operating costs'!$B$44))/(V287*'Operating costs'!$B$47/(1-'Operating costs'!$B$44)-T287*'Operating costs'!$B$12*U287),0)),0))</f>
        <v>0</v>
      </c>
      <c r="X287" s="1">
        <f>IF(C287=0,0,IF(AND(P287="Complete",D287="EV",E287&lt;120),(R287-'Operating costs'!$B$41)*(S287*U287+'Operating costs'!$B$48/(1-'Operating costs'!$B$44))+W287*'Operating costs'!$B$12*U287,0))</f>
        <v>0</v>
      </c>
      <c r="Y287" s="1">
        <f>IF(AND(C287=1,D287="EV",E287&lt;120),AI287/(1-'Operating costs'!$B$44)*(1-T287),0)</f>
        <v>0</v>
      </c>
      <c r="Z287" s="1">
        <f t="shared" si="8"/>
        <v>0</v>
      </c>
      <c r="AA287" s="1">
        <f>IF(C287=0,0,IF(P287="Complete",((S287*(R287-'Operating costs'!$B$40))+ROUNDUP(S287*(R287-'Operating costs'!$B$40)*IF('Replacement plan'!$AH$77="",'Operating costs'!$B$7,'Replacement plan'!$AH$77)/('Operating costs'!$B$8-'Operating costs'!$B$9*IF('Replacement plan'!$AH$77="",'Operating costs'!$B$7,'Replacement plan'!$AH$77)),0)*'Operating costs'!$B$9)*IF('Replacement plan'!$AH$77="",'Operating costs'!$B$7,'Replacement plan'!$AH$77),"n.a."))</f>
        <v>0</v>
      </c>
      <c r="AB287" s="1">
        <f t="shared" si="9"/>
        <v>0</v>
      </c>
      <c r="AC287" s="1">
        <f>IF(AND(C287=1,D287="EV",E287&lt;120,T287&gt;0),'Operating costs'!$B$12/'Operating costs'!$B$11*60+'Operating costs'!$B$13+'Operating costs'!$B$14+V287*'Operating costs'!$B$47/(1-'Operating costs'!$B$44)/'Replacement plan'!$L$77*60,0)</f>
        <v>0</v>
      </c>
      <c r="AD287" s="1" t="str">
        <f>'Replacement plan'!$B$77</f>
        <v>ChengLong L2EV</v>
      </c>
      <c r="AE287" s="1">
        <f>IF(C287=0,0,VLOOKUP($A287,'Fleet register'!$A$7:$S$106,8,FALSE))</f>
        <v>0</v>
      </c>
      <c r="AF287" s="1" t="str">
        <f>IF('Replacement plan'!$H$77="","n.a.",'Replacement plan'!$H$77)</f>
        <v>n.a.</v>
      </c>
      <c r="AG287" s="1">
        <f>'Replacement plan'!$J$77</f>
        <v>22</v>
      </c>
      <c r="AH287" s="1">
        <f>IFERROR(IF(D287="EV",IF('Replacement plan'!$K$77="AC",IF(ISNUMBER(INDEX(Products!$G$7:$G$13,MATCH('Replacement plan'!$B$77,Products!$A$7:$A$13,0))),INDEX(Products!$G$7:$G$13,MATCH('Replacement plan'!$B$77,Products!$A$7:$A$13,0)),"n.a."),IF(ISNUMBER(INDEX(Products!$H$7:$H$13,MATCH('Replacement plan'!$B$77,Products!$A$7:$A$13,0))),INDEX(Products!$H$7:$H$13,MATCH('Replacement plan'!$B$77,Products!$A$7:$A$13,0)),"n.a.")),0),"n.a.")</f>
        <v>0</v>
      </c>
      <c r="AI287" s="1">
        <f>IF(AND(C287=1,D287="EV",E287&lt;120),(VLOOKUP($A287,'Fleet register'!$A$7:$S$106,7,FALSE)+IF(T287&gt;0,'Operating costs'!$B$12,0))*U287*(1-'Operating costs'!$B$44)+'Operating costs'!$B$49,0)</f>
        <v>0</v>
      </c>
      <c r="AJ287" s="1">
        <f>IF(D287="EV",'Energy and charging'!$B$50,0)</f>
        <v>0</v>
      </c>
      <c r="AK287" s="17">
        <f>EDATE('Operating costs'!$B$63,E287)</f>
        <v>46298</v>
      </c>
      <c r="AL287" s="1">
        <f>IFERROR(IF(D287="EV",INDEX(Products!$B$7:$B$13,MATCH('Replacement plan'!$B$77,Products!$A$7:$A$13,0)),0),"n.a.")</f>
        <v>0</v>
      </c>
      <c r="AM287" s="1" t="str">
        <f>'Replacement plan'!$K$77</f>
        <v>DC</v>
      </c>
      <c r="AN287" s="1" t="str">
        <f>'Replacement plan'!$AE$77</f>
        <v>Assumed</v>
      </c>
      <c r="AO287" s="47">
        <f>IF(AND(C287=1,D287="EV",E287&lt;120),(R287-'Operating costs'!$B$41)*S287+W287*'Operating costs'!$B$12,0)</f>
        <v>0</v>
      </c>
      <c r="AP287" s="41">
        <f>IF(AND(C287=1,D287="EV",E287&lt;120),IF('Operating costs'!$B$68="Hong Seh 200k average",AO287*IFERROR(INDEX(Products!$P$7:$P$13,MATCH(AD287,Products!$A$7:$A$13,0)),"n.a."),'Operating costs'!$B$26),0)</f>
        <v>0</v>
      </c>
      <c r="AQ287" s="40" t="str">
        <f>IF(D287="EV",'Operating costs'!$B$68,"Not applicable")</f>
        <v>Not applicable</v>
      </c>
    </row>
    <row r="288" spans="1:43" ht="24" customHeight="1">
      <c r="A288" s="1" t="str">
        <f>'Replacement plan'!A77</f>
        <v>T071</v>
      </c>
      <c r="B288" s="1">
        <v>1</v>
      </c>
      <c r="C288" s="1">
        <f>IF(COUNTIFS('Fleet register'!$A$7:$A$106,$A288)=1,VLOOKUP($A288,'Fleet register'!$A$7:$S$106,2,FALSE),0)</f>
        <v>0</v>
      </c>
      <c r="D288" s="1" t="str">
        <f>IF("New ICE"="EV","EV","ICE")</f>
        <v>ICE</v>
      </c>
      <c r="E288" s="1">
        <f>IF(C288=0,0,0)</f>
        <v>0</v>
      </c>
      <c r="F288" s="16">
        <f>IF(C288=0,0,VLOOKUP($A288,'Fleet register'!$A$7:$S$106,11,FALSE))</f>
        <v>0</v>
      </c>
      <c r="G288" s="16">
        <f>IFERROR(IF(C288=0,0,IF(E288=120,0,IF(D288="ICE",'Replacement plan'!$C$77,IF('Replacement plan'!$D$77="",INDEX(Products!$I$7:$I$13,MATCH('Replacement plan'!$B$77,Products!$A$7:$A$13,0))+'Operating costs'!$B$57,'Replacement plan'!$D$77))*(1+'Operating costs'!$B$50)^(E288/12))),"n.a.")</f>
        <v>0</v>
      </c>
      <c r="H288" s="16">
        <f>IFERROR(IF(C288=0,0,IF(E288=0,F288,VLOOKUP($A288,'Fleet register'!$A$7:$S$106,12,FALSE)+VLOOKUP($A288,'Fleet register'!$A$7:$S$106,13,FALSE)*MAX(0,VLOOKUP($A288,'Fleet register'!$A$7:$S$106,10,FALSE)-E288)/VLOOKUP($A288,'Fleet register'!$A$7:$S$106,14,FALSE))),"n.a.")</f>
        <v>0</v>
      </c>
      <c r="I288" s="16">
        <f>IF(C288=0,0,IF(E288=120,0,IF('Replacement plan'!$AI$77="",'Operating costs'!$B$56,'Replacement plan'!$AI$77)))</f>
        <v>0</v>
      </c>
      <c r="J288" s="16">
        <f>IF(C288=0,0,IF(P288="Complete",((S288*(R288-'Operating costs'!$B$39))+ROUNDUP(S288*(R288-'Operating costs'!$B$39)*IF('Replacement plan'!$AG$77="",'Operating costs'!$B$7,'Replacement plan'!$AG$77)/('Operating costs'!$B$8-'Operating costs'!$B$9*IF('Replacement plan'!$AG$77="",'Operating costs'!$B$7,'Replacement plan'!$AG$77)),0)*'Operating costs'!$B$9)*IF('Replacement plan'!$AG$77="",'Operating costs'!$B$7,'Replacement plan'!$AG$77)*('Energy and charging'!$B$9*'Energy and charging'!$B$7+(1-'Energy and charging'!$B$9)*'Energy and charging'!$B$8)*'Operating costs'!$B$23,"n.a."))</f>
        <v>0</v>
      </c>
      <c r="K288" s="16">
        <f>IF(C288=0,0,IF(P288="Complete",SUM('Operating costs'!$B$24,'Operating costs'!$B$27,'Operating costs'!$B$29,'Operating costs'!$B$31,'Operating costs'!$B$33,'Operating costs'!$B$34,'Operating costs'!$B$37,'Replacement plan'!$W$77)+'Operating costs'!$B$39*'Operating costs'!$B$42+ROUNDUP(S288*(R288-'Operating costs'!$B$39)*IF('Replacement plan'!$AG$77="",'Operating costs'!$B$7,'Replacement plan'!$AG$77)/('Operating costs'!$B$8-'Operating costs'!$B$9*IF('Replacement plan'!$AG$77="",'Operating costs'!$B$7,'Replacement plan'!$AG$77)),0)*('Operating costs'!$B$9/'Operating costs'!$B$11+'Operating costs'!$B$10/60)*'Operating costs'!$B$19*'Operating costs'!$B$21,"n.a."))</f>
        <v>0</v>
      </c>
      <c r="L288" s="16">
        <f>IF(C288=0,0,IF(P288="Complete",IF(D288="EV",X288*((1-T288)*'Energy and charging'!$B$10+T288*'Energy and charging'!$B$11)*'Operating costs'!$B$22,AA288*('Energy and charging'!$B$9*'Energy and charging'!$B$7+(1-'Energy and charging'!$B$9)*'Energy and charging'!$B$8)*'Operating costs'!$B$23),"n.a."))</f>
        <v>0</v>
      </c>
      <c r="M288" s="37">
        <f>IF(C288=0,0,IF(P288="Complete",IF(D288="ICE",SUM('Operating costs'!$B$25,'Operating costs'!$B$27,'Operating costs'!$B$29,'Operating costs'!$B$31,'Operating costs'!$B$33,'Operating costs'!$B$35,'Operating costs'!$B$37,'Replacement plan'!$X$77)+'Operating costs'!$B$40*'Operating costs'!$B$42+ROUNDUP(S288*(R288-'Operating costs'!$B$40)*IF('Replacement plan'!$AH$77="",'Operating costs'!$B$7,'Replacement plan'!$AH$77)/('Operating costs'!$B$8-'Operating costs'!$B$9*IF('Replacement plan'!$AH$77="",'Operating costs'!$B$7,'Replacement plan'!$AH$77)),0)*('Operating costs'!$B$9/'Operating costs'!$B$11+'Operating costs'!$B$10/60)*'Operating costs'!$B$19*'Operating costs'!$B$21,SUM(AP288,'Operating costs'!$B$28,'Operating costs'!$B$30,'Operating costs'!$B$32,'Operating costs'!$B$33,'Operating costs'!$B$36,'Operating costs'!$B$38,'Replacement plan'!$Y$77)+'Operating costs'!$B$41*'Operating costs'!$B$43+W288*'Operating costs'!$B$15+(T288*X288/'Replacement plan'!$L$77+W288*('Operating costs'!$B$12/'Operating costs'!$B$11+('Operating costs'!$B$13+'Operating costs'!$B$14)/60)+(R288-'Operating costs'!$B$41)*(IF(T288&lt;1,'Operating costs'!$B$16,0)+'Operating costs'!$B$17)/60)*'Operating costs'!$B$19*'Operating costs'!$B$20),"n.a."))</f>
        <v>0</v>
      </c>
      <c r="N288" s="16">
        <f>IF(AND(C288=1,D288="EV",E288&lt;120,E288+'Replacement plan'!$AA$77&lt;=120),'Replacement plan'!$Z$77,0)</f>
        <v>0</v>
      </c>
      <c r="O288" s="1">
        <f>E288+'Replacement plan'!$AA$77</f>
        <v>0</v>
      </c>
      <c r="P288" s="35" t="str">
        <f>IFERROR(IF(C288=0,"Excluded",IF(OR(COUNTIFS('Fleet register'!$A$7:$A$106,A288)&lt;&gt;1,COUNTIFS('Replacement plan'!$A$7:$A$106,A288)&lt;&gt;1),"Duplicate/missing ID",IF(NOT(AND(ISNUMBER(VLOOKUP($A288,'Fleet register'!$A$7:$S$106,5,FALSE)),ISNUMBER(VLOOKUP($A288,'Fleet register'!$A$7:$S$106,6,FALSE)),ISNUMBER(VLOOKUP($A288,'Fleet register'!$A$7:$S$106,10,FALSE)),ISNUMBER(VLOOKUP($A288,'Fleet register'!$A$7:$S$106,11,FALSE)),ISNUMBER(VLOOKUP($A288,'Fleet register'!$A$7:$S$106,12,FALSE)),ISNUMBER(VLOOKUP($A288,'Fleet register'!$A$7:$S$106,13,FALSE)),ISNUMBER(VLOOKUP($A288,'Fleet register'!$A$7:$S$106,14,FALSE)),VLOOKUP($A288,'Fleet register'!$A$7:$S$106,14,FALSE)&gt;0,ISNUMBER('Replacement plan'!$C$77),OR(E288=120,OR(ISNUMBER('Replacement plan'!$AI$77),AND('Replacement plan'!$AI$77="",ISNUMBER('Operating costs'!$B$56)))),ISNUMBER(E288))),"Missing vehicle input",IF(OR(E288&lt;0,E288&gt;VLOOKUP($A288,'Fleet register'!$A$7:$S$106,10,FALSE),E288&gt;120,E288&lt;&gt;INT(E288),VLOOKUP($A288,'Fleet register'!$A$7:$S$106,6,FALSE)&lt;=0,VLOOKUP($A288,'Fleet register'!$A$7:$S$106,6,FALSE)&gt;366,VLOOKUP($A288,'Fleet register'!$A$7:$S$106,5,FALSE)&lt;0,VLOOKUP($A288,'Fleet register'!$A$7:$S$106,11,FALSE)&lt;0,I288&lt;0,'Operating costs'!$B$8&lt;='Operating costs'!$B$7*'Operating costs'!$B$9,'Operating costs'!$B$11&lt;=0,'Operating costs'!$B$39&gt;R288,'Operating costs'!$B$40&gt;R288,'Operating costs'!$B$41&gt;R288,NOT(OR("New ICE"="Keep ICE","New ICE"="New ICE","New ICE"="EV"))),"Invalid vehicle input",IF(AND(D288="EV",E288&lt;120,OR(NOT(ISNUMBER(U288)),NOT(ISNUMBER(V288)),V288&lt;=0,T288&lt;0,T288&gt;1,'Replacement plan'!$L$77&lt;=0,'Operating costs'!$B$44&lt;0,'Operating costs'!$B$44&gt;=1,'Operating costs'!$B$47&lt;=0,'Operating costs'!$B$47&gt;1,V288*'Operating costs'!$B$47/(1-'Operating costs'!$B$44)&lt;=T288*'Operating costs'!$B$12*U288,AND('Replacement plan'!$Z$77&gt;0,OR('Replacement plan'!$AB$77&lt;&gt;"Yes",'Operating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charging'!$B$8&gt;=0))),ISNUMBER(VLOOKUP($A288,'Fleet register'!$A$7:$S$106,15,FALSE)),ISNUMBER(VLOOKUP($A288,'Fleet register'!$A$7:$S$106,16,FALSE)),ISNUMBER('Replacement plan'!$W$77),ISNUMBER('Replacement plan'!$X$77),OR(E288=120,AND(ISNUMBER(G288),G288&gt;=0)),ISNUMBER(H288),H288&gt;=0,OR(D288&lt;&gt;"EV",E288=120,AND(ISNUMBER('Operating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average",ISNUMBER(IFERROR(INDEX(Products!$P$7:$P$13,MATCH(AD288,Products!$A$7:$A$13,0)),"")))),ISNUMBER('Operating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plan'!$Y$77),ISNUMBER('Replacement plan'!$Z$77),'Replacement plan'!$Z$77&gt;=0,ISNUMBER('Replacement plan'!$AA$77),'Replacement plan'!$AA$77&gt;=0,'Replacement plan'!$AA$77=INT('Replacement plan'!$AA$77),ISNUMBER('Replacement plan'!$L$77))),'Operating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plan'!$AG$77="",'Operating costs'!$B$7,'Replacement plan'!$AG$77)),IF('Replacement plan'!$AG$77="",'Operating costs'!$B$7,'Replacement plan'!$AG$77)&gt;=0,ISNUMBER(IF('Replacement plan'!$AH$77="",'Operating costs'!$B$7,'Replacement plan'!$AH$77)),IF('Replacement plan'!$AH$77="",'Operating costs'!$B$7,'Replacement plan'!$AH$77)&gt;=0,'Operating costs'!$B$8&gt;MAX(IF('Replacement plan'!$AG$77="",'Operating costs'!$B$7,'Replacement plan'!$AG$77),IF('Replacement plan'!$AH$77="",'Operating costs'!$B$7,'Replacement plan'!$AH$77))*'Operating costs'!$B$9),IF(AND(VLOOKUP($A288,'Fleet register'!$A$7:$S$106,10,FALSE)&gt;=0,VLOOKUP($A288,'Fleet register'!$A$7:$S$106,10,FALSE)&lt;=120,VLOOKUP($A288,'Fleet register'!$A$7:$S$106,10,FALSE)=INT(VLOOKUP($A288,'Fleet register'!$A$7:$S$106,10,FALSE)),VLOOKUP($A288,'Fleet register'!$A$7:$S$106,15,FALSE)&gt;=0,VLOOKUP($A288,'Fleet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costs'!$B$67)&gt;=0,OR(D288&lt;&gt;"EV",E288=120,AND(MIN('Operating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88" s="1" t="str">
        <f>IF(C288=0,"Excluded",IF(P288&lt;&gt;"Complete",P288,IF(OR('Replacement plan'!$AD$77&lt;120-E288,AND(D288="EV",E288&lt;120,OR('Replacement plan'!$AC$77&lt;120-E288,'Replacement plan'!$I$77="No",AND(ISNUMBER(AF288),AE288&gt;AF288),AI288&gt;V288*(1-'Operating costs'!$B$46)^MAX(0,AB288-1)*(1-'Operating costs'!$B$45),AC288&gt;'Operating costs'!$B$18,AND(T288&lt;1,OR(AG288&lt;=0,AND(ISNUMBER(AH288),AG288&gt;AH288))),'Replacement plan'!$L$77&gt;INDEX(Products!$H$7:$H$13,MATCH('Replacement plan'!$B$77,Products!$A$7:$A$13,0))))),"Fails entered limits",IF(AND(D288="EV",E288&lt;120,OR(NOT(ISNUMBER(VLOOKUP($A288,'Fleet register'!$A$7:$S$106,7,FALSE))),NOT(ISNUMBER(VLOOKUP($A288,'Fleet register'!$A$7:$S$106,8,FALSE))),NOT(ISNUMBER(AF288)),'Replacement plan'!$I$77&lt;&gt;"Yes",NOT(ISNUMBER(AH288)),'Operating costs'!$B$59&lt;&gt;"Yes",'Operating costs'!$B$58&lt;&gt;"Yes")),"Unverified","Within entered limits"))))</f>
        <v>Excluded</v>
      </c>
      <c r="R288" s="1">
        <f>IF(C288=0,0,VLOOKUP($A288,'Fleet register'!$A$7:$S$106,6,FALSE))</f>
        <v>0</v>
      </c>
      <c r="S288" s="1">
        <f>IF(C288=0,0,VLOOKUP($A288,'Fleet register'!$A$7:$S$106,5,FALSE))</f>
        <v>0</v>
      </c>
      <c r="T288" s="1">
        <f>IF(D288="EV",'Energy and charging'!$B$12,0)</f>
        <v>0</v>
      </c>
      <c r="U288" s="1">
        <f>IFERROR(IF(C288=0,0,IF(D288="EV",IF('Replacement plan'!$F$77="",INDEX(Products!$E$7:$E$13,MATCH('Replacement plan'!$B$77,Products!$A$7:$A$13,0)),'Replacement plan'!$F$77)/IF('Replacement plan'!$G$77="Battery",1-'Operating costs'!$B$44,1),0)),"n.a.")</f>
        <v>0</v>
      </c>
      <c r="V288" s="1">
        <f>IFERROR(IF(C288=0,0,IF(D288="EV",IF('Replacement plan'!$E$77="",INDEX(Products!$D$7:$D$13,MATCH('Replacement plan'!$B$77,Products!$A$7:$A$13,0)),'Replacement plan'!$E$77),0)),"n.a.")</f>
        <v>0</v>
      </c>
      <c r="W288" s="1">
        <f>IF(C288=0,0,IF(AND(P288="Complete",D288="EV",E288&lt;120),IF(T288=0,0,ROUNDUP(T288*(R288-'Operating costs'!$B$41)*(S288*U288+'Operating costs'!$B$48/(1-'Operating costs'!$B$44))/(V288*'Operating costs'!$B$47/(1-'Operating costs'!$B$44)-T288*'Operating costs'!$B$12*U288),0)),0))</f>
        <v>0</v>
      </c>
      <c r="X288" s="1">
        <f>IF(C288=0,0,IF(AND(P288="Complete",D288="EV",E288&lt;120),(R288-'Operating costs'!$B$41)*(S288*U288+'Operating costs'!$B$48/(1-'Operating costs'!$B$44))+W288*'Operating costs'!$B$12*U288,0))</f>
        <v>0</v>
      </c>
      <c r="Y288" s="1">
        <f>IF(AND(C288=1,D288="EV",E288&lt;120),AI288/(1-'Operating costs'!$B$44)*(1-T288),0)</f>
        <v>0</v>
      </c>
      <c r="Z288" s="1">
        <f t="shared" si="8"/>
        <v>0</v>
      </c>
      <c r="AA288" s="1">
        <f>IF(C288=0,0,IF(P288="Complete",((S288*(R288-'Operating costs'!$B$40))+ROUNDUP(S288*(R288-'Operating costs'!$B$40)*IF('Replacement plan'!$AH$77="",'Operating costs'!$B$7,'Replacement plan'!$AH$77)/('Operating costs'!$B$8-'Operating costs'!$B$9*IF('Replacement plan'!$AH$77="",'Operating costs'!$B$7,'Replacement plan'!$AH$77)),0)*'Operating costs'!$B$9)*IF('Replacement plan'!$AH$77="",'Operating costs'!$B$7,'Replacement plan'!$AH$77),"n.a."))</f>
        <v>0</v>
      </c>
      <c r="AB288" s="1">
        <f t="shared" si="9"/>
        <v>0</v>
      </c>
      <c r="AC288" s="1">
        <f>IF(AND(C288=1,D288="EV",E288&lt;120,T288&gt;0),'Operating costs'!$B$12/'Operating costs'!$B$11*60+'Operating costs'!$B$13+'Operating costs'!$B$14+V288*'Operating costs'!$B$47/(1-'Operating costs'!$B$44)/'Replacement plan'!$L$77*60,0)</f>
        <v>0</v>
      </c>
      <c r="AD288" s="1" t="str">
        <f>'Replacement plan'!$B$77</f>
        <v>ChengLong L2EV</v>
      </c>
      <c r="AE288" s="1">
        <f>IF(C288=0,0,VLOOKUP($A288,'Fleet register'!$A$7:$S$106,8,FALSE))</f>
        <v>0</v>
      </c>
      <c r="AF288" s="1" t="str">
        <f>IF('Replacement plan'!$H$77="","n.a.",'Replacement plan'!$H$77)</f>
        <v>n.a.</v>
      </c>
      <c r="AG288" s="1">
        <f>'Replacement plan'!$J$77</f>
        <v>22</v>
      </c>
      <c r="AH288" s="1">
        <f>IFERROR(IF(D288="EV",IF('Replacement plan'!$K$77="AC",IF(ISNUMBER(INDEX(Products!$G$7:$G$13,MATCH('Replacement plan'!$B$77,Products!$A$7:$A$13,0))),INDEX(Products!$G$7:$G$13,MATCH('Replacement plan'!$B$77,Products!$A$7:$A$13,0)),"n.a."),IF(ISNUMBER(INDEX(Products!$H$7:$H$13,MATCH('Replacement plan'!$B$77,Products!$A$7:$A$13,0))),INDEX(Products!$H$7:$H$13,MATCH('Replacement plan'!$B$77,Products!$A$7:$A$13,0)),"n.a.")),0),"n.a.")</f>
        <v>0</v>
      </c>
      <c r="AI288" s="1">
        <f>IF(AND(C288=1,D288="EV",E288&lt;120),(VLOOKUP($A288,'Fleet register'!$A$7:$S$106,7,FALSE)+IF(T288&gt;0,'Operating costs'!$B$12,0))*U288*(1-'Operating costs'!$B$44)+'Operating costs'!$B$49,0)</f>
        <v>0</v>
      </c>
      <c r="AJ288" s="1">
        <f>IF(D288="EV",'Energy and charging'!$B$50,0)</f>
        <v>0</v>
      </c>
      <c r="AK288" s="17">
        <f>EDATE('Operating costs'!$B$63,E288)</f>
        <v>46298</v>
      </c>
      <c r="AL288" s="1">
        <f>IFERROR(IF(D288="EV",INDEX(Products!$B$7:$B$13,MATCH('Replacement plan'!$B$77,Products!$A$7:$A$13,0)),0),"n.a.")</f>
        <v>0</v>
      </c>
      <c r="AM288" s="1" t="str">
        <f>'Replacement plan'!$K$77</f>
        <v>DC</v>
      </c>
      <c r="AN288" s="1" t="str">
        <f>'Replacement plan'!$AE$77</f>
        <v>Assumed</v>
      </c>
      <c r="AO288" s="47">
        <f>IF(AND(C288=1,D288="EV",E288&lt;120),(R288-'Operating costs'!$B$41)*S288+W288*'Operating costs'!$B$12,0)</f>
        <v>0</v>
      </c>
      <c r="AP288" s="41">
        <f>IF(AND(C288=1,D288="EV",E288&lt;120),IF('Operating costs'!$B$68="Hong Seh 200k average",AO288*IFERROR(INDEX(Products!$P$7:$P$13,MATCH(AD288,Products!$A$7:$A$13,0)),"n.a."),'Operating costs'!$B$26),0)</f>
        <v>0</v>
      </c>
      <c r="AQ288" s="40" t="str">
        <f>IF(D288="EV",'Operating costs'!$B$68,"Not applicable")</f>
        <v>Not applicable</v>
      </c>
    </row>
    <row r="289" spans="1:43" ht="24" customHeight="1">
      <c r="A289" s="1" t="str">
        <f>'Replacement plan'!A77</f>
        <v>T071</v>
      </c>
      <c r="B289" s="1">
        <v>2</v>
      </c>
      <c r="C289" s="1">
        <f>IF(COUNTIFS('Fleet register'!$A$7:$A$106,$A289)=1,VLOOKUP($A289,'Fleet register'!$A$7:$S$106,2,FALSE),0)</f>
        <v>0</v>
      </c>
      <c r="D289" s="1" t="str">
        <f>IF('Replacement plan'!$O$77="EV","EV","ICE")</f>
        <v>ICE</v>
      </c>
      <c r="E289" s="1">
        <f>IF(C289=0,0,IF('Replacement plan'!$P$77="",IF('Replacement plan'!$O$77="Keep ICE",IF('Replacement plan'!$M$77="",VLOOKUP($A289,'Fleet register'!$A$7:$S$106,10,FALSE),'Replacement plan'!$M$77),0),'Replacement plan'!$P$77))</f>
        <v>0</v>
      </c>
      <c r="F289" s="16">
        <f>IF(C289=0,0,VLOOKUP($A289,'Fleet register'!$A$7:$S$106,11,FALSE))</f>
        <v>0</v>
      </c>
      <c r="G289" s="16">
        <f>IFERROR(IF(C289=0,0,IF(E289=120,0,IF(D289="ICE",'Replacement plan'!$C$77,IF('Replacement plan'!$D$77="",INDEX(Products!$I$7:$I$13,MATCH('Replacement plan'!$B$77,Products!$A$7:$A$13,0))+'Operating costs'!$B$57,'Replacement plan'!$D$77))*(1+'Operating costs'!$B$50)^(E289/12))),"n.a.")</f>
        <v>0</v>
      </c>
      <c r="H289" s="16">
        <f>IFERROR(IF(C289=0,0,IF('Replacement plan'!$U$77&lt;&gt;"",'Replacement plan'!$U$77,IF(E289=0,F289,VLOOKUP($A289,'Fleet register'!$A$7:$S$106,12,FALSE)+VLOOKUP($A289,'Fleet register'!$A$7:$S$106,13,FALSE)*MAX(0,VLOOKUP($A289,'Fleet register'!$A$7:$S$106,10,FALSE)-E289)/VLOOKUP($A289,'Fleet register'!$A$7:$S$106,14,FALSE)))),"n.a.")</f>
        <v>0</v>
      </c>
      <c r="I289" s="16">
        <f>IF(C289=0,0,IF(E289=120,0,'Replacement plan'!$Q$77))</f>
        <v>0</v>
      </c>
      <c r="J289" s="16">
        <f>IF(C289=0,0,IF(P289="Complete",((S289*(R289-'Operating costs'!$B$39))+ROUNDUP(S289*(R289-'Operating costs'!$B$39)*IF('Replacement plan'!$AG$77="",'Operating costs'!$B$7,'Replacement plan'!$AG$77)/('Operating costs'!$B$8-'Operating costs'!$B$9*IF('Replacement plan'!$AG$77="",'Operating costs'!$B$7,'Replacement plan'!$AG$77)),0)*'Operating costs'!$B$9)*IF('Replacement plan'!$AG$77="",'Operating costs'!$B$7,'Replacement plan'!$AG$77)*('Energy and charging'!$B$9*'Energy and charging'!$B$7+(1-'Energy and charging'!$B$9)*'Energy and charging'!$B$8)*'Operating costs'!$B$23,"n.a."))</f>
        <v>0</v>
      </c>
      <c r="K289" s="16">
        <f>IF(C289=0,0,IF(P289="Complete",SUM('Operating costs'!$B$24,'Operating costs'!$B$27,'Operating costs'!$B$29,'Operating costs'!$B$31,'Operating costs'!$B$33,'Operating costs'!$B$34,'Operating costs'!$B$37,'Replacement plan'!$W$77)+'Operating costs'!$B$39*'Operating costs'!$B$42+ROUNDUP(S289*(R289-'Operating costs'!$B$39)*IF('Replacement plan'!$AG$77="",'Operating costs'!$B$7,'Replacement plan'!$AG$77)/('Operating costs'!$B$8-'Operating costs'!$B$9*IF('Replacement plan'!$AG$77="",'Operating costs'!$B$7,'Replacement plan'!$AG$77)),0)*('Operating costs'!$B$9/'Operating costs'!$B$11+'Operating costs'!$B$10/60)*'Operating costs'!$B$19*'Operating costs'!$B$21,"n.a."))</f>
        <v>0</v>
      </c>
      <c r="L289" s="16">
        <f>IF(C289=0,0,IF(P289="Complete",IF(D289="EV",X289*((1-T289)*'Energy and charging'!$B$10+T289*'Energy and charging'!$B$11)*'Operating costs'!$B$22,AA289*('Energy and charging'!$B$9*'Energy and charging'!$B$7+(1-'Energy and charging'!$B$9)*'Energy and charging'!$B$8)*'Operating costs'!$B$23),"n.a."))</f>
        <v>0</v>
      </c>
      <c r="M289" s="37">
        <f>IF(C289=0,0,IF(P289="Complete",IF(D289="ICE",SUM('Operating costs'!$B$25,'Operating costs'!$B$27,'Operating costs'!$B$29,'Operating costs'!$B$31,'Operating costs'!$B$33,'Operating costs'!$B$35,'Operating costs'!$B$37,'Replacement plan'!$X$77)+'Operating costs'!$B$40*'Operating costs'!$B$42+ROUNDUP(S289*(R289-'Operating costs'!$B$40)*IF('Replacement plan'!$AH$77="",'Operating costs'!$B$7,'Replacement plan'!$AH$77)/('Operating costs'!$B$8-'Operating costs'!$B$9*IF('Replacement plan'!$AH$77="",'Operating costs'!$B$7,'Replacement plan'!$AH$77)),0)*('Operating costs'!$B$9/'Operating costs'!$B$11+'Operating costs'!$B$10/60)*'Operating costs'!$B$19*'Operating costs'!$B$21,SUM(AP289,'Operating costs'!$B$28,'Operating costs'!$B$30,'Operating costs'!$B$32,'Operating costs'!$B$33,'Operating costs'!$B$36,'Operating costs'!$B$38,'Replacement plan'!$Y$77)+'Operating costs'!$B$41*'Operating costs'!$B$43+W289*'Operating costs'!$B$15+(T289*X289/'Replacement plan'!$L$77+W289*('Operating costs'!$B$12/'Operating costs'!$B$11+('Operating costs'!$B$13+'Operating costs'!$B$14)/60)+(R289-'Operating costs'!$B$41)*(IF(T289&lt;1,'Operating costs'!$B$16,0)+'Operating costs'!$B$17)/60)*'Operating costs'!$B$19*'Operating costs'!$B$20),"n.a."))</f>
        <v>0</v>
      </c>
      <c r="N289" s="16">
        <f>IF(AND(C289=1,D289="EV",E289&lt;120,E289+'Replacement plan'!$AA$77&lt;=120),'Replacement plan'!$Z$77,0)</f>
        <v>0</v>
      </c>
      <c r="O289" s="1">
        <f>E289+'Replacement plan'!$AA$77</f>
        <v>0</v>
      </c>
      <c r="P289" s="35" t="str">
        <f>IFERROR(IF(C289=0,"Excluded",IF(OR(COUNTIFS('Fleet register'!$A$7:$A$106,A289)&lt;&gt;1,COUNTIFS('Replacement plan'!$A$7:$A$106,A289)&lt;&gt;1),"Duplicate/missing ID",IF(NOT(AND(ISNUMBER(VLOOKUP($A289,'Fleet register'!$A$7:$S$106,5,FALSE)),ISNUMBER(VLOOKUP($A289,'Fleet register'!$A$7:$S$106,6,FALSE)),ISNUMBER(VLOOKUP($A289,'Fleet register'!$A$7:$S$106,10,FALSE)),ISNUMBER(VLOOKUP($A289,'Fleet register'!$A$7:$S$106,11,FALSE)),ISNUMBER(VLOOKUP($A289,'Fleet register'!$A$7:$S$106,12,FALSE)),ISNUMBER(VLOOKUP($A289,'Fleet register'!$A$7:$S$106,13,FALSE)),ISNUMBER(VLOOKUP($A289,'Fleet register'!$A$7:$S$106,14,FALSE)),VLOOKUP($A289,'Fleet register'!$A$7:$S$106,14,FALSE)&gt;0,ISNUMBER('Replacement plan'!$C$77),OR(E289=120,ISNUMBER('Replacement plan'!$Q$77)),ISNUMBER(E289))),"Missing vehicle input",IF(OR(E289&lt;0,E289&gt;VLOOKUP($A289,'Fleet register'!$A$7:$S$106,10,FALSE),E289&gt;120,E289&lt;&gt;INT(E289),VLOOKUP($A289,'Fleet register'!$A$7:$S$106,6,FALSE)&lt;=0,VLOOKUP($A289,'Fleet register'!$A$7:$S$106,6,FALSE)&gt;366,VLOOKUP($A289,'Fleet register'!$A$7:$S$106,5,FALSE)&lt;0,VLOOKUP($A289,'Fleet register'!$A$7:$S$106,11,FALSE)&lt;0,I289&lt;0,'Operating costs'!$B$8&lt;='Operating costs'!$B$7*'Operating costs'!$B$9,'Operating costs'!$B$11&lt;=0,'Operating costs'!$B$39&gt;R289,'Operating costs'!$B$40&gt;R289,'Operating costs'!$B$41&gt;R289,NOT(OR('Replacement plan'!$O$77="Keep ICE",'Replacement plan'!$O$77="New ICE",'Replacement plan'!$O$77="EV"))),"Invalid vehicle input",IF(AND(D289="EV",E289&lt;120,OR(NOT(ISNUMBER(U289)),NOT(ISNUMBER(V289)),V289&lt;=0,T289&lt;0,T289&gt;1,'Replacement plan'!$L$77&lt;=0,'Operating costs'!$B$44&lt;0,'Operating costs'!$B$44&gt;=1,'Operating costs'!$B$47&lt;=0,'Operating costs'!$B$47&gt;1,V289*'Operating costs'!$B$47/(1-'Operating costs'!$B$44)&lt;=T289*'Operating costs'!$B$12*U289,AND('Replacement plan'!$Z$77&gt;0,OR('Replacement plan'!$AB$77&lt;&gt;"Yes",'Operating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charging'!$B$8&gt;=0))),ISNUMBER(VLOOKUP($A289,'Fleet register'!$A$7:$S$106,15,FALSE)),ISNUMBER(VLOOKUP($A289,'Fleet register'!$A$7:$S$106,16,FALSE)),ISNUMBER('Replacement plan'!$W$77),ISNUMBER('Replacement plan'!$X$77),OR(E289=120,AND(ISNUMBER(G289),G289&gt;=0)),ISNUMBER(H289),H289&gt;=0,OR(D289&lt;&gt;"EV",E289=120,AND(ISNUMBER('Operating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average",ISNUMBER(IFERROR(INDEX(Products!$P$7:$P$13,MATCH(AD289,Products!$A$7:$A$13,0)),"")))),ISNUMBER('Operating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plan'!$Y$77),ISNUMBER('Replacement plan'!$Z$77),'Replacement plan'!$Z$77&gt;=0,ISNUMBER('Replacement plan'!$AA$77),'Replacement plan'!$AA$77&gt;=0,'Replacement plan'!$AA$77=INT('Replacement plan'!$AA$77),ISNUMBER('Replacement plan'!$L$77))),'Operating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plan'!$AG$77="",'Operating costs'!$B$7,'Replacement plan'!$AG$77)),IF('Replacement plan'!$AG$77="",'Operating costs'!$B$7,'Replacement plan'!$AG$77)&gt;=0,ISNUMBER(IF('Replacement plan'!$AH$77="",'Operating costs'!$B$7,'Replacement plan'!$AH$77)),IF('Replacement plan'!$AH$77="",'Operating costs'!$B$7,'Replacement plan'!$AH$77)&gt;=0,'Operating costs'!$B$8&gt;MAX(IF('Replacement plan'!$AG$77="",'Operating costs'!$B$7,'Replacement plan'!$AG$77),IF('Replacement plan'!$AH$77="",'Operating costs'!$B$7,'Replacement plan'!$AH$77))*'Operating costs'!$B$9),IF(AND(VLOOKUP($A289,'Fleet register'!$A$7:$S$106,10,FALSE)&gt;=0,VLOOKUP($A289,'Fleet register'!$A$7:$S$106,10,FALSE)&lt;=120,VLOOKUP($A289,'Fleet register'!$A$7:$S$106,10,FALSE)=INT(VLOOKUP($A289,'Fleet register'!$A$7:$S$106,10,FALSE)),VLOOKUP($A289,'Fleet register'!$A$7:$S$106,15,FALSE)&gt;=0,VLOOKUP($A289,'Fleet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costs'!$B$67)&gt;=0,OR(D289&lt;&gt;"EV",E289=120,AND(MIN('Operating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89" s="1" t="str">
        <f>IF(C289=0,"Excluded",IF(P289&lt;&gt;"Complete",P289,IF(OR('Replacement plan'!$AD$77&lt;120-E289,AND(D289="EV",E289&lt;120,OR('Replacement plan'!$AC$77&lt;120-E289,'Replacement plan'!$I$77="No",AND(ISNUMBER(AF289),AE289&gt;AF289),AI289&gt;V289*(1-'Operating costs'!$B$46)^MAX(0,AB289-1)*(1-'Operating costs'!$B$45),AC289&gt;'Operating costs'!$B$18,AND(T289&lt;1,OR(AG289&lt;=0,AND(ISNUMBER(AH289),AG289&gt;AH289))),'Replacement plan'!$L$77&gt;INDEX(Products!$H$7:$H$13,MATCH('Replacement plan'!$B$77,Products!$A$7:$A$13,0))))),"Fails entered limits",IF(AND(D289="EV",E289&lt;120,OR(NOT(ISNUMBER(VLOOKUP($A289,'Fleet register'!$A$7:$S$106,7,FALSE))),NOT(ISNUMBER(VLOOKUP($A289,'Fleet register'!$A$7:$S$106,8,FALSE))),NOT(ISNUMBER(AF289)),'Replacement plan'!$I$77&lt;&gt;"Yes",NOT(ISNUMBER(AH289)),'Operating costs'!$B$59&lt;&gt;"Yes",'Operating costs'!$B$58&lt;&gt;"Yes")),"Unverified","Within entered limits"))))</f>
        <v>Excluded</v>
      </c>
      <c r="R289" s="1">
        <f>IF(C289=0,0,VLOOKUP($A289,'Fleet register'!$A$7:$S$106,6,FALSE))</f>
        <v>0</v>
      </c>
      <c r="S289" s="1">
        <f>IF(C289=0,0,VLOOKUP($A289,'Fleet register'!$A$7:$S$106,5,FALSE))</f>
        <v>0</v>
      </c>
      <c r="T289" s="1">
        <f>IF(D289="EV",'Energy and charging'!$B$12,0)</f>
        <v>0</v>
      </c>
      <c r="U289" s="1">
        <f>IFERROR(IF(C289=0,0,IF(D289="EV",IF('Replacement plan'!$F$77="",INDEX(Products!$E$7:$E$13,MATCH('Replacement plan'!$B$77,Products!$A$7:$A$13,0)),'Replacement plan'!$F$77)/IF('Replacement plan'!$G$77="Battery",1-'Operating costs'!$B$44,1),0)),"n.a.")</f>
        <v>0</v>
      </c>
      <c r="V289" s="1">
        <f>IFERROR(IF(C289=0,0,IF(D289="EV",IF('Replacement plan'!$E$77="",INDEX(Products!$D$7:$D$13,MATCH('Replacement plan'!$B$77,Products!$A$7:$A$13,0)),'Replacement plan'!$E$77),0)),"n.a.")</f>
        <v>0</v>
      </c>
      <c r="W289" s="1">
        <f>IF(C289=0,0,IF(AND(P289="Complete",D289="EV",E289&lt;120),IF(T289=0,0,ROUNDUP(T289*(R289-'Operating costs'!$B$41)*(S289*U289+'Operating costs'!$B$48/(1-'Operating costs'!$B$44))/(V289*'Operating costs'!$B$47/(1-'Operating costs'!$B$44)-T289*'Operating costs'!$B$12*U289),0)),0))</f>
        <v>0</v>
      </c>
      <c r="X289" s="1">
        <f>IF(C289=0,0,IF(AND(P289="Complete",D289="EV",E289&lt;120),(R289-'Operating costs'!$B$41)*(S289*U289+'Operating costs'!$B$48/(1-'Operating costs'!$B$44))+W289*'Operating costs'!$B$12*U289,0))</f>
        <v>0</v>
      </c>
      <c r="Y289" s="1">
        <f>IF(AND(C289=1,D289="EV",E289&lt;120),AI289/(1-'Operating costs'!$B$44)*(1-T289),0)</f>
        <v>0</v>
      </c>
      <c r="Z289" s="1">
        <f t="shared" si="8"/>
        <v>0</v>
      </c>
      <c r="AA289" s="1">
        <f>IF(C289=0,0,IF(P289="Complete",((S289*(R289-'Operating costs'!$B$40))+ROUNDUP(S289*(R289-'Operating costs'!$B$40)*IF('Replacement plan'!$AH$77="",'Operating costs'!$B$7,'Replacement plan'!$AH$77)/('Operating costs'!$B$8-'Operating costs'!$B$9*IF('Replacement plan'!$AH$77="",'Operating costs'!$B$7,'Replacement plan'!$AH$77)),0)*'Operating costs'!$B$9)*IF('Replacement plan'!$AH$77="",'Operating costs'!$B$7,'Replacement plan'!$AH$77),"n.a."))</f>
        <v>0</v>
      </c>
      <c r="AB289" s="1">
        <f t="shared" si="9"/>
        <v>0</v>
      </c>
      <c r="AC289" s="1">
        <f>IF(AND(C289=1,D289="EV",E289&lt;120,T289&gt;0),'Operating costs'!$B$12/'Operating costs'!$B$11*60+'Operating costs'!$B$13+'Operating costs'!$B$14+V289*'Operating costs'!$B$47/(1-'Operating costs'!$B$44)/'Replacement plan'!$L$77*60,0)</f>
        <v>0</v>
      </c>
      <c r="AD289" s="1" t="str">
        <f>'Replacement plan'!$B$77</f>
        <v>ChengLong L2EV</v>
      </c>
      <c r="AE289" s="1">
        <f>IF(C289=0,0,VLOOKUP($A289,'Fleet register'!$A$7:$S$106,8,FALSE))</f>
        <v>0</v>
      </c>
      <c r="AF289" s="1" t="str">
        <f>IF('Replacement plan'!$H$77="","n.a.",'Replacement plan'!$H$77)</f>
        <v>n.a.</v>
      </c>
      <c r="AG289" s="1">
        <f>'Replacement plan'!$J$77</f>
        <v>22</v>
      </c>
      <c r="AH289" s="1">
        <f>IFERROR(IF(D289="EV",IF('Replacement plan'!$K$77="AC",IF(ISNUMBER(INDEX(Products!$G$7:$G$13,MATCH('Replacement plan'!$B$77,Products!$A$7:$A$13,0))),INDEX(Products!$G$7:$G$13,MATCH('Replacement plan'!$B$77,Products!$A$7:$A$13,0)),"n.a."),IF(ISNUMBER(INDEX(Products!$H$7:$H$13,MATCH('Replacement plan'!$B$77,Products!$A$7:$A$13,0))),INDEX(Products!$H$7:$H$13,MATCH('Replacement plan'!$B$77,Products!$A$7:$A$13,0)),"n.a.")),0),"n.a.")</f>
        <v>0</v>
      </c>
      <c r="AI289" s="1">
        <f>IF(AND(C289=1,D289="EV",E289&lt;120),(VLOOKUP($A289,'Fleet register'!$A$7:$S$106,7,FALSE)+IF(T289&gt;0,'Operating costs'!$B$12,0))*U289*(1-'Operating costs'!$B$44)+'Operating costs'!$B$49,0)</f>
        <v>0</v>
      </c>
      <c r="AJ289" s="1">
        <f>IF(D289="EV",'Energy and charging'!$B$50,0)</f>
        <v>0</v>
      </c>
      <c r="AK289" s="17">
        <f>EDATE('Operating costs'!$B$63,E289)</f>
        <v>46298</v>
      </c>
      <c r="AL289" s="1">
        <f>IFERROR(IF(D289="EV",INDEX(Products!$B$7:$B$13,MATCH('Replacement plan'!$B$77,Products!$A$7:$A$13,0)),0),"n.a.")</f>
        <v>0</v>
      </c>
      <c r="AM289" s="1" t="str">
        <f>'Replacement plan'!$K$77</f>
        <v>DC</v>
      </c>
      <c r="AN289" s="1" t="str">
        <f>'Replacement plan'!$AE$77</f>
        <v>Assumed</v>
      </c>
      <c r="AO289" s="47">
        <f>IF(AND(C289=1,D289="EV",E289&lt;120),(R289-'Operating costs'!$B$41)*S289+W289*'Operating costs'!$B$12,0)</f>
        <v>0</v>
      </c>
      <c r="AP289" s="41">
        <f>IF(AND(C289=1,D289="EV",E289&lt;120),IF('Operating costs'!$B$68="Hong Seh 200k average",AO289*IFERROR(INDEX(Products!$P$7:$P$13,MATCH(AD289,Products!$A$7:$A$13,0)),"n.a."),'Operating costs'!$B$26),0)</f>
        <v>0</v>
      </c>
      <c r="AQ289" s="40" t="str">
        <f>IF(D289="EV",'Operating costs'!$B$68,"Not applicable")</f>
        <v>Not applicable</v>
      </c>
    </row>
    <row r="290" spans="1:43" ht="24" customHeight="1">
      <c r="A290" s="1" t="str">
        <f>'Replacement plan'!A77</f>
        <v>T071</v>
      </c>
      <c r="B290" s="1">
        <v>3</v>
      </c>
      <c r="C290" s="1">
        <f>IF(COUNTIFS('Fleet register'!$A$7:$A$106,$A290)=1,VLOOKUP($A290,'Fleet register'!$A$7:$S$106,2,FALSE),0)</f>
        <v>0</v>
      </c>
      <c r="D290" s="1" t="str">
        <f>IF('Replacement plan'!$R$77="EV","EV","ICE")</f>
        <v>ICE</v>
      </c>
      <c r="E290" s="1">
        <f>IF(C290=0,0,IF('Replacement plan'!$S$77="",IF('Replacement plan'!$R$77="Keep ICE",IF('Replacement plan'!$M$77="",VLOOKUP($A290,'Fleet register'!$A$7:$S$106,10,FALSE),'Replacement plan'!$M$77),0),'Replacement plan'!$S$77))</f>
        <v>0</v>
      </c>
      <c r="F290" s="16">
        <f>IF(C290=0,0,VLOOKUP($A290,'Fleet register'!$A$7:$S$106,11,FALSE))</f>
        <v>0</v>
      </c>
      <c r="G290" s="16">
        <f>IFERROR(IF(C290=0,0,IF(E290=120,0,IF(D290="ICE",'Replacement plan'!$C$77,IF('Replacement plan'!$D$77="",INDEX(Products!$I$7:$I$13,MATCH('Replacement plan'!$B$77,Products!$A$7:$A$13,0))+'Operating costs'!$B$57,'Replacement plan'!$D$77))*(1+'Operating costs'!$B$50)^(E290/12))),"n.a.")</f>
        <v>0</v>
      </c>
      <c r="H290" s="16">
        <f>IFERROR(IF(C290=0,0,IF('Replacement plan'!$V$77&lt;&gt;"",'Replacement plan'!$V$77,IF(E290=0,F290,VLOOKUP($A290,'Fleet register'!$A$7:$S$106,12,FALSE)+VLOOKUP($A290,'Fleet register'!$A$7:$S$106,13,FALSE)*MAX(0,VLOOKUP($A290,'Fleet register'!$A$7:$S$106,10,FALSE)-E290)/VLOOKUP($A290,'Fleet register'!$A$7:$S$106,14,FALSE)))),"n.a.")</f>
        <v>0</v>
      </c>
      <c r="I290" s="16">
        <f>IF(C290=0,0,IF(E290=120,0,'Replacement plan'!$T$77))</f>
        <v>0</v>
      </c>
      <c r="J290" s="16">
        <f>IF(C290=0,0,IF(P290="Complete",((S290*(R290-'Operating costs'!$B$39))+ROUNDUP(S290*(R290-'Operating costs'!$B$39)*IF('Replacement plan'!$AG$77="",'Operating costs'!$B$7,'Replacement plan'!$AG$77)/('Operating costs'!$B$8-'Operating costs'!$B$9*IF('Replacement plan'!$AG$77="",'Operating costs'!$B$7,'Replacement plan'!$AG$77)),0)*'Operating costs'!$B$9)*IF('Replacement plan'!$AG$77="",'Operating costs'!$B$7,'Replacement plan'!$AG$77)*('Energy and charging'!$C$9*'Energy and charging'!$C$7+(1-'Energy and charging'!$C$9)*'Energy and charging'!$C$8)*'Operating costs'!$B$23,"n.a."))</f>
        <v>0</v>
      </c>
      <c r="K290" s="16">
        <f>IF(C290=0,0,IF(P290="Complete",SUM('Operating costs'!$B$24,'Operating costs'!$B$27,'Operating costs'!$B$29,'Operating costs'!$B$31,'Operating costs'!$B$33,'Operating costs'!$B$34,'Operating costs'!$B$37,'Replacement plan'!$W$77)+'Operating costs'!$B$39*'Operating costs'!$B$42+ROUNDUP(S290*(R290-'Operating costs'!$B$39)*IF('Replacement plan'!$AG$77="",'Operating costs'!$B$7,'Replacement plan'!$AG$77)/('Operating costs'!$B$8-'Operating costs'!$B$9*IF('Replacement plan'!$AG$77="",'Operating costs'!$B$7,'Replacement plan'!$AG$77)),0)*('Operating costs'!$B$9/'Operating costs'!$B$11+'Operating costs'!$B$10/60)*'Operating costs'!$B$19*'Operating costs'!$B$21,"n.a."))</f>
        <v>0</v>
      </c>
      <c r="L290" s="16">
        <f>IF(C290=0,0,IF(P290="Complete",IF(D290="EV",X290*((1-T290)*'Energy and charging'!$C$10+T290*'Energy and charging'!$C$11)*'Operating costs'!$B$22,AA290*('Energy and charging'!$C$9*'Energy and charging'!$C$7+(1-'Energy and charging'!$C$9)*'Energy and charging'!$C$8)*'Operating costs'!$B$23),"n.a."))</f>
        <v>0</v>
      </c>
      <c r="M290" s="37">
        <f>IF(C290=0,0,IF(P290="Complete",IF(D290="ICE",SUM('Operating costs'!$B$25,'Operating costs'!$B$27,'Operating costs'!$B$29,'Operating costs'!$B$31,'Operating costs'!$B$33,'Operating costs'!$B$35,'Operating costs'!$B$37,'Replacement plan'!$X$77)+'Operating costs'!$B$40*'Operating costs'!$B$42+ROUNDUP(S290*(R290-'Operating costs'!$B$40)*IF('Replacement plan'!$AH$77="",'Operating costs'!$B$7,'Replacement plan'!$AH$77)/('Operating costs'!$B$8-'Operating costs'!$B$9*IF('Replacement plan'!$AH$77="",'Operating costs'!$B$7,'Replacement plan'!$AH$77)),0)*('Operating costs'!$B$9/'Operating costs'!$B$11+'Operating costs'!$B$10/60)*'Operating costs'!$B$19*'Operating costs'!$B$21,SUM(AP290,'Operating costs'!$B$28,'Operating costs'!$B$30,'Operating costs'!$B$32,'Operating costs'!$B$33,'Operating costs'!$B$36,'Operating costs'!$B$38,'Replacement plan'!$Y$77)+'Operating costs'!$B$41*'Operating costs'!$B$43+W290*'Operating costs'!$B$15+(T290*X290/'Replacement plan'!$L$77+W290*('Operating costs'!$B$12/'Operating costs'!$B$11+('Operating costs'!$B$13+'Operating costs'!$B$14)/60)+(R290-'Operating costs'!$B$41)*(IF(T290&lt;1,'Operating costs'!$B$16,0)+'Operating costs'!$B$17)/60)*'Operating costs'!$B$19*'Operating costs'!$B$20),"n.a."))</f>
        <v>0</v>
      </c>
      <c r="N290" s="16">
        <f>IF(AND(C290=1,D290="EV",E290&lt;120,E290+'Replacement plan'!$AA$77&lt;=120),'Replacement plan'!$Z$77,0)</f>
        <v>0</v>
      </c>
      <c r="O290" s="1">
        <f>E290+'Replacement plan'!$AA$77</f>
        <v>0</v>
      </c>
      <c r="P290" s="35" t="str">
        <f>IFERROR(IF(C290=0,"Excluded",IF(OR(COUNTIFS('Fleet register'!$A$7:$A$106,A290)&lt;&gt;1,COUNTIFS('Replacement plan'!$A$7:$A$106,A290)&lt;&gt;1),"Duplicate/missing ID",IF(NOT(AND(ISNUMBER(VLOOKUP($A290,'Fleet register'!$A$7:$S$106,5,FALSE)),ISNUMBER(VLOOKUP($A290,'Fleet register'!$A$7:$S$106,6,FALSE)),ISNUMBER(VLOOKUP($A290,'Fleet register'!$A$7:$S$106,10,FALSE)),ISNUMBER(VLOOKUP($A290,'Fleet register'!$A$7:$S$106,11,FALSE)),ISNUMBER(VLOOKUP($A290,'Fleet register'!$A$7:$S$106,12,FALSE)),ISNUMBER(VLOOKUP($A290,'Fleet register'!$A$7:$S$106,13,FALSE)),ISNUMBER(VLOOKUP($A290,'Fleet register'!$A$7:$S$106,14,FALSE)),VLOOKUP($A290,'Fleet register'!$A$7:$S$106,14,FALSE)&gt;0,ISNUMBER('Replacement plan'!$C$77),OR(E290=120,ISNUMBER('Replacement plan'!$T$77)),ISNUMBER(E290))),"Missing vehicle input",IF(OR(E290&lt;0,E290&gt;VLOOKUP($A290,'Fleet register'!$A$7:$S$106,10,FALSE),E290&gt;120,E290&lt;&gt;INT(E290),VLOOKUP($A290,'Fleet register'!$A$7:$S$106,6,FALSE)&lt;=0,VLOOKUP($A290,'Fleet register'!$A$7:$S$106,6,FALSE)&gt;366,VLOOKUP($A290,'Fleet register'!$A$7:$S$106,5,FALSE)&lt;0,VLOOKUP($A290,'Fleet register'!$A$7:$S$106,11,FALSE)&lt;0,I290&lt;0,'Operating costs'!$B$8&lt;='Operating costs'!$B$7*'Operating costs'!$B$9,'Operating costs'!$B$11&lt;=0,'Operating costs'!$B$39&gt;R290,'Operating costs'!$B$40&gt;R290,'Operating costs'!$B$41&gt;R290,NOT(OR('Replacement plan'!$R$77="Keep ICE",'Replacement plan'!$R$77="New ICE",'Replacement plan'!$R$77="EV"))),"Invalid vehicle input",IF(AND(D290="EV",E290&lt;120,OR(NOT(ISNUMBER(U290)),NOT(ISNUMBER(V290)),V290&lt;=0,T290&lt;0,T290&gt;1,'Replacement plan'!$L$77&lt;=0,'Operating costs'!$B$44&lt;0,'Operating costs'!$B$44&gt;=1,'Operating costs'!$B$47&lt;=0,'Operating costs'!$B$47&gt;1,V290*'Operating costs'!$B$47/(1-'Operating costs'!$B$44)&lt;=T290*'Operating costs'!$B$12*U290,AND('Replacement plan'!$Z$77&gt;0,OR('Replacement plan'!$AB$77&lt;&gt;"Yes",'Operating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charging'!$C$8&gt;=0))),ISNUMBER(VLOOKUP($A290,'Fleet register'!$A$7:$S$106,15,FALSE)),ISNUMBER(VLOOKUP($A290,'Fleet register'!$A$7:$S$106,16,FALSE)),ISNUMBER('Replacement plan'!$W$77),ISNUMBER('Replacement plan'!$X$77),OR(E290=120,AND(ISNUMBER(G290),G290&gt;=0)),ISNUMBER(H290),H290&gt;=0,OR(D290&lt;&gt;"EV",E290=120,AND(ISNUMBER('Operating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average",ISNUMBER(IFERROR(INDEX(Products!$P$7:$P$13,MATCH(AD290,Products!$A$7:$A$13,0)),"")))),ISNUMBER('Operating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plan'!$Y$77),ISNUMBER('Replacement plan'!$Z$77),'Replacement plan'!$Z$77&gt;=0,ISNUMBER('Replacement plan'!$AA$77),'Replacement plan'!$AA$77&gt;=0,'Replacement plan'!$AA$77=INT('Replacement plan'!$AA$77),ISNUMBER('Replacement plan'!$L$77))),'Operating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plan'!$AG$77="",'Operating costs'!$B$7,'Replacement plan'!$AG$77)),IF('Replacement plan'!$AG$77="",'Operating costs'!$B$7,'Replacement plan'!$AG$77)&gt;=0,ISNUMBER(IF('Replacement plan'!$AH$77="",'Operating costs'!$B$7,'Replacement plan'!$AH$77)),IF('Replacement plan'!$AH$77="",'Operating costs'!$B$7,'Replacement plan'!$AH$77)&gt;=0,'Operating costs'!$B$8&gt;MAX(IF('Replacement plan'!$AG$77="",'Operating costs'!$B$7,'Replacement plan'!$AG$77),IF('Replacement plan'!$AH$77="",'Operating costs'!$B$7,'Replacement plan'!$AH$77))*'Operating costs'!$B$9),IF(AND(VLOOKUP($A290,'Fleet register'!$A$7:$S$106,10,FALSE)&gt;=0,VLOOKUP($A290,'Fleet register'!$A$7:$S$106,10,FALSE)&lt;=120,VLOOKUP($A290,'Fleet register'!$A$7:$S$106,10,FALSE)=INT(VLOOKUP($A290,'Fleet register'!$A$7:$S$106,10,FALSE)),VLOOKUP($A290,'Fleet register'!$A$7:$S$106,15,FALSE)&gt;=0,VLOOKUP($A290,'Fleet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costs'!$B$67)&gt;=0,OR(D290&lt;&gt;"EV",E290=120,AND(MIN('Operating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90" s="1" t="str">
        <f>IF(C290=0,"Excluded",IF(P290&lt;&gt;"Complete",P290,IF(OR('Replacement plan'!$AD$77&lt;120-E290,AND(D290="EV",E290&lt;120,OR('Replacement plan'!$AC$77&lt;120-E290,'Replacement plan'!$I$77="No",AND(ISNUMBER(AF290),AE290&gt;AF290),AI290&gt;V290*(1-'Operating costs'!$B$46)^MAX(0,AB290-1)*(1-'Operating costs'!$B$45),AC290&gt;'Operating costs'!$B$18,AND(T290&lt;1,OR(AG290&lt;=0,AND(ISNUMBER(AH290),AG290&gt;AH290))),'Replacement plan'!$L$77&gt;INDEX(Products!$H$7:$H$13,MATCH('Replacement plan'!$B$77,Products!$A$7:$A$13,0))))),"Fails entered limits",IF(AND(D290="EV",E290&lt;120,OR(NOT(ISNUMBER(VLOOKUP($A290,'Fleet register'!$A$7:$S$106,7,FALSE))),NOT(ISNUMBER(VLOOKUP($A290,'Fleet register'!$A$7:$S$106,8,FALSE))),NOT(ISNUMBER(AF290)),'Replacement plan'!$I$77&lt;&gt;"Yes",NOT(ISNUMBER(AH290)),'Operating costs'!$B$59&lt;&gt;"Yes",'Operating costs'!$B$58&lt;&gt;"Yes")),"Unverified","Within entered limits"))))</f>
        <v>Excluded</v>
      </c>
      <c r="R290" s="1">
        <f>IF(C290=0,0,VLOOKUP($A290,'Fleet register'!$A$7:$S$106,6,FALSE))</f>
        <v>0</v>
      </c>
      <c r="S290" s="1">
        <f>IF(C290=0,0,VLOOKUP($A290,'Fleet register'!$A$7:$S$106,5,FALSE))</f>
        <v>0</v>
      </c>
      <c r="T290" s="1">
        <f>IF(D290="EV",'Energy and charging'!$C$12,0)</f>
        <v>0</v>
      </c>
      <c r="U290" s="1">
        <f>IFERROR(IF(C290=0,0,IF(D290="EV",IF('Replacement plan'!$F$77="",INDEX(Products!$E$7:$E$13,MATCH('Replacement plan'!$B$77,Products!$A$7:$A$13,0)),'Replacement plan'!$F$77)/IF('Replacement plan'!$G$77="Battery",1-'Operating costs'!$B$44,1),0)),"n.a.")</f>
        <v>0</v>
      </c>
      <c r="V290" s="1">
        <f>IFERROR(IF(C290=0,0,IF(D290="EV",IF('Replacement plan'!$E$77="",INDEX(Products!$D$7:$D$13,MATCH('Replacement plan'!$B$77,Products!$A$7:$A$13,0)),'Replacement plan'!$E$77),0)),"n.a.")</f>
        <v>0</v>
      </c>
      <c r="W290" s="1">
        <f>IF(C290=0,0,IF(AND(P290="Complete",D290="EV",E290&lt;120),IF(T290=0,0,ROUNDUP(T290*(R290-'Operating costs'!$B$41)*(S290*U290+'Operating costs'!$B$48/(1-'Operating costs'!$B$44))/(V290*'Operating costs'!$B$47/(1-'Operating costs'!$B$44)-T290*'Operating costs'!$B$12*U290),0)),0))</f>
        <v>0</v>
      </c>
      <c r="X290" s="1">
        <f>IF(C290=0,0,IF(AND(P290="Complete",D290="EV",E290&lt;120),(R290-'Operating costs'!$B$41)*(S290*U290+'Operating costs'!$B$48/(1-'Operating costs'!$B$44))+W290*'Operating costs'!$B$12*U290,0))</f>
        <v>0</v>
      </c>
      <c r="Y290" s="1">
        <f>IF(AND(C290=1,D290="EV",E290&lt;120),AI290/(1-'Operating costs'!$B$44)*(1-T290),0)</f>
        <v>0</v>
      </c>
      <c r="Z290" s="1">
        <f t="shared" si="8"/>
        <v>0</v>
      </c>
      <c r="AA290" s="1">
        <f>IF(C290=0,0,IF(P290="Complete",((S290*(R290-'Operating costs'!$B$40))+ROUNDUP(S290*(R290-'Operating costs'!$B$40)*IF('Replacement plan'!$AH$77="",'Operating costs'!$B$7,'Replacement plan'!$AH$77)/('Operating costs'!$B$8-'Operating costs'!$B$9*IF('Replacement plan'!$AH$77="",'Operating costs'!$B$7,'Replacement plan'!$AH$77)),0)*'Operating costs'!$B$9)*IF('Replacement plan'!$AH$77="",'Operating costs'!$B$7,'Replacement plan'!$AH$77),"n.a."))</f>
        <v>0</v>
      </c>
      <c r="AB290" s="1">
        <f t="shared" si="9"/>
        <v>0</v>
      </c>
      <c r="AC290" s="1">
        <f>IF(AND(C290=1,D290="EV",E290&lt;120,T290&gt;0),'Operating costs'!$B$12/'Operating costs'!$B$11*60+'Operating costs'!$B$13+'Operating costs'!$B$14+V290*'Operating costs'!$B$47/(1-'Operating costs'!$B$44)/'Replacement plan'!$L$77*60,0)</f>
        <v>0</v>
      </c>
      <c r="AD290" s="1" t="str">
        <f>'Replacement plan'!$B$77</f>
        <v>ChengLong L2EV</v>
      </c>
      <c r="AE290" s="1">
        <f>IF(C290=0,0,VLOOKUP($A290,'Fleet register'!$A$7:$S$106,8,FALSE))</f>
        <v>0</v>
      </c>
      <c r="AF290" s="1" t="str">
        <f>IF('Replacement plan'!$H$77="","n.a.",'Replacement plan'!$H$77)</f>
        <v>n.a.</v>
      </c>
      <c r="AG290" s="1">
        <f>'Replacement plan'!$J$77</f>
        <v>22</v>
      </c>
      <c r="AH290" s="1">
        <f>IFERROR(IF(D290="EV",IF('Replacement plan'!$K$77="AC",IF(ISNUMBER(INDEX(Products!$G$7:$G$13,MATCH('Replacement plan'!$B$77,Products!$A$7:$A$13,0))),INDEX(Products!$G$7:$G$13,MATCH('Replacement plan'!$B$77,Products!$A$7:$A$13,0)),"n.a."),IF(ISNUMBER(INDEX(Products!$H$7:$H$13,MATCH('Replacement plan'!$B$77,Products!$A$7:$A$13,0))),INDEX(Products!$H$7:$H$13,MATCH('Replacement plan'!$B$77,Products!$A$7:$A$13,0)),"n.a.")),0),"n.a.")</f>
        <v>0</v>
      </c>
      <c r="AI290" s="1">
        <f>IF(AND(C290=1,D290="EV",E290&lt;120),(VLOOKUP($A290,'Fleet register'!$A$7:$S$106,7,FALSE)+IF(T290&gt;0,'Operating costs'!$B$12,0))*U290*(1-'Operating costs'!$B$44)+'Operating costs'!$B$49,0)</f>
        <v>0</v>
      </c>
      <c r="AJ290" s="1">
        <f>IF(D290="EV",'Energy and charging'!$C$50,0)</f>
        <v>0</v>
      </c>
      <c r="AK290" s="17">
        <f>EDATE('Operating costs'!$B$63,E290)</f>
        <v>46298</v>
      </c>
      <c r="AL290" s="1">
        <f>IFERROR(IF(D290="EV",INDEX(Products!$B$7:$B$13,MATCH('Replacement plan'!$B$77,Products!$A$7:$A$13,0)),0),"n.a.")</f>
        <v>0</v>
      </c>
      <c r="AM290" s="1" t="str">
        <f>'Replacement plan'!$K$77</f>
        <v>DC</v>
      </c>
      <c r="AN290" s="1" t="str">
        <f>'Replacement plan'!$AE$77</f>
        <v>Assumed</v>
      </c>
      <c r="AO290" s="47">
        <f>IF(AND(C290=1,D290="EV",E290&lt;120),(R290-'Operating costs'!$B$41)*S290+W290*'Operating costs'!$B$12,0)</f>
        <v>0</v>
      </c>
      <c r="AP290" s="41">
        <f>IF(AND(C290=1,D290="EV",E290&lt;120),IF('Operating costs'!$B$68="Hong Seh 200k average",AO290*IFERROR(INDEX(Products!$P$7:$P$13,MATCH(AD290,Products!$A$7:$A$13,0)),"n.a."),'Operating costs'!$B$26),0)</f>
        <v>0</v>
      </c>
      <c r="AQ290" s="40" t="str">
        <f>IF(D290="EV",'Operating costs'!$B$68,"Not applicable")</f>
        <v>Not applicable</v>
      </c>
    </row>
    <row r="291" spans="1:43" ht="24" customHeight="1">
      <c r="A291" s="1" t="str">
        <f>'Replacement plan'!A78</f>
        <v>T072</v>
      </c>
      <c r="B291" s="1">
        <v>0</v>
      </c>
      <c r="C291" s="1">
        <f>IF(COUNTIFS('Fleet register'!$A$7:$A$106,$A291)=1,VLOOKUP($A291,'Fleet register'!$A$7:$S$106,2,FALSE),0)</f>
        <v>0</v>
      </c>
      <c r="D291" s="1" t="str">
        <f>IF("Keep ICE"="EV","EV","ICE")</f>
        <v>ICE</v>
      </c>
      <c r="E291" s="1">
        <f>IF(C291=0,0,IF('Replacement plan'!$M$78="",VLOOKUP($A291,'Fleet register'!$A$7:$S$106,10,FALSE),'Replacement plan'!$M$78))</f>
        <v>0</v>
      </c>
      <c r="F291" s="16">
        <f>IF(C291=0,0,VLOOKUP($A291,'Fleet register'!$A$7:$S$106,11,FALSE))</f>
        <v>0</v>
      </c>
      <c r="G291" s="16">
        <f>IFERROR(IF(C291=0,0,IF(E291=120,0,IF(D291="ICE",'Replacement plan'!$C$78,IF('Replacement plan'!$D$78="",INDEX(Products!$I$7:$I$13,MATCH('Replacement plan'!$B$78,Products!$A$7:$A$13,0))+'Operating costs'!$B$57,'Replacement plan'!$D$78))*(1+'Operating costs'!$B$50)^(E291/12))),"n.a.")</f>
        <v>0</v>
      </c>
      <c r="H291" s="16">
        <f>IFERROR(IF(C291=0,0,IF(E291=0,F291,VLOOKUP($A291,'Fleet register'!$A$7:$S$106,12,FALSE)+VLOOKUP($A291,'Fleet register'!$A$7:$S$106,13,FALSE)*MAX(0,VLOOKUP($A291,'Fleet register'!$A$7:$S$106,10,FALSE)-E291)/VLOOKUP($A291,'Fleet register'!$A$7:$S$106,14,FALSE))),"n.a.")</f>
        <v>0</v>
      </c>
      <c r="I291" s="16">
        <f>IF(C291=0,0,IF(E291=120,0,'Replacement plan'!$N$78))</f>
        <v>0</v>
      </c>
      <c r="J291" s="16">
        <f>IF(C291=0,0,IF(P291="Complete",((S291*(R291-'Operating costs'!$B$39))+ROUNDUP(S291*(R291-'Operating costs'!$B$39)*IF('Replacement plan'!$AG$78="",'Operating costs'!$B$7,'Replacement plan'!$AG$78)/('Operating costs'!$B$8-'Operating costs'!$B$9*IF('Replacement plan'!$AG$78="",'Operating costs'!$B$7,'Replacement plan'!$AG$78)),0)*'Operating costs'!$B$9)*IF('Replacement plan'!$AG$78="",'Operating costs'!$B$7,'Replacement plan'!$AG$78)*('Energy and charging'!$B$9*'Energy and charging'!$B$7+(1-'Energy and charging'!$B$9)*'Energy and charging'!$B$8)*'Operating costs'!$B$23,"n.a."))</f>
        <v>0</v>
      </c>
      <c r="K291" s="16">
        <f>IF(C291=0,0,IF(P291="Complete",SUM('Operating costs'!$B$24,'Operating costs'!$B$27,'Operating costs'!$B$29,'Operating costs'!$B$31,'Operating costs'!$B$33,'Operating costs'!$B$34,'Operating costs'!$B$37,'Replacement plan'!$W$78)+'Operating costs'!$B$39*'Operating costs'!$B$42+ROUNDUP(S291*(R291-'Operating costs'!$B$39)*IF('Replacement plan'!$AG$78="",'Operating costs'!$B$7,'Replacement plan'!$AG$78)/('Operating costs'!$B$8-'Operating costs'!$B$9*IF('Replacement plan'!$AG$78="",'Operating costs'!$B$7,'Replacement plan'!$AG$78)),0)*('Operating costs'!$B$9/'Operating costs'!$B$11+'Operating costs'!$B$10/60)*'Operating costs'!$B$19*'Operating costs'!$B$21,"n.a."))</f>
        <v>0</v>
      </c>
      <c r="L291" s="16">
        <f>IF(C291=0,0,IF(P291="Complete",IF(D291="EV",X291*((1-T291)*'Energy and charging'!$B$10+T291*'Energy and charging'!$B$11)*'Operating costs'!$B$22,AA291*('Energy and charging'!$B$9*'Energy and charging'!$B$7+(1-'Energy and charging'!$B$9)*'Energy and charging'!$B$8)*'Operating costs'!$B$23),"n.a."))</f>
        <v>0</v>
      </c>
      <c r="M291" s="37">
        <f>IF(C291=0,0,IF(P291="Complete",IF(D291="ICE",SUM('Operating costs'!$B$25,'Operating costs'!$B$27,'Operating costs'!$B$29,'Operating costs'!$B$31,'Operating costs'!$B$33,'Operating costs'!$B$35,'Operating costs'!$B$37,'Replacement plan'!$X$78)+'Operating costs'!$B$40*'Operating costs'!$B$42+ROUNDUP(S291*(R291-'Operating costs'!$B$40)*IF('Replacement plan'!$AH$78="",'Operating costs'!$B$7,'Replacement plan'!$AH$78)/('Operating costs'!$B$8-'Operating costs'!$B$9*IF('Replacement plan'!$AH$78="",'Operating costs'!$B$7,'Replacement plan'!$AH$78)),0)*('Operating costs'!$B$9/'Operating costs'!$B$11+'Operating costs'!$B$10/60)*'Operating costs'!$B$19*'Operating costs'!$B$21,SUM(AP291,'Operating costs'!$B$28,'Operating costs'!$B$30,'Operating costs'!$B$32,'Operating costs'!$B$33,'Operating costs'!$B$36,'Operating costs'!$B$38,'Replacement plan'!$Y$78)+'Operating costs'!$B$41*'Operating costs'!$B$43+W291*'Operating costs'!$B$15+(T291*X291/'Replacement plan'!$L$78+W291*('Operating costs'!$B$12/'Operating costs'!$B$11+('Operating costs'!$B$13+'Operating costs'!$B$14)/60)+(R291-'Operating costs'!$B$41)*(IF(T291&lt;1,'Operating costs'!$B$16,0)+'Operating costs'!$B$17)/60)*'Operating costs'!$B$19*'Operating costs'!$B$20),"n.a."))</f>
        <v>0</v>
      </c>
      <c r="N291" s="16">
        <f>IF(AND(C291=1,D291="EV",E291&lt;120,E291+'Replacement plan'!$AA$78&lt;=120),'Replacement plan'!$Z$78,0)</f>
        <v>0</v>
      </c>
      <c r="O291" s="1">
        <f>E291+'Replacement plan'!$AA$78</f>
        <v>0</v>
      </c>
      <c r="P291" s="35" t="str">
        <f>IFERROR(IF(C291=0,"Excluded",IF(OR(COUNTIFS('Fleet register'!$A$7:$A$106,A291)&lt;&gt;1,COUNTIFS('Replacement plan'!$A$7:$A$106,A291)&lt;&gt;1),"Duplicate/missing ID",IF(NOT(AND(ISNUMBER(VLOOKUP($A291,'Fleet register'!$A$7:$S$106,5,FALSE)),ISNUMBER(VLOOKUP($A291,'Fleet register'!$A$7:$S$106,6,FALSE)),ISNUMBER(VLOOKUP($A291,'Fleet register'!$A$7:$S$106,10,FALSE)),ISNUMBER(VLOOKUP($A291,'Fleet register'!$A$7:$S$106,11,FALSE)),ISNUMBER(VLOOKUP($A291,'Fleet register'!$A$7:$S$106,12,FALSE)),ISNUMBER(VLOOKUP($A291,'Fleet register'!$A$7:$S$106,13,FALSE)),ISNUMBER(VLOOKUP($A291,'Fleet register'!$A$7:$S$106,14,FALSE)),VLOOKUP($A291,'Fleet register'!$A$7:$S$106,14,FALSE)&gt;0,ISNUMBER('Replacement plan'!$C$78),OR(E291=120,ISNUMBER('Replacement plan'!$N$78)),ISNUMBER(E291))),"Missing vehicle input",IF(OR(E291&lt;0,E291&gt;VLOOKUP($A291,'Fleet register'!$A$7:$S$106,10,FALSE),E291&gt;120,E291&lt;&gt;INT(E291),VLOOKUP($A291,'Fleet register'!$A$7:$S$106,6,FALSE)&lt;=0,VLOOKUP($A291,'Fleet register'!$A$7:$S$106,6,FALSE)&gt;366,VLOOKUP($A291,'Fleet register'!$A$7:$S$106,5,FALSE)&lt;0,VLOOKUP($A291,'Fleet register'!$A$7:$S$106,11,FALSE)&lt;0,I291&lt;0,'Operating costs'!$B$8&lt;='Operating costs'!$B$7*'Operating costs'!$B$9,'Operating costs'!$B$11&lt;=0,'Operating costs'!$B$39&gt;R291,'Operating costs'!$B$40&gt;R291,'Operating costs'!$B$41&gt;R291,NOT(OR("Keep ICE"="Keep ICE","Keep ICE"="New ICE","Keep ICE"="EV"))),"Invalid vehicle input",IF(AND(D291="EV",E291&lt;120,OR(NOT(ISNUMBER(U291)),NOT(ISNUMBER(V291)),V291&lt;=0,T291&lt;0,T291&gt;1,'Replacement plan'!$L$78&lt;=0,'Operating costs'!$B$44&lt;0,'Operating costs'!$B$44&gt;=1,'Operating costs'!$B$47&lt;=0,'Operating costs'!$B$47&gt;1,V291*'Operating costs'!$B$47/(1-'Operating costs'!$B$44)&lt;=T291*'Operating costs'!$B$12*U291,AND('Replacement plan'!$Z$78&gt;0,OR('Replacement plan'!$AB$78&lt;&gt;"Yes",'Operating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charging'!$B$8&gt;=0))),ISNUMBER(VLOOKUP($A291,'Fleet register'!$A$7:$S$106,15,FALSE)),ISNUMBER(VLOOKUP($A291,'Fleet register'!$A$7:$S$106,16,FALSE)),ISNUMBER('Replacement plan'!$W$78),ISNUMBER('Replacement plan'!$X$78),OR(E291=120,AND(ISNUMBER(G291),G291&gt;=0)),ISNUMBER(H291),H291&gt;=0,OR(D291&lt;&gt;"EV",E291=120,AND(ISNUMBER('Operating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average",ISNUMBER(IFERROR(INDEX(Products!$P$7:$P$13,MATCH(AD291,Products!$A$7:$A$13,0)),"")))),ISNUMBER('Operating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plan'!$Y$78),ISNUMBER('Replacement plan'!$Z$78),'Replacement plan'!$Z$78&gt;=0,ISNUMBER('Replacement plan'!$AA$78),'Replacement plan'!$AA$78&gt;=0,'Replacement plan'!$AA$78=INT('Replacement plan'!$AA$78),ISNUMBER('Replacement plan'!$L$78))),'Operating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plan'!$AG$78="",'Operating costs'!$B$7,'Replacement plan'!$AG$78)),IF('Replacement plan'!$AG$78="",'Operating costs'!$B$7,'Replacement plan'!$AG$78)&gt;=0,ISNUMBER(IF('Replacement plan'!$AH$78="",'Operating costs'!$B$7,'Replacement plan'!$AH$78)),IF('Replacement plan'!$AH$78="",'Operating costs'!$B$7,'Replacement plan'!$AH$78)&gt;=0,'Operating costs'!$B$8&gt;MAX(IF('Replacement plan'!$AG$78="",'Operating costs'!$B$7,'Replacement plan'!$AG$78),IF('Replacement plan'!$AH$78="",'Operating costs'!$B$7,'Replacement plan'!$AH$78))*'Operating costs'!$B$9),IF(AND(VLOOKUP($A291,'Fleet register'!$A$7:$S$106,10,FALSE)&gt;=0,VLOOKUP($A291,'Fleet register'!$A$7:$S$106,10,FALSE)&lt;=120,VLOOKUP($A291,'Fleet register'!$A$7:$S$106,10,FALSE)=INT(VLOOKUP($A291,'Fleet register'!$A$7:$S$106,10,FALSE)),VLOOKUP($A291,'Fleet register'!$A$7:$S$106,15,FALSE)&gt;=0,VLOOKUP($A291,'Fleet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costs'!$B$67)&gt;=0,OR(D291&lt;&gt;"EV",E291=120,AND(MIN('Operating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91" s="1" t="str">
        <f>IF(C291=0,"Excluded",IF(P291&lt;&gt;"Complete",P291,IF(OR('Replacement plan'!$AD$78&lt;120-E291,AND(D291="EV",E291&lt;120,OR('Replacement plan'!$AC$78&lt;120-E291,'Replacement plan'!$I$78="No",AND(ISNUMBER(AF291),AE291&gt;AF291),AI291&gt;V291*(1-'Operating costs'!$B$46)^MAX(0,AB291-1)*(1-'Operating costs'!$B$45),AC291&gt;'Operating costs'!$B$18,AND(T291&lt;1,OR(AG291&lt;=0,AND(ISNUMBER(AH291),AG291&gt;AH291))),'Replacement plan'!$L$78&gt;INDEX(Products!$H$7:$H$13,MATCH('Replacement plan'!$B$78,Products!$A$7:$A$13,0))))),"Fails entered limits",IF(AND(D291="EV",E291&lt;120,OR(NOT(ISNUMBER(VLOOKUP($A291,'Fleet register'!$A$7:$S$106,7,FALSE))),NOT(ISNUMBER(VLOOKUP($A291,'Fleet register'!$A$7:$S$106,8,FALSE))),NOT(ISNUMBER(AF291)),'Replacement plan'!$I$78&lt;&gt;"Yes",NOT(ISNUMBER(AH291)),'Operating costs'!$B$59&lt;&gt;"Yes",'Operating costs'!$B$58&lt;&gt;"Yes")),"Unverified","Within entered limits"))))</f>
        <v>Excluded</v>
      </c>
      <c r="R291" s="1">
        <f>IF(C291=0,0,VLOOKUP($A291,'Fleet register'!$A$7:$S$106,6,FALSE))</f>
        <v>0</v>
      </c>
      <c r="S291" s="1">
        <f>IF(C291=0,0,VLOOKUP($A291,'Fleet register'!$A$7:$S$106,5,FALSE))</f>
        <v>0</v>
      </c>
      <c r="T291" s="1">
        <f>IF(D291="EV",'Energy and charging'!$B$12,0)</f>
        <v>0</v>
      </c>
      <c r="U291" s="1">
        <f>IFERROR(IF(C291=0,0,IF(D291="EV",IF('Replacement plan'!$F$78="",INDEX(Products!$E$7:$E$13,MATCH('Replacement plan'!$B$78,Products!$A$7:$A$13,0)),'Replacement plan'!$F$78)/IF('Replacement plan'!$G$78="Battery",1-'Operating costs'!$B$44,1),0)),"n.a.")</f>
        <v>0</v>
      </c>
      <c r="V291" s="1">
        <f>IFERROR(IF(C291=0,0,IF(D291="EV",IF('Replacement plan'!$E$78="",INDEX(Products!$D$7:$D$13,MATCH('Replacement plan'!$B$78,Products!$A$7:$A$13,0)),'Replacement plan'!$E$78),0)),"n.a.")</f>
        <v>0</v>
      </c>
      <c r="W291" s="1">
        <f>IF(C291=0,0,IF(AND(P291="Complete",D291="EV",E291&lt;120),IF(T291=0,0,ROUNDUP(T291*(R291-'Operating costs'!$B$41)*(S291*U291+'Operating costs'!$B$48/(1-'Operating costs'!$B$44))/(V291*'Operating costs'!$B$47/(1-'Operating costs'!$B$44)-T291*'Operating costs'!$B$12*U291),0)),0))</f>
        <v>0</v>
      </c>
      <c r="X291" s="1">
        <f>IF(C291=0,0,IF(AND(P291="Complete",D291="EV",E291&lt;120),(R291-'Operating costs'!$B$41)*(S291*U291+'Operating costs'!$B$48/(1-'Operating costs'!$B$44))+W291*'Operating costs'!$B$12*U291,0))</f>
        <v>0</v>
      </c>
      <c r="Y291" s="1">
        <f>IF(AND(C291=1,D291="EV",E291&lt;120),AI291/(1-'Operating costs'!$B$44)*(1-T291),0)</f>
        <v>0</v>
      </c>
      <c r="Z291" s="1">
        <f t="shared" si="8"/>
        <v>0</v>
      </c>
      <c r="AA291" s="1">
        <f>IF(C291=0,0,IF(P291="Complete",((S291*(R291-'Operating costs'!$B$40))+ROUNDUP(S291*(R291-'Operating costs'!$B$40)*IF('Replacement plan'!$AH$78="",'Operating costs'!$B$7,'Replacement plan'!$AH$78)/('Operating costs'!$B$8-'Operating costs'!$B$9*IF('Replacement plan'!$AH$78="",'Operating costs'!$B$7,'Replacement plan'!$AH$78)),0)*'Operating costs'!$B$9)*IF('Replacement plan'!$AH$78="",'Operating costs'!$B$7,'Replacement plan'!$AH$78),"n.a."))</f>
        <v>0</v>
      </c>
      <c r="AB291" s="1">
        <f t="shared" si="9"/>
        <v>0</v>
      </c>
      <c r="AC291" s="1">
        <f>IF(AND(C291=1,D291="EV",E291&lt;120,T291&gt;0),'Operating costs'!$B$12/'Operating costs'!$B$11*60+'Operating costs'!$B$13+'Operating costs'!$B$14+V291*'Operating costs'!$B$47/(1-'Operating costs'!$B$44)/'Replacement plan'!$L$78*60,0)</f>
        <v>0</v>
      </c>
      <c r="AD291" s="1" t="str">
        <f>'Replacement plan'!$B$78</f>
        <v>ChengLong L2EV</v>
      </c>
      <c r="AE291" s="1">
        <f>IF(C291=0,0,VLOOKUP($A291,'Fleet register'!$A$7:$S$106,8,FALSE))</f>
        <v>0</v>
      </c>
      <c r="AF291" s="1" t="str">
        <f>IF('Replacement plan'!$H$78="","n.a.",'Replacement plan'!$H$78)</f>
        <v>n.a.</v>
      </c>
      <c r="AG291" s="1">
        <f>'Replacement plan'!$J$78</f>
        <v>22</v>
      </c>
      <c r="AH291" s="1">
        <f>IFERROR(IF(D291="EV",IF('Replacement plan'!$K$78="AC",IF(ISNUMBER(INDEX(Products!$G$7:$G$13,MATCH('Replacement plan'!$B$78,Products!$A$7:$A$13,0))),INDEX(Products!$G$7:$G$13,MATCH('Replacement plan'!$B$78,Products!$A$7:$A$13,0)),"n.a."),IF(ISNUMBER(INDEX(Products!$H$7:$H$13,MATCH('Replacement plan'!$B$78,Products!$A$7:$A$13,0))),INDEX(Products!$H$7:$H$13,MATCH('Replacement plan'!$B$78,Products!$A$7:$A$13,0)),"n.a.")),0),"n.a.")</f>
        <v>0</v>
      </c>
      <c r="AI291" s="1">
        <f>IF(AND(C291=1,D291="EV",E291&lt;120),(VLOOKUP($A291,'Fleet register'!$A$7:$S$106,7,FALSE)+IF(T291&gt;0,'Operating costs'!$B$12,0))*U291*(1-'Operating costs'!$B$44)+'Operating costs'!$B$49,0)</f>
        <v>0</v>
      </c>
      <c r="AJ291" s="1">
        <f>IF(D291="EV",'Energy and charging'!$B$50,0)</f>
        <v>0</v>
      </c>
      <c r="AK291" s="17">
        <f>EDATE('Operating costs'!$B$63,E291)</f>
        <v>46298</v>
      </c>
      <c r="AL291" s="1">
        <f>IFERROR(IF(D291="EV",INDEX(Products!$B$7:$B$13,MATCH('Replacement plan'!$B$78,Products!$A$7:$A$13,0)),0),"n.a.")</f>
        <v>0</v>
      </c>
      <c r="AM291" s="1" t="str">
        <f>'Replacement plan'!$K$78</f>
        <v>DC</v>
      </c>
      <c r="AN291" s="1" t="str">
        <f>'Replacement plan'!$AE$78</f>
        <v>Assumed</v>
      </c>
      <c r="AO291" s="47">
        <f>IF(AND(C291=1,D291="EV",E291&lt;120),(R291-'Operating costs'!$B$41)*S291+W291*'Operating costs'!$B$12,0)</f>
        <v>0</v>
      </c>
      <c r="AP291" s="41">
        <f>IF(AND(C291=1,D291="EV",E291&lt;120),IF('Operating costs'!$B$68="Hong Seh 200k average",AO291*IFERROR(INDEX(Products!$P$7:$P$13,MATCH(AD291,Products!$A$7:$A$13,0)),"n.a."),'Operating costs'!$B$26),0)</f>
        <v>0</v>
      </c>
      <c r="AQ291" s="40" t="str">
        <f>IF(D291="EV",'Operating costs'!$B$68,"Not applicable")</f>
        <v>Not applicable</v>
      </c>
    </row>
    <row r="292" spans="1:43" ht="24" customHeight="1">
      <c r="A292" s="1" t="str">
        <f>'Replacement plan'!A78</f>
        <v>T072</v>
      </c>
      <c r="B292" s="1">
        <v>1</v>
      </c>
      <c r="C292" s="1">
        <f>IF(COUNTIFS('Fleet register'!$A$7:$A$106,$A292)=1,VLOOKUP($A292,'Fleet register'!$A$7:$S$106,2,FALSE),0)</f>
        <v>0</v>
      </c>
      <c r="D292" s="1" t="str">
        <f>IF("New ICE"="EV","EV","ICE")</f>
        <v>ICE</v>
      </c>
      <c r="E292" s="1">
        <f>IF(C292=0,0,0)</f>
        <v>0</v>
      </c>
      <c r="F292" s="16">
        <f>IF(C292=0,0,VLOOKUP($A292,'Fleet register'!$A$7:$S$106,11,FALSE))</f>
        <v>0</v>
      </c>
      <c r="G292" s="16">
        <f>IFERROR(IF(C292=0,0,IF(E292=120,0,IF(D292="ICE",'Replacement plan'!$C$78,IF('Replacement plan'!$D$78="",INDEX(Products!$I$7:$I$13,MATCH('Replacement plan'!$B$78,Products!$A$7:$A$13,0))+'Operating costs'!$B$57,'Replacement plan'!$D$78))*(1+'Operating costs'!$B$50)^(E292/12))),"n.a.")</f>
        <v>0</v>
      </c>
      <c r="H292" s="16">
        <f>IFERROR(IF(C292=0,0,IF(E292=0,F292,VLOOKUP($A292,'Fleet register'!$A$7:$S$106,12,FALSE)+VLOOKUP($A292,'Fleet register'!$A$7:$S$106,13,FALSE)*MAX(0,VLOOKUP($A292,'Fleet register'!$A$7:$S$106,10,FALSE)-E292)/VLOOKUP($A292,'Fleet register'!$A$7:$S$106,14,FALSE))),"n.a.")</f>
        <v>0</v>
      </c>
      <c r="I292" s="16">
        <f>IF(C292=0,0,IF(E292=120,0,IF('Replacement plan'!$AI$78="",'Operating costs'!$B$56,'Replacement plan'!$AI$78)))</f>
        <v>0</v>
      </c>
      <c r="J292" s="16">
        <f>IF(C292=0,0,IF(P292="Complete",((S292*(R292-'Operating costs'!$B$39))+ROUNDUP(S292*(R292-'Operating costs'!$B$39)*IF('Replacement plan'!$AG$78="",'Operating costs'!$B$7,'Replacement plan'!$AG$78)/('Operating costs'!$B$8-'Operating costs'!$B$9*IF('Replacement plan'!$AG$78="",'Operating costs'!$B$7,'Replacement plan'!$AG$78)),0)*'Operating costs'!$B$9)*IF('Replacement plan'!$AG$78="",'Operating costs'!$B$7,'Replacement plan'!$AG$78)*('Energy and charging'!$B$9*'Energy and charging'!$B$7+(1-'Energy and charging'!$B$9)*'Energy and charging'!$B$8)*'Operating costs'!$B$23,"n.a."))</f>
        <v>0</v>
      </c>
      <c r="K292" s="16">
        <f>IF(C292=0,0,IF(P292="Complete",SUM('Operating costs'!$B$24,'Operating costs'!$B$27,'Operating costs'!$B$29,'Operating costs'!$B$31,'Operating costs'!$B$33,'Operating costs'!$B$34,'Operating costs'!$B$37,'Replacement plan'!$W$78)+'Operating costs'!$B$39*'Operating costs'!$B$42+ROUNDUP(S292*(R292-'Operating costs'!$B$39)*IF('Replacement plan'!$AG$78="",'Operating costs'!$B$7,'Replacement plan'!$AG$78)/('Operating costs'!$B$8-'Operating costs'!$B$9*IF('Replacement plan'!$AG$78="",'Operating costs'!$B$7,'Replacement plan'!$AG$78)),0)*('Operating costs'!$B$9/'Operating costs'!$B$11+'Operating costs'!$B$10/60)*'Operating costs'!$B$19*'Operating costs'!$B$21,"n.a."))</f>
        <v>0</v>
      </c>
      <c r="L292" s="16">
        <f>IF(C292=0,0,IF(P292="Complete",IF(D292="EV",X292*((1-T292)*'Energy and charging'!$B$10+T292*'Energy and charging'!$B$11)*'Operating costs'!$B$22,AA292*('Energy and charging'!$B$9*'Energy and charging'!$B$7+(1-'Energy and charging'!$B$9)*'Energy and charging'!$B$8)*'Operating costs'!$B$23),"n.a."))</f>
        <v>0</v>
      </c>
      <c r="M292" s="37">
        <f>IF(C292=0,0,IF(P292="Complete",IF(D292="ICE",SUM('Operating costs'!$B$25,'Operating costs'!$B$27,'Operating costs'!$B$29,'Operating costs'!$B$31,'Operating costs'!$B$33,'Operating costs'!$B$35,'Operating costs'!$B$37,'Replacement plan'!$X$78)+'Operating costs'!$B$40*'Operating costs'!$B$42+ROUNDUP(S292*(R292-'Operating costs'!$B$40)*IF('Replacement plan'!$AH$78="",'Operating costs'!$B$7,'Replacement plan'!$AH$78)/('Operating costs'!$B$8-'Operating costs'!$B$9*IF('Replacement plan'!$AH$78="",'Operating costs'!$B$7,'Replacement plan'!$AH$78)),0)*('Operating costs'!$B$9/'Operating costs'!$B$11+'Operating costs'!$B$10/60)*'Operating costs'!$B$19*'Operating costs'!$B$21,SUM(AP292,'Operating costs'!$B$28,'Operating costs'!$B$30,'Operating costs'!$B$32,'Operating costs'!$B$33,'Operating costs'!$B$36,'Operating costs'!$B$38,'Replacement plan'!$Y$78)+'Operating costs'!$B$41*'Operating costs'!$B$43+W292*'Operating costs'!$B$15+(T292*X292/'Replacement plan'!$L$78+W292*('Operating costs'!$B$12/'Operating costs'!$B$11+('Operating costs'!$B$13+'Operating costs'!$B$14)/60)+(R292-'Operating costs'!$B$41)*(IF(T292&lt;1,'Operating costs'!$B$16,0)+'Operating costs'!$B$17)/60)*'Operating costs'!$B$19*'Operating costs'!$B$20),"n.a."))</f>
        <v>0</v>
      </c>
      <c r="N292" s="16">
        <f>IF(AND(C292=1,D292="EV",E292&lt;120,E292+'Replacement plan'!$AA$78&lt;=120),'Replacement plan'!$Z$78,0)</f>
        <v>0</v>
      </c>
      <c r="O292" s="1">
        <f>E292+'Replacement plan'!$AA$78</f>
        <v>0</v>
      </c>
      <c r="P292" s="35" t="str">
        <f>IFERROR(IF(C292=0,"Excluded",IF(OR(COUNTIFS('Fleet register'!$A$7:$A$106,A292)&lt;&gt;1,COUNTIFS('Replacement plan'!$A$7:$A$106,A292)&lt;&gt;1),"Duplicate/missing ID",IF(NOT(AND(ISNUMBER(VLOOKUP($A292,'Fleet register'!$A$7:$S$106,5,FALSE)),ISNUMBER(VLOOKUP($A292,'Fleet register'!$A$7:$S$106,6,FALSE)),ISNUMBER(VLOOKUP($A292,'Fleet register'!$A$7:$S$106,10,FALSE)),ISNUMBER(VLOOKUP($A292,'Fleet register'!$A$7:$S$106,11,FALSE)),ISNUMBER(VLOOKUP($A292,'Fleet register'!$A$7:$S$106,12,FALSE)),ISNUMBER(VLOOKUP($A292,'Fleet register'!$A$7:$S$106,13,FALSE)),ISNUMBER(VLOOKUP($A292,'Fleet register'!$A$7:$S$106,14,FALSE)),VLOOKUP($A292,'Fleet register'!$A$7:$S$106,14,FALSE)&gt;0,ISNUMBER('Replacement plan'!$C$78),OR(E292=120,OR(ISNUMBER('Replacement plan'!$AI$78),AND('Replacement plan'!$AI$78="",ISNUMBER('Operating costs'!$B$56)))),ISNUMBER(E292))),"Missing vehicle input",IF(OR(E292&lt;0,E292&gt;VLOOKUP($A292,'Fleet register'!$A$7:$S$106,10,FALSE),E292&gt;120,E292&lt;&gt;INT(E292),VLOOKUP($A292,'Fleet register'!$A$7:$S$106,6,FALSE)&lt;=0,VLOOKUP($A292,'Fleet register'!$A$7:$S$106,6,FALSE)&gt;366,VLOOKUP($A292,'Fleet register'!$A$7:$S$106,5,FALSE)&lt;0,VLOOKUP($A292,'Fleet register'!$A$7:$S$106,11,FALSE)&lt;0,I292&lt;0,'Operating costs'!$B$8&lt;='Operating costs'!$B$7*'Operating costs'!$B$9,'Operating costs'!$B$11&lt;=0,'Operating costs'!$B$39&gt;R292,'Operating costs'!$B$40&gt;R292,'Operating costs'!$B$41&gt;R292,NOT(OR("New ICE"="Keep ICE","New ICE"="New ICE","New ICE"="EV"))),"Invalid vehicle input",IF(AND(D292="EV",E292&lt;120,OR(NOT(ISNUMBER(U292)),NOT(ISNUMBER(V292)),V292&lt;=0,T292&lt;0,T292&gt;1,'Replacement plan'!$L$78&lt;=0,'Operating costs'!$B$44&lt;0,'Operating costs'!$B$44&gt;=1,'Operating costs'!$B$47&lt;=0,'Operating costs'!$B$47&gt;1,V292*'Operating costs'!$B$47/(1-'Operating costs'!$B$44)&lt;=T292*'Operating costs'!$B$12*U292,AND('Replacement plan'!$Z$78&gt;0,OR('Replacement plan'!$AB$78&lt;&gt;"Yes",'Operating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charging'!$B$8&gt;=0))),ISNUMBER(VLOOKUP($A292,'Fleet register'!$A$7:$S$106,15,FALSE)),ISNUMBER(VLOOKUP($A292,'Fleet register'!$A$7:$S$106,16,FALSE)),ISNUMBER('Replacement plan'!$W$78),ISNUMBER('Replacement plan'!$X$78),OR(E292=120,AND(ISNUMBER(G292),G292&gt;=0)),ISNUMBER(H292),H292&gt;=0,OR(D292&lt;&gt;"EV",E292=120,AND(ISNUMBER('Operating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average",ISNUMBER(IFERROR(INDEX(Products!$P$7:$P$13,MATCH(AD292,Products!$A$7:$A$13,0)),"")))),ISNUMBER('Operating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plan'!$Y$78),ISNUMBER('Replacement plan'!$Z$78),'Replacement plan'!$Z$78&gt;=0,ISNUMBER('Replacement plan'!$AA$78),'Replacement plan'!$AA$78&gt;=0,'Replacement plan'!$AA$78=INT('Replacement plan'!$AA$78),ISNUMBER('Replacement plan'!$L$78))),'Operating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plan'!$AG$78="",'Operating costs'!$B$7,'Replacement plan'!$AG$78)),IF('Replacement plan'!$AG$78="",'Operating costs'!$B$7,'Replacement plan'!$AG$78)&gt;=0,ISNUMBER(IF('Replacement plan'!$AH$78="",'Operating costs'!$B$7,'Replacement plan'!$AH$78)),IF('Replacement plan'!$AH$78="",'Operating costs'!$B$7,'Replacement plan'!$AH$78)&gt;=0,'Operating costs'!$B$8&gt;MAX(IF('Replacement plan'!$AG$78="",'Operating costs'!$B$7,'Replacement plan'!$AG$78),IF('Replacement plan'!$AH$78="",'Operating costs'!$B$7,'Replacement plan'!$AH$78))*'Operating costs'!$B$9),IF(AND(VLOOKUP($A292,'Fleet register'!$A$7:$S$106,10,FALSE)&gt;=0,VLOOKUP($A292,'Fleet register'!$A$7:$S$106,10,FALSE)&lt;=120,VLOOKUP($A292,'Fleet register'!$A$7:$S$106,10,FALSE)=INT(VLOOKUP($A292,'Fleet register'!$A$7:$S$106,10,FALSE)),VLOOKUP($A292,'Fleet register'!$A$7:$S$106,15,FALSE)&gt;=0,VLOOKUP($A292,'Fleet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costs'!$B$67)&gt;=0,OR(D292&lt;&gt;"EV",E292=120,AND(MIN('Operating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92" s="1" t="str">
        <f>IF(C292=0,"Excluded",IF(P292&lt;&gt;"Complete",P292,IF(OR('Replacement plan'!$AD$78&lt;120-E292,AND(D292="EV",E292&lt;120,OR('Replacement plan'!$AC$78&lt;120-E292,'Replacement plan'!$I$78="No",AND(ISNUMBER(AF292),AE292&gt;AF292),AI292&gt;V292*(1-'Operating costs'!$B$46)^MAX(0,AB292-1)*(1-'Operating costs'!$B$45),AC292&gt;'Operating costs'!$B$18,AND(T292&lt;1,OR(AG292&lt;=0,AND(ISNUMBER(AH292),AG292&gt;AH292))),'Replacement plan'!$L$78&gt;INDEX(Products!$H$7:$H$13,MATCH('Replacement plan'!$B$78,Products!$A$7:$A$13,0))))),"Fails entered limits",IF(AND(D292="EV",E292&lt;120,OR(NOT(ISNUMBER(VLOOKUP($A292,'Fleet register'!$A$7:$S$106,7,FALSE))),NOT(ISNUMBER(VLOOKUP($A292,'Fleet register'!$A$7:$S$106,8,FALSE))),NOT(ISNUMBER(AF292)),'Replacement plan'!$I$78&lt;&gt;"Yes",NOT(ISNUMBER(AH292)),'Operating costs'!$B$59&lt;&gt;"Yes",'Operating costs'!$B$58&lt;&gt;"Yes")),"Unverified","Within entered limits"))))</f>
        <v>Excluded</v>
      </c>
      <c r="R292" s="1">
        <f>IF(C292=0,0,VLOOKUP($A292,'Fleet register'!$A$7:$S$106,6,FALSE))</f>
        <v>0</v>
      </c>
      <c r="S292" s="1">
        <f>IF(C292=0,0,VLOOKUP($A292,'Fleet register'!$A$7:$S$106,5,FALSE))</f>
        <v>0</v>
      </c>
      <c r="T292" s="1">
        <f>IF(D292="EV",'Energy and charging'!$B$12,0)</f>
        <v>0</v>
      </c>
      <c r="U292" s="1">
        <f>IFERROR(IF(C292=0,0,IF(D292="EV",IF('Replacement plan'!$F$78="",INDEX(Products!$E$7:$E$13,MATCH('Replacement plan'!$B$78,Products!$A$7:$A$13,0)),'Replacement plan'!$F$78)/IF('Replacement plan'!$G$78="Battery",1-'Operating costs'!$B$44,1),0)),"n.a.")</f>
        <v>0</v>
      </c>
      <c r="V292" s="1">
        <f>IFERROR(IF(C292=0,0,IF(D292="EV",IF('Replacement plan'!$E$78="",INDEX(Products!$D$7:$D$13,MATCH('Replacement plan'!$B$78,Products!$A$7:$A$13,0)),'Replacement plan'!$E$78),0)),"n.a.")</f>
        <v>0</v>
      </c>
      <c r="W292" s="1">
        <f>IF(C292=0,0,IF(AND(P292="Complete",D292="EV",E292&lt;120),IF(T292=0,0,ROUNDUP(T292*(R292-'Operating costs'!$B$41)*(S292*U292+'Operating costs'!$B$48/(1-'Operating costs'!$B$44))/(V292*'Operating costs'!$B$47/(1-'Operating costs'!$B$44)-T292*'Operating costs'!$B$12*U292),0)),0))</f>
        <v>0</v>
      </c>
      <c r="X292" s="1">
        <f>IF(C292=0,0,IF(AND(P292="Complete",D292="EV",E292&lt;120),(R292-'Operating costs'!$B$41)*(S292*U292+'Operating costs'!$B$48/(1-'Operating costs'!$B$44))+W292*'Operating costs'!$B$12*U292,0))</f>
        <v>0</v>
      </c>
      <c r="Y292" s="1">
        <f>IF(AND(C292=1,D292="EV",E292&lt;120),AI292/(1-'Operating costs'!$B$44)*(1-T292),0)</f>
        <v>0</v>
      </c>
      <c r="Z292" s="1">
        <f t="shared" si="8"/>
        <v>0</v>
      </c>
      <c r="AA292" s="1">
        <f>IF(C292=0,0,IF(P292="Complete",((S292*(R292-'Operating costs'!$B$40))+ROUNDUP(S292*(R292-'Operating costs'!$B$40)*IF('Replacement plan'!$AH$78="",'Operating costs'!$B$7,'Replacement plan'!$AH$78)/('Operating costs'!$B$8-'Operating costs'!$B$9*IF('Replacement plan'!$AH$78="",'Operating costs'!$B$7,'Replacement plan'!$AH$78)),0)*'Operating costs'!$B$9)*IF('Replacement plan'!$AH$78="",'Operating costs'!$B$7,'Replacement plan'!$AH$78),"n.a."))</f>
        <v>0</v>
      </c>
      <c r="AB292" s="1">
        <f t="shared" si="9"/>
        <v>0</v>
      </c>
      <c r="AC292" s="1">
        <f>IF(AND(C292=1,D292="EV",E292&lt;120,T292&gt;0),'Operating costs'!$B$12/'Operating costs'!$B$11*60+'Operating costs'!$B$13+'Operating costs'!$B$14+V292*'Operating costs'!$B$47/(1-'Operating costs'!$B$44)/'Replacement plan'!$L$78*60,0)</f>
        <v>0</v>
      </c>
      <c r="AD292" s="1" t="str">
        <f>'Replacement plan'!$B$78</f>
        <v>ChengLong L2EV</v>
      </c>
      <c r="AE292" s="1">
        <f>IF(C292=0,0,VLOOKUP($A292,'Fleet register'!$A$7:$S$106,8,FALSE))</f>
        <v>0</v>
      </c>
      <c r="AF292" s="1" t="str">
        <f>IF('Replacement plan'!$H$78="","n.a.",'Replacement plan'!$H$78)</f>
        <v>n.a.</v>
      </c>
      <c r="AG292" s="1">
        <f>'Replacement plan'!$J$78</f>
        <v>22</v>
      </c>
      <c r="AH292" s="1">
        <f>IFERROR(IF(D292="EV",IF('Replacement plan'!$K$78="AC",IF(ISNUMBER(INDEX(Products!$G$7:$G$13,MATCH('Replacement plan'!$B$78,Products!$A$7:$A$13,0))),INDEX(Products!$G$7:$G$13,MATCH('Replacement plan'!$B$78,Products!$A$7:$A$13,0)),"n.a."),IF(ISNUMBER(INDEX(Products!$H$7:$H$13,MATCH('Replacement plan'!$B$78,Products!$A$7:$A$13,0))),INDEX(Products!$H$7:$H$13,MATCH('Replacement plan'!$B$78,Products!$A$7:$A$13,0)),"n.a.")),0),"n.a.")</f>
        <v>0</v>
      </c>
      <c r="AI292" s="1">
        <f>IF(AND(C292=1,D292="EV",E292&lt;120),(VLOOKUP($A292,'Fleet register'!$A$7:$S$106,7,FALSE)+IF(T292&gt;0,'Operating costs'!$B$12,0))*U292*(1-'Operating costs'!$B$44)+'Operating costs'!$B$49,0)</f>
        <v>0</v>
      </c>
      <c r="AJ292" s="1">
        <f>IF(D292="EV",'Energy and charging'!$B$50,0)</f>
        <v>0</v>
      </c>
      <c r="AK292" s="17">
        <f>EDATE('Operating costs'!$B$63,E292)</f>
        <v>46298</v>
      </c>
      <c r="AL292" s="1">
        <f>IFERROR(IF(D292="EV",INDEX(Products!$B$7:$B$13,MATCH('Replacement plan'!$B$78,Products!$A$7:$A$13,0)),0),"n.a.")</f>
        <v>0</v>
      </c>
      <c r="AM292" s="1" t="str">
        <f>'Replacement plan'!$K$78</f>
        <v>DC</v>
      </c>
      <c r="AN292" s="1" t="str">
        <f>'Replacement plan'!$AE$78</f>
        <v>Assumed</v>
      </c>
      <c r="AO292" s="47">
        <f>IF(AND(C292=1,D292="EV",E292&lt;120),(R292-'Operating costs'!$B$41)*S292+W292*'Operating costs'!$B$12,0)</f>
        <v>0</v>
      </c>
      <c r="AP292" s="41">
        <f>IF(AND(C292=1,D292="EV",E292&lt;120),IF('Operating costs'!$B$68="Hong Seh 200k average",AO292*IFERROR(INDEX(Products!$P$7:$P$13,MATCH(AD292,Products!$A$7:$A$13,0)),"n.a."),'Operating costs'!$B$26),0)</f>
        <v>0</v>
      </c>
      <c r="AQ292" s="40" t="str">
        <f>IF(D292="EV",'Operating costs'!$B$68,"Not applicable")</f>
        <v>Not applicable</v>
      </c>
    </row>
    <row r="293" spans="1:43" ht="24" customHeight="1">
      <c r="A293" s="1" t="str">
        <f>'Replacement plan'!A78</f>
        <v>T072</v>
      </c>
      <c r="B293" s="1">
        <v>2</v>
      </c>
      <c r="C293" s="1">
        <f>IF(COUNTIFS('Fleet register'!$A$7:$A$106,$A293)=1,VLOOKUP($A293,'Fleet register'!$A$7:$S$106,2,FALSE),0)</f>
        <v>0</v>
      </c>
      <c r="D293" s="1" t="str">
        <f>IF('Replacement plan'!$O$78="EV","EV","ICE")</f>
        <v>ICE</v>
      </c>
      <c r="E293" s="1">
        <f>IF(C293=0,0,IF('Replacement plan'!$P$78="",IF('Replacement plan'!$O$78="Keep ICE",IF('Replacement plan'!$M$78="",VLOOKUP($A293,'Fleet register'!$A$7:$S$106,10,FALSE),'Replacement plan'!$M$78),0),'Replacement plan'!$P$78))</f>
        <v>0</v>
      </c>
      <c r="F293" s="16">
        <f>IF(C293=0,0,VLOOKUP($A293,'Fleet register'!$A$7:$S$106,11,FALSE))</f>
        <v>0</v>
      </c>
      <c r="G293" s="16">
        <f>IFERROR(IF(C293=0,0,IF(E293=120,0,IF(D293="ICE",'Replacement plan'!$C$78,IF('Replacement plan'!$D$78="",INDEX(Products!$I$7:$I$13,MATCH('Replacement plan'!$B$78,Products!$A$7:$A$13,0))+'Operating costs'!$B$57,'Replacement plan'!$D$78))*(1+'Operating costs'!$B$50)^(E293/12))),"n.a.")</f>
        <v>0</v>
      </c>
      <c r="H293" s="16">
        <f>IFERROR(IF(C293=0,0,IF('Replacement plan'!$U$78&lt;&gt;"",'Replacement plan'!$U$78,IF(E293=0,F293,VLOOKUP($A293,'Fleet register'!$A$7:$S$106,12,FALSE)+VLOOKUP($A293,'Fleet register'!$A$7:$S$106,13,FALSE)*MAX(0,VLOOKUP($A293,'Fleet register'!$A$7:$S$106,10,FALSE)-E293)/VLOOKUP($A293,'Fleet register'!$A$7:$S$106,14,FALSE)))),"n.a.")</f>
        <v>0</v>
      </c>
      <c r="I293" s="16">
        <f>IF(C293=0,0,IF(E293=120,0,'Replacement plan'!$Q$78))</f>
        <v>0</v>
      </c>
      <c r="J293" s="16">
        <f>IF(C293=0,0,IF(P293="Complete",((S293*(R293-'Operating costs'!$B$39))+ROUNDUP(S293*(R293-'Operating costs'!$B$39)*IF('Replacement plan'!$AG$78="",'Operating costs'!$B$7,'Replacement plan'!$AG$78)/('Operating costs'!$B$8-'Operating costs'!$B$9*IF('Replacement plan'!$AG$78="",'Operating costs'!$B$7,'Replacement plan'!$AG$78)),0)*'Operating costs'!$B$9)*IF('Replacement plan'!$AG$78="",'Operating costs'!$B$7,'Replacement plan'!$AG$78)*('Energy and charging'!$B$9*'Energy and charging'!$B$7+(1-'Energy and charging'!$B$9)*'Energy and charging'!$B$8)*'Operating costs'!$B$23,"n.a."))</f>
        <v>0</v>
      </c>
      <c r="K293" s="16">
        <f>IF(C293=0,0,IF(P293="Complete",SUM('Operating costs'!$B$24,'Operating costs'!$B$27,'Operating costs'!$B$29,'Operating costs'!$B$31,'Operating costs'!$B$33,'Operating costs'!$B$34,'Operating costs'!$B$37,'Replacement plan'!$W$78)+'Operating costs'!$B$39*'Operating costs'!$B$42+ROUNDUP(S293*(R293-'Operating costs'!$B$39)*IF('Replacement plan'!$AG$78="",'Operating costs'!$B$7,'Replacement plan'!$AG$78)/('Operating costs'!$B$8-'Operating costs'!$B$9*IF('Replacement plan'!$AG$78="",'Operating costs'!$B$7,'Replacement plan'!$AG$78)),0)*('Operating costs'!$B$9/'Operating costs'!$B$11+'Operating costs'!$B$10/60)*'Operating costs'!$B$19*'Operating costs'!$B$21,"n.a."))</f>
        <v>0</v>
      </c>
      <c r="L293" s="16">
        <f>IF(C293=0,0,IF(P293="Complete",IF(D293="EV",X293*((1-T293)*'Energy and charging'!$B$10+T293*'Energy and charging'!$B$11)*'Operating costs'!$B$22,AA293*('Energy and charging'!$B$9*'Energy and charging'!$B$7+(1-'Energy and charging'!$B$9)*'Energy and charging'!$B$8)*'Operating costs'!$B$23),"n.a."))</f>
        <v>0</v>
      </c>
      <c r="M293" s="37">
        <f>IF(C293=0,0,IF(P293="Complete",IF(D293="ICE",SUM('Operating costs'!$B$25,'Operating costs'!$B$27,'Operating costs'!$B$29,'Operating costs'!$B$31,'Operating costs'!$B$33,'Operating costs'!$B$35,'Operating costs'!$B$37,'Replacement plan'!$X$78)+'Operating costs'!$B$40*'Operating costs'!$B$42+ROUNDUP(S293*(R293-'Operating costs'!$B$40)*IF('Replacement plan'!$AH$78="",'Operating costs'!$B$7,'Replacement plan'!$AH$78)/('Operating costs'!$B$8-'Operating costs'!$B$9*IF('Replacement plan'!$AH$78="",'Operating costs'!$B$7,'Replacement plan'!$AH$78)),0)*('Operating costs'!$B$9/'Operating costs'!$B$11+'Operating costs'!$B$10/60)*'Operating costs'!$B$19*'Operating costs'!$B$21,SUM(AP293,'Operating costs'!$B$28,'Operating costs'!$B$30,'Operating costs'!$B$32,'Operating costs'!$B$33,'Operating costs'!$B$36,'Operating costs'!$B$38,'Replacement plan'!$Y$78)+'Operating costs'!$B$41*'Operating costs'!$B$43+W293*'Operating costs'!$B$15+(T293*X293/'Replacement plan'!$L$78+W293*('Operating costs'!$B$12/'Operating costs'!$B$11+('Operating costs'!$B$13+'Operating costs'!$B$14)/60)+(R293-'Operating costs'!$B$41)*(IF(T293&lt;1,'Operating costs'!$B$16,0)+'Operating costs'!$B$17)/60)*'Operating costs'!$B$19*'Operating costs'!$B$20),"n.a."))</f>
        <v>0</v>
      </c>
      <c r="N293" s="16">
        <f>IF(AND(C293=1,D293="EV",E293&lt;120,E293+'Replacement plan'!$AA$78&lt;=120),'Replacement plan'!$Z$78,0)</f>
        <v>0</v>
      </c>
      <c r="O293" s="1">
        <f>E293+'Replacement plan'!$AA$78</f>
        <v>0</v>
      </c>
      <c r="P293" s="35" t="str">
        <f>IFERROR(IF(C293=0,"Excluded",IF(OR(COUNTIFS('Fleet register'!$A$7:$A$106,A293)&lt;&gt;1,COUNTIFS('Replacement plan'!$A$7:$A$106,A293)&lt;&gt;1),"Duplicate/missing ID",IF(NOT(AND(ISNUMBER(VLOOKUP($A293,'Fleet register'!$A$7:$S$106,5,FALSE)),ISNUMBER(VLOOKUP($A293,'Fleet register'!$A$7:$S$106,6,FALSE)),ISNUMBER(VLOOKUP($A293,'Fleet register'!$A$7:$S$106,10,FALSE)),ISNUMBER(VLOOKUP($A293,'Fleet register'!$A$7:$S$106,11,FALSE)),ISNUMBER(VLOOKUP($A293,'Fleet register'!$A$7:$S$106,12,FALSE)),ISNUMBER(VLOOKUP($A293,'Fleet register'!$A$7:$S$106,13,FALSE)),ISNUMBER(VLOOKUP($A293,'Fleet register'!$A$7:$S$106,14,FALSE)),VLOOKUP($A293,'Fleet register'!$A$7:$S$106,14,FALSE)&gt;0,ISNUMBER('Replacement plan'!$C$78),OR(E293=120,ISNUMBER('Replacement plan'!$Q$78)),ISNUMBER(E293))),"Missing vehicle input",IF(OR(E293&lt;0,E293&gt;VLOOKUP($A293,'Fleet register'!$A$7:$S$106,10,FALSE),E293&gt;120,E293&lt;&gt;INT(E293),VLOOKUP($A293,'Fleet register'!$A$7:$S$106,6,FALSE)&lt;=0,VLOOKUP($A293,'Fleet register'!$A$7:$S$106,6,FALSE)&gt;366,VLOOKUP($A293,'Fleet register'!$A$7:$S$106,5,FALSE)&lt;0,VLOOKUP($A293,'Fleet register'!$A$7:$S$106,11,FALSE)&lt;0,I293&lt;0,'Operating costs'!$B$8&lt;='Operating costs'!$B$7*'Operating costs'!$B$9,'Operating costs'!$B$11&lt;=0,'Operating costs'!$B$39&gt;R293,'Operating costs'!$B$40&gt;R293,'Operating costs'!$B$41&gt;R293,NOT(OR('Replacement plan'!$O$78="Keep ICE",'Replacement plan'!$O$78="New ICE",'Replacement plan'!$O$78="EV"))),"Invalid vehicle input",IF(AND(D293="EV",E293&lt;120,OR(NOT(ISNUMBER(U293)),NOT(ISNUMBER(V293)),V293&lt;=0,T293&lt;0,T293&gt;1,'Replacement plan'!$L$78&lt;=0,'Operating costs'!$B$44&lt;0,'Operating costs'!$B$44&gt;=1,'Operating costs'!$B$47&lt;=0,'Operating costs'!$B$47&gt;1,V293*'Operating costs'!$B$47/(1-'Operating costs'!$B$44)&lt;=T293*'Operating costs'!$B$12*U293,AND('Replacement plan'!$Z$78&gt;0,OR('Replacement plan'!$AB$78&lt;&gt;"Yes",'Operating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charging'!$B$8&gt;=0))),ISNUMBER(VLOOKUP($A293,'Fleet register'!$A$7:$S$106,15,FALSE)),ISNUMBER(VLOOKUP($A293,'Fleet register'!$A$7:$S$106,16,FALSE)),ISNUMBER('Replacement plan'!$W$78),ISNUMBER('Replacement plan'!$X$78),OR(E293=120,AND(ISNUMBER(G293),G293&gt;=0)),ISNUMBER(H293),H293&gt;=0,OR(D293&lt;&gt;"EV",E293=120,AND(ISNUMBER('Operating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average",ISNUMBER(IFERROR(INDEX(Products!$P$7:$P$13,MATCH(AD293,Products!$A$7:$A$13,0)),"")))),ISNUMBER('Operating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plan'!$Y$78),ISNUMBER('Replacement plan'!$Z$78),'Replacement plan'!$Z$78&gt;=0,ISNUMBER('Replacement plan'!$AA$78),'Replacement plan'!$AA$78&gt;=0,'Replacement plan'!$AA$78=INT('Replacement plan'!$AA$78),ISNUMBER('Replacement plan'!$L$78))),'Operating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plan'!$AG$78="",'Operating costs'!$B$7,'Replacement plan'!$AG$78)),IF('Replacement plan'!$AG$78="",'Operating costs'!$B$7,'Replacement plan'!$AG$78)&gt;=0,ISNUMBER(IF('Replacement plan'!$AH$78="",'Operating costs'!$B$7,'Replacement plan'!$AH$78)),IF('Replacement plan'!$AH$78="",'Operating costs'!$B$7,'Replacement plan'!$AH$78)&gt;=0,'Operating costs'!$B$8&gt;MAX(IF('Replacement plan'!$AG$78="",'Operating costs'!$B$7,'Replacement plan'!$AG$78),IF('Replacement plan'!$AH$78="",'Operating costs'!$B$7,'Replacement plan'!$AH$78))*'Operating costs'!$B$9),IF(AND(VLOOKUP($A293,'Fleet register'!$A$7:$S$106,10,FALSE)&gt;=0,VLOOKUP($A293,'Fleet register'!$A$7:$S$106,10,FALSE)&lt;=120,VLOOKUP($A293,'Fleet register'!$A$7:$S$106,10,FALSE)=INT(VLOOKUP($A293,'Fleet register'!$A$7:$S$106,10,FALSE)),VLOOKUP($A293,'Fleet register'!$A$7:$S$106,15,FALSE)&gt;=0,VLOOKUP($A293,'Fleet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costs'!$B$67)&gt;=0,OR(D293&lt;&gt;"EV",E293=120,AND(MIN('Operating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93" s="1" t="str">
        <f>IF(C293=0,"Excluded",IF(P293&lt;&gt;"Complete",P293,IF(OR('Replacement plan'!$AD$78&lt;120-E293,AND(D293="EV",E293&lt;120,OR('Replacement plan'!$AC$78&lt;120-E293,'Replacement plan'!$I$78="No",AND(ISNUMBER(AF293),AE293&gt;AF293),AI293&gt;V293*(1-'Operating costs'!$B$46)^MAX(0,AB293-1)*(1-'Operating costs'!$B$45),AC293&gt;'Operating costs'!$B$18,AND(T293&lt;1,OR(AG293&lt;=0,AND(ISNUMBER(AH293),AG293&gt;AH293))),'Replacement plan'!$L$78&gt;INDEX(Products!$H$7:$H$13,MATCH('Replacement plan'!$B$78,Products!$A$7:$A$13,0))))),"Fails entered limits",IF(AND(D293="EV",E293&lt;120,OR(NOT(ISNUMBER(VLOOKUP($A293,'Fleet register'!$A$7:$S$106,7,FALSE))),NOT(ISNUMBER(VLOOKUP($A293,'Fleet register'!$A$7:$S$106,8,FALSE))),NOT(ISNUMBER(AF293)),'Replacement plan'!$I$78&lt;&gt;"Yes",NOT(ISNUMBER(AH293)),'Operating costs'!$B$59&lt;&gt;"Yes",'Operating costs'!$B$58&lt;&gt;"Yes")),"Unverified","Within entered limits"))))</f>
        <v>Excluded</v>
      </c>
      <c r="R293" s="1">
        <f>IF(C293=0,0,VLOOKUP($A293,'Fleet register'!$A$7:$S$106,6,FALSE))</f>
        <v>0</v>
      </c>
      <c r="S293" s="1">
        <f>IF(C293=0,0,VLOOKUP($A293,'Fleet register'!$A$7:$S$106,5,FALSE))</f>
        <v>0</v>
      </c>
      <c r="T293" s="1">
        <f>IF(D293="EV",'Energy and charging'!$B$12,0)</f>
        <v>0</v>
      </c>
      <c r="U293" s="1">
        <f>IFERROR(IF(C293=0,0,IF(D293="EV",IF('Replacement plan'!$F$78="",INDEX(Products!$E$7:$E$13,MATCH('Replacement plan'!$B$78,Products!$A$7:$A$13,0)),'Replacement plan'!$F$78)/IF('Replacement plan'!$G$78="Battery",1-'Operating costs'!$B$44,1),0)),"n.a.")</f>
        <v>0</v>
      </c>
      <c r="V293" s="1">
        <f>IFERROR(IF(C293=0,0,IF(D293="EV",IF('Replacement plan'!$E$78="",INDEX(Products!$D$7:$D$13,MATCH('Replacement plan'!$B$78,Products!$A$7:$A$13,0)),'Replacement plan'!$E$78),0)),"n.a.")</f>
        <v>0</v>
      </c>
      <c r="W293" s="1">
        <f>IF(C293=0,0,IF(AND(P293="Complete",D293="EV",E293&lt;120),IF(T293=0,0,ROUNDUP(T293*(R293-'Operating costs'!$B$41)*(S293*U293+'Operating costs'!$B$48/(1-'Operating costs'!$B$44))/(V293*'Operating costs'!$B$47/(1-'Operating costs'!$B$44)-T293*'Operating costs'!$B$12*U293),0)),0))</f>
        <v>0</v>
      </c>
      <c r="X293" s="1">
        <f>IF(C293=0,0,IF(AND(P293="Complete",D293="EV",E293&lt;120),(R293-'Operating costs'!$B$41)*(S293*U293+'Operating costs'!$B$48/(1-'Operating costs'!$B$44))+W293*'Operating costs'!$B$12*U293,0))</f>
        <v>0</v>
      </c>
      <c r="Y293" s="1">
        <f>IF(AND(C293=1,D293="EV",E293&lt;120),AI293/(1-'Operating costs'!$B$44)*(1-T293),0)</f>
        <v>0</v>
      </c>
      <c r="Z293" s="1">
        <f t="shared" si="8"/>
        <v>0</v>
      </c>
      <c r="AA293" s="1">
        <f>IF(C293=0,0,IF(P293="Complete",((S293*(R293-'Operating costs'!$B$40))+ROUNDUP(S293*(R293-'Operating costs'!$B$40)*IF('Replacement plan'!$AH$78="",'Operating costs'!$B$7,'Replacement plan'!$AH$78)/('Operating costs'!$B$8-'Operating costs'!$B$9*IF('Replacement plan'!$AH$78="",'Operating costs'!$B$7,'Replacement plan'!$AH$78)),0)*'Operating costs'!$B$9)*IF('Replacement plan'!$AH$78="",'Operating costs'!$B$7,'Replacement plan'!$AH$78),"n.a."))</f>
        <v>0</v>
      </c>
      <c r="AB293" s="1">
        <f t="shared" si="9"/>
        <v>0</v>
      </c>
      <c r="AC293" s="1">
        <f>IF(AND(C293=1,D293="EV",E293&lt;120,T293&gt;0),'Operating costs'!$B$12/'Operating costs'!$B$11*60+'Operating costs'!$B$13+'Operating costs'!$B$14+V293*'Operating costs'!$B$47/(1-'Operating costs'!$B$44)/'Replacement plan'!$L$78*60,0)</f>
        <v>0</v>
      </c>
      <c r="AD293" s="1" t="str">
        <f>'Replacement plan'!$B$78</f>
        <v>ChengLong L2EV</v>
      </c>
      <c r="AE293" s="1">
        <f>IF(C293=0,0,VLOOKUP($A293,'Fleet register'!$A$7:$S$106,8,FALSE))</f>
        <v>0</v>
      </c>
      <c r="AF293" s="1" t="str">
        <f>IF('Replacement plan'!$H$78="","n.a.",'Replacement plan'!$H$78)</f>
        <v>n.a.</v>
      </c>
      <c r="AG293" s="1">
        <f>'Replacement plan'!$J$78</f>
        <v>22</v>
      </c>
      <c r="AH293" s="1">
        <f>IFERROR(IF(D293="EV",IF('Replacement plan'!$K$78="AC",IF(ISNUMBER(INDEX(Products!$G$7:$G$13,MATCH('Replacement plan'!$B$78,Products!$A$7:$A$13,0))),INDEX(Products!$G$7:$G$13,MATCH('Replacement plan'!$B$78,Products!$A$7:$A$13,0)),"n.a."),IF(ISNUMBER(INDEX(Products!$H$7:$H$13,MATCH('Replacement plan'!$B$78,Products!$A$7:$A$13,0))),INDEX(Products!$H$7:$H$13,MATCH('Replacement plan'!$B$78,Products!$A$7:$A$13,0)),"n.a.")),0),"n.a.")</f>
        <v>0</v>
      </c>
      <c r="AI293" s="1">
        <f>IF(AND(C293=1,D293="EV",E293&lt;120),(VLOOKUP($A293,'Fleet register'!$A$7:$S$106,7,FALSE)+IF(T293&gt;0,'Operating costs'!$B$12,0))*U293*(1-'Operating costs'!$B$44)+'Operating costs'!$B$49,0)</f>
        <v>0</v>
      </c>
      <c r="AJ293" s="1">
        <f>IF(D293="EV",'Energy and charging'!$B$50,0)</f>
        <v>0</v>
      </c>
      <c r="AK293" s="17">
        <f>EDATE('Operating costs'!$B$63,E293)</f>
        <v>46298</v>
      </c>
      <c r="AL293" s="1">
        <f>IFERROR(IF(D293="EV",INDEX(Products!$B$7:$B$13,MATCH('Replacement plan'!$B$78,Products!$A$7:$A$13,0)),0),"n.a.")</f>
        <v>0</v>
      </c>
      <c r="AM293" s="1" t="str">
        <f>'Replacement plan'!$K$78</f>
        <v>DC</v>
      </c>
      <c r="AN293" s="1" t="str">
        <f>'Replacement plan'!$AE$78</f>
        <v>Assumed</v>
      </c>
      <c r="AO293" s="47">
        <f>IF(AND(C293=1,D293="EV",E293&lt;120),(R293-'Operating costs'!$B$41)*S293+W293*'Operating costs'!$B$12,0)</f>
        <v>0</v>
      </c>
      <c r="AP293" s="41">
        <f>IF(AND(C293=1,D293="EV",E293&lt;120),IF('Operating costs'!$B$68="Hong Seh 200k average",AO293*IFERROR(INDEX(Products!$P$7:$P$13,MATCH(AD293,Products!$A$7:$A$13,0)),"n.a."),'Operating costs'!$B$26),0)</f>
        <v>0</v>
      </c>
      <c r="AQ293" s="40" t="str">
        <f>IF(D293="EV",'Operating costs'!$B$68,"Not applicable")</f>
        <v>Not applicable</v>
      </c>
    </row>
    <row r="294" spans="1:43" ht="24" customHeight="1">
      <c r="A294" s="1" t="str">
        <f>'Replacement plan'!A78</f>
        <v>T072</v>
      </c>
      <c r="B294" s="1">
        <v>3</v>
      </c>
      <c r="C294" s="1">
        <f>IF(COUNTIFS('Fleet register'!$A$7:$A$106,$A294)=1,VLOOKUP($A294,'Fleet register'!$A$7:$S$106,2,FALSE),0)</f>
        <v>0</v>
      </c>
      <c r="D294" s="1" t="str">
        <f>IF('Replacement plan'!$R$78="EV","EV","ICE")</f>
        <v>ICE</v>
      </c>
      <c r="E294" s="1">
        <f>IF(C294=0,0,IF('Replacement plan'!$S$78="",IF('Replacement plan'!$R$78="Keep ICE",IF('Replacement plan'!$M$78="",VLOOKUP($A294,'Fleet register'!$A$7:$S$106,10,FALSE),'Replacement plan'!$M$78),0),'Replacement plan'!$S$78))</f>
        <v>0</v>
      </c>
      <c r="F294" s="16">
        <f>IF(C294=0,0,VLOOKUP($A294,'Fleet register'!$A$7:$S$106,11,FALSE))</f>
        <v>0</v>
      </c>
      <c r="G294" s="16">
        <f>IFERROR(IF(C294=0,0,IF(E294=120,0,IF(D294="ICE",'Replacement plan'!$C$78,IF('Replacement plan'!$D$78="",INDEX(Products!$I$7:$I$13,MATCH('Replacement plan'!$B$78,Products!$A$7:$A$13,0))+'Operating costs'!$B$57,'Replacement plan'!$D$78))*(1+'Operating costs'!$B$50)^(E294/12))),"n.a.")</f>
        <v>0</v>
      </c>
      <c r="H294" s="16">
        <f>IFERROR(IF(C294=0,0,IF('Replacement plan'!$V$78&lt;&gt;"",'Replacement plan'!$V$78,IF(E294=0,F294,VLOOKUP($A294,'Fleet register'!$A$7:$S$106,12,FALSE)+VLOOKUP($A294,'Fleet register'!$A$7:$S$106,13,FALSE)*MAX(0,VLOOKUP($A294,'Fleet register'!$A$7:$S$106,10,FALSE)-E294)/VLOOKUP($A294,'Fleet register'!$A$7:$S$106,14,FALSE)))),"n.a.")</f>
        <v>0</v>
      </c>
      <c r="I294" s="16">
        <f>IF(C294=0,0,IF(E294=120,0,'Replacement plan'!$T$78))</f>
        <v>0</v>
      </c>
      <c r="J294" s="16">
        <f>IF(C294=0,0,IF(P294="Complete",((S294*(R294-'Operating costs'!$B$39))+ROUNDUP(S294*(R294-'Operating costs'!$B$39)*IF('Replacement plan'!$AG$78="",'Operating costs'!$B$7,'Replacement plan'!$AG$78)/('Operating costs'!$B$8-'Operating costs'!$B$9*IF('Replacement plan'!$AG$78="",'Operating costs'!$B$7,'Replacement plan'!$AG$78)),0)*'Operating costs'!$B$9)*IF('Replacement plan'!$AG$78="",'Operating costs'!$B$7,'Replacement plan'!$AG$78)*('Energy and charging'!$C$9*'Energy and charging'!$C$7+(1-'Energy and charging'!$C$9)*'Energy and charging'!$C$8)*'Operating costs'!$B$23,"n.a."))</f>
        <v>0</v>
      </c>
      <c r="K294" s="16">
        <f>IF(C294=0,0,IF(P294="Complete",SUM('Operating costs'!$B$24,'Operating costs'!$B$27,'Operating costs'!$B$29,'Operating costs'!$B$31,'Operating costs'!$B$33,'Operating costs'!$B$34,'Operating costs'!$B$37,'Replacement plan'!$W$78)+'Operating costs'!$B$39*'Operating costs'!$B$42+ROUNDUP(S294*(R294-'Operating costs'!$B$39)*IF('Replacement plan'!$AG$78="",'Operating costs'!$B$7,'Replacement plan'!$AG$78)/('Operating costs'!$B$8-'Operating costs'!$B$9*IF('Replacement plan'!$AG$78="",'Operating costs'!$B$7,'Replacement plan'!$AG$78)),0)*('Operating costs'!$B$9/'Operating costs'!$B$11+'Operating costs'!$B$10/60)*'Operating costs'!$B$19*'Operating costs'!$B$21,"n.a."))</f>
        <v>0</v>
      </c>
      <c r="L294" s="16">
        <f>IF(C294=0,0,IF(P294="Complete",IF(D294="EV",X294*((1-T294)*'Energy and charging'!$C$10+T294*'Energy and charging'!$C$11)*'Operating costs'!$B$22,AA294*('Energy and charging'!$C$9*'Energy and charging'!$C$7+(1-'Energy and charging'!$C$9)*'Energy and charging'!$C$8)*'Operating costs'!$B$23),"n.a."))</f>
        <v>0</v>
      </c>
      <c r="M294" s="37">
        <f>IF(C294=0,0,IF(P294="Complete",IF(D294="ICE",SUM('Operating costs'!$B$25,'Operating costs'!$B$27,'Operating costs'!$B$29,'Operating costs'!$B$31,'Operating costs'!$B$33,'Operating costs'!$B$35,'Operating costs'!$B$37,'Replacement plan'!$X$78)+'Operating costs'!$B$40*'Operating costs'!$B$42+ROUNDUP(S294*(R294-'Operating costs'!$B$40)*IF('Replacement plan'!$AH$78="",'Operating costs'!$B$7,'Replacement plan'!$AH$78)/('Operating costs'!$B$8-'Operating costs'!$B$9*IF('Replacement plan'!$AH$78="",'Operating costs'!$B$7,'Replacement plan'!$AH$78)),0)*('Operating costs'!$B$9/'Operating costs'!$B$11+'Operating costs'!$B$10/60)*'Operating costs'!$B$19*'Operating costs'!$B$21,SUM(AP294,'Operating costs'!$B$28,'Operating costs'!$B$30,'Operating costs'!$B$32,'Operating costs'!$B$33,'Operating costs'!$B$36,'Operating costs'!$B$38,'Replacement plan'!$Y$78)+'Operating costs'!$B$41*'Operating costs'!$B$43+W294*'Operating costs'!$B$15+(T294*X294/'Replacement plan'!$L$78+W294*('Operating costs'!$B$12/'Operating costs'!$B$11+('Operating costs'!$B$13+'Operating costs'!$B$14)/60)+(R294-'Operating costs'!$B$41)*(IF(T294&lt;1,'Operating costs'!$B$16,0)+'Operating costs'!$B$17)/60)*'Operating costs'!$B$19*'Operating costs'!$B$20),"n.a."))</f>
        <v>0</v>
      </c>
      <c r="N294" s="16">
        <f>IF(AND(C294=1,D294="EV",E294&lt;120,E294+'Replacement plan'!$AA$78&lt;=120),'Replacement plan'!$Z$78,0)</f>
        <v>0</v>
      </c>
      <c r="O294" s="1">
        <f>E294+'Replacement plan'!$AA$78</f>
        <v>0</v>
      </c>
      <c r="P294" s="35" t="str">
        <f>IFERROR(IF(C294=0,"Excluded",IF(OR(COUNTIFS('Fleet register'!$A$7:$A$106,A294)&lt;&gt;1,COUNTIFS('Replacement plan'!$A$7:$A$106,A294)&lt;&gt;1),"Duplicate/missing ID",IF(NOT(AND(ISNUMBER(VLOOKUP($A294,'Fleet register'!$A$7:$S$106,5,FALSE)),ISNUMBER(VLOOKUP($A294,'Fleet register'!$A$7:$S$106,6,FALSE)),ISNUMBER(VLOOKUP($A294,'Fleet register'!$A$7:$S$106,10,FALSE)),ISNUMBER(VLOOKUP($A294,'Fleet register'!$A$7:$S$106,11,FALSE)),ISNUMBER(VLOOKUP($A294,'Fleet register'!$A$7:$S$106,12,FALSE)),ISNUMBER(VLOOKUP($A294,'Fleet register'!$A$7:$S$106,13,FALSE)),ISNUMBER(VLOOKUP($A294,'Fleet register'!$A$7:$S$106,14,FALSE)),VLOOKUP($A294,'Fleet register'!$A$7:$S$106,14,FALSE)&gt;0,ISNUMBER('Replacement plan'!$C$78),OR(E294=120,ISNUMBER('Replacement plan'!$T$78)),ISNUMBER(E294))),"Missing vehicle input",IF(OR(E294&lt;0,E294&gt;VLOOKUP($A294,'Fleet register'!$A$7:$S$106,10,FALSE),E294&gt;120,E294&lt;&gt;INT(E294),VLOOKUP($A294,'Fleet register'!$A$7:$S$106,6,FALSE)&lt;=0,VLOOKUP($A294,'Fleet register'!$A$7:$S$106,6,FALSE)&gt;366,VLOOKUP($A294,'Fleet register'!$A$7:$S$106,5,FALSE)&lt;0,VLOOKUP($A294,'Fleet register'!$A$7:$S$106,11,FALSE)&lt;0,I294&lt;0,'Operating costs'!$B$8&lt;='Operating costs'!$B$7*'Operating costs'!$B$9,'Operating costs'!$B$11&lt;=0,'Operating costs'!$B$39&gt;R294,'Operating costs'!$B$40&gt;R294,'Operating costs'!$B$41&gt;R294,NOT(OR('Replacement plan'!$R$78="Keep ICE",'Replacement plan'!$R$78="New ICE",'Replacement plan'!$R$78="EV"))),"Invalid vehicle input",IF(AND(D294="EV",E294&lt;120,OR(NOT(ISNUMBER(U294)),NOT(ISNUMBER(V294)),V294&lt;=0,T294&lt;0,T294&gt;1,'Replacement plan'!$L$78&lt;=0,'Operating costs'!$B$44&lt;0,'Operating costs'!$B$44&gt;=1,'Operating costs'!$B$47&lt;=0,'Operating costs'!$B$47&gt;1,V294*'Operating costs'!$B$47/(1-'Operating costs'!$B$44)&lt;=T294*'Operating costs'!$B$12*U294,AND('Replacement plan'!$Z$78&gt;0,OR('Replacement plan'!$AB$78&lt;&gt;"Yes",'Operating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charging'!$C$8&gt;=0))),ISNUMBER(VLOOKUP($A294,'Fleet register'!$A$7:$S$106,15,FALSE)),ISNUMBER(VLOOKUP($A294,'Fleet register'!$A$7:$S$106,16,FALSE)),ISNUMBER('Replacement plan'!$W$78),ISNUMBER('Replacement plan'!$X$78),OR(E294=120,AND(ISNUMBER(G294),G294&gt;=0)),ISNUMBER(H294),H294&gt;=0,OR(D294&lt;&gt;"EV",E294=120,AND(ISNUMBER('Operating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average",ISNUMBER(IFERROR(INDEX(Products!$P$7:$P$13,MATCH(AD294,Products!$A$7:$A$13,0)),"")))),ISNUMBER('Operating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plan'!$Y$78),ISNUMBER('Replacement plan'!$Z$78),'Replacement plan'!$Z$78&gt;=0,ISNUMBER('Replacement plan'!$AA$78),'Replacement plan'!$AA$78&gt;=0,'Replacement plan'!$AA$78=INT('Replacement plan'!$AA$78),ISNUMBER('Replacement plan'!$L$78))),'Operating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plan'!$AG$78="",'Operating costs'!$B$7,'Replacement plan'!$AG$78)),IF('Replacement plan'!$AG$78="",'Operating costs'!$B$7,'Replacement plan'!$AG$78)&gt;=0,ISNUMBER(IF('Replacement plan'!$AH$78="",'Operating costs'!$B$7,'Replacement plan'!$AH$78)),IF('Replacement plan'!$AH$78="",'Operating costs'!$B$7,'Replacement plan'!$AH$78)&gt;=0,'Operating costs'!$B$8&gt;MAX(IF('Replacement plan'!$AG$78="",'Operating costs'!$B$7,'Replacement plan'!$AG$78),IF('Replacement plan'!$AH$78="",'Operating costs'!$B$7,'Replacement plan'!$AH$78))*'Operating costs'!$B$9),IF(AND(VLOOKUP($A294,'Fleet register'!$A$7:$S$106,10,FALSE)&gt;=0,VLOOKUP($A294,'Fleet register'!$A$7:$S$106,10,FALSE)&lt;=120,VLOOKUP($A294,'Fleet register'!$A$7:$S$106,10,FALSE)=INT(VLOOKUP($A294,'Fleet register'!$A$7:$S$106,10,FALSE)),VLOOKUP($A294,'Fleet register'!$A$7:$S$106,15,FALSE)&gt;=0,VLOOKUP($A294,'Fleet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costs'!$B$67)&gt;=0,OR(D294&lt;&gt;"EV",E294=120,AND(MIN('Operating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94" s="1" t="str">
        <f>IF(C294=0,"Excluded",IF(P294&lt;&gt;"Complete",P294,IF(OR('Replacement plan'!$AD$78&lt;120-E294,AND(D294="EV",E294&lt;120,OR('Replacement plan'!$AC$78&lt;120-E294,'Replacement plan'!$I$78="No",AND(ISNUMBER(AF294),AE294&gt;AF294),AI294&gt;V294*(1-'Operating costs'!$B$46)^MAX(0,AB294-1)*(1-'Operating costs'!$B$45),AC294&gt;'Operating costs'!$B$18,AND(T294&lt;1,OR(AG294&lt;=0,AND(ISNUMBER(AH294),AG294&gt;AH294))),'Replacement plan'!$L$78&gt;INDEX(Products!$H$7:$H$13,MATCH('Replacement plan'!$B$78,Products!$A$7:$A$13,0))))),"Fails entered limits",IF(AND(D294="EV",E294&lt;120,OR(NOT(ISNUMBER(VLOOKUP($A294,'Fleet register'!$A$7:$S$106,7,FALSE))),NOT(ISNUMBER(VLOOKUP($A294,'Fleet register'!$A$7:$S$106,8,FALSE))),NOT(ISNUMBER(AF294)),'Replacement plan'!$I$78&lt;&gt;"Yes",NOT(ISNUMBER(AH294)),'Operating costs'!$B$59&lt;&gt;"Yes",'Operating costs'!$B$58&lt;&gt;"Yes")),"Unverified","Within entered limits"))))</f>
        <v>Excluded</v>
      </c>
      <c r="R294" s="1">
        <f>IF(C294=0,0,VLOOKUP($A294,'Fleet register'!$A$7:$S$106,6,FALSE))</f>
        <v>0</v>
      </c>
      <c r="S294" s="1">
        <f>IF(C294=0,0,VLOOKUP($A294,'Fleet register'!$A$7:$S$106,5,FALSE))</f>
        <v>0</v>
      </c>
      <c r="T294" s="1">
        <f>IF(D294="EV",'Energy and charging'!$C$12,0)</f>
        <v>0</v>
      </c>
      <c r="U294" s="1">
        <f>IFERROR(IF(C294=0,0,IF(D294="EV",IF('Replacement plan'!$F$78="",INDEX(Products!$E$7:$E$13,MATCH('Replacement plan'!$B$78,Products!$A$7:$A$13,0)),'Replacement plan'!$F$78)/IF('Replacement plan'!$G$78="Battery",1-'Operating costs'!$B$44,1),0)),"n.a.")</f>
        <v>0</v>
      </c>
      <c r="V294" s="1">
        <f>IFERROR(IF(C294=0,0,IF(D294="EV",IF('Replacement plan'!$E$78="",INDEX(Products!$D$7:$D$13,MATCH('Replacement plan'!$B$78,Products!$A$7:$A$13,0)),'Replacement plan'!$E$78),0)),"n.a.")</f>
        <v>0</v>
      </c>
      <c r="W294" s="1">
        <f>IF(C294=0,0,IF(AND(P294="Complete",D294="EV",E294&lt;120),IF(T294=0,0,ROUNDUP(T294*(R294-'Operating costs'!$B$41)*(S294*U294+'Operating costs'!$B$48/(1-'Operating costs'!$B$44))/(V294*'Operating costs'!$B$47/(1-'Operating costs'!$B$44)-T294*'Operating costs'!$B$12*U294),0)),0))</f>
        <v>0</v>
      </c>
      <c r="X294" s="1">
        <f>IF(C294=0,0,IF(AND(P294="Complete",D294="EV",E294&lt;120),(R294-'Operating costs'!$B$41)*(S294*U294+'Operating costs'!$B$48/(1-'Operating costs'!$B$44))+W294*'Operating costs'!$B$12*U294,0))</f>
        <v>0</v>
      </c>
      <c r="Y294" s="1">
        <f>IF(AND(C294=1,D294="EV",E294&lt;120),AI294/(1-'Operating costs'!$B$44)*(1-T294),0)</f>
        <v>0</v>
      </c>
      <c r="Z294" s="1">
        <f t="shared" si="8"/>
        <v>0</v>
      </c>
      <c r="AA294" s="1">
        <f>IF(C294=0,0,IF(P294="Complete",((S294*(R294-'Operating costs'!$B$40))+ROUNDUP(S294*(R294-'Operating costs'!$B$40)*IF('Replacement plan'!$AH$78="",'Operating costs'!$B$7,'Replacement plan'!$AH$78)/('Operating costs'!$B$8-'Operating costs'!$B$9*IF('Replacement plan'!$AH$78="",'Operating costs'!$B$7,'Replacement plan'!$AH$78)),0)*'Operating costs'!$B$9)*IF('Replacement plan'!$AH$78="",'Operating costs'!$B$7,'Replacement plan'!$AH$78),"n.a."))</f>
        <v>0</v>
      </c>
      <c r="AB294" s="1">
        <f t="shared" si="9"/>
        <v>0</v>
      </c>
      <c r="AC294" s="1">
        <f>IF(AND(C294=1,D294="EV",E294&lt;120,T294&gt;0),'Operating costs'!$B$12/'Operating costs'!$B$11*60+'Operating costs'!$B$13+'Operating costs'!$B$14+V294*'Operating costs'!$B$47/(1-'Operating costs'!$B$44)/'Replacement plan'!$L$78*60,0)</f>
        <v>0</v>
      </c>
      <c r="AD294" s="1" t="str">
        <f>'Replacement plan'!$B$78</f>
        <v>ChengLong L2EV</v>
      </c>
      <c r="AE294" s="1">
        <f>IF(C294=0,0,VLOOKUP($A294,'Fleet register'!$A$7:$S$106,8,FALSE))</f>
        <v>0</v>
      </c>
      <c r="AF294" s="1" t="str">
        <f>IF('Replacement plan'!$H$78="","n.a.",'Replacement plan'!$H$78)</f>
        <v>n.a.</v>
      </c>
      <c r="AG294" s="1">
        <f>'Replacement plan'!$J$78</f>
        <v>22</v>
      </c>
      <c r="AH294" s="1">
        <f>IFERROR(IF(D294="EV",IF('Replacement plan'!$K$78="AC",IF(ISNUMBER(INDEX(Products!$G$7:$G$13,MATCH('Replacement plan'!$B$78,Products!$A$7:$A$13,0))),INDEX(Products!$G$7:$G$13,MATCH('Replacement plan'!$B$78,Products!$A$7:$A$13,0)),"n.a."),IF(ISNUMBER(INDEX(Products!$H$7:$H$13,MATCH('Replacement plan'!$B$78,Products!$A$7:$A$13,0))),INDEX(Products!$H$7:$H$13,MATCH('Replacement plan'!$B$78,Products!$A$7:$A$13,0)),"n.a.")),0),"n.a.")</f>
        <v>0</v>
      </c>
      <c r="AI294" s="1">
        <f>IF(AND(C294=1,D294="EV",E294&lt;120),(VLOOKUP($A294,'Fleet register'!$A$7:$S$106,7,FALSE)+IF(T294&gt;0,'Operating costs'!$B$12,0))*U294*(1-'Operating costs'!$B$44)+'Operating costs'!$B$49,0)</f>
        <v>0</v>
      </c>
      <c r="AJ294" s="1">
        <f>IF(D294="EV",'Energy and charging'!$C$50,0)</f>
        <v>0</v>
      </c>
      <c r="AK294" s="17">
        <f>EDATE('Operating costs'!$B$63,E294)</f>
        <v>46298</v>
      </c>
      <c r="AL294" s="1">
        <f>IFERROR(IF(D294="EV",INDEX(Products!$B$7:$B$13,MATCH('Replacement plan'!$B$78,Products!$A$7:$A$13,0)),0),"n.a.")</f>
        <v>0</v>
      </c>
      <c r="AM294" s="1" t="str">
        <f>'Replacement plan'!$K$78</f>
        <v>DC</v>
      </c>
      <c r="AN294" s="1" t="str">
        <f>'Replacement plan'!$AE$78</f>
        <v>Assumed</v>
      </c>
      <c r="AO294" s="47">
        <f>IF(AND(C294=1,D294="EV",E294&lt;120),(R294-'Operating costs'!$B$41)*S294+W294*'Operating costs'!$B$12,0)</f>
        <v>0</v>
      </c>
      <c r="AP294" s="41">
        <f>IF(AND(C294=1,D294="EV",E294&lt;120),IF('Operating costs'!$B$68="Hong Seh 200k average",AO294*IFERROR(INDEX(Products!$P$7:$P$13,MATCH(AD294,Products!$A$7:$A$13,0)),"n.a."),'Operating costs'!$B$26),0)</f>
        <v>0</v>
      </c>
      <c r="AQ294" s="40" t="str">
        <f>IF(D294="EV",'Operating costs'!$B$68,"Not applicable")</f>
        <v>Not applicable</v>
      </c>
    </row>
    <row r="295" spans="1:43" ht="24" customHeight="1">
      <c r="A295" s="1" t="str">
        <f>'Replacement plan'!A79</f>
        <v>T073</v>
      </c>
      <c r="B295" s="1">
        <v>0</v>
      </c>
      <c r="C295" s="1">
        <f>IF(COUNTIFS('Fleet register'!$A$7:$A$106,$A295)=1,VLOOKUP($A295,'Fleet register'!$A$7:$S$106,2,FALSE),0)</f>
        <v>0</v>
      </c>
      <c r="D295" s="1" t="str">
        <f>IF("Keep ICE"="EV","EV","ICE")</f>
        <v>ICE</v>
      </c>
      <c r="E295" s="1">
        <f>IF(C295=0,0,IF('Replacement plan'!$M$79="",VLOOKUP($A295,'Fleet register'!$A$7:$S$106,10,FALSE),'Replacement plan'!$M$79))</f>
        <v>0</v>
      </c>
      <c r="F295" s="16">
        <f>IF(C295=0,0,VLOOKUP($A295,'Fleet register'!$A$7:$S$106,11,FALSE))</f>
        <v>0</v>
      </c>
      <c r="G295" s="16">
        <f>IFERROR(IF(C295=0,0,IF(E295=120,0,IF(D295="ICE",'Replacement plan'!$C$79,IF('Replacement plan'!$D$79="",INDEX(Products!$I$7:$I$13,MATCH('Replacement plan'!$B$79,Products!$A$7:$A$13,0))+'Operating costs'!$B$57,'Replacement plan'!$D$79))*(1+'Operating costs'!$B$50)^(E295/12))),"n.a.")</f>
        <v>0</v>
      </c>
      <c r="H295" s="16">
        <f>IFERROR(IF(C295=0,0,IF(E295=0,F295,VLOOKUP($A295,'Fleet register'!$A$7:$S$106,12,FALSE)+VLOOKUP($A295,'Fleet register'!$A$7:$S$106,13,FALSE)*MAX(0,VLOOKUP($A295,'Fleet register'!$A$7:$S$106,10,FALSE)-E295)/VLOOKUP($A295,'Fleet register'!$A$7:$S$106,14,FALSE))),"n.a.")</f>
        <v>0</v>
      </c>
      <c r="I295" s="16">
        <f>IF(C295=0,0,IF(E295=120,0,'Replacement plan'!$N$79))</f>
        <v>0</v>
      </c>
      <c r="J295" s="16">
        <f>IF(C295=0,0,IF(P295="Complete",((S295*(R295-'Operating costs'!$B$39))+ROUNDUP(S295*(R295-'Operating costs'!$B$39)*IF('Replacement plan'!$AG$79="",'Operating costs'!$B$7,'Replacement plan'!$AG$79)/('Operating costs'!$B$8-'Operating costs'!$B$9*IF('Replacement plan'!$AG$79="",'Operating costs'!$B$7,'Replacement plan'!$AG$79)),0)*'Operating costs'!$B$9)*IF('Replacement plan'!$AG$79="",'Operating costs'!$B$7,'Replacement plan'!$AG$79)*('Energy and charging'!$B$9*'Energy and charging'!$B$7+(1-'Energy and charging'!$B$9)*'Energy and charging'!$B$8)*'Operating costs'!$B$23,"n.a."))</f>
        <v>0</v>
      </c>
      <c r="K295" s="16">
        <f>IF(C295=0,0,IF(P295="Complete",SUM('Operating costs'!$B$24,'Operating costs'!$B$27,'Operating costs'!$B$29,'Operating costs'!$B$31,'Operating costs'!$B$33,'Operating costs'!$B$34,'Operating costs'!$B$37,'Replacement plan'!$W$79)+'Operating costs'!$B$39*'Operating costs'!$B$42+ROUNDUP(S295*(R295-'Operating costs'!$B$39)*IF('Replacement plan'!$AG$79="",'Operating costs'!$B$7,'Replacement plan'!$AG$79)/('Operating costs'!$B$8-'Operating costs'!$B$9*IF('Replacement plan'!$AG$79="",'Operating costs'!$B$7,'Replacement plan'!$AG$79)),0)*('Operating costs'!$B$9/'Operating costs'!$B$11+'Operating costs'!$B$10/60)*'Operating costs'!$B$19*'Operating costs'!$B$21,"n.a."))</f>
        <v>0</v>
      </c>
      <c r="L295" s="16">
        <f>IF(C295=0,0,IF(P295="Complete",IF(D295="EV",X295*((1-T295)*'Energy and charging'!$B$10+T295*'Energy and charging'!$B$11)*'Operating costs'!$B$22,AA295*('Energy and charging'!$B$9*'Energy and charging'!$B$7+(1-'Energy and charging'!$B$9)*'Energy and charging'!$B$8)*'Operating costs'!$B$23),"n.a."))</f>
        <v>0</v>
      </c>
      <c r="M295" s="37">
        <f>IF(C295=0,0,IF(P295="Complete",IF(D295="ICE",SUM('Operating costs'!$B$25,'Operating costs'!$B$27,'Operating costs'!$B$29,'Operating costs'!$B$31,'Operating costs'!$B$33,'Operating costs'!$B$35,'Operating costs'!$B$37,'Replacement plan'!$X$79)+'Operating costs'!$B$40*'Operating costs'!$B$42+ROUNDUP(S295*(R295-'Operating costs'!$B$40)*IF('Replacement plan'!$AH$79="",'Operating costs'!$B$7,'Replacement plan'!$AH$79)/('Operating costs'!$B$8-'Operating costs'!$B$9*IF('Replacement plan'!$AH$79="",'Operating costs'!$B$7,'Replacement plan'!$AH$79)),0)*('Operating costs'!$B$9/'Operating costs'!$B$11+'Operating costs'!$B$10/60)*'Operating costs'!$B$19*'Operating costs'!$B$21,SUM(AP295,'Operating costs'!$B$28,'Operating costs'!$B$30,'Operating costs'!$B$32,'Operating costs'!$B$33,'Operating costs'!$B$36,'Operating costs'!$B$38,'Replacement plan'!$Y$79)+'Operating costs'!$B$41*'Operating costs'!$B$43+W295*'Operating costs'!$B$15+(T295*X295/'Replacement plan'!$L$79+W295*('Operating costs'!$B$12/'Operating costs'!$B$11+('Operating costs'!$B$13+'Operating costs'!$B$14)/60)+(R295-'Operating costs'!$B$41)*(IF(T295&lt;1,'Operating costs'!$B$16,0)+'Operating costs'!$B$17)/60)*'Operating costs'!$B$19*'Operating costs'!$B$20),"n.a."))</f>
        <v>0</v>
      </c>
      <c r="N295" s="16">
        <f>IF(AND(C295=1,D295="EV",E295&lt;120,E295+'Replacement plan'!$AA$79&lt;=120),'Replacement plan'!$Z$79,0)</f>
        <v>0</v>
      </c>
      <c r="O295" s="1">
        <f>E295+'Replacement plan'!$AA$79</f>
        <v>0</v>
      </c>
      <c r="P295" s="35" t="str">
        <f>IFERROR(IF(C295=0,"Excluded",IF(OR(COUNTIFS('Fleet register'!$A$7:$A$106,A295)&lt;&gt;1,COUNTIFS('Replacement plan'!$A$7:$A$106,A295)&lt;&gt;1),"Duplicate/missing ID",IF(NOT(AND(ISNUMBER(VLOOKUP($A295,'Fleet register'!$A$7:$S$106,5,FALSE)),ISNUMBER(VLOOKUP($A295,'Fleet register'!$A$7:$S$106,6,FALSE)),ISNUMBER(VLOOKUP($A295,'Fleet register'!$A$7:$S$106,10,FALSE)),ISNUMBER(VLOOKUP($A295,'Fleet register'!$A$7:$S$106,11,FALSE)),ISNUMBER(VLOOKUP($A295,'Fleet register'!$A$7:$S$106,12,FALSE)),ISNUMBER(VLOOKUP($A295,'Fleet register'!$A$7:$S$106,13,FALSE)),ISNUMBER(VLOOKUP($A295,'Fleet register'!$A$7:$S$106,14,FALSE)),VLOOKUP($A295,'Fleet register'!$A$7:$S$106,14,FALSE)&gt;0,ISNUMBER('Replacement plan'!$C$79),OR(E295=120,ISNUMBER('Replacement plan'!$N$79)),ISNUMBER(E295))),"Missing vehicle input",IF(OR(E295&lt;0,E295&gt;VLOOKUP($A295,'Fleet register'!$A$7:$S$106,10,FALSE),E295&gt;120,E295&lt;&gt;INT(E295),VLOOKUP($A295,'Fleet register'!$A$7:$S$106,6,FALSE)&lt;=0,VLOOKUP($A295,'Fleet register'!$A$7:$S$106,6,FALSE)&gt;366,VLOOKUP($A295,'Fleet register'!$A$7:$S$106,5,FALSE)&lt;0,VLOOKUP($A295,'Fleet register'!$A$7:$S$106,11,FALSE)&lt;0,I295&lt;0,'Operating costs'!$B$8&lt;='Operating costs'!$B$7*'Operating costs'!$B$9,'Operating costs'!$B$11&lt;=0,'Operating costs'!$B$39&gt;R295,'Operating costs'!$B$40&gt;R295,'Operating costs'!$B$41&gt;R295,NOT(OR("Keep ICE"="Keep ICE","Keep ICE"="New ICE","Keep ICE"="EV"))),"Invalid vehicle input",IF(AND(D295="EV",E295&lt;120,OR(NOT(ISNUMBER(U295)),NOT(ISNUMBER(V295)),V295&lt;=0,T295&lt;0,T295&gt;1,'Replacement plan'!$L$79&lt;=0,'Operating costs'!$B$44&lt;0,'Operating costs'!$B$44&gt;=1,'Operating costs'!$B$47&lt;=0,'Operating costs'!$B$47&gt;1,V295*'Operating costs'!$B$47/(1-'Operating costs'!$B$44)&lt;=T295*'Operating costs'!$B$12*U295,AND('Replacement plan'!$Z$79&gt;0,OR('Replacement plan'!$AB$79&lt;&gt;"Yes",'Operating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charging'!$B$8&gt;=0))),ISNUMBER(VLOOKUP($A295,'Fleet register'!$A$7:$S$106,15,FALSE)),ISNUMBER(VLOOKUP($A295,'Fleet register'!$A$7:$S$106,16,FALSE)),ISNUMBER('Replacement plan'!$W$79),ISNUMBER('Replacement plan'!$X$79),OR(E295=120,AND(ISNUMBER(G295),G295&gt;=0)),ISNUMBER(H295),H295&gt;=0,OR(D295&lt;&gt;"EV",E295=120,AND(ISNUMBER('Operating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average",ISNUMBER(IFERROR(INDEX(Products!$P$7:$P$13,MATCH(AD295,Products!$A$7:$A$13,0)),"")))),ISNUMBER('Operating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plan'!$Y$79),ISNUMBER('Replacement plan'!$Z$79),'Replacement plan'!$Z$79&gt;=0,ISNUMBER('Replacement plan'!$AA$79),'Replacement plan'!$AA$79&gt;=0,'Replacement plan'!$AA$79=INT('Replacement plan'!$AA$79),ISNUMBER('Replacement plan'!$L$79))),'Operating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plan'!$AG$79="",'Operating costs'!$B$7,'Replacement plan'!$AG$79)),IF('Replacement plan'!$AG$79="",'Operating costs'!$B$7,'Replacement plan'!$AG$79)&gt;=0,ISNUMBER(IF('Replacement plan'!$AH$79="",'Operating costs'!$B$7,'Replacement plan'!$AH$79)),IF('Replacement plan'!$AH$79="",'Operating costs'!$B$7,'Replacement plan'!$AH$79)&gt;=0,'Operating costs'!$B$8&gt;MAX(IF('Replacement plan'!$AG$79="",'Operating costs'!$B$7,'Replacement plan'!$AG$79),IF('Replacement plan'!$AH$79="",'Operating costs'!$B$7,'Replacement plan'!$AH$79))*'Operating costs'!$B$9),IF(AND(VLOOKUP($A295,'Fleet register'!$A$7:$S$106,10,FALSE)&gt;=0,VLOOKUP($A295,'Fleet register'!$A$7:$S$106,10,FALSE)&lt;=120,VLOOKUP($A295,'Fleet register'!$A$7:$S$106,10,FALSE)=INT(VLOOKUP($A295,'Fleet register'!$A$7:$S$106,10,FALSE)),VLOOKUP($A295,'Fleet register'!$A$7:$S$106,15,FALSE)&gt;=0,VLOOKUP($A295,'Fleet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costs'!$B$67)&gt;=0,OR(D295&lt;&gt;"EV",E295=120,AND(MIN('Operating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95" s="1" t="str">
        <f>IF(C295=0,"Excluded",IF(P295&lt;&gt;"Complete",P295,IF(OR('Replacement plan'!$AD$79&lt;120-E295,AND(D295="EV",E295&lt;120,OR('Replacement plan'!$AC$79&lt;120-E295,'Replacement plan'!$I$79="No",AND(ISNUMBER(AF295),AE295&gt;AF295),AI295&gt;V295*(1-'Operating costs'!$B$46)^MAX(0,AB295-1)*(1-'Operating costs'!$B$45),AC295&gt;'Operating costs'!$B$18,AND(T295&lt;1,OR(AG295&lt;=0,AND(ISNUMBER(AH295),AG295&gt;AH295))),'Replacement plan'!$L$79&gt;INDEX(Products!$H$7:$H$13,MATCH('Replacement plan'!$B$79,Products!$A$7:$A$13,0))))),"Fails entered limits",IF(AND(D295="EV",E295&lt;120,OR(NOT(ISNUMBER(VLOOKUP($A295,'Fleet register'!$A$7:$S$106,7,FALSE))),NOT(ISNUMBER(VLOOKUP($A295,'Fleet register'!$A$7:$S$106,8,FALSE))),NOT(ISNUMBER(AF295)),'Replacement plan'!$I$79&lt;&gt;"Yes",NOT(ISNUMBER(AH295)),'Operating costs'!$B$59&lt;&gt;"Yes",'Operating costs'!$B$58&lt;&gt;"Yes")),"Unverified","Within entered limits"))))</f>
        <v>Excluded</v>
      </c>
      <c r="R295" s="1">
        <f>IF(C295=0,0,VLOOKUP($A295,'Fleet register'!$A$7:$S$106,6,FALSE))</f>
        <v>0</v>
      </c>
      <c r="S295" s="1">
        <f>IF(C295=0,0,VLOOKUP($A295,'Fleet register'!$A$7:$S$106,5,FALSE))</f>
        <v>0</v>
      </c>
      <c r="T295" s="1">
        <f>IF(D295="EV",'Energy and charging'!$B$12,0)</f>
        <v>0</v>
      </c>
      <c r="U295" s="1">
        <f>IFERROR(IF(C295=0,0,IF(D295="EV",IF('Replacement plan'!$F$79="",INDEX(Products!$E$7:$E$13,MATCH('Replacement plan'!$B$79,Products!$A$7:$A$13,0)),'Replacement plan'!$F$79)/IF('Replacement plan'!$G$79="Battery",1-'Operating costs'!$B$44,1),0)),"n.a.")</f>
        <v>0</v>
      </c>
      <c r="V295" s="1">
        <f>IFERROR(IF(C295=0,0,IF(D295="EV",IF('Replacement plan'!$E$79="",INDEX(Products!$D$7:$D$13,MATCH('Replacement plan'!$B$79,Products!$A$7:$A$13,0)),'Replacement plan'!$E$79),0)),"n.a.")</f>
        <v>0</v>
      </c>
      <c r="W295" s="1">
        <f>IF(C295=0,0,IF(AND(P295="Complete",D295="EV",E295&lt;120),IF(T295=0,0,ROUNDUP(T295*(R295-'Operating costs'!$B$41)*(S295*U295+'Operating costs'!$B$48/(1-'Operating costs'!$B$44))/(V295*'Operating costs'!$B$47/(1-'Operating costs'!$B$44)-T295*'Operating costs'!$B$12*U295),0)),0))</f>
        <v>0</v>
      </c>
      <c r="X295" s="1">
        <f>IF(C295=0,0,IF(AND(P295="Complete",D295="EV",E295&lt;120),(R295-'Operating costs'!$B$41)*(S295*U295+'Operating costs'!$B$48/(1-'Operating costs'!$B$44))+W295*'Operating costs'!$B$12*U295,0))</f>
        <v>0</v>
      </c>
      <c r="Y295" s="1">
        <f>IF(AND(C295=1,D295="EV",E295&lt;120),AI295/(1-'Operating costs'!$B$44)*(1-T295),0)</f>
        <v>0</v>
      </c>
      <c r="Z295" s="1">
        <f t="shared" si="8"/>
        <v>0</v>
      </c>
      <c r="AA295" s="1">
        <f>IF(C295=0,0,IF(P295="Complete",((S295*(R295-'Operating costs'!$B$40))+ROUNDUP(S295*(R295-'Operating costs'!$B$40)*IF('Replacement plan'!$AH$79="",'Operating costs'!$B$7,'Replacement plan'!$AH$79)/('Operating costs'!$B$8-'Operating costs'!$B$9*IF('Replacement plan'!$AH$79="",'Operating costs'!$B$7,'Replacement plan'!$AH$79)),0)*'Operating costs'!$B$9)*IF('Replacement plan'!$AH$79="",'Operating costs'!$B$7,'Replacement plan'!$AH$79),"n.a."))</f>
        <v>0</v>
      </c>
      <c r="AB295" s="1">
        <f t="shared" si="9"/>
        <v>0</v>
      </c>
      <c r="AC295" s="1">
        <f>IF(AND(C295=1,D295="EV",E295&lt;120,T295&gt;0),'Operating costs'!$B$12/'Operating costs'!$B$11*60+'Operating costs'!$B$13+'Operating costs'!$B$14+V295*'Operating costs'!$B$47/(1-'Operating costs'!$B$44)/'Replacement plan'!$L$79*60,0)</f>
        <v>0</v>
      </c>
      <c r="AD295" s="1" t="str">
        <f>'Replacement plan'!$B$79</f>
        <v>ChengLong L2EV</v>
      </c>
      <c r="AE295" s="1">
        <f>IF(C295=0,0,VLOOKUP($A295,'Fleet register'!$A$7:$S$106,8,FALSE))</f>
        <v>0</v>
      </c>
      <c r="AF295" s="1" t="str">
        <f>IF('Replacement plan'!$H$79="","n.a.",'Replacement plan'!$H$79)</f>
        <v>n.a.</v>
      </c>
      <c r="AG295" s="1">
        <f>'Replacement plan'!$J$79</f>
        <v>22</v>
      </c>
      <c r="AH295" s="1">
        <f>IFERROR(IF(D295="EV",IF('Replacement plan'!$K$79="AC",IF(ISNUMBER(INDEX(Products!$G$7:$G$13,MATCH('Replacement plan'!$B$79,Products!$A$7:$A$13,0))),INDEX(Products!$G$7:$G$13,MATCH('Replacement plan'!$B$79,Products!$A$7:$A$13,0)),"n.a."),IF(ISNUMBER(INDEX(Products!$H$7:$H$13,MATCH('Replacement plan'!$B$79,Products!$A$7:$A$13,0))),INDEX(Products!$H$7:$H$13,MATCH('Replacement plan'!$B$79,Products!$A$7:$A$13,0)),"n.a.")),0),"n.a.")</f>
        <v>0</v>
      </c>
      <c r="AI295" s="1">
        <f>IF(AND(C295=1,D295="EV",E295&lt;120),(VLOOKUP($A295,'Fleet register'!$A$7:$S$106,7,FALSE)+IF(T295&gt;0,'Operating costs'!$B$12,0))*U295*(1-'Operating costs'!$B$44)+'Operating costs'!$B$49,0)</f>
        <v>0</v>
      </c>
      <c r="AJ295" s="1">
        <f>IF(D295="EV",'Energy and charging'!$B$50,0)</f>
        <v>0</v>
      </c>
      <c r="AK295" s="17">
        <f>EDATE('Operating costs'!$B$63,E295)</f>
        <v>46298</v>
      </c>
      <c r="AL295" s="1">
        <f>IFERROR(IF(D295="EV",INDEX(Products!$B$7:$B$13,MATCH('Replacement plan'!$B$79,Products!$A$7:$A$13,0)),0),"n.a.")</f>
        <v>0</v>
      </c>
      <c r="AM295" s="1" t="str">
        <f>'Replacement plan'!$K$79</f>
        <v>DC</v>
      </c>
      <c r="AN295" s="1" t="str">
        <f>'Replacement plan'!$AE$79</f>
        <v>Assumed</v>
      </c>
      <c r="AO295" s="47">
        <f>IF(AND(C295=1,D295="EV",E295&lt;120),(R295-'Operating costs'!$B$41)*S295+W295*'Operating costs'!$B$12,0)</f>
        <v>0</v>
      </c>
      <c r="AP295" s="41">
        <f>IF(AND(C295=1,D295="EV",E295&lt;120),IF('Operating costs'!$B$68="Hong Seh 200k average",AO295*IFERROR(INDEX(Products!$P$7:$P$13,MATCH(AD295,Products!$A$7:$A$13,0)),"n.a."),'Operating costs'!$B$26),0)</f>
        <v>0</v>
      </c>
      <c r="AQ295" s="40" t="str">
        <f>IF(D295="EV",'Operating costs'!$B$68,"Not applicable")</f>
        <v>Not applicable</v>
      </c>
    </row>
    <row r="296" spans="1:43" ht="24" customHeight="1">
      <c r="A296" s="1" t="str">
        <f>'Replacement plan'!A79</f>
        <v>T073</v>
      </c>
      <c r="B296" s="1">
        <v>1</v>
      </c>
      <c r="C296" s="1">
        <f>IF(COUNTIFS('Fleet register'!$A$7:$A$106,$A296)=1,VLOOKUP($A296,'Fleet register'!$A$7:$S$106,2,FALSE),0)</f>
        <v>0</v>
      </c>
      <c r="D296" s="1" t="str">
        <f>IF("New ICE"="EV","EV","ICE")</f>
        <v>ICE</v>
      </c>
      <c r="E296" s="1">
        <f>IF(C296=0,0,0)</f>
        <v>0</v>
      </c>
      <c r="F296" s="16">
        <f>IF(C296=0,0,VLOOKUP($A296,'Fleet register'!$A$7:$S$106,11,FALSE))</f>
        <v>0</v>
      </c>
      <c r="G296" s="16">
        <f>IFERROR(IF(C296=0,0,IF(E296=120,0,IF(D296="ICE",'Replacement plan'!$C$79,IF('Replacement plan'!$D$79="",INDEX(Products!$I$7:$I$13,MATCH('Replacement plan'!$B$79,Products!$A$7:$A$13,0))+'Operating costs'!$B$57,'Replacement plan'!$D$79))*(1+'Operating costs'!$B$50)^(E296/12))),"n.a.")</f>
        <v>0</v>
      </c>
      <c r="H296" s="16">
        <f>IFERROR(IF(C296=0,0,IF(E296=0,F296,VLOOKUP($A296,'Fleet register'!$A$7:$S$106,12,FALSE)+VLOOKUP($A296,'Fleet register'!$A$7:$S$106,13,FALSE)*MAX(0,VLOOKUP($A296,'Fleet register'!$A$7:$S$106,10,FALSE)-E296)/VLOOKUP($A296,'Fleet register'!$A$7:$S$106,14,FALSE))),"n.a.")</f>
        <v>0</v>
      </c>
      <c r="I296" s="16">
        <f>IF(C296=0,0,IF(E296=120,0,IF('Replacement plan'!$AI$79="",'Operating costs'!$B$56,'Replacement plan'!$AI$79)))</f>
        <v>0</v>
      </c>
      <c r="J296" s="16">
        <f>IF(C296=0,0,IF(P296="Complete",((S296*(R296-'Operating costs'!$B$39))+ROUNDUP(S296*(R296-'Operating costs'!$B$39)*IF('Replacement plan'!$AG$79="",'Operating costs'!$B$7,'Replacement plan'!$AG$79)/('Operating costs'!$B$8-'Operating costs'!$B$9*IF('Replacement plan'!$AG$79="",'Operating costs'!$B$7,'Replacement plan'!$AG$79)),0)*'Operating costs'!$B$9)*IF('Replacement plan'!$AG$79="",'Operating costs'!$B$7,'Replacement plan'!$AG$79)*('Energy and charging'!$B$9*'Energy and charging'!$B$7+(1-'Energy and charging'!$B$9)*'Energy and charging'!$B$8)*'Operating costs'!$B$23,"n.a."))</f>
        <v>0</v>
      </c>
      <c r="K296" s="16">
        <f>IF(C296=0,0,IF(P296="Complete",SUM('Operating costs'!$B$24,'Operating costs'!$B$27,'Operating costs'!$B$29,'Operating costs'!$B$31,'Operating costs'!$B$33,'Operating costs'!$B$34,'Operating costs'!$B$37,'Replacement plan'!$W$79)+'Operating costs'!$B$39*'Operating costs'!$B$42+ROUNDUP(S296*(R296-'Operating costs'!$B$39)*IF('Replacement plan'!$AG$79="",'Operating costs'!$B$7,'Replacement plan'!$AG$79)/('Operating costs'!$B$8-'Operating costs'!$B$9*IF('Replacement plan'!$AG$79="",'Operating costs'!$B$7,'Replacement plan'!$AG$79)),0)*('Operating costs'!$B$9/'Operating costs'!$B$11+'Operating costs'!$B$10/60)*'Operating costs'!$B$19*'Operating costs'!$B$21,"n.a."))</f>
        <v>0</v>
      </c>
      <c r="L296" s="16">
        <f>IF(C296=0,0,IF(P296="Complete",IF(D296="EV",X296*((1-T296)*'Energy and charging'!$B$10+T296*'Energy and charging'!$B$11)*'Operating costs'!$B$22,AA296*('Energy and charging'!$B$9*'Energy and charging'!$B$7+(1-'Energy and charging'!$B$9)*'Energy and charging'!$B$8)*'Operating costs'!$B$23),"n.a."))</f>
        <v>0</v>
      </c>
      <c r="M296" s="37">
        <f>IF(C296=0,0,IF(P296="Complete",IF(D296="ICE",SUM('Operating costs'!$B$25,'Operating costs'!$B$27,'Operating costs'!$B$29,'Operating costs'!$B$31,'Operating costs'!$B$33,'Operating costs'!$B$35,'Operating costs'!$B$37,'Replacement plan'!$X$79)+'Operating costs'!$B$40*'Operating costs'!$B$42+ROUNDUP(S296*(R296-'Operating costs'!$B$40)*IF('Replacement plan'!$AH$79="",'Operating costs'!$B$7,'Replacement plan'!$AH$79)/('Operating costs'!$B$8-'Operating costs'!$B$9*IF('Replacement plan'!$AH$79="",'Operating costs'!$B$7,'Replacement plan'!$AH$79)),0)*('Operating costs'!$B$9/'Operating costs'!$B$11+'Operating costs'!$B$10/60)*'Operating costs'!$B$19*'Operating costs'!$B$21,SUM(AP296,'Operating costs'!$B$28,'Operating costs'!$B$30,'Operating costs'!$B$32,'Operating costs'!$B$33,'Operating costs'!$B$36,'Operating costs'!$B$38,'Replacement plan'!$Y$79)+'Operating costs'!$B$41*'Operating costs'!$B$43+W296*'Operating costs'!$B$15+(T296*X296/'Replacement plan'!$L$79+W296*('Operating costs'!$B$12/'Operating costs'!$B$11+('Operating costs'!$B$13+'Operating costs'!$B$14)/60)+(R296-'Operating costs'!$B$41)*(IF(T296&lt;1,'Operating costs'!$B$16,0)+'Operating costs'!$B$17)/60)*'Operating costs'!$B$19*'Operating costs'!$B$20),"n.a."))</f>
        <v>0</v>
      </c>
      <c r="N296" s="16">
        <f>IF(AND(C296=1,D296="EV",E296&lt;120,E296+'Replacement plan'!$AA$79&lt;=120),'Replacement plan'!$Z$79,0)</f>
        <v>0</v>
      </c>
      <c r="O296" s="1">
        <f>E296+'Replacement plan'!$AA$79</f>
        <v>0</v>
      </c>
      <c r="P296" s="35" t="str">
        <f>IFERROR(IF(C296=0,"Excluded",IF(OR(COUNTIFS('Fleet register'!$A$7:$A$106,A296)&lt;&gt;1,COUNTIFS('Replacement plan'!$A$7:$A$106,A296)&lt;&gt;1),"Duplicate/missing ID",IF(NOT(AND(ISNUMBER(VLOOKUP($A296,'Fleet register'!$A$7:$S$106,5,FALSE)),ISNUMBER(VLOOKUP($A296,'Fleet register'!$A$7:$S$106,6,FALSE)),ISNUMBER(VLOOKUP($A296,'Fleet register'!$A$7:$S$106,10,FALSE)),ISNUMBER(VLOOKUP($A296,'Fleet register'!$A$7:$S$106,11,FALSE)),ISNUMBER(VLOOKUP($A296,'Fleet register'!$A$7:$S$106,12,FALSE)),ISNUMBER(VLOOKUP($A296,'Fleet register'!$A$7:$S$106,13,FALSE)),ISNUMBER(VLOOKUP($A296,'Fleet register'!$A$7:$S$106,14,FALSE)),VLOOKUP($A296,'Fleet register'!$A$7:$S$106,14,FALSE)&gt;0,ISNUMBER('Replacement plan'!$C$79),OR(E296=120,OR(ISNUMBER('Replacement plan'!$AI$79),AND('Replacement plan'!$AI$79="",ISNUMBER('Operating costs'!$B$56)))),ISNUMBER(E296))),"Missing vehicle input",IF(OR(E296&lt;0,E296&gt;VLOOKUP($A296,'Fleet register'!$A$7:$S$106,10,FALSE),E296&gt;120,E296&lt;&gt;INT(E296),VLOOKUP($A296,'Fleet register'!$A$7:$S$106,6,FALSE)&lt;=0,VLOOKUP($A296,'Fleet register'!$A$7:$S$106,6,FALSE)&gt;366,VLOOKUP($A296,'Fleet register'!$A$7:$S$106,5,FALSE)&lt;0,VLOOKUP($A296,'Fleet register'!$A$7:$S$106,11,FALSE)&lt;0,I296&lt;0,'Operating costs'!$B$8&lt;='Operating costs'!$B$7*'Operating costs'!$B$9,'Operating costs'!$B$11&lt;=0,'Operating costs'!$B$39&gt;R296,'Operating costs'!$B$40&gt;R296,'Operating costs'!$B$41&gt;R296,NOT(OR("New ICE"="Keep ICE","New ICE"="New ICE","New ICE"="EV"))),"Invalid vehicle input",IF(AND(D296="EV",E296&lt;120,OR(NOT(ISNUMBER(U296)),NOT(ISNUMBER(V296)),V296&lt;=0,T296&lt;0,T296&gt;1,'Replacement plan'!$L$79&lt;=0,'Operating costs'!$B$44&lt;0,'Operating costs'!$B$44&gt;=1,'Operating costs'!$B$47&lt;=0,'Operating costs'!$B$47&gt;1,V296*'Operating costs'!$B$47/(1-'Operating costs'!$B$44)&lt;=T296*'Operating costs'!$B$12*U296,AND('Replacement plan'!$Z$79&gt;0,OR('Replacement plan'!$AB$79&lt;&gt;"Yes",'Operating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charging'!$B$8&gt;=0))),ISNUMBER(VLOOKUP($A296,'Fleet register'!$A$7:$S$106,15,FALSE)),ISNUMBER(VLOOKUP($A296,'Fleet register'!$A$7:$S$106,16,FALSE)),ISNUMBER('Replacement plan'!$W$79),ISNUMBER('Replacement plan'!$X$79),OR(E296=120,AND(ISNUMBER(G296),G296&gt;=0)),ISNUMBER(H296),H296&gt;=0,OR(D296&lt;&gt;"EV",E296=120,AND(ISNUMBER('Operating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average",ISNUMBER(IFERROR(INDEX(Products!$P$7:$P$13,MATCH(AD296,Products!$A$7:$A$13,0)),"")))),ISNUMBER('Operating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plan'!$Y$79),ISNUMBER('Replacement plan'!$Z$79),'Replacement plan'!$Z$79&gt;=0,ISNUMBER('Replacement plan'!$AA$79),'Replacement plan'!$AA$79&gt;=0,'Replacement plan'!$AA$79=INT('Replacement plan'!$AA$79),ISNUMBER('Replacement plan'!$L$79))),'Operating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plan'!$AG$79="",'Operating costs'!$B$7,'Replacement plan'!$AG$79)),IF('Replacement plan'!$AG$79="",'Operating costs'!$B$7,'Replacement plan'!$AG$79)&gt;=0,ISNUMBER(IF('Replacement plan'!$AH$79="",'Operating costs'!$B$7,'Replacement plan'!$AH$79)),IF('Replacement plan'!$AH$79="",'Operating costs'!$B$7,'Replacement plan'!$AH$79)&gt;=0,'Operating costs'!$B$8&gt;MAX(IF('Replacement plan'!$AG$79="",'Operating costs'!$B$7,'Replacement plan'!$AG$79),IF('Replacement plan'!$AH$79="",'Operating costs'!$B$7,'Replacement plan'!$AH$79))*'Operating costs'!$B$9),IF(AND(VLOOKUP($A296,'Fleet register'!$A$7:$S$106,10,FALSE)&gt;=0,VLOOKUP($A296,'Fleet register'!$A$7:$S$106,10,FALSE)&lt;=120,VLOOKUP($A296,'Fleet register'!$A$7:$S$106,10,FALSE)=INT(VLOOKUP($A296,'Fleet register'!$A$7:$S$106,10,FALSE)),VLOOKUP($A296,'Fleet register'!$A$7:$S$106,15,FALSE)&gt;=0,VLOOKUP($A296,'Fleet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costs'!$B$67)&gt;=0,OR(D296&lt;&gt;"EV",E296=120,AND(MIN('Operating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96" s="1" t="str">
        <f>IF(C296=0,"Excluded",IF(P296&lt;&gt;"Complete",P296,IF(OR('Replacement plan'!$AD$79&lt;120-E296,AND(D296="EV",E296&lt;120,OR('Replacement plan'!$AC$79&lt;120-E296,'Replacement plan'!$I$79="No",AND(ISNUMBER(AF296),AE296&gt;AF296),AI296&gt;V296*(1-'Operating costs'!$B$46)^MAX(0,AB296-1)*(1-'Operating costs'!$B$45),AC296&gt;'Operating costs'!$B$18,AND(T296&lt;1,OR(AG296&lt;=0,AND(ISNUMBER(AH296),AG296&gt;AH296))),'Replacement plan'!$L$79&gt;INDEX(Products!$H$7:$H$13,MATCH('Replacement plan'!$B$79,Products!$A$7:$A$13,0))))),"Fails entered limits",IF(AND(D296="EV",E296&lt;120,OR(NOT(ISNUMBER(VLOOKUP($A296,'Fleet register'!$A$7:$S$106,7,FALSE))),NOT(ISNUMBER(VLOOKUP($A296,'Fleet register'!$A$7:$S$106,8,FALSE))),NOT(ISNUMBER(AF296)),'Replacement plan'!$I$79&lt;&gt;"Yes",NOT(ISNUMBER(AH296)),'Operating costs'!$B$59&lt;&gt;"Yes",'Operating costs'!$B$58&lt;&gt;"Yes")),"Unverified","Within entered limits"))))</f>
        <v>Excluded</v>
      </c>
      <c r="R296" s="1">
        <f>IF(C296=0,0,VLOOKUP($A296,'Fleet register'!$A$7:$S$106,6,FALSE))</f>
        <v>0</v>
      </c>
      <c r="S296" s="1">
        <f>IF(C296=0,0,VLOOKUP($A296,'Fleet register'!$A$7:$S$106,5,FALSE))</f>
        <v>0</v>
      </c>
      <c r="T296" s="1">
        <f>IF(D296="EV",'Energy and charging'!$B$12,0)</f>
        <v>0</v>
      </c>
      <c r="U296" s="1">
        <f>IFERROR(IF(C296=0,0,IF(D296="EV",IF('Replacement plan'!$F$79="",INDEX(Products!$E$7:$E$13,MATCH('Replacement plan'!$B$79,Products!$A$7:$A$13,0)),'Replacement plan'!$F$79)/IF('Replacement plan'!$G$79="Battery",1-'Operating costs'!$B$44,1),0)),"n.a.")</f>
        <v>0</v>
      </c>
      <c r="V296" s="1">
        <f>IFERROR(IF(C296=0,0,IF(D296="EV",IF('Replacement plan'!$E$79="",INDEX(Products!$D$7:$D$13,MATCH('Replacement plan'!$B$79,Products!$A$7:$A$13,0)),'Replacement plan'!$E$79),0)),"n.a.")</f>
        <v>0</v>
      </c>
      <c r="W296" s="1">
        <f>IF(C296=0,0,IF(AND(P296="Complete",D296="EV",E296&lt;120),IF(T296=0,0,ROUNDUP(T296*(R296-'Operating costs'!$B$41)*(S296*U296+'Operating costs'!$B$48/(1-'Operating costs'!$B$44))/(V296*'Operating costs'!$B$47/(1-'Operating costs'!$B$44)-T296*'Operating costs'!$B$12*U296),0)),0))</f>
        <v>0</v>
      </c>
      <c r="X296" s="1">
        <f>IF(C296=0,0,IF(AND(P296="Complete",D296="EV",E296&lt;120),(R296-'Operating costs'!$B$41)*(S296*U296+'Operating costs'!$B$48/(1-'Operating costs'!$B$44))+W296*'Operating costs'!$B$12*U296,0))</f>
        <v>0</v>
      </c>
      <c r="Y296" s="1">
        <f>IF(AND(C296=1,D296="EV",E296&lt;120),AI296/(1-'Operating costs'!$B$44)*(1-T296),0)</f>
        <v>0</v>
      </c>
      <c r="Z296" s="1">
        <f t="shared" si="8"/>
        <v>0</v>
      </c>
      <c r="AA296" s="1">
        <f>IF(C296=0,0,IF(P296="Complete",((S296*(R296-'Operating costs'!$B$40))+ROUNDUP(S296*(R296-'Operating costs'!$B$40)*IF('Replacement plan'!$AH$79="",'Operating costs'!$B$7,'Replacement plan'!$AH$79)/('Operating costs'!$B$8-'Operating costs'!$B$9*IF('Replacement plan'!$AH$79="",'Operating costs'!$B$7,'Replacement plan'!$AH$79)),0)*'Operating costs'!$B$9)*IF('Replacement plan'!$AH$79="",'Operating costs'!$B$7,'Replacement plan'!$AH$79),"n.a."))</f>
        <v>0</v>
      </c>
      <c r="AB296" s="1">
        <f t="shared" si="9"/>
        <v>0</v>
      </c>
      <c r="AC296" s="1">
        <f>IF(AND(C296=1,D296="EV",E296&lt;120,T296&gt;0),'Operating costs'!$B$12/'Operating costs'!$B$11*60+'Operating costs'!$B$13+'Operating costs'!$B$14+V296*'Operating costs'!$B$47/(1-'Operating costs'!$B$44)/'Replacement plan'!$L$79*60,0)</f>
        <v>0</v>
      </c>
      <c r="AD296" s="1" t="str">
        <f>'Replacement plan'!$B$79</f>
        <v>ChengLong L2EV</v>
      </c>
      <c r="AE296" s="1">
        <f>IF(C296=0,0,VLOOKUP($A296,'Fleet register'!$A$7:$S$106,8,FALSE))</f>
        <v>0</v>
      </c>
      <c r="AF296" s="1" t="str">
        <f>IF('Replacement plan'!$H$79="","n.a.",'Replacement plan'!$H$79)</f>
        <v>n.a.</v>
      </c>
      <c r="AG296" s="1">
        <f>'Replacement plan'!$J$79</f>
        <v>22</v>
      </c>
      <c r="AH296" s="1">
        <f>IFERROR(IF(D296="EV",IF('Replacement plan'!$K$79="AC",IF(ISNUMBER(INDEX(Products!$G$7:$G$13,MATCH('Replacement plan'!$B$79,Products!$A$7:$A$13,0))),INDEX(Products!$G$7:$G$13,MATCH('Replacement plan'!$B$79,Products!$A$7:$A$13,0)),"n.a."),IF(ISNUMBER(INDEX(Products!$H$7:$H$13,MATCH('Replacement plan'!$B$79,Products!$A$7:$A$13,0))),INDEX(Products!$H$7:$H$13,MATCH('Replacement plan'!$B$79,Products!$A$7:$A$13,0)),"n.a.")),0),"n.a.")</f>
        <v>0</v>
      </c>
      <c r="AI296" s="1">
        <f>IF(AND(C296=1,D296="EV",E296&lt;120),(VLOOKUP($A296,'Fleet register'!$A$7:$S$106,7,FALSE)+IF(T296&gt;0,'Operating costs'!$B$12,0))*U296*(1-'Operating costs'!$B$44)+'Operating costs'!$B$49,0)</f>
        <v>0</v>
      </c>
      <c r="AJ296" s="1">
        <f>IF(D296="EV",'Energy and charging'!$B$50,0)</f>
        <v>0</v>
      </c>
      <c r="AK296" s="17">
        <f>EDATE('Operating costs'!$B$63,E296)</f>
        <v>46298</v>
      </c>
      <c r="AL296" s="1">
        <f>IFERROR(IF(D296="EV",INDEX(Products!$B$7:$B$13,MATCH('Replacement plan'!$B$79,Products!$A$7:$A$13,0)),0),"n.a.")</f>
        <v>0</v>
      </c>
      <c r="AM296" s="1" t="str">
        <f>'Replacement plan'!$K$79</f>
        <v>DC</v>
      </c>
      <c r="AN296" s="1" t="str">
        <f>'Replacement plan'!$AE$79</f>
        <v>Assumed</v>
      </c>
      <c r="AO296" s="47">
        <f>IF(AND(C296=1,D296="EV",E296&lt;120),(R296-'Operating costs'!$B$41)*S296+W296*'Operating costs'!$B$12,0)</f>
        <v>0</v>
      </c>
      <c r="AP296" s="41">
        <f>IF(AND(C296=1,D296="EV",E296&lt;120),IF('Operating costs'!$B$68="Hong Seh 200k average",AO296*IFERROR(INDEX(Products!$P$7:$P$13,MATCH(AD296,Products!$A$7:$A$13,0)),"n.a."),'Operating costs'!$B$26),0)</f>
        <v>0</v>
      </c>
      <c r="AQ296" s="40" t="str">
        <f>IF(D296="EV",'Operating costs'!$B$68,"Not applicable")</f>
        <v>Not applicable</v>
      </c>
    </row>
    <row r="297" spans="1:43" ht="24" customHeight="1">
      <c r="A297" s="1" t="str">
        <f>'Replacement plan'!A79</f>
        <v>T073</v>
      </c>
      <c r="B297" s="1">
        <v>2</v>
      </c>
      <c r="C297" s="1">
        <f>IF(COUNTIFS('Fleet register'!$A$7:$A$106,$A297)=1,VLOOKUP($A297,'Fleet register'!$A$7:$S$106,2,FALSE),0)</f>
        <v>0</v>
      </c>
      <c r="D297" s="1" t="str">
        <f>IF('Replacement plan'!$O$79="EV","EV","ICE")</f>
        <v>ICE</v>
      </c>
      <c r="E297" s="1">
        <f>IF(C297=0,0,IF('Replacement plan'!$P$79="",IF('Replacement plan'!$O$79="Keep ICE",IF('Replacement plan'!$M$79="",VLOOKUP($A297,'Fleet register'!$A$7:$S$106,10,FALSE),'Replacement plan'!$M$79),0),'Replacement plan'!$P$79))</f>
        <v>0</v>
      </c>
      <c r="F297" s="16">
        <f>IF(C297=0,0,VLOOKUP($A297,'Fleet register'!$A$7:$S$106,11,FALSE))</f>
        <v>0</v>
      </c>
      <c r="G297" s="16">
        <f>IFERROR(IF(C297=0,0,IF(E297=120,0,IF(D297="ICE",'Replacement plan'!$C$79,IF('Replacement plan'!$D$79="",INDEX(Products!$I$7:$I$13,MATCH('Replacement plan'!$B$79,Products!$A$7:$A$13,0))+'Operating costs'!$B$57,'Replacement plan'!$D$79))*(1+'Operating costs'!$B$50)^(E297/12))),"n.a.")</f>
        <v>0</v>
      </c>
      <c r="H297" s="16">
        <f>IFERROR(IF(C297=0,0,IF('Replacement plan'!$U$79&lt;&gt;"",'Replacement plan'!$U$79,IF(E297=0,F297,VLOOKUP($A297,'Fleet register'!$A$7:$S$106,12,FALSE)+VLOOKUP($A297,'Fleet register'!$A$7:$S$106,13,FALSE)*MAX(0,VLOOKUP($A297,'Fleet register'!$A$7:$S$106,10,FALSE)-E297)/VLOOKUP($A297,'Fleet register'!$A$7:$S$106,14,FALSE)))),"n.a.")</f>
        <v>0</v>
      </c>
      <c r="I297" s="16">
        <f>IF(C297=0,0,IF(E297=120,0,'Replacement plan'!$Q$79))</f>
        <v>0</v>
      </c>
      <c r="J297" s="16">
        <f>IF(C297=0,0,IF(P297="Complete",((S297*(R297-'Operating costs'!$B$39))+ROUNDUP(S297*(R297-'Operating costs'!$B$39)*IF('Replacement plan'!$AG$79="",'Operating costs'!$B$7,'Replacement plan'!$AG$79)/('Operating costs'!$B$8-'Operating costs'!$B$9*IF('Replacement plan'!$AG$79="",'Operating costs'!$B$7,'Replacement plan'!$AG$79)),0)*'Operating costs'!$B$9)*IF('Replacement plan'!$AG$79="",'Operating costs'!$B$7,'Replacement plan'!$AG$79)*('Energy and charging'!$B$9*'Energy and charging'!$B$7+(1-'Energy and charging'!$B$9)*'Energy and charging'!$B$8)*'Operating costs'!$B$23,"n.a."))</f>
        <v>0</v>
      </c>
      <c r="K297" s="16">
        <f>IF(C297=0,0,IF(P297="Complete",SUM('Operating costs'!$B$24,'Operating costs'!$B$27,'Operating costs'!$B$29,'Operating costs'!$B$31,'Operating costs'!$B$33,'Operating costs'!$B$34,'Operating costs'!$B$37,'Replacement plan'!$W$79)+'Operating costs'!$B$39*'Operating costs'!$B$42+ROUNDUP(S297*(R297-'Operating costs'!$B$39)*IF('Replacement plan'!$AG$79="",'Operating costs'!$B$7,'Replacement plan'!$AG$79)/('Operating costs'!$B$8-'Operating costs'!$B$9*IF('Replacement plan'!$AG$79="",'Operating costs'!$B$7,'Replacement plan'!$AG$79)),0)*('Operating costs'!$B$9/'Operating costs'!$B$11+'Operating costs'!$B$10/60)*'Operating costs'!$B$19*'Operating costs'!$B$21,"n.a."))</f>
        <v>0</v>
      </c>
      <c r="L297" s="16">
        <f>IF(C297=0,0,IF(P297="Complete",IF(D297="EV",X297*((1-T297)*'Energy and charging'!$B$10+T297*'Energy and charging'!$B$11)*'Operating costs'!$B$22,AA297*('Energy and charging'!$B$9*'Energy and charging'!$B$7+(1-'Energy and charging'!$B$9)*'Energy and charging'!$B$8)*'Operating costs'!$B$23),"n.a."))</f>
        <v>0</v>
      </c>
      <c r="M297" s="37">
        <f>IF(C297=0,0,IF(P297="Complete",IF(D297="ICE",SUM('Operating costs'!$B$25,'Operating costs'!$B$27,'Operating costs'!$B$29,'Operating costs'!$B$31,'Operating costs'!$B$33,'Operating costs'!$B$35,'Operating costs'!$B$37,'Replacement plan'!$X$79)+'Operating costs'!$B$40*'Operating costs'!$B$42+ROUNDUP(S297*(R297-'Operating costs'!$B$40)*IF('Replacement plan'!$AH$79="",'Operating costs'!$B$7,'Replacement plan'!$AH$79)/('Operating costs'!$B$8-'Operating costs'!$B$9*IF('Replacement plan'!$AH$79="",'Operating costs'!$B$7,'Replacement plan'!$AH$79)),0)*('Operating costs'!$B$9/'Operating costs'!$B$11+'Operating costs'!$B$10/60)*'Operating costs'!$B$19*'Operating costs'!$B$21,SUM(AP297,'Operating costs'!$B$28,'Operating costs'!$B$30,'Operating costs'!$B$32,'Operating costs'!$B$33,'Operating costs'!$B$36,'Operating costs'!$B$38,'Replacement plan'!$Y$79)+'Operating costs'!$B$41*'Operating costs'!$B$43+W297*'Operating costs'!$B$15+(T297*X297/'Replacement plan'!$L$79+W297*('Operating costs'!$B$12/'Operating costs'!$B$11+('Operating costs'!$B$13+'Operating costs'!$B$14)/60)+(R297-'Operating costs'!$B$41)*(IF(T297&lt;1,'Operating costs'!$B$16,0)+'Operating costs'!$B$17)/60)*'Operating costs'!$B$19*'Operating costs'!$B$20),"n.a."))</f>
        <v>0</v>
      </c>
      <c r="N297" s="16">
        <f>IF(AND(C297=1,D297="EV",E297&lt;120,E297+'Replacement plan'!$AA$79&lt;=120),'Replacement plan'!$Z$79,0)</f>
        <v>0</v>
      </c>
      <c r="O297" s="1">
        <f>E297+'Replacement plan'!$AA$79</f>
        <v>0</v>
      </c>
      <c r="P297" s="35" t="str">
        <f>IFERROR(IF(C297=0,"Excluded",IF(OR(COUNTIFS('Fleet register'!$A$7:$A$106,A297)&lt;&gt;1,COUNTIFS('Replacement plan'!$A$7:$A$106,A297)&lt;&gt;1),"Duplicate/missing ID",IF(NOT(AND(ISNUMBER(VLOOKUP($A297,'Fleet register'!$A$7:$S$106,5,FALSE)),ISNUMBER(VLOOKUP($A297,'Fleet register'!$A$7:$S$106,6,FALSE)),ISNUMBER(VLOOKUP($A297,'Fleet register'!$A$7:$S$106,10,FALSE)),ISNUMBER(VLOOKUP($A297,'Fleet register'!$A$7:$S$106,11,FALSE)),ISNUMBER(VLOOKUP($A297,'Fleet register'!$A$7:$S$106,12,FALSE)),ISNUMBER(VLOOKUP($A297,'Fleet register'!$A$7:$S$106,13,FALSE)),ISNUMBER(VLOOKUP($A297,'Fleet register'!$A$7:$S$106,14,FALSE)),VLOOKUP($A297,'Fleet register'!$A$7:$S$106,14,FALSE)&gt;0,ISNUMBER('Replacement plan'!$C$79),OR(E297=120,ISNUMBER('Replacement plan'!$Q$79)),ISNUMBER(E297))),"Missing vehicle input",IF(OR(E297&lt;0,E297&gt;VLOOKUP($A297,'Fleet register'!$A$7:$S$106,10,FALSE),E297&gt;120,E297&lt;&gt;INT(E297),VLOOKUP($A297,'Fleet register'!$A$7:$S$106,6,FALSE)&lt;=0,VLOOKUP($A297,'Fleet register'!$A$7:$S$106,6,FALSE)&gt;366,VLOOKUP($A297,'Fleet register'!$A$7:$S$106,5,FALSE)&lt;0,VLOOKUP($A297,'Fleet register'!$A$7:$S$106,11,FALSE)&lt;0,I297&lt;0,'Operating costs'!$B$8&lt;='Operating costs'!$B$7*'Operating costs'!$B$9,'Operating costs'!$B$11&lt;=0,'Operating costs'!$B$39&gt;R297,'Operating costs'!$B$40&gt;R297,'Operating costs'!$B$41&gt;R297,NOT(OR('Replacement plan'!$O$79="Keep ICE",'Replacement plan'!$O$79="New ICE",'Replacement plan'!$O$79="EV"))),"Invalid vehicle input",IF(AND(D297="EV",E297&lt;120,OR(NOT(ISNUMBER(U297)),NOT(ISNUMBER(V297)),V297&lt;=0,T297&lt;0,T297&gt;1,'Replacement plan'!$L$79&lt;=0,'Operating costs'!$B$44&lt;0,'Operating costs'!$B$44&gt;=1,'Operating costs'!$B$47&lt;=0,'Operating costs'!$B$47&gt;1,V297*'Operating costs'!$B$47/(1-'Operating costs'!$B$44)&lt;=T297*'Operating costs'!$B$12*U297,AND('Replacement plan'!$Z$79&gt;0,OR('Replacement plan'!$AB$79&lt;&gt;"Yes",'Operating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charging'!$B$8&gt;=0))),ISNUMBER(VLOOKUP($A297,'Fleet register'!$A$7:$S$106,15,FALSE)),ISNUMBER(VLOOKUP($A297,'Fleet register'!$A$7:$S$106,16,FALSE)),ISNUMBER('Replacement plan'!$W$79),ISNUMBER('Replacement plan'!$X$79),OR(E297=120,AND(ISNUMBER(G297),G297&gt;=0)),ISNUMBER(H297),H297&gt;=0,OR(D297&lt;&gt;"EV",E297=120,AND(ISNUMBER('Operating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average",ISNUMBER(IFERROR(INDEX(Products!$P$7:$P$13,MATCH(AD297,Products!$A$7:$A$13,0)),"")))),ISNUMBER('Operating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plan'!$Y$79),ISNUMBER('Replacement plan'!$Z$79),'Replacement plan'!$Z$79&gt;=0,ISNUMBER('Replacement plan'!$AA$79),'Replacement plan'!$AA$79&gt;=0,'Replacement plan'!$AA$79=INT('Replacement plan'!$AA$79),ISNUMBER('Replacement plan'!$L$79))),'Operating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plan'!$AG$79="",'Operating costs'!$B$7,'Replacement plan'!$AG$79)),IF('Replacement plan'!$AG$79="",'Operating costs'!$B$7,'Replacement plan'!$AG$79)&gt;=0,ISNUMBER(IF('Replacement plan'!$AH$79="",'Operating costs'!$B$7,'Replacement plan'!$AH$79)),IF('Replacement plan'!$AH$79="",'Operating costs'!$B$7,'Replacement plan'!$AH$79)&gt;=0,'Operating costs'!$B$8&gt;MAX(IF('Replacement plan'!$AG$79="",'Operating costs'!$B$7,'Replacement plan'!$AG$79),IF('Replacement plan'!$AH$79="",'Operating costs'!$B$7,'Replacement plan'!$AH$79))*'Operating costs'!$B$9),IF(AND(VLOOKUP($A297,'Fleet register'!$A$7:$S$106,10,FALSE)&gt;=0,VLOOKUP($A297,'Fleet register'!$A$7:$S$106,10,FALSE)&lt;=120,VLOOKUP($A297,'Fleet register'!$A$7:$S$106,10,FALSE)=INT(VLOOKUP($A297,'Fleet register'!$A$7:$S$106,10,FALSE)),VLOOKUP($A297,'Fleet register'!$A$7:$S$106,15,FALSE)&gt;=0,VLOOKUP($A297,'Fleet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costs'!$B$67)&gt;=0,OR(D297&lt;&gt;"EV",E297=120,AND(MIN('Operating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97" s="1" t="str">
        <f>IF(C297=0,"Excluded",IF(P297&lt;&gt;"Complete",P297,IF(OR('Replacement plan'!$AD$79&lt;120-E297,AND(D297="EV",E297&lt;120,OR('Replacement plan'!$AC$79&lt;120-E297,'Replacement plan'!$I$79="No",AND(ISNUMBER(AF297),AE297&gt;AF297),AI297&gt;V297*(1-'Operating costs'!$B$46)^MAX(0,AB297-1)*(1-'Operating costs'!$B$45),AC297&gt;'Operating costs'!$B$18,AND(T297&lt;1,OR(AG297&lt;=0,AND(ISNUMBER(AH297),AG297&gt;AH297))),'Replacement plan'!$L$79&gt;INDEX(Products!$H$7:$H$13,MATCH('Replacement plan'!$B$79,Products!$A$7:$A$13,0))))),"Fails entered limits",IF(AND(D297="EV",E297&lt;120,OR(NOT(ISNUMBER(VLOOKUP($A297,'Fleet register'!$A$7:$S$106,7,FALSE))),NOT(ISNUMBER(VLOOKUP($A297,'Fleet register'!$A$7:$S$106,8,FALSE))),NOT(ISNUMBER(AF297)),'Replacement plan'!$I$79&lt;&gt;"Yes",NOT(ISNUMBER(AH297)),'Operating costs'!$B$59&lt;&gt;"Yes",'Operating costs'!$B$58&lt;&gt;"Yes")),"Unverified","Within entered limits"))))</f>
        <v>Excluded</v>
      </c>
      <c r="R297" s="1">
        <f>IF(C297=0,0,VLOOKUP($A297,'Fleet register'!$A$7:$S$106,6,FALSE))</f>
        <v>0</v>
      </c>
      <c r="S297" s="1">
        <f>IF(C297=0,0,VLOOKUP($A297,'Fleet register'!$A$7:$S$106,5,FALSE))</f>
        <v>0</v>
      </c>
      <c r="T297" s="1">
        <f>IF(D297="EV",'Energy and charging'!$B$12,0)</f>
        <v>0</v>
      </c>
      <c r="U297" s="1">
        <f>IFERROR(IF(C297=0,0,IF(D297="EV",IF('Replacement plan'!$F$79="",INDEX(Products!$E$7:$E$13,MATCH('Replacement plan'!$B$79,Products!$A$7:$A$13,0)),'Replacement plan'!$F$79)/IF('Replacement plan'!$G$79="Battery",1-'Operating costs'!$B$44,1),0)),"n.a.")</f>
        <v>0</v>
      </c>
      <c r="V297" s="1">
        <f>IFERROR(IF(C297=0,0,IF(D297="EV",IF('Replacement plan'!$E$79="",INDEX(Products!$D$7:$D$13,MATCH('Replacement plan'!$B$79,Products!$A$7:$A$13,0)),'Replacement plan'!$E$79),0)),"n.a.")</f>
        <v>0</v>
      </c>
      <c r="W297" s="1">
        <f>IF(C297=0,0,IF(AND(P297="Complete",D297="EV",E297&lt;120),IF(T297=0,0,ROUNDUP(T297*(R297-'Operating costs'!$B$41)*(S297*U297+'Operating costs'!$B$48/(1-'Operating costs'!$B$44))/(V297*'Operating costs'!$B$47/(1-'Operating costs'!$B$44)-T297*'Operating costs'!$B$12*U297),0)),0))</f>
        <v>0</v>
      </c>
      <c r="X297" s="1">
        <f>IF(C297=0,0,IF(AND(P297="Complete",D297="EV",E297&lt;120),(R297-'Operating costs'!$B$41)*(S297*U297+'Operating costs'!$B$48/(1-'Operating costs'!$B$44))+W297*'Operating costs'!$B$12*U297,0))</f>
        <v>0</v>
      </c>
      <c r="Y297" s="1">
        <f>IF(AND(C297=1,D297="EV",E297&lt;120),AI297/(1-'Operating costs'!$B$44)*(1-T297),0)</f>
        <v>0</v>
      </c>
      <c r="Z297" s="1">
        <f t="shared" si="8"/>
        <v>0</v>
      </c>
      <c r="AA297" s="1">
        <f>IF(C297=0,0,IF(P297="Complete",((S297*(R297-'Operating costs'!$B$40))+ROUNDUP(S297*(R297-'Operating costs'!$B$40)*IF('Replacement plan'!$AH$79="",'Operating costs'!$B$7,'Replacement plan'!$AH$79)/('Operating costs'!$B$8-'Operating costs'!$B$9*IF('Replacement plan'!$AH$79="",'Operating costs'!$B$7,'Replacement plan'!$AH$79)),0)*'Operating costs'!$B$9)*IF('Replacement plan'!$AH$79="",'Operating costs'!$B$7,'Replacement plan'!$AH$79),"n.a."))</f>
        <v>0</v>
      </c>
      <c r="AB297" s="1">
        <f t="shared" si="9"/>
        <v>0</v>
      </c>
      <c r="AC297" s="1">
        <f>IF(AND(C297=1,D297="EV",E297&lt;120,T297&gt;0),'Operating costs'!$B$12/'Operating costs'!$B$11*60+'Operating costs'!$B$13+'Operating costs'!$B$14+V297*'Operating costs'!$B$47/(1-'Operating costs'!$B$44)/'Replacement plan'!$L$79*60,0)</f>
        <v>0</v>
      </c>
      <c r="AD297" s="1" t="str">
        <f>'Replacement plan'!$B$79</f>
        <v>ChengLong L2EV</v>
      </c>
      <c r="AE297" s="1">
        <f>IF(C297=0,0,VLOOKUP($A297,'Fleet register'!$A$7:$S$106,8,FALSE))</f>
        <v>0</v>
      </c>
      <c r="AF297" s="1" t="str">
        <f>IF('Replacement plan'!$H$79="","n.a.",'Replacement plan'!$H$79)</f>
        <v>n.a.</v>
      </c>
      <c r="AG297" s="1">
        <f>'Replacement plan'!$J$79</f>
        <v>22</v>
      </c>
      <c r="AH297" s="1">
        <f>IFERROR(IF(D297="EV",IF('Replacement plan'!$K$79="AC",IF(ISNUMBER(INDEX(Products!$G$7:$G$13,MATCH('Replacement plan'!$B$79,Products!$A$7:$A$13,0))),INDEX(Products!$G$7:$G$13,MATCH('Replacement plan'!$B$79,Products!$A$7:$A$13,0)),"n.a."),IF(ISNUMBER(INDEX(Products!$H$7:$H$13,MATCH('Replacement plan'!$B$79,Products!$A$7:$A$13,0))),INDEX(Products!$H$7:$H$13,MATCH('Replacement plan'!$B$79,Products!$A$7:$A$13,0)),"n.a.")),0),"n.a.")</f>
        <v>0</v>
      </c>
      <c r="AI297" s="1">
        <f>IF(AND(C297=1,D297="EV",E297&lt;120),(VLOOKUP($A297,'Fleet register'!$A$7:$S$106,7,FALSE)+IF(T297&gt;0,'Operating costs'!$B$12,0))*U297*(1-'Operating costs'!$B$44)+'Operating costs'!$B$49,0)</f>
        <v>0</v>
      </c>
      <c r="AJ297" s="1">
        <f>IF(D297="EV",'Energy and charging'!$B$50,0)</f>
        <v>0</v>
      </c>
      <c r="AK297" s="17">
        <f>EDATE('Operating costs'!$B$63,E297)</f>
        <v>46298</v>
      </c>
      <c r="AL297" s="1">
        <f>IFERROR(IF(D297="EV",INDEX(Products!$B$7:$B$13,MATCH('Replacement plan'!$B$79,Products!$A$7:$A$13,0)),0),"n.a.")</f>
        <v>0</v>
      </c>
      <c r="AM297" s="1" t="str">
        <f>'Replacement plan'!$K$79</f>
        <v>DC</v>
      </c>
      <c r="AN297" s="1" t="str">
        <f>'Replacement plan'!$AE$79</f>
        <v>Assumed</v>
      </c>
      <c r="AO297" s="47">
        <f>IF(AND(C297=1,D297="EV",E297&lt;120),(R297-'Operating costs'!$B$41)*S297+W297*'Operating costs'!$B$12,0)</f>
        <v>0</v>
      </c>
      <c r="AP297" s="41">
        <f>IF(AND(C297=1,D297="EV",E297&lt;120),IF('Operating costs'!$B$68="Hong Seh 200k average",AO297*IFERROR(INDEX(Products!$P$7:$P$13,MATCH(AD297,Products!$A$7:$A$13,0)),"n.a."),'Operating costs'!$B$26),0)</f>
        <v>0</v>
      </c>
      <c r="AQ297" s="40" t="str">
        <f>IF(D297="EV",'Operating costs'!$B$68,"Not applicable")</f>
        <v>Not applicable</v>
      </c>
    </row>
    <row r="298" spans="1:43" ht="24" customHeight="1">
      <c r="A298" s="1" t="str">
        <f>'Replacement plan'!A79</f>
        <v>T073</v>
      </c>
      <c r="B298" s="1">
        <v>3</v>
      </c>
      <c r="C298" s="1">
        <f>IF(COUNTIFS('Fleet register'!$A$7:$A$106,$A298)=1,VLOOKUP($A298,'Fleet register'!$A$7:$S$106,2,FALSE),0)</f>
        <v>0</v>
      </c>
      <c r="D298" s="1" t="str">
        <f>IF('Replacement plan'!$R$79="EV","EV","ICE")</f>
        <v>ICE</v>
      </c>
      <c r="E298" s="1">
        <f>IF(C298=0,0,IF('Replacement plan'!$S$79="",IF('Replacement plan'!$R$79="Keep ICE",IF('Replacement plan'!$M$79="",VLOOKUP($A298,'Fleet register'!$A$7:$S$106,10,FALSE),'Replacement plan'!$M$79),0),'Replacement plan'!$S$79))</f>
        <v>0</v>
      </c>
      <c r="F298" s="16">
        <f>IF(C298=0,0,VLOOKUP($A298,'Fleet register'!$A$7:$S$106,11,FALSE))</f>
        <v>0</v>
      </c>
      <c r="G298" s="16">
        <f>IFERROR(IF(C298=0,0,IF(E298=120,0,IF(D298="ICE",'Replacement plan'!$C$79,IF('Replacement plan'!$D$79="",INDEX(Products!$I$7:$I$13,MATCH('Replacement plan'!$B$79,Products!$A$7:$A$13,0))+'Operating costs'!$B$57,'Replacement plan'!$D$79))*(1+'Operating costs'!$B$50)^(E298/12))),"n.a.")</f>
        <v>0</v>
      </c>
      <c r="H298" s="16">
        <f>IFERROR(IF(C298=0,0,IF('Replacement plan'!$V$79&lt;&gt;"",'Replacement plan'!$V$79,IF(E298=0,F298,VLOOKUP($A298,'Fleet register'!$A$7:$S$106,12,FALSE)+VLOOKUP($A298,'Fleet register'!$A$7:$S$106,13,FALSE)*MAX(0,VLOOKUP($A298,'Fleet register'!$A$7:$S$106,10,FALSE)-E298)/VLOOKUP($A298,'Fleet register'!$A$7:$S$106,14,FALSE)))),"n.a.")</f>
        <v>0</v>
      </c>
      <c r="I298" s="16">
        <f>IF(C298=0,0,IF(E298=120,0,'Replacement plan'!$T$79))</f>
        <v>0</v>
      </c>
      <c r="J298" s="16">
        <f>IF(C298=0,0,IF(P298="Complete",((S298*(R298-'Operating costs'!$B$39))+ROUNDUP(S298*(R298-'Operating costs'!$B$39)*IF('Replacement plan'!$AG$79="",'Operating costs'!$B$7,'Replacement plan'!$AG$79)/('Operating costs'!$B$8-'Operating costs'!$B$9*IF('Replacement plan'!$AG$79="",'Operating costs'!$B$7,'Replacement plan'!$AG$79)),0)*'Operating costs'!$B$9)*IF('Replacement plan'!$AG$79="",'Operating costs'!$B$7,'Replacement plan'!$AG$79)*('Energy and charging'!$C$9*'Energy and charging'!$C$7+(1-'Energy and charging'!$C$9)*'Energy and charging'!$C$8)*'Operating costs'!$B$23,"n.a."))</f>
        <v>0</v>
      </c>
      <c r="K298" s="16">
        <f>IF(C298=0,0,IF(P298="Complete",SUM('Operating costs'!$B$24,'Operating costs'!$B$27,'Operating costs'!$B$29,'Operating costs'!$B$31,'Operating costs'!$B$33,'Operating costs'!$B$34,'Operating costs'!$B$37,'Replacement plan'!$W$79)+'Operating costs'!$B$39*'Operating costs'!$B$42+ROUNDUP(S298*(R298-'Operating costs'!$B$39)*IF('Replacement plan'!$AG$79="",'Operating costs'!$B$7,'Replacement plan'!$AG$79)/('Operating costs'!$B$8-'Operating costs'!$B$9*IF('Replacement plan'!$AG$79="",'Operating costs'!$B$7,'Replacement plan'!$AG$79)),0)*('Operating costs'!$B$9/'Operating costs'!$B$11+'Operating costs'!$B$10/60)*'Operating costs'!$B$19*'Operating costs'!$B$21,"n.a."))</f>
        <v>0</v>
      </c>
      <c r="L298" s="16">
        <f>IF(C298=0,0,IF(P298="Complete",IF(D298="EV",X298*((1-T298)*'Energy and charging'!$C$10+T298*'Energy and charging'!$C$11)*'Operating costs'!$B$22,AA298*('Energy and charging'!$C$9*'Energy and charging'!$C$7+(1-'Energy and charging'!$C$9)*'Energy and charging'!$C$8)*'Operating costs'!$B$23),"n.a."))</f>
        <v>0</v>
      </c>
      <c r="M298" s="37">
        <f>IF(C298=0,0,IF(P298="Complete",IF(D298="ICE",SUM('Operating costs'!$B$25,'Operating costs'!$B$27,'Operating costs'!$B$29,'Operating costs'!$B$31,'Operating costs'!$B$33,'Operating costs'!$B$35,'Operating costs'!$B$37,'Replacement plan'!$X$79)+'Operating costs'!$B$40*'Operating costs'!$B$42+ROUNDUP(S298*(R298-'Operating costs'!$B$40)*IF('Replacement plan'!$AH$79="",'Operating costs'!$B$7,'Replacement plan'!$AH$79)/('Operating costs'!$B$8-'Operating costs'!$B$9*IF('Replacement plan'!$AH$79="",'Operating costs'!$B$7,'Replacement plan'!$AH$79)),0)*('Operating costs'!$B$9/'Operating costs'!$B$11+'Operating costs'!$B$10/60)*'Operating costs'!$B$19*'Operating costs'!$B$21,SUM(AP298,'Operating costs'!$B$28,'Operating costs'!$B$30,'Operating costs'!$B$32,'Operating costs'!$B$33,'Operating costs'!$B$36,'Operating costs'!$B$38,'Replacement plan'!$Y$79)+'Operating costs'!$B$41*'Operating costs'!$B$43+W298*'Operating costs'!$B$15+(T298*X298/'Replacement plan'!$L$79+W298*('Operating costs'!$B$12/'Operating costs'!$B$11+('Operating costs'!$B$13+'Operating costs'!$B$14)/60)+(R298-'Operating costs'!$B$41)*(IF(T298&lt;1,'Operating costs'!$B$16,0)+'Operating costs'!$B$17)/60)*'Operating costs'!$B$19*'Operating costs'!$B$20),"n.a."))</f>
        <v>0</v>
      </c>
      <c r="N298" s="16">
        <f>IF(AND(C298=1,D298="EV",E298&lt;120,E298+'Replacement plan'!$AA$79&lt;=120),'Replacement plan'!$Z$79,0)</f>
        <v>0</v>
      </c>
      <c r="O298" s="1">
        <f>E298+'Replacement plan'!$AA$79</f>
        <v>0</v>
      </c>
      <c r="P298" s="35" t="str">
        <f>IFERROR(IF(C298=0,"Excluded",IF(OR(COUNTIFS('Fleet register'!$A$7:$A$106,A298)&lt;&gt;1,COUNTIFS('Replacement plan'!$A$7:$A$106,A298)&lt;&gt;1),"Duplicate/missing ID",IF(NOT(AND(ISNUMBER(VLOOKUP($A298,'Fleet register'!$A$7:$S$106,5,FALSE)),ISNUMBER(VLOOKUP($A298,'Fleet register'!$A$7:$S$106,6,FALSE)),ISNUMBER(VLOOKUP($A298,'Fleet register'!$A$7:$S$106,10,FALSE)),ISNUMBER(VLOOKUP($A298,'Fleet register'!$A$7:$S$106,11,FALSE)),ISNUMBER(VLOOKUP($A298,'Fleet register'!$A$7:$S$106,12,FALSE)),ISNUMBER(VLOOKUP($A298,'Fleet register'!$A$7:$S$106,13,FALSE)),ISNUMBER(VLOOKUP($A298,'Fleet register'!$A$7:$S$106,14,FALSE)),VLOOKUP($A298,'Fleet register'!$A$7:$S$106,14,FALSE)&gt;0,ISNUMBER('Replacement plan'!$C$79),OR(E298=120,ISNUMBER('Replacement plan'!$T$79)),ISNUMBER(E298))),"Missing vehicle input",IF(OR(E298&lt;0,E298&gt;VLOOKUP($A298,'Fleet register'!$A$7:$S$106,10,FALSE),E298&gt;120,E298&lt;&gt;INT(E298),VLOOKUP($A298,'Fleet register'!$A$7:$S$106,6,FALSE)&lt;=0,VLOOKUP($A298,'Fleet register'!$A$7:$S$106,6,FALSE)&gt;366,VLOOKUP($A298,'Fleet register'!$A$7:$S$106,5,FALSE)&lt;0,VLOOKUP($A298,'Fleet register'!$A$7:$S$106,11,FALSE)&lt;0,I298&lt;0,'Operating costs'!$B$8&lt;='Operating costs'!$B$7*'Operating costs'!$B$9,'Operating costs'!$B$11&lt;=0,'Operating costs'!$B$39&gt;R298,'Operating costs'!$B$40&gt;R298,'Operating costs'!$B$41&gt;R298,NOT(OR('Replacement plan'!$R$79="Keep ICE",'Replacement plan'!$R$79="New ICE",'Replacement plan'!$R$79="EV"))),"Invalid vehicle input",IF(AND(D298="EV",E298&lt;120,OR(NOT(ISNUMBER(U298)),NOT(ISNUMBER(V298)),V298&lt;=0,T298&lt;0,T298&gt;1,'Replacement plan'!$L$79&lt;=0,'Operating costs'!$B$44&lt;0,'Operating costs'!$B$44&gt;=1,'Operating costs'!$B$47&lt;=0,'Operating costs'!$B$47&gt;1,V298*'Operating costs'!$B$47/(1-'Operating costs'!$B$44)&lt;=T298*'Operating costs'!$B$12*U298,AND('Replacement plan'!$Z$79&gt;0,OR('Replacement plan'!$AB$79&lt;&gt;"Yes",'Operating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charging'!$C$8&gt;=0))),ISNUMBER(VLOOKUP($A298,'Fleet register'!$A$7:$S$106,15,FALSE)),ISNUMBER(VLOOKUP($A298,'Fleet register'!$A$7:$S$106,16,FALSE)),ISNUMBER('Replacement plan'!$W$79),ISNUMBER('Replacement plan'!$X$79),OR(E298=120,AND(ISNUMBER(G298),G298&gt;=0)),ISNUMBER(H298),H298&gt;=0,OR(D298&lt;&gt;"EV",E298=120,AND(ISNUMBER('Operating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average",ISNUMBER(IFERROR(INDEX(Products!$P$7:$P$13,MATCH(AD298,Products!$A$7:$A$13,0)),"")))),ISNUMBER('Operating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plan'!$Y$79),ISNUMBER('Replacement plan'!$Z$79),'Replacement plan'!$Z$79&gt;=0,ISNUMBER('Replacement plan'!$AA$79),'Replacement plan'!$AA$79&gt;=0,'Replacement plan'!$AA$79=INT('Replacement plan'!$AA$79),ISNUMBER('Replacement plan'!$L$79))),'Operating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plan'!$AG$79="",'Operating costs'!$B$7,'Replacement plan'!$AG$79)),IF('Replacement plan'!$AG$79="",'Operating costs'!$B$7,'Replacement plan'!$AG$79)&gt;=0,ISNUMBER(IF('Replacement plan'!$AH$79="",'Operating costs'!$B$7,'Replacement plan'!$AH$79)),IF('Replacement plan'!$AH$79="",'Operating costs'!$B$7,'Replacement plan'!$AH$79)&gt;=0,'Operating costs'!$B$8&gt;MAX(IF('Replacement plan'!$AG$79="",'Operating costs'!$B$7,'Replacement plan'!$AG$79),IF('Replacement plan'!$AH$79="",'Operating costs'!$B$7,'Replacement plan'!$AH$79))*'Operating costs'!$B$9),IF(AND(VLOOKUP($A298,'Fleet register'!$A$7:$S$106,10,FALSE)&gt;=0,VLOOKUP($A298,'Fleet register'!$A$7:$S$106,10,FALSE)&lt;=120,VLOOKUP($A298,'Fleet register'!$A$7:$S$106,10,FALSE)=INT(VLOOKUP($A298,'Fleet register'!$A$7:$S$106,10,FALSE)),VLOOKUP($A298,'Fleet register'!$A$7:$S$106,15,FALSE)&gt;=0,VLOOKUP($A298,'Fleet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costs'!$B$67)&gt;=0,OR(D298&lt;&gt;"EV",E298=120,AND(MIN('Operating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98" s="1" t="str">
        <f>IF(C298=0,"Excluded",IF(P298&lt;&gt;"Complete",P298,IF(OR('Replacement plan'!$AD$79&lt;120-E298,AND(D298="EV",E298&lt;120,OR('Replacement plan'!$AC$79&lt;120-E298,'Replacement plan'!$I$79="No",AND(ISNUMBER(AF298),AE298&gt;AF298),AI298&gt;V298*(1-'Operating costs'!$B$46)^MAX(0,AB298-1)*(1-'Operating costs'!$B$45),AC298&gt;'Operating costs'!$B$18,AND(T298&lt;1,OR(AG298&lt;=0,AND(ISNUMBER(AH298),AG298&gt;AH298))),'Replacement plan'!$L$79&gt;INDEX(Products!$H$7:$H$13,MATCH('Replacement plan'!$B$79,Products!$A$7:$A$13,0))))),"Fails entered limits",IF(AND(D298="EV",E298&lt;120,OR(NOT(ISNUMBER(VLOOKUP($A298,'Fleet register'!$A$7:$S$106,7,FALSE))),NOT(ISNUMBER(VLOOKUP($A298,'Fleet register'!$A$7:$S$106,8,FALSE))),NOT(ISNUMBER(AF298)),'Replacement plan'!$I$79&lt;&gt;"Yes",NOT(ISNUMBER(AH298)),'Operating costs'!$B$59&lt;&gt;"Yes",'Operating costs'!$B$58&lt;&gt;"Yes")),"Unverified","Within entered limits"))))</f>
        <v>Excluded</v>
      </c>
      <c r="R298" s="1">
        <f>IF(C298=0,0,VLOOKUP($A298,'Fleet register'!$A$7:$S$106,6,FALSE))</f>
        <v>0</v>
      </c>
      <c r="S298" s="1">
        <f>IF(C298=0,0,VLOOKUP($A298,'Fleet register'!$A$7:$S$106,5,FALSE))</f>
        <v>0</v>
      </c>
      <c r="T298" s="1">
        <f>IF(D298="EV",'Energy and charging'!$C$12,0)</f>
        <v>0</v>
      </c>
      <c r="U298" s="1">
        <f>IFERROR(IF(C298=0,0,IF(D298="EV",IF('Replacement plan'!$F$79="",INDEX(Products!$E$7:$E$13,MATCH('Replacement plan'!$B$79,Products!$A$7:$A$13,0)),'Replacement plan'!$F$79)/IF('Replacement plan'!$G$79="Battery",1-'Operating costs'!$B$44,1),0)),"n.a.")</f>
        <v>0</v>
      </c>
      <c r="V298" s="1">
        <f>IFERROR(IF(C298=0,0,IF(D298="EV",IF('Replacement plan'!$E$79="",INDEX(Products!$D$7:$D$13,MATCH('Replacement plan'!$B$79,Products!$A$7:$A$13,0)),'Replacement plan'!$E$79),0)),"n.a.")</f>
        <v>0</v>
      </c>
      <c r="W298" s="1">
        <f>IF(C298=0,0,IF(AND(P298="Complete",D298="EV",E298&lt;120),IF(T298=0,0,ROUNDUP(T298*(R298-'Operating costs'!$B$41)*(S298*U298+'Operating costs'!$B$48/(1-'Operating costs'!$B$44))/(V298*'Operating costs'!$B$47/(1-'Operating costs'!$B$44)-T298*'Operating costs'!$B$12*U298),0)),0))</f>
        <v>0</v>
      </c>
      <c r="X298" s="1">
        <f>IF(C298=0,0,IF(AND(P298="Complete",D298="EV",E298&lt;120),(R298-'Operating costs'!$B$41)*(S298*U298+'Operating costs'!$B$48/(1-'Operating costs'!$B$44))+W298*'Operating costs'!$B$12*U298,0))</f>
        <v>0</v>
      </c>
      <c r="Y298" s="1">
        <f>IF(AND(C298=1,D298="EV",E298&lt;120),AI298/(1-'Operating costs'!$B$44)*(1-T298),0)</f>
        <v>0</v>
      </c>
      <c r="Z298" s="1">
        <f t="shared" si="8"/>
        <v>0</v>
      </c>
      <c r="AA298" s="1">
        <f>IF(C298=0,0,IF(P298="Complete",((S298*(R298-'Operating costs'!$B$40))+ROUNDUP(S298*(R298-'Operating costs'!$B$40)*IF('Replacement plan'!$AH$79="",'Operating costs'!$B$7,'Replacement plan'!$AH$79)/('Operating costs'!$B$8-'Operating costs'!$B$9*IF('Replacement plan'!$AH$79="",'Operating costs'!$B$7,'Replacement plan'!$AH$79)),0)*'Operating costs'!$B$9)*IF('Replacement plan'!$AH$79="",'Operating costs'!$B$7,'Replacement plan'!$AH$79),"n.a."))</f>
        <v>0</v>
      </c>
      <c r="AB298" s="1">
        <f t="shared" si="9"/>
        <v>0</v>
      </c>
      <c r="AC298" s="1">
        <f>IF(AND(C298=1,D298="EV",E298&lt;120,T298&gt;0),'Operating costs'!$B$12/'Operating costs'!$B$11*60+'Operating costs'!$B$13+'Operating costs'!$B$14+V298*'Operating costs'!$B$47/(1-'Operating costs'!$B$44)/'Replacement plan'!$L$79*60,0)</f>
        <v>0</v>
      </c>
      <c r="AD298" s="1" t="str">
        <f>'Replacement plan'!$B$79</f>
        <v>ChengLong L2EV</v>
      </c>
      <c r="AE298" s="1">
        <f>IF(C298=0,0,VLOOKUP($A298,'Fleet register'!$A$7:$S$106,8,FALSE))</f>
        <v>0</v>
      </c>
      <c r="AF298" s="1" t="str">
        <f>IF('Replacement plan'!$H$79="","n.a.",'Replacement plan'!$H$79)</f>
        <v>n.a.</v>
      </c>
      <c r="AG298" s="1">
        <f>'Replacement plan'!$J$79</f>
        <v>22</v>
      </c>
      <c r="AH298" s="1">
        <f>IFERROR(IF(D298="EV",IF('Replacement plan'!$K$79="AC",IF(ISNUMBER(INDEX(Products!$G$7:$G$13,MATCH('Replacement plan'!$B$79,Products!$A$7:$A$13,0))),INDEX(Products!$G$7:$G$13,MATCH('Replacement plan'!$B$79,Products!$A$7:$A$13,0)),"n.a."),IF(ISNUMBER(INDEX(Products!$H$7:$H$13,MATCH('Replacement plan'!$B$79,Products!$A$7:$A$13,0))),INDEX(Products!$H$7:$H$13,MATCH('Replacement plan'!$B$79,Products!$A$7:$A$13,0)),"n.a.")),0),"n.a.")</f>
        <v>0</v>
      </c>
      <c r="AI298" s="1">
        <f>IF(AND(C298=1,D298="EV",E298&lt;120),(VLOOKUP($A298,'Fleet register'!$A$7:$S$106,7,FALSE)+IF(T298&gt;0,'Operating costs'!$B$12,0))*U298*(1-'Operating costs'!$B$44)+'Operating costs'!$B$49,0)</f>
        <v>0</v>
      </c>
      <c r="AJ298" s="1">
        <f>IF(D298="EV",'Energy and charging'!$C$50,0)</f>
        <v>0</v>
      </c>
      <c r="AK298" s="17">
        <f>EDATE('Operating costs'!$B$63,E298)</f>
        <v>46298</v>
      </c>
      <c r="AL298" s="1">
        <f>IFERROR(IF(D298="EV",INDEX(Products!$B$7:$B$13,MATCH('Replacement plan'!$B$79,Products!$A$7:$A$13,0)),0),"n.a.")</f>
        <v>0</v>
      </c>
      <c r="AM298" s="1" t="str">
        <f>'Replacement plan'!$K$79</f>
        <v>DC</v>
      </c>
      <c r="AN298" s="1" t="str">
        <f>'Replacement plan'!$AE$79</f>
        <v>Assumed</v>
      </c>
      <c r="AO298" s="47">
        <f>IF(AND(C298=1,D298="EV",E298&lt;120),(R298-'Operating costs'!$B$41)*S298+W298*'Operating costs'!$B$12,0)</f>
        <v>0</v>
      </c>
      <c r="AP298" s="41">
        <f>IF(AND(C298=1,D298="EV",E298&lt;120),IF('Operating costs'!$B$68="Hong Seh 200k average",AO298*IFERROR(INDEX(Products!$P$7:$P$13,MATCH(AD298,Products!$A$7:$A$13,0)),"n.a."),'Operating costs'!$B$26),0)</f>
        <v>0</v>
      </c>
      <c r="AQ298" s="40" t="str">
        <f>IF(D298="EV",'Operating costs'!$B$68,"Not applicable")</f>
        <v>Not applicable</v>
      </c>
    </row>
    <row r="299" spans="1:43" ht="24" customHeight="1">
      <c r="A299" s="1" t="str">
        <f>'Replacement plan'!A80</f>
        <v>T074</v>
      </c>
      <c r="B299" s="1">
        <v>0</v>
      </c>
      <c r="C299" s="1">
        <f>IF(COUNTIFS('Fleet register'!$A$7:$A$106,$A299)=1,VLOOKUP($A299,'Fleet register'!$A$7:$S$106,2,FALSE),0)</f>
        <v>0</v>
      </c>
      <c r="D299" s="1" t="str">
        <f>IF("Keep ICE"="EV","EV","ICE")</f>
        <v>ICE</v>
      </c>
      <c r="E299" s="1">
        <f>IF(C299=0,0,IF('Replacement plan'!$M$80="",VLOOKUP($A299,'Fleet register'!$A$7:$S$106,10,FALSE),'Replacement plan'!$M$80))</f>
        <v>0</v>
      </c>
      <c r="F299" s="16">
        <f>IF(C299=0,0,VLOOKUP($A299,'Fleet register'!$A$7:$S$106,11,FALSE))</f>
        <v>0</v>
      </c>
      <c r="G299" s="16">
        <f>IFERROR(IF(C299=0,0,IF(E299=120,0,IF(D299="ICE",'Replacement plan'!$C$80,IF('Replacement plan'!$D$80="",INDEX(Products!$I$7:$I$13,MATCH('Replacement plan'!$B$80,Products!$A$7:$A$13,0))+'Operating costs'!$B$57,'Replacement plan'!$D$80))*(1+'Operating costs'!$B$50)^(E299/12))),"n.a.")</f>
        <v>0</v>
      </c>
      <c r="H299" s="16">
        <f>IFERROR(IF(C299=0,0,IF(E299=0,F299,VLOOKUP($A299,'Fleet register'!$A$7:$S$106,12,FALSE)+VLOOKUP($A299,'Fleet register'!$A$7:$S$106,13,FALSE)*MAX(0,VLOOKUP($A299,'Fleet register'!$A$7:$S$106,10,FALSE)-E299)/VLOOKUP($A299,'Fleet register'!$A$7:$S$106,14,FALSE))),"n.a.")</f>
        <v>0</v>
      </c>
      <c r="I299" s="16">
        <f>IF(C299=0,0,IF(E299=120,0,'Replacement plan'!$N$80))</f>
        <v>0</v>
      </c>
      <c r="J299" s="16">
        <f>IF(C299=0,0,IF(P299="Complete",((S299*(R299-'Operating costs'!$B$39))+ROUNDUP(S299*(R299-'Operating costs'!$B$39)*IF('Replacement plan'!$AG$80="",'Operating costs'!$B$7,'Replacement plan'!$AG$80)/('Operating costs'!$B$8-'Operating costs'!$B$9*IF('Replacement plan'!$AG$80="",'Operating costs'!$B$7,'Replacement plan'!$AG$80)),0)*'Operating costs'!$B$9)*IF('Replacement plan'!$AG$80="",'Operating costs'!$B$7,'Replacement plan'!$AG$80)*('Energy and charging'!$B$9*'Energy and charging'!$B$7+(1-'Energy and charging'!$B$9)*'Energy and charging'!$B$8)*'Operating costs'!$B$23,"n.a."))</f>
        <v>0</v>
      </c>
      <c r="K299" s="16">
        <f>IF(C299=0,0,IF(P299="Complete",SUM('Operating costs'!$B$24,'Operating costs'!$B$27,'Operating costs'!$B$29,'Operating costs'!$B$31,'Operating costs'!$B$33,'Operating costs'!$B$34,'Operating costs'!$B$37,'Replacement plan'!$W$80)+'Operating costs'!$B$39*'Operating costs'!$B$42+ROUNDUP(S299*(R299-'Operating costs'!$B$39)*IF('Replacement plan'!$AG$80="",'Operating costs'!$B$7,'Replacement plan'!$AG$80)/('Operating costs'!$B$8-'Operating costs'!$B$9*IF('Replacement plan'!$AG$80="",'Operating costs'!$B$7,'Replacement plan'!$AG$80)),0)*('Operating costs'!$B$9/'Operating costs'!$B$11+'Operating costs'!$B$10/60)*'Operating costs'!$B$19*'Operating costs'!$B$21,"n.a."))</f>
        <v>0</v>
      </c>
      <c r="L299" s="16">
        <f>IF(C299=0,0,IF(P299="Complete",IF(D299="EV",X299*((1-T299)*'Energy and charging'!$B$10+T299*'Energy and charging'!$B$11)*'Operating costs'!$B$22,AA299*('Energy and charging'!$B$9*'Energy and charging'!$B$7+(1-'Energy and charging'!$B$9)*'Energy and charging'!$B$8)*'Operating costs'!$B$23),"n.a."))</f>
        <v>0</v>
      </c>
      <c r="M299" s="37">
        <f>IF(C299=0,0,IF(P299="Complete",IF(D299="ICE",SUM('Operating costs'!$B$25,'Operating costs'!$B$27,'Operating costs'!$B$29,'Operating costs'!$B$31,'Operating costs'!$B$33,'Operating costs'!$B$35,'Operating costs'!$B$37,'Replacement plan'!$X$80)+'Operating costs'!$B$40*'Operating costs'!$B$42+ROUNDUP(S299*(R299-'Operating costs'!$B$40)*IF('Replacement plan'!$AH$80="",'Operating costs'!$B$7,'Replacement plan'!$AH$80)/('Operating costs'!$B$8-'Operating costs'!$B$9*IF('Replacement plan'!$AH$80="",'Operating costs'!$B$7,'Replacement plan'!$AH$80)),0)*('Operating costs'!$B$9/'Operating costs'!$B$11+'Operating costs'!$B$10/60)*'Operating costs'!$B$19*'Operating costs'!$B$21,SUM(AP299,'Operating costs'!$B$28,'Operating costs'!$B$30,'Operating costs'!$B$32,'Operating costs'!$B$33,'Operating costs'!$B$36,'Operating costs'!$B$38,'Replacement plan'!$Y$80)+'Operating costs'!$B$41*'Operating costs'!$B$43+W299*'Operating costs'!$B$15+(T299*X299/'Replacement plan'!$L$80+W299*('Operating costs'!$B$12/'Operating costs'!$B$11+('Operating costs'!$B$13+'Operating costs'!$B$14)/60)+(R299-'Operating costs'!$B$41)*(IF(T299&lt;1,'Operating costs'!$B$16,0)+'Operating costs'!$B$17)/60)*'Operating costs'!$B$19*'Operating costs'!$B$20),"n.a."))</f>
        <v>0</v>
      </c>
      <c r="N299" s="16">
        <f>IF(AND(C299=1,D299="EV",E299&lt;120,E299+'Replacement plan'!$AA$80&lt;=120),'Replacement plan'!$Z$80,0)</f>
        <v>0</v>
      </c>
      <c r="O299" s="1">
        <f>E299+'Replacement plan'!$AA$80</f>
        <v>0</v>
      </c>
      <c r="P299" s="35" t="str">
        <f>IFERROR(IF(C299=0,"Excluded",IF(OR(COUNTIFS('Fleet register'!$A$7:$A$106,A299)&lt;&gt;1,COUNTIFS('Replacement plan'!$A$7:$A$106,A299)&lt;&gt;1),"Duplicate/missing ID",IF(NOT(AND(ISNUMBER(VLOOKUP($A299,'Fleet register'!$A$7:$S$106,5,FALSE)),ISNUMBER(VLOOKUP($A299,'Fleet register'!$A$7:$S$106,6,FALSE)),ISNUMBER(VLOOKUP($A299,'Fleet register'!$A$7:$S$106,10,FALSE)),ISNUMBER(VLOOKUP($A299,'Fleet register'!$A$7:$S$106,11,FALSE)),ISNUMBER(VLOOKUP($A299,'Fleet register'!$A$7:$S$106,12,FALSE)),ISNUMBER(VLOOKUP($A299,'Fleet register'!$A$7:$S$106,13,FALSE)),ISNUMBER(VLOOKUP($A299,'Fleet register'!$A$7:$S$106,14,FALSE)),VLOOKUP($A299,'Fleet register'!$A$7:$S$106,14,FALSE)&gt;0,ISNUMBER('Replacement plan'!$C$80),OR(E299=120,ISNUMBER('Replacement plan'!$N$80)),ISNUMBER(E299))),"Missing vehicle input",IF(OR(E299&lt;0,E299&gt;VLOOKUP($A299,'Fleet register'!$A$7:$S$106,10,FALSE),E299&gt;120,E299&lt;&gt;INT(E299),VLOOKUP($A299,'Fleet register'!$A$7:$S$106,6,FALSE)&lt;=0,VLOOKUP($A299,'Fleet register'!$A$7:$S$106,6,FALSE)&gt;366,VLOOKUP($A299,'Fleet register'!$A$7:$S$106,5,FALSE)&lt;0,VLOOKUP($A299,'Fleet register'!$A$7:$S$106,11,FALSE)&lt;0,I299&lt;0,'Operating costs'!$B$8&lt;='Operating costs'!$B$7*'Operating costs'!$B$9,'Operating costs'!$B$11&lt;=0,'Operating costs'!$B$39&gt;R299,'Operating costs'!$B$40&gt;R299,'Operating costs'!$B$41&gt;R299,NOT(OR("Keep ICE"="Keep ICE","Keep ICE"="New ICE","Keep ICE"="EV"))),"Invalid vehicle input",IF(AND(D299="EV",E299&lt;120,OR(NOT(ISNUMBER(U299)),NOT(ISNUMBER(V299)),V299&lt;=0,T299&lt;0,T299&gt;1,'Replacement plan'!$L$80&lt;=0,'Operating costs'!$B$44&lt;0,'Operating costs'!$B$44&gt;=1,'Operating costs'!$B$47&lt;=0,'Operating costs'!$B$47&gt;1,V299*'Operating costs'!$B$47/(1-'Operating costs'!$B$44)&lt;=T299*'Operating costs'!$B$12*U299,AND('Replacement plan'!$Z$80&gt;0,OR('Replacement plan'!$AB$80&lt;&gt;"Yes",'Operating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charging'!$B$8&gt;=0))),ISNUMBER(VLOOKUP($A299,'Fleet register'!$A$7:$S$106,15,FALSE)),ISNUMBER(VLOOKUP($A299,'Fleet register'!$A$7:$S$106,16,FALSE)),ISNUMBER('Replacement plan'!$W$80),ISNUMBER('Replacement plan'!$X$80),OR(E299=120,AND(ISNUMBER(G299),G299&gt;=0)),ISNUMBER(H299),H299&gt;=0,OR(D299&lt;&gt;"EV",E299=120,AND(ISNUMBER('Operating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average",ISNUMBER(IFERROR(INDEX(Products!$P$7:$P$13,MATCH(AD299,Products!$A$7:$A$13,0)),"")))),ISNUMBER('Operating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plan'!$Y$80),ISNUMBER('Replacement plan'!$Z$80),'Replacement plan'!$Z$80&gt;=0,ISNUMBER('Replacement plan'!$AA$80),'Replacement plan'!$AA$80&gt;=0,'Replacement plan'!$AA$80=INT('Replacement plan'!$AA$80),ISNUMBER('Replacement plan'!$L$80))),'Operating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plan'!$AG$80="",'Operating costs'!$B$7,'Replacement plan'!$AG$80)),IF('Replacement plan'!$AG$80="",'Operating costs'!$B$7,'Replacement plan'!$AG$80)&gt;=0,ISNUMBER(IF('Replacement plan'!$AH$80="",'Operating costs'!$B$7,'Replacement plan'!$AH$80)),IF('Replacement plan'!$AH$80="",'Operating costs'!$B$7,'Replacement plan'!$AH$80)&gt;=0,'Operating costs'!$B$8&gt;MAX(IF('Replacement plan'!$AG$80="",'Operating costs'!$B$7,'Replacement plan'!$AG$80),IF('Replacement plan'!$AH$80="",'Operating costs'!$B$7,'Replacement plan'!$AH$80))*'Operating costs'!$B$9),IF(AND(VLOOKUP($A299,'Fleet register'!$A$7:$S$106,10,FALSE)&gt;=0,VLOOKUP($A299,'Fleet register'!$A$7:$S$106,10,FALSE)&lt;=120,VLOOKUP($A299,'Fleet register'!$A$7:$S$106,10,FALSE)=INT(VLOOKUP($A299,'Fleet register'!$A$7:$S$106,10,FALSE)),VLOOKUP($A299,'Fleet register'!$A$7:$S$106,15,FALSE)&gt;=0,VLOOKUP($A299,'Fleet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costs'!$B$67)&gt;=0,OR(D299&lt;&gt;"EV",E299=120,AND(MIN('Operating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299" s="1" t="str">
        <f>IF(C299=0,"Excluded",IF(P299&lt;&gt;"Complete",P299,IF(OR('Replacement plan'!$AD$80&lt;120-E299,AND(D299="EV",E299&lt;120,OR('Replacement plan'!$AC$80&lt;120-E299,'Replacement plan'!$I$80="No",AND(ISNUMBER(AF299),AE299&gt;AF299),AI299&gt;V299*(1-'Operating costs'!$B$46)^MAX(0,AB299-1)*(1-'Operating costs'!$B$45),AC299&gt;'Operating costs'!$B$18,AND(T299&lt;1,OR(AG299&lt;=0,AND(ISNUMBER(AH299),AG299&gt;AH299))),'Replacement plan'!$L$80&gt;INDEX(Products!$H$7:$H$13,MATCH('Replacement plan'!$B$80,Products!$A$7:$A$13,0))))),"Fails entered limits",IF(AND(D299="EV",E299&lt;120,OR(NOT(ISNUMBER(VLOOKUP($A299,'Fleet register'!$A$7:$S$106,7,FALSE))),NOT(ISNUMBER(VLOOKUP($A299,'Fleet register'!$A$7:$S$106,8,FALSE))),NOT(ISNUMBER(AF299)),'Replacement plan'!$I$80&lt;&gt;"Yes",NOT(ISNUMBER(AH299)),'Operating costs'!$B$59&lt;&gt;"Yes",'Operating costs'!$B$58&lt;&gt;"Yes")),"Unverified","Within entered limits"))))</f>
        <v>Excluded</v>
      </c>
      <c r="R299" s="1">
        <f>IF(C299=0,0,VLOOKUP($A299,'Fleet register'!$A$7:$S$106,6,FALSE))</f>
        <v>0</v>
      </c>
      <c r="S299" s="1">
        <f>IF(C299=0,0,VLOOKUP($A299,'Fleet register'!$A$7:$S$106,5,FALSE))</f>
        <v>0</v>
      </c>
      <c r="T299" s="1">
        <f>IF(D299="EV",'Energy and charging'!$B$12,0)</f>
        <v>0</v>
      </c>
      <c r="U299" s="1">
        <f>IFERROR(IF(C299=0,0,IF(D299="EV",IF('Replacement plan'!$F$80="",INDEX(Products!$E$7:$E$13,MATCH('Replacement plan'!$B$80,Products!$A$7:$A$13,0)),'Replacement plan'!$F$80)/IF('Replacement plan'!$G$80="Battery",1-'Operating costs'!$B$44,1),0)),"n.a.")</f>
        <v>0</v>
      </c>
      <c r="V299" s="1">
        <f>IFERROR(IF(C299=0,0,IF(D299="EV",IF('Replacement plan'!$E$80="",INDEX(Products!$D$7:$D$13,MATCH('Replacement plan'!$B$80,Products!$A$7:$A$13,0)),'Replacement plan'!$E$80),0)),"n.a.")</f>
        <v>0</v>
      </c>
      <c r="W299" s="1">
        <f>IF(C299=0,0,IF(AND(P299="Complete",D299="EV",E299&lt;120),IF(T299=0,0,ROUNDUP(T299*(R299-'Operating costs'!$B$41)*(S299*U299+'Operating costs'!$B$48/(1-'Operating costs'!$B$44))/(V299*'Operating costs'!$B$47/(1-'Operating costs'!$B$44)-T299*'Operating costs'!$B$12*U299),0)),0))</f>
        <v>0</v>
      </c>
      <c r="X299" s="1">
        <f>IF(C299=0,0,IF(AND(P299="Complete",D299="EV",E299&lt;120),(R299-'Operating costs'!$B$41)*(S299*U299+'Operating costs'!$B$48/(1-'Operating costs'!$B$44))+W299*'Operating costs'!$B$12*U299,0))</f>
        <v>0</v>
      </c>
      <c r="Y299" s="1">
        <f>IF(AND(C299=1,D299="EV",E299&lt;120),AI299/(1-'Operating costs'!$B$44)*(1-T299),0)</f>
        <v>0</v>
      </c>
      <c r="Z299" s="1">
        <f t="shared" si="8"/>
        <v>0</v>
      </c>
      <c r="AA299" s="1">
        <f>IF(C299=0,0,IF(P299="Complete",((S299*(R299-'Operating costs'!$B$40))+ROUNDUP(S299*(R299-'Operating costs'!$B$40)*IF('Replacement plan'!$AH$80="",'Operating costs'!$B$7,'Replacement plan'!$AH$80)/('Operating costs'!$B$8-'Operating costs'!$B$9*IF('Replacement plan'!$AH$80="",'Operating costs'!$B$7,'Replacement plan'!$AH$80)),0)*'Operating costs'!$B$9)*IF('Replacement plan'!$AH$80="",'Operating costs'!$B$7,'Replacement plan'!$AH$80),"n.a."))</f>
        <v>0</v>
      </c>
      <c r="AB299" s="1">
        <f t="shared" si="9"/>
        <v>0</v>
      </c>
      <c r="AC299" s="1">
        <f>IF(AND(C299=1,D299="EV",E299&lt;120,T299&gt;0),'Operating costs'!$B$12/'Operating costs'!$B$11*60+'Operating costs'!$B$13+'Operating costs'!$B$14+V299*'Operating costs'!$B$47/(1-'Operating costs'!$B$44)/'Replacement plan'!$L$80*60,0)</f>
        <v>0</v>
      </c>
      <c r="AD299" s="1" t="str">
        <f>'Replacement plan'!$B$80</f>
        <v>ChengLong L2EV</v>
      </c>
      <c r="AE299" s="1">
        <f>IF(C299=0,0,VLOOKUP($A299,'Fleet register'!$A$7:$S$106,8,FALSE))</f>
        <v>0</v>
      </c>
      <c r="AF299" s="1" t="str">
        <f>IF('Replacement plan'!$H$80="","n.a.",'Replacement plan'!$H$80)</f>
        <v>n.a.</v>
      </c>
      <c r="AG299" s="1">
        <f>'Replacement plan'!$J$80</f>
        <v>22</v>
      </c>
      <c r="AH299" s="1">
        <f>IFERROR(IF(D299="EV",IF('Replacement plan'!$K$80="AC",IF(ISNUMBER(INDEX(Products!$G$7:$G$13,MATCH('Replacement plan'!$B$80,Products!$A$7:$A$13,0))),INDEX(Products!$G$7:$G$13,MATCH('Replacement plan'!$B$80,Products!$A$7:$A$13,0)),"n.a."),IF(ISNUMBER(INDEX(Products!$H$7:$H$13,MATCH('Replacement plan'!$B$80,Products!$A$7:$A$13,0))),INDEX(Products!$H$7:$H$13,MATCH('Replacement plan'!$B$80,Products!$A$7:$A$13,0)),"n.a.")),0),"n.a.")</f>
        <v>0</v>
      </c>
      <c r="AI299" s="1">
        <f>IF(AND(C299=1,D299="EV",E299&lt;120),(VLOOKUP($A299,'Fleet register'!$A$7:$S$106,7,FALSE)+IF(T299&gt;0,'Operating costs'!$B$12,0))*U299*(1-'Operating costs'!$B$44)+'Operating costs'!$B$49,0)</f>
        <v>0</v>
      </c>
      <c r="AJ299" s="1">
        <f>IF(D299="EV",'Energy and charging'!$B$50,0)</f>
        <v>0</v>
      </c>
      <c r="AK299" s="17">
        <f>EDATE('Operating costs'!$B$63,E299)</f>
        <v>46298</v>
      </c>
      <c r="AL299" s="1">
        <f>IFERROR(IF(D299="EV",INDEX(Products!$B$7:$B$13,MATCH('Replacement plan'!$B$80,Products!$A$7:$A$13,0)),0),"n.a.")</f>
        <v>0</v>
      </c>
      <c r="AM299" s="1" t="str">
        <f>'Replacement plan'!$K$80</f>
        <v>DC</v>
      </c>
      <c r="AN299" s="1" t="str">
        <f>'Replacement plan'!$AE$80</f>
        <v>Assumed</v>
      </c>
      <c r="AO299" s="47">
        <f>IF(AND(C299=1,D299="EV",E299&lt;120),(R299-'Operating costs'!$B$41)*S299+W299*'Operating costs'!$B$12,0)</f>
        <v>0</v>
      </c>
      <c r="AP299" s="41">
        <f>IF(AND(C299=1,D299="EV",E299&lt;120),IF('Operating costs'!$B$68="Hong Seh 200k average",AO299*IFERROR(INDEX(Products!$P$7:$P$13,MATCH(AD299,Products!$A$7:$A$13,0)),"n.a."),'Operating costs'!$B$26),0)</f>
        <v>0</v>
      </c>
      <c r="AQ299" s="40" t="str">
        <f>IF(D299="EV",'Operating costs'!$B$68,"Not applicable")</f>
        <v>Not applicable</v>
      </c>
    </row>
    <row r="300" spans="1:43" ht="24" customHeight="1">
      <c r="A300" s="1" t="str">
        <f>'Replacement plan'!A80</f>
        <v>T074</v>
      </c>
      <c r="B300" s="1">
        <v>1</v>
      </c>
      <c r="C300" s="1">
        <f>IF(COUNTIFS('Fleet register'!$A$7:$A$106,$A300)=1,VLOOKUP($A300,'Fleet register'!$A$7:$S$106,2,FALSE),0)</f>
        <v>0</v>
      </c>
      <c r="D300" s="1" t="str">
        <f>IF("New ICE"="EV","EV","ICE")</f>
        <v>ICE</v>
      </c>
      <c r="E300" s="1">
        <f>IF(C300=0,0,0)</f>
        <v>0</v>
      </c>
      <c r="F300" s="16">
        <f>IF(C300=0,0,VLOOKUP($A300,'Fleet register'!$A$7:$S$106,11,FALSE))</f>
        <v>0</v>
      </c>
      <c r="G300" s="16">
        <f>IFERROR(IF(C300=0,0,IF(E300=120,0,IF(D300="ICE",'Replacement plan'!$C$80,IF('Replacement plan'!$D$80="",INDEX(Products!$I$7:$I$13,MATCH('Replacement plan'!$B$80,Products!$A$7:$A$13,0))+'Operating costs'!$B$57,'Replacement plan'!$D$80))*(1+'Operating costs'!$B$50)^(E300/12))),"n.a.")</f>
        <v>0</v>
      </c>
      <c r="H300" s="16">
        <f>IFERROR(IF(C300=0,0,IF(E300=0,F300,VLOOKUP($A300,'Fleet register'!$A$7:$S$106,12,FALSE)+VLOOKUP($A300,'Fleet register'!$A$7:$S$106,13,FALSE)*MAX(0,VLOOKUP($A300,'Fleet register'!$A$7:$S$106,10,FALSE)-E300)/VLOOKUP($A300,'Fleet register'!$A$7:$S$106,14,FALSE))),"n.a.")</f>
        <v>0</v>
      </c>
      <c r="I300" s="16">
        <f>IF(C300=0,0,IF(E300=120,0,IF('Replacement plan'!$AI$80="",'Operating costs'!$B$56,'Replacement plan'!$AI$80)))</f>
        <v>0</v>
      </c>
      <c r="J300" s="16">
        <f>IF(C300=0,0,IF(P300="Complete",((S300*(R300-'Operating costs'!$B$39))+ROUNDUP(S300*(R300-'Operating costs'!$B$39)*IF('Replacement plan'!$AG$80="",'Operating costs'!$B$7,'Replacement plan'!$AG$80)/('Operating costs'!$B$8-'Operating costs'!$B$9*IF('Replacement plan'!$AG$80="",'Operating costs'!$B$7,'Replacement plan'!$AG$80)),0)*'Operating costs'!$B$9)*IF('Replacement plan'!$AG$80="",'Operating costs'!$B$7,'Replacement plan'!$AG$80)*('Energy and charging'!$B$9*'Energy and charging'!$B$7+(1-'Energy and charging'!$B$9)*'Energy and charging'!$B$8)*'Operating costs'!$B$23,"n.a."))</f>
        <v>0</v>
      </c>
      <c r="K300" s="16">
        <f>IF(C300=0,0,IF(P300="Complete",SUM('Operating costs'!$B$24,'Operating costs'!$B$27,'Operating costs'!$B$29,'Operating costs'!$B$31,'Operating costs'!$B$33,'Operating costs'!$B$34,'Operating costs'!$B$37,'Replacement plan'!$W$80)+'Operating costs'!$B$39*'Operating costs'!$B$42+ROUNDUP(S300*(R300-'Operating costs'!$B$39)*IF('Replacement plan'!$AG$80="",'Operating costs'!$B$7,'Replacement plan'!$AG$80)/('Operating costs'!$B$8-'Operating costs'!$B$9*IF('Replacement plan'!$AG$80="",'Operating costs'!$B$7,'Replacement plan'!$AG$80)),0)*('Operating costs'!$B$9/'Operating costs'!$B$11+'Operating costs'!$B$10/60)*'Operating costs'!$B$19*'Operating costs'!$B$21,"n.a."))</f>
        <v>0</v>
      </c>
      <c r="L300" s="16">
        <f>IF(C300=0,0,IF(P300="Complete",IF(D300="EV",X300*((1-T300)*'Energy and charging'!$B$10+T300*'Energy and charging'!$B$11)*'Operating costs'!$B$22,AA300*('Energy and charging'!$B$9*'Energy and charging'!$B$7+(1-'Energy and charging'!$B$9)*'Energy and charging'!$B$8)*'Operating costs'!$B$23),"n.a."))</f>
        <v>0</v>
      </c>
      <c r="M300" s="37">
        <f>IF(C300=0,0,IF(P300="Complete",IF(D300="ICE",SUM('Operating costs'!$B$25,'Operating costs'!$B$27,'Operating costs'!$B$29,'Operating costs'!$B$31,'Operating costs'!$B$33,'Operating costs'!$B$35,'Operating costs'!$B$37,'Replacement plan'!$X$80)+'Operating costs'!$B$40*'Operating costs'!$B$42+ROUNDUP(S300*(R300-'Operating costs'!$B$40)*IF('Replacement plan'!$AH$80="",'Operating costs'!$B$7,'Replacement plan'!$AH$80)/('Operating costs'!$B$8-'Operating costs'!$B$9*IF('Replacement plan'!$AH$80="",'Operating costs'!$B$7,'Replacement plan'!$AH$80)),0)*('Operating costs'!$B$9/'Operating costs'!$B$11+'Operating costs'!$B$10/60)*'Operating costs'!$B$19*'Operating costs'!$B$21,SUM(AP300,'Operating costs'!$B$28,'Operating costs'!$B$30,'Operating costs'!$B$32,'Operating costs'!$B$33,'Operating costs'!$B$36,'Operating costs'!$B$38,'Replacement plan'!$Y$80)+'Operating costs'!$B$41*'Operating costs'!$B$43+W300*'Operating costs'!$B$15+(T300*X300/'Replacement plan'!$L$80+W300*('Operating costs'!$B$12/'Operating costs'!$B$11+('Operating costs'!$B$13+'Operating costs'!$B$14)/60)+(R300-'Operating costs'!$B$41)*(IF(T300&lt;1,'Operating costs'!$B$16,0)+'Operating costs'!$B$17)/60)*'Operating costs'!$B$19*'Operating costs'!$B$20),"n.a."))</f>
        <v>0</v>
      </c>
      <c r="N300" s="16">
        <f>IF(AND(C300=1,D300="EV",E300&lt;120,E300+'Replacement plan'!$AA$80&lt;=120),'Replacement plan'!$Z$80,0)</f>
        <v>0</v>
      </c>
      <c r="O300" s="1">
        <f>E300+'Replacement plan'!$AA$80</f>
        <v>0</v>
      </c>
      <c r="P300" s="35" t="str">
        <f>IFERROR(IF(C300=0,"Excluded",IF(OR(COUNTIFS('Fleet register'!$A$7:$A$106,A300)&lt;&gt;1,COUNTIFS('Replacement plan'!$A$7:$A$106,A300)&lt;&gt;1),"Duplicate/missing ID",IF(NOT(AND(ISNUMBER(VLOOKUP($A300,'Fleet register'!$A$7:$S$106,5,FALSE)),ISNUMBER(VLOOKUP($A300,'Fleet register'!$A$7:$S$106,6,FALSE)),ISNUMBER(VLOOKUP($A300,'Fleet register'!$A$7:$S$106,10,FALSE)),ISNUMBER(VLOOKUP($A300,'Fleet register'!$A$7:$S$106,11,FALSE)),ISNUMBER(VLOOKUP($A300,'Fleet register'!$A$7:$S$106,12,FALSE)),ISNUMBER(VLOOKUP($A300,'Fleet register'!$A$7:$S$106,13,FALSE)),ISNUMBER(VLOOKUP($A300,'Fleet register'!$A$7:$S$106,14,FALSE)),VLOOKUP($A300,'Fleet register'!$A$7:$S$106,14,FALSE)&gt;0,ISNUMBER('Replacement plan'!$C$80),OR(E300=120,OR(ISNUMBER('Replacement plan'!$AI$80),AND('Replacement plan'!$AI$80="",ISNUMBER('Operating costs'!$B$56)))),ISNUMBER(E300))),"Missing vehicle input",IF(OR(E300&lt;0,E300&gt;VLOOKUP($A300,'Fleet register'!$A$7:$S$106,10,FALSE),E300&gt;120,E300&lt;&gt;INT(E300),VLOOKUP($A300,'Fleet register'!$A$7:$S$106,6,FALSE)&lt;=0,VLOOKUP($A300,'Fleet register'!$A$7:$S$106,6,FALSE)&gt;366,VLOOKUP($A300,'Fleet register'!$A$7:$S$106,5,FALSE)&lt;0,VLOOKUP($A300,'Fleet register'!$A$7:$S$106,11,FALSE)&lt;0,I300&lt;0,'Operating costs'!$B$8&lt;='Operating costs'!$B$7*'Operating costs'!$B$9,'Operating costs'!$B$11&lt;=0,'Operating costs'!$B$39&gt;R300,'Operating costs'!$B$40&gt;R300,'Operating costs'!$B$41&gt;R300,NOT(OR("New ICE"="Keep ICE","New ICE"="New ICE","New ICE"="EV"))),"Invalid vehicle input",IF(AND(D300="EV",E300&lt;120,OR(NOT(ISNUMBER(U300)),NOT(ISNUMBER(V300)),V300&lt;=0,T300&lt;0,T300&gt;1,'Replacement plan'!$L$80&lt;=0,'Operating costs'!$B$44&lt;0,'Operating costs'!$B$44&gt;=1,'Operating costs'!$B$47&lt;=0,'Operating costs'!$B$47&gt;1,V300*'Operating costs'!$B$47/(1-'Operating costs'!$B$44)&lt;=T300*'Operating costs'!$B$12*U300,AND('Replacement plan'!$Z$80&gt;0,OR('Replacement plan'!$AB$80&lt;&gt;"Yes",'Operating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charging'!$B$8&gt;=0))),ISNUMBER(VLOOKUP($A300,'Fleet register'!$A$7:$S$106,15,FALSE)),ISNUMBER(VLOOKUP($A300,'Fleet register'!$A$7:$S$106,16,FALSE)),ISNUMBER('Replacement plan'!$W$80),ISNUMBER('Replacement plan'!$X$80),OR(E300=120,AND(ISNUMBER(G300),G300&gt;=0)),ISNUMBER(H300),H300&gt;=0,OR(D300&lt;&gt;"EV",E300=120,AND(ISNUMBER('Operating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average",ISNUMBER(IFERROR(INDEX(Products!$P$7:$P$13,MATCH(AD300,Products!$A$7:$A$13,0)),"")))),ISNUMBER('Operating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plan'!$Y$80),ISNUMBER('Replacement plan'!$Z$80),'Replacement plan'!$Z$80&gt;=0,ISNUMBER('Replacement plan'!$AA$80),'Replacement plan'!$AA$80&gt;=0,'Replacement plan'!$AA$80=INT('Replacement plan'!$AA$80),ISNUMBER('Replacement plan'!$L$80))),'Operating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plan'!$AG$80="",'Operating costs'!$B$7,'Replacement plan'!$AG$80)),IF('Replacement plan'!$AG$80="",'Operating costs'!$B$7,'Replacement plan'!$AG$80)&gt;=0,ISNUMBER(IF('Replacement plan'!$AH$80="",'Operating costs'!$B$7,'Replacement plan'!$AH$80)),IF('Replacement plan'!$AH$80="",'Operating costs'!$B$7,'Replacement plan'!$AH$80)&gt;=0,'Operating costs'!$B$8&gt;MAX(IF('Replacement plan'!$AG$80="",'Operating costs'!$B$7,'Replacement plan'!$AG$80),IF('Replacement plan'!$AH$80="",'Operating costs'!$B$7,'Replacement plan'!$AH$80))*'Operating costs'!$B$9),IF(AND(VLOOKUP($A300,'Fleet register'!$A$7:$S$106,10,FALSE)&gt;=0,VLOOKUP($A300,'Fleet register'!$A$7:$S$106,10,FALSE)&lt;=120,VLOOKUP($A300,'Fleet register'!$A$7:$S$106,10,FALSE)=INT(VLOOKUP($A300,'Fleet register'!$A$7:$S$106,10,FALSE)),VLOOKUP($A300,'Fleet register'!$A$7:$S$106,15,FALSE)&gt;=0,VLOOKUP($A300,'Fleet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costs'!$B$67)&gt;=0,OR(D300&lt;&gt;"EV",E300=120,AND(MIN('Operating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00" s="1" t="str">
        <f>IF(C300=0,"Excluded",IF(P300&lt;&gt;"Complete",P300,IF(OR('Replacement plan'!$AD$80&lt;120-E300,AND(D300="EV",E300&lt;120,OR('Replacement plan'!$AC$80&lt;120-E300,'Replacement plan'!$I$80="No",AND(ISNUMBER(AF300),AE300&gt;AF300),AI300&gt;V300*(1-'Operating costs'!$B$46)^MAX(0,AB300-1)*(1-'Operating costs'!$B$45),AC300&gt;'Operating costs'!$B$18,AND(T300&lt;1,OR(AG300&lt;=0,AND(ISNUMBER(AH300),AG300&gt;AH300))),'Replacement plan'!$L$80&gt;INDEX(Products!$H$7:$H$13,MATCH('Replacement plan'!$B$80,Products!$A$7:$A$13,0))))),"Fails entered limits",IF(AND(D300="EV",E300&lt;120,OR(NOT(ISNUMBER(VLOOKUP($A300,'Fleet register'!$A$7:$S$106,7,FALSE))),NOT(ISNUMBER(VLOOKUP($A300,'Fleet register'!$A$7:$S$106,8,FALSE))),NOT(ISNUMBER(AF300)),'Replacement plan'!$I$80&lt;&gt;"Yes",NOT(ISNUMBER(AH300)),'Operating costs'!$B$59&lt;&gt;"Yes",'Operating costs'!$B$58&lt;&gt;"Yes")),"Unverified","Within entered limits"))))</f>
        <v>Excluded</v>
      </c>
      <c r="R300" s="1">
        <f>IF(C300=0,0,VLOOKUP($A300,'Fleet register'!$A$7:$S$106,6,FALSE))</f>
        <v>0</v>
      </c>
      <c r="S300" s="1">
        <f>IF(C300=0,0,VLOOKUP($A300,'Fleet register'!$A$7:$S$106,5,FALSE))</f>
        <v>0</v>
      </c>
      <c r="T300" s="1">
        <f>IF(D300="EV",'Energy and charging'!$B$12,0)</f>
        <v>0</v>
      </c>
      <c r="U300" s="1">
        <f>IFERROR(IF(C300=0,0,IF(D300="EV",IF('Replacement plan'!$F$80="",INDEX(Products!$E$7:$E$13,MATCH('Replacement plan'!$B$80,Products!$A$7:$A$13,0)),'Replacement plan'!$F$80)/IF('Replacement plan'!$G$80="Battery",1-'Operating costs'!$B$44,1),0)),"n.a.")</f>
        <v>0</v>
      </c>
      <c r="V300" s="1">
        <f>IFERROR(IF(C300=0,0,IF(D300="EV",IF('Replacement plan'!$E$80="",INDEX(Products!$D$7:$D$13,MATCH('Replacement plan'!$B$80,Products!$A$7:$A$13,0)),'Replacement plan'!$E$80),0)),"n.a.")</f>
        <v>0</v>
      </c>
      <c r="W300" s="1">
        <f>IF(C300=0,0,IF(AND(P300="Complete",D300="EV",E300&lt;120),IF(T300=0,0,ROUNDUP(T300*(R300-'Operating costs'!$B$41)*(S300*U300+'Operating costs'!$B$48/(1-'Operating costs'!$B$44))/(V300*'Operating costs'!$B$47/(1-'Operating costs'!$B$44)-T300*'Operating costs'!$B$12*U300),0)),0))</f>
        <v>0</v>
      </c>
      <c r="X300" s="1">
        <f>IF(C300=0,0,IF(AND(P300="Complete",D300="EV",E300&lt;120),(R300-'Operating costs'!$B$41)*(S300*U300+'Operating costs'!$B$48/(1-'Operating costs'!$B$44))+W300*'Operating costs'!$B$12*U300,0))</f>
        <v>0</v>
      </c>
      <c r="Y300" s="1">
        <f>IF(AND(C300=1,D300="EV",E300&lt;120),AI300/(1-'Operating costs'!$B$44)*(1-T300),0)</f>
        <v>0</v>
      </c>
      <c r="Z300" s="1">
        <f t="shared" si="8"/>
        <v>0</v>
      </c>
      <c r="AA300" s="1">
        <f>IF(C300=0,0,IF(P300="Complete",((S300*(R300-'Operating costs'!$B$40))+ROUNDUP(S300*(R300-'Operating costs'!$B$40)*IF('Replacement plan'!$AH$80="",'Operating costs'!$B$7,'Replacement plan'!$AH$80)/('Operating costs'!$B$8-'Operating costs'!$B$9*IF('Replacement plan'!$AH$80="",'Operating costs'!$B$7,'Replacement plan'!$AH$80)),0)*'Operating costs'!$B$9)*IF('Replacement plan'!$AH$80="",'Operating costs'!$B$7,'Replacement plan'!$AH$80),"n.a."))</f>
        <v>0</v>
      </c>
      <c r="AB300" s="1">
        <f t="shared" si="9"/>
        <v>0</v>
      </c>
      <c r="AC300" s="1">
        <f>IF(AND(C300=1,D300="EV",E300&lt;120,T300&gt;0),'Operating costs'!$B$12/'Operating costs'!$B$11*60+'Operating costs'!$B$13+'Operating costs'!$B$14+V300*'Operating costs'!$B$47/(1-'Operating costs'!$B$44)/'Replacement plan'!$L$80*60,0)</f>
        <v>0</v>
      </c>
      <c r="AD300" s="1" t="str">
        <f>'Replacement plan'!$B$80</f>
        <v>ChengLong L2EV</v>
      </c>
      <c r="AE300" s="1">
        <f>IF(C300=0,0,VLOOKUP($A300,'Fleet register'!$A$7:$S$106,8,FALSE))</f>
        <v>0</v>
      </c>
      <c r="AF300" s="1" t="str">
        <f>IF('Replacement plan'!$H$80="","n.a.",'Replacement plan'!$H$80)</f>
        <v>n.a.</v>
      </c>
      <c r="AG300" s="1">
        <f>'Replacement plan'!$J$80</f>
        <v>22</v>
      </c>
      <c r="AH300" s="1">
        <f>IFERROR(IF(D300="EV",IF('Replacement plan'!$K$80="AC",IF(ISNUMBER(INDEX(Products!$G$7:$G$13,MATCH('Replacement plan'!$B$80,Products!$A$7:$A$13,0))),INDEX(Products!$G$7:$G$13,MATCH('Replacement plan'!$B$80,Products!$A$7:$A$13,0)),"n.a."),IF(ISNUMBER(INDEX(Products!$H$7:$H$13,MATCH('Replacement plan'!$B$80,Products!$A$7:$A$13,0))),INDEX(Products!$H$7:$H$13,MATCH('Replacement plan'!$B$80,Products!$A$7:$A$13,0)),"n.a.")),0),"n.a.")</f>
        <v>0</v>
      </c>
      <c r="AI300" s="1">
        <f>IF(AND(C300=1,D300="EV",E300&lt;120),(VLOOKUP($A300,'Fleet register'!$A$7:$S$106,7,FALSE)+IF(T300&gt;0,'Operating costs'!$B$12,0))*U300*(1-'Operating costs'!$B$44)+'Operating costs'!$B$49,0)</f>
        <v>0</v>
      </c>
      <c r="AJ300" s="1">
        <f>IF(D300="EV",'Energy and charging'!$B$50,0)</f>
        <v>0</v>
      </c>
      <c r="AK300" s="17">
        <f>EDATE('Operating costs'!$B$63,E300)</f>
        <v>46298</v>
      </c>
      <c r="AL300" s="1">
        <f>IFERROR(IF(D300="EV",INDEX(Products!$B$7:$B$13,MATCH('Replacement plan'!$B$80,Products!$A$7:$A$13,0)),0),"n.a.")</f>
        <v>0</v>
      </c>
      <c r="AM300" s="1" t="str">
        <f>'Replacement plan'!$K$80</f>
        <v>DC</v>
      </c>
      <c r="AN300" s="1" t="str">
        <f>'Replacement plan'!$AE$80</f>
        <v>Assumed</v>
      </c>
      <c r="AO300" s="47">
        <f>IF(AND(C300=1,D300="EV",E300&lt;120),(R300-'Operating costs'!$B$41)*S300+W300*'Operating costs'!$B$12,0)</f>
        <v>0</v>
      </c>
      <c r="AP300" s="41">
        <f>IF(AND(C300=1,D300="EV",E300&lt;120),IF('Operating costs'!$B$68="Hong Seh 200k average",AO300*IFERROR(INDEX(Products!$P$7:$P$13,MATCH(AD300,Products!$A$7:$A$13,0)),"n.a."),'Operating costs'!$B$26),0)</f>
        <v>0</v>
      </c>
      <c r="AQ300" s="40" t="str">
        <f>IF(D300="EV",'Operating costs'!$B$68,"Not applicable")</f>
        <v>Not applicable</v>
      </c>
    </row>
    <row r="301" spans="1:43" ht="24" customHeight="1">
      <c r="A301" s="1" t="str">
        <f>'Replacement plan'!A80</f>
        <v>T074</v>
      </c>
      <c r="B301" s="1">
        <v>2</v>
      </c>
      <c r="C301" s="1">
        <f>IF(COUNTIFS('Fleet register'!$A$7:$A$106,$A301)=1,VLOOKUP($A301,'Fleet register'!$A$7:$S$106,2,FALSE),0)</f>
        <v>0</v>
      </c>
      <c r="D301" s="1" t="str">
        <f>IF('Replacement plan'!$O$80="EV","EV","ICE")</f>
        <v>ICE</v>
      </c>
      <c r="E301" s="1">
        <f>IF(C301=0,0,IF('Replacement plan'!$P$80="",IF('Replacement plan'!$O$80="Keep ICE",IF('Replacement plan'!$M$80="",VLOOKUP($A301,'Fleet register'!$A$7:$S$106,10,FALSE),'Replacement plan'!$M$80),0),'Replacement plan'!$P$80))</f>
        <v>0</v>
      </c>
      <c r="F301" s="16">
        <f>IF(C301=0,0,VLOOKUP($A301,'Fleet register'!$A$7:$S$106,11,FALSE))</f>
        <v>0</v>
      </c>
      <c r="G301" s="16">
        <f>IFERROR(IF(C301=0,0,IF(E301=120,0,IF(D301="ICE",'Replacement plan'!$C$80,IF('Replacement plan'!$D$80="",INDEX(Products!$I$7:$I$13,MATCH('Replacement plan'!$B$80,Products!$A$7:$A$13,0))+'Operating costs'!$B$57,'Replacement plan'!$D$80))*(1+'Operating costs'!$B$50)^(E301/12))),"n.a.")</f>
        <v>0</v>
      </c>
      <c r="H301" s="16">
        <f>IFERROR(IF(C301=0,0,IF('Replacement plan'!$U$80&lt;&gt;"",'Replacement plan'!$U$80,IF(E301=0,F301,VLOOKUP($A301,'Fleet register'!$A$7:$S$106,12,FALSE)+VLOOKUP($A301,'Fleet register'!$A$7:$S$106,13,FALSE)*MAX(0,VLOOKUP($A301,'Fleet register'!$A$7:$S$106,10,FALSE)-E301)/VLOOKUP($A301,'Fleet register'!$A$7:$S$106,14,FALSE)))),"n.a.")</f>
        <v>0</v>
      </c>
      <c r="I301" s="16">
        <f>IF(C301=0,0,IF(E301=120,0,'Replacement plan'!$Q$80))</f>
        <v>0</v>
      </c>
      <c r="J301" s="16">
        <f>IF(C301=0,0,IF(P301="Complete",((S301*(R301-'Operating costs'!$B$39))+ROUNDUP(S301*(R301-'Operating costs'!$B$39)*IF('Replacement plan'!$AG$80="",'Operating costs'!$B$7,'Replacement plan'!$AG$80)/('Operating costs'!$B$8-'Operating costs'!$B$9*IF('Replacement plan'!$AG$80="",'Operating costs'!$B$7,'Replacement plan'!$AG$80)),0)*'Operating costs'!$B$9)*IF('Replacement plan'!$AG$80="",'Operating costs'!$B$7,'Replacement plan'!$AG$80)*('Energy and charging'!$B$9*'Energy and charging'!$B$7+(1-'Energy and charging'!$B$9)*'Energy and charging'!$B$8)*'Operating costs'!$B$23,"n.a."))</f>
        <v>0</v>
      </c>
      <c r="K301" s="16">
        <f>IF(C301=0,0,IF(P301="Complete",SUM('Operating costs'!$B$24,'Operating costs'!$B$27,'Operating costs'!$B$29,'Operating costs'!$B$31,'Operating costs'!$B$33,'Operating costs'!$B$34,'Operating costs'!$B$37,'Replacement plan'!$W$80)+'Operating costs'!$B$39*'Operating costs'!$B$42+ROUNDUP(S301*(R301-'Operating costs'!$B$39)*IF('Replacement plan'!$AG$80="",'Operating costs'!$B$7,'Replacement plan'!$AG$80)/('Operating costs'!$B$8-'Operating costs'!$B$9*IF('Replacement plan'!$AG$80="",'Operating costs'!$B$7,'Replacement plan'!$AG$80)),0)*('Operating costs'!$B$9/'Operating costs'!$B$11+'Operating costs'!$B$10/60)*'Operating costs'!$B$19*'Operating costs'!$B$21,"n.a."))</f>
        <v>0</v>
      </c>
      <c r="L301" s="16">
        <f>IF(C301=0,0,IF(P301="Complete",IF(D301="EV",X301*((1-T301)*'Energy and charging'!$B$10+T301*'Energy and charging'!$B$11)*'Operating costs'!$B$22,AA301*('Energy and charging'!$B$9*'Energy and charging'!$B$7+(1-'Energy and charging'!$B$9)*'Energy and charging'!$B$8)*'Operating costs'!$B$23),"n.a."))</f>
        <v>0</v>
      </c>
      <c r="M301" s="37">
        <f>IF(C301=0,0,IF(P301="Complete",IF(D301="ICE",SUM('Operating costs'!$B$25,'Operating costs'!$B$27,'Operating costs'!$B$29,'Operating costs'!$B$31,'Operating costs'!$B$33,'Operating costs'!$B$35,'Operating costs'!$B$37,'Replacement plan'!$X$80)+'Operating costs'!$B$40*'Operating costs'!$B$42+ROUNDUP(S301*(R301-'Operating costs'!$B$40)*IF('Replacement plan'!$AH$80="",'Operating costs'!$B$7,'Replacement plan'!$AH$80)/('Operating costs'!$B$8-'Operating costs'!$B$9*IF('Replacement plan'!$AH$80="",'Operating costs'!$B$7,'Replacement plan'!$AH$80)),0)*('Operating costs'!$B$9/'Operating costs'!$B$11+'Operating costs'!$B$10/60)*'Operating costs'!$B$19*'Operating costs'!$B$21,SUM(AP301,'Operating costs'!$B$28,'Operating costs'!$B$30,'Operating costs'!$B$32,'Operating costs'!$B$33,'Operating costs'!$B$36,'Operating costs'!$B$38,'Replacement plan'!$Y$80)+'Operating costs'!$B$41*'Operating costs'!$B$43+W301*'Operating costs'!$B$15+(T301*X301/'Replacement plan'!$L$80+W301*('Operating costs'!$B$12/'Operating costs'!$B$11+('Operating costs'!$B$13+'Operating costs'!$B$14)/60)+(R301-'Operating costs'!$B$41)*(IF(T301&lt;1,'Operating costs'!$B$16,0)+'Operating costs'!$B$17)/60)*'Operating costs'!$B$19*'Operating costs'!$B$20),"n.a."))</f>
        <v>0</v>
      </c>
      <c r="N301" s="16">
        <f>IF(AND(C301=1,D301="EV",E301&lt;120,E301+'Replacement plan'!$AA$80&lt;=120),'Replacement plan'!$Z$80,0)</f>
        <v>0</v>
      </c>
      <c r="O301" s="1">
        <f>E301+'Replacement plan'!$AA$80</f>
        <v>0</v>
      </c>
      <c r="P301" s="35" t="str">
        <f>IFERROR(IF(C301=0,"Excluded",IF(OR(COUNTIFS('Fleet register'!$A$7:$A$106,A301)&lt;&gt;1,COUNTIFS('Replacement plan'!$A$7:$A$106,A301)&lt;&gt;1),"Duplicate/missing ID",IF(NOT(AND(ISNUMBER(VLOOKUP($A301,'Fleet register'!$A$7:$S$106,5,FALSE)),ISNUMBER(VLOOKUP($A301,'Fleet register'!$A$7:$S$106,6,FALSE)),ISNUMBER(VLOOKUP($A301,'Fleet register'!$A$7:$S$106,10,FALSE)),ISNUMBER(VLOOKUP($A301,'Fleet register'!$A$7:$S$106,11,FALSE)),ISNUMBER(VLOOKUP($A301,'Fleet register'!$A$7:$S$106,12,FALSE)),ISNUMBER(VLOOKUP($A301,'Fleet register'!$A$7:$S$106,13,FALSE)),ISNUMBER(VLOOKUP($A301,'Fleet register'!$A$7:$S$106,14,FALSE)),VLOOKUP($A301,'Fleet register'!$A$7:$S$106,14,FALSE)&gt;0,ISNUMBER('Replacement plan'!$C$80),OR(E301=120,ISNUMBER('Replacement plan'!$Q$80)),ISNUMBER(E301))),"Missing vehicle input",IF(OR(E301&lt;0,E301&gt;VLOOKUP($A301,'Fleet register'!$A$7:$S$106,10,FALSE),E301&gt;120,E301&lt;&gt;INT(E301),VLOOKUP($A301,'Fleet register'!$A$7:$S$106,6,FALSE)&lt;=0,VLOOKUP($A301,'Fleet register'!$A$7:$S$106,6,FALSE)&gt;366,VLOOKUP($A301,'Fleet register'!$A$7:$S$106,5,FALSE)&lt;0,VLOOKUP($A301,'Fleet register'!$A$7:$S$106,11,FALSE)&lt;0,I301&lt;0,'Operating costs'!$B$8&lt;='Operating costs'!$B$7*'Operating costs'!$B$9,'Operating costs'!$B$11&lt;=0,'Operating costs'!$B$39&gt;R301,'Operating costs'!$B$40&gt;R301,'Operating costs'!$B$41&gt;R301,NOT(OR('Replacement plan'!$O$80="Keep ICE",'Replacement plan'!$O$80="New ICE",'Replacement plan'!$O$80="EV"))),"Invalid vehicle input",IF(AND(D301="EV",E301&lt;120,OR(NOT(ISNUMBER(U301)),NOT(ISNUMBER(V301)),V301&lt;=0,T301&lt;0,T301&gt;1,'Replacement plan'!$L$80&lt;=0,'Operating costs'!$B$44&lt;0,'Operating costs'!$B$44&gt;=1,'Operating costs'!$B$47&lt;=0,'Operating costs'!$B$47&gt;1,V301*'Operating costs'!$B$47/(1-'Operating costs'!$B$44)&lt;=T301*'Operating costs'!$B$12*U301,AND('Replacement plan'!$Z$80&gt;0,OR('Replacement plan'!$AB$80&lt;&gt;"Yes",'Operating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charging'!$B$8&gt;=0))),ISNUMBER(VLOOKUP($A301,'Fleet register'!$A$7:$S$106,15,FALSE)),ISNUMBER(VLOOKUP($A301,'Fleet register'!$A$7:$S$106,16,FALSE)),ISNUMBER('Replacement plan'!$W$80),ISNUMBER('Replacement plan'!$X$80),OR(E301=120,AND(ISNUMBER(G301),G301&gt;=0)),ISNUMBER(H301),H301&gt;=0,OR(D301&lt;&gt;"EV",E301=120,AND(ISNUMBER('Operating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average",ISNUMBER(IFERROR(INDEX(Products!$P$7:$P$13,MATCH(AD301,Products!$A$7:$A$13,0)),"")))),ISNUMBER('Operating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plan'!$Y$80),ISNUMBER('Replacement plan'!$Z$80),'Replacement plan'!$Z$80&gt;=0,ISNUMBER('Replacement plan'!$AA$80),'Replacement plan'!$AA$80&gt;=0,'Replacement plan'!$AA$80=INT('Replacement plan'!$AA$80),ISNUMBER('Replacement plan'!$L$80))),'Operating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plan'!$AG$80="",'Operating costs'!$B$7,'Replacement plan'!$AG$80)),IF('Replacement plan'!$AG$80="",'Operating costs'!$B$7,'Replacement plan'!$AG$80)&gt;=0,ISNUMBER(IF('Replacement plan'!$AH$80="",'Operating costs'!$B$7,'Replacement plan'!$AH$80)),IF('Replacement plan'!$AH$80="",'Operating costs'!$B$7,'Replacement plan'!$AH$80)&gt;=0,'Operating costs'!$B$8&gt;MAX(IF('Replacement plan'!$AG$80="",'Operating costs'!$B$7,'Replacement plan'!$AG$80),IF('Replacement plan'!$AH$80="",'Operating costs'!$B$7,'Replacement plan'!$AH$80))*'Operating costs'!$B$9),IF(AND(VLOOKUP($A301,'Fleet register'!$A$7:$S$106,10,FALSE)&gt;=0,VLOOKUP($A301,'Fleet register'!$A$7:$S$106,10,FALSE)&lt;=120,VLOOKUP($A301,'Fleet register'!$A$7:$S$106,10,FALSE)=INT(VLOOKUP($A301,'Fleet register'!$A$7:$S$106,10,FALSE)),VLOOKUP($A301,'Fleet register'!$A$7:$S$106,15,FALSE)&gt;=0,VLOOKUP($A301,'Fleet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costs'!$B$67)&gt;=0,OR(D301&lt;&gt;"EV",E301=120,AND(MIN('Operating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01" s="1" t="str">
        <f>IF(C301=0,"Excluded",IF(P301&lt;&gt;"Complete",P301,IF(OR('Replacement plan'!$AD$80&lt;120-E301,AND(D301="EV",E301&lt;120,OR('Replacement plan'!$AC$80&lt;120-E301,'Replacement plan'!$I$80="No",AND(ISNUMBER(AF301),AE301&gt;AF301),AI301&gt;V301*(1-'Operating costs'!$B$46)^MAX(0,AB301-1)*(1-'Operating costs'!$B$45),AC301&gt;'Operating costs'!$B$18,AND(T301&lt;1,OR(AG301&lt;=0,AND(ISNUMBER(AH301),AG301&gt;AH301))),'Replacement plan'!$L$80&gt;INDEX(Products!$H$7:$H$13,MATCH('Replacement plan'!$B$80,Products!$A$7:$A$13,0))))),"Fails entered limits",IF(AND(D301="EV",E301&lt;120,OR(NOT(ISNUMBER(VLOOKUP($A301,'Fleet register'!$A$7:$S$106,7,FALSE))),NOT(ISNUMBER(VLOOKUP($A301,'Fleet register'!$A$7:$S$106,8,FALSE))),NOT(ISNUMBER(AF301)),'Replacement plan'!$I$80&lt;&gt;"Yes",NOT(ISNUMBER(AH301)),'Operating costs'!$B$59&lt;&gt;"Yes",'Operating costs'!$B$58&lt;&gt;"Yes")),"Unverified","Within entered limits"))))</f>
        <v>Excluded</v>
      </c>
      <c r="R301" s="1">
        <f>IF(C301=0,0,VLOOKUP($A301,'Fleet register'!$A$7:$S$106,6,FALSE))</f>
        <v>0</v>
      </c>
      <c r="S301" s="1">
        <f>IF(C301=0,0,VLOOKUP($A301,'Fleet register'!$A$7:$S$106,5,FALSE))</f>
        <v>0</v>
      </c>
      <c r="T301" s="1">
        <f>IF(D301="EV",'Energy and charging'!$B$12,0)</f>
        <v>0</v>
      </c>
      <c r="U301" s="1">
        <f>IFERROR(IF(C301=0,0,IF(D301="EV",IF('Replacement plan'!$F$80="",INDEX(Products!$E$7:$E$13,MATCH('Replacement plan'!$B$80,Products!$A$7:$A$13,0)),'Replacement plan'!$F$80)/IF('Replacement plan'!$G$80="Battery",1-'Operating costs'!$B$44,1),0)),"n.a.")</f>
        <v>0</v>
      </c>
      <c r="V301" s="1">
        <f>IFERROR(IF(C301=0,0,IF(D301="EV",IF('Replacement plan'!$E$80="",INDEX(Products!$D$7:$D$13,MATCH('Replacement plan'!$B$80,Products!$A$7:$A$13,0)),'Replacement plan'!$E$80),0)),"n.a.")</f>
        <v>0</v>
      </c>
      <c r="W301" s="1">
        <f>IF(C301=0,0,IF(AND(P301="Complete",D301="EV",E301&lt;120),IF(T301=0,0,ROUNDUP(T301*(R301-'Operating costs'!$B$41)*(S301*U301+'Operating costs'!$B$48/(1-'Operating costs'!$B$44))/(V301*'Operating costs'!$B$47/(1-'Operating costs'!$B$44)-T301*'Operating costs'!$B$12*U301),0)),0))</f>
        <v>0</v>
      </c>
      <c r="X301" s="1">
        <f>IF(C301=0,0,IF(AND(P301="Complete",D301="EV",E301&lt;120),(R301-'Operating costs'!$B$41)*(S301*U301+'Operating costs'!$B$48/(1-'Operating costs'!$B$44))+W301*'Operating costs'!$B$12*U301,0))</f>
        <v>0</v>
      </c>
      <c r="Y301" s="1">
        <f>IF(AND(C301=1,D301="EV",E301&lt;120),AI301/(1-'Operating costs'!$B$44)*(1-T301),0)</f>
        <v>0</v>
      </c>
      <c r="Z301" s="1">
        <f t="shared" si="8"/>
        <v>0</v>
      </c>
      <c r="AA301" s="1">
        <f>IF(C301=0,0,IF(P301="Complete",((S301*(R301-'Operating costs'!$B$40))+ROUNDUP(S301*(R301-'Operating costs'!$B$40)*IF('Replacement plan'!$AH$80="",'Operating costs'!$B$7,'Replacement plan'!$AH$80)/('Operating costs'!$B$8-'Operating costs'!$B$9*IF('Replacement plan'!$AH$80="",'Operating costs'!$B$7,'Replacement plan'!$AH$80)),0)*'Operating costs'!$B$9)*IF('Replacement plan'!$AH$80="",'Operating costs'!$B$7,'Replacement plan'!$AH$80),"n.a."))</f>
        <v>0</v>
      </c>
      <c r="AB301" s="1">
        <f t="shared" si="9"/>
        <v>0</v>
      </c>
      <c r="AC301" s="1">
        <f>IF(AND(C301=1,D301="EV",E301&lt;120,T301&gt;0),'Operating costs'!$B$12/'Operating costs'!$B$11*60+'Operating costs'!$B$13+'Operating costs'!$B$14+V301*'Operating costs'!$B$47/(1-'Operating costs'!$B$44)/'Replacement plan'!$L$80*60,0)</f>
        <v>0</v>
      </c>
      <c r="AD301" s="1" t="str">
        <f>'Replacement plan'!$B$80</f>
        <v>ChengLong L2EV</v>
      </c>
      <c r="AE301" s="1">
        <f>IF(C301=0,0,VLOOKUP($A301,'Fleet register'!$A$7:$S$106,8,FALSE))</f>
        <v>0</v>
      </c>
      <c r="AF301" s="1" t="str">
        <f>IF('Replacement plan'!$H$80="","n.a.",'Replacement plan'!$H$80)</f>
        <v>n.a.</v>
      </c>
      <c r="AG301" s="1">
        <f>'Replacement plan'!$J$80</f>
        <v>22</v>
      </c>
      <c r="AH301" s="1">
        <f>IFERROR(IF(D301="EV",IF('Replacement plan'!$K$80="AC",IF(ISNUMBER(INDEX(Products!$G$7:$G$13,MATCH('Replacement plan'!$B$80,Products!$A$7:$A$13,0))),INDEX(Products!$G$7:$G$13,MATCH('Replacement plan'!$B$80,Products!$A$7:$A$13,0)),"n.a."),IF(ISNUMBER(INDEX(Products!$H$7:$H$13,MATCH('Replacement plan'!$B$80,Products!$A$7:$A$13,0))),INDEX(Products!$H$7:$H$13,MATCH('Replacement plan'!$B$80,Products!$A$7:$A$13,0)),"n.a.")),0),"n.a.")</f>
        <v>0</v>
      </c>
      <c r="AI301" s="1">
        <f>IF(AND(C301=1,D301="EV",E301&lt;120),(VLOOKUP($A301,'Fleet register'!$A$7:$S$106,7,FALSE)+IF(T301&gt;0,'Operating costs'!$B$12,0))*U301*(1-'Operating costs'!$B$44)+'Operating costs'!$B$49,0)</f>
        <v>0</v>
      </c>
      <c r="AJ301" s="1">
        <f>IF(D301="EV",'Energy and charging'!$B$50,0)</f>
        <v>0</v>
      </c>
      <c r="AK301" s="17">
        <f>EDATE('Operating costs'!$B$63,E301)</f>
        <v>46298</v>
      </c>
      <c r="AL301" s="1">
        <f>IFERROR(IF(D301="EV",INDEX(Products!$B$7:$B$13,MATCH('Replacement plan'!$B$80,Products!$A$7:$A$13,0)),0),"n.a.")</f>
        <v>0</v>
      </c>
      <c r="AM301" s="1" t="str">
        <f>'Replacement plan'!$K$80</f>
        <v>DC</v>
      </c>
      <c r="AN301" s="1" t="str">
        <f>'Replacement plan'!$AE$80</f>
        <v>Assumed</v>
      </c>
      <c r="AO301" s="47">
        <f>IF(AND(C301=1,D301="EV",E301&lt;120),(R301-'Operating costs'!$B$41)*S301+W301*'Operating costs'!$B$12,0)</f>
        <v>0</v>
      </c>
      <c r="AP301" s="41">
        <f>IF(AND(C301=1,D301="EV",E301&lt;120),IF('Operating costs'!$B$68="Hong Seh 200k average",AO301*IFERROR(INDEX(Products!$P$7:$P$13,MATCH(AD301,Products!$A$7:$A$13,0)),"n.a."),'Operating costs'!$B$26),0)</f>
        <v>0</v>
      </c>
      <c r="AQ301" s="40" t="str">
        <f>IF(D301="EV",'Operating costs'!$B$68,"Not applicable")</f>
        <v>Not applicable</v>
      </c>
    </row>
    <row r="302" spans="1:43" ht="24" customHeight="1">
      <c r="A302" s="1" t="str">
        <f>'Replacement plan'!A80</f>
        <v>T074</v>
      </c>
      <c r="B302" s="1">
        <v>3</v>
      </c>
      <c r="C302" s="1">
        <f>IF(COUNTIFS('Fleet register'!$A$7:$A$106,$A302)=1,VLOOKUP($A302,'Fleet register'!$A$7:$S$106,2,FALSE),0)</f>
        <v>0</v>
      </c>
      <c r="D302" s="1" t="str">
        <f>IF('Replacement plan'!$R$80="EV","EV","ICE")</f>
        <v>ICE</v>
      </c>
      <c r="E302" s="1">
        <f>IF(C302=0,0,IF('Replacement plan'!$S$80="",IF('Replacement plan'!$R$80="Keep ICE",IF('Replacement plan'!$M$80="",VLOOKUP($A302,'Fleet register'!$A$7:$S$106,10,FALSE),'Replacement plan'!$M$80),0),'Replacement plan'!$S$80))</f>
        <v>0</v>
      </c>
      <c r="F302" s="16">
        <f>IF(C302=0,0,VLOOKUP($A302,'Fleet register'!$A$7:$S$106,11,FALSE))</f>
        <v>0</v>
      </c>
      <c r="G302" s="16">
        <f>IFERROR(IF(C302=0,0,IF(E302=120,0,IF(D302="ICE",'Replacement plan'!$C$80,IF('Replacement plan'!$D$80="",INDEX(Products!$I$7:$I$13,MATCH('Replacement plan'!$B$80,Products!$A$7:$A$13,0))+'Operating costs'!$B$57,'Replacement plan'!$D$80))*(1+'Operating costs'!$B$50)^(E302/12))),"n.a.")</f>
        <v>0</v>
      </c>
      <c r="H302" s="16">
        <f>IFERROR(IF(C302=0,0,IF('Replacement plan'!$V$80&lt;&gt;"",'Replacement plan'!$V$80,IF(E302=0,F302,VLOOKUP($A302,'Fleet register'!$A$7:$S$106,12,FALSE)+VLOOKUP($A302,'Fleet register'!$A$7:$S$106,13,FALSE)*MAX(0,VLOOKUP($A302,'Fleet register'!$A$7:$S$106,10,FALSE)-E302)/VLOOKUP($A302,'Fleet register'!$A$7:$S$106,14,FALSE)))),"n.a.")</f>
        <v>0</v>
      </c>
      <c r="I302" s="16">
        <f>IF(C302=0,0,IF(E302=120,0,'Replacement plan'!$T$80))</f>
        <v>0</v>
      </c>
      <c r="J302" s="16">
        <f>IF(C302=0,0,IF(P302="Complete",((S302*(R302-'Operating costs'!$B$39))+ROUNDUP(S302*(R302-'Operating costs'!$B$39)*IF('Replacement plan'!$AG$80="",'Operating costs'!$B$7,'Replacement plan'!$AG$80)/('Operating costs'!$B$8-'Operating costs'!$B$9*IF('Replacement plan'!$AG$80="",'Operating costs'!$B$7,'Replacement plan'!$AG$80)),0)*'Operating costs'!$B$9)*IF('Replacement plan'!$AG$80="",'Operating costs'!$B$7,'Replacement plan'!$AG$80)*('Energy and charging'!$C$9*'Energy and charging'!$C$7+(1-'Energy and charging'!$C$9)*'Energy and charging'!$C$8)*'Operating costs'!$B$23,"n.a."))</f>
        <v>0</v>
      </c>
      <c r="K302" s="16">
        <f>IF(C302=0,0,IF(P302="Complete",SUM('Operating costs'!$B$24,'Operating costs'!$B$27,'Operating costs'!$B$29,'Operating costs'!$B$31,'Operating costs'!$B$33,'Operating costs'!$B$34,'Operating costs'!$B$37,'Replacement plan'!$W$80)+'Operating costs'!$B$39*'Operating costs'!$B$42+ROUNDUP(S302*(R302-'Operating costs'!$B$39)*IF('Replacement plan'!$AG$80="",'Operating costs'!$B$7,'Replacement plan'!$AG$80)/('Operating costs'!$B$8-'Operating costs'!$B$9*IF('Replacement plan'!$AG$80="",'Operating costs'!$B$7,'Replacement plan'!$AG$80)),0)*('Operating costs'!$B$9/'Operating costs'!$B$11+'Operating costs'!$B$10/60)*'Operating costs'!$B$19*'Operating costs'!$B$21,"n.a."))</f>
        <v>0</v>
      </c>
      <c r="L302" s="16">
        <f>IF(C302=0,0,IF(P302="Complete",IF(D302="EV",X302*((1-T302)*'Energy and charging'!$C$10+T302*'Energy and charging'!$C$11)*'Operating costs'!$B$22,AA302*('Energy and charging'!$C$9*'Energy and charging'!$C$7+(1-'Energy and charging'!$C$9)*'Energy and charging'!$C$8)*'Operating costs'!$B$23),"n.a."))</f>
        <v>0</v>
      </c>
      <c r="M302" s="37">
        <f>IF(C302=0,0,IF(P302="Complete",IF(D302="ICE",SUM('Operating costs'!$B$25,'Operating costs'!$B$27,'Operating costs'!$B$29,'Operating costs'!$B$31,'Operating costs'!$B$33,'Operating costs'!$B$35,'Operating costs'!$B$37,'Replacement plan'!$X$80)+'Operating costs'!$B$40*'Operating costs'!$B$42+ROUNDUP(S302*(R302-'Operating costs'!$B$40)*IF('Replacement plan'!$AH$80="",'Operating costs'!$B$7,'Replacement plan'!$AH$80)/('Operating costs'!$B$8-'Operating costs'!$B$9*IF('Replacement plan'!$AH$80="",'Operating costs'!$B$7,'Replacement plan'!$AH$80)),0)*('Operating costs'!$B$9/'Operating costs'!$B$11+'Operating costs'!$B$10/60)*'Operating costs'!$B$19*'Operating costs'!$B$21,SUM(AP302,'Operating costs'!$B$28,'Operating costs'!$B$30,'Operating costs'!$B$32,'Operating costs'!$B$33,'Operating costs'!$B$36,'Operating costs'!$B$38,'Replacement plan'!$Y$80)+'Operating costs'!$B$41*'Operating costs'!$B$43+W302*'Operating costs'!$B$15+(T302*X302/'Replacement plan'!$L$80+W302*('Operating costs'!$B$12/'Operating costs'!$B$11+('Operating costs'!$B$13+'Operating costs'!$B$14)/60)+(R302-'Operating costs'!$B$41)*(IF(T302&lt;1,'Operating costs'!$B$16,0)+'Operating costs'!$B$17)/60)*'Operating costs'!$B$19*'Operating costs'!$B$20),"n.a."))</f>
        <v>0</v>
      </c>
      <c r="N302" s="16">
        <f>IF(AND(C302=1,D302="EV",E302&lt;120,E302+'Replacement plan'!$AA$80&lt;=120),'Replacement plan'!$Z$80,0)</f>
        <v>0</v>
      </c>
      <c r="O302" s="1">
        <f>E302+'Replacement plan'!$AA$80</f>
        <v>0</v>
      </c>
      <c r="P302" s="35" t="str">
        <f>IFERROR(IF(C302=0,"Excluded",IF(OR(COUNTIFS('Fleet register'!$A$7:$A$106,A302)&lt;&gt;1,COUNTIFS('Replacement plan'!$A$7:$A$106,A302)&lt;&gt;1),"Duplicate/missing ID",IF(NOT(AND(ISNUMBER(VLOOKUP($A302,'Fleet register'!$A$7:$S$106,5,FALSE)),ISNUMBER(VLOOKUP($A302,'Fleet register'!$A$7:$S$106,6,FALSE)),ISNUMBER(VLOOKUP($A302,'Fleet register'!$A$7:$S$106,10,FALSE)),ISNUMBER(VLOOKUP($A302,'Fleet register'!$A$7:$S$106,11,FALSE)),ISNUMBER(VLOOKUP($A302,'Fleet register'!$A$7:$S$106,12,FALSE)),ISNUMBER(VLOOKUP($A302,'Fleet register'!$A$7:$S$106,13,FALSE)),ISNUMBER(VLOOKUP($A302,'Fleet register'!$A$7:$S$106,14,FALSE)),VLOOKUP($A302,'Fleet register'!$A$7:$S$106,14,FALSE)&gt;0,ISNUMBER('Replacement plan'!$C$80),OR(E302=120,ISNUMBER('Replacement plan'!$T$80)),ISNUMBER(E302))),"Missing vehicle input",IF(OR(E302&lt;0,E302&gt;VLOOKUP($A302,'Fleet register'!$A$7:$S$106,10,FALSE),E302&gt;120,E302&lt;&gt;INT(E302),VLOOKUP($A302,'Fleet register'!$A$7:$S$106,6,FALSE)&lt;=0,VLOOKUP($A302,'Fleet register'!$A$7:$S$106,6,FALSE)&gt;366,VLOOKUP($A302,'Fleet register'!$A$7:$S$106,5,FALSE)&lt;0,VLOOKUP($A302,'Fleet register'!$A$7:$S$106,11,FALSE)&lt;0,I302&lt;0,'Operating costs'!$B$8&lt;='Operating costs'!$B$7*'Operating costs'!$B$9,'Operating costs'!$B$11&lt;=0,'Operating costs'!$B$39&gt;R302,'Operating costs'!$B$40&gt;R302,'Operating costs'!$B$41&gt;R302,NOT(OR('Replacement plan'!$R$80="Keep ICE",'Replacement plan'!$R$80="New ICE",'Replacement plan'!$R$80="EV"))),"Invalid vehicle input",IF(AND(D302="EV",E302&lt;120,OR(NOT(ISNUMBER(U302)),NOT(ISNUMBER(V302)),V302&lt;=0,T302&lt;0,T302&gt;1,'Replacement plan'!$L$80&lt;=0,'Operating costs'!$B$44&lt;0,'Operating costs'!$B$44&gt;=1,'Operating costs'!$B$47&lt;=0,'Operating costs'!$B$47&gt;1,V302*'Operating costs'!$B$47/(1-'Operating costs'!$B$44)&lt;=T302*'Operating costs'!$B$12*U302,AND('Replacement plan'!$Z$80&gt;0,OR('Replacement plan'!$AB$80&lt;&gt;"Yes",'Operating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charging'!$C$8&gt;=0))),ISNUMBER(VLOOKUP($A302,'Fleet register'!$A$7:$S$106,15,FALSE)),ISNUMBER(VLOOKUP($A302,'Fleet register'!$A$7:$S$106,16,FALSE)),ISNUMBER('Replacement plan'!$W$80),ISNUMBER('Replacement plan'!$X$80),OR(E302=120,AND(ISNUMBER(G302),G302&gt;=0)),ISNUMBER(H302),H302&gt;=0,OR(D302&lt;&gt;"EV",E302=120,AND(ISNUMBER('Operating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average",ISNUMBER(IFERROR(INDEX(Products!$P$7:$P$13,MATCH(AD302,Products!$A$7:$A$13,0)),"")))),ISNUMBER('Operating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plan'!$Y$80),ISNUMBER('Replacement plan'!$Z$80),'Replacement plan'!$Z$80&gt;=0,ISNUMBER('Replacement plan'!$AA$80),'Replacement plan'!$AA$80&gt;=0,'Replacement plan'!$AA$80=INT('Replacement plan'!$AA$80),ISNUMBER('Replacement plan'!$L$80))),'Operating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plan'!$AG$80="",'Operating costs'!$B$7,'Replacement plan'!$AG$80)),IF('Replacement plan'!$AG$80="",'Operating costs'!$B$7,'Replacement plan'!$AG$80)&gt;=0,ISNUMBER(IF('Replacement plan'!$AH$80="",'Operating costs'!$B$7,'Replacement plan'!$AH$80)),IF('Replacement plan'!$AH$80="",'Operating costs'!$B$7,'Replacement plan'!$AH$80)&gt;=0,'Operating costs'!$B$8&gt;MAX(IF('Replacement plan'!$AG$80="",'Operating costs'!$B$7,'Replacement plan'!$AG$80),IF('Replacement plan'!$AH$80="",'Operating costs'!$B$7,'Replacement plan'!$AH$80))*'Operating costs'!$B$9),IF(AND(VLOOKUP($A302,'Fleet register'!$A$7:$S$106,10,FALSE)&gt;=0,VLOOKUP($A302,'Fleet register'!$A$7:$S$106,10,FALSE)&lt;=120,VLOOKUP($A302,'Fleet register'!$A$7:$S$106,10,FALSE)=INT(VLOOKUP($A302,'Fleet register'!$A$7:$S$106,10,FALSE)),VLOOKUP($A302,'Fleet register'!$A$7:$S$106,15,FALSE)&gt;=0,VLOOKUP($A302,'Fleet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costs'!$B$67)&gt;=0,OR(D302&lt;&gt;"EV",E302=120,AND(MIN('Operating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02" s="1" t="str">
        <f>IF(C302=0,"Excluded",IF(P302&lt;&gt;"Complete",P302,IF(OR('Replacement plan'!$AD$80&lt;120-E302,AND(D302="EV",E302&lt;120,OR('Replacement plan'!$AC$80&lt;120-E302,'Replacement plan'!$I$80="No",AND(ISNUMBER(AF302),AE302&gt;AF302),AI302&gt;V302*(1-'Operating costs'!$B$46)^MAX(0,AB302-1)*(1-'Operating costs'!$B$45),AC302&gt;'Operating costs'!$B$18,AND(T302&lt;1,OR(AG302&lt;=0,AND(ISNUMBER(AH302),AG302&gt;AH302))),'Replacement plan'!$L$80&gt;INDEX(Products!$H$7:$H$13,MATCH('Replacement plan'!$B$80,Products!$A$7:$A$13,0))))),"Fails entered limits",IF(AND(D302="EV",E302&lt;120,OR(NOT(ISNUMBER(VLOOKUP($A302,'Fleet register'!$A$7:$S$106,7,FALSE))),NOT(ISNUMBER(VLOOKUP($A302,'Fleet register'!$A$7:$S$106,8,FALSE))),NOT(ISNUMBER(AF302)),'Replacement plan'!$I$80&lt;&gt;"Yes",NOT(ISNUMBER(AH302)),'Operating costs'!$B$59&lt;&gt;"Yes",'Operating costs'!$B$58&lt;&gt;"Yes")),"Unverified","Within entered limits"))))</f>
        <v>Excluded</v>
      </c>
      <c r="R302" s="1">
        <f>IF(C302=0,0,VLOOKUP($A302,'Fleet register'!$A$7:$S$106,6,FALSE))</f>
        <v>0</v>
      </c>
      <c r="S302" s="1">
        <f>IF(C302=0,0,VLOOKUP($A302,'Fleet register'!$A$7:$S$106,5,FALSE))</f>
        <v>0</v>
      </c>
      <c r="T302" s="1">
        <f>IF(D302="EV",'Energy and charging'!$C$12,0)</f>
        <v>0</v>
      </c>
      <c r="U302" s="1">
        <f>IFERROR(IF(C302=0,0,IF(D302="EV",IF('Replacement plan'!$F$80="",INDEX(Products!$E$7:$E$13,MATCH('Replacement plan'!$B$80,Products!$A$7:$A$13,0)),'Replacement plan'!$F$80)/IF('Replacement plan'!$G$80="Battery",1-'Operating costs'!$B$44,1),0)),"n.a.")</f>
        <v>0</v>
      </c>
      <c r="V302" s="1">
        <f>IFERROR(IF(C302=0,0,IF(D302="EV",IF('Replacement plan'!$E$80="",INDEX(Products!$D$7:$D$13,MATCH('Replacement plan'!$B$80,Products!$A$7:$A$13,0)),'Replacement plan'!$E$80),0)),"n.a.")</f>
        <v>0</v>
      </c>
      <c r="W302" s="1">
        <f>IF(C302=0,0,IF(AND(P302="Complete",D302="EV",E302&lt;120),IF(T302=0,0,ROUNDUP(T302*(R302-'Operating costs'!$B$41)*(S302*U302+'Operating costs'!$B$48/(1-'Operating costs'!$B$44))/(V302*'Operating costs'!$B$47/(1-'Operating costs'!$B$44)-T302*'Operating costs'!$B$12*U302),0)),0))</f>
        <v>0</v>
      </c>
      <c r="X302" s="1">
        <f>IF(C302=0,0,IF(AND(P302="Complete",D302="EV",E302&lt;120),(R302-'Operating costs'!$B$41)*(S302*U302+'Operating costs'!$B$48/(1-'Operating costs'!$B$44))+W302*'Operating costs'!$B$12*U302,0))</f>
        <v>0</v>
      </c>
      <c r="Y302" s="1">
        <f>IF(AND(C302=1,D302="EV",E302&lt;120),AI302/(1-'Operating costs'!$B$44)*(1-T302),0)</f>
        <v>0</v>
      </c>
      <c r="Z302" s="1">
        <f t="shared" si="8"/>
        <v>0</v>
      </c>
      <c r="AA302" s="1">
        <f>IF(C302=0,0,IF(P302="Complete",((S302*(R302-'Operating costs'!$B$40))+ROUNDUP(S302*(R302-'Operating costs'!$B$40)*IF('Replacement plan'!$AH$80="",'Operating costs'!$B$7,'Replacement plan'!$AH$80)/('Operating costs'!$B$8-'Operating costs'!$B$9*IF('Replacement plan'!$AH$80="",'Operating costs'!$B$7,'Replacement plan'!$AH$80)),0)*'Operating costs'!$B$9)*IF('Replacement plan'!$AH$80="",'Operating costs'!$B$7,'Replacement plan'!$AH$80),"n.a."))</f>
        <v>0</v>
      </c>
      <c r="AB302" s="1">
        <f t="shared" si="9"/>
        <v>0</v>
      </c>
      <c r="AC302" s="1">
        <f>IF(AND(C302=1,D302="EV",E302&lt;120,T302&gt;0),'Operating costs'!$B$12/'Operating costs'!$B$11*60+'Operating costs'!$B$13+'Operating costs'!$B$14+V302*'Operating costs'!$B$47/(1-'Operating costs'!$B$44)/'Replacement plan'!$L$80*60,0)</f>
        <v>0</v>
      </c>
      <c r="AD302" s="1" t="str">
        <f>'Replacement plan'!$B$80</f>
        <v>ChengLong L2EV</v>
      </c>
      <c r="AE302" s="1">
        <f>IF(C302=0,0,VLOOKUP($A302,'Fleet register'!$A$7:$S$106,8,FALSE))</f>
        <v>0</v>
      </c>
      <c r="AF302" s="1" t="str">
        <f>IF('Replacement plan'!$H$80="","n.a.",'Replacement plan'!$H$80)</f>
        <v>n.a.</v>
      </c>
      <c r="AG302" s="1">
        <f>'Replacement plan'!$J$80</f>
        <v>22</v>
      </c>
      <c r="AH302" s="1">
        <f>IFERROR(IF(D302="EV",IF('Replacement plan'!$K$80="AC",IF(ISNUMBER(INDEX(Products!$G$7:$G$13,MATCH('Replacement plan'!$B$80,Products!$A$7:$A$13,0))),INDEX(Products!$G$7:$G$13,MATCH('Replacement plan'!$B$80,Products!$A$7:$A$13,0)),"n.a."),IF(ISNUMBER(INDEX(Products!$H$7:$H$13,MATCH('Replacement plan'!$B$80,Products!$A$7:$A$13,0))),INDEX(Products!$H$7:$H$13,MATCH('Replacement plan'!$B$80,Products!$A$7:$A$13,0)),"n.a.")),0),"n.a.")</f>
        <v>0</v>
      </c>
      <c r="AI302" s="1">
        <f>IF(AND(C302=1,D302="EV",E302&lt;120),(VLOOKUP($A302,'Fleet register'!$A$7:$S$106,7,FALSE)+IF(T302&gt;0,'Operating costs'!$B$12,0))*U302*(1-'Operating costs'!$B$44)+'Operating costs'!$B$49,0)</f>
        <v>0</v>
      </c>
      <c r="AJ302" s="1">
        <f>IF(D302="EV",'Energy and charging'!$C$50,0)</f>
        <v>0</v>
      </c>
      <c r="AK302" s="17">
        <f>EDATE('Operating costs'!$B$63,E302)</f>
        <v>46298</v>
      </c>
      <c r="AL302" s="1">
        <f>IFERROR(IF(D302="EV",INDEX(Products!$B$7:$B$13,MATCH('Replacement plan'!$B$80,Products!$A$7:$A$13,0)),0),"n.a.")</f>
        <v>0</v>
      </c>
      <c r="AM302" s="1" t="str">
        <f>'Replacement plan'!$K$80</f>
        <v>DC</v>
      </c>
      <c r="AN302" s="1" t="str">
        <f>'Replacement plan'!$AE$80</f>
        <v>Assumed</v>
      </c>
      <c r="AO302" s="47">
        <f>IF(AND(C302=1,D302="EV",E302&lt;120),(R302-'Operating costs'!$B$41)*S302+W302*'Operating costs'!$B$12,0)</f>
        <v>0</v>
      </c>
      <c r="AP302" s="41">
        <f>IF(AND(C302=1,D302="EV",E302&lt;120),IF('Operating costs'!$B$68="Hong Seh 200k average",AO302*IFERROR(INDEX(Products!$P$7:$P$13,MATCH(AD302,Products!$A$7:$A$13,0)),"n.a."),'Operating costs'!$B$26),0)</f>
        <v>0</v>
      </c>
      <c r="AQ302" s="40" t="str">
        <f>IF(D302="EV",'Operating costs'!$B$68,"Not applicable")</f>
        <v>Not applicable</v>
      </c>
    </row>
    <row r="303" spans="1:43" ht="24" customHeight="1">
      <c r="A303" s="1" t="str">
        <f>'Replacement plan'!A81</f>
        <v>T075</v>
      </c>
      <c r="B303" s="1">
        <v>0</v>
      </c>
      <c r="C303" s="1">
        <f>IF(COUNTIFS('Fleet register'!$A$7:$A$106,$A303)=1,VLOOKUP($A303,'Fleet register'!$A$7:$S$106,2,FALSE),0)</f>
        <v>0</v>
      </c>
      <c r="D303" s="1" t="str">
        <f>IF("Keep ICE"="EV","EV","ICE")</f>
        <v>ICE</v>
      </c>
      <c r="E303" s="1">
        <f>IF(C303=0,0,IF('Replacement plan'!$M$81="",VLOOKUP($A303,'Fleet register'!$A$7:$S$106,10,FALSE),'Replacement plan'!$M$81))</f>
        <v>0</v>
      </c>
      <c r="F303" s="16">
        <f>IF(C303=0,0,VLOOKUP($A303,'Fleet register'!$A$7:$S$106,11,FALSE))</f>
        <v>0</v>
      </c>
      <c r="G303" s="16">
        <f>IFERROR(IF(C303=0,0,IF(E303=120,0,IF(D303="ICE",'Replacement plan'!$C$81,IF('Replacement plan'!$D$81="",INDEX(Products!$I$7:$I$13,MATCH('Replacement plan'!$B$81,Products!$A$7:$A$13,0))+'Operating costs'!$B$57,'Replacement plan'!$D$81))*(1+'Operating costs'!$B$50)^(E303/12))),"n.a.")</f>
        <v>0</v>
      </c>
      <c r="H303" s="16">
        <f>IFERROR(IF(C303=0,0,IF(E303=0,F303,VLOOKUP($A303,'Fleet register'!$A$7:$S$106,12,FALSE)+VLOOKUP($A303,'Fleet register'!$A$7:$S$106,13,FALSE)*MAX(0,VLOOKUP($A303,'Fleet register'!$A$7:$S$106,10,FALSE)-E303)/VLOOKUP($A303,'Fleet register'!$A$7:$S$106,14,FALSE))),"n.a.")</f>
        <v>0</v>
      </c>
      <c r="I303" s="16">
        <f>IF(C303=0,0,IF(E303=120,0,'Replacement plan'!$N$81))</f>
        <v>0</v>
      </c>
      <c r="J303" s="16">
        <f>IF(C303=0,0,IF(P303="Complete",((S303*(R303-'Operating costs'!$B$39))+ROUNDUP(S303*(R303-'Operating costs'!$B$39)*IF('Replacement plan'!$AG$81="",'Operating costs'!$B$7,'Replacement plan'!$AG$81)/('Operating costs'!$B$8-'Operating costs'!$B$9*IF('Replacement plan'!$AG$81="",'Operating costs'!$B$7,'Replacement plan'!$AG$81)),0)*'Operating costs'!$B$9)*IF('Replacement plan'!$AG$81="",'Operating costs'!$B$7,'Replacement plan'!$AG$81)*('Energy and charging'!$B$9*'Energy and charging'!$B$7+(1-'Energy and charging'!$B$9)*'Energy and charging'!$B$8)*'Operating costs'!$B$23,"n.a."))</f>
        <v>0</v>
      </c>
      <c r="K303" s="16">
        <f>IF(C303=0,0,IF(P303="Complete",SUM('Operating costs'!$B$24,'Operating costs'!$B$27,'Operating costs'!$B$29,'Operating costs'!$B$31,'Operating costs'!$B$33,'Operating costs'!$B$34,'Operating costs'!$B$37,'Replacement plan'!$W$81)+'Operating costs'!$B$39*'Operating costs'!$B$42+ROUNDUP(S303*(R303-'Operating costs'!$B$39)*IF('Replacement plan'!$AG$81="",'Operating costs'!$B$7,'Replacement plan'!$AG$81)/('Operating costs'!$B$8-'Operating costs'!$B$9*IF('Replacement plan'!$AG$81="",'Operating costs'!$B$7,'Replacement plan'!$AG$81)),0)*('Operating costs'!$B$9/'Operating costs'!$B$11+'Operating costs'!$B$10/60)*'Operating costs'!$B$19*'Operating costs'!$B$21,"n.a."))</f>
        <v>0</v>
      </c>
      <c r="L303" s="16">
        <f>IF(C303=0,0,IF(P303="Complete",IF(D303="EV",X303*((1-T303)*'Energy and charging'!$B$10+T303*'Energy and charging'!$B$11)*'Operating costs'!$B$22,AA303*('Energy and charging'!$B$9*'Energy and charging'!$B$7+(1-'Energy and charging'!$B$9)*'Energy and charging'!$B$8)*'Operating costs'!$B$23),"n.a."))</f>
        <v>0</v>
      </c>
      <c r="M303" s="37">
        <f>IF(C303=0,0,IF(P303="Complete",IF(D303="ICE",SUM('Operating costs'!$B$25,'Operating costs'!$B$27,'Operating costs'!$B$29,'Operating costs'!$B$31,'Operating costs'!$B$33,'Operating costs'!$B$35,'Operating costs'!$B$37,'Replacement plan'!$X$81)+'Operating costs'!$B$40*'Operating costs'!$B$42+ROUNDUP(S303*(R303-'Operating costs'!$B$40)*IF('Replacement plan'!$AH$81="",'Operating costs'!$B$7,'Replacement plan'!$AH$81)/('Operating costs'!$B$8-'Operating costs'!$B$9*IF('Replacement plan'!$AH$81="",'Operating costs'!$B$7,'Replacement plan'!$AH$81)),0)*('Operating costs'!$B$9/'Operating costs'!$B$11+'Operating costs'!$B$10/60)*'Operating costs'!$B$19*'Operating costs'!$B$21,SUM(AP303,'Operating costs'!$B$28,'Operating costs'!$B$30,'Operating costs'!$B$32,'Operating costs'!$B$33,'Operating costs'!$B$36,'Operating costs'!$B$38,'Replacement plan'!$Y$81)+'Operating costs'!$B$41*'Operating costs'!$B$43+W303*'Operating costs'!$B$15+(T303*X303/'Replacement plan'!$L$81+W303*('Operating costs'!$B$12/'Operating costs'!$B$11+('Operating costs'!$B$13+'Operating costs'!$B$14)/60)+(R303-'Operating costs'!$B$41)*(IF(T303&lt;1,'Operating costs'!$B$16,0)+'Operating costs'!$B$17)/60)*'Operating costs'!$B$19*'Operating costs'!$B$20),"n.a."))</f>
        <v>0</v>
      </c>
      <c r="N303" s="16">
        <f>IF(AND(C303=1,D303="EV",E303&lt;120,E303+'Replacement plan'!$AA$81&lt;=120),'Replacement plan'!$Z$81,0)</f>
        <v>0</v>
      </c>
      <c r="O303" s="1">
        <f>E303+'Replacement plan'!$AA$81</f>
        <v>0</v>
      </c>
      <c r="P303" s="35" t="str">
        <f>IFERROR(IF(C303=0,"Excluded",IF(OR(COUNTIFS('Fleet register'!$A$7:$A$106,A303)&lt;&gt;1,COUNTIFS('Replacement plan'!$A$7:$A$106,A303)&lt;&gt;1),"Duplicate/missing ID",IF(NOT(AND(ISNUMBER(VLOOKUP($A303,'Fleet register'!$A$7:$S$106,5,FALSE)),ISNUMBER(VLOOKUP($A303,'Fleet register'!$A$7:$S$106,6,FALSE)),ISNUMBER(VLOOKUP($A303,'Fleet register'!$A$7:$S$106,10,FALSE)),ISNUMBER(VLOOKUP($A303,'Fleet register'!$A$7:$S$106,11,FALSE)),ISNUMBER(VLOOKUP($A303,'Fleet register'!$A$7:$S$106,12,FALSE)),ISNUMBER(VLOOKUP($A303,'Fleet register'!$A$7:$S$106,13,FALSE)),ISNUMBER(VLOOKUP($A303,'Fleet register'!$A$7:$S$106,14,FALSE)),VLOOKUP($A303,'Fleet register'!$A$7:$S$106,14,FALSE)&gt;0,ISNUMBER('Replacement plan'!$C$81),OR(E303=120,ISNUMBER('Replacement plan'!$N$81)),ISNUMBER(E303))),"Missing vehicle input",IF(OR(E303&lt;0,E303&gt;VLOOKUP($A303,'Fleet register'!$A$7:$S$106,10,FALSE),E303&gt;120,E303&lt;&gt;INT(E303),VLOOKUP($A303,'Fleet register'!$A$7:$S$106,6,FALSE)&lt;=0,VLOOKUP($A303,'Fleet register'!$A$7:$S$106,6,FALSE)&gt;366,VLOOKUP($A303,'Fleet register'!$A$7:$S$106,5,FALSE)&lt;0,VLOOKUP($A303,'Fleet register'!$A$7:$S$106,11,FALSE)&lt;0,I303&lt;0,'Operating costs'!$B$8&lt;='Operating costs'!$B$7*'Operating costs'!$B$9,'Operating costs'!$B$11&lt;=0,'Operating costs'!$B$39&gt;R303,'Operating costs'!$B$40&gt;R303,'Operating costs'!$B$41&gt;R303,NOT(OR("Keep ICE"="Keep ICE","Keep ICE"="New ICE","Keep ICE"="EV"))),"Invalid vehicle input",IF(AND(D303="EV",E303&lt;120,OR(NOT(ISNUMBER(U303)),NOT(ISNUMBER(V303)),V303&lt;=0,T303&lt;0,T303&gt;1,'Replacement plan'!$L$81&lt;=0,'Operating costs'!$B$44&lt;0,'Operating costs'!$B$44&gt;=1,'Operating costs'!$B$47&lt;=0,'Operating costs'!$B$47&gt;1,V303*'Operating costs'!$B$47/(1-'Operating costs'!$B$44)&lt;=T303*'Operating costs'!$B$12*U303,AND('Replacement plan'!$Z$81&gt;0,OR('Replacement plan'!$AB$81&lt;&gt;"Yes",'Operating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charging'!$B$8&gt;=0))),ISNUMBER(VLOOKUP($A303,'Fleet register'!$A$7:$S$106,15,FALSE)),ISNUMBER(VLOOKUP($A303,'Fleet register'!$A$7:$S$106,16,FALSE)),ISNUMBER('Replacement plan'!$W$81),ISNUMBER('Replacement plan'!$X$81),OR(E303=120,AND(ISNUMBER(G303),G303&gt;=0)),ISNUMBER(H303),H303&gt;=0,OR(D303&lt;&gt;"EV",E303=120,AND(ISNUMBER('Operating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average",ISNUMBER(IFERROR(INDEX(Products!$P$7:$P$13,MATCH(AD303,Products!$A$7:$A$13,0)),"")))),ISNUMBER('Operating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plan'!$Y$81),ISNUMBER('Replacement plan'!$Z$81),'Replacement plan'!$Z$81&gt;=0,ISNUMBER('Replacement plan'!$AA$81),'Replacement plan'!$AA$81&gt;=0,'Replacement plan'!$AA$81=INT('Replacement plan'!$AA$81),ISNUMBER('Replacement plan'!$L$81))),'Operating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plan'!$AG$81="",'Operating costs'!$B$7,'Replacement plan'!$AG$81)),IF('Replacement plan'!$AG$81="",'Operating costs'!$B$7,'Replacement plan'!$AG$81)&gt;=0,ISNUMBER(IF('Replacement plan'!$AH$81="",'Operating costs'!$B$7,'Replacement plan'!$AH$81)),IF('Replacement plan'!$AH$81="",'Operating costs'!$B$7,'Replacement plan'!$AH$81)&gt;=0,'Operating costs'!$B$8&gt;MAX(IF('Replacement plan'!$AG$81="",'Operating costs'!$B$7,'Replacement plan'!$AG$81),IF('Replacement plan'!$AH$81="",'Operating costs'!$B$7,'Replacement plan'!$AH$81))*'Operating costs'!$B$9),IF(AND(VLOOKUP($A303,'Fleet register'!$A$7:$S$106,10,FALSE)&gt;=0,VLOOKUP($A303,'Fleet register'!$A$7:$S$106,10,FALSE)&lt;=120,VLOOKUP($A303,'Fleet register'!$A$7:$S$106,10,FALSE)=INT(VLOOKUP($A303,'Fleet register'!$A$7:$S$106,10,FALSE)),VLOOKUP($A303,'Fleet register'!$A$7:$S$106,15,FALSE)&gt;=0,VLOOKUP($A303,'Fleet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costs'!$B$67)&gt;=0,OR(D303&lt;&gt;"EV",E303=120,AND(MIN('Operating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03" s="1" t="str">
        <f>IF(C303=0,"Excluded",IF(P303&lt;&gt;"Complete",P303,IF(OR('Replacement plan'!$AD$81&lt;120-E303,AND(D303="EV",E303&lt;120,OR('Replacement plan'!$AC$81&lt;120-E303,'Replacement plan'!$I$81="No",AND(ISNUMBER(AF303),AE303&gt;AF303),AI303&gt;V303*(1-'Operating costs'!$B$46)^MAX(0,AB303-1)*(1-'Operating costs'!$B$45),AC303&gt;'Operating costs'!$B$18,AND(T303&lt;1,OR(AG303&lt;=0,AND(ISNUMBER(AH303),AG303&gt;AH303))),'Replacement plan'!$L$81&gt;INDEX(Products!$H$7:$H$13,MATCH('Replacement plan'!$B$81,Products!$A$7:$A$13,0))))),"Fails entered limits",IF(AND(D303="EV",E303&lt;120,OR(NOT(ISNUMBER(VLOOKUP($A303,'Fleet register'!$A$7:$S$106,7,FALSE))),NOT(ISNUMBER(VLOOKUP($A303,'Fleet register'!$A$7:$S$106,8,FALSE))),NOT(ISNUMBER(AF303)),'Replacement plan'!$I$81&lt;&gt;"Yes",NOT(ISNUMBER(AH303)),'Operating costs'!$B$59&lt;&gt;"Yes",'Operating costs'!$B$58&lt;&gt;"Yes")),"Unverified","Within entered limits"))))</f>
        <v>Excluded</v>
      </c>
      <c r="R303" s="1">
        <f>IF(C303=0,0,VLOOKUP($A303,'Fleet register'!$A$7:$S$106,6,FALSE))</f>
        <v>0</v>
      </c>
      <c r="S303" s="1">
        <f>IF(C303=0,0,VLOOKUP($A303,'Fleet register'!$A$7:$S$106,5,FALSE))</f>
        <v>0</v>
      </c>
      <c r="T303" s="1">
        <f>IF(D303="EV",'Energy and charging'!$B$12,0)</f>
        <v>0</v>
      </c>
      <c r="U303" s="1">
        <f>IFERROR(IF(C303=0,0,IF(D303="EV",IF('Replacement plan'!$F$81="",INDEX(Products!$E$7:$E$13,MATCH('Replacement plan'!$B$81,Products!$A$7:$A$13,0)),'Replacement plan'!$F$81)/IF('Replacement plan'!$G$81="Battery",1-'Operating costs'!$B$44,1),0)),"n.a.")</f>
        <v>0</v>
      </c>
      <c r="V303" s="1">
        <f>IFERROR(IF(C303=0,0,IF(D303="EV",IF('Replacement plan'!$E$81="",INDEX(Products!$D$7:$D$13,MATCH('Replacement plan'!$B$81,Products!$A$7:$A$13,0)),'Replacement plan'!$E$81),0)),"n.a.")</f>
        <v>0</v>
      </c>
      <c r="W303" s="1">
        <f>IF(C303=0,0,IF(AND(P303="Complete",D303="EV",E303&lt;120),IF(T303=0,0,ROUNDUP(T303*(R303-'Operating costs'!$B$41)*(S303*U303+'Operating costs'!$B$48/(1-'Operating costs'!$B$44))/(V303*'Operating costs'!$B$47/(1-'Operating costs'!$B$44)-T303*'Operating costs'!$B$12*U303),0)),0))</f>
        <v>0</v>
      </c>
      <c r="X303" s="1">
        <f>IF(C303=0,0,IF(AND(P303="Complete",D303="EV",E303&lt;120),(R303-'Operating costs'!$B$41)*(S303*U303+'Operating costs'!$B$48/(1-'Operating costs'!$B$44))+W303*'Operating costs'!$B$12*U303,0))</f>
        <v>0</v>
      </c>
      <c r="Y303" s="1">
        <f>IF(AND(C303=1,D303="EV",E303&lt;120),AI303/(1-'Operating costs'!$B$44)*(1-T303),0)</f>
        <v>0</v>
      </c>
      <c r="Z303" s="1">
        <f t="shared" si="8"/>
        <v>0</v>
      </c>
      <c r="AA303" s="1">
        <f>IF(C303=0,0,IF(P303="Complete",((S303*(R303-'Operating costs'!$B$40))+ROUNDUP(S303*(R303-'Operating costs'!$B$40)*IF('Replacement plan'!$AH$81="",'Operating costs'!$B$7,'Replacement plan'!$AH$81)/('Operating costs'!$B$8-'Operating costs'!$B$9*IF('Replacement plan'!$AH$81="",'Operating costs'!$B$7,'Replacement plan'!$AH$81)),0)*'Operating costs'!$B$9)*IF('Replacement plan'!$AH$81="",'Operating costs'!$B$7,'Replacement plan'!$AH$81),"n.a."))</f>
        <v>0</v>
      </c>
      <c r="AB303" s="1">
        <f t="shared" si="9"/>
        <v>0</v>
      </c>
      <c r="AC303" s="1">
        <f>IF(AND(C303=1,D303="EV",E303&lt;120,T303&gt;0),'Operating costs'!$B$12/'Operating costs'!$B$11*60+'Operating costs'!$B$13+'Operating costs'!$B$14+V303*'Operating costs'!$B$47/(1-'Operating costs'!$B$44)/'Replacement plan'!$L$81*60,0)</f>
        <v>0</v>
      </c>
      <c r="AD303" s="1" t="str">
        <f>'Replacement plan'!$B$81</f>
        <v>ChengLong L2EV</v>
      </c>
      <c r="AE303" s="1">
        <f>IF(C303=0,0,VLOOKUP($A303,'Fleet register'!$A$7:$S$106,8,FALSE))</f>
        <v>0</v>
      </c>
      <c r="AF303" s="1" t="str">
        <f>IF('Replacement plan'!$H$81="","n.a.",'Replacement plan'!$H$81)</f>
        <v>n.a.</v>
      </c>
      <c r="AG303" s="1">
        <f>'Replacement plan'!$J$81</f>
        <v>22</v>
      </c>
      <c r="AH303" s="1">
        <f>IFERROR(IF(D303="EV",IF('Replacement plan'!$K$81="AC",IF(ISNUMBER(INDEX(Products!$G$7:$G$13,MATCH('Replacement plan'!$B$81,Products!$A$7:$A$13,0))),INDEX(Products!$G$7:$G$13,MATCH('Replacement plan'!$B$81,Products!$A$7:$A$13,0)),"n.a."),IF(ISNUMBER(INDEX(Products!$H$7:$H$13,MATCH('Replacement plan'!$B$81,Products!$A$7:$A$13,0))),INDEX(Products!$H$7:$H$13,MATCH('Replacement plan'!$B$81,Products!$A$7:$A$13,0)),"n.a.")),0),"n.a.")</f>
        <v>0</v>
      </c>
      <c r="AI303" s="1">
        <f>IF(AND(C303=1,D303="EV",E303&lt;120),(VLOOKUP($A303,'Fleet register'!$A$7:$S$106,7,FALSE)+IF(T303&gt;0,'Operating costs'!$B$12,0))*U303*(1-'Operating costs'!$B$44)+'Operating costs'!$B$49,0)</f>
        <v>0</v>
      </c>
      <c r="AJ303" s="1">
        <f>IF(D303="EV",'Energy and charging'!$B$50,0)</f>
        <v>0</v>
      </c>
      <c r="AK303" s="17">
        <f>EDATE('Operating costs'!$B$63,E303)</f>
        <v>46298</v>
      </c>
      <c r="AL303" s="1">
        <f>IFERROR(IF(D303="EV",INDEX(Products!$B$7:$B$13,MATCH('Replacement plan'!$B$81,Products!$A$7:$A$13,0)),0),"n.a.")</f>
        <v>0</v>
      </c>
      <c r="AM303" s="1" t="str">
        <f>'Replacement plan'!$K$81</f>
        <v>DC</v>
      </c>
      <c r="AN303" s="1" t="str">
        <f>'Replacement plan'!$AE$81</f>
        <v>Assumed</v>
      </c>
      <c r="AO303" s="47">
        <f>IF(AND(C303=1,D303="EV",E303&lt;120),(R303-'Operating costs'!$B$41)*S303+W303*'Operating costs'!$B$12,0)</f>
        <v>0</v>
      </c>
      <c r="AP303" s="41">
        <f>IF(AND(C303=1,D303="EV",E303&lt;120),IF('Operating costs'!$B$68="Hong Seh 200k average",AO303*IFERROR(INDEX(Products!$P$7:$P$13,MATCH(AD303,Products!$A$7:$A$13,0)),"n.a."),'Operating costs'!$B$26),0)</f>
        <v>0</v>
      </c>
      <c r="AQ303" s="40" t="str">
        <f>IF(D303="EV",'Operating costs'!$B$68,"Not applicable")</f>
        <v>Not applicable</v>
      </c>
    </row>
    <row r="304" spans="1:43" ht="24" customHeight="1">
      <c r="A304" s="1" t="str">
        <f>'Replacement plan'!A81</f>
        <v>T075</v>
      </c>
      <c r="B304" s="1">
        <v>1</v>
      </c>
      <c r="C304" s="1">
        <f>IF(COUNTIFS('Fleet register'!$A$7:$A$106,$A304)=1,VLOOKUP($A304,'Fleet register'!$A$7:$S$106,2,FALSE),0)</f>
        <v>0</v>
      </c>
      <c r="D304" s="1" t="str">
        <f>IF("New ICE"="EV","EV","ICE")</f>
        <v>ICE</v>
      </c>
      <c r="E304" s="1">
        <f>IF(C304=0,0,0)</f>
        <v>0</v>
      </c>
      <c r="F304" s="16">
        <f>IF(C304=0,0,VLOOKUP($A304,'Fleet register'!$A$7:$S$106,11,FALSE))</f>
        <v>0</v>
      </c>
      <c r="G304" s="16">
        <f>IFERROR(IF(C304=0,0,IF(E304=120,0,IF(D304="ICE",'Replacement plan'!$C$81,IF('Replacement plan'!$D$81="",INDEX(Products!$I$7:$I$13,MATCH('Replacement plan'!$B$81,Products!$A$7:$A$13,0))+'Operating costs'!$B$57,'Replacement plan'!$D$81))*(1+'Operating costs'!$B$50)^(E304/12))),"n.a.")</f>
        <v>0</v>
      </c>
      <c r="H304" s="16">
        <f>IFERROR(IF(C304=0,0,IF(E304=0,F304,VLOOKUP($A304,'Fleet register'!$A$7:$S$106,12,FALSE)+VLOOKUP($A304,'Fleet register'!$A$7:$S$106,13,FALSE)*MAX(0,VLOOKUP($A304,'Fleet register'!$A$7:$S$106,10,FALSE)-E304)/VLOOKUP($A304,'Fleet register'!$A$7:$S$106,14,FALSE))),"n.a.")</f>
        <v>0</v>
      </c>
      <c r="I304" s="16">
        <f>IF(C304=0,0,IF(E304=120,0,IF('Replacement plan'!$AI$81="",'Operating costs'!$B$56,'Replacement plan'!$AI$81)))</f>
        <v>0</v>
      </c>
      <c r="J304" s="16">
        <f>IF(C304=0,0,IF(P304="Complete",((S304*(R304-'Operating costs'!$B$39))+ROUNDUP(S304*(R304-'Operating costs'!$B$39)*IF('Replacement plan'!$AG$81="",'Operating costs'!$B$7,'Replacement plan'!$AG$81)/('Operating costs'!$B$8-'Operating costs'!$B$9*IF('Replacement plan'!$AG$81="",'Operating costs'!$B$7,'Replacement plan'!$AG$81)),0)*'Operating costs'!$B$9)*IF('Replacement plan'!$AG$81="",'Operating costs'!$B$7,'Replacement plan'!$AG$81)*('Energy and charging'!$B$9*'Energy and charging'!$B$7+(1-'Energy and charging'!$B$9)*'Energy and charging'!$B$8)*'Operating costs'!$B$23,"n.a."))</f>
        <v>0</v>
      </c>
      <c r="K304" s="16">
        <f>IF(C304=0,0,IF(P304="Complete",SUM('Operating costs'!$B$24,'Operating costs'!$B$27,'Operating costs'!$B$29,'Operating costs'!$B$31,'Operating costs'!$B$33,'Operating costs'!$B$34,'Operating costs'!$B$37,'Replacement plan'!$W$81)+'Operating costs'!$B$39*'Operating costs'!$B$42+ROUNDUP(S304*(R304-'Operating costs'!$B$39)*IF('Replacement plan'!$AG$81="",'Operating costs'!$B$7,'Replacement plan'!$AG$81)/('Operating costs'!$B$8-'Operating costs'!$B$9*IF('Replacement plan'!$AG$81="",'Operating costs'!$B$7,'Replacement plan'!$AG$81)),0)*('Operating costs'!$B$9/'Operating costs'!$B$11+'Operating costs'!$B$10/60)*'Operating costs'!$B$19*'Operating costs'!$B$21,"n.a."))</f>
        <v>0</v>
      </c>
      <c r="L304" s="16">
        <f>IF(C304=0,0,IF(P304="Complete",IF(D304="EV",X304*((1-T304)*'Energy and charging'!$B$10+T304*'Energy and charging'!$B$11)*'Operating costs'!$B$22,AA304*('Energy and charging'!$B$9*'Energy and charging'!$B$7+(1-'Energy and charging'!$B$9)*'Energy and charging'!$B$8)*'Operating costs'!$B$23),"n.a."))</f>
        <v>0</v>
      </c>
      <c r="M304" s="37">
        <f>IF(C304=0,0,IF(P304="Complete",IF(D304="ICE",SUM('Operating costs'!$B$25,'Operating costs'!$B$27,'Operating costs'!$B$29,'Operating costs'!$B$31,'Operating costs'!$B$33,'Operating costs'!$B$35,'Operating costs'!$B$37,'Replacement plan'!$X$81)+'Operating costs'!$B$40*'Operating costs'!$B$42+ROUNDUP(S304*(R304-'Operating costs'!$B$40)*IF('Replacement plan'!$AH$81="",'Operating costs'!$B$7,'Replacement plan'!$AH$81)/('Operating costs'!$B$8-'Operating costs'!$B$9*IF('Replacement plan'!$AH$81="",'Operating costs'!$B$7,'Replacement plan'!$AH$81)),0)*('Operating costs'!$B$9/'Operating costs'!$B$11+'Operating costs'!$B$10/60)*'Operating costs'!$B$19*'Operating costs'!$B$21,SUM(AP304,'Operating costs'!$B$28,'Operating costs'!$B$30,'Operating costs'!$B$32,'Operating costs'!$B$33,'Operating costs'!$B$36,'Operating costs'!$B$38,'Replacement plan'!$Y$81)+'Operating costs'!$B$41*'Operating costs'!$B$43+W304*'Operating costs'!$B$15+(T304*X304/'Replacement plan'!$L$81+W304*('Operating costs'!$B$12/'Operating costs'!$B$11+('Operating costs'!$B$13+'Operating costs'!$B$14)/60)+(R304-'Operating costs'!$B$41)*(IF(T304&lt;1,'Operating costs'!$B$16,0)+'Operating costs'!$B$17)/60)*'Operating costs'!$B$19*'Operating costs'!$B$20),"n.a."))</f>
        <v>0</v>
      </c>
      <c r="N304" s="16">
        <f>IF(AND(C304=1,D304="EV",E304&lt;120,E304+'Replacement plan'!$AA$81&lt;=120),'Replacement plan'!$Z$81,0)</f>
        <v>0</v>
      </c>
      <c r="O304" s="1">
        <f>E304+'Replacement plan'!$AA$81</f>
        <v>0</v>
      </c>
      <c r="P304" s="35" t="str">
        <f>IFERROR(IF(C304=0,"Excluded",IF(OR(COUNTIFS('Fleet register'!$A$7:$A$106,A304)&lt;&gt;1,COUNTIFS('Replacement plan'!$A$7:$A$106,A304)&lt;&gt;1),"Duplicate/missing ID",IF(NOT(AND(ISNUMBER(VLOOKUP($A304,'Fleet register'!$A$7:$S$106,5,FALSE)),ISNUMBER(VLOOKUP($A304,'Fleet register'!$A$7:$S$106,6,FALSE)),ISNUMBER(VLOOKUP($A304,'Fleet register'!$A$7:$S$106,10,FALSE)),ISNUMBER(VLOOKUP($A304,'Fleet register'!$A$7:$S$106,11,FALSE)),ISNUMBER(VLOOKUP($A304,'Fleet register'!$A$7:$S$106,12,FALSE)),ISNUMBER(VLOOKUP($A304,'Fleet register'!$A$7:$S$106,13,FALSE)),ISNUMBER(VLOOKUP($A304,'Fleet register'!$A$7:$S$106,14,FALSE)),VLOOKUP($A304,'Fleet register'!$A$7:$S$106,14,FALSE)&gt;0,ISNUMBER('Replacement plan'!$C$81),OR(E304=120,OR(ISNUMBER('Replacement plan'!$AI$81),AND('Replacement plan'!$AI$81="",ISNUMBER('Operating costs'!$B$56)))),ISNUMBER(E304))),"Missing vehicle input",IF(OR(E304&lt;0,E304&gt;VLOOKUP($A304,'Fleet register'!$A$7:$S$106,10,FALSE),E304&gt;120,E304&lt;&gt;INT(E304),VLOOKUP($A304,'Fleet register'!$A$7:$S$106,6,FALSE)&lt;=0,VLOOKUP($A304,'Fleet register'!$A$7:$S$106,6,FALSE)&gt;366,VLOOKUP($A304,'Fleet register'!$A$7:$S$106,5,FALSE)&lt;0,VLOOKUP($A304,'Fleet register'!$A$7:$S$106,11,FALSE)&lt;0,I304&lt;0,'Operating costs'!$B$8&lt;='Operating costs'!$B$7*'Operating costs'!$B$9,'Operating costs'!$B$11&lt;=0,'Operating costs'!$B$39&gt;R304,'Operating costs'!$B$40&gt;R304,'Operating costs'!$B$41&gt;R304,NOT(OR("New ICE"="Keep ICE","New ICE"="New ICE","New ICE"="EV"))),"Invalid vehicle input",IF(AND(D304="EV",E304&lt;120,OR(NOT(ISNUMBER(U304)),NOT(ISNUMBER(V304)),V304&lt;=0,T304&lt;0,T304&gt;1,'Replacement plan'!$L$81&lt;=0,'Operating costs'!$B$44&lt;0,'Operating costs'!$B$44&gt;=1,'Operating costs'!$B$47&lt;=0,'Operating costs'!$B$47&gt;1,V304*'Operating costs'!$B$47/(1-'Operating costs'!$B$44)&lt;=T304*'Operating costs'!$B$12*U304,AND('Replacement plan'!$Z$81&gt;0,OR('Replacement plan'!$AB$81&lt;&gt;"Yes",'Operating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charging'!$B$8&gt;=0))),ISNUMBER(VLOOKUP($A304,'Fleet register'!$A$7:$S$106,15,FALSE)),ISNUMBER(VLOOKUP($A304,'Fleet register'!$A$7:$S$106,16,FALSE)),ISNUMBER('Replacement plan'!$W$81),ISNUMBER('Replacement plan'!$X$81),OR(E304=120,AND(ISNUMBER(G304),G304&gt;=0)),ISNUMBER(H304),H304&gt;=0,OR(D304&lt;&gt;"EV",E304=120,AND(ISNUMBER('Operating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average",ISNUMBER(IFERROR(INDEX(Products!$P$7:$P$13,MATCH(AD304,Products!$A$7:$A$13,0)),"")))),ISNUMBER('Operating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plan'!$Y$81),ISNUMBER('Replacement plan'!$Z$81),'Replacement plan'!$Z$81&gt;=0,ISNUMBER('Replacement plan'!$AA$81),'Replacement plan'!$AA$81&gt;=0,'Replacement plan'!$AA$81=INT('Replacement plan'!$AA$81),ISNUMBER('Replacement plan'!$L$81))),'Operating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plan'!$AG$81="",'Operating costs'!$B$7,'Replacement plan'!$AG$81)),IF('Replacement plan'!$AG$81="",'Operating costs'!$B$7,'Replacement plan'!$AG$81)&gt;=0,ISNUMBER(IF('Replacement plan'!$AH$81="",'Operating costs'!$B$7,'Replacement plan'!$AH$81)),IF('Replacement plan'!$AH$81="",'Operating costs'!$B$7,'Replacement plan'!$AH$81)&gt;=0,'Operating costs'!$B$8&gt;MAX(IF('Replacement plan'!$AG$81="",'Operating costs'!$B$7,'Replacement plan'!$AG$81),IF('Replacement plan'!$AH$81="",'Operating costs'!$B$7,'Replacement plan'!$AH$81))*'Operating costs'!$B$9),IF(AND(VLOOKUP($A304,'Fleet register'!$A$7:$S$106,10,FALSE)&gt;=0,VLOOKUP($A304,'Fleet register'!$A$7:$S$106,10,FALSE)&lt;=120,VLOOKUP($A304,'Fleet register'!$A$7:$S$106,10,FALSE)=INT(VLOOKUP($A304,'Fleet register'!$A$7:$S$106,10,FALSE)),VLOOKUP($A304,'Fleet register'!$A$7:$S$106,15,FALSE)&gt;=0,VLOOKUP($A304,'Fleet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costs'!$B$67)&gt;=0,OR(D304&lt;&gt;"EV",E304=120,AND(MIN('Operating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04" s="1" t="str">
        <f>IF(C304=0,"Excluded",IF(P304&lt;&gt;"Complete",P304,IF(OR('Replacement plan'!$AD$81&lt;120-E304,AND(D304="EV",E304&lt;120,OR('Replacement plan'!$AC$81&lt;120-E304,'Replacement plan'!$I$81="No",AND(ISNUMBER(AF304),AE304&gt;AF304),AI304&gt;V304*(1-'Operating costs'!$B$46)^MAX(0,AB304-1)*(1-'Operating costs'!$B$45),AC304&gt;'Operating costs'!$B$18,AND(T304&lt;1,OR(AG304&lt;=0,AND(ISNUMBER(AH304),AG304&gt;AH304))),'Replacement plan'!$L$81&gt;INDEX(Products!$H$7:$H$13,MATCH('Replacement plan'!$B$81,Products!$A$7:$A$13,0))))),"Fails entered limits",IF(AND(D304="EV",E304&lt;120,OR(NOT(ISNUMBER(VLOOKUP($A304,'Fleet register'!$A$7:$S$106,7,FALSE))),NOT(ISNUMBER(VLOOKUP($A304,'Fleet register'!$A$7:$S$106,8,FALSE))),NOT(ISNUMBER(AF304)),'Replacement plan'!$I$81&lt;&gt;"Yes",NOT(ISNUMBER(AH304)),'Operating costs'!$B$59&lt;&gt;"Yes",'Operating costs'!$B$58&lt;&gt;"Yes")),"Unverified","Within entered limits"))))</f>
        <v>Excluded</v>
      </c>
      <c r="R304" s="1">
        <f>IF(C304=0,0,VLOOKUP($A304,'Fleet register'!$A$7:$S$106,6,FALSE))</f>
        <v>0</v>
      </c>
      <c r="S304" s="1">
        <f>IF(C304=0,0,VLOOKUP($A304,'Fleet register'!$A$7:$S$106,5,FALSE))</f>
        <v>0</v>
      </c>
      <c r="T304" s="1">
        <f>IF(D304="EV",'Energy and charging'!$B$12,0)</f>
        <v>0</v>
      </c>
      <c r="U304" s="1">
        <f>IFERROR(IF(C304=0,0,IF(D304="EV",IF('Replacement plan'!$F$81="",INDEX(Products!$E$7:$E$13,MATCH('Replacement plan'!$B$81,Products!$A$7:$A$13,0)),'Replacement plan'!$F$81)/IF('Replacement plan'!$G$81="Battery",1-'Operating costs'!$B$44,1),0)),"n.a.")</f>
        <v>0</v>
      </c>
      <c r="V304" s="1">
        <f>IFERROR(IF(C304=0,0,IF(D304="EV",IF('Replacement plan'!$E$81="",INDEX(Products!$D$7:$D$13,MATCH('Replacement plan'!$B$81,Products!$A$7:$A$13,0)),'Replacement plan'!$E$81),0)),"n.a.")</f>
        <v>0</v>
      </c>
      <c r="W304" s="1">
        <f>IF(C304=0,0,IF(AND(P304="Complete",D304="EV",E304&lt;120),IF(T304=0,0,ROUNDUP(T304*(R304-'Operating costs'!$B$41)*(S304*U304+'Operating costs'!$B$48/(1-'Operating costs'!$B$44))/(V304*'Operating costs'!$B$47/(1-'Operating costs'!$B$44)-T304*'Operating costs'!$B$12*U304),0)),0))</f>
        <v>0</v>
      </c>
      <c r="X304" s="1">
        <f>IF(C304=0,0,IF(AND(P304="Complete",D304="EV",E304&lt;120),(R304-'Operating costs'!$B$41)*(S304*U304+'Operating costs'!$B$48/(1-'Operating costs'!$B$44))+W304*'Operating costs'!$B$12*U304,0))</f>
        <v>0</v>
      </c>
      <c r="Y304" s="1">
        <f>IF(AND(C304=1,D304="EV",E304&lt;120),AI304/(1-'Operating costs'!$B$44)*(1-T304),0)</f>
        <v>0</v>
      </c>
      <c r="Z304" s="1">
        <f t="shared" si="8"/>
        <v>0</v>
      </c>
      <c r="AA304" s="1">
        <f>IF(C304=0,0,IF(P304="Complete",((S304*(R304-'Operating costs'!$B$40))+ROUNDUP(S304*(R304-'Operating costs'!$B$40)*IF('Replacement plan'!$AH$81="",'Operating costs'!$B$7,'Replacement plan'!$AH$81)/('Operating costs'!$B$8-'Operating costs'!$B$9*IF('Replacement plan'!$AH$81="",'Operating costs'!$B$7,'Replacement plan'!$AH$81)),0)*'Operating costs'!$B$9)*IF('Replacement plan'!$AH$81="",'Operating costs'!$B$7,'Replacement plan'!$AH$81),"n.a."))</f>
        <v>0</v>
      </c>
      <c r="AB304" s="1">
        <f t="shared" si="9"/>
        <v>0</v>
      </c>
      <c r="AC304" s="1">
        <f>IF(AND(C304=1,D304="EV",E304&lt;120,T304&gt;0),'Operating costs'!$B$12/'Operating costs'!$B$11*60+'Operating costs'!$B$13+'Operating costs'!$B$14+V304*'Operating costs'!$B$47/(1-'Operating costs'!$B$44)/'Replacement plan'!$L$81*60,0)</f>
        <v>0</v>
      </c>
      <c r="AD304" s="1" t="str">
        <f>'Replacement plan'!$B$81</f>
        <v>ChengLong L2EV</v>
      </c>
      <c r="AE304" s="1">
        <f>IF(C304=0,0,VLOOKUP($A304,'Fleet register'!$A$7:$S$106,8,FALSE))</f>
        <v>0</v>
      </c>
      <c r="AF304" s="1" t="str">
        <f>IF('Replacement plan'!$H$81="","n.a.",'Replacement plan'!$H$81)</f>
        <v>n.a.</v>
      </c>
      <c r="AG304" s="1">
        <f>'Replacement plan'!$J$81</f>
        <v>22</v>
      </c>
      <c r="AH304" s="1">
        <f>IFERROR(IF(D304="EV",IF('Replacement plan'!$K$81="AC",IF(ISNUMBER(INDEX(Products!$G$7:$G$13,MATCH('Replacement plan'!$B$81,Products!$A$7:$A$13,0))),INDEX(Products!$G$7:$G$13,MATCH('Replacement plan'!$B$81,Products!$A$7:$A$13,0)),"n.a."),IF(ISNUMBER(INDEX(Products!$H$7:$H$13,MATCH('Replacement plan'!$B$81,Products!$A$7:$A$13,0))),INDEX(Products!$H$7:$H$13,MATCH('Replacement plan'!$B$81,Products!$A$7:$A$13,0)),"n.a.")),0),"n.a.")</f>
        <v>0</v>
      </c>
      <c r="AI304" s="1">
        <f>IF(AND(C304=1,D304="EV",E304&lt;120),(VLOOKUP($A304,'Fleet register'!$A$7:$S$106,7,FALSE)+IF(T304&gt;0,'Operating costs'!$B$12,0))*U304*(1-'Operating costs'!$B$44)+'Operating costs'!$B$49,0)</f>
        <v>0</v>
      </c>
      <c r="AJ304" s="1">
        <f>IF(D304="EV",'Energy and charging'!$B$50,0)</f>
        <v>0</v>
      </c>
      <c r="AK304" s="17">
        <f>EDATE('Operating costs'!$B$63,E304)</f>
        <v>46298</v>
      </c>
      <c r="AL304" s="1">
        <f>IFERROR(IF(D304="EV",INDEX(Products!$B$7:$B$13,MATCH('Replacement plan'!$B$81,Products!$A$7:$A$13,0)),0),"n.a.")</f>
        <v>0</v>
      </c>
      <c r="AM304" s="1" t="str">
        <f>'Replacement plan'!$K$81</f>
        <v>DC</v>
      </c>
      <c r="AN304" s="1" t="str">
        <f>'Replacement plan'!$AE$81</f>
        <v>Assumed</v>
      </c>
      <c r="AO304" s="47">
        <f>IF(AND(C304=1,D304="EV",E304&lt;120),(R304-'Operating costs'!$B$41)*S304+W304*'Operating costs'!$B$12,0)</f>
        <v>0</v>
      </c>
      <c r="AP304" s="41">
        <f>IF(AND(C304=1,D304="EV",E304&lt;120),IF('Operating costs'!$B$68="Hong Seh 200k average",AO304*IFERROR(INDEX(Products!$P$7:$P$13,MATCH(AD304,Products!$A$7:$A$13,0)),"n.a."),'Operating costs'!$B$26),0)</f>
        <v>0</v>
      </c>
      <c r="AQ304" s="40" t="str">
        <f>IF(D304="EV",'Operating costs'!$B$68,"Not applicable")</f>
        <v>Not applicable</v>
      </c>
    </row>
    <row r="305" spans="1:43" ht="24" customHeight="1">
      <c r="A305" s="1" t="str">
        <f>'Replacement plan'!A81</f>
        <v>T075</v>
      </c>
      <c r="B305" s="1">
        <v>2</v>
      </c>
      <c r="C305" s="1">
        <f>IF(COUNTIFS('Fleet register'!$A$7:$A$106,$A305)=1,VLOOKUP($A305,'Fleet register'!$A$7:$S$106,2,FALSE),0)</f>
        <v>0</v>
      </c>
      <c r="D305" s="1" t="str">
        <f>IF('Replacement plan'!$O$81="EV","EV","ICE")</f>
        <v>ICE</v>
      </c>
      <c r="E305" s="1">
        <f>IF(C305=0,0,IF('Replacement plan'!$P$81="",IF('Replacement plan'!$O$81="Keep ICE",IF('Replacement plan'!$M$81="",VLOOKUP($A305,'Fleet register'!$A$7:$S$106,10,FALSE),'Replacement plan'!$M$81),0),'Replacement plan'!$P$81))</f>
        <v>0</v>
      </c>
      <c r="F305" s="16">
        <f>IF(C305=0,0,VLOOKUP($A305,'Fleet register'!$A$7:$S$106,11,FALSE))</f>
        <v>0</v>
      </c>
      <c r="G305" s="16">
        <f>IFERROR(IF(C305=0,0,IF(E305=120,0,IF(D305="ICE",'Replacement plan'!$C$81,IF('Replacement plan'!$D$81="",INDEX(Products!$I$7:$I$13,MATCH('Replacement plan'!$B$81,Products!$A$7:$A$13,0))+'Operating costs'!$B$57,'Replacement plan'!$D$81))*(1+'Operating costs'!$B$50)^(E305/12))),"n.a.")</f>
        <v>0</v>
      </c>
      <c r="H305" s="16">
        <f>IFERROR(IF(C305=0,0,IF('Replacement plan'!$U$81&lt;&gt;"",'Replacement plan'!$U$81,IF(E305=0,F305,VLOOKUP($A305,'Fleet register'!$A$7:$S$106,12,FALSE)+VLOOKUP($A305,'Fleet register'!$A$7:$S$106,13,FALSE)*MAX(0,VLOOKUP($A305,'Fleet register'!$A$7:$S$106,10,FALSE)-E305)/VLOOKUP($A305,'Fleet register'!$A$7:$S$106,14,FALSE)))),"n.a.")</f>
        <v>0</v>
      </c>
      <c r="I305" s="16">
        <f>IF(C305=0,0,IF(E305=120,0,'Replacement plan'!$Q$81))</f>
        <v>0</v>
      </c>
      <c r="J305" s="16">
        <f>IF(C305=0,0,IF(P305="Complete",((S305*(R305-'Operating costs'!$B$39))+ROUNDUP(S305*(R305-'Operating costs'!$B$39)*IF('Replacement plan'!$AG$81="",'Operating costs'!$B$7,'Replacement plan'!$AG$81)/('Operating costs'!$B$8-'Operating costs'!$B$9*IF('Replacement plan'!$AG$81="",'Operating costs'!$B$7,'Replacement plan'!$AG$81)),0)*'Operating costs'!$B$9)*IF('Replacement plan'!$AG$81="",'Operating costs'!$B$7,'Replacement plan'!$AG$81)*('Energy and charging'!$B$9*'Energy and charging'!$B$7+(1-'Energy and charging'!$B$9)*'Energy and charging'!$B$8)*'Operating costs'!$B$23,"n.a."))</f>
        <v>0</v>
      </c>
      <c r="K305" s="16">
        <f>IF(C305=0,0,IF(P305="Complete",SUM('Operating costs'!$B$24,'Operating costs'!$B$27,'Operating costs'!$B$29,'Operating costs'!$B$31,'Operating costs'!$B$33,'Operating costs'!$B$34,'Operating costs'!$B$37,'Replacement plan'!$W$81)+'Operating costs'!$B$39*'Operating costs'!$B$42+ROUNDUP(S305*(R305-'Operating costs'!$B$39)*IF('Replacement plan'!$AG$81="",'Operating costs'!$B$7,'Replacement plan'!$AG$81)/('Operating costs'!$B$8-'Operating costs'!$B$9*IF('Replacement plan'!$AG$81="",'Operating costs'!$B$7,'Replacement plan'!$AG$81)),0)*('Operating costs'!$B$9/'Operating costs'!$B$11+'Operating costs'!$B$10/60)*'Operating costs'!$B$19*'Operating costs'!$B$21,"n.a."))</f>
        <v>0</v>
      </c>
      <c r="L305" s="16">
        <f>IF(C305=0,0,IF(P305="Complete",IF(D305="EV",X305*((1-T305)*'Energy and charging'!$B$10+T305*'Energy and charging'!$B$11)*'Operating costs'!$B$22,AA305*('Energy and charging'!$B$9*'Energy and charging'!$B$7+(1-'Energy and charging'!$B$9)*'Energy and charging'!$B$8)*'Operating costs'!$B$23),"n.a."))</f>
        <v>0</v>
      </c>
      <c r="M305" s="37">
        <f>IF(C305=0,0,IF(P305="Complete",IF(D305="ICE",SUM('Operating costs'!$B$25,'Operating costs'!$B$27,'Operating costs'!$B$29,'Operating costs'!$B$31,'Operating costs'!$B$33,'Operating costs'!$B$35,'Operating costs'!$B$37,'Replacement plan'!$X$81)+'Operating costs'!$B$40*'Operating costs'!$B$42+ROUNDUP(S305*(R305-'Operating costs'!$B$40)*IF('Replacement plan'!$AH$81="",'Operating costs'!$B$7,'Replacement plan'!$AH$81)/('Operating costs'!$B$8-'Operating costs'!$B$9*IF('Replacement plan'!$AH$81="",'Operating costs'!$B$7,'Replacement plan'!$AH$81)),0)*('Operating costs'!$B$9/'Operating costs'!$B$11+'Operating costs'!$B$10/60)*'Operating costs'!$B$19*'Operating costs'!$B$21,SUM(AP305,'Operating costs'!$B$28,'Operating costs'!$B$30,'Operating costs'!$B$32,'Operating costs'!$B$33,'Operating costs'!$B$36,'Operating costs'!$B$38,'Replacement plan'!$Y$81)+'Operating costs'!$B$41*'Operating costs'!$B$43+W305*'Operating costs'!$B$15+(T305*X305/'Replacement plan'!$L$81+W305*('Operating costs'!$B$12/'Operating costs'!$B$11+('Operating costs'!$B$13+'Operating costs'!$B$14)/60)+(R305-'Operating costs'!$B$41)*(IF(T305&lt;1,'Operating costs'!$B$16,0)+'Operating costs'!$B$17)/60)*'Operating costs'!$B$19*'Operating costs'!$B$20),"n.a."))</f>
        <v>0</v>
      </c>
      <c r="N305" s="16">
        <f>IF(AND(C305=1,D305="EV",E305&lt;120,E305+'Replacement plan'!$AA$81&lt;=120),'Replacement plan'!$Z$81,0)</f>
        <v>0</v>
      </c>
      <c r="O305" s="1">
        <f>E305+'Replacement plan'!$AA$81</f>
        <v>0</v>
      </c>
      <c r="P305" s="35" t="str">
        <f>IFERROR(IF(C305=0,"Excluded",IF(OR(COUNTIFS('Fleet register'!$A$7:$A$106,A305)&lt;&gt;1,COUNTIFS('Replacement plan'!$A$7:$A$106,A305)&lt;&gt;1),"Duplicate/missing ID",IF(NOT(AND(ISNUMBER(VLOOKUP($A305,'Fleet register'!$A$7:$S$106,5,FALSE)),ISNUMBER(VLOOKUP($A305,'Fleet register'!$A$7:$S$106,6,FALSE)),ISNUMBER(VLOOKUP($A305,'Fleet register'!$A$7:$S$106,10,FALSE)),ISNUMBER(VLOOKUP($A305,'Fleet register'!$A$7:$S$106,11,FALSE)),ISNUMBER(VLOOKUP($A305,'Fleet register'!$A$7:$S$106,12,FALSE)),ISNUMBER(VLOOKUP($A305,'Fleet register'!$A$7:$S$106,13,FALSE)),ISNUMBER(VLOOKUP($A305,'Fleet register'!$A$7:$S$106,14,FALSE)),VLOOKUP($A305,'Fleet register'!$A$7:$S$106,14,FALSE)&gt;0,ISNUMBER('Replacement plan'!$C$81),OR(E305=120,ISNUMBER('Replacement plan'!$Q$81)),ISNUMBER(E305))),"Missing vehicle input",IF(OR(E305&lt;0,E305&gt;VLOOKUP($A305,'Fleet register'!$A$7:$S$106,10,FALSE),E305&gt;120,E305&lt;&gt;INT(E305),VLOOKUP($A305,'Fleet register'!$A$7:$S$106,6,FALSE)&lt;=0,VLOOKUP($A305,'Fleet register'!$A$7:$S$106,6,FALSE)&gt;366,VLOOKUP($A305,'Fleet register'!$A$7:$S$106,5,FALSE)&lt;0,VLOOKUP($A305,'Fleet register'!$A$7:$S$106,11,FALSE)&lt;0,I305&lt;0,'Operating costs'!$B$8&lt;='Operating costs'!$B$7*'Operating costs'!$B$9,'Operating costs'!$B$11&lt;=0,'Operating costs'!$B$39&gt;R305,'Operating costs'!$B$40&gt;R305,'Operating costs'!$B$41&gt;R305,NOT(OR('Replacement plan'!$O$81="Keep ICE",'Replacement plan'!$O$81="New ICE",'Replacement plan'!$O$81="EV"))),"Invalid vehicle input",IF(AND(D305="EV",E305&lt;120,OR(NOT(ISNUMBER(U305)),NOT(ISNUMBER(V305)),V305&lt;=0,T305&lt;0,T305&gt;1,'Replacement plan'!$L$81&lt;=0,'Operating costs'!$B$44&lt;0,'Operating costs'!$B$44&gt;=1,'Operating costs'!$B$47&lt;=0,'Operating costs'!$B$47&gt;1,V305*'Operating costs'!$B$47/(1-'Operating costs'!$B$44)&lt;=T305*'Operating costs'!$B$12*U305,AND('Replacement plan'!$Z$81&gt;0,OR('Replacement plan'!$AB$81&lt;&gt;"Yes",'Operating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charging'!$B$8&gt;=0))),ISNUMBER(VLOOKUP($A305,'Fleet register'!$A$7:$S$106,15,FALSE)),ISNUMBER(VLOOKUP($A305,'Fleet register'!$A$7:$S$106,16,FALSE)),ISNUMBER('Replacement plan'!$W$81),ISNUMBER('Replacement plan'!$X$81),OR(E305=120,AND(ISNUMBER(G305),G305&gt;=0)),ISNUMBER(H305),H305&gt;=0,OR(D305&lt;&gt;"EV",E305=120,AND(ISNUMBER('Operating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average",ISNUMBER(IFERROR(INDEX(Products!$P$7:$P$13,MATCH(AD305,Products!$A$7:$A$13,0)),"")))),ISNUMBER('Operating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plan'!$Y$81),ISNUMBER('Replacement plan'!$Z$81),'Replacement plan'!$Z$81&gt;=0,ISNUMBER('Replacement plan'!$AA$81),'Replacement plan'!$AA$81&gt;=0,'Replacement plan'!$AA$81=INT('Replacement plan'!$AA$81),ISNUMBER('Replacement plan'!$L$81))),'Operating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plan'!$AG$81="",'Operating costs'!$B$7,'Replacement plan'!$AG$81)),IF('Replacement plan'!$AG$81="",'Operating costs'!$B$7,'Replacement plan'!$AG$81)&gt;=0,ISNUMBER(IF('Replacement plan'!$AH$81="",'Operating costs'!$B$7,'Replacement plan'!$AH$81)),IF('Replacement plan'!$AH$81="",'Operating costs'!$B$7,'Replacement plan'!$AH$81)&gt;=0,'Operating costs'!$B$8&gt;MAX(IF('Replacement plan'!$AG$81="",'Operating costs'!$B$7,'Replacement plan'!$AG$81),IF('Replacement plan'!$AH$81="",'Operating costs'!$B$7,'Replacement plan'!$AH$81))*'Operating costs'!$B$9),IF(AND(VLOOKUP($A305,'Fleet register'!$A$7:$S$106,10,FALSE)&gt;=0,VLOOKUP($A305,'Fleet register'!$A$7:$S$106,10,FALSE)&lt;=120,VLOOKUP($A305,'Fleet register'!$A$7:$S$106,10,FALSE)=INT(VLOOKUP($A305,'Fleet register'!$A$7:$S$106,10,FALSE)),VLOOKUP($A305,'Fleet register'!$A$7:$S$106,15,FALSE)&gt;=0,VLOOKUP($A305,'Fleet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costs'!$B$67)&gt;=0,OR(D305&lt;&gt;"EV",E305=120,AND(MIN('Operating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05" s="1" t="str">
        <f>IF(C305=0,"Excluded",IF(P305&lt;&gt;"Complete",P305,IF(OR('Replacement plan'!$AD$81&lt;120-E305,AND(D305="EV",E305&lt;120,OR('Replacement plan'!$AC$81&lt;120-E305,'Replacement plan'!$I$81="No",AND(ISNUMBER(AF305),AE305&gt;AF305),AI305&gt;V305*(1-'Operating costs'!$B$46)^MAX(0,AB305-1)*(1-'Operating costs'!$B$45),AC305&gt;'Operating costs'!$B$18,AND(T305&lt;1,OR(AG305&lt;=0,AND(ISNUMBER(AH305),AG305&gt;AH305))),'Replacement plan'!$L$81&gt;INDEX(Products!$H$7:$H$13,MATCH('Replacement plan'!$B$81,Products!$A$7:$A$13,0))))),"Fails entered limits",IF(AND(D305="EV",E305&lt;120,OR(NOT(ISNUMBER(VLOOKUP($A305,'Fleet register'!$A$7:$S$106,7,FALSE))),NOT(ISNUMBER(VLOOKUP($A305,'Fleet register'!$A$7:$S$106,8,FALSE))),NOT(ISNUMBER(AF305)),'Replacement plan'!$I$81&lt;&gt;"Yes",NOT(ISNUMBER(AH305)),'Operating costs'!$B$59&lt;&gt;"Yes",'Operating costs'!$B$58&lt;&gt;"Yes")),"Unverified","Within entered limits"))))</f>
        <v>Excluded</v>
      </c>
      <c r="R305" s="1">
        <f>IF(C305=0,0,VLOOKUP($A305,'Fleet register'!$A$7:$S$106,6,FALSE))</f>
        <v>0</v>
      </c>
      <c r="S305" s="1">
        <f>IF(C305=0,0,VLOOKUP($A305,'Fleet register'!$A$7:$S$106,5,FALSE))</f>
        <v>0</v>
      </c>
      <c r="T305" s="1">
        <f>IF(D305="EV",'Energy and charging'!$B$12,0)</f>
        <v>0</v>
      </c>
      <c r="U305" s="1">
        <f>IFERROR(IF(C305=0,0,IF(D305="EV",IF('Replacement plan'!$F$81="",INDEX(Products!$E$7:$E$13,MATCH('Replacement plan'!$B$81,Products!$A$7:$A$13,0)),'Replacement plan'!$F$81)/IF('Replacement plan'!$G$81="Battery",1-'Operating costs'!$B$44,1),0)),"n.a.")</f>
        <v>0</v>
      </c>
      <c r="V305" s="1">
        <f>IFERROR(IF(C305=0,0,IF(D305="EV",IF('Replacement plan'!$E$81="",INDEX(Products!$D$7:$D$13,MATCH('Replacement plan'!$B$81,Products!$A$7:$A$13,0)),'Replacement plan'!$E$81),0)),"n.a.")</f>
        <v>0</v>
      </c>
      <c r="W305" s="1">
        <f>IF(C305=0,0,IF(AND(P305="Complete",D305="EV",E305&lt;120),IF(T305=0,0,ROUNDUP(T305*(R305-'Operating costs'!$B$41)*(S305*U305+'Operating costs'!$B$48/(1-'Operating costs'!$B$44))/(V305*'Operating costs'!$B$47/(1-'Operating costs'!$B$44)-T305*'Operating costs'!$B$12*U305),0)),0))</f>
        <v>0</v>
      </c>
      <c r="X305" s="1">
        <f>IF(C305=0,0,IF(AND(P305="Complete",D305="EV",E305&lt;120),(R305-'Operating costs'!$B$41)*(S305*U305+'Operating costs'!$B$48/(1-'Operating costs'!$B$44))+W305*'Operating costs'!$B$12*U305,0))</f>
        <v>0</v>
      </c>
      <c r="Y305" s="1">
        <f>IF(AND(C305=1,D305="EV",E305&lt;120),AI305/(1-'Operating costs'!$B$44)*(1-T305),0)</f>
        <v>0</v>
      </c>
      <c r="Z305" s="1">
        <f t="shared" si="8"/>
        <v>0</v>
      </c>
      <c r="AA305" s="1">
        <f>IF(C305=0,0,IF(P305="Complete",((S305*(R305-'Operating costs'!$B$40))+ROUNDUP(S305*(R305-'Operating costs'!$B$40)*IF('Replacement plan'!$AH$81="",'Operating costs'!$B$7,'Replacement plan'!$AH$81)/('Operating costs'!$B$8-'Operating costs'!$B$9*IF('Replacement plan'!$AH$81="",'Operating costs'!$B$7,'Replacement plan'!$AH$81)),0)*'Operating costs'!$B$9)*IF('Replacement plan'!$AH$81="",'Operating costs'!$B$7,'Replacement plan'!$AH$81),"n.a."))</f>
        <v>0</v>
      </c>
      <c r="AB305" s="1">
        <f t="shared" si="9"/>
        <v>0</v>
      </c>
      <c r="AC305" s="1">
        <f>IF(AND(C305=1,D305="EV",E305&lt;120,T305&gt;0),'Operating costs'!$B$12/'Operating costs'!$B$11*60+'Operating costs'!$B$13+'Operating costs'!$B$14+V305*'Operating costs'!$B$47/(1-'Operating costs'!$B$44)/'Replacement plan'!$L$81*60,0)</f>
        <v>0</v>
      </c>
      <c r="AD305" s="1" t="str">
        <f>'Replacement plan'!$B$81</f>
        <v>ChengLong L2EV</v>
      </c>
      <c r="AE305" s="1">
        <f>IF(C305=0,0,VLOOKUP($A305,'Fleet register'!$A$7:$S$106,8,FALSE))</f>
        <v>0</v>
      </c>
      <c r="AF305" s="1" t="str">
        <f>IF('Replacement plan'!$H$81="","n.a.",'Replacement plan'!$H$81)</f>
        <v>n.a.</v>
      </c>
      <c r="AG305" s="1">
        <f>'Replacement plan'!$J$81</f>
        <v>22</v>
      </c>
      <c r="AH305" s="1">
        <f>IFERROR(IF(D305="EV",IF('Replacement plan'!$K$81="AC",IF(ISNUMBER(INDEX(Products!$G$7:$G$13,MATCH('Replacement plan'!$B$81,Products!$A$7:$A$13,0))),INDEX(Products!$G$7:$G$13,MATCH('Replacement plan'!$B$81,Products!$A$7:$A$13,0)),"n.a."),IF(ISNUMBER(INDEX(Products!$H$7:$H$13,MATCH('Replacement plan'!$B$81,Products!$A$7:$A$13,0))),INDEX(Products!$H$7:$H$13,MATCH('Replacement plan'!$B$81,Products!$A$7:$A$13,0)),"n.a.")),0),"n.a.")</f>
        <v>0</v>
      </c>
      <c r="AI305" s="1">
        <f>IF(AND(C305=1,D305="EV",E305&lt;120),(VLOOKUP($A305,'Fleet register'!$A$7:$S$106,7,FALSE)+IF(T305&gt;0,'Operating costs'!$B$12,0))*U305*(1-'Operating costs'!$B$44)+'Operating costs'!$B$49,0)</f>
        <v>0</v>
      </c>
      <c r="AJ305" s="1">
        <f>IF(D305="EV",'Energy and charging'!$B$50,0)</f>
        <v>0</v>
      </c>
      <c r="AK305" s="17">
        <f>EDATE('Operating costs'!$B$63,E305)</f>
        <v>46298</v>
      </c>
      <c r="AL305" s="1">
        <f>IFERROR(IF(D305="EV",INDEX(Products!$B$7:$B$13,MATCH('Replacement plan'!$B$81,Products!$A$7:$A$13,0)),0),"n.a.")</f>
        <v>0</v>
      </c>
      <c r="AM305" s="1" t="str">
        <f>'Replacement plan'!$K$81</f>
        <v>DC</v>
      </c>
      <c r="AN305" s="1" t="str">
        <f>'Replacement plan'!$AE$81</f>
        <v>Assumed</v>
      </c>
      <c r="AO305" s="47">
        <f>IF(AND(C305=1,D305="EV",E305&lt;120),(R305-'Operating costs'!$B$41)*S305+W305*'Operating costs'!$B$12,0)</f>
        <v>0</v>
      </c>
      <c r="AP305" s="41">
        <f>IF(AND(C305=1,D305="EV",E305&lt;120),IF('Operating costs'!$B$68="Hong Seh 200k average",AO305*IFERROR(INDEX(Products!$P$7:$P$13,MATCH(AD305,Products!$A$7:$A$13,0)),"n.a."),'Operating costs'!$B$26),0)</f>
        <v>0</v>
      </c>
      <c r="AQ305" s="40" t="str">
        <f>IF(D305="EV",'Operating costs'!$B$68,"Not applicable")</f>
        <v>Not applicable</v>
      </c>
    </row>
    <row r="306" spans="1:43" ht="24" customHeight="1">
      <c r="A306" s="1" t="str">
        <f>'Replacement plan'!A81</f>
        <v>T075</v>
      </c>
      <c r="B306" s="1">
        <v>3</v>
      </c>
      <c r="C306" s="1">
        <f>IF(COUNTIFS('Fleet register'!$A$7:$A$106,$A306)=1,VLOOKUP($A306,'Fleet register'!$A$7:$S$106,2,FALSE),0)</f>
        <v>0</v>
      </c>
      <c r="D306" s="1" t="str">
        <f>IF('Replacement plan'!$R$81="EV","EV","ICE")</f>
        <v>ICE</v>
      </c>
      <c r="E306" s="1">
        <f>IF(C306=0,0,IF('Replacement plan'!$S$81="",IF('Replacement plan'!$R$81="Keep ICE",IF('Replacement plan'!$M$81="",VLOOKUP($A306,'Fleet register'!$A$7:$S$106,10,FALSE),'Replacement plan'!$M$81),0),'Replacement plan'!$S$81))</f>
        <v>0</v>
      </c>
      <c r="F306" s="16">
        <f>IF(C306=0,0,VLOOKUP($A306,'Fleet register'!$A$7:$S$106,11,FALSE))</f>
        <v>0</v>
      </c>
      <c r="G306" s="16">
        <f>IFERROR(IF(C306=0,0,IF(E306=120,0,IF(D306="ICE",'Replacement plan'!$C$81,IF('Replacement plan'!$D$81="",INDEX(Products!$I$7:$I$13,MATCH('Replacement plan'!$B$81,Products!$A$7:$A$13,0))+'Operating costs'!$B$57,'Replacement plan'!$D$81))*(1+'Operating costs'!$B$50)^(E306/12))),"n.a.")</f>
        <v>0</v>
      </c>
      <c r="H306" s="16">
        <f>IFERROR(IF(C306=0,0,IF('Replacement plan'!$V$81&lt;&gt;"",'Replacement plan'!$V$81,IF(E306=0,F306,VLOOKUP($A306,'Fleet register'!$A$7:$S$106,12,FALSE)+VLOOKUP($A306,'Fleet register'!$A$7:$S$106,13,FALSE)*MAX(0,VLOOKUP($A306,'Fleet register'!$A$7:$S$106,10,FALSE)-E306)/VLOOKUP($A306,'Fleet register'!$A$7:$S$106,14,FALSE)))),"n.a.")</f>
        <v>0</v>
      </c>
      <c r="I306" s="16">
        <f>IF(C306=0,0,IF(E306=120,0,'Replacement plan'!$T$81))</f>
        <v>0</v>
      </c>
      <c r="J306" s="16">
        <f>IF(C306=0,0,IF(P306="Complete",((S306*(R306-'Operating costs'!$B$39))+ROUNDUP(S306*(R306-'Operating costs'!$B$39)*IF('Replacement plan'!$AG$81="",'Operating costs'!$B$7,'Replacement plan'!$AG$81)/('Operating costs'!$B$8-'Operating costs'!$B$9*IF('Replacement plan'!$AG$81="",'Operating costs'!$B$7,'Replacement plan'!$AG$81)),0)*'Operating costs'!$B$9)*IF('Replacement plan'!$AG$81="",'Operating costs'!$B$7,'Replacement plan'!$AG$81)*('Energy and charging'!$C$9*'Energy and charging'!$C$7+(1-'Energy and charging'!$C$9)*'Energy and charging'!$C$8)*'Operating costs'!$B$23,"n.a."))</f>
        <v>0</v>
      </c>
      <c r="K306" s="16">
        <f>IF(C306=0,0,IF(P306="Complete",SUM('Operating costs'!$B$24,'Operating costs'!$B$27,'Operating costs'!$B$29,'Operating costs'!$B$31,'Operating costs'!$B$33,'Operating costs'!$B$34,'Operating costs'!$B$37,'Replacement plan'!$W$81)+'Operating costs'!$B$39*'Operating costs'!$B$42+ROUNDUP(S306*(R306-'Operating costs'!$B$39)*IF('Replacement plan'!$AG$81="",'Operating costs'!$B$7,'Replacement plan'!$AG$81)/('Operating costs'!$B$8-'Operating costs'!$B$9*IF('Replacement plan'!$AG$81="",'Operating costs'!$B$7,'Replacement plan'!$AG$81)),0)*('Operating costs'!$B$9/'Operating costs'!$B$11+'Operating costs'!$B$10/60)*'Operating costs'!$B$19*'Operating costs'!$B$21,"n.a."))</f>
        <v>0</v>
      </c>
      <c r="L306" s="16">
        <f>IF(C306=0,0,IF(P306="Complete",IF(D306="EV",X306*((1-T306)*'Energy and charging'!$C$10+T306*'Energy and charging'!$C$11)*'Operating costs'!$B$22,AA306*('Energy and charging'!$C$9*'Energy and charging'!$C$7+(1-'Energy and charging'!$C$9)*'Energy and charging'!$C$8)*'Operating costs'!$B$23),"n.a."))</f>
        <v>0</v>
      </c>
      <c r="M306" s="37">
        <f>IF(C306=0,0,IF(P306="Complete",IF(D306="ICE",SUM('Operating costs'!$B$25,'Operating costs'!$B$27,'Operating costs'!$B$29,'Operating costs'!$B$31,'Operating costs'!$B$33,'Operating costs'!$B$35,'Operating costs'!$B$37,'Replacement plan'!$X$81)+'Operating costs'!$B$40*'Operating costs'!$B$42+ROUNDUP(S306*(R306-'Operating costs'!$B$40)*IF('Replacement plan'!$AH$81="",'Operating costs'!$B$7,'Replacement plan'!$AH$81)/('Operating costs'!$B$8-'Operating costs'!$B$9*IF('Replacement plan'!$AH$81="",'Operating costs'!$B$7,'Replacement plan'!$AH$81)),0)*('Operating costs'!$B$9/'Operating costs'!$B$11+'Operating costs'!$B$10/60)*'Operating costs'!$B$19*'Operating costs'!$B$21,SUM(AP306,'Operating costs'!$B$28,'Operating costs'!$B$30,'Operating costs'!$B$32,'Operating costs'!$B$33,'Operating costs'!$B$36,'Operating costs'!$B$38,'Replacement plan'!$Y$81)+'Operating costs'!$B$41*'Operating costs'!$B$43+W306*'Operating costs'!$B$15+(T306*X306/'Replacement plan'!$L$81+W306*('Operating costs'!$B$12/'Operating costs'!$B$11+('Operating costs'!$B$13+'Operating costs'!$B$14)/60)+(R306-'Operating costs'!$B$41)*(IF(T306&lt;1,'Operating costs'!$B$16,0)+'Operating costs'!$B$17)/60)*'Operating costs'!$B$19*'Operating costs'!$B$20),"n.a."))</f>
        <v>0</v>
      </c>
      <c r="N306" s="16">
        <f>IF(AND(C306=1,D306="EV",E306&lt;120,E306+'Replacement plan'!$AA$81&lt;=120),'Replacement plan'!$Z$81,0)</f>
        <v>0</v>
      </c>
      <c r="O306" s="1">
        <f>E306+'Replacement plan'!$AA$81</f>
        <v>0</v>
      </c>
      <c r="P306" s="35" t="str">
        <f>IFERROR(IF(C306=0,"Excluded",IF(OR(COUNTIFS('Fleet register'!$A$7:$A$106,A306)&lt;&gt;1,COUNTIFS('Replacement plan'!$A$7:$A$106,A306)&lt;&gt;1),"Duplicate/missing ID",IF(NOT(AND(ISNUMBER(VLOOKUP($A306,'Fleet register'!$A$7:$S$106,5,FALSE)),ISNUMBER(VLOOKUP($A306,'Fleet register'!$A$7:$S$106,6,FALSE)),ISNUMBER(VLOOKUP($A306,'Fleet register'!$A$7:$S$106,10,FALSE)),ISNUMBER(VLOOKUP($A306,'Fleet register'!$A$7:$S$106,11,FALSE)),ISNUMBER(VLOOKUP($A306,'Fleet register'!$A$7:$S$106,12,FALSE)),ISNUMBER(VLOOKUP($A306,'Fleet register'!$A$7:$S$106,13,FALSE)),ISNUMBER(VLOOKUP($A306,'Fleet register'!$A$7:$S$106,14,FALSE)),VLOOKUP($A306,'Fleet register'!$A$7:$S$106,14,FALSE)&gt;0,ISNUMBER('Replacement plan'!$C$81),OR(E306=120,ISNUMBER('Replacement plan'!$T$81)),ISNUMBER(E306))),"Missing vehicle input",IF(OR(E306&lt;0,E306&gt;VLOOKUP($A306,'Fleet register'!$A$7:$S$106,10,FALSE),E306&gt;120,E306&lt;&gt;INT(E306),VLOOKUP($A306,'Fleet register'!$A$7:$S$106,6,FALSE)&lt;=0,VLOOKUP($A306,'Fleet register'!$A$7:$S$106,6,FALSE)&gt;366,VLOOKUP($A306,'Fleet register'!$A$7:$S$106,5,FALSE)&lt;0,VLOOKUP($A306,'Fleet register'!$A$7:$S$106,11,FALSE)&lt;0,I306&lt;0,'Operating costs'!$B$8&lt;='Operating costs'!$B$7*'Operating costs'!$B$9,'Operating costs'!$B$11&lt;=0,'Operating costs'!$B$39&gt;R306,'Operating costs'!$B$40&gt;R306,'Operating costs'!$B$41&gt;R306,NOT(OR('Replacement plan'!$R$81="Keep ICE",'Replacement plan'!$R$81="New ICE",'Replacement plan'!$R$81="EV"))),"Invalid vehicle input",IF(AND(D306="EV",E306&lt;120,OR(NOT(ISNUMBER(U306)),NOT(ISNUMBER(V306)),V306&lt;=0,T306&lt;0,T306&gt;1,'Replacement plan'!$L$81&lt;=0,'Operating costs'!$B$44&lt;0,'Operating costs'!$B$44&gt;=1,'Operating costs'!$B$47&lt;=0,'Operating costs'!$B$47&gt;1,V306*'Operating costs'!$B$47/(1-'Operating costs'!$B$44)&lt;=T306*'Operating costs'!$B$12*U306,AND('Replacement plan'!$Z$81&gt;0,OR('Replacement plan'!$AB$81&lt;&gt;"Yes",'Operating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charging'!$C$8&gt;=0))),ISNUMBER(VLOOKUP($A306,'Fleet register'!$A$7:$S$106,15,FALSE)),ISNUMBER(VLOOKUP($A306,'Fleet register'!$A$7:$S$106,16,FALSE)),ISNUMBER('Replacement plan'!$W$81),ISNUMBER('Replacement plan'!$X$81),OR(E306=120,AND(ISNUMBER(G306),G306&gt;=0)),ISNUMBER(H306),H306&gt;=0,OR(D306&lt;&gt;"EV",E306=120,AND(ISNUMBER('Operating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average",ISNUMBER(IFERROR(INDEX(Products!$P$7:$P$13,MATCH(AD306,Products!$A$7:$A$13,0)),"")))),ISNUMBER('Operating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plan'!$Y$81),ISNUMBER('Replacement plan'!$Z$81),'Replacement plan'!$Z$81&gt;=0,ISNUMBER('Replacement plan'!$AA$81),'Replacement plan'!$AA$81&gt;=0,'Replacement plan'!$AA$81=INT('Replacement plan'!$AA$81),ISNUMBER('Replacement plan'!$L$81))),'Operating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plan'!$AG$81="",'Operating costs'!$B$7,'Replacement plan'!$AG$81)),IF('Replacement plan'!$AG$81="",'Operating costs'!$B$7,'Replacement plan'!$AG$81)&gt;=0,ISNUMBER(IF('Replacement plan'!$AH$81="",'Operating costs'!$B$7,'Replacement plan'!$AH$81)),IF('Replacement plan'!$AH$81="",'Operating costs'!$B$7,'Replacement plan'!$AH$81)&gt;=0,'Operating costs'!$B$8&gt;MAX(IF('Replacement plan'!$AG$81="",'Operating costs'!$B$7,'Replacement plan'!$AG$81),IF('Replacement plan'!$AH$81="",'Operating costs'!$B$7,'Replacement plan'!$AH$81))*'Operating costs'!$B$9),IF(AND(VLOOKUP($A306,'Fleet register'!$A$7:$S$106,10,FALSE)&gt;=0,VLOOKUP($A306,'Fleet register'!$A$7:$S$106,10,FALSE)&lt;=120,VLOOKUP($A306,'Fleet register'!$A$7:$S$106,10,FALSE)=INT(VLOOKUP($A306,'Fleet register'!$A$7:$S$106,10,FALSE)),VLOOKUP($A306,'Fleet register'!$A$7:$S$106,15,FALSE)&gt;=0,VLOOKUP($A306,'Fleet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costs'!$B$67)&gt;=0,OR(D306&lt;&gt;"EV",E306=120,AND(MIN('Operating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06" s="1" t="str">
        <f>IF(C306=0,"Excluded",IF(P306&lt;&gt;"Complete",P306,IF(OR('Replacement plan'!$AD$81&lt;120-E306,AND(D306="EV",E306&lt;120,OR('Replacement plan'!$AC$81&lt;120-E306,'Replacement plan'!$I$81="No",AND(ISNUMBER(AF306),AE306&gt;AF306),AI306&gt;V306*(1-'Operating costs'!$B$46)^MAX(0,AB306-1)*(1-'Operating costs'!$B$45),AC306&gt;'Operating costs'!$B$18,AND(T306&lt;1,OR(AG306&lt;=0,AND(ISNUMBER(AH306),AG306&gt;AH306))),'Replacement plan'!$L$81&gt;INDEX(Products!$H$7:$H$13,MATCH('Replacement plan'!$B$81,Products!$A$7:$A$13,0))))),"Fails entered limits",IF(AND(D306="EV",E306&lt;120,OR(NOT(ISNUMBER(VLOOKUP($A306,'Fleet register'!$A$7:$S$106,7,FALSE))),NOT(ISNUMBER(VLOOKUP($A306,'Fleet register'!$A$7:$S$106,8,FALSE))),NOT(ISNUMBER(AF306)),'Replacement plan'!$I$81&lt;&gt;"Yes",NOT(ISNUMBER(AH306)),'Operating costs'!$B$59&lt;&gt;"Yes",'Operating costs'!$B$58&lt;&gt;"Yes")),"Unverified","Within entered limits"))))</f>
        <v>Excluded</v>
      </c>
      <c r="R306" s="1">
        <f>IF(C306=0,0,VLOOKUP($A306,'Fleet register'!$A$7:$S$106,6,FALSE))</f>
        <v>0</v>
      </c>
      <c r="S306" s="1">
        <f>IF(C306=0,0,VLOOKUP($A306,'Fleet register'!$A$7:$S$106,5,FALSE))</f>
        <v>0</v>
      </c>
      <c r="T306" s="1">
        <f>IF(D306="EV",'Energy and charging'!$C$12,0)</f>
        <v>0</v>
      </c>
      <c r="U306" s="1">
        <f>IFERROR(IF(C306=0,0,IF(D306="EV",IF('Replacement plan'!$F$81="",INDEX(Products!$E$7:$E$13,MATCH('Replacement plan'!$B$81,Products!$A$7:$A$13,0)),'Replacement plan'!$F$81)/IF('Replacement plan'!$G$81="Battery",1-'Operating costs'!$B$44,1),0)),"n.a.")</f>
        <v>0</v>
      </c>
      <c r="V306" s="1">
        <f>IFERROR(IF(C306=0,0,IF(D306="EV",IF('Replacement plan'!$E$81="",INDEX(Products!$D$7:$D$13,MATCH('Replacement plan'!$B$81,Products!$A$7:$A$13,0)),'Replacement plan'!$E$81),0)),"n.a.")</f>
        <v>0</v>
      </c>
      <c r="W306" s="1">
        <f>IF(C306=0,0,IF(AND(P306="Complete",D306="EV",E306&lt;120),IF(T306=0,0,ROUNDUP(T306*(R306-'Operating costs'!$B$41)*(S306*U306+'Operating costs'!$B$48/(1-'Operating costs'!$B$44))/(V306*'Operating costs'!$B$47/(1-'Operating costs'!$B$44)-T306*'Operating costs'!$B$12*U306),0)),0))</f>
        <v>0</v>
      </c>
      <c r="X306" s="1">
        <f>IF(C306=0,0,IF(AND(P306="Complete",D306="EV",E306&lt;120),(R306-'Operating costs'!$B$41)*(S306*U306+'Operating costs'!$B$48/(1-'Operating costs'!$B$44))+W306*'Operating costs'!$B$12*U306,0))</f>
        <v>0</v>
      </c>
      <c r="Y306" s="1">
        <f>IF(AND(C306=1,D306="EV",E306&lt;120),AI306/(1-'Operating costs'!$B$44)*(1-T306),0)</f>
        <v>0</v>
      </c>
      <c r="Z306" s="1">
        <f t="shared" si="8"/>
        <v>0</v>
      </c>
      <c r="AA306" s="1">
        <f>IF(C306=0,0,IF(P306="Complete",((S306*(R306-'Operating costs'!$B$40))+ROUNDUP(S306*(R306-'Operating costs'!$B$40)*IF('Replacement plan'!$AH$81="",'Operating costs'!$B$7,'Replacement plan'!$AH$81)/('Operating costs'!$B$8-'Operating costs'!$B$9*IF('Replacement plan'!$AH$81="",'Operating costs'!$B$7,'Replacement plan'!$AH$81)),0)*'Operating costs'!$B$9)*IF('Replacement plan'!$AH$81="",'Operating costs'!$B$7,'Replacement plan'!$AH$81),"n.a."))</f>
        <v>0</v>
      </c>
      <c r="AB306" s="1">
        <f t="shared" si="9"/>
        <v>0</v>
      </c>
      <c r="AC306" s="1">
        <f>IF(AND(C306=1,D306="EV",E306&lt;120,T306&gt;0),'Operating costs'!$B$12/'Operating costs'!$B$11*60+'Operating costs'!$B$13+'Operating costs'!$B$14+V306*'Operating costs'!$B$47/(1-'Operating costs'!$B$44)/'Replacement plan'!$L$81*60,0)</f>
        <v>0</v>
      </c>
      <c r="AD306" s="1" t="str">
        <f>'Replacement plan'!$B$81</f>
        <v>ChengLong L2EV</v>
      </c>
      <c r="AE306" s="1">
        <f>IF(C306=0,0,VLOOKUP($A306,'Fleet register'!$A$7:$S$106,8,FALSE))</f>
        <v>0</v>
      </c>
      <c r="AF306" s="1" t="str">
        <f>IF('Replacement plan'!$H$81="","n.a.",'Replacement plan'!$H$81)</f>
        <v>n.a.</v>
      </c>
      <c r="AG306" s="1">
        <f>'Replacement plan'!$J$81</f>
        <v>22</v>
      </c>
      <c r="AH306" s="1">
        <f>IFERROR(IF(D306="EV",IF('Replacement plan'!$K$81="AC",IF(ISNUMBER(INDEX(Products!$G$7:$G$13,MATCH('Replacement plan'!$B$81,Products!$A$7:$A$13,0))),INDEX(Products!$G$7:$G$13,MATCH('Replacement plan'!$B$81,Products!$A$7:$A$13,0)),"n.a."),IF(ISNUMBER(INDEX(Products!$H$7:$H$13,MATCH('Replacement plan'!$B$81,Products!$A$7:$A$13,0))),INDEX(Products!$H$7:$H$13,MATCH('Replacement plan'!$B$81,Products!$A$7:$A$13,0)),"n.a.")),0),"n.a.")</f>
        <v>0</v>
      </c>
      <c r="AI306" s="1">
        <f>IF(AND(C306=1,D306="EV",E306&lt;120),(VLOOKUP($A306,'Fleet register'!$A$7:$S$106,7,FALSE)+IF(T306&gt;0,'Operating costs'!$B$12,0))*U306*(1-'Operating costs'!$B$44)+'Operating costs'!$B$49,0)</f>
        <v>0</v>
      </c>
      <c r="AJ306" s="1">
        <f>IF(D306="EV",'Energy and charging'!$C$50,0)</f>
        <v>0</v>
      </c>
      <c r="AK306" s="17">
        <f>EDATE('Operating costs'!$B$63,E306)</f>
        <v>46298</v>
      </c>
      <c r="AL306" s="1">
        <f>IFERROR(IF(D306="EV",INDEX(Products!$B$7:$B$13,MATCH('Replacement plan'!$B$81,Products!$A$7:$A$13,0)),0),"n.a.")</f>
        <v>0</v>
      </c>
      <c r="AM306" s="1" t="str">
        <f>'Replacement plan'!$K$81</f>
        <v>DC</v>
      </c>
      <c r="AN306" s="1" t="str">
        <f>'Replacement plan'!$AE$81</f>
        <v>Assumed</v>
      </c>
      <c r="AO306" s="47">
        <f>IF(AND(C306=1,D306="EV",E306&lt;120),(R306-'Operating costs'!$B$41)*S306+W306*'Operating costs'!$B$12,0)</f>
        <v>0</v>
      </c>
      <c r="AP306" s="41">
        <f>IF(AND(C306=1,D306="EV",E306&lt;120),IF('Operating costs'!$B$68="Hong Seh 200k average",AO306*IFERROR(INDEX(Products!$P$7:$P$13,MATCH(AD306,Products!$A$7:$A$13,0)),"n.a."),'Operating costs'!$B$26),0)</f>
        <v>0</v>
      </c>
      <c r="AQ306" s="40" t="str">
        <f>IF(D306="EV",'Operating costs'!$B$68,"Not applicable")</f>
        <v>Not applicable</v>
      </c>
    </row>
    <row r="307" spans="1:43" ht="24" customHeight="1">
      <c r="A307" s="1" t="str">
        <f>'Replacement plan'!A82</f>
        <v>T076</v>
      </c>
      <c r="B307" s="1">
        <v>0</v>
      </c>
      <c r="C307" s="1">
        <f>IF(COUNTIFS('Fleet register'!$A$7:$A$106,$A307)=1,VLOOKUP($A307,'Fleet register'!$A$7:$S$106,2,FALSE),0)</f>
        <v>0</v>
      </c>
      <c r="D307" s="1" t="str">
        <f>IF("Keep ICE"="EV","EV","ICE")</f>
        <v>ICE</v>
      </c>
      <c r="E307" s="1">
        <f>IF(C307=0,0,IF('Replacement plan'!$M$82="",VLOOKUP($A307,'Fleet register'!$A$7:$S$106,10,FALSE),'Replacement plan'!$M$82))</f>
        <v>0</v>
      </c>
      <c r="F307" s="16">
        <f>IF(C307=0,0,VLOOKUP($A307,'Fleet register'!$A$7:$S$106,11,FALSE))</f>
        <v>0</v>
      </c>
      <c r="G307" s="16">
        <f>IFERROR(IF(C307=0,0,IF(E307=120,0,IF(D307="ICE",'Replacement plan'!$C$82,IF('Replacement plan'!$D$82="",INDEX(Products!$I$7:$I$13,MATCH('Replacement plan'!$B$82,Products!$A$7:$A$13,0))+'Operating costs'!$B$57,'Replacement plan'!$D$82))*(1+'Operating costs'!$B$50)^(E307/12))),"n.a.")</f>
        <v>0</v>
      </c>
      <c r="H307" s="16">
        <f>IFERROR(IF(C307=0,0,IF(E307=0,F307,VLOOKUP($A307,'Fleet register'!$A$7:$S$106,12,FALSE)+VLOOKUP($A307,'Fleet register'!$A$7:$S$106,13,FALSE)*MAX(0,VLOOKUP($A307,'Fleet register'!$A$7:$S$106,10,FALSE)-E307)/VLOOKUP($A307,'Fleet register'!$A$7:$S$106,14,FALSE))),"n.a.")</f>
        <v>0</v>
      </c>
      <c r="I307" s="16">
        <f>IF(C307=0,0,IF(E307=120,0,'Replacement plan'!$N$82))</f>
        <v>0</v>
      </c>
      <c r="J307" s="16">
        <f>IF(C307=0,0,IF(P307="Complete",((S307*(R307-'Operating costs'!$B$39))+ROUNDUP(S307*(R307-'Operating costs'!$B$39)*IF('Replacement plan'!$AG$82="",'Operating costs'!$B$7,'Replacement plan'!$AG$82)/('Operating costs'!$B$8-'Operating costs'!$B$9*IF('Replacement plan'!$AG$82="",'Operating costs'!$B$7,'Replacement plan'!$AG$82)),0)*'Operating costs'!$B$9)*IF('Replacement plan'!$AG$82="",'Operating costs'!$B$7,'Replacement plan'!$AG$82)*('Energy and charging'!$B$9*'Energy and charging'!$B$7+(1-'Energy and charging'!$B$9)*'Energy and charging'!$B$8)*'Operating costs'!$B$23,"n.a."))</f>
        <v>0</v>
      </c>
      <c r="K307" s="16">
        <f>IF(C307=0,0,IF(P307="Complete",SUM('Operating costs'!$B$24,'Operating costs'!$B$27,'Operating costs'!$B$29,'Operating costs'!$B$31,'Operating costs'!$B$33,'Operating costs'!$B$34,'Operating costs'!$B$37,'Replacement plan'!$W$82)+'Operating costs'!$B$39*'Operating costs'!$B$42+ROUNDUP(S307*(R307-'Operating costs'!$B$39)*IF('Replacement plan'!$AG$82="",'Operating costs'!$B$7,'Replacement plan'!$AG$82)/('Operating costs'!$B$8-'Operating costs'!$B$9*IF('Replacement plan'!$AG$82="",'Operating costs'!$B$7,'Replacement plan'!$AG$82)),0)*('Operating costs'!$B$9/'Operating costs'!$B$11+'Operating costs'!$B$10/60)*'Operating costs'!$B$19*'Operating costs'!$B$21,"n.a."))</f>
        <v>0</v>
      </c>
      <c r="L307" s="16">
        <f>IF(C307=0,0,IF(P307="Complete",IF(D307="EV",X307*((1-T307)*'Energy and charging'!$B$10+T307*'Energy and charging'!$B$11)*'Operating costs'!$B$22,AA307*('Energy and charging'!$B$9*'Energy and charging'!$B$7+(1-'Energy and charging'!$B$9)*'Energy and charging'!$B$8)*'Operating costs'!$B$23),"n.a."))</f>
        <v>0</v>
      </c>
      <c r="M307" s="37">
        <f>IF(C307=0,0,IF(P307="Complete",IF(D307="ICE",SUM('Operating costs'!$B$25,'Operating costs'!$B$27,'Operating costs'!$B$29,'Operating costs'!$B$31,'Operating costs'!$B$33,'Operating costs'!$B$35,'Operating costs'!$B$37,'Replacement plan'!$X$82)+'Operating costs'!$B$40*'Operating costs'!$B$42+ROUNDUP(S307*(R307-'Operating costs'!$B$40)*IF('Replacement plan'!$AH$82="",'Operating costs'!$B$7,'Replacement plan'!$AH$82)/('Operating costs'!$B$8-'Operating costs'!$B$9*IF('Replacement plan'!$AH$82="",'Operating costs'!$B$7,'Replacement plan'!$AH$82)),0)*('Operating costs'!$B$9/'Operating costs'!$B$11+'Operating costs'!$B$10/60)*'Operating costs'!$B$19*'Operating costs'!$B$21,SUM(AP307,'Operating costs'!$B$28,'Operating costs'!$B$30,'Operating costs'!$B$32,'Operating costs'!$B$33,'Operating costs'!$B$36,'Operating costs'!$B$38,'Replacement plan'!$Y$82)+'Operating costs'!$B$41*'Operating costs'!$B$43+W307*'Operating costs'!$B$15+(T307*X307/'Replacement plan'!$L$82+W307*('Operating costs'!$B$12/'Operating costs'!$B$11+('Operating costs'!$B$13+'Operating costs'!$B$14)/60)+(R307-'Operating costs'!$B$41)*(IF(T307&lt;1,'Operating costs'!$B$16,0)+'Operating costs'!$B$17)/60)*'Operating costs'!$B$19*'Operating costs'!$B$20),"n.a."))</f>
        <v>0</v>
      </c>
      <c r="N307" s="16">
        <f>IF(AND(C307=1,D307="EV",E307&lt;120,E307+'Replacement plan'!$AA$82&lt;=120),'Replacement plan'!$Z$82,0)</f>
        <v>0</v>
      </c>
      <c r="O307" s="1">
        <f>E307+'Replacement plan'!$AA$82</f>
        <v>0</v>
      </c>
      <c r="P307" s="35" t="str">
        <f>IFERROR(IF(C307=0,"Excluded",IF(OR(COUNTIFS('Fleet register'!$A$7:$A$106,A307)&lt;&gt;1,COUNTIFS('Replacement plan'!$A$7:$A$106,A307)&lt;&gt;1),"Duplicate/missing ID",IF(NOT(AND(ISNUMBER(VLOOKUP($A307,'Fleet register'!$A$7:$S$106,5,FALSE)),ISNUMBER(VLOOKUP($A307,'Fleet register'!$A$7:$S$106,6,FALSE)),ISNUMBER(VLOOKUP($A307,'Fleet register'!$A$7:$S$106,10,FALSE)),ISNUMBER(VLOOKUP($A307,'Fleet register'!$A$7:$S$106,11,FALSE)),ISNUMBER(VLOOKUP($A307,'Fleet register'!$A$7:$S$106,12,FALSE)),ISNUMBER(VLOOKUP($A307,'Fleet register'!$A$7:$S$106,13,FALSE)),ISNUMBER(VLOOKUP($A307,'Fleet register'!$A$7:$S$106,14,FALSE)),VLOOKUP($A307,'Fleet register'!$A$7:$S$106,14,FALSE)&gt;0,ISNUMBER('Replacement plan'!$C$82),OR(E307=120,ISNUMBER('Replacement plan'!$N$82)),ISNUMBER(E307))),"Missing vehicle input",IF(OR(E307&lt;0,E307&gt;VLOOKUP($A307,'Fleet register'!$A$7:$S$106,10,FALSE),E307&gt;120,E307&lt;&gt;INT(E307),VLOOKUP($A307,'Fleet register'!$A$7:$S$106,6,FALSE)&lt;=0,VLOOKUP($A307,'Fleet register'!$A$7:$S$106,6,FALSE)&gt;366,VLOOKUP($A307,'Fleet register'!$A$7:$S$106,5,FALSE)&lt;0,VLOOKUP($A307,'Fleet register'!$A$7:$S$106,11,FALSE)&lt;0,I307&lt;0,'Operating costs'!$B$8&lt;='Operating costs'!$B$7*'Operating costs'!$B$9,'Operating costs'!$B$11&lt;=0,'Operating costs'!$B$39&gt;R307,'Operating costs'!$B$40&gt;R307,'Operating costs'!$B$41&gt;R307,NOT(OR("Keep ICE"="Keep ICE","Keep ICE"="New ICE","Keep ICE"="EV"))),"Invalid vehicle input",IF(AND(D307="EV",E307&lt;120,OR(NOT(ISNUMBER(U307)),NOT(ISNUMBER(V307)),V307&lt;=0,T307&lt;0,T307&gt;1,'Replacement plan'!$L$82&lt;=0,'Operating costs'!$B$44&lt;0,'Operating costs'!$B$44&gt;=1,'Operating costs'!$B$47&lt;=0,'Operating costs'!$B$47&gt;1,V307*'Operating costs'!$B$47/(1-'Operating costs'!$B$44)&lt;=T307*'Operating costs'!$B$12*U307,AND('Replacement plan'!$Z$82&gt;0,OR('Replacement plan'!$AB$82&lt;&gt;"Yes",'Operating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charging'!$B$8&gt;=0))),ISNUMBER(VLOOKUP($A307,'Fleet register'!$A$7:$S$106,15,FALSE)),ISNUMBER(VLOOKUP($A307,'Fleet register'!$A$7:$S$106,16,FALSE)),ISNUMBER('Replacement plan'!$W$82),ISNUMBER('Replacement plan'!$X$82),OR(E307=120,AND(ISNUMBER(G307),G307&gt;=0)),ISNUMBER(H307),H307&gt;=0,OR(D307&lt;&gt;"EV",E307=120,AND(ISNUMBER('Operating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average",ISNUMBER(IFERROR(INDEX(Products!$P$7:$P$13,MATCH(AD307,Products!$A$7:$A$13,0)),"")))),ISNUMBER('Operating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plan'!$Y$82),ISNUMBER('Replacement plan'!$Z$82),'Replacement plan'!$Z$82&gt;=0,ISNUMBER('Replacement plan'!$AA$82),'Replacement plan'!$AA$82&gt;=0,'Replacement plan'!$AA$82=INT('Replacement plan'!$AA$82),ISNUMBER('Replacement plan'!$L$82))),'Operating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plan'!$AG$82="",'Operating costs'!$B$7,'Replacement plan'!$AG$82)),IF('Replacement plan'!$AG$82="",'Operating costs'!$B$7,'Replacement plan'!$AG$82)&gt;=0,ISNUMBER(IF('Replacement plan'!$AH$82="",'Operating costs'!$B$7,'Replacement plan'!$AH$82)),IF('Replacement plan'!$AH$82="",'Operating costs'!$B$7,'Replacement plan'!$AH$82)&gt;=0,'Operating costs'!$B$8&gt;MAX(IF('Replacement plan'!$AG$82="",'Operating costs'!$B$7,'Replacement plan'!$AG$82),IF('Replacement plan'!$AH$82="",'Operating costs'!$B$7,'Replacement plan'!$AH$82))*'Operating costs'!$B$9),IF(AND(VLOOKUP($A307,'Fleet register'!$A$7:$S$106,10,FALSE)&gt;=0,VLOOKUP($A307,'Fleet register'!$A$7:$S$106,10,FALSE)&lt;=120,VLOOKUP($A307,'Fleet register'!$A$7:$S$106,10,FALSE)=INT(VLOOKUP($A307,'Fleet register'!$A$7:$S$106,10,FALSE)),VLOOKUP($A307,'Fleet register'!$A$7:$S$106,15,FALSE)&gt;=0,VLOOKUP($A307,'Fleet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costs'!$B$67)&gt;=0,OR(D307&lt;&gt;"EV",E307=120,AND(MIN('Operating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07" s="1" t="str">
        <f>IF(C307=0,"Excluded",IF(P307&lt;&gt;"Complete",P307,IF(OR('Replacement plan'!$AD$82&lt;120-E307,AND(D307="EV",E307&lt;120,OR('Replacement plan'!$AC$82&lt;120-E307,'Replacement plan'!$I$82="No",AND(ISNUMBER(AF307),AE307&gt;AF307),AI307&gt;V307*(1-'Operating costs'!$B$46)^MAX(0,AB307-1)*(1-'Operating costs'!$B$45),AC307&gt;'Operating costs'!$B$18,AND(T307&lt;1,OR(AG307&lt;=0,AND(ISNUMBER(AH307),AG307&gt;AH307))),'Replacement plan'!$L$82&gt;INDEX(Products!$H$7:$H$13,MATCH('Replacement plan'!$B$82,Products!$A$7:$A$13,0))))),"Fails entered limits",IF(AND(D307="EV",E307&lt;120,OR(NOT(ISNUMBER(VLOOKUP($A307,'Fleet register'!$A$7:$S$106,7,FALSE))),NOT(ISNUMBER(VLOOKUP($A307,'Fleet register'!$A$7:$S$106,8,FALSE))),NOT(ISNUMBER(AF307)),'Replacement plan'!$I$82&lt;&gt;"Yes",NOT(ISNUMBER(AH307)),'Operating costs'!$B$59&lt;&gt;"Yes",'Operating costs'!$B$58&lt;&gt;"Yes")),"Unverified","Within entered limits"))))</f>
        <v>Excluded</v>
      </c>
      <c r="R307" s="1">
        <f>IF(C307=0,0,VLOOKUP($A307,'Fleet register'!$A$7:$S$106,6,FALSE))</f>
        <v>0</v>
      </c>
      <c r="S307" s="1">
        <f>IF(C307=0,0,VLOOKUP($A307,'Fleet register'!$A$7:$S$106,5,FALSE))</f>
        <v>0</v>
      </c>
      <c r="T307" s="1">
        <f>IF(D307="EV",'Energy and charging'!$B$12,0)</f>
        <v>0</v>
      </c>
      <c r="U307" s="1">
        <f>IFERROR(IF(C307=0,0,IF(D307="EV",IF('Replacement plan'!$F$82="",INDEX(Products!$E$7:$E$13,MATCH('Replacement plan'!$B$82,Products!$A$7:$A$13,0)),'Replacement plan'!$F$82)/IF('Replacement plan'!$G$82="Battery",1-'Operating costs'!$B$44,1),0)),"n.a.")</f>
        <v>0</v>
      </c>
      <c r="V307" s="1">
        <f>IFERROR(IF(C307=0,0,IF(D307="EV",IF('Replacement plan'!$E$82="",INDEX(Products!$D$7:$D$13,MATCH('Replacement plan'!$B$82,Products!$A$7:$A$13,0)),'Replacement plan'!$E$82),0)),"n.a.")</f>
        <v>0</v>
      </c>
      <c r="W307" s="1">
        <f>IF(C307=0,0,IF(AND(P307="Complete",D307="EV",E307&lt;120),IF(T307=0,0,ROUNDUP(T307*(R307-'Operating costs'!$B$41)*(S307*U307+'Operating costs'!$B$48/(1-'Operating costs'!$B$44))/(V307*'Operating costs'!$B$47/(1-'Operating costs'!$B$44)-T307*'Operating costs'!$B$12*U307),0)),0))</f>
        <v>0</v>
      </c>
      <c r="X307" s="1">
        <f>IF(C307=0,0,IF(AND(P307="Complete",D307="EV",E307&lt;120),(R307-'Operating costs'!$B$41)*(S307*U307+'Operating costs'!$B$48/(1-'Operating costs'!$B$44))+W307*'Operating costs'!$B$12*U307,0))</f>
        <v>0</v>
      </c>
      <c r="Y307" s="1">
        <f>IF(AND(C307=1,D307="EV",E307&lt;120),AI307/(1-'Operating costs'!$B$44)*(1-T307),0)</f>
        <v>0</v>
      </c>
      <c r="Z307" s="1">
        <f t="shared" si="8"/>
        <v>0</v>
      </c>
      <c r="AA307" s="1">
        <f>IF(C307=0,0,IF(P307="Complete",((S307*(R307-'Operating costs'!$B$40))+ROUNDUP(S307*(R307-'Operating costs'!$B$40)*IF('Replacement plan'!$AH$82="",'Operating costs'!$B$7,'Replacement plan'!$AH$82)/('Operating costs'!$B$8-'Operating costs'!$B$9*IF('Replacement plan'!$AH$82="",'Operating costs'!$B$7,'Replacement plan'!$AH$82)),0)*'Operating costs'!$B$9)*IF('Replacement plan'!$AH$82="",'Operating costs'!$B$7,'Replacement plan'!$AH$82),"n.a."))</f>
        <v>0</v>
      </c>
      <c r="AB307" s="1">
        <f t="shared" si="9"/>
        <v>0</v>
      </c>
      <c r="AC307" s="1">
        <f>IF(AND(C307=1,D307="EV",E307&lt;120,T307&gt;0),'Operating costs'!$B$12/'Operating costs'!$B$11*60+'Operating costs'!$B$13+'Operating costs'!$B$14+V307*'Operating costs'!$B$47/(1-'Operating costs'!$B$44)/'Replacement plan'!$L$82*60,0)</f>
        <v>0</v>
      </c>
      <c r="AD307" s="1" t="str">
        <f>'Replacement plan'!$B$82</f>
        <v>ChengLong L2EV</v>
      </c>
      <c r="AE307" s="1">
        <f>IF(C307=0,0,VLOOKUP($A307,'Fleet register'!$A$7:$S$106,8,FALSE))</f>
        <v>0</v>
      </c>
      <c r="AF307" s="1" t="str">
        <f>IF('Replacement plan'!$H$82="","n.a.",'Replacement plan'!$H$82)</f>
        <v>n.a.</v>
      </c>
      <c r="AG307" s="1">
        <f>'Replacement plan'!$J$82</f>
        <v>22</v>
      </c>
      <c r="AH307" s="1">
        <f>IFERROR(IF(D307="EV",IF('Replacement plan'!$K$82="AC",IF(ISNUMBER(INDEX(Products!$G$7:$G$13,MATCH('Replacement plan'!$B$82,Products!$A$7:$A$13,0))),INDEX(Products!$G$7:$G$13,MATCH('Replacement plan'!$B$82,Products!$A$7:$A$13,0)),"n.a."),IF(ISNUMBER(INDEX(Products!$H$7:$H$13,MATCH('Replacement plan'!$B$82,Products!$A$7:$A$13,0))),INDEX(Products!$H$7:$H$13,MATCH('Replacement plan'!$B$82,Products!$A$7:$A$13,0)),"n.a.")),0),"n.a.")</f>
        <v>0</v>
      </c>
      <c r="AI307" s="1">
        <f>IF(AND(C307=1,D307="EV",E307&lt;120),(VLOOKUP($A307,'Fleet register'!$A$7:$S$106,7,FALSE)+IF(T307&gt;0,'Operating costs'!$B$12,0))*U307*(1-'Operating costs'!$B$44)+'Operating costs'!$B$49,0)</f>
        <v>0</v>
      </c>
      <c r="AJ307" s="1">
        <f>IF(D307="EV",'Energy and charging'!$B$50,0)</f>
        <v>0</v>
      </c>
      <c r="AK307" s="17">
        <f>EDATE('Operating costs'!$B$63,E307)</f>
        <v>46298</v>
      </c>
      <c r="AL307" s="1">
        <f>IFERROR(IF(D307="EV",INDEX(Products!$B$7:$B$13,MATCH('Replacement plan'!$B$82,Products!$A$7:$A$13,0)),0),"n.a.")</f>
        <v>0</v>
      </c>
      <c r="AM307" s="1" t="str">
        <f>'Replacement plan'!$K$82</f>
        <v>DC</v>
      </c>
      <c r="AN307" s="1" t="str">
        <f>'Replacement plan'!$AE$82</f>
        <v>Assumed</v>
      </c>
      <c r="AO307" s="47">
        <f>IF(AND(C307=1,D307="EV",E307&lt;120),(R307-'Operating costs'!$B$41)*S307+W307*'Operating costs'!$B$12,0)</f>
        <v>0</v>
      </c>
      <c r="AP307" s="41">
        <f>IF(AND(C307=1,D307="EV",E307&lt;120),IF('Operating costs'!$B$68="Hong Seh 200k average",AO307*IFERROR(INDEX(Products!$P$7:$P$13,MATCH(AD307,Products!$A$7:$A$13,0)),"n.a."),'Operating costs'!$B$26),0)</f>
        <v>0</v>
      </c>
      <c r="AQ307" s="40" t="str">
        <f>IF(D307="EV",'Operating costs'!$B$68,"Not applicable")</f>
        <v>Not applicable</v>
      </c>
    </row>
    <row r="308" spans="1:43" ht="24" customHeight="1">
      <c r="A308" s="1" t="str">
        <f>'Replacement plan'!A82</f>
        <v>T076</v>
      </c>
      <c r="B308" s="1">
        <v>1</v>
      </c>
      <c r="C308" s="1">
        <f>IF(COUNTIFS('Fleet register'!$A$7:$A$106,$A308)=1,VLOOKUP($A308,'Fleet register'!$A$7:$S$106,2,FALSE),0)</f>
        <v>0</v>
      </c>
      <c r="D308" s="1" t="str">
        <f>IF("New ICE"="EV","EV","ICE")</f>
        <v>ICE</v>
      </c>
      <c r="E308" s="1">
        <f>IF(C308=0,0,0)</f>
        <v>0</v>
      </c>
      <c r="F308" s="16">
        <f>IF(C308=0,0,VLOOKUP($A308,'Fleet register'!$A$7:$S$106,11,FALSE))</f>
        <v>0</v>
      </c>
      <c r="G308" s="16">
        <f>IFERROR(IF(C308=0,0,IF(E308=120,0,IF(D308="ICE",'Replacement plan'!$C$82,IF('Replacement plan'!$D$82="",INDEX(Products!$I$7:$I$13,MATCH('Replacement plan'!$B$82,Products!$A$7:$A$13,0))+'Operating costs'!$B$57,'Replacement plan'!$D$82))*(1+'Operating costs'!$B$50)^(E308/12))),"n.a.")</f>
        <v>0</v>
      </c>
      <c r="H308" s="16">
        <f>IFERROR(IF(C308=0,0,IF(E308=0,F308,VLOOKUP($A308,'Fleet register'!$A$7:$S$106,12,FALSE)+VLOOKUP($A308,'Fleet register'!$A$7:$S$106,13,FALSE)*MAX(0,VLOOKUP($A308,'Fleet register'!$A$7:$S$106,10,FALSE)-E308)/VLOOKUP($A308,'Fleet register'!$A$7:$S$106,14,FALSE))),"n.a.")</f>
        <v>0</v>
      </c>
      <c r="I308" s="16">
        <f>IF(C308=0,0,IF(E308=120,0,IF('Replacement plan'!$AI$82="",'Operating costs'!$B$56,'Replacement plan'!$AI$82)))</f>
        <v>0</v>
      </c>
      <c r="J308" s="16">
        <f>IF(C308=0,0,IF(P308="Complete",((S308*(R308-'Operating costs'!$B$39))+ROUNDUP(S308*(R308-'Operating costs'!$B$39)*IF('Replacement plan'!$AG$82="",'Operating costs'!$B$7,'Replacement plan'!$AG$82)/('Operating costs'!$B$8-'Operating costs'!$B$9*IF('Replacement plan'!$AG$82="",'Operating costs'!$B$7,'Replacement plan'!$AG$82)),0)*'Operating costs'!$B$9)*IF('Replacement plan'!$AG$82="",'Operating costs'!$B$7,'Replacement plan'!$AG$82)*('Energy and charging'!$B$9*'Energy and charging'!$B$7+(1-'Energy and charging'!$B$9)*'Energy and charging'!$B$8)*'Operating costs'!$B$23,"n.a."))</f>
        <v>0</v>
      </c>
      <c r="K308" s="16">
        <f>IF(C308=0,0,IF(P308="Complete",SUM('Operating costs'!$B$24,'Operating costs'!$B$27,'Operating costs'!$B$29,'Operating costs'!$B$31,'Operating costs'!$B$33,'Operating costs'!$B$34,'Operating costs'!$B$37,'Replacement plan'!$W$82)+'Operating costs'!$B$39*'Operating costs'!$B$42+ROUNDUP(S308*(R308-'Operating costs'!$B$39)*IF('Replacement plan'!$AG$82="",'Operating costs'!$B$7,'Replacement plan'!$AG$82)/('Operating costs'!$B$8-'Operating costs'!$B$9*IF('Replacement plan'!$AG$82="",'Operating costs'!$B$7,'Replacement plan'!$AG$82)),0)*('Operating costs'!$B$9/'Operating costs'!$B$11+'Operating costs'!$B$10/60)*'Operating costs'!$B$19*'Operating costs'!$B$21,"n.a."))</f>
        <v>0</v>
      </c>
      <c r="L308" s="16">
        <f>IF(C308=0,0,IF(P308="Complete",IF(D308="EV",X308*((1-T308)*'Energy and charging'!$B$10+T308*'Energy and charging'!$B$11)*'Operating costs'!$B$22,AA308*('Energy and charging'!$B$9*'Energy and charging'!$B$7+(1-'Energy and charging'!$B$9)*'Energy and charging'!$B$8)*'Operating costs'!$B$23),"n.a."))</f>
        <v>0</v>
      </c>
      <c r="M308" s="37">
        <f>IF(C308=0,0,IF(P308="Complete",IF(D308="ICE",SUM('Operating costs'!$B$25,'Operating costs'!$B$27,'Operating costs'!$B$29,'Operating costs'!$B$31,'Operating costs'!$B$33,'Operating costs'!$B$35,'Operating costs'!$B$37,'Replacement plan'!$X$82)+'Operating costs'!$B$40*'Operating costs'!$B$42+ROUNDUP(S308*(R308-'Operating costs'!$B$40)*IF('Replacement plan'!$AH$82="",'Operating costs'!$B$7,'Replacement plan'!$AH$82)/('Operating costs'!$B$8-'Operating costs'!$B$9*IF('Replacement plan'!$AH$82="",'Operating costs'!$B$7,'Replacement plan'!$AH$82)),0)*('Operating costs'!$B$9/'Operating costs'!$B$11+'Operating costs'!$B$10/60)*'Operating costs'!$B$19*'Operating costs'!$B$21,SUM(AP308,'Operating costs'!$B$28,'Operating costs'!$B$30,'Operating costs'!$B$32,'Operating costs'!$B$33,'Operating costs'!$B$36,'Operating costs'!$B$38,'Replacement plan'!$Y$82)+'Operating costs'!$B$41*'Operating costs'!$B$43+W308*'Operating costs'!$B$15+(T308*X308/'Replacement plan'!$L$82+W308*('Operating costs'!$B$12/'Operating costs'!$B$11+('Operating costs'!$B$13+'Operating costs'!$B$14)/60)+(R308-'Operating costs'!$B$41)*(IF(T308&lt;1,'Operating costs'!$B$16,0)+'Operating costs'!$B$17)/60)*'Operating costs'!$B$19*'Operating costs'!$B$20),"n.a."))</f>
        <v>0</v>
      </c>
      <c r="N308" s="16">
        <f>IF(AND(C308=1,D308="EV",E308&lt;120,E308+'Replacement plan'!$AA$82&lt;=120),'Replacement plan'!$Z$82,0)</f>
        <v>0</v>
      </c>
      <c r="O308" s="1">
        <f>E308+'Replacement plan'!$AA$82</f>
        <v>0</v>
      </c>
      <c r="P308" s="35" t="str">
        <f>IFERROR(IF(C308=0,"Excluded",IF(OR(COUNTIFS('Fleet register'!$A$7:$A$106,A308)&lt;&gt;1,COUNTIFS('Replacement plan'!$A$7:$A$106,A308)&lt;&gt;1),"Duplicate/missing ID",IF(NOT(AND(ISNUMBER(VLOOKUP($A308,'Fleet register'!$A$7:$S$106,5,FALSE)),ISNUMBER(VLOOKUP($A308,'Fleet register'!$A$7:$S$106,6,FALSE)),ISNUMBER(VLOOKUP($A308,'Fleet register'!$A$7:$S$106,10,FALSE)),ISNUMBER(VLOOKUP($A308,'Fleet register'!$A$7:$S$106,11,FALSE)),ISNUMBER(VLOOKUP($A308,'Fleet register'!$A$7:$S$106,12,FALSE)),ISNUMBER(VLOOKUP($A308,'Fleet register'!$A$7:$S$106,13,FALSE)),ISNUMBER(VLOOKUP($A308,'Fleet register'!$A$7:$S$106,14,FALSE)),VLOOKUP($A308,'Fleet register'!$A$7:$S$106,14,FALSE)&gt;0,ISNUMBER('Replacement plan'!$C$82),OR(E308=120,OR(ISNUMBER('Replacement plan'!$AI$82),AND('Replacement plan'!$AI$82="",ISNUMBER('Operating costs'!$B$56)))),ISNUMBER(E308))),"Missing vehicle input",IF(OR(E308&lt;0,E308&gt;VLOOKUP($A308,'Fleet register'!$A$7:$S$106,10,FALSE),E308&gt;120,E308&lt;&gt;INT(E308),VLOOKUP($A308,'Fleet register'!$A$7:$S$106,6,FALSE)&lt;=0,VLOOKUP($A308,'Fleet register'!$A$7:$S$106,6,FALSE)&gt;366,VLOOKUP($A308,'Fleet register'!$A$7:$S$106,5,FALSE)&lt;0,VLOOKUP($A308,'Fleet register'!$A$7:$S$106,11,FALSE)&lt;0,I308&lt;0,'Operating costs'!$B$8&lt;='Operating costs'!$B$7*'Operating costs'!$B$9,'Operating costs'!$B$11&lt;=0,'Operating costs'!$B$39&gt;R308,'Operating costs'!$B$40&gt;R308,'Operating costs'!$B$41&gt;R308,NOT(OR("New ICE"="Keep ICE","New ICE"="New ICE","New ICE"="EV"))),"Invalid vehicle input",IF(AND(D308="EV",E308&lt;120,OR(NOT(ISNUMBER(U308)),NOT(ISNUMBER(V308)),V308&lt;=0,T308&lt;0,T308&gt;1,'Replacement plan'!$L$82&lt;=0,'Operating costs'!$B$44&lt;0,'Operating costs'!$B$44&gt;=1,'Operating costs'!$B$47&lt;=0,'Operating costs'!$B$47&gt;1,V308*'Operating costs'!$B$47/(1-'Operating costs'!$B$44)&lt;=T308*'Operating costs'!$B$12*U308,AND('Replacement plan'!$Z$82&gt;0,OR('Replacement plan'!$AB$82&lt;&gt;"Yes",'Operating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charging'!$B$8&gt;=0))),ISNUMBER(VLOOKUP($A308,'Fleet register'!$A$7:$S$106,15,FALSE)),ISNUMBER(VLOOKUP($A308,'Fleet register'!$A$7:$S$106,16,FALSE)),ISNUMBER('Replacement plan'!$W$82),ISNUMBER('Replacement plan'!$X$82),OR(E308=120,AND(ISNUMBER(G308),G308&gt;=0)),ISNUMBER(H308),H308&gt;=0,OR(D308&lt;&gt;"EV",E308=120,AND(ISNUMBER('Operating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average",ISNUMBER(IFERROR(INDEX(Products!$P$7:$P$13,MATCH(AD308,Products!$A$7:$A$13,0)),"")))),ISNUMBER('Operating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plan'!$Y$82),ISNUMBER('Replacement plan'!$Z$82),'Replacement plan'!$Z$82&gt;=0,ISNUMBER('Replacement plan'!$AA$82),'Replacement plan'!$AA$82&gt;=0,'Replacement plan'!$AA$82=INT('Replacement plan'!$AA$82),ISNUMBER('Replacement plan'!$L$82))),'Operating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plan'!$AG$82="",'Operating costs'!$B$7,'Replacement plan'!$AG$82)),IF('Replacement plan'!$AG$82="",'Operating costs'!$B$7,'Replacement plan'!$AG$82)&gt;=0,ISNUMBER(IF('Replacement plan'!$AH$82="",'Operating costs'!$B$7,'Replacement plan'!$AH$82)),IF('Replacement plan'!$AH$82="",'Operating costs'!$B$7,'Replacement plan'!$AH$82)&gt;=0,'Operating costs'!$B$8&gt;MAX(IF('Replacement plan'!$AG$82="",'Operating costs'!$B$7,'Replacement plan'!$AG$82),IF('Replacement plan'!$AH$82="",'Operating costs'!$B$7,'Replacement plan'!$AH$82))*'Operating costs'!$B$9),IF(AND(VLOOKUP($A308,'Fleet register'!$A$7:$S$106,10,FALSE)&gt;=0,VLOOKUP($A308,'Fleet register'!$A$7:$S$106,10,FALSE)&lt;=120,VLOOKUP($A308,'Fleet register'!$A$7:$S$106,10,FALSE)=INT(VLOOKUP($A308,'Fleet register'!$A$7:$S$106,10,FALSE)),VLOOKUP($A308,'Fleet register'!$A$7:$S$106,15,FALSE)&gt;=0,VLOOKUP($A308,'Fleet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costs'!$B$67)&gt;=0,OR(D308&lt;&gt;"EV",E308=120,AND(MIN('Operating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08" s="1" t="str">
        <f>IF(C308=0,"Excluded",IF(P308&lt;&gt;"Complete",P308,IF(OR('Replacement plan'!$AD$82&lt;120-E308,AND(D308="EV",E308&lt;120,OR('Replacement plan'!$AC$82&lt;120-E308,'Replacement plan'!$I$82="No",AND(ISNUMBER(AF308),AE308&gt;AF308),AI308&gt;V308*(1-'Operating costs'!$B$46)^MAX(0,AB308-1)*(1-'Operating costs'!$B$45),AC308&gt;'Operating costs'!$B$18,AND(T308&lt;1,OR(AG308&lt;=0,AND(ISNUMBER(AH308),AG308&gt;AH308))),'Replacement plan'!$L$82&gt;INDEX(Products!$H$7:$H$13,MATCH('Replacement plan'!$B$82,Products!$A$7:$A$13,0))))),"Fails entered limits",IF(AND(D308="EV",E308&lt;120,OR(NOT(ISNUMBER(VLOOKUP($A308,'Fleet register'!$A$7:$S$106,7,FALSE))),NOT(ISNUMBER(VLOOKUP($A308,'Fleet register'!$A$7:$S$106,8,FALSE))),NOT(ISNUMBER(AF308)),'Replacement plan'!$I$82&lt;&gt;"Yes",NOT(ISNUMBER(AH308)),'Operating costs'!$B$59&lt;&gt;"Yes",'Operating costs'!$B$58&lt;&gt;"Yes")),"Unverified","Within entered limits"))))</f>
        <v>Excluded</v>
      </c>
      <c r="R308" s="1">
        <f>IF(C308=0,0,VLOOKUP($A308,'Fleet register'!$A$7:$S$106,6,FALSE))</f>
        <v>0</v>
      </c>
      <c r="S308" s="1">
        <f>IF(C308=0,0,VLOOKUP($A308,'Fleet register'!$A$7:$S$106,5,FALSE))</f>
        <v>0</v>
      </c>
      <c r="T308" s="1">
        <f>IF(D308="EV",'Energy and charging'!$B$12,0)</f>
        <v>0</v>
      </c>
      <c r="U308" s="1">
        <f>IFERROR(IF(C308=0,0,IF(D308="EV",IF('Replacement plan'!$F$82="",INDEX(Products!$E$7:$E$13,MATCH('Replacement plan'!$B$82,Products!$A$7:$A$13,0)),'Replacement plan'!$F$82)/IF('Replacement plan'!$G$82="Battery",1-'Operating costs'!$B$44,1),0)),"n.a.")</f>
        <v>0</v>
      </c>
      <c r="V308" s="1">
        <f>IFERROR(IF(C308=0,0,IF(D308="EV",IF('Replacement plan'!$E$82="",INDEX(Products!$D$7:$D$13,MATCH('Replacement plan'!$B$82,Products!$A$7:$A$13,0)),'Replacement plan'!$E$82),0)),"n.a.")</f>
        <v>0</v>
      </c>
      <c r="W308" s="1">
        <f>IF(C308=0,0,IF(AND(P308="Complete",D308="EV",E308&lt;120),IF(T308=0,0,ROUNDUP(T308*(R308-'Operating costs'!$B$41)*(S308*U308+'Operating costs'!$B$48/(1-'Operating costs'!$B$44))/(V308*'Operating costs'!$B$47/(1-'Operating costs'!$B$44)-T308*'Operating costs'!$B$12*U308),0)),0))</f>
        <v>0</v>
      </c>
      <c r="X308" s="1">
        <f>IF(C308=0,0,IF(AND(P308="Complete",D308="EV",E308&lt;120),(R308-'Operating costs'!$B$41)*(S308*U308+'Operating costs'!$B$48/(1-'Operating costs'!$B$44))+W308*'Operating costs'!$B$12*U308,0))</f>
        <v>0</v>
      </c>
      <c r="Y308" s="1">
        <f>IF(AND(C308=1,D308="EV",E308&lt;120),AI308/(1-'Operating costs'!$B$44)*(1-T308),0)</f>
        <v>0</v>
      </c>
      <c r="Z308" s="1">
        <f t="shared" si="8"/>
        <v>0</v>
      </c>
      <c r="AA308" s="1">
        <f>IF(C308=0,0,IF(P308="Complete",((S308*(R308-'Operating costs'!$B$40))+ROUNDUP(S308*(R308-'Operating costs'!$B$40)*IF('Replacement plan'!$AH$82="",'Operating costs'!$B$7,'Replacement plan'!$AH$82)/('Operating costs'!$B$8-'Operating costs'!$B$9*IF('Replacement plan'!$AH$82="",'Operating costs'!$B$7,'Replacement plan'!$AH$82)),0)*'Operating costs'!$B$9)*IF('Replacement plan'!$AH$82="",'Operating costs'!$B$7,'Replacement plan'!$AH$82),"n.a."))</f>
        <v>0</v>
      </c>
      <c r="AB308" s="1">
        <f t="shared" si="9"/>
        <v>0</v>
      </c>
      <c r="AC308" s="1">
        <f>IF(AND(C308=1,D308="EV",E308&lt;120,T308&gt;0),'Operating costs'!$B$12/'Operating costs'!$B$11*60+'Operating costs'!$B$13+'Operating costs'!$B$14+V308*'Operating costs'!$B$47/(1-'Operating costs'!$B$44)/'Replacement plan'!$L$82*60,0)</f>
        <v>0</v>
      </c>
      <c r="AD308" s="1" t="str">
        <f>'Replacement plan'!$B$82</f>
        <v>ChengLong L2EV</v>
      </c>
      <c r="AE308" s="1">
        <f>IF(C308=0,0,VLOOKUP($A308,'Fleet register'!$A$7:$S$106,8,FALSE))</f>
        <v>0</v>
      </c>
      <c r="AF308" s="1" t="str">
        <f>IF('Replacement plan'!$H$82="","n.a.",'Replacement plan'!$H$82)</f>
        <v>n.a.</v>
      </c>
      <c r="AG308" s="1">
        <f>'Replacement plan'!$J$82</f>
        <v>22</v>
      </c>
      <c r="AH308" s="1">
        <f>IFERROR(IF(D308="EV",IF('Replacement plan'!$K$82="AC",IF(ISNUMBER(INDEX(Products!$G$7:$G$13,MATCH('Replacement plan'!$B$82,Products!$A$7:$A$13,0))),INDEX(Products!$G$7:$G$13,MATCH('Replacement plan'!$B$82,Products!$A$7:$A$13,0)),"n.a."),IF(ISNUMBER(INDEX(Products!$H$7:$H$13,MATCH('Replacement plan'!$B$82,Products!$A$7:$A$13,0))),INDEX(Products!$H$7:$H$13,MATCH('Replacement plan'!$B$82,Products!$A$7:$A$13,0)),"n.a.")),0),"n.a.")</f>
        <v>0</v>
      </c>
      <c r="AI308" s="1">
        <f>IF(AND(C308=1,D308="EV",E308&lt;120),(VLOOKUP($A308,'Fleet register'!$A$7:$S$106,7,FALSE)+IF(T308&gt;0,'Operating costs'!$B$12,0))*U308*(1-'Operating costs'!$B$44)+'Operating costs'!$B$49,0)</f>
        <v>0</v>
      </c>
      <c r="AJ308" s="1">
        <f>IF(D308="EV",'Energy and charging'!$B$50,0)</f>
        <v>0</v>
      </c>
      <c r="AK308" s="17">
        <f>EDATE('Operating costs'!$B$63,E308)</f>
        <v>46298</v>
      </c>
      <c r="AL308" s="1">
        <f>IFERROR(IF(D308="EV",INDEX(Products!$B$7:$B$13,MATCH('Replacement plan'!$B$82,Products!$A$7:$A$13,0)),0),"n.a.")</f>
        <v>0</v>
      </c>
      <c r="AM308" s="1" t="str">
        <f>'Replacement plan'!$K$82</f>
        <v>DC</v>
      </c>
      <c r="AN308" s="1" t="str">
        <f>'Replacement plan'!$AE$82</f>
        <v>Assumed</v>
      </c>
      <c r="AO308" s="47">
        <f>IF(AND(C308=1,D308="EV",E308&lt;120),(R308-'Operating costs'!$B$41)*S308+W308*'Operating costs'!$B$12,0)</f>
        <v>0</v>
      </c>
      <c r="AP308" s="41">
        <f>IF(AND(C308=1,D308="EV",E308&lt;120),IF('Operating costs'!$B$68="Hong Seh 200k average",AO308*IFERROR(INDEX(Products!$P$7:$P$13,MATCH(AD308,Products!$A$7:$A$13,0)),"n.a."),'Operating costs'!$B$26),0)</f>
        <v>0</v>
      </c>
      <c r="AQ308" s="40" t="str">
        <f>IF(D308="EV",'Operating costs'!$B$68,"Not applicable")</f>
        <v>Not applicable</v>
      </c>
    </row>
    <row r="309" spans="1:43" ht="24" customHeight="1">
      <c r="A309" s="1" t="str">
        <f>'Replacement plan'!A82</f>
        <v>T076</v>
      </c>
      <c r="B309" s="1">
        <v>2</v>
      </c>
      <c r="C309" s="1">
        <f>IF(COUNTIFS('Fleet register'!$A$7:$A$106,$A309)=1,VLOOKUP($A309,'Fleet register'!$A$7:$S$106,2,FALSE),0)</f>
        <v>0</v>
      </c>
      <c r="D309" s="1" t="str">
        <f>IF('Replacement plan'!$O$82="EV","EV","ICE")</f>
        <v>ICE</v>
      </c>
      <c r="E309" s="1">
        <f>IF(C309=0,0,IF('Replacement plan'!$P$82="",IF('Replacement plan'!$O$82="Keep ICE",IF('Replacement plan'!$M$82="",VLOOKUP($A309,'Fleet register'!$A$7:$S$106,10,FALSE),'Replacement plan'!$M$82),0),'Replacement plan'!$P$82))</f>
        <v>0</v>
      </c>
      <c r="F309" s="16">
        <f>IF(C309=0,0,VLOOKUP($A309,'Fleet register'!$A$7:$S$106,11,FALSE))</f>
        <v>0</v>
      </c>
      <c r="G309" s="16">
        <f>IFERROR(IF(C309=0,0,IF(E309=120,0,IF(D309="ICE",'Replacement plan'!$C$82,IF('Replacement plan'!$D$82="",INDEX(Products!$I$7:$I$13,MATCH('Replacement plan'!$B$82,Products!$A$7:$A$13,0))+'Operating costs'!$B$57,'Replacement plan'!$D$82))*(1+'Operating costs'!$B$50)^(E309/12))),"n.a.")</f>
        <v>0</v>
      </c>
      <c r="H309" s="16">
        <f>IFERROR(IF(C309=0,0,IF('Replacement plan'!$U$82&lt;&gt;"",'Replacement plan'!$U$82,IF(E309=0,F309,VLOOKUP($A309,'Fleet register'!$A$7:$S$106,12,FALSE)+VLOOKUP($A309,'Fleet register'!$A$7:$S$106,13,FALSE)*MAX(0,VLOOKUP($A309,'Fleet register'!$A$7:$S$106,10,FALSE)-E309)/VLOOKUP($A309,'Fleet register'!$A$7:$S$106,14,FALSE)))),"n.a.")</f>
        <v>0</v>
      </c>
      <c r="I309" s="16">
        <f>IF(C309=0,0,IF(E309=120,0,'Replacement plan'!$Q$82))</f>
        <v>0</v>
      </c>
      <c r="J309" s="16">
        <f>IF(C309=0,0,IF(P309="Complete",((S309*(R309-'Operating costs'!$B$39))+ROUNDUP(S309*(R309-'Operating costs'!$B$39)*IF('Replacement plan'!$AG$82="",'Operating costs'!$B$7,'Replacement plan'!$AG$82)/('Operating costs'!$B$8-'Operating costs'!$B$9*IF('Replacement plan'!$AG$82="",'Operating costs'!$B$7,'Replacement plan'!$AG$82)),0)*'Operating costs'!$B$9)*IF('Replacement plan'!$AG$82="",'Operating costs'!$B$7,'Replacement plan'!$AG$82)*('Energy and charging'!$B$9*'Energy and charging'!$B$7+(1-'Energy and charging'!$B$9)*'Energy and charging'!$B$8)*'Operating costs'!$B$23,"n.a."))</f>
        <v>0</v>
      </c>
      <c r="K309" s="16">
        <f>IF(C309=0,0,IF(P309="Complete",SUM('Operating costs'!$B$24,'Operating costs'!$B$27,'Operating costs'!$B$29,'Operating costs'!$B$31,'Operating costs'!$B$33,'Operating costs'!$B$34,'Operating costs'!$B$37,'Replacement plan'!$W$82)+'Operating costs'!$B$39*'Operating costs'!$B$42+ROUNDUP(S309*(R309-'Operating costs'!$B$39)*IF('Replacement plan'!$AG$82="",'Operating costs'!$B$7,'Replacement plan'!$AG$82)/('Operating costs'!$B$8-'Operating costs'!$B$9*IF('Replacement plan'!$AG$82="",'Operating costs'!$B$7,'Replacement plan'!$AG$82)),0)*('Operating costs'!$B$9/'Operating costs'!$B$11+'Operating costs'!$B$10/60)*'Operating costs'!$B$19*'Operating costs'!$B$21,"n.a."))</f>
        <v>0</v>
      </c>
      <c r="L309" s="16">
        <f>IF(C309=0,0,IF(P309="Complete",IF(D309="EV",X309*((1-T309)*'Energy and charging'!$B$10+T309*'Energy and charging'!$B$11)*'Operating costs'!$B$22,AA309*('Energy and charging'!$B$9*'Energy and charging'!$B$7+(1-'Energy and charging'!$B$9)*'Energy and charging'!$B$8)*'Operating costs'!$B$23),"n.a."))</f>
        <v>0</v>
      </c>
      <c r="M309" s="37">
        <f>IF(C309=0,0,IF(P309="Complete",IF(D309="ICE",SUM('Operating costs'!$B$25,'Operating costs'!$B$27,'Operating costs'!$B$29,'Operating costs'!$B$31,'Operating costs'!$B$33,'Operating costs'!$B$35,'Operating costs'!$B$37,'Replacement plan'!$X$82)+'Operating costs'!$B$40*'Operating costs'!$B$42+ROUNDUP(S309*(R309-'Operating costs'!$B$40)*IF('Replacement plan'!$AH$82="",'Operating costs'!$B$7,'Replacement plan'!$AH$82)/('Operating costs'!$B$8-'Operating costs'!$B$9*IF('Replacement plan'!$AH$82="",'Operating costs'!$B$7,'Replacement plan'!$AH$82)),0)*('Operating costs'!$B$9/'Operating costs'!$B$11+'Operating costs'!$B$10/60)*'Operating costs'!$B$19*'Operating costs'!$B$21,SUM(AP309,'Operating costs'!$B$28,'Operating costs'!$B$30,'Operating costs'!$B$32,'Operating costs'!$B$33,'Operating costs'!$B$36,'Operating costs'!$B$38,'Replacement plan'!$Y$82)+'Operating costs'!$B$41*'Operating costs'!$B$43+W309*'Operating costs'!$B$15+(T309*X309/'Replacement plan'!$L$82+W309*('Operating costs'!$B$12/'Operating costs'!$B$11+('Operating costs'!$B$13+'Operating costs'!$B$14)/60)+(R309-'Operating costs'!$B$41)*(IF(T309&lt;1,'Operating costs'!$B$16,0)+'Operating costs'!$B$17)/60)*'Operating costs'!$B$19*'Operating costs'!$B$20),"n.a."))</f>
        <v>0</v>
      </c>
      <c r="N309" s="16">
        <f>IF(AND(C309=1,D309="EV",E309&lt;120,E309+'Replacement plan'!$AA$82&lt;=120),'Replacement plan'!$Z$82,0)</f>
        <v>0</v>
      </c>
      <c r="O309" s="1">
        <f>E309+'Replacement plan'!$AA$82</f>
        <v>0</v>
      </c>
      <c r="P309" s="35" t="str">
        <f>IFERROR(IF(C309=0,"Excluded",IF(OR(COUNTIFS('Fleet register'!$A$7:$A$106,A309)&lt;&gt;1,COUNTIFS('Replacement plan'!$A$7:$A$106,A309)&lt;&gt;1),"Duplicate/missing ID",IF(NOT(AND(ISNUMBER(VLOOKUP($A309,'Fleet register'!$A$7:$S$106,5,FALSE)),ISNUMBER(VLOOKUP($A309,'Fleet register'!$A$7:$S$106,6,FALSE)),ISNUMBER(VLOOKUP($A309,'Fleet register'!$A$7:$S$106,10,FALSE)),ISNUMBER(VLOOKUP($A309,'Fleet register'!$A$7:$S$106,11,FALSE)),ISNUMBER(VLOOKUP($A309,'Fleet register'!$A$7:$S$106,12,FALSE)),ISNUMBER(VLOOKUP($A309,'Fleet register'!$A$7:$S$106,13,FALSE)),ISNUMBER(VLOOKUP($A309,'Fleet register'!$A$7:$S$106,14,FALSE)),VLOOKUP($A309,'Fleet register'!$A$7:$S$106,14,FALSE)&gt;0,ISNUMBER('Replacement plan'!$C$82),OR(E309=120,ISNUMBER('Replacement plan'!$Q$82)),ISNUMBER(E309))),"Missing vehicle input",IF(OR(E309&lt;0,E309&gt;VLOOKUP($A309,'Fleet register'!$A$7:$S$106,10,FALSE),E309&gt;120,E309&lt;&gt;INT(E309),VLOOKUP($A309,'Fleet register'!$A$7:$S$106,6,FALSE)&lt;=0,VLOOKUP($A309,'Fleet register'!$A$7:$S$106,6,FALSE)&gt;366,VLOOKUP($A309,'Fleet register'!$A$7:$S$106,5,FALSE)&lt;0,VLOOKUP($A309,'Fleet register'!$A$7:$S$106,11,FALSE)&lt;0,I309&lt;0,'Operating costs'!$B$8&lt;='Operating costs'!$B$7*'Operating costs'!$B$9,'Operating costs'!$B$11&lt;=0,'Operating costs'!$B$39&gt;R309,'Operating costs'!$B$40&gt;R309,'Operating costs'!$B$41&gt;R309,NOT(OR('Replacement plan'!$O$82="Keep ICE",'Replacement plan'!$O$82="New ICE",'Replacement plan'!$O$82="EV"))),"Invalid vehicle input",IF(AND(D309="EV",E309&lt;120,OR(NOT(ISNUMBER(U309)),NOT(ISNUMBER(V309)),V309&lt;=0,T309&lt;0,T309&gt;1,'Replacement plan'!$L$82&lt;=0,'Operating costs'!$B$44&lt;0,'Operating costs'!$B$44&gt;=1,'Operating costs'!$B$47&lt;=0,'Operating costs'!$B$47&gt;1,V309*'Operating costs'!$B$47/(1-'Operating costs'!$B$44)&lt;=T309*'Operating costs'!$B$12*U309,AND('Replacement plan'!$Z$82&gt;0,OR('Replacement plan'!$AB$82&lt;&gt;"Yes",'Operating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charging'!$B$8&gt;=0))),ISNUMBER(VLOOKUP($A309,'Fleet register'!$A$7:$S$106,15,FALSE)),ISNUMBER(VLOOKUP($A309,'Fleet register'!$A$7:$S$106,16,FALSE)),ISNUMBER('Replacement plan'!$W$82),ISNUMBER('Replacement plan'!$X$82),OR(E309=120,AND(ISNUMBER(G309),G309&gt;=0)),ISNUMBER(H309),H309&gt;=0,OR(D309&lt;&gt;"EV",E309=120,AND(ISNUMBER('Operating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average",ISNUMBER(IFERROR(INDEX(Products!$P$7:$P$13,MATCH(AD309,Products!$A$7:$A$13,0)),"")))),ISNUMBER('Operating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plan'!$Y$82),ISNUMBER('Replacement plan'!$Z$82),'Replacement plan'!$Z$82&gt;=0,ISNUMBER('Replacement plan'!$AA$82),'Replacement plan'!$AA$82&gt;=0,'Replacement plan'!$AA$82=INT('Replacement plan'!$AA$82),ISNUMBER('Replacement plan'!$L$82))),'Operating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plan'!$AG$82="",'Operating costs'!$B$7,'Replacement plan'!$AG$82)),IF('Replacement plan'!$AG$82="",'Operating costs'!$B$7,'Replacement plan'!$AG$82)&gt;=0,ISNUMBER(IF('Replacement plan'!$AH$82="",'Operating costs'!$B$7,'Replacement plan'!$AH$82)),IF('Replacement plan'!$AH$82="",'Operating costs'!$B$7,'Replacement plan'!$AH$82)&gt;=0,'Operating costs'!$B$8&gt;MAX(IF('Replacement plan'!$AG$82="",'Operating costs'!$B$7,'Replacement plan'!$AG$82),IF('Replacement plan'!$AH$82="",'Operating costs'!$B$7,'Replacement plan'!$AH$82))*'Operating costs'!$B$9),IF(AND(VLOOKUP($A309,'Fleet register'!$A$7:$S$106,10,FALSE)&gt;=0,VLOOKUP($A309,'Fleet register'!$A$7:$S$106,10,FALSE)&lt;=120,VLOOKUP($A309,'Fleet register'!$A$7:$S$106,10,FALSE)=INT(VLOOKUP($A309,'Fleet register'!$A$7:$S$106,10,FALSE)),VLOOKUP($A309,'Fleet register'!$A$7:$S$106,15,FALSE)&gt;=0,VLOOKUP($A309,'Fleet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costs'!$B$67)&gt;=0,OR(D309&lt;&gt;"EV",E309=120,AND(MIN('Operating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09" s="1" t="str">
        <f>IF(C309=0,"Excluded",IF(P309&lt;&gt;"Complete",P309,IF(OR('Replacement plan'!$AD$82&lt;120-E309,AND(D309="EV",E309&lt;120,OR('Replacement plan'!$AC$82&lt;120-E309,'Replacement plan'!$I$82="No",AND(ISNUMBER(AF309),AE309&gt;AF309),AI309&gt;V309*(1-'Operating costs'!$B$46)^MAX(0,AB309-1)*(1-'Operating costs'!$B$45),AC309&gt;'Operating costs'!$B$18,AND(T309&lt;1,OR(AG309&lt;=0,AND(ISNUMBER(AH309),AG309&gt;AH309))),'Replacement plan'!$L$82&gt;INDEX(Products!$H$7:$H$13,MATCH('Replacement plan'!$B$82,Products!$A$7:$A$13,0))))),"Fails entered limits",IF(AND(D309="EV",E309&lt;120,OR(NOT(ISNUMBER(VLOOKUP($A309,'Fleet register'!$A$7:$S$106,7,FALSE))),NOT(ISNUMBER(VLOOKUP($A309,'Fleet register'!$A$7:$S$106,8,FALSE))),NOT(ISNUMBER(AF309)),'Replacement plan'!$I$82&lt;&gt;"Yes",NOT(ISNUMBER(AH309)),'Operating costs'!$B$59&lt;&gt;"Yes",'Operating costs'!$B$58&lt;&gt;"Yes")),"Unverified","Within entered limits"))))</f>
        <v>Excluded</v>
      </c>
      <c r="R309" s="1">
        <f>IF(C309=0,0,VLOOKUP($A309,'Fleet register'!$A$7:$S$106,6,FALSE))</f>
        <v>0</v>
      </c>
      <c r="S309" s="1">
        <f>IF(C309=0,0,VLOOKUP($A309,'Fleet register'!$A$7:$S$106,5,FALSE))</f>
        <v>0</v>
      </c>
      <c r="T309" s="1">
        <f>IF(D309="EV",'Energy and charging'!$B$12,0)</f>
        <v>0</v>
      </c>
      <c r="U309" s="1">
        <f>IFERROR(IF(C309=0,0,IF(D309="EV",IF('Replacement plan'!$F$82="",INDEX(Products!$E$7:$E$13,MATCH('Replacement plan'!$B$82,Products!$A$7:$A$13,0)),'Replacement plan'!$F$82)/IF('Replacement plan'!$G$82="Battery",1-'Operating costs'!$B$44,1),0)),"n.a.")</f>
        <v>0</v>
      </c>
      <c r="V309" s="1">
        <f>IFERROR(IF(C309=0,0,IF(D309="EV",IF('Replacement plan'!$E$82="",INDEX(Products!$D$7:$D$13,MATCH('Replacement plan'!$B$82,Products!$A$7:$A$13,0)),'Replacement plan'!$E$82),0)),"n.a.")</f>
        <v>0</v>
      </c>
      <c r="W309" s="1">
        <f>IF(C309=0,0,IF(AND(P309="Complete",D309="EV",E309&lt;120),IF(T309=0,0,ROUNDUP(T309*(R309-'Operating costs'!$B$41)*(S309*U309+'Operating costs'!$B$48/(1-'Operating costs'!$B$44))/(V309*'Operating costs'!$B$47/(1-'Operating costs'!$B$44)-T309*'Operating costs'!$B$12*U309),0)),0))</f>
        <v>0</v>
      </c>
      <c r="X309" s="1">
        <f>IF(C309=0,0,IF(AND(P309="Complete",D309="EV",E309&lt;120),(R309-'Operating costs'!$B$41)*(S309*U309+'Operating costs'!$B$48/(1-'Operating costs'!$B$44))+W309*'Operating costs'!$B$12*U309,0))</f>
        <v>0</v>
      </c>
      <c r="Y309" s="1">
        <f>IF(AND(C309=1,D309="EV",E309&lt;120),AI309/(1-'Operating costs'!$B$44)*(1-T309),0)</f>
        <v>0</v>
      </c>
      <c r="Z309" s="1">
        <f t="shared" si="8"/>
        <v>0</v>
      </c>
      <c r="AA309" s="1">
        <f>IF(C309=0,0,IF(P309="Complete",((S309*(R309-'Operating costs'!$B$40))+ROUNDUP(S309*(R309-'Operating costs'!$B$40)*IF('Replacement plan'!$AH$82="",'Operating costs'!$B$7,'Replacement plan'!$AH$82)/('Operating costs'!$B$8-'Operating costs'!$B$9*IF('Replacement plan'!$AH$82="",'Operating costs'!$B$7,'Replacement plan'!$AH$82)),0)*'Operating costs'!$B$9)*IF('Replacement plan'!$AH$82="",'Operating costs'!$B$7,'Replacement plan'!$AH$82),"n.a."))</f>
        <v>0</v>
      </c>
      <c r="AB309" s="1">
        <f t="shared" si="9"/>
        <v>0</v>
      </c>
      <c r="AC309" s="1">
        <f>IF(AND(C309=1,D309="EV",E309&lt;120,T309&gt;0),'Operating costs'!$B$12/'Operating costs'!$B$11*60+'Operating costs'!$B$13+'Operating costs'!$B$14+V309*'Operating costs'!$B$47/(1-'Operating costs'!$B$44)/'Replacement plan'!$L$82*60,0)</f>
        <v>0</v>
      </c>
      <c r="AD309" s="1" t="str">
        <f>'Replacement plan'!$B$82</f>
        <v>ChengLong L2EV</v>
      </c>
      <c r="AE309" s="1">
        <f>IF(C309=0,0,VLOOKUP($A309,'Fleet register'!$A$7:$S$106,8,FALSE))</f>
        <v>0</v>
      </c>
      <c r="AF309" s="1" t="str">
        <f>IF('Replacement plan'!$H$82="","n.a.",'Replacement plan'!$H$82)</f>
        <v>n.a.</v>
      </c>
      <c r="AG309" s="1">
        <f>'Replacement plan'!$J$82</f>
        <v>22</v>
      </c>
      <c r="AH309" s="1">
        <f>IFERROR(IF(D309="EV",IF('Replacement plan'!$K$82="AC",IF(ISNUMBER(INDEX(Products!$G$7:$G$13,MATCH('Replacement plan'!$B$82,Products!$A$7:$A$13,0))),INDEX(Products!$G$7:$G$13,MATCH('Replacement plan'!$B$82,Products!$A$7:$A$13,0)),"n.a."),IF(ISNUMBER(INDEX(Products!$H$7:$H$13,MATCH('Replacement plan'!$B$82,Products!$A$7:$A$13,0))),INDEX(Products!$H$7:$H$13,MATCH('Replacement plan'!$B$82,Products!$A$7:$A$13,0)),"n.a.")),0),"n.a.")</f>
        <v>0</v>
      </c>
      <c r="AI309" s="1">
        <f>IF(AND(C309=1,D309="EV",E309&lt;120),(VLOOKUP($A309,'Fleet register'!$A$7:$S$106,7,FALSE)+IF(T309&gt;0,'Operating costs'!$B$12,0))*U309*(1-'Operating costs'!$B$44)+'Operating costs'!$B$49,0)</f>
        <v>0</v>
      </c>
      <c r="AJ309" s="1">
        <f>IF(D309="EV",'Energy and charging'!$B$50,0)</f>
        <v>0</v>
      </c>
      <c r="AK309" s="17">
        <f>EDATE('Operating costs'!$B$63,E309)</f>
        <v>46298</v>
      </c>
      <c r="AL309" s="1">
        <f>IFERROR(IF(D309="EV",INDEX(Products!$B$7:$B$13,MATCH('Replacement plan'!$B$82,Products!$A$7:$A$13,0)),0),"n.a.")</f>
        <v>0</v>
      </c>
      <c r="AM309" s="1" t="str">
        <f>'Replacement plan'!$K$82</f>
        <v>DC</v>
      </c>
      <c r="AN309" s="1" t="str">
        <f>'Replacement plan'!$AE$82</f>
        <v>Assumed</v>
      </c>
      <c r="AO309" s="47">
        <f>IF(AND(C309=1,D309="EV",E309&lt;120),(R309-'Operating costs'!$B$41)*S309+W309*'Operating costs'!$B$12,0)</f>
        <v>0</v>
      </c>
      <c r="AP309" s="41">
        <f>IF(AND(C309=1,D309="EV",E309&lt;120),IF('Operating costs'!$B$68="Hong Seh 200k average",AO309*IFERROR(INDEX(Products!$P$7:$P$13,MATCH(AD309,Products!$A$7:$A$13,0)),"n.a."),'Operating costs'!$B$26),0)</f>
        <v>0</v>
      </c>
      <c r="AQ309" s="40" t="str">
        <f>IF(D309="EV",'Operating costs'!$B$68,"Not applicable")</f>
        <v>Not applicable</v>
      </c>
    </row>
    <row r="310" spans="1:43" ht="24" customHeight="1">
      <c r="A310" s="1" t="str">
        <f>'Replacement plan'!A82</f>
        <v>T076</v>
      </c>
      <c r="B310" s="1">
        <v>3</v>
      </c>
      <c r="C310" s="1">
        <f>IF(COUNTIFS('Fleet register'!$A$7:$A$106,$A310)=1,VLOOKUP($A310,'Fleet register'!$A$7:$S$106,2,FALSE),0)</f>
        <v>0</v>
      </c>
      <c r="D310" s="1" t="str">
        <f>IF('Replacement plan'!$R$82="EV","EV","ICE")</f>
        <v>ICE</v>
      </c>
      <c r="E310" s="1">
        <f>IF(C310=0,0,IF('Replacement plan'!$S$82="",IF('Replacement plan'!$R$82="Keep ICE",IF('Replacement plan'!$M$82="",VLOOKUP($A310,'Fleet register'!$A$7:$S$106,10,FALSE),'Replacement plan'!$M$82),0),'Replacement plan'!$S$82))</f>
        <v>0</v>
      </c>
      <c r="F310" s="16">
        <f>IF(C310=0,0,VLOOKUP($A310,'Fleet register'!$A$7:$S$106,11,FALSE))</f>
        <v>0</v>
      </c>
      <c r="G310" s="16">
        <f>IFERROR(IF(C310=0,0,IF(E310=120,0,IF(D310="ICE",'Replacement plan'!$C$82,IF('Replacement plan'!$D$82="",INDEX(Products!$I$7:$I$13,MATCH('Replacement plan'!$B$82,Products!$A$7:$A$13,0))+'Operating costs'!$B$57,'Replacement plan'!$D$82))*(1+'Operating costs'!$B$50)^(E310/12))),"n.a.")</f>
        <v>0</v>
      </c>
      <c r="H310" s="16">
        <f>IFERROR(IF(C310=0,0,IF('Replacement plan'!$V$82&lt;&gt;"",'Replacement plan'!$V$82,IF(E310=0,F310,VLOOKUP($A310,'Fleet register'!$A$7:$S$106,12,FALSE)+VLOOKUP($A310,'Fleet register'!$A$7:$S$106,13,FALSE)*MAX(0,VLOOKUP($A310,'Fleet register'!$A$7:$S$106,10,FALSE)-E310)/VLOOKUP($A310,'Fleet register'!$A$7:$S$106,14,FALSE)))),"n.a.")</f>
        <v>0</v>
      </c>
      <c r="I310" s="16">
        <f>IF(C310=0,0,IF(E310=120,0,'Replacement plan'!$T$82))</f>
        <v>0</v>
      </c>
      <c r="J310" s="16">
        <f>IF(C310=0,0,IF(P310="Complete",((S310*(R310-'Operating costs'!$B$39))+ROUNDUP(S310*(R310-'Operating costs'!$B$39)*IF('Replacement plan'!$AG$82="",'Operating costs'!$B$7,'Replacement plan'!$AG$82)/('Operating costs'!$B$8-'Operating costs'!$B$9*IF('Replacement plan'!$AG$82="",'Operating costs'!$B$7,'Replacement plan'!$AG$82)),0)*'Operating costs'!$B$9)*IF('Replacement plan'!$AG$82="",'Operating costs'!$B$7,'Replacement plan'!$AG$82)*('Energy and charging'!$C$9*'Energy and charging'!$C$7+(1-'Energy and charging'!$C$9)*'Energy and charging'!$C$8)*'Operating costs'!$B$23,"n.a."))</f>
        <v>0</v>
      </c>
      <c r="K310" s="16">
        <f>IF(C310=0,0,IF(P310="Complete",SUM('Operating costs'!$B$24,'Operating costs'!$B$27,'Operating costs'!$B$29,'Operating costs'!$B$31,'Operating costs'!$B$33,'Operating costs'!$B$34,'Operating costs'!$B$37,'Replacement plan'!$W$82)+'Operating costs'!$B$39*'Operating costs'!$B$42+ROUNDUP(S310*(R310-'Operating costs'!$B$39)*IF('Replacement plan'!$AG$82="",'Operating costs'!$B$7,'Replacement plan'!$AG$82)/('Operating costs'!$B$8-'Operating costs'!$B$9*IF('Replacement plan'!$AG$82="",'Operating costs'!$B$7,'Replacement plan'!$AG$82)),0)*('Operating costs'!$B$9/'Operating costs'!$B$11+'Operating costs'!$B$10/60)*'Operating costs'!$B$19*'Operating costs'!$B$21,"n.a."))</f>
        <v>0</v>
      </c>
      <c r="L310" s="16">
        <f>IF(C310=0,0,IF(P310="Complete",IF(D310="EV",X310*((1-T310)*'Energy and charging'!$C$10+T310*'Energy and charging'!$C$11)*'Operating costs'!$B$22,AA310*('Energy and charging'!$C$9*'Energy and charging'!$C$7+(1-'Energy and charging'!$C$9)*'Energy and charging'!$C$8)*'Operating costs'!$B$23),"n.a."))</f>
        <v>0</v>
      </c>
      <c r="M310" s="37">
        <f>IF(C310=0,0,IF(P310="Complete",IF(D310="ICE",SUM('Operating costs'!$B$25,'Operating costs'!$B$27,'Operating costs'!$B$29,'Operating costs'!$B$31,'Operating costs'!$B$33,'Operating costs'!$B$35,'Operating costs'!$B$37,'Replacement plan'!$X$82)+'Operating costs'!$B$40*'Operating costs'!$B$42+ROUNDUP(S310*(R310-'Operating costs'!$B$40)*IF('Replacement plan'!$AH$82="",'Operating costs'!$B$7,'Replacement plan'!$AH$82)/('Operating costs'!$B$8-'Operating costs'!$B$9*IF('Replacement plan'!$AH$82="",'Operating costs'!$B$7,'Replacement plan'!$AH$82)),0)*('Operating costs'!$B$9/'Operating costs'!$B$11+'Operating costs'!$B$10/60)*'Operating costs'!$B$19*'Operating costs'!$B$21,SUM(AP310,'Operating costs'!$B$28,'Operating costs'!$B$30,'Operating costs'!$B$32,'Operating costs'!$B$33,'Operating costs'!$B$36,'Operating costs'!$B$38,'Replacement plan'!$Y$82)+'Operating costs'!$B$41*'Operating costs'!$B$43+W310*'Operating costs'!$B$15+(T310*X310/'Replacement plan'!$L$82+W310*('Operating costs'!$B$12/'Operating costs'!$B$11+('Operating costs'!$B$13+'Operating costs'!$B$14)/60)+(R310-'Operating costs'!$B$41)*(IF(T310&lt;1,'Operating costs'!$B$16,0)+'Operating costs'!$B$17)/60)*'Operating costs'!$B$19*'Operating costs'!$B$20),"n.a."))</f>
        <v>0</v>
      </c>
      <c r="N310" s="16">
        <f>IF(AND(C310=1,D310="EV",E310&lt;120,E310+'Replacement plan'!$AA$82&lt;=120),'Replacement plan'!$Z$82,0)</f>
        <v>0</v>
      </c>
      <c r="O310" s="1">
        <f>E310+'Replacement plan'!$AA$82</f>
        <v>0</v>
      </c>
      <c r="P310" s="35" t="str">
        <f>IFERROR(IF(C310=0,"Excluded",IF(OR(COUNTIFS('Fleet register'!$A$7:$A$106,A310)&lt;&gt;1,COUNTIFS('Replacement plan'!$A$7:$A$106,A310)&lt;&gt;1),"Duplicate/missing ID",IF(NOT(AND(ISNUMBER(VLOOKUP($A310,'Fleet register'!$A$7:$S$106,5,FALSE)),ISNUMBER(VLOOKUP($A310,'Fleet register'!$A$7:$S$106,6,FALSE)),ISNUMBER(VLOOKUP($A310,'Fleet register'!$A$7:$S$106,10,FALSE)),ISNUMBER(VLOOKUP($A310,'Fleet register'!$A$7:$S$106,11,FALSE)),ISNUMBER(VLOOKUP($A310,'Fleet register'!$A$7:$S$106,12,FALSE)),ISNUMBER(VLOOKUP($A310,'Fleet register'!$A$7:$S$106,13,FALSE)),ISNUMBER(VLOOKUP($A310,'Fleet register'!$A$7:$S$106,14,FALSE)),VLOOKUP($A310,'Fleet register'!$A$7:$S$106,14,FALSE)&gt;0,ISNUMBER('Replacement plan'!$C$82),OR(E310=120,ISNUMBER('Replacement plan'!$T$82)),ISNUMBER(E310))),"Missing vehicle input",IF(OR(E310&lt;0,E310&gt;VLOOKUP($A310,'Fleet register'!$A$7:$S$106,10,FALSE),E310&gt;120,E310&lt;&gt;INT(E310),VLOOKUP($A310,'Fleet register'!$A$7:$S$106,6,FALSE)&lt;=0,VLOOKUP($A310,'Fleet register'!$A$7:$S$106,6,FALSE)&gt;366,VLOOKUP($A310,'Fleet register'!$A$7:$S$106,5,FALSE)&lt;0,VLOOKUP($A310,'Fleet register'!$A$7:$S$106,11,FALSE)&lt;0,I310&lt;0,'Operating costs'!$B$8&lt;='Operating costs'!$B$7*'Operating costs'!$B$9,'Operating costs'!$B$11&lt;=0,'Operating costs'!$B$39&gt;R310,'Operating costs'!$B$40&gt;R310,'Operating costs'!$B$41&gt;R310,NOT(OR('Replacement plan'!$R$82="Keep ICE",'Replacement plan'!$R$82="New ICE",'Replacement plan'!$R$82="EV"))),"Invalid vehicle input",IF(AND(D310="EV",E310&lt;120,OR(NOT(ISNUMBER(U310)),NOT(ISNUMBER(V310)),V310&lt;=0,T310&lt;0,T310&gt;1,'Replacement plan'!$L$82&lt;=0,'Operating costs'!$B$44&lt;0,'Operating costs'!$B$44&gt;=1,'Operating costs'!$B$47&lt;=0,'Operating costs'!$B$47&gt;1,V310*'Operating costs'!$B$47/(1-'Operating costs'!$B$44)&lt;=T310*'Operating costs'!$B$12*U310,AND('Replacement plan'!$Z$82&gt;0,OR('Replacement plan'!$AB$82&lt;&gt;"Yes",'Operating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charging'!$C$8&gt;=0))),ISNUMBER(VLOOKUP($A310,'Fleet register'!$A$7:$S$106,15,FALSE)),ISNUMBER(VLOOKUP($A310,'Fleet register'!$A$7:$S$106,16,FALSE)),ISNUMBER('Replacement plan'!$W$82),ISNUMBER('Replacement plan'!$X$82),OR(E310=120,AND(ISNUMBER(G310),G310&gt;=0)),ISNUMBER(H310),H310&gt;=0,OR(D310&lt;&gt;"EV",E310=120,AND(ISNUMBER('Operating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average",ISNUMBER(IFERROR(INDEX(Products!$P$7:$P$13,MATCH(AD310,Products!$A$7:$A$13,0)),"")))),ISNUMBER('Operating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plan'!$Y$82),ISNUMBER('Replacement plan'!$Z$82),'Replacement plan'!$Z$82&gt;=0,ISNUMBER('Replacement plan'!$AA$82),'Replacement plan'!$AA$82&gt;=0,'Replacement plan'!$AA$82=INT('Replacement plan'!$AA$82),ISNUMBER('Replacement plan'!$L$82))),'Operating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plan'!$AG$82="",'Operating costs'!$B$7,'Replacement plan'!$AG$82)),IF('Replacement plan'!$AG$82="",'Operating costs'!$B$7,'Replacement plan'!$AG$82)&gt;=0,ISNUMBER(IF('Replacement plan'!$AH$82="",'Operating costs'!$B$7,'Replacement plan'!$AH$82)),IF('Replacement plan'!$AH$82="",'Operating costs'!$B$7,'Replacement plan'!$AH$82)&gt;=0,'Operating costs'!$B$8&gt;MAX(IF('Replacement plan'!$AG$82="",'Operating costs'!$B$7,'Replacement plan'!$AG$82),IF('Replacement plan'!$AH$82="",'Operating costs'!$B$7,'Replacement plan'!$AH$82))*'Operating costs'!$B$9),IF(AND(VLOOKUP($A310,'Fleet register'!$A$7:$S$106,10,FALSE)&gt;=0,VLOOKUP($A310,'Fleet register'!$A$7:$S$106,10,FALSE)&lt;=120,VLOOKUP($A310,'Fleet register'!$A$7:$S$106,10,FALSE)=INT(VLOOKUP($A310,'Fleet register'!$A$7:$S$106,10,FALSE)),VLOOKUP($A310,'Fleet register'!$A$7:$S$106,15,FALSE)&gt;=0,VLOOKUP($A310,'Fleet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costs'!$B$67)&gt;=0,OR(D310&lt;&gt;"EV",E310=120,AND(MIN('Operating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10" s="1" t="str">
        <f>IF(C310=0,"Excluded",IF(P310&lt;&gt;"Complete",P310,IF(OR('Replacement plan'!$AD$82&lt;120-E310,AND(D310="EV",E310&lt;120,OR('Replacement plan'!$AC$82&lt;120-E310,'Replacement plan'!$I$82="No",AND(ISNUMBER(AF310),AE310&gt;AF310),AI310&gt;V310*(1-'Operating costs'!$B$46)^MAX(0,AB310-1)*(1-'Operating costs'!$B$45),AC310&gt;'Operating costs'!$B$18,AND(T310&lt;1,OR(AG310&lt;=0,AND(ISNUMBER(AH310),AG310&gt;AH310))),'Replacement plan'!$L$82&gt;INDEX(Products!$H$7:$H$13,MATCH('Replacement plan'!$B$82,Products!$A$7:$A$13,0))))),"Fails entered limits",IF(AND(D310="EV",E310&lt;120,OR(NOT(ISNUMBER(VLOOKUP($A310,'Fleet register'!$A$7:$S$106,7,FALSE))),NOT(ISNUMBER(VLOOKUP($A310,'Fleet register'!$A$7:$S$106,8,FALSE))),NOT(ISNUMBER(AF310)),'Replacement plan'!$I$82&lt;&gt;"Yes",NOT(ISNUMBER(AH310)),'Operating costs'!$B$59&lt;&gt;"Yes",'Operating costs'!$B$58&lt;&gt;"Yes")),"Unverified","Within entered limits"))))</f>
        <v>Excluded</v>
      </c>
      <c r="R310" s="1">
        <f>IF(C310=0,0,VLOOKUP($A310,'Fleet register'!$A$7:$S$106,6,FALSE))</f>
        <v>0</v>
      </c>
      <c r="S310" s="1">
        <f>IF(C310=0,0,VLOOKUP($A310,'Fleet register'!$A$7:$S$106,5,FALSE))</f>
        <v>0</v>
      </c>
      <c r="T310" s="1">
        <f>IF(D310="EV",'Energy and charging'!$C$12,0)</f>
        <v>0</v>
      </c>
      <c r="U310" s="1">
        <f>IFERROR(IF(C310=0,0,IF(D310="EV",IF('Replacement plan'!$F$82="",INDEX(Products!$E$7:$E$13,MATCH('Replacement plan'!$B$82,Products!$A$7:$A$13,0)),'Replacement plan'!$F$82)/IF('Replacement plan'!$G$82="Battery",1-'Operating costs'!$B$44,1),0)),"n.a.")</f>
        <v>0</v>
      </c>
      <c r="V310" s="1">
        <f>IFERROR(IF(C310=0,0,IF(D310="EV",IF('Replacement plan'!$E$82="",INDEX(Products!$D$7:$D$13,MATCH('Replacement plan'!$B$82,Products!$A$7:$A$13,0)),'Replacement plan'!$E$82),0)),"n.a.")</f>
        <v>0</v>
      </c>
      <c r="W310" s="1">
        <f>IF(C310=0,0,IF(AND(P310="Complete",D310="EV",E310&lt;120),IF(T310=0,0,ROUNDUP(T310*(R310-'Operating costs'!$B$41)*(S310*U310+'Operating costs'!$B$48/(1-'Operating costs'!$B$44))/(V310*'Operating costs'!$B$47/(1-'Operating costs'!$B$44)-T310*'Operating costs'!$B$12*U310),0)),0))</f>
        <v>0</v>
      </c>
      <c r="X310" s="1">
        <f>IF(C310=0,0,IF(AND(P310="Complete",D310="EV",E310&lt;120),(R310-'Operating costs'!$B$41)*(S310*U310+'Operating costs'!$B$48/(1-'Operating costs'!$B$44))+W310*'Operating costs'!$B$12*U310,0))</f>
        <v>0</v>
      </c>
      <c r="Y310" s="1">
        <f>IF(AND(C310=1,D310="EV",E310&lt;120),AI310/(1-'Operating costs'!$B$44)*(1-T310),0)</f>
        <v>0</v>
      </c>
      <c r="Z310" s="1">
        <f t="shared" si="8"/>
        <v>0</v>
      </c>
      <c r="AA310" s="1">
        <f>IF(C310=0,0,IF(P310="Complete",((S310*(R310-'Operating costs'!$B$40))+ROUNDUP(S310*(R310-'Operating costs'!$B$40)*IF('Replacement plan'!$AH$82="",'Operating costs'!$B$7,'Replacement plan'!$AH$82)/('Operating costs'!$B$8-'Operating costs'!$B$9*IF('Replacement plan'!$AH$82="",'Operating costs'!$B$7,'Replacement plan'!$AH$82)),0)*'Operating costs'!$B$9)*IF('Replacement plan'!$AH$82="",'Operating costs'!$B$7,'Replacement plan'!$AH$82),"n.a."))</f>
        <v>0</v>
      </c>
      <c r="AB310" s="1">
        <f t="shared" si="9"/>
        <v>0</v>
      </c>
      <c r="AC310" s="1">
        <f>IF(AND(C310=1,D310="EV",E310&lt;120,T310&gt;0),'Operating costs'!$B$12/'Operating costs'!$B$11*60+'Operating costs'!$B$13+'Operating costs'!$B$14+V310*'Operating costs'!$B$47/(1-'Operating costs'!$B$44)/'Replacement plan'!$L$82*60,0)</f>
        <v>0</v>
      </c>
      <c r="AD310" s="1" t="str">
        <f>'Replacement plan'!$B$82</f>
        <v>ChengLong L2EV</v>
      </c>
      <c r="AE310" s="1">
        <f>IF(C310=0,0,VLOOKUP($A310,'Fleet register'!$A$7:$S$106,8,FALSE))</f>
        <v>0</v>
      </c>
      <c r="AF310" s="1" t="str">
        <f>IF('Replacement plan'!$H$82="","n.a.",'Replacement plan'!$H$82)</f>
        <v>n.a.</v>
      </c>
      <c r="AG310" s="1">
        <f>'Replacement plan'!$J$82</f>
        <v>22</v>
      </c>
      <c r="AH310" s="1">
        <f>IFERROR(IF(D310="EV",IF('Replacement plan'!$K$82="AC",IF(ISNUMBER(INDEX(Products!$G$7:$G$13,MATCH('Replacement plan'!$B$82,Products!$A$7:$A$13,0))),INDEX(Products!$G$7:$G$13,MATCH('Replacement plan'!$B$82,Products!$A$7:$A$13,0)),"n.a."),IF(ISNUMBER(INDEX(Products!$H$7:$H$13,MATCH('Replacement plan'!$B$82,Products!$A$7:$A$13,0))),INDEX(Products!$H$7:$H$13,MATCH('Replacement plan'!$B$82,Products!$A$7:$A$13,0)),"n.a.")),0),"n.a.")</f>
        <v>0</v>
      </c>
      <c r="AI310" s="1">
        <f>IF(AND(C310=1,D310="EV",E310&lt;120),(VLOOKUP($A310,'Fleet register'!$A$7:$S$106,7,FALSE)+IF(T310&gt;0,'Operating costs'!$B$12,0))*U310*(1-'Operating costs'!$B$44)+'Operating costs'!$B$49,0)</f>
        <v>0</v>
      </c>
      <c r="AJ310" s="1">
        <f>IF(D310="EV",'Energy and charging'!$C$50,0)</f>
        <v>0</v>
      </c>
      <c r="AK310" s="17">
        <f>EDATE('Operating costs'!$B$63,E310)</f>
        <v>46298</v>
      </c>
      <c r="AL310" s="1">
        <f>IFERROR(IF(D310="EV",INDEX(Products!$B$7:$B$13,MATCH('Replacement plan'!$B$82,Products!$A$7:$A$13,0)),0),"n.a.")</f>
        <v>0</v>
      </c>
      <c r="AM310" s="1" t="str">
        <f>'Replacement plan'!$K$82</f>
        <v>DC</v>
      </c>
      <c r="AN310" s="1" t="str">
        <f>'Replacement plan'!$AE$82</f>
        <v>Assumed</v>
      </c>
      <c r="AO310" s="47">
        <f>IF(AND(C310=1,D310="EV",E310&lt;120),(R310-'Operating costs'!$B$41)*S310+W310*'Operating costs'!$B$12,0)</f>
        <v>0</v>
      </c>
      <c r="AP310" s="41">
        <f>IF(AND(C310=1,D310="EV",E310&lt;120),IF('Operating costs'!$B$68="Hong Seh 200k average",AO310*IFERROR(INDEX(Products!$P$7:$P$13,MATCH(AD310,Products!$A$7:$A$13,0)),"n.a."),'Operating costs'!$B$26),0)</f>
        <v>0</v>
      </c>
      <c r="AQ310" s="40" t="str">
        <f>IF(D310="EV",'Operating costs'!$B$68,"Not applicable")</f>
        <v>Not applicable</v>
      </c>
    </row>
    <row r="311" spans="1:43" ht="24" customHeight="1">
      <c r="A311" s="1" t="str">
        <f>'Replacement plan'!A83</f>
        <v>T077</v>
      </c>
      <c r="B311" s="1">
        <v>0</v>
      </c>
      <c r="C311" s="1">
        <f>IF(COUNTIFS('Fleet register'!$A$7:$A$106,$A311)=1,VLOOKUP($A311,'Fleet register'!$A$7:$S$106,2,FALSE),0)</f>
        <v>0</v>
      </c>
      <c r="D311" s="1" t="str">
        <f>IF("Keep ICE"="EV","EV","ICE")</f>
        <v>ICE</v>
      </c>
      <c r="E311" s="1">
        <f>IF(C311=0,0,IF('Replacement plan'!$M$83="",VLOOKUP($A311,'Fleet register'!$A$7:$S$106,10,FALSE),'Replacement plan'!$M$83))</f>
        <v>0</v>
      </c>
      <c r="F311" s="16">
        <f>IF(C311=0,0,VLOOKUP($A311,'Fleet register'!$A$7:$S$106,11,FALSE))</f>
        <v>0</v>
      </c>
      <c r="G311" s="16">
        <f>IFERROR(IF(C311=0,0,IF(E311=120,0,IF(D311="ICE",'Replacement plan'!$C$83,IF('Replacement plan'!$D$83="",INDEX(Products!$I$7:$I$13,MATCH('Replacement plan'!$B$83,Products!$A$7:$A$13,0))+'Operating costs'!$B$57,'Replacement plan'!$D$83))*(1+'Operating costs'!$B$50)^(E311/12))),"n.a.")</f>
        <v>0</v>
      </c>
      <c r="H311" s="16">
        <f>IFERROR(IF(C311=0,0,IF(E311=0,F311,VLOOKUP($A311,'Fleet register'!$A$7:$S$106,12,FALSE)+VLOOKUP($A311,'Fleet register'!$A$7:$S$106,13,FALSE)*MAX(0,VLOOKUP($A311,'Fleet register'!$A$7:$S$106,10,FALSE)-E311)/VLOOKUP($A311,'Fleet register'!$A$7:$S$106,14,FALSE))),"n.a.")</f>
        <v>0</v>
      </c>
      <c r="I311" s="16">
        <f>IF(C311=0,0,IF(E311=120,0,'Replacement plan'!$N$83))</f>
        <v>0</v>
      </c>
      <c r="J311" s="16">
        <f>IF(C311=0,0,IF(P311="Complete",((S311*(R311-'Operating costs'!$B$39))+ROUNDUP(S311*(R311-'Operating costs'!$B$39)*IF('Replacement plan'!$AG$83="",'Operating costs'!$B$7,'Replacement plan'!$AG$83)/('Operating costs'!$B$8-'Operating costs'!$B$9*IF('Replacement plan'!$AG$83="",'Operating costs'!$B$7,'Replacement plan'!$AG$83)),0)*'Operating costs'!$B$9)*IF('Replacement plan'!$AG$83="",'Operating costs'!$B$7,'Replacement plan'!$AG$83)*('Energy and charging'!$B$9*'Energy and charging'!$B$7+(1-'Energy and charging'!$B$9)*'Energy and charging'!$B$8)*'Operating costs'!$B$23,"n.a."))</f>
        <v>0</v>
      </c>
      <c r="K311" s="16">
        <f>IF(C311=0,0,IF(P311="Complete",SUM('Operating costs'!$B$24,'Operating costs'!$B$27,'Operating costs'!$B$29,'Operating costs'!$B$31,'Operating costs'!$B$33,'Operating costs'!$B$34,'Operating costs'!$B$37,'Replacement plan'!$W$83)+'Operating costs'!$B$39*'Operating costs'!$B$42+ROUNDUP(S311*(R311-'Operating costs'!$B$39)*IF('Replacement plan'!$AG$83="",'Operating costs'!$B$7,'Replacement plan'!$AG$83)/('Operating costs'!$B$8-'Operating costs'!$B$9*IF('Replacement plan'!$AG$83="",'Operating costs'!$B$7,'Replacement plan'!$AG$83)),0)*('Operating costs'!$B$9/'Operating costs'!$B$11+'Operating costs'!$B$10/60)*'Operating costs'!$B$19*'Operating costs'!$B$21,"n.a."))</f>
        <v>0</v>
      </c>
      <c r="L311" s="16">
        <f>IF(C311=0,0,IF(P311="Complete",IF(D311="EV",X311*((1-T311)*'Energy and charging'!$B$10+T311*'Energy and charging'!$B$11)*'Operating costs'!$B$22,AA311*('Energy and charging'!$B$9*'Energy and charging'!$B$7+(1-'Energy and charging'!$B$9)*'Energy and charging'!$B$8)*'Operating costs'!$B$23),"n.a."))</f>
        <v>0</v>
      </c>
      <c r="M311" s="37">
        <f>IF(C311=0,0,IF(P311="Complete",IF(D311="ICE",SUM('Operating costs'!$B$25,'Operating costs'!$B$27,'Operating costs'!$B$29,'Operating costs'!$B$31,'Operating costs'!$B$33,'Operating costs'!$B$35,'Operating costs'!$B$37,'Replacement plan'!$X$83)+'Operating costs'!$B$40*'Operating costs'!$B$42+ROUNDUP(S311*(R311-'Operating costs'!$B$40)*IF('Replacement plan'!$AH$83="",'Operating costs'!$B$7,'Replacement plan'!$AH$83)/('Operating costs'!$B$8-'Operating costs'!$B$9*IF('Replacement plan'!$AH$83="",'Operating costs'!$B$7,'Replacement plan'!$AH$83)),0)*('Operating costs'!$B$9/'Operating costs'!$B$11+'Operating costs'!$B$10/60)*'Operating costs'!$B$19*'Operating costs'!$B$21,SUM(AP311,'Operating costs'!$B$28,'Operating costs'!$B$30,'Operating costs'!$B$32,'Operating costs'!$B$33,'Operating costs'!$B$36,'Operating costs'!$B$38,'Replacement plan'!$Y$83)+'Operating costs'!$B$41*'Operating costs'!$B$43+W311*'Operating costs'!$B$15+(T311*X311/'Replacement plan'!$L$83+W311*('Operating costs'!$B$12/'Operating costs'!$B$11+('Operating costs'!$B$13+'Operating costs'!$B$14)/60)+(R311-'Operating costs'!$B$41)*(IF(T311&lt;1,'Operating costs'!$B$16,0)+'Operating costs'!$B$17)/60)*'Operating costs'!$B$19*'Operating costs'!$B$20),"n.a."))</f>
        <v>0</v>
      </c>
      <c r="N311" s="16">
        <f>IF(AND(C311=1,D311="EV",E311&lt;120,E311+'Replacement plan'!$AA$83&lt;=120),'Replacement plan'!$Z$83,0)</f>
        <v>0</v>
      </c>
      <c r="O311" s="1">
        <f>E311+'Replacement plan'!$AA$83</f>
        <v>0</v>
      </c>
      <c r="P311" s="35" t="str">
        <f>IFERROR(IF(C311=0,"Excluded",IF(OR(COUNTIFS('Fleet register'!$A$7:$A$106,A311)&lt;&gt;1,COUNTIFS('Replacement plan'!$A$7:$A$106,A311)&lt;&gt;1),"Duplicate/missing ID",IF(NOT(AND(ISNUMBER(VLOOKUP($A311,'Fleet register'!$A$7:$S$106,5,FALSE)),ISNUMBER(VLOOKUP($A311,'Fleet register'!$A$7:$S$106,6,FALSE)),ISNUMBER(VLOOKUP($A311,'Fleet register'!$A$7:$S$106,10,FALSE)),ISNUMBER(VLOOKUP($A311,'Fleet register'!$A$7:$S$106,11,FALSE)),ISNUMBER(VLOOKUP($A311,'Fleet register'!$A$7:$S$106,12,FALSE)),ISNUMBER(VLOOKUP($A311,'Fleet register'!$A$7:$S$106,13,FALSE)),ISNUMBER(VLOOKUP($A311,'Fleet register'!$A$7:$S$106,14,FALSE)),VLOOKUP($A311,'Fleet register'!$A$7:$S$106,14,FALSE)&gt;0,ISNUMBER('Replacement plan'!$C$83),OR(E311=120,ISNUMBER('Replacement plan'!$N$83)),ISNUMBER(E311))),"Missing vehicle input",IF(OR(E311&lt;0,E311&gt;VLOOKUP($A311,'Fleet register'!$A$7:$S$106,10,FALSE),E311&gt;120,E311&lt;&gt;INT(E311),VLOOKUP($A311,'Fleet register'!$A$7:$S$106,6,FALSE)&lt;=0,VLOOKUP($A311,'Fleet register'!$A$7:$S$106,6,FALSE)&gt;366,VLOOKUP($A311,'Fleet register'!$A$7:$S$106,5,FALSE)&lt;0,VLOOKUP($A311,'Fleet register'!$A$7:$S$106,11,FALSE)&lt;0,I311&lt;0,'Operating costs'!$B$8&lt;='Operating costs'!$B$7*'Operating costs'!$B$9,'Operating costs'!$B$11&lt;=0,'Operating costs'!$B$39&gt;R311,'Operating costs'!$B$40&gt;R311,'Operating costs'!$B$41&gt;R311,NOT(OR("Keep ICE"="Keep ICE","Keep ICE"="New ICE","Keep ICE"="EV"))),"Invalid vehicle input",IF(AND(D311="EV",E311&lt;120,OR(NOT(ISNUMBER(U311)),NOT(ISNUMBER(V311)),V311&lt;=0,T311&lt;0,T311&gt;1,'Replacement plan'!$L$83&lt;=0,'Operating costs'!$B$44&lt;0,'Operating costs'!$B$44&gt;=1,'Operating costs'!$B$47&lt;=0,'Operating costs'!$B$47&gt;1,V311*'Operating costs'!$B$47/(1-'Operating costs'!$B$44)&lt;=T311*'Operating costs'!$B$12*U311,AND('Replacement plan'!$Z$83&gt;0,OR('Replacement plan'!$AB$83&lt;&gt;"Yes",'Operating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charging'!$B$8&gt;=0))),ISNUMBER(VLOOKUP($A311,'Fleet register'!$A$7:$S$106,15,FALSE)),ISNUMBER(VLOOKUP($A311,'Fleet register'!$A$7:$S$106,16,FALSE)),ISNUMBER('Replacement plan'!$W$83),ISNUMBER('Replacement plan'!$X$83),OR(E311=120,AND(ISNUMBER(G311),G311&gt;=0)),ISNUMBER(H311),H311&gt;=0,OR(D311&lt;&gt;"EV",E311=120,AND(ISNUMBER('Operating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average",ISNUMBER(IFERROR(INDEX(Products!$P$7:$P$13,MATCH(AD311,Products!$A$7:$A$13,0)),"")))),ISNUMBER('Operating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plan'!$Y$83),ISNUMBER('Replacement plan'!$Z$83),'Replacement plan'!$Z$83&gt;=0,ISNUMBER('Replacement plan'!$AA$83),'Replacement plan'!$AA$83&gt;=0,'Replacement plan'!$AA$83=INT('Replacement plan'!$AA$83),ISNUMBER('Replacement plan'!$L$83))),'Operating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plan'!$AG$83="",'Operating costs'!$B$7,'Replacement plan'!$AG$83)),IF('Replacement plan'!$AG$83="",'Operating costs'!$B$7,'Replacement plan'!$AG$83)&gt;=0,ISNUMBER(IF('Replacement plan'!$AH$83="",'Operating costs'!$B$7,'Replacement plan'!$AH$83)),IF('Replacement plan'!$AH$83="",'Operating costs'!$B$7,'Replacement plan'!$AH$83)&gt;=0,'Operating costs'!$B$8&gt;MAX(IF('Replacement plan'!$AG$83="",'Operating costs'!$B$7,'Replacement plan'!$AG$83),IF('Replacement plan'!$AH$83="",'Operating costs'!$B$7,'Replacement plan'!$AH$83))*'Operating costs'!$B$9),IF(AND(VLOOKUP($A311,'Fleet register'!$A$7:$S$106,10,FALSE)&gt;=0,VLOOKUP($A311,'Fleet register'!$A$7:$S$106,10,FALSE)&lt;=120,VLOOKUP($A311,'Fleet register'!$A$7:$S$106,10,FALSE)=INT(VLOOKUP($A311,'Fleet register'!$A$7:$S$106,10,FALSE)),VLOOKUP($A311,'Fleet register'!$A$7:$S$106,15,FALSE)&gt;=0,VLOOKUP($A311,'Fleet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costs'!$B$67)&gt;=0,OR(D311&lt;&gt;"EV",E311=120,AND(MIN('Operating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11" s="1" t="str">
        <f>IF(C311=0,"Excluded",IF(P311&lt;&gt;"Complete",P311,IF(OR('Replacement plan'!$AD$83&lt;120-E311,AND(D311="EV",E311&lt;120,OR('Replacement plan'!$AC$83&lt;120-E311,'Replacement plan'!$I$83="No",AND(ISNUMBER(AF311),AE311&gt;AF311),AI311&gt;V311*(1-'Operating costs'!$B$46)^MAX(0,AB311-1)*(1-'Operating costs'!$B$45),AC311&gt;'Operating costs'!$B$18,AND(T311&lt;1,OR(AG311&lt;=0,AND(ISNUMBER(AH311),AG311&gt;AH311))),'Replacement plan'!$L$83&gt;INDEX(Products!$H$7:$H$13,MATCH('Replacement plan'!$B$83,Products!$A$7:$A$13,0))))),"Fails entered limits",IF(AND(D311="EV",E311&lt;120,OR(NOT(ISNUMBER(VLOOKUP($A311,'Fleet register'!$A$7:$S$106,7,FALSE))),NOT(ISNUMBER(VLOOKUP($A311,'Fleet register'!$A$7:$S$106,8,FALSE))),NOT(ISNUMBER(AF311)),'Replacement plan'!$I$83&lt;&gt;"Yes",NOT(ISNUMBER(AH311)),'Operating costs'!$B$59&lt;&gt;"Yes",'Operating costs'!$B$58&lt;&gt;"Yes")),"Unverified","Within entered limits"))))</f>
        <v>Excluded</v>
      </c>
      <c r="R311" s="1">
        <f>IF(C311=0,0,VLOOKUP($A311,'Fleet register'!$A$7:$S$106,6,FALSE))</f>
        <v>0</v>
      </c>
      <c r="S311" s="1">
        <f>IF(C311=0,0,VLOOKUP($A311,'Fleet register'!$A$7:$S$106,5,FALSE))</f>
        <v>0</v>
      </c>
      <c r="T311" s="1">
        <f>IF(D311="EV",'Energy and charging'!$B$12,0)</f>
        <v>0</v>
      </c>
      <c r="U311" s="1">
        <f>IFERROR(IF(C311=0,0,IF(D311="EV",IF('Replacement plan'!$F$83="",INDEX(Products!$E$7:$E$13,MATCH('Replacement plan'!$B$83,Products!$A$7:$A$13,0)),'Replacement plan'!$F$83)/IF('Replacement plan'!$G$83="Battery",1-'Operating costs'!$B$44,1),0)),"n.a.")</f>
        <v>0</v>
      </c>
      <c r="V311" s="1">
        <f>IFERROR(IF(C311=0,0,IF(D311="EV",IF('Replacement plan'!$E$83="",INDEX(Products!$D$7:$D$13,MATCH('Replacement plan'!$B$83,Products!$A$7:$A$13,0)),'Replacement plan'!$E$83),0)),"n.a.")</f>
        <v>0</v>
      </c>
      <c r="W311" s="1">
        <f>IF(C311=0,0,IF(AND(P311="Complete",D311="EV",E311&lt;120),IF(T311=0,0,ROUNDUP(T311*(R311-'Operating costs'!$B$41)*(S311*U311+'Operating costs'!$B$48/(1-'Operating costs'!$B$44))/(V311*'Operating costs'!$B$47/(1-'Operating costs'!$B$44)-T311*'Operating costs'!$B$12*U311),0)),0))</f>
        <v>0</v>
      </c>
      <c r="X311" s="1">
        <f>IF(C311=0,0,IF(AND(P311="Complete",D311="EV",E311&lt;120),(R311-'Operating costs'!$B$41)*(S311*U311+'Operating costs'!$B$48/(1-'Operating costs'!$B$44))+W311*'Operating costs'!$B$12*U311,0))</f>
        <v>0</v>
      </c>
      <c r="Y311" s="1">
        <f>IF(AND(C311=1,D311="EV",E311&lt;120),AI311/(1-'Operating costs'!$B$44)*(1-T311),0)</f>
        <v>0</v>
      </c>
      <c r="Z311" s="1">
        <f t="shared" si="8"/>
        <v>0</v>
      </c>
      <c r="AA311" s="1">
        <f>IF(C311=0,0,IF(P311="Complete",((S311*(R311-'Operating costs'!$B$40))+ROUNDUP(S311*(R311-'Operating costs'!$B$40)*IF('Replacement plan'!$AH$83="",'Operating costs'!$B$7,'Replacement plan'!$AH$83)/('Operating costs'!$B$8-'Operating costs'!$B$9*IF('Replacement plan'!$AH$83="",'Operating costs'!$B$7,'Replacement plan'!$AH$83)),0)*'Operating costs'!$B$9)*IF('Replacement plan'!$AH$83="",'Operating costs'!$B$7,'Replacement plan'!$AH$83),"n.a."))</f>
        <v>0</v>
      </c>
      <c r="AB311" s="1">
        <f t="shared" si="9"/>
        <v>0</v>
      </c>
      <c r="AC311" s="1">
        <f>IF(AND(C311=1,D311="EV",E311&lt;120,T311&gt;0),'Operating costs'!$B$12/'Operating costs'!$B$11*60+'Operating costs'!$B$13+'Operating costs'!$B$14+V311*'Operating costs'!$B$47/(1-'Operating costs'!$B$44)/'Replacement plan'!$L$83*60,0)</f>
        <v>0</v>
      </c>
      <c r="AD311" s="1" t="str">
        <f>'Replacement plan'!$B$83</f>
        <v>ChengLong L2EV</v>
      </c>
      <c r="AE311" s="1">
        <f>IF(C311=0,0,VLOOKUP($A311,'Fleet register'!$A$7:$S$106,8,FALSE))</f>
        <v>0</v>
      </c>
      <c r="AF311" s="1" t="str">
        <f>IF('Replacement plan'!$H$83="","n.a.",'Replacement plan'!$H$83)</f>
        <v>n.a.</v>
      </c>
      <c r="AG311" s="1">
        <f>'Replacement plan'!$J$83</f>
        <v>22</v>
      </c>
      <c r="AH311" s="1">
        <f>IFERROR(IF(D311="EV",IF('Replacement plan'!$K$83="AC",IF(ISNUMBER(INDEX(Products!$G$7:$G$13,MATCH('Replacement plan'!$B$83,Products!$A$7:$A$13,0))),INDEX(Products!$G$7:$G$13,MATCH('Replacement plan'!$B$83,Products!$A$7:$A$13,0)),"n.a."),IF(ISNUMBER(INDEX(Products!$H$7:$H$13,MATCH('Replacement plan'!$B$83,Products!$A$7:$A$13,0))),INDEX(Products!$H$7:$H$13,MATCH('Replacement plan'!$B$83,Products!$A$7:$A$13,0)),"n.a.")),0),"n.a.")</f>
        <v>0</v>
      </c>
      <c r="AI311" s="1">
        <f>IF(AND(C311=1,D311="EV",E311&lt;120),(VLOOKUP($A311,'Fleet register'!$A$7:$S$106,7,FALSE)+IF(T311&gt;0,'Operating costs'!$B$12,0))*U311*(1-'Operating costs'!$B$44)+'Operating costs'!$B$49,0)</f>
        <v>0</v>
      </c>
      <c r="AJ311" s="1">
        <f>IF(D311="EV",'Energy and charging'!$B$50,0)</f>
        <v>0</v>
      </c>
      <c r="AK311" s="17">
        <f>EDATE('Operating costs'!$B$63,E311)</f>
        <v>46298</v>
      </c>
      <c r="AL311" s="1">
        <f>IFERROR(IF(D311="EV",INDEX(Products!$B$7:$B$13,MATCH('Replacement plan'!$B$83,Products!$A$7:$A$13,0)),0),"n.a.")</f>
        <v>0</v>
      </c>
      <c r="AM311" s="1" t="str">
        <f>'Replacement plan'!$K$83</f>
        <v>DC</v>
      </c>
      <c r="AN311" s="1" t="str">
        <f>'Replacement plan'!$AE$83</f>
        <v>Assumed</v>
      </c>
      <c r="AO311" s="47">
        <f>IF(AND(C311=1,D311="EV",E311&lt;120),(R311-'Operating costs'!$B$41)*S311+W311*'Operating costs'!$B$12,0)</f>
        <v>0</v>
      </c>
      <c r="AP311" s="41">
        <f>IF(AND(C311=1,D311="EV",E311&lt;120),IF('Operating costs'!$B$68="Hong Seh 200k average",AO311*IFERROR(INDEX(Products!$P$7:$P$13,MATCH(AD311,Products!$A$7:$A$13,0)),"n.a."),'Operating costs'!$B$26),0)</f>
        <v>0</v>
      </c>
      <c r="AQ311" s="40" t="str">
        <f>IF(D311="EV",'Operating costs'!$B$68,"Not applicable")</f>
        <v>Not applicable</v>
      </c>
    </row>
    <row r="312" spans="1:43" ht="24" customHeight="1">
      <c r="A312" s="1" t="str">
        <f>'Replacement plan'!A83</f>
        <v>T077</v>
      </c>
      <c r="B312" s="1">
        <v>1</v>
      </c>
      <c r="C312" s="1">
        <f>IF(COUNTIFS('Fleet register'!$A$7:$A$106,$A312)=1,VLOOKUP($A312,'Fleet register'!$A$7:$S$106,2,FALSE),0)</f>
        <v>0</v>
      </c>
      <c r="D312" s="1" t="str">
        <f>IF("New ICE"="EV","EV","ICE")</f>
        <v>ICE</v>
      </c>
      <c r="E312" s="1">
        <f>IF(C312=0,0,0)</f>
        <v>0</v>
      </c>
      <c r="F312" s="16">
        <f>IF(C312=0,0,VLOOKUP($A312,'Fleet register'!$A$7:$S$106,11,FALSE))</f>
        <v>0</v>
      </c>
      <c r="G312" s="16">
        <f>IFERROR(IF(C312=0,0,IF(E312=120,0,IF(D312="ICE",'Replacement plan'!$C$83,IF('Replacement plan'!$D$83="",INDEX(Products!$I$7:$I$13,MATCH('Replacement plan'!$B$83,Products!$A$7:$A$13,0))+'Operating costs'!$B$57,'Replacement plan'!$D$83))*(1+'Operating costs'!$B$50)^(E312/12))),"n.a.")</f>
        <v>0</v>
      </c>
      <c r="H312" s="16">
        <f>IFERROR(IF(C312=0,0,IF(E312=0,F312,VLOOKUP($A312,'Fleet register'!$A$7:$S$106,12,FALSE)+VLOOKUP($A312,'Fleet register'!$A$7:$S$106,13,FALSE)*MAX(0,VLOOKUP($A312,'Fleet register'!$A$7:$S$106,10,FALSE)-E312)/VLOOKUP($A312,'Fleet register'!$A$7:$S$106,14,FALSE))),"n.a.")</f>
        <v>0</v>
      </c>
      <c r="I312" s="16">
        <f>IF(C312=0,0,IF(E312=120,0,IF('Replacement plan'!$AI$83="",'Operating costs'!$B$56,'Replacement plan'!$AI$83)))</f>
        <v>0</v>
      </c>
      <c r="J312" s="16">
        <f>IF(C312=0,0,IF(P312="Complete",((S312*(R312-'Operating costs'!$B$39))+ROUNDUP(S312*(R312-'Operating costs'!$B$39)*IF('Replacement plan'!$AG$83="",'Operating costs'!$B$7,'Replacement plan'!$AG$83)/('Operating costs'!$B$8-'Operating costs'!$B$9*IF('Replacement plan'!$AG$83="",'Operating costs'!$B$7,'Replacement plan'!$AG$83)),0)*'Operating costs'!$B$9)*IF('Replacement plan'!$AG$83="",'Operating costs'!$B$7,'Replacement plan'!$AG$83)*('Energy and charging'!$B$9*'Energy and charging'!$B$7+(1-'Energy and charging'!$B$9)*'Energy and charging'!$B$8)*'Operating costs'!$B$23,"n.a."))</f>
        <v>0</v>
      </c>
      <c r="K312" s="16">
        <f>IF(C312=0,0,IF(P312="Complete",SUM('Operating costs'!$B$24,'Operating costs'!$B$27,'Operating costs'!$B$29,'Operating costs'!$B$31,'Operating costs'!$B$33,'Operating costs'!$B$34,'Operating costs'!$B$37,'Replacement plan'!$W$83)+'Operating costs'!$B$39*'Operating costs'!$B$42+ROUNDUP(S312*(R312-'Operating costs'!$B$39)*IF('Replacement plan'!$AG$83="",'Operating costs'!$B$7,'Replacement plan'!$AG$83)/('Operating costs'!$B$8-'Operating costs'!$B$9*IF('Replacement plan'!$AG$83="",'Operating costs'!$B$7,'Replacement plan'!$AG$83)),0)*('Operating costs'!$B$9/'Operating costs'!$B$11+'Operating costs'!$B$10/60)*'Operating costs'!$B$19*'Operating costs'!$B$21,"n.a."))</f>
        <v>0</v>
      </c>
      <c r="L312" s="16">
        <f>IF(C312=0,0,IF(P312="Complete",IF(D312="EV",X312*((1-T312)*'Energy and charging'!$B$10+T312*'Energy and charging'!$B$11)*'Operating costs'!$B$22,AA312*('Energy and charging'!$B$9*'Energy and charging'!$B$7+(1-'Energy and charging'!$B$9)*'Energy and charging'!$B$8)*'Operating costs'!$B$23),"n.a."))</f>
        <v>0</v>
      </c>
      <c r="M312" s="37">
        <f>IF(C312=0,0,IF(P312="Complete",IF(D312="ICE",SUM('Operating costs'!$B$25,'Operating costs'!$B$27,'Operating costs'!$B$29,'Operating costs'!$B$31,'Operating costs'!$B$33,'Operating costs'!$B$35,'Operating costs'!$B$37,'Replacement plan'!$X$83)+'Operating costs'!$B$40*'Operating costs'!$B$42+ROUNDUP(S312*(R312-'Operating costs'!$B$40)*IF('Replacement plan'!$AH$83="",'Operating costs'!$B$7,'Replacement plan'!$AH$83)/('Operating costs'!$B$8-'Operating costs'!$B$9*IF('Replacement plan'!$AH$83="",'Operating costs'!$B$7,'Replacement plan'!$AH$83)),0)*('Operating costs'!$B$9/'Operating costs'!$B$11+'Operating costs'!$B$10/60)*'Operating costs'!$B$19*'Operating costs'!$B$21,SUM(AP312,'Operating costs'!$B$28,'Operating costs'!$B$30,'Operating costs'!$B$32,'Operating costs'!$B$33,'Operating costs'!$B$36,'Operating costs'!$B$38,'Replacement plan'!$Y$83)+'Operating costs'!$B$41*'Operating costs'!$B$43+W312*'Operating costs'!$B$15+(T312*X312/'Replacement plan'!$L$83+W312*('Operating costs'!$B$12/'Operating costs'!$B$11+('Operating costs'!$B$13+'Operating costs'!$B$14)/60)+(R312-'Operating costs'!$B$41)*(IF(T312&lt;1,'Operating costs'!$B$16,0)+'Operating costs'!$B$17)/60)*'Operating costs'!$B$19*'Operating costs'!$B$20),"n.a."))</f>
        <v>0</v>
      </c>
      <c r="N312" s="16">
        <f>IF(AND(C312=1,D312="EV",E312&lt;120,E312+'Replacement plan'!$AA$83&lt;=120),'Replacement plan'!$Z$83,0)</f>
        <v>0</v>
      </c>
      <c r="O312" s="1">
        <f>E312+'Replacement plan'!$AA$83</f>
        <v>0</v>
      </c>
      <c r="P312" s="35" t="str">
        <f>IFERROR(IF(C312=0,"Excluded",IF(OR(COUNTIFS('Fleet register'!$A$7:$A$106,A312)&lt;&gt;1,COUNTIFS('Replacement plan'!$A$7:$A$106,A312)&lt;&gt;1),"Duplicate/missing ID",IF(NOT(AND(ISNUMBER(VLOOKUP($A312,'Fleet register'!$A$7:$S$106,5,FALSE)),ISNUMBER(VLOOKUP($A312,'Fleet register'!$A$7:$S$106,6,FALSE)),ISNUMBER(VLOOKUP($A312,'Fleet register'!$A$7:$S$106,10,FALSE)),ISNUMBER(VLOOKUP($A312,'Fleet register'!$A$7:$S$106,11,FALSE)),ISNUMBER(VLOOKUP($A312,'Fleet register'!$A$7:$S$106,12,FALSE)),ISNUMBER(VLOOKUP($A312,'Fleet register'!$A$7:$S$106,13,FALSE)),ISNUMBER(VLOOKUP($A312,'Fleet register'!$A$7:$S$106,14,FALSE)),VLOOKUP($A312,'Fleet register'!$A$7:$S$106,14,FALSE)&gt;0,ISNUMBER('Replacement plan'!$C$83),OR(E312=120,OR(ISNUMBER('Replacement plan'!$AI$83),AND('Replacement plan'!$AI$83="",ISNUMBER('Operating costs'!$B$56)))),ISNUMBER(E312))),"Missing vehicle input",IF(OR(E312&lt;0,E312&gt;VLOOKUP($A312,'Fleet register'!$A$7:$S$106,10,FALSE),E312&gt;120,E312&lt;&gt;INT(E312),VLOOKUP($A312,'Fleet register'!$A$7:$S$106,6,FALSE)&lt;=0,VLOOKUP($A312,'Fleet register'!$A$7:$S$106,6,FALSE)&gt;366,VLOOKUP($A312,'Fleet register'!$A$7:$S$106,5,FALSE)&lt;0,VLOOKUP($A312,'Fleet register'!$A$7:$S$106,11,FALSE)&lt;0,I312&lt;0,'Operating costs'!$B$8&lt;='Operating costs'!$B$7*'Operating costs'!$B$9,'Operating costs'!$B$11&lt;=0,'Operating costs'!$B$39&gt;R312,'Operating costs'!$B$40&gt;R312,'Operating costs'!$B$41&gt;R312,NOT(OR("New ICE"="Keep ICE","New ICE"="New ICE","New ICE"="EV"))),"Invalid vehicle input",IF(AND(D312="EV",E312&lt;120,OR(NOT(ISNUMBER(U312)),NOT(ISNUMBER(V312)),V312&lt;=0,T312&lt;0,T312&gt;1,'Replacement plan'!$L$83&lt;=0,'Operating costs'!$B$44&lt;0,'Operating costs'!$B$44&gt;=1,'Operating costs'!$B$47&lt;=0,'Operating costs'!$B$47&gt;1,V312*'Operating costs'!$B$47/(1-'Operating costs'!$B$44)&lt;=T312*'Operating costs'!$B$12*U312,AND('Replacement plan'!$Z$83&gt;0,OR('Replacement plan'!$AB$83&lt;&gt;"Yes",'Operating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charging'!$B$8&gt;=0))),ISNUMBER(VLOOKUP($A312,'Fleet register'!$A$7:$S$106,15,FALSE)),ISNUMBER(VLOOKUP($A312,'Fleet register'!$A$7:$S$106,16,FALSE)),ISNUMBER('Replacement plan'!$W$83),ISNUMBER('Replacement plan'!$X$83),OR(E312=120,AND(ISNUMBER(G312),G312&gt;=0)),ISNUMBER(H312),H312&gt;=0,OR(D312&lt;&gt;"EV",E312=120,AND(ISNUMBER('Operating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average",ISNUMBER(IFERROR(INDEX(Products!$P$7:$P$13,MATCH(AD312,Products!$A$7:$A$13,0)),"")))),ISNUMBER('Operating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plan'!$Y$83),ISNUMBER('Replacement plan'!$Z$83),'Replacement plan'!$Z$83&gt;=0,ISNUMBER('Replacement plan'!$AA$83),'Replacement plan'!$AA$83&gt;=0,'Replacement plan'!$AA$83=INT('Replacement plan'!$AA$83),ISNUMBER('Replacement plan'!$L$83))),'Operating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plan'!$AG$83="",'Operating costs'!$B$7,'Replacement plan'!$AG$83)),IF('Replacement plan'!$AG$83="",'Operating costs'!$B$7,'Replacement plan'!$AG$83)&gt;=0,ISNUMBER(IF('Replacement plan'!$AH$83="",'Operating costs'!$B$7,'Replacement plan'!$AH$83)),IF('Replacement plan'!$AH$83="",'Operating costs'!$B$7,'Replacement plan'!$AH$83)&gt;=0,'Operating costs'!$B$8&gt;MAX(IF('Replacement plan'!$AG$83="",'Operating costs'!$B$7,'Replacement plan'!$AG$83),IF('Replacement plan'!$AH$83="",'Operating costs'!$B$7,'Replacement plan'!$AH$83))*'Operating costs'!$B$9),IF(AND(VLOOKUP($A312,'Fleet register'!$A$7:$S$106,10,FALSE)&gt;=0,VLOOKUP($A312,'Fleet register'!$A$7:$S$106,10,FALSE)&lt;=120,VLOOKUP($A312,'Fleet register'!$A$7:$S$106,10,FALSE)=INT(VLOOKUP($A312,'Fleet register'!$A$7:$S$106,10,FALSE)),VLOOKUP($A312,'Fleet register'!$A$7:$S$106,15,FALSE)&gt;=0,VLOOKUP($A312,'Fleet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costs'!$B$67)&gt;=0,OR(D312&lt;&gt;"EV",E312=120,AND(MIN('Operating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12" s="1" t="str">
        <f>IF(C312=0,"Excluded",IF(P312&lt;&gt;"Complete",P312,IF(OR('Replacement plan'!$AD$83&lt;120-E312,AND(D312="EV",E312&lt;120,OR('Replacement plan'!$AC$83&lt;120-E312,'Replacement plan'!$I$83="No",AND(ISNUMBER(AF312),AE312&gt;AF312),AI312&gt;V312*(1-'Operating costs'!$B$46)^MAX(0,AB312-1)*(1-'Operating costs'!$B$45),AC312&gt;'Operating costs'!$B$18,AND(T312&lt;1,OR(AG312&lt;=0,AND(ISNUMBER(AH312),AG312&gt;AH312))),'Replacement plan'!$L$83&gt;INDEX(Products!$H$7:$H$13,MATCH('Replacement plan'!$B$83,Products!$A$7:$A$13,0))))),"Fails entered limits",IF(AND(D312="EV",E312&lt;120,OR(NOT(ISNUMBER(VLOOKUP($A312,'Fleet register'!$A$7:$S$106,7,FALSE))),NOT(ISNUMBER(VLOOKUP($A312,'Fleet register'!$A$7:$S$106,8,FALSE))),NOT(ISNUMBER(AF312)),'Replacement plan'!$I$83&lt;&gt;"Yes",NOT(ISNUMBER(AH312)),'Operating costs'!$B$59&lt;&gt;"Yes",'Operating costs'!$B$58&lt;&gt;"Yes")),"Unverified","Within entered limits"))))</f>
        <v>Excluded</v>
      </c>
      <c r="R312" s="1">
        <f>IF(C312=0,0,VLOOKUP($A312,'Fleet register'!$A$7:$S$106,6,FALSE))</f>
        <v>0</v>
      </c>
      <c r="S312" s="1">
        <f>IF(C312=0,0,VLOOKUP($A312,'Fleet register'!$A$7:$S$106,5,FALSE))</f>
        <v>0</v>
      </c>
      <c r="T312" s="1">
        <f>IF(D312="EV",'Energy and charging'!$B$12,0)</f>
        <v>0</v>
      </c>
      <c r="U312" s="1">
        <f>IFERROR(IF(C312=0,0,IF(D312="EV",IF('Replacement plan'!$F$83="",INDEX(Products!$E$7:$E$13,MATCH('Replacement plan'!$B$83,Products!$A$7:$A$13,0)),'Replacement plan'!$F$83)/IF('Replacement plan'!$G$83="Battery",1-'Operating costs'!$B$44,1),0)),"n.a.")</f>
        <v>0</v>
      </c>
      <c r="V312" s="1">
        <f>IFERROR(IF(C312=0,0,IF(D312="EV",IF('Replacement plan'!$E$83="",INDEX(Products!$D$7:$D$13,MATCH('Replacement plan'!$B$83,Products!$A$7:$A$13,0)),'Replacement plan'!$E$83),0)),"n.a.")</f>
        <v>0</v>
      </c>
      <c r="W312" s="1">
        <f>IF(C312=0,0,IF(AND(P312="Complete",D312="EV",E312&lt;120),IF(T312=0,0,ROUNDUP(T312*(R312-'Operating costs'!$B$41)*(S312*U312+'Operating costs'!$B$48/(1-'Operating costs'!$B$44))/(V312*'Operating costs'!$B$47/(1-'Operating costs'!$B$44)-T312*'Operating costs'!$B$12*U312),0)),0))</f>
        <v>0</v>
      </c>
      <c r="X312" s="1">
        <f>IF(C312=0,0,IF(AND(P312="Complete",D312="EV",E312&lt;120),(R312-'Operating costs'!$B$41)*(S312*U312+'Operating costs'!$B$48/(1-'Operating costs'!$B$44))+W312*'Operating costs'!$B$12*U312,0))</f>
        <v>0</v>
      </c>
      <c r="Y312" s="1">
        <f>IF(AND(C312=1,D312="EV",E312&lt;120),AI312/(1-'Operating costs'!$B$44)*(1-T312),0)</f>
        <v>0</v>
      </c>
      <c r="Z312" s="1">
        <f t="shared" si="8"/>
        <v>0</v>
      </c>
      <c r="AA312" s="1">
        <f>IF(C312=0,0,IF(P312="Complete",((S312*(R312-'Operating costs'!$B$40))+ROUNDUP(S312*(R312-'Operating costs'!$B$40)*IF('Replacement plan'!$AH$83="",'Operating costs'!$B$7,'Replacement plan'!$AH$83)/('Operating costs'!$B$8-'Operating costs'!$B$9*IF('Replacement plan'!$AH$83="",'Operating costs'!$B$7,'Replacement plan'!$AH$83)),0)*'Operating costs'!$B$9)*IF('Replacement plan'!$AH$83="",'Operating costs'!$B$7,'Replacement plan'!$AH$83),"n.a."))</f>
        <v>0</v>
      </c>
      <c r="AB312" s="1">
        <f t="shared" si="9"/>
        <v>0</v>
      </c>
      <c r="AC312" s="1">
        <f>IF(AND(C312=1,D312="EV",E312&lt;120,T312&gt;0),'Operating costs'!$B$12/'Operating costs'!$B$11*60+'Operating costs'!$B$13+'Operating costs'!$B$14+V312*'Operating costs'!$B$47/(1-'Operating costs'!$B$44)/'Replacement plan'!$L$83*60,0)</f>
        <v>0</v>
      </c>
      <c r="AD312" s="1" t="str">
        <f>'Replacement plan'!$B$83</f>
        <v>ChengLong L2EV</v>
      </c>
      <c r="AE312" s="1">
        <f>IF(C312=0,0,VLOOKUP($A312,'Fleet register'!$A$7:$S$106,8,FALSE))</f>
        <v>0</v>
      </c>
      <c r="AF312" s="1" t="str">
        <f>IF('Replacement plan'!$H$83="","n.a.",'Replacement plan'!$H$83)</f>
        <v>n.a.</v>
      </c>
      <c r="AG312" s="1">
        <f>'Replacement plan'!$J$83</f>
        <v>22</v>
      </c>
      <c r="AH312" s="1">
        <f>IFERROR(IF(D312="EV",IF('Replacement plan'!$K$83="AC",IF(ISNUMBER(INDEX(Products!$G$7:$G$13,MATCH('Replacement plan'!$B$83,Products!$A$7:$A$13,0))),INDEX(Products!$G$7:$G$13,MATCH('Replacement plan'!$B$83,Products!$A$7:$A$13,0)),"n.a."),IF(ISNUMBER(INDEX(Products!$H$7:$H$13,MATCH('Replacement plan'!$B$83,Products!$A$7:$A$13,0))),INDEX(Products!$H$7:$H$13,MATCH('Replacement plan'!$B$83,Products!$A$7:$A$13,0)),"n.a.")),0),"n.a.")</f>
        <v>0</v>
      </c>
      <c r="AI312" s="1">
        <f>IF(AND(C312=1,D312="EV",E312&lt;120),(VLOOKUP($A312,'Fleet register'!$A$7:$S$106,7,FALSE)+IF(T312&gt;0,'Operating costs'!$B$12,0))*U312*(1-'Operating costs'!$B$44)+'Operating costs'!$B$49,0)</f>
        <v>0</v>
      </c>
      <c r="AJ312" s="1">
        <f>IF(D312="EV",'Energy and charging'!$B$50,0)</f>
        <v>0</v>
      </c>
      <c r="AK312" s="17">
        <f>EDATE('Operating costs'!$B$63,E312)</f>
        <v>46298</v>
      </c>
      <c r="AL312" s="1">
        <f>IFERROR(IF(D312="EV",INDEX(Products!$B$7:$B$13,MATCH('Replacement plan'!$B$83,Products!$A$7:$A$13,0)),0),"n.a.")</f>
        <v>0</v>
      </c>
      <c r="AM312" s="1" t="str">
        <f>'Replacement plan'!$K$83</f>
        <v>DC</v>
      </c>
      <c r="AN312" s="1" t="str">
        <f>'Replacement plan'!$AE$83</f>
        <v>Assumed</v>
      </c>
      <c r="AO312" s="47">
        <f>IF(AND(C312=1,D312="EV",E312&lt;120),(R312-'Operating costs'!$B$41)*S312+W312*'Operating costs'!$B$12,0)</f>
        <v>0</v>
      </c>
      <c r="AP312" s="41">
        <f>IF(AND(C312=1,D312="EV",E312&lt;120),IF('Operating costs'!$B$68="Hong Seh 200k average",AO312*IFERROR(INDEX(Products!$P$7:$P$13,MATCH(AD312,Products!$A$7:$A$13,0)),"n.a."),'Operating costs'!$B$26),0)</f>
        <v>0</v>
      </c>
      <c r="AQ312" s="40" t="str">
        <f>IF(D312="EV",'Operating costs'!$B$68,"Not applicable")</f>
        <v>Not applicable</v>
      </c>
    </row>
    <row r="313" spans="1:43" ht="24" customHeight="1">
      <c r="A313" s="1" t="str">
        <f>'Replacement plan'!A83</f>
        <v>T077</v>
      </c>
      <c r="B313" s="1">
        <v>2</v>
      </c>
      <c r="C313" s="1">
        <f>IF(COUNTIFS('Fleet register'!$A$7:$A$106,$A313)=1,VLOOKUP($A313,'Fleet register'!$A$7:$S$106,2,FALSE),0)</f>
        <v>0</v>
      </c>
      <c r="D313" s="1" t="str">
        <f>IF('Replacement plan'!$O$83="EV","EV","ICE")</f>
        <v>ICE</v>
      </c>
      <c r="E313" s="1">
        <f>IF(C313=0,0,IF('Replacement plan'!$P$83="",IF('Replacement plan'!$O$83="Keep ICE",IF('Replacement plan'!$M$83="",VLOOKUP($A313,'Fleet register'!$A$7:$S$106,10,FALSE),'Replacement plan'!$M$83),0),'Replacement plan'!$P$83))</f>
        <v>0</v>
      </c>
      <c r="F313" s="16">
        <f>IF(C313=0,0,VLOOKUP($A313,'Fleet register'!$A$7:$S$106,11,FALSE))</f>
        <v>0</v>
      </c>
      <c r="G313" s="16">
        <f>IFERROR(IF(C313=0,0,IF(E313=120,0,IF(D313="ICE",'Replacement plan'!$C$83,IF('Replacement plan'!$D$83="",INDEX(Products!$I$7:$I$13,MATCH('Replacement plan'!$B$83,Products!$A$7:$A$13,0))+'Operating costs'!$B$57,'Replacement plan'!$D$83))*(1+'Operating costs'!$B$50)^(E313/12))),"n.a.")</f>
        <v>0</v>
      </c>
      <c r="H313" s="16">
        <f>IFERROR(IF(C313=0,0,IF('Replacement plan'!$U$83&lt;&gt;"",'Replacement plan'!$U$83,IF(E313=0,F313,VLOOKUP($A313,'Fleet register'!$A$7:$S$106,12,FALSE)+VLOOKUP($A313,'Fleet register'!$A$7:$S$106,13,FALSE)*MAX(0,VLOOKUP($A313,'Fleet register'!$A$7:$S$106,10,FALSE)-E313)/VLOOKUP($A313,'Fleet register'!$A$7:$S$106,14,FALSE)))),"n.a.")</f>
        <v>0</v>
      </c>
      <c r="I313" s="16">
        <f>IF(C313=0,0,IF(E313=120,0,'Replacement plan'!$Q$83))</f>
        <v>0</v>
      </c>
      <c r="J313" s="16">
        <f>IF(C313=0,0,IF(P313="Complete",((S313*(R313-'Operating costs'!$B$39))+ROUNDUP(S313*(R313-'Operating costs'!$B$39)*IF('Replacement plan'!$AG$83="",'Operating costs'!$B$7,'Replacement plan'!$AG$83)/('Operating costs'!$B$8-'Operating costs'!$B$9*IF('Replacement plan'!$AG$83="",'Operating costs'!$B$7,'Replacement plan'!$AG$83)),0)*'Operating costs'!$B$9)*IF('Replacement plan'!$AG$83="",'Operating costs'!$B$7,'Replacement plan'!$AG$83)*('Energy and charging'!$B$9*'Energy and charging'!$B$7+(1-'Energy and charging'!$B$9)*'Energy and charging'!$B$8)*'Operating costs'!$B$23,"n.a."))</f>
        <v>0</v>
      </c>
      <c r="K313" s="16">
        <f>IF(C313=0,0,IF(P313="Complete",SUM('Operating costs'!$B$24,'Operating costs'!$B$27,'Operating costs'!$B$29,'Operating costs'!$B$31,'Operating costs'!$B$33,'Operating costs'!$B$34,'Operating costs'!$B$37,'Replacement plan'!$W$83)+'Operating costs'!$B$39*'Operating costs'!$B$42+ROUNDUP(S313*(R313-'Operating costs'!$B$39)*IF('Replacement plan'!$AG$83="",'Operating costs'!$B$7,'Replacement plan'!$AG$83)/('Operating costs'!$B$8-'Operating costs'!$B$9*IF('Replacement plan'!$AG$83="",'Operating costs'!$B$7,'Replacement plan'!$AG$83)),0)*('Operating costs'!$B$9/'Operating costs'!$B$11+'Operating costs'!$B$10/60)*'Operating costs'!$B$19*'Operating costs'!$B$21,"n.a."))</f>
        <v>0</v>
      </c>
      <c r="L313" s="16">
        <f>IF(C313=0,0,IF(P313="Complete",IF(D313="EV",X313*((1-T313)*'Energy and charging'!$B$10+T313*'Energy and charging'!$B$11)*'Operating costs'!$B$22,AA313*('Energy and charging'!$B$9*'Energy and charging'!$B$7+(1-'Energy and charging'!$B$9)*'Energy and charging'!$B$8)*'Operating costs'!$B$23),"n.a."))</f>
        <v>0</v>
      </c>
      <c r="M313" s="37">
        <f>IF(C313=0,0,IF(P313="Complete",IF(D313="ICE",SUM('Operating costs'!$B$25,'Operating costs'!$B$27,'Operating costs'!$B$29,'Operating costs'!$B$31,'Operating costs'!$B$33,'Operating costs'!$B$35,'Operating costs'!$B$37,'Replacement plan'!$X$83)+'Operating costs'!$B$40*'Operating costs'!$B$42+ROUNDUP(S313*(R313-'Operating costs'!$B$40)*IF('Replacement plan'!$AH$83="",'Operating costs'!$B$7,'Replacement plan'!$AH$83)/('Operating costs'!$B$8-'Operating costs'!$B$9*IF('Replacement plan'!$AH$83="",'Operating costs'!$B$7,'Replacement plan'!$AH$83)),0)*('Operating costs'!$B$9/'Operating costs'!$B$11+'Operating costs'!$B$10/60)*'Operating costs'!$B$19*'Operating costs'!$B$21,SUM(AP313,'Operating costs'!$B$28,'Operating costs'!$B$30,'Operating costs'!$B$32,'Operating costs'!$B$33,'Operating costs'!$B$36,'Operating costs'!$B$38,'Replacement plan'!$Y$83)+'Operating costs'!$B$41*'Operating costs'!$B$43+W313*'Operating costs'!$B$15+(T313*X313/'Replacement plan'!$L$83+W313*('Operating costs'!$B$12/'Operating costs'!$B$11+('Operating costs'!$B$13+'Operating costs'!$B$14)/60)+(R313-'Operating costs'!$B$41)*(IF(T313&lt;1,'Operating costs'!$B$16,0)+'Operating costs'!$B$17)/60)*'Operating costs'!$B$19*'Operating costs'!$B$20),"n.a."))</f>
        <v>0</v>
      </c>
      <c r="N313" s="16">
        <f>IF(AND(C313=1,D313="EV",E313&lt;120,E313+'Replacement plan'!$AA$83&lt;=120),'Replacement plan'!$Z$83,0)</f>
        <v>0</v>
      </c>
      <c r="O313" s="1">
        <f>E313+'Replacement plan'!$AA$83</f>
        <v>0</v>
      </c>
      <c r="P313" s="35" t="str">
        <f>IFERROR(IF(C313=0,"Excluded",IF(OR(COUNTIFS('Fleet register'!$A$7:$A$106,A313)&lt;&gt;1,COUNTIFS('Replacement plan'!$A$7:$A$106,A313)&lt;&gt;1),"Duplicate/missing ID",IF(NOT(AND(ISNUMBER(VLOOKUP($A313,'Fleet register'!$A$7:$S$106,5,FALSE)),ISNUMBER(VLOOKUP($A313,'Fleet register'!$A$7:$S$106,6,FALSE)),ISNUMBER(VLOOKUP($A313,'Fleet register'!$A$7:$S$106,10,FALSE)),ISNUMBER(VLOOKUP($A313,'Fleet register'!$A$7:$S$106,11,FALSE)),ISNUMBER(VLOOKUP($A313,'Fleet register'!$A$7:$S$106,12,FALSE)),ISNUMBER(VLOOKUP($A313,'Fleet register'!$A$7:$S$106,13,FALSE)),ISNUMBER(VLOOKUP($A313,'Fleet register'!$A$7:$S$106,14,FALSE)),VLOOKUP($A313,'Fleet register'!$A$7:$S$106,14,FALSE)&gt;0,ISNUMBER('Replacement plan'!$C$83),OR(E313=120,ISNUMBER('Replacement plan'!$Q$83)),ISNUMBER(E313))),"Missing vehicle input",IF(OR(E313&lt;0,E313&gt;VLOOKUP($A313,'Fleet register'!$A$7:$S$106,10,FALSE),E313&gt;120,E313&lt;&gt;INT(E313),VLOOKUP($A313,'Fleet register'!$A$7:$S$106,6,FALSE)&lt;=0,VLOOKUP($A313,'Fleet register'!$A$7:$S$106,6,FALSE)&gt;366,VLOOKUP($A313,'Fleet register'!$A$7:$S$106,5,FALSE)&lt;0,VLOOKUP($A313,'Fleet register'!$A$7:$S$106,11,FALSE)&lt;0,I313&lt;0,'Operating costs'!$B$8&lt;='Operating costs'!$B$7*'Operating costs'!$B$9,'Operating costs'!$B$11&lt;=0,'Operating costs'!$B$39&gt;R313,'Operating costs'!$B$40&gt;R313,'Operating costs'!$B$41&gt;R313,NOT(OR('Replacement plan'!$O$83="Keep ICE",'Replacement plan'!$O$83="New ICE",'Replacement plan'!$O$83="EV"))),"Invalid vehicle input",IF(AND(D313="EV",E313&lt;120,OR(NOT(ISNUMBER(U313)),NOT(ISNUMBER(V313)),V313&lt;=0,T313&lt;0,T313&gt;1,'Replacement plan'!$L$83&lt;=0,'Operating costs'!$B$44&lt;0,'Operating costs'!$B$44&gt;=1,'Operating costs'!$B$47&lt;=0,'Operating costs'!$B$47&gt;1,V313*'Operating costs'!$B$47/(1-'Operating costs'!$B$44)&lt;=T313*'Operating costs'!$B$12*U313,AND('Replacement plan'!$Z$83&gt;0,OR('Replacement plan'!$AB$83&lt;&gt;"Yes",'Operating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charging'!$B$8&gt;=0))),ISNUMBER(VLOOKUP($A313,'Fleet register'!$A$7:$S$106,15,FALSE)),ISNUMBER(VLOOKUP($A313,'Fleet register'!$A$7:$S$106,16,FALSE)),ISNUMBER('Replacement plan'!$W$83),ISNUMBER('Replacement plan'!$X$83),OR(E313=120,AND(ISNUMBER(G313),G313&gt;=0)),ISNUMBER(H313),H313&gt;=0,OR(D313&lt;&gt;"EV",E313=120,AND(ISNUMBER('Operating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average",ISNUMBER(IFERROR(INDEX(Products!$P$7:$P$13,MATCH(AD313,Products!$A$7:$A$13,0)),"")))),ISNUMBER('Operating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plan'!$Y$83),ISNUMBER('Replacement plan'!$Z$83),'Replacement plan'!$Z$83&gt;=0,ISNUMBER('Replacement plan'!$AA$83),'Replacement plan'!$AA$83&gt;=0,'Replacement plan'!$AA$83=INT('Replacement plan'!$AA$83),ISNUMBER('Replacement plan'!$L$83))),'Operating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plan'!$AG$83="",'Operating costs'!$B$7,'Replacement plan'!$AG$83)),IF('Replacement plan'!$AG$83="",'Operating costs'!$B$7,'Replacement plan'!$AG$83)&gt;=0,ISNUMBER(IF('Replacement plan'!$AH$83="",'Operating costs'!$B$7,'Replacement plan'!$AH$83)),IF('Replacement plan'!$AH$83="",'Operating costs'!$B$7,'Replacement plan'!$AH$83)&gt;=0,'Operating costs'!$B$8&gt;MAX(IF('Replacement plan'!$AG$83="",'Operating costs'!$B$7,'Replacement plan'!$AG$83),IF('Replacement plan'!$AH$83="",'Operating costs'!$B$7,'Replacement plan'!$AH$83))*'Operating costs'!$B$9),IF(AND(VLOOKUP($A313,'Fleet register'!$A$7:$S$106,10,FALSE)&gt;=0,VLOOKUP($A313,'Fleet register'!$A$7:$S$106,10,FALSE)&lt;=120,VLOOKUP($A313,'Fleet register'!$A$7:$S$106,10,FALSE)=INT(VLOOKUP($A313,'Fleet register'!$A$7:$S$106,10,FALSE)),VLOOKUP($A313,'Fleet register'!$A$7:$S$106,15,FALSE)&gt;=0,VLOOKUP($A313,'Fleet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costs'!$B$67)&gt;=0,OR(D313&lt;&gt;"EV",E313=120,AND(MIN('Operating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13" s="1" t="str">
        <f>IF(C313=0,"Excluded",IF(P313&lt;&gt;"Complete",P313,IF(OR('Replacement plan'!$AD$83&lt;120-E313,AND(D313="EV",E313&lt;120,OR('Replacement plan'!$AC$83&lt;120-E313,'Replacement plan'!$I$83="No",AND(ISNUMBER(AF313),AE313&gt;AF313),AI313&gt;V313*(1-'Operating costs'!$B$46)^MAX(0,AB313-1)*(1-'Operating costs'!$B$45),AC313&gt;'Operating costs'!$B$18,AND(T313&lt;1,OR(AG313&lt;=0,AND(ISNUMBER(AH313),AG313&gt;AH313))),'Replacement plan'!$L$83&gt;INDEX(Products!$H$7:$H$13,MATCH('Replacement plan'!$B$83,Products!$A$7:$A$13,0))))),"Fails entered limits",IF(AND(D313="EV",E313&lt;120,OR(NOT(ISNUMBER(VLOOKUP($A313,'Fleet register'!$A$7:$S$106,7,FALSE))),NOT(ISNUMBER(VLOOKUP($A313,'Fleet register'!$A$7:$S$106,8,FALSE))),NOT(ISNUMBER(AF313)),'Replacement plan'!$I$83&lt;&gt;"Yes",NOT(ISNUMBER(AH313)),'Operating costs'!$B$59&lt;&gt;"Yes",'Operating costs'!$B$58&lt;&gt;"Yes")),"Unverified","Within entered limits"))))</f>
        <v>Excluded</v>
      </c>
      <c r="R313" s="1">
        <f>IF(C313=0,0,VLOOKUP($A313,'Fleet register'!$A$7:$S$106,6,FALSE))</f>
        <v>0</v>
      </c>
      <c r="S313" s="1">
        <f>IF(C313=0,0,VLOOKUP($A313,'Fleet register'!$A$7:$S$106,5,FALSE))</f>
        <v>0</v>
      </c>
      <c r="T313" s="1">
        <f>IF(D313="EV",'Energy and charging'!$B$12,0)</f>
        <v>0</v>
      </c>
      <c r="U313" s="1">
        <f>IFERROR(IF(C313=0,0,IF(D313="EV",IF('Replacement plan'!$F$83="",INDEX(Products!$E$7:$E$13,MATCH('Replacement plan'!$B$83,Products!$A$7:$A$13,0)),'Replacement plan'!$F$83)/IF('Replacement plan'!$G$83="Battery",1-'Operating costs'!$B$44,1),0)),"n.a.")</f>
        <v>0</v>
      </c>
      <c r="V313" s="1">
        <f>IFERROR(IF(C313=0,0,IF(D313="EV",IF('Replacement plan'!$E$83="",INDEX(Products!$D$7:$D$13,MATCH('Replacement plan'!$B$83,Products!$A$7:$A$13,0)),'Replacement plan'!$E$83),0)),"n.a.")</f>
        <v>0</v>
      </c>
      <c r="W313" s="1">
        <f>IF(C313=0,0,IF(AND(P313="Complete",D313="EV",E313&lt;120),IF(T313=0,0,ROUNDUP(T313*(R313-'Operating costs'!$B$41)*(S313*U313+'Operating costs'!$B$48/(1-'Operating costs'!$B$44))/(V313*'Operating costs'!$B$47/(1-'Operating costs'!$B$44)-T313*'Operating costs'!$B$12*U313),0)),0))</f>
        <v>0</v>
      </c>
      <c r="X313" s="1">
        <f>IF(C313=0,0,IF(AND(P313="Complete",D313="EV",E313&lt;120),(R313-'Operating costs'!$B$41)*(S313*U313+'Operating costs'!$B$48/(1-'Operating costs'!$B$44))+W313*'Operating costs'!$B$12*U313,0))</f>
        <v>0</v>
      </c>
      <c r="Y313" s="1">
        <f>IF(AND(C313=1,D313="EV",E313&lt;120),AI313/(1-'Operating costs'!$B$44)*(1-T313),0)</f>
        <v>0</v>
      </c>
      <c r="Z313" s="1">
        <f t="shared" si="8"/>
        <v>0</v>
      </c>
      <c r="AA313" s="1">
        <f>IF(C313=0,0,IF(P313="Complete",((S313*(R313-'Operating costs'!$B$40))+ROUNDUP(S313*(R313-'Operating costs'!$B$40)*IF('Replacement plan'!$AH$83="",'Operating costs'!$B$7,'Replacement plan'!$AH$83)/('Operating costs'!$B$8-'Operating costs'!$B$9*IF('Replacement plan'!$AH$83="",'Operating costs'!$B$7,'Replacement plan'!$AH$83)),0)*'Operating costs'!$B$9)*IF('Replacement plan'!$AH$83="",'Operating costs'!$B$7,'Replacement plan'!$AH$83),"n.a."))</f>
        <v>0</v>
      </c>
      <c r="AB313" s="1">
        <f t="shared" si="9"/>
        <v>0</v>
      </c>
      <c r="AC313" s="1">
        <f>IF(AND(C313=1,D313="EV",E313&lt;120,T313&gt;0),'Operating costs'!$B$12/'Operating costs'!$B$11*60+'Operating costs'!$B$13+'Operating costs'!$B$14+V313*'Operating costs'!$B$47/(1-'Operating costs'!$B$44)/'Replacement plan'!$L$83*60,0)</f>
        <v>0</v>
      </c>
      <c r="AD313" s="1" t="str">
        <f>'Replacement plan'!$B$83</f>
        <v>ChengLong L2EV</v>
      </c>
      <c r="AE313" s="1">
        <f>IF(C313=0,0,VLOOKUP($A313,'Fleet register'!$A$7:$S$106,8,FALSE))</f>
        <v>0</v>
      </c>
      <c r="AF313" s="1" t="str">
        <f>IF('Replacement plan'!$H$83="","n.a.",'Replacement plan'!$H$83)</f>
        <v>n.a.</v>
      </c>
      <c r="AG313" s="1">
        <f>'Replacement plan'!$J$83</f>
        <v>22</v>
      </c>
      <c r="AH313" s="1">
        <f>IFERROR(IF(D313="EV",IF('Replacement plan'!$K$83="AC",IF(ISNUMBER(INDEX(Products!$G$7:$G$13,MATCH('Replacement plan'!$B$83,Products!$A$7:$A$13,0))),INDEX(Products!$G$7:$G$13,MATCH('Replacement plan'!$B$83,Products!$A$7:$A$13,0)),"n.a."),IF(ISNUMBER(INDEX(Products!$H$7:$H$13,MATCH('Replacement plan'!$B$83,Products!$A$7:$A$13,0))),INDEX(Products!$H$7:$H$13,MATCH('Replacement plan'!$B$83,Products!$A$7:$A$13,0)),"n.a.")),0),"n.a.")</f>
        <v>0</v>
      </c>
      <c r="AI313" s="1">
        <f>IF(AND(C313=1,D313="EV",E313&lt;120),(VLOOKUP($A313,'Fleet register'!$A$7:$S$106,7,FALSE)+IF(T313&gt;0,'Operating costs'!$B$12,0))*U313*(1-'Operating costs'!$B$44)+'Operating costs'!$B$49,0)</f>
        <v>0</v>
      </c>
      <c r="AJ313" s="1">
        <f>IF(D313="EV",'Energy and charging'!$B$50,0)</f>
        <v>0</v>
      </c>
      <c r="AK313" s="17">
        <f>EDATE('Operating costs'!$B$63,E313)</f>
        <v>46298</v>
      </c>
      <c r="AL313" s="1">
        <f>IFERROR(IF(D313="EV",INDEX(Products!$B$7:$B$13,MATCH('Replacement plan'!$B$83,Products!$A$7:$A$13,0)),0),"n.a.")</f>
        <v>0</v>
      </c>
      <c r="AM313" s="1" t="str">
        <f>'Replacement plan'!$K$83</f>
        <v>DC</v>
      </c>
      <c r="AN313" s="1" t="str">
        <f>'Replacement plan'!$AE$83</f>
        <v>Assumed</v>
      </c>
      <c r="AO313" s="47">
        <f>IF(AND(C313=1,D313="EV",E313&lt;120),(R313-'Operating costs'!$B$41)*S313+W313*'Operating costs'!$B$12,0)</f>
        <v>0</v>
      </c>
      <c r="AP313" s="41">
        <f>IF(AND(C313=1,D313="EV",E313&lt;120),IF('Operating costs'!$B$68="Hong Seh 200k average",AO313*IFERROR(INDEX(Products!$P$7:$P$13,MATCH(AD313,Products!$A$7:$A$13,0)),"n.a."),'Operating costs'!$B$26),0)</f>
        <v>0</v>
      </c>
      <c r="AQ313" s="40" t="str">
        <f>IF(D313="EV",'Operating costs'!$B$68,"Not applicable")</f>
        <v>Not applicable</v>
      </c>
    </row>
    <row r="314" spans="1:43" ht="24" customHeight="1">
      <c r="A314" s="1" t="str">
        <f>'Replacement plan'!A83</f>
        <v>T077</v>
      </c>
      <c r="B314" s="1">
        <v>3</v>
      </c>
      <c r="C314" s="1">
        <f>IF(COUNTIFS('Fleet register'!$A$7:$A$106,$A314)=1,VLOOKUP($A314,'Fleet register'!$A$7:$S$106,2,FALSE),0)</f>
        <v>0</v>
      </c>
      <c r="D314" s="1" t="str">
        <f>IF('Replacement plan'!$R$83="EV","EV","ICE")</f>
        <v>ICE</v>
      </c>
      <c r="E314" s="1">
        <f>IF(C314=0,0,IF('Replacement plan'!$S$83="",IF('Replacement plan'!$R$83="Keep ICE",IF('Replacement plan'!$M$83="",VLOOKUP($A314,'Fleet register'!$A$7:$S$106,10,FALSE),'Replacement plan'!$M$83),0),'Replacement plan'!$S$83))</f>
        <v>0</v>
      </c>
      <c r="F314" s="16">
        <f>IF(C314=0,0,VLOOKUP($A314,'Fleet register'!$A$7:$S$106,11,FALSE))</f>
        <v>0</v>
      </c>
      <c r="G314" s="16">
        <f>IFERROR(IF(C314=0,0,IF(E314=120,0,IF(D314="ICE",'Replacement plan'!$C$83,IF('Replacement plan'!$D$83="",INDEX(Products!$I$7:$I$13,MATCH('Replacement plan'!$B$83,Products!$A$7:$A$13,0))+'Operating costs'!$B$57,'Replacement plan'!$D$83))*(1+'Operating costs'!$B$50)^(E314/12))),"n.a.")</f>
        <v>0</v>
      </c>
      <c r="H314" s="16">
        <f>IFERROR(IF(C314=0,0,IF('Replacement plan'!$V$83&lt;&gt;"",'Replacement plan'!$V$83,IF(E314=0,F314,VLOOKUP($A314,'Fleet register'!$A$7:$S$106,12,FALSE)+VLOOKUP($A314,'Fleet register'!$A$7:$S$106,13,FALSE)*MAX(0,VLOOKUP($A314,'Fleet register'!$A$7:$S$106,10,FALSE)-E314)/VLOOKUP($A314,'Fleet register'!$A$7:$S$106,14,FALSE)))),"n.a.")</f>
        <v>0</v>
      </c>
      <c r="I314" s="16">
        <f>IF(C314=0,0,IF(E314=120,0,'Replacement plan'!$T$83))</f>
        <v>0</v>
      </c>
      <c r="J314" s="16">
        <f>IF(C314=0,0,IF(P314="Complete",((S314*(R314-'Operating costs'!$B$39))+ROUNDUP(S314*(R314-'Operating costs'!$B$39)*IF('Replacement plan'!$AG$83="",'Operating costs'!$B$7,'Replacement plan'!$AG$83)/('Operating costs'!$B$8-'Operating costs'!$B$9*IF('Replacement plan'!$AG$83="",'Operating costs'!$B$7,'Replacement plan'!$AG$83)),0)*'Operating costs'!$B$9)*IF('Replacement plan'!$AG$83="",'Operating costs'!$B$7,'Replacement plan'!$AG$83)*('Energy and charging'!$C$9*'Energy and charging'!$C$7+(1-'Energy and charging'!$C$9)*'Energy and charging'!$C$8)*'Operating costs'!$B$23,"n.a."))</f>
        <v>0</v>
      </c>
      <c r="K314" s="16">
        <f>IF(C314=0,0,IF(P314="Complete",SUM('Operating costs'!$B$24,'Operating costs'!$B$27,'Operating costs'!$B$29,'Operating costs'!$B$31,'Operating costs'!$B$33,'Operating costs'!$B$34,'Operating costs'!$B$37,'Replacement plan'!$W$83)+'Operating costs'!$B$39*'Operating costs'!$B$42+ROUNDUP(S314*(R314-'Operating costs'!$B$39)*IF('Replacement plan'!$AG$83="",'Operating costs'!$B$7,'Replacement plan'!$AG$83)/('Operating costs'!$B$8-'Operating costs'!$B$9*IF('Replacement plan'!$AG$83="",'Operating costs'!$B$7,'Replacement plan'!$AG$83)),0)*('Operating costs'!$B$9/'Operating costs'!$B$11+'Operating costs'!$B$10/60)*'Operating costs'!$B$19*'Operating costs'!$B$21,"n.a."))</f>
        <v>0</v>
      </c>
      <c r="L314" s="16">
        <f>IF(C314=0,0,IF(P314="Complete",IF(D314="EV",X314*((1-T314)*'Energy and charging'!$C$10+T314*'Energy and charging'!$C$11)*'Operating costs'!$B$22,AA314*('Energy and charging'!$C$9*'Energy and charging'!$C$7+(1-'Energy and charging'!$C$9)*'Energy and charging'!$C$8)*'Operating costs'!$B$23),"n.a."))</f>
        <v>0</v>
      </c>
      <c r="M314" s="37">
        <f>IF(C314=0,0,IF(P314="Complete",IF(D314="ICE",SUM('Operating costs'!$B$25,'Operating costs'!$B$27,'Operating costs'!$B$29,'Operating costs'!$B$31,'Operating costs'!$B$33,'Operating costs'!$B$35,'Operating costs'!$B$37,'Replacement plan'!$X$83)+'Operating costs'!$B$40*'Operating costs'!$B$42+ROUNDUP(S314*(R314-'Operating costs'!$B$40)*IF('Replacement plan'!$AH$83="",'Operating costs'!$B$7,'Replacement plan'!$AH$83)/('Operating costs'!$B$8-'Operating costs'!$B$9*IF('Replacement plan'!$AH$83="",'Operating costs'!$B$7,'Replacement plan'!$AH$83)),0)*('Operating costs'!$B$9/'Operating costs'!$B$11+'Operating costs'!$B$10/60)*'Operating costs'!$B$19*'Operating costs'!$B$21,SUM(AP314,'Operating costs'!$B$28,'Operating costs'!$B$30,'Operating costs'!$B$32,'Operating costs'!$B$33,'Operating costs'!$B$36,'Operating costs'!$B$38,'Replacement plan'!$Y$83)+'Operating costs'!$B$41*'Operating costs'!$B$43+W314*'Operating costs'!$B$15+(T314*X314/'Replacement plan'!$L$83+W314*('Operating costs'!$B$12/'Operating costs'!$B$11+('Operating costs'!$B$13+'Operating costs'!$B$14)/60)+(R314-'Operating costs'!$B$41)*(IF(T314&lt;1,'Operating costs'!$B$16,0)+'Operating costs'!$B$17)/60)*'Operating costs'!$B$19*'Operating costs'!$B$20),"n.a."))</f>
        <v>0</v>
      </c>
      <c r="N314" s="16">
        <f>IF(AND(C314=1,D314="EV",E314&lt;120,E314+'Replacement plan'!$AA$83&lt;=120),'Replacement plan'!$Z$83,0)</f>
        <v>0</v>
      </c>
      <c r="O314" s="1">
        <f>E314+'Replacement plan'!$AA$83</f>
        <v>0</v>
      </c>
      <c r="P314" s="35" t="str">
        <f>IFERROR(IF(C314=0,"Excluded",IF(OR(COUNTIFS('Fleet register'!$A$7:$A$106,A314)&lt;&gt;1,COUNTIFS('Replacement plan'!$A$7:$A$106,A314)&lt;&gt;1),"Duplicate/missing ID",IF(NOT(AND(ISNUMBER(VLOOKUP($A314,'Fleet register'!$A$7:$S$106,5,FALSE)),ISNUMBER(VLOOKUP($A314,'Fleet register'!$A$7:$S$106,6,FALSE)),ISNUMBER(VLOOKUP($A314,'Fleet register'!$A$7:$S$106,10,FALSE)),ISNUMBER(VLOOKUP($A314,'Fleet register'!$A$7:$S$106,11,FALSE)),ISNUMBER(VLOOKUP($A314,'Fleet register'!$A$7:$S$106,12,FALSE)),ISNUMBER(VLOOKUP($A314,'Fleet register'!$A$7:$S$106,13,FALSE)),ISNUMBER(VLOOKUP($A314,'Fleet register'!$A$7:$S$106,14,FALSE)),VLOOKUP($A314,'Fleet register'!$A$7:$S$106,14,FALSE)&gt;0,ISNUMBER('Replacement plan'!$C$83),OR(E314=120,ISNUMBER('Replacement plan'!$T$83)),ISNUMBER(E314))),"Missing vehicle input",IF(OR(E314&lt;0,E314&gt;VLOOKUP($A314,'Fleet register'!$A$7:$S$106,10,FALSE),E314&gt;120,E314&lt;&gt;INT(E314),VLOOKUP($A314,'Fleet register'!$A$7:$S$106,6,FALSE)&lt;=0,VLOOKUP($A314,'Fleet register'!$A$7:$S$106,6,FALSE)&gt;366,VLOOKUP($A314,'Fleet register'!$A$7:$S$106,5,FALSE)&lt;0,VLOOKUP($A314,'Fleet register'!$A$7:$S$106,11,FALSE)&lt;0,I314&lt;0,'Operating costs'!$B$8&lt;='Operating costs'!$B$7*'Operating costs'!$B$9,'Operating costs'!$B$11&lt;=0,'Operating costs'!$B$39&gt;R314,'Operating costs'!$B$40&gt;R314,'Operating costs'!$B$41&gt;R314,NOT(OR('Replacement plan'!$R$83="Keep ICE",'Replacement plan'!$R$83="New ICE",'Replacement plan'!$R$83="EV"))),"Invalid vehicle input",IF(AND(D314="EV",E314&lt;120,OR(NOT(ISNUMBER(U314)),NOT(ISNUMBER(V314)),V314&lt;=0,T314&lt;0,T314&gt;1,'Replacement plan'!$L$83&lt;=0,'Operating costs'!$B$44&lt;0,'Operating costs'!$B$44&gt;=1,'Operating costs'!$B$47&lt;=0,'Operating costs'!$B$47&gt;1,V314*'Operating costs'!$B$47/(1-'Operating costs'!$B$44)&lt;=T314*'Operating costs'!$B$12*U314,AND('Replacement plan'!$Z$83&gt;0,OR('Replacement plan'!$AB$83&lt;&gt;"Yes",'Operating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charging'!$C$8&gt;=0))),ISNUMBER(VLOOKUP($A314,'Fleet register'!$A$7:$S$106,15,FALSE)),ISNUMBER(VLOOKUP($A314,'Fleet register'!$A$7:$S$106,16,FALSE)),ISNUMBER('Replacement plan'!$W$83),ISNUMBER('Replacement plan'!$X$83),OR(E314=120,AND(ISNUMBER(G314),G314&gt;=0)),ISNUMBER(H314),H314&gt;=0,OR(D314&lt;&gt;"EV",E314=120,AND(ISNUMBER('Operating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average",ISNUMBER(IFERROR(INDEX(Products!$P$7:$P$13,MATCH(AD314,Products!$A$7:$A$13,0)),"")))),ISNUMBER('Operating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plan'!$Y$83),ISNUMBER('Replacement plan'!$Z$83),'Replacement plan'!$Z$83&gt;=0,ISNUMBER('Replacement plan'!$AA$83),'Replacement plan'!$AA$83&gt;=0,'Replacement plan'!$AA$83=INT('Replacement plan'!$AA$83),ISNUMBER('Replacement plan'!$L$83))),'Operating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plan'!$AG$83="",'Operating costs'!$B$7,'Replacement plan'!$AG$83)),IF('Replacement plan'!$AG$83="",'Operating costs'!$B$7,'Replacement plan'!$AG$83)&gt;=0,ISNUMBER(IF('Replacement plan'!$AH$83="",'Operating costs'!$B$7,'Replacement plan'!$AH$83)),IF('Replacement plan'!$AH$83="",'Operating costs'!$B$7,'Replacement plan'!$AH$83)&gt;=0,'Operating costs'!$B$8&gt;MAX(IF('Replacement plan'!$AG$83="",'Operating costs'!$B$7,'Replacement plan'!$AG$83),IF('Replacement plan'!$AH$83="",'Operating costs'!$B$7,'Replacement plan'!$AH$83))*'Operating costs'!$B$9),IF(AND(VLOOKUP($A314,'Fleet register'!$A$7:$S$106,10,FALSE)&gt;=0,VLOOKUP($A314,'Fleet register'!$A$7:$S$106,10,FALSE)&lt;=120,VLOOKUP($A314,'Fleet register'!$A$7:$S$106,10,FALSE)=INT(VLOOKUP($A314,'Fleet register'!$A$7:$S$106,10,FALSE)),VLOOKUP($A314,'Fleet register'!$A$7:$S$106,15,FALSE)&gt;=0,VLOOKUP($A314,'Fleet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costs'!$B$67)&gt;=0,OR(D314&lt;&gt;"EV",E314=120,AND(MIN('Operating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14" s="1" t="str">
        <f>IF(C314=0,"Excluded",IF(P314&lt;&gt;"Complete",P314,IF(OR('Replacement plan'!$AD$83&lt;120-E314,AND(D314="EV",E314&lt;120,OR('Replacement plan'!$AC$83&lt;120-E314,'Replacement plan'!$I$83="No",AND(ISNUMBER(AF314),AE314&gt;AF314),AI314&gt;V314*(1-'Operating costs'!$B$46)^MAX(0,AB314-1)*(1-'Operating costs'!$B$45),AC314&gt;'Operating costs'!$B$18,AND(T314&lt;1,OR(AG314&lt;=0,AND(ISNUMBER(AH314),AG314&gt;AH314))),'Replacement plan'!$L$83&gt;INDEX(Products!$H$7:$H$13,MATCH('Replacement plan'!$B$83,Products!$A$7:$A$13,0))))),"Fails entered limits",IF(AND(D314="EV",E314&lt;120,OR(NOT(ISNUMBER(VLOOKUP($A314,'Fleet register'!$A$7:$S$106,7,FALSE))),NOT(ISNUMBER(VLOOKUP($A314,'Fleet register'!$A$7:$S$106,8,FALSE))),NOT(ISNUMBER(AF314)),'Replacement plan'!$I$83&lt;&gt;"Yes",NOT(ISNUMBER(AH314)),'Operating costs'!$B$59&lt;&gt;"Yes",'Operating costs'!$B$58&lt;&gt;"Yes")),"Unverified","Within entered limits"))))</f>
        <v>Excluded</v>
      </c>
      <c r="R314" s="1">
        <f>IF(C314=0,0,VLOOKUP($A314,'Fleet register'!$A$7:$S$106,6,FALSE))</f>
        <v>0</v>
      </c>
      <c r="S314" s="1">
        <f>IF(C314=0,0,VLOOKUP($A314,'Fleet register'!$A$7:$S$106,5,FALSE))</f>
        <v>0</v>
      </c>
      <c r="T314" s="1">
        <f>IF(D314="EV",'Energy and charging'!$C$12,0)</f>
        <v>0</v>
      </c>
      <c r="U314" s="1">
        <f>IFERROR(IF(C314=0,0,IF(D314="EV",IF('Replacement plan'!$F$83="",INDEX(Products!$E$7:$E$13,MATCH('Replacement plan'!$B$83,Products!$A$7:$A$13,0)),'Replacement plan'!$F$83)/IF('Replacement plan'!$G$83="Battery",1-'Operating costs'!$B$44,1),0)),"n.a.")</f>
        <v>0</v>
      </c>
      <c r="V314" s="1">
        <f>IFERROR(IF(C314=0,0,IF(D314="EV",IF('Replacement plan'!$E$83="",INDEX(Products!$D$7:$D$13,MATCH('Replacement plan'!$B$83,Products!$A$7:$A$13,0)),'Replacement plan'!$E$83),0)),"n.a.")</f>
        <v>0</v>
      </c>
      <c r="W314" s="1">
        <f>IF(C314=0,0,IF(AND(P314="Complete",D314="EV",E314&lt;120),IF(T314=0,0,ROUNDUP(T314*(R314-'Operating costs'!$B$41)*(S314*U314+'Operating costs'!$B$48/(1-'Operating costs'!$B$44))/(V314*'Operating costs'!$B$47/(1-'Operating costs'!$B$44)-T314*'Operating costs'!$B$12*U314),0)),0))</f>
        <v>0</v>
      </c>
      <c r="X314" s="1">
        <f>IF(C314=0,0,IF(AND(P314="Complete",D314="EV",E314&lt;120),(R314-'Operating costs'!$B$41)*(S314*U314+'Operating costs'!$B$48/(1-'Operating costs'!$B$44))+W314*'Operating costs'!$B$12*U314,0))</f>
        <v>0</v>
      </c>
      <c r="Y314" s="1">
        <f>IF(AND(C314=1,D314="EV",E314&lt;120),AI314/(1-'Operating costs'!$B$44)*(1-T314),0)</f>
        <v>0</v>
      </c>
      <c r="Z314" s="1">
        <f t="shared" si="8"/>
        <v>0</v>
      </c>
      <c r="AA314" s="1">
        <f>IF(C314=0,0,IF(P314="Complete",((S314*(R314-'Operating costs'!$B$40))+ROUNDUP(S314*(R314-'Operating costs'!$B$40)*IF('Replacement plan'!$AH$83="",'Operating costs'!$B$7,'Replacement plan'!$AH$83)/('Operating costs'!$B$8-'Operating costs'!$B$9*IF('Replacement plan'!$AH$83="",'Operating costs'!$B$7,'Replacement plan'!$AH$83)),0)*'Operating costs'!$B$9)*IF('Replacement plan'!$AH$83="",'Operating costs'!$B$7,'Replacement plan'!$AH$83),"n.a."))</f>
        <v>0</v>
      </c>
      <c r="AB314" s="1">
        <f t="shared" si="9"/>
        <v>0</v>
      </c>
      <c r="AC314" s="1">
        <f>IF(AND(C314=1,D314="EV",E314&lt;120,T314&gt;0),'Operating costs'!$B$12/'Operating costs'!$B$11*60+'Operating costs'!$B$13+'Operating costs'!$B$14+V314*'Operating costs'!$B$47/(1-'Operating costs'!$B$44)/'Replacement plan'!$L$83*60,0)</f>
        <v>0</v>
      </c>
      <c r="AD314" s="1" t="str">
        <f>'Replacement plan'!$B$83</f>
        <v>ChengLong L2EV</v>
      </c>
      <c r="AE314" s="1">
        <f>IF(C314=0,0,VLOOKUP($A314,'Fleet register'!$A$7:$S$106,8,FALSE))</f>
        <v>0</v>
      </c>
      <c r="AF314" s="1" t="str">
        <f>IF('Replacement plan'!$H$83="","n.a.",'Replacement plan'!$H$83)</f>
        <v>n.a.</v>
      </c>
      <c r="AG314" s="1">
        <f>'Replacement plan'!$J$83</f>
        <v>22</v>
      </c>
      <c r="AH314" s="1">
        <f>IFERROR(IF(D314="EV",IF('Replacement plan'!$K$83="AC",IF(ISNUMBER(INDEX(Products!$G$7:$G$13,MATCH('Replacement plan'!$B$83,Products!$A$7:$A$13,0))),INDEX(Products!$G$7:$G$13,MATCH('Replacement plan'!$B$83,Products!$A$7:$A$13,0)),"n.a."),IF(ISNUMBER(INDEX(Products!$H$7:$H$13,MATCH('Replacement plan'!$B$83,Products!$A$7:$A$13,0))),INDEX(Products!$H$7:$H$13,MATCH('Replacement plan'!$B$83,Products!$A$7:$A$13,0)),"n.a.")),0),"n.a.")</f>
        <v>0</v>
      </c>
      <c r="AI314" s="1">
        <f>IF(AND(C314=1,D314="EV",E314&lt;120),(VLOOKUP($A314,'Fleet register'!$A$7:$S$106,7,FALSE)+IF(T314&gt;0,'Operating costs'!$B$12,0))*U314*(1-'Operating costs'!$B$44)+'Operating costs'!$B$49,0)</f>
        <v>0</v>
      </c>
      <c r="AJ314" s="1">
        <f>IF(D314="EV",'Energy and charging'!$C$50,0)</f>
        <v>0</v>
      </c>
      <c r="AK314" s="17">
        <f>EDATE('Operating costs'!$B$63,E314)</f>
        <v>46298</v>
      </c>
      <c r="AL314" s="1">
        <f>IFERROR(IF(D314="EV",INDEX(Products!$B$7:$B$13,MATCH('Replacement plan'!$B$83,Products!$A$7:$A$13,0)),0),"n.a.")</f>
        <v>0</v>
      </c>
      <c r="AM314" s="1" t="str">
        <f>'Replacement plan'!$K$83</f>
        <v>DC</v>
      </c>
      <c r="AN314" s="1" t="str">
        <f>'Replacement plan'!$AE$83</f>
        <v>Assumed</v>
      </c>
      <c r="AO314" s="47">
        <f>IF(AND(C314=1,D314="EV",E314&lt;120),(R314-'Operating costs'!$B$41)*S314+W314*'Operating costs'!$B$12,0)</f>
        <v>0</v>
      </c>
      <c r="AP314" s="41">
        <f>IF(AND(C314=1,D314="EV",E314&lt;120),IF('Operating costs'!$B$68="Hong Seh 200k average",AO314*IFERROR(INDEX(Products!$P$7:$P$13,MATCH(AD314,Products!$A$7:$A$13,0)),"n.a."),'Operating costs'!$B$26),0)</f>
        <v>0</v>
      </c>
      <c r="AQ314" s="40" t="str">
        <f>IF(D314="EV",'Operating costs'!$B$68,"Not applicable")</f>
        <v>Not applicable</v>
      </c>
    </row>
    <row r="315" spans="1:43" ht="24" customHeight="1">
      <c r="A315" s="1" t="str">
        <f>'Replacement plan'!A84</f>
        <v>T078</v>
      </c>
      <c r="B315" s="1">
        <v>0</v>
      </c>
      <c r="C315" s="1">
        <f>IF(COUNTIFS('Fleet register'!$A$7:$A$106,$A315)=1,VLOOKUP($A315,'Fleet register'!$A$7:$S$106,2,FALSE),0)</f>
        <v>0</v>
      </c>
      <c r="D315" s="1" t="str">
        <f>IF("Keep ICE"="EV","EV","ICE")</f>
        <v>ICE</v>
      </c>
      <c r="E315" s="1">
        <f>IF(C315=0,0,IF('Replacement plan'!$M$84="",VLOOKUP($A315,'Fleet register'!$A$7:$S$106,10,FALSE),'Replacement plan'!$M$84))</f>
        <v>0</v>
      </c>
      <c r="F315" s="16">
        <f>IF(C315=0,0,VLOOKUP($A315,'Fleet register'!$A$7:$S$106,11,FALSE))</f>
        <v>0</v>
      </c>
      <c r="G315" s="16">
        <f>IFERROR(IF(C315=0,0,IF(E315=120,0,IF(D315="ICE",'Replacement plan'!$C$84,IF('Replacement plan'!$D$84="",INDEX(Products!$I$7:$I$13,MATCH('Replacement plan'!$B$84,Products!$A$7:$A$13,0))+'Operating costs'!$B$57,'Replacement plan'!$D$84))*(1+'Operating costs'!$B$50)^(E315/12))),"n.a.")</f>
        <v>0</v>
      </c>
      <c r="H315" s="16">
        <f>IFERROR(IF(C315=0,0,IF(E315=0,F315,VLOOKUP($A315,'Fleet register'!$A$7:$S$106,12,FALSE)+VLOOKUP($A315,'Fleet register'!$A$7:$S$106,13,FALSE)*MAX(0,VLOOKUP($A315,'Fleet register'!$A$7:$S$106,10,FALSE)-E315)/VLOOKUP($A315,'Fleet register'!$A$7:$S$106,14,FALSE))),"n.a.")</f>
        <v>0</v>
      </c>
      <c r="I315" s="16">
        <f>IF(C315=0,0,IF(E315=120,0,'Replacement plan'!$N$84))</f>
        <v>0</v>
      </c>
      <c r="J315" s="16">
        <f>IF(C315=0,0,IF(P315="Complete",((S315*(R315-'Operating costs'!$B$39))+ROUNDUP(S315*(R315-'Operating costs'!$B$39)*IF('Replacement plan'!$AG$84="",'Operating costs'!$B$7,'Replacement plan'!$AG$84)/('Operating costs'!$B$8-'Operating costs'!$B$9*IF('Replacement plan'!$AG$84="",'Operating costs'!$B$7,'Replacement plan'!$AG$84)),0)*'Operating costs'!$B$9)*IF('Replacement plan'!$AG$84="",'Operating costs'!$B$7,'Replacement plan'!$AG$84)*('Energy and charging'!$B$9*'Energy and charging'!$B$7+(1-'Energy and charging'!$B$9)*'Energy and charging'!$B$8)*'Operating costs'!$B$23,"n.a."))</f>
        <v>0</v>
      </c>
      <c r="K315" s="16">
        <f>IF(C315=0,0,IF(P315="Complete",SUM('Operating costs'!$B$24,'Operating costs'!$B$27,'Operating costs'!$B$29,'Operating costs'!$B$31,'Operating costs'!$B$33,'Operating costs'!$B$34,'Operating costs'!$B$37,'Replacement plan'!$W$84)+'Operating costs'!$B$39*'Operating costs'!$B$42+ROUNDUP(S315*(R315-'Operating costs'!$B$39)*IF('Replacement plan'!$AG$84="",'Operating costs'!$B$7,'Replacement plan'!$AG$84)/('Operating costs'!$B$8-'Operating costs'!$B$9*IF('Replacement plan'!$AG$84="",'Operating costs'!$B$7,'Replacement plan'!$AG$84)),0)*('Operating costs'!$B$9/'Operating costs'!$B$11+'Operating costs'!$B$10/60)*'Operating costs'!$B$19*'Operating costs'!$B$21,"n.a."))</f>
        <v>0</v>
      </c>
      <c r="L315" s="16">
        <f>IF(C315=0,0,IF(P315="Complete",IF(D315="EV",X315*((1-T315)*'Energy and charging'!$B$10+T315*'Energy and charging'!$B$11)*'Operating costs'!$B$22,AA315*('Energy and charging'!$B$9*'Energy and charging'!$B$7+(1-'Energy and charging'!$B$9)*'Energy and charging'!$B$8)*'Operating costs'!$B$23),"n.a."))</f>
        <v>0</v>
      </c>
      <c r="M315" s="37">
        <f>IF(C315=0,0,IF(P315="Complete",IF(D315="ICE",SUM('Operating costs'!$B$25,'Operating costs'!$B$27,'Operating costs'!$B$29,'Operating costs'!$B$31,'Operating costs'!$B$33,'Operating costs'!$B$35,'Operating costs'!$B$37,'Replacement plan'!$X$84)+'Operating costs'!$B$40*'Operating costs'!$B$42+ROUNDUP(S315*(R315-'Operating costs'!$B$40)*IF('Replacement plan'!$AH$84="",'Operating costs'!$B$7,'Replacement plan'!$AH$84)/('Operating costs'!$B$8-'Operating costs'!$B$9*IF('Replacement plan'!$AH$84="",'Operating costs'!$B$7,'Replacement plan'!$AH$84)),0)*('Operating costs'!$B$9/'Operating costs'!$B$11+'Operating costs'!$B$10/60)*'Operating costs'!$B$19*'Operating costs'!$B$21,SUM(AP315,'Operating costs'!$B$28,'Operating costs'!$B$30,'Operating costs'!$B$32,'Operating costs'!$B$33,'Operating costs'!$B$36,'Operating costs'!$B$38,'Replacement plan'!$Y$84)+'Operating costs'!$B$41*'Operating costs'!$B$43+W315*'Operating costs'!$B$15+(T315*X315/'Replacement plan'!$L$84+W315*('Operating costs'!$B$12/'Operating costs'!$B$11+('Operating costs'!$B$13+'Operating costs'!$B$14)/60)+(R315-'Operating costs'!$B$41)*(IF(T315&lt;1,'Operating costs'!$B$16,0)+'Operating costs'!$B$17)/60)*'Operating costs'!$B$19*'Operating costs'!$B$20),"n.a."))</f>
        <v>0</v>
      </c>
      <c r="N315" s="16">
        <f>IF(AND(C315=1,D315="EV",E315&lt;120,E315+'Replacement plan'!$AA$84&lt;=120),'Replacement plan'!$Z$84,0)</f>
        <v>0</v>
      </c>
      <c r="O315" s="1">
        <f>E315+'Replacement plan'!$AA$84</f>
        <v>0</v>
      </c>
      <c r="P315" s="35" t="str">
        <f>IFERROR(IF(C315=0,"Excluded",IF(OR(COUNTIFS('Fleet register'!$A$7:$A$106,A315)&lt;&gt;1,COUNTIFS('Replacement plan'!$A$7:$A$106,A315)&lt;&gt;1),"Duplicate/missing ID",IF(NOT(AND(ISNUMBER(VLOOKUP($A315,'Fleet register'!$A$7:$S$106,5,FALSE)),ISNUMBER(VLOOKUP($A315,'Fleet register'!$A$7:$S$106,6,FALSE)),ISNUMBER(VLOOKUP($A315,'Fleet register'!$A$7:$S$106,10,FALSE)),ISNUMBER(VLOOKUP($A315,'Fleet register'!$A$7:$S$106,11,FALSE)),ISNUMBER(VLOOKUP($A315,'Fleet register'!$A$7:$S$106,12,FALSE)),ISNUMBER(VLOOKUP($A315,'Fleet register'!$A$7:$S$106,13,FALSE)),ISNUMBER(VLOOKUP($A315,'Fleet register'!$A$7:$S$106,14,FALSE)),VLOOKUP($A315,'Fleet register'!$A$7:$S$106,14,FALSE)&gt;0,ISNUMBER('Replacement plan'!$C$84),OR(E315=120,ISNUMBER('Replacement plan'!$N$84)),ISNUMBER(E315))),"Missing vehicle input",IF(OR(E315&lt;0,E315&gt;VLOOKUP($A315,'Fleet register'!$A$7:$S$106,10,FALSE),E315&gt;120,E315&lt;&gt;INT(E315),VLOOKUP($A315,'Fleet register'!$A$7:$S$106,6,FALSE)&lt;=0,VLOOKUP($A315,'Fleet register'!$A$7:$S$106,6,FALSE)&gt;366,VLOOKUP($A315,'Fleet register'!$A$7:$S$106,5,FALSE)&lt;0,VLOOKUP($A315,'Fleet register'!$A$7:$S$106,11,FALSE)&lt;0,I315&lt;0,'Operating costs'!$B$8&lt;='Operating costs'!$B$7*'Operating costs'!$B$9,'Operating costs'!$B$11&lt;=0,'Operating costs'!$B$39&gt;R315,'Operating costs'!$B$40&gt;R315,'Operating costs'!$B$41&gt;R315,NOT(OR("Keep ICE"="Keep ICE","Keep ICE"="New ICE","Keep ICE"="EV"))),"Invalid vehicle input",IF(AND(D315="EV",E315&lt;120,OR(NOT(ISNUMBER(U315)),NOT(ISNUMBER(V315)),V315&lt;=0,T315&lt;0,T315&gt;1,'Replacement plan'!$L$84&lt;=0,'Operating costs'!$B$44&lt;0,'Operating costs'!$B$44&gt;=1,'Operating costs'!$B$47&lt;=0,'Operating costs'!$B$47&gt;1,V315*'Operating costs'!$B$47/(1-'Operating costs'!$B$44)&lt;=T315*'Operating costs'!$B$12*U315,AND('Replacement plan'!$Z$84&gt;0,OR('Replacement plan'!$AB$84&lt;&gt;"Yes",'Operating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charging'!$B$8&gt;=0))),ISNUMBER(VLOOKUP($A315,'Fleet register'!$A$7:$S$106,15,FALSE)),ISNUMBER(VLOOKUP($A315,'Fleet register'!$A$7:$S$106,16,FALSE)),ISNUMBER('Replacement plan'!$W$84),ISNUMBER('Replacement plan'!$X$84),OR(E315=120,AND(ISNUMBER(G315),G315&gt;=0)),ISNUMBER(H315),H315&gt;=0,OR(D315&lt;&gt;"EV",E315=120,AND(ISNUMBER('Operating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average",ISNUMBER(IFERROR(INDEX(Products!$P$7:$P$13,MATCH(AD315,Products!$A$7:$A$13,0)),"")))),ISNUMBER('Operating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plan'!$Y$84),ISNUMBER('Replacement plan'!$Z$84),'Replacement plan'!$Z$84&gt;=0,ISNUMBER('Replacement plan'!$AA$84),'Replacement plan'!$AA$84&gt;=0,'Replacement plan'!$AA$84=INT('Replacement plan'!$AA$84),ISNUMBER('Replacement plan'!$L$84))),'Operating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plan'!$AG$84="",'Operating costs'!$B$7,'Replacement plan'!$AG$84)),IF('Replacement plan'!$AG$84="",'Operating costs'!$B$7,'Replacement plan'!$AG$84)&gt;=0,ISNUMBER(IF('Replacement plan'!$AH$84="",'Operating costs'!$B$7,'Replacement plan'!$AH$84)),IF('Replacement plan'!$AH$84="",'Operating costs'!$B$7,'Replacement plan'!$AH$84)&gt;=0,'Operating costs'!$B$8&gt;MAX(IF('Replacement plan'!$AG$84="",'Operating costs'!$B$7,'Replacement plan'!$AG$84),IF('Replacement plan'!$AH$84="",'Operating costs'!$B$7,'Replacement plan'!$AH$84))*'Operating costs'!$B$9),IF(AND(VLOOKUP($A315,'Fleet register'!$A$7:$S$106,10,FALSE)&gt;=0,VLOOKUP($A315,'Fleet register'!$A$7:$S$106,10,FALSE)&lt;=120,VLOOKUP($A315,'Fleet register'!$A$7:$S$106,10,FALSE)=INT(VLOOKUP($A315,'Fleet register'!$A$7:$S$106,10,FALSE)),VLOOKUP($A315,'Fleet register'!$A$7:$S$106,15,FALSE)&gt;=0,VLOOKUP($A315,'Fleet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costs'!$B$67)&gt;=0,OR(D315&lt;&gt;"EV",E315=120,AND(MIN('Operating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15" s="1" t="str">
        <f>IF(C315=0,"Excluded",IF(P315&lt;&gt;"Complete",P315,IF(OR('Replacement plan'!$AD$84&lt;120-E315,AND(D315="EV",E315&lt;120,OR('Replacement plan'!$AC$84&lt;120-E315,'Replacement plan'!$I$84="No",AND(ISNUMBER(AF315),AE315&gt;AF315),AI315&gt;V315*(1-'Operating costs'!$B$46)^MAX(0,AB315-1)*(1-'Operating costs'!$B$45),AC315&gt;'Operating costs'!$B$18,AND(T315&lt;1,OR(AG315&lt;=0,AND(ISNUMBER(AH315),AG315&gt;AH315))),'Replacement plan'!$L$84&gt;INDEX(Products!$H$7:$H$13,MATCH('Replacement plan'!$B$84,Products!$A$7:$A$13,0))))),"Fails entered limits",IF(AND(D315="EV",E315&lt;120,OR(NOT(ISNUMBER(VLOOKUP($A315,'Fleet register'!$A$7:$S$106,7,FALSE))),NOT(ISNUMBER(VLOOKUP($A315,'Fleet register'!$A$7:$S$106,8,FALSE))),NOT(ISNUMBER(AF315)),'Replacement plan'!$I$84&lt;&gt;"Yes",NOT(ISNUMBER(AH315)),'Operating costs'!$B$59&lt;&gt;"Yes",'Operating costs'!$B$58&lt;&gt;"Yes")),"Unverified","Within entered limits"))))</f>
        <v>Excluded</v>
      </c>
      <c r="R315" s="1">
        <f>IF(C315=0,0,VLOOKUP($A315,'Fleet register'!$A$7:$S$106,6,FALSE))</f>
        <v>0</v>
      </c>
      <c r="S315" s="1">
        <f>IF(C315=0,0,VLOOKUP($A315,'Fleet register'!$A$7:$S$106,5,FALSE))</f>
        <v>0</v>
      </c>
      <c r="T315" s="1">
        <f>IF(D315="EV",'Energy and charging'!$B$12,0)</f>
        <v>0</v>
      </c>
      <c r="U315" s="1">
        <f>IFERROR(IF(C315=0,0,IF(D315="EV",IF('Replacement plan'!$F$84="",INDEX(Products!$E$7:$E$13,MATCH('Replacement plan'!$B$84,Products!$A$7:$A$13,0)),'Replacement plan'!$F$84)/IF('Replacement plan'!$G$84="Battery",1-'Operating costs'!$B$44,1),0)),"n.a.")</f>
        <v>0</v>
      </c>
      <c r="V315" s="1">
        <f>IFERROR(IF(C315=0,0,IF(D315="EV",IF('Replacement plan'!$E$84="",INDEX(Products!$D$7:$D$13,MATCH('Replacement plan'!$B$84,Products!$A$7:$A$13,0)),'Replacement plan'!$E$84),0)),"n.a.")</f>
        <v>0</v>
      </c>
      <c r="W315" s="1">
        <f>IF(C315=0,0,IF(AND(P315="Complete",D315="EV",E315&lt;120),IF(T315=0,0,ROUNDUP(T315*(R315-'Operating costs'!$B$41)*(S315*U315+'Operating costs'!$B$48/(1-'Operating costs'!$B$44))/(V315*'Operating costs'!$B$47/(1-'Operating costs'!$B$44)-T315*'Operating costs'!$B$12*U315),0)),0))</f>
        <v>0</v>
      </c>
      <c r="X315" s="1">
        <f>IF(C315=0,0,IF(AND(P315="Complete",D315="EV",E315&lt;120),(R315-'Operating costs'!$B$41)*(S315*U315+'Operating costs'!$B$48/(1-'Operating costs'!$B$44))+W315*'Operating costs'!$B$12*U315,0))</f>
        <v>0</v>
      </c>
      <c r="Y315" s="1">
        <f>IF(AND(C315=1,D315="EV",E315&lt;120),AI315/(1-'Operating costs'!$B$44)*(1-T315),0)</f>
        <v>0</v>
      </c>
      <c r="Z315" s="1">
        <f t="shared" si="8"/>
        <v>0</v>
      </c>
      <c r="AA315" s="1">
        <f>IF(C315=0,0,IF(P315="Complete",((S315*(R315-'Operating costs'!$B$40))+ROUNDUP(S315*(R315-'Operating costs'!$B$40)*IF('Replacement plan'!$AH$84="",'Operating costs'!$B$7,'Replacement plan'!$AH$84)/('Operating costs'!$B$8-'Operating costs'!$B$9*IF('Replacement plan'!$AH$84="",'Operating costs'!$B$7,'Replacement plan'!$AH$84)),0)*'Operating costs'!$B$9)*IF('Replacement plan'!$AH$84="",'Operating costs'!$B$7,'Replacement plan'!$AH$84),"n.a."))</f>
        <v>0</v>
      </c>
      <c r="AB315" s="1">
        <f t="shared" si="9"/>
        <v>0</v>
      </c>
      <c r="AC315" s="1">
        <f>IF(AND(C315=1,D315="EV",E315&lt;120,T315&gt;0),'Operating costs'!$B$12/'Operating costs'!$B$11*60+'Operating costs'!$B$13+'Operating costs'!$B$14+V315*'Operating costs'!$B$47/(1-'Operating costs'!$B$44)/'Replacement plan'!$L$84*60,0)</f>
        <v>0</v>
      </c>
      <c r="AD315" s="1" t="str">
        <f>'Replacement plan'!$B$84</f>
        <v>ChengLong L2EV</v>
      </c>
      <c r="AE315" s="1">
        <f>IF(C315=0,0,VLOOKUP($A315,'Fleet register'!$A$7:$S$106,8,FALSE))</f>
        <v>0</v>
      </c>
      <c r="AF315" s="1" t="str">
        <f>IF('Replacement plan'!$H$84="","n.a.",'Replacement plan'!$H$84)</f>
        <v>n.a.</v>
      </c>
      <c r="AG315" s="1">
        <f>'Replacement plan'!$J$84</f>
        <v>22</v>
      </c>
      <c r="AH315" s="1">
        <f>IFERROR(IF(D315="EV",IF('Replacement plan'!$K$84="AC",IF(ISNUMBER(INDEX(Products!$G$7:$G$13,MATCH('Replacement plan'!$B$84,Products!$A$7:$A$13,0))),INDEX(Products!$G$7:$G$13,MATCH('Replacement plan'!$B$84,Products!$A$7:$A$13,0)),"n.a."),IF(ISNUMBER(INDEX(Products!$H$7:$H$13,MATCH('Replacement plan'!$B$84,Products!$A$7:$A$13,0))),INDEX(Products!$H$7:$H$13,MATCH('Replacement plan'!$B$84,Products!$A$7:$A$13,0)),"n.a.")),0),"n.a.")</f>
        <v>0</v>
      </c>
      <c r="AI315" s="1">
        <f>IF(AND(C315=1,D315="EV",E315&lt;120),(VLOOKUP($A315,'Fleet register'!$A$7:$S$106,7,FALSE)+IF(T315&gt;0,'Operating costs'!$B$12,0))*U315*(1-'Operating costs'!$B$44)+'Operating costs'!$B$49,0)</f>
        <v>0</v>
      </c>
      <c r="AJ315" s="1">
        <f>IF(D315="EV",'Energy and charging'!$B$50,0)</f>
        <v>0</v>
      </c>
      <c r="AK315" s="17">
        <f>EDATE('Operating costs'!$B$63,E315)</f>
        <v>46298</v>
      </c>
      <c r="AL315" s="1">
        <f>IFERROR(IF(D315="EV",INDEX(Products!$B$7:$B$13,MATCH('Replacement plan'!$B$84,Products!$A$7:$A$13,0)),0),"n.a.")</f>
        <v>0</v>
      </c>
      <c r="AM315" s="1" t="str">
        <f>'Replacement plan'!$K$84</f>
        <v>DC</v>
      </c>
      <c r="AN315" s="1" t="str">
        <f>'Replacement plan'!$AE$84</f>
        <v>Assumed</v>
      </c>
      <c r="AO315" s="47">
        <f>IF(AND(C315=1,D315="EV",E315&lt;120),(R315-'Operating costs'!$B$41)*S315+W315*'Operating costs'!$B$12,0)</f>
        <v>0</v>
      </c>
      <c r="AP315" s="41">
        <f>IF(AND(C315=1,D315="EV",E315&lt;120),IF('Operating costs'!$B$68="Hong Seh 200k average",AO315*IFERROR(INDEX(Products!$P$7:$P$13,MATCH(AD315,Products!$A$7:$A$13,0)),"n.a."),'Operating costs'!$B$26),0)</f>
        <v>0</v>
      </c>
      <c r="AQ315" s="40" t="str">
        <f>IF(D315="EV",'Operating costs'!$B$68,"Not applicable")</f>
        <v>Not applicable</v>
      </c>
    </row>
    <row r="316" spans="1:43" ht="24" customHeight="1">
      <c r="A316" s="1" t="str">
        <f>'Replacement plan'!A84</f>
        <v>T078</v>
      </c>
      <c r="B316" s="1">
        <v>1</v>
      </c>
      <c r="C316" s="1">
        <f>IF(COUNTIFS('Fleet register'!$A$7:$A$106,$A316)=1,VLOOKUP($A316,'Fleet register'!$A$7:$S$106,2,FALSE),0)</f>
        <v>0</v>
      </c>
      <c r="D316" s="1" t="str">
        <f>IF("New ICE"="EV","EV","ICE")</f>
        <v>ICE</v>
      </c>
      <c r="E316" s="1">
        <f>IF(C316=0,0,0)</f>
        <v>0</v>
      </c>
      <c r="F316" s="16">
        <f>IF(C316=0,0,VLOOKUP($A316,'Fleet register'!$A$7:$S$106,11,FALSE))</f>
        <v>0</v>
      </c>
      <c r="G316" s="16">
        <f>IFERROR(IF(C316=0,0,IF(E316=120,0,IF(D316="ICE",'Replacement plan'!$C$84,IF('Replacement plan'!$D$84="",INDEX(Products!$I$7:$I$13,MATCH('Replacement plan'!$B$84,Products!$A$7:$A$13,0))+'Operating costs'!$B$57,'Replacement plan'!$D$84))*(1+'Operating costs'!$B$50)^(E316/12))),"n.a.")</f>
        <v>0</v>
      </c>
      <c r="H316" s="16">
        <f>IFERROR(IF(C316=0,0,IF(E316=0,F316,VLOOKUP($A316,'Fleet register'!$A$7:$S$106,12,FALSE)+VLOOKUP($A316,'Fleet register'!$A$7:$S$106,13,FALSE)*MAX(0,VLOOKUP($A316,'Fleet register'!$A$7:$S$106,10,FALSE)-E316)/VLOOKUP($A316,'Fleet register'!$A$7:$S$106,14,FALSE))),"n.a.")</f>
        <v>0</v>
      </c>
      <c r="I316" s="16">
        <f>IF(C316=0,0,IF(E316=120,0,IF('Replacement plan'!$AI$84="",'Operating costs'!$B$56,'Replacement plan'!$AI$84)))</f>
        <v>0</v>
      </c>
      <c r="J316" s="16">
        <f>IF(C316=0,0,IF(P316="Complete",((S316*(R316-'Operating costs'!$B$39))+ROUNDUP(S316*(R316-'Operating costs'!$B$39)*IF('Replacement plan'!$AG$84="",'Operating costs'!$B$7,'Replacement plan'!$AG$84)/('Operating costs'!$B$8-'Operating costs'!$B$9*IF('Replacement plan'!$AG$84="",'Operating costs'!$B$7,'Replacement plan'!$AG$84)),0)*'Operating costs'!$B$9)*IF('Replacement plan'!$AG$84="",'Operating costs'!$B$7,'Replacement plan'!$AG$84)*('Energy and charging'!$B$9*'Energy and charging'!$B$7+(1-'Energy and charging'!$B$9)*'Energy and charging'!$B$8)*'Operating costs'!$B$23,"n.a."))</f>
        <v>0</v>
      </c>
      <c r="K316" s="16">
        <f>IF(C316=0,0,IF(P316="Complete",SUM('Operating costs'!$B$24,'Operating costs'!$B$27,'Operating costs'!$B$29,'Operating costs'!$B$31,'Operating costs'!$B$33,'Operating costs'!$B$34,'Operating costs'!$B$37,'Replacement plan'!$W$84)+'Operating costs'!$B$39*'Operating costs'!$B$42+ROUNDUP(S316*(R316-'Operating costs'!$B$39)*IF('Replacement plan'!$AG$84="",'Operating costs'!$B$7,'Replacement plan'!$AG$84)/('Operating costs'!$B$8-'Operating costs'!$B$9*IF('Replacement plan'!$AG$84="",'Operating costs'!$B$7,'Replacement plan'!$AG$84)),0)*('Operating costs'!$B$9/'Operating costs'!$B$11+'Operating costs'!$B$10/60)*'Operating costs'!$B$19*'Operating costs'!$B$21,"n.a."))</f>
        <v>0</v>
      </c>
      <c r="L316" s="16">
        <f>IF(C316=0,0,IF(P316="Complete",IF(D316="EV",X316*((1-T316)*'Energy and charging'!$B$10+T316*'Energy and charging'!$B$11)*'Operating costs'!$B$22,AA316*('Energy and charging'!$B$9*'Energy and charging'!$B$7+(1-'Energy and charging'!$B$9)*'Energy and charging'!$B$8)*'Operating costs'!$B$23),"n.a."))</f>
        <v>0</v>
      </c>
      <c r="M316" s="37">
        <f>IF(C316=0,0,IF(P316="Complete",IF(D316="ICE",SUM('Operating costs'!$B$25,'Operating costs'!$B$27,'Operating costs'!$B$29,'Operating costs'!$B$31,'Operating costs'!$B$33,'Operating costs'!$B$35,'Operating costs'!$B$37,'Replacement plan'!$X$84)+'Operating costs'!$B$40*'Operating costs'!$B$42+ROUNDUP(S316*(R316-'Operating costs'!$B$40)*IF('Replacement plan'!$AH$84="",'Operating costs'!$B$7,'Replacement plan'!$AH$84)/('Operating costs'!$B$8-'Operating costs'!$B$9*IF('Replacement plan'!$AH$84="",'Operating costs'!$B$7,'Replacement plan'!$AH$84)),0)*('Operating costs'!$B$9/'Operating costs'!$B$11+'Operating costs'!$B$10/60)*'Operating costs'!$B$19*'Operating costs'!$B$21,SUM(AP316,'Operating costs'!$B$28,'Operating costs'!$B$30,'Operating costs'!$B$32,'Operating costs'!$B$33,'Operating costs'!$B$36,'Operating costs'!$B$38,'Replacement plan'!$Y$84)+'Operating costs'!$B$41*'Operating costs'!$B$43+W316*'Operating costs'!$B$15+(T316*X316/'Replacement plan'!$L$84+W316*('Operating costs'!$B$12/'Operating costs'!$B$11+('Operating costs'!$B$13+'Operating costs'!$B$14)/60)+(R316-'Operating costs'!$B$41)*(IF(T316&lt;1,'Operating costs'!$B$16,0)+'Operating costs'!$B$17)/60)*'Operating costs'!$B$19*'Operating costs'!$B$20),"n.a."))</f>
        <v>0</v>
      </c>
      <c r="N316" s="16">
        <f>IF(AND(C316=1,D316="EV",E316&lt;120,E316+'Replacement plan'!$AA$84&lt;=120),'Replacement plan'!$Z$84,0)</f>
        <v>0</v>
      </c>
      <c r="O316" s="1">
        <f>E316+'Replacement plan'!$AA$84</f>
        <v>0</v>
      </c>
      <c r="P316" s="35" t="str">
        <f>IFERROR(IF(C316=0,"Excluded",IF(OR(COUNTIFS('Fleet register'!$A$7:$A$106,A316)&lt;&gt;1,COUNTIFS('Replacement plan'!$A$7:$A$106,A316)&lt;&gt;1),"Duplicate/missing ID",IF(NOT(AND(ISNUMBER(VLOOKUP($A316,'Fleet register'!$A$7:$S$106,5,FALSE)),ISNUMBER(VLOOKUP($A316,'Fleet register'!$A$7:$S$106,6,FALSE)),ISNUMBER(VLOOKUP($A316,'Fleet register'!$A$7:$S$106,10,FALSE)),ISNUMBER(VLOOKUP($A316,'Fleet register'!$A$7:$S$106,11,FALSE)),ISNUMBER(VLOOKUP($A316,'Fleet register'!$A$7:$S$106,12,FALSE)),ISNUMBER(VLOOKUP($A316,'Fleet register'!$A$7:$S$106,13,FALSE)),ISNUMBER(VLOOKUP($A316,'Fleet register'!$A$7:$S$106,14,FALSE)),VLOOKUP($A316,'Fleet register'!$A$7:$S$106,14,FALSE)&gt;0,ISNUMBER('Replacement plan'!$C$84),OR(E316=120,OR(ISNUMBER('Replacement plan'!$AI$84),AND('Replacement plan'!$AI$84="",ISNUMBER('Operating costs'!$B$56)))),ISNUMBER(E316))),"Missing vehicle input",IF(OR(E316&lt;0,E316&gt;VLOOKUP($A316,'Fleet register'!$A$7:$S$106,10,FALSE),E316&gt;120,E316&lt;&gt;INT(E316),VLOOKUP($A316,'Fleet register'!$A$7:$S$106,6,FALSE)&lt;=0,VLOOKUP($A316,'Fleet register'!$A$7:$S$106,6,FALSE)&gt;366,VLOOKUP($A316,'Fleet register'!$A$7:$S$106,5,FALSE)&lt;0,VLOOKUP($A316,'Fleet register'!$A$7:$S$106,11,FALSE)&lt;0,I316&lt;0,'Operating costs'!$B$8&lt;='Operating costs'!$B$7*'Operating costs'!$B$9,'Operating costs'!$B$11&lt;=0,'Operating costs'!$B$39&gt;R316,'Operating costs'!$B$40&gt;R316,'Operating costs'!$B$41&gt;R316,NOT(OR("New ICE"="Keep ICE","New ICE"="New ICE","New ICE"="EV"))),"Invalid vehicle input",IF(AND(D316="EV",E316&lt;120,OR(NOT(ISNUMBER(U316)),NOT(ISNUMBER(V316)),V316&lt;=0,T316&lt;0,T316&gt;1,'Replacement plan'!$L$84&lt;=0,'Operating costs'!$B$44&lt;0,'Operating costs'!$B$44&gt;=1,'Operating costs'!$B$47&lt;=0,'Operating costs'!$B$47&gt;1,V316*'Operating costs'!$B$47/(1-'Operating costs'!$B$44)&lt;=T316*'Operating costs'!$B$12*U316,AND('Replacement plan'!$Z$84&gt;0,OR('Replacement plan'!$AB$84&lt;&gt;"Yes",'Operating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charging'!$B$8&gt;=0))),ISNUMBER(VLOOKUP($A316,'Fleet register'!$A$7:$S$106,15,FALSE)),ISNUMBER(VLOOKUP($A316,'Fleet register'!$A$7:$S$106,16,FALSE)),ISNUMBER('Replacement plan'!$W$84),ISNUMBER('Replacement plan'!$X$84),OR(E316=120,AND(ISNUMBER(G316),G316&gt;=0)),ISNUMBER(H316),H316&gt;=0,OR(D316&lt;&gt;"EV",E316=120,AND(ISNUMBER('Operating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average",ISNUMBER(IFERROR(INDEX(Products!$P$7:$P$13,MATCH(AD316,Products!$A$7:$A$13,0)),"")))),ISNUMBER('Operating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plan'!$Y$84),ISNUMBER('Replacement plan'!$Z$84),'Replacement plan'!$Z$84&gt;=0,ISNUMBER('Replacement plan'!$AA$84),'Replacement plan'!$AA$84&gt;=0,'Replacement plan'!$AA$84=INT('Replacement plan'!$AA$84),ISNUMBER('Replacement plan'!$L$84))),'Operating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plan'!$AG$84="",'Operating costs'!$B$7,'Replacement plan'!$AG$84)),IF('Replacement plan'!$AG$84="",'Operating costs'!$B$7,'Replacement plan'!$AG$84)&gt;=0,ISNUMBER(IF('Replacement plan'!$AH$84="",'Operating costs'!$B$7,'Replacement plan'!$AH$84)),IF('Replacement plan'!$AH$84="",'Operating costs'!$B$7,'Replacement plan'!$AH$84)&gt;=0,'Operating costs'!$B$8&gt;MAX(IF('Replacement plan'!$AG$84="",'Operating costs'!$B$7,'Replacement plan'!$AG$84),IF('Replacement plan'!$AH$84="",'Operating costs'!$B$7,'Replacement plan'!$AH$84))*'Operating costs'!$B$9),IF(AND(VLOOKUP($A316,'Fleet register'!$A$7:$S$106,10,FALSE)&gt;=0,VLOOKUP($A316,'Fleet register'!$A$7:$S$106,10,FALSE)&lt;=120,VLOOKUP($A316,'Fleet register'!$A$7:$S$106,10,FALSE)=INT(VLOOKUP($A316,'Fleet register'!$A$7:$S$106,10,FALSE)),VLOOKUP($A316,'Fleet register'!$A$7:$S$106,15,FALSE)&gt;=0,VLOOKUP($A316,'Fleet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costs'!$B$67)&gt;=0,OR(D316&lt;&gt;"EV",E316=120,AND(MIN('Operating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16" s="1" t="str">
        <f>IF(C316=0,"Excluded",IF(P316&lt;&gt;"Complete",P316,IF(OR('Replacement plan'!$AD$84&lt;120-E316,AND(D316="EV",E316&lt;120,OR('Replacement plan'!$AC$84&lt;120-E316,'Replacement plan'!$I$84="No",AND(ISNUMBER(AF316),AE316&gt;AF316),AI316&gt;V316*(1-'Operating costs'!$B$46)^MAX(0,AB316-1)*(1-'Operating costs'!$B$45),AC316&gt;'Operating costs'!$B$18,AND(T316&lt;1,OR(AG316&lt;=0,AND(ISNUMBER(AH316),AG316&gt;AH316))),'Replacement plan'!$L$84&gt;INDEX(Products!$H$7:$H$13,MATCH('Replacement plan'!$B$84,Products!$A$7:$A$13,0))))),"Fails entered limits",IF(AND(D316="EV",E316&lt;120,OR(NOT(ISNUMBER(VLOOKUP($A316,'Fleet register'!$A$7:$S$106,7,FALSE))),NOT(ISNUMBER(VLOOKUP($A316,'Fleet register'!$A$7:$S$106,8,FALSE))),NOT(ISNUMBER(AF316)),'Replacement plan'!$I$84&lt;&gt;"Yes",NOT(ISNUMBER(AH316)),'Operating costs'!$B$59&lt;&gt;"Yes",'Operating costs'!$B$58&lt;&gt;"Yes")),"Unverified","Within entered limits"))))</f>
        <v>Excluded</v>
      </c>
      <c r="R316" s="1">
        <f>IF(C316=0,0,VLOOKUP($A316,'Fleet register'!$A$7:$S$106,6,FALSE))</f>
        <v>0</v>
      </c>
      <c r="S316" s="1">
        <f>IF(C316=0,0,VLOOKUP($A316,'Fleet register'!$A$7:$S$106,5,FALSE))</f>
        <v>0</v>
      </c>
      <c r="T316" s="1">
        <f>IF(D316="EV",'Energy and charging'!$B$12,0)</f>
        <v>0</v>
      </c>
      <c r="U316" s="1">
        <f>IFERROR(IF(C316=0,0,IF(D316="EV",IF('Replacement plan'!$F$84="",INDEX(Products!$E$7:$E$13,MATCH('Replacement plan'!$B$84,Products!$A$7:$A$13,0)),'Replacement plan'!$F$84)/IF('Replacement plan'!$G$84="Battery",1-'Operating costs'!$B$44,1),0)),"n.a.")</f>
        <v>0</v>
      </c>
      <c r="V316" s="1">
        <f>IFERROR(IF(C316=0,0,IF(D316="EV",IF('Replacement plan'!$E$84="",INDEX(Products!$D$7:$D$13,MATCH('Replacement plan'!$B$84,Products!$A$7:$A$13,0)),'Replacement plan'!$E$84),0)),"n.a.")</f>
        <v>0</v>
      </c>
      <c r="W316" s="1">
        <f>IF(C316=0,0,IF(AND(P316="Complete",D316="EV",E316&lt;120),IF(T316=0,0,ROUNDUP(T316*(R316-'Operating costs'!$B$41)*(S316*U316+'Operating costs'!$B$48/(1-'Operating costs'!$B$44))/(V316*'Operating costs'!$B$47/(1-'Operating costs'!$B$44)-T316*'Operating costs'!$B$12*U316),0)),0))</f>
        <v>0</v>
      </c>
      <c r="X316" s="1">
        <f>IF(C316=0,0,IF(AND(P316="Complete",D316="EV",E316&lt;120),(R316-'Operating costs'!$B$41)*(S316*U316+'Operating costs'!$B$48/(1-'Operating costs'!$B$44))+W316*'Operating costs'!$B$12*U316,0))</f>
        <v>0</v>
      </c>
      <c r="Y316" s="1">
        <f>IF(AND(C316=1,D316="EV",E316&lt;120),AI316/(1-'Operating costs'!$B$44)*(1-T316),0)</f>
        <v>0</v>
      </c>
      <c r="Z316" s="1">
        <f t="shared" si="8"/>
        <v>0</v>
      </c>
      <c r="AA316" s="1">
        <f>IF(C316=0,0,IF(P316="Complete",((S316*(R316-'Operating costs'!$B$40))+ROUNDUP(S316*(R316-'Operating costs'!$B$40)*IF('Replacement plan'!$AH$84="",'Operating costs'!$B$7,'Replacement plan'!$AH$84)/('Operating costs'!$B$8-'Operating costs'!$B$9*IF('Replacement plan'!$AH$84="",'Operating costs'!$B$7,'Replacement plan'!$AH$84)),0)*'Operating costs'!$B$9)*IF('Replacement plan'!$AH$84="",'Operating costs'!$B$7,'Replacement plan'!$AH$84),"n.a."))</f>
        <v>0</v>
      </c>
      <c r="AB316" s="1">
        <f t="shared" si="9"/>
        <v>0</v>
      </c>
      <c r="AC316" s="1">
        <f>IF(AND(C316=1,D316="EV",E316&lt;120,T316&gt;0),'Operating costs'!$B$12/'Operating costs'!$B$11*60+'Operating costs'!$B$13+'Operating costs'!$B$14+V316*'Operating costs'!$B$47/(1-'Operating costs'!$B$44)/'Replacement plan'!$L$84*60,0)</f>
        <v>0</v>
      </c>
      <c r="AD316" s="1" t="str">
        <f>'Replacement plan'!$B$84</f>
        <v>ChengLong L2EV</v>
      </c>
      <c r="AE316" s="1">
        <f>IF(C316=0,0,VLOOKUP($A316,'Fleet register'!$A$7:$S$106,8,FALSE))</f>
        <v>0</v>
      </c>
      <c r="AF316" s="1" t="str">
        <f>IF('Replacement plan'!$H$84="","n.a.",'Replacement plan'!$H$84)</f>
        <v>n.a.</v>
      </c>
      <c r="AG316" s="1">
        <f>'Replacement plan'!$J$84</f>
        <v>22</v>
      </c>
      <c r="AH316" s="1">
        <f>IFERROR(IF(D316="EV",IF('Replacement plan'!$K$84="AC",IF(ISNUMBER(INDEX(Products!$G$7:$G$13,MATCH('Replacement plan'!$B$84,Products!$A$7:$A$13,0))),INDEX(Products!$G$7:$G$13,MATCH('Replacement plan'!$B$84,Products!$A$7:$A$13,0)),"n.a."),IF(ISNUMBER(INDEX(Products!$H$7:$H$13,MATCH('Replacement plan'!$B$84,Products!$A$7:$A$13,0))),INDEX(Products!$H$7:$H$13,MATCH('Replacement plan'!$B$84,Products!$A$7:$A$13,0)),"n.a.")),0),"n.a.")</f>
        <v>0</v>
      </c>
      <c r="AI316" s="1">
        <f>IF(AND(C316=1,D316="EV",E316&lt;120),(VLOOKUP($A316,'Fleet register'!$A$7:$S$106,7,FALSE)+IF(T316&gt;0,'Operating costs'!$B$12,0))*U316*(1-'Operating costs'!$B$44)+'Operating costs'!$B$49,0)</f>
        <v>0</v>
      </c>
      <c r="AJ316" s="1">
        <f>IF(D316="EV",'Energy and charging'!$B$50,0)</f>
        <v>0</v>
      </c>
      <c r="AK316" s="17">
        <f>EDATE('Operating costs'!$B$63,E316)</f>
        <v>46298</v>
      </c>
      <c r="AL316" s="1">
        <f>IFERROR(IF(D316="EV",INDEX(Products!$B$7:$B$13,MATCH('Replacement plan'!$B$84,Products!$A$7:$A$13,0)),0),"n.a.")</f>
        <v>0</v>
      </c>
      <c r="AM316" s="1" t="str">
        <f>'Replacement plan'!$K$84</f>
        <v>DC</v>
      </c>
      <c r="AN316" s="1" t="str">
        <f>'Replacement plan'!$AE$84</f>
        <v>Assumed</v>
      </c>
      <c r="AO316" s="47">
        <f>IF(AND(C316=1,D316="EV",E316&lt;120),(R316-'Operating costs'!$B$41)*S316+W316*'Operating costs'!$B$12,0)</f>
        <v>0</v>
      </c>
      <c r="AP316" s="41">
        <f>IF(AND(C316=1,D316="EV",E316&lt;120),IF('Operating costs'!$B$68="Hong Seh 200k average",AO316*IFERROR(INDEX(Products!$P$7:$P$13,MATCH(AD316,Products!$A$7:$A$13,0)),"n.a."),'Operating costs'!$B$26),0)</f>
        <v>0</v>
      </c>
      <c r="AQ316" s="40" t="str">
        <f>IF(D316="EV",'Operating costs'!$B$68,"Not applicable")</f>
        <v>Not applicable</v>
      </c>
    </row>
    <row r="317" spans="1:43" ht="24" customHeight="1">
      <c r="A317" s="1" t="str">
        <f>'Replacement plan'!A84</f>
        <v>T078</v>
      </c>
      <c r="B317" s="1">
        <v>2</v>
      </c>
      <c r="C317" s="1">
        <f>IF(COUNTIFS('Fleet register'!$A$7:$A$106,$A317)=1,VLOOKUP($A317,'Fleet register'!$A$7:$S$106,2,FALSE),0)</f>
        <v>0</v>
      </c>
      <c r="D317" s="1" t="str">
        <f>IF('Replacement plan'!$O$84="EV","EV","ICE")</f>
        <v>ICE</v>
      </c>
      <c r="E317" s="1">
        <f>IF(C317=0,0,IF('Replacement plan'!$P$84="",IF('Replacement plan'!$O$84="Keep ICE",IF('Replacement plan'!$M$84="",VLOOKUP($A317,'Fleet register'!$A$7:$S$106,10,FALSE),'Replacement plan'!$M$84),0),'Replacement plan'!$P$84))</f>
        <v>0</v>
      </c>
      <c r="F317" s="16">
        <f>IF(C317=0,0,VLOOKUP($A317,'Fleet register'!$A$7:$S$106,11,FALSE))</f>
        <v>0</v>
      </c>
      <c r="G317" s="16">
        <f>IFERROR(IF(C317=0,0,IF(E317=120,0,IF(D317="ICE",'Replacement plan'!$C$84,IF('Replacement plan'!$D$84="",INDEX(Products!$I$7:$I$13,MATCH('Replacement plan'!$B$84,Products!$A$7:$A$13,0))+'Operating costs'!$B$57,'Replacement plan'!$D$84))*(1+'Operating costs'!$B$50)^(E317/12))),"n.a.")</f>
        <v>0</v>
      </c>
      <c r="H317" s="16">
        <f>IFERROR(IF(C317=0,0,IF('Replacement plan'!$U$84&lt;&gt;"",'Replacement plan'!$U$84,IF(E317=0,F317,VLOOKUP($A317,'Fleet register'!$A$7:$S$106,12,FALSE)+VLOOKUP($A317,'Fleet register'!$A$7:$S$106,13,FALSE)*MAX(0,VLOOKUP($A317,'Fleet register'!$A$7:$S$106,10,FALSE)-E317)/VLOOKUP($A317,'Fleet register'!$A$7:$S$106,14,FALSE)))),"n.a.")</f>
        <v>0</v>
      </c>
      <c r="I317" s="16">
        <f>IF(C317=0,0,IF(E317=120,0,'Replacement plan'!$Q$84))</f>
        <v>0</v>
      </c>
      <c r="J317" s="16">
        <f>IF(C317=0,0,IF(P317="Complete",((S317*(R317-'Operating costs'!$B$39))+ROUNDUP(S317*(R317-'Operating costs'!$B$39)*IF('Replacement plan'!$AG$84="",'Operating costs'!$B$7,'Replacement plan'!$AG$84)/('Operating costs'!$B$8-'Operating costs'!$B$9*IF('Replacement plan'!$AG$84="",'Operating costs'!$B$7,'Replacement plan'!$AG$84)),0)*'Operating costs'!$B$9)*IF('Replacement plan'!$AG$84="",'Operating costs'!$B$7,'Replacement plan'!$AG$84)*('Energy and charging'!$B$9*'Energy and charging'!$B$7+(1-'Energy and charging'!$B$9)*'Energy and charging'!$B$8)*'Operating costs'!$B$23,"n.a."))</f>
        <v>0</v>
      </c>
      <c r="K317" s="16">
        <f>IF(C317=0,0,IF(P317="Complete",SUM('Operating costs'!$B$24,'Operating costs'!$B$27,'Operating costs'!$B$29,'Operating costs'!$B$31,'Operating costs'!$B$33,'Operating costs'!$B$34,'Operating costs'!$B$37,'Replacement plan'!$W$84)+'Operating costs'!$B$39*'Operating costs'!$B$42+ROUNDUP(S317*(R317-'Operating costs'!$B$39)*IF('Replacement plan'!$AG$84="",'Operating costs'!$B$7,'Replacement plan'!$AG$84)/('Operating costs'!$B$8-'Operating costs'!$B$9*IF('Replacement plan'!$AG$84="",'Operating costs'!$B$7,'Replacement plan'!$AG$84)),0)*('Operating costs'!$B$9/'Operating costs'!$B$11+'Operating costs'!$B$10/60)*'Operating costs'!$B$19*'Operating costs'!$B$21,"n.a."))</f>
        <v>0</v>
      </c>
      <c r="L317" s="16">
        <f>IF(C317=0,0,IF(P317="Complete",IF(D317="EV",X317*((1-T317)*'Energy and charging'!$B$10+T317*'Energy and charging'!$B$11)*'Operating costs'!$B$22,AA317*('Energy and charging'!$B$9*'Energy and charging'!$B$7+(1-'Energy and charging'!$B$9)*'Energy and charging'!$B$8)*'Operating costs'!$B$23),"n.a."))</f>
        <v>0</v>
      </c>
      <c r="M317" s="37">
        <f>IF(C317=0,0,IF(P317="Complete",IF(D317="ICE",SUM('Operating costs'!$B$25,'Operating costs'!$B$27,'Operating costs'!$B$29,'Operating costs'!$B$31,'Operating costs'!$B$33,'Operating costs'!$B$35,'Operating costs'!$B$37,'Replacement plan'!$X$84)+'Operating costs'!$B$40*'Operating costs'!$B$42+ROUNDUP(S317*(R317-'Operating costs'!$B$40)*IF('Replacement plan'!$AH$84="",'Operating costs'!$B$7,'Replacement plan'!$AH$84)/('Operating costs'!$B$8-'Operating costs'!$B$9*IF('Replacement plan'!$AH$84="",'Operating costs'!$B$7,'Replacement plan'!$AH$84)),0)*('Operating costs'!$B$9/'Operating costs'!$B$11+'Operating costs'!$B$10/60)*'Operating costs'!$B$19*'Operating costs'!$B$21,SUM(AP317,'Operating costs'!$B$28,'Operating costs'!$B$30,'Operating costs'!$B$32,'Operating costs'!$B$33,'Operating costs'!$B$36,'Operating costs'!$B$38,'Replacement plan'!$Y$84)+'Operating costs'!$B$41*'Operating costs'!$B$43+W317*'Operating costs'!$B$15+(T317*X317/'Replacement plan'!$L$84+W317*('Operating costs'!$B$12/'Operating costs'!$B$11+('Operating costs'!$B$13+'Operating costs'!$B$14)/60)+(R317-'Operating costs'!$B$41)*(IF(T317&lt;1,'Operating costs'!$B$16,0)+'Operating costs'!$B$17)/60)*'Operating costs'!$B$19*'Operating costs'!$B$20),"n.a."))</f>
        <v>0</v>
      </c>
      <c r="N317" s="16">
        <f>IF(AND(C317=1,D317="EV",E317&lt;120,E317+'Replacement plan'!$AA$84&lt;=120),'Replacement plan'!$Z$84,0)</f>
        <v>0</v>
      </c>
      <c r="O317" s="1">
        <f>E317+'Replacement plan'!$AA$84</f>
        <v>0</v>
      </c>
      <c r="P317" s="35" t="str">
        <f>IFERROR(IF(C317=0,"Excluded",IF(OR(COUNTIFS('Fleet register'!$A$7:$A$106,A317)&lt;&gt;1,COUNTIFS('Replacement plan'!$A$7:$A$106,A317)&lt;&gt;1),"Duplicate/missing ID",IF(NOT(AND(ISNUMBER(VLOOKUP($A317,'Fleet register'!$A$7:$S$106,5,FALSE)),ISNUMBER(VLOOKUP($A317,'Fleet register'!$A$7:$S$106,6,FALSE)),ISNUMBER(VLOOKUP($A317,'Fleet register'!$A$7:$S$106,10,FALSE)),ISNUMBER(VLOOKUP($A317,'Fleet register'!$A$7:$S$106,11,FALSE)),ISNUMBER(VLOOKUP($A317,'Fleet register'!$A$7:$S$106,12,FALSE)),ISNUMBER(VLOOKUP($A317,'Fleet register'!$A$7:$S$106,13,FALSE)),ISNUMBER(VLOOKUP($A317,'Fleet register'!$A$7:$S$106,14,FALSE)),VLOOKUP($A317,'Fleet register'!$A$7:$S$106,14,FALSE)&gt;0,ISNUMBER('Replacement plan'!$C$84),OR(E317=120,ISNUMBER('Replacement plan'!$Q$84)),ISNUMBER(E317))),"Missing vehicle input",IF(OR(E317&lt;0,E317&gt;VLOOKUP($A317,'Fleet register'!$A$7:$S$106,10,FALSE),E317&gt;120,E317&lt;&gt;INT(E317),VLOOKUP($A317,'Fleet register'!$A$7:$S$106,6,FALSE)&lt;=0,VLOOKUP($A317,'Fleet register'!$A$7:$S$106,6,FALSE)&gt;366,VLOOKUP($A317,'Fleet register'!$A$7:$S$106,5,FALSE)&lt;0,VLOOKUP($A317,'Fleet register'!$A$7:$S$106,11,FALSE)&lt;0,I317&lt;0,'Operating costs'!$B$8&lt;='Operating costs'!$B$7*'Operating costs'!$B$9,'Operating costs'!$B$11&lt;=0,'Operating costs'!$B$39&gt;R317,'Operating costs'!$B$40&gt;R317,'Operating costs'!$B$41&gt;R317,NOT(OR('Replacement plan'!$O$84="Keep ICE",'Replacement plan'!$O$84="New ICE",'Replacement plan'!$O$84="EV"))),"Invalid vehicle input",IF(AND(D317="EV",E317&lt;120,OR(NOT(ISNUMBER(U317)),NOT(ISNUMBER(V317)),V317&lt;=0,T317&lt;0,T317&gt;1,'Replacement plan'!$L$84&lt;=0,'Operating costs'!$B$44&lt;0,'Operating costs'!$B$44&gt;=1,'Operating costs'!$B$47&lt;=0,'Operating costs'!$B$47&gt;1,V317*'Operating costs'!$B$47/(1-'Operating costs'!$B$44)&lt;=T317*'Operating costs'!$B$12*U317,AND('Replacement plan'!$Z$84&gt;0,OR('Replacement plan'!$AB$84&lt;&gt;"Yes",'Operating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charging'!$B$8&gt;=0))),ISNUMBER(VLOOKUP($A317,'Fleet register'!$A$7:$S$106,15,FALSE)),ISNUMBER(VLOOKUP($A317,'Fleet register'!$A$7:$S$106,16,FALSE)),ISNUMBER('Replacement plan'!$W$84),ISNUMBER('Replacement plan'!$X$84),OR(E317=120,AND(ISNUMBER(G317),G317&gt;=0)),ISNUMBER(H317),H317&gt;=0,OR(D317&lt;&gt;"EV",E317=120,AND(ISNUMBER('Operating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average",ISNUMBER(IFERROR(INDEX(Products!$P$7:$P$13,MATCH(AD317,Products!$A$7:$A$13,0)),"")))),ISNUMBER('Operating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plan'!$Y$84),ISNUMBER('Replacement plan'!$Z$84),'Replacement plan'!$Z$84&gt;=0,ISNUMBER('Replacement plan'!$AA$84),'Replacement plan'!$AA$84&gt;=0,'Replacement plan'!$AA$84=INT('Replacement plan'!$AA$84),ISNUMBER('Replacement plan'!$L$84))),'Operating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plan'!$AG$84="",'Operating costs'!$B$7,'Replacement plan'!$AG$84)),IF('Replacement plan'!$AG$84="",'Operating costs'!$B$7,'Replacement plan'!$AG$84)&gt;=0,ISNUMBER(IF('Replacement plan'!$AH$84="",'Operating costs'!$B$7,'Replacement plan'!$AH$84)),IF('Replacement plan'!$AH$84="",'Operating costs'!$B$7,'Replacement plan'!$AH$84)&gt;=0,'Operating costs'!$B$8&gt;MAX(IF('Replacement plan'!$AG$84="",'Operating costs'!$B$7,'Replacement plan'!$AG$84),IF('Replacement plan'!$AH$84="",'Operating costs'!$B$7,'Replacement plan'!$AH$84))*'Operating costs'!$B$9),IF(AND(VLOOKUP($A317,'Fleet register'!$A$7:$S$106,10,FALSE)&gt;=0,VLOOKUP($A317,'Fleet register'!$A$7:$S$106,10,FALSE)&lt;=120,VLOOKUP($A317,'Fleet register'!$A$7:$S$106,10,FALSE)=INT(VLOOKUP($A317,'Fleet register'!$A$7:$S$106,10,FALSE)),VLOOKUP($A317,'Fleet register'!$A$7:$S$106,15,FALSE)&gt;=0,VLOOKUP($A317,'Fleet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costs'!$B$67)&gt;=0,OR(D317&lt;&gt;"EV",E317=120,AND(MIN('Operating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17" s="1" t="str">
        <f>IF(C317=0,"Excluded",IF(P317&lt;&gt;"Complete",P317,IF(OR('Replacement plan'!$AD$84&lt;120-E317,AND(D317="EV",E317&lt;120,OR('Replacement plan'!$AC$84&lt;120-E317,'Replacement plan'!$I$84="No",AND(ISNUMBER(AF317),AE317&gt;AF317),AI317&gt;V317*(1-'Operating costs'!$B$46)^MAX(0,AB317-1)*(1-'Operating costs'!$B$45),AC317&gt;'Operating costs'!$B$18,AND(T317&lt;1,OR(AG317&lt;=0,AND(ISNUMBER(AH317),AG317&gt;AH317))),'Replacement plan'!$L$84&gt;INDEX(Products!$H$7:$H$13,MATCH('Replacement plan'!$B$84,Products!$A$7:$A$13,0))))),"Fails entered limits",IF(AND(D317="EV",E317&lt;120,OR(NOT(ISNUMBER(VLOOKUP($A317,'Fleet register'!$A$7:$S$106,7,FALSE))),NOT(ISNUMBER(VLOOKUP($A317,'Fleet register'!$A$7:$S$106,8,FALSE))),NOT(ISNUMBER(AF317)),'Replacement plan'!$I$84&lt;&gt;"Yes",NOT(ISNUMBER(AH317)),'Operating costs'!$B$59&lt;&gt;"Yes",'Operating costs'!$B$58&lt;&gt;"Yes")),"Unverified","Within entered limits"))))</f>
        <v>Excluded</v>
      </c>
      <c r="R317" s="1">
        <f>IF(C317=0,0,VLOOKUP($A317,'Fleet register'!$A$7:$S$106,6,FALSE))</f>
        <v>0</v>
      </c>
      <c r="S317" s="1">
        <f>IF(C317=0,0,VLOOKUP($A317,'Fleet register'!$A$7:$S$106,5,FALSE))</f>
        <v>0</v>
      </c>
      <c r="T317" s="1">
        <f>IF(D317="EV",'Energy and charging'!$B$12,0)</f>
        <v>0</v>
      </c>
      <c r="U317" s="1">
        <f>IFERROR(IF(C317=0,0,IF(D317="EV",IF('Replacement plan'!$F$84="",INDEX(Products!$E$7:$E$13,MATCH('Replacement plan'!$B$84,Products!$A$7:$A$13,0)),'Replacement plan'!$F$84)/IF('Replacement plan'!$G$84="Battery",1-'Operating costs'!$B$44,1),0)),"n.a.")</f>
        <v>0</v>
      </c>
      <c r="V317" s="1">
        <f>IFERROR(IF(C317=0,0,IF(D317="EV",IF('Replacement plan'!$E$84="",INDEX(Products!$D$7:$D$13,MATCH('Replacement plan'!$B$84,Products!$A$7:$A$13,0)),'Replacement plan'!$E$84),0)),"n.a.")</f>
        <v>0</v>
      </c>
      <c r="W317" s="1">
        <f>IF(C317=0,0,IF(AND(P317="Complete",D317="EV",E317&lt;120),IF(T317=0,0,ROUNDUP(T317*(R317-'Operating costs'!$B$41)*(S317*U317+'Operating costs'!$B$48/(1-'Operating costs'!$B$44))/(V317*'Operating costs'!$B$47/(1-'Operating costs'!$B$44)-T317*'Operating costs'!$B$12*U317),0)),0))</f>
        <v>0</v>
      </c>
      <c r="X317" s="1">
        <f>IF(C317=0,0,IF(AND(P317="Complete",D317="EV",E317&lt;120),(R317-'Operating costs'!$B$41)*(S317*U317+'Operating costs'!$B$48/(1-'Operating costs'!$B$44))+W317*'Operating costs'!$B$12*U317,0))</f>
        <v>0</v>
      </c>
      <c r="Y317" s="1">
        <f>IF(AND(C317=1,D317="EV",E317&lt;120),AI317/(1-'Operating costs'!$B$44)*(1-T317),0)</f>
        <v>0</v>
      </c>
      <c r="Z317" s="1">
        <f t="shared" si="8"/>
        <v>0</v>
      </c>
      <c r="AA317" s="1">
        <f>IF(C317=0,0,IF(P317="Complete",((S317*(R317-'Operating costs'!$B$40))+ROUNDUP(S317*(R317-'Operating costs'!$B$40)*IF('Replacement plan'!$AH$84="",'Operating costs'!$B$7,'Replacement plan'!$AH$84)/('Operating costs'!$B$8-'Operating costs'!$B$9*IF('Replacement plan'!$AH$84="",'Operating costs'!$B$7,'Replacement plan'!$AH$84)),0)*'Operating costs'!$B$9)*IF('Replacement plan'!$AH$84="",'Operating costs'!$B$7,'Replacement plan'!$AH$84),"n.a."))</f>
        <v>0</v>
      </c>
      <c r="AB317" s="1">
        <f t="shared" si="9"/>
        <v>0</v>
      </c>
      <c r="AC317" s="1">
        <f>IF(AND(C317=1,D317="EV",E317&lt;120,T317&gt;0),'Operating costs'!$B$12/'Operating costs'!$B$11*60+'Operating costs'!$B$13+'Operating costs'!$B$14+V317*'Operating costs'!$B$47/(1-'Operating costs'!$B$44)/'Replacement plan'!$L$84*60,0)</f>
        <v>0</v>
      </c>
      <c r="AD317" s="1" t="str">
        <f>'Replacement plan'!$B$84</f>
        <v>ChengLong L2EV</v>
      </c>
      <c r="AE317" s="1">
        <f>IF(C317=0,0,VLOOKUP($A317,'Fleet register'!$A$7:$S$106,8,FALSE))</f>
        <v>0</v>
      </c>
      <c r="AF317" s="1" t="str">
        <f>IF('Replacement plan'!$H$84="","n.a.",'Replacement plan'!$H$84)</f>
        <v>n.a.</v>
      </c>
      <c r="AG317" s="1">
        <f>'Replacement plan'!$J$84</f>
        <v>22</v>
      </c>
      <c r="AH317" s="1">
        <f>IFERROR(IF(D317="EV",IF('Replacement plan'!$K$84="AC",IF(ISNUMBER(INDEX(Products!$G$7:$G$13,MATCH('Replacement plan'!$B$84,Products!$A$7:$A$13,0))),INDEX(Products!$G$7:$G$13,MATCH('Replacement plan'!$B$84,Products!$A$7:$A$13,0)),"n.a."),IF(ISNUMBER(INDEX(Products!$H$7:$H$13,MATCH('Replacement plan'!$B$84,Products!$A$7:$A$13,0))),INDEX(Products!$H$7:$H$13,MATCH('Replacement plan'!$B$84,Products!$A$7:$A$13,0)),"n.a.")),0),"n.a.")</f>
        <v>0</v>
      </c>
      <c r="AI317" s="1">
        <f>IF(AND(C317=1,D317="EV",E317&lt;120),(VLOOKUP($A317,'Fleet register'!$A$7:$S$106,7,FALSE)+IF(T317&gt;0,'Operating costs'!$B$12,0))*U317*(1-'Operating costs'!$B$44)+'Operating costs'!$B$49,0)</f>
        <v>0</v>
      </c>
      <c r="AJ317" s="1">
        <f>IF(D317="EV",'Energy and charging'!$B$50,0)</f>
        <v>0</v>
      </c>
      <c r="AK317" s="17">
        <f>EDATE('Operating costs'!$B$63,E317)</f>
        <v>46298</v>
      </c>
      <c r="AL317" s="1">
        <f>IFERROR(IF(D317="EV",INDEX(Products!$B$7:$B$13,MATCH('Replacement plan'!$B$84,Products!$A$7:$A$13,0)),0),"n.a.")</f>
        <v>0</v>
      </c>
      <c r="AM317" s="1" t="str">
        <f>'Replacement plan'!$K$84</f>
        <v>DC</v>
      </c>
      <c r="AN317" s="1" t="str">
        <f>'Replacement plan'!$AE$84</f>
        <v>Assumed</v>
      </c>
      <c r="AO317" s="47">
        <f>IF(AND(C317=1,D317="EV",E317&lt;120),(R317-'Operating costs'!$B$41)*S317+W317*'Operating costs'!$B$12,0)</f>
        <v>0</v>
      </c>
      <c r="AP317" s="41">
        <f>IF(AND(C317=1,D317="EV",E317&lt;120),IF('Operating costs'!$B$68="Hong Seh 200k average",AO317*IFERROR(INDEX(Products!$P$7:$P$13,MATCH(AD317,Products!$A$7:$A$13,0)),"n.a."),'Operating costs'!$B$26),0)</f>
        <v>0</v>
      </c>
      <c r="AQ317" s="40" t="str">
        <f>IF(D317="EV",'Operating costs'!$B$68,"Not applicable")</f>
        <v>Not applicable</v>
      </c>
    </row>
    <row r="318" spans="1:43" ht="24" customHeight="1">
      <c r="A318" s="1" t="str">
        <f>'Replacement plan'!A84</f>
        <v>T078</v>
      </c>
      <c r="B318" s="1">
        <v>3</v>
      </c>
      <c r="C318" s="1">
        <f>IF(COUNTIFS('Fleet register'!$A$7:$A$106,$A318)=1,VLOOKUP($A318,'Fleet register'!$A$7:$S$106,2,FALSE),0)</f>
        <v>0</v>
      </c>
      <c r="D318" s="1" t="str">
        <f>IF('Replacement plan'!$R$84="EV","EV","ICE")</f>
        <v>ICE</v>
      </c>
      <c r="E318" s="1">
        <f>IF(C318=0,0,IF('Replacement plan'!$S$84="",IF('Replacement plan'!$R$84="Keep ICE",IF('Replacement plan'!$M$84="",VLOOKUP($A318,'Fleet register'!$A$7:$S$106,10,FALSE),'Replacement plan'!$M$84),0),'Replacement plan'!$S$84))</f>
        <v>0</v>
      </c>
      <c r="F318" s="16">
        <f>IF(C318=0,0,VLOOKUP($A318,'Fleet register'!$A$7:$S$106,11,FALSE))</f>
        <v>0</v>
      </c>
      <c r="G318" s="16">
        <f>IFERROR(IF(C318=0,0,IF(E318=120,0,IF(D318="ICE",'Replacement plan'!$C$84,IF('Replacement plan'!$D$84="",INDEX(Products!$I$7:$I$13,MATCH('Replacement plan'!$B$84,Products!$A$7:$A$13,0))+'Operating costs'!$B$57,'Replacement plan'!$D$84))*(1+'Operating costs'!$B$50)^(E318/12))),"n.a.")</f>
        <v>0</v>
      </c>
      <c r="H318" s="16">
        <f>IFERROR(IF(C318=0,0,IF('Replacement plan'!$V$84&lt;&gt;"",'Replacement plan'!$V$84,IF(E318=0,F318,VLOOKUP($A318,'Fleet register'!$A$7:$S$106,12,FALSE)+VLOOKUP($A318,'Fleet register'!$A$7:$S$106,13,FALSE)*MAX(0,VLOOKUP($A318,'Fleet register'!$A$7:$S$106,10,FALSE)-E318)/VLOOKUP($A318,'Fleet register'!$A$7:$S$106,14,FALSE)))),"n.a.")</f>
        <v>0</v>
      </c>
      <c r="I318" s="16">
        <f>IF(C318=0,0,IF(E318=120,0,'Replacement plan'!$T$84))</f>
        <v>0</v>
      </c>
      <c r="J318" s="16">
        <f>IF(C318=0,0,IF(P318="Complete",((S318*(R318-'Operating costs'!$B$39))+ROUNDUP(S318*(R318-'Operating costs'!$B$39)*IF('Replacement plan'!$AG$84="",'Operating costs'!$B$7,'Replacement plan'!$AG$84)/('Operating costs'!$B$8-'Operating costs'!$B$9*IF('Replacement plan'!$AG$84="",'Operating costs'!$B$7,'Replacement plan'!$AG$84)),0)*'Operating costs'!$B$9)*IF('Replacement plan'!$AG$84="",'Operating costs'!$B$7,'Replacement plan'!$AG$84)*('Energy and charging'!$C$9*'Energy and charging'!$C$7+(1-'Energy and charging'!$C$9)*'Energy and charging'!$C$8)*'Operating costs'!$B$23,"n.a."))</f>
        <v>0</v>
      </c>
      <c r="K318" s="16">
        <f>IF(C318=0,0,IF(P318="Complete",SUM('Operating costs'!$B$24,'Operating costs'!$B$27,'Operating costs'!$B$29,'Operating costs'!$B$31,'Operating costs'!$B$33,'Operating costs'!$B$34,'Operating costs'!$B$37,'Replacement plan'!$W$84)+'Operating costs'!$B$39*'Operating costs'!$B$42+ROUNDUP(S318*(R318-'Operating costs'!$B$39)*IF('Replacement plan'!$AG$84="",'Operating costs'!$B$7,'Replacement plan'!$AG$84)/('Operating costs'!$B$8-'Operating costs'!$B$9*IF('Replacement plan'!$AG$84="",'Operating costs'!$B$7,'Replacement plan'!$AG$84)),0)*('Operating costs'!$B$9/'Operating costs'!$B$11+'Operating costs'!$B$10/60)*'Operating costs'!$B$19*'Operating costs'!$B$21,"n.a."))</f>
        <v>0</v>
      </c>
      <c r="L318" s="16">
        <f>IF(C318=0,0,IF(P318="Complete",IF(D318="EV",X318*((1-T318)*'Energy and charging'!$C$10+T318*'Energy and charging'!$C$11)*'Operating costs'!$B$22,AA318*('Energy and charging'!$C$9*'Energy and charging'!$C$7+(1-'Energy and charging'!$C$9)*'Energy and charging'!$C$8)*'Operating costs'!$B$23),"n.a."))</f>
        <v>0</v>
      </c>
      <c r="M318" s="37">
        <f>IF(C318=0,0,IF(P318="Complete",IF(D318="ICE",SUM('Operating costs'!$B$25,'Operating costs'!$B$27,'Operating costs'!$B$29,'Operating costs'!$B$31,'Operating costs'!$B$33,'Operating costs'!$B$35,'Operating costs'!$B$37,'Replacement plan'!$X$84)+'Operating costs'!$B$40*'Operating costs'!$B$42+ROUNDUP(S318*(R318-'Operating costs'!$B$40)*IF('Replacement plan'!$AH$84="",'Operating costs'!$B$7,'Replacement plan'!$AH$84)/('Operating costs'!$B$8-'Operating costs'!$B$9*IF('Replacement plan'!$AH$84="",'Operating costs'!$B$7,'Replacement plan'!$AH$84)),0)*('Operating costs'!$B$9/'Operating costs'!$B$11+'Operating costs'!$B$10/60)*'Operating costs'!$B$19*'Operating costs'!$B$21,SUM(AP318,'Operating costs'!$B$28,'Operating costs'!$B$30,'Operating costs'!$B$32,'Operating costs'!$B$33,'Operating costs'!$B$36,'Operating costs'!$B$38,'Replacement plan'!$Y$84)+'Operating costs'!$B$41*'Operating costs'!$B$43+W318*'Operating costs'!$B$15+(T318*X318/'Replacement plan'!$L$84+W318*('Operating costs'!$B$12/'Operating costs'!$B$11+('Operating costs'!$B$13+'Operating costs'!$B$14)/60)+(R318-'Operating costs'!$B$41)*(IF(T318&lt;1,'Operating costs'!$B$16,0)+'Operating costs'!$B$17)/60)*'Operating costs'!$B$19*'Operating costs'!$B$20),"n.a."))</f>
        <v>0</v>
      </c>
      <c r="N318" s="16">
        <f>IF(AND(C318=1,D318="EV",E318&lt;120,E318+'Replacement plan'!$AA$84&lt;=120),'Replacement plan'!$Z$84,0)</f>
        <v>0</v>
      </c>
      <c r="O318" s="1">
        <f>E318+'Replacement plan'!$AA$84</f>
        <v>0</v>
      </c>
      <c r="P318" s="35" t="str">
        <f>IFERROR(IF(C318=0,"Excluded",IF(OR(COUNTIFS('Fleet register'!$A$7:$A$106,A318)&lt;&gt;1,COUNTIFS('Replacement plan'!$A$7:$A$106,A318)&lt;&gt;1),"Duplicate/missing ID",IF(NOT(AND(ISNUMBER(VLOOKUP($A318,'Fleet register'!$A$7:$S$106,5,FALSE)),ISNUMBER(VLOOKUP($A318,'Fleet register'!$A$7:$S$106,6,FALSE)),ISNUMBER(VLOOKUP($A318,'Fleet register'!$A$7:$S$106,10,FALSE)),ISNUMBER(VLOOKUP($A318,'Fleet register'!$A$7:$S$106,11,FALSE)),ISNUMBER(VLOOKUP($A318,'Fleet register'!$A$7:$S$106,12,FALSE)),ISNUMBER(VLOOKUP($A318,'Fleet register'!$A$7:$S$106,13,FALSE)),ISNUMBER(VLOOKUP($A318,'Fleet register'!$A$7:$S$106,14,FALSE)),VLOOKUP($A318,'Fleet register'!$A$7:$S$106,14,FALSE)&gt;0,ISNUMBER('Replacement plan'!$C$84),OR(E318=120,ISNUMBER('Replacement plan'!$T$84)),ISNUMBER(E318))),"Missing vehicle input",IF(OR(E318&lt;0,E318&gt;VLOOKUP($A318,'Fleet register'!$A$7:$S$106,10,FALSE),E318&gt;120,E318&lt;&gt;INT(E318),VLOOKUP($A318,'Fleet register'!$A$7:$S$106,6,FALSE)&lt;=0,VLOOKUP($A318,'Fleet register'!$A$7:$S$106,6,FALSE)&gt;366,VLOOKUP($A318,'Fleet register'!$A$7:$S$106,5,FALSE)&lt;0,VLOOKUP($A318,'Fleet register'!$A$7:$S$106,11,FALSE)&lt;0,I318&lt;0,'Operating costs'!$B$8&lt;='Operating costs'!$B$7*'Operating costs'!$B$9,'Operating costs'!$B$11&lt;=0,'Operating costs'!$B$39&gt;R318,'Operating costs'!$B$40&gt;R318,'Operating costs'!$B$41&gt;R318,NOT(OR('Replacement plan'!$R$84="Keep ICE",'Replacement plan'!$R$84="New ICE",'Replacement plan'!$R$84="EV"))),"Invalid vehicle input",IF(AND(D318="EV",E318&lt;120,OR(NOT(ISNUMBER(U318)),NOT(ISNUMBER(V318)),V318&lt;=0,T318&lt;0,T318&gt;1,'Replacement plan'!$L$84&lt;=0,'Operating costs'!$B$44&lt;0,'Operating costs'!$B$44&gt;=1,'Operating costs'!$B$47&lt;=0,'Operating costs'!$B$47&gt;1,V318*'Operating costs'!$B$47/(1-'Operating costs'!$B$44)&lt;=T318*'Operating costs'!$B$12*U318,AND('Replacement plan'!$Z$84&gt;0,OR('Replacement plan'!$AB$84&lt;&gt;"Yes",'Operating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charging'!$C$8&gt;=0))),ISNUMBER(VLOOKUP($A318,'Fleet register'!$A$7:$S$106,15,FALSE)),ISNUMBER(VLOOKUP($A318,'Fleet register'!$A$7:$S$106,16,FALSE)),ISNUMBER('Replacement plan'!$W$84),ISNUMBER('Replacement plan'!$X$84),OR(E318=120,AND(ISNUMBER(G318),G318&gt;=0)),ISNUMBER(H318),H318&gt;=0,OR(D318&lt;&gt;"EV",E318=120,AND(ISNUMBER('Operating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average",ISNUMBER(IFERROR(INDEX(Products!$P$7:$P$13,MATCH(AD318,Products!$A$7:$A$13,0)),"")))),ISNUMBER('Operating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plan'!$Y$84),ISNUMBER('Replacement plan'!$Z$84),'Replacement plan'!$Z$84&gt;=0,ISNUMBER('Replacement plan'!$AA$84),'Replacement plan'!$AA$84&gt;=0,'Replacement plan'!$AA$84=INT('Replacement plan'!$AA$84),ISNUMBER('Replacement plan'!$L$84))),'Operating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plan'!$AG$84="",'Operating costs'!$B$7,'Replacement plan'!$AG$84)),IF('Replacement plan'!$AG$84="",'Operating costs'!$B$7,'Replacement plan'!$AG$84)&gt;=0,ISNUMBER(IF('Replacement plan'!$AH$84="",'Operating costs'!$B$7,'Replacement plan'!$AH$84)),IF('Replacement plan'!$AH$84="",'Operating costs'!$B$7,'Replacement plan'!$AH$84)&gt;=0,'Operating costs'!$B$8&gt;MAX(IF('Replacement plan'!$AG$84="",'Operating costs'!$B$7,'Replacement plan'!$AG$84),IF('Replacement plan'!$AH$84="",'Operating costs'!$B$7,'Replacement plan'!$AH$84))*'Operating costs'!$B$9),IF(AND(VLOOKUP($A318,'Fleet register'!$A$7:$S$106,10,FALSE)&gt;=0,VLOOKUP($A318,'Fleet register'!$A$7:$S$106,10,FALSE)&lt;=120,VLOOKUP($A318,'Fleet register'!$A$7:$S$106,10,FALSE)=INT(VLOOKUP($A318,'Fleet register'!$A$7:$S$106,10,FALSE)),VLOOKUP($A318,'Fleet register'!$A$7:$S$106,15,FALSE)&gt;=0,VLOOKUP($A318,'Fleet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costs'!$B$67)&gt;=0,OR(D318&lt;&gt;"EV",E318=120,AND(MIN('Operating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18" s="1" t="str">
        <f>IF(C318=0,"Excluded",IF(P318&lt;&gt;"Complete",P318,IF(OR('Replacement plan'!$AD$84&lt;120-E318,AND(D318="EV",E318&lt;120,OR('Replacement plan'!$AC$84&lt;120-E318,'Replacement plan'!$I$84="No",AND(ISNUMBER(AF318),AE318&gt;AF318),AI318&gt;V318*(1-'Operating costs'!$B$46)^MAX(0,AB318-1)*(1-'Operating costs'!$B$45),AC318&gt;'Operating costs'!$B$18,AND(T318&lt;1,OR(AG318&lt;=0,AND(ISNUMBER(AH318),AG318&gt;AH318))),'Replacement plan'!$L$84&gt;INDEX(Products!$H$7:$H$13,MATCH('Replacement plan'!$B$84,Products!$A$7:$A$13,0))))),"Fails entered limits",IF(AND(D318="EV",E318&lt;120,OR(NOT(ISNUMBER(VLOOKUP($A318,'Fleet register'!$A$7:$S$106,7,FALSE))),NOT(ISNUMBER(VLOOKUP($A318,'Fleet register'!$A$7:$S$106,8,FALSE))),NOT(ISNUMBER(AF318)),'Replacement plan'!$I$84&lt;&gt;"Yes",NOT(ISNUMBER(AH318)),'Operating costs'!$B$59&lt;&gt;"Yes",'Operating costs'!$B$58&lt;&gt;"Yes")),"Unverified","Within entered limits"))))</f>
        <v>Excluded</v>
      </c>
      <c r="R318" s="1">
        <f>IF(C318=0,0,VLOOKUP($A318,'Fleet register'!$A$7:$S$106,6,FALSE))</f>
        <v>0</v>
      </c>
      <c r="S318" s="1">
        <f>IF(C318=0,0,VLOOKUP($A318,'Fleet register'!$A$7:$S$106,5,FALSE))</f>
        <v>0</v>
      </c>
      <c r="T318" s="1">
        <f>IF(D318="EV",'Energy and charging'!$C$12,0)</f>
        <v>0</v>
      </c>
      <c r="U318" s="1">
        <f>IFERROR(IF(C318=0,0,IF(D318="EV",IF('Replacement plan'!$F$84="",INDEX(Products!$E$7:$E$13,MATCH('Replacement plan'!$B$84,Products!$A$7:$A$13,0)),'Replacement plan'!$F$84)/IF('Replacement plan'!$G$84="Battery",1-'Operating costs'!$B$44,1),0)),"n.a.")</f>
        <v>0</v>
      </c>
      <c r="V318" s="1">
        <f>IFERROR(IF(C318=0,0,IF(D318="EV",IF('Replacement plan'!$E$84="",INDEX(Products!$D$7:$D$13,MATCH('Replacement plan'!$B$84,Products!$A$7:$A$13,0)),'Replacement plan'!$E$84),0)),"n.a.")</f>
        <v>0</v>
      </c>
      <c r="W318" s="1">
        <f>IF(C318=0,0,IF(AND(P318="Complete",D318="EV",E318&lt;120),IF(T318=0,0,ROUNDUP(T318*(R318-'Operating costs'!$B$41)*(S318*U318+'Operating costs'!$B$48/(1-'Operating costs'!$B$44))/(V318*'Operating costs'!$B$47/(1-'Operating costs'!$B$44)-T318*'Operating costs'!$B$12*U318),0)),0))</f>
        <v>0</v>
      </c>
      <c r="X318" s="1">
        <f>IF(C318=0,0,IF(AND(P318="Complete",D318="EV",E318&lt;120),(R318-'Operating costs'!$B$41)*(S318*U318+'Operating costs'!$B$48/(1-'Operating costs'!$B$44))+W318*'Operating costs'!$B$12*U318,0))</f>
        <v>0</v>
      </c>
      <c r="Y318" s="1">
        <f>IF(AND(C318=1,D318="EV",E318&lt;120),AI318/(1-'Operating costs'!$B$44)*(1-T318),0)</f>
        <v>0</v>
      </c>
      <c r="Z318" s="1">
        <f t="shared" si="8"/>
        <v>0</v>
      </c>
      <c r="AA318" s="1">
        <f>IF(C318=0,0,IF(P318="Complete",((S318*(R318-'Operating costs'!$B$40))+ROUNDUP(S318*(R318-'Operating costs'!$B$40)*IF('Replacement plan'!$AH$84="",'Operating costs'!$B$7,'Replacement plan'!$AH$84)/('Operating costs'!$B$8-'Operating costs'!$B$9*IF('Replacement plan'!$AH$84="",'Operating costs'!$B$7,'Replacement plan'!$AH$84)),0)*'Operating costs'!$B$9)*IF('Replacement plan'!$AH$84="",'Operating costs'!$B$7,'Replacement plan'!$AH$84),"n.a."))</f>
        <v>0</v>
      </c>
      <c r="AB318" s="1">
        <f t="shared" si="9"/>
        <v>0</v>
      </c>
      <c r="AC318" s="1">
        <f>IF(AND(C318=1,D318="EV",E318&lt;120,T318&gt;0),'Operating costs'!$B$12/'Operating costs'!$B$11*60+'Operating costs'!$B$13+'Operating costs'!$B$14+V318*'Operating costs'!$B$47/(1-'Operating costs'!$B$44)/'Replacement plan'!$L$84*60,0)</f>
        <v>0</v>
      </c>
      <c r="AD318" s="1" t="str">
        <f>'Replacement plan'!$B$84</f>
        <v>ChengLong L2EV</v>
      </c>
      <c r="AE318" s="1">
        <f>IF(C318=0,0,VLOOKUP($A318,'Fleet register'!$A$7:$S$106,8,FALSE))</f>
        <v>0</v>
      </c>
      <c r="AF318" s="1" t="str">
        <f>IF('Replacement plan'!$H$84="","n.a.",'Replacement plan'!$H$84)</f>
        <v>n.a.</v>
      </c>
      <c r="AG318" s="1">
        <f>'Replacement plan'!$J$84</f>
        <v>22</v>
      </c>
      <c r="AH318" s="1">
        <f>IFERROR(IF(D318="EV",IF('Replacement plan'!$K$84="AC",IF(ISNUMBER(INDEX(Products!$G$7:$G$13,MATCH('Replacement plan'!$B$84,Products!$A$7:$A$13,0))),INDEX(Products!$G$7:$G$13,MATCH('Replacement plan'!$B$84,Products!$A$7:$A$13,0)),"n.a."),IF(ISNUMBER(INDEX(Products!$H$7:$H$13,MATCH('Replacement plan'!$B$84,Products!$A$7:$A$13,0))),INDEX(Products!$H$7:$H$13,MATCH('Replacement plan'!$B$84,Products!$A$7:$A$13,0)),"n.a.")),0),"n.a.")</f>
        <v>0</v>
      </c>
      <c r="AI318" s="1">
        <f>IF(AND(C318=1,D318="EV",E318&lt;120),(VLOOKUP($A318,'Fleet register'!$A$7:$S$106,7,FALSE)+IF(T318&gt;0,'Operating costs'!$B$12,0))*U318*(1-'Operating costs'!$B$44)+'Operating costs'!$B$49,0)</f>
        <v>0</v>
      </c>
      <c r="AJ318" s="1">
        <f>IF(D318="EV",'Energy and charging'!$C$50,0)</f>
        <v>0</v>
      </c>
      <c r="AK318" s="17">
        <f>EDATE('Operating costs'!$B$63,E318)</f>
        <v>46298</v>
      </c>
      <c r="AL318" s="1">
        <f>IFERROR(IF(D318="EV",INDEX(Products!$B$7:$B$13,MATCH('Replacement plan'!$B$84,Products!$A$7:$A$13,0)),0),"n.a.")</f>
        <v>0</v>
      </c>
      <c r="AM318" s="1" t="str">
        <f>'Replacement plan'!$K$84</f>
        <v>DC</v>
      </c>
      <c r="AN318" s="1" t="str">
        <f>'Replacement plan'!$AE$84</f>
        <v>Assumed</v>
      </c>
      <c r="AO318" s="47">
        <f>IF(AND(C318=1,D318="EV",E318&lt;120),(R318-'Operating costs'!$B$41)*S318+W318*'Operating costs'!$B$12,0)</f>
        <v>0</v>
      </c>
      <c r="AP318" s="41">
        <f>IF(AND(C318=1,D318="EV",E318&lt;120),IF('Operating costs'!$B$68="Hong Seh 200k average",AO318*IFERROR(INDEX(Products!$P$7:$P$13,MATCH(AD318,Products!$A$7:$A$13,0)),"n.a."),'Operating costs'!$B$26),0)</f>
        <v>0</v>
      </c>
      <c r="AQ318" s="40" t="str">
        <f>IF(D318="EV",'Operating costs'!$B$68,"Not applicable")</f>
        <v>Not applicable</v>
      </c>
    </row>
    <row r="319" spans="1:43" ht="24" customHeight="1">
      <c r="A319" s="1" t="str">
        <f>'Replacement plan'!A85</f>
        <v>T079</v>
      </c>
      <c r="B319" s="1">
        <v>0</v>
      </c>
      <c r="C319" s="1">
        <f>IF(COUNTIFS('Fleet register'!$A$7:$A$106,$A319)=1,VLOOKUP($A319,'Fleet register'!$A$7:$S$106,2,FALSE),0)</f>
        <v>0</v>
      </c>
      <c r="D319" s="1" t="str">
        <f>IF("Keep ICE"="EV","EV","ICE")</f>
        <v>ICE</v>
      </c>
      <c r="E319" s="1">
        <f>IF(C319=0,0,IF('Replacement plan'!$M$85="",VLOOKUP($A319,'Fleet register'!$A$7:$S$106,10,FALSE),'Replacement plan'!$M$85))</f>
        <v>0</v>
      </c>
      <c r="F319" s="16">
        <f>IF(C319=0,0,VLOOKUP($A319,'Fleet register'!$A$7:$S$106,11,FALSE))</f>
        <v>0</v>
      </c>
      <c r="G319" s="16">
        <f>IFERROR(IF(C319=0,0,IF(E319=120,0,IF(D319="ICE",'Replacement plan'!$C$85,IF('Replacement plan'!$D$85="",INDEX(Products!$I$7:$I$13,MATCH('Replacement plan'!$B$85,Products!$A$7:$A$13,0))+'Operating costs'!$B$57,'Replacement plan'!$D$85))*(1+'Operating costs'!$B$50)^(E319/12))),"n.a.")</f>
        <v>0</v>
      </c>
      <c r="H319" s="16">
        <f>IFERROR(IF(C319=0,0,IF(E319=0,F319,VLOOKUP($A319,'Fleet register'!$A$7:$S$106,12,FALSE)+VLOOKUP($A319,'Fleet register'!$A$7:$S$106,13,FALSE)*MAX(0,VLOOKUP($A319,'Fleet register'!$A$7:$S$106,10,FALSE)-E319)/VLOOKUP($A319,'Fleet register'!$A$7:$S$106,14,FALSE))),"n.a.")</f>
        <v>0</v>
      </c>
      <c r="I319" s="16">
        <f>IF(C319=0,0,IF(E319=120,0,'Replacement plan'!$N$85))</f>
        <v>0</v>
      </c>
      <c r="J319" s="16">
        <f>IF(C319=0,0,IF(P319="Complete",((S319*(R319-'Operating costs'!$B$39))+ROUNDUP(S319*(R319-'Operating costs'!$B$39)*IF('Replacement plan'!$AG$85="",'Operating costs'!$B$7,'Replacement plan'!$AG$85)/('Operating costs'!$B$8-'Operating costs'!$B$9*IF('Replacement plan'!$AG$85="",'Operating costs'!$B$7,'Replacement plan'!$AG$85)),0)*'Operating costs'!$B$9)*IF('Replacement plan'!$AG$85="",'Operating costs'!$B$7,'Replacement plan'!$AG$85)*('Energy and charging'!$B$9*'Energy and charging'!$B$7+(1-'Energy and charging'!$B$9)*'Energy and charging'!$B$8)*'Operating costs'!$B$23,"n.a."))</f>
        <v>0</v>
      </c>
      <c r="K319" s="16">
        <f>IF(C319=0,0,IF(P319="Complete",SUM('Operating costs'!$B$24,'Operating costs'!$B$27,'Operating costs'!$B$29,'Operating costs'!$B$31,'Operating costs'!$B$33,'Operating costs'!$B$34,'Operating costs'!$B$37,'Replacement plan'!$W$85)+'Operating costs'!$B$39*'Operating costs'!$B$42+ROUNDUP(S319*(R319-'Operating costs'!$B$39)*IF('Replacement plan'!$AG$85="",'Operating costs'!$B$7,'Replacement plan'!$AG$85)/('Operating costs'!$B$8-'Operating costs'!$B$9*IF('Replacement plan'!$AG$85="",'Operating costs'!$B$7,'Replacement plan'!$AG$85)),0)*('Operating costs'!$B$9/'Operating costs'!$B$11+'Operating costs'!$B$10/60)*'Operating costs'!$B$19*'Operating costs'!$B$21,"n.a."))</f>
        <v>0</v>
      </c>
      <c r="L319" s="16">
        <f>IF(C319=0,0,IF(P319="Complete",IF(D319="EV",X319*((1-T319)*'Energy and charging'!$B$10+T319*'Energy and charging'!$B$11)*'Operating costs'!$B$22,AA319*('Energy and charging'!$B$9*'Energy and charging'!$B$7+(1-'Energy and charging'!$B$9)*'Energy and charging'!$B$8)*'Operating costs'!$B$23),"n.a."))</f>
        <v>0</v>
      </c>
      <c r="M319" s="37">
        <f>IF(C319=0,0,IF(P319="Complete",IF(D319="ICE",SUM('Operating costs'!$B$25,'Operating costs'!$B$27,'Operating costs'!$B$29,'Operating costs'!$B$31,'Operating costs'!$B$33,'Operating costs'!$B$35,'Operating costs'!$B$37,'Replacement plan'!$X$85)+'Operating costs'!$B$40*'Operating costs'!$B$42+ROUNDUP(S319*(R319-'Operating costs'!$B$40)*IF('Replacement plan'!$AH$85="",'Operating costs'!$B$7,'Replacement plan'!$AH$85)/('Operating costs'!$B$8-'Operating costs'!$B$9*IF('Replacement plan'!$AH$85="",'Operating costs'!$B$7,'Replacement plan'!$AH$85)),0)*('Operating costs'!$B$9/'Operating costs'!$B$11+'Operating costs'!$B$10/60)*'Operating costs'!$B$19*'Operating costs'!$B$21,SUM(AP319,'Operating costs'!$B$28,'Operating costs'!$B$30,'Operating costs'!$B$32,'Operating costs'!$B$33,'Operating costs'!$B$36,'Operating costs'!$B$38,'Replacement plan'!$Y$85)+'Operating costs'!$B$41*'Operating costs'!$B$43+W319*'Operating costs'!$B$15+(T319*X319/'Replacement plan'!$L$85+W319*('Operating costs'!$B$12/'Operating costs'!$B$11+('Operating costs'!$B$13+'Operating costs'!$B$14)/60)+(R319-'Operating costs'!$B$41)*(IF(T319&lt;1,'Operating costs'!$B$16,0)+'Operating costs'!$B$17)/60)*'Operating costs'!$B$19*'Operating costs'!$B$20),"n.a."))</f>
        <v>0</v>
      </c>
      <c r="N319" s="16">
        <f>IF(AND(C319=1,D319="EV",E319&lt;120,E319+'Replacement plan'!$AA$85&lt;=120),'Replacement plan'!$Z$85,0)</f>
        <v>0</v>
      </c>
      <c r="O319" s="1">
        <f>E319+'Replacement plan'!$AA$85</f>
        <v>0</v>
      </c>
      <c r="P319" s="35" t="str">
        <f>IFERROR(IF(C319=0,"Excluded",IF(OR(COUNTIFS('Fleet register'!$A$7:$A$106,A319)&lt;&gt;1,COUNTIFS('Replacement plan'!$A$7:$A$106,A319)&lt;&gt;1),"Duplicate/missing ID",IF(NOT(AND(ISNUMBER(VLOOKUP($A319,'Fleet register'!$A$7:$S$106,5,FALSE)),ISNUMBER(VLOOKUP($A319,'Fleet register'!$A$7:$S$106,6,FALSE)),ISNUMBER(VLOOKUP($A319,'Fleet register'!$A$7:$S$106,10,FALSE)),ISNUMBER(VLOOKUP($A319,'Fleet register'!$A$7:$S$106,11,FALSE)),ISNUMBER(VLOOKUP($A319,'Fleet register'!$A$7:$S$106,12,FALSE)),ISNUMBER(VLOOKUP($A319,'Fleet register'!$A$7:$S$106,13,FALSE)),ISNUMBER(VLOOKUP($A319,'Fleet register'!$A$7:$S$106,14,FALSE)),VLOOKUP($A319,'Fleet register'!$A$7:$S$106,14,FALSE)&gt;0,ISNUMBER('Replacement plan'!$C$85),OR(E319=120,ISNUMBER('Replacement plan'!$N$85)),ISNUMBER(E319))),"Missing vehicle input",IF(OR(E319&lt;0,E319&gt;VLOOKUP($A319,'Fleet register'!$A$7:$S$106,10,FALSE),E319&gt;120,E319&lt;&gt;INT(E319),VLOOKUP($A319,'Fleet register'!$A$7:$S$106,6,FALSE)&lt;=0,VLOOKUP($A319,'Fleet register'!$A$7:$S$106,6,FALSE)&gt;366,VLOOKUP($A319,'Fleet register'!$A$7:$S$106,5,FALSE)&lt;0,VLOOKUP($A319,'Fleet register'!$A$7:$S$106,11,FALSE)&lt;0,I319&lt;0,'Operating costs'!$B$8&lt;='Operating costs'!$B$7*'Operating costs'!$B$9,'Operating costs'!$B$11&lt;=0,'Operating costs'!$B$39&gt;R319,'Operating costs'!$B$40&gt;R319,'Operating costs'!$B$41&gt;R319,NOT(OR("Keep ICE"="Keep ICE","Keep ICE"="New ICE","Keep ICE"="EV"))),"Invalid vehicle input",IF(AND(D319="EV",E319&lt;120,OR(NOT(ISNUMBER(U319)),NOT(ISNUMBER(V319)),V319&lt;=0,T319&lt;0,T319&gt;1,'Replacement plan'!$L$85&lt;=0,'Operating costs'!$B$44&lt;0,'Operating costs'!$B$44&gt;=1,'Operating costs'!$B$47&lt;=0,'Operating costs'!$B$47&gt;1,V319*'Operating costs'!$B$47/(1-'Operating costs'!$B$44)&lt;=T319*'Operating costs'!$B$12*U319,AND('Replacement plan'!$Z$85&gt;0,OR('Replacement plan'!$AB$85&lt;&gt;"Yes",'Operating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charging'!$B$8&gt;=0))),ISNUMBER(VLOOKUP($A319,'Fleet register'!$A$7:$S$106,15,FALSE)),ISNUMBER(VLOOKUP($A319,'Fleet register'!$A$7:$S$106,16,FALSE)),ISNUMBER('Replacement plan'!$W$85),ISNUMBER('Replacement plan'!$X$85),OR(E319=120,AND(ISNUMBER(G319),G319&gt;=0)),ISNUMBER(H319),H319&gt;=0,OR(D319&lt;&gt;"EV",E319=120,AND(ISNUMBER('Operating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average",ISNUMBER(IFERROR(INDEX(Products!$P$7:$P$13,MATCH(AD319,Products!$A$7:$A$13,0)),"")))),ISNUMBER('Operating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plan'!$Y$85),ISNUMBER('Replacement plan'!$Z$85),'Replacement plan'!$Z$85&gt;=0,ISNUMBER('Replacement plan'!$AA$85),'Replacement plan'!$AA$85&gt;=0,'Replacement plan'!$AA$85=INT('Replacement plan'!$AA$85),ISNUMBER('Replacement plan'!$L$85))),'Operating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plan'!$AG$85="",'Operating costs'!$B$7,'Replacement plan'!$AG$85)),IF('Replacement plan'!$AG$85="",'Operating costs'!$B$7,'Replacement plan'!$AG$85)&gt;=0,ISNUMBER(IF('Replacement plan'!$AH$85="",'Operating costs'!$B$7,'Replacement plan'!$AH$85)),IF('Replacement plan'!$AH$85="",'Operating costs'!$B$7,'Replacement plan'!$AH$85)&gt;=0,'Operating costs'!$B$8&gt;MAX(IF('Replacement plan'!$AG$85="",'Operating costs'!$B$7,'Replacement plan'!$AG$85),IF('Replacement plan'!$AH$85="",'Operating costs'!$B$7,'Replacement plan'!$AH$85))*'Operating costs'!$B$9),IF(AND(VLOOKUP($A319,'Fleet register'!$A$7:$S$106,10,FALSE)&gt;=0,VLOOKUP($A319,'Fleet register'!$A$7:$S$106,10,FALSE)&lt;=120,VLOOKUP($A319,'Fleet register'!$A$7:$S$106,10,FALSE)=INT(VLOOKUP($A319,'Fleet register'!$A$7:$S$106,10,FALSE)),VLOOKUP($A319,'Fleet register'!$A$7:$S$106,15,FALSE)&gt;=0,VLOOKUP($A319,'Fleet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costs'!$B$67)&gt;=0,OR(D319&lt;&gt;"EV",E319=120,AND(MIN('Operating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19" s="1" t="str">
        <f>IF(C319=0,"Excluded",IF(P319&lt;&gt;"Complete",P319,IF(OR('Replacement plan'!$AD$85&lt;120-E319,AND(D319="EV",E319&lt;120,OR('Replacement plan'!$AC$85&lt;120-E319,'Replacement plan'!$I$85="No",AND(ISNUMBER(AF319),AE319&gt;AF319),AI319&gt;V319*(1-'Operating costs'!$B$46)^MAX(0,AB319-1)*(1-'Operating costs'!$B$45),AC319&gt;'Operating costs'!$B$18,AND(T319&lt;1,OR(AG319&lt;=0,AND(ISNUMBER(AH319),AG319&gt;AH319))),'Replacement plan'!$L$85&gt;INDEX(Products!$H$7:$H$13,MATCH('Replacement plan'!$B$85,Products!$A$7:$A$13,0))))),"Fails entered limits",IF(AND(D319="EV",E319&lt;120,OR(NOT(ISNUMBER(VLOOKUP($A319,'Fleet register'!$A$7:$S$106,7,FALSE))),NOT(ISNUMBER(VLOOKUP($A319,'Fleet register'!$A$7:$S$106,8,FALSE))),NOT(ISNUMBER(AF319)),'Replacement plan'!$I$85&lt;&gt;"Yes",NOT(ISNUMBER(AH319)),'Operating costs'!$B$59&lt;&gt;"Yes",'Operating costs'!$B$58&lt;&gt;"Yes")),"Unverified","Within entered limits"))))</f>
        <v>Excluded</v>
      </c>
      <c r="R319" s="1">
        <f>IF(C319=0,0,VLOOKUP($A319,'Fleet register'!$A$7:$S$106,6,FALSE))</f>
        <v>0</v>
      </c>
      <c r="S319" s="1">
        <f>IF(C319=0,0,VLOOKUP($A319,'Fleet register'!$A$7:$S$106,5,FALSE))</f>
        <v>0</v>
      </c>
      <c r="T319" s="1">
        <f>IF(D319="EV",'Energy and charging'!$B$12,0)</f>
        <v>0</v>
      </c>
      <c r="U319" s="1">
        <f>IFERROR(IF(C319=0,0,IF(D319="EV",IF('Replacement plan'!$F$85="",INDEX(Products!$E$7:$E$13,MATCH('Replacement plan'!$B$85,Products!$A$7:$A$13,0)),'Replacement plan'!$F$85)/IF('Replacement plan'!$G$85="Battery",1-'Operating costs'!$B$44,1),0)),"n.a.")</f>
        <v>0</v>
      </c>
      <c r="V319" s="1">
        <f>IFERROR(IF(C319=0,0,IF(D319="EV",IF('Replacement plan'!$E$85="",INDEX(Products!$D$7:$D$13,MATCH('Replacement plan'!$B$85,Products!$A$7:$A$13,0)),'Replacement plan'!$E$85),0)),"n.a.")</f>
        <v>0</v>
      </c>
      <c r="W319" s="1">
        <f>IF(C319=0,0,IF(AND(P319="Complete",D319="EV",E319&lt;120),IF(T319=0,0,ROUNDUP(T319*(R319-'Operating costs'!$B$41)*(S319*U319+'Operating costs'!$B$48/(1-'Operating costs'!$B$44))/(V319*'Operating costs'!$B$47/(1-'Operating costs'!$B$44)-T319*'Operating costs'!$B$12*U319),0)),0))</f>
        <v>0</v>
      </c>
      <c r="X319" s="1">
        <f>IF(C319=0,0,IF(AND(P319="Complete",D319="EV",E319&lt;120),(R319-'Operating costs'!$B$41)*(S319*U319+'Operating costs'!$B$48/(1-'Operating costs'!$B$44))+W319*'Operating costs'!$B$12*U319,0))</f>
        <v>0</v>
      </c>
      <c r="Y319" s="1">
        <f>IF(AND(C319=1,D319="EV",E319&lt;120),AI319/(1-'Operating costs'!$B$44)*(1-T319),0)</f>
        <v>0</v>
      </c>
      <c r="Z319" s="1">
        <f t="shared" si="8"/>
        <v>0</v>
      </c>
      <c r="AA319" s="1">
        <f>IF(C319=0,0,IF(P319="Complete",((S319*(R319-'Operating costs'!$B$40))+ROUNDUP(S319*(R319-'Operating costs'!$B$40)*IF('Replacement plan'!$AH$85="",'Operating costs'!$B$7,'Replacement plan'!$AH$85)/('Operating costs'!$B$8-'Operating costs'!$B$9*IF('Replacement plan'!$AH$85="",'Operating costs'!$B$7,'Replacement plan'!$AH$85)),0)*'Operating costs'!$B$9)*IF('Replacement plan'!$AH$85="",'Operating costs'!$B$7,'Replacement plan'!$AH$85),"n.a."))</f>
        <v>0</v>
      </c>
      <c r="AB319" s="1">
        <f t="shared" si="9"/>
        <v>0</v>
      </c>
      <c r="AC319" s="1">
        <f>IF(AND(C319=1,D319="EV",E319&lt;120,T319&gt;0),'Operating costs'!$B$12/'Operating costs'!$B$11*60+'Operating costs'!$B$13+'Operating costs'!$B$14+V319*'Operating costs'!$B$47/(1-'Operating costs'!$B$44)/'Replacement plan'!$L$85*60,0)</f>
        <v>0</v>
      </c>
      <c r="AD319" s="1" t="str">
        <f>'Replacement plan'!$B$85</f>
        <v>ChengLong L2EV</v>
      </c>
      <c r="AE319" s="1">
        <f>IF(C319=0,0,VLOOKUP($A319,'Fleet register'!$A$7:$S$106,8,FALSE))</f>
        <v>0</v>
      </c>
      <c r="AF319" s="1" t="str">
        <f>IF('Replacement plan'!$H$85="","n.a.",'Replacement plan'!$H$85)</f>
        <v>n.a.</v>
      </c>
      <c r="AG319" s="1">
        <f>'Replacement plan'!$J$85</f>
        <v>22</v>
      </c>
      <c r="AH319" s="1">
        <f>IFERROR(IF(D319="EV",IF('Replacement plan'!$K$85="AC",IF(ISNUMBER(INDEX(Products!$G$7:$G$13,MATCH('Replacement plan'!$B$85,Products!$A$7:$A$13,0))),INDEX(Products!$G$7:$G$13,MATCH('Replacement plan'!$B$85,Products!$A$7:$A$13,0)),"n.a."),IF(ISNUMBER(INDEX(Products!$H$7:$H$13,MATCH('Replacement plan'!$B$85,Products!$A$7:$A$13,0))),INDEX(Products!$H$7:$H$13,MATCH('Replacement plan'!$B$85,Products!$A$7:$A$13,0)),"n.a.")),0),"n.a.")</f>
        <v>0</v>
      </c>
      <c r="AI319" s="1">
        <f>IF(AND(C319=1,D319="EV",E319&lt;120),(VLOOKUP($A319,'Fleet register'!$A$7:$S$106,7,FALSE)+IF(T319&gt;0,'Operating costs'!$B$12,0))*U319*(1-'Operating costs'!$B$44)+'Operating costs'!$B$49,0)</f>
        <v>0</v>
      </c>
      <c r="AJ319" s="1">
        <f>IF(D319="EV",'Energy and charging'!$B$50,0)</f>
        <v>0</v>
      </c>
      <c r="AK319" s="17">
        <f>EDATE('Operating costs'!$B$63,E319)</f>
        <v>46298</v>
      </c>
      <c r="AL319" s="1">
        <f>IFERROR(IF(D319="EV",INDEX(Products!$B$7:$B$13,MATCH('Replacement plan'!$B$85,Products!$A$7:$A$13,0)),0),"n.a.")</f>
        <v>0</v>
      </c>
      <c r="AM319" s="1" t="str">
        <f>'Replacement plan'!$K$85</f>
        <v>DC</v>
      </c>
      <c r="AN319" s="1" t="str">
        <f>'Replacement plan'!$AE$85</f>
        <v>Assumed</v>
      </c>
      <c r="AO319" s="47">
        <f>IF(AND(C319=1,D319="EV",E319&lt;120),(R319-'Operating costs'!$B$41)*S319+W319*'Operating costs'!$B$12,0)</f>
        <v>0</v>
      </c>
      <c r="AP319" s="41">
        <f>IF(AND(C319=1,D319="EV",E319&lt;120),IF('Operating costs'!$B$68="Hong Seh 200k average",AO319*IFERROR(INDEX(Products!$P$7:$P$13,MATCH(AD319,Products!$A$7:$A$13,0)),"n.a."),'Operating costs'!$B$26),0)</f>
        <v>0</v>
      </c>
      <c r="AQ319" s="40" t="str">
        <f>IF(D319="EV",'Operating costs'!$B$68,"Not applicable")</f>
        <v>Not applicable</v>
      </c>
    </row>
    <row r="320" spans="1:43" ht="24" customHeight="1">
      <c r="A320" s="1" t="str">
        <f>'Replacement plan'!A85</f>
        <v>T079</v>
      </c>
      <c r="B320" s="1">
        <v>1</v>
      </c>
      <c r="C320" s="1">
        <f>IF(COUNTIFS('Fleet register'!$A$7:$A$106,$A320)=1,VLOOKUP($A320,'Fleet register'!$A$7:$S$106,2,FALSE),0)</f>
        <v>0</v>
      </c>
      <c r="D320" s="1" t="str">
        <f>IF("New ICE"="EV","EV","ICE")</f>
        <v>ICE</v>
      </c>
      <c r="E320" s="1">
        <f>IF(C320=0,0,0)</f>
        <v>0</v>
      </c>
      <c r="F320" s="16">
        <f>IF(C320=0,0,VLOOKUP($A320,'Fleet register'!$A$7:$S$106,11,FALSE))</f>
        <v>0</v>
      </c>
      <c r="G320" s="16">
        <f>IFERROR(IF(C320=0,0,IF(E320=120,0,IF(D320="ICE",'Replacement plan'!$C$85,IF('Replacement plan'!$D$85="",INDEX(Products!$I$7:$I$13,MATCH('Replacement plan'!$B$85,Products!$A$7:$A$13,0))+'Operating costs'!$B$57,'Replacement plan'!$D$85))*(1+'Operating costs'!$B$50)^(E320/12))),"n.a.")</f>
        <v>0</v>
      </c>
      <c r="H320" s="16">
        <f>IFERROR(IF(C320=0,0,IF(E320=0,F320,VLOOKUP($A320,'Fleet register'!$A$7:$S$106,12,FALSE)+VLOOKUP($A320,'Fleet register'!$A$7:$S$106,13,FALSE)*MAX(0,VLOOKUP($A320,'Fleet register'!$A$7:$S$106,10,FALSE)-E320)/VLOOKUP($A320,'Fleet register'!$A$7:$S$106,14,FALSE))),"n.a.")</f>
        <v>0</v>
      </c>
      <c r="I320" s="16">
        <f>IF(C320=0,0,IF(E320=120,0,IF('Replacement plan'!$AI$85="",'Operating costs'!$B$56,'Replacement plan'!$AI$85)))</f>
        <v>0</v>
      </c>
      <c r="J320" s="16">
        <f>IF(C320=0,0,IF(P320="Complete",((S320*(R320-'Operating costs'!$B$39))+ROUNDUP(S320*(R320-'Operating costs'!$B$39)*IF('Replacement plan'!$AG$85="",'Operating costs'!$B$7,'Replacement plan'!$AG$85)/('Operating costs'!$B$8-'Operating costs'!$B$9*IF('Replacement plan'!$AG$85="",'Operating costs'!$B$7,'Replacement plan'!$AG$85)),0)*'Operating costs'!$B$9)*IF('Replacement plan'!$AG$85="",'Operating costs'!$B$7,'Replacement plan'!$AG$85)*('Energy and charging'!$B$9*'Energy and charging'!$B$7+(1-'Energy and charging'!$B$9)*'Energy and charging'!$B$8)*'Operating costs'!$B$23,"n.a."))</f>
        <v>0</v>
      </c>
      <c r="K320" s="16">
        <f>IF(C320=0,0,IF(P320="Complete",SUM('Operating costs'!$B$24,'Operating costs'!$B$27,'Operating costs'!$B$29,'Operating costs'!$B$31,'Operating costs'!$B$33,'Operating costs'!$B$34,'Operating costs'!$B$37,'Replacement plan'!$W$85)+'Operating costs'!$B$39*'Operating costs'!$B$42+ROUNDUP(S320*(R320-'Operating costs'!$B$39)*IF('Replacement plan'!$AG$85="",'Operating costs'!$B$7,'Replacement plan'!$AG$85)/('Operating costs'!$B$8-'Operating costs'!$B$9*IF('Replacement plan'!$AG$85="",'Operating costs'!$B$7,'Replacement plan'!$AG$85)),0)*('Operating costs'!$B$9/'Operating costs'!$B$11+'Operating costs'!$B$10/60)*'Operating costs'!$B$19*'Operating costs'!$B$21,"n.a."))</f>
        <v>0</v>
      </c>
      <c r="L320" s="16">
        <f>IF(C320=0,0,IF(P320="Complete",IF(D320="EV",X320*((1-T320)*'Energy and charging'!$B$10+T320*'Energy and charging'!$B$11)*'Operating costs'!$B$22,AA320*('Energy and charging'!$B$9*'Energy and charging'!$B$7+(1-'Energy and charging'!$B$9)*'Energy and charging'!$B$8)*'Operating costs'!$B$23),"n.a."))</f>
        <v>0</v>
      </c>
      <c r="M320" s="37">
        <f>IF(C320=0,0,IF(P320="Complete",IF(D320="ICE",SUM('Operating costs'!$B$25,'Operating costs'!$B$27,'Operating costs'!$B$29,'Operating costs'!$B$31,'Operating costs'!$B$33,'Operating costs'!$B$35,'Operating costs'!$B$37,'Replacement plan'!$X$85)+'Operating costs'!$B$40*'Operating costs'!$B$42+ROUNDUP(S320*(R320-'Operating costs'!$B$40)*IF('Replacement plan'!$AH$85="",'Operating costs'!$B$7,'Replacement plan'!$AH$85)/('Operating costs'!$B$8-'Operating costs'!$B$9*IF('Replacement plan'!$AH$85="",'Operating costs'!$B$7,'Replacement plan'!$AH$85)),0)*('Operating costs'!$B$9/'Operating costs'!$B$11+'Operating costs'!$B$10/60)*'Operating costs'!$B$19*'Operating costs'!$B$21,SUM(AP320,'Operating costs'!$B$28,'Operating costs'!$B$30,'Operating costs'!$B$32,'Operating costs'!$B$33,'Operating costs'!$B$36,'Operating costs'!$B$38,'Replacement plan'!$Y$85)+'Operating costs'!$B$41*'Operating costs'!$B$43+W320*'Operating costs'!$B$15+(T320*X320/'Replacement plan'!$L$85+W320*('Operating costs'!$B$12/'Operating costs'!$B$11+('Operating costs'!$B$13+'Operating costs'!$B$14)/60)+(R320-'Operating costs'!$B$41)*(IF(T320&lt;1,'Operating costs'!$B$16,0)+'Operating costs'!$B$17)/60)*'Operating costs'!$B$19*'Operating costs'!$B$20),"n.a."))</f>
        <v>0</v>
      </c>
      <c r="N320" s="16">
        <f>IF(AND(C320=1,D320="EV",E320&lt;120,E320+'Replacement plan'!$AA$85&lt;=120),'Replacement plan'!$Z$85,0)</f>
        <v>0</v>
      </c>
      <c r="O320" s="1">
        <f>E320+'Replacement plan'!$AA$85</f>
        <v>0</v>
      </c>
      <c r="P320" s="35" t="str">
        <f>IFERROR(IF(C320=0,"Excluded",IF(OR(COUNTIFS('Fleet register'!$A$7:$A$106,A320)&lt;&gt;1,COUNTIFS('Replacement plan'!$A$7:$A$106,A320)&lt;&gt;1),"Duplicate/missing ID",IF(NOT(AND(ISNUMBER(VLOOKUP($A320,'Fleet register'!$A$7:$S$106,5,FALSE)),ISNUMBER(VLOOKUP($A320,'Fleet register'!$A$7:$S$106,6,FALSE)),ISNUMBER(VLOOKUP($A320,'Fleet register'!$A$7:$S$106,10,FALSE)),ISNUMBER(VLOOKUP($A320,'Fleet register'!$A$7:$S$106,11,FALSE)),ISNUMBER(VLOOKUP($A320,'Fleet register'!$A$7:$S$106,12,FALSE)),ISNUMBER(VLOOKUP($A320,'Fleet register'!$A$7:$S$106,13,FALSE)),ISNUMBER(VLOOKUP($A320,'Fleet register'!$A$7:$S$106,14,FALSE)),VLOOKUP($A320,'Fleet register'!$A$7:$S$106,14,FALSE)&gt;0,ISNUMBER('Replacement plan'!$C$85),OR(E320=120,OR(ISNUMBER('Replacement plan'!$AI$85),AND('Replacement plan'!$AI$85="",ISNUMBER('Operating costs'!$B$56)))),ISNUMBER(E320))),"Missing vehicle input",IF(OR(E320&lt;0,E320&gt;VLOOKUP($A320,'Fleet register'!$A$7:$S$106,10,FALSE),E320&gt;120,E320&lt;&gt;INT(E320),VLOOKUP($A320,'Fleet register'!$A$7:$S$106,6,FALSE)&lt;=0,VLOOKUP($A320,'Fleet register'!$A$7:$S$106,6,FALSE)&gt;366,VLOOKUP($A320,'Fleet register'!$A$7:$S$106,5,FALSE)&lt;0,VLOOKUP($A320,'Fleet register'!$A$7:$S$106,11,FALSE)&lt;0,I320&lt;0,'Operating costs'!$B$8&lt;='Operating costs'!$B$7*'Operating costs'!$B$9,'Operating costs'!$B$11&lt;=0,'Operating costs'!$B$39&gt;R320,'Operating costs'!$B$40&gt;R320,'Operating costs'!$B$41&gt;R320,NOT(OR("New ICE"="Keep ICE","New ICE"="New ICE","New ICE"="EV"))),"Invalid vehicle input",IF(AND(D320="EV",E320&lt;120,OR(NOT(ISNUMBER(U320)),NOT(ISNUMBER(V320)),V320&lt;=0,T320&lt;0,T320&gt;1,'Replacement plan'!$L$85&lt;=0,'Operating costs'!$B$44&lt;0,'Operating costs'!$B$44&gt;=1,'Operating costs'!$B$47&lt;=0,'Operating costs'!$B$47&gt;1,V320*'Operating costs'!$B$47/(1-'Operating costs'!$B$44)&lt;=T320*'Operating costs'!$B$12*U320,AND('Replacement plan'!$Z$85&gt;0,OR('Replacement plan'!$AB$85&lt;&gt;"Yes",'Operating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charging'!$B$8&gt;=0))),ISNUMBER(VLOOKUP($A320,'Fleet register'!$A$7:$S$106,15,FALSE)),ISNUMBER(VLOOKUP($A320,'Fleet register'!$A$7:$S$106,16,FALSE)),ISNUMBER('Replacement plan'!$W$85),ISNUMBER('Replacement plan'!$X$85),OR(E320=120,AND(ISNUMBER(G320),G320&gt;=0)),ISNUMBER(H320),H320&gt;=0,OR(D320&lt;&gt;"EV",E320=120,AND(ISNUMBER('Operating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average",ISNUMBER(IFERROR(INDEX(Products!$P$7:$P$13,MATCH(AD320,Products!$A$7:$A$13,0)),"")))),ISNUMBER('Operating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plan'!$Y$85),ISNUMBER('Replacement plan'!$Z$85),'Replacement plan'!$Z$85&gt;=0,ISNUMBER('Replacement plan'!$AA$85),'Replacement plan'!$AA$85&gt;=0,'Replacement plan'!$AA$85=INT('Replacement plan'!$AA$85),ISNUMBER('Replacement plan'!$L$85))),'Operating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plan'!$AG$85="",'Operating costs'!$B$7,'Replacement plan'!$AG$85)),IF('Replacement plan'!$AG$85="",'Operating costs'!$B$7,'Replacement plan'!$AG$85)&gt;=0,ISNUMBER(IF('Replacement plan'!$AH$85="",'Operating costs'!$B$7,'Replacement plan'!$AH$85)),IF('Replacement plan'!$AH$85="",'Operating costs'!$B$7,'Replacement plan'!$AH$85)&gt;=0,'Operating costs'!$B$8&gt;MAX(IF('Replacement plan'!$AG$85="",'Operating costs'!$B$7,'Replacement plan'!$AG$85),IF('Replacement plan'!$AH$85="",'Operating costs'!$B$7,'Replacement plan'!$AH$85))*'Operating costs'!$B$9),IF(AND(VLOOKUP($A320,'Fleet register'!$A$7:$S$106,10,FALSE)&gt;=0,VLOOKUP($A320,'Fleet register'!$A$7:$S$106,10,FALSE)&lt;=120,VLOOKUP($A320,'Fleet register'!$A$7:$S$106,10,FALSE)=INT(VLOOKUP($A320,'Fleet register'!$A$7:$S$106,10,FALSE)),VLOOKUP($A320,'Fleet register'!$A$7:$S$106,15,FALSE)&gt;=0,VLOOKUP($A320,'Fleet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costs'!$B$67)&gt;=0,OR(D320&lt;&gt;"EV",E320=120,AND(MIN('Operating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20" s="1" t="str">
        <f>IF(C320=0,"Excluded",IF(P320&lt;&gt;"Complete",P320,IF(OR('Replacement plan'!$AD$85&lt;120-E320,AND(D320="EV",E320&lt;120,OR('Replacement plan'!$AC$85&lt;120-E320,'Replacement plan'!$I$85="No",AND(ISNUMBER(AF320),AE320&gt;AF320),AI320&gt;V320*(1-'Operating costs'!$B$46)^MAX(0,AB320-1)*(1-'Operating costs'!$B$45),AC320&gt;'Operating costs'!$B$18,AND(T320&lt;1,OR(AG320&lt;=0,AND(ISNUMBER(AH320),AG320&gt;AH320))),'Replacement plan'!$L$85&gt;INDEX(Products!$H$7:$H$13,MATCH('Replacement plan'!$B$85,Products!$A$7:$A$13,0))))),"Fails entered limits",IF(AND(D320="EV",E320&lt;120,OR(NOT(ISNUMBER(VLOOKUP($A320,'Fleet register'!$A$7:$S$106,7,FALSE))),NOT(ISNUMBER(VLOOKUP($A320,'Fleet register'!$A$7:$S$106,8,FALSE))),NOT(ISNUMBER(AF320)),'Replacement plan'!$I$85&lt;&gt;"Yes",NOT(ISNUMBER(AH320)),'Operating costs'!$B$59&lt;&gt;"Yes",'Operating costs'!$B$58&lt;&gt;"Yes")),"Unverified","Within entered limits"))))</f>
        <v>Excluded</v>
      </c>
      <c r="R320" s="1">
        <f>IF(C320=0,0,VLOOKUP($A320,'Fleet register'!$A$7:$S$106,6,FALSE))</f>
        <v>0</v>
      </c>
      <c r="S320" s="1">
        <f>IF(C320=0,0,VLOOKUP($A320,'Fleet register'!$A$7:$S$106,5,FALSE))</f>
        <v>0</v>
      </c>
      <c r="T320" s="1">
        <f>IF(D320="EV",'Energy and charging'!$B$12,0)</f>
        <v>0</v>
      </c>
      <c r="U320" s="1">
        <f>IFERROR(IF(C320=0,0,IF(D320="EV",IF('Replacement plan'!$F$85="",INDEX(Products!$E$7:$E$13,MATCH('Replacement plan'!$B$85,Products!$A$7:$A$13,0)),'Replacement plan'!$F$85)/IF('Replacement plan'!$G$85="Battery",1-'Operating costs'!$B$44,1),0)),"n.a.")</f>
        <v>0</v>
      </c>
      <c r="V320" s="1">
        <f>IFERROR(IF(C320=0,0,IF(D320="EV",IF('Replacement plan'!$E$85="",INDEX(Products!$D$7:$D$13,MATCH('Replacement plan'!$B$85,Products!$A$7:$A$13,0)),'Replacement plan'!$E$85),0)),"n.a.")</f>
        <v>0</v>
      </c>
      <c r="W320" s="1">
        <f>IF(C320=0,0,IF(AND(P320="Complete",D320="EV",E320&lt;120),IF(T320=0,0,ROUNDUP(T320*(R320-'Operating costs'!$B$41)*(S320*U320+'Operating costs'!$B$48/(1-'Operating costs'!$B$44))/(V320*'Operating costs'!$B$47/(1-'Operating costs'!$B$44)-T320*'Operating costs'!$B$12*U320),0)),0))</f>
        <v>0</v>
      </c>
      <c r="X320" s="1">
        <f>IF(C320=0,0,IF(AND(P320="Complete",D320="EV",E320&lt;120),(R320-'Operating costs'!$B$41)*(S320*U320+'Operating costs'!$B$48/(1-'Operating costs'!$B$44))+W320*'Operating costs'!$B$12*U320,0))</f>
        <v>0</v>
      </c>
      <c r="Y320" s="1">
        <f>IF(AND(C320=1,D320="EV",E320&lt;120),AI320/(1-'Operating costs'!$B$44)*(1-T320),0)</f>
        <v>0</v>
      </c>
      <c r="Z320" s="1">
        <f t="shared" si="8"/>
        <v>0</v>
      </c>
      <c r="AA320" s="1">
        <f>IF(C320=0,0,IF(P320="Complete",((S320*(R320-'Operating costs'!$B$40))+ROUNDUP(S320*(R320-'Operating costs'!$B$40)*IF('Replacement plan'!$AH$85="",'Operating costs'!$B$7,'Replacement plan'!$AH$85)/('Operating costs'!$B$8-'Operating costs'!$B$9*IF('Replacement plan'!$AH$85="",'Operating costs'!$B$7,'Replacement plan'!$AH$85)),0)*'Operating costs'!$B$9)*IF('Replacement plan'!$AH$85="",'Operating costs'!$B$7,'Replacement plan'!$AH$85),"n.a."))</f>
        <v>0</v>
      </c>
      <c r="AB320" s="1">
        <f t="shared" si="9"/>
        <v>0</v>
      </c>
      <c r="AC320" s="1">
        <f>IF(AND(C320=1,D320="EV",E320&lt;120,T320&gt;0),'Operating costs'!$B$12/'Operating costs'!$B$11*60+'Operating costs'!$B$13+'Operating costs'!$B$14+V320*'Operating costs'!$B$47/(1-'Operating costs'!$B$44)/'Replacement plan'!$L$85*60,0)</f>
        <v>0</v>
      </c>
      <c r="AD320" s="1" t="str">
        <f>'Replacement plan'!$B$85</f>
        <v>ChengLong L2EV</v>
      </c>
      <c r="AE320" s="1">
        <f>IF(C320=0,0,VLOOKUP($A320,'Fleet register'!$A$7:$S$106,8,FALSE))</f>
        <v>0</v>
      </c>
      <c r="AF320" s="1" t="str">
        <f>IF('Replacement plan'!$H$85="","n.a.",'Replacement plan'!$H$85)</f>
        <v>n.a.</v>
      </c>
      <c r="AG320" s="1">
        <f>'Replacement plan'!$J$85</f>
        <v>22</v>
      </c>
      <c r="AH320" s="1">
        <f>IFERROR(IF(D320="EV",IF('Replacement plan'!$K$85="AC",IF(ISNUMBER(INDEX(Products!$G$7:$G$13,MATCH('Replacement plan'!$B$85,Products!$A$7:$A$13,0))),INDEX(Products!$G$7:$G$13,MATCH('Replacement plan'!$B$85,Products!$A$7:$A$13,0)),"n.a."),IF(ISNUMBER(INDEX(Products!$H$7:$H$13,MATCH('Replacement plan'!$B$85,Products!$A$7:$A$13,0))),INDEX(Products!$H$7:$H$13,MATCH('Replacement plan'!$B$85,Products!$A$7:$A$13,0)),"n.a.")),0),"n.a.")</f>
        <v>0</v>
      </c>
      <c r="AI320" s="1">
        <f>IF(AND(C320=1,D320="EV",E320&lt;120),(VLOOKUP($A320,'Fleet register'!$A$7:$S$106,7,FALSE)+IF(T320&gt;0,'Operating costs'!$B$12,0))*U320*(1-'Operating costs'!$B$44)+'Operating costs'!$B$49,0)</f>
        <v>0</v>
      </c>
      <c r="AJ320" s="1">
        <f>IF(D320="EV",'Energy and charging'!$B$50,0)</f>
        <v>0</v>
      </c>
      <c r="AK320" s="17">
        <f>EDATE('Operating costs'!$B$63,E320)</f>
        <v>46298</v>
      </c>
      <c r="AL320" s="1">
        <f>IFERROR(IF(D320="EV",INDEX(Products!$B$7:$B$13,MATCH('Replacement plan'!$B$85,Products!$A$7:$A$13,0)),0),"n.a.")</f>
        <v>0</v>
      </c>
      <c r="AM320" s="1" t="str">
        <f>'Replacement plan'!$K$85</f>
        <v>DC</v>
      </c>
      <c r="AN320" s="1" t="str">
        <f>'Replacement plan'!$AE$85</f>
        <v>Assumed</v>
      </c>
      <c r="AO320" s="47">
        <f>IF(AND(C320=1,D320="EV",E320&lt;120),(R320-'Operating costs'!$B$41)*S320+W320*'Operating costs'!$B$12,0)</f>
        <v>0</v>
      </c>
      <c r="AP320" s="41">
        <f>IF(AND(C320=1,D320="EV",E320&lt;120),IF('Operating costs'!$B$68="Hong Seh 200k average",AO320*IFERROR(INDEX(Products!$P$7:$P$13,MATCH(AD320,Products!$A$7:$A$13,0)),"n.a."),'Operating costs'!$B$26),0)</f>
        <v>0</v>
      </c>
      <c r="AQ320" s="40" t="str">
        <f>IF(D320="EV",'Operating costs'!$B$68,"Not applicable")</f>
        <v>Not applicable</v>
      </c>
    </row>
    <row r="321" spans="1:43" ht="24" customHeight="1">
      <c r="A321" s="1" t="str">
        <f>'Replacement plan'!A85</f>
        <v>T079</v>
      </c>
      <c r="B321" s="1">
        <v>2</v>
      </c>
      <c r="C321" s="1">
        <f>IF(COUNTIFS('Fleet register'!$A$7:$A$106,$A321)=1,VLOOKUP($A321,'Fleet register'!$A$7:$S$106,2,FALSE),0)</f>
        <v>0</v>
      </c>
      <c r="D321" s="1" t="str">
        <f>IF('Replacement plan'!$O$85="EV","EV","ICE")</f>
        <v>ICE</v>
      </c>
      <c r="E321" s="1">
        <f>IF(C321=0,0,IF('Replacement plan'!$P$85="",IF('Replacement plan'!$O$85="Keep ICE",IF('Replacement plan'!$M$85="",VLOOKUP($A321,'Fleet register'!$A$7:$S$106,10,FALSE),'Replacement plan'!$M$85),0),'Replacement plan'!$P$85))</f>
        <v>0</v>
      </c>
      <c r="F321" s="16">
        <f>IF(C321=0,0,VLOOKUP($A321,'Fleet register'!$A$7:$S$106,11,FALSE))</f>
        <v>0</v>
      </c>
      <c r="G321" s="16">
        <f>IFERROR(IF(C321=0,0,IF(E321=120,0,IF(D321="ICE",'Replacement plan'!$C$85,IF('Replacement plan'!$D$85="",INDEX(Products!$I$7:$I$13,MATCH('Replacement plan'!$B$85,Products!$A$7:$A$13,0))+'Operating costs'!$B$57,'Replacement plan'!$D$85))*(1+'Operating costs'!$B$50)^(E321/12))),"n.a.")</f>
        <v>0</v>
      </c>
      <c r="H321" s="16">
        <f>IFERROR(IF(C321=0,0,IF('Replacement plan'!$U$85&lt;&gt;"",'Replacement plan'!$U$85,IF(E321=0,F321,VLOOKUP($A321,'Fleet register'!$A$7:$S$106,12,FALSE)+VLOOKUP($A321,'Fleet register'!$A$7:$S$106,13,FALSE)*MAX(0,VLOOKUP($A321,'Fleet register'!$A$7:$S$106,10,FALSE)-E321)/VLOOKUP($A321,'Fleet register'!$A$7:$S$106,14,FALSE)))),"n.a.")</f>
        <v>0</v>
      </c>
      <c r="I321" s="16">
        <f>IF(C321=0,0,IF(E321=120,0,'Replacement plan'!$Q$85))</f>
        <v>0</v>
      </c>
      <c r="J321" s="16">
        <f>IF(C321=0,0,IF(P321="Complete",((S321*(R321-'Operating costs'!$B$39))+ROUNDUP(S321*(R321-'Operating costs'!$B$39)*IF('Replacement plan'!$AG$85="",'Operating costs'!$B$7,'Replacement plan'!$AG$85)/('Operating costs'!$B$8-'Operating costs'!$B$9*IF('Replacement plan'!$AG$85="",'Operating costs'!$B$7,'Replacement plan'!$AG$85)),0)*'Operating costs'!$B$9)*IF('Replacement plan'!$AG$85="",'Operating costs'!$B$7,'Replacement plan'!$AG$85)*('Energy and charging'!$B$9*'Energy and charging'!$B$7+(1-'Energy and charging'!$B$9)*'Energy and charging'!$B$8)*'Operating costs'!$B$23,"n.a."))</f>
        <v>0</v>
      </c>
      <c r="K321" s="16">
        <f>IF(C321=0,0,IF(P321="Complete",SUM('Operating costs'!$B$24,'Operating costs'!$B$27,'Operating costs'!$B$29,'Operating costs'!$B$31,'Operating costs'!$B$33,'Operating costs'!$B$34,'Operating costs'!$B$37,'Replacement plan'!$W$85)+'Operating costs'!$B$39*'Operating costs'!$B$42+ROUNDUP(S321*(R321-'Operating costs'!$B$39)*IF('Replacement plan'!$AG$85="",'Operating costs'!$B$7,'Replacement plan'!$AG$85)/('Operating costs'!$B$8-'Operating costs'!$B$9*IF('Replacement plan'!$AG$85="",'Operating costs'!$B$7,'Replacement plan'!$AG$85)),0)*('Operating costs'!$B$9/'Operating costs'!$B$11+'Operating costs'!$B$10/60)*'Operating costs'!$B$19*'Operating costs'!$B$21,"n.a."))</f>
        <v>0</v>
      </c>
      <c r="L321" s="16">
        <f>IF(C321=0,0,IF(P321="Complete",IF(D321="EV",X321*((1-T321)*'Energy and charging'!$B$10+T321*'Energy and charging'!$B$11)*'Operating costs'!$B$22,AA321*('Energy and charging'!$B$9*'Energy and charging'!$B$7+(1-'Energy and charging'!$B$9)*'Energy and charging'!$B$8)*'Operating costs'!$B$23),"n.a."))</f>
        <v>0</v>
      </c>
      <c r="M321" s="37">
        <f>IF(C321=0,0,IF(P321="Complete",IF(D321="ICE",SUM('Operating costs'!$B$25,'Operating costs'!$B$27,'Operating costs'!$B$29,'Operating costs'!$B$31,'Operating costs'!$B$33,'Operating costs'!$B$35,'Operating costs'!$B$37,'Replacement plan'!$X$85)+'Operating costs'!$B$40*'Operating costs'!$B$42+ROUNDUP(S321*(R321-'Operating costs'!$B$40)*IF('Replacement plan'!$AH$85="",'Operating costs'!$B$7,'Replacement plan'!$AH$85)/('Operating costs'!$B$8-'Operating costs'!$B$9*IF('Replacement plan'!$AH$85="",'Operating costs'!$B$7,'Replacement plan'!$AH$85)),0)*('Operating costs'!$B$9/'Operating costs'!$B$11+'Operating costs'!$B$10/60)*'Operating costs'!$B$19*'Operating costs'!$B$21,SUM(AP321,'Operating costs'!$B$28,'Operating costs'!$B$30,'Operating costs'!$B$32,'Operating costs'!$B$33,'Operating costs'!$B$36,'Operating costs'!$B$38,'Replacement plan'!$Y$85)+'Operating costs'!$B$41*'Operating costs'!$B$43+W321*'Operating costs'!$B$15+(T321*X321/'Replacement plan'!$L$85+W321*('Operating costs'!$B$12/'Operating costs'!$B$11+('Operating costs'!$B$13+'Operating costs'!$B$14)/60)+(R321-'Operating costs'!$B$41)*(IF(T321&lt;1,'Operating costs'!$B$16,0)+'Operating costs'!$B$17)/60)*'Operating costs'!$B$19*'Operating costs'!$B$20),"n.a."))</f>
        <v>0</v>
      </c>
      <c r="N321" s="16">
        <f>IF(AND(C321=1,D321="EV",E321&lt;120,E321+'Replacement plan'!$AA$85&lt;=120),'Replacement plan'!$Z$85,0)</f>
        <v>0</v>
      </c>
      <c r="O321" s="1">
        <f>E321+'Replacement plan'!$AA$85</f>
        <v>0</v>
      </c>
      <c r="P321" s="35" t="str">
        <f>IFERROR(IF(C321=0,"Excluded",IF(OR(COUNTIFS('Fleet register'!$A$7:$A$106,A321)&lt;&gt;1,COUNTIFS('Replacement plan'!$A$7:$A$106,A321)&lt;&gt;1),"Duplicate/missing ID",IF(NOT(AND(ISNUMBER(VLOOKUP($A321,'Fleet register'!$A$7:$S$106,5,FALSE)),ISNUMBER(VLOOKUP($A321,'Fleet register'!$A$7:$S$106,6,FALSE)),ISNUMBER(VLOOKUP($A321,'Fleet register'!$A$7:$S$106,10,FALSE)),ISNUMBER(VLOOKUP($A321,'Fleet register'!$A$7:$S$106,11,FALSE)),ISNUMBER(VLOOKUP($A321,'Fleet register'!$A$7:$S$106,12,FALSE)),ISNUMBER(VLOOKUP($A321,'Fleet register'!$A$7:$S$106,13,FALSE)),ISNUMBER(VLOOKUP($A321,'Fleet register'!$A$7:$S$106,14,FALSE)),VLOOKUP($A321,'Fleet register'!$A$7:$S$106,14,FALSE)&gt;0,ISNUMBER('Replacement plan'!$C$85),OR(E321=120,ISNUMBER('Replacement plan'!$Q$85)),ISNUMBER(E321))),"Missing vehicle input",IF(OR(E321&lt;0,E321&gt;VLOOKUP($A321,'Fleet register'!$A$7:$S$106,10,FALSE),E321&gt;120,E321&lt;&gt;INT(E321),VLOOKUP($A321,'Fleet register'!$A$7:$S$106,6,FALSE)&lt;=0,VLOOKUP($A321,'Fleet register'!$A$7:$S$106,6,FALSE)&gt;366,VLOOKUP($A321,'Fleet register'!$A$7:$S$106,5,FALSE)&lt;0,VLOOKUP($A321,'Fleet register'!$A$7:$S$106,11,FALSE)&lt;0,I321&lt;0,'Operating costs'!$B$8&lt;='Operating costs'!$B$7*'Operating costs'!$B$9,'Operating costs'!$B$11&lt;=0,'Operating costs'!$B$39&gt;R321,'Operating costs'!$B$40&gt;R321,'Operating costs'!$B$41&gt;R321,NOT(OR('Replacement plan'!$O$85="Keep ICE",'Replacement plan'!$O$85="New ICE",'Replacement plan'!$O$85="EV"))),"Invalid vehicle input",IF(AND(D321="EV",E321&lt;120,OR(NOT(ISNUMBER(U321)),NOT(ISNUMBER(V321)),V321&lt;=0,T321&lt;0,T321&gt;1,'Replacement plan'!$L$85&lt;=0,'Operating costs'!$B$44&lt;0,'Operating costs'!$B$44&gt;=1,'Operating costs'!$B$47&lt;=0,'Operating costs'!$B$47&gt;1,V321*'Operating costs'!$B$47/(1-'Operating costs'!$B$44)&lt;=T321*'Operating costs'!$B$12*U321,AND('Replacement plan'!$Z$85&gt;0,OR('Replacement plan'!$AB$85&lt;&gt;"Yes",'Operating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charging'!$B$8&gt;=0))),ISNUMBER(VLOOKUP($A321,'Fleet register'!$A$7:$S$106,15,FALSE)),ISNUMBER(VLOOKUP($A321,'Fleet register'!$A$7:$S$106,16,FALSE)),ISNUMBER('Replacement plan'!$W$85),ISNUMBER('Replacement plan'!$X$85),OR(E321=120,AND(ISNUMBER(G321),G321&gt;=0)),ISNUMBER(H321),H321&gt;=0,OR(D321&lt;&gt;"EV",E321=120,AND(ISNUMBER('Operating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average",ISNUMBER(IFERROR(INDEX(Products!$P$7:$P$13,MATCH(AD321,Products!$A$7:$A$13,0)),"")))),ISNUMBER('Operating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plan'!$Y$85),ISNUMBER('Replacement plan'!$Z$85),'Replacement plan'!$Z$85&gt;=0,ISNUMBER('Replacement plan'!$AA$85),'Replacement plan'!$AA$85&gt;=0,'Replacement plan'!$AA$85=INT('Replacement plan'!$AA$85),ISNUMBER('Replacement plan'!$L$85))),'Operating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plan'!$AG$85="",'Operating costs'!$B$7,'Replacement plan'!$AG$85)),IF('Replacement plan'!$AG$85="",'Operating costs'!$B$7,'Replacement plan'!$AG$85)&gt;=0,ISNUMBER(IF('Replacement plan'!$AH$85="",'Operating costs'!$B$7,'Replacement plan'!$AH$85)),IF('Replacement plan'!$AH$85="",'Operating costs'!$B$7,'Replacement plan'!$AH$85)&gt;=0,'Operating costs'!$B$8&gt;MAX(IF('Replacement plan'!$AG$85="",'Operating costs'!$B$7,'Replacement plan'!$AG$85),IF('Replacement plan'!$AH$85="",'Operating costs'!$B$7,'Replacement plan'!$AH$85))*'Operating costs'!$B$9),IF(AND(VLOOKUP($A321,'Fleet register'!$A$7:$S$106,10,FALSE)&gt;=0,VLOOKUP($A321,'Fleet register'!$A$7:$S$106,10,FALSE)&lt;=120,VLOOKUP($A321,'Fleet register'!$A$7:$S$106,10,FALSE)=INT(VLOOKUP($A321,'Fleet register'!$A$7:$S$106,10,FALSE)),VLOOKUP($A321,'Fleet register'!$A$7:$S$106,15,FALSE)&gt;=0,VLOOKUP($A321,'Fleet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costs'!$B$67)&gt;=0,OR(D321&lt;&gt;"EV",E321=120,AND(MIN('Operating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21" s="1" t="str">
        <f>IF(C321=0,"Excluded",IF(P321&lt;&gt;"Complete",P321,IF(OR('Replacement plan'!$AD$85&lt;120-E321,AND(D321="EV",E321&lt;120,OR('Replacement plan'!$AC$85&lt;120-E321,'Replacement plan'!$I$85="No",AND(ISNUMBER(AF321),AE321&gt;AF321),AI321&gt;V321*(1-'Operating costs'!$B$46)^MAX(0,AB321-1)*(1-'Operating costs'!$B$45),AC321&gt;'Operating costs'!$B$18,AND(T321&lt;1,OR(AG321&lt;=0,AND(ISNUMBER(AH321),AG321&gt;AH321))),'Replacement plan'!$L$85&gt;INDEX(Products!$H$7:$H$13,MATCH('Replacement plan'!$B$85,Products!$A$7:$A$13,0))))),"Fails entered limits",IF(AND(D321="EV",E321&lt;120,OR(NOT(ISNUMBER(VLOOKUP($A321,'Fleet register'!$A$7:$S$106,7,FALSE))),NOT(ISNUMBER(VLOOKUP($A321,'Fleet register'!$A$7:$S$106,8,FALSE))),NOT(ISNUMBER(AF321)),'Replacement plan'!$I$85&lt;&gt;"Yes",NOT(ISNUMBER(AH321)),'Operating costs'!$B$59&lt;&gt;"Yes",'Operating costs'!$B$58&lt;&gt;"Yes")),"Unverified","Within entered limits"))))</f>
        <v>Excluded</v>
      </c>
      <c r="R321" s="1">
        <f>IF(C321=0,0,VLOOKUP($A321,'Fleet register'!$A$7:$S$106,6,FALSE))</f>
        <v>0</v>
      </c>
      <c r="S321" s="1">
        <f>IF(C321=0,0,VLOOKUP($A321,'Fleet register'!$A$7:$S$106,5,FALSE))</f>
        <v>0</v>
      </c>
      <c r="T321" s="1">
        <f>IF(D321="EV",'Energy and charging'!$B$12,0)</f>
        <v>0</v>
      </c>
      <c r="U321" s="1">
        <f>IFERROR(IF(C321=0,0,IF(D321="EV",IF('Replacement plan'!$F$85="",INDEX(Products!$E$7:$E$13,MATCH('Replacement plan'!$B$85,Products!$A$7:$A$13,0)),'Replacement plan'!$F$85)/IF('Replacement plan'!$G$85="Battery",1-'Operating costs'!$B$44,1),0)),"n.a.")</f>
        <v>0</v>
      </c>
      <c r="V321" s="1">
        <f>IFERROR(IF(C321=0,0,IF(D321="EV",IF('Replacement plan'!$E$85="",INDEX(Products!$D$7:$D$13,MATCH('Replacement plan'!$B$85,Products!$A$7:$A$13,0)),'Replacement plan'!$E$85),0)),"n.a.")</f>
        <v>0</v>
      </c>
      <c r="W321" s="1">
        <f>IF(C321=0,0,IF(AND(P321="Complete",D321="EV",E321&lt;120),IF(T321=0,0,ROUNDUP(T321*(R321-'Operating costs'!$B$41)*(S321*U321+'Operating costs'!$B$48/(1-'Operating costs'!$B$44))/(V321*'Operating costs'!$B$47/(1-'Operating costs'!$B$44)-T321*'Operating costs'!$B$12*U321),0)),0))</f>
        <v>0</v>
      </c>
      <c r="X321" s="1">
        <f>IF(C321=0,0,IF(AND(P321="Complete",D321="EV",E321&lt;120),(R321-'Operating costs'!$B$41)*(S321*U321+'Operating costs'!$B$48/(1-'Operating costs'!$B$44))+W321*'Operating costs'!$B$12*U321,0))</f>
        <v>0</v>
      </c>
      <c r="Y321" s="1">
        <f>IF(AND(C321=1,D321="EV",E321&lt;120),AI321/(1-'Operating costs'!$B$44)*(1-T321),0)</f>
        <v>0</v>
      </c>
      <c r="Z321" s="1">
        <f t="shared" si="8"/>
        <v>0</v>
      </c>
      <c r="AA321" s="1">
        <f>IF(C321=0,0,IF(P321="Complete",((S321*(R321-'Operating costs'!$B$40))+ROUNDUP(S321*(R321-'Operating costs'!$B$40)*IF('Replacement plan'!$AH$85="",'Operating costs'!$B$7,'Replacement plan'!$AH$85)/('Operating costs'!$B$8-'Operating costs'!$B$9*IF('Replacement plan'!$AH$85="",'Operating costs'!$B$7,'Replacement plan'!$AH$85)),0)*'Operating costs'!$B$9)*IF('Replacement plan'!$AH$85="",'Operating costs'!$B$7,'Replacement plan'!$AH$85),"n.a."))</f>
        <v>0</v>
      </c>
      <c r="AB321" s="1">
        <f t="shared" si="9"/>
        <v>0</v>
      </c>
      <c r="AC321" s="1">
        <f>IF(AND(C321=1,D321="EV",E321&lt;120,T321&gt;0),'Operating costs'!$B$12/'Operating costs'!$B$11*60+'Operating costs'!$B$13+'Operating costs'!$B$14+V321*'Operating costs'!$B$47/(1-'Operating costs'!$B$44)/'Replacement plan'!$L$85*60,0)</f>
        <v>0</v>
      </c>
      <c r="AD321" s="1" t="str">
        <f>'Replacement plan'!$B$85</f>
        <v>ChengLong L2EV</v>
      </c>
      <c r="AE321" s="1">
        <f>IF(C321=0,0,VLOOKUP($A321,'Fleet register'!$A$7:$S$106,8,FALSE))</f>
        <v>0</v>
      </c>
      <c r="AF321" s="1" t="str">
        <f>IF('Replacement plan'!$H$85="","n.a.",'Replacement plan'!$H$85)</f>
        <v>n.a.</v>
      </c>
      <c r="AG321" s="1">
        <f>'Replacement plan'!$J$85</f>
        <v>22</v>
      </c>
      <c r="AH321" s="1">
        <f>IFERROR(IF(D321="EV",IF('Replacement plan'!$K$85="AC",IF(ISNUMBER(INDEX(Products!$G$7:$G$13,MATCH('Replacement plan'!$B$85,Products!$A$7:$A$13,0))),INDEX(Products!$G$7:$G$13,MATCH('Replacement plan'!$B$85,Products!$A$7:$A$13,0)),"n.a."),IF(ISNUMBER(INDEX(Products!$H$7:$H$13,MATCH('Replacement plan'!$B$85,Products!$A$7:$A$13,0))),INDEX(Products!$H$7:$H$13,MATCH('Replacement plan'!$B$85,Products!$A$7:$A$13,0)),"n.a.")),0),"n.a.")</f>
        <v>0</v>
      </c>
      <c r="AI321" s="1">
        <f>IF(AND(C321=1,D321="EV",E321&lt;120),(VLOOKUP($A321,'Fleet register'!$A$7:$S$106,7,FALSE)+IF(T321&gt;0,'Operating costs'!$B$12,0))*U321*(1-'Operating costs'!$B$44)+'Operating costs'!$B$49,0)</f>
        <v>0</v>
      </c>
      <c r="AJ321" s="1">
        <f>IF(D321="EV",'Energy and charging'!$B$50,0)</f>
        <v>0</v>
      </c>
      <c r="AK321" s="17">
        <f>EDATE('Operating costs'!$B$63,E321)</f>
        <v>46298</v>
      </c>
      <c r="AL321" s="1">
        <f>IFERROR(IF(D321="EV",INDEX(Products!$B$7:$B$13,MATCH('Replacement plan'!$B$85,Products!$A$7:$A$13,0)),0),"n.a.")</f>
        <v>0</v>
      </c>
      <c r="AM321" s="1" t="str">
        <f>'Replacement plan'!$K$85</f>
        <v>DC</v>
      </c>
      <c r="AN321" s="1" t="str">
        <f>'Replacement plan'!$AE$85</f>
        <v>Assumed</v>
      </c>
      <c r="AO321" s="47">
        <f>IF(AND(C321=1,D321="EV",E321&lt;120),(R321-'Operating costs'!$B$41)*S321+W321*'Operating costs'!$B$12,0)</f>
        <v>0</v>
      </c>
      <c r="AP321" s="41">
        <f>IF(AND(C321=1,D321="EV",E321&lt;120),IF('Operating costs'!$B$68="Hong Seh 200k average",AO321*IFERROR(INDEX(Products!$P$7:$P$13,MATCH(AD321,Products!$A$7:$A$13,0)),"n.a."),'Operating costs'!$B$26),0)</f>
        <v>0</v>
      </c>
      <c r="AQ321" s="40" t="str">
        <f>IF(D321="EV",'Operating costs'!$B$68,"Not applicable")</f>
        <v>Not applicable</v>
      </c>
    </row>
    <row r="322" spans="1:43" ht="24" customHeight="1">
      <c r="A322" s="1" t="str">
        <f>'Replacement plan'!A85</f>
        <v>T079</v>
      </c>
      <c r="B322" s="1">
        <v>3</v>
      </c>
      <c r="C322" s="1">
        <f>IF(COUNTIFS('Fleet register'!$A$7:$A$106,$A322)=1,VLOOKUP($A322,'Fleet register'!$A$7:$S$106,2,FALSE),0)</f>
        <v>0</v>
      </c>
      <c r="D322" s="1" t="str">
        <f>IF('Replacement plan'!$R$85="EV","EV","ICE")</f>
        <v>ICE</v>
      </c>
      <c r="E322" s="1">
        <f>IF(C322=0,0,IF('Replacement plan'!$S$85="",IF('Replacement plan'!$R$85="Keep ICE",IF('Replacement plan'!$M$85="",VLOOKUP($A322,'Fleet register'!$A$7:$S$106,10,FALSE),'Replacement plan'!$M$85),0),'Replacement plan'!$S$85))</f>
        <v>0</v>
      </c>
      <c r="F322" s="16">
        <f>IF(C322=0,0,VLOOKUP($A322,'Fleet register'!$A$7:$S$106,11,FALSE))</f>
        <v>0</v>
      </c>
      <c r="G322" s="16">
        <f>IFERROR(IF(C322=0,0,IF(E322=120,0,IF(D322="ICE",'Replacement plan'!$C$85,IF('Replacement plan'!$D$85="",INDEX(Products!$I$7:$I$13,MATCH('Replacement plan'!$B$85,Products!$A$7:$A$13,0))+'Operating costs'!$B$57,'Replacement plan'!$D$85))*(1+'Operating costs'!$B$50)^(E322/12))),"n.a.")</f>
        <v>0</v>
      </c>
      <c r="H322" s="16">
        <f>IFERROR(IF(C322=0,0,IF('Replacement plan'!$V$85&lt;&gt;"",'Replacement plan'!$V$85,IF(E322=0,F322,VLOOKUP($A322,'Fleet register'!$A$7:$S$106,12,FALSE)+VLOOKUP($A322,'Fleet register'!$A$7:$S$106,13,FALSE)*MAX(0,VLOOKUP($A322,'Fleet register'!$A$7:$S$106,10,FALSE)-E322)/VLOOKUP($A322,'Fleet register'!$A$7:$S$106,14,FALSE)))),"n.a.")</f>
        <v>0</v>
      </c>
      <c r="I322" s="16">
        <f>IF(C322=0,0,IF(E322=120,0,'Replacement plan'!$T$85))</f>
        <v>0</v>
      </c>
      <c r="J322" s="16">
        <f>IF(C322=0,0,IF(P322="Complete",((S322*(R322-'Operating costs'!$B$39))+ROUNDUP(S322*(R322-'Operating costs'!$B$39)*IF('Replacement plan'!$AG$85="",'Operating costs'!$B$7,'Replacement plan'!$AG$85)/('Operating costs'!$B$8-'Operating costs'!$B$9*IF('Replacement plan'!$AG$85="",'Operating costs'!$B$7,'Replacement plan'!$AG$85)),0)*'Operating costs'!$B$9)*IF('Replacement plan'!$AG$85="",'Operating costs'!$B$7,'Replacement plan'!$AG$85)*('Energy and charging'!$C$9*'Energy and charging'!$C$7+(1-'Energy and charging'!$C$9)*'Energy and charging'!$C$8)*'Operating costs'!$B$23,"n.a."))</f>
        <v>0</v>
      </c>
      <c r="K322" s="16">
        <f>IF(C322=0,0,IF(P322="Complete",SUM('Operating costs'!$B$24,'Operating costs'!$B$27,'Operating costs'!$B$29,'Operating costs'!$B$31,'Operating costs'!$B$33,'Operating costs'!$B$34,'Operating costs'!$B$37,'Replacement plan'!$W$85)+'Operating costs'!$B$39*'Operating costs'!$B$42+ROUNDUP(S322*(R322-'Operating costs'!$B$39)*IF('Replacement plan'!$AG$85="",'Operating costs'!$B$7,'Replacement plan'!$AG$85)/('Operating costs'!$B$8-'Operating costs'!$B$9*IF('Replacement plan'!$AG$85="",'Operating costs'!$B$7,'Replacement plan'!$AG$85)),0)*('Operating costs'!$B$9/'Operating costs'!$B$11+'Operating costs'!$B$10/60)*'Operating costs'!$B$19*'Operating costs'!$B$21,"n.a."))</f>
        <v>0</v>
      </c>
      <c r="L322" s="16">
        <f>IF(C322=0,0,IF(P322="Complete",IF(D322="EV",X322*((1-T322)*'Energy and charging'!$C$10+T322*'Energy and charging'!$C$11)*'Operating costs'!$B$22,AA322*('Energy and charging'!$C$9*'Energy and charging'!$C$7+(1-'Energy and charging'!$C$9)*'Energy and charging'!$C$8)*'Operating costs'!$B$23),"n.a."))</f>
        <v>0</v>
      </c>
      <c r="M322" s="37">
        <f>IF(C322=0,0,IF(P322="Complete",IF(D322="ICE",SUM('Operating costs'!$B$25,'Operating costs'!$B$27,'Operating costs'!$B$29,'Operating costs'!$B$31,'Operating costs'!$B$33,'Operating costs'!$B$35,'Operating costs'!$B$37,'Replacement plan'!$X$85)+'Operating costs'!$B$40*'Operating costs'!$B$42+ROUNDUP(S322*(R322-'Operating costs'!$B$40)*IF('Replacement plan'!$AH$85="",'Operating costs'!$B$7,'Replacement plan'!$AH$85)/('Operating costs'!$B$8-'Operating costs'!$B$9*IF('Replacement plan'!$AH$85="",'Operating costs'!$B$7,'Replacement plan'!$AH$85)),0)*('Operating costs'!$B$9/'Operating costs'!$B$11+'Operating costs'!$B$10/60)*'Operating costs'!$B$19*'Operating costs'!$B$21,SUM(AP322,'Operating costs'!$B$28,'Operating costs'!$B$30,'Operating costs'!$B$32,'Operating costs'!$B$33,'Operating costs'!$B$36,'Operating costs'!$B$38,'Replacement plan'!$Y$85)+'Operating costs'!$B$41*'Operating costs'!$B$43+W322*'Operating costs'!$B$15+(T322*X322/'Replacement plan'!$L$85+W322*('Operating costs'!$B$12/'Operating costs'!$B$11+('Operating costs'!$B$13+'Operating costs'!$B$14)/60)+(R322-'Operating costs'!$B$41)*(IF(T322&lt;1,'Operating costs'!$B$16,0)+'Operating costs'!$B$17)/60)*'Operating costs'!$B$19*'Operating costs'!$B$20),"n.a."))</f>
        <v>0</v>
      </c>
      <c r="N322" s="16">
        <f>IF(AND(C322=1,D322="EV",E322&lt;120,E322+'Replacement plan'!$AA$85&lt;=120),'Replacement plan'!$Z$85,0)</f>
        <v>0</v>
      </c>
      <c r="O322" s="1">
        <f>E322+'Replacement plan'!$AA$85</f>
        <v>0</v>
      </c>
      <c r="P322" s="35" t="str">
        <f>IFERROR(IF(C322=0,"Excluded",IF(OR(COUNTIFS('Fleet register'!$A$7:$A$106,A322)&lt;&gt;1,COUNTIFS('Replacement plan'!$A$7:$A$106,A322)&lt;&gt;1),"Duplicate/missing ID",IF(NOT(AND(ISNUMBER(VLOOKUP($A322,'Fleet register'!$A$7:$S$106,5,FALSE)),ISNUMBER(VLOOKUP($A322,'Fleet register'!$A$7:$S$106,6,FALSE)),ISNUMBER(VLOOKUP($A322,'Fleet register'!$A$7:$S$106,10,FALSE)),ISNUMBER(VLOOKUP($A322,'Fleet register'!$A$7:$S$106,11,FALSE)),ISNUMBER(VLOOKUP($A322,'Fleet register'!$A$7:$S$106,12,FALSE)),ISNUMBER(VLOOKUP($A322,'Fleet register'!$A$7:$S$106,13,FALSE)),ISNUMBER(VLOOKUP($A322,'Fleet register'!$A$7:$S$106,14,FALSE)),VLOOKUP($A322,'Fleet register'!$A$7:$S$106,14,FALSE)&gt;0,ISNUMBER('Replacement plan'!$C$85),OR(E322=120,ISNUMBER('Replacement plan'!$T$85)),ISNUMBER(E322))),"Missing vehicle input",IF(OR(E322&lt;0,E322&gt;VLOOKUP($A322,'Fleet register'!$A$7:$S$106,10,FALSE),E322&gt;120,E322&lt;&gt;INT(E322),VLOOKUP($A322,'Fleet register'!$A$7:$S$106,6,FALSE)&lt;=0,VLOOKUP($A322,'Fleet register'!$A$7:$S$106,6,FALSE)&gt;366,VLOOKUP($A322,'Fleet register'!$A$7:$S$106,5,FALSE)&lt;0,VLOOKUP($A322,'Fleet register'!$A$7:$S$106,11,FALSE)&lt;0,I322&lt;0,'Operating costs'!$B$8&lt;='Operating costs'!$B$7*'Operating costs'!$B$9,'Operating costs'!$B$11&lt;=0,'Operating costs'!$B$39&gt;R322,'Operating costs'!$B$40&gt;R322,'Operating costs'!$B$41&gt;R322,NOT(OR('Replacement plan'!$R$85="Keep ICE",'Replacement plan'!$R$85="New ICE",'Replacement plan'!$R$85="EV"))),"Invalid vehicle input",IF(AND(D322="EV",E322&lt;120,OR(NOT(ISNUMBER(U322)),NOT(ISNUMBER(V322)),V322&lt;=0,T322&lt;0,T322&gt;1,'Replacement plan'!$L$85&lt;=0,'Operating costs'!$B$44&lt;0,'Operating costs'!$B$44&gt;=1,'Operating costs'!$B$47&lt;=0,'Operating costs'!$B$47&gt;1,V322*'Operating costs'!$B$47/(1-'Operating costs'!$B$44)&lt;=T322*'Operating costs'!$B$12*U322,AND('Replacement plan'!$Z$85&gt;0,OR('Replacement plan'!$AB$85&lt;&gt;"Yes",'Operating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charging'!$C$8&gt;=0))),ISNUMBER(VLOOKUP($A322,'Fleet register'!$A$7:$S$106,15,FALSE)),ISNUMBER(VLOOKUP($A322,'Fleet register'!$A$7:$S$106,16,FALSE)),ISNUMBER('Replacement plan'!$W$85),ISNUMBER('Replacement plan'!$X$85),OR(E322=120,AND(ISNUMBER(G322),G322&gt;=0)),ISNUMBER(H322),H322&gt;=0,OR(D322&lt;&gt;"EV",E322=120,AND(ISNUMBER('Operating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average",ISNUMBER(IFERROR(INDEX(Products!$P$7:$P$13,MATCH(AD322,Products!$A$7:$A$13,0)),"")))),ISNUMBER('Operating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plan'!$Y$85),ISNUMBER('Replacement plan'!$Z$85),'Replacement plan'!$Z$85&gt;=0,ISNUMBER('Replacement plan'!$AA$85),'Replacement plan'!$AA$85&gt;=0,'Replacement plan'!$AA$85=INT('Replacement plan'!$AA$85),ISNUMBER('Replacement plan'!$L$85))),'Operating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plan'!$AG$85="",'Operating costs'!$B$7,'Replacement plan'!$AG$85)),IF('Replacement plan'!$AG$85="",'Operating costs'!$B$7,'Replacement plan'!$AG$85)&gt;=0,ISNUMBER(IF('Replacement plan'!$AH$85="",'Operating costs'!$B$7,'Replacement plan'!$AH$85)),IF('Replacement plan'!$AH$85="",'Operating costs'!$B$7,'Replacement plan'!$AH$85)&gt;=0,'Operating costs'!$B$8&gt;MAX(IF('Replacement plan'!$AG$85="",'Operating costs'!$B$7,'Replacement plan'!$AG$85),IF('Replacement plan'!$AH$85="",'Operating costs'!$B$7,'Replacement plan'!$AH$85))*'Operating costs'!$B$9),IF(AND(VLOOKUP($A322,'Fleet register'!$A$7:$S$106,10,FALSE)&gt;=0,VLOOKUP($A322,'Fleet register'!$A$7:$S$106,10,FALSE)&lt;=120,VLOOKUP($A322,'Fleet register'!$A$7:$S$106,10,FALSE)=INT(VLOOKUP($A322,'Fleet register'!$A$7:$S$106,10,FALSE)),VLOOKUP($A322,'Fleet register'!$A$7:$S$106,15,FALSE)&gt;=0,VLOOKUP($A322,'Fleet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costs'!$B$67)&gt;=0,OR(D322&lt;&gt;"EV",E322=120,AND(MIN('Operating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22" s="1" t="str">
        <f>IF(C322=0,"Excluded",IF(P322&lt;&gt;"Complete",P322,IF(OR('Replacement plan'!$AD$85&lt;120-E322,AND(D322="EV",E322&lt;120,OR('Replacement plan'!$AC$85&lt;120-E322,'Replacement plan'!$I$85="No",AND(ISNUMBER(AF322),AE322&gt;AF322),AI322&gt;V322*(1-'Operating costs'!$B$46)^MAX(0,AB322-1)*(1-'Operating costs'!$B$45),AC322&gt;'Operating costs'!$B$18,AND(T322&lt;1,OR(AG322&lt;=0,AND(ISNUMBER(AH322),AG322&gt;AH322))),'Replacement plan'!$L$85&gt;INDEX(Products!$H$7:$H$13,MATCH('Replacement plan'!$B$85,Products!$A$7:$A$13,0))))),"Fails entered limits",IF(AND(D322="EV",E322&lt;120,OR(NOT(ISNUMBER(VLOOKUP($A322,'Fleet register'!$A$7:$S$106,7,FALSE))),NOT(ISNUMBER(VLOOKUP($A322,'Fleet register'!$A$7:$S$106,8,FALSE))),NOT(ISNUMBER(AF322)),'Replacement plan'!$I$85&lt;&gt;"Yes",NOT(ISNUMBER(AH322)),'Operating costs'!$B$59&lt;&gt;"Yes",'Operating costs'!$B$58&lt;&gt;"Yes")),"Unverified","Within entered limits"))))</f>
        <v>Excluded</v>
      </c>
      <c r="R322" s="1">
        <f>IF(C322=0,0,VLOOKUP($A322,'Fleet register'!$A$7:$S$106,6,FALSE))</f>
        <v>0</v>
      </c>
      <c r="S322" s="1">
        <f>IF(C322=0,0,VLOOKUP($A322,'Fleet register'!$A$7:$S$106,5,FALSE))</f>
        <v>0</v>
      </c>
      <c r="T322" s="1">
        <f>IF(D322="EV",'Energy and charging'!$C$12,0)</f>
        <v>0</v>
      </c>
      <c r="U322" s="1">
        <f>IFERROR(IF(C322=0,0,IF(D322="EV",IF('Replacement plan'!$F$85="",INDEX(Products!$E$7:$E$13,MATCH('Replacement plan'!$B$85,Products!$A$7:$A$13,0)),'Replacement plan'!$F$85)/IF('Replacement plan'!$G$85="Battery",1-'Operating costs'!$B$44,1),0)),"n.a.")</f>
        <v>0</v>
      </c>
      <c r="V322" s="1">
        <f>IFERROR(IF(C322=0,0,IF(D322="EV",IF('Replacement plan'!$E$85="",INDEX(Products!$D$7:$D$13,MATCH('Replacement plan'!$B$85,Products!$A$7:$A$13,0)),'Replacement plan'!$E$85),0)),"n.a.")</f>
        <v>0</v>
      </c>
      <c r="W322" s="1">
        <f>IF(C322=0,0,IF(AND(P322="Complete",D322="EV",E322&lt;120),IF(T322=0,0,ROUNDUP(T322*(R322-'Operating costs'!$B$41)*(S322*U322+'Operating costs'!$B$48/(1-'Operating costs'!$B$44))/(V322*'Operating costs'!$B$47/(1-'Operating costs'!$B$44)-T322*'Operating costs'!$B$12*U322),0)),0))</f>
        <v>0</v>
      </c>
      <c r="X322" s="1">
        <f>IF(C322=0,0,IF(AND(P322="Complete",D322="EV",E322&lt;120),(R322-'Operating costs'!$B$41)*(S322*U322+'Operating costs'!$B$48/(1-'Operating costs'!$B$44))+W322*'Operating costs'!$B$12*U322,0))</f>
        <v>0</v>
      </c>
      <c r="Y322" s="1">
        <f>IF(AND(C322=1,D322="EV",E322&lt;120),AI322/(1-'Operating costs'!$B$44)*(1-T322),0)</f>
        <v>0</v>
      </c>
      <c r="Z322" s="1">
        <f t="shared" si="8"/>
        <v>0</v>
      </c>
      <c r="AA322" s="1">
        <f>IF(C322=0,0,IF(P322="Complete",((S322*(R322-'Operating costs'!$B$40))+ROUNDUP(S322*(R322-'Operating costs'!$B$40)*IF('Replacement plan'!$AH$85="",'Operating costs'!$B$7,'Replacement plan'!$AH$85)/('Operating costs'!$B$8-'Operating costs'!$B$9*IF('Replacement plan'!$AH$85="",'Operating costs'!$B$7,'Replacement plan'!$AH$85)),0)*'Operating costs'!$B$9)*IF('Replacement plan'!$AH$85="",'Operating costs'!$B$7,'Replacement plan'!$AH$85),"n.a."))</f>
        <v>0</v>
      </c>
      <c r="AB322" s="1">
        <f t="shared" si="9"/>
        <v>0</v>
      </c>
      <c r="AC322" s="1">
        <f>IF(AND(C322=1,D322="EV",E322&lt;120,T322&gt;0),'Operating costs'!$B$12/'Operating costs'!$B$11*60+'Operating costs'!$B$13+'Operating costs'!$B$14+V322*'Operating costs'!$B$47/(1-'Operating costs'!$B$44)/'Replacement plan'!$L$85*60,0)</f>
        <v>0</v>
      </c>
      <c r="AD322" s="1" t="str">
        <f>'Replacement plan'!$B$85</f>
        <v>ChengLong L2EV</v>
      </c>
      <c r="AE322" s="1">
        <f>IF(C322=0,0,VLOOKUP($A322,'Fleet register'!$A$7:$S$106,8,FALSE))</f>
        <v>0</v>
      </c>
      <c r="AF322" s="1" t="str">
        <f>IF('Replacement plan'!$H$85="","n.a.",'Replacement plan'!$H$85)</f>
        <v>n.a.</v>
      </c>
      <c r="AG322" s="1">
        <f>'Replacement plan'!$J$85</f>
        <v>22</v>
      </c>
      <c r="AH322" s="1">
        <f>IFERROR(IF(D322="EV",IF('Replacement plan'!$K$85="AC",IF(ISNUMBER(INDEX(Products!$G$7:$G$13,MATCH('Replacement plan'!$B$85,Products!$A$7:$A$13,0))),INDEX(Products!$G$7:$G$13,MATCH('Replacement plan'!$B$85,Products!$A$7:$A$13,0)),"n.a."),IF(ISNUMBER(INDEX(Products!$H$7:$H$13,MATCH('Replacement plan'!$B$85,Products!$A$7:$A$13,0))),INDEX(Products!$H$7:$H$13,MATCH('Replacement plan'!$B$85,Products!$A$7:$A$13,0)),"n.a.")),0),"n.a.")</f>
        <v>0</v>
      </c>
      <c r="AI322" s="1">
        <f>IF(AND(C322=1,D322="EV",E322&lt;120),(VLOOKUP($A322,'Fleet register'!$A$7:$S$106,7,FALSE)+IF(T322&gt;0,'Operating costs'!$B$12,0))*U322*(1-'Operating costs'!$B$44)+'Operating costs'!$B$49,0)</f>
        <v>0</v>
      </c>
      <c r="AJ322" s="1">
        <f>IF(D322="EV",'Energy and charging'!$C$50,0)</f>
        <v>0</v>
      </c>
      <c r="AK322" s="17">
        <f>EDATE('Operating costs'!$B$63,E322)</f>
        <v>46298</v>
      </c>
      <c r="AL322" s="1">
        <f>IFERROR(IF(D322="EV",INDEX(Products!$B$7:$B$13,MATCH('Replacement plan'!$B$85,Products!$A$7:$A$13,0)),0),"n.a.")</f>
        <v>0</v>
      </c>
      <c r="AM322" s="1" t="str">
        <f>'Replacement plan'!$K$85</f>
        <v>DC</v>
      </c>
      <c r="AN322" s="1" t="str">
        <f>'Replacement plan'!$AE$85</f>
        <v>Assumed</v>
      </c>
      <c r="AO322" s="47">
        <f>IF(AND(C322=1,D322="EV",E322&lt;120),(R322-'Operating costs'!$B$41)*S322+W322*'Operating costs'!$B$12,0)</f>
        <v>0</v>
      </c>
      <c r="AP322" s="41">
        <f>IF(AND(C322=1,D322="EV",E322&lt;120),IF('Operating costs'!$B$68="Hong Seh 200k average",AO322*IFERROR(INDEX(Products!$P$7:$P$13,MATCH(AD322,Products!$A$7:$A$13,0)),"n.a."),'Operating costs'!$B$26),0)</f>
        <v>0</v>
      </c>
      <c r="AQ322" s="40" t="str">
        <f>IF(D322="EV",'Operating costs'!$B$68,"Not applicable")</f>
        <v>Not applicable</v>
      </c>
    </row>
    <row r="323" spans="1:43" ht="24" customHeight="1">
      <c r="A323" s="1" t="str">
        <f>'Replacement plan'!A86</f>
        <v>T080</v>
      </c>
      <c r="B323" s="1">
        <v>0</v>
      </c>
      <c r="C323" s="1">
        <f>IF(COUNTIFS('Fleet register'!$A$7:$A$106,$A323)=1,VLOOKUP($A323,'Fleet register'!$A$7:$S$106,2,FALSE),0)</f>
        <v>0</v>
      </c>
      <c r="D323" s="1" t="str">
        <f>IF("Keep ICE"="EV","EV","ICE")</f>
        <v>ICE</v>
      </c>
      <c r="E323" s="1">
        <f>IF(C323=0,0,IF('Replacement plan'!$M$86="",VLOOKUP($A323,'Fleet register'!$A$7:$S$106,10,FALSE),'Replacement plan'!$M$86))</f>
        <v>0</v>
      </c>
      <c r="F323" s="16">
        <f>IF(C323=0,0,VLOOKUP($A323,'Fleet register'!$A$7:$S$106,11,FALSE))</f>
        <v>0</v>
      </c>
      <c r="G323" s="16">
        <f>IFERROR(IF(C323=0,0,IF(E323=120,0,IF(D323="ICE",'Replacement plan'!$C$86,IF('Replacement plan'!$D$86="",INDEX(Products!$I$7:$I$13,MATCH('Replacement plan'!$B$86,Products!$A$7:$A$13,0))+'Operating costs'!$B$57,'Replacement plan'!$D$86))*(1+'Operating costs'!$B$50)^(E323/12))),"n.a.")</f>
        <v>0</v>
      </c>
      <c r="H323" s="16">
        <f>IFERROR(IF(C323=0,0,IF(E323=0,F323,VLOOKUP($A323,'Fleet register'!$A$7:$S$106,12,FALSE)+VLOOKUP($A323,'Fleet register'!$A$7:$S$106,13,FALSE)*MAX(0,VLOOKUP($A323,'Fleet register'!$A$7:$S$106,10,FALSE)-E323)/VLOOKUP($A323,'Fleet register'!$A$7:$S$106,14,FALSE))),"n.a.")</f>
        <v>0</v>
      </c>
      <c r="I323" s="16">
        <f>IF(C323=0,0,IF(E323=120,0,'Replacement plan'!$N$86))</f>
        <v>0</v>
      </c>
      <c r="J323" s="16">
        <f>IF(C323=0,0,IF(P323="Complete",((S323*(R323-'Operating costs'!$B$39))+ROUNDUP(S323*(R323-'Operating costs'!$B$39)*IF('Replacement plan'!$AG$86="",'Operating costs'!$B$7,'Replacement plan'!$AG$86)/('Operating costs'!$B$8-'Operating costs'!$B$9*IF('Replacement plan'!$AG$86="",'Operating costs'!$B$7,'Replacement plan'!$AG$86)),0)*'Operating costs'!$B$9)*IF('Replacement plan'!$AG$86="",'Operating costs'!$B$7,'Replacement plan'!$AG$86)*('Energy and charging'!$B$9*'Energy and charging'!$B$7+(1-'Energy and charging'!$B$9)*'Energy and charging'!$B$8)*'Operating costs'!$B$23,"n.a."))</f>
        <v>0</v>
      </c>
      <c r="K323" s="16">
        <f>IF(C323=0,0,IF(P323="Complete",SUM('Operating costs'!$B$24,'Operating costs'!$B$27,'Operating costs'!$B$29,'Operating costs'!$B$31,'Operating costs'!$B$33,'Operating costs'!$B$34,'Operating costs'!$B$37,'Replacement plan'!$W$86)+'Operating costs'!$B$39*'Operating costs'!$B$42+ROUNDUP(S323*(R323-'Operating costs'!$B$39)*IF('Replacement plan'!$AG$86="",'Operating costs'!$B$7,'Replacement plan'!$AG$86)/('Operating costs'!$B$8-'Operating costs'!$B$9*IF('Replacement plan'!$AG$86="",'Operating costs'!$B$7,'Replacement plan'!$AG$86)),0)*('Operating costs'!$B$9/'Operating costs'!$B$11+'Operating costs'!$B$10/60)*'Operating costs'!$B$19*'Operating costs'!$B$21,"n.a."))</f>
        <v>0</v>
      </c>
      <c r="L323" s="16">
        <f>IF(C323=0,0,IF(P323="Complete",IF(D323="EV",X323*((1-T323)*'Energy and charging'!$B$10+T323*'Energy and charging'!$B$11)*'Operating costs'!$B$22,AA323*('Energy and charging'!$B$9*'Energy and charging'!$B$7+(1-'Energy and charging'!$B$9)*'Energy and charging'!$B$8)*'Operating costs'!$B$23),"n.a."))</f>
        <v>0</v>
      </c>
      <c r="M323" s="37">
        <f>IF(C323=0,0,IF(P323="Complete",IF(D323="ICE",SUM('Operating costs'!$B$25,'Operating costs'!$B$27,'Operating costs'!$B$29,'Operating costs'!$B$31,'Operating costs'!$B$33,'Operating costs'!$B$35,'Operating costs'!$B$37,'Replacement plan'!$X$86)+'Operating costs'!$B$40*'Operating costs'!$B$42+ROUNDUP(S323*(R323-'Operating costs'!$B$40)*IF('Replacement plan'!$AH$86="",'Operating costs'!$B$7,'Replacement plan'!$AH$86)/('Operating costs'!$B$8-'Operating costs'!$B$9*IF('Replacement plan'!$AH$86="",'Operating costs'!$B$7,'Replacement plan'!$AH$86)),0)*('Operating costs'!$B$9/'Operating costs'!$B$11+'Operating costs'!$B$10/60)*'Operating costs'!$B$19*'Operating costs'!$B$21,SUM(AP323,'Operating costs'!$B$28,'Operating costs'!$B$30,'Operating costs'!$B$32,'Operating costs'!$B$33,'Operating costs'!$B$36,'Operating costs'!$B$38,'Replacement plan'!$Y$86)+'Operating costs'!$B$41*'Operating costs'!$B$43+W323*'Operating costs'!$B$15+(T323*X323/'Replacement plan'!$L$86+W323*('Operating costs'!$B$12/'Operating costs'!$B$11+('Operating costs'!$B$13+'Operating costs'!$B$14)/60)+(R323-'Operating costs'!$B$41)*(IF(T323&lt;1,'Operating costs'!$B$16,0)+'Operating costs'!$B$17)/60)*'Operating costs'!$B$19*'Operating costs'!$B$20),"n.a."))</f>
        <v>0</v>
      </c>
      <c r="N323" s="16">
        <f>IF(AND(C323=1,D323="EV",E323&lt;120,E323+'Replacement plan'!$AA$86&lt;=120),'Replacement plan'!$Z$86,0)</f>
        <v>0</v>
      </c>
      <c r="O323" s="1">
        <f>E323+'Replacement plan'!$AA$86</f>
        <v>0</v>
      </c>
      <c r="P323" s="35" t="str">
        <f>IFERROR(IF(C323=0,"Excluded",IF(OR(COUNTIFS('Fleet register'!$A$7:$A$106,A323)&lt;&gt;1,COUNTIFS('Replacement plan'!$A$7:$A$106,A323)&lt;&gt;1),"Duplicate/missing ID",IF(NOT(AND(ISNUMBER(VLOOKUP($A323,'Fleet register'!$A$7:$S$106,5,FALSE)),ISNUMBER(VLOOKUP($A323,'Fleet register'!$A$7:$S$106,6,FALSE)),ISNUMBER(VLOOKUP($A323,'Fleet register'!$A$7:$S$106,10,FALSE)),ISNUMBER(VLOOKUP($A323,'Fleet register'!$A$7:$S$106,11,FALSE)),ISNUMBER(VLOOKUP($A323,'Fleet register'!$A$7:$S$106,12,FALSE)),ISNUMBER(VLOOKUP($A323,'Fleet register'!$A$7:$S$106,13,FALSE)),ISNUMBER(VLOOKUP($A323,'Fleet register'!$A$7:$S$106,14,FALSE)),VLOOKUP($A323,'Fleet register'!$A$7:$S$106,14,FALSE)&gt;0,ISNUMBER('Replacement plan'!$C$86),OR(E323=120,ISNUMBER('Replacement plan'!$N$86)),ISNUMBER(E323))),"Missing vehicle input",IF(OR(E323&lt;0,E323&gt;VLOOKUP($A323,'Fleet register'!$A$7:$S$106,10,FALSE),E323&gt;120,E323&lt;&gt;INT(E323),VLOOKUP($A323,'Fleet register'!$A$7:$S$106,6,FALSE)&lt;=0,VLOOKUP($A323,'Fleet register'!$A$7:$S$106,6,FALSE)&gt;366,VLOOKUP($A323,'Fleet register'!$A$7:$S$106,5,FALSE)&lt;0,VLOOKUP($A323,'Fleet register'!$A$7:$S$106,11,FALSE)&lt;0,I323&lt;0,'Operating costs'!$B$8&lt;='Operating costs'!$B$7*'Operating costs'!$B$9,'Operating costs'!$B$11&lt;=0,'Operating costs'!$B$39&gt;R323,'Operating costs'!$B$40&gt;R323,'Operating costs'!$B$41&gt;R323,NOT(OR("Keep ICE"="Keep ICE","Keep ICE"="New ICE","Keep ICE"="EV"))),"Invalid vehicle input",IF(AND(D323="EV",E323&lt;120,OR(NOT(ISNUMBER(U323)),NOT(ISNUMBER(V323)),V323&lt;=0,T323&lt;0,T323&gt;1,'Replacement plan'!$L$86&lt;=0,'Operating costs'!$B$44&lt;0,'Operating costs'!$B$44&gt;=1,'Operating costs'!$B$47&lt;=0,'Operating costs'!$B$47&gt;1,V323*'Operating costs'!$B$47/(1-'Operating costs'!$B$44)&lt;=T323*'Operating costs'!$B$12*U323,AND('Replacement plan'!$Z$86&gt;0,OR('Replacement plan'!$AB$86&lt;&gt;"Yes",'Operating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charging'!$B$8&gt;=0))),ISNUMBER(VLOOKUP($A323,'Fleet register'!$A$7:$S$106,15,FALSE)),ISNUMBER(VLOOKUP($A323,'Fleet register'!$A$7:$S$106,16,FALSE)),ISNUMBER('Replacement plan'!$W$86),ISNUMBER('Replacement plan'!$X$86),OR(E323=120,AND(ISNUMBER(G323),G323&gt;=0)),ISNUMBER(H323),H323&gt;=0,OR(D323&lt;&gt;"EV",E323=120,AND(ISNUMBER('Operating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average",ISNUMBER(IFERROR(INDEX(Products!$P$7:$P$13,MATCH(AD323,Products!$A$7:$A$13,0)),"")))),ISNUMBER('Operating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plan'!$Y$86),ISNUMBER('Replacement plan'!$Z$86),'Replacement plan'!$Z$86&gt;=0,ISNUMBER('Replacement plan'!$AA$86),'Replacement plan'!$AA$86&gt;=0,'Replacement plan'!$AA$86=INT('Replacement plan'!$AA$86),ISNUMBER('Replacement plan'!$L$86))),'Operating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plan'!$AG$86="",'Operating costs'!$B$7,'Replacement plan'!$AG$86)),IF('Replacement plan'!$AG$86="",'Operating costs'!$B$7,'Replacement plan'!$AG$86)&gt;=0,ISNUMBER(IF('Replacement plan'!$AH$86="",'Operating costs'!$B$7,'Replacement plan'!$AH$86)),IF('Replacement plan'!$AH$86="",'Operating costs'!$B$7,'Replacement plan'!$AH$86)&gt;=0,'Operating costs'!$B$8&gt;MAX(IF('Replacement plan'!$AG$86="",'Operating costs'!$B$7,'Replacement plan'!$AG$86),IF('Replacement plan'!$AH$86="",'Operating costs'!$B$7,'Replacement plan'!$AH$86))*'Operating costs'!$B$9),IF(AND(VLOOKUP($A323,'Fleet register'!$A$7:$S$106,10,FALSE)&gt;=0,VLOOKUP($A323,'Fleet register'!$A$7:$S$106,10,FALSE)&lt;=120,VLOOKUP($A323,'Fleet register'!$A$7:$S$106,10,FALSE)=INT(VLOOKUP($A323,'Fleet register'!$A$7:$S$106,10,FALSE)),VLOOKUP($A323,'Fleet register'!$A$7:$S$106,15,FALSE)&gt;=0,VLOOKUP($A323,'Fleet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costs'!$B$67)&gt;=0,OR(D323&lt;&gt;"EV",E323=120,AND(MIN('Operating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23" s="1" t="str">
        <f>IF(C323=0,"Excluded",IF(P323&lt;&gt;"Complete",P323,IF(OR('Replacement plan'!$AD$86&lt;120-E323,AND(D323="EV",E323&lt;120,OR('Replacement plan'!$AC$86&lt;120-E323,'Replacement plan'!$I$86="No",AND(ISNUMBER(AF323),AE323&gt;AF323),AI323&gt;V323*(1-'Operating costs'!$B$46)^MAX(0,AB323-1)*(1-'Operating costs'!$B$45),AC323&gt;'Operating costs'!$B$18,AND(T323&lt;1,OR(AG323&lt;=0,AND(ISNUMBER(AH323),AG323&gt;AH323))),'Replacement plan'!$L$86&gt;INDEX(Products!$H$7:$H$13,MATCH('Replacement plan'!$B$86,Products!$A$7:$A$13,0))))),"Fails entered limits",IF(AND(D323="EV",E323&lt;120,OR(NOT(ISNUMBER(VLOOKUP($A323,'Fleet register'!$A$7:$S$106,7,FALSE))),NOT(ISNUMBER(VLOOKUP($A323,'Fleet register'!$A$7:$S$106,8,FALSE))),NOT(ISNUMBER(AF323)),'Replacement plan'!$I$86&lt;&gt;"Yes",NOT(ISNUMBER(AH323)),'Operating costs'!$B$59&lt;&gt;"Yes",'Operating costs'!$B$58&lt;&gt;"Yes")),"Unverified","Within entered limits"))))</f>
        <v>Excluded</v>
      </c>
      <c r="R323" s="1">
        <f>IF(C323=0,0,VLOOKUP($A323,'Fleet register'!$A$7:$S$106,6,FALSE))</f>
        <v>0</v>
      </c>
      <c r="S323" s="1">
        <f>IF(C323=0,0,VLOOKUP($A323,'Fleet register'!$A$7:$S$106,5,FALSE))</f>
        <v>0</v>
      </c>
      <c r="T323" s="1">
        <f>IF(D323="EV",'Energy and charging'!$B$12,0)</f>
        <v>0</v>
      </c>
      <c r="U323" s="1">
        <f>IFERROR(IF(C323=0,0,IF(D323="EV",IF('Replacement plan'!$F$86="",INDEX(Products!$E$7:$E$13,MATCH('Replacement plan'!$B$86,Products!$A$7:$A$13,0)),'Replacement plan'!$F$86)/IF('Replacement plan'!$G$86="Battery",1-'Operating costs'!$B$44,1),0)),"n.a.")</f>
        <v>0</v>
      </c>
      <c r="V323" s="1">
        <f>IFERROR(IF(C323=0,0,IF(D323="EV",IF('Replacement plan'!$E$86="",INDEX(Products!$D$7:$D$13,MATCH('Replacement plan'!$B$86,Products!$A$7:$A$13,0)),'Replacement plan'!$E$86),0)),"n.a.")</f>
        <v>0</v>
      </c>
      <c r="W323" s="1">
        <f>IF(C323=0,0,IF(AND(P323="Complete",D323="EV",E323&lt;120),IF(T323=0,0,ROUNDUP(T323*(R323-'Operating costs'!$B$41)*(S323*U323+'Operating costs'!$B$48/(1-'Operating costs'!$B$44))/(V323*'Operating costs'!$B$47/(1-'Operating costs'!$B$44)-T323*'Operating costs'!$B$12*U323),0)),0))</f>
        <v>0</v>
      </c>
      <c r="X323" s="1">
        <f>IF(C323=0,0,IF(AND(P323="Complete",D323="EV",E323&lt;120),(R323-'Operating costs'!$B$41)*(S323*U323+'Operating costs'!$B$48/(1-'Operating costs'!$B$44))+W323*'Operating costs'!$B$12*U323,0))</f>
        <v>0</v>
      </c>
      <c r="Y323" s="1">
        <f>IF(AND(C323=1,D323="EV",E323&lt;120),AI323/(1-'Operating costs'!$B$44)*(1-T323),0)</f>
        <v>0</v>
      </c>
      <c r="Z323" s="1">
        <f t="shared" si="8"/>
        <v>0</v>
      </c>
      <c r="AA323" s="1">
        <f>IF(C323=0,0,IF(P323="Complete",((S323*(R323-'Operating costs'!$B$40))+ROUNDUP(S323*(R323-'Operating costs'!$B$40)*IF('Replacement plan'!$AH$86="",'Operating costs'!$B$7,'Replacement plan'!$AH$86)/('Operating costs'!$B$8-'Operating costs'!$B$9*IF('Replacement plan'!$AH$86="",'Operating costs'!$B$7,'Replacement plan'!$AH$86)),0)*'Operating costs'!$B$9)*IF('Replacement plan'!$AH$86="",'Operating costs'!$B$7,'Replacement plan'!$AH$86),"n.a."))</f>
        <v>0</v>
      </c>
      <c r="AB323" s="1">
        <f t="shared" si="9"/>
        <v>0</v>
      </c>
      <c r="AC323" s="1">
        <f>IF(AND(C323=1,D323="EV",E323&lt;120,T323&gt;0),'Operating costs'!$B$12/'Operating costs'!$B$11*60+'Operating costs'!$B$13+'Operating costs'!$B$14+V323*'Operating costs'!$B$47/(1-'Operating costs'!$B$44)/'Replacement plan'!$L$86*60,0)</f>
        <v>0</v>
      </c>
      <c r="AD323" s="1" t="str">
        <f>'Replacement plan'!$B$86</f>
        <v>ChengLong L2EV</v>
      </c>
      <c r="AE323" s="1">
        <f>IF(C323=0,0,VLOOKUP($A323,'Fleet register'!$A$7:$S$106,8,FALSE))</f>
        <v>0</v>
      </c>
      <c r="AF323" s="1" t="str">
        <f>IF('Replacement plan'!$H$86="","n.a.",'Replacement plan'!$H$86)</f>
        <v>n.a.</v>
      </c>
      <c r="AG323" s="1">
        <f>'Replacement plan'!$J$86</f>
        <v>22</v>
      </c>
      <c r="AH323" s="1">
        <f>IFERROR(IF(D323="EV",IF('Replacement plan'!$K$86="AC",IF(ISNUMBER(INDEX(Products!$G$7:$G$13,MATCH('Replacement plan'!$B$86,Products!$A$7:$A$13,0))),INDEX(Products!$G$7:$G$13,MATCH('Replacement plan'!$B$86,Products!$A$7:$A$13,0)),"n.a."),IF(ISNUMBER(INDEX(Products!$H$7:$H$13,MATCH('Replacement plan'!$B$86,Products!$A$7:$A$13,0))),INDEX(Products!$H$7:$H$13,MATCH('Replacement plan'!$B$86,Products!$A$7:$A$13,0)),"n.a.")),0),"n.a.")</f>
        <v>0</v>
      </c>
      <c r="AI323" s="1">
        <f>IF(AND(C323=1,D323="EV",E323&lt;120),(VLOOKUP($A323,'Fleet register'!$A$7:$S$106,7,FALSE)+IF(T323&gt;0,'Operating costs'!$B$12,0))*U323*(1-'Operating costs'!$B$44)+'Operating costs'!$B$49,0)</f>
        <v>0</v>
      </c>
      <c r="AJ323" s="1">
        <f>IF(D323="EV",'Energy and charging'!$B$50,0)</f>
        <v>0</v>
      </c>
      <c r="AK323" s="17">
        <f>EDATE('Operating costs'!$B$63,E323)</f>
        <v>46298</v>
      </c>
      <c r="AL323" s="1">
        <f>IFERROR(IF(D323="EV",INDEX(Products!$B$7:$B$13,MATCH('Replacement plan'!$B$86,Products!$A$7:$A$13,0)),0),"n.a.")</f>
        <v>0</v>
      </c>
      <c r="AM323" s="1" t="str">
        <f>'Replacement plan'!$K$86</f>
        <v>DC</v>
      </c>
      <c r="AN323" s="1" t="str">
        <f>'Replacement plan'!$AE$86</f>
        <v>Assumed</v>
      </c>
      <c r="AO323" s="47">
        <f>IF(AND(C323=1,D323="EV",E323&lt;120),(R323-'Operating costs'!$B$41)*S323+W323*'Operating costs'!$B$12,0)</f>
        <v>0</v>
      </c>
      <c r="AP323" s="41">
        <f>IF(AND(C323=1,D323="EV",E323&lt;120),IF('Operating costs'!$B$68="Hong Seh 200k average",AO323*IFERROR(INDEX(Products!$P$7:$P$13,MATCH(AD323,Products!$A$7:$A$13,0)),"n.a."),'Operating costs'!$B$26),0)</f>
        <v>0</v>
      </c>
      <c r="AQ323" s="40" t="str">
        <f>IF(D323="EV",'Operating costs'!$B$68,"Not applicable")</f>
        <v>Not applicable</v>
      </c>
    </row>
    <row r="324" spans="1:43" ht="24" customHeight="1">
      <c r="A324" s="1" t="str">
        <f>'Replacement plan'!A86</f>
        <v>T080</v>
      </c>
      <c r="B324" s="1">
        <v>1</v>
      </c>
      <c r="C324" s="1">
        <f>IF(COUNTIFS('Fleet register'!$A$7:$A$106,$A324)=1,VLOOKUP($A324,'Fleet register'!$A$7:$S$106,2,FALSE),0)</f>
        <v>0</v>
      </c>
      <c r="D324" s="1" t="str">
        <f>IF("New ICE"="EV","EV","ICE")</f>
        <v>ICE</v>
      </c>
      <c r="E324" s="1">
        <f>IF(C324=0,0,0)</f>
        <v>0</v>
      </c>
      <c r="F324" s="16">
        <f>IF(C324=0,0,VLOOKUP($A324,'Fleet register'!$A$7:$S$106,11,FALSE))</f>
        <v>0</v>
      </c>
      <c r="G324" s="16">
        <f>IFERROR(IF(C324=0,0,IF(E324=120,0,IF(D324="ICE",'Replacement plan'!$C$86,IF('Replacement plan'!$D$86="",INDEX(Products!$I$7:$I$13,MATCH('Replacement plan'!$B$86,Products!$A$7:$A$13,0))+'Operating costs'!$B$57,'Replacement plan'!$D$86))*(1+'Operating costs'!$B$50)^(E324/12))),"n.a.")</f>
        <v>0</v>
      </c>
      <c r="H324" s="16">
        <f>IFERROR(IF(C324=0,0,IF(E324=0,F324,VLOOKUP($A324,'Fleet register'!$A$7:$S$106,12,FALSE)+VLOOKUP($A324,'Fleet register'!$A$7:$S$106,13,FALSE)*MAX(0,VLOOKUP($A324,'Fleet register'!$A$7:$S$106,10,FALSE)-E324)/VLOOKUP($A324,'Fleet register'!$A$7:$S$106,14,FALSE))),"n.a.")</f>
        <v>0</v>
      </c>
      <c r="I324" s="16">
        <f>IF(C324=0,0,IF(E324=120,0,IF('Replacement plan'!$AI$86="",'Operating costs'!$B$56,'Replacement plan'!$AI$86)))</f>
        <v>0</v>
      </c>
      <c r="J324" s="16">
        <f>IF(C324=0,0,IF(P324="Complete",((S324*(R324-'Operating costs'!$B$39))+ROUNDUP(S324*(R324-'Operating costs'!$B$39)*IF('Replacement plan'!$AG$86="",'Operating costs'!$B$7,'Replacement plan'!$AG$86)/('Operating costs'!$B$8-'Operating costs'!$B$9*IF('Replacement plan'!$AG$86="",'Operating costs'!$B$7,'Replacement plan'!$AG$86)),0)*'Operating costs'!$B$9)*IF('Replacement plan'!$AG$86="",'Operating costs'!$B$7,'Replacement plan'!$AG$86)*('Energy and charging'!$B$9*'Energy and charging'!$B$7+(1-'Energy and charging'!$B$9)*'Energy and charging'!$B$8)*'Operating costs'!$B$23,"n.a."))</f>
        <v>0</v>
      </c>
      <c r="K324" s="16">
        <f>IF(C324=0,0,IF(P324="Complete",SUM('Operating costs'!$B$24,'Operating costs'!$B$27,'Operating costs'!$B$29,'Operating costs'!$B$31,'Operating costs'!$B$33,'Operating costs'!$B$34,'Operating costs'!$B$37,'Replacement plan'!$W$86)+'Operating costs'!$B$39*'Operating costs'!$B$42+ROUNDUP(S324*(R324-'Operating costs'!$B$39)*IF('Replacement plan'!$AG$86="",'Operating costs'!$B$7,'Replacement plan'!$AG$86)/('Operating costs'!$B$8-'Operating costs'!$B$9*IF('Replacement plan'!$AG$86="",'Operating costs'!$B$7,'Replacement plan'!$AG$86)),0)*('Operating costs'!$B$9/'Operating costs'!$B$11+'Operating costs'!$B$10/60)*'Operating costs'!$B$19*'Operating costs'!$B$21,"n.a."))</f>
        <v>0</v>
      </c>
      <c r="L324" s="16">
        <f>IF(C324=0,0,IF(P324="Complete",IF(D324="EV",X324*((1-T324)*'Energy and charging'!$B$10+T324*'Energy and charging'!$B$11)*'Operating costs'!$B$22,AA324*('Energy and charging'!$B$9*'Energy and charging'!$B$7+(1-'Energy and charging'!$B$9)*'Energy and charging'!$B$8)*'Operating costs'!$B$23),"n.a."))</f>
        <v>0</v>
      </c>
      <c r="M324" s="37">
        <f>IF(C324=0,0,IF(P324="Complete",IF(D324="ICE",SUM('Operating costs'!$B$25,'Operating costs'!$B$27,'Operating costs'!$B$29,'Operating costs'!$B$31,'Operating costs'!$B$33,'Operating costs'!$B$35,'Operating costs'!$B$37,'Replacement plan'!$X$86)+'Operating costs'!$B$40*'Operating costs'!$B$42+ROUNDUP(S324*(R324-'Operating costs'!$B$40)*IF('Replacement plan'!$AH$86="",'Operating costs'!$B$7,'Replacement plan'!$AH$86)/('Operating costs'!$B$8-'Operating costs'!$B$9*IF('Replacement plan'!$AH$86="",'Operating costs'!$B$7,'Replacement plan'!$AH$86)),0)*('Operating costs'!$B$9/'Operating costs'!$B$11+'Operating costs'!$B$10/60)*'Operating costs'!$B$19*'Operating costs'!$B$21,SUM(AP324,'Operating costs'!$B$28,'Operating costs'!$B$30,'Operating costs'!$B$32,'Operating costs'!$B$33,'Operating costs'!$B$36,'Operating costs'!$B$38,'Replacement plan'!$Y$86)+'Operating costs'!$B$41*'Operating costs'!$B$43+W324*'Operating costs'!$B$15+(T324*X324/'Replacement plan'!$L$86+W324*('Operating costs'!$B$12/'Operating costs'!$B$11+('Operating costs'!$B$13+'Operating costs'!$B$14)/60)+(R324-'Operating costs'!$B$41)*(IF(T324&lt;1,'Operating costs'!$B$16,0)+'Operating costs'!$B$17)/60)*'Operating costs'!$B$19*'Operating costs'!$B$20),"n.a."))</f>
        <v>0</v>
      </c>
      <c r="N324" s="16">
        <f>IF(AND(C324=1,D324="EV",E324&lt;120,E324+'Replacement plan'!$AA$86&lt;=120),'Replacement plan'!$Z$86,0)</f>
        <v>0</v>
      </c>
      <c r="O324" s="1">
        <f>E324+'Replacement plan'!$AA$86</f>
        <v>0</v>
      </c>
      <c r="P324" s="35" t="str">
        <f>IFERROR(IF(C324=0,"Excluded",IF(OR(COUNTIFS('Fleet register'!$A$7:$A$106,A324)&lt;&gt;1,COUNTIFS('Replacement plan'!$A$7:$A$106,A324)&lt;&gt;1),"Duplicate/missing ID",IF(NOT(AND(ISNUMBER(VLOOKUP($A324,'Fleet register'!$A$7:$S$106,5,FALSE)),ISNUMBER(VLOOKUP($A324,'Fleet register'!$A$7:$S$106,6,FALSE)),ISNUMBER(VLOOKUP($A324,'Fleet register'!$A$7:$S$106,10,FALSE)),ISNUMBER(VLOOKUP($A324,'Fleet register'!$A$7:$S$106,11,FALSE)),ISNUMBER(VLOOKUP($A324,'Fleet register'!$A$7:$S$106,12,FALSE)),ISNUMBER(VLOOKUP($A324,'Fleet register'!$A$7:$S$106,13,FALSE)),ISNUMBER(VLOOKUP($A324,'Fleet register'!$A$7:$S$106,14,FALSE)),VLOOKUP($A324,'Fleet register'!$A$7:$S$106,14,FALSE)&gt;0,ISNUMBER('Replacement plan'!$C$86),OR(E324=120,OR(ISNUMBER('Replacement plan'!$AI$86),AND('Replacement plan'!$AI$86="",ISNUMBER('Operating costs'!$B$56)))),ISNUMBER(E324))),"Missing vehicle input",IF(OR(E324&lt;0,E324&gt;VLOOKUP($A324,'Fleet register'!$A$7:$S$106,10,FALSE),E324&gt;120,E324&lt;&gt;INT(E324),VLOOKUP($A324,'Fleet register'!$A$7:$S$106,6,FALSE)&lt;=0,VLOOKUP($A324,'Fleet register'!$A$7:$S$106,6,FALSE)&gt;366,VLOOKUP($A324,'Fleet register'!$A$7:$S$106,5,FALSE)&lt;0,VLOOKUP($A324,'Fleet register'!$A$7:$S$106,11,FALSE)&lt;0,I324&lt;0,'Operating costs'!$B$8&lt;='Operating costs'!$B$7*'Operating costs'!$B$9,'Operating costs'!$B$11&lt;=0,'Operating costs'!$B$39&gt;R324,'Operating costs'!$B$40&gt;R324,'Operating costs'!$B$41&gt;R324,NOT(OR("New ICE"="Keep ICE","New ICE"="New ICE","New ICE"="EV"))),"Invalid vehicle input",IF(AND(D324="EV",E324&lt;120,OR(NOT(ISNUMBER(U324)),NOT(ISNUMBER(V324)),V324&lt;=0,T324&lt;0,T324&gt;1,'Replacement plan'!$L$86&lt;=0,'Operating costs'!$B$44&lt;0,'Operating costs'!$B$44&gt;=1,'Operating costs'!$B$47&lt;=0,'Operating costs'!$B$47&gt;1,V324*'Operating costs'!$B$47/(1-'Operating costs'!$B$44)&lt;=T324*'Operating costs'!$B$12*U324,AND('Replacement plan'!$Z$86&gt;0,OR('Replacement plan'!$AB$86&lt;&gt;"Yes",'Operating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charging'!$B$8&gt;=0))),ISNUMBER(VLOOKUP($A324,'Fleet register'!$A$7:$S$106,15,FALSE)),ISNUMBER(VLOOKUP($A324,'Fleet register'!$A$7:$S$106,16,FALSE)),ISNUMBER('Replacement plan'!$W$86),ISNUMBER('Replacement plan'!$X$86),OR(E324=120,AND(ISNUMBER(G324),G324&gt;=0)),ISNUMBER(H324),H324&gt;=0,OR(D324&lt;&gt;"EV",E324=120,AND(ISNUMBER('Operating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average",ISNUMBER(IFERROR(INDEX(Products!$P$7:$P$13,MATCH(AD324,Products!$A$7:$A$13,0)),"")))),ISNUMBER('Operating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plan'!$Y$86),ISNUMBER('Replacement plan'!$Z$86),'Replacement plan'!$Z$86&gt;=0,ISNUMBER('Replacement plan'!$AA$86),'Replacement plan'!$AA$86&gt;=0,'Replacement plan'!$AA$86=INT('Replacement plan'!$AA$86),ISNUMBER('Replacement plan'!$L$86))),'Operating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plan'!$AG$86="",'Operating costs'!$B$7,'Replacement plan'!$AG$86)),IF('Replacement plan'!$AG$86="",'Operating costs'!$B$7,'Replacement plan'!$AG$86)&gt;=0,ISNUMBER(IF('Replacement plan'!$AH$86="",'Operating costs'!$B$7,'Replacement plan'!$AH$86)),IF('Replacement plan'!$AH$86="",'Operating costs'!$B$7,'Replacement plan'!$AH$86)&gt;=0,'Operating costs'!$B$8&gt;MAX(IF('Replacement plan'!$AG$86="",'Operating costs'!$B$7,'Replacement plan'!$AG$86),IF('Replacement plan'!$AH$86="",'Operating costs'!$B$7,'Replacement plan'!$AH$86))*'Operating costs'!$B$9),IF(AND(VLOOKUP($A324,'Fleet register'!$A$7:$S$106,10,FALSE)&gt;=0,VLOOKUP($A324,'Fleet register'!$A$7:$S$106,10,FALSE)&lt;=120,VLOOKUP($A324,'Fleet register'!$A$7:$S$106,10,FALSE)=INT(VLOOKUP($A324,'Fleet register'!$A$7:$S$106,10,FALSE)),VLOOKUP($A324,'Fleet register'!$A$7:$S$106,15,FALSE)&gt;=0,VLOOKUP($A324,'Fleet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costs'!$B$67)&gt;=0,OR(D324&lt;&gt;"EV",E324=120,AND(MIN('Operating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24" s="1" t="str">
        <f>IF(C324=0,"Excluded",IF(P324&lt;&gt;"Complete",P324,IF(OR('Replacement plan'!$AD$86&lt;120-E324,AND(D324="EV",E324&lt;120,OR('Replacement plan'!$AC$86&lt;120-E324,'Replacement plan'!$I$86="No",AND(ISNUMBER(AF324),AE324&gt;AF324),AI324&gt;V324*(1-'Operating costs'!$B$46)^MAX(0,AB324-1)*(1-'Operating costs'!$B$45),AC324&gt;'Operating costs'!$B$18,AND(T324&lt;1,OR(AG324&lt;=0,AND(ISNUMBER(AH324),AG324&gt;AH324))),'Replacement plan'!$L$86&gt;INDEX(Products!$H$7:$H$13,MATCH('Replacement plan'!$B$86,Products!$A$7:$A$13,0))))),"Fails entered limits",IF(AND(D324="EV",E324&lt;120,OR(NOT(ISNUMBER(VLOOKUP($A324,'Fleet register'!$A$7:$S$106,7,FALSE))),NOT(ISNUMBER(VLOOKUP($A324,'Fleet register'!$A$7:$S$106,8,FALSE))),NOT(ISNUMBER(AF324)),'Replacement plan'!$I$86&lt;&gt;"Yes",NOT(ISNUMBER(AH324)),'Operating costs'!$B$59&lt;&gt;"Yes",'Operating costs'!$B$58&lt;&gt;"Yes")),"Unverified","Within entered limits"))))</f>
        <v>Excluded</v>
      </c>
      <c r="R324" s="1">
        <f>IF(C324=0,0,VLOOKUP($A324,'Fleet register'!$A$7:$S$106,6,FALSE))</f>
        <v>0</v>
      </c>
      <c r="S324" s="1">
        <f>IF(C324=0,0,VLOOKUP($A324,'Fleet register'!$A$7:$S$106,5,FALSE))</f>
        <v>0</v>
      </c>
      <c r="T324" s="1">
        <f>IF(D324="EV",'Energy and charging'!$B$12,0)</f>
        <v>0</v>
      </c>
      <c r="U324" s="1">
        <f>IFERROR(IF(C324=0,0,IF(D324="EV",IF('Replacement plan'!$F$86="",INDEX(Products!$E$7:$E$13,MATCH('Replacement plan'!$B$86,Products!$A$7:$A$13,0)),'Replacement plan'!$F$86)/IF('Replacement plan'!$G$86="Battery",1-'Operating costs'!$B$44,1),0)),"n.a.")</f>
        <v>0</v>
      </c>
      <c r="V324" s="1">
        <f>IFERROR(IF(C324=0,0,IF(D324="EV",IF('Replacement plan'!$E$86="",INDEX(Products!$D$7:$D$13,MATCH('Replacement plan'!$B$86,Products!$A$7:$A$13,0)),'Replacement plan'!$E$86),0)),"n.a.")</f>
        <v>0</v>
      </c>
      <c r="W324" s="1">
        <f>IF(C324=0,0,IF(AND(P324="Complete",D324="EV",E324&lt;120),IF(T324=0,0,ROUNDUP(T324*(R324-'Operating costs'!$B$41)*(S324*U324+'Operating costs'!$B$48/(1-'Operating costs'!$B$44))/(V324*'Operating costs'!$B$47/(1-'Operating costs'!$B$44)-T324*'Operating costs'!$B$12*U324),0)),0))</f>
        <v>0</v>
      </c>
      <c r="X324" s="1">
        <f>IF(C324=0,0,IF(AND(P324="Complete",D324="EV",E324&lt;120),(R324-'Operating costs'!$B$41)*(S324*U324+'Operating costs'!$B$48/(1-'Operating costs'!$B$44))+W324*'Operating costs'!$B$12*U324,0))</f>
        <v>0</v>
      </c>
      <c r="Y324" s="1">
        <f>IF(AND(C324=1,D324="EV",E324&lt;120),AI324/(1-'Operating costs'!$B$44)*(1-T324),0)</f>
        <v>0</v>
      </c>
      <c r="Z324" s="1">
        <f t="shared" si="8"/>
        <v>0</v>
      </c>
      <c r="AA324" s="1">
        <f>IF(C324=0,0,IF(P324="Complete",((S324*(R324-'Operating costs'!$B$40))+ROUNDUP(S324*(R324-'Operating costs'!$B$40)*IF('Replacement plan'!$AH$86="",'Operating costs'!$B$7,'Replacement plan'!$AH$86)/('Operating costs'!$B$8-'Operating costs'!$B$9*IF('Replacement plan'!$AH$86="",'Operating costs'!$B$7,'Replacement plan'!$AH$86)),0)*'Operating costs'!$B$9)*IF('Replacement plan'!$AH$86="",'Operating costs'!$B$7,'Replacement plan'!$AH$86),"n.a."))</f>
        <v>0</v>
      </c>
      <c r="AB324" s="1">
        <f t="shared" si="9"/>
        <v>0</v>
      </c>
      <c r="AC324" s="1">
        <f>IF(AND(C324=1,D324="EV",E324&lt;120,T324&gt;0),'Operating costs'!$B$12/'Operating costs'!$B$11*60+'Operating costs'!$B$13+'Operating costs'!$B$14+V324*'Operating costs'!$B$47/(1-'Operating costs'!$B$44)/'Replacement plan'!$L$86*60,0)</f>
        <v>0</v>
      </c>
      <c r="AD324" s="1" t="str">
        <f>'Replacement plan'!$B$86</f>
        <v>ChengLong L2EV</v>
      </c>
      <c r="AE324" s="1">
        <f>IF(C324=0,0,VLOOKUP($A324,'Fleet register'!$A$7:$S$106,8,FALSE))</f>
        <v>0</v>
      </c>
      <c r="AF324" s="1" t="str">
        <f>IF('Replacement plan'!$H$86="","n.a.",'Replacement plan'!$H$86)</f>
        <v>n.a.</v>
      </c>
      <c r="AG324" s="1">
        <f>'Replacement plan'!$J$86</f>
        <v>22</v>
      </c>
      <c r="AH324" s="1">
        <f>IFERROR(IF(D324="EV",IF('Replacement plan'!$K$86="AC",IF(ISNUMBER(INDEX(Products!$G$7:$G$13,MATCH('Replacement plan'!$B$86,Products!$A$7:$A$13,0))),INDEX(Products!$G$7:$G$13,MATCH('Replacement plan'!$B$86,Products!$A$7:$A$13,0)),"n.a."),IF(ISNUMBER(INDEX(Products!$H$7:$H$13,MATCH('Replacement plan'!$B$86,Products!$A$7:$A$13,0))),INDEX(Products!$H$7:$H$13,MATCH('Replacement plan'!$B$86,Products!$A$7:$A$13,0)),"n.a.")),0),"n.a.")</f>
        <v>0</v>
      </c>
      <c r="AI324" s="1">
        <f>IF(AND(C324=1,D324="EV",E324&lt;120),(VLOOKUP($A324,'Fleet register'!$A$7:$S$106,7,FALSE)+IF(T324&gt;0,'Operating costs'!$B$12,0))*U324*(1-'Operating costs'!$B$44)+'Operating costs'!$B$49,0)</f>
        <v>0</v>
      </c>
      <c r="AJ324" s="1">
        <f>IF(D324="EV",'Energy and charging'!$B$50,0)</f>
        <v>0</v>
      </c>
      <c r="AK324" s="17">
        <f>EDATE('Operating costs'!$B$63,E324)</f>
        <v>46298</v>
      </c>
      <c r="AL324" s="1">
        <f>IFERROR(IF(D324="EV",INDEX(Products!$B$7:$B$13,MATCH('Replacement plan'!$B$86,Products!$A$7:$A$13,0)),0),"n.a.")</f>
        <v>0</v>
      </c>
      <c r="AM324" s="1" t="str">
        <f>'Replacement plan'!$K$86</f>
        <v>DC</v>
      </c>
      <c r="AN324" s="1" t="str">
        <f>'Replacement plan'!$AE$86</f>
        <v>Assumed</v>
      </c>
      <c r="AO324" s="47">
        <f>IF(AND(C324=1,D324="EV",E324&lt;120),(R324-'Operating costs'!$B$41)*S324+W324*'Operating costs'!$B$12,0)</f>
        <v>0</v>
      </c>
      <c r="AP324" s="41">
        <f>IF(AND(C324=1,D324="EV",E324&lt;120),IF('Operating costs'!$B$68="Hong Seh 200k average",AO324*IFERROR(INDEX(Products!$P$7:$P$13,MATCH(AD324,Products!$A$7:$A$13,0)),"n.a."),'Operating costs'!$B$26),0)</f>
        <v>0</v>
      </c>
      <c r="AQ324" s="40" t="str">
        <f>IF(D324="EV",'Operating costs'!$B$68,"Not applicable")</f>
        <v>Not applicable</v>
      </c>
    </row>
    <row r="325" spans="1:43" ht="24" customHeight="1">
      <c r="A325" s="1" t="str">
        <f>'Replacement plan'!A86</f>
        <v>T080</v>
      </c>
      <c r="B325" s="1">
        <v>2</v>
      </c>
      <c r="C325" s="1">
        <f>IF(COUNTIFS('Fleet register'!$A$7:$A$106,$A325)=1,VLOOKUP($A325,'Fleet register'!$A$7:$S$106,2,FALSE),0)</f>
        <v>0</v>
      </c>
      <c r="D325" s="1" t="str">
        <f>IF('Replacement plan'!$O$86="EV","EV","ICE")</f>
        <v>ICE</v>
      </c>
      <c r="E325" s="1">
        <f>IF(C325=0,0,IF('Replacement plan'!$P$86="",IF('Replacement plan'!$O$86="Keep ICE",IF('Replacement plan'!$M$86="",VLOOKUP($A325,'Fleet register'!$A$7:$S$106,10,FALSE),'Replacement plan'!$M$86),0),'Replacement plan'!$P$86))</f>
        <v>0</v>
      </c>
      <c r="F325" s="16">
        <f>IF(C325=0,0,VLOOKUP($A325,'Fleet register'!$A$7:$S$106,11,FALSE))</f>
        <v>0</v>
      </c>
      <c r="G325" s="16">
        <f>IFERROR(IF(C325=0,0,IF(E325=120,0,IF(D325="ICE",'Replacement plan'!$C$86,IF('Replacement plan'!$D$86="",INDEX(Products!$I$7:$I$13,MATCH('Replacement plan'!$B$86,Products!$A$7:$A$13,0))+'Operating costs'!$B$57,'Replacement plan'!$D$86))*(1+'Operating costs'!$B$50)^(E325/12))),"n.a.")</f>
        <v>0</v>
      </c>
      <c r="H325" s="16">
        <f>IFERROR(IF(C325=0,0,IF('Replacement plan'!$U$86&lt;&gt;"",'Replacement plan'!$U$86,IF(E325=0,F325,VLOOKUP($A325,'Fleet register'!$A$7:$S$106,12,FALSE)+VLOOKUP($A325,'Fleet register'!$A$7:$S$106,13,FALSE)*MAX(0,VLOOKUP($A325,'Fleet register'!$A$7:$S$106,10,FALSE)-E325)/VLOOKUP($A325,'Fleet register'!$A$7:$S$106,14,FALSE)))),"n.a.")</f>
        <v>0</v>
      </c>
      <c r="I325" s="16">
        <f>IF(C325=0,0,IF(E325=120,0,'Replacement plan'!$Q$86))</f>
        <v>0</v>
      </c>
      <c r="J325" s="16">
        <f>IF(C325=0,0,IF(P325="Complete",((S325*(R325-'Operating costs'!$B$39))+ROUNDUP(S325*(R325-'Operating costs'!$B$39)*IF('Replacement plan'!$AG$86="",'Operating costs'!$B$7,'Replacement plan'!$AG$86)/('Operating costs'!$B$8-'Operating costs'!$B$9*IF('Replacement plan'!$AG$86="",'Operating costs'!$B$7,'Replacement plan'!$AG$86)),0)*'Operating costs'!$B$9)*IF('Replacement plan'!$AG$86="",'Operating costs'!$B$7,'Replacement plan'!$AG$86)*('Energy and charging'!$B$9*'Energy and charging'!$B$7+(1-'Energy and charging'!$B$9)*'Energy and charging'!$B$8)*'Operating costs'!$B$23,"n.a."))</f>
        <v>0</v>
      </c>
      <c r="K325" s="16">
        <f>IF(C325=0,0,IF(P325="Complete",SUM('Operating costs'!$B$24,'Operating costs'!$B$27,'Operating costs'!$B$29,'Operating costs'!$B$31,'Operating costs'!$B$33,'Operating costs'!$B$34,'Operating costs'!$B$37,'Replacement plan'!$W$86)+'Operating costs'!$B$39*'Operating costs'!$B$42+ROUNDUP(S325*(R325-'Operating costs'!$B$39)*IF('Replacement plan'!$AG$86="",'Operating costs'!$B$7,'Replacement plan'!$AG$86)/('Operating costs'!$B$8-'Operating costs'!$B$9*IF('Replacement plan'!$AG$86="",'Operating costs'!$B$7,'Replacement plan'!$AG$86)),0)*('Operating costs'!$B$9/'Operating costs'!$B$11+'Operating costs'!$B$10/60)*'Operating costs'!$B$19*'Operating costs'!$B$21,"n.a."))</f>
        <v>0</v>
      </c>
      <c r="L325" s="16">
        <f>IF(C325=0,0,IF(P325="Complete",IF(D325="EV",X325*((1-T325)*'Energy and charging'!$B$10+T325*'Energy and charging'!$B$11)*'Operating costs'!$B$22,AA325*('Energy and charging'!$B$9*'Energy and charging'!$B$7+(1-'Energy and charging'!$B$9)*'Energy and charging'!$B$8)*'Operating costs'!$B$23),"n.a."))</f>
        <v>0</v>
      </c>
      <c r="M325" s="37">
        <f>IF(C325=0,0,IF(P325="Complete",IF(D325="ICE",SUM('Operating costs'!$B$25,'Operating costs'!$B$27,'Operating costs'!$B$29,'Operating costs'!$B$31,'Operating costs'!$B$33,'Operating costs'!$B$35,'Operating costs'!$B$37,'Replacement plan'!$X$86)+'Operating costs'!$B$40*'Operating costs'!$B$42+ROUNDUP(S325*(R325-'Operating costs'!$B$40)*IF('Replacement plan'!$AH$86="",'Operating costs'!$B$7,'Replacement plan'!$AH$86)/('Operating costs'!$B$8-'Operating costs'!$B$9*IF('Replacement plan'!$AH$86="",'Operating costs'!$B$7,'Replacement plan'!$AH$86)),0)*('Operating costs'!$B$9/'Operating costs'!$B$11+'Operating costs'!$B$10/60)*'Operating costs'!$B$19*'Operating costs'!$B$21,SUM(AP325,'Operating costs'!$B$28,'Operating costs'!$B$30,'Operating costs'!$B$32,'Operating costs'!$B$33,'Operating costs'!$B$36,'Operating costs'!$B$38,'Replacement plan'!$Y$86)+'Operating costs'!$B$41*'Operating costs'!$B$43+W325*'Operating costs'!$B$15+(T325*X325/'Replacement plan'!$L$86+W325*('Operating costs'!$B$12/'Operating costs'!$B$11+('Operating costs'!$B$13+'Operating costs'!$B$14)/60)+(R325-'Operating costs'!$B$41)*(IF(T325&lt;1,'Operating costs'!$B$16,0)+'Operating costs'!$B$17)/60)*'Operating costs'!$B$19*'Operating costs'!$B$20),"n.a."))</f>
        <v>0</v>
      </c>
      <c r="N325" s="16">
        <f>IF(AND(C325=1,D325="EV",E325&lt;120,E325+'Replacement plan'!$AA$86&lt;=120),'Replacement plan'!$Z$86,0)</f>
        <v>0</v>
      </c>
      <c r="O325" s="1">
        <f>E325+'Replacement plan'!$AA$86</f>
        <v>0</v>
      </c>
      <c r="P325" s="35" t="str">
        <f>IFERROR(IF(C325=0,"Excluded",IF(OR(COUNTIFS('Fleet register'!$A$7:$A$106,A325)&lt;&gt;1,COUNTIFS('Replacement plan'!$A$7:$A$106,A325)&lt;&gt;1),"Duplicate/missing ID",IF(NOT(AND(ISNUMBER(VLOOKUP($A325,'Fleet register'!$A$7:$S$106,5,FALSE)),ISNUMBER(VLOOKUP($A325,'Fleet register'!$A$7:$S$106,6,FALSE)),ISNUMBER(VLOOKUP($A325,'Fleet register'!$A$7:$S$106,10,FALSE)),ISNUMBER(VLOOKUP($A325,'Fleet register'!$A$7:$S$106,11,FALSE)),ISNUMBER(VLOOKUP($A325,'Fleet register'!$A$7:$S$106,12,FALSE)),ISNUMBER(VLOOKUP($A325,'Fleet register'!$A$7:$S$106,13,FALSE)),ISNUMBER(VLOOKUP($A325,'Fleet register'!$A$7:$S$106,14,FALSE)),VLOOKUP($A325,'Fleet register'!$A$7:$S$106,14,FALSE)&gt;0,ISNUMBER('Replacement plan'!$C$86),OR(E325=120,ISNUMBER('Replacement plan'!$Q$86)),ISNUMBER(E325))),"Missing vehicle input",IF(OR(E325&lt;0,E325&gt;VLOOKUP($A325,'Fleet register'!$A$7:$S$106,10,FALSE),E325&gt;120,E325&lt;&gt;INT(E325),VLOOKUP($A325,'Fleet register'!$A$7:$S$106,6,FALSE)&lt;=0,VLOOKUP($A325,'Fleet register'!$A$7:$S$106,6,FALSE)&gt;366,VLOOKUP($A325,'Fleet register'!$A$7:$S$106,5,FALSE)&lt;0,VLOOKUP($A325,'Fleet register'!$A$7:$S$106,11,FALSE)&lt;0,I325&lt;0,'Operating costs'!$B$8&lt;='Operating costs'!$B$7*'Operating costs'!$B$9,'Operating costs'!$B$11&lt;=0,'Operating costs'!$B$39&gt;R325,'Operating costs'!$B$40&gt;R325,'Operating costs'!$B$41&gt;R325,NOT(OR('Replacement plan'!$O$86="Keep ICE",'Replacement plan'!$O$86="New ICE",'Replacement plan'!$O$86="EV"))),"Invalid vehicle input",IF(AND(D325="EV",E325&lt;120,OR(NOT(ISNUMBER(U325)),NOT(ISNUMBER(V325)),V325&lt;=0,T325&lt;0,T325&gt;1,'Replacement plan'!$L$86&lt;=0,'Operating costs'!$B$44&lt;0,'Operating costs'!$B$44&gt;=1,'Operating costs'!$B$47&lt;=0,'Operating costs'!$B$47&gt;1,V325*'Operating costs'!$B$47/(1-'Operating costs'!$B$44)&lt;=T325*'Operating costs'!$B$12*U325,AND('Replacement plan'!$Z$86&gt;0,OR('Replacement plan'!$AB$86&lt;&gt;"Yes",'Operating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charging'!$B$8&gt;=0))),ISNUMBER(VLOOKUP($A325,'Fleet register'!$A$7:$S$106,15,FALSE)),ISNUMBER(VLOOKUP($A325,'Fleet register'!$A$7:$S$106,16,FALSE)),ISNUMBER('Replacement plan'!$W$86),ISNUMBER('Replacement plan'!$X$86),OR(E325=120,AND(ISNUMBER(G325),G325&gt;=0)),ISNUMBER(H325),H325&gt;=0,OR(D325&lt;&gt;"EV",E325=120,AND(ISNUMBER('Operating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average",ISNUMBER(IFERROR(INDEX(Products!$P$7:$P$13,MATCH(AD325,Products!$A$7:$A$13,0)),"")))),ISNUMBER('Operating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plan'!$Y$86),ISNUMBER('Replacement plan'!$Z$86),'Replacement plan'!$Z$86&gt;=0,ISNUMBER('Replacement plan'!$AA$86),'Replacement plan'!$AA$86&gt;=0,'Replacement plan'!$AA$86=INT('Replacement plan'!$AA$86),ISNUMBER('Replacement plan'!$L$86))),'Operating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plan'!$AG$86="",'Operating costs'!$B$7,'Replacement plan'!$AG$86)),IF('Replacement plan'!$AG$86="",'Operating costs'!$B$7,'Replacement plan'!$AG$86)&gt;=0,ISNUMBER(IF('Replacement plan'!$AH$86="",'Operating costs'!$B$7,'Replacement plan'!$AH$86)),IF('Replacement plan'!$AH$86="",'Operating costs'!$B$7,'Replacement plan'!$AH$86)&gt;=0,'Operating costs'!$B$8&gt;MAX(IF('Replacement plan'!$AG$86="",'Operating costs'!$B$7,'Replacement plan'!$AG$86),IF('Replacement plan'!$AH$86="",'Operating costs'!$B$7,'Replacement plan'!$AH$86))*'Operating costs'!$B$9),IF(AND(VLOOKUP($A325,'Fleet register'!$A$7:$S$106,10,FALSE)&gt;=0,VLOOKUP($A325,'Fleet register'!$A$7:$S$106,10,FALSE)&lt;=120,VLOOKUP($A325,'Fleet register'!$A$7:$S$106,10,FALSE)=INT(VLOOKUP($A325,'Fleet register'!$A$7:$S$106,10,FALSE)),VLOOKUP($A325,'Fleet register'!$A$7:$S$106,15,FALSE)&gt;=0,VLOOKUP($A325,'Fleet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costs'!$B$67)&gt;=0,OR(D325&lt;&gt;"EV",E325=120,AND(MIN('Operating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25" s="1" t="str">
        <f>IF(C325=0,"Excluded",IF(P325&lt;&gt;"Complete",P325,IF(OR('Replacement plan'!$AD$86&lt;120-E325,AND(D325="EV",E325&lt;120,OR('Replacement plan'!$AC$86&lt;120-E325,'Replacement plan'!$I$86="No",AND(ISNUMBER(AF325),AE325&gt;AF325),AI325&gt;V325*(1-'Operating costs'!$B$46)^MAX(0,AB325-1)*(1-'Operating costs'!$B$45),AC325&gt;'Operating costs'!$B$18,AND(T325&lt;1,OR(AG325&lt;=0,AND(ISNUMBER(AH325),AG325&gt;AH325))),'Replacement plan'!$L$86&gt;INDEX(Products!$H$7:$H$13,MATCH('Replacement plan'!$B$86,Products!$A$7:$A$13,0))))),"Fails entered limits",IF(AND(D325="EV",E325&lt;120,OR(NOT(ISNUMBER(VLOOKUP($A325,'Fleet register'!$A$7:$S$106,7,FALSE))),NOT(ISNUMBER(VLOOKUP($A325,'Fleet register'!$A$7:$S$106,8,FALSE))),NOT(ISNUMBER(AF325)),'Replacement plan'!$I$86&lt;&gt;"Yes",NOT(ISNUMBER(AH325)),'Operating costs'!$B$59&lt;&gt;"Yes",'Operating costs'!$B$58&lt;&gt;"Yes")),"Unverified","Within entered limits"))))</f>
        <v>Excluded</v>
      </c>
      <c r="R325" s="1">
        <f>IF(C325=0,0,VLOOKUP($A325,'Fleet register'!$A$7:$S$106,6,FALSE))</f>
        <v>0</v>
      </c>
      <c r="S325" s="1">
        <f>IF(C325=0,0,VLOOKUP($A325,'Fleet register'!$A$7:$S$106,5,FALSE))</f>
        <v>0</v>
      </c>
      <c r="T325" s="1">
        <f>IF(D325="EV",'Energy and charging'!$B$12,0)</f>
        <v>0</v>
      </c>
      <c r="U325" s="1">
        <f>IFERROR(IF(C325=0,0,IF(D325="EV",IF('Replacement plan'!$F$86="",INDEX(Products!$E$7:$E$13,MATCH('Replacement plan'!$B$86,Products!$A$7:$A$13,0)),'Replacement plan'!$F$86)/IF('Replacement plan'!$G$86="Battery",1-'Operating costs'!$B$44,1),0)),"n.a.")</f>
        <v>0</v>
      </c>
      <c r="V325" s="1">
        <f>IFERROR(IF(C325=0,0,IF(D325="EV",IF('Replacement plan'!$E$86="",INDEX(Products!$D$7:$D$13,MATCH('Replacement plan'!$B$86,Products!$A$7:$A$13,0)),'Replacement plan'!$E$86),0)),"n.a.")</f>
        <v>0</v>
      </c>
      <c r="W325" s="1">
        <f>IF(C325=0,0,IF(AND(P325="Complete",D325="EV",E325&lt;120),IF(T325=0,0,ROUNDUP(T325*(R325-'Operating costs'!$B$41)*(S325*U325+'Operating costs'!$B$48/(1-'Operating costs'!$B$44))/(V325*'Operating costs'!$B$47/(1-'Operating costs'!$B$44)-T325*'Operating costs'!$B$12*U325),0)),0))</f>
        <v>0</v>
      </c>
      <c r="X325" s="1">
        <f>IF(C325=0,0,IF(AND(P325="Complete",D325="EV",E325&lt;120),(R325-'Operating costs'!$B$41)*(S325*U325+'Operating costs'!$B$48/(1-'Operating costs'!$B$44))+W325*'Operating costs'!$B$12*U325,0))</f>
        <v>0</v>
      </c>
      <c r="Y325" s="1">
        <f>IF(AND(C325=1,D325="EV",E325&lt;120),AI325/(1-'Operating costs'!$B$44)*(1-T325),0)</f>
        <v>0</v>
      </c>
      <c r="Z325" s="1">
        <f t="shared" si="8"/>
        <v>0</v>
      </c>
      <c r="AA325" s="1">
        <f>IF(C325=0,0,IF(P325="Complete",((S325*(R325-'Operating costs'!$B$40))+ROUNDUP(S325*(R325-'Operating costs'!$B$40)*IF('Replacement plan'!$AH$86="",'Operating costs'!$B$7,'Replacement plan'!$AH$86)/('Operating costs'!$B$8-'Operating costs'!$B$9*IF('Replacement plan'!$AH$86="",'Operating costs'!$B$7,'Replacement plan'!$AH$86)),0)*'Operating costs'!$B$9)*IF('Replacement plan'!$AH$86="",'Operating costs'!$B$7,'Replacement plan'!$AH$86),"n.a."))</f>
        <v>0</v>
      </c>
      <c r="AB325" s="1">
        <f t="shared" si="9"/>
        <v>0</v>
      </c>
      <c r="AC325" s="1">
        <f>IF(AND(C325=1,D325="EV",E325&lt;120,T325&gt;0),'Operating costs'!$B$12/'Operating costs'!$B$11*60+'Operating costs'!$B$13+'Operating costs'!$B$14+V325*'Operating costs'!$B$47/(1-'Operating costs'!$B$44)/'Replacement plan'!$L$86*60,0)</f>
        <v>0</v>
      </c>
      <c r="AD325" s="1" t="str">
        <f>'Replacement plan'!$B$86</f>
        <v>ChengLong L2EV</v>
      </c>
      <c r="AE325" s="1">
        <f>IF(C325=0,0,VLOOKUP($A325,'Fleet register'!$A$7:$S$106,8,FALSE))</f>
        <v>0</v>
      </c>
      <c r="AF325" s="1" t="str">
        <f>IF('Replacement plan'!$H$86="","n.a.",'Replacement plan'!$H$86)</f>
        <v>n.a.</v>
      </c>
      <c r="AG325" s="1">
        <f>'Replacement plan'!$J$86</f>
        <v>22</v>
      </c>
      <c r="AH325" s="1">
        <f>IFERROR(IF(D325="EV",IF('Replacement plan'!$K$86="AC",IF(ISNUMBER(INDEX(Products!$G$7:$G$13,MATCH('Replacement plan'!$B$86,Products!$A$7:$A$13,0))),INDEX(Products!$G$7:$G$13,MATCH('Replacement plan'!$B$86,Products!$A$7:$A$13,0)),"n.a."),IF(ISNUMBER(INDEX(Products!$H$7:$H$13,MATCH('Replacement plan'!$B$86,Products!$A$7:$A$13,0))),INDEX(Products!$H$7:$H$13,MATCH('Replacement plan'!$B$86,Products!$A$7:$A$13,0)),"n.a.")),0),"n.a.")</f>
        <v>0</v>
      </c>
      <c r="AI325" s="1">
        <f>IF(AND(C325=1,D325="EV",E325&lt;120),(VLOOKUP($A325,'Fleet register'!$A$7:$S$106,7,FALSE)+IF(T325&gt;0,'Operating costs'!$B$12,0))*U325*(1-'Operating costs'!$B$44)+'Operating costs'!$B$49,0)</f>
        <v>0</v>
      </c>
      <c r="AJ325" s="1">
        <f>IF(D325="EV",'Energy and charging'!$B$50,0)</f>
        <v>0</v>
      </c>
      <c r="AK325" s="17">
        <f>EDATE('Operating costs'!$B$63,E325)</f>
        <v>46298</v>
      </c>
      <c r="AL325" s="1">
        <f>IFERROR(IF(D325="EV",INDEX(Products!$B$7:$B$13,MATCH('Replacement plan'!$B$86,Products!$A$7:$A$13,0)),0),"n.a.")</f>
        <v>0</v>
      </c>
      <c r="AM325" s="1" t="str">
        <f>'Replacement plan'!$K$86</f>
        <v>DC</v>
      </c>
      <c r="AN325" s="1" t="str">
        <f>'Replacement plan'!$AE$86</f>
        <v>Assumed</v>
      </c>
      <c r="AO325" s="47">
        <f>IF(AND(C325=1,D325="EV",E325&lt;120),(R325-'Operating costs'!$B$41)*S325+W325*'Operating costs'!$B$12,0)</f>
        <v>0</v>
      </c>
      <c r="AP325" s="41">
        <f>IF(AND(C325=1,D325="EV",E325&lt;120),IF('Operating costs'!$B$68="Hong Seh 200k average",AO325*IFERROR(INDEX(Products!$P$7:$P$13,MATCH(AD325,Products!$A$7:$A$13,0)),"n.a."),'Operating costs'!$B$26),0)</f>
        <v>0</v>
      </c>
      <c r="AQ325" s="40" t="str">
        <f>IF(D325="EV",'Operating costs'!$B$68,"Not applicable")</f>
        <v>Not applicable</v>
      </c>
    </row>
    <row r="326" spans="1:43" ht="24" customHeight="1">
      <c r="A326" s="1" t="str">
        <f>'Replacement plan'!A86</f>
        <v>T080</v>
      </c>
      <c r="B326" s="1">
        <v>3</v>
      </c>
      <c r="C326" s="1">
        <f>IF(COUNTIFS('Fleet register'!$A$7:$A$106,$A326)=1,VLOOKUP($A326,'Fleet register'!$A$7:$S$106,2,FALSE),0)</f>
        <v>0</v>
      </c>
      <c r="D326" s="1" t="str">
        <f>IF('Replacement plan'!$R$86="EV","EV","ICE")</f>
        <v>ICE</v>
      </c>
      <c r="E326" s="1">
        <f>IF(C326=0,0,IF('Replacement plan'!$S$86="",IF('Replacement plan'!$R$86="Keep ICE",IF('Replacement plan'!$M$86="",VLOOKUP($A326,'Fleet register'!$A$7:$S$106,10,FALSE),'Replacement plan'!$M$86),0),'Replacement plan'!$S$86))</f>
        <v>0</v>
      </c>
      <c r="F326" s="16">
        <f>IF(C326=0,0,VLOOKUP($A326,'Fleet register'!$A$7:$S$106,11,FALSE))</f>
        <v>0</v>
      </c>
      <c r="G326" s="16">
        <f>IFERROR(IF(C326=0,0,IF(E326=120,0,IF(D326="ICE",'Replacement plan'!$C$86,IF('Replacement plan'!$D$86="",INDEX(Products!$I$7:$I$13,MATCH('Replacement plan'!$B$86,Products!$A$7:$A$13,0))+'Operating costs'!$B$57,'Replacement plan'!$D$86))*(1+'Operating costs'!$B$50)^(E326/12))),"n.a.")</f>
        <v>0</v>
      </c>
      <c r="H326" s="16">
        <f>IFERROR(IF(C326=0,0,IF('Replacement plan'!$V$86&lt;&gt;"",'Replacement plan'!$V$86,IF(E326=0,F326,VLOOKUP($A326,'Fleet register'!$A$7:$S$106,12,FALSE)+VLOOKUP($A326,'Fleet register'!$A$7:$S$106,13,FALSE)*MAX(0,VLOOKUP($A326,'Fleet register'!$A$7:$S$106,10,FALSE)-E326)/VLOOKUP($A326,'Fleet register'!$A$7:$S$106,14,FALSE)))),"n.a.")</f>
        <v>0</v>
      </c>
      <c r="I326" s="16">
        <f>IF(C326=0,0,IF(E326=120,0,'Replacement plan'!$T$86))</f>
        <v>0</v>
      </c>
      <c r="J326" s="16">
        <f>IF(C326=0,0,IF(P326="Complete",((S326*(R326-'Operating costs'!$B$39))+ROUNDUP(S326*(R326-'Operating costs'!$B$39)*IF('Replacement plan'!$AG$86="",'Operating costs'!$B$7,'Replacement plan'!$AG$86)/('Operating costs'!$B$8-'Operating costs'!$B$9*IF('Replacement plan'!$AG$86="",'Operating costs'!$B$7,'Replacement plan'!$AG$86)),0)*'Operating costs'!$B$9)*IF('Replacement plan'!$AG$86="",'Operating costs'!$B$7,'Replacement plan'!$AG$86)*('Energy and charging'!$C$9*'Energy and charging'!$C$7+(1-'Energy and charging'!$C$9)*'Energy and charging'!$C$8)*'Operating costs'!$B$23,"n.a."))</f>
        <v>0</v>
      </c>
      <c r="K326" s="16">
        <f>IF(C326=0,0,IF(P326="Complete",SUM('Operating costs'!$B$24,'Operating costs'!$B$27,'Operating costs'!$B$29,'Operating costs'!$B$31,'Operating costs'!$B$33,'Operating costs'!$B$34,'Operating costs'!$B$37,'Replacement plan'!$W$86)+'Operating costs'!$B$39*'Operating costs'!$B$42+ROUNDUP(S326*(R326-'Operating costs'!$B$39)*IF('Replacement plan'!$AG$86="",'Operating costs'!$B$7,'Replacement plan'!$AG$86)/('Operating costs'!$B$8-'Operating costs'!$B$9*IF('Replacement plan'!$AG$86="",'Operating costs'!$B$7,'Replacement plan'!$AG$86)),0)*('Operating costs'!$B$9/'Operating costs'!$B$11+'Operating costs'!$B$10/60)*'Operating costs'!$B$19*'Operating costs'!$B$21,"n.a."))</f>
        <v>0</v>
      </c>
      <c r="L326" s="16">
        <f>IF(C326=0,0,IF(P326="Complete",IF(D326="EV",X326*((1-T326)*'Energy and charging'!$C$10+T326*'Energy and charging'!$C$11)*'Operating costs'!$B$22,AA326*('Energy and charging'!$C$9*'Energy and charging'!$C$7+(1-'Energy and charging'!$C$9)*'Energy and charging'!$C$8)*'Operating costs'!$B$23),"n.a."))</f>
        <v>0</v>
      </c>
      <c r="M326" s="37">
        <f>IF(C326=0,0,IF(P326="Complete",IF(D326="ICE",SUM('Operating costs'!$B$25,'Operating costs'!$B$27,'Operating costs'!$B$29,'Operating costs'!$B$31,'Operating costs'!$B$33,'Operating costs'!$B$35,'Operating costs'!$B$37,'Replacement plan'!$X$86)+'Operating costs'!$B$40*'Operating costs'!$B$42+ROUNDUP(S326*(R326-'Operating costs'!$B$40)*IF('Replacement plan'!$AH$86="",'Operating costs'!$B$7,'Replacement plan'!$AH$86)/('Operating costs'!$B$8-'Operating costs'!$B$9*IF('Replacement plan'!$AH$86="",'Operating costs'!$B$7,'Replacement plan'!$AH$86)),0)*('Operating costs'!$B$9/'Operating costs'!$B$11+'Operating costs'!$B$10/60)*'Operating costs'!$B$19*'Operating costs'!$B$21,SUM(AP326,'Operating costs'!$B$28,'Operating costs'!$B$30,'Operating costs'!$B$32,'Operating costs'!$B$33,'Operating costs'!$B$36,'Operating costs'!$B$38,'Replacement plan'!$Y$86)+'Operating costs'!$B$41*'Operating costs'!$B$43+W326*'Operating costs'!$B$15+(T326*X326/'Replacement plan'!$L$86+W326*('Operating costs'!$B$12/'Operating costs'!$B$11+('Operating costs'!$B$13+'Operating costs'!$B$14)/60)+(R326-'Operating costs'!$B$41)*(IF(T326&lt;1,'Operating costs'!$B$16,0)+'Operating costs'!$B$17)/60)*'Operating costs'!$B$19*'Operating costs'!$B$20),"n.a."))</f>
        <v>0</v>
      </c>
      <c r="N326" s="16">
        <f>IF(AND(C326=1,D326="EV",E326&lt;120,E326+'Replacement plan'!$AA$86&lt;=120),'Replacement plan'!$Z$86,0)</f>
        <v>0</v>
      </c>
      <c r="O326" s="1">
        <f>E326+'Replacement plan'!$AA$86</f>
        <v>0</v>
      </c>
      <c r="P326" s="35" t="str">
        <f>IFERROR(IF(C326=0,"Excluded",IF(OR(COUNTIFS('Fleet register'!$A$7:$A$106,A326)&lt;&gt;1,COUNTIFS('Replacement plan'!$A$7:$A$106,A326)&lt;&gt;1),"Duplicate/missing ID",IF(NOT(AND(ISNUMBER(VLOOKUP($A326,'Fleet register'!$A$7:$S$106,5,FALSE)),ISNUMBER(VLOOKUP($A326,'Fleet register'!$A$7:$S$106,6,FALSE)),ISNUMBER(VLOOKUP($A326,'Fleet register'!$A$7:$S$106,10,FALSE)),ISNUMBER(VLOOKUP($A326,'Fleet register'!$A$7:$S$106,11,FALSE)),ISNUMBER(VLOOKUP($A326,'Fleet register'!$A$7:$S$106,12,FALSE)),ISNUMBER(VLOOKUP($A326,'Fleet register'!$A$7:$S$106,13,FALSE)),ISNUMBER(VLOOKUP($A326,'Fleet register'!$A$7:$S$106,14,FALSE)),VLOOKUP($A326,'Fleet register'!$A$7:$S$106,14,FALSE)&gt;0,ISNUMBER('Replacement plan'!$C$86),OR(E326=120,ISNUMBER('Replacement plan'!$T$86)),ISNUMBER(E326))),"Missing vehicle input",IF(OR(E326&lt;0,E326&gt;VLOOKUP($A326,'Fleet register'!$A$7:$S$106,10,FALSE),E326&gt;120,E326&lt;&gt;INT(E326),VLOOKUP($A326,'Fleet register'!$A$7:$S$106,6,FALSE)&lt;=0,VLOOKUP($A326,'Fleet register'!$A$7:$S$106,6,FALSE)&gt;366,VLOOKUP($A326,'Fleet register'!$A$7:$S$106,5,FALSE)&lt;0,VLOOKUP($A326,'Fleet register'!$A$7:$S$106,11,FALSE)&lt;0,I326&lt;0,'Operating costs'!$B$8&lt;='Operating costs'!$B$7*'Operating costs'!$B$9,'Operating costs'!$B$11&lt;=0,'Operating costs'!$B$39&gt;R326,'Operating costs'!$B$40&gt;R326,'Operating costs'!$B$41&gt;R326,NOT(OR('Replacement plan'!$R$86="Keep ICE",'Replacement plan'!$R$86="New ICE",'Replacement plan'!$R$86="EV"))),"Invalid vehicle input",IF(AND(D326="EV",E326&lt;120,OR(NOT(ISNUMBER(U326)),NOT(ISNUMBER(V326)),V326&lt;=0,T326&lt;0,T326&gt;1,'Replacement plan'!$L$86&lt;=0,'Operating costs'!$B$44&lt;0,'Operating costs'!$B$44&gt;=1,'Operating costs'!$B$47&lt;=0,'Operating costs'!$B$47&gt;1,V326*'Operating costs'!$B$47/(1-'Operating costs'!$B$44)&lt;=T326*'Operating costs'!$B$12*U326,AND('Replacement plan'!$Z$86&gt;0,OR('Replacement plan'!$AB$86&lt;&gt;"Yes",'Operating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charging'!$C$8&gt;=0))),ISNUMBER(VLOOKUP($A326,'Fleet register'!$A$7:$S$106,15,FALSE)),ISNUMBER(VLOOKUP($A326,'Fleet register'!$A$7:$S$106,16,FALSE)),ISNUMBER('Replacement plan'!$W$86),ISNUMBER('Replacement plan'!$X$86),OR(E326=120,AND(ISNUMBER(G326),G326&gt;=0)),ISNUMBER(H326),H326&gt;=0,OR(D326&lt;&gt;"EV",E326=120,AND(ISNUMBER('Operating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average",ISNUMBER(IFERROR(INDEX(Products!$P$7:$P$13,MATCH(AD326,Products!$A$7:$A$13,0)),"")))),ISNUMBER('Operating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plan'!$Y$86),ISNUMBER('Replacement plan'!$Z$86),'Replacement plan'!$Z$86&gt;=0,ISNUMBER('Replacement plan'!$AA$86),'Replacement plan'!$AA$86&gt;=0,'Replacement plan'!$AA$86=INT('Replacement plan'!$AA$86),ISNUMBER('Replacement plan'!$L$86))),'Operating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plan'!$AG$86="",'Operating costs'!$B$7,'Replacement plan'!$AG$86)),IF('Replacement plan'!$AG$86="",'Operating costs'!$B$7,'Replacement plan'!$AG$86)&gt;=0,ISNUMBER(IF('Replacement plan'!$AH$86="",'Operating costs'!$B$7,'Replacement plan'!$AH$86)),IF('Replacement plan'!$AH$86="",'Operating costs'!$B$7,'Replacement plan'!$AH$86)&gt;=0,'Operating costs'!$B$8&gt;MAX(IF('Replacement plan'!$AG$86="",'Operating costs'!$B$7,'Replacement plan'!$AG$86),IF('Replacement plan'!$AH$86="",'Operating costs'!$B$7,'Replacement plan'!$AH$86))*'Operating costs'!$B$9),IF(AND(VLOOKUP($A326,'Fleet register'!$A$7:$S$106,10,FALSE)&gt;=0,VLOOKUP($A326,'Fleet register'!$A$7:$S$106,10,FALSE)&lt;=120,VLOOKUP($A326,'Fleet register'!$A$7:$S$106,10,FALSE)=INT(VLOOKUP($A326,'Fleet register'!$A$7:$S$106,10,FALSE)),VLOOKUP($A326,'Fleet register'!$A$7:$S$106,15,FALSE)&gt;=0,VLOOKUP($A326,'Fleet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costs'!$B$67)&gt;=0,OR(D326&lt;&gt;"EV",E326=120,AND(MIN('Operating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26" s="1" t="str">
        <f>IF(C326=0,"Excluded",IF(P326&lt;&gt;"Complete",P326,IF(OR('Replacement plan'!$AD$86&lt;120-E326,AND(D326="EV",E326&lt;120,OR('Replacement plan'!$AC$86&lt;120-E326,'Replacement plan'!$I$86="No",AND(ISNUMBER(AF326),AE326&gt;AF326),AI326&gt;V326*(1-'Operating costs'!$B$46)^MAX(0,AB326-1)*(1-'Operating costs'!$B$45),AC326&gt;'Operating costs'!$B$18,AND(T326&lt;1,OR(AG326&lt;=0,AND(ISNUMBER(AH326),AG326&gt;AH326))),'Replacement plan'!$L$86&gt;INDEX(Products!$H$7:$H$13,MATCH('Replacement plan'!$B$86,Products!$A$7:$A$13,0))))),"Fails entered limits",IF(AND(D326="EV",E326&lt;120,OR(NOT(ISNUMBER(VLOOKUP($A326,'Fleet register'!$A$7:$S$106,7,FALSE))),NOT(ISNUMBER(VLOOKUP($A326,'Fleet register'!$A$7:$S$106,8,FALSE))),NOT(ISNUMBER(AF326)),'Replacement plan'!$I$86&lt;&gt;"Yes",NOT(ISNUMBER(AH326)),'Operating costs'!$B$59&lt;&gt;"Yes",'Operating costs'!$B$58&lt;&gt;"Yes")),"Unverified","Within entered limits"))))</f>
        <v>Excluded</v>
      </c>
      <c r="R326" s="1">
        <f>IF(C326=0,0,VLOOKUP($A326,'Fleet register'!$A$7:$S$106,6,FALSE))</f>
        <v>0</v>
      </c>
      <c r="S326" s="1">
        <f>IF(C326=0,0,VLOOKUP($A326,'Fleet register'!$A$7:$S$106,5,FALSE))</f>
        <v>0</v>
      </c>
      <c r="T326" s="1">
        <f>IF(D326="EV",'Energy and charging'!$C$12,0)</f>
        <v>0</v>
      </c>
      <c r="U326" s="1">
        <f>IFERROR(IF(C326=0,0,IF(D326="EV",IF('Replacement plan'!$F$86="",INDEX(Products!$E$7:$E$13,MATCH('Replacement plan'!$B$86,Products!$A$7:$A$13,0)),'Replacement plan'!$F$86)/IF('Replacement plan'!$G$86="Battery",1-'Operating costs'!$B$44,1),0)),"n.a.")</f>
        <v>0</v>
      </c>
      <c r="V326" s="1">
        <f>IFERROR(IF(C326=0,0,IF(D326="EV",IF('Replacement plan'!$E$86="",INDEX(Products!$D$7:$D$13,MATCH('Replacement plan'!$B$86,Products!$A$7:$A$13,0)),'Replacement plan'!$E$86),0)),"n.a.")</f>
        <v>0</v>
      </c>
      <c r="W326" s="1">
        <f>IF(C326=0,0,IF(AND(P326="Complete",D326="EV",E326&lt;120),IF(T326=0,0,ROUNDUP(T326*(R326-'Operating costs'!$B$41)*(S326*U326+'Operating costs'!$B$48/(1-'Operating costs'!$B$44))/(V326*'Operating costs'!$B$47/(1-'Operating costs'!$B$44)-T326*'Operating costs'!$B$12*U326),0)),0))</f>
        <v>0</v>
      </c>
      <c r="X326" s="1">
        <f>IF(C326=0,0,IF(AND(P326="Complete",D326="EV",E326&lt;120),(R326-'Operating costs'!$B$41)*(S326*U326+'Operating costs'!$B$48/(1-'Operating costs'!$B$44))+W326*'Operating costs'!$B$12*U326,0))</f>
        <v>0</v>
      </c>
      <c r="Y326" s="1">
        <f>IF(AND(C326=1,D326="EV",E326&lt;120),AI326/(1-'Operating costs'!$B$44)*(1-T326),0)</f>
        <v>0</v>
      </c>
      <c r="Z326" s="1">
        <f t="shared" si="8"/>
        <v>0</v>
      </c>
      <c r="AA326" s="1">
        <f>IF(C326=0,0,IF(P326="Complete",((S326*(R326-'Operating costs'!$B$40))+ROUNDUP(S326*(R326-'Operating costs'!$B$40)*IF('Replacement plan'!$AH$86="",'Operating costs'!$B$7,'Replacement plan'!$AH$86)/('Operating costs'!$B$8-'Operating costs'!$B$9*IF('Replacement plan'!$AH$86="",'Operating costs'!$B$7,'Replacement plan'!$AH$86)),0)*'Operating costs'!$B$9)*IF('Replacement plan'!$AH$86="",'Operating costs'!$B$7,'Replacement plan'!$AH$86),"n.a."))</f>
        <v>0</v>
      </c>
      <c r="AB326" s="1">
        <f t="shared" si="9"/>
        <v>0</v>
      </c>
      <c r="AC326" s="1">
        <f>IF(AND(C326=1,D326="EV",E326&lt;120,T326&gt;0),'Operating costs'!$B$12/'Operating costs'!$B$11*60+'Operating costs'!$B$13+'Operating costs'!$B$14+V326*'Operating costs'!$B$47/(1-'Operating costs'!$B$44)/'Replacement plan'!$L$86*60,0)</f>
        <v>0</v>
      </c>
      <c r="AD326" s="1" t="str">
        <f>'Replacement plan'!$B$86</f>
        <v>ChengLong L2EV</v>
      </c>
      <c r="AE326" s="1">
        <f>IF(C326=0,0,VLOOKUP($A326,'Fleet register'!$A$7:$S$106,8,FALSE))</f>
        <v>0</v>
      </c>
      <c r="AF326" s="1" t="str">
        <f>IF('Replacement plan'!$H$86="","n.a.",'Replacement plan'!$H$86)</f>
        <v>n.a.</v>
      </c>
      <c r="AG326" s="1">
        <f>'Replacement plan'!$J$86</f>
        <v>22</v>
      </c>
      <c r="AH326" s="1">
        <f>IFERROR(IF(D326="EV",IF('Replacement plan'!$K$86="AC",IF(ISNUMBER(INDEX(Products!$G$7:$G$13,MATCH('Replacement plan'!$B$86,Products!$A$7:$A$13,0))),INDEX(Products!$G$7:$G$13,MATCH('Replacement plan'!$B$86,Products!$A$7:$A$13,0)),"n.a."),IF(ISNUMBER(INDEX(Products!$H$7:$H$13,MATCH('Replacement plan'!$B$86,Products!$A$7:$A$13,0))),INDEX(Products!$H$7:$H$13,MATCH('Replacement plan'!$B$86,Products!$A$7:$A$13,0)),"n.a.")),0),"n.a.")</f>
        <v>0</v>
      </c>
      <c r="AI326" s="1">
        <f>IF(AND(C326=1,D326="EV",E326&lt;120),(VLOOKUP($A326,'Fleet register'!$A$7:$S$106,7,FALSE)+IF(T326&gt;0,'Operating costs'!$B$12,0))*U326*(1-'Operating costs'!$B$44)+'Operating costs'!$B$49,0)</f>
        <v>0</v>
      </c>
      <c r="AJ326" s="1">
        <f>IF(D326="EV",'Energy and charging'!$C$50,0)</f>
        <v>0</v>
      </c>
      <c r="AK326" s="17">
        <f>EDATE('Operating costs'!$B$63,E326)</f>
        <v>46298</v>
      </c>
      <c r="AL326" s="1">
        <f>IFERROR(IF(D326="EV",INDEX(Products!$B$7:$B$13,MATCH('Replacement plan'!$B$86,Products!$A$7:$A$13,0)),0),"n.a.")</f>
        <v>0</v>
      </c>
      <c r="AM326" s="1" t="str">
        <f>'Replacement plan'!$K$86</f>
        <v>DC</v>
      </c>
      <c r="AN326" s="1" t="str">
        <f>'Replacement plan'!$AE$86</f>
        <v>Assumed</v>
      </c>
      <c r="AO326" s="47">
        <f>IF(AND(C326=1,D326="EV",E326&lt;120),(R326-'Operating costs'!$B$41)*S326+W326*'Operating costs'!$B$12,0)</f>
        <v>0</v>
      </c>
      <c r="AP326" s="41">
        <f>IF(AND(C326=1,D326="EV",E326&lt;120),IF('Operating costs'!$B$68="Hong Seh 200k average",AO326*IFERROR(INDEX(Products!$P$7:$P$13,MATCH(AD326,Products!$A$7:$A$13,0)),"n.a."),'Operating costs'!$B$26),0)</f>
        <v>0</v>
      </c>
      <c r="AQ326" s="40" t="str">
        <f>IF(D326="EV",'Operating costs'!$B$68,"Not applicable")</f>
        <v>Not applicable</v>
      </c>
    </row>
    <row r="327" spans="1:43" ht="24" customHeight="1">
      <c r="A327" s="1" t="str">
        <f>'Replacement plan'!A87</f>
        <v>T081</v>
      </c>
      <c r="B327" s="1">
        <v>0</v>
      </c>
      <c r="C327" s="1">
        <f>IF(COUNTIFS('Fleet register'!$A$7:$A$106,$A327)=1,VLOOKUP($A327,'Fleet register'!$A$7:$S$106,2,FALSE),0)</f>
        <v>0</v>
      </c>
      <c r="D327" s="1" t="str">
        <f>IF("Keep ICE"="EV","EV","ICE")</f>
        <v>ICE</v>
      </c>
      <c r="E327" s="1">
        <f>IF(C327=0,0,IF('Replacement plan'!$M$87="",VLOOKUP($A327,'Fleet register'!$A$7:$S$106,10,FALSE),'Replacement plan'!$M$87))</f>
        <v>0</v>
      </c>
      <c r="F327" s="16">
        <f>IF(C327=0,0,VLOOKUP($A327,'Fleet register'!$A$7:$S$106,11,FALSE))</f>
        <v>0</v>
      </c>
      <c r="G327" s="16">
        <f>IFERROR(IF(C327=0,0,IF(E327=120,0,IF(D327="ICE",'Replacement plan'!$C$87,IF('Replacement plan'!$D$87="",INDEX(Products!$I$7:$I$13,MATCH('Replacement plan'!$B$87,Products!$A$7:$A$13,0))+'Operating costs'!$B$57,'Replacement plan'!$D$87))*(1+'Operating costs'!$B$50)^(E327/12))),"n.a.")</f>
        <v>0</v>
      </c>
      <c r="H327" s="16">
        <f>IFERROR(IF(C327=0,0,IF(E327=0,F327,VLOOKUP($A327,'Fleet register'!$A$7:$S$106,12,FALSE)+VLOOKUP($A327,'Fleet register'!$A$7:$S$106,13,FALSE)*MAX(0,VLOOKUP($A327,'Fleet register'!$A$7:$S$106,10,FALSE)-E327)/VLOOKUP($A327,'Fleet register'!$A$7:$S$106,14,FALSE))),"n.a.")</f>
        <v>0</v>
      </c>
      <c r="I327" s="16">
        <f>IF(C327=0,0,IF(E327=120,0,'Replacement plan'!$N$87))</f>
        <v>0</v>
      </c>
      <c r="J327" s="16">
        <f>IF(C327=0,0,IF(P327="Complete",((S327*(R327-'Operating costs'!$B$39))+ROUNDUP(S327*(R327-'Operating costs'!$B$39)*IF('Replacement plan'!$AG$87="",'Operating costs'!$B$7,'Replacement plan'!$AG$87)/('Operating costs'!$B$8-'Operating costs'!$B$9*IF('Replacement plan'!$AG$87="",'Operating costs'!$B$7,'Replacement plan'!$AG$87)),0)*'Operating costs'!$B$9)*IF('Replacement plan'!$AG$87="",'Operating costs'!$B$7,'Replacement plan'!$AG$87)*('Energy and charging'!$B$9*'Energy and charging'!$B$7+(1-'Energy and charging'!$B$9)*'Energy and charging'!$B$8)*'Operating costs'!$B$23,"n.a."))</f>
        <v>0</v>
      </c>
      <c r="K327" s="16">
        <f>IF(C327=0,0,IF(P327="Complete",SUM('Operating costs'!$B$24,'Operating costs'!$B$27,'Operating costs'!$B$29,'Operating costs'!$B$31,'Operating costs'!$B$33,'Operating costs'!$B$34,'Operating costs'!$B$37,'Replacement plan'!$W$87)+'Operating costs'!$B$39*'Operating costs'!$B$42+ROUNDUP(S327*(R327-'Operating costs'!$B$39)*IF('Replacement plan'!$AG$87="",'Operating costs'!$B$7,'Replacement plan'!$AG$87)/('Operating costs'!$B$8-'Operating costs'!$B$9*IF('Replacement plan'!$AG$87="",'Operating costs'!$B$7,'Replacement plan'!$AG$87)),0)*('Operating costs'!$B$9/'Operating costs'!$B$11+'Operating costs'!$B$10/60)*'Operating costs'!$B$19*'Operating costs'!$B$21,"n.a."))</f>
        <v>0</v>
      </c>
      <c r="L327" s="16">
        <f>IF(C327=0,0,IF(P327="Complete",IF(D327="EV",X327*((1-T327)*'Energy and charging'!$B$10+T327*'Energy and charging'!$B$11)*'Operating costs'!$B$22,AA327*('Energy and charging'!$B$9*'Energy and charging'!$B$7+(1-'Energy and charging'!$B$9)*'Energy and charging'!$B$8)*'Operating costs'!$B$23),"n.a."))</f>
        <v>0</v>
      </c>
      <c r="M327" s="37">
        <f>IF(C327=0,0,IF(P327="Complete",IF(D327="ICE",SUM('Operating costs'!$B$25,'Operating costs'!$B$27,'Operating costs'!$B$29,'Operating costs'!$B$31,'Operating costs'!$B$33,'Operating costs'!$B$35,'Operating costs'!$B$37,'Replacement plan'!$X$87)+'Operating costs'!$B$40*'Operating costs'!$B$42+ROUNDUP(S327*(R327-'Operating costs'!$B$40)*IF('Replacement plan'!$AH$87="",'Operating costs'!$B$7,'Replacement plan'!$AH$87)/('Operating costs'!$B$8-'Operating costs'!$B$9*IF('Replacement plan'!$AH$87="",'Operating costs'!$B$7,'Replacement plan'!$AH$87)),0)*('Operating costs'!$B$9/'Operating costs'!$B$11+'Operating costs'!$B$10/60)*'Operating costs'!$B$19*'Operating costs'!$B$21,SUM(AP327,'Operating costs'!$B$28,'Operating costs'!$B$30,'Operating costs'!$B$32,'Operating costs'!$B$33,'Operating costs'!$B$36,'Operating costs'!$B$38,'Replacement plan'!$Y$87)+'Operating costs'!$B$41*'Operating costs'!$B$43+W327*'Operating costs'!$B$15+(T327*X327/'Replacement plan'!$L$87+W327*('Operating costs'!$B$12/'Operating costs'!$B$11+('Operating costs'!$B$13+'Operating costs'!$B$14)/60)+(R327-'Operating costs'!$B$41)*(IF(T327&lt;1,'Operating costs'!$B$16,0)+'Operating costs'!$B$17)/60)*'Operating costs'!$B$19*'Operating costs'!$B$20),"n.a."))</f>
        <v>0</v>
      </c>
      <c r="N327" s="16">
        <f>IF(AND(C327=1,D327="EV",E327&lt;120,E327+'Replacement plan'!$AA$87&lt;=120),'Replacement plan'!$Z$87,0)</f>
        <v>0</v>
      </c>
      <c r="O327" s="1">
        <f>E327+'Replacement plan'!$AA$87</f>
        <v>0</v>
      </c>
      <c r="P327" s="35" t="str">
        <f>IFERROR(IF(C327=0,"Excluded",IF(OR(COUNTIFS('Fleet register'!$A$7:$A$106,A327)&lt;&gt;1,COUNTIFS('Replacement plan'!$A$7:$A$106,A327)&lt;&gt;1),"Duplicate/missing ID",IF(NOT(AND(ISNUMBER(VLOOKUP($A327,'Fleet register'!$A$7:$S$106,5,FALSE)),ISNUMBER(VLOOKUP($A327,'Fleet register'!$A$7:$S$106,6,FALSE)),ISNUMBER(VLOOKUP($A327,'Fleet register'!$A$7:$S$106,10,FALSE)),ISNUMBER(VLOOKUP($A327,'Fleet register'!$A$7:$S$106,11,FALSE)),ISNUMBER(VLOOKUP($A327,'Fleet register'!$A$7:$S$106,12,FALSE)),ISNUMBER(VLOOKUP($A327,'Fleet register'!$A$7:$S$106,13,FALSE)),ISNUMBER(VLOOKUP($A327,'Fleet register'!$A$7:$S$106,14,FALSE)),VLOOKUP($A327,'Fleet register'!$A$7:$S$106,14,FALSE)&gt;0,ISNUMBER('Replacement plan'!$C$87),OR(E327=120,ISNUMBER('Replacement plan'!$N$87)),ISNUMBER(E327))),"Missing vehicle input",IF(OR(E327&lt;0,E327&gt;VLOOKUP($A327,'Fleet register'!$A$7:$S$106,10,FALSE),E327&gt;120,E327&lt;&gt;INT(E327),VLOOKUP($A327,'Fleet register'!$A$7:$S$106,6,FALSE)&lt;=0,VLOOKUP($A327,'Fleet register'!$A$7:$S$106,6,FALSE)&gt;366,VLOOKUP($A327,'Fleet register'!$A$7:$S$106,5,FALSE)&lt;0,VLOOKUP($A327,'Fleet register'!$A$7:$S$106,11,FALSE)&lt;0,I327&lt;0,'Operating costs'!$B$8&lt;='Operating costs'!$B$7*'Operating costs'!$B$9,'Operating costs'!$B$11&lt;=0,'Operating costs'!$B$39&gt;R327,'Operating costs'!$B$40&gt;R327,'Operating costs'!$B$41&gt;R327,NOT(OR("Keep ICE"="Keep ICE","Keep ICE"="New ICE","Keep ICE"="EV"))),"Invalid vehicle input",IF(AND(D327="EV",E327&lt;120,OR(NOT(ISNUMBER(U327)),NOT(ISNUMBER(V327)),V327&lt;=0,T327&lt;0,T327&gt;1,'Replacement plan'!$L$87&lt;=0,'Operating costs'!$B$44&lt;0,'Operating costs'!$B$44&gt;=1,'Operating costs'!$B$47&lt;=0,'Operating costs'!$B$47&gt;1,V327*'Operating costs'!$B$47/(1-'Operating costs'!$B$44)&lt;=T327*'Operating costs'!$B$12*U327,AND('Replacement plan'!$Z$87&gt;0,OR('Replacement plan'!$AB$87&lt;&gt;"Yes",'Operating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charging'!$B$8&gt;=0))),ISNUMBER(VLOOKUP($A327,'Fleet register'!$A$7:$S$106,15,FALSE)),ISNUMBER(VLOOKUP($A327,'Fleet register'!$A$7:$S$106,16,FALSE)),ISNUMBER('Replacement plan'!$W$87),ISNUMBER('Replacement plan'!$X$87),OR(E327=120,AND(ISNUMBER(G327),G327&gt;=0)),ISNUMBER(H327),H327&gt;=0,OR(D327&lt;&gt;"EV",E327=120,AND(ISNUMBER('Operating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average",ISNUMBER(IFERROR(INDEX(Products!$P$7:$P$13,MATCH(AD327,Products!$A$7:$A$13,0)),"")))),ISNUMBER('Operating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plan'!$Y$87),ISNUMBER('Replacement plan'!$Z$87),'Replacement plan'!$Z$87&gt;=0,ISNUMBER('Replacement plan'!$AA$87),'Replacement plan'!$AA$87&gt;=0,'Replacement plan'!$AA$87=INT('Replacement plan'!$AA$87),ISNUMBER('Replacement plan'!$L$87))),'Operating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plan'!$AG$87="",'Operating costs'!$B$7,'Replacement plan'!$AG$87)),IF('Replacement plan'!$AG$87="",'Operating costs'!$B$7,'Replacement plan'!$AG$87)&gt;=0,ISNUMBER(IF('Replacement plan'!$AH$87="",'Operating costs'!$B$7,'Replacement plan'!$AH$87)),IF('Replacement plan'!$AH$87="",'Operating costs'!$B$7,'Replacement plan'!$AH$87)&gt;=0,'Operating costs'!$B$8&gt;MAX(IF('Replacement plan'!$AG$87="",'Operating costs'!$B$7,'Replacement plan'!$AG$87),IF('Replacement plan'!$AH$87="",'Operating costs'!$B$7,'Replacement plan'!$AH$87))*'Operating costs'!$B$9),IF(AND(VLOOKUP($A327,'Fleet register'!$A$7:$S$106,10,FALSE)&gt;=0,VLOOKUP($A327,'Fleet register'!$A$7:$S$106,10,FALSE)&lt;=120,VLOOKUP($A327,'Fleet register'!$A$7:$S$106,10,FALSE)=INT(VLOOKUP($A327,'Fleet register'!$A$7:$S$106,10,FALSE)),VLOOKUP($A327,'Fleet register'!$A$7:$S$106,15,FALSE)&gt;=0,VLOOKUP($A327,'Fleet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costs'!$B$67)&gt;=0,OR(D327&lt;&gt;"EV",E327=120,AND(MIN('Operating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27" s="1" t="str">
        <f>IF(C327=0,"Excluded",IF(P327&lt;&gt;"Complete",P327,IF(OR('Replacement plan'!$AD$87&lt;120-E327,AND(D327="EV",E327&lt;120,OR('Replacement plan'!$AC$87&lt;120-E327,'Replacement plan'!$I$87="No",AND(ISNUMBER(AF327),AE327&gt;AF327),AI327&gt;V327*(1-'Operating costs'!$B$46)^MAX(0,AB327-1)*(1-'Operating costs'!$B$45),AC327&gt;'Operating costs'!$B$18,AND(T327&lt;1,OR(AG327&lt;=0,AND(ISNUMBER(AH327),AG327&gt;AH327))),'Replacement plan'!$L$87&gt;INDEX(Products!$H$7:$H$13,MATCH('Replacement plan'!$B$87,Products!$A$7:$A$13,0))))),"Fails entered limits",IF(AND(D327="EV",E327&lt;120,OR(NOT(ISNUMBER(VLOOKUP($A327,'Fleet register'!$A$7:$S$106,7,FALSE))),NOT(ISNUMBER(VLOOKUP($A327,'Fleet register'!$A$7:$S$106,8,FALSE))),NOT(ISNUMBER(AF327)),'Replacement plan'!$I$87&lt;&gt;"Yes",NOT(ISNUMBER(AH327)),'Operating costs'!$B$59&lt;&gt;"Yes",'Operating costs'!$B$58&lt;&gt;"Yes")),"Unverified","Within entered limits"))))</f>
        <v>Excluded</v>
      </c>
      <c r="R327" s="1">
        <f>IF(C327=0,0,VLOOKUP($A327,'Fleet register'!$A$7:$S$106,6,FALSE))</f>
        <v>0</v>
      </c>
      <c r="S327" s="1">
        <f>IF(C327=0,0,VLOOKUP($A327,'Fleet register'!$A$7:$S$106,5,FALSE))</f>
        <v>0</v>
      </c>
      <c r="T327" s="1">
        <f>IF(D327="EV",'Energy and charging'!$B$12,0)</f>
        <v>0</v>
      </c>
      <c r="U327" s="1">
        <f>IFERROR(IF(C327=0,0,IF(D327="EV",IF('Replacement plan'!$F$87="",INDEX(Products!$E$7:$E$13,MATCH('Replacement plan'!$B$87,Products!$A$7:$A$13,0)),'Replacement plan'!$F$87)/IF('Replacement plan'!$G$87="Battery",1-'Operating costs'!$B$44,1),0)),"n.a.")</f>
        <v>0</v>
      </c>
      <c r="V327" s="1">
        <f>IFERROR(IF(C327=0,0,IF(D327="EV",IF('Replacement plan'!$E$87="",INDEX(Products!$D$7:$D$13,MATCH('Replacement plan'!$B$87,Products!$A$7:$A$13,0)),'Replacement plan'!$E$87),0)),"n.a.")</f>
        <v>0</v>
      </c>
      <c r="W327" s="1">
        <f>IF(C327=0,0,IF(AND(P327="Complete",D327="EV",E327&lt;120),IF(T327=0,0,ROUNDUP(T327*(R327-'Operating costs'!$B$41)*(S327*U327+'Operating costs'!$B$48/(1-'Operating costs'!$B$44))/(V327*'Operating costs'!$B$47/(1-'Operating costs'!$B$44)-T327*'Operating costs'!$B$12*U327),0)),0))</f>
        <v>0</v>
      </c>
      <c r="X327" s="1">
        <f>IF(C327=0,0,IF(AND(P327="Complete",D327="EV",E327&lt;120),(R327-'Operating costs'!$B$41)*(S327*U327+'Operating costs'!$B$48/(1-'Operating costs'!$B$44))+W327*'Operating costs'!$B$12*U327,0))</f>
        <v>0</v>
      </c>
      <c r="Y327" s="1">
        <f>IF(AND(C327=1,D327="EV",E327&lt;120),AI327/(1-'Operating costs'!$B$44)*(1-T327),0)</f>
        <v>0</v>
      </c>
      <c r="Z327" s="1">
        <f t="shared" ref="Z327:Z390" si="10">IF(AND(C327=1,D327="EV",E327&lt;120,T327&lt;1,AG327&gt;0),Y327/AG327,0)</f>
        <v>0</v>
      </c>
      <c r="AA327" s="1">
        <f>IF(C327=0,0,IF(P327="Complete",((S327*(R327-'Operating costs'!$B$40))+ROUNDUP(S327*(R327-'Operating costs'!$B$40)*IF('Replacement plan'!$AH$87="",'Operating costs'!$B$7,'Replacement plan'!$AH$87)/('Operating costs'!$B$8-'Operating costs'!$B$9*IF('Replacement plan'!$AH$87="",'Operating costs'!$B$7,'Replacement plan'!$AH$87)),0)*'Operating costs'!$B$9)*IF('Replacement plan'!$AH$87="",'Operating costs'!$B$7,'Replacement plan'!$AH$87),"n.a."))</f>
        <v>0</v>
      </c>
      <c r="AB327" s="1">
        <f t="shared" ref="AB327:AB390" si="11">IF(D327="EV",(120-E327)/12,0)</f>
        <v>0</v>
      </c>
      <c r="AC327" s="1">
        <f>IF(AND(C327=1,D327="EV",E327&lt;120,T327&gt;0),'Operating costs'!$B$12/'Operating costs'!$B$11*60+'Operating costs'!$B$13+'Operating costs'!$B$14+V327*'Operating costs'!$B$47/(1-'Operating costs'!$B$44)/'Replacement plan'!$L$87*60,0)</f>
        <v>0</v>
      </c>
      <c r="AD327" s="1" t="str">
        <f>'Replacement plan'!$B$87</f>
        <v>ChengLong L2EV</v>
      </c>
      <c r="AE327" s="1">
        <f>IF(C327=0,0,VLOOKUP($A327,'Fleet register'!$A$7:$S$106,8,FALSE))</f>
        <v>0</v>
      </c>
      <c r="AF327" s="1" t="str">
        <f>IF('Replacement plan'!$H$87="","n.a.",'Replacement plan'!$H$87)</f>
        <v>n.a.</v>
      </c>
      <c r="AG327" s="1">
        <f>'Replacement plan'!$J$87</f>
        <v>22</v>
      </c>
      <c r="AH327" s="1">
        <f>IFERROR(IF(D327="EV",IF('Replacement plan'!$K$87="AC",IF(ISNUMBER(INDEX(Products!$G$7:$G$13,MATCH('Replacement plan'!$B$87,Products!$A$7:$A$13,0))),INDEX(Products!$G$7:$G$13,MATCH('Replacement plan'!$B$87,Products!$A$7:$A$13,0)),"n.a."),IF(ISNUMBER(INDEX(Products!$H$7:$H$13,MATCH('Replacement plan'!$B$87,Products!$A$7:$A$13,0))),INDEX(Products!$H$7:$H$13,MATCH('Replacement plan'!$B$87,Products!$A$7:$A$13,0)),"n.a.")),0),"n.a.")</f>
        <v>0</v>
      </c>
      <c r="AI327" s="1">
        <f>IF(AND(C327=1,D327="EV",E327&lt;120),(VLOOKUP($A327,'Fleet register'!$A$7:$S$106,7,FALSE)+IF(T327&gt;0,'Operating costs'!$B$12,0))*U327*(1-'Operating costs'!$B$44)+'Operating costs'!$B$49,0)</f>
        <v>0</v>
      </c>
      <c r="AJ327" s="1">
        <f>IF(D327="EV",'Energy and charging'!$B$50,0)</f>
        <v>0</v>
      </c>
      <c r="AK327" s="17">
        <f>EDATE('Operating costs'!$B$63,E327)</f>
        <v>46298</v>
      </c>
      <c r="AL327" s="1">
        <f>IFERROR(IF(D327="EV",INDEX(Products!$B$7:$B$13,MATCH('Replacement plan'!$B$87,Products!$A$7:$A$13,0)),0),"n.a.")</f>
        <v>0</v>
      </c>
      <c r="AM327" s="1" t="str">
        <f>'Replacement plan'!$K$87</f>
        <v>DC</v>
      </c>
      <c r="AN327" s="1" t="str">
        <f>'Replacement plan'!$AE$87</f>
        <v>Assumed</v>
      </c>
      <c r="AO327" s="47">
        <f>IF(AND(C327=1,D327="EV",E327&lt;120),(R327-'Operating costs'!$B$41)*S327+W327*'Operating costs'!$B$12,0)</f>
        <v>0</v>
      </c>
      <c r="AP327" s="41">
        <f>IF(AND(C327=1,D327="EV",E327&lt;120),IF('Operating costs'!$B$68="Hong Seh 200k average",AO327*IFERROR(INDEX(Products!$P$7:$P$13,MATCH(AD327,Products!$A$7:$A$13,0)),"n.a."),'Operating costs'!$B$26),0)</f>
        <v>0</v>
      </c>
      <c r="AQ327" s="40" t="str">
        <f>IF(D327="EV",'Operating costs'!$B$68,"Not applicable")</f>
        <v>Not applicable</v>
      </c>
    </row>
    <row r="328" spans="1:43" ht="24" customHeight="1">
      <c r="A328" s="1" t="str">
        <f>'Replacement plan'!A87</f>
        <v>T081</v>
      </c>
      <c r="B328" s="1">
        <v>1</v>
      </c>
      <c r="C328" s="1">
        <f>IF(COUNTIFS('Fleet register'!$A$7:$A$106,$A328)=1,VLOOKUP($A328,'Fleet register'!$A$7:$S$106,2,FALSE),0)</f>
        <v>0</v>
      </c>
      <c r="D328" s="1" t="str">
        <f>IF("New ICE"="EV","EV","ICE")</f>
        <v>ICE</v>
      </c>
      <c r="E328" s="1">
        <f>IF(C328=0,0,0)</f>
        <v>0</v>
      </c>
      <c r="F328" s="16">
        <f>IF(C328=0,0,VLOOKUP($A328,'Fleet register'!$A$7:$S$106,11,FALSE))</f>
        <v>0</v>
      </c>
      <c r="G328" s="16">
        <f>IFERROR(IF(C328=0,0,IF(E328=120,0,IF(D328="ICE",'Replacement plan'!$C$87,IF('Replacement plan'!$D$87="",INDEX(Products!$I$7:$I$13,MATCH('Replacement plan'!$B$87,Products!$A$7:$A$13,0))+'Operating costs'!$B$57,'Replacement plan'!$D$87))*(1+'Operating costs'!$B$50)^(E328/12))),"n.a.")</f>
        <v>0</v>
      </c>
      <c r="H328" s="16">
        <f>IFERROR(IF(C328=0,0,IF(E328=0,F328,VLOOKUP($A328,'Fleet register'!$A$7:$S$106,12,FALSE)+VLOOKUP($A328,'Fleet register'!$A$7:$S$106,13,FALSE)*MAX(0,VLOOKUP($A328,'Fleet register'!$A$7:$S$106,10,FALSE)-E328)/VLOOKUP($A328,'Fleet register'!$A$7:$S$106,14,FALSE))),"n.a.")</f>
        <v>0</v>
      </c>
      <c r="I328" s="16">
        <f>IF(C328=0,0,IF(E328=120,0,IF('Replacement plan'!$AI$87="",'Operating costs'!$B$56,'Replacement plan'!$AI$87)))</f>
        <v>0</v>
      </c>
      <c r="J328" s="16">
        <f>IF(C328=0,0,IF(P328="Complete",((S328*(R328-'Operating costs'!$B$39))+ROUNDUP(S328*(R328-'Operating costs'!$B$39)*IF('Replacement plan'!$AG$87="",'Operating costs'!$B$7,'Replacement plan'!$AG$87)/('Operating costs'!$B$8-'Operating costs'!$B$9*IF('Replacement plan'!$AG$87="",'Operating costs'!$B$7,'Replacement plan'!$AG$87)),0)*'Operating costs'!$B$9)*IF('Replacement plan'!$AG$87="",'Operating costs'!$B$7,'Replacement plan'!$AG$87)*('Energy and charging'!$B$9*'Energy and charging'!$B$7+(1-'Energy and charging'!$B$9)*'Energy and charging'!$B$8)*'Operating costs'!$B$23,"n.a."))</f>
        <v>0</v>
      </c>
      <c r="K328" s="16">
        <f>IF(C328=0,0,IF(P328="Complete",SUM('Operating costs'!$B$24,'Operating costs'!$B$27,'Operating costs'!$B$29,'Operating costs'!$B$31,'Operating costs'!$B$33,'Operating costs'!$B$34,'Operating costs'!$B$37,'Replacement plan'!$W$87)+'Operating costs'!$B$39*'Operating costs'!$B$42+ROUNDUP(S328*(R328-'Operating costs'!$B$39)*IF('Replacement plan'!$AG$87="",'Operating costs'!$B$7,'Replacement plan'!$AG$87)/('Operating costs'!$B$8-'Operating costs'!$B$9*IF('Replacement plan'!$AG$87="",'Operating costs'!$B$7,'Replacement plan'!$AG$87)),0)*('Operating costs'!$B$9/'Operating costs'!$B$11+'Operating costs'!$B$10/60)*'Operating costs'!$B$19*'Operating costs'!$B$21,"n.a."))</f>
        <v>0</v>
      </c>
      <c r="L328" s="16">
        <f>IF(C328=0,0,IF(P328="Complete",IF(D328="EV",X328*((1-T328)*'Energy and charging'!$B$10+T328*'Energy and charging'!$B$11)*'Operating costs'!$B$22,AA328*('Energy and charging'!$B$9*'Energy and charging'!$B$7+(1-'Energy and charging'!$B$9)*'Energy and charging'!$B$8)*'Operating costs'!$B$23),"n.a."))</f>
        <v>0</v>
      </c>
      <c r="M328" s="37">
        <f>IF(C328=0,0,IF(P328="Complete",IF(D328="ICE",SUM('Operating costs'!$B$25,'Operating costs'!$B$27,'Operating costs'!$B$29,'Operating costs'!$B$31,'Operating costs'!$B$33,'Operating costs'!$B$35,'Operating costs'!$B$37,'Replacement plan'!$X$87)+'Operating costs'!$B$40*'Operating costs'!$B$42+ROUNDUP(S328*(R328-'Operating costs'!$B$40)*IF('Replacement plan'!$AH$87="",'Operating costs'!$B$7,'Replacement plan'!$AH$87)/('Operating costs'!$B$8-'Operating costs'!$B$9*IF('Replacement plan'!$AH$87="",'Operating costs'!$B$7,'Replacement plan'!$AH$87)),0)*('Operating costs'!$B$9/'Operating costs'!$B$11+'Operating costs'!$B$10/60)*'Operating costs'!$B$19*'Operating costs'!$B$21,SUM(AP328,'Operating costs'!$B$28,'Operating costs'!$B$30,'Operating costs'!$B$32,'Operating costs'!$B$33,'Operating costs'!$B$36,'Operating costs'!$B$38,'Replacement plan'!$Y$87)+'Operating costs'!$B$41*'Operating costs'!$B$43+W328*'Operating costs'!$B$15+(T328*X328/'Replacement plan'!$L$87+W328*('Operating costs'!$B$12/'Operating costs'!$B$11+('Operating costs'!$B$13+'Operating costs'!$B$14)/60)+(R328-'Operating costs'!$B$41)*(IF(T328&lt;1,'Operating costs'!$B$16,0)+'Operating costs'!$B$17)/60)*'Operating costs'!$B$19*'Operating costs'!$B$20),"n.a."))</f>
        <v>0</v>
      </c>
      <c r="N328" s="16">
        <f>IF(AND(C328=1,D328="EV",E328&lt;120,E328+'Replacement plan'!$AA$87&lt;=120),'Replacement plan'!$Z$87,0)</f>
        <v>0</v>
      </c>
      <c r="O328" s="1">
        <f>E328+'Replacement plan'!$AA$87</f>
        <v>0</v>
      </c>
      <c r="P328" s="35" t="str">
        <f>IFERROR(IF(C328=0,"Excluded",IF(OR(COUNTIFS('Fleet register'!$A$7:$A$106,A328)&lt;&gt;1,COUNTIFS('Replacement plan'!$A$7:$A$106,A328)&lt;&gt;1),"Duplicate/missing ID",IF(NOT(AND(ISNUMBER(VLOOKUP($A328,'Fleet register'!$A$7:$S$106,5,FALSE)),ISNUMBER(VLOOKUP($A328,'Fleet register'!$A$7:$S$106,6,FALSE)),ISNUMBER(VLOOKUP($A328,'Fleet register'!$A$7:$S$106,10,FALSE)),ISNUMBER(VLOOKUP($A328,'Fleet register'!$A$7:$S$106,11,FALSE)),ISNUMBER(VLOOKUP($A328,'Fleet register'!$A$7:$S$106,12,FALSE)),ISNUMBER(VLOOKUP($A328,'Fleet register'!$A$7:$S$106,13,FALSE)),ISNUMBER(VLOOKUP($A328,'Fleet register'!$A$7:$S$106,14,FALSE)),VLOOKUP($A328,'Fleet register'!$A$7:$S$106,14,FALSE)&gt;0,ISNUMBER('Replacement plan'!$C$87),OR(E328=120,OR(ISNUMBER('Replacement plan'!$AI$87),AND('Replacement plan'!$AI$87="",ISNUMBER('Operating costs'!$B$56)))),ISNUMBER(E328))),"Missing vehicle input",IF(OR(E328&lt;0,E328&gt;VLOOKUP($A328,'Fleet register'!$A$7:$S$106,10,FALSE),E328&gt;120,E328&lt;&gt;INT(E328),VLOOKUP($A328,'Fleet register'!$A$7:$S$106,6,FALSE)&lt;=0,VLOOKUP($A328,'Fleet register'!$A$7:$S$106,6,FALSE)&gt;366,VLOOKUP($A328,'Fleet register'!$A$7:$S$106,5,FALSE)&lt;0,VLOOKUP($A328,'Fleet register'!$A$7:$S$106,11,FALSE)&lt;0,I328&lt;0,'Operating costs'!$B$8&lt;='Operating costs'!$B$7*'Operating costs'!$B$9,'Operating costs'!$B$11&lt;=0,'Operating costs'!$B$39&gt;R328,'Operating costs'!$B$40&gt;R328,'Operating costs'!$B$41&gt;R328,NOT(OR("New ICE"="Keep ICE","New ICE"="New ICE","New ICE"="EV"))),"Invalid vehicle input",IF(AND(D328="EV",E328&lt;120,OR(NOT(ISNUMBER(U328)),NOT(ISNUMBER(V328)),V328&lt;=0,T328&lt;0,T328&gt;1,'Replacement plan'!$L$87&lt;=0,'Operating costs'!$B$44&lt;0,'Operating costs'!$B$44&gt;=1,'Operating costs'!$B$47&lt;=0,'Operating costs'!$B$47&gt;1,V328*'Operating costs'!$B$47/(1-'Operating costs'!$B$44)&lt;=T328*'Operating costs'!$B$12*U328,AND('Replacement plan'!$Z$87&gt;0,OR('Replacement plan'!$AB$87&lt;&gt;"Yes",'Operating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charging'!$B$8&gt;=0))),ISNUMBER(VLOOKUP($A328,'Fleet register'!$A$7:$S$106,15,FALSE)),ISNUMBER(VLOOKUP($A328,'Fleet register'!$A$7:$S$106,16,FALSE)),ISNUMBER('Replacement plan'!$W$87),ISNUMBER('Replacement plan'!$X$87),OR(E328=120,AND(ISNUMBER(G328),G328&gt;=0)),ISNUMBER(H328),H328&gt;=0,OR(D328&lt;&gt;"EV",E328=120,AND(ISNUMBER('Operating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average",ISNUMBER(IFERROR(INDEX(Products!$P$7:$P$13,MATCH(AD328,Products!$A$7:$A$13,0)),"")))),ISNUMBER('Operating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plan'!$Y$87),ISNUMBER('Replacement plan'!$Z$87),'Replacement plan'!$Z$87&gt;=0,ISNUMBER('Replacement plan'!$AA$87),'Replacement plan'!$AA$87&gt;=0,'Replacement plan'!$AA$87=INT('Replacement plan'!$AA$87),ISNUMBER('Replacement plan'!$L$87))),'Operating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plan'!$AG$87="",'Operating costs'!$B$7,'Replacement plan'!$AG$87)),IF('Replacement plan'!$AG$87="",'Operating costs'!$B$7,'Replacement plan'!$AG$87)&gt;=0,ISNUMBER(IF('Replacement plan'!$AH$87="",'Operating costs'!$B$7,'Replacement plan'!$AH$87)),IF('Replacement plan'!$AH$87="",'Operating costs'!$B$7,'Replacement plan'!$AH$87)&gt;=0,'Operating costs'!$B$8&gt;MAX(IF('Replacement plan'!$AG$87="",'Operating costs'!$B$7,'Replacement plan'!$AG$87),IF('Replacement plan'!$AH$87="",'Operating costs'!$B$7,'Replacement plan'!$AH$87))*'Operating costs'!$B$9),IF(AND(VLOOKUP($A328,'Fleet register'!$A$7:$S$106,10,FALSE)&gt;=0,VLOOKUP($A328,'Fleet register'!$A$7:$S$106,10,FALSE)&lt;=120,VLOOKUP($A328,'Fleet register'!$A$7:$S$106,10,FALSE)=INT(VLOOKUP($A328,'Fleet register'!$A$7:$S$106,10,FALSE)),VLOOKUP($A328,'Fleet register'!$A$7:$S$106,15,FALSE)&gt;=0,VLOOKUP($A328,'Fleet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costs'!$B$67)&gt;=0,OR(D328&lt;&gt;"EV",E328=120,AND(MIN('Operating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28" s="1" t="str">
        <f>IF(C328=0,"Excluded",IF(P328&lt;&gt;"Complete",P328,IF(OR('Replacement plan'!$AD$87&lt;120-E328,AND(D328="EV",E328&lt;120,OR('Replacement plan'!$AC$87&lt;120-E328,'Replacement plan'!$I$87="No",AND(ISNUMBER(AF328),AE328&gt;AF328),AI328&gt;V328*(1-'Operating costs'!$B$46)^MAX(0,AB328-1)*(1-'Operating costs'!$B$45),AC328&gt;'Operating costs'!$B$18,AND(T328&lt;1,OR(AG328&lt;=0,AND(ISNUMBER(AH328),AG328&gt;AH328))),'Replacement plan'!$L$87&gt;INDEX(Products!$H$7:$H$13,MATCH('Replacement plan'!$B$87,Products!$A$7:$A$13,0))))),"Fails entered limits",IF(AND(D328="EV",E328&lt;120,OR(NOT(ISNUMBER(VLOOKUP($A328,'Fleet register'!$A$7:$S$106,7,FALSE))),NOT(ISNUMBER(VLOOKUP($A328,'Fleet register'!$A$7:$S$106,8,FALSE))),NOT(ISNUMBER(AF328)),'Replacement plan'!$I$87&lt;&gt;"Yes",NOT(ISNUMBER(AH328)),'Operating costs'!$B$59&lt;&gt;"Yes",'Operating costs'!$B$58&lt;&gt;"Yes")),"Unverified","Within entered limits"))))</f>
        <v>Excluded</v>
      </c>
      <c r="R328" s="1">
        <f>IF(C328=0,0,VLOOKUP($A328,'Fleet register'!$A$7:$S$106,6,FALSE))</f>
        <v>0</v>
      </c>
      <c r="S328" s="1">
        <f>IF(C328=0,0,VLOOKUP($A328,'Fleet register'!$A$7:$S$106,5,FALSE))</f>
        <v>0</v>
      </c>
      <c r="T328" s="1">
        <f>IF(D328="EV",'Energy and charging'!$B$12,0)</f>
        <v>0</v>
      </c>
      <c r="U328" s="1">
        <f>IFERROR(IF(C328=0,0,IF(D328="EV",IF('Replacement plan'!$F$87="",INDEX(Products!$E$7:$E$13,MATCH('Replacement plan'!$B$87,Products!$A$7:$A$13,0)),'Replacement plan'!$F$87)/IF('Replacement plan'!$G$87="Battery",1-'Operating costs'!$B$44,1),0)),"n.a.")</f>
        <v>0</v>
      </c>
      <c r="V328" s="1">
        <f>IFERROR(IF(C328=0,0,IF(D328="EV",IF('Replacement plan'!$E$87="",INDEX(Products!$D$7:$D$13,MATCH('Replacement plan'!$B$87,Products!$A$7:$A$13,0)),'Replacement plan'!$E$87),0)),"n.a.")</f>
        <v>0</v>
      </c>
      <c r="W328" s="1">
        <f>IF(C328=0,0,IF(AND(P328="Complete",D328="EV",E328&lt;120),IF(T328=0,0,ROUNDUP(T328*(R328-'Operating costs'!$B$41)*(S328*U328+'Operating costs'!$B$48/(1-'Operating costs'!$B$44))/(V328*'Operating costs'!$B$47/(1-'Operating costs'!$B$44)-T328*'Operating costs'!$B$12*U328),0)),0))</f>
        <v>0</v>
      </c>
      <c r="X328" s="1">
        <f>IF(C328=0,0,IF(AND(P328="Complete",D328="EV",E328&lt;120),(R328-'Operating costs'!$B$41)*(S328*U328+'Operating costs'!$B$48/(1-'Operating costs'!$B$44))+W328*'Operating costs'!$B$12*U328,0))</f>
        <v>0</v>
      </c>
      <c r="Y328" s="1">
        <f>IF(AND(C328=1,D328="EV",E328&lt;120),AI328/(1-'Operating costs'!$B$44)*(1-T328),0)</f>
        <v>0</v>
      </c>
      <c r="Z328" s="1">
        <f t="shared" si="10"/>
        <v>0</v>
      </c>
      <c r="AA328" s="1">
        <f>IF(C328=0,0,IF(P328="Complete",((S328*(R328-'Operating costs'!$B$40))+ROUNDUP(S328*(R328-'Operating costs'!$B$40)*IF('Replacement plan'!$AH$87="",'Operating costs'!$B$7,'Replacement plan'!$AH$87)/('Operating costs'!$B$8-'Operating costs'!$B$9*IF('Replacement plan'!$AH$87="",'Operating costs'!$B$7,'Replacement plan'!$AH$87)),0)*'Operating costs'!$B$9)*IF('Replacement plan'!$AH$87="",'Operating costs'!$B$7,'Replacement plan'!$AH$87),"n.a."))</f>
        <v>0</v>
      </c>
      <c r="AB328" s="1">
        <f t="shared" si="11"/>
        <v>0</v>
      </c>
      <c r="AC328" s="1">
        <f>IF(AND(C328=1,D328="EV",E328&lt;120,T328&gt;0),'Operating costs'!$B$12/'Operating costs'!$B$11*60+'Operating costs'!$B$13+'Operating costs'!$B$14+V328*'Operating costs'!$B$47/(1-'Operating costs'!$B$44)/'Replacement plan'!$L$87*60,0)</f>
        <v>0</v>
      </c>
      <c r="AD328" s="1" t="str">
        <f>'Replacement plan'!$B$87</f>
        <v>ChengLong L2EV</v>
      </c>
      <c r="AE328" s="1">
        <f>IF(C328=0,0,VLOOKUP($A328,'Fleet register'!$A$7:$S$106,8,FALSE))</f>
        <v>0</v>
      </c>
      <c r="AF328" s="1" t="str">
        <f>IF('Replacement plan'!$H$87="","n.a.",'Replacement plan'!$H$87)</f>
        <v>n.a.</v>
      </c>
      <c r="AG328" s="1">
        <f>'Replacement plan'!$J$87</f>
        <v>22</v>
      </c>
      <c r="AH328" s="1">
        <f>IFERROR(IF(D328="EV",IF('Replacement plan'!$K$87="AC",IF(ISNUMBER(INDEX(Products!$G$7:$G$13,MATCH('Replacement plan'!$B$87,Products!$A$7:$A$13,0))),INDEX(Products!$G$7:$G$13,MATCH('Replacement plan'!$B$87,Products!$A$7:$A$13,0)),"n.a."),IF(ISNUMBER(INDEX(Products!$H$7:$H$13,MATCH('Replacement plan'!$B$87,Products!$A$7:$A$13,0))),INDEX(Products!$H$7:$H$13,MATCH('Replacement plan'!$B$87,Products!$A$7:$A$13,0)),"n.a.")),0),"n.a.")</f>
        <v>0</v>
      </c>
      <c r="AI328" s="1">
        <f>IF(AND(C328=1,D328="EV",E328&lt;120),(VLOOKUP($A328,'Fleet register'!$A$7:$S$106,7,FALSE)+IF(T328&gt;0,'Operating costs'!$B$12,0))*U328*(1-'Operating costs'!$B$44)+'Operating costs'!$B$49,0)</f>
        <v>0</v>
      </c>
      <c r="AJ328" s="1">
        <f>IF(D328="EV",'Energy and charging'!$B$50,0)</f>
        <v>0</v>
      </c>
      <c r="AK328" s="17">
        <f>EDATE('Operating costs'!$B$63,E328)</f>
        <v>46298</v>
      </c>
      <c r="AL328" s="1">
        <f>IFERROR(IF(D328="EV",INDEX(Products!$B$7:$B$13,MATCH('Replacement plan'!$B$87,Products!$A$7:$A$13,0)),0),"n.a.")</f>
        <v>0</v>
      </c>
      <c r="AM328" s="1" t="str">
        <f>'Replacement plan'!$K$87</f>
        <v>DC</v>
      </c>
      <c r="AN328" s="1" t="str">
        <f>'Replacement plan'!$AE$87</f>
        <v>Assumed</v>
      </c>
      <c r="AO328" s="47">
        <f>IF(AND(C328=1,D328="EV",E328&lt;120),(R328-'Operating costs'!$B$41)*S328+W328*'Operating costs'!$B$12,0)</f>
        <v>0</v>
      </c>
      <c r="AP328" s="41">
        <f>IF(AND(C328=1,D328="EV",E328&lt;120),IF('Operating costs'!$B$68="Hong Seh 200k average",AO328*IFERROR(INDEX(Products!$P$7:$P$13,MATCH(AD328,Products!$A$7:$A$13,0)),"n.a."),'Operating costs'!$B$26),0)</f>
        <v>0</v>
      </c>
      <c r="AQ328" s="40" t="str">
        <f>IF(D328="EV",'Operating costs'!$B$68,"Not applicable")</f>
        <v>Not applicable</v>
      </c>
    </row>
    <row r="329" spans="1:43" ht="24" customHeight="1">
      <c r="A329" s="1" t="str">
        <f>'Replacement plan'!A87</f>
        <v>T081</v>
      </c>
      <c r="B329" s="1">
        <v>2</v>
      </c>
      <c r="C329" s="1">
        <f>IF(COUNTIFS('Fleet register'!$A$7:$A$106,$A329)=1,VLOOKUP($A329,'Fleet register'!$A$7:$S$106,2,FALSE),0)</f>
        <v>0</v>
      </c>
      <c r="D329" s="1" t="str">
        <f>IF('Replacement plan'!$O$87="EV","EV","ICE")</f>
        <v>ICE</v>
      </c>
      <c r="E329" s="1">
        <f>IF(C329=0,0,IF('Replacement plan'!$P$87="",IF('Replacement plan'!$O$87="Keep ICE",IF('Replacement plan'!$M$87="",VLOOKUP($A329,'Fleet register'!$A$7:$S$106,10,FALSE),'Replacement plan'!$M$87),0),'Replacement plan'!$P$87))</f>
        <v>0</v>
      </c>
      <c r="F329" s="16">
        <f>IF(C329=0,0,VLOOKUP($A329,'Fleet register'!$A$7:$S$106,11,FALSE))</f>
        <v>0</v>
      </c>
      <c r="G329" s="16">
        <f>IFERROR(IF(C329=0,0,IF(E329=120,0,IF(D329="ICE",'Replacement plan'!$C$87,IF('Replacement plan'!$D$87="",INDEX(Products!$I$7:$I$13,MATCH('Replacement plan'!$B$87,Products!$A$7:$A$13,0))+'Operating costs'!$B$57,'Replacement plan'!$D$87))*(1+'Operating costs'!$B$50)^(E329/12))),"n.a.")</f>
        <v>0</v>
      </c>
      <c r="H329" s="16">
        <f>IFERROR(IF(C329=0,0,IF('Replacement plan'!$U$87&lt;&gt;"",'Replacement plan'!$U$87,IF(E329=0,F329,VLOOKUP($A329,'Fleet register'!$A$7:$S$106,12,FALSE)+VLOOKUP($A329,'Fleet register'!$A$7:$S$106,13,FALSE)*MAX(0,VLOOKUP($A329,'Fleet register'!$A$7:$S$106,10,FALSE)-E329)/VLOOKUP($A329,'Fleet register'!$A$7:$S$106,14,FALSE)))),"n.a.")</f>
        <v>0</v>
      </c>
      <c r="I329" s="16">
        <f>IF(C329=0,0,IF(E329=120,0,'Replacement plan'!$Q$87))</f>
        <v>0</v>
      </c>
      <c r="J329" s="16">
        <f>IF(C329=0,0,IF(P329="Complete",((S329*(R329-'Operating costs'!$B$39))+ROUNDUP(S329*(R329-'Operating costs'!$B$39)*IF('Replacement plan'!$AG$87="",'Operating costs'!$B$7,'Replacement plan'!$AG$87)/('Operating costs'!$B$8-'Operating costs'!$B$9*IF('Replacement plan'!$AG$87="",'Operating costs'!$B$7,'Replacement plan'!$AG$87)),0)*'Operating costs'!$B$9)*IF('Replacement plan'!$AG$87="",'Operating costs'!$B$7,'Replacement plan'!$AG$87)*('Energy and charging'!$B$9*'Energy and charging'!$B$7+(1-'Energy and charging'!$B$9)*'Energy and charging'!$B$8)*'Operating costs'!$B$23,"n.a."))</f>
        <v>0</v>
      </c>
      <c r="K329" s="16">
        <f>IF(C329=0,0,IF(P329="Complete",SUM('Operating costs'!$B$24,'Operating costs'!$B$27,'Operating costs'!$B$29,'Operating costs'!$B$31,'Operating costs'!$B$33,'Operating costs'!$B$34,'Operating costs'!$B$37,'Replacement plan'!$W$87)+'Operating costs'!$B$39*'Operating costs'!$B$42+ROUNDUP(S329*(R329-'Operating costs'!$B$39)*IF('Replacement plan'!$AG$87="",'Operating costs'!$B$7,'Replacement plan'!$AG$87)/('Operating costs'!$B$8-'Operating costs'!$B$9*IF('Replacement plan'!$AG$87="",'Operating costs'!$B$7,'Replacement plan'!$AG$87)),0)*('Operating costs'!$B$9/'Operating costs'!$B$11+'Operating costs'!$B$10/60)*'Operating costs'!$B$19*'Operating costs'!$B$21,"n.a."))</f>
        <v>0</v>
      </c>
      <c r="L329" s="16">
        <f>IF(C329=0,0,IF(P329="Complete",IF(D329="EV",X329*((1-T329)*'Energy and charging'!$B$10+T329*'Energy and charging'!$B$11)*'Operating costs'!$B$22,AA329*('Energy and charging'!$B$9*'Energy and charging'!$B$7+(1-'Energy and charging'!$B$9)*'Energy and charging'!$B$8)*'Operating costs'!$B$23),"n.a."))</f>
        <v>0</v>
      </c>
      <c r="M329" s="37">
        <f>IF(C329=0,0,IF(P329="Complete",IF(D329="ICE",SUM('Operating costs'!$B$25,'Operating costs'!$B$27,'Operating costs'!$B$29,'Operating costs'!$B$31,'Operating costs'!$B$33,'Operating costs'!$B$35,'Operating costs'!$B$37,'Replacement plan'!$X$87)+'Operating costs'!$B$40*'Operating costs'!$B$42+ROUNDUP(S329*(R329-'Operating costs'!$B$40)*IF('Replacement plan'!$AH$87="",'Operating costs'!$B$7,'Replacement plan'!$AH$87)/('Operating costs'!$B$8-'Operating costs'!$B$9*IF('Replacement plan'!$AH$87="",'Operating costs'!$B$7,'Replacement plan'!$AH$87)),0)*('Operating costs'!$B$9/'Operating costs'!$B$11+'Operating costs'!$B$10/60)*'Operating costs'!$B$19*'Operating costs'!$B$21,SUM(AP329,'Operating costs'!$B$28,'Operating costs'!$B$30,'Operating costs'!$B$32,'Operating costs'!$B$33,'Operating costs'!$B$36,'Operating costs'!$B$38,'Replacement plan'!$Y$87)+'Operating costs'!$B$41*'Operating costs'!$B$43+W329*'Operating costs'!$B$15+(T329*X329/'Replacement plan'!$L$87+W329*('Operating costs'!$B$12/'Operating costs'!$B$11+('Operating costs'!$B$13+'Operating costs'!$B$14)/60)+(R329-'Operating costs'!$B$41)*(IF(T329&lt;1,'Operating costs'!$B$16,0)+'Operating costs'!$B$17)/60)*'Operating costs'!$B$19*'Operating costs'!$B$20),"n.a."))</f>
        <v>0</v>
      </c>
      <c r="N329" s="16">
        <f>IF(AND(C329=1,D329="EV",E329&lt;120,E329+'Replacement plan'!$AA$87&lt;=120),'Replacement plan'!$Z$87,0)</f>
        <v>0</v>
      </c>
      <c r="O329" s="1">
        <f>E329+'Replacement plan'!$AA$87</f>
        <v>0</v>
      </c>
      <c r="P329" s="35" t="str">
        <f>IFERROR(IF(C329=0,"Excluded",IF(OR(COUNTIFS('Fleet register'!$A$7:$A$106,A329)&lt;&gt;1,COUNTIFS('Replacement plan'!$A$7:$A$106,A329)&lt;&gt;1),"Duplicate/missing ID",IF(NOT(AND(ISNUMBER(VLOOKUP($A329,'Fleet register'!$A$7:$S$106,5,FALSE)),ISNUMBER(VLOOKUP($A329,'Fleet register'!$A$7:$S$106,6,FALSE)),ISNUMBER(VLOOKUP($A329,'Fleet register'!$A$7:$S$106,10,FALSE)),ISNUMBER(VLOOKUP($A329,'Fleet register'!$A$7:$S$106,11,FALSE)),ISNUMBER(VLOOKUP($A329,'Fleet register'!$A$7:$S$106,12,FALSE)),ISNUMBER(VLOOKUP($A329,'Fleet register'!$A$7:$S$106,13,FALSE)),ISNUMBER(VLOOKUP($A329,'Fleet register'!$A$7:$S$106,14,FALSE)),VLOOKUP($A329,'Fleet register'!$A$7:$S$106,14,FALSE)&gt;0,ISNUMBER('Replacement plan'!$C$87),OR(E329=120,ISNUMBER('Replacement plan'!$Q$87)),ISNUMBER(E329))),"Missing vehicle input",IF(OR(E329&lt;0,E329&gt;VLOOKUP($A329,'Fleet register'!$A$7:$S$106,10,FALSE),E329&gt;120,E329&lt;&gt;INT(E329),VLOOKUP($A329,'Fleet register'!$A$7:$S$106,6,FALSE)&lt;=0,VLOOKUP($A329,'Fleet register'!$A$7:$S$106,6,FALSE)&gt;366,VLOOKUP($A329,'Fleet register'!$A$7:$S$106,5,FALSE)&lt;0,VLOOKUP($A329,'Fleet register'!$A$7:$S$106,11,FALSE)&lt;0,I329&lt;0,'Operating costs'!$B$8&lt;='Operating costs'!$B$7*'Operating costs'!$B$9,'Operating costs'!$B$11&lt;=0,'Operating costs'!$B$39&gt;R329,'Operating costs'!$B$40&gt;R329,'Operating costs'!$B$41&gt;R329,NOT(OR('Replacement plan'!$O$87="Keep ICE",'Replacement plan'!$O$87="New ICE",'Replacement plan'!$O$87="EV"))),"Invalid vehicle input",IF(AND(D329="EV",E329&lt;120,OR(NOT(ISNUMBER(U329)),NOT(ISNUMBER(V329)),V329&lt;=0,T329&lt;0,T329&gt;1,'Replacement plan'!$L$87&lt;=0,'Operating costs'!$B$44&lt;0,'Operating costs'!$B$44&gt;=1,'Operating costs'!$B$47&lt;=0,'Operating costs'!$B$47&gt;1,V329*'Operating costs'!$B$47/(1-'Operating costs'!$B$44)&lt;=T329*'Operating costs'!$B$12*U329,AND('Replacement plan'!$Z$87&gt;0,OR('Replacement plan'!$AB$87&lt;&gt;"Yes",'Operating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charging'!$B$8&gt;=0))),ISNUMBER(VLOOKUP($A329,'Fleet register'!$A$7:$S$106,15,FALSE)),ISNUMBER(VLOOKUP($A329,'Fleet register'!$A$7:$S$106,16,FALSE)),ISNUMBER('Replacement plan'!$W$87),ISNUMBER('Replacement plan'!$X$87),OR(E329=120,AND(ISNUMBER(G329),G329&gt;=0)),ISNUMBER(H329),H329&gt;=0,OR(D329&lt;&gt;"EV",E329=120,AND(ISNUMBER('Operating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average",ISNUMBER(IFERROR(INDEX(Products!$P$7:$P$13,MATCH(AD329,Products!$A$7:$A$13,0)),"")))),ISNUMBER('Operating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plan'!$Y$87),ISNUMBER('Replacement plan'!$Z$87),'Replacement plan'!$Z$87&gt;=0,ISNUMBER('Replacement plan'!$AA$87),'Replacement plan'!$AA$87&gt;=0,'Replacement plan'!$AA$87=INT('Replacement plan'!$AA$87),ISNUMBER('Replacement plan'!$L$87))),'Operating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plan'!$AG$87="",'Operating costs'!$B$7,'Replacement plan'!$AG$87)),IF('Replacement plan'!$AG$87="",'Operating costs'!$B$7,'Replacement plan'!$AG$87)&gt;=0,ISNUMBER(IF('Replacement plan'!$AH$87="",'Operating costs'!$B$7,'Replacement plan'!$AH$87)),IF('Replacement plan'!$AH$87="",'Operating costs'!$B$7,'Replacement plan'!$AH$87)&gt;=0,'Operating costs'!$B$8&gt;MAX(IF('Replacement plan'!$AG$87="",'Operating costs'!$B$7,'Replacement plan'!$AG$87),IF('Replacement plan'!$AH$87="",'Operating costs'!$B$7,'Replacement plan'!$AH$87))*'Operating costs'!$B$9),IF(AND(VLOOKUP($A329,'Fleet register'!$A$7:$S$106,10,FALSE)&gt;=0,VLOOKUP($A329,'Fleet register'!$A$7:$S$106,10,FALSE)&lt;=120,VLOOKUP($A329,'Fleet register'!$A$7:$S$106,10,FALSE)=INT(VLOOKUP($A329,'Fleet register'!$A$7:$S$106,10,FALSE)),VLOOKUP($A329,'Fleet register'!$A$7:$S$106,15,FALSE)&gt;=0,VLOOKUP($A329,'Fleet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costs'!$B$67)&gt;=0,OR(D329&lt;&gt;"EV",E329=120,AND(MIN('Operating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29" s="1" t="str">
        <f>IF(C329=0,"Excluded",IF(P329&lt;&gt;"Complete",P329,IF(OR('Replacement plan'!$AD$87&lt;120-E329,AND(D329="EV",E329&lt;120,OR('Replacement plan'!$AC$87&lt;120-E329,'Replacement plan'!$I$87="No",AND(ISNUMBER(AF329),AE329&gt;AF329),AI329&gt;V329*(1-'Operating costs'!$B$46)^MAX(0,AB329-1)*(1-'Operating costs'!$B$45),AC329&gt;'Operating costs'!$B$18,AND(T329&lt;1,OR(AG329&lt;=0,AND(ISNUMBER(AH329),AG329&gt;AH329))),'Replacement plan'!$L$87&gt;INDEX(Products!$H$7:$H$13,MATCH('Replacement plan'!$B$87,Products!$A$7:$A$13,0))))),"Fails entered limits",IF(AND(D329="EV",E329&lt;120,OR(NOT(ISNUMBER(VLOOKUP($A329,'Fleet register'!$A$7:$S$106,7,FALSE))),NOT(ISNUMBER(VLOOKUP($A329,'Fleet register'!$A$7:$S$106,8,FALSE))),NOT(ISNUMBER(AF329)),'Replacement plan'!$I$87&lt;&gt;"Yes",NOT(ISNUMBER(AH329)),'Operating costs'!$B$59&lt;&gt;"Yes",'Operating costs'!$B$58&lt;&gt;"Yes")),"Unverified","Within entered limits"))))</f>
        <v>Excluded</v>
      </c>
      <c r="R329" s="1">
        <f>IF(C329=0,0,VLOOKUP($A329,'Fleet register'!$A$7:$S$106,6,FALSE))</f>
        <v>0</v>
      </c>
      <c r="S329" s="1">
        <f>IF(C329=0,0,VLOOKUP($A329,'Fleet register'!$A$7:$S$106,5,FALSE))</f>
        <v>0</v>
      </c>
      <c r="T329" s="1">
        <f>IF(D329="EV",'Energy and charging'!$B$12,0)</f>
        <v>0</v>
      </c>
      <c r="U329" s="1">
        <f>IFERROR(IF(C329=0,0,IF(D329="EV",IF('Replacement plan'!$F$87="",INDEX(Products!$E$7:$E$13,MATCH('Replacement plan'!$B$87,Products!$A$7:$A$13,0)),'Replacement plan'!$F$87)/IF('Replacement plan'!$G$87="Battery",1-'Operating costs'!$B$44,1),0)),"n.a.")</f>
        <v>0</v>
      </c>
      <c r="V329" s="1">
        <f>IFERROR(IF(C329=0,0,IF(D329="EV",IF('Replacement plan'!$E$87="",INDEX(Products!$D$7:$D$13,MATCH('Replacement plan'!$B$87,Products!$A$7:$A$13,0)),'Replacement plan'!$E$87),0)),"n.a.")</f>
        <v>0</v>
      </c>
      <c r="W329" s="1">
        <f>IF(C329=0,0,IF(AND(P329="Complete",D329="EV",E329&lt;120),IF(T329=0,0,ROUNDUP(T329*(R329-'Operating costs'!$B$41)*(S329*U329+'Operating costs'!$B$48/(1-'Operating costs'!$B$44))/(V329*'Operating costs'!$B$47/(1-'Operating costs'!$B$44)-T329*'Operating costs'!$B$12*U329),0)),0))</f>
        <v>0</v>
      </c>
      <c r="X329" s="1">
        <f>IF(C329=0,0,IF(AND(P329="Complete",D329="EV",E329&lt;120),(R329-'Operating costs'!$B$41)*(S329*U329+'Operating costs'!$B$48/(1-'Operating costs'!$B$44))+W329*'Operating costs'!$B$12*U329,0))</f>
        <v>0</v>
      </c>
      <c r="Y329" s="1">
        <f>IF(AND(C329=1,D329="EV",E329&lt;120),AI329/(1-'Operating costs'!$B$44)*(1-T329),0)</f>
        <v>0</v>
      </c>
      <c r="Z329" s="1">
        <f t="shared" si="10"/>
        <v>0</v>
      </c>
      <c r="AA329" s="1">
        <f>IF(C329=0,0,IF(P329="Complete",((S329*(R329-'Operating costs'!$B$40))+ROUNDUP(S329*(R329-'Operating costs'!$B$40)*IF('Replacement plan'!$AH$87="",'Operating costs'!$B$7,'Replacement plan'!$AH$87)/('Operating costs'!$B$8-'Operating costs'!$B$9*IF('Replacement plan'!$AH$87="",'Operating costs'!$B$7,'Replacement plan'!$AH$87)),0)*'Operating costs'!$B$9)*IF('Replacement plan'!$AH$87="",'Operating costs'!$B$7,'Replacement plan'!$AH$87),"n.a."))</f>
        <v>0</v>
      </c>
      <c r="AB329" s="1">
        <f t="shared" si="11"/>
        <v>0</v>
      </c>
      <c r="AC329" s="1">
        <f>IF(AND(C329=1,D329="EV",E329&lt;120,T329&gt;0),'Operating costs'!$B$12/'Operating costs'!$B$11*60+'Operating costs'!$B$13+'Operating costs'!$B$14+V329*'Operating costs'!$B$47/(1-'Operating costs'!$B$44)/'Replacement plan'!$L$87*60,0)</f>
        <v>0</v>
      </c>
      <c r="AD329" s="1" t="str">
        <f>'Replacement plan'!$B$87</f>
        <v>ChengLong L2EV</v>
      </c>
      <c r="AE329" s="1">
        <f>IF(C329=0,0,VLOOKUP($A329,'Fleet register'!$A$7:$S$106,8,FALSE))</f>
        <v>0</v>
      </c>
      <c r="AF329" s="1" t="str">
        <f>IF('Replacement plan'!$H$87="","n.a.",'Replacement plan'!$H$87)</f>
        <v>n.a.</v>
      </c>
      <c r="AG329" s="1">
        <f>'Replacement plan'!$J$87</f>
        <v>22</v>
      </c>
      <c r="AH329" s="1">
        <f>IFERROR(IF(D329="EV",IF('Replacement plan'!$K$87="AC",IF(ISNUMBER(INDEX(Products!$G$7:$G$13,MATCH('Replacement plan'!$B$87,Products!$A$7:$A$13,0))),INDEX(Products!$G$7:$G$13,MATCH('Replacement plan'!$B$87,Products!$A$7:$A$13,0)),"n.a."),IF(ISNUMBER(INDEX(Products!$H$7:$H$13,MATCH('Replacement plan'!$B$87,Products!$A$7:$A$13,0))),INDEX(Products!$H$7:$H$13,MATCH('Replacement plan'!$B$87,Products!$A$7:$A$13,0)),"n.a.")),0),"n.a.")</f>
        <v>0</v>
      </c>
      <c r="AI329" s="1">
        <f>IF(AND(C329=1,D329="EV",E329&lt;120),(VLOOKUP($A329,'Fleet register'!$A$7:$S$106,7,FALSE)+IF(T329&gt;0,'Operating costs'!$B$12,0))*U329*(1-'Operating costs'!$B$44)+'Operating costs'!$B$49,0)</f>
        <v>0</v>
      </c>
      <c r="AJ329" s="1">
        <f>IF(D329="EV",'Energy and charging'!$B$50,0)</f>
        <v>0</v>
      </c>
      <c r="AK329" s="17">
        <f>EDATE('Operating costs'!$B$63,E329)</f>
        <v>46298</v>
      </c>
      <c r="AL329" s="1">
        <f>IFERROR(IF(D329="EV",INDEX(Products!$B$7:$B$13,MATCH('Replacement plan'!$B$87,Products!$A$7:$A$13,0)),0),"n.a.")</f>
        <v>0</v>
      </c>
      <c r="AM329" s="1" t="str">
        <f>'Replacement plan'!$K$87</f>
        <v>DC</v>
      </c>
      <c r="AN329" s="1" t="str">
        <f>'Replacement plan'!$AE$87</f>
        <v>Assumed</v>
      </c>
      <c r="AO329" s="47">
        <f>IF(AND(C329=1,D329="EV",E329&lt;120),(R329-'Operating costs'!$B$41)*S329+W329*'Operating costs'!$B$12,0)</f>
        <v>0</v>
      </c>
      <c r="AP329" s="41">
        <f>IF(AND(C329=1,D329="EV",E329&lt;120),IF('Operating costs'!$B$68="Hong Seh 200k average",AO329*IFERROR(INDEX(Products!$P$7:$P$13,MATCH(AD329,Products!$A$7:$A$13,0)),"n.a."),'Operating costs'!$B$26),0)</f>
        <v>0</v>
      </c>
      <c r="AQ329" s="40" t="str">
        <f>IF(D329="EV",'Operating costs'!$B$68,"Not applicable")</f>
        <v>Not applicable</v>
      </c>
    </row>
    <row r="330" spans="1:43" ht="24" customHeight="1">
      <c r="A330" s="1" t="str">
        <f>'Replacement plan'!A87</f>
        <v>T081</v>
      </c>
      <c r="B330" s="1">
        <v>3</v>
      </c>
      <c r="C330" s="1">
        <f>IF(COUNTIFS('Fleet register'!$A$7:$A$106,$A330)=1,VLOOKUP($A330,'Fleet register'!$A$7:$S$106,2,FALSE),0)</f>
        <v>0</v>
      </c>
      <c r="D330" s="1" t="str">
        <f>IF('Replacement plan'!$R$87="EV","EV","ICE")</f>
        <v>ICE</v>
      </c>
      <c r="E330" s="1">
        <f>IF(C330=0,0,IF('Replacement plan'!$S$87="",IF('Replacement plan'!$R$87="Keep ICE",IF('Replacement plan'!$M$87="",VLOOKUP($A330,'Fleet register'!$A$7:$S$106,10,FALSE),'Replacement plan'!$M$87),0),'Replacement plan'!$S$87))</f>
        <v>0</v>
      </c>
      <c r="F330" s="16">
        <f>IF(C330=0,0,VLOOKUP($A330,'Fleet register'!$A$7:$S$106,11,FALSE))</f>
        <v>0</v>
      </c>
      <c r="G330" s="16">
        <f>IFERROR(IF(C330=0,0,IF(E330=120,0,IF(D330="ICE",'Replacement plan'!$C$87,IF('Replacement plan'!$D$87="",INDEX(Products!$I$7:$I$13,MATCH('Replacement plan'!$B$87,Products!$A$7:$A$13,0))+'Operating costs'!$B$57,'Replacement plan'!$D$87))*(1+'Operating costs'!$B$50)^(E330/12))),"n.a.")</f>
        <v>0</v>
      </c>
      <c r="H330" s="16">
        <f>IFERROR(IF(C330=0,0,IF('Replacement plan'!$V$87&lt;&gt;"",'Replacement plan'!$V$87,IF(E330=0,F330,VLOOKUP($A330,'Fleet register'!$A$7:$S$106,12,FALSE)+VLOOKUP($A330,'Fleet register'!$A$7:$S$106,13,FALSE)*MAX(0,VLOOKUP($A330,'Fleet register'!$A$7:$S$106,10,FALSE)-E330)/VLOOKUP($A330,'Fleet register'!$A$7:$S$106,14,FALSE)))),"n.a.")</f>
        <v>0</v>
      </c>
      <c r="I330" s="16">
        <f>IF(C330=0,0,IF(E330=120,0,'Replacement plan'!$T$87))</f>
        <v>0</v>
      </c>
      <c r="J330" s="16">
        <f>IF(C330=0,0,IF(P330="Complete",((S330*(R330-'Operating costs'!$B$39))+ROUNDUP(S330*(R330-'Operating costs'!$B$39)*IF('Replacement plan'!$AG$87="",'Operating costs'!$B$7,'Replacement plan'!$AG$87)/('Operating costs'!$B$8-'Operating costs'!$B$9*IF('Replacement plan'!$AG$87="",'Operating costs'!$B$7,'Replacement plan'!$AG$87)),0)*'Operating costs'!$B$9)*IF('Replacement plan'!$AG$87="",'Operating costs'!$B$7,'Replacement plan'!$AG$87)*('Energy and charging'!$C$9*'Energy and charging'!$C$7+(1-'Energy and charging'!$C$9)*'Energy and charging'!$C$8)*'Operating costs'!$B$23,"n.a."))</f>
        <v>0</v>
      </c>
      <c r="K330" s="16">
        <f>IF(C330=0,0,IF(P330="Complete",SUM('Operating costs'!$B$24,'Operating costs'!$B$27,'Operating costs'!$B$29,'Operating costs'!$B$31,'Operating costs'!$B$33,'Operating costs'!$B$34,'Operating costs'!$B$37,'Replacement plan'!$W$87)+'Operating costs'!$B$39*'Operating costs'!$B$42+ROUNDUP(S330*(R330-'Operating costs'!$B$39)*IF('Replacement plan'!$AG$87="",'Operating costs'!$B$7,'Replacement plan'!$AG$87)/('Operating costs'!$B$8-'Operating costs'!$B$9*IF('Replacement plan'!$AG$87="",'Operating costs'!$B$7,'Replacement plan'!$AG$87)),0)*('Operating costs'!$B$9/'Operating costs'!$B$11+'Operating costs'!$B$10/60)*'Operating costs'!$B$19*'Operating costs'!$B$21,"n.a."))</f>
        <v>0</v>
      </c>
      <c r="L330" s="16">
        <f>IF(C330=0,0,IF(P330="Complete",IF(D330="EV",X330*((1-T330)*'Energy and charging'!$C$10+T330*'Energy and charging'!$C$11)*'Operating costs'!$B$22,AA330*('Energy and charging'!$C$9*'Energy and charging'!$C$7+(1-'Energy and charging'!$C$9)*'Energy and charging'!$C$8)*'Operating costs'!$B$23),"n.a."))</f>
        <v>0</v>
      </c>
      <c r="M330" s="37">
        <f>IF(C330=0,0,IF(P330="Complete",IF(D330="ICE",SUM('Operating costs'!$B$25,'Operating costs'!$B$27,'Operating costs'!$B$29,'Operating costs'!$B$31,'Operating costs'!$B$33,'Operating costs'!$B$35,'Operating costs'!$B$37,'Replacement plan'!$X$87)+'Operating costs'!$B$40*'Operating costs'!$B$42+ROUNDUP(S330*(R330-'Operating costs'!$B$40)*IF('Replacement plan'!$AH$87="",'Operating costs'!$B$7,'Replacement plan'!$AH$87)/('Operating costs'!$B$8-'Operating costs'!$B$9*IF('Replacement plan'!$AH$87="",'Operating costs'!$B$7,'Replacement plan'!$AH$87)),0)*('Operating costs'!$B$9/'Operating costs'!$B$11+'Operating costs'!$B$10/60)*'Operating costs'!$B$19*'Operating costs'!$B$21,SUM(AP330,'Operating costs'!$B$28,'Operating costs'!$B$30,'Operating costs'!$B$32,'Operating costs'!$B$33,'Operating costs'!$B$36,'Operating costs'!$B$38,'Replacement plan'!$Y$87)+'Operating costs'!$B$41*'Operating costs'!$B$43+W330*'Operating costs'!$B$15+(T330*X330/'Replacement plan'!$L$87+W330*('Operating costs'!$B$12/'Operating costs'!$B$11+('Operating costs'!$B$13+'Operating costs'!$B$14)/60)+(R330-'Operating costs'!$B$41)*(IF(T330&lt;1,'Operating costs'!$B$16,0)+'Operating costs'!$B$17)/60)*'Operating costs'!$B$19*'Operating costs'!$B$20),"n.a."))</f>
        <v>0</v>
      </c>
      <c r="N330" s="16">
        <f>IF(AND(C330=1,D330="EV",E330&lt;120,E330+'Replacement plan'!$AA$87&lt;=120),'Replacement plan'!$Z$87,0)</f>
        <v>0</v>
      </c>
      <c r="O330" s="1">
        <f>E330+'Replacement plan'!$AA$87</f>
        <v>0</v>
      </c>
      <c r="P330" s="35" t="str">
        <f>IFERROR(IF(C330=0,"Excluded",IF(OR(COUNTIFS('Fleet register'!$A$7:$A$106,A330)&lt;&gt;1,COUNTIFS('Replacement plan'!$A$7:$A$106,A330)&lt;&gt;1),"Duplicate/missing ID",IF(NOT(AND(ISNUMBER(VLOOKUP($A330,'Fleet register'!$A$7:$S$106,5,FALSE)),ISNUMBER(VLOOKUP($A330,'Fleet register'!$A$7:$S$106,6,FALSE)),ISNUMBER(VLOOKUP($A330,'Fleet register'!$A$7:$S$106,10,FALSE)),ISNUMBER(VLOOKUP($A330,'Fleet register'!$A$7:$S$106,11,FALSE)),ISNUMBER(VLOOKUP($A330,'Fleet register'!$A$7:$S$106,12,FALSE)),ISNUMBER(VLOOKUP($A330,'Fleet register'!$A$7:$S$106,13,FALSE)),ISNUMBER(VLOOKUP($A330,'Fleet register'!$A$7:$S$106,14,FALSE)),VLOOKUP($A330,'Fleet register'!$A$7:$S$106,14,FALSE)&gt;0,ISNUMBER('Replacement plan'!$C$87),OR(E330=120,ISNUMBER('Replacement plan'!$T$87)),ISNUMBER(E330))),"Missing vehicle input",IF(OR(E330&lt;0,E330&gt;VLOOKUP($A330,'Fleet register'!$A$7:$S$106,10,FALSE),E330&gt;120,E330&lt;&gt;INT(E330),VLOOKUP($A330,'Fleet register'!$A$7:$S$106,6,FALSE)&lt;=0,VLOOKUP($A330,'Fleet register'!$A$7:$S$106,6,FALSE)&gt;366,VLOOKUP($A330,'Fleet register'!$A$7:$S$106,5,FALSE)&lt;0,VLOOKUP($A330,'Fleet register'!$A$7:$S$106,11,FALSE)&lt;0,I330&lt;0,'Operating costs'!$B$8&lt;='Operating costs'!$B$7*'Operating costs'!$B$9,'Operating costs'!$B$11&lt;=0,'Operating costs'!$B$39&gt;R330,'Operating costs'!$B$40&gt;R330,'Operating costs'!$B$41&gt;R330,NOT(OR('Replacement plan'!$R$87="Keep ICE",'Replacement plan'!$R$87="New ICE",'Replacement plan'!$R$87="EV"))),"Invalid vehicle input",IF(AND(D330="EV",E330&lt;120,OR(NOT(ISNUMBER(U330)),NOT(ISNUMBER(V330)),V330&lt;=0,T330&lt;0,T330&gt;1,'Replacement plan'!$L$87&lt;=0,'Operating costs'!$B$44&lt;0,'Operating costs'!$B$44&gt;=1,'Operating costs'!$B$47&lt;=0,'Operating costs'!$B$47&gt;1,V330*'Operating costs'!$B$47/(1-'Operating costs'!$B$44)&lt;=T330*'Operating costs'!$B$12*U330,AND('Replacement plan'!$Z$87&gt;0,OR('Replacement plan'!$AB$87&lt;&gt;"Yes",'Operating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charging'!$C$8&gt;=0))),ISNUMBER(VLOOKUP($A330,'Fleet register'!$A$7:$S$106,15,FALSE)),ISNUMBER(VLOOKUP($A330,'Fleet register'!$A$7:$S$106,16,FALSE)),ISNUMBER('Replacement plan'!$W$87),ISNUMBER('Replacement plan'!$X$87),OR(E330=120,AND(ISNUMBER(G330),G330&gt;=0)),ISNUMBER(H330),H330&gt;=0,OR(D330&lt;&gt;"EV",E330=120,AND(ISNUMBER('Operating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average",ISNUMBER(IFERROR(INDEX(Products!$P$7:$P$13,MATCH(AD330,Products!$A$7:$A$13,0)),"")))),ISNUMBER('Operating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plan'!$Y$87),ISNUMBER('Replacement plan'!$Z$87),'Replacement plan'!$Z$87&gt;=0,ISNUMBER('Replacement plan'!$AA$87),'Replacement plan'!$AA$87&gt;=0,'Replacement plan'!$AA$87=INT('Replacement plan'!$AA$87),ISNUMBER('Replacement plan'!$L$87))),'Operating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plan'!$AG$87="",'Operating costs'!$B$7,'Replacement plan'!$AG$87)),IF('Replacement plan'!$AG$87="",'Operating costs'!$B$7,'Replacement plan'!$AG$87)&gt;=0,ISNUMBER(IF('Replacement plan'!$AH$87="",'Operating costs'!$B$7,'Replacement plan'!$AH$87)),IF('Replacement plan'!$AH$87="",'Operating costs'!$B$7,'Replacement plan'!$AH$87)&gt;=0,'Operating costs'!$B$8&gt;MAX(IF('Replacement plan'!$AG$87="",'Operating costs'!$B$7,'Replacement plan'!$AG$87),IF('Replacement plan'!$AH$87="",'Operating costs'!$B$7,'Replacement plan'!$AH$87))*'Operating costs'!$B$9),IF(AND(VLOOKUP($A330,'Fleet register'!$A$7:$S$106,10,FALSE)&gt;=0,VLOOKUP($A330,'Fleet register'!$A$7:$S$106,10,FALSE)&lt;=120,VLOOKUP($A330,'Fleet register'!$A$7:$S$106,10,FALSE)=INT(VLOOKUP($A330,'Fleet register'!$A$7:$S$106,10,FALSE)),VLOOKUP($A330,'Fleet register'!$A$7:$S$106,15,FALSE)&gt;=0,VLOOKUP($A330,'Fleet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costs'!$B$67)&gt;=0,OR(D330&lt;&gt;"EV",E330=120,AND(MIN('Operating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30" s="1" t="str">
        <f>IF(C330=0,"Excluded",IF(P330&lt;&gt;"Complete",P330,IF(OR('Replacement plan'!$AD$87&lt;120-E330,AND(D330="EV",E330&lt;120,OR('Replacement plan'!$AC$87&lt;120-E330,'Replacement plan'!$I$87="No",AND(ISNUMBER(AF330),AE330&gt;AF330),AI330&gt;V330*(1-'Operating costs'!$B$46)^MAX(0,AB330-1)*(1-'Operating costs'!$B$45),AC330&gt;'Operating costs'!$B$18,AND(T330&lt;1,OR(AG330&lt;=0,AND(ISNUMBER(AH330),AG330&gt;AH330))),'Replacement plan'!$L$87&gt;INDEX(Products!$H$7:$H$13,MATCH('Replacement plan'!$B$87,Products!$A$7:$A$13,0))))),"Fails entered limits",IF(AND(D330="EV",E330&lt;120,OR(NOT(ISNUMBER(VLOOKUP($A330,'Fleet register'!$A$7:$S$106,7,FALSE))),NOT(ISNUMBER(VLOOKUP($A330,'Fleet register'!$A$7:$S$106,8,FALSE))),NOT(ISNUMBER(AF330)),'Replacement plan'!$I$87&lt;&gt;"Yes",NOT(ISNUMBER(AH330)),'Operating costs'!$B$59&lt;&gt;"Yes",'Operating costs'!$B$58&lt;&gt;"Yes")),"Unverified","Within entered limits"))))</f>
        <v>Excluded</v>
      </c>
      <c r="R330" s="1">
        <f>IF(C330=0,0,VLOOKUP($A330,'Fleet register'!$A$7:$S$106,6,FALSE))</f>
        <v>0</v>
      </c>
      <c r="S330" s="1">
        <f>IF(C330=0,0,VLOOKUP($A330,'Fleet register'!$A$7:$S$106,5,FALSE))</f>
        <v>0</v>
      </c>
      <c r="T330" s="1">
        <f>IF(D330="EV",'Energy and charging'!$C$12,0)</f>
        <v>0</v>
      </c>
      <c r="U330" s="1">
        <f>IFERROR(IF(C330=0,0,IF(D330="EV",IF('Replacement plan'!$F$87="",INDEX(Products!$E$7:$E$13,MATCH('Replacement plan'!$B$87,Products!$A$7:$A$13,0)),'Replacement plan'!$F$87)/IF('Replacement plan'!$G$87="Battery",1-'Operating costs'!$B$44,1),0)),"n.a.")</f>
        <v>0</v>
      </c>
      <c r="V330" s="1">
        <f>IFERROR(IF(C330=0,0,IF(D330="EV",IF('Replacement plan'!$E$87="",INDEX(Products!$D$7:$D$13,MATCH('Replacement plan'!$B$87,Products!$A$7:$A$13,0)),'Replacement plan'!$E$87),0)),"n.a.")</f>
        <v>0</v>
      </c>
      <c r="W330" s="1">
        <f>IF(C330=0,0,IF(AND(P330="Complete",D330="EV",E330&lt;120),IF(T330=0,0,ROUNDUP(T330*(R330-'Operating costs'!$B$41)*(S330*U330+'Operating costs'!$B$48/(1-'Operating costs'!$B$44))/(V330*'Operating costs'!$B$47/(1-'Operating costs'!$B$44)-T330*'Operating costs'!$B$12*U330),0)),0))</f>
        <v>0</v>
      </c>
      <c r="X330" s="1">
        <f>IF(C330=0,0,IF(AND(P330="Complete",D330="EV",E330&lt;120),(R330-'Operating costs'!$B$41)*(S330*U330+'Operating costs'!$B$48/(1-'Operating costs'!$B$44))+W330*'Operating costs'!$B$12*U330,0))</f>
        <v>0</v>
      </c>
      <c r="Y330" s="1">
        <f>IF(AND(C330=1,D330="EV",E330&lt;120),AI330/(1-'Operating costs'!$B$44)*(1-T330),0)</f>
        <v>0</v>
      </c>
      <c r="Z330" s="1">
        <f t="shared" si="10"/>
        <v>0</v>
      </c>
      <c r="AA330" s="1">
        <f>IF(C330=0,0,IF(P330="Complete",((S330*(R330-'Operating costs'!$B$40))+ROUNDUP(S330*(R330-'Operating costs'!$B$40)*IF('Replacement plan'!$AH$87="",'Operating costs'!$B$7,'Replacement plan'!$AH$87)/('Operating costs'!$B$8-'Operating costs'!$B$9*IF('Replacement plan'!$AH$87="",'Operating costs'!$B$7,'Replacement plan'!$AH$87)),0)*'Operating costs'!$B$9)*IF('Replacement plan'!$AH$87="",'Operating costs'!$B$7,'Replacement plan'!$AH$87),"n.a."))</f>
        <v>0</v>
      </c>
      <c r="AB330" s="1">
        <f t="shared" si="11"/>
        <v>0</v>
      </c>
      <c r="AC330" s="1">
        <f>IF(AND(C330=1,D330="EV",E330&lt;120,T330&gt;0),'Operating costs'!$B$12/'Operating costs'!$B$11*60+'Operating costs'!$B$13+'Operating costs'!$B$14+V330*'Operating costs'!$B$47/(1-'Operating costs'!$B$44)/'Replacement plan'!$L$87*60,0)</f>
        <v>0</v>
      </c>
      <c r="AD330" s="1" t="str">
        <f>'Replacement plan'!$B$87</f>
        <v>ChengLong L2EV</v>
      </c>
      <c r="AE330" s="1">
        <f>IF(C330=0,0,VLOOKUP($A330,'Fleet register'!$A$7:$S$106,8,FALSE))</f>
        <v>0</v>
      </c>
      <c r="AF330" s="1" t="str">
        <f>IF('Replacement plan'!$H$87="","n.a.",'Replacement plan'!$H$87)</f>
        <v>n.a.</v>
      </c>
      <c r="AG330" s="1">
        <f>'Replacement plan'!$J$87</f>
        <v>22</v>
      </c>
      <c r="AH330" s="1">
        <f>IFERROR(IF(D330="EV",IF('Replacement plan'!$K$87="AC",IF(ISNUMBER(INDEX(Products!$G$7:$G$13,MATCH('Replacement plan'!$B$87,Products!$A$7:$A$13,0))),INDEX(Products!$G$7:$G$13,MATCH('Replacement plan'!$B$87,Products!$A$7:$A$13,0)),"n.a."),IF(ISNUMBER(INDEX(Products!$H$7:$H$13,MATCH('Replacement plan'!$B$87,Products!$A$7:$A$13,0))),INDEX(Products!$H$7:$H$13,MATCH('Replacement plan'!$B$87,Products!$A$7:$A$13,0)),"n.a.")),0),"n.a.")</f>
        <v>0</v>
      </c>
      <c r="AI330" s="1">
        <f>IF(AND(C330=1,D330="EV",E330&lt;120),(VLOOKUP($A330,'Fleet register'!$A$7:$S$106,7,FALSE)+IF(T330&gt;0,'Operating costs'!$B$12,0))*U330*(1-'Operating costs'!$B$44)+'Operating costs'!$B$49,0)</f>
        <v>0</v>
      </c>
      <c r="AJ330" s="1">
        <f>IF(D330="EV",'Energy and charging'!$C$50,0)</f>
        <v>0</v>
      </c>
      <c r="AK330" s="17">
        <f>EDATE('Operating costs'!$B$63,E330)</f>
        <v>46298</v>
      </c>
      <c r="AL330" s="1">
        <f>IFERROR(IF(D330="EV",INDEX(Products!$B$7:$B$13,MATCH('Replacement plan'!$B$87,Products!$A$7:$A$13,0)),0),"n.a.")</f>
        <v>0</v>
      </c>
      <c r="AM330" s="1" t="str">
        <f>'Replacement plan'!$K$87</f>
        <v>DC</v>
      </c>
      <c r="AN330" s="1" t="str">
        <f>'Replacement plan'!$AE$87</f>
        <v>Assumed</v>
      </c>
      <c r="AO330" s="47">
        <f>IF(AND(C330=1,D330="EV",E330&lt;120),(R330-'Operating costs'!$B$41)*S330+W330*'Operating costs'!$B$12,0)</f>
        <v>0</v>
      </c>
      <c r="AP330" s="41">
        <f>IF(AND(C330=1,D330="EV",E330&lt;120),IF('Operating costs'!$B$68="Hong Seh 200k average",AO330*IFERROR(INDEX(Products!$P$7:$P$13,MATCH(AD330,Products!$A$7:$A$13,0)),"n.a."),'Operating costs'!$B$26),0)</f>
        <v>0</v>
      </c>
      <c r="AQ330" s="40" t="str">
        <f>IF(D330="EV",'Operating costs'!$B$68,"Not applicable")</f>
        <v>Not applicable</v>
      </c>
    </row>
    <row r="331" spans="1:43" ht="24" customHeight="1">
      <c r="A331" s="1" t="str">
        <f>'Replacement plan'!A88</f>
        <v>T082</v>
      </c>
      <c r="B331" s="1">
        <v>0</v>
      </c>
      <c r="C331" s="1">
        <f>IF(COUNTIFS('Fleet register'!$A$7:$A$106,$A331)=1,VLOOKUP($A331,'Fleet register'!$A$7:$S$106,2,FALSE),0)</f>
        <v>0</v>
      </c>
      <c r="D331" s="1" t="str">
        <f>IF("Keep ICE"="EV","EV","ICE")</f>
        <v>ICE</v>
      </c>
      <c r="E331" s="1">
        <f>IF(C331=0,0,IF('Replacement plan'!$M$88="",VLOOKUP($A331,'Fleet register'!$A$7:$S$106,10,FALSE),'Replacement plan'!$M$88))</f>
        <v>0</v>
      </c>
      <c r="F331" s="16">
        <f>IF(C331=0,0,VLOOKUP($A331,'Fleet register'!$A$7:$S$106,11,FALSE))</f>
        <v>0</v>
      </c>
      <c r="G331" s="16">
        <f>IFERROR(IF(C331=0,0,IF(E331=120,0,IF(D331="ICE",'Replacement plan'!$C$88,IF('Replacement plan'!$D$88="",INDEX(Products!$I$7:$I$13,MATCH('Replacement plan'!$B$88,Products!$A$7:$A$13,0))+'Operating costs'!$B$57,'Replacement plan'!$D$88))*(1+'Operating costs'!$B$50)^(E331/12))),"n.a.")</f>
        <v>0</v>
      </c>
      <c r="H331" s="16">
        <f>IFERROR(IF(C331=0,0,IF(E331=0,F331,VLOOKUP($A331,'Fleet register'!$A$7:$S$106,12,FALSE)+VLOOKUP($A331,'Fleet register'!$A$7:$S$106,13,FALSE)*MAX(0,VLOOKUP($A331,'Fleet register'!$A$7:$S$106,10,FALSE)-E331)/VLOOKUP($A331,'Fleet register'!$A$7:$S$106,14,FALSE))),"n.a.")</f>
        <v>0</v>
      </c>
      <c r="I331" s="16">
        <f>IF(C331=0,0,IF(E331=120,0,'Replacement plan'!$N$88))</f>
        <v>0</v>
      </c>
      <c r="J331" s="16">
        <f>IF(C331=0,0,IF(P331="Complete",((S331*(R331-'Operating costs'!$B$39))+ROUNDUP(S331*(R331-'Operating costs'!$B$39)*IF('Replacement plan'!$AG$88="",'Operating costs'!$B$7,'Replacement plan'!$AG$88)/('Operating costs'!$B$8-'Operating costs'!$B$9*IF('Replacement plan'!$AG$88="",'Operating costs'!$B$7,'Replacement plan'!$AG$88)),0)*'Operating costs'!$B$9)*IF('Replacement plan'!$AG$88="",'Operating costs'!$B$7,'Replacement plan'!$AG$88)*('Energy and charging'!$B$9*'Energy and charging'!$B$7+(1-'Energy and charging'!$B$9)*'Energy and charging'!$B$8)*'Operating costs'!$B$23,"n.a."))</f>
        <v>0</v>
      </c>
      <c r="K331" s="16">
        <f>IF(C331=0,0,IF(P331="Complete",SUM('Operating costs'!$B$24,'Operating costs'!$B$27,'Operating costs'!$B$29,'Operating costs'!$B$31,'Operating costs'!$B$33,'Operating costs'!$B$34,'Operating costs'!$B$37,'Replacement plan'!$W$88)+'Operating costs'!$B$39*'Operating costs'!$B$42+ROUNDUP(S331*(R331-'Operating costs'!$B$39)*IF('Replacement plan'!$AG$88="",'Operating costs'!$B$7,'Replacement plan'!$AG$88)/('Operating costs'!$B$8-'Operating costs'!$B$9*IF('Replacement plan'!$AG$88="",'Operating costs'!$B$7,'Replacement plan'!$AG$88)),0)*('Operating costs'!$B$9/'Operating costs'!$B$11+'Operating costs'!$B$10/60)*'Operating costs'!$B$19*'Operating costs'!$B$21,"n.a."))</f>
        <v>0</v>
      </c>
      <c r="L331" s="16">
        <f>IF(C331=0,0,IF(P331="Complete",IF(D331="EV",X331*((1-T331)*'Energy and charging'!$B$10+T331*'Energy and charging'!$B$11)*'Operating costs'!$B$22,AA331*('Energy and charging'!$B$9*'Energy and charging'!$B$7+(1-'Energy and charging'!$B$9)*'Energy and charging'!$B$8)*'Operating costs'!$B$23),"n.a."))</f>
        <v>0</v>
      </c>
      <c r="M331" s="37">
        <f>IF(C331=0,0,IF(P331="Complete",IF(D331="ICE",SUM('Operating costs'!$B$25,'Operating costs'!$B$27,'Operating costs'!$B$29,'Operating costs'!$B$31,'Operating costs'!$B$33,'Operating costs'!$B$35,'Operating costs'!$B$37,'Replacement plan'!$X$88)+'Operating costs'!$B$40*'Operating costs'!$B$42+ROUNDUP(S331*(R331-'Operating costs'!$B$40)*IF('Replacement plan'!$AH$88="",'Operating costs'!$B$7,'Replacement plan'!$AH$88)/('Operating costs'!$B$8-'Operating costs'!$B$9*IF('Replacement plan'!$AH$88="",'Operating costs'!$B$7,'Replacement plan'!$AH$88)),0)*('Operating costs'!$B$9/'Operating costs'!$B$11+'Operating costs'!$B$10/60)*'Operating costs'!$B$19*'Operating costs'!$B$21,SUM(AP331,'Operating costs'!$B$28,'Operating costs'!$B$30,'Operating costs'!$B$32,'Operating costs'!$B$33,'Operating costs'!$B$36,'Operating costs'!$B$38,'Replacement plan'!$Y$88)+'Operating costs'!$B$41*'Operating costs'!$B$43+W331*'Operating costs'!$B$15+(T331*X331/'Replacement plan'!$L$88+W331*('Operating costs'!$B$12/'Operating costs'!$B$11+('Operating costs'!$B$13+'Operating costs'!$B$14)/60)+(R331-'Operating costs'!$B$41)*(IF(T331&lt;1,'Operating costs'!$B$16,0)+'Operating costs'!$B$17)/60)*'Operating costs'!$B$19*'Operating costs'!$B$20),"n.a."))</f>
        <v>0</v>
      </c>
      <c r="N331" s="16">
        <f>IF(AND(C331=1,D331="EV",E331&lt;120,E331+'Replacement plan'!$AA$88&lt;=120),'Replacement plan'!$Z$88,0)</f>
        <v>0</v>
      </c>
      <c r="O331" s="1">
        <f>E331+'Replacement plan'!$AA$88</f>
        <v>0</v>
      </c>
      <c r="P331" s="35" t="str">
        <f>IFERROR(IF(C331=0,"Excluded",IF(OR(COUNTIFS('Fleet register'!$A$7:$A$106,A331)&lt;&gt;1,COUNTIFS('Replacement plan'!$A$7:$A$106,A331)&lt;&gt;1),"Duplicate/missing ID",IF(NOT(AND(ISNUMBER(VLOOKUP($A331,'Fleet register'!$A$7:$S$106,5,FALSE)),ISNUMBER(VLOOKUP($A331,'Fleet register'!$A$7:$S$106,6,FALSE)),ISNUMBER(VLOOKUP($A331,'Fleet register'!$A$7:$S$106,10,FALSE)),ISNUMBER(VLOOKUP($A331,'Fleet register'!$A$7:$S$106,11,FALSE)),ISNUMBER(VLOOKUP($A331,'Fleet register'!$A$7:$S$106,12,FALSE)),ISNUMBER(VLOOKUP($A331,'Fleet register'!$A$7:$S$106,13,FALSE)),ISNUMBER(VLOOKUP($A331,'Fleet register'!$A$7:$S$106,14,FALSE)),VLOOKUP($A331,'Fleet register'!$A$7:$S$106,14,FALSE)&gt;0,ISNUMBER('Replacement plan'!$C$88),OR(E331=120,ISNUMBER('Replacement plan'!$N$88)),ISNUMBER(E331))),"Missing vehicle input",IF(OR(E331&lt;0,E331&gt;VLOOKUP($A331,'Fleet register'!$A$7:$S$106,10,FALSE),E331&gt;120,E331&lt;&gt;INT(E331),VLOOKUP($A331,'Fleet register'!$A$7:$S$106,6,FALSE)&lt;=0,VLOOKUP($A331,'Fleet register'!$A$7:$S$106,6,FALSE)&gt;366,VLOOKUP($A331,'Fleet register'!$A$7:$S$106,5,FALSE)&lt;0,VLOOKUP($A331,'Fleet register'!$A$7:$S$106,11,FALSE)&lt;0,I331&lt;0,'Operating costs'!$B$8&lt;='Operating costs'!$B$7*'Operating costs'!$B$9,'Operating costs'!$B$11&lt;=0,'Operating costs'!$B$39&gt;R331,'Operating costs'!$B$40&gt;R331,'Operating costs'!$B$41&gt;R331,NOT(OR("Keep ICE"="Keep ICE","Keep ICE"="New ICE","Keep ICE"="EV"))),"Invalid vehicle input",IF(AND(D331="EV",E331&lt;120,OR(NOT(ISNUMBER(U331)),NOT(ISNUMBER(V331)),V331&lt;=0,T331&lt;0,T331&gt;1,'Replacement plan'!$L$88&lt;=0,'Operating costs'!$B$44&lt;0,'Operating costs'!$B$44&gt;=1,'Operating costs'!$B$47&lt;=0,'Operating costs'!$B$47&gt;1,V331*'Operating costs'!$B$47/(1-'Operating costs'!$B$44)&lt;=T331*'Operating costs'!$B$12*U331,AND('Replacement plan'!$Z$88&gt;0,OR('Replacement plan'!$AB$88&lt;&gt;"Yes",'Operating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charging'!$B$8&gt;=0))),ISNUMBER(VLOOKUP($A331,'Fleet register'!$A$7:$S$106,15,FALSE)),ISNUMBER(VLOOKUP($A331,'Fleet register'!$A$7:$S$106,16,FALSE)),ISNUMBER('Replacement plan'!$W$88),ISNUMBER('Replacement plan'!$X$88),OR(E331=120,AND(ISNUMBER(G331),G331&gt;=0)),ISNUMBER(H331),H331&gt;=0,OR(D331&lt;&gt;"EV",E331=120,AND(ISNUMBER('Operating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average",ISNUMBER(IFERROR(INDEX(Products!$P$7:$P$13,MATCH(AD331,Products!$A$7:$A$13,0)),"")))),ISNUMBER('Operating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plan'!$Y$88),ISNUMBER('Replacement plan'!$Z$88),'Replacement plan'!$Z$88&gt;=0,ISNUMBER('Replacement plan'!$AA$88),'Replacement plan'!$AA$88&gt;=0,'Replacement plan'!$AA$88=INT('Replacement plan'!$AA$88),ISNUMBER('Replacement plan'!$L$88))),'Operating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plan'!$AG$88="",'Operating costs'!$B$7,'Replacement plan'!$AG$88)),IF('Replacement plan'!$AG$88="",'Operating costs'!$B$7,'Replacement plan'!$AG$88)&gt;=0,ISNUMBER(IF('Replacement plan'!$AH$88="",'Operating costs'!$B$7,'Replacement plan'!$AH$88)),IF('Replacement plan'!$AH$88="",'Operating costs'!$B$7,'Replacement plan'!$AH$88)&gt;=0,'Operating costs'!$B$8&gt;MAX(IF('Replacement plan'!$AG$88="",'Operating costs'!$B$7,'Replacement plan'!$AG$88),IF('Replacement plan'!$AH$88="",'Operating costs'!$B$7,'Replacement plan'!$AH$88))*'Operating costs'!$B$9),IF(AND(VLOOKUP($A331,'Fleet register'!$A$7:$S$106,10,FALSE)&gt;=0,VLOOKUP($A331,'Fleet register'!$A$7:$S$106,10,FALSE)&lt;=120,VLOOKUP($A331,'Fleet register'!$A$7:$S$106,10,FALSE)=INT(VLOOKUP($A331,'Fleet register'!$A$7:$S$106,10,FALSE)),VLOOKUP($A331,'Fleet register'!$A$7:$S$106,15,FALSE)&gt;=0,VLOOKUP($A331,'Fleet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costs'!$B$67)&gt;=0,OR(D331&lt;&gt;"EV",E331=120,AND(MIN('Operating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31" s="1" t="str">
        <f>IF(C331=0,"Excluded",IF(P331&lt;&gt;"Complete",P331,IF(OR('Replacement plan'!$AD$88&lt;120-E331,AND(D331="EV",E331&lt;120,OR('Replacement plan'!$AC$88&lt;120-E331,'Replacement plan'!$I$88="No",AND(ISNUMBER(AF331),AE331&gt;AF331),AI331&gt;V331*(1-'Operating costs'!$B$46)^MAX(0,AB331-1)*(1-'Operating costs'!$B$45),AC331&gt;'Operating costs'!$B$18,AND(T331&lt;1,OR(AG331&lt;=0,AND(ISNUMBER(AH331),AG331&gt;AH331))),'Replacement plan'!$L$88&gt;INDEX(Products!$H$7:$H$13,MATCH('Replacement plan'!$B$88,Products!$A$7:$A$13,0))))),"Fails entered limits",IF(AND(D331="EV",E331&lt;120,OR(NOT(ISNUMBER(VLOOKUP($A331,'Fleet register'!$A$7:$S$106,7,FALSE))),NOT(ISNUMBER(VLOOKUP($A331,'Fleet register'!$A$7:$S$106,8,FALSE))),NOT(ISNUMBER(AF331)),'Replacement plan'!$I$88&lt;&gt;"Yes",NOT(ISNUMBER(AH331)),'Operating costs'!$B$59&lt;&gt;"Yes",'Operating costs'!$B$58&lt;&gt;"Yes")),"Unverified","Within entered limits"))))</f>
        <v>Excluded</v>
      </c>
      <c r="R331" s="1">
        <f>IF(C331=0,0,VLOOKUP($A331,'Fleet register'!$A$7:$S$106,6,FALSE))</f>
        <v>0</v>
      </c>
      <c r="S331" s="1">
        <f>IF(C331=0,0,VLOOKUP($A331,'Fleet register'!$A$7:$S$106,5,FALSE))</f>
        <v>0</v>
      </c>
      <c r="T331" s="1">
        <f>IF(D331="EV",'Energy and charging'!$B$12,0)</f>
        <v>0</v>
      </c>
      <c r="U331" s="1">
        <f>IFERROR(IF(C331=0,0,IF(D331="EV",IF('Replacement plan'!$F$88="",INDEX(Products!$E$7:$E$13,MATCH('Replacement plan'!$B$88,Products!$A$7:$A$13,0)),'Replacement plan'!$F$88)/IF('Replacement plan'!$G$88="Battery",1-'Operating costs'!$B$44,1),0)),"n.a.")</f>
        <v>0</v>
      </c>
      <c r="V331" s="1">
        <f>IFERROR(IF(C331=0,0,IF(D331="EV",IF('Replacement plan'!$E$88="",INDEX(Products!$D$7:$D$13,MATCH('Replacement plan'!$B$88,Products!$A$7:$A$13,0)),'Replacement plan'!$E$88),0)),"n.a.")</f>
        <v>0</v>
      </c>
      <c r="W331" s="1">
        <f>IF(C331=0,0,IF(AND(P331="Complete",D331="EV",E331&lt;120),IF(T331=0,0,ROUNDUP(T331*(R331-'Operating costs'!$B$41)*(S331*U331+'Operating costs'!$B$48/(1-'Operating costs'!$B$44))/(V331*'Operating costs'!$B$47/(1-'Operating costs'!$B$44)-T331*'Operating costs'!$B$12*U331),0)),0))</f>
        <v>0</v>
      </c>
      <c r="X331" s="1">
        <f>IF(C331=0,0,IF(AND(P331="Complete",D331="EV",E331&lt;120),(R331-'Operating costs'!$B$41)*(S331*U331+'Operating costs'!$B$48/(1-'Operating costs'!$B$44))+W331*'Operating costs'!$B$12*U331,0))</f>
        <v>0</v>
      </c>
      <c r="Y331" s="1">
        <f>IF(AND(C331=1,D331="EV",E331&lt;120),AI331/(1-'Operating costs'!$B$44)*(1-T331),0)</f>
        <v>0</v>
      </c>
      <c r="Z331" s="1">
        <f t="shared" si="10"/>
        <v>0</v>
      </c>
      <c r="AA331" s="1">
        <f>IF(C331=0,0,IF(P331="Complete",((S331*(R331-'Operating costs'!$B$40))+ROUNDUP(S331*(R331-'Operating costs'!$B$40)*IF('Replacement plan'!$AH$88="",'Operating costs'!$B$7,'Replacement plan'!$AH$88)/('Operating costs'!$B$8-'Operating costs'!$B$9*IF('Replacement plan'!$AH$88="",'Operating costs'!$B$7,'Replacement plan'!$AH$88)),0)*'Operating costs'!$B$9)*IF('Replacement plan'!$AH$88="",'Operating costs'!$B$7,'Replacement plan'!$AH$88),"n.a."))</f>
        <v>0</v>
      </c>
      <c r="AB331" s="1">
        <f t="shared" si="11"/>
        <v>0</v>
      </c>
      <c r="AC331" s="1">
        <f>IF(AND(C331=1,D331="EV",E331&lt;120,T331&gt;0),'Operating costs'!$B$12/'Operating costs'!$B$11*60+'Operating costs'!$B$13+'Operating costs'!$B$14+V331*'Operating costs'!$B$47/(1-'Operating costs'!$B$44)/'Replacement plan'!$L$88*60,0)</f>
        <v>0</v>
      </c>
      <c r="AD331" s="1" t="str">
        <f>'Replacement plan'!$B$88</f>
        <v>ChengLong L2EV</v>
      </c>
      <c r="AE331" s="1">
        <f>IF(C331=0,0,VLOOKUP($A331,'Fleet register'!$A$7:$S$106,8,FALSE))</f>
        <v>0</v>
      </c>
      <c r="AF331" s="1" t="str">
        <f>IF('Replacement plan'!$H$88="","n.a.",'Replacement plan'!$H$88)</f>
        <v>n.a.</v>
      </c>
      <c r="AG331" s="1">
        <f>'Replacement plan'!$J$88</f>
        <v>22</v>
      </c>
      <c r="AH331" s="1">
        <f>IFERROR(IF(D331="EV",IF('Replacement plan'!$K$88="AC",IF(ISNUMBER(INDEX(Products!$G$7:$G$13,MATCH('Replacement plan'!$B$88,Products!$A$7:$A$13,0))),INDEX(Products!$G$7:$G$13,MATCH('Replacement plan'!$B$88,Products!$A$7:$A$13,0)),"n.a."),IF(ISNUMBER(INDEX(Products!$H$7:$H$13,MATCH('Replacement plan'!$B$88,Products!$A$7:$A$13,0))),INDEX(Products!$H$7:$H$13,MATCH('Replacement plan'!$B$88,Products!$A$7:$A$13,0)),"n.a.")),0),"n.a.")</f>
        <v>0</v>
      </c>
      <c r="AI331" s="1">
        <f>IF(AND(C331=1,D331="EV",E331&lt;120),(VLOOKUP($A331,'Fleet register'!$A$7:$S$106,7,FALSE)+IF(T331&gt;0,'Operating costs'!$B$12,0))*U331*(1-'Operating costs'!$B$44)+'Operating costs'!$B$49,0)</f>
        <v>0</v>
      </c>
      <c r="AJ331" s="1">
        <f>IF(D331="EV",'Energy and charging'!$B$50,0)</f>
        <v>0</v>
      </c>
      <c r="AK331" s="17">
        <f>EDATE('Operating costs'!$B$63,E331)</f>
        <v>46298</v>
      </c>
      <c r="AL331" s="1">
        <f>IFERROR(IF(D331="EV",INDEX(Products!$B$7:$B$13,MATCH('Replacement plan'!$B$88,Products!$A$7:$A$13,0)),0),"n.a.")</f>
        <v>0</v>
      </c>
      <c r="AM331" s="1" t="str">
        <f>'Replacement plan'!$K$88</f>
        <v>DC</v>
      </c>
      <c r="AN331" s="1" t="str">
        <f>'Replacement plan'!$AE$88</f>
        <v>Assumed</v>
      </c>
      <c r="AO331" s="47">
        <f>IF(AND(C331=1,D331="EV",E331&lt;120),(R331-'Operating costs'!$B$41)*S331+W331*'Operating costs'!$B$12,0)</f>
        <v>0</v>
      </c>
      <c r="AP331" s="41">
        <f>IF(AND(C331=1,D331="EV",E331&lt;120),IF('Operating costs'!$B$68="Hong Seh 200k average",AO331*IFERROR(INDEX(Products!$P$7:$P$13,MATCH(AD331,Products!$A$7:$A$13,0)),"n.a."),'Operating costs'!$B$26),0)</f>
        <v>0</v>
      </c>
      <c r="AQ331" s="40" t="str">
        <f>IF(D331="EV",'Operating costs'!$B$68,"Not applicable")</f>
        <v>Not applicable</v>
      </c>
    </row>
    <row r="332" spans="1:43" ht="24" customHeight="1">
      <c r="A332" s="1" t="str">
        <f>'Replacement plan'!A88</f>
        <v>T082</v>
      </c>
      <c r="B332" s="1">
        <v>1</v>
      </c>
      <c r="C332" s="1">
        <f>IF(COUNTIFS('Fleet register'!$A$7:$A$106,$A332)=1,VLOOKUP($A332,'Fleet register'!$A$7:$S$106,2,FALSE),0)</f>
        <v>0</v>
      </c>
      <c r="D332" s="1" t="str">
        <f>IF("New ICE"="EV","EV","ICE")</f>
        <v>ICE</v>
      </c>
      <c r="E332" s="1">
        <f>IF(C332=0,0,0)</f>
        <v>0</v>
      </c>
      <c r="F332" s="16">
        <f>IF(C332=0,0,VLOOKUP($A332,'Fleet register'!$A$7:$S$106,11,FALSE))</f>
        <v>0</v>
      </c>
      <c r="G332" s="16">
        <f>IFERROR(IF(C332=0,0,IF(E332=120,0,IF(D332="ICE",'Replacement plan'!$C$88,IF('Replacement plan'!$D$88="",INDEX(Products!$I$7:$I$13,MATCH('Replacement plan'!$B$88,Products!$A$7:$A$13,0))+'Operating costs'!$B$57,'Replacement plan'!$D$88))*(1+'Operating costs'!$B$50)^(E332/12))),"n.a.")</f>
        <v>0</v>
      </c>
      <c r="H332" s="16">
        <f>IFERROR(IF(C332=0,0,IF(E332=0,F332,VLOOKUP($A332,'Fleet register'!$A$7:$S$106,12,FALSE)+VLOOKUP($A332,'Fleet register'!$A$7:$S$106,13,FALSE)*MAX(0,VLOOKUP($A332,'Fleet register'!$A$7:$S$106,10,FALSE)-E332)/VLOOKUP($A332,'Fleet register'!$A$7:$S$106,14,FALSE))),"n.a.")</f>
        <v>0</v>
      </c>
      <c r="I332" s="16">
        <f>IF(C332=0,0,IF(E332=120,0,IF('Replacement plan'!$AI$88="",'Operating costs'!$B$56,'Replacement plan'!$AI$88)))</f>
        <v>0</v>
      </c>
      <c r="J332" s="16">
        <f>IF(C332=0,0,IF(P332="Complete",((S332*(R332-'Operating costs'!$B$39))+ROUNDUP(S332*(R332-'Operating costs'!$B$39)*IF('Replacement plan'!$AG$88="",'Operating costs'!$B$7,'Replacement plan'!$AG$88)/('Operating costs'!$B$8-'Operating costs'!$B$9*IF('Replacement plan'!$AG$88="",'Operating costs'!$B$7,'Replacement plan'!$AG$88)),0)*'Operating costs'!$B$9)*IF('Replacement plan'!$AG$88="",'Operating costs'!$B$7,'Replacement plan'!$AG$88)*('Energy and charging'!$B$9*'Energy and charging'!$B$7+(1-'Energy and charging'!$B$9)*'Energy and charging'!$B$8)*'Operating costs'!$B$23,"n.a."))</f>
        <v>0</v>
      </c>
      <c r="K332" s="16">
        <f>IF(C332=0,0,IF(P332="Complete",SUM('Operating costs'!$B$24,'Operating costs'!$B$27,'Operating costs'!$B$29,'Operating costs'!$B$31,'Operating costs'!$B$33,'Operating costs'!$B$34,'Operating costs'!$B$37,'Replacement plan'!$W$88)+'Operating costs'!$B$39*'Operating costs'!$B$42+ROUNDUP(S332*(R332-'Operating costs'!$B$39)*IF('Replacement plan'!$AG$88="",'Operating costs'!$B$7,'Replacement plan'!$AG$88)/('Operating costs'!$B$8-'Operating costs'!$B$9*IF('Replacement plan'!$AG$88="",'Operating costs'!$B$7,'Replacement plan'!$AG$88)),0)*('Operating costs'!$B$9/'Operating costs'!$B$11+'Operating costs'!$B$10/60)*'Operating costs'!$B$19*'Operating costs'!$B$21,"n.a."))</f>
        <v>0</v>
      </c>
      <c r="L332" s="16">
        <f>IF(C332=0,0,IF(P332="Complete",IF(D332="EV",X332*((1-T332)*'Energy and charging'!$B$10+T332*'Energy and charging'!$B$11)*'Operating costs'!$B$22,AA332*('Energy and charging'!$B$9*'Energy and charging'!$B$7+(1-'Energy and charging'!$B$9)*'Energy and charging'!$B$8)*'Operating costs'!$B$23),"n.a."))</f>
        <v>0</v>
      </c>
      <c r="M332" s="37">
        <f>IF(C332=0,0,IF(P332="Complete",IF(D332="ICE",SUM('Operating costs'!$B$25,'Operating costs'!$B$27,'Operating costs'!$B$29,'Operating costs'!$B$31,'Operating costs'!$B$33,'Operating costs'!$B$35,'Operating costs'!$B$37,'Replacement plan'!$X$88)+'Operating costs'!$B$40*'Operating costs'!$B$42+ROUNDUP(S332*(R332-'Operating costs'!$B$40)*IF('Replacement plan'!$AH$88="",'Operating costs'!$B$7,'Replacement plan'!$AH$88)/('Operating costs'!$B$8-'Operating costs'!$B$9*IF('Replacement plan'!$AH$88="",'Operating costs'!$B$7,'Replacement plan'!$AH$88)),0)*('Operating costs'!$B$9/'Operating costs'!$B$11+'Operating costs'!$B$10/60)*'Operating costs'!$B$19*'Operating costs'!$B$21,SUM(AP332,'Operating costs'!$B$28,'Operating costs'!$B$30,'Operating costs'!$B$32,'Operating costs'!$B$33,'Operating costs'!$B$36,'Operating costs'!$B$38,'Replacement plan'!$Y$88)+'Operating costs'!$B$41*'Operating costs'!$B$43+W332*'Operating costs'!$B$15+(T332*X332/'Replacement plan'!$L$88+W332*('Operating costs'!$B$12/'Operating costs'!$B$11+('Operating costs'!$B$13+'Operating costs'!$B$14)/60)+(R332-'Operating costs'!$B$41)*(IF(T332&lt;1,'Operating costs'!$B$16,0)+'Operating costs'!$B$17)/60)*'Operating costs'!$B$19*'Operating costs'!$B$20),"n.a."))</f>
        <v>0</v>
      </c>
      <c r="N332" s="16">
        <f>IF(AND(C332=1,D332="EV",E332&lt;120,E332+'Replacement plan'!$AA$88&lt;=120),'Replacement plan'!$Z$88,0)</f>
        <v>0</v>
      </c>
      <c r="O332" s="1">
        <f>E332+'Replacement plan'!$AA$88</f>
        <v>0</v>
      </c>
      <c r="P332" s="35" t="str">
        <f>IFERROR(IF(C332=0,"Excluded",IF(OR(COUNTIFS('Fleet register'!$A$7:$A$106,A332)&lt;&gt;1,COUNTIFS('Replacement plan'!$A$7:$A$106,A332)&lt;&gt;1),"Duplicate/missing ID",IF(NOT(AND(ISNUMBER(VLOOKUP($A332,'Fleet register'!$A$7:$S$106,5,FALSE)),ISNUMBER(VLOOKUP($A332,'Fleet register'!$A$7:$S$106,6,FALSE)),ISNUMBER(VLOOKUP($A332,'Fleet register'!$A$7:$S$106,10,FALSE)),ISNUMBER(VLOOKUP($A332,'Fleet register'!$A$7:$S$106,11,FALSE)),ISNUMBER(VLOOKUP($A332,'Fleet register'!$A$7:$S$106,12,FALSE)),ISNUMBER(VLOOKUP($A332,'Fleet register'!$A$7:$S$106,13,FALSE)),ISNUMBER(VLOOKUP($A332,'Fleet register'!$A$7:$S$106,14,FALSE)),VLOOKUP($A332,'Fleet register'!$A$7:$S$106,14,FALSE)&gt;0,ISNUMBER('Replacement plan'!$C$88),OR(E332=120,OR(ISNUMBER('Replacement plan'!$AI$88),AND('Replacement plan'!$AI$88="",ISNUMBER('Operating costs'!$B$56)))),ISNUMBER(E332))),"Missing vehicle input",IF(OR(E332&lt;0,E332&gt;VLOOKUP($A332,'Fleet register'!$A$7:$S$106,10,FALSE),E332&gt;120,E332&lt;&gt;INT(E332),VLOOKUP($A332,'Fleet register'!$A$7:$S$106,6,FALSE)&lt;=0,VLOOKUP($A332,'Fleet register'!$A$7:$S$106,6,FALSE)&gt;366,VLOOKUP($A332,'Fleet register'!$A$7:$S$106,5,FALSE)&lt;0,VLOOKUP($A332,'Fleet register'!$A$7:$S$106,11,FALSE)&lt;0,I332&lt;0,'Operating costs'!$B$8&lt;='Operating costs'!$B$7*'Operating costs'!$B$9,'Operating costs'!$B$11&lt;=0,'Operating costs'!$B$39&gt;R332,'Operating costs'!$B$40&gt;R332,'Operating costs'!$B$41&gt;R332,NOT(OR("New ICE"="Keep ICE","New ICE"="New ICE","New ICE"="EV"))),"Invalid vehicle input",IF(AND(D332="EV",E332&lt;120,OR(NOT(ISNUMBER(U332)),NOT(ISNUMBER(V332)),V332&lt;=0,T332&lt;0,T332&gt;1,'Replacement plan'!$L$88&lt;=0,'Operating costs'!$B$44&lt;0,'Operating costs'!$B$44&gt;=1,'Operating costs'!$B$47&lt;=0,'Operating costs'!$B$47&gt;1,V332*'Operating costs'!$B$47/(1-'Operating costs'!$B$44)&lt;=T332*'Operating costs'!$B$12*U332,AND('Replacement plan'!$Z$88&gt;0,OR('Replacement plan'!$AB$88&lt;&gt;"Yes",'Operating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charging'!$B$8&gt;=0))),ISNUMBER(VLOOKUP($A332,'Fleet register'!$A$7:$S$106,15,FALSE)),ISNUMBER(VLOOKUP($A332,'Fleet register'!$A$7:$S$106,16,FALSE)),ISNUMBER('Replacement plan'!$W$88),ISNUMBER('Replacement plan'!$X$88),OR(E332=120,AND(ISNUMBER(G332),G332&gt;=0)),ISNUMBER(H332),H332&gt;=0,OR(D332&lt;&gt;"EV",E332=120,AND(ISNUMBER('Operating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average",ISNUMBER(IFERROR(INDEX(Products!$P$7:$P$13,MATCH(AD332,Products!$A$7:$A$13,0)),"")))),ISNUMBER('Operating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plan'!$Y$88),ISNUMBER('Replacement plan'!$Z$88),'Replacement plan'!$Z$88&gt;=0,ISNUMBER('Replacement plan'!$AA$88),'Replacement plan'!$AA$88&gt;=0,'Replacement plan'!$AA$88=INT('Replacement plan'!$AA$88),ISNUMBER('Replacement plan'!$L$88))),'Operating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plan'!$AG$88="",'Operating costs'!$B$7,'Replacement plan'!$AG$88)),IF('Replacement plan'!$AG$88="",'Operating costs'!$B$7,'Replacement plan'!$AG$88)&gt;=0,ISNUMBER(IF('Replacement plan'!$AH$88="",'Operating costs'!$B$7,'Replacement plan'!$AH$88)),IF('Replacement plan'!$AH$88="",'Operating costs'!$B$7,'Replacement plan'!$AH$88)&gt;=0,'Operating costs'!$B$8&gt;MAX(IF('Replacement plan'!$AG$88="",'Operating costs'!$B$7,'Replacement plan'!$AG$88),IF('Replacement plan'!$AH$88="",'Operating costs'!$B$7,'Replacement plan'!$AH$88))*'Operating costs'!$B$9),IF(AND(VLOOKUP($A332,'Fleet register'!$A$7:$S$106,10,FALSE)&gt;=0,VLOOKUP($A332,'Fleet register'!$A$7:$S$106,10,FALSE)&lt;=120,VLOOKUP($A332,'Fleet register'!$A$7:$S$106,10,FALSE)=INT(VLOOKUP($A332,'Fleet register'!$A$7:$S$106,10,FALSE)),VLOOKUP($A332,'Fleet register'!$A$7:$S$106,15,FALSE)&gt;=0,VLOOKUP($A332,'Fleet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costs'!$B$67)&gt;=0,OR(D332&lt;&gt;"EV",E332=120,AND(MIN('Operating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32" s="1" t="str">
        <f>IF(C332=0,"Excluded",IF(P332&lt;&gt;"Complete",P332,IF(OR('Replacement plan'!$AD$88&lt;120-E332,AND(D332="EV",E332&lt;120,OR('Replacement plan'!$AC$88&lt;120-E332,'Replacement plan'!$I$88="No",AND(ISNUMBER(AF332),AE332&gt;AF332),AI332&gt;V332*(1-'Operating costs'!$B$46)^MAX(0,AB332-1)*(1-'Operating costs'!$B$45),AC332&gt;'Operating costs'!$B$18,AND(T332&lt;1,OR(AG332&lt;=0,AND(ISNUMBER(AH332),AG332&gt;AH332))),'Replacement plan'!$L$88&gt;INDEX(Products!$H$7:$H$13,MATCH('Replacement plan'!$B$88,Products!$A$7:$A$13,0))))),"Fails entered limits",IF(AND(D332="EV",E332&lt;120,OR(NOT(ISNUMBER(VLOOKUP($A332,'Fleet register'!$A$7:$S$106,7,FALSE))),NOT(ISNUMBER(VLOOKUP($A332,'Fleet register'!$A$7:$S$106,8,FALSE))),NOT(ISNUMBER(AF332)),'Replacement plan'!$I$88&lt;&gt;"Yes",NOT(ISNUMBER(AH332)),'Operating costs'!$B$59&lt;&gt;"Yes",'Operating costs'!$B$58&lt;&gt;"Yes")),"Unverified","Within entered limits"))))</f>
        <v>Excluded</v>
      </c>
      <c r="R332" s="1">
        <f>IF(C332=0,0,VLOOKUP($A332,'Fleet register'!$A$7:$S$106,6,FALSE))</f>
        <v>0</v>
      </c>
      <c r="S332" s="1">
        <f>IF(C332=0,0,VLOOKUP($A332,'Fleet register'!$A$7:$S$106,5,FALSE))</f>
        <v>0</v>
      </c>
      <c r="T332" s="1">
        <f>IF(D332="EV",'Energy and charging'!$B$12,0)</f>
        <v>0</v>
      </c>
      <c r="U332" s="1">
        <f>IFERROR(IF(C332=0,0,IF(D332="EV",IF('Replacement plan'!$F$88="",INDEX(Products!$E$7:$E$13,MATCH('Replacement plan'!$B$88,Products!$A$7:$A$13,0)),'Replacement plan'!$F$88)/IF('Replacement plan'!$G$88="Battery",1-'Operating costs'!$B$44,1),0)),"n.a.")</f>
        <v>0</v>
      </c>
      <c r="V332" s="1">
        <f>IFERROR(IF(C332=0,0,IF(D332="EV",IF('Replacement plan'!$E$88="",INDEX(Products!$D$7:$D$13,MATCH('Replacement plan'!$B$88,Products!$A$7:$A$13,0)),'Replacement plan'!$E$88),0)),"n.a.")</f>
        <v>0</v>
      </c>
      <c r="W332" s="1">
        <f>IF(C332=0,0,IF(AND(P332="Complete",D332="EV",E332&lt;120),IF(T332=0,0,ROUNDUP(T332*(R332-'Operating costs'!$B$41)*(S332*U332+'Operating costs'!$B$48/(1-'Operating costs'!$B$44))/(V332*'Operating costs'!$B$47/(1-'Operating costs'!$B$44)-T332*'Operating costs'!$B$12*U332),0)),0))</f>
        <v>0</v>
      </c>
      <c r="X332" s="1">
        <f>IF(C332=0,0,IF(AND(P332="Complete",D332="EV",E332&lt;120),(R332-'Operating costs'!$B$41)*(S332*U332+'Operating costs'!$B$48/(1-'Operating costs'!$B$44))+W332*'Operating costs'!$B$12*U332,0))</f>
        <v>0</v>
      </c>
      <c r="Y332" s="1">
        <f>IF(AND(C332=1,D332="EV",E332&lt;120),AI332/(1-'Operating costs'!$B$44)*(1-T332),0)</f>
        <v>0</v>
      </c>
      <c r="Z332" s="1">
        <f t="shared" si="10"/>
        <v>0</v>
      </c>
      <c r="AA332" s="1">
        <f>IF(C332=0,0,IF(P332="Complete",((S332*(R332-'Operating costs'!$B$40))+ROUNDUP(S332*(R332-'Operating costs'!$B$40)*IF('Replacement plan'!$AH$88="",'Operating costs'!$B$7,'Replacement plan'!$AH$88)/('Operating costs'!$B$8-'Operating costs'!$B$9*IF('Replacement plan'!$AH$88="",'Operating costs'!$B$7,'Replacement plan'!$AH$88)),0)*'Operating costs'!$B$9)*IF('Replacement plan'!$AH$88="",'Operating costs'!$B$7,'Replacement plan'!$AH$88),"n.a."))</f>
        <v>0</v>
      </c>
      <c r="AB332" s="1">
        <f t="shared" si="11"/>
        <v>0</v>
      </c>
      <c r="AC332" s="1">
        <f>IF(AND(C332=1,D332="EV",E332&lt;120,T332&gt;0),'Operating costs'!$B$12/'Operating costs'!$B$11*60+'Operating costs'!$B$13+'Operating costs'!$B$14+V332*'Operating costs'!$B$47/(1-'Operating costs'!$B$44)/'Replacement plan'!$L$88*60,0)</f>
        <v>0</v>
      </c>
      <c r="AD332" s="1" t="str">
        <f>'Replacement plan'!$B$88</f>
        <v>ChengLong L2EV</v>
      </c>
      <c r="AE332" s="1">
        <f>IF(C332=0,0,VLOOKUP($A332,'Fleet register'!$A$7:$S$106,8,FALSE))</f>
        <v>0</v>
      </c>
      <c r="AF332" s="1" t="str">
        <f>IF('Replacement plan'!$H$88="","n.a.",'Replacement plan'!$H$88)</f>
        <v>n.a.</v>
      </c>
      <c r="AG332" s="1">
        <f>'Replacement plan'!$J$88</f>
        <v>22</v>
      </c>
      <c r="AH332" s="1">
        <f>IFERROR(IF(D332="EV",IF('Replacement plan'!$K$88="AC",IF(ISNUMBER(INDEX(Products!$G$7:$G$13,MATCH('Replacement plan'!$B$88,Products!$A$7:$A$13,0))),INDEX(Products!$G$7:$G$13,MATCH('Replacement plan'!$B$88,Products!$A$7:$A$13,0)),"n.a."),IF(ISNUMBER(INDEX(Products!$H$7:$H$13,MATCH('Replacement plan'!$B$88,Products!$A$7:$A$13,0))),INDEX(Products!$H$7:$H$13,MATCH('Replacement plan'!$B$88,Products!$A$7:$A$13,0)),"n.a.")),0),"n.a.")</f>
        <v>0</v>
      </c>
      <c r="AI332" s="1">
        <f>IF(AND(C332=1,D332="EV",E332&lt;120),(VLOOKUP($A332,'Fleet register'!$A$7:$S$106,7,FALSE)+IF(T332&gt;0,'Operating costs'!$B$12,0))*U332*(1-'Operating costs'!$B$44)+'Operating costs'!$B$49,0)</f>
        <v>0</v>
      </c>
      <c r="AJ332" s="1">
        <f>IF(D332="EV",'Energy and charging'!$B$50,0)</f>
        <v>0</v>
      </c>
      <c r="AK332" s="17">
        <f>EDATE('Operating costs'!$B$63,E332)</f>
        <v>46298</v>
      </c>
      <c r="AL332" s="1">
        <f>IFERROR(IF(D332="EV",INDEX(Products!$B$7:$B$13,MATCH('Replacement plan'!$B$88,Products!$A$7:$A$13,0)),0),"n.a.")</f>
        <v>0</v>
      </c>
      <c r="AM332" s="1" t="str">
        <f>'Replacement plan'!$K$88</f>
        <v>DC</v>
      </c>
      <c r="AN332" s="1" t="str">
        <f>'Replacement plan'!$AE$88</f>
        <v>Assumed</v>
      </c>
      <c r="AO332" s="47">
        <f>IF(AND(C332=1,D332="EV",E332&lt;120),(R332-'Operating costs'!$B$41)*S332+W332*'Operating costs'!$B$12,0)</f>
        <v>0</v>
      </c>
      <c r="AP332" s="41">
        <f>IF(AND(C332=1,D332="EV",E332&lt;120),IF('Operating costs'!$B$68="Hong Seh 200k average",AO332*IFERROR(INDEX(Products!$P$7:$P$13,MATCH(AD332,Products!$A$7:$A$13,0)),"n.a."),'Operating costs'!$B$26),0)</f>
        <v>0</v>
      </c>
      <c r="AQ332" s="40" t="str">
        <f>IF(D332="EV",'Operating costs'!$B$68,"Not applicable")</f>
        <v>Not applicable</v>
      </c>
    </row>
    <row r="333" spans="1:43" ht="24" customHeight="1">
      <c r="A333" s="1" t="str">
        <f>'Replacement plan'!A88</f>
        <v>T082</v>
      </c>
      <c r="B333" s="1">
        <v>2</v>
      </c>
      <c r="C333" s="1">
        <f>IF(COUNTIFS('Fleet register'!$A$7:$A$106,$A333)=1,VLOOKUP($A333,'Fleet register'!$A$7:$S$106,2,FALSE),0)</f>
        <v>0</v>
      </c>
      <c r="D333" s="1" t="str">
        <f>IF('Replacement plan'!$O$88="EV","EV","ICE")</f>
        <v>ICE</v>
      </c>
      <c r="E333" s="1">
        <f>IF(C333=0,0,IF('Replacement plan'!$P$88="",IF('Replacement plan'!$O$88="Keep ICE",IF('Replacement plan'!$M$88="",VLOOKUP($A333,'Fleet register'!$A$7:$S$106,10,FALSE),'Replacement plan'!$M$88),0),'Replacement plan'!$P$88))</f>
        <v>0</v>
      </c>
      <c r="F333" s="16">
        <f>IF(C333=0,0,VLOOKUP($A333,'Fleet register'!$A$7:$S$106,11,FALSE))</f>
        <v>0</v>
      </c>
      <c r="G333" s="16">
        <f>IFERROR(IF(C333=0,0,IF(E333=120,0,IF(D333="ICE",'Replacement plan'!$C$88,IF('Replacement plan'!$D$88="",INDEX(Products!$I$7:$I$13,MATCH('Replacement plan'!$B$88,Products!$A$7:$A$13,0))+'Operating costs'!$B$57,'Replacement plan'!$D$88))*(1+'Operating costs'!$B$50)^(E333/12))),"n.a.")</f>
        <v>0</v>
      </c>
      <c r="H333" s="16">
        <f>IFERROR(IF(C333=0,0,IF('Replacement plan'!$U$88&lt;&gt;"",'Replacement plan'!$U$88,IF(E333=0,F333,VLOOKUP($A333,'Fleet register'!$A$7:$S$106,12,FALSE)+VLOOKUP($A333,'Fleet register'!$A$7:$S$106,13,FALSE)*MAX(0,VLOOKUP($A333,'Fleet register'!$A$7:$S$106,10,FALSE)-E333)/VLOOKUP($A333,'Fleet register'!$A$7:$S$106,14,FALSE)))),"n.a.")</f>
        <v>0</v>
      </c>
      <c r="I333" s="16">
        <f>IF(C333=0,0,IF(E333=120,0,'Replacement plan'!$Q$88))</f>
        <v>0</v>
      </c>
      <c r="J333" s="16">
        <f>IF(C333=0,0,IF(P333="Complete",((S333*(R333-'Operating costs'!$B$39))+ROUNDUP(S333*(R333-'Operating costs'!$B$39)*IF('Replacement plan'!$AG$88="",'Operating costs'!$B$7,'Replacement plan'!$AG$88)/('Operating costs'!$B$8-'Operating costs'!$B$9*IF('Replacement plan'!$AG$88="",'Operating costs'!$B$7,'Replacement plan'!$AG$88)),0)*'Operating costs'!$B$9)*IF('Replacement plan'!$AG$88="",'Operating costs'!$B$7,'Replacement plan'!$AG$88)*('Energy and charging'!$B$9*'Energy and charging'!$B$7+(1-'Energy and charging'!$B$9)*'Energy and charging'!$B$8)*'Operating costs'!$B$23,"n.a."))</f>
        <v>0</v>
      </c>
      <c r="K333" s="16">
        <f>IF(C333=0,0,IF(P333="Complete",SUM('Operating costs'!$B$24,'Operating costs'!$B$27,'Operating costs'!$B$29,'Operating costs'!$B$31,'Operating costs'!$B$33,'Operating costs'!$B$34,'Operating costs'!$B$37,'Replacement plan'!$W$88)+'Operating costs'!$B$39*'Operating costs'!$B$42+ROUNDUP(S333*(R333-'Operating costs'!$B$39)*IF('Replacement plan'!$AG$88="",'Operating costs'!$B$7,'Replacement plan'!$AG$88)/('Operating costs'!$B$8-'Operating costs'!$B$9*IF('Replacement plan'!$AG$88="",'Operating costs'!$B$7,'Replacement plan'!$AG$88)),0)*('Operating costs'!$B$9/'Operating costs'!$B$11+'Operating costs'!$B$10/60)*'Operating costs'!$B$19*'Operating costs'!$B$21,"n.a."))</f>
        <v>0</v>
      </c>
      <c r="L333" s="16">
        <f>IF(C333=0,0,IF(P333="Complete",IF(D333="EV",X333*((1-T333)*'Energy and charging'!$B$10+T333*'Energy and charging'!$B$11)*'Operating costs'!$B$22,AA333*('Energy and charging'!$B$9*'Energy and charging'!$B$7+(1-'Energy and charging'!$B$9)*'Energy and charging'!$B$8)*'Operating costs'!$B$23),"n.a."))</f>
        <v>0</v>
      </c>
      <c r="M333" s="37">
        <f>IF(C333=0,0,IF(P333="Complete",IF(D333="ICE",SUM('Operating costs'!$B$25,'Operating costs'!$B$27,'Operating costs'!$B$29,'Operating costs'!$B$31,'Operating costs'!$B$33,'Operating costs'!$B$35,'Operating costs'!$B$37,'Replacement plan'!$X$88)+'Operating costs'!$B$40*'Operating costs'!$B$42+ROUNDUP(S333*(R333-'Operating costs'!$B$40)*IF('Replacement plan'!$AH$88="",'Operating costs'!$B$7,'Replacement plan'!$AH$88)/('Operating costs'!$B$8-'Operating costs'!$B$9*IF('Replacement plan'!$AH$88="",'Operating costs'!$B$7,'Replacement plan'!$AH$88)),0)*('Operating costs'!$B$9/'Operating costs'!$B$11+'Operating costs'!$B$10/60)*'Operating costs'!$B$19*'Operating costs'!$B$21,SUM(AP333,'Operating costs'!$B$28,'Operating costs'!$B$30,'Operating costs'!$B$32,'Operating costs'!$B$33,'Operating costs'!$B$36,'Operating costs'!$B$38,'Replacement plan'!$Y$88)+'Operating costs'!$B$41*'Operating costs'!$B$43+W333*'Operating costs'!$B$15+(T333*X333/'Replacement plan'!$L$88+W333*('Operating costs'!$B$12/'Operating costs'!$B$11+('Operating costs'!$B$13+'Operating costs'!$B$14)/60)+(R333-'Operating costs'!$B$41)*(IF(T333&lt;1,'Operating costs'!$B$16,0)+'Operating costs'!$B$17)/60)*'Operating costs'!$B$19*'Operating costs'!$B$20),"n.a."))</f>
        <v>0</v>
      </c>
      <c r="N333" s="16">
        <f>IF(AND(C333=1,D333="EV",E333&lt;120,E333+'Replacement plan'!$AA$88&lt;=120),'Replacement plan'!$Z$88,0)</f>
        <v>0</v>
      </c>
      <c r="O333" s="1">
        <f>E333+'Replacement plan'!$AA$88</f>
        <v>0</v>
      </c>
      <c r="P333" s="35" t="str">
        <f>IFERROR(IF(C333=0,"Excluded",IF(OR(COUNTIFS('Fleet register'!$A$7:$A$106,A333)&lt;&gt;1,COUNTIFS('Replacement plan'!$A$7:$A$106,A333)&lt;&gt;1),"Duplicate/missing ID",IF(NOT(AND(ISNUMBER(VLOOKUP($A333,'Fleet register'!$A$7:$S$106,5,FALSE)),ISNUMBER(VLOOKUP($A333,'Fleet register'!$A$7:$S$106,6,FALSE)),ISNUMBER(VLOOKUP($A333,'Fleet register'!$A$7:$S$106,10,FALSE)),ISNUMBER(VLOOKUP($A333,'Fleet register'!$A$7:$S$106,11,FALSE)),ISNUMBER(VLOOKUP($A333,'Fleet register'!$A$7:$S$106,12,FALSE)),ISNUMBER(VLOOKUP($A333,'Fleet register'!$A$7:$S$106,13,FALSE)),ISNUMBER(VLOOKUP($A333,'Fleet register'!$A$7:$S$106,14,FALSE)),VLOOKUP($A333,'Fleet register'!$A$7:$S$106,14,FALSE)&gt;0,ISNUMBER('Replacement plan'!$C$88),OR(E333=120,ISNUMBER('Replacement plan'!$Q$88)),ISNUMBER(E333))),"Missing vehicle input",IF(OR(E333&lt;0,E333&gt;VLOOKUP($A333,'Fleet register'!$A$7:$S$106,10,FALSE),E333&gt;120,E333&lt;&gt;INT(E333),VLOOKUP($A333,'Fleet register'!$A$7:$S$106,6,FALSE)&lt;=0,VLOOKUP($A333,'Fleet register'!$A$7:$S$106,6,FALSE)&gt;366,VLOOKUP($A333,'Fleet register'!$A$7:$S$106,5,FALSE)&lt;0,VLOOKUP($A333,'Fleet register'!$A$7:$S$106,11,FALSE)&lt;0,I333&lt;0,'Operating costs'!$B$8&lt;='Operating costs'!$B$7*'Operating costs'!$B$9,'Operating costs'!$B$11&lt;=0,'Operating costs'!$B$39&gt;R333,'Operating costs'!$B$40&gt;R333,'Operating costs'!$B$41&gt;R333,NOT(OR('Replacement plan'!$O$88="Keep ICE",'Replacement plan'!$O$88="New ICE",'Replacement plan'!$O$88="EV"))),"Invalid vehicle input",IF(AND(D333="EV",E333&lt;120,OR(NOT(ISNUMBER(U333)),NOT(ISNUMBER(V333)),V333&lt;=0,T333&lt;0,T333&gt;1,'Replacement plan'!$L$88&lt;=0,'Operating costs'!$B$44&lt;0,'Operating costs'!$B$44&gt;=1,'Operating costs'!$B$47&lt;=0,'Operating costs'!$B$47&gt;1,V333*'Operating costs'!$B$47/(1-'Operating costs'!$B$44)&lt;=T333*'Operating costs'!$B$12*U333,AND('Replacement plan'!$Z$88&gt;0,OR('Replacement plan'!$AB$88&lt;&gt;"Yes",'Operating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charging'!$B$8&gt;=0))),ISNUMBER(VLOOKUP($A333,'Fleet register'!$A$7:$S$106,15,FALSE)),ISNUMBER(VLOOKUP($A333,'Fleet register'!$A$7:$S$106,16,FALSE)),ISNUMBER('Replacement plan'!$W$88),ISNUMBER('Replacement plan'!$X$88),OR(E333=120,AND(ISNUMBER(G333),G333&gt;=0)),ISNUMBER(H333),H333&gt;=0,OR(D333&lt;&gt;"EV",E333=120,AND(ISNUMBER('Operating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average",ISNUMBER(IFERROR(INDEX(Products!$P$7:$P$13,MATCH(AD333,Products!$A$7:$A$13,0)),"")))),ISNUMBER('Operating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plan'!$Y$88),ISNUMBER('Replacement plan'!$Z$88),'Replacement plan'!$Z$88&gt;=0,ISNUMBER('Replacement plan'!$AA$88),'Replacement plan'!$AA$88&gt;=0,'Replacement plan'!$AA$88=INT('Replacement plan'!$AA$88),ISNUMBER('Replacement plan'!$L$88))),'Operating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plan'!$AG$88="",'Operating costs'!$B$7,'Replacement plan'!$AG$88)),IF('Replacement plan'!$AG$88="",'Operating costs'!$B$7,'Replacement plan'!$AG$88)&gt;=0,ISNUMBER(IF('Replacement plan'!$AH$88="",'Operating costs'!$B$7,'Replacement plan'!$AH$88)),IF('Replacement plan'!$AH$88="",'Operating costs'!$B$7,'Replacement plan'!$AH$88)&gt;=0,'Operating costs'!$B$8&gt;MAX(IF('Replacement plan'!$AG$88="",'Operating costs'!$B$7,'Replacement plan'!$AG$88),IF('Replacement plan'!$AH$88="",'Operating costs'!$B$7,'Replacement plan'!$AH$88))*'Operating costs'!$B$9),IF(AND(VLOOKUP($A333,'Fleet register'!$A$7:$S$106,10,FALSE)&gt;=0,VLOOKUP($A333,'Fleet register'!$A$7:$S$106,10,FALSE)&lt;=120,VLOOKUP($A333,'Fleet register'!$A$7:$S$106,10,FALSE)=INT(VLOOKUP($A333,'Fleet register'!$A$7:$S$106,10,FALSE)),VLOOKUP($A333,'Fleet register'!$A$7:$S$106,15,FALSE)&gt;=0,VLOOKUP($A333,'Fleet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costs'!$B$67)&gt;=0,OR(D333&lt;&gt;"EV",E333=120,AND(MIN('Operating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33" s="1" t="str">
        <f>IF(C333=0,"Excluded",IF(P333&lt;&gt;"Complete",P333,IF(OR('Replacement plan'!$AD$88&lt;120-E333,AND(D333="EV",E333&lt;120,OR('Replacement plan'!$AC$88&lt;120-E333,'Replacement plan'!$I$88="No",AND(ISNUMBER(AF333),AE333&gt;AF333),AI333&gt;V333*(1-'Operating costs'!$B$46)^MAX(0,AB333-1)*(1-'Operating costs'!$B$45),AC333&gt;'Operating costs'!$B$18,AND(T333&lt;1,OR(AG333&lt;=0,AND(ISNUMBER(AH333),AG333&gt;AH333))),'Replacement plan'!$L$88&gt;INDEX(Products!$H$7:$H$13,MATCH('Replacement plan'!$B$88,Products!$A$7:$A$13,0))))),"Fails entered limits",IF(AND(D333="EV",E333&lt;120,OR(NOT(ISNUMBER(VLOOKUP($A333,'Fleet register'!$A$7:$S$106,7,FALSE))),NOT(ISNUMBER(VLOOKUP($A333,'Fleet register'!$A$7:$S$106,8,FALSE))),NOT(ISNUMBER(AF333)),'Replacement plan'!$I$88&lt;&gt;"Yes",NOT(ISNUMBER(AH333)),'Operating costs'!$B$59&lt;&gt;"Yes",'Operating costs'!$B$58&lt;&gt;"Yes")),"Unverified","Within entered limits"))))</f>
        <v>Excluded</v>
      </c>
      <c r="R333" s="1">
        <f>IF(C333=0,0,VLOOKUP($A333,'Fleet register'!$A$7:$S$106,6,FALSE))</f>
        <v>0</v>
      </c>
      <c r="S333" s="1">
        <f>IF(C333=0,0,VLOOKUP($A333,'Fleet register'!$A$7:$S$106,5,FALSE))</f>
        <v>0</v>
      </c>
      <c r="T333" s="1">
        <f>IF(D333="EV",'Energy and charging'!$B$12,0)</f>
        <v>0</v>
      </c>
      <c r="U333" s="1">
        <f>IFERROR(IF(C333=0,0,IF(D333="EV",IF('Replacement plan'!$F$88="",INDEX(Products!$E$7:$E$13,MATCH('Replacement plan'!$B$88,Products!$A$7:$A$13,0)),'Replacement plan'!$F$88)/IF('Replacement plan'!$G$88="Battery",1-'Operating costs'!$B$44,1),0)),"n.a.")</f>
        <v>0</v>
      </c>
      <c r="V333" s="1">
        <f>IFERROR(IF(C333=0,0,IF(D333="EV",IF('Replacement plan'!$E$88="",INDEX(Products!$D$7:$D$13,MATCH('Replacement plan'!$B$88,Products!$A$7:$A$13,0)),'Replacement plan'!$E$88),0)),"n.a.")</f>
        <v>0</v>
      </c>
      <c r="W333" s="1">
        <f>IF(C333=0,0,IF(AND(P333="Complete",D333="EV",E333&lt;120),IF(T333=0,0,ROUNDUP(T333*(R333-'Operating costs'!$B$41)*(S333*U333+'Operating costs'!$B$48/(1-'Operating costs'!$B$44))/(V333*'Operating costs'!$B$47/(1-'Operating costs'!$B$44)-T333*'Operating costs'!$B$12*U333),0)),0))</f>
        <v>0</v>
      </c>
      <c r="X333" s="1">
        <f>IF(C333=0,0,IF(AND(P333="Complete",D333="EV",E333&lt;120),(R333-'Operating costs'!$B$41)*(S333*U333+'Operating costs'!$B$48/(1-'Operating costs'!$B$44))+W333*'Operating costs'!$B$12*U333,0))</f>
        <v>0</v>
      </c>
      <c r="Y333" s="1">
        <f>IF(AND(C333=1,D333="EV",E333&lt;120),AI333/(1-'Operating costs'!$B$44)*(1-T333),0)</f>
        <v>0</v>
      </c>
      <c r="Z333" s="1">
        <f t="shared" si="10"/>
        <v>0</v>
      </c>
      <c r="AA333" s="1">
        <f>IF(C333=0,0,IF(P333="Complete",((S333*(R333-'Operating costs'!$B$40))+ROUNDUP(S333*(R333-'Operating costs'!$B$40)*IF('Replacement plan'!$AH$88="",'Operating costs'!$B$7,'Replacement plan'!$AH$88)/('Operating costs'!$B$8-'Operating costs'!$B$9*IF('Replacement plan'!$AH$88="",'Operating costs'!$B$7,'Replacement plan'!$AH$88)),0)*'Operating costs'!$B$9)*IF('Replacement plan'!$AH$88="",'Operating costs'!$B$7,'Replacement plan'!$AH$88),"n.a."))</f>
        <v>0</v>
      </c>
      <c r="AB333" s="1">
        <f t="shared" si="11"/>
        <v>0</v>
      </c>
      <c r="AC333" s="1">
        <f>IF(AND(C333=1,D333="EV",E333&lt;120,T333&gt;0),'Operating costs'!$B$12/'Operating costs'!$B$11*60+'Operating costs'!$B$13+'Operating costs'!$B$14+V333*'Operating costs'!$B$47/(1-'Operating costs'!$B$44)/'Replacement plan'!$L$88*60,0)</f>
        <v>0</v>
      </c>
      <c r="AD333" s="1" t="str">
        <f>'Replacement plan'!$B$88</f>
        <v>ChengLong L2EV</v>
      </c>
      <c r="AE333" s="1">
        <f>IF(C333=0,0,VLOOKUP($A333,'Fleet register'!$A$7:$S$106,8,FALSE))</f>
        <v>0</v>
      </c>
      <c r="AF333" s="1" t="str">
        <f>IF('Replacement plan'!$H$88="","n.a.",'Replacement plan'!$H$88)</f>
        <v>n.a.</v>
      </c>
      <c r="AG333" s="1">
        <f>'Replacement plan'!$J$88</f>
        <v>22</v>
      </c>
      <c r="AH333" s="1">
        <f>IFERROR(IF(D333="EV",IF('Replacement plan'!$K$88="AC",IF(ISNUMBER(INDEX(Products!$G$7:$G$13,MATCH('Replacement plan'!$B$88,Products!$A$7:$A$13,0))),INDEX(Products!$G$7:$G$13,MATCH('Replacement plan'!$B$88,Products!$A$7:$A$13,0)),"n.a."),IF(ISNUMBER(INDEX(Products!$H$7:$H$13,MATCH('Replacement plan'!$B$88,Products!$A$7:$A$13,0))),INDEX(Products!$H$7:$H$13,MATCH('Replacement plan'!$B$88,Products!$A$7:$A$13,0)),"n.a.")),0),"n.a.")</f>
        <v>0</v>
      </c>
      <c r="AI333" s="1">
        <f>IF(AND(C333=1,D333="EV",E333&lt;120),(VLOOKUP($A333,'Fleet register'!$A$7:$S$106,7,FALSE)+IF(T333&gt;0,'Operating costs'!$B$12,0))*U333*(1-'Operating costs'!$B$44)+'Operating costs'!$B$49,0)</f>
        <v>0</v>
      </c>
      <c r="AJ333" s="1">
        <f>IF(D333="EV",'Energy and charging'!$B$50,0)</f>
        <v>0</v>
      </c>
      <c r="AK333" s="17">
        <f>EDATE('Operating costs'!$B$63,E333)</f>
        <v>46298</v>
      </c>
      <c r="AL333" s="1">
        <f>IFERROR(IF(D333="EV",INDEX(Products!$B$7:$B$13,MATCH('Replacement plan'!$B$88,Products!$A$7:$A$13,0)),0),"n.a.")</f>
        <v>0</v>
      </c>
      <c r="AM333" s="1" t="str">
        <f>'Replacement plan'!$K$88</f>
        <v>DC</v>
      </c>
      <c r="AN333" s="1" t="str">
        <f>'Replacement plan'!$AE$88</f>
        <v>Assumed</v>
      </c>
      <c r="AO333" s="47">
        <f>IF(AND(C333=1,D333="EV",E333&lt;120),(R333-'Operating costs'!$B$41)*S333+W333*'Operating costs'!$B$12,0)</f>
        <v>0</v>
      </c>
      <c r="AP333" s="41">
        <f>IF(AND(C333=1,D333="EV",E333&lt;120),IF('Operating costs'!$B$68="Hong Seh 200k average",AO333*IFERROR(INDEX(Products!$P$7:$P$13,MATCH(AD333,Products!$A$7:$A$13,0)),"n.a."),'Operating costs'!$B$26),0)</f>
        <v>0</v>
      </c>
      <c r="AQ333" s="40" t="str">
        <f>IF(D333="EV",'Operating costs'!$B$68,"Not applicable")</f>
        <v>Not applicable</v>
      </c>
    </row>
    <row r="334" spans="1:43" ht="24" customHeight="1">
      <c r="A334" s="1" t="str">
        <f>'Replacement plan'!A88</f>
        <v>T082</v>
      </c>
      <c r="B334" s="1">
        <v>3</v>
      </c>
      <c r="C334" s="1">
        <f>IF(COUNTIFS('Fleet register'!$A$7:$A$106,$A334)=1,VLOOKUP($A334,'Fleet register'!$A$7:$S$106,2,FALSE),0)</f>
        <v>0</v>
      </c>
      <c r="D334" s="1" t="str">
        <f>IF('Replacement plan'!$R$88="EV","EV","ICE")</f>
        <v>ICE</v>
      </c>
      <c r="E334" s="1">
        <f>IF(C334=0,0,IF('Replacement plan'!$S$88="",IF('Replacement plan'!$R$88="Keep ICE",IF('Replacement plan'!$M$88="",VLOOKUP($A334,'Fleet register'!$A$7:$S$106,10,FALSE),'Replacement plan'!$M$88),0),'Replacement plan'!$S$88))</f>
        <v>0</v>
      </c>
      <c r="F334" s="16">
        <f>IF(C334=0,0,VLOOKUP($A334,'Fleet register'!$A$7:$S$106,11,FALSE))</f>
        <v>0</v>
      </c>
      <c r="G334" s="16">
        <f>IFERROR(IF(C334=0,0,IF(E334=120,0,IF(D334="ICE",'Replacement plan'!$C$88,IF('Replacement plan'!$D$88="",INDEX(Products!$I$7:$I$13,MATCH('Replacement plan'!$B$88,Products!$A$7:$A$13,0))+'Operating costs'!$B$57,'Replacement plan'!$D$88))*(1+'Operating costs'!$B$50)^(E334/12))),"n.a.")</f>
        <v>0</v>
      </c>
      <c r="H334" s="16">
        <f>IFERROR(IF(C334=0,0,IF('Replacement plan'!$V$88&lt;&gt;"",'Replacement plan'!$V$88,IF(E334=0,F334,VLOOKUP($A334,'Fleet register'!$A$7:$S$106,12,FALSE)+VLOOKUP($A334,'Fleet register'!$A$7:$S$106,13,FALSE)*MAX(0,VLOOKUP($A334,'Fleet register'!$A$7:$S$106,10,FALSE)-E334)/VLOOKUP($A334,'Fleet register'!$A$7:$S$106,14,FALSE)))),"n.a.")</f>
        <v>0</v>
      </c>
      <c r="I334" s="16">
        <f>IF(C334=0,0,IF(E334=120,0,'Replacement plan'!$T$88))</f>
        <v>0</v>
      </c>
      <c r="J334" s="16">
        <f>IF(C334=0,0,IF(P334="Complete",((S334*(R334-'Operating costs'!$B$39))+ROUNDUP(S334*(R334-'Operating costs'!$B$39)*IF('Replacement plan'!$AG$88="",'Operating costs'!$B$7,'Replacement plan'!$AG$88)/('Operating costs'!$B$8-'Operating costs'!$B$9*IF('Replacement plan'!$AG$88="",'Operating costs'!$B$7,'Replacement plan'!$AG$88)),0)*'Operating costs'!$B$9)*IF('Replacement plan'!$AG$88="",'Operating costs'!$B$7,'Replacement plan'!$AG$88)*('Energy and charging'!$C$9*'Energy and charging'!$C$7+(1-'Energy and charging'!$C$9)*'Energy and charging'!$C$8)*'Operating costs'!$B$23,"n.a."))</f>
        <v>0</v>
      </c>
      <c r="K334" s="16">
        <f>IF(C334=0,0,IF(P334="Complete",SUM('Operating costs'!$B$24,'Operating costs'!$B$27,'Operating costs'!$B$29,'Operating costs'!$B$31,'Operating costs'!$B$33,'Operating costs'!$B$34,'Operating costs'!$B$37,'Replacement plan'!$W$88)+'Operating costs'!$B$39*'Operating costs'!$B$42+ROUNDUP(S334*(R334-'Operating costs'!$B$39)*IF('Replacement plan'!$AG$88="",'Operating costs'!$B$7,'Replacement plan'!$AG$88)/('Operating costs'!$B$8-'Operating costs'!$B$9*IF('Replacement plan'!$AG$88="",'Operating costs'!$B$7,'Replacement plan'!$AG$88)),0)*('Operating costs'!$B$9/'Operating costs'!$B$11+'Operating costs'!$B$10/60)*'Operating costs'!$B$19*'Operating costs'!$B$21,"n.a."))</f>
        <v>0</v>
      </c>
      <c r="L334" s="16">
        <f>IF(C334=0,0,IF(P334="Complete",IF(D334="EV",X334*((1-T334)*'Energy and charging'!$C$10+T334*'Energy and charging'!$C$11)*'Operating costs'!$B$22,AA334*('Energy and charging'!$C$9*'Energy and charging'!$C$7+(1-'Energy and charging'!$C$9)*'Energy and charging'!$C$8)*'Operating costs'!$B$23),"n.a."))</f>
        <v>0</v>
      </c>
      <c r="M334" s="37">
        <f>IF(C334=0,0,IF(P334="Complete",IF(D334="ICE",SUM('Operating costs'!$B$25,'Operating costs'!$B$27,'Operating costs'!$B$29,'Operating costs'!$B$31,'Operating costs'!$B$33,'Operating costs'!$B$35,'Operating costs'!$B$37,'Replacement plan'!$X$88)+'Operating costs'!$B$40*'Operating costs'!$B$42+ROUNDUP(S334*(R334-'Operating costs'!$B$40)*IF('Replacement plan'!$AH$88="",'Operating costs'!$B$7,'Replacement plan'!$AH$88)/('Operating costs'!$B$8-'Operating costs'!$B$9*IF('Replacement plan'!$AH$88="",'Operating costs'!$B$7,'Replacement plan'!$AH$88)),0)*('Operating costs'!$B$9/'Operating costs'!$B$11+'Operating costs'!$B$10/60)*'Operating costs'!$B$19*'Operating costs'!$B$21,SUM(AP334,'Operating costs'!$B$28,'Operating costs'!$B$30,'Operating costs'!$B$32,'Operating costs'!$B$33,'Operating costs'!$B$36,'Operating costs'!$B$38,'Replacement plan'!$Y$88)+'Operating costs'!$B$41*'Operating costs'!$B$43+W334*'Operating costs'!$B$15+(T334*X334/'Replacement plan'!$L$88+W334*('Operating costs'!$B$12/'Operating costs'!$B$11+('Operating costs'!$B$13+'Operating costs'!$B$14)/60)+(R334-'Operating costs'!$B$41)*(IF(T334&lt;1,'Operating costs'!$B$16,0)+'Operating costs'!$B$17)/60)*'Operating costs'!$B$19*'Operating costs'!$B$20),"n.a."))</f>
        <v>0</v>
      </c>
      <c r="N334" s="16">
        <f>IF(AND(C334=1,D334="EV",E334&lt;120,E334+'Replacement plan'!$AA$88&lt;=120),'Replacement plan'!$Z$88,0)</f>
        <v>0</v>
      </c>
      <c r="O334" s="1">
        <f>E334+'Replacement plan'!$AA$88</f>
        <v>0</v>
      </c>
      <c r="P334" s="35" t="str">
        <f>IFERROR(IF(C334=0,"Excluded",IF(OR(COUNTIFS('Fleet register'!$A$7:$A$106,A334)&lt;&gt;1,COUNTIFS('Replacement plan'!$A$7:$A$106,A334)&lt;&gt;1),"Duplicate/missing ID",IF(NOT(AND(ISNUMBER(VLOOKUP($A334,'Fleet register'!$A$7:$S$106,5,FALSE)),ISNUMBER(VLOOKUP($A334,'Fleet register'!$A$7:$S$106,6,FALSE)),ISNUMBER(VLOOKUP($A334,'Fleet register'!$A$7:$S$106,10,FALSE)),ISNUMBER(VLOOKUP($A334,'Fleet register'!$A$7:$S$106,11,FALSE)),ISNUMBER(VLOOKUP($A334,'Fleet register'!$A$7:$S$106,12,FALSE)),ISNUMBER(VLOOKUP($A334,'Fleet register'!$A$7:$S$106,13,FALSE)),ISNUMBER(VLOOKUP($A334,'Fleet register'!$A$7:$S$106,14,FALSE)),VLOOKUP($A334,'Fleet register'!$A$7:$S$106,14,FALSE)&gt;0,ISNUMBER('Replacement plan'!$C$88),OR(E334=120,ISNUMBER('Replacement plan'!$T$88)),ISNUMBER(E334))),"Missing vehicle input",IF(OR(E334&lt;0,E334&gt;VLOOKUP($A334,'Fleet register'!$A$7:$S$106,10,FALSE),E334&gt;120,E334&lt;&gt;INT(E334),VLOOKUP($A334,'Fleet register'!$A$7:$S$106,6,FALSE)&lt;=0,VLOOKUP($A334,'Fleet register'!$A$7:$S$106,6,FALSE)&gt;366,VLOOKUP($A334,'Fleet register'!$A$7:$S$106,5,FALSE)&lt;0,VLOOKUP($A334,'Fleet register'!$A$7:$S$106,11,FALSE)&lt;0,I334&lt;0,'Operating costs'!$B$8&lt;='Operating costs'!$B$7*'Operating costs'!$B$9,'Operating costs'!$B$11&lt;=0,'Operating costs'!$B$39&gt;R334,'Operating costs'!$B$40&gt;R334,'Operating costs'!$B$41&gt;R334,NOT(OR('Replacement plan'!$R$88="Keep ICE",'Replacement plan'!$R$88="New ICE",'Replacement plan'!$R$88="EV"))),"Invalid vehicle input",IF(AND(D334="EV",E334&lt;120,OR(NOT(ISNUMBER(U334)),NOT(ISNUMBER(V334)),V334&lt;=0,T334&lt;0,T334&gt;1,'Replacement plan'!$L$88&lt;=0,'Operating costs'!$B$44&lt;0,'Operating costs'!$B$44&gt;=1,'Operating costs'!$B$47&lt;=0,'Operating costs'!$B$47&gt;1,V334*'Operating costs'!$B$47/(1-'Operating costs'!$B$44)&lt;=T334*'Operating costs'!$B$12*U334,AND('Replacement plan'!$Z$88&gt;0,OR('Replacement plan'!$AB$88&lt;&gt;"Yes",'Operating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charging'!$C$8&gt;=0))),ISNUMBER(VLOOKUP($A334,'Fleet register'!$A$7:$S$106,15,FALSE)),ISNUMBER(VLOOKUP($A334,'Fleet register'!$A$7:$S$106,16,FALSE)),ISNUMBER('Replacement plan'!$W$88),ISNUMBER('Replacement plan'!$X$88),OR(E334=120,AND(ISNUMBER(G334),G334&gt;=0)),ISNUMBER(H334),H334&gt;=0,OR(D334&lt;&gt;"EV",E334=120,AND(ISNUMBER('Operating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average",ISNUMBER(IFERROR(INDEX(Products!$P$7:$P$13,MATCH(AD334,Products!$A$7:$A$13,0)),"")))),ISNUMBER('Operating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plan'!$Y$88),ISNUMBER('Replacement plan'!$Z$88),'Replacement plan'!$Z$88&gt;=0,ISNUMBER('Replacement plan'!$AA$88),'Replacement plan'!$AA$88&gt;=0,'Replacement plan'!$AA$88=INT('Replacement plan'!$AA$88),ISNUMBER('Replacement plan'!$L$88))),'Operating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plan'!$AG$88="",'Operating costs'!$B$7,'Replacement plan'!$AG$88)),IF('Replacement plan'!$AG$88="",'Operating costs'!$B$7,'Replacement plan'!$AG$88)&gt;=0,ISNUMBER(IF('Replacement plan'!$AH$88="",'Operating costs'!$B$7,'Replacement plan'!$AH$88)),IF('Replacement plan'!$AH$88="",'Operating costs'!$B$7,'Replacement plan'!$AH$88)&gt;=0,'Operating costs'!$B$8&gt;MAX(IF('Replacement plan'!$AG$88="",'Operating costs'!$B$7,'Replacement plan'!$AG$88),IF('Replacement plan'!$AH$88="",'Operating costs'!$B$7,'Replacement plan'!$AH$88))*'Operating costs'!$B$9),IF(AND(VLOOKUP($A334,'Fleet register'!$A$7:$S$106,10,FALSE)&gt;=0,VLOOKUP($A334,'Fleet register'!$A$7:$S$106,10,FALSE)&lt;=120,VLOOKUP($A334,'Fleet register'!$A$7:$S$106,10,FALSE)=INT(VLOOKUP($A334,'Fleet register'!$A$7:$S$106,10,FALSE)),VLOOKUP($A334,'Fleet register'!$A$7:$S$106,15,FALSE)&gt;=0,VLOOKUP($A334,'Fleet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costs'!$B$67)&gt;=0,OR(D334&lt;&gt;"EV",E334=120,AND(MIN('Operating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34" s="1" t="str">
        <f>IF(C334=0,"Excluded",IF(P334&lt;&gt;"Complete",P334,IF(OR('Replacement plan'!$AD$88&lt;120-E334,AND(D334="EV",E334&lt;120,OR('Replacement plan'!$AC$88&lt;120-E334,'Replacement plan'!$I$88="No",AND(ISNUMBER(AF334),AE334&gt;AF334),AI334&gt;V334*(1-'Operating costs'!$B$46)^MAX(0,AB334-1)*(1-'Operating costs'!$B$45),AC334&gt;'Operating costs'!$B$18,AND(T334&lt;1,OR(AG334&lt;=0,AND(ISNUMBER(AH334),AG334&gt;AH334))),'Replacement plan'!$L$88&gt;INDEX(Products!$H$7:$H$13,MATCH('Replacement plan'!$B$88,Products!$A$7:$A$13,0))))),"Fails entered limits",IF(AND(D334="EV",E334&lt;120,OR(NOT(ISNUMBER(VLOOKUP($A334,'Fleet register'!$A$7:$S$106,7,FALSE))),NOT(ISNUMBER(VLOOKUP($A334,'Fleet register'!$A$7:$S$106,8,FALSE))),NOT(ISNUMBER(AF334)),'Replacement plan'!$I$88&lt;&gt;"Yes",NOT(ISNUMBER(AH334)),'Operating costs'!$B$59&lt;&gt;"Yes",'Operating costs'!$B$58&lt;&gt;"Yes")),"Unverified","Within entered limits"))))</f>
        <v>Excluded</v>
      </c>
      <c r="R334" s="1">
        <f>IF(C334=0,0,VLOOKUP($A334,'Fleet register'!$A$7:$S$106,6,FALSE))</f>
        <v>0</v>
      </c>
      <c r="S334" s="1">
        <f>IF(C334=0,0,VLOOKUP($A334,'Fleet register'!$A$7:$S$106,5,FALSE))</f>
        <v>0</v>
      </c>
      <c r="T334" s="1">
        <f>IF(D334="EV",'Energy and charging'!$C$12,0)</f>
        <v>0</v>
      </c>
      <c r="U334" s="1">
        <f>IFERROR(IF(C334=0,0,IF(D334="EV",IF('Replacement plan'!$F$88="",INDEX(Products!$E$7:$E$13,MATCH('Replacement plan'!$B$88,Products!$A$7:$A$13,0)),'Replacement plan'!$F$88)/IF('Replacement plan'!$G$88="Battery",1-'Operating costs'!$B$44,1),0)),"n.a.")</f>
        <v>0</v>
      </c>
      <c r="V334" s="1">
        <f>IFERROR(IF(C334=0,0,IF(D334="EV",IF('Replacement plan'!$E$88="",INDEX(Products!$D$7:$D$13,MATCH('Replacement plan'!$B$88,Products!$A$7:$A$13,0)),'Replacement plan'!$E$88),0)),"n.a.")</f>
        <v>0</v>
      </c>
      <c r="W334" s="1">
        <f>IF(C334=0,0,IF(AND(P334="Complete",D334="EV",E334&lt;120),IF(T334=0,0,ROUNDUP(T334*(R334-'Operating costs'!$B$41)*(S334*U334+'Operating costs'!$B$48/(1-'Operating costs'!$B$44))/(V334*'Operating costs'!$B$47/(1-'Operating costs'!$B$44)-T334*'Operating costs'!$B$12*U334),0)),0))</f>
        <v>0</v>
      </c>
      <c r="X334" s="1">
        <f>IF(C334=0,0,IF(AND(P334="Complete",D334="EV",E334&lt;120),(R334-'Operating costs'!$B$41)*(S334*U334+'Operating costs'!$B$48/(1-'Operating costs'!$B$44))+W334*'Operating costs'!$B$12*U334,0))</f>
        <v>0</v>
      </c>
      <c r="Y334" s="1">
        <f>IF(AND(C334=1,D334="EV",E334&lt;120),AI334/(1-'Operating costs'!$B$44)*(1-T334),0)</f>
        <v>0</v>
      </c>
      <c r="Z334" s="1">
        <f t="shared" si="10"/>
        <v>0</v>
      </c>
      <c r="AA334" s="1">
        <f>IF(C334=0,0,IF(P334="Complete",((S334*(R334-'Operating costs'!$B$40))+ROUNDUP(S334*(R334-'Operating costs'!$B$40)*IF('Replacement plan'!$AH$88="",'Operating costs'!$B$7,'Replacement plan'!$AH$88)/('Operating costs'!$B$8-'Operating costs'!$B$9*IF('Replacement plan'!$AH$88="",'Operating costs'!$B$7,'Replacement plan'!$AH$88)),0)*'Operating costs'!$B$9)*IF('Replacement plan'!$AH$88="",'Operating costs'!$B$7,'Replacement plan'!$AH$88),"n.a."))</f>
        <v>0</v>
      </c>
      <c r="AB334" s="1">
        <f t="shared" si="11"/>
        <v>0</v>
      </c>
      <c r="AC334" s="1">
        <f>IF(AND(C334=1,D334="EV",E334&lt;120,T334&gt;0),'Operating costs'!$B$12/'Operating costs'!$B$11*60+'Operating costs'!$B$13+'Operating costs'!$B$14+V334*'Operating costs'!$B$47/(1-'Operating costs'!$B$44)/'Replacement plan'!$L$88*60,0)</f>
        <v>0</v>
      </c>
      <c r="AD334" s="1" t="str">
        <f>'Replacement plan'!$B$88</f>
        <v>ChengLong L2EV</v>
      </c>
      <c r="AE334" s="1">
        <f>IF(C334=0,0,VLOOKUP($A334,'Fleet register'!$A$7:$S$106,8,FALSE))</f>
        <v>0</v>
      </c>
      <c r="AF334" s="1" t="str">
        <f>IF('Replacement plan'!$H$88="","n.a.",'Replacement plan'!$H$88)</f>
        <v>n.a.</v>
      </c>
      <c r="AG334" s="1">
        <f>'Replacement plan'!$J$88</f>
        <v>22</v>
      </c>
      <c r="AH334" s="1">
        <f>IFERROR(IF(D334="EV",IF('Replacement plan'!$K$88="AC",IF(ISNUMBER(INDEX(Products!$G$7:$G$13,MATCH('Replacement plan'!$B$88,Products!$A$7:$A$13,0))),INDEX(Products!$G$7:$G$13,MATCH('Replacement plan'!$B$88,Products!$A$7:$A$13,0)),"n.a."),IF(ISNUMBER(INDEX(Products!$H$7:$H$13,MATCH('Replacement plan'!$B$88,Products!$A$7:$A$13,0))),INDEX(Products!$H$7:$H$13,MATCH('Replacement plan'!$B$88,Products!$A$7:$A$13,0)),"n.a.")),0),"n.a.")</f>
        <v>0</v>
      </c>
      <c r="AI334" s="1">
        <f>IF(AND(C334=1,D334="EV",E334&lt;120),(VLOOKUP($A334,'Fleet register'!$A$7:$S$106,7,FALSE)+IF(T334&gt;0,'Operating costs'!$B$12,0))*U334*(1-'Operating costs'!$B$44)+'Operating costs'!$B$49,0)</f>
        <v>0</v>
      </c>
      <c r="AJ334" s="1">
        <f>IF(D334="EV",'Energy and charging'!$C$50,0)</f>
        <v>0</v>
      </c>
      <c r="AK334" s="17">
        <f>EDATE('Operating costs'!$B$63,E334)</f>
        <v>46298</v>
      </c>
      <c r="AL334" s="1">
        <f>IFERROR(IF(D334="EV",INDEX(Products!$B$7:$B$13,MATCH('Replacement plan'!$B$88,Products!$A$7:$A$13,0)),0),"n.a.")</f>
        <v>0</v>
      </c>
      <c r="AM334" s="1" t="str">
        <f>'Replacement plan'!$K$88</f>
        <v>DC</v>
      </c>
      <c r="AN334" s="1" t="str">
        <f>'Replacement plan'!$AE$88</f>
        <v>Assumed</v>
      </c>
      <c r="AO334" s="47">
        <f>IF(AND(C334=1,D334="EV",E334&lt;120),(R334-'Operating costs'!$B$41)*S334+W334*'Operating costs'!$B$12,0)</f>
        <v>0</v>
      </c>
      <c r="AP334" s="41">
        <f>IF(AND(C334=1,D334="EV",E334&lt;120),IF('Operating costs'!$B$68="Hong Seh 200k average",AO334*IFERROR(INDEX(Products!$P$7:$P$13,MATCH(AD334,Products!$A$7:$A$13,0)),"n.a."),'Operating costs'!$B$26),0)</f>
        <v>0</v>
      </c>
      <c r="AQ334" s="40" t="str">
        <f>IF(D334="EV",'Operating costs'!$B$68,"Not applicable")</f>
        <v>Not applicable</v>
      </c>
    </row>
    <row r="335" spans="1:43" ht="24" customHeight="1">
      <c r="A335" s="1" t="str">
        <f>'Replacement plan'!A89</f>
        <v>T083</v>
      </c>
      <c r="B335" s="1">
        <v>0</v>
      </c>
      <c r="C335" s="1">
        <f>IF(COUNTIFS('Fleet register'!$A$7:$A$106,$A335)=1,VLOOKUP($A335,'Fleet register'!$A$7:$S$106,2,FALSE),0)</f>
        <v>0</v>
      </c>
      <c r="D335" s="1" t="str">
        <f>IF("Keep ICE"="EV","EV","ICE")</f>
        <v>ICE</v>
      </c>
      <c r="E335" s="1">
        <f>IF(C335=0,0,IF('Replacement plan'!$M$89="",VLOOKUP($A335,'Fleet register'!$A$7:$S$106,10,FALSE),'Replacement plan'!$M$89))</f>
        <v>0</v>
      </c>
      <c r="F335" s="16">
        <f>IF(C335=0,0,VLOOKUP($A335,'Fleet register'!$A$7:$S$106,11,FALSE))</f>
        <v>0</v>
      </c>
      <c r="G335" s="16">
        <f>IFERROR(IF(C335=0,0,IF(E335=120,0,IF(D335="ICE",'Replacement plan'!$C$89,IF('Replacement plan'!$D$89="",INDEX(Products!$I$7:$I$13,MATCH('Replacement plan'!$B$89,Products!$A$7:$A$13,0))+'Operating costs'!$B$57,'Replacement plan'!$D$89))*(1+'Operating costs'!$B$50)^(E335/12))),"n.a.")</f>
        <v>0</v>
      </c>
      <c r="H335" s="16">
        <f>IFERROR(IF(C335=0,0,IF(E335=0,F335,VLOOKUP($A335,'Fleet register'!$A$7:$S$106,12,FALSE)+VLOOKUP($A335,'Fleet register'!$A$7:$S$106,13,FALSE)*MAX(0,VLOOKUP($A335,'Fleet register'!$A$7:$S$106,10,FALSE)-E335)/VLOOKUP($A335,'Fleet register'!$A$7:$S$106,14,FALSE))),"n.a.")</f>
        <v>0</v>
      </c>
      <c r="I335" s="16">
        <f>IF(C335=0,0,IF(E335=120,0,'Replacement plan'!$N$89))</f>
        <v>0</v>
      </c>
      <c r="J335" s="16">
        <f>IF(C335=0,0,IF(P335="Complete",((S335*(R335-'Operating costs'!$B$39))+ROUNDUP(S335*(R335-'Operating costs'!$B$39)*IF('Replacement plan'!$AG$89="",'Operating costs'!$B$7,'Replacement plan'!$AG$89)/('Operating costs'!$B$8-'Operating costs'!$B$9*IF('Replacement plan'!$AG$89="",'Operating costs'!$B$7,'Replacement plan'!$AG$89)),0)*'Operating costs'!$B$9)*IF('Replacement plan'!$AG$89="",'Operating costs'!$B$7,'Replacement plan'!$AG$89)*('Energy and charging'!$B$9*'Energy and charging'!$B$7+(1-'Energy and charging'!$B$9)*'Energy and charging'!$B$8)*'Operating costs'!$B$23,"n.a."))</f>
        <v>0</v>
      </c>
      <c r="K335" s="16">
        <f>IF(C335=0,0,IF(P335="Complete",SUM('Operating costs'!$B$24,'Operating costs'!$B$27,'Operating costs'!$B$29,'Operating costs'!$B$31,'Operating costs'!$B$33,'Operating costs'!$B$34,'Operating costs'!$B$37,'Replacement plan'!$W$89)+'Operating costs'!$B$39*'Operating costs'!$B$42+ROUNDUP(S335*(R335-'Operating costs'!$B$39)*IF('Replacement plan'!$AG$89="",'Operating costs'!$B$7,'Replacement plan'!$AG$89)/('Operating costs'!$B$8-'Operating costs'!$B$9*IF('Replacement plan'!$AG$89="",'Operating costs'!$B$7,'Replacement plan'!$AG$89)),0)*('Operating costs'!$B$9/'Operating costs'!$B$11+'Operating costs'!$B$10/60)*'Operating costs'!$B$19*'Operating costs'!$B$21,"n.a."))</f>
        <v>0</v>
      </c>
      <c r="L335" s="16">
        <f>IF(C335=0,0,IF(P335="Complete",IF(D335="EV",X335*((1-T335)*'Energy and charging'!$B$10+T335*'Energy and charging'!$B$11)*'Operating costs'!$B$22,AA335*('Energy and charging'!$B$9*'Energy and charging'!$B$7+(1-'Energy and charging'!$B$9)*'Energy and charging'!$B$8)*'Operating costs'!$B$23),"n.a."))</f>
        <v>0</v>
      </c>
      <c r="M335" s="37">
        <f>IF(C335=0,0,IF(P335="Complete",IF(D335="ICE",SUM('Operating costs'!$B$25,'Operating costs'!$B$27,'Operating costs'!$B$29,'Operating costs'!$B$31,'Operating costs'!$B$33,'Operating costs'!$B$35,'Operating costs'!$B$37,'Replacement plan'!$X$89)+'Operating costs'!$B$40*'Operating costs'!$B$42+ROUNDUP(S335*(R335-'Operating costs'!$B$40)*IF('Replacement plan'!$AH$89="",'Operating costs'!$B$7,'Replacement plan'!$AH$89)/('Operating costs'!$B$8-'Operating costs'!$B$9*IF('Replacement plan'!$AH$89="",'Operating costs'!$B$7,'Replacement plan'!$AH$89)),0)*('Operating costs'!$B$9/'Operating costs'!$B$11+'Operating costs'!$B$10/60)*'Operating costs'!$B$19*'Operating costs'!$B$21,SUM(AP335,'Operating costs'!$B$28,'Operating costs'!$B$30,'Operating costs'!$B$32,'Operating costs'!$B$33,'Operating costs'!$B$36,'Operating costs'!$B$38,'Replacement plan'!$Y$89)+'Operating costs'!$B$41*'Operating costs'!$B$43+W335*'Operating costs'!$B$15+(T335*X335/'Replacement plan'!$L$89+W335*('Operating costs'!$B$12/'Operating costs'!$B$11+('Operating costs'!$B$13+'Operating costs'!$B$14)/60)+(R335-'Operating costs'!$B$41)*(IF(T335&lt;1,'Operating costs'!$B$16,0)+'Operating costs'!$B$17)/60)*'Operating costs'!$B$19*'Operating costs'!$B$20),"n.a."))</f>
        <v>0</v>
      </c>
      <c r="N335" s="16">
        <f>IF(AND(C335=1,D335="EV",E335&lt;120,E335+'Replacement plan'!$AA$89&lt;=120),'Replacement plan'!$Z$89,0)</f>
        <v>0</v>
      </c>
      <c r="O335" s="1">
        <f>E335+'Replacement plan'!$AA$89</f>
        <v>0</v>
      </c>
      <c r="P335" s="35" t="str">
        <f>IFERROR(IF(C335=0,"Excluded",IF(OR(COUNTIFS('Fleet register'!$A$7:$A$106,A335)&lt;&gt;1,COUNTIFS('Replacement plan'!$A$7:$A$106,A335)&lt;&gt;1),"Duplicate/missing ID",IF(NOT(AND(ISNUMBER(VLOOKUP($A335,'Fleet register'!$A$7:$S$106,5,FALSE)),ISNUMBER(VLOOKUP($A335,'Fleet register'!$A$7:$S$106,6,FALSE)),ISNUMBER(VLOOKUP($A335,'Fleet register'!$A$7:$S$106,10,FALSE)),ISNUMBER(VLOOKUP($A335,'Fleet register'!$A$7:$S$106,11,FALSE)),ISNUMBER(VLOOKUP($A335,'Fleet register'!$A$7:$S$106,12,FALSE)),ISNUMBER(VLOOKUP($A335,'Fleet register'!$A$7:$S$106,13,FALSE)),ISNUMBER(VLOOKUP($A335,'Fleet register'!$A$7:$S$106,14,FALSE)),VLOOKUP($A335,'Fleet register'!$A$7:$S$106,14,FALSE)&gt;0,ISNUMBER('Replacement plan'!$C$89),OR(E335=120,ISNUMBER('Replacement plan'!$N$89)),ISNUMBER(E335))),"Missing vehicle input",IF(OR(E335&lt;0,E335&gt;VLOOKUP($A335,'Fleet register'!$A$7:$S$106,10,FALSE),E335&gt;120,E335&lt;&gt;INT(E335),VLOOKUP($A335,'Fleet register'!$A$7:$S$106,6,FALSE)&lt;=0,VLOOKUP($A335,'Fleet register'!$A$7:$S$106,6,FALSE)&gt;366,VLOOKUP($A335,'Fleet register'!$A$7:$S$106,5,FALSE)&lt;0,VLOOKUP($A335,'Fleet register'!$A$7:$S$106,11,FALSE)&lt;0,I335&lt;0,'Operating costs'!$B$8&lt;='Operating costs'!$B$7*'Operating costs'!$B$9,'Operating costs'!$B$11&lt;=0,'Operating costs'!$B$39&gt;R335,'Operating costs'!$B$40&gt;R335,'Operating costs'!$B$41&gt;R335,NOT(OR("Keep ICE"="Keep ICE","Keep ICE"="New ICE","Keep ICE"="EV"))),"Invalid vehicle input",IF(AND(D335="EV",E335&lt;120,OR(NOT(ISNUMBER(U335)),NOT(ISNUMBER(V335)),V335&lt;=0,T335&lt;0,T335&gt;1,'Replacement plan'!$L$89&lt;=0,'Operating costs'!$B$44&lt;0,'Operating costs'!$B$44&gt;=1,'Operating costs'!$B$47&lt;=0,'Operating costs'!$B$47&gt;1,V335*'Operating costs'!$B$47/(1-'Operating costs'!$B$44)&lt;=T335*'Operating costs'!$B$12*U335,AND('Replacement plan'!$Z$89&gt;0,OR('Replacement plan'!$AB$89&lt;&gt;"Yes",'Operating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charging'!$B$8&gt;=0))),ISNUMBER(VLOOKUP($A335,'Fleet register'!$A$7:$S$106,15,FALSE)),ISNUMBER(VLOOKUP($A335,'Fleet register'!$A$7:$S$106,16,FALSE)),ISNUMBER('Replacement plan'!$W$89),ISNUMBER('Replacement plan'!$X$89),OR(E335=120,AND(ISNUMBER(G335),G335&gt;=0)),ISNUMBER(H335),H335&gt;=0,OR(D335&lt;&gt;"EV",E335=120,AND(ISNUMBER('Operating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average",ISNUMBER(IFERROR(INDEX(Products!$P$7:$P$13,MATCH(AD335,Products!$A$7:$A$13,0)),"")))),ISNUMBER('Operating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plan'!$Y$89),ISNUMBER('Replacement plan'!$Z$89),'Replacement plan'!$Z$89&gt;=0,ISNUMBER('Replacement plan'!$AA$89),'Replacement plan'!$AA$89&gt;=0,'Replacement plan'!$AA$89=INT('Replacement plan'!$AA$89),ISNUMBER('Replacement plan'!$L$89))),'Operating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plan'!$AG$89="",'Operating costs'!$B$7,'Replacement plan'!$AG$89)),IF('Replacement plan'!$AG$89="",'Operating costs'!$B$7,'Replacement plan'!$AG$89)&gt;=0,ISNUMBER(IF('Replacement plan'!$AH$89="",'Operating costs'!$B$7,'Replacement plan'!$AH$89)),IF('Replacement plan'!$AH$89="",'Operating costs'!$B$7,'Replacement plan'!$AH$89)&gt;=0,'Operating costs'!$B$8&gt;MAX(IF('Replacement plan'!$AG$89="",'Operating costs'!$B$7,'Replacement plan'!$AG$89),IF('Replacement plan'!$AH$89="",'Operating costs'!$B$7,'Replacement plan'!$AH$89))*'Operating costs'!$B$9),IF(AND(VLOOKUP($A335,'Fleet register'!$A$7:$S$106,10,FALSE)&gt;=0,VLOOKUP($A335,'Fleet register'!$A$7:$S$106,10,FALSE)&lt;=120,VLOOKUP($A335,'Fleet register'!$A$7:$S$106,10,FALSE)=INT(VLOOKUP($A335,'Fleet register'!$A$7:$S$106,10,FALSE)),VLOOKUP($A335,'Fleet register'!$A$7:$S$106,15,FALSE)&gt;=0,VLOOKUP($A335,'Fleet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costs'!$B$67)&gt;=0,OR(D335&lt;&gt;"EV",E335=120,AND(MIN('Operating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35" s="1" t="str">
        <f>IF(C335=0,"Excluded",IF(P335&lt;&gt;"Complete",P335,IF(OR('Replacement plan'!$AD$89&lt;120-E335,AND(D335="EV",E335&lt;120,OR('Replacement plan'!$AC$89&lt;120-E335,'Replacement plan'!$I$89="No",AND(ISNUMBER(AF335),AE335&gt;AF335),AI335&gt;V335*(1-'Operating costs'!$B$46)^MAX(0,AB335-1)*(1-'Operating costs'!$B$45),AC335&gt;'Operating costs'!$B$18,AND(T335&lt;1,OR(AG335&lt;=0,AND(ISNUMBER(AH335),AG335&gt;AH335))),'Replacement plan'!$L$89&gt;INDEX(Products!$H$7:$H$13,MATCH('Replacement plan'!$B$89,Products!$A$7:$A$13,0))))),"Fails entered limits",IF(AND(D335="EV",E335&lt;120,OR(NOT(ISNUMBER(VLOOKUP($A335,'Fleet register'!$A$7:$S$106,7,FALSE))),NOT(ISNUMBER(VLOOKUP($A335,'Fleet register'!$A$7:$S$106,8,FALSE))),NOT(ISNUMBER(AF335)),'Replacement plan'!$I$89&lt;&gt;"Yes",NOT(ISNUMBER(AH335)),'Operating costs'!$B$59&lt;&gt;"Yes",'Operating costs'!$B$58&lt;&gt;"Yes")),"Unverified","Within entered limits"))))</f>
        <v>Excluded</v>
      </c>
      <c r="R335" s="1">
        <f>IF(C335=0,0,VLOOKUP($A335,'Fleet register'!$A$7:$S$106,6,FALSE))</f>
        <v>0</v>
      </c>
      <c r="S335" s="1">
        <f>IF(C335=0,0,VLOOKUP($A335,'Fleet register'!$A$7:$S$106,5,FALSE))</f>
        <v>0</v>
      </c>
      <c r="T335" s="1">
        <f>IF(D335="EV",'Energy and charging'!$B$12,0)</f>
        <v>0</v>
      </c>
      <c r="U335" s="1">
        <f>IFERROR(IF(C335=0,0,IF(D335="EV",IF('Replacement plan'!$F$89="",INDEX(Products!$E$7:$E$13,MATCH('Replacement plan'!$B$89,Products!$A$7:$A$13,0)),'Replacement plan'!$F$89)/IF('Replacement plan'!$G$89="Battery",1-'Operating costs'!$B$44,1),0)),"n.a.")</f>
        <v>0</v>
      </c>
      <c r="V335" s="1">
        <f>IFERROR(IF(C335=0,0,IF(D335="EV",IF('Replacement plan'!$E$89="",INDEX(Products!$D$7:$D$13,MATCH('Replacement plan'!$B$89,Products!$A$7:$A$13,0)),'Replacement plan'!$E$89),0)),"n.a.")</f>
        <v>0</v>
      </c>
      <c r="W335" s="1">
        <f>IF(C335=0,0,IF(AND(P335="Complete",D335="EV",E335&lt;120),IF(T335=0,0,ROUNDUP(T335*(R335-'Operating costs'!$B$41)*(S335*U335+'Operating costs'!$B$48/(1-'Operating costs'!$B$44))/(V335*'Operating costs'!$B$47/(1-'Operating costs'!$B$44)-T335*'Operating costs'!$B$12*U335),0)),0))</f>
        <v>0</v>
      </c>
      <c r="X335" s="1">
        <f>IF(C335=0,0,IF(AND(P335="Complete",D335="EV",E335&lt;120),(R335-'Operating costs'!$B$41)*(S335*U335+'Operating costs'!$B$48/(1-'Operating costs'!$B$44))+W335*'Operating costs'!$B$12*U335,0))</f>
        <v>0</v>
      </c>
      <c r="Y335" s="1">
        <f>IF(AND(C335=1,D335="EV",E335&lt;120),AI335/(1-'Operating costs'!$B$44)*(1-T335),0)</f>
        <v>0</v>
      </c>
      <c r="Z335" s="1">
        <f t="shared" si="10"/>
        <v>0</v>
      </c>
      <c r="AA335" s="1">
        <f>IF(C335=0,0,IF(P335="Complete",((S335*(R335-'Operating costs'!$B$40))+ROUNDUP(S335*(R335-'Operating costs'!$B$40)*IF('Replacement plan'!$AH$89="",'Operating costs'!$B$7,'Replacement plan'!$AH$89)/('Operating costs'!$B$8-'Operating costs'!$B$9*IF('Replacement plan'!$AH$89="",'Operating costs'!$B$7,'Replacement plan'!$AH$89)),0)*'Operating costs'!$B$9)*IF('Replacement plan'!$AH$89="",'Operating costs'!$B$7,'Replacement plan'!$AH$89),"n.a."))</f>
        <v>0</v>
      </c>
      <c r="AB335" s="1">
        <f t="shared" si="11"/>
        <v>0</v>
      </c>
      <c r="AC335" s="1">
        <f>IF(AND(C335=1,D335="EV",E335&lt;120,T335&gt;0),'Operating costs'!$B$12/'Operating costs'!$B$11*60+'Operating costs'!$B$13+'Operating costs'!$B$14+V335*'Operating costs'!$B$47/(1-'Operating costs'!$B$44)/'Replacement plan'!$L$89*60,0)</f>
        <v>0</v>
      </c>
      <c r="AD335" s="1" t="str">
        <f>'Replacement plan'!$B$89</f>
        <v>ChengLong L2EV</v>
      </c>
      <c r="AE335" s="1">
        <f>IF(C335=0,0,VLOOKUP($A335,'Fleet register'!$A$7:$S$106,8,FALSE))</f>
        <v>0</v>
      </c>
      <c r="AF335" s="1" t="str">
        <f>IF('Replacement plan'!$H$89="","n.a.",'Replacement plan'!$H$89)</f>
        <v>n.a.</v>
      </c>
      <c r="AG335" s="1">
        <f>'Replacement plan'!$J$89</f>
        <v>22</v>
      </c>
      <c r="AH335" s="1">
        <f>IFERROR(IF(D335="EV",IF('Replacement plan'!$K$89="AC",IF(ISNUMBER(INDEX(Products!$G$7:$G$13,MATCH('Replacement plan'!$B$89,Products!$A$7:$A$13,0))),INDEX(Products!$G$7:$G$13,MATCH('Replacement plan'!$B$89,Products!$A$7:$A$13,0)),"n.a."),IF(ISNUMBER(INDEX(Products!$H$7:$H$13,MATCH('Replacement plan'!$B$89,Products!$A$7:$A$13,0))),INDEX(Products!$H$7:$H$13,MATCH('Replacement plan'!$B$89,Products!$A$7:$A$13,0)),"n.a.")),0),"n.a.")</f>
        <v>0</v>
      </c>
      <c r="AI335" s="1">
        <f>IF(AND(C335=1,D335="EV",E335&lt;120),(VLOOKUP($A335,'Fleet register'!$A$7:$S$106,7,FALSE)+IF(T335&gt;0,'Operating costs'!$B$12,0))*U335*(1-'Operating costs'!$B$44)+'Operating costs'!$B$49,0)</f>
        <v>0</v>
      </c>
      <c r="AJ335" s="1">
        <f>IF(D335="EV",'Energy and charging'!$B$50,0)</f>
        <v>0</v>
      </c>
      <c r="AK335" s="17">
        <f>EDATE('Operating costs'!$B$63,E335)</f>
        <v>46298</v>
      </c>
      <c r="AL335" s="1">
        <f>IFERROR(IF(D335="EV",INDEX(Products!$B$7:$B$13,MATCH('Replacement plan'!$B$89,Products!$A$7:$A$13,0)),0),"n.a.")</f>
        <v>0</v>
      </c>
      <c r="AM335" s="1" t="str">
        <f>'Replacement plan'!$K$89</f>
        <v>DC</v>
      </c>
      <c r="AN335" s="1" t="str">
        <f>'Replacement plan'!$AE$89</f>
        <v>Assumed</v>
      </c>
      <c r="AO335" s="47">
        <f>IF(AND(C335=1,D335="EV",E335&lt;120),(R335-'Operating costs'!$B$41)*S335+W335*'Operating costs'!$B$12,0)</f>
        <v>0</v>
      </c>
      <c r="AP335" s="41">
        <f>IF(AND(C335=1,D335="EV",E335&lt;120),IF('Operating costs'!$B$68="Hong Seh 200k average",AO335*IFERROR(INDEX(Products!$P$7:$P$13,MATCH(AD335,Products!$A$7:$A$13,0)),"n.a."),'Operating costs'!$B$26),0)</f>
        <v>0</v>
      </c>
      <c r="AQ335" s="40" t="str">
        <f>IF(D335="EV",'Operating costs'!$B$68,"Not applicable")</f>
        <v>Not applicable</v>
      </c>
    </row>
    <row r="336" spans="1:43" ht="24" customHeight="1">
      <c r="A336" s="1" t="str">
        <f>'Replacement plan'!A89</f>
        <v>T083</v>
      </c>
      <c r="B336" s="1">
        <v>1</v>
      </c>
      <c r="C336" s="1">
        <f>IF(COUNTIFS('Fleet register'!$A$7:$A$106,$A336)=1,VLOOKUP($A336,'Fleet register'!$A$7:$S$106,2,FALSE),0)</f>
        <v>0</v>
      </c>
      <c r="D336" s="1" t="str">
        <f>IF("New ICE"="EV","EV","ICE")</f>
        <v>ICE</v>
      </c>
      <c r="E336" s="1">
        <f>IF(C336=0,0,0)</f>
        <v>0</v>
      </c>
      <c r="F336" s="16">
        <f>IF(C336=0,0,VLOOKUP($A336,'Fleet register'!$A$7:$S$106,11,FALSE))</f>
        <v>0</v>
      </c>
      <c r="G336" s="16">
        <f>IFERROR(IF(C336=0,0,IF(E336=120,0,IF(D336="ICE",'Replacement plan'!$C$89,IF('Replacement plan'!$D$89="",INDEX(Products!$I$7:$I$13,MATCH('Replacement plan'!$B$89,Products!$A$7:$A$13,0))+'Operating costs'!$B$57,'Replacement plan'!$D$89))*(1+'Operating costs'!$B$50)^(E336/12))),"n.a.")</f>
        <v>0</v>
      </c>
      <c r="H336" s="16">
        <f>IFERROR(IF(C336=0,0,IF(E336=0,F336,VLOOKUP($A336,'Fleet register'!$A$7:$S$106,12,FALSE)+VLOOKUP($A336,'Fleet register'!$A$7:$S$106,13,FALSE)*MAX(0,VLOOKUP($A336,'Fleet register'!$A$7:$S$106,10,FALSE)-E336)/VLOOKUP($A336,'Fleet register'!$A$7:$S$106,14,FALSE))),"n.a.")</f>
        <v>0</v>
      </c>
      <c r="I336" s="16">
        <f>IF(C336=0,0,IF(E336=120,0,IF('Replacement plan'!$AI$89="",'Operating costs'!$B$56,'Replacement plan'!$AI$89)))</f>
        <v>0</v>
      </c>
      <c r="J336" s="16">
        <f>IF(C336=0,0,IF(P336="Complete",((S336*(R336-'Operating costs'!$B$39))+ROUNDUP(S336*(R336-'Operating costs'!$B$39)*IF('Replacement plan'!$AG$89="",'Operating costs'!$B$7,'Replacement plan'!$AG$89)/('Operating costs'!$B$8-'Operating costs'!$B$9*IF('Replacement plan'!$AG$89="",'Operating costs'!$B$7,'Replacement plan'!$AG$89)),0)*'Operating costs'!$B$9)*IF('Replacement plan'!$AG$89="",'Operating costs'!$B$7,'Replacement plan'!$AG$89)*('Energy and charging'!$B$9*'Energy and charging'!$B$7+(1-'Energy and charging'!$B$9)*'Energy and charging'!$B$8)*'Operating costs'!$B$23,"n.a."))</f>
        <v>0</v>
      </c>
      <c r="K336" s="16">
        <f>IF(C336=0,0,IF(P336="Complete",SUM('Operating costs'!$B$24,'Operating costs'!$B$27,'Operating costs'!$B$29,'Operating costs'!$B$31,'Operating costs'!$B$33,'Operating costs'!$B$34,'Operating costs'!$B$37,'Replacement plan'!$W$89)+'Operating costs'!$B$39*'Operating costs'!$B$42+ROUNDUP(S336*(R336-'Operating costs'!$B$39)*IF('Replacement plan'!$AG$89="",'Operating costs'!$B$7,'Replacement plan'!$AG$89)/('Operating costs'!$B$8-'Operating costs'!$B$9*IF('Replacement plan'!$AG$89="",'Operating costs'!$B$7,'Replacement plan'!$AG$89)),0)*('Operating costs'!$B$9/'Operating costs'!$B$11+'Operating costs'!$B$10/60)*'Operating costs'!$B$19*'Operating costs'!$B$21,"n.a."))</f>
        <v>0</v>
      </c>
      <c r="L336" s="16">
        <f>IF(C336=0,0,IF(P336="Complete",IF(D336="EV",X336*((1-T336)*'Energy and charging'!$B$10+T336*'Energy and charging'!$B$11)*'Operating costs'!$B$22,AA336*('Energy and charging'!$B$9*'Energy and charging'!$B$7+(1-'Energy and charging'!$B$9)*'Energy and charging'!$B$8)*'Operating costs'!$B$23),"n.a."))</f>
        <v>0</v>
      </c>
      <c r="M336" s="37">
        <f>IF(C336=0,0,IF(P336="Complete",IF(D336="ICE",SUM('Operating costs'!$B$25,'Operating costs'!$B$27,'Operating costs'!$B$29,'Operating costs'!$B$31,'Operating costs'!$B$33,'Operating costs'!$B$35,'Operating costs'!$B$37,'Replacement plan'!$X$89)+'Operating costs'!$B$40*'Operating costs'!$B$42+ROUNDUP(S336*(R336-'Operating costs'!$B$40)*IF('Replacement plan'!$AH$89="",'Operating costs'!$B$7,'Replacement plan'!$AH$89)/('Operating costs'!$B$8-'Operating costs'!$B$9*IF('Replacement plan'!$AH$89="",'Operating costs'!$B$7,'Replacement plan'!$AH$89)),0)*('Operating costs'!$B$9/'Operating costs'!$B$11+'Operating costs'!$B$10/60)*'Operating costs'!$B$19*'Operating costs'!$B$21,SUM(AP336,'Operating costs'!$B$28,'Operating costs'!$B$30,'Operating costs'!$B$32,'Operating costs'!$B$33,'Operating costs'!$B$36,'Operating costs'!$B$38,'Replacement plan'!$Y$89)+'Operating costs'!$B$41*'Operating costs'!$B$43+W336*'Operating costs'!$B$15+(T336*X336/'Replacement plan'!$L$89+W336*('Operating costs'!$B$12/'Operating costs'!$B$11+('Operating costs'!$B$13+'Operating costs'!$B$14)/60)+(R336-'Operating costs'!$B$41)*(IF(T336&lt;1,'Operating costs'!$B$16,0)+'Operating costs'!$B$17)/60)*'Operating costs'!$B$19*'Operating costs'!$B$20),"n.a."))</f>
        <v>0</v>
      </c>
      <c r="N336" s="16">
        <f>IF(AND(C336=1,D336="EV",E336&lt;120,E336+'Replacement plan'!$AA$89&lt;=120),'Replacement plan'!$Z$89,0)</f>
        <v>0</v>
      </c>
      <c r="O336" s="1">
        <f>E336+'Replacement plan'!$AA$89</f>
        <v>0</v>
      </c>
      <c r="P336" s="35" t="str">
        <f>IFERROR(IF(C336=0,"Excluded",IF(OR(COUNTIFS('Fleet register'!$A$7:$A$106,A336)&lt;&gt;1,COUNTIFS('Replacement plan'!$A$7:$A$106,A336)&lt;&gt;1),"Duplicate/missing ID",IF(NOT(AND(ISNUMBER(VLOOKUP($A336,'Fleet register'!$A$7:$S$106,5,FALSE)),ISNUMBER(VLOOKUP($A336,'Fleet register'!$A$7:$S$106,6,FALSE)),ISNUMBER(VLOOKUP($A336,'Fleet register'!$A$7:$S$106,10,FALSE)),ISNUMBER(VLOOKUP($A336,'Fleet register'!$A$7:$S$106,11,FALSE)),ISNUMBER(VLOOKUP($A336,'Fleet register'!$A$7:$S$106,12,FALSE)),ISNUMBER(VLOOKUP($A336,'Fleet register'!$A$7:$S$106,13,FALSE)),ISNUMBER(VLOOKUP($A336,'Fleet register'!$A$7:$S$106,14,FALSE)),VLOOKUP($A336,'Fleet register'!$A$7:$S$106,14,FALSE)&gt;0,ISNUMBER('Replacement plan'!$C$89),OR(E336=120,OR(ISNUMBER('Replacement plan'!$AI$89),AND('Replacement plan'!$AI$89="",ISNUMBER('Operating costs'!$B$56)))),ISNUMBER(E336))),"Missing vehicle input",IF(OR(E336&lt;0,E336&gt;VLOOKUP($A336,'Fleet register'!$A$7:$S$106,10,FALSE),E336&gt;120,E336&lt;&gt;INT(E336),VLOOKUP($A336,'Fleet register'!$A$7:$S$106,6,FALSE)&lt;=0,VLOOKUP($A336,'Fleet register'!$A$7:$S$106,6,FALSE)&gt;366,VLOOKUP($A336,'Fleet register'!$A$7:$S$106,5,FALSE)&lt;0,VLOOKUP($A336,'Fleet register'!$A$7:$S$106,11,FALSE)&lt;0,I336&lt;0,'Operating costs'!$B$8&lt;='Operating costs'!$B$7*'Operating costs'!$B$9,'Operating costs'!$B$11&lt;=0,'Operating costs'!$B$39&gt;R336,'Operating costs'!$B$40&gt;R336,'Operating costs'!$B$41&gt;R336,NOT(OR("New ICE"="Keep ICE","New ICE"="New ICE","New ICE"="EV"))),"Invalid vehicle input",IF(AND(D336="EV",E336&lt;120,OR(NOT(ISNUMBER(U336)),NOT(ISNUMBER(V336)),V336&lt;=0,T336&lt;0,T336&gt;1,'Replacement plan'!$L$89&lt;=0,'Operating costs'!$B$44&lt;0,'Operating costs'!$B$44&gt;=1,'Operating costs'!$B$47&lt;=0,'Operating costs'!$B$47&gt;1,V336*'Operating costs'!$B$47/(1-'Operating costs'!$B$44)&lt;=T336*'Operating costs'!$B$12*U336,AND('Replacement plan'!$Z$89&gt;0,OR('Replacement plan'!$AB$89&lt;&gt;"Yes",'Operating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charging'!$B$8&gt;=0))),ISNUMBER(VLOOKUP($A336,'Fleet register'!$A$7:$S$106,15,FALSE)),ISNUMBER(VLOOKUP($A336,'Fleet register'!$A$7:$S$106,16,FALSE)),ISNUMBER('Replacement plan'!$W$89),ISNUMBER('Replacement plan'!$X$89),OR(E336=120,AND(ISNUMBER(G336),G336&gt;=0)),ISNUMBER(H336),H336&gt;=0,OR(D336&lt;&gt;"EV",E336=120,AND(ISNUMBER('Operating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average",ISNUMBER(IFERROR(INDEX(Products!$P$7:$P$13,MATCH(AD336,Products!$A$7:$A$13,0)),"")))),ISNUMBER('Operating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plan'!$Y$89),ISNUMBER('Replacement plan'!$Z$89),'Replacement plan'!$Z$89&gt;=0,ISNUMBER('Replacement plan'!$AA$89),'Replacement plan'!$AA$89&gt;=0,'Replacement plan'!$AA$89=INT('Replacement plan'!$AA$89),ISNUMBER('Replacement plan'!$L$89))),'Operating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plan'!$AG$89="",'Operating costs'!$B$7,'Replacement plan'!$AG$89)),IF('Replacement plan'!$AG$89="",'Operating costs'!$B$7,'Replacement plan'!$AG$89)&gt;=0,ISNUMBER(IF('Replacement plan'!$AH$89="",'Operating costs'!$B$7,'Replacement plan'!$AH$89)),IF('Replacement plan'!$AH$89="",'Operating costs'!$B$7,'Replacement plan'!$AH$89)&gt;=0,'Operating costs'!$B$8&gt;MAX(IF('Replacement plan'!$AG$89="",'Operating costs'!$B$7,'Replacement plan'!$AG$89),IF('Replacement plan'!$AH$89="",'Operating costs'!$B$7,'Replacement plan'!$AH$89))*'Operating costs'!$B$9),IF(AND(VLOOKUP($A336,'Fleet register'!$A$7:$S$106,10,FALSE)&gt;=0,VLOOKUP($A336,'Fleet register'!$A$7:$S$106,10,FALSE)&lt;=120,VLOOKUP($A336,'Fleet register'!$A$7:$S$106,10,FALSE)=INT(VLOOKUP($A336,'Fleet register'!$A$7:$S$106,10,FALSE)),VLOOKUP($A336,'Fleet register'!$A$7:$S$106,15,FALSE)&gt;=0,VLOOKUP($A336,'Fleet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costs'!$B$67)&gt;=0,OR(D336&lt;&gt;"EV",E336=120,AND(MIN('Operating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36" s="1" t="str">
        <f>IF(C336=0,"Excluded",IF(P336&lt;&gt;"Complete",P336,IF(OR('Replacement plan'!$AD$89&lt;120-E336,AND(D336="EV",E336&lt;120,OR('Replacement plan'!$AC$89&lt;120-E336,'Replacement plan'!$I$89="No",AND(ISNUMBER(AF336),AE336&gt;AF336),AI336&gt;V336*(1-'Operating costs'!$B$46)^MAX(0,AB336-1)*(1-'Operating costs'!$B$45),AC336&gt;'Operating costs'!$B$18,AND(T336&lt;1,OR(AG336&lt;=0,AND(ISNUMBER(AH336),AG336&gt;AH336))),'Replacement plan'!$L$89&gt;INDEX(Products!$H$7:$H$13,MATCH('Replacement plan'!$B$89,Products!$A$7:$A$13,0))))),"Fails entered limits",IF(AND(D336="EV",E336&lt;120,OR(NOT(ISNUMBER(VLOOKUP($A336,'Fleet register'!$A$7:$S$106,7,FALSE))),NOT(ISNUMBER(VLOOKUP($A336,'Fleet register'!$A$7:$S$106,8,FALSE))),NOT(ISNUMBER(AF336)),'Replacement plan'!$I$89&lt;&gt;"Yes",NOT(ISNUMBER(AH336)),'Operating costs'!$B$59&lt;&gt;"Yes",'Operating costs'!$B$58&lt;&gt;"Yes")),"Unverified","Within entered limits"))))</f>
        <v>Excluded</v>
      </c>
      <c r="R336" s="1">
        <f>IF(C336=0,0,VLOOKUP($A336,'Fleet register'!$A$7:$S$106,6,FALSE))</f>
        <v>0</v>
      </c>
      <c r="S336" s="1">
        <f>IF(C336=0,0,VLOOKUP($A336,'Fleet register'!$A$7:$S$106,5,FALSE))</f>
        <v>0</v>
      </c>
      <c r="T336" s="1">
        <f>IF(D336="EV",'Energy and charging'!$B$12,0)</f>
        <v>0</v>
      </c>
      <c r="U336" s="1">
        <f>IFERROR(IF(C336=0,0,IF(D336="EV",IF('Replacement plan'!$F$89="",INDEX(Products!$E$7:$E$13,MATCH('Replacement plan'!$B$89,Products!$A$7:$A$13,0)),'Replacement plan'!$F$89)/IF('Replacement plan'!$G$89="Battery",1-'Operating costs'!$B$44,1),0)),"n.a.")</f>
        <v>0</v>
      </c>
      <c r="V336" s="1">
        <f>IFERROR(IF(C336=0,0,IF(D336="EV",IF('Replacement plan'!$E$89="",INDEX(Products!$D$7:$D$13,MATCH('Replacement plan'!$B$89,Products!$A$7:$A$13,0)),'Replacement plan'!$E$89),0)),"n.a.")</f>
        <v>0</v>
      </c>
      <c r="W336" s="1">
        <f>IF(C336=0,0,IF(AND(P336="Complete",D336="EV",E336&lt;120),IF(T336=0,0,ROUNDUP(T336*(R336-'Operating costs'!$B$41)*(S336*U336+'Operating costs'!$B$48/(1-'Operating costs'!$B$44))/(V336*'Operating costs'!$B$47/(1-'Operating costs'!$B$44)-T336*'Operating costs'!$B$12*U336),0)),0))</f>
        <v>0</v>
      </c>
      <c r="X336" s="1">
        <f>IF(C336=0,0,IF(AND(P336="Complete",D336="EV",E336&lt;120),(R336-'Operating costs'!$B$41)*(S336*U336+'Operating costs'!$B$48/(1-'Operating costs'!$B$44))+W336*'Operating costs'!$B$12*U336,0))</f>
        <v>0</v>
      </c>
      <c r="Y336" s="1">
        <f>IF(AND(C336=1,D336="EV",E336&lt;120),AI336/(1-'Operating costs'!$B$44)*(1-T336),0)</f>
        <v>0</v>
      </c>
      <c r="Z336" s="1">
        <f t="shared" si="10"/>
        <v>0</v>
      </c>
      <c r="AA336" s="1">
        <f>IF(C336=0,0,IF(P336="Complete",((S336*(R336-'Operating costs'!$B$40))+ROUNDUP(S336*(R336-'Operating costs'!$B$40)*IF('Replacement plan'!$AH$89="",'Operating costs'!$B$7,'Replacement plan'!$AH$89)/('Operating costs'!$B$8-'Operating costs'!$B$9*IF('Replacement plan'!$AH$89="",'Operating costs'!$B$7,'Replacement plan'!$AH$89)),0)*'Operating costs'!$B$9)*IF('Replacement plan'!$AH$89="",'Operating costs'!$B$7,'Replacement plan'!$AH$89),"n.a."))</f>
        <v>0</v>
      </c>
      <c r="AB336" s="1">
        <f t="shared" si="11"/>
        <v>0</v>
      </c>
      <c r="AC336" s="1">
        <f>IF(AND(C336=1,D336="EV",E336&lt;120,T336&gt;0),'Operating costs'!$B$12/'Operating costs'!$B$11*60+'Operating costs'!$B$13+'Operating costs'!$B$14+V336*'Operating costs'!$B$47/(1-'Operating costs'!$B$44)/'Replacement plan'!$L$89*60,0)</f>
        <v>0</v>
      </c>
      <c r="AD336" s="1" t="str">
        <f>'Replacement plan'!$B$89</f>
        <v>ChengLong L2EV</v>
      </c>
      <c r="AE336" s="1">
        <f>IF(C336=0,0,VLOOKUP($A336,'Fleet register'!$A$7:$S$106,8,FALSE))</f>
        <v>0</v>
      </c>
      <c r="AF336" s="1" t="str">
        <f>IF('Replacement plan'!$H$89="","n.a.",'Replacement plan'!$H$89)</f>
        <v>n.a.</v>
      </c>
      <c r="AG336" s="1">
        <f>'Replacement plan'!$J$89</f>
        <v>22</v>
      </c>
      <c r="AH336" s="1">
        <f>IFERROR(IF(D336="EV",IF('Replacement plan'!$K$89="AC",IF(ISNUMBER(INDEX(Products!$G$7:$G$13,MATCH('Replacement plan'!$B$89,Products!$A$7:$A$13,0))),INDEX(Products!$G$7:$G$13,MATCH('Replacement plan'!$B$89,Products!$A$7:$A$13,0)),"n.a."),IF(ISNUMBER(INDEX(Products!$H$7:$H$13,MATCH('Replacement plan'!$B$89,Products!$A$7:$A$13,0))),INDEX(Products!$H$7:$H$13,MATCH('Replacement plan'!$B$89,Products!$A$7:$A$13,0)),"n.a.")),0),"n.a.")</f>
        <v>0</v>
      </c>
      <c r="AI336" s="1">
        <f>IF(AND(C336=1,D336="EV",E336&lt;120),(VLOOKUP($A336,'Fleet register'!$A$7:$S$106,7,FALSE)+IF(T336&gt;0,'Operating costs'!$B$12,0))*U336*(1-'Operating costs'!$B$44)+'Operating costs'!$B$49,0)</f>
        <v>0</v>
      </c>
      <c r="AJ336" s="1">
        <f>IF(D336="EV",'Energy and charging'!$B$50,0)</f>
        <v>0</v>
      </c>
      <c r="AK336" s="17">
        <f>EDATE('Operating costs'!$B$63,E336)</f>
        <v>46298</v>
      </c>
      <c r="AL336" s="1">
        <f>IFERROR(IF(D336="EV",INDEX(Products!$B$7:$B$13,MATCH('Replacement plan'!$B$89,Products!$A$7:$A$13,0)),0),"n.a.")</f>
        <v>0</v>
      </c>
      <c r="AM336" s="1" t="str">
        <f>'Replacement plan'!$K$89</f>
        <v>DC</v>
      </c>
      <c r="AN336" s="1" t="str">
        <f>'Replacement plan'!$AE$89</f>
        <v>Assumed</v>
      </c>
      <c r="AO336" s="47">
        <f>IF(AND(C336=1,D336="EV",E336&lt;120),(R336-'Operating costs'!$B$41)*S336+W336*'Operating costs'!$B$12,0)</f>
        <v>0</v>
      </c>
      <c r="AP336" s="41">
        <f>IF(AND(C336=1,D336="EV",E336&lt;120),IF('Operating costs'!$B$68="Hong Seh 200k average",AO336*IFERROR(INDEX(Products!$P$7:$P$13,MATCH(AD336,Products!$A$7:$A$13,0)),"n.a."),'Operating costs'!$B$26),0)</f>
        <v>0</v>
      </c>
      <c r="AQ336" s="40" t="str">
        <f>IF(D336="EV",'Operating costs'!$B$68,"Not applicable")</f>
        <v>Not applicable</v>
      </c>
    </row>
    <row r="337" spans="1:43" ht="24" customHeight="1">
      <c r="A337" s="1" t="str">
        <f>'Replacement plan'!A89</f>
        <v>T083</v>
      </c>
      <c r="B337" s="1">
        <v>2</v>
      </c>
      <c r="C337" s="1">
        <f>IF(COUNTIFS('Fleet register'!$A$7:$A$106,$A337)=1,VLOOKUP($A337,'Fleet register'!$A$7:$S$106,2,FALSE),0)</f>
        <v>0</v>
      </c>
      <c r="D337" s="1" t="str">
        <f>IF('Replacement plan'!$O$89="EV","EV","ICE")</f>
        <v>ICE</v>
      </c>
      <c r="E337" s="1">
        <f>IF(C337=0,0,IF('Replacement plan'!$P$89="",IF('Replacement plan'!$O$89="Keep ICE",IF('Replacement plan'!$M$89="",VLOOKUP($A337,'Fleet register'!$A$7:$S$106,10,FALSE),'Replacement plan'!$M$89),0),'Replacement plan'!$P$89))</f>
        <v>0</v>
      </c>
      <c r="F337" s="16">
        <f>IF(C337=0,0,VLOOKUP($A337,'Fleet register'!$A$7:$S$106,11,FALSE))</f>
        <v>0</v>
      </c>
      <c r="G337" s="16">
        <f>IFERROR(IF(C337=0,0,IF(E337=120,0,IF(D337="ICE",'Replacement plan'!$C$89,IF('Replacement plan'!$D$89="",INDEX(Products!$I$7:$I$13,MATCH('Replacement plan'!$B$89,Products!$A$7:$A$13,0))+'Operating costs'!$B$57,'Replacement plan'!$D$89))*(1+'Operating costs'!$B$50)^(E337/12))),"n.a.")</f>
        <v>0</v>
      </c>
      <c r="H337" s="16">
        <f>IFERROR(IF(C337=0,0,IF('Replacement plan'!$U$89&lt;&gt;"",'Replacement plan'!$U$89,IF(E337=0,F337,VLOOKUP($A337,'Fleet register'!$A$7:$S$106,12,FALSE)+VLOOKUP($A337,'Fleet register'!$A$7:$S$106,13,FALSE)*MAX(0,VLOOKUP($A337,'Fleet register'!$A$7:$S$106,10,FALSE)-E337)/VLOOKUP($A337,'Fleet register'!$A$7:$S$106,14,FALSE)))),"n.a.")</f>
        <v>0</v>
      </c>
      <c r="I337" s="16">
        <f>IF(C337=0,0,IF(E337=120,0,'Replacement plan'!$Q$89))</f>
        <v>0</v>
      </c>
      <c r="J337" s="16">
        <f>IF(C337=0,0,IF(P337="Complete",((S337*(R337-'Operating costs'!$B$39))+ROUNDUP(S337*(R337-'Operating costs'!$B$39)*IF('Replacement plan'!$AG$89="",'Operating costs'!$B$7,'Replacement plan'!$AG$89)/('Operating costs'!$B$8-'Operating costs'!$B$9*IF('Replacement plan'!$AG$89="",'Operating costs'!$B$7,'Replacement plan'!$AG$89)),0)*'Operating costs'!$B$9)*IF('Replacement plan'!$AG$89="",'Operating costs'!$B$7,'Replacement plan'!$AG$89)*('Energy and charging'!$B$9*'Energy and charging'!$B$7+(1-'Energy and charging'!$B$9)*'Energy and charging'!$B$8)*'Operating costs'!$B$23,"n.a."))</f>
        <v>0</v>
      </c>
      <c r="K337" s="16">
        <f>IF(C337=0,0,IF(P337="Complete",SUM('Operating costs'!$B$24,'Operating costs'!$B$27,'Operating costs'!$B$29,'Operating costs'!$B$31,'Operating costs'!$B$33,'Operating costs'!$B$34,'Operating costs'!$B$37,'Replacement plan'!$W$89)+'Operating costs'!$B$39*'Operating costs'!$B$42+ROUNDUP(S337*(R337-'Operating costs'!$B$39)*IF('Replacement plan'!$AG$89="",'Operating costs'!$B$7,'Replacement plan'!$AG$89)/('Operating costs'!$B$8-'Operating costs'!$B$9*IF('Replacement plan'!$AG$89="",'Operating costs'!$B$7,'Replacement plan'!$AG$89)),0)*('Operating costs'!$B$9/'Operating costs'!$B$11+'Operating costs'!$B$10/60)*'Operating costs'!$B$19*'Operating costs'!$B$21,"n.a."))</f>
        <v>0</v>
      </c>
      <c r="L337" s="16">
        <f>IF(C337=0,0,IF(P337="Complete",IF(D337="EV",X337*((1-T337)*'Energy and charging'!$B$10+T337*'Energy and charging'!$B$11)*'Operating costs'!$B$22,AA337*('Energy and charging'!$B$9*'Energy and charging'!$B$7+(1-'Energy and charging'!$B$9)*'Energy and charging'!$B$8)*'Operating costs'!$B$23),"n.a."))</f>
        <v>0</v>
      </c>
      <c r="M337" s="37">
        <f>IF(C337=0,0,IF(P337="Complete",IF(D337="ICE",SUM('Operating costs'!$B$25,'Operating costs'!$B$27,'Operating costs'!$B$29,'Operating costs'!$B$31,'Operating costs'!$B$33,'Operating costs'!$B$35,'Operating costs'!$B$37,'Replacement plan'!$X$89)+'Operating costs'!$B$40*'Operating costs'!$B$42+ROUNDUP(S337*(R337-'Operating costs'!$B$40)*IF('Replacement plan'!$AH$89="",'Operating costs'!$B$7,'Replacement plan'!$AH$89)/('Operating costs'!$B$8-'Operating costs'!$B$9*IF('Replacement plan'!$AH$89="",'Operating costs'!$B$7,'Replacement plan'!$AH$89)),0)*('Operating costs'!$B$9/'Operating costs'!$B$11+'Operating costs'!$B$10/60)*'Operating costs'!$B$19*'Operating costs'!$B$21,SUM(AP337,'Operating costs'!$B$28,'Operating costs'!$B$30,'Operating costs'!$B$32,'Operating costs'!$B$33,'Operating costs'!$B$36,'Operating costs'!$B$38,'Replacement plan'!$Y$89)+'Operating costs'!$B$41*'Operating costs'!$B$43+W337*'Operating costs'!$B$15+(T337*X337/'Replacement plan'!$L$89+W337*('Operating costs'!$B$12/'Operating costs'!$B$11+('Operating costs'!$B$13+'Operating costs'!$B$14)/60)+(R337-'Operating costs'!$B$41)*(IF(T337&lt;1,'Operating costs'!$B$16,0)+'Operating costs'!$B$17)/60)*'Operating costs'!$B$19*'Operating costs'!$B$20),"n.a."))</f>
        <v>0</v>
      </c>
      <c r="N337" s="16">
        <f>IF(AND(C337=1,D337="EV",E337&lt;120,E337+'Replacement plan'!$AA$89&lt;=120),'Replacement plan'!$Z$89,0)</f>
        <v>0</v>
      </c>
      <c r="O337" s="1">
        <f>E337+'Replacement plan'!$AA$89</f>
        <v>0</v>
      </c>
      <c r="P337" s="35" t="str">
        <f>IFERROR(IF(C337=0,"Excluded",IF(OR(COUNTIFS('Fleet register'!$A$7:$A$106,A337)&lt;&gt;1,COUNTIFS('Replacement plan'!$A$7:$A$106,A337)&lt;&gt;1),"Duplicate/missing ID",IF(NOT(AND(ISNUMBER(VLOOKUP($A337,'Fleet register'!$A$7:$S$106,5,FALSE)),ISNUMBER(VLOOKUP($A337,'Fleet register'!$A$7:$S$106,6,FALSE)),ISNUMBER(VLOOKUP($A337,'Fleet register'!$A$7:$S$106,10,FALSE)),ISNUMBER(VLOOKUP($A337,'Fleet register'!$A$7:$S$106,11,FALSE)),ISNUMBER(VLOOKUP($A337,'Fleet register'!$A$7:$S$106,12,FALSE)),ISNUMBER(VLOOKUP($A337,'Fleet register'!$A$7:$S$106,13,FALSE)),ISNUMBER(VLOOKUP($A337,'Fleet register'!$A$7:$S$106,14,FALSE)),VLOOKUP($A337,'Fleet register'!$A$7:$S$106,14,FALSE)&gt;0,ISNUMBER('Replacement plan'!$C$89),OR(E337=120,ISNUMBER('Replacement plan'!$Q$89)),ISNUMBER(E337))),"Missing vehicle input",IF(OR(E337&lt;0,E337&gt;VLOOKUP($A337,'Fleet register'!$A$7:$S$106,10,FALSE),E337&gt;120,E337&lt;&gt;INT(E337),VLOOKUP($A337,'Fleet register'!$A$7:$S$106,6,FALSE)&lt;=0,VLOOKUP($A337,'Fleet register'!$A$7:$S$106,6,FALSE)&gt;366,VLOOKUP($A337,'Fleet register'!$A$7:$S$106,5,FALSE)&lt;0,VLOOKUP($A337,'Fleet register'!$A$7:$S$106,11,FALSE)&lt;0,I337&lt;0,'Operating costs'!$B$8&lt;='Operating costs'!$B$7*'Operating costs'!$B$9,'Operating costs'!$B$11&lt;=0,'Operating costs'!$B$39&gt;R337,'Operating costs'!$B$40&gt;R337,'Operating costs'!$B$41&gt;R337,NOT(OR('Replacement plan'!$O$89="Keep ICE",'Replacement plan'!$O$89="New ICE",'Replacement plan'!$O$89="EV"))),"Invalid vehicle input",IF(AND(D337="EV",E337&lt;120,OR(NOT(ISNUMBER(U337)),NOT(ISNUMBER(V337)),V337&lt;=0,T337&lt;0,T337&gt;1,'Replacement plan'!$L$89&lt;=0,'Operating costs'!$B$44&lt;0,'Operating costs'!$B$44&gt;=1,'Operating costs'!$B$47&lt;=0,'Operating costs'!$B$47&gt;1,V337*'Operating costs'!$B$47/(1-'Operating costs'!$B$44)&lt;=T337*'Operating costs'!$B$12*U337,AND('Replacement plan'!$Z$89&gt;0,OR('Replacement plan'!$AB$89&lt;&gt;"Yes",'Operating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charging'!$B$8&gt;=0))),ISNUMBER(VLOOKUP($A337,'Fleet register'!$A$7:$S$106,15,FALSE)),ISNUMBER(VLOOKUP($A337,'Fleet register'!$A$7:$S$106,16,FALSE)),ISNUMBER('Replacement plan'!$W$89),ISNUMBER('Replacement plan'!$X$89),OR(E337=120,AND(ISNUMBER(G337),G337&gt;=0)),ISNUMBER(H337),H337&gt;=0,OR(D337&lt;&gt;"EV",E337=120,AND(ISNUMBER('Operating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average",ISNUMBER(IFERROR(INDEX(Products!$P$7:$P$13,MATCH(AD337,Products!$A$7:$A$13,0)),"")))),ISNUMBER('Operating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plan'!$Y$89),ISNUMBER('Replacement plan'!$Z$89),'Replacement plan'!$Z$89&gt;=0,ISNUMBER('Replacement plan'!$AA$89),'Replacement plan'!$AA$89&gt;=0,'Replacement plan'!$AA$89=INT('Replacement plan'!$AA$89),ISNUMBER('Replacement plan'!$L$89))),'Operating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plan'!$AG$89="",'Operating costs'!$B$7,'Replacement plan'!$AG$89)),IF('Replacement plan'!$AG$89="",'Operating costs'!$B$7,'Replacement plan'!$AG$89)&gt;=0,ISNUMBER(IF('Replacement plan'!$AH$89="",'Operating costs'!$B$7,'Replacement plan'!$AH$89)),IF('Replacement plan'!$AH$89="",'Operating costs'!$B$7,'Replacement plan'!$AH$89)&gt;=0,'Operating costs'!$B$8&gt;MAX(IF('Replacement plan'!$AG$89="",'Operating costs'!$B$7,'Replacement plan'!$AG$89),IF('Replacement plan'!$AH$89="",'Operating costs'!$B$7,'Replacement plan'!$AH$89))*'Operating costs'!$B$9),IF(AND(VLOOKUP($A337,'Fleet register'!$A$7:$S$106,10,FALSE)&gt;=0,VLOOKUP($A337,'Fleet register'!$A$7:$S$106,10,FALSE)&lt;=120,VLOOKUP($A337,'Fleet register'!$A$7:$S$106,10,FALSE)=INT(VLOOKUP($A337,'Fleet register'!$A$7:$S$106,10,FALSE)),VLOOKUP($A337,'Fleet register'!$A$7:$S$106,15,FALSE)&gt;=0,VLOOKUP($A337,'Fleet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costs'!$B$67)&gt;=0,OR(D337&lt;&gt;"EV",E337=120,AND(MIN('Operating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37" s="1" t="str">
        <f>IF(C337=0,"Excluded",IF(P337&lt;&gt;"Complete",P337,IF(OR('Replacement plan'!$AD$89&lt;120-E337,AND(D337="EV",E337&lt;120,OR('Replacement plan'!$AC$89&lt;120-E337,'Replacement plan'!$I$89="No",AND(ISNUMBER(AF337),AE337&gt;AF337),AI337&gt;V337*(1-'Operating costs'!$B$46)^MAX(0,AB337-1)*(1-'Operating costs'!$B$45),AC337&gt;'Operating costs'!$B$18,AND(T337&lt;1,OR(AG337&lt;=0,AND(ISNUMBER(AH337),AG337&gt;AH337))),'Replacement plan'!$L$89&gt;INDEX(Products!$H$7:$H$13,MATCH('Replacement plan'!$B$89,Products!$A$7:$A$13,0))))),"Fails entered limits",IF(AND(D337="EV",E337&lt;120,OR(NOT(ISNUMBER(VLOOKUP($A337,'Fleet register'!$A$7:$S$106,7,FALSE))),NOT(ISNUMBER(VLOOKUP($A337,'Fleet register'!$A$7:$S$106,8,FALSE))),NOT(ISNUMBER(AF337)),'Replacement plan'!$I$89&lt;&gt;"Yes",NOT(ISNUMBER(AH337)),'Operating costs'!$B$59&lt;&gt;"Yes",'Operating costs'!$B$58&lt;&gt;"Yes")),"Unverified","Within entered limits"))))</f>
        <v>Excluded</v>
      </c>
      <c r="R337" s="1">
        <f>IF(C337=0,0,VLOOKUP($A337,'Fleet register'!$A$7:$S$106,6,FALSE))</f>
        <v>0</v>
      </c>
      <c r="S337" s="1">
        <f>IF(C337=0,0,VLOOKUP($A337,'Fleet register'!$A$7:$S$106,5,FALSE))</f>
        <v>0</v>
      </c>
      <c r="T337" s="1">
        <f>IF(D337="EV",'Energy and charging'!$B$12,0)</f>
        <v>0</v>
      </c>
      <c r="U337" s="1">
        <f>IFERROR(IF(C337=0,0,IF(D337="EV",IF('Replacement plan'!$F$89="",INDEX(Products!$E$7:$E$13,MATCH('Replacement plan'!$B$89,Products!$A$7:$A$13,0)),'Replacement plan'!$F$89)/IF('Replacement plan'!$G$89="Battery",1-'Operating costs'!$B$44,1),0)),"n.a.")</f>
        <v>0</v>
      </c>
      <c r="V337" s="1">
        <f>IFERROR(IF(C337=0,0,IF(D337="EV",IF('Replacement plan'!$E$89="",INDEX(Products!$D$7:$D$13,MATCH('Replacement plan'!$B$89,Products!$A$7:$A$13,0)),'Replacement plan'!$E$89),0)),"n.a.")</f>
        <v>0</v>
      </c>
      <c r="W337" s="1">
        <f>IF(C337=0,0,IF(AND(P337="Complete",D337="EV",E337&lt;120),IF(T337=0,0,ROUNDUP(T337*(R337-'Operating costs'!$B$41)*(S337*U337+'Operating costs'!$B$48/(1-'Operating costs'!$B$44))/(V337*'Operating costs'!$B$47/(1-'Operating costs'!$B$44)-T337*'Operating costs'!$B$12*U337),0)),0))</f>
        <v>0</v>
      </c>
      <c r="X337" s="1">
        <f>IF(C337=0,0,IF(AND(P337="Complete",D337="EV",E337&lt;120),(R337-'Operating costs'!$B$41)*(S337*U337+'Operating costs'!$B$48/(1-'Operating costs'!$B$44))+W337*'Operating costs'!$B$12*U337,0))</f>
        <v>0</v>
      </c>
      <c r="Y337" s="1">
        <f>IF(AND(C337=1,D337="EV",E337&lt;120),AI337/(1-'Operating costs'!$B$44)*(1-T337),0)</f>
        <v>0</v>
      </c>
      <c r="Z337" s="1">
        <f t="shared" si="10"/>
        <v>0</v>
      </c>
      <c r="AA337" s="1">
        <f>IF(C337=0,0,IF(P337="Complete",((S337*(R337-'Operating costs'!$B$40))+ROUNDUP(S337*(R337-'Operating costs'!$B$40)*IF('Replacement plan'!$AH$89="",'Operating costs'!$B$7,'Replacement plan'!$AH$89)/('Operating costs'!$B$8-'Operating costs'!$B$9*IF('Replacement plan'!$AH$89="",'Operating costs'!$B$7,'Replacement plan'!$AH$89)),0)*'Operating costs'!$B$9)*IF('Replacement plan'!$AH$89="",'Operating costs'!$B$7,'Replacement plan'!$AH$89),"n.a."))</f>
        <v>0</v>
      </c>
      <c r="AB337" s="1">
        <f t="shared" si="11"/>
        <v>0</v>
      </c>
      <c r="AC337" s="1">
        <f>IF(AND(C337=1,D337="EV",E337&lt;120,T337&gt;0),'Operating costs'!$B$12/'Operating costs'!$B$11*60+'Operating costs'!$B$13+'Operating costs'!$B$14+V337*'Operating costs'!$B$47/(1-'Operating costs'!$B$44)/'Replacement plan'!$L$89*60,0)</f>
        <v>0</v>
      </c>
      <c r="AD337" s="1" t="str">
        <f>'Replacement plan'!$B$89</f>
        <v>ChengLong L2EV</v>
      </c>
      <c r="AE337" s="1">
        <f>IF(C337=0,0,VLOOKUP($A337,'Fleet register'!$A$7:$S$106,8,FALSE))</f>
        <v>0</v>
      </c>
      <c r="AF337" s="1" t="str">
        <f>IF('Replacement plan'!$H$89="","n.a.",'Replacement plan'!$H$89)</f>
        <v>n.a.</v>
      </c>
      <c r="AG337" s="1">
        <f>'Replacement plan'!$J$89</f>
        <v>22</v>
      </c>
      <c r="AH337" s="1">
        <f>IFERROR(IF(D337="EV",IF('Replacement plan'!$K$89="AC",IF(ISNUMBER(INDEX(Products!$G$7:$G$13,MATCH('Replacement plan'!$B$89,Products!$A$7:$A$13,0))),INDEX(Products!$G$7:$G$13,MATCH('Replacement plan'!$B$89,Products!$A$7:$A$13,0)),"n.a."),IF(ISNUMBER(INDEX(Products!$H$7:$H$13,MATCH('Replacement plan'!$B$89,Products!$A$7:$A$13,0))),INDEX(Products!$H$7:$H$13,MATCH('Replacement plan'!$B$89,Products!$A$7:$A$13,0)),"n.a.")),0),"n.a.")</f>
        <v>0</v>
      </c>
      <c r="AI337" s="1">
        <f>IF(AND(C337=1,D337="EV",E337&lt;120),(VLOOKUP($A337,'Fleet register'!$A$7:$S$106,7,FALSE)+IF(T337&gt;0,'Operating costs'!$B$12,0))*U337*(1-'Operating costs'!$B$44)+'Operating costs'!$B$49,0)</f>
        <v>0</v>
      </c>
      <c r="AJ337" s="1">
        <f>IF(D337="EV",'Energy and charging'!$B$50,0)</f>
        <v>0</v>
      </c>
      <c r="AK337" s="17">
        <f>EDATE('Operating costs'!$B$63,E337)</f>
        <v>46298</v>
      </c>
      <c r="AL337" s="1">
        <f>IFERROR(IF(D337="EV",INDEX(Products!$B$7:$B$13,MATCH('Replacement plan'!$B$89,Products!$A$7:$A$13,0)),0),"n.a.")</f>
        <v>0</v>
      </c>
      <c r="AM337" s="1" t="str">
        <f>'Replacement plan'!$K$89</f>
        <v>DC</v>
      </c>
      <c r="AN337" s="1" t="str">
        <f>'Replacement plan'!$AE$89</f>
        <v>Assumed</v>
      </c>
      <c r="AO337" s="47">
        <f>IF(AND(C337=1,D337="EV",E337&lt;120),(R337-'Operating costs'!$B$41)*S337+W337*'Operating costs'!$B$12,0)</f>
        <v>0</v>
      </c>
      <c r="AP337" s="41">
        <f>IF(AND(C337=1,D337="EV",E337&lt;120),IF('Operating costs'!$B$68="Hong Seh 200k average",AO337*IFERROR(INDEX(Products!$P$7:$P$13,MATCH(AD337,Products!$A$7:$A$13,0)),"n.a."),'Operating costs'!$B$26),0)</f>
        <v>0</v>
      </c>
      <c r="AQ337" s="40" t="str">
        <f>IF(D337="EV",'Operating costs'!$B$68,"Not applicable")</f>
        <v>Not applicable</v>
      </c>
    </row>
    <row r="338" spans="1:43" ht="24" customHeight="1">
      <c r="A338" s="1" t="str">
        <f>'Replacement plan'!A89</f>
        <v>T083</v>
      </c>
      <c r="B338" s="1">
        <v>3</v>
      </c>
      <c r="C338" s="1">
        <f>IF(COUNTIFS('Fleet register'!$A$7:$A$106,$A338)=1,VLOOKUP($A338,'Fleet register'!$A$7:$S$106,2,FALSE),0)</f>
        <v>0</v>
      </c>
      <c r="D338" s="1" t="str">
        <f>IF('Replacement plan'!$R$89="EV","EV","ICE")</f>
        <v>ICE</v>
      </c>
      <c r="E338" s="1">
        <f>IF(C338=0,0,IF('Replacement plan'!$S$89="",IF('Replacement plan'!$R$89="Keep ICE",IF('Replacement plan'!$M$89="",VLOOKUP($A338,'Fleet register'!$A$7:$S$106,10,FALSE),'Replacement plan'!$M$89),0),'Replacement plan'!$S$89))</f>
        <v>0</v>
      </c>
      <c r="F338" s="16">
        <f>IF(C338=0,0,VLOOKUP($A338,'Fleet register'!$A$7:$S$106,11,FALSE))</f>
        <v>0</v>
      </c>
      <c r="G338" s="16">
        <f>IFERROR(IF(C338=0,0,IF(E338=120,0,IF(D338="ICE",'Replacement plan'!$C$89,IF('Replacement plan'!$D$89="",INDEX(Products!$I$7:$I$13,MATCH('Replacement plan'!$B$89,Products!$A$7:$A$13,0))+'Operating costs'!$B$57,'Replacement plan'!$D$89))*(1+'Operating costs'!$B$50)^(E338/12))),"n.a.")</f>
        <v>0</v>
      </c>
      <c r="H338" s="16">
        <f>IFERROR(IF(C338=0,0,IF('Replacement plan'!$V$89&lt;&gt;"",'Replacement plan'!$V$89,IF(E338=0,F338,VLOOKUP($A338,'Fleet register'!$A$7:$S$106,12,FALSE)+VLOOKUP($A338,'Fleet register'!$A$7:$S$106,13,FALSE)*MAX(0,VLOOKUP($A338,'Fleet register'!$A$7:$S$106,10,FALSE)-E338)/VLOOKUP($A338,'Fleet register'!$A$7:$S$106,14,FALSE)))),"n.a.")</f>
        <v>0</v>
      </c>
      <c r="I338" s="16">
        <f>IF(C338=0,0,IF(E338=120,0,'Replacement plan'!$T$89))</f>
        <v>0</v>
      </c>
      <c r="J338" s="16">
        <f>IF(C338=0,0,IF(P338="Complete",((S338*(R338-'Operating costs'!$B$39))+ROUNDUP(S338*(R338-'Operating costs'!$B$39)*IF('Replacement plan'!$AG$89="",'Operating costs'!$B$7,'Replacement plan'!$AG$89)/('Operating costs'!$B$8-'Operating costs'!$B$9*IF('Replacement plan'!$AG$89="",'Operating costs'!$B$7,'Replacement plan'!$AG$89)),0)*'Operating costs'!$B$9)*IF('Replacement plan'!$AG$89="",'Operating costs'!$B$7,'Replacement plan'!$AG$89)*('Energy and charging'!$C$9*'Energy and charging'!$C$7+(1-'Energy and charging'!$C$9)*'Energy and charging'!$C$8)*'Operating costs'!$B$23,"n.a."))</f>
        <v>0</v>
      </c>
      <c r="K338" s="16">
        <f>IF(C338=0,0,IF(P338="Complete",SUM('Operating costs'!$B$24,'Operating costs'!$B$27,'Operating costs'!$B$29,'Operating costs'!$B$31,'Operating costs'!$B$33,'Operating costs'!$B$34,'Operating costs'!$B$37,'Replacement plan'!$W$89)+'Operating costs'!$B$39*'Operating costs'!$B$42+ROUNDUP(S338*(R338-'Operating costs'!$B$39)*IF('Replacement plan'!$AG$89="",'Operating costs'!$B$7,'Replacement plan'!$AG$89)/('Operating costs'!$B$8-'Operating costs'!$B$9*IF('Replacement plan'!$AG$89="",'Operating costs'!$B$7,'Replacement plan'!$AG$89)),0)*('Operating costs'!$B$9/'Operating costs'!$B$11+'Operating costs'!$B$10/60)*'Operating costs'!$B$19*'Operating costs'!$B$21,"n.a."))</f>
        <v>0</v>
      </c>
      <c r="L338" s="16">
        <f>IF(C338=0,0,IF(P338="Complete",IF(D338="EV",X338*((1-T338)*'Energy and charging'!$C$10+T338*'Energy and charging'!$C$11)*'Operating costs'!$B$22,AA338*('Energy and charging'!$C$9*'Energy and charging'!$C$7+(1-'Energy and charging'!$C$9)*'Energy and charging'!$C$8)*'Operating costs'!$B$23),"n.a."))</f>
        <v>0</v>
      </c>
      <c r="M338" s="37">
        <f>IF(C338=0,0,IF(P338="Complete",IF(D338="ICE",SUM('Operating costs'!$B$25,'Operating costs'!$B$27,'Operating costs'!$B$29,'Operating costs'!$B$31,'Operating costs'!$B$33,'Operating costs'!$B$35,'Operating costs'!$B$37,'Replacement plan'!$X$89)+'Operating costs'!$B$40*'Operating costs'!$B$42+ROUNDUP(S338*(R338-'Operating costs'!$B$40)*IF('Replacement plan'!$AH$89="",'Operating costs'!$B$7,'Replacement plan'!$AH$89)/('Operating costs'!$B$8-'Operating costs'!$B$9*IF('Replacement plan'!$AH$89="",'Operating costs'!$B$7,'Replacement plan'!$AH$89)),0)*('Operating costs'!$B$9/'Operating costs'!$B$11+'Operating costs'!$B$10/60)*'Operating costs'!$B$19*'Operating costs'!$B$21,SUM(AP338,'Operating costs'!$B$28,'Operating costs'!$B$30,'Operating costs'!$B$32,'Operating costs'!$B$33,'Operating costs'!$B$36,'Operating costs'!$B$38,'Replacement plan'!$Y$89)+'Operating costs'!$B$41*'Operating costs'!$B$43+W338*'Operating costs'!$B$15+(T338*X338/'Replacement plan'!$L$89+W338*('Operating costs'!$B$12/'Operating costs'!$B$11+('Operating costs'!$B$13+'Operating costs'!$B$14)/60)+(R338-'Operating costs'!$B$41)*(IF(T338&lt;1,'Operating costs'!$B$16,0)+'Operating costs'!$B$17)/60)*'Operating costs'!$B$19*'Operating costs'!$B$20),"n.a."))</f>
        <v>0</v>
      </c>
      <c r="N338" s="16">
        <f>IF(AND(C338=1,D338="EV",E338&lt;120,E338+'Replacement plan'!$AA$89&lt;=120),'Replacement plan'!$Z$89,0)</f>
        <v>0</v>
      </c>
      <c r="O338" s="1">
        <f>E338+'Replacement plan'!$AA$89</f>
        <v>0</v>
      </c>
      <c r="P338" s="35" t="str">
        <f>IFERROR(IF(C338=0,"Excluded",IF(OR(COUNTIFS('Fleet register'!$A$7:$A$106,A338)&lt;&gt;1,COUNTIFS('Replacement plan'!$A$7:$A$106,A338)&lt;&gt;1),"Duplicate/missing ID",IF(NOT(AND(ISNUMBER(VLOOKUP($A338,'Fleet register'!$A$7:$S$106,5,FALSE)),ISNUMBER(VLOOKUP($A338,'Fleet register'!$A$7:$S$106,6,FALSE)),ISNUMBER(VLOOKUP($A338,'Fleet register'!$A$7:$S$106,10,FALSE)),ISNUMBER(VLOOKUP($A338,'Fleet register'!$A$7:$S$106,11,FALSE)),ISNUMBER(VLOOKUP($A338,'Fleet register'!$A$7:$S$106,12,FALSE)),ISNUMBER(VLOOKUP($A338,'Fleet register'!$A$7:$S$106,13,FALSE)),ISNUMBER(VLOOKUP($A338,'Fleet register'!$A$7:$S$106,14,FALSE)),VLOOKUP($A338,'Fleet register'!$A$7:$S$106,14,FALSE)&gt;0,ISNUMBER('Replacement plan'!$C$89),OR(E338=120,ISNUMBER('Replacement plan'!$T$89)),ISNUMBER(E338))),"Missing vehicle input",IF(OR(E338&lt;0,E338&gt;VLOOKUP($A338,'Fleet register'!$A$7:$S$106,10,FALSE),E338&gt;120,E338&lt;&gt;INT(E338),VLOOKUP($A338,'Fleet register'!$A$7:$S$106,6,FALSE)&lt;=0,VLOOKUP($A338,'Fleet register'!$A$7:$S$106,6,FALSE)&gt;366,VLOOKUP($A338,'Fleet register'!$A$7:$S$106,5,FALSE)&lt;0,VLOOKUP($A338,'Fleet register'!$A$7:$S$106,11,FALSE)&lt;0,I338&lt;0,'Operating costs'!$B$8&lt;='Operating costs'!$B$7*'Operating costs'!$B$9,'Operating costs'!$B$11&lt;=0,'Operating costs'!$B$39&gt;R338,'Operating costs'!$B$40&gt;R338,'Operating costs'!$B$41&gt;R338,NOT(OR('Replacement plan'!$R$89="Keep ICE",'Replacement plan'!$R$89="New ICE",'Replacement plan'!$R$89="EV"))),"Invalid vehicle input",IF(AND(D338="EV",E338&lt;120,OR(NOT(ISNUMBER(U338)),NOT(ISNUMBER(V338)),V338&lt;=0,T338&lt;0,T338&gt;1,'Replacement plan'!$L$89&lt;=0,'Operating costs'!$B$44&lt;0,'Operating costs'!$B$44&gt;=1,'Operating costs'!$B$47&lt;=0,'Operating costs'!$B$47&gt;1,V338*'Operating costs'!$B$47/(1-'Operating costs'!$B$44)&lt;=T338*'Operating costs'!$B$12*U338,AND('Replacement plan'!$Z$89&gt;0,OR('Replacement plan'!$AB$89&lt;&gt;"Yes",'Operating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charging'!$C$8&gt;=0))),ISNUMBER(VLOOKUP($A338,'Fleet register'!$A$7:$S$106,15,FALSE)),ISNUMBER(VLOOKUP($A338,'Fleet register'!$A$7:$S$106,16,FALSE)),ISNUMBER('Replacement plan'!$W$89),ISNUMBER('Replacement plan'!$X$89),OR(E338=120,AND(ISNUMBER(G338),G338&gt;=0)),ISNUMBER(H338),H338&gt;=0,OR(D338&lt;&gt;"EV",E338=120,AND(ISNUMBER('Operating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average",ISNUMBER(IFERROR(INDEX(Products!$P$7:$P$13,MATCH(AD338,Products!$A$7:$A$13,0)),"")))),ISNUMBER('Operating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plan'!$Y$89),ISNUMBER('Replacement plan'!$Z$89),'Replacement plan'!$Z$89&gt;=0,ISNUMBER('Replacement plan'!$AA$89),'Replacement plan'!$AA$89&gt;=0,'Replacement plan'!$AA$89=INT('Replacement plan'!$AA$89),ISNUMBER('Replacement plan'!$L$89))),'Operating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plan'!$AG$89="",'Operating costs'!$B$7,'Replacement plan'!$AG$89)),IF('Replacement plan'!$AG$89="",'Operating costs'!$B$7,'Replacement plan'!$AG$89)&gt;=0,ISNUMBER(IF('Replacement plan'!$AH$89="",'Operating costs'!$B$7,'Replacement plan'!$AH$89)),IF('Replacement plan'!$AH$89="",'Operating costs'!$B$7,'Replacement plan'!$AH$89)&gt;=0,'Operating costs'!$B$8&gt;MAX(IF('Replacement plan'!$AG$89="",'Operating costs'!$B$7,'Replacement plan'!$AG$89),IF('Replacement plan'!$AH$89="",'Operating costs'!$B$7,'Replacement plan'!$AH$89))*'Operating costs'!$B$9),IF(AND(VLOOKUP($A338,'Fleet register'!$A$7:$S$106,10,FALSE)&gt;=0,VLOOKUP($A338,'Fleet register'!$A$7:$S$106,10,FALSE)&lt;=120,VLOOKUP($A338,'Fleet register'!$A$7:$S$106,10,FALSE)=INT(VLOOKUP($A338,'Fleet register'!$A$7:$S$106,10,FALSE)),VLOOKUP($A338,'Fleet register'!$A$7:$S$106,15,FALSE)&gt;=0,VLOOKUP($A338,'Fleet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costs'!$B$67)&gt;=0,OR(D338&lt;&gt;"EV",E338=120,AND(MIN('Operating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38" s="1" t="str">
        <f>IF(C338=0,"Excluded",IF(P338&lt;&gt;"Complete",P338,IF(OR('Replacement plan'!$AD$89&lt;120-E338,AND(D338="EV",E338&lt;120,OR('Replacement plan'!$AC$89&lt;120-E338,'Replacement plan'!$I$89="No",AND(ISNUMBER(AF338),AE338&gt;AF338),AI338&gt;V338*(1-'Operating costs'!$B$46)^MAX(0,AB338-1)*(1-'Operating costs'!$B$45),AC338&gt;'Operating costs'!$B$18,AND(T338&lt;1,OR(AG338&lt;=0,AND(ISNUMBER(AH338),AG338&gt;AH338))),'Replacement plan'!$L$89&gt;INDEX(Products!$H$7:$H$13,MATCH('Replacement plan'!$B$89,Products!$A$7:$A$13,0))))),"Fails entered limits",IF(AND(D338="EV",E338&lt;120,OR(NOT(ISNUMBER(VLOOKUP($A338,'Fleet register'!$A$7:$S$106,7,FALSE))),NOT(ISNUMBER(VLOOKUP($A338,'Fleet register'!$A$7:$S$106,8,FALSE))),NOT(ISNUMBER(AF338)),'Replacement plan'!$I$89&lt;&gt;"Yes",NOT(ISNUMBER(AH338)),'Operating costs'!$B$59&lt;&gt;"Yes",'Operating costs'!$B$58&lt;&gt;"Yes")),"Unverified","Within entered limits"))))</f>
        <v>Excluded</v>
      </c>
      <c r="R338" s="1">
        <f>IF(C338=0,0,VLOOKUP($A338,'Fleet register'!$A$7:$S$106,6,FALSE))</f>
        <v>0</v>
      </c>
      <c r="S338" s="1">
        <f>IF(C338=0,0,VLOOKUP($A338,'Fleet register'!$A$7:$S$106,5,FALSE))</f>
        <v>0</v>
      </c>
      <c r="T338" s="1">
        <f>IF(D338="EV",'Energy and charging'!$C$12,0)</f>
        <v>0</v>
      </c>
      <c r="U338" s="1">
        <f>IFERROR(IF(C338=0,0,IF(D338="EV",IF('Replacement plan'!$F$89="",INDEX(Products!$E$7:$E$13,MATCH('Replacement plan'!$B$89,Products!$A$7:$A$13,0)),'Replacement plan'!$F$89)/IF('Replacement plan'!$G$89="Battery",1-'Operating costs'!$B$44,1),0)),"n.a.")</f>
        <v>0</v>
      </c>
      <c r="V338" s="1">
        <f>IFERROR(IF(C338=0,0,IF(D338="EV",IF('Replacement plan'!$E$89="",INDEX(Products!$D$7:$D$13,MATCH('Replacement plan'!$B$89,Products!$A$7:$A$13,0)),'Replacement plan'!$E$89),0)),"n.a.")</f>
        <v>0</v>
      </c>
      <c r="W338" s="1">
        <f>IF(C338=0,0,IF(AND(P338="Complete",D338="EV",E338&lt;120),IF(T338=0,0,ROUNDUP(T338*(R338-'Operating costs'!$B$41)*(S338*U338+'Operating costs'!$B$48/(1-'Operating costs'!$B$44))/(V338*'Operating costs'!$B$47/(1-'Operating costs'!$B$44)-T338*'Operating costs'!$B$12*U338),0)),0))</f>
        <v>0</v>
      </c>
      <c r="X338" s="1">
        <f>IF(C338=0,0,IF(AND(P338="Complete",D338="EV",E338&lt;120),(R338-'Operating costs'!$B$41)*(S338*U338+'Operating costs'!$B$48/(1-'Operating costs'!$B$44))+W338*'Operating costs'!$B$12*U338,0))</f>
        <v>0</v>
      </c>
      <c r="Y338" s="1">
        <f>IF(AND(C338=1,D338="EV",E338&lt;120),AI338/(1-'Operating costs'!$B$44)*(1-T338),0)</f>
        <v>0</v>
      </c>
      <c r="Z338" s="1">
        <f t="shared" si="10"/>
        <v>0</v>
      </c>
      <c r="AA338" s="1">
        <f>IF(C338=0,0,IF(P338="Complete",((S338*(R338-'Operating costs'!$B$40))+ROUNDUP(S338*(R338-'Operating costs'!$B$40)*IF('Replacement plan'!$AH$89="",'Operating costs'!$B$7,'Replacement plan'!$AH$89)/('Operating costs'!$B$8-'Operating costs'!$B$9*IF('Replacement plan'!$AH$89="",'Operating costs'!$B$7,'Replacement plan'!$AH$89)),0)*'Operating costs'!$B$9)*IF('Replacement plan'!$AH$89="",'Operating costs'!$B$7,'Replacement plan'!$AH$89),"n.a."))</f>
        <v>0</v>
      </c>
      <c r="AB338" s="1">
        <f t="shared" si="11"/>
        <v>0</v>
      </c>
      <c r="AC338" s="1">
        <f>IF(AND(C338=1,D338="EV",E338&lt;120,T338&gt;0),'Operating costs'!$B$12/'Operating costs'!$B$11*60+'Operating costs'!$B$13+'Operating costs'!$B$14+V338*'Operating costs'!$B$47/(1-'Operating costs'!$B$44)/'Replacement plan'!$L$89*60,0)</f>
        <v>0</v>
      </c>
      <c r="AD338" s="1" t="str">
        <f>'Replacement plan'!$B$89</f>
        <v>ChengLong L2EV</v>
      </c>
      <c r="AE338" s="1">
        <f>IF(C338=0,0,VLOOKUP($A338,'Fleet register'!$A$7:$S$106,8,FALSE))</f>
        <v>0</v>
      </c>
      <c r="AF338" s="1" t="str">
        <f>IF('Replacement plan'!$H$89="","n.a.",'Replacement plan'!$H$89)</f>
        <v>n.a.</v>
      </c>
      <c r="AG338" s="1">
        <f>'Replacement plan'!$J$89</f>
        <v>22</v>
      </c>
      <c r="AH338" s="1">
        <f>IFERROR(IF(D338="EV",IF('Replacement plan'!$K$89="AC",IF(ISNUMBER(INDEX(Products!$G$7:$G$13,MATCH('Replacement plan'!$B$89,Products!$A$7:$A$13,0))),INDEX(Products!$G$7:$G$13,MATCH('Replacement plan'!$B$89,Products!$A$7:$A$13,0)),"n.a."),IF(ISNUMBER(INDEX(Products!$H$7:$H$13,MATCH('Replacement plan'!$B$89,Products!$A$7:$A$13,0))),INDEX(Products!$H$7:$H$13,MATCH('Replacement plan'!$B$89,Products!$A$7:$A$13,0)),"n.a.")),0),"n.a.")</f>
        <v>0</v>
      </c>
      <c r="AI338" s="1">
        <f>IF(AND(C338=1,D338="EV",E338&lt;120),(VLOOKUP($A338,'Fleet register'!$A$7:$S$106,7,FALSE)+IF(T338&gt;0,'Operating costs'!$B$12,0))*U338*(1-'Operating costs'!$B$44)+'Operating costs'!$B$49,0)</f>
        <v>0</v>
      </c>
      <c r="AJ338" s="1">
        <f>IF(D338="EV",'Energy and charging'!$C$50,0)</f>
        <v>0</v>
      </c>
      <c r="AK338" s="17">
        <f>EDATE('Operating costs'!$B$63,E338)</f>
        <v>46298</v>
      </c>
      <c r="AL338" s="1">
        <f>IFERROR(IF(D338="EV",INDEX(Products!$B$7:$B$13,MATCH('Replacement plan'!$B$89,Products!$A$7:$A$13,0)),0),"n.a.")</f>
        <v>0</v>
      </c>
      <c r="AM338" s="1" t="str">
        <f>'Replacement plan'!$K$89</f>
        <v>DC</v>
      </c>
      <c r="AN338" s="1" t="str">
        <f>'Replacement plan'!$AE$89</f>
        <v>Assumed</v>
      </c>
      <c r="AO338" s="47">
        <f>IF(AND(C338=1,D338="EV",E338&lt;120),(R338-'Operating costs'!$B$41)*S338+W338*'Operating costs'!$B$12,0)</f>
        <v>0</v>
      </c>
      <c r="AP338" s="41">
        <f>IF(AND(C338=1,D338="EV",E338&lt;120),IF('Operating costs'!$B$68="Hong Seh 200k average",AO338*IFERROR(INDEX(Products!$P$7:$P$13,MATCH(AD338,Products!$A$7:$A$13,0)),"n.a."),'Operating costs'!$B$26),0)</f>
        <v>0</v>
      </c>
      <c r="AQ338" s="40" t="str">
        <f>IF(D338="EV",'Operating costs'!$B$68,"Not applicable")</f>
        <v>Not applicable</v>
      </c>
    </row>
    <row r="339" spans="1:43" ht="24" customHeight="1">
      <c r="A339" s="1" t="str">
        <f>'Replacement plan'!A90</f>
        <v>T084</v>
      </c>
      <c r="B339" s="1">
        <v>0</v>
      </c>
      <c r="C339" s="1">
        <f>IF(COUNTIFS('Fleet register'!$A$7:$A$106,$A339)=1,VLOOKUP($A339,'Fleet register'!$A$7:$S$106,2,FALSE),0)</f>
        <v>0</v>
      </c>
      <c r="D339" s="1" t="str">
        <f>IF("Keep ICE"="EV","EV","ICE")</f>
        <v>ICE</v>
      </c>
      <c r="E339" s="1">
        <f>IF(C339=0,0,IF('Replacement plan'!$M$90="",VLOOKUP($A339,'Fleet register'!$A$7:$S$106,10,FALSE),'Replacement plan'!$M$90))</f>
        <v>0</v>
      </c>
      <c r="F339" s="16">
        <f>IF(C339=0,0,VLOOKUP($A339,'Fleet register'!$A$7:$S$106,11,FALSE))</f>
        <v>0</v>
      </c>
      <c r="G339" s="16">
        <f>IFERROR(IF(C339=0,0,IF(E339=120,0,IF(D339="ICE",'Replacement plan'!$C$90,IF('Replacement plan'!$D$90="",INDEX(Products!$I$7:$I$13,MATCH('Replacement plan'!$B$90,Products!$A$7:$A$13,0))+'Operating costs'!$B$57,'Replacement plan'!$D$90))*(1+'Operating costs'!$B$50)^(E339/12))),"n.a.")</f>
        <v>0</v>
      </c>
      <c r="H339" s="16">
        <f>IFERROR(IF(C339=0,0,IF(E339=0,F339,VLOOKUP($A339,'Fleet register'!$A$7:$S$106,12,FALSE)+VLOOKUP($A339,'Fleet register'!$A$7:$S$106,13,FALSE)*MAX(0,VLOOKUP($A339,'Fleet register'!$A$7:$S$106,10,FALSE)-E339)/VLOOKUP($A339,'Fleet register'!$A$7:$S$106,14,FALSE))),"n.a.")</f>
        <v>0</v>
      </c>
      <c r="I339" s="16">
        <f>IF(C339=0,0,IF(E339=120,0,'Replacement plan'!$N$90))</f>
        <v>0</v>
      </c>
      <c r="J339" s="16">
        <f>IF(C339=0,0,IF(P339="Complete",((S339*(R339-'Operating costs'!$B$39))+ROUNDUP(S339*(R339-'Operating costs'!$B$39)*IF('Replacement plan'!$AG$90="",'Operating costs'!$B$7,'Replacement plan'!$AG$90)/('Operating costs'!$B$8-'Operating costs'!$B$9*IF('Replacement plan'!$AG$90="",'Operating costs'!$B$7,'Replacement plan'!$AG$90)),0)*'Operating costs'!$B$9)*IF('Replacement plan'!$AG$90="",'Operating costs'!$B$7,'Replacement plan'!$AG$90)*('Energy and charging'!$B$9*'Energy and charging'!$B$7+(1-'Energy and charging'!$B$9)*'Energy and charging'!$B$8)*'Operating costs'!$B$23,"n.a."))</f>
        <v>0</v>
      </c>
      <c r="K339" s="16">
        <f>IF(C339=0,0,IF(P339="Complete",SUM('Operating costs'!$B$24,'Operating costs'!$B$27,'Operating costs'!$B$29,'Operating costs'!$B$31,'Operating costs'!$B$33,'Operating costs'!$B$34,'Operating costs'!$B$37,'Replacement plan'!$W$90)+'Operating costs'!$B$39*'Operating costs'!$B$42+ROUNDUP(S339*(R339-'Operating costs'!$B$39)*IF('Replacement plan'!$AG$90="",'Operating costs'!$B$7,'Replacement plan'!$AG$90)/('Operating costs'!$B$8-'Operating costs'!$B$9*IF('Replacement plan'!$AG$90="",'Operating costs'!$B$7,'Replacement plan'!$AG$90)),0)*('Operating costs'!$B$9/'Operating costs'!$B$11+'Operating costs'!$B$10/60)*'Operating costs'!$B$19*'Operating costs'!$B$21,"n.a."))</f>
        <v>0</v>
      </c>
      <c r="L339" s="16">
        <f>IF(C339=0,0,IF(P339="Complete",IF(D339="EV",X339*((1-T339)*'Energy and charging'!$B$10+T339*'Energy and charging'!$B$11)*'Operating costs'!$B$22,AA339*('Energy and charging'!$B$9*'Energy and charging'!$B$7+(1-'Energy and charging'!$B$9)*'Energy and charging'!$B$8)*'Operating costs'!$B$23),"n.a."))</f>
        <v>0</v>
      </c>
      <c r="M339" s="37">
        <f>IF(C339=0,0,IF(P339="Complete",IF(D339="ICE",SUM('Operating costs'!$B$25,'Operating costs'!$B$27,'Operating costs'!$B$29,'Operating costs'!$B$31,'Operating costs'!$B$33,'Operating costs'!$B$35,'Operating costs'!$B$37,'Replacement plan'!$X$90)+'Operating costs'!$B$40*'Operating costs'!$B$42+ROUNDUP(S339*(R339-'Operating costs'!$B$40)*IF('Replacement plan'!$AH$90="",'Operating costs'!$B$7,'Replacement plan'!$AH$90)/('Operating costs'!$B$8-'Operating costs'!$B$9*IF('Replacement plan'!$AH$90="",'Operating costs'!$B$7,'Replacement plan'!$AH$90)),0)*('Operating costs'!$B$9/'Operating costs'!$B$11+'Operating costs'!$B$10/60)*'Operating costs'!$B$19*'Operating costs'!$B$21,SUM(AP339,'Operating costs'!$B$28,'Operating costs'!$B$30,'Operating costs'!$B$32,'Operating costs'!$B$33,'Operating costs'!$B$36,'Operating costs'!$B$38,'Replacement plan'!$Y$90)+'Operating costs'!$B$41*'Operating costs'!$B$43+W339*'Operating costs'!$B$15+(T339*X339/'Replacement plan'!$L$90+W339*('Operating costs'!$B$12/'Operating costs'!$B$11+('Operating costs'!$B$13+'Operating costs'!$B$14)/60)+(R339-'Operating costs'!$B$41)*(IF(T339&lt;1,'Operating costs'!$B$16,0)+'Operating costs'!$B$17)/60)*'Operating costs'!$B$19*'Operating costs'!$B$20),"n.a."))</f>
        <v>0</v>
      </c>
      <c r="N339" s="16">
        <f>IF(AND(C339=1,D339="EV",E339&lt;120,E339+'Replacement plan'!$AA$90&lt;=120),'Replacement plan'!$Z$90,0)</f>
        <v>0</v>
      </c>
      <c r="O339" s="1">
        <f>E339+'Replacement plan'!$AA$90</f>
        <v>0</v>
      </c>
      <c r="P339" s="35" t="str">
        <f>IFERROR(IF(C339=0,"Excluded",IF(OR(COUNTIFS('Fleet register'!$A$7:$A$106,A339)&lt;&gt;1,COUNTIFS('Replacement plan'!$A$7:$A$106,A339)&lt;&gt;1),"Duplicate/missing ID",IF(NOT(AND(ISNUMBER(VLOOKUP($A339,'Fleet register'!$A$7:$S$106,5,FALSE)),ISNUMBER(VLOOKUP($A339,'Fleet register'!$A$7:$S$106,6,FALSE)),ISNUMBER(VLOOKUP($A339,'Fleet register'!$A$7:$S$106,10,FALSE)),ISNUMBER(VLOOKUP($A339,'Fleet register'!$A$7:$S$106,11,FALSE)),ISNUMBER(VLOOKUP($A339,'Fleet register'!$A$7:$S$106,12,FALSE)),ISNUMBER(VLOOKUP($A339,'Fleet register'!$A$7:$S$106,13,FALSE)),ISNUMBER(VLOOKUP($A339,'Fleet register'!$A$7:$S$106,14,FALSE)),VLOOKUP($A339,'Fleet register'!$A$7:$S$106,14,FALSE)&gt;0,ISNUMBER('Replacement plan'!$C$90),OR(E339=120,ISNUMBER('Replacement plan'!$N$90)),ISNUMBER(E339))),"Missing vehicle input",IF(OR(E339&lt;0,E339&gt;VLOOKUP($A339,'Fleet register'!$A$7:$S$106,10,FALSE),E339&gt;120,E339&lt;&gt;INT(E339),VLOOKUP($A339,'Fleet register'!$A$7:$S$106,6,FALSE)&lt;=0,VLOOKUP($A339,'Fleet register'!$A$7:$S$106,6,FALSE)&gt;366,VLOOKUP($A339,'Fleet register'!$A$7:$S$106,5,FALSE)&lt;0,VLOOKUP($A339,'Fleet register'!$A$7:$S$106,11,FALSE)&lt;0,I339&lt;0,'Operating costs'!$B$8&lt;='Operating costs'!$B$7*'Operating costs'!$B$9,'Operating costs'!$B$11&lt;=0,'Operating costs'!$B$39&gt;R339,'Operating costs'!$B$40&gt;R339,'Operating costs'!$B$41&gt;R339,NOT(OR("Keep ICE"="Keep ICE","Keep ICE"="New ICE","Keep ICE"="EV"))),"Invalid vehicle input",IF(AND(D339="EV",E339&lt;120,OR(NOT(ISNUMBER(U339)),NOT(ISNUMBER(V339)),V339&lt;=0,T339&lt;0,T339&gt;1,'Replacement plan'!$L$90&lt;=0,'Operating costs'!$B$44&lt;0,'Operating costs'!$B$44&gt;=1,'Operating costs'!$B$47&lt;=0,'Operating costs'!$B$47&gt;1,V339*'Operating costs'!$B$47/(1-'Operating costs'!$B$44)&lt;=T339*'Operating costs'!$B$12*U339,AND('Replacement plan'!$Z$90&gt;0,OR('Replacement plan'!$AB$90&lt;&gt;"Yes",'Operating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charging'!$B$8&gt;=0))),ISNUMBER(VLOOKUP($A339,'Fleet register'!$A$7:$S$106,15,FALSE)),ISNUMBER(VLOOKUP($A339,'Fleet register'!$A$7:$S$106,16,FALSE)),ISNUMBER('Replacement plan'!$W$90),ISNUMBER('Replacement plan'!$X$90),OR(E339=120,AND(ISNUMBER(G339),G339&gt;=0)),ISNUMBER(H339),H339&gt;=0,OR(D339&lt;&gt;"EV",E339=120,AND(ISNUMBER('Operating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average",ISNUMBER(IFERROR(INDEX(Products!$P$7:$P$13,MATCH(AD339,Products!$A$7:$A$13,0)),"")))),ISNUMBER('Operating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plan'!$Y$90),ISNUMBER('Replacement plan'!$Z$90),'Replacement plan'!$Z$90&gt;=0,ISNUMBER('Replacement plan'!$AA$90),'Replacement plan'!$AA$90&gt;=0,'Replacement plan'!$AA$90=INT('Replacement plan'!$AA$90),ISNUMBER('Replacement plan'!$L$90))),'Operating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plan'!$AG$90="",'Operating costs'!$B$7,'Replacement plan'!$AG$90)),IF('Replacement plan'!$AG$90="",'Operating costs'!$B$7,'Replacement plan'!$AG$90)&gt;=0,ISNUMBER(IF('Replacement plan'!$AH$90="",'Operating costs'!$B$7,'Replacement plan'!$AH$90)),IF('Replacement plan'!$AH$90="",'Operating costs'!$B$7,'Replacement plan'!$AH$90)&gt;=0,'Operating costs'!$B$8&gt;MAX(IF('Replacement plan'!$AG$90="",'Operating costs'!$B$7,'Replacement plan'!$AG$90),IF('Replacement plan'!$AH$90="",'Operating costs'!$B$7,'Replacement plan'!$AH$90))*'Operating costs'!$B$9),IF(AND(VLOOKUP($A339,'Fleet register'!$A$7:$S$106,10,FALSE)&gt;=0,VLOOKUP($A339,'Fleet register'!$A$7:$S$106,10,FALSE)&lt;=120,VLOOKUP($A339,'Fleet register'!$A$7:$S$106,10,FALSE)=INT(VLOOKUP($A339,'Fleet register'!$A$7:$S$106,10,FALSE)),VLOOKUP($A339,'Fleet register'!$A$7:$S$106,15,FALSE)&gt;=0,VLOOKUP($A339,'Fleet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costs'!$B$67)&gt;=0,OR(D339&lt;&gt;"EV",E339=120,AND(MIN('Operating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39" s="1" t="str">
        <f>IF(C339=0,"Excluded",IF(P339&lt;&gt;"Complete",P339,IF(OR('Replacement plan'!$AD$90&lt;120-E339,AND(D339="EV",E339&lt;120,OR('Replacement plan'!$AC$90&lt;120-E339,'Replacement plan'!$I$90="No",AND(ISNUMBER(AF339),AE339&gt;AF339),AI339&gt;V339*(1-'Operating costs'!$B$46)^MAX(0,AB339-1)*(1-'Operating costs'!$B$45),AC339&gt;'Operating costs'!$B$18,AND(T339&lt;1,OR(AG339&lt;=0,AND(ISNUMBER(AH339),AG339&gt;AH339))),'Replacement plan'!$L$90&gt;INDEX(Products!$H$7:$H$13,MATCH('Replacement plan'!$B$90,Products!$A$7:$A$13,0))))),"Fails entered limits",IF(AND(D339="EV",E339&lt;120,OR(NOT(ISNUMBER(VLOOKUP($A339,'Fleet register'!$A$7:$S$106,7,FALSE))),NOT(ISNUMBER(VLOOKUP($A339,'Fleet register'!$A$7:$S$106,8,FALSE))),NOT(ISNUMBER(AF339)),'Replacement plan'!$I$90&lt;&gt;"Yes",NOT(ISNUMBER(AH339)),'Operating costs'!$B$59&lt;&gt;"Yes",'Operating costs'!$B$58&lt;&gt;"Yes")),"Unverified","Within entered limits"))))</f>
        <v>Excluded</v>
      </c>
      <c r="R339" s="1">
        <f>IF(C339=0,0,VLOOKUP($A339,'Fleet register'!$A$7:$S$106,6,FALSE))</f>
        <v>0</v>
      </c>
      <c r="S339" s="1">
        <f>IF(C339=0,0,VLOOKUP($A339,'Fleet register'!$A$7:$S$106,5,FALSE))</f>
        <v>0</v>
      </c>
      <c r="T339" s="1">
        <f>IF(D339="EV",'Energy and charging'!$B$12,0)</f>
        <v>0</v>
      </c>
      <c r="U339" s="1">
        <f>IFERROR(IF(C339=0,0,IF(D339="EV",IF('Replacement plan'!$F$90="",INDEX(Products!$E$7:$E$13,MATCH('Replacement plan'!$B$90,Products!$A$7:$A$13,0)),'Replacement plan'!$F$90)/IF('Replacement plan'!$G$90="Battery",1-'Operating costs'!$B$44,1),0)),"n.a.")</f>
        <v>0</v>
      </c>
      <c r="V339" s="1">
        <f>IFERROR(IF(C339=0,0,IF(D339="EV",IF('Replacement plan'!$E$90="",INDEX(Products!$D$7:$D$13,MATCH('Replacement plan'!$B$90,Products!$A$7:$A$13,0)),'Replacement plan'!$E$90),0)),"n.a.")</f>
        <v>0</v>
      </c>
      <c r="W339" s="1">
        <f>IF(C339=0,0,IF(AND(P339="Complete",D339="EV",E339&lt;120),IF(T339=0,0,ROUNDUP(T339*(R339-'Operating costs'!$B$41)*(S339*U339+'Operating costs'!$B$48/(1-'Operating costs'!$B$44))/(V339*'Operating costs'!$B$47/(1-'Operating costs'!$B$44)-T339*'Operating costs'!$B$12*U339),0)),0))</f>
        <v>0</v>
      </c>
      <c r="X339" s="1">
        <f>IF(C339=0,0,IF(AND(P339="Complete",D339="EV",E339&lt;120),(R339-'Operating costs'!$B$41)*(S339*U339+'Operating costs'!$B$48/(1-'Operating costs'!$B$44))+W339*'Operating costs'!$B$12*U339,0))</f>
        <v>0</v>
      </c>
      <c r="Y339" s="1">
        <f>IF(AND(C339=1,D339="EV",E339&lt;120),AI339/(1-'Operating costs'!$B$44)*(1-T339),0)</f>
        <v>0</v>
      </c>
      <c r="Z339" s="1">
        <f t="shared" si="10"/>
        <v>0</v>
      </c>
      <c r="AA339" s="1">
        <f>IF(C339=0,0,IF(P339="Complete",((S339*(R339-'Operating costs'!$B$40))+ROUNDUP(S339*(R339-'Operating costs'!$B$40)*IF('Replacement plan'!$AH$90="",'Operating costs'!$B$7,'Replacement plan'!$AH$90)/('Operating costs'!$B$8-'Operating costs'!$B$9*IF('Replacement plan'!$AH$90="",'Operating costs'!$B$7,'Replacement plan'!$AH$90)),0)*'Operating costs'!$B$9)*IF('Replacement plan'!$AH$90="",'Operating costs'!$B$7,'Replacement plan'!$AH$90),"n.a."))</f>
        <v>0</v>
      </c>
      <c r="AB339" s="1">
        <f t="shared" si="11"/>
        <v>0</v>
      </c>
      <c r="AC339" s="1">
        <f>IF(AND(C339=1,D339="EV",E339&lt;120,T339&gt;0),'Operating costs'!$B$12/'Operating costs'!$B$11*60+'Operating costs'!$B$13+'Operating costs'!$B$14+V339*'Operating costs'!$B$47/(1-'Operating costs'!$B$44)/'Replacement plan'!$L$90*60,0)</f>
        <v>0</v>
      </c>
      <c r="AD339" s="1" t="str">
        <f>'Replacement plan'!$B$90</f>
        <v>ChengLong L2EV</v>
      </c>
      <c r="AE339" s="1">
        <f>IF(C339=0,0,VLOOKUP($A339,'Fleet register'!$A$7:$S$106,8,FALSE))</f>
        <v>0</v>
      </c>
      <c r="AF339" s="1" t="str">
        <f>IF('Replacement plan'!$H$90="","n.a.",'Replacement plan'!$H$90)</f>
        <v>n.a.</v>
      </c>
      <c r="AG339" s="1">
        <f>'Replacement plan'!$J$90</f>
        <v>22</v>
      </c>
      <c r="AH339" s="1">
        <f>IFERROR(IF(D339="EV",IF('Replacement plan'!$K$90="AC",IF(ISNUMBER(INDEX(Products!$G$7:$G$13,MATCH('Replacement plan'!$B$90,Products!$A$7:$A$13,0))),INDEX(Products!$G$7:$G$13,MATCH('Replacement plan'!$B$90,Products!$A$7:$A$13,0)),"n.a."),IF(ISNUMBER(INDEX(Products!$H$7:$H$13,MATCH('Replacement plan'!$B$90,Products!$A$7:$A$13,0))),INDEX(Products!$H$7:$H$13,MATCH('Replacement plan'!$B$90,Products!$A$7:$A$13,0)),"n.a.")),0),"n.a.")</f>
        <v>0</v>
      </c>
      <c r="AI339" s="1">
        <f>IF(AND(C339=1,D339="EV",E339&lt;120),(VLOOKUP($A339,'Fleet register'!$A$7:$S$106,7,FALSE)+IF(T339&gt;0,'Operating costs'!$B$12,0))*U339*(1-'Operating costs'!$B$44)+'Operating costs'!$B$49,0)</f>
        <v>0</v>
      </c>
      <c r="AJ339" s="1">
        <f>IF(D339="EV",'Energy and charging'!$B$50,0)</f>
        <v>0</v>
      </c>
      <c r="AK339" s="17">
        <f>EDATE('Operating costs'!$B$63,E339)</f>
        <v>46298</v>
      </c>
      <c r="AL339" s="1">
        <f>IFERROR(IF(D339="EV",INDEX(Products!$B$7:$B$13,MATCH('Replacement plan'!$B$90,Products!$A$7:$A$13,0)),0),"n.a.")</f>
        <v>0</v>
      </c>
      <c r="AM339" s="1" t="str">
        <f>'Replacement plan'!$K$90</f>
        <v>DC</v>
      </c>
      <c r="AN339" s="1" t="str">
        <f>'Replacement plan'!$AE$90</f>
        <v>Assumed</v>
      </c>
      <c r="AO339" s="47">
        <f>IF(AND(C339=1,D339="EV",E339&lt;120),(R339-'Operating costs'!$B$41)*S339+W339*'Operating costs'!$B$12,0)</f>
        <v>0</v>
      </c>
      <c r="AP339" s="41">
        <f>IF(AND(C339=1,D339="EV",E339&lt;120),IF('Operating costs'!$B$68="Hong Seh 200k average",AO339*IFERROR(INDEX(Products!$P$7:$P$13,MATCH(AD339,Products!$A$7:$A$13,0)),"n.a."),'Operating costs'!$B$26),0)</f>
        <v>0</v>
      </c>
      <c r="AQ339" s="40" t="str">
        <f>IF(D339="EV",'Operating costs'!$B$68,"Not applicable")</f>
        <v>Not applicable</v>
      </c>
    </row>
    <row r="340" spans="1:43" ht="24" customHeight="1">
      <c r="A340" s="1" t="str">
        <f>'Replacement plan'!A90</f>
        <v>T084</v>
      </c>
      <c r="B340" s="1">
        <v>1</v>
      </c>
      <c r="C340" s="1">
        <f>IF(COUNTIFS('Fleet register'!$A$7:$A$106,$A340)=1,VLOOKUP($A340,'Fleet register'!$A$7:$S$106,2,FALSE),0)</f>
        <v>0</v>
      </c>
      <c r="D340" s="1" t="str">
        <f>IF("New ICE"="EV","EV","ICE")</f>
        <v>ICE</v>
      </c>
      <c r="E340" s="1">
        <f>IF(C340=0,0,0)</f>
        <v>0</v>
      </c>
      <c r="F340" s="16">
        <f>IF(C340=0,0,VLOOKUP($A340,'Fleet register'!$A$7:$S$106,11,FALSE))</f>
        <v>0</v>
      </c>
      <c r="G340" s="16">
        <f>IFERROR(IF(C340=0,0,IF(E340=120,0,IF(D340="ICE",'Replacement plan'!$C$90,IF('Replacement plan'!$D$90="",INDEX(Products!$I$7:$I$13,MATCH('Replacement plan'!$B$90,Products!$A$7:$A$13,0))+'Operating costs'!$B$57,'Replacement plan'!$D$90))*(1+'Operating costs'!$B$50)^(E340/12))),"n.a.")</f>
        <v>0</v>
      </c>
      <c r="H340" s="16">
        <f>IFERROR(IF(C340=0,0,IF(E340=0,F340,VLOOKUP($A340,'Fleet register'!$A$7:$S$106,12,FALSE)+VLOOKUP($A340,'Fleet register'!$A$7:$S$106,13,FALSE)*MAX(0,VLOOKUP($A340,'Fleet register'!$A$7:$S$106,10,FALSE)-E340)/VLOOKUP($A340,'Fleet register'!$A$7:$S$106,14,FALSE))),"n.a.")</f>
        <v>0</v>
      </c>
      <c r="I340" s="16">
        <f>IF(C340=0,0,IF(E340=120,0,IF('Replacement plan'!$AI$90="",'Operating costs'!$B$56,'Replacement plan'!$AI$90)))</f>
        <v>0</v>
      </c>
      <c r="J340" s="16">
        <f>IF(C340=0,0,IF(P340="Complete",((S340*(R340-'Operating costs'!$B$39))+ROUNDUP(S340*(R340-'Operating costs'!$B$39)*IF('Replacement plan'!$AG$90="",'Operating costs'!$B$7,'Replacement plan'!$AG$90)/('Operating costs'!$B$8-'Operating costs'!$B$9*IF('Replacement plan'!$AG$90="",'Operating costs'!$B$7,'Replacement plan'!$AG$90)),0)*'Operating costs'!$B$9)*IF('Replacement plan'!$AG$90="",'Operating costs'!$B$7,'Replacement plan'!$AG$90)*('Energy and charging'!$B$9*'Energy and charging'!$B$7+(1-'Energy and charging'!$B$9)*'Energy and charging'!$B$8)*'Operating costs'!$B$23,"n.a."))</f>
        <v>0</v>
      </c>
      <c r="K340" s="16">
        <f>IF(C340=0,0,IF(P340="Complete",SUM('Operating costs'!$B$24,'Operating costs'!$B$27,'Operating costs'!$B$29,'Operating costs'!$B$31,'Operating costs'!$B$33,'Operating costs'!$B$34,'Operating costs'!$B$37,'Replacement plan'!$W$90)+'Operating costs'!$B$39*'Operating costs'!$B$42+ROUNDUP(S340*(R340-'Operating costs'!$B$39)*IF('Replacement plan'!$AG$90="",'Operating costs'!$B$7,'Replacement plan'!$AG$90)/('Operating costs'!$B$8-'Operating costs'!$B$9*IF('Replacement plan'!$AG$90="",'Operating costs'!$B$7,'Replacement plan'!$AG$90)),0)*('Operating costs'!$B$9/'Operating costs'!$B$11+'Operating costs'!$B$10/60)*'Operating costs'!$B$19*'Operating costs'!$B$21,"n.a."))</f>
        <v>0</v>
      </c>
      <c r="L340" s="16">
        <f>IF(C340=0,0,IF(P340="Complete",IF(D340="EV",X340*((1-T340)*'Energy and charging'!$B$10+T340*'Energy and charging'!$B$11)*'Operating costs'!$B$22,AA340*('Energy and charging'!$B$9*'Energy and charging'!$B$7+(1-'Energy and charging'!$B$9)*'Energy and charging'!$B$8)*'Operating costs'!$B$23),"n.a."))</f>
        <v>0</v>
      </c>
      <c r="M340" s="37">
        <f>IF(C340=0,0,IF(P340="Complete",IF(D340="ICE",SUM('Operating costs'!$B$25,'Operating costs'!$B$27,'Operating costs'!$B$29,'Operating costs'!$B$31,'Operating costs'!$B$33,'Operating costs'!$B$35,'Operating costs'!$B$37,'Replacement plan'!$X$90)+'Operating costs'!$B$40*'Operating costs'!$B$42+ROUNDUP(S340*(R340-'Operating costs'!$B$40)*IF('Replacement plan'!$AH$90="",'Operating costs'!$B$7,'Replacement plan'!$AH$90)/('Operating costs'!$B$8-'Operating costs'!$B$9*IF('Replacement plan'!$AH$90="",'Operating costs'!$B$7,'Replacement plan'!$AH$90)),0)*('Operating costs'!$B$9/'Operating costs'!$B$11+'Operating costs'!$B$10/60)*'Operating costs'!$B$19*'Operating costs'!$B$21,SUM(AP340,'Operating costs'!$B$28,'Operating costs'!$B$30,'Operating costs'!$B$32,'Operating costs'!$B$33,'Operating costs'!$B$36,'Operating costs'!$B$38,'Replacement plan'!$Y$90)+'Operating costs'!$B$41*'Operating costs'!$B$43+W340*'Operating costs'!$B$15+(T340*X340/'Replacement plan'!$L$90+W340*('Operating costs'!$B$12/'Operating costs'!$B$11+('Operating costs'!$B$13+'Operating costs'!$B$14)/60)+(R340-'Operating costs'!$B$41)*(IF(T340&lt;1,'Operating costs'!$B$16,0)+'Operating costs'!$B$17)/60)*'Operating costs'!$B$19*'Operating costs'!$B$20),"n.a."))</f>
        <v>0</v>
      </c>
      <c r="N340" s="16">
        <f>IF(AND(C340=1,D340="EV",E340&lt;120,E340+'Replacement plan'!$AA$90&lt;=120),'Replacement plan'!$Z$90,0)</f>
        <v>0</v>
      </c>
      <c r="O340" s="1">
        <f>E340+'Replacement plan'!$AA$90</f>
        <v>0</v>
      </c>
      <c r="P340" s="35" t="str">
        <f>IFERROR(IF(C340=0,"Excluded",IF(OR(COUNTIFS('Fleet register'!$A$7:$A$106,A340)&lt;&gt;1,COUNTIFS('Replacement plan'!$A$7:$A$106,A340)&lt;&gt;1),"Duplicate/missing ID",IF(NOT(AND(ISNUMBER(VLOOKUP($A340,'Fleet register'!$A$7:$S$106,5,FALSE)),ISNUMBER(VLOOKUP($A340,'Fleet register'!$A$7:$S$106,6,FALSE)),ISNUMBER(VLOOKUP($A340,'Fleet register'!$A$7:$S$106,10,FALSE)),ISNUMBER(VLOOKUP($A340,'Fleet register'!$A$7:$S$106,11,FALSE)),ISNUMBER(VLOOKUP($A340,'Fleet register'!$A$7:$S$106,12,FALSE)),ISNUMBER(VLOOKUP($A340,'Fleet register'!$A$7:$S$106,13,FALSE)),ISNUMBER(VLOOKUP($A340,'Fleet register'!$A$7:$S$106,14,FALSE)),VLOOKUP($A340,'Fleet register'!$A$7:$S$106,14,FALSE)&gt;0,ISNUMBER('Replacement plan'!$C$90),OR(E340=120,OR(ISNUMBER('Replacement plan'!$AI$90),AND('Replacement plan'!$AI$90="",ISNUMBER('Operating costs'!$B$56)))),ISNUMBER(E340))),"Missing vehicle input",IF(OR(E340&lt;0,E340&gt;VLOOKUP($A340,'Fleet register'!$A$7:$S$106,10,FALSE),E340&gt;120,E340&lt;&gt;INT(E340),VLOOKUP($A340,'Fleet register'!$A$7:$S$106,6,FALSE)&lt;=0,VLOOKUP($A340,'Fleet register'!$A$7:$S$106,6,FALSE)&gt;366,VLOOKUP($A340,'Fleet register'!$A$7:$S$106,5,FALSE)&lt;0,VLOOKUP($A340,'Fleet register'!$A$7:$S$106,11,FALSE)&lt;0,I340&lt;0,'Operating costs'!$B$8&lt;='Operating costs'!$B$7*'Operating costs'!$B$9,'Operating costs'!$B$11&lt;=0,'Operating costs'!$B$39&gt;R340,'Operating costs'!$B$40&gt;R340,'Operating costs'!$B$41&gt;R340,NOT(OR("New ICE"="Keep ICE","New ICE"="New ICE","New ICE"="EV"))),"Invalid vehicle input",IF(AND(D340="EV",E340&lt;120,OR(NOT(ISNUMBER(U340)),NOT(ISNUMBER(V340)),V340&lt;=0,T340&lt;0,T340&gt;1,'Replacement plan'!$L$90&lt;=0,'Operating costs'!$B$44&lt;0,'Operating costs'!$B$44&gt;=1,'Operating costs'!$B$47&lt;=0,'Operating costs'!$B$47&gt;1,V340*'Operating costs'!$B$47/(1-'Operating costs'!$B$44)&lt;=T340*'Operating costs'!$B$12*U340,AND('Replacement plan'!$Z$90&gt;0,OR('Replacement plan'!$AB$90&lt;&gt;"Yes",'Operating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charging'!$B$8&gt;=0))),ISNUMBER(VLOOKUP($A340,'Fleet register'!$A$7:$S$106,15,FALSE)),ISNUMBER(VLOOKUP($A340,'Fleet register'!$A$7:$S$106,16,FALSE)),ISNUMBER('Replacement plan'!$W$90),ISNUMBER('Replacement plan'!$X$90),OR(E340=120,AND(ISNUMBER(G340),G340&gt;=0)),ISNUMBER(H340),H340&gt;=0,OR(D340&lt;&gt;"EV",E340=120,AND(ISNUMBER('Operating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average",ISNUMBER(IFERROR(INDEX(Products!$P$7:$P$13,MATCH(AD340,Products!$A$7:$A$13,0)),"")))),ISNUMBER('Operating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plan'!$Y$90),ISNUMBER('Replacement plan'!$Z$90),'Replacement plan'!$Z$90&gt;=0,ISNUMBER('Replacement plan'!$AA$90),'Replacement plan'!$AA$90&gt;=0,'Replacement plan'!$AA$90=INT('Replacement plan'!$AA$90),ISNUMBER('Replacement plan'!$L$90))),'Operating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plan'!$AG$90="",'Operating costs'!$B$7,'Replacement plan'!$AG$90)),IF('Replacement plan'!$AG$90="",'Operating costs'!$B$7,'Replacement plan'!$AG$90)&gt;=0,ISNUMBER(IF('Replacement plan'!$AH$90="",'Operating costs'!$B$7,'Replacement plan'!$AH$90)),IF('Replacement plan'!$AH$90="",'Operating costs'!$B$7,'Replacement plan'!$AH$90)&gt;=0,'Operating costs'!$B$8&gt;MAX(IF('Replacement plan'!$AG$90="",'Operating costs'!$B$7,'Replacement plan'!$AG$90),IF('Replacement plan'!$AH$90="",'Operating costs'!$B$7,'Replacement plan'!$AH$90))*'Operating costs'!$B$9),IF(AND(VLOOKUP($A340,'Fleet register'!$A$7:$S$106,10,FALSE)&gt;=0,VLOOKUP($A340,'Fleet register'!$A$7:$S$106,10,FALSE)&lt;=120,VLOOKUP($A340,'Fleet register'!$A$7:$S$106,10,FALSE)=INT(VLOOKUP($A340,'Fleet register'!$A$7:$S$106,10,FALSE)),VLOOKUP($A340,'Fleet register'!$A$7:$S$106,15,FALSE)&gt;=0,VLOOKUP($A340,'Fleet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costs'!$B$67)&gt;=0,OR(D340&lt;&gt;"EV",E340=120,AND(MIN('Operating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40" s="1" t="str">
        <f>IF(C340=0,"Excluded",IF(P340&lt;&gt;"Complete",P340,IF(OR('Replacement plan'!$AD$90&lt;120-E340,AND(D340="EV",E340&lt;120,OR('Replacement plan'!$AC$90&lt;120-E340,'Replacement plan'!$I$90="No",AND(ISNUMBER(AF340),AE340&gt;AF340),AI340&gt;V340*(1-'Operating costs'!$B$46)^MAX(0,AB340-1)*(1-'Operating costs'!$B$45),AC340&gt;'Operating costs'!$B$18,AND(T340&lt;1,OR(AG340&lt;=0,AND(ISNUMBER(AH340),AG340&gt;AH340))),'Replacement plan'!$L$90&gt;INDEX(Products!$H$7:$H$13,MATCH('Replacement plan'!$B$90,Products!$A$7:$A$13,0))))),"Fails entered limits",IF(AND(D340="EV",E340&lt;120,OR(NOT(ISNUMBER(VLOOKUP($A340,'Fleet register'!$A$7:$S$106,7,FALSE))),NOT(ISNUMBER(VLOOKUP($A340,'Fleet register'!$A$7:$S$106,8,FALSE))),NOT(ISNUMBER(AF340)),'Replacement plan'!$I$90&lt;&gt;"Yes",NOT(ISNUMBER(AH340)),'Operating costs'!$B$59&lt;&gt;"Yes",'Operating costs'!$B$58&lt;&gt;"Yes")),"Unverified","Within entered limits"))))</f>
        <v>Excluded</v>
      </c>
      <c r="R340" s="1">
        <f>IF(C340=0,0,VLOOKUP($A340,'Fleet register'!$A$7:$S$106,6,FALSE))</f>
        <v>0</v>
      </c>
      <c r="S340" s="1">
        <f>IF(C340=0,0,VLOOKUP($A340,'Fleet register'!$A$7:$S$106,5,FALSE))</f>
        <v>0</v>
      </c>
      <c r="T340" s="1">
        <f>IF(D340="EV",'Energy and charging'!$B$12,0)</f>
        <v>0</v>
      </c>
      <c r="U340" s="1">
        <f>IFERROR(IF(C340=0,0,IF(D340="EV",IF('Replacement plan'!$F$90="",INDEX(Products!$E$7:$E$13,MATCH('Replacement plan'!$B$90,Products!$A$7:$A$13,0)),'Replacement plan'!$F$90)/IF('Replacement plan'!$G$90="Battery",1-'Operating costs'!$B$44,1),0)),"n.a.")</f>
        <v>0</v>
      </c>
      <c r="V340" s="1">
        <f>IFERROR(IF(C340=0,0,IF(D340="EV",IF('Replacement plan'!$E$90="",INDEX(Products!$D$7:$D$13,MATCH('Replacement plan'!$B$90,Products!$A$7:$A$13,0)),'Replacement plan'!$E$90),0)),"n.a.")</f>
        <v>0</v>
      </c>
      <c r="W340" s="1">
        <f>IF(C340=0,0,IF(AND(P340="Complete",D340="EV",E340&lt;120),IF(T340=0,0,ROUNDUP(T340*(R340-'Operating costs'!$B$41)*(S340*U340+'Operating costs'!$B$48/(1-'Operating costs'!$B$44))/(V340*'Operating costs'!$B$47/(1-'Operating costs'!$B$44)-T340*'Operating costs'!$B$12*U340),0)),0))</f>
        <v>0</v>
      </c>
      <c r="X340" s="1">
        <f>IF(C340=0,0,IF(AND(P340="Complete",D340="EV",E340&lt;120),(R340-'Operating costs'!$B$41)*(S340*U340+'Operating costs'!$B$48/(1-'Operating costs'!$B$44))+W340*'Operating costs'!$B$12*U340,0))</f>
        <v>0</v>
      </c>
      <c r="Y340" s="1">
        <f>IF(AND(C340=1,D340="EV",E340&lt;120),AI340/(1-'Operating costs'!$B$44)*(1-T340),0)</f>
        <v>0</v>
      </c>
      <c r="Z340" s="1">
        <f t="shared" si="10"/>
        <v>0</v>
      </c>
      <c r="AA340" s="1">
        <f>IF(C340=0,0,IF(P340="Complete",((S340*(R340-'Operating costs'!$B$40))+ROUNDUP(S340*(R340-'Operating costs'!$B$40)*IF('Replacement plan'!$AH$90="",'Operating costs'!$B$7,'Replacement plan'!$AH$90)/('Operating costs'!$B$8-'Operating costs'!$B$9*IF('Replacement plan'!$AH$90="",'Operating costs'!$B$7,'Replacement plan'!$AH$90)),0)*'Operating costs'!$B$9)*IF('Replacement plan'!$AH$90="",'Operating costs'!$B$7,'Replacement plan'!$AH$90),"n.a."))</f>
        <v>0</v>
      </c>
      <c r="AB340" s="1">
        <f t="shared" si="11"/>
        <v>0</v>
      </c>
      <c r="AC340" s="1">
        <f>IF(AND(C340=1,D340="EV",E340&lt;120,T340&gt;0),'Operating costs'!$B$12/'Operating costs'!$B$11*60+'Operating costs'!$B$13+'Operating costs'!$B$14+V340*'Operating costs'!$B$47/(1-'Operating costs'!$B$44)/'Replacement plan'!$L$90*60,0)</f>
        <v>0</v>
      </c>
      <c r="AD340" s="1" t="str">
        <f>'Replacement plan'!$B$90</f>
        <v>ChengLong L2EV</v>
      </c>
      <c r="AE340" s="1">
        <f>IF(C340=0,0,VLOOKUP($A340,'Fleet register'!$A$7:$S$106,8,FALSE))</f>
        <v>0</v>
      </c>
      <c r="AF340" s="1" t="str">
        <f>IF('Replacement plan'!$H$90="","n.a.",'Replacement plan'!$H$90)</f>
        <v>n.a.</v>
      </c>
      <c r="AG340" s="1">
        <f>'Replacement plan'!$J$90</f>
        <v>22</v>
      </c>
      <c r="AH340" s="1">
        <f>IFERROR(IF(D340="EV",IF('Replacement plan'!$K$90="AC",IF(ISNUMBER(INDEX(Products!$G$7:$G$13,MATCH('Replacement plan'!$B$90,Products!$A$7:$A$13,0))),INDEX(Products!$G$7:$G$13,MATCH('Replacement plan'!$B$90,Products!$A$7:$A$13,0)),"n.a."),IF(ISNUMBER(INDEX(Products!$H$7:$H$13,MATCH('Replacement plan'!$B$90,Products!$A$7:$A$13,0))),INDEX(Products!$H$7:$H$13,MATCH('Replacement plan'!$B$90,Products!$A$7:$A$13,0)),"n.a.")),0),"n.a.")</f>
        <v>0</v>
      </c>
      <c r="AI340" s="1">
        <f>IF(AND(C340=1,D340="EV",E340&lt;120),(VLOOKUP($A340,'Fleet register'!$A$7:$S$106,7,FALSE)+IF(T340&gt;0,'Operating costs'!$B$12,0))*U340*(1-'Operating costs'!$B$44)+'Operating costs'!$B$49,0)</f>
        <v>0</v>
      </c>
      <c r="AJ340" s="1">
        <f>IF(D340="EV",'Energy and charging'!$B$50,0)</f>
        <v>0</v>
      </c>
      <c r="AK340" s="17">
        <f>EDATE('Operating costs'!$B$63,E340)</f>
        <v>46298</v>
      </c>
      <c r="AL340" s="1">
        <f>IFERROR(IF(D340="EV",INDEX(Products!$B$7:$B$13,MATCH('Replacement plan'!$B$90,Products!$A$7:$A$13,0)),0),"n.a.")</f>
        <v>0</v>
      </c>
      <c r="AM340" s="1" t="str">
        <f>'Replacement plan'!$K$90</f>
        <v>DC</v>
      </c>
      <c r="AN340" s="1" t="str">
        <f>'Replacement plan'!$AE$90</f>
        <v>Assumed</v>
      </c>
      <c r="AO340" s="47">
        <f>IF(AND(C340=1,D340="EV",E340&lt;120),(R340-'Operating costs'!$B$41)*S340+W340*'Operating costs'!$B$12,0)</f>
        <v>0</v>
      </c>
      <c r="AP340" s="41">
        <f>IF(AND(C340=1,D340="EV",E340&lt;120),IF('Operating costs'!$B$68="Hong Seh 200k average",AO340*IFERROR(INDEX(Products!$P$7:$P$13,MATCH(AD340,Products!$A$7:$A$13,0)),"n.a."),'Operating costs'!$B$26),0)</f>
        <v>0</v>
      </c>
      <c r="AQ340" s="40" t="str">
        <f>IF(D340="EV",'Operating costs'!$B$68,"Not applicable")</f>
        <v>Not applicable</v>
      </c>
    </row>
    <row r="341" spans="1:43" ht="24" customHeight="1">
      <c r="A341" s="1" t="str">
        <f>'Replacement plan'!A90</f>
        <v>T084</v>
      </c>
      <c r="B341" s="1">
        <v>2</v>
      </c>
      <c r="C341" s="1">
        <f>IF(COUNTIFS('Fleet register'!$A$7:$A$106,$A341)=1,VLOOKUP($A341,'Fleet register'!$A$7:$S$106,2,FALSE),0)</f>
        <v>0</v>
      </c>
      <c r="D341" s="1" t="str">
        <f>IF('Replacement plan'!$O$90="EV","EV","ICE")</f>
        <v>ICE</v>
      </c>
      <c r="E341" s="1">
        <f>IF(C341=0,0,IF('Replacement plan'!$P$90="",IF('Replacement plan'!$O$90="Keep ICE",IF('Replacement plan'!$M$90="",VLOOKUP($A341,'Fleet register'!$A$7:$S$106,10,FALSE),'Replacement plan'!$M$90),0),'Replacement plan'!$P$90))</f>
        <v>0</v>
      </c>
      <c r="F341" s="16">
        <f>IF(C341=0,0,VLOOKUP($A341,'Fleet register'!$A$7:$S$106,11,FALSE))</f>
        <v>0</v>
      </c>
      <c r="G341" s="16">
        <f>IFERROR(IF(C341=0,0,IF(E341=120,0,IF(D341="ICE",'Replacement plan'!$C$90,IF('Replacement plan'!$D$90="",INDEX(Products!$I$7:$I$13,MATCH('Replacement plan'!$B$90,Products!$A$7:$A$13,0))+'Operating costs'!$B$57,'Replacement plan'!$D$90))*(1+'Operating costs'!$B$50)^(E341/12))),"n.a.")</f>
        <v>0</v>
      </c>
      <c r="H341" s="16">
        <f>IFERROR(IF(C341=0,0,IF('Replacement plan'!$U$90&lt;&gt;"",'Replacement plan'!$U$90,IF(E341=0,F341,VLOOKUP($A341,'Fleet register'!$A$7:$S$106,12,FALSE)+VLOOKUP($A341,'Fleet register'!$A$7:$S$106,13,FALSE)*MAX(0,VLOOKUP($A341,'Fleet register'!$A$7:$S$106,10,FALSE)-E341)/VLOOKUP($A341,'Fleet register'!$A$7:$S$106,14,FALSE)))),"n.a.")</f>
        <v>0</v>
      </c>
      <c r="I341" s="16">
        <f>IF(C341=0,0,IF(E341=120,0,'Replacement plan'!$Q$90))</f>
        <v>0</v>
      </c>
      <c r="J341" s="16">
        <f>IF(C341=0,0,IF(P341="Complete",((S341*(R341-'Operating costs'!$B$39))+ROUNDUP(S341*(R341-'Operating costs'!$B$39)*IF('Replacement plan'!$AG$90="",'Operating costs'!$B$7,'Replacement plan'!$AG$90)/('Operating costs'!$B$8-'Operating costs'!$B$9*IF('Replacement plan'!$AG$90="",'Operating costs'!$B$7,'Replacement plan'!$AG$90)),0)*'Operating costs'!$B$9)*IF('Replacement plan'!$AG$90="",'Operating costs'!$B$7,'Replacement plan'!$AG$90)*('Energy and charging'!$B$9*'Energy and charging'!$B$7+(1-'Energy and charging'!$B$9)*'Energy and charging'!$B$8)*'Operating costs'!$B$23,"n.a."))</f>
        <v>0</v>
      </c>
      <c r="K341" s="16">
        <f>IF(C341=0,0,IF(P341="Complete",SUM('Operating costs'!$B$24,'Operating costs'!$B$27,'Operating costs'!$B$29,'Operating costs'!$B$31,'Operating costs'!$B$33,'Operating costs'!$B$34,'Operating costs'!$B$37,'Replacement plan'!$W$90)+'Operating costs'!$B$39*'Operating costs'!$B$42+ROUNDUP(S341*(R341-'Operating costs'!$B$39)*IF('Replacement plan'!$AG$90="",'Operating costs'!$B$7,'Replacement plan'!$AG$90)/('Operating costs'!$B$8-'Operating costs'!$B$9*IF('Replacement plan'!$AG$90="",'Operating costs'!$B$7,'Replacement plan'!$AG$90)),0)*('Operating costs'!$B$9/'Operating costs'!$B$11+'Operating costs'!$B$10/60)*'Operating costs'!$B$19*'Operating costs'!$B$21,"n.a."))</f>
        <v>0</v>
      </c>
      <c r="L341" s="16">
        <f>IF(C341=0,0,IF(P341="Complete",IF(D341="EV",X341*((1-T341)*'Energy and charging'!$B$10+T341*'Energy and charging'!$B$11)*'Operating costs'!$B$22,AA341*('Energy and charging'!$B$9*'Energy and charging'!$B$7+(1-'Energy and charging'!$B$9)*'Energy and charging'!$B$8)*'Operating costs'!$B$23),"n.a."))</f>
        <v>0</v>
      </c>
      <c r="M341" s="37">
        <f>IF(C341=0,0,IF(P341="Complete",IF(D341="ICE",SUM('Operating costs'!$B$25,'Operating costs'!$B$27,'Operating costs'!$B$29,'Operating costs'!$B$31,'Operating costs'!$B$33,'Operating costs'!$B$35,'Operating costs'!$B$37,'Replacement plan'!$X$90)+'Operating costs'!$B$40*'Operating costs'!$B$42+ROUNDUP(S341*(R341-'Operating costs'!$B$40)*IF('Replacement plan'!$AH$90="",'Operating costs'!$B$7,'Replacement plan'!$AH$90)/('Operating costs'!$B$8-'Operating costs'!$B$9*IF('Replacement plan'!$AH$90="",'Operating costs'!$B$7,'Replacement plan'!$AH$90)),0)*('Operating costs'!$B$9/'Operating costs'!$B$11+'Operating costs'!$B$10/60)*'Operating costs'!$B$19*'Operating costs'!$B$21,SUM(AP341,'Operating costs'!$B$28,'Operating costs'!$B$30,'Operating costs'!$B$32,'Operating costs'!$B$33,'Operating costs'!$B$36,'Operating costs'!$B$38,'Replacement plan'!$Y$90)+'Operating costs'!$B$41*'Operating costs'!$B$43+W341*'Operating costs'!$B$15+(T341*X341/'Replacement plan'!$L$90+W341*('Operating costs'!$B$12/'Operating costs'!$B$11+('Operating costs'!$B$13+'Operating costs'!$B$14)/60)+(R341-'Operating costs'!$B$41)*(IF(T341&lt;1,'Operating costs'!$B$16,0)+'Operating costs'!$B$17)/60)*'Operating costs'!$B$19*'Operating costs'!$B$20),"n.a."))</f>
        <v>0</v>
      </c>
      <c r="N341" s="16">
        <f>IF(AND(C341=1,D341="EV",E341&lt;120,E341+'Replacement plan'!$AA$90&lt;=120),'Replacement plan'!$Z$90,0)</f>
        <v>0</v>
      </c>
      <c r="O341" s="1">
        <f>E341+'Replacement plan'!$AA$90</f>
        <v>0</v>
      </c>
      <c r="P341" s="35" t="str">
        <f>IFERROR(IF(C341=0,"Excluded",IF(OR(COUNTIFS('Fleet register'!$A$7:$A$106,A341)&lt;&gt;1,COUNTIFS('Replacement plan'!$A$7:$A$106,A341)&lt;&gt;1),"Duplicate/missing ID",IF(NOT(AND(ISNUMBER(VLOOKUP($A341,'Fleet register'!$A$7:$S$106,5,FALSE)),ISNUMBER(VLOOKUP($A341,'Fleet register'!$A$7:$S$106,6,FALSE)),ISNUMBER(VLOOKUP($A341,'Fleet register'!$A$7:$S$106,10,FALSE)),ISNUMBER(VLOOKUP($A341,'Fleet register'!$A$7:$S$106,11,FALSE)),ISNUMBER(VLOOKUP($A341,'Fleet register'!$A$7:$S$106,12,FALSE)),ISNUMBER(VLOOKUP($A341,'Fleet register'!$A$7:$S$106,13,FALSE)),ISNUMBER(VLOOKUP($A341,'Fleet register'!$A$7:$S$106,14,FALSE)),VLOOKUP($A341,'Fleet register'!$A$7:$S$106,14,FALSE)&gt;0,ISNUMBER('Replacement plan'!$C$90),OR(E341=120,ISNUMBER('Replacement plan'!$Q$90)),ISNUMBER(E341))),"Missing vehicle input",IF(OR(E341&lt;0,E341&gt;VLOOKUP($A341,'Fleet register'!$A$7:$S$106,10,FALSE),E341&gt;120,E341&lt;&gt;INT(E341),VLOOKUP($A341,'Fleet register'!$A$7:$S$106,6,FALSE)&lt;=0,VLOOKUP($A341,'Fleet register'!$A$7:$S$106,6,FALSE)&gt;366,VLOOKUP($A341,'Fleet register'!$A$7:$S$106,5,FALSE)&lt;0,VLOOKUP($A341,'Fleet register'!$A$7:$S$106,11,FALSE)&lt;0,I341&lt;0,'Operating costs'!$B$8&lt;='Operating costs'!$B$7*'Operating costs'!$B$9,'Operating costs'!$B$11&lt;=0,'Operating costs'!$B$39&gt;R341,'Operating costs'!$B$40&gt;R341,'Operating costs'!$B$41&gt;R341,NOT(OR('Replacement plan'!$O$90="Keep ICE",'Replacement plan'!$O$90="New ICE",'Replacement plan'!$O$90="EV"))),"Invalid vehicle input",IF(AND(D341="EV",E341&lt;120,OR(NOT(ISNUMBER(U341)),NOT(ISNUMBER(V341)),V341&lt;=0,T341&lt;0,T341&gt;1,'Replacement plan'!$L$90&lt;=0,'Operating costs'!$B$44&lt;0,'Operating costs'!$B$44&gt;=1,'Operating costs'!$B$47&lt;=0,'Operating costs'!$B$47&gt;1,V341*'Operating costs'!$B$47/(1-'Operating costs'!$B$44)&lt;=T341*'Operating costs'!$B$12*U341,AND('Replacement plan'!$Z$90&gt;0,OR('Replacement plan'!$AB$90&lt;&gt;"Yes",'Operating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charging'!$B$8&gt;=0))),ISNUMBER(VLOOKUP($A341,'Fleet register'!$A$7:$S$106,15,FALSE)),ISNUMBER(VLOOKUP($A341,'Fleet register'!$A$7:$S$106,16,FALSE)),ISNUMBER('Replacement plan'!$W$90),ISNUMBER('Replacement plan'!$X$90),OR(E341=120,AND(ISNUMBER(G341),G341&gt;=0)),ISNUMBER(H341),H341&gt;=0,OR(D341&lt;&gt;"EV",E341=120,AND(ISNUMBER('Operating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average",ISNUMBER(IFERROR(INDEX(Products!$P$7:$P$13,MATCH(AD341,Products!$A$7:$A$13,0)),"")))),ISNUMBER('Operating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plan'!$Y$90),ISNUMBER('Replacement plan'!$Z$90),'Replacement plan'!$Z$90&gt;=0,ISNUMBER('Replacement plan'!$AA$90),'Replacement plan'!$AA$90&gt;=0,'Replacement plan'!$AA$90=INT('Replacement plan'!$AA$90),ISNUMBER('Replacement plan'!$L$90))),'Operating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plan'!$AG$90="",'Operating costs'!$B$7,'Replacement plan'!$AG$90)),IF('Replacement plan'!$AG$90="",'Operating costs'!$B$7,'Replacement plan'!$AG$90)&gt;=0,ISNUMBER(IF('Replacement plan'!$AH$90="",'Operating costs'!$B$7,'Replacement plan'!$AH$90)),IF('Replacement plan'!$AH$90="",'Operating costs'!$B$7,'Replacement plan'!$AH$90)&gt;=0,'Operating costs'!$B$8&gt;MAX(IF('Replacement plan'!$AG$90="",'Operating costs'!$B$7,'Replacement plan'!$AG$90),IF('Replacement plan'!$AH$90="",'Operating costs'!$B$7,'Replacement plan'!$AH$90))*'Operating costs'!$B$9),IF(AND(VLOOKUP($A341,'Fleet register'!$A$7:$S$106,10,FALSE)&gt;=0,VLOOKUP($A341,'Fleet register'!$A$7:$S$106,10,FALSE)&lt;=120,VLOOKUP($A341,'Fleet register'!$A$7:$S$106,10,FALSE)=INT(VLOOKUP($A341,'Fleet register'!$A$7:$S$106,10,FALSE)),VLOOKUP($A341,'Fleet register'!$A$7:$S$106,15,FALSE)&gt;=0,VLOOKUP($A341,'Fleet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costs'!$B$67)&gt;=0,OR(D341&lt;&gt;"EV",E341=120,AND(MIN('Operating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41" s="1" t="str">
        <f>IF(C341=0,"Excluded",IF(P341&lt;&gt;"Complete",P341,IF(OR('Replacement plan'!$AD$90&lt;120-E341,AND(D341="EV",E341&lt;120,OR('Replacement plan'!$AC$90&lt;120-E341,'Replacement plan'!$I$90="No",AND(ISNUMBER(AF341),AE341&gt;AF341),AI341&gt;V341*(1-'Operating costs'!$B$46)^MAX(0,AB341-1)*(1-'Operating costs'!$B$45),AC341&gt;'Operating costs'!$B$18,AND(T341&lt;1,OR(AG341&lt;=0,AND(ISNUMBER(AH341),AG341&gt;AH341))),'Replacement plan'!$L$90&gt;INDEX(Products!$H$7:$H$13,MATCH('Replacement plan'!$B$90,Products!$A$7:$A$13,0))))),"Fails entered limits",IF(AND(D341="EV",E341&lt;120,OR(NOT(ISNUMBER(VLOOKUP($A341,'Fleet register'!$A$7:$S$106,7,FALSE))),NOT(ISNUMBER(VLOOKUP($A341,'Fleet register'!$A$7:$S$106,8,FALSE))),NOT(ISNUMBER(AF341)),'Replacement plan'!$I$90&lt;&gt;"Yes",NOT(ISNUMBER(AH341)),'Operating costs'!$B$59&lt;&gt;"Yes",'Operating costs'!$B$58&lt;&gt;"Yes")),"Unverified","Within entered limits"))))</f>
        <v>Excluded</v>
      </c>
      <c r="R341" s="1">
        <f>IF(C341=0,0,VLOOKUP($A341,'Fleet register'!$A$7:$S$106,6,FALSE))</f>
        <v>0</v>
      </c>
      <c r="S341" s="1">
        <f>IF(C341=0,0,VLOOKUP($A341,'Fleet register'!$A$7:$S$106,5,FALSE))</f>
        <v>0</v>
      </c>
      <c r="T341" s="1">
        <f>IF(D341="EV",'Energy and charging'!$B$12,0)</f>
        <v>0</v>
      </c>
      <c r="U341" s="1">
        <f>IFERROR(IF(C341=0,0,IF(D341="EV",IF('Replacement plan'!$F$90="",INDEX(Products!$E$7:$E$13,MATCH('Replacement plan'!$B$90,Products!$A$7:$A$13,0)),'Replacement plan'!$F$90)/IF('Replacement plan'!$G$90="Battery",1-'Operating costs'!$B$44,1),0)),"n.a.")</f>
        <v>0</v>
      </c>
      <c r="V341" s="1">
        <f>IFERROR(IF(C341=0,0,IF(D341="EV",IF('Replacement plan'!$E$90="",INDEX(Products!$D$7:$D$13,MATCH('Replacement plan'!$B$90,Products!$A$7:$A$13,0)),'Replacement plan'!$E$90),0)),"n.a.")</f>
        <v>0</v>
      </c>
      <c r="W341" s="1">
        <f>IF(C341=0,0,IF(AND(P341="Complete",D341="EV",E341&lt;120),IF(T341=0,0,ROUNDUP(T341*(R341-'Operating costs'!$B$41)*(S341*U341+'Operating costs'!$B$48/(1-'Operating costs'!$B$44))/(V341*'Operating costs'!$B$47/(1-'Operating costs'!$B$44)-T341*'Operating costs'!$B$12*U341),0)),0))</f>
        <v>0</v>
      </c>
      <c r="X341" s="1">
        <f>IF(C341=0,0,IF(AND(P341="Complete",D341="EV",E341&lt;120),(R341-'Operating costs'!$B$41)*(S341*U341+'Operating costs'!$B$48/(1-'Operating costs'!$B$44))+W341*'Operating costs'!$B$12*U341,0))</f>
        <v>0</v>
      </c>
      <c r="Y341" s="1">
        <f>IF(AND(C341=1,D341="EV",E341&lt;120),AI341/(1-'Operating costs'!$B$44)*(1-T341),0)</f>
        <v>0</v>
      </c>
      <c r="Z341" s="1">
        <f t="shared" si="10"/>
        <v>0</v>
      </c>
      <c r="AA341" s="1">
        <f>IF(C341=0,0,IF(P341="Complete",((S341*(R341-'Operating costs'!$B$40))+ROUNDUP(S341*(R341-'Operating costs'!$B$40)*IF('Replacement plan'!$AH$90="",'Operating costs'!$B$7,'Replacement plan'!$AH$90)/('Operating costs'!$B$8-'Operating costs'!$B$9*IF('Replacement plan'!$AH$90="",'Operating costs'!$B$7,'Replacement plan'!$AH$90)),0)*'Operating costs'!$B$9)*IF('Replacement plan'!$AH$90="",'Operating costs'!$B$7,'Replacement plan'!$AH$90),"n.a."))</f>
        <v>0</v>
      </c>
      <c r="AB341" s="1">
        <f t="shared" si="11"/>
        <v>0</v>
      </c>
      <c r="AC341" s="1">
        <f>IF(AND(C341=1,D341="EV",E341&lt;120,T341&gt;0),'Operating costs'!$B$12/'Operating costs'!$B$11*60+'Operating costs'!$B$13+'Operating costs'!$B$14+V341*'Operating costs'!$B$47/(1-'Operating costs'!$B$44)/'Replacement plan'!$L$90*60,0)</f>
        <v>0</v>
      </c>
      <c r="AD341" s="1" t="str">
        <f>'Replacement plan'!$B$90</f>
        <v>ChengLong L2EV</v>
      </c>
      <c r="AE341" s="1">
        <f>IF(C341=0,0,VLOOKUP($A341,'Fleet register'!$A$7:$S$106,8,FALSE))</f>
        <v>0</v>
      </c>
      <c r="AF341" s="1" t="str">
        <f>IF('Replacement plan'!$H$90="","n.a.",'Replacement plan'!$H$90)</f>
        <v>n.a.</v>
      </c>
      <c r="AG341" s="1">
        <f>'Replacement plan'!$J$90</f>
        <v>22</v>
      </c>
      <c r="AH341" s="1">
        <f>IFERROR(IF(D341="EV",IF('Replacement plan'!$K$90="AC",IF(ISNUMBER(INDEX(Products!$G$7:$G$13,MATCH('Replacement plan'!$B$90,Products!$A$7:$A$13,0))),INDEX(Products!$G$7:$G$13,MATCH('Replacement plan'!$B$90,Products!$A$7:$A$13,0)),"n.a."),IF(ISNUMBER(INDEX(Products!$H$7:$H$13,MATCH('Replacement plan'!$B$90,Products!$A$7:$A$13,0))),INDEX(Products!$H$7:$H$13,MATCH('Replacement plan'!$B$90,Products!$A$7:$A$13,0)),"n.a.")),0),"n.a.")</f>
        <v>0</v>
      </c>
      <c r="AI341" s="1">
        <f>IF(AND(C341=1,D341="EV",E341&lt;120),(VLOOKUP($A341,'Fleet register'!$A$7:$S$106,7,FALSE)+IF(T341&gt;0,'Operating costs'!$B$12,0))*U341*(1-'Operating costs'!$B$44)+'Operating costs'!$B$49,0)</f>
        <v>0</v>
      </c>
      <c r="AJ341" s="1">
        <f>IF(D341="EV",'Energy and charging'!$B$50,0)</f>
        <v>0</v>
      </c>
      <c r="AK341" s="17">
        <f>EDATE('Operating costs'!$B$63,E341)</f>
        <v>46298</v>
      </c>
      <c r="AL341" s="1">
        <f>IFERROR(IF(D341="EV",INDEX(Products!$B$7:$B$13,MATCH('Replacement plan'!$B$90,Products!$A$7:$A$13,0)),0),"n.a.")</f>
        <v>0</v>
      </c>
      <c r="AM341" s="1" t="str">
        <f>'Replacement plan'!$K$90</f>
        <v>DC</v>
      </c>
      <c r="AN341" s="1" t="str">
        <f>'Replacement plan'!$AE$90</f>
        <v>Assumed</v>
      </c>
      <c r="AO341" s="47">
        <f>IF(AND(C341=1,D341="EV",E341&lt;120),(R341-'Operating costs'!$B$41)*S341+W341*'Operating costs'!$B$12,0)</f>
        <v>0</v>
      </c>
      <c r="AP341" s="41">
        <f>IF(AND(C341=1,D341="EV",E341&lt;120),IF('Operating costs'!$B$68="Hong Seh 200k average",AO341*IFERROR(INDEX(Products!$P$7:$P$13,MATCH(AD341,Products!$A$7:$A$13,0)),"n.a."),'Operating costs'!$B$26),0)</f>
        <v>0</v>
      </c>
      <c r="AQ341" s="40" t="str">
        <f>IF(D341="EV",'Operating costs'!$B$68,"Not applicable")</f>
        <v>Not applicable</v>
      </c>
    </row>
    <row r="342" spans="1:43" ht="24" customHeight="1">
      <c r="A342" s="1" t="str">
        <f>'Replacement plan'!A90</f>
        <v>T084</v>
      </c>
      <c r="B342" s="1">
        <v>3</v>
      </c>
      <c r="C342" s="1">
        <f>IF(COUNTIFS('Fleet register'!$A$7:$A$106,$A342)=1,VLOOKUP($A342,'Fleet register'!$A$7:$S$106,2,FALSE),0)</f>
        <v>0</v>
      </c>
      <c r="D342" s="1" t="str">
        <f>IF('Replacement plan'!$R$90="EV","EV","ICE")</f>
        <v>ICE</v>
      </c>
      <c r="E342" s="1">
        <f>IF(C342=0,0,IF('Replacement plan'!$S$90="",IF('Replacement plan'!$R$90="Keep ICE",IF('Replacement plan'!$M$90="",VLOOKUP($A342,'Fleet register'!$A$7:$S$106,10,FALSE),'Replacement plan'!$M$90),0),'Replacement plan'!$S$90))</f>
        <v>0</v>
      </c>
      <c r="F342" s="16">
        <f>IF(C342=0,0,VLOOKUP($A342,'Fleet register'!$A$7:$S$106,11,FALSE))</f>
        <v>0</v>
      </c>
      <c r="G342" s="16">
        <f>IFERROR(IF(C342=0,0,IF(E342=120,0,IF(D342="ICE",'Replacement plan'!$C$90,IF('Replacement plan'!$D$90="",INDEX(Products!$I$7:$I$13,MATCH('Replacement plan'!$B$90,Products!$A$7:$A$13,0))+'Operating costs'!$B$57,'Replacement plan'!$D$90))*(1+'Operating costs'!$B$50)^(E342/12))),"n.a.")</f>
        <v>0</v>
      </c>
      <c r="H342" s="16">
        <f>IFERROR(IF(C342=0,0,IF('Replacement plan'!$V$90&lt;&gt;"",'Replacement plan'!$V$90,IF(E342=0,F342,VLOOKUP($A342,'Fleet register'!$A$7:$S$106,12,FALSE)+VLOOKUP($A342,'Fleet register'!$A$7:$S$106,13,FALSE)*MAX(0,VLOOKUP($A342,'Fleet register'!$A$7:$S$106,10,FALSE)-E342)/VLOOKUP($A342,'Fleet register'!$A$7:$S$106,14,FALSE)))),"n.a.")</f>
        <v>0</v>
      </c>
      <c r="I342" s="16">
        <f>IF(C342=0,0,IF(E342=120,0,'Replacement plan'!$T$90))</f>
        <v>0</v>
      </c>
      <c r="J342" s="16">
        <f>IF(C342=0,0,IF(P342="Complete",((S342*(R342-'Operating costs'!$B$39))+ROUNDUP(S342*(R342-'Operating costs'!$B$39)*IF('Replacement plan'!$AG$90="",'Operating costs'!$B$7,'Replacement plan'!$AG$90)/('Operating costs'!$B$8-'Operating costs'!$B$9*IF('Replacement plan'!$AG$90="",'Operating costs'!$B$7,'Replacement plan'!$AG$90)),0)*'Operating costs'!$B$9)*IF('Replacement plan'!$AG$90="",'Operating costs'!$B$7,'Replacement plan'!$AG$90)*('Energy and charging'!$C$9*'Energy and charging'!$C$7+(1-'Energy and charging'!$C$9)*'Energy and charging'!$C$8)*'Operating costs'!$B$23,"n.a."))</f>
        <v>0</v>
      </c>
      <c r="K342" s="16">
        <f>IF(C342=0,0,IF(P342="Complete",SUM('Operating costs'!$B$24,'Operating costs'!$B$27,'Operating costs'!$B$29,'Operating costs'!$B$31,'Operating costs'!$B$33,'Operating costs'!$B$34,'Operating costs'!$B$37,'Replacement plan'!$W$90)+'Operating costs'!$B$39*'Operating costs'!$B$42+ROUNDUP(S342*(R342-'Operating costs'!$B$39)*IF('Replacement plan'!$AG$90="",'Operating costs'!$B$7,'Replacement plan'!$AG$90)/('Operating costs'!$B$8-'Operating costs'!$B$9*IF('Replacement plan'!$AG$90="",'Operating costs'!$B$7,'Replacement plan'!$AG$90)),0)*('Operating costs'!$B$9/'Operating costs'!$B$11+'Operating costs'!$B$10/60)*'Operating costs'!$B$19*'Operating costs'!$B$21,"n.a."))</f>
        <v>0</v>
      </c>
      <c r="L342" s="16">
        <f>IF(C342=0,0,IF(P342="Complete",IF(D342="EV",X342*((1-T342)*'Energy and charging'!$C$10+T342*'Energy and charging'!$C$11)*'Operating costs'!$B$22,AA342*('Energy and charging'!$C$9*'Energy and charging'!$C$7+(1-'Energy and charging'!$C$9)*'Energy and charging'!$C$8)*'Operating costs'!$B$23),"n.a."))</f>
        <v>0</v>
      </c>
      <c r="M342" s="37">
        <f>IF(C342=0,0,IF(P342="Complete",IF(D342="ICE",SUM('Operating costs'!$B$25,'Operating costs'!$B$27,'Operating costs'!$B$29,'Operating costs'!$B$31,'Operating costs'!$B$33,'Operating costs'!$B$35,'Operating costs'!$B$37,'Replacement plan'!$X$90)+'Operating costs'!$B$40*'Operating costs'!$B$42+ROUNDUP(S342*(R342-'Operating costs'!$B$40)*IF('Replacement plan'!$AH$90="",'Operating costs'!$B$7,'Replacement plan'!$AH$90)/('Operating costs'!$B$8-'Operating costs'!$B$9*IF('Replacement plan'!$AH$90="",'Operating costs'!$B$7,'Replacement plan'!$AH$90)),0)*('Operating costs'!$B$9/'Operating costs'!$B$11+'Operating costs'!$B$10/60)*'Operating costs'!$B$19*'Operating costs'!$B$21,SUM(AP342,'Operating costs'!$B$28,'Operating costs'!$B$30,'Operating costs'!$B$32,'Operating costs'!$B$33,'Operating costs'!$B$36,'Operating costs'!$B$38,'Replacement plan'!$Y$90)+'Operating costs'!$B$41*'Operating costs'!$B$43+W342*'Operating costs'!$B$15+(T342*X342/'Replacement plan'!$L$90+W342*('Operating costs'!$B$12/'Operating costs'!$B$11+('Operating costs'!$B$13+'Operating costs'!$B$14)/60)+(R342-'Operating costs'!$B$41)*(IF(T342&lt;1,'Operating costs'!$B$16,0)+'Operating costs'!$B$17)/60)*'Operating costs'!$B$19*'Operating costs'!$B$20),"n.a."))</f>
        <v>0</v>
      </c>
      <c r="N342" s="16">
        <f>IF(AND(C342=1,D342="EV",E342&lt;120,E342+'Replacement plan'!$AA$90&lt;=120),'Replacement plan'!$Z$90,0)</f>
        <v>0</v>
      </c>
      <c r="O342" s="1">
        <f>E342+'Replacement plan'!$AA$90</f>
        <v>0</v>
      </c>
      <c r="P342" s="35" t="str">
        <f>IFERROR(IF(C342=0,"Excluded",IF(OR(COUNTIFS('Fleet register'!$A$7:$A$106,A342)&lt;&gt;1,COUNTIFS('Replacement plan'!$A$7:$A$106,A342)&lt;&gt;1),"Duplicate/missing ID",IF(NOT(AND(ISNUMBER(VLOOKUP($A342,'Fleet register'!$A$7:$S$106,5,FALSE)),ISNUMBER(VLOOKUP($A342,'Fleet register'!$A$7:$S$106,6,FALSE)),ISNUMBER(VLOOKUP($A342,'Fleet register'!$A$7:$S$106,10,FALSE)),ISNUMBER(VLOOKUP($A342,'Fleet register'!$A$7:$S$106,11,FALSE)),ISNUMBER(VLOOKUP($A342,'Fleet register'!$A$7:$S$106,12,FALSE)),ISNUMBER(VLOOKUP($A342,'Fleet register'!$A$7:$S$106,13,FALSE)),ISNUMBER(VLOOKUP($A342,'Fleet register'!$A$7:$S$106,14,FALSE)),VLOOKUP($A342,'Fleet register'!$A$7:$S$106,14,FALSE)&gt;0,ISNUMBER('Replacement plan'!$C$90),OR(E342=120,ISNUMBER('Replacement plan'!$T$90)),ISNUMBER(E342))),"Missing vehicle input",IF(OR(E342&lt;0,E342&gt;VLOOKUP($A342,'Fleet register'!$A$7:$S$106,10,FALSE),E342&gt;120,E342&lt;&gt;INT(E342),VLOOKUP($A342,'Fleet register'!$A$7:$S$106,6,FALSE)&lt;=0,VLOOKUP($A342,'Fleet register'!$A$7:$S$106,6,FALSE)&gt;366,VLOOKUP($A342,'Fleet register'!$A$7:$S$106,5,FALSE)&lt;0,VLOOKUP($A342,'Fleet register'!$A$7:$S$106,11,FALSE)&lt;0,I342&lt;0,'Operating costs'!$B$8&lt;='Operating costs'!$B$7*'Operating costs'!$B$9,'Operating costs'!$B$11&lt;=0,'Operating costs'!$B$39&gt;R342,'Operating costs'!$B$40&gt;R342,'Operating costs'!$B$41&gt;R342,NOT(OR('Replacement plan'!$R$90="Keep ICE",'Replacement plan'!$R$90="New ICE",'Replacement plan'!$R$90="EV"))),"Invalid vehicle input",IF(AND(D342="EV",E342&lt;120,OR(NOT(ISNUMBER(U342)),NOT(ISNUMBER(V342)),V342&lt;=0,T342&lt;0,T342&gt;1,'Replacement plan'!$L$90&lt;=0,'Operating costs'!$B$44&lt;0,'Operating costs'!$B$44&gt;=1,'Operating costs'!$B$47&lt;=0,'Operating costs'!$B$47&gt;1,V342*'Operating costs'!$B$47/(1-'Operating costs'!$B$44)&lt;=T342*'Operating costs'!$B$12*U342,AND('Replacement plan'!$Z$90&gt;0,OR('Replacement plan'!$AB$90&lt;&gt;"Yes",'Operating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charging'!$C$8&gt;=0))),ISNUMBER(VLOOKUP($A342,'Fleet register'!$A$7:$S$106,15,FALSE)),ISNUMBER(VLOOKUP($A342,'Fleet register'!$A$7:$S$106,16,FALSE)),ISNUMBER('Replacement plan'!$W$90),ISNUMBER('Replacement plan'!$X$90),OR(E342=120,AND(ISNUMBER(G342),G342&gt;=0)),ISNUMBER(H342),H342&gt;=0,OR(D342&lt;&gt;"EV",E342=120,AND(ISNUMBER('Operating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average",ISNUMBER(IFERROR(INDEX(Products!$P$7:$P$13,MATCH(AD342,Products!$A$7:$A$13,0)),"")))),ISNUMBER('Operating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plan'!$Y$90),ISNUMBER('Replacement plan'!$Z$90),'Replacement plan'!$Z$90&gt;=0,ISNUMBER('Replacement plan'!$AA$90),'Replacement plan'!$AA$90&gt;=0,'Replacement plan'!$AA$90=INT('Replacement plan'!$AA$90),ISNUMBER('Replacement plan'!$L$90))),'Operating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plan'!$AG$90="",'Operating costs'!$B$7,'Replacement plan'!$AG$90)),IF('Replacement plan'!$AG$90="",'Operating costs'!$B$7,'Replacement plan'!$AG$90)&gt;=0,ISNUMBER(IF('Replacement plan'!$AH$90="",'Operating costs'!$B$7,'Replacement plan'!$AH$90)),IF('Replacement plan'!$AH$90="",'Operating costs'!$B$7,'Replacement plan'!$AH$90)&gt;=0,'Operating costs'!$B$8&gt;MAX(IF('Replacement plan'!$AG$90="",'Operating costs'!$B$7,'Replacement plan'!$AG$90),IF('Replacement plan'!$AH$90="",'Operating costs'!$B$7,'Replacement plan'!$AH$90))*'Operating costs'!$B$9),IF(AND(VLOOKUP($A342,'Fleet register'!$A$7:$S$106,10,FALSE)&gt;=0,VLOOKUP($A342,'Fleet register'!$A$7:$S$106,10,FALSE)&lt;=120,VLOOKUP($A342,'Fleet register'!$A$7:$S$106,10,FALSE)=INT(VLOOKUP($A342,'Fleet register'!$A$7:$S$106,10,FALSE)),VLOOKUP($A342,'Fleet register'!$A$7:$S$106,15,FALSE)&gt;=0,VLOOKUP($A342,'Fleet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costs'!$B$67)&gt;=0,OR(D342&lt;&gt;"EV",E342=120,AND(MIN('Operating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42" s="1" t="str">
        <f>IF(C342=0,"Excluded",IF(P342&lt;&gt;"Complete",P342,IF(OR('Replacement plan'!$AD$90&lt;120-E342,AND(D342="EV",E342&lt;120,OR('Replacement plan'!$AC$90&lt;120-E342,'Replacement plan'!$I$90="No",AND(ISNUMBER(AF342),AE342&gt;AF342),AI342&gt;V342*(1-'Operating costs'!$B$46)^MAX(0,AB342-1)*(1-'Operating costs'!$B$45),AC342&gt;'Operating costs'!$B$18,AND(T342&lt;1,OR(AG342&lt;=0,AND(ISNUMBER(AH342),AG342&gt;AH342))),'Replacement plan'!$L$90&gt;INDEX(Products!$H$7:$H$13,MATCH('Replacement plan'!$B$90,Products!$A$7:$A$13,0))))),"Fails entered limits",IF(AND(D342="EV",E342&lt;120,OR(NOT(ISNUMBER(VLOOKUP($A342,'Fleet register'!$A$7:$S$106,7,FALSE))),NOT(ISNUMBER(VLOOKUP($A342,'Fleet register'!$A$7:$S$106,8,FALSE))),NOT(ISNUMBER(AF342)),'Replacement plan'!$I$90&lt;&gt;"Yes",NOT(ISNUMBER(AH342)),'Operating costs'!$B$59&lt;&gt;"Yes",'Operating costs'!$B$58&lt;&gt;"Yes")),"Unverified","Within entered limits"))))</f>
        <v>Excluded</v>
      </c>
      <c r="R342" s="1">
        <f>IF(C342=0,0,VLOOKUP($A342,'Fleet register'!$A$7:$S$106,6,FALSE))</f>
        <v>0</v>
      </c>
      <c r="S342" s="1">
        <f>IF(C342=0,0,VLOOKUP($A342,'Fleet register'!$A$7:$S$106,5,FALSE))</f>
        <v>0</v>
      </c>
      <c r="T342" s="1">
        <f>IF(D342="EV",'Energy and charging'!$C$12,0)</f>
        <v>0</v>
      </c>
      <c r="U342" s="1">
        <f>IFERROR(IF(C342=0,0,IF(D342="EV",IF('Replacement plan'!$F$90="",INDEX(Products!$E$7:$E$13,MATCH('Replacement plan'!$B$90,Products!$A$7:$A$13,0)),'Replacement plan'!$F$90)/IF('Replacement plan'!$G$90="Battery",1-'Operating costs'!$B$44,1),0)),"n.a.")</f>
        <v>0</v>
      </c>
      <c r="V342" s="1">
        <f>IFERROR(IF(C342=0,0,IF(D342="EV",IF('Replacement plan'!$E$90="",INDEX(Products!$D$7:$D$13,MATCH('Replacement plan'!$B$90,Products!$A$7:$A$13,0)),'Replacement plan'!$E$90),0)),"n.a.")</f>
        <v>0</v>
      </c>
      <c r="W342" s="1">
        <f>IF(C342=0,0,IF(AND(P342="Complete",D342="EV",E342&lt;120),IF(T342=0,0,ROUNDUP(T342*(R342-'Operating costs'!$B$41)*(S342*U342+'Operating costs'!$B$48/(1-'Operating costs'!$B$44))/(V342*'Operating costs'!$B$47/(1-'Operating costs'!$B$44)-T342*'Operating costs'!$B$12*U342),0)),0))</f>
        <v>0</v>
      </c>
      <c r="X342" s="1">
        <f>IF(C342=0,0,IF(AND(P342="Complete",D342="EV",E342&lt;120),(R342-'Operating costs'!$B$41)*(S342*U342+'Operating costs'!$B$48/(1-'Operating costs'!$B$44))+W342*'Operating costs'!$B$12*U342,0))</f>
        <v>0</v>
      </c>
      <c r="Y342" s="1">
        <f>IF(AND(C342=1,D342="EV",E342&lt;120),AI342/(1-'Operating costs'!$B$44)*(1-T342),0)</f>
        <v>0</v>
      </c>
      <c r="Z342" s="1">
        <f t="shared" si="10"/>
        <v>0</v>
      </c>
      <c r="AA342" s="1">
        <f>IF(C342=0,0,IF(P342="Complete",((S342*(R342-'Operating costs'!$B$40))+ROUNDUP(S342*(R342-'Operating costs'!$B$40)*IF('Replacement plan'!$AH$90="",'Operating costs'!$B$7,'Replacement plan'!$AH$90)/('Operating costs'!$B$8-'Operating costs'!$B$9*IF('Replacement plan'!$AH$90="",'Operating costs'!$B$7,'Replacement plan'!$AH$90)),0)*'Operating costs'!$B$9)*IF('Replacement plan'!$AH$90="",'Operating costs'!$B$7,'Replacement plan'!$AH$90),"n.a."))</f>
        <v>0</v>
      </c>
      <c r="AB342" s="1">
        <f t="shared" si="11"/>
        <v>0</v>
      </c>
      <c r="AC342" s="1">
        <f>IF(AND(C342=1,D342="EV",E342&lt;120,T342&gt;0),'Operating costs'!$B$12/'Operating costs'!$B$11*60+'Operating costs'!$B$13+'Operating costs'!$B$14+V342*'Operating costs'!$B$47/(1-'Operating costs'!$B$44)/'Replacement plan'!$L$90*60,0)</f>
        <v>0</v>
      </c>
      <c r="AD342" s="1" t="str">
        <f>'Replacement plan'!$B$90</f>
        <v>ChengLong L2EV</v>
      </c>
      <c r="AE342" s="1">
        <f>IF(C342=0,0,VLOOKUP($A342,'Fleet register'!$A$7:$S$106,8,FALSE))</f>
        <v>0</v>
      </c>
      <c r="AF342" s="1" t="str">
        <f>IF('Replacement plan'!$H$90="","n.a.",'Replacement plan'!$H$90)</f>
        <v>n.a.</v>
      </c>
      <c r="AG342" s="1">
        <f>'Replacement plan'!$J$90</f>
        <v>22</v>
      </c>
      <c r="AH342" s="1">
        <f>IFERROR(IF(D342="EV",IF('Replacement plan'!$K$90="AC",IF(ISNUMBER(INDEX(Products!$G$7:$G$13,MATCH('Replacement plan'!$B$90,Products!$A$7:$A$13,0))),INDEX(Products!$G$7:$G$13,MATCH('Replacement plan'!$B$90,Products!$A$7:$A$13,0)),"n.a."),IF(ISNUMBER(INDEX(Products!$H$7:$H$13,MATCH('Replacement plan'!$B$90,Products!$A$7:$A$13,0))),INDEX(Products!$H$7:$H$13,MATCH('Replacement plan'!$B$90,Products!$A$7:$A$13,0)),"n.a.")),0),"n.a.")</f>
        <v>0</v>
      </c>
      <c r="AI342" s="1">
        <f>IF(AND(C342=1,D342="EV",E342&lt;120),(VLOOKUP($A342,'Fleet register'!$A$7:$S$106,7,FALSE)+IF(T342&gt;0,'Operating costs'!$B$12,0))*U342*(1-'Operating costs'!$B$44)+'Operating costs'!$B$49,0)</f>
        <v>0</v>
      </c>
      <c r="AJ342" s="1">
        <f>IF(D342="EV",'Energy and charging'!$C$50,0)</f>
        <v>0</v>
      </c>
      <c r="AK342" s="17">
        <f>EDATE('Operating costs'!$B$63,E342)</f>
        <v>46298</v>
      </c>
      <c r="AL342" s="1">
        <f>IFERROR(IF(D342="EV",INDEX(Products!$B$7:$B$13,MATCH('Replacement plan'!$B$90,Products!$A$7:$A$13,0)),0),"n.a.")</f>
        <v>0</v>
      </c>
      <c r="AM342" s="1" t="str">
        <f>'Replacement plan'!$K$90</f>
        <v>DC</v>
      </c>
      <c r="AN342" s="1" t="str">
        <f>'Replacement plan'!$AE$90</f>
        <v>Assumed</v>
      </c>
      <c r="AO342" s="47">
        <f>IF(AND(C342=1,D342="EV",E342&lt;120),(R342-'Operating costs'!$B$41)*S342+W342*'Operating costs'!$B$12,0)</f>
        <v>0</v>
      </c>
      <c r="AP342" s="41">
        <f>IF(AND(C342=1,D342="EV",E342&lt;120),IF('Operating costs'!$B$68="Hong Seh 200k average",AO342*IFERROR(INDEX(Products!$P$7:$P$13,MATCH(AD342,Products!$A$7:$A$13,0)),"n.a."),'Operating costs'!$B$26),0)</f>
        <v>0</v>
      </c>
      <c r="AQ342" s="40" t="str">
        <f>IF(D342="EV",'Operating costs'!$B$68,"Not applicable")</f>
        <v>Not applicable</v>
      </c>
    </row>
    <row r="343" spans="1:43" ht="24" customHeight="1">
      <c r="A343" s="1" t="str">
        <f>'Replacement plan'!A91</f>
        <v>T085</v>
      </c>
      <c r="B343" s="1">
        <v>0</v>
      </c>
      <c r="C343" s="1">
        <f>IF(COUNTIFS('Fleet register'!$A$7:$A$106,$A343)=1,VLOOKUP($A343,'Fleet register'!$A$7:$S$106,2,FALSE),0)</f>
        <v>0</v>
      </c>
      <c r="D343" s="1" t="str">
        <f>IF("Keep ICE"="EV","EV","ICE")</f>
        <v>ICE</v>
      </c>
      <c r="E343" s="1">
        <f>IF(C343=0,0,IF('Replacement plan'!$M$91="",VLOOKUP($A343,'Fleet register'!$A$7:$S$106,10,FALSE),'Replacement plan'!$M$91))</f>
        <v>0</v>
      </c>
      <c r="F343" s="16">
        <f>IF(C343=0,0,VLOOKUP($A343,'Fleet register'!$A$7:$S$106,11,FALSE))</f>
        <v>0</v>
      </c>
      <c r="G343" s="16">
        <f>IFERROR(IF(C343=0,0,IF(E343=120,0,IF(D343="ICE",'Replacement plan'!$C$91,IF('Replacement plan'!$D$91="",INDEX(Products!$I$7:$I$13,MATCH('Replacement plan'!$B$91,Products!$A$7:$A$13,0))+'Operating costs'!$B$57,'Replacement plan'!$D$91))*(1+'Operating costs'!$B$50)^(E343/12))),"n.a.")</f>
        <v>0</v>
      </c>
      <c r="H343" s="16">
        <f>IFERROR(IF(C343=0,0,IF(E343=0,F343,VLOOKUP($A343,'Fleet register'!$A$7:$S$106,12,FALSE)+VLOOKUP($A343,'Fleet register'!$A$7:$S$106,13,FALSE)*MAX(0,VLOOKUP($A343,'Fleet register'!$A$7:$S$106,10,FALSE)-E343)/VLOOKUP($A343,'Fleet register'!$A$7:$S$106,14,FALSE))),"n.a.")</f>
        <v>0</v>
      </c>
      <c r="I343" s="16">
        <f>IF(C343=0,0,IF(E343=120,0,'Replacement plan'!$N$91))</f>
        <v>0</v>
      </c>
      <c r="J343" s="16">
        <f>IF(C343=0,0,IF(P343="Complete",((S343*(R343-'Operating costs'!$B$39))+ROUNDUP(S343*(R343-'Operating costs'!$B$39)*IF('Replacement plan'!$AG$91="",'Operating costs'!$B$7,'Replacement plan'!$AG$91)/('Operating costs'!$B$8-'Operating costs'!$B$9*IF('Replacement plan'!$AG$91="",'Operating costs'!$B$7,'Replacement plan'!$AG$91)),0)*'Operating costs'!$B$9)*IF('Replacement plan'!$AG$91="",'Operating costs'!$B$7,'Replacement plan'!$AG$91)*('Energy and charging'!$B$9*'Energy and charging'!$B$7+(1-'Energy and charging'!$B$9)*'Energy and charging'!$B$8)*'Operating costs'!$B$23,"n.a."))</f>
        <v>0</v>
      </c>
      <c r="K343" s="16">
        <f>IF(C343=0,0,IF(P343="Complete",SUM('Operating costs'!$B$24,'Operating costs'!$B$27,'Operating costs'!$B$29,'Operating costs'!$B$31,'Operating costs'!$B$33,'Operating costs'!$B$34,'Operating costs'!$B$37,'Replacement plan'!$W$91)+'Operating costs'!$B$39*'Operating costs'!$B$42+ROUNDUP(S343*(R343-'Operating costs'!$B$39)*IF('Replacement plan'!$AG$91="",'Operating costs'!$B$7,'Replacement plan'!$AG$91)/('Operating costs'!$B$8-'Operating costs'!$B$9*IF('Replacement plan'!$AG$91="",'Operating costs'!$B$7,'Replacement plan'!$AG$91)),0)*('Operating costs'!$B$9/'Operating costs'!$B$11+'Operating costs'!$B$10/60)*'Operating costs'!$B$19*'Operating costs'!$B$21,"n.a."))</f>
        <v>0</v>
      </c>
      <c r="L343" s="16">
        <f>IF(C343=0,0,IF(P343="Complete",IF(D343="EV",X343*((1-T343)*'Energy and charging'!$B$10+T343*'Energy and charging'!$B$11)*'Operating costs'!$B$22,AA343*('Energy and charging'!$B$9*'Energy and charging'!$B$7+(1-'Energy and charging'!$B$9)*'Energy and charging'!$B$8)*'Operating costs'!$B$23),"n.a."))</f>
        <v>0</v>
      </c>
      <c r="M343" s="37">
        <f>IF(C343=0,0,IF(P343="Complete",IF(D343="ICE",SUM('Operating costs'!$B$25,'Operating costs'!$B$27,'Operating costs'!$B$29,'Operating costs'!$B$31,'Operating costs'!$B$33,'Operating costs'!$B$35,'Operating costs'!$B$37,'Replacement plan'!$X$91)+'Operating costs'!$B$40*'Operating costs'!$B$42+ROUNDUP(S343*(R343-'Operating costs'!$B$40)*IF('Replacement plan'!$AH$91="",'Operating costs'!$B$7,'Replacement plan'!$AH$91)/('Operating costs'!$B$8-'Operating costs'!$B$9*IF('Replacement plan'!$AH$91="",'Operating costs'!$B$7,'Replacement plan'!$AH$91)),0)*('Operating costs'!$B$9/'Operating costs'!$B$11+'Operating costs'!$B$10/60)*'Operating costs'!$B$19*'Operating costs'!$B$21,SUM(AP343,'Operating costs'!$B$28,'Operating costs'!$B$30,'Operating costs'!$B$32,'Operating costs'!$B$33,'Operating costs'!$B$36,'Operating costs'!$B$38,'Replacement plan'!$Y$91)+'Operating costs'!$B$41*'Operating costs'!$B$43+W343*'Operating costs'!$B$15+(T343*X343/'Replacement plan'!$L$91+W343*('Operating costs'!$B$12/'Operating costs'!$B$11+('Operating costs'!$B$13+'Operating costs'!$B$14)/60)+(R343-'Operating costs'!$B$41)*(IF(T343&lt;1,'Operating costs'!$B$16,0)+'Operating costs'!$B$17)/60)*'Operating costs'!$B$19*'Operating costs'!$B$20),"n.a."))</f>
        <v>0</v>
      </c>
      <c r="N343" s="16">
        <f>IF(AND(C343=1,D343="EV",E343&lt;120,E343+'Replacement plan'!$AA$91&lt;=120),'Replacement plan'!$Z$91,0)</f>
        <v>0</v>
      </c>
      <c r="O343" s="1">
        <f>E343+'Replacement plan'!$AA$91</f>
        <v>0</v>
      </c>
      <c r="P343" s="35" t="str">
        <f>IFERROR(IF(C343=0,"Excluded",IF(OR(COUNTIFS('Fleet register'!$A$7:$A$106,A343)&lt;&gt;1,COUNTIFS('Replacement plan'!$A$7:$A$106,A343)&lt;&gt;1),"Duplicate/missing ID",IF(NOT(AND(ISNUMBER(VLOOKUP($A343,'Fleet register'!$A$7:$S$106,5,FALSE)),ISNUMBER(VLOOKUP($A343,'Fleet register'!$A$7:$S$106,6,FALSE)),ISNUMBER(VLOOKUP($A343,'Fleet register'!$A$7:$S$106,10,FALSE)),ISNUMBER(VLOOKUP($A343,'Fleet register'!$A$7:$S$106,11,FALSE)),ISNUMBER(VLOOKUP($A343,'Fleet register'!$A$7:$S$106,12,FALSE)),ISNUMBER(VLOOKUP($A343,'Fleet register'!$A$7:$S$106,13,FALSE)),ISNUMBER(VLOOKUP($A343,'Fleet register'!$A$7:$S$106,14,FALSE)),VLOOKUP($A343,'Fleet register'!$A$7:$S$106,14,FALSE)&gt;0,ISNUMBER('Replacement plan'!$C$91),OR(E343=120,ISNUMBER('Replacement plan'!$N$91)),ISNUMBER(E343))),"Missing vehicle input",IF(OR(E343&lt;0,E343&gt;VLOOKUP($A343,'Fleet register'!$A$7:$S$106,10,FALSE),E343&gt;120,E343&lt;&gt;INT(E343),VLOOKUP($A343,'Fleet register'!$A$7:$S$106,6,FALSE)&lt;=0,VLOOKUP($A343,'Fleet register'!$A$7:$S$106,6,FALSE)&gt;366,VLOOKUP($A343,'Fleet register'!$A$7:$S$106,5,FALSE)&lt;0,VLOOKUP($A343,'Fleet register'!$A$7:$S$106,11,FALSE)&lt;0,I343&lt;0,'Operating costs'!$B$8&lt;='Operating costs'!$B$7*'Operating costs'!$B$9,'Operating costs'!$B$11&lt;=0,'Operating costs'!$B$39&gt;R343,'Operating costs'!$B$40&gt;R343,'Operating costs'!$B$41&gt;R343,NOT(OR("Keep ICE"="Keep ICE","Keep ICE"="New ICE","Keep ICE"="EV"))),"Invalid vehicle input",IF(AND(D343="EV",E343&lt;120,OR(NOT(ISNUMBER(U343)),NOT(ISNUMBER(V343)),V343&lt;=0,T343&lt;0,T343&gt;1,'Replacement plan'!$L$91&lt;=0,'Operating costs'!$B$44&lt;0,'Operating costs'!$B$44&gt;=1,'Operating costs'!$B$47&lt;=0,'Operating costs'!$B$47&gt;1,V343*'Operating costs'!$B$47/(1-'Operating costs'!$B$44)&lt;=T343*'Operating costs'!$B$12*U343,AND('Replacement plan'!$Z$91&gt;0,OR('Replacement plan'!$AB$91&lt;&gt;"Yes",'Operating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charging'!$B$8&gt;=0))),ISNUMBER(VLOOKUP($A343,'Fleet register'!$A$7:$S$106,15,FALSE)),ISNUMBER(VLOOKUP($A343,'Fleet register'!$A$7:$S$106,16,FALSE)),ISNUMBER('Replacement plan'!$W$91),ISNUMBER('Replacement plan'!$X$91),OR(E343=120,AND(ISNUMBER(G343),G343&gt;=0)),ISNUMBER(H343),H343&gt;=0,OR(D343&lt;&gt;"EV",E343=120,AND(ISNUMBER('Operating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average",ISNUMBER(IFERROR(INDEX(Products!$P$7:$P$13,MATCH(AD343,Products!$A$7:$A$13,0)),"")))),ISNUMBER('Operating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plan'!$Y$91),ISNUMBER('Replacement plan'!$Z$91),'Replacement plan'!$Z$91&gt;=0,ISNUMBER('Replacement plan'!$AA$91),'Replacement plan'!$AA$91&gt;=0,'Replacement plan'!$AA$91=INT('Replacement plan'!$AA$91),ISNUMBER('Replacement plan'!$L$91))),'Operating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plan'!$AG$91="",'Operating costs'!$B$7,'Replacement plan'!$AG$91)),IF('Replacement plan'!$AG$91="",'Operating costs'!$B$7,'Replacement plan'!$AG$91)&gt;=0,ISNUMBER(IF('Replacement plan'!$AH$91="",'Operating costs'!$B$7,'Replacement plan'!$AH$91)),IF('Replacement plan'!$AH$91="",'Operating costs'!$B$7,'Replacement plan'!$AH$91)&gt;=0,'Operating costs'!$B$8&gt;MAX(IF('Replacement plan'!$AG$91="",'Operating costs'!$B$7,'Replacement plan'!$AG$91),IF('Replacement plan'!$AH$91="",'Operating costs'!$B$7,'Replacement plan'!$AH$91))*'Operating costs'!$B$9),IF(AND(VLOOKUP($A343,'Fleet register'!$A$7:$S$106,10,FALSE)&gt;=0,VLOOKUP($A343,'Fleet register'!$A$7:$S$106,10,FALSE)&lt;=120,VLOOKUP($A343,'Fleet register'!$A$7:$S$106,10,FALSE)=INT(VLOOKUP($A343,'Fleet register'!$A$7:$S$106,10,FALSE)),VLOOKUP($A343,'Fleet register'!$A$7:$S$106,15,FALSE)&gt;=0,VLOOKUP($A343,'Fleet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costs'!$B$67)&gt;=0,OR(D343&lt;&gt;"EV",E343=120,AND(MIN('Operating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43" s="1" t="str">
        <f>IF(C343=0,"Excluded",IF(P343&lt;&gt;"Complete",P343,IF(OR('Replacement plan'!$AD$91&lt;120-E343,AND(D343="EV",E343&lt;120,OR('Replacement plan'!$AC$91&lt;120-E343,'Replacement plan'!$I$91="No",AND(ISNUMBER(AF343),AE343&gt;AF343),AI343&gt;V343*(1-'Operating costs'!$B$46)^MAX(0,AB343-1)*(1-'Operating costs'!$B$45),AC343&gt;'Operating costs'!$B$18,AND(T343&lt;1,OR(AG343&lt;=0,AND(ISNUMBER(AH343),AG343&gt;AH343))),'Replacement plan'!$L$91&gt;INDEX(Products!$H$7:$H$13,MATCH('Replacement plan'!$B$91,Products!$A$7:$A$13,0))))),"Fails entered limits",IF(AND(D343="EV",E343&lt;120,OR(NOT(ISNUMBER(VLOOKUP($A343,'Fleet register'!$A$7:$S$106,7,FALSE))),NOT(ISNUMBER(VLOOKUP($A343,'Fleet register'!$A$7:$S$106,8,FALSE))),NOT(ISNUMBER(AF343)),'Replacement plan'!$I$91&lt;&gt;"Yes",NOT(ISNUMBER(AH343)),'Operating costs'!$B$59&lt;&gt;"Yes",'Operating costs'!$B$58&lt;&gt;"Yes")),"Unverified","Within entered limits"))))</f>
        <v>Excluded</v>
      </c>
      <c r="R343" s="1">
        <f>IF(C343=0,0,VLOOKUP($A343,'Fleet register'!$A$7:$S$106,6,FALSE))</f>
        <v>0</v>
      </c>
      <c r="S343" s="1">
        <f>IF(C343=0,0,VLOOKUP($A343,'Fleet register'!$A$7:$S$106,5,FALSE))</f>
        <v>0</v>
      </c>
      <c r="T343" s="1">
        <f>IF(D343="EV",'Energy and charging'!$B$12,0)</f>
        <v>0</v>
      </c>
      <c r="U343" s="1">
        <f>IFERROR(IF(C343=0,0,IF(D343="EV",IF('Replacement plan'!$F$91="",INDEX(Products!$E$7:$E$13,MATCH('Replacement plan'!$B$91,Products!$A$7:$A$13,0)),'Replacement plan'!$F$91)/IF('Replacement plan'!$G$91="Battery",1-'Operating costs'!$B$44,1),0)),"n.a.")</f>
        <v>0</v>
      </c>
      <c r="V343" s="1">
        <f>IFERROR(IF(C343=0,0,IF(D343="EV",IF('Replacement plan'!$E$91="",INDEX(Products!$D$7:$D$13,MATCH('Replacement plan'!$B$91,Products!$A$7:$A$13,0)),'Replacement plan'!$E$91),0)),"n.a.")</f>
        <v>0</v>
      </c>
      <c r="W343" s="1">
        <f>IF(C343=0,0,IF(AND(P343="Complete",D343="EV",E343&lt;120),IF(T343=0,0,ROUNDUP(T343*(R343-'Operating costs'!$B$41)*(S343*U343+'Operating costs'!$B$48/(1-'Operating costs'!$B$44))/(V343*'Operating costs'!$B$47/(1-'Operating costs'!$B$44)-T343*'Operating costs'!$B$12*U343),0)),0))</f>
        <v>0</v>
      </c>
      <c r="X343" s="1">
        <f>IF(C343=0,0,IF(AND(P343="Complete",D343="EV",E343&lt;120),(R343-'Operating costs'!$B$41)*(S343*U343+'Operating costs'!$B$48/(1-'Operating costs'!$B$44))+W343*'Operating costs'!$B$12*U343,0))</f>
        <v>0</v>
      </c>
      <c r="Y343" s="1">
        <f>IF(AND(C343=1,D343="EV",E343&lt;120),AI343/(1-'Operating costs'!$B$44)*(1-T343),0)</f>
        <v>0</v>
      </c>
      <c r="Z343" s="1">
        <f t="shared" si="10"/>
        <v>0</v>
      </c>
      <c r="AA343" s="1">
        <f>IF(C343=0,0,IF(P343="Complete",((S343*(R343-'Operating costs'!$B$40))+ROUNDUP(S343*(R343-'Operating costs'!$B$40)*IF('Replacement plan'!$AH$91="",'Operating costs'!$B$7,'Replacement plan'!$AH$91)/('Operating costs'!$B$8-'Operating costs'!$B$9*IF('Replacement plan'!$AH$91="",'Operating costs'!$B$7,'Replacement plan'!$AH$91)),0)*'Operating costs'!$B$9)*IF('Replacement plan'!$AH$91="",'Operating costs'!$B$7,'Replacement plan'!$AH$91),"n.a."))</f>
        <v>0</v>
      </c>
      <c r="AB343" s="1">
        <f t="shared" si="11"/>
        <v>0</v>
      </c>
      <c r="AC343" s="1">
        <f>IF(AND(C343=1,D343="EV",E343&lt;120,T343&gt;0),'Operating costs'!$B$12/'Operating costs'!$B$11*60+'Operating costs'!$B$13+'Operating costs'!$B$14+V343*'Operating costs'!$B$47/(1-'Operating costs'!$B$44)/'Replacement plan'!$L$91*60,0)</f>
        <v>0</v>
      </c>
      <c r="AD343" s="1" t="str">
        <f>'Replacement plan'!$B$91</f>
        <v>ChengLong L2EV</v>
      </c>
      <c r="AE343" s="1">
        <f>IF(C343=0,0,VLOOKUP($A343,'Fleet register'!$A$7:$S$106,8,FALSE))</f>
        <v>0</v>
      </c>
      <c r="AF343" s="1" t="str">
        <f>IF('Replacement plan'!$H$91="","n.a.",'Replacement plan'!$H$91)</f>
        <v>n.a.</v>
      </c>
      <c r="AG343" s="1">
        <f>'Replacement plan'!$J$91</f>
        <v>22</v>
      </c>
      <c r="AH343" s="1">
        <f>IFERROR(IF(D343="EV",IF('Replacement plan'!$K$91="AC",IF(ISNUMBER(INDEX(Products!$G$7:$G$13,MATCH('Replacement plan'!$B$91,Products!$A$7:$A$13,0))),INDEX(Products!$G$7:$G$13,MATCH('Replacement plan'!$B$91,Products!$A$7:$A$13,0)),"n.a."),IF(ISNUMBER(INDEX(Products!$H$7:$H$13,MATCH('Replacement plan'!$B$91,Products!$A$7:$A$13,0))),INDEX(Products!$H$7:$H$13,MATCH('Replacement plan'!$B$91,Products!$A$7:$A$13,0)),"n.a.")),0),"n.a.")</f>
        <v>0</v>
      </c>
      <c r="AI343" s="1">
        <f>IF(AND(C343=1,D343="EV",E343&lt;120),(VLOOKUP($A343,'Fleet register'!$A$7:$S$106,7,FALSE)+IF(T343&gt;0,'Operating costs'!$B$12,0))*U343*(1-'Operating costs'!$B$44)+'Operating costs'!$B$49,0)</f>
        <v>0</v>
      </c>
      <c r="AJ343" s="1">
        <f>IF(D343="EV",'Energy and charging'!$B$50,0)</f>
        <v>0</v>
      </c>
      <c r="AK343" s="17">
        <f>EDATE('Operating costs'!$B$63,E343)</f>
        <v>46298</v>
      </c>
      <c r="AL343" s="1">
        <f>IFERROR(IF(D343="EV",INDEX(Products!$B$7:$B$13,MATCH('Replacement plan'!$B$91,Products!$A$7:$A$13,0)),0),"n.a.")</f>
        <v>0</v>
      </c>
      <c r="AM343" s="1" t="str">
        <f>'Replacement plan'!$K$91</f>
        <v>DC</v>
      </c>
      <c r="AN343" s="1" t="str">
        <f>'Replacement plan'!$AE$91</f>
        <v>Assumed</v>
      </c>
      <c r="AO343" s="47">
        <f>IF(AND(C343=1,D343="EV",E343&lt;120),(R343-'Operating costs'!$B$41)*S343+W343*'Operating costs'!$B$12,0)</f>
        <v>0</v>
      </c>
      <c r="AP343" s="41">
        <f>IF(AND(C343=1,D343="EV",E343&lt;120),IF('Operating costs'!$B$68="Hong Seh 200k average",AO343*IFERROR(INDEX(Products!$P$7:$P$13,MATCH(AD343,Products!$A$7:$A$13,0)),"n.a."),'Operating costs'!$B$26),0)</f>
        <v>0</v>
      </c>
      <c r="AQ343" s="40" t="str">
        <f>IF(D343="EV",'Operating costs'!$B$68,"Not applicable")</f>
        <v>Not applicable</v>
      </c>
    </row>
    <row r="344" spans="1:43" ht="24" customHeight="1">
      <c r="A344" s="1" t="str">
        <f>'Replacement plan'!A91</f>
        <v>T085</v>
      </c>
      <c r="B344" s="1">
        <v>1</v>
      </c>
      <c r="C344" s="1">
        <f>IF(COUNTIFS('Fleet register'!$A$7:$A$106,$A344)=1,VLOOKUP($A344,'Fleet register'!$A$7:$S$106,2,FALSE),0)</f>
        <v>0</v>
      </c>
      <c r="D344" s="1" t="str">
        <f>IF("New ICE"="EV","EV","ICE")</f>
        <v>ICE</v>
      </c>
      <c r="E344" s="1">
        <f>IF(C344=0,0,0)</f>
        <v>0</v>
      </c>
      <c r="F344" s="16">
        <f>IF(C344=0,0,VLOOKUP($A344,'Fleet register'!$A$7:$S$106,11,FALSE))</f>
        <v>0</v>
      </c>
      <c r="G344" s="16">
        <f>IFERROR(IF(C344=0,0,IF(E344=120,0,IF(D344="ICE",'Replacement plan'!$C$91,IF('Replacement plan'!$D$91="",INDEX(Products!$I$7:$I$13,MATCH('Replacement plan'!$B$91,Products!$A$7:$A$13,0))+'Operating costs'!$B$57,'Replacement plan'!$D$91))*(1+'Operating costs'!$B$50)^(E344/12))),"n.a.")</f>
        <v>0</v>
      </c>
      <c r="H344" s="16">
        <f>IFERROR(IF(C344=0,0,IF(E344=0,F344,VLOOKUP($A344,'Fleet register'!$A$7:$S$106,12,FALSE)+VLOOKUP($A344,'Fleet register'!$A$7:$S$106,13,FALSE)*MAX(0,VLOOKUP($A344,'Fleet register'!$A$7:$S$106,10,FALSE)-E344)/VLOOKUP($A344,'Fleet register'!$A$7:$S$106,14,FALSE))),"n.a.")</f>
        <v>0</v>
      </c>
      <c r="I344" s="16">
        <f>IF(C344=0,0,IF(E344=120,0,IF('Replacement plan'!$AI$91="",'Operating costs'!$B$56,'Replacement plan'!$AI$91)))</f>
        <v>0</v>
      </c>
      <c r="J344" s="16">
        <f>IF(C344=0,0,IF(P344="Complete",((S344*(R344-'Operating costs'!$B$39))+ROUNDUP(S344*(R344-'Operating costs'!$B$39)*IF('Replacement plan'!$AG$91="",'Operating costs'!$B$7,'Replacement plan'!$AG$91)/('Operating costs'!$B$8-'Operating costs'!$B$9*IF('Replacement plan'!$AG$91="",'Operating costs'!$B$7,'Replacement plan'!$AG$91)),0)*'Operating costs'!$B$9)*IF('Replacement plan'!$AG$91="",'Operating costs'!$B$7,'Replacement plan'!$AG$91)*('Energy and charging'!$B$9*'Energy and charging'!$B$7+(1-'Energy and charging'!$B$9)*'Energy and charging'!$B$8)*'Operating costs'!$B$23,"n.a."))</f>
        <v>0</v>
      </c>
      <c r="K344" s="16">
        <f>IF(C344=0,0,IF(P344="Complete",SUM('Operating costs'!$B$24,'Operating costs'!$B$27,'Operating costs'!$B$29,'Operating costs'!$B$31,'Operating costs'!$B$33,'Operating costs'!$B$34,'Operating costs'!$B$37,'Replacement plan'!$W$91)+'Operating costs'!$B$39*'Operating costs'!$B$42+ROUNDUP(S344*(R344-'Operating costs'!$B$39)*IF('Replacement plan'!$AG$91="",'Operating costs'!$B$7,'Replacement plan'!$AG$91)/('Operating costs'!$B$8-'Operating costs'!$B$9*IF('Replacement plan'!$AG$91="",'Operating costs'!$B$7,'Replacement plan'!$AG$91)),0)*('Operating costs'!$B$9/'Operating costs'!$B$11+'Operating costs'!$B$10/60)*'Operating costs'!$B$19*'Operating costs'!$B$21,"n.a."))</f>
        <v>0</v>
      </c>
      <c r="L344" s="16">
        <f>IF(C344=0,0,IF(P344="Complete",IF(D344="EV",X344*((1-T344)*'Energy and charging'!$B$10+T344*'Energy and charging'!$B$11)*'Operating costs'!$B$22,AA344*('Energy and charging'!$B$9*'Energy and charging'!$B$7+(1-'Energy and charging'!$B$9)*'Energy and charging'!$B$8)*'Operating costs'!$B$23),"n.a."))</f>
        <v>0</v>
      </c>
      <c r="M344" s="37">
        <f>IF(C344=0,0,IF(P344="Complete",IF(D344="ICE",SUM('Operating costs'!$B$25,'Operating costs'!$B$27,'Operating costs'!$B$29,'Operating costs'!$B$31,'Operating costs'!$B$33,'Operating costs'!$B$35,'Operating costs'!$B$37,'Replacement plan'!$X$91)+'Operating costs'!$B$40*'Operating costs'!$B$42+ROUNDUP(S344*(R344-'Operating costs'!$B$40)*IF('Replacement plan'!$AH$91="",'Operating costs'!$B$7,'Replacement plan'!$AH$91)/('Operating costs'!$B$8-'Operating costs'!$B$9*IF('Replacement plan'!$AH$91="",'Operating costs'!$B$7,'Replacement plan'!$AH$91)),0)*('Operating costs'!$B$9/'Operating costs'!$B$11+'Operating costs'!$B$10/60)*'Operating costs'!$B$19*'Operating costs'!$B$21,SUM(AP344,'Operating costs'!$B$28,'Operating costs'!$B$30,'Operating costs'!$B$32,'Operating costs'!$B$33,'Operating costs'!$B$36,'Operating costs'!$B$38,'Replacement plan'!$Y$91)+'Operating costs'!$B$41*'Operating costs'!$B$43+W344*'Operating costs'!$B$15+(T344*X344/'Replacement plan'!$L$91+W344*('Operating costs'!$B$12/'Operating costs'!$B$11+('Operating costs'!$B$13+'Operating costs'!$B$14)/60)+(R344-'Operating costs'!$B$41)*(IF(T344&lt;1,'Operating costs'!$B$16,0)+'Operating costs'!$B$17)/60)*'Operating costs'!$B$19*'Operating costs'!$B$20),"n.a."))</f>
        <v>0</v>
      </c>
      <c r="N344" s="16">
        <f>IF(AND(C344=1,D344="EV",E344&lt;120,E344+'Replacement plan'!$AA$91&lt;=120),'Replacement plan'!$Z$91,0)</f>
        <v>0</v>
      </c>
      <c r="O344" s="1">
        <f>E344+'Replacement plan'!$AA$91</f>
        <v>0</v>
      </c>
      <c r="P344" s="35" t="str">
        <f>IFERROR(IF(C344=0,"Excluded",IF(OR(COUNTIFS('Fleet register'!$A$7:$A$106,A344)&lt;&gt;1,COUNTIFS('Replacement plan'!$A$7:$A$106,A344)&lt;&gt;1),"Duplicate/missing ID",IF(NOT(AND(ISNUMBER(VLOOKUP($A344,'Fleet register'!$A$7:$S$106,5,FALSE)),ISNUMBER(VLOOKUP($A344,'Fleet register'!$A$7:$S$106,6,FALSE)),ISNUMBER(VLOOKUP($A344,'Fleet register'!$A$7:$S$106,10,FALSE)),ISNUMBER(VLOOKUP($A344,'Fleet register'!$A$7:$S$106,11,FALSE)),ISNUMBER(VLOOKUP($A344,'Fleet register'!$A$7:$S$106,12,FALSE)),ISNUMBER(VLOOKUP($A344,'Fleet register'!$A$7:$S$106,13,FALSE)),ISNUMBER(VLOOKUP($A344,'Fleet register'!$A$7:$S$106,14,FALSE)),VLOOKUP($A344,'Fleet register'!$A$7:$S$106,14,FALSE)&gt;0,ISNUMBER('Replacement plan'!$C$91),OR(E344=120,OR(ISNUMBER('Replacement plan'!$AI$91),AND('Replacement plan'!$AI$91="",ISNUMBER('Operating costs'!$B$56)))),ISNUMBER(E344))),"Missing vehicle input",IF(OR(E344&lt;0,E344&gt;VLOOKUP($A344,'Fleet register'!$A$7:$S$106,10,FALSE),E344&gt;120,E344&lt;&gt;INT(E344),VLOOKUP($A344,'Fleet register'!$A$7:$S$106,6,FALSE)&lt;=0,VLOOKUP($A344,'Fleet register'!$A$7:$S$106,6,FALSE)&gt;366,VLOOKUP($A344,'Fleet register'!$A$7:$S$106,5,FALSE)&lt;0,VLOOKUP($A344,'Fleet register'!$A$7:$S$106,11,FALSE)&lt;0,I344&lt;0,'Operating costs'!$B$8&lt;='Operating costs'!$B$7*'Operating costs'!$B$9,'Operating costs'!$B$11&lt;=0,'Operating costs'!$B$39&gt;R344,'Operating costs'!$B$40&gt;R344,'Operating costs'!$B$41&gt;R344,NOT(OR("New ICE"="Keep ICE","New ICE"="New ICE","New ICE"="EV"))),"Invalid vehicle input",IF(AND(D344="EV",E344&lt;120,OR(NOT(ISNUMBER(U344)),NOT(ISNUMBER(V344)),V344&lt;=0,T344&lt;0,T344&gt;1,'Replacement plan'!$L$91&lt;=0,'Operating costs'!$B$44&lt;0,'Operating costs'!$B$44&gt;=1,'Operating costs'!$B$47&lt;=0,'Operating costs'!$B$47&gt;1,V344*'Operating costs'!$B$47/(1-'Operating costs'!$B$44)&lt;=T344*'Operating costs'!$B$12*U344,AND('Replacement plan'!$Z$91&gt;0,OR('Replacement plan'!$AB$91&lt;&gt;"Yes",'Operating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charging'!$B$8&gt;=0))),ISNUMBER(VLOOKUP($A344,'Fleet register'!$A$7:$S$106,15,FALSE)),ISNUMBER(VLOOKUP($A344,'Fleet register'!$A$7:$S$106,16,FALSE)),ISNUMBER('Replacement plan'!$W$91),ISNUMBER('Replacement plan'!$X$91),OR(E344=120,AND(ISNUMBER(G344),G344&gt;=0)),ISNUMBER(H344),H344&gt;=0,OR(D344&lt;&gt;"EV",E344=120,AND(ISNUMBER('Operating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average",ISNUMBER(IFERROR(INDEX(Products!$P$7:$P$13,MATCH(AD344,Products!$A$7:$A$13,0)),"")))),ISNUMBER('Operating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plan'!$Y$91),ISNUMBER('Replacement plan'!$Z$91),'Replacement plan'!$Z$91&gt;=0,ISNUMBER('Replacement plan'!$AA$91),'Replacement plan'!$AA$91&gt;=0,'Replacement plan'!$AA$91=INT('Replacement plan'!$AA$91),ISNUMBER('Replacement plan'!$L$91))),'Operating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plan'!$AG$91="",'Operating costs'!$B$7,'Replacement plan'!$AG$91)),IF('Replacement plan'!$AG$91="",'Operating costs'!$B$7,'Replacement plan'!$AG$91)&gt;=0,ISNUMBER(IF('Replacement plan'!$AH$91="",'Operating costs'!$B$7,'Replacement plan'!$AH$91)),IF('Replacement plan'!$AH$91="",'Operating costs'!$B$7,'Replacement plan'!$AH$91)&gt;=0,'Operating costs'!$B$8&gt;MAX(IF('Replacement plan'!$AG$91="",'Operating costs'!$B$7,'Replacement plan'!$AG$91),IF('Replacement plan'!$AH$91="",'Operating costs'!$B$7,'Replacement plan'!$AH$91))*'Operating costs'!$B$9),IF(AND(VLOOKUP($A344,'Fleet register'!$A$7:$S$106,10,FALSE)&gt;=0,VLOOKUP($A344,'Fleet register'!$A$7:$S$106,10,FALSE)&lt;=120,VLOOKUP($A344,'Fleet register'!$A$7:$S$106,10,FALSE)=INT(VLOOKUP($A344,'Fleet register'!$A$7:$S$106,10,FALSE)),VLOOKUP($A344,'Fleet register'!$A$7:$S$106,15,FALSE)&gt;=0,VLOOKUP($A344,'Fleet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costs'!$B$67)&gt;=0,OR(D344&lt;&gt;"EV",E344=120,AND(MIN('Operating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44" s="1" t="str">
        <f>IF(C344=0,"Excluded",IF(P344&lt;&gt;"Complete",P344,IF(OR('Replacement plan'!$AD$91&lt;120-E344,AND(D344="EV",E344&lt;120,OR('Replacement plan'!$AC$91&lt;120-E344,'Replacement plan'!$I$91="No",AND(ISNUMBER(AF344),AE344&gt;AF344),AI344&gt;V344*(1-'Operating costs'!$B$46)^MAX(0,AB344-1)*(1-'Operating costs'!$B$45),AC344&gt;'Operating costs'!$B$18,AND(T344&lt;1,OR(AG344&lt;=0,AND(ISNUMBER(AH344),AG344&gt;AH344))),'Replacement plan'!$L$91&gt;INDEX(Products!$H$7:$H$13,MATCH('Replacement plan'!$B$91,Products!$A$7:$A$13,0))))),"Fails entered limits",IF(AND(D344="EV",E344&lt;120,OR(NOT(ISNUMBER(VLOOKUP($A344,'Fleet register'!$A$7:$S$106,7,FALSE))),NOT(ISNUMBER(VLOOKUP($A344,'Fleet register'!$A$7:$S$106,8,FALSE))),NOT(ISNUMBER(AF344)),'Replacement plan'!$I$91&lt;&gt;"Yes",NOT(ISNUMBER(AH344)),'Operating costs'!$B$59&lt;&gt;"Yes",'Operating costs'!$B$58&lt;&gt;"Yes")),"Unverified","Within entered limits"))))</f>
        <v>Excluded</v>
      </c>
      <c r="R344" s="1">
        <f>IF(C344=0,0,VLOOKUP($A344,'Fleet register'!$A$7:$S$106,6,FALSE))</f>
        <v>0</v>
      </c>
      <c r="S344" s="1">
        <f>IF(C344=0,0,VLOOKUP($A344,'Fleet register'!$A$7:$S$106,5,FALSE))</f>
        <v>0</v>
      </c>
      <c r="T344" s="1">
        <f>IF(D344="EV",'Energy and charging'!$B$12,0)</f>
        <v>0</v>
      </c>
      <c r="U344" s="1">
        <f>IFERROR(IF(C344=0,0,IF(D344="EV",IF('Replacement plan'!$F$91="",INDEX(Products!$E$7:$E$13,MATCH('Replacement plan'!$B$91,Products!$A$7:$A$13,0)),'Replacement plan'!$F$91)/IF('Replacement plan'!$G$91="Battery",1-'Operating costs'!$B$44,1),0)),"n.a.")</f>
        <v>0</v>
      </c>
      <c r="V344" s="1">
        <f>IFERROR(IF(C344=0,0,IF(D344="EV",IF('Replacement plan'!$E$91="",INDEX(Products!$D$7:$D$13,MATCH('Replacement plan'!$B$91,Products!$A$7:$A$13,0)),'Replacement plan'!$E$91),0)),"n.a.")</f>
        <v>0</v>
      </c>
      <c r="W344" s="1">
        <f>IF(C344=0,0,IF(AND(P344="Complete",D344="EV",E344&lt;120),IF(T344=0,0,ROUNDUP(T344*(R344-'Operating costs'!$B$41)*(S344*U344+'Operating costs'!$B$48/(1-'Operating costs'!$B$44))/(V344*'Operating costs'!$B$47/(1-'Operating costs'!$B$44)-T344*'Operating costs'!$B$12*U344),0)),0))</f>
        <v>0</v>
      </c>
      <c r="X344" s="1">
        <f>IF(C344=0,0,IF(AND(P344="Complete",D344="EV",E344&lt;120),(R344-'Operating costs'!$B$41)*(S344*U344+'Operating costs'!$B$48/(1-'Operating costs'!$B$44))+W344*'Operating costs'!$B$12*U344,0))</f>
        <v>0</v>
      </c>
      <c r="Y344" s="1">
        <f>IF(AND(C344=1,D344="EV",E344&lt;120),AI344/(1-'Operating costs'!$B$44)*(1-T344),0)</f>
        <v>0</v>
      </c>
      <c r="Z344" s="1">
        <f t="shared" si="10"/>
        <v>0</v>
      </c>
      <c r="AA344" s="1">
        <f>IF(C344=0,0,IF(P344="Complete",((S344*(R344-'Operating costs'!$B$40))+ROUNDUP(S344*(R344-'Operating costs'!$B$40)*IF('Replacement plan'!$AH$91="",'Operating costs'!$B$7,'Replacement plan'!$AH$91)/('Operating costs'!$B$8-'Operating costs'!$B$9*IF('Replacement plan'!$AH$91="",'Operating costs'!$B$7,'Replacement plan'!$AH$91)),0)*'Operating costs'!$B$9)*IF('Replacement plan'!$AH$91="",'Operating costs'!$B$7,'Replacement plan'!$AH$91),"n.a."))</f>
        <v>0</v>
      </c>
      <c r="AB344" s="1">
        <f t="shared" si="11"/>
        <v>0</v>
      </c>
      <c r="AC344" s="1">
        <f>IF(AND(C344=1,D344="EV",E344&lt;120,T344&gt;0),'Operating costs'!$B$12/'Operating costs'!$B$11*60+'Operating costs'!$B$13+'Operating costs'!$B$14+V344*'Operating costs'!$B$47/(1-'Operating costs'!$B$44)/'Replacement plan'!$L$91*60,0)</f>
        <v>0</v>
      </c>
      <c r="AD344" s="1" t="str">
        <f>'Replacement plan'!$B$91</f>
        <v>ChengLong L2EV</v>
      </c>
      <c r="AE344" s="1">
        <f>IF(C344=0,0,VLOOKUP($A344,'Fleet register'!$A$7:$S$106,8,FALSE))</f>
        <v>0</v>
      </c>
      <c r="AF344" s="1" t="str">
        <f>IF('Replacement plan'!$H$91="","n.a.",'Replacement plan'!$H$91)</f>
        <v>n.a.</v>
      </c>
      <c r="AG344" s="1">
        <f>'Replacement plan'!$J$91</f>
        <v>22</v>
      </c>
      <c r="AH344" s="1">
        <f>IFERROR(IF(D344="EV",IF('Replacement plan'!$K$91="AC",IF(ISNUMBER(INDEX(Products!$G$7:$G$13,MATCH('Replacement plan'!$B$91,Products!$A$7:$A$13,0))),INDEX(Products!$G$7:$G$13,MATCH('Replacement plan'!$B$91,Products!$A$7:$A$13,0)),"n.a."),IF(ISNUMBER(INDEX(Products!$H$7:$H$13,MATCH('Replacement plan'!$B$91,Products!$A$7:$A$13,0))),INDEX(Products!$H$7:$H$13,MATCH('Replacement plan'!$B$91,Products!$A$7:$A$13,0)),"n.a.")),0),"n.a.")</f>
        <v>0</v>
      </c>
      <c r="AI344" s="1">
        <f>IF(AND(C344=1,D344="EV",E344&lt;120),(VLOOKUP($A344,'Fleet register'!$A$7:$S$106,7,FALSE)+IF(T344&gt;0,'Operating costs'!$B$12,0))*U344*(1-'Operating costs'!$B$44)+'Operating costs'!$B$49,0)</f>
        <v>0</v>
      </c>
      <c r="AJ344" s="1">
        <f>IF(D344="EV",'Energy and charging'!$B$50,0)</f>
        <v>0</v>
      </c>
      <c r="AK344" s="17">
        <f>EDATE('Operating costs'!$B$63,E344)</f>
        <v>46298</v>
      </c>
      <c r="AL344" s="1">
        <f>IFERROR(IF(D344="EV",INDEX(Products!$B$7:$B$13,MATCH('Replacement plan'!$B$91,Products!$A$7:$A$13,0)),0),"n.a.")</f>
        <v>0</v>
      </c>
      <c r="AM344" s="1" t="str">
        <f>'Replacement plan'!$K$91</f>
        <v>DC</v>
      </c>
      <c r="AN344" s="1" t="str">
        <f>'Replacement plan'!$AE$91</f>
        <v>Assumed</v>
      </c>
      <c r="AO344" s="47">
        <f>IF(AND(C344=1,D344="EV",E344&lt;120),(R344-'Operating costs'!$B$41)*S344+W344*'Operating costs'!$B$12,0)</f>
        <v>0</v>
      </c>
      <c r="AP344" s="41">
        <f>IF(AND(C344=1,D344="EV",E344&lt;120),IF('Operating costs'!$B$68="Hong Seh 200k average",AO344*IFERROR(INDEX(Products!$P$7:$P$13,MATCH(AD344,Products!$A$7:$A$13,0)),"n.a."),'Operating costs'!$B$26),0)</f>
        <v>0</v>
      </c>
      <c r="AQ344" s="40" t="str">
        <f>IF(D344="EV",'Operating costs'!$B$68,"Not applicable")</f>
        <v>Not applicable</v>
      </c>
    </row>
    <row r="345" spans="1:43" ht="24" customHeight="1">
      <c r="A345" s="1" t="str">
        <f>'Replacement plan'!A91</f>
        <v>T085</v>
      </c>
      <c r="B345" s="1">
        <v>2</v>
      </c>
      <c r="C345" s="1">
        <f>IF(COUNTIFS('Fleet register'!$A$7:$A$106,$A345)=1,VLOOKUP($A345,'Fleet register'!$A$7:$S$106,2,FALSE),0)</f>
        <v>0</v>
      </c>
      <c r="D345" s="1" t="str">
        <f>IF('Replacement plan'!$O$91="EV","EV","ICE")</f>
        <v>ICE</v>
      </c>
      <c r="E345" s="1">
        <f>IF(C345=0,0,IF('Replacement plan'!$P$91="",IF('Replacement plan'!$O$91="Keep ICE",IF('Replacement plan'!$M$91="",VLOOKUP($A345,'Fleet register'!$A$7:$S$106,10,FALSE),'Replacement plan'!$M$91),0),'Replacement plan'!$P$91))</f>
        <v>0</v>
      </c>
      <c r="F345" s="16">
        <f>IF(C345=0,0,VLOOKUP($A345,'Fleet register'!$A$7:$S$106,11,FALSE))</f>
        <v>0</v>
      </c>
      <c r="G345" s="16">
        <f>IFERROR(IF(C345=0,0,IF(E345=120,0,IF(D345="ICE",'Replacement plan'!$C$91,IF('Replacement plan'!$D$91="",INDEX(Products!$I$7:$I$13,MATCH('Replacement plan'!$B$91,Products!$A$7:$A$13,0))+'Operating costs'!$B$57,'Replacement plan'!$D$91))*(1+'Operating costs'!$B$50)^(E345/12))),"n.a.")</f>
        <v>0</v>
      </c>
      <c r="H345" s="16">
        <f>IFERROR(IF(C345=0,0,IF('Replacement plan'!$U$91&lt;&gt;"",'Replacement plan'!$U$91,IF(E345=0,F345,VLOOKUP($A345,'Fleet register'!$A$7:$S$106,12,FALSE)+VLOOKUP($A345,'Fleet register'!$A$7:$S$106,13,FALSE)*MAX(0,VLOOKUP($A345,'Fleet register'!$A$7:$S$106,10,FALSE)-E345)/VLOOKUP($A345,'Fleet register'!$A$7:$S$106,14,FALSE)))),"n.a.")</f>
        <v>0</v>
      </c>
      <c r="I345" s="16">
        <f>IF(C345=0,0,IF(E345=120,0,'Replacement plan'!$Q$91))</f>
        <v>0</v>
      </c>
      <c r="J345" s="16">
        <f>IF(C345=0,0,IF(P345="Complete",((S345*(R345-'Operating costs'!$B$39))+ROUNDUP(S345*(R345-'Operating costs'!$B$39)*IF('Replacement plan'!$AG$91="",'Operating costs'!$B$7,'Replacement plan'!$AG$91)/('Operating costs'!$B$8-'Operating costs'!$B$9*IF('Replacement plan'!$AG$91="",'Operating costs'!$B$7,'Replacement plan'!$AG$91)),0)*'Operating costs'!$B$9)*IF('Replacement plan'!$AG$91="",'Operating costs'!$B$7,'Replacement plan'!$AG$91)*('Energy and charging'!$B$9*'Energy and charging'!$B$7+(1-'Energy and charging'!$B$9)*'Energy and charging'!$B$8)*'Operating costs'!$B$23,"n.a."))</f>
        <v>0</v>
      </c>
      <c r="K345" s="16">
        <f>IF(C345=0,0,IF(P345="Complete",SUM('Operating costs'!$B$24,'Operating costs'!$B$27,'Operating costs'!$B$29,'Operating costs'!$B$31,'Operating costs'!$B$33,'Operating costs'!$B$34,'Operating costs'!$B$37,'Replacement plan'!$W$91)+'Operating costs'!$B$39*'Operating costs'!$B$42+ROUNDUP(S345*(R345-'Operating costs'!$B$39)*IF('Replacement plan'!$AG$91="",'Operating costs'!$B$7,'Replacement plan'!$AG$91)/('Operating costs'!$B$8-'Operating costs'!$B$9*IF('Replacement plan'!$AG$91="",'Operating costs'!$B$7,'Replacement plan'!$AG$91)),0)*('Operating costs'!$B$9/'Operating costs'!$B$11+'Operating costs'!$B$10/60)*'Operating costs'!$B$19*'Operating costs'!$B$21,"n.a."))</f>
        <v>0</v>
      </c>
      <c r="L345" s="16">
        <f>IF(C345=0,0,IF(P345="Complete",IF(D345="EV",X345*((1-T345)*'Energy and charging'!$B$10+T345*'Energy and charging'!$B$11)*'Operating costs'!$B$22,AA345*('Energy and charging'!$B$9*'Energy and charging'!$B$7+(1-'Energy and charging'!$B$9)*'Energy and charging'!$B$8)*'Operating costs'!$B$23),"n.a."))</f>
        <v>0</v>
      </c>
      <c r="M345" s="37">
        <f>IF(C345=0,0,IF(P345="Complete",IF(D345="ICE",SUM('Operating costs'!$B$25,'Operating costs'!$B$27,'Operating costs'!$B$29,'Operating costs'!$B$31,'Operating costs'!$B$33,'Operating costs'!$B$35,'Operating costs'!$B$37,'Replacement plan'!$X$91)+'Operating costs'!$B$40*'Operating costs'!$B$42+ROUNDUP(S345*(R345-'Operating costs'!$B$40)*IF('Replacement plan'!$AH$91="",'Operating costs'!$B$7,'Replacement plan'!$AH$91)/('Operating costs'!$B$8-'Operating costs'!$B$9*IF('Replacement plan'!$AH$91="",'Operating costs'!$B$7,'Replacement plan'!$AH$91)),0)*('Operating costs'!$B$9/'Operating costs'!$B$11+'Operating costs'!$B$10/60)*'Operating costs'!$B$19*'Operating costs'!$B$21,SUM(AP345,'Operating costs'!$B$28,'Operating costs'!$B$30,'Operating costs'!$B$32,'Operating costs'!$B$33,'Operating costs'!$B$36,'Operating costs'!$B$38,'Replacement plan'!$Y$91)+'Operating costs'!$B$41*'Operating costs'!$B$43+W345*'Operating costs'!$B$15+(T345*X345/'Replacement plan'!$L$91+W345*('Operating costs'!$B$12/'Operating costs'!$B$11+('Operating costs'!$B$13+'Operating costs'!$B$14)/60)+(R345-'Operating costs'!$B$41)*(IF(T345&lt;1,'Operating costs'!$B$16,0)+'Operating costs'!$B$17)/60)*'Operating costs'!$B$19*'Operating costs'!$B$20),"n.a."))</f>
        <v>0</v>
      </c>
      <c r="N345" s="16">
        <f>IF(AND(C345=1,D345="EV",E345&lt;120,E345+'Replacement plan'!$AA$91&lt;=120),'Replacement plan'!$Z$91,0)</f>
        <v>0</v>
      </c>
      <c r="O345" s="1">
        <f>E345+'Replacement plan'!$AA$91</f>
        <v>0</v>
      </c>
      <c r="P345" s="35" t="str">
        <f>IFERROR(IF(C345=0,"Excluded",IF(OR(COUNTIFS('Fleet register'!$A$7:$A$106,A345)&lt;&gt;1,COUNTIFS('Replacement plan'!$A$7:$A$106,A345)&lt;&gt;1),"Duplicate/missing ID",IF(NOT(AND(ISNUMBER(VLOOKUP($A345,'Fleet register'!$A$7:$S$106,5,FALSE)),ISNUMBER(VLOOKUP($A345,'Fleet register'!$A$7:$S$106,6,FALSE)),ISNUMBER(VLOOKUP($A345,'Fleet register'!$A$7:$S$106,10,FALSE)),ISNUMBER(VLOOKUP($A345,'Fleet register'!$A$7:$S$106,11,FALSE)),ISNUMBER(VLOOKUP($A345,'Fleet register'!$A$7:$S$106,12,FALSE)),ISNUMBER(VLOOKUP($A345,'Fleet register'!$A$7:$S$106,13,FALSE)),ISNUMBER(VLOOKUP($A345,'Fleet register'!$A$7:$S$106,14,FALSE)),VLOOKUP($A345,'Fleet register'!$A$7:$S$106,14,FALSE)&gt;0,ISNUMBER('Replacement plan'!$C$91),OR(E345=120,ISNUMBER('Replacement plan'!$Q$91)),ISNUMBER(E345))),"Missing vehicle input",IF(OR(E345&lt;0,E345&gt;VLOOKUP($A345,'Fleet register'!$A$7:$S$106,10,FALSE),E345&gt;120,E345&lt;&gt;INT(E345),VLOOKUP($A345,'Fleet register'!$A$7:$S$106,6,FALSE)&lt;=0,VLOOKUP($A345,'Fleet register'!$A$7:$S$106,6,FALSE)&gt;366,VLOOKUP($A345,'Fleet register'!$A$7:$S$106,5,FALSE)&lt;0,VLOOKUP($A345,'Fleet register'!$A$7:$S$106,11,FALSE)&lt;0,I345&lt;0,'Operating costs'!$B$8&lt;='Operating costs'!$B$7*'Operating costs'!$B$9,'Operating costs'!$B$11&lt;=0,'Operating costs'!$B$39&gt;R345,'Operating costs'!$B$40&gt;R345,'Operating costs'!$B$41&gt;R345,NOT(OR('Replacement plan'!$O$91="Keep ICE",'Replacement plan'!$O$91="New ICE",'Replacement plan'!$O$91="EV"))),"Invalid vehicle input",IF(AND(D345="EV",E345&lt;120,OR(NOT(ISNUMBER(U345)),NOT(ISNUMBER(V345)),V345&lt;=0,T345&lt;0,T345&gt;1,'Replacement plan'!$L$91&lt;=0,'Operating costs'!$B$44&lt;0,'Operating costs'!$B$44&gt;=1,'Operating costs'!$B$47&lt;=0,'Operating costs'!$B$47&gt;1,V345*'Operating costs'!$B$47/(1-'Operating costs'!$B$44)&lt;=T345*'Operating costs'!$B$12*U345,AND('Replacement plan'!$Z$91&gt;0,OR('Replacement plan'!$AB$91&lt;&gt;"Yes",'Operating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charging'!$B$8&gt;=0))),ISNUMBER(VLOOKUP($A345,'Fleet register'!$A$7:$S$106,15,FALSE)),ISNUMBER(VLOOKUP($A345,'Fleet register'!$A$7:$S$106,16,FALSE)),ISNUMBER('Replacement plan'!$W$91),ISNUMBER('Replacement plan'!$X$91),OR(E345=120,AND(ISNUMBER(G345),G345&gt;=0)),ISNUMBER(H345),H345&gt;=0,OR(D345&lt;&gt;"EV",E345=120,AND(ISNUMBER('Operating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average",ISNUMBER(IFERROR(INDEX(Products!$P$7:$P$13,MATCH(AD345,Products!$A$7:$A$13,0)),"")))),ISNUMBER('Operating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plan'!$Y$91),ISNUMBER('Replacement plan'!$Z$91),'Replacement plan'!$Z$91&gt;=0,ISNUMBER('Replacement plan'!$AA$91),'Replacement plan'!$AA$91&gt;=0,'Replacement plan'!$AA$91=INT('Replacement plan'!$AA$91),ISNUMBER('Replacement plan'!$L$91))),'Operating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plan'!$AG$91="",'Operating costs'!$B$7,'Replacement plan'!$AG$91)),IF('Replacement plan'!$AG$91="",'Operating costs'!$B$7,'Replacement plan'!$AG$91)&gt;=0,ISNUMBER(IF('Replacement plan'!$AH$91="",'Operating costs'!$B$7,'Replacement plan'!$AH$91)),IF('Replacement plan'!$AH$91="",'Operating costs'!$B$7,'Replacement plan'!$AH$91)&gt;=0,'Operating costs'!$B$8&gt;MAX(IF('Replacement plan'!$AG$91="",'Operating costs'!$B$7,'Replacement plan'!$AG$91),IF('Replacement plan'!$AH$91="",'Operating costs'!$B$7,'Replacement plan'!$AH$91))*'Operating costs'!$B$9),IF(AND(VLOOKUP($A345,'Fleet register'!$A$7:$S$106,10,FALSE)&gt;=0,VLOOKUP($A345,'Fleet register'!$A$7:$S$106,10,FALSE)&lt;=120,VLOOKUP($A345,'Fleet register'!$A$7:$S$106,10,FALSE)=INT(VLOOKUP($A345,'Fleet register'!$A$7:$S$106,10,FALSE)),VLOOKUP($A345,'Fleet register'!$A$7:$S$106,15,FALSE)&gt;=0,VLOOKUP($A345,'Fleet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costs'!$B$67)&gt;=0,OR(D345&lt;&gt;"EV",E345=120,AND(MIN('Operating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45" s="1" t="str">
        <f>IF(C345=0,"Excluded",IF(P345&lt;&gt;"Complete",P345,IF(OR('Replacement plan'!$AD$91&lt;120-E345,AND(D345="EV",E345&lt;120,OR('Replacement plan'!$AC$91&lt;120-E345,'Replacement plan'!$I$91="No",AND(ISNUMBER(AF345),AE345&gt;AF345),AI345&gt;V345*(1-'Operating costs'!$B$46)^MAX(0,AB345-1)*(1-'Operating costs'!$B$45),AC345&gt;'Operating costs'!$B$18,AND(T345&lt;1,OR(AG345&lt;=0,AND(ISNUMBER(AH345),AG345&gt;AH345))),'Replacement plan'!$L$91&gt;INDEX(Products!$H$7:$H$13,MATCH('Replacement plan'!$B$91,Products!$A$7:$A$13,0))))),"Fails entered limits",IF(AND(D345="EV",E345&lt;120,OR(NOT(ISNUMBER(VLOOKUP($A345,'Fleet register'!$A$7:$S$106,7,FALSE))),NOT(ISNUMBER(VLOOKUP($A345,'Fleet register'!$A$7:$S$106,8,FALSE))),NOT(ISNUMBER(AF345)),'Replacement plan'!$I$91&lt;&gt;"Yes",NOT(ISNUMBER(AH345)),'Operating costs'!$B$59&lt;&gt;"Yes",'Operating costs'!$B$58&lt;&gt;"Yes")),"Unverified","Within entered limits"))))</f>
        <v>Excluded</v>
      </c>
      <c r="R345" s="1">
        <f>IF(C345=0,0,VLOOKUP($A345,'Fleet register'!$A$7:$S$106,6,FALSE))</f>
        <v>0</v>
      </c>
      <c r="S345" s="1">
        <f>IF(C345=0,0,VLOOKUP($A345,'Fleet register'!$A$7:$S$106,5,FALSE))</f>
        <v>0</v>
      </c>
      <c r="T345" s="1">
        <f>IF(D345="EV",'Energy and charging'!$B$12,0)</f>
        <v>0</v>
      </c>
      <c r="U345" s="1">
        <f>IFERROR(IF(C345=0,0,IF(D345="EV",IF('Replacement plan'!$F$91="",INDEX(Products!$E$7:$E$13,MATCH('Replacement plan'!$B$91,Products!$A$7:$A$13,0)),'Replacement plan'!$F$91)/IF('Replacement plan'!$G$91="Battery",1-'Operating costs'!$B$44,1),0)),"n.a.")</f>
        <v>0</v>
      </c>
      <c r="V345" s="1">
        <f>IFERROR(IF(C345=0,0,IF(D345="EV",IF('Replacement plan'!$E$91="",INDEX(Products!$D$7:$D$13,MATCH('Replacement plan'!$B$91,Products!$A$7:$A$13,0)),'Replacement plan'!$E$91),0)),"n.a.")</f>
        <v>0</v>
      </c>
      <c r="W345" s="1">
        <f>IF(C345=0,0,IF(AND(P345="Complete",D345="EV",E345&lt;120),IF(T345=0,0,ROUNDUP(T345*(R345-'Operating costs'!$B$41)*(S345*U345+'Operating costs'!$B$48/(1-'Operating costs'!$B$44))/(V345*'Operating costs'!$B$47/(1-'Operating costs'!$B$44)-T345*'Operating costs'!$B$12*U345),0)),0))</f>
        <v>0</v>
      </c>
      <c r="X345" s="1">
        <f>IF(C345=0,0,IF(AND(P345="Complete",D345="EV",E345&lt;120),(R345-'Operating costs'!$B$41)*(S345*U345+'Operating costs'!$B$48/(1-'Operating costs'!$B$44))+W345*'Operating costs'!$B$12*U345,0))</f>
        <v>0</v>
      </c>
      <c r="Y345" s="1">
        <f>IF(AND(C345=1,D345="EV",E345&lt;120),AI345/(1-'Operating costs'!$B$44)*(1-T345),0)</f>
        <v>0</v>
      </c>
      <c r="Z345" s="1">
        <f t="shared" si="10"/>
        <v>0</v>
      </c>
      <c r="AA345" s="1">
        <f>IF(C345=0,0,IF(P345="Complete",((S345*(R345-'Operating costs'!$B$40))+ROUNDUP(S345*(R345-'Operating costs'!$B$40)*IF('Replacement plan'!$AH$91="",'Operating costs'!$B$7,'Replacement plan'!$AH$91)/('Operating costs'!$B$8-'Operating costs'!$B$9*IF('Replacement plan'!$AH$91="",'Operating costs'!$B$7,'Replacement plan'!$AH$91)),0)*'Operating costs'!$B$9)*IF('Replacement plan'!$AH$91="",'Operating costs'!$B$7,'Replacement plan'!$AH$91),"n.a."))</f>
        <v>0</v>
      </c>
      <c r="AB345" s="1">
        <f t="shared" si="11"/>
        <v>0</v>
      </c>
      <c r="AC345" s="1">
        <f>IF(AND(C345=1,D345="EV",E345&lt;120,T345&gt;0),'Operating costs'!$B$12/'Operating costs'!$B$11*60+'Operating costs'!$B$13+'Operating costs'!$B$14+V345*'Operating costs'!$B$47/(1-'Operating costs'!$B$44)/'Replacement plan'!$L$91*60,0)</f>
        <v>0</v>
      </c>
      <c r="AD345" s="1" t="str">
        <f>'Replacement plan'!$B$91</f>
        <v>ChengLong L2EV</v>
      </c>
      <c r="AE345" s="1">
        <f>IF(C345=0,0,VLOOKUP($A345,'Fleet register'!$A$7:$S$106,8,FALSE))</f>
        <v>0</v>
      </c>
      <c r="AF345" s="1" t="str">
        <f>IF('Replacement plan'!$H$91="","n.a.",'Replacement plan'!$H$91)</f>
        <v>n.a.</v>
      </c>
      <c r="AG345" s="1">
        <f>'Replacement plan'!$J$91</f>
        <v>22</v>
      </c>
      <c r="AH345" s="1">
        <f>IFERROR(IF(D345="EV",IF('Replacement plan'!$K$91="AC",IF(ISNUMBER(INDEX(Products!$G$7:$G$13,MATCH('Replacement plan'!$B$91,Products!$A$7:$A$13,0))),INDEX(Products!$G$7:$G$13,MATCH('Replacement plan'!$B$91,Products!$A$7:$A$13,0)),"n.a."),IF(ISNUMBER(INDEX(Products!$H$7:$H$13,MATCH('Replacement plan'!$B$91,Products!$A$7:$A$13,0))),INDEX(Products!$H$7:$H$13,MATCH('Replacement plan'!$B$91,Products!$A$7:$A$13,0)),"n.a.")),0),"n.a.")</f>
        <v>0</v>
      </c>
      <c r="AI345" s="1">
        <f>IF(AND(C345=1,D345="EV",E345&lt;120),(VLOOKUP($A345,'Fleet register'!$A$7:$S$106,7,FALSE)+IF(T345&gt;0,'Operating costs'!$B$12,0))*U345*(1-'Operating costs'!$B$44)+'Operating costs'!$B$49,0)</f>
        <v>0</v>
      </c>
      <c r="AJ345" s="1">
        <f>IF(D345="EV",'Energy and charging'!$B$50,0)</f>
        <v>0</v>
      </c>
      <c r="AK345" s="17">
        <f>EDATE('Operating costs'!$B$63,E345)</f>
        <v>46298</v>
      </c>
      <c r="AL345" s="1">
        <f>IFERROR(IF(D345="EV",INDEX(Products!$B$7:$B$13,MATCH('Replacement plan'!$B$91,Products!$A$7:$A$13,0)),0),"n.a.")</f>
        <v>0</v>
      </c>
      <c r="AM345" s="1" t="str">
        <f>'Replacement plan'!$K$91</f>
        <v>DC</v>
      </c>
      <c r="AN345" s="1" t="str">
        <f>'Replacement plan'!$AE$91</f>
        <v>Assumed</v>
      </c>
      <c r="AO345" s="47">
        <f>IF(AND(C345=1,D345="EV",E345&lt;120),(R345-'Operating costs'!$B$41)*S345+W345*'Operating costs'!$B$12,0)</f>
        <v>0</v>
      </c>
      <c r="AP345" s="41">
        <f>IF(AND(C345=1,D345="EV",E345&lt;120),IF('Operating costs'!$B$68="Hong Seh 200k average",AO345*IFERROR(INDEX(Products!$P$7:$P$13,MATCH(AD345,Products!$A$7:$A$13,0)),"n.a."),'Operating costs'!$B$26),0)</f>
        <v>0</v>
      </c>
      <c r="AQ345" s="40" t="str">
        <f>IF(D345="EV",'Operating costs'!$B$68,"Not applicable")</f>
        <v>Not applicable</v>
      </c>
    </row>
    <row r="346" spans="1:43" ht="24" customHeight="1">
      <c r="A346" s="1" t="str">
        <f>'Replacement plan'!A91</f>
        <v>T085</v>
      </c>
      <c r="B346" s="1">
        <v>3</v>
      </c>
      <c r="C346" s="1">
        <f>IF(COUNTIFS('Fleet register'!$A$7:$A$106,$A346)=1,VLOOKUP($A346,'Fleet register'!$A$7:$S$106,2,FALSE),0)</f>
        <v>0</v>
      </c>
      <c r="D346" s="1" t="str">
        <f>IF('Replacement plan'!$R$91="EV","EV","ICE")</f>
        <v>ICE</v>
      </c>
      <c r="E346" s="1">
        <f>IF(C346=0,0,IF('Replacement plan'!$S$91="",IF('Replacement plan'!$R$91="Keep ICE",IF('Replacement plan'!$M$91="",VLOOKUP($A346,'Fleet register'!$A$7:$S$106,10,FALSE),'Replacement plan'!$M$91),0),'Replacement plan'!$S$91))</f>
        <v>0</v>
      </c>
      <c r="F346" s="16">
        <f>IF(C346=0,0,VLOOKUP($A346,'Fleet register'!$A$7:$S$106,11,FALSE))</f>
        <v>0</v>
      </c>
      <c r="G346" s="16">
        <f>IFERROR(IF(C346=0,0,IF(E346=120,0,IF(D346="ICE",'Replacement plan'!$C$91,IF('Replacement plan'!$D$91="",INDEX(Products!$I$7:$I$13,MATCH('Replacement plan'!$B$91,Products!$A$7:$A$13,0))+'Operating costs'!$B$57,'Replacement plan'!$D$91))*(1+'Operating costs'!$B$50)^(E346/12))),"n.a.")</f>
        <v>0</v>
      </c>
      <c r="H346" s="16">
        <f>IFERROR(IF(C346=0,0,IF('Replacement plan'!$V$91&lt;&gt;"",'Replacement plan'!$V$91,IF(E346=0,F346,VLOOKUP($A346,'Fleet register'!$A$7:$S$106,12,FALSE)+VLOOKUP($A346,'Fleet register'!$A$7:$S$106,13,FALSE)*MAX(0,VLOOKUP($A346,'Fleet register'!$A$7:$S$106,10,FALSE)-E346)/VLOOKUP($A346,'Fleet register'!$A$7:$S$106,14,FALSE)))),"n.a.")</f>
        <v>0</v>
      </c>
      <c r="I346" s="16">
        <f>IF(C346=0,0,IF(E346=120,0,'Replacement plan'!$T$91))</f>
        <v>0</v>
      </c>
      <c r="J346" s="16">
        <f>IF(C346=0,0,IF(P346="Complete",((S346*(R346-'Operating costs'!$B$39))+ROUNDUP(S346*(R346-'Operating costs'!$B$39)*IF('Replacement plan'!$AG$91="",'Operating costs'!$B$7,'Replacement plan'!$AG$91)/('Operating costs'!$B$8-'Operating costs'!$B$9*IF('Replacement plan'!$AG$91="",'Operating costs'!$B$7,'Replacement plan'!$AG$91)),0)*'Operating costs'!$B$9)*IF('Replacement plan'!$AG$91="",'Operating costs'!$B$7,'Replacement plan'!$AG$91)*('Energy and charging'!$C$9*'Energy and charging'!$C$7+(1-'Energy and charging'!$C$9)*'Energy and charging'!$C$8)*'Operating costs'!$B$23,"n.a."))</f>
        <v>0</v>
      </c>
      <c r="K346" s="16">
        <f>IF(C346=0,0,IF(P346="Complete",SUM('Operating costs'!$B$24,'Operating costs'!$B$27,'Operating costs'!$B$29,'Operating costs'!$B$31,'Operating costs'!$B$33,'Operating costs'!$B$34,'Operating costs'!$B$37,'Replacement plan'!$W$91)+'Operating costs'!$B$39*'Operating costs'!$B$42+ROUNDUP(S346*(R346-'Operating costs'!$B$39)*IF('Replacement plan'!$AG$91="",'Operating costs'!$B$7,'Replacement plan'!$AG$91)/('Operating costs'!$B$8-'Operating costs'!$B$9*IF('Replacement plan'!$AG$91="",'Operating costs'!$B$7,'Replacement plan'!$AG$91)),0)*('Operating costs'!$B$9/'Operating costs'!$B$11+'Operating costs'!$B$10/60)*'Operating costs'!$B$19*'Operating costs'!$B$21,"n.a."))</f>
        <v>0</v>
      </c>
      <c r="L346" s="16">
        <f>IF(C346=0,0,IF(P346="Complete",IF(D346="EV",X346*((1-T346)*'Energy and charging'!$C$10+T346*'Energy and charging'!$C$11)*'Operating costs'!$B$22,AA346*('Energy and charging'!$C$9*'Energy and charging'!$C$7+(1-'Energy and charging'!$C$9)*'Energy and charging'!$C$8)*'Operating costs'!$B$23),"n.a."))</f>
        <v>0</v>
      </c>
      <c r="M346" s="37">
        <f>IF(C346=0,0,IF(P346="Complete",IF(D346="ICE",SUM('Operating costs'!$B$25,'Operating costs'!$B$27,'Operating costs'!$B$29,'Operating costs'!$B$31,'Operating costs'!$B$33,'Operating costs'!$B$35,'Operating costs'!$B$37,'Replacement plan'!$X$91)+'Operating costs'!$B$40*'Operating costs'!$B$42+ROUNDUP(S346*(R346-'Operating costs'!$B$40)*IF('Replacement plan'!$AH$91="",'Operating costs'!$B$7,'Replacement plan'!$AH$91)/('Operating costs'!$B$8-'Operating costs'!$B$9*IF('Replacement plan'!$AH$91="",'Operating costs'!$B$7,'Replacement plan'!$AH$91)),0)*('Operating costs'!$B$9/'Operating costs'!$B$11+'Operating costs'!$B$10/60)*'Operating costs'!$B$19*'Operating costs'!$B$21,SUM(AP346,'Operating costs'!$B$28,'Operating costs'!$B$30,'Operating costs'!$B$32,'Operating costs'!$B$33,'Operating costs'!$B$36,'Operating costs'!$B$38,'Replacement plan'!$Y$91)+'Operating costs'!$B$41*'Operating costs'!$B$43+W346*'Operating costs'!$B$15+(T346*X346/'Replacement plan'!$L$91+W346*('Operating costs'!$B$12/'Operating costs'!$B$11+('Operating costs'!$B$13+'Operating costs'!$B$14)/60)+(R346-'Operating costs'!$B$41)*(IF(T346&lt;1,'Operating costs'!$B$16,0)+'Operating costs'!$B$17)/60)*'Operating costs'!$B$19*'Operating costs'!$B$20),"n.a."))</f>
        <v>0</v>
      </c>
      <c r="N346" s="16">
        <f>IF(AND(C346=1,D346="EV",E346&lt;120,E346+'Replacement plan'!$AA$91&lt;=120),'Replacement plan'!$Z$91,0)</f>
        <v>0</v>
      </c>
      <c r="O346" s="1">
        <f>E346+'Replacement plan'!$AA$91</f>
        <v>0</v>
      </c>
      <c r="P346" s="35" t="str">
        <f>IFERROR(IF(C346=0,"Excluded",IF(OR(COUNTIFS('Fleet register'!$A$7:$A$106,A346)&lt;&gt;1,COUNTIFS('Replacement plan'!$A$7:$A$106,A346)&lt;&gt;1),"Duplicate/missing ID",IF(NOT(AND(ISNUMBER(VLOOKUP($A346,'Fleet register'!$A$7:$S$106,5,FALSE)),ISNUMBER(VLOOKUP($A346,'Fleet register'!$A$7:$S$106,6,FALSE)),ISNUMBER(VLOOKUP($A346,'Fleet register'!$A$7:$S$106,10,FALSE)),ISNUMBER(VLOOKUP($A346,'Fleet register'!$A$7:$S$106,11,FALSE)),ISNUMBER(VLOOKUP($A346,'Fleet register'!$A$7:$S$106,12,FALSE)),ISNUMBER(VLOOKUP($A346,'Fleet register'!$A$7:$S$106,13,FALSE)),ISNUMBER(VLOOKUP($A346,'Fleet register'!$A$7:$S$106,14,FALSE)),VLOOKUP($A346,'Fleet register'!$A$7:$S$106,14,FALSE)&gt;0,ISNUMBER('Replacement plan'!$C$91),OR(E346=120,ISNUMBER('Replacement plan'!$T$91)),ISNUMBER(E346))),"Missing vehicle input",IF(OR(E346&lt;0,E346&gt;VLOOKUP($A346,'Fleet register'!$A$7:$S$106,10,FALSE),E346&gt;120,E346&lt;&gt;INT(E346),VLOOKUP($A346,'Fleet register'!$A$7:$S$106,6,FALSE)&lt;=0,VLOOKUP($A346,'Fleet register'!$A$7:$S$106,6,FALSE)&gt;366,VLOOKUP($A346,'Fleet register'!$A$7:$S$106,5,FALSE)&lt;0,VLOOKUP($A346,'Fleet register'!$A$7:$S$106,11,FALSE)&lt;0,I346&lt;0,'Operating costs'!$B$8&lt;='Operating costs'!$B$7*'Operating costs'!$B$9,'Operating costs'!$B$11&lt;=0,'Operating costs'!$B$39&gt;R346,'Operating costs'!$B$40&gt;R346,'Operating costs'!$B$41&gt;R346,NOT(OR('Replacement plan'!$R$91="Keep ICE",'Replacement plan'!$R$91="New ICE",'Replacement plan'!$R$91="EV"))),"Invalid vehicle input",IF(AND(D346="EV",E346&lt;120,OR(NOT(ISNUMBER(U346)),NOT(ISNUMBER(V346)),V346&lt;=0,T346&lt;0,T346&gt;1,'Replacement plan'!$L$91&lt;=0,'Operating costs'!$B$44&lt;0,'Operating costs'!$B$44&gt;=1,'Operating costs'!$B$47&lt;=0,'Operating costs'!$B$47&gt;1,V346*'Operating costs'!$B$47/(1-'Operating costs'!$B$44)&lt;=T346*'Operating costs'!$B$12*U346,AND('Replacement plan'!$Z$91&gt;0,OR('Replacement plan'!$AB$91&lt;&gt;"Yes",'Operating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charging'!$C$8&gt;=0))),ISNUMBER(VLOOKUP($A346,'Fleet register'!$A$7:$S$106,15,FALSE)),ISNUMBER(VLOOKUP($A346,'Fleet register'!$A$7:$S$106,16,FALSE)),ISNUMBER('Replacement plan'!$W$91),ISNUMBER('Replacement plan'!$X$91),OR(E346=120,AND(ISNUMBER(G346),G346&gt;=0)),ISNUMBER(H346),H346&gt;=0,OR(D346&lt;&gt;"EV",E346=120,AND(ISNUMBER('Operating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average",ISNUMBER(IFERROR(INDEX(Products!$P$7:$P$13,MATCH(AD346,Products!$A$7:$A$13,0)),"")))),ISNUMBER('Operating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plan'!$Y$91),ISNUMBER('Replacement plan'!$Z$91),'Replacement plan'!$Z$91&gt;=0,ISNUMBER('Replacement plan'!$AA$91),'Replacement plan'!$AA$91&gt;=0,'Replacement plan'!$AA$91=INT('Replacement plan'!$AA$91),ISNUMBER('Replacement plan'!$L$91))),'Operating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plan'!$AG$91="",'Operating costs'!$B$7,'Replacement plan'!$AG$91)),IF('Replacement plan'!$AG$91="",'Operating costs'!$B$7,'Replacement plan'!$AG$91)&gt;=0,ISNUMBER(IF('Replacement plan'!$AH$91="",'Operating costs'!$B$7,'Replacement plan'!$AH$91)),IF('Replacement plan'!$AH$91="",'Operating costs'!$B$7,'Replacement plan'!$AH$91)&gt;=0,'Operating costs'!$B$8&gt;MAX(IF('Replacement plan'!$AG$91="",'Operating costs'!$B$7,'Replacement plan'!$AG$91),IF('Replacement plan'!$AH$91="",'Operating costs'!$B$7,'Replacement plan'!$AH$91))*'Operating costs'!$B$9),IF(AND(VLOOKUP($A346,'Fleet register'!$A$7:$S$106,10,FALSE)&gt;=0,VLOOKUP($A346,'Fleet register'!$A$7:$S$106,10,FALSE)&lt;=120,VLOOKUP($A346,'Fleet register'!$A$7:$S$106,10,FALSE)=INT(VLOOKUP($A346,'Fleet register'!$A$7:$S$106,10,FALSE)),VLOOKUP($A346,'Fleet register'!$A$7:$S$106,15,FALSE)&gt;=0,VLOOKUP($A346,'Fleet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costs'!$B$67)&gt;=0,OR(D346&lt;&gt;"EV",E346=120,AND(MIN('Operating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46" s="1" t="str">
        <f>IF(C346=0,"Excluded",IF(P346&lt;&gt;"Complete",P346,IF(OR('Replacement plan'!$AD$91&lt;120-E346,AND(D346="EV",E346&lt;120,OR('Replacement plan'!$AC$91&lt;120-E346,'Replacement plan'!$I$91="No",AND(ISNUMBER(AF346),AE346&gt;AF346),AI346&gt;V346*(1-'Operating costs'!$B$46)^MAX(0,AB346-1)*(1-'Operating costs'!$B$45),AC346&gt;'Operating costs'!$B$18,AND(T346&lt;1,OR(AG346&lt;=0,AND(ISNUMBER(AH346),AG346&gt;AH346))),'Replacement plan'!$L$91&gt;INDEX(Products!$H$7:$H$13,MATCH('Replacement plan'!$B$91,Products!$A$7:$A$13,0))))),"Fails entered limits",IF(AND(D346="EV",E346&lt;120,OR(NOT(ISNUMBER(VLOOKUP($A346,'Fleet register'!$A$7:$S$106,7,FALSE))),NOT(ISNUMBER(VLOOKUP($A346,'Fleet register'!$A$7:$S$106,8,FALSE))),NOT(ISNUMBER(AF346)),'Replacement plan'!$I$91&lt;&gt;"Yes",NOT(ISNUMBER(AH346)),'Operating costs'!$B$59&lt;&gt;"Yes",'Operating costs'!$B$58&lt;&gt;"Yes")),"Unverified","Within entered limits"))))</f>
        <v>Excluded</v>
      </c>
      <c r="R346" s="1">
        <f>IF(C346=0,0,VLOOKUP($A346,'Fleet register'!$A$7:$S$106,6,FALSE))</f>
        <v>0</v>
      </c>
      <c r="S346" s="1">
        <f>IF(C346=0,0,VLOOKUP($A346,'Fleet register'!$A$7:$S$106,5,FALSE))</f>
        <v>0</v>
      </c>
      <c r="T346" s="1">
        <f>IF(D346="EV",'Energy and charging'!$C$12,0)</f>
        <v>0</v>
      </c>
      <c r="U346" s="1">
        <f>IFERROR(IF(C346=0,0,IF(D346="EV",IF('Replacement plan'!$F$91="",INDEX(Products!$E$7:$E$13,MATCH('Replacement plan'!$B$91,Products!$A$7:$A$13,0)),'Replacement plan'!$F$91)/IF('Replacement plan'!$G$91="Battery",1-'Operating costs'!$B$44,1),0)),"n.a.")</f>
        <v>0</v>
      </c>
      <c r="V346" s="1">
        <f>IFERROR(IF(C346=0,0,IF(D346="EV",IF('Replacement plan'!$E$91="",INDEX(Products!$D$7:$D$13,MATCH('Replacement plan'!$B$91,Products!$A$7:$A$13,0)),'Replacement plan'!$E$91),0)),"n.a.")</f>
        <v>0</v>
      </c>
      <c r="W346" s="1">
        <f>IF(C346=0,0,IF(AND(P346="Complete",D346="EV",E346&lt;120),IF(T346=0,0,ROUNDUP(T346*(R346-'Operating costs'!$B$41)*(S346*U346+'Operating costs'!$B$48/(1-'Operating costs'!$B$44))/(V346*'Operating costs'!$B$47/(1-'Operating costs'!$B$44)-T346*'Operating costs'!$B$12*U346),0)),0))</f>
        <v>0</v>
      </c>
      <c r="X346" s="1">
        <f>IF(C346=0,0,IF(AND(P346="Complete",D346="EV",E346&lt;120),(R346-'Operating costs'!$B$41)*(S346*U346+'Operating costs'!$B$48/(1-'Operating costs'!$B$44))+W346*'Operating costs'!$B$12*U346,0))</f>
        <v>0</v>
      </c>
      <c r="Y346" s="1">
        <f>IF(AND(C346=1,D346="EV",E346&lt;120),AI346/(1-'Operating costs'!$B$44)*(1-T346),0)</f>
        <v>0</v>
      </c>
      <c r="Z346" s="1">
        <f t="shared" si="10"/>
        <v>0</v>
      </c>
      <c r="AA346" s="1">
        <f>IF(C346=0,0,IF(P346="Complete",((S346*(R346-'Operating costs'!$B$40))+ROUNDUP(S346*(R346-'Operating costs'!$B$40)*IF('Replacement plan'!$AH$91="",'Operating costs'!$B$7,'Replacement plan'!$AH$91)/('Operating costs'!$B$8-'Operating costs'!$B$9*IF('Replacement plan'!$AH$91="",'Operating costs'!$B$7,'Replacement plan'!$AH$91)),0)*'Operating costs'!$B$9)*IF('Replacement plan'!$AH$91="",'Operating costs'!$B$7,'Replacement plan'!$AH$91),"n.a."))</f>
        <v>0</v>
      </c>
      <c r="AB346" s="1">
        <f t="shared" si="11"/>
        <v>0</v>
      </c>
      <c r="AC346" s="1">
        <f>IF(AND(C346=1,D346="EV",E346&lt;120,T346&gt;0),'Operating costs'!$B$12/'Operating costs'!$B$11*60+'Operating costs'!$B$13+'Operating costs'!$B$14+V346*'Operating costs'!$B$47/(1-'Operating costs'!$B$44)/'Replacement plan'!$L$91*60,0)</f>
        <v>0</v>
      </c>
      <c r="AD346" s="1" t="str">
        <f>'Replacement plan'!$B$91</f>
        <v>ChengLong L2EV</v>
      </c>
      <c r="AE346" s="1">
        <f>IF(C346=0,0,VLOOKUP($A346,'Fleet register'!$A$7:$S$106,8,FALSE))</f>
        <v>0</v>
      </c>
      <c r="AF346" s="1" t="str">
        <f>IF('Replacement plan'!$H$91="","n.a.",'Replacement plan'!$H$91)</f>
        <v>n.a.</v>
      </c>
      <c r="AG346" s="1">
        <f>'Replacement plan'!$J$91</f>
        <v>22</v>
      </c>
      <c r="AH346" s="1">
        <f>IFERROR(IF(D346="EV",IF('Replacement plan'!$K$91="AC",IF(ISNUMBER(INDEX(Products!$G$7:$G$13,MATCH('Replacement plan'!$B$91,Products!$A$7:$A$13,0))),INDEX(Products!$G$7:$G$13,MATCH('Replacement plan'!$B$91,Products!$A$7:$A$13,0)),"n.a."),IF(ISNUMBER(INDEX(Products!$H$7:$H$13,MATCH('Replacement plan'!$B$91,Products!$A$7:$A$13,0))),INDEX(Products!$H$7:$H$13,MATCH('Replacement plan'!$B$91,Products!$A$7:$A$13,0)),"n.a.")),0),"n.a.")</f>
        <v>0</v>
      </c>
      <c r="AI346" s="1">
        <f>IF(AND(C346=1,D346="EV",E346&lt;120),(VLOOKUP($A346,'Fleet register'!$A$7:$S$106,7,FALSE)+IF(T346&gt;0,'Operating costs'!$B$12,0))*U346*(1-'Operating costs'!$B$44)+'Operating costs'!$B$49,0)</f>
        <v>0</v>
      </c>
      <c r="AJ346" s="1">
        <f>IF(D346="EV",'Energy and charging'!$C$50,0)</f>
        <v>0</v>
      </c>
      <c r="AK346" s="17">
        <f>EDATE('Operating costs'!$B$63,E346)</f>
        <v>46298</v>
      </c>
      <c r="AL346" s="1">
        <f>IFERROR(IF(D346="EV",INDEX(Products!$B$7:$B$13,MATCH('Replacement plan'!$B$91,Products!$A$7:$A$13,0)),0),"n.a.")</f>
        <v>0</v>
      </c>
      <c r="AM346" s="1" t="str">
        <f>'Replacement plan'!$K$91</f>
        <v>DC</v>
      </c>
      <c r="AN346" s="1" t="str">
        <f>'Replacement plan'!$AE$91</f>
        <v>Assumed</v>
      </c>
      <c r="AO346" s="47">
        <f>IF(AND(C346=1,D346="EV",E346&lt;120),(R346-'Operating costs'!$B$41)*S346+W346*'Operating costs'!$B$12,0)</f>
        <v>0</v>
      </c>
      <c r="AP346" s="41">
        <f>IF(AND(C346=1,D346="EV",E346&lt;120),IF('Operating costs'!$B$68="Hong Seh 200k average",AO346*IFERROR(INDEX(Products!$P$7:$P$13,MATCH(AD346,Products!$A$7:$A$13,0)),"n.a."),'Operating costs'!$B$26),0)</f>
        <v>0</v>
      </c>
      <c r="AQ346" s="40" t="str">
        <f>IF(D346="EV",'Operating costs'!$B$68,"Not applicable")</f>
        <v>Not applicable</v>
      </c>
    </row>
    <row r="347" spans="1:43" ht="24" customHeight="1">
      <c r="A347" s="1" t="str">
        <f>'Replacement plan'!A92</f>
        <v>T086</v>
      </c>
      <c r="B347" s="1">
        <v>0</v>
      </c>
      <c r="C347" s="1">
        <f>IF(COUNTIFS('Fleet register'!$A$7:$A$106,$A347)=1,VLOOKUP($A347,'Fleet register'!$A$7:$S$106,2,FALSE),0)</f>
        <v>0</v>
      </c>
      <c r="D347" s="1" t="str">
        <f>IF("Keep ICE"="EV","EV","ICE")</f>
        <v>ICE</v>
      </c>
      <c r="E347" s="1">
        <f>IF(C347=0,0,IF('Replacement plan'!$M$92="",VLOOKUP($A347,'Fleet register'!$A$7:$S$106,10,FALSE),'Replacement plan'!$M$92))</f>
        <v>0</v>
      </c>
      <c r="F347" s="16">
        <f>IF(C347=0,0,VLOOKUP($A347,'Fleet register'!$A$7:$S$106,11,FALSE))</f>
        <v>0</v>
      </c>
      <c r="G347" s="16">
        <f>IFERROR(IF(C347=0,0,IF(E347=120,0,IF(D347="ICE",'Replacement plan'!$C$92,IF('Replacement plan'!$D$92="",INDEX(Products!$I$7:$I$13,MATCH('Replacement plan'!$B$92,Products!$A$7:$A$13,0))+'Operating costs'!$B$57,'Replacement plan'!$D$92))*(1+'Operating costs'!$B$50)^(E347/12))),"n.a.")</f>
        <v>0</v>
      </c>
      <c r="H347" s="16">
        <f>IFERROR(IF(C347=0,0,IF(E347=0,F347,VLOOKUP($A347,'Fleet register'!$A$7:$S$106,12,FALSE)+VLOOKUP($A347,'Fleet register'!$A$7:$S$106,13,FALSE)*MAX(0,VLOOKUP($A347,'Fleet register'!$A$7:$S$106,10,FALSE)-E347)/VLOOKUP($A347,'Fleet register'!$A$7:$S$106,14,FALSE))),"n.a.")</f>
        <v>0</v>
      </c>
      <c r="I347" s="16">
        <f>IF(C347=0,0,IF(E347=120,0,'Replacement plan'!$N$92))</f>
        <v>0</v>
      </c>
      <c r="J347" s="16">
        <f>IF(C347=0,0,IF(P347="Complete",((S347*(R347-'Operating costs'!$B$39))+ROUNDUP(S347*(R347-'Operating costs'!$B$39)*IF('Replacement plan'!$AG$92="",'Operating costs'!$B$7,'Replacement plan'!$AG$92)/('Operating costs'!$B$8-'Operating costs'!$B$9*IF('Replacement plan'!$AG$92="",'Operating costs'!$B$7,'Replacement plan'!$AG$92)),0)*'Operating costs'!$B$9)*IF('Replacement plan'!$AG$92="",'Operating costs'!$B$7,'Replacement plan'!$AG$92)*('Energy and charging'!$B$9*'Energy and charging'!$B$7+(1-'Energy and charging'!$B$9)*'Energy and charging'!$B$8)*'Operating costs'!$B$23,"n.a."))</f>
        <v>0</v>
      </c>
      <c r="K347" s="16">
        <f>IF(C347=0,0,IF(P347="Complete",SUM('Operating costs'!$B$24,'Operating costs'!$B$27,'Operating costs'!$B$29,'Operating costs'!$B$31,'Operating costs'!$B$33,'Operating costs'!$B$34,'Operating costs'!$B$37,'Replacement plan'!$W$92)+'Operating costs'!$B$39*'Operating costs'!$B$42+ROUNDUP(S347*(R347-'Operating costs'!$B$39)*IF('Replacement plan'!$AG$92="",'Operating costs'!$B$7,'Replacement plan'!$AG$92)/('Operating costs'!$B$8-'Operating costs'!$B$9*IF('Replacement plan'!$AG$92="",'Operating costs'!$B$7,'Replacement plan'!$AG$92)),0)*('Operating costs'!$B$9/'Operating costs'!$B$11+'Operating costs'!$B$10/60)*'Operating costs'!$B$19*'Operating costs'!$B$21,"n.a."))</f>
        <v>0</v>
      </c>
      <c r="L347" s="16">
        <f>IF(C347=0,0,IF(P347="Complete",IF(D347="EV",X347*((1-T347)*'Energy and charging'!$B$10+T347*'Energy and charging'!$B$11)*'Operating costs'!$B$22,AA347*('Energy and charging'!$B$9*'Energy and charging'!$B$7+(1-'Energy and charging'!$B$9)*'Energy and charging'!$B$8)*'Operating costs'!$B$23),"n.a."))</f>
        <v>0</v>
      </c>
      <c r="M347" s="37">
        <f>IF(C347=0,0,IF(P347="Complete",IF(D347="ICE",SUM('Operating costs'!$B$25,'Operating costs'!$B$27,'Operating costs'!$B$29,'Operating costs'!$B$31,'Operating costs'!$B$33,'Operating costs'!$B$35,'Operating costs'!$B$37,'Replacement plan'!$X$92)+'Operating costs'!$B$40*'Operating costs'!$B$42+ROUNDUP(S347*(R347-'Operating costs'!$B$40)*IF('Replacement plan'!$AH$92="",'Operating costs'!$B$7,'Replacement plan'!$AH$92)/('Operating costs'!$B$8-'Operating costs'!$B$9*IF('Replacement plan'!$AH$92="",'Operating costs'!$B$7,'Replacement plan'!$AH$92)),0)*('Operating costs'!$B$9/'Operating costs'!$B$11+'Operating costs'!$B$10/60)*'Operating costs'!$B$19*'Operating costs'!$B$21,SUM(AP347,'Operating costs'!$B$28,'Operating costs'!$B$30,'Operating costs'!$B$32,'Operating costs'!$B$33,'Operating costs'!$B$36,'Operating costs'!$B$38,'Replacement plan'!$Y$92)+'Operating costs'!$B$41*'Operating costs'!$B$43+W347*'Operating costs'!$B$15+(T347*X347/'Replacement plan'!$L$92+W347*('Operating costs'!$B$12/'Operating costs'!$B$11+('Operating costs'!$B$13+'Operating costs'!$B$14)/60)+(R347-'Operating costs'!$B$41)*(IF(T347&lt;1,'Operating costs'!$B$16,0)+'Operating costs'!$B$17)/60)*'Operating costs'!$B$19*'Operating costs'!$B$20),"n.a."))</f>
        <v>0</v>
      </c>
      <c r="N347" s="16">
        <f>IF(AND(C347=1,D347="EV",E347&lt;120,E347+'Replacement plan'!$AA$92&lt;=120),'Replacement plan'!$Z$92,0)</f>
        <v>0</v>
      </c>
      <c r="O347" s="1">
        <f>E347+'Replacement plan'!$AA$92</f>
        <v>0</v>
      </c>
      <c r="P347" s="35" t="str">
        <f>IFERROR(IF(C347=0,"Excluded",IF(OR(COUNTIFS('Fleet register'!$A$7:$A$106,A347)&lt;&gt;1,COUNTIFS('Replacement plan'!$A$7:$A$106,A347)&lt;&gt;1),"Duplicate/missing ID",IF(NOT(AND(ISNUMBER(VLOOKUP($A347,'Fleet register'!$A$7:$S$106,5,FALSE)),ISNUMBER(VLOOKUP($A347,'Fleet register'!$A$7:$S$106,6,FALSE)),ISNUMBER(VLOOKUP($A347,'Fleet register'!$A$7:$S$106,10,FALSE)),ISNUMBER(VLOOKUP($A347,'Fleet register'!$A$7:$S$106,11,FALSE)),ISNUMBER(VLOOKUP($A347,'Fleet register'!$A$7:$S$106,12,FALSE)),ISNUMBER(VLOOKUP($A347,'Fleet register'!$A$7:$S$106,13,FALSE)),ISNUMBER(VLOOKUP($A347,'Fleet register'!$A$7:$S$106,14,FALSE)),VLOOKUP($A347,'Fleet register'!$A$7:$S$106,14,FALSE)&gt;0,ISNUMBER('Replacement plan'!$C$92),OR(E347=120,ISNUMBER('Replacement plan'!$N$92)),ISNUMBER(E347))),"Missing vehicle input",IF(OR(E347&lt;0,E347&gt;VLOOKUP($A347,'Fleet register'!$A$7:$S$106,10,FALSE),E347&gt;120,E347&lt;&gt;INT(E347),VLOOKUP($A347,'Fleet register'!$A$7:$S$106,6,FALSE)&lt;=0,VLOOKUP($A347,'Fleet register'!$A$7:$S$106,6,FALSE)&gt;366,VLOOKUP($A347,'Fleet register'!$A$7:$S$106,5,FALSE)&lt;0,VLOOKUP($A347,'Fleet register'!$A$7:$S$106,11,FALSE)&lt;0,I347&lt;0,'Operating costs'!$B$8&lt;='Operating costs'!$B$7*'Operating costs'!$B$9,'Operating costs'!$B$11&lt;=0,'Operating costs'!$B$39&gt;R347,'Operating costs'!$B$40&gt;R347,'Operating costs'!$B$41&gt;R347,NOT(OR("Keep ICE"="Keep ICE","Keep ICE"="New ICE","Keep ICE"="EV"))),"Invalid vehicle input",IF(AND(D347="EV",E347&lt;120,OR(NOT(ISNUMBER(U347)),NOT(ISNUMBER(V347)),V347&lt;=0,T347&lt;0,T347&gt;1,'Replacement plan'!$L$92&lt;=0,'Operating costs'!$B$44&lt;0,'Operating costs'!$B$44&gt;=1,'Operating costs'!$B$47&lt;=0,'Operating costs'!$B$47&gt;1,V347*'Operating costs'!$B$47/(1-'Operating costs'!$B$44)&lt;=T347*'Operating costs'!$B$12*U347,AND('Replacement plan'!$Z$92&gt;0,OR('Replacement plan'!$AB$92&lt;&gt;"Yes",'Operating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charging'!$B$8&gt;=0))),ISNUMBER(VLOOKUP($A347,'Fleet register'!$A$7:$S$106,15,FALSE)),ISNUMBER(VLOOKUP($A347,'Fleet register'!$A$7:$S$106,16,FALSE)),ISNUMBER('Replacement plan'!$W$92),ISNUMBER('Replacement plan'!$X$92),OR(E347=120,AND(ISNUMBER(G347),G347&gt;=0)),ISNUMBER(H347),H347&gt;=0,OR(D347&lt;&gt;"EV",E347=120,AND(ISNUMBER('Operating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average",ISNUMBER(IFERROR(INDEX(Products!$P$7:$P$13,MATCH(AD347,Products!$A$7:$A$13,0)),"")))),ISNUMBER('Operating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plan'!$Y$92),ISNUMBER('Replacement plan'!$Z$92),'Replacement plan'!$Z$92&gt;=0,ISNUMBER('Replacement plan'!$AA$92),'Replacement plan'!$AA$92&gt;=0,'Replacement plan'!$AA$92=INT('Replacement plan'!$AA$92),ISNUMBER('Replacement plan'!$L$92))),'Operating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plan'!$AG$92="",'Operating costs'!$B$7,'Replacement plan'!$AG$92)),IF('Replacement plan'!$AG$92="",'Operating costs'!$B$7,'Replacement plan'!$AG$92)&gt;=0,ISNUMBER(IF('Replacement plan'!$AH$92="",'Operating costs'!$B$7,'Replacement plan'!$AH$92)),IF('Replacement plan'!$AH$92="",'Operating costs'!$B$7,'Replacement plan'!$AH$92)&gt;=0,'Operating costs'!$B$8&gt;MAX(IF('Replacement plan'!$AG$92="",'Operating costs'!$B$7,'Replacement plan'!$AG$92),IF('Replacement plan'!$AH$92="",'Operating costs'!$B$7,'Replacement plan'!$AH$92))*'Operating costs'!$B$9),IF(AND(VLOOKUP($A347,'Fleet register'!$A$7:$S$106,10,FALSE)&gt;=0,VLOOKUP($A347,'Fleet register'!$A$7:$S$106,10,FALSE)&lt;=120,VLOOKUP($A347,'Fleet register'!$A$7:$S$106,10,FALSE)=INT(VLOOKUP($A347,'Fleet register'!$A$7:$S$106,10,FALSE)),VLOOKUP($A347,'Fleet register'!$A$7:$S$106,15,FALSE)&gt;=0,VLOOKUP($A347,'Fleet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costs'!$B$67)&gt;=0,OR(D347&lt;&gt;"EV",E347=120,AND(MIN('Operating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47" s="1" t="str">
        <f>IF(C347=0,"Excluded",IF(P347&lt;&gt;"Complete",P347,IF(OR('Replacement plan'!$AD$92&lt;120-E347,AND(D347="EV",E347&lt;120,OR('Replacement plan'!$AC$92&lt;120-E347,'Replacement plan'!$I$92="No",AND(ISNUMBER(AF347),AE347&gt;AF347),AI347&gt;V347*(1-'Operating costs'!$B$46)^MAX(0,AB347-1)*(1-'Operating costs'!$B$45),AC347&gt;'Operating costs'!$B$18,AND(T347&lt;1,OR(AG347&lt;=0,AND(ISNUMBER(AH347),AG347&gt;AH347))),'Replacement plan'!$L$92&gt;INDEX(Products!$H$7:$H$13,MATCH('Replacement plan'!$B$92,Products!$A$7:$A$13,0))))),"Fails entered limits",IF(AND(D347="EV",E347&lt;120,OR(NOT(ISNUMBER(VLOOKUP($A347,'Fleet register'!$A$7:$S$106,7,FALSE))),NOT(ISNUMBER(VLOOKUP($A347,'Fleet register'!$A$7:$S$106,8,FALSE))),NOT(ISNUMBER(AF347)),'Replacement plan'!$I$92&lt;&gt;"Yes",NOT(ISNUMBER(AH347)),'Operating costs'!$B$59&lt;&gt;"Yes",'Operating costs'!$B$58&lt;&gt;"Yes")),"Unverified","Within entered limits"))))</f>
        <v>Excluded</v>
      </c>
      <c r="R347" s="1">
        <f>IF(C347=0,0,VLOOKUP($A347,'Fleet register'!$A$7:$S$106,6,FALSE))</f>
        <v>0</v>
      </c>
      <c r="S347" s="1">
        <f>IF(C347=0,0,VLOOKUP($A347,'Fleet register'!$A$7:$S$106,5,FALSE))</f>
        <v>0</v>
      </c>
      <c r="T347" s="1">
        <f>IF(D347="EV",'Energy and charging'!$B$12,0)</f>
        <v>0</v>
      </c>
      <c r="U347" s="1">
        <f>IFERROR(IF(C347=0,0,IF(D347="EV",IF('Replacement plan'!$F$92="",INDEX(Products!$E$7:$E$13,MATCH('Replacement plan'!$B$92,Products!$A$7:$A$13,0)),'Replacement plan'!$F$92)/IF('Replacement plan'!$G$92="Battery",1-'Operating costs'!$B$44,1),0)),"n.a.")</f>
        <v>0</v>
      </c>
      <c r="V347" s="1">
        <f>IFERROR(IF(C347=0,0,IF(D347="EV",IF('Replacement plan'!$E$92="",INDEX(Products!$D$7:$D$13,MATCH('Replacement plan'!$B$92,Products!$A$7:$A$13,0)),'Replacement plan'!$E$92),0)),"n.a.")</f>
        <v>0</v>
      </c>
      <c r="W347" s="1">
        <f>IF(C347=0,0,IF(AND(P347="Complete",D347="EV",E347&lt;120),IF(T347=0,0,ROUNDUP(T347*(R347-'Operating costs'!$B$41)*(S347*U347+'Operating costs'!$B$48/(1-'Operating costs'!$B$44))/(V347*'Operating costs'!$B$47/(1-'Operating costs'!$B$44)-T347*'Operating costs'!$B$12*U347),0)),0))</f>
        <v>0</v>
      </c>
      <c r="X347" s="1">
        <f>IF(C347=0,0,IF(AND(P347="Complete",D347="EV",E347&lt;120),(R347-'Operating costs'!$B$41)*(S347*U347+'Operating costs'!$B$48/(1-'Operating costs'!$B$44))+W347*'Operating costs'!$B$12*U347,0))</f>
        <v>0</v>
      </c>
      <c r="Y347" s="1">
        <f>IF(AND(C347=1,D347="EV",E347&lt;120),AI347/(1-'Operating costs'!$B$44)*(1-T347),0)</f>
        <v>0</v>
      </c>
      <c r="Z347" s="1">
        <f t="shared" si="10"/>
        <v>0</v>
      </c>
      <c r="AA347" s="1">
        <f>IF(C347=0,0,IF(P347="Complete",((S347*(R347-'Operating costs'!$B$40))+ROUNDUP(S347*(R347-'Operating costs'!$B$40)*IF('Replacement plan'!$AH$92="",'Operating costs'!$B$7,'Replacement plan'!$AH$92)/('Operating costs'!$B$8-'Operating costs'!$B$9*IF('Replacement plan'!$AH$92="",'Operating costs'!$B$7,'Replacement plan'!$AH$92)),0)*'Operating costs'!$B$9)*IF('Replacement plan'!$AH$92="",'Operating costs'!$B$7,'Replacement plan'!$AH$92),"n.a."))</f>
        <v>0</v>
      </c>
      <c r="AB347" s="1">
        <f t="shared" si="11"/>
        <v>0</v>
      </c>
      <c r="AC347" s="1">
        <f>IF(AND(C347=1,D347="EV",E347&lt;120,T347&gt;0),'Operating costs'!$B$12/'Operating costs'!$B$11*60+'Operating costs'!$B$13+'Operating costs'!$B$14+V347*'Operating costs'!$B$47/(1-'Operating costs'!$B$44)/'Replacement plan'!$L$92*60,0)</f>
        <v>0</v>
      </c>
      <c r="AD347" s="1" t="str">
        <f>'Replacement plan'!$B$92</f>
        <v>ChengLong L2EV</v>
      </c>
      <c r="AE347" s="1">
        <f>IF(C347=0,0,VLOOKUP($A347,'Fleet register'!$A$7:$S$106,8,FALSE))</f>
        <v>0</v>
      </c>
      <c r="AF347" s="1" t="str">
        <f>IF('Replacement plan'!$H$92="","n.a.",'Replacement plan'!$H$92)</f>
        <v>n.a.</v>
      </c>
      <c r="AG347" s="1">
        <f>'Replacement plan'!$J$92</f>
        <v>22</v>
      </c>
      <c r="AH347" s="1">
        <f>IFERROR(IF(D347="EV",IF('Replacement plan'!$K$92="AC",IF(ISNUMBER(INDEX(Products!$G$7:$G$13,MATCH('Replacement plan'!$B$92,Products!$A$7:$A$13,0))),INDEX(Products!$G$7:$G$13,MATCH('Replacement plan'!$B$92,Products!$A$7:$A$13,0)),"n.a."),IF(ISNUMBER(INDEX(Products!$H$7:$H$13,MATCH('Replacement plan'!$B$92,Products!$A$7:$A$13,0))),INDEX(Products!$H$7:$H$13,MATCH('Replacement plan'!$B$92,Products!$A$7:$A$13,0)),"n.a.")),0),"n.a.")</f>
        <v>0</v>
      </c>
      <c r="AI347" s="1">
        <f>IF(AND(C347=1,D347="EV",E347&lt;120),(VLOOKUP($A347,'Fleet register'!$A$7:$S$106,7,FALSE)+IF(T347&gt;0,'Operating costs'!$B$12,0))*U347*(1-'Operating costs'!$B$44)+'Operating costs'!$B$49,0)</f>
        <v>0</v>
      </c>
      <c r="AJ347" s="1">
        <f>IF(D347="EV",'Energy and charging'!$B$50,0)</f>
        <v>0</v>
      </c>
      <c r="AK347" s="17">
        <f>EDATE('Operating costs'!$B$63,E347)</f>
        <v>46298</v>
      </c>
      <c r="AL347" s="1">
        <f>IFERROR(IF(D347="EV",INDEX(Products!$B$7:$B$13,MATCH('Replacement plan'!$B$92,Products!$A$7:$A$13,0)),0),"n.a.")</f>
        <v>0</v>
      </c>
      <c r="AM347" s="1" t="str">
        <f>'Replacement plan'!$K$92</f>
        <v>DC</v>
      </c>
      <c r="AN347" s="1" t="str">
        <f>'Replacement plan'!$AE$92</f>
        <v>Assumed</v>
      </c>
      <c r="AO347" s="47">
        <f>IF(AND(C347=1,D347="EV",E347&lt;120),(R347-'Operating costs'!$B$41)*S347+W347*'Operating costs'!$B$12,0)</f>
        <v>0</v>
      </c>
      <c r="AP347" s="41">
        <f>IF(AND(C347=1,D347="EV",E347&lt;120),IF('Operating costs'!$B$68="Hong Seh 200k average",AO347*IFERROR(INDEX(Products!$P$7:$P$13,MATCH(AD347,Products!$A$7:$A$13,0)),"n.a."),'Operating costs'!$B$26),0)</f>
        <v>0</v>
      </c>
      <c r="AQ347" s="40" t="str">
        <f>IF(D347="EV",'Operating costs'!$B$68,"Not applicable")</f>
        <v>Not applicable</v>
      </c>
    </row>
    <row r="348" spans="1:43" ht="24" customHeight="1">
      <c r="A348" s="1" t="str">
        <f>'Replacement plan'!A92</f>
        <v>T086</v>
      </c>
      <c r="B348" s="1">
        <v>1</v>
      </c>
      <c r="C348" s="1">
        <f>IF(COUNTIFS('Fleet register'!$A$7:$A$106,$A348)=1,VLOOKUP($A348,'Fleet register'!$A$7:$S$106,2,FALSE),0)</f>
        <v>0</v>
      </c>
      <c r="D348" s="1" t="str">
        <f>IF("New ICE"="EV","EV","ICE")</f>
        <v>ICE</v>
      </c>
      <c r="E348" s="1">
        <f>IF(C348=0,0,0)</f>
        <v>0</v>
      </c>
      <c r="F348" s="16">
        <f>IF(C348=0,0,VLOOKUP($A348,'Fleet register'!$A$7:$S$106,11,FALSE))</f>
        <v>0</v>
      </c>
      <c r="G348" s="16">
        <f>IFERROR(IF(C348=0,0,IF(E348=120,0,IF(D348="ICE",'Replacement plan'!$C$92,IF('Replacement plan'!$D$92="",INDEX(Products!$I$7:$I$13,MATCH('Replacement plan'!$B$92,Products!$A$7:$A$13,0))+'Operating costs'!$B$57,'Replacement plan'!$D$92))*(1+'Operating costs'!$B$50)^(E348/12))),"n.a.")</f>
        <v>0</v>
      </c>
      <c r="H348" s="16">
        <f>IFERROR(IF(C348=0,0,IF(E348=0,F348,VLOOKUP($A348,'Fleet register'!$A$7:$S$106,12,FALSE)+VLOOKUP($A348,'Fleet register'!$A$7:$S$106,13,FALSE)*MAX(0,VLOOKUP($A348,'Fleet register'!$A$7:$S$106,10,FALSE)-E348)/VLOOKUP($A348,'Fleet register'!$A$7:$S$106,14,FALSE))),"n.a.")</f>
        <v>0</v>
      </c>
      <c r="I348" s="16">
        <f>IF(C348=0,0,IF(E348=120,0,IF('Replacement plan'!$AI$92="",'Operating costs'!$B$56,'Replacement plan'!$AI$92)))</f>
        <v>0</v>
      </c>
      <c r="J348" s="16">
        <f>IF(C348=0,0,IF(P348="Complete",((S348*(R348-'Operating costs'!$B$39))+ROUNDUP(S348*(R348-'Operating costs'!$B$39)*IF('Replacement plan'!$AG$92="",'Operating costs'!$B$7,'Replacement plan'!$AG$92)/('Operating costs'!$B$8-'Operating costs'!$B$9*IF('Replacement plan'!$AG$92="",'Operating costs'!$B$7,'Replacement plan'!$AG$92)),0)*'Operating costs'!$B$9)*IF('Replacement plan'!$AG$92="",'Operating costs'!$B$7,'Replacement plan'!$AG$92)*('Energy and charging'!$B$9*'Energy and charging'!$B$7+(1-'Energy and charging'!$B$9)*'Energy and charging'!$B$8)*'Operating costs'!$B$23,"n.a."))</f>
        <v>0</v>
      </c>
      <c r="K348" s="16">
        <f>IF(C348=0,0,IF(P348="Complete",SUM('Operating costs'!$B$24,'Operating costs'!$B$27,'Operating costs'!$B$29,'Operating costs'!$B$31,'Operating costs'!$B$33,'Operating costs'!$B$34,'Operating costs'!$B$37,'Replacement plan'!$W$92)+'Operating costs'!$B$39*'Operating costs'!$B$42+ROUNDUP(S348*(R348-'Operating costs'!$B$39)*IF('Replacement plan'!$AG$92="",'Operating costs'!$B$7,'Replacement plan'!$AG$92)/('Operating costs'!$B$8-'Operating costs'!$B$9*IF('Replacement plan'!$AG$92="",'Operating costs'!$B$7,'Replacement plan'!$AG$92)),0)*('Operating costs'!$B$9/'Operating costs'!$B$11+'Operating costs'!$B$10/60)*'Operating costs'!$B$19*'Operating costs'!$B$21,"n.a."))</f>
        <v>0</v>
      </c>
      <c r="L348" s="16">
        <f>IF(C348=0,0,IF(P348="Complete",IF(D348="EV",X348*((1-T348)*'Energy and charging'!$B$10+T348*'Energy and charging'!$B$11)*'Operating costs'!$B$22,AA348*('Energy and charging'!$B$9*'Energy and charging'!$B$7+(1-'Energy and charging'!$B$9)*'Energy and charging'!$B$8)*'Operating costs'!$B$23),"n.a."))</f>
        <v>0</v>
      </c>
      <c r="M348" s="37">
        <f>IF(C348=0,0,IF(P348="Complete",IF(D348="ICE",SUM('Operating costs'!$B$25,'Operating costs'!$B$27,'Operating costs'!$B$29,'Operating costs'!$B$31,'Operating costs'!$B$33,'Operating costs'!$B$35,'Operating costs'!$B$37,'Replacement plan'!$X$92)+'Operating costs'!$B$40*'Operating costs'!$B$42+ROUNDUP(S348*(R348-'Operating costs'!$B$40)*IF('Replacement plan'!$AH$92="",'Operating costs'!$B$7,'Replacement plan'!$AH$92)/('Operating costs'!$B$8-'Operating costs'!$B$9*IF('Replacement plan'!$AH$92="",'Operating costs'!$B$7,'Replacement plan'!$AH$92)),0)*('Operating costs'!$B$9/'Operating costs'!$B$11+'Operating costs'!$B$10/60)*'Operating costs'!$B$19*'Operating costs'!$B$21,SUM(AP348,'Operating costs'!$B$28,'Operating costs'!$B$30,'Operating costs'!$B$32,'Operating costs'!$B$33,'Operating costs'!$B$36,'Operating costs'!$B$38,'Replacement plan'!$Y$92)+'Operating costs'!$B$41*'Operating costs'!$B$43+W348*'Operating costs'!$B$15+(T348*X348/'Replacement plan'!$L$92+W348*('Operating costs'!$B$12/'Operating costs'!$B$11+('Operating costs'!$B$13+'Operating costs'!$B$14)/60)+(R348-'Operating costs'!$B$41)*(IF(T348&lt;1,'Operating costs'!$B$16,0)+'Operating costs'!$B$17)/60)*'Operating costs'!$B$19*'Operating costs'!$B$20),"n.a."))</f>
        <v>0</v>
      </c>
      <c r="N348" s="16">
        <f>IF(AND(C348=1,D348="EV",E348&lt;120,E348+'Replacement plan'!$AA$92&lt;=120),'Replacement plan'!$Z$92,0)</f>
        <v>0</v>
      </c>
      <c r="O348" s="1">
        <f>E348+'Replacement plan'!$AA$92</f>
        <v>0</v>
      </c>
      <c r="P348" s="35" t="str">
        <f>IFERROR(IF(C348=0,"Excluded",IF(OR(COUNTIFS('Fleet register'!$A$7:$A$106,A348)&lt;&gt;1,COUNTIFS('Replacement plan'!$A$7:$A$106,A348)&lt;&gt;1),"Duplicate/missing ID",IF(NOT(AND(ISNUMBER(VLOOKUP($A348,'Fleet register'!$A$7:$S$106,5,FALSE)),ISNUMBER(VLOOKUP($A348,'Fleet register'!$A$7:$S$106,6,FALSE)),ISNUMBER(VLOOKUP($A348,'Fleet register'!$A$7:$S$106,10,FALSE)),ISNUMBER(VLOOKUP($A348,'Fleet register'!$A$7:$S$106,11,FALSE)),ISNUMBER(VLOOKUP($A348,'Fleet register'!$A$7:$S$106,12,FALSE)),ISNUMBER(VLOOKUP($A348,'Fleet register'!$A$7:$S$106,13,FALSE)),ISNUMBER(VLOOKUP($A348,'Fleet register'!$A$7:$S$106,14,FALSE)),VLOOKUP($A348,'Fleet register'!$A$7:$S$106,14,FALSE)&gt;0,ISNUMBER('Replacement plan'!$C$92),OR(E348=120,OR(ISNUMBER('Replacement plan'!$AI$92),AND('Replacement plan'!$AI$92="",ISNUMBER('Operating costs'!$B$56)))),ISNUMBER(E348))),"Missing vehicle input",IF(OR(E348&lt;0,E348&gt;VLOOKUP($A348,'Fleet register'!$A$7:$S$106,10,FALSE),E348&gt;120,E348&lt;&gt;INT(E348),VLOOKUP($A348,'Fleet register'!$A$7:$S$106,6,FALSE)&lt;=0,VLOOKUP($A348,'Fleet register'!$A$7:$S$106,6,FALSE)&gt;366,VLOOKUP($A348,'Fleet register'!$A$7:$S$106,5,FALSE)&lt;0,VLOOKUP($A348,'Fleet register'!$A$7:$S$106,11,FALSE)&lt;0,I348&lt;0,'Operating costs'!$B$8&lt;='Operating costs'!$B$7*'Operating costs'!$B$9,'Operating costs'!$B$11&lt;=0,'Operating costs'!$B$39&gt;R348,'Operating costs'!$B$40&gt;R348,'Operating costs'!$B$41&gt;R348,NOT(OR("New ICE"="Keep ICE","New ICE"="New ICE","New ICE"="EV"))),"Invalid vehicle input",IF(AND(D348="EV",E348&lt;120,OR(NOT(ISNUMBER(U348)),NOT(ISNUMBER(V348)),V348&lt;=0,T348&lt;0,T348&gt;1,'Replacement plan'!$L$92&lt;=0,'Operating costs'!$B$44&lt;0,'Operating costs'!$B$44&gt;=1,'Operating costs'!$B$47&lt;=0,'Operating costs'!$B$47&gt;1,V348*'Operating costs'!$B$47/(1-'Operating costs'!$B$44)&lt;=T348*'Operating costs'!$B$12*U348,AND('Replacement plan'!$Z$92&gt;0,OR('Replacement plan'!$AB$92&lt;&gt;"Yes",'Operating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charging'!$B$8&gt;=0))),ISNUMBER(VLOOKUP($A348,'Fleet register'!$A$7:$S$106,15,FALSE)),ISNUMBER(VLOOKUP($A348,'Fleet register'!$A$7:$S$106,16,FALSE)),ISNUMBER('Replacement plan'!$W$92),ISNUMBER('Replacement plan'!$X$92),OR(E348=120,AND(ISNUMBER(G348),G348&gt;=0)),ISNUMBER(H348),H348&gt;=0,OR(D348&lt;&gt;"EV",E348=120,AND(ISNUMBER('Operating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average",ISNUMBER(IFERROR(INDEX(Products!$P$7:$P$13,MATCH(AD348,Products!$A$7:$A$13,0)),"")))),ISNUMBER('Operating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plan'!$Y$92),ISNUMBER('Replacement plan'!$Z$92),'Replacement plan'!$Z$92&gt;=0,ISNUMBER('Replacement plan'!$AA$92),'Replacement plan'!$AA$92&gt;=0,'Replacement plan'!$AA$92=INT('Replacement plan'!$AA$92),ISNUMBER('Replacement plan'!$L$92))),'Operating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plan'!$AG$92="",'Operating costs'!$B$7,'Replacement plan'!$AG$92)),IF('Replacement plan'!$AG$92="",'Operating costs'!$B$7,'Replacement plan'!$AG$92)&gt;=0,ISNUMBER(IF('Replacement plan'!$AH$92="",'Operating costs'!$B$7,'Replacement plan'!$AH$92)),IF('Replacement plan'!$AH$92="",'Operating costs'!$B$7,'Replacement plan'!$AH$92)&gt;=0,'Operating costs'!$B$8&gt;MAX(IF('Replacement plan'!$AG$92="",'Operating costs'!$B$7,'Replacement plan'!$AG$92),IF('Replacement plan'!$AH$92="",'Operating costs'!$B$7,'Replacement plan'!$AH$92))*'Operating costs'!$B$9),IF(AND(VLOOKUP($A348,'Fleet register'!$A$7:$S$106,10,FALSE)&gt;=0,VLOOKUP($A348,'Fleet register'!$A$7:$S$106,10,FALSE)&lt;=120,VLOOKUP($A348,'Fleet register'!$A$7:$S$106,10,FALSE)=INT(VLOOKUP($A348,'Fleet register'!$A$7:$S$106,10,FALSE)),VLOOKUP($A348,'Fleet register'!$A$7:$S$106,15,FALSE)&gt;=0,VLOOKUP($A348,'Fleet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costs'!$B$67)&gt;=0,OR(D348&lt;&gt;"EV",E348=120,AND(MIN('Operating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48" s="1" t="str">
        <f>IF(C348=0,"Excluded",IF(P348&lt;&gt;"Complete",P348,IF(OR('Replacement plan'!$AD$92&lt;120-E348,AND(D348="EV",E348&lt;120,OR('Replacement plan'!$AC$92&lt;120-E348,'Replacement plan'!$I$92="No",AND(ISNUMBER(AF348),AE348&gt;AF348),AI348&gt;V348*(1-'Operating costs'!$B$46)^MAX(0,AB348-1)*(1-'Operating costs'!$B$45),AC348&gt;'Operating costs'!$B$18,AND(T348&lt;1,OR(AG348&lt;=0,AND(ISNUMBER(AH348),AG348&gt;AH348))),'Replacement plan'!$L$92&gt;INDEX(Products!$H$7:$H$13,MATCH('Replacement plan'!$B$92,Products!$A$7:$A$13,0))))),"Fails entered limits",IF(AND(D348="EV",E348&lt;120,OR(NOT(ISNUMBER(VLOOKUP($A348,'Fleet register'!$A$7:$S$106,7,FALSE))),NOT(ISNUMBER(VLOOKUP($A348,'Fleet register'!$A$7:$S$106,8,FALSE))),NOT(ISNUMBER(AF348)),'Replacement plan'!$I$92&lt;&gt;"Yes",NOT(ISNUMBER(AH348)),'Operating costs'!$B$59&lt;&gt;"Yes",'Operating costs'!$B$58&lt;&gt;"Yes")),"Unverified","Within entered limits"))))</f>
        <v>Excluded</v>
      </c>
      <c r="R348" s="1">
        <f>IF(C348=0,0,VLOOKUP($A348,'Fleet register'!$A$7:$S$106,6,FALSE))</f>
        <v>0</v>
      </c>
      <c r="S348" s="1">
        <f>IF(C348=0,0,VLOOKUP($A348,'Fleet register'!$A$7:$S$106,5,FALSE))</f>
        <v>0</v>
      </c>
      <c r="T348" s="1">
        <f>IF(D348="EV",'Energy and charging'!$B$12,0)</f>
        <v>0</v>
      </c>
      <c r="U348" s="1">
        <f>IFERROR(IF(C348=0,0,IF(D348="EV",IF('Replacement plan'!$F$92="",INDEX(Products!$E$7:$E$13,MATCH('Replacement plan'!$B$92,Products!$A$7:$A$13,0)),'Replacement plan'!$F$92)/IF('Replacement plan'!$G$92="Battery",1-'Operating costs'!$B$44,1),0)),"n.a.")</f>
        <v>0</v>
      </c>
      <c r="V348" s="1">
        <f>IFERROR(IF(C348=0,0,IF(D348="EV",IF('Replacement plan'!$E$92="",INDEX(Products!$D$7:$D$13,MATCH('Replacement plan'!$B$92,Products!$A$7:$A$13,0)),'Replacement plan'!$E$92),0)),"n.a.")</f>
        <v>0</v>
      </c>
      <c r="W348" s="1">
        <f>IF(C348=0,0,IF(AND(P348="Complete",D348="EV",E348&lt;120),IF(T348=0,0,ROUNDUP(T348*(R348-'Operating costs'!$B$41)*(S348*U348+'Operating costs'!$B$48/(1-'Operating costs'!$B$44))/(V348*'Operating costs'!$B$47/(1-'Operating costs'!$B$44)-T348*'Operating costs'!$B$12*U348),0)),0))</f>
        <v>0</v>
      </c>
      <c r="X348" s="1">
        <f>IF(C348=0,0,IF(AND(P348="Complete",D348="EV",E348&lt;120),(R348-'Operating costs'!$B$41)*(S348*U348+'Operating costs'!$B$48/(1-'Operating costs'!$B$44))+W348*'Operating costs'!$B$12*U348,0))</f>
        <v>0</v>
      </c>
      <c r="Y348" s="1">
        <f>IF(AND(C348=1,D348="EV",E348&lt;120),AI348/(1-'Operating costs'!$B$44)*(1-T348),0)</f>
        <v>0</v>
      </c>
      <c r="Z348" s="1">
        <f t="shared" si="10"/>
        <v>0</v>
      </c>
      <c r="AA348" s="1">
        <f>IF(C348=0,0,IF(P348="Complete",((S348*(R348-'Operating costs'!$B$40))+ROUNDUP(S348*(R348-'Operating costs'!$B$40)*IF('Replacement plan'!$AH$92="",'Operating costs'!$B$7,'Replacement plan'!$AH$92)/('Operating costs'!$B$8-'Operating costs'!$B$9*IF('Replacement plan'!$AH$92="",'Operating costs'!$B$7,'Replacement plan'!$AH$92)),0)*'Operating costs'!$B$9)*IF('Replacement plan'!$AH$92="",'Operating costs'!$B$7,'Replacement plan'!$AH$92),"n.a."))</f>
        <v>0</v>
      </c>
      <c r="AB348" s="1">
        <f t="shared" si="11"/>
        <v>0</v>
      </c>
      <c r="AC348" s="1">
        <f>IF(AND(C348=1,D348="EV",E348&lt;120,T348&gt;0),'Operating costs'!$B$12/'Operating costs'!$B$11*60+'Operating costs'!$B$13+'Operating costs'!$B$14+V348*'Operating costs'!$B$47/(1-'Operating costs'!$B$44)/'Replacement plan'!$L$92*60,0)</f>
        <v>0</v>
      </c>
      <c r="AD348" s="1" t="str">
        <f>'Replacement plan'!$B$92</f>
        <v>ChengLong L2EV</v>
      </c>
      <c r="AE348" s="1">
        <f>IF(C348=0,0,VLOOKUP($A348,'Fleet register'!$A$7:$S$106,8,FALSE))</f>
        <v>0</v>
      </c>
      <c r="AF348" s="1" t="str">
        <f>IF('Replacement plan'!$H$92="","n.a.",'Replacement plan'!$H$92)</f>
        <v>n.a.</v>
      </c>
      <c r="AG348" s="1">
        <f>'Replacement plan'!$J$92</f>
        <v>22</v>
      </c>
      <c r="AH348" s="1">
        <f>IFERROR(IF(D348="EV",IF('Replacement plan'!$K$92="AC",IF(ISNUMBER(INDEX(Products!$G$7:$G$13,MATCH('Replacement plan'!$B$92,Products!$A$7:$A$13,0))),INDEX(Products!$G$7:$G$13,MATCH('Replacement plan'!$B$92,Products!$A$7:$A$13,0)),"n.a."),IF(ISNUMBER(INDEX(Products!$H$7:$H$13,MATCH('Replacement plan'!$B$92,Products!$A$7:$A$13,0))),INDEX(Products!$H$7:$H$13,MATCH('Replacement plan'!$B$92,Products!$A$7:$A$13,0)),"n.a.")),0),"n.a.")</f>
        <v>0</v>
      </c>
      <c r="AI348" s="1">
        <f>IF(AND(C348=1,D348="EV",E348&lt;120),(VLOOKUP($A348,'Fleet register'!$A$7:$S$106,7,FALSE)+IF(T348&gt;0,'Operating costs'!$B$12,0))*U348*(1-'Operating costs'!$B$44)+'Operating costs'!$B$49,0)</f>
        <v>0</v>
      </c>
      <c r="AJ348" s="1">
        <f>IF(D348="EV",'Energy and charging'!$B$50,0)</f>
        <v>0</v>
      </c>
      <c r="AK348" s="17">
        <f>EDATE('Operating costs'!$B$63,E348)</f>
        <v>46298</v>
      </c>
      <c r="AL348" s="1">
        <f>IFERROR(IF(D348="EV",INDEX(Products!$B$7:$B$13,MATCH('Replacement plan'!$B$92,Products!$A$7:$A$13,0)),0),"n.a.")</f>
        <v>0</v>
      </c>
      <c r="AM348" s="1" t="str">
        <f>'Replacement plan'!$K$92</f>
        <v>DC</v>
      </c>
      <c r="AN348" s="1" t="str">
        <f>'Replacement plan'!$AE$92</f>
        <v>Assumed</v>
      </c>
      <c r="AO348" s="47">
        <f>IF(AND(C348=1,D348="EV",E348&lt;120),(R348-'Operating costs'!$B$41)*S348+W348*'Operating costs'!$B$12,0)</f>
        <v>0</v>
      </c>
      <c r="AP348" s="41">
        <f>IF(AND(C348=1,D348="EV",E348&lt;120),IF('Operating costs'!$B$68="Hong Seh 200k average",AO348*IFERROR(INDEX(Products!$P$7:$P$13,MATCH(AD348,Products!$A$7:$A$13,0)),"n.a."),'Operating costs'!$B$26),0)</f>
        <v>0</v>
      </c>
      <c r="AQ348" s="40" t="str">
        <f>IF(D348="EV",'Operating costs'!$B$68,"Not applicable")</f>
        <v>Not applicable</v>
      </c>
    </row>
    <row r="349" spans="1:43" ht="24" customHeight="1">
      <c r="A349" s="1" t="str">
        <f>'Replacement plan'!A92</f>
        <v>T086</v>
      </c>
      <c r="B349" s="1">
        <v>2</v>
      </c>
      <c r="C349" s="1">
        <f>IF(COUNTIFS('Fleet register'!$A$7:$A$106,$A349)=1,VLOOKUP($A349,'Fleet register'!$A$7:$S$106,2,FALSE),0)</f>
        <v>0</v>
      </c>
      <c r="D349" s="1" t="str">
        <f>IF('Replacement plan'!$O$92="EV","EV","ICE")</f>
        <v>ICE</v>
      </c>
      <c r="E349" s="1">
        <f>IF(C349=0,0,IF('Replacement plan'!$P$92="",IF('Replacement plan'!$O$92="Keep ICE",IF('Replacement plan'!$M$92="",VLOOKUP($A349,'Fleet register'!$A$7:$S$106,10,FALSE),'Replacement plan'!$M$92),0),'Replacement plan'!$P$92))</f>
        <v>0</v>
      </c>
      <c r="F349" s="16">
        <f>IF(C349=0,0,VLOOKUP($A349,'Fleet register'!$A$7:$S$106,11,FALSE))</f>
        <v>0</v>
      </c>
      <c r="G349" s="16">
        <f>IFERROR(IF(C349=0,0,IF(E349=120,0,IF(D349="ICE",'Replacement plan'!$C$92,IF('Replacement plan'!$D$92="",INDEX(Products!$I$7:$I$13,MATCH('Replacement plan'!$B$92,Products!$A$7:$A$13,0))+'Operating costs'!$B$57,'Replacement plan'!$D$92))*(1+'Operating costs'!$B$50)^(E349/12))),"n.a.")</f>
        <v>0</v>
      </c>
      <c r="H349" s="16">
        <f>IFERROR(IF(C349=0,0,IF('Replacement plan'!$U$92&lt;&gt;"",'Replacement plan'!$U$92,IF(E349=0,F349,VLOOKUP($A349,'Fleet register'!$A$7:$S$106,12,FALSE)+VLOOKUP($A349,'Fleet register'!$A$7:$S$106,13,FALSE)*MAX(0,VLOOKUP($A349,'Fleet register'!$A$7:$S$106,10,FALSE)-E349)/VLOOKUP($A349,'Fleet register'!$A$7:$S$106,14,FALSE)))),"n.a.")</f>
        <v>0</v>
      </c>
      <c r="I349" s="16">
        <f>IF(C349=0,0,IF(E349=120,0,'Replacement plan'!$Q$92))</f>
        <v>0</v>
      </c>
      <c r="J349" s="16">
        <f>IF(C349=0,0,IF(P349="Complete",((S349*(R349-'Operating costs'!$B$39))+ROUNDUP(S349*(R349-'Operating costs'!$B$39)*IF('Replacement plan'!$AG$92="",'Operating costs'!$B$7,'Replacement plan'!$AG$92)/('Operating costs'!$B$8-'Operating costs'!$B$9*IF('Replacement plan'!$AG$92="",'Operating costs'!$B$7,'Replacement plan'!$AG$92)),0)*'Operating costs'!$B$9)*IF('Replacement plan'!$AG$92="",'Operating costs'!$B$7,'Replacement plan'!$AG$92)*('Energy and charging'!$B$9*'Energy and charging'!$B$7+(1-'Energy and charging'!$B$9)*'Energy and charging'!$B$8)*'Operating costs'!$B$23,"n.a."))</f>
        <v>0</v>
      </c>
      <c r="K349" s="16">
        <f>IF(C349=0,0,IF(P349="Complete",SUM('Operating costs'!$B$24,'Operating costs'!$B$27,'Operating costs'!$B$29,'Operating costs'!$B$31,'Operating costs'!$B$33,'Operating costs'!$B$34,'Operating costs'!$B$37,'Replacement plan'!$W$92)+'Operating costs'!$B$39*'Operating costs'!$B$42+ROUNDUP(S349*(R349-'Operating costs'!$B$39)*IF('Replacement plan'!$AG$92="",'Operating costs'!$B$7,'Replacement plan'!$AG$92)/('Operating costs'!$B$8-'Operating costs'!$B$9*IF('Replacement plan'!$AG$92="",'Operating costs'!$B$7,'Replacement plan'!$AG$92)),0)*('Operating costs'!$B$9/'Operating costs'!$B$11+'Operating costs'!$B$10/60)*'Operating costs'!$B$19*'Operating costs'!$B$21,"n.a."))</f>
        <v>0</v>
      </c>
      <c r="L349" s="16">
        <f>IF(C349=0,0,IF(P349="Complete",IF(D349="EV",X349*((1-T349)*'Energy and charging'!$B$10+T349*'Energy and charging'!$B$11)*'Operating costs'!$B$22,AA349*('Energy and charging'!$B$9*'Energy and charging'!$B$7+(1-'Energy and charging'!$B$9)*'Energy and charging'!$B$8)*'Operating costs'!$B$23),"n.a."))</f>
        <v>0</v>
      </c>
      <c r="M349" s="37">
        <f>IF(C349=0,0,IF(P349="Complete",IF(D349="ICE",SUM('Operating costs'!$B$25,'Operating costs'!$B$27,'Operating costs'!$B$29,'Operating costs'!$B$31,'Operating costs'!$B$33,'Operating costs'!$B$35,'Operating costs'!$B$37,'Replacement plan'!$X$92)+'Operating costs'!$B$40*'Operating costs'!$B$42+ROUNDUP(S349*(R349-'Operating costs'!$B$40)*IF('Replacement plan'!$AH$92="",'Operating costs'!$B$7,'Replacement plan'!$AH$92)/('Operating costs'!$B$8-'Operating costs'!$B$9*IF('Replacement plan'!$AH$92="",'Operating costs'!$B$7,'Replacement plan'!$AH$92)),0)*('Operating costs'!$B$9/'Operating costs'!$B$11+'Operating costs'!$B$10/60)*'Operating costs'!$B$19*'Operating costs'!$B$21,SUM(AP349,'Operating costs'!$B$28,'Operating costs'!$B$30,'Operating costs'!$B$32,'Operating costs'!$B$33,'Operating costs'!$B$36,'Operating costs'!$B$38,'Replacement plan'!$Y$92)+'Operating costs'!$B$41*'Operating costs'!$B$43+W349*'Operating costs'!$B$15+(T349*X349/'Replacement plan'!$L$92+W349*('Operating costs'!$B$12/'Operating costs'!$B$11+('Operating costs'!$B$13+'Operating costs'!$B$14)/60)+(R349-'Operating costs'!$B$41)*(IF(T349&lt;1,'Operating costs'!$B$16,0)+'Operating costs'!$B$17)/60)*'Operating costs'!$B$19*'Operating costs'!$B$20),"n.a."))</f>
        <v>0</v>
      </c>
      <c r="N349" s="16">
        <f>IF(AND(C349=1,D349="EV",E349&lt;120,E349+'Replacement plan'!$AA$92&lt;=120),'Replacement plan'!$Z$92,0)</f>
        <v>0</v>
      </c>
      <c r="O349" s="1">
        <f>E349+'Replacement plan'!$AA$92</f>
        <v>0</v>
      </c>
      <c r="P349" s="35" t="str">
        <f>IFERROR(IF(C349=0,"Excluded",IF(OR(COUNTIFS('Fleet register'!$A$7:$A$106,A349)&lt;&gt;1,COUNTIFS('Replacement plan'!$A$7:$A$106,A349)&lt;&gt;1),"Duplicate/missing ID",IF(NOT(AND(ISNUMBER(VLOOKUP($A349,'Fleet register'!$A$7:$S$106,5,FALSE)),ISNUMBER(VLOOKUP($A349,'Fleet register'!$A$7:$S$106,6,FALSE)),ISNUMBER(VLOOKUP($A349,'Fleet register'!$A$7:$S$106,10,FALSE)),ISNUMBER(VLOOKUP($A349,'Fleet register'!$A$7:$S$106,11,FALSE)),ISNUMBER(VLOOKUP($A349,'Fleet register'!$A$7:$S$106,12,FALSE)),ISNUMBER(VLOOKUP($A349,'Fleet register'!$A$7:$S$106,13,FALSE)),ISNUMBER(VLOOKUP($A349,'Fleet register'!$A$7:$S$106,14,FALSE)),VLOOKUP($A349,'Fleet register'!$A$7:$S$106,14,FALSE)&gt;0,ISNUMBER('Replacement plan'!$C$92),OR(E349=120,ISNUMBER('Replacement plan'!$Q$92)),ISNUMBER(E349))),"Missing vehicle input",IF(OR(E349&lt;0,E349&gt;VLOOKUP($A349,'Fleet register'!$A$7:$S$106,10,FALSE),E349&gt;120,E349&lt;&gt;INT(E349),VLOOKUP($A349,'Fleet register'!$A$7:$S$106,6,FALSE)&lt;=0,VLOOKUP($A349,'Fleet register'!$A$7:$S$106,6,FALSE)&gt;366,VLOOKUP($A349,'Fleet register'!$A$7:$S$106,5,FALSE)&lt;0,VLOOKUP($A349,'Fleet register'!$A$7:$S$106,11,FALSE)&lt;0,I349&lt;0,'Operating costs'!$B$8&lt;='Operating costs'!$B$7*'Operating costs'!$B$9,'Operating costs'!$B$11&lt;=0,'Operating costs'!$B$39&gt;R349,'Operating costs'!$B$40&gt;R349,'Operating costs'!$B$41&gt;R349,NOT(OR('Replacement plan'!$O$92="Keep ICE",'Replacement plan'!$O$92="New ICE",'Replacement plan'!$O$92="EV"))),"Invalid vehicle input",IF(AND(D349="EV",E349&lt;120,OR(NOT(ISNUMBER(U349)),NOT(ISNUMBER(V349)),V349&lt;=0,T349&lt;0,T349&gt;1,'Replacement plan'!$L$92&lt;=0,'Operating costs'!$B$44&lt;0,'Operating costs'!$B$44&gt;=1,'Operating costs'!$B$47&lt;=0,'Operating costs'!$B$47&gt;1,V349*'Operating costs'!$B$47/(1-'Operating costs'!$B$44)&lt;=T349*'Operating costs'!$B$12*U349,AND('Replacement plan'!$Z$92&gt;0,OR('Replacement plan'!$AB$92&lt;&gt;"Yes",'Operating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charging'!$B$8&gt;=0))),ISNUMBER(VLOOKUP($A349,'Fleet register'!$A$7:$S$106,15,FALSE)),ISNUMBER(VLOOKUP($A349,'Fleet register'!$A$7:$S$106,16,FALSE)),ISNUMBER('Replacement plan'!$W$92),ISNUMBER('Replacement plan'!$X$92),OR(E349=120,AND(ISNUMBER(G349),G349&gt;=0)),ISNUMBER(H349),H349&gt;=0,OR(D349&lt;&gt;"EV",E349=120,AND(ISNUMBER('Operating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average",ISNUMBER(IFERROR(INDEX(Products!$P$7:$P$13,MATCH(AD349,Products!$A$7:$A$13,0)),"")))),ISNUMBER('Operating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plan'!$Y$92),ISNUMBER('Replacement plan'!$Z$92),'Replacement plan'!$Z$92&gt;=0,ISNUMBER('Replacement plan'!$AA$92),'Replacement plan'!$AA$92&gt;=0,'Replacement plan'!$AA$92=INT('Replacement plan'!$AA$92),ISNUMBER('Replacement plan'!$L$92))),'Operating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plan'!$AG$92="",'Operating costs'!$B$7,'Replacement plan'!$AG$92)),IF('Replacement plan'!$AG$92="",'Operating costs'!$B$7,'Replacement plan'!$AG$92)&gt;=0,ISNUMBER(IF('Replacement plan'!$AH$92="",'Operating costs'!$B$7,'Replacement plan'!$AH$92)),IF('Replacement plan'!$AH$92="",'Operating costs'!$B$7,'Replacement plan'!$AH$92)&gt;=0,'Operating costs'!$B$8&gt;MAX(IF('Replacement plan'!$AG$92="",'Operating costs'!$B$7,'Replacement plan'!$AG$92),IF('Replacement plan'!$AH$92="",'Operating costs'!$B$7,'Replacement plan'!$AH$92))*'Operating costs'!$B$9),IF(AND(VLOOKUP($A349,'Fleet register'!$A$7:$S$106,10,FALSE)&gt;=0,VLOOKUP($A349,'Fleet register'!$A$7:$S$106,10,FALSE)&lt;=120,VLOOKUP($A349,'Fleet register'!$A$7:$S$106,10,FALSE)=INT(VLOOKUP($A349,'Fleet register'!$A$7:$S$106,10,FALSE)),VLOOKUP($A349,'Fleet register'!$A$7:$S$106,15,FALSE)&gt;=0,VLOOKUP($A349,'Fleet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costs'!$B$67)&gt;=0,OR(D349&lt;&gt;"EV",E349=120,AND(MIN('Operating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49" s="1" t="str">
        <f>IF(C349=0,"Excluded",IF(P349&lt;&gt;"Complete",P349,IF(OR('Replacement plan'!$AD$92&lt;120-E349,AND(D349="EV",E349&lt;120,OR('Replacement plan'!$AC$92&lt;120-E349,'Replacement plan'!$I$92="No",AND(ISNUMBER(AF349),AE349&gt;AF349),AI349&gt;V349*(1-'Operating costs'!$B$46)^MAX(0,AB349-1)*(1-'Operating costs'!$B$45),AC349&gt;'Operating costs'!$B$18,AND(T349&lt;1,OR(AG349&lt;=0,AND(ISNUMBER(AH349),AG349&gt;AH349))),'Replacement plan'!$L$92&gt;INDEX(Products!$H$7:$H$13,MATCH('Replacement plan'!$B$92,Products!$A$7:$A$13,0))))),"Fails entered limits",IF(AND(D349="EV",E349&lt;120,OR(NOT(ISNUMBER(VLOOKUP($A349,'Fleet register'!$A$7:$S$106,7,FALSE))),NOT(ISNUMBER(VLOOKUP($A349,'Fleet register'!$A$7:$S$106,8,FALSE))),NOT(ISNUMBER(AF349)),'Replacement plan'!$I$92&lt;&gt;"Yes",NOT(ISNUMBER(AH349)),'Operating costs'!$B$59&lt;&gt;"Yes",'Operating costs'!$B$58&lt;&gt;"Yes")),"Unverified","Within entered limits"))))</f>
        <v>Excluded</v>
      </c>
      <c r="R349" s="1">
        <f>IF(C349=0,0,VLOOKUP($A349,'Fleet register'!$A$7:$S$106,6,FALSE))</f>
        <v>0</v>
      </c>
      <c r="S349" s="1">
        <f>IF(C349=0,0,VLOOKUP($A349,'Fleet register'!$A$7:$S$106,5,FALSE))</f>
        <v>0</v>
      </c>
      <c r="T349" s="1">
        <f>IF(D349="EV",'Energy and charging'!$B$12,0)</f>
        <v>0</v>
      </c>
      <c r="U349" s="1">
        <f>IFERROR(IF(C349=0,0,IF(D349="EV",IF('Replacement plan'!$F$92="",INDEX(Products!$E$7:$E$13,MATCH('Replacement plan'!$B$92,Products!$A$7:$A$13,0)),'Replacement plan'!$F$92)/IF('Replacement plan'!$G$92="Battery",1-'Operating costs'!$B$44,1),0)),"n.a.")</f>
        <v>0</v>
      </c>
      <c r="V349" s="1">
        <f>IFERROR(IF(C349=0,0,IF(D349="EV",IF('Replacement plan'!$E$92="",INDEX(Products!$D$7:$D$13,MATCH('Replacement plan'!$B$92,Products!$A$7:$A$13,0)),'Replacement plan'!$E$92),0)),"n.a.")</f>
        <v>0</v>
      </c>
      <c r="W349" s="1">
        <f>IF(C349=0,0,IF(AND(P349="Complete",D349="EV",E349&lt;120),IF(T349=0,0,ROUNDUP(T349*(R349-'Operating costs'!$B$41)*(S349*U349+'Operating costs'!$B$48/(1-'Operating costs'!$B$44))/(V349*'Operating costs'!$B$47/(1-'Operating costs'!$B$44)-T349*'Operating costs'!$B$12*U349),0)),0))</f>
        <v>0</v>
      </c>
      <c r="X349" s="1">
        <f>IF(C349=0,0,IF(AND(P349="Complete",D349="EV",E349&lt;120),(R349-'Operating costs'!$B$41)*(S349*U349+'Operating costs'!$B$48/(1-'Operating costs'!$B$44))+W349*'Operating costs'!$B$12*U349,0))</f>
        <v>0</v>
      </c>
      <c r="Y349" s="1">
        <f>IF(AND(C349=1,D349="EV",E349&lt;120),AI349/(1-'Operating costs'!$B$44)*(1-T349),0)</f>
        <v>0</v>
      </c>
      <c r="Z349" s="1">
        <f t="shared" si="10"/>
        <v>0</v>
      </c>
      <c r="AA349" s="1">
        <f>IF(C349=0,0,IF(P349="Complete",((S349*(R349-'Operating costs'!$B$40))+ROUNDUP(S349*(R349-'Operating costs'!$B$40)*IF('Replacement plan'!$AH$92="",'Operating costs'!$B$7,'Replacement plan'!$AH$92)/('Operating costs'!$B$8-'Operating costs'!$B$9*IF('Replacement plan'!$AH$92="",'Operating costs'!$B$7,'Replacement plan'!$AH$92)),0)*'Operating costs'!$B$9)*IF('Replacement plan'!$AH$92="",'Operating costs'!$B$7,'Replacement plan'!$AH$92),"n.a."))</f>
        <v>0</v>
      </c>
      <c r="AB349" s="1">
        <f t="shared" si="11"/>
        <v>0</v>
      </c>
      <c r="AC349" s="1">
        <f>IF(AND(C349=1,D349="EV",E349&lt;120,T349&gt;0),'Operating costs'!$B$12/'Operating costs'!$B$11*60+'Operating costs'!$B$13+'Operating costs'!$B$14+V349*'Operating costs'!$B$47/(1-'Operating costs'!$B$44)/'Replacement plan'!$L$92*60,0)</f>
        <v>0</v>
      </c>
      <c r="AD349" s="1" t="str">
        <f>'Replacement plan'!$B$92</f>
        <v>ChengLong L2EV</v>
      </c>
      <c r="AE349" s="1">
        <f>IF(C349=0,0,VLOOKUP($A349,'Fleet register'!$A$7:$S$106,8,FALSE))</f>
        <v>0</v>
      </c>
      <c r="AF349" s="1" t="str">
        <f>IF('Replacement plan'!$H$92="","n.a.",'Replacement plan'!$H$92)</f>
        <v>n.a.</v>
      </c>
      <c r="AG349" s="1">
        <f>'Replacement plan'!$J$92</f>
        <v>22</v>
      </c>
      <c r="AH349" s="1">
        <f>IFERROR(IF(D349="EV",IF('Replacement plan'!$K$92="AC",IF(ISNUMBER(INDEX(Products!$G$7:$G$13,MATCH('Replacement plan'!$B$92,Products!$A$7:$A$13,0))),INDEX(Products!$G$7:$G$13,MATCH('Replacement plan'!$B$92,Products!$A$7:$A$13,0)),"n.a."),IF(ISNUMBER(INDEX(Products!$H$7:$H$13,MATCH('Replacement plan'!$B$92,Products!$A$7:$A$13,0))),INDEX(Products!$H$7:$H$13,MATCH('Replacement plan'!$B$92,Products!$A$7:$A$13,0)),"n.a.")),0),"n.a.")</f>
        <v>0</v>
      </c>
      <c r="AI349" s="1">
        <f>IF(AND(C349=1,D349="EV",E349&lt;120),(VLOOKUP($A349,'Fleet register'!$A$7:$S$106,7,FALSE)+IF(T349&gt;0,'Operating costs'!$B$12,0))*U349*(1-'Operating costs'!$B$44)+'Operating costs'!$B$49,0)</f>
        <v>0</v>
      </c>
      <c r="AJ349" s="1">
        <f>IF(D349="EV",'Energy and charging'!$B$50,0)</f>
        <v>0</v>
      </c>
      <c r="AK349" s="17">
        <f>EDATE('Operating costs'!$B$63,E349)</f>
        <v>46298</v>
      </c>
      <c r="AL349" s="1">
        <f>IFERROR(IF(D349="EV",INDEX(Products!$B$7:$B$13,MATCH('Replacement plan'!$B$92,Products!$A$7:$A$13,0)),0),"n.a.")</f>
        <v>0</v>
      </c>
      <c r="AM349" s="1" t="str">
        <f>'Replacement plan'!$K$92</f>
        <v>DC</v>
      </c>
      <c r="AN349" s="1" t="str">
        <f>'Replacement plan'!$AE$92</f>
        <v>Assumed</v>
      </c>
      <c r="AO349" s="47">
        <f>IF(AND(C349=1,D349="EV",E349&lt;120),(R349-'Operating costs'!$B$41)*S349+W349*'Operating costs'!$B$12,0)</f>
        <v>0</v>
      </c>
      <c r="AP349" s="41">
        <f>IF(AND(C349=1,D349="EV",E349&lt;120),IF('Operating costs'!$B$68="Hong Seh 200k average",AO349*IFERROR(INDEX(Products!$P$7:$P$13,MATCH(AD349,Products!$A$7:$A$13,0)),"n.a."),'Operating costs'!$B$26),0)</f>
        <v>0</v>
      </c>
      <c r="AQ349" s="40" t="str">
        <f>IF(D349="EV",'Operating costs'!$B$68,"Not applicable")</f>
        <v>Not applicable</v>
      </c>
    </row>
    <row r="350" spans="1:43" ht="24" customHeight="1">
      <c r="A350" s="1" t="str">
        <f>'Replacement plan'!A92</f>
        <v>T086</v>
      </c>
      <c r="B350" s="1">
        <v>3</v>
      </c>
      <c r="C350" s="1">
        <f>IF(COUNTIFS('Fleet register'!$A$7:$A$106,$A350)=1,VLOOKUP($A350,'Fleet register'!$A$7:$S$106,2,FALSE),0)</f>
        <v>0</v>
      </c>
      <c r="D350" s="1" t="str">
        <f>IF('Replacement plan'!$R$92="EV","EV","ICE")</f>
        <v>ICE</v>
      </c>
      <c r="E350" s="1">
        <f>IF(C350=0,0,IF('Replacement plan'!$S$92="",IF('Replacement plan'!$R$92="Keep ICE",IF('Replacement plan'!$M$92="",VLOOKUP($A350,'Fleet register'!$A$7:$S$106,10,FALSE),'Replacement plan'!$M$92),0),'Replacement plan'!$S$92))</f>
        <v>0</v>
      </c>
      <c r="F350" s="16">
        <f>IF(C350=0,0,VLOOKUP($A350,'Fleet register'!$A$7:$S$106,11,FALSE))</f>
        <v>0</v>
      </c>
      <c r="G350" s="16">
        <f>IFERROR(IF(C350=0,0,IF(E350=120,0,IF(D350="ICE",'Replacement plan'!$C$92,IF('Replacement plan'!$D$92="",INDEX(Products!$I$7:$I$13,MATCH('Replacement plan'!$B$92,Products!$A$7:$A$13,0))+'Operating costs'!$B$57,'Replacement plan'!$D$92))*(1+'Operating costs'!$B$50)^(E350/12))),"n.a.")</f>
        <v>0</v>
      </c>
      <c r="H350" s="16">
        <f>IFERROR(IF(C350=0,0,IF('Replacement plan'!$V$92&lt;&gt;"",'Replacement plan'!$V$92,IF(E350=0,F350,VLOOKUP($A350,'Fleet register'!$A$7:$S$106,12,FALSE)+VLOOKUP($A350,'Fleet register'!$A$7:$S$106,13,FALSE)*MAX(0,VLOOKUP($A350,'Fleet register'!$A$7:$S$106,10,FALSE)-E350)/VLOOKUP($A350,'Fleet register'!$A$7:$S$106,14,FALSE)))),"n.a.")</f>
        <v>0</v>
      </c>
      <c r="I350" s="16">
        <f>IF(C350=0,0,IF(E350=120,0,'Replacement plan'!$T$92))</f>
        <v>0</v>
      </c>
      <c r="J350" s="16">
        <f>IF(C350=0,0,IF(P350="Complete",((S350*(R350-'Operating costs'!$B$39))+ROUNDUP(S350*(R350-'Operating costs'!$B$39)*IF('Replacement plan'!$AG$92="",'Operating costs'!$B$7,'Replacement plan'!$AG$92)/('Operating costs'!$B$8-'Operating costs'!$B$9*IF('Replacement plan'!$AG$92="",'Operating costs'!$B$7,'Replacement plan'!$AG$92)),0)*'Operating costs'!$B$9)*IF('Replacement plan'!$AG$92="",'Operating costs'!$B$7,'Replacement plan'!$AG$92)*('Energy and charging'!$C$9*'Energy and charging'!$C$7+(1-'Energy and charging'!$C$9)*'Energy and charging'!$C$8)*'Operating costs'!$B$23,"n.a."))</f>
        <v>0</v>
      </c>
      <c r="K350" s="16">
        <f>IF(C350=0,0,IF(P350="Complete",SUM('Operating costs'!$B$24,'Operating costs'!$B$27,'Operating costs'!$B$29,'Operating costs'!$B$31,'Operating costs'!$B$33,'Operating costs'!$B$34,'Operating costs'!$B$37,'Replacement plan'!$W$92)+'Operating costs'!$B$39*'Operating costs'!$B$42+ROUNDUP(S350*(R350-'Operating costs'!$B$39)*IF('Replacement plan'!$AG$92="",'Operating costs'!$B$7,'Replacement plan'!$AG$92)/('Operating costs'!$B$8-'Operating costs'!$B$9*IF('Replacement plan'!$AG$92="",'Operating costs'!$B$7,'Replacement plan'!$AG$92)),0)*('Operating costs'!$B$9/'Operating costs'!$B$11+'Operating costs'!$B$10/60)*'Operating costs'!$B$19*'Operating costs'!$B$21,"n.a."))</f>
        <v>0</v>
      </c>
      <c r="L350" s="16">
        <f>IF(C350=0,0,IF(P350="Complete",IF(D350="EV",X350*((1-T350)*'Energy and charging'!$C$10+T350*'Energy and charging'!$C$11)*'Operating costs'!$B$22,AA350*('Energy and charging'!$C$9*'Energy and charging'!$C$7+(1-'Energy and charging'!$C$9)*'Energy and charging'!$C$8)*'Operating costs'!$B$23),"n.a."))</f>
        <v>0</v>
      </c>
      <c r="M350" s="37">
        <f>IF(C350=0,0,IF(P350="Complete",IF(D350="ICE",SUM('Operating costs'!$B$25,'Operating costs'!$B$27,'Operating costs'!$B$29,'Operating costs'!$B$31,'Operating costs'!$B$33,'Operating costs'!$B$35,'Operating costs'!$B$37,'Replacement plan'!$X$92)+'Operating costs'!$B$40*'Operating costs'!$B$42+ROUNDUP(S350*(R350-'Operating costs'!$B$40)*IF('Replacement plan'!$AH$92="",'Operating costs'!$B$7,'Replacement plan'!$AH$92)/('Operating costs'!$B$8-'Operating costs'!$B$9*IF('Replacement plan'!$AH$92="",'Operating costs'!$B$7,'Replacement plan'!$AH$92)),0)*('Operating costs'!$B$9/'Operating costs'!$B$11+'Operating costs'!$B$10/60)*'Operating costs'!$B$19*'Operating costs'!$B$21,SUM(AP350,'Operating costs'!$B$28,'Operating costs'!$B$30,'Operating costs'!$B$32,'Operating costs'!$B$33,'Operating costs'!$B$36,'Operating costs'!$B$38,'Replacement plan'!$Y$92)+'Operating costs'!$B$41*'Operating costs'!$B$43+W350*'Operating costs'!$B$15+(T350*X350/'Replacement plan'!$L$92+W350*('Operating costs'!$B$12/'Operating costs'!$B$11+('Operating costs'!$B$13+'Operating costs'!$B$14)/60)+(R350-'Operating costs'!$B$41)*(IF(T350&lt;1,'Operating costs'!$B$16,0)+'Operating costs'!$B$17)/60)*'Operating costs'!$B$19*'Operating costs'!$B$20),"n.a."))</f>
        <v>0</v>
      </c>
      <c r="N350" s="16">
        <f>IF(AND(C350=1,D350="EV",E350&lt;120,E350+'Replacement plan'!$AA$92&lt;=120),'Replacement plan'!$Z$92,0)</f>
        <v>0</v>
      </c>
      <c r="O350" s="1">
        <f>E350+'Replacement plan'!$AA$92</f>
        <v>0</v>
      </c>
      <c r="P350" s="35" t="str">
        <f>IFERROR(IF(C350=0,"Excluded",IF(OR(COUNTIFS('Fleet register'!$A$7:$A$106,A350)&lt;&gt;1,COUNTIFS('Replacement plan'!$A$7:$A$106,A350)&lt;&gt;1),"Duplicate/missing ID",IF(NOT(AND(ISNUMBER(VLOOKUP($A350,'Fleet register'!$A$7:$S$106,5,FALSE)),ISNUMBER(VLOOKUP($A350,'Fleet register'!$A$7:$S$106,6,FALSE)),ISNUMBER(VLOOKUP($A350,'Fleet register'!$A$7:$S$106,10,FALSE)),ISNUMBER(VLOOKUP($A350,'Fleet register'!$A$7:$S$106,11,FALSE)),ISNUMBER(VLOOKUP($A350,'Fleet register'!$A$7:$S$106,12,FALSE)),ISNUMBER(VLOOKUP($A350,'Fleet register'!$A$7:$S$106,13,FALSE)),ISNUMBER(VLOOKUP($A350,'Fleet register'!$A$7:$S$106,14,FALSE)),VLOOKUP($A350,'Fleet register'!$A$7:$S$106,14,FALSE)&gt;0,ISNUMBER('Replacement plan'!$C$92),OR(E350=120,ISNUMBER('Replacement plan'!$T$92)),ISNUMBER(E350))),"Missing vehicle input",IF(OR(E350&lt;0,E350&gt;VLOOKUP($A350,'Fleet register'!$A$7:$S$106,10,FALSE),E350&gt;120,E350&lt;&gt;INT(E350),VLOOKUP($A350,'Fleet register'!$A$7:$S$106,6,FALSE)&lt;=0,VLOOKUP($A350,'Fleet register'!$A$7:$S$106,6,FALSE)&gt;366,VLOOKUP($A350,'Fleet register'!$A$7:$S$106,5,FALSE)&lt;0,VLOOKUP($A350,'Fleet register'!$A$7:$S$106,11,FALSE)&lt;0,I350&lt;0,'Operating costs'!$B$8&lt;='Operating costs'!$B$7*'Operating costs'!$B$9,'Operating costs'!$B$11&lt;=0,'Operating costs'!$B$39&gt;R350,'Operating costs'!$B$40&gt;R350,'Operating costs'!$B$41&gt;R350,NOT(OR('Replacement plan'!$R$92="Keep ICE",'Replacement plan'!$R$92="New ICE",'Replacement plan'!$R$92="EV"))),"Invalid vehicle input",IF(AND(D350="EV",E350&lt;120,OR(NOT(ISNUMBER(U350)),NOT(ISNUMBER(V350)),V350&lt;=0,T350&lt;0,T350&gt;1,'Replacement plan'!$L$92&lt;=0,'Operating costs'!$B$44&lt;0,'Operating costs'!$B$44&gt;=1,'Operating costs'!$B$47&lt;=0,'Operating costs'!$B$47&gt;1,V350*'Operating costs'!$B$47/(1-'Operating costs'!$B$44)&lt;=T350*'Operating costs'!$B$12*U350,AND('Replacement plan'!$Z$92&gt;0,OR('Replacement plan'!$AB$92&lt;&gt;"Yes",'Operating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charging'!$C$8&gt;=0))),ISNUMBER(VLOOKUP($A350,'Fleet register'!$A$7:$S$106,15,FALSE)),ISNUMBER(VLOOKUP($A350,'Fleet register'!$A$7:$S$106,16,FALSE)),ISNUMBER('Replacement plan'!$W$92),ISNUMBER('Replacement plan'!$X$92),OR(E350=120,AND(ISNUMBER(G350),G350&gt;=0)),ISNUMBER(H350),H350&gt;=0,OR(D350&lt;&gt;"EV",E350=120,AND(ISNUMBER('Operating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average",ISNUMBER(IFERROR(INDEX(Products!$P$7:$P$13,MATCH(AD350,Products!$A$7:$A$13,0)),"")))),ISNUMBER('Operating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plan'!$Y$92),ISNUMBER('Replacement plan'!$Z$92),'Replacement plan'!$Z$92&gt;=0,ISNUMBER('Replacement plan'!$AA$92),'Replacement plan'!$AA$92&gt;=0,'Replacement plan'!$AA$92=INT('Replacement plan'!$AA$92),ISNUMBER('Replacement plan'!$L$92))),'Operating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plan'!$AG$92="",'Operating costs'!$B$7,'Replacement plan'!$AG$92)),IF('Replacement plan'!$AG$92="",'Operating costs'!$B$7,'Replacement plan'!$AG$92)&gt;=0,ISNUMBER(IF('Replacement plan'!$AH$92="",'Operating costs'!$B$7,'Replacement plan'!$AH$92)),IF('Replacement plan'!$AH$92="",'Operating costs'!$B$7,'Replacement plan'!$AH$92)&gt;=0,'Operating costs'!$B$8&gt;MAX(IF('Replacement plan'!$AG$92="",'Operating costs'!$B$7,'Replacement plan'!$AG$92),IF('Replacement plan'!$AH$92="",'Operating costs'!$B$7,'Replacement plan'!$AH$92))*'Operating costs'!$B$9),IF(AND(VLOOKUP($A350,'Fleet register'!$A$7:$S$106,10,FALSE)&gt;=0,VLOOKUP($A350,'Fleet register'!$A$7:$S$106,10,FALSE)&lt;=120,VLOOKUP($A350,'Fleet register'!$A$7:$S$106,10,FALSE)=INT(VLOOKUP($A350,'Fleet register'!$A$7:$S$106,10,FALSE)),VLOOKUP($A350,'Fleet register'!$A$7:$S$106,15,FALSE)&gt;=0,VLOOKUP($A350,'Fleet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costs'!$B$67)&gt;=0,OR(D350&lt;&gt;"EV",E350=120,AND(MIN('Operating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50" s="1" t="str">
        <f>IF(C350=0,"Excluded",IF(P350&lt;&gt;"Complete",P350,IF(OR('Replacement plan'!$AD$92&lt;120-E350,AND(D350="EV",E350&lt;120,OR('Replacement plan'!$AC$92&lt;120-E350,'Replacement plan'!$I$92="No",AND(ISNUMBER(AF350),AE350&gt;AF350),AI350&gt;V350*(1-'Operating costs'!$B$46)^MAX(0,AB350-1)*(1-'Operating costs'!$B$45),AC350&gt;'Operating costs'!$B$18,AND(T350&lt;1,OR(AG350&lt;=0,AND(ISNUMBER(AH350),AG350&gt;AH350))),'Replacement plan'!$L$92&gt;INDEX(Products!$H$7:$H$13,MATCH('Replacement plan'!$B$92,Products!$A$7:$A$13,0))))),"Fails entered limits",IF(AND(D350="EV",E350&lt;120,OR(NOT(ISNUMBER(VLOOKUP($A350,'Fleet register'!$A$7:$S$106,7,FALSE))),NOT(ISNUMBER(VLOOKUP($A350,'Fleet register'!$A$7:$S$106,8,FALSE))),NOT(ISNUMBER(AF350)),'Replacement plan'!$I$92&lt;&gt;"Yes",NOT(ISNUMBER(AH350)),'Operating costs'!$B$59&lt;&gt;"Yes",'Operating costs'!$B$58&lt;&gt;"Yes")),"Unverified","Within entered limits"))))</f>
        <v>Excluded</v>
      </c>
      <c r="R350" s="1">
        <f>IF(C350=0,0,VLOOKUP($A350,'Fleet register'!$A$7:$S$106,6,FALSE))</f>
        <v>0</v>
      </c>
      <c r="S350" s="1">
        <f>IF(C350=0,0,VLOOKUP($A350,'Fleet register'!$A$7:$S$106,5,FALSE))</f>
        <v>0</v>
      </c>
      <c r="T350" s="1">
        <f>IF(D350="EV",'Energy and charging'!$C$12,0)</f>
        <v>0</v>
      </c>
      <c r="U350" s="1">
        <f>IFERROR(IF(C350=0,0,IF(D350="EV",IF('Replacement plan'!$F$92="",INDEX(Products!$E$7:$E$13,MATCH('Replacement plan'!$B$92,Products!$A$7:$A$13,0)),'Replacement plan'!$F$92)/IF('Replacement plan'!$G$92="Battery",1-'Operating costs'!$B$44,1),0)),"n.a.")</f>
        <v>0</v>
      </c>
      <c r="V350" s="1">
        <f>IFERROR(IF(C350=0,0,IF(D350="EV",IF('Replacement plan'!$E$92="",INDEX(Products!$D$7:$D$13,MATCH('Replacement plan'!$B$92,Products!$A$7:$A$13,0)),'Replacement plan'!$E$92),0)),"n.a.")</f>
        <v>0</v>
      </c>
      <c r="W350" s="1">
        <f>IF(C350=0,0,IF(AND(P350="Complete",D350="EV",E350&lt;120),IF(T350=0,0,ROUNDUP(T350*(R350-'Operating costs'!$B$41)*(S350*U350+'Operating costs'!$B$48/(1-'Operating costs'!$B$44))/(V350*'Operating costs'!$B$47/(1-'Operating costs'!$B$44)-T350*'Operating costs'!$B$12*U350),0)),0))</f>
        <v>0</v>
      </c>
      <c r="X350" s="1">
        <f>IF(C350=0,0,IF(AND(P350="Complete",D350="EV",E350&lt;120),(R350-'Operating costs'!$B$41)*(S350*U350+'Operating costs'!$B$48/(1-'Operating costs'!$B$44))+W350*'Operating costs'!$B$12*U350,0))</f>
        <v>0</v>
      </c>
      <c r="Y350" s="1">
        <f>IF(AND(C350=1,D350="EV",E350&lt;120),AI350/(1-'Operating costs'!$B$44)*(1-T350),0)</f>
        <v>0</v>
      </c>
      <c r="Z350" s="1">
        <f t="shared" si="10"/>
        <v>0</v>
      </c>
      <c r="AA350" s="1">
        <f>IF(C350=0,0,IF(P350="Complete",((S350*(R350-'Operating costs'!$B$40))+ROUNDUP(S350*(R350-'Operating costs'!$B$40)*IF('Replacement plan'!$AH$92="",'Operating costs'!$B$7,'Replacement plan'!$AH$92)/('Operating costs'!$B$8-'Operating costs'!$B$9*IF('Replacement plan'!$AH$92="",'Operating costs'!$B$7,'Replacement plan'!$AH$92)),0)*'Operating costs'!$B$9)*IF('Replacement plan'!$AH$92="",'Operating costs'!$B$7,'Replacement plan'!$AH$92),"n.a."))</f>
        <v>0</v>
      </c>
      <c r="AB350" s="1">
        <f t="shared" si="11"/>
        <v>0</v>
      </c>
      <c r="AC350" s="1">
        <f>IF(AND(C350=1,D350="EV",E350&lt;120,T350&gt;0),'Operating costs'!$B$12/'Operating costs'!$B$11*60+'Operating costs'!$B$13+'Operating costs'!$B$14+V350*'Operating costs'!$B$47/(1-'Operating costs'!$B$44)/'Replacement plan'!$L$92*60,0)</f>
        <v>0</v>
      </c>
      <c r="AD350" s="1" t="str">
        <f>'Replacement plan'!$B$92</f>
        <v>ChengLong L2EV</v>
      </c>
      <c r="AE350" s="1">
        <f>IF(C350=0,0,VLOOKUP($A350,'Fleet register'!$A$7:$S$106,8,FALSE))</f>
        <v>0</v>
      </c>
      <c r="AF350" s="1" t="str">
        <f>IF('Replacement plan'!$H$92="","n.a.",'Replacement plan'!$H$92)</f>
        <v>n.a.</v>
      </c>
      <c r="AG350" s="1">
        <f>'Replacement plan'!$J$92</f>
        <v>22</v>
      </c>
      <c r="AH350" s="1">
        <f>IFERROR(IF(D350="EV",IF('Replacement plan'!$K$92="AC",IF(ISNUMBER(INDEX(Products!$G$7:$G$13,MATCH('Replacement plan'!$B$92,Products!$A$7:$A$13,0))),INDEX(Products!$G$7:$G$13,MATCH('Replacement plan'!$B$92,Products!$A$7:$A$13,0)),"n.a."),IF(ISNUMBER(INDEX(Products!$H$7:$H$13,MATCH('Replacement plan'!$B$92,Products!$A$7:$A$13,0))),INDEX(Products!$H$7:$H$13,MATCH('Replacement plan'!$B$92,Products!$A$7:$A$13,0)),"n.a.")),0),"n.a.")</f>
        <v>0</v>
      </c>
      <c r="AI350" s="1">
        <f>IF(AND(C350=1,D350="EV",E350&lt;120),(VLOOKUP($A350,'Fleet register'!$A$7:$S$106,7,FALSE)+IF(T350&gt;0,'Operating costs'!$B$12,0))*U350*(1-'Operating costs'!$B$44)+'Operating costs'!$B$49,0)</f>
        <v>0</v>
      </c>
      <c r="AJ350" s="1">
        <f>IF(D350="EV",'Energy and charging'!$C$50,0)</f>
        <v>0</v>
      </c>
      <c r="AK350" s="17">
        <f>EDATE('Operating costs'!$B$63,E350)</f>
        <v>46298</v>
      </c>
      <c r="AL350" s="1">
        <f>IFERROR(IF(D350="EV",INDEX(Products!$B$7:$B$13,MATCH('Replacement plan'!$B$92,Products!$A$7:$A$13,0)),0),"n.a.")</f>
        <v>0</v>
      </c>
      <c r="AM350" s="1" t="str">
        <f>'Replacement plan'!$K$92</f>
        <v>DC</v>
      </c>
      <c r="AN350" s="1" t="str">
        <f>'Replacement plan'!$AE$92</f>
        <v>Assumed</v>
      </c>
      <c r="AO350" s="47">
        <f>IF(AND(C350=1,D350="EV",E350&lt;120),(R350-'Operating costs'!$B$41)*S350+W350*'Operating costs'!$B$12,0)</f>
        <v>0</v>
      </c>
      <c r="AP350" s="41">
        <f>IF(AND(C350=1,D350="EV",E350&lt;120),IF('Operating costs'!$B$68="Hong Seh 200k average",AO350*IFERROR(INDEX(Products!$P$7:$P$13,MATCH(AD350,Products!$A$7:$A$13,0)),"n.a."),'Operating costs'!$B$26),0)</f>
        <v>0</v>
      </c>
      <c r="AQ350" s="40" t="str">
        <f>IF(D350="EV",'Operating costs'!$B$68,"Not applicable")</f>
        <v>Not applicable</v>
      </c>
    </row>
    <row r="351" spans="1:43" ht="24" customHeight="1">
      <c r="A351" s="1" t="str">
        <f>'Replacement plan'!A93</f>
        <v>T087</v>
      </c>
      <c r="B351" s="1">
        <v>0</v>
      </c>
      <c r="C351" s="1">
        <f>IF(COUNTIFS('Fleet register'!$A$7:$A$106,$A351)=1,VLOOKUP($A351,'Fleet register'!$A$7:$S$106,2,FALSE),0)</f>
        <v>0</v>
      </c>
      <c r="D351" s="1" t="str">
        <f>IF("Keep ICE"="EV","EV","ICE")</f>
        <v>ICE</v>
      </c>
      <c r="E351" s="1">
        <f>IF(C351=0,0,IF('Replacement plan'!$M$93="",VLOOKUP($A351,'Fleet register'!$A$7:$S$106,10,FALSE),'Replacement plan'!$M$93))</f>
        <v>0</v>
      </c>
      <c r="F351" s="16">
        <f>IF(C351=0,0,VLOOKUP($A351,'Fleet register'!$A$7:$S$106,11,FALSE))</f>
        <v>0</v>
      </c>
      <c r="G351" s="16">
        <f>IFERROR(IF(C351=0,0,IF(E351=120,0,IF(D351="ICE",'Replacement plan'!$C$93,IF('Replacement plan'!$D$93="",INDEX(Products!$I$7:$I$13,MATCH('Replacement plan'!$B$93,Products!$A$7:$A$13,0))+'Operating costs'!$B$57,'Replacement plan'!$D$93))*(1+'Operating costs'!$B$50)^(E351/12))),"n.a.")</f>
        <v>0</v>
      </c>
      <c r="H351" s="16">
        <f>IFERROR(IF(C351=0,0,IF(E351=0,F351,VLOOKUP($A351,'Fleet register'!$A$7:$S$106,12,FALSE)+VLOOKUP($A351,'Fleet register'!$A$7:$S$106,13,FALSE)*MAX(0,VLOOKUP($A351,'Fleet register'!$A$7:$S$106,10,FALSE)-E351)/VLOOKUP($A351,'Fleet register'!$A$7:$S$106,14,FALSE))),"n.a.")</f>
        <v>0</v>
      </c>
      <c r="I351" s="16">
        <f>IF(C351=0,0,IF(E351=120,0,'Replacement plan'!$N$93))</f>
        <v>0</v>
      </c>
      <c r="J351" s="16">
        <f>IF(C351=0,0,IF(P351="Complete",((S351*(R351-'Operating costs'!$B$39))+ROUNDUP(S351*(R351-'Operating costs'!$B$39)*IF('Replacement plan'!$AG$93="",'Operating costs'!$B$7,'Replacement plan'!$AG$93)/('Operating costs'!$B$8-'Operating costs'!$B$9*IF('Replacement plan'!$AG$93="",'Operating costs'!$B$7,'Replacement plan'!$AG$93)),0)*'Operating costs'!$B$9)*IF('Replacement plan'!$AG$93="",'Operating costs'!$B$7,'Replacement plan'!$AG$93)*('Energy and charging'!$B$9*'Energy and charging'!$B$7+(1-'Energy and charging'!$B$9)*'Energy and charging'!$B$8)*'Operating costs'!$B$23,"n.a."))</f>
        <v>0</v>
      </c>
      <c r="K351" s="16">
        <f>IF(C351=0,0,IF(P351="Complete",SUM('Operating costs'!$B$24,'Operating costs'!$B$27,'Operating costs'!$B$29,'Operating costs'!$B$31,'Operating costs'!$B$33,'Operating costs'!$B$34,'Operating costs'!$B$37,'Replacement plan'!$W$93)+'Operating costs'!$B$39*'Operating costs'!$B$42+ROUNDUP(S351*(R351-'Operating costs'!$B$39)*IF('Replacement plan'!$AG$93="",'Operating costs'!$B$7,'Replacement plan'!$AG$93)/('Operating costs'!$B$8-'Operating costs'!$B$9*IF('Replacement plan'!$AG$93="",'Operating costs'!$B$7,'Replacement plan'!$AG$93)),0)*('Operating costs'!$B$9/'Operating costs'!$B$11+'Operating costs'!$B$10/60)*'Operating costs'!$B$19*'Operating costs'!$B$21,"n.a."))</f>
        <v>0</v>
      </c>
      <c r="L351" s="16">
        <f>IF(C351=0,0,IF(P351="Complete",IF(D351="EV",X351*((1-T351)*'Energy and charging'!$B$10+T351*'Energy and charging'!$B$11)*'Operating costs'!$B$22,AA351*('Energy and charging'!$B$9*'Energy and charging'!$B$7+(1-'Energy and charging'!$B$9)*'Energy and charging'!$B$8)*'Operating costs'!$B$23),"n.a."))</f>
        <v>0</v>
      </c>
      <c r="M351" s="37">
        <f>IF(C351=0,0,IF(P351="Complete",IF(D351="ICE",SUM('Operating costs'!$B$25,'Operating costs'!$B$27,'Operating costs'!$B$29,'Operating costs'!$B$31,'Operating costs'!$B$33,'Operating costs'!$B$35,'Operating costs'!$B$37,'Replacement plan'!$X$93)+'Operating costs'!$B$40*'Operating costs'!$B$42+ROUNDUP(S351*(R351-'Operating costs'!$B$40)*IF('Replacement plan'!$AH$93="",'Operating costs'!$B$7,'Replacement plan'!$AH$93)/('Operating costs'!$B$8-'Operating costs'!$B$9*IF('Replacement plan'!$AH$93="",'Operating costs'!$B$7,'Replacement plan'!$AH$93)),0)*('Operating costs'!$B$9/'Operating costs'!$B$11+'Operating costs'!$B$10/60)*'Operating costs'!$B$19*'Operating costs'!$B$21,SUM(AP351,'Operating costs'!$B$28,'Operating costs'!$B$30,'Operating costs'!$B$32,'Operating costs'!$B$33,'Operating costs'!$B$36,'Operating costs'!$B$38,'Replacement plan'!$Y$93)+'Operating costs'!$B$41*'Operating costs'!$B$43+W351*'Operating costs'!$B$15+(T351*X351/'Replacement plan'!$L$93+W351*('Operating costs'!$B$12/'Operating costs'!$B$11+('Operating costs'!$B$13+'Operating costs'!$B$14)/60)+(R351-'Operating costs'!$B$41)*(IF(T351&lt;1,'Operating costs'!$B$16,0)+'Operating costs'!$B$17)/60)*'Operating costs'!$B$19*'Operating costs'!$B$20),"n.a."))</f>
        <v>0</v>
      </c>
      <c r="N351" s="16">
        <f>IF(AND(C351=1,D351="EV",E351&lt;120,E351+'Replacement plan'!$AA$93&lt;=120),'Replacement plan'!$Z$93,0)</f>
        <v>0</v>
      </c>
      <c r="O351" s="1">
        <f>E351+'Replacement plan'!$AA$93</f>
        <v>0</v>
      </c>
      <c r="P351" s="35" t="str">
        <f>IFERROR(IF(C351=0,"Excluded",IF(OR(COUNTIFS('Fleet register'!$A$7:$A$106,A351)&lt;&gt;1,COUNTIFS('Replacement plan'!$A$7:$A$106,A351)&lt;&gt;1),"Duplicate/missing ID",IF(NOT(AND(ISNUMBER(VLOOKUP($A351,'Fleet register'!$A$7:$S$106,5,FALSE)),ISNUMBER(VLOOKUP($A351,'Fleet register'!$A$7:$S$106,6,FALSE)),ISNUMBER(VLOOKUP($A351,'Fleet register'!$A$7:$S$106,10,FALSE)),ISNUMBER(VLOOKUP($A351,'Fleet register'!$A$7:$S$106,11,FALSE)),ISNUMBER(VLOOKUP($A351,'Fleet register'!$A$7:$S$106,12,FALSE)),ISNUMBER(VLOOKUP($A351,'Fleet register'!$A$7:$S$106,13,FALSE)),ISNUMBER(VLOOKUP($A351,'Fleet register'!$A$7:$S$106,14,FALSE)),VLOOKUP($A351,'Fleet register'!$A$7:$S$106,14,FALSE)&gt;0,ISNUMBER('Replacement plan'!$C$93),OR(E351=120,ISNUMBER('Replacement plan'!$N$93)),ISNUMBER(E351))),"Missing vehicle input",IF(OR(E351&lt;0,E351&gt;VLOOKUP($A351,'Fleet register'!$A$7:$S$106,10,FALSE),E351&gt;120,E351&lt;&gt;INT(E351),VLOOKUP($A351,'Fleet register'!$A$7:$S$106,6,FALSE)&lt;=0,VLOOKUP($A351,'Fleet register'!$A$7:$S$106,6,FALSE)&gt;366,VLOOKUP($A351,'Fleet register'!$A$7:$S$106,5,FALSE)&lt;0,VLOOKUP($A351,'Fleet register'!$A$7:$S$106,11,FALSE)&lt;0,I351&lt;0,'Operating costs'!$B$8&lt;='Operating costs'!$B$7*'Operating costs'!$B$9,'Operating costs'!$B$11&lt;=0,'Operating costs'!$B$39&gt;R351,'Operating costs'!$B$40&gt;R351,'Operating costs'!$B$41&gt;R351,NOT(OR("Keep ICE"="Keep ICE","Keep ICE"="New ICE","Keep ICE"="EV"))),"Invalid vehicle input",IF(AND(D351="EV",E351&lt;120,OR(NOT(ISNUMBER(U351)),NOT(ISNUMBER(V351)),V351&lt;=0,T351&lt;0,T351&gt;1,'Replacement plan'!$L$93&lt;=0,'Operating costs'!$B$44&lt;0,'Operating costs'!$B$44&gt;=1,'Operating costs'!$B$47&lt;=0,'Operating costs'!$B$47&gt;1,V351*'Operating costs'!$B$47/(1-'Operating costs'!$B$44)&lt;=T351*'Operating costs'!$B$12*U351,AND('Replacement plan'!$Z$93&gt;0,OR('Replacement plan'!$AB$93&lt;&gt;"Yes",'Operating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charging'!$B$8&gt;=0))),ISNUMBER(VLOOKUP($A351,'Fleet register'!$A$7:$S$106,15,FALSE)),ISNUMBER(VLOOKUP($A351,'Fleet register'!$A$7:$S$106,16,FALSE)),ISNUMBER('Replacement plan'!$W$93),ISNUMBER('Replacement plan'!$X$93),OR(E351=120,AND(ISNUMBER(G351),G351&gt;=0)),ISNUMBER(H351),H351&gt;=0,OR(D351&lt;&gt;"EV",E351=120,AND(ISNUMBER('Operating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average",ISNUMBER(IFERROR(INDEX(Products!$P$7:$P$13,MATCH(AD351,Products!$A$7:$A$13,0)),"")))),ISNUMBER('Operating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plan'!$Y$93),ISNUMBER('Replacement plan'!$Z$93),'Replacement plan'!$Z$93&gt;=0,ISNUMBER('Replacement plan'!$AA$93),'Replacement plan'!$AA$93&gt;=0,'Replacement plan'!$AA$93=INT('Replacement plan'!$AA$93),ISNUMBER('Replacement plan'!$L$93))),'Operating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plan'!$AG$93="",'Operating costs'!$B$7,'Replacement plan'!$AG$93)),IF('Replacement plan'!$AG$93="",'Operating costs'!$B$7,'Replacement plan'!$AG$93)&gt;=0,ISNUMBER(IF('Replacement plan'!$AH$93="",'Operating costs'!$B$7,'Replacement plan'!$AH$93)),IF('Replacement plan'!$AH$93="",'Operating costs'!$B$7,'Replacement plan'!$AH$93)&gt;=0,'Operating costs'!$B$8&gt;MAX(IF('Replacement plan'!$AG$93="",'Operating costs'!$B$7,'Replacement plan'!$AG$93),IF('Replacement plan'!$AH$93="",'Operating costs'!$B$7,'Replacement plan'!$AH$93))*'Operating costs'!$B$9),IF(AND(VLOOKUP($A351,'Fleet register'!$A$7:$S$106,10,FALSE)&gt;=0,VLOOKUP($A351,'Fleet register'!$A$7:$S$106,10,FALSE)&lt;=120,VLOOKUP($A351,'Fleet register'!$A$7:$S$106,10,FALSE)=INT(VLOOKUP($A351,'Fleet register'!$A$7:$S$106,10,FALSE)),VLOOKUP($A351,'Fleet register'!$A$7:$S$106,15,FALSE)&gt;=0,VLOOKUP($A351,'Fleet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costs'!$B$67)&gt;=0,OR(D351&lt;&gt;"EV",E351=120,AND(MIN('Operating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51" s="1" t="str">
        <f>IF(C351=0,"Excluded",IF(P351&lt;&gt;"Complete",P351,IF(OR('Replacement plan'!$AD$93&lt;120-E351,AND(D351="EV",E351&lt;120,OR('Replacement plan'!$AC$93&lt;120-E351,'Replacement plan'!$I$93="No",AND(ISNUMBER(AF351),AE351&gt;AF351),AI351&gt;V351*(1-'Operating costs'!$B$46)^MAX(0,AB351-1)*(1-'Operating costs'!$B$45),AC351&gt;'Operating costs'!$B$18,AND(T351&lt;1,OR(AG351&lt;=0,AND(ISNUMBER(AH351),AG351&gt;AH351))),'Replacement plan'!$L$93&gt;INDEX(Products!$H$7:$H$13,MATCH('Replacement plan'!$B$93,Products!$A$7:$A$13,0))))),"Fails entered limits",IF(AND(D351="EV",E351&lt;120,OR(NOT(ISNUMBER(VLOOKUP($A351,'Fleet register'!$A$7:$S$106,7,FALSE))),NOT(ISNUMBER(VLOOKUP($A351,'Fleet register'!$A$7:$S$106,8,FALSE))),NOT(ISNUMBER(AF351)),'Replacement plan'!$I$93&lt;&gt;"Yes",NOT(ISNUMBER(AH351)),'Operating costs'!$B$59&lt;&gt;"Yes",'Operating costs'!$B$58&lt;&gt;"Yes")),"Unverified","Within entered limits"))))</f>
        <v>Excluded</v>
      </c>
      <c r="R351" s="1">
        <f>IF(C351=0,0,VLOOKUP($A351,'Fleet register'!$A$7:$S$106,6,FALSE))</f>
        <v>0</v>
      </c>
      <c r="S351" s="1">
        <f>IF(C351=0,0,VLOOKUP($A351,'Fleet register'!$A$7:$S$106,5,FALSE))</f>
        <v>0</v>
      </c>
      <c r="T351" s="1">
        <f>IF(D351="EV",'Energy and charging'!$B$12,0)</f>
        <v>0</v>
      </c>
      <c r="U351" s="1">
        <f>IFERROR(IF(C351=0,0,IF(D351="EV",IF('Replacement plan'!$F$93="",INDEX(Products!$E$7:$E$13,MATCH('Replacement plan'!$B$93,Products!$A$7:$A$13,0)),'Replacement plan'!$F$93)/IF('Replacement plan'!$G$93="Battery",1-'Operating costs'!$B$44,1),0)),"n.a.")</f>
        <v>0</v>
      </c>
      <c r="V351" s="1">
        <f>IFERROR(IF(C351=0,0,IF(D351="EV",IF('Replacement plan'!$E$93="",INDEX(Products!$D$7:$D$13,MATCH('Replacement plan'!$B$93,Products!$A$7:$A$13,0)),'Replacement plan'!$E$93),0)),"n.a.")</f>
        <v>0</v>
      </c>
      <c r="W351" s="1">
        <f>IF(C351=0,0,IF(AND(P351="Complete",D351="EV",E351&lt;120),IF(T351=0,0,ROUNDUP(T351*(R351-'Operating costs'!$B$41)*(S351*U351+'Operating costs'!$B$48/(1-'Operating costs'!$B$44))/(V351*'Operating costs'!$B$47/(1-'Operating costs'!$B$44)-T351*'Operating costs'!$B$12*U351),0)),0))</f>
        <v>0</v>
      </c>
      <c r="X351" s="1">
        <f>IF(C351=0,0,IF(AND(P351="Complete",D351="EV",E351&lt;120),(R351-'Operating costs'!$B$41)*(S351*U351+'Operating costs'!$B$48/(1-'Operating costs'!$B$44))+W351*'Operating costs'!$B$12*U351,0))</f>
        <v>0</v>
      </c>
      <c r="Y351" s="1">
        <f>IF(AND(C351=1,D351="EV",E351&lt;120),AI351/(1-'Operating costs'!$B$44)*(1-T351),0)</f>
        <v>0</v>
      </c>
      <c r="Z351" s="1">
        <f t="shared" si="10"/>
        <v>0</v>
      </c>
      <c r="AA351" s="1">
        <f>IF(C351=0,0,IF(P351="Complete",((S351*(R351-'Operating costs'!$B$40))+ROUNDUP(S351*(R351-'Operating costs'!$B$40)*IF('Replacement plan'!$AH$93="",'Operating costs'!$B$7,'Replacement plan'!$AH$93)/('Operating costs'!$B$8-'Operating costs'!$B$9*IF('Replacement plan'!$AH$93="",'Operating costs'!$B$7,'Replacement plan'!$AH$93)),0)*'Operating costs'!$B$9)*IF('Replacement plan'!$AH$93="",'Operating costs'!$B$7,'Replacement plan'!$AH$93),"n.a."))</f>
        <v>0</v>
      </c>
      <c r="AB351" s="1">
        <f t="shared" si="11"/>
        <v>0</v>
      </c>
      <c r="AC351" s="1">
        <f>IF(AND(C351=1,D351="EV",E351&lt;120,T351&gt;0),'Operating costs'!$B$12/'Operating costs'!$B$11*60+'Operating costs'!$B$13+'Operating costs'!$B$14+V351*'Operating costs'!$B$47/(1-'Operating costs'!$B$44)/'Replacement plan'!$L$93*60,0)</f>
        <v>0</v>
      </c>
      <c r="AD351" s="1" t="str">
        <f>'Replacement plan'!$B$93</f>
        <v>ChengLong L2EV</v>
      </c>
      <c r="AE351" s="1">
        <f>IF(C351=0,0,VLOOKUP($A351,'Fleet register'!$A$7:$S$106,8,FALSE))</f>
        <v>0</v>
      </c>
      <c r="AF351" s="1" t="str">
        <f>IF('Replacement plan'!$H$93="","n.a.",'Replacement plan'!$H$93)</f>
        <v>n.a.</v>
      </c>
      <c r="AG351" s="1">
        <f>'Replacement plan'!$J$93</f>
        <v>22</v>
      </c>
      <c r="AH351" s="1">
        <f>IFERROR(IF(D351="EV",IF('Replacement plan'!$K$93="AC",IF(ISNUMBER(INDEX(Products!$G$7:$G$13,MATCH('Replacement plan'!$B$93,Products!$A$7:$A$13,0))),INDEX(Products!$G$7:$G$13,MATCH('Replacement plan'!$B$93,Products!$A$7:$A$13,0)),"n.a."),IF(ISNUMBER(INDEX(Products!$H$7:$H$13,MATCH('Replacement plan'!$B$93,Products!$A$7:$A$13,0))),INDEX(Products!$H$7:$H$13,MATCH('Replacement plan'!$B$93,Products!$A$7:$A$13,0)),"n.a.")),0),"n.a.")</f>
        <v>0</v>
      </c>
      <c r="AI351" s="1">
        <f>IF(AND(C351=1,D351="EV",E351&lt;120),(VLOOKUP($A351,'Fleet register'!$A$7:$S$106,7,FALSE)+IF(T351&gt;0,'Operating costs'!$B$12,0))*U351*(1-'Operating costs'!$B$44)+'Operating costs'!$B$49,0)</f>
        <v>0</v>
      </c>
      <c r="AJ351" s="1">
        <f>IF(D351="EV",'Energy and charging'!$B$50,0)</f>
        <v>0</v>
      </c>
      <c r="AK351" s="17">
        <f>EDATE('Operating costs'!$B$63,E351)</f>
        <v>46298</v>
      </c>
      <c r="AL351" s="1">
        <f>IFERROR(IF(D351="EV",INDEX(Products!$B$7:$B$13,MATCH('Replacement plan'!$B$93,Products!$A$7:$A$13,0)),0),"n.a.")</f>
        <v>0</v>
      </c>
      <c r="AM351" s="1" t="str">
        <f>'Replacement plan'!$K$93</f>
        <v>DC</v>
      </c>
      <c r="AN351" s="1" t="str">
        <f>'Replacement plan'!$AE$93</f>
        <v>Assumed</v>
      </c>
      <c r="AO351" s="47">
        <f>IF(AND(C351=1,D351="EV",E351&lt;120),(R351-'Operating costs'!$B$41)*S351+W351*'Operating costs'!$B$12,0)</f>
        <v>0</v>
      </c>
      <c r="AP351" s="41">
        <f>IF(AND(C351=1,D351="EV",E351&lt;120),IF('Operating costs'!$B$68="Hong Seh 200k average",AO351*IFERROR(INDEX(Products!$P$7:$P$13,MATCH(AD351,Products!$A$7:$A$13,0)),"n.a."),'Operating costs'!$B$26),0)</f>
        <v>0</v>
      </c>
      <c r="AQ351" s="40" t="str">
        <f>IF(D351="EV",'Operating costs'!$B$68,"Not applicable")</f>
        <v>Not applicable</v>
      </c>
    </row>
    <row r="352" spans="1:43" ht="24" customHeight="1">
      <c r="A352" s="1" t="str">
        <f>'Replacement plan'!A93</f>
        <v>T087</v>
      </c>
      <c r="B352" s="1">
        <v>1</v>
      </c>
      <c r="C352" s="1">
        <f>IF(COUNTIFS('Fleet register'!$A$7:$A$106,$A352)=1,VLOOKUP($A352,'Fleet register'!$A$7:$S$106,2,FALSE),0)</f>
        <v>0</v>
      </c>
      <c r="D352" s="1" t="str">
        <f>IF("New ICE"="EV","EV","ICE")</f>
        <v>ICE</v>
      </c>
      <c r="E352" s="1">
        <f>IF(C352=0,0,0)</f>
        <v>0</v>
      </c>
      <c r="F352" s="16">
        <f>IF(C352=0,0,VLOOKUP($A352,'Fleet register'!$A$7:$S$106,11,FALSE))</f>
        <v>0</v>
      </c>
      <c r="G352" s="16">
        <f>IFERROR(IF(C352=0,0,IF(E352=120,0,IF(D352="ICE",'Replacement plan'!$C$93,IF('Replacement plan'!$D$93="",INDEX(Products!$I$7:$I$13,MATCH('Replacement plan'!$B$93,Products!$A$7:$A$13,0))+'Operating costs'!$B$57,'Replacement plan'!$D$93))*(1+'Operating costs'!$B$50)^(E352/12))),"n.a.")</f>
        <v>0</v>
      </c>
      <c r="H352" s="16">
        <f>IFERROR(IF(C352=0,0,IF(E352=0,F352,VLOOKUP($A352,'Fleet register'!$A$7:$S$106,12,FALSE)+VLOOKUP($A352,'Fleet register'!$A$7:$S$106,13,FALSE)*MAX(0,VLOOKUP($A352,'Fleet register'!$A$7:$S$106,10,FALSE)-E352)/VLOOKUP($A352,'Fleet register'!$A$7:$S$106,14,FALSE))),"n.a.")</f>
        <v>0</v>
      </c>
      <c r="I352" s="16">
        <f>IF(C352=0,0,IF(E352=120,0,IF('Replacement plan'!$AI$93="",'Operating costs'!$B$56,'Replacement plan'!$AI$93)))</f>
        <v>0</v>
      </c>
      <c r="J352" s="16">
        <f>IF(C352=0,0,IF(P352="Complete",((S352*(R352-'Operating costs'!$B$39))+ROUNDUP(S352*(R352-'Operating costs'!$B$39)*IF('Replacement plan'!$AG$93="",'Operating costs'!$B$7,'Replacement plan'!$AG$93)/('Operating costs'!$B$8-'Operating costs'!$B$9*IF('Replacement plan'!$AG$93="",'Operating costs'!$B$7,'Replacement plan'!$AG$93)),0)*'Operating costs'!$B$9)*IF('Replacement plan'!$AG$93="",'Operating costs'!$B$7,'Replacement plan'!$AG$93)*('Energy and charging'!$B$9*'Energy and charging'!$B$7+(1-'Energy and charging'!$B$9)*'Energy and charging'!$B$8)*'Operating costs'!$B$23,"n.a."))</f>
        <v>0</v>
      </c>
      <c r="K352" s="16">
        <f>IF(C352=0,0,IF(P352="Complete",SUM('Operating costs'!$B$24,'Operating costs'!$B$27,'Operating costs'!$B$29,'Operating costs'!$B$31,'Operating costs'!$B$33,'Operating costs'!$B$34,'Operating costs'!$B$37,'Replacement plan'!$W$93)+'Operating costs'!$B$39*'Operating costs'!$B$42+ROUNDUP(S352*(R352-'Operating costs'!$B$39)*IF('Replacement plan'!$AG$93="",'Operating costs'!$B$7,'Replacement plan'!$AG$93)/('Operating costs'!$B$8-'Operating costs'!$B$9*IF('Replacement plan'!$AG$93="",'Operating costs'!$B$7,'Replacement plan'!$AG$93)),0)*('Operating costs'!$B$9/'Operating costs'!$B$11+'Operating costs'!$B$10/60)*'Operating costs'!$B$19*'Operating costs'!$B$21,"n.a."))</f>
        <v>0</v>
      </c>
      <c r="L352" s="16">
        <f>IF(C352=0,0,IF(P352="Complete",IF(D352="EV",X352*((1-T352)*'Energy and charging'!$B$10+T352*'Energy and charging'!$B$11)*'Operating costs'!$B$22,AA352*('Energy and charging'!$B$9*'Energy and charging'!$B$7+(1-'Energy and charging'!$B$9)*'Energy and charging'!$B$8)*'Operating costs'!$B$23),"n.a."))</f>
        <v>0</v>
      </c>
      <c r="M352" s="37">
        <f>IF(C352=0,0,IF(P352="Complete",IF(D352="ICE",SUM('Operating costs'!$B$25,'Operating costs'!$B$27,'Operating costs'!$B$29,'Operating costs'!$B$31,'Operating costs'!$B$33,'Operating costs'!$B$35,'Operating costs'!$B$37,'Replacement plan'!$X$93)+'Operating costs'!$B$40*'Operating costs'!$B$42+ROUNDUP(S352*(R352-'Operating costs'!$B$40)*IF('Replacement plan'!$AH$93="",'Operating costs'!$B$7,'Replacement plan'!$AH$93)/('Operating costs'!$B$8-'Operating costs'!$B$9*IF('Replacement plan'!$AH$93="",'Operating costs'!$B$7,'Replacement plan'!$AH$93)),0)*('Operating costs'!$B$9/'Operating costs'!$B$11+'Operating costs'!$B$10/60)*'Operating costs'!$B$19*'Operating costs'!$B$21,SUM(AP352,'Operating costs'!$B$28,'Operating costs'!$B$30,'Operating costs'!$B$32,'Operating costs'!$B$33,'Operating costs'!$B$36,'Operating costs'!$B$38,'Replacement plan'!$Y$93)+'Operating costs'!$B$41*'Operating costs'!$B$43+W352*'Operating costs'!$B$15+(T352*X352/'Replacement plan'!$L$93+W352*('Operating costs'!$B$12/'Operating costs'!$B$11+('Operating costs'!$B$13+'Operating costs'!$B$14)/60)+(R352-'Operating costs'!$B$41)*(IF(T352&lt;1,'Operating costs'!$B$16,0)+'Operating costs'!$B$17)/60)*'Operating costs'!$B$19*'Operating costs'!$B$20),"n.a."))</f>
        <v>0</v>
      </c>
      <c r="N352" s="16">
        <f>IF(AND(C352=1,D352="EV",E352&lt;120,E352+'Replacement plan'!$AA$93&lt;=120),'Replacement plan'!$Z$93,0)</f>
        <v>0</v>
      </c>
      <c r="O352" s="1">
        <f>E352+'Replacement plan'!$AA$93</f>
        <v>0</v>
      </c>
      <c r="P352" s="35" t="str">
        <f>IFERROR(IF(C352=0,"Excluded",IF(OR(COUNTIFS('Fleet register'!$A$7:$A$106,A352)&lt;&gt;1,COUNTIFS('Replacement plan'!$A$7:$A$106,A352)&lt;&gt;1),"Duplicate/missing ID",IF(NOT(AND(ISNUMBER(VLOOKUP($A352,'Fleet register'!$A$7:$S$106,5,FALSE)),ISNUMBER(VLOOKUP($A352,'Fleet register'!$A$7:$S$106,6,FALSE)),ISNUMBER(VLOOKUP($A352,'Fleet register'!$A$7:$S$106,10,FALSE)),ISNUMBER(VLOOKUP($A352,'Fleet register'!$A$7:$S$106,11,FALSE)),ISNUMBER(VLOOKUP($A352,'Fleet register'!$A$7:$S$106,12,FALSE)),ISNUMBER(VLOOKUP($A352,'Fleet register'!$A$7:$S$106,13,FALSE)),ISNUMBER(VLOOKUP($A352,'Fleet register'!$A$7:$S$106,14,FALSE)),VLOOKUP($A352,'Fleet register'!$A$7:$S$106,14,FALSE)&gt;0,ISNUMBER('Replacement plan'!$C$93),OR(E352=120,OR(ISNUMBER('Replacement plan'!$AI$93),AND('Replacement plan'!$AI$93="",ISNUMBER('Operating costs'!$B$56)))),ISNUMBER(E352))),"Missing vehicle input",IF(OR(E352&lt;0,E352&gt;VLOOKUP($A352,'Fleet register'!$A$7:$S$106,10,FALSE),E352&gt;120,E352&lt;&gt;INT(E352),VLOOKUP($A352,'Fleet register'!$A$7:$S$106,6,FALSE)&lt;=0,VLOOKUP($A352,'Fleet register'!$A$7:$S$106,6,FALSE)&gt;366,VLOOKUP($A352,'Fleet register'!$A$7:$S$106,5,FALSE)&lt;0,VLOOKUP($A352,'Fleet register'!$A$7:$S$106,11,FALSE)&lt;0,I352&lt;0,'Operating costs'!$B$8&lt;='Operating costs'!$B$7*'Operating costs'!$B$9,'Operating costs'!$B$11&lt;=0,'Operating costs'!$B$39&gt;R352,'Operating costs'!$B$40&gt;R352,'Operating costs'!$B$41&gt;R352,NOT(OR("New ICE"="Keep ICE","New ICE"="New ICE","New ICE"="EV"))),"Invalid vehicle input",IF(AND(D352="EV",E352&lt;120,OR(NOT(ISNUMBER(U352)),NOT(ISNUMBER(V352)),V352&lt;=0,T352&lt;0,T352&gt;1,'Replacement plan'!$L$93&lt;=0,'Operating costs'!$B$44&lt;0,'Operating costs'!$B$44&gt;=1,'Operating costs'!$B$47&lt;=0,'Operating costs'!$B$47&gt;1,V352*'Operating costs'!$B$47/(1-'Operating costs'!$B$44)&lt;=T352*'Operating costs'!$B$12*U352,AND('Replacement plan'!$Z$93&gt;0,OR('Replacement plan'!$AB$93&lt;&gt;"Yes",'Operating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charging'!$B$8&gt;=0))),ISNUMBER(VLOOKUP($A352,'Fleet register'!$A$7:$S$106,15,FALSE)),ISNUMBER(VLOOKUP($A352,'Fleet register'!$A$7:$S$106,16,FALSE)),ISNUMBER('Replacement plan'!$W$93),ISNUMBER('Replacement plan'!$X$93),OR(E352=120,AND(ISNUMBER(G352),G352&gt;=0)),ISNUMBER(H352),H352&gt;=0,OR(D352&lt;&gt;"EV",E352=120,AND(ISNUMBER('Operating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average",ISNUMBER(IFERROR(INDEX(Products!$P$7:$P$13,MATCH(AD352,Products!$A$7:$A$13,0)),"")))),ISNUMBER('Operating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plan'!$Y$93),ISNUMBER('Replacement plan'!$Z$93),'Replacement plan'!$Z$93&gt;=0,ISNUMBER('Replacement plan'!$AA$93),'Replacement plan'!$AA$93&gt;=0,'Replacement plan'!$AA$93=INT('Replacement plan'!$AA$93),ISNUMBER('Replacement plan'!$L$93))),'Operating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plan'!$AG$93="",'Operating costs'!$B$7,'Replacement plan'!$AG$93)),IF('Replacement plan'!$AG$93="",'Operating costs'!$B$7,'Replacement plan'!$AG$93)&gt;=0,ISNUMBER(IF('Replacement plan'!$AH$93="",'Operating costs'!$B$7,'Replacement plan'!$AH$93)),IF('Replacement plan'!$AH$93="",'Operating costs'!$B$7,'Replacement plan'!$AH$93)&gt;=0,'Operating costs'!$B$8&gt;MAX(IF('Replacement plan'!$AG$93="",'Operating costs'!$B$7,'Replacement plan'!$AG$93),IF('Replacement plan'!$AH$93="",'Operating costs'!$B$7,'Replacement plan'!$AH$93))*'Operating costs'!$B$9),IF(AND(VLOOKUP($A352,'Fleet register'!$A$7:$S$106,10,FALSE)&gt;=0,VLOOKUP($A352,'Fleet register'!$A$7:$S$106,10,FALSE)&lt;=120,VLOOKUP($A352,'Fleet register'!$A$7:$S$106,10,FALSE)=INT(VLOOKUP($A352,'Fleet register'!$A$7:$S$106,10,FALSE)),VLOOKUP($A352,'Fleet register'!$A$7:$S$106,15,FALSE)&gt;=0,VLOOKUP($A352,'Fleet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costs'!$B$67)&gt;=0,OR(D352&lt;&gt;"EV",E352=120,AND(MIN('Operating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52" s="1" t="str">
        <f>IF(C352=0,"Excluded",IF(P352&lt;&gt;"Complete",P352,IF(OR('Replacement plan'!$AD$93&lt;120-E352,AND(D352="EV",E352&lt;120,OR('Replacement plan'!$AC$93&lt;120-E352,'Replacement plan'!$I$93="No",AND(ISNUMBER(AF352),AE352&gt;AF352),AI352&gt;V352*(1-'Operating costs'!$B$46)^MAX(0,AB352-1)*(1-'Operating costs'!$B$45),AC352&gt;'Operating costs'!$B$18,AND(T352&lt;1,OR(AG352&lt;=0,AND(ISNUMBER(AH352),AG352&gt;AH352))),'Replacement plan'!$L$93&gt;INDEX(Products!$H$7:$H$13,MATCH('Replacement plan'!$B$93,Products!$A$7:$A$13,0))))),"Fails entered limits",IF(AND(D352="EV",E352&lt;120,OR(NOT(ISNUMBER(VLOOKUP($A352,'Fleet register'!$A$7:$S$106,7,FALSE))),NOT(ISNUMBER(VLOOKUP($A352,'Fleet register'!$A$7:$S$106,8,FALSE))),NOT(ISNUMBER(AF352)),'Replacement plan'!$I$93&lt;&gt;"Yes",NOT(ISNUMBER(AH352)),'Operating costs'!$B$59&lt;&gt;"Yes",'Operating costs'!$B$58&lt;&gt;"Yes")),"Unverified","Within entered limits"))))</f>
        <v>Excluded</v>
      </c>
      <c r="R352" s="1">
        <f>IF(C352=0,0,VLOOKUP($A352,'Fleet register'!$A$7:$S$106,6,FALSE))</f>
        <v>0</v>
      </c>
      <c r="S352" s="1">
        <f>IF(C352=0,0,VLOOKUP($A352,'Fleet register'!$A$7:$S$106,5,FALSE))</f>
        <v>0</v>
      </c>
      <c r="T352" s="1">
        <f>IF(D352="EV",'Energy and charging'!$B$12,0)</f>
        <v>0</v>
      </c>
      <c r="U352" s="1">
        <f>IFERROR(IF(C352=0,0,IF(D352="EV",IF('Replacement plan'!$F$93="",INDEX(Products!$E$7:$E$13,MATCH('Replacement plan'!$B$93,Products!$A$7:$A$13,0)),'Replacement plan'!$F$93)/IF('Replacement plan'!$G$93="Battery",1-'Operating costs'!$B$44,1),0)),"n.a.")</f>
        <v>0</v>
      </c>
      <c r="V352" s="1">
        <f>IFERROR(IF(C352=0,0,IF(D352="EV",IF('Replacement plan'!$E$93="",INDEX(Products!$D$7:$D$13,MATCH('Replacement plan'!$B$93,Products!$A$7:$A$13,0)),'Replacement plan'!$E$93),0)),"n.a.")</f>
        <v>0</v>
      </c>
      <c r="W352" s="1">
        <f>IF(C352=0,0,IF(AND(P352="Complete",D352="EV",E352&lt;120),IF(T352=0,0,ROUNDUP(T352*(R352-'Operating costs'!$B$41)*(S352*U352+'Operating costs'!$B$48/(1-'Operating costs'!$B$44))/(V352*'Operating costs'!$B$47/(1-'Operating costs'!$B$44)-T352*'Operating costs'!$B$12*U352),0)),0))</f>
        <v>0</v>
      </c>
      <c r="X352" s="1">
        <f>IF(C352=0,0,IF(AND(P352="Complete",D352="EV",E352&lt;120),(R352-'Operating costs'!$B$41)*(S352*U352+'Operating costs'!$B$48/(1-'Operating costs'!$B$44))+W352*'Operating costs'!$B$12*U352,0))</f>
        <v>0</v>
      </c>
      <c r="Y352" s="1">
        <f>IF(AND(C352=1,D352="EV",E352&lt;120),AI352/(1-'Operating costs'!$B$44)*(1-T352),0)</f>
        <v>0</v>
      </c>
      <c r="Z352" s="1">
        <f t="shared" si="10"/>
        <v>0</v>
      </c>
      <c r="AA352" s="1">
        <f>IF(C352=0,0,IF(P352="Complete",((S352*(R352-'Operating costs'!$B$40))+ROUNDUP(S352*(R352-'Operating costs'!$B$40)*IF('Replacement plan'!$AH$93="",'Operating costs'!$B$7,'Replacement plan'!$AH$93)/('Operating costs'!$B$8-'Operating costs'!$B$9*IF('Replacement plan'!$AH$93="",'Operating costs'!$B$7,'Replacement plan'!$AH$93)),0)*'Operating costs'!$B$9)*IF('Replacement plan'!$AH$93="",'Operating costs'!$B$7,'Replacement plan'!$AH$93),"n.a."))</f>
        <v>0</v>
      </c>
      <c r="AB352" s="1">
        <f t="shared" si="11"/>
        <v>0</v>
      </c>
      <c r="AC352" s="1">
        <f>IF(AND(C352=1,D352="EV",E352&lt;120,T352&gt;0),'Operating costs'!$B$12/'Operating costs'!$B$11*60+'Operating costs'!$B$13+'Operating costs'!$B$14+V352*'Operating costs'!$B$47/(1-'Operating costs'!$B$44)/'Replacement plan'!$L$93*60,0)</f>
        <v>0</v>
      </c>
      <c r="AD352" s="1" t="str">
        <f>'Replacement plan'!$B$93</f>
        <v>ChengLong L2EV</v>
      </c>
      <c r="AE352" s="1">
        <f>IF(C352=0,0,VLOOKUP($A352,'Fleet register'!$A$7:$S$106,8,FALSE))</f>
        <v>0</v>
      </c>
      <c r="AF352" s="1" t="str">
        <f>IF('Replacement plan'!$H$93="","n.a.",'Replacement plan'!$H$93)</f>
        <v>n.a.</v>
      </c>
      <c r="AG352" s="1">
        <f>'Replacement plan'!$J$93</f>
        <v>22</v>
      </c>
      <c r="AH352" s="1">
        <f>IFERROR(IF(D352="EV",IF('Replacement plan'!$K$93="AC",IF(ISNUMBER(INDEX(Products!$G$7:$G$13,MATCH('Replacement plan'!$B$93,Products!$A$7:$A$13,0))),INDEX(Products!$G$7:$G$13,MATCH('Replacement plan'!$B$93,Products!$A$7:$A$13,0)),"n.a."),IF(ISNUMBER(INDEX(Products!$H$7:$H$13,MATCH('Replacement plan'!$B$93,Products!$A$7:$A$13,0))),INDEX(Products!$H$7:$H$13,MATCH('Replacement plan'!$B$93,Products!$A$7:$A$13,0)),"n.a.")),0),"n.a.")</f>
        <v>0</v>
      </c>
      <c r="AI352" s="1">
        <f>IF(AND(C352=1,D352="EV",E352&lt;120),(VLOOKUP($A352,'Fleet register'!$A$7:$S$106,7,FALSE)+IF(T352&gt;0,'Operating costs'!$B$12,0))*U352*(1-'Operating costs'!$B$44)+'Operating costs'!$B$49,0)</f>
        <v>0</v>
      </c>
      <c r="AJ352" s="1">
        <f>IF(D352="EV",'Energy and charging'!$B$50,0)</f>
        <v>0</v>
      </c>
      <c r="AK352" s="17">
        <f>EDATE('Operating costs'!$B$63,E352)</f>
        <v>46298</v>
      </c>
      <c r="AL352" s="1">
        <f>IFERROR(IF(D352="EV",INDEX(Products!$B$7:$B$13,MATCH('Replacement plan'!$B$93,Products!$A$7:$A$13,0)),0),"n.a.")</f>
        <v>0</v>
      </c>
      <c r="AM352" s="1" t="str">
        <f>'Replacement plan'!$K$93</f>
        <v>DC</v>
      </c>
      <c r="AN352" s="1" t="str">
        <f>'Replacement plan'!$AE$93</f>
        <v>Assumed</v>
      </c>
      <c r="AO352" s="47">
        <f>IF(AND(C352=1,D352="EV",E352&lt;120),(R352-'Operating costs'!$B$41)*S352+W352*'Operating costs'!$B$12,0)</f>
        <v>0</v>
      </c>
      <c r="AP352" s="41">
        <f>IF(AND(C352=1,D352="EV",E352&lt;120),IF('Operating costs'!$B$68="Hong Seh 200k average",AO352*IFERROR(INDEX(Products!$P$7:$P$13,MATCH(AD352,Products!$A$7:$A$13,0)),"n.a."),'Operating costs'!$B$26),0)</f>
        <v>0</v>
      </c>
      <c r="AQ352" s="40" t="str">
        <f>IF(D352="EV",'Operating costs'!$B$68,"Not applicable")</f>
        <v>Not applicable</v>
      </c>
    </row>
    <row r="353" spans="1:43" ht="24" customHeight="1">
      <c r="A353" s="1" t="str">
        <f>'Replacement plan'!A93</f>
        <v>T087</v>
      </c>
      <c r="B353" s="1">
        <v>2</v>
      </c>
      <c r="C353" s="1">
        <f>IF(COUNTIFS('Fleet register'!$A$7:$A$106,$A353)=1,VLOOKUP($A353,'Fleet register'!$A$7:$S$106,2,FALSE),0)</f>
        <v>0</v>
      </c>
      <c r="D353" s="1" t="str">
        <f>IF('Replacement plan'!$O$93="EV","EV","ICE")</f>
        <v>ICE</v>
      </c>
      <c r="E353" s="1">
        <f>IF(C353=0,0,IF('Replacement plan'!$P$93="",IF('Replacement plan'!$O$93="Keep ICE",IF('Replacement plan'!$M$93="",VLOOKUP($A353,'Fleet register'!$A$7:$S$106,10,FALSE),'Replacement plan'!$M$93),0),'Replacement plan'!$P$93))</f>
        <v>0</v>
      </c>
      <c r="F353" s="16">
        <f>IF(C353=0,0,VLOOKUP($A353,'Fleet register'!$A$7:$S$106,11,FALSE))</f>
        <v>0</v>
      </c>
      <c r="G353" s="16">
        <f>IFERROR(IF(C353=0,0,IF(E353=120,0,IF(D353="ICE",'Replacement plan'!$C$93,IF('Replacement plan'!$D$93="",INDEX(Products!$I$7:$I$13,MATCH('Replacement plan'!$B$93,Products!$A$7:$A$13,0))+'Operating costs'!$B$57,'Replacement plan'!$D$93))*(1+'Operating costs'!$B$50)^(E353/12))),"n.a.")</f>
        <v>0</v>
      </c>
      <c r="H353" s="16">
        <f>IFERROR(IF(C353=0,0,IF('Replacement plan'!$U$93&lt;&gt;"",'Replacement plan'!$U$93,IF(E353=0,F353,VLOOKUP($A353,'Fleet register'!$A$7:$S$106,12,FALSE)+VLOOKUP($A353,'Fleet register'!$A$7:$S$106,13,FALSE)*MAX(0,VLOOKUP($A353,'Fleet register'!$A$7:$S$106,10,FALSE)-E353)/VLOOKUP($A353,'Fleet register'!$A$7:$S$106,14,FALSE)))),"n.a.")</f>
        <v>0</v>
      </c>
      <c r="I353" s="16">
        <f>IF(C353=0,0,IF(E353=120,0,'Replacement plan'!$Q$93))</f>
        <v>0</v>
      </c>
      <c r="J353" s="16">
        <f>IF(C353=0,0,IF(P353="Complete",((S353*(R353-'Operating costs'!$B$39))+ROUNDUP(S353*(R353-'Operating costs'!$B$39)*IF('Replacement plan'!$AG$93="",'Operating costs'!$B$7,'Replacement plan'!$AG$93)/('Operating costs'!$B$8-'Operating costs'!$B$9*IF('Replacement plan'!$AG$93="",'Operating costs'!$B$7,'Replacement plan'!$AG$93)),0)*'Operating costs'!$B$9)*IF('Replacement plan'!$AG$93="",'Operating costs'!$B$7,'Replacement plan'!$AG$93)*('Energy and charging'!$B$9*'Energy and charging'!$B$7+(1-'Energy and charging'!$B$9)*'Energy and charging'!$B$8)*'Operating costs'!$B$23,"n.a."))</f>
        <v>0</v>
      </c>
      <c r="K353" s="16">
        <f>IF(C353=0,0,IF(P353="Complete",SUM('Operating costs'!$B$24,'Operating costs'!$B$27,'Operating costs'!$B$29,'Operating costs'!$B$31,'Operating costs'!$B$33,'Operating costs'!$B$34,'Operating costs'!$B$37,'Replacement plan'!$W$93)+'Operating costs'!$B$39*'Operating costs'!$B$42+ROUNDUP(S353*(R353-'Operating costs'!$B$39)*IF('Replacement plan'!$AG$93="",'Operating costs'!$B$7,'Replacement plan'!$AG$93)/('Operating costs'!$B$8-'Operating costs'!$B$9*IF('Replacement plan'!$AG$93="",'Operating costs'!$B$7,'Replacement plan'!$AG$93)),0)*('Operating costs'!$B$9/'Operating costs'!$B$11+'Operating costs'!$B$10/60)*'Operating costs'!$B$19*'Operating costs'!$B$21,"n.a."))</f>
        <v>0</v>
      </c>
      <c r="L353" s="16">
        <f>IF(C353=0,0,IF(P353="Complete",IF(D353="EV",X353*((1-T353)*'Energy and charging'!$B$10+T353*'Energy and charging'!$B$11)*'Operating costs'!$B$22,AA353*('Energy and charging'!$B$9*'Energy and charging'!$B$7+(1-'Energy and charging'!$B$9)*'Energy and charging'!$B$8)*'Operating costs'!$B$23),"n.a."))</f>
        <v>0</v>
      </c>
      <c r="M353" s="37">
        <f>IF(C353=0,0,IF(P353="Complete",IF(D353="ICE",SUM('Operating costs'!$B$25,'Operating costs'!$B$27,'Operating costs'!$B$29,'Operating costs'!$B$31,'Operating costs'!$B$33,'Operating costs'!$B$35,'Operating costs'!$B$37,'Replacement plan'!$X$93)+'Operating costs'!$B$40*'Operating costs'!$B$42+ROUNDUP(S353*(R353-'Operating costs'!$B$40)*IF('Replacement plan'!$AH$93="",'Operating costs'!$B$7,'Replacement plan'!$AH$93)/('Operating costs'!$B$8-'Operating costs'!$B$9*IF('Replacement plan'!$AH$93="",'Operating costs'!$B$7,'Replacement plan'!$AH$93)),0)*('Operating costs'!$B$9/'Operating costs'!$B$11+'Operating costs'!$B$10/60)*'Operating costs'!$B$19*'Operating costs'!$B$21,SUM(AP353,'Operating costs'!$B$28,'Operating costs'!$B$30,'Operating costs'!$B$32,'Operating costs'!$B$33,'Operating costs'!$B$36,'Operating costs'!$B$38,'Replacement plan'!$Y$93)+'Operating costs'!$B$41*'Operating costs'!$B$43+W353*'Operating costs'!$B$15+(T353*X353/'Replacement plan'!$L$93+W353*('Operating costs'!$B$12/'Operating costs'!$B$11+('Operating costs'!$B$13+'Operating costs'!$B$14)/60)+(R353-'Operating costs'!$B$41)*(IF(T353&lt;1,'Operating costs'!$B$16,0)+'Operating costs'!$B$17)/60)*'Operating costs'!$B$19*'Operating costs'!$B$20),"n.a."))</f>
        <v>0</v>
      </c>
      <c r="N353" s="16">
        <f>IF(AND(C353=1,D353="EV",E353&lt;120,E353+'Replacement plan'!$AA$93&lt;=120),'Replacement plan'!$Z$93,0)</f>
        <v>0</v>
      </c>
      <c r="O353" s="1">
        <f>E353+'Replacement plan'!$AA$93</f>
        <v>0</v>
      </c>
      <c r="P353" s="35" t="str">
        <f>IFERROR(IF(C353=0,"Excluded",IF(OR(COUNTIFS('Fleet register'!$A$7:$A$106,A353)&lt;&gt;1,COUNTIFS('Replacement plan'!$A$7:$A$106,A353)&lt;&gt;1),"Duplicate/missing ID",IF(NOT(AND(ISNUMBER(VLOOKUP($A353,'Fleet register'!$A$7:$S$106,5,FALSE)),ISNUMBER(VLOOKUP($A353,'Fleet register'!$A$7:$S$106,6,FALSE)),ISNUMBER(VLOOKUP($A353,'Fleet register'!$A$7:$S$106,10,FALSE)),ISNUMBER(VLOOKUP($A353,'Fleet register'!$A$7:$S$106,11,FALSE)),ISNUMBER(VLOOKUP($A353,'Fleet register'!$A$7:$S$106,12,FALSE)),ISNUMBER(VLOOKUP($A353,'Fleet register'!$A$7:$S$106,13,FALSE)),ISNUMBER(VLOOKUP($A353,'Fleet register'!$A$7:$S$106,14,FALSE)),VLOOKUP($A353,'Fleet register'!$A$7:$S$106,14,FALSE)&gt;0,ISNUMBER('Replacement plan'!$C$93),OR(E353=120,ISNUMBER('Replacement plan'!$Q$93)),ISNUMBER(E353))),"Missing vehicle input",IF(OR(E353&lt;0,E353&gt;VLOOKUP($A353,'Fleet register'!$A$7:$S$106,10,FALSE),E353&gt;120,E353&lt;&gt;INT(E353),VLOOKUP($A353,'Fleet register'!$A$7:$S$106,6,FALSE)&lt;=0,VLOOKUP($A353,'Fleet register'!$A$7:$S$106,6,FALSE)&gt;366,VLOOKUP($A353,'Fleet register'!$A$7:$S$106,5,FALSE)&lt;0,VLOOKUP($A353,'Fleet register'!$A$7:$S$106,11,FALSE)&lt;0,I353&lt;0,'Operating costs'!$B$8&lt;='Operating costs'!$B$7*'Operating costs'!$B$9,'Operating costs'!$B$11&lt;=0,'Operating costs'!$B$39&gt;R353,'Operating costs'!$B$40&gt;R353,'Operating costs'!$B$41&gt;R353,NOT(OR('Replacement plan'!$O$93="Keep ICE",'Replacement plan'!$O$93="New ICE",'Replacement plan'!$O$93="EV"))),"Invalid vehicle input",IF(AND(D353="EV",E353&lt;120,OR(NOT(ISNUMBER(U353)),NOT(ISNUMBER(V353)),V353&lt;=0,T353&lt;0,T353&gt;1,'Replacement plan'!$L$93&lt;=0,'Operating costs'!$B$44&lt;0,'Operating costs'!$B$44&gt;=1,'Operating costs'!$B$47&lt;=0,'Operating costs'!$B$47&gt;1,V353*'Operating costs'!$B$47/(1-'Operating costs'!$B$44)&lt;=T353*'Operating costs'!$B$12*U353,AND('Replacement plan'!$Z$93&gt;0,OR('Replacement plan'!$AB$93&lt;&gt;"Yes",'Operating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charging'!$B$8&gt;=0))),ISNUMBER(VLOOKUP($A353,'Fleet register'!$A$7:$S$106,15,FALSE)),ISNUMBER(VLOOKUP($A353,'Fleet register'!$A$7:$S$106,16,FALSE)),ISNUMBER('Replacement plan'!$W$93),ISNUMBER('Replacement plan'!$X$93),OR(E353=120,AND(ISNUMBER(G353),G353&gt;=0)),ISNUMBER(H353),H353&gt;=0,OR(D353&lt;&gt;"EV",E353=120,AND(ISNUMBER('Operating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average",ISNUMBER(IFERROR(INDEX(Products!$P$7:$P$13,MATCH(AD353,Products!$A$7:$A$13,0)),"")))),ISNUMBER('Operating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plan'!$Y$93),ISNUMBER('Replacement plan'!$Z$93),'Replacement plan'!$Z$93&gt;=0,ISNUMBER('Replacement plan'!$AA$93),'Replacement plan'!$AA$93&gt;=0,'Replacement plan'!$AA$93=INT('Replacement plan'!$AA$93),ISNUMBER('Replacement plan'!$L$93))),'Operating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plan'!$AG$93="",'Operating costs'!$B$7,'Replacement plan'!$AG$93)),IF('Replacement plan'!$AG$93="",'Operating costs'!$B$7,'Replacement plan'!$AG$93)&gt;=0,ISNUMBER(IF('Replacement plan'!$AH$93="",'Operating costs'!$B$7,'Replacement plan'!$AH$93)),IF('Replacement plan'!$AH$93="",'Operating costs'!$B$7,'Replacement plan'!$AH$93)&gt;=0,'Operating costs'!$B$8&gt;MAX(IF('Replacement plan'!$AG$93="",'Operating costs'!$B$7,'Replacement plan'!$AG$93),IF('Replacement plan'!$AH$93="",'Operating costs'!$B$7,'Replacement plan'!$AH$93))*'Operating costs'!$B$9),IF(AND(VLOOKUP($A353,'Fleet register'!$A$7:$S$106,10,FALSE)&gt;=0,VLOOKUP($A353,'Fleet register'!$A$7:$S$106,10,FALSE)&lt;=120,VLOOKUP($A353,'Fleet register'!$A$7:$S$106,10,FALSE)=INT(VLOOKUP($A353,'Fleet register'!$A$7:$S$106,10,FALSE)),VLOOKUP($A353,'Fleet register'!$A$7:$S$106,15,FALSE)&gt;=0,VLOOKUP($A353,'Fleet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costs'!$B$67)&gt;=0,OR(D353&lt;&gt;"EV",E353=120,AND(MIN('Operating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53" s="1" t="str">
        <f>IF(C353=0,"Excluded",IF(P353&lt;&gt;"Complete",P353,IF(OR('Replacement plan'!$AD$93&lt;120-E353,AND(D353="EV",E353&lt;120,OR('Replacement plan'!$AC$93&lt;120-E353,'Replacement plan'!$I$93="No",AND(ISNUMBER(AF353),AE353&gt;AF353),AI353&gt;V353*(1-'Operating costs'!$B$46)^MAX(0,AB353-1)*(1-'Operating costs'!$B$45),AC353&gt;'Operating costs'!$B$18,AND(T353&lt;1,OR(AG353&lt;=0,AND(ISNUMBER(AH353),AG353&gt;AH353))),'Replacement plan'!$L$93&gt;INDEX(Products!$H$7:$H$13,MATCH('Replacement plan'!$B$93,Products!$A$7:$A$13,0))))),"Fails entered limits",IF(AND(D353="EV",E353&lt;120,OR(NOT(ISNUMBER(VLOOKUP($A353,'Fleet register'!$A$7:$S$106,7,FALSE))),NOT(ISNUMBER(VLOOKUP($A353,'Fleet register'!$A$7:$S$106,8,FALSE))),NOT(ISNUMBER(AF353)),'Replacement plan'!$I$93&lt;&gt;"Yes",NOT(ISNUMBER(AH353)),'Operating costs'!$B$59&lt;&gt;"Yes",'Operating costs'!$B$58&lt;&gt;"Yes")),"Unverified","Within entered limits"))))</f>
        <v>Excluded</v>
      </c>
      <c r="R353" s="1">
        <f>IF(C353=0,0,VLOOKUP($A353,'Fleet register'!$A$7:$S$106,6,FALSE))</f>
        <v>0</v>
      </c>
      <c r="S353" s="1">
        <f>IF(C353=0,0,VLOOKUP($A353,'Fleet register'!$A$7:$S$106,5,FALSE))</f>
        <v>0</v>
      </c>
      <c r="T353" s="1">
        <f>IF(D353="EV",'Energy and charging'!$B$12,0)</f>
        <v>0</v>
      </c>
      <c r="U353" s="1">
        <f>IFERROR(IF(C353=0,0,IF(D353="EV",IF('Replacement plan'!$F$93="",INDEX(Products!$E$7:$E$13,MATCH('Replacement plan'!$B$93,Products!$A$7:$A$13,0)),'Replacement plan'!$F$93)/IF('Replacement plan'!$G$93="Battery",1-'Operating costs'!$B$44,1),0)),"n.a.")</f>
        <v>0</v>
      </c>
      <c r="V353" s="1">
        <f>IFERROR(IF(C353=0,0,IF(D353="EV",IF('Replacement plan'!$E$93="",INDEX(Products!$D$7:$D$13,MATCH('Replacement plan'!$B$93,Products!$A$7:$A$13,0)),'Replacement plan'!$E$93),0)),"n.a.")</f>
        <v>0</v>
      </c>
      <c r="W353" s="1">
        <f>IF(C353=0,0,IF(AND(P353="Complete",D353="EV",E353&lt;120),IF(T353=0,0,ROUNDUP(T353*(R353-'Operating costs'!$B$41)*(S353*U353+'Operating costs'!$B$48/(1-'Operating costs'!$B$44))/(V353*'Operating costs'!$B$47/(1-'Operating costs'!$B$44)-T353*'Operating costs'!$B$12*U353),0)),0))</f>
        <v>0</v>
      </c>
      <c r="X353" s="1">
        <f>IF(C353=0,0,IF(AND(P353="Complete",D353="EV",E353&lt;120),(R353-'Operating costs'!$B$41)*(S353*U353+'Operating costs'!$B$48/(1-'Operating costs'!$B$44))+W353*'Operating costs'!$B$12*U353,0))</f>
        <v>0</v>
      </c>
      <c r="Y353" s="1">
        <f>IF(AND(C353=1,D353="EV",E353&lt;120),AI353/(1-'Operating costs'!$B$44)*(1-T353),0)</f>
        <v>0</v>
      </c>
      <c r="Z353" s="1">
        <f t="shared" si="10"/>
        <v>0</v>
      </c>
      <c r="AA353" s="1">
        <f>IF(C353=0,0,IF(P353="Complete",((S353*(R353-'Operating costs'!$B$40))+ROUNDUP(S353*(R353-'Operating costs'!$B$40)*IF('Replacement plan'!$AH$93="",'Operating costs'!$B$7,'Replacement plan'!$AH$93)/('Operating costs'!$B$8-'Operating costs'!$B$9*IF('Replacement plan'!$AH$93="",'Operating costs'!$B$7,'Replacement plan'!$AH$93)),0)*'Operating costs'!$B$9)*IF('Replacement plan'!$AH$93="",'Operating costs'!$B$7,'Replacement plan'!$AH$93),"n.a."))</f>
        <v>0</v>
      </c>
      <c r="AB353" s="1">
        <f t="shared" si="11"/>
        <v>0</v>
      </c>
      <c r="AC353" s="1">
        <f>IF(AND(C353=1,D353="EV",E353&lt;120,T353&gt;0),'Operating costs'!$B$12/'Operating costs'!$B$11*60+'Operating costs'!$B$13+'Operating costs'!$B$14+V353*'Operating costs'!$B$47/(1-'Operating costs'!$B$44)/'Replacement plan'!$L$93*60,0)</f>
        <v>0</v>
      </c>
      <c r="AD353" s="1" t="str">
        <f>'Replacement plan'!$B$93</f>
        <v>ChengLong L2EV</v>
      </c>
      <c r="AE353" s="1">
        <f>IF(C353=0,0,VLOOKUP($A353,'Fleet register'!$A$7:$S$106,8,FALSE))</f>
        <v>0</v>
      </c>
      <c r="AF353" s="1" t="str">
        <f>IF('Replacement plan'!$H$93="","n.a.",'Replacement plan'!$H$93)</f>
        <v>n.a.</v>
      </c>
      <c r="AG353" s="1">
        <f>'Replacement plan'!$J$93</f>
        <v>22</v>
      </c>
      <c r="AH353" s="1">
        <f>IFERROR(IF(D353="EV",IF('Replacement plan'!$K$93="AC",IF(ISNUMBER(INDEX(Products!$G$7:$G$13,MATCH('Replacement plan'!$B$93,Products!$A$7:$A$13,0))),INDEX(Products!$G$7:$G$13,MATCH('Replacement plan'!$B$93,Products!$A$7:$A$13,0)),"n.a."),IF(ISNUMBER(INDEX(Products!$H$7:$H$13,MATCH('Replacement plan'!$B$93,Products!$A$7:$A$13,0))),INDEX(Products!$H$7:$H$13,MATCH('Replacement plan'!$B$93,Products!$A$7:$A$13,0)),"n.a.")),0),"n.a.")</f>
        <v>0</v>
      </c>
      <c r="AI353" s="1">
        <f>IF(AND(C353=1,D353="EV",E353&lt;120),(VLOOKUP($A353,'Fleet register'!$A$7:$S$106,7,FALSE)+IF(T353&gt;0,'Operating costs'!$B$12,0))*U353*(1-'Operating costs'!$B$44)+'Operating costs'!$B$49,0)</f>
        <v>0</v>
      </c>
      <c r="AJ353" s="1">
        <f>IF(D353="EV",'Energy and charging'!$B$50,0)</f>
        <v>0</v>
      </c>
      <c r="AK353" s="17">
        <f>EDATE('Operating costs'!$B$63,E353)</f>
        <v>46298</v>
      </c>
      <c r="AL353" s="1">
        <f>IFERROR(IF(D353="EV",INDEX(Products!$B$7:$B$13,MATCH('Replacement plan'!$B$93,Products!$A$7:$A$13,0)),0),"n.a.")</f>
        <v>0</v>
      </c>
      <c r="AM353" s="1" t="str">
        <f>'Replacement plan'!$K$93</f>
        <v>DC</v>
      </c>
      <c r="AN353" s="1" t="str">
        <f>'Replacement plan'!$AE$93</f>
        <v>Assumed</v>
      </c>
      <c r="AO353" s="47">
        <f>IF(AND(C353=1,D353="EV",E353&lt;120),(R353-'Operating costs'!$B$41)*S353+W353*'Operating costs'!$B$12,0)</f>
        <v>0</v>
      </c>
      <c r="AP353" s="41">
        <f>IF(AND(C353=1,D353="EV",E353&lt;120),IF('Operating costs'!$B$68="Hong Seh 200k average",AO353*IFERROR(INDEX(Products!$P$7:$P$13,MATCH(AD353,Products!$A$7:$A$13,0)),"n.a."),'Operating costs'!$B$26),0)</f>
        <v>0</v>
      </c>
      <c r="AQ353" s="40" t="str">
        <f>IF(D353="EV",'Operating costs'!$B$68,"Not applicable")</f>
        <v>Not applicable</v>
      </c>
    </row>
    <row r="354" spans="1:43" ht="24" customHeight="1">
      <c r="A354" s="1" t="str">
        <f>'Replacement plan'!A93</f>
        <v>T087</v>
      </c>
      <c r="B354" s="1">
        <v>3</v>
      </c>
      <c r="C354" s="1">
        <f>IF(COUNTIFS('Fleet register'!$A$7:$A$106,$A354)=1,VLOOKUP($A354,'Fleet register'!$A$7:$S$106,2,FALSE),0)</f>
        <v>0</v>
      </c>
      <c r="D354" s="1" t="str">
        <f>IF('Replacement plan'!$R$93="EV","EV","ICE")</f>
        <v>ICE</v>
      </c>
      <c r="E354" s="1">
        <f>IF(C354=0,0,IF('Replacement plan'!$S$93="",IF('Replacement plan'!$R$93="Keep ICE",IF('Replacement plan'!$M$93="",VLOOKUP($A354,'Fleet register'!$A$7:$S$106,10,FALSE),'Replacement plan'!$M$93),0),'Replacement plan'!$S$93))</f>
        <v>0</v>
      </c>
      <c r="F354" s="16">
        <f>IF(C354=0,0,VLOOKUP($A354,'Fleet register'!$A$7:$S$106,11,FALSE))</f>
        <v>0</v>
      </c>
      <c r="G354" s="16">
        <f>IFERROR(IF(C354=0,0,IF(E354=120,0,IF(D354="ICE",'Replacement plan'!$C$93,IF('Replacement plan'!$D$93="",INDEX(Products!$I$7:$I$13,MATCH('Replacement plan'!$B$93,Products!$A$7:$A$13,0))+'Operating costs'!$B$57,'Replacement plan'!$D$93))*(1+'Operating costs'!$B$50)^(E354/12))),"n.a.")</f>
        <v>0</v>
      </c>
      <c r="H354" s="16">
        <f>IFERROR(IF(C354=0,0,IF('Replacement plan'!$V$93&lt;&gt;"",'Replacement plan'!$V$93,IF(E354=0,F354,VLOOKUP($A354,'Fleet register'!$A$7:$S$106,12,FALSE)+VLOOKUP($A354,'Fleet register'!$A$7:$S$106,13,FALSE)*MAX(0,VLOOKUP($A354,'Fleet register'!$A$7:$S$106,10,FALSE)-E354)/VLOOKUP($A354,'Fleet register'!$A$7:$S$106,14,FALSE)))),"n.a.")</f>
        <v>0</v>
      </c>
      <c r="I354" s="16">
        <f>IF(C354=0,0,IF(E354=120,0,'Replacement plan'!$T$93))</f>
        <v>0</v>
      </c>
      <c r="J354" s="16">
        <f>IF(C354=0,0,IF(P354="Complete",((S354*(R354-'Operating costs'!$B$39))+ROUNDUP(S354*(R354-'Operating costs'!$B$39)*IF('Replacement plan'!$AG$93="",'Operating costs'!$B$7,'Replacement plan'!$AG$93)/('Operating costs'!$B$8-'Operating costs'!$B$9*IF('Replacement plan'!$AG$93="",'Operating costs'!$B$7,'Replacement plan'!$AG$93)),0)*'Operating costs'!$B$9)*IF('Replacement plan'!$AG$93="",'Operating costs'!$B$7,'Replacement plan'!$AG$93)*('Energy and charging'!$C$9*'Energy and charging'!$C$7+(1-'Energy and charging'!$C$9)*'Energy and charging'!$C$8)*'Operating costs'!$B$23,"n.a."))</f>
        <v>0</v>
      </c>
      <c r="K354" s="16">
        <f>IF(C354=0,0,IF(P354="Complete",SUM('Operating costs'!$B$24,'Operating costs'!$B$27,'Operating costs'!$B$29,'Operating costs'!$B$31,'Operating costs'!$B$33,'Operating costs'!$B$34,'Operating costs'!$B$37,'Replacement plan'!$W$93)+'Operating costs'!$B$39*'Operating costs'!$B$42+ROUNDUP(S354*(R354-'Operating costs'!$B$39)*IF('Replacement plan'!$AG$93="",'Operating costs'!$B$7,'Replacement plan'!$AG$93)/('Operating costs'!$B$8-'Operating costs'!$B$9*IF('Replacement plan'!$AG$93="",'Operating costs'!$B$7,'Replacement plan'!$AG$93)),0)*('Operating costs'!$B$9/'Operating costs'!$B$11+'Operating costs'!$B$10/60)*'Operating costs'!$B$19*'Operating costs'!$B$21,"n.a."))</f>
        <v>0</v>
      </c>
      <c r="L354" s="16">
        <f>IF(C354=0,0,IF(P354="Complete",IF(D354="EV",X354*((1-T354)*'Energy and charging'!$C$10+T354*'Energy and charging'!$C$11)*'Operating costs'!$B$22,AA354*('Energy and charging'!$C$9*'Energy and charging'!$C$7+(1-'Energy and charging'!$C$9)*'Energy and charging'!$C$8)*'Operating costs'!$B$23),"n.a."))</f>
        <v>0</v>
      </c>
      <c r="M354" s="37">
        <f>IF(C354=0,0,IF(P354="Complete",IF(D354="ICE",SUM('Operating costs'!$B$25,'Operating costs'!$B$27,'Operating costs'!$B$29,'Operating costs'!$B$31,'Operating costs'!$B$33,'Operating costs'!$B$35,'Operating costs'!$B$37,'Replacement plan'!$X$93)+'Operating costs'!$B$40*'Operating costs'!$B$42+ROUNDUP(S354*(R354-'Operating costs'!$B$40)*IF('Replacement plan'!$AH$93="",'Operating costs'!$B$7,'Replacement plan'!$AH$93)/('Operating costs'!$B$8-'Operating costs'!$B$9*IF('Replacement plan'!$AH$93="",'Operating costs'!$B$7,'Replacement plan'!$AH$93)),0)*('Operating costs'!$B$9/'Operating costs'!$B$11+'Operating costs'!$B$10/60)*'Operating costs'!$B$19*'Operating costs'!$B$21,SUM(AP354,'Operating costs'!$B$28,'Operating costs'!$B$30,'Operating costs'!$B$32,'Operating costs'!$B$33,'Operating costs'!$B$36,'Operating costs'!$B$38,'Replacement plan'!$Y$93)+'Operating costs'!$B$41*'Operating costs'!$B$43+W354*'Operating costs'!$B$15+(T354*X354/'Replacement plan'!$L$93+W354*('Operating costs'!$B$12/'Operating costs'!$B$11+('Operating costs'!$B$13+'Operating costs'!$B$14)/60)+(R354-'Operating costs'!$B$41)*(IF(T354&lt;1,'Operating costs'!$B$16,0)+'Operating costs'!$B$17)/60)*'Operating costs'!$B$19*'Operating costs'!$B$20),"n.a."))</f>
        <v>0</v>
      </c>
      <c r="N354" s="16">
        <f>IF(AND(C354=1,D354="EV",E354&lt;120,E354+'Replacement plan'!$AA$93&lt;=120),'Replacement plan'!$Z$93,0)</f>
        <v>0</v>
      </c>
      <c r="O354" s="1">
        <f>E354+'Replacement plan'!$AA$93</f>
        <v>0</v>
      </c>
      <c r="P354" s="35" t="str">
        <f>IFERROR(IF(C354=0,"Excluded",IF(OR(COUNTIFS('Fleet register'!$A$7:$A$106,A354)&lt;&gt;1,COUNTIFS('Replacement plan'!$A$7:$A$106,A354)&lt;&gt;1),"Duplicate/missing ID",IF(NOT(AND(ISNUMBER(VLOOKUP($A354,'Fleet register'!$A$7:$S$106,5,FALSE)),ISNUMBER(VLOOKUP($A354,'Fleet register'!$A$7:$S$106,6,FALSE)),ISNUMBER(VLOOKUP($A354,'Fleet register'!$A$7:$S$106,10,FALSE)),ISNUMBER(VLOOKUP($A354,'Fleet register'!$A$7:$S$106,11,FALSE)),ISNUMBER(VLOOKUP($A354,'Fleet register'!$A$7:$S$106,12,FALSE)),ISNUMBER(VLOOKUP($A354,'Fleet register'!$A$7:$S$106,13,FALSE)),ISNUMBER(VLOOKUP($A354,'Fleet register'!$A$7:$S$106,14,FALSE)),VLOOKUP($A354,'Fleet register'!$A$7:$S$106,14,FALSE)&gt;0,ISNUMBER('Replacement plan'!$C$93),OR(E354=120,ISNUMBER('Replacement plan'!$T$93)),ISNUMBER(E354))),"Missing vehicle input",IF(OR(E354&lt;0,E354&gt;VLOOKUP($A354,'Fleet register'!$A$7:$S$106,10,FALSE),E354&gt;120,E354&lt;&gt;INT(E354),VLOOKUP($A354,'Fleet register'!$A$7:$S$106,6,FALSE)&lt;=0,VLOOKUP($A354,'Fleet register'!$A$7:$S$106,6,FALSE)&gt;366,VLOOKUP($A354,'Fleet register'!$A$7:$S$106,5,FALSE)&lt;0,VLOOKUP($A354,'Fleet register'!$A$7:$S$106,11,FALSE)&lt;0,I354&lt;0,'Operating costs'!$B$8&lt;='Operating costs'!$B$7*'Operating costs'!$B$9,'Operating costs'!$B$11&lt;=0,'Operating costs'!$B$39&gt;R354,'Operating costs'!$B$40&gt;R354,'Operating costs'!$B$41&gt;R354,NOT(OR('Replacement plan'!$R$93="Keep ICE",'Replacement plan'!$R$93="New ICE",'Replacement plan'!$R$93="EV"))),"Invalid vehicle input",IF(AND(D354="EV",E354&lt;120,OR(NOT(ISNUMBER(U354)),NOT(ISNUMBER(V354)),V354&lt;=0,T354&lt;0,T354&gt;1,'Replacement plan'!$L$93&lt;=0,'Operating costs'!$B$44&lt;0,'Operating costs'!$B$44&gt;=1,'Operating costs'!$B$47&lt;=0,'Operating costs'!$B$47&gt;1,V354*'Operating costs'!$B$47/(1-'Operating costs'!$B$44)&lt;=T354*'Operating costs'!$B$12*U354,AND('Replacement plan'!$Z$93&gt;0,OR('Replacement plan'!$AB$93&lt;&gt;"Yes",'Operating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charging'!$C$8&gt;=0))),ISNUMBER(VLOOKUP($A354,'Fleet register'!$A$7:$S$106,15,FALSE)),ISNUMBER(VLOOKUP($A354,'Fleet register'!$A$7:$S$106,16,FALSE)),ISNUMBER('Replacement plan'!$W$93),ISNUMBER('Replacement plan'!$X$93),OR(E354=120,AND(ISNUMBER(G354),G354&gt;=0)),ISNUMBER(H354),H354&gt;=0,OR(D354&lt;&gt;"EV",E354=120,AND(ISNUMBER('Operating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average",ISNUMBER(IFERROR(INDEX(Products!$P$7:$P$13,MATCH(AD354,Products!$A$7:$A$13,0)),"")))),ISNUMBER('Operating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plan'!$Y$93),ISNUMBER('Replacement plan'!$Z$93),'Replacement plan'!$Z$93&gt;=0,ISNUMBER('Replacement plan'!$AA$93),'Replacement plan'!$AA$93&gt;=0,'Replacement plan'!$AA$93=INT('Replacement plan'!$AA$93),ISNUMBER('Replacement plan'!$L$93))),'Operating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plan'!$AG$93="",'Operating costs'!$B$7,'Replacement plan'!$AG$93)),IF('Replacement plan'!$AG$93="",'Operating costs'!$B$7,'Replacement plan'!$AG$93)&gt;=0,ISNUMBER(IF('Replacement plan'!$AH$93="",'Operating costs'!$B$7,'Replacement plan'!$AH$93)),IF('Replacement plan'!$AH$93="",'Operating costs'!$B$7,'Replacement plan'!$AH$93)&gt;=0,'Operating costs'!$B$8&gt;MAX(IF('Replacement plan'!$AG$93="",'Operating costs'!$B$7,'Replacement plan'!$AG$93),IF('Replacement plan'!$AH$93="",'Operating costs'!$B$7,'Replacement plan'!$AH$93))*'Operating costs'!$B$9),IF(AND(VLOOKUP($A354,'Fleet register'!$A$7:$S$106,10,FALSE)&gt;=0,VLOOKUP($A354,'Fleet register'!$A$7:$S$106,10,FALSE)&lt;=120,VLOOKUP($A354,'Fleet register'!$A$7:$S$106,10,FALSE)=INT(VLOOKUP($A354,'Fleet register'!$A$7:$S$106,10,FALSE)),VLOOKUP($A354,'Fleet register'!$A$7:$S$106,15,FALSE)&gt;=0,VLOOKUP($A354,'Fleet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costs'!$B$67)&gt;=0,OR(D354&lt;&gt;"EV",E354=120,AND(MIN('Operating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54" s="1" t="str">
        <f>IF(C354=0,"Excluded",IF(P354&lt;&gt;"Complete",P354,IF(OR('Replacement plan'!$AD$93&lt;120-E354,AND(D354="EV",E354&lt;120,OR('Replacement plan'!$AC$93&lt;120-E354,'Replacement plan'!$I$93="No",AND(ISNUMBER(AF354),AE354&gt;AF354),AI354&gt;V354*(1-'Operating costs'!$B$46)^MAX(0,AB354-1)*(1-'Operating costs'!$B$45),AC354&gt;'Operating costs'!$B$18,AND(T354&lt;1,OR(AG354&lt;=0,AND(ISNUMBER(AH354),AG354&gt;AH354))),'Replacement plan'!$L$93&gt;INDEX(Products!$H$7:$H$13,MATCH('Replacement plan'!$B$93,Products!$A$7:$A$13,0))))),"Fails entered limits",IF(AND(D354="EV",E354&lt;120,OR(NOT(ISNUMBER(VLOOKUP($A354,'Fleet register'!$A$7:$S$106,7,FALSE))),NOT(ISNUMBER(VLOOKUP($A354,'Fleet register'!$A$7:$S$106,8,FALSE))),NOT(ISNUMBER(AF354)),'Replacement plan'!$I$93&lt;&gt;"Yes",NOT(ISNUMBER(AH354)),'Operating costs'!$B$59&lt;&gt;"Yes",'Operating costs'!$B$58&lt;&gt;"Yes")),"Unverified","Within entered limits"))))</f>
        <v>Excluded</v>
      </c>
      <c r="R354" s="1">
        <f>IF(C354=0,0,VLOOKUP($A354,'Fleet register'!$A$7:$S$106,6,FALSE))</f>
        <v>0</v>
      </c>
      <c r="S354" s="1">
        <f>IF(C354=0,0,VLOOKUP($A354,'Fleet register'!$A$7:$S$106,5,FALSE))</f>
        <v>0</v>
      </c>
      <c r="T354" s="1">
        <f>IF(D354="EV",'Energy and charging'!$C$12,0)</f>
        <v>0</v>
      </c>
      <c r="U354" s="1">
        <f>IFERROR(IF(C354=0,0,IF(D354="EV",IF('Replacement plan'!$F$93="",INDEX(Products!$E$7:$E$13,MATCH('Replacement plan'!$B$93,Products!$A$7:$A$13,0)),'Replacement plan'!$F$93)/IF('Replacement plan'!$G$93="Battery",1-'Operating costs'!$B$44,1),0)),"n.a.")</f>
        <v>0</v>
      </c>
      <c r="V354" s="1">
        <f>IFERROR(IF(C354=0,0,IF(D354="EV",IF('Replacement plan'!$E$93="",INDEX(Products!$D$7:$D$13,MATCH('Replacement plan'!$B$93,Products!$A$7:$A$13,0)),'Replacement plan'!$E$93),0)),"n.a.")</f>
        <v>0</v>
      </c>
      <c r="W354" s="1">
        <f>IF(C354=0,0,IF(AND(P354="Complete",D354="EV",E354&lt;120),IF(T354=0,0,ROUNDUP(T354*(R354-'Operating costs'!$B$41)*(S354*U354+'Operating costs'!$B$48/(1-'Operating costs'!$B$44))/(V354*'Operating costs'!$B$47/(1-'Operating costs'!$B$44)-T354*'Operating costs'!$B$12*U354),0)),0))</f>
        <v>0</v>
      </c>
      <c r="X354" s="1">
        <f>IF(C354=0,0,IF(AND(P354="Complete",D354="EV",E354&lt;120),(R354-'Operating costs'!$B$41)*(S354*U354+'Operating costs'!$B$48/(1-'Operating costs'!$B$44))+W354*'Operating costs'!$B$12*U354,0))</f>
        <v>0</v>
      </c>
      <c r="Y354" s="1">
        <f>IF(AND(C354=1,D354="EV",E354&lt;120),AI354/(1-'Operating costs'!$B$44)*(1-T354),0)</f>
        <v>0</v>
      </c>
      <c r="Z354" s="1">
        <f t="shared" si="10"/>
        <v>0</v>
      </c>
      <c r="AA354" s="1">
        <f>IF(C354=0,0,IF(P354="Complete",((S354*(R354-'Operating costs'!$B$40))+ROUNDUP(S354*(R354-'Operating costs'!$B$40)*IF('Replacement plan'!$AH$93="",'Operating costs'!$B$7,'Replacement plan'!$AH$93)/('Operating costs'!$B$8-'Operating costs'!$B$9*IF('Replacement plan'!$AH$93="",'Operating costs'!$B$7,'Replacement plan'!$AH$93)),0)*'Operating costs'!$B$9)*IF('Replacement plan'!$AH$93="",'Operating costs'!$B$7,'Replacement plan'!$AH$93),"n.a."))</f>
        <v>0</v>
      </c>
      <c r="AB354" s="1">
        <f t="shared" si="11"/>
        <v>0</v>
      </c>
      <c r="AC354" s="1">
        <f>IF(AND(C354=1,D354="EV",E354&lt;120,T354&gt;0),'Operating costs'!$B$12/'Operating costs'!$B$11*60+'Operating costs'!$B$13+'Operating costs'!$B$14+V354*'Operating costs'!$B$47/(1-'Operating costs'!$B$44)/'Replacement plan'!$L$93*60,0)</f>
        <v>0</v>
      </c>
      <c r="AD354" s="1" t="str">
        <f>'Replacement plan'!$B$93</f>
        <v>ChengLong L2EV</v>
      </c>
      <c r="AE354" s="1">
        <f>IF(C354=0,0,VLOOKUP($A354,'Fleet register'!$A$7:$S$106,8,FALSE))</f>
        <v>0</v>
      </c>
      <c r="AF354" s="1" t="str">
        <f>IF('Replacement plan'!$H$93="","n.a.",'Replacement plan'!$H$93)</f>
        <v>n.a.</v>
      </c>
      <c r="AG354" s="1">
        <f>'Replacement plan'!$J$93</f>
        <v>22</v>
      </c>
      <c r="AH354" s="1">
        <f>IFERROR(IF(D354="EV",IF('Replacement plan'!$K$93="AC",IF(ISNUMBER(INDEX(Products!$G$7:$G$13,MATCH('Replacement plan'!$B$93,Products!$A$7:$A$13,0))),INDEX(Products!$G$7:$G$13,MATCH('Replacement plan'!$B$93,Products!$A$7:$A$13,0)),"n.a."),IF(ISNUMBER(INDEX(Products!$H$7:$H$13,MATCH('Replacement plan'!$B$93,Products!$A$7:$A$13,0))),INDEX(Products!$H$7:$H$13,MATCH('Replacement plan'!$B$93,Products!$A$7:$A$13,0)),"n.a.")),0),"n.a.")</f>
        <v>0</v>
      </c>
      <c r="AI354" s="1">
        <f>IF(AND(C354=1,D354="EV",E354&lt;120),(VLOOKUP($A354,'Fleet register'!$A$7:$S$106,7,FALSE)+IF(T354&gt;0,'Operating costs'!$B$12,0))*U354*(1-'Operating costs'!$B$44)+'Operating costs'!$B$49,0)</f>
        <v>0</v>
      </c>
      <c r="AJ354" s="1">
        <f>IF(D354="EV",'Energy and charging'!$C$50,0)</f>
        <v>0</v>
      </c>
      <c r="AK354" s="17">
        <f>EDATE('Operating costs'!$B$63,E354)</f>
        <v>46298</v>
      </c>
      <c r="AL354" s="1">
        <f>IFERROR(IF(D354="EV",INDEX(Products!$B$7:$B$13,MATCH('Replacement plan'!$B$93,Products!$A$7:$A$13,0)),0),"n.a.")</f>
        <v>0</v>
      </c>
      <c r="AM354" s="1" t="str">
        <f>'Replacement plan'!$K$93</f>
        <v>DC</v>
      </c>
      <c r="AN354" s="1" t="str">
        <f>'Replacement plan'!$AE$93</f>
        <v>Assumed</v>
      </c>
      <c r="AO354" s="47">
        <f>IF(AND(C354=1,D354="EV",E354&lt;120),(R354-'Operating costs'!$B$41)*S354+W354*'Operating costs'!$B$12,0)</f>
        <v>0</v>
      </c>
      <c r="AP354" s="41">
        <f>IF(AND(C354=1,D354="EV",E354&lt;120),IF('Operating costs'!$B$68="Hong Seh 200k average",AO354*IFERROR(INDEX(Products!$P$7:$P$13,MATCH(AD354,Products!$A$7:$A$13,0)),"n.a."),'Operating costs'!$B$26),0)</f>
        <v>0</v>
      </c>
      <c r="AQ354" s="40" t="str">
        <f>IF(D354="EV",'Operating costs'!$B$68,"Not applicable")</f>
        <v>Not applicable</v>
      </c>
    </row>
    <row r="355" spans="1:43" ht="24" customHeight="1">
      <c r="A355" s="1" t="str">
        <f>'Replacement plan'!A94</f>
        <v>T088</v>
      </c>
      <c r="B355" s="1">
        <v>0</v>
      </c>
      <c r="C355" s="1">
        <f>IF(COUNTIFS('Fleet register'!$A$7:$A$106,$A355)=1,VLOOKUP($A355,'Fleet register'!$A$7:$S$106,2,FALSE),0)</f>
        <v>0</v>
      </c>
      <c r="D355" s="1" t="str">
        <f>IF("Keep ICE"="EV","EV","ICE")</f>
        <v>ICE</v>
      </c>
      <c r="E355" s="1">
        <f>IF(C355=0,0,IF('Replacement plan'!$M$94="",VLOOKUP($A355,'Fleet register'!$A$7:$S$106,10,FALSE),'Replacement plan'!$M$94))</f>
        <v>0</v>
      </c>
      <c r="F355" s="16">
        <f>IF(C355=0,0,VLOOKUP($A355,'Fleet register'!$A$7:$S$106,11,FALSE))</f>
        <v>0</v>
      </c>
      <c r="G355" s="16">
        <f>IFERROR(IF(C355=0,0,IF(E355=120,0,IF(D355="ICE",'Replacement plan'!$C$94,IF('Replacement plan'!$D$94="",INDEX(Products!$I$7:$I$13,MATCH('Replacement plan'!$B$94,Products!$A$7:$A$13,0))+'Operating costs'!$B$57,'Replacement plan'!$D$94))*(1+'Operating costs'!$B$50)^(E355/12))),"n.a.")</f>
        <v>0</v>
      </c>
      <c r="H355" s="16">
        <f>IFERROR(IF(C355=0,0,IF(E355=0,F355,VLOOKUP($A355,'Fleet register'!$A$7:$S$106,12,FALSE)+VLOOKUP($A355,'Fleet register'!$A$7:$S$106,13,FALSE)*MAX(0,VLOOKUP($A355,'Fleet register'!$A$7:$S$106,10,FALSE)-E355)/VLOOKUP($A355,'Fleet register'!$A$7:$S$106,14,FALSE))),"n.a.")</f>
        <v>0</v>
      </c>
      <c r="I355" s="16">
        <f>IF(C355=0,0,IF(E355=120,0,'Replacement plan'!$N$94))</f>
        <v>0</v>
      </c>
      <c r="J355" s="16">
        <f>IF(C355=0,0,IF(P355="Complete",((S355*(R355-'Operating costs'!$B$39))+ROUNDUP(S355*(R355-'Operating costs'!$B$39)*IF('Replacement plan'!$AG$94="",'Operating costs'!$B$7,'Replacement plan'!$AG$94)/('Operating costs'!$B$8-'Operating costs'!$B$9*IF('Replacement plan'!$AG$94="",'Operating costs'!$B$7,'Replacement plan'!$AG$94)),0)*'Operating costs'!$B$9)*IF('Replacement plan'!$AG$94="",'Operating costs'!$B$7,'Replacement plan'!$AG$94)*('Energy and charging'!$B$9*'Energy and charging'!$B$7+(1-'Energy and charging'!$B$9)*'Energy and charging'!$B$8)*'Operating costs'!$B$23,"n.a."))</f>
        <v>0</v>
      </c>
      <c r="K355" s="16">
        <f>IF(C355=0,0,IF(P355="Complete",SUM('Operating costs'!$B$24,'Operating costs'!$B$27,'Operating costs'!$B$29,'Operating costs'!$B$31,'Operating costs'!$B$33,'Operating costs'!$B$34,'Operating costs'!$B$37,'Replacement plan'!$W$94)+'Operating costs'!$B$39*'Operating costs'!$B$42+ROUNDUP(S355*(R355-'Operating costs'!$B$39)*IF('Replacement plan'!$AG$94="",'Operating costs'!$B$7,'Replacement plan'!$AG$94)/('Operating costs'!$B$8-'Operating costs'!$B$9*IF('Replacement plan'!$AG$94="",'Operating costs'!$B$7,'Replacement plan'!$AG$94)),0)*('Operating costs'!$B$9/'Operating costs'!$B$11+'Operating costs'!$B$10/60)*'Operating costs'!$B$19*'Operating costs'!$B$21,"n.a."))</f>
        <v>0</v>
      </c>
      <c r="L355" s="16">
        <f>IF(C355=0,0,IF(P355="Complete",IF(D355="EV",X355*((1-T355)*'Energy and charging'!$B$10+T355*'Energy and charging'!$B$11)*'Operating costs'!$B$22,AA355*('Energy and charging'!$B$9*'Energy and charging'!$B$7+(1-'Energy and charging'!$B$9)*'Energy and charging'!$B$8)*'Operating costs'!$B$23),"n.a."))</f>
        <v>0</v>
      </c>
      <c r="M355" s="37">
        <f>IF(C355=0,0,IF(P355="Complete",IF(D355="ICE",SUM('Operating costs'!$B$25,'Operating costs'!$B$27,'Operating costs'!$B$29,'Operating costs'!$B$31,'Operating costs'!$B$33,'Operating costs'!$B$35,'Operating costs'!$B$37,'Replacement plan'!$X$94)+'Operating costs'!$B$40*'Operating costs'!$B$42+ROUNDUP(S355*(R355-'Operating costs'!$B$40)*IF('Replacement plan'!$AH$94="",'Operating costs'!$B$7,'Replacement plan'!$AH$94)/('Operating costs'!$B$8-'Operating costs'!$B$9*IF('Replacement plan'!$AH$94="",'Operating costs'!$B$7,'Replacement plan'!$AH$94)),0)*('Operating costs'!$B$9/'Operating costs'!$B$11+'Operating costs'!$B$10/60)*'Operating costs'!$B$19*'Operating costs'!$B$21,SUM(AP355,'Operating costs'!$B$28,'Operating costs'!$B$30,'Operating costs'!$B$32,'Operating costs'!$B$33,'Operating costs'!$B$36,'Operating costs'!$B$38,'Replacement plan'!$Y$94)+'Operating costs'!$B$41*'Operating costs'!$B$43+W355*'Operating costs'!$B$15+(T355*X355/'Replacement plan'!$L$94+W355*('Operating costs'!$B$12/'Operating costs'!$B$11+('Operating costs'!$B$13+'Operating costs'!$B$14)/60)+(R355-'Operating costs'!$B$41)*(IF(T355&lt;1,'Operating costs'!$B$16,0)+'Operating costs'!$B$17)/60)*'Operating costs'!$B$19*'Operating costs'!$B$20),"n.a."))</f>
        <v>0</v>
      </c>
      <c r="N355" s="16">
        <f>IF(AND(C355=1,D355="EV",E355&lt;120,E355+'Replacement plan'!$AA$94&lt;=120),'Replacement plan'!$Z$94,0)</f>
        <v>0</v>
      </c>
      <c r="O355" s="1">
        <f>E355+'Replacement plan'!$AA$94</f>
        <v>0</v>
      </c>
      <c r="P355" s="35" t="str">
        <f>IFERROR(IF(C355=0,"Excluded",IF(OR(COUNTIFS('Fleet register'!$A$7:$A$106,A355)&lt;&gt;1,COUNTIFS('Replacement plan'!$A$7:$A$106,A355)&lt;&gt;1),"Duplicate/missing ID",IF(NOT(AND(ISNUMBER(VLOOKUP($A355,'Fleet register'!$A$7:$S$106,5,FALSE)),ISNUMBER(VLOOKUP($A355,'Fleet register'!$A$7:$S$106,6,FALSE)),ISNUMBER(VLOOKUP($A355,'Fleet register'!$A$7:$S$106,10,FALSE)),ISNUMBER(VLOOKUP($A355,'Fleet register'!$A$7:$S$106,11,FALSE)),ISNUMBER(VLOOKUP($A355,'Fleet register'!$A$7:$S$106,12,FALSE)),ISNUMBER(VLOOKUP($A355,'Fleet register'!$A$7:$S$106,13,FALSE)),ISNUMBER(VLOOKUP($A355,'Fleet register'!$A$7:$S$106,14,FALSE)),VLOOKUP($A355,'Fleet register'!$A$7:$S$106,14,FALSE)&gt;0,ISNUMBER('Replacement plan'!$C$94),OR(E355=120,ISNUMBER('Replacement plan'!$N$94)),ISNUMBER(E355))),"Missing vehicle input",IF(OR(E355&lt;0,E355&gt;VLOOKUP($A355,'Fleet register'!$A$7:$S$106,10,FALSE),E355&gt;120,E355&lt;&gt;INT(E355),VLOOKUP($A355,'Fleet register'!$A$7:$S$106,6,FALSE)&lt;=0,VLOOKUP($A355,'Fleet register'!$A$7:$S$106,6,FALSE)&gt;366,VLOOKUP($A355,'Fleet register'!$A$7:$S$106,5,FALSE)&lt;0,VLOOKUP($A355,'Fleet register'!$A$7:$S$106,11,FALSE)&lt;0,I355&lt;0,'Operating costs'!$B$8&lt;='Operating costs'!$B$7*'Operating costs'!$B$9,'Operating costs'!$B$11&lt;=0,'Operating costs'!$B$39&gt;R355,'Operating costs'!$B$40&gt;R355,'Operating costs'!$B$41&gt;R355,NOT(OR("Keep ICE"="Keep ICE","Keep ICE"="New ICE","Keep ICE"="EV"))),"Invalid vehicle input",IF(AND(D355="EV",E355&lt;120,OR(NOT(ISNUMBER(U355)),NOT(ISNUMBER(V355)),V355&lt;=0,T355&lt;0,T355&gt;1,'Replacement plan'!$L$94&lt;=0,'Operating costs'!$B$44&lt;0,'Operating costs'!$B$44&gt;=1,'Operating costs'!$B$47&lt;=0,'Operating costs'!$B$47&gt;1,V355*'Operating costs'!$B$47/(1-'Operating costs'!$B$44)&lt;=T355*'Operating costs'!$B$12*U355,AND('Replacement plan'!$Z$94&gt;0,OR('Replacement plan'!$AB$94&lt;&gt;"Yes",'Operating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charging'!$B$8&gt;=0))),ISNUMBER(VLOOKUP($A355,'Fleet register'!$A$7:$S$106,15,FALSE)),ISNUMBER(VLOOKUP($A355,'Fleet register'!$A$7:$S$106,16,FALSE)),ISNUMBER('Replacement plan'!$W$94),ISNUMBER('Replacement plan'!$X$94),OR(E355=120,AND(ISNUMBER(G355),G355&gt;=0)),ISNUMBER(H355),H355&gt;=0,OR(D355&lt;&gt;"EV",E355=120,AND(ISNUMBER('Operating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average",ISNUMBER(IFERROR(INDEX(Products!$P$7:$P$13,MATCH(AD355,Products!$A$7:$A$13,0)),"")))),ISNUMBER('Operating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plan'!$Y$94),ISNUMBER('Replacement plan'!$Z$94),'Replacement plan'!$Z$94&gt;=0,ISNUMBER('Replacement plan'!$AA$94),'Replacement plan'!$AA$94&gt;=0,'Replacement plan'!$AA$94=INT('Replacement plan'!$AA$94),ISNUMBER('Replacement plan'!$L$94))),'Operating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plan'!$AG$94="",'Operating costs'!$B$7,'Replacement plan'!$AG$94)),IF('Replacement plan'!$AG$94="",'Operating costs'!$B$7,'Replacement plan'!$AG$94)&gt;=0,ISNUMBER(IF('Replacement plan'!$AH$94="",'Operating costs'!$B$7,'Replacement plan'!$AH$94)),IF('Replacement plan'!$AH$94="",'Operating costs'!$B$7,'Replacement plan'!$AH$94)&gt;=0,'Operating costs'!$B$8&gt;MAX(IF('Replacement plan'!$AG$94="",'Operating costs'!$B$7,'Replacement plan'!$AG$94),IF('Replacement plan'!$AH$94="",'Operating costs'!$B$7,'Replacement plan'!$AH$94))*'Operating costs'!$B$9),IF(AND(VLOOKUP($A355,'Fleet register'!$A$7:$S$106,10,FALSE)&gt;=0,VLOOKUP($A355,'Fleet register'!$A$7:$S$106,10,FALSE)&lt;=120,VLOOKUP($A355,'Fleet register'!$A$7:$S$106,10,FALSE)=INT(VLOOKUP($A355,'Fleet register'!$A$7:$S$106,10,FALSE)),VLOOKUP($A355,'Fleet register'!$A$7:$S$106,15,FALSE)&gt;=0,VLOOKUP($A355,'Fleet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costs'!$B$67)&gt;=0,OR(D355&lt;&gt;"EV",E355=120,AND(MIN('Operating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55" s="1" t="str">
        <f>IF(C355=0,"Excluded",IF(P355&lt;&gt;"Complete",P355,IF(OR('Replacement plan'!$AD$94&lt;120-E355,AND(D355="EV",E355&lt;120,OR('Replacement plan'!$AC$94&lt;120-E355,'Replacement plan'!$I$94="No",AND(ISNUMBER(AF355),AE355&gt;AF355),AI355&gt;V355*(1-'Operating costs'!$B$46)^MAX(0,AB355-1)*(1-'Operating costs'!$B$45),AC355&gt;'Operating costs'!$B$18,AND(T355&lt;1,OR(AG355&lt;=0,AND(ISNUMBER(AH355),AG355&gt;AH355))),'Replacement plan'!$L$94&gt;INDEX(Products!$H$7:$H$13,MATCH('Replacement plan'!$B$94,Products!$A$7:$A$13,0))))),"Fails entered limits",IF(AND(D355="EV",E355&lt;120,OR(NOT(ISNUMBER(VLOOKUP($A355,'Fleet register'!$A$7:$S$106,7,FALSE))),NOT(ISNUMBER(VLOOKUP($A355,'Fleet register'!$A$7:$S$106,8,FALSE))),NOT(ISNUMBER(AF355)),'Replacement plan'!$I$94&lt;&gt;"Yes",NOT(ISNUMBER(AH355)),'Operating costs'!$B$59&lt;&gt;"Yes",'Operating costs'!$B$58&lt;&gt;"Yes")),"Unverified","Within entered limits"))))</f>
        <v>Excluded</v>
      </c>
      <c r="R355" s="1">
        <f>IF(C355=0,0,VLOOKUP($A355,'Fleet register'!$A$7:$S$106,6,FALSE))</f>
        <v>0</v>
      </c>
      <c r="S355" s="1">
        <f>IF(C355=0,0,VLOOKUP($A355,'Fleet register'!$A$7:$S$106,5,FALSE))</f>
        <v>0</v>
      </c>
      <c r="T355" s="1">
        <f>IF(D355="EV",'Energy and charging'!$B$12,0)</f>
        <v>0</v>
      </c>
      <c r="U355" s="1">
        <f>IFERROR(IF(C355=0,0,IF(D355="EV",IF('Replacement plan'!$F$94="",INDEX(Products!$E$7:$E$13,MATCH('Replacement plan'!$B$94,Products!$A$7:$A$13,0)),'Replacement plan'!$F$94)/IF('Replacement plan'!$G$94="Battery",1-'Operating costs'!$B$44,1),0)),"n.a.")</f>
        <v>0</v>
      </c>
      <c r="V355" s="1">
        <f>IFERROR(IF(C355=0,0,IF(D355="EV",IF('Replacement plan'!$E$94="",INDEX(Products!$D$7:$D$13,MATCH('Replacement plan'!$B$94,Products!$A$7:$A$13,0)),'Replacement plan'!$E$94),0)),"n.a.")</f>
        <v>0</v>
      </c>
      <c r="W355" s="1">
        <f>IF(C355=0,0,IF(AND(P355="Complete",D355="EV",E355&lt;120),IF(T355=0,0,ROUNDUP(T355*(R355-'Operating costs'!$B$41)*(S355*U355+'Operating costs'!$B$48/(1-'Operating costs'!$B$44))/(V355*'Operating costs'!$B$47/(1-'Operating costs'!$B$44)-T355*'Operating costs'!$B$12*U355),0)),0))</f>
        <v>0</v>
      </c>
      <c r="X355" s="1">
        <f>IF(C355=0,0,IF(AND(P355="Complete",D355="EV",E355&lt;120),(R355-'Operating costs'!$B$41)*(S355*U355+'Operating costs'!$B$48/(1-'Operating costs'!$B$44))+W355*'Operating costs'!$B$12*U355,0))</f>
        <v>0</v>
      </c>
      <c r="Y355" s="1">
        <f>IF(AND(C355=1,D355="EV",E355&lt;120),AI355/(1-'Operating costs'!$B$44)*(1-T355),0)</f>
        <v>0</v>
      </c>
      <c r="Z355" s="1">
        <f t="shared" si="10"/>
        <v>0</v>
      </c>
      <c r="AA355" s="1">
        <f>IF(C355=0,0,IF(P355="Complete",((S355*(R355-'Operating costs'!$B$40))+ROUNDUP(S355*(R355-'Operating costs'!$B$40)*IF('Replacement plan'!$AH$94="",'Operating costs'!$B$7,'Replacement plan'!$AH$94)/('Operating costs'!$B$8-'Operating costs'!$B$9*IF('Replacement plan'!$AH$94="",'Operating costs'!$B$7,'Replacement plan'!$AH$94)),0)*'Operating costs'!$B$9)*IF('Replacement plan'!$AH$94="",'Operating costs'!$B$7,'Replacement plan'!$AH$94),"n.a."))</f>
        <v>0</v>
      </c>
      <c r="AB355" s="1">
        <f t="shared" si="11"/>
        <v>0</v>
      </c>
      <c r="AC355" s="1">
        <f>IF(AND(C355=1,D355="EV",E355&lt;120,T355&gt;0),'Operating costs'!$B$12/'Operating costs'!$B$11*60+'Operating costs'!$B$13+'Operating costs'!$B$14+V355*'Operating costs'!$B$47/(1-'Operating costs'!$B$44)/'Replacement plan'!$L$94*60,0)</f>
        <v>0</v>
      </c>
      <c r="AD355" s="1" t="str">
        <f>'Replacement plan'!$B$94</f>
        <v>ChengLong L2EV</v>
      </c>
      <c r="AE355" s="1">
        <f>IF(C355=0,0,VLOOKUP($A355,'Fleet register'!$A$7:$S$106,8,FALSE))</f>
        <v>0</v>
      </c>
      <c r="AF355" s="1" t="str">
        <f>IF('Replacement plan'!$H$94="","n.a.",'Replacement plan'!$H$94)</f>
        <v>n.a.</v>
      </c>
      <c r="AG355" s="1">
        <f>'Replacement plan'!$J$94</f>
        <v>22</v>
      </c>
      <c r="AH355" s="1">
        <f>IFERROR(IF(D355="EV",IF('Replacement plan'!$K$94="AC",IF(ISNUMBER(INDEX(Products!$G$7:$G$13,MATCH('Replacement plan'!$B$94,Products!$A$7:$A$13,0))),INDEX(Products!$G$7:$G$13,MATCH('Replacement plan'!$B$94,Products!$A$7:$A$13,0)),"n.a."),IF(ISNUMBER(INDEX(Products!$H$7:$H$13,MATCH('Replacement plan'!$B$94,Products!$A$7:$A$13,0))),INDEX(Products!$H$7:$H$13,MATCH('Replacement plan'!$B$94,Products!$A$7:$A$13,0)),"n.a.")),0),"n.a.")</f>
        <v>0</v>
      </c>
      <c r="AI355" s="1">
        <f>IF(AND(C355=1,D355="EV",E355&lt;120),(VLOOKUP($A355,'Fleet register'!$A$7:$S$106,7,FALSE)+IF(T355&gt;0,'Operating costs'!$B$12,0))*U355*(1-'Operating costs'!$B$44)+'Operating costs'!$B$49,0)</f>
        <v>0</v>
      </c>
      <c r="AJ355" s="1">
        <f>IF(D355="EV",'Energy and charging'!$B$50,0)</f>
        <v>0</v>
      </c>
      <c r="AK355" s="17">
        <f>EDATE('Operating costs'!$B$63,E355)</f>
        <v>46298</v>
      </c>
      <c r="AL355" s="1">
        <f>IFERROR(IF(D355="EV",INDEX(Products!$B$7:$B$13,MATCH('Replacement plan'!$B$94,Products!$A$7:$A$13,0)),0),"n.a.")</f>
        <v>0</v>
      </c>
      <c r="AM355" s="1" t="str">
        <f>'Replacement plan'!$K$94</f>
        <v>DC</v>
      </c>
      <c r="AN355" s="1" t="str">
        <f>'Replacement plan'!$AE$94</f>
        <v>Assumed</v>
      </c>
      <c r="AO355" s="47">
        <f>IF(AND(C355=1,D355="EV",E355&lt;120),(R355-'Operating costs'!$B$41)*S355+W355*'Operating costs'!$B$12,0)</f>
        <v>0</v>
      </c>
      <c r="AP355" s="41">
        <f>IF(AND(C355=1,D355="EV",E355&lt;120),IF('Operating costs'!$B$68="Hong Seh 200k average",AO355*IFERROR(INDEX(Products!$P$7:$P$13,MATCH(AD355,Products!$A$7:$A$13,0)),"n.a."),'Operating costs'!$B$26),0)</f>
        <v>0</v>
      </c>
      <c r="AQ355" s="40" t="str">
        <f>IF(D355="EV",'Operating costs'!$B$68,"Not applicable")</f>
        <v>Not applicable</v>
      </c>
    </row>
    <row r="356" spans="1:43" ht="24" customHeight="1">
      <c r="A356" s="1" t="str">
        <f>'Replacement plan'!A94</f>
        <v>T088</v>
      </c>
      <c r="B356" s="1">
        <v>1</v>
      </c>
      <c r="C356" s="1">
        <f>IF(COUNTIFS('Fleet register'!$A$7:$A$106,$A356)=1,VLOOKUP($A356,'Fleet register'!$A$7:$S$106,2,FALSE),0)</f>
        <v>0</v>
      </c>
      <c r="D356" s="1" t="str">
        <f>IF("New ICE"="EV","EV","ICE")</f>
        <v>ICE</v>
      </c>
      <c r="E356" s="1">
        <f>IF(C356=0,0,0)</f>
        <v>0</v>
      </c>
      <c r="F356" s="16">
        <f>IF(C356=0,0,VLOOKUP($A356,'Fleet register'!$A$7:$S$106,11,FALSE))</f>
        <v>0</v>
      </c>
      <c r="G356" s="16">
        <f>IFERROR(IF(C356=0,0,IF(E356=120,0,IF(D356="ICE",'Replacement plan'!$C$94,IF('Replacement plan'!$D$94="",INDEX(Products!$I$7:$I$13,MATCH('Replacement plan'!$B$94,Products!$A$7:$A$13,0))+'Operating costs'!$B$57,'Replacement plan'!$D$94))*(1+'Operating costs'!$B$50)^(E356/12))),"n.a.")</f>
        <v>0</v>
      </c>
      <c r="H356" s="16">
        <f>IFERROR(IF(C356=0,0,IF(E356=0,F356,VLOOKUP($A356,'Fleet register'!$A$7:$S$106,12,FALSE)+VLOOKUP($A356,'Fleet register'!$A$7:$S$106,13,FALSE)*MAX(0,VLOOKUP($A356,'Fleet register'!$A$7:$S$106,10,FALSE)-E356)/VLOOKUP($A356,'Fleet register'!$A$7:$S$106,14,FALSE))),"n.a.")</f>
        <v>0</v>
      </c>
      <c r="I356" s="16">
        <f>IF(C356=0,0,IF(E356=120,0,IF('Replacement plan'!$AI$94="",'Operating costs'!$B$56,'Replacement plan'!$AI$94)))</f>
        <v>0</v>
      </c>
      <c r="J356" s="16">
        <f>IF(C356=0,0,IF(P356="Complete",((S356*(R356-'Operating costs'!$B$39))+ROUNDUP(S356*(R356-'Operating costs'!$B$39)*IF('Replacement plan'!$AG$94="",'Operating costs'!$B$7,'Replacement plan'!$AG$94)/('Operating costs'!$B$8-'Operating costs'!$B$9*IF('Replacement plan'!$AG$94="",'Operating costs'!$B$7,'Replacement plan'!$AG$94)),0)*'Operating costs'!$B$9)*IF('Replacement plan'!$AG$94="",'Operating costs'!$B$7,'Replacement plan'!$AG$94)*('Energy and charging'!$B$9*'Energy and charging'!$B$7+(1-'Energy and charging'!$B$9)*'Energy and charging'!$B$8)*'Operating costs'!$B$23,"n.a."))</f>
        <v>0</v>
      </c>
      <c r="K356" s="16">
        <f>IF(C356=0,0,IF(P356="Complete",SUM('Operating costs'!$B$24,'Operating costs'!$B$27,'Operating costs'!$B$29,'Operating costs'!$B$31,'Operating costs'!$B$33,'Operating costs'!$B$34,'Operating costs'!$B$37,'Replacement plan'!$W$94)+'Operating costs'!$B$39*'Operating costs'!$B$42+ROUNDUP(S356*(R356-'Operating costs'!$B$39)*IF('Replacement plan'!$AG$94="",'Operating costs'!$B$7,'Replacement plan'!$AG$94)/('Operating costs'!$B$8-'Operating costs'!$B$9*IF('Replacement plan'!$AG$94="",'Operating costs'!$B$7,'Replacement plan'!$AG$94)),0)*('Operating costs'!$B$9/'Operating costs'!$B$11+'Operating costs'!$B$10/60)*'Operating costs'!$B$19*'Operating costs'!$B$21,"n.a."))</f>
        <v>0</v>
      </c>
      <c r="L356" s="16">
        <f>IF(C356=0,0,IF(P356="Complete",IF(D356="EV",X356*((1-T356)*'Energy and charging'!$B$10+T356*'Energy and charging'!$B$11)*'Operating costs'!$B$22,AA356*('Energy and charging'!$B$9*'Energy and charging'!$B$7+(1-'Energy and charging'!$B$9)*'Energy and charging'!$B$8)*'Operating costs'!$B$23),"n.a."))</f>
        <v>0</v>
      </c>
      <c r="M356" s="37">
        <f>IF(C356=0,0,IF(P356="Complete",IF(D356="ICE",SUM('Operating costs'!$B$25,'Operating costs'!$B$27,'Operating costs'!$B$29,'Operating costs'!$B$31,'Operating costs'!$B$33,'Operating costs'!$B$35,'Operating costs'!$B$37,'Replacement plan'!$X$94)+'Operating costs'!$B$40*'Operating costs'!$B$42+ROUNDUP(S356*(R356-'Operating costs'!$B$40)*IF('Replacement plan'!$AH$94="",'Operating costs'!$B$7,'Replacement plan'!$AH$94)/('Operating costs'!$B$8-'Operating costs'!$B$9*IF('Replacement plan'!$AH$94="",'Operating costs'!$B$7,'Replacement plan'!$AH$94)),0)*('Operating costs'!$B$9/'Operating costs'!$B$11+'Operating costs'!$B$10/60)*'Operating costs'!$B$19*'Operating costs'!$B$21,SUM(AP356,'Operating costs'!$B$28,'Operating costs'!$B$30,'Operating costs'!$B$32,'Operating costs'!$B$33,'Operating costs'!$B$36,'Operating costs'!$B$38,'Replacement plan'!$Y$94)+'Operating costs'!$B$41*'Operating costs'!$B$43+W356*'Operating costs'!$B$15+(T356*X356/'Replacement plan'!$L$94+W356*('Operating costs'!$B$12/'Operating costs'!$B$11+('Operating costs'!$B$13+'Operating costs'!$B$14)/60)+(R356-'Operating costs'!$B$41)*(IF(T356&lt;1,'Operating costs'!$B$16,0)+'Operating costs'!$B$17)/60)*'Operating costs'!$B$19*'Operating costs'!$B$20),"n.a."))</f>
        <v>0</v>
      </c>
      <c r="N356" s="16">
        <f>IF(AND(C356=1,D356="EV",E356&lt;120,E356+'Replacement plan'!$AA$94&lt;=120),'Replacement plan'!$Z$94,0)</f>
        <v>0</v>
      </c>
      <c r="O356" s="1">
        <f>E356+'Replacement plan'!$AA$94</f>
        <v>0</v>
      </c>
      <c r="P356" s="35" t="str">
        <f>IFERROR(IF(C356=0,"Excluded",IF(OR(COUNTIFS('Fleet register'!$A$7:$A$106,A356)&lt;&gt;1,COUNTIFS('Replacement plan'!$A$7:$A$106,A356)&lt;&gt;1),"Duplicate/missing ID",IF(NOT(AND(ISNUMBER(VLOOKUP($A356,'Fleet register'!$A$7:$S$106,5,FALSE)),ISNUMBER(VLOOKUP($A356,'Fleet register'!$A$7:$S$106,6,FALSE)),ISNUMBER(VLOOKUP($A356,'Fleet register'!$A$7:$S$106,10,FALSE)),ISNUMBER(VLOOKUP($A356,'Fleet register'!$A$7:$S$106,11,FALSE)),ISNUMBER(VLOOKUP($A356,'Fleet register'!$A$7:$S$106,12,FALSE)),ISNUMBER(VLOOKUP($A356,'Fleet register'!$A$7:$S$106,13,FALSE)),ISNUMBER(VLOOKUP($A356,'Fleet register'!$A$7:$S$106,14,FALSE)),VLOOKUP($A356,'Fleet register'!$A$7:$S$106,14,FALSE)&gt;0,ISNUMBER('Replacement plan'!$C$94),OR(E356=120,OR(ISNUMBER('Replacement plan'!$AI$94),AND('Replacement plan'!$AI$94="",ISNUMBER('Operating costs'!$B$56)))),ISNUMBER(E356))),"Missing vehicle input",IF(OR(E356&lt;0,E356&gt;VLOOKUP($A356,'Fleet register'!$A$7:$S$106,10,FALSE),E356&gt;120,E356&lt;&gt;INT(E356),VLOOKUP($A356,'Fleet register'!$A$7:$S$106,6,FALSE)&lt;=0,VLOOKUP($A356,'Fleet register'!$A$7:$S$106,6,FALSE)&gt;366,VLOOKUP($A356,'Fleet register'!$A$7:$S$106,5,FALSE)&lt;0,VLOOKUP($A356,'Fleet register'!$A$7:$S$106,11,FALSE)&lt;0,I356&lt;0,'Operating costs'!$B$8&lt;='Operating costs'!$B$7*'Operating costs'!$B$9,'Operating costs'!$B$11&lt;=0,'Operating costs'!$B$39&gt;R356,'Operating costs'!$B$40&gt;R356,'Operating costs'!$B$41&gt;R356,NOT(OR("New ICE"="Keep ICE","New ICE"="New ICE","New ICE"="EV"))),"Invalid vehicle input",IF(AND(D356="EV",E356&lt;120,OR(NOT(ISNUMBER(U356)),NOT(ISNUMBER(V356)),V356&lt;=0,T356&lt;0,T356&gt;1,'Replacement plan'!$L$94&lt;=0,'Operating costs'!$B$44&lt;0,'Operating costs'!$B$44&gt;=1,'Operating costs'!$B$47&lt;=0,'Operating costs'!$B$47&gt;1,V356*'Operating costs'!$B$47/(1-'Operating costs'!$B$44)&lt;=T356*'Operating costs'!$B$12*U356,AND('Replacement plan'!$Z$94&gt;0,OR('Replacement plan'!$AB$94&lt;&gt;"Yes",'Operating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charging'!$B$8&gt;=0))),ISNUMBER(VLOOKUP($A356,'Fleet register'!$A$7:$S$106,15,FALSE)),ISNUMBER(VLOOKUP($A356,'Fleet register'!$A$7:$S$106,16,FALSE)),ISNUMBER('Replacement plan'!$W$94),ISNUMBER('Replacement plan'!$X$94),OR(E356=120,AND(ISNUMBER(G356),G356&gt;=0)),ISNUMBER(H356),H356&gt;=0,OR(D356&lt;&gt;"EV",E356=120,AND(ISNUMBER('Operating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average",ISNUMBER(IFERROR(INDEX(Products!$P$7:$P$13,MATCH(AD356,Products!$A$7:$A$13,0)),"")))),ISNUMBER('Operating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plan'!$Y$94),ISNUMBER('Replacement plan'!$Z$94),'Replacement plan'!$Z$94&gt;=0,ISNUMBER('Replacement plan'!$AA$94),'Replacement plan'!$AA$94&gt;=0,'Replacement plan'!$AA$94=INT('Replacement plan'!$AA$94),ISNUMBER('Replacement plan'!$L$94))),'Operating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plan'!$AG$94="",'Operating costs'!$B$7,'Replacement plan'!$AG$94)),IF('Replacement plan'!$AG$94="",'Operating costs'!$B$7,'Replacement plan'!$AG$94)&gt;=0,ISNUMBER(IF('Replacement plan'!$AH$94="",'Operating costs'!$B$7,'Replacement plan'!$AH$94)),IF('Replacement plan'!$AH$94="",'Operating costs'!$B$7,'Replacement plan'!$AH$94)&gt;=0,'Operating costs'!$B$8&gt;MAX(IF('Replacement plan'!$AG$94="",'Operating costs'!$B$7,'Replacement plan'!$AG$94),IF('Replacement plan'!$AH$94="",'Operating costs'!$B$7,'Replacement plan'!$AH$94))*'Operating costs'!$B$9),IF(AND(VLOOKUP($A356,'Fleet register'!$A$7:$S$106,10,FALSE)&gt;=0,VLOOKUP($A356,'Fleet register'!$A$7:$S$106,10,FALSE)&lt;=120,VLOOKUP($A356,'Fleet register'!$A$7:$S$106,10,FALSE)=INT(VLOOKUP($A356,'Fleet register'!$A$7:$S$106,10,FALSE)),VLOOKUP($A356,'Fleet register'!$A$7:$S$106,15,FALSE)&gt;=0,VLOOKUP($A356,'Fleet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costs'!$B$67)&gt;=0,OR(D356&lt;&gt;"EV",E356=120,AND(MIN('Operating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56" s="1" t="str">
        <f>IF(C356=0,"Excluded",IF(P356&lt;&gt;"Complete",P356,IF(OR('Replacement plan'!$AD$94&lt;120-E356,AND(D356="EV",E356&lt;120,OR('Replacement plan'!$AC$94&lt;120-E356,'Replacement plan'!$I$94="No",AND(ISNUMBER(AF356),AE356&gt;AF356),AI356&gt;V356*(1-'Operating costs'!$B$46)^MAX(0,AB356-1)*(1-'Operating costs'!$B$45),AC356&gt;'Operating costs'!$B$18,AND(T356&lt;1,OR(AG356&lt;=0,AND(ISNUMBER(AH356),AG356&gt;AH356))),'Replacement plan'!$L$94&gt;INDEX(Products!$H$7:$H$13,MATCH('Replacement plan'!$B$94,Products!$A$7:$A$13,0))))),"Fails entered limits",IF(AND(D356="EV",E356&lt;120,OR(NOT(ISNUMBER(VLOOKUP($A356,'Fleet register'!$A$7:$S$106,7,FALSE))),NOT(ISNUMBER(VLOOKUP($A356,'Fleet register'!$A$7:$S$106,8,FALSE))),NOT(ISNUMBER(AF356)),'Replacement plan'!$I$94&lt;&gt;"Yes",NOT(ISNUMBER(AH356)),'Operating costs'!$B$59&lt;&gt;"Yes",'Operating costs'!$B$58&lt;&gt;"Yes")),"Unverified","Within entered limits"))))</f>
        <v>Excluded</v>
      </c>
      <c r="R356" s="1">
        <f>IF(C356=0,0,VLOOKUP($A356,'Fleet register'!$A$7:$S$106,6,FALSE))</f>
        <v>0</v>
      </c>
      <c r="S356" s="1">
        <f>IF(C356=0,0,VLOOKUP($A356,'Fleet register'!$A$7:$S$106,5,FALSE))</f>
        <v>0</v>
      </c>
      <c r="T356" s="1">
        <f>IF(D356="EV",'Energy and charging'!$B$12,0)</f>
        <v>0</v>
      </c>
      <c r="U356" s="1">
        <f>IFERROR(IF(C356=0,0,IF(D356="EV",IF('Replacement plan'!$F$94="",INDEX(Products!$E$7:$E$13,MATCH('Replacement plan'!$B$94,Products!$A$7:$A$13,0)),'Replacement plan'!$F$94)/IF('Replacement plan'!$G$94="Battery",1-'Operating costs'!$B$44,1),0)),"n.a.")</f>
        <v>0</v>
      </c>
      <c r="V356" s="1">
        <f>IFERROR(IF(C356=0,0,IF(D356="EV",IF('Replacement plan'!$E$94="",INDEX(Products!$D$7:$D$13,MATCH('Replacement plan'!$B$94,Products!$A$7:$A$13,0)),'Replacement plan'!$E$94),0)),"n.a.")</f>
        <v>0</v>
      </c>
      <c r="W356" s="1">
        <f>IF(C356=0,0,IF(AND(P356="Complete",D356="EV",E356&lt;120),IF(T356=0,0,ROUNDUP(T356*(R356-'Operating costs'!$B$41)*(S356*U356+'Operating costs'!$B$48/(1-'Operating costs'!$B$44))/(V356*'Operating costs'!$B$47/(1-'Operating costs'!$B$44)-T356*'Operating costs'!$B$12*U356),0)),0))</f>
        <v>0</v>
      </c>
      <c r="X356" s="1">
        <f>IF(C356=0,0,IF(AND(P356="Complete",D356="EV",E356&lt;120),(R356-'Operating costs'!$B$41)*(S356*U356+'Operating costs'!$B$48/(1-'Operating costs'!$B$44))+W356*'Operating costs'!$B$12*U356,0))</f>
        <v>0</v>
      </c>
      <c r="Y356" s="1">
        <f>IF(AND(C356=1,D356="EV",E356&lt;120),AI356/(1-'Operating costs'!$B$44)*(1-T356),0)</f>
        <v>0</v>
      </c>
      <c r="Z356" s="1">
        <f t="shared" si="10"/>
        <v>0</v>
      </c>
      <c r="AA356" s="1">
        <f>IF(C356=0,0,IF(P356="Complete",((S356*(R356-'Operating costs'!$B$40))+ROUNDUP(S356*(R356-'Operating costs'!$B$40)*IF('Replacement plan'!$AH$94="",'Operating costs'!$B$7,'Replacement plan'!$AH$94)/('Operating costs'!$B$8-'Operating costs'!$B$9*IF('Replacement plan'!$AH$94="",'Operating costs'!$B$7,'Replacement plan'!$AH$94)),0)*'Operating costs'!$B$9)*IF('Replacement plan'!$AH$94="",'Operating costs'!$B$7,'Replacement plan'!$AH$94),"n.a."))</f>
        <v>0</v>
      </c>
      <c r="AB356" s="1">
        <f t="shared" si="11"/>
        <v>0</v>
      </c>
      <c r="AC356" s="1">
        <f>IF(AND(C356=1,D356="EV",E356&lt;120,T356&gt;0),'Operating costs'!$B$12/'Operating costs'!$B$11*60+'Operating costs'!$B$13+'Operating costs'!$B$14+V356*'Operating costs'!$B$47/(1-'Operating costs'!$B$44)/'Replacement plan'!$L$94*60,0)</f>
        <v>0</v>
      </c>
      <c r="AD356" s="1" t="str">
        <f>'Replacement plan'!$B$94</f>
        <v>ChengLong L2EV</v>
      </c>
      <c r="AE356" s="1">
        <f>IF(C356=0,0,VLOOKUP($A356,'Fleet register'!$A$7:$S$106,8,FALSE))</f>
        <v>0</v>
      </c>
      <c r="AF356" s="1" t="str">
        <f>IF('Replacement plan'!$H$94="","n.a.",'Replacement plan'!$H$94)</f>
        <v>n.a.</v>
      </c>
      <c r="AG356" s="1">
        <f>'Replacement plan'!$J$94</f>
        <v>22</v>
      </c>
      <c r="AH356" s="1">
        <f>IFERROR(IF(D356="EV",IF('Replacement plan'!$K$94="AC",IF(ISNUMBER(INDEX(Products!$G$7:$G$13,MATCH('Replacement plan'!$B$94,Products!$A$7:$A$13,0))),INDEX(Products!$G$7:$G$13,MATCH('Replacement plan'!$B$94,Products!$A$7:$A$13,0)),"n.a."),IF(ISNUMBER(INDEX(Products!$H$7:$H$13,MATCH('Replacement plan'!$B$94,Products!$A$7:$A$13,0))),INDEX(Products!$H$7:$H$13,MATCH('Replacement plan'!$B$94,Products!$A$7:$A$13,0)),"n.a.")),0),"n.a.")</f>
        <v>0</v>
      </c>
      <c r="AI356" s="1">
        <f>IF(AND(C356=1,D356="EV",E356&lt;120),(VLOOKUP($A356,'Fleet register'!$A$7:$S$106,7,FALSE)+IF(T356&gt;0,'Operating costs'!$B$12,0))*U356*(1-'Operating costs'!$B$44)+'Operating costs'!$B$49,0)</f>
        <v>0</v>
      </c>
      <c r="AJ356" s="1">
        <f>IF(D356="EV",'Energy and charging'!$B$50,0)</f>
        <v>0</v>
      </c>
      <c r="AK356" s="17">
        <f>EDATE('Operating costs'!$B$63,E356)</f>
        <v>46298</v>
      </c>
      <c r="AL356" s="1">
        <f>IFERROR(IF(D356="EV",INDEX(Products!$B$7:$B$13,MATCH('Replacement plan'!$B$94,Products!$A$7:$A$13,0)),0),"n.a.")</f>
        <v>0</v>
      </c>
      <c r="AM356" s="1" t="str">
        <f>'Replacement plan'!$K$94</f>
        <v>DC</v>
      </c>
      <c r="AN356" s="1" t="str">
        <f>'Replacement plan'!$AE$94</f>
        <v>Assumed</v>
      </c>
      <c r="AO356" s="47">
        <f>IF(AND(C356=1,D356="EV",E356&lt;120),(R356-'Operating costs'!$B$41)*S356+W356*'Operating costs'!$B$12,0)</f>
        <v>0</v>
      </c>
      <c r="AP356" s="41">
        <f>IF(AND(C356=1,D356="EV",E356&lt;120),IF('Operating costs'!$B$68="Hong Seh 200k average",AO356*IFERROR(INDEX(Products!$P$7:$P$13,MATCH(AD356,Products!$A$7:$A$13,0)),"n.a."),'Operating costs'!$B$26),0)</f>
        <v>0</v>
      </c>
      <c r="AQ356" s="40" t="str">
        <f>IF(D356="EV",'Operating costs'!$B$68,"Not applicable")</f>
        <v>Not applicable</v>
      </c>
    </row>
    <row r="357" spans="1:43" ht="24" customHeight="1">
      <c r="A357" s="1" t="str">
        <f>'Replacement plan'!A94</f>
        <v>T088</v>
      </c>
      <c r="B357" s="1">
        <v>2</v>
      </c>
      <c r="C357" s="1">
        <f>IF(COUNTIFS('Fleet register'!$A$7:$A$106,$A357)=1,VLOOKUP($A357,'Fleet register'!$A$7:$S$106,2,FALSE),0)</f>
        <v>0</v>
      </c>
      <c r="D357" s="1" t="str">
        <f>IF('Replacement plan'!$O$94="EV","EV","ICE")</f>
        <v>ICE</v>
      </c>
      <c r="E357" s="1">
        <f>IF(C357=0,0,IF('Replacement plan'!$P$94="",IF('Replacement plan'!$O$94="Keep ICE",IF('Replacement plan'!$M$94="",VLOOKUP($A357,'Fleet register'!$A$7:$S$106,10,FALSE),'Replacement plan'!$M$94),0),'Replacement plan'!$P$94))</f>
        <v>0</v>
      </c>
      <c r="F357" s="16">
        <f>IF(C357=0,0,VLOOKUP($A357,'Fleet register'!$A$7:$S$106,11,FALSE))</f>
        <v>0</v>
      </c>
      <c r="G357" s="16">
        <f>IFERROR(IF(C357=0,0,IF(E357=120,0,IF(D357="ICE",'Replacement plan'!$C$94,IF('Replacement plan'!$D$94="",INDEX(Products!$I$7:$I$13,MATCH('Replacement plan'!$B$94,Products!$A$7:$A$13,0))+'Operating costs'!$B$57,'Replacement plan'!$D$94))*(1+'Operating costs'!$B$50)^(E357/12))),"n.a.")</f>
        <v>0</v>
      </c>
      <c r="H357" s="16">
        <f>IFERROR(IF(C357=0,0,IF('Replacement plan'!$U$94&lt;&gt;"",'Replacement plan'!$U$94,IF(E357=0,F357,VLOOKUP($A357,'Fleet register'!$A$7:$S$106,12,FALSE)+VLOOKUP($A357,'Fleet register'!$A$7:$S$106,13,FALSE)*MAX(0,VLOOKUP($A357,'Fleet register'!$A$7:$S$106,10,FALSE)-E357)/VLOOKUP($A357,'Fleet register'!$A$7:$S$106,14,FALSE)))),"n.a.")</f>
        <v>0</v>
      </c>
      <c r="I357" s="16">
        <f>IF(C357=0,0,IF(E357=120,0,'Replacement plan'!$Q$94))</f>
        <v>0</v>
      </c>
      <c r="J357" s="16">
        <f>IF(C357=0,0,IF(P357="Complete",((S357*(R357-'Operating costs'!$B$39))+ROUNDUP(S357*(R357-'Operating costs'!$B$39)*IF('Replacement plan'!$AG$94="",'Operating costs'!$B$7,'Replacement plan'!$AG$94)/('Operating costs'!$B$8-'Operating costs'!$B$9*IF('Replacement plan'!$AG$94="",'Operating costs'!$B$7,'Replacement plan'!$AG$94)),0)*'Operating costs'!$B$9)*IF('Replacement plan'!$AG$94="",'Operating costs'!$B$7,'Replacement plan'!$AG$94)*('Energy and charging'!$B$9*'Energy and charging'!$B$7+(1-'Energy and charging'!$B$9)*'Energy and charging'!$B$8)*'Operating costs'!$B$23,"n.a."))</f>
        <v>0</v>
      </c>
      <c r="K357" s="16">
        <f>IF(C357=0,0,IF(P357="Complete",SUM('Operating costs'!$B$24,'Operating costs'!$B$27,'Operating costs'!$B$29,'Operating costs'!$B$31,'Operating costs'!$B$33,'Operating costs'!$B$34,'Operating costs'!$B$37,'Replacement plan'!$W$94)+'Operating costs'!$B$39*'Operating costs'!$B$42+ROUNDUP(S357*(R357-'Operating costs'!$B$39)*IF('Replacement plan'!$AG$94="",'Operating costs'!$B$7,'Replacement plan'!$AG$94)/('Operating costs'!$B$8-'Operating costs'!$B$9*IF('Replacement plan'!$AG$94="",'Operating costs'!$B$7,'Replacement plan'!$AG$94)),0)*('Operating costs'!$B$9/'Operating costs'!$B$11+'Operating costs'!$B$10/60)*'Operating costs'!$B$19*'Operating costs'!$B$21,"n.a."))</f>
        <v>0</v>
      </c>
      <c r="L357" s="16">
        <f>IF(C357=0,0,IF(P357="Complete",IF(D357="EV",X357*((1-T357)*'Energy and charging'!$B$10+T357*'Energy and charging'!$B$11)*'Operating costs'!$B$22,AA357*('Energy and charging'!$B$9*'Energy and charging'!$B$7+(1-'Energy and charging'!$B$9)*'Energy and charging'!$B$8)*'Operating costs'!$B$23),"n.a."))</f>
        <v>0</v>
      </c>
      <c r="M357" s="37">
        <f>IF(C357=0,0,IF(P357="Complete",IF(D357="ICE",SUM('Operating costs'!$B$25,'Operating costs'!$B$27,'Operating costs'!$B$29,'Operating costs'!$B$31,'Operating costs'!$B$33,'Operating costs'!$B$35,'Operating costs'!$B$37,'Replacement plan'!$X$94)+'Operating costs'!$B$40*'Operating costs'!$B$42+ROUNDUP(S357*(R357-'Operating costs'!$B$40)*IF('Replacement plan'!$AH$94="",'Operating costs'!$B$7,'Replacement plan'!$AH$94)/('Operating costs'!$B$8-'Operating costs'!$B$9*IF('Replacement plan'!$AH$94="",'Operating costs'!$B$7,'Replacement plan'!$AH$94)),0)*('Operating costs'!$B$9/'Operating costs'!$B$11+'Operating costs'!$B$10/60)*'Operating costs'!$B$19*'Operating costs'!$B$21,SUM(AP357,'Operating costs'!$B$28,'Operating costs'!$B$30,'Operating costs'!$B$32,'Operating costs'!$B$33,'Operating costs'!$B$36,'Operating costs'!$B$38,'Replacement plan'!$Y$94)+'Operating costs'!$B$41*'Operating costs'!$B$43+W357*'Operating costs'!$B$15+(T357*X357/'Replacement plan'!$L$94+W357*('Operating costs'!$B$12/'Operating costs'!$B$11+('Operating costs'!$B$13+'Operating costs'!$B$14)/60)+(R357-'Operating costs'!$B$41)*(IF(T357&lt;1,'Operating costs'!$B$16,0)+'Operating costs'!$B$17)/60)*'Operating costs'!$B$19*'Operating costs'!$B$20),"n.a."))</f>
        <v>0</v>
      </c>
      <c r="N357" s="16">
        <f>IF(AND(C357=1,D357="EV",E357&lt;120,E357+'Replacement plan'!$AA$94&lt;=120),'Replacement plan'!$Z$94,0)</f>
        <v>0</v>
      </c>
      <c r="O357" s="1">
        <f>E357+'Replacement plan'!$AA$94</f>
        <v>0</v>
      </c>
      <c r="P357" s="35" t="str">
        <f>IFERROR(IF(C357=0,"Excluded",IF(OR(COUNTIFS('Fleet register'!$A$7:$A$106,A357)&lt;&gt;1,COUNTIFS('Replacement plan'!$A$7:$A$106,A357)&lt;&gt;1),"Duplicate/missing ID",IF(NOT(AND(ISNUMBER(VLOOKUP($A357,'Fleet register'!$A$7:$S$106,5,FALSE)),ISNUMBER(VLOOKUP($A357,'Fleet register'!$A$7:$S$106,6,FALSE)),ISNUMBER(VLOOKUP($A357,'Fleet register'!$A$7:$S$106,10,FALSE)),ISNUMBER(VLOOKUP($A357,'Fleet register'!$A$7:$S$106,11,FALSE)),ISNUMBER(VLOOKUP($A357,'Fleet register'!$A$7:$S$106,12,FALSE)),ISNUMBER(VLOOKUP($A357,'Fleet register'!$A$7:$S$106,13,FALSE)),ISNUMBER(VLOOKUP($A357,'Fleet register'!$A$7:$S$106,14,FALSE)),VLOOKUP($A357,'Fleet register'!$A$7:$S$106,14,FALSE)&gt;0,ISNUMBER('Replacement plan'!$C$94),OR(E357=120,ISNUMBER('Replacement plan'!$Q$94)),ISNUMBER(E357))),"Missing vehicle input",IF(OR(E357&lt;0,E357&gt;VLOOKUP($A357,'Fleet register'!$A$7:$S$106,10,FALSE),E357&gt;120,E357&lt;&gt;INT(E357),VLOOKUP($A357,'Fleet register'!$A$7:$S$106,6,FALSE)&lt;=0,VLOOKUP($A357,'Fleet register'!$A$7:$S$106,6,FALSE)&gt;366,VLOOKUP($A357,'Fleet register'!$A$7:$S$106,5,FALSE)&lt;0,VLOOKUP($A357,'Fleet register'!$A$7:$S$106,11,FALSE)&lt;0,I357&lt;0,'Operating costs'!$B$8&lt;='Operating costs'!$B$7*'Operating costs'!$B$9,'Operating costs'!$B$11&lt;=0,'Operating costs'!$B$39&gt;R357,'Operating costs'!$B$40&gt;R357,'Operating costs'!$B$41&gt;R357,NOT(OR('Replacement plan'!$O$94="Keep ICE",'Replacement plan'!$O$94="New ICE",'Replacement plan'!$O$94="EV"))),"Invalid vehicle input",IF(AND(D357="EV",E357&lt;120,OR(NOT(ISNUMBER(U357)),NOT(ISNUMBER(V357)),V357&lt;=0,T357&lt;0,T357&gt;1,'Replacement plan'!$L$94&lt;=0,'Operating costs'!$B$44&lt;0,'Operating costs'!$B$44&gt;=1,'Operating costs'!$B$47&lt;=0,'Operating costs'!$B$47&gt;1,V357*'Operating costs'!$B$47/(1-'Operating costs'!$B$44)&lt;=T357*'Operating costs'!$B$12*U357,AND('Replacement plan'!$Z$94&gt;0,OR('Replacement plan'!$AB$94&lt;&gt;"Yes",'Operating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charging'!$B$8&gt;=0))),ISNUMBER(VLOOKUP($A357,'Fleet register'!$A$7:$S$106,15,FALSE)),ISNUMBER(VLOOKUP($A357,'Fleet register'!$A$7:$S$106,16,FALSE)),ISNUMBER('Replacement plan'!$W$94),ISNUMBER('Replacement plan'!$X$94),OR(E357=120,AND(ISNUMBER(G357),G357&gt;=0)),ISNUMBER(H357),H357&gt;=0,OR(D357&lt;&gt;"EV",E357=120,AND(ISNUMBER('Operating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average",ISNUMBER(IFERROR(INDEX(Products!$P$7:$P$13,MATCH(AD357,Products!$A$7:$A$13,0)),"")))),ISNUMBER('Operating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plan'!$Y$94),ISNUMBER('Replacement plan'!$Z$94),'Replacement plan'!$Z$94&gt;=0,ISNUMBER('Replacement plan'!$AA$94),'Replacement plan'!$AA$94&gt;=0,'Replacement plan'!$AA$94=INT('Replacement plan'!$AA$94),ISNUMBER('Replacement plan'!$L$94))),'Operating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plan'!$AG$94="",'Operating costs'!$B$7,'Replacement plan'!$AG$94)),IF('Replacement plan'!$AG$94="",'Operating costs'!$B$7,'Replacement plan'!$AG$94)&gt;=0,ISNUMBER(IF('Replacement plan'!$AH$94="",'Operating costs'!$B$7,'Replacement plan'!$AH$94)),IF('Replacement plan'!$AH$94="",'Operating costs'!$B$7,'Replacement plan'!$AH$94)&gt;=0,'Operating costs'!$B$8&gt;MAX(IF('Replacement plan'!$AG$94="",'Operating costs'!$B$7,'Replacement plan'!$AG$94),IF('Replacement plan'!$AH$94="",'Operating costs'!$B$7,'Replacement plan'!$AH$94))*'Operating costs'!$B$9),IF(AND(VLOOKUP($A357,'Fleet register'!$A$7:$S$106,10,FALSE)&gt;=0,VLOOKUP($A357,'Fleet register'!$A$7:$S$106,10,FALSE)&lt;=120,VLOOKUP($A357,'Fleet register'!$A$7:$S$106,10,FALSE)=INT(VLOOKUP($A357,'Fleet register'!$A$7:$S$106,10,FALSE)),VLOOKUP($A357,'Fleet register'!$A$7:$S$106,15,FALSE)&gt;=0,VLOOKUP($A357,'Fleet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costs'!$B$67)&gt;=0,OR(D357&lt;&gt;"EV",E357=120,AND(MIN('Operating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57" s="1" t="str">
        <f>IF(C357=0,"Excluded",IF(P357&lt;&gt;"Complete",P357,IF(OR('Replacement plan'!$AD$94&lt;120-E357,AND(D357="EV",E357&lt;120,OR('Replacement plan'!$AC$94&lt;120-E357,'Replacement plan'!$I$94="No",AND(ISNUMBER(AF357),AE357&gt;AF357),AI357&gt;V357*(1-'Operating costs'!$B$46)^MAX(0,AB357-1)*(1-'Operating costs'!$B$45),AC357&gt;'Operating costs'!$B$18,AND(T357&lt;1,OR(AG357&lt;=0,AND(ISNUMBER(AH357),AG357&gt;AH357))),'Replacement plan'!$L$94&gt;INDEX(Products!$H$7:$H$13,MATCH('Replacement plan'!$B$94,Products!$A$7:$A$13,0))))),"Fails entered limits",IF(AND(D357="EV",E357&lt;120,OR(NOT(ISNUMBER(VLOOKUP($A357,'Fleet register'!$A$7:$S$106,7,FALSE))),NOT(ISNUMBER(VLOOKUP($A357,'Fleet register'!$A$7:$S$106,8,FALSE))),NOT(ISNUMBER(AF357)),'Replacement plan'!$I$94&lt;&gt;"Yes",NOT(ISNUMBER(AH357)),'Operating costs'!$B$59&lt;&gt;"Yes",'Operating costs'!$B$58&lt;&gt;"Yes")),"Unverified","Within entered limits"))))</f>
        <v>Excluded</v>
      </c>
      <c r="R357" s="1">
        <f>IF(C357=0,0,VLOOKUP($A357,'Fleet register'!$A$7:$S$106,6,FALSE))</f>
        <v>0</v>
      </c>
      <c r="S357" s="1">
        <f>IF(C357=0,0,VLOOKUP($A357,'Fleet register'!$A$7:$S$106,5,FALSE))</f>
        <v>0</v>
      </c>
      <c r="T357" s="1">
        <f>IF(D357="EV",'Energy and charging'!$B$12,0)</f>
        <v>0</v>
      </c>
      <c r="U357" s="1">
        <f>IFERROR(IF(C357=0,0,IF(D357="EV",IF('Replacement plan'!$F$94="",INDEX(Products!$E$7:$E$13,MATCH('Replacement plan'!$B$94,Products!$A$7:$A$13,0)),'Replacement plan'!$F$94)/IF('Replacement plan'!$G$94="Battery",1-'Operating costs'!$B$44,1),0)),"n.a.")</f>
        <v>0</v>
      </c>
      <c r="V357" s="1">
        <f>IFERROR(IF(C357=0,0,IF(D357="EV",IF('Replacement plan'!$E$94="",INDEX(Products!$D$7:$D$13,MATCH('Replacement plan'!$B$94,Products!$A$7:$A$13,0)),'Replacement plan'!$E$94),0)),"n.a.")</f>
        <v>0</v>
      </c>
      <c r="W357" s="1">
        <f>IF(C357=0,0,IF(AND(P357="Complete",D357="EV",E357&lt;120),IF(T357=0,0,ROUNDUP(T357*(R357-'Operating costs'!$B$41)*(S357*U357+'Operating costs'!$B$48/(1-'Operating costs'!$B$44))/(V357*'Operating costs'!$B$47/(1-'Operating costs'!$B$44)-T357*'Operating costs'!$B$12*U357),0)),0))</f>
        <v>0</v>
      </c>
      <c r="X357" s="1">
        <f>IF(C357=0,0,IF(AND(P357="Complete",D357="EV",E357&lt;120),(R357-'Operating costs'!$B$41)*(S357*U357+'Operating costs'!$B$48/(1-'Operating costs'!$B$44))+W357*'Operating costs'!$B$12*U357,0))</f>
        <v>0</v>
      </c>
      <c r="Y357" s="1">
        <f>IF(AND(C357=1,D357="EV",E357&lt;120),AI357/(1-'Operating costs'!$B$44)*(1-T357),0)</f>
        <v>0</v>
      </c>
      <c r="Z357" s="1">
        <f t="shared" si="10"/>
        <v>0</v>
      </c>
      <c r="AA357" s="1">
        <f>IF(C357=0,0,IF(P357="Complete",((S357*(R357-'Operating costs'!$B$40))+ROUNDUP(S357*(R357-'Operating costs'!$B$40)*IF('Replacement plan'!$AH$94="",'Operating costs'!$B$7,'Replacement plan'!$AH$94)/('Operating costs'!$B$8-'Operating costs'!$B$9*IF('Replacement plan'!$AH$94="",'Operating costs'!$B$7,'Replacement plan'!$AH$94)),0)*'Operating costs'!$B$9)*IF('Replacement plan'!$AH$94="",'Operating costs'!$B$7,'Replacement plan'!$AH$94),"n.a."))</f>
        <v>0</v>
      </c>
      <c r="AB357" s="1">
        <f t="shared" si="11"/>
        <v>0</v>
      </c>
      <c r="AC357" s="1">
        <f>IF(AND(C357=1,D357="EV",E357&lt;120,T357&gt;0),'Operating costs'!$B$12/'Operating costs'!$B$11*60+'Operating costs'!$B$13+'Operating costs'!$B$14+V357*'Operating costs'!$B$47/(1-'Operating costs'!$B$44)/'Replacement plan'!$L$94*60,0)</f>
        <v>0</v>
      </c>
      <c r="AD357" s="1" t="str">
        <f>'Replacement plan'!$B$94</f>
        <v>ChengLong L2EV</v>
      </c>
      <c r="AE357" s="1">
        <f>IF(C357=0,0,VLOOKUP($A357,'Fleet register'!$A$7:$S$106,8,FALSE))</f>
        <v>0</v>
      </c>
      <c r="AF357" s="1" t="str">
        <f>IF('Replacement plan'!$H$94="","n.a.",'Replacement plan'!$H$94)</f>
        <v>n.a.</v>
      </c>
      <c r="AG357" s="1">
        <f>'Replacement plan'!$J$94</f>
        <v>22</v>
      </c>
      <c r="AH357" s="1">
        <f>IFERROR(IF(D357="EV",IF('Replacement plan'!$K$94="AC",IF(ISNUMBER(INDEX(Products!$G$7:$G$13,MATCH('Replacement plan'!$B$94,Products!$A$7:$A$13,0))),INDEX(Products!$G$7:$G$13,MATCH('Replacement plan'!$B$94,Products!$A$7:$A$13,0)),"n.a."),IF(ISNUMBER(INDEX(Products!$H$7:$H$13,MATCH('Replacement plan'!$B$94,Products!$A$7:$A$13,0))),INDEX(Products!$H$7:$H$13,MATCH('Replacement plan'!$B$94,Products!$A$7:$A$13,0)),"n.a.")),0),"n.a.")</f>
        <v>0</v>
      </c>
      <c r="AI357" s="1">
        <f>IF(AND(C357=1,D357="EV",E357&lt;120),(VLOOKUP($A357,'Fleet register'!$A$7:$S$106,7,FALSE)+IF(T357&gt;0,'Operating costs'!$B$12,0))*U357*(1-'Operating costs'!$B$44)+'Operating costs'!$B$49,0)</f>
        <v>0</v>
      </c>
      <c r="AJ357" s="1">
        <f>IF(D357="EV",'Energy and charging'!$B$50,0)</f>
        <v>0</v>
      </c>
      <c r="AK357" s="17">
        <f>EDATE('Operating costs'!$B$63,E357)</f>
        <v>46298</v>
      </c>
      <c r="AL357" s="1">
        <f>IFERROR(IF(D357="EV",INDEX(Products!$B$7:$B$13,MATCH('Replacement plan'!$B$94,Products!$A$7:$A$13,0)),0),"n.a.")</f>
        <v>0</v>
      </c>
      <c r="AM357" s="1" t="str">
        <f>'Replacement plan'!$K$94</f>
        <v>DC</v>
      </c>
      <c r="AN357" s="1" t="str">
        <f>'Replacement plan'!$AE$94</f>
        <v>Assumed</v>
      </c>
      <c r="AO357" s="47">
        <f>IF(AND(C357=1,D357="EV",E357&lt;120),(R357-'Operating costs'!$B$41)*S357+W357*'Operating costs'!$B$12,0)</f>
        <v>0</v>
      </c>
      <c r="AP357" s="41">
        <f>IF(AND(C357=1,D357="EV",E357&lt;120),IF('Operating costs'!$B$68="Hong Seh 200k average",AO357*IFERROR(INDEX(Products!$P$7:$P$13,MATCH(AD357,Products!$A$7:$A$13,0)),"n.a."),'Operating costs'!$B$26),0)</f>
        <v>0</v>
      </c>
      <c r="AQ357" s="40" t="str">
        <f>IF(D357="EV",'Operating costs'!$B$68,"Not applicable")</f>
        <v>Not applicable</v>
      </c>
    </row>
    <row r="358" spans="1:43" ht="24" customHeight="1">
      <c r="A358" s="1" t="str">
        <f>'Replacement plan'!A94</f>
        <v>T088</v>
      </c>
      <c r="B358" s="1">
        <v>3</v>
      </c>
      <c r="C358" s="1">
        <f>IF(COUNTIFS('Fleet register'!$A$7:$A$106,$A358)=1,VLOOKUP($A358,'Fleet register'!$A$7:$S$106,2,FALSE),0)</f>
        <v>0</v>
      </c>
      <c r="D358" s="1" t="str">
        <f>IF('Replacement plan'!$R$94="EV","EV","ICE")</f>
        <v>ICE</v>
      </c>
      <c r="E358" s="1">
        <f>IF(C358=0,0,IF('Replacement plan'!$S$94="",IF('Replacement plan'!$R$94="Keep ICE",IF('Replacement plan'!$M$94="",VLOOKUP($A358,'Fleet register'!$A$7:$S$106,10,FALSE),'Replacement plan'!$M$94),0),'Replacement plan'!$S$94))</f>
        <v>0</v>
      </c>
      <c r="F358" s="16">
        <f>IF(C358=0,0,VLOOKUP($A358,'Fleet register'!$A$7:$S$106,11,FALSE))</f>
        <v>0</v>
      </c>
      <c r="G358" s="16">
        <f>IFERROR(IF(C358=0,0,IF(E358=120,0,IF(D358="ICE",'Replacement plan'!$C$94,IF('Replacement plan'!$D$94="",INDEX(Products!$I$7:$I$13,MATCH('Replacement plan'!$B$94,Products!$A$7:$A$13,0))+'Operating costs'!$B$57,'Replacement plan'!$D$94))*(1+'Operating costs'!$B$50)^(E358/12))),"n.a.")</f>
        <v>0</v>
      </c>
      <c r="H358" s="16">
        <f>IFERROR(IF(C358=0,0,IF('Replacement plan'!$V$94&lt;&gt;"",'Replacement plan'!$V$94,IF(E358=0,F358,VLOOKUP($A358,'Fleet register'!$A$7:$S$106,12,FALSE)+VLOOKUP($A358,'Fleet register'!$A$7:$S$106,13,FALSE)*MAX(0,VLOOKUP($A358,'Fleet register'!$A$7:$S$106,10,FALSE)-E358)/VLOOKUP($A358,'Fleet register'!$A$7:$S$106,14,FALSE)))),"n.a.")</f>
        <v>0</v>
      </c>
      <c r="I358" s="16">
        <f>IF(C358=0,0,IF(E358=120,0,'Replacement plan'!$T$94))</f>
        <v>0</v>
      </c>
      <c r="J358" s="16">
        <f>IF(C358=0,0,IF(P358="Complete",((S358*(R358-'Operating costs'!$B$39))+ROUNDUP(S358*(R358-'Operating costs'!$B$39)*IF('Replacement plan'!$AG$94="",'Operating costs'!$B$7,'Replacement plan'!$AG$94)/('Operating costs'!$B$8-'Operating costs'!$B$9*IF('Replacement plan'!$AG$94="",'Operating costs'!$B$7,'Replacement plan'!$AG$94)),0)*'Operating costs'!$B$9)*IF('Replacement plan'!$AG$94="",'Operating costs'!$B$7,'Replacement plan'!$AG$94)*('Energy and charging'!$C$9*'Energy and charging'!$C$7+(1-'Energy and charging'!$C$9)*'Energy and charging'!$C$8)*'Operating costs'!$B$23,"n.a."))</f>
        <v>0</v>
      </c>
      <c r="K358" s="16">
        <f>IF(C358=0,0,IF(P358="Complete",SUM('Operating costs'!$B$24,'Operating costs'!$B$27,'Operating costs'!$B$29,'Operating costs'!$B$31,'Operating costs'!$B$33,'Operating costs'!$B$34,'Operating costs'!$B$37,'Replacement plan'!$W$94)+'Operating costs'!$B$39*'Operating costs'!$B$42+ROUNDUP(S358*(R358-'Operating costs'!$B$39)*IF('Replacement plan'!$AG$94="",'Operating costs'!$B$7,'Replacement plan'!$AG$94)/('Operating costs'!$B$8-'Operating costs'!$B$9*IF('Replacement plan'!$AG$94="",'Operating costs'!$B$7,'Replacement plan'!$AG$94)),0)*('Operating costs'!$B$9/'Operating costs'!$B$11+'Operating costs'!$B$10/60)*'Operating costs'!$B$19*'Operating costs'!$B$21,"n.a."))</f>
        <v>0</v>
      </c>
      <c r="L358" s="16">
        <f>IF(C358=0,0,IF(P358="Complete",IF(D358="EV",X358*((1-T358)*'Energy and charging'!$C$10+T358*'Energy and charging'!$C$11)*'Operating costs'!$B$22,AA358*('Energy and charging'!$C$9*'Energy and charging'!$C$7+(1-'Energy and charging'!$C$9)*'Energy and charging'!$C$8)*'Operating costs'!$B$23),"n.a."))</f>
        <v>0</v>
      </c>
      <c r="M358" s="37">
        <f>IF(C358=0,0,IF(P358="Complete",IF(D358="ICE",SUM('Operating costs'!$B$25,'Operating costs'!$B$27,'Operating costs'!$B$29,'Operating costs'!$B$31,'Operating costs'!$B$33,'Operating costs'!$B$35,'Operating costs'!$B$37,'Replacement plan'!$X$94)+'Operating costs'!$B$40*'Operating costs'!$B$42+ROUNDUP(S358*(R358-'Operating costs'!$B$40)*IF('Replacement plan'!$AH$94="",'Operating costs'!$B$7,'Replacement plan'!$AH$94)/('Operating costs'!$B$8-'Operating costs'!$B$9*IF('Replacement plan'!$AH$94="",'Operating costs'!$B$7,'Replacement plan'!$AH$94)),0)*('Operating costs'!$B$9/'Operating costs'!$B$11+'Operating costs'!$B$10/60)*'Operating costs'!$B$19*'Operating costs'!$B$21,SUM(AP358,'Operating costs'!$B$28,'Operating costs'!$B$30,'Operating costs'!$B$32,'Operating costs'!$B$33,'Operating costs'!$B$36,'Operating costs'!$B$38,'Replacement plan'!$Y$94)+'Operating costs'!$B$41*'Operating costs'!$B$43+W358*'Operating costs'!$B$15+(T358*X358/'Replacement plan'!$L$94+W358*('Operating costs'!$B$12/'Operating costs'!$B$11+('Operating costs'!$B$13+'Operating costs'!$B$14)/60)+(R358-'Operating costs'!$B$41)*(IF(T358&lt;1,'Operating costs'!$B$16,0)+'Operating costs'!$B$17)/60)*'Operating costs'!$B$19*'Operating costs'!$B$20),"n.a."))</f>
        <v>0</v>
      </c>
      <c r="N358" s="16">
        <f>IF(AND(C358=1,D358="EV",E358&lt;120,E358+'Replacement plan'!$AA$94&lt;=120),'Replacement plan'!$Z$94,0)</f>
        <v>0</v>
      </c>
      <c r="O358" s="1">
        <f>E358+'Replacement plan'!$AA$94</f>
        <v>0</v>
      </c>
      <c r="P358" s="35" t="str">
        <f>IFERROR(IF(C358=0,"Excluded",IF(OR(COUNTIFS('Fleet register'!$A$7:$A$106,A358)&lt;&gt;1,COUNTIFS('Replacement plan'!$A$7:$A$106,A358)&lt;&gt;1),"Duplicate/missing ID",IF(NOT(AND(ISNUMBER(VLOOKUP($A358,'Fleet register'!$A$7:$S$106,5,FALSE)),ISNUMBER(VLOOKUP($A358,'Fleet register'!$A$7:$S$106,6,FALSE)),ISNUMBER(VLOOKUP($A358,'Fleet register'!$A$7:$S$106,10,FALSE)),ISNUMBER(VLOOKUP($A358,'Fleet register'!$A$7:$S$106,11,FALSE)),ISNUMBER(VLOOKUP($A358,'Fleet register'!$A$7:$S$106,12,FALSE)),ISNUMBER(VLOOKUP($A358,'Fleet register'!$A$7:$S$106,13,FALSE)),ISNUMBER(VLOOKUP($A358,'Fleet register'!$A$7:$S$106,14,FALSE)),VLOOKUP($A358,'Fleet register'!$A$7:$S$106,14,FALSE)&gt;0,ISNUMBER('Replacement plan'!$C$94),OR(E358=120,ISNUMBER('Replacement plan'!$T$94)),ISNUMBER(E358))),"Missing vehicle input",IF(OR(E358&lt;0,E358&gt;VLOOKUP($A358,'Fleet register'!$A$7:$S$106,10,FALSE),E358&gt;120,E358&lt;&gt;INT(E358),VLOOKUP($A358,'Fleet register'!$A$7:$S$106,6,FALSE)&lt;=0,VLOOKUP($A358,'Fleet register'!$A$7:$S$106,6,FALSE)&gt;366,VLOOKUP($A358,'Fleet register'!$A$7:$S$106,5,FALSE)&lt;0,VLOOKUP($A358,'Fleet register'!$A$7:$S$106,11,FALSE)&lt;0,I358&lt;0,'Operating costs'!$B$8&lt;='Operating costs'!$B$7*'Operating costs'!$B$9,'Operating costs'!$B$11&lt;=0,'Operating costs'!$B$39&gt;R358,'Operating costs'!$B$40&gt;R358,'Operating costs'!$B$41&gt;R358,NOT(OR('Replacement plan'!$R$94="Keep ICE",'Replacement plan'!$R$94="New ICE",'Replacement plan'!$R$94="EV"))),"Invalid vehicle input",IF(AND(D358="EV",E358&lt;120,OR(NOT(ISNUMBER(U358)),NOT(ISNUMBER(V358)),V358&lt;=0,T358&lt;0,T358&gt;1,'Replacement plan'!$L$94&lt;=0,'Operating costs'!$B$44&lt;0,'Operating costs'!$B$44&gt;=1,'Operating costs'!$B$47&lt;=0,'Operating costs'!$B$47&gt;1,V358*'Operating costs'!$B$47/(1-'Operating costs'!$B$44)&lt;=T358*'Operating costs'!$B$12*U358,AND('Replacement plan'!$Z$94&gt;0,OR('Replacement plan'!$AB$94&lt;&gt;"Yes",'Operating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charging'!$C$8&gt;=0))),ISNUMBER(VLOOKUP($A358,'Fleet register'!$A$7:$S$106,15,FALSE)),ISNUMBER(VLOOKUP($A358,'Fleet register'!$A$7:$S$106,16,FALSE)),ISNUMBER('Replacement plan'!$W$94),ISNUMBER('Replacement plan'!$X$94),OR(E358=120,AND(ISNUMBER(G358),G358&gt;=0)),ISNUMBER(H358),H358&gt;=0,OR(D358&lt;&gt;"EV",E358=120,AND(ISNUMBER('Operating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average",ISNUMBER(IFERROR(INDEX(Products!$P$7:$P$13,MATCH(AD358,Products!$A$7:$A$13,0)),"")))),ISNUMBER('Operating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plan'!$Y$94),ISNUMBER('Replacement plan'!$Z$94),'Replacement plan'!$Z$94&gt;=0,ISNUMBER('Replacement plan'!$AA$94),'Replacement plan'!$AA$94&gt;=0,'Replacement plan'!$AA$94=INT('Replacement plan'!$AA$94),ISNUMBER('Replacement plan'!$L$94))),'Operating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plan'!$AG$94="",'Operating costs'!$B$7,'Replacement plan'!$AG$94)),IF('Replacement plan'!$AG$94="",'Operating costs'!$B$7,'Replacement plan'!$AG$94)&gt;=0,ISNUMBER(IF('Replacement plan'!$AH$94="",'Operating costs'!$B$7,'Replacement plan'!$AH$94)),IF('Replacement plan'!$AH$94="",'Operating costs'!$B$7,'Replacement plan'!$AH$94)&gt;=0,'Operating costs'!$B$8&gt;MAX(IF('Replacement plan'!$AG$94="",'Operating costs'!$B$7,'Replacement plan'!$AG$94),IF('Replacement plan'!$AH$94="",'Operating costs'!$B$7,'Replacement plan'!$AH$94))*'Operating costs'!$B$9),IF(AND(VLOOKUP($A358,'Fleet register'!$A$7:$S$106,10,FALSE)&gt;=0,VLOOKUP($A358,'Fleet register'!$A$7:$S$106,10,FALSE)&lt;=120,VLOOKUP($A358,'Fleet register'!$A$7:$S$106,10,FALSE)=INT(VLOOKUP($A358,'Fleet register'!$A$7:$S$106,10,FALSE)),VLOOKUP($A358,'Fleet register'!$A$7:$S$106,15,FALSE)&gt;=0,VLOOKUP($A358,'Fleet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costs'!$B$67)&gt;=0,OR(D358&lt;&gt;"EV",E358=120,AND(MIN('Operating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58" s="1" t="str">
        <f>IF(C358=0,"Excluded",IF(P358&lt;&gt;"Complete",P358,IF(OR('Replacement plan'!$AD$94&lt;120-E358,AND(D358="EV",E358&lt;120,OR('Replacement plan'!$AC$94&lt;120-E358,'Replacement plan'!$I$94="No",AND(ISNUMBER(AF358),AE358&gt;AF358),AI358&gt;V358*(1-'Operating costs'!$B$46)^MAX(0,AB358-1)*(1-'Operating costs'!$B$45),AC358&gt;'Operating costs'!$B$18,AND(T358&lt;1,OR(AG358&lt;=0,AND(ISNUMBER(AH358),AG358&gt;AH358))),'Replacement plan'!$L$94&gt;INDEX(Products!$H$7:$H$13,MATCH('Replacement plan'!$B$94,Products!$A$7:$A$13,0))))),"Fails entered limits",IF(AND(D358="EV",E358&lt;120,OR(NOT(ISNUMBER(VLOOKUP($A358,'Fleet register'!$A$7:$S$106,7,FALSE))),NOT(ISNUMBER(VLOOKUP($A358,'Fleet register'!$A$7:$S$106,8,FALSE))),NOT(ISNUMBER(AF358)),'Replacement plan'!$I$94&lt;&gt;"Yes",NOT(ISNUMBER(AH358)),'Operating costs'!$B$59&lt;&gt;"Yes",'Operating costs'!$B$58&lt;&gt;"Yes")),"Unverified","Within entered limits"))))</f>
        <v>Excluded</v>
      </c>
      <c r="R358" s="1">
        <f>IF(C358=0,0,VLOOKUP($A358,'Fleet register'!$A$7:$S$106,6,FALSE))</f>
        <v>0</v>
      </c>
      <c r="S358" s="1">
        <f>IF(C358=0,0,VLOOKUP($A358,'Fleet register'!$A$7:$S$106,5,FALSE))</f>
        <v>0</v>
      </c>
      <c r="T358" s="1">
        <f>IF(D358="EV",'Energy and charging'!$C$12,0)</f>
        <v>0</v>
      </c>
      <c r="U358" s="1">
        <f>IFERROR(IF(C358=0,0,IF(D358="EV",IF('Replacement plan'!$F$94="",INDEX(Products!$E$7:$E$13,MATCH('Replacement plan'!$B$94,Products!$A$7:$A$13,0)),'Replacement plan'!$F$94)/IF('Replacement plan'!$G$94="Battery",1-'Operating costs'!$B$44,1),0)),"n.a.")</f>
        <v>0</v>
      </c>
      <c r="V358" s="1">
        <f>IFERROR(IF(C358=0,0,IF(D358="EV",IF('Replacement plan'!$E$94="",INDEX(Products!$D$7:$D$13,MATCH('Replacement plan'!$B$94,Products!$A$7:$A$13,0)),'Replacement plan'!$E$94),0)),"n.a.")</f>
        <v>0</v>
      </c>
      <c r="W358" s="1">
        <f>IF(C358=0,0,IF(AND(P358="Complete",D358="EV",E358&lt;120),IF(T358=0,0,ROUNDUP(T358*(R358-'Operating costs'!$B$41)*(S358*U358+'Operating costs'!$B$48/(1-'Operating costs'!$B$44))/(V358*'Operating costs'!$B$47/(1-'Operating costs'!$B$44)-T358*'Operating costs'!$B$12*U358),0)),0))</f>
        <v>0</v>
      </c>
      <c r="X358" s="1">
        <f>IF(C358=0,0,IF(AND(P358="Complete",D358="EV",E358&lt;120),(R358-'Operating costs'!$B$41)*(S358*U358+'Operating costs'!$B$48/(1-'Operating costs'!$B$44))+W358*'Operating costs'!$B$12*U358,0))</f>
        <v>0</v>
      </c>
      <c r="Y358" s="1">
        <f>IF(AND(C358=1,D358="EV",E358&lt;120),AI358/(1-'Operating costs'!$B$44)*(1-T358),0)</f>
        <v>0</v>
      </c>
      <c r="Z358" s="1">
        <f t="shared" si="10"/>
        <v>0</v>
      </c>
      <c r="AA358" s="1">
        <f>IF(C358=0,0,IF(P358="Complete",((S358*(R358-'Operating costs'!$B$40))+ROUNDUP(S358*(R358-'Operating costs'!$B$40)*IF('Replacement plan'!$AH$94="",'Operating costs'!$B$7,'Replacement plan'!$AH$94)/('Operating costs'!$B$8-'Operating costs'!$B$9*IF('Replacement plan'!$AH$94="",'Operating costs'!$B$7,'Replacement plan'!$AH$94)),0)*'Operating costs'!$B$9)*IF('Replacement plan'!$AH$94="",'Operating costs'!$B$7,'Replacement plan'!$AH$94),"n.a."))</f>
        <v>0</v>
      </c>
      <c r="AB358" s="1">
        <f t="shared" si="11"/>
        <v>0</v>
      </c>
      <c r="AC358" s="1">
        <f>IF(AND(C358=1,D358="EV",E358&lt;120,T358&gt;0),'Operating costs'!$B$12/'Operating costs'!$B$11*60+'Operating costs'!$B$13+'Operating costs'!$B$14+V358*'Operating costs'!$B$47/(1-'Operating costs'!$B$44)/'Replacement plan'!$L$94*60,0)</f>
        <v>0</v>
      </c>
      <c r="AD358" s="1" t="str">
        <f>'Replacement plan'!$B$94</f>
        <v>ChengLong L2EV</v>
      </c>
      <c r="AE358" s="1">
        <f>IF(C358=0,0,VLOOKUP($A358,'Fleet register'!$A$7:$S$106,8,FALSE))</f>
        <v>0</v>
      </c>
      <c r="AF358" s="1" t="str">
        <f>IF('Replacement plan'!$H$94="","n.a.",'Replacement plan'!$H$94)</f>
        <v>n.a.</v>
      </c>
      <c r="AG358" s="1">
        <f>'Replacement plan'!$J$94</f>
        <v>22</v>
      </c>
      <c r="AH358" s="1">
        <f>IFERROR(IF(D358="EV",IF('Replacement plan'!$K$94="AC",IF(ISNUMBER(INDEX(Products!$G$7:$G$13,MATCH('Replacement plan'!$B$94,Products!$A$7:$A$13,0))),INDEX(Products!$G$7:$G$13,MATCH('Replacement plan'!$B$94,Products!$A$7:$A$13,0)),"n.a."),IF(ISNUMBER(INDEX(Products!$H$7:$H$13,MATCH('Replacement plan'!$B$94,Products!$A$7:$A$13,0))),INDEX(Products!$H$7:$H$13,MATCH('Replacement plan'!$B$94,Products!$A$7:$A$13,0)),"n.a.")),0),"n.a.")</f>
        <v>0</v>
      </c>
      <c r="AI358" s="1">
        <f>IF(AND(C358=1,D358="EV",E358&lt;120),(VLOOKUP($A358,'Fleet register'!$A$7:$S$106,7,FALSE)+IF(T358&gt;0,'Operating costs'!$B$12,0))*U358*(1-'Operating costs'!$B$44)+'Operating costs'!$B$49,0)</f>
        <v>0</v>
      </c>
      <c r="AJ358" s="1">
        <f>IF(D358="EV",'Energy and charging'!$C$50,0)</f>
        <v>0</v>
      </c>
      <c r="AK358" s="17">
        <f>EDATE('Operating costs'!$B$63,E358)</f>
        <v>46298</v>
      </c>
      <c r="AL358" s="1">
        <f>IFERROR(IF(D358="EV",INDEX(Products!$B$7:$B$13,MATCH('Replacement plan'!$B$94,Products!$A$7:$A$13,0)),0),"n.a.")</f>
        <v>0</v>
      </c>
      <c r="AM358" s="1" t="str">
        <f>'Replacement plan'!$K$94</f>
        <v>DC</v>
      </c>
      <c r="AN358" s="1" t="str">
        <f>'Replacement plan'!$AE$94</f>
        <v>Assumed</v>
      </c>
      <c r="AO358" s="47">
        <f>IF(AND(C358=1,D358="EV",E358&lt;120),(R358-'Operating costs'!$B$41)*S358+W358*'Operating costs'!$B$12,0)</f>
        <v>0</v>
      </c>
      <c r="AP358" s="41">
        <f>IF(AND(C358=1,D358="EV",E358&lt;120),IF('Operating costs'!$B$68="Hong Seh 200k average",AO358*IFERROR(INDEX(Products!$P$7:$P$13,MATCH(AD358,Products!$A$7:$A$13,0)),"n.a."),'Operating costs'!$B$26),0)</f>
        <v>0</v>
      </c>
      <c r="AQ358" s="40" t="str">
        <f>IF(D358="EV",'Operating costs'!$B$68,"Not applicable")</f>
        <v>Not applicable</v>
      </c>
    </row>
    <row r="359" spans="1:43" ht="24" customHeight="1">
      <c r="A359" s="1" t="str">
        <f>'Replacement plan'!A95</f>
        <v>T089</v>
      </c>
      <c r="B359" s="1">
        <v>0</v>
      </c>
      <c r="C359" s="1">
        <f>IF(COUNTIFS('Fleet register'!$A$7:$A$106,$A359)=1,VLOOKUP($A359,'Fleet register'!$A$7:$S$106,2,FALSE),0)</f>
        <v>0</v>
      </c>
      <c r="D359" s="1" t="str">
        <f>IF("Keep ICE"="EV","EV","ICE")</f>
        <v>ICE</v>
      </c>
      <c r="E359" s="1">
        <f>IF(C359=0,0,IF('Replacement plan'!$M$95="",VLOOKUP($A359,'Fleet register'!$A$7:$S$106,10,FALSE),'Replacement plan'!$M$95))</f>
        <v>0</v>
      </c>
      <c r="F359" s="16">
        <f>IF(C359=0,0,VLOOKUP($A359,'Fleet register'!$A$7:$S$106,11,FALSE))</f>
        <v>0</v>
      </c>
      <c r="G359" s="16">
        <f>IFERROR(IF(C359=0,0,IF(E359=120,0,IF(D359="ICE",'Replacement plan'!$C$95,IF('Replacement plan'!$D$95="",INDEX(Products!$I$7:$I$13,MATCH('Replacement plan'!$B$95,Products!$A$7:$A$13,0))+'Operating costs'!$B$57,'Replacement plan'!$D$95))*(1+'Operating costs'!$B$50)^(E359/12))),"n.a.")</f>
        <v>0</v>
      </c>
      <c r="H359" s="16">
        <f>IFERROR(IF(C359=0,0,IF(E359=0,F359,VLOOKUP($A359,'Fleet register'!$A$7:$S$106,12,FALSE)+VLOOKUP($A359,'Fleet register'!$A$7:$S$106,13,FALSE)*MAX(0,VLOOKUP($A359,'Fleet register'!$A$7:$S$106,10,FALSE)-E359)/VLOOKUP($A359,'Fleet register'!$A$7:$S$106,14,FALSE))),"n.a.")</f>
        <v>0</v>
      </c>
      <c r="I359" s="16">
        <f>IF(C359=0,0,IF(E359=120,0,'Replacement plan'!$N$95))</f>
        <v>0</v>
      </c>
      <c r="J359" s="16">
        <f>IF(C359=0,0,IF(P359="Complete",((S359*(R359-'Operating costs'!$B$39))+ROUNDUP(S359*(R359-'Operating costs'!$B$39)*IF('Replacement plan'!$AG$95="",'Operating costs'!$B$7,'Replacement plan'!$AG$95)/('Operating costs'!$B$8-'Operating costs'!$B$9*IF('Replacement plan'!$AG$95="",'Operating costs'!$B$7,'Replacement plan'!$AG$95)),0)*'Operating costs'!$B$9)*IF('Replacement plan'!$AG$95="",'Operating costs'!$B$7,'Replacement plan'!$AG$95)*('Energy and charging'!$B$9*'Energy and charging'!$B$7+(1-'Energy and charging'!$B$9)*'Energy and charging'!$B$8)*'Operating costs'!$B$23,"n.a."))</f>
        <v>0</v>
      </c>
      <c r="K359" s="16">
        <f>IF(C359=0,0,IF(P359="Complete",SUM('Operating costs'!$B$24,'Operating costs'!$B$27,'Operating costs'!$B$29,'Operating costs'!$B$31,'Operating costs'!$B$33,'Operating costs'!$B$34,'Operating costs'!$B$37,'Replacement plan'!$W$95)+'Operating costs'!$B$39*'Operating costs'!$B$42+ROUNDUP(S359*(R359-'Operating costs'!$B$39)*IF('Replacement plan'!$AG$95="",'Operating costs'!$B$7,'Replacement plan'!$AG$95)/('Operating costs'!$B$8-'Operating costs'!$B$9*IF('Replacement plan'!$AG$95="",'Operating costs'!$B$7,'Replacement plan'!$AG$95)),0)*('Operating costs'!$B$9/'Operating costs'!$B$11+'Operating costs'!$B$10/60)*'Operating costs'!$B$19*'Operating costs'!$B$21,"n.a."))</f>
        <v>0</v>
      </c>
      <c r="L359" s="16">
        <f>IF(C359=0,0,IF(P359="Complete",IF(D359="EV",X359*((1-T359)*'Energy and charging'!$B$10+T359*'Energy and charging'!$B$11)*'Operating costs'!$B$22,AA359*('Energy and charging'!$B$9*'Energy and charging'!$B$7+(1-'Energy and charging'!$B$9)*'Energy and charging'!$B$8)*'Operating costs'!$B$23),"n.a."))</f>
        <v>0</v>
      </c>
      <c r="M359" s="37">
        <f>IF(C359=0,0,IF(P359="Complete",IF(D359="ICE",SUM('Operating costs'!$B$25,'Operating costs'!$B$27,'Operating costs'!$B$29,'Operating costs'!$B$31,'Operating costs'!$B$33,'Operating costs'!$B$35,'Operating costs'!$B$37,'Replacement plan'!$X$95)+'Operating costs'!$B$40*'Operating costs'!$B$42+ROUNDUP(S359*(R359-'Operating costs'!$B$40)*IF('Replacement plan'!$AH$95="",'Operating costs'!$B$7,'Replacement plan'!$AH$95)/('Operating costs'!$B$8-'Operating costs'!$B$9*IF('Replacement plan'!$AH$95="",'Operating costs'!$B$7,'Replacement plan'!$AH$95)),0)*('Operating costs'!$B$9/'Operating costs'!$B$11+'Operating costs'!$B$10/60)*'Operating costs'!$B$19*'Operating costs'!$B$21,SUM(AP359,'Operating costs'!$B$28,'Operating costs'!$B$30,'Operating costs'!$B$32,'Operating costs'!$B$33,'Operating costs'!$B$36,'Operating costs'!$B$38,'Replacement plan'!$Y$95)+'Operating costs'!$B$41*'Operating costs'!$B$43+W359*'Operating costs'!$B$15+(T359*X359/'Replacement plan'!$L$95+W359*('Operating costs'!$B$12/'Operating costs'!$B$11+('Operating costs'!$B$13+'Operating costs'!$B$14)/60)+(R359-'Operating costs'!$B$41)*(IF(T359&lt;1,'Operating costs'!$B$16,0)+'Operating costs'!$B$17)/60)*'Operating costs'!$B$19*'Operating costs'!$B$20),"n.a."))</f>
        <v>0</v>
      </c>
      <c r="N359" s="16">
        <f>IF(AND(C359=1,D359="EV",E359&lt;120,E359+'Replacement plan'!$AA$95&lt;=120),'Replacement plan'!$Z$95,0)</f>
        <v>0</v>
      </c>
      <c r="O359" s="1">
        <f>E359+'Replacement plan'!$AA$95</f>
        <v>0</v>
      </c>
      <c r="P359" s="35" t="str">
        <f>IFERROR(IF(C359=0,"Excluded",IF(OR(COUNTIFS('Fleet register'!$A$7:$A$106,A359)&lt;&gt;1,COUNTIFS('Replacement plan'!$A$7:$A$106,A359)&lt;&gt;1),"Duplicate/missing ID",IF(NOT(AND(ISNUMBER(VLOOKUP($A359,'Fleet register'!$A$7:$S$106,5,FALSE)),ISNUMBER(VLOOKUP($A359,'Fleet register'!$A$7:$S$106,6,FALSE)),ISNUMBER(VLOOKUP($A359,'Fleet register'!$A$7:$S$106,10,FALSE)),ISNUMBER(VLOOKUP($A359,'Fleet register'!$A$7:$S$106,11,FALSE)),ISNUMBER(VLOOKUP($A359,'Fleet register'!$A$7:$S$106,12,FALSE)),ISNUMBER(VLOOKUP($A359,'Fleet register'!$A$7:$S$106,13,FALSE)),ISNUMBER(VLOOKUP($A359,'Fleet register'!$A$7:$S$106,14,FALSE)),VLOOKUP($A359,'Fleet register'!$A$7:$S$106,14,FALSE)&gt;0,ISNUMBER('Replacement plan'!$C$95),OR(E359=120,ISNUMBER('Replacement plan'!$N$95)),ISNUMBER(E359))),"Missing vehicle input",IF(OR(E359&lt;0,E359&gt;VLOOKUP($A359,'Fleet register'!$A$7:$S$106,10,FALSE),E359&gt;120,E359&lt;&gt;INT(E359),VLOOKUP($A359,'Fleet register'!$A$7:$S$106,6,FALSE)&lt;=0,VLOOKUP($A359,'Fleet register'!$A$7:$S$106,6,FALSE)&gt;366,VLOOKUP($A359,'Fleet register'!$A$7:$S$106,5,FALSE)&lt;0,VLOOKUP($A359,'Fleet register'!$A$7:$S$106,11,FALSE)&lt;0,I359&lt;0,'Operating costs'!$B$8&lt;='Operating costs'!$B$7*'Operating costs'!$B$9,'Operating costs'!$B$11&lt;=0,'Operating costs'!$B$39&gt;R359,'Operating costs'!$B$40&gt;R359,'Operating costs'!$B$41&gt;R359,NOT(OR("Keep ICE"="Keep ICE","Keep ICE"="New ICE","Keep ICE"="EV"))),"Invalid vehicle input",IF(AND(D359="EV",E359&lt;120,OR(NOT(ISNUMBER(U359)),NOT(ISNUMBER(V359)),V359&lt;=0,T359&lt;0,T359&gt;1,'Replacement plan'!$L$95&lt;=0,'Operating costs'!$B$44&lt;0,'Operating costs'!$B$44&gt;=1,'Operating costs'!$B$47&lt;=0,'Operating costs'!$B$47&gt;1,V359*'Operating costs'!$B$47/(1-'Operating costs'!$B$44)&lt;=T359*'Operating costs'!$B$12*U359,AND('Replacement plan'!$Z$95&gt;0,OR('Replacement plan'!$AB$95&lt;&gt;"Yes",'Operating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charging'!$B$8&gt;=0))),ISNUMBER(VLOOKUP($A359,'Fleet register'!$A$7:$S$106,15,FALSE)),ISNUMBER(VLOOKUP($A359,'Fleet register'!$A$7:$S$106,16,FALSE)),ISNUMBER('Replacement plan'!$W$95),ISNUMBER('Replacement plan'!$X$95),OR(E359=120,AND(ISNUMBER(G359),G359&gt;=0)),ISNUMBER(H359),H359&gt;=0,OR(D359&lt;&gt;"EV",E359=120,AND(ISNUMBER('Operating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average",ISNUMBER(IFERROR(INDEX(Products!$P$7:$P$13,MATCH(AD359,Products!$A$7:$A$13,0)),"")))),ISNUMBER('Operating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plan'!$Y$95),ISNUMBER('Replacement plan'!$Z$95),'Replacement plan'!$Z$95&gt;=0,ISNUMBER('Replacement plan'!$AA$95),'Replacement plan'!$AA$95&gt;=0,'Replacement plan'!$AA$95=INT('Replacement plan'!$AA$95),ISNUMBER('Replacement plan'!$L$95))),'Operating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plan'!$AG$95="",'Operating costs'!$B$7,'Replacement plan'!$AG$95)),IF('Replacement plan'!$AG$95="",'Operating costs'!$B$7,'Replacement plan'!$AG$95)&gt;=0,ISNUMBER(IF('Replacement plan'!$AH$95="",'Operating costs'!$B$7,'Replacement plan'!$AH$95)),IF('Replacement plan'!$AH$95="",'Operating costs'!$B$7,'Replacement plan'!$AH$95)&gt;=0,'Operating costs'!$B$8&gt;MAX(IF('Replacement plan'!$AG$95="",'Operating costs'!$B$7,'Replacement plan'!$AG$95),IF('Replacement plan'!$AH$95="",'Operating costs'!$B$7,'Replacement plan'!$AH$95))*'Operating costs'!$B$9),IF(AND(VLOOKUP($A359,'Fleet register'!$A$7:$S$106,10,FALSE)&gt;=0,VLOOKUP($A359,'Fleet register'!$A$7:$S$106,10,FALSE)&lt;=120,VLOOKUP($A359,'Fleet register'!$A$7:$S$106,10,FALSE)=INT(VLOOKUP($A359,'Fleet register'!$A$7:$S$106,10,FALSE)),VLOOKUP($A359,'Fleet register'!$A$7:$S$106,15,FALSE)&gt;=0,VLOOKUP($A359,'Fleet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costs'!$B$67)&gt;=0,OR(D359&lt;&gt;"EV",E359=120,AND(MIN('Operating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59" s="1" t="str">
        <f>IF(C359=0,"Excluded",IF(P359&lt;&gt;"Complete",P359,IF(OR('Replacement plan'!$AD$95&lt;120-E359,AND(D359="EV",E359&lt;120,OR('Replacement plan'!$AC$95&lt;120-E359,'Replacement plan'!$I$95="No",AND(ISNUMBER(AF359),AE359&gt;AF359),AI359&gt;V359*(1-'Operating costs'!$B$46)^MAX(0,AB359-1)*(1-'Operating costs'!$B$45),AC359&gt;'Operating costs'!$B$18,AND(T359&lt;1,OR(AG359&lt;=0,AND(ISNUMBER(AH359),AG359&gt;AH359))),'Replacement plan'!$L$95&gt;INDEX(Products!$H$7:$H$13,MATCH('Replacement plan'!$B$95,Products!$A$7:$A$13,0))))),"Fails entered limits",IF(AND(D359="EV",E359&lt;120,OR(NOT(ISNUMBER(VLOOKUP($A359,'Fleet register'!$A$7:$S$106,7,FALSE))),NOT(ISNUMBER(VLOOKUP($A359,'Fleet register'!$A$7:$S$106,8,FALSE))),NOT(ISNUMBER(AF359)),'Replacement plan'!$I$95&lt;&gt;"Yes",NOT(ISNUMBER(AH359)),'Operating costs'!$B$59&lt;&gt;"Yes",'Operating costs'!$B$58&lt;&gt;"Yes")),"Unverified","Within entered limits"))))</f>
        <v>Excluded</v>
      </c>
      <c r="R359" s="1">
        <f>IF(C359=0,0,VLOOKUP($A359,'Fleet register'!$A$7:$S$106,6,FALSE))</f>
        <v>0</v>
      </c>
      <c r="S359" s="1">
        <f>IF(C359=0,0,VLOOKUP($A359,'Fleet register'!$A$7:$S$106,5,FALSE))</f>
        <v>0</v>
      </c>
      <c r="T359" s="1">
        <f>IF(D359="EV",'Energy and charging'!$B$12,0)</f>
        <v>0</v>
      </c>
      <c r="U359" s="1">
        <f>IFERROR(IF(C359=0,0,IF(D359="EV",IF('Replacement plan'!$F$95="",INDEX(Products!$E$7:$E$13,MATCH('Replacement plan'!$B$95,Products!$A$7:$A$13,0)),'Replacement plan'!$F$95)/IF('Replacement plan'!$G$95="Battery",1-'Operating costs'!$B$44,1),0)),"n.a.")</f>
        <v>0</v>
      </c>
      <c r="V359" s="1">
        <f>IFERROR(IF(C359=0,0,IF(D359="EV",IF('Replacement plan'!$E$95="",INDEX(Products!$D$7:$D$13,MATCH('Replacement plan'!$B$95,Products!$A$7:$A$13,0)),'Replacement plan'!$E$95),0)),"n.a.")</f>
        <v>0</v>
      </c>
      <c r="W359" s="1">
        <f>IF(C359=0,0,IF(AND(P359="Complete",D359="EV",E359&lt;120),IF(T359=0,0,ROUNDUP(T359*(R359-'Operating costs'!$B$41)*(S359*U359+'Operating costs'!$B$48/(1-'Operating costs'!$B$44))/(V359*'Operating costs'!$B$47/(1-'Operating costs'!$B$44)-T359*'Operating costs'!$B$12*U359),0)),0))</f>
        <v>0</v>
      </c>
      <c r="X359" s="1">
        <f>IF(C359=0,0,IF(AND(P359="Complete",D359="EV",E359&lt;120),(R359-'Operating costs'!$B$41)*(S359*U359+'Operating costs'!$B$48/(1-'Operating costs'!$B$44))+W359*'Operating costs'!$B$12*U359,0))</f>
        <v>0</v>
      </c>
      <c r="Y359" s="1">
        <f>IF(AND(C359=1,D359="EV",E359&lt;120),AI359/(1-'Operating costs'!$B$44)*(1-T359),0)</f>
        <v>0</v>
      </c>
      <c r="Z359" s="1">
        <f t="shared" si="10"/>
        <v>0</v>
      </c>
      <c r="AA359" s="1">
        <f>IF(C359=0,0,IF(P359="Complete",((S359*(R359-'Operating costs'!$B$40))+ROUNDUP(S359*(R359-'Operating costs'!$B$40)*IF('Replacement plan'!$AH$95="",'Operating costs'!$B$7,'Replacement plan'!$AH$95)/('Operating costs'!$B$8-'Operating costs'!$B$9*IF('Replacement plan'!$AH$95="",'Operating costs'!$B$7,'Replacement plan'!$AH$95)),0)*'Operating costs'!$B$9)*IF('Replacement plan'!$AH$95="",'Operating costs'!$B$7,'Replacement plan'!$AH$95),"n.a."))</f>
        <v>0</v>
      </c>
      <c r="AB359" s="1">
        <f t="shared" si="11"/>
        <v>0</v>
      </c>
      <c r="AC359" s="1">
        <f>IF(AND(C359=1,D359="EV",E359&lt;120,T359&gt;0),'Operating costs'!$B$12/'Operating costs'!$B$11*60+'Operating costs'!$B$13+'Operating costs'!$B$14+V359*'Operating costs'!$B$47/(1-'Operating costs'!$B$44)/'Replacement plan'!$L$95*60,0)</f>
        <v>0</v>
      </c>
      <c r="AD359" s="1" t="str">
        <f>'Replacement plan'!$B$95</f>
        <v>ChengLong L2EV</v>
      </c>
      <c r="AE359" s="1">
        <f>IF(C359=0,0,VLOOKUP($A359,'Fleet register'!$A$7:$S$106,8,FALSE))</f>
        <v>0</v>
      </c>
      <c r="AF359" s="1" t="str">
        <f>IF('Replacement plan'!$H$95="","n.a.",'Replacement plan'!$H$95)</f>
        <v>n.a.</v>
      </c>
      <c r="AG359" s="1">
        <f>'Replacement plan'!$J$95</f>
        <v>22</v>
      </c>
      <c r="AH359" s="1">
        <f>IFERROR(IF(D359="EV",IF('Replacement plan'!$K$95="AC",IF(ISNUMBER(INDEX(Products!$G$7:$G$13,MATCH('Replacement plan'!$B$95,Products!$A$7:$A$13,0))),INDEX(Products!$G$7:$G$13,MATCH('Replacement plan'!$B$95,Products!$A$7:$A$13,0)),"n.a."),IF(ISNUMBER(INDEX(Products!$H$7:$H$13,MATCH('Replacement plan'!$B$95,Products!$A$7:$A$13,0))),INDEX(Products!$H$7:$H$13,MATCH('Replacement plan'!$B$95,Products!$A$7:$A$13,0)),"n.a.")),0),"n.a.")</f>
        <v>0</v>
      </c>
      <c r="AI359" s="1">
        <f>IF(AND(C359=1,D359="EV",E359&lt;120),(VLOOKUP($A359,'Fleet register'!$A$7:$S$106,7,FALSE)+IF(T359&gt;0,'Operating costs'!$B$12,0))*U359*(1-'Operating costs'!$B$44)+'Operating costs'!$B$49,0)</f>
        <v>0</v>
      </c>
      <c r="AJ359" s="1">
        <f>IF(D359="EV",'Energy and charging'!$B$50,0)</f>
        <v>0</v>
      </c>
      <c r="AK359" s="17">
        <f>EDATE('Operating costs'!$B$63,E359)</f>
        <v>46298</v>
      </c>
      <c r="AL359" s="1">
        <f>IFERROR(IF(D359="EV",INDEX(Products!$B$7:$B$13,MATCH('Replacement plan'!$B$95,Products!$A$7:$A$13,0)),0),"n.a.")</f>
        <v>0</v>
      </c>
      <c r="AM359" s="1" t="str">
        <f>'Replacement plan'!$K$95</f>
        <v>DC</v>
      </c>
      <c r="AN359" s="1" t="str">
        <f>'Replacement plan'!$AE$95</f>
        <v>Assumed</v>
      </c>
      <c r="AO359" s="47">
        <f>IF(AND(C359=1,D359="EV",E359&lt;120),(R359-'Operating costs'!$B$41)*S359+W359*'Operating costs'!$B$12,0)</f>
        <v>0</v>
      </c>
      <c r="AP359" s="41">
        <f>IF(AND(C359=1,D359="EV",E359&lt;120),IF('Operating costs'!$B$68="Hong Seh 200k average",AO359*IFERROR(INDEX(Products!$P$7:$P$13,MATCH(AD359,Products!$A$7:$A$13,0)),"n.a."),'Operating costs'!$B$26),0)</f>
        <v>0</v>
      </c>
      <c r="AQ359" s="40" t="str">
        <f>IF(D359="EV",'Operating costs'!$B$68,"Not applicable")</f>
        <v>Not applicable</v>
      </c>
    </row>
    <row r="360" spans="1:43" ht="24" customHeight="1">
      <c r="A360" s="1" t="str">
        <f>'Replacement plan'!A95</f>
        <v>T089</v>
      </c>
      <c r="B360" s="1">
        <v>1</v>
      </c>
      <c r="C360" s="1">
        <f>IF(COUNTIFS('Fleet register'!$A$7:$A$106,$A360)=1,VLOOKUP($A360,'Fleet register'!$A$7:$S$106,2,FALSE),0)</f>
        <v>0</v>
      </c>
      <c r="D360" s="1" t="str">
        <f>IF("New ICE"="EV","EV","ICE")</f>
        <v>ICE</v>
      </c>
      <c r="E360" s="1">
        <f>IF(C360=0,0,0)</f>
        <v>0</v>
      </c>
      <c r="F360" s="16">
        <f>IF(C360=0,0,VLOOKUP($A360,'Fleet register'!$A$7:$S$106,11,FALSE))</f>
        <v>0</v>
      </c>
      <c r="G360" s="16">
        <f>IFERROR(IF(C360=0,0,IF(E360=120,0,IF(D360="ICE",'Replacement plan'!$C$95,IF('Replacement plan'!$D$95="",INDEX(Products!$I$7:$I$13,MATCH('Replacement plan'!$B$95,Products!$A$7:$A$13,0))+'Operating costs'!$B$57,'Replacement plan'!$D$95))*(1+'Operating costs'!$B$50)^(E360/12))),"n.a.")</f>
        <v>0</v>
      </c>
      <c r="H360" s="16">
        <f>IFERROR(IF(C360=0,0,IF(E360=0,F360,VLOOKUP($A360,'Fleet register'!$A$7:$S$106,12,FALSE)+VLOOKUP($A360,'Fleet register'!$A$7:$S$106,13,FALSE)*MAX(0,VLOOKUP($A360,'Fleet register'!$A$7:$S$106,10,FALSE)-E360)/VLOOKUP($A360,'Fleet register'!$A$7:$S$106,14,FALSE))),"n.a.")</f>
        <v>0</v>
      </c>
      <c r="I360" s="16">
        <f>IF(C360=0,0,IF(E360=120,0,IF('Replacement plan'!$AI$95="",'Operating costs'!$B$56,'Replacement plan'!$AI$95)))</f>
        <v>0</v>
      </c>
      <c r="J360" s="16">
        <f>IF(C360=0,0,IF(P360="Complete",((S360*(R360-'Operating costs'!$B$39))+ROUNDUP(S360*(R360-'Operating costs'!$B$39)*IF('Replacement plan'!$AG$95="",'Operating costs'!$B$7,'Replacement plan'!$AG$95)/('Operating costs'!$B$8-'Operating costs'!$B$9*IF('Replacement plan'!$AG$95="",'Operating costs'!$B$7,'Replacement plan'!$AG$95)),0)*'Operating costs'!$B$9)*IF('Replacement plan'!$AG$95="",'Operating costs'!$B$7,'Replacement plan'!$AG$95)*('Energy and charging'!$B$9*'Energy and charging'!$B$7+(1-'Energy and charging'!$B$9)*'Energy and charging'!$B$8)*'Operating costs'!$B$23,"n.a."))</f>
        <v>0</v>
      </c>
      <c r="K360" s="16">
        <f>IF(C360=0,0,IF(P360="Complete",SUM('Operating costs'!$B$24,'Operating costs'!$B$27,'Operating costs'!$B$29,'Operating costs'!$B$31,'Operating costs'!$B$33,'Operating costs'!$B$34,'Operating costs'!$B$37,'Replacement plan'!$W$95)+'Operating costs'!$B$39*'Operating costs'!$B$42+ROUNDUP(S360*(R360-'Operating costs'!$B$39)*IF('Replacement plan'!$AG$95="",'Operating costs'!$B$7,'Replacement plan'!$AG$95)/('Operating costs'!$B$8-'Operating costs'!$B$9*IF('Replacement plan'!$AG$95="",'Operating costs'!$B$7,'Replacement plan'!$AG$95)),0)*('Operating costs'!$B$9/'Operating costs'!$B$11+'Operating costs'!$B$10/60)*'Operating costs'!$B$19*'Operating costs'!$B$21,"n.a."))</f>
        <v>0</v>
      </c>
      <c r="L360" s="16">
        <f>IF(C360=0,0,IF(P360="Complete",IF(D360="EV",X360*((1-T360)*'Energy and charging'!$B$10+T360*'Energy and charging'!$B$11)*'Operating costs'!$B$22,AA360*('Energy and charging'!$B$9*'Energy and charging'!$B$7+(1-'Energy and charging'!$B$9)*'Energy and charging'!$B$8)*'Operating costs'!$B$23),"n.a."))</f>
        <v>0</v>
      </c>
      <c r="M360" s="37">
        <f>IF(C360=0,0,IF(P360="Complete",IF(D360="ICE",SUM('Operating costs'!$B$25,'Operating costs'!$B$27,'Operating costs'!$B$29,'Operating costs'!$B$31,'Operating costs'!$B$33,'Operating costs'!$B$35,'Operating costs'!$B$37,'Replacement plan'!$X$95)+'Operating costs'!$B$40*'Operating costs'!$B$42+ROUNDUP(S360*(R360-'Operating costs'!$B$40)*IF('Replacement plan'!$AH$95="",'Operating costs'!$B$7,'Replacement plan'!$AH$95)/('Operating costs'!$B$8-'Operating costs'!$B$9*IF('Replacement plan'!$AH$95="",'Operating costs'!$B$7,'Replacement plan'!$AH$95)),0)*('Operating costs'!$B$9/'Operating costs'!$B$11+'Operating costs'!$B$10/60)*'Operating costs'!$B$19*'Operating costs'!$B$21,SUM(AP360,'Operating costs'!$B$28,'Operating costs'!$B$30,'Operating costs'!$B$32,'Operating costs'!$B$33,'Operating costs'!$B$36,'Operating costs'!$B$38,'Replacement plan'!$Y$95)+'Operating costs'!$B$41*'Operating costs'!$B$43+W360*'Operating costs'!$B$15+(T360*X360/'Replacement plan'!$L$95+W360*('Operating costs'!$B$12/'Operating costs'!$B$11+('Operating costs'!$B$13+'Operating costs'!$B$14)/60)+(R360-'Operating costs'!$B$41)*(IF(T360&lt;1,'Operating costs'!$B$16,0)+'Operating costs'!$B$17)/60)*'Operating costs'!$B$19*'Operating costs'!$B$20),"n.a."))</f>
        <v>0</v>
      </c>
      <c r="N360" s="16">
        <f>IF(AND(C360=1,D360="EV",E360&lt;120,E360+'Replacement plan'!$AA$95&lt;=120),'Replacement plan'!$Z$95,0)</f>
        <v>0</v>
      </c>
      <c r="O360" s="1">
        <f>E360+'Replacement plan'!$AA$95</f>
        <v>0</v>
      </c>
      <c r="P360" s="35" t="str">
        <f>IFERROR(IF(C360=0,"Excluded",IF(OR(COUNTIFS('Fleet register'!$A$7:$A$106,A360)&lt;&gt;1,COUNTIFS('Replacement plan'!$A$7:$A$106,A360)&lt;&gt;1),"Duplicate/missing ID",IF(NOT(AND(ISNUMBER(VLOOKUP($A360,'Fleet register'!$A$7:$S$106,5,FALSE)),ISNUMBER(VLOOKUP($A360,'Fleet register'!$A$7:$S$106,6,FALSE)),ISNUMBER(VLOOKUP($A360,'Fleet register'!$A$7:$S$106,10,FALSE)),ISNUMBER(VLOOKUP($A360,'Fleet register'!$A$7:$S$106,11,FALSE)),ISNUMBER(VLOOKUP($A360,'Fleet register'!$A$7:$S$106,12,FALSE)),ISNUMBER(VLOOKUP($A360,'Fleet register'!$A$7:$S$106,13,FALSE)),ISNUMBER(VLOOKUP($A360,'Fleet register'!$A$7:$S$106,14,FALSE)),VLOOKUP($A360,'Fleet register'!$A$7:$S$106,14,FALSE)&gt;0,ISNUMBER('Replacement plan'!$C$95),OR(E360=120,OR(ISNUMBER('Replacement plan'!$AI$95),AND('Replacement plan'!$AI$95="",ISNUMBER('Operating costs'!$B$56)))),ISNUMBER(E360))),"Missing vehicle input",IF(OR(E360&lt;0,E360&gt;VLOOKUP($A360,'Fleet register'!$A$7:$S$106,10,FALSE),E360&gt;120,E360&lt;&gt;INT(E360),VLOOKUP($A360,'Fleet register'!$A$7:$S$106,6,FALSE)&lt;=0,VLOOKUP($A360,'Fleet register'!$A$7:$S$106,6,FALSE)&gt;366,VLOOKUP($A360,'Fleet register'!$A$7:$S$106,5,FALSE)&lt;0,VLOOKUP($A360,'Fleet register'!$A$7:$S$106,11,FALSE)&lt;0,I360&lt;0,'Operating costs'!$B$8&lt;='Operating costs'!$B$7*'Operating costs'!$B$9,'Operating costs'!$B$11&lt;=0,'Operating costs'!$B$39&gt;R360,'Operating costs'!$B$40&gt;R360,'Operating costs'!$B$41&gt;R360,NOT(OR("New ICE"="Keep ICE","New ICE"="New ICE","New ICE"="EV"))),"Invalid vehicle input",IF(AND(D360="EV",E360&lt;120,OR(NOT(ISNUMBER(U360)),NOT(ISNUMBER(V360)),V360&lt;=0,T360&lt;0,T360&gt;1,'Replacement plan'!$L$95&lt;=0,'Operating costs'!$B$44&lt;0,'Operating costs'!$B$44&gt;=1,'Operating costs'!$B$47&lt;=0,'Operating costs'!$B$47&gt;1,V360*'Operating costs'!$B$47/(1-'Operating costs'!$B$44)&lt;=T360*'Operating costs'!$B$12*U360,AND('Replacement plan'!$Z$95&gt;0,OR('Replacement plan'!$AB$95&lt;&gt;"Yes",'Operating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charging'!$B$8&gt;=0))),ISNUMBER(VLOOKUP($A360,'Fleet register'!$A$7:$S$106,15,FALSE)),ISNUMBER(VLOOKUP($A360,'Fleet register'!$A$7:$S$106,16,FALSE)),ISNUMBER('Replacement plan'!$W$95),ISNUMBER('Replacement plan'!$X$95),OR(E360=120,AND(ISNUMBER(G360),G360&gt;=0)),ISNUMBER(H360),H360&gt;=0,OR(D360&lt;&gt;"EV",E360=120,AND(ISNUMBER('Operating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average",ISNUMBER(IFERROR(INDEX(Products!$P$7:$P$13,MATCH(AD360,Products!$A$7:$A$13,0)),"")))),ISNUMBER('Operating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plan'!$Y$95),ISNUMBER('Replacement plan'!$Z$95),'Replacement plan'!$Z$95&gt;=0,ISNUMBER('Replacement plan'!$AA$95),'Replacement plan'!$AA$95&gt;=0,'Replacement plan'!$AA$95=INT('Replacement plan'!$AA$95),ISNUMBER('Replacement plan'!$L$95))),'Operating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plan'!$AG$95="",'Operating costs'!$B$7,'Replacement plan'!$AG$95)),IF('Replacement plan'!$AG$95="",'Operating costs'!$B$7,'Replacement plan'!$AG$95)&gt;=0,ISNUMBER(IF('Replacement plan'!$AH$95="",'Operating costs'!$B$7,'Replacement plan'!$AH$95)),IF('Replacement plan'!$AH$95="",'Operating costs'!$B$7,'Replacement plan'!$AH$95)&gt;=0,'Operating costs'!$B$8&gt;MAX(IF('Replacement plan'!$AG$95="",'Operating costs'!$B$7,'Replacement plan'!$AG$95),IF('Replacement plan'!$AH$95="",'Operating costs'!$B$7,'Replacement plan'!$AH$95))*'Operating costs'!$B$9),IF(AND(VLOOKUP($A360,'Fleet register'!$A$7:$S$106,10,FALSE)&gt;=0,VLOOKUP($A360,'Fleet register'!$A$7:$S$106,10,FALSE)&lt;=120,VLOOKUP($A360,'Fleet register'!$A$7:$S$106,10,FALSE)=INT(VLOOKUP($A360,'Fleet register'!$A$7:$S$106,10,FALSE)),VLOOKUP($A360,'Fleet register'!$A$7:$S$106,15,FALSE)&gt;=0,VLOOKUP($A360,'Fleet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costs'!$B$67)&gt;=0,OR(D360&lt;&gt;"EV",E360=120,AND(MIN('Operating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60" s="1" t="str">
        <f>IF(C360=0,"Excluded",IF(P360&lt;&gt;"Complete",P360,IF(OR('Replacement plan'!$AD$95&lt;120-E360,AND(D360="EV",E360&lt;120,OR('Replacement plan'!$AC$95&lt;120-E360,'Replacement plan'!$I$95="No",AND(ISNUMBER(AF360),AE360&gt;AF360),AI360&gt;V360*(1-'Operating costs'!$B$46)^MAX(0,AB360-1)*(1-'Operating costs'!$B$45),AC360&gt;'Operating costs'!$B$18,AND(T360&lt;1,OR(AG360&lt;=0,AND(ISNUMBER(AH360),AG360&gt;AH360))),'Replacement plan'!$L$95&gt;INDEX(Products!$H$7:$H$13,MATCH('Replacement plan'!$B$95,Products!$A$7:$A$13,0))))),"Fails entered limits",IF(AND(D360="EV",E360&lt;120,OR(NOT(ISNUMBER(VLOOKUP($A360,'Fleet register'!$A$7:$S$106,7,FALSE))),NOT(ISNUMBER(VLOOKUP($A360,'Fleet register'!$A$7:$S$106,8,FALSE))),NOT(ISNUMBER(AF360)),'Replacement plan'!$I$95&lt;&gt;"Yes",NOT(ISNUMBER(AH360)),'Operating costs'!$B$59&lt;&gt;"Yes",'Operating costs'!$B$58&lt;&gt;"Yes")),"Unverified","Within entered limits"))))</f>
        <v>Excluded</v>
      </c>
      <c r="R360" s="1">
        <f>IF(C360=0,0,VLOOKUP($A360,'Fleet register'!$A$7:$S$106,6,FALSE))</f>
        <v>0</v>
      </c>
      <c r="S360" s="1">
        <f>IF(C360=0,0,VLOOKUP($A360,'Fleet register'!$A$7:$S$106,5,FALSE))</f>
        <v>0</v>
      </c>
      <c r="T360" s="1">
        <f>IF(D360="EV",'Energy and charging'!$B$12,0)</f>
        <v>0</v>
      </c>
      <c r="U360" s="1">
        <f>IFERROR(IF(C360=0,0,IF(D360="EV",IF('Replacement plan'!$F$95="",INDEX(Products!$E$7:$E$13,MATCH('Replacement plan'!$B$95,Products!$A$7:$A$13,0)),'Replacement plan'!$F$95)/IF('Replacement plan'!$G$95="Battery",1-'Operating costs'!$B$44,1),0)),"n.a.")</f>
        <v>0</v>
      </c>
      <c r="V360" s="1">
        <f>IFERROR(IF(C360=0,0,IF(D360="EV",IF('Replacement plan'!$E$95="",INDEX(Products!$D$7:$D$13,MATCH('Replacement plan'!$B$95,Products!$A$7:$A$13,0)),'Replacement plan'!$E$95),0)),"n.a.")</f>
        <v>0</v>
      </c>
      <c r="W360" s="1">
        <f>IF(C360=0,0,IF(AND(P360="Complete",D360="EV",E360&lt;120),IF(T360=0,0,ROUNDUP(T360*(R360-'Operating costs'!$B$41)*(S360*U360+'Operating costs'!$B$48/(1-'Operating costs'!$B$44))/(V360*'Operating costs'!$B$47/(1-'Operating costs'!$B$44)-T360*'Operating costs'!$B$12*U360),0)),0))</f>
        <v>0</v>
      </c>
      <c r="X360" s="1">
        <f>IF(C360=0,0,IF(AND(P360="Complete",D360="EV",E360&lt;120),(R360-'Operating costs'!$B$41)*(S360*U360+'Operating costs'!$B$48/(1-'Operating costs'!$B$44))+W360*'Operating costs'!$B$12*U360,0))</f>
        <v>0</v>
      </c>
      <c r="Y360" s="1">
        <f>IF(AND(C360=1,D360="EV",E360&lt;120),AI360/(1-'Operating costs'!$B$44)*(1-T360),0)</f>
        <v>0</v>
      </c>
      <c r="Z360" s="1">
        <f t="shared" si="10"/>
        <v>0</v>
      </c>
      <c r="AA360" s="1">
        <f>IF(C360=0,0,IF(P360="Complete",((S360*(R360-'Operating costs'!$B$40))+ROUNDUP(S360*(R360-'Operating costs'!$B$40)*IF('Replacement plan'!$AH$95="",'Operating costs'!$B$7,'Replacement plan'!$AH$95)/('Operating costs'!$B$8-'Operating costs'!$B$9*IF('Replacement plan'!$AH$95="",'Operating costs'!$B$7,'Replacement plan'!$AH$95)),0)*'Operating costs'!$B$9)*IF('Replacement plan'!$AH$95="",'Operating costs'!$B$7,'Replacement plan'!$AH$95),"n.a."))</f>
        <v>0</v>
      </c>
      <c r="AB360" s="1">
        <f t="shared" si="11"/>
        <v>0</v>
      </c>
      <c r="AC360" s="1">
        <f>IF(AND(C360=1,D360="EV",E360&lt;120,T360&gt;0),'Operating costs'!$B$12/'Operating costs'!$B$11*60+'Operating costs'!$B$13+'Operating costs'!$B$14+V360*'Operating costs'!$B$47/(1-'Operating costs'!$B$44)/'Replacement plan'!$L$95*60,0)</f>
        <v>0</v>
      </c>
      <c r="AD360" s="1" t="str">
        <f>'Replacement plan'!$B$95</f>
        <v>ChengLong L2EV</v>
      </c>
      <c r="AE360" s="1">
        <f>IF(C360=0,0,VLOOKUP($A360,'Fleet register'!$A$7:$S$106,8,FALSE))</f>
        <v>0</v>
      </c>
      <c r="AF360" s="1" t="str">
        <f>IF('Replacement plan'!$H$95="","n.a.",'Replacement plan'!$H$95)</f>
        <v>n.a.</v>
      </c>
      <c r="AG360" s="1">
        <f>'Replacement plan'!$J$95</f>
        <v>22</v>
      </c>
      <c r="AH360" s="1">
        <f>IFERROR(IF(D360="EV",IF('Replacement plan'!$K$95="AC",IF(ISNUMBER(INDEX(Products!$G$7:$G$13,MATCH('Replacement plan'!$B$95,Products!$A$7:$A$13,0))),INDEX(Products!$G$7:$G$13,MATCH('Replacement plan'!$B$95,Products!$A$7:$A$13,0)),"n.a."),IF(ISNUMBER(INDEX(Products!$H$7:$H$13,MATCH('Replacement plan'!$B$95,Products!$A$7:$A$13,0))),INDEX(Products!$H$7:$H$13,MATCH('Replacement plan'!$B$95,Products!$A$7:$A$13,0)),"n.a.")),0),"n.a.")</f>
        <v>0</v>
      </c>
      <c r="AI360" s="1">
        <f>IF(AND(C360=1,D360="EV",E360&lt;120),(VLOOKUP($A360,'Fleet register'!$A$7:$S$106,7,FALSE)+IF(T360&gt;0,'Operating costs'!$B$12,0))*U360*(1-'Operating costs'!$B$44)+'Operating costs'!$B$49,0)</f>
        <v>0</v>
      </c>
      <c r="AJ360" s="1">
        <f>IF(D360="EV",'Energy and charging'!$B$50,0)</f>
        <v>0</v>
      </c>
      <c r="AK360" s="17">
        <f>EDATE('Operating costs'!$B$63,E360)</f>
        <v>46298</v>
      </c>
      <c r="AL360" s="1">
        <f>IFERROR(IF(D360="EV",INDEX(Products!$B$7:$B$13,MATCH('Replacement plan'!$B$95,Products!$A$7:$A$13,0)),0),"n.a.")</f>
        <v>0</v>
      </c>
      <c r="AM360" s="1" t="str">
        <f>'Replacement plan'!$K$95</f>
        <v>DC</v>
      </c>
      <c r="AN360" s="1" t="str">
        <f>'Replacement plan'!$AE$95</f>
        <v>Assumed</v>
      </c>
      <c r="AO360" s="47">
        <f>IF(AND(C360=1,D360="EV",E360&lt;120),(R360-'Operating costs'!$B$41)*S360+W360*'Operating costs'!$B$12,0)</f>
        <v>0</v>
      </c>
      <c r="AP360" s="41">
        <f>IF(AND(C360=1,D360="EV",E360&lt;120),IF('Operating costs'!$B$68="Hong Seh 200k average",AO360*IFERROR(INDEX(Products!$P$7:$P$13,MATCH(AD360,Products!$A$7:$A$13,0)),"n.a."),'Operating costs'!$B$26),0)</f>
        <v>0</v>
      </c>
      <c r="AQ360" s="40" t="str">
        <f>IF(D360="EV",'Operating costs'!$B$68,"Not applicable")</f>
        <v>Not applicable</v>
      </c>
    </row>
    <row r="361" spans="1:43" ht="24" customHeight="1">
      <c r="A361" s="1" t="str">
        <f>'Replacement plan'!A95</f>
        <v>T089</v>
      </c>
      <c r="B361" s="1">
        <v>2</v>
      </c>
      <c r="C361" s="1">
        <f>IF(COUNTIFS('Fleet register'!$A$7:$A$106,$A361)=1,VLOOKUP($A361,'Fleet register'!$A$7:$S$106,2,FALSE),0)</f>
        <v>0</v>
      </c>
      <c r="D361" s="1" t="str">
        <f>IF('Replacement plan'!$O$95="EV","EV","ICE")</f>
        <v>ICE</v>
      </c>
      <c r="E361" s="1">
        <f>IF(C361=0,0,IF('Replacement plan'!$P$95="",IF('Replacement plan'!$O$95="Keep ICE",IF('Replacement plan'!$M$95="",VLOOKUP($A361,'Fleet register'!$A$7:$S$106,10,FALSE),'Replacement plan'!$M$95),0),'Replacement plan'!$P$95))</f>
        <v>0</v>
      </c>
      <c r="F361" s="16">
        <f>IF(C361=0,0,VLOOKUP($A361,'Fleet register'!$A$7:$S$106,11,FALSE))</f>
        <v>0</v>
      </c>
      <c r="G361" s="16">
        <f>IFERROR(IF(C361=0,0,IF(E361=120,0,IF(D361="ICE",'Replacement plan'!$C$95,IF('Replacement plan'!$D$95="",INDEX(Products!$I$7:$I$13,MATCH('Replacement plan'!$B$95,Products!$A$7:$A$13,0))+'Operating costs'!$B$57,'Replacement plan'!$D$95))*(1+'Operating costs'!$B$50)^(E361/12))),"n.a.")</f>
        <v>0</v>
      </c>
      <c r="H361" s="16">
        <f>IFERROR(IF(C361=0,0,IF('Replacement plan'!$U$95&lt;&gt;"",'Replacement plan'!$U$95,IF(E361=0,F361,VLOOKUP($A361,'Fleet register'!$A$7:$S$106,12,FALSE)+VLOOKUP($A361,'Fleet register'!$A$7:$S$106,13,FALSE)*MAX(0,VLOOKUP($A361,'Fleet register'!$A$7:$S$106,10,FALSE)-E361)/VLOOKUP($A361,'Fleet register'!$A$7:$S$106,14,FALSE)))),"n.a.")</f>
        <v>0</v>
      </c>
      <c r="I361" s="16">
        <f>IF(C361=0,0,IF(E361=120,0,'Replacement plan'!$Q$95))</f>
        <v>0</v>
      </c>
      <c r="J361" s="16">
        <f>IF(C361=0,0,IF(P361="Complete",((S361*(R361-'Operating costs'!$B$39))+ROUNDUP(S361*(R361-'Operating costs'!$B$39)*IF('Replacement plan'!$AG$95="",'Operating costs'!$B$7,'Replacement plan'!$AG$95)/('Operating costs'!$B$8-'Operating costs'!$B$9*IF('Replacement plan'!$AG$95="",'Operating costs'!$B$7,'Replacement plan'!$AG$95)),0)*'Operating costs'!$B$9)*IF('Replacement plan'!$AG$95="",'Operating costs'!$B$7,'Replacement plan'!$AG$95)*('Energy and charging'!$B$9*'Energy and charging'!$B$7+(1-'Energy and charging'!$B$9)*'Energy and charging'!$B$8)*'Operating costs'!$B$23,"n.a."))</f>
        <v>0</v>
      </c>
      <c r="K361" s="16">
        <f>IF(C361=0,0,IF(P361="Complete",SUM('Operating costs'!$B$24,'Operating costs'!$B$27,'Operating costs'!$B$29,'Operating costs'!$B$31,'Operating costs'!$B$33,'Operating costs'!$B$34,'Operating costs'!$B$37,'Replacement plan'!$W$95)+'Operating costs'!$B$39*'Operating costs'!$B$42+ROUNDUP(S361*(R361-'Operating costs'!$B$39)*IF('Replacement plan'!$AG$95="",'Operating costs'!$B$7,'Replacement plan'!$AG$95)/('Operating costs'!$B$8-'Operating costs'!$B$9*IF('Replacement plan'!$AG$95="",'Operating costs'!$B$7,'Replacement plan'!$AG$95)),0)*('Operating costs'!$B$9/'Operating costs'!$B$11+'Operating costs'!$B$10/60)*'Operating costs'!$B$19*'Operating costs'!$B$21,"n.a."))</f>
        <v>0</v>
      </c>
      <c r="L361" s="16">
        <f>IF(C361=0,0,IF(P361="Complete",IF(D361="EV",X361*((1-T361)*'Energy and charging'!$B$10+T361*'Energy and charging'!$B$11)*'Operating costs'!$B$22,AA361*('Energy and charging'!$B$9*'Energy and charging'!$B$7+(1-'Energy and charging'!$B$9)*'Energy and charging'!$B$8)*'Operating costs'!$B$23),"n.a."))</f>
        <v>0</v>
      </c>
      <c r="M361" s="37">
        <f>IF(C361=0,0,IF(P361="Complete",IF(D361="ICE",SUM('Operating costs'!$B$25,'Operating costs'!$B$27,'Operating costs'!$B$29,'Operating costs'!$B$31,'Operating costs'!$B$33,'Operating costs'!$B$35,'Operating costs'!$B$37,'Replacement plan'!$X$95)+'Operating costs'!$B$40*'Operating costs'!$B$42+ROUNDUP(S361*(R361-'Operating costs'!$B$40)*IF('Replacement plan'!$AH$95="",'Operating costs'!$B$7,'Replacement plan'!$AH$95)/('Operating costs'!$B$8-'Operating costs'!$B$9*IF('Replacement plan'!$AH$95="",'Operating costs'!$B$7,'Replacement plan'!$AH$95)),0)*('Operating costs'!$B$9/'Operating costs'!$B$11+'Operating costs'!$B$10/60)*'Operating costs'!$B$19*'Operating costs'!$B$21,SUM(AP361,'Operating costs'!$B$28,'Operating costs'!$B$30,'Operating costs'!$B$32,'Operating costs'!$B$33,'Operating costs'!$B$36,'Operating costs'!$B$38,'Replacement plan'!$Y$95)+'Operating costs'!$B$41*'Operating costs'!$B$43+W361*'Operating costs'!$B$15+(T361*X361/'Replacement plan'!$L$95+W361*('Operating costs'!$B$12/'Operating costs'!$B$11+('Operating costs'!$B$13+'Operating costs'!$B$14)/60)+(R361-'Operating costs'!$B$41)*(IF(T361&lt;1,'Operating costs'!$B$16,0)+'Operating costs'!$B$17)/60)*'Operating costs'!$B$19*'Operating costs'!$B$20),"n.a."))</f>
        <v>0</v>
      </c>
      <c r="N361" s="16">
        <f>IF(AND(C361=1,D361="EV",E361&lt;120,E361+'Replacement plan'!$AA$95&lt;=120),'Replacement plan'!$Z$95,0)</f>
        <v>0</v>
      </c>
      <c r="O361" s="1">
        <f>E361+'Replacement plan'!$AA$95</f>
        <v>0</v>
      </c>
      <c r="P361" s="35" t="str">
        <f>IFERROR(IF(C361=0,"Excluded",IF(OR(COUNTIFS('Fleet register'!$A$7:$A$106,A361)&lt;&gt;1,COUNTIFS('Replacement plan'!$A$7:$A$106,A361)&lt;&gt;1),"Duplicate/missing ID",IF(NOT(AND(ISNUMBER(VLOOKUP($A361,'Fleet register'!$A$7:$S$106,5,FALSE)),ISNUMBER(VLOOKUP($A361,'Fleet register'!$A$7:$S$106,6,FALSE)),ISNUMBER(VLOOKUP($A361,'Fleet register'!$A$7:$S$106,10,FALSE)),ISNUMBER(VLOOKUP($A361,'Fleet register'!$A$7:$S$106,11,FALSE)),ISNUMBER(VLOOKUP($A361,'Fleet register'!$A$7:$S$106,12,FALSE)),ISNUMBER(VLOOKUP($A361,'Fleet register'!$A$7:$S$106,13,FALSE)),ISNUMBER(VLOOKUP($A361,'Fleet register'!$A$7:$S$106,14,FALSE)),VLOOKUP($A361,'Fleet register'!$A$7:$S$106,14,FALSE)&gt;0,ISNUMBER('Replacement plan'!$C$95),OR(E361=120,ISNUMBER('Replacement plan'!$Q$95)),ISNUMBER(E361))),"Missing vehicle input",IF(OR(E361&lt;0,E361&gt;VLOOKUP($A361,'Fleet register'!$A$7:$S$106,10,FALSE),E361&gt;120,E361&lt;&gt;INT(E361),VLOOKUP($A361,'Fleet register'!$A$7:$S$106,6,FALSE)&lt;=0,VLOOKUP($A361,'Fleet register'!$A$7:$S$106,6,FALSE)&gt;366,VLOOKUP($A361,'Fleet register'!$A$7:$S$106,5,FALSE)&lt;0,VLOOKUP($A361,'Fleet register'!$A$7:$S$106,11,FALSE)&lt;0,I361&lt;0,'Operating costs'!$B$8&lt;='Operating costs'!$B$7*'Operating costs'!$B$9,'Operating costs'!$B$11&lt;=0,'Operating costs'!$B$39&gt;R361,'Operating costs'!$B$40&gt;R361,'Operating costs'!$B$41&gt;R361,NOT(OR('Replacement plan'!$O$95="Keep ICE",'Replacement plan'!$O$95="New ICE",'Replacement plan'!$O$95="EV"))),"Invalid vehicle input",IF(AND(D361="EV",E361&lt;120,OR(NOT(ISNUMBER(U361)),NOT(ISNUMBER(V361)),V361&lt;=0,T361&lt;0,T361&gt;1,'Replacement plan'!$L$95&lt;=0,'Operating costs'!$B$44&lt;0,'Operating costs'!$B$44&gt;=1,'Operating costs'!$B$47&lt;=0,'Operating costs'!$B$47&gt;1,V361*'Operating costs'!$B$47/(1-'Operating costs'!$B$44)&lt;=T361*'Operating costs'!$B$12*U361,AND('Replacement plan'!$Z$95&gt;0,OR('Replacement plan'!$AB$95&lt;&gt;"Yes",'Operating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charging'!$B$8&gt;=0))),ISNUMBER(VLOOKUP($A361,'Fleet register'!$A$7:$S$106,15,FALSE)),ISNUMBER(VLOOKUP($A361,'Fleet register'!$A$7:$S$106,16,FALSE)),ISNUMBER('Replacement plan'!$W$95),ISNUMBER('Replacement plan'!$X$95),OR(E361=120,AND(ISNUMBER(G361),G361&gt;=0)),ISNUMBER(H361),H361&gt;=0,OR(D361&lt;&gt;"EV",E361=120,AND(ISNUMBER('Operating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average",ISNUMBER(IFERROR(INDEX(Products!$P$7:$P$13,MATCH(AD361,Products!$A$7:$A$13,0)),"")))),ISNUMBER('Operating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plan'!$Y$95),ISNUMBER('Replacement plan'!$Z$95),'Replacement plan'!$Z$95&gt;=0,ISNUMBER('Replacement plan'!$AA$95),'Replacement plan'!$AA$95&gt;=0,'Replacement plan'!$AA$95=INT('Replacement plan'!$AA$95),ISNUMBER('Replacement plan'!$L$95))),'Operating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plan'!$AG$95="",'Operating costs'!$B$7,'Replacement plan'!$AG$95)),IF('Replacement plan'!$AG$95="",'Operating costs'!$B$7,'Replacement plan'!$AG$95)&gt;=0,ISNUMBER(IF('Replacement plan'!$AH$95="",'Operating costs'!$B$7,'Replacement plan'!$AH$95)),IF('Replacement plan'!$AH$95="",'Operating costs'!$B$7,'Replacement plan'!$AH$95)&gt;=0,'Operating costs'!$B$8&gt;MAX(IF('Replacement plan'!$AG$95="",'Operating costs'!$B$7,'Replacement plan'!$AG$95),IF('Replacement plan'!$AH$95="",'Operating costs'!$B$7,'Replacement plan'!$AH$95))*'Operating costs'!$B$9),IF(AND(VLOOKUP($A361,'Fleet register'!$A$7:$S$106,10,FALSE)&gt;=0,VLOOKUP($A361,'Fleet register'!$A$7:$S$106,10,FALSE)&lt;=120,VLOOKUP($A361,'Fleet register'!$A$7:$S$106,10,FALSE)=INT(VLOOKUP($A361,'Fleet register'!$A$7:$S$106,10,FALSE)),VLOOKUP($A361,'Fleet register'!$A$7:$S$106,15,FALSE)&gt;=0,VLOOKUP($A361,'Fleet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costs'!$B$67)&gt;=0,OR(D361&lt;&gt;"EV",E361=120,AND(MIN('Operating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61" s="1" t="str">
        <f>IF(C361=0,"Excluded",IF(P361&lt;&gt;"Complete",P361,IF(OR('Replacement plan'!$AD$95&lt;120-E361,AND(D361="EV",E361&lt;120,OR('Replacement plan'!$AC$95&lt;120-E361,'Replacement plan'!$I$95="No",AND(ISNUMBER(AF361),AE361&gt;AF361),AI361&gt;V361*(1-'Operating costs'!$B$46)^MAX(0,AB361-1)*(1-'Operating costs'!$B$45),AC361&gt;'Operating costs'!$B$18,AND(T361&lt;1,OR(AG361&lt;=0,AND(ISNUMBER(AH361),AG361&gt;AH361))),'Replacement plan'!$L$95&gt;INDEX(Products!$H$7:$H$13,MATCH('Replacement plan'!$B$95,Products!$A$7:$A$13,0))))),"Fails entered limits",IF(AND(D361="EV",E361&lt;120,OR(NOT(ISNUMBER(VLOOKUP($A361,'Fleet register'!$A$7:$S$106,7,FALSE))),NOT(ISNUMBER(VLOOKUP($A361,'Fleet register'!$A$7:$S$106,8,FALSE))),NOT(ISNUMBER(AF361)),'Replacement plan'!$I$95&lt;&gt;"Yes",NOT(ISNUMBER(AH361)),'Operating costs'!$B$59&lt;&gt;"Yes",'Operating costs'!$B$58&lt;&gt;"Yes")),"Unverified","Within entered limits"))))</f>
        <v>Excluded</v>
      </c>
      <c r="R361" s="1">
        <f>IF(C361=0,0,VLOOKUP($A361,'Fleet register'!$A$7:$S$106,6,FALSE))</f>
        <v>0</v>
      </c>
      <c r="S361" s="1">
        <f>IF(C361=0,0,VLOOKUP($A361,'Fleet register'!$A$7:$S$106,5,FALSE))</f>
        <v>0</v>
      </c>
      <c r="T361" s="1">
        <f>IF(D361="EV",'Energy and charging'!$B$12,0)</f>
        <v>0</v>
      </c>
      <c r="U361" s="1">
        <f>IFERROR(IF(C361=0,0,IF(D361="EV",IF('Replacement plan'!$F$95="",INDEX(Products!$E$7:$E$13,MATCH('Replacement plan'!$B$95,Products!$A$7:$A$13,0)),'Replacement plan'!$F$95)/IF('Replacement plan'!$G$95="Battery",1-'Operating costs'!$B$44,1),0)),"n.a.")</f>
        <v>0</v>
      </c>
      <c r="V361" s="1">
        <f>IFERROR(IF(C361=0,0,IF(D361="EV",IF('Replacement plan'!$E$95="",INDEX(Products!$D$7:$D$13,MATCH('Replacement plan'!$B$95,Products!$A$7:$A$13,0)),'Replacement plan'!$E$95),0)),"n.a.")</f>
        <v>0</v>
      </c>
      <c r="W361" s="1">
        <f>IF(C361=0,0,IF(AND(P361="Complete",D361="EV",E361&lt;120),IF(T361=0,0,ROUNDUP(T361*(R361-'Operating costs'!$B$41)*(S361*U361+'Operating costs'!$B$48/(1-'Operating costs'!$B$44))/(V361*'Operating costs'!$B$47/(1-'Operating costs'!$B$44)-T361*'Operating costs'!$B$12*U361),0)),0))</f>
        <v>0</v>
      </c>
      <c r="X361" s="1">
        <f>IF(C361=0,0,IF(AND(P361="Complete",D361="EV",E361&lt;120),(R361-'Operating costs'!$B$41)*(S361*U361+'Operating costs'!$B$48/(1-'Operating costs'!$B$44))+W361*'Operating costs'!$B$12*U361,0))</f>
        <v>0</v>
      </c>
      <c r="Y361" s="1">
        <f>IF(AND(C361=1,D361="EV",E361&lt;120),AI361/(1-'Operating costs'!$B$44)*(1-T361),0)</f>
        <v>0</v>
      </c>
      <c r="Z361" s="1">
        <f t="shared" si="10"/>
        <v>0</v>
      </c>
      <c r="AA361" s="1">
        <f>IF(C361=0,0,IF(P361="Complete",((S361*(R361-'Operating costs'!$B$40))+ROUNDUP(S361*(R361-'Operating costs'!$B$40)*IF('Replacement plan'!$AH$95="",'Operating costs'!$B$7,'Replacement plan'!$AH$95)/('Operating costs'!$B$8-'Operating costs'!$B$9*IF('Replacement plan'!$AH$95="",'Operating costs'!$B$7,'Replacement plan'!$AH$95)),0)*'Operating costs'!$B$9)*IF('Replacement plan'!$AH$95="",'Operating costs'!$B$7,'Replacement plan'!$AH$95),"n.a."))</f>
        <v>0</v>
      </c>
      <c r="AB361" s="1">
        <f t="shared" si="11"/>
        <v>0</v>
      </c>
      <c r="AC361" s="1">
        <f>IF(AND(C361=1,D361="EV",E361&lt;120,T361&gt;0),'Operating costs'!$B$12/'Operating costs'!$B$11*60+'Operating costs'!$B$13+'Operating costs'!$B$14+V361*'Operating costs'!$B$47/(1-'Operating costs'!$B$44)/'Replacement plan'!$L$95*60,0)</f>
        <v>0</v>
      </c>
      <c r="AD361" s="1" t="str">
        <f>'Replacement plan'!$B$95</f>
        <v>ChengLong L2EV</v>
      </c>
      <c r="AE361" s="1">
        <f>IF(C361=0,0,VLOOKUP($A361,'Fleet register'!$A$7:$S$106,8,FALSE))</f>
        <v>0</v>
      </c>
      <c r="AF361" s="1" t="str">
        <f>IF('Replacement plan'!$H$95="","n.a.",'Replacement plan'!$H$95)</f>
        <v>n.a.</v>
      </c>
      <c r="AG361" s="1">
        <f>'Replacement plan'!$J$95</f>
        <v>22</v>
      </c>
      <c r="AH361" s="1">
        <f>IFERROR(IF(D361="EV",IF('Replacement plan'!$K$95="AC",IF(ISNUMBER(INDEX(Products!$G$7:$G$13,MATCH('Replacement plan'!$B$95,Products!$A$7:$A$13,0))),INDEX(Products!$G$7:$G$13,MATCH('Replacement plan'!$B$95,Products!$A$7:$A$13,0)),"n.a."),IF(ISNUMBER(INDEX(Products!$H$7:$H$13,MATCH('Replacement plan'!$B$95,Products!$A$7:$A$13,0))),INDEX(Products!$H$7:$H$13,MATCH('Replacement plan'!$B$95,Products!$A$7:$A$13,0)),"n.a.")),0),"n.a.")</f>
        <v>0</v>
      </c>
      <c r="AI361" s="1">
        <f>IF(AND(C361=1,D361="EV",E361&lt;120),(VLOOKUP($A361,'Fleet register'!$A$7:$S$106,7,FALSE)+IF(T361&gt;0,'Operating costs'!$B$12,0))*U361*(1-'Operating costs'!$B$44)+'Operating costs'!$B$49,0)</f>
        <v>0</v>
      </c>
      <c r="AJ361" s="1">
        <f>IF(D361="EV",'Energy and charging'!$B$50,0)</f>
        <v>0</v>
      </c>
      <c r="AK361" s="17">
        <f>EDATE('Operating costs'!$B$63,E361)</f>
        <v>46298</v>
      </c>
      <c r="AL361" s="1">
        <f>IFERROR(IF(D361="EV",INDEX(Products!$B$7:$B$13,MATCH('Replacement plan'!$B$95,Products!$A$7:$A$13,0)),0),"n.a.")</f>
        <v>0</v>
      </c>
      <c r="AM361" s="1" t="str">
        <f>'Replacement plan'!$K$95</f>
        <v>DC</v>
      </c>
      <c r="AN361" s="1" t="str">
        <f>'Replacement plan'!$AE$95</f>
        <v>Assumed</v>
      </c>
      <c r="AO361" s="47">
        <f>IF(AND(C361=1,D361="EV",E361&lt;120),(R361-'Operating costs'!$B$41)*S361+W361*'Operating costs'!$B$12,0)</f>
        <v>0</v>
      </c>
      <c r="AP361" s="41">
        <f>IF(AND(C361=1,D361="EV",E361&lt;120),IF('Operating costs'!$B$68="Hong Seh 200k average",AO361*IFERROR(INDEX(Products!$P$7:$P$13,MATCH(AD361,Products!$A$7:$A$13,0)),"n.a."),'Operating costs'!$B$26),0)</f>
        <v>0</v>
      </c>
      <c r="AQ361" s="40" t="str">
        <f>IF(D361="EV",'Operating costs'!$B$68,"Not applicable")</f>
        <v>Not applicable</v>
      </c>
    </row>
    <row r="362" spans="1:43" ht="24" customHeight="1">
      <c r="A362" s="1" t="str">
        <f>'Replacement plan'!A95</f>
        <v>T089</v>
      </c>
      <c r="B362" s="1">
        <v>3</v>
      </c>
      <c r="C362" s="1">
        <f>IF(COUNTIFS('Fleet register'!$A$7:$A$106,$A362)=1,VLOOKUP($A362,'Fleet register'!$A$7:$S$106,2,FALSE),0)</f>
        <v>0</v>
      </c>
      <c r="D362" s="1" t="str">
        <f>IF('Replacement plan'!$R$95="EV","EV","ICE")</f>
        <v>ICE</v>
      </c>
      <c r="E362" s="1">
        <f>IF(C362=0,0,IF('Replacement plan'!$S$95="",IF('Replacement plan'!$R$95="Keep ICE",IF('Replacement plan'!$M$95="",VLOOKUP($A362,'Fleet register'!$A$7:$S$106,10,FALSE),'Replacement plan'!$M$95),0),'Replacement plan'!$S$95))</f>
        <v>0</v>
      </c>
      <c r="F362" s="16">
        <f>IF(C362=0,0,VLOOKUP($A362,'Fleet register'!$A$7:$S$106,11,FALSE))</f>
        <v>0</v>
      </c>
      <c r="G362" s="16">
        <f>IFERROR(IF(C362=0,0,IF(E362=120,0,IF(D362="ICE",'Replacement plan'!$C$95,IF('Replacement plan'!$D$95="",INDEX(Products!$I$7:$I$13,MATCH('Replacement plan'!$B$95,Products!$A$7:$A$13,0))+'Operating costs'!$B$57,'Replacement plan'!$D$95))*(1+'Operating costs'!$B$50)^(E362/12))),"n.a.")</f>
        <v>0</v>
      </c>
      <c r="H362" s="16">
        <f>IFERROR(IF(C362=0,0,IF('Replacement plan'!$V$95&lt;&gt;"",'Replacement plan'!$V$95,IF(E362=0,F362,VLOOKUP($A362,'Fleet register'!$A$7:$S$106,12,FALSE)+VLOOKUP($A362,'Fleet register'!$A$7:$S$106,13,FALSE)*MAX(0,VLOOKUP($A362,'Fleet register'!$A$7:$S$106,10,FALSE)-E362)/VLOOKUP($A362,'Fleet register'!$A$7:$S$106,14,FALSE)))),"n.a.")</f>
        <v>0</v>
      </c>
      <c r="I362" s="16">
        <f>IF(C362=0,0,IF(E362=120,0,'Replacement plan'!$T$95))</f>
        <v>0</v>
      </c>
      <c r="J362" s="16">
        <f>IF(C362=0,0,IF(P362="Complete",((S362*(R362-'Operating costs'!$B$39))+ROUNDUP(S362*(R362-'Operating costs'!$B$39)*IF('Replacement plan'!$AG$95="",'Operating costs'!$B$7,'Replacement plan'!$AG$95)/('Operating costs'!$B$8-'Operating costs'!$B$9*IF('Replacement plan'!$AG$95="",'Operating costs'!$B$7,'Replacement plan'!$AG$95)),0)*'Operating costs'!$B$9)*IF('Replacement plan'!$AG$95="",'Operating costs'!$B$7,'Replacement plan'!$AG$95)*('Energy and charging'!$C$9*'Energy and charging'!$C$7+(1-'Energy and charging'!$C$9)*'Energy and charging'!$C$8)*'Operating costs'!$B$23,"n.a."))</f>
        <v>0</v>
      </c>
      <c r="K362" s="16">
        <f>IF(C362=0,0,IF(P362="Complete",SUM('Operating costs'!$B$24,'Operating costs'!$B$27,'Operating costs'!$B$29,'Operating costs'!$B$31,'Operating costs'!$B$33,'Operating costs'!$B$34,'Operating costs'!$B$37,'Replacement plan'!$W$95)+'Operating costs'!$B$39*'Operating costs'!$B$42+ROUNDUP(S362*(R362-'Operating costs'!$B$39)*IF('Replacement plan'!$AG$95="",'Operating costs'!$B$7,'Replacement plan'!$AG$95)/('Operating costs'!$B$8-'Operating costs'!$B$9*IF('Replacement plan'!$AG$95="",'Operating costs'!$B$7,'Replacement plan'!$AG$95)),0)*('Operating costs'!$B$9/'Operating costs'!$B$11+'Operating costs'!$B$10/60)*'Operating costs'!$B$19*'Operating costs'!$B$21,"n.a."))</f>
        <v>0</v>
      </c>
      <c r="L362" s="16">
        <f>IF(C362=0,0,IF(P362="Complete",IF(D362="EV",X362*((1-T362)*'Energy and charging'!$C$10+T362*'Energy and charging'!$C$11)*'Operating costs'!$B$22,AA362*('Energy and charging'!$C$9*'Energy and charging'!$C$7+(1-'Energy and charging'!$C$9)*'Energy and charging'!$C$8)*'Operating costs'!$B$23),"n.a."))</f>
        <v>0</v>
      </c>
      <c r="M362" s="37">
        <f>IF(C362=0,0,IF(P362="Complete",IF(D362="ICE",SUM('Operating costs'!$B$25,'Operating costs'!$B$27,'Operating costs'!$B$29,'Operating costs'!$B$31,'Operating costs'!$B$33,'Operating costs'!$B$35,'Operating costs'!$B$37,'Replacement plan'!$X$95)+'Operating costs'!$B$40*'Operating costs'!$B$42+ROUNDUP(S362*(R362-'Operating costs'!$B$40)*IF('Replacement plan'!$AH$95="",'Operating costs'!$B$7,'Replacement plan'!$AH$95)/('Operating costs'!$B$8-'Operating costs'!$B$9*IF('Replacement plan'!$AH$95="",'Operating costs'!$B$7,'Replacement plan'!$AH$95)),0)*('Operating costs'!$B$9/'Operating costs'!$B$11+'Operating costs'!$B$10/60)*'Operating costs'!$B$19*'Operating costs'!$B$21,SUM(AP362,'Operating costs'!$B$28,'Operating costs'!$B$30,'Operating costs'!$B$32,'Operating costs'!$B$33,'Operating costs'!$B$36,'Operating costs'!$B$38,'Replacement plan'!$Y$95)+'Operating costs'!$B$41*'Operating costs'!$B$43+W362*'Operating costs'!$B$15+(T362*X362/'Replacement plan'!$L$95+W362*('Operating costs'!$B$12/'Operating costs'!$B$11+('Operating costs'!$B$13+'Operating costs'!$B$14)/60)+(R362-'Operating costs'!$B$41)*(IF(T362&lt;1,'Operating costs'!$B$16,0)+'Operating costs'!$B$17)/60)*'Operating costs'!$B$19*'Operating costs'!$B$20),"n.a."))</f>
        <v>0</v>
      </c>
      <c r="N362" s="16">
        <f>IF(AND(C362=1,D362="EV",E362&lt;120,E362+'Replacement plan'!$AA$95&lt;=120),'Replacement plan'!$Z$95,0)</f>
        <v>0</v>
      </c>
      <c r="O362" s="1">
        <f>E362+'Replacement plan'!$AA$95</f>
        <v>0</v>
      </c>
      <c r="P362" s="35" t="str">
        <f>IFERROR(IF(C362=0,"Excluded",IF(OR(COUNTIFS('Fleet register'!$A$7:$A$106,A362)&lt;&gt;1,COUNTIFS('Replacement plan'!$A$7:$A$106,A362)&lt;&gt;1),"Duplicate/missing ID",IF(NOT(AND(ISNUMBER(VLOOKUP($A362,'Fleet register'!$A$7:$S$106,5,FALSE)),ISNUMBER(VLOOKUP($A362,'Fleet register'!$A$7:$S$106,6,FALSE)),ISNUMBER(VLOOKUP($A362,'Fleet register'!$A$7:$S$106,10,FALSE)),ISNUMBER(VLOOKUP($A362,'Fleet register'!$A$7:$S$106,11,FALSE)),ISNUMBER(VLOOKUP($A362,'Fleet register'!$A$7:$S$106,12,FALSE)),ISNUMBER(VLOOKUP($A362,'Fleet register'!$A$7:$S$106,13,FALSE)),ISNUMBER(VLOOKUP($A362,'Fleet register'!$A$7:$S$106,14,FALSE)),VLOOKUP($A362,'Fleet register'!$A$7:$S$106,14,FALSE)&gt;0,ISNUMBER('Replacement plan'!$C$95),OR(E362=120,ISNUMBER('Replacement plan'!$T$95)),ISNUMBER(E362))),"Missing vehicle input",IF(OR(E362&lt;0,E362&gt;VLOOKUP($A362,'Fleet register'!$A$7:$S$106,10,FALSE),E362&gt;120,E362&lt;&gt;INT(E362),VLOOKUP($A362,'Fleet register'!$A$7:$S$106,6,FALSE)&lt;=0,VLOOKUP($A362,'Fleet register'!$A$7:$S$106,6,FALSE)&gt;366,VLOOKUP($A362,'Fleet register'!$A$7:$S$106,5,FALSE)&lt;0,VLOOKUP($A362,'Fleet register'!$A$7:$S$106,11,FALSE)&lt;0,I362&lt;0,'Operating costs'!$B$8&lt;='Operating costs'!$B$7*'Operating costs'!$B$9,'Operating costs'!$B$11&lt;=0,'Operating costs'!$B$39&gt;R362,'Operating costs'!$B$40&gt;R362,'Operating costs'!$B$41&gt;R362,NOT(OR('Replacement plan'!$R$95="Keep ICE",'Replacement plan'!$R$95="New ICE",'Replacement plan'!$R$95="EV"))),"Invalid vehicle input",IF(AND(D362="EV",E362&lt;120,OR(NOT(ISNUMBER(U362)),NOT(ISNUMBER(V362)),V362&lt;=0,T362&lt;0,T362&gt;1,'Replacement plan'!$L$95&lt;=0,'Operating costs'!$B$44&lt;0,'Operating costs'!$B$44&gt;=1,'Operating costs'!$B$47&lt;=0,'Operating costs'!$B$47&gt;1,V362*'Operating costs'!$B$47/(1-'Operating costs'!$B$44)&lt;=T362*'Operating costs'!$B$12*U362,AND('Replacement plan'!$Z$95&gt;0,OR('Replacement plan'!$AB$95&lt;&gt;"Yes",'Operating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charging'!$C$8&gt;=0))),ISNUMBER(VLOOKUP($A362,'Fleet register'!$A$7:$S$106,15,FALSE)),ISNUMBER(VLOOKUP($A362,'Fleet register'!$A$7:$S$106,16,FALSE)),ISNUMBER('Replacement plan'!$W$95),ISNUMBER('Replacement plan'!$X$95),OR(E362=120,AND(ISNUMBER(G362),G362&gt;=0)),ISNUMBER(H362),H362&gt;=0,OR(D362&lt;&gt;"EV",E362=120,AND(ISNUMBER('Operating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average",ISNUMBER(IFERROR(INDEX(Products!$P$7:$P$13,MATCH(AD362,Products!$A$7:$A$13,0)),"")))),ISNUMBER('Operating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plan'!$Y$95),ISNUMBER('Replacement plan'!$Z$95),'Replacement plan'!$Z$95&gt;=0,ISNUMBER('Replacement plan'!$AA$95),'Replacement plan'!$AA$95&gt;=0,'Replacement plan'!$AA$95=INT('Replacement plan'!$AA$95),ISNUMBER('Replacement plan'!$L$95))),'Operating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plan'!$AG$95="",'Operating costs'!$B$7,'Replacement plan'!$AG$95)),IF('Replacement plan'!$AG$95="",'Operating costs'!$B$7,'Replacement plan'!$AG$95)&gt;=0,ISNUMBER(IF('Replacement plan'!$AH$95="",'Operating costs'!$B$7,'Replacement plan'!$AH$95)),IF('Replacement plan'!$AH$95="",'Operating costs'!$B$7,'Replacement plan'!$AH$95)&gt;=0,'Operating costs'!$B$8&gt;MAX(IF('Replacement plan'!$AG$95="",'Operating costs'!$B$7,'Replacement plan'!$AG$95),IF('Replacement plan'!$AH$95="",'Operating costs'!$B$7,'Replacement plan'!$AH$95))*'Operating costs'!$B$9),IF(AND(VLOOKUP($A362,'Fleet register'!$A$7:$S$106,10,FALSE)&gt;=0,VLOOKUP($A362,'Fleet register'!$A$7:$S$106,10,FALSE)&lt;=120,VLOOKUP($A362,'Fleet register'!$A$7:$S$106,10,FALSE)=INT(VLOOKUP($A362,'Fleet register'!$A$7:$S$106,10,FALSE)),VLOOKUP($A362,'Fleet register'!$A$7:$S$106,15,FALSE)&gt;=0,VLOOKUP($A362,'Fleet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costs'!$B$67)&gt;=0,OR(D362&lt;&gt;"EV",E362=120,AND(MIN('Operating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62" s="1" t="str">
        <f>IF(C362=0,"Excluded",IF(P362&lt;&gt;"Complete",P362,IF(OR('Replacement plan'!$AD$95&lt;120-E362,AND(D362="EV",E362&lt;120,OR('Replacement plan'!$AC$95&lt;120-E362,'Replacement plan'!$I$95="No",AND(ISNUMBER(AF362),AE362&gt;AF362),AI362&gt;V362*(1-'Operating costs'!$B$46)^MAX(0,AB362-1)*(1-'Operating costs'!$B$45),AC362&gt;'Operating costs'!$B$18,AND(T362&lt;1,OR(AG362&lt;=0,AND(ISNUMBER(AH362),AG362&gt;AH362))),'Replacement plan'!$L$95&gt;INDEX(Products!$H$7:$H$13,MATCH('Replacement plan'!$B$95,Products!$A$7:$A$13,0))))),"Fails entered limits",IF(AND(D362="EV",E362&lt;120,OR(NOT(ISNUMBER(VLOOKUP($A362,'Fleet register'!$A$7:$S$106,7,FALSE))),NOT(ISNUMBER(VLOOKUP($A362,'Fleet register'!$A$7:$S$106,8,FALSE))),NOT(ISNUMBER(AF362)),'Replacement plan'!$I$95&lt;&gt;"Yes",NOT(ISNUMBER(AH362)),'Operating costs'!$B$59&lt;&gt;"Yes",'Operating costs'!$B$58&lt;&gt;"Yes")),"Unverified","Within entered limits"))))</f>
        <v>Excluded</v>
      </c>
      <c r="R362" s="1">
        <f>IF(C362=0,0,VLOOKUP($A362,'Fleet register'!$A$7:$S$106,6,FALSE))</f>
        <v>0</v>
      </c>
      <c r="S362" s="1">
        <f>IF(C362=0,0,VLOOKUP($A362,'Fleet register'!$A$7:$S$106,5,FALSE))</f>
        <v>0</v>
      </c>
      <c r="T362" s="1">
        <f>IF(D362="EV",'Energy and charging'!$C$12,0)</f>
        <v>0</v>
      </c>
      <c r="U362" s="1">
        <f>IFERROR(IF(C362=0,0,IF(D362="EV",IF('Replacement plan'!$F$95="",INDEX(Products!$E$7:$E$13,MATCH('Replacement plan'!$B$95,Products!$A$7:$A$13,0)),'Replacement plan'!$F$95)/IF('Replacement plan'!$G$95="Battery",1-'Operating costs'!$B$44,1),0)),"n.a.")</f>
        <v>0</v>
      </c>
      <c r="V362" s="1">
        <f>IFERROR(IF(C362=0,0,IF(D362="EV",IF('Replacement plan'!$E$95="",INDEX(Products!$D$7:$D$13,MATCH('Replacement plan'!$B$95,Products!$A$7:$A$13,0)),'Replacement plan'!$E$95),0)),"n.a.")</f>
        <v>0</v>
      </c>
      <c r="W362" s="1">
        <f>IF(C362=0,0,IF(AND(P362="Complete",D362="EV",E362&lt;120),IF(T362=0,0,ROUNDUP(T362*(R362-'Operating costs'!$B$41)*(S362*U362+'Operating costs'!$B$48/(1-'Operating costs'!$B$44))/(V362*'Operating costs'!$B$47/(1-'Operating costs'!$B$44)-T362*'Operating costs'!$B$12*U362),0)),0))</f>
        <v>0</v>
      </c>
      <c r="X362" s="1">
        <f>IF(C362=0,0,IF(AND(P362="Complete",D362="EV",E362&lt;120),(R362-'Operating costs'!$B$41)*(S362*U362+'Operating costs'!$B$48/(1-'Operating costs'!$B$44))+W362*'Operating costs'!$B$12*U362,0))</f>
        <v>0</v>
      </c>
      <c r="Y362" s="1">
        <f>IF(AND(C362=1,D362="EV",E362&lt;120),AI362/(1-'Operating costs'!$B$44)*(1-T362),0)</f>
        <v>0</v>
      </c>
      <c r="Z362" s="1">
        <f t="shared" si="10"/>
        <v>0</v>
      </c>
      <c r="AA362" s="1">
        <f>IF(C362=0,0,IF(P362="Complete",((S362*(R362-'Operating costs'!$B$40))+ROUNDUP(S362*(R362-'Operating costs'!$B$40)*IF('Replacement plan'!$AH$95="",'Operating costs'!$B$7,'Replacement plan'!$AH$95)/('Operating costs'!$B$8-'Operating costs'!$B$9*IF('Replacement plan'!$AH$95="",'Operating costs'!$B$7,'Replacement plan'!$AH$95)),0)*'Operating costs'!$B$9)*IF('Replacement plan'!$AH$95="",'Operating costs'!$B$7,'Replacement plan'!$AH$95),"n.a."))</f>
        <v>0</v>
      </c>
      <c r="AB362" s="1">
        <f t="shared" si="11"/>
        <v>0</v>
      </c>
      <c r="AC362" s="1">
        <f>IF(AND(C362=1,D362="EV",E362&lt;120,T362&gt;0),'Operating costs'!$B$12/'Operating costs'!$B$11*60+'Operating costs'!$B$13+'Operating costs'!$B$14+V362*'Operating costs'!$B$47/(1-'Operating costs'!$B$44)/'Replacement plan'!$L$95*60,0)</f>
        <v>0</v>
      </c>
      <c r="AD362" s="1" t="str">
        <f>'Replacement plan'!$B$95</f>
        <v>ChengLong L2EV</v>
      </c>
      <c r="AE362" s="1">
        <f>IF(C362=0,0,VLOOKUP($A362,'Fleet register'!$A$7:$S$106,8,FALSE))</f>
        <v>0</v>
      </c>
      <c r="AF362" s="1" t="str">
        <f>IF('Replacement plan'!$H$95="","n.a.",'Replacement plan'!$H$95)</f>
        <v>n.a.</v>
      </c>
      <c r="AG362" s="1">
        <f>'Replacement plan'!$J$95</f>
        <v>22</v>
      </c>
      <c r="AH362" s="1">
        <f>IFERROR(IF(D362="EV",IF('Replacement plan'!$K$95="AC",IF(ISNUMBER(INDEX(Products!$G$7:$G$13,MATCH('Replacement plan'!$B$95,Products!$A$7:$A$13,0))),INDEX(Products!$G$7:$G$13,MATCH('Replacement plan'!$B$95,Products!$A$7:$A$13,0)),"n.a."),IF(ISNUMBER(INDEX(Products!$H$7:$H$13,MATCH('Replacement plan'!$B$95,Products!$A$7:$A$13,0))),INDEX(Products!$H$7:$H$13,MATCH('Replacement plan'!$B$95,Products!$A$7:$A$13,0)),"n.a.")),0),"n.a.")</f>
        <v>0</v>
      </c>
      <c r="AI362" s="1">
        <f>IF(AND(C362=1,D362="EV",E362&lt;120),(VLOOKUP($A362,'Fleet register'!$A$7:$S$106,7,FALSE)+IF(T362&gt;0,'Operating costs'!$B$12,0))*U362*(1-'Operating costs'!$B$44)+'Operating costs'!$B$49,0)</f>
        <v>0</v>
      </c>
      <c r="AJ362" s="1">
        <f>IF(D362="EV",'Energy and charging'!$C$50,0)</f>
        <v>0</v>
      </c>
      <c r="AK362" s="17">
        <f>EDATE('Operating costs'!$B$63,E362)</f>
        <v>46298</v>
      </c>
      <c r="AL362" s="1">
        <f>IFERROR(IF(D362="EV",INDEX(Products!$B$7:$B$13,MATCH('Replacement plan'!$B$95,Products!$A$7:$A$13,0)),0),"n.a.")</f>
        <v>0</v>
      </c>
      <c r="AM362" s="1" t="str">
        <f>'Replacement plan'!$K$95</f>
        <v>DC</v>
      </c>
      <c r="AN362" s="1" t="str">
        <f>'Replacement plan'!$AE$95</f>
        <v>Assumed</v>
      </c>
      <c r="AO362" s="47">
        <f>IF(AND(C362=1,D362="EV",E362&lt;120),(R362-'Operating costs'!$B$41)*S362+W362*'Operating costs'!$B$12,0)</f>
        <v>0</v>
      </c>
      <c r="AP362" s="41">
        <f>IF(AND(C362=1,D362="EV",E362&lt;120),IF('Operating costs'!$B$68="Hong Seh 200k average",AO362*IFERROR(INDEX(Products!$P$7:$P$13,MATCH(AD362,Products!$A$7:$A$13,0)),"n.a."),'Operating costs'!$B$26),0)</f>
        <v>0</v>
      </c>
      <c r="AQ362" s="40" t="str">
        <f>IF(D362="EV",'Operating costs'!$B$68,"Not applicable")</f>
        <v>Not applicable</v>
      </c>
    </row>
    <row r="363" spans="1:43" ht="24" customHeight="1">
      <c r="A363" s="1" t="str">
        <f>'Replacement plan'!A96</f>
        <v>T090</v>
      </c>
      <c r="B363" s="1">
        <v>0</v>
      </c>
      <c r="C363" s="1">
        <f>IF(COUNTIFS('Fleet register'!$A$7:$A$106,$A363)=1,VLOOKUP($A363,'Fleet register'!$A$7:$S$106,2,FALSE),0)</f>
        <v>0</v>
      </c>
      <c r="D363" s="1" t="str">
        <f>IF("Keep ICE"="EV","EV","ICE")</f>
        <v>ICE</v>
      </c>
      <c r="E363" s="1">
        <f>IF(C363=0,0,IF('Replacement plan'!$M$96="",VLOOKUP($A363,'Fleet register'!$A$7:$S$106,10,FALSE),'Replacement plan'!$M$96))</f>
        <v>0</v>
      </c>
      <c r="F363" s="16">
        <f>IF(C363=0,0,VLOOKUP($A363,'Fleet register'!$A$7:$S$106,11,FALSE))</f>
        <v>0</v>
      </c>
      <c r="G363" s="16">
        <f>IFERROR(IF(C363=0,0,IF(E363=120,0,IF(D363="ICE",'Replacement plan'!$C$96,IF('Replacement plan'!$D$96="",INDEX(Products!$I$7:$I$13,MATCH('Replacement plan'!$B$96,Products!$A$7:$A$13,0))+'Operating costs'!$B$57,'Replacement plan'!$D$96))*(1+'Operating costs'!$B$50)^(E363/12))),"n.a.")</f>
        <v>0</v>
      </c>
      <c r="H363" s="16">
        <f>IFERROR(IF(C363=0,0,IF(E363=0,F363,VLOOKUP($A363,'Fleet register'!$A$7:$S$106,12,FALSE)+VLOOKUP($A363,'Fleet register'!$A$7:$S$106,13,FALSE)*MAX(0,VLOOKUP($A363,'Fleet register'!$A$7:$S$106,10,FALSE)-E363)/VLOOKUP($A363,'Fleet register'!$A$7:$S$106,14,FALSE))),"n.a.")</f>
        <v>0</v>
      </c>
      <c r="I363" s="16">
        <f>IF(C363=0,0,IF(E363=120,0,'Replacement plan'!$N$96))</f>
        <v>0</v>
      </c>
      <c r="J363" s="16">
        <f>IF(C363=0,0,IF(P363="Complete",((S363*(R363-'Operating costs'!$B$39))+ROUNDUP(S363*(R363-'Operating costs'!$B$39)*IF('Replacement plan'!$AG$96="",'Operating costs'!$B$7,'Replacement plan'!$AG$96)/('Operating costs'!$B$8-'Operating costs'!$B$9*IF('Replacement plan'!$AG$96="",'Operating costs'!$B$7,'Replacement plan'!$AG$96)),0)*'Operating costs'!$B$9)*IF('Replacement plan'!$AG$96="",'Operating costs'!$B$7,'Replacement plan'!$AG$96)*('Energy and charging'!$B$9*'Energy and charging'!$B$7+(1-'Energy and charging'!$B$9)*'Energy and charging'!$B$8)*'Operating costs'!$B$23,"n.a."))</f>
        <v>0</v>
      </c>
      <c r="K363" s="16">
        <f>IF(C363=0,0,IF(P363="Complete",SUM('Operating costs'!$B$24,'Operating costs'!$B$27,'Operating costs'!$B$29,'Operating costs'!$B$31,'Operating costs'!$B$33,'Operating costs'!$B$34,'Operating costs'!$B$37,'Replacement plan'!$W$96)+'Operating costs'!$B$39*'Operating costs'!$B$42+ROUNDUP(S363*(R363-'Operating costs'!$B$39)*IF('Replacement plan'!$AG$96="",'Operating costs'!$B$7,'Replacement plan'!$AG$96)/('Operating costs'!$B$8-'Operating costs'!$B$9*IF('Replacement plan'!$AG$96="",'Operating costs'!$B$7,'Replacement plan'!$AG$96)),0)*('Operating costs'!$B$9/'Operating costs'!$B$11+'Operating costs'!$B$10/60)*'Operating costs'!$B$19*'Operating costs'!$B$21,"n.a."))</f>
        <v>0</v>
      </c>
      <c r="L363" s="16">
        <f>IF(C363=0,0,IF(P363="Complete",IF(D363="EV",X363*((1-T363)*'Energy and charging'!$B$10+T363*'Energy and charging'!$B$11)*'Operating costs'!$B$22,AA363*('Energy and charging'!$B$9*'Energy and charging'!$B$7+(1-'Energy and charging'!$B$9)*'Energy and charging'!$B$8)*'Operating costs'!$B$23),"n.a."))</f>
        <v>0</v>
      </c>
      <c r="M363" s="37">
        <f>IF(C363=0,0,IF(P363="Complete",IF(D363="ICE",SUM('Operating costs'!$B$25,'Operating costs'!$B$27,'Operating costs'!$B$29,'Operating costs'!$B$31,'Operating costs'!$B$33,'Operating costs'!$B$35,'Operating costs'!$B$37,'Replacement plan'!$X$96)+'Operating costs'!$B$40*'Operating costs'!$B$42+ROUNDUP(S363*(R363-'Operating costs'!$B$40)*IF('Replacement plan'!$AH$96="",'Operating costs'!$B$7,'Replacement plan'!$AH$96)/('Operating costs'!$B$8-'Operating costs'!$B$9*IF('Replacement plan'!$AH$96="",'Operating costs'!$B$7,'Replacement plan'!$AH$96)),0)*('Operating costs'!$B$9/'Operating costs'!$B$11+'Operating costs'!$B$10/60)*'Operating costs'!$B$19*'Operating costs'!$B$21,SUM(AP363,'Operating costs'!$B$28,'Operating costs'!$B$30,'Operating costs'!$B$32,'Operating costs'!$B$33,'Operating costs'!$B$36,'Operating costs'!$B$38,'Replacement plan'!$Y$96)+'Operating costs'!$B$41*'Operating costs'!$B$43+W363*'Operating costs'!$B$15+(T363*X363/'Replacement plan'!$L$96+W363*('Operating costs'!$B$12/'Operating costs'!$B$11+('Operating costs'!$B$13+'Operating costs'!$B$14)/60)+(R363-'Operating costs'!$B$41)*(IF(T363&lt;1,'Operating costs'!$B$16,0)+'Operating costs'!$B$17)/60)*'Operating costs'!$B$19*'Operating costs'!$B$20),"n.a."))</f>
        <v>0</v>
      </c>
      <c r="N363" s="16">
        <f>IF(AND(C363=1,D363="EV",E363&lt;120,E363+'Replacement plan'!$AA$96&lt;=120),'Replacement plan'!$Z$96,0)</f>
        <v>0</v>
      </c>
      <c r="O363" s="1">
        <f>E363+'Replacement plan'!$AA$96</f>
        <v>0</v>
      </c>
      <c r="P363" s="35" t="str">
        <f>IFERROR(IF(C363=0,"Excluded",IF(OR(COUNTIFS('Fleet register'!$A$7:$A$106,A363)&lt;&gt;1,COUNTIFS('Replacement plan'!$A$7:$A$106,A363)&lt;&gt;1),"Duplicate/missing ID",IF(NOT(AND(ISNUMBER(VLOOKUP($A363,'Fleet register'!$A$7:$S$106,5,FALSE)),ISNUMBER(VLOOKUP($A363,'Fleet register'!$A$7:$S$106,6,FALSE)),ISNUMBER(VLOOKUP($A363,'Fleet register'!$A$7:$S$106,10,FALSE)),ISNUMBER(VLOOKUP($A363,'Fleet register'!$A$7:$S$106,11,FALSE)),ISNUMBER(VLOOKUP($A363,'Fleet register'!$A$7:$S$106,12,FALSE)),ISNUMBER(VLOOKUP($A363,'Fleet register'!$A$7:$S$106,13,FALSE)),ISNUMBER(VLOOKUP($A363,'Fleet register'!$A$7:$S$106,14,FALSE)),VLOOKUP($A363,'Fleet register'!$A$7:$S$106,14,FALSE)&gt;0,ISNUMBER('Replacement plan'!$C$96),OR(E363=120,ISNUMBER('Replacement plan'!$N$96)),ISNUMBER(E363))),"Missing vehicle input",IF(OR(E363&lt;0,E363&gt;VLOOKUP($A363,'Fleet register'!$A$7:$S$106,10,FALSE),E363&gt;120,E363&lt;&gt;INT(E363),VLOOKUP($A363,'Fleet register'!$A$7:$S$106,6,FALSE)&lt;=0,VLOOKUP($A363,'Fleet register'!$A$7:$S$106,6,FALSE)&gt;366,VLOOKUP($A363,'Fleet register'!$A$7:$S$106,5,FALSE)&lt;0,VLOOKUP($A363,'Fleet register'!$A$7:$S$106,11,FALSE)&lt;0,I363&lt;0,'Operating costs'!$B$8&lt;='Operating costs'!$B$7*'Operating costs'!$B$9,'Operating costs'!$B$11&lt;=0,'Operating costs'!$B$39&gt;R363,'Operating costs'!$B$40&gt;R363,'Operating costs'!$B$41&gt;R363,NOT(OR("Keep ICE"="Keep ICE","Keep ICE"="New ICE","Keep ICE"="EV"))),"Invalid vehicle input",IF(AND(D363="EV",E363&lt;120,OR(NOT(ISNUMBER(U363)),NOT(ISNUMBER(V363)),V363&lt;=0,T363&lt;0,T363&gt;1,'Replacement plan'!$L$96&lt;=0,'Operating costs'!$B$44&lt;0,'Operating costs'!$B$44&gt;=1,'Operating costs'!$B$47&lt;=0,'Operating costs'!$B$47&gt;1,V363*'Operating costs'!$B$47/(1-'Operating costs'!$B$44)&lt;=T363*'Operating costs'!$B$12*U363,AND('Replacement plan'!$Z$96&gt;0,OR('Replacement plan'!$AB$96&lt;&gt;"Yes",'Operating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charging'!$B$8&gt;=0))),ISNUMBER(VLOOKUP($A363,'Fleet register'!$A$7:$S$106,15,FALSE)),ISNUMBER(VLOOKUP($A363,'Fleet register'!$A$7:$S$106,16,FALSE)),ISNUMBER('Replacement plan'!$W$96),ISNUMBER('Replacement plan'!$X$96),OR(E363=120,AND(ISNUMBER(G363),G363&gt;=0)),ISNUMBER(H363),H363&gt;=0,OR(D363&lt;&gt;"EV",E363=120,AND(ISNUMBER('Operating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average",ISNUMBER(IFERROR(INDEX(Products!$P$7:$P$13,MATCH(AD363,Products!$A$7:$A$13,0)),"")))),ISNUMBER('Operating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plan'!$Y$96),ISNUMBER('Replacement plan'!$Z$96),'Replacement plan'!$Z$96&gt;=0,ISNUMBER('Replacement plan'!$AA$96),'Replacement plan'!$AA$96&gt;=0,'Replacement plan'!$AA$96=INT('Replacement plan'!$AA$96),ISNUMBER('Replacement plan'!$L$96))),'Operating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plan'!$AG$96="",'Operating costs'!$B$7,'Replacement plan'!$AG$96)),IF('Replacement plan'!$AG$96="",'Operating costs'!$B$7,'Replacement plan'!$AG$96)&gt;=0,ISNUMBER(IF('Replacement plan'!$AH$96="",'Operating costs'!$B$7,'Replacement plan'!$AH$96)),IF('Replacement plan'!$AH$96="",'Operating costs'!$B$7,'Replacement plan'!$AH$96)&gt;=0,'Operating costs'!$B$8&gt;MAX(IF('Replacement plan'!$AG$96="",'Operating costs'!$B$7,'Replacement plan'!$AG$96),IF('Replacement plan'!$AH$96="",'Operating costs'!$B$7,'Replacement plan'!$AH$96))*'Operating costs'!$B$9),IF(AND(VLOOKUP($A363,'Fleet register'!$A$7:$S$106,10,FALSE)&gt;=0,VLOOKUP($A363,'Fleet register'!$A$7:$S$106,10,FALSE)&lt;=120,VLOOKUP($A363,'Fleet register'!$A$7:$S$106,10,FALSE)=INT(VLOOKUP($A363,'Fleet register'!$A$7:$S$106,10,FALSE)),VLOOKUP($A363,'Fleet register'!$A$7:$S$106,15,FALSE)&gt;=0,VLOOKUP($A363,'Fleet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costs'!$B$67)&gt;=0,OR(D363&lt;&gt;"EV",E363=120,AND(MIN('Operating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63" s="1" t="str">
        <f>IF(C363=0,"Excluded",IF(P363&lt;&gt;"Complete",P363,IF(OR('Replacement plan'!$AD$96&lt;120-E363,AND(D363="EV",E363&lt;120,OR('Replacement plan'!$AC$96&lt;120-E363,'Replacement plan'!$I$96="No",AND(ISNUMBER(AF363),AE363&gt;AF363),AI363&gt;V363*(1-'Operating costs'!$B$46)^MAX(0,AB363-1)*(1-'Operating costs'!$B$45),AC363&gt;'Operating costs'!$B$18,AND(T363&lt;1,OR(AG363&lt;=0,AND(ISNUMBER(AH363),AG363&gt;AH363))),'Replacement plan'!$L$96&gt;INDEX(Products!$H$7:$H$13,MATCH('Replacement plan'!$B$96,Products!$A$7:$A$13,0))))),"Fails entered limits",IF(AND(D363="EV",E363&lt;120,OR(NOT(ISNUMBER(VLOOKUP($A363,'Fleet register'!$A$7:$S$106,7,FALSE))),NOT(ISNUMBER(VLOOKUP($A363,'Fleet register'!$A$7:$S$106,8,FALSE))),NOT(ISNUMBER(AF363)),'Replacement plan'!$I$96&lt;&gt;"Yes",NOT(ISNUMBER(AH363)),'Operating costs'!$B$59&lt;&gt;"Yes",'Operating costs'!$B$58&lt;&gt;"Yes")),"Unverified","Within entered limits"))))</f>
        <v>Excluded</v>
      </c>
      <c r="R363" s="1">
        <f>IF(C363=0,0,VLOOKUP($A363,'Fleet register'!$A$7:$S$106,6,FALSE))</f>
        <v>0</v>
      </c>
      <c r="S363" s="1">
        <f>IF(C363=0,0,VLOOKUP($A363,'Fleet register'!$A$7:$S$106,5,FALSE))</f>
        <v>0</v>
      </c>
      <c r="T363" s="1">
        <f>IF(D363="EV",'Energy and charging'!$B$12,0)</f>
        <v>0</v>
      </c>
      <c r="U363" s="1">
        <f>IFERROR(IF(C363=0,0,IF(D363="EV",IF('Replacement plan'!$F$96="",INDEX(Products!$E$7:$E$13,MATCH('Replacement plan'!$B$96,Products!$A$7:$A$13,0)),'Replacement plan'!$F$96)/IF('Replacement plan'!$G$96="Battery",1-'Operating costs'!$B$44,1),0)),"n.a.")</f>
        <v>0</v>
      </c>
      <c r="V363" s="1">
        <f>IFERROR(IF(C363=0,0,IF(D363="EV",IF('Replacement plan'!$E$96="",INDEX(Products!$D$7:$D$13,MATCH('Replacement plan'!$B$96,Products!$A$7:$A$13,0)),'Replacement plan'!$E$96),0)),"n.a.")</f>
        <v>0</v>
      </c>
      <c r="W363" s="1">
        <f>IF(C363=0,0,IF(AND(P363="Complete",D363="EV",E363&lt;120),IF(T363=0,0,ROUNDUP(T363*(R363-'Operating costs'!$B$41)*(S363*U363+'Operating costs'!$B$48/(1-'Operating costs'!$B$44))/(V363*'Operating costs'!$B$47/(1-'Operating costs'!$B$44)-T363*'Operating costs'!$B$12*U363),0)),0))</f>
        <v>0</v>
      </c>
      <c r="X363" s="1">
        <f>IF(C363=0,0,IF(AND(P363="Complete",D363="EV",E363&lt;120),(R363-'Operating costs'!$B$41)*(S363*U363+'Operating costs'!$B$48/(1-'Operating costs'!$B$44))+W363*'Operating costs'!$B$12*U363,0))</f>
        <v>0</v>
      </c>
      <c r="Y363" s="1">
        <f>IF(AND(C363=1,D363="EV",E363&lt;120),AI363/(1-'Operating costs'!$B$44)*(1-T363),0)</f>
        <v>0</v>
      </c>
      <c r="Z363" s="1">
        <f t="shared" si="10"/>
        <v>0</v>
      </c>
      <c r="AA363" s="1">
        <f>IF(C363=0,0,IF(P363="Complete",((S363*(R363-'Operating costs'!$B$40))+ROUNDUP(S363*(R363-'Operating costs'!$B$40)*IF('Replacement plan'!$AH$96="",'Operating costs'!$B$7,'Replacement plan'!$AH$96)/('Operating costs'!$B$8-'Operating costs'!$B$9*IF('Replacement plan'!$AH$96="",'Operating costs'!$B$7,'Replacement plan'!$AH$96)),0)*'Operating costs'!$B$9)*IF('Replacement plan'!$AH$96="",'Operating costs'!$B$7,'Replacement plan'!$AH$96),"n.a."))</f>
        <v>0</v>
      </c>
      <c r="AB363" s="1">
        <f t="shared" si="11"/>
        <v>0</v>
      </c>
      <c r="AC363" s="1">
        <f>IF(AND(C363=1,D363="EV",E363&lt;120,T363&gt;0),'Operating costs'!$B$12/'Operating costs'!$B$11*60+'Operating costs'!$B$13+'Operating costs'!$B$14+V363*'Operating costs'!$B$47/(1-'Operating costs'!$B$44)/'Replacement plan'!$L$96*60,0)</f>
        <v>0</v>
      </c>
      <c r="AD363" s="1" t="str">
        <f>'Replacement plan'!$B$96</f>
        <v>ChengLong L2EV</v>
      </c>
      <c r="AE363" s="1">
        <f>IF(C363=0,0,VLOOKUP($A363,'Fleet register'!$A$7:$S$106,8,FALSE))</f>
        <v>0</v>
      </c>
      <c r="AF363" s="1" t="str">
        <f>IF('Replacement plan'!$H$96="","n.a.",'Replacement plan'!$H$96)</f>
        <v>n.a.</v>
      </c>
      <c r="AG363" s="1">
        <f>'Replacement plan'!$J$96</f>
        <v>22</v>
      </c>
      <c r="AH363" s="1">
        <f>IFERROR(IF(D363="EV",IF('Replacement plan'!$K$96="AC",IF(ISNUMBER(INDEX(Products!$G$7:$G$13,MATCH('Replacement plan'!$B$96,Products!$A$7:$A$13,0))),INDEX(Products!$G$7:$G$13,MATCH('Replacement plan'!$B$96,Products!$A$7:$A$13,0)),"n.a."),IF(ISNUMBER(INDEX(Products!$H$7:$H$13,MATCH('Replacement plan'!$B$96,Products!$A$7:$A$13,0))),INDEX(Products!$H$7:$H$13,MATCH('Replacement plan'!$B$96,Products!$A$7:$A$13,0)),"n.a.")),0),"n.a.")</f>
        <v>0</v>
      </c>
      <c r="AI363" s="1">
        <f>IF(AND(C363=1,D363="EV",E363&lt;120),(VLOOKUP($A363,'Fleet register'!$A$7:$S$106,7,FALSE)+IF(T363&gt;0,'Operating costs'!$B$12,0))*U363*(1-'Operating costs'!$B$44)+'Operating costs'!$B$49,0)</f>
        <v>0</v>
      </c>
      <c r="AJ363" s="1">
        <f>IF(D363="EV",'Energy and charging'!$B$50,0)</f>
        <v>0</v>
      </c>
      <c r="AK363" s="17">
        <f>EDATE('Operating costs'!$B$63,E363)</f>
        <v>46298</v>
      </c>
      <c r="AL363" s="1">
        <f>IFERROR(IF(D363="EV",INDEX(Products!$B$7:$B$13,MATCH('Replacement plan'!$B$96,Products!$A$7:$A$13,0)),0),"n.a.")</f>
        <v>0</v>
      </c>
      <c r="AM363" s="1" t="str">
        <f>'Replacement plan'!$K$96</f>
        <v>DC</v>
      </c>
      <c r="AN363" s="1" t="str">
        <f>'Replacement plan'!$AE$96</f>
        <v>Assumed</v>
      </c>
      <c r="AO363" s="47">
        <f>IF(AND(C363=1,D363="EV",E363&lt;120),(R363-'Operating costs'!$B$41)*S363+W363*'Operating costs'!$B$12,0)</f>
        <v>0</v>
      </c>
      <c r="AP363" s="41">
        <f>IF(AND(C363=1,D363="EV",E363&lt;120),IF('Operating costs'!$B$68="Hong Seh 200k average",AO363*IFERROR(INDEX(Products!$P$7:$P$13,MATCH(AD363,Products!$A$7:$A$13,0)),"n.a."),'Operating costs'!$B$26),0)</f>
        <v>0</v>
      </c>
      <c r="AQ363" s="40" t="str">
        <f>IF(D363="EV",'Operating costs'!$B$68,"Not applicable")</f>
        <v>Not applicable</v>
      </c>
    </row>
    <row r="364" spans="1:43" ht="24" customHeight="1">
      <c r="A364" s="1" t="str">
        <f>'Replacement plan'!A96</f>
        <v>T090</v>
      </c>
      <c r="B364" s="1">
        <v>1</v>
      </c>
      <c r="C364" s="1">
        <f>IF(COUNTIFS('Fleet register'!$A$7:$A$106,$A364)=1,VLOOKUP($A364,'Fleet register'!$A$7:$S$106,2,FALSE),0)</f>
        <v>0</v>
      </c>
      <c r="D364" s="1" t="str">
        <f>IF("New ICE"="EV","EV","ICE")</f>
        <v>ICE</v>
      </c>
      <c r="E364" s="1">
        <f>IF(C364=0,0,0)</f>
        <v>0</v>
      </c>
      <c r="F364" s="16">
        <f>IF(C364=0,0,VLOOKUP($A364,'Fleet register'!$A$7:$S$106,11,FALSE))</f>
        <v>0</v>
      </c>
      <c r="G364" s="16">
        <f>IFERROR(IF(C364=0,0,IF(E364=120,0,IF(D364="ICE",'Replacement plan'!$C$96,IF('Replacement plan'!$D$96="",INDEX(Products!$I$7:$I$13,MATCH('Replacement plan'!$B$96,Products!$A$7:$A$13,0))+'Operating costs'!$B$57,'Replacement plan'!$D$96))*(1+'Operating costs'!$B$50)^(E364/12))),"n.a.")</f>
        <v>0</v>
      </c>
      <c r="H364" s="16">
        <f>IFERROR(IF(C364=0,0,IF(E364=0,F364,VLOOKUP($A364,'Fleet register'!$A$7:$S$106,12,FALSE)+VLOOKUP($A364,'Fleet register'!$A$7:$S$106,13,FALSE)*MAX(0,VLOOKUP($A364,'Fleet register'!$A$7:$S$106,10,FALSE)-E364)/VLOOKUP($A364,'Fleet register'!$A$7:$S$106,14,FALSE))),"n.a.")</f>
        <v>0</v>
      </c>
      <c r="I364" s="16">
        <f>IF(C364=0,0,IF(E364=120,0,IF('Replacement plan'!$AI$96="",'Operating costs'!$B$56,'Replacement plan'!$AI$96)))</f>
        <v>0</v>
      </c>
      <c r="J364" s="16">
        <f>IF(C364=0,0,IF(P364="Complete",((S364*(R364-'Operating costs'!$B$39))+ROUNDUP(S364*(R364-'Operating costs'!$B$39)*IF('Replacement plan'!$AG$96="",'Operating costs'!$B$7,'Replacement plan'!$AG$96)/('Operating costs'!$B$8-'Operating costs'!$B$9*IF('Replacement plan'!$AG$96="",'Operating costs'!$B$7,'Replacement plan'!$AG$96)),0)*'Operating costs'!$B$9)*IF('Replacement plan'!$AG$96="",'Operating costs'!$B$7,'Replacement plan'!$AG$96)*('Energy and charging'!$B$9*'Energy and charging'!$B$7+(1-'Energy and charging'!$B$9)*'Energy and charging'!$B$8)*'Operating costs'!$B$23,"n.a."))</f>
        <v>0</v>
      </c>
      <c r="K364" s="16">
        <f>IF(C364=0,0,IF(P364="Complete",SUM('Operating costs'!$B$24,'Operating costs'!$B$27,'Operating costs'!$B$29,'Operating costs'!$B$31,'Operating costs'!$B$33,'Operating costs'!$B$34,'Operating costs'!$B$37,'Replacement plan'!$W$96)+'Operating costs'!$B$39*'Operating costs'!$B$42+ROUNDUP(S364*(R364-'Operating costs'!$B$39)*IF('Replacement plan'!$AG$96="",'Operating costs'!$B$7,'Replacement plan'!$AG$96)/('Operating costs'!$B$8-'Operating costs'!$B$9*IF('Replacement plan'!$AG$96="",'Operating costs'!$B$7,'Replacement plan'!$AG$96)),0)*('Operating costs'!$B$9/'Operating costs'!$B$11+'Operating costs'!$B$10/60)*'Operating costs'!$B$19*'Operating costs'!$B$21,"n.a."))</f>
        <v>0</v>
      </c>
      <c r="L364" s="16">
        <f>IF(C364=0,0,IF(P364="Complete",IF(D364="EV",X364*((1-T364)*'Energy and charging'!$B$10+T364*'Energy and charging'!$B$11)*'Operating costs'!$B$22,AA364*('Energy and charging'!$B$9*'Energy and charging'!$B$7+(1-'Energy and charging'!$B$9)*'Energy and charging'!$B$8)*'Operating costs'!$B$23),"n.a."))</f>
        <v>0</v>
      </c>
      <c r="M364" s="37">
        <f>IF(C364=0,0,IF(P364="Complete",IF(D364="ICE",SUM('Operating costs'!$B$25,'Operating costs'!$B$27,'Operating costs'!$B$29,'Operating costs'!$B$31,'Operating costs'!$B$33,'Operating costs'!$B$35,'Operating costs'!$B$37,'Replacement plan'!$X$96)+'Operating costs'!$B$40*'Operating costs'!$B$42+ROUNDUP(S364*(R364-'Operating costs'!$B$40)*IF('Replacement plan'!$AH$96="",'Operating costs'!$B$7,'Replacement plan'!$AH$96)/('Operating costs'!$B$8-'Operating costs'!$B$9*IF('Replacement plan'!$AH$96="",'Operating costs'!$B$7,'Replacement plan'!$AH$96)),0)*('Operating costs'!$B$9/'Operating costs'!$B$11+'Operating costs'!$B$10/60)*'Operating costs'!$B$19*'Operating costs'!$B$21,SUM(AP364,'Operating costs'!$B$28,'Operating costs'!$B$30,'Operating costs'!$B$32,'Operating costs'!$B$33,'Operating costs'!$B$36,'Operating costs'!$B$38,'Replacement plan'!$Y$96)+'Operating costs'!$B$41*'Operating costs'!$B$43+W364*'Operating costs'!$B$15+(T364*X364/'Replacement plan'!$L$96+W364*('Operating costs'!$B$12/'Operating costs'!$B$11+('Operating costs'!$B$13+'Operating costs'!$B$14)/60)+(R364-'Operating costs'!$B$41)*(IF(T364&lt;1,'Operating costs'!$B$16,0)+'Operating costs'!$B$17)/60)*'Operating costs'!$B$19*'Operating costs'!$B$20),"n.a."))</f>
        <v>0</v>
      </c>
      <c r="N364" s="16">
        <f>IF(AND(C364=1,D364="EV",E364&lt;120,E364+'Replacement plan'!$AA$96&lt;=120),'Replacement plan'!$Z$96,0)</f>
        <v>0</v>
      </c>
      <c r="O364" s="1">
        <f>E364+'Replacement plan'!$AA$96</f>
        <v>0</v>
      </c>
      <c r="P364" s="35" t="str">
        <f>IFERROR(IF(C364=0,"Excluded",IF(OR(COUNTIFS('Fleet register'!$A$7:$A$106,A364)&lt;&gt;1,COUNTIFS('Replacement plan'!$A$7:$A$106,A364)&lt;&gt;1),"Duplicate/missing ID",IF(NOT(AND(ISNUMBER(VLOOKUP($A364,'Fleet register'!$A$7:$S$106,5,FALSE)),ISNUMBER(VLOOKUP($A364,'Fleet register'!$A$7:$S$106,6,FALSE)),ISNUMBER(VLOOKUP($A364,'Fleet register'!$A$7:$S$106,10,FALSE)),ISNUMBER(VLOOKUP($A364,'Fleet register'!$A$7:$S$106,11,FALSE)),ISNUMBER(VLOOKUP($A364,'Fleet register'!$A$7:$S$106,12,FALSE)),ISNUMBER(VLOOKUP($A364,'Fleet register'!$A$7:$S$106,13,FALSE)),ISNUMBER(VLOOKUP($A364,'Fleet register'!$A$7:$S$106,14,FALSE)),VLOOKUP($A364,'Fleet register'!$A$7:$S$106,14,FALSE)&gt;0,ISNUMBER('Replacement plan'!$C$96),OR(E364=120,OR(ISNUMBER('Replacement plan'!$AI$96),AND('Replacement plan'!$AI$96="",ISNUMBER('Operating costs'!$B$56)))),ISNUMBER(E364))),"Missing vehicle input",IF(OR(E364&lt;0,E364&gt;VLOOKUP($A364,'Fleet register'!$A$7:$S$106,10,FALSE),E364&gt;120,E364&lt;&gt;INT(E364),VLOOKUP($A364,'Fleet register'!$A$7:$S$106,6,FALSE)&lt;=0,VLOOKUP($A364,'Fleet register'!$A$7:$S$106,6,FALSE)&gt;366,VLOOKUP($A364,'Fleet register'!$A$7:$S$106,5,FALSE)&lt;0,VLOOKUP($A364,'Fleet register'!$A$7:$S$106,11,FALSE)&lt;0,I364&lt;0,'Operating costs'!$B$8&lt;='Operating costs'!$B$7*'Operating costs'!$B$9,'Operating costs'!$B$11&lt;=0,'Operating costs'!$B$39&gt;R364,'Operating costs'!$B$40&gt;R364,'Operating costs'!$B$41&gt;R364,NOT(OR("New ICE"="Keep ICE","New ICE"="New ICE","New ICE"="EV"))),"Invalid vehicle input",IF(AND(D364="EV",E364&lt;120,OR(NOT(ISNUMBER(U364)),NOT(ISNUMBER(V364)),V364&lt;=0,T364&lt;0,T364&gt;1,'Replacement plan'!$L$96&lt;=0,'Operating costs'!$B$44&lt;0,'Operating costs'!$B$44&gt;=1,'Operating costs'!$B$47&lt;=0,'Operating costs'!$B$47&gt;1,V364*'Operating costs'!$B$47/(1-'Operating costs'!$B$44)&lt;=T364*'Operating costs'!$B$12*U364,AND('Replacement plan'!$Z$96&gt;0,OR('Replacement plan'!$AB$96&lt;&gt;"Yes",'Operating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charging'!$B$8&gt;=0))),ISNUMBER(VLOOKUP($A364,'Fleet register'!$A$7:$S$106,15,FALSE)),ISNUMBER(VLOOKUP($A364,'Fleet register'!$A$7:$S$106,16,FALSE)),ISNUMBER('Replacement plan'!$W$96),ISNUMBER('Replacement plan'!$X$96),OR(E364=120,AND(ISNUMBER(G364),G364&gt;=0)),ISNUMBER(H364),H364&gt;=0,OR(D364&lt;&gt;"EV",E364=120,AND(ISNUMBER('Operating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average",ISNUMBER(IFERROR(INDEX(Products!$P$7:$P$13,MATCH(AD364,Products!$A$7:$A$13,0)),"")))),ISNUMBER('Operating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plan'!$Y$96),ISNUMBER('Replacement plan'!$Z$96),'Replacement plan'!$Z$96&gt;=0,ISNUMBER('Replacement plan'!$AA$96),'Replacement plan'!$AA$96&gt;=0,'Replacement plan'!$AA$96=INT('Replacement plan'!$AA$96),ISNUMBER('Replacement plan'!$L$96))),'Operating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plan'!$AG$96="",'Operating costs'!$B$7,'Replacement plan'!$AG$96)),IF('Replacement plan'!$AG$96="",'Operating costs'!$B$7,'Replacement plan'!$AG$96)&gt;=0,ISNUMBER(IF('Replacement plan'!$AH$96="",'Operating costs'!$B$7,'Replacement plan'!$AH$96)),IF('Replacement plan'!$AH$96="",'Operating costs'!$B$7,'Replacement plan'!$AH$96)&gt;=0,'Operating costs'!$B$8&gt;MAX(IF('Replacement plan'!$AG$96="",'Operating costs'!$B$7,'Replacement plan'!$AG$96),IF('Replacement plan'!$AH$96="",'Operating costs'!$B$7,'Replacement plan'!$AH$96))*'Operating costs'!$B$9),IF(AND(VLOOKUP($A364,'Fleet register'!$A$7:$S$106,10,FALSE)&gt;=0,VLOOKUP($A364,'Fleet register'!$A$7:$S$106,10,FALSE)&lt;=120,VLOOKUP($A364,'Fleet register'!$A$7:$S$106,10,FALSE)=INT(VLOOKUP($A364,'Fleet register'!$A$7:$S$106,10,FALSE)),VLOOKUP($A364,'Fleet register'!$A$7:$S$106,15,FALSE)&gt;=0,VLOOKUP($A364,'Fleet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costs'!$B$67)&gt;=0,OR(D364&lt;&gt;"EV",E364=120,AND(MIN('Operating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64" s="1" t="str">
        <f>IF(C364=0,"Excluded",IF(P364&lt;&gt;"Complete",P364,IF(OR('Replacement plan'!$AD$96&lt;120-E364,AND(D364="EV",E364&lt;120,OR('Replacement plan'!$AC$96&lt;120-E364,'Replacement plan'!$I$96="No",AND(ISNUMBER(AF364),AE364&gt;AF364),AI364&gt;V364*(1-'Operating costs'!$B$46)^MAX(0,AB364-1)*(1-'Operating costs'!$B$45),AC364&gt;'Operating costs'!$B$18,AND(T364&lt;1,OR(AG364&lt;=0,AND(ISNUMBER(AH364),AG364&gt;AH364))),'Replacement plan'!$L$96&gt;INDEX(Products!$H$7:$H$13,MATCH('Replacement plan'!$B$96,Products!$A$7:$A$13,0))))),"Fails entered limits",IF(AND(D364="EV",E364&lt;120,OR(NOT(ISNUMBER(VLOOKUP($A364,'Fleet register'!$A$7:$S$106,7,FALSE))),NOT(ISNUMBER(VLOOKUP($A364,'Fleet register'!$A$7:$S$106,8,FALSE))),NOT(ISNUMBER(AF364)),'Replacement plan'!$I$96&lt;&gt;"Yes",NOT(ISNUMBER(AH364)),'Operating costs'!$B$59&lt;&gt;"Yes",'Operating costs'!$B$58&lt;&gt;"Yes")),"Unverified","Within entered limits"))))</f>
        <v>Excluded</v>
      </c>
      <c r="R364" s="1">
        <f>IF(C364=0,0,VLOOKUP($A364,'Fleet register'!$A$7:$S$106,6,FALSE))</f>
        <v>0</v>
      </c>
      <c r="S364" s="1">
        <f>IF(C364=0,0,VLOOKUP($A364,'Fleet register'!$A$7:$S$106,5,FALSE))</f>
        <v>0</v>
      </c>
      <c r="T364" s="1">
        <f>IF(D364="EV",'Energy and charging'!$B$12,0)</f>
        <v>0</v>
      </c>
      <c r="U364" s="1">
        <f>IFERROR(IF(C364=0,0,IF(D364="EV",IF('Replacement plan'!$F$96="",INDEX(Products!$E$7:$E$13,MATCH('Replacement plan'!$B$96,Products!$A$7:$A$13,0)),'Replacement plan'!$F$96)/IF('Replacement plan'!$G$96="Battery",1-'Operating costs'!$B$44,1),0)),"n.a.")</f>
        <v>0</v>
      </c>
      <c r="V364" s="1">
        <f>IFERROR(IF(C364=0,0,IF(D364="EV",IF('Replacement plan'!$E$96="",INDEX(Products!$D$7:$D$13,MATCH('Replacement plan'!$B$96,Products!$A$7:$A$13,0)),'Replacement plan'!$E$96),0)),"n.a.")</f>
        <v>0</v>
      </c>
      <c r="W364" s="1">
        <f>IF(C364=0,0,IF(AND(P364="Complete",D364="EV",E364&lt;120),IF(T364=0,0,ROUNDUP(T364*(R364-'Operating costs'!$B$41)*(S364*U364+'Operating costs'!$B$48/(1-'Operating costs'!$B$44))/(V364*'Operating costs'!$B$47/(1-'Operating costs'!$B$44)-T364*'Operating costs'!$B$12*U364),0)),0))</f>
        <v>0</v>
      </c>
      <c r="X364" s="1">
        <f>IF(C364=0,0,IF(AND(P364="Complete",D364="EV",E364&lt;120),(R364-'Operating costs'!$B$41)*(S364*U364+'Operating costs'!$B$48/(1-'Operating costs'!$B$44))+W364*'Operating costs'!$B$12*U364,0))</f>
        <v>0</v>
      </c>
      <c r="Y364" s="1">
        <f>IF(AND(C364=1,D364="EV",E364&lt;120),AI364/(1-'Operating costs'!$B$44)*(1-T364),0)</f>
        <v>0</v>
      </c>
      <c r="Z364" s="1">
        <f t="shared" si="10"/>
        <v>0</v>
      </c>
      <c r="AA364" s="1">
        <f>IF(C364=0,0,IF(P364="Complete",((S364*(R364-'Operating costs'!$B$40))+ROUNDUP(S364*(R364-'Operating costs'!$B$40)*IF('Replacement plan'!$AH$96="",'Operating costs'!$B$7,'Replacement plan'!$AH$96)/('Operating costs'!$B$8-'Operating costs'!$B$9*IF('Replacement plan'!$AH$96="",'Operating costs'!$B$7,'Replacement plan'!$AH$96)),0)*'Operating costs'!$B$9)*IF('Replacement plan'!$AH$96="",'Operating costs'!$B$7,'Replacement plan'!$AH$96),"n.a."))</f>
        <v>0</v>
      </c>
      <c r="AB364" s="1">
        <f t="shared" si="11"/>
        <v>0</v>
      </c>
      <c r="AC364" s="1">
        <f>IF(AND(C364=1,D364="EV",E364&lt;120,T364&gt;0),'Operating costs'!$B$12/'Operating costs'!$B$11*60+'Operating costs'!$B$13+'Operating costs'!$B$14+V364*'Operating costs'!$B$47/(1-'Operating costs'!$B$44)/'Replacement plan'!$L$96*60,0)</f>
        <v>0</v>
      </c>
      <c r="AD364" s="1" t="str">
        <f>'Replacement plan'!$B$96</f>
        <v>ChengLong L2EV</v>
      </c>
      <c r="AE364" s="1">
        <f>IF(C364=0,0,VLOOKUP($A364,'Fleet register'!$A$7:$S$106,8,FALSE))</f>
        <v>0</v>
      </c>
      <c r="AF364" s="1" t="str">
        <f>IF('Replacement plan'!$H$96="","n.a.",'Replacement plan'!$H$96)</f>
        <v>n.a.</v>
      </c>
      <c r="AG364" s="1">
        <f>'Replacement plan'!$J$96</f>
        <v>22</v>
      </c>
      <c r="AH364" s="1">
        <f>IFERROR(IF(D364="EV",IF('Replacement plan'!$K$96="AC",IF(ISNUMBER(INDEX(Products!$G$7:$G$13,MATCH('Replacement plan'!$B$96,Products!$A$7:$A$13,0))),INDEX(Products!$G$7:$G$13,MATCH('Replacement plan'!$B$96,Products!$A$7:$A$13,0)),"n.a."),IF(ISNUMBER(INDEX(Products!$H$7:$H$13,MATCH('Replacement plan'!$B$96,Products!$A$7:$A$13,0))),INDEX(Products!$H$7:$H$13,MATCH('Replacement plan'!$B$96,Products!$A$7:$A$13,0)),"n.a.")),0),"n.a.")</f>
        <v>0</v>
      </c>
      <c r="AI364" s="1">
        <f>IF(AND(C364=1,D364="EV",E364&lt;120),(VLOOKUP($A364,'Fleet register'!$A$7:$S$106,7,FALSE)+IF(T364&gt;0,'Operating costs'!$B$12,0))*U364*(1-'Operating costs'!$B$44)+'Operating costs'!$B$49,0)</f>
        <v>0</v>
      </c>
      <c r="AJ364" s="1">
        <f>IF(D364="EV",'Energy and charging'!$B$50,0)</f>
        <v>0</v>
      </c>
      <c r="AK364" s="17">
        <f>EDATE('Operating costs'!$B$63,E364)</f>
        <v>46298</v>
      </c>
      <c r="AL364" s="1">
        <f>IFERROR(IF(D364="EV",INDEX(Products!$B$7:$B$13,MATCH('Replacement plan'!$B$96,Products!$A$7:$A$13,0)),0),"n.a.")</f>
        <v>0</v>
      </c>
      <c r="AM364" s="1" t="str">
        <f>'Replacement plan'!$K$96</f>
        <v>DC</v>
      </c>
      <c r="AN364" s="1" t="str">
        <f>'Replacement plan'!$AE$96</f>
        <v>Assumed</v>
      </c>
      <c r="AO364" s="47">
        <f>IF(AND(C364=1,D364="EV",E364&lt;120),(R364-'Operating costs'!$B$41)*S364+W364*'Operating costs'!$B$12,0)</f>
        <v>0</v>
      </c>
      <c r="AP364" s="41">
        <f>IF(AND(C364=1,D364="EV",E364&lt;120),IF('Operating costs'!$B$68="Hong Seh 200k average",AO364*IFERROR(INDEX(Products!$P$7:$P$13,MATCH(AD364,Products!$A$7:$A$13,0)),"n.a."),'Operating costs'!$B$26),0)</f>
        <v>0</v>
      </c>
      <c r="AQ364" s="40" t="str">
        <f>IF(D364="EV",'Operating costs'!$B$68,"Not applicable")</f>
        <v>Not applicable</v>
      </c>
    </row>
    <row r="365" spans="1:43" ht="24" customHeight="1">
      <c r="A365" s="1" t="str">
        <f>'Replacement plan'!A96</f>
        <v>T090</v>
      </c>
      <c r="B365" s="1">
        <v>2</v>
      </c>
      <c r="C365" s="1">
        <f>IF(COUNTIFS('Fleet register'!$A$7:$A$106,$A365)=1,VLOOKUP($A365,'Fleet register'!$A$7:$S$106,2,FALSE),0)</f>
        <v>0</v>
      </c>
      <c r="D365" s="1" t="str">
        <f>IF('Replacement plan'!$O$96="EV","EV","ICE")</f>
        <v>ICE</v>
      </c>
      <c r="E365" s="1">
        <f>IF(C365=0,0,IF('Replacement plan'!$P$96="",IF('Replacement plan'!$O$96="Keep ICE",IF('Replacement plan'!$M$96="",VLOOKUP($A365,'Fleet register'!$A$7:$S$106,10,FALSE),'Replacement plan'!$M$96),0),'Replacement plan'!$P$96))</f>
        <v>0</v>
      </c>
      <c r="F365" s="16">
        <f>IF(C365=0,0,VLOOKUP($A365,'Fleet register'!$A$7:$S$106,11,FALSE))</f>
        <v>0</v>
      </c>
      <c r="G365" s="16">
        <f>IFERROR(IF(C365=0,0,IF(E365=120,0,IF(D365="ICE",'Replacement plan'!$C$96,IF('Replacement plan'!$D$96="",INDEX(Products!$I$7:$I$13,MATCH('Replacement plan'!$B$96,Products!$A$7:$A$13,0))+'Operating costs'!$B$57,'Replacement plan'!$D$96))*(1+'Operating costs'!$B$50)^(E365/12))),"n.a.")</f>
        <v>0</v>
      </c>
      <c r="H365" s="16">
        <f>IFERROR(IF(C365=0,0,IF('Replacement plan'!$U$96&lt;&gt;"",'Replacement plan'!$U$96,IF(E365=0,F365,VLOOKUP($A365,'Fleet register'!$A$7:$S$106,12,FALSE)+VLOOKUP($A365,'Fleet register'!$A$7:$S$106,13,FALSE)*MAX(0,VLOOKUP($A365,'Fleet register'!$A$7:$S$106,10,FALSE)-E365)/VLOOKUP($A365,'Fleet register'!$A$7:$S$106,14,FALSE)))),"n.a.")</f>
        <v>0</v>
      </c>
      <c r="I365" s="16">
        <f>IF(C365=0,0,IF(E365=120,0,'Replacement plan'!$Q$96))</f>
        <v>0</v>
      </c>
      <c r="J365" s="16">
        <f>IF(C365=0,0,IF(P365="Complete",((S365*(R365-'Operating costs'!$B$39))+ROUNDUP(S365*(R365-'Operating costs'!$B$39)*IF('Replacement plan'!$AG$96="",'Operating costs'!$B$7,'Replacement plan'!$AG$96)/('Operating costs'!$B$8-'Operating costs'!$B$9*IF('Replacement plan'!$AG$96="",'Operating costs'!$B$7,'Replacement plan'!$AG$96)),0)*'Operating costs'!$B$9)*IF('Replacement plan'!$AG$96="",'Operating costs'!$B$7,'Replacement plan'!$AG$96)*('Energy and charging'!$B$9*'Energy and charging'!$B$7+(1-'Energy and charging'!$B$9)*'Energy and charging'!$B$8)*'Operating costs'!$B$23,"n.a."))</f>
        <v>0</v>
      </c>
      <c r="K365" s="16">
        <f>IF(C365=0,0,IF(P365="Complete",SUM('Operating costs'!$B$24,'Operating costs'!$B$27,'Operating costs'!$B$29,'Operating costs'!$B$31,'Operating costs'!$B$33,'Operating costs'!$B$34,'Operating costs'!$B$37,'Replacement plan'!$W$96)+'Operating costs'!$B$39*'Operating costs'!$B$42+ROUNDUP(S365*(R365-'Operating costs'!$B$39)*IF('Replacement plan'!$AG$96="",'Operating costs'!$B$7,'Replacement plan'!$AG$96)/('Operating costs'!$B$8-'Operating costs'!$B$9*IF('Replacement plan'!$AG$96="",'Operating costs'!$B$7,'Replacement plan'!$AG$96)),0)*('Operating costs'!$B$9/'Operating costs'!$B$11+'Operating costs'!$B$10/60)*'Operating costs'!$B$19*'Operating costs'!$B$21,"n.a."))</f>
        <v>0</v>
      </c>
      <c r="L365" s="16">
        <f>IF(C365=0,0,IF(P365="Complete",IF(D365="EV",X365*((1-T365)*'Energy and charging'!$B$10+T365*'Energy and charging'!$B$11)*'Operating costs'!$B$22,AA365*('Energy and charging'!$B$9*'Energy and charging'!$B$7+(1-'Energy and charging'!$B$9)*'Energy and charging'!$B$8)*'Operating costs'!$B$23),"n.a."))</f>
        <v>0</v>
      </c>
      <c r="M365" s="37">
        <f>IF(C365=0,0,IF(P365="Complete",IF(D365="ICE",SUM('Operating costs'!$B$25,'Operating costs'!$B$27,'Operating costs'!$B$29,'Operating costs'!$B$31,'Operating costs'!$B$33,'Operating costs'!$B$35,'Operating costs'!$B$37,'Replacement plan'!$X$96)+'Operating costs'!$B$40*'Operating costs'!$B$42+ROUNDUP(S365*(R365-'Operating costs'!$B$40)*IF('Replacement plan'!$AH$96="",'Operating costs'!$B$7,'Replacement plan'!$AH$96)/('Operating costs'!$B$8-'Operating costs'!$B$9*IF('Replacement plan'!$AH$96="",'Operating costs'!$B$7,'Replacement plan'!$AH$96)),0)*('Operating costs'!$B$9/'Operating costs'!$B$11+'Operating costs'!$B$10/60)*'Operating costs'!$B$19*'Operating costs'!$B$21,SUM(AP365,'Operating costs'!$B$28,'Operating costs'!$B$30,'Operating costs'!$B$32,'Operating costs'!$B$33,'Operating costs'!$B$36,'Operating costs'!$B$38,'Replacement plan'!$Y$96)+'Operating costs'!$B$41*'Operating costs'!$B$43+W365*'Operating costs'!$B$15+(T365*X365/'Replacement plan'!$L$96+W365*('Operating costs'!$B$12/'Operating costs'!$B$11+('Operating costs'!$B$13+'Operating costs'!$B$14)/60)+(R365-'Operating costs'!$B$41)*(IF(T365&lt;1,'Operating costs'!$B$16,0)+'Operating costs'!$B$17)/60)*'Operating costs'!$B$19*'Operating costs'!$B$20),"n.a."))</f>
        <v>0</v>
      </c>
      <c r="N365" s="16">
        <f>IF(AND(C365=1,D365="EV",E365&lt;120,E365+'Replacement plan'!$AA$96&lt;=120),'Replacement plan'!$Z$96,0)</f>
        <v>0</v>
      </c>
      <c r="O365" s="1">
        <f>E365+'Replacement plan'!$AA$96</f>
        <v>0</v>
      </c>
      <c r="P365" s="35" t="str">
        <f>IFERROR(IF(C365=0,"Excluded",IF(OR(COUNTIFS('Fleet register'!$A$7:$A$106,A365)&lt;&gt;1,COUNTIFS('Replacement plan'!$A$7:$A$106,A365)&lt;&gt;1),"Duplicate/missing ID",IF(NOT(AND(ISNUMBER(VLOOKUP($A365,'Fleet register'!$A$7:$S$106,5,FALSE)),ISNUMBER(VLOOKUP($A365,'Fleet register'!$A$7:$S$106,6,FALSE)),ISNUMBER(VLOOKUP($A365,'Fleet register'!$A$7:$S$106,10,FALSE)),ISNUMBER(VLOOKUP($A365,'Fleet register'!$A$7:$S$106,11,FALSE)),ISNUMBER(VLOOKUP($A365,'Fleet register'!$A$7:$S$106,12,FALSE)),ISNUMBER(VLOOKUP($A365,'Fleet register'!$A$7:$S$106,13,FALSE)),ISNUMBER(VLOOKUP($A365,'Fleet register'!$A$7:$S$106,14,FALSE)),VLOOKUP($A365,'Fleet register'!$A$7:$S$106,14,FALSE)&gt;0,ISNUMBER('Replacement plan'!$C$96),OR(E365=120,ISNUMBER('Replacement plan'!$Q$96)),ISNUMBER(E365))),"Missing vehicle input",IF(OR(E365&lt;0,E365&gt;VLOOKUP($A365,'Fleet register'!$A$7:$S$106,10,FALSE),E365&gt;120,E365&lt;&gt;INT(E365),VLOOKUP($A365,'Fleet register'!$A$7:$S$106,6,FALSE)&lt;=0,VLOOKUP($A365,'Fleet register'!$A$7:$S$106,6,FALSE)&gt;366,VLOOKUP($A365,'Fleet register'!$A$7:$S$106,5,FALSE)&lt;0,VLOOKUP($A365,'Fleet register'!$A$7:$S$106,11,FALSE)&lt;0,I365&lt;0,'Operating costs'!$B$8&lt;='Operating costs'!$B$7*'Operating costs'!$B$9,'Operating costs'!$B$11&lt;=0,'Operating costs'!$B$39&gt;R365,'Operating costs'!$B$40&gt;R365,'Operating costs'!$B$41&gt;R365,NOT(OR('Replacement plan'!$O$96="Keep ICE",'Replacement plan'!$O$96="New ICE",'Replacement plan'!$O$96="EV"))),"Invalid vehicle input",IF(AND(D365="EV",E365&lt;120,OR(NOT(ISNUMBER(U365)),NOT(ISNUMBER(V365)),V365&lt;=0,T365&lt;0,T365&gt;1,'Replacement plan'!$L$96&lt;=0,'Operating costs'!$B$44&lt;0,'Operating costs'!$B$44&gt;=1,'Operating costs'!$B$47&lt;=0,'Operating costs'!$B$47&gt;1,V365*'Operating costs'!$B$47/(1-'Operating costs'!$B$44)&lt;=T365*'Operating costs'!$B$12*U365,AND('Replacement plan'!$Z$96&gt;0,OR('Replacement plan'!$AB$96&lt;&gt;"Yes",'Operating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charging'!$B$8&gt;=0))),ISNUMBER(VLOOKUP($A365,'Fleet register'!$A$7:$S$106,15,FALSE)),ISNUMBER(VLOOKUP($A365,'Fleet register'!$A$7:$S$106,16,FALSE)),ISNUMBER('Replacement plan'!$W$96),ISNUMBER('Replacement plan'!$X$96),OR(E365=120,AND(ISNUMBER(G365),G365&gt;=0)),ISNUMBER(H365),H365&gt;=0,OR(D365&lt;&gt;"EV",E365=120,AND(ISNUMBER('Operating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average",ISNUMBER(IFERROR(INDEX(Products!$P$7:$P$13,MATCH(AD365,Products!$A$7:$A$13,0)),"")))),ISNUMBER('Operating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plan'!$Y$96),ISNUMBER('Replacement plan'!$Z$96),'Replacement plan'!$Z$96&gt;=0,ISNUMBER('Replacement plan'!$AA$96),'Replacement plan'!$AA$96&gt;=0,'Replacement plan'!$AA$96=INT('Replacement plan'!$AA$96),ISNUMBER('Replacement plan'!$L$96))),'Operating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plan'!$AG$96="",'Operating costs'!$B$7,'Replacement plan'!$AG$96)),IF('Replacement plan'!$AG$96="",'Operating costs'!$B$7,'Replacement plan'!$AG$96)&gt;=0,ISNUMBER(IF('Replacement plan'!$AH$96="",'Operating costs'!$B$7,'Replacement plan'!$AH$96)),IF('Replacement plan'!$AH$96="",'Operating costs'!$B$7,'Replacement plan'!$AH$96)&gt;=0,'Operating costs'!$B$8&gt;MAX(IF('Replacement plan'!$AG$96="",'Operating costs'!$B$7,'Replacement plan'!$AG$96),IF('Replacement plan'!$AH$96="",'Operating costs'!$B$7,'Replacement plan'!$AH$96))*'Operating costs'!$B$9),IF(AND(VLOOKUP($A365,'Fleet register'!$A$7:$S$106,10,FALSE)&gt;=0,VLOOKUP($A365,'Fleet register'!$A$7:$S$106,10,FALSE)&lt;=120,VLOOKUP($A365,'Fleet register'!$A$7:$S$106,10,FALSE)=INT(VLOOKUP($A365,'Fleet register'!$A$7:$S$106,10,FALSE)),VLOOKUP($A365,'Fleet register'!$A$7:$S$106,15,FALSE)&gt;=0,VLOOKUP($A365,'Fleet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costs'!$B$67)&gt;=0,OR(D365&lt;&gt;"EV",E365=120,AND(MIN('Operating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65" s="1" t="str">
        <f>IF(C365=0,"Excluded",IF(P365&lt;&gt;"Complete",P365,IF(OR('Replacement plan'!$AD$96&lt;120-E365,AND(D365="EV",E365&lt;120,OR('Replacement plan'!$AC$96&lt;120-E365,'Replacement plan'!$I$96="No",AND(ISNUMBER(AF365),AE365&gt;AF365),AI365&gt;V365*(1-'Operating costs'!$B$46)^MAX(0,AB365-1)*(1-'Operating costs'!$B$45),AC365&gt;'Operating costs'!$B$18,AND(T365&lt;1,OR(AG365&lt;=0,AND(ISNUMBER(AH365),AG365&gt;AH365))),'Replacement plan'!$L$96&gt;INDEX(Products!$H$7:$H$13,MATCH('Replacement plan'!$B$96,Products!$A$7:$A$13,0))))),"Fails entered limits",IF(AND(D365="EV",E365&lt;120,OR(NOT(ISNUMBER(VLOOKUP($A365,'Fleet register'!$A$7:$S$106,7,FALSE))),NOT(ISNUMBER(VLOOKUP($A365,'Fleet register'!$A$7:$S$106,8,FALSE))),NOT(ISNUMBER(AF365)),'Replacement plan'!$I$96&lt;&gt;"Yes",NOT(ISNUMBER(AH365)),'Operating costs'!$B$59&lt;&gt;"Yes",'Operating costs'!$B$58&lt;&gt;"Yes")),"Unverified","Within entered limits"))))</f>
        <v>Excluded</v>
      </c>
      <c r="R365" s="1">
        <f>IF(C365=0,0,VLOOKUP($A365,'Fleet register'!$A$7:$S$106,6,FALSE))</f>
        <v>0</v>
      </c>
      <c r="S365" s="1">
        <f>IF(C365=0,0,VLOOKUP($A365,'Fleet register'!$A$7:$S$106,5,FALSE))</f>
        <v>0</v>
      </c>
      <c r="T365" s="1">
        <f>IF(D365="EV",'Energy and charging'!$B$12,0)</f>
        <v>0</v>
      </c>
      <c r="U365" s="1">
        <f>IFERROR(IF(C365=0,0,IF(D365="EV",IF('Replacement plan'!$F$96="",INDEX(Products!$E$7:$E$13,MATCH('Replacement plan'!$B$96,Products!$A$7:$A$13,0)),'Replacement plan'!$F$96)/IF('Replacement plan'!$G$96="Battery",1-'Operating costs'!$B$44,1),0)),"n.a.")</f>
        <v>0</v>
      </c>
      <c r="V365" s="1">
        <f>IFERROR(IF(C365=0,0,IF(D365="EV",IF('Replacement plan'!$E$96="",INDEX(Products!$D$7:$D$13,MATCH('Replacement plan'!$B$96,Products!$A$7:$A$13,0)),'Replacement plan'!$E$96),0)),"n.a.")</f>
        <v>0</v>
      </c>
      <c r="W365" s="1">
        <f>IF(C365=0,0,IF(AND(P365="Complete",D365="EV",E365&lt;120),IF(T365=0,0,ROUNDUP(T365*(R365-'Operating costs'!$B$41)*(S365*U365+'Operating costs'!$B$48/(1-'Operating costs'!$B$44))/(V365*'Operating costs'!$B$47/(1-'Operating costs'!$B$44)-T365*'Operating costs'!$B$12*U365),0)),0))</f>
        <v>0</v>
      </c>
      <c r="X365" s="1">
        <f>IF(C365=0,0,IF(AND(P365="Complete",D365="EV",E365&lt;120),(R365-'Operating costs'!$B$41)*(S365*U365+'Operating costs'!$B$48/(1-'Operating costs'!$B$44))+W365*'Operating costs'!$B$12*U365,0))</f>
        <v>0</v>
      </c>
      <c r="Y365" s="1">
        <f>IF(AND(C365=1,D365="EV",E365&lt;120),AI365/(1-'Operating costs'!$B$44)*(1-T365),0)</f>
        <v>0</v>
      </c>
      <c r="Z365" s="1">
        <f t="shared" si="10"/>
        <v>0</v>
      </c>
      <c r="AA365" s="1">
        <f>IF(C365=0,0,IF(P365="Complete",((S365*(R365-'Operating costs'!$B$40))+ROUNDUP(S365*(R365-'Operating costs'!$B$40)*IF('Replacement plan'!$AH$96="",'Operating costs'!$B$7,'Replacement plan'!$AH$96)/('Operating costs'!$B$8-'Operating costs'!$B$9*IF('Replacement plan'!$AH$96="",'Operating costs'!$B$7,'Replacement plan'!$AH$96)),0)*'Operating costs'!$B$9)*IF('Replacement plan'!$AH$96="",'Operating costs'!$B$7,'Replacement plan'!$AH$96),"n.a."))</f>
        <v>0</v>
      </c>
      <c r="AB365" s="1">
        <f t="shared" si="11"/>
        <v>0</v>
      </c>
      <c r="AC365" s="1">
        <f>IF(AND(C365=1,D365="EV",E365&lt;120,T365&gt;0),'Operating costs'!$B$12/'Operating costs'!$B$11*60+'Operating costs'!$B$13+'Operating costs'!$B$14+V365*'Operating costs'!$B$47/(1-'Operating costs'!$B$44)/'Replacement plan'!$L$96*60,0)</f>
        <v>0</v>
      </c>
      <c r="AD365" s="1" t="str">
        <f>'Replacement plan'!$B$96</f>
        <v>ChengLong L2EV</v>
      </c>
      <c r="AE365" s="1">
        <f>IF(C365=0,0,VLOOKUP($A365,'Fleet register'!$A$7:$S$106,8,FALSE))</f>
        <v>0</v>
      </c>
      <c r="AF365" s="1" t="str">
        <f>IF('Replacement plan'!$H$96="","n.a.",'Replacement plan'!$H$96)</f>
        <v>n.a.</v>
      </c>
      <c r="AG365" s="1">
        <f>'Replacement plan'!$J$96</f>
        <v>22</v>
      </c>
      <c r="AH365" s="1">
        <f>IFERROR(IF(D365="EV",IF('Replacement plan'!$K$96="AC",IF(ISNUMBER(INDEX(Products!$G$7:$G$13,MATCH('Replacement plan'!$B$96,Products!$A$7:$A$13,0))),INDEX(Products!$G$7:$G$13,MATCH('Replacement plan'!$B$96,Products!$A$7:$A$13,0)),"n.a."),IF(ISNUMBER(INDEX(Products!$H$7:$H$13,MATCH('Replacement plan'!$B$96,Products!$A$7:$A$13,0))),INDEX(Products!$H$7:$H$13,MATCH('Replacement plan'!$B$96,Products!$A$7:$A$13,0)),"n.a.")),0),"n.a.")</f>
        <v>0</v>
      </c>
      <c r="AI365" s="1">
        <f>IF(AND(C365=1,D365="EV",E365&lt;120),(VLOOKUP($A365,'Fleet register'!$A$7:$S$106,7,FALSE)+IF(T365&gt;0,'Operating costs'!$B$12,0))*U365*(1-'Operating costs'!$B$44)+'Operating costs'!$B$49,0)</f>
        <v>0</v>
      </c>
      <c r="AJ365" s="1">
        <f>IF(D365="EV",'Energy and charging'!$B$50,0)</f>
        <v>0</v>
      </c>
      <c r="AK365" s="17">
        <f>EDATE('Operating costs'!$B$63,E365)</f>
        <v>46298</v>
      </c>
      <c r="AL365" s="1">
        <f>IFERROR(IF(D365="EV",INDEX(Products!$B$7:$B$13,MATCH('Replacement plan'!$B$96,Products!$A$7:$A$13,0)),0),"n.a.")</f>
        <v>0</v>
      </c>
      <c r="AM365" s="1" t="str">
        <f>'Replacement plan'!$K$96</f>
        <v>DC</v>
      </c>
      <c r="AN365" s="1" t="str">
        <f>'Replacement plan'!$AE$96</f>
        <v>Assumed</v>
      </c>
      <c r="AO365" s="47">
        <f>IF(AND(C365=1,D365="EV",E365&lt;120),(R365-'Operating costs'!$B$41)*S365+W365*'Operating costs'!$B$12,0)</f>
        <v>0</v>
      </c>
      <c r="AP365" s="41">
        <f>IF(AND(C365=1,D365="EV",E365&lt;120),IF('Operating costs'!$B$68="Hong Seh 200k average",AO365*IFERROR(INDEX(Products!$P$7:$P$13,MATCH(AD365,Products!$A$7:$A$13,0)),"n.a."),'Operating costs'!$B$26),0)</f>
        <v>0</v>
      </c>
      <c r="AQ365" s="40" t="str">
        <f>IF(D365="EV",'Operating costs'!$B$68,"Not applicable")</f>
        <v>Not applicable</v>
      </c>
    </row>
    <row r="366" spans="1:43" ht="24" customHeight="1">
      <c r="A366" s="1" t="str">
        <f>'Replacement plan'!A96</f>
        <v>T090</v>
      </c>
      <c r="B366" s="1">
        <v>3</v>
      </c>
      <c r="C366" s="1">
        <f>IF(COUNTIFS('Fleet register'!$A$7:$A$106,$A366)=1,VLOOKUP($A366,'Fleet register'!$A$7:$S$106,2,FALSE),0)</f>
        <v>0</v>
      </c>
      <c r="D366" s="1" t="str">
        <f>IF('Replacement plan'!$R$96="EV","EV","ICE")</f>
        <v>ICE</v>
      </c>
      <c r="E366" s="1">
        <f>IF(C366=0,0,IF('Replacement plan'!$S$96="",IF('Replacement plan'!$R$96="Keep ICE",IF('Replacement plan'!$M$96="",VLOOKUP($A366,'Fleet register'!$A$7:$S$106,10,FALSE),'Replacement plan'!$M$96),0),'Replacement plan'!$S$96))</f>
        <v>0</v>
      </c>
      <c r="F366" s="16">
        <f>IF(C366=0,0,VLOOKUP($A366,'Fleet register'!$A$7:$S$106,11,FALSE))</f>
        <v>0</v>
      </c>
      <c r="G366" s="16">
        <f>IFERROR(IF(C366=0,0,IF(E366=120,0,IF(D366="ICE",'Replacement plan'!$C$96,IF('Replacement plan'!$D$96="",INDEX(Products!$I$7:$I$13,MATCH('Replacement plan'!$B$96,Products!$A$7:$A$13,0))+'Operating costs'!$B$57,'Replacement plan'!$D$96))*(1+'Operating costs'!$B$50)^(E366/12))),"n.a.")</f>
        <v>0</v>
      </c>
      <c r="H366" s="16">
        <f>IFERROR(IF(C366=0,0,IF('Replacement plan'!$V$96&lt;&gt;"",'Replacement plan'!$V$96,IF(E366=0,F366,VLOOKUP($A366,'Fleet register'!$A$7:$S$106,12,FALSE)+VLOOKUP($A366,'Fleet register'!$A$7:$S$106,13,FALSE)*MAX(0,VLOOKUP($A366,'Fleet register'!$A$7:$S$106,10,FALSE)-E366)/VLOOKUP($A366,'Fleet register'!$A$7:$S$106,14,FALSE)))),"n.a.")</f>
        <v>0</v>
      </c>
      <c r="I366" s="16">
        <f>IF(C366=0,0,IF(E366=120,0,'Replacement plan'!$T$96))</f>
        <v>0</v>
      </c>
      <c r="J366" s="16">
        <f>IF(C366=0,0,IF(P366="Complete",((S366*(R366-'Operating costs'!$B$39))+ROUNDUP(S366*(R366-'Operating costs'!$B$39)*IF('Replacement plan'!$AG$96="",'Operating costs'!$B$7,'Replacement plan'!$AG$96)/('Operating costs'!$B$8-'Operating costs'!$B$9*IF('Replacement plan'!$AG$96="",'Operating costs'!$B$7,'Replacement plan'!$AG$96)),0)*'Operating costs'!$B$9)*IF('Replacement plan'!$AG$96="",'Operating costs'!$B$7,'Replacement plan'!$AG$96)*('Energy and charging'!$C$9*'Energy and charging'!$C$7+(1-'Energy and charging'!$C$9)*'Energy and charging'!$C$8)*'Operating costs'!$B$23,"n.a."))</f>
        <v>0</v>
      </c>
      <c r="K366" s="16">
        <f>IF(C366=0,0,IF(P366="Complete",SUM('Operating costs'!$B$24,'Operating costs'!$B$27,'Operating costs'!$B$29,'Operating costs'!$B$31,'Operating costs'!$B$33,'Operating costs'!$B$34,'Operating costs'!$B$37,'Replacement plan'!$W$96)+'Operating costs'!$B$39*'Operating costs'!$B$42+ROUNDUP(S366*(R366-'Operating costs'!$B$39)*IF('Replacement plan'!$AG$96="",'Operating costs'!$B$7,'Replacement plan'!$AG$96)/('Operating costs'!$B$8-'Operating costs'!$B$9*IF('Replacement plan'!$AG$96="",'Operating costs'!$B$7,'Replacement plan'!$AG$96)),0)*('Operating costs'!$B$9/'Operating costs'!$B$11+'Operating costs'!$B$10/60)*'Operating costs'!$B$19*'Operating costs'!$B$21,"n.a."))</f>
        <v>0</v>
      </c>
      <c r="L366" s="16">
        <f>IF(C366=0,0,IF(P366="Complete",IF(D366="EV",X366*((1-T366)*'Energy and charging'!$C$10+T366*'Energy and charging'!$C$11)*'Operating costs'!$B$22,AA366*('Energy and charging'!$C$9*'Energy and charging'!$C$7+(1-'Energy and charging'!$C$9)*'Energy and charging'!$C$8)*'Operating costs'!$B$23),"n.a."))</f>
        <v>0</v>
      </c>
      <c r="M366" s="37">
        <f>IF(C366=0,0,IF(P366="Complete",IF(D366="ICE",SUM('Operating costs'!$B$25,'Operating costs'!$B$27,'Operating costs'!$B$29,'Operating costs'!$B$31,'Operating costs'!$B$33,'Operating costs'!$B$35,'Operating costs'!$B$37,'Replacement plan'!$X$96)+'Operating costs'!$B$40*'Operating costs'!$B$42+ROUNDUP(S366*(R366-'Operating costs'!$B$40)*IF('Replacement plan'!$AH$96="",'Operating costs'!$B$7,'Replacement plan'!$AH$96)/('Operating costs'!$B$8-'Operating costs'!$B$9*IF('Replacement plan'!$AH$96="",'Operating costs'!$B$7,'Replacement plan'!$AH$96)),0)*('Operating costs'!$B$9/'Operating costs'!$B$11+'Operating costs'!$B$10/60)*'Operating costs'!$B$19*'Operating costs'!$B$21,SUM(AP366,'Operating costs'!$B$28,'Operating costs'!$B$30,'Operating costs'!$B$32,'Operating costs'!$B$33,'Operating costs'!$B$36,'Operating costs'!$B$38,'Replacement plan'!$Y$96)+'Operating costs'!$B$41*'Operating costs'!$B$43+W366*'Operating costs'!$B$15+(T366*X366/'Replacement plan'!$L$96+W366*('Operating costs'!$B$12/'Operating costs'!$B$11+('Operating costs'!$B$13+'Operating costs'!$B$14)/60)+(R366-'Operating costs'!$B$41)*(IF(T366&lt;1,'Operating costs'!$B$16,0)+'Operating costs'!$B$17)/60)*'Operating costs'!$B$19*'Operating costs'!$B$20),"n.a."))</f>
        <v>0</v>
      </c>
      <c r="N366" s="16">
        <f>IF(AND(C366=1,D366="EV",E366&lt;120,E366+'Replacement plan'!$AA$96&lt;=120),'Replacement plan'!$Z$96,0)</f>
        <v>0</v>
      </c>
      <c r="O366" s="1">
        <f>E366+'Replacement plan'!$AA$96</f>
        <v>0</v>
      </c>
      <c r="P366" s="35" t="str">
        <f>IFERROR(IF(C366=0,"Excluded",IF(OR(COUNTIFS('Fleet register'!$A$7:$A$106,A366)&lt;&gt;1,COUNTIFS('Replacement plan'!$A$7:$A$106,A366)&lt;&gt;1),"Duplicate/missing ID",IF(NOT(AND(ISNUMBER(VLOOKUP($A366,'Fleet register'!$A$7:$S$106,5,FALSE)),ISNUMBER(VLOOKUP($A366,'Fleet register'!$A$7:$S$106,6,FALSE)),ISNUMBER(VLOOKUP($A366,'Fleet register'!$A$7:$S$106,10,FALSE)),ISNUMBER(VLOOKUP($A366,'Fleet register'!$A$7:$S$106,11,FALSE)),ISNUMBER(VLOOKUP($A366,'Fleet register'!$A$7:$S$106,12,FALSE)),ISNUMBER(VLOOKUP($A366,'Fleet register'!$A$7:$S$106,13,FALSE)),ISNUMBER(VLOOKUP($A366,'Fleet register'!$A$7:$S$106,14,FALSE)),VLOOKUP($A366,'Fleet register'!$A$7:$S$106,14,FALSE)&gt;0,ISNUMBER('Replacement plan'!$C$96),OR(E366=120,ISNUMBER('Replacement plan'!$T$96)),ISNUMBER(E366))),"Missing vehicle input",IF(OR(E366&lt;0,E366&gt;VLOOKUP($A366,'Fleet register'!$A$7:$S$106,10,FALSE),E366&gt;120,E366&lt;&gt;INT(E366),VLOOKUP($A366,'Fleet register'!$A$7:$S$106,6,FALSE)&lt;=0,VLOOKUP($A366,'Fleet register'!$A$7:$S$106,6,FALSE)&gt;366,VLOOKUP($A366,'Fleet register'!$A$7:$S$106,5,FALSE)&lt;0,VLOOKUP($A366,'Fleet register'!$A$7:$S$106,11,FALSE)&lt;0,I366&lt;0,'Operating costs'!$B$8&lt;='Operating costs'!$B$7*'Operating costs'!$B$9,'Operating costs'!$B$11&lt;=0,'Operating costs'!$B$39&gt;R366,'Operating costs'!$B$40&gt;R366,'Operating costs'!$B$41&gt;R366,NOT(OR('Replacement plan'!$R$96="Keep ICE",'Replacement plan'!$R$96="New ICE",'Replacement plan'!$R$96="EV"))),"Invalid vehicle input",IF(AND(D366="EV",E366&lt;120,OR(NOT(ISNUMBER(U366)),NOT(ISNUMBER(V366)),V366&lt;=0,T366&lt;0,T366&gt;1,'Replacement plan'!$L$96&lt;=0,'Operating costs'!$B$44&lt;0,'Operating costs'!$B$44&gt;=1,'Operating costs'!$B$47&lt;=0,'Operating costs'!$B$47&gt;1,V366*'Operating costs'!$B$47/(1-'Operating costs'!$B$44)&lt;=T366*'Operating costs'!$B$12*U366,AND('Replacement plan'!$Z$96&gt;0,OR('Replacement plan'!$AB$96&lt;&gt;"Yes",'Operating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charging'!$C$8&gt;=0))),ISNUMBER(VLOOKUP($A366,'Fleet register'!$A$7:$S$106,15,FALSE)),ISNUMBER(VLOOKUP($A366,'Fleet register'!$A$7:$S$106,16,FALSE)),ISNUMBER('Replacement plan'!$W$96),ISNUMBER('Replacement plan'!$X$96),OR(E366=120,AND(ISNUMBER(G366),G366&gt;=0)),ISNUMBER(H366),H366&gt;=0,OR(D366&lt;&gt;"EV",E366=120,AND(ISNUMBER('Operating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average",ISNUMBER(IFERROR(INDEX(Products!$P$7:$P$13,MATCH(AD366,Products!$A$7:$A$13,0)),"")))),ISNUMBER('Operating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plan'!$Y$96),ISNUMBER('Replacement plan'!$Z$96),'Replacement plan'!$Z$96&gt;=0,ISNUMBER('Replacement plan'!$AA$96),'Replacement plan'!$AA$96&gt;=0,'Replacement plan'!$AA$96=INT('Replacement plan'!$AA$96),ISNUMBER('Replacement plan'!$L$96))),'Operating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plan'!$AG$96="",'Operating costs'!$B$7,'Replacement plan'!$AG$96)),IF('Replacement plan'!$AG$96="",'Operating costs'!$B$7,'Replacement plan'!$AG$96)&gt;=0,ISNUMBER(IF('Replacement plan'!$AH$96="",'Operating costs'!$B$7,'Replacement plan'!$AH$96)),IF('Replacement plan'!$AH$96="",'Operating costs'!$B$7,'Replacement plan'!$AH$96)&gt;=0,'Operating costs'!$B$8&gt;MAX(IF('Replacement plan'!$AG$96="",'Operating costs'!$B$7,'Replacement plan'!$AG$96),IF('Replacement plan'!$AH$96="",'Operating costs'!$B$7,'Replacement plan'!$AH$96))*'Operating costs'!$B$9),IF(AND(VLOOKUP($A366,'Fleet register'!$A$7:$S$106,10,FALSE)&gt;=0,VLOOKUP($A366,'Fleet register'!$A$7:$S$106,10,FALSE)&lt;=120,VLOOKUP($A366,'Fleet register'!$A$7:$S$106,10,FALSE)=INT(VLOOKUP($A366,'Fleet register'!$A$7:$S$106,10,FALSE)),VLOOKUP($A366,'Fleet register'!$A$7:$S$106,15,FALSE)&gt;=0,VLOOKUP($A366,'Fleet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costs'!$B$67)&gt;=0,OR(D366&lt;&gt;"EV",E366=120,AND(MIN('Operating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66" s="1" t="str">
        <f>IF(C366=0,"Excluded",IF(P366&lt;&gt;"Complete",P366,IF(OR('Replacement plan'!$AD$96&lt;120-E366,AND(D366="EV",E366&lt;120,OR('Replacement plan'!$AC$96&lt;120-E366,'Replacement plan'!$I$96="No",AND(ISNUMBER(AF366),AE366&gt;AF366),AI366&gt;V366*(1-'Operating costs'!$B$46)^MAX(0,AB366-1)*(1-'Operating costs'!$B$45),AC366&gt;'Operating costs'!$B$18,AND(T366&lt;1,OR(AG366&lt;=0,AND(ISNUMBER(AH366),AG366&gt;AH366))),'Replacement plan'!$L$96&gt;INDEX(Products!$H$7:$H$13,MATCH('Replacement plan'!$B$96,Products!$A$7:$A$13,0))))),"Fails entered limits",IF(AND(D366="EV",E366&lt;120,OR(NOT(ISNUMBER(VLOOKUP($A366,'Fleet register'!$A$7:$S$106,7,FALSE))),NOT(ISNUMBER(VLOOKUP($A366,'Fleet register'!$A$7:$S$106,8,FALSE))),NOT(ISNUMBER(AF366)),'Replacement plan'!$I$96&lt;&gt;"Yes",NOT(ISNUMBER(AH366)),'Operating costs'!$B$59&lt;&gt;"Yes",'Operating costs'!$B$58&lt;&gt;"Yes")),"Unverified","Within entered limits"))))</f>
        <v>Excluded</v>
      </c>
      <c r="R366" s="1">
        <f>IF(C366=0,0,VLOOKUP($A366,'Fleet register'!$A$7:$S$106,6,FALSE))</f>
        <v>0</v>
      </c>
      <c r="S366" s="1">
        <f>IF(C366=0,0,VLOOKUP($A366,'Fleet register'!$A$7:$S$106,5,FALSE))</f>
        <v>0</v>
      </c>
      <c r="T366" s="1">
        <f>IF(D366="EV",'Energy and charging'!$C$12,0)</f>
        <v>0</v>
      </c>
      <c r="U366" s="1">
        <f>IFERROR(IF(C366=0,0,IF(D366="EV",IF('Replacement plan'!$F$96="",INDEX(Products!$E$7:$E$13,MATCH('Replacement plan'!$B$96,Products!$A$7:$A$13,0)),'Replacement plan'!$F$96)/IF('Replacement plan'!$G$96="Battery",1-'Operating costs'!$B$44,1),0)),"n.a.")</f>
        <v>0</v>
      </c>
      <c r="V366" s="1">
        <f>IFERROR(IF(C366=0,0,IF(D366="EV",IF('Replacement plan'!$E$96="",INDEX(Products!$D$7:$D$13,MATCH('Replacement plan'!$B$96,Products!$A$7:$A$13,0)),'Replacement plan'!$E$96),0)),"n.a.")</f>
        <v>0</v>
      </c>
      <c r="W366" s="1">
        <f>IF(C366=0,0,IF(AND(P366="Complete",D366="EV",E366&lt;120),IF(T366=0,0,ROUNDUP(T366*(R366-'Operating costs'!$B$41)*(S366*U366+'Operating costs'!$B$48/(1-'Operating costs'!$B$44))/(V366*'Operating costs'!$B$47/(1-'Operating costs'!$B$44)-T366*'Operating costs'!$B$12*U366),0)),0))</f>
        <v>0</v>
      </c>
      <c r="X366" s="1">
        <f>IF(C366=0,0,IF(AND(P366="Complete",D366="EV",E366&lt;120),(R366-'Operating costs'!$B$41)*(S366*U366+'Operating costs'!$B$48/(1-'Operating costs'!$B$44))+W366*'Operating costs'!$B$12*U366,0))</f>
        <v>0</v>
      </c>
      <c r="Y366" s="1">
        <f>IF(AND(C366=1,D366="EV",E366&lt;120),AI366/(1-'Operating costs'!$B$44)*(1-T366),0)</f>
        <v>0</v>
      </c>
      <c r="Z366" s="1">
        <f t="shared" si="10"/>
        <v>0</v>
      </c>
      <c r="AA366" s="1">
        <f>IF(C366=0,0,IF(P366="Complete",((S366*(R366-'Operating costs'!$B$40))+ROUNDUP(S366*(R366-'Operating costs'!$B$40)*IF('Replacement plan'!$AH$96="",'Operating costs'!$B$7,'Replacement plan'!$AH$96)/('Operating costs'!$B$8-'Operating costs'!$B$9*IF('Replacement plan'!$AH$96="",'Operating costs'!$B$7,'Replacement plan'!$AH$96)),0)*'Operating costs'!$B$9)*IF('Replacement plan'!$AH$96="",'Operating costs'!$B$7,'Replacement plan'!$AH$96),"n.a."))</f>
        <v>0</v>
      </c>
      <c r="AB366" s="1">
        <f t="shared" si="11"/>
        <v>0</v>
      </c>
      <c r="AC366" s="1">
        <f>IF(AND(C366=1,D366="EV",E366&lt;120,T366&gt;0),'Operating costs'!$B$12/'Operating costs'!$B$11*60+'Operating costs'!$B$13+'Operating costs'!$B$14+V366*'Operating costs'!$B$47/(1-'Operating costs'!$B$44)/'Replacement plan'!$L$96*60,0)</f>
        <v>0</v>
      </c>
      <c r="AD366" s="1" t="str">
        <f>'Replacement plan'!$B$96</f>
        <v>ChengLong L2EV</v>
      </c>
      <c r="AE366" s="1">
        <f>IF(C366=0,0,VLOOKUP($A366,'Fleet register'!$A$7:$S$106,8,FALSE))</f>
        <v>0</v>
      </c>
      <c r="AF366" s="1" t="str">
        <f>IF('Replacement plan'!$H$96="","n.a.",'Replacement plan'!$H$96)</f>
        <v>n.a.</v>
      </c>
      <c r="AG366" s="1">
        <f>'Replacement plan'!$J$96</f>
        <v>22</v>
      </c>
      <c r="AH366" s="1">
        <f>IFERROR(IF(D366="EV",IF('Replacement plan'!$K$96="AC",IF(ISNUMBER(INDEX(Products!$G$7:$G$13,MATCH('Replacement plan'!$B$96,Products!$A$7:$A$13,0))),INDEX(Products!$G$7:$G$13,MATCH('Replacement plan'!$B$96,Products!$A$7:$A$13,0)),"n.a."),IF(ISNUMBER(INDEX(Products!$H$7:$H$13,MATCH('Replacement plan'!$B$96,Products!$A$7:$A$13,0))),INDEX(Products!$H$7:$H$13,MATCH('Replacement plan'!$B$96,Products!$A$7:$A$13,0)),"n.a.")),0),"n.a.")</f>
        <v>0</v>
      </c>
      <c r="AI366" s="1">
        <f>IF(AND(C366=1,D366="EV",E366&lt;120),(VLOOKUP($A366,'Fleet register'!$A$7:$S$106,7,FALSE)+IF(T366&gt;0,'Operating costs'!$B$12,0))*U366*(1-'Operating costs'!$B$44)+'Operating costs'!$B$49,0)</f>
        <v>0</v>
      </c>
      <c r="AJ366" s="1">
        <f>IF(D366="EV",'Energy and charging'!$C$50,0)</f>
        <v>0</v>
      </c>
      <c r="AK366" s="17">
        <f>EDATE('Operating costs'!$B$63,E366)</f>
        <v>46298</v>
      </c>
      <c r="AL366" s="1">
        <f>IFERROR(IF(D366="EV",INDEX(Products!$B$7:$B$13,MATCH('Replacement plan'!$B$96,Products!$A$7:$A$13,0)),0),"n.a.")</f>
        <v>0</v>
      </c>
      <c r="AM366" s="1" t="str">
        <f>'Replacement plan'!$K$96</f>
        <v>DC</v>
      </c>
      <c r="AN366" s="1" t="str">
        <f>'Replacement plan'!$AE$96</f>
        <v>Assumed</v>
      </c>
      <c r="AO366" s="47">
        <f>IF(AND(C366=1,D366="EV",E366&lt;120),(R366-'Operating costs'!$B$41)*S366+W366*'Operating costs'!$B$12,0)</f>
        <v>0</v>
      </c>
      <c r="AP366" s="41">
        <f>IF(AND(C366=1,D366="EV",E366&lt;120),IF('Operating costs'!$B$68="Hong Seh 200k average",AO366*IFERROR(INDEX(Products!$P$7:$P$13,MATCH(AD366,Products!$A$7:$A$13,0)),"n.a."),'Operating costs'!$B$26),0)</f>
        <v>0</v>
      </c>
      <c r="AQ366" s="40" t="str">
        <f>IF(D366="EV",'Operating costs'!$B$68,"Not applicable")</f>
        <v>Not applicable</v>
      </c>
    </row>
    <row r="367" spans="1:43" ht="24" customHeight="1">
      <c r="A367" s="1" t="str">
        <f>'Replacement plan'!A97</f>
        <v>T091</v>
      </c>
      <c r="B367" s="1">
        <v>0</v>
      </c>
      <c r="C367" s="1">
        <f>IF(COUNTIFS('Fleet register'!$A$7:$A$106,$A367)=1,VLOOKUP($A367,'Fleet register'!$A$7:$S$106,2,FALSE),0)</f>
        <v>0</v>
      </c>
      <c r="D367" s="1" t="str">
        <f>IF("Keep ICE"="EV","EV","ICE")</f>
        <v>ICE</v>
      </c>
      <c r="E367" s="1">
        <f>IF(C367=0,0,IF('Replacement plan'!$M$97="",VLOOKUP($A367,'Fleet register'!$A$7:$S$106,10,FALSE),'Replacement plan'!$M$97))</f>
        <v>0</v>
      </c>
      <c r="F367" s="16">
        <f>IF(C367=0,0,VLOOKUP($A367,'Fleet register'!$A$7:$S$106,11,FALSE))</f>
        <v>0</v>
      </c>
      <c r="G367" s="16">
        <f>IFERROR(IF(C367=0,0,IF(E367=120,0,IF(D367="ICE",'Replacement plan'!$C$97,IF('Replacement plan'!$D$97="",INDEX(Products!$I$7:$I$13,MATCH('Replacement plan'!$B$97,Products!$A$7:$A$13,0))+'Operating costs'!$B$57,'Replacement plan'!$D$97))*(1+'Operating costs'!$B$50)^(E367/12))),"n.a.")</f>
        <v>0</v>
      </c>
      <c r="H367" s="16">
        <f>IFERROR(IF(C367=0,0,IF(E367=0,F367,VLOOKUP($A367,'Fleet register'!$A$7:$S$106,12,FALSE)+VLOOKUP($A367,'Fleet register'!$A$7:$S$106,13,FALSE)*MAX(0,VLOOKUP($A367,'Fleet register'!$A$7:$S$106,10,FALSE)-E367)/VLOOKUP($A367,'Fleet register'!$A$7:$S$106,14,FALSE))),"n.a.")</f>
        <v>0</v>
      </c>
      <c r="I367" s="16">
        <f>IF(C367=0,0,IF(E367=120,0,'Replacement plan'!$N$97))</f>
        <v>0</v>
      </c>
      <c r="J367" s="16">
        <f>IF(C367=0,0,IF(P367="Complete",((S367*(R367-'Operating costs'!$B$39))+ROUNDUP(S367*(R367-'Operating costs'!$B$39)*IF('Replacement plan'!$AG$97="",'Operating costs'!$B$7,'Replacement plan'!$AG$97)/('Operating costs'!$B$8-'Operating costs'!$B$9*IF('Replacement plan'!$AG$97="",'Operating costs'!$B$7,'Replacement plan'!$AG$97)),0)*'Operating costs'!$B$9)*IF('Replacement plan'!$AG$97="",'Operating costs'!$B$7,'Replacement plan'!$AG$97)*('Energy and charging'!$B$9*'Energy and charging'!$B$7+(1-'Energy and charging'!$B$9)*'Energy and charging'!$B$8)*'Operating costs'!$B$23,"n.a."))</f>
        <v>0</v>
      </c>
      <c r="K367" s="16">
        <f>IF(C367=0,0,IF(P367="Complete",SUM('Operating costs'!$B$24,'Operating costs'!$B$27,'Operating costs'!$B$29,'Operating costs'!$B$31,'Operating costs'!$B$33,'Operating costs'!$B$34,'Operating costs'!$B$37,'Replacement plan'!$W$97)+'Operating costs'!$B$39*'Operating costs'!$B$42+ROUNDUP(S367*(R367-'Operating costs'!$B$39)*IF('Replacement plan'!$AG$97="",'Operating costs'!$B$7,'Replacement plan'!$AG$97)/('Operating costs'!$B$8-'Operating costs'!$B$9*IF('Replacement plan'!$AG$97="",'Operating costs'!$B$7,'Replacement plan'!$AG$97)),0)*('Operating costs'!$B$9/'Operating costs'!$B$11+'Operating costs'!$B$10/60)*'Operating costs'!$B$19*'Operating costs'!$B$21,"n.a."))</f>
        <v>0</v>
      </c>
      <c r="L367" s="16">
        <f>IF(C367=0,0,IF(P367="Complete",IF(D367="EV",X367*((1-T367)*'Energy and charging'!$B$10+T367*'Energy and charging'!$B$11)*'Operating costs'!$B$22,AA367*('Energy and charging'!$B$9*'Energy and charging'!$B$7+(1-'Energy and charging'!$B$9)*'Energy and charging'!$B$8)*'Operating costs'!$B$23),"n.a."))</f>
        <v>0</v>
      </c>
      <c r="M367" s="37">
        <f>IF(C367=0,0,IF(P367="Complete",IF(D367="ICE",SUM('Operating costs'!$B$25,'Operating costs'!$B$27,'Operating costs'!$B$29,'Operating costs'!$B$31,'Operating costs'!$B$33,'Operating costs'!$B$35,'Operating costs'!$B$37,'Replacement plan'!$X$97)+'Operating costs'!$B$40*'Operating costs'!$B$42+ROUNDUP(S367*(R367-'Operating costs'!$B$40)*IF('Replacement plan'!$AH$97="",'Operating costs'!$B$7,'Replacement plan'!$AH$97)/('Operating costs'!$B$8-'Operating costs'!$B$9*IF('Replacement plan'!$AH$97="",'Operating costs'!$B$7,'Replacement plan'!$AH$97)),0)*('Operating costs'!$B$9/'Operating costs'!$B$11+'Operating costs'!$B$10/60)*'Operating costs'!$B$19*'Operating costs'!$B$21,SUM(AP367,'Operating costs'!$B$28,'Operating costs'!$B$30,'Operating costs'!$B$32,'Operating costs'!$B$33,'Operating costs'!$B$36,'Operating costs'!$B$38,'Replacement plan'!$Y$97)+'Operating costs'!$B$41*'Operating costs'!$B$43+W367*'Operating costs'!$B$15+(T367*X367/'Replacement plan'!$L$97+W367*('Operating costs'!$B$12/'Operating costs'!$B$11+('Operating costs'!$B$13+'Operating costs'!$B$14)/60)+(R367-'Operating costs'!$B$41)*(IF(T367&lt;1,'Operating costs'!$B$16,0)+'Operating costs'!$B$17)/60)*'Operating costs'!$B$19*'Operating costs'!$B$20),"n.a."))</f>
        <v>0</v>
      </c>
      <c r="N367" s="16">
        <f>IF(AND(C367=1,D367="EV",E367&lt;120,E367+'Replacement plan'!$AA$97&lt;=120),'Replacement plan'!$Z$97,0)</f>
        <v>0</v>
      </c>
      <c r="O367" s="1">
        <f>E367+'Replacement plan'!$AA$97</f>
        <v>0</v>
      </c>
      <c r="P367" s="35" t="str">
        <f>IFERROR(IF(C367=0,"Excluded",IF(OR(COUNTIFS('Fleet register'!$A$7:$A$106,A367)&lt;&gt;1,COUNTIFS('Replacement plan'!$A$7:$A$106,A367)&lt;&gt;1),"Duplicate/missing ID",IF(NOT(AND(ISNUMBER(VLOOKUP($A367,'Fleet register'!$A$7:$S$106,5,FALSE)),ISNUMBER(VLOOKUP($A367,'Fleet register'!$A$7:$S$106,6,FALSE)),ISNUMBER(VLOOKUP($A367,'Fleet register'!$A$7:$S$106,10,FALSE)),ISNUMBER(VLOOKUP($A367,'Fleet register'!$A$7:$S$106,11,FALSE)),ISNUMBER(VLOOKUP($A367,'Fleet register'!$A$7:$S$106,12,FALSE)),ISNUMBER(VLOOKUP($A367,'Fleet register'!$A$7:$S$106,13,FALSE)),ISNUMBER(VLOOKUP($A367,'Fleet register'!$A$7:$S$106,14,FALSE)),VLOOKUP($A367,'Fleet register'!$A$7:$S$106,14,FALSE)&gt;0,ISNUMBER('Replacement plan'!$C$97),OR(E367=120,ISNUMBER('Replacement plan'!$N$97)),ISNUMBER(E367))),"Missing vehicle input",IF(OR(E367&lt;0,E367&gt;VLOOKUP($A367,'Fleet register'!$A$7:$S$106,10,FALSE),E367&gt;120,E367&lt;&gt;INT(E367),VLOOKUP($A367,'Fleet register'!$A$7:$S$106,6,FALSE)&lt;=0,VLOOKUP($A367,'Fleet register'!$A$7:$S$106,6,FALSE)&gt;366,VLOOKUP($A367,'Fleet register'!$A$7:$S$106,5,FALSE)&lt;0,VLOOKUP($A367,'Fleet register'!$A$7:$S$106,11,FALSE)&lt;0,I367&lt;0,'Operating costs'!$B$8&lt;='Operating costs'!$B$7*'Operating costs'!$B$9,'Operating costs'!$B$11&lt;=0,'Operating costs'!$B$39&gt;R367,'Operating costs'!$B$40&gt;R367,'Operating costs'!$B$41&gt;R367,NOT(OR("Keep ICE"="Keep ICE","Keep ICE"="New ICE","Keep ICE"="EV"))),"Invalid vehicle input",IF(AND(D367="EV",E367&lt;120,OR(NOT(ISNUMBER(U367)),NOT(ISNUMBER(V367)),V367&lt;=0,T367&lt;0,T367&gt;1,'Replacement plan'!$L$97&lt;=0,'Operating costs'!$B$44&lt;0,'Operating costs'!$B$44&gt;=1,'Operating costs'!$B$47&lt;=0,'Operating costs'!$B$47&gt;1,V367*'Operating costs'!$B$47/(1-'Operating costs'!$B$44)&lt;=T367*'Operating costs'!$B$12*U367,AND('Replacement plan'!$Z$97&gt;0,OR('Replacement plan'!$AB$97&lt;&gt;"Yes",'Operating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charging'!$B$8&gt;=0))),ISNUMBER(VLOOKUP($A367,'Fleet register'!$A$7:$S$106,15,FALSE)),ISNUMBER(VLOOKUP($A367,'Fleet register'!$A$7:$S$106,16,FALSE)),ISNUMBER('Replacement plan'!$W$97),ISNUMBER('Replacement plan'!$X$97),OR(E367=120,AND(ISNUMBER(G367),G367&gt;=0)),ISNUMBER(H367),H367&gt;=0,OR(D367&lt;&gt;"EV",E367=120,AND(ISNUMBER('Operating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average",ISNUMBER(IFERROR(INDEX(Products!$P$7:$P$13,MATCH(AD367,Products!$A$7:$A$13,0)),"")))),ISNUMBER('Operating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plan'!$Y$97),ISNUMBER('Replacement plan'!$Z$97),'Replacement plan'!$Z$97&gt;=0,ISNUMBER('Replacement plan'!$AA$97),'Replacement plan'!$AA$97&gt;=0,'Replacement plan'!$AA$97=INT('Replacement plan'!$AA$97),ISNUMBER('Replacement plan'!$L$97))),'Operating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plan'!$AG$97="",'Operating costs'!$B$7,'Replacement plan'!$AG$97)),IF('Replacement plan'!$AG$97="",'Operating costs'!$B$7,'Replacement plan'!$AG$97)&gt;=0,ISNUMBER(IF('Replacement plan'!$AH$97="",'Operating costs'!$B$7,'Replacement plan'!$AH$97)),IF('Replacement plan'!$AH$97="",'Operating costs'!$B$7,'Replacement plan'!$AH$97)&gt;=0,'Operating costs'!$B$8&gt;MAX(IF('Replacement plan'!$AG$97="",'Operating costs'!$B$7,'Replacement plan'!$AG$97),IF('Replacement plan'!$AH$97="",'Operating costs'!$B$7,'Replacement plan'!$AH$97))*'Operating costs'!$B$9),IF(AND(VLOOKUP($A367,'Fleet register'!$A$7:$S$106,10,FALSE)&gt;=0,VLOOKUP($A367,'Fleet register'!$A$7:$S$106,10,FALSE)&lt;=120,VLOOKUP($A367,'Fleet register'!$A$7:$S$106,10,FALSE)=INT(VLOOKUP($A367,'Fleet register'!$A$7:$S$106,10,FALSE)),VLOOKUP($A367,'Fleet register'!$A$7:$S$106,15,FALSE)&gt;=0,VLOOKUP($A367,'Fleet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costs'!$B$67)&gt;=0,OR(D367&lt;&gt;"EV",E367=120,AND(MIN('Operating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67" s="1" t="str">
        <f>IF(C367=0,"Excluded",IF(P367&lt;&gt;"Complete",P367,IF(OR('Replacement plan'!$AD$97&lt;120-E367,AND(D367="EV",E367&lt;120,OR('Replacement plan'!$AC$97&lt;120-E367,'Replacement plan'!$I$97="No",AND(ISNUMBER(AF367),AE367&gt;AF367),AI367&gt;V367*(1-'Operating costs'!$B$46)^MAX(0,AB367-1)*(1-'Operating costs'!$B$45),AC367&gt;'Operating costs'!$B$18,AND(T367&lt;1,OR(AG367&lt;=0,AND(ISNUMBER(AH367),AG367&gt;AH367))),'Replacement plan'!$L$97&gt;INDEX(Products!$H$7:$H$13,MATCH('Replacement plan'!$B$97,Products!$A$7:$A$13,0))))),"Fails entered limits",IF(AND(D367="EV",E367&lt;120,OR(NOT(ISNUMBER(VLOOKUP($A367,'Fleet register'!$A$7:$S$106,7,FALSE))),NOT(ISNUMBER(VLOOKUP($A367,'Fleet register'!$A$7:$S$106,8,FALSE))),NOT(ISNUMBER(AF367)),'Replacement plan'!$I$97&lt;&gt;"Yes",NOT(ISNUMBER(AH367)),'Operating costs'!$B$59&lt;&gt;"Yes",'Operating costs'!$B$58&lt;&gt;"Yes")),"Unverified","Within entered limits"))))</f>
        <v>Excluded</v>
      </c>
      <c r="R367" s="1">
        <f>IF(C367=0,0,VLOOKUP($A367,'Fleet register'!$A$7:$S$106,6,FALSE))</f>
        <v>0</v>
      </c>
      <c r="S367" s="1">
        <f>IF(C367=0,0,VLOOKUP($A367,'Fleet register'!$A$7:$S$106,5,FALSE))</f>
        <v>0</v>
      </c>
      <c r="T367" s="1">
        <f>IF(D367="EV",'Energy and charging'!$B$12,0)</f>
        <v>0</v>
      </c>
      <c r="U367" s="1">
        <f>IFERROR(IF(C367=0,0,IF(D367="EV",IF('Replacement plan'!$F$97="",INDEX(Products!$E$7:$E$13,MATCH('Replacement plan'!$B$97,Products!$A$7:$A$13,0)),'Replacement plan'!$F$97)/IF('Replacement plan'!$G$97="Battery",1-'Operating costs'!$B$44,1),0)),"n.a.")</f>
        <v>0</v>
      </c>
      <c r="V367" s="1">
        <f>IFERROR(IF(C367=0,0,IF(D367="EV",IF('Replacement plan'!$E$97="",INDEX(Products!$D$7:$D$13,MATCH('Replacement plan'!$B$97,Products!$A$7:$A$13,0)),'Replacement plan'!$E$97),0)),"n.a.")</f>
        <v>0</v>
      </c>
      <c r="W367" s="1">
        <f>IF(C367=0,0,IF(AND(P367="Complete",D367="EV",E367&lt;120),IF(T367=0,0,ROUNDUP(T367*(R367-'Operating costs'!$B$41)*(S367*U367+'Operating costs'!$B$48/(1-'Operating costs'!$B$44))/(V367*'Operating costs'!$B$47/(1-'Operating costs'!$B$44)-T367*'Operating costs'!$B$12*U367),0)),0))</f>
        <v>0</v>
      </c>
      <c r="X367" s="1">
        <f>IF(C367=0,0,IF(AND(P367="Complete",D367="EV",E367&lt;120),(R367-'Operating costs'!$B$41)*(S367*U367+'Operating costs'!$B$48/(1-'Operating costs'!$B$44))+W367*'Operating costs'!$B$12*U367,0))</f>
        <v>0</v>
      </c>
      <c r="Y367" s="1">
        <f>IF(AND(C367=1,D367="EV",E367&lt;120),AI367/(1-'Operating costs'!$B$44)*(1-T367),0)</f>
        <v>0</v>
      </c>
      <c r="Z367" s="1">
        <f t="shared" si="10"/>
        <v>0</v>
      </c>
      <c r="AA367" s="1">
        <f>IF(C367=0,0,IF(P367="Complete",((S367*(R367-'Operating costs'!$B$40))+ROUNDUP(S367*(R367-'Operating costs'!$B$40)*IF('Replacement plan'!$AH$97="",'Operating costs'!$B$7,'Replacement plan'!$AH$97)/('Operating costs'!$B$8-'Operating costs'!$B$9*IF('Replacement plan'!$AH$97="",'Operating costs'!$B$7,'Replacement plan'!$AH$97)),0)*'Operating costs'!$B$9)*IF('Replacement plan'!$AH$97="",'Operating costs'!$B$7,'Replacement plan'!$AH$97),"n.a."))</f>
        <v>0</v>
      </c>
      <c r="AB367" s="1">
        <f t="shared" si="11"/>
        <v>0</v>
      </c>
      <c r="AC367" s="1">
        <f>IF(AND(C367=1,D367="EV",E367&lt;120,T367&gt;0),'Operating costs'!$B$12/'Operating costs'!$B$11*60+'Operating costs'!$B$13+'Operating costs'!$B$14+V367*'Operating costs'!$B$47/(1-'Operating costs'!$B$44)/'Replacement plan'!$L$97*60,0)</f>
        <v>0</v>
      </c>
      <c r="AD367" s="1" t="str">
        <f>'Replacement plan'!$B$97</f>
        <v>ChengLong L2EV</v>
      </c>
      <c r="AE367" s="1">
        <f>IF(C367=0,0,VLOOKUP($A367,'Fleet register'!$A$7:$S$106,8,FALSE))</f>
        <v>0</v>
      </c>
      <c r="AF367" s="1" t="str">
        <f>IF('Replacement plan'!$H$97="","n.a.",'Replacement plan'!$H$97)</f>
        <v>n.a.</v>
      </c>
      <c r="AG367" s="1">
        <f>'Replacement plan'!$J$97</f>
        <v>22</v>
      </c>
      <c r="AH367" s="1">
        <f>IFERROR(IF(D367="EV",IF('Replacement plan'!$K$97="AC",IF(ISNUMBER(INDEX(Products!$G$7:$G$13,MATCH('Replacement plan'!$B$97,Products!$A$7:$A$13,0))),INDEX(Products!$G$7:$G$13,MATCH('Replacement plan'!$B$97,Products!$A$7:$A$13,0)),"n.a."),IF(ISNUMBER(INDEX(Products!$H$7:$H$13,MATCH('Replacement plan'!$B$97,Products!$A$7:$A$13,0))),INDEX(Products!$H$7:$H$13,MATCH('Replacement plan'!$B$97,Products!$A$7:$A$13,0)),"n.a.")),0),"n.a.")</f>
        <v>0</v>
      </c>
      <c r="AI367" s="1">
        <f>IF(AND(C367=1,D367="EV",E367&lt;120),(VLOOKUP($A367,'Fleet register'!$A$7:$S$106,7,FALSE)+IF(T367&gt;0,'Operating costs'!$B$12,0))*U367*(1-'Operating costs'!$B$44)+'Operating costs'!$B$49,0)</f>
        <v>0</v>
      </c>
      <c r="AJ367" s="1">
        <f>IF(D367="EV",'Energy and charging'!$B$50,0)</f>
        <v>0</v>
      </c>
      <c r="AK367" s="17">
        <f>EDATE('Operating costs'!$B$63,E367)</f>
        <v>46298</v>
      </c>
      <c r="AL367" s="1">
        <f>IFERROR(IF(D367="EV",INDEX(Products!$B$7:$B$13,MATCH('Replacement plan'!$B$97,Products!$A$7:$A$13,0)),0),"n.a.")</f>
        <v>0</v>
      </c>
      <c r="AM367" s="1" t="str">
        <f>'Replacement plan'!$K$97</f>
        <v>DC</v>
      </c>
      <c r="AN367" s="1" t="str">
        <f>'Replacement plan'!$AE$97</f>
        <v>Assumed</v>
      </c>
      <c r="AO367" s="47">
        <f>IF(AND(C367=1,D367="EV",E367&lt;120),(R367-'Operating costs'!$B$41)*S367+W367*'Operating costs'!$B$12,0)</f>
        <v>0</v>
      </c>
      <c r="AP367" s="41">
        <f>IF(AND(C367=1,D367="EV",E367&lt;120),IF('Operating costs'!$B$68="Hong Seh 200k average",AO367*IFERROR(INDEX(Products!$P$7:$P$13,MATCH(AD367,Products!$A$7:$A$13,0)),"n.a."),'Operating costs'!$B$26),0)</f>
        <v>0</v>
      </c>
      <c r="AQ367" s="40" t="str">
        <f>IF(D367="EV",'Operating costs'!$B$68,"Not applicable")</f>
        <v>Not applicable</v>
      </c>
    </row>
    <row r="368" spans="1:43" ht="24" customHeight="1">
      <c r="A368" s="1" t="str">
        <f>'Replacement plan'!A97</f>
        <v>T091</v>
      </c>
      <c r="B368" s="1">
        <v>1</v>
      </c>
      <c r="C368" s="1">
        <f>IF(COUNTIFS('Fleet register'!$A$7:$A$106,$A368)=1,VLOOKUP($A368,'Fleet register'!$A$7:$S$106,2,FALSE),0)</f>
        <v>0</v>
      </c>
      <c r="D368" s="1" t="str">
        <f>IF("New ICE"="EV","EV","ICE")</f>
        <v>ICE</v>
      </c>
      <c r="E368" s="1">
        <f>IF(C368=0,0,0)</f>
        <v>0</v>
      </c>
      <c r="F368" s="16">
        <f>IF(C368=0,0,VLOOKUP($A368,'Fleet register'!$A$7:$S$106,11,FALSE))</f>
        <v>0</v>
      </c>
      <c r="G368" s="16">
        <f>IFERROR(IF(C368=0,0,IF(E368=120,0,IF(D368="ICE",'Replacement plan'!$C$97,IF('Replacement plan'!$D$97="",INDEX(Products!$I$7:$I$13,MATCH('Replacement plan'!$B$97,Products!$A$7:$A$13,0))+'Operating costs'!$B$57,'Replacement plan'!$D$97))*(1+'Operating costs'!$B$50)^(E368/12))),"n.a.")</f>
        <v>0</v>
      </c>
      <c r="H368" s="16">
        <f>IFERROR(IF(C368=0,0,IF(E368=0,F368,VLOOKUP($A368,'Fleet register'!$A$7:$S$106,12,FALSE)+VLOOKUP($A368,'Fleet register'!$A$7:$S$106,13,FALSE)*MAX(0,VLOOKUP($A368,'Fleet register'!$A$7:$S$106,10,FALSE)-E368)/VLOOKUP($A368,'Fleet register'!$A$7:$S$106,14,FALSE))),"n.a.")</f>
        <v>0</v>
      </c>
      <c r="I368" s="16">
        <f>IF(C368=0,0,IF(E368=120,0,IF('Replacement plan'!$AI$97="",'Operating costs'!$B$56,'Replacement plan'!$AI$97)))</f>
        <v>0</v>
      </c>
      <c r="J368" s="16">
        <f>IF(C368=0,0,IF(P368="Complete",((S368*(R368-'Operating costs'!$B$39))+ROUNDUP(S368*(R368-'Operating costs'!$B$39)*IF('Replacement plan'!$AG$97="",'Operating costs'!$B$7,'Replacement plan'!$AG$97)/('Operating costs'!$B$8-'Operating costs'!$B$9*IF('Replacement plan'!$AG$97="",'Operating costs'!$B$7,'Replacement plan'!$AG$97)),0)*'Operating costs'!$B$9)*IF('Replacement plan'!$AG$97="",'Operating costs'!$B$7,'Replacement plan'!$AG$97)*('Energy and charging'!$B$9*'Energy and charging'!$B$7+(1-'Energy and charging'!$B$9)*'Energy and charging'!$B$8)*'Operating costs'!$B$23,"n.a."))</f>
        <v>0</v>
      </c>
      <c r="K368" s="16">
        <f>IF(C368=0,0,IF(P368="Complete",SUM('Operating costs'!$B$24,'Operating costs'!$B$27,'Operating costs'!$B$29,'Operating costs'!$B$31,'Operating costs'!$B$33,'Operating costs'!$B$34,'Operating costs'!$B$37,'Replacement plan'!$W$97)+'Operating costs'!$B$39*'Operating costs'!$B$42+ROUNDUP(S368*(R368-'Operating costs'!$B$39)*IF('Replacement plan'!$AG$97="",'Operating costs'!$B$7,'Replacement plan'!$AG$97)/('Operating costs'!$B$8-'Operating costs'!$B$9*IF('Replacement plan'!$AG$97="",'Operating costs'!$B$7,'Replacement plan'!$AG$97)),0)*('Operating costs'!$B$9/'Operating costs'!$B$11+'Operating costs'!$B$10/60)*'Operating costs'!$B$19*'Operating costs'!$B$21,"n.a."))</f>
        <v>0</v>
      </c>
      <c r="L368" s="16">
        <f>IF(C368=0,0,IF(P368="Complete",IF(D368="EV",X368*((1-T368)*'Energy and charging'!$B$10+T368*'Energy and charging'!$B$11)*'Operating costs'!$B$22,AA368*('Energy and charging'!$B$9*'Energy and charging'!$B$7+(1-'Energy and charging'!$B$9)*'Energy and charging'!$B$8)*'Operating costs'!$B$23),"n.a."))</f>
        <v>0</v>
      </c>
      <c r="M368" s="37">
        <f>IF(C368=0,0,IF(P368="Complete",IF(D368="ICE",SUM('Operating costs'!$B$25,'Operating costs'!$B$27,'Operating costs'!$B$29,'Operating costs'!$B$31,'Operating costs'!$B$33,'Operating costs'!$B$35,'Operating costs'!$B$37,'Replacement plan'!$X$97)+'Operating costs'!$B$40*'Operating costs'!$B$42+ROUNDUP(S368*(R368-'Operating costs'!$B$40)*IF('Replacement plan'!$AH$97="",'Operating costs'!$B$7,'Replacement plan'!$AH$97)/('Operating costs'!$B$8-'Operating costs'!$B$9*IF('Replacement plan'!$AH$97="",'Operating costs'!$B$7,'Replacement plan'!$AH$97)),0)*('Operating costs'!$B$9/'Operating costs'!$B$11+'Operating costs'!$B$10/60)*'Operating costs'!$B$19*'Operating costs'!$B$21,SUM(AP368,'Operating costs'!$B$28,'Operating costs'!$B$30,'Operating costs'!$B$32,'Operating costs'!$B$33,'Operating costs'!$B$36,'Operating costs'!$B$38,'Replacement plan'!$Y$97)+'Operating costs'!$B$41*'Operating costs'!$B$43+W368*'Operating costs'!$B$15+(T368*X368/'Replacement plan'!$L$97+W368*('Operating costs'!$B$12/'Operating costs'!$B$11+('Operating costs'!$B$13+'Operating costs'!$B$14)/60)+(R368-'Operating costs'!$B$41)*(IF(T368&lt;1,'Operating costs'!$B$16,0)+'Operating costs'!$B$17)/60)*'Operating costs'!$B$19*'Operating costs'!$B$20),"n.a."))</f>
        <v>0</v>
      </c>
      <c r="N368" s="16">
        <f>IF(AND(C368=1,D368="EV",E368&lt;120,E368+'Replacement plan'!$AA$97&lt;=120),'Replacement plan'!$Z$97,0)</f>
        <v>0</v>
      </c>
      <c r="O368" s="1">
        <f>E368+'Replacement plan'!$AA$97</f>
        <v>0</v>
      </c>
      <c r="P368" s="35" t="str">
        <f>IFERROR(IF(C368=0,"Excluded",IF(OR(COUNTIFS('Fleet register'!$A$7:$A$106,A368)&lt;&gt;1,COUNTIFS('Replacement plan'!$A$7:$A$106,A368)&lt;&gt;1),"Duplicate/missing ID",IF(NOT(AND(ISNUMBER(VLOOKUP($A368,'Fleet register'!$A$7:$S$106,5,FALSE)),ISNUMBER(VLOOKUP($A368,'Fleet register'!$A$7:$S$106,6,FALSE)),ISNUMBER(VLOOKUP($A368,'Fleet register'!$A$7:$S$106,10,FALSE)),ISNUMBER(VLOOKUP($A368,'Fleet register'!$A$7:$S$106,11,FALSE)),ISNUMBER(VLOOKUP($A368,'Fleet register'!$A$7:$S$106,12,FALSE)),ISNUMBER(VLOOKUP($A368,'Fleet register'!$A$7:$S$106,13,FALSE)),ISNUMBER(VLOOKUP($A368,'Fleet register'!$A$7:$S$106,14,FALSE)),VLOOKUP($A368,'Fleet register'!$A$7:$S$106,14,FALSE)&gt;0,ISNUMBER('Replacement plan'!$C$97),OR(E368=120,OR(ISNUMBER('Replacement plan'!$AI$97),AND('Replacement plan'!$AI$97="",ISNUMBER('Operating costs'!$B$56)))),ISNUMBER(E368))),"Missing vehicle input",IF(OR(E368&lt;0,E368&gt;VLOOKUP($A368,'Fleet register'!$A$7:$S$106,10,FALSE),E368&gt;120,E368&lt;&gt;INT(E368),VLOOKUP($A368,'Fleet register'!$A$7:$S$106,6,FALSE)&lt;=0,VLOOKUP($A368,'Fleet register'!$A$7:$S$106,6,FALSE)&gt;366,VLOOKUP($A368,'Fleet register'!$A$7:$S$106,5,FALSE)&lt;0,VLOOKUP($A368,'Fleet register'!$A$7:$S$106,11,FALSE)&lt;0,I368&lt;0,'Operating costs'!$B$8&lt;='Operating costs'!$B$7*'Operating costs'!$B$9,'Operating costs'!$B$11&lt;=0,'Operating costs'!$B$39&gt;R368,'Operating costs'!$B$40&gt;R368,'Operating costs'!$B$41&gt;R368,NOT(OR("New ICE"="Keep ICE","New ICE"="New ICE","New ICE"="EV"))),"Invalid vehicle input",IF(AND(D368="EV",E368&lt;120,OR(NOT(ISNUMBER(U368)),NOT(ISNUMBER(V368)),V368&lt;=0,T368&lt;0,T368&gt;1,'Replacement plan'!$L$97&lt;=0,'Operating costs'!$B$44&lt;0,'Operating costs'!$B$44&gt;=1,'Operating costs'!$B$47&lt;=0,'Operating costs'!$B$47&gt;1,V368*'Operating costs'!$B$47/(1-'Operating costs'!$B$44)&lt;=T368*'Operating costs'!$B$12*U368,AND('Replacement plan'!$Z$97&gt;0,OR('Replacement plan'!$AB$97&lt;&gt;"Yes",'Operating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charging'!$B$8&gt;=0))),ISNUMBER(VLOOKUP($A368,'Fleet register'!$A$7:$S$106,15,FALSE)),ISNUMBER(VLOOKUP($A368,'Fleet register'!$A$7:$S$106,16,FALSE)),ISNUMBER('Replacement plan'!$W$97),ISNUMBER('Replacement plan'!$X$97),OR(E368=120,AND(ISNUMBER(G368),G368&gt;=0)),ISNUMBER(H368),H368&gt;=0,OR(D368&lt;&gt;"EV",E368=120,AND(ISNUMBER('Operating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average",ISNUMBER(IFERROR(INDEX(Products!$P$7:$P$13,MATCH(AD368,Products!$A$7:$A$13,0)),"")))),ISNUMBER('Operating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plan'!$Y$97),ISNUMBER('Replacement plan'!$Z$97),'Replacement plan'!$Z$97&gt;=0,ISNUMBER('Replacement plan'!$AA$97),'Replacement plan'!$AA$97&gt;=0,'Replacement plan'!$AA$97=INT('Replacement plan'!$AA$97),ISNUMBER('Replacement plan'!$L$97))),'Operating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plan'!$AG$97="",'Operating costs'!$B$7,'Replacement plan'!$AG$97)),IF('Replacement plan'!$AG$97="",'Operating costs'!$B$7,'Replacement plan'!$AG$97)&gt;=0,ISNUMBER(IF('Replacement plan'!$AH$97="",'Operating costs'!$B$7,'Replacement plan'!$AH$97)),IF('Replacement plan'!$AH$97="",'Operating costs'!$B$7,'Replacement plan'!$AH$97)&gt;=0,'Operating costs'!$B$8&gt;MAX(IF('Replacement plan'!$AG$97="",'Operating costs'!$B$7,'Replacement plan'!$AG$97),IF('Replacement plan'!$AH$97="",'Operating costs'!$B$7,'Replacement plan'!$AH$97))*'Operating costs'!$B$9),IF(AND(VLOOKUP($A368,'Fleet register'!$A$7:$S$106,10,FALSE)&gt;=0,VLOOKUP($A368,'Fleet register'!$A$7:$S$106,10,FALSE)&lt;=120,VLOOKUP($A368,'Fleet register'!$A$7:$S$106,10,FALSE)=INT(VLOOKUP($A368,'Fleet register'!$A$7:$S$106,10,FALSE)),VLOOKUP($A368,'Fleet register'!$A$7:$S$106,15,FALSE)&gt;=0,VLOOKUP($A368,'Fleet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costs'!$B$67)&gt;=0,OR(D368&lt;&gt;"EV",E368=120,AND(MIN('Operating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68" s="1" t="str">
        <f>IF(C368=0,"Excluded",IF(P368&lt;&gt;"Complete",P368,IF(OR('Replacement plan'!$AD$97&lt;120-E368,AND(D368="EV",E368&lt;120,OR('Replacement plan'!$AC$97&lt;120-E368,'Replacement plan'!$I$97="No",AND(ISNUMBER(AF368),AE368&gt;AF368),AI368&gt;V368*(1-'Operating costs'!$B$46)^MAX(0,AB368-1)*(1-'Operating costs'!$B$45),AC368&gt;'Operating costs'!$B$18,AND(T368&lt;1,OR(AG368&lt;=0,AND(ISNUMBER(AH368),AG368&gt;AH368))),'Replacement plan'!$L$97&gt;INDEX(Products!$H$7:$H$13,MATCH('Replacement plan'!$B$97,Products!$A$7:$A$13,0))))),"Fails entered limits",IF(AND(D368="EV",E368&lt;120,OR(NOT(ISNUMBER(VLOOKUP($A368,'Fleet register'!$A$7:$S$106,7,FALSE))),NOT(ISNUMBER(VLOOKUP($A368,'Fleet register'!$A$7:$S$106,8,FALSE))),NOT(ISNUMBER(AF368)),'Replacement plan'!$I$97&lt;&gt;"Yes",NOT(ISNUMBER(AH368)),'Operating costs'!$B$59&lt;&gt;"Yes",'Operating costs'!$B$58&lt;&gt;"Yes")),"Unverified","Within entered limits"))))</f>
        <v>Excluded</v>
      </c>
      <c r="R368" s="1">
        <f>IF(C368=0,0,VLOOKUP($A368,'Fleet register'!$A$7:$S$106,6,FALSE))</f>
        <v>0</v>
      </c>
      <c r="S368" s="1">
        <f>IF(C368=0,0,VLOOKUP($A368,'Fleet register'!$A$7:$S$106,5,FALSE))</f>
        <v>0</v>
      </c>
      <c r="T368" s="1">
        <f>IF(D368="EV",'Energy and charging'!$B$12,0)</f>
        <v>0</v>
      </c>
      <c r="U368" s="1">
        <f>IFERROR(IF(C368=0,0,IF(D368="EV",IF('Replacement plan'!$F$97="",INDEX(Products!$E$7:$E$13,MATCH('Replacement plan'!$B$97,Products!$A$7:$A$13,0)),'Replacement plan'!$F$97)/IF('Replacement plan'!$G$97="Battery",1-'Operating costs'!$B$44,1),0)),"n.a.")</f>
        <v>0</v>
      </c>
      <c r="V368" s="1">
        <f>IFERROR(IF(C368=0,0,IF(D368="EV",IF('Replacement plan'!$E$97="",INDEX(Products!$D$7:$D$13,MATCH('Replacement plan'!$B$97,Products!$A$7:$A$13,0)),'Replacement plan'!$E$97),0)),"n.a.")</f>
        <v>0</v>
      </c>
      <c r="W368" s="1">
        <f>IF(C368=0,0,IF(AND(P368="Complete",D368="EV",E368&lt;120),IF(T368=0,0,ROUNDUP(T368*(R368-'Operating costs'!$B$41)*(S368*U368+'Operating costs'!$B$48/(1-'Operating costs'!$B$44))/(V368*'Operating costs'!$B$47/(1-'Operating costs'!$B$44)-T368*'Operating costs'!$B$12*U368),0)),0))</f>
        <v>0</v>
      </c>
      <c r="X368" s="1">
        <f>IF(C368=0,0,IF(AND(P368="Complete",D368="EV",E368&lt;120),(R368-'Operating costs'!$B$41)*(S368*U368+'Operating costs'!$B$48/(1-'Operating costs'!$B$44))+W368*'Operating costs'!$B$12*U368,0))</f>
        <v>0</v>
      </c>
      <c r="Y368" s="1">
        <f>IF(AND(C368=1,D368="EV",E368&lt;120),AI368/(1-'Operating costs'!$B$44)*(1-T368),0)</f>
        <v>0</v>
      </c>
      <c r="Z368" s="1">
        <f t="shared" si="10"/>
        <v>0</v>
      </c>
      <c r="AA368" s="1">
        <f>IF(C368=0,0,IF(P368="Complete",((S368*(R368-'Operating costs'!$B$40))+ROUNDUP(S368*(R368-'Operating costs'!$B$40)*IF('Replacement plan'!$AH$97="",'Operating costs'!$B$7,'Replacement plan'!$AH$97)/('Operating costs'!$B$8-'Operating costs'!$B$9*IF('Replacement plan'!$AH$97="",'Operating costs'!$B$7,'Replacement plan'!$AH$97)),0)*'Operating costs'!$B$9)*IF('Replacement plan'!$AH$97="",'Operating costs'!$B$7,'Replacement plan'!$AH$97),"n.a."))</f>
        <v>0</v>
      </c>
      <c r="AB368" s="1">
        <f t="shared" si="11"/>
        <v>0</v>
      </c>
      <c r="AC368" s="1">
        <f>IF(AND(C368=1,D368="EV",E368&lt;120,T368&gt;0),'Operating costs'!$B$12/'Operating costs'!$B$11*60+'Operating costs'!$B$13+'Operating costs'!$B$14+V368*'Operating costs'!$B$47/(1-'Operating costs'!$B$44)/'Replacement plan'!$L$97*60,0)</f>
        <v>0</v>
      </c>
      <c r="AD368" s="1" t="str">
        <f>'Replacement plan'!$B$97</f>
        <v>ChengLong L2EV</v>
      </c>
      <c r="AE368" s="1">
        <f>IF(C368=0,0,VLOOKUP($A368,'Fleet register'!$A$7:$S$106,8,FALSE))</f>
        <v>0</v>
      </c>
      <c r="AF368" s="1" t="str">
        <f>IF('Replacement plan'!$H$97="","n.a.",'Replacement plan'!$H$97)</f>
        <v>n.a.</v>
      </c>
      <c r="AG368" s="1">
        <f>'Replacement plan'!$J$97</f>
        <v>22</v>
      </c>
      <c r="AH368" s="1">
        <f>IFERROR(IF(D368="EV",IF('Replacement plan'!$K$97="AC",IF(ISNUMBER(INDEX(Products!$G$7:$G$13,MATCH('Replacement plan'!$B$97,Products!$A$7:$A$13,0))),INDEX(Products!$G$7:$G$13,MATCH('Replacement plan'!$B$97,Products!$A$7:$A$13,0)),"n.a."),IF(ISNUMBER(INDEX(Products!$H$7:$H$13,MATCH('Replacement plan'!$B$97,Products!$A$7:$A$13,0))),INDEX(Products!$H$7:$H$13,MATCH('Replacement plan'!$B$97,Products!$A$7:$A$13,0)),"n.a.")),0),"n.a.")</f>
        <v>0</v>
      </c>
      <c r="AI368" s="1">
        <f>IF(AND(C368=1,D368="EV",E368&lt;120),(VLOOKUP($A368,'Fleet register'!$A$7:$S$106,7,FALSE)+IF(T368&gt;0,'Operating costs'!$B$12,0))*U368*(1-'Operating costs'!$B$44)+'Operating costs'!$B$49,0)</f>
        <v>0</v>
      </c>
      <c r="AJ368" s="1">
        <f>IF(D368="EV",'Energy and charging'!$B$50,0)</f>
        <v>0</v>
      </c>
      <c r="AK368" s="17">
        <f>EDATE('Operating costs'!$B$63,E368)</f>
        <v>46298</v>
      </c>
      <c r="AL368" s="1">
        <f>IFERROR(IF(D368="EV",INDEX(Products!$B$7:$B$13,MATCH('Replacement plan'!$B$97,Products!$A$7:$A$13,0)),0),"n.a.")</f>
        <v>0</v>
      </c>
      <c r="AM368" s="1" t="str">
        <f>'Replacement plan'!$K$97</f>
        <v>DC</v>
      </c>
      <c r="AN368" s="1" t="str">
        <f>'Replacement plan'!$AE$97</f>
        <v>Assumed</v>
      </c>
      <c r="AO368" s="47">
        <f>IF(AND(C368=1,D368="EV",E368&lt;120),(R368-'Operating costs'!$B$41)*S368+W368*'Operating costs'!$B$12,0)</f>
        <v>0</v>
      </c>
      <c r="AP368" s="41">
        <f>IF(AND(C368=1,D368="EV",E368&lt;120),IF('Operating costs'!$B$68="Hong Seh 200k average",AO368*IFERROR(INDEX(Products!$P$7:$P$13,MATCH(AD368,Products!$A$7:$A$13,0)),"n.a."),'Operating costs'!$B$26),0)</f>
        <v>0</v>
      </c>
      <c r="AQ368" s="40" t="str">
        <f>IF(D368="EV",'Operating costs'!$B$68,"Not applicable")</f>
        <v>Not applicable</v>
      </c>
    </row>
    <row r="369" spans="1:43" ht="24" customHeight="1">
      <c r="A369" s="1" t="str">
        <f>'Replacement plan'!A97</f>
        <v>T091</v>
      </c>
      <c r="B369" s="1">
        <v>2</v>
      </c>
      <c r="C369" s="1">
        <f>IF(COUNTIFS('Fleet register'!$A$7:$A$106,$A369)=1,VLOOKUP($A369,'Fleet register'!$A$7:$S$106,2,FALSE),0)</f>
        <v>0</v>
      </c>
      <c r="D369" s="1" t="str">
        <f>IF('Replacement plan'!$O$97="EV","EV","ICE")</f>
        <v>ICE</v>
      </c>
      <c r="E369" s="1">
        <f>IF(C369=0,0,IF('Replacement plan'!$P$97="",IF('Replacement plan'!$O$97="Keep ICE",IF('Replacement plan'!$M$97="",VLOOKUP($A369,'Fleet register'!$A$7:$S$106,10,FALSE),'Replacement plan'!$M$97),0),'Replacement plan'!$P$97))</f>
        <v>0</v>
      </c>
      <c r="F369" s="16">
        <f>IF(C369=0,0,VLOOKUP($A369,'Fleet register'!$A$7:$S$106,11,FALSE))</f>
        <v>0</v>
      </c>
      <c r="G369" s="16">
        <f>IFERROR(IF(C369=0,0,IF(E369=120,0,IF(D369="ICE",'Replacement plan'!$C$97,IF('Replacement plan'!$D$97="",INDEX(Products!$I$7:$I$13,MATCH('Replacement plan'!$B$97,Products!$A$7:$A$13,0))+'Operating costs'!$B$57,'Replacement plan'!$D$97))*(1+'Operating costs'!$B$50)^(E369/12))),"n.a.")</f>
        <v>0</v>
      </c>
      <c r="H369" s="16">
        <f>IFERROR(IF(C369=0,0,IF('Replacement plan'!$U$97&lt;&gt;"",'Replacement plan'!$U$97,IF(E369=0,F369,VLOOKUP($A369,'Fleet register'!$A$7:$S$106,12,FALSE)+VLOOKUP($A369,'Fleet register'!$A$7:$S$106,13,FALSE)*MAX(0,VLOOKUP($A369,'Fleet register'!$A$7:$S$106,10,FALSE)-E369)/VLOOKUP($A369,'Fleet register'!$A$7:$S$106,14,FALSE)))),"n.a.")</f>
        <v>0</v>
      </c>
      <c r="I369" s="16">
        <f>IF(C369=0,0,IF(E369=120,0,'Replacement plan'!$Q$97))</f>
        <v>0</v>
      </c>
      <c r="J369" s="16">
        <f>IF(C369=0,0,IF(P369="Complete",((S369*(R369-'Operating costs'!$B$39))+ROUNDUP(S369*(R369-'Operating costs'!$B$39)*IF('Replacement plan'!$AG$97="",'Operating costs'!$B$7,'Replacement plan'!$AG$97)/('Operating costs'!$B$8-'Operating costs'!$B$9*IF('Replacement plan'!$AG$97="",'Operating costs'!$B$7,'Replacement plan'!$AG$97)),0)*'Operating costs'!$B$9)*IF('Replacement plan'!$AG$97="",'Operating costs'!$B$7,'Replacement plan'!$AG$97)*('Energy and charging'!$B$9*'Energy and charging'!$B$7+(1-'Energy and charging'!$B$9)*'Energy and charging'!$B$8)*'Operating costs'!$B$23,"n.a."))</f>
        <v>0</v>
      </c>
      <c r="K369" s="16">
        <f>IF(C369=0,0,IF(P369="Complete",SUM('Operating costs'!$B$24,'Operating costs'!$B$27,'Operating costs'!$B$29,'Operating costs'!$B$31,'Operating costs'!$B$33,'Operating costs'!$B$34,'Operating costs'!$B$37,'Replacement plan'!$W$97)+'Operating costs'!$B$39*'Operating costs'!$B$42+ROUNDUP(S369*(R369-'Operating costs'!$B$39)*IF('Replacement plan'!$AG$97="",'Operating costs'!$B$7,'Replacement plan'!$AG$97)/('Operating costs'!$B$8-'Operating costs'!$B$9*IF('Replacement plan'!$AG$97="",'Operating costs'!$B$7,'Replacement plan'!$AG$97)),0)*('Operating costs'!$B$9/'Operating costs'!$B$11+'Operating costs'!$B$10/60)*'Operating costs'!$B$19*'Operating costs'!$B$21,"n.a."))</f>
        <v>0</v>
      </c>
      <c r="L369" s="16">
        <f>IF(C369=0,0,IF(P369="Complete",IF(D369="EV",X369*((1-T369)*'Energy and charging'!$B$10+T369*'Energy and charging'!$B$11)*'Operating costs'!$B$22,AA369*('Energy and charging'!$B$9*'Energy and charging'!$B$7+(1-'Energy and charging'!$B$9)*'Energy and charging'!$B$8)*'Operating costs'!$B$23),"n.a."))</f>
        <v>0</v>
      </c>
      <c r="M369" s="37">
        <f>IF(C369=0,0,IF(P369="Complete",IF(D369="ICE",SUM('Operating costs'!$B$25,'Operating costs'!$B$27,'Operating costs'!$B$29,'Operating costs'!$B$31,'Operating costs'!$B$33,'Operating costs'!$B$35,'Operating costs'!$B$37,'Replacement plan'!$X$97)+'Operating costs'!$B$40*'Operating costs'!$B$42+ROUNDUP(S369*(R369-'Operating costs'!$B$40)*IF('Replacement plan'!$AH$97="",'Operating costs'!$B$7,'Replacement plan'!$AH$97)/('Operating costs'!$B$8-'Operating costs'!$B$9*IF('Replacement plan'!$AH$97="",'Operating costs'!$B$7,'Replacement plan'!$AH$97)),0)*('Operating costs'!$B$9/'Operating costs'!$B$11+'Operating costs'!$B$10/60)*'Operating costs'!$B$19*'Operating costs'!$B$21,SUM(AP369,'Operating costs'!$B$28,'Operating costs'!$B$30,'Operating costs'!$B$32,'Operating costs'!$B$33,'Operating costs'!$B$36,'Operating costs'!$B$38,'Replacement plan'!$Y$97)+'Operating costs'!$B$41*'Operating costs'!$B$43+W369*'Operating costs'!$B$15+(T369*X369/'Replacement plan'!$L$97+W369*('Operating costs'!$B$12/'Operating costs'!$B$11+('Operating costs'!$B$13+'Operating costs'!$B$14)/60)+(R369-'Operating costs'!$B$41)*(IF(T369&lt;1,'Operating costs'!$B$16,0)+'Operating costs'!$B$17)/60)*'Operating costs'!$B$19*'Operating costs'!$B$20),"n.a."))</f>
        <v>0</v>
      </c>
      <c r="N369" s="16">
        <f>IF(AND(C369=1,D369="EV",E369&lt;120,E369+'Replacement plan'!$AA$97&lt;=120),'Replacement plan'!$Z$97,0)</f>
        <v>0</v>
      </c>
      <c r="O369" s="1">
        <f>E369+'Replacement plan'!$AA$97</f>
        <v>0</v>
      </c>
      <c r="P369" s="35" t="str">
        <f>IFERROR(IF(C369=0,"Excluded",IF(OR(COUNTIFS('Fleet register'!$A$7:$A$106,A369)&lt;&gt;1,COUNTIFS('Replacement plan'!$A$7:$A$106,A369)&lt;&gt;1),"Duplicate/missing ID",IF(NOT(AND(ISNUMBER(VLOOKUP($A369,'Fleet register'!$A$7:$S$106,5,FALSE)),ISNUMBER(VLOOKUP($A369,'Fleet register'!$A$7:$S$106,6,FALSE)),ISNUMBER(VLOOKUP($A369,'Fleet register'!$A$7:$S$106,10,FALSE)),ISNUMBER(VLOOKUP($A369,'Fleet register'!$A$7:$S$106,11,FALSE)),ISNUMBER(VLOOKUP($A369,'Fleet register'!$A$7:$S$106,12,FALSE)),ISNUMBER(VLOOKUP($A369,'Fleet register'!$A$7:$S$106,13,FALSE)),ISNUMBER(VLOOKUP($A369,'Fleet register'!$A$7:$S$106,14,FALSE)),VLOOKUP($A369,'Fleet register'!$A$7:$S$106,14,FALSE)&gt;0,ISNUMBER('Replacement plan'!$C$97),OR(E369=120,ISNUMBER('Replacement plan'!$Q$97)),ISNUMBER(E369))),"Missing vehicle input",IF(OR(E369&lt;0,E369&gt;VLOOKUP($A369,'Fleet register'!$A$7:$S$106,10,FALSE),E369&gt;120,E369&lt;&gt;INT(E369),VLOOKUP($A369,'Fleet register'!$A$7:$S$106,6,FALSE)&lt;=0,VLOOKUP($A369,'Fleet register'!$A$7:$S$106,6,FALSE)&gt;366,VLOOKUP($A369,'Fleet register'!$A$7:$S$106,5,FALSE)&lt;0,VLOOKUP($A369,'Fleet register'!$A$7:$S$106,11,FALSE)&lt;0,I369&lt;0,'Operating costs'!$B$8&lt;='Operating costs'!$B$7*'Operating costs'!$B$9,'Operating costs'!$B$11&lt;=0,'Operating costs'!$B$39&gt;R369,'Operating costs'!$B$40&gt;R369,'Operating costs'!$B$41&gt;R369,NOT(OR('Replacement plan'!$O$97="Keep ICE",'Replacement plan'!$O$97="New ICE",'Replacement plan'!$O$97="EV"))),"Invalid vehicle input",IF(AND(D369="EV",E369&lt;120,OR(NOT(ISNUMBER(U369)),NOT(ISNUMBER(V369)),V369&lt;=0,T369&lt;0,T369&gt;1,'Replacement plan'!$L$97&lt;=0,'Operating costs'!$B$44&lt;0,'Operating costs'!$B$44&gt;=1,'Operating costs'!$B$47&lt;=0,'Operating costs'!$B$47&gt;1,V369*'Operating costs'!$B$47/(1-'Operating costs'!$B$44)&lt;=T369*'Operating costs'!$B$12*U369,AND('Replacement plan'!$Z$97&gt;0,OR('Replacement plan'!$AB$97&lt;&gt;"Yes",'Operating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charging'!$B$8&gt;=0))),ISNUMBER(VLOOKUP($A369,'Fleet register'!$A$7:$S$106,15,FALSE)),ISNUMBER(VLOOKUP($A369,'Fleet register'!$A$7:$S$106,16,FALSE)),ISNUMBER('Replacement plan'!$W$97),ISNUMBER('Replacement plan'!$X$97),OR(E369=120,AND(ISNUMBER(G369),G369&gt;=0)),ISNUMBER(H369),H369&gt;=0,OR(D369&lt;&gt;"EV",E369=120,AND(ISNUMBER('Operating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average",ISNUMBER(IFERROR(INDEX(Products!$P$7:$P$13,MATCH(AD369,Products!$A$7:$A$13,0)),"")))),ISNUMBER('Operating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plan'!$Y$97),ISNUMBER('Replacement plan'!$Z$97),'Replacement plan'!$Z$97&gt;=0,ISNUMBER('Replacement plan'!$AA$97),'Replacement plan'!$AA$97&gt;=0,'Replacement plan'!$AA$97=INT('Replacement plan'!$AA$97),ISNUMBER('Replacement plan'!$L$97))),'Operating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plan'!$AG$97="",'Operating costs'!$B$7,'Replacement plan'!$AG$97)),IF('Replacement plan'!$AG$97="",'Operating costs'!$B$7,'Replacement plan'!$AG$97)&gt;=0,ISNUMBER(IF('Replacement plan'!$AH$97="",'Operating costs'!$B$7,'Replacement plan'!$AH$97)),IF('Replacement plan'!$AH$97="",'Operating costs'!$B$7,'Replacement plan'!$AH$97)&gt;=0,'Operating costs'!$B$8&gt;MAX(IF('Replacement plan'!$AG$97="",'Operating costs'!$B$7,'Replacement plan'!$AG$97),IF('Replacement plan'!$AH$97="",'Operating costs'!$B$7,'Replacement plan'!$AH$97))*'Operating costs'!$B$9),IF(AND(VLOOKUP($A369,'Fleet register'!$A$7:$S$106,10,FALSE)&gt;=0,VLOOKUP($A369,'Fleet register'!$A$7:$S$106,10,FALSE)&lt;=120,VLOOKUP($A369,'Fleet register'!$A$7:$S$106,10,FALSE)=INT(VLOOKUP($A369,'Fleet register'!$A$7:$S$106,10,FALSE)),VLOOKUP($A369,'Fleet register'!$A$7:$S$106,15,FALSE)&gt;=0,VLOOKUP($A369,'Fleet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costs'!$B$67)&gt;=0,OR(D369&lt;&gt;"EV",E369=120,AND(MIN('Operating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69" s="1" t="str">
        <f>IF(C369=0,"Excluded",IF(P369&lt;&gt;"Complete",P369,IF(OR('Replacement plan'!$AD$97&lt;120-E369,AND(D369="EV",E369&lt;120,OR('Replacement plan'!$AC$97&lt;120-E369,'Replacement plan'!$I$97="No",AND(ISNUMBER(AF369),AE369&gt;AF369),AI369&gt;V369*(1-'Operating costs'!$B$46)^MAX(0,AB369-1)*(1-'Operating costs'!$B$45),AC369&gt;'Operating costs'!$B$18,AND(T369&lt;1,OR(AG369&lt;=0,AND(ISNUMBER(AH369),AG369&gt;AH369))),'Replacement plan'!$L$97&gt;INDEX(Products!$H$7:$H$13,MATCH('Replacement plan'!$B$97,Products!$A$7:$A$13,0))))),"Fails entered limits",IF(AND(D369="EV",E369&lt;120,OR(NOT(ISNUMBER(VLOOKUP($A369,'Fleet register'!$A$7:$S$106,7,FALSE))),NOT(ISNUMBER(VLOOKUP($A369,'Fleet register'!$A$7:$S$106,8,FALSE))),NOT(ISNUMBER(AF369)),'Replacement plan'!$I$97&lt;&gt;"Yes",NOT(ISNUMBER(AH369)),'Operating costs'!$B$59&lt;&gt;"Yes",'Operating costs'!$B$58&lt;&gt;"Yes")),"Unverified","Within entered limits"))))</f>
        <v>Excluded</v>
      </c>
      <c r="R369" s="1">
        <f>IF(C369=0,0,VLOOKUP($A369,'Fleet register'!$A$7:$S$106,6,FALSE))</f>
        <v>0</v>
      </c>
      <c r="S369" s="1">
        <f>IF(C369=0,0,VLOOKUP($A369,'Fleet register'!$A$7:$S$106,5,FALSE))</f>
        <v>0</v>
      </c>
      <c r="T369" s="1">
        <f>IF(D369="EV",'Energy and charging'!$B$12,0)</f>
        <v>0</v>
      </c>
      <c r="U369" s="1">
        <f>IFERROR(IF(C369=0,0,IF(D369="EV",IF('Replacement plan'!$F$97="",INDEX(Products!$E$7:$E$13,MATCH('Replacement plan'!$B$97,Products!$A$7:$A$13,0)),'Replacement plan'!$F$97)/IF('Replacement plan'!$G$97="Battery",1-'Operating costs'!$B$44,1),0)),"n.a.")</f>
        <v>0</v>
      </c>
      <c r="V369" s="1">
        <f>IFERROR(IF(C369=0,0,IF(D369="EV",IF('Replacement plan'!$E$97="",INDEX(Products!$D$7:$D$13,MATCH('Replacement plan'!$B$97,Products!$A$7:$A$13,0)),'Replacement plan'!$E$97),0)),"n.a.")</f>
        <v>0</v>
      </c>
      <c r="W369" s="1">
        <f>IF(C369=0,0,IF(AND(P369="Complete",D369="EV",E369&lt;120),IF(T369=0,0,ROUNDUP(T369*(R369-'Operating costs'!$B$41)*(S369*U369+'Operating costs'!$B$48/(1-'Operating costs'!$B$44))/(V369*'Operating costs'!$B$47/(1-'Operating costs'!$B$44)-T369*'Operating costs'!$B$12*U369),0)),0))</f>
        <v>0</v>
      </c>
      <c r="X369" s="1">
        <f>IF(C369=0,0,IF(AND(P369="Complete",D369="EV",E369&lt;120),(R369-'Operating costs'!$B$41)*(S369*U369+'Operating costs'!$B$48/(1-'Operating costs'!$B$44))+W369*'Operating costs'!$B$12*U369,0))</f>
        <v>0</v>
      </c>
      <c r="Y369" s="1">
        <f>IF(AND(C369=1,D369="EV",E369&lt;120),AI369/(1-'Operating costs'!$B$44)*(1-T369),0)</f>
        <v>0</v>
      </c>
      <c r="Z369" s="1">
        <f t="shared" si="10"/>
        <v>0</v>
      </c>
      <c r="AA369" s="1">
        <f>IF(C369=0,0,IF(P369="Complete",((S369*(R369-'Operating costs'!$B$40))+ROUNDUP(S369*(R369-'Operating costs'!$B$40)*IF('Replacement plan'!$AH$97="",'Operating costs'!$B$7,'Replacement plan'!$AH$97)/('Operating costs'!$B$8-'Operating costs'!$B$9*IF('Replacement plan'!$AH$97="",'Operating costs'!$B$7,'Replacement plan'!$AH$97)),0)*'Operating costs'!$B$9)*IF('Replacement plan'!$AH$97="",'Operating costs'!$B$7,'Replacement plan'!$AH$97),"n.a."))</f>
        <v>0</v>
      </c>
      <c r="AB369" s="1">
        <f t="shared" si="11"/>
        <v>0</v>
      </c>
      <c r="AC369" s="1">
        <f>IF(AND(C369=1,D369="EV",E369&lt;120,T369&gt;0),'Operating costs'!$B$12/'Operating costs'!$B$11*60+'Operating costs'!$B$13+'Operating costs'!$B$14+V369*'Operating costs'!$B$47/(1-'Operating costs'!$B$44)/'Replacement plan'!$L$97*60,0)</f>
        <v>0</v>
      </c>
      <c r="AD369" s="1" t="str">
        <f>'Replacement plan'!$B$97</f>
        <v>ChengLong L2EV</v>
      </c>
      <c r="AE369" s="1">
        <f>IF(C369=0,0,VLOOKUP($A369,'Fleet register'!$A$7:$S$106,8,FALSE))</f>
        <v>0</v>
      </c>
      <c r="AF369" s="1" t="str">
        <f>IF('Replacement plan'!$H$97="","n.a.",'Replacement plan'!$H$97)</f>
        <v>n.a.</v>
      </c>
      <c r="AG369" s="1">
        <f>'Replacement plan'!$J$97</f>
        <v>22</v>
      </c>
      <c r="AH369" s="1">
        <f>IFERROR(IF(D369="EV",IF('Replacement plan'!$K$97="AC",IF(ISNUMBER(INDEX(Products!$G$7:$G$13,MATCH('Replacement plan'!$B$97,Products!$A$7:$A$13,0))),INDEX(Products!$G$7:$G$13,MATCH('Replacement plan'!$B$97,Products!$A$7:$A$13,0)),"n.a."),IF(ISNUMBER(INDEX(Products!$H$7:$H$13,MATCH('Replacement plan'!$B$97,Products!$A$7:$A$13,0))),INDEX(Products!$H$7:$H$13,MATCH('Replacement plan'!$B$97,Products!$A$7:$A$13,0)),"n.a.")),0),"n.a.")</f>
        <v>0</v>
      </c>
      <c r="AI369" s="1">
        <f>IF(AND(C369=1,D369="EV",E369&lt;120),(VLOOKUP($A369,'Fleet register'!$A$7:$S$106,7,FALSE)+IF(T369&gt;0,'Operating costs'!$B$12,0))*U369*(1-'Operating costs'!$B$44)+'Operating costs'!$B$49,0)</f>
        <v>0</v>
      </c>
      <c r="AJ369" s="1">
        <f>IF(D369="EV",'Energy and charging'!$B$50,0)</f>
        <v>0</v>
      </c>
      <c r="AK369" s="17">
        <f>EDATE('Operating costs'!$B$63,E369)</f>
        <v>46298</v>
      </c>
      <c r="AL369" s="1">
        <f>IFERROR(IF(D369="EV",INDEX(Products!$B$7:$B$13,MATCH('Replacement plan'!$B$97,Products!$A$7:$A$13,0)),0),"n.a.")</f>
        <v>0</v>
      </c>
      <c r="AM369" s="1" t="str">
        <f>'Replacement plan'!$K$97</f>
        <v>DC</v>
      </c>
      <c r="AN369" s="1" t="str">
        <f>'Replacement plan'!$AE$97</f>
        <v>Assumed</v>
      </c>
      <c r="AO369" s="47">
        <f>IF(AND(C369=1,D369="EV",E369&lt;120),(R369-'Operating costs'!$B$41)*S369+W369*'Operating costs'!$B$12,0)</f>
        <v>0</v>
      </c>
      <c r="AP369" s="41">
        <f>IF(AND(C369=1,D369="EV",E369&lt;120),IF('Operating costs'!$B$68="Hong Seh 200k average",AO369*IFERROR(INDEX(Products!$P$7:$P$13,MATCH(AD369,Products!$A$7:$A$13,0)),"n.a."),'Operating costs'!$B$26),0)</f>
        <v>0</v>
      </c>
      <c r="AQ369" s="40" t="str">
        <f>IF(D369="EV",'Operating costs'!$B$68,"Not applicable")</f>
        <v>Not applicable</v>
      </c>
    </row>
    <row r="370" spans="1:43" ht="24" customHeight="1">
      <c r="A370" s="1" t="str">
        <f>'Replacement plan'!A97</f>
        <v>T091</v>
      </c>
      <c r="B370" s="1">
        <v>3</v>
      </c>
      <c r="C370" s="1">
        <f>IF(COUNTIFS('Fleet register'!$A$7:$A$106,$A370)=1,VLOOKUP($A370,'Fleet register'!$A$7:$S$106,2,FALSE),0)</f>
        <v>0</v>
      </c>
      <c r="D370" s="1" t="str">
        <f>IF('Replacement plan'!$R$97="EV","EV","ICE")</f>
        <v>ICE</v>
      </c>
      <c r="E370" s="1">
        <f>IF(C370=0,0,IF('Replacement plan'!$S$97="",IF('Replacement plan'!$R$97="Keep ICE",IF('Replacement plan'!$M$97="",VLOOKUP($A370,'Fleet register'!$A$7:$S$106,10,FALSE),'Replacement plan'!$M$97),0),'Replacement plan'!$S$97))</f>
        <v>0</v>
      </c>
      <c r="F370" s="16">
        <f>IF(C370=0,0,VLOOKUP($A370,'Fleet register'!$A$7:$S$106,11,FALSE))</f>
        <v>0</v>
      </c>
      <c r="G370" s="16">
        <f>IFERROR(IF(C370=0,0,IF(E370=120,0,IF(D370="ICE",'Replacement plan'!$C$97,IF('Replacement plan'!$D$97="",INDEX(Products!$I$7:$I$13,MATCH('Replacement plan'!$B$97,Products!$A$7:$A$13,0))+'Operating costs'!$B$57,'Replacement plan'!$D$97))*(1+'Operating costs'!$B$50)^(E370/12))),"n.a.")</f>
        <v>0</v>
      </c>
      <c r="H370" s="16">
        <f>IFERROR(IF(C370=0,0,IF('Replacement plan'!$V$97&lt;&gt;"",'Replacement plan'!$V$97,IF(E370=0,F370,VLOOKUP($A370,'Fleet register'!$A$7:$S$106,12,FALSE)+VLOOKUP($A370,'Fleet register'!$A$7:$S$106,13,FALSE)*MAX(0,VLOOKUP($A370,'Fleet register'!$A$7:$S$106,10,FALSE)-E370)/VLOOKUP($A370,'Fleet register'!$A$7:$S$106,14,FALSE)))),"n.a.")</f>
        <v>0</v>
      </c>
      <c r="I370" s="16">
        <f>IF(C370=0,0,IF(E370=120,0,'Replacement plan'!$T$97))</f>
        <v>0</v>
      </c>
      <c r="J370" s="16">
        <f>IF(C370=0,0,IF(P370="Complete",((S370*(R370-'Operating costs'!$B$39))+ROUNDUP(S370*(R370-'Operating costs'!$B$39)*IF('Replacement plan'!$AG$97="",'Operating costs'!$B$7,'Replacement plan'!$AG$97)/('Operating costs'!$B$8-'Operating costs'!$B$9*IF('Replacement plan'!$AG$97="",'Operating costs'!$B$7,'Replacement plan'!$AG$97)),0)*'Operating costs'!$B$9)*IF('Replacement plan'!$AG$97="",'Operating costs'!$B$7,'Replacement plan'!$AG$97)*('Energy and charging'!$C$9*'Energy and charging'!$C$7+(1-'Energy and charging'!$C$9)*'Energy and charging'!$C$8)*'Operating costs'!$B$23,"n.a."))</f>
        <v>0</v>
      </c>
      <c r="K370" s="16">
        <f>IF(C370=0,0,IF(P370="Complete",SUM('Operating costs'!$B$24,'Operating costs'!$B$27,'Operating costs'!$B$29,'Operating costs'!$B$31,'Operating costs'!$B$33,'Operating costs'!$B$34,'Operating costs'!$B$37,'Replacement plan'!$W$97)+'Operating costs'!$B$39*'Operating costs'!$B$42+ROUNDUP(S370*(R370-'Operating costs'!$B$39)*IF('Replacement plan'!$AG$97="",'Operating costs'!$B$7,'Replacement plan'!$AG$97)/('Operating costs'!$B$8-'Operating costs'!$B$9*IF('Replacement plan'!$AG$97="",'Operating costs'!$B$7,'Replacement plan'!$AG$97)),0)*('Operating costs'!$B$9/'Operating costs'!$B$11+'Operating costs'!$B$10/60)*'Operating costs'!$B$19*'Operating costs'!$B$21,"n.a."))</f>
        <v>0</v>
      </c>
      <c r="L370" s="16">
        <f>IF(C370=0,0,IF(P370="Complete",IF(D370="EV",X370*((1-T370)*'Energy and charging'!$C$10+T370*'Energy and charging'!$C$11)*'Operating costs'!$B$22,AA370*('Energy and charging'!$C$9*'Energy and charging'!$C$7+(1-'Energy and charging'!$C$9)*'Energy and charging'!$C$8)*'Operating costs'!$B$23),"n.a."))</f>
        <v>0</v>
      </c>
      <c r="M370" s="37">
        <f>IF(C370=0,0,IF(P370="Complete",IF(D370="ICE",SUM('Operating costs'!$B$25,'Operating costs'!$B$27,'Operating costs'!$B$29,'Operating costs'!$B$31,'Operating costs'!$B$33,'Operating costs'!$B$35,'Operating costs'!$B$37,'Replacement plan'!$X$97)+'Operating costs'!$B$40*'Operating costs'!$B$42+ROUNDUP(S370*(R370-'Operating costs'!$B$40)*IF('Replacement plan'!$AH$97="",'Operating costs'!$B$7,'Replacement plan'!$AH$97)/('Operating costs'!$B$8-'Operating costs'!$B$9*IF('Replacement plan'!$AH$97="",'Operating costs'!$B$7,'Replacement plan'!$AH$97)),0)*('Operating costs'!$B$9/'Operating costs'!$B$11+'Operating costs'!$B$10/60)*'Operating costs'!$B$19*'Operating costs'!$B$21,SUM(AP370,'Operating costs'!$B$28,'Operating costs'!$B$30,'Operating costs'!$B$32,'Operating costs'!$B$33,'Operating costs'!$B$36,'Operating costs'!$B$38,'Replacement plan'!$Y$97)+'Operating costs'!$B$41*'Operating costs'!$B$43+W370*'Operating costs'!$B$15+(T370*X370/'Replacement plan'!$L$97+W370*('Operating costs'!$B$12/'Operating costs'!$B$11+('Operating costs'!$B$13+'Operating costs'!$B$14)/60)+(R370-'Operating costs'!$B$41)*(IF(T370&lt;1,'Operating costs'!$B$16,0)+'Operating costs'!$B$17)/60)*'Operating costs'!$B$19*'Operating costs'!$B$20),"n.a."))</f>
        <v>0</v>
      </c>
      <c r="N370" s="16">
        <f>IF(AND(C370=1,D370="EV",E370&lt;120,E370+'Replacement plan'!$AA$97&lt;=120),'Replacement plan'!$Z$97,0)</f>
        <v>0</v>
      </c>
      <c r="O370" s="1">
        <f>E370+'Replacement plan'!$AA$97</f>
        <v>0</v>
      </c>
      <c r="P370" s="35" t="str">
        <f>IFERROR(IF(C370=0,"Excluded",IF(OR(COUNTIFS('Fleet register'!$A$7:$A$106,A370)&lt;&gt;1,COUNTIFS('Replacement plan'!$A$7:$A$106,A370)&lt;&gt;1),"Duplicate/missing ID",IF(NOT(AND(ISNUMBER(VLOOKUP($A370,'Fleet register'!$A$7:$S$106,5,FALSE)),ISNUMBER(VLOOKUP($A370,'Fleet register'!$A$7:$S$106,6,FALSE)),ISNUMBER(VLOOKUP($A370,'Fleet register'!$A$7:$S$106,10,FALSE)),ISNUMBER(VLOOKUP($A370,'Fleet register'!$A$7:$S$106,11,FALSE)),ISNUMBER(VLOOKUP($A370,'Fleet register'!$A$7:$S$106,12,FALSE)),ISNUMBER(VLOOKUP($A370,'Fleet register'!$A$7:$S$106,13,FALSE)),ISNUMBER(VLOOKUP($A370,'Fleet register'!$A$7:$S$106,14,FALSE)),VLOOKUP($A370,'Fleet register'!$A$7:$S$106,14,FALSE)&gt;0,ISNUMBER('Replacement plan'!$C$97),OR(E370=120,ISNUMBER('Replacement plan'!$T$97)),ISNUMBER(E370))),"Missing vehicle input",IF(OR(E370&lt;0,E370&gt;VLOOKUP($A370,'Fleet register'!$A$7:$S$106,10,FALSE),E370&gt;120,E370&lt;&gt;INT(E370),VLOOKUP($A370,'Fleet register'!$A$7:$S$106,6,FALSE)&lt;=0,VLOOKUP($A370,'Fleet register'!$A$7:$S$106,6,FALSE)&gt;366,VLOOKUP($A370,'Fleet register'!$A$7:$S$106,5,FALSE)&lt;0,VLOOKUP($A370,'Fleet register'!$A$7:$S$106,11,FALSE)&lt;0,I370&lt;0,'Operating costs'!$B$8&lt;='Operating costs'!$B$7*'Operating costs'!$B$9,'Operating costs'!$B$11&lt;=0,'Operating costs'!$B$39&gt;R370,'Operating costs'!$B$40&gt;R370,'Operating costs'!$B$41&gt;R370,NOT(OR('Replacement plan'!$R$97="Keep ICE",'Replacement plan'!$R$97="New ICE",'Replacement plan'!$R$97="EV"))),"Invalid vehicle input",IF(AND(D370="EV",E370&lt;120,OR(NOT(ISNUMBER(U370)),NOT(ISNUMBER(V370)),V370&lt;=0,T370&lt;0,T370&gt;1,'Replacement plan'!$L$97&lt;=0,'Operating costs'!$B$44&lt;0,'Operating costs'!$B$44&gt;=1,'Operating costs'!$B$47&lt;=0,'Operating costs'!$B$47&gt;1,V370*'Operating costs'!$B$47/(1-'Operating costs'!$B$44)&lt;=T370*'Operating costs'!$B$12*U370,AND('Replacement plan'!$Z$97&gt;0,OR('Replacement plan'!$AB$97&lt;&gt;"Yes",'Operating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charging'!$C$8&gt;=0))),ISNUMBER(VLOOKUP($A370,'Fleet register'!$A$7:$S$106,15,FALSE)),ISNUMBER(VLOOKUP($A370,'Fleet register'!$A$7:$S$106,16,FALSE)),ISNUMBER('Replacement plan'!$W$97),ISNUMBER('Replacement plan'!$X$97),OR(E370=120,AND(ISNUMBER(G370),G370&gt;=0)),ISNUMBER(H370),H370&gt;=0,OR(D370&lt;&gt;"EV",E370=120,AND(ISNUMBER('Operating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average",ISNUMBER(IFERROR(INDEX(Products!$P$7:$P$13,MATCH(AD370,Products!$A$7:$A$13,0)),"")))),ISNUMBER('Operating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plan'!$Y$97),ISNUMBER('Replacement plan'!$Z$97),'Replacement plan'!$Z$97&gt;=0,ISNUMBER('Replacement plan'!$AA$97),'Replacement plan'!$AA$97&gt;=0,'Replacement plan'!$AA$97=INT('Replacement plan'!$AA$97),ISNUMBER('Replacement plan'!$L$97))),'Operating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plan'!$AG$97="",'Operating costs'!$B$7,'Replacement plan'!$AG$97)),IF('Replacement plan'!$AG$97="",'Operating costs'!$B$7,'Replacement plan'!$AG$97)&gt;=0,ISNUMBER(IF('Replacement plan'!$AH$97="",'Operating costs'!$B$7,'Replacement plan'!$AH$97)),IF('Replacement plan'!$AH$97="",'Operating costs'!$B$7,'Replacement plan'!$AH$97)&gt;=0,'Operating costs'!$B$8&gt;MAX(IF('Replacement plan'!$AG$97="",'Operating costs'!$B$7,'Replacement plan'!$AG$97),IF('Replacement plan'!$AH$97="",'Operating costs'!$B$7,'Replacement plan'!$AH$97))*'Operating costs'!$B$9),IF(AND(VLOOKUP($A370,'Fleet register'!$A$7:$S$106,10,FALSE)&gt;=0,VLOOKUP($A370,'Fleet register'!$A$7:$S$106,10,FALSE)&lt;=120,VLOOKUP($A370,'Fleet register'!$A$7:$S$106,10,FALSE)=INT(VLOOKUP($A370,'Fleet register'!$A$7:$S$106,10,FALSE)),VLOOKUP($A370,'Fleet register'!$A$7:$S$106,15,FALSE)&gt;=0,VLOOKUP($A370,'Fleet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costs'!$B$67)&gt;=0,OR(D370&lt;&gt;"EV",E370=120,AND(MIN('Operating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70" s="1" t="str">
        <f>IF(C370=0,"Excluded",IF(P370&lt;&gt;"Complete",P370,IF(OR('Replacement plan'!$AD$97&lt;120-E370,AND(D370="EV",E370&lt;120,OR('Replacement plan'!$AC$97&lt;120-E370,'Replacement plan'!$I$97="No",AND(ISNUMBER(AF370),AE370&gt;AF370),AI370&gt;V370*(1-'Operating costs'!$B$46)^MAX(0,AB370-1)*(1-'Operating costs'!$B$45),AC370&gt;'Operating costs'!$B$18,AND(T370&lt;1,OR(AG370&lt;=0,AND(ISNUMBER(AH370),AG370&gt;AH370))),'Replacement plan'!$L$97&gt;INDEX(Products!$H$7:$H$13,MATCH('Replacement plan'!$B$97,Products!$A$7:$A$13,0))))),"Fails entered limits",IF(AND(D370="EV",E370&lt;120,OR(NOT(ISNUMBER(VLOOKUP($A370,'Fleet register'!$A$7:$S$106,7,FALSE))),NOT(ISNUMBER(VLOOKUP($A370,'Fleet register'!$A$7:$S$106,8,FALSE))),NOT(ISNUMBER(AF370)),'Replacement plan'!$I$97&lt;&gt;"Yes",NOT(ISNUMBER(AH370)),'Operating costs'!$B$59&lt;&gt;"Yes",'Operating costs'!$B$58&lt;&gt;"Yes")),"Unverified","Within entered limits"))))</f>
        <v>Excluded</v>
      </c>
      <c r="R370" s="1">
        <f>IF(C370=0,0,VLOOKUP($A370,'Fleet register'!$A$7:$S$106,6,FALSE))</f>
        <v>0</v>
      </c>
      <c r="S370" s="1">
        <f>IF(C370=0,0,VLOOKUP($A370,'Fleet register'!$A$7:$S$106,5,FALSE))</f>
        <v>0</v>
      </c>
      <c r="T370" s="1">
        <f>IF(D370="EV",'Energy and charging'!$C$12,0)</f>
        <v>0</v>
      </c>
      <c r="U370" s="1">
        <f>IFERROR(IF(C370=0,0,IF(D370="EV",IF('Replacement plan'!$F$97="",INDEX(Products!$E$7:$E$13,MATCH('Replacement plan'!$B$97,Products!$A$7:$A$13,0)),'Replacement plan'!$F$97)/IF('Replacement plan'!$G$97="Battery",1-'Operating costs'!$B$44,1),0)),"n.a.")</f>
        <v>0</v>
      </c>
      <c r="V370" s="1">
        <f>IFERROR(IF(C370=0,0,IF(D370="EV",IF('Replacement plan'!$E$97="",INDEX(Products!$D$7:$D$13,MATCH('Replacement plan'!$B$97,Products!$A$7:$A$13,0)),'Replacement plan'!$E$97),0)),"n.a.")</f>
        <v>0</v>
      </c>
      <c r="W370" s="1">
        <f>IF(C370=0,0,IF(AND(P370="Complete",D370="EV",E370&lt;120),IF(T370=0,0,ROUNDUP(T370*(R370-'Operating costs'!$B$41)*(S370*U370+'Operating costs'!$B$48/(1-'Operating costs'!$B$44))/(V370*'Operating costs'!$B$47/(1-'Operating costs'!$B$44)-T370*'Operating costs'!$B$12*U370),0)),0))</f>
        <v>0</v>
      </c>
      <c r="X370" s="1">
        <f>IF(C370=0,0,IF(AND(P370="Complete",D370="EV",E370&lt;120),(R370-'Operating costs'!$B$41)*(S370*U370+'Operating costs'!$B$48/(1-'Operating costs'!$B$44))+W370*'Operating costs'!$B$12*U370,0))</f>
        <v>0</v>
      </c>
      <c r="Y370" s="1">
        <f>IF(AND(C370=1,D370="EV",E370&lt;120),AI370/(1-'Operating costs'!$B$44)*(1-T370),0)</f>
        <v>0</v>
      </c>
      <c r="Z370" s="1">
        <f t="shared" si="10"/>
        <v>0</v>
      </c>
      <c r="AA370" s="1">
        <f>IF(C370=0,0,IF(P370="Complete",((S370*(R370-'Operating costs'!$B$40))+ROUNDUP(S370*(R370-'Operating costs'!$B$40)*IF('Replacement plan'!$AH$97="",'Operating costs'!$B$7,'Replacement plan'!$AH$97)/('Operating costs'!$B$8-'Operating costs'!$B$9*IF('Replacement plan'!$AH$97="",'Operating costs'!$B$7,'Replacement plan'!$AH$97)),0)*'Operating costs'!$B$9)*IF('Replacement plan'!$AH$97="",'Operating costs'!$B$7,'Replacement plan'!$AH$97),"n.a."))</f>
        <v>0</v>
      </c>
      <c r="AB370" s="1">
        <f t="shared" si="11"/>
        <v>0</v>
      </c>
      <c r="AC370" s="1">
        <f>IF(AND(C370=1,D370="EV",E370&lt;120,T370&gt;0),'Operating costs'!$B$12/'Operating costs'!$B$11*60+'Operating costs'!$B$13+'Operating costs'!$B$14+V370*'Operating costs'!$B$47/(1-'Operating costs'!$B$44)/'Replacement plan'!$L$97*60,0)</f>
        <v>0</v>
      </c>
      <c r="AD370" s="1" t="str">
        <f>'Replacement plan'!$B$97</f>
        <v>ChengLong L2EV</v>
      </c>
      <c r="AE370" s="1">
        <f>IF(C370=0,0,VLOOKUP($A370,'Fleet register'!$A$7:$S$106,8,FALSE))</f>
        <v>0</v>
      </c>
      <c r="AF370" s="1" t="str">
        <f>IF('Replacement plan'!$H$97="","n.a.",'Replacement plan'!$H$97)</f>
        <v>n.a.</v>
      </c>
      <c r="AG370" s="1">
        <f>'Replacement plan'!$J$97</f>
        <v>22</v>
      </c>
      <c r="AH370" s="1">
        <f>IFERROR(IF(D370="EV",IF('Replacement plan'!$K$97="AC",IF(ISNUMBER(INDEX(Products!$G$7:$G$13,MATCH('Replacement plan'!$B$97,Products!$A$7:$A$13,0))),INDEX(Products!$G$7:$G$13,MATCH('Replacement plan'!$B$97,Products!$A$7:$A$13,0)),"n.a."),IF(ISNUMBER(INDEX(Products!$H$7:$H$13,MATCH('Replacement plan'!$B$97,Products!$A$7:$A$13,0))),INDEX(Products!$H$7:$H$13,MATCH('Replacement plan'!$B$97,Products!$A$7:$A$13,0)),"n.a.")),0),"n.a.")</f>
        <v>0</v>
      </c>
      <c r="AI370" s="1">
        <f>IF(AND(C370=1,D370="EV",E370&lt;120),(VLOOKUP($A370,'Fleet register'!$A$7:$S$106,7,FALSE)+IF(T370&gt;0,'Operating costs'!$B$12,0))*U370*(1-'Operating costs'!$B$44)+'Operating costs'!$B$49,0)</f>
        <v>0</v>
      </c>
      <c r="AJ370" s="1">
        <f>IF(D370="EV",'Energy and charging'!$C$50,0)</f>
        <v>0</v>
      </c>
      <c r="AK370" s="17">
        <f>EDATE('Operating costs'!$B$63,E370)</f>
        <v>46298</v>
      </c>
      <c r="AL370" s="1">
        <f>IFERROR(IF(D370="EV",INDEX(Products!$B$7:$B$13,MATCH('Replacement plan'!$B$97,Products!$A$7:$A$13,0)),0),"n.a.")</f>
        <v>0</v>
      </c>
      <c r="AM370" s="1" t="str">
        <f>'Replacement plan'!$K$97</f>
        <v>DC</v>
      </c>
      <c r="AN370" s="1" t="str">
        <f>'Replacement plan'!$AE$97</f>
        <v>Assumed</v>
      </c>
      <c r="AO370" s="47">
        <f>IF(AND(C370=1,D370="EV",E370&lt;120),(R370-'Operating costs'!$B$41)*S370+W370*'Operating costs'!$B$12,0)</f>
        <v>0</v>
      </c>
      <c r="AP370" s="41">
        <f>IF(AND(C370=1,D370="EV",E370&lt;120),IF('Operating costs'!$B$68="Hong Seh 200k average",AO370*IFERROR(INDEX(Products!$P$7:$P$13,MATCH(AD370,Products!$A$7:$A$13,0)),"n.a."),'Operating costs'!$B$26),0)</f>
        <v>0</v>
      </c>
      <c r="AQ370" s="40" t="str">
        <f>IF(D370="EV",'Operating costs'!$B$68,"Not applicable")</f>
        <v>Not applicable</v>
      </c>
    </row>
    <row r="371" spans="1:43" ht="24" customHeight="1">
      <c r="A371" s="1" t="str">
        <f>'Replacement plan'!A98</f>
        <v>T092</v>
      </c>
      <c r="B371" s="1">
        <v>0</v>
      </c>
      <c r="C371" s="1">
        <f>IF(COUNTIFS('Fleet register'!$A$7:$A$106,$A371)=1,VLOOKUP($A371,'Fleet register'!$A$7:$S$106,2,FALSE),0)</f>
        <v>0</v>
      </c>
      <c r="D371" s="1" t="str">
        <f>IF("Keep ICE"="EV","EV","ICE")</f>
        <v>ICE</v>
      </c>
      <c r="E371" s="1">
        <f>IF(C371=0,0,IF('Replacement plan'!$M$98="",VLOOKUP($A371,'Fleet register'!$A$7:$S$106,10,FALSE),'Replacement plan'!$M$98))</f>
        <v>0</v>
      </c>
      <c r="F371" s="16">
        <f>IF(C371=0,0,VLOOKUP($A371,'Fleet register'!$A$7:$S$106,11,FALSE))</f>
        <v>0</v>
      </c>
      <c r="G371" s="16">
        <f>IFERROR(IF(C371=0,0,IF(E371=120,0,IF(D371="ICE",'Replacement plan'!$C$98,IF('Replacement plan'!$D$98="",INDEX(Products!$I$7:$I$13,MATCH('Replacement plan'!$B$98,Products!$A$7:$A$13,0))+'Operating costs'!$B$57,'Replacement plan'!$D$98))*(1+'Operating costs'!$B$50)^(E371/12))),"n.a.")</f>
        <v>0</v>
      </c>
      <c r="H371" s="16">
        <f>IFERROR(IF(C371=0,0,IF(E371=0,F371,VLOOKUP($A371,'Fleet register'!$A$7:$S$106,12,FALSE)+VLOOKUP($A371,'Fleet register'!$A$7:$S$106,13,FALSE)*MAX(0,VLOOKUP($A371,'Fleet register'!$A$7:$S$106,10,FALSE)-E371)/VLOOKUP($A371,'Fleet register'!$A$7:$S$106,14,FALSE))),"n.a.")</f>
        <v>0</v>
      </c>
      <c r="I371" s="16">
        <f>IF(C371=0,0,IF(E371=120,0,'Replacement plan'!$N$98))</f>
        <v>0</v>
      </c>
      <c r="J371" s="16">
        <f>IF(C371=0,0,IF(P371="Complete",((S371*(R371-'Operating costs'!$B$39))+ROUNDUP(S371*(R371-'Operating costs'!$B$39)*IF('Replacement plan'!$AG$98="",'Operating costs'!$B$7,'Replacement plan'!$AG$98)/('Operating costs'!$B$8-'Operating costs'!$B$9*IF('Replacement plan'!$AG$98="",'Operating costs'!$B$7,'Replacement plan'!$AG$98)),0)*'Operating costs'!$B$9)*IF('Replacement plan'!$AG$98="",'Operating costs'!$B$7,'Replacement plan'!$AG$98)*('Energy and charging'!$B$9*'Energy and charging'!$B$7+(1-'Energy and charging'!$B$9)*'Energy and charging'!$B$8)*'Operating costs'!$B$23,"n.a."))</f>
        <v>0</v>
      </c>
      <c r="K371" s="16">
        <f>IF(C371=0,0,IF(P371="Complete",SUM('Operating costs'!$B$24,'Operating costs'!$B$27,'Operating costs'!$B$29,'Operating costs'!$B$31,'Operating costs'!$B$33,'Operating costs'!$B$34,'Operating costs'!$B$37,'Replacement plan'!$W$98)+'Operating costs'!$B$39*'Operating costs'!$B$42+ROUNDUP(S371*(R371-'Operating costs'!$B$39)*IF('Replacement plan'!$AG$98="",'Operating costs'!$B$7,'Replacement plan'!$AG$98)/('Operating costs'!$B$8-'Operating costs'!$B$9*IF('Replacement plan'!$AG$98="",'Operating costs'!$B$7,'Replacement plan'!$AG$98)),0)*('Operating costs'!$B$9/'Operating costs'!$B$11+'Operating costs'!$B$10/60)*'Operating costs'!$B$19*'Operating costs'!$B$21,"n.a."))</f>
        <v>0</v>
      </c>
      <c r="L371" s="16">
        <f>IF(C371=0,0,IF(P371="Complete",IF(D371="EV",X371*((1-T371)*'Energy and charging'!$B$10+T371*'Energy and charging'!$B$11)*'Operating costs'!$B$22,AA371*('Energy and charging'!$B$9*'Energy and charging'!$B$7+(1-'Energy and charging'!$B$9)*'Energy and charging'!$B$8)*'Operating costs'!$B$23),"n.a."))</f>
        <v>0</v>
      </c>
      <c r="M371" s="37">
        <f>IF(C371=0,0,IF(P371="Complete",IF(D371="ICE",SUM('Operating costs'!$B$25,'Operating costs'!$B$27,'Operating costs'!$B$29,'Operating costs'!$B$31,'Operating costs'!$B$33,'Operating costs'!$B$35,'Operating costs'!$B$37,'Replacement plan'!$X$98)+'Operating costs'!$B$40*'Operating costs'!$B$42+ROUNDUP(S371*(R371-'Operating costs'!$B$40)*IF('Replacement plan'!$AH$98="",'Operating costs'!$B$7,'Replacement plan'!$AH$98)/('Operating costs'!$B$8-'Operating costs'!$B$9*IF('Replacement plan'!$AH$98="",'Operating costs'!$B$7,'Replacement plan'!$AH$98)),0)*('Operating costs'!$B$9/'Operating costs'!$B$11+'Operating costs'!$B$10/60)*'Operating costs'!$B$19*'Operating costs'!$B$21,SUM(AP371,'Operating costs'!$B$28,'Operating costs'!$B$30,'Operating costs'!$B$32,'Operating costs'!$B$33,'Operating costs'!$B$36,'Operating costs'!$B$38,'Replacement plan'!$Y$98)+'Operating costs'!$B$41*'Operating costs'!$B$43+W371*'Operating costs'!$B$15+(T371*X371/'Replacement plan'!$L$98+W371*('Operating costs'!$B$12/'Operating costs'!$B$11+('Operating costs'!$B$13+'Operating costs'!$B$14)/60)+(R371-'Operating costs'!$B$41)*(IF(T371&lt;1,'Operating costs'!$B$16,0)+'Operating costs'!$B$17)/60)*'Operating costs'!$B$19*'Operating costs'!$B$20),"n.a."))</f>
        <v>0</v>
      </c>
      <c r="N371" s="16">
        <f>IF(AND(C371=1,D371="EV",E371&lt;120,E371+'Replacement plan'!$AA$98&lt;=120),'Replacement plan'!$Z$98,0)</f>
        <v>0</v>
      </c>
      <c r="O371" s="1">
        <f>E371+'Replacement plan'!$AA$98</f>
        <v>0</v>
      </c>
      <c r="P371" s="35" t="str">
        <f>IFERROR(IF(C371=0,"Excluded",IF(OR(COUNTIFS('Fleet register'!$A$7:$A$106,A371)&lt;&gt;1,COUNTIFS('Replacement plan'!$A$7:$A$106,A371)&lt;&gt;1),"Duplicate/missing ID",IF(NOT(AND(ISNUMBER(VLOOKUP($A371,'Fleet register'!$A$7:$S$106,5,FALSE)),ISNUMBER(VLOOKUP($A371,'Fleet register'!$A$7:$S$106,6,FALSE)),ISNUMBER(VLOOKUP($A371,'Fleet register'!$A$7:$S$106,10,FALSE)),ISNUMBER(VLOOKUP($A371,'Fleet register'!$A$7:$S$106,11,FALSE)),ISNUMBER(VLOOKUP($A371,'Fleet register'!$A$7:$S$106,12,FALSE)),ISNUMBER(VLOOKUP($A371,'Fleet register'!$A$7:$S$106,13,FALSE)),ISNUMBER(VLOOKUP($A371,'Fleet register'!$A$7:$S$106,14,FALSE)),VLOOKUP($A371,'Fleet register'!$A$7:$S$106,14,FALSE)&gt;0,ISNUMBER('Replacement plan'!$C$98),OR(E371=120,ISNUMBER('Replacement plan'!$N$98)),ISNUMBER(E371))),"Missing vehicle input",IF(OR(E371&lt;0,E371&gt;VLOOKUP($A371,'Fleet register'!$A$7:$S$106,10,FALSE),E371&gt;120,E371&lt;&gt;INT(E371),VLOOKUP($A371,'Fleet register'!$A$7:$S$106,6,FALSE)&lt;=0,VLOOKUP($A371,'Fleet register'!$A$7:$S$106,6,FALSE)&gt;366,VLOOKUP($A371,'Fleet register'!$A$7:$S$106,5,FALSE)&lt;0,VLOOKUP($A371,'Fleet register'!$A$7:$S$106,11,FALSE)&lt;0,I371&lt;0,'Operating costs'!$B$8&lt;='Operating costs'!$B$7*'Operating costs'!$B$9,'Operating costs'!$B$11&lt;=0,'Operating costs'!$B$39&gt;R371,'Operating costs'!$B$40&gt;R371,'Operating costs'!$B$41&gt;R371,NOT(OR("Keep ICE"="Keep ICE","Keep ICE"="New ICE","Keep ICE"="EV"))),"Invalid vehicle input",IF(AND(D371="EV",E371&lt;120,OR(NOT(ISNUMBER(U371)),NOT(ISNUMBER(V371)),V371&lt;=0,T371&lt;0,T371&gt;1,'Replacement plan'!$L$98&lt;=0,'Operating costs'!$B$44&lt;0,'Operating costs'!$B$44&gt;=1,'Operating costs'!$B$47&lt;=0,'Operating costs'!$B$47&gt;1,V371*'Operating costs'!$B$47/(1-'Operating costs'!$B$44)&lt;=T371*'Operating costs'!$B$12*U371,AND('Replacement plan'!$Z$98&gt;0,OR('Replacement plan'!$AB$98&lt;&gt;"Yes",'Operating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charging'!$B$8&gt;=0))),ISNUMBER(VLOOKUP($A371,'Fleet register'!$A$7:$S$106,15,FALSE)),ISNUMBER(VLOOKUP($A371,'Fleet register'!$A$7:$S$106,16,FALSE)),ISNUMBER('Replacement plan'!$W$98),ISNUMBER('Replacement plan'!$X$98),OR(E371=120,AND(ISNUMBER(G371),G371&gt;=0)),ISNUMBER(H371),H371&gt;=0,OR(D371&lt;&gt;"EV",E371=120,AND(ISNUMBER('Operating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average",ISNUMBER(IFERROR(INDEX(Products!$P$7:$P$13,MATCH(AD371,Products!$A$7:$A$13,0)),"")))),ISNUMBER('Operating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plan'!$Y$98),ISNUMBER('Replacement plan'!$Z$98),'Replacement plan'!$Z$98&gt;=0,ISNUMBER('Replacement plan'!$AA$98),'Replacement plan'!$AA$98&gt;=0,'Replacement plan'!$AA$98=INT('Replacement plan'!$AA$98),ISNUMBER('Replacement plan'!$L$98))),'Operating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plan'!$AG$98="",'Operating costs'!$B$7,'Replacement plan'!$AG$98)),IF('Replacement plan'!$AG$98="",'Operating costs'!$B$7,'Replacement plan'!$AG$98)&gt;=0,ISNUMBER(IF('Replacement plan'!$AH$98="",'Operating costs'!$B$7,'Replacement plan'!$AH$98)),IF('Replacement plan'!$AH$98="",'Operating costs'!$B$7,'Replacement plan'!$AH$98)&gt;=0,'Operating costs'!$B$8&gt;MAX(IF('Replacement plan'!$AG$98="",'Operating costs'!$B$7,'Replacement plan'!$AG$98),IF('Replacement plan'!$AH$98="",'Operating costs'!$B$7,'Replacement plan'!$AH$98))*'Operating costs'!$B$9),IF(AND(VLOOKUP($A371,'Fleet register'!$A$7:$S$106,10,FALSE)&gt;=0,VLOOKUP($A371,'Fleet register'!$A$7:$S$106,10,FALSE)&lt;=120,VLOOKUP($A371,'Fleet register'!$A$7:$S$106,10,FALSE)=INT(VLOOKUP($A371,'Fleet register'!$A$7:$S$106,10,FALSE)),VLOOKUP($A371,'Fleet register'!$A$7:$S$106,15,FALSE)&gt;=0,VLOOKUP($A371,'Fleet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costs'!$B$67)&gt;=0,OR(D371&lt;&gt;"EV",E371=120,AND(MIN('Operating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71" s="1" t="str">
        <f>IF(C371=0,"Excluded",IF(P371&lt;&gt;"Complete",P371,IF(OR('Replacement plan'!$AD$98&lt;120-E371,AND(D371="EV",E371&lt;120,OR('Replacement plan'!$AC$98&lt;120-E371,'Replacement plan'!$I$98="No",AND(ISNUMBER(AF371),AE371&gt;AF371),AI371&gt;V371*(1-'Operating costs'!$B$46)^MAX(0,AB371-1)*(1-'Operating costs'!$B$45),AC371&gt;'Operating costs'!$B$18,AND(T371&lt;1,OR(AG371&lt;=0,AND(ISNUMBER(AH371),AG371&gt;AH371))),'Replacement plan'!$L$98&gt;INDEX(Products!$H$7:$H$13,MATCH('Replacement plan'!$B$98,Products!$A$7:$A$13,0))))),"Fails entered limits",IF(AND(D371="EV",E371&lt;120,OR(NOT(ISNUMBER(VLOOKUP($A371,'Fleet register'!$A$7:$S$106,7,FALSE))),NOT(ISNUMBER(VLOOKUP($A371,'Fleet register'!$A$7:$S$106,8,FALSE))),NOT(ISNUMBER(AF371)),'Replacement plan'!$I$98&lt;&gt;"Yes",NOT(ISNUMBER(AH371)),'Operating costs'!$B$59&lt;&gt;"Yes",'Operating costs'!$B$58&lt;&gt;"Yes")),"Unverified","Within entered limits"))))</f>
        <v>Excluded</v>
      </c>
      <c r="R371" s="1">
        <f>IF(C371=0,0,VLOOKUP($A371,'Fleet register'!$A$7:$S$106,6,FALSE))</f>
        <v>0</v>
      </c>
      <c r="S371" s="1">
        <f>IF(C371=0,0,VLOOKUP($A371,'Fleet register'!$A$7:$S$106,5,FALSE))</f>
        <v>0</v>
      </c>
      <c r="T371" s="1">
        <f>IF(D371="EV",'Energy and charging'!$B$12,0)</f>
        <v>0</v>
      </c>
      <c r="U371" s="1">
        <f>IFERROR(IF(C371=0,0,IF(D371="EV",IF('Replacement plan'!$F$98="",INDEX(Products!$E$7:$E$13,MATCH('Replacement plan'!$B$98,Products!$A$7:$A$13,0)),'Replacement plan'!$F$98)/IF('Replacement plan'!$G$98="Battery",1-'Operating costs'!$B$44,1),0)),"n.a.")</f>
        <v>0</v>
      </c>
      <c r="V371" s="1">
        <f>IFERROR(IF(C371=0,0,IF(D371="EV",IF('Replacement plan'!$E$98="",INDEX(Products!$D$7:$D$13,MATCH('Replacement plan'!$B$98,Products!$A$7:$A$13,0)),'Replacement plan'!$E$98),0)),"n.a.")</f>
        <v>0</v>
      </c>
      <c r="W371" s="1">
        <f>IF(C371=0,0,IF(AND(P371="Complete",D371="EV",E371&lt;120),IF(T371=0,0,ROUNDUP(T371*(R371-'Operating costs'!$B$41)*(S371*U371+'Operating costs'!$B$48/(1-'Operating costs'!$B$44))/(V371*'Operating costs'!$B$47/(1-'Operating costs'!$B$44)-T371*'Operating costs'!$B$12*U371),0)),0))</f>
        <v>0</v>
      </c>
      <c r="X371" s="1">
        <f>IF(C371=0,0,IF(AND(P371="Complete",D371="EV",E371&lt;120),(R371-'Operating costs'!$B$41)*(S371*U371+'Operating costs'!$B$48/(1-'Operating costs'!$B$44))+W371*'Operating costs'!$B$12*U371,0))</f>
        <v>0</v>
      </c>
      <c r="Y371" s="1">
        <f>IF(AND(C371=1,D371="EV",E371&lt;120),AI371/(1-'Operating costs'!$B$44)*(1-T371),0)</f>
        <v>0</v>
      </c>
      <c r="Z371" s="1">
        <f t="shared" si="10"/>
        <v>0</v>
      </c>
      <c r="AA371" s="1">
        <f>IF(C371=0,0,IF(P371="Complete",((S371*(R371-'Operating costs'!$B$40))+ROUNDUP(S371*(R371-'Operating costs'!$B$40)*IF('Replacement plan'!$AH$98="",'Operating costs'!$B$7,'Replacement plan'!$AH$98)/('Operating costs'!$B$8-'Operating costs'!$B$9*IF('Replacement plan'!$AH$98="",'Operating costs'!$B$7,'Replacement plan'!$AH$98)),0)*'Operating costs'!$B$9)*IF('Replacement plan'!$AH$98="",'Operating costs'!$B$7,'Replacement plan'!$AH$98),"n.a."))</f>
        <v>0</v>
      </c>
      <c r="AB371" s="1">
        <f t="shared" si="11"/>
        <v>0</v>
      </c>
      <c r="AC371" s="1">
        <f>IF(AND(C371=1,D371="EV",E371&lt;120,T371&gt;0),'Operating costs'!$B$12/'Operating costs'!$B$11*60+'Operating costs'!$B$13+'Operating costs'!$B$14+V371*'Operating costs'!$B$47/(1-'Operating costs'!$B$44)/'Replacement plan'!$L$98*60,0)</f>
        <v>0</v>
      </c>
      <c r="AD371" s="1" t="str">
        <f>'Replacement plan'!$B$98</f>
        <v>ChengLong L2EV</v>
      </c>
      <c r="AE371" s="1">
        <f>IF(C371=0,0,VLOOKUP($A371,'Fleet register'!$A$7:$S$106,8,FALSE))</f>
        <v>0</v>
      </c>
      <c r="AF371" s="1" t="str">
        <f>IF('Replacement plan'!$H$98="","n.a.",'Replacement plan'!$H$98)</f>
        <v>n.a.</v>
      </c>
      <c r="AG371" s="1">
        <f>'Replacement plan'!$J$98</f>
        <v>22</v>
      </c>
      <c r="AH371" s="1">
        <f>IFERROR(IF(D371="EV",IF('Replacement plan'!$K$98="AC",IF(ISNUMBER(INDEX(Products!$G$7:$G$13,MATCH('Replacement plan'!$B$98,Products!$A$7:$A$13,0))),INDEX(Products!$G$7:$G$13,MATCH('Replacement plan'!$B$98,Products!$A$7:$A$13,0)),"n.a."),IF(ISNUMBER(INDEX(Products!$H$7:$H$13,MATCH('Replacement plan'!$B$98,Products!$A$7:$A$13,0))),INDEX(Products!$H$7:$H$13,MATCH('Replacement plan'!$B$98,Products!$A$7:$A$13,0)),"n.a.")),0),"n.a.")</f>
        <v>0</v>
      </c>
      <c r="AI371" s="1">
        <f>IF(AND(C371=1,D371="EV",E371&lt;120),(VLOOKUP($A371,'Fleet register'!$A$7:$S$106,7,FALSE)+IF(T371&gt;0,'Operating costs'!$B$12,0))*U371*(1-'Operating costs'!$B$44)+'Operating costs'!$B$49,0)</f>
        <v>0</v>
      </c>
      <c r="AJ371" s="1">
        <f>IF(D371="EV",'Energy and charging'!$B$50,0)</f>
        <v>0</v>
      </c>
      <c r="AK371" s="17">
        <f>EDATE('Operating costs'!$B$63,E371)</f>
        <v>46298</v>
      </c>
      <c r="AL371" s="1">
        <f>IFERROR(IF(D371="EV",INDEX(Products!$B$7:$B$13,MATCH('Replacement plan'!$B$98,Products!$A$7:$A$13,0)),0),"n.a.")</f>
        <v>0</v>
      </c>
      <c r="AM371" s="1" t="str">
        <f>'Replacement plan'!$K$98</f>
        <v>DC</v>
      </c>
      <c r="AN371" s="1" t="str">
        <f>'Replacement plan'!$AE$98</f>
        <v>Assumed</v>
      </c>
      <c r="AO371" s="47">
        <f>IF(AND(C371=1,D371="EV",E371&lt;120),(R371-'Operating costs'!$B$41)*S371+W371*'Operating costs'!$B$12,0)</f>
        <v>0</v>
      </c>
      <c r="AP371" s="41">
        <f>IF(AND(C371=1,D371="EV",E371&lt;120),IF('Operating costs'!$B$68="Hong Seh 200k average",AO371*IFERROR(INDEX(Products!$P$7:$P$13,MATCH(AD371,Products!$A$7:$A$13,0)),"n.a."),'Operating costs'!$B$26),0)</f>
        <v>0</v>
      </c>
      <c r="AQ371" s="40" t="str">
        <f>IF(D371="EV",'Operating costs'!$B$68,"Not applicable")</f>
        <v>Not applicable</v>
      </c>
    </row>
    <row r="372" spans="1:43" ht="24" customHeight="1">
      <c r="A372" s="1" t="str">
        <f>'Replacement plan'!A98</f>
        <v>T092</v>
      </c>
      <c r="B372" s="1">
        <v>1</v>
      </c>
      <c r="C372" s="1">
        <f>IF(COUNTIFS('Fleet register'!$A$7:$A$106,$A372)=1,VLOOKUP($A372,'Fleet register'!$A$7:$S$106,2,FALSE),0)</f>
        <v>0</v>
      </c>
      <c r="D372" s="1" t="str">
        <f>IF("New ICE"="EV","EV","ICE")</f>
        <v>ICE</v>
      </c>
      <c r="E372" s="1">
        <f>IF(C372=0,0,0)</f>
        <v>0</v>
      </c>
      <c r="F372" s="16">
        <f>IF(C372=0,0,VLOOKUP($A372,'Fleet register'!$A$7:$S$106,11,FALSE))</f>
        <v>0</v>
      </c>
      <c r="G372" s="16">
        <f>IFERROR(IF(C372=0,0,IF(E372=120,0,IF(D372="ICE",'Replacement plan'!$C$98,IF('Replacement plan'!$D$98="",INDEX(Products!$I$7:$I$13,MATCH('Replacement plan'!$B$98,Products!$A$7:$A$13,0))+'Operating costs'!$B$57,'Replacement plan'!$D$98))*(1+'Operating costs'!$B$50)^(E372/12))),"n.a.")</f>
        <v>0</v>
      </c>
      <c r="H372" s="16">
        <f>IFERROR(IF(C372=0,0,IF(E372=0,F372,VLOOKUP($A372,'Fleet register'!$A$7:$S$106,12,FALSE)+VLOOKUP($A372,'Fleet register'!$A$7:$S$106,13,FALSE)*MAX(0,VLOOKUP($A372,'Fleet register'!$A$7:$S$106,10,FALSE)-E372)/VLOOKUP($A372,'Fleet register'!$A$7:$S$106,14,FALSE))),"n.a.")</f>
        <v>0</v>
      </c>
      <c r="I372" s="16">
        <f>IF(C372=0,0,IF(E372=120,0,IF('Replacement plan'!$AI$98="",'Operating costs'!$B$56,'Replacement plan'!$AI$98)))</f>
        <v>0</v>
      </c>
      <c r="J372" s="16">
        <f>IF(C372=0,0,IF(P372="Complete",((S372*(R372-'Operating costs'!$B$39))+ROUNDUP(S372*(R372-'Operating costs'!$B$39)*IF('Replacement plan'!$AG$98="",'Operating costs'!$B$7,'Replacement plan'!$AG$98)/('Operating costs'!$B$8-'Operating costs'!$B$9*IF('Replacement plan'!$AG$98="",'Operating costs'!$B$7,'Replacement plan'!$AG$98)),0)*'Operating costs'!$B$9)*IF('Replacement plan'!$AG$98="",'Operating costs'!$B$7,'Replacement plan'!$AG$98)*('Energy and charging'!$B$9*'Energy and charging'!$B$7+(1-'Energy and charging'!$B$9)*'Energy and charging'!$B$8)*'Operating costs'!$B$23,"n.a."))</f>
        <v>0</v>
      </c>
      <c r="K372" s="16">
        <f>IF(C372=0,0,IF(P372="Complete",SUM('Operating costs'!$B$24,'Operating costs'!$B$27,'Operating costs'!$B$29,'Operating costs'!$B$31,'Operating costs'!$B$33,'Operating costs'!$B$34,'Operating costs'!$B$37,'Replacement plan'!$W$98)+'Operating costs'!$B$39*'Operating costs'!$B$42+ROUNDUP(S372*(R372-'Operating costs'!$B$39)*IF('Replacement plan'!$AG$98="",'Operating costs'!$B$7,'Replacement plan'!$AG$98)/('Operating costs'!$B$8-'Operating costs'!$B$9*IF('Replacement plan'!$AG$98="",'Operating costs'!$B$7,'Replacement plan'!$AG$98)),0)*('Operating costs'!$B$9/'Operating costs'!$B$11+'Operating costs'!$B$10/60)*'Operating costs'!$B$19*'Operating costs'!$B$21,"n.a."))</f>
        <v>0</v>
      </c>
      <c r="L372" s="16">
        <f>IF(C372=0,0,IF(P372="Complete",IF(D372="EV",X372*((1-T372)*'Energy and charging'!$B$10+T372*'Energy and charging'!$B$11)*'Operating costs'!$B$22,AA372*('Energy and charging'!$B$9*'Energy and charging'!$B$7+(1-'Energy and charging'!$B$9)*'Energy and charging'!$B$8)*'Operating costs'!$B$23),"n.a."))</f>
        <v>0</v>
      </c>
      <c r="M372" s="37">
        <f>IF(C372=0,0,IF(P372="Complete",IF(D372="ICE",SUM('Operating costs'!$B$25,'Operating costs'!$B$27,'Operating costs'!$B$29,'Operating costs'!$B$31,'Operating costs'!$B$33,'Operating costs'!$B$35,'Operating costs'!$B$37,'Replacement plan'!$X$98)+'Operating costs'!$B$40*'Operating costs'!$B$42+ROUNDUP(S372*(R372-'Operating costs'!$B$40)*IF('Replacement plan'!$AH$98="",'Operating costs'!$B$7,'Replacement plan'!$AH$98)/('Operating costs'!$B$8-'Operating costs'!$B$9*IF('Replacement plan'!$AH$98="",'Operating costs'!$B$7,'Replacement plan'!$AH$98)),0)*('Operating costs'!$B$9/'Operating costs'!$B$11+'Operating costs'!$B$10/60)*'Operating costs'!$B$19*'Operating costs'!$B$21,SUM(AP372,'Operating costs'!$B$28,'Operating costs'!$B$30,'Operating costs'!$B$32,'Operating costs'!$B$33,'Operating costs'!$B$36,'Operating costs'!$B$38,'Replacement plan'!$Y$98)+'Operating costs'!$B$41*'Operating costs'!$B$43+W372*'Operating costs'!$B$15+(T372*X372/'Replacement plan'!$L$98+W372*('Operating costs'!$B$12/'Operating costs'!$B$11+('Operating costs'!$B$13+'Operating costs'!$B$14)/60)+(R372-'Operating costs'!$B$41)*(IF(T372&lt;1,'Operating costs'!$B$16,0)+'Operating costs'!$B$17)/60)*'Operating costs'!$B$19*'Operating costs'!$B$20),"n.a."))</f>
        <v>0</v>
      </c>
      <c r="N372" s="16">
        <f>IF(AND(C372=1,D372="EV",E372&lt;120,E372+'Replacement plan'!$AA$98&lt;=120),'Replacement plan'!$Z$98,0)</f>
        <v>0</v>
      </c>
      <c r="O372" s="1">
        <f>E372+'Replacement plan'!$AA$98</f>
        <v>0</v>
      </c>
      <c r="P372" s="35" t="str">
        <f>IFERROR(IF(C372=0,"Excluded",IF(OR(COUNTIFS('Fleet register'!$A$7:$A$106,A372)&lt;&gt;1,COUNTIFS('Replacement plan'!$A$7:$A$106,A372)&lt;&gt;1),"Duplicate/missing ID",IF(NOT(AND(ISNUMBER(VLOOKUP($A372,'Fleet register'!$A$7:$S$106,5,FALSE)),ISNUMBER(VLOOKUP($A372,'Fleet register'!$A$7:$S$106,6,FALSE)),ISNUMBER(VLOOKUP($A372,'Fleet register'!$A$7:$S$106,10,FALSE)),ISNUMBER(VLOOKUP($A372,'Fleet register'!$A$7:$S$106,11,FALSE)),ISNUMBER(VLOOKUP($A372,'Fleet register'!$A$7:$S$106,12,FALSE)),ISNUMBER(VLOOKUP($A372,'Fleet register'!$A$7:$S$106,13,FALSE)),ISNUMBER(VLOOKUP($A372,'Fleet register'!$A$7:$S$106,14,FALSE)),VLOOKUP($A372,'Fleet register'!$A$7:$S$106,14,FALSE)&gt;0,ISNUMBER('Replacement plan'!$C$98),OR(E372=120,OR(ISNUMBER('Replacement plan'!$AI$98),AND('Replacement plan'!$AI$98="",ISNUMBER('Operating costs'!$B$56)))),ISNUMBER(E372))),"Missing vehicle input",IF(OR(E372&lt;0,E372&gt;VLOOKUP($A372,'Fleet register'!$A$7:$S$106,10,FALSE),E372&gt;120,E372&lt;&gt;INT(E372),VLOOKUP($A372,'Fleet register'!$A$7:$S$106,6,FALSE)&lt;=0,VLOOKUP($A372,'Fleet register'!$A$7:$S$106,6,FALSE)&gt;366,VLOOKUP($A372,'Fleet register'!$A$7:$S$106,5,FALSE)&lt;0,VLOOKUP($A372,'Fleet register'!$A$7:$S$106,11,FALSE)&lt;0,I372&lt;0,'Operating costs'!$B$8&lt;='Operating costs'!$B$7*'Operating costs'!$B$9,'Operating costs'!$B$11&lt;=0,'Operating costs'!$B$39&gt;R372,'Operating costs'!$B$40&gt;R372,'Operating costs'!$B$41&gt;R372,NOT(OR("New ICE"="Keep ICE","New ICE"="New ICE","New ICE"="EV"))),"Invalid vehicle input",IF(AND(D372="EV",E372&lt;120,OR(NOT(ISNUMBER(U372)),NOT(ISNUMBER(V372)),V372&lt;=0,T372&lt;0,T372&gt;1,'Replacement plan'!$L$98&lt;=0,'Operating costs'!$B$44&lt;0,'Operating costs'!$B$44&gt;=1,'Operating costs'!$B$47&lt;=0,'Operating costs'!$B$47&gt;1,V372*'Operating costs'!$B$47/(1-'Operating costs'!$B$44)&lt;=T372*'Operating costs'!$B$12*U372,AND('Replacement plan'!$Z$98&gt;0,OR('Replacement plan'!$AB$98&lt;&gt;"Yes",'Operating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charging'!$B$8&gt;=0))),ISNUMBER(VLOOKUP($A372,'Fleet register'!$A$7:$S$106,15,FALSE)),ISNUMBER(VLOOKUP($A372,'Fleet register'!$A$7:$S$106,16,FALSE)),ISNUMBER('Replacement plan'!$W$98),ISNUMBER('Replacement plan'!$X$98),OR(E372=120,AND(ISNUMBER(G372),G372&gt;=0)),ISNUMBER(H372),H372&gt;=0,OR(D372&lt;&gt;"EV",E372=120,AND(ISNUMBER('Operating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average",ISNUMBER(IFERROR(INDEX(Products!$P$7:$P$13,MATCH(AD372,Products!$A$7:$A$13,0)),"")))),ISNUMBER('Operating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plan'!$Y$98),ISNUMBER('Replacement plan'!$Z$98),'Replacement plan'!$Z$98&gt;=0,ISNUMBER('Replacement plan'!$AA$98),'Replacement plan'!$AA$98&gt;=0,'Replacement plan'!$AA$98=INT('Replacement plan'!$AA$98),ISNUMBER('Replacement plan'!$L$98))),'Operating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plan'!$AG$98="",'Operating costs'!$B$7,'Replacement plan'!$AG$98)),IF('Replacement plan'!$AG$98="",'Operating costs'!$B$7,'Replacement plan'!$AG$98)&gt;=0,ISNUMBER(IF('Replacement plan'!$AH$98="",'Operating costs'!$B$7,'Replacement plan'!$AH$98)),IF('Replacement plan'!$AH$98="",'Operating costs'!$B$7,'Replacement plan'!$AH$98)&gt;=0,'Operating costs'!$B$8&gt;MAX(IF('Replacement plan'!$AG$98="",'Operating costs'!$B$7,'Replacement plan'!$AG$98),IF('Replacement plan'!$AH$98="",'Operating costs'!$B$7,'Replacement plan'!$AH$98))*'Operating costs'!$B$9),IF(AND(VLOOKUP($A372,'Fleet register'!$A$7:$S$106,10,FALSE)&gt;=0,VLOOKUP($A372,'Fleet register'!$A$7:$S$106,10,FALSE)&lt;=120,VLOOKUP($A372,'Fleet register'!$A$7:$S$106,10,FALSE)=INT(VLOOKUP($A372,'Fleet register'!$A$7:$S$106,10,FALSE)),VLOOKUP($A372,'Fleet register'!$A$7:$S$106,15,FALSE)&gt;=0,VLOOKUP($A372,'Fleet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costs'!$B$67)&gt;=0,OR(D372&lt;&gt;"EV",E372=120,AND(MIN('Operating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72" s="1" t="str">
        <f>IF(C372=0,"Excluded",IF(P372&lt;&gt;"Complete",P372,IF(OR('Replacement plan'!$AD$98&lt;120-E372,AND(D372="EV",E372&lt;120,OR('Replacement plan'!$AC$98&lt;120-E372,'Replacement plan'!$I$98="No",AND(ISNUMBER(AF372),AE372&gt;AF372),AI372&gt;V372*(1-'Operating costs'!$B$46)^MAX(0,AB372-1)*(1-'Operating costs'!$B$45),AC372&gt;'Operating costs'!$B$18,AND(T372&lt;1,OR(AG372&lt;=0,AND(ISNUMBER(AH372),AG372&gt;AH372))),'Replacement plan'!$L$98&gt;INDEX(Products!$H$7:$H$13,MATCH('Replacement plan'!$B$98,Products!$A$7:$A$13,0))))),"Fails entered limits",IF(AND(D372="EV",E372&lt;120,OR(NOT(ISNUMBER(VLOOKUP($A372,'Fleet register'!$A$7:$S$106,7,FALSE))),NOT(ISNUMBER(VLOOKUP($A372,'Fleet register'!$A$7:$S$106,8,FALSE))),NOT(ISNUMBER(AF372)),'Replacement plan'!$I$98&lt;&gt;"Yes",NOT(ISNUMBER(AH372)),'Operating costs'!$B$59&lt;&gt;"Yes",'Operating costs'!$B$58&lt;&gt;"Yes")),"Unverified","Within entered limits"))))</f>
        <v>Excluded</v>
      </c>
      <c r="R372" s="1">
        <f>IF(C372=0,0,VLOOKUP($A372,'Fleet register'!$A$7:$S$106,6,FALSE))</f>
        <v>0</v>
      </c>
      <c r="S372" s="1">
        <f>IF(C372=0,0,VLOOKUP($A372,'Fleet register'!$A$7:$S$106,5,FALSE))</f>
        <v>0</v>
      </c>
      <c r="T372" s="1">
        <f>IF(D372="EV",'Energy and charging'!$B$12,0)</f>
        <v>0</v>
      </c>
      <c r="U372" s="1">
        <f>IFERROR(IF(C372=0,0,IF(D372="EV",IF('Replacement plan'!$F$98="",INDEX(Products!$E$7:$E$13,MATCH('Replacement plan'!$B$98,Products!$A$7:$A$13,0)),'Replacement plan'!$F$98)/IF('Replacement plan'!$G$98="Battery",1-'Operating costs'!$B$44,1),0)),"n.a.")</f>
        <v>0</v>
      </c>
      <c r="V372" s="1">
        <f>IFERROR(IF(C372=0,0,IF(D372="EV",IF('Replacement plan'!$E$98="",INDEX(Products!$D$7:$D$13,MATCH('Replacement plan'!$B$98,Products!$A$7:$A$13,0)),'Replacement plan'!$E$98),0)),"n.a.")</f>
        <v>0</v>
      </c>
      <c r="W372" s="1">
        <f>IF(C372=0,0,IF(AND(P372="Complete",D372="EV",E372&lt;120),IF(T372=0,0,ROUNDUP(T372*(R372-'Operating costs'!$B$41)*(S372*U372+'Operating costs'!$B$48/(1-'Operating costs'!$B$44))/(V372*'Operating costs'!$B$47/(1-'Operating costs'!$B$44)-T372*'Operating costs'!$B$12*U372),0)),0))</f>
        <v>0</v>
      </c>
      <c r="X372" s="1">
        <f>IF(C372=0,0,IF(AND(P372="Complete",D372="EV",E372&lt;120),(R372-'Operating costs'!$B$41)*(S372*U372+'Operating costs'!$B$48/(1-'Operating costs'!$B$44))+W372*'Operating costs'!$B$12*U372,0))</f>
        <v>0</v>
      </c>
      <c r="Y372" s="1">
        <f>IF(AND(C372=1,D372="EV",E372&lt;120),AI372/(1-'Operating costs'!$B$44)*(1-T372),0)</f>
        <v>0</v>
      </c>
      <c r="Z372" s="1">
        <f t="shared" si="10"/>
        <v>0</v>
      </c>
      <c r="AA372" s="1">
        <f>IF(C372=0,0,IF(P372="Complete",((S372*(R372-'Operating costs'!$B$40))+ROUNDUP(S372*(R372-'Operating costs'!$B$40)*IF('Replacement plan'!$AH$98="",'Operating costs'!$B$7,'Replacement plan'!$AH$98)/('Operating costs'!$B$8-'Operating costs'!$B$9*IF('Replacement plan'!$AH$98="",'Operating costs'!$B$7,'Replacement plan'!$AH$98)),0)*'Operating costs'!$B$9)*IF('Replacement plan'!$AH$98="",'Operating costs'!$B$7,'Replacement plan'!$AH$98),"n.a."))</f>
        <v>0</v>
      </c>
      <c r="AB372" s="1">
        <f t="shared" si="11"/>
        <v>0</v>
      </c>
      <c r="AC372" s="1">
        <f>IF(AND(C372=1,D372="EV",E372&lt;120,T372&gt;0),'Operating costs'!$B$12/'Operating costs'!$B$11*60+'Operating costs'!$B$13+'Operating costs'!$B$14+V372*'Operating costs'!$B$47/(1-'Operating costs'!$B$44)/'Replacement plan'!$L$98*60,0)</f>
        <v>0</v>
      </c>
      <c r="AD372" s="1" t="str">
        <f>'Replacement plan'!$B$98</f>
        <v>ChengLong L2EV</v>
      </c>
      <c r="AE372" s="1">
        <f>IF(C372=0,0,VLOOKUP($A372,'Fleet register'!$A$7:$S$106,8,FALSE))</f>
        <v>0</v>
      </c>
      <c r="AF372" s="1" t="str">
        <f>IF('Replacement plan'!$H$98="","n.a.",'Replacement plan'!$H$98)</f>
        <v>n.a.</v>
      </c>
      <c r="AG372" s="1">
        <f>'Replacement plan'!$J$98</f>
        <v>22</v>
      </c>
      <c r="AH372" s="1">
        <f>IFERROR(IF(D372="EV",IF('Replacement plan'!$K$98="AC",IF(ISNUMBER(INDEX(Products!$G$7:$G$13,MATCH('Replacement plan'!$B$98,Products!$A$7:$A$13,0))),INDEX(Products!$G$7:$G$13,MATCH('Replacement plan'!$B$98,Products!$A$7:$A$13,0)),"n.a."),IF(ISNUMBER(INDEX(Products!$H$7:$H$13,MATCH('Replacement plan'!$B$98,Products!$A$7:$A$13,0))),INDEX(Products!$H$7:$H$13,MATCH('Replacement plan'!$B$98,Products!$A$7:$A$13,0)),"n.a.")),0),"n.a.")</f>
        <v>0</v>
      </c>
      <c r="AI372" s="1">
        <f>IF(AND(C372=1,D372="EV",E372&lt;120),(VLOOKUP($A372,'Fleet register'!$A$7:$S$106,7,FALSE)+IF(T372&gt;0,'Operating costs'!$B$12,0))*U372*(1-'Operating costs'!$B$44)+'Operating costs'!$B$49,0)</f>
        <v>0</v>
      </c>
      <c r="AJ372" s="1">
        <f>IF(D372="EV",'Energy and charging'!$B$50,0)</f>
        <v>0</v>
      </c>
      <c r="AK372" s="17">
        <f>EDATE('Operating costs'!$B$63,E372)</f>
        <v>46298</v>
      </c>
      <c r="AL372" s="1">
        <f>IFERROR(IF(D372="EV",INDEX(Products!$B$7:$B$13,MATCH('Replacement plan'!$B$98,Products!$A$7:$A$13,0)),0),"n.a.")</f>
        <v>0</v>
      </c>
      <c r="AM372" s="1" t="str">
        <f>'Replacement plan'!$K$98</f>
        <v>DC</v>
      </c>
      <c r="AN372" s="1" t="str">
        <f>'Replacement plan'!$AE$98</f>
        <v>Assumed</v>
      </c>
      <c r="AO372" s="47">
        <f>IF(AND(C372=1,D372="EV",E372&lt;120),(R372-'Operating costs'!$B$41)*S372+W372*'Operating costs'!$B$12,0)</f>
        <v>0</v>
      </c>
      <c r="AP372" s="41">
        <f>IF(AND(C372=1,D372="EV",E372&lt;120),IF('Operating costs'!$B$68="Hong Seh 200k average",AO372*IFERROR(INDEX(Products!$P$7:$P$13,MATCH(AD372,Products!$A$7:$A$13,0)),"n.a."),'Operating costs'!$B$26),0)</f>
        <v>0</v>
      </c>
      <c r="AQ372" s="40" t="str">
        <f>IF(D372="EV",'Operating costs'!$B$68,"Not applicable")</f>
        <v>Not applicable</v>
      </c>
    </row>
    <row r="373" spans="1:43" ht="24" customHeight="1">
      <c r="A373" s="1" t="str">
        <f>'Replacement plan'!A98</f>
        <v>T092</v>
      </c>
      <c r="B373" s="1">
        <v>2</v>
      </c>
      <c r="C373" s="1">
        <f>IF(COUNTIFS('Fleet register'!$A$7:$A$106,$A373)=1,VLOOKUP($A373,'Fleet register'!$A$7:$S$106,2,FALSE),0)</f>
        <v>0</v>
      </c>
      <c r="D373" s="1" t="str">
        <f>IF('Replacement plan'!$O$98="EV","EV","ICE")</f>
        <v>ICE</v>
      </c>
      <c r="E373" s="1">
        <f>IF(C373=0,0,IF('Replacement plan'!$P$98="",IF('Replacement plan'!$O$98="Keep ICE",IF('Replacement plan'!$M$98="",VLOOKUP($A373,'Fleet register'!$A$7:$S$106,10,FALSE),'Replacement plan'!$M$98),0),'Replacement plan'!$P$98))</f>
        <v>0</v>
      </c>
      <c r="F373" s="16">
        <f>IF(C373=0,0,VLOOKUP($A373,'Fleet register'!$A$7:$S$106,11,FALSE))</f>
        <v>0</v>
      </c>
      <c r="G373" s="16">
        <f>IFERROR(IF(C373=0,0,IF(E373=120,0,IF(D373="ICE",'Replacement plan'!$C$98,IF('Replacement plan'!$D$98="",INDEX(Products!$I$7:$I$13,MATCH('Replacement plan'!$B$98,Products!$A$7:$A$13,0))+'Operating costs'!$B$57,'Replacement plan'!$D$98))*(1+'Operating costs'!$B$50)^(E373/12))),"n.a.")</f>
        <v>0</v>
      </c>
      <c r="H373" s="16">
        <f>IFERROR(IF(C373=0,0,IF('Replacement plan'!$U$98&lt;&gt;"",'Replacement plan'!$U$98,IF(E373=0,F373,VLOOKUP($A373,'Fleet register'!$A$7:$S$106,12,FALSE)+VLOOKUP($A373,'Fleet register'!$A$7:$S$106,13,FALSE)*MAX(0,VLOOKUP($A373,'Fleet register'!$A$7:$S$106,10,FALSE)-E373)/VLOOKUP($A373,'Fleet register'!$A$7:$S$106,14,FALSE)))),"n.a.")</f>
        <v>0</v>
      </c>
      <c r="I373" s="16">
        <f>IF(C373=0,0,IF(E373=120,0,'Replacement plan'!$Q$98))</f>
        <v>0</v>
      </c>
      <c r="J373" s="16">
        <f>IF(C373=0,0,IF(P373="Complete",((S373*(R373-'Operating costs'!$B$39))+ROUNDUP(S373*(R373-'Operating costs'!$B$39)*IF('Replacement plan'!$AG$98="",'Operating costs'!$B$7,'Replacement plan'!$AG$98)/('Operating costs'!$B$8-'Operating costs'!$B$9*IF('Replacement plan'!$AG$98="",'Operating costs'!$B$7,'Replacement plan'!$AG$98)),0)*'Operating costs'!$B$9)*IF('Replacement plan'!$AG$98="",'Operating costs'!$B$7,'Replacement plan'!$AG$98)*('Energy and charging'!$B$9*'Energy and charging'!$B$7+(1-'Energy and charging'!$B$9)*'Energy and charging'!$B$8)*'Operating costs'!$B$23,"n.a."))</f>
        <v>0</v>
      </c>
      <c r="K373" s="16">
        <f>IF(C373=0,0,IF(P373="Complete",SUM('Operating costs'!$B$24,'Operating costs'!$B$27,'Operating costs'!$B$29,'Operating costs'!$B$31,'Operating costs'!$B$33,'Operating costs'!$B$34,'Operating costs'!$B$37,'Replacement plan'!$W$98)+'Operating costs'!$B$39*'Operating costs'!$B$42+ROUNDUP(S373*(R373-'Operating costs'!$B$39)*IF('Replacement plan'!$AG$98="",'Operating costs'!$B$7,'Replacement plan'!$AG$98)/('Operating costs'!$B$8-'Operating costs'!$B$9*IF('Replacement plan'!$AG$98="",'Operating costs'!$B$7,'Replacement plan'!$AG$98)),0)*('Operating costs'!$B$9/'Operating costs'!$B$11+'Operating costs'!$B$10/60)*'Operating costs'!$B$19*'Operating costs'!$B$21,"n.a."))</f>
        <v>0</v>
      </c>
      <c r="L373" s="16">
        <f>IF(C373=0,0,IF(P373="Complete",IF(D373="EV",X373*((1-T373)*'Energy and charging'!$B$10+T373*'Energy and charging'!$B$11)*'Operating costs'!$B$22,AA373*('Energy and charging'!$B$9*'Energy and charging'!$B$7+(1-'Energy and charging'!$B$9)*'Energy and charging'!$B$8)*'Operating costs'!$B$23),"n.a."))</f>
        <v>0</v>
      </c>
      <c r="M373" s="37">
        <f>IF(C373=0,0,IF(P373="Complete",IF(D373="ICE",SUM('Operating costs'!$B$25,'Operating costs'!$B$27,'Operating costs'!$B$29,'Operating costs'!$B$31,'Operating costs'!$B$33,'Operating costs'!$B$35,'Operating costs'!$B$37,'Replacement plan'!$X$98)+'Operating costs'!$B$40*'Operating costs'!$B$42+ROUNDUP(S373*(R373-'Operating costs'!$B$40)*IF('Replacement plan'!$AH$98="",'Operating costs'!$B$7,'Replacement plan'!$AH$98)/('Operating costs'!$B$8-'Operating costs'!$B$9*IF('Replacement plan'!$AH$98="",'Operating costs'!$B$7,'Replacement plan'!$AH$98)),0)*('Operating costs'!$B$9/'Operating costs'!$B$11+'Operating costs'!$B$10/60)*'Operating costs'!$B$19*'Operating costs'!$B$21,SUM(AP373,'Operating costs'!$B$28,'Operating costs'!$B$30,'Operating costs'!$B$32,'Operating costs'!$B$33,'Operating costs'!$B$36,'Operating costs'!$B$38,'Replacement plan'!$Y$98)+'Operating costs'!$B$41*'Operating costs'!$B$43+W373*'Operating costs'!$B$15+(T373*X373/'Replacement plan'!$L$98+W373*('Operating costs'!$B$12/'Operating costs'!$B$11+('Operating costs'!$B$13+'Operating costs'!$B$14)/60)+(R373-'Operating costs'!$B$41)*(IF(T373&lt;1,'Operating costs'!$B$16,0)+'Operating costs'!$B$17)/60)*'Operating costs'!$B$19*'Operating costs'!$B$20),"n.a."))</f>
        <v>0</v>
      </c>
      <c r="N373" s="16">
        <f>IF(AND(C373=1,D373="EV",E373&lt;120,E373+'Replacement plan'!$AA$98&lt;=120),'Replacement plan'!$Z$98,0)</f>
        <v>0</v>
      </c>
      <c r="O373" s="1">
        <f>E373+'Replacement plan'!$AA$98</f>
        <v>0</v>
      </c>
      <c r="P373" s="35" t="str">
        <f>IFERROR(IF(C373=0,"Excluded",IF(OR(COUNTIFS('Fleet register'!$A$7:$A$106,A373)&lt;&gt;1,COUNTIFS('Replacement plan'!$A$7:$A$106,A373)&lt;&gt;1),"Duplicate/missing ID",IF(NOT(AND(ISNUMBER(VLOOKUP($A373,'Fleet register'!$A$7:$S$106,5,FALSE)),ISNUMBER(VLOOKUP($A373,'Fleet register'!$A$7:$S$106,6,FALSE)),ISNUMBER(VLOOKUP($A373,'Fleet register'!$A$7:$S$106,10,FALSE)),ISNUMBER(VLOOKUP($A373,'Fleet register'!$A$7:$S$106,11,FALSE)),ISNUMBER(VLOOKUP($A373,'Fleet register'!$A$7:$S$106,12,FALSE)),ISNUMBER(VLOOKUP($A373,'Fleet register'!$A$7:$S$106,13,FALSE)),ISNUMBER(VLOOKUP($A373,'Fleet register'!$A$7:$S$106,14,FALSE)),VLOOKUP($A373,'Fleet register'!$A$7:$S$106,14,FALSE)&gt;0,ISNUMBER('Replacement plan'!$C$98),OR(E373=120,ISNUMBER('Replacement plan'!$Q$98)),ISNUMBER(E373))),"Missing vehicle input",IF(OR(E373&lt;0,E373&gt;VLOOKUP($A373,'Fleet register'!$A$7:$S$106,10,FALSE),E373&gt;120,E373&lt;&gt;INT(E373),VLOOKUP($A373,'Fleet register'!$A$7:$S$106,6,FALSE)&lt;=0,VLOOKUP($A373,'Fleet register'!$A$7:$S$106,6,FALSE)&gt;366,VLOOKUP($A373,'Fleet register'!$A$7:$S$106,5,FALSE)&lt;0,VLOOKUP($A373,'Fleet register'!$A$7:$S$106,11,FALSE)&lt;0,I373&lt;0,'Operating costs'!$B$8&lt;='Operating costs'!$B$7*'Operating costs'!$B$9,'Operating costs'!$B$11&lt;=0,'Operating costs'!$B$39&gt;R373,'Operating costs'!$B$40&gt;R373,'Operating costs'!$B$41&gt;R373,NOT(OR('Replacement plan'!$O$98="Keep ICE",'Replacement plan'!$O$98="New ICE",'Replacement plan'!$O$98="EV"))),"Invalid vehicle input",IF(AND(D373="EV",E373&lt;120,OR(NOT(ISNUMBER(U373)),NOT(ISNUMBER(V373)),V373&lt;=0,T373&lt;0,T373&gt;1,'Replacement plan'!$L$98&lt;=0,'Operating costs'!$B$44&lt;0,'Operating costs'!$B$44&gt;=1,'Operating costs'!$B$47&lt;=0,'Operating costs'!$B$47&gt;1,V373*'Operating costs'!$B$47/(1-'Operating costs'!$B$44)&lt;=T373*'Operating costs'!$B$12*U373,AND('Replacement plan'!$Z$98&gt;0,OR('Replacement plan'!$AB$98&lt;&gt;"Yes",'Operating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charging'!$B$8&gt;=0))),ISNUMBER(VLOOKUP($A373,'Fleet register'!$A$7:$S$106,15,FALSE)),ISNUMBER(VLOOKUP($A373,'Fleet register'!$A$7:$S$106,16,FALSE)),ISNUMBER('Replacement plan'!$W$98),ISNUMBER('Replacement plan'!$X$98),OR(E373=120,AND(ISNUMBER(G373),G373&gt;=0)),ISNUMBER(H373),H373&gt;=0,OR(D373&lt;&gt;"EV",E373=120,AND(ISNUMBER('Operating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average",ISNUMBER(IFERROR(INDEX(Products!$P$7:$P$13,MATCH(AD373,Products!$A$7:$A$13,0)),"")))),ISNUMBER('Operating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plan'!$Y$98),ISNUMBER('Replacement plan'!$Z$98),'Replacement plan'!$Z$98&gt;=0,ISNUMBER('Replacement plan'!$AA$98),'Replacement plan'!$AA$98&gt;=0,'Replacement plan'!$AA$98=INT('Replacement plan'!$AA$98),ISNUMBER('Replacement plan'!$L$98))),'Operating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plan'!$AG$98="",'Operating costs'!$B$7,'Replacement plan'!$AG$98)),IF('Replacement plan'!$AG$98="",'Operating costs'!$B$7,'Replacement plan'!$AG$98)&gt;=0,ISNUMBER(IF('Replacement plan'!$AH$98="",'Operating costs'!$B$7,'Replacement plan'!$AH$98)),IF('Replacement plan'!$AH$98="",'Operating costs'!$B$7,'Replacement plan'!$AH$98)&gt;=0,'Operating costs'!$B$8&gt;MAX(IF('Replacement plan'!$AG$98="",'Operating costs'!$B$7,'Replacement plan'!$AG$98),IF('Replacement plan'!$AH$98="",'Operating costs'!$B$7,'Replacement plan'!$AH$98))*'Operating costs'!$B$9),IF(AND(VLOOKUP($A373,'Fleet register'!$A$7:$S$106,10,FALSE)&gt;=0,VLOOKUP($A373,'Fleet register'!$A$7:$S$106,10,FALSE)&lt;=120,VLOOKUP($A373,'Fleet register'!$A$7:$S$106,10,FALSE)=INT(VLOOKUP($A373,'Fleet register'!$A$7:$S$106,10,FALSE)),VLOOKUP($A373,'Fleet register'!$A$7:$S$106,15,FALSE)&gt;=0,VLOOKUP($A373,'Fleet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costs'!$B$67)&gt;=0,OR(D373&lt;&gt;"EV",E373=120,AND(MIN('Operating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73" s="1" t="str">
        <f>IF(C373=0,"Excluded",IF(P373&lt;&gt;"Complete",P373,IF(OR('Replacement plan'!$AD$98&lt;120-E373,AND(D373="EV",E373&lt;120,OR('Replacement plan'!$AC$98&lt;120-E373,'Replacement plan'!$I$98="No",AND(ISNUMBER(AF373),AE373&gt;AF373),AI373&gt;V373*(1-'Operating costs'!$B$46)^MAX(0,AB373-1)*(1-'Operating costs'!$B$45),AC373&gt;'Operating costs'!$B$18,AND(T373&lt;1,OR(AG373&lt;=0,AND(ISNUMBER(AH373),AG373&gt;AH373))),'Replacement plan'!$L$98&gt;INDEX(Products!$H$7:$H$13,MATCH('Replacement plan'!$B$98,Products!$A$7:$A$13,0))))),"Fails entered limits",IF(AND(D373="EV",E373&lt;120,OR(NOT(ISNUMBER(VLOOKUP($A373,'Fleet register'!$A$7:$S$106,7,FALSE))),NOT(ISNUMBER(VLOOKUP($A373,'Fleet register'!$A$7:$S$106,8,FALSE))),NOT(ISNUMBER(AF373)),'Replacement plan'!$I$98&lt;&gt;"Yes",NOT(ISNUMBER(AH373)),'Operating costs'!$B$59&lt;&gt;"Yes",'Operating costs'!$B$58&lt;&gt;"Yes")),"Unverified","Within entered limits"))))</f>
        <v>Excluded</v>
      </c>
      <c r="R373" s="1">
        <f>IF(C373=0,0,VLOOKUP($A373,'Fleet register'!$A$7:$S$106,6,FALSE))</f>
        <v>0</v>
      </c>
      <c r="S373" s="1">
        <f>IF(C373=0,0,VLOOKUP($A373,'Fleet register'!$A$7:$S$106,5,FALSE))</f>
        <v>0</v>
      </c>
      <c r="T373" s="1">
        <f>IF(D373="EV",'Energy and charging'!$B$12,0)</f>
        <v>0</v>
      </c>
      <c r="U373" s="1">
        <f>IFERROR(IF(C373=0,0,IF(D373="EV",IF('Replacement plan'!$F$98="",INDEX(Products!$E$7:$E$13,MATCH('Replacement plan'!$B$98,Products!$A$7:$A$13,0)),'Replacement plan'!$F$98)/IF('Replacement plan'!$G$98="Battery",1-'Operating costs'!$B$44,1),0)),"n.a.")</f>
        <v>0</v>
      </c>
      <c r="V373" s="1">
        <f>IFERROR(IF(C373=0,0,IF(D373="EV",IF('Replacement plan'!$E$98="",INDEX(Products!$D$7:$D$13,MATCH('Replacement plan'!$B$98,Products!$A$7:$A$13,0)),'Replacement plan'!$E$98),0)),"n.a.")</f>
        <v>0</v>
      </c>
      <c r="W373" s="1">
        <f>IF(C373=0,0,IF(AND(P373="Complete",D373="EV",E373&lt;120),IF(T373=0,0,ROUNDUP(T373*(R373-'Operating costs'!$B$41)*(S373*U373+'Operating costs'!$B$48/(1-'Operating costs'!$B$44))/(V373*'Operating costs'!$B$47/(1-'Operating costs'!$B$44)-T373*'Operating costs'!$B$12*U373),0)),0))</f>
        <v>0</v>
      </c>
      <c r="X373" s="1">
        <f>IF(C373=0,0,IF(AND(P373="Complete",D373="EV",E373&lt;120),(R373-'Operating costs'!$B$41)*(S373*U373+'Operating costs'!$B$48/(1-'Operating costs'!$B$44))+W373*'Operating costs'!$B$12*U373,0))</f>
        <v>0</v>
      </c>
      <c r="Y373" s="1">
        <f>IF(AND(C373=1,D373="EV",E373&lt;120),AI373/(1-'Operating costs'!$B$44)*(1-T373),0)</f>
        <v>0</v>
      </c>
      <c r="Z373" s="1">
        <f t="shared" si="10"/>
        <v>0</v>
      </c>
      <c r="AA373" s="1">
        <f>IF(C373=0,0,IF(P373="Complete",((S373*(R373-'Operating costs'!$B$40))+ROUNDUP(S373*(R373-'Operating costs'!$B$40)*IF('Replacement plan'!$AH$98="",'Operating costs'!$B$7,'Replacement plan'!$AH$98)/('Operating costs'!$B$8-'Operating costs'!$B$9*IF('Replacement plan'!$AH$98="",'Operating costs'!$B$7,'Replacement plan'!$AH$98)),0)*'Operating costs'!$B$9)*IF('Replacement plan'!$AH$98="",'Operating costs'!$B$7,'Replacement plan'!$AH$98),"n.a."))</f>
        <v>0</v>
      </c>
      <c r="AB373" s="1">
        <f t="shared" si="11"/>
        <v>0</v>
      </c>
      <c r="AC373" s="1">
        <f>IF(AND(C373=1,D373="EV",E373&lt;120,T373&gt;0),'Operating costs'!$B$12/'Operating costs'!$B$11*60+'Operating costs'!$B$13+'Operating costs'!$B$14+V373*'Operating costs'!$B$47/(1-'Operating costs'!$B$44)/'Replacement plan'!$L$98*60,0)</f>
        <v>0</v>
      </c>
      <c r="AD373" s="1" t="str">
        <f>'Replacement plan'!$B$98</f>
        <v>ChengLong L2EV</v>
      </c>
      <c r="AE373" s="1">
        <f>IF(C373=0,0,VLOOKUP($A373,'Fleet register'!$A$7:$S$106,8,FALSE))</f>
        <v>0</v>
      </c>
      <c r="AF373" s="1" t="str">
        <f>IF('Replacement plan'!$H$98="","n.a.",'Replacement plan'!$H$98)</f>
        <v>n.a.</v>
      </c>
      <c r="AG373" s="1">
        <f>'Replacement plan'!$J$98</f>
        <v>22</v>
      </c>
      <c r="AH373" s="1">
        <f>IFERROR(IF(D373="EV",IF('Replacement plan'!$K$98="AC",IF(ISNUMBER(INDEX(Products!$G$7:$G$13,MATCH('Replacement plan'!$B$98,Products!$A$7:$A$13,0))),INDEX(Products!$G$7:$G$13,MATCH('Replacement plan'!$B$98,Products!$A$7:$A$13,0)),"n.a."),IF(ISNUMBER(INDEX(Products!$H$7:$H$13,MATCH('Replacement plan'!$B$98,Products!$A$7:$A$13,0))),INDEX(Products!$H$7:$H$13,MATCH('Replacement plan'!$B$98,Products!$A$7:$A$13,0)),"n.a.")),0),"n.a.")</f>
        <v>0</v>
      </c>
      <c r="AI373" s="1">
        <f>IF(AND(C373=1,D373="EV",E373&lt;120),(VLOOKUP($A373,'Fleet register'!$A$7:$S$106,7,FALSE)+IF(T373&gt;0,'Operating costs'!$B$12,0))*U373*(1-'Operating costs'!$B$44)+'Operating costs'!$B$49,0)</f>
        <v>0</v>
      </c>
      <c r="AJ373" s="1">
        <f>IF(D373="EV",'Energy and charging'!$B$50,0)</f>
        <v>0</v>
      </c>
      <c r="AK373" s="17">
        <f>EDATE('Operating costs'!$B$63,E373)</f>
        <v>46298</v>
      </c>
      <c r="AL373" s="1">
        <f>IFERROR(IF(D373="EV",INDEX(Products!$B$7:$B$13,MATCH('Replacement plan'!$B$98,Products!$A$7:$A$13,0)),0),"n.a.")</f>
        <v>0</v>
      </c>
      <c r="AM373" s="1" t="str">
        <f>'Replacement plan'!$K$98</f>
        <v>DC</v>
      </c>
      <c r="AN373" s="1" t="str">
        <f>'Replacement plan'!$AE$98</f>
        <v>Assumed</v>
      </c>
      <c r="AO373" s="47">
        <f>IF(AND(C373=1,D373="EV",E373&lt;120),(R373-'Operating costs'!$B$41)*S373+W373*'Operating costs'!$B$12,0)</f>
        <v>0</v>
      </c>
      <c r="AP373" s="41">
        <f>IF(AND(C373=1,D373="EV",E373&lt;120),IF('Operating costs'!$B$68="Hong Seh 200k average",AO373*IFERROR(INDEX(Products!$P$7:$P$13,MATCH(AD373,Products!$A$7:$A$13,0)),"n.a."),'Operating costs'!$B$26),0)</f>
        <v>0</v>
      </c>
      <c r="AQ373" s="40" t="str">
        <f>IF(D373="EV",'Operating costs'!$B$68,"Not applicable")</f>
        <v>Not applicable</v>
      </c>
    </row>
    <row r="374" spans="1:43" ht="24" customHeight="1">
      <c r="A374" s="1" t="str">
        <f>'Replacement plan'!A98</f>
        <v>T092</v>
      </c>
      <c r="B374" s="1">
        <v>3</v>
      </c>
      <c r="C374" s="1">
        <f>IF(COUNTIFS('Fleet register'!$A$7:$A$106,$A374)=1,VLOOKUP($A374,'Fleet register'!$A$7:$S$106,2,FALSE),0)</f>
        <v>0</v>
      </c>
      <c r="D374" s="1" t="str">
        <f>IF('Replacement plan'!$R$98="EV","EV","ICE")</f>
        <v>ICE</v>
      </c>
      <c r="E374" s="1">
        <f>IF(C374=0,0,IF('Replacement plan'!$S$98="",IF('Replacement plan'!$R$98="Keep ICE",IF('Replacement plan'!$M$98="",VLOOKUP($A374,'Fleet register'!$A$7:$S$106,10,FALSE),'Replacement plan'!$M$98),0),'Replacement plan'!$S$98))</f>
        <v>0</v>
      </c>
      <c r="F374" s="16">
        <f>IF(C374=0,0,VLOOKUP($A374,'Fleet register'!$A$7:$S$106,11,FALSE))</f>
        <v>0</v>
      </c>
      <c r="G374" s="16">
        <f>IFERROR(IF(C374=0,0,IF(E374=120,0,IF(D374="ICE",'Replacement plan'!$C$98,IF('Replacement plan'!$D$98="",INDEX(Products!$I$7:$I$13,MATCH('Replacement plan'!$B$98,Products!$A$7:$A$13,0))+'Operating costs'!$B$57,'Replacement plan'!$D$98))*(1+'Operating costs'!$B$50)^(E374/12))),"n.a.")</f>
        <v>0</v>
      </c>
      <c r="H374" s="16">
        <f>IFERROR(IF(C374=0,0,IF('Replacement plan'!$V$98&lt;&gt;"",'Replacement plan'!$V$98,IF(E374=0,F374,VLOOKUP($A374,'Fleet register'!$A$7:$S$106,12,FALSE)+VLOOKUP($A374,'Fleet register'!$A$7:$S$106,13,FALSE)*MAX(0,VLOOKUP($A374,'Fleet register'!$A$7:$S$106,10,FALSE)-E374)/VLOOKUP($A374,'Fleet register'!$A$7:$S$106,14,FALSE)))),"n.a.")</f>
        <v>0</v>
      </c>
      <c r="I374" s="16">
        <f>IF(C374=0,0,IF(E374=120,0,'Replacement plan'!$T$98))</f>
        <v>0</v>
      </c>
      <c r="J374" s="16">
        <f>IF(C374=0,0,IF(P374="Complete",((S374*(R374-'Operating costs'!$B$39))+ROUNDUP(S374*(R374-'Operating costs'!$B$39)*IF('Replacement plan'!$AG$98="",'Operating costs'!$B$7,'Replacement plan'!$AG$98)/('Operating costs'!$B$8-'Operating costs'!$B$9*IF('Replacement plan'!$AG$98="",'Operating costs'!$B$7,'Replacement plan'!$AG$98)),0)*'Operating costs'!$B$9)*IF('Replacement plan'!$AG$98="",'Operating costs'!$B$7,'Replacement plan'!$AG$98)*('Energy and charging'!$C$9*'Energy and charging'!$C$7+(1-'Energy and charging'!$C$9)*'Energy and charging'!$C$8)*'Operating costs'!$B$23,"n.a."))</f>
        <v>0</v>
      </c>
      <c r="K374" s="16">
        <f>IF(C374=0,0,IF(P374="Complete",SUM('Operating costs'!$B$24,'Operating costs'!$B$27,'Operating costs'!$B$29,'Operating costs'!$B$31,'Operating costs'!$B$33,'Operating costs'!$B$34,'Operating costs'!$B$37,'Replacement plan'!$W$98)+'Operating costs'!$B$39*'Operating costs'!$B$42+ROUNDUP(S374*(R374-'Operating costs'!$B$39)*IF('Replacement plan'!$AG$98="",'Operating costs'!$B$7,'Replacement plan'!$AG$98)/('Operating costs'!$B$8-'Operating costs'!$B$9*IF('Replacement plan'!$AG$98="",'Operating costs'!$B$7,'Replacement plan'!$AG$98)),0)*('Operating costs'!$B$9/'Operating costs'!$B$11+'Operating costs'!$B$10/60)*'Operating costs'!$B$19*'Operating costs'!$B$21,"n.a."))</f>
        <v>0</v>
      </c>
      <c r="L374" s="16">
        <f>IF(C374=0,0,IF(P374="Complete",IF(D374="EV",X374*((1-T374)*'Energy and charging'!$C$10+T374*'Energy and charging'!$C$11)*'Operating costs'!$B$22,AA374*('Energy and charging'!$C$9*'Energy and charging'!$C$7+(1-'Energy and charging'!$C$9)*'Energy and charging'!$C$8)*'Operating costs'!$B$23),"n.a."))</f>
        <v>0</v>
      </c>
      <c r="M374" s="37">
        <f>IF(C374=0,0,IF(P374="Complete",IF(D374="ICE",SUM('Operating costs'!$B$25,'Operating costs'!$B$27,'Operating costs'!$B$29,'Operating costs'!$B$31,'Operating costs'!$B$33,'Operating costs'!$B$35,'Operating costs'!$B$37,'Replacement plan'!$X$98)+'Operating costs'!$B$40*'Operating costs'!$B$42+ROUNDUP(S374*(R374-'Operating costs'!$B$40)*IF('Replacement plan'!$AH$98="",'Operating costs'!$B$7,'Replacement plan'!$AH$98)/('Operating costs'!$B$8-'Operating costs'!$B$9*IF('Replacement plan'!$AH$98="",'Operating costs'!$B$7,'Replacement plan'!$AH$98)),0)*('Operating costs'!$B$9/'Operating costs'!$B$11+'Operating costs'!$B$10/60)*'Operating costs'!$B$19*'Operating costs'!$B$21,SUM(AP374,'Operating costs'!$B$28,'Operating costs'!$B$30,'Operating costs'!$B$32,'Operating costs'!$B$33,'Operating costs'!$B$36,'Operating costs'!$B$38,'Replacement plan'!$Y$98)+'Operating costs'!$B$41*'Operating costs'!$B$43+W374*'Operating costs'!$B$15+(T374*X374/'Replacement plan'!$L$98+W374*('Operating costs'!$B$12/'Operating costs'!$B$11+('Operating costs'!$B$13+'Operating costs'!$B$14)/60)+(R374-'Operating costs'!$B$41)*(IF(T374&lt;1,'Operating costs'!$B$16,0)+'Operating costs'!$B$17)/60)*'Operating costs'!$B$19*'Operating costs'!$B$20),"n.a."))</f>
        <v>0</v>
      </c>
      <c r="N374" s="16">
        <f>IF(AND(C374=1,D374="EV",E374&lt;120,E374+'Replacement plan'!$AA$98&lt;=120),'Replacement plan'!$Z$98,0)</f>
        <v>0</v>
      </c>
      <c r="O374" s="1">
        <f>E374+'Replacement plan'!$AA$98</f>
        <v>0</v>
      </c>
      <c r="P374" s="35" t="str">
        <f>IFERROR(IF(C374=0,"Excluded",IF(OR(COUNTIFS('Fleet register'!$A$7:$A$106,A374)&lt;&gt;1,COUNTIFS('Replacement plan'!$A$7:$A$106,A374)&lt;&gt;1),"Duplicate/missing ID",IF(NOT(AND(ISNUMBER(VLOOKUP($A374,'Fleet register'!$A$7:$S$106,5,FALSE)),ISNUMBER(VLOOKUP($A374,'Fleet register'!$A$7:$S$106,6,FALSE)),ISNUMBER(VLOOKUP($A374,'Fleet register'!$A$7:$S$106,10,FALSE)),ISNUMBER(VLOOKUP($A374,'Fleet register'!$A$7:$S$106,11,FALSE)),ISNUMBER(VLOOKUP($A374,'Fleet register'!$A$7:$S$106,12,FALSE)),ISNUMBER(VLOOKUP($A374,'Fleet register'!$A$7:$S$106,13,FALSE)),ISNUMBER(VLOOKUP($A374,'Fleet register'!$A$7:$S$106,14,FALSE)),VLOOKUP($A374,'Fleet register'!$A$7:$S$106,14,FALSE)&gt;0,ISNUMBER('Replacement plan'!$C$98),OR(E374=120,ISNUMBER('Replacement plan'!$T$98)),ISNUMBER(E374))),"Missing vehicle input",IF(OR(E374&lt;0,E374&gt;VLOOKUP($A374,'Fleet register'!$A$7:$S$106,10,FALSE),E374&gt;120,E374&lt;&gt;INT(E374),VLOOKUP($A374,'Fleet register'!$A$7:$S$106,6,FALSE)&lt;=0,VLOOKUP($A374,'Fleet register'!$A$7:$S$106,6,FALSE)&gt;366,VLOOKUP($A374,'Fleet register'!$A$7:$S$106,5,FALSE)&lt;0,VLOOKUP($A374,'Fleet register'!$A$7:$S$106,11,FALSE)&lt;0,I374&lt;0,'Operating costs'!$B$8&lt;='Operating costs'!$B$7*'Operating costs'!$B$9,'Operating costs'!$B$11&lt;=0,'Operating costs'!$B$39&gt;R374,'Operating costs'!$B$40&gt;R374,'Operating costs'!$B$41&gt;R374,NOT(OR('Replacement plan'!$R$98="Keep ICE",'Replacement plan'!$R$98="New ICE",'Replacement plan'!$R$98="EV"))),"Invalid vehicle input",IF(AND(D374="EV",E374&lt;120,OR(NOT(ISNUMBER(U374)),NOT(ISNUMBER(V374)),V374&lt;=0,T374&lt;0,T374&gt;1,'Replacement plan'!$L$98&lt;=0,'Operating costs'!$B$44&lt;0,'Operating costs'!$B$44&gt;=1,'Operating costs'!$B$47&lt;=0,'Operating costs'!$B$47&gt;1,V374*'Operating costs'!$B$47/(1-'Operating costs'!$B$44)&lt;=T374*'Operating costs'!$B$12*U374,AND('Replacement plan'!$Z$98&gt;0,OR('Replacement plan'!$AB$98&lt;&gt;"Yes",'Operating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charging'!$C$8&gt;=0))),ISNUMBER(VLOOKUP($A374,'Fleet register'!$A$7:$S$106,15,FALSE)),ISNUMBER(VLOOKUP($A374,'Fleet register'!$A$7:$S$106,16,FALSE)),ISNUMBER('Replacement plan'!$W$98),ISNUMBER('Replacement plan'!$X$98),OR(E374=120,AND(ISNUMBER(G374),G374&gt;=0)),ISNUMBER(H374),H374&gt;=0,OR(D374&lt;&gt;"EV",E374=120,AND(ISNUMBER('Operating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average",ISNUMBER(IFERROR(INDEX(Products!$P$7:$P$13,MATCH(AD374,Products!$A$7:$A$13,0)),"")))),ISNUMBER('Operating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plan'!$Y$98),ISNUMBER('Replacement plan'!$Z$98),'Replacement plan'!$Z$98&gt;=0,ISNUMBER('Replacement plan'!$AA$98),'Replacement plan'!$AA$98&gt;=0,'Replacement plan'!$AA$98=INT('Replacement plan'!$AA$98),ISNUMBER('Replacement plan'!$L$98))),'Operating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plan'!$AG$98="",'Operating costs'!$B$7,'Replacement plan'!$AG$98)),IF('Replacement plan'!$AG$98="",'Operating costs'!$B$7,'Replacement plan'!$AG$98)&gt;=0,ISNUMBER(IF('Replacement plan'!$AH$98="",'Operating costs'!$B$7,'Replacement plan'!$AH$98)),IF('Replacement plan'!$AH$98="",'Operating costs'!$B$7,'Replacement plan'!$AH$98)&gt;=0,'Operating costs'!$B$8&gt;MAX(IF('Replacement plan'!$AG$98="",'Operating costs'!$B$7,'Replacement plan'!$AG$98),IF('Replacement plan'!$AH$98="",'Operating costs'!$B$7,'Replacement plan'!$AH$98))*'Operating costs'!$B$9),IF(AND(VLOOKUP($A374,'Fleet register'!$A$7:$S$106,10,FALSE)&gt;=0,VLOOKUP($A374,'Fleet register'!$A$7:$S$106,10,FALSE)&lt;=120,VLOOKUP($A374,'Fleet register'!$A$7:$S$106,10,FALSE)=INT(VLOOKUP($A374,'Fleet register'!$A$7:$S$106,10,FALSE)),VLOOKUP($A374,'Fleet register'!$A$7:$S$106,15,FALSE)&gt;=0,VLOOKUP($A374,'Fleet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costs'!$B$67)&gt;=0,OR(D374&lt;&gt;"EV",E374=120,AND(MIN('Operating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74" s="1" t="str">
        <f>IF(C374=0,"Excluded",IF(P374&lt;&gt;"Complete",P374,IF(OR('Replacement plan'!$AD$98&lt;120-E374,AND(D374="EV",E374&lt;120,OR('Replacement plan'!$AC$98&lt;120-E374,'Replacement plan'!$I$98="No",AND(ISNUMBER(AF374),AE374&gt;AF374),AI374&gt;V374*(1-'Operating costs'!$B$46)^MAX(0,AB374-1)*(1-'Operating costs'!$B$45),AC374&gt;'Operating costs'!$B$18,AND(T374&lt;1,OR(AG374&lt;=0,AND(ISNUMBER(AH374),AG374&gt;AH374))),'Replacement plan'!$L$98&gt;INDEX(Products!$H$7:$H$13,MATCH('Replacement plan'!$B$98,Products!$A$7:$A$13,0))))),"Fails entered limits",IF(AND(D374="EV",E374&lt;120,OR(NOT(ISNUMBER(VLOOKUP($A374,'Fleet register'!$A$7:$S$106,7,FALSE))),NOT(ISNUMBER(VLOOKUP($A374,'Fleet register'!$A$7:$S$106,8,FALSE))),NOT(ISNUMBER(AF374)),'Replacement plan'!$I$98&lt;&gt;"Yes",NOT(ISNUMBER(AH374)),'Operating costs'!$B$59&lt;&gt;"Yes",'Operating costs'!$B$58&lt;&gt;"Yes")),"Unverified","Within entered limits"))))</f>
        <v>Excluded</v>
      </c>
      <c r="R374" s="1">
        <f>IF(C374=0,0,VLOOKUP($A374,'Fleet register'!$A$7:$S$106,6,FALSE))</f>
        <v>0</v>
      </c>
      <c r="S374" s="1">
        <f>IF(C374=0,0,VLOOKUP($A374,'Fleet register'!$A$7:$S$106,5,FALSE))</f>
        <v>0</v>
      </c>
      <c r="T374" s="1">
        <f>IF(D374="EV",'Energy and charging'!$C$12,0)</f>
        <v>0</v>
      </c>
      <c r="U374" s="1">
        <f>IFERROR(IF(C374=0,0,IF(D374="EV",IF('Replacement plan'!$F$98="",INDEX(Products!$E$7:$E$13,MATCH('Replacement plan'!$B$98,Products!$A$7:$A$13,0)),'Replacement plan'!$F$98)/IF('Replacement plan'!$G$98="Battery",1-'Operating costs'!$B$44,1),0)),"n.a.")</f>
        <v>0</v>
      </c>
      <c r="V374" s="1">
        <f>IFERROR(IF(C374=0,0,IF(D374="EV",IF('Replacement plan'!$E$98="",INDEX(Products!$D$7:$D$13,MATCH('Replacement plan'!$B$98,Products!$A$7:$A$13,0)),'Replacement plan'!$E$98),0)),"n.a.")</f>
        <v>0</v>
      </c>
      <c r="W374" s="1">
        <f>IF(C374=0,0,IF(AND(P374="Complete",D374="EV",E374&lt;120),IF(T374=0,0,ROUNDUP(T374*(R374-'Operating costs'!$B$41)*(S374*U374+'Operating costs'!$B$48/(1-'Operating costs'!$B$44))/(V374*'Operating costs'!$B$47/(1-'Operating costs'!$B$44)-T374*'Operating costs'!$B$12*U374),0)),0))</f>
        <v>0</v>
      </c>
      <c r="X374" s="1">
        <f>IF(C374=0,0,IF(AND(P374="Complete",D374="EV",E374&lt;120),(R374-'Operating costs'!$B$41)*(S374*U374+'Operating costs'!$B$48/(1-'Operating costs'!$B$44))+W374*'Operating costs'!$B$12*U374,0))</f>
        <v>0</v>
      </c>
      <c r="Y374" s="1">
        <f>IF(AND(C374=1,D374="EV",E374&lt;120),AI374/(1-'Operating costs'!$B$44)*(1-T374),0)</f>
        <v>0</v>
      </c>
      <c r="Z374" s="1">
        <f t="shared" si="10"/>
        <v>0</v>
      </c>
      <c r="AA374" s="1">
        <f>IF(C374=0,0,IF(P374="Complete",((S374*(R374-'Operating costs'!$B$40))+ROUNDUP(S374*(R374-'Operating costs'!$B$40)*IF('Replacement plan'!$AH$98="",'Operating costs'!$B$7,'Replacement plan'!$AH$98)/('Operating costs'!$B$8-'Operating costs'!$B$9*IF('Replacement plan'!$AH$98="",'Operating costs'!$B$7,'Replacement plan'!$AH$98)),0)*'Operating costs'!$B$9)*IF('Replacement plan'!$AH$98="",'Operating costs'!$B$7,'Replacement plan'!$AH$98),"n.a."))</f>
        <v>0</v>
      </c>
      <c r="AB374" s="1">
        <f t="shared" si="11"/>
        <v>0</v>
      </c>
      <c r="AC374" s="1">
        <f>IF(AND(C374=1,D374="EV",E374&lt;120,T374&gt;0),'Operating costs'!$B$12/'Operating costs'!$B$11*60+'Operating costs'!$B$13+'Operating costs'!$B$14+V374*'Operating costs'!$B$47/(1-'Operating costs'!$B$44)/'Replacement plan'!$L$98*60,0)</f>
        <v>0</v>
      </c>
      <c r="AD374" s="1" t="str">
        <f>'Replacement plan'!$B$98</f>
        <v>ChengLong L2EV</v>
      </c>
      <c r="AE374" s="1">
        <f>IF(C374=0,0,VLOOKUP($A374,'Fleet register'!$A$7:$S$106,8,FALSE))</f>
        <v>0</v>
      </c>
      <c r="AF374" s="1" t="str">
        <f>IF('Replacement plan'!$H$98="","n.a.",'Replacement plan'!$H$98)</f>
        <v>n.a.</v>
      </c>
      <c r="AG374" s="1">
        <f>'Replacement plan'!$J$98</f>
        <v>22</v>
      </c>
      <c r="AH374" s="1">
        <f>IFERROR(IF(D374="EV",IF('Replacement plan'!$K$98="AC",IF(ISNUMBER(INDEX(Products!$G$7:$G$13,MATCH('Replacement plan'!$B$98,Products!$A$7:$A$13,0))),INDEX(Products!$G$7:$G$13,MATCH('Replacement plan'!$B$98,Products!$A$7:$A$13,0)),"n.a."),IF(ISNUMBER(INDEX(Products!$H$7:$H$13,MATCH('Replacement plan'!$B$98,Products!$A$7:$A$13,0))),INDEX(Products!$H$7:$H$13,MATCH('Replacement plan'!$B$98,Products!$A$7:$A$13,0)),"n.a.")),0),"n.a.")</f>
        <v>0</v>
      </c>
      <c r="AI374" s="1">
        <f>IF(AND(C374=1,D374="EV",E374&lt;120),(VLOOKUP($A374,'Fleet register'!$A$7:$S$106,7,FALSE)+IF(T374&gt;0,'Operating costs'!$B$12,0))*U374*(1-'Operating costs'!$B$44)+'Operating costs'!$B$49,0)</f>
        <v>0</v>
      </c>
      <c r="AJ374" s="1">
        <f>IF(D374="EV",'Energy and charging'!$C$50,0)</f>
        <v>0</v>
      </c>
      <c r="AK374" s="17">
        <f>EDATE('Operating costs'!$B$63,E374)</f>
        <v>46298</v>
      </c>
      <c r="AL374" s="1">
        <f>IFERROR(IF(D374="EV",INDEX(Products!$B$7:$B$13,MATCH('Replacement plan'!$B$98,Products!$A$7:$A$13,0)),0),"n.a.")</f>
        <v>0</v>
      </c>
      <c r="AM374" s="1" t="str">
        <f>'Replacement plan'!$K$98</f>
        <v>DC</v>
      </c>
      <c r="AN374" s="1" t="str">
        <f>'Replacement plan'!$AE$98</f>
        <v>Assumed</v>
      </c>
      <c r="AO374" s="47">
        <f>IF(AND(C374=1,D374="EV",E374&lt;120),(R374-'Operating costs'!$B$41)*S374+W374*'Operating costs'!$B$12,0)</f>
        <v>0</v>
      </c>
      <c r="AP374" s="41">
        <f>IF(AND(C374=1,D374="EV",E374&lt;120),IF('Operating costs'!$B$68="Hong Seh 200k average",AO374*IFERROR(INDEX(Products!$P$7:$P$13,MATCH(AD374,Products!$A$7:$A$13,0)),"n.a."),'Operating costs'!$B$26),0)</f>
        <v>0</v>
      </c>
      <c r="AQ374" s="40" t="str">
        <f>IF(D374="EV",'Operating costs'!$B$68,"Not applicable")</f>
        <v>Not applicable</v>
      </c>
    </row>
    <row r="375" spans="1:43" ht="24" customHeight="1">
      <c r="A375" s="1" t="str">
        <f>'Replacement plan'!A99</f>
        <v>T093</v>
      </c>
      <c r="B375" s="1">
        <v>0</v>
      </c>
      <c r="C375" s="1">
        <f>IF(COUNTIFS('Fleet register'!$A$7:$A$106,$A375)=1,VLOOKUP($A375,'Fleet register'!$A$7:$S$106,2,FALSE),0)</f>
        <v>0</v>
      </c>
      <c r="D375" s="1" t="str">
        <f>IF("Keep ICE"="EV","EV","ICE")</f>
        <v>ICE</v>
      </c>
      <c r="E375" s="1">
        <f>IF(C375=0,0,IF('Replacement plan'!$M$99="",VLOOKUP($A375,'Fleet register'!$A$7:$S$106,10,FALSE),'Replacement plan'!$M$99))</f>
        <v>0</v>
      </c>
      <c r="F375" s="16">
        <f>IF(C375=0,0,VLOOKUP($A375,'Fleet register'!$A$7:$S$106,11,FALSE))</f>
        <v>0</v>
      </c>
      <c r="G375" s="16">
        <f>IFERROR(IF(C375=0,0,IF(E375=120,0,IF(D375="ICE",'Replacement plan'!$C$99,IF('Replacement plan'!$D$99="",INDEX(Products!$I$7:$I$13,MATCH('Replacement plan'!$B$99,Products!$A$7:$A$13,0))+'Operating costs'!$B$57,'Replacement plan'!$D$99))*(1+'Operating costs'!$B$50)^(E375/12))),"n.a.")</f>
        <v>0</v>
      </c>
      <c r="H375" s="16">
        <f>IFERROR(IF(C375=0,0,IF(E375=0,F375,VLOOKUP($A375,'Fleet register'!$A$7:$S$106,12,FALSE)+VLOOKUP($A375,'Fleet register'!$A$7:$S$106,13,FALSE)*MAX(0,VLOOKUP($A375,'Fleet register'!$A$7:$S$106,10,FALSE)-E375)/VLOOKUP($A375,'Fleet register'!$A$7:$S$106,14,FALSE))),"n.a.")</f>
        <v>0</v>
      </c>
      <c r="I375" s="16">
        <f>IF(C375=0,0,IF(E375=120,0,'Replacement plan'!$N$99))</f>
        <v>0</v>
      </c>
      <c r="J375" s="16">
        <f>IF(C375=0,0,IF(P375="Complete",((S375*(R375-'Operating costs'!$B$39))+ROUNDUP(S375*(R375-'Operating costs'!$B$39)*IF('Replacement plan'!$AG$99="",'Operating costs'!$B$7,'Replacement plan'!$AG$99)/('Operating costs'!$B$8-'Operating costs'!$B$9*IF('Replacement plan'!$AG$99="",'Operating costs'!$B$7,'Replacement plan'!$AG$99)),0)*'Operating costs'!$B$9)*IF('Replacement plan'!$AG$99="",'Operating costs'!$B$7,'Replacement plan'!$AG$99)*('Energy and charging'!$B$9*'Energy and charging'!$B$7+(1-'Energy and charging'!$B$9)*'Energy and charging'!$B$8)*'Operating costs'!$B$23,"n.a."))</f>
        <v>0</v>
      </c>
      <c r="K375" s="16">
        <f>IF(C375=0,0,IF(P375="Complete",SUM('Operating costs'!$B$24,'Operating costs'!$B$27,'Operating costs'!$B$29,'Operating costs'!$B$31,'Operating costs'!$B$33,'Operating costs'!$B$34,'Operating costs'!$B$37,'Replacement plan'!$W$99)+'Operating costs'!$B$39*'Operating costs'!$B$42+ROUNDUP(S375*(R375-'Operating costs'!$B$39)*IF('Replacement plan'!$AG$99="",'Operating costs'!$B$7,'Replacement plan'!$AG$99)/('Operating costs'!$B$8-'Operating costs'!$B$9*IF('Replacement plan'!$AG$99="",'Operating costs'!$B$7,'Replacement plan'!$AG$99)),0)*('Operating costs'!$B$9/'Operating costs'!$B$11+'Operating costs'!$B$10/60)*'Operating costs'!$B$19*'Operating costs'!$B$21,"n.a."))</f>
        <v>0</v>
      </c>
      <c r="L375" s="16">
        <f>IF(C375=0,0,IF(P375="Complete",IF(D375="EV",X375*((1-T375)*'Energy and charging'!$B$10+T375*'Energy and charging'!$B$11)*'Operating costs'!$B$22,AA375*('Energy and charging'!$B$9*'Energy and charging'!$B$7+(1-'Energy and charging'!$B$9)*'Energy and charging'!$B$8)*'Operating costs'!$B$23),"n.a."))</f>
        <v>0</v>
      </c>
      <c r="M375" s="37">
        <f>IF(C375=0,0,IF(P375="Complete",IF(D375="ICE",SUM('Operating costs'!$B$25,'Operating costs'!$B$27,'Operating costs'!$B$29,'Operating costs'!$B$31,'Operating costs'!$B$33,'Operating costs'!$B$35,'Operating costs'!$B$37,'Replacement plan'!$X$99)+'Operating costs'!$B$40*'Operating costs'!$B$42+ROUNDUP(S375*(R375-'Operating costs'!$B$40)*IF('Replacement plan'!$AH$99="",'Operating costs'!$B$7,'Replacement plan'!$AH$99)/('Operating costs'!$B$8-'Operating costs'!$B$9*IF('Replacement plan'!$AH$99="",'Operating costs'!$B$7,'Replacement plan'!$AH$99)),0)*('Operating costs'!$B$9/'Operating costs'!$B$11+'Operating costs'!$B$10/60)*'Operating costs'!$B$19*'Operating costs'!$B$21,SUM(AP375,'Operating costs'!$B$28,'Operating costs'!$B$30,'Operating costs'!$B$32,'Operating costs'!$B$33,'Operating costs'!$B$36,'Operating costs'!$B$38,'Replacement plan'!$Y$99)+'Operating costs'!$B$41*'Operating costs'!$B$43+W375*'Operating costs'!$B$15+(T375*X375/'Replacement plan'!$L$99+W375*('Operating costs'!$B$12/'Operating costs'!$B$11+('Operating costs'!$B$13+'Operating costs'!$B$14)/60)+(R375-'Operating costs'!$B$41)*(IF(T375&lt;1,'Operating costs'!$B$16,0)+'Operating costs'!$B$17)/60)*'Operating costs'!$B$19*'Operating costs'!$B$20),"n.a."))</f>
        <v>0</v>
      </c>
      <c r="N375" s="16">
        <f>IF(AND(C375=1,D375="EV",E375&lt;120,E375+'Replacement plan'!$AA$99&lt;=120),'Replacement plan'!$Z$99,0)</f>
        <v>0</v>
      </c>
      <c r="O375" s="1">
        <f>E375+'Replacement plan'!$AA$99</f>
        <v>0</v>
      </c>
      <c r="P375" s="35" t="str">
        <f>IFERROR(IF(C375=0,"Excluded",IF(OR(COUNTIFS('Fleet register'!$A$7:$A$106,A375)&lt;&gt;1,COUNTIFS('Replacement plan'!$A$7:$A$106,A375)&lt;&gt;1),"Duplicate/missing ID",IF(NOT(AND(ISNUMBER(VLOOKUP($A375,'Fleet register'!$A$7:$S$106,5,FALSE)),ISNUMBER(VLOOKUP($A375,'Fleet register'!$A$7:$S$106,6,FALSE)),ISNUMBER(VLOOKUP($A375,'Fleet register'!$A$7:$S$106,10,FALSE)),ISNUMBER(VLOOKUP($A375,'Fleet register'!$A$7:$S$106,11,FALSE)),ISNUMBER(VLOOKUP($A375,'Fleet register'!$A$7:$S$106,12,FALSE)),ISNUMBER(VLOOKUP($A375,'Fleet register'!$A$7:$S$106,13,FALSE)),ISNUMBER(VLOOKUP($A375,'Fleet register'!$A$7:$S$106,14,FALSE)),VLOOKUP($A375,'Fleet register'!$A$7:$S$106,14,FALSE)&gt;0,ISNUMBER('Replacement plan'!$C$99),OR(E375=120,ISNUMBER('Replacement plan'!$N$99)),ISNUMBER(E375))),"Missing vehicle input",IF(OR(E375&lt;0,E375&gt;VLOOKUP($A375,'Fleet register'!$A$7:$S$106,10,FALSE),E375&gt;120,E375&lt;&gt;INT(E375),VLOOKUP($A375,'Fleet register'!$A$7:$S$106,6,FALSE)&lt;=0,VLOOKUP($A375,'Fleet register'!$A$7:$S$106,6,FALSE)&gt;366,VLOOKUP($A375,'Fleet register'!$A$7:$S$106,5,FALSE)&lt;0,VLOOKUP($A375,'Fleet register'!$A$7:$S$106,11,FALSE)&lt;0,I375&lt;0,'Operating costs'!$B$8&lt;='Operating costs'!$B$7*'Operating costs'!$B$9,'Operating costs'!$B$11&lt;=0,'Operating costs'!$B$39&gt;R375,'Operating costs'!$B$40&gt;R375,'Operating costs'!$B$41&gt;R375,NOT(OR("Keep ICE"="Keep ICE","Keep ICE"="New ICE","Keep ICE"="EV"))),"Invalid vehicle input",IF(AND(D375="EV",E375&lt;120,OR(NOT(ISNUMBER(U375)),NOT(ISNUMBER(V375)),V375&lt;=0,T375&lt;0,T375&gt;1,'Replacement plan'!$L$99&lt;=0,'Operating costs'!$B$44&lt;0,'Operating costs'!$B$44&gt;=1,'Operating costs'!$B$47&lt;=0,'Operating costs'!$B$47&gt;1,V375*'Operating costs'!$B$47/(1-'Operating costs'!$B$44)&lt;=T375*'Operating costs'!$B$12*U375,AND('Replacement plan'!$Z$99&gt;0,OR('Replacement plan'!$AB$99&lt;&gt;"Yes",'Operating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charging'!$B$8&gt;=0))),ISNUMBER(VLOOKUP($A375,'Fleet register'!$A$7:$S$106,15,FALSE)),ISNUMBER(VLOOKUP($A375,'Fleet register'!$A$7:$S$106,16,FALSE)),ISNUMBER('Replacement plan'!$W$99),ISNUMBER('Replacement plan'!$X$99),OR(E375=120,AND(ISNUMBER(G375),G375&gt;=0)),ISNUMBER(H375),H375&gt;=0,OR(D375&lt;&gt;"EV",E375=120,AND(ISNUMBER('Operating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average",ISNUMBER(IFERROR(INDEX(Products!$P$7:$P$13,MATCH(AD375,Products!$A$7:$A$13,0)),"")))),ISNUMBER('Operating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plan'!$Y$99),ISNUMBER('Replacement plan'!$Z$99),'Replacement plan'!$Z$99&gt;=0,ISNUMBER('Replacement plan'!$AA$99),'Replacement plan'!$AA$99&gt;=0,'Replacement plan'!$AA$99=INT('Replacement plan'!$AA$99),ISNUMBER('Replacement plan'!$L$99))),'Operating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plan'!$AG$99="",'Operating costs'!$B$7,'Replacement plan'!$AG$99)),IF('Replacement plan'!$AG$99="",'Operating costs'!$B$7,'Replacement plan'!$AG$99)&gt;=0,ISNUMBER(IF('Replacement plan'!$AH$99="",'Operating costs'!$B$7,'Replacement plan'!$AH$99)),IF('Replacement plan'!$AH$99="",'Operating costs'!$B$7,'Replacement plan'!$AH$99)&gt;=0,'Operating costs'!$B$8&gt;MAX(IF('Replacement plan'!$AG$99="",'Operating costs'!$B$7,'Replacement plan'!$AG$99),IF('Replacement plan'!$AH$99="",'Operating costs'!$B$7,'Replacement plan'!$AH$99))*'Operating costs'!$B$9),IF(AND(VLOOKUP($A375,'Fleet register'!$A$7:$S$106,10,FALSE)&gt;=0,VLOOKUP($A375,'Fleet register'!$A$7:$S$106,10,FALSE)&lt;=120,VLOOKUP($A375,'Fleet register'!$A$7:$S$106,10,FALSE)=INT(VLOOKUP($A375,'Fleet register'!$A$7:$S$106,10,FALSE)),VLOOKUP($A375,'Fleet register'!$A$7:$S$106,15,FALSE)&gt;=0,VLOOKUP($A375,'Fleet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costs'!$B$67)&gt;=0,OR(D375&lt;&gt;"EV",E375=120,AND(MIN('Operating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75" s="1" t="str">
        <f>IF(C375=0,"Excluded",IF(P375&lt;&gt;"Complete",P375,IF(OR('Replacement plan'!$AD$99&lt;120-E375,AND(D375="EV",E375&lt;120,OR('Replacement plan'!$AC$99&lt;120-E375,'Replacement plan'!$I$99="No",AND(ISNUMBER(AF375),AE375&gt;AF375),AI375&gt;V375*(1-'Operating costs'!$B$46)^MAX(0,AB375-1)*(1-'Operating costs'!$B$45),AC375&gt;'Operating costs'!$B$18,AND(T375&lt;1,OR(AG375&lt;=0,AND(ISNUMBER(AH375),AG375&gt;AH375))),'Replacement plan'!$L$99&gt;INDEX(Products!$H$7:$H$13,MATCH('Replacement plan'!$B$99,Products!$A$7:$A$13,0))))),"Fails entered limits",IF(AND(D375="EV",E375&lt;120,OR(NOT(ISNUMBER(VLOOKUP($A375,'Fleet register'!$A$7:$S$106,7,FALSE))),NOT(ISNUMBER(VLOOKUP($A375,'Fleet register'!$A$7:$S$106,8,FALSE))),NOT(ISNUMBER(AF375)),'Replacement plan'!$I$99&lt;&gt;"Yes",NOT(ISNUMBER(AH375)),'Operating costs'!$B$59&lt;&gt;"Yes",'Operating costs'!$B$58&lt;&gt;"Yes")),"Unverified","Within entered limits"))))</f>
        <v>Excluded</v>
      </c>
      <c r="R375" s="1">
        <f>IF(C375=0,0,VLOOKUP($A375,'Fleet register'!$A$7:$S$106,6,FALSE))</f>
        <v>0</v>
      </c>
      <c r="S375" s="1">
        <f>IF(C375=0,0,VLOOKUP($A375,'Fleet register'!$A$7:$S$106,5,FALSE))</f>
        <v>0</v>
      </c>
      <c r="T375" s="1">
        <f>IF(D375="EV",'Energy and charging'!$B$12,0)</f>
        <v>0</v>
      </c>
      <c r="U375" s="1">
        <f>IFERROR(IF(C375=0,0,IF(D375="EV",IF('Replacement plan'!$F$99="",INDEX(Products!$E$7:$E$13,MATCH('Replacement plan'!$B$99,Products!$A$7:$A$13,0)),'Replacement plan'!$F$99)/IF('Replacement plan'!$G$99="Battery",1-'Operating costs'!$B$44,1),0)),"n.a.")</f>
        <v>0</v>
      </c>
      <c r="V375" s="1">
        <f>IFERROR(IF(C375=0,0,IF(D375="EV",IF('Replacement plan'!$E$99="",INDEX(Products!$D$7:$D$13,MATCH('Replacement plan'!$B$99,Products!$A$7:$A$13,0)),'Replacement plan'!$E$99),0)),"n.a.")</f>
        <v>0</v>
      </c>
      <c r="W375" s="1">
        <f>IF(C375=0,0,IF(AND(P375="Complete",D375="EV",E375&lt;120),IF(T375=0,0,ROUNDUP(T375*(R375-'Operating costs'!$B$41)*(S375*U375+'Operating costs'!$B$48/(1-'Operating costs'!$B$44))/(V375*'Operating costs'!$B$47/(1-'Operating costs'!$B$44)-T375*'Operating costs'!$B$12*U375),0)),0))</f>
        <v>0</v>
      </c>
      <c r="X375" s="1">
        <f>IF(C375=0,0,IF(AND(P375="Complete",D375="EV",E375&lt;120),(R375-'Operating costs'!$B$41)*(S375*U375+'Operating costs'!$B$48/(1-'Operating costs'!$B$44))+W375*'Operating costs'!$B$12*U375,0))</f>
        <v>0</v>
      </c>
      <c r="Y375" s="1">
        <f>IF(AND(C375=1,D375="EV",E375&lt;120),AI375/(1-'Operating costs'!$B$44)*(1-T375),0)</f>
        <v>0</v>
      </c>
      <c r="Z375" s="1">
        <f t="shared" si="10"/>
        <v>0</v>
      </c>
      <c r="AA375" s="1">
        <f>IF(C375=0,0,IF(P375="Complete",((S375*(R375-'Operating costs'!$B$40))+ROUNDUP(S375*(R375-'Operating costs'!$B$40)*IF('Replacement plan'!$AH$99="",'Operating costs'!$B$7,'Replacement plan'!$AH$99)/('Operating costs'!$B$8-'Operating costs'!$B$9*IF('Replacement plan'!$AH$99="",'Operating costs'!$B$7,'Replacement plan'!$AH$99)),0)*'Operating costs'!$B$9)*IF('Replacement plan'!$AH$99="",'Operating costs'!$B$7,'Replacement plan'!$AH$99),"n.a."))</f>
        <v>0</v>
      </c>
      <c r="AB375" s="1">
        <f t="shared" si="11"/>
        <v>0</v>
      </c>
      <c r="AC375" s="1">
        <f>IF(AND(C375=1,D375="EV",E375&lt;120,T375&gt;0),'Operating costs'!$B$12/'Operating costs'!$B$11*60+'Operating costs'!$B$13+'Operating costs'!$B$14+V375*'Operating costs'!$B$47/(1-'Operating costs'!$B$44)/'Replacement plan'!$L$99*60,0)</f>
        <v>0</v>
      </c>
      <c r="AD375" s="1" t="str">
        <f>'Replacement plan'!$B$99</f>
        <v>ChengLong L2EV</v>
      </c>
      <c r="AE375" s="1">
        <f>IF(C375=0,0,VLOOKUP($A375,'Fleet register'!$A$7:$S$106,8,FALSE))</f>
        <v>0</v>
      </c>
      <c r="AF375" s="1" t="str">
        <f>IF('Replacement plan'!$H$99="","n.a.",'Replacement plan'!$H$99)</f>
        <v>n.a.</v>
      </c>
      <c r="AG375" s="1">
        <f>'Replacement plan'!$J$99</f>
        <v>22</v>
      </c>
      <c r="AH375" s="1">
        <f>IFERROR(IF(D375="EV",IF('Replacement plan'!$K$99="AC",IF(ISNUMBER(INDEX(Products!$G$7:$G$13,MATCH('Replacement plan'!$B$99,Products!$A$7:$A$13,0))),INDEX(Products!$G$7:$G$13,MATCH('Replacement plan'!$B$99,Products!$A$7:$A$13,0)),"n.a."),IF(ISNUMBER(INDEX(Products!$H$7:$H$13,MATCH('Replacement plan'!$B$99,Products!$A$7:$A$13,0))),INDEX(Products!$H$7:$H$13,MATCH('Replacement plan'!$B$99,Products!$A$7:$A$13,0)),"n.a.")),0),"n.a.")</f>
        <v>0</v>
      </c>
      <c r="AI375" s="1">
        <f>IF(AND(C375=1,D375="EV",E375&lt;120),(VLOOKUP($A375,'Fleet register'!$A$7:$S$106,7,FALSE)+IF(T375&gt;0,'Operating costs'!$B$12,0))*U375*(1-'Operating costs'!$B$44)+'Operating costs'!$B$49,0)</f>
        <v>0</v>
      </c>
      <c r="AJ375" s="1">
        <f>IF(D375="EV",'Energy and charging'!$B$50,0)</f>
        <v>0</v>
      </c>
      <c r="AK375" s="17">
        <f>EDATE('Operating costs'!$B$63,E375)</f>
        <v>46298</v>
      </c>
      <c r="AL375" s="1">
        <f>IFERROR(IF(D375="EV",INDEX(Products!$B$7:$B$13,MATCH('Replacement plan'!$B$99,Products!$A$7:$A$13,0)),0),"n.a.")</f>
        <v>0</v>
      </c>
      <c r="AM375" s="1" t="str">
        <f>'Replacement plan'!$K$99</f>
        <v>DC</v>
      </c>
      <c r="AN375" s="1" t="str">
        <f>'Replacement plan'!$AE$99</f>
        <v>Assumed</v>
      </c>
      <c r="AO375" s="47">
        <f>IF(AND(C375=1,D375="EV",E375&lt;120),(R375-'Operating costs'!$B$41)*S375+W375*'Operating costs'!$B$12,0)</f>
        <v>0</v>
      </c>
      <c r="AP375" s="41">
        <f>IF(AND(C375=1,D375="EV",E375&lt;120),IF('Operating costs'!$B$68="Hong Seh 200k average",AO375*IFERROR(INDEX(Products!$P$7:$P$13,MATCH(AD375,Products!$A$7:$A$13,0)),"n.a."),'Operating costs'!$B$26),0)</f>
        <v>0</v>
      </c>
      <c r="AQ375" s="40" t="str">
        <f>IF(D375="EV",'Operating costs'!$B$68,"Not applicable")</f>
        <v>Not applicable</v>
      </c>
    </row>
    <row r="376" spans="1:43" ht="24" customHeight="1">
      <c r="A376" s="1" t="str">
        <f>'Replacement plan'!A99</f>
        <v>T093</v>
      </c>
      <c r="B376" s="1">
        <v>1</v>
      </c>
      <c r="C376" s="1">
        <f>IF(COUNTIFS('Fleet register'!$A$7:$A$106,$A376)=1,VLOOKUP($A376,'Fleet register'!$A$7:$S$106,2,FALSE),0)</f>
        <v>0</v>
      </c>
      <c r="D376" s="1" t="str">
        <f>IF("New ICE"="EV","EV","ICE")</f>
        <v>ICE</v>
      </c>
      <c r="E376" s="1">
        <f>IF(C376=0,0,0)</f>
        <v>0</v>
      </c>
      <c r="F376" s="16">
        <f>IF(C376=0,0,VLOOKUP($A376,'Fleet register'!$A$7:$S$106,11,FALSE))</f>
        <v>0</v>
      </c>
      <c r="G376" s="16">
        <f>IFERROR(IF(C376=0,0,IF(E376=120,0,IF(D376="ICE",'Replacement plan'!$C$99,IF('Replacement plan'!$D$99="",INDEX(Products!$I$7:$I$13,MATCH('Replacement plan'!$B$99,Products!$A$7:$A$13,0))+'Operating costs'!$B$57,'Replacement plan'!$D$99))*(1+'Operating costs'!$B$50)^(E376/12))),"n.a.")</f>
        <v>0</v>
      </c>
      <c r="H376" s="16">
        <f>IFERROR(IF(C376=0,0,IF(E376=0,F376,VLOOKUP($A376,'Fleet register'!$A$7:$S$106,12,FALSE)+VLOOKUP($A376,'Fleet register'!$A$7:$S$106,13,FALSE)*MAX(0,VLOOKUP($A376,'Fleet register'!$A$7:$S$106,10,FALSE)-E376)/VLOOKUP($A376,'Fleet register'!$A$7:$S$106,14,FALSE))),"n.a.")</f>
        <v>0</v>
      </c>
      <c r="I376" s="16">
        <f>IF(C376=0,0,IF(E376=120,0,IF('Replacement plan'!$AI$99="",'Operating costs'!$B$56,'Replacement plan'!$AI$99)))</f>
        <v>0</v>
      </c>
      <c r="J376" s="16">
        <f>IF(C376=0,0,IF(P376="Complete",((S376*(R376-'Operating costs'!$B$39))+ROUNDUP(S376*(R376-'Operating costs'!$B$39)*IF('Replacement plan'!$AG$99="",'Operating costs'!$B$7,'Replacement plan'!$AG$99)/('Operating costs'!$B$8-'Operating costs'!$B$9*IF('Replacement plan'!$AG$99="",'Operating costs'!$B$7,'Replacement plan'!$AG$99)),0)*'Operating costs'!$B$9)*IF('Replacement plan'!$AG$99="",'Operating costs'!$B$7,'Replacement plan'!$AG$99)*('Energy and charging'!$B$9*'Energy and charging'!$B$7+(1-'Energy and charging'!$B$9)*'Energy and charging'!$B$8)*'Operating costs'!$B$23,"n.a."))</f>
        <v>0</v>
      </c>
      <c r="K376" s="16">
        <f>IF(C376=0,0,IF(P376="Complete",SUM('Operating costs'!$B$24,'Operating costs'!$B$27,'Operating costs'!$B$29,'Operating costs'!$B$31,'Operating costs'!$B$33,'Operating costs'!$B$34,'Operating costs'!$B$37,'Replacement plan'!$W$99)+'Operating costs'!$B$39*'Operating costs'!$B$42+ROUNDUP(S376*(R376-'Operating costs'!$B$39)*IF('Replacement plan'!$AG$99="",'Operating costs'!$B$7,'Replacement plan'!$AG$99)/('Operating costs'!$B$8-'Operating costs'!$B$9*IF('Replacement plan'!$AG$99="",'Operating costs'!$B$7,'Replacement plan'!$AG$99)),0)*('Operating costs'!$B$9/'Operating costs'!$B$11+'Operating costs'!$B$10/60)*'Operating costs'!$B$19*'Operating costs'!$B$21,"n.a."))</f>
        <v>0</v>
      </c>
      <c r="L376" s="16">
        <f>IF(C376=0,0,IF(P376="Complete",IF(D376="EV",X376*((1-T376)*'Energy and charging'!$B$10+T376*'Energy and charging'!$B$11)*'Operating costs'!$B$22,AA376*('Energy and charging'!$B$9*'Energy and charging'!$B$7+(1-'Energy and charging'!$B$9)*'Energy and charging'!$B$8)*'Operating costs'!$B$23),"n.a."))</f>
        <v>0</v>
      </c>
      <c r="M376" s="37">
        <f>IF(C376=0,0,IF(P376="Complete",IF(D376="ICE",SUM('Operating costs'!$B$25,'Operating costs'!$B$27,'Operating costs'!$B$29,'Operating costs'!$B$31,'Operating costs'!$B$33,'Operating costs'!$B$35,'Operating costs'!$B$37,'Replacement plan'!$X$99)+'Operating costs'!$B$40*'Operating costs'!$B$42+ROUNDUP(S376*(R376-'Operating costs'!$B$40)*IF('Replacement plan'!$AH$99="",'Operating costs'!$B$7,'Replacement plan'!$AH$99)/('Operating costs'!$B$8-'Operating costs'!$B$9*IF('Replacement plan'!$AH$99="",'Operating costs'!$B$7,'Replacement plan'!$AH$99)),0)*('Operating costs'!$B$9/'Operating costs'!$B$11+'Operating costs'!$B$10/60)*'Operating costs'!$B$19*'Operating costs'!$B$21,SUM(AP376,'Operating costs'!$B$28,'Operating costs'!$B$30,'Operating costs'!$B$32,'Operating costs'!$B$33,'Operating costs'!$B$36,'Operating costs'!$B$38,'Replacement plan'!$Y$99)+'Operating costs'!$B$41*'Operating costs'!$B$43+W376*'Operating costs'!$B$15+(T376*X376/'Replacement plan'!$L$99+W376*('Operating costs'!$B$12/'Operating costs'!$B$11+('Operating costs'!$B$13+'Operating costs'!$B$14)/60)+(R376-'Operating costs'!$B$41)*(IF(T376&lt;1,'Operating costs'!$B$16,0)+'Operating costs'!$B$17)/60)*'Operating costs'!$B$19*'Operating costs'!$B$20),"n.a."))</f>
        <v>0</v>
      </c>
      <c r="N376" s="16">
        <f>IF(AND(C376=1,D376="EV",E376&lt;120,E376+'Replacement plan'!$AA$99&lt;=120),'Replacement plan'!$Z$99,0)</f>
        <v>0</v>
      </c>
      <c r="O376" s="1">
        <f>E376+'Replacement plan'!$AA$99</f>
        <v>0</v>
      </c>
      <c r="P376" s="35" t="str">
        <f>IFERROR(IF(C376=0,"Excluded",IF(OR(COUNTIFS('Fleet register'!$A$7:$A$106,A376)&lt;&gt;1,COUNTIFS('Replacement plan'!$A$7:$A$106,A376)&lt;&gt;1),"Duplicate/missing ID",IF(NOT(AND(ISNUMBER(VLOOKUP($A376,'Fleet register'!$A$7:$S$106,5,FALSE)),ISNUMBER(VLOOKUP($A376,'Fleet register'!$A$7:$S$106,6,FALSE)),ISNUMBER(VLOOKUP($A376,'Fleet register'!$A$7:$S$106,10,FALSE)),ISNUMBER(VLOOKUP($A376,'Fleet register'!$A$7:$S$106,11,FALSE)),ISNUMBER(VLOOKUP($A376,'Fleet register'!$A$7:$S$106,12,FALSE)),ISNUMBER(VLOOKUP($A376,'Fleet register'!$A$7:$S$106,13,FALSE)),ISNUMBER(VLOOKUP($A376,'Fleet register'!$A$7:$S$106,14,FALSE)),VLOOKUP($A376,'Fleet register'!$A$7:$S$106,14,FALSE)&gt;0,ISNUMBER('Replacement plan'!$C$99),OR(E376=120,OR(ISNUMBER('Replacement plan'!$AI$99),AND('Replacement plan'!$AI$99="",ISNUMBER('Operating costs'!$B$56)))),ISNUMBER(E376))),"Missing vehicle input",IF(OR(E376&lt;0,E376&gt;VLOOKUP($A376,'Fleet register'!$A$7:$S$106,10,FALSE),E376&gt;120,E376&lt;&gt;INT(E376),VLOOKUP($A376,'Fleet register'!$A$7:$S$106,6,FALSE)&lt;=0,VLOOKUP($A376,'Fleet register'!$A$7:$S$106,6,FALSE)&gt;366,VLOOKUP($A376,'Fleet register'!$A$7:$S$106,5,FALSE)&lt;0,VLOOKUP($A376,'Fleet register'!$A$7:$S$106,11,FALSE)&lt;0,I376&lt;0,'Operating costs'!$B$8&lt;='Operating costs'!$B$7*'Operating costs'!$B$9,'Operating costs'!$B$11&lt;=0,'Operating costs'!$B$39&gt;R376,'Operating costs'!$B$40&gt;R376,'Operating costs'!$B$41&gt;R376,NOT(OR("New ICE"="Keep ICE","New ICE"="New ICE","New ICE"="EV"))),"Invalid vehicle input",IF(AND(D376="EV",E376&lt;120,OR(NOT(ISNUMBER(U376)),NOT(ISNUMBER(V376)),V376&lt;=0,T376&lt;0,T376&gt;1,'Replacement plan'!$L$99&lt;=0,'Operating costs'!$B$44&lt;0,'Operating costs'!$B$44&gt;=1,'Operating costs'!$B$47&lt;=0,'Operating costs'!$B$47&gt;1,V376*'Operating costs'!$B$47/(1-'Operating costs'!$B$44)&lt;=T376*'Operating costs'!$B$12*U376,AND('Replacement plan'!$Z$99&gt;0,OR('Replacement plan'!$AB$99&lt;&gt;"Yes",'Operating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charging'!$B$8&gt;=0))),ISNUMBER(VLOOKUP($A376,'Fleet register'!$A$7:$S$106,15,FALSE)),ISNUMBER(VLOOKUP($A376,'Fleet register'!$A$7:$S$106,16,FALSE)),ISNUMBER('Replacement plan'!$W$99),ISNUMBER('Replacement plan'!$X$99),OR(E376=120,AND(ISNUMBER(G376),G376&gt;=0)),ISNUMBER(H376),H376&gt;=0,OR(D376&lt;&gt;"EV",E376=120,AND(ISNUMBER('Operating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average",ISNUMBER(IFERROR(INDEX(Products!$P$7:$P$13,MATCH(AD376,Products!$A$7:$A$13,0)),"")))),ISNUMBER('Operating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plan'!$Y$99),ISNUMBER('Replacement plan'!$Z$99),'Replacement plan'!$Z$99&gt;=0,ISNUMBER('Replacement plan'!$AA$99),'Replacement plan'!$AA$99&gt;=0,'Replacement plan'!$AA$99=INT('Replacement plan'!$AA$99),ISNUMBER('Replacement plan'!$L$99))),'Operating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plan'!$AG$99="",'Operating costs'!$B$7,'Replacement plan'!$AG$99)),IF('Replacement plan'!$AG$99="",'Operating costs'!$B$7,'Replacement plan'!$AG$99)&gt;=0,ISNUMBER(IF('Replacement plan'!$AH$99="",'Operating costs'!$B$7,'Replacement plan'!$AH$99)),IF('Replacement plan'!$AH$99="",'Operating costs'!$B$7,'Replacement plan'!$AH$99)&gt;=0,'Operating costs'!$B$8&gt;MAX(IF('Replacement plan'!$AG$99="",'Operating costs'!$B$7,'Replacement plan'!$AG$99),IF('Replacement plan'!$AH$99="",'Operating costs'!$B$7,'Replacement plan'!$AH$99))*'Operating costs'!$B$9),IF(AND(VLOOKUP($A376,'Fleet register'!$A$7:$S$106,10,FALSE)&gt;=0,VLOOKUP($A376,'Fleet register'!$A$7:$S$106,10,FALSE)&lt;=120,VLOOKUP($A376,'Fleet register'!$A$7:$S$106,10,FALSE)=INT(VLOOKUP($A376,'Fleet register'!$A$7:$S$106,10,FALSE)),VLOOKUP($A376,'Fleet register'!$A$7:$S$106,15,FALSE)&gt;=0,VLOOKUP($A376,'Fleet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costs'!$B$67)&gt;=0,OR(D376&lt;&gt;"EV",E376=120,AND(MIN('Operating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76" s="1" t="str">
        <f>IF(C376=0,"Excluded",IF(P376&lt;&gt;"Complete",P376,IF(OR('Replacement plan'!$AD$99&lt;120-E376,AND(D376="EV",E376&lt;120,OR('Replacement plan'!$AC$99&lt;120-E376,'Replacement plan'!$I$99="No",AND(ISNUMBER(AF376),AE376&gt;AF376),AI376&gt;V376*(1-'Operating costs'!$B$46)^MAX(0,AB376-1)*(1-'Operating costs'!$B$45),AC376&gt;'Operating costs'!$B$18,AND(T376&lt;1,OR(AG376&lt;=0,AND(ISNUMBER(AH376),AG376&gt;AH376))),'Replacement plan'!$L$99&gt;INDEX(Products!$H$7:$H$13,MATCH('Replacement plan'!$B$99,Products!$A$7:$A$13,0))))),"Fails entered limits",IF(AND(D376="EV",E376&lt;120,OR(NOT(ISNUMBER(VLOOKUP($A376,'Fleet register'!$A$7:$S$106,7,FALSE))),NOT(ISNUMBER(VLOOKUP($A376,'Fleet register'!$A$7:$S$106,8,FALSE))),NOT(ISNUMBER(AF376)),'Replacement plan'!$I$99&lt;&gt;"Yes",NOT(ISNUMBER(AH376)),'Operating costs'!$B$59&lt;&gt;"Yes",'Operating costs'!$B$58&lt;&gt;"Yes")),"Unverified","Within entered limits"))))</f>
        <v>Excluded</v>
      </c>
      <c r="R376" s="1">
        <f>IF(C376=0,0,VLOOKUP($A376,'Fleet register'!$A$7:$S$106,6,FALSE))</f>
        <v>0</v>
      </c>
      <c r="S376" s="1">
        <f>IF(C376=0,0,VLOOKUP($A376,'Fleet register'!$A$7:$S$106,5,FALSE))</f>
        <v>0</v>
      </c>
      <c r="T376" s="1">
        <f>IF(D376="EV",'Energy and charging'!$B$12,0)</f>
        <v>0</v>
      </c>
      <c r="U376" s="1">
        <f>IFERROR(IF(C376=0,0,IF(D376="EV",IF('Replacement plan'!$F$99="",INDEX(Products!$E$7:$E$13,MATCH('Replacement plan'!$B$99,Products!$A$7:$A$13,0)),'Replacement plan'!$F$99)/IF('Replacement plan'!$G$99="Battery",1-'Operating costs'!$B$44,1),0)),"n.a.")</f>
        <v>0</v>
      </c>
      <c r="V376" s="1">
        <f>IFERROR(IF(C376=0,0,IF(D376="EV",IF('Replacement plan'!$E$99="",INDEX(Products!$D$7:$D$13,MATCH('Replacement plan'!$B$99,Products!$A$7:$A$13,0)),'Replacement plan'!$E$99),0)),"n.a.")</f>
        <v>0</v>
      </c>
      <c r="W376" s="1">
        <f>IF(C376=0,0,IF(AND(P376="Complete",D376="EV",E376&lt;120),IF(T376=0,0,ROUNDUP(T376*(R376-'Operating costs'!$B$41)*(S376*U376+'Operating costs'!$B$48/(1-'Operating costs'!$B$44))/(V376*'Operating costs'!$B$47/(1-'Operating costs'!$B$44)-T376*'Operating costs'!$B$12*U376),0)),0))</f>
        <v>0</v>
      </c>
      <c r="X376" s="1">
        <f>IF(C376=0,0,IF(AND(P376="Complete",D376="EV",E376&lt;120),(R376-'Operating costs'!$B$41)*(S376*U376+'Operating costs'!$B$48/(1-'Operating costs'!$B$44))+W376*'Operating costs'!$B$12*U376,0))</f>
        <v>0</v>
      </c>
      <c r="Y376" s="1">
        <f>IF(AND(C376=1,D376="EV",E376&lt;120),AI376/(1-'Operating costs'!$B$44)*(1-T376),0)</f>
        <v>0</v>
      </c>
      <c r="Z376" s="1">
        <f t="shared" si="10"/>
        <v>0</v>
      </c>
      <c r="AA376" s="1">
        <f>IF(C376=0,0,IF(P376="Complete",((S376*(R376-'Operating costs'!$B$40))+ROUNDUP(S376*(R376-'Operating costs'!$B$40)*IF('Replacement plan'!$AH$99="",'Operating costs'!$B$7,'Replacement plan'!$AH$99)/('Operating costs'!$B$8-'Operating costs'!$B$9*IF('Replacement plan'!$AH$99="",'Operating costs'!$B$7,'Replacement plan'!$AH$99)),0)*'Operating costs'!$B$9)*IF('Replacement plan'!$AH$99="",'Operating costs'!$B$7,'Replacement plan'!$AH$99),"n.a."))</f>
        <v>0</v>
      </c>
      <c r="AB376" s="1">
        <f t="shared" si="11"/>
        <v>0</v>
      </c>
      <c r="AC376" s="1">
        <f>IF(AND(C376=1,D376="EV",E376&lt;120,T376&gt;0),'Operating costs'!$B$12/'Operating costs'!$B$11*60+'Operating costs'!$B$13+'Operating costs'!$B$14+V376*'Operating costs'!$B$47/(1-'Operating costs'!$B$44)/'Replacement plan'!$L$99*60,0)</f>
        <v>0</v>
      </c>
      <c r="AD376" s="1" t="str">
        <f>'Replacement plan'!$B$99</f>
        <v>ChengLong L2EV</v>
      </c>
      <c r="AE376" s="1">
        <f>IF(C376=0,0,VLOOKUP($A376,'Fleet register'!$A$7:$S$106,8,FALSE))</f>
        <v>0</v>
      </c>
      <c r="AF376" s="1" t="str">
        <f>IF('Replacement plan'!$H$99="","n.a.",'Replacement plan'!$H$99)</f>
        <v>n.a.</v>
      </c>
      <c r="AG376" s="1">
        <f>'Replacement plan'!$J$99</f>
        <v>22</v>
      </c>
      <c r="AH376" s="1">
        <f>IFERROR(IF(D376="EV",IF('Replacement plan'!$K$99="AC",IF(ISNUMBER(INDEX(Products!$G$7:$G$13,MATCH('Replacement plan'!$B$99,Products!$A$7:$A$13,0))),INDEX(Products!$G$7:$G$13,MATCH('Replacement plan'!$B$99,Products!$A$7:$A$13,0)),"n.a."),IF(ISNUMBER(INDEX(Products!$H$7:$H$13,MATCH('Replacement plan'!$B$99,Products!$A$7:$A$13,0))),INDEX(Products!$H$7:$H$13,MATCH('Replacement plan'!$B$99,Products!$A$7:$A$13,0)),"n.a.")),0),"n.a.")</f>
        <v>0</v>
      </c>
      <c r="AI376" s="1">
        <f>IF(AND(C376=1,D376="EV",E376&lt;120),(VLOOKUP($A376,'Fleet register'!$A$7:$S$106,7,FALSE)+IF(T376&gt;0,'Operating costs'!$B$12,0))*U376*(1-'Operating costs'!$B$44)+'Operating costs'!$B$49,0)</f>
        <v>0</v>
      </c>
      <c r="AJ376" s="1">
        <f>IF(D376="EV",'Energy and charging'!$B$50,0)</f>
        <v>0</v>
      </c>
      <c r="AK376" s="17">
        <f>EDATE('Operating costs'!$B$63,E376)</f>
        <v>46298</v>
      </c>
      <c r="AL376" s="1">
        <f>IFERROR(IF(D376="EV",INDEX(Products!$B$7:$B$13,MATCH('Replacement plan'!$B$99,Products!$A$7:$A$13,0)),0),"n.a.")</f>
        <v>0</v>
      </c>
      <c r="AM376" s="1" t="str">
        <f>'Replacement plan'!$K$99</f>
        <v>DC</v>
      </c>
      <c r="AN376" s="1" t="str">
        <f>'Replacement plan'!$AE$99</f>
        <v>Assumed</v>
      </c>
      <c r="AO376" s="47">
        <f>IF(AND(C376=1,D376="EV",E376&lt;120),(R376-'Operating costs'!$B$41)*S376+W376*'Operating costs'!$B$12,0)</f>
        <v>0</v>
      </c>
      <c r="AP376" s="41">
        <f>IF(AND(C376=1,D376="EV",E376&lt;120),IF('Operating costs'!$B$68="Hong Seh 200k average",AO376*IFERROR(INDEX(Products!$P$7:$P$13,MATCH(AD376,Products!$A$7:$A$13,0)),"n.a."),'Operating costs'!$B$26),0)</f>
        <v>0</v>
      </c>
      <c r="AQ376" s="40" t="str">
        <f>IF(D376="EV",'Operating costs'!$B$68,"Not applicable")</f>
        <v>Not applicable</v>
      </c>
    </row>
    <row r="377" spans="1:43" ht="24" customHeight="1">
      <c r="A377" s="1" t="str">
        <f>'Replacement plan'!A99</f>
        <v>T093</v>
      </c>
      <c r="B377" s="1">
        <v>2</v>
      </c>
      <c r="C377" s="1">
        <f>IF(COUNTIFS('Fleet register'!$A$7:$A$106,$A377)=1,VLOOKUP($A377,'Fleet register'!$A$7:$S$106,2,FALSE),0)</f>
        <v>0</v>
      </c>
      <c r="D377" s="1" t="str">
        <f>IF('Replacement plan'!$O$99="EV","EV","ICE")</f>
        <v>ICE</v>
      </c>
      <c r="E377" s="1">
        <f>IF(C377=0,0,IF('Replacement plan'!$P$99="",IF('Replacement plan'!$O$99="Keep ICE",IF('Replacement plan'!$M$99="",VLOOKUP($A377,'Fleet register'!$A$7:$S$106,10,FALSE),'Replacement plan'!$M$99),0),'Replacement plan'!$P$99))</f>
        <v>0</v>
      </c>
      <c r="F377" s="16">
        <f>IF(C377=0,0,VLOOKUP($A377,'Fleet register'!$A$7:$S$106,11,FALSE))</f>
        <v>0</v>
      </c>
      <c r="G377" s="16">
        <f>IFERROR(IF(C377=0,0,IF(E377=120,0,IF(D377="ICE",'Replacement plan'!$C$99,IF('Replacement plan'!$D$99="",INDEX(Products!$I$7:$I$13,MATCH('Replacement plan'!$B$99,Products!$A$7:$A$13,0))+'Operating costs'!$B$57,'Replacement plan'!$D$99))*(1+'Operating costs'!$B$50)^(E377/12))),"n.a.")</f>
        <v>0</v>
      </c>
      <c r="H377" s="16">
        <f>IFERROR(IF(C377=0,0,IF('Replacement plan'!$U$99&lt;&gt;"",'Replacement plan'!$U$99,IF(E377=0,F377,VLOOKUP($A377,'Fleet register'!$A$7:$S$106,12,FALSE)+VLOOKUP($A377,'Fleet register'!$A$7:$S$106,13,FALSE)*MAX(0,VLOOKUP($A377,'Fleet register'!$A$7:$S$106,10,FALSE)-E377)/VLOOKUP($A377,'Fleet register'!$A$7:$S$106,14,FALSE)))),"n.a.")</f>
        <v>0</v>
      </c>
      <c r="I377" s="16">
        <f>IF(C377=0,0,IF(E377=120,0,'Replacement plan'!$Q$99))</f>
        <v>0</v>
      </c>
      <c r="J377" s="16">
        <f>IF(C377=0,0,IF(P377="Complete",((S377*(R377-'Operating costs'!$B$39))+ROUNDUP(S377*(R377-'Operating costs'!$B$39)*IF('Replacement plan'!$AG$99="",'Operating costs'!$B$7,'Replacement plan'!$AG$99)/('Operating costs'!$B$8-'Operating costs'!$B$9*IF('Replacement plan'!$AG$99="",'Operating costs'!$B$7,'Replacement plan'!$AG$99)),0)*'Operating costs'!$B$9)*IF('Replacement plan'!$AG$99="",'Operating costs'!$B$7,'Replacement plan'!$AG$99)*('Energy and charging'!$B$9*'Energy and charging'!$B$7+(1-'Energy and charging'!$B$9)*'Energy and charging'!$B$8)*'Operating costs'!$B$23,"n.a."))</f>
        <v>0</v>
      </c>
      <c r="K377" s="16">
        <f>IF(C377=0,0,IF(P377="Complete",SUM('Operating costs'!$B$24,'Operating costs'!$B$27,'Operating costs'!$B$29,'Operating costs'!$B$31,'Operating costs'!$B$33,'Operating costs'!$B$34,'Operating costs'!$B$37,'Replacement plan'!$W$99)+'Operating costs'!$B$39*'Operating costs'!$B$42+ROUNDUP(S377*(R377-'Operating costs'!$B$39)*IF('Replacement plan'!$AG$99="",'Operating costs'!$B$7,'Replacement plan'!$AG$99)/('Operating costs'!$B$8-'Operating costs'!$B$9*IF('Replacement plan'!$AG$99="",'Operating costs'!$B$7,'Replacement plan'!$AG$99)),0)*('Operating costs'!$B$9/'Operating costs'!$B$11+'Operating costs'!$B$10/60)*'Operating costs'!$B$19*'Operating costs'!$B$21,"n.a."))</f>
        <v>0</v>
      </c>
      <c r="L377" s="16">
        <f>IF(C377=0,0,IF(P377="Complete",IF(D377="EV",X377*((1-T377)*'Energy and charging'!$B$10+T377*'Energy and charging'!$B$11)*'Operating costs'!$B$22,AA377*('Energy and charging'!$B$9*'Energy and charging'!$B$7+(1-'Energy and charging'!$B$9)*'Energy and charging'!$B$8)*'Operating costs'!$B$23),"n.a."))</f>
        <v>0</v>
      </c>
      <c r="M377" s="37">
        <f>IF(C377=0,0,IF(P377="Complete",IF(D377="ICE",SUM('Operating costs'!$B$25,'Operating costs'!$B$27,'Operating costs'!$B$29,'Operating costs'!$B$31,'Operating costs'!$B$33,'Operating costs'!$B$35,'Operating costs'!$B$37,'Replacement plan'!$X$99)+'Operating costs'!$B$40*'Operating costs'!$B$42+ROUNDUP(S377*(R377-'Operating costs'!$B$40)*IF('Replacement plan'!$AH$99="",'Operating costs'!$B$7,'Replacement plan'!$AH$99)/('Operating costs'!$B$8-'Operating costs'!$B$9*IF('Replacement plan'!$AH$99="",'Operating costs'!$B$7,'Replacement plan'!$AH$99)),0)*('Operating costs'!$B$9/'Operating costs'!$B$11+'Operating costs'!$B$10/60)*'Operating costs'!$B$19*'Operating costs'!$B$21,SUM(AP377,'Operating costs'!$B$28,'Operating costs'!$B$30,'Operating costs'!$B$32,'Operating costs'!$B$33,'Operating costs'!$B$36,'Operating costs'!$B$38,'Replacement plan'!$Y$99)+'Operating costs'!$B$41*'Operating costs'!$B$43+W377*'Operating costs'!$B$15+(T377*X377/'Replacement plan'!$L$99+W377*('Operating costs'!$B$12/'Operating costs'!$B$11+('Operating costs'!$B$13+'Operating costs'!$B$14)/60)+(R377-'Operating costs'!$B$41)*(IF(T377&lt;1,'Operating costs'!$B$16,0)+'Operating costs'!$B$17)/60)*'Operating costs'!$B$19*'Operating costs'!$B$20),"n.a."))</f>
        <v>0</v>
      </c>
      <c r="N377" s="16">
        <f>IF(AND(C377=1,D377="EV",E377&lt;120,E377+'Replacement plan'!$AA$99&lt;=120),'Replacement plan'!$Z$99,0)</f>
        <v>0</v>
      </c>
      <c r="O377" s="1">
        <f>E377+'Replacement plan'!$AA$99</f>
        <v>0</v>
      </c>
      <c r="P377" s="35" t="str">
        <f>IFERROR(IF(C377=0,"Excluded",IF(OR(COUNTIFS('Fleet register'!$A$7:$A$106,A377)&lt;&gt;1,COUNTIFS('Replacement plan'!$A$7:$A$106,A377)&lt;&gt;1),"Duplicate/missing ID",IF(NOT(AND(ISNUMBER(VLOOKUP($A377,'Fleet register'!$A$7:$S$106,5,FALSE)),ISNUMBER(VLOOKUP($A377,'Fleet register'!$A$7:$S$106,6,FALSE)),ISNUMBER(VLOOKUP($A377,'Fleet register'!$A$7:$S$106,10,FALSE)),ISNUMBER(VLOOKUP($A377,'Fleet register'!$A$7:$S$106,11,FALSE)),ISNUMBER(VLOOKUP($A377,'Fleet register'!$A$7:$S$106,12,FALSE)),ISNUMBER(VLOOKUP($A377,'Fleet register'!$A$7:$S$106,13,FALSE)),ISNUMBER(VLOOKUP($A377,'Fleet register'!$A$7:$S$106,14,FALSE)),VLOOKUP($A377,'Fleet register'!$A$7:$S$106,14,FALSE)&gt;0,ISNUMBER('Replacement plan'!$C$99),OR(E377=120,ISNUMBER('Replacement plan'!$Q$99)),ISNUMBER(E377))),"Missing vehicle input",IF(OR(E377&lt;0,E377&gt;VLOOKUP($A377,'Fleet register'!$A$7:$S$106,10,FALSE),E377&gt;120,E377&lt;&gt;INT(E377),VLOOKUP($A377,'Fleet register'!$A$7:$S$106,6,FALSE)&lt;=0,VLOOKUP($A377,'Fleet register'!$A$7:$S$106,6,FALSE)&gt;366,VLOOKUP($A377,'Fleet register'!$A$7:$S$106,5,FALSE)&lt;0,VLOOKUP($A377,'Fleet register'!$A$7:$S$106,11,FALSE)&lt;0,I377&lt;0,'Operating costs'!$B$8&lt;='Operating costs'!$B$7*'Operating costs'!$B$9,'Operating costs'!$B$11&lt;=0,'Operating costs'!$B$39&gt;R377,'Operating costs'!$B$40&gt;R377,'Operating costs'!$B$41&gt;R377,NOT(OR('Replacement plan'!$O$99="Keep ICE",'Replacement plan'!$O$99="New ICE",'Replacement plan'!$O$99="EV"))),"Invalid vehicle input",IF(AND(D377="EV",E377&lt;120,OR(NOT(ISNUMBER(U377)),NOT(ISNUMBER(V377)),V377&lt;=0,T377&lt;0,T377&gt;1,'Replacement plan'!$L$99&lt;=0,'Operating costs'!$B$44&lt;0,'Operating costs'!$B$44&gt;=1,'Operating costs'!$B$47&lt;=0,'Operating costs'!$B$47&gt;1,V377*'Operating costs'!$B$47/(1-'Operating costs'!$B$44)&lt;=T377*'Operating costs'!$B$12*U377,AND('Replacement plan'!$Z$99&gt;0,OR('Replacement plan'!$AB$99&lt;&gt;"Yes",'Operating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charging'!$B$8&gt;=0))),ISNUMBER(VLOOKUP($A377,'Fleet register'!$A$7:$S$106,15,FALSE)),ISNUMBER(VLOOKUP($A377,'Fleet register'!$A$7:$S$106,16,FALSE)),ISNUMBER('Replacement plan'!$W$99),ISNUMBER('Replacement plan'!$X$99),OR(E377=120,AND(ISNUMBER(G377),G377&gt;=0)),ISNUMBER(H377),H377&gt;=0,OR(D377&lt;&gt;"EV",E377=120,AND(ISNUMBER('Operating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average",ISNUMBER(IFERROR(INDEX(Products!$P$7:$P$13,MATCH(AD377,Products!$A$7:$A$13,0)),"")))),ISNUMBER('Operating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plan'!$Y$99),ISNUMBER('Replacement plan'!$Z$99),'Replacement plan'!$Z$99&gt;=0,ISNUMBER('Replacement plan'!$AA$99),'Replacement plan'!$AA$99&gt;=0,'Replacement plan'!$AA$99=INT('Replacement plan'!$AA$99),ISNUMBER('Replacement plan'!$L$99))),'Operating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plan'!$AG$99="",'Operating costs'!$B$7,'Replacement plan'!$AG$99)),IF('Replacement plan'!$AG$99="",'Operating costs'!$B$7,'Replacement plan'!$AG$99)&gt;=0,ISNUMBER(IF('Replacement plan'!$AH$99="",'Operating costs'!$B$7,'Replacement plan'!$AH$99)),IF('Replacement plan'!$AH$99="",'Operating costs'!$B$7,'Replacement plan'!$AH$99)&gt;=0,'Operating costs'!$B$8&gt;MAX(IF('Replacement plan'!$AG$99="",'Operating costs'!$B$7,'Replacement plan'!$AG$99),IF('Replacement plan'!$AH$99="",'Operating costs'!$B$7,'Replacement plan'!$AH$99))*'Operating costs'!$B$9),IF(AND(VLOOKUP($A377,'Fleet register'!$A$7:$S$106,10,FALSE)&gt;=0,VLOOKUP($A377,'Fleet register'!$A$7:$S$106,10,FALSE)&lt;=120,VLOOKUP($A377,'Fleet register'!$A$7:$S$106,10,FALSE)=INT(VLOOKUP($A377,'Fleet register'!$A$7:$S$106,10,FALSE)),VLOOKUP($A377,'Fleet register'!$A$7:$S$106,15,FALSE)&gt;=0,VLOOKUP($A377,'Fleet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costs'!$B$67)&gt;=0,OR(D377&lt;&gt;"EV",E377=120,AND(MIN('Operating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77" s="1" t="str">
        <f>IF(C377=0,"Excluded",IF(P377&lt;&gt;"Complete",P377,IF(OR('Replacement plan'!$AD$99&lt;120-E377,AND(D377="EV",E377&lt;120,OR('Replacement plan'!$AC$99&lt;120-E377,'Replacement plan'!$I$99="No",AND(ISNUMBER(AF377),AE377&gt;AF377),AI377&gt;V377*(1-'Operating costs'!$B$46)^MAX(0,AB377-1)*(1-'Operating costs'!$B$45),AC377&gt;'Operating costs'!$B$18,AND(T377&lt;1,OR(AG377&lt;=0,AND(ISNUMBER(AH377),AG377&gt;AH377))),'Replacement plan'!$L$99&gt;INDEX(Products!$H$7:$H$13,MATCH('Replacement plan'!$B$99,Products!$A$7:$A$13,0))))),"Fails entered limits",IF(AND(D377="EV",E377&lt;120,OR(NOT(ISNUMBER(VLOOKUP($A377,'Fleet register'!$A$7:$S$106,7,FALSE))),NOT(ISNUMBER(VLOOKUP($A377,'Fleet register'!$A$7:$S$106,8,FALSE))),NOT(ISNUMBER(AF377)),'Replacement plan'!$I$99&lt;&gt;"Yes",NOT(ISNUMBER(AH377)),'Operating costs'!$B$59&lt;&gt;"Yes",'Operating costs'!$B$58&lt;&gt;"Yes")),"Unverified","Within entered limits"))))</f>
        <v>Excluded</v>
      </c>
      <c r="R377" s="1">
        <f>IF(C377=0,0,VLOOKUP($A377,'Fleet register'!$A$7:$S$106,6,FALSE))</f>
        <v>0</v>
      </c>
      <c r="S377" s="1">
        <f>IF(C377=0,0,VLOOKUP($A377,'Fleet register'!$A$7:$S$106,5,FALSE))</f>
        <v>0</v>
      </c>
      <c r="T377" s="1">
        <f>IF(D377="EV",'Energy and charging'!$B$12,0)</f>
        <v>0</v>
      </c>
      <c r="U377" s="1">
        <f>IFERROR(IF(C377=0,0,IF(D377="EV",IF('Replacement plan'!$F$99="",INDEX(Products!$E$7:$E$13,MATCH('Replacement plan'!$B$99,Products!$A$7:$A$13,0)),'Replacement plan'!$F$99)/IF('Replacement plan'!$G$99="Battery",1-'Operating costs'!$B$44,1),0)),"n.a.")</f>
        <v>0</v>
      </c>
      <c r="V377" s="1">
        <f>IFERROR(IF(C377=0,0,IF(D377="EV",IF('Replacement plan'!$E$99="",INDEX(Products!$D$7:$D$13,MATCH('Replacement plan'!$B$99,Products!$A$7:$A$13,0)),'Replacement plan'!$E$99),0)),"n.a.")</f>
        <v>0</v>
      </c>
      <c r="W377" s="1">
        <f>IF(C377=0,0,IF(AND(P377="Complete",D377="EV",E377&lt;120),IF(T377=0,0,ROUNDUP(T377*(R377-'Operating costs'!$B$41)*(S377*U377+'Operating costs'!$B$48/(1-'Operating costs'!$B$44))/(V377*'Operating costs'!$B$47/(1-'Operating costs'!$B$44)-T377*'Operating costs'!$B$12*U377),0)),0))</f>
        <v>0</v>
      </c>
      <c r="X377" s="1">
        <f>IF(C377=0,0,IF(AND(P377="Complete",D377="EV",E377&lt;120),(R377-'Operating costs'!$B$41)*(S377*U377+'Operating costs'!$B$48/(1-'Operating costs'!$B$44))+W377*'Operating costs'!$B$12*U377,0))</f>
        <v>0</v>
      </c>
      <c r="Y377" s="1">
        <f>IF(AND(C377=1,D377="EV",E377&lt;120),AI377/(1-'Operating costs'!$B$44)*(1-T377),0)</f>
        <v>0</v>
      </c>
      <c r="Z377" s="1">
        <f t="shared" si="10"/>
        <v>0</v>
      </c>
      <c r="AA377" s="1">
        <f>IF(C377=0,0,IF(P377="Complete",((S377*(R377-'Operating costs'!$B$40))+ROUNDUP(S377*(R377-'Operating costs'!$B$40)*IF('Replacement plan'!$AH$99="",'Operating costs'!$B$7,'Replacement plan'!$AH$99)/('Operating costs'!$B$8-'Operating costs'!$B$9*IF('Replacement plan'!$AH$99="",'Operating costs'!$B$7,'Replacement plan'!$AH$99)),0)*'Operating costs'!$B$9)*IF('Replacement plan'!$AH$99="",'Operating costs'!$B$7,'Replacement plan'!$AH$99),"n.a."))</f>
        <v>0</v>
      </c>
      <c r="AB377" s="1">
        <f t="shared" si="11"/>
        <v>0</v>
      </c>
      <c r="AC377" s="1">
        <f>IF(AND(C377=1,D377="EV",E377&lt;120,T377&gt;0),'Operating costs'!$B$12/'Operating costs'!$B$11*60+'Operating costs'!$B$13+'Operating costs'!$B$14+V377*'Operating costs'!$B$47/(1-'Operating costs'!$B$44)/'Replacement plan'!$L$99*60,0)</f>
        <v>0</v>
      </c>
      <c r="AD377" s="1" t="str">
        <f>'Replacement plan'!$B$99</f>
        <v>ChengLong L2EV</v>
      </c>
      <c r="AE377" s="1">
        <f>IF(C377=0,0,VLOOKUP($A377,'Fleet register'!$A$7:$S$106,8,FALSE))</f>
        <v>0</v>
      </c>
      <c r="AF377" s="1" t="str">
        <f>IF('Replacement plan'!$H$99="","n.a.",'Replacement plan'!$H$99)</f>
        <v>n.a.</v>
      </c>
      <c r="AG377" s="1">
        <f>'Replacement plan'!$J$99</f>
        <v>22</v>
      </c>
      <c r="AH377" s="1">
        <f>IFERROR(IF(D377="EV",IF('Replacement plan'!$K$99="AC",IF(ISNUMBER(INDEX(Products!$G$7:$G$13,MATCH('Replacement plan'!$B$99,Products!$A$7:$A$13,0))),INDEX(Products!$G$7:$G$13,MATCH('Replacement plan'!$B$99,Products!$A$7:$A$13,0)),"n.a."),IF(ISNUMBER(INDEX(Products!$H$7:$H$13,MATCH('Replacement plan'!$B$99,Products!$A$7:$A$13,0))),INDEX(Products!$H$7:$H$13,MATCH('Replacement plan'!$B$99,Products!$A$7:$A$13,0)),"n.a.")),0),"n.a.")</f>
        <v>0</v>
      </c>
      <c r="AI377" s="1">
        <f>IF(AND(C377=1,D377="EV",E377&lt;120),(VLOOKUP($A377,'Fleet register'!$A$7:$S$106,7,FALSE)+IF(T377&gt;0,'Operating costs'!$B$12,0))*U377*(1-'Operating costs'!$B$44)+'Operating costs'!$B$49,0)</f>
        <v>0</v>
      </c>
      <c r="AJ377" s="1">
        <f>IF(D377="EV",'Energy and charging'!$B$50,0)</f>
        <v>0</v>
      </c>
      <c r="AK377" s="17">
        <f>EDATE('Operating costs'!$B$63,E377)</f>
        <v>46298</v>
      </c>
      <c r="AL377" s="1">
        <f>IFERROR(IF(D377="EV",INDEX(Products!$B$7:$B$13,MATCH('Replacement plan'!$B$99,Products!$A$7:$A$13,0)),0),"n.a.")</f>
        <v>0</v>
      </c>
      <c r="AM377" s="1" t="str">
        <f>'Replacement plan'!$K$99</f>
        <v>DC</v>
      </c>
      <c r="AN377" s="1" t="str">
        <f>'Replacement plan'!$AE$99</f>
        <v>Assumed</v>
      </c>
      <c r="AO377" s="47">
        <f>IF(AND(C377=1,D377="EV",E377&lt;120),(R377-'Operating costs'!$B$41)*S377+W377*'Operating costs'!$B$12,0)</f>
        <v>0</v>
      </c>
      <c r="AP377" s="41">
        <f>IF(AND(C377=1,D377="EV",E377&lt;120),IF('Operating costs'!$B$68="Hong Seh 200k average",AO377*IFERROR(INDEX(Products!$P$7:$P$13,MATCH(AD377,Products!$A$7:$A$13,0)),"n.a."),'Operating costs'!$B$26),0)</f>
        <v>0</v>
      </c>
      <c r="AQ377" s="40" t="str">
        <f>IF(D377="EV",'Operating costs'!$B$68,"Not applicable")</f>
        <v>Not applicable</v>
      </c>
    </row>
    <row r="378" spans="1:43" ht="24" customHeight="1">
      <c r="A378" s="1" t="str">
        <f>'Replacement plan'!A99</f>
        <v>T093</v>
      </c>
      <c r="B378" s="1">
        <v>3</v>
      </c>
      <c r="C378" s="1">
        <f>IF(COUNTIFS('Fleet register'!$A$7:$A$106,$A378)=1,VLOOKUP($A378,'Fleet register'!$A$7:$S$106,2,FALSE),0)</f>
        <v>0</v>
      </c>
      <c r="D378" s="1" t="str">
        <f>IF('Replacement plan'!$R$99="EV","EV","ICE")</f>
        <v>ICE</v>
      </c>
      <c r="E378" s="1">
        <f>IF(C378=0,0,IF('Replacement plan'!$S$99="",IF('Replacement plan'!$R$99="Keep ICE",IF('Replacement plan'!$M$99="",VLOOKUP($A378,'Fleet register'!$A$7:$S$106,10,FALSE),'Replacement plan'!$M$99),0),'Replacement plan'!$S$99))</f>
        <v>0</v>
      </c>
      <c r="F378" s="16">
        <f>IF(C378=0,0,VLOOKUP($A378,'Fleet register'!$A$7:$S$106,11,FALSE))</f>
        <v>0</v>
      </c>
      <c r="G378" s="16">
        <f>IFERROR(IF(C378=0,0,IF(E378=120,0,IF(D378="ICE",'Replacement plan'!$C$99,IF('Replacement plan'!$D$99="",INDEX(Products!$I$7:$I$13,MATCH('Replacement plan'!$B$99,Products!$A$7:$A$13,0))+'Operating costs'!$B$57,'Replacement plan'!$D$99))*(1+'Operating costs'!$B$50)^(E378/12))),"n.a.")</f>
        <v>0</v>
      </c>
      <c r="H378" s="16">
        <f>IFERROR(IF(C378=0,0,IF('Replacement plan'!$V$99&lt;&gt;"",'Replacement plan'!$V$99,IF(E378=0,F378,VLOOKUP($A378,'Fleet register'!$A$7:$S$106,12,FALSE)+VLOOKUP($A378,'Fleet register'!$A$7:$S$106,13,FALSE)*MAX(0,VLOOKUP($A378,'Fleet register'!$A$7:$S$106,10,FALSE)-E378)/VLOOKUP($A378,'Fleet register'!$A$7:$S$106,14,FALSE)))),"n.a.")</f>
        <v>0</v>
      </c>
      <c r="I378" s="16">
        <f>IF(C378=0,0,IF(E378=120,0,'Replacement plan'!$T$99))</f>
        <v>0</v>
      </c>
      <c r="J378" s="16">
        <f>IF(C378=0,0,IF(P378="Complete",((S378*(R378-'Operating costs'!$B$39))+ROUNDUP(S378*(R378-'Operating costs'!$B$39)*IF('Replacement plan'!$AG$99="",'Operating costs'!$B$7,'Replacement plan'!$AG$99)/('Operating costs'!$B$8-'Operating costs'!$B$9*IF('Replacement plan'!$AG$99="",'Operating costs'!$B$7,'Replacement plan'!$AG$99)),0)*'Operating costs'!$B$9)*IF('Replacement plan'!$AG$99="",'Operating costs'!$B$7,'Replacement plan'!$AG$99)*('Energy and charging'!$C$9*'Energy and charging'!$C$7+(1-'Energy and charging'!$C$9)*'Energy and charging'!$C$8)*'Operating costs'!$B$23,"n.a."))</f>
        <v>0</v>
      </c>
      <c r="K378" s="16">
        <f>IF(C378=0,0,IF(P378="Complete",SUM('Operating costs'!$B$24,'Operating costs'!$B$27,'Operating costs'!$B$29,'Operating costs'!$B$31,'Operating costs'!$B$33,'Operating costs'!$B$34,'Operating costs'!$B$37,'Replacement plan'!$W$99)+'Operating costs'!$B$39*'Operating costs'!$B$42+ROUNDUP(S378*(R378-'Operating costs'!$B$39)*IF('Replacement plan'!$AG$99="",'Operating costs'!$B$7,'Replacement plan'!$AG$99)/('Operating costs'!$B$8-'Operating costs'!$B$9*IF('Replacement plan'!$AG$99="",'Operating costs'!$B$7,'Replacement plan'!$AG$99)),0)*('Operating costs'!$B$9/'Operating costs'!$B$11+'Operating costs'!$B$10/60)*'Operating costs'!$B$19*'Operating costs'!$B$21,"n.a."))</f>
        <v>0</v>
      </c>
      <c r="L378" s="16">
        <f>IF(C378=0,0,IF(P378="Complete",IF(D378="EV",X378*((1-T378)*'Energy and charging'!$C$10+T378*'Energy and charging'!$C$11)*'Operating costs'!$B$22,AA378*('Energy and charging'!$C$9*'Energy and charging'!$C$7+(1-'Energy and charging'!$C$9)*'Energy and charging'!$C$8)*'Operating costs'!$B$23),"n.a."))</f>
        <v>0</v>
      </c>
      <c r="M378" s="37">
        <f>IF(C378=0,0,IF(P378="Complete",IF(D378="ICE",SUM('Operating costs'!$B$25,'Operating costs'!$B$27,'Operating costs'!$B$29,'Operating costs'!$B$31,'Operating costs'!$B$33,'Operating costs'!$B$35,'Operating costs'!$B$37,'Replacement plan'!$X$99)+'Operating costs'!$B$40*'Operating costs'!$B$42+ROUNDUP(S378*(R378-'Operating costs'!$B$40)*IF('Replacement plan'!$AH$99="",'Operating costs'!$B$7,'Replacement plan'!$AH$99)/('Operating costs'!$B$8-'Operating costs'!$B$9*IF('Replacement plan'!$AH$99="",'Operating costs'!$B$7,'Replacement plan'!$AH$99)),0)*('Operating costs'!$B$9/'Operating costs'!$B$11+'Operating costs'!$B$10/60)*'Operating costs'!$B$19*'Operating costs'!$B$21,SUM(AP378,'Operating costs'!$B$28,'Operating costs'!$B$30,'Operating costs'!$B$32,'Operating costs'!$B$33,'Operating costs'!$B$36,'Operating costs'!$B$38,'Replacement plan'!$Y$99)+'Operating costs'!$B$41*'Operating costs'!$B$43+W378*'Operating costs'!$B$15+(T378*X378/'Replacement plan'!$L$99+W378*('Operating costs'!$B$12/'Operating costs'!$B$11+('Operating costs'!$B$13+'Operating costs'!$B$14)/60)+(R378-'Operating costs'!$B$41)*(IF(T378&lt;1,'Operating costs'!$B$16,0)+'Operating costs'!$B$17)/60)*'Operating costs'!$B$19*'Operating costs'!$B$20),"n.a."))</f>
        <v>0</v>
      </c>
      <c r="N378" s="16">
        <f>IF(AND(C378=1,D378="EV",E378&lt;120,E378+'Replacement plan'!$AA$99&lt;=120),'Replacement plan'!$Z$99,0)</f>
        <v>0</v>
      </c>
      <c r="O378" s="1">
        <f>E378+'Replacement plan'!$AA$99</f>
        <v>0</v>
      </c>
      <c r="P378" s="35" t="str">
        <f>IFERROR(IF(C378=0,"Excluded",IF(OR(COUNTIFS('Fleet register'!$A$7:$A$106,A378)&lt;&gt;1,COUNTIFS('Replacement plan'!$A$7:$A$106,A378)&lt;&gt;1),"Duplicate/missing ID",IF(NOT(AND(ISNUMBER(VLOOKUP($A378,'Fleet register'!$A$7:$S$106,5,FALSE)),ISNUMBER(VLOOKUP($A378,'Fleet register'!$A$7:$S$106,6,FALSE)),ISNUMBER(VLOOKUP($A378,'Fleet register'!$A$7:$S$106,10,FALSE)),ISNUMBER(VLOOKUP($A378,'Fleet register'!$A$7:$S$106,11,FALSE)),ISNUMBER(VLOOKUP($A378,'Fleet register'!$A$7:$S$106,12,FALSE)),ISNUMBER(VLOOKUP($A378,'Fleet register'!$A$7:$S$106,13,FALSE)),ISNUMBER(VLOOKUP($A378,'Fleet register'!$A$7:$S$106,14,FALSE)),VLOOKUP($A378,'Fleet register'!$A$7:$S$106,14,FALSE)&gt;0,ISNUMBER('Replacement plan'!$C$99),OR(E378=120,ISNUMBER('Replacement plan'!$T$99)),ISNUMBER(E378))),"Missing vehicle input",IF(OR(E378&lt;0,E378&gt;VLOOKUP($A378,'Fleet register'!$A$7:$S$106,10,FALSE),E378&gt;120,E378&lt;&gt;INT(E378),VLOOKUP($A378,'Fleet register'!$A$7:$S$106,6,FALSE)&lt;=0,VLOOKUP($A378,'Fleet register'!$A$7:$S$106,6,FALSE)&gt;366,VLOOKUP($A378,'Fleet register'!$A$7:$S$106,5,FALSE)&lt;0,VLOOKUP($A378,'Fleet register'!$A$7:$S$106,11,FALSE)&lt;0,I378&lt;0,'Operating costs'!$B$8&lt;='Operating costs'!$B$7*'Operating costs'!$B$9,'Operating costs'!$B$11&lt;=0,'Operating costs'!$B$39&gt;R378,'Operating costs'!$B$40&gt;R378,'Operating costs'!$B$41&gt;R378,NOT(OR('Replacement plan'!$R$99="Keep ICE",'Replacement plan'!$R$99="New ICE",'Replacement plan'!$R$99="EV"))),"Invalid vehicle input",IF(AND(D378="EV",E378&lt;120,OR(NOT(ISNUMBER(U378)),NOT(ISNUMBER(V378)),V378&lt;=0,T378&lt;0,T378&gt;1,'Replacement plan'!$L$99&lt;=0,'Operating costs'!$B$44&lt;0,'Operating costs'!$B$44&gt;=1,'Operating costs'!$B$47&lt;=0,'Operating costs'!$B$47&gt;1,V378*'Operating costs'!$B$47/(1-'Operating costs'!$B$44)&lt;=T378*'Operating costs'!$B$12*U378,AND('Replacement plan'!$Z$99&gt;0,OR('Replacement plan'!$AB$99&lt;&gt;"Yes",'Operating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charging'!$C$8&gt;=0))),ISNUMBER(VLOOKUP($A378,'Fleet register'!$A$7:$S$106,15,FALSE)),ISNUMBER(VLOOKUP($A378,'Fleet register'!$A$7:$S$106,16,FALSE)),ISNUMBER('Replacement plan'!$W$99),ISNUMBER('Replacement plan'!$X$99),OR(E378=120,AND(ISNUMBER(G378),G378&gt;=0)),ISNUMBER(H378),H378&gt;=0,OR(D378&lt;&gt;"EV",E378=120,AND(ISNUMBER('Operating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average",ISNUMBER(IFERROR(INDEX(Products!$P$7:$P$13,MATCH(AD378,Products!$A$7:$A$13,0)),"")))),ISNUMBER('Operating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plan'!$Y$99),ISNUMBER('Replacement plan'!$Z$99),'Replacement plan'!$Z$99&gt;=0,ISNUMBER('Replacement plan'!$AA$99),'Replacement plan'!$AA$99&gt;=0,'Replacement plan'!$AA$99=INT('Replacement plan'!$AA$99),ISNUMBER('Replacement plan'!$L$99))),'Operating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plan'!$AG$99="",'Operating costs'!$B$7,'Replacement plan'!$AG$99)),IF('Replacement plan'!$AG$99="",'Operating costs'!$B$7,'Replacement plan'!$AG$99)&gt;=0,ISNUMBER(IF('Replacement plan'!$AH$99="",'Operating costs'!$B$7,'Replacement plan'!$AH$99)),IF('Replacement plan'!$AH$99="",'Operating costs'!$B$7,'Replacement plan'!$AH$99)&gt;=0,'Operating costs'!$B$8&gt;MAX(IF('Replacement plan'!$AG$99="",'Operating costs'!$B$7,'Replacement plan'!$AG$99),IF('Replacement plan'!$AH$99="",'Operating costs'!$B$7,'Replacement plan'!$AH$99))*'Operating costs'!$B$9),IF(AND(VLOOKUP($A378,'Fleet register'!$A$7:$S$106,10,FALSE)&gt;=0,VLOOKUP($A378,'Fleet register'!$A$7:$S$106,10,FALSE)&lt;=120,VLOOKUP($A378,'Fleet register'!$A$7:$S$106,10,FALSE)=INT(VLOOKUP($A378,'Fleet register'!$A$7:$S$106,10,FALSE)),VLOOKUP($A378,'Fleet register'!$A$7:$S$106,15,FALSE)&gt;=0,VLOOKUP($A378,'Fleet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costs'!$B$67)&gt;=0,OR(D378&lt;&gt;"EV",E378=120,AND(MIN('Operating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78" s="1" t="str">
        <f>IF(C378=0,"Excluded",IF(P378&lt;&gt;"Complete",P378,IF(OR('Replacement plan'!$AD$99&lt;120-E378,AND(D378="EV",E378&lt;120,OR('Replacement plan'!$AC$99&lt;120-E378,'Replacement plan'!$I$99="No",AND(ISNUMBER(AF378),AE378&gt;AF378),AI378&gt;V378*(1-'Operating costs'!$B$46)^MAX(0,AB378-1)*(1-'Operating costs'!$B$45),AC378&gt;'Operating costs'!$B$18,AND(T378&lt;1,OR(AG378&lt;=0,AND(ISNUMBER(AH378),AG378&gt;AH378))),'Replacement plan'!$L$99&gt;INDEX(Products!$H$7:$H$13,MATCH('Replacement plan'!$B$99,Products!$A$7:$A$13,0))))),"Fails entered limits",IF(AND(D378="EV",E378&lt;120,OR(NOT(ISNUMBER(VLOOKUP($A378,'Fleet register'!$A$7:$S$106,7,FALSE))),NOT(ISNUMBER(VLOOKUP($A378,'Fleet register'!$A$7:$S$106,8,FALSE))),NOT(ISNUMBER(AF378)),'Replacement plan'!$I$99&lt;&gt;"Yes",NOT(ISNUMBER(AH378)),'Operating costs'!$B$59&lt;&gt;"Yes",'Operating costs'!$B$58&lt;&gt;"Yes")),"Unverified","Within entered limits"))))</f>
        <v>Excluded</v>
      </c>
      <c r="R378" s="1">
        <f>IF(C378=0,0,VLOOKUP($A378,'Fleet register'!$A$7:$S$106,6,FALSE))</f>
        <v>0</v>
      </c>
      <c r="S378" s="1">
        <f>IF(C378=0,0,VLOOKUP($A378,'Fleet register'!$A$7:$S$106,5,FALSE))</f>
        <v>0</v>
      </c>
      <c r="T378" s="1">
        <f>IF(D378="EV",'Energy and charging'!$C$12,0)</f>
        <v>0</v>
      </c>
      <c r="U378" s="1">
        <f>IFERROR(IF(C378=0,0,IF(D378="EV",IF('Replacement plan'!$F$99="",INDEX(Products!$E$7:$E$13,MATCH('Replacement plan'!$B$99,Products!$A$7:$A$13,0)),'Replacement plan'!$F$99)/IF('Replacement plan'!$G$99="Battery",1-'Operating costs'!$B$44,1),0)),"n.a.")</f>
        <v>0</v>
      </c>
      <c r="V378" s="1">
        <f>IFERROR(IF(C378=0,0,IF(D378="EV",IF('Replacement plan'!$E$99="",INDEX(Products!$D$7:$D$13,MATCH('Replacement plan'!$B$99,Products!$A$7:$A$13,0)),'Replacement plan'!$E$99),0)),"n.a.")</f>
        <v>0</v>
      </c>
      <c r="W378" s="1">
        <f>IF(C378=0,0,IF(AND(P378="Complete",D378="EV",E378&lt;120),IF(T378=0,0,ROUNDUP(T378*(R378-'Operating costs'!$B$41)*(S378*U378+'Operating costs'!$B$48/(1-'Operating costs'!$B$44))/(V378*'Operating costs'!$B$47/(1-'Operating costs'!$B$44)-T378*'Operating costs'!$B$12*U378),0)),0))</f>
        <v>0</v>
      </c>
      <c r="X378" s="1">
        <f>IF(C378=0,0,IF(AND(P378="Complete",D378="EV",E378&lt;120),(R378-'Operating costs'!$B$41)*(S378*U378+'Operating costs'!$B$48/(1-'Operating costs'!$B$44))+W378*'Operating costs'!$B$12*U378,0))</f>
        <v>0</v>
      </c>
      <c r="Y378" s="1">
        <f>IF(AND(C378=1,D378="EV",E378&lt;120),AI378/(1-'Operating costs'!$B$44)*(1-T378),0)</f>
        <v>0</v>
      </c>
      <c r="Z378" s="1">
        <f t="shared" si="10"/>
        <v>0</v>
      </c>
      <c r="AA378" s="1">
        <f>IF(C378=0,0,IF(P378="Complete",((S378*(R378-'Operating costs'!$B$40))+ROUNDUP(S378*(R378-'Operating costs'!$B$40)*IF('Replacement plan'!$AH$99="",'Operating costs'!$B$7,'Replacement plan'!$AH$99)/('Operating costs'!$B$8-'Operating costs'!$B$9*IF('Replacement plan'!$AH$99="",'Operating costs'!$B$7,'Replacement plan'!$AH$99)),0)*'Operating costs'!$B$9)*IF('Replacement plan'!$AH$99="",'Operating costs'!$B$7,'Replacement plan'!$AH$99),"n.a."))</f>
        <v>0</v>
      </c>
      <c r="AB378" s="1">
        <f t="shared" si="11"/>
        <v>0</v>
      </c>
      <c r="AC378" s="1">
        <f>IF(AND(C378=1,D378="EV",E378&lt;120,T378&gt;0),'Operating costs'!$B$12/'Operating costs'!$B$11*60+'Operating costs'!$B$13+'Operating costs'!$B$14+V378*'Operating costs'!$B$47/(1-'Operating costs'!$B$44)/'Replacement plan'!$L$99*60,0)</f>
        <v>0</v>
      </c>
      <c r="AD378" s="1" t="str">
        <f>'Replacement plan'!$B$99</f>
        <v>ChengLong L2EV</v>
      </c>
      <c r="AE378" s="1">
        <f>IF(C378=0,0,VLOOKUP($A378,'Fleet register'!$A$7:$S$106,8,FALSE))</f>
        <v>0</v>
      </c>
      <c r="AF378" s="1" t="str">
        <f>IF('Replacement plan'!$H$99="","n.a.",'Replacement plan'!$H$99)</f>
        <v>n.a.</v>
      </c>
      <c r="AG378" s="1">
        <f>'Replacement plan'!$J$99</f>
        <v>22</v>
      </c>
      <c r="AH378" s="1">
        <f>IFERROR(IF(D378="EV",IF('Replacement plan'!$K$99="AC",IF(ISNUMBER(INDEX(Products!$G$7:$G$13,MATCH('Replacement plan'!$B$99,Products!$A$7:$A$13,0))),INDEX(Products!$G$7:$G$13,MATCH('Replacement plan'!$B$99,Products!$A$7:$A$13,0)),"n.a."),IF(ISNUMBER(INDEX(Products!$H$7:$H$13,MATCH('Replacement plan'!$B$99,Products!$A$7:$A$13,0))),INDEX(Products!$H$7:$H$13,MATCH('Replacement plan'!$B$99,Products!$A$7:$A$13,0)),"n.a.")),0),"n.a.")</f>
        <v>0</v>
      </c>
      <c r="AI378" s="1">
        <f>IF(AND(C378=1,D378="EV",E378&lt;120),(VLOOKUP($A378,'Fleet register'!$A$7:$S$106,7,FALSE)+IF(T378&gt;0,'Operating costs'!$B$12,0))*U378*(1-'Operating costs'!$B$44)+'Operating costs'!$B$49,0)</f>
        <v>0</v>
      </c>
      <c r="AJ378" s="1">
        <f>IF(D378="EV",'Energy and charging'!$C$50,0)</f>
        <v>0</v>
      </c>
      <c r="AK378" s="17">
        <f>EDATE('Operating costs'!$B$63,E378)</f>
        <v>46298</v>
      </c>
      <c r="AL378" s="1">
        <f>IFERROR(IF(D378="EV",INDEX(Products!$B$7:$B$13,MATCH('Replacement plan'!$B$99,Products!$A$7:$A$13,0)),0),"n.a.")</f>
        <v>0</v>
      </c>
      <c r="AM378" s="1" t="str">
        <f>'Replacement plan'!$K$99</f>
        <v>DC</v>
      </c>
      <c r="AN378" s="1" t="str">
        <f>'Replacement plan'!$AE$99</f>
        <v>Assumed</v>
      </c>
      <c r="AO378" s="47">
        <f>IF(AND(C378=1,D378="EV",E378&lt;120),(R378-'Operating costs'!$B$41)*S378+W378*'Operating costs'!$B$12,0)</f>
        <v>0</v>
      </c>
      <c r="AP378" s="41">
        <f>IF(AND(C378=1,D378="EV",E378&lt;120),IF('Operating costs'!$B$68="Hong Seh 200k average",AO378*IFERROR(INDEX(Products!$P$7:$P$13,MATCH(AD378,Products!$A$7:$A$13,0)),"n.a."),'Operating costs'!$B$26),0)</f>
        <v>0</v>
      </c>
      <c r="AQ378" s="40" t="str">
        <f>IF(D378="EV",'Operating costs'!$B$68,"Not applicable")</f>
        <v>Not applicable</v>
      </c>
    </row>
    <row r="379" spans="1:43" ht="24" customHeight="1">
      <c r="A379" s="1" t="str">
        <f>'Replacement plan'!A100</f>
        <v>T094</v>
      </c>
      <c r="B379" s="1">
        <v>0</v>
      </c>
      <c r="C379" s="1">
        <f>IF(COUNTIFS('Fleet register'!$A$7:$A$106,$A379)=1,VLOOKUP($A379,'Fleet register'!$A$7:$S$106,2,FALSE),0)</f>
        <v>0</v>
      </c>
      <c r="D379" s="1" t="str">
        <f>IF("Keep ICE"="EV","EV","ICE")</f>
        <v>ICE</v>
      </c>
      <c r="E379" s="1">
        <f>IF(C379=0,0,IF('Replacement plan'!$M$100="",VLOOKUP($A379,'Fleet register'!$A$7:$S$106,10,FALSE),'Replacement plan'!$M$100))</f>
        <v>0</v>
      </c>
      <c r="F379" s="16">
        <f>IF(C379=0,0,VLOOKUP($A379,'Fleet register'!$A$7:$S$106,11,FALSE))</f>
        <v>0</v>
      </c>
      <c r="G379" s="16">
        <f>IFERROR(IF(C379=0,0,IF(E379=120,0,IF(D379="ICE",'Replacement plan'!$C$100,IF('Replacement plan'!$D$100="",INDEX(Products!$I$7:$I$13,MATCH('Replacement plan'!$B$100,Products!$A$7:$A$13,0))+'Operating costs'!$B$57,'Replacement plan'!$D$100))*(1+'Operating costs'!$B$50)^(E379/12))),"n.a.")</f>
        <v>0</v>
      </c>
      <c r="H379" s="16">
        <f>IFERROR(IF(C379=0,0,IF(E379=0,F379,VLOOKUP($A379,'Fleet register'!$A$7:$S$106,12,FALSE)+VLOOKUP($A379,'Fleet register'!$A$7:$S$106,13,FALSE)*MAX(0,VLOOKUP($A379,'Fleet register'!$A$7:$S$106,10,FALSE)-E379)/VLOOKUP($A379,'Fleet register'!$A$7:$S$106,14,FALSE))),"n.a.")</f>
        <v>0</v>
      </c>
      <c r="I379" s="16">
        <f>IF(C379=0,0,IF(E379=120,0,'Replacement plan'!$N$100))</f>
        <v>0</v>
      </c>
      <c r="J379" s="16">
        <f>IF(C379=0,0,IF(P379="Complete",((S379*(R379-'Operating costs'!$B$39))+ROUNDUP(S379*(R379-'Operating costs'!$B$39)*IF('Replacement plan'!$AG$100="",'Operating costs'!$B$7,'Replacement plan'!$AG$100)/('Operating costs'!$B$8-'Operating costs'!$B$9*IF('Replacement plan'!$AG$100="",'Operating costs'!$B$7,'Replacement plan'!$AG$100)),0)*'Operating costs'!$B$9)*IF('Replacement plan'!$AG$100="",'Operating costs'!$B$7,'Replacement plan'!$AG$100)*('Energy and charging'!$B$9*'Energy and charging'!$B$7+(1-'Energy and charging'!$B$9)*'Energy and charging'!$B$8)*'Operating costs'!$B$23,"n.a."))</f>
        <v>0</v>
      </c>
      <c r="K379" s="16">
        <f>IF(C379=0,0,IF(P379="Complete",SUM('Operating costs'!$B$24,'Operating costs'!$B$27,'Operating costs'!$B$29,'Operating costs'!$B$31,'Operating costs'!$B$33,'Operating costs'!$B$34,'Operating costs'!$B$37,'Replacement plan'!$W$100)+'Operating costs'!$B$39*'Operating costs'!$B$42+ROUNDUP(S379*(R379-'Operating costs'!$B$39)*IF('Replacement plan'!$AG$100="",'Operating costs'!$B$7,'Replacement plan'!$AG$100)/('Operating costs'!$B$8-'Operating costs'!$B$9*IF('Replacement plan'!$AG$100="",'Operating costs'!$B$7,'Replacement plan'!$AG$100)),0)*('Operating costs'!$B$9/'Operating costs'!$B$11+'Operating costs'!$B$10/60)*'Operating costs'!$B$19*'Operating costs'!$B$21,"n.a."))</f>
        <v>0</v>
      </c>
      <c r="L379" s="16">
        <f>IF(C379=0,0,IF(P379="Complete",IF(D379="EV",X379*((1-T379)*'Energy and charging'!$B$10+T379*'Energy and charging'!$B$11)*'Operating costs'!$B$22,AA379*('Energy and charging'!$B$9*'Energy and charging'!$B$7+(1-'Energy and charging'!$B$9)*'Energy and charging'!$B$8)*'Operating costs'!$B$23),"n.a."))</f>
        <v>0</v>
      </c>
      <c r="M379" s="37">
        <f>IF(C379=0,0,IF(P379="Complete",IF(D379="ICE",SUM('Operating costs'!$B$25,'Operating costs'!$B$27,'Operating costs'!$B$29,'Operating costs'!$B$31,'Operating costs'!$B$33,'Operating costs'!$B$35,'Operating costs'!$B$37,'Replacement plan'!$X$100)+'Operating costs'!$B$40*'Operating costs'!$B$42+ROUNDUP(S379*(R379-'Operating costs'!$B$40)*IF('Replacement plan'!$AH$100="",'Operating costs'!$B$7,'Replacement plan'!$AH$100)/('Operating costs'!$B$8-'Operating costs'!$B$9*IF('Replacement plan'!$AH$100="",'Operating costs'!$B$7,'Replacement plan'!$AH$100)),0)*('Operating costs'!$B$9/'Operating costs'!$B$11+'Operating costs'!$B$10/60)*'Operating costs'!$B$19*'Operating costs'!$B$21,SUM(AP379,'Operating costs'!$B$28,'Operating costs'!$B$30,'Operating costs'!$B$32,'Operating costs'!$B$33,'Operating costs'!$B$36,'Operating costs'!$B$38,'Replacement plan'!$Y$100)+'Operating costs'!$B$41*'Operating costs'!$B$43+W379*'Operating costs'!$B$15+(T379*X379/'Replacement plan'!$L$100+W379*('Operating costs'!$B$12/'Operating costs'!$B$11+('Operating costs'!$B$13+'Operating costs'!$B$14)/60)+(R379-'Operating costs'!$B$41)*(IF(T379&lt;1,'Operating costs'!$B$16,0)+'Operating costs'!$B$17)/60)*'Operating costs'!$B$19*'Operating costs'!$B$20),"n.a."))</f>
        <v>0</v>
      </c>
      <c r="N379" s="16">
        <f>IF(AND(C379=1,D379="EV",E379&lt;120,E379+'Replacement plan'!$AA$100&lt;=120),'Replacement plan'!$Z$100,0)</f>
        <v>0</v>
      </c>
      <c r="O379" s="1">
        <f>E379+'Replacement plan'!$AA$100</f>
        <v>0</v>
      </c>
      <c r="P379" s="35" t="str">
        <f>IFERROR(IF(C379=0,"Excluded",IF(OR(COUNTIFS('Fleet register'!$A$7:$A$106,A379)&lt;&gt;1,COUNTIFS('Replacement plan'!$A$7:$A$106,A379)&lt;&gt;1),"Duplicate/missing ID",IF(NOT(AND(ISNUMBER(VLOOKUP($A379,'Fleet register'!$A$7:$S$106,5,FALSE)),ISNUMBER(VLOOKUP($A379,'Fleet register'!$A$7:$S$106,6,FALSE)),ISNUMBER(VLOOKUP($A379,'Fleet register'!$A$7:$S$106,10,FALSE)),ISNUMBER(VLOOKUP($A379,'Fleet register'!$A$7:$S$106,11,FALSE)),ISNUMBER(VLOOKUP($A379,'Fleet register'!$A$7:$S$106,12,FALSE)),ISNUMBER(VLOOKUP($A379,'Fleet register'!$A$7:$S$106,13,FALSE)),ISNUMBER(VLOOKUP($A379,'Fleet register'!$A$7:$S$106,14,FALSE)),VLOOKUP($A379,'Fleet register'!$A$7:$S$106,14,FALSE)&gt;0,ISNUMBER('Replacement plan'!$C$100),OR(E379=120,ISNUMBER('Replacement plan'!$N$100)),ISNUMBER(E379))),"Missing vehicle input",IF(OR(E379&lt;0,E379&gt;VLOOKUP($A379,'Fleet register'!$A$7:$S$106,10,FALSE),E379&gt;120,E379&lt;&gt;INT(E379),VLOOKUP($A379,'Fleet register'!$A$7:$S$106,6,FALSE)&lt;=0,VLOOKUP($A379,'Fleet register'!$A$7:$S$106,6,FALSE)&gt;366,VLOOKUP($A379,'Fleet register'!$A$7:$S$106,5,FALSE)&lt;0,VLOOKUP($A379,'Fleet register'!$A$7:$S$106,11,FALSE)&lt;0,I379&lt;0,'Operating costs'!$B$8&lt;='Operating costs'!$B$7*'Operating costs'!$B$9,'Operating costs'!$B$11&lt;=0,'Operating costs'!$B$39&gt;R379,'Operating costs'!$B$40&gt;R379,'Operating costs'!$B$41&gt;R379,NOT(OR("Keep ICE"="Keep ICE","Keep ICE"="New ICE","Keep ICE"="EV"))),"Invalid vehicle input",IF(AND(D379="EV",E379&lt;120,OR(NOT(ISNUMBER(U379)),NOT(ISNUMBER(V379)),V379&lt;=0,T379&lt;0,T379&gt;1,'Replacement plan'!$L$100&lt;=0,'Operating costs'!$B$44&lt;0,'Operating costs'!$B$44&gt;=1,'Operating costs'!$B$47&lt;=0,'Operating costs'!$B$47&gt;1,V379*'Operating costs'!$B$47/(1-'Operating costs'!$B$44)&lt;=T379*'Operating costs'!$B$12*U379,AND('Replacement plan'!$Z$100&gt;0,OR('Replacement plan'!$AB$100&lt;&gt;"Yes",'Operating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charging'!$B$8&gt;=0))),ISNUMBER(VLOOKUP($A379,'Fleet register'!$A$7:$S$106,15,FALSE)),ISNUMBER(VLOOKUP($A379,'Fleet register'!$A$7:$S$106,16,FALSE)),ISNUMBER('Replacement plan'!$W$100),ISNUMBER('Replacement plan'!$X$100),OR(E379=120,AND(ISNUMBER(G379),G379&gt;=0)),ISNUMBER(H379),H379&gt;=0,OR(D379&lt;&gt;"EV",E379=120,AND(ISNUMBER('Operating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average",ISNUMBER(IFERROR(INDEX(Products!$P$7:$P$13,MATCH(AD379,Products!$A$7:$A$13,0)),"")))),ISNUMBER('Operating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plan'!$Y$100),ISNUMBER('Replacement plan'!$Z$100),'Replacement plan'!$Z$100&gt;=0,ISNUMBER('Replacement plan'!$AA$100),'Replacement plan'!$AA$100&gt;=0,'Replacement plan'!$AA$100=INT('Replacement plan'!$AA$100),ISNUMBER('Replacement plan'!$L$100))),'Operating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plan'!$AG$100="",'Operating costs'!$B$7,'Replacement plan'!$AG$100)),IF('Replacement plan'!$AG$100="",'Operating costs'!$B$7,'Replacement plan'!$AG$100)&gt;=0,ISNUMBER(IF('Replacement plan'!$AH$100="",'Operating costs'!$B$7,'Replacement plan'!$AH$100)),IF('Replacement plan'!$AH$100="",'Operating costs'!$B$7,'Replacement plan'!$AH$100)&gt;=0,'Operating costs'!$B$8&gt;MAX(IF('Replacement plan'!$AG$100="",'Operating costs'!$B$7,'Replacement plan'!$AG$100),IF('Replacement plan'!$AH$100="",'Operating costs'!$B$7,'Replacement plan'!$AH$100))*'Operating costs'!$B$9),IF(AND(VLOOKUP($A379,'Fleet register'!$A$7:$S$106,10,FALSE)&gt;=0,VLOOKUP($A379,'Fleet register'!$A$7:$S$106,10,FALSE)&lt;=120,VLOOKUP($A379,'Fleet register'!$A$7:$S$106,10,FALSE)=INT(VLOOKUP($A379,'Fleet register'!$A$7:$S$106,10,FALSE)),VLOOKUP($A379,'Fleet register'!$A$7:$S$106,15,FALSE)&gt;=0,VLOOKUP($A379,'Fleet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costs'!$B$67)&gt;=0,OR(D379&lt;&gt;"EV",E379=120,AND(MIN('Operating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79" s="1" t="str">
        <f>IF(C379=0,"Excluded",IF(P379&lt;&gt;"Complete",P379,IF(OR('Replacement plan'!$AD$100&lt;120-E379,AND(D379="EV",E379&lt;120,OR('Replacement plan'!$AC$100&lt;120-E379,'Replacement plan'!$I$100="No",AND(ISNUMBER(AF379),AE379&gt;AF379),AI379&gt;V379*(1-'Operating costs'!$B$46)^MAX(0,AB379-1)*(1-'Operating costs'!$B$45),AC379&gt;'Operating costs'!$B$18,AND(T379&lt;1,OR(AG379&lt;=0,AND(ISNUMBER(AH379),AG379&gt;AH379))),'Replacement plan'!$L$100&gt;INDEX(Products!$H$7:$H$13,MATCH('Replacement plan'!$B$100,Products!$A$7:$A$13,0))))),"Fails entered limits",IF(AND(D379="EV",E379&lt;120,OR(NOT(ISNUMBER(VLOOKUP($A379,'Fleet register'!$A$7:$S$106,7,FALSE))),NOT(ISNUMBER(VLOOKUP($A379,'Fleet register'!$A$7:$S$106,8,FALSE))),NOT(ISNUMBER(AF379)),'Replacement plan'!$I$100&lt;&gt;"Yes",NOT(ISNUMBER(AH379)),'Operating costs'!$B$59&lt;&gt;"Yes",'Operating costs'!$B$58&lt;&gt;"Yes")),"Unverified","Within entered limits"))))</f>
        <v>Excluded</v>
      </c>
      <c r="R379" s="1">
        <f>IF(C379=0,0,VLOOKUP($A379,'Fleet register'!$A$7:$S$106,6,FALSE))</f>
        <v>0</v>
      </c>
      <c r="S379" s="1">
        <f>IF(C379=0,0,VLOOKUP($A379,'Fleet register'!$A$7:$S$106,5,FALSE))</f>
        <v>0</v>
      </c>
      <c r="T379" s="1">
        <f>IF(D379="EV",'Energy and charging'!$B$12,0)</f>
        <v>0</v>
      </c>
      <c r="U379" s="1">
        <f>IFERROR(IF(C379=0,0,IF(D379="EV",IF('Replacement plan'!$F$100="",INDEX(Products!$E$7:$E$13,MATCH('Replacement plan'!$B$100,Products!$A$7:$A$13,0)),'Replacement plan'!$F$100)/IF('Replacement plan'!$G$100="Battery",1-'Operating costs'!$B$44,1),0)),"n.a.")</f>
        <v>0</v>
      </c>
      <c r="V379" s="1">
        <f>IFERROR(IF(C379=0,0,IF(D379="EV",IF('Replacement plan'!$E$100="",INDEX(Products!$D$7:$D$13,MATCH('Replacement plan'!$B$100,Products!$A$7:$A$13,0)),'Replacement plan'!$E$100),0)),"n.a.")</f>
        <v>0</v>
      </c>
      <c r="W379" s="1">
        <f>IF(C379=0,0,IF(AND(P379="Complete",D379="EV",E379&lt;120),IF(T379=0,0,ROUNDUP(T379*(R379-'Operating costs'!$B$41)*(S379*U379+'Operating costs'!$B$48/(1-'Operating costs'!$B$44))/(V379*'Operating costs'!$B$47/(1-'Operating costs'!$B$44)-T379*'Operating costs'!$B$12*U379),0)),0))</f>
        <v>0</v>
      </c>
      <c r="X379" s="1">
        <f>IF(C379=0,0,IF(AND(P379="Complete",D379="EV",E379&lt;120),(R379-'Operating costs'!$B$41)*(S379*U379+'Operating costs'!$B$48/(1-'Operating costs'!$B$44))+W379*'Operating costs'!$B$12*U379,0))</f>
        <v>0</v>
      </c>
      <c r="Y379" s="1">
        <f>IF(AND(C379=1,D379="EV",E379&lt;120),AI379/(1-'Operating costs'!$B$44)*(1-T379),0)</f>
        <v>0</v>
      </c>
      <c r="Z379" s="1">
        <f t="shared" si="10"/>
        <v>0</v>
      </c>
      <c r="AA379" s="1">
        <f>IF(C379=0,0,IF(P379="Complete",((S379*(R379-'Operating costs'!$B$40))+ROUNDUP(S379*(R379-'Operating costs'!$B$40)*IF('Replacement plan'!$AH$100="",'Operating costs'!$B$7,'Replacement plan'!$AH$100)/('Operating costs'!$B$8-'Operating costs'!$B$9*IF('Replacement plan'!$AH$100="",'Operating costs'!$B$7,'Replacement plan'!$AH$100)),0)*'Operating costs'!$B$9)*IF('Replacement plan'!$AH$100="",'Operating costs'!$B$7,'Replacement plan'!$AH$100),"n.a."))</f>
        <v>0</v>
      </c>
      <c r="AB379" s="1">
        <f t="shared" si="11"/>
        <v>0</v>
      </c>
      <c r="AC379" s="1">
        <f>IF(AND(C379=1,D379="EV",E379&lt;120,T379&gt;0),'Operating costs'!$B$12/'Operating costs'!$B$11*60+'Operating costs'!$B$13+'Operating costs'!$B$14+V379*'Operating costs'!$B$47/(1-'Operating costs'!$B$44)/'Replacement plan'!$L$100*60,0)</f>
        <v>0</v>
      </c>
      <c r="AD379" s="1" t="str">
        <f>'Replacement plan'!$B$100</f>
        <v>ChengLong L2EV</v>
      </c>
      <c r="AE379" s="1">
        <f>IF(C379=0,0,VLOOKUP($A379,'Fleet register'!$A$7:$S$106,8,FALSE))</f>
        <v>0</v>
      </c>
      <c r="AF379" s="1" t="str">
        <f>IF('Replacement plan'!$H$100="","n.a.",'Replacement plan'!$H$100)</f>
        <v>n.a.</v>
      </c>
      <c r="AG379" s="1">
        <f>'Replacement plan'!$J$100</f>
        <v>22</v>
      </c>
      <c r="AH379" s="1">
        <f>IFERROR(IF(D379="EV",IF('Replacement plan'!$K$100="AC",IF(ISNUMBER(INDEX(Products!$G$7:$G$13,MATCH('Replacement plan'!$B$100,Products!$A$7:$A$13,0))),INDEX(Products!$G$7:$G$13,MATCH('Replacement plan'!$B$100,Products!$A$7:$A$13,0)),"n.a."),IF(ISNUMBER(INDEX(Products!$H$7:$H$13,MATCH('Replacement plan'!$B$100,Products!$A$7:$A$13,0))),INDEX(Products!$H$7:$H$13,MATCH('Replacement plan'!$B$100,Products!$A$7:$A$13,0)),"n.a.")),0),"n.a.")</f>
        <v>0</v>
      </c>
      <c r="AI379" s="1">
        <f>IF(AND(C379=1,D379="EV",E379&lt;120),(VLOOKUP($A379,'Fleet register'!$A$7:$S$106,7,FALSE)+IF(T379&gt;0,'Operating costs'!$B$12,0))*U379*(1-'Operating costs'!$B$44)+'Operating costs'!$B$49,0)</f>
        <v>0</v>
      </c>
      <c r="AJ379" s="1">
        <f>IF(D379="EV",'Energy and charging'!$B$50,0)</f>
        <v>0</v>
      </c>
      <c r="AK379" s="17">
        <f>EDATE('Operating costs'!$B$63,E379)</f>
        <v>46298</v>
      </c>
      <c r="AL379" s="1">
        <f>IFERROR(IF(D379="EV",INDEX(Products!$B$7:$B$13,MATCH('Replacement plan'!$B$100,Products!$A$7:$A$13,0)),0),"n.a.")</f>
        <v>0</v>
      </c>
      <c r="AM379" s="1" t="str">
        <f>'Replacement plan'!$K$100</f>
        <v>DC</v>
      </c>
      <c r="AN379" s="1" t="str">
        <f>'Replacement plan'!$AE$100</f>
        <v>Assumed</v>
      </c>
      <c r="AO379" s="47">
        <f>IF(AND(C379=1,D379="EV",E379&lt;120),(R379-'Operating costs'!$B$41)*S379+W379*'Operating costs'!$B$12,0)</f>
        <v>0</v>
      </c>
      <c r="AP379" s="41">
        <f>IF(AND(C379=1,D379="EV",E379&lt;120),IF('Operating costs'!$B$68="Hong Seh 200k average",AO379*IFERROR(INDEX(Products!$P$7:$P$13,MATCH(AD379,Products!$A$7:$A$13,0)),"n.a."),'Operating costs'!$B$26),0)</f>
        <v>0</v>
      </c>
      <c r="AQ379" s="40" t="str">
        <f>IF(D379="EV",'Operating costs'!$B$68,"Not applicable")</f>
        <v>Not applicable</v>
      </c>
    </row>
    <row r="380" spans="1:43" ht="24" customHeight="1">
      <c r="A380" s="1" t="str">
        <f>'Replacement plan'!A100</f>
        <v>T094</v>
      </c>
      <c r="B380" s="1">
        <v>1</v>
      </c>
      <c r="C380" s="1">
        <f>IF(COUNTIFS('Fleet register'!$A$7:$A$106,$A380)=1,VLOOKUP($A380,'Fleet register'!$A$7:$S$106,2,FALSE),0)</f>
        <v>0</v>
      </c>
      <c r="D380" s="1" t="str">
        <f>IF("New ICE"="EV","EV","ICE")</f>
        <v>ICE</v>
      </c>
      <c r="E380" s="1">
        <f>IF(C380=0,0,0)</f>
        <v>0</v>
      </c>
      <c r="F380" s="16">
        <f>IF(C380=0,0,VLOOKUP($A380,'Fleet register'!$A$7:$S$106,11,FALSE))</f>
        <v>0</v>
      </c>
      <c r="G380" s="16">
        <f>IFERROR(IF(C380=0,0,IF(E380=120,0,IF(D380="ICE",'Replacement plan'!$C$100,IF('Replacement plan'!$D$100="",INDEX(Products!$I$7:$I$13,MATCH('Replacement plan'!$B$100,Products!$A$7:$A$13,0))+'Operating costs'!$B$57,'Replacement plan'!$D$100))*(1+'Operating costs'!$B$50)^(E380/12))),"n.a.")</f>
        <v>0</v>
      </c>
      <c r="H380" s="16">
        <f>IFERROR(IF(C380=0,0,IF(E380=0,F380,VLOOKUP($A380,'Fleet register'!$A$7:$S$106,12,FALSE)+VLOOKUP($A380,'Fleet register'!$A$7:$S$106,13,FALSE)*MAX(0,VLOOKUP($A380,'Fleet register'!$A$7:$S$106,10,FALSE)-E380)/VLOOKUP($A380,'Fleet register'!$A$7:$S$106,14,FALSE))),"n.a.")</f>
        <v>0</v>
      </c>
      <c r="I380" s="16">
        <f>IF(C380=0,0,IF(E380=120,0,IF('Replacement plan'!$AI$100="",'Operating costs'!$B$56,'Replacement plan'!$AI$100)))</f>
        <v>0</v>
      </c>
      <c r="J380" s="16">
        <f>IF(C380=0,0,IF(P380="Complete",((S380*(R380-'Operating costs'!$B$39))+ROUNDUP(S380*(R380-'Operating costs'!$B$39)*IF('Replacement plan'!$AG$100="",'Operating costs'!$B$7,'Replacement plan'!$AG$100)/('Operating costs'!$B$8-'Operating costs'!$B$9*IF('Replacement plan'!$AG$100="",'Operating costs'!$B$7,'Replacement plan'!$AG$100)),0)*'Operating costs'!$B$9)*IF('Replacement plan'!$AG$100="",'Operating costs'!$B$7,'Replacement plan'!$AG$100)*('Energy and charging'!$B$9*'Energy and charging'!$B$7+(1-'Energy and charging'!$B$9)*'Energy and charging'!$B$8)*'Operating costs'!$B$23,"n.a."))</f>
        <v>0</v>
      </c>
      <c r="K380" s="16">
        <f>IF(C380=0,0,IF(P380="Complete",SUM('Operating costs'!$B$24,'Operating costs'!$B$27,'Operating costs'!$B$29,'Operating costs'!$B$31,'Operating costs'!$B$33,'Operating costs'!$B$34,'Operating costs'!$B$37,'Replacement plan'!$W$100)+'Operating costs'!$B$39*'Operating costs'!$B$42+ROUNDUP(S380*(R380-'Operating costs'!$B$39)*IF('Replacement plan'!$AG$100="",'Operating costs'!$B$7,'Replacement plan'!$AG$100)/('Operating costs'!$B$8-'Operating costs'!$B$9*IF('Replacement plan'!$AG$100="",'Operating costs'!$B$7,'Replacement plan'!$AG$100)),0)*('Operating costs'!$B$9/'Operating costs'!$B$11+'Operating costs'!$B$10/60)*'Operating costs'!$B$19*'Operating costs'!$B$21,"n.a."))</f>
        <v>0</v>
      </c>
      <c r="L380" s="16">
        <f>IF(C380=0,0,IF(P380="Complete",IF(D380="EV",X380*((1-T380)*'Energy and charging'!$B$10+T380*'Energy and charging'!$B$11)*'Operating costs'!$B$22,AA380*('Energy and charging'!$B$9*'Energy and charging'!$B$7+(1-'Energy and charging'!$B$9)*'Energy and charging'!$B$8)*'Operating costs'!$B$23),"n.a."))</f>
        <v>0</v>
      </c>
      <c r="M380" s="37">
        <f>IF(C380=0,0,IF(P380="Complete",IF(D380="ICE",SUM('Operating costs'!$B$25,'Operating costs'!$B$27,'Operating costs'!$B$29,'Operating costs'!$B$31,'Operating costs'!$B$33,'Operating costs'!$B$35,'Operating costs'!$B$37,'Replacement plan'!$X$100)+'Operating costs'!$B$40*'Operating costs'!$B$42+ROUNDUP(S380*(R380-'Operating costs'!$B$40)*IF('Replacement plan'!$AH$100="",'Operating costs'!$B$7,'Replacement plan'!$AH$100)/('Operating costs'!$B$8-'Operating costs'!$B$9*IF('Replacement plan'!$AH$100="",'Operating costs'!$B$7,'Replacement plan'!$AH$100)),0)*('Operating costs'!$B$9/'Operating costs'!$B$11+'Operating costs'!$B$10/60)*'Operating costs'!$B$19*'Operating costs'!$B$21,SUM(AP380,'Operating costs'!$B$28,'Operating costs'!$B$30,'Operating costs'!$B$32,'Operating costs'!$B$33,'Operating costs'!$B$36,'Operating costs'!$B$38,'Replacement plan'!$Y$100)+'Operating costs'!$B$41*'Operating costs'!$B$43+W380*'Operating costs'!$B$15+(T380*X380/'Replacement plan'!$L$100+W380*('Operating costs'!$B$12/'Operating costs'!$B$11+('Operating costs'!$B$13+'Operating costs'!$B$14)/60)+(R380-'Operating costs'!$B$41)*(IF(T380&lt;1,'Operating costs'!$B$16,0)+'Operating costs'!$B$17)/60)*'Operating costs'!$B$19*'Operating costs'!$B$20),"n.a."))</f>
        <v>0</v>
      </c>
      <c r="N380" s="16">
        <f>IF(AND(C380=1,D380="EV",E380&lt;120,E380+'Replacement plan'!$AA$100&lt;=120),'Replacement plan'!$Z$100,0)</f>
        <v>0</v>
      </c>
      <c r="O380" s="1">
        <f>E380+'Replacement plan'!$AA$100</f>
        <v>0</v>
      </c>
      <c r="P380" s="35" t="str">
        <f>IFERROR(IF(C380=0,"Excluded",IF(OR(COUNTIFS('Fleet register'!$A$7:$A$106,A380)&lt;&gt;1,COUNTIFS('Replacement plan'!$A$7:$A$106,A380)&lt;&gt;1),"Duplicate/missing ID",IF(NOT(AND(ISNUMBER(VLOOKUP($A380,'Fleet register'!$A$7:$S$106,5,FALSE)),ISNUMBER(VLOOKUP($A380,'Fleet register'!$A$7:$S$106,6,FALSE)),ISNUMBER(VLOOKUP($A380,'Fleet register'!$A$7:$S$106,10,FALSE)),ISNUMBER(VLOOKUP($A380,'Fleet register'!$A$7:$S$106,11,FALSE)),ISNUMBER(VLOOKUP($A380,'Fleet register'!$A$7:$S$106,12,FALSE)),ISNUMBER(VLOOKUP($A380,'Fleet register'!$A$7:$S$106,13,FALSE)),ISNUMBER(VLOOKUP($A380,'Fleet register'!$A$7:$S$106,14,FALSE)),VLOOKUP($A380,'Fleet register'!$A$7:$S$106,14,FALSE)&gt;0,ISNUMBER('Replacement plan'!$C$100),OR(E380=120,OR(ISNUMBER('Replacement plan'!$AI$100),AND('Replacement plan'!$AI$100="",ISNUMBER('Operating costs'!$B$56)))),ISNUMBER(E380))),"Missing vehicle input",IF(OR(E380&lt;0,E380&gt;VLOOKUP($A380,'Fleet register'!$A$7:$S$106,10,FALSE),E380&gt;120,E380&lt;&gt;INT(E380),VLOOKUP($A380,'Fleet register'!$A$7:$S$106,6,FALSE)&lt;=0,VLOOKUP($A380,'Fleet register'!$A$7:$S$106,6,FALSE)&gt;366,VLOOKUP($A380,'Fleet register'!$A$7:$S$106,5,FALSE)&lt;0,VLOOKUP($A380,'Fleet register'!$A$7:$S$106,11,FALSE)&lt;0,I380&lt;0,'Operating costs'!$B$8&lt;='Operating costs'!$B$7*'Operating costs'!$B$9,'Operating costs'!$B$11&lt;=0,'Operating costs'!$B$39&gt;R380,'Operating costs'!$B$40&gt;R380,'Operating costs'!$B$41&gt;R380,NOT(OR("New ICE"="Keep ICE","New ICE"="New ICE","New ICE"="EV"))),"Invalid vehicle input",IF(AND(D380="EV",E380&lt;120,OR(NOT(ISNUMBER(U380)),NOT(ISNUMBER(V380)),V380&lt;=0,T380&lt;0,T380&gt;1,'Replacement plan'!$L$100&lt;=0,'Operating costs'!$B$44&lt;0,'Operating costs'!$B$44&gt;=1,'Operating costs'!$B$47&lt;=0,'Operating costs'!$B$47&gt;1,V380*'Operating costs'!$B$47/(1-'Operating costs'!$B$44)&lt;=T380*'Operating costs'!$B$12*U380,AND('Replacement plan'!$Z$100&gt;0,OR('Replacement plan'!$AB$100&lt;&gt;"Yes",'Operating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charging'!$B$8&gt;=0))),ISNUMBER(VLOOKUP($A380,'Fleet register'!$A$7:$S$106,15,FALSE)),ISNUMBER(VLOOKUP($A380,'Fleet register'!$A$7:$S$106,16,FALSE)),ISNUMBER('Replacement plan'!$W$100),ISNUMBER('Replacement plan'!$X$100),OR(E380=120,AND(ISNUMBER(G380),G380&gt;=0)),ISNUMBER(H380),H380&gt;=0,OR(D380&lt;&gt;"EV",E380=120,AND(ISNUMBER('Operating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average",ISNUMBER(IFERROR(INDEX(Products!$P$7:$P$13,MATCH(AD380,Products!$A$7:$A$13,0)),"")))),ISNUMBER('Operating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plan'!$Y$100),ISNUMBER('Replacement plan'!$Z$100),'Replacement plan'!$Z$100&gt;=0,ISNUMBER('Replacement plan'!$AA$100),'Replacement plan'!$AA$100&gt;=0,'Replacement plan'!$AA$100=INT('Replacement plan'!$AA$100),ISNUMBER('Replacement plan'!$L$100))),'Operating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plan'!$AG$100="",'Operating costs'!$B$7,'Replacement plan'!$AG$100)),IF('Replacement plan'!$AG$100="",'Operating costs'!$B$7,'Replacement plan'!$AG$100)&gt;=0,ISNUMBER(IF('Replacement plan'!$AH$100="",'Operating costs'!$B$7,'Replacement plan'!$AH$100)),IF('Replacement plan'!$AH$100="",'Operating costs'!$B$7,'Replacement plan'!$AH$100)&gt;=0,'Operating costs'!$B$8&gt;MAX(IF('Replacement plan'!$AG$100="",'Operating costs'!$B$7,'Replacement plan'!$AG$100),IF('Replacement plan'!$AH$100="",'Operating costs'!$B$7,'Replacement plan'!$AH$100))*'Operating costs'!$B$9),IF(AND(VLOOKUP($A380,'Fleet register'!$A$7:$S$106,10,FALSE)&gt;=0,VLOOKUP($A380,'Fleet register'!$A$7:$S$106,10,FALSE)&lt;=120,VLOOKUP($A380,'Fleet register'!$A$7:$S$106,10,FALSE)=INT(VLOOKUP($A380,'Fleet register'!$A$7:$S$106,10,FALSE)),VLOOKUP($A380,'Fleet register'!$A$7:$S$106,15,FALSE)&gt;=0,VLOOKUP($A380,'Fleet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costs'!$B$67)&gt;=0,OR(D380&lt;&gt;"EV",E380=120,AND(MIN('Operating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80" s="1" t="str">
        <f>IF(C380=0,"Excluded",IF(P380&lt;&gt;"Complete",P380,IF(OR('Replacement plan'!$AD$100&lt;120-E380,AND(D380="EV",E380&lt;120,OR('Replacement plan'!$AC$100&lt;120-E380,'Replacement plan'!$I$100="No",AND(ISNUMBER(AF380),AE380&gt;AF380),AI380&gt;V380*(1-'Operating costs'!$B$46)^MAX(0,AB380-1)*(1-'Operating costs'!$B$45),AC380&gt;'Operating costs'!$B$18,AND(T380&lt;1,OR(AG380&lt;=0,AND(ISNUMBER(AH380),AG380&gt;AH380))),'Replacement plan'!$L$100&gt;INDEX(Products!$H$7:$H$13,MATCH('Replacement plan'!$B$100,Products!$A$7:$A$13,0))))),"Fails entered limits",IF(AND(D380="EV",E380&lt;120,OR(NOT(ISNUMBER(VLOOKUP($A380,'Fleet register'!$A$7:$S$106,7,FALSE))),NOT(ISNUMBER(VLOOKUP($A380,'Fleet register'!$A$7:$S$106,8,FALSE))),NOT(ISNUMBER(AF380)),'Replacement plan'!$I$100&lt;&gt;"Yes",NOT(ISNUMBER(AH380)),'Operating costs'!$B$59&lt;&gt;"Yes",'Operating costs'!$B$58&lt;&gt;"Yes")),"Unverified","Within entered limits"))))</f>
        <v>Excluded</v>
      </c>
      <c r="R380" s="1">
        <f>IF(C380=0,0,VLOOKUP($A380,'Fleet register'!$A$7:$S$106,6,FALSE))</f>
        <v>0</v>
      </c>
      <c r="S380" s="1">
        <f>IF(C380=0,0,VLOOKUP($A380,'Fleet register'!$A$7:$S$106,5,FALSE))</f>
        <v>0</v>
      </c>
      <c r="T380" s="1">
        <f>IF(D380="EV",'Energy and charging'!$B$12,0)</f>
        <v>0</v>
      </c>
      <c r="U380" s="1">
        <f>IFERROR(IF(C380=0,0,IF(D380="EV",IF('Replacement plan'!$F$100="",INDEX(Products!$E$7:$E$13,MATCH('Replacement plan'!$B$100,Products!$A$7:$A$13,0)),'Replacement plan'!$F$100)/IF('Replacement plan'!$G$100="Battery",1-'Operating costs'!$B$44,1),0)),"n.a.")</f>
        <v>0</v>
      </c>
      <c r="V380" s="1">
        <f>IFERROR(IF(C380=0,0,IF(D380="EV",IF('Replacement plan'!$E$100="",INDEX(Products!$D$7:$D$13,MATCH('Replacement plan'!$B$100,Products!$A$7:$A$13,0)),'Replacement plan'!$E$100),0)),"n.a.")</f>
        <v>0</v>
      </c>
      <c r="W380" s="1">
        <f>IF(C380=0,0,IF(AND(P380="Complete",D380="EV",E380&lt;120),IF(T380=0,0,ROUNDUP(T380*(R380-'Operating costs'!$B$41)*(S380*U380+'Operating costs'!$B$48/(1-'Operating costs'!$B$44))/(V380*'Operating costs'!$B$47/(1-'Operating costs'!$B$44)-T380*'Operating costs'!$B$12*U380),0)),0))</f>
        <v>0</v>
      </c>
      <c r="X380" s="1">
        <f>IF(C380=0,0,IF(AND(P380="Complete",D380="EV",E380&lt;120),(R380-'Operating costs'!$B$41)*(S380*U380+'Operating costs'!$B$48/(1-'Operating costs'!$B$44))+W380*'Operating costs'!$B$12*U380,0))</f>
        <v>0</v>
      </c>
      <c r="Y380" s="1">
        <f>IF(AND(C380=1,D380="EV",E380&lt;120),AI380/(1-'Operating costs'!$B$44)*(1-T380),0)</f>
        <v>0</v>
      </c>
      <c r="Z380" s="1">
        <f t="shared" si="10"/>
        <v>0</v>
      </c>
      <c r="AA380" s="1">
        <f>IF(C380=0,0,IF(P380="Complete",((S380*(R380-'Operating costs'!$B$40))+ROUNDUP(S380*(R380-'Operating costs'!$B$40)*IF('Replacement plan'!$AH$100="",'Operating costs'!$B$7,'Replacement plan'!$AH$100)/('Operating costs'!$B$8-'Operating costs'!$B$9*IF('Replacement plan'!$AH$100="",'Operating costs'!$B$7,'Replacement plan'!$AH$100)),0)*'Operating costs'!$B$9)*IF('Replacement plan'!$AH$100="",'Operating costs'!$B$7,'Replacement plan'!$AH$100),"n.a."))</f>
        <v>0</v>
      </c>
      <c r="AB380" s="1">
        <f t="shared" si="11"/>
        <v>0</v>
      </c>
      <c r="AC380" s="1">
        <f>IF(AND(C380=1,D380="EV",E380&lt;120,T380&gt;0),'Operating costs'!$B$12/'Operating costs'!$B$11*60+'Operating costs'!$B$13+'Operating costs'!$B$14+V380*'Operating costs'!$B$47/(1-'Operating costs'!$B$44)/'Replacement plan'!$L$100*60,0)</f>
        <v>0</v>
      </c>
      <c r="AD380" s="1" t="str">
        <f>'Replacement plan'!$B$100</f>
        <v>ChengLong L2EV</v>
      </c>
      <c r="AE380" s="1">
        <f>IF(C380=0,0,VLOOKUP($A380,'Fleet register'!$A$7:$S$106,8,FALSE))</f>
        <v>0</v>
      </c>
      <c r="AF380" s="1" t="str">
        <f>IF('Replacement plan'!$H$100="","n.a.",'Replacement plan'!$H$100)</f>
        <v>n.a.</v>
      </c>
      <c r="AG380" s="1">
        <f>'Replacement plan'!$J$100</f>
        <v>22</v>
      </c>
      <c r="AH380" s="1">
        <f>IFERROR(IF(D380="EV",IF('Replacement plan'!$K$100="AC",IF(ISNUMBER(INDEX(Products!$G$7:$G$13,MATCH('Replacement plan'!$B$100,Products!$A$7:$A$13,0))),INDEX(Products!$G$7:$G$13,MATCH('Replacement plan'!$B$100,Products!$A$7:$A$13,0)),"n.a."),IF(ISNUMBER(INDEX(Products!$H$7:$H$13,MATCH('Replacement plan'!$B$100,Products!$A$7:$A$13,0))),INDEX(Products!$H$7:$H$13,MATCH('Replacement plan'!$B$100,Products!$A$7:$A$13,0)),"n.a.")),0),"n.a.")</f>
        <v>0</v>
      </c>
      <c r="AI380" s="1">
        <f>IF(AND(C380=1,D380="EV",E380&lt;120),(VLOOKUP($A380,'Fleet register'!$A$7:$S$106,7,FALSE)+IF(T380&gt;0,'Operating costs'!$B$12,0))*U380*(1-'Operating costs'!$B$44)+'Operating costs'!$B$49,0)</f>
        <v>0</v>
      </c>
      <c r="AJ380" s="1">
        <f>IF(D380="EV",'Energy and charging'!$B$50,0)</f>
        <v>0</v>
      </c>
      <c r="AK380" s="17">
        <f>EDATE('Operating costs'!$B$63,E380)</f>
        <v>46298</v>
      </c>
      <c r="AL380" s="1">
        <f>IFERROR(IF(D380="EV",INDEX(Products!$B$7:$B$13,MATCH('Replacement plan'!$B$100,Products!$A$7:$A$13,0)),0),"n.a.")</f>
        <v>0</v>
      </c>
      <c r="AM380" s="1" t="str">
        <f>'Replacement plan'!$K$100</f>
        <v>DC</v>
      </c>
      <c r="AN380" s="1" t="str">
        <f>'Replacement plan'!$AE$100</f>
        <v>Assumed</v>
      </c>
      <c r="AO380" s="47">
        <f>IF(AND(C380=1,D380="EV",E380&lt;120),(R380-'Operating costs'!$B$41)*S380+W380*'Operating costs'!$B$12,0)</f>
        <v>0</v>
      </c>
      <c r="AP380" s="41">
        <f>IF(AND(C380=1,D380="EV",E380&lt;120),IF('Operating costs'!$B$68="Hong Seh 200k average",AO380*IFERROR(INDEX(Products!$P$7:$P$13,MATCH(AD380,Products!$A$7:$A$13,0)),"n.a."),'Operating costs'!$B$26),0)</f>
        <v>0</v>
      </c>
      <c r="AQ380" s="40" t="str">
        <f>IF(D380="EV",'Operating costs'!$B$68,"Not applicable")</f>
        <v>Not applicable</v>
      </c>
    </row>
    <row r="381" spans="1:43" ht="24" customHeight="1">
      <c r="A381" s="1" t="str">
        <f>'Replacement plan'!A100</f>
        <v>T094</v>
      </c>
      <c r="B381" s="1">
        <v>2</v>
      </c>
      <c r="C381" s="1">
        <f>IF(COUNTIFS('Fleet register'!$A$7:$A$106,$A381)=1,VLOOKUP($A381,'Fleet register'!$A$7:$S$106,2,FALSE),0)</f>
        <v>0</v>
      </c>
      <c r="D381" s="1" t="str">
        <f>IF('Replacement plan'!$O$100="EV","EV","ICE")</f>
        <v>ICE</v>
      </c>
      <c r="E381" s="1">
        <f>IF(C381=0,0,IF('Replacement plan'!$P$100="",IF('Replacement plan'!$O$100="Keep ICE",IF('Replacement plan'!$M$100="",VLOOKUP($A381,'Fleet register'!$A$7:$S$106,10,FALSE),'Replacement plan'!$M$100),0),'Replacement plan'!$P$100))</f>
        <v>0</v>
      </c>
      <c r="F381" s="16">
        <f>IF(C381=0,0,VLOOKUP($A381,'Fleet register'!$A$7:$S$106,11,FALSE))</f>
        <v>0</v>
      </c>
      <c r="G381" s="16">
        <f>IFERROR(IF(C381=0,0,IF(E381=120,0,IF(D381="ICE",'Replacement plan'!$C$100,IF('Replacement plan'!$D$100="",INDEX(Products!$I$7:$I$13,MATCH('Replacement plan'!$B$100,Products!$A$7:$A$13,0))+'Operating costs'!$B$57,'Replacement plan'!$D$100))*(1+'Operating costs'!$B$50)^(E381/12))),"n.a.")</f>
        <v>0</v>
      </c>
      <c r="H381" s="16">
        <f>IFERROR(IF(C381=0,0,IF('Replacement plan'!$U$100&lt;&gt;"",'Replacement plan'!$U$100,IF(E381=0,F381,VLOOKUP($A381,'Fleet register'!$A$7:$S$106,12,FALSE)+VLOOKUP($A381,'Fleet register'!$A$7:$S$106,13,FALSE)*MAX(0,VLOOKUP($A381,'Fleet register'!$A$7:$S$106,10,FALSE)-E381)/VLOOKUP($A381,'Fleet register'!$A$7:$S$106,14,FALSE)))),"n.a.")</f>
        <v>0</v>
      </c>
      <c r="I381" s="16">
        <f>IF(C381=0,0,IF(E381=120,0,'Replacement plan'!$Q$100))</f>
        <v>0</v>
      </c>
      <c r="J381" s="16">
        <f>IF(C381=0,0,IF(P381="Complete",((S381*(R381-'Operating costs'!$B$39))+ROUNDUP(S381*(R381-'Operating costs'!$B$39)*IF('Replacement plan'!$AG$100="",'Operating costs'!$B$7,'Replacement plan'!$AG$100)/('Operating costs'!$B$8-'Operating costs'!$B$9*IF('Replacement plan'!$AG$100="",'Operating costs'!$B$7,'Replacement plan'!$AG$100)),0)*'Operating costs'!$B$9)*IF('Replacement plan'!$AG$100="",'Operating costs'!$B$7,'Replacement plan'!$AG$100)*('Energy and charging'!$B$9*'Energy and charging'!$B$7+(1-'Energy and charging'!$B$9)*'Energy and charging'!$B$8)*'Operating costs'!$B$23,"n.a."))</f>
        <v>0</v>
      </c>
      <c r="K381" s="16">
        <f>IF(C381=0,0,IF(P381="Complete",SUM('Operating costs'!$B$24,'Operating costs'!$B$27,'Operating costs'!$B$29,'Operating costs'!$B$31,'Operating costs'!$B$33,'Operating costs'!$B$34,'Operating costs'!$B$37,'Replacement plan'!$W$100)+'Operating costs'!$B$39*'Operating costs'!$B$42+ROUNDUP(S381*(R381-'Operating costs'!$B$39)*IF('Replacement plan'!$AG$100="",'Operating costs'!$B$7,'Replacement plan'!$AG$100)/('Operating costs'!$B$8-'Operating costs'!$B$9*IF('Replacement plan'!$AG$100="",'Operating costs'!$B$7,'Replacement plan'!$AG$100)),0)*('Operating costs'!$B$9/'Operating costs'!$B$11+'Operating costs'!$B$10/60)*'Operating costs'!$B$19*'Operating costs'!$B$21,"n.a."))</f>
        <v>0</v>
      </c>
      <c r="L381" s="16">
        <f>IF(C381=0,0,IF(P381="Complete",IF(D381="EV",X381*((1-T381)*'Energy and charging'!$B$10+T381*'Energy and charging'!$B$11)*'Operating costs'!$B$22,AA381*('Energy and charging'!$B$9*'Energy and charging'!$B$7+(1-'Energy and charging'!$B$9)*'Energy and charging'!$B$8)*'Operating costs'!$B$23),"n.a."))</f>
        <v>0</v>
      </c>
      <c r="M381" s="37">
        <f>IF(C381=0,0,IF(P381="Complete",IF(D381="ICE",SUM('Operating costs'!$B$25,'Operating costs'!$B$27,'Operating costs'!$B$29,'Operating costs'!$B$31,'Operating costs'!$B$33,'Operating costs'!$B$35,'Operating costs'!$B$37,'Replacement plan'!$X$100)+'Operating costs'!$B$40*'Operating costs'!$B$42+ROUNDUP(S381*(R381-'Operating costs'!$B$40)*IF('Replacement plan'!$AH$100="",'Operating costs'!$B$7,'Replacement plan'!$AH$100)/('Operating costs'!$B$8-'Operating costs'!$B$9*IF('Replacement plan'!$AH$100="",'Operating costs'!$B$7,'Replacement plan'!$AH$100)),0)*('Operating costs'!$B$9/'Operating costs'!$B$11+'Operating costs'!$B$10/60)*'Operating costs'!$B$19*'Operating costs'!$B$21,SUM(AP381,'Operating costs'!$B$28,'Operating costs'!$B$30,'Operating costs'!$B$32,'Operating costs'!$B$33,'Operating costs'!$B$36,'Operating costs'!$B$38,'Replacement plan'!$Y$100)+'Operating costs'!$B$41*'Operating costs'!$B$43+W381*'Operating costs'!$B$15+(T381*X381/'Replacement plan'!$L$100+W381*('Operating costs'!$B$12/'Operating costs'!$B$11+('Operating costs'!$B$13+'Operating costs'!$B$14)/60)+(R381-'Operating costs'!$B$41)*(IF(T381&lt;1,'Operating costs'!$B$16,0)+'Operating costs'!$B$17)/60)*'Operating costs'!$B$19*'Operating costs'!$B$20),"n.a."))</f>
        <v>0</v>
      </c>
      <c r="N381" s="16">
        <f>IF(AND(C381=1,D381="EV",E381&lt;120,E381+'Replacement plan'!$AA$100&lt;=120),'Replacement plan'!$Z$100,0)</f>
        <v>0</v>
      </c>
      <c r="O381" s="1">
        <f>E381+'Replacement plan'!$AA$100</f>
        <v>0</v>
      </c>
      <c r="P381" s="35" t="str">
        <f>IFERROR(IF(C381=0,"Excluded",IF(OR(COUNTIFS('Fleet register'!$A$7:$A$106,A381)&lt;&gt;1,COUNTIFS('Replacement plan'!$A$7:$A$106,A381)&lt;&gt;1),"Duplicate/missing ID",IF(NOT(AND(ISNUMBER(VLOOKUP($A381,'Fleet register'!$A$7:$S$106,5,FALSE)),ISNUMBER(VLOOKUP($A381,'Fleet register'!$A$7:$S$106,6,FALSE)),ISNUMBER(VLOOKUP($A381,'Fleet register'!$A$7:$S$106,10,FALSE)),ISNUMBER(VLOOKUP($A381,'Fleet register'!$A$7:$S$106,11,FALSE)),ISNUMBER(VLOOKUP($A381,'Fleet register'!$A$7:$S$106,12,FALSE)),ISNUMBER(VLOOKUP($A381,'Fleet register'!$A$7:$S$106,13,FALSE)),ISNUMBER(VLOOKUP($A381,'Fleet register'!$A$7:$S$106,14,FALSE)),VLOOKUP($A381,'Fleet register'!$A$7:$S$106,14,FALSE)&gt;0,ISNUMBER('Replacement plan'!$C$100),OR(E381=120,ISNUMBER('Replacement plan'!$Q$100)),ISNUMBER(E381))),"Missing vehicle input",IF(OR(E381&lt;0,E381&gt;VLOOKUP($A381,'Fleet register'!$A$7:$S$106,10,FALSE),E381&gt;120,E381&lt;&gt;INT(E381),VLOOKUP($A381,'Fleet register'!$A$7:$S$106,6,FALSE)&lt;=0,VLOOKUP($A381,'Fleet register'!$A$7:$S$106,6,FALSE)&gt;366,VLOOKUP($A381,'Fleet register'!$A$7:$S$106,5,FALSE)&lt;0,VLOOKUP($A381,'Fleet register'!$A$7:$S$106,11,FALSE)&lt;0,I381&lt;0,'Operating costs'!$B$8&lt;='Operating costs'!$B$7*'Operating costs'!$B$9,'Operating costs'!$B$11&lt;=0,'Operating costs'!$B$39&gt;R381,'Operating costs'!$B$40&gt;R381,'Operating costs'!$B$41&gt;R381,NOT(OR('Replacement plan'!$O$100="Keep ICE",'Replacement plan'!$O$100="New ICE",'Replacement plan'!$O$100="EV"))),"Invalid vehicle input",IF(AND(D381="EV",E381&lt;120,OR(NOT(ISNUMBER(U381)),NOT(ISNUMBER(V381)),V381&lt;=0,T381&lt;0,T381&gt;1,'Replacement plan'!$L$100&lt;=0,'Operating costs'!$B$44&lt;0,'Operating costs'!$B$44&gt;=1,'Operating costs'!$B$47&lt;=0,'Operating costs'!$B$47&gt;1,V381*'Operating costs'!$B$47/(1-'Operating costs'!$B$44)&lt;=T381*'Operating costs'!$B$12*U381,AND('Replacement plan'!$Z$100&gt;0,OR('Replacement plan'!$AB$100&lt;&gt;"Yes",'Operating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charging'!$B$8&gt;=0))),ISNUMBER(VLOOKUP($A381,'Fleet register'!$A$7:$S$106,15,FALSE)),ISNUMBER(VLOOKUP($A381,'Fleet register'!$A$7:$S$106,16,FALSE)),ISNUMBER('Replacement plan'!$W$100),ISNUMBER('Replacement plan'!$X$100),OR(E381=120,AND(ISNUMBER(G381),G381&gt;=0)),ISNUMBER(H381),H381&gt;=0,OR(D381&lt;&gt;"EV",E381=120,AND(ISNUMBER('Operating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average",ISNUMBER(IFERROR(INDEX(Products!$P$7:$P$13,MATCH(AD381,Products!$A$7:$A$13,0)),"")))),ISNUMBER('Operating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plan'!$Y$100),ISNUMBER('Replacement plan'!$Z$100),'Replacement plan'!$Z$100&gt;=0,ISNUMBER('Replacement plan'!$AA$100),'Replacement plan'!$AA$100&gt;=0,'Replacement plan'!$AA$100=INT('Replacement plan'!$AA$100),ISNUMBER('Replacement plan'!$L$100))),'Operating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plan'!$AG$100="",'Operating costs'!$B$7,'Replacement plan'!$AG$100)),IF('Replacement plan'!$AG$100="",'Operating costs'!$B$7,'Replacement plan'!$AG$100)&gt;=0,ISNUMBER(IF('Replacement plan'!$AH$100="",'Operating costs'!$B$7,'Replacement plan'!$AH$100)),IF('Replacement plan'!$AH$100="",'Operating costs'!$B$7,'Replacement plan'!$AH$100)&gt;=0,'Operating costs'!$B$8&gt;MAX(IF('Replacement plan'!$AG$100="",'Operating costs'!$B$7,'Replacement plan'!$AG$100),IF('Replacement plan'!$AH$100="",'Operating costs'!$B$7,'Replacement plan'!$AH$100))*'Operating costs'!$B$9),IF(AND(VLOOKUP($A381,'Fleet register'!$A$7:$S$106,10,FALSE)&gt;=0,VLOOKUP($A381,'Fleet register'!$A$7:$S$106,10,FALSE)&lt;=120,VLOOKUP($A381,'Fleet register'!$A$7:$S$106,10,FALSE)=INT(VLOOKUP($A381,'Fleet register'!$A$7:$S$106,10,FALSE)),VLOOKUP($A381,'Fleet register'!$A$7:$S$106,15,FALSE)&gt;=0,VLOOKUP($A381,'Fleet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costs'!$B$67)&gt;=0,OR(D381&lt;&gt;"EV",E381=120,AND(MIN('Operating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81" s="1" t="str">
        <f>IF(C381=0,"Excluded",IF(P381&lt;&gt;"Complete",P381,IF(OR('Replacement plan'!$AD$100&lt;120-E381,AND(D381="EV",E381&lt;120,OR('Replacement plan'!$AC$100&lt;120-E381,'Replacement plan'!$I$100="No",AND(ISNUMBER(AF381),AE381&gt;AF381),AI381&gt;V381*(1-'Operating costs'!$B$46)^MAX(0,AB381-1)*(1-'Operating costs'!$B$45),AC381&gt;'Operating costs'!$B$18,AND(T381&lt;1,OR(AG381&lt;=0,AND(ISNUMBER(AH381),AG381&gt;AH381))),'Replacement plan'!$L$100&gt;INDEX(Products!$H$7:$H$13,MATCH('Replacement plan'!$B$100,Products!$A$7:$A$13,0))))),"Fails entered limits",IF(AND(D381="EV",E381&lt;120,OR(NOT(ISNUMBER(VLOOKUP($A381,'Fleet register'!$A$7:$S$106,7,FALSE))),NOT(ISNUMBER(VLOOKUP($A381,'Fleet register'!$A$7:$S$106,8,FALSE))),NOT(ISNUMBER(AF381)),'Replacement plan'!$I$100&lt;&gt;"Yes",NOT(ISNUMBER(AH381)),'Operating costs'!$B$59&lt;&gt;"Yes",'Operating costs'!$B$58&lt;&gt;"Yes")),"Unverified","Within entered limits"))))</f>
        <v>Excluded</v>
      </c>
      <c r="R381" s="1">
        <f>IF(C381=0,0,VLOOKUP($A381,'Fleet register'!$A$7:$S$106,6,FALSE))</f>
        <v>0</v>
      </c>
      <c r="S381" s="1">
        <f>IF(C381=0,0,VLOOKUP($A381,'Fleet register'!$A$7:$S$106,5,FALSE))</f>
        <v>0</v>
      </c>
      <c r="T381" s="1">
        <f>IF(D381="EV",'Energy and charging'!$B$12,0)</f>
        <v>0</v>
      </c>
      <c r="U381" s="1">
        <f>IFERROR(IF(C381=0,0,IF(D381="EV",IF('Replacement plan'!$F$100="",INDEX(Products!$E$7:$E$13,MATCH('Replacement plan'!$B$100,Products!$A$7:$A$13,0)),'Replacement plan'!$F$100)/IF('Replacement plan'!$G$100="Battery",1-'Operating costs'!$B$44,1),0)),"n.a.")</f>
        <v>0</v>
      </c>
      <c r="V381" s="1">
        <f>IFERROR(IF(C381=0,0,IF(D381="EV",IF('Replacement plan'!$E$100="",INDEX(Products!$D$7:$D$13,MATCH('Replacement plan'!$B$100,Products!$A$7:$A$13,0)),'Replacement plan'!$E$100),0)),"n.a.")</f>
        <v>0</v>
      </c>
      <c r="W381" s="1">
        <f>IF(C381=0,0,IF(AND(P381="Complete",D381="EV",E381&lt;120),IF(T381=0,0,ROUNDUP(T381*(R381-'Operating costs'!$B$41)*(S381*U381+'Operating costs'!$B$48/(1-'Operating costs'!$B$44))/(V381*'Operating costs'!$B$47/(1-'Operating costs'!$B$44)-T381*'Operating costs'!$B$12*U381),0)),0))</f>
        <v>0</v>
      </c>
      <c r="X381" s="1">
        <f>IF(C381=0,0,IF(AND(P381="Complete",D381="EV",E381&lt;120),(R381-'Operating costs'!$B$41)*(S381*U381+'Operating costs'!$B$48/(1-'Operating costs'!$B$44))+W381*'Operating costs'!$B$12*U381,0))</f>
        <v>0</v>
      </c>
      <c r="Y381" s="1">
        <f>IF(AND(C381=1,D381="EV",E381&lt;120),AI381/(1-'Operating costs'!$B$44)*(1-T381),0)</f>
        <v>0</v>
      </c>
      <c r="Z381" s="1">
        <f t="shared" si="10"/>
        <v>0</v>
      </c>
      <c r="AA381" s="1">
        <f>IF(C381=0,0,IF(P381="Complete",((S381*(R381-'Operating costs'!$B$40))+ROUNDUP(S381*(R381-'Operating costs'!$B$40)*IF('Replacement plan'!$AH$100="",'Operating costs'!$B$7,'Replacement plan'!$AH$100)/('Operating costs'!$B$8-'Operating costs'!$B$9*IF('Replacement plan'!$AH$100="",'Operating costs'!$B$7,'Replacement plan'!$AH$100)),0)*'Operating costs'!$B$9)*IF('Replacement plan'!$AH$100="",'Operating costs'!$B$7,'Replacement plan'!$AH$100),"n.a."))</f>
        <v>0</v>
      </c>
      <c r="AB381" s="1">
        <f t="shared" si="11"/>
        <v>0</v>
      </c>
      <c r="AC381" s="1">
        <f>IF(AND(C381=1,D381="EV",E381&lt;120,T381&gt;0),'Operating costs'!$B$12/'Operating costs'!$B$11*60+'Operating costs'!$B$13+'Operating costs'!$B$14+V381*'Operating costs'!$B$47/(1-'Operating costs'!$B$44)/'Replacement plan'!$L$100*60,0)</f>
        <v>0</v>
      </c>
      <c r="AD381" s="1" t="str">
        <f>'Replacement plan'!$B$100</f>
        <v>ChengLong L2EV</v>
      </c>
      <c r="AE381" s="1">
        <f>IF(C381=0,0,VLOOKUP($A381,'Fleet register'!$A$7:$S$106,8,FALSE))</f>
        <v>0</v>
      </c>
      <c r="AF381" s="1" t="str">
        <f>IF('Replacement plan'!$H$100="","n.a.",'Replacement plan'!$H$100)</f>
        <v>n.a.</v>
      </c>
      <c r="AG381" s="1">
        <f>'Replacement plan'!$J$100</f>
        <v>22</v>
      </c>
      <c r="AH381" s="1">
        <f>IFERROR(IF(D381="EV",IF('Replacement plan'!$K$100="AC",IF(ISNUMBER(INDEX(Products!$G$7:$G$13,MATCH('Replacement plan'!$B$100,Products!$A$7:$A$13,0))),INDEX(Products!$G$7:$G$13,MATCH('Replacement plan'!$B$100,Products!$A$7:$A$13,0)),"n.a."),IF(ISNUMBER(INDEX(Products!$H$7:$H$13,MATCH('Replacement plan'!$B$100,Products!$A$7:$A$13,0))),INDEX(Products!$H$7:$H$13,MATCH('Replacement plan'!$B$100,Products!$A$7:$A$13,0)),"n.a.")),0),"n.a.")</f>
        <v>0</v>
      </c>
      <c r="AI381" s="1">
        <f>IF(AND(C381=1,D381="EV",E381&lt;120),(VLOOKUP($A381,'Fleet register'!$A$7:$S$106,7,FALSE)+IF(T381&gt;0,'Operating costs'!$B$12,0))*U381*(1-'Operating costs'!$B$44)+'Operating costs'!$B$49,0)</f>
        <v>0</v>
      </c>
      <c r="AJ381" s="1">
        <f>IF(D381="EV",'Energy and charging'!$B$50,0)</f>
        <v>0</v>
      </c>
      <c r="AK381" s="17">
        <f>EDATE('Operating costs'!$B$63,E381)</f>
        <v>46298</v>
      </c>
      <c r="AL381" s="1">
        <f>IFERROR(IF(D381="EV",INDEX(Products!$B$7:$B$13,MATCH('Replacement plan'!$B$100,Products!$A$7:$A$13,0)),0),"n.a.")</f>
        <v>0</v>
      </c>
      <c r="AM381" s="1" t="str">
        <f>'Replacement plan'!$K$100</f>
        <v>DC</v>
      </c>
      <c r="AN381" s="1" t="str">
        <f>'Replacement plan'!$AE$100</f>
        <v>Assumed</v>
      </c>
      <c r="AO381" s="47">
        <f>IF(AND(C381=1,D381="EV",E381&lt;120),(R381-'Operating costs'!$B$41)*S381+W381*'Operating costs'!$B$12,0)</f>
        <v>0</v>
      </c>
      <c r="AP381" s="41">
        <f>IF(AND(C381=1,D381="EV",E381&lt;120),IF('Operating costs'!$B$68="Hong Seh 200k average",AO381*IFERROR(INDEX(Products!$P$7:$P$13,MATCH(AD381,Products!$A$7:$A$13,0)),"n.a."),'Operating costs'!$B$26),0)</f>
        <v>0</v>
      </c>
      <c r="AQ381" s="40" t="str">
        <f>IF(D381="EV",'Operating costs'!$B$68,"Not applicable")</f>
        <v>Not applicable</v>
      </c>
    </row>
    <row r="382" spans="1:43" ht="24" customHeight="1">
      <c r="A382" s="1" t="str">
        <f>'Replacement plan'!A100</f>
        <v>T094</v>
      </c>
      <c r="B382" s="1">
        <v>3</v>
      </c>
      <c r="C382" s="1">
        <f>IF(COUNTIFS('Fleet register'!$A$7:$A$106,$A382)=1,VLOOKUP($A382,'Fleet register'!$A$7:$S$106,2,FALSE),0)</f>
        <v>0</v>
      </c>
      <c r="D382" s="1" t="str">
        <f>IF('Replacement plan'!$R$100="EV","EV","ICE")</f>
        <v>ICE</v>
      </c>
      <c r="E382" s="1">
        <f>IF(C382=0,0,IF('Replacement plan'!$S$100="",IF('Replacement plan'!$R$100="Keep ICE",IF('Replacement plan'!$M$100="",VLOOKUP($A382,'Fleet register'!$A$7:$S$106,10,FALSE),'Replacement plan'!$M$100),0),'Replacement plan'!$S$100))</f>
        <v>0</v>
      </c>
      <c r="F382" s="16">
        <f>IF(C382=0,0,VLOOKUP($A382,'Fleet register'!$A$7:$S$106,11,FALSE))</f>
        <v>0</v>
      </c>
      <c r="G382" s="16">
        <f>IFERROR(IF(C382=0,0,IF(E382=120,0,IF(D382="ICE",'Replacement plan'!$C$100,IF('Replacement plan'!$D$100="",INDEX(Products!$I$7:$I$13,MATCH('Replacement plan'!$B$100,Products!$A$7:$A$13,0))+'Operating costs'!$B$57,'Replacement plan'!$D$100))*(1+'Operating costs'!$B$50)^(E382/12))),"n.a.")</f>
        <v>0</v>
      </c>
      <c r="H382" s="16">
        <f>IFERROR(IF(C382=0,0,IF('Replacement plan'!$V$100&lt;&gt;"",'Replacement plan'!$V$100,IF(E382=0,F382,VLOOKUP($A382,'Fleet register'!$A$7:$S$106,12,FALSE)+VLOOKUP($A382,'Fleet register'!$A$7:$S$106,13,FALSE)*MAX(0,VLOOKUP($A382,'Fleet register'!$A$7:$S$106,10,FALSE)-E382)/VLOOKUP($A382,'Fleet register'!$A$7:$S$106,14,FALSE)))),"n.a.")</f>
        <v>0</v>
      </c>
      <c r="I382" s="16">
        <f>IF(C382=0,0,IF(E382=120,0,'Replacement plan'!$T$100))</f>
        <v>0</v>
      </c>
      <c r="J382" s="16">
        <f>IF(C382=0,0,IF(P382="Complete",((S382*(R382-'Operating costs'!$B$39))+ROUNDUP(S382*(R382-'Operating costs'!$B$39)*IF('Replacement plan'!$AG$100="",'Operating costs'!$B$7,'Replacement plan'!$AG$100)/('Operating costs'!$B$8-'Operating costs'!$B$9*IF('Replacement plan'!$AG$100="",'Operating costs'!$B$7,'Replacement plan'!$AG$100)),0)*'Operating costs'!$B$9)*IF('Replacement plan'!$AG$100="",'Operating costs'!$B$7,'Replacement plan'!$AG$100)*('Energy and charging'!$C$9*'Energy and charging'!$C$7+(1-'Energy and charging'!$C$9)*'Energy and charging'!$C$8)*'Operating costs'!$B$23,"n.a."))</f>
        <v>0</v>
      </c>
      <c r="K382" s="16">
        <f>IF(C382=0,0,IF(P382="Complete",SUM('Operating costs'!$B$24,'Operating costs'!$B$27,'Operating costs'!$B$29,'Operating costs'!$B$31,'Operating costs'!$B$33,'Operating costs'!$B$34,'Operating costs'!$B$37,'Replacement plan'!$W$100)+'Operating costs'!$B$39*'Operating costs'!$B$42+ROUNDUP(S382*(R382-'Operating costs'!$B$39)*IF('Replacement plan'!$AG$100="",'Operating costs'!$B$7,'Replacement plan'!$AG$100)/('Operating costs'!$B$8-'Operating costs'!$B$9*IF('Replacement plan'!$AG$100="",'Operating costs'!$B$7,'Replacement plan'!$AG$100)),0)*('Operating costs'!$B$9/'Operating costs'!$B$11+'Operating costs'!$B$10/60)*'Operating costs'!$B$19*'Operating costs'!$B$21,"n.a."))</f>
        <v>0</v>
      </c>
      <c r="L382" s="16">
        <f>IF(C382=0,0,IF(P382="Complete",IF(D382="EV",X382*((1-T382)*'Energy and charging'!$C$10+T382*'Energy and charging'!$C$11)*'Operating costs'!$B$22,AA382*('Energy and charging'!$C$9*'Energy and charging'!$C$7+(1-'Energy and charging'!$C$9)*'Energy and charging'!$C$8)*'Operating costs'!$B$23),"n.a."))</f>
        <v>0</v>
      </c>
      <c r="M382" s="37">
        <f>IF(C382=0,0,IF(P382="Complete",IF(D382="ICE",SUM('Operating costs'!$B$25,'Operating costs'!$B$27,'Operating costs'!$B$29,'Operating costs'!$B$31,'Operating costs'!$B$33,'Operating costs'!$B$35,'Operating costs'!$B$37,'Replacement plan'!$X$100)+'Operating costs'!$B$40*'Operating costs'!$B$42+ROUNDUP(S382*(R382-'Operating costs'!$B$40)*IF('Replacement plan'!$AH$100="",'Operating costs'!$B$7,'Replacement plan'!$AH$100)/('Operating costs'!$B$8-'Operating costs'!$B$9*IF('Replacement plan'!$AH$100="",'Operating costs'!$B$7,'Replacement plan'!$AH$100)),0)*('Operating costs'!$B$9/'Operating costs'!$B$11+'Operating costs'!$B$10/60)*'Operating costs'!$B$19*'Operating costs'!$B$21,SUM(AP382,'Operating costs'!$B$28,'Operating costs'!$B$30,'Operating costs'!$B$32,'Operating costs'!$B$33,'Operating costs'!$B$36,'Operating costs'!$B$38,'Replacement plan'!$Y$100)+'Operating costs'!$B$41*'Operating costs'!$B$43+W382*'Operating costs'!$B$15+(T382*X382/'Replacement plan'!$L$100+W382*('Operating costs'!$B$12/'Operating costs'!$B$11+('Operating costs'!$B$13+'Operating costs'!$B$14)/60)+(R382-'Operating costs'!$B$41)*(IF(T382&lt;1,'Operating costs'!$B$16,0)+'Operating costs'!$B$17)/60)*'Operating costs'!$B$19*'Operating costs'!$B$20),"n.a."))</f>
        <v>0</v>
      </c>
      <c r="N382" s="16">
        <f>IF(AND(C382=1,D382="EV",E382&lt;120,E382+'Replacement plan'!$AA$100&lt;=120),'Replacement plan'!$Z$100,0)</f>
        <v>0</v>
      </c>
      <c r="O382" s="1">
        <f>E382+'Replacement plan'!$AA$100</f>
        <v>0</v>
      </c>
      <c r="P382" s="35" t="str">
        <f>IFERROR(IF(C382=0,"Excluded",IF(OR(COUNTIFS('Fleet register'!$A$7:$A$106,A382)&lt;&gt;1,COUNTIFS('Replacement plan'!$A$7:$A$106,A382)&lt;&gt;1),"Duplicate/missing ID",IF(NOT(AND(ISNUMBER(VLOOKUP($A382,'Fleet register'!$A$7:$S$106,5,FALSE)),ISNUMBER(VLOOKUP($A382,'Fleet register'!$A$7:$S$106,6,FALSE)),ISNUMBER(VLOOKUP($A382,'Fleet register'!$A$7:$S$106,10,FALSE)),ISNUMBER(VLOOKUP($A382,'Fleet register'!$A$7:$S$106,11,FALSE)),ISNUMBER(VLOOKUP($A382,'Fleet register'!$A$7:$S$106,12,FALSE)),ISNUMBER(VLOOKUP($A382,'Fleet register'!$A$7:$S$106,13,FALSE)),ISNUMBER(VLOOKUP($A382,'Fleet register'!$A$7:$S$106,14,FALSE)),VLOOKUP($A382,'Fleet register'!$A$7:$S$106,14,FALSE)&gt;0,ISNUMBER('Replacement plan'!$C$100),OR(E382=120,ISNUMBER('Replacement plan'!$T$100)),ISNUMBER(E382))),"Missing vehicle input",IF(OR(E382&lt;0,E382&gt;VLOOKUP($A382,'Fleet register'!$A$7:$S$106,10,FALSE),E382&gt;120,E382&lt;&gt;INT(E382),VLOOKUP($A382,'Fleet register'!$A$7:$S$106,6,FALSE)&lt;=0,VLOOKUP($A382,'Fleet register'!$A$7:$S$106,6,FALSE)&gt;366,VLOOKUP($A382,'Fleet register'!$A$7:$S$106,5,FALSE)&lt;0,VLOOKUP($A382,'Fleet register'!$A$7:$S$106,11,FALSE)&lt;0,I382&lt;0,'Operating costs'!$B$8&lt;='Operating costs'!$B$7*'Operating costs'!$B$9,'Operating costs'!$B$11&lt;=0,'Operating costs'!$B$39&gt;R382,'Operating costs'!$B$40&gt;R382,'Operating costs'!$B$41&gt;R382,NOT(OR('Replacement plan'!$R$100="Keep ICE",'Replacement plan'!$R$100="New ICE",'Replacement plan'!$R$100="EV"))),"Invalid vehicle input",IF(AND(D382="EV",E382&lt;120,OR(NOT(ISNUMBER(U382)),NOT(ISNUMBER(V382)),V382&lt;=0,T382&lt;0,T382&gt;1,'Replacement plan'!$L$100&lt;=0,'Operating costs'!$B$44&lt;0,'Operating costs'!$B$44&gt;=1,'Operating costs'!$B$47&lt;=0,'Operating costs'!$B$47&gt;1,V382*'Operating costs'!$B$47/(1-'Operating costs'!$B$44)&lt;=T382*'Operating costs'!$B$12*U382,AND('Replacement plan'!$Z$100&gt;0,OR('Replacement plan'!$AB$100&lt;&gt;"Yes",'Operating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charging'!$C$8&gt;=0))),ISNUMBER(VLOOKUP($A382,'Fleet register'!$A$7:$S$106,15,FALSE)),ISNUMBER(VLOOKUP($A382,'Fleet register'!$A$7:$S$106,16,FALSE)),ISNUMBER('Replacement plan'!$W$100),ISNUMBER('Replacement plan'!$X$100),OR(E382=120,AND(ISNUMBER(G382),G382&gt;=0)),ISNUMBER(H382),H382&gt;=0,OR(D382&lt;&gt;"EV",E382=120,AND(ISNUMBER('Operating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average",ISNUMBER(IFERROR(INDEX(Products!$P$7:$P$13,MATCH(AD382,Products!$A$7:$A$13,0)),"")))),ISNUMBER('Operating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plan'!$Y$100),ISNUMBER('Replacement plan'!$Z$100),'Replacement plan'!$Z$100&gt;=0,ISNUMBER('Replacement plan'!$AA$100),'Replacement plan'!$AA$100&gt;=0,'Replacement plan'!$AA$100=INT('Replacement plan'!$AA$100),ISNUMBER('Replacement plan'!$L$100))),'Operating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plan'!$AG$100="",'Operating costs'!$B$7,'Replacement plan'!$AG$100)),IF('Replacement plan'!$AG$100="",'Operating costs'!$B$7,'Replacement plan'!$AG$100)&gt;=0,ISNUMBER(IF('Replacement plan'!$AH$100="",'Operating costs'!$B$7,'Replacement plan'!$AH$100)),IF('Replacement plan'!$AH$100="",'Operating costs'!$B$7,'Replacement plan'!$AH$100)&gt;=0,'Operating costs'!$B$8&gt;MAX(IF('Replacement plan'!$AG$100="",'Operating costs'!$B$7,'Replacement plan'!$AG$100),IF('Replacement plan'!$AH$100="",'Operating costs'!$B$7,'Replacement plan'!$AH$100))*'Operating costs'!$B$9),IF(AND(VLOOKUP($A382,'Fleet register'!$A$7:$S$106,10,FALSE)&gt;=0,VLOOKUP($A382,'Fleet register'!$A$7:$S$106,10,FALSE)&lt;=120,VLOOKUP($A382,'Fleet register'!$A$7:$S$106,10,FALSE)=INT(VLOOKUP($A382,'Fleet register'!$A$7:$S$106,10,FALSE)),VLOOKUP($A382,'Fleet register'!$A$7:$S$106,15,FALSE)&gt;=0,VLOOKUP($A382,'Fleet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costs'!$B$67)&gt;=0,OR(D382&lt;&gt;"EV",E382=120,AND(MIN('Operating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82" s="1" t="str">
        <f>IF(C382=0,"Excluded",IF(P382&lt;&gt;"Complete",P382,IF(OR('Replacement plan'!$AD$100&lt;120-E382,AND(D382="EV",E382&lt;120,OR('Replacement plan'!$AC$100&lt;120-E382,'Replacement plan'!$I$100="No",AND(ISNUMBER(AF382),AE382&gt;AF382),AI382&gt;V382*(1-'Operating costs'!$B$46)^MAX(0,AB382-1)*(1-'Operating costs'!$B$45),AC382&gt;'Operating costs'!$B$18,AND(T382&lt;1,OR(AG382&lt;=0,AND(ISNUMBER(AH382),AG382&gt;AH382))),'Replacement plan'!$L$100&gt;INDEX(Products!$H$7:$H$13,MATCH('Replacement plan'!$B$100,Products!$A$7:$A$13,0))))),"Fails entered limits",IF(AND(D382="EV",E382&lt;120,OR(NOT(ISNUMBER(VLOOKUP($A382,'Fleet register'!$A$7:$S$106,7,FALSE))),NOT(ISNUMBER(VLOOKUP($A382,'Fleet register'!$A$7:$S$106,8,FALSE))),NOT(ISNUMBER(AF382)),'Replacement plan'!$I$100&lt;&gt;"Yes",NOT(ISNUMBER(AH382)),'Operating costs'!$B$59&lt;&gt;"Yes",'Operating costs'!$B$58&lt;&gt;"Yes")),"Unverified","Within entered limits"))))</f>
        <v>Excluded</v>
      </c>
      <c r="R382" s="1">
        <f>IF(C382=0,0,VLOOKUP($A382,'Fleet register'!$A$7:$S$106,6,FALSE))</f>
        <v>0</v>
      </c>
      <c r="S382" s="1">
        <f>IF(C382=0,0,VLOOKUP($A382,'Fleet register'!$A$7:$S$106,5,FALSE))</f>
        <v>0</v>
      </c>
      <c r="T382" s="1">
        <f>IF(D382="EV",'Energy and charging'!$C$12,0)</f>
        <v>0</v>
      </c>
      <c r="U382" s="1">
        <f>IFERROR(IF(C382=0,0,IF(D382="EV",IF('Replacement plan'!$F$100="",INDEX(Products!$E$7:$E$13,MATCH('Replacement plan'!$B$100,Products!$A$7:$A$13,0)),'Replacement plan'!$F$100)/IF('Replacement plan'!$G$100="Battery",1-'Operating costs'!$B$44,1),0)),"n.a.")</f>
        <v>0</v>
      </c>
      <c r="V382" s="1">
        <f>IFERROR(IF(C382=0,0,IF(D382="EV",IF('Replacement plan'!$E$100="",INDEX(Products!$D$7:$D$13,MATCH('Replacement plan'!$B$100,Products!$A$7:$A$13,0)),'Replacement plan'!$E$100),0)),"n.a.")</f>
        <v>0</v>
      </c>
      <c r="W382" s="1">
        <f>IF(C382=0,0,IF(AND(P382="Complete",D382="EV",E382&lt;120),IF(T382=0,0,ROUNDUP(T382*(R382-'Operating costs'!$B$41)*(S382*U382+'Operating costs'!$B$48/(1-'Operating costs'!$B$44))/(V382*'Operating costs'!$B$47/(1-'Operating costs'!$B$44)-T382*'Operating costs'!$B$12*U382),0)),0))</f>
        <v>0</v>
      </c>
      <c r="X382" s="1">
        <f>IF(C382=0,0,IF(AND(P382="Complete",D382="EV",E382&lt;120),(R382-'Operating costs'!$B$41)*(S382*U382+'Operating costs'!$B$48/(1-'Operating costs'!$B$44))+W382*'Operating costs'!$B$12*U382,0))</f>
        <v>0</v>
      </c>
      <c r="Y382" s="1">
        <f>IF(AND(C382=1,D382="EV",E382&lt;120),AI382/(1-'Operating costs'!$B$44)*(1-T382),0)</f>
        <v>0</v>
      </c>
      <c r="Z382" s="1">
        <f t="shared" si="10"/>
        <v>0</v>
      </c>
      <c r="AA382" s="1">
        <f>IF(C382=0,0,IF(P382="Complete",((S382*(R382-'Operating costs'!$B$40))+ROUNDUP(S382*(R382-'Operating costs'!$B$40)*IF('Replacement plan'!$AH$100="",'Operating costs'!$B$7,'Replacement plan'!$AH$100)/('Operating costs'!$B$8-'Operating costs'!$B$9*IF('Replacement plan'!$AH$100="",'Operating costs'!$B$7,'Replacement plan'!$AH$100)),0)*'Operating costs'!$B$9)*IF('Replacement plan'!$AH$100="",'Operating costs'!$B$7,'Replacement plan'!$AH$100),"n.a."))</f>
        <v>0</v>
      </c>
      <c r="AB382" s="1">
        <f t="shared" si="11"/>
        <v>0</v>
      </c>
      <c r="AC382" s="1">
        <f>IF(AND(C382=1,D382="EV",E382&lt;120,T382&gt;0),'Operating costs'!$B$12/'Operating costs'!$B$11*60+'Operating costs'!$B$13+'Operating costs'!$B$14+V382*'Operating costs'!$B$47/(1-'Operating costs'!$B$44)/'Replacement plan'!$L$100*60,0)</f>
        <v>0</v>
      </c>
      <c r="AD382" s="1" t="str">
        <f>'Replacement plan'!$B$100</f>
        <v>ChengLong L2EV</v>
      </c>
      <c r="AE382" s="1">
        <f>IF(C382=0,0,VLOOKUP($A382,'Fleet register'!$A$7:$S$106,8,FALSE))</f>
        <v>0</v>
      </c>
      <c r="AF382" s="1" t="str">
        <f>IF('Replacement plan'!$H$100="","n.a.",'Replacement plan'!$H$100)</f>
        <v>n.a.</v>
      </c>
      <c r="AG382" s="1">
        <f>'Replacement plan'!$J$100</f>
        <v>22</v>
      </c>
      <c r="AH382" s="1">
        <f>IFERROR(IF(D382="EV",IF('Replacement plan'!$K$100="AC",IF(ISNUMBER(INDEX(Products!$G$7:$G$13,MATCH('Replacement plan'!$B$100,Products!$A$7:$A$13,0))),INDEX(Products!$G$7:$G$13,MATCH('Replacement plan'!$B$100,Products!$A$7:$A$13,0)),"n.a."),IF(ISNUMBER(INDEX(Products!$H$7:$H$13,MATCH('Replacement plan'!$B$100,Products!$A$7:$A$13,0))),INDEX(Products!$H$7:$H$13,MATCH('Replacement plan'!$B$100,Products!$A$7:$A$13,0)),"n.a.")),0),"n.a.")</f>
        <v>0</v>
      </c>
      <c r="AI382" s="1">
        <f>IF(AND(C382=1,D382="EV",E382&lt;120),(VLOOKUP($A382,'Fleet register'!$A$7:$S$106,7,FALSE)+IF(T382&gt;0,'Operating costs'!$B$12,0))*U382*(1-'Operating costs'!$B$44)+'Operating costs'!$B$49,0)</f>
        <v>0</v>
      </c>
      <c r="AJ382" s="1">
        <f>IF(D382="EV",'Energy and charging'!$C$50,0)</f>
        <v>0</v>
      </c>
      <c r="AK382" s="17">
        <f>EDATE('Operating costs'!$B$63,E382)</f>
        <v>46298</v>
      </c>
      <c r="AL382" s="1">
        <f>IFERROR(IF(D382="EV",INDEX(Products!$B$7:$B$13,MATCH('Replacement plan'!$B$100,Products!$A$7:$A$13,0)),0),"n.a.")</f>
        <v>0</v>
      </c>
      <c r="AM382" s="1" t="str">
        <f>'Replacement plan'!$K$100</f>
        <v>DC</v>
      </c>
      <c r="AN382" s="1" t="str">
        <f>'Replacement plan'!$AE$100</f>
        <v>Assumed</v>
      </c>
      <c r="AO382" s="47">
        <f>IF(AND(C382=1,D382="EV",E382&lt;120),(R382-'Operating costs'!$B$41)*S382+W382*'Operating costs'!$B$12,0)</f>
        <v>0</v>
      </c>
      <c r="AP382" s="41">
        <f>IF(AND(C382=1,D382="EV",E382&lt;120),IF('Operating costs'!$B$68="Hong Seh 200k average",AO382*IFERROR(INDEX(Products!$P$7:$P$13,MATCH(AD382,Products!$A$7:$A$13,0)),"n.a."),'Operating costs'!$B$26),0)</f>
        <v>0</v>
      </c>
      <c r="AQ382" s="40" t="str">
        <f>IF(D382="EV",'Operating costs'!$B$68,"Not applicable")</f>
        <v>Not applicable</v>
      </c>
    </row>
    <row r="383" spans="1:43" ht="24" customHeight="1">
      <c r="A383" s="1" t="str">
        <f>'Replacement plan'!A101</f>
        <v>T095</v>
      </c>
      <c r="B383" s="1">
        <v>0</v>
      </c>
      <c r="C383" s="1">
        <f>IF(COUNTIFS('Fleet register'!$A$7:$A$106,$A383)=1,VLOOKUP($A383,'Fleet register'!$A$7:$S$106,2,FALSE),0)</f>
        <v>0</v>
      </c>
      <c r="D383" s="1" t="str">
        <f>IF("Keep ICE"="EV","EV","ICE")</f>
        <v>ICE</v>
      </c>
      <c r="E383" s="1">
        <f>IF(C383=0,0,IF('Replacement plan'!$M$101="",VLOOKUP($A383,'Fleet register'!$A$7:$S$106,10,FALSE),'Replacement plan'!$M$101))</f>
        <v>0</v>
      </c>
      <c r="F383" s="16">
        <f>IF(C383=0,0,VLOOKUP($A383,'Fleet register'!$A$7:$S$106,11,FALSE))</f>
        <v>0</v>
      </c>
      <c r="G383" s="16">
        <f>IFERROR(IF(C383=0,0,IF(E383=120,0,IF(D383="ICE",'Replacement plan'!$C$101,IF('Replacement plan'!$D$101="",INDEX(Products!$I$7:$I$13,MATCH('Replacement plan'!$B$101,Products!$A$7:$A$13,0))+'Operating costs'!$B$57,'Replacement plan'!$D$101))*(1+'Operating costs'!$B$50)^(E383/12))),"n.a.")</f>
        <v>0</v>
      </c>
      <c r="H383" s="16">
        <f>IFERROR(IF(C383=0,0,IF(E383=0,F383,VLOOKUP($A383,'Fleet register'!$A$7:$S$106,12,FALSE)+VLOOKUP($A383,'Fleet register'!$A$7:$S$106,13,FALSE)*MAX(0,VLOOKUP($A383,'Fleet register'!$A$7:$S$106,10,FALSE)-E383)/VLOOKUP($A383,'Fleet register'!$A$7:$S$106,14,FALSE))),"n.a.")</f>
        <v>0</v>
      </c>
      <c r="I383" s="16">
        <f>IF(C383=0,0,IF(E383=120,0,'Replacement plan'!$N$101))</f>
        <v>0</v>
      </c>
      <c r="J383" s="16">
        <f>IF(C383=0,0,IF(P383="Complete",((S383*(R383-'Operating costs'!$B$39))+ROUNDUP(S383*(R383-'Operating costs'!$B$39)*IF('Replacement plan'!$AG$101="",'Operating costs'!$B$7,'Replacement plan'!$AG$101)/('Operating costs'!$B$8-'Operating costs'!$B$9*IF('Replacement plan'!$AG$101="",'Operating costs'!$B$7,'Replacement plan'!$AG$101)),0)*'Operating costs'!$B$9)*IF('Replacement plan'!$AG$101="",'Operating costs'!$B$7,'Replacement plan'!$AG$101)*('Energy and charging'!$B$9*'Energy and charging'!$B$7+(1-'Energy and charging'!$B$9)*'Energy and charging'!$B$8)*'Operating costs'!$B$23,"n.a."))</f>
        <v>0</v>
      </c>
      <c r="K383" s="16">
        <f>IF(C383=0,0,IF(P383="Complete",SUM('Operating costs'!$B$24,'Operating costs'!$B$27,'Operating costs'!$B$29,'Operating costs'!$B$31,'Operating costs'!$B$33,'Operating costs'!$B$34,'Operating costs'!$B$37,'Replacement plan'!$W$101)+'Operating costs'!$B$39*'Operating costs'!$B$42+ROUNDUP(S383*(R383-'Operating costs'!$B$39)*IF('Replacement plan'!$AG$101="",'Operating costs'!$B$7,'Replacement plan'!$AG$101)/('Operating costs'!$B$8-'Operating costs'!$B$9*IF('Replacement plan'!$AG$101="",'Operating costs'!$B$7,'Replacement plan'!$AG$101)),0)*('Operating costs'!$B$9/'Operating costs'!$B$11+'Operating costs'!$B$10/60)*'Operating costs'!$B$19*'Operating costs'!$B$21,"n.a."))</f>
        <v>0</v>
      </c>
      <c r="L383" s="16">
        <f>IF(C383=0,0,IF(P383="Complete",IF(D383="EV",X383*((1-T383)*'Energy and charging'!$B$10+T383*'Energy and charging'!$B$11)*'Operating costs'!$B$22,AA383*('Energy and charging'!$B$9*'Energy and charging'!$B$7+(1-'Energy and charging'!$B$9)*'Energy and charging'!$B$8)*'Operating costs'!$B$23),"n.a."))</f>
        <v>0</v>
      </c>
      <c r="M383" s="37">
        <f>IF(C383=0,0,IF(P383="Complete",IF(D383="ICE",SUM('Operating costs'!$B$25,'Operating costs'!$B$27,'Operating costs'!$B$29,'Operating costs'!$B$31,'Operating costs'!$B$33,'Operating costs'!$B$35,'Operating costs'!$B$37,'Replacement plan'!$X$101)+'Operating costs'!$B$40*'Operating costs'!$B$42+ROUNDUP(S383*(R383-'Operating costs'!$B$40)*IF('Replacement plan'!$AH$101="",'Operating costs'!$B$7,'Replacement plan'!$AH$101)/('Operating costs'!$B$8-'Operating costs'!$B$9*IF('Replacement plan'!$AH$101="",'Operating costs'!$B$7,'Replacement plan'!$AH$101)),0)*('Operating costs'!$B$9/'Operating costs'!$B$11+'Operating costs'!$B$10/60)*'Operating costs'!$B$19*'Operating costs'!$B$21,SUM(AP383,'Operating costs'!$B$28,'Operating costs'!$B$30,'Operating costs'!$B$32,'Operating costs'!$B$33,'Operating costs'!$B$36,'Operating costs'!$B$38,'Replacement plan'!$Y$101)+'Operating costs'!$B$41*'Operating costs'!$B$43+W383*'Operating costs'!$B$15+(T383*X383/'Replacement plan'!$L$101+W383*('Operating costs'!$B$12/'Operating costs'!$B$11+('Operating costs'!$B$13+'Operating costs'!$B$14)/60)+(R383-'Operating costs'!$B$41)*(IF(T383&lt;1,'Operating costs'!$B$16,0)+'Operating costs'!$B$17)/60)*'Operating costs'!$B$19*'Operating costs'!$B$20),"n.a."))</f>
        <v>0</v>
      </c>
      <c r="N383" s="16">
        <f>IF(AND(C383=1,D383="EV",E383&lt;120,E383+'Replacement plan'!$AA$101&lt;=120),'Replacement plan'!$Z$101,0)</f>
        <v>0</v>
      </c>
      <c r="O383" s="1">
        <f>E383+'Replacement plan'!$AA$101</f>
        <v>0</v>
      </c>
      <c r="P383" s="35" t="str">
        <f>IFERROR(IF(C383=0,"Excluded",IF(OR(COUNTIFS('Fleet register'!$A$7:$A$106,A383)&lt;&gt;1,COUNTIFS('Replacement plan'!$A$7:$A$106,A383)&lt;&gt;1),"Duplicate/missing ID",IF(NOT(AND(ISNUMBER(VLOOKUP($A383,'Fleet register'!$A$7:$S$106,5,FALSE)),ISNUMBER(VLOOKUP($A383,'Fleet register'!$A$7:$S$106,6,FALSE)),ISNUMBER(VLOOKUP($A383,'Fleet register'!$A$7:$S$106,10,FALSE)),ISNUMBER(VLOOKUP($A383,'Fleet register'!$A$7:$S$106,11,FALSE)),ISNUMBER(VLOOKUP($A383,'Fleet register'!$A$7:$S$106,12,FALSE)),ISNUMBER(VLOOKUP($A383,'Fleet register'!$A$7:$S$106,13,FALSE)),ISNUMBER(VLOOKUP($A383,'Fleet register'!$A$7:$S$106,14,FALSE)),VLOOKUP($A383,'Fleet register'!$A$7:$S$106,14,FALSE)&gt;0,ISNUMBER('Replacement plan'!$C$101),OR(E383=120,ISNUMBER('Replacement plan'!$N$101)),ISNUMBER(E383))),"Missing vehicle input",IF(OR(E383&lt;0,E383&gt;VLOOKUP($A383,'Fleet register'!$A$7:$S$106,10,FALSE),E383&gt;120,E383&lt;&gt;INT(E383),VLOOKUP($A383,'Fleet register'!$A$7:$S$106,6,FALSE)&lt;=0,VLOOKUP($A383,'Fleet register'!$A$7:$S$106,6,FALSE)&gt;366,VLOOKUP($A383,'Fleet register'!$A$7:$S$106,5,FALSE)&lt;0,VLOOKUP($A383,'Fleet register'!$A$7:$S$106,11,FALSE)&lt;0,I383&lt;0,'Operating costs'!$B$8&lt;='Operating costs'!$B$7*'Operating costs'!$B$9,'Operating costs'!$B$11&lt;=0,'Operating costs'!$B$39&gt;R383,'Operating costs'!$B$40&gt;R383,'Operating costs'!$B$41&gt;R383,NOT(OR("Keep ICE"="Keep ICE","Keep ICE"="New ICE","Keep ICE"="EV"))),"Invalid vehicle input",IF(AND(D383="EV",E383&lt;120,OR(NOT(ISNUMBER(U383)),NOT(ISNUMBER(V383)),V383&lt;=0,T383&lt;0,T383&gt;1,'Replacement plan'!$L$101&lt;=0,'Operating costs'!$B$44&lt;0,'Operating costs'!$B$44&gt;=1,'Operating costs'!$B$47&lt;=0,'Operating costs'!$B$47&gt;1,V383*'Operating costs'!$B$47/(1-'Operating costs'!$B$44)&lt;=T383*'Operating costs'!$B$12*U383,AND('Replacement plan'!$Z$101&gt;0,OR('Replacement plan'!$AB$101&lt;&gt;"Yes",'Operating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charging'!$B$8&gt;=0))),ISNUMBER(VLOOKUP($A383,'Fleet register'!$A$7:$S$106,15,FALSE)),ISNUMBER(VLOOKUP($A383,'Fleet register'!$A$7:$S$106,16,FALSE)),ISNUMBER('Replacement plan'!$W$101),ISNUMBER('Replacement plan'!$X$101),OR(E383=120,AND(ISNUMBER(G383),G383&gt;=0)),ISNUMBER(H383),H383&gt;=0,OR(D383&lt;&gt;"EV",E383=120,AND(ISNUMBER('Operating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average",ISNUMBER(IFERROR(INDEX(Products!$P$7:$P$13,MATCH(AD383,Products!$A$7:$A$13,0)),"")))),ISNUMBER('Operating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plan'!$Y$101),ISNUMBER('Replacement plan'!$Z$101),'Replacement plan'!$Z$101&gt;=0,ISNUMBER('Replacement plan'!$AA$101),'Replacement plan'!$AA$101&gt;=0,'Replacement plan'!$AA$101=INT('Replacement plan'!$AA$101),ISNUMBER('Replacement plan'!$L$101))),'Operating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plan'!$AG$101="",'Operating costs'!$B$7,'Replacement plan'!$AG$101)),IF('Replacement plan'!$AG$101="",'Operating costs'!$B$7,'Replacement plan'!$AG$101)&gt;=0,ISNUMBER(IF('Replacement plan'!$AH$101="",'Operating costs'!$B$7,'Replacement plan'!$AH$101)),IF('Replacement plan'!$AH$101="",'Operating costs'!$B$7,'Replacement plan'!$AH$101)&gt;=0,'Operating costs'!$B$8&gt;MAX(IF('Replacement plan'!$AG$101="",'Operating costs'!$B$7,'Replacement plan'!$AG$101),IF('Replacement plan'!$AH$101="",'Operating costs'!$B$7,'Replacement plan'!$AH$101))*'Operating costs'!$B$9),IF(AND(VLOOKUP($A383,'Fleet register'!$A$7:$S$106,10,FALSE)&gt;=0,VLOOKUP($A383,'Fleet register'!$A$7:$S$106,10,FALSE)&lt;=120,VLOOKUP($A383,'Fleet register'!$A$7:$S$106,10,FALSE)=INT(VLOOKUP($A383,'Fleet register'!$A$7:$S$106,10,FALSE)),VLOOKUP($A383,'Fleet register'!$A$7:$S$106,15,FALSE)&gt;=0,VLOOKUP($A383,'Fleet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costs'!$B$67)&gt;=0,OR(D383&lt;&gt;"EV",E383=120,AND(MIN('Operating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83" s="1" t="str">
        <f>IF(C383=0,"Excluded",IF(P383&lt;&gt;"Complete",P383,IF(OR('Replacement plan'!$AD$101&lt;120-E383,AND(D383="EV",E383&lt;120,OR('Replacement plan'!$AC$101&lt;120-E383,'Replacement plan'!$I$101="No",AND(ISNUMBER(AF383),AE383&gt;AF383),AI383&gt;V383*(1-'Operating costs'!$B$46)^MAX(0,AB383-1)*(1-'Operating costs'!$B$45),AC383&gt;'Operating costs'!$B$18,AND(T383&lt;1,OR(AG383&lt;=0,AND(ISNUMBER(AH383),AG383&gt;AH383))),'Replacement plan'!$L$101&gt;INDEX(Products!$H$7:$H$13,MATCH('Replacement plan'!$B$101,Products!$A$7:$A$13,0))))),"Fails entered limits",IF(AND(D383="EV",E383&lt;120,OR(NOT(ISNUMBER(VLOOKUP($A383,'Fleet register'!$A$7:$S$106,7,FALSE))),NOT(ISNUMBER(VLOOKUP($A383,'Fleet register'!$A$7:$S$106,8,FALSE))),NOT(ISNUMBER(AF383)),'Replacement plan'!$I$101&lt;&gt;"Yes",NOT(ISNUMBER(AH383)),'Operating costs'!$B$59&lt;&gt;"Yes",'Operating costs'!$B$58&lt;&gt;"Yes")),"Unverified","Within entered limits"))))</f>
        <v>Excluded</v>
      </c>
      <c r="R383" s="1">
        <f>IF(C383=0,0,VLOOKUP($A383,'Fleet register'!$A$7:$S$106,6,FALSE))</f>
        <v>0</v>
      </c>
      <c r="S383" s="1">
        <f>IF(C383=0,0,VLOOKUP($A383,'Fleet register'!$A$7:$S$106,5,FALSE))</f>
        <v>0</v>
      </c>
      <c r="T383" s="1">
        <f>IF(D383="EV",'Energy and charging'!$B$12,0)</f>
        <v>0</v>
      </c>
      <c r="U383" s="1">
        <f>IFERROR(IF(C383=0,0,IF(D383="EV",IF('Replacement plan'!$F$101="",INDEX(Products!$E$7:$E$13,MATCH('Replacement plan'!$B$101,Products!$A$7:$A$13,0)),'Replacement plan'!$F$101)/IF('Replacement plan'!$G$101="Battery",1-'Operating costs'!$B$44,1),0)),"n.a.")</f>
        <v>0</v>
      </c>
      <c r="V383" s="1">
        <f>IFERROR(IF(C383=0,0,IF(D383="EV",IF('Replacement plan'!$E$101="",INDEX(Products!$D$7:$D$13,MATCH('Replacement plan'!$B$101,Products!$A$7:$A$13,0)),'Replacement plan'!$E$101),0)),"n.a.")</f>
        <v>0</v>
      </c>
      <c r="W383" s="1">
        <f>IF(C383=0,0,IF(AND(P383="Complete",D383="EV",E383&lt;120),IF(T383=0,0,ROUNDUP(T383*(R383-'Operating costs'!$B$41)*(S383*U383+'Operating costs'!$B$48/(1-'Operating costs'!$B$44))/(V383*'Operating costs'!$B$47/(1-'Operating costs'!$B$44)-T383*'Operating costs'!$B$12*U383),0)),0))</f>
        <v>0</v>
      </c>
      <c r="X383" s="1">
        <f>IF(C383=0,0,IF(AND(P383="Complete",D383="EV",E383&lt;120),(R383-'Operating costs'!$B$41)*(S383*U383+'Operating costs'!$B$48/(1-'Operating costs'!$B$44))+W383*'Operating costs'!$B$12*U383,0))</f>
        <v>0</v>
      </c>
      <c r="Y383" s="1">
        <f>IF(AND(C383=1,D383="EV",E383&lt;120),AI383/(1-'Operating costs'!$B$44)*(1-T383),0)</f>
        <v>0</v>
      </c>
      <c r="Z383" s="1">
        <f t="shared" si="10"/>
        <v>0</v>
      </c>
      <c r="AA383" s="1">
        <f>IF(C383=0,0,IF(P383="Complete",((S383*(R383-'Operating costs'!$B$40))+ROUNDUP(S383*(R383-'Operating costs'!$B$40)*IF('Replacement plan'!$AH$101="",'Operating costs'!$B$7,'Replacement plan'!$AH$101)/('Operating costs'!$B$8-'Operating costs'!$B$9*IF('Replacement plan'!$AH$101="",'Operating costs'!$B$7,'Replacement plan'!$AH$101)),0)*'Operating costs'!$B$9)*IF('Replacement plan'!$AH$101="",'Operating costs'!$B$7,'Replacement plan'!$AH$101),"n.a."))</f>
        <v>0</v>
      </c>
      <c r="AB383" s="1">
        <f t="shared" si="11"/>
        <v>0</v>
      </c>
      <c r="AC383" s="1">
        <f>IF(AND(C383=1,D383="EV",E383&lt;120,T383&gt;0),'Operating costs'!$B$12/'Operating costs'!$B$11*60+'Operating costs'!$B$13+'Operating costs'!$B$14+V383*'Operating costs'!$B$47/(1-'Operating costs'!$B$44)/'Replacement plan'!$L$101*60,0)</f>
        <v>0</v>
      </c>
      <c r="AD383" s="1" t="str">
        <f>'Replacement plan'!$B$101</f>
        <v>ChengLong L2EV</v>
      </c>
      <c r="AE383" s="1">
        <f>IF(C383=0,0,VLOOKUP($A383,'Fleet register'!$A$7:$S$106,8,FALSE))</f>
        <v>0</v>
      </c>
      <c r="AF383" s="1" t="str">
        <f>IF('Replacement plan'!$H$101="","n.a.",'Replacement plan'!$H$101)</f>
        <v>n.a.</v>
      </c>
      <c r="AG383" s="1">
        <f>'Replacement plan'!$J$101</f>
        <v>22</v>
      </c>
      <c r="AH383" s="1">
        <f>IFERROR(IF(D383="EV",IF('Replacement plan'!$K$101="AC",IF(ISNUMBER(INDEX(Products!$G$7:$G$13,MATCH('Replacement plan'!$B$101,Products!$A$7:$A$13,0))),INDEX(Products!$G$7:$G$13,MATCH('Replacement plan'!$B$101,Products!$A$7:$A$13,0)),"n.a."),IF(ISNUMBER(INDEX(Products!$H$7:$H$13,MATCH('Replacement plan'!$B$101,Products!$A$7:$A$13,0))),INDEX(Products!$H$7:$H$13,MATCH('Replacement plan'!$B$101,Products!$A$7:$A$13,0)),"n.a.")),0),"n.a.")</f>
        <v>0</v>
      </c>
      <c r="AI383" s="1">
        <f>IF(AND(C383=1,D383="EV",E383&lt;120),(VLOOKUP($A383,'Fleet register'!$A$7:$S$106,7,FALSE)+IF(T383&gt;0,'Operating costs'!$B$12,0))*U383*(1-'Operating costs'!$B$44)+'Operating costs'!$B$49,0)</f>
        <v>0</v>
      </c>
      <c r="AJ383" s="1">
        <f>IF(D383="EV",'Energy and charging'!$B$50,0)</f>
        <v>0</v>
      </c>
      <c r="AK383" s="17">
        <f>EDATE('Operating costs'!$B$63,E383)</f>
        <v>46298</v>
      </c>
      <c r="AL383" s="1">
        <f>IFERROR(IF(D383="EV",INDEX(Products!$B$7:$B$13,MATCH('Replacement plan'!$B$101,Products!$A$7:$A$13,0)),0),"n.a.")</f>
        <v>0</v>
      </c>
      <c r="AM383" s="1" t="str">
        <f>'Replacement plan'!$K$101</f>
        <v>DC</v>
      </c>
      <c r="AN383" s="1" t="str">
        <f>'Replacement plan'!$AE$101</f>
        <v>Assumed</v>
      </c>
      <c r="AO383" s="47">
        <f>IF(AND(C383=1,D383="EV",E383&lt;120),(R383-'Operating costs'!$B$41)*S383+W383*'Operating costs'!$B$12,0)</f>
        <v>0</v>
      </c>
      <c r="AP383" s="41">
        <f>IF(AND(C383=1,D383="EV",E383&lt;120),IF('Operating costs'!$B$68="Hong Seh 200k average",AO383*IFERROR(INDEX(Products!$P$7:$P$13,MATCH(AD383,Products!$A$7:$A$13,0)),"n.a."),'Operating costs'!$B$26),0)</f>
        <v>0</v>
      </c>
      <c r="AQ383" s="40" t="str">
        <f>IF(D383="EV",'Operating costs'!$B$68,"Not applicable")</f>
        <v>Not applicable</v>
      </c>
    </row>
    <row r="384" spans="1:43" ht="24" customHeight="1">
      <c r="A384" s="1" t="str">
        <f>'Replacement plan'!A101</f>
        <v>T095</v>
      </c>
      <c r="B384" s="1">
        <v>1</v>
      </c>
      <c r="C384" s="1">
        <f>IF(COUNTIFS('Fleet register'!$A$7:$A$106,$A384)=1,VLOOKUP($A384,'Fleet register'!$A$7:$S$106,2,FALSE),0)</f>
        <v>0</v>
      </c>
      <c r="D384" s="1" t="str">
        <f>IF("New ICE"="EV","EV","ICE")</f>
        <v>ICE</v>
      </c>
      <c r="E384" s="1">
        <f>IF(C384=0,0,0)</f>
        <v>0</v>
      </c>
      <c r="F384" s="16">
        <f>IF(C384=0,0,VLOOKUP($A384,'Fleet register'!$A$7:$S$106,11,FALSE))</f>
        <v>0</v>
      </c>
      <c r="G384" s="16">
        <f>IFERROR(IF(C384=0,0,IF(E384=120,0,IF(D384="ICE",'Replacement plan'!$C$101,IF('Replacement plan'!$D$101="",INDEX(Products!$I$7:$I$13,MATCH('Replacement plan'!$B$101,Products!$A$7:$A$13,0))+'Operating costs'!$B$57,'Replacement plan'!$D$101))*(1+'Operating costs'!$B$50)^(E384/12))),"n.a.")</f>
        <v>0</v>
      </c>
      <c r="H384" s="16">
        <f>IFERROR(IF(C384=0,0,IF(E384=0,F384,VLOOKUP($A384,'Fleet register'!$A$7:$S$106,12,FALSE)+VLOOKUP($A384,'Fleet register'!$A$7:$S$106,13,FALSE)*MAX(0,VLOOKUP($A384,'Fleet register'!$A$7:$S$106,10,FALSE)-E384)/VLOOKUP($A384,'Fleet register'!$A$7:$S$106,14,FALSE))),"n.a.")</f>
        <v>0</v>
      </c>
      <c r="I384" s="16">
        <f>IF(C384=0,0,IF(E384=120,0,IF('Replacement plan'!$AI$101="",'Operating costs'!$B$56,'Replacement plan'!$AI$101)))</f>
        <v>0</v>
      </c>
      <c r="J384" s="16">
        <f>IF(C384=0,0,IF(P384="Complete",((S384*(R384-'Operating costs'!$B$39))+ROUNDUP(S384*(R384-'Operating costs'!$B$39)*IF('Replacement plan'!$AG$101="",'Operating costs'!$B$7,'Replacement plan'!$AG$101)/('Operating costs'!$B$8-'Operating costs'!$B$9*IF('Replacement plan'!$AG$101="",'Operating costs'!$B$7,'Replacement plan'!$AG$101)),0)*'Operating costs'!$B$9)*IF('Replacement plan'!$AG$101="",'Operating costs'!$B$7,'Replacement plan'!$AG$101)*('Energy and charging'!$B$9*'Energy and charging'!$B$7+(1-'Energy and charging'!$B$9)*'Energy and charging'!$B$8)*'Operating costs'!$B$23,"n.a."))</f>
        <v>0</v>
      </c>
      <c r="K384" s="16">
        <f>IF(C384=0,0,IF(P384="Complete",SUM('Operating costs'!$B$24,'Operating costs'!$B$27,'Operating costs'!$B$29,'Operating costs'!$B$31,'Operating costs'!$B$33,'Operating costs'!$B$34,'Operating costs'!$B$37,'Replacement plan'!$W$101)+'Operating costs'!$B$39*'Operating costs'!$B$42+ROUNDUP(S384*(R384-'Operating costs'!$B$39)*IF('Replacement plan'!$AG$101="",'Operating costs'!$B$7,'Replacement plan'!$AG$101)/('Operating costs'!$B$8-'Operating costs'!$B$9*IF('Replacement plan'!$AG$101="",'Operating costs'!$B$7,'Replacement plan'!$AG$101)),0)*('Operating costs'!$B$9/'Operating costs'!$B$11+'Operating costs'!$B$10/60)*'Operating costs'!$B$19*'Operating costs'!$B$21,"n.a."))</f>
        <v>0</v>
      </c>
      <c r="L384" s="16">
        <f>IF(C384=0,0,IF(P384="Complete",IF(D384="EV",X384*((1-T384)*'Energy and charging'!$B$10+T384*'Energy and charging'!$B$11)*'Operating costs'!$B$22,AA384*('Energy and charging'!$B$9*'Energy and charging'!$B$7+(1-'Energy and charging'!$B$9)*'Energy and charging'!$B$8)*'Operating costs'!$B$23),"n.a."))</f>
        <v>0</v>
      </c>
      <c r="M384" s="37">
        <f>IF(C384=0,0,IF(P384="Complete",IF(D384="ICE",SUM('Operating costs'!$B$25,'Operating costs'!$B$27,'Operating costs'!$B$29,'Operating costs'!$B$31,'Operating costs'!$B$33,'Operating costs'!$B$35,'Operating costs'!$B$37,'Replacement plan'!$X$101)+'Operating costs'!$B$40*'Operating costs'!$B$42+ROUNDUP(S384*(R384-'Operating costs'!$B$40)*IF('Replacement plan'!$AH$101="",'Operating costs'!$B$7,'Replacement plan'!$AH$101)/('Operating costs'!$B$8-'Operating costs'!$B$9*IF('Replacement plan'!$AH$101="",'Operating costs'!$B$7,'Replacement plan'!$AH$101)),0)*('Operating costs'!$B$9/'Operating costs'!$B$11+'Operating costs'!$B$10/60)*'Operating costs'!$B$19*'Operating costs'!$B$21,SUM(AP384,'Operating costs'!$B$28,'Operating costs'!$B$30,'Operating costs'!$B$32,'Operating costs'!$B$33,'Operating costs'!$B$36,'Operating costs'!$B$38,'Replacement plan'!$Y$101)+'Operating costs'!$B$41*'Operating costs'!$B$43+W384*'Operating costs'!$B$15+(T384*X384/'Replacement plan'!$L$101+W384*('Operating costs'!$B$12/'Operating costs'!$B$11+('Operating costs'!$B$13+'Operating costs'!$B$14)/60)+(R384-'Operating costs'!$B$41)*(IF(T384&lt;1,'Operating costs'!$B$16,0)+'Operating costs'!$B$17)/60)*'Operating costs'!$B$19*'Operating costs'!$B$20),"n.a."))</f>
        <v>0</v>
      </c>
      <c r="N384" s="16">
        <f>IF(AND(C384=1,D384="EV",E384&lt;120,E384+'Replacement plan'!$AA$101&lt;=120),'Replacement plan'!$Z$101,0)</f>
        <v>0</v>
      </c>
      <c r="O384" s="1">
        <f>E384+'Replacement plan'!$AA$101</f>
        <v>0</v>
      </c>
      <c r="P384" s="35" t="str">
        <f>IFERROR(IF(C384=0,"Excluded",IF(OR(COUNTIFS('Fleet register'!$A$7:$A$106,A384)&lt;&gt;1,COUNTIFS('Replacement plan'!$A$7:$A$106,A384)&lt;&gt;1),"Duplicate/missing ID",IF(NOT(AND(ISNUMBER(VLOOKUP($A384,'Fleet register'!$A$7:$S$106,5,FALSE)),ISNUMBER(VLOOKUP($A384,'Fleet register'!$A$7:$S$106,6,FALSE)),ISNUMBER(VLOOKUP($A384,'Fleet register'!$A$7:$S$106,10,FALSE)),ISNUMBER(VLOOKUP($A384,'Fleet register'!$A$7:$S$106,11,FALSE)),ISNUMBER(VLOOKUP($A384,'Fleet register'!$A$7:$S$106,12,FALSE)),ISNUMBER(VLOOKUP($A384,'Fleet register'!$A$7:$S$106,13,FALSE)),ISNUMBER(VLOOKUP($A384,'Fleet register'!$A$7:$S$106,14,FALSE)),VLOOKUP($A384,'Fleet register'!$A$7:$S$106,14,FALSE)&gt;0,ISNUMBER('Replacement plan'!$C$101),OR(E384=120,OR(ISNUMBER('Replacement plan'!$AI$101),AND('Replacement plan'!$AI$101="",ISNUMBER('Operating costs'!$B$56)))),ISNUMBER(E384))),"Missing vehicle input",IF(OR(E384&lt;0,E384&gt;VLOOKUP($A384,'Fleet register'!$A$7:$S$106,10,FALSE),E384&gt;120,E384&lt;&gt;INT(E384),VLOOKUP($A384,'Fleet register'!$A$7:$S$106,6,FALSE)&lt;=0,VLOOKUP($A384,'Fleet register'!$A$7:$S$106,6,FALSE)&gt;366,VLOOKUP($A384,'Fleet register'!$A$7:$S$106,5,FALSE)&lt;0,VLOOKUP($A384,'Fleet register'!$A$7:$S$106,11,FALSE)&lt;0,I384&lt;0,'Operating costs'!$B$8&lt;='Operating costs'!$B$7*'Operating costs'!$B$9,'Operating costs'!$B$11&lt;=0,'Operating costs'!$B$39&gt;R384,'Operating costs'!$B$40&gt;R384,'Operating costs'!$B$41&gt;R384,NOT(OR("New ICE"="Keep ICE","New ICE"="New ICE","New ICE"="EV"))),"Invalid vehicle input",IF(AND(D384="EV",E384&lt;120,OR(NOT(ISNUMBER(U384)),NOT(ISNUMBER(V384)),V384&lt;=0,T384&lt;0,T384&gt;1,'Replacement plan'!$L$101&lt;=0,'Operating costs'!$B$44&lt;0,'Operating costs'!$B$44&gt;=1,'Operating costs'!$B$47&lt;=0,'Operating costs'!$B$47&gt;1,V384*'Operating costs'!$B$47/(1-'Operating costs'!$B$44)&lt;=T384*'Operating costs'!$B$12*U384,AND('Replacement plan'!$Z$101&gt;0,OR('Replacement plan'!$AB$101&lt;&gt;"Yes",'Operating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charging'!$B$8&gt;=0))),ISNUMBER(VLOOKUP($A384,'Fleet register'!$A$7:$S$106,15,FALSE)),ISNUMBER(VLOOKUP($A384,'Fleet register'!$A$7:$S$106,16,FALSE)),ISNUMBER('Replacement plan'!$W$101),ISNUMBER('Replacement plan'!$X$101),OR(E384=120,AND(ISNUMBER(G384),G384&gt;=0)),ISNUMBER(H384),H384&gt;=0,OR(D384&lt;&gt;"EV",E384=120,AND(ISNUMBER('Operating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average",ISNUMBER(IFERROR(INDEX(Products!$P$7:$P$13,MATCH(AD384,Products!$A$7:$A$13,0)),"")))),ISNUMBER('Operating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plan'!$Y$101),ISNUMBER('Replacement plan'!$Z$101),'Replacement plan'!$Z$101&gt;=0,ISNUMBER('Replacement plan'!$AA$101),'Replacement plan'!$AA$101&gt;=0,'Replacement plan'!$AA$101=INT('Replacement plan'!$AA$101),ISNUMBER('Replacement plan'!$L$101))),'Operating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plan'!$AG$101="",'Operating costs'!$B$7,'Replacement plan'!$AG$101)),IF('Replacement plan'!$AG$101="",'Operating costs'!$B$7,'Replacement plan'!$AG$101)&gt;=0,ISNUMBER(IF('Replacement plan'!$AH$101="",'Operating costs'!$B$7,'Replacement plan'!$AH$101)),IF('Replacement plan'!$AH$101="",'Operating costs'!$B$7,'Replacement plan'!$AH$101)&gt;=0,'Operating costs'!$B$8&gt;MAX(IF('Replacement plan'!$AG$101="",'Operating costs'!$B$7,'Replacement plan'!$AG$101),IF('Replacement plan'!$AH$101="",'Operating costs'!$B$7,'Replacement plan'!$AH$101))*'Operating costs'!$B$9),IF(AND(VLOOKUP($A384,'Fleet register'!$A$7:$S$106,10,FALSE)&gt;=0,VLOOKUP($A384,'Fleet register'!$A$7:$S$106,10,FALSE)&lt;=120,VLOOKUP($A384,'Fleet register'!$A$7:$S$106,10,FALSE)=INT(VLOOKUP($A384,'Fleet register'!$A$7:$S$106,10,FALSE)),VLOOKUP($A384,'Fleet register'!$A$7:$S$106,15,FALSE)&gt;=0,VLOOKUP($A384,'Fleet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costs'!$B$67)&gt;=0,OR(D384&lt;&gt;"EV",E384=120,AND(MIN('Operating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84" s="1" t="str">
        <f>IF(C384=0,"Excluded",IF(P384&lt;&gt;"Complete",P384,IF(OR('Replacement plan'!$AD$101&lt;120-E384,AND(D384="EV",E384&lt;120,OR('Replacement plan'!$AC$101&lt;120-E384,'Replacement plan'!$I$101="No",AND(ISNUMBER(AF384),AE384&gt;AF384),AI384&gt;V384*(1-'Operating costs'!$B$46)^MAX(0,AB384-1)*(1-'Operating costs'!$B$45),AC384&gt;'Operating costs'!$B$18,AND(T384&lt;1,OR(AG384&lt;=0,AND(ISNUMBER(AH384),AG384&gt;AH384))),'Replacement plan'!$L$101&gt;INDEX(Products!$H$7:$H$13,MATCH('Replacement plan'!$B$101,Products!$A$7:$A$13,0))))),"Fails entered limits",IF(AND(D384="EV",E384&lt;120,OR(NOT(ISNUMBER(VLOOKUP($A384,'Fleet register'!$A$7:$S$106,7,FALSE))),NOT(ISNUMBER(VLOOKUP($A384,'Fleet register'!$A$7:$S$106,8,FALSE))),NOT(ISNUMBER(AF384)),'Replacement plan'!$I$101&lt;&gt;"Yes",NOT(ISNUMBER(AH384)),'Operating costs'!$B$59&lt;&gt;"Yes",'Operating costs'!$B$58&lt;&gt;"Yes")),"Unverified","Within entered limits"))))</f>
        <v>Excluded</v>
      </c>
      <c r="R384" s="1">
        <f>IF(C384=0,0,VLOOKUP($A384,'Fleet register'!$A$7:$S$106,6,FALSE))</f>
        <v>0</v>
      </c>
      <c r="S384" s="1">
        <f>IF(C384=0,0,VLOOKUP($A384,'Fleet register'!$A$7:$S$106,5,FALSE))</f>
        <v>0</v>
      </c>
      <c r="T384" s="1">
        <f>IF(D384="EV",'Energy and charging'!$B$12,0)</f>
        <v>0</v>
      </c>
      <c r="U384" s="1">
        <f>IFERROR(IF(C384=0,0,IF(D384="EV",IF('Replacement plan'!$F$101="",INDEX(Products!$E$7:$E$13,MATCH('Replacement plan'!$B$101,Products!$A$7:$A$13,0)),'Replacement plan'!$F$101)/IF('Replacement plan'!$G$101="Battery",1-'Operating costs'!$B$44,1),0)),"n.a.")</f>
        <v>0</v>
      </c>
      <c r="V384" s="1">
        <f>IFERROR(IF(C384=0,0,IF(D384="EV",IF('Replacement plan'!$E$101="",INDEX(Products!$D$7:$D$13,MATCH('Replacement plan'!$B$101,Products!$A$7:$A$13,0)),'Replacement plan'!$E$101),0)),"n.a.")</f>
        <v>0</v>
      </c>
      <c r="W384" s="1">
        <f>IF(C384=0,0,IF(AND(P384="Complete",D384="EV",E384&lt;120),IF(T384=0,0,ROUNDUP(T384*(R384-'Operating costs'!$B$41)*(S384*U384+'Operating costs'!$B$48/(1-'Operating costs'!$B$44))/(V384*'Operating costs'!$B$47/(1-'Operating costs'!$B$44)-T384*'Operating costs'!$B$12*U384),0)),0))</f>
        <v>0</v>
      </c>
      <c r="X384" s="1">
        <f>IF(C384=0,0,IF(AND(P384="Complete",D384="EV",E384&lt;120),(R384-'Operating costs'!$B$41)*(S384*U384+'Operating costs'!$B$48/(1-'Operating costs'!$B$44))+W384*'Operating costs'!$B$12*U384,0))</f>
        <v>0</v>
      </c>
      <c r="Y384" s="1">
        <f>IF(AND(C384=1,D384="EV",E384&lt;120),AI384/(1-'Operating costs'!$B$44)*(1-T384),0)</f>
        <v>0</v>
      </c>
      <c r="Z384" s="1">
        <f t="shared" si="10"/>
        <v>0</v>
      </c>
      <c r="AA384" s="1">
        <f>IF(C384=0,0,IF(P384="Complete",((S384*(R384-'Operating costs'!$B$40))+ROUNDUP(S384*(R384-'Operating costs'!$B$40)*IF('Replacement plan'!$AH$101="",'Operating costs'!$B$7,'Replacement plan'!$AH$101)/('Operating costs'!$B$8-'Operating costs'!$B$9*IF('Replacement plan'!$AH$101="",'Operating costs'!$B$7,'Replacement plan'!$AH$101)),0)*'Operating costs'!$B$9)*IF('Replacement plan'!$AH$101="",'Operating costs'!$B$7,'Replacement plan'!$AH$101),"n.a."))</f>
        <v>0</v>
      </c>
      <c r="AB384" s="1">
        <f t="shared" si="11"/>
        <v>0</v>
      </c>
      <c r="AC384" s="1">
        <f>IF(AND(C384=1,D384="EV",E384&lt;120,T384&gt;0),'Operating costs'!$B$12/'Operating costs'!$B$11*60+'Operating costs'!$B$13+'Operating costs'!$B$14+V384*'Operating costs'!$B$47/(1-'Operating costs'!$B$44)/'Replacement plan'!$L$101*60,0)</f>
        <v>0</v>
      </c>
      <c r="AD384" s="1" t="str">
        <f>'Replacement plan'!$B$101</f>
        <v>ChengLong L2EV</v>
      </c>
      <c r="AE384" s="1">
        <f>IF(C384=0,0,VLOOKUP($A384,'Fleet register'!$A$7:$S$106,8,FALSE))</f>
        <v>0</v>
      </c>
      <c r="AF384" s="1" t="str">
        <f>IF('Replacement plan'!$H$101="","n.a.",'Replacement plan'!$H$101)</f>
        <v>n.a.</v>
      </c>
      <c r="AG384" s="1">
        <f>'Replacement plan'!$J$101</f>
        <v>22</v>
      </c>
      <c r="AH384" s="1">
        <f>IFERROR(IF(D384="EV",IF('Replacement plan'!$K$101="AC",IF(ISNUMBER(INDEX(Products!$G$7:$G$13,MATCH('Replacement plan'!$B$101,Products!$A$7:$A$13,0))),INDEX(Products!$G$7:$G$13,MATCH('Replacement plan'!$B$101,Products!$A$7:$A$13,0)),"n.a."),IF(ISNUMBER(INDEX(Products!$H$7:$H$13,MATCH('Replacement plan'!$B$101,Products!$A$7:$A$13,0))),INDEX(Products!$H$7:$H$13,MATCH('Replacement plan'!$B$101,Products!$A$7:$A$13,0)),"n.a.")),0),"n.a.")</f>
        <v>0</v>
      </c>
      <c r="AI384" s="1">
        <f>IF(AND(C384=1,D384="EV",E384&lt;120),(VLOOKUP($A384,'Fleet register'!$A$7:$S$106,7,FALSE)+IF(T384&gt;0,'Operating costs'!$B$12,0))*U384*(1-'Operating costs'!$B$44)+'Operating costs'!$B$49,0)</f>
        <v>0</v>
      </c>
      <c r="AJ384" s="1">
        <f>IF(D384="EV",'Energy and charging'!$B$50,0)</f>
        <v>0</v>
      </c>
      <c r="AK384" s="17">
        <f>EDATE('Operating costs'!$B$63,E384)</f>
        <v>46298</v>
      </c>
      <c r="AL384" s="1">
        <f>IFERROR(IF(D384="EV",INDEX(Products!$B$7:$B$13,MATCH('Replacement plan'!$B$101,Products!$A$7:$A$13,0)),0),"n.a.")</f>
        <v>0</v>
      </c>
      <c r="AM384" s="1" t="str">
        <f>'Replacement plan'!$K$101</f>
        <v>DC</v>
      </c>
      <c r="AN384" s="1" t="str">
        <f>'Replacement plan'!$AE$101</f>
        <v>Assumed</v>
      </c>
      <c r="AO384" s="47">
        <f>IF(AND(C384=1,D384="EV",E384&lt;120),(R384-'Operating costs'!$B$41)*S384+W384*'Operating costs'!$B$12,0)</f>
        <v>0</v>
      </c>
      <c r="AP384" s="41">
        <f>IF(AND(C384=1,D384="EV",E384&lt;120),IF('Operating costs'!$B$68="Hong Seh 200k average",AO384*IFERROR(INDEX(Products!$P$7:$P$13,MATCH(AD384,Products!$A$7:$A$13,0)),"n.a."),'Operating costs'!$B$26),0)</f>
        <v>0</v>
      </c>
      <c r="AQ384" s="40" t="str">
        <f>IF(D384="EV",'Operating costs'!$B$68,"Not applicable")</f>
        <v>Not applicable</v>
      </c>
    </row>
    <row r="385" spans="1:43" ht="24" customHeight="1">
      <c r="A385" s="1" t="str">
        <f>'Replacement plan'!A101</f>
        <v>T095</v>
      </c>
      <c r="B385" s="1">
        <v>2</v>
      </c>
      <c r="C385" s="1">
        <f>IF(COUNTIFS('Fleet register'!$A$7:$A$106,$A385)=1,VLOOKUP($A385,'Fleet register'!$A$7:$S$106,2,FALSE),0)</f>
        <v>0</v>
      </c>
      <c r="D385" s="1" t="str">
        <f>IF('Replacement plan'!$O$101="EV","EV","ICE")</f>
        <v>ICE</v>
      </c>
      <c r="E385" s="1">
        <f>IF(C385=0,0,IF('Replacement plan'!$P$101="",IF('Replacement plan'!$O$101="Keep ICE",IF('Replacement plan'!$M$101="",VLOOKUP($A385,'Fleet register'!$A$7:$S$106,10,FALSE),'Replacement plan'!$M$101),0),'Replacement plan'!$P$101))</f>
        <v>0</v>
      </c>
      <c r="F385" s="16">
        <f>IF(C385=0,0,VLOOKUP($A385,'Fleet register'!$A$7:$S$106,11,FALSE))</f>
        <v>0</v>
      </c>
      <c r="G385" s="16">
        <f>IFERROR(IF(C385=0,0,IF(E385=120,0,IF(D385="ICE",'Replacement plan'!$C$101,IF('Replacement plan'!$D$101="",INDEX(Products!$I$7:$I$13,MATCH('Replacement plan'!$B$101,Products!$A$7:$A$13,0))+'Operating costs'!$B$57,'Replacement plan'!$D$101))*(1+'Operating costs'!$B$50)^(E385/12))),"n.a.")</f>
        <v>0</v>
      </c>
      <c r="H385" s="16">
        <f>IFERROR(IF(C385=0,0,IF('Replacement plan'!$U$101&lt;&gt;"",'Replacement plan'!$U$101,IF(E385=0,F385,VLOOKUP($A385,'Fleet register'!$A$7:$S$106,12,FALSE)+VLOOKUP($A385,'Fleet register'!$A$7:$S$106,13,FALSE)*MAX(0,VLOOKUP($A385,'Fleet register'!$A$7:$S$106,10,FALSE)-E385)/VLOOKUP($A385,'Fleet register'!$A$7:$S$106,14,FALSE)))),"n.a.")</f>
        <v>0</v>
      </c>
      <c r="I385" s="16">
        <f>IF(C385=0,0,IF(E385=120,0,'Replacement plan'!$Q$101))</f>
        <v>0</v>
      </c>
      <c r="J385" s="16">
        <f>IF(C385=0,0,IF(P385="Complete",((S385*(R385-'Operating costs'!$B$39))+ROUNDUP(S385*(R385-'Operating costs'!$B$39)*IF('Replacement plan'!$AG$101="",'Operating costs'!$B$7,'Replacement plan'!$AG$101)/('Operating costs'!$B$8-'Operating costs'!$B$9*IF('Replacement plan'!$AG$101="",'Operating costs'!$B$7,'Replacement plan'!$AG$101)),0)*'Operating costs'!$B$9)*IF('Replacement plan'!$AG$101="",'Operating costs'!$B$7,'Replacement plan'!$AG$101)*('Energy and charging'!$B$9*'Energy and charging'!$B$7+(1-'Energy and charging'!$B$9)*'Energy and charging'!$B$8)*'Operating costs'!$B$23,"n.a."))</f>
        <v>0</v>
      </c>
      <c r="K385" s="16">
        <f>IF(C385=0,0,IF(P385="Complete",SUM('Operating costs'!$B$24,'Operating costs'!$B$27,'Operating costs'!$B$29,'Operating costs'!$B$31,'Operating costs'!$B$33,'Operating costs'!$B$34,'Operating costs'!$B$37,'Replacement plan'!$W$101)+'Operating costs'!$B$39*'Operating costs'!$B$42+ROUNDUP(S385*(R385-'Operating costs'!$B$39)*IF('Replacement plan'!$AG$101="",'Operating costs'!$B$7,'Replacement plan'!$AG$101)/('Operating costs'!$B$8-'Operating costs'!$B$9*IF('Replacement plan'!$AG$101="",'Operating costs'!$B$7,'Replacement plan'!$AG$101)),0)*('Operating costs'!$B$9/'Operating costs'!$B$11+'Operating costs'!$B$10/60)*'Operating costs'!$B$19*'Operating costs'!$B$21,"n.a."))</f>
        <v>0</v>
      </c>
      <c r="L385" s="16">
        <f>IF(C385=0,0,IF(P385="Complete",IF(D385="EV",X385*((1-T385)*'Energy and charging'!$B$10+T385*'Energy and charging'!$B$11)*'Operating costs'!$B$22,AA385*('Energy and charging'!$B$9*'Energy and charging'!$B$7+(1-'Energy and charging'!$B$9)*'Energy and charging'!$B$8)*'Operating costs'!$B$23),"n.a."))</f>
        <v>0</v>
      </c>
      <c r="M385" s="37">
        <f>IF(C385=0,0,IF(P385="Complete",IF(D385="ICE",SUM('Operating costs'!$B$25,'Operating costs'!$B$27,'Operating costs'!$B$29,'Operating costs'!$B$31,'Operating costs'!$B$33,'Operating costs'!$B$35,'Operating costs'!$B$37,'Replacement plan'!$X$101)+'Operating costs'!$B$40*'Operating costs'!$B$42+ROUNDUP(S385*(R385-'Operating costs'!$B$40)*IF('Replacement plan'!$AH$101="",'Operating costs'!$B$7,'Replacement plan'!$AH$101)/('Operating costs'!$B$8-'Operating costs'!$B$9*IF('Replacement plan'!$AH$101="",'Operating costs'!$B$7,'Replacement plan'!$AH$101)),0)*('Operating costs'!$B$9/'Operating costs'!$B$11+'Operating costs'!$B$10/60)*'Operating costs'!$B$19*'Operating costs'!$B$21,SUM(AP385,'Operating costs'!$B$28,'Operating costs'!$B$30,'Operating costs'!$B$32,'Operating costs'!$B$33,'Operating costs'!$B$36,'Operating costs'!$B$38,'Replacement plan'!$Y$101)+'Operating costs'!$B$41*'Operating costs'!$B$43+W385*'Operating costs'!$B$15+(T385*X385/'Replacement plan'!$L$101+W385*('Operating costs'!$B$12/'Operating costs'!$B$11+('Operating costs'!$B$13+'Operating costs'!$B$14)/60)+(R385-'Operating costs'!$B$41)*(IF(T385&lt;1,'Operating costs'!$B$16,0)+'Operating costs'!$B$17)/60)*'Operating costs'!$B$19*'Operating costs'!$B$20),"n.a."))</f>
        <v>0</v>
      </c>
      <c r="N385" s="16">
        <f>IF(AND(C385=1,D385="EV",E385&lt;120,E385+'Replacement plan'!$AA$101&lt;=120),'Replacement plan'!$Z$101,0)</f>
        <v>0</v>
      </c>
      <c r="O385" s="1">
        <f>E385+'Replacement plan'!$AA$101</f>
        <v>0</v>
      </c>
      <c r="P385" s="35" t="str">
        <f>IFERROR(IF(C385=0,"Excluded",IF(OR(COUNTIFS('Fleet register'!$A$7:$A$106,A385)&lt;&gt;1,COUNTIFS('Replacement plan'!$A$7:$A$106,A385)&lt;&gt;1),"Duplicate/missing ID",IF(NOT(AND(ISNUMBER(VLOOKUP($A385,'Fleet register'!$A$7:$S$106,5,FALSE)),ISNUMBER(VLOOKUP($A385,'Fleet register'!$A$7:$S$106,6,FALSE)),ISNUMBER(VLOOKUP($A385,'Fleet register'!$A$7:$S$106,10,FALSE)),ISNUMBER(VLOOKUP($A385,'Fleet register'!$A$7:$S$106,11,FALSE)),ISNUMBER(VLOOKUP($A385,'Fleet register'!$A$7:$S$106,12,FALSE)),ISNUMBER(VLOOKUP($A385,'Fleet register'!$A$7:$S$106,13,FALSE)),ISNUMBER(VLOOKUP($A385,'Fleet register'!$A$7:$S$106,14,FALSE)),VLOOKUP($A385,'Fleet register'!$A$7:$S$106,14,FALSE)&gt;0,ISNUMBER('Replacement plan'!$C$101),OR(E385=120,ISNUMBER('Replacement plan'!$Q$101)),ISNUMBER(E385))),"Missing vehicle input",IF(OR(E385&lt;0,E385&gt;VLOOKUP($A385,'Fleet register'!$A$7:$S$106,10,FALSE),E385&gt;120,E385&lt;&gt;INT(E385),VLOOKUP($A385,'Fleet register'!$A$7:$S$106,6,FALSE)&lt;=0,VLOOKUP($A385,'Fleet register'!$A$7:$S$106,6,FALSE)&gt;366,VLOOKUP($A385,'Fleet register'!$A$7:$S$106,5,FALSE)&lt;0,VLOOKUP($A385,'Fleet register'!$A$7:$S$106,11,FALSE)&lt;0,I385&lt;0,'Operating costs'!$B$8&lt;='Operating costs'!$B$7*'Operating costs'!$B$9,'Operating costs'!$B$11&lt;=0,'Operating costs'!$B$39&gt;R385,'Operating costs'!$B$40&gt;R385,'Operating costs'!$B$41&gt;R385,NOT(OR('Replacement plan'!$O$101="Keep ICE",'Replacement plan'!$O$101="New ICE",'Replacement plan'!$O$101="EV"))),"Invalid vehicle input",IF(AND(D385="EV",E385&lt;120,OR(NOT(ISNUMBER(U385)),NOT(ISNUMBER(V385)),V385&lt;=0,T385&lt;0,T385&gt;1,'Replacement plan'!$L$101&lt;=0,'Operating costs'!$B$44&lt;0,'Operating costs'!$B$44&gt;=1,'Operating costs'!$B$47&lt;=0,'Operating costs'!$B$47&gt;1,V385*'Operating costs'!$B$47/(1-'Operating costs'!$B$44)&lt;=T385*'Operating costs'!$B$12*U385,AND('Replacement plan'!$Z$101&gt;0,OR('Replacement plan'!$AB$101&lt;&gt;"Yes",'Operating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charging'!$B$8&gt;=0))),ISNUMBER(VLOOKUP($A385,'Fleet register'!$A$7:$S$106,15,FALSE)),ISNUMBER(VLOOKUP($A385,'Fleet register'!$A$7:$S$106,16,FALSE)),ISNUMBER('Replacement plan'!$W$101),ISNUMBER('Replacement plan'!$X$101),OR(E385=120,AND(ISNUMBER(G385),G385&gt;=0)),ISNUMBER(H385),H385&gt;=0,OR(D385&lt;&gt;"EV",E385=120,AND(ISNUMBER('Operating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average",ISNUMBER(IFERROR(INDEX(Products!$P$7:$P$13,MATCH(AD385,Products!$A$7:$A$13,0)),"")))),ISNUMBER('Operating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plan'!$Y$101),ISNUMBER('Replacement plan'!$Z$101),'Replacement plan'!$Z$101&gt;=0,ISNUMBER('Replacement plan'!$AA$101),'Replacement plan'!$AA$101&gt;=0,'Replacement plan'!$AA$101=INT('Replacement plan'!$AA$101),ISNUMBER('Replacement plan'!$L$101))),'Operating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plan'!$AG$101="",'Operating costs'!$B$7,'Replacement plan'!$AG$101)),IF('Replacement plan'!$AG$101="",'Operating costs'!$B$7,'Replacement plan'!$AG$101)&gt;=0,ISNUMBER(IF('Replacement plan'!$AH$101="",'Operating costs'!$B$7,'Replacement plan'!$AH$101)),IF('Replacement plan'!$AH$101="",'Operating costs'!$B$7,'Replacement plan'!$AH$101)&gt;=0,'Operating costs'!$B$8&gt;MAX(IF('Replacement plan'!$AG$101="",'Operating costs'!$B$7,'Replacement plan'!$AG$101),IF('Replacement plan'!$AH$101="",'Operating costs'!$B$7,'Replacement plan'!$AH$101))*'Operating costs'!$B$9),IF(AND(VLOOKUP($A385,'Fleet register'!$A$7:$S$106,10,FALSE)&gt;=0,VLOOKUP($A385,'Fleet register'!$A$7:$S$106,10,FALSE)&lt;=120,VLOOKUP($A385,'Fleet register'!$A$7:$S$106,10,FALSE)=INT(VLOOKUP($A385,'Fleet register'!$A$7:$S$106,10,FALSE)),VLOOKUP($A385,'Fleet register'!$A$7:$S$106,15,FALSE)&gt;=0,VLOOKUP($A385,'Fleet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costs'!$B$67)&gt;=0,OR(D385&lt;&gt;"EV",E385=120,AND(MIN('Operating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85" s="1" t="str">
        <f>IF(C385=0,"Excluded",IF(P385&lt;&gt;"Complete",P385,IF(OR('Replacement plan'!$AD$101&lt;120-E385,AND(D385="EV",E385&lt;120,OR('Replacement plan'!$AC$101&lt;120-E385,'Replacement plan'!$I$101="No",AND(ISNUMBER(AF385),AE385&gt;AF385),AI385&gt;V385*(1-'Operating costs'!$B$46)^MAX(0,AB385-1)*(1-'Operating costs'!$B$45),AC385&gt;'Operating costs'!$B$18,AND(T385&lt;1,OR(AG385&lt;=0,AND(ISNUMBER(AH385),AG385&gt;AH385))),'Replacement plan'!$L$101&gt;INDEX(Products!$H$7:$H$13,MATCH('Replacement plan'!$B$101,Products!$A$7:$A$13,0))))),"Fails entered limits",IF(AND(D385="EV",E385&lt;120,OR(NOT(ISNUMBER(VLOOKUP($A385,'Fleet register'!$A$7:$S$106,7,FALSE))),NOT(ISNUMBER(VLOOKUP($A385,'Fleet register'!$A$7:$S$106,8,FALSE))),NOT(ISNUMBER(AF385)),'Replacement plan'!$I$101&lt;&gt;"Yes",NOT(ISNUMBER(AH385)),'Operating costs'!$B$59&lt;&gt;"Yes",'Operating costs'!$B$58&lt;&gt;"Yes")),"Unverified","Within entered limits"))))</f>
        <v>Excluded</v>
      </c>
      <c r="R385" s="1">
        <f>IF(C385=0,0,VLOOKUP($A385,'Fleet register'!$A$7:$S$106,6,FALSE))</f>
        <v>0</v>
      </c>
      <c r="S385" s="1">
        <f>IF(C385=0,0,VLOOKUP($A385,'Fleet register'!$A$7:$S$106,5,FALSE))</f>
        <v>0</v>
      </c>
      <c r="T385" s="1">
        <f>IF(D385="EV",'Energy and charging'!$B$12,0)</f>
        <v>0</v>
      </c>
      <c r="U385" s="1">
        <f>IFERROR(IF(C385=0,0,IF(D385="EV",IF('Replacement plan'!$F$101="",INDEX(Products!$E$7:$E$13,MATCH('Replacement plan'!$B$101,Products!$A$7:$A$13,0)),'Replacement plan'!$F$101)/IF('Replacement plan'!$G$101="Battery",1-'Operating costs'!$B$44,1),0)),"n.a.")</f>
        <v>0</v>
      </c>
      <c r="V385" s="1">
        <f>IFERROR(IF(C385=0,0,IF(D385="EV",IF('Replacement plan'!$E$101="",INDEX(Products!$D$7:$D$13,MATCH('Replacement plan'!$B$101,Products!$A$7:$A$13,0)),'Replacement plan'!$E$101),0)),"n.a.")</f>
        <v>0</v>
      </c>
      <c r="W385" s="1">
        <f>IF(C385=0,0,IF(AND(P385="Complete",D385="EV",E385&lt;120),IF(T385=0,0,ROUNDUP(T385*(R385-'Operating costs'!$B$41)*(S385*U385+'Operating costs'!$B$48/(1-'Operating costs'!$B$44))/(V385*'Operating costs'!$B$47/(1-'Operating costs'!$B$44)-T385*'Operating costs'!$B$12*U385),0)),0))</f>
        <v>0</v>
      </c>
      <c r="X385" s="1">
        <f>IF(C385=0,0,IF(AND(P385="Complete",D385="EV",E385&lt;120),(R385-'Operating costs'!$B$41)*(S385*U385+'Operating costs'!$B$48/(1-'Operating costs'!$B$44))+W385*'Operating costs'!$B$12*U385,0))</f>
        <v>0</v>
      </c>
      <c r="Y385" s="1">
        <f>IF(AND(C385=1,D385="EV",E385&lt;120),AI385/(1-'Operating costs'!$B$44)*(1-T385),0)</f>
        <v>0</v>
      </c>
      <c r="Z385" s="1">
        <f t="shared" si="10"/>
        <v>0</v>
      </c>
      <c r="AA385" s="1">
        <f>IF(C385=0,0,IF(P385="Complete",((S385*(R385-'Operating costs'!$B$40))+ROUNDUP(S385*(R385-'Operating costs'!$B$40)*IF('Replacement plan'!$AH$101="",'Operating costs'!$B$7,'Replacement plan'!$AH$101)/('Operating costs'!$B$8-'Operating costs'!$B$9*IF('Replacement plan'!$AH$101="",'Operating costs'!$B$7,'Replacement plan'!$AH$101)),0)*'Operating costs'!$B$9)*IF('Replacement plan'!$AH$101="",'Operating costs'!$B$7,'Replacement plan'!$AH$101),"n.a."))</f>
        <v>0</v>
      </c>
      <c r="AB385" s="1">
        <f t="shared" si="11"/>
        <v>0</v>
      </c>
      <c r="AC385" s="1">
        <f>IF(AND(C385=1,D385="EV",E385&lt;120,T385&gt;0),'Operating costs'!$B$12/'Operating costs'!$B$11*60+'Operating costs'!$B$13+'Operating costs'!$B$14+V385*'Operating costs'!$B$47/(1-'Operating costs'!$B$44)/'Replacement plan'!$L$101*60,0)</f>
        <v>0</v>
      </c>
      <c r="AD385" s="1" t="str">
        <f>'Replacement plan'!$B$101</f>
        <v>ChengLong L2EV</v>
      </c>
      <c r="AE385" s="1">
        <f>IF(C385=0,0,VLOOKUP($A385,'Fleet register'!$A$7:$S$106,8,FALSE))</f>
        <v>0</v>
      </c>
      <c r="AF385" s="1" t="str">
        <f>IF('Replacement plan'!$H$101="","n.a.",'Replacement plan'!$H$101)</f>
        <v>n.a.</v>
      </c>
      <c r="AG385" s="1">
        <f>'Replacement plan'!$J$101</f>
        <v>22</v>
      </c>
      <c r="AH385" s="1">
        <f>IFERROR(IF(D385="EV",IF('Replacement plan'!$K$101="AC",IF(ISNUMBER(INDEX(Products!$G$7:$G$13,MATCH('Replacement plan'!$B$101,Products!$A$7:$A$13,0))),INDEX(Products!$G$7:$G$13,MATCH('Replacement plan'!$B$101,Products!$A$7:$A$13,0)),"n.a."),IF(ISNUMBER(INDEX(Products!$H$7:$H$13,MATCH('Replacement plan'!$B$101,Products!$A$7:$A$13,0))),INDEX(Products!$H$7:$H$13,MATCH('Replacement plan'!$B$101,Products!$A$7:$A$13,0)),"n.a.")),0),"n.a.")</f>
        <v>0</v>
      </c>
      <c r="AI385" s="1">
        <f>IF(AND(C385=1,D385="EV",E385&lt;120),(VLOOKUP($A385,'Fleet register'!$A$7:$S$106,7,FALSE)+IF(T385&gt;0,'Operating costs'!$B$12,0))*U385*(1-'Operating costs'!$B$44)+'Operating costs'!$B$49,0)</f>
        <v>0</v>
      </c>
      <c r="AJ385" s="1">
        <f>IF(D385="EV",'Energy and charging'!$B$50,0)</f>
        <v>0</v>
      </c>
      <c r="AK385" s="17">
        <f>EDATE('Operating costs'!$B$63,E385)</f>
        <v>46298</v>
      </c>
      <c r="AL385" s="1">
        <f>IFERROR(IF(D385="EV",INDEX(Products!$B$7:$B$13,MATCH('Replacement plan'!$B$101,Products!$A$7:$A$13,0)),0),"n.a.")</f>
        <v>0</v>
      </c>
      <c r="AM385" s="1" t="str">
        <f>'Replacement plan'!$K$101</f>
        <v>DC</v>
      </c>
      <c r="AN385" s="1" t="str">
        <f>'Replacement plan'!$AE$101</f>
        <v>Assumed</v>
      </c>
      <c r="AO385" s="47">
        <f>IF(AND(C385=1,D385="EV",E385&lt;120),(R385-'Operating costs'!$B$41)*S385+W385*'Operating costs'!$B$12,0)</f>
        <v>0</v>
      </c>
      <c r="AP385" s="41">
        <f>IF(AND(C385=1,D385="EV",E385&lt;120),IF('Operating costs'!$B$68="Hong Seh 200k average",AO385*IFERROR(INDEX(Products!$P$7:$P$13,MATCH(AD385,Products!$A$7:$A$13,0)),"n.a."),'Operating costs'!$B$26),0)</f>
        <v>0</v>
      </c>
      <c r="AQ385" s="40" t="str">
        <f>IF(D385="EV",'Operating costs'!$B$68,"Not applicable")</f>
        <v>Not applicable</v>
      </c>
    </row>
    <row r="386" spans="1:43" ht="24" customHeight="1">
      <c r="A386" s="1" t="str">
        <f>'Replacement plan'!A101</f>
        <v>T095</v>
      </c>
      <c r="B386" s="1">
        <v>3</v>
      </c>
      <c r="C386" s="1">
        <f>IF(COUNTIFS('Fleet register'!$A$7:$A$106,$A386)=1,VLOOKUP($A386,'Fleet register'!$A$7:$S$106,2,FALSE),0)</f>
        <v>0</v>
      </c>
      <c r="D386" s="1" t="str">
        <f>IF('Replacement plan'!$R$101="EV","EV","ICE")</f>
        <v>ICE</v>
      </c>
      <c r="E386" s="1">
        <f>IF(C386=0,0,IF('Replacement plan'!$S$101="",IF('Replacement plan'!$R$101="Keep ICE",IF('Replacement plan'!$M$101="",VLOOKUP($A386,'Fleet register'!$A$7:$S$106,10,FALSE),'Replacement plan'!$M$101),0),'Replacement plan'!$S$101))</f>
        <v>0</v>
      </c>
      <c r="F386" s="16">
        <f>IF(C386=0,0,VLOOKUP($A386,'Fleet register'!$A$7:$S$106,11,FALSE))</f>
        <v>0</v>
      </c>
      <c r="G386" s="16">
        <f>IFERROR(IF(C386=0,0,IF(E386=120,0,IF(D386="ICE",'Replacement plan'!$C$101,IF('Replacement plan'!$D$101="",INDEX(Products!$I$7:$I$13,MATCH('Replacement plan'!$B$101,Products!$A$7:$A$13,0))+'Operating costs'!$B$57,'Replacement plan'!$D$101))*(1+'Operating costs'!$B$50)^(E386/12))),"n.a.")</f>
        <v>0</v>
      </c>
      <c r="H386" s="16">
        <f>IFERROR(IF(C386=0,0,IF('Replacement plan'!$V$101&lt;&gt;"",'Replacement plan'!$V$101,IF(E386=0,F386,VLOOKUP($A386,'Fleet register'!$A$7:$S$106,12,FALSE)+VLOOKUP($A386,'Fleet register'!$A$7:$S$106,13,FALSE)*MAX(0,VLOOKUP($A386,'Fleet register'!$A$7:$S$106,10,FALSE)-E386)/VLOOKUP($A386,'Fleet register'!$A$7:$S$106,14,FALSE)))),"n.a.")</f>
        <v>0</v>
      </c>
      <c r="I386" s="16">
        <f>IF(C386=0,0,IF(E386=120,0,'Replacement plan'!$T$101))</f>
        <v>0</v>
      </c>
      <c r="J386" s="16">
        <f>IF(C386=0,0,IF(P386="Complete",((S386*(R386-'Operating costs'!$B$39))+ROUNDUP(S386*(R386-'Operating costs'!$B$39)*IF('Replacement plan'!$AG$101="",'Operating costs'!$B$7,'Replacement plan'!$AG$101)/('Operating costs'!$B$8-'Operating costs'!$B$9*IF('Replacement plan'!$AG$101="",'Operating costs'!$B$7,'Replacement plan'!$AG$101)),0)*'Operating costs'!$B$9)*IF('Replacement plan'!$AG$101="",'Operating costs'!$B$7,'Replacement plan'!$AG$101)*('Energy and charging'!$C$9*'Energy and charging'!$C$7+(1-'Energy and charging'!$C$9)*'Energy and charging'!$C$8)*'Operating costs'!$B$23,"n.a."))</f>
        <v>0</v>
      </c>
      <c r="K386" s="16">
        <f>IF(C386=0,0,IF(P386="Complete",SUM('Operating costs'!$B$24,'Operating costs'!$B$27,'Operating costs'!$B$29,'Operating costs'!$B$31,'Operating costs'!$B$33,'Operating costs'!$B$34,'Operating costs'!$B$37,'Replacement plan'!$W$101)+'Operating costs'!$B$39*'Operating costs'!$B$42+ROUNDUP(S386*(R386-'Operating costs'!$B$39)*IF('Replacement plan'!$AG$101="",'Operating costs'!$B$7,'Replacement plan'!$AG$101)/('Operating costs'!$B$8-'Operating costs'!$B$9*IF('Replacement plan'!$AG$101="",'Operating costs'!$B$7,'Replacement plan'!$AG$101)),0)*('Operating costs'!$B$9/'Operating costs'!$B$11+'Operating costs'!$B$10/60)*'Operating costs'!$B$19*'Operating costs'!$B$21,"n.a."))</f>
        <v>0</v>
      </c>
      <c r="L386" s="16">
        <f>IF(C386=0,0,IF(P386="Complete",IF(D386="EV",X386*((1-T386)*'Energy and charging'!$C$10+T386*'Energy and charging'!$C$11)*'Operating costs'!$B$22,AA386*('Energy and charging'!$C$9*'Energy and charging'!$C$7+(1-'Energy and charging'!$C$9)*'Energy and charging'!$C$8)*'Operating costs'!$B$23),"n.a."))</f>
        <v>0</v>
      </c>
      <c r="M386" s="37">
        <f>IF(C386=0,0,IF(P386="Complete",IF(D386="ICE",SUM('Operating costs'!$B$25,'Operating costs'!$B$27,'Operating costs'!$B$29,'Operating costs'!$B$31,'Operating costs'!$B$33,'Operating costs'!$B$35,'Operating costs'!$B$37,'Replacement plan'!$X$101)+'Operating costs'!$B$40*'Operating costs'!$B$42+ROUNDUP(S386*(R386-'Operating costs'!$B$40)*IF('Replacement plan'!$AH$101="",'Operating costs'!$B$7,'Replacement plan'!$AH$101)/('Operating costs'!$B$8-'Operating costs'!$B$9*IF('Replacement plan'!$AH$101="",'Operating costs'!$B$7,'Replacement plan'!$AH$101)),0)*('Operating costs'!$B$9/'Operating costs'!$B$11+'Operating costs'!$B$10/60)*'Operating costs'!$B$19*'Operating costs'!$B$21,SUM(AP386,'Operating costs'!$B$28,'Operating costs'!$B$30,'Operating costs'!$B$32,'Operating costs'!$B$33,'Operating costs'!$B$36,'Operating costs'!$B$38,'Replacement plan'!$Y$101)+'Operating costs'!$B$41*'Operating costs'!$B$43+W386*'Operating costs'!$B$15+(T386*X386/'Replacement plan'!$L$101+W386*('Operating costs'!$B$12/'Operating costs'!$B$11+('Operating costs'!$B$13+'Operating costs'!$B$14)/60)+(R386-'Operating costs'!$B$41)*(IF(T386&lt;1,'Operating costs'!$B$16,0)+'Operating costs'!$B$17)/60)*'Operating costs'!$B$19*'Operating costs'!$B$20),"n.a."))</f>
        <v>0</v>
      </c>
      <c r="N386" s="16">
        <f>IF(AND(C386=1,D386="EV",E386&lt;120,E386+'Replacement plan'!$AA$101&lt;=120),'Replacement plan'!$Z$101,0)</f>
        <v>0</v>
      </c>
      <c r="O386" s="1">
        <f>E386+'Replacement plan'!$AA$101</f>
        <v>0</v>
      </c>
      <c r="P386" s="35" t="str">
        <f>IFERROR(IF(C386=0,"Excluded",IF(OR(COUNTIFS('Fleet register'!$A$7:$A$106,A386)&lt;&gt;1,COUNTIFS('Replacement plan'!$A$7:$A$106,A386)&lt;&gt;1),"Duplicate/missing ID",IF(NOT(AND(ISNUMBER(VLOOKUP($A386,'Fleet register'!$A$7:$S$106,5,FALSE)),ISNUMBER(VLOOKUP($A386,'Fleet register'!$A$7:$S$106,6,FALSE)),ISNUMBER(VLOOKUP($A386,'Fleet register'!$A$7:$S$106,10,FALSE)),ISNUMBER(VLOOKUP($A386,'Fleet register'!$A$7:$S$106,11,FALSE)),ISNUMBER(VLOOKUP($A386,'Fleet register'!$A$7:$S$106,12,FALSE)),ISNUMBER(VLOOKUP($A386,'Fleet register'!$A$7:$S$106,13,FALSE)),ISNUMBER(VLOOKUP($A386,'Fleet register'!$A$7:$S$106,14,FALSE)),VLOOKUP($A386,'Fleet register'!$A$7:$S$106,14,FALSE)&gt;0,ISNUMBER('Replacement plan'!$C$101),OR(E386=120,ISNUMBER('Replacement plan'!$T$101)),ISNUMBER(E386))),"Missing vehicle input",IF(OR(E386&lt;0,E386&gt;VLOOKUP($A386,'Fleet register'!$A$7:$S$106,10,FALSE),E386&gt;120,E386&lt;&gt;INT(E386),VLOOKUP($A386,'Fleet register'!$A$7:$S$106,6,FALSE)&lt;=0,VLOOKUP($A386,'Fleet register'!$A$7:$S$106,6,FALSE)&gt;366,VLOOKUP($A386,'Fleet register'!$A$7:$S$106,5,FALSE)&lt;0,VLOOKUP($A386,'Fleet register'!$A$7:$S$106,11,FALSE)&lt;0,I386&lt;0,'Operating costs'!$B$8&lt;='Operating costs'!$B$7*'Operating costs'!$B$9,'Operating costs'!$B$11&lt;=0,'Operating costs'!$B$39&gt;R386,'Operating costs'!$B$40&gt;R386,'Operating costs'!$B$41&gt;R386,NOT(OR('Replacement plan'!$R$101="Keep ICE",'Replacement plan'!$R$101="New ICE",'Replacement plan'!$R$101="EV"))),"Invalid vehicle input",IF(AND(D386="EV",E386&lt;120,OR(NOT(ISNUMBER(U386)),NOT(ISNUMBER(V386)),V386&lt;=0,T386&lt;0,T386&gt;1,'Replacement plan'!$L$101&lt;=0,'Operating costs'!$B$44&lt;0,'Operating costs'!$B$44&gt;=1,'Operating costs'!$B$47&lt;=0,'Operating costs'!$B$47&gt;1,V386*'Operating costs'!$B$47/(1-'Operating costs'!$B$44)&lt;=T386*'Operating costs'!$B$12*U386,AND('Replacement plan'!$Z$101&gt;0,OR('Replacement plan'!$AB$101&lt;&gt;"Yes",'Operating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charging'!$C$8&gt;=0))),ISNUMBER(VLOOKUP($A386,'Fleet register'!$A$7:$S$106,15,FALSE)),ISNUMBER(VLOOKUP($A386,'Fleet register'!$A$7:$S$106,16,FALSE)),ISNUMBER('Replacement plan'!$W$101),ISNUMBER('Replacement plan'!$X$101),OR(E386=120,AND(ISNUMBER(G386),G386&gt;=0)),ISNUMBER(H386),H386&gt;=0,OR(D386&lt;&gt;"EV",E386=120,AND(ISNUMBER('Operating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average",ISNUMBER(IFERROR(INDEX(Products!$P$7:$P$13,MATCH(AD386,Products!$A$7:$A$13,0)),"")))),ISNUMBER('Operating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plan'!$Y$101),ISNUMBER('Replacement plan'!$Z$101),'Replacement plan'!$Z$101&gt;=0,ISNUMBER('Replacement plan'!$AA$101),'Replacement plan'!$AA$101&gt;=0,'Replacement plan'!$AA$101=INT('Replacement plan'!$AA$101),ISNUMBER('Replacement plan'!$L$101))),'Operating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plan'!$AG$101="",'Operating costs'!$B$7,'Replacement plan'!$AG$101)),IF('Replacement plan'!$AG$101="",'Operating costs'!$B$7,'Replacement plan'!$AG$101)&gt;=0,ISNUMBER(IF('Replacement plan'!$AH$101="",'Operating costs'!$B$7,'Replacement plan'!$AH$101)),IF('Replacement plan'!$AH$101="",'Operating costs'!$B$7,'Replacement plan'!$AH$101)&gt;=0,'Operating costs'!$B$8&gt;MAX(IF('Replacement plan'!$AG$101="",'Operating costs'!$B$7,'Replacement plan'!$AG$101),IF('Replacement plan'!$AH$101="",'Operating costs'!$B$7,'Replacement plan'!$AH$101))*'Operating costs'!$B$9),IF(AND(VLOOKUP($A386,'Fleet register'!$A$7:$S$106,10,FALSE)&gt;=0,VLOOKUP($A386,'Fleet register'!$A$7:$S$106,10,FALSE)&lt;=120,VLOOKUP($A386,'Fleet register'!$A$7:$S$106,10,FALSE)=INT(VLOOKUP($A386,'Fleet register'!$A$7:$S$106,10,FALSE)),VLOOKUP($A386,'Fleet register'!$A$7:$S$106,15,FALSE)&gt;=0,VLOOKUP($A386,'Fleet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costs'!$B$67)&gt;=0,OR(D386&lt;&gt;"EV",E386=120,AND(MIN('Operating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86" s="1" t="str">
        <f>IF(C386=0,"Excluded",IF(P386&lt;&gt;"Complete",P386,IF(OR('Replacement plan'!$AD$101&lt;120-E386,AND(D386="EV",E386&lt;120,OR('Replacement plan'!$AC$101&lt;120-E386,'Replacement plan'!$I$101="No",AND(ISNUMBER(AF386),AE386&gt;AF386),AI386&gt;V386*(1-'Operating costs'!$B$46)^MAX(0,AB386-1)*(1-'Operating costs'!$B$45),AC386&gt;'Operating costs'!$B$18,AND(T386&lt;1,OR(AG386&lt;=0,AND(ISNUMBER(AH386),AG386&gt;AH386))),'Replacement plan'!$L$101&gt;INDEX(Products!$H$7:$H$13,MATCH('Replacement plan'!$B$101,Products!$A$7:$A$13,0))))),"Fails entered limits",IF(AND(D386="EV",E386&lt;120,OR(NOT(ISNUMBER(VLOOKUP($A386,'Fleet register'!$A$7:$S$106,7,FALSE))),NOT(ISNUMBER(VLOOKUP($A386,'Fleet register'!$A$7:$S$106,8,FALSE))),NOT(ISNUMBER(AF386)),'Replacement plan'!$I$101&lt;&gt;"Yes",NOT(ISNUMBER(AH386)),'Operating costs'!$B$59&lt;&gt;"Yes",'Operating costs'!$B$58&lt;&gt;"Yes")),"Unverified","Within entered limits"))))</f>
        <v>Excluded</v>
      </c>
      <c r="R386" s="1">
        <f>IF(C386=0,0,VLOOKUP($A386,'Fleet register'!$A$7:$S$106,6,FALSE))</f>
        <v>0</v>
      </c>
      <c r="S386" s="1">
        <f>IF(C386=0,0,VLOOKUP($A386,'Fleet register'!$A$7:$S$106,5,FALSE))</f>
        <v>0</v>
      </c>
      <c r="T386" s="1">
        <f>IF(D386="EV",'Energy and charging'!$C$12,0)</f>
        <v>0</v>
      </c>
      <c r="U386" s="1">
        <f>IFERROR(IF(C386=0,0,IF(D386="EV",IF('Replacement plan'!$F$101="",INDEX(Products!$E$7:$E$13,MATCH('Replacement plan'!$B$101,Products!$A$7:$A$13,0)),'Replacement plan'!$F$101)/IF('Replacement plan'!$G$101="Battery",1-'Operating costs'!$B$44,1),0)),"n.a.")</f>
        <v>0</v>
      </c>
      <c r="V386" s="1">
        <f>IFERROR(IF(C386=0,0,IF(D386="EV",IF('Replacement plan'!$E$101="",INDEX(Products!$D$7:$D$13,MATCH('Replacement plan'!$B$101,Products!$A$7:$A$13,0)),'Replacement plan'!$E$101),0)),"n.a.")</f>
        <v>0</v>
      </c>
      <c r="W386" s="1">
        <f>IF(C386=0,0,IF(AND(P386="Complete",D386="EV",E386&lt;120),IF(T386=0,0,ROUNDUP(T386*(R386-'Operating costs'!$B$41)*(S386*U386+'Operating costs'!$B$48/(1-'Operating costs'!$B$44))/(V386*'Operating costs'!$B$47/(1-'Operating costs'!$B$44)-T386*'Operating costs'!$B$12*U386),0)),0))</f>
        <v>0</v>
      </c>
      <c r="X386" s="1">
        <f>IF(C386=0,0,IF(AND(P386="Complete",D386="EV",E386&lt;120),(R386-'Operating costs'!$B$41)*(S386*U386+'Operating costs'!$B$48/(1-'Operating costs'!$B$44))+W386*'Operating costs'!$B$12*U386,0))</f>
        <v>0</v>
      </c>
      <c r="Y386" s="1">
        <f>IF(AND(C386=1,D386="EV",E386&lt;120),AI386/(1-'Operating costs'!$B$44)*(1-T386),0)</f>
        <v>0</v>
      </c>
      <c r="Z386" s="1">
        <f t="shared" si="10"/>
        <v>0</v>
      </c>
      <c r="AA386" s="1">
        <f>IF(C386=0,0,IF(P386="Complete",((S386*(R386-'Operating costs'!$B$40))+ROUNDUP(S386*(R386-'Operating costs'!$B$40)*IF('Replacement plan'!$AH$101="",'Operating costs'!$B$7,'Replacement plan'!$AH$101)/('Operating costs'!$B$8-'Operating costs'!$B$9*IF('Replacement plan'!$AH$101="",'Operating costs'!$B$7,'Replacement plan'!$AH$101)),0)*'Operating costs'!$B$9)*IF('Replacement plan'!$AH$101="",'Operating costs'!$B$7,'Replacement plan'!$AH$101),"n.a."))</f>
        <v>0</v>
      </c>
      <c r="AB386" s="1">
        <f t="shared" si="11"/>
        <v>0</v>
      </c>
      <c r="AC386" s="1">
        <f>IF(AND(C386=1,D386="EV",E386&lt;120,T386&gt;0),'Operating costs'!$B$12/'Operating costs'!$B$11*60+'Operating costs'!$B$13+'Operating costs'!$B$14+V386*'Operating costs'!$B$47/(1-'Operating costs'!$B$44)/'Replacement plan'!$L$101*60,0)</f>
        <v>0</v>
      </c>
      <c r="AD386" s="1" t="str">
        <f>'Replacement plan'!$B$101</f>
        <v>ChengLong L2EV</v>
      </c>
      <c r="AE386" s="1">
        <f>IF(C386=0,0,VLOOKUP($A386,'Fleet register'!$A$7:$S$106,8,FALSE))</f>
        <v>0</v>
      </c>
      <c r="AF386" s="1" t="str">
        <f>IF('Replacement plan'!$H$101="","n.a.",'Replacement plan'!$H$101)</f>
        <v>n.a.</v>
      </c>
      <c r="AG386" s="1">
        <f>'Replacement plan'!$J$101</f>
        <v>22</v>
      </c>
      <c r="AH386" s="1">
        <f>IFERROR(IF(D386="EV",IF('Replacement plan'!$K$101="AC",IF(ISNUMBER(INDEX(Products!$G$7:$G$13,MATCH('Replacement plan'!$B$101,Products!$A$7:$A$13,0))),INDEX(Products!$G$7:$G$13,MATCH('Replacement plan'!$B$101,Products!$A$7:$A$13,0)),"n.a."),IF(ISNUMBER(INDEX(Products!$H$7:$H$13,MATCH('Replacement plan'!$B$101,Products!$A$7:$A$13,0))),INDEX(Products!$H$7:$H$13,MATCH('Replacement plan'!$B$101,Products!$A$7:$A$13,0)),"n.a.")),0),"n.a.")</f>
        <v>0</v>
      </c>
      <c r="AI386" s="1">
        <f>IF(AND(C386=1,D386="EV",E386&lt;120),(VLOOKUP($A386,'Fleet register'!$A$7:$S$106,7,FALSE)+IF(T386&gt;0,'Operating costs'!$B$12,0))*U386*(1-'Operating costs'!$B$44)+'Operating costs'!$B$49,0)</f>
        <v>0</v>
      </c>
      <c r="AJ386" s="1">
        <f>IF(D386="EV",'Energy and charging'!$C$50,0)</f>
        <v>0</v>
      </c>
      <c r="AK386" s="17">
        <f>EDATE('Operating costs'!$B$63,E386)</f>
        <v>46298</v>
      </c>
      <c r="AL386" s="1">
        <f>IFERROR(IF(D386="EV",INDEX(Products!$B$7:$B$13,MATCH('Replacement plan'!$B$101,Products!$A$7:$A$13,0)),0),"n.a.")</f>
        <v>0</v>
      </c>
      <c r="AM386" s="1" t="str">
        <f>'Replacement plan'!$K$101</f>
        <v>DC</v>
      </c>
      <c r="AN386" s="1" t="str">
        <f>'Replacement plan'!$AE$101</f>
        <v>Assumed</v>
      </c>
      <c r="AO386" s="47">
        <f>IF(AND(C386=1,D386="EV",E386&lt;120),(R386-'Operating costs'!$B$41)*S386+W386*'Operating costs'!$B$12,0)</f>
        <v>0</v>
      </c>
      <c r="AP386" s="41">
        <f>IF(AND(C386=1,D386="EV",E386&lt;120),IF('Operating costs'!$B$68="Hong Seh 200k average",AO386*IFERROR(INDEX(Products!$P$7:$P$13,MATCH(AD386,Products!$A$7:$A$13,0)),"n.a."),'Operating costs'!$B$26),0)</f>
        <v>0</v>
      </c>
      <c r="AQ386" s="40" t="str">
        <f>IF(D386="EV",'Operating costs'!$B$68,"Not applicable")</f>
        <v>Not applicable</v>
      </c>
    </row>
    <row r="387" spans="1:43" ht="24" customHeight="1">
      <c r="A387" s="1" t="str">
        <f>'Replacement plan'!A102</f>
        <v>T096</v>
      </c>
      <c r="B387" s="1">
        <v>0</v>
      </c>
      <c r="C387" s="1">
        <f>IF(COUNTIFS('Fleet register'!$A$7:$A$106,$A387)=1,VLOOKUP($A387,'Fleet register'!$A$7:$S$106,2,FALSE),0)</f>
        <v>0</v>
      </c>
      <c r="D387" s="1" t="str">
        <f>IF("Keep ICE"="EV","EV","ICE")</f>
        <v>ICE</v>
      </c>
      <c r="E387" s="1">
        <f>IF(C387=0,0,IF('Replacement plan'!$M$102="",VLOOKUP($A387,'Fleet register'!$A$7:$S$106,10,FALSE),'Replacement plan'!$M$102))</f>
        <v>0</v>
      </c>
      <c r="F387" s="16">
        <f>IF(C387=0,0,VLOOKUP($A387,'Fleet register'!$A$7:$S$106,11,FALSE))</f>
        <v>0</v>
      </c>
      <c r="G387" s="16">
        <f>IFERROR(IF(C387=0,0,IF(E387=120,0,IF(D387="ICE",'Replacement plan'!$C$102,IF('Replacement plan'!$D$102="",INDEX(Products!$I$7:$I$13,MATCH('Replacement plan'!$B$102,Products!$A$7:$A$13,0))+'Operating costs'!$B$57,'Replacement plan'!$D$102))*(1+'Operating costs'!$B$50)^(E387/12))),"n.a.")</f>
        <v>0</v>
      </c>
      <c r="H387" s="16">
        <f>IFERROR(IF(C387=0,0,IF(E387=0,F387,VLOOKUP($A387,'Fleet register'!$A$7:$S$106,12,FALSE)+VLOOKUP($A387,'Fleet register'!$A$7:$S$106,13,FALSE)*MAX(0,VLOOKUP($A387,'Fleet register'!$A$7:$S$106,10,FALSE)-E387)/VLOOKUP($A387,'Fleet register'!$A$7:$S$106,14,FALSE))),"n.a.")</f>
        <v>0</v>
      </c>
      <c r="I387" s="16">
        <f>IF(C387=0,0,IF(E387=120,0,'Replacement plan'!$N$102))</f>
        <v>0</v>
      </c>
      <c r="J387" s="16">
        <f>IF(C387=0,0,IF(P387="Complete",((S387*(R387-'Operating costs'!$B$39))+ROUNDUP(S387*(R387-'Operating costs'!$B$39)*IF('Replacement plan'!$AG$102="",'Operating costs'!$B$7,'Replacement plan'!$AG$102)/('Operating costs'!$B$8-'Operating costs'!$B$9*IF('Replacement plan'!$AG$102="",'Operating costs'!$B$7,'Replacement plan'!$AG$102)),0)*'Operating costs'!$B$9)*IF('Replacement plan'!$AG$102="",'Operating costs'!$B$7,'Replacement plan'!$AG$102)*('Energy and charging'!$B$9*'Energy and charging'!$B$7+(1-'Energy and charging'!$B$9)*'Energy and charging'!$B$8)*'Operating costs'!$B$23,"n.a."))</f>
        <v>0</v>
      </c>
      <c r="K387" s="16">
        <f>IF(C387=0,0,IF(P387="Complete",SUM('Operating costs'!$B$24,'Operating costs'!$B$27,'Operating costs'!$B$29,'Operating costs'!$B$31,'Operating costs'!$B$33,'Operating costs'!$B$34,'Operating costs'!$B$37,'Replacement plan'!$W$102)+'Operating costs'!$B$39*'Operating costs'!$B$42+ROUNDUP(S387*(R387-'Operating costs'!$B$39)*IF('Replacement plan'!$AG$102="",'Operating costs'!$B$7,'Replacement plan'!$AG$102)/('Operating costs'!$B$8-'Operating costs'!$B$9*IF('Replacement plan'!$AG$102="",'Operating costs'!$B$7,'Replacement plan'!$AG$102)),0)*('Operating costs'!$B$9/'Operating costs'!$B$11+'Operating costs'!$B$10/60)*'Operating costs'!$B$19*'Operating costs'!$B$21,"n.a."))</f>
        <v>0</v>
      </c>
      <c r="L387" s="16">
        <f>IF(C387=0,0,IF(P387="Complete",IF(D387="EV",X387*((1-T387)*'Energy and charging'!$B$10+T387*'Energy and charging'!$B$11)*'Operating costs'!$B$22,AA387*('Energy and charging'!$B$9*'Energy and charging'!$B$7+(1-'Energy and charging'!$B$9)*'Energy and charging'!$B$8)*'Operating costs'!$B$23),"n.a."))</f>
        <v>0</v>
      </c>
      <c r="M387" s="37">
        <f>IF(C387=0,0,IF(P387="Complete",IF(D387="ICE",SUM('Operating costs'!$B$25,'Operating costs'!$B$27,'Operating costs'!$B$29,'Operating costs'!$B$31,'Operating costs'!$B$33,'Operating costs'!$B$35,'Operating costs'!$B$37,'Replacement plan'!$X$102)+'Operating costs'!$B$40*'Operating costs'!$B$42+ROUNDUP(S387*(R387-'Operating costs'!$B$40)*IF('Replacement plan'!$AH$102="",'Operating costs'!$B$7,'Replacement plan'!$AH$102)/('Operating costs'!$B$8-'Operating costs'!$B$9*IF('Replacement plan'!$AH$102="",'Operating costs'!$B$7,'Replacement plan'!$AH$102)),0)*('Operating costs'!$B$9/'Operating costs'!$B$11+'Operating costs'!$B$10/60)*'Operating costs'!$B$19*'Operating costs'!$B$21,SUM(AP387,'Operating costs'!$B$28,'Operating costs'!$B$30,'Operating costs'!$B$32,'Operating costs'!$B$33,'Operating costs'!$B$36,'Operating costs'!$B$38,'Replacement plan'!$Y$102)+'Operating costs'!$B$41*'Operating costs'!$B$43+W387*'Operating costs'!$B$15+(T387*X387/'Replacement plan'!$L$102+W387*('Operating costs'!$B$12/'Operating costs'!$B$11+('Operating costs'!$B$13+'Operating costs'!$B$14)/60)+(R387-'Operating costs'!$B$41)*(IF(T387&lt;1,'Operating costs'!$B$16,0)+'Operating costs'!$B$17)/60)*'Operating costs'!$B$19*'Operating costs'!$B$20),"n.a."))</f>
        <v>0</v>
      </c>
      <c r="N387" s="16">
        <f>IF(AND(C387=1,D387="EV",E387&lt;120,E387+'Replacement plan'!$AA$102&lt;=120),'Replacement plan'!$Z$102,0)</f>
        <v>0</v>
      </c>
      <c r="O387" s="1">
        <f>E387+'Replacement plan'!$AA$102</f>
        <v>0</v>
      </c>
      <c r="P387" s="35" t="str">
        <f>IFERROR(IF(C387=0,"Excluded",IF(OR(COUNTIFS('Fleet register'!$A$7:$A$106,A387)&lt;&gt;1,COUNTIFS('Replacement plan'!$A$7:$A$106,A387)&lt;&gt;1),"Duplicate/missing ID",IF(NOT(AND(ISNUMBER(VLOOKUP($A387,'Fleet register'!$A$7:$S$106,5,FALSE)),ISNUMBER(VLOOKUP($A387,'Fleet register'!$A$7:$S$106,6,FALSE)),ISNUMBER(VLOOKUP($A387,'Fleet register'!$A$7:$S$106,10,FALSE)),ISNUMBER(VLOOKUP($A387,'Fleet register'!$A$7:$S$106,11,FALSE)),ISNUMBER(VLOOKUP($A387,'Fleet register'!$A$7:$S$106,12,FALSE)),ISNUMBER(VLOOKUP($A387,'Fleet register'!$A$7:$S$106,13,FALSE)),ISNUMBER(VLOOKUP($A387,'Fleet register'!$A$7:$S$106,14,FALSE)),VLOOKUP($A387,'Fleet register'!$A$7:$S$106,14,FALSE)&gt;0,ISNUMBER('Replacement plan'!$C$102),OR(E387=120,ISNUMBER('Replacement plan'!$N$102)),ISNUMBER(E387))),"Missing vehicle input",IF(OR(E387&lt;0,E387&gt;VLOOKUP($A387,'Fleet register'!$A$7:$S$106,10,FALSE),E387&gt;120,E387&lt;&gt;INT(E387),VLOOKUP($A387,'Fleet register'!$A$7:$S$106,6,FALSE)&lt;=0,VLOOKUP($A387,'Fleet register'!$A$7:$S$106,6,FALSE)&gt;366,VLOOKUP($A387,'Fleet register'!$A$7:$S$106,5,FALSE)&lt;0,VLOOKUP($A387,'Fleet register'!$A$7:$S$106,11,FALSE)&lt;0,I387&lt;0,'Operating costs'!$B$8&lt;='Operating costs'!$B$7*'Operating costs'!$B$9,'Operating costs'!$B$11&lt;=0,'Operating costs'!$B$39&gt;R387,'Operating costs'!$B$40&gt;R387,'Operating costs'!$B$41&gt;R387,NOT(OR("Keep ICE"="Keep ICE","Keep ICE"="New ICE","Keep ICE"="EV"))),"Invalid vehicle input",IF(AND(D387="EV",E387&lt;120,OR(NOT(ISNUMBER(U387)),NOT(ISNUMBER(V387)),V387&lt;=0,T387&lt;0,T387&gt;1,'Replacement plan'!$L$102&lt;=0,'Operating costs'!$B$44&lt;0,'Operating costs'!$B$44&gt;=1,'Operating costs'!$B$47&lt;=0,'Operating costs'!$B$47&gt;1,V387*'Operating costs'!$B$47/(1-'Operating costs'!$B$44)&lt;=T387*'Operating costs'!$B$12*U387,AND('Replacement plan'!$Z$102&gt;0,OR('Replacement plan'!$AB$102&lt;&gt;"Yes",'Operating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charging'!$B$8&gt;=0))),ISNUMBER(VLOOKUP($A387,'Fleet register'!$A$7:$S$106,15,FALSE)),ISNUMBER(VLOOKUP($A387,'Fleet register'!$A$7:$S$106,16,FALSE)),ISNUMBER('Replacement plan'!$W$102),ISNUMBER('Replacement plan'!$X$102),OR(E387=120,AND(ISNUMBER(G387),G387&gt;=0)),ISNUMBER(H387),H387&gt;=0,OR(D387&lt;&gt;"EV",E387=120,AND(ISNUMBER('Operating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average",ISNUMBER(IFERROR(INDEX(Products!$P$7:$P$13,MATCH(AD387,Products!$A$7:$A$13,0)),"")))),ISNUMBER('Operating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plan'!$Y$102),ISNUMBER('Replacement plan'!$Z$102),'Replacement plan'!$Z$102&gt;=0,ISNUMBER('Replacement plan'!$AA$102),'Replacement plan'!$AA$102&gt;=0,'Replacement plan'!$AA$102=INT('Replacement plan'!$AA$102),ISNUMBER('Replacement plan'!$L$102))),'Operating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plan'!$AG$102="",'Operating costs'!$B$7,'Replacement plan'!$AG$102)),IF('Replacement plan'!$AG$102="",'Operating costs'!$B$7,'Replacement plan'!$AG$102)&gt;=0,ISNUMBER(IF('Replacement plan'!$AH$102="",'Operating costs'!$B$7,'Replacement plan'!$AH$102)),IF('Replacement plan'!$AH$102="",'Operating costs'!$B$7,'Replacement plan'!$AH$102)&gt;=0,'Operating costs'!$B$8&gt;MAX(IF('Replacement plan'!$AG$102="",'Operating costs'!$B$7,'Replacement plan'!$AG$102),IF('Replacement plan'!$AH$102="",'Operating costs'!$B$7,'Replacement plan'!$AH$102))*'Operating costs'!$B$9),IF(AND(VLOOKUP($A387,'Fleet register'!$A$7:$S$106,10,FALSE)&gt;=0,VLOOKUP($A387,'Fleet register'!$A$7:$S$106,10,FALSE)&lt;=120,VLOOKUP($A387,'Fleet register'!$A$7:$S$106,10,FALSE)=INT(VLOOKUP($A387,'Fleet register'!$A$7:$S$106,10,FALSE)),VLOOKUP($A387,'Fleet register'!$A$7:$S$106,15,FALSE)&gt;=0,VLOOKUP($A387,'Fleet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costs'!$B$67)&gt;=0,OR(D387&lt;&gt;"EV",E387=120,AND(MIN('Operating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87" s="1" t="str">
        <f>IF(C387=0,"Excluded",IF(P387&lt;&gt;"Complete",P387,IF(OR('Replacement plan'!$AD$102&lt;120-E387,AND(D387="EV",E387&lt;120,OR('Replacement plan'!$AC$102&lt;120-E387,'Replacement plan'!$I$102="No",AND(ISNUMBER(AF387),AE387&gt;AF387),AI387&gt;V387*(1-'Operating costs'!$B$46)^MAX(0,AB387-1)*(1-'Operating costs'!$B$45),AC387&gt;'Operating costs'!$B$18,AND(T387&lt;1,OR(AG387&lt;=0,AND(ISNUMBER(AH387),AG387&gt;AH387))),'Replacement plan'!$L$102&gt;INDEX(Products!$H$7:$H$13,MATCH('Replacement plan'!$B$102,Products!$A$7:$A$13,0))))),"Fails entered limits",IF(AND(D387="EV",E387&lt;120,OR(NOT(ISNUMBER(VLOOKUP($A387,'Fleet register'!$A$7:$S$106,7,FALSE))),NOT(ISNUMBER(VLOOKUP($A387,'Fleet register'!$A$7:$S$106,8,FALSE))),NOT(ISNUMBER(AF387)),'Replacement plan'!$I$102&lt;&gt;"Yes",NOT(ISNUMBER(AH387)),'Operating costs'!$B$59&lt;&gt;"Yes",'Operating costs'!$B$58&lt;&gt;"Yes")),"Unverified","Within entered limits"))))</f>
        <v>Excluded</v>
      </c>
      <c r="R387" s="1">
        <f>IF(C387=0,0,VLOOKUP($A387,'Fleet register'!$A$7:$S$106,6,FALSE))</f>
        <v>0</v>
      </c>
      <c r="S387" s="1">
        <f>IF(C387=0,0,VLOOKUP($A387,'Fleet register'!$A$7:$S$106,5,FALSE))</f>
        <v>0</v>
      </c>
      <c r="T387" s="1">
        <f>IF(D387="EV",'Energy and charging'!$B$12,0)</f>
        <v>0</v>
      </c>
      <c r="U387" s="1">
        <f>IFERROR(IF(C387=0,0,IF(D387="EV",IF('Replacement plan'!$F$102="",INDEX(Products!$E$7:$E$13,MATCH('Replacement plan'!$B$102,Products!$A$7:$A$13,0)),'Replacement plan'!$F$102)/IF('Replacement plan'!$G$102="Battery",1-'Operating costs'!$B$44,1),0)),"n.a.")</f>
        <v>0</v>
      </c>
      <c r="V387" s="1">
        <f>IFERROR(IF(C387=0,0,IF(D387="EV",IF('Replacement plan'!$E$102="",INDEX(Products!$D$7:$D$13,MATCH('Replacement plan'!$B$102,Products!$A$7:$A$13,0)),'Replacement plan'!$E$102),0)),"n.a.")</f>
        <v>0</v>
      </c>
      <c r="W387" s="1">
        <f>IF(C387=0,0,IF(AND(P387="Complete",D387="EV",E387&lt;120),IF(T387=0,0,ROUNDUP(T387*(R387-'Operating costs'!$B$41)*(S387*U387+'Operating costs'!$B$48/(1-'Operating costs'!$B$44))/(V387*'Operating costs'!$B$47/(1-'Operating costs'!$B$44)-T387*'Operating costs'!$B$12*U387),0)),0))</f>
        <v>0</v>
      </c>
      <c r="X387" s="1">
        <f>IF(C387=0,0,IF(AND(P387="Complete",D387="EV",E387&lt;120),(R387-'Operating costs'!$B$41)*(S387*U387+'Operating costs'!$B$48/(1-'Operating costs'!$B$44))+W387*'Operating costs'!$B$12*U387,0))</f>
        <v>0</v>
      </c>
      <c r="Y387" s="1">
        <f>IF(AND(C387=1,D387="EV",E387&lt;120),AI387/(1-'Operating costs'!$B$44)*(1-T387),0)</f>
        <v>0</v>
      </c>
      <c r="Z387" s="1">
        <f t="shared" si="10"/>
        <v>0</v>
      </c>
      <c r="AA387" s="1">
        <f>IF(C387=0,0,IF(P387="Complete",((S387*(R387-'Operating costs'!$B$40))+ROUNDUP(S387*(R387-'Operating costs'!$B$40)*IF('Replacement plan'!$AH$102="",'Operating costs'!$B$7,'Replacement plan'!$AH$102)/('Operating costs'!$B$8-'Operating costs'!$B$9*IF('Replacement plan'!$AH$102="",'Operating costs'!$B$7,'Replacement plan'!$AH$102)),0)*'Operating costs'!$B$9)*IF('Replacement plan'!$AH$102="",'Operating costs'!$B$7,'Replacement plan'!$AH$102),"n.a."))</f>
        <v>0</v>
      </c>
      <c r="AB387" s="1">
        <f t="shared" si="11"/>
        <v>0</v>
      </c>
      <c r="AC387" s="1">
        <f>IF(AND(C387=1,D387="EV",E387&lt;120,T387&gt;0),'Operating costs'!$B$12/'Operating costs'!$B$11*60+'Operating costs'!$B$13+'Operating costs'!$B$14+V387*'Operating costs'!$B$47/(1-'Operating costs'!$B$44)/'Replacement plan'!$L$102*60,0)</f>
        <v>0</v>
      </c>
      <c r="AD387" s="1" t="str">
        <f>'Replacement plan'!$B$102</f>
        <v>ChengLong L2EV</v>
      </c>
      <c r="AE387" s="1">
        <f>IF(C387=0,0,VLOOKUP($A387,'Fleet register'!$A$7:$S$106,8,FALSE))</f>
        <v>0</v>
      </c>
      <c r="AF387" s="1" t="str">
        <f>IF('Replacement plan'!$H$102="","n.a.",'Replacement plan'!$H$102)</f>
        <v>n.a.</v>
      </c>
      <c r="AG387" s="1">
        <f>'Replacement plan'!$J$102</f>
        <v>22</v>
      </c>
      <c r="AH387" s="1">
        <f>IFERROR(IF(D387="EV",IF('Replacement plan'!$K$102="AC",IF(ISNUMBER(INDEX(Products!$G$7:$G$13,MATCH('Replacement plan'!$B$102,Products!$A$7:$A$13,0))),INDEX(Products!$G$7:$G$13,MATCH('Replacement plan'!$B$102,Products!$A$7:$A$13,0)),"n.a."),IF(ISNUMBER(INDEX(Products!$H$7:$H$13,MATCH('Replacement plan'!$B$102,Products!$A$7:$A$13,0))),INDEX(Products!$H$7:$H$13,MATCH('Replacement plan'!$B$102,Products!$A$7:$A$13,0)),"n.a.")),0),"n.a.")</f>
        <v>0</v>
      </c>
      <c r="AI387" s="1">
        <f>IF(AND(C387=1,D387="EV",E387&lt;120),(VLOOKUP($A387,'Fleet register'!$A$7:$S$106,7,FALSE)+IF(T387&gt;0,'Operating costs'!$B$12,0))*U387*(1-'Operating costs'!$B$44)+'Operating costs'!$B$49,0)</f>
        <v>0</v>
      </c>
      <c r="AJ387" s="1">
        <f>IF(D387="EV",'Energy and charging'!$B$50,0)</f>
        <v>0</v>
      </c>
      <c r="AK387" s="17">
        <f>EDATE('Operating costs'!$B$63,E387)</f>
        <v>46298</v>
      </c>
      <c r="AL387" s="1">
        <f>IFERROR(IF(D387="EV",INDEX(Products!$B$7:$B$13,MATCH('Replacement plan'!$B$102,Products!$A$7:$A$13,0)),0),"n.a.")</f>
        <v>0</v>
      </c>
      <c r="AM387" s="1" t="str">
        <f>'Replacement plan'!$K$102</f>
        <v>DC</v>
      </c>
      <c r="AN387" s="1" t="str">
        <f>'Replacement plan'!$AE$102</f>
        <v>Assumed</v>
      </c>
      <c r="AO387" s="47">
        <f>IF(AND(C387=1,D387="EV",E387&lt;120),(R387-'Operating costs'!$B$41)*S387+W387*'Operating costs'!$B$12,0)</f>
        <v>0</v>
      </c>
      <c r="AP387" s="41">
        <f>IF(AND(C387=1,D387="EV",E387&lt;120),IF('Operating costs'!$B$68="Hong Seh 200k average",AO387*IFERROR(INDEX(Products!$P$7:$P$13,MATCH(AD387,Products!$A$7:$A$13,0)),"n.a."),'Operating costs'!$B$26),0)</f>
        <v>0</v>
      </c>
      <c r="AQ387" s="40" t="str">
        <f>IF(D387="EV",'Operating costs'!$B$68,"Not applicable")</f>
        <v>Not applicable</v>
      </c>
    </row>
    <row r="388" spans="1:43" ht="24" customHeight="1">
      <c r="A388" s="1" t="str">
        <f>'Replacement plan'!A102</f>
        <v>T096</v>
      </c>
      <c r="B388" s="1">
        <v>1</v>
      </c>
      <c r="C388" s="1">
        <f>IF(COUNTIFS('Fleet register'!$A$7:$A$106,$A388)=1,VLOOKUP($A388,'Fleet register'!$A$7:$S$106,2,FALSE),0)</f>
        <v>0</v>
      </c>
      <c r="D388" s="1" t="str">
        <f>IF("New ICE"="EV","EV","ICE")</f>
        <v>ICE</v>
      </c>
      <c r="E388" s="1">
        <f>IF(C388=0,0,0)</f>
        <v>0</v>
      </c>
      <c r="F388" s="16">
        <f>IF(C388=0,0,VLOOKUP($A388,'Fleet register'!$A$7:$S$106,11,FALSE))</f>
        <v>0</v>
      </c>
      <c r="G388" s="16">
        <f>IFERROR(IF(C388=0,0,IF(E388=120,0,IF(D388="ICE",'Replacement plan'!$C$102,IF('Replacement plan'!$D$102="",INDEX(Products!$I$7:$I$13,MATCH('Replacement plan'!$B$102,Products!$A$7:$A$13,0))+'Operating costs'!$B$57,'Replacement plan'!$D$102))*(1+'Operating costs'!$B$50)^(E388/12))),"n.a.")</f>
        <v>0</v>
      </c>
      <c r="H388" s="16">
        <f>IFERROR(IF(C388=0,0,IF(E388=0,F388,VLOOKUP($A388,'Fleet register'!$A$7:$S$106,12,FALSE)+VLOOKUP($A388,'Fleet register'!$A$7:$S$106,13,FALSE)*MAX(0,VLOOKUP($A388,'Fleet register'!$A$7:$S$106,10,FALSE)-E388)/VLOOKUP($A388,'Fleet register'!$A$7:$S$106,14,FALSE))),"n.a.")</f>
        <v>0</v>
      </c>
      <c r="I388" s="16">
        <f>IF(C388=0,0,IF(E388=120,0,IF('Replacement plan'!$AI$102="",'Operating costs'!$B$56,'Replacement plan'!$AI$102)))</f>
        <v>0</v>
      </c>
      <c r="J388" s="16">
        <f>IF(C388=0,0,IF(P388="Complete",((S388*(R388-'Operating costs'!$B$39))+ROUNDUP(S388*(R388-'Operating costs'!$B$39)*IF('Replacement plan'!$AG$102="",'Operating costs'!$B$7,'Replacement plan'!$AG$102)/('Operating costs'!$B$8-'Operating costs'!$B$9*IF('Replacement plan'!$AG$102="",'Operating costs'!$B$7,'Replacement plan'!$AG$102)),0)*'Operating costs'!$B$9)*IF('Replacement plan'!$AG$102="",'Operating costs'!$B$7,'Replacement plan'!$AG$102)*('Energy and charging'!$B$9*'Energy and charging'!$B$7+(1-'Energy and charging'!$B$9)*'Energy and charging'!$B$8)*'Operating costs'!$B$23,"n.a."))</f>
        <v>0</v>
      </c>
      <c r="K388" s="16">
        <f>IF(C388=0,0,IF(P388="Complete",SUM('Operating costs'!$B$24,'Operating costs'!$B$27,'Operating costs'!$B$29,'Operating costs'!$B$31,'Operating costs'!$B$33,'Operating costs'!$B$34,'Operating costs'!$B$37,'Replacement plan'!$W$102)+'Operating costs'!$B$39*'Operating costs'!$B$42+ROUNDUP(S388*(R388-'Operating costs'!$B$39)*IF('Replacement plan'!$AG$102="",'Operating costs'!$B$7,'Replacement plan'!$AG$102)/('Operating costs'!$B$8-'Operating costs'!$B$9*IF('Replacement plan'!$AG$102="",'Operating costs'!$B$7,'Replacement plan'!$AG$102)),0)*('Operating costs'!$B$9/'Operating costs'!$B$11+'Operating costs'!$B$10/60)*'Operating costs'!$B$19*'Operating costs'!$B$21,"n.a."))</f>
        <v>0</v>
      </c>
      <c r="L388" s="16">
        <f>IF(C388=0,0,IF(P388="Complete",IF(D388="EV",X388*((1-T388)*'Energy and charging'!$B$10+T388*'Energy and charging'!$B$11)*'Operating costs'!$B$22,AA388*('Energy and charging'!$B$9*'Energy and charging'!$B$7+(1-'Energy and charging'!$B$9)*'Energy and charging'!$B$8)*'Operating costs'!$B$23),"n.a."))</f>
        <v>0</v>
      </c>
      <c r="M388" s="37">
        <f>IF(C388=0,0,IF(P388="Complete",IF(D388="ICE",SUM('Operating costs'!$B$25,'Operating costs'!$B$27,'Operating costs'!$B$29,'Operating costs'!$B$31,'Operating costs'!$B$33,'Operating costs'!$B$35,'Operating costs'!$B$37,'Replacement plan'!$X$102)+'Operating costs'!$B$40*'Operating costs'!$B$42+ROUNDUP(S388*(R388-'Operating costs'!$B$40)*IF('Replacement plan'!$AH$102="",'Operating costs'!$B$7,'Replacement plan'!$AH$102)/('Operating costs'!$B$8-'Operating costs'!$B$9*IF('Replacement plan'!$AH$102="",'Operating costs'!$B$7,'Replacement plan'!$AH$102)),0)*('Operating costs'!$B$9/'Operating costs'!$B$11+'Operating costs'!$B$10/60)*'Operating costs'!$B$19*'Operating costs'!$B$21,SUM(AP388,'Operating costs'!$B$28,'Operating costs'!$B$30,'Operating costs'!$B$32,'Operating costs'!$B$33,'Operating costs'!$B$36,'Operating costs'!$B$38,'Replacement plan'!$Y$102)+'Operating costs'!$B$41*'Operating costs'!$B$43+W388*'Operating costs'!$B$15+(T388*X388/'Replacement plan'!$L$102+W388*('Operating costs'!$B$12/'Operating costs'!$B$11+('Operating costs'!$B$13+'Operating costs'!$B$14)/60)+(R388-'Operating costs'!$B$41)*(IF(T388&lt;1,'Operating costs'!$B$16,0)+'Operating costs'!$B$17)/60)*'Operating costs'!$B$19*'Operating costs'!$B$20),"n.a."))</f>
        <v>0</v>
      </c>
      <c r="N388" s="16">
        <f>IF(AND(C388=1,D388="EV",E388&lt;120,E388+'Replacement plan'!$AA$102&lt;=120),'Replacement plan'!$Z$102,0)</f>
        <v>0</v>
      </c>
      <c r="O388" s="1">
        <f>E388+'Replacement plan'!$AA$102</f>
        <v>0</v>
      </c>
      <c r="P388" s="35" t="str">
        <f>IFERROR(IF(C388=0,"Excluded",IF(OR(COUNTIFS('Fleet register'!$A$7:$A$106,A388)&lt;&gt;1,COUNTIFS('Replacement plan'!$A$7:$A$106,A388)&lt;&gt;1),"Duplicate/missing ID",IF(NOT(AND(ISNUMBER(VLOOKUP($A388,'Fleet register'!$A$7:$S$106,5,FALSE)),ISNUMBER(VLOOKUP($A388,'Fleet register'!$A$7:$S$106,6,FALSE)),ISNUMBER(VLOOKUP($A388,'Fleet register'!$A$7:$S$106,10,FALSE)),ISNUMBER(VLOOKUP($A388,'Fleet register'!$A$7:$S$106,11,FALSE)),ISNUMBER(VLOOKUP($A388,'Fleet register'!$A$7:$S$106,12,FALSE)),ISNUMBER(VLOOKUP($A388,'Fleet register'!$A$7:$S$106,13,FALSE)),ISNUMBER(VLOOKUP($A388,'Fleet register'!$A$7:$S$106,14,FALSE)),VLOOKUP($A388,'Fleet register'!$A$7:$S$106,14,FALSE)&gt;0,ISNUMBER('Replacement plan'!$C$102),OR(E388=120,OR(ISNUMBER('Replacement plan'!$AI$102),AND('Replacement plan'!$AI$102="",ISNUMBER('Operating costs'!$B$56)))),ISNUMBER(E388))),"Missing vehicle input",IF(OR(E388&lt;0,E388&gt;VLOOKUP($A388,'Fleet register'!$A$7:$S$106,10,FALSE),E388&gt;120,E388&lt;&gt;INT(E388),VLOOKUP($A388,'Fleet register'!$A$7:$S$106,6,FALSE)&lt;=0,VLOOKUP($A388,'Fleet register'!$A$7:$S$106,6,FALSE)&gt;366,VLOOKUP($A388,'Fleet register'!$A$7:$S$106,5,FALSE)&lt;0,VLOOKUP($A388,'Fleet register'!$A$7:$S$106,11,FALSE)&lt;0,I388&lt;0,'Operating costs'!$B$8&lt;='Operating costs'!$B$7*'Operating costs'!$B$9,'Operating costs'!$B$11&lt;=0,'Operating costs'!$B$39&gt;R388,'Operating costs'!$B$40&gt;R388,'Operating costs'!$B$41&gt;R388,NOT(OR("New ICE"="Keep ICE","New ICE"="New ICE","New ICE"="EV"))),"Invalid vehicle input",IF(AND(D388="EV",E388&lt;120,OR(NOT(ISNUMBER(U388)),NOT(ISNUMBER(V388)),V388&lt;=0,T388&lt;0,T388&gt;1,'Replacement plan'!$L$102&lt;=0,'Operating costs'!$B$44&lt;0,'Operating costs'!$B$44&gt;=1,'Operating costs'!$B$47&lt;=0,'Operating costs'!$B$47&gt;1,V388*'Operating costs'!$B$47/(1-'Operating costs'!$B$44)&lt;=T388*'Operating costs'!$B$12*U388,AND('Replacement plan'!$Z$102&gt;0,OR('Replacement plan'!$AB$102&lt;&gt;"Yes",'Operating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charging'!$B$8&gt;=0))),ISNUMBER(VLOOKUP($A388,'Fleet register'!$A$7:$S$106,15,FALSE)),ISNUMBER(VLOOKUP($A388,'Fleet register'!$A$7:$S$106,16,FALSE)),ISNUMBER('Replacement plan'!$W$102),ISNUMBER('Replacement plan'!$X$102),OR(E388=120,AND(ISNUMBER(G388),G388&gt;=0)),ISNUMBER(H388),H388&gt;=0,OR(D388&lt;&gt;"EV",E388=120,AND(ISNUMBER('Operating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average",ISNUMBER(IFERROR(INDEX(Products!$P$7:$P$13,MATCH(AD388,Products!$A$7:$A$13,0)),"")))),ISNUMBER('Operating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plan'!$Y$102),ISNUMBER('Replacement plan'!$Z$102),'Replacement plan'!$Z$102&gt;=0,ISNUMBER('Replacement plan'!$AA$102),'Replacement plan'!$AA$102&gt;=0,'Replacement plan'!$AA$102=INT('Replacement plan'!$AA$102),ISNUMBER('Replacement plan'!$L$102))),'Operating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plan'!$AG$102="",'Operating costs'!$B$7,'Replacement plan'!$AG$102)),IF('Replacement plan'!$AG$102="",'Operating costs'!$B$7,'Replacement plan'!$AG$102)&gt;=0,ISNUMBER(IF('Replacement plan'!$AH$102="",'Operating costs'!$B$7,'Replacement plan'!$AH$102)),IF('Replacement plan'!$AH$102="",'Operating costs'!$B$7,'Replacement plan'!$AH$102)&gt;=0,'Operating costs'!$B$8&gt;MAX(IF('Replacement plan'!$AG$102="",'Operating costs'!$B$7,'Replacement plan'!$AG$102),IF('Replacement plan'!$AH$102="",'Operating costs'!$B$7,'Replacement plan'!$AH$102))*'Operating costs'!$B$9),IF(AND(VLOOKUP($A388,'Fleet register'!$A$7:$S$106,10,FALSE)&gt;=0,VLOOKUP($A388,'Fleet register'!$A$7:$S$106,10,FALSE)&lt;=120,VLOOKUP($A388,'Fleet register'!$A$7:$S$106,10,FALSE)=INT(VLOOKUP($A388,'Fleet register'!$A$7:$S$106,10,FALSE)),VLOOKUP($A388,'Fleet register'!$A$7:$S$106,15,FALSE)&gt;=0,VLOOKUP($A388,'Fleet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costs'!$B$67)&gt;=0,OR(D388&lt;&gt;"EV",E388=120,AND(MIN('Operating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88" s="1" t="str">
        <f>IF(C388=0,"Excluded",IF(P388&lt;&gt;"Complete",P388,IF(OR('Replacement plan'!$AD$102&lt;120-E388,AND(D388="EV",E388&lt;120,OR('Replacement plan'!$AC$102&lt;120-E388,'Replacement plan'!$I$102="No",AND(ISNUMBER(AF388),AE388&gt;AF388),AI388&gt;V388*(1-'Operating costs'!$B$46)^MAX(0,AB388-1)*(1-'Operating costs'!$B$45),AC388&gt;'Operating costs'!$B$18,AND(T388&lt;1,OR(AG388&lt;=0,AND(ISNUMBER(AH388),AG388&gt;AH388))),'Replacement plan'!$L$102&gt;INDEX(Products!$H$7:$H$13,MATCH('Replacement plan'!$B$102,Products!$A$7:$A$13,0))))),"Fails entered limits",IF(AND(D388="EV",E388&lt;120,OR(NOT(ISNUMBER(VLOOKUP($A388,'Fleet register'!$A$7:$S$106,7,FALSE))),NOT(ISNUMBER(VLOOKUP($A388,'Fleet register'!$A$7:$S$106,8,FALSE))),NOT(ISNUMBER(AF388)),'Replacement plan'!$I$102&lt;&gt;"Yes",NOT(ISNUMBER(AH388)),'Operating costs'!$B$59&lt;&gt;"Yes",'Operating costs'!$B$58&lt;&gt;"Yes")),"Unverified","Within entered limits"))))</f>
        <v>Excluded</v>
      </c>
      <c r="R388" s="1">
        <f>IF(C388=0,0,VLOOKUP($A388,'Fleet register'!$A$7:$S$106,6,FALSE))</f>
        <v>0</v>
      </c>
      <c r="S388" s="1">
        <f>IF(C388=0,0,VLOOKUP($A388,'Fleet register'!$A$7:$S$106,5,FALSE))</f>
        <v>0</v>
      </c>
      <c r="T388" s="1">
        <f>IF(D388="EV",'Energy and charging'!$B$12,0)</f>
        <v>0</v>
      </c>
      <c r="U388" s="1">
        <f>IFERROR(IF(C388=0,0,IF(D388="EV",IF('Replacement plan'!$F$102="",INDEX(Products!$E$7:$E$13,MATCH('Replacement plan'!$B$102,Products!$A$7:$A$13,0)),'Replacement plan'!$F$102)/IF('Replacement plan'!$G$102="Battery",1-'Operating costs'!$B$44,1),0)),"n.a.")</f>
        <v>0</v>
      </c>
      <c r="V388" s="1">
        <f>IFERROR(IF(C388=0,0,IF(D388="EV",IF('Replacement plan'!$E$102="",INDEX(Products!$D$7:$D$13,MATCH('Replacement plan'!$B$102,Products!$A$7:$A$13,0)),'Replacement plan'!$E$102),0)),"n.a.")</f>
        <v>0</v>
      </c>
      <c r="W388" s="1">
        <f>IF(C388=0,0,IF(AND(P388="Complete",D388="EV",E388&lt;120),IF(T388=0,0,ROUNDUP(T388*(R388-'Operating costs'!$B$41)*(S388*U388+'Operating costs'!$B$48/(1-'Operating costs'!$B$44))/(V388*'Operating costs'!$B$47/(1-'Operating costs'!$B$44)-T388*'Operating costs'!$B$12*U388),0)),0))</f>
        <v>0</v>
      </c>
      <c r="X388" s="1">
        <f>IF(C388=0,0,IF(AND(P388="Complete",D388="EV",E388&lt;120),(R388-'Operating costs'!$B$41)*(S388*U388+'Operating costs'!$B$48/(1-'Operating costs'!$B$44))+W388*'Operating costs'!$B$12*U388,0))</f>
        <v>0</v>
      </c>
      <c r="Y388" s="1">
        <f>IF(AND(C388=1,D388="EV",E388&lt;120),AI388/(1-'Operating costs'!$B$44)*(1-T388),0)</f>
        <v>0</v>
      </c>
      <c r="Z388" s="1">
        <f t="shared" si="10"/>
        <v>0</v>
      </c>
      <c r="AA388" s="1">
        <f>IF(C388=0,0,IF(P388="Complete",((S388*(R388-'Operating costs'!$B$40))+ROUNDUP(S388*(R388-'Operating costs'!$B$40)*IF('Replacement plan'!$AH$102="",'Operating costs'!$B$7,'Replacement plan'!$AH$102)/('Operating costs'!$B$8-'Operating costs'!$B$9*IF('Replacement plan'!$AH$102="",'Operating costs'!$B$7,'Replacement plan'!$AH$102)),0)*'Operating costs'!$B$9)*IF('Replacement plan'!$AH$102="",'Operating costs'!$B$7,'Replacement plan'!$AH$102),"n.a."))</f>
        <v>0</v>
      </c>
      <c r="AB388" s="1">
        <f t="shared" si="11"/>
        <v>0</v>
      </c>
      <c r="AC388" s="1">
        <f>IF(AND(C388=1,D388="EV",E388&lt;120,T388&gt;0),'Operating costs'!$B$12/'Operating costs'!$B$11*60+'Operating costs'!$B$13+'Operating costs'!$B$14+V388*'Operating costs'!$B$47/(1-'Operating costs'!$B$44)/'Replacement plan'!$L$102*60,0)</f>
        <v>0</v>
      </c>
      <c r="AD388" s="1" t="str">
        <f>'Replacement plan'!$B$102</f>
        <v>ChengLong L2EV</v>
      </c>
      <c r="AE388" s="1">
        <f>IF(C388=0,0,VLOOKUP($A388,'Fleet register'!$A$7:$S$106,8,FALSE))</f>
        <v>0</v>
      </c>
      <c r="AF388" s="1" t="str">
        <f>IF('Replacement plan'!$H$102="","n.a.",'Replacement plan'!$H$102)</f>
        <v>n.a.</v>
      </c>
      <c r="AG388" s="1">
        <f>'Replacement plan'!$J$102</f>
        <v>22</v>
      </c>
      <c r="AH388" s="1">
        <f>IFERROR(IF(D388="EV",IF('Replacement plan'!$K$102="AC",IF(ISNUMBER(INDEX(Products!$G$7:$G$13,MATCH('Replacement plan'!$B$102,Products!$A$7:$A$13,0))),INDEX(Products!$G$7:$G$13,MATCH('Replacement plan'!$B$102,Products!$A$7:$A$13,0)),"n.a."),IF(ISNUMBER(INDEX(Products!$H$7:$H$13,MATCH('Replacement plan'!$B$102,Products!$A$7:$A$13,0))),INDEX(Products!$H$7:$H$13,MATCH('Replacement plan'!$B$102,Products!$A$7:$A$13,0)),"n.a.")),0),"n.a.")</f>
        <v>0</v>
      </c>
      <c r="AI388" s="1">
        <f>IF(AND(C388=1,D388="EV",E388&lt;120),(VLOOKUP($A388,'Fleet register'!$A$7:$S$106,7,FALSE)+IF(T388&gt;0,'Operating costs'!$B$12,0))*U388*(1-'Operating costs'!$B$44)+'Operating costs'!$B$49,0)</f>
        <v>0</v>
      </c>
      <c r="AJ388" s="1">
        <f>IF(D388="EV",'Energy and charging'!$B$50,0)</f>
        <v>0</v>
      </c>
      <c r="AK388" s="17">
        <f>EDATE('Operating costs'!$B$63,E388)</f>
        <v>46298</v>
      </c>
      <c r="AL388" s="1">
        <f>IFERROR(IF(D388="EV",INDEX(Products!$B$7:$B$13,MATCH('Replacement plan'!$B$102,Products!$A$7:$A$13,0)),0),"n.a.")</f>
        <v>0</v>
      </c>
      <c r="AM388" s="1" t="str">
        <f>'Replacement plan'!$K$102</f>
        <v>DC</v>
      </c>
      <c r="AN388" s="1" t="str">
        <f>'Replacement plan'!$AE$102</f>
        <v>Assumed</v>
      </c>
      <c r="AO388" s="47">
        <f>IF(AND(C388=1,D388="EV",E388&lt;120),(R388-'Operating costs'!$B$41)*S388+W388*'Operating costs'!$B$12,0)</f>
        <v>0</v>
      </c>
      <c r="AP388" s="41">
        <f>IF(AND(C388=1,D388="EV",E388&lt;120),IF('Operating costs'!$B$68="Hong Seh 200k average",AO388*IFERROR(INDEX(Products!$P$7:$P$13,MATCH(AD388,Products!$A$7:$A$13,0)),"n.a."),'Operating costs'!$B$26),0)</f>
        <v>0</v>
      </c>
      <c r="AQ388" s="40" t="str">
        <f>IF(D388="EV",'Operating costs'!$B$68,"Not applicable")</f>
        <v>Not applicable</v>
      </c>
    </row>
    <row r="389" spans="1:43" ht="24" customHeight="1">
      <c r="A389" s="1" t="str">
        <f>'Replacement plan'!A102</f>
        <v>T096</v>
      </c>
      <c r="B389" s="1">
        <v>2</v>
      </c>
      <c r="C389" s="1">
        <f>IF(COUNTIFS('Fleet register'!$A$7:$A$106,$A389)=1,VLOOKUP($A389,'Fleet register'!$A$7:$S$106,2,FALSE),0)</f>
        <v>0</v>
      </c>
      <c r="D389" s="1" t="str">
        <f>IF('Replacement plan'!$O$102="EV","EV","ICE")</f>
        <v>ICE</v>
      </c>
      <c r="E389" s="1">
        <f>IF(C389=0,0,IF('Replacement plan'!$P$102="",IF('Replacement plan'!$O$102="Keep ICE",IF('Replacement plan'!$M$102="",VLOOKUP($A389,'Fleet register'!$A$7:$S$106,10,FALSE),'Replacement plan'!$M$102),0),'Replacement plan'!$P$102))</f>
        <v>0</v>
      </c>
      <c r="F389" s="16">
        <f>IF(C389=0,0,VLOOKUP($A389,'Fleet register'!$A$7:$S$106,11,FALSE))</f>
        <v>0</v>
      </c>
      <c r="G389" s="16">
        <f>IFERROR(IF(C389=0,0,IF(E389=120,0,IF(D389="ICE",'Replacement plan'!$C$102,IF('Replacement plan'!$D$102="",INDEX(Products!$I$7:$I$13,MATCH('Replacement plan'!$B$102,Products!$A$7:$A$13,0))+'Operating costs'!$B$57,'Replacement plan'!$D$102))*(1+'Operating costs'!$B$50)^(E389/12))),"n.a.")</f>
        <v>0</v>
      </c>
      <c r="H389" s="16">
        <f>IFERROR(IF(C389=0,0,IF('Replacement plan'!$U$102&lt;&gt;"",'Replacement plan'!$U$102,IF(E389=0,F389,VLOOKUP($A389,'Fleet register'!$A$7:$S$106,12,FALSE)+VLOOKUP($A389,'Fleet register'!$A$7:$S$106,13,FALSE)*MAX(0,VLOOKUP($A389,'Fleet register'!$A$7:$S$106,10,FALSE)-E389)/VLOOKUP($A389,'Fleet register'!$A$7:$S$106,14,FALSE)))),"n.a.")</f>
        <v>0</v>
      </c>
      <c r="I389" s="16">
        <f>IF(C389=0,0,IF(E389=120,0,'Replacement plan'!$Q$102))</f>
        <v>0</v>
      </c>
      <c r="J389" s="16">
        <f>IF(C389=0,0,IF(P389="Complete",((S389*(R389-'Operating costs'!$B$39))+ROUNDUP(S389*(R389-'Operating costs'!$B$39)*IF('Replacement plan'!$AG$102="",'Operating costs'!$B$7,'Replacement plan'!$AG$102)/('Operating costs'!$B$8-'Operating costs'!$B$9*IF('Replacement plan'!$AG$102="",'Operating costs'!$B$7,'Replacement plan'!$AG$102)),0)*'Operating costs'!$B$9)*IF('Replacement plan'!$AG$102="",'Operating costs'!$B$7,'Replacement plan'!$AG$102)*('Energy and charging'!$B$9*'Energy and charging'!$B$7+(1-'Energy and charging'!$B$9)*'Energy and charging'!$B$8)*'Operating costs'!$B$23,"n.a."))</f>
        <v>0</v>
      </c>
      <c r="K389" s="16">
        <f>IF(C389=0,0,IF(P389="Complete",SUM('Operating costs'!$B$24,'Operating costs'!$B$27,'Operating costs'!$B$29,'Operating costs'!$B$31,'Operating costs'!$B$33,'Operating costs'!$B$34,'Operating costs'!$B$37,'Replacement plan'!$W$102)+'Operating costs'!$B$39*'Operating costs'!$B$42+ROUNDUP(S389*(R389-'Operating costs'!$B$39)*IF('Replacement plan'!$AG$102="",'Operating costs'!$B$7,'Replacement plan'!$AG$102)/('Operating costs'!$B$8-'Operating costs'!$B$9*IF('Replacement plan'!$AG$102="",'Operating costs'!$B$7,'Replacement plan'!$AG$102)),0)*('Operating costs'!$B$9/'Operating costs'!$B$11+'Operating costs'!$B$10/60)*'Operating costs'!$B$19*'Operating costs'!$B$21,"n.a."))</f>
        <v>0</v>
      </c>
      <c r="L389" s="16">
        <f>IF(C389=0,0,IF(P389="Complete",IF(D389="EV",X389*((1-T389)*'Energy and charging'!$B$10+T389*'Energy and charging'!$B$11)*'Operating costs'!$B$22,AA389*('Energy and charging'!$B$9*'Energy and charging'!$B$7+(1-'Energy and charging'!$B$9)*'Energy and charging'!$B$8)*'Operating costs'!$B$23),"n.a."))</f>
        <v>0</v>
      </c>
      <c r="M389" s="37">
        <f>IF(C389=0,0,IF(P389="Complete",IF(D389="ICE",SUM('Operating costs'!$B$25,'Operating costs'!$B$27,'Operating costs'!$B$29,'Operating costs'!$B$31,'Operating costs'!$B$33,'Operating costs'!$B$35,'Operating costs'!$B$37,'Replacement plan'!$X$102)+'Operating costs'!$B$40*'Operating costs'!$B$42+ROUNDUP(S389*(R389-'Operating costs'!$B$40)*IF('Replacement plan'!$AH$102="",'Operating costs'!$B$7,'Replacement plan'!$AH$102)/('Operating costs'!$B$8-'Operating costs'!$B$9*IF('Replacement plan'!$AH$102="",'Operating costs'!$B$7,'Replacement plan'!$AH$102)),0)*('Operating costs'!$B$9/'Operating costs'!$B$11+'Operating costs'!$B$10/60)*'Operating costs'!$B$19*'Operating costs'!$B$21,SUM(AP389,'Operating costs'!$B$28,'Operating costs'!$B$30,'Operating costs'!$B$32,'Operating costs'!$B$33,'Operating costs'!$B$36,'Operating costs'!$B$38,'Replacement plan'!$Y$102)+'Operating costs'!$B$41*'Operating costs'!$B$43+W389*'Operating costs'!$B$15+(T389*X389/'Replacement plan'!$L$102+W389*('Operating costs'!$B$12/'Operating costs'!$B$11+('Operating costs'!$B$13+'Operating costs'!$B$14)/60)+(R389-'Operating costs'!$B$41)*(IF(T389&lt;1,'Operating costs'!$B$16,0)+'Operating costs'!$B$17)/60)*'Operating costs'!$B$19*'Operating costs'!$B$20),"n.a."))</f>
        <v>0</v>
      </c>
      <c r="N389" s="16">
        <f>IF(AND(C389=1,D389="EV",E389&lt;120,E389+'Replacement plan'!$AA$102&lt;=120),'Replacement plan'!$Z$102,0)</f>
        <v>0</v>
      </c>
      <c r="O389" s="1">
        <f>E389+'Replacement plan'!$AA$102</f>
        <v>0</v>
      </c>
      <c r="P389" s="35" t="str">
        <f>IFERROR(IF(C389=0,"Excluded",IF(OR(COUNTIFS('Fleet register'!$A$7:$A$106,A389)&lt;&gt;1,COUNTIFS('Replacement plan'!$A$7:$A$106,A389)&lt;&gt;1),"Duplicate/missing ID",IF(NOT(AND(ISNUMBER(VLOOKUP($A389,'Fleet register'!$A$7:$S$106,5,FALSE)),ISNUMBER(VLOOKUP($A389,'Fleet register'!$A$7:$S$106,6,FALSE)),ISNUMBER(VLOOKUP($A389,'Fleet register'!$A$7:$S$106,10,FALSE)),ISNUMBER(VLOOKUP($A389,'Fleet register'!$A$7:$S$106,11,FALSE)),ISNUMBER(VLOOKUP($A389,'Fleet register'!$A$7:$S$106,12,FALSE)),ISNUMBER(VLOOKUP($A389,'Fleet register'!$A$7:$S$106,13,FALSE)),ISNUMBER(VLOOKUP($A389,'Fleet register'!$A$7:$S$106,14,FALSE)),VLOOKUP($A389,'Fleet register'!$A$7:$S$106,14,FALSE)&gt;0,ISNUMBER('Replacement plan'!$C$102),OR(E389=120,ISNUMBER('Replacement plan'!$Q$102)),ISNUMBER(E389))),"Missing vehicle input",IF(OR(E389&lt;0,E389&gt;VLOOKUP($A389,'Fleet register'!$A$7:$S$106,10,FALSE),E389&gt;120,E389&lt;&gt;INT(E389),VLOOKUP($A389,'Fleet register'!$A$7:$S$106,6,FALSE)&lt;=0,VLOOKUP($A389,'Fleet register'!$A$7:$S$106,6,FALSE)&gt;366,VLOOKUP($A389,'Fleet register'!$A$7:$S$106,5,FALSE)&lt;0,VLOOKUP($A389,'Fleet register'!$A$7:$S$106,11,FALSE)&lt;0,I389&lt;0,'Operating costs'!$B$8&lt;='Operating costs'!$B$7*'Operating costs'!$B$9,'Operating costs'!$B$11&lt;=0,'Operating costs'!$B$39&gt;R389,'Operating costs'!$B$40&gt;R389,'Operating costs'!$B$41&gt;R389,NOT(OR('Replacement plan'!$O$102="Keep ICE",'Replacement plan'!$O$102="New ICE",'Replacement plan'!$O$102="EV"))),"Invalid vehicle input",IF(AND(D389="EV",E389&lt;120,OR(NOT(ISNUMBER(U389)),NOT(ISNUMBER(V389)),V389&lt;=0,T389&lt;0,T389&gt;1,'Replacement plan'!$L$102&lt;=0,'Operating costs'!$B$44&lt;0,'Operating costs'!$B$44&gt;=1,'Operating costs'!$B$47&lt;=0,'Operating costs'!$B$47&gt;1,V389*'Operating costs'!$B$47/(1-'Operating costs'!$B$44)&lt;=T389*'Operating costs'!$B$12*U389,AND('Replacement plan'!$Z$102&gt;0,OR('Replacement plan'!$AB$102&lt;&gt;"Yes",'Operating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charging'!$B$8&gt;=0))),ISNUMBER(VLOOKUP($A389,'Fleet register'!$A$7:$S$106,15,FALSE)),ISNUMBER(VLOOKUP($A389,'Fleet register'!$A$7:$S$106,16,FALSE)),ISNUMBER('Replacement plan'!$W$102),ISNUMBER('Replacement plan'!$X$102),OR(E389=120,AND(ISNUMBER(G389),G389&gt;=0)),ISNUMBER(H389),H389&gt;=0,OR(D389&lt;&gt;"EV",E389=120,AND(ISNUMBER('Operating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average",ISNUMBER(IFERROR(INDEX(Products!$P$7:$P$13,MATCH(AD389,Products!$A$7:$A$13,0)),"")))),ISNUMBER('Operating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plan'!$Y$102),ISNUMBER('Replacement plan'!$Z$102),'Replacement plan'!$Z$102&gt;=0,ISNUMBER('Replacement plan'!$AA$102),'Replacement plan'!$AA$102&gt;=0,'Replacement plan'!$AA$102=INT('Replacement plan'!$AA$102),ISNUMBER('Replacement plan'!$L$102))),'Operating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plan'!$AG$102="",'Operating costs'!$B$7,'Replacement plan'!$AG$102)),IF('Replacement plan'!$AG$102="",'Operating costs'!$B$7,'Replacement plan'!$AG$102)&gt;=0,ISNUMBER(IF('Replacement plan'!$AH$102="",'Operating costs'!$B$7,'Replacement plan'!$AH$102)),IF('Replacement plan'!$AH$102="",'Operating costs'!$B$7,'Replacement plan'!$AH$102)&gt;=0,'Operating costs'!$B$8&gt;MAX(IF('Replacement plan'!$AG$102="",'Operating costs'!$B$7,'Replacement plan'!$AG$102),IF('Replacement plan'!$AH$102="",'Operating costs'!$B$7,'Replacement plan'!$AH$102))*'Operating costs'!$B$9),IF(AND(VLOOKUP($A389,'Fleet register'!$A$7:$S$106,10,FALSE)&gt;=0,VLOOKUP($A389,'Fleet register'!$A$7:$S$106,10,FALSE)&lt;=120,VLOOKUP($A389,'Fleet register'!$A$7:$S$106,10,FALSE)=INT(VLOOKUP($A389,'Fleet register'!$A$7:$S$106,10,FALSE)),VLOOKUP($A389,'Fleet register'!$A$7:$S$106,15,FALSE)&gt;=0,VLOOKUP($A389,'Fleet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costs'!$B$67)&gt;=0,OR(D389&lt;&gt;"EV",E389=120,AND(MIN('Operating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89" s="1" t="str">
        <f>IF(C389=0,"Excluded",IF(P389&lt;&gt;"Complete",P389,IF(OR('Replacement plan'!$AD$102&lt;120-E389,AND(D389="EV",E389&lt;120,OR('Replacement plan'!$AC$102&lt;120-E389,'Replacement plan'!$I$102="No",AND(ISNUMBER(AF389),AE389&gt;AF389),AI389&gt;V389*(1-'Operating costs'!$B$46)^MAX(0,AB389-1)*(1-'Operating costs'!$B$45),AC389&gt;'Operating costs'!$B$18,AND(T389&lt;1,OR(AG389&lt;=0,AND(ISNUMBER(AH389),AG389&gt;AH389))),'Replacement plan'!$L$102&gt;INDEX(Products!$H$7:$H$13,MATCH('Replacement plan'!$B$102,Products!$A$7:$A$13,0))))),"Fails entered limits",IF(AND(D389="EV",E389&lt;120,OR(NOT(ISNUMBER(VLOOKUP($A389,'Fleet register'!$A$7:$S$106,7,FALSE))),NOT(ISNUMBER(VLOOKUP($A389,'Fleet register'!$A$7:$S$106,8,FALSE))),NOT(ISNUMBER(AF389)),'Replacement plan'!$I$102&lt;&gt;"Yes",NOT(ISNUMBER(AH389)),'Operating costs'!$B$59&lt;&gt;"Yes",'Operating costs'!$B$58&lt;&gt;"Yes")),"Unverified","Within entered limits"))))</f>
        <v>Excluded</v>
      </c>
      <c r="R389" s="1">
        <f>IF(C389=0,0,VLOOKUP($A389,'Fleet register'!$A$7:$S$106,6,FALSE))</f>
        <v>0</v>
      </c>
      <c r="S389" s="1">
        <f>IF(C389=0,0,VLOOKUP($A389,'Fleet register'!$A$7:$S$106,5,FALSE))</f>
        <v>0</v>
      </c>
      <c r="T389" s="1">
        <f>IF(D389="EV",'Energy and charging'!$B$12,0)</f>
        <v>0</v>
      </c>
      <c r="U389" s="1">
        <f>IFERROR(IF(C389=0,0,IF(D389="EV",IF('Replacement plan'!$F$102="",INDEX(Products!$E$7:$E$13,MATCH('Replacement plan'!$B$102,Products!$A$7:$A$13,0)),'Replacement plan'!$F$102)/IF('Replacement plan'!$G$102="Battery",1-'Operating costs'!$B$44,1),0)),"n.a.")</f>
        <v>0</v>
      </c>
      <c r="V389" s="1">
        <f>IFERROR(IF(C389=0,0,IF(D389="EV",IF('Replacement plan'!$E$102="",INDEX(Products!$D$7:$D$13,MATCH('Replacement plan'!$B$102,Products!$A$7:$A$13,0)),'Replacement plan'!$E$102),0)),"n.a.")</f>
        <v>0</v>
      </c>
      <c r="W389" s="1">
        <f>IF(C389=0,0,IF(AND(P389="Complete",D389="EV",E389&lt;120),IF(T389=0,0,ROUNDUP(T389*(R389-'Operating costs'!$B$41)*(S389*U389+'Operating costs'!$B$48/(1-'Operating costs'!$B$44))/(V389*'Operating costs'!$B$47/(1-'Operating costs'!$B$44)-T389*'Operating costs'!$B$12*U389),0)),0))</f>
        <v>0</v>
      </c>
      <c r="X389" s="1">
        <f>IF(C389=0,0,IF(AND(P389="Complete",D389="EV",E389&lt;120),(R389-'Operating costs'!$B$41)*(S389*U389+'Operating costs'!$B$48/(1-'Operating costs'!$B$44))+W389*'Operating costs'!$B$12*U389,0))</f>
        <v>0</v>
      </c>
      <c r="Y389" s="1">
        <f>IF(AND(C389=1,D389="EV",E389&lt;120),AI389/(1-'Operating costs'!$B$44)*(1-T389),0)</f>
        <v>0</v>
      </c>
      <c r="Z389" s="1">
        <f t="shared" si="10"/>
        <v>0</v>
      </c>
      <c r="AA389" s="1">
        <f>IF(C389=0,0,IF(P389="Complete",((S389*(R389-'Operating costs'!$B$40))+ROUNDUP(S389*(R389-'Operating costs'!$B$40)*IF('Replacement plan'!$AH$102="",'Operating costs'!$B$7,'Replacement plan'!$AH$102)/('Operating costs'!$B$8-'Operating costs'!$B$9*IF('Replacement plan'!$AH$102="",'Operating costs'!$B$7,'Replacement plan'!$AH$102)),0)*'Operating costs'!$B$9)*IF('Replacement plan'!$AH$102="",'Operating costs'!$B$7,'Replacement plan'!$AH$102),"n.a."))</f>
        <v>0</v>
      </c>
      <c r="AB389" s="1">
        <f t="shared" si="11"/>
        <v>0</v>
      </c>
      <c r="AC389" s="1">
        <f>IF(AND(C389=1,D389="EV",E389&lt;120,T389&gt;0),'Operating costs'!$B$12/'Operating costs'!$B$11*60+'Operating costs'!$B$13+'Operating costs'!$B$14+V389*'Operating costs'!$B$47/(1-'Operating costs'!$B$44)/'Replacement plan'!$L$102*60,0)</f>
        <v>0</v>
      </c>
      <c r="AD389" s="1" t="str">
        <f>'Replacement plan'!$B$102</f>
        <v>ChengLong L2EV</v>
      </c>
      <c r="AE389" s="1">
        <f>IF(C389=0,0,VLOOKUP($A389,'Fleet register'!$A$7:$S$106,8,FALSE))</f>
        <v>0</v>
      </c>
      <c r="AF389" s="1" t="str">
        <f>IF('Replacement plan'!$H$102="","n.a.",'Replacement plan'!$H$102)</f>
        <v>n.a.</v>
      </c>
      <c r="AG389" s="1">
        <f>'Replacement plan'!$J$102</f>
        <v>22</v>
      </c>
      <c r="AH389" s="1">
        <f>IFERROR(IF(D389="EV",IF('Replacement plan'!$K$102="AC",IF(ISNUMBER(INDEX(Products!$G$7:$G$13,MATCH('Replacement plan'!$B$102,Products!$A$7:$A$13,0))),INDEX(Products!$G$7:$G$13,MATCH('Replacement plan'!$B$102,Products!$A$7:$A$13,0)),"n.a."),IF(ISNUMBER(INDEX(Products!$H$7:$H$13,MATCH('Replacement plan'!$B$102,Products!$A$7:$A$13,0))),INDEX(Products!$H$7:$H$13,MATCH('Replacement plan'!$B$102,Products!$A$7:$A$13,0)),"n.a.")),0),"n.a.")</f>
        <v>0</v>
      </c>
      <c r="AI389" s="1">
        <f>IF(AND(C389=1,D389="EV",E389&lt;120),(VLOOKUP($A389,'Fleet register'!$A$7:$S$106,7,FALSE)+IF(T389&gt;0,'Operating costs'!$B$12,0))*U389*(1-'Operating costs'!$B$44)+'Operating costs'!$B$49,0)</f>
        <v>0</v>
      </c>
      <c r="AJ389" s="1">
        <f>IF(D389="EV",'Energy and charging'!$B$50,0)</f>
        <v>0</v>
      </c>
      <c r="AK389" s="17">
        <f>EDATE('Operating costs'!$B$63,E389)</f>
        <v>46298</v>
      </c>
      <c r="AL389" s="1">
        <f>IFERROR(IF(D389="EV",INDEX(Products!$B$7:$B$13,MATCH('Replacement plan'!$B$102,Products!$A$7:$A$13,0)),0),"n.a.")</f>
        <v>0</v>
      </c>
      <c r="AM389" s="1" t="str">
        <f>'Replacement plan'!$K$102</f>
        <v>DC</v>
      </c>
      <c r="AN389" s="1" t="str">
        <f>'Replacement plan'!$AE$102</f>
        <v>Assumed</v>
      </c>
      <c r="AO389" s="47">
        <f>IF(AND(C389=1,D389="EV",E389&lt;120),(R389-'Operating costs'!$B$41)*S389+W389*'Operating costs'!$B$12,0)</f>
        <v>0</v>
      </c>
      <c r="AP389" s="41">
        <f>IF(AND(C389=1,D389="EV",E389&lt;120),IF('Operating costs'!$B$68="Hong Seh 200k average",AO389*IFERROR(INDEX(Products!$P$7:$P$13,MATCH(AD389,Products!$A$7:$A$13,0)),"n.a."),'Operating costs'!$B$26),0)</f>
        <v>0</v>
      </c>
      <c r="AQ389" s="40" t="str">
        <f>IF(D389="EV",'Operating costs'!$B$68,"Not applicable")</f>
        <v>Not applicable</v>
      </c>
    </row>
    <row r="390" spans="1:43" ht="24" customHeight="1">
      <c r="A390" s="1" t="str">
        <f>'Replacement plan'!A102</f>
        <v>T096</v>
      </c>
      <c r="B390" s="1">
        <v>3</v>
      </c>
      <c r="C390" s="1">
        <f>IF(COUNTIFS('Fleet register'!$A$7:$A$106,$A390)=1,VLOOKUP($A390,'Fleet register'!$A$7:$S$106,2,FALSE),0)</f>
        <v>0</v>
      </c>
      <c r="D390" s="1" t="str">
        <f>IF('Replacement plan'!$R$102="EV","EV","ICE")</f>
        <v>ICE</v>
      </c>
      <c r="E390" s="1">
        <f>IF(C390=0,0,IF('Replacement plan'!$S$102="",IF('Replacement plan'!$R$102="Keep ICE",IF('Replacement plan'!$M$102="",VLOOKUP($A390,'Fleet register'!$A$7:$S$106,10,FALSE),'Replacement plan'!$M$102),0),'Replacement plan'!$S$102))</f>
        <v>0</v>
      </c>
      <c r="F390" s="16">
        <f>IF(C390=0,0,VLOOKUP($A390,'Fleet register'!$A$7:$S$106,11,FALSE))</f>
        <v>0</v>
      </c>
      <c r="G390" s="16">
        <f>IFERROR(IF(C390=0,0,IF(E390=120,0,IF(D390="ICE",'Replacement plan'!$C$102,IF('Replacement plan'!$D$102="",INDEX(Products!$I$7:$I$13,MATCH('Replacement plan'!$B$102,Products!$A$7:$A$13,0))+'Operating costs'!$B$57,'Replacement plan'!$D$102))*(1+'Operating costs'!$B$50)^(E390/12))),"n.a.")</f>
        <v>0</v>
      </c>
      <c r="H390" s="16">
        <f>IFERROR(IF(C390=0,0,IF('Replacement plan'!$V$102&lt;&gt;"",'Replacement plan'!$V$102,IF(E390=0,F390,VLOOKUP($A390,'Fleet register'!$A$7:$S$106,12,FALSE)+VLOOKUP($A390,'Fleet register'!$A$7:$S$106,13,FALSE)*MAX(0,VLOOKUP($A390,'Fleet register'!$A$7:$S$106,10,FALSE)-E390)/VLOOKUP($A390,'Fleet register'!$A$7:$S$106,14,FALSE)))),"n.a.")</f>
        <v>0</v>
      </c>
      <c r="I390" s="16">
        <f>IF(C390=0,0,IF(E390=120,0,'Replacement plan'!$T$102))</f>
        <v>0</v>
      </c>
      <c r="J390" s="16">
        <f>IF(C390=0,0,IF(P390="Complete",((S390*(R390-'Operating costs'!$B$39))+ROUNDUP(S390*(R390-'Operating costs'!$B$39)*IF('Replacement plan'!$AG$102="",'Operating costs'!$B$7,'Replacement plan'!$AG$102)/('Operating costs'!$B$8-'Operating costs'!$B$9*IF('Replacement plan'!$AG$102="",'Operating costs'!$B$7,'Replacement plan'!$AG$102)),0)*'Operating costs'!$B$9)*IF('Replacement plan'!$AG$102="",'Operating costs'!$B$7,'Replacement plan'!$AG$102)*('Energy and charging'!$C$9*'Energy and charging'!$C$7+(1-'Energy and charging'!$C$9)*'Energy and charging'!$C$8)*'Operating costs'!$B$23,"n.a."))</f>
        <v>0</v>
      </c>
      <c r="K390" s="16">
        <f>IF(C390=0,0,IF(P390="Complete",SUM('Operating costs'!$B$24,'Operating costs'!$B$27,'Operating costs'!$B$29,'Operating costs'!$B$31,'Operating costs'!$B$33,'Operating costs'!$B$34,'Operating costs'!$B$37,'Replacement plan'!$W$102)+'Operating costs'!$B$39*'Operating costs'!$B$42+ROUNDUP(S390*(R390-'Operating costs'!$B$39)*IF('Replacement plan'!$AG$102="",'Operating costs'!$B$7,'Replacement plan'!$AG$102)/('Operating costs'!$B$8-'Operating costs'!$B$9*IF('Replacement plan'!$AG$102="",'Operating costs'!$B$7,'Replacement plan'!$AG$102)),0)*('Operating costs'!$B$9/'Operating costs'!$B$11+'Operating costs'!$B$10/60)*'Operating costs'!$B$19*'Operating costs'!$B$21,"n.a."))</f>
        <v>0</v>
      </c>
      <c r="L390" s="16">
        <f>IF(C390=0,0,IF(P390="Complete",IF(D390="EV",X390*((1-T390)*'Energy and charging'!$C$10+T390*'Energy and charging'!$C$11)*'Operating costs'!$B$22,AA390*('Energy and charging'!$C$9*'Energy and charging'!$C$7+(1-'Energy and charging'!$C$9)*'Energy and charging'!$C$8)*'Operating costs'!$B$23),"n.a."))</f>
        <v>0</v>
      </c>
      <c r="M390" s="37">
        <f>IF(C390=0,0,IF(P390="Complete",IF(D390="ICE",SUM('Operating costs'!$B$25,'Operating costs'!$B$27,'Operating costs'!$B$29,'Operating costs'!$B$31,'Operating costs'!$B$33,'Operating costs'!$B$35,'Operating costs'!$B$37,'Replacement plan'!$X$102)+'Operating costs'!$B$40*'Operating costs'!$B$42+ROUNDUP(S390*(R390-'Operating costs'!$B$40)*IF('Replacement plan'!$AH$102="",'Operating costs'!$B$7,'Replacement plan'!$AH$102)/('Operating costs'!$B$8-'Operating costs'!$B$9*IF('Replacement plan'!$AH$102="",'Operating costs'!$B$7,'Replacement plan'!$AH$102)),0)*('Operating costs'!$B$9/'Operating costs'!$B$11+'Operating costs'!$B$10/60)*'Operating costs'!$B$19*'Operating costs'!$B$21,SUM(AP390,'Operating costs'!$B$28,'Operating costs'!$B$30,'Operating costs'!$B$32,'Operating costs'!$B$33,'Operating costs'!$B$36,'Operating costs'!$B$38,'Replacement plan'!$Y$102)+'Operating costs'!$B$41*'Operating costs'!$B$43+W390*'Operating costs'!$B$15+(T390*X390/'Replacement plan'!$L$102+W390*('Operating costs'!$B$12/'Operating costs'!$B$11+('Operating costs'!$B$13+'Operating costs'!$B$14)/60)+(R390-'Operating costs'!$B$41)*(IF(T390&lt;1,'Operating costs'!$B$16,0)+'Operating costs'!$B$17)/60)*'Operating costs'!$B$19*'Operating costs'!$B$20),"n.a."))</f>
        <v>0</v>
      </c>
      <c r="N390" s="16">
        <f>IF(AND(C390=1,D390="EV",E390&lt;120,E390+'Replacement plan'!$AA$102&lt;=120),'Replacement plan'!$Z$102,0)</f>
        <v>0</v>
      </c>
      <c r="O390" s="1">
        <f>E390+'Replacement plan'!$AA$102</f>
        <v>0</v>
      </c>
      <c r="P390" s="35" t="str">
        <f>IFERROR(IF(C390=0,"Excluded",IF(OR(COUNTIFS('Fleet register'!$A$7:$A$106,A390)&lt;&gt;1,COUNTIFS('Replacement plan'!$A$7:$A$106,A390)&lt;&gt;1),"Duplicate/missing ID",IF(NOT(AND(ISNUMBER(VLOOKUP($A390,'Fleet register'!$A$7:$S$106,5,FALSE)),ISNUMBER(VLOOKUP($A390,'Fleet register'!$A$7:$S$106,6,FALSE)),ISNUMBER(VLOOKUP($A390,'Fleet register'!$A$7:$S$106,10,FALSE)),ISNUMBER(VLOOKUP($A390,'Fleet register'!$A$7:$S$106,11,FALSE)),ISNUMBER(VLOOKUP($A390,'Fleet register'!$A$7:$S$106,12,FALSE)),ISNUMBER(VLOOKUP($A390,'Fleet register'!$A$7:$S$106,13,FALSE)),ISNUMBER(VLOOKUP($A390,'Fleet register'!$A$7:$S$106,14,FALSE)),VLOOKUP($A390,'Fleet register'!$A$7:$S$106,14,FALSE)&gt;0,ISNUMBER('Replacement plan'!$C$102),OR(E390=120,ISNUMBER('Replacement plan'!$T$102)),ISNUMBER(E390))),"Missing vehicle input",IF(OR(E390&lt;0,E390&gt;VLOOKUP($A390,'Fleet register'!$A$7:$S$106,10,FALSE),E390&gt;120,E390&lt;&gt;INT(E390),VLOOKUP($A390,'Fleet register'!$A$7:$S$106,6,FALSE)&lt;=0,VLOOKUP($A390,'Fleet register'!$A$7:$S$106,6,FALSE)&gt;366,VLOOKUP($A390,'Fleet register'!$A$7:$S$106,5,FALSE)&lt;0,VLOOKUP($A390,'Fleet register'!$A$7:$S$106,11,FALSE)&lt;0,I390&lt;0,'Operating costs'!$B$8&lt;='Operating costs'!$B$7*'Operating costs'!$B$9,'Operating costs'!$B$11&lt;=0,'Operating costs'!$B$39&gt;R390,'Operating costs'!$B$40&gt;R390,'Operating costs'!$B$41&gt;R390,NOT(OR('Replacement plan'!$R$102="Keep ICE",'Replacement plan'!$R$102="New ICE",'Replacement plan'!$R$102="EV"))),"Invalid vehicle input",IF(AND(D390="EV",E390&lt;120,OR(NOT(ISNUMBER(U390)),NOT(ISNUMBER(V390)),V390&lt;=0,T390&lt;0,T390&gt;1,'Replacement plan'!$L$102&lt;=0,'Operating costs'!$B$44&lt;0,'Operating costs'!$B$44&gt;=1,'Operating costs'!$B$47&lt;=0,'Operating costs'!$B$47&gt;1,V390*'Operating costs'!$B$47/(1-'Operating costs'!$B$44)&lt;=T390*'Operating costs'!$B$12*U390,AND('Replacement plan'!$Z$102&gt;0,OR('Replacement plan'!$AB$102&lt;&gt;"Yes",'Operating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charging'!$C$8&gt;=0))),ISNUMBER(VLOOKUP($A390,'Fleet register'!$A$7:$S$106,15,FALSE)),ISNUMBER(VLOOKUP($A390,'Fleet register'!$A$7:$S$106,16,FALSE)),ISNUMBER('Replacement plan'!$W$102),ISNUMBER('Replacement plan'!$X$102),OR(E390=120,AND(ISNUMBER(G390),G390&gt;=0)),ISNUMBER(H390),H390&gt;=0,OR(D390&lt;&gt;"EV",E390=120,AND(ISNUMBER('Operating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average",ISNUMBER(IFERROR(INDEX(Products!$P$7:$P$13,MATCH(AD390,Products!$A$7:$A$13,0)),"")))),ISNUMBER('Operating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plan'!$Y$102),ISNUMBER('Replacement plan'!$Z$102),'Replacement plan'!$Z$102&gt;=0,ISNUMBER('Replacement plan'!$AA$102),'Replacement plan'!$AA$102&gt;=0,'Replacement plan'!$AA$102=INT('Replacement plan'!$AA$102),ISNUMBER('Replacement plan'!$L$102))),'Operating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plan'!$AG$102="",'Operating costs'!$B$7,'Replacement plan'!$AG$102)),IF('Replacement plan'!$AG$102="",'Operating costs'!$B$7,'Replacement plan'!$AG$102)&gt;=0,ISNUMBER(IF('Replacement plan'!$AH$102="",'Operating costs'!$B$7,'Replacement plan'!$AH$102)),IF('Replacement plan'!$AH$102="",'Operating costs'!$B$7,'Replacement plan'!$AH$102)&gt;=0,'Operating costs'!$B$8&gt;MAX(IF('Replacement plan'!$AG$102="",'Operating costs'!$B$7,'Replacement plan'!$AG$102),IF('Replacement plan'!$AH$102="",'Operating costs'!$B$7,'Replacement plan'!$AH$102))*'Operating costs'!$B$9),IF(AND(VLOOKUP($A390,'Fleet register'!$A$7:$S$106,10,FALSE)&gt;=0,VLOOKUP($A390,'Fleet register'!$A$7:$S$106,10,FALSE)&lt;=120,VLOOKUP($A390,'Fleet register'!$A$7:$S$106,10,FALSE)=INT(VLOOKUP($A390,'Fleet register'!$A$7:$S$106,10,FALSE)),VLOOKUP($A390,'Fleet register'!$A$7:$S$106,15,FALSE)&gt;=0,VLOOKUP($A390,'Fleet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costs'!$B$67)&gt;=0,OR(D390&lt;&gt;"EV",E390=120,AND(MIN('Operating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90" s="1" t="str">
        <f>IF(C390=0,"Excluded",IF(P390&lt;&gt;"Complete",P390,IF(OR('Replacement plan'!$AD$102&lt;120-E390,AND(D390="EV",E390&lt;120,OR('Replacement plan'!$AC$102&lt;120-E390,'Replacement plan'!$I$102="No",AND(ISNUMBER(AF390),AE390&gt;AF390),AI390&gt;V390*(1-'Operating costs'!$B$46)^MAX(0,AB390-1)*(1-'Operating costs'!$B$45),AC390&gt;'Operating costs'!$B$18,AND(T390&lt;1,OR(AG390&lt;=0,AND(ISNUMBER(AH390),AG390&gt;AH390))),'Replacement plan'!$L$102&gt;INDEX(Products!$H$7:$H$13,MATCH('Replacement plan'!$B$102,Products!$A$7:$A$13,0))))),"Fails entered limits",IF(AND(D390="EV",E390&lt;120,OR(NOT(ISNUMBER(VLOOKUP($A390,'Fleet register'!$A$7:$S$106,7,FALSE))),NOT(ISNUMBER(VLOOKUP($A390,'Fleet register'!$A$7:$S$106,8,FALSE))),NOT(ISNUMBER(AF390)),'Replacement plan'!$I$102&lt;&gt;"Yes",NOT(ISNUMBER(AH390)),'Operating costs'!$B$59&lt;&gt;"Yes",'Operating costs'!$B$58&lt;&gt;"Yes")),"Unverified","Within entered limits"))))</f>
        <v>Excluded</v>
      </c>
      <c r="R390" s="1">
        <f>IF(C390=0,0,VLOOKUP($A390,'Fleet register'!$A$7:$S$106,6,FALSE))</f>
        <v>0</v>
      </c>
      <c r="S390" s="1">
        <f>IF(C390=0,0,VLOOKUP($A390,'Fleet register'!$A$7:$S$106,5,FALSE))</f>
        <v>0</v>
      </c>
      <c r="T390" s="1">
        <f>IF(D390="EV",'Energy and charging'!$C$12,0)</f>
        <v>0</v>
      </c>
      <c r="U390" s="1">
        <f>IFERROR(IF(C390=0,0,IF(D390="EV",IF('Replacement plan'!$F$102="",INDEX(Products!$E$7:$E$13,MATCH('Replacement plan'!$B$102,Products!$A$7:$A$13,0)),'Replacement plan'!$F$102)/IF('Replacement plan'!$G$102="Battery",1-'Operating costs'!$B$44,1),0)),"n.a.")</f>
        <v>0</v>
      </c>
      <c r="V390" s="1">
        <f>IFERROR(IF(C390=0,0,IF(D390="EV",IF('Replacement plan'!$E$102="",INDEX(Products!$D$7:$D$13,MATCH('Replacement plan'!$B$102,Products!$A$7:$A$13,0)),'Replacement plan'!$E$102),0)),"n.a.")</f>
        <v>0</v>
      </c>
      <c r="W390" s="1">
        <f>IF(C390=0,0,IF(AND(P390="Complete",D390="EV",E390&lt;120),IF(T390=0,0,ROUNDUP(T390*(R390-'Operating costs'!$B$41)*(S390*U390+'Operating costs'!$B$48/(1-'Operating costs'!$B$44))/(V390*'Operating costs'!$B$47/(1-'Operating costs'!$B$44)-T390*'Operating costs'!$B$12*U390),0)),0))</f>
        <v>0</v>
      </c>
      <c r="X390" s="1">
        <f>IF(C390=0,0,IF(AND(P390="Complete",D390="EV",E390&lt;120),(R390-'Operating costs'!$B$41)*(S390*U390+'Operating costs'!$B$48/(1-'Operating costs'!$B$44))+W390*'Operating costs'!$B$12*U390,0))</f>
        <v>0</v>
      </c>
      <c r="Y390" s="1">
        <f>IF(AND(C390=1,D390="EV",E390&lt;120),AI390/(1-'Operating costs'!$B$44)*(1-T390),0)</f>
        <v>0</v>
      </c>
      <c r="Z390" s="1">
        <f t="shared" si="10"/>
        <v>0</v>
      </c>
      <c r="AA390" s="1">
        <f>IF(C390=0,0,IF(P390="Complete",((S390*(R390-'Operating costs'!$B$40))+ROUNDUP(S390*(R390-'Operating costs'!$B$40)*IF('Replacement plan'!$AH$102="",'Operating costs'!$B$7,'Replacement plan'!$AH$102)/('Operating costs'!$B$8-'Operating costs'!$B$9*IF('Replacement plan'!$AH$102="",'Operating costs'!$B$7,'Replacement plan'!$AH$102)),0)*'Operating costs'!$B$9)*IF('Replacement plan'!$AH$102="",'Operating costs'!$B$7,'Replacement plan'!$AH$102),"n.a."))</f>
        <v>0</v>
      </c>
      <c r="AB390" s="1">
        <f t="shared" si="11"/>
        <v>0</v>
      </c>
      <c r="AC390" s="1">
        <f>IF(AND(C390=1,D390="EV",E390&lt;120,T390&gt;0),'Operating costs'!$B$12/'Operating costs'!$B$11*60+'Operating costs'!$B$13+'Operating costs'!$B$14+V390*'Operating costs'!$B$47/(1-'Operating costs'!$B$44)/'Replacement plan'!$L$102*60,0)</f>
        <v>0</v>
      </c>
      <c r="AD390" s="1" t="str">
        <f>'Replacement plan'!$B$102</f>
        <v>ChengLong L2EV</v>
      </c>
      <c r="AE390" s="1">
        <f>IF(C390=0,0,VLOOKUP($A390,'Fleet register'!$A$7:$S$106,8,FALSE))</f>
        <v>0</v>
      </c>
      <c r="AF390" s="1" t="str">
        <f>IF('Replacement plan'!$H$102="","n.a.",'Replacement plan'!$H$102)</f>
        <v>n.a.</v>
      </c>
      <c r="AG390" s="1">
        <f>'Replacement plan'!$J$102</f>
        <v>22</v>
      </c>
      <c r="AH390" s="1">
        <f>IFERROR(IF(D390="EV",IF('Replacement plan'!$K$102="AC",IF(ISNUMBER(INDEX(Products!$G$7:$G$13,MATCH('Replacement plan'!$B$102,Products!$A$7:$A$13,0))),INDEX(Products!$G$7:$G$13,MATCH('Replacement plan'!$B$102,Products!$A$7:$A$13,0)),"n.a."),IF(ISNUMBER(INDEX(Products!$H$7:$H$13,MATCH('Replacement plan'!$B$102,Products!$A$7:$A$13,0))),INDEX(Products!$H$7:$H$13,MATCH('Replacement plan'!$B$102,Products!$A$7:$A$13,0)),"n.a.")),0),"n.a.")</f>
        <v>0</v>
      </c>
      <c r="AI390" s="1">
        <f>IF(AND(C390=1,D390="EV",E390&lt;120),(VLOOKUP($A390,'Fleet register'!$A$7:$S$106,7,FALSE)+IF(T390&gt;0,'Operating costs'!$B$12,0))*U390*(1-'Operating costs'!$B$44)+'Operating costs'!$B$49,0)</f>
        <v>0</v>
      </c>
      <c r="AJ390" s="1">
        <f>IF(D390="EV",'Energy and charging'!$C$50,0)</f>
        <v>0</v>
      </c>
      <c r="AK390" s="17">
        <f>EDATE('Operating costs'!$B$63,E390)</f>
        <v>46298</v>
      </c>
      <c r="AL390" s="1">
        <f>IFERROR(IF(D390="EV",INDEX(Products!$B$7:$B$13,MATCH('Replacement plan'!$B$102,Products!$A$7:$A$13,0)),0),"n.a.")</f>
        <v>0</v>
      </c>
      <c r="AM390" s="1" t="str">
        <f>'Replacement plan'!$K$102</f>
        <v>DC</v>
      </c>
      <c r="AN390" s="1" t="str">
        <f>'Replacement plan'!$AE$102</f>
        <v>Assumed</v>
      </c>
      <c r="AO390" s="47">
        <f>IF(AND(C390=1,D390="EV",E390&lt;120),(R390-'Operating costs'!$B$41)*S390+W390*'Operating costs'!$B$12,0)</f>
        <v>0</v>
      </c>
      <c r="AP390" s="41">
        <f>IF(AND(C390=1,D390="EV",E390&lt;120),IF('Operating costs'!$B$68="Hong Seh 200k average",AO390*IFERROR(INDEX(Products!$P$7:$P$13,MATCH(AD390,Products!$A$7:$A$13,0)),"n.a."),'Operating costs'!$B$26),0)</f>
        <v>0</v>
      </c>
      <c r="AQ390" s="40" t="str">
        <f>IF(D390="EV",'Operating costs'!$B$68,"Not applicable")</f>
        <v>Not applicable</v>
      </c>
    </row>
    <row r="391" spans="1:43" ht="24" customHeight="1">
      <c r="A391" s="1" t="str">
        <f>'Replacement plan'!A103</f>
        <v>T097</v>
      </c>
      <c r="B391" s="1">
        <v>0</v>
      </c>
      <c r="C391" s="1">
        <f>IF(COUNTIFS('Fleet register'!$A$7:$A$106,$A391)=1,VLOOKUP($A391,'Fleet register'!$A$7:$S$106,2,FALSE),0)</f>
        <v>0</v>
      </c>
      <c r="D391" s="1" t="str">
        <f>IF("Keep ICE"="EV","EV","ICE")</f>
        <v>ICE</v>
      </c>
      <c r="E391" s="1">
        <f>IF(C391=0,0,IF('Replacement plan'!$M$103="",VLOOKUP($A391,'Fleet register'!$A$7:$S$106,10,FALSE),'Replacement plan'!$M$103))</f>
        <v>0</v>
      </c>
      <c r="F391" s="16">
        <f>IF(C391=0,0,VLOOKUP($A391,'Fleet register'!$A$7:$S$106,11,FALSE))</f>
        <v>0</v>
      </c>
      <c r="G391" s="16">
        <f>IFERROR(IF(C391=0,0,IF(E391=120,0,IF(D391="ICE",'Replacement plan'!$C$103,IF('Replacement plan'!$D$103="",INDEX(Products!$I$7:$I$13,MATCH('Replacement plan'!$B$103,Products!$A$7:$A$13,0))+'Operating costs'!$B$57,'Replacement plan'!$D$103))*(1+'Operating costs'!$B$50)^(E391/12))),"n.a.")</f>
        <v>0</v>
      </c>
      <c r="H391" s="16">
        <f>IFERROR(IF(C391=0,0,IF(E391=0,F391,VLOOKUP($A391,'Fleet register'!$A$7:$S$106,12,FALSE)+VLOOKUP($A391,'Fleet register'!$A$7:$S$106,13,FALSE)*MAX(0,VLOOKUP($A391,'Fleet register'!$A$7:$S$106,10,FALSE)-E391)/VLOOKUP($A391,'Fleet register'!$A$7:$S$106,14,FALSE))),"n.a.")</f>
        <v>0</v>
      </c>
      <c r="I391" s="16">
        <f>IF(C391=0,0,IF(E391=120,0,'Replacement plan'!$N$103))</f>
        <v>0</v>
      </c>
      <c r="J391" s="16">
        <f>IF(C391=0,0,IF(P391="Complete",((S391*(R391-'Operating costs'!$B$39))+ROUNDUP(S391*(R391-'Operating costs'!$B$39)*IF('Replacement plan'!$AG$103="",'Operating costs'!$B$7,'Replacement plan'!$AG$103)/('Operating costs'!$B$8-'Operating costs'!$B$9*IF('Replacement plan'!$AG$103="",'Operating costs'!$B$7,'Replacement plan'!$AG$103)),0)*'Operating costs'!$B$9)*IF('Replacement plan'!$AG$103="",'Operating costs'!$B$7,'Replacement plan'!$AG$103)*('Energy and charging'!$B$9*'Energy and charging'!$B$7+(1-'Energy and charging'!$B$9)*'Energy and charging'!$B$8)*'Operating costs'!$B$23,"n.a."))</f>
        <v>0</v>
      </c>
      <c r="K391" s="16">
        <f>IF(C391=0,0,IF(P391="Complete",SUM('Operating costs'!$B$24,'Operating costs'!$B$27,'Operating costs'!$B$29,'Operating costs'!$B$31,'Operating costs'!$B$33,'Operating costs'!$B$34,'Operating costs'!$B$37,'Replacement plan'!$W$103)+'Operating costs'!$B$39*'Operating costs'!$B$42+ROUNDUP(S391*(R391-'Operating costs'!$B$39)*IF('Replacement plan'!$AG$103="",'Operating costs'!$B$7,'Replacement plan'!$AG$103)/('Operating costs'!$B$8-'Operating costs'!$B$9*IF('Replacement plan'!$AG$103="",'Operating costs'!$B$7,'Replacement plan'!$AG$103)),0)*('Operating costs'!$B$9/'Operating costs'!$B$11+'Operating costs'!$B$10/60)*'Operating costs'!$B$19*'Operating costs'!$B$21,"n.a."))</f>
        <v>0</v>
      </c>
      <c r="L391" s="16">
        <f>IF(C391=0,0,IF(P391="Complete",IF(D391="EV",X391*((1-T391)*'Energy and charging'!$B$10+T391*'Energy and charging'!$B$11)*'Operating costs'!$B$22,AA391*('Energy and charging'!$B$9*'Energy and charging'!$B$7+(1-'Energy and charging'!$B$9)*'Energy and charging'!$B$8)*'Operating costs'!$B$23),"n.a."))</f>
        <v>0</v>
      </c>
      <c r="M391" s="37">
        <f>IF(C391=0,0,IF(P391="Complete",IF(D391="ICE",SUM('Operating costs'!$B$25,'Operating costs'!$B$27,'Operating costs'!$B$29,'Operating costs'!$B$31,'Operating costs'!$B$33,'Operating costs'!$B$35,'Operating costs'!$B$37,'Replacement plan'!$X$103)+'Operating costs'!$B$40*'Operating costs'!$B$42+ROUNDUP(S391*(R391-'Operating costs'!$B$40)*IF('Replacement plan'!$AH$103="",'Operating costs'!$B$7,'Replacement plan'!$AH$103)/('Operating costs'!$B$8-'Operating costs'!$B$9*IF('Replacement plan'!$AH$103="",'Operating costs'!$B$7,'Replacement plan'!$AH$103)),0)*('Operating costs'!$B$9/'Operating costs'!$B$11+'Operating costs'!$B$10/60)*'Operating costs'!$B$19*'Operating costs'!$B$21,SUM(AP391,'Operating costs'!$B$28,'Operating costs'!$B$30,'Operating costs'!$B$32,'Operating costs'!$B$33,'Operating costs'!$B$36,'Operating costs'!$B$38,'Replacement plan'!$Y$103)+'Operating costs'!$B$41*'Operating costs'!$B$43+W391*'Operating costs'!$B$15+(T391*X391/'Replacement plan'!$L$103+W391*('Operating costs'!$B$12/'Operating costs'!$B$11+('Operating costs'!$B$13+'Operating costs'!$B$14)/60)+(R391-'Operating costs'!$B$41)*(IF(T391&lt;1,'Operating costs'!$B$16,0)+'Operating costs'!$B$17)/60)*'Operating costs'!$B$19*'Operating costs'!$B$20),"n.a."))</f>
        <v>0</v>
      </c>
      <c r="N391" s="16">
        <f>IF(AND(C391=1,D391="EV",E391&lt;120,E391+'Replacement plan'!$AA$103&lt;=120),'Replacement plan'!$Z$103,0)</f>
        <v>0</v>
      </c>
      <c r="O391" s="1">
        <f>E391+'Replacement plan'!$AA$103</f>
        <v>0</v>
      </c>
      <c r="P391" s="35" t="str">
        <f>IFERROR(IF(C391=0,"Excluded",IF(OR(COUNTIFS('Fleet register'!$A$7:$A$106,A391)&lt;&gt;1,COUNTIFS('Replacement plan'!$A$7:$A$106,A391)&lt;&gt;1),"Duplicate/missing ID",IF(NOT(AND(ISNUMBER(VLOOKUP($A391,'Fleet register'!$A$7:$S$106,5,FALSE)),ISNUMBER(VLOOKUP($A391,'Fleet register'!$A$7:$S$106,6,FALSE)),ISNUMBER(VLOOKUP($A391,'Fleet register'!$A$7:$S$106,10,FALSE)),ISNUMBER(VLOOKUP($A391,'Fleet register'!$A$7:$S$106,11,FALSE)),ISNUMBER(VLOOKUP($A391,'Fleet register'!$A$7:$S$106,12,FALSE)),ISNUMBER(VLOOKUP($A391,'Fleet register'!$A$7:$S$106,13,FALSE)),ISNUMBER(VLOOKUP($A391,'Fleet register'!$A$7:$S$106,14,FALSE)),VLOOKUP($A391,'Fleet register'!$A$7:$S$106,14,FALSE)&gt;0,ISNUMBER('Replacement plan'!$C$103),OR(E391=120,ISNUMBER('Replacement plan'!$N$103)),ISNUMBER(E391))),"Missing vehicle input",IF(OR(E391&lt;0,E391&gt;VLOOKUP($A391,'Fleet register'!$A$7:$S$106,10,FALSE),E391&gt;120,E391&lt;&gt;INT(E391),VLOOKUP($A391,'Fleet register'!$A$7:$S$106,6,FALSE)&lt;=0,VLOOKUP($A391,'Fleet register'!$A$7:$S$106,6,FALSE)&gt;366,VLOOKUP($A391,'Fleet register'!$A$7:$S$106,5,FALSE)&lt;0,VLOOKUP($A391,'Fleet register'!$A$7:$S$106,11,FALSE)&lt;0,I391&lt;0,'Operating costs'!$B$8&lt;='Operating costs'!$B$7*'Operating costs'!$B$9,'Operating costs'!$B$11&lt;=0,'Operating costs'!$B$39&gt;R391,'Operating costs'!$B$40&gt;R391,'Operating costs'!$B$41&gt;R391,NOT(OR("Keep ICE"="Keep ICE","Keep ICE"="New ICE","Keep ICE"="EV"))),"Invalid vehicle input",IF(AND(D391="EV",E391&lt;120,OR(NOT(ISNUMBER(U391)),NOT(ISNUMBER(V391)),V391&lt;=0,T391&lt;0,T391&gt;1,'Replacement plan'!$L$103&lt;=0,'Operating costs'!$B$44&lt;0,'Operating costs'!$B$44&gt;=1,'Operating costs'!$B$47&lt;=0,'Operating costs'!$B$47&gt;1,V391*'Operating costs'!$B$47/(1-'Operating costs'!$B$44)&lt;=T391*'Operating costs'!$B$12*U391,AND('Replacement plan'!$Z$103&gt;0,OR('Replacement plan'!$AB$103&lt;&gt;"Yes",'Operating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charging'!$B$8&gt;=0))),ISNUMBER(VLOOKUP($A391,'Fleet register'!$A$7:$S$106,15,FALSE)),ISNUMBER(VLOOKUP($A391,'Fleet register'!$A$7:$S$106,16,FALSE)),ISNUMBER('Replacement plan'!$W$103),ISNUMBER('Replacement plan'!$X$103),OR(E391=120,AND(ISNUMBER(G391),G391&gt;=0)),ISNUMBER(H391),H391&gt;=0,OR(D391&lt;&gt;"EV",E391=120,AND(ISNUMBER('Operating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average",ISNUMBER(IFERROR(INDEX(Products!$P$7:$P$13,MATCH(AD391,Products!$A$7:$A$13,0)),"")))),ISNUMBER('Operating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plan'!$Y$103),ISNUMBER('Replacement plan'!$Z$103),'Replacement plan'!$Z$103&gt;=0,ISNUMBER('Replacement plan'!$AA$103),'Replacement plan'!$AA$103&gt;=0,'Replacement plan'!$AA$103=INT('Replacement plan'!$AA$103),ISNUMBER('Replacement plan'!$L$103))),'Operating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plan'!$AG$103="",'Operating costs'!$B$7,'Replacement plan'!$AG$103)),IF('Replacement plan'!$AG$103="",'Operating costs'!$B$7,'Replacement plan'!$AG$103)&gt;=0,ISNUMBER(IF('Replacement plan'!$AH$103="",'Operating costs'!$B$7,'Replacement plan'!$AH$103)),IF('Replacement plan'!$AH$103="",'Operating costs'!$B$7,'Replacement plan'!$AH$103)&gt;=0,'Operating costs'!$B$8&gt;MAX(IF('Replacement plan'!$AG$103="",'Operating costs'!$B$7,'Replacement plan'!$AG$103),IF('Replacement plan'!$AH$103="",'Operating costs'!$B$7,'Replacement plan'!$AH$103))*'Operating costs'!$B$9),IF(AND(VLOOKUP($A391,'Fleet register'!$A$7:$S$106,10,FALSE)&gt;=0,VLOOKUP($A391,'Fleet register'!$A$7:$S$106,10,FALSE)&lt;=120,VLOOKUP($A391,'Fleet register'!$A$7:$S$106,10,FALSE)=INT(VLOOKUP($A391,'Fleet register'!$A$7:$S$106,10,FALSE)),VLOOKUP($A391,'Fleet register'!$A$7:$S$106,15,FALSE)&gt;=0,VLOOKUP($A391,'Fleet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costs'!$B$67)&gt;=0,OR(D391&lt;&gt;"EV",E391=120,AND(MIN('Operating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91" s="1" t="str">
        <f>IF(C391=0,"Excluded",IF(P391&lt;&gt;"Complete",P391,IF(OR('Replacement plan'!$AD$103&lt;120-E391,AND(D391="EV",E391&lt;120,OR('Replacement plan'!$AC$103&lt;120-E391,'Replacement plan'!$I$103="No",AND(ISNUMBER(AF391),AE391&gt;AF391),AI391&gt;V391*(1-'Operating costs'!$B$46)^MAX(0,AB391-1)*(1-'Operating costs'!$B$45),AC391&gt;'Operating costs'!$B$18,AND(T391&lt;1,OR(AG391&lt;=0,AND(ISNUMBER(AH391),AG391&gt;AH391))),'Replacement plan'!$L$103&gt;INDEX(Products!$H$7:$H$13,MATCH('Replacement plan'!$B$103,Products!$A$7:$A$13,0))))),"Fails entered limits",IF(AND(D391="EV",E391&lt;120,OR(NOT(ISNUMBER(VLOOKUP($A391,'Fleet register'!$A$7:$S$106,7,FALSE))),NOT(ISNUMBER(VLOOKUP($A391,'Fleet register'!$A$7:$S$106,8,FALSE))),NOT(ISNUMBER(AF391)),'Replacement plan'!$I$103&lt;&gt;"Yes",NOT(ISNUMBER(AH391)),'Operating costs'!$B$59&lt;&gt;"Yes",'Operating costs'!$B$58&lt;&gt;"Yes")),"Unverified","Within entered limits"))))</f>
        <v>Excluded</v>
      </c>
      <c r="R391" s="1">
        <f>IF(C391=0,0,VLOOKUP($A391,'Fleet register'!$A$7:$S$106,6,FALSE))</f>
        <v>0</v>
      </c>
      <c r="S391" s="1">
        <f>IF(C391=0,0,VLOOKUP($A391,'Fleet register'!$A$7:$S$106,5,FALSE))</f>
        <v>0</v>
      </c>
      <c r="T391" s="1">
        <f>IF(D391="EV",'Energy and charging'!$B$12,0)</f>
        <v>0</v>
      </c>
      <c r="U391" s="1">
        <f>IFERROR(IF(C391=0,0,IF(D391="EV",IF('Replacement plan'!$F$103="",INDEX(Products!$E$7:$E$13,MATCH('Replacement plan'!$B$103,Products!$A$7:$A$13,0)),'Replacement plan'!$F$103)/IF('Replacement plan'!$G$103="Battery",1-'Operating costs'!$B$44,1),0)),"n.a.")</f>
        <v>0</v>
      </c>
      <c r="V391" s="1">
        <f>IFERROR(IF(C391=0,0,IF(D391="EV",IF('Replacement plan'!$E$103="",INDEX(Products!$D$7:$D$13,MATCH('Replacement plan'!$B$103,Products!$A$7:$A$13,0)),'Replacement plan'!$E$103),0)),"n.a.")</f>
        <v>0</v>
      </c>
      <c r="W391" s="1">
        <f>IF(C391=0,0,IF(AND(P391="Complete",D391="EV",E391&lt;120),IF(T391=0,0,ROUNDUP(T391*(R391-'Operating costs'!$B$41)*(S391*U391+'Operating costs'!$B$48/(1-'Operating costs'!$B$44))/(V391*'Operating costs'!$B$47/(1-'Operating costs'!$B$44)-T391*'Operating costs'!$B$12*U391),0)),0))</f>
        <v>0</v>
      </c>
      <c r="X391" s="1">
        <f>IF(C391=0,0,IF(AND(P391="Complete",D391="EV",E391&lt;120),(R391-'Operating costs'!$B$41)*(S391*U391+'Operating costs'!$B$48/(1-'Operating costs'!$B$44))+W391*'Operating costs'!$B$12*U391,0))</f>
        <v>0</v>
      </c>
      <c r="Y391" s="1">
        <f>IF(AND(C391=1,D391="EV",E391&lt;120),AI391/(1-'Operating costs'!$B$44)*(1-T391),0)</f>
        <v>0</v>
      </c>
      <c r="Z391" s="1">
        <f t="shared" ref="Z391:Z406" si="12">IF(AND(C391=1,D391="EV",E391&lt;120,T391&lt;1,AG391&gt;0),Y391/AG391,0)</f>
        <v>0</v>
      </c>
      <c r="AA391" s="1">
        <f>IF(C391=0,0,IF(P391="Complete",((S391*(R391-'Operating costs'!$B$40))+ROUNDUP(S391*(R391-'Operating costs'!$B$40)*IF('Replacement plan'!$AH$103="",'Operating costs'!$B$7,'Replacement plan'!$AH$103)/('Operating costs'!$B$8-'Operating costs'!$B$9*IF('Replacement plan'!$AH$103="",'Operating costs'!$B$7,'Replacement plan'!$AH$103)),0)*'Operating costs'!$B$9)*IF('Replacement plan'!$AH$103="",'Operating costs'!$B$7,'Replacement plan'!$AH$103),"n.a."))</f>
        <v>0</v>
      </c>
      <c r="AB391" s="1">
        <f t="shared" ref="AB391:AB406" si="13">IF(D391="EV",(120-E391)/12,0)</f>
        <v>0</v>
      </c>
      <c r="AC391" s="1">
        <f>IF(AND(C391=1,D391="EV",E391&lt;120,T391&gt;0),'Operating costs'!$B$12/'Operating costs'!$B$11*60+'Operating costs'!$B$13+'Operating costs'!$B$14+V391*'Operating costs'!$B$47/(1-'Operating costs'!$B$44)/'Replacement plan'!$L$103*60,0)</f>
        <v>0</v>
      </c>
      <c r="AD391" s="1" t="str">
        <f>'Replacement plan'!$B$103</f>
        <v>ChengLong L2EV</v>
      </c>
      <c r="AE391" s="1">
        <f>IF(C391=0,0,VLOOKUP($A391,'Fleet register'!$A$7:$S$106,8,FALSE))</f>
        <v>0</v>
      </c>
      <c r="AF391" s="1" t="str">
        <f>IF('Replacement plan'!$H$103="","n.a.",'Replacement plan'!$H$103)</f>
        <v>n.a.</v>
      </c>
      <c r="AG391" s="1">
        <f>'Replacement plan'!$J$103</f>
        <v>22</v>
      </c>
      <c r="AH391" s="1">
        <f>IFERROR(IF(D391="EV",IF('Replacement plan'!$K$103="AC",IF(ISNUMBER(INDEX(Products!$G$7:$G$13,MATCH('Replacement plan'!$B$103,Products!$A$7:$A$13,0))),INDEX(Products!$G$7:$G$13,MATCH('Replacement plan'!$B$103,Products!$A$7:$A$13,0)),"n.a."),IF(ISNUMBER(INDEX(Products!$H$7:$H$13,MATCH('Replacement plan'!$B$103,Products!$A$7:$A$13,0))),INDEX(Products!$H$7:$H$13,MATCH('Replacement plan'!$B$103,Products!$A$7:$A$13,0)),"n.a.")),0),"n.a.")</f>
        <v>0</v>
      </c>
      <c r="AI391" s="1">
        <f>IF(AND(C391=1,D391="EV",E391&lt;120),(VLOOKUP($A391,'Fleet register'!$A$7:$S$106,7,FALSE)+IF(T391&gt;0,'Operating costs'!$B$12,0))*U391*(1-'Operating costs'!$B$44)+'Operating costs'!$B$49,0)</f>
        <v>0</v>
      </c>
      <c r="AJ391" s="1">
        <f>IF(D391="EV",'Energy and charging'!$B$50,0)</f>
        <v>0</v>
      </c>
      <c r="AK391" s="17">
        <f>EDATE('Operating costs'!$B$63,E391)</f>
        <v>46298</v>
      </c>
      <c r="AL391" s="1">
        <f>IFERROR(IF(D391="EV",INDEX(Products!$B$7:$B$13,MATCH('Replacement plan'!$B$103,Products!$A$7:$A$13,0)),0),"n.a.")</f>
        <v>0</v>
      </c>
      <c r="AM391" s="1" t="str">
        <f>'Replacement plan'!$K$103</f>
        <v>DC</v>
      </c>
      <c r="AN391" s="1" t="str">
        <f>'Replacement plan'!$AE$103</f>
        <v>Assumed</v>
      </c>
      <c r="AO391" s="47">
        <f>IF(AND(C391=1,D391="EV",E391&lt;120),(R391-'Operating costs'!$B$41)*S391+W391*'Operating costs'!$B$12,0)</f>
        <v>0</v>
      </c>
      <c r="AP391" s="41">
        <f>IF(AND(C391=1,D391="EV",E391&lt;120),IF('Operating costs'!$B$68="Hong Seh 200k average",AO391*IFERROR(INDEX(Products!$P$7:$P$13,MATCH(AD391,Products!$A$7:$A$13,0)),"n.a."),'Operating costs'!$B$26),0)</f>
        <v>0</v>
      </c>
      <c r="AQ391" s="40" t="str">
        <f>IF(D391="EV",'Operating costs'!$B$68,"Not applicable")</f>
        <v>Not applicable</v>
      </c>
    </row>
    <row r="392" spans="1:43" ht="24" customHeight="1">
      <c r="A392" s="1" t="str">
        <f>'Replacement plan'!A103</f>
        <v>T097</v>
      </c>
      <c r="B392" s="1">
        <v>1</v>
      </c>
      <c r="C392" s="1">
        <f>IF(COUNTIFS('Fleet register'!$A$7:$A$106,$A392)=1,VLOOKUP($A392,'Fleet register'!$A$7:$S$106,2,FALSE),0)</f>
        <v>0</v>
      </c>
      <c r="D392" s="1" t="str">
        <f>IF("New ICE"="EV","EV","ICE")</f>
        <v>ICE</v>
      </c>
      <c r="E392" s="1">
        <f>IF(C392=0,0,0)</f>
        <v>0</v>
      </c>
      <c r="F392" s="16">
        <f>IF(C392=0,0,VLOOKUP($A392,'Fleet register'!$A$7:$S$106,11,FALSE))</f>
        <v>0</v>
      </c>
      <c r="G392" s="16">
        <f>IFERROR(IF(C392=0,0,IF(E392=120,0,IF(D392="ICE",'Replacement plan'!$C$103,IF('Replacement plan'!$D$103="",INDEX(Products!$I$7:$I$13,MATCH('Replacement plan'!$B$103,Products!$A$7:$A$13,0))+'Operating costs'!$B$57,'Replacement plan'!$D$103))*(1+'Operating costs'!$B$50)^(E392/12))),"n.a.")</f>
        <v>0</v>
      </c>
      <c r="H392" s="16">
        <f>IFERROR(IF(C392=0,0,IF(E392=0,F392,VLOOKUP($A392,'Fleet register'!$A$7:$S$106,12,FALSE)+VLOOKUP($A392,'Fleet register'!$A$7:$S$106,13,FALSE)*MAX(0,VLOOKUP($A392,'Fleet register'!$A$7:$S$106,10,FALSE)-E392)/VLOOKUP($A392,'Fleet register'!$A$7:$S$106,14,FALSE))),"n.a.")</f>
        <v>0</v>
      </c>
      <c r="I392" s="16">
        <f>IF(C392=0,0,IF(E392=120,0,IF('Replacement plan'!$AI$103="",'Operating costs'!$B$56,'Replacement plan'!$AI$103)))</f>
        <v>0</v>
      </c>
      <c r="J392" s="16">
        <f>IF(C392=0,0,IF(P392="Complete",((S392*(R392-'Operating costs'!$B$39))+ROUNDUP(S392*(R392-'Operating costs'!$B$39)*IF('Replacement plan'!$AG$103="",'Operating costs'!$B$7,'Replacement plan'!$AG$103)/('Operating costs'!$B$8-'Operating costs'!$B$9*IF('Replacement plan'!$AG$103="",'Operating costs'!$B$7,'Replacement plan'!$AG$103)),0)*'Operating costs'!$B$9)*IF('Replacement plan'!$AG$103="",'Operating costs'!$B$7,'Replacement plan'!$AG$103)*('Energy and charging'!$B$9*'Energy and charging'!$B$7+(1-'Energy and charging'!$B$9)*'Energy and charging'!$B$8)*'Operating costs'!$B$23,"n.a."))</f>
        <v>0</v>
      </c>
      <c r="K392" s="16">
        <f>IF(C392=0,0,IF(P392="Complete",SUM('Operating costs'!$B$24,'Operating costs'!$B$27,'Operating costs'!$B$29,'Operating costs'!$B$31,'Operating costs'!$B$33,'Operating costs'!$B$34,'Operating costs'!$B$37,'Replacement plan'!$W$103)+'Operating costs'!$B$39*'Operating costs'!$B$42+ROUNDUP(S392*(R392-'Operating costs'!$B$39)*IF('Replacement plan'!$AG$103="",'Operating costs'!$B$7,'Replacement plan'!$AG$103)/('Operating costs'!$B$8-'Operating costs'!$B$9*IF('Replacement plan'!$AG$103="",'Operating costs'!$B$7,'Replacement plan'!$AG$103)),0)*('Operating costs'!$B$9/'Operating costs'!$B$11+'Operating costs'!$B$10/60)*'Operating costs'!$B$19*'Operating costs'!$B$21,"n.a."))</f>
        <v>0</v>
      </c>
      <c r="L392" s="16">
        <f>IF(C392=0,0,IF(P392="Complete",IF(D392="EV",X392*((1-T392)*'Energy and charging'!$B$10+T392*'Energy and charging'!$B$11)*'Operating costs'!$B$22,AA392*('Energy and charging'!$B$9*'Energy and charging'!$B$7+(1-'Energy and charging'!$B$9)*'Energy and charging'!$B$8)*'Operating costs'!$B$23),"n.a."))</f>
        <v>0</v>
      </c>
      <c r="M392" s="37">
        <f>IF(C392=0,0,IF(P392="Complete",IF(D392="ICE",SUM('Operating costs'!$B$25,'Operating costs'!$B$27,'Operating costs'!$B$29,'Operating costs'!$B$31,'Operating costs'!$B$33,'Operating costs'!$B$35,'Operating costs'!$B$37,'Replacement plan'!$X$103)+'Operating costs'!$B$40*'Operating costs'!$B$42+ROUNDUP(S392*(R392-'Operating costs'!$B$40)*IF('Replacement plan'!$AH$103="",'Operating costs'!$B$7,'Replacement plan'!$AH$103)/('Operating costs'!$B$8-'Operating costs'!$B$9*IF('Replacement plan'!$AH$103="",'Operating costs'!$B$7,'Replacement plan'!$AH$103)),0)*('Operating costs'!$B$9/'Operating costs'!$B$11+'Operating costs'!$B$10/60)*'Operating costs'!$B$19*'Operating costs'!$B$21,SUM(AP392,'Operating costs'!$B$28,'Operating costs'!$B$30,'Operating costs'!$B$32,'Operating costs'!$B$33,'Operating costs'!$B$36,'Operating costs'!$B$38,'Replacement plan'!$Y$103)+'Operating costs'!$B$41*'Operating costs'!$B$43+W392*'Operating costs'!$B$15+(T392*X392/'Replacement plan'!$L$103+W392*('Operating costs'!$B$12/'Operating costs'!$B$11+('Operating costs'!$B$13+'Operating costs'!$B$14)/60)+(R392-'Operating costs'!$B$41)*(IF(T392&lt;1,'Operating costs'!$B$16,0)+'Operating costs'!$B$17)/60)*'Operating costs'!$B$19*'Operating costs'!$B$20),"n.a."))</f>
        <v>0</v>
      </c>
      <c r="N392" s="16">
        <f>IF(AND(C392=1,D392="EV",E392&lt;120,E392+'Replacement plan'!$AA$103&lt;=120),'Replacement plan'!$Z$103,0)</f>
        <v>0</v>
      </c>
      <c r="O392" s="1">
        <f>E392+'Replacement plan'!$AA$103</f>
        <v>0</v>
      </c>
      <c r="P392" s="35" t="str">
        <f>IFERROR(IF(C392=0,"Excluded",IF(OR(COUNTIFS('Fleet register'!$A$7:$A$106,A392)&lt;&gt;1,COUNTIFS('Replacement plan'!$A$7:$A$106,A392)&lt;&gt;1),"Duplicate/missing ID",IF(NOT(AND(ISNUMBER(VLOOKUP($A392,'Fleet register'!$A$7:$S$106,5,FALSE)),ISNUMBER(VLOOKUP($A392,'Fleet register'!$A$7:$S$106,6,FALSE)),ISNUMBER(VLOOKUP($A392,'Fleet register'!$A$7:$S$106,10,FALSE)),ISNUMBER(VLOOKUP($A392,'Fleet register'!$A$7:$S$106,11,FALSE)),ISNUMBER(VLOOKUP($A392,'Fleet register'!$A$7:$S$106,12,FALSE)),ISNUMBER(VLOOKUP($A392,'Fleet register'!$A$7:$S$106,13,FALSE)),ISNUMBER(VLOOKUP($A392,'Fleet register'!$A$7:$S$106,14,FALSE)),VLOOKUP($A392,'Fleet register'!$A$7:$S$106,14,FALSE)&gt;0,ISNUMBER('Replacement plan'!$C$103),OR(E392=120,OR(ISNUMBER('Replacement plan'!$AI$103),AND('Replacement plan'!$AI$103="",ISNUMBER('Operating costs'!$B$56)))),ISNUMBER(E392))),"Missing vehicle input",IF(OR(E392&lt;0,E392&gt;VLOOKUP($A392,'Fleet register'!$A$7:$S$106,10,FALSE),E392&gt;120,E392&lt;&gt;INT(E392),VLOOKUP($A392,'Fleet register'!$A$7:$S$106,6,FALSE)&lt;=0,VLOOKUP($A392,'Fleet register'!$A$7:$S$106,6,FALSE)&gt;366,VLOOKUP($A392,'Fleet register'!$A$7:$S$106,5,FALSE)&lt;0,VLOOKUP($A392,'Fleet register'!$A$7:$S$106,11,FALSE)&lt;0,I392&lt;0,'Operating costs'!$B$8&lt;='Operating costs'!$B$7*'Operating costs'!$B$9,'Operating costs'!$B$11&lt;=0,'Operating costs'!$B$39&gt;R392,'Operating costs'!$B$40&gt;R392,'Operating costs'!$B$41&gt;R392,NOT(OR("New ICE"="Keep ICE","New ICE"="New ICE","New ICE"="EV"))),"Invalid vehicle input",IF(AND(D392="EV",E392&lt;120,OR(NOT(ISNUMBER(U392)),NOT(ISNUMBER(V392)),V392&lt;=0,T392&lt;0,T392&gt;1,'Replacement plan'!$L$103&lt;=0,'Operating costs'!$B$44&lt;0,'Operating costs'!$B$44&gt;=1,'Operating costs'!$B$47&lt;=0,'Operating costs'!$B$47&gt;1,V392*'Operating costs'!$B$47/(1-'Operating costs'!$B$44)&lt;=T392*'Operating costs'!$B$12*U392,AND('Replacement plan'!$Z$103&gt;0,OR('Replacement plan'!$AB$103&lt;&gt;"Yes",'Operating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charging'!$B$8&gt;=0))),ISNUMBER(VLOOKUP($A392,'Fleet register'!$A$7:$S$106,15,FALSE)),ISNUMBER(VLOOKUP($A392,'Fleet register'!$A$7:$S$106,16,FALSE)),ISNUMBER('Replacement plan'!$W$103),ISNUMBER('Replacement plan'!$X$103),OR(E392=120,AND(ISNUMBER(G392),G392&gt;=0)),ISNUMBER(H392),H392&gt;=0,OR(D392&lt;&gt;"EV",E392=120,AND(ISNUMBER('Operating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average",ISNUMBER(IFERROR(INDEX(Products!$P$7:$P$13,MATCH(AD392,Products!$A$7:$A$13,0)),"")))),ISNUMBER('Operating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plan'!$Y$103),ISNUMBER('Replacement plan'!$Z$103),'Replacement plan'!$Z$103&gt;=0,ISNUMBER('Replacement plan'!$AA$103),'Replacement plan'!$AA$103&gt;=0,'Replacement plan'!$AA$103=INT('Replacement plan'!$AA$103),ISNUMBER('Replacement plan'!$L$103))),'Operating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plan'!$AG$103="",'Operating costs'!$B$7,'Replacement plan'!$AG$103)),IF('Replacement plan'!$AG$103="",'Operating costs'!$B$7,'Replacement plan'!$AG$103)&gt;=0,ISNUMBER(IF('Replacement plan'!$AH$103="",'Operating costs'!$B$7,'Replacement plan'!$AH$103)),IF('Replacement plan'!$AH$103="",'Operating costs'!$B$7,'Replacement plan'!$AH$103)&gt;=0,'Operating costs'!$B$8&gt;MAX(IF('Replacement plan'!$AG$103="",'Operating costs'!$B$7,'Replacement plan'!$AG$103),IF('Replacement plan'!$AH$103="",'Operating costs'!$B$7,'Replacement plan'!$AH$103))*'Operating costs'!$B$9),IF(AND(VLOOKUP($A392,'Fleet register'!$A$7:$S$106,10,FALSE)&gt;=0,VLOOKUP($A392,'Fleet register'!$A$7:$S$106,10,FALSE)&lt;=120,VLOOKUP($A392,'Fleet register'!$A$7:$S$106,10,FALSE)=INT(VLOOKUP($A392,'Fleet register'!$A$7:$S$106,10,FALSE)),VLOOKUP($A392,'Fleet register'!$A$7:$S$106,15,FALSE)&gt;=0,VLOOKUP($A392,'Fleet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costs'!$B$67)&gt;=0,OR(D392&lt;&gt;"EV",E392=120,AND(MIN('Operating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92" s="1" t="str">
        <f>IF(C392=0,"Excluded",IF(P392&lt;&gt;"Complete",P392,IF(OR('Replacement plan'!$AD$103&lt;120-E392,AND(D392="EV",E392&lt;120,OR('Replacement plan'!$AC$103&lt;120-E392,'Replacement plan'!$I$103="No",AND(ISNUMBER(AF392),AE392&gt;AF392),AI392&gt;V392*(1-'Operating costs'!$B$46)^MAX(0,AB392-1)*(1-'Operating costs'!$B$45),AC392&gt;'Operating costs'!$B$18,AND(T392&lt;1,OR(AG392&lt;=0,AND(ISNUMBER(AH392),AG392&gt;AH392))),'Replacement plan'!$L$103&gt;INDEX(Products!$H$7:$H$13,MATCH('Replacement plan'!$B$103,Products!$A$7:$A$13,0))))),"Fails entered limits",IF(AND(D392="EV",E392&lt;120,OR(NOT(ISNUMBER(VLOOKUP($A392,'Fleet register'!$A$7:$S$106,7,FALSE))),NOT(ISNUMBER(VLOOKUP($A392,'Fleet register'!$A$7:$S$106,8,FALSE))),NOT(ISNUMBER(AF392)),'Replacement plan'!$I$103&lt;&gt;"Yes",NOT(ISNUMBER(AH392)),'Operating costs'!$B$59&lt;&gt;"Yes",'Operating costs'!$B$58&lt;&gt;"Yes")),"Unverified","Within entered limits"))))</f>
        <v>Excluded</v>
      </c>
      <c r="R392" s="1">
        <f>IF(C392=0,0,VLOOKUP($A392,'Fleet register'!$A$7:$S$106,6,FALSE))</f>
        <v>0</v>
      </c>
      <c r="S392" s="1">
        <f>IF(C392=0,0,VLOOKUP($A392,'Fleet register'!$A$7:$S$106,5,FALSE))</f>
        <v>0</v>
      </c>
      <c r="T392" s="1">
        <f>IF(D392="EV",'Energy and charging'!$B$12,0)</f>
        <v>0</v>
      </c>
      <c r="U392" s="1">
        <f>IFERROR(IF(C392=0,0,IF(D392="EV",IF('Replacement plan'!$F$103="",INDEX(Products!$E$7:$E$13,MATCH('Replacement plan'!$B$103,Products!$A$7:$A$13,0)),'Replacement plan'!$F$103)/IF('Replacement plan'!$G$103="Battery",1-'Operating costs'!$B$44,1),0)),"n.a.")</f>
        <v>0</v>
      </c>
      <c r="V392" s="1">
        <f>IFERROR(IF(C392=0,0,IF(D392="EV",IF('Replacement plan'!$E$103="",INDEX(Products!$D$7:$D$13,MATCH('Replacement plan'!$B$103,Products!$A$7:$A$13,0)),'Replacement plan'!$E$103),0)),"n.a.")</f>
        <v>0</v>
      </c>
      <c r="W392" s="1">
        <f>IF(C392=0,0,IF(AND(P392="Complete",D392="EV",E392&lt;120),IF(T392=0,0,ROUNDUP(T392*(R392-'Operating costs'!$B$41)*(S392*U392+'Operating costs'!$B$48/(1-'Operating costs'!$B$44))/(V392*'Operating costs'!$B$47/(1-'Operating costs'!$B$44)-T392*'Operating costs'!$B$12*U392),0)),0))</f>
        <v>0</v>
      </c>
      <c r="X392" s="1">
        <f>IF(C392=0,0,IF(AND(P392="Complete",D392="EV",E392&lt;120),(R392-'Operating costs'!$B$41)*(S392*U392+'Operating costs'!$B$48/(1-'Operating costs'!$B$44))+W392*'Operating costs'!$B$12*U392,0))</f>
        <v>0</v>
      </c>
      <c r="Y392" s="1">
        <f>IF(AND(C392=1,D392="EV",E392&lt;120),AI392/(1-'Operating costs'!$B$44)*(1-T392),0)</f>
        <v>0</v>
      </c>
      <c r="Z392" s="1">
        <f t="shared" si="12"/>
        <v>0</v>
      </c>
      <c r="AA392" s="1">
        <f>IF(C392=0,0,IF(P392="Complete",((S392*(R392-'Operating costs'!$B$40))+ROUNDUP(S392*(R392-'Operating costs'!$B$40)*IF('Replacement plan'!$AH$103="",'Operating costs'!$B$7,'Replacement plan'!$AH$103)/('Operating costs'!$B$8-'Operating costs'!$B$9*IF('Replacement plan'!$AH$103="",'Operating costs'!$B$7,'Replacement plan'!$AH$103)),0)*'Operating costs'!$B$9)*IF('Replacement plan'!$AH$103="",'Operating costs'!$B$7,'Replacement plan'!$AH$103),"n.a."))</f>
        <v>0</v>
      </c>
      <c r="AB392" s="1">
        <f t="shared" si="13"/>
        <v>0</v>
      </c>
      <c r="AC392" s="1">
        <f>IF(AND(C392=1,D392="EV",E392&lt;120,T392&gt;0),'Operating costs'!$B$12/'Operating costs'!$B$11*60+'Operating costs'!$B$13+'Operating costs'!$B$14+V392*'Operating costs'!$B$47/(1-'Operating costs'!$B$44)/'Replacement plan'!$L$103*60,0)</f>
        <v>0</v>
      </c>
      <c r="AD392" s="1" t="str">
        <f>'Replacement plan'!$B$103</f>
        <v>ChengLong L2EV</v>
      </c>
      <c r="AE392" s="1">
        <f>IF(C392=0,0,VLOOKUP($A392,'Fleet register'!$A$7:$S$106,8,FALSE))</f>
        <v>0</v>
      </c>
      <c r="AF392" s="1" t="str">
        <f>IF('Replacement plan'!$H$103="","n.a.",'Replacement plan'!$H$103)</f>
        <v>n.a.</v>
      </c>
      <c r="AG392" s="1">
        <f>'Replacement plan'!$J$103</f>
        <v>22</v>
      </c>
      <c r="AH392" s="1">
        <f>IFERROR(IF(D392="EV",IF('Replacement plan'!$K$103="AC",IF(ISNUMBER(INDEX(Products!$G$7:$G$13,MATCH('Replacement plan'!$B$103,Products!$A$7:$A$13,0))),INDEX(Products!$G$7:$G$13,MATCH('Replacement plan'!$B$103,Products!$A$7:$A$13,0)),"n.a."),IF(ISNUMBER(INDEX(Products!$H$7:$H$13,MATCH('Replacement plan'!$B$103,Products!$A$7:$A$13,0))),INDEX(Products!$H$7:$H$13,MATCH('Replacement plan'!$B$103,Products!$A$7:$A$13,0)),"n.a.")),0),"n.a.")</f>
        <v>0</v>
      </c>
      <c r="AI392" s="1">
        <f>IF(AND(C392=1,D392="EV",E392&lt;120),(VLOOKUP($A392,'Fleet register'!$A$7:$S$106,7,FALSE)+IF(T392&gt;0,'Operating costs'!$B$12,0))*U392*(1-'Operating costs'!$B$44)+'Operating costs'!$B$49,0)</f>
        <v>0</v>
      </c>
      <c r="AJ392" s="1">
        <f>IF(D392="EV",'Energy and charging'!$B$50,0)</f>
        <v>0</v>
      </c>
      <c r="AK392" s="17">
        <f>EDATE('Operating costs'!$B$63,E392)</f>
        <v>46298</v>
      </c>
      <c r="AL392" s="1">
        <f>IFERROR(IF(D392="EV",INDEX(Products!$B$7:$B$13,MATCH('Replacement plan'!$B$103,Products!$A$7:$A$13,0)),0),"n.a.")</f>
        <v>0</v>
      </c>
      <c r="AM392" s="1" t="str">
        <f>'Replacement plan'!$K$103</f>
        <v>DC</v>
      </c>
      <c r="AN392" s="1" t="str">
        <f>'Replacement plan'!$AE$103</f>
        <v>Assumed</v>
      </c>
      <c r="AO392" s="47">
        <f>IF(AND(C392=1,D392="EV",E392&lt;120),(R392-'Operating costs'!$B$41)*S392+W392*'Operating costs'!$B$12,0)</f>
        <v>0</v>
      </c>
      <c r="AP392" s="41">
        <f>IF(AND(C392=1,D392="EV",E392&lt;120),IF('Operating costs'!$B$68="Hong Seh 200k average",AO392*IFERROR(INDEX(Products!$P$7:$P$13,MATCH(AD392,Products!$A$7:$A$13,0)),"n.a."),'Operating costs'!$B$26),0)</f>
        <v>0</v>
      </c>
      <c r="AQ392" s="40" t="str">
        <f>IF(D392="EV",'Operating costs'!$B$68,"Not applicable")</f>
        <v>Not applicable</v>
      </c>
    </row>
    <row r="393" spans="1:43" ht="24" customHeight="1">
      <c r="A393" s="1" t="str">
        <f>'Replacement plan'!A103</f>
        <v>T097</v>
      </c>
      <c r="B393" s="1">
        <v>2</v>
      </c>
      <c r="C393" s="1">
        <f>IF(COUNTIFS('Fleet register'!$A$7:$A$106,$A393)=1,VLOOKUP($A393,'Fleet register'!$A$7:$S$106,2,FALSE),0)</f>
        <v>0</v>
      </c>
      <c r="D393" s="1" t="str">
        <f>IF('Replacement plan'!$O$103="EV","EV","ICE")</f>
        <v>ICE</v>
      </c>
      <c r="E393" s="1">
        <f>IF(C393=0,0,IF('Replacement plan'!$P$103="",IF('Replacement plan'!$O$103="Keep ICE",IF('Replacement plan'!$M$103="",VLOOKUP($A393,'Fleet register'!$A$7:$S$106,10,FALSE),'Replacement plan'!$M$103),0),'Replacement plan'!$P$103))</f>
        <v>0</v>
      </c>
      <c r="F393" s="16">
        <f>IF(C393=0,0,VLOOKUP($A393,'Fleet register'!$A$7:$S$106,11,FALSE))</f>
        <v>0</v>
      </c>
      <c r="G393" s="16">
        <f>IFERROR(IF(C393=0,0,IF(E393=120,0,IF(D393="ICE",'Replacement plan'!$C$103,IF('Replacement plan'!$D$103="",INDEX(Products!$I$7:$I$13,MATCH('Replacement plan'!$B$103,Products!$A$7:$A$13,0))+'Operating costs'!$B$57,'Replacement plan'!$D$103))*(1+'Operating costs'!$B$50)^(E393/12))),"n.a.")</f>
        <v>0</v>
      </c>
      <c r="H393" s="16">
        <f>IFERROR(IF(C393=0,0,IF('Replacement plan'!$U$103&lt;&gt;"",'Replacement plan'!$U$103,IF(E393=0,F393,VLOOKUP($A393,'Fleet register'!$A$7:$S$106,12,FALSE)+VLOOKUP($A393,'Fleet register'!$A$7:$S$106,13,FALSE)*MAX(0,VLOOKUP($A393,'Fleet register'!$A$7:$S$106,10,FALSE)-E393)/VLOOKUP($A393,'Fleet register'!$A$7:$S$106,14,FALSE)))),"n.a.")</f>
        <v>0</v>
      </c>
      <c r="I393" s="16">
        <f>IF(C393=0,0,IF(E393=120,0,'Replacement plan'!$Q$103))</f>
        <v>0</v>
      </c>
      <c r="J393" s="16">
        <f>IF(C393=0,0,IF(P393="Complete",((S393*(R393-'Operating costs'!$B$39))+ROUNDUP(S393*(R393-'Operating costs'!$B$39)*IF('Replacement plan'!$AG$103="",'Operating costs'!$B$7,'Replacement plan'!$AG$103)/('Operating costs'!$B$8-'Operating costs'!$B$9*IF('Replacement plan'!$AG$103="",'Operating costs'!$B$7,'Replacement plan'!$AG$103)),0)*'Operating costs'!$B$9)*IF('Replacement plan'!$AG$103="",'Operating costs'!$B$7,'Replacement plan'!$AG$103)*('Energy and charging'!$B$9*'Energy and charging'!$B$7+(1-'Energy and charging'!$B$9)*'Energy and charging'!$B$8)*'Operating costs'!$B$23,"n.a."))</f>
        <v>0</v>
      </c>
      <c r="K393" s="16">
        <f>IF(C393=0,0,IF(P393="Complete",SUM('Operating costs'!$B$24,'Operating costs'!$B$27,'Operating costs'!$B$29,'Operating costs'!$B$31,'Operating costs'!$B$33,'Operating costs'!$B$34,'Operating costs'!$B$37,'Replacement plan'!$W$103)+'Operating costs'!$B$39*'Operating costs'!$B$42+ROUNDUP(S393*(R393-'Operating costs'!$B$39)*IF('Replacement plan'!$AG$103="",'Operating costs'!$B$7,'Replacement plan'!$AG$103)/('Operating costs'!$B$8-'Operating costs'!$B$9*IF('Replacement plan'!$AG$103="",'Operating costs'!$B$7,'Replacement plan'!$AG$103)),0)*('Operating costs'!$B$9/'Operating costs'!$B$11+'Operating costs'!$B$10/60)*'Operating costs'!$B$19*'Operating costs'!$B$21,"n.a."))</f>
        <v>0</v>
      </c>
      <c r="L393" s="16">
        <f>IF(C393=0,0,IF(P393="Complete",IF(D393="EV",X393*((1-T393)*'Energy and charging'!$B$10+T393*'Energy and charging'!$B$11)*'Operating costs'!$B$22,AA393*('Energy and charging'!$B$9*'Energy and charging'!$B$7+(1-'Energy and charging'!$B$9)*'Energy and charging'!$B$8)*'Operating costs'!$B$23),"n.a."))</f>
        <v>0</v>
      </c>
      <c r="M393" s="37">
        <f>IF(C393=0,0,IF(P393="Complete",IF(D393="ICE",SUM('Operating costs'!$B$25,'Operating costs'!$B$27,'Operating costs'!$B$29,'Operating costs'!$B$31,'Operating costs'!$B$33,'Operating costs'!$B$35,'Operating costs'!$B$37,'Replacement plan'!$X$103)+'Operating costs'!$B$40*'Operating costs'!$B$42+ROUNDUP(S393*(R393-'Operating costs'!$B$40)*IF('Replacement plan'!$AH$103="",'Operating costs'!$B$7,'Replacement plan'!$AH$103)/('Operating costs'!$B$8-'Operating costs'!$B$9*IF('Replacement plan'!$AH$103="",'Operating costs'!$B$7,'Replacement plan'!$AH$103)),0)*('Operating costs'!$B$9/'Operating costs'!$B$11+'Operating costs'!$B$10/60)*'Operating costs'!$B$19*'Operating costs'!$B$21,SUM(AP393,'Operating costs'!$B$28,'Operating costs'!$B$30,'Operating costs'!$B$32,'Operating costs'!$B$33,'Operating costs'!$B$36,'Operating costs'!$B$38,'Replacement plan'!$Y$103)+'Operating costs'!$B$41*'Operating costs'!$B$43+W393*'Operating costs'!$B$15+(T393*X393/'Replacement plan'!$L$103+W393*('Operating costs'!$B$12/'Operating costs'!$B$11+('Operating costs'!$B$13+'Operating costs'!$B$14)/60)+(R393-'Operating costs'!$B$41)*(IF(T393&lt;1,'Operating costs'!$B$16,0)+'Operating costs'!$B$17)/60)*'Operating costs'!$B$19*'Operating costs'!$B$20),"n.a."))</f>
        <v>0</v>
      </c>
      <c r="N393" s="16">
        <f>IF(AND(C393=1,D393="EV",E393&lt;120,E393+'Replacement plan'!$AA$103&lt;=120),'Replacement plan'!$Z$103,0)</f>
        <v>0</v>
      </c>
      <c r="O393" s="1">
        <f>E393+'Replacement plan'!$AA$103</f>
        <v>0</v>
      </c>
      <c r="P393" s="35" t="str">
        <f>IFERROR(IF(C393=0,"Excluded",IF(OR(COUNTIFS('Fleet register'!$A$7:$A$106,A393)&lt;&gt;1,COUNTIFS('Replacement plan'!$A$7:$A$106,A393)&lt;&gt;1),"Duplicate/missing ID",IF(NOT(AND(ISNUMBER(VLOOKUP($A393,'Fleet register'!$A$7:$S$106,5,FALSE)),ISNUMBER(VLOOKUP($A393,'Fleet register'!$A$7:$S$106,6,FALSE)),ISNUMBER(VLOOKUP($A393,'Fleet register'!$A$7:$S$106,10,FALSE)),ISNUMBER(VLOOKUP($A393,'Fleet register'!$A$7:$S$106,11,FALSE)),ISNUMBER(VLOOKUP($A393,'Fleet register'!$A$7:$S$106,12,FALSE)),ISNUMBER(VLOOKUP($A393,'Fleet register'!$A$7:$S$106,13,FALSE)),ISNUMBER(VLOOKUP($A393,'Fleet register'!$A$7:$S$106,14,FALSE)),VLOOKUP($A393,'Fleet register'!$A$7:$S$106,14,FALSE)&gt;0,ISNUMBER('Replacement plan'!$C$103),OR(E393=120,ISNUMBER('Replacement plan'!$Q$103)),ISNUMBER(E393))),"Missing vehicle input",IF(OR(E393&lt;0,E393&gt;VLOOKUP($A393,'Fleet register'!$A$7:$S$106,10,FALSE),E393&gt;120,E393&lt;&gt;INT(E393),VLOOKUP($A393,'Fleet register'!$A$7:$S$106,6,FALSE)&lt;=0,VLOOKUP($A393,'Fleet register'!$A$7:$S$106,6,FALSE)&gt;366,VLOOKUP($A393,'Fleet register'!$A$7:$S$106,5,FALSE)&lt;0,VLOOKUP($A393,'Fleet register'!$A$7:$S$106,11,FALSE)&lt;0,I393&lt;0,'Operating costs'!$B$8&lt;='Operating costs'!$B$7*'Operating costs'!$B$9,'Operating costs'!$B$11&lt;=0,'Operating costs'!$B$39&gt;R393,'Operating costs'!$B$40&gt;R393,'Operating costs'!$B$41&gt;R393,NOT(OR('Replacement plan'!$O$103="Keep ICE",'Replacement plan'!$O$103="New ICE",'Replacement plan'!$O$103="EV"))),"Invalid vehicle input",IF(AND(D393="EV",E393&lt;120,OR(NOT(ISNUMBER(U393)),NOT(ISNUMBER(V393)),V393&lt;=0,T393&lt;0,T393&gt;1,'Replacement plan'!$L$103&lt;=0,'Operating costs'!$B$44&lt;0,'Operating costs'!$B$44&gt;=1,'Operating costs'!$B$47&lt;=0,'Operating costs'!$B$47&gt;1,V393*'Operating costs'!$B$47/(1-'Operating costs'!$B$44)&lt;=T393*'Operating costs'!$B$12*U393,AND('Replacement plan'!$Z$103&gt;0,OR('Replacement plan'!$AB$103&lt;&gt;"Yes",'Operating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charging'!$B$8&gt;=0))),ISNUMBER(VLOOKUP($A393,'Fleet register'!$A$7:$S$106,15,FALSE)),ISNUMBER(VLOOKUP($A393,'Fleet register'!$A$7:$S$106,16,FALSE)),ISNUMBER('Replacement plan'!$W$103),ISNUMBER('Replacement plan'!$X$103),OR(E393=120,AND(ISNUMBER(G393),G393&gt;=0)),ISNUMBER(H393),H393&gt;=0,OR(D393&lt;&gt;"EV",E393=120,AND(ISNUMBER('Operating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average",ISNUMBER(IFERROR(INDEX(Products!$P$7:$P$13,MATCH(AD393,Products!$A$7:$A$13,0)),"")))),ISNUMBER('Operating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plan'!$Y$103),ISNUMBER('Replacement plan'!$Z$103),'Replacement plan'!$Z$103&gt;=0,ISNUMBER('Replacement plan'!$AA$103),'Replacement plan'!$AA$103&gt;=0,'Replacement plan'!$AA$103=INT('Replacement plan'!$AA$103),ISNUMBER('Replacement plan'!$L$103))),'Operating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plan'!$AG$103="",'Operating costs'!$B$7,'Replacement plan'!$AG$103)),IF('Replacement plan'!$AG$103="",'Operating costs'!$B$7,'Replacement plan'!$AG$103)&gt;=0,ISNUMBER(IF('Replacement plan'!$AH$103="",'Operating costs'!$B$7,'Replacement plan'!$AH$103)),IF('Replacement plan'!$AH$103="",'Operating costs'!$B$7,'Replacement plan'!$AH$103)&gt;=0,'Operating costs'!$B$8&gt;MAX(IF('Replacement plan'!$AG$103="",'Operating costs'!$B$7,'Replacement plan'!$AG$103),IF('Replacement plan'!$AH$103="",'Operating costs'!$B$7,'Replacement plan'!$AH$103))*'Operating costs'!$B$9),IF(AND(VLOOKUP($A393,'Fleet register'!$A$7:$S$106,10,FALSE)&gt;=0,VLOOKUP($A393,'Fleet register'!$A$7:$S$106,10,FALSE)&lt;=120,VLOOKUP($A393,'Fleet register'!$A$7:$S$106,10,FALSE)=INT(VLOOKUP($A393,'Fleet register'!$A$7:$S$106,10,FALSE)),VLOOKUP($A393,'Fleet register'!$A$7:$S$106,15,FALSE)&gt;=0,VLOOKUP($A393,'Fleet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costs'!$B$67)&gt;=0,OR(D393&lt;&gt;"EV",E393=120,AND(MIN('Operating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93" s="1" t="str">
        <f>IF(C393=0,"Excluded",IF(P393&lt;&gt;"Complete",P393,IF(OR('Replacement plan'!$AD$103&lt;120-E393,AND(D393="EV",E393&lt;120,OR('Replacement plan'!$AC$103&lt;120-E393,'Replacement plan'!$I$103="No",AND(ISNUMBER(AF393),AE393&gt;AF393),AI393&gt;V393*(1-'Operating costs'!$B$46)^MAX(0,AB393-1)*(1-'Operating costs'!$B$45),AC393&gt;'Operating costs'!$B$18,AND(T393&lt;1,OR(AG393&lt;=0,AND(ISNUMBER(AH393),AG393&gt;AH393))),'Replacement plan'!$L$103&gt;INDEX(Products!$H$7:$H$13,MATCH('Replacement plan'!$B$103,Products!$A$7:$A$13,0))))),"Fails entered limits",IF(AND(D393="EV",E393&lt;120,OR(NOT(ISNUMBER(VLOOKUP($A393,'Fleet register'!$A$7:$S$106,7,FALSE))),NOT(ISNUMBER(VLOOKUP($A393,'Fleet register'!$A$7:$S$106,8,FALSE))),NOT(ISNUMBER(AF393)),'Replacement plan'!$I$103&lt;&gt;"Yes",NOT(ISNUMBER(AH393)),'Operating costs'!$B$59&lt;&gt;"Yes",'Operating costs'!$B$58&lt;&gt;"Yes")),"Unverified","Within entered limits"))))</f>
        <v>Excluded</v>
      </c>
      <c r="R393" s="1">
        <f>IF(C393=0,0,VLOOKUP($A393,'Fleet register'!$A$7:$S$106,6,FALSE))</f>
        <v>0</v>
      </c>
      <c r="S393" s="1">
        <f>IF(C393=0,0,VLOOKUP($A393,'Fleet register'!$A$7:$S$106,5,FALSE))</f>
        <v>0</v>
      </c>
      <c r="T393" s="1">
        <f>IF(D393="EV",'Energy and charging'!$B$12,0)</f>
        <v>0</v>
      </c>
      <c r="U393" s="1">
        <f>IFERROR(IF(C393=0,0,IF(D393="EV",IF('Replacement plan'!$F$103="",INDEX(Products!$E$7:$E$13,MATCH('Replacement plan'!$B$103,Products!$A$7:$A$13,0)),'Replacement plan'!$F$103)/IF('Replacement plan'!$G$103="Battery",1-'Operating costs'!$B$44,1),0)),"n.a.")</f>
        <v>0</v>
      </c>
      <c r="V393" s="1">
        <f>IFERROR(IF(C393=0,0,IF(D393="EV",IF('Replacement plan'!$E$103="",INDEX(Products!$D$7:$D$13,MATCH('Replacement plan'!$B$103,Products!$A$7:$A$13,0)),'Replacement plan'!$E$103),0)),"n.a.")</f>
        <v>0</v>
      </c>
      <c r="W393" s="1">
        <f>IF(C393=0,0,IF(AND(P393="Complete",D393="EV",E393&lt;120),IF(T393=0,0,ROUNDUP(T393*(R393-'Operating costs'!$B$41)*(S393*U393+'Operating costs'!$B$48/(1-'Operating costs'!$B$44))/(V393*'Operating costs'!$B$47/(1-'Operating costs'!$B$44)-T393*'Operating costs'!$B$12*U393),0)),0))</f>
        <v>0</v>
      </c>
      <c r="X393" s="1">
        <f>IF(C393=0,0,IF(AND(P393="Complete",D393="EV",E393&lt;120),(R393-'Operating costs'!$B$41)*(S393*U393+'Operating costs'!$B$48/(1-'Operating costs'!$B$44))+W393*'Operating costs'!$B$12*U393,0))</f>
        <v>0</v>
      </c>
      <c r="Y393" s="1">
        <f>IF(AND(C393=1,D393="EV",E393&lt;120),AI393/(1-'Operating costs'!$B$44)*(1-T393),0)</f>
        <v>0</v>
      </c>
      <c r="Z393" s="1">
        <f t="shared" si="12"/>
        <v>0</v>
      </c>
      <c r="AA393" s="1">
        <f>IF(C393=0,0,IF(P393="Complete",((S393*(R393-'Operating costs'!$B$40))+ROUNDUP(S393*(R393-'Operating costs'!$B$40)*IF('Replacement plan'!$AH$103="",'Operating costs'!$B$7,'Replacement plan'!$AH$103)/('Operating costs'!$B$8-'Operating costs'!$B$9*IF('Replacement plan'!$AH$103="",'Operating costs'!$B$7,'Replacement plan'!$AH$103)),0)*'Operating costs'!$B$9)*IF('Replacement plan'!$AH$103="",'Operating costs'!$B$7,'Replacement plan'!$AH$103),"n.a."))</f>
        <v>0</v>
      </c>
      <c r="AB393" s="1">
        <f t="shared" si="13"/>
        <v>0</v>
      </c>
      <c r="AC393" s="1">
        <f>IF(AND(C393=1,D393="EV",E393&lt;120,T393&gt;0),'Operating costs'!$B$12/'Operating costs'!$B$11*60+'Operating costs'!$B$13+'Operating costs'!$B$14+V393*'Operating costs'!$B$47/(1-'Operating costs'!$B$44)/'Replacement plan'!$L$103*60,0)</f>
        <v>0</v>
      </c>
      <c r="AD393" s="1" t="str">
        <f>'Replacement plan'!$B$103</f>
        <v>ChengLong L2EV</v>
      </c>
      <c r="AE393" s="1">
        <f>IF(C393=0,0,VLOOKUP($A393,'Fleet register'!$A$7:$S$106,8,FALSE))</f>
        <v>0</v>
      </c>
      <c r="AF393" s="1" t="str">
        <f>IF('Replacement plan'!$H$103="","n.a.",'Replacement plan'!$H$103)</f>
        <v>n.a.</v>
      </c>
      <c r="AG393" s="1">
        <f>'Replacement plan'!$J$103</f>
        <v>22</v>
      </c>
      <c r="AH393" s="1">
        <f>IFERROR(IF(D393="EV",IF('Replacement plan'!$K$103="AC",IF(ISNUMBER(INDEX(Products!$G$7:$G$13,MATCH('Replacement plan'!$B$103,Products!$A$7:$A$13,0))),INDEX(Products!$G$7:$G$13,MATCH('Replacement plan'!$B$103,Products!$A$7:$A$13,0)),"n.a."),IF(ISNUMBER(INDEX(Products!$H$7:$H$13,MATCH('Replacement plan'!$B$103,Products!$A$7:$A$13,0))),INDEX(Products!$H$7:$H$13,MATCH('Replacement plan'!$B$103,Products!$A$7:$A$13,0)),"n.a.")),0),"n.a.")</f>
        <v>0</v>
      </c>
      <c r="AI393" s="1">
        <f>IF(AND(C393=1,D393="EV",E393&lt;120),(VLOOKUP($A393,'Fleet register'!$A$7:$S$106,7,FALSE)+IF(T393&gt;0,'Operating costs'!$B$12,0))*U393*(1-'Operating costs'!$B$44)+'Operating costs'!$B$49,0)</f>
        <v>0</v>
      </c>
      <c r="AJ393" s="1">
        <f>IF(D393="EV",'Energy and charging'!$B$50,0)</f>
        <v>0</v>
      </c>
      <c r="AK393" s="17">
        <f>EDATE('Operating costs'!$B$63,E393)</f>
        <v>46298</v>
      </c>
      <c r="AL393" s="1">
        <f>IFERROR(IF(D393="EV",INDEX(Products!$B$7:$B$13,MATCH('Replacement plan'!$B$103,Products!$A$7:$A$13,0)),0),"n.a.")</f>
        <v>0</v>
      </c>
      <c r="AM393" s="1" t="str">
        <f>'Replacement plan'!$K$103</f>
        <v>DC</v>
      </c>
      <c r="AN393" s="1" t="str">
        <f>'Replacement plan'!$AE$103</f>
        <v>Assumed</v>
      </c>
      <c r="AO393" s="47">
        <f>IF(AND(C393=1,D393="EV",E393&lt;120),(R393-'Operating costs'!$B$41)*S393+W393*'Operating costs'!$B$12,0)</f>
        <v>0</v>
      </c>
      <c r="AP393" s="41">
        <f>IF(AND(C393=1,D393="EV",E393&lt;120),IF('Operating costs'!$B$68="Hong Seh 200k average",AO393*IFERROR(INDEX(Products!$P$7:$P$13,MATCH(AD393,Products!$A$7:$A$13,0)),"n.a."),'Operating costs'!$B$26),0)</f>
        <v>0</v>
      </c>
      <c r="AQ393" s="40" t="str">
        <f>IF(D393="EV",'Operating costs'!$B$68,"Not applicable")</f>
        <v>Not applicable</v>
      </c>
    </row>
    <row r="394" spans="1:43" ht="24" customHeight="1">
      <c r="A394" s="1" t="str">
        <f>'Replacement plan'!A103</f>
        <v>T097</v>
      </c>
      <c r="B394" s="1">
        <v>3</v>
      </c>
      <c r="C394" s="1">
        <f>IF(COUNTIFS('Fleet register'!$A$7:$A$106,$A394)=1,VLOOKUP($A394,'Fleet register'!$A$7:$S$106,2,FALSE),0)</f>
        <v>0</v>
      </c>
      <c r="D394" s="1" t="str">
        <f>IF('Replacement plan'!$R$103="EV","EV","ICE")</f>
        <v>ICE</v>
      </c>
      <c r="E394" s="1">
        <f>IF(C394=0,0,IF('Replacement plan'!$S$103="",IF('Replacement plan'!$R$103="Keep ICE",IF('Replacement plan'!$M$103="",VLOOKUP($A394,'Fleet register'!$A$7:$S$106,10,FALSE),'Replacement plan'!$M$103),0),'Replacement plan'!$S$103))</f>
        <v>0</v>
      </c>
      <c r="F394" s="16">
        <f>IF(C394=0,0,VLOOKUP($A394,'Fleet register'!$A$7:$S$106,11,FALSE))</f>
        <v>0</v>
      </c>
      <c r="G394" s="16">
        <f>IFERROR(IF(C394=0,0,IF(E394=120,0,IF(D394="ICE",'Replacement plan'!$C$103,IF('Replacement plan'!$D$103="",INDEX(Products!$I$7:$I$13,MATCH('Replacement plan'!$B$103,Products!$A$7:$A$13,0))+'Operating costs'!$B$57,'Replacement plan'!$D$103))*(1+'Operating costs'!$B$50)^(E394/12))),"n.a.")</f>
        <v>0</v>
      </c>
      <c r="H394" s="16">
        <f>IFERROR(IF(C394=0,0,IF('Replacement plan'!$V$103&lt;&gt;"",'Replacement plan'!$V$103,IF(E394=0,F394,VLOOKUP($A394,'Fleet register'!$A$7:$S$106,12,FALSE)+VLOOKUP($A394,'Fleet register'!$A$7:$S$106,13,FALSE)*MAX(0,VLOOKUP($A394,'Fleet register'!$A$7:$S$106,10,FALSE)-E394)/VLOOKUP($A394,'Fleet register'!$A$7:$S$106,14,FALSE)))),"n.a.")</f>
        <v>0</v>
      </c>
      <c r="I394" s="16">
        <f>IF(C394=0,0,IF(E394=120,0,'Replacement plan'!$T$103))</f>
        <v>0</v>
      </c>
      <c r="J394" s="16">
        <f>IF(C394=0,0,IF(P394="Complete",((S394*(R394-'Operating costs'!$B$39))+ROUNDUP(S394*(R394-'Operating costs'!$B$39)*IF('Replacement plan'!$AG$103="",'Operating costs'!$B$7,'Replacement plan'!$AG$103)/('Operating costs'!$B$8-'Operating costs'!$B$9*IF('Replacement plan'!$AG$103="",'Operating costs'!$B$7,'Replacement plan'!$AG$103)),0)*'Operating costs'!$B$9)*IF('Replacement plan'!$AG$103="",'Operating costs'!$B$7,'Replacement plan'!$AG$103)*('Energy and charging'!$C$9*'Energy and charging'!$C$7+(1-'Energy and charging'!$C$9)*'Energy and charging'!$C$8)*'Operating costs'!$B$23,"n.a."))</f>
        <v>0</v>
      </c>
      <c r="K394" s="16">
        <f>IF(C394=0,0,IF(P394="Complete",SUM('Operating costs'!$B$24,'Operating costs'!$B$27,'Operating costs'!$B$29,'Operating costs'!$B$31,'Operating costs'!$B$33,'Operating costs'!$B$34,'Operating costs'!$B$37,'Replacement plan'!$W$103)+'Operating costs'!$B$39*'Operating costs'!$B$42+ROUNDUP(S394*(R394-'Operating costs'!$B$39)*IF('Replacement plan'!$AG$103="",'Operating costs'!$B$7,'Replacement plan'!$AG$103)/('Operating costs'!$B$8-'Operating costs'!$B$9*IF('Replacement plan'!$AG$103="",'Operating costs'!$B$7,'Replacement plan'!$AG$103)),0)*('Operating costs'!$B$9/'Operating costs'!$B$11+'Operating costs'!$B$10/60)*'Operating costs'!$B$19*'Operating costs'!$B$21,"n.a."))</f>
        <v>0</v>
      </c>
      <c r="L394" s="16">
        <f>IF(C394=0,0,IF(P394="Complete",IF(D394="EV",X394*((1-T394)*'Energy and charging'!$C$10+T394*'Energy and charging'!$C$11)*'Operating costs'!$B$22,AA394*('Energy and charging'!$C$9*'Energy and charging'!$C$7+(1-'Energy and charging'!$C$9)*'Energy and charging'!$C$8)*'Operating costs'!$B$23),"n.a."))</f>
        <v>0</v>
      </c>
      <c r="M394" s="37">
        <f>IF(C394=0,0,IF(P394="Complete",IF(D394="ICE",SUM('Operating costs'!$B$25,'Operating costs'!$B$27,'Operating costs'!$B$29,'Operating costs'!$B$31,'Operating costs'!$B$33,'Operating costs'!$B$35,'Operating costs'!$B$37,'Replacement plan'!$X$103)+'Operating costs'!$B$40*'Operating costs'!$B$42+ROUNDUP(S394*(R394-'Operating costs'!$B$40)*IF('Replacement plan'!$AH$103="",'Operating costs'!$B$7,'Replacement plan'!$AH$103)/('Operating costs'!$B$8-'Operating costs'!$B$9*IF('Replacement plan'!$AH$103="",'Operating costs'!$B$7,'Replacement plan'!$AH$103)),0)*('Operating costs'!$B$9/'Operating costs'!$B$11+'Operating costs'!$B$10/60)*'Operating costs'!$B$19*'Operating costs'!$B$21,SUM(AP394,'Operating costs'!$B$28,'Operating costs'!$B$30,'Operating costs'!$B$32,'Operating costs'!$B$33,'Operating costs'!$B$36,'Operating costs'!$B$38,'Replacement plan'!$Y$103)+'Operating costs'!$B$41*'Operating costs'!$B$43+W394*'Operating costs'!$B$15+(T394*X394/'Replacement plan'!$L$103+W394*('Operating costs'!$B$12/'Operating costs'!$B$11+('Operating costs'!$B$13+'Operating costs'!$B$14)/60)+(R394-'Operating costs'!$B$41)*(IF(T394&lt;1,'Operating costs'!$B$16,0)+'Operating costs'!$B$17)/60)*'Operating costs'!$B$19*'Operating costs'!$B$20),"n.a."))</f>
        <v>0</v>
      </c>
      <c r="N394" s="16">
        <f>IF(AND(C394=1,D394="EV",E394&lt;120,E394+'Replacement plan'!$AA$103&lt;=120),'Replacement plan'!$Z$103,0)</f>
        <v>0</v>
      </c>
      <c r="O394" s="1">
        <f>E394+'Replacement plan'!$AA$103</f>
        <v>0</v>
      </c>
      <c r="P394" s="35" t="str">
        <f>IFERROR(IF(C394=0,"Excluded",IF(OR(COUNTIFS('Fleet register'!$A$7:$A$106,A394)&lt;&gt;1,COUNTIFS('Replacement plan'!$A$7:$A$106,A394)&lt;&gt;1),"Duplicate/missing ID",IF(NOT(AND(ISNUMBER(VLOOKUP($A394,'Fleet register'!$A$7:$S$106,5,FALSE)),ISNUMBER(VLOOKUP($A394,'Fleet register'!$A$7:$S$106,6,FALSE)),ISNUMBER(VLOOKUP($A394,'Fleet register'!$A$7:$S$106,10,FALSE)),ISNUMBER(VLOOKUP($A394,'Fleet register'!$A$7:$S$106,11,FALSE)),ISNUMBER(VLOOKUP($A394,'Fleet register'!$A$7:$S$106,12,FALSE)),ISNUMBER(VLOOKUP($A394,'Fleet register'!$A$7:$S$106,13,FALSE)),ISNUMBER(VLOOKUP($A394,'Fleet register'!$A$7:$S$106,14,FALSE)),VLOOKUP($A394,'Fleet register'!$A$7:$S$106,14,FALSE)&gt;0,ISNUMBER('Replacement plan'!$C$103),OR(E394=120,ISNUMBER('Replacement plan'!$T$103)),ISNUMBER(E394))),"Missing vehicle input",IF(OR(E394&lt;0,E394&gt;VLOOKUP($A394,'Fleet register'!$A$7:$S$106,10,FALSE),E394&gt;120,E394&lt;&gt;INT(E394),VLOOKUP($A394,'Fleet register'!$A$7:$S$106,6,FALSE)&lt;=0,VLOOKUP($A394,'Fleet register'!$A$7:$S$106,6,FALSE)&gt;366,VLOOKUP($A394,'Fleet register'!$A$7:$S$106,5,FALSE)&lt;0,VLOOKUP($A394,'Fleet register'!$A$7:$S$106,11,FALSE)&lt;0,I394&lt;0,'Operating costs'!$B$8&lt;='Operating costs'!$B$7*'Operating costs'!$B$9,'Operating costs'!$B$11&lt;=0,'Operating costs'!$B$39&gt;R394,'Operating costs'!$B$40&gt;R394,'Operating costs'!$B$41&gt;R394,NOT(OR('Replacement plan'!$R$103="Keep ICE",'Replacement plan'!$R$103="New ICE",'Replacement plan'!$R$103="EV"))),"Invalid vehicle input",IF(AND(D394="EV",E394&lt;120,OR(NOT(ISNUMBER(U394)),NOT(ISNUMBER(V394)),V394&lt;=0,T394&lt;0,T394&gt;1,'Replacement plan'!$L$103&lt;=0,'Operating costs'!$B$44&lt;0,'Operating costs'!$B$44&gt;=1,'Operating costs'!$B$47&lt;=0,'Operating costs'!$B$47&gt;1,V394*'Operating costs'!$B$47/(1-'Operating costs'!$B$44)&lt;=T394*'Operating costs'!$B$12*U394,AND('Replacement plan'!$Z$103&gt;0,OR('Replacement plan'!$AB$103&lt;&gt;"Yes",'Operating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charging'!$C$8&gt;=0))),ISNUMBER(VLOOKUP($A394,'Fleet register'!$A$7:$S$106,15,FALSE)),ISNUMBER(VLOOKUP($A394,'Fleet register'!$A$7:$S$106,16,FALSE)),ISNUMBER('Replacement plan'!$W$103),ISNUMBER('Replacement plan'!$X$103),OR(E394=120,AND(ISNUMBER(G394),G394&gt;=0)),ISNUMBER(H394),H394&gt;=0,OR(D394&lt;&gt;"EV",E394=120,AND(ISNUMBER('Operating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average",ISNUMBER(IFERROR(INDEX(Products!$P$7:$P$13,MATCH(AD394,Products!$A$7:$A$13,0)),"")))),ISNUMBER('Operating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plan'!$Y$103),ISNUMBER('Replacement plan'!$Z$103),'Replacement plan'!$Z$103&gt;=0,ISNUMBER('Replacement plan'!$AA$103),'Replacement plan'!$AA$103&gt;=0,'Replacement plan'!$AA$103=INT('Replacement plan'!$AA$103),ISNUMBER('Replacement plan'!$L$103))),'Operating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plan'!$AG$103="",'Operating costs'!$B$7,'Replacement plan'!$AG$103)),IF('Replacement plan'!$AG$103="",'Operating costs'!$B$7,'Replacement plan'!$AG$103)&gt;=0,ISNUMBER(IF('Replacement plan'!$AH$103="",'Operating costs'!$B$7,'Replacement plan'!$AH$103)),IF('Replacement plan'!$AH$103="",'Operating costs'!$B$7,'Replacement plan'!$AH$103)&gt;=0,'Operating costs'!$B$8&gt;MAX(IF('Replacement plan'!$AG$103="",'Operating costs'!$B$7,'Replacement plan'!$AG$103),IF('Replacement plan'!$AH$103="",'Operating costs'!$B$7,'Replacement plan'!$AH$103))*'Operating costs'!$B$9),IF(AND(VLOOKUP($A394,'Fleet register'!$A$7:$S$106,10,FALSE)&gt;=0,VLOOKUP($A394,'Fleet register'!$A$7:$S$106,10,FALSE)&lt;=120,VLOOKUP($A394,'Fleet register'!$A$7:$S$106,10,FALSE)=INT(VLOOKUP($A394,'Fleet register'!$A$7:$S$106,10,FALSE)),VLOOKUP($A394,'Fleet register'!$A$7:$S$106,15,FALSE)&gt;=0,VLOOKUP($A394,'Fleet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costs'!$B$67)&gt;=0,OR(D394&lt;&gt;"EV",E394=120,AND(MIN('Operating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94" s="1" t="str">
        <f>IF(C394=0,"Excluded",IF(P394&lt;&gt;"Complete",P394,IF(OR('Replacement plan'!$AD$103&lt;120-E394,AND(D394="EV",E394&lt;120,OR('Replacement plan'!$AC$103&lt;120-E394,'Replacement plan'!$I$103="No",AND(ISNUMBER(AF394),AE394&gt;AF394),AI394&gt;V394*(1-'Operating costs'!$B$46)^MAX(0,AB394-1)*(1-'Operating costs'!$B$45),AC394&gt;'Operating costs'!$B$18,AND(T394&lt;1,OR(AG394&lt;=0,AND(ISNUMBER(AH394),AG394&gt;AH394))),'Replacement plan'!$L$103&gt;INDEX(Products!$H$7:$H$13,MATCH('Replacement plan'!$B$103,Products!$A$7:$A$13,0))))),"Fails entered limits",IF(AND(D394="EV",E394&lt;120,OR(NOT(ISNUMBER(VLOOKUP($A394,'Fleet register'!$A$7:$S$106,7,FALSE))),NOT(ISNUMBER(VLOOKUP($A394,'Fleet register'!$A$7:$S$106,8,FALSE))),NOT(ISNUMBER(AF394)),'Replacement plan'!$I$103&lt;&gt;"Yes",NOT(ISNUMBER(AH394)),'Operating costs'!$B$59&lt;&gt;"Yes",'Operating costs'!$B$58&lt;&gt;"Yes")),"Unverified","Within entered limits"))))</f>
        <v>Excluded</v>
      </c>
      <c r="R394" s="1">
        <f>IF(C394=0,0,VLOOKUP($A394,'Fleet register'!$A$7:$S$106,6,FALSE))</f>
        <v>0</v>
      </c>
      <c r="S394" s="1">
        <f>IF(C394=0,0,VLOOKUP($A394,'Fleet register'!$A$7:$S$106,5,FALSE))</f>
        <v>0</v>
      </c>
      <c r="T394" s="1">
        <f>IF(D394="EV",'Energy and charging'!$C$12,0)</f>
        <v>0</v>
      </c>
      <c r="U394" s="1">
        <f>IFERROR(IF(C394=0,0,IF(D394="EV",IF('Replacement plan'!$F$103="",INDEX(Products!$E$7:$E$13,MATCH('Replacement plan'!$B$103,Products!$A$7:$A$13,0)),'Replacement plan'!$F$103)/IF('Replacement plan'!$G$103="Battery",1-'Operating costs'!$B$44,1),0)),"n.a.")</f>
        <v>0</v>
      </c>
      <c r="V394" s="1">
        <f>IFERROR(IF(C394=0,0,IF(D394="EV",IF('Replacement plan'!$E$103="",INDEX(Products!$D$7:$D$13,MATCH('Replacement plan'!$B$103,Products!$A$7:$A$13,0)),'Replacement plan'!$E$103),0)),"n.a.")</f>
        <v>0</v>
      </c>
      <c r="W394" s="1">
        <f>IF(C394=0,0,IF(AND(P394="Complete",D394="EV",E394&lt;120),IF(T394=0,0,ROUNDUP(T394*(R394-'Operating costs'!$B$41)*(S394*U394+'Operating costs'!$B$48/(1-'Operating costs'!$B$44))/(V394*'Operating costs'!$B$47/(1-'Operating costs'!$B$44)-T394*'Operating costs'!$B$12*U394),0)),0))</f>
        <v>0</v>
      </c>
      <c r="X394" s="1">
        <f>IF(C394=0,0,IF(AND(P394="Complete",D394="EV",E394&lt;120),(R394-'Operating costs'!$B$41)*(S394*U394+'Operating costs'!$B$48/(1-'Operating costs'!$B$44))+W394*'Operating costs'!$B$12*U394,0))</f>
        <v>0</v>
      </c>
      <c r="Y394" s="1">
        <f>IF(AND(C394=1,D394="EV",E394&lt;120),AI394/(1-'Operating costs'!$B$44)*(1-T394),0)</f>
        <v>0</v>
      </c>
      <c r="Z394" s="1">
        <f t="shared" si="12"/>
        <v>0</v>
      </c>
      <c r="AA394" s="1">
        <f>IF(C394=0,0,IF(P394="Complete",((S394*(R394-'Operating costs'!$B$40))+ROUNDUP(S394*(R394-'Operating costs'!$B$40)*IF('Replacement plan'!$AH$103="",'Operating costs'!$B$7,'Replacement plan'!$AH$103)/('Operating costs'!$B$8-'Operating costs'!$B$9*IF('Replacement plan'!$AH$103="",'Operating costs'!$B$7,'Replacement plan'!$AH$103)),0)*'Operating costs'!$B$9)*IF('Replacement plan'!$AH$103="",'Operating costs'!$B$7,'Replacement plan'!$AH$103),"n.a."))</f>
        <v>0</v>
      </c>
      <c r="AB394" s="1">
        <f t="shared" si="13"/>
        <v>0</v>
      </c>
      <c r="AC394" s="1">
        <f>IF(AND(C394=1,D394="EV",E394&lt;120,T394&gt;0),'Operating costs'!$B$12/'Operating costs'!$B$11*60+'Operating costs'!$B$13+'Operating costs'!$B$14+V394*'Operating costs'!$B$47/(1-'Operating costs'!$B$44)/'Replacement plan'!$L$103*60,0)</f>
        <v>0</v>
      </c>
      <c r="AD394" s="1" t="str">
        <f>'Replacement plan'!$B$103</f>
        <v>ChengLong L2EV</v>
      </c>
      <c r="AE394" s="1">
        <f>IF(C394=0,0,VLOOKUP($A394,'Fleet register'!$A$7:$S$106,8,FALSE))</f>
        <v>0</v>
      </c>
      <c r="AF394" s="1" t="str">
        <f>IF('Replacement plan'!$H$103="","n.a.",'Replacement plan'!$H$103)</f>
        <v>n.a.</v>
      </c>
      <c r="AG394" s="1">
        <f>'Replacement plan'!$J$103</f>
        <v>22</v>
      </c>
      <c r="AH394" s="1">
        <f>IFERROR(IF(D394="EV",IF('Replacement plan'!$K$103="AC",IF(ISNUMBER(INDEX(Products!$G$7:$G$13,MATCH('Replacement plan'!$B$103,Products!$A$7:$A$13,0))),INDEX(Products!$G$7:$G$13,MATCH('Replacement plan'!$B$103,Products!$A$7:$A$13,0)),"n.a."),IF(ISNUMBER(INDEX(Products!$H$7:$H$13,MATCH('Replacement plan'!$B$103,Products!$A$7:$A$13,0))),INDEX(Products!$H$7:$H$13,MATCH('Replacement plan'!$B$103,Products!$A$7:$A$13,0)),"n.a.")),0),"n.a.")</f>
        <v>0</v>
      </c>
      <c r="AI394" s="1">
        <f>IF(AND(C394=1,D394="EV",E394&lt;120),(VLOOKUP($A394,'Fleet register'!$A$7:$S$106,7,FALSE)+IF(T394&gt;0,'Operating costs'!$B$12,0))*U394*(1-'Operating costs'!$B$44)+'Operating costs'!$B$49,0)</f>
        <v>0</v>
      </c>
      <c r="AJ394" s="1">
        <f>IF(D394="EV",'Energy and charging'!$C$50,0)</f>
        <v>0</v>
      </c>
      <c r="AK394" s="17">
        <f>EDATE('Operating costs'!$B$63,E394)</f>
        <v>46298</v>
      </c>
      <c r="AL394" s="1">
        <f>IFERROR(IF(D394="EV",INDEX(Products!$B$7:$B$13,MATCH('Replacement plan'!$B$103,Products!$A$7:$A$13,0)),0),"n.a.")</f>
        <v>0</v>
      </c>
      <c r="AM394" s="1" t="str">
        <f>'Replacement plan'!$K$103</f>
        <v>DC</v>
      </c>
      <c r="AN394" s="1" t="str">
        <f>'Replacement plan'!$AE$103</f>
        <v>Assumed</v>
      </c>
      <c r="AO394" s="47">
        <f>IF(AND(C394=1,D394="EV",E394&lt;120),(R394-'Operating costs'!$B$41)*S394+W394*'Operating costs'!$B$12,0)</f>
        <v>0</v>
      </c>
      <c r="AP394" s="41">
        <f>IF(AND(C394=1,D394="EV",E394&lt;120),IF('Operating costs'!$B$68="Hong Seh 200k average",AO394*IFERROR(INDEX(Products!$P$7:$P$13,MATCH(AD394,Products!$A$7:$A$13,0)),"n.a."),'Operating costs'!$B$26),0)</f>
        <v>0</v>
      </c>
      <c r="AQ394" s="40" t="str">
        <f>IF(D394="EV",'Operating costs'!$B$68,"Not applicable")</f>
        <v>Not applicable</v>
      </c>
    </row>
    <row r="395" spans="1:43" ht="24" customHeight="1">
      <c r="A395" s="1" t="str">
        <f>'Replacement plan'!A104</f>
        <v>T098</v>
      </c>
      <c r="B395" s="1">
        <v>0</v>
      </c>
      <c r="C395" s="1">
        <f>IF(COUNTIFS('Fleet register'!$A$7:$A$106,$A395)=1,VLOOKUP($A395,'Fleet register'!$A$7:$S$106,2,FALSE),0)</f>
        <v>0</v>
      </c>
      <c r="D395" s="1" t="str">
        <f>IF("Keep ICE"="EV","EV","ICE")</f>
        <v>ICE</v>
      </c>
      <c r="E395" s="1">
        <f>IF(C395=0,0,IF('Replacement plan'!$M$104="",VLOOKUP($A395,'Fleet register'!$A$7:$S$106,10,FALSE),'Replacement plan'!$M$104))</f>
        <v>0</v>
      </c>
      <c r="F395" s="16">
        <f>IF(C395=0,0,VLOOKUP($A395,'Fleet register'!$A$7:$S$106,11,FALSE))</f>
        <v>0</v>
      </c>
      <c r="G395" s="16">
        <f>IFERROR(IF(C395=0,0,IF(E395=120,0,IF(D395="ICE",'Replacement plan'!$C$104,IF('Replacement plan'!$D$104="",INDEX(Products!$I$7:$I$13,MATCH('Replacement plan'!$B$104,Products!$A$7:$A$13,0))+'Operating costs'!$B$57,'Replacement plan'!$D$104))*(1+'Operating costs'!$B$50)^(E395/12))),"n.a.")</f>
        <v>0</v>
      </c>
      <c r="H395" s="16">
        <f>IFERROR(IF(C395=0,0,IF(E395=0,F395,VLOOKUP($A395,'Fleet register'!$A$7:$S$106,12,FALSE)+VLOOKUP($A395,'Fleet register'!$A$7:$S$106,13,FALSE)*MAX(0,VLOOKUP($A395,'Fleet register'!$A$7:$S$106,10,FALSE)-E395)/VLOOKUP($A395,'Fleet register'!$A$7:$S$106,14,FALSE))),"n.a.")</f>
        <v>0</v>
      </c>
      <c r="I395" s="16">
        <f>IF(C395=0,0,IF(E395=120,0,'Replacement plan'!$N$104))</f>
        <v>0</v>
      </c>
      <c r="J395" s="16">
        <f>IF(C395=0,0,IF(P395="Complete",((S395*(R395-'Operating costs'!$B$39))+ROUNDUP(S395*(R395-'Operating costs'!$B$39)*IF('Replacement plan'!$AG$104="",'Operating costs'!$B$7,'Replacement plan'!$AG$104)/('Operating costs'!$B$8-'Operating costs'!$B$9*IF('Replacement plan'!$AG$104="",'Operating costs'!$B$7,'Replacement plan'!$AG$104)),0)*'Operating costs'!$B$9)*IF('Replacement plan'!$AG$104="",'Operating costs'!$B$7,'Replacement plan'!$AG$104)*('Energy and charging'!$B$9*'Energy and charging'!$B$7+(1-'Energy and charging'!$B$9)*'Energy and charging'!$B$8)*'Operating costs'!$B$23,"n.a."))</f>
        <v>0</v>
      </c>
      <c r="K395" s="16">
        <f>IF(C395=0,0,IF(P395="Complete",SUM('Operating costs'!$B$24,'Operating costs'!$B$27,'Operating costs'!$B$29,'Operating costs'!$B$31,'Operating costs'!$B$33,'Operating costs'!$B$34,'Operating costs'!$B$37,'Replacement plan'!$W$104)+'Operating costs'!$B$39*'Operating costs'!$B$42+ROUNDUP(S395*(R395-'Operating costs'!$B$39)*IF('Replacement plan'!$AG$104="",'Operating costs'!$B$7,'Replacement plan'!$AG$104)/('Operating costs'!$B$8-'Operating costs'!$B$9*IF('Replacement plan'!$AG$104="",'Operating costs'!$B$7,'Replacement plan'!$AG$104)),0)*('Operating costs'!$B$9/'Operating costs'!$B$11+'Operating costs'!$B$10/60)*'Operating costs'!$B$19*'Operating costs'!$B$21,"n.a."))</f>
        <v>0</v>
      </c>
      <c r="L395" s="16">
        <f>IF(C395=0,0,IF(P395="Complete",IF(D395="EV",X395*((1-T395)*'Energy and charging'!$B$10+T395*'Energy and charging'!$B$11)*'Operating costs'!$B$22,AA395*('Energy and charging'!$B$9*'Energy and charging'!$B$7+(1-'Energy and charging'!$B$9)*'Energy and charging'!$B$8)*'Operating costs'!$B$23),"n.a."))</f>
        <v>0</v>
      </c>
      <c r="M395" s="37">
        <f>IF(C395=0,0,IF(P395="Complete",IF(D395="ICE",SUM('Operating costs'!$B$25,'Operating costs'!$B$27,'Operating costs'!$B$29,'Operating costs'!$B$31,'Operating costs'!$B$33,'Operating costs'!$B$35,'Operating costs'!$B$37,'Replacement plan'!$X$104)+'Operating costs'!$B$40*'Operating costs'!$B$42+ROUNDUP(S395*(R395-'Operating costs'!$B$40)*IF('Replacement plan'!$AH$104="",'Operating costs'!$B$7,'Replacement plan'!$AH$104)/('Operating costs'!$B$8-'Operating costs'!$B$9*IF('Replacement plan'!$AH$104="",'Operating costs'!$B$7,'Replacement plan'!$AH$104)),0)*('Operating costs'!$B$9/'Operating costs'!$B$11+'Operating costs'!$B$10/60)*'Operating costs'!$B$19*'Operating costs'!$B$21,SUM(AP395,'Operating costs'!$B$28,'Operating costs'!$B$30,'Operating costs'!$B$32,'Operating costs'!$B$33,'Operating costs'!$B$36,'Operating costs'!$B$38,'Replacement plan'!$Y$104)+'Operating costs'!$B$41*'Operating costs'!$B$43+W395*'Operating costs'!$B$15+(T395*X395/'Replacement plan'!$L$104+W395*('Operating costs'!$B$12/'Operating costs'!$B$11+('Operating costs'!$B$13+'Operating costs'!$B$14)/60)+(R395-'Operating costs'!$B$41)*(IF(T395&lt;1,'Operating costs'!$B$16,0)+'Operating costs'!$B$17)/60)*'Operating costs'!$B$19*'Operating costs'!$B$20),"n.a."))</f>
        <v>0</v>
      </c>
      <c r="N395" s="16">
        <f>IF(AND(C395=1,D395="EV",E395&lt;120,E395+'Replacement plan'!$AA$104&lt;=120),'Replacement plan'!$Z$104,0)</f>
        <v>0</v>
      </c>
      <c r="O395" s="1">
        <f>E395+'Replacement plan'!$AA$104</f>
        <v>0</v>
      </c>
      <c r="P395" s="35" t="str">
        <f>IFERROR(IF(C395=0,"Excluded",IF(OR(COUNTIFS('Fleet register'!$A$7:$A$106,A395)&lt;&gt;1,COUNTIFS('Replacement plan'!$A$7:$A$106,A395)&lt;&gt;1),"Duplicate/missing ID",IF(NOT(AND(ISNUMBER(VLOOKUP($A395,'Fleet register'!$A$7:$S$106,5,FALSE)),ISNUMBER(VLOOKUP($A395,'Fleet register'!$A$7:$S$106,6,FALSE)),ISNUMBER(VLOOKUP($A395,'Fleet register'!$A$7:$S$106,10,FALSE)),ISNUMBER(VLOOKUP($A395,'Fleet register'!$A$7:$S$106,11,FALSE)),ISNUMBER(VLOOKUP($A395,'Fleet register'!$A$7:$S$106,12,FALSE)),ISNUMBER(VLOOKUP($A395,'Fleet register'!$A$7:$S$106,13,FALSE)),ISNUMBER(VLOOKUP($A395,'Fleet register'!$A$7:$S$106,14,FALSE)),VLOOKUP($A395,'Fleet register'!$A$7:$S$106,14,FALSE)&gt;0,ISNUMBER('Replacement plan'!$C$104),OR(E395=120,ISNUMBER('Replacement plan'!$N$104)),ISNUMBER(E395))),"Missing vehicle input",IF(OR(E395&lt;0,E395&gt;VLOOKUP($A395,'Fleet register'!$A$7:$S$106,10,FALSE),E395&gt;120,E395&lt;&gt;INT(E395),VLOOKUP($A395,'Fleet register'!$A$7:$S$106,6,FALSE)&lt;=0,VLOOKUP($A395,'Fleet register'!$A$7:$S$106,6,FALSE)&gt;366,VLOOKUP($A395,'Fleet register'!$A$7:$S$106,5,FALSE)&lt;0,VLOOKUP($A395,'Fleet register'!$A$7:$S$106,11,FALSE)&lt;0,I395&lt;0,'Operating costs'!$B$8&lt;='Operating costs'!$B$7*'Operating costs'!$B$9,'Operating costs'!$B$11&lt;=0,'Operating costs'!$B$39&gt;R395,'Operating costs'!$B$40&gt;R395,'Operating costs'!$B$41&gt;R395,NOT(OR("Keep ICE"="Keep ICE","Keep ICE"="New ICE","Keep ICE"="EV"))),"Invalid vehicle input",IF(AND(D395="EV",E395&lt;120,OR(NOT(ISNUMBER(U395)),NOT(ISNUMBER(V395)),V395&lt;=0,T395&lt;0,T395&gt;1,'Replacement plan'!$L$104&lt;=0,'Operating costs'!$B$44&lt;0,'Operating costs'!$B$44&gt;=1,'Operating costs'!$B$47&lt;=0,'Operating costs'!$B$47&gt;1,V395*'Operating costs'!$B$47/(1-'Operating costs'!$B$44)&lt;=T395*'Operating costs'!$B$12*U395,AND('Replacement plan'!$Z$104&gt;0,OR('Replacement plan'!$AB$104&lt;&gt;"Yes",'Operating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charging'!$B$8&gt;=0))),ISNUMBER(VLOOKUP($A395,'Fleet register'!$A$7:$S$106,15,FALSE)),ISNUMBER(VLOOKUP($A395,'Fleet register'!$A$7:$S$106,16,FALSE)),ISNUMBER('Replacement plan'!$W$104),ISNUMBER('Replacement plan'!$X$104),OR(E395=120,AND(ISNUMBER(G395),G395&gt;=0)),ISNUMBER(H395),H395&gt;=0,OR(D395&lt;&gt;"EV",E395=120,AND(ISNUMBER('Operating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average",ISNUMBER(IFERROR(INDEX(Products!$P$7:$P$13,MATCH(AD395,Products!$A$7:$A$13,0)),"")))),ISNUMBER('Operating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plan'!$Y$104),ISNUMBER('Replacement plan'!$Z$104),'Replacement plan'!$Z$104&gt;=0,ISNUMBER('Replacement plan'!$AA$104),'Replacement plan'!$AA$104&gt;=0,'Replacement plan'!$AA$104=INT('Replacement plan'!$AA$104),ISNUMBER('Replacement plan'!$L$104))),'Operating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plan'!$AG$104="",'Operating costs'!$B$7,'Replacement plan'!$AG$104)),IF('Replacement plan'!$AG$104="",'Operating costs'!$B$7,'Replacement plan'!$AG$104)&gt;=0,ISNUMBER(IF('Replacement plan'!$AH$104="",'Operating costs'!$B$7,'Replacement plan'!$AH$104)),IF('Replacement plan'!$AH$104="",'Operating costs'!$B$7,'Replacement plan'!$AH$104)&gt;=0,'Operating costs'!$B$8&gt;MAX(IF('Replacement plan'!$AG$104="",'Operating costs'!$B$7,'Replacement plan'!$AG$104),IF('Replacement plan'!$AH$104="",'Operating costs'!$B$7,'Replacement plan'!$AH$104))*'Operating costs'!$B$9),IF(AND(VLOOKUP($A395,'Fleet register'!$A$7:$S$106,10,FALSE)&gt;=0,VLOOKUP($A395,'Fleet register'!$A$7:$S$106,10,FALSE)&lt;=120,VLOOKUP($A395,'Fleet register'!$A$7:$S$106,10,FALSE)=INT(VLOOKUP($A395,'Fleet register'!$A$7:$S$106,10,FALSE)),VLOOKUP($A395,'Fleet register'!$A$7:$S$106,15,FALSE)&gt;=0,VLOOKUP($A395,'Fleet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costs'!$B$67)&gt;=0,OR(D395&lt;&gt;"EV",E395=120,AND(MIN('Operating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95" s="1" t="str">
        <f>IF(C395=0,"Excluded",IF(P395&lt;&gt;"Complete",P395,IF(OR('Replacement plan'!$AD$104&lt;120-E395,AND(D395="EV",E395&lt;120,OR('Replacement plan'!$AC$104&lt;120-E395,'Replacement plan'!$I$104="No",AND(ISNUMBER(AF395),AE395&gt;AF395),AI395&gt;V395*(1-'Operating costs'!$B$46)^MAX(0,AB395-1)*(1-'Operating costs'!$B$45),AC395&gt;'Operating costs'!$B$18,AND(T395&lt;1,OR(AG395&lt;=0,AND(ISNUMBER(AH395),AG395&gt;AH395))),'Replacement plan'!$L$104&gt;INDEX(Products!$H$7:$H$13,MATCH('Replacement plan'!$B$104,Products!$A$7:$A$13,0))))),"Fails entered limits",IF(AND(D395="EV",E395&lt;120,OR(NOT(ISNUMBER(VLOOKUP($A395,'Fleet register'!$A$7:$S$106,7,FALSE))),NOT(ISNUMBER(VLOOKUP($A395,'Fleet register'!$A$7:$S$106,8,FALSE))),NOT(ISNUMBER(AF395)),'Replacement plan'!$I$104&lt;&gt;"Yes",NOT(ISNUMBER(AH395)),'Operating costs'!$B$59&lt;&gt;"Yes",'Operating costs'!$B$58&lt;&gt;"Yes")),"Unverified","Within entered limits"))))</f>
        <v>Excluded</v>
      </c>
      <c r="R395" s="1">
        <f>IF(C395=0,0,VLOOKUP($A395,'Fleet register'!$A$7:$S$106,6,FALSE))</f>
        <v>0</v>
      </c>
      <c r="S395" s="1">
        <f>IF(C395=0,0,VLOOKUP($A395,'Fleet register'!$A$7:$S$106,5,FALSE))</f>
        <v>0</v>
      </c>
      <c r="T395" s="1">
        <f>IF(D395="EV",'Energy and charging'!$B$12,0)</f>
        <v>0</v>
      </c>
      <c r="U395" s="1">
        <f>IFERROR(IF(C395=0,0,IF(D395="EV",IF('Replacement plan'!$F$104="",INDEX(Products!$E$7:$E$13,MATCH('Replacement plan'!$B$104,Products!$A$7:$A$13,0)),'Replacement plan'!$F$104)/IF('Replacement plan'!$G$104="Battery",1-'Operating costs'!$B$44,1),0)),"n.a.")</f>
        <v>0</v>
      </c>
      <c r="V395" s="1">
        <f>IFERROR(IF(C395=0,0,IF(D395="EV",IF('Replacement plan'!$E$104="",INDEX(Products!$D$7:$D$13,MATCH('Replacement plan'!$B$104,Products!$A$7:$A$13,0)),'Replacement plan'!$E$104),0)),"n.a.")</f>
        <v>0</v>
      </c>
      <c r="W395" s="1">
        <f>IF(C395=0,0,IF(AND(P395="Complete",D395="EV",E395&lt;120),IF(T395=0,0,ROUNDUP(T395*(R395-'Operating costs'!$B$41)*(S395*U395+'Operating costs'!$B$48/(1-'Operating costs'!$B$44))/(V395*'Operating costs'!$B$47/(1-'Operating costs'!$B$44)-T395*'Operating costs'!$B$12*U395),0)),0))</f>
        <v>0</v>
      </c>
      <c r="X395" s="1">
        <f>IF(C395=0,0,IF(AND(P395="Complete",D395="EV",E395&lt;120),(R395-'Operating costs'!$B$41)*(S395*U395+'Operating costs'!$B$48/(1-'Operating costs'!$B$44))+W395*'Operating costs'!$B$12*U395,0))</f>
        <v>0</v>
      </c>
      <c r="Y395" s="1">
        <f>IF(AND(C395=1,D395="EV",E395&lt;120),AI395/(1-'Operating costs'!$B$44)*(1-T395),0)</f>
        <v>0</v>
      </c>
      <c r="Z395" s="1">
        <f t="shared" si="12"/>
        <v>0</v>
      </c>
      <c r="AA395" s="1">
        <f>IF(C395=0,0,IF(P395="Complete",((S395*(R395-'Operating costs'!$B$40))+ROUNDUP(S395*(R395-'Operating costs'!$B$40)*IF('Replacement plan'!$AH$104="",'Operating costs'!$B$7,'Replacement plan'!$AH$104)/('Operating costs'!$B$8-'Operating costs'!$B$9*IF('Replacement plan'!$AH$104="",'Operating costs'!$B$7,'Replacement plan'!$AH$104)),0)*'Operating costs'!$B$9)*IF('Replacement plan'!$AH$104="",'Operating costs'!$B$7,'Replacement plan'!$AH$104),"n.a."))</f>
        <v>0</v>
      </c>
      <c r="AB395" s="1">
        <f t="shared" si="13"/>
        <v>0</v>
      </c>
      <c r="AC395" s="1">
        <f>IF(AND(C395=1,D395="EV",E395&lt;120,T395&gt;0),'Operating costs'!$B$12/'Operating costs'!$B$11*60+'Operating costs'!$B$13+'Operating costs'!$B$14+V395*'Operating costs'!$B$47/(1-'Operating costs'!$B$44)/'Replacement plan'!$L$104*60,0)</f>
        <v>0</v>
      </c>
      <c r="AD395" s="1" t="str">
        <f>'Replacement plan'!$B$104</f>
        <v>ChengLong L2EV</v>
      </c>
      <c r="AE395" s="1">
        <f>IF(C395=0,0,VLOOKUP($A395,'Fleet register'!$A$7:$S$106,8,FALSE))</f>
        <v>0</v>
      </c>
      <c r="AF395" s="1" t="str">
        <f>IF('Replacement plan'!$H$104="","n.a.",'Replacement plan'!$H$104)</f>
        <v>n.a.</v>
      </c>
      <c r="AG395" s="1">
        <f>'Replacement plan'!$J$104</f>
        <v>22</v>
      </c>
      <c r="AH395" s="1">
        <f>IFERROR(IF(D395="EV",IF('Replacement plan'!$K$104="AC",IF(ISNUMBER(INDEX(Products!$G$7:$G$13,MATCH('Replacement plan'!$B$104,Products!$A$7:$A$13,0))),INDEX(Products!$G$7:$G$13,MATCH('Replacement plan'!$B$104,Products!$A$7:$A$13,0)),"n.a."),IF(ISNUMBER(INDEX(Products!$H$7:$H$13,MATCH('Replacement plan'!$B$104,Products!$A$7:$A$13,0))),INDEX(Products!$H$7:$H$13,MATCH('Replacement plan'!$B$104,Products!$A$7:$A$13,0)),"n.a.")),0),"n.a.")</f>
        <v>0</v>
      </c>
      <c r="AI395" s="1">
        <f>IF(AND(C395=1,D395="EV",E395&lt;120),(VLOOKUP($A395,'Fleet register'!$A$7:$S$106,7,FALSE)+IF(T395&gt;0,'Operating costs'!$B$12,0))*U395*(1-'Operating costs'!$B$44)+'Operating costs'!$B$49,0)</f>
        <v>0</v>
      </c>
      <c r="AJ395" s="1">
        <f>IF(D395="EV",'Energy and charging'!$B$50,0)</f>
        <v>0</v>
      </c>
      <c r="AK395" s="17">
        <f>EDATE('Operating costs'!$B$63,E395)</f>
        <v>46298</v>
      </c>
      <c r="AL395" s="1">
        <f>IFERROR(IF(D395="EV",INDEX(Products!$B$7:$B$13,MATCH('Replacement plan'!$B$104,Products!$A$7:$A$13,0)),0),"n.a.")</f>
        <v>0</v>
      </c>
      <c r="AM395" s="1" t="str">
        <f>'Replacement plan'!$K$104</f>
        <v>DC</v>
      </c>
      <c r="AN395" s="1" t="str">
        <f>'Replacement plan'!$AE$104</f>
        <v>Assumed</v>
      </c>
      <c r="AO395" s="47">
        <f>IF(AND(C395=1,D395="EV",E395&lt;120),(R395-'Operating costs'!$B$41)*S395+W395*'Operating costs'!$B$12,0)</f>
        <v>0</v>
      </c>
      <c r="AP395" s="41">
        <f>IF(AND(C395=1,D395="EV",E395&lt;120),IF('Operating costs'!$B$68="Hong Seh 200k average",AO395*IFERROR(INDEX(Products!$P$7:$P$13,MATCH(AD395,Products!$A$7:$A$13,0)),"n.a."),'Operating costs'!$B$26),0)</f>
        <v>0</v>
      </c>
      <c r="AQ395" s="40" t="str">
        <f>IF(D395="EV",'Operating costs'!$B$68,"Not applicable")</f>
        <v>Not applicable</v>
      </c>
    </row>
    <row r="396" spans="1:43" ht="24" customHeight="1">
      <c r="A396" s="1" t="str">
        <f>'Replacement plan'!A104</f>
        <v>T098</v>
      </c>
      <c r="B396" s="1">
        <v>1</v>
      </c>
      <c r="C396" s="1">
        <f>IF(COUNTIFS('Fleet register'!$A$7:$A$106,$A396)=1,VLOOKUP($A396,'Fleet register'!$A$7:$S$106,2,FALSE),0)</f>
        <v>0</v>
      </c>
      <c r="D396" s="1" t="str">
        <f>IF("New ICE"="EV","EV","ICE")</f>
        <v>ICE</v>
      </c>
      <c r="E396" s="1">
        <f>IF(C396=0,0,0)</f>
        <v>0</v>
      </c>
      <c r="F396" s="16">
        <f>IF(C396=0,0,VLOOKUP($A396,'Fleet register'!$A$7:$S$106,11,FALSE))</f>
        <v>0</v>
      </c>
      <c r="G396" s="16">
        <f>IFERROR(IF(C396=0,0,IF(E396=120,0,IF(D396="ICE",'Replacement plan'!$C$104,IF('Replacement plan'!$D$104="",INDEX(Products!$I$7:$I$13,MATCH('Replacement plan'!$B$104,Products!$A$7:$A$13,0))+'Operating costs'!$B$57,'Replacement plan'!$D$104))*(1+'Operating costs'!$B$50)^(E396/12))),"n.a.")</f>
        <v>0</v>
      </c>
      <c r="H396" s="16">
        <f>IFERROR(IF(C396=0,0,IF(E396=0,F396,VLOOKUP($A396,'Fleet register'!$A$7:$S$106,12,FALSE)+VLOOKUP($A396,'Fleet register'!$A$7:$S$106,13,FALSE)*MAX(0,VLOOKUP($A396,'Fleet register'!$A$7:$S$106,10,FALSE)-E396)/VLOOKUP($A396,'Fleet register'!$A$7:$S$106,14,FALSE))),"n.a.")</f>
        <v>0</v>
      </c>
      <c r="I396" s="16">
        <f>IF(C396=0,0,IF(E396=120,0,IF('Replacement plan'!$AI$104="",'Operating costs'!$B$56,'Replacement plan'!$AI$104)))</f>
        <v>0</v>
      </c>
      <c r="J396" s="16">
        <f>IF(C396=0,0,IF(P396="Complete",((S396*(R396-'Operating costs'!$B$39))+ROUNDUP(S396*(R396-'Operating costs'!$B$39)*IF('Replacement plan'!$AG$104="",'Operating costs'!$B$7,'Replacement plan'!$AG$104)/('Operating costs'!$B$8-'Operating costs'!$B$9*IF('Replacement plan'!$AG$104="",'Operating costs'!$B$7,'Replacement plan'!$AG$104)),0)*'Operating costs'!$B$9)*IF('Replacement plan'!$AG$104="",'Operating costs'!$B$7,'Replacement plan'!$AG$104)*('Energy and charging'!$B$9*'Energy and charging'!$B$7+(1-'Energy and charging'!$B$9)*'Energy and charging'!$B$8)*'Operating costs'!$B$23,"n.a."))</f>
        <v>0</v>
      </c>
      <c r="K396" s="16">
        <f>IF(C396=0,0,IF(P396="Complete",SUM('Operating costs'!$B$24,'Operating costs'!$B$27,'Operating costs'!$B$29,'Operating costs'!$B$31,'Operating costs'!$B$33,'Operating costs'!$B$34,'Operating costs'!$B$37,'Replacement plan'!$W$104)+'Operating costs'!$B$39*'Operating costs'!$B$42+ROUNDUP(S396*(R396-'Operating costs'!$B$39)*IF('Replacement plan'!$AG$104="",'Operating costs'!$B$7,'Replacement plan'!$AG$104)/('Operating costs'!$B$8-'Operating costs'!$B$9*IF('Replacement plan'!$AG$104="",'Operating costs'!$B$7,'Replacement plan'!$AG$104)),0)*('Operating costs'!$B$9/'Operating costs'!$B$11+'Operating costs'!$B$10/60)*'Operating costs'!$B$19*'Operating costs'!$B$21,"n.a."))</f>
        <v>0</v>
      </c>
      <c r="L396" s="16">
        <f>IF(C396=0,0,IF(P396="Complete",IF(D396="EV",X396*((1-T396)*'Energy and charging'!$B$10+T396*'Energy and charging'!$B$11)*'Operating costs'!$B$22,AA396*('Energy and charging'!$B$9*'Energy and charging'!$B$7+(1-'Energy and charging'!$B$9)*'Energy and charging'!$B$8)*'Operating costs'!$B$23),"n.a."))</f>
        <v>0</v>
      </c>
      <c r="M396" s="37">
        <f>IF(C396=0,0,IF(P396="Complete",IF(D396="ICE",SUM('Operating costs'!$B$25,'Operating costs'!$B$27,'Operating costs'!$B$29,'Operating costs'!$B$31,'Operating costs'!$B$33,'Operating costs'!$B$35,'Operating costs'!$B$37,'Replacement plan'!$X$104)+'Operating costs'!$B$40*'Operating costs'!$B$42+ROUNDUP(S396*(R396-'Operating costs'!$B$40)*IF('Replacement plan'!$AH$104="",'Operating costs'!$B$7,'Replacement plan'!$AH$104)/('Operating costs'!$B$8-'Operating costs'!$B$9*IF('Replacement plan'!$AH$104="",'Operating costs'!$B$7,'Replacement plan'!$AH$104)),0)*('Operating costs'!$B$9/'Operating costs'!$B$11+'Operating costs'!$B$10/60)*'Operating costs'!$B$19*'Operating costs'!$B$21,SUM(AP396,'Operating costs'!$B$28,'Operating costs'!$B$30,'Operating costs'!$B$32,'Operating costs'!$B$33,'Operating costs'!$B$36,'Operating costs'!$B$38,'Replacement plan'!$Y$104)+'Operating costs'!$B$41*'Operating costs'!$B$43+W396*'Operating costs'!$B$15+(T396*X396/'Replacement plan'!$L$104+W396*('Operating costs'!$B$12/'Operating costs'!$B$11+('Operating costs'!$B$13+'Operating costs'!$B$14)/60)+(R396-'Operating costs'!$B$41)*(IF(T396&lt;1,'Operating costs'!$B$16,0)+'Operating costs'!$B$17)/60)*'Operating costs'!$B$19*'Operating costs'!$B$20),"n.a."))</f>
        <v>0</v>
      </c>
      <c r="N396" s="16">
        <f>IF(AND(C396=1,D396="EV",E396&lt;120,E396+'Replacement plan'!$AA$104&lt;=120),'Replacement plan'!$Z$104,0)</f>
        <v>0</v>
      </c>
      <c r="O396" s="1">
        <f>E396+'Replacement plan'!$AA$104</f>
        <v>0</v>
      </c>
      <c r="P396" s="35" t="str">
        <f>IFERROR(IF(C396=0,"Excluded",IF(OR(COUNTIFS('Fleet register'!$A$7:$A$106,A396)&lt;&gt;1,COUNTIFS('Replacement plan'!$A$7:$A$106,A396)&lt;&gt;1),"Duplicate/missing ID",IF(NOT(AND(ISNUMBER(VLOOKUP($A396,'Fleet register'!$A$7:$S$106,5,FALSE)),ISNUMBER(VLOOKUP($A396,'Fleet register'!$A$7:$S$106,6,FALSE)),ISNUMBER(VLOOKUP($A396,'Fleet register'!$A$7:$S$106,10,FALSE)),ISNUMBER(VLOOKUP($A396,'Fleet register'!$A$7:$S$106,11,FALSE)),ISNUMBER(VLOOKUP($A396,'Fleet register'!$A$7:$S$106,12,FALSE)),ISNUMBER(VLOOKUP($A396,'Fleet register'!$A$7:$S$106,13,FALSE)),ISNUMBER(VLOOKUP($A396,'Fleet register'!$A$7:$S$106,14,FALSE)),VLOOKUP($A396,'Fleet register'!$A$7:$S$106,14,FALSE)&gt;0,ISNUMBER('Replacement plan'!$C$104),OR(E396=120,OR(ISNUMBER('Replacement plan'!$AI$104),AND('Replacement plan'!$AI$104="",ISNUMBER('Operating costs'!$B$56)))),ISNUMBER(E396))),"Missing vehicle input",IF(OR(E396&lt;0,E396&gt;VLOOKUP($A396,'Fleet register'!$A$7:$S$106,10,FALSE),E396&gt;120,E396&lt;&gt;INT(E396),VLOOKUP($A396,'Fleet register'!$A$7:$S$106,6,FALSE)&lt;=0,VLOOKUP($A396,'Fleet register'!$A$7:$S$106,6,FALSE)&gt;366,VLOOKUP($A396,'Fleet register'!$A$7:$S$106,5,FALSE)&lt;0,VLOOKUP($A396,'Fleet register'!$A$7:$S$106,11,FALSE)&lt;0,I396&lt;0,'Operating costs'!$B$8&lt;='Operating costs'!$B$7*'Operating costs'!$B$9,'Operating costs'!$B$11&lt;=0,'Operating costs'!$B$39&gt;R396,'Operating costs'!$B$40&gt;R396,'Operating costs'!$B$41&gt;R396,NOT(OR("New ICE"="Keep ICE","New ICE"="New ICE","New ICE"="EV"))),"Invalid vehicle input",IF(AND(D396="EV",E396&lt;120,OR(NOT(ISNUMBER(U396)),NOT(ISNUMBER(V396)),V396&lt;=0,T396&lt;0,T396&gt;1,'Replacement plan'!$L$104&lt;=0,'Operating costs'!$B$44&lt;0,'Operating costs'!$B$44&gt;=1,'Operating costs'!$B$47&lt;=0,'Operating costs'!$B$47&gt;1,V396*'Operating costs'!$B$47/(1-'Operating costs'!$B$44)&lt;=T396*'Operating costs'!$B$12*U396,AND('Replacement plan'!$Z$104&gt;0,OR('Replacement plan'!$AB$104&lt;&gt;"Yes",'Operating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charging'!$B$8&gt;=0))),ISNUMBER(VLOOKUP($A396,'Fleet register'!$A$7:$S$106,15,FALSE)),ISNUMBER(VLOOKUP($A396,'Fleet register'!$A$7:$S$106,16,FALSE)),ISNUMBER('Replacement plan'!$W$104),ISNUMBER('Replacement plan'!$X$104),OR(E396=120,AND(ISNUMBER(G396),G396&gt;=0)),ISNUMBER(H396),H396&gt;=0,OR(D396&lt;&gt;"EV",E396=120,AND(ISNUMBER('Operating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average",ISNUMBER(IFERROR(INDEX(Products!$P$7:$P$13,MATCH(AD396,Products!$A$7:$A$13,0)),"")))),ISNUMBER('Operating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plan'!$Y$104),ISNUMBER('Replacement plan'!$Z$104),'Replacement plan'!$Z$104&gt;=0,ISNUMBER('Replacement plan'!$AA$104),'Replacement plan'!$AA$104&gt;=0,'Replacement plan'!$AA$104=INT('Replacement plan'!$AA$104),ISNUMBER('Replacement plan'!$L$104))),'Operating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plan'!$AG$104="",'Operating costs'!$B$7,'Replacement plan'!$AG$104)),IF('Replacement plan'!$AG$104="",'Operating costs'!$B$7,'Replacement plan'!$AG$104)&gt;=0,ISNUMBER(IF('Replacement plan'!$AH$104="",'Operating costs'!$B$7,'Replacement plan'!$AH$104)),IF('Replacement plan'!$AH$104="",'Operating costs'!$B$7,'Replacement plan'!$AH$104)&gt;=0,'Operating costs'!$B$8&gt;MAX(IF('Replacement plan'!$AG$104="",'Operating costs'!$B$7,'Replacement plan'!$AG$104),IF('Replacement plan'!$AH$104="",'Operating costs'!$B$7,'Replacement plan'!$AH$104))*'Operating costs'!$B$9),IF(AND(VLOOKUP($A396,'Fleet register'!$A$7:$S$106,10,FALSE)&gt;=0,VLOOKUP($A396,'Fleet register'!$A$7:$S$106,10,FALSE)&lt;=120,VLOOKUP($A396,'Fleet register'!$A$7:$S$106,10,FALSE)=INT(VLOOKUP($A396,'Fleet register'!$A$7:$S$106,10,FALSE)),VLOOKUP($A396,'Fleet register'!$A$7:$S$106,15,FALSE)&gt;=0,VLOOKUP($A396,'Fleet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costs'!$B$67)&gt;=0,OR(D396&lt;&gt;"EV",E396=120,AND(MIN('Operating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96" s="1" t="str">
        <f>IF(C396=0,"Excluded",IF(P396&lt;&gt;"Complete",P396,IF(OR('Replacement plan'!$AD$104&lt;120-E396,AND(D396="EV",E396&lt;120,OR('Replacement plan'!$AC$104&lt;120-E396,'Replacement plan'!$I$104="No",AND(ISNUMBER(AF396),AE396&gt;AF396),AI396&gt;V396*(1-'Operating costs'!$B$46)^MAX(0,AB396-1)*(1-'Operating costs'!$B$45),AC396&gt;'Operating costs'!$B$18,AND(T396&lt;1,OR(AG396&lt;=0,AND(ISNUMBER(AH396),AG396&gt;AH396))),'Replacement plan'!$L$104&gt;INDEX(Products!$H$7:$H$13,MATCH('Replacement plan'!$B$104,Products!$A$7:$A$13,0))))),"Fails entered limits",IF(AND(D396="EV",E396&lt;120,OR(NOT(ISNUMBER(VLOOKUP($A396,'Fleet register'!$A$7:$S$106,7,FALSE))),NOT(ISNUMBER(VLOOKUP($A396,'Fleet register'!$A$7:$S$106,8,FALSE))),NOT(ISNUMBER(AF396)),'Replacement plan'!$I$104&lt;&gt;"Yes",NOT(ISNUMBER(AH396)),'Operating costs'!$B$59&lt;&gt;"Yes",'Operating costs'!$B$58&lt;&gt;"Yes")),"Unverified","Within entered limits"))))</f>
        <v>Excluded</v>
      </c>
      <c r="R396" s="1">
        <f>IF(C396=0,0,VLOOKUP($A396,'Fleet register'!$A$7:$S$106,6,FALSE))</f>
        <v>0</v>
      </c>
      <c r="S396" s="1">
        <f>IF(C396=0,0,VLOOKUP($A396,'Fleet register'!$A$7:$S$106,5,FALSE))</f>
        <v>0</v>
      </c>
      <c r="T396" s="1">
        <f>IF(D396="EV",'Energy and charging'!$B$12,0)</f>
        <v>0</v>
      </c>
      <c r="U396" s="1">
        <f>IFERROR(IF(C396=0,0,IF(D396="EV",IF('Replacement plan'!$F$104="",INDEX(Products!$E$7:$E$13,MATCH('Replacement plan'!$B$104,Products!$A$7:$A$13,0)),'Replacement plan'!$F$104)/IF('Replacement plan'!$G$104="Battery",1-'Operating costs'!$B$44,1),0)),"n.a.")</f>
        <v>0</v>
      </c>
      <c r="V396" s="1">
        <f>IFERROR(IF(C396=0,0,IF(D396="EV",IF('Replacement plan'!$E$104="",INDEX(Products!$D$7:$D$13,MATCH('Replacement plan'!$B$104,Products!$A$7:$A$13,0)),'Replacement plan'!$E$104),0)),"n.a.")</f>
        <v>0</v>
      </c>
      <c r="W396" s="1">
        <f>IF(C396=0,0,IF(AND(P396="Complete",D396="EV",E396&lt;120),IF(T396=0,0,ROUNDUP(T396*(R396-'Operating costs'!$B$41)*(S396*U396+'Operating costs'!$B$48/(1-'Operating costs'!$B$44))/(V396*'Operating costs'!$B$47/(1-'Operating costs'!$B$44)-T396*'Operating costs'!$B$12*U396),0)),0))</f>
        <v>0</v>
      </c>
      <c r="X396" s="1">
        <f>IF(C396=0,0,IF(AND(P396="Complete",D396="EV",E396&lt;120),(R396-'Operating costs'!$B$41)*(S396*U396+'Operating costs'!$B$48/(1-'Operating costs'!$B$44))+W396*'Operating costs'!$B$12*U396,0))</f>
        <v>0</v>
      </c>
      <c r="Y396" s="1">
        <f>IF(AND(C396=1,D396="EV",E396&lt;120),AI396/(1-'Operating costs'!$B$44)*(1-T396),0)</f>
        <v>0</v>
      </c>
      <c r="Z396" s="1">
        <f t="shared" si="12"/>
        <v>0</v>
      </c>
      <c r="AA396" s="1">
        <f>IF(C396=0,0,IF(P396="Complete",((S396*(R396-'Operating costs'!$B$40))+ROUNDUP(S396*(R396-'Operating costs'!$B$40)*IF('Replacement plan'!$AH$104="",'Operating costs'!$B$7,'Replacement plan'!$AH$104)/('Operating costs'!$B$8-'Operating costs'!$B$9*IF('Replacement plan'!$AH$104="",'Operating costs'!$B$7,'Replacement plan'!$AH$104)),0)*'Operating costs'!$B$9)*IF('Replacement plan'!$AH$104="",'Operating costs'!$B$7,'Replacement plan'!$AH$104),"n.a."))</f>
        <v>0</v>
      </c>
      <c r="AB396" s="1">
        <f t="shared" si="13"/>
        <v>0</v>
      </c>
      <c r="AC396" s="1">
        <f>IF(AND(C396=1,D396="EV",E396&lt;120,T396&gt;0),'Operating costs'!$B$12/'Operating costs'!$B$11*60+'Operating costs'!$B$13+'Operating costs'!$B$14+V396*'Operating costs'!$B$47/(1-'Operating costs'!$B$44)/'Replacement plan'!$L$104*60,0)</f>
        <v>0</v>
      </c>
      <c r="AD396" s="1" t="str">
        <f>'Replacement plan'!$B$104</f>
        <v>ChengLong L2EV</v>
      </c>
      <c r="AE396" s="1">
        <f>IF(C396=0,0,VLOOKUP($A396,'Fleet register'!$A$7:$S$106,8,FALSE))</f>
        <v>0</v>
      </c>
      <c r="AF396" s="1" t="str">
        <f>IF('Replacement plan'!$H$104="","n.a.",'Replacement plan'!$H$104)</f>
        <v>n.a.</v>
      </c>
      <c r="AG396" s="1">
        <f>'Replacement plan'!$J$104</f>
        <v>22</v>
      </c>
      <c r="AH396" s="1">
        <f>IFERROR(IF(D396="EV",IF('Replacement plan'!$K$104="AC",IF(ISNUMBER(INDEX(Products!$G$7:$G$13,MATCH('Replacement plan'!$B$104,Products!$A$7:$A$13,0))),INDEX(Products!$G$7:$G$13,MATCH('Replacement plan'!$B$104,Products!$A$7:$A$13,0)),"n.a."),IF(ISNUMBER(INDEX(Products!$H$7:$H$13,MATCH('Replacement plan'!$B$104,Products!$A$7:$A$13,0))),INDEX(Products!$H$7:$H$13,MATCH('Replacement plan'!$B$104,Products!$A$7:$A$13,0)),"n.a.")),0),"n.a.")</f>
        <v>0</v>
      </c>
      <c r="AI396" s="1">
        <f>IF(AND(C396=1,D396="EV",E396&lt;120),(VLOOKUP($A396,'Fleet register'!$A$7:$S$106,7,FALSE)+IF(T396&gt;0,'Operating costs'!$B$12,0))*U396*(1-'Operating costs'!$B$44)+'Operating costs'!$B$49,0)</f>
        <v>0</v>
      </c>
      <c r="AJ396" s="1">
        <f>IF(D396="EV",'Energy and charging'!$B$50,0)</f>
        <v>0</v>
      </c>
      <c r="AK396" s="17">
        <f>EDATE('Operating costs'!$B$63,E396)</f>
        <v>46298</v>
      </c>
      <c r="AL396" s="1">
        <f>IFERROR(IF(D396="EV",INDEX(Products!$B$7:$B$13,MATCH('Replacement plan'!$B$104,Products!$A$7:$A$13,0)),0),"n.a.")</f>
        <v>0</v>
      </c>
      <c r="AM396" s="1" t="str">
        <f>'Replacement plan'!$K$104</f>
        <v>DC</v>
      </c>
      <c r="AN396" s="1" t="str">
        <f>'Replacement plan'!$AE$104</f>
        <v>Assumed</v>
      </c>
      <c r="AO396" s="47">
        <f>IF(AND(C396=1,D396="EV",E396&lt;120),(R396-'Operating costs'!$B$41)*S396+W396*'Operating costs'!$B$12,0)</f>
        <v>0</v>
      </c>
      <c r="AP396" s="41">
        <f>IF(AND(C396=1,D396="EV",E396&lt;120),IF('Operating costs'!$B$68="Hong Seh 200k average",AO396*IFERROR(INDEX(Products!$P$7:$P$13,MATCH(AD396,Products!$A$7:$A$13,0)),"n.a."),'Operating costs'!$B$26),0)</f>
        <v>0</v>
      </c>
      <c r="AQ396" s="40" t="str">
        <f>IF(D396="EV",'Operating costs'!$B$68,"Not applicable")</f>
        <v>Not applicable</v>
      </c>
    </row>
    <row r="397" spans="1:43" ht="24" customHeight="1">
      <c r="A397" s="1" t="str">
        <f>'Replacement plan'!A104</f>
        <v>T098</v>
      </c>
      <c r="B397" s="1">
        <v>2</v>
      </c>
      <c r="C397" s="1">
        <f>IF(COUNTIFS('Fleet register'!$A$7:$A$106,$A397)=1,VLOOKUP($A397,'Fleet register'!$A$7:$S$106,2,FALSE),0)</f>
        <v>0</v>
      </c>
      <c r="D397" s="1" t="str">
        <f>IF('Replacement plan'!$O$104="EV","EV","ICE")</f>
        <v>ICE</v>
      </c>
      <c r="E397" s="1">
        <f>IF(C397=0,0,IF('Replacement plan'!$P$104="",IF('Replacement plan'!$O$104="Keep ICE",IF('Replacement plan'!$M$104="",VLOOKUP($A397,'Fleet register'!$A$7:$S$106,10,FALSE),'Replacement plan'!$M$104),0),'Replacement plan'!$P$104))</f>
        <v>0</v>
      </c>
      <c r="F397" s="16">
        <f>IF(C397=0,0,VLOOKUP($A397,'Fleet register'!$A$7:$S$106,11,FALSE))</f>
        <v>0</v>
      </c>
      <c r="G397" s="16">
        <f>IFERROR(IF(C397=0,0,IF(E397=120,0,IF(D397="ICE",'Replacement plan'!$C$104,IF('Replacement plan'!$D$104="",INDEX(Products!$I$7:$I$13,MATCH('Replacement plan'!$B$104,Products!$A$7:$A$13,0))+'Operating costs'!$B$57,'Replacement plan'!$D$104))*(1+'Operating costs'!$B$50)^(E397/12))),"n.a.")</f>
        <v>0</v>
      </c>
      <c r="H397" s="16">
        <f>IFERROR(IF(C397=0,0,IF('Replacement plan'!$U$104&lt;&gt;"",'Replacement plan'!$U$104,IF(E397=0,F397,VLOOKUP($A397,'Fleet register'!$A$7:$S$106,12,FALSE)+VLOOKUP($A397,'Fleet register'!$A$7:$S$106,13,FALSE)*MAX(0,VLOOKUP($A397,'Fleet register'!$A$7:$S$106,10,FALSE)-E397)/VLOOKUP($A397,'Fleet register'!$A$7:$S$106,14,FALSE)))),"n.a.")</f>
        <v>0</v>
      </c>
      <c r="I397" s="16">
        <f>IF(C397=0,0,IF(E397=120,0,'Replacement plan'!$Q$104))</f>
        <v>0</v>
      </c>
      <c r="J397" s="16">
        <f>IF(C397=0,0,IF(P397="Complete",((S397*(R397-'Operating costs'!$B$39))+ROUNDUP(S397*(R397-'Operating costs'!$B$39)*IF('Replacement plan'!$AG$104="",'Operating costs'!$B$7,'Replacement plan'!$AG$104)/('Operating costs'!$B$8-'Operating costs'!$B$9*IF('Replacement plan'!$AG$104="",'Operating costs'!$B$7,'Replacement plan'!$AG$104)),0)*'Operating costs'!$B$9)*IF('Replacement plan'!$AG$104="",'Operating costs'!$B$7,'Replacement plan'!$AG$104)*('Energy and charging'!$B$9*'Energy and charging'!$B$7+(1-'Energy and charging'!$B$9)*'Energy and charging'!$B$8)*'Operating costs'!$B$23,"n.a."))</f>
        <v>0</v>
      </c>
      <c r="K397" s="16">
        <f>IF(C397=0,0,IF(P397="Complete",SUM('Operating costs'!$B$24,'Operating costs'!$B$27,'Operating costs'!$B$29,'Operating costs'!$B$31,'Operating costs'!$B$33,'Operating costs'!$B$34,'Operating costs'!$B$37,'Replacement plan'!$W$104)+'Operating costs'!$B$39*'Operating costs'!$B$42+ROUNDUP(S397*(R397-'Operating costs'!$B$39)*IF('Replacement plan'!$AG$104="",'Operating costs'!$B$7,'Replacement plan'!$AG$104)/('Operating costs'!$B$8-'Operating costs'!$B$9*IF('Replacement plan'!$AG$104="",'Operating costs'!$B$7,'Replacement plan'!$AG$104)),0)*('Operating costs'!$B$9/'Operating costs'!$B$11+'Operating costs'!$B$10/60)*'Operating costs'!$B$19*'Operating costs'!$B$21,"n.a."))</f>
        <v>0</v>
      </c>
      <c r="L397" s="16">
        <f>IF(C397=0,0,IF(P397="Complete",IF(D397="EV",X397*((1-T397)*'Energy and charging'!$B$10+T397*'Energy and charging'!$B$11)*'Operating costs'!$B$22,AA397*('Energy and charging'!$B$9*'Energy and charging'!$B$7+(1-'Energy and charging'!$B$9)*'Energy and charging'!$B$8)*'Operating costs'!$B$23),"n.a."))</f>
        <v>0</v>
      </c>
      <c r="M397" s="37">
        <f>IF(C397=0,0,IF(P397="Complete",IF(D397="ICE",SUM('Operating costs'!$B$25,'Operating costs'!$B$27,'Operating costs'!$B$29,'Operating costs'!$B$31,'Operating costs'!$B$33,'Operating costs'!$B$35,'Operating costs'!$B$37,'Replacement plan'!$X$104)+'Operating costs'!$B$40*'Operating costs'!$B$42+ROUNDUP(S397*(R397-'Operating costs'!$B$40)*IF('Replacement plan'!$AH$104="",'Operating costs'!$B$7,'Replacement plan'!$AH$104)/('Operating costs'!$B$8-'Operating costs'!$B$9*IF('Replacement plan'!$AH$104="",'Operating costs'!$B$7,'Replacement plan'!$AH$104)),0)*('Operating costs'!$B$9/'Operating costs'!$B$11+'Operating costs'!$B$10/60)*'Operating costs'!$B$19*'Operating costs'!$B$21,SUM(AP397,'Operating costs'!$B$28,'Operating costs'!$B$30,'Operating costs'!$B$32,'Operating costs'!$B$33,'Operating costs'!$B$36,'Operating costs'!$B$38,'Replacement plan'!$Y$104)+'Operating costs'!$B$41*'Operating costs'!$B$43+W397*'Operating costs'!$B$15+(T397*X397/'Replacement plan'!$L$104+W397*('Operating costs'!$B$12/'Operating costs'!$B$11+('Operating costs'!$B$13+'Operating costs'!$B$14)/60)+(R397-'Operating costs'!$B$41)*(IF(T397&lt;1,'Operating costs'!$B$16,0)+'Operating costs'!$B$17)/60)*'Operating costs'!$B$19*'Operating costs'!$B$20),"n.a."))</f>
        <v>0</v>
      </c>
      <c r="N397" s="16">
        <f>IF(AND(C397=1,D397="EV",E397&lt;120,E397+'Replacement plan'!$AA$104&lt;=120),'Replacement plan'!$Z$104,0)</f>
        <v>0</v>
      </c>
      <c r="O397" s="1">
        <f>E397+'Replacement plan'!$AA$104</f>
        <v>0</v>
      </c>
      <c r="P397" s="35" t="str">
        <f>IFERROR(IF(C397=0,"Excluded",IF(OR(COUNTIFS('Fleet register'!$A$7:$A$106,A397)&lt;&gt;1,COUNTIFS('Replacement plan'!$A$7:$A$106,A397)&lt;&gt;1),"Duplicate/missing ID",IF(NOT(AND(ISNUMBER(VLOOKUP($A397,'Fleet register'!$A$7:$S$106,5,FALSE)),ISNUMBER(VLOOKUP($A397,'Fleet register'!$A$7:$S$106,6,FALSE)),ISNUMBER(VLOOKUP($A397,'Fleet register'!$A$7:$S$106,10,FALSE)),ISNUMBER(VLOOKUP($A397,'Fleet register'!$A$7:$S$106,11,FALSE)),ISNUMBER(VLOOKUP($A397,'Fleet register'!$A$7:$S$106,12,FALSE)),ISNUMBER(VLOOKUP($A397,'Fleet register'!$A$7:$S$106,13,FALSE)),ISNUMBER(VLOOKUP($A397,'Fleet register'!$A$7:$S$106,14,FALSE)),VLOOKUP($A397,'Fleet register'!$A$7:$S$106,14,FALSE)&gt;0,ISNUMBER('Replacement plan'!$C$104),OR(E397=120,ISNUMBER('Replacement plan'!$Q$104)),ISNUMBER(E397))),"Missing vehicle input",IF(OR(E397&lt;0,E397&gt;VLOOKUP($A397,'Fleet register'!$A$7:$S$106,10,FALSE),E397&gt;120,E397&lt;&gt;INT(E397),VLOOKUP($A397,'Fleet register'!$A$7:$S$106,6,FALSE)&lt;=0,VLOOKUP($A397,'Fleet register'!$A$7:$S$106,6,FALSE)&gt;366,VLOOKUP($A397,'Fleet register'!$A$7:$S$106,5,FALSE)&lt;0,VLOOKUP($A397,'Fleet register'!$A$7:$S$106,11,FALSE)&lt;0,I397&lt;0,'Operating costs'!$B$8&lt;='Operating costs'!$B$7*'Operating costs'!$B$9,'Operating costs'!$B$11&lt;=0,'Operating costs'!$B$39&gt;R397,'Operating costs'!$B$40&gt;R397,'Operating costs'!$B$41&gt;R397,NOT(OR('Replacement plan'!$O$104="Keep ICE",'Replacement plan'!$O$104="New ICE",'Replacement plan'!$O$104="EV"))),"Invalid vehicle input",IF(AND(D397="EV",E397&lt;120,OR(NOT(ISNUMBER(U397)),NOT(ISNUMBER(V397)),V397&lt;=0,T397&lt;0,T397&gt;1,'Replacement plan'!$L$104&lt;=0,'Operating costs'!$B$44&lt;0,'Operating costs'!$B$44&gt;=1,'Operating costs'!$B$47&lt;=0,'Operating costs'!$B$47&gt;1,V397*'Operating costs'!$B$47/(1-'Operating costs'!$B$44)&lt;=T397*'Operating costs'!$B$12*U397,AND('Replacement plan'!$Z$104&gt;0,OR('Replacement plan'!$AB$104&lt;&gt;"Yes",'Operating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charging'!$B$8&gt;=0))),ISNUMBER(VLOOKUP($A397,'Fleet register'!$A$7:$S$106,15,FALSE)),ISNUMBER(VLOOKUP($A397,'Fleet register'!$A$7:$S$106,16,FALSE)),ISNUMBER('Replacement plan'!$W$104),ISNUMBER('Replacement plan'!$X$104),OR(E397=120,AND(ISNUMBER(G397),G397&gt;=0)),ISNUMBER(H397),H397&gt;=0,OR(D397&lt;&gt;"EV",E397=120,AND(ISNUMBER('Operating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average",ISNUMBER(IFERROR(INDEX(Products!$P$7:$P$13,MATCH(AD397,Products!$A$7:$A$13,0)),"")))),ISNUMBER('Operating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plan'!$Y$104),ISNUMBER('Replacement plan'!$Z$104),'Replacement plan'!$Z$104&gt;=0,ISNUMBER('Replacement plan'!$AA$104),'Replacement plan'!$AA$104&gt;=0,'Replacement plan'!$AA$104=INT('Replacement plan'!$AA$104),ISNUMBER('Replacement plan'!$L$104))),'Operating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plan'!$AG$104="",'Operating costs'!$B$7,'Replacement plan'!$AG$104)),IF('Replacement plan'!$AG$104="",'Operating costs'!$B$7,'Replacement plan'!$AG$104)&gt;=0,ISNUMBER(IF('Replacement plan'!$AH$104="",'Operating costs'!$B$7,'Replacement plan'!$AH$104)),IF('Replacement plan'!$AH$104="",'Operating costs'!$B$7,'Replacement plan'!$AH$104)&gt;=0,'Operating costs'!$B$8&gt;MAX(IF('Replacement plan'!$AG$104="",'Operating costs'!$B$7,'Replacement plan'!$AG$104),IF('Replacement plan'!$AH$104="",'Operating costs'!$B$7,'Replacement plan'!$AH$104))*'Operating costs'!$B$9),IF(AND(VLOOKUP($A397,'Fleet register'!$A$7:$S$106,10,FALSE)&gt;=0,VLOOKUP($A397,'Fleet register'!$A$7:$S$106,10,FALSE)&lt;=120,VLOOKUP($A397,'Fleet register'!$A$7:$S$106,10,FALSE)=INT(VLOOKUP($A397,'Fleet register'!$A$7:$S$106,10,FALSE)),VLOOKUP($A397,'Fleet register'!$A$7:$S$106,15,FALSE)&gt;=0,VLOOKUP($A397,'Fleet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costs'!$B$67)&gt;=0,OR(D397&lt;&gt;"EV",E397=120,AND(MIN('Operating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97" s="1" t="str">
        <f>IF(C397=0,"Excluded",IF(P397&lt;&gt;"Complete",P397,IF(OR('Replacement plan'!$AD$104&lt;120-E397,AND(D397="EV",E397&lt;120,OR('Replacement plan'!$AC$104&lt;120-E397,'Replacement plan'!$I$104="No",AND(ISNUMBER(AF397),AE397&gt;AF397),AI397&gt;V397*(1-'Operating costs'!$B$46)^MAX(0,AB397-1)*(1-'Operating costs'!$B$45),AC397&gt;'Operating costs'!$B$18,AND(T397&lt;1,OR(AG397&lt;=0,AND(ISNUMBER(AH397),AG397&gt;AH397))),'Replacement plan'!$L$104&gt;INDEX(Products!$H$7:$H$13,MATCH('Replacement plan'!$B$104,Products!$A$7:$A$13,0))))),"Fails entered limits",IF(AND(D397="EV",E397&lt;120,OR(NOT(ISNUMBER(VLOOKUP($A397,'Fleet register'!$A$7:$S$106,7,FALSE))),NOT(ISNUMBER(VLOOKUP($A397,'Fleet register'!$A$7:$S$106,8,FALSE))),NOT(ISNUMBER(AF397)),'Replacement plan'!$I$104&lt;&gt;"Yes",NOT(ISNUMBER(AH397)),'Operating costs'!$B$59&lt;&gt;"Yes",'Operating costs'!$B$58&lt;&gt;"Yes")),"Unverified","Within entered limits"))))</f>
        <v>Excluded</v>
      </c>
      <c r="R397" s="1">
        <f>IF(C397=0,0,VLOOKUP($A397,'Fleet register'!$A$7:$S$106,6,FALSE))</f>
        <v>0</v>
      </c>
      <c r="S397" s="1">
        <f>IF(C397=0,0,VLOOKUP($A397,'Fleet register'!$A$7:$S$106,5,FALSE))</f>
        <v>0</v>
      </c>
      <c r="T397" s="1">
        <f>IF(D397="EV",'Energy and charging'!$B$12,0)</f>
        <v>0</v>
      </c>
      <c r="U397" s="1">
        <f>IFERROR(IF(C397=0,0,IF(D397="EV",IF('Replacement plan'!$F$104="",INDEX(Products!$E$7:$E$13,MATCH('Replacement plan'!$B$104,Products!$A$7:$A$13,0)),'Replacement plan'!$F$104)/IF('Replacement plan'!$G$104="Battery",1-'Operating costs'!$B$44,1),0)),"n.a.")</f>
        <v>0</v>
      </c>
      <c r="V397" s="1">
        <f>IFERROR(IF(C397=0,0,IF(D397="EV",IF('Replacement plan'!$E$104="",INDEX(Products!$D$7:$D$13,MATCH('Replacement plan'!$B$104,Products!$A$7:$A$13,0)),'Replacement plan'!$E$104),0)),"n.a.")</f>
        <v>0</v>
      </c>
      <c r="W397" s="1">
        <f>IF(C397=0,0,IF(AND(P397="Complete",D397="EV",E397&lt;120),IF(T397=0,0,ROUNDUP(T397*(R397-'Operating costs'!$B$41)*(S397*U397+'Operating costs'!$B$48/(1-'Operating costs'!$B$44))/(V397*'Operating costs'!$B$47/(1-'Operating costs'!$B$44)-T397*'Operating costs'!$B$12*U397),0)),0))</f>
        <v>0</v>
      </c>
      <c r="X397" s="1">
        <f>IF(C397=0,0,IF(AND(P397="Complete",D397="EV",E397&lt;120),(R397-'Operating costs'!$B$41)*(S397*U397+'Operating costs'!$B$48/(1-'Operating costs'!$B$44))+W397*'Operating costs'!$B$12*U397,0))</f>
        <v>0</v>
      </c>
      <c r="Y397" s="1">
        <f>IF(AND(C397=1,D397="EV",E397&lt;120),AI397/(1-'Operating costs'!$B$44)*(1-T397),0)</f>
        <v>0</v>
      </c>
      <c r="Z397" s="1">
        <f t="shared" si="12"/>
        <v>0</v>
      </c>
      <c r="AA397" s="1">
        <f>IF(C397=0,0,IF(P397="Complete",((S397*(R397-'Operating costs'!$B$40))+ROUNDUP(S397*(R397-'Operating costs'!$B$40)*IF('Replacement plan'!$AH$104="",'Operating costs'!$B$7,'Replacement plan'!$AH$104)/('Operating costs'!$B$8-'Operating costs'!$B$9*IF('Replacement plan'!$AH$104="",'Operating costs'!$B$7,'Replacement plan'!$AH$104)),0)*'Operating costs'!$B$9)*IF('Replacement plan'!$AH$104="",'Operating costs'!$B$7,'Replacement plan'!$AH$104),"n.a."))</f>
        <v>0</v>
      </c>
      <c r="AB397" s="1">
        <f t="shared" si="13"/>
        <v>0</v>
      </c>
      <c r="AC397" s="1">
        <f>IF(AND(C397=1,D397="EV",E397&lt;120,T397&gt;0),'Operating costs'!$B$12/'Operating costs'!$B$11*60+'Operating costs'!$B$13+'Operating costs'!$B$14+V397*'Operating costs'!$B$47/(1-'Operating costs'!$B$44)/'Replacement plan'!$L$104*60,0)</f>
        <v>0</v>
      </c>
      <c r="AD397" s="1" t="str">
        <f>'Replacement plan'!$B$104</f>
        <v>ChengLong L2EV</v>
      </c>
      <c r="AE397" s="1">
        <f>IF(C397=0,0,VLOOKUP($A397,'Fleet register'!$A$7:$S$106,8,FALSE))</f>
        <v>0</v>
      </c>
      <c r="AF397" s="1" t="str">
        <f>IF('Replacement plan'!$H$104="","n.a.",'Replacement plan'!$H$104)</f>
        <v>n.a.</v>
      </c>
      <c r="AG397" s="1">
        <f>'Replacement plan'!$J$104</f>
        <v>22</v>
      </c>
      <c r="AH397" s="1">
        <f>IFERROR(IF(D397="EV",IF('Replacement plan'!$K$104="AC",IF(ISNUMBER(INDEX(Products!$G$7:$G$13,MATCH('Replacement plan'!$B$104,Products!$A$7:$A$13,0))),INDEX(Products!$G$7:$G$13,MATCH('Replacement plan'!$B$104,Products!$A$7:$A$13,0)),"n.a."),IF(ISNUMBER(INDEX(Products!$H$7:$H$13,MATCH('Replacement plan'!$B$104,Products!$A$7:$A$13,0))),INDEX(Products!$H$7:$H$13,MATCH('Replacement plan'!$B$104,Products!$A$7:$A$13,0)),"n.a.")),0),"n.a.")</f>
        <v>0</v>
      </c>
      <c r="AI397" s="1">
        <f>IF(AND(C397=1,D397="EV",E397&lt;120),(VLOOKUP($A397,'Fleet register'!$A$7:$S$106,7,FALSE)+IF(T397&gt;0,'Operating costs'!$B$12,0))*U397*(1-'Operating costs'!$B$44)+'Operating costs'!$B$49,0)</f>
        <v>0</v>
      </c>
      <c r="AJ397" s="1">
        <f>IF(D397="EV",'Energy and charging'!$B$50,0)</f>
        <v>0</v>
      </c>
      <c r="AK397" s="17">
        <f>EDATE('Operating costs'!$B$63,E397)</f>
        <v>46298</v>
      </c>
      <c r="AL397" s="1">
        <f>IFERROR(IF(D397="EV",INDEX(Products!$B$7:$B$13,MATCH('Replacement plan'!$B$104,Products!$A$7:$A$13,0)),0),"n.a.")</f>
        <v>0</v>
      </c>
      <c r="AM397" s="1" t="str">
        <f>'Replacement plan'!$K$104</f>
        <v>DC</v>
      </c>
      <c r="AN397" s="1" t="str">
        <f>'Replacement plan'!$AE$104</f>
        <v>Assumed</v>
      </c>
      <c r="AO397" s="47">
        <f>IF(AND(C397=1,D397="EV",E397&lt;120),(R397-'Operating costs'!$B$41)*S397+W397*'Operating costs'!$B$12,0)</f>
        <v>0</v>
      </c>
      <c r="AP397" s="41">
        <f>IF(AND(C397=1,D397="EV",E397&lt;120),IF('Operating costs'!$B$68="Hong Seh 200k average",AO397*IFERROR(INDEX(Products!$P$7:$P$13,MATCH(AD397,Products!$A$7:$A$13,0)),"n.a."),'Operating costs'!$B$26),0)</f>
        <v>0</v>
      </c>
      <c r="AQ397" s="40" t="str">
        <f>IF(D397="EV",'Operating costs'!$B$68,"Not applicable")</f>
        <v>Not applicable</v>
      </c>
    </row>
    <row r="398" spans="1:43" ht="24" customHeight="1">
      <c r="A398" s="1" t="str">
        <f>'Replacement plan'!A104</f>
        <v>T098</v>
      </c>
      <c r="B398" s="1">
        <v>3</v>
      </c>
      <c r="C398" s="1">
        <f>IF(COUNTIFS('Fleet register'!$A$7:$A$106,$A398)=1,VLOOKUP($A398,'Fleet register'!$A$7:$S$106,2,FALSE),0)</f>
        <v>0</v>
      </c>
      <c r="D398" s="1" t="str">
        <f>IF('Replacement plan'!$R$104="EV","EV","ICE")</f>
        <v>ICE</v>
      </c>
      <c r="E398" s="1">
        <f>IF(C398=0,0,IF('Replacement plan'!$S$104="",IF('Replacement plan'!$R$104="Keep ICE",IF('Replacement plan'!$M$104="",VLOOKUP($A398,'Fleet register'!$A$7:$S$106,10,FALSE),'Replacement plan'!$M$104),0),'Replacement plan'!$S$104))</f>
        <v>0</v>
      </c>
      <c r="F398" s="16">
        <f>IF(C398=0,0,VLOOKUP($A398,'Fleet register'!$A$7:$S$106,11,FALSE))</f>
        <v>0</v>
      </c>
      <c r="G398" s="16">
        <f>IFERROR(IF(C398=0,0,IF(E398=120,0,IF(D398="ICE",'Replacement plan'!$C$104,IF('Replacement plan'!$D$104="",INDEX(Products!$I$7:$I$13,MATCH('Replacement plan'!$B$104,Products!$A$7:$A$13,0))+'Operating costs'!$B$57,'Replacement plan'!$D$104))*(1+'Operating costs'!$B$50)^(E398/12))),"n.a.")</f>
        <v>0</v>
      </c>
      <c r="H398" s="16">
        <f>IFERROR(IF(C398=0,0,IF('Replacement plan'!$V$104&lt;&gt;"",'Replacement plan'!$V$104,IF(E398=0,F398,VLOOKUP($A398,'Fleet register'!$A$7:$S$106,12,FALSE)+VLOOKUP($A398,'Fleet register'!$A$7:$S$106,13,FALSE)*MAX(0,VLOOKUP($A398,'Fleet register'!$A$7:$S$106,10,FALSE)-E398)/VLOOKUP($A398,'Fleet register'!$A$7:$S$106,14,FALSE)))),"n.a.")</f>
        <v>0</v>
      </c>
      <c r="I398" s="16">
        <f>IF(C398=0,0,IF(E398=120,0,'Replacement plan'!$T$104))</f>
        <v>0</v>
      </c>
      <c r="J398" s="16">
        <f>IF(C398=0,0,IF(P398="Complete",((S398*(R398-'Operating costs'!$B$39))+ROUNDUP(S398*(R398-'Operating costs'!$B$39)*IF('Replacement plan'!$AG$104="",'Operating costs'!$B$7,'Replacement plan'!$AG$104)/('Operating costs'!$B$8-'Operating costs'!$B$9*IF('Replacement plan'!$AG$104="",'Operating costs'!$B$7,'Replacement plan'!$AG$104)),0)*'Operating costs'!$B$9)*IF('Replacement plan'!$AG$104="",'Operating costs'!$B$7,'Replacement plan'!$AG$104)*('Energy and charging'!$C$9*'Energy and charging'!$C$7+(1-'Energy and charging'!$C$9)*'Energy and charging'!$C$8)*'Operating costs'!$B$23,"n.a."))</f>
        <v>0</v>
      </c>
      <c r="K398" s="16">
        <f>IF(C398=0,0,IF(P398="Complete",SUM('Operating costs'!$B$24,'Operating costs'!$B$27,'Operating costs'!$B$29,'Operating costs'!$B$31,'Operating costs'!$B$33,'Operating costs'!$B$34,'Operating costs'!$B$37,'Replacement plan'!$W$104)+'Operating costs'!$B$39*'Operating costs'!$B$42+ROUNDUP(S398*(R398-'Operating costs'!$B$39)*IF('Replacement plan'!$AG$104="",'Operating costs'!$B$7,'Replacement plan'!$AG$104)/('Operating costs'!$B$8-'Operating costs'!$B$9*IF('Replacement plan'!$AG$104="",'Operating costs'!$B$7,'Replacement plan'!$AG$104)),0)*('Operating costs'!$B$9/'Operating costs'!$B$11+'Operating costs'!$B$10/60)*'Operating costs'!$B$19*'Operating costs'!$B$21,"n.a."))</f>
        <v>0</v>
      </c>
      <c r="L398" s="16">
        <f>IF(C398=0,0,IF(P398="Complete",IF(D398="EV",X398*((1-T398)*'Energy and charging'!$C$10+T398*'Energy and charging'!$C$11)*'Operating costs'!$B$22,AA398*('Energy and charging'!$C$9*'Energy and charging'!$C$7+(1-'Energy and charging'!$C$9)*'Energy and charging'!$C$8)*'Operating costs'!$B$23),"n.a."))</f>
        <v>0</v>
      </c>
      <c r="M398" s="37">
        <f>IF(C398=0,0,IF(P398="Complete",IF(D398="ICE",SUM('Operating costs'!$B$25,'Operating costs'!$B$27,'Operating costs'!$B$29,'Operating costs'!$B$31,'Operating costs'!$B$33,'Operating costs'!$B$35,'Operating costs'!$B$37,'Replacement plan'!$X$104)+'Operating costs'!$B$40*'Operating costs'!$B$42+ROUNDUP(S398*(R398-'Operating costs'!$B$40)*IF('Replacement plan'!$AH$104="",'Operating costs'!$B$7,'Replacement plan'!$AH$104)/('Operating costs'!$B$8-'Operating costs'!$B$9*IF('Replacement plan'!$AH$104="",'Operating costs'!$B$7,'Replacement plan'!$AH$104)),0)*('Operating costs'!$B$9/'Operating costs'!$B$11+'Operating costs'!$B$10/60)*'Operating costs'!$B$19*'Operating costs'!$B$21,SUM(AP398,'Operating costs'!$B$28,'Operating costs'!$B$30,'Operating costs'!$B$32,'Operating costs'!$B$33,'Operating costs'!$B$36,'Operating costs'!$B$38,'Replacement plan'!$Y$104)+'Operating costs'!$B$41*'Operating costs'!$B$43+W398*'Operating costs'!$B$15+(T398*X398/'Replacement plan'!$L$104+W398*('Operating costs'!$B$12/'Operating costs'!$B$11+('Operating costs'!$B$13+'Operating costs'!$B$14)/60)+(R398-'Operating costs'!$B$41)*(IF(T398&lt;1,'Operating costs'!$B$16,0)+'Operating costs'!$B$17)/60)*'Operating costs'!$B$19*'Operating costs'!$B$20),"n.a."))</f>
        <v>0</v>
      </c>
      <c r="N398" s="16">
        <f>IF(AND(C398=1,D398="EV",E398&lt;120,E398+'Replacement plan'!$AA$104&lt;=120),'Replacement plan'!$Z$104,0)</f>
        <v>0</v>
      </c>
      <c r="O398" s="1">
        <f>E398+'Replacement plan'!$AA$104</f>
        <v>0</v>
      </c>
      <c r="P398" s="35" t="str">
        <f>IFERROR(IF(C398=0,"Excluded",IF(OR(COUNTIFS('Fleet register'!$A$7:$A$106,A398)&lt;&gt;1,COUNTIFS('Replacement plan'!$A$7:$A$106,A398)&lt;&gt;1),"Duplicate/missing ID",IF(NOT(AND(ISNUMBER(VLOOKUP($A398,'Fleet register'!$A$7:$S$106,5,FALSE)),ISNUMBER(VLOOKUP($A398,'Fleet register'!$A$7:$S$106,6,FALSE)),ISNUMBER(VLOOKUP($A398,'Fleet register'!$A$7:$S$106,10,FALSE)),ISNUMBER(VLOOKUP($A398,'Fleet register'!$A$7:$S$106,11,FALSE)),ISNUMBER(VLOOKUP($A398,'Fleet register'!$A$7:$S$106,12,FALSE)),ISNUMBER(VLOOKUP($A398,'Fleet register'!$A$7:$S$106,13,FALSE)),ISNUMBER(VLOOKUP($A398,'Fleet register'!$A$7:$S$106,14,FALSE)),VLOOKUP($A398,'Fleet register'!$A$7:$S$106,14,FALSE)&gt;0,ISNUMBER('Replacement plan'!$C$104),OR(E398=120,ISNUMBER('Replacement plan'!$T$104)),ISNUMBER(E398))),"Missing vehicle input",IF(OR(E398&lt;0,E398&gt;VLOOKUP($A398,'Fleet register'!$A$7:$S$106,10,FALSE),E398&gt;120,E398&lt;&gt;INT(E398),VLOOKUP($A398,'Fleet register'!$A$7:$S$106,6,FALSE)&lt;=0,VLOOKUP($A398,'Fleet register'!$A$7:$S$106,6,FALSE)&gt;366,VLOOKUP($A398,'Fleet register'!$A$7:$S$106,5,FALSE)&lt;0,VLOOKUP($A398,'Fleet register'!$A$7:$S$106,11,FALSE)&lt;0,I398&lt;0,'Operating costs'!$B$8&lt;='Operating costs'!$B$7*'Operating costs'!$B$9,'Operating costs'!$B$11&lt;=0,'Operating costs'!$B$39&gt;R398,'Operating costs'!$B$40&gt;R398,'Operating costs'!$B$41&gt;R398,NOT(OR('Replacement plan'!$R$104="Keep ICE",'Replacement plan'!$R$104="New ICE",'Replacement plan'!$R$104="EV"))),"Invalid vehicle input",IF(AND(D398="EV",E398&lt;120,OR(NOT(ISNUMBER(U398)),NOT(ISNUMBER(V398)),V398&lt;=0,T398&lt;0,T398&gt;1,'Replacement plan'!$L$104&lt;=0,'Operating costs'!$B$44&lt;0,'Operating costs'!$B$44&gt;=1,'Operating costs'!$B$47&lt;=0,'Operating costs'!$B$47&gt;1,V398*'Operating costs'!$B$47/(1-'Operating costs'!$B$44)&lt;=T398*'Operating costs'!$B$12*U398,AND('Replacement plan'!$Z$104&gt;0,OR('Replacement plan'!$AB$104&lt;&gt;"Yes",'Operating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charging'!$C$8&gt;=0))),ISNUMBER(VLOOKUP($A398,'Fleet register'!$A$7:$S$106,15,FALSE)),ISNUMBER(VLOOKUP($A398,'Fleet register'!$A$7:$S$106,16,FALSE)),ISNUMBER('Replacement plan'!$W$104),ISNUMBER('Replacement plan'!$X$104),OR(E398=120,AND(ISNUMBER(G398),G398&gt;=0)),ISNUMBER(H398),H398&gt;=0,OR(D398&lt;&gt;"EV",E398=120,AND(ISNUMBER('Operating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average",ISNUMBER(IFERROR(INDEX(Products!$P$7:$P$13,MATCH(AD398,Products!$A$7:$A$13,0)),"")))),ISNUMBER('Operating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plan'!$Y$104),ISNUMBER('Replacement plan'!$Z$104),'Replacement plan'!$Z$104&gt;=0,ISNUMBER('Replacement plan'!$AA$104),'Replacement plan'!$AA$104&gt;=0,'Replacement plan'!$AA$104=INT('Replacement plan'!$AA$104),ISNUMBER('Replacement plan'!$L$104))),'Operating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plan'!$AG$104="",'Operating costs'!$B$7,'Replacement plan'!$AG$104)),IF('Replacement plan'!$AG$104="",'Operating costs'!$B$7,'Replacement plan'!$AG$104)&gt;=0,ISNUMBER(IF('Replacement plan'!$AH$104="",'Operating costs'!$B$7,'Replacement plan'!$AH$104)),IF('Replacement plan'!$AH$104="",'Operating costs'!$B$7,'Replacement plan'!$AH$104)&gt;=0,'Operating costs'!$B$8&gt;MAX(IF('Replacement plan'!$AG$104="",'Operating costs'!$B$7,'Replacement plan'!$AG$104),IF('Replacement plan'!$AH$104="",'Operating costs'!$B$7,'Replacement plan'!$AH$104))*'Operating costs'!$B$9),IF(AND(VLOOKUP($A398,'Fleet register'!$A$7:$S$106,10,FALSE)&gt;=0,VLOOKUP($A398,'Fleet register'!$A$7:$S$106,10,FALSE)&lt;=120,VLOOKUP($A398,'Fleet register'!$A$7:$S$106,10,FALSE)=INT(VLOOKUP($A398,'Fleet register'!$A$7:$S$106,10,FALSE)),VLOOKUP($A398,'Fleet register'!$A$7:$S$106,15,FALSE)&gt;=0,VLOOKUP($A398,'Fleet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costs'!$B$67)&gt;=0,OR(D398&lt;&gt;"EV",E398=120,AND(MIN('Operating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98" s="1" t="str">
        <f>IF(C398=0,"Excluded",IF(P398&lt;&gt;"Complete",P398,IF(OR('Replacement plan'!$AD$104&lt;120-E398,AND(D398="EV",E398&lt;120,OR('Replacement plan'!$AC$104&lt;120-E398,'Replacement plan'!$I$104="No",AND(ISNUMBER(AF398),AE398&gt;AF398),AI398&gt;V398*(1-'Operating costs'!$B$46)^MAX(0,AB398-1)*(1-'Operating costs'!$B$45),AC398&gt;'Operating costs'!$B$18,AND(T398&lt;1,OR(AG398&lt;=0,AND(ISNUMBER(AH398),AG398&gt;AH398))),'Replacement plan'!$L$104&gt;INDEX(Products!$H$7:$H$13,MATCH('Replacement plan'!$B$104,Products!$A$7:$A$13,0))))),"Fails entered limits",IF(AND(D398="EV",E398&lt;120,OR(NOT(ISNUMBER(VLOOKUP($A398,'Fleet register'!$A$7:$S$106,7,FALSE))),NOT(ISNUMBER(VLOOKUP($A398,'Fleet register'!$A$7:$S$106,8,FALSE))),NOT(ISNUMBER(AF398)),'Replacement plan'!$I$104&lt;&gt;"Yes",NOT(ISNUMBER(AH398)),'Operating costs'!$B$59&lt;&gt;"Yes",'Operating costs'!$B$58&lt;&gt;"Yes")),"Unverified","Within entered limits"))))</f>
        <v>Excluded</v>
      </c>
      <c r="R398" s="1">
        <f>IF(C398=0,0,VLOOKUP($A398,'Fleet register'!$A$7:$S$106,6,FALSE))</f>
        <v>0</v>
      </c>
      <c r="S398" s="1">
        <f>IF(C398=0,0,VLOOKUP($A398,'Fleet register'!$A$7:$S$106,5,FALSE))</f>
        <v>0</v>
      </c>
      <c r="T398" s="1">
        <f>IF(D398="EV",'Energy and charging'!$C$12,0)</f>
        <v>0</v>
      </c>
      <c r="U398" s="1">
        <f>IFERROR(IF(C398=0,0,IF(D398="EV",IF('Replacement plan'!$F$104="",INDEX(Products!$E$7:$E$13,MATCH('Replacement plan'!$B$104,Products!$A$7:$A$13,0)),'Replacement plan'!$F$104)/IF('Replacement plan'!$G$104="Battery",1-'Operating costs'!$B$44,1),0)),"n.a.")</f>
        <v>0</v>
      </c>
      <c r="V398" s="1">
        <f>IFERROR(IF(C398=0,0,IF(D398="EV",IF('Replacement plan'!$E$104="",INDEX(Products!$D$7:$D$13,MATCH('Replacement plan'!$B$104,Products!$A$7:$A$13,0)),'Replacement plan'!$E$104),0)),"n.a.")</f>
        <v>0</v>
      </c>
      <c r="W398" s="1">
        <f>IF(C398=0,0,IF(AND(P398="Complete",D398="EV",E398&lt;120),IF(T398=0,0,ROUNDUP(T398*(R398-'Operating costs'!$B$41)*(S398*U398+'Operating costs'!$B$48/(1-'Operating costs'!$B$44))/(V398*'Operating costs'!$B$47/(1-'Operating costs'!$B$44)-T398*'Operating costs'!$B$12*U398),0)),0))</f>
        <v>0</v>
      </c>
      <c r="X398" s="1">
        <f>IF(C398=0,0,IF(AND(P398="Complete",D398="EV",E398&lt;120),(R398-'Operating costs'!$B$41)*(S398*U398+'Operating costs'!$B$48/(1-'Operating costs'!$B$44))+W398*'Operating costs'!$B$12*U398,0))</f>
        <v>0</v>
      </c>
      <c r="Y398" s="1">
        <f>IF(AND(C398=1,D398="EV",E398&lt;120),AI398/(1-'Operating costs'!$B$44)*(1-T398),0)</f>
        <v>0</v>
      </c>
      <c r="Z398" s="1">
        <f t="shared" si="12"/>
        <v>0</v>
      </c>
      <c r="AA398" s="1">
        <f>IF(C398=0,0,IF(P398="Complete",((S398*(R398-'Operating costs'!$B$40))+ROUNDUP(S398*(R398-'Operating costs'!$B$40)*IF('Replacement plan'!$AH$104="",'Operating costs'!$B$7,'Replacement plan'!$AH$104)/('Operating costs'!$B$8-'Operating costs'!$B$9*IF('Replacement plan'!$AH$104="",'Operating costs'!$B$7,'Replacement plan'!$AH$104)),0)*'Operating costs'!$B$9)*IF('Replacement plan'!$AH$104="",'Operating costs'!$B$7,'Replacement plan'!$AH$104),"n.a."))</f>
        <v>0</v>
      </c>
      <c r="AB398" s="1">
        <f t="shared" si="13"/>
        <v>0</v>
      </c>
      <c r="AC398" s="1">
        <f>IF(AND(C398=1,D398="EV",E398&lt;120,T398&gt;0),'Operating costs'!$B$12/'Operating costs'!$B$11*60+'Operating costs'!$B$13+'Operating costs'!$B$14+V398*'Operating costs'!$B$47/(1-'Operating costs'!$B$44)/'Replacement plan'!$L$104*60,0)</f>
        <v>0</v>
      </c>
      <c r="AD398" s="1" t="str">
        <f>'Replacement plan'!$B$104</f>
        <v>ChengLong L2EV</v>
      </c>
      <c r="AE398" s="1">
        <f>IF(C398=0,0,VLOOKUP($A398,'Fleet register'!$A$7:$S$106,8,FALSE))</f>
        <v>0</v>
      </c>
      <c r="AF398" s="1" t="str">
        <f>IF('Replacement plan'!$H$104="","n.a.",'Replacement plan'!$H$104)</f>
        <v>n.a.</v>
      </c>
      <c r="AG398" s="1">
        <f>'Replacement plan'!$J$104</f>
        <v>22</v>
      </c>
      <c r="AH398" s="1">
        <f>IFERROR(IF(D398="EV",IF('Replacement plan'!$K$104="AC",IF(ISNUMBER(INDEX(Products!$G$7:$G$13,MATCH('Replacement plan'!$B$104,Products!$A$7:$A$13,0))),INDEX(Products!$G$7:$G$13,MATCH('Replacement plan'!$B$104,Products!$A$7:$A$13,0)),"n.a."),IF(ISNUMBER(INDEX(Products!$H$7:$H$13,MATCH('Replacement plan'!$B$104,Products!$A$7:$A$13,0))),INDEX(Products!$H$7:$H$13,MATCH('Replacement plan'!$B$104,Products!$A$7:$A$13,0)),"n.a.")),0),"n.a.")</f>
        <v>0</v>
      </c>
      <c r="AI398" s="1">
        <f>IF(AND(C398=1,D398="EV",E398&lt;120),(VLOOKUP($A398,'Fleet register'!$A$7:$S$106,7,FALSE)+IF(T398&gt;0,'Operating costs'!$B$12,0))*U398*(1-'Operating costs'!$B$44)+'Operating costs'!$B$49,0)</f>
        <v>0</v>
      </c>
      <c r="AJ398" s="1">
        <f>IF(D398="EV",'Energy and charging'!$C$50,0)</f>
        <v>0</v>
      </c>
      <c r="AK398" s="17">
        <f>EDATE('Operating costs'!$B$63,E398)</f>
        <v>46298</v>
      </c>
      <c r="AL398" s="1">
        <f>IFERROR(IF(D398="EV",INDEX(Products!$B$7:$B$13,MATCH('Replacement plan'!$B$104,Products!$A$7:$A$13,0)),0),"n.a.")</f>
        <v>0</v>
      </c>
      <c r="AM398" s="1" t="str">
        <f>'Replacement plan'!$K$104</f>
        <v>DC</v>
      </c>
      <c r="AN398" s="1" t="str">
        <f>'Replacement plan'!$AE$104</f>
        <v>Assumed</v>
      </c>
      <c r="AO398" s="47">
        <f>IF(AND(C398=1,D398="EV",E398&lt;120),(R398-'Operating costs'!$B$41)*S398+W398*'Operating costs'!$B$12,0)</f>
        <v>0</v>
      </c>
      <c r="AP398" s="41">
        <f>IF(AND(C398=1,D398="EV",E398&lt;120),IF('Operating costs'!$B$68="Hong Seh 200k average",AO398*IFERROR(INDEX(Products!$P$7:$P$13,MATCH(AD398,Products!$A$7:$A$13,0)),"n.a."),'Operating costs'!$B$26),0)</f>
        <v>0</v>
      </c>
      <c r="AQ398" s="40" t="str">
        <f>IF(D398="EV",'Operating costs'!$B$68,"Not applicable")</f>
        <v>Not applicable</v>
      </c>
    </row>
    <row r="399" spans="1:43" ht="24" customHeight="1">
      <c r="A399" s="1" t="str">
        <f>'Replacement plan'!A105</f>
        <v>T099</v>
      </c>
      <c r="B399" s="1">
        <v>0</v>
      </c>
      <c r="C399" s="1">
        <f>IF(COUNTIFS('Fleet register'!$A$7:$A$106,$A399)=1,VLOOKUP($A399,'Fleet register'!$A$7:$S$106,2,FALSE),0)</f>
        <v>0</v>
      </c>
      <c r="D399" s="1" t="str">
        <f>IF("Keep ICE"="EV","EV","ICE")</f>
        <v>ICE</v>
      </c>
      <c r="E399" s="1">
        <f>IF(C399=0,0,IF('Replacement plan'!$M$105="",VLOOKUP($A399,'Fleet register'!$A$7:$S$106,10,FALSE),'Replacement plan'!$M$105))</f>
        <v>0</v>
      </c>
      <c r="F399" s="16">
        <f>IF(C399=0,0,VLOOKUP($A399,'Fleet register'!$A$7:$S$106,11,FALSE))</f>
        <v>0</v>
      </c>
      <c r="G399" s="16">
        <f>IFERROR(IF(C399=0,0,IF(E399=120,0,IF(D399="ICE",'Replacement plan'!$C$105,IF('Replacement plan'!$D$105="",INDEX(Products!$I$7:$I$13,MATCH('Replacement plan'!$B$105,Products!$A$7:$A$13,0))+'Operating costs'!$B$57,'Replacement plan'!$D$105))*(1+'Operating costs'!$B$50)^(E399/12))),"n.a.")</f>
        <v>0</v>
      </c>
      <c r="H399" s="16">
        <f>IFERROR(IF(C399=0,0,IF(E399=0,F399,VLOOKUP($A399,'Fleet register'!$A$7:$S$106,12,FALSE)+VLOOKUP($A399,'Fleet register'!$A$7:$S$106,13,FALSE)*MAX(0,VLOOKUP($A399,'Fleet register'!$A$7:$S$106,10,FALSE)-E399)/VLOOKUP($A399,'Fleet register'!$A$7:$S$106,14,FALSE))),"n.a.")</f>
        <v>0</v>
      </c>
      <c r="I399" s="16">
        <f>IF(C399=0,0,IF(E399=120,0,'Replacement plan'!$N$105))</f>
        <v>0</v>
      </c>
      <c r="J399" s="16">
        <f>IF(C399=0,0,IF(P399="Complete",((S399*(R399-'Operating costs'!$B$39))+ROUNDUP(S399*(R399-'Operating costs'!$B$39)*IF('Replacement plan'!$AG$105="",'Operating costs'!$B$7,'Replacement plan'!$AG$105)/('Operating costs'!$B$8-'Operating costs'!$B$9*IF('Replacement plan'!$AG$105="",'Operating costs'!$B$7,'Replacement plan'!$AG$105)),0)*'Operating costs'!$B$9)*IF('Replacement plan'!$AG$105="",'Operating costs'!$B$7,'Replacement plan'!$AG$105)*('Energy and charging'!$B$9*'Energy and charging'!$B$7+(1-'Energy and charging'!$B$9)*'Energy and charging'!$B$8)*'Operating costs'!$B$23,"n.a."))</f>
        <v>0</v>
      </c>
      <c r="K399" s="16">
        <f>IF(C399=0,0,IF(P399="Complete",SUM('Operating costs'!$B$24,'Operating costs'!$B$27,'Operating costs'!$B$29,'Operating costs'!$B$31,'Operating costs'!$B$33,'Operating costs'!$B$34,'Operating costs'!$B$37,'Replacement plan'!$W$105)+'Operating costs'!$B$39*'Operating costs'!$B$42+ROUNDUP(S399*(R399-'Operating costs'!$B$39)*IF('Replacement plan'!$AG$105="",'Operating costs'!$B$7,'Replacement plan'!$AG$105)/('Operating costs'!$B$8-'Operating costs'!$B$9*IF('Replacement plan'!$AG$105="",'Operating costs'!$B$7,'Replacement plan'!$AG$105)),0)*('Operating costs'!$B$9/'Operating costs'!$B$11+'Operating costs'!$B$10/60)*'Operating costs'!$B$19*'Operating costs'!$B$21,"n.a."))</f>
        <v>0</v>
      </c>
      <c r="L399" s="16">
        <f>IF(C399=0,0,IF(P399="Complete",IF(D399="EV",X399*((1-T399)*'Energy and charging'!$B$10+T399*'Energy and charging'!$B$11)*'Operating costs'!$B$22,AA399*('Energy and charging'!$B$9*'Energy and charging'!$B$7+(1-'Energy and charging'!$B$9)*'Energy and charging'!$B$8)*'Operating costs'!$B$23),"n.a."))</f>
        <v>0</v>
      </c>
      <c r="M399" s="37">
        <f>IF(C399=0,0,IF(P399="Complete",IF(D399="ICE",SUM('Operating costs'!$B$25,'Operating costs'!$B$27,'Operating costs'!$B$29,'Operating costs'!$B$31,'Operating costs'!$B$33,'Operating costs'!$B$35,'Operating costs'!$B$37,'Replacement plan'!$X$105)+'Operating costs'!$B$40*'Operating costs'!$B$42+ROUNDUP(S399*(R399-'Operating costs'!$B$40)*IF('Replacement plan'!$AH$105="",'Operating costs'!$B$7,'Replacement plan'!$AH$105)/('Operating costs'!$B$8-'Operating costs'!$B$9*IF('Replacement plan'!$AH$105="",'Operating costs'!$B$7,'Replacement plan'!$AH$105)),0)*('Operating costs'!$B$9/'Operating costs'!$B$11+'Operating costs'!$B$10/60)*'Operating costs'!$B$19*'Operating costs'!$B$21,SUM(AP399,'Operating costs'!$B$28,'Operating costs'!$B$30,'Operating costs'!$B$32,'Operating costs'!$B$33,'Operating costs'!$B$36,'Operating costs'!$B$38,'Replacement plan'!$Y$105)+'Operating costs'!$B$41*'Operating costs'!$B$43+W399*'Operating costs'!$B$15+(T399*X399/'Replacement plan'!$L$105+W399*('Operating costs'!$B$12/'Operating costs'!$B$11+('Operating costs'!$B$13+'Operating costs'!$B$14)/60)+(R399-'Operating costs'!$B$41)*(IF(T399&lt;1,'Operating costs'!$B$16,0)+'Operating costs'!$B$17)/60)*'Operating costs'!$B$19*'Operating costs'!$B$20),"n.a."))</f>
        <v>0</v>
      </c>
      <c r="N399" s="16">
        <f>IF(AND(C399=1,D399="EV",E399&lt;120,E399+'Replacement plan'!$AA$105&lt;=120),'Replacement plan'!$Z$105,0)</f>
        <v>0</v>
      </c>
      <c r="O399" s="1">
        <f>E399+'Replacement plan'!$AA$105</f>
        <v>0</v>
      </c>
      <c r="P399" s="35" t="str">
        <f>IFERROR(IF(C399=0,"Excluded",IF(OR(COUNTIFS('Fleet register'!$A$7:$A$106,A399)&lt;&gt;1,COUNTIFS('Replacement plan'!$A$7:$A$106,A399)&lt;&gt;1),"Duplicate/missing ID",IF(NOT(AND(ISNUMBER(VLOOKUP($A399,'Fleet register'!$A$7:$S$106,5,FALSE)),ISNUMBER(VLOOKUP($A399,'Fleet register'!$A$7:$S$106,6,FALSE)),ISNUMBER(VLOOKUP($A399,'Fleet register'!$A$7:$S$106,10,FALSE)),ISNUMBER(VLOOKUP($A399,'Fleet register'!$A$7:$S$106,11,FALSE)),ISNUMBER(VLOOKUP($A399,'Fleet register'!$A$7:$S$106,12,FALSE)),ISNUMBER(VLOOKUP($A399,'Fleet register'!$A$7:$S$106,13,FALSE)),ISNUMBER(VLOOKUP($A399,'Fleet register'!$A$7:$S$106,14,FALSE)),VLOOKUP($A399,'Fleet register'!$A$7:$S$106,14,FALSE)&gt;0,ISNUMBER('Replacement plan'!$C$105),OR(E399=120,ISNUMBER('Replacement plan'!$N$105)),ISNUMBER(E399))),"Missing vehicle input",IF(OR(E399&lt;0,E399&gt;VLOOKUP($A399,'Fleet register'!$A$7:$S$106,10,FALSE),E399&gt;120,E399&lt;&gt;INT(E399),VLOOKUP($A399,'Fleet register'!$A$7:$S$106,6,FALSE)&lt;=0,VLOOKUP($A399,'Fleet register'!$A$7:$S$106,6,FALSE)&gt;366,VLOOKUP($A399,'Fleet register'!$A$7:$S$106,5,FALSE)&lt;0,VLOOKUP($A399,'Fleet register'!$A$7:$S$106,11,FALSE)&lt;0,I399&lt;0,'Operating costs'!$B$8&lt;='Operating costs'!$B$7*'Operating costs'!$B$9,'Operating costs'!$B$11&lt;=0,'Operating costs'!$B$39&gt;R399,'Operating costs'!$B$40&gt;R399,'Operating costs'!$B$41&gt;R399,NOT(OR("Keep ICE"="Keep ICE","Keep ICE"="New ICE","Keep ICE"="EV"))),"Invalid vehicle input",IF(AND(D399="EV",E399&lt;120,OR(NOT(ISNUMBER(U399)),NOT(ISNUMBER(V399)),V399&lt;=0,T399&lt;0,T399&gt;1,'Replacement plan'!$L$105&lt;=0,'Operating costs'!$B$44&lt;0,'Operating costs'!$B$44&gt;=1,'Operating costs'!$B$47&lt;=0,'Operating costs'!$B$47&gt;1,V399*'Operating costs'!$B$47/(1-'Operating costs'!$B$44)&lt;=T399*'Operating costs'!$B$12*U399,AND('Replacement plan'!$Z$105&gt;0,OR('Replacement plan'!$AB$105&lt;&gt;"Yes",'Operating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charging'!$B$8&gt;=0))),ISNUMBER(VLOOKUP($A399,'Fleet register'!$A$7:$S$106,15,FALSE)),ISNUMBER(VLOOKUP($A399,'Fleet register'!$A$7:$S$106,16,FALSE)),ISNUMBER('Replacement plan'!$W$105),ISNUMBER('Replacement plan'!$X$105),OR(E399=120,AND(ISNUMBER(G399),G399&gt;=0)),ISNUMBER(H399),H399&gt;=0,OR(D399&lt;&gt;"EV",E399=120,AND(ISNUMBER('Operating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average",ISNUMBER(IFERROR(INDEX(Products!$P$7:$P$13,MATCH(AD399,Products!$A$7:$A$13,0)),"")))),ISNUMBER('Operating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plan'!$Y$105),ISNUMBER('Replacement plan'!$Z$105),'Replacement plan'!$Z$105&gt;=0,ISNUMBER('Replacement plan'!$AA$105),'Replacement plan'!$AA$105&gt;=0,'Replacement plan'!$AA$105=INT('Replacement plan'!$AA$105),ISNUMBER('Replacement plan'!$L$105))),'Operating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plan'!$AG$105="",'Operating costs'!$B$7,'Replacement plan'!$AG$105)),IF('Replacement plan'!$AG$105="",'Operating costs'!$B$7,'Replacement plan'!$AG$105)&gt;=0,ISNUMBER(IF('Replacement plan'!$AH$105="",'Operating costs'!$B$7,'Replacement plan'!$AH$105)),IF('Replacement plan'!$AH$105="",'Operating costs'!$B$7,'Replacement plan'!$AH$105)&gt;=0,'Operating costs'!$B$8&gt;MAX(IF('Replacement plan'!$AG$105="",'Operating costs'!$B$7,'Replacement plan'!$AG$105),IF('Replacement plan'!$AH$105="",'Operating costs'!$B$7,'Replacement plan'!$AH$105))*'Operating costs'!$B$9),IF(AND(VLOOKUP($A399,'Fleet register'!$A$7:$S$106,10,FALSE)&gt;=0,VLOOKUP($A399,'Fleet register'!$A$7:$S$106,10,FALSE)&lt;=120,VLOOKUP($A399,'Fleet register'!$A$7:$S$106,10,FALSE)=INT(VLOOKUP($A399,'Fleet register'!$A$7:$S$106,10,FALSE)),VLOOKUP($A399,'Fleet register'!$A$7:$S$106,15,FALSE)&gt;=0,VLOOKUP($A399,'Fleet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costs'!$B$67)&gt;=0,OR(D399&lt;&gt;"EV",E399=120,AND(MIN('Operating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399" s="1" t="str">
        <f>IF(C399=0,"Excluded",IF(P399&lt;&gt;"Complete",P399,IF(OR('Replacement plan'!$AD$105&lt;120-E399,AND(D399="EV",E399&lt;120,OR('Replacement plan'!$AC$105&lt;120-E399,'Replacement plan'!$I$105="No",AND(ISNUMBER(AF399),AE399&gt;AF399),AI399&gt;V399*(1-'Operating costs'!$B$46)^MAX(0,AB399-1)*(1-'Operating costs'!$B$45),AC399&gt;'Operating costs'!$B$18,AND(T399&lt;1,OR(AG399&lt;=0,AND(ISNUMBER(AH399),AG399&gt;AH399))),'Replacement plan'!$L$105&gt;INDEX(Products!$H$7:$H$13,MATCH('Replacement plan'!$B$105,Products!$A$7:$A$13,0))))),"Fails entered limits",IF(AND(D399="EV",E399&lt;120,OR(NOT(ISNUMBER(VLOOKUP($A399,'Fleet register'!$A$7:$S$106,7,FALSE))),NOT(ISNUMBER(VLOOKUP($A399,'Fleet register'!$A$7:$S$106,8,FALSE))),NOT(ISNUMBER(AF399)),'Replacement plan'!$I$105&lt;&gt;"Yes",NOT(ISNUMBER(AH399)),'Operating costs'!$B$59&lt;&gt;"Yes",'Operating costs'!$B$58&lt;&gt;"Yes")),"Unverified","Within entered limits"))))</f>
        <v>Excluded</v>
      </c>
      <c r="R399" s="1">
        <f>IF(C399=0,0,VLOOKUP($A399,'Fleet register'!$A$7:$S$106,6,FALSE))</f>
        <v>0</v>
      </c>
      <c r="S399" s="1">
        <f>IF(C399=0,0,VLOOKUP($A399,'Fleet register'!$A$7:$S$106,5,FALSE))</f>
        <v>0</v>
      </c>
      <c r="T399" s="1">
        <f>IF(D399="EV",'Energy and charging'!$B$12,0)</f>
        <v>0</v>
      </c>
      <c r="U399" s="1">
        <f>IFERROR(IF(C399=0,0,IF(D399="EV",IF('Replacement plan'!$F$105="",INDEX(Products!$E$7:$E$13,MATCH('Replacement plan'!$B$105,Products!$A$7:$A$13,0)),'Replacement plan'!$F$105)/IF('Replacement plan'!$G$105="Battery",1-'Operating costs'!$B$44,1),0)),"n.a.")</f>
        <v>0</v>
      </c>
      <c r="V399" s="1">
        <f>IFERROR(IF(C399=0,0,IF(D399="EV",IF('Replacement plan'!$E$105="",INDEX(Products!$D$7:$D$13,MATCH('Replacement plan'!$B$105,Products!$A$7:$A$13,0)),'Replacement plan'!$E$105),0)),"n.a.")</f>
        <v>0</v>
      </c>
      <c r="W399" s="1">
        <f>IF(C399=0,0,IF(AND(P399="Complete",D399="EV",E399&lt;120),IF(T399=0,0,ROUNDUP(T399*(R399-'Operating costs'!$B$41)*(S399*U399+'Operating costs'!$B$48/(1-'Operating costs'!$B$44))/(V399*'Operating costs'!$B$47/(1-'Operating costs'!$B$44)-T399*'Operating costs'!$B$12*U399),0)),0))</f>
        <v>0</v>
      </c>
      <c r="X399" s="1">
        <f>IF(C399=0,0,IF(AND(P399="Complete",D399="EV",E399&lt;120),(R399-'Operating costs'!$B$41)*(S399*U399+'Operating costs'!$B$48/(1-'Operating costs'!$B$44))+W399*'Operating costs'!$B$12*U399,0))</f>
        <v>0</v>
      </c>
      <c r="Y399" s="1">
        <f>IF(AND(C399=1,D399="EV",E399&lt;120),AI399/(1-'Operating costs'!$B$44)*(1-T399),0)</f>
        <v>0</v>
      </c>
      <c r="Z399" s="1">
        <f t="shared" si="12"/>
        <v>0</v>
      </c>
      <c r="AA399" s="1">
        <f>IF(C399=0,0,IF(P399="Complete",((S399*(R399-'Operating costs'!$B$40))+ROUNDUP(S399*(R399-'Operating costs'!$B$40)*IF('Replacement plan'!$AH$105="",'Operating costs'!$B$7,'Replacement plan'!$AH$105)/('Operating costs'!$B$8-'Operating costs'!$B$9*IF('Replacement plan'!$AH$105="",'Operating costs'!$B$7,'Replacement plan'!$AH$105)),0)*'Operating costs'!$B$9)*IF('Replacement plan'!$AH$105="",'Operating costs'!$B$7,'Replacement plan'!$AH$105),"n.a."))</f>
        <v>0</v>
      </c>
      <c r="AB399" s="1">
        <f t="shared" si="13"/>
        <v>0</v>
      </c>
      <c r="AC399" s="1">
        <f>IF(AND(C399=1,D399="EV",E399&lt;120,T399&gt;0),'Operating costs'!$B$12/'Operating costs'!$B$11*60+'Operating costs'!$B$13+'Operating costs'!$B$14+V399*'Operating costs'!$B$47/(1-'Operating costs'!$B$44)/'Replacement plan'!$L$105*60,0)</f>
        <v>0</v>
      </c>
      <c r="AD399" s="1" t="str">
        <f>'Replacement plan'!$B$105</f>
        <v>ChengLong L2EV</v>
      </c>
      <c r="AE399" s="1">
        <f>IF(C399=0,0,VLOOKUP($A399,'Fleet register'!$A$7:$S$106,8,FALSE))</f>
        <v>0</v>
      </c>
      <c r="AF399" s="1" t="str">
        <f>IF('Replacement plan'!$H$105="","n.a.",'Replacement plan'!$H$105)</f>
        <v>n.a.</v>
      </c>
      <c r="AG399" s="1">
        <f>'Replacement plan'!$J$105</f>
        <v>22</v>
      </c>
      <c r="AH399" s="1">
        <f>IFERROR(IF(D399="EV",IF('Replacement plan'!$K$105="AC",IF(ISNUMBER(INDEX(Products!$G$7:$G$13,MATCH('Replacement plan'!$B$105,Products!$A$7:$A$13,0))),INDEX(Products!$G$7:$G$13,MATCH('Replacement plan'!$B$105,Products!$A$7:$A$13,0)),"n.a."),IF(ISNUMBER(INDEX(Products!$H$7:$H$13,MATCH('Replacement plan'!$B$105,Products!$A$7:$A$13,0))),INDEX(Products!$H$7:$H$13,MATCH('Replacement plan'!$B$105,Products!$A$7:$A$13,0)),"n.a.")),0),"n.a.")</f>
        <v>0</v>
      </c>
      <c r="AI399" s="1">
        <f>IF(AND(C399=1,D399="EV",E399&lt;120),(VLOOKUP($A399,'Fleet register'!$A$7:$S$106,7,FALSE)+IF(T399&gt;0,'Operating costs'!$B$12,0))*U399*(1-'Operating costs'!$B$44)+'Operating costs'!$B$49,0)</f>
        <v>0</v>
      </c>
      <c r="AJ399" s="1">
        <f>IF(D399="EV",'Energy and charging'!$B$50,0)</f>
        <v>0</v>
      </c>
      <c r="AK399" s="17">
        <f>EDATE('Operating costs'!$B$63,E399)</f>
        <v>46298</v>
      </c>
      <c r="AL399" s="1">
        <f>IFERROR(IF(D399="EV",INDEX(Products!$B$7:$B$13,MATCH('Replacement plan'!$B$105,Products!$A$7:$A$13,0)),0),"n.a.")</f>
        <v>0</v>
      </c>
      <c r="AM399" s="1" t="str">
        <f>'Replacement plan'!$K$105</f>
        <v>DC</v>
      </c>
      <c r="AN399" s="1" t="str">
        <f>'Replacement plan'!$AE$105</f>
        <v>Assumed</v>
      </c>
      <c r="AO399" s="47">
        <f>IF(AND(C399=1,D399="EV",E399&lt;120),(R399-'Operating costs'!$B$41)*S399+W399*'Operating costs'!$B$12,0)</f>
        <v>0</v>
      </c>
      <c r="AP399" s="41">
        <f>IF(AND(C399=1,D399="EV",E399&lt;120),IF('Operating costs'!$B$68="Hong Seh 200k average",AO399*IFERROR(INDEX(Products!$P$7:$P$13,MATCH(AD399,Products!$A$7:$A$13,0)),"n.a."),'Operating costs'!$B$26),0)</f>
        <v>0</v>
      </c>
      <c r="AQ399" s="40" t="str">
        <f>IF(D399="EV",'Operating costs'!$B$68,"Not applicable")</f>
        <v>Not applicable</v>
      </c>
    </row>
    <row r="400" spans="1:43" ht="24" customHeight="1">
      <c r="A400" s="1" t="str">
        <f>'Replacement plan'!A105</f>
        <v>T099</v>
      </c>
      <c r="B400" s="1">
        <v>1</v>
      </c>
      <c r="C400" s="1">
        <f>IF(COUNTIFS('Fleet register'!$A$7:$A$106,$A400)=1,VLOOKUP($A400,'Fleet register'!$A$7:$S$106,2,FALSE),0)</f>
        <v>0</v>
      </c>
      <c r="D400" s="1" t="str">
        <f>IF("New ICE"="EV","EV","ICE")</f>
        <v>ICE</v>
      </c>
      <c r="E400" s="1">
        <f>IF(C400=0,0,0)</f>
        <v>0</v>
      </c>
      <c r="F400" s="16">
        <f>IF(C400=0,0,VLOOKUP($A400,'Fleet register'!$A$7:$S$106,11,FALSE))</f>
        <v>0</v>
      </c>
      <c r="G400" s="16">
        <f>IFERROR(IF(C400=0,0,IF(E400=120,0,IF(D400="ICE",'Replacement plan'!$C$105,IF('Replacement plan'!$D$105="",INDEX(Products!$I$7:$I$13,MATCH('Replacement plan'!$B$105,Products!$A$7:$A$13,0))+'Operating costs'!$B$57,'Replacement plan'!$D$105))*(1+'Operating costs'!$B$50)^(E400/12))),"n.a.")</f>
        <v>0</v>
      </c>
      <c r="H400" s="16">
        <f>IFERROR(IF(C400=0,0,IF(E400=0,F400,VLOOKUP($A400,'Fleet register'!$A$7:$S$106,12,FALSE)+VLOOKUP($A400,'Fleet register'!$A$7:$S$106,13,FALSE)*MAX(0,VLOOKUP($A400,'Fleet register'!$A$7:$S$106,10,FALSE)-E400)/VLOOKUP($A400,'Fleet register'!$A$7:$S$106,14,FALSE))),"n.a.")</f>
        <v>0</v>
      </c>
      <c r="I400" s="16">
        <f>IF(C400=0,0,IF(E400=120,0,IF('Replacement plan'!$AI$105="",'Operating costs'!$B$56,'Replacement plan'!$AI$105)))</f>
        <v>0</v>
      </c>
      <c r="J400" s="16">
        <f>IF(C400=0,0,IF(P400="Complete",((S400*(R400-'Operating costs'!$B$39))+ROUNDUP(S400*(R400-'Operating costs'!$B$39)*IF('Replacement plan'!$AG$105="",'Operating costs'!$B$7,'Replacement plan'!$AG$105)/('Operating costs'!$B$8-'Operating costs'!$B$9*IF('Replacement plan'!$AG$105="",'Operating costs'!$B$7,'Replacement plan'!$AG$105)),0)*'Operating costs'!$B$9)*IF('Replacement plan'!$AG$105="",'Operating costs'!$B$7,'Replacement plan'!$AG$105)*('Energy and charging'!$B$9*'Energy and charging'!$B$7+(1-'Energy and charging'!$B$9)*'Energy and charging'!$B$8)*'Operating costs'!$B$23,"n.a."))</f>
        <v>0</v>
      </c>
      <c r="K400" s="16">
        <f>IF(C400=0,0,IF(P400="Complete",SUM('Operating costs'!$B$24,'Operating costs'!$B$27,'Operating costs'!$B$29,'Operating costs'!$B$31,'Operating costs'!$B$33,'Operating costs'!$B$34,'Operating costs'!$B$37,'Replacement plan'!$W$105)+'Operating costs'!$B$39*'Operating costs'!$B$42+ROUNDUP(S400*(R400-'Operating costs'!$B$39)*IF('Replacement plan'!$AG$105="",'Operating costs'!$B$7,'Replacement plan'!$AG$105)/('Operating costs'!$B$8-'Operating costs'!$B$9*IF('Replacement plan'!$AG$105="",'Operating costs'!$B$7,'Replacement plan'!$AG$105)),0)*('Operating costs'!$B$9/'Operating costs'!$B$11+'Operating costs'!$B$10/60)*'Operating costs'!$B$19*'Operating costs'!$B$21,"n.a."))</f>
        <v>0</v>
      </c>
      <c r="L400" s="16">
        <f>IF(C400=0,0,IF(P400="Complete",IF(D400="EV",X400*((1-T400)*'Energy and charging'!$B$10+T400*'Energy and charging'!$B$11)*'Operating costs'!$B$22,AA400*('Energy and charging'!$B$9*'Energy and charging'!$B$7+(1-'Energy and charging'!$B$9)*'Energy and charging'!$B$8)*'Operating costs'!$B$23),"n.a."))</f>
        <v>0</v>
      </c>
      <c r="M400" s="37">
        <f>IF(C400=0,0,IF(P400="Complete",IF(D400="ICE",SUM('Operating costs'!$B$25,'Operating costs'!$B$27,'Operating costs'!$B$29,'Operating costs'!$B$31,'Operating costs'!$B$33,'Operating costs'!$B$35,'Operating costs'!$B$37,'Replacement plan'!$X$105)+'Operating costs'!$B$40*'Operating costs'!$B$42+ROUNDUP(S400*(R400-'Operating costs'!$B$40)*IF('Replacement plan'!$AH$105="",'Operating costs'!$B$7,'Replacement plan'!$AH$105)/('Operating costs'!$B$8-'Operating costs'!$B$9*IF('Replacement plan'!$AH$105="",'Operating costs'!$B$7,'Replacement plan'!$AH$105)),0)*('Operating costs'!$B$9/'Operating costs'!$B$11+'Operating costs'!$B$10/60)*'Operating costs'!$B$19*'Operating costs'!$B$21,SUM(AP400,'Operating costs'!$B$28,'Operating costs'!$B$30,'Operating costs'!$B$32,'Operating costs'!$B$33,'Operating costs'!$B$36,'Operating costs'!$B$38,'Replacement plan'!$Y$105)+'Operating costs'!$B$41*'Operating costs'!$B$43+W400*'Operating costs'!$B$15+(T400*X400/'Replacement plan'!$L$105+W400*('Operating costs'!$B$12/'Operating costs'!$B$11+('Operating costs'!$B$13+'Operating costs'!$B$14)/60)+(R400-'Operating costs'!$B$41)*(IF(T400&lt;1,'Operating costs'!$B$16,0)+'Operating costs'!$B$17)/60)*'Operating costs'!$B$19*'Operating costs'!$B$20),"n.a."))</f>
        <v>0</v>
      </c>
      <c r="N400" s="16">
        <f>IF(AND(C400=1,D400="EV",E400&lt;120,E400+'Replacement plan'!$AA$105&lt;=120),'Replacement plan'!$Z$105,0)</f>
        <v>0</v>
      </c>
      <c r="O400" s="1">
        <f>E400+'Replacement plan'!$AA$105</f>
        <v>0</v>
      </c>
      <c r="P400" s="35" t="str">
        <f>IFERROR(IF(C400=0,"Excluded",IF(OR(COUNTIFS('Fleet register'!$A$7:$A$106,A400)&lt;&gt;1,COUNTIFS('Replacement plan'!$A$7:$A$106,A400)&lt;&gt;1),"Duplicate/missing ID",IF(NOT(AND(ISNUMBER(VLOOKUP($A400,'Fleet register'!$A$7:$S$106,5,FALSE)),ISNUMBER(VLOOKUP($A400,'Fleet register'!$A$7:$S$106,6,FALSE)),ISNUMBER(VLOOKUP($A400,'Fleet register'!$A$7:$S$106,10,FALSE)),ISNUMBER(VLOOKUP($A400,'Fleet register'!$A$7:$S$106,11,FALSE)),ISNUMBER(VLOOKUP($A400,'Fleet register'!$A$7:$S$106,12,FALSE)),ISNUMBER(VLOOKUP($A400,'Fleet register'!$A$7:$S$106,13,FALSE)),ISNUMBER(VLOOKUP($A400,'Fleet register'!$A$7:$S$106,14,FALSE)),VLOOKUP($A400,'Fleet register'!$A$7:$S$106,14,FALSE)&gt;0,ISNUMBER('Replacement plan'!$C$105),OR(E400=120,OR(ISNUMBER('Replacement plan'!$AI$105),AND('Replacement plan'!$AI$105="",ISNUMBER('Operating costs'!$B$56)))),ISNUMBER(E400))),"Missing vehicle input",IF(OR(E400&lt;0,E400&gt;VLOOKUP($A400,'Fleet register'!$A$7:$S$106,10,FALSE),E400&gt;120,E400&lt;&gt;INT(E400),VLOOKUP($A400,'Fleet register'!$A$7:$S$106,6,FALSE)&lt;=0,VLOOKUP($A400,'Fleet register'!$A$7:$S$106,6,FALSE)&gt;366,VLOOKUP($A400,'Fleet register'!$A$7:$S$106,5,FALSE)&lt;0,VLOOKUP($A400,'Fleet register'!$A$7:$S$106,11,FALSE)&lt;0,I400&lt;0,'Operating costs'!$B$8&lt;='Operating costs'!$B$7*'Operating costs'!$B$9,'Operating costs'!$B$11&lt;=0,'Operating costs'!$B$39&gt;R400,'Operating costs'!$B$40&gt;R400,'Operating costs'!$B$41&gt;R400,NOT(OR("New ICE"="Keep ICE","New ICE"="New ICE","New ICE"="EV"))),"Invalid vehicle input",IF(AND(D400="EV",E400&lt;120,OR(NOT(ISNUMBER(U400)),NOT(ISNUMBER(V400)),V400&lt;=0,T400&lt;0,T400&gt;1,'Replacement plan'!$L$105&lt;=0,'Operating costs'!$B$44&lt;0,'Operating costs'!$B$44&gt;=1,'Operating costs'!$B$47&lt;=0,'Operating costs'!$B$47&gt;1,V400*'Operating costs'!$B$47/(1-'Operating costs'!$B$44)&lt;=T400*'Operating costs'!$B$12*U400,AND('Replacement plan'!$Z$105&gt;0,OR('Replacement plan'!$AB$105&lt;&gt;"Yes",'Operating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charging'!$B$8&gt;=0))),ISNUMBER(VLOOKUP($A400,'Fleet register'!$A$7:$S$106,15,FALSE)),ISNUMBER(VLOOKUP($A400,'Fleet register'!$A$7:$S$106,16,FALSE)),ISNUMBER('Replacement plan'!$W$105),ISNUMBER('Replacement plan'!$X$105),OR(E400=120,AND(ISNUMBER(G400),G400&gt;=0)),ISNUMBER(H400),H400&gt;=0,OR(D400&lt;&gt;"EV",E400=120,AND(ISNUMBER('Operating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average",ISNUMBER(IFERROR(INDEX(Products!$P$7:$P$13,MATCH(AD400,Products!$A$7:$A$13,0)),"")))),ISNUMBER('Operating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plan'!$Y$105),ISNUMBER('Replacement plan'!$Z$105),'Replacement plan'!$Z$105&gt;=0,ISNUMBER('Replacement plan'!$AA$105),'Replacement plan'!$AA$105&gt;=0,'Replacement plan'!$AA$105=INT('Replacement plan'!$AA$105),ISNUMBER('Replacement plan'!$L$105))),'Operating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plan'!$AG$105="",'Operating costs'!$B$7,'Replacement plan'!$AG$105)),IF('Replacement plan'!$AG$105="",'Operating costs'!$B$7,'Replacement plan'!$AG$105)&gt;=0,ISNUMBER(IF('Replacement plan'!$AH$105="",'Operating costs'!$B$7,'Replacement plan'!$AH$105)),IF('Replacement plan'!$AH$105="",'Operating costs'!$B$7,'Replacement plan'!$AH$105)&gt;=0,'Operating costs'!$B$8&gt;MAX(IF('Replacement plan'!$AG$105="",'Operating costs'!$B$7,'Replacement plan'!$AG$105),IF('Replacement plan'!$AH$105="",'Operating costs'!$B$7,'Replacement plan'!$AH$105))*'Operating costs'!$B$9),IF(AND(VLOOKUP($A400,'Fleet register'!$A$7:$S$106,10,FALSE)&gt;=0,VLOOKUP($A400,'Fleet register'!$A$7:$S$106,10,FALSE)&lt;=120,VLOOKUP($A400,'Fleet register'!$A$7:$S$106,10,FALSE)=INT(VLOOKUP($A400,'Fleet register'!$A$7:$S$106,10,FALSE)),VLOOKUP($A400,'Fleet register'!$A$7:$S$106,15,FALSE)&gt;=0,VLOOKUP($A400,'Fleet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costs'!$B$67)&gt;=0,OR(D400&lt;&gt;"EV",E400=120,AND(MIN('Operating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400" s="1" t="str">
        <f>IF(C400=0,"Excluded",IF(P400&lt;&gt;"Complete",P400,IF(OR('Replacement plan'!$AD$105&lt;120-E400,AND(D400="EV",E400&lt;120,OR('Replacement plan'!$AC$105&lt;120-E400,'Replacement plan'!$I$105="No",AND(ISNUMBER(AF400),AE400&gt;AF400),AI400&gt;V400*(1-'Operating costs'!$B$46)^MAX(0,AB400-1)*(1-'Operating costs'!$B$45),AC400&gt;'Operating costs'!$B$18,AND(T400&lt;1,OR(AG400&lt;=0,AND(ISNUMBER(AH400),AG400&gt;AH400))),'Replacement plan'!$L$105&gt;INDEX(Products!$H$7:$H$13,MATCH('Replacement plan'!$B$105,Products!$A$7:$A$13,0))))),"Fails entered limits",IF(AND(D400="EV",E400&lt;120,OR(NOT(ISNUMBER(VLOOKUP($A400,'Fleet register'!$A$7:$S$106,7,FALSE))),NOT(ISNUMBER(VLOOKUP($A400,'Fleet register'!$A$7:$S$106,8,FALSE))),NOT(ISNUMBER(AF400)),'Replacement plan'!$I$105&lt;&gt;"Yes",NOT(ISNUMBER(AH400)),'Operating costs'!$B$59&lt;&gt;"Yes",'Operating costs'!$B$58&lt;&gt;"Yes")),"Unverified","Within entered limits"))))</f>
        <v>Excluded</v>
      </c>
      <c r="R400" s="1">
        <f>IF(C400=0,0,VLOOKUP($A400,'Fleet register'!$A$7:$S$106,6,FALSE))</f>
        <v>0</v>
      </c>
      <c r="S400" s="1">
        <f>IF(C400=0,0,VLOOKUP($A400,'Fleet register'!$A$7:$S$106,5,FALSE))</f>
        <v>0</v>
      </c>
      <c r="T400" s="1">
        <f>IF(D400="EV",'Energy and charging'!$B$12,0)</f>
        <v>0</v>
      </c>
      <c r="U400" s="1">
        <f>IFERROR(IF(C400=0,0,IF(D400="EV",IF('Replacement plan'!$F$105="",INDEX(Products!$E$7:$E$13,MATCH('Replacement plan'!$B$105,Products!$A$7:$A$13,0)),'Replacement plan'!$F$105)/IF('Replacement plan'!$G$105="Battery",1-'Operating costs'!$B$44,1),0)),"n.a.")</f>
        <v>0</v>
      </c>
      <c r="V400" s="1">
        <f>IFERROR(IF(C400=0,0,IF(D400="EV",IF('Replacement plan'!$E$105="",INDEX(Products!$D$7:$D$13,MATCH('Replacement plan'!$B$105,Products!$A$7:$A$13,0)),'Replacement plan'!$E$105),0)),"n.a.")</f>
        <v>0</v>
      </c>
      <c r="W400" s="1">
        <f>IF(C400=0,0,IF(AND(P400="Complete",D400="EV",E400&lt;120),IF(T400=0,0,ROUNDUP(T400*(R400-'Operating costs'!$B$41)*(S400*U400+'Operating costs'!$B$48/(1-'Operating costs'!$B$44))/(V400*'Operating costs'!$B$47/(1-'Operating costs'!$B$44)-T400*'Operating costs'!$B$12*U400),0)),0))</f>
        <v>0</v>
      </c>
      <c r="X400" s="1">
        <f>IF(C400=0,0,IF(AND(P400="Complete",D400="EV",E400&lt;120),(R400-'Operating costs'!$B$41)*(S400*U400+'Operating costs'!$B$48/(1-'Operating costs'!$B$44))+W400*'Operating costs'!$B$12*U400,0))</f>
        <v>0</v>
      </c>
      <c r="Y400" s="1">
        <f>IF(AND(C400=1,D400="EV",E400&lt;120),AI400/(1-'Operating costs'!$B$44)*(1-T400),0)</f>
        <v>0</v>
      </c>
      <c r="Z400" s="1">
        <f t="shared" si="12"/>
        <v>0</v>
      </c>
      <c r="AA400" s="1">
        <f>IF(C400=0,0,IF(P400="Complete",((S400*(R400-'Operating costs'!$B$40))+ROUNDUP(S400*(R400-'Operating costs'!$B$40)*IF('Replacement plan'!$AH$105="",'Operating costs'!$B$7,'Replacement plan'!$AH$105)/('Operating costs'!$B$8-'Operating costs'!$B$9*IF('Replacement plan'!$AH$105="",'Operating costs'!$B$7,'Replacement plan'!$AH$105)),0)*'Operating costs'!$B$9)*IF('Replacement plan'!$AH$105="",'Operating costs'!$B$7,'Replacement plan'!$AH$105),"n.a."))</f>
        <v>0</v>
      </c>
      <c r="AB400" s="1">
        <f t="shared" si="13"/>
        <v>0</v>
      </c>
      <c r="AC400" s="1">
        <f>IF(AND(C400=1,D400="EV",E400&lt;120,T400&gt;0),'Operating costs'!$B$12/'Operating costs'!$B$11*60+'Operating costs'!$B$13+'Operating costs'!$B$14+V400*'Operating costs'!$B$47/(1-'Operating costs'!$B$44)/'Replacement plan'!$L$105*60,0)</f>
        <v>0</v>
      </c>
      <c r="AD400" s="1" t="str">
        <f>'Replacement plan'!$B$105</f>
        <v>ChengLong L2EV</v>
      </c>
      <c r="AE400" s="1">
        <f>IF(C400=0,0,VLOOKUP($A400,'Fleet register'!$A$7:$S$106,8,FALSE))</f>
        <v>0</v>
      </c>
      <c r="AF400" s="1" t="str">
        <f>IF('Replacement plan'!$H$105="","n.a.",'Replacement plan'!$H$105)</f>
        <v>n.a.</v>
      </c>
      <c r="AG400" s="1">
        <f>'Replacement plan'!$J$105</f>
        <v>22</v>
      </c>
      <c r="AH400" s="1">
        <f>IFERROR(IF(D400="EV",IF('Replacement plan'!$K$105="AC",IF(ISNUMBER(INDEX(Products!$G$7:$G$13,MATCH('Replacement plan'!$B$105,Products!$A$7:$A$13,0))),INDEX(Products!$G$7:$G$13,MATCH('Replacement plan'!$B$105,Products!$A$7:$A$13,0)),"n.a."),IF(ISNUMBER(INDEX(Products!$H$7:$H$13,MATCH('Replacement plan'!$B$105,Products!$A$7:$A$13,0))),INDEX(Products!$H$7:$H$13,MATCH('Replacement plan'!$B$105,Products!$A$7:$A$13,0)),"n.a.")),0),"n.a.")</f>
        <v>0</v>
      </c>
      <c r="AI400" s="1">
        <f>IF(AND(C400=1,D400="EV",E400&lt;120),(VLOOKUP($A400,'Fleet register'!$A$7:$S$106,7,FALSE)+IF(T400&gt;0,'Operating costs'!$B$12,0))*U400*(1-'Operating costs'!$B$44)+'Operating costs'!$B$49,0)</f>
        <v>0</v>
      </c>
      <c r="AJ400" s="1">
        <f>IF(D400="EV",'Energy and charging'!$B$50,0)</f>
        <v>0</v>
      </c>
      <c r="AK400" s="17">
        <f>EDATE('Operating costs'!$B$63,E400)</f>
        <v>46298</v>
      </c>
      <c r="AL400" s="1">
        <f>IFERROR(IF(D400="EV",INDEX(Products!$B$7:$B$13,MATCH('Replacement plan'!$B$105,Products!$A$7:$A$13,0)),0),"n.a.")</f>
        <v>0</v>
      </c>
      <c r="AM400" s="1" t="str">
        <f>'Replacement plan'!$K$105</f>
        <v>DC</v>
      </c>
      <c r="AN400" s="1" t="str">
        <f>'Replacement plan'!$AE$105</f>
        <v>Assumed</v>
      </c>
      <c r="AO400" s="47">
        <f>IF(AND(C400=1,D400="EV",E400&lt;120),(R400-'Operating costs'!$B$41)*S400+W400*'Operating costs'!$B$12,0)</f>
        <v>0</v>
      </c>
      <c r="AP400" s="41">
        <f>IF(AND(C400=1,D400="EV",E400&lt;120),IF('Operating costs'!$B$68="Hong Seh 200k average",AO400*IFERROR(INDEX(Products!$P$7:$P$13,MATCH(AD400,Products!$A$7:$A$13,0)),"n.a."),'Operating costs'!$B$26),0)</f>
        <v>0</v>
      </c>
      <c r="AQ400" s="40" t="str">
        <f>IF(D400="EV",'Operating costs'!$B$68,"Not applicable")</f>
        <v>Not applicable</v>
      </c>
    </row>
    <row r="401" spans="1:43" ht="24" customHeight="1">
      <c r="A401" s="1" t="str">
        <f>'Replacement plan'!A105</f>
        <v>T099</v>
      </c>
      <c r="B401" s="1">
        <v>2</v>
      </c>
      <c r="C401" s="1">
        <f>IF(COUNTIFS('Fleet register'!$A$7:$A$106,$A401)=1,VLOOKUP($A401,'Fleet register'!$A$7:$S$106,2,FALSE),0)</f>
        <v>0</v>
      </c>
      <c r="D401" s="1" t="str">
        <f>IF('Replacement plan'!$O$105="EV","EV","ICE")</f>
        <v>ICE</v>
      </c>
      <c r="E401" s="1">
        <f>IF(C401=0,0,IF('Replacement plan'!$P$105="",IF('Replacement plan'!$O$105="Keep ICE",IF('Replacement plan'!$M$105="",VLOOKUP($A401,'Fleet register'!$A$7:$S$106,10,FALSE),'Replacement plan'!$M$105),0),'Replacement plan'!$P$105))</f>
        <v>0</v>
      </c>
      <c r="F401" s="16">
        <f>IF(C401=0,0,VLOOKUP($A401,'Fleet register'!$A$7:$S$106,11,FALSE))</f>
        <v>0</v>
      </c>
      <c r="G401" s="16">
        <f>IFERROR(IF(C401=0,0,IF(E401=120,0,IF(D401="ICE",'Replacement plan'!$C$105,IF('Replacement plan'!$D$105="",INDEX(Products!$I$7:$I$13,MATCH('Replacement plan'!$B$105,Products!$A$7:$A$13,0))+'Operating costs'!$B$57,'Replacement plan'!$D$105))*(1+'Operating costs'!$B$50)^(E401/12))),"n.a.")</f>
        <v>0</v>
      </c>
      <c r="H401" s="16">
        <f>IFERROR(IF(C401=0,0,IF('Replacement plan'!$U$105&lt;&gt;"",'Replacement plan'!$U$105,IF(E401=0,F401,VLOOKUP($A401,'Fleet register'!$A$7:$S$106,12,FALSE)+VLOOKUP($A401,'Fleet register'!$A$7:$S$106,13,FALSE)*MAX(0,VLOOKUP($A401,'Fleet register'!$A$7:$S$106,10,FALSE)-E401)/VLOOKUP($A401,'Fleet register'!$A$7:$S$106,14,FALSE)))),"n.a.")</f>
        <v>0</v>
      </c>
      <c r="I401" s="16">
        <f>IF(C401=0,0,IF(E401=120,0,'Replacement plan'!$Q$105))</f>
        <v>0</v>
      </c>
      <c r="J401" s="16">
        <f>IF(C401=0,0,IF(P401="Complete",((S401*(R401-'Operating costs'!$B$39))+ROUNDUP(S401*(R401-'Operating costs'!$B$39)*IF('Replacement plan'!$AG$105="",'Operating costs'!$B$7,'Replacement plan'!$AG$105)/('Operating costs'!$B$8-'Operating costs'!$B$9*IF('Replacement plan'!$AG$105="",'Operating costs'!$B$7,'Replacement plan'!$AG$105)),0)*'Operating costs'!$B$9)*IF('Replacement plan'!$AG$105="",'Operating costs'!$B$7,'Replacement plan'!$AG$105)*('Energy and charging'!$B$9*'Energy and charging'!$B$7+(1-'Energy and charging'!$B$9)*'Energy and charging'!$B$8)*'Operating costs'!$B$23,"n.a."))</f>
        <v>0</v>
      </c>
      <c r="K401" s="16">
        <f>IF(C401=0,0,IF(P401="Complete",SUM('Operating costs'!$B$24,'Operating costs'!$B$27,'Operating costs'!$B$29,'Operating costs'!$B$31,'Operating costs'!$B$33,'Operating costs'!$B$34,'Operating costs'!$B$37,'Replacement plan'!$W$105)+'Operating costs'!$B$39*'Operating costs'!$B$42+ROUNDUP(S401*(R401-'Operating costs'!$B$39)*IF('Replacement plan'!$AG$105="",'Operating costs'!$B$7,'Replacement plan'!$AG$105)/('Operating costs'!$B$8-'Operating costs'!$B$9*IF('Replacement plan'!$AG$105="",'Operating costs'!$B$7,'Replacement plan'!$AG$105)),0)*('Operating costs'!$B$9/'Operating costs'!$B$11+'Operating costs'!$B$10/60)*'Operating costs'!$B$19*'Operating costs'!$B$21,"n.a."))</f>
        <v>0</v>
      </c>
      <c r="L401" s="16">
        <f>IF(C401=0,0,IF(P401="Complete",IF(D401="EV",X401*((1-T401)*'Energy and charging'!$B$10+T401*'Energy and charging'!$B$11)*'Operating costs'!$B$22,AA401*('Energy and charging'!$B$9*'Energy and charging'!$B$7+(1-'Energy and charging'!$B$9)*'Energy and charging'!$B$8)*'Operating costs'!$B$23),"n.a."))</f>
        <v>0</v>
      </c>
      <c r="M401" s="37">
        <f>IF(C401=0,0,IF(P401="Complete",IF(D401="ICE",SUM('Operating costs'!$B$25,'Operating costs'!$B$27,'Operating costs'!$B$29,'Operating costs'!$B$31,'Operating costs'!$B$33,'Operating costs'!$B$35,'Operating costs'!$B$37,'Replacement plan'!$X$105)+'Operating costs'!$B$40*'Operating costs'!$B$42+ROUNDUP(S401*(R401-'Operating costs'!$B$40)*IF('Replacement plan'!$AH$105="",'Operating costs'!$B$7,'Replacement plan'!$AH$105)/('Operating costs'!$B$8-'Operating costs'!$B$9*IF('Replacement plan'!$AH$105="",'Operating costs'!$B$7,'Replacement plan'!$AH$105)),0)*('Operating costs'!$B$9/'Operating costs'!$B$11+'Operating costs'!$B$10/60)*'Operating costs'!$B$19*'Operating costs'!$B$21,SUM(AP401,'Operating costs'!$B$28,'Operating costs'!$B$30,'Operating costs'!$B$32,'Operating costs'!$B$33,'Operating costs'!$B$36,'Operating costs'!$B$38,'Replacement plan'!$Y$105)+'Operating costs'!$B$41*'Operating costs'!$B$43+W401*'Operating costs'!$B$15+(T401*X401/'Replacement plan'!$L$105+W401*('Operating costs'!$B$12/'Operating costs'!$B$11+('Operating costs'!$B$13+'Operating costs'!$B$14)/60)+(R401-'Operating costs'!$B$41)*(IF(T401&lt;1,'Operating costs'!$B$16,0)+'Operating costs'!$B$17)/60)*'Operating costs'!$B$19*'Operating costs'!$B$20),"n.a."))</f>
        <v>0</v>
      </c>
      <c r="N401" s="16">
        <f>IF(AND(C401=1,D401="EV",E401&lt;120,E401+'Replacement plan'!$AA$105&lt;=120),'Replacement plan'!$Z$105,0)</f>
        <v>0</v>
      </c>
      <c r="O401" s="1">
        <f>E401+'Replacement plan'!$AA$105</f>
        <v>0</v>
      </c>
      <c r="P401" s="35" t="str">
        <f>IFERROR(IF(C401=0,"Excluded",IF(OR(COUNTIFS('Fleet register'!$A$7:$A$106,A401)&lt;&gt;1,COUNTIFS('Replacement plan'!$A$7:$A$106,A401)&lt;&gt;1),"Duplicate/missing ID",IF(NOT(AND(ISNUMBER(VLOOKUP($A401,'Fleet register'!$A$7:$S$106,5,FALSE)),ISNUMBER(VLOOKUP($A401,'Fleet register'!$A$7:$S$106,6,FALSE)),ISNUMBER(VLOOKUP($A401,'Fleet register'!$A$7:$S$106,10,FALSE)),ISNUMBER(VLOOKUP($A401,'Fleet register'!$A$7:$S$106,11,FALSE)),ISNUMBER(VLOOKUP($A401,'Fleet register'!$A$7:$S$106,12,FALSE)),ISNUMBER(VLOOKUP($A401,'Fleet register'!$A$7:$S$106,13,FALSE)),ISNUMBER(VLOOKUP($A401,'Fleet register'!$A$7:$S$106,14,FALSE)),VLOOKUP($A401,'Fleet register'!$A$7:$S$106,14,FALSE)&gt;0,ISNUMBER('Replacement plan'!$C$105),OR(E401=120,ISNUMBER('Replacement plan'!$Q$105)),ISNUMBER(E401))),"Missing vehicle input",IF(OR(E401&lt;0,E401&gt;VLOOKUP($A401,'Fleet register'!$A$7:$S$106,10,FALSE),E401&gt;120,E401&lt;&gt;INT(E401),VLOOKUP($A401,'Fleet register'!$A$7:$S$106,6,FALSE)&lt;=0,VLOOKUP($A401,'Fleet register'!$A$7:$S$106,6,FALSE)&gt;366,VLOOKUP($A401,'Fleet register'!$A$7:$S$106,5,FALSE)&lt;0,VLOOKUP($A401,'Fleet register'!$A$7:$S$106,11,FALSE)&lt;0,I401&lt;0,'Operating costs'!$B$8&lt;='Operating costs'!$B$7*'Operating costs'!$B$9,'Operating costs'!$B$11&lt;=0,'Operating costs'!$B$39&gt;R401,'Operating costs'!$B$40&gt;R401,'Operating costs'!$B$41&gt;R401,NOT(OR('Replacement plan'!$O$105="Keep ICE",'Replacement plan'!$O$105="New ICE",'Replacement plan'!$O$105="EV"))),"Invalid vehicle input",IF(AND(D401="EV",E401&lt;120,OR(NOT(ISNUMBER(U401)),NOT(ISNUMBER(V401)),V401&lt;=0,T401&lt;0,T401&gt;1,'Replacement plan'!$L$105&lt;=0,'Operating costs'!$B$44&lt;0,'Operating costs'!$B$44&gt;=1,'Operating costs'!$B$47&lt;=0,'Operating costs'!$B$47&gt;1,V401*'Operating costs'!$B$47/(1-'Operating costs'!$B$44)&lt;=T401*'Operating costs'!$B$12*U401,AND('Replacement plan'!$Z$105&gt;0,OR('Replacement plan'!$AB$105&lt;&gt;"Yes",'Operating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charging'!$B$8&gt;=0))),ISNUMBER(VLOOKUP($A401,'Fleet register'!$A$7:$S$106,15,FALSE)),ISNUMBER(VLOOKUP($A401,'Fleet register'!$A$7:$S$106,16,FALSE)),ISNUMBER('Replacement plan'!$W$105),ISNUMBER('Replacement plan'!$X$105),OR(E401=120,AND(ISNUMBER(G401),G401&gt;=0)),ISNUMBER(H401),H401&gt;=0,OR(D401&lt;&gt;"EV",E401=120,AND(ISNUMBER('Operating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average",ISNUMBER(IFERROR(INDEX(Products!$P$7:$P$13,MATCH(AD401,Products!$A$7:$A$13,0)),"")))),ISNUMBER('Operating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plan'!$Y$105),ISNUMBER('Replacement plan'!$Z$105),'Replacement plan'!$Z$105&gt;=0,ISNUMBER('Replacement plan'!$AA$105),'Replacement plan'!$AA$105&gt;=0,'Replacement plan'!$AA$105=INT('Replacement plan'!$AA$105),ISNUMBER('Replacement plan'!$L$105))),'Operating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plan'!$AG$105="",'Operating costs'!$B$7,'Replacement plan'!$AG$105)),IF('Replacement plan'!$AG$105="",'Operating costs'!$B$7,'Replacement plan'!$AG$105)&gt;=0,ISNUMBER(IF('Replacement plan'!$AH$105="",'Operating costs'!$B$7,'Replacement plan'!$AH$105)),IF('Replacement plan'!$AH$105="",'Operating costs'!$B$7,'Replacement plan'!$AH$105)&gt;=0,'Operating costs'!$B$8&gt;MAX(IF('Replacement plan'!$AG$105="",'Operating costs'!$B$7,'Replacement plan'!$AG$105),IF('Replacement plan'!$AH$105="",'Operating costs'!$B$7,'Replacement plan'!$AH$105))*'Operating costs'!$B$9),IF(AND(VLOOKUP($A401,'Fleet register'!$A$7:$S$106,10,FALSE)&gt;=0,VLOOKUP($A401,'Fleet register'!$A$7:$S$106,10,FALSE)&lt;=120,VLOOKUP($A401,'Fleet register'!$A$7:$S$106,10,FALSE)=INT(VLOOKUP($A401,'Fleet register'!$A$7:$S$106,10,FALSE)),VLOOKUP($A401,'Fleet register'!$A$7:$S$106,15,FALSE)&gt;=0,VLOOKUP($A401,'Fleet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costs'!$B$67)&gt;=0,OR(D401&lt;&gt;"EV",E401=120,AND(MIN('Operating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401" s="1" t="str">
        <f>IF(C401=0,"Excluded",IF(P401&lt;&gt;"Complete",P401,IF(OR('Replacement plan'!$AD$105&lt;120-E401,AND(D401="EV",E401&lt;120,OR('Replacement plan'!$AC$105&lt;120-E401,'Replacement plan'!$I$105="No",AND(ISNUMBER(AF401),AE401&gt;AF401),AI401&gt;V401*(1-'Operating costs'!$B$46)^MAX(0,AB401-1)*(1-'Operating costs'!$B$45),AC401&gt;'Operating costs'!$B$18,AND(T401&lt;1,OR(AG401&lt;=0,AND(ISNUMBER(AH401),AG401&gt;AH401))),'Replacement plan'!$L$105&gt;INDEX(Products!$H$7:$H$13,MATCH('Replacement plan'!$B$105,Products!$A$7:$A$13,0))))),"Fails entered limits",IF(AND(D401="EV",E401&lt;120,OR(NOT(ISNUMBER(VLOOKUP($A401,'Fleet register'!$A$7:$S$106,7,FALSE))),NOT(ISNUMBER(VLOOKUP($A401,'Fleet register'!$A$7:$S$106,8,FALSE))),NOT(ISNUMBER(AF401)),'Replacement plan'!$I$105&lt;&gt;"Yes",NOT(ISNUMBER(AH401)),'Operating costs'!$B$59&lt;&gt;"Yes",'Operating costs'!$B$58&lt;&gt;"Yes")),"Unverified","Within entered limits"))))</f>
        <v>Excluded</v>
      </c>
      <c r="R401" s="1">
        <f>IF(C401=0,0,VLOOKUP($A401,'Fleet register'!$A$7:$S$106,6,FALSE))</f>
        <v>0</v>
      </c>
      <c r="S401" s="1">
        <f>IF(C401=0,0,VLOOKUP($A401,'Fleet register'!$A$7:$S$106,5,FALSE))</f>
        <v>0</v>
      </c>
      <c r="T401" s="1">
        <f>IF(D401="EV",'Energy and charging'!$B$12,0)</f>
        <v>0</v>
      </c>
      <c r="U401" s="1">
        <f>IFERROR(IF(C401=0,0,IF(D401="EV",IF('Replacement plan'!$F$105="",INDEX(Products!$E$7:$E$13,MATCH('Replacement plan'!$B$105,Products!$A$7:$A$13,0)),'Replacement plan'!$F$105)/IF('Replacement plan'!$G$105="Battery",1-'Operating costs'!$B$44,1),0)),"n.a.")</f>
        <v>0</v>
      </c>
      <c r="V401" s="1">
        <f>IFERROR(IF(C401=0,0,IF(D401="EV",IF('Replacement plan'!$E$105="",INDEX(Products!$D$7:$D$13,MATCH('Replacement plan'!$B$105,Products!$A$7:$A$13,0)),'Replacement plan'!$E$105),0)),"n.a.")</f>
        <v>0</v>
      </c>
      <c r="W401" s="1">
        <f>IF(C401=0,0,IF(AND(P401="Complete",D401="EV",E401&lt;120),IF(T401=0,0,ROUNDUP(T401*(R401-'Operating costs'!$B$41)*(S401*U401+'Operating costs'!$B$48/(1-'Operating costs'!$B$44))/(V401*'Operating costs'!$B$47/(1-'Operating costs'!$B$44)-T401*'Operating costs'!$B$12*U401),0)),0))</f>
        <v>0</v>
      </c>
      <c r="X401" s="1">
        <f>IF(C401=0,0,IF(AND(P401="Complete",D401="EV",E401&lt;120),(R401-'Operating costs'!$B$41)*(S401*U401+'Operating costs'!$B$48/(1-'Operating costs'!$B$44))+W401*'Operating costs'!$B$12*U401,0))</f>
        <v>0</v>
      </c>
      <c r="Y401" s="1">
        <f>IF(AND(C401=1,D401="EV",E401&lt;120),AI401/(1-'Operating costs'!$B$44)*(1-T401),0)</f>
        <v>0</v>
      </c>
      <c r="Z401" s="1">
        <f t="shared" si="12"/>
        <v>0</v>
      </c>
      <c r="AA401" s="1">
        <f>IF(C401=0,0,IF(P401="Complete",((S401*(R401-'Operating costs'!$B$40))+ROUNDUP(S401*(R401-'Operating costs'!$B$40)*IF('Replacement plan'!$AH$105="",'Operating costs'!$B$7,'Replacement plan'!$AH$105)/('Operating costs'!$B$8-'Operating costs'!$B$9*IF('Replacement plan'!$AH$105="",'Operating costs'!$B$7,'Replacement plan'!$AH$105)),0)*'Operating costs'!$B$9)*IF('Replacement plan'!$AH$105="",'Operating costs'!$B$7,'Replacement plan'!$AH$105),"n.a."))</f>
        <v>0</v>
      </c>
      <c r="AB401" s="1">
        <f t="shared" si="13"/>
        <v>0</v>
      </c>
      <c r="AC401" s="1">
        <f>IF(AND(C401=1,D401="EV",E401&lt;120,T401&gt;0),'Operating costs'!$B$12/'Operating costs'!$B$11*60+'Operating costs'!$B$13+'Operating costs'!$B$14+V401*'Operating costs'!$B$47/(1-'Operating costs'!$B$44)/'Replacement plan'!$L$105*60,0)</f>
        <v>0</v>
      </c>
      <c r="AD401" s="1" t="str">
        <f>'Replacement plan'!$B$105</f>
        <v>ChengLong L2EV</v>
      </c>
      <c r="AE401" s="1">
        <f>IF(C401=0,0,VLOOKUP($A401,'Fleet register'!$A$7:$S$106,8,FALSE))</f>
        <v>0</v>
      </c>
      <c r="AF401" s="1" t="str">
        <f>IF('Replacement plan'!$H$105="","n.a.",'Replacement plan'!$H$105)</f>
        <v>n.a.</v>
      </c>
      <c r="AG401" s="1">
        <f>'Replacement plan'!$J$105</f>
        <v>22</v>
      </c>
      <c r="AH401" s="1">
        <f>IFERROR(IF(D401="EV",IF('Replacement plan'!$K$105="AC",IF(ISNUMBER(INDEX(Products!$G$7:$G$13,MATCH('Replacement plan'!$B$105,Products!$A$7:$A$13,0))),INDEX(Products!$G$7:$G$13,MATCH('Replacement plan'!$B$105,Products!$A$7:$A$13,0)),"n.a."),IF(ISNUMBER(INDEX(Products!$H$7:$H$13,MATCH('Replacement plan'!$B$105,Products!$A$7:$A$13,0))),INDEX(Products!$H$7:$H$13,MATCH('Replacement plan'!$B$105,Products!$A$7:$A$13,0)),"n.a.")),0),"n.a.")</f>
        <v>0</v>
      </c>
      <c r="AI401" s="1">
        <f>IF(AND(C401=1,D401="EV",E401&lt;120),(VLOOKUP($A401,'Fleet register'!$A$7:$S$106,7,FALSE)+IF(T401&gt;0,'Operating costs'!$B$12,0))*U401*(1-'Operating costs'!$B$44)+'Operating costs'!$B$49,0)</f>
        <v>0</v>
      </c>
      <c r="AJ401" s="1">
        <f>IF(D401="EV",'Energy and charging'!$B$50,0)</f>
        <v>0</v>
      </c>
      <c r="AK401" s="17">
        <f>EDATE('Operating costs'!$B$63,E401)</f>
        <v>46298</v>
      </c>
      <c r="AL401" s="1">
        <f>IFERROR(IF(D401="EV",INDEX(Products!$B$7:$B$13,MATCH('Replacement plan'!$B$105,Products!$A$7:$A$13,0)),0),"n.a.")</f>
        <v>0</v>
      </c>
      <c r="AM401" s="1" t="str">
        <f>'Replacement plan'!$K$105</f>
        <v>DC</v>
      </c>
      <c r="AN401" s="1" t="str">
        <f>'Replacement plan'!$AE$105</f>
        <v>Assumed</v>
      </c>
      <c r="AO401" s="47">
        <f>IF(AND(C401=1,D401="EV",E401&lt;120),(R401-'Operating costs'!$B$41)*S401+W401*'Operating costs'!$B$12,0)</f>
        <v>0</v>
      </c>
      <c r="AP401" s="41">
        <f>IF(AND(C401=1,D401="EV",E401&lt;120),IF('Operating costs'!$B$68="Hong Seh 200k average",AO401*IFERROR(INDEX(Products!$P$7:$P$13,MATCH(AD401,Products!$A$7:$A$13,0)),"n.a."),'Operating costs'!$B$26),0)</f>
        <v>0</v>
      </c>
      <c r="AQ401" s="40" t="str">
        <f>IF(D401="EV",'Operating costs'!$B$68,"Not applicable")</f>
        <v>Not applicable</v>
      </c>
    </row>
    <row r="402" spans="1:43" ht="24" customHeight="1">
      <c r="A402" s="1" t="str">
        <f>'Replacement plan'!A105</f>
        <v>T099</v>
      </c>
      <c r="B402" s="1">
        <v>3</v>
      </c>
      <c r="C402" s="1">
        <f>IF(COUNTIFS('Fleet register'!$A$7:$A$106,$A402)=1,VLOOKUP($A402,'Fleet register'!$A$7:$S$106,2,FALSE),0)</f>
        <v>0</v>
      </c>
      <c r="D402" s="1" t="str">
        <f>IF('Replacement plan'!$R$105="EV","EV","ICE")</f>
        <v>ICE</v>
      </c>
      <c r="E402" s="1">
        <f>IF(C402=0,0,IF('Replacement plan'!$S$105="",IF('Replacement plan'!$R$105="Keep ICE",IF('Replacement plan'!$M$105="",VLOOKUP($A402,'Fleet register'!$A$7:$S$106,10,FALSE),'Replacement plan'!$M$105),0),'Replacement plan'!$S$105))</f>
        <v>0</v>
      </c>
      <c r="F402" s="16">
        <f>IF(C402=0,0,VLOOKUP($A402,'Fleet register'!$A$7:$S$106,11,FALSE))</f>
        <v>0</v>
      </c>
      <c r="G402" s="16">
        <f>IFERROR(IF(C402=0,0,IF(E402=120,0,IF(D402="ICE",'Replacement plan'!$C$105,IF('Replacement plan'!$D$105="",INDEX(Products!$I$7:$I$13,MATCH('Replacement plan'!$B$105,Products!$A$7:$A$13,0))+'Operating costs'!$B$57,'Replacement plan'!$D$105))*(1+'Operating costs'!$B$50)^(E402/12))),"n.a.")</f>
        <v>0</v>
      </c>
      <c r="H402" s="16">
        <f>IFERROR(IF(C402=0,0,IF('Replacement plan'!$V$105&lt;&gt;"",'Replacement plan'!$V$105,IF(E402=0,F402,VLOOKUP($A402,'Fleet register'!$A$7:$S$106,12,FALSE)+VLOOKUP($A402,'Fleet register'!$A$7:$S$106,13,FALSE)*MAX(0,VLOOKUP($A402,'Fleet register'!$A$7:$S$106,10,FALSE)-E402)/VLOOKUP($A402,'Fleet register'!$A$7:$S$106,14,FALSE)))),"n.a.")</f>
        <v>0</v>
      </c>
      <c r="I402" s="16">
        <f>IF(C402=0,0,IF(E402=120,0,'Replacement plan'!$T$105))</f>
        <v>0</v>
      </c>
      <c r="J402" s="16">
        <f>IF(C402=0,0,IF(P402="Complete",((S402*(R402-'Operating costs'!$B$39))+ROUNDUP(S402*(R402-'Operating costs'!$B$39)*IF('Replacement plan'!$AG$105="",'Operating costs'!$B$7,'Replacement plan'!$AG$105)/('Operating costs'!$B$8-'Operating costs'!$B$9*IF('Replacement plan'!$AG$105="",'Operating costs'!$B$7,'Replacement plan'!$AG$105)),0)*'Operating costs'!$B$9)*IF('Replacement plan'!$AG$105="",'Operating costs'!$B$7,'Replacement plan'!$AG$105)*('Energy and charging'!$C$9*'Energy and charging'!$C$7+(1-'Energy and charging'!$C$9)*'Energy and charging'!$C$8)*'Operating costs'!$B$23,"n.a."))</f>
        <v>0</v>
      </c>
      <c r="K402" s="16">
        <f>IF(C402=0,0,IF(P402="Complete",SUM('Operating costs'!$B$24,'Operating costs'!$B$27,'Operating costs'!$B$29,'Operating costs'!$B$31,'Operating costs'!$B$33,'Operating costs'!$B$34,'Operating costs'!$B$37,'Replacement plan'!$W$105)+'Operating costs'!$B$39*'Operating costs'!$B$42+ROUNDUP(S402*(R402-'Operating costs'!$B$39)*IF('Replacement plan'!$AG$105="",'Operating costs'!$B$7,'Replacement plan'!$AG$105)/('Operating costs'!$B$8-'Operating costs'!$B$9*IF('Replacement plan'!$AG$105="",'Operating costs'!$B$7,'Replacement plan'!$AG$105)),0)*('Operating costs'!$B$9/'Operating costs'!$B$11+'Operating costs'!$B$10/60)*'Operating costs'!$B$19*'Operating costs'!$B$21,"n.a."))</f>
        <v>0</v>
      </c>
      <c r="L402" s="16">
        <f>IF(C402=0,0,IF(P402="Complete",IF(D402="EV",X402*((1-T402)*'Energy and charging'!$C$10+T402*'Energy and charging'!$C$11)*'Operating costs'!$B$22,AA402*('Energy and charging'!$C$9*'Energy and charging'!$C$7+(1-'Energy and charging'!$C$9)*'Energy and charging'!$C$8)*'Operating costs'!$B$23),"n.a."))</f>
        <v>0</v>
      </c>
      <c r="M402" s="37">
        <f>IF(C402=0,0,IF(P402="Complete",IF(D402="ICE",SUM('Operating costs'!$B$25,'Operating costs'!$B$27,'Operating costs'!$B$29,'Operating costs'!$B$31,'Operating costs'!$B$33,'Operating costs'!$B$35,'Operating costs'!$B$37,'Replacement plan'!$X$105)+'Operating costs'!$B$40*'Operating costs'!$B$42+ROUNDUP(S402*(R402-'Operating costs'!$B$40)*IF('Replacement plan'!$AH$105="",'Operating costs'!$B$7,'Replacement plan'!$AH$105)/('Operating costs'!$B$8-'Operating costs'!$B$9*IF('Replacement plan'!$AH$105="",'Operating costs'!$B$7,'Replacement plan'!$AH$105)),0)*('Operating costs'!$B$9/'Operating costs'!$B$11+'Operating costs'!$B$10/60)*'Operating costs'!$B$19*'Operating costs'!$B$21,SUM(AP402,'Operating costs'!$B$28,'Operating costs'!$B$30,'Operating costs'!$B$32,'Operating costs'!$B$33,'Operating costs'!$B$36,'Operating costs'!$B$38,'Replacement plan'!$Y$105)+'Operating costs'!$B$41*'Operating costs'!$B$43+W402*'Operating costs'!$B$15+(T402*X402/'Replacement plan'!$L$105+W402*('Operating costs'!$B$12/'Operating costs'!$B$11+('Operating costs'!$B$13+'Operating costs'!$B$14)/60)+(R402-'Operating costs'!$B$41)*(IF(T402&lt;1,'Operating costs'!$B$16,0)+'Operating costs'!$B$17)/60)*'Operating costs'!$B$19*'Operating costs'!$B$20),"n.a."))</f>
        <v>0</v>
      </c>
      <c r="N402" s="16">
        <f>IF(AND(C402=1,D402="EV",E402&lt;120,E402+'Replacement plan'!$AA$105&lt;=120),'Replacement plan'!$Z$105,0)</f>
        <v>0</v>
      </c>
      <c r="O402" s="1">
        <f>E402+'Replacement plan'!$AA$105</f>
        <v>0</v>
      </c>
      <c r="P402" s="35" t="str">
        <f>IFERROR(IF(C402=0,"Excluded",IF(OR(COUNTIFS('Fleet register'!$A$7:$A$106,A402)&lt;&gt;1,COUNTIFS('Replacement plan'!$A$7:$A$106,A402)&lt;&gt;1),"Duplicate/missing ID",IF(NOT(AND(ISNUMBER(VLOOKUP($A402,'Fleet register'!$A$7:$S$106,5,FALSE)),ISNUMBER(VLOOKUP($A402,'Fleet register'!$A$7:$S$106,6,FALSE)),ISNUMBER(VLOOKUP($A402,'Fleet register'!$A$7:$S$106,10,FALSE)),ISNUMBER(VLOOKUP($A402,'Fleet register'!$A$7:$S$106,11,FALSE)),ISNUMBER(VLOOKUP($A402,'Fleet register'!$A$7:$S$106,12,FALSE)),ISNUMBER(VLOOKUP($A402,'Fleet register'!$A$7:$S$106,13,FALSE)),ISNUMBER(VLOOKUP($A402,'Fleet register'!$A$7:$S$106,14,FALSE)),VLOOKUP($A402,'Fleet register'!$A$7:$S$106,14,FALSE)&gt;0,ISNUMBER('Replacement plan'!$C$105),OR(E402=120,ISNUMBER('Replacement plan'!$T$105)),ISNUMBER(E402))),"Missing vehicle input",IF(OR(E402&lt;0,E402&gt;VLOOKUP($A402,'Fleet register'!$A$7:$S$106,10,FALSE),E402&gt;120,E402&lt;&gt;INT(E402),VLOOKUP($A402,'Fleet register'!$A$7:$S$106,6,FALSE)&lt;=0,VLOOKUP($A402,'Fleet register'!$A$7:$S$106,6,FALSE)&gt;366,VLOOKUP($A402,'Fleet register'!$A$7:$S$106,5,FALSE)&lt;0,VLOOKUP($A402,'Fleet register'!$A$7:$S$106,11,FALSE)&lt;0,I402&lt;0,'Operating costs'!$B$8&lt;='Operating costs'!$B$7*'Operating costs'!$B$9,'Operating costs'!$B$11&lt;=0,'Operating costs'!$B$39&gt;R402,'Operating costs'!$B$40&gt;R402,'Operating costs'!$B$41&gt;R402,NOT(OR('Replacement plan'!$R$105="Keep ICE",'Replacement plan'!$R$105="New ICE",'Replacement plan'!$R$105="EV"))),"Invalid vehicle input",IF(AND(D402="EV",E402&lt;120,OR(NOT(ISNUMBER(U402)),NOT(ISNUMBER(V402)),V402&lt;=0,T402&lt;0,T402&gt;1,'Replacement plan'!$L$105&lt;=0,'Operating costs'!$B$44&lt;0,'Operating costs'!$B$44&gt;=1,'Operating costs'!$B$47&lt;=0,'Operating costs'!$B$47&gt;1,V402*'Operating costs'!$B$47/(1-'Operating costs'!$B$44)&lt;=T402*'Operating costs'!$B$12*U402,AND('Replacement plan'!$Z$105&gt;0,OR('Replacement plan'!$AB$105&lt;&gt;"Yes",'Operating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charging'!$C$8&gt;=0))),ISNUMBER(VLOOKUP($A402,'Fleet register'!$A$7:$S$106,15,FALSE)),ISNUMBER(VLOOKUP($A402,'Fleet register'!$A$7:$S$106,16,FALSE)),ISNUMBER('Replacement plan'!$W$105),ISNUMBER('Replacement plan'!$X$105),OR(E402=120,AND(ISNUMBER(G402),G402&gt;=0)),ISNUMBER(H402),H402&gt;=0,OR(D402&lt;&gt;"EV",E402=120,AND(ISNUMBER('Operating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average",ISNUMBER(IFERROR(INDEX(Products!$P$7:$P$13,MATCH(AD402,Products!$A$7:$A$13,0)),"")))),ISNUMBER('Operating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plan'!$Y$105),ISNUMBER('Replacement plan'!$Z$105),'Replacement plan'!$Z$105&gt;=0,ISNUMBER('Replacement plan'!$AA$105),'Replacement plan'!$AA$105&gt;=0,'Replacement plan'!$AA$105=INT('Replacement plan'!$AA$105),ISNUMBER('Replacement plan'!$L$105))),'Operating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plan'!$AG$105="",'Operating costs'!$B$7,'Replacement plan'!$AG$105)),IF('Replacement plan'!$AG$105="",'Operating costs'!$B$7,'Replacement plan'!$AG$105)&gt;=0,ISNUMBER(IF('Replacement plan'!$AH$105="",'Operating costs'!$B$7,'Replacement plan'!$AH$105)),IF('Replacement plan'!$AH$105="",'Operating costs'!$B$7,'Replacement plan'!$AH$105)&gt;=0,'Operating costs'!$B$8&gt;MAX(IF('Replacement plan'!$AG$105="",'Operating costs'!$B$7,'Replacement plan'!$AG$105),IF('Replacement plan'!$AH$105="",'Operating costs'!$B$7,'Replacement plan'!$AH$105))*'Operating costs'!$B$9),IF(AND(VLOOKUP($A402,'Fleet register'!$A$7:$S$106,10,FALSE)&gt;=0,VLOOKUP($A402,'Fleet register'!$A$7:$S$106,10,FALSE)&lt;=120,VLOOKUP($A402,'Fleet register'!$A$7:$S$106,10,FALSE)=INT(VLOOKUP($A402,'Fleet register'!$A$7:$S$106,10,FALSE)),VLOOKUP($A402,'Fleet register'!$A$7:$S$106,15,FALSE)&gt;=0,VLOOKUP($A402,'Fleet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costs'!$B$67)&gt;=0,OR(D402&lt;&gt;"EV",E402=120,AND(MIN('Operating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402" s="1" t="str">
        <f>IF(C402=0,"Excluded",IF(P402&lt;&gt;"Complete",P402,IF(OR('Replacement plan'!$AD$105&lt;120-E402,AND(D402="EV",E402&lt;120,OR('Replacement plan'!$AC$105&lt;120-E402,'Replacement plan'!$I$105="No",AND(ISNUMBER(AF402),AE402&gt;AF402),AI402&gt;V402*(1-'Operating costs'!$B$46)^MAX(0,AB402-1)*(1-'Operating costs'!$B$45),AC402&gt;'Operating costs'!$B$18,AND(T402&lt;1,OR(AG402&lt;=0,AND(ISNUMBER(AH402),AG402&gt;AH402))),'Replacement plan'!$L$105&gt;INDEX(Products!$H$7:$H$13,MATCH('Replacement plan'!$B$105,Products!$A$7:$A$13,0))))),"Fails entered limits",IF(AND(D402="EV",E402&lt;120,OR(NOT(ISNUMBER(VLOOKUP($A402,'Fleet register'!$A$7:$S$106,7,FALSE))),NOT(ISNUMBER(VLOOKUP($A402,'Fleet register'!$A$7:$S$106,8,FALSE))),NOT(ISNUMBER(AF402)),'Replacement plan'!$I$105&lt;&gt;"Yes",NOT(ISNUMBER(AH402)),'Operating costs'!$B$59&lt;&gt;"Yes",'Operating costs'!$B$58&lt;&gt;"Yes")),"Unverified","Within entered limits"))))</f>
        <v>Excluded</v>
      </c>
      <c r="R402" s="1">
        <f>IF(C402=0,0,VLOOKUP($A402,'Fleet register'!$A$7:$S$106,6,FALSE))</f>
        <v>0</v>
      </c>
      <c r="S402" s="1">
        <f>IF(C402=0,0,VLOOKUP($A402,'Fleet register'!$A$7:$S$106,5,FALSE))</f>
        <v>0</v>
      </c>
      <c r="T402" s="1">
        <f>IF(D402="EV",'Energy and charging'!$C$12,0)</f>
        <v>0</v>
      </c>
      <c r="U402" s="1">
        <f>IFERROR(IF(C402=0,0,IF(D402="EV",IF('Replacement plan'!$F$105="",INDEX(Products!$E$7:$E$13,MATCH('Replacement plan'!$B$105,Products!$A$7:$A$13,0)),'Replacement plan'!$F$105)/IF('Replacement plan'!$G$105="Battery",1-'Operating costs'!$B$44,1),0)),"n.a.")</f>
        <v>0</v>
      </c>
      <c r="V402" s="1">
        <f>IFERROR(IF(C402=0,0,IF(D402="EV",IF('Replacement plan'!$E$105="",INDEX(Products!$D$7:$D$13,MATCH('Replacement plan'!$B$105,Products!$A$7:$A$13,0)),'Replacement plan'!$E$105),0)),"n.a.")</f>
        <v>0</v>
      </c>
      <c r="W402" s="1">
        <f>IF(C402=0,0,IF(AND(P402="Complete",D402="EV",E402&lt;120),IF(T402=0,0,ROUNDUP(T402*(R402-'Operating costs'!$B$41)*(S402*U402+'Operating costs'!$B$48/(1-'Operating costs'!$B$44))/(V402*'Operating costs'!$B$47/(1-'Operating costs'!$B$44)-T402*'Operating costs'!$B$12*U402),0)),0))</f>
        <v>0</v>
      </c>
      <c r="X402" s="1">
        <f>IF(C402=0,0,IF(AND(P402="Complete",D402="EV",E402&lt;120),(R402-'Operating costs'!$B$41)*(S402*U402+'Operating costs'!$B$48/(1-'Operating costs'!$B$44))+W402*'Operating costs'!$B$12*U402,0))</f>
        <v>0</v>
      </c>
      <c r="Y402" s="1">
        <f>IF(AND(C402=1,D402="EV",E402&lt;120),AI402/(1-'Operating costs'!$B$44)*(1-T402),0)</f>
        <v>0</v>
      </c>
      <c r="Z402" s="1">
        <f t="shared" si="12"/>
        <v>0</v>
      </c>
      <c r="AA402" s="1">
        <f>IF(C402=0,0,IF(P402="Complete",((S402*(R402-'Operating costs'!$B$40))+ROUNDUP(S402*(R402-'Operating costs'!$B$40)*IF('Replacement plan'!$AH$105="",'Operating costs'!$B$7,'Replacement plan'!$AH$105)/('Operating costs'!$B$8-'Operating costs'!$B$9*IF('Replacement plan'!$AH$105="",'Operating costs'!$B$7,'Replacement plan'!$AH$105)),0)*'Operating costs'!$B$9)*IF('Replacement plan'!$AH$105="",'Operating costs'!$B$7,'Replacement plan'!$AH$105),"n.a."))</f>
        <v>0</v>
      </c>
      <c r="AB402" s="1">
        <f t="shared" si="13"/>
        <v>0</v>
      </c>
      <c r="AC402" s="1">
        <f>IF(AND(C402=1,D402="EV",E402&lt;120,T402&gt;0),'Operating costs'!$B$12/'Operating costs'!$B$11*60+'Operating costs'!$B$13+'Operating costs'!$B$14+V402*'Operating costs'!$B$47/(1-'Operating costs'!$B$44)/'Replacement plan'!$L$105*60,0)</f>
        <v>0</v>
      </c>
      <c r="AD402" s="1" t="str">
        <f>'Replacement plan'!$B$105</f>
        <v>ChengLong L2EV</v>
      </c>
      <c r="AE402" s="1">
        <f>IF(C402=0,0,VLOOKUP($A402,'Fleet register'!$A$7:$S$106,8,FALSE))</f>
        <v>0</v>
      </c>
      <c r="AF402" s="1" t="str">
        <f>IF('Replacement plan'!$H$105="","n.a.",'Replacement plan'!$H$105)</f>
        <v>n.a.</v>
      </c>
      <c r="AG402" s="1">
        <f>'Replacement plan'!$J$105</f>
        <v>22</v>
      </c>
      <c r="AH402" s="1">
        <f>IFERROR(IF(D402="EV",IF('Replacement plan'!$K$105="AC",IF(ISNUMBER(INDEX(Products!$G$7:$G$13,MATCH('Replacement plan'!$B$105,Products!$A$7:$A$13,0))),INDEX(Products!$G$7:$G$13,MATCH('Replacement plan'!$B$105,Products!$A$7:$A$13,0)),"n.a."),IF(ISNUMBER(INDEX(Products!$H$7:$H$13,MATCH('Replacement plan'!$B$105,Products!$A$7:$A$13,0))),INDEX(Products!$H$7:$H$13,MATCH('Replacement plan'!$B$105,Products!$A$7:$A$13,0)),"n.a.")),0),"n.a.")</f>
        <v>0</v>
      </c>
      <c r="AI402" s="1">
        <f>IF(AND(C402=1,D402="EV",E402&lt;120),(VLOOKUP($A402,'Fleet register'!$A$7:$S$106,7,FALSE)+IF(T402&gt;0,'Operating costs'!$B$12,0))*U402*(1-'Operating costs'!$B$44)+'Operating costs'!$B$49,0)</f>
        <v>0</v>
      </c>
      <c r="AJ402" s="1">
        <f>IF(D402="EV",'Energy and charging'!$C$50,0)</f>
        <v>0</v>
      </c>
      <c r="AK402" s="17">
        <f>EDATE('Operating costs'!$B$63,E402)</f>
        <v>46298</v>
      </c>
      <c r="AL402" s="1">
        <f>IFERROR(IF(D402="EV",INDEX(Products!$B$7:$B$13,MATCH('Replacement plan'!$B$105,Products!$A$7:$A$13,0)),0),"n.a.")</f>
        <v>0</v>
      </c>
      <c r="AM402" s="1" t="str">
        <f>'Replacement plan'!$K$105</f>
        <v>DC</v>
      </c>
      <c r="AN402" s="1" t="str">
        <f>'Replacement plan'!$AE$105</f>
        <v>Assumed</v>
      </c>
      <c r="AO402" s="47">
        <f>IF(AND(C402=1,D402="EV",E402&lt;120),(R402-'Operating costs'!$B$41)*S402+W402*'Operating costs'!$B$12,0)</f>
        <v>0</v>
      </c>
      <c r="AP402" s="41">
        <f>IF(AND(C402=1,D402="EV",E402&lt;120),IF('Operating costs'!$B$68="Hong Seh 200k average",AO402*IFERROR(INDEX(Products!$P$7:$P$13,MATCH(AD402,Products!$A$7:$A$13,0)),"n.a."),'Operating costs'!$B$26),0)</f>
        <v>0</v>
      </c>
      <c r="AQ402" s="40" t="str">
        <f>IF(D402="EV",'Operating costs'!$B$68,"Not applicable")</f>
        <v>Not applicable</v>
      </c>
    </row>
    <row r="403" spans="1:43" ht="24" customHeight="1">
      <c r="A403" s="1" t="str">
        <f>'Replacement plan'!A106</f>
        <v>T100</v>
      </c>
      <c r="B403" s="1">
        <v>0</v>
      </c>
      <c r="C403" s="1">
        <f>IF(COUNTIFS('Fleet register'!$A$7:$A$106,$A403)=1,VLOOKUP($A403,'Fleet register'!$A$7:$S$106,2,FALSE),0)</f>
        <v>0</v>
      </c>
      <c r="D403" s="1" t="str">
        <f>IF("Keep ICE"="EV","EV","ICE")</f>
        <v>ICE</v>
      </c>
      <c r="E403" s="1">
        <f>IF(C403=0,0,IF('Replacement plan'!$M$106="",VLOOKUP($A403,'Fleet register'!$A$7:$S$106,10,FALSE),'Replacement plan'!$M$106))</f>
        <v>0</v>
      </c>
      <c r="F403" s="16">
        <f>IF(C403=0,0,VLOOKUP($A403,'Fleet register'!$A$7:$S$106,11,FALSE))</f>
        <v>0</v>
      </c>
      <c r="G403" s="16">
        <f>IFERROR(IF(C403=0,0,IF(E403=120,0,IF(D403="ICE",'Replacement plan'!$C$106,IF('Replacement plan'!$D$106="",INDEX(Products!$I$7:$I$13,MATCH('Replacement plan'!$B$106,Products!$A$7:$A$13,0))+'Operating costs'!$B$57,'Replacement plan'!$D$106))*(1+'Operating costs'!$B$50)^(E403/12))),"n.a.")</f>
        <v>0</v>
      </c>
      <c r="H403" s="16">
        <f>IFERROR(IF(C403=0,0,IF(E403=0,F403,VLOOKUP($A403,'Fleet register'!$A$7:$S$106,12,FALSE)+VLOOKUP($A403,'Fleet register'!$A$7:$S$106,13,FALSE)*MAX(0,VLOOKUP($A403,'Fleet register'!$A$7:$S$106,10,FALSE)-E403)/VLOOKUP($A403,'Fleet register'!$A$7:$S$106,14,FALSE))),"n.a.")</f>
        <v>0</v>
      </c>
      <c r="I403" s="16">
        <f>IF(C403=0,0,IF(E403=120,0,'Replacement plan'!$N$106))</f>
        <v>0</v>
      </c>
      <c r="J403" s="16">
        <f>IF(C403=0,0,IF(P403="Complete",((S403*(R403-'Operating costs'!$B$39))+ROUNDUP(S403*(R403-'Operating costs'!$B$39)*IF('Replacement plan'!$AG$106="",'Operating costs'!$B$7,'Replacement plan'!$AG$106)/('Operating costs'!$B$8-'Operating costs'!$B$9*IF('Replacement plan'!$AG$106="",'Operating costs'!$B$7,'Replacement plan'!$AG$106)),0)*'Operating costs'!$B$9)*IF('Replacement plan'!$AG$106="",'Operating costs'!$B$7,'Replacement plan'!$AG$106)*('Energy and charging'!$B$9*'Energy and charging'!$B$7+(1-'Energy and charging'!$B$9)*'Energy and charging'!$B$8)*'Operating costs'!$B$23,"n.a."))</f>
        <v>0</v>
      </c>
      <c r="K403" s="16">
        <f>IF(C403=0,0,IF(P403="Complete",SUM('Operating costs'!$B$24,'Operating costs'!$B$27,'Operating costs'!$B$29,'Operating costs'!$B$31,'Operating costs'!$B$33,'Operating costs'!$B$34,'Operating costs'!$B$37,'Replacement plan'!$W$106)+'Operating costs'!$B$39*'Operating costs'!$B$42+ROUNDUP(S403*(R403-'Operating costs'!$B$39)*IF('Replacement plan'!$AG$106="",'Operating costs'!$B$7,'Replacement plan'!$AG$106)/('Operating costs'!$B$8-'Operating costs'!$B$9*IF('Replacement plan'!$AG$106="",'Operating costs'!$B$7,'Replacement plan'!$AG$106)),0)*('Operating costs'!$B$9/'Operating costs'!$B$11+'Operating costs'!$B$10/60)*'Operating costs'!$B$19*'Operating costs'!$B$21,"n.a."))</f>
        <v>0</v>
      </c>
      <c r="L403" s="16">
        <f>IF(C403=0,0,IF(P403="Complete",IF(D403="EV",X403*((1-T403)*'Energy and charging'!$B$10+T403*'Energy and charging'!$B$11)*'Operating costs'!$B$22,AA403*('Energy and charging'!$B$9*'Energy and charging'!$B$7+(1-'Energy and charging'!$B$9)*'Energy and charging'!$B$8)*'Operating costs'!$B$23),"n.a."))</f>
        <v>0</v>
      </c>
      <c r="M403" s="37">
        <f>IF(C403=0,0,IF(P403="Complete",IF(D403="ICE",SUM('Operating costs'!$B$25,'Operating costs'!$B$27,'Operating costs'!$B$29,'Operating costs'!$B$31,'Operating costs'!$B$33,'Operating costs'!$B$35,'Operating costs'!$B$37,'Replacement plan'!$X$106)+'Operating costs'!$B$40*'Operating costs'!$B$42+ROUNDUP(S403*(R403-'Operating costs'!$B$40)*IF('Replacement plan'!$AH$106="",'Operating costs'!$B$7,'Replacement plan'!$AH$106)/('Operating costs'!$B$8-'Operating costs'!$B$9*IF('Replacement plan'!$AH$106="",'Operating costs'!$B$7,'Replacement plan'!$AH$106)),0)*('Operating costs'!$B$9/'Operating costs'!$B$11+'Operating costs'!$B$10/60)*'Operating costs'!$B$19*'Operating costs'!$B$21,SUM(AP403,'Operating costs'!$B$28,'Operating costs'!$B$30,'Operating costs'!$B$32,'Operating costs'!$B$33,'Operating costs'!$B$36,'Operating costs'!$B$38,'Replacement plan'!$Y$106)+'Operating costs'!$B$41*'Operating costs'!$B$43+W403*'Operating costs'!$B$15+(T403*X403/'Replacement plan'!$L$106+W403*('Operating costs'!$B$12/'Operating costs'!$B$11+('Operating costs'!$B$13+'Operating costs'!$B$14)/60)+(R403-'Operating costs'!$B$41)*(IF(T403&lt;1,'Operating costs'!$B$16,0)+'Operating costs'!$B$17)/60)*'Operating costs'!$B$19*'Operating costs'!$B$20),"n.a."))</f>
        <v>0</v>
      </c>
      <c r="N403" s="16">
        <f>IF(AND(C403=1,D403="EV",E403&lt;120,E403+'Replacement plan'!$AA$106&lt;=120),'Replacement plan'!$Z$106,0)</f>
        <v>0</v>
      </c>
      <c r="O403" s="1">
        <f>E403+'Replacement plan'!$AA$106</f>
        <v>0</v>
      </c>
      <c r="P403" s="35" t="str">
        <f>IFERROR(IF(C403=0,"Excluded",IF(OR(COUNTIFS('Fleet register'!$A$7:$A$106,A403)&lt;&gt;1,COUNTIFS('Replacement plan'!$A$7:$A$106,A403)&lt;&gt;1),"Duplicate/missing ID",IF(NOT(AND(ISNUMBER(VLOOKUP($A403,'Fleet register'!$A$7:$S$106,5,FALSE)),ISNUMBER(VLOOKUP($A403,'Fleet register'!$A$7:$S$106,6,FALSE)),ISNUMBER(VLOOKUP($A403,'Fleet register'!$A$7:$S$106,10,FALSE)),ISNUMBER(VLOOKUP($A403,'Fleet register'!$A$7:$S$106,11,FALSE)),ISNUMBER(VLOOKUP($A403,'Fleet register'!$A$7:$S$106,12,FALSE)),ISNUMBER(VLOOKUP($A403,'Fleet register'!$A$7:$S$106,13,FALSE)),ISNUMBER(VLOOKUP($A403,'Fleet register'!$A$7:$S$106,14,FALSE)),VLOOKUP($A403,'Fleet register'!$A$7:$S$106,14,FALSE)&gt;0,ISNUMBER('Replacement plan'!$C$106),OR(E403=120,ISNUMBER('Replacement plan'!$N$106)),ISNUMBER(E403))),"Missing vehicle input",IF(OR(E403&lt;0,E403&gt;VLOOKUP($A403,'Fleet register'!$A$7:$S$106,10,FALSE),E403&gt;120,E403&lt;&gt;INT(E403),VLOOKUP($A403,'Fleet register'!$A$7:$S$106,6,FALSE)&lt;=0,VLOOKUP($A403,'Fleet register'!$A$7:$S$106,6,FALSE)&gt;366,VLOOKUP($A403,'Fleet register'!$A$7:$S$106,5,FALSE)&lt;0,VLOOKUP($A403,'Fleet register'!$A$7:$S$106,11,FALSE)&lt;0,I403&lt;0,'Operating costs'!$B$8&lt;='Operating costs'!$B$7*'Operating costs'!$B$9,'Operating costs'!$B$11&lt;=0,'Operating costs'!$B$39&gt;R403,'Operating costs'!$B$40&gt;R403,'Operating costs'!$B$41&gt;R403,NOT(OR("Keep ICE"="Keep ICE","Keep ICE"="New ICE","Keep ICE"="EV"))),"Invalid vehicle input",IF(AND(D403="EV",E403&lt;120,OR(NOT(ISNUMBER(U403)),NOT(ISNUMBER(V403)),V403&lt;=0,T403&lt;0,T403&gt;1,'Replacement plan'!$L$106&lt;=0,'Operating costs'!$B$44&lt;0,'Operating costs'!$B$44&gt;=1,'Operating costs'!$B$47&lt;=0,'Operating costs'!$B$47&gt;1,V403*'Operating costs'!$B$47/(1-'Operating costs'!$B$44)&lt;=T403*'Operating costs'!$B$12*U403,AND('Replacement plan'!$Z$106&gt;0,OR('Replacement plan'!$AB$106&lt;&gt;"Yes",'Operating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charging'!$B$8&gt;=0))),ISNUMBER(VLOOKUP($A403,'Fleet register'!$A$7:$S$106,15,FALSE)),ISNUMBER(VLOOKUP($A403,'Fleet register'!$A$7:$S$106,16,FALSE)),ISNUMBER('Replacement plan'!$W$106),ISNUMBER('Replacement plan'!$X$106),OR(E403=120,AND(ISNUMBER(G403),G403&gt;=0)),ISNUMBER(H403),H403&gt;=0,OR(D403&lt;&gt;"EV",E403=120,AND(ISNUMBER('Operating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average",ISNUMBER(IFERROR(INDEX(Products!$P$7:$P$13,MATCH(AD403,Products!$A$7:$A$13,0)),"")))),ISNUMBER('Operating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plan'!$Y$106),ISNUMBER('Replacement plan'!$Z$106),'Replacement plan'!$Z$106&gt;=0,ISNUMBER('Replacement plan'!$AA$106),'Replacement plan'!$AA$106&gt;=0,'Replacement plan'!$AA$106=INT('Replacement plan'!$AA$106),ISNUMBER('Replacement plan'!$L$106))),'Operating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plan'!$AG$106="",'Operating costs'!$B$7,'Replacement plan'!$AG$106)),IF('Replacement plan'!$AG$106="",'Operating costs'!$B$7,'Replacement plan'!$AG$106)&gt;=0,ISNUMBER(IF('Replacement plan'!$AH$106="",'Operating costs'!$B$7,'Replacement plan'!$AH$106)),IF('Replacement plan'!$AH$106="",'Operating costs'!$B$7,'Replacement plan'!$AH$106)&gt;=0,'Operating costs'!$B$8&gt;MAX(IF('Replacement plan'!$AG$106="",'Operating costs'!$B$7,'Replacement plan'!$AG$106),IF('Replacement plan'!$AH$106="",'Operating costs'!$B$7,'Replacement plan'!$AH$106))*'Operating costs'!$B$9),IF(AND(VLOOKUP($A403,'Fleet register'!$A$7:$S$106,10,FALSE)&gt;=0,VLOOKUP($A403,'Fleet register'!$A$7:$S$106,10,FALSE)&lt;=120,VLOOKUP($A403,'Fleet register'!$A$7:$S$106,10,FALSE)=INT(VLOOKUP($A403,'Fleet register'!$A$7:$S$106,10,FALSE)),VLOOKUP($A403,'Fleet register'!$A$7:$S$106,15,FALSE)&gt;=0,VLOOKUP($A403,'Fleet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costs'!$B$67)&gt;=0,OR(D403&lt;&gt;"EV",E403=120,AND(MIN('Operating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403" s="1" t="str">
        <f>IF(C403=0,"Excluded",IF(P403&lt;&gt;"Complete",P403,IF(OR('Replacement plan'!$AD$106&lt;120-E403,AND(D403="EV",E403&lt;120,OR('Replacement plan'!$AC$106&lt;120-E403,'Replacement plan'!$I$106="No",AND(ISNUMBER(AF403),AE403&gt;AF403),AI403&gt;V403*(1-'Operating costs'!$B$46)^MAX(0,AB403-1)*(1-'Operating costs'!$B$45),AC403&gt;'Operating costs'!$B$18,AND(T403&lt;1,OR(AG403&lt;=0,AND(ISNUMBER(AH403),AG403&gt;AH403))),'Replacement plan'!$L$106&gt;INDEX(Products!$H$7:$H$13,MATCH('Replacement plan'!$B$106,Products!$A$7:$A$13,0))))),"Fails entered limits",IF(AND(D403="EV",E403&lt;120,OR(NOT(ISNUMBER(VLOOKUP($A403,'Fleet register'!$A$7:$S$106,7,FALSE))),NOT(ISNUMBER(VLOOKUP($A403,'Fleet register'!$A$7:$S$106,8,FALSE))),NOT(ISNUMBER(AF403)),'Replacement plan'!$I$106&lt;&gt;"Yes",NOT(ISNUMBER(AH403)),'Operating costs'!$B$59&lt;&gt;"Yes",'Operating costs'!$B$58&lt;&gt;"Yes")),"Unverified","Within entered limits"))))</f>
        <v>Excluded</v>
      </c>
      <c r="R403" s="1">
        <f>IF(C403=0,0,VLOOKUP($A403,'Fleet register'!$A$7:$S$106,6,FALSE))</f>
        <v>0</v>
      </c>
      <c r="S403" s="1">
        <f>IF(C403=0,0,VLOOKUP($A403,'Fleet register'!$A$7:$S$106,5,FALSE))</f>
        <v>0</v>
      </c>
      <c r="T403" s="1">
        <f>IF(D403="EV",'Energy and charging'!$B$12,0)</f>
        <v>0</v>
      </c>
      <c r="U403" s="1">
        <f>IFERROR(IF(C403=0,0,IF(D403="EV",IF('Replacement plan'!$F$106="",INDEX(Products!$E$7:$E$13,MATCH('Replacement plan'!$B$106,Products!$A$7:$A$13,0)),'Replacement plan'!$F$106)/IF('Replacement plan'!$G$106="Battery",1-'Operating costs'!$B$44,1),0)),"n.a.")</f>
        <v>0</v>
      </c>
      <c r="V403" s="1">
        <f>IFERROR(IF(C403=0,0,IF(D403="EV",IF('Replacement plan'!$E$106="",INDEX(Products!$D$7:$D$13,MATCH('Replacement plan'!$B$106,Products!$A$7:$A$13,0)),'Replacement plan'!$E$106),0)),"n.a.")</f>
        <v>0</v>
      </c>
      <c r="W403" s="1">
        <f>IF(C403=0,0,IF(AND(P403="Complete",D403="EV",E403&lt;120),IF(T403=0,0,ROUNDUP(T403*(R403-'Operating costs'!$B$41)*(S403*U403+'Operating costs'!$B$48/(1-'Operating costs'!$B$44))/(V403*'Operating costs'!$B$47/(1-'Operating costs'!$B$44)-T403*'Operating costs'!$B$12*U403),0)),0))</f>
        <v>0</v>
      </c>
      <c r="X403" s="1">
        <f>IF(C403=0,0,IF(AND(P403="Complete",D403="EV",E403&lt;120),(R403-'Operating costs'!$B$41)*(S403*U403+'Operating costs'!$B$48/(1-'Operating costs'!$B$44))+W403*'Operating costs'!$B$12*U403,0))</f>
        <v>0</v>
      </c>
      <c r="Y403" s="1">
        <f>IF(AND(C403=1,D403="EV",E403&lt;120),AI403/(1-'Operating costs'!$B$44)*(1-T403),0)</f>
        <v>0</v>
      </c>
      <c r="Z403" s="1">
        <f t="shared" si="12"/>
        <v>0</v>
      </c>
      <c r="AA403" s="1">
        <f>IF(C403=0,0,IF(P403="Complete",((S403*(R403-'Operating costs'!$B$40))+ROUNDUP(S403*(R403-'Operating costs'!$B$40)*IF('Replacement plan'!$AH$106="",'Operating costs'!$B$7,'Replacement plan'!$AH$106)/('Operating costs'!$B$8-'Operating costs'!$B$9*IF('Replacement plan'!$AH$106="",'Operating costs'!$B$7,'Replacement plan'!$AH$106)),0)*'Operating costs'!$B$9)*IF('Replacement plan'!$AH$106="",'Operating costs'!$B$7,'Replacement plan'!$AH$106),"n.a."))</f>
        <v>0</v>
      </c>
      <c r="AB403" s="1">
        <f t="shared" si="13"/>
        <v>0</v>
      </c>
      <c r="AC403" s="1">
        <f>IF(AND(C403=1,D403="EV",E403&lt;120,T403&gt;0),'Operating costs'!$B$12/'Operating costs'!$B$11*60+'Operating costs'!$B$13+'Operating costs'!$B$14+V403*'Operating costs'!$B$47/(1-'Operating costs'!$B$44)/'Replacement plan'!$L$106*60,0)</f>
        <v>0</v>
      </c>
      <c r="AD403" s="1" t="str">
        <f>'Replacement plan'!$B$106</f>
        <v>ChengLong L2EV</v>
      </c>
      <c r="AE403" s="1">
        <f>IF(C403=0,0,VLOOKUP($A403,'Fleet register'!$A$7:$S$106,8,FALSE))</f>
        <v>0</v>
      </c>
      <c r="AF403" s="1" t="str">
        <f>IF('Replacement plan'!$H$106="","n.a.",'Replacement plan'!$H$106)</f>
        <v>n.a.</v>
      </c>
      <c r="AG403" s="1">
        <f>'Replacement plan'!$J$106</f>
        <v>22</v>
      </c>
      <c r="AH403" s="1">
        <f>IFERROR(IF(D403="EV",IF('Replacement plan'!$K$106="AC",IF(ISNUMBER(INDEX(Products!$G$7:$G$13,MATCH('Replacement plan'!$B$106,Products!$A$7:$A$13,0))),INDEX(Products!$G$7:$G$13,MATCH('Replacement plan'!$B$106,Products!$A$7:$A$13,0)),"n.a."),IF(ISNUMBER(INDEX(Products!$H$7:$H$13,MATCH('Replacement plan'!$B$106,Products!$A$7:$A$13,0))),INDEX(Products!$H$7:$H$13,MATCH('Replacement plan'!$B$106,Products!$A$7:$A$13,0)),"n.a.")),0),"n.a.")</f>
        <v>0</v>
      </c>
      <c r="AI403" s="1">
        <f>IF(AND(C403=1,D403="EV",E403&lt;120),(VLOOKUP($A403,'Fleet register'!$A$7:$S$106,7,FALSE)+IF(T403&gt;0,'Operating costs'!$B$12,0))*U403*(1-'Operating costs'!$B$44)+'Operating costs'!$B$49,0)</f>
        <v>0</v>
      </c>
      <c r="AJ403" s="1">
        <f>IF(D403="EV",'Energy and charging'!$B$50,0)</f>
        <v>0</v>
      </c>
      <c r="AK403" s="17">
        <f>EDATE('Operating costs'!$B$63,E403)</f>
        <v>46298</v>
      </c>
      <c r="AL403" s="1">
        <f>IFERROR(IF(D403="EV",INDEX(Products!$B$7:$B$13,MATCH('Replacement plan'!$B$106,Products!$A$7:$A$13,0)),0),"n.a.")</f>
        <v>0</v>
      </c>
      <c r="AM403" s="1" t="str">
        <f>'Replacement plan'!$K$106</f>
        <v>DC</v>
      </c>
      <c r="AN403" s="1" t="str">
        <f>'Replacement plan'!$AE$106</f>
        <v>Assumed</v>
      </c>
      <c r="AO403" s="47">
        <f>IF(AND(C403=1,D403="EV",E403&lt;120),(R403-'Operating costs'!$B$41)*S403+W403*'Operating costs'!$B$12,0)</f>
        <v>0</v>
      </c>
      <c r="AP403" s="41">
        <f>IF(AND(C403=1,D403="EV",E403&lt;120),IF('Operating costs'!$B$68="Hong Seh 200k average",AO403*IFERROR(INDEX(Products!$P$7:$P$13,MATCH(AD403,Products!$A$7:$A$13,0)),"n.a."),'Operating costs'!$B$26),0)</f>
        <v>0</v>
      </c>
      <c r="AQ403" s="40" t="str">
        <f>IF(D403="EV",'Operating costs'!$B$68,"Not applicable")</f>
        <v>Not applicable</v>
      </c>
    </row>
    <row r="404" spans="1:43" ht="24" customHeight="1">
      <c r="A404" s="1" t="str">
        <f>'Replacement plan'!A106</f>
        <v>T100</v>
      </c>
      <c r="B404" s="1">
        <v>1</v>
      </c>
      <c r="C404" s="1">
        <f>IF(COUNTIFS('Fleet register'!$A$7:$A$106,$A404)=1,VLOOKUP($A404,'Fleet register'!$A$7:$S$106,2,FALSE),0)</f>
        <v>0</v>
      </c>
      <c r="D404" s="1" t="str">
        <f>IF("New ICE"="EV","EV","ICE")</f>
        <v>ICE</v>
      </c>
      <c r="E404" s="1">
        <f>IF(C404=0,0,0)</f>
        <v>0</v>
      </c>
      <c r="F404" s="16">
        <f>IF(C404=0,0,VLOOKUP($A404,'Fleet register'!$A$7:$S$106,11,FALSE))</f>
        <v>0</v>
      </c>
      <c r="G404" s="16">
        <f>IFERROR(IF(C404=0,0,IF(E404=120,0,IF(D404="ICE",'Replacement plan'!$C$106,IF('Replacement plan'!$D$106="",INDEX(Products!$I$7:$I$13,MATCH('Replacement plan'!$B$106,Products!$A$7:$A$13,0))+'Operating costs'!$B$57,'Replacement plan'!$D$106))*(1+'Operating costs'!$B$50)^(E404/12))),"n.a.")</f>
        <v>0</v>
      </c>
      <c r="H404" s="16">
        <f>IFERROR(IF(C404=0,0,IF(E404=0,F404,VLOOKUP($A404,'Fleet register'!$A$7:$S$106,12,FALSE)+VLOOKUP($A404,'Fleet register'!$A$7:$S$106,13,FALSE)*MAX(0,VLOOKUP($A404,'Fleet register'!$A$7:$S$106,10,FALSE)-E404)/VLOOKUP($A404,'Fleet register'!$A$7:$S$106,14,FALSE))),"n.a.")</f>
        <v>0</v>
      </c>
      <c r="I404" s="16">
        <f>IF(C404=0,0,IF(E404=120,0,IF('Replacement plan'!$AI$106="",'Operating costs'!$B$56,'Replacement plan'!$AI$106)))</f>
        <v>0</v>
      </c>
      <c r="J404" s="16">
        <f>IF(C404=0,0,IF(P404="Complete",((S404*(R404-'Operating costs'!$B$39))+ROUNDUP(S404*(R404-'Operating costs'!$B$39)*IF('Replacement plan'!$AG$106="",'Operating costs'!$B$7,'Replacement plan'!$AG$106)/('Operating costs'!$B$8-'Operating costs'!$B$9*IF('Replacement plan'!$AG$106="",'Operating costs'!$B$7,'Replacement plan'!$AG$106)),0)*'Operating costs'!$B$9)*IF('Replacement plan'!$AG$106="",'Operating costs'!$B$7,'Replacement plan'!$AG$106)*('Energy and charging'!$B$9*'Energy and charging'!$B$7+(1-'Energy and charging'!$B$9)*'Energy and charging'!$B$8)*'Operating costs'!$B$23,"n.a."))</f>
        <v>0</v>
      </c>
      <c r="K404" s="16">
        <f>IF(C404=0,0,IF(P404="Complete",SUM('Operating costs'!$B$24,'Operating costs'!$B$27,'Operating costs'!$B$29,'Operating costs'!$B$31,'Operating costs'!$B$33,'Operating costs'!$B$34,'Operating costs'!$B$37,'Replacement plan'!$W$106)+'Operating costs'!$B$39*'Operating costs'!$B$42+ROUNDUP(S404*(R404-'Operating costs'!$B$39)*IF('Replacement plan'!$AG$106="",'Operating costs'!$B$7,'Replacement plan'!$AG$106)/('Operating costs'!$B$8-'Operating costs'!$B$9*IF('Replacement plan'!$AG$106="",'Operating costs'!$B$7,'Replacement plan'!$AG$106)),0)*('Operating costs'!$B$9/'Operating costs'!$B$11+'Operating costs'!$B$10/60)*'Operating costs'!$B$19*'Operating costs'!$B$21,"n.a."))</f>
        <v>0</v>
      </c>
      <c r="L404" s="16">
        <f>IF(C404=0,0,IF(P404="Complete",IF(D404="EV",X404*((1-T404)*'Energy and charging'!$B$10+T404*'Energy and charging'!$B$11)*'Operating costs'!$B$22,AA404*('Energy and charging'!$B$9*'Energy and charging'!$B$7+(1-'Energy and charging'!$B$9)*'Energy and charging'!$B$8)*'Operating costs'!$B$23),"n.a."))</f>
        <v>0</v>
      </c>
      <c r="M404" s="37">
        <f>IF(C404=0,0,IF(P404="Complete",IF(D404="ICE",SUM('Operating costs'!$B$25,'Operating costs'!$B$27,'Operating costs'!$B$29,'Operating costs'!$B$31,'Operating costs'!$B$33,'Operating costs'!$B$35,'Operating costs'!$B$37,'Replacement plan'!$X$106)+'Operating costs'!$B$40*'Operating costs'!$B$42+ROUNDUP(S404*(R404-'Operating costs'!$B$40)*IF('Replacement plan'!$AH$106="",'Operating costs'!$B$7,'Replacement plan'!$AH$106)/('Operating costs'!$B$8-'Operating costs'!$B$9*IF('Replacement plan'!$AH$106="",'Operating costs'!$B$7,'Replacement plan'!$AH$106)),0)*('Operating costs'!$B$9/'Operating costs'!$B$11+'Operating costs'!$B$10/60)*'Operating costs'!$B$19*'Operating costs'!$B$21,SUM(AP404,'Operating costs'!$B$28,'Operating costs'!$B$30,'Operating costs'!$B$32,'Operating costs'!$B$33,'Operating costs'!$B$36,'Operating costs'!$B$38,'Replacement plan'!$Y$106)+'Operating costs'!$B$41*'Operating costs'!$B$43+W404*'Operating costs'!$B$15+(T404*X404/'Replacement plan'!$L$106+W404*('Operating costs'!$B$12/'Operating costs'!$B$11+('Operating costs'!$B$13+'Operating costs'!$B$14)/60)+(R404-'Operating costs'!$B$41)*(IF(T404&lt;1,'Operating costs'!$B$16,0)+'Operating costs'!$B$17)/60)*'Operating costs'!$B$19*'Operating costs'!$B$20),"n.a."))</f>
        <v>0</v>
      </c>
      <c r="N404" s="16">
        <f>IF(AND(C404=1,D404="EV",E404&lt;120,E404+'Replacement plan'!$AA$106&lt;=120),'Replacement plan'!$Z$106,0)</f>
        <v>0</v>
      </c>
      <c r="O404" s="1">
        <f>E404+'Replacement plan'!$AA$106</f>
        <v>0</v>
      </c>
      <c r="P404" s="35" t="str">
        <f>IFERROR(IF(C404=0,"Excluded",IF(OR(COUNTIFS('Fleet register'!$A$7:$A$106,A404)&lt;&gt;1,COUNTIFS('Replacement plan'!$A$7:$A$106,A404)&lt;&gt;1),"Duplicate/missing ID",IF(NOT(AND(ISNUMBER(VLOOKUP($A404,'Fleet register'!$A$7:$S$106,5,FALSE)),ISNUMBER(VLOOKUP($A404,'Fleet register'!$A$7:$S$106,6,FALSE)),ISNUMBER(VLOOKUP($A404,'Fleet register'!$A$7:$S$106,10,FALSE)),ISNUMBER(VLOOKUP($A404,'Fleet register'!$A$7:$S$106,11,FALSE)),ISNUMBER(VLOOKUP($A404,'Fleet register'!$A$7:$S$106,12,FALSE)),ISNUMBER(VLOOKUP($A404,'Fleet register'!$A$7:$S$106,13,FALSE)),ISNUMBER(VLOOKUP($A404,'Fleet register'!$A$7:$S$106,14,FALSE)),VLOOKUP($A404,'Fleet register'!$A$7:$S$106,14,FALSE)&gt;0,ISNUMBER('Replacement plan'!$C$106),OR(E404=120,OR(ISNUMBER('Replacement plan'!$AI$106),AND('Replacement plan'!$AI$106="",ISNUMBER('Operating costs'!$B$56)))),ISNUMBER(E404))),"Missing vehicle input",IF(OR(E404&lt;0,E404&gt;VLOOKUP($A404,'Fleet register'!$A$7:$S$106,10,FALSE),E404&gt;120,E404&lt;&gt;INT(E404),VLOOKUP($A404,'Fleet register'!$A$7:$S$106,6,FALSE)&lt;=0,VLOOKUP($A404,'Fleet register'!$A$7:$S$106,6,FALSE)&gt;366,VLOOKUP($A404,'Fleet register'!$A$7:$S$106,5,FALSE)&lt;0,VLOOKUP($A404,'Fleet register'!$A$7:$S$106,11,FALSE)&lt;0,I404&lt;0,'Operating costs'!$B$8&lt;='Operating costs'!$B$7*'Operating costs'!$B$9,'Operating costs'!$B$11&lt;=0,'Operating costs'!$B$39&gt;R404,'Operating costs'!$B$40&gt;R404,'Operating costs'!$B$41&gt;R404,NOT(OR("New ICE"="Keep ICE","New ICE"="New ICE","New ICE"="EV"))),"Invalid vehicle input",IF(AND(D404="EV",E404&lt;120,OR(NOT(ISNUMBER(U404)),NOT(ISNUMBER(V404)),V404&lt;=0,T404&lt;0,T404&gt;1,'Replacement plan'!$L$106&lt;=0,'Operating costs'!$B$44&lt;0,'Operating costs'!$B$44&gt;=1,'Operating costs'!$B$47&lt;=0,'Operating costs'!$B$47&gt;1,V404*'Operating costs'!$B$47/(1-'Operating costs'!$B$44)&lt;=T404*'Operating costs'!$B$12*U404,AND('Replacement plan'!$Z$106&gt;0,OR('Replacement plan'!$AB$106&lt;&gt;"Yes",'Operating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charging'!$B$8&gt;=0))),ISNUMBER(VLOOKUP($A404,'Fleet register'!$A$7:$S$106,15,FALSE)),ISNUMBER(VLOOKUP($A404,'Fleet register'!$A$7:$S$106,16,FALSE)),ISNUMBER('Replacement plan'!$W$106),ISNUMBER('Replacement plan'!$X$106),OR(E404=120,AND(ISNUMBER(G404),G404&gt;=0)),ISNUMBER(H404),H404&gt;=0,OR(D404&lt;&gt;"EV",E404=120,AND(ISNUMBER('Operating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average",ISNUMBER(IFERROR(INDEX(Products!$P$7:$P$13,MATCH(AD404,Products!$A$7:$A$13,0)),"")))),ISNUMBER('Operating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plan'!$Y$106),ISNUMBER('Replacement plan'!$Z$106),'Replacement plan'!$Z$106&gt;=0,ISNUMBER('Replacement plan'!$AA$106),'Replacement plan'!$AA$106&gt;=0,'Replacement plan'!$AA$106=INT('Replacement plan'!$AA$106),ISNUMBER('Replacement plan'!$L$106))),'Operating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plan'!$AG$106="",'Operating costs'!$B$7,'Replacement plan'!$AG$106)),IF('Replacement plan'!$AG$106="",'Operating costs'!$B$7,'Replacement plan'!$AG$106)&gt;=0,ISNUMBER(IF('Replacement plan'!$AH$106="",'Operating costs'!$B$7,'Replacement plan'!$AH$106)),IF('Replacement plan'!$AH$106="",'Operating costs'!$B$7,'Replacement plan'!$AH$106)&gt;=0,'Operating costs'!$B$8&gt;MAX(IF('Replacement plan'!$AG$106="",'Operating costs'!$B$7,'Replacement plan'!$AG$106),IF('Replacement plan'!$AH$106="",'Operating costs'!$B$7,'Replacement plan'!$AH$106))*'Operating costs'!$B$9),IF(AND(VLOOKUP($A404,'Fleet register'!$A$7:$S$106,10,FALSE)&gt;=0,VLOOKUP($A404,'Fleet register'!$A$7:$S$106,10,FALSE)&lt;=120,VLOOKUP($A404,'Fleet register'!$A$7:$S$106,10,FALSE)=INT(VLOOKUP($A404,'Fleet register'!$A$7:$S$106,10,FALSE)),VLOOKUP($A404,'Fleet register'!$A$7:$S$106,15,FALSE)&gt;=0,VLOOKUP($A404,'Fleet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costs'!$B$67)&gt;=0,OR(D404&lt;&gt;"EV",E404=120,AND(MIN('Operating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404" s="1" t="str">
        <f>IF(C404=0,"Excluded",IF(P404&lt;&gt;"Complete",P404,IF(OR('Replacement plan'!$AD$106&lt;120-E404,AND(D404="EV",E404&lt;120,OR('Replacement plan'!$AC$106&lt;120-E404,'Replacement plan'!$I$106="No",AND(ISNUMBER(AF404),AE404&gt;AF404),AI404&gt;V404*(1-'Operating costs'!$B$46)^MAX(0,AB404-1)*(1-'Operating costs'!$B$45),AC404&gt;'Operating costs'!$B$18,AND(T404&lt;1,OR(AG404&lt;=0,AND(ISNUMBER(AH404),AG404&gt;AH404))),'Replacement plan'!$L$106&gt;INDEX(Products!$H$7:$H$13,MATCH('Replacement plan'!$B$106,Products!$A$7:$A$13,0))))),"Fails entered limits",IF(AND(D404="EV",E404&lt;120,OR(NOT(ISNUMBER(VLOOKUP($A404,'Fleet register'!$A$7:$S$106,7,FALSE))),NOT(ISNUMBER(VLOOKUP($A404,'Fleet register'!$A$7:$S$106,8,FALSE))),NOT(ISNUMBER(AF404)),'Replacement plan'!$I$106&lt;&gt;"Yes",NOT(ISNUMBER(AH404)),'Operating costs'!$B$59&lt;&gt;"Yes",'Operating costs'!$B$58&lt;&gt;"Yes")),"Unverified","Within entered limits"))))</f>
        <v>Excluded</v>
      </c>
      <c r="R404" s="1">
        <f>IF(C404=0,0,VLOOKUP($A404,'Fleet register'!$A$7:$S$106,6,FALSE))</f>
        <v>0</v>
      </c>
      <c r="S404" s="1">
        <f>IF(C404=0,0,VLOOKUP($A404,'Fleet register'!$A$7:$S$106,5,FALSE))</f>
        <v>0</v>
      </c>
      <c r="T404" s="1">
        <f>IF(D404="EV",'Energy and charging'!$B$12,0)</f>
        <v>0</v>
      </c>
      <c r="U404" s="1">
        <f>IFERROR(IF(C404=0,0,IF(D404="EV",IF('Replacement plan'!$F$106="",INDEX(Products!$E$7:$E$13,MATCH('Replacement plan'!$B$106,Products!$A$7:$A$13,0)),'Replacement plan'!$F$106)/IF('Replacement plan'!$G$106="Battery",1-'Operating costs'!$B$44,1),0)),"n.a.")</f>
        <v>0</v>
      </c>
      <c r="V404" s="1">
        <f>IFERROR(IF(C404=0,0,IF(D404="EV",IF('Replacement plan'!$E$106="",INDEX(Products!$D$7:$D$13,MATCH('Replacement plan'!$B$106,Products!$A$7:$A$13,0)),'Replacement plan'!$E$106),0)),"n.a.")</f>
        <v>0</v>
      </c>
      <c r="W404" s="1">
        <f>IF(C404=0,0,IF(AND(P404="Complete",D404="EV",E404&lt;120),IF(T404=0,0,ROUNDUP(T404*(R404-'Operating costs'!$B$41)*(S404*U404+'Operating costs'!$B$48/(1-'Operating costs'!$B$44))/(V404*'Operating costs'!$B$47/(1-'Operating costs'!$B$44)-T404*'Operating costs'!$B$12*U404),0)),0))</f>
        <v>0</v>
      </c>
      <c r="X404" s="1">
        <f>IF(C404=0,0,IF(AND(P404="Complete",D404="EV",E404&lt;120),(R404-'Operating costs'!$B$41)*(S404*U404+'Operating costs'!$B$48/(1-'Operating costs'!$B$44))+W404*'Operating costs'!$B$12*U404,0))</f>
        <v>0</v>
      </c>
      <c r="Y404" s="1">
        <f>IF(AND(C404=1,D404="EV",E404&lt;120),AI404/(1-'Operating costs'!$B$44)*(1-T404),0)</f>
        <v>0</v>
      </c>
      <c r="Z404" s="1">
        <f t="shared" si="12"/>
        <v>0</v>
      </c>
      <c r="AA404" s="1">
        <f>IF(C404=0,0,IF(P404="Complete",((S404*(R404-'Operating costs'!$B$40))+ROUNDUP(S404*(R404-'Operating costs'!$B$40)*IF('Replacement plan'!$AH$106="",'Operating costs'!$B$7,'Replacement plan'!$AH$106)/('Operating costs'!$B$8-'Operating costs'!$B$9*IF('Replacement plan'!$AH$106="",'Operating costs'!$B$7,'Replacement plan'!$AH$106)),0)*'Operating costs'!$B$9)*IF('Replacement plan'!$AH$106="",'Operating costs'!$B$7,'Replacement plan'!$AH$106),"n.a."))</f>
        <v>0</v>
      </c>
      <c r="AB404" s="1">
        <f t="shared" si="13"/>
        <v>0</v>
      </c>
      <c r="AC404" s="1">
        <f>IF(AND(C404=1,D404="EV",E404&lt;120,T404&gt;0),'Operating costs'!$B$12/'Operating costs'!$B$11*60+'Operating costs'!$B$13+'Operating costs'!$B$14+V404*'Operating costs'!$B$47/(1-'Operating costs'!$B$44)/'Replacement plan'!$L$106*60,0)</f>
        <v>0</v>
      </c>
      <c r="AD404" s="1" t="str">
        <f>'Replacement plan'!$B$106</f>
        <v>ChengLong L2EV</v>
      </c>
      <c r="AE404" s="1">
        <f>IF(C404=0,0,VLOOKUP($A404,'Fleet register'!$A$7:$S$106,8,FALSE))</f>
        <v>0</v>
      </c>
      <c r="AF404" s="1" t="str">
        <f>IF('Replacement plan'!$H$106="","n.a.",'Replacement plan'!$H$106)</f>
        <v>n.a.</v>
      </c>
      <c r="AG404" s="1">
        <f>'Replacement plan'!$J$106</f>
        <v>22</v>
      </c>
      <c r="AH404" s="1">
        <f>IFERROR(IF(D404="EV",IF('Replacement plan'!$K$106="AC",IF(ISNUMBER(INDEX(Products!$G$7:$G$13,MATCH('Replacement plan'!$B$106,Products!$A$7:$A$13,0))),INDEX(Products!$G$7:$G$13,MATCH('Replacement plan'!$B$106,Products!$A$7:$A$13,0)),"n.a."),IF(ISNUMBER(INDEX(Products!$H$7:$H$13,MATCH('Replacement plan'!$B$106,Products!$A$7:$A$13,0))),INDEX(Products!$H$7:$H$13,MATCH('Replacement plan'!$B$106,Products!$A$7:$A$13,0)),"n.a.")),0),"n.a.")</f>
        <v>0</v>
      </c>
      <c r="AI404" s="1">
        <f>IF(AND(C404=1,D404="EV",E404&lt;120),(VLOOKUP($A404,'Fleet register'!$A$7:$S$106,7,FALSE)+IF(T404&gt;0,'Operating costs'!$B$12,0))*U404*(1-'Operating costs'!$B$44)+'Operating costs'!$B$49,0)</f>
        <v>0</v>
      </c>
      <c r="AJ404" s="1">
        <f>IF(D404="EV",'Energy and charging'!$B$50,0)</f>
        <v>0</v>
      </c>
      <c r="AK404" s="17">
        <f>EDATE('Operating costs'!$B$63,E404)</f>
        <v>46298</v>
      </c>
      <c r="AL404" s="1">
        <f>IFERROR(IF(D404="EV",INDEX(Products!$B$7:$B$13,MATCH('Replacement plan'!$B$106,Products!$A$7:$A$13,0)),0),"n.a.")</f>
        <v>0</v>
      </c>
      <c r="AM404" s="1" t="str">
        <f>'Replacement plan'!$K$106</f>
        <v>DC</v>
      </c>
      <c r="AN404" s="1" t="str">
        <f>'Replacement plan'!$AE$106</f>
        <v>Assumed</v>
      </c>
      <c r="AO404" s="47">
        <f>IF(AND(C404=1,D404="EV",E404&lt;120),(R404-'Operating costs'!$B$41)*S404+W404*'Operating costs'!$B$12,0)</f>
        <v>0</v>
      </c>
      <c r="AP404" s="41">
        <f>IF(AND(C404=1,D404="EV",E404&lt;120),IF('Operating costs'!$B$68="Hong Seh 200k average",AO404*IFERROR(INDEX(Products!$P$7:$P$13,MATCH(AD404,Products!$A$7:$A$13,0)),"n.a."),'Operating costs'!$B$26),0)</f>
        <v>0</v>
      </c>
      <c r="AQ404" s="40" t="str">
        <f>IF(D404="EV",'Operating costs'!$B$68,"Not applicable")</f>
        <v>Not applicable</v>
      </c>
    </row>
    <row r="405" spans="1:43" ht="24" customHeight="1">
      <c r="A405" s="1" t="str">
        <f>'Replacement plan'!A106</f>
        <v>T100</v>
      </c>
      <c r="B405" s="1">
        <v>2</v>
      </c>
      <c r="C405" s="1">
        <f>IF(COUNTIFS('Fleet register'!$A$7:$A$106,$A405)=1,VLOOKUP($A405,'Fleet register'!$A$7:$S$106,2,FALSE),0)</f>
        <v>0</v>
      </c>
      <c r="D405" s="1" t="str">
        <f>IF('Replacement plan'!$O$106="EV","EV","ICE")</f>
        <v>ICE</v>
      </c>
      <c r="E405" s="1">
        <f>IF(C405=0,0,IF('Replacement plan'!$P$106="",IF('Replacement plan'!$O$106="Keep ICE",IF('Replacement plan'!$M$106="",VLOOKUP($A405,'Fleet register'!$A$7:$S$106,10,FALSE),'Replacement plan'!$M$106),0),'Replacement plan'!$P$106))</f>
        <v>0</v>
      </c>
      <c r="F405" s="16">
        <f>IF(C405=0,0,VLOOKUP($A405,'Fleet register'!$A$7:$S$106,11,FALSE))</f>
        <v>0</v>
      </c>
      <c r="G405" s="16">
        <f>IFERROR(IF(C405=0,0,IF(E405=120,0,IF(D405="ICE",'Replacement plan'!$C$106,IF('Replacement plan'!$D$106="",INDEX(Products!$I$7:$I$13,MATCH('Replacement plan'!$B$106,Products!$A$7:$A$13,0))+'Operating costs'!$B$57,'Replacement plan'!$D$106))*(1+'Operating costs'!$B$50)^(E405/12))),"n.a.")</f>
        <v>0</v>
      </c>
      <c r="H405" s="16">
        <f>IFERROR(IF(C405=0,0,IF('Replacement plan'!$U$106&lt;&gt;"",'Replacement plan'!$U$106,IF(E405=0,F405,VLOOKUP($A405,'Fleet register'!$A$7:$S$106,12,FALSE)+VLOOKUP($A405,'Fleet register'!$A$7:$S$106,13,FALSE)*MAX(0,VLOOKUP($A405,'Fleet register'!$A$7:$S$106,10,FALSE)-E405)/VLOOKUP($A405,'Fleet register'!$A$7:$S$106,14,FALSE)))),"n.a.")</f>
        <v>0</v>
      </c>
      <c r="I405" s="16">
        <f>IF(C405=0,0,IF(E405=120,0,'Replacement plan'!$Q$106))</f>
        <v>0</v>
      </c>
      <c r="J405" s="16">
        <f>IF(C405=0,0,IF(P405="Complete",((S405*(R405-'Operating costs'!$B$39))+ROUNDUP(S405*(R405-'Operating costs'!$B$39)*IF('Replacement plan'!$AG$106="",'Operating costs'!$B$7,'Replacement plan'!$AG$106)/('Operating costs'!$B$8-'Operating costs'!$B$9*IF('Replacement plan'!$AG$106="",'Operating costs'!$B$7,'Replacement plan'!$AG$106)),0)*'Operating costs'!$B$9)*IF('Replacement plan'!$AG$106="",'Operating costs'!$B$7,'Replacement plan'!$AG$106)*('Energy and charging'!$B$9*'Energy and charging'!$B$7+(1-'Energy and charging'!$B$9)*'Energy and charging'!$B$8)*'Operating costs'!$B$23,"n.a."))</f>
        <v>0</v>
      </c>
      <c r="K405" s="16">
        <f>IF(C405=0,0,IF(P405="Complete",SUM('Operating costs'!$B$24,'Operating costs'!$B$27,'Operating costs'!$B$29,'Operating costs'!$B$31,'Operating costs'!$B$33,'Operating costs'!$B$34,'Operating costs'!$B$37,'Replacement plan'!$W$106)+'Operating costs'!$B$39*'Operating costs'!$B$42+ROUNDUP(S405*(R405-'Operating costs'!$B$39)*IF('Replacement plan'!$AG$106="",'Operating costs'!$B$7,'Replacement plan'!$AG$106)/('Operating costs'!$B$8-'Operating costs'!$B$9*IF('Replacement plan'!$AG$106="",'Operating costs'!$B$7,'Replacement plan'!$AG$106)),0)*('Operating costs'!$B$9/'Operating costs'!$B$11+'Operating costs'!$B$10/60)*'Operating costs'!$B$19*'Operating costs'!$B$21,"n.a."))</f>
        <v>0</v>
      </c>
      <c r="L405" s="16">
        <f>IF(C405=0,0,IF(P405="Complete",IF(D405="EV",X405*((1-T405)*'Energy and charging'!$B$10+T405*'Energy and charging'!$B$11)*'Operating costs'!$B$22,AA405*('Energy and charging'!$B$9*'Energy and charging'!$B$7+(1-'Energy and charging'!$B$9)*'Energy and charging'!$B$8)*'Operating costs'!$B$23),"n.a."))</f>
        <v>0</v>
      </c>
      <c r="M405" s="37">
        <f>IF(C405=0,0,IF(P405="Complete",IF(D405="ICE",SUM('Operating costs'!$B$25,'Operating costs'!$B$27,'Operating costs'!$B$29,'Operating costs'!$B$31,'Operating costs'!$B$33,'Operating costs'!$B$35,'Operating costs'!$B$37,'Replacement plan'!$X$106)+'Operating costs'!$B$40*'Operating costs'!$B$42+ROUNDUP(S405*(R405-'Operating costs'!$B$40)*IF('Replacement plan'!$AH$106="",'Operating costs'!$B$7,'Replacement plan'!$AH$106)/('Operating costs'!$B$8-'Operating costs'!$B$9*IF('Replacement plan'!$AH$106="",'Operating costs'!$B$7,'Replacement plan'!$AH$106)),0)*('Operating costs'!$B$9/'Operating costs'!$B$11+'Operating costs'!$B$10/60)*'Operating costs'!$B$19*'Operating costs'!$B$21,SUM(AP405,'Operating costs'!$B$28,'Operating costs'!$B$30,'Operating costs'!$B$32,'Operating costs'!$B$33,'Operating costs'!$B$36,'Operating costs'!$B$38,'Replacement plan'!$Y$106)+'Operating costs'!$B$41*'Operating costs'!$B$43+W405*'Operating costs'!$B$15+(T405*X405/'Replacement plan'!$L$106+W405*('Operating costs'!$B$12/'Operating costs'!$B$11+('Operating costs'!$B$13+'Operating costs'!$B$14)/60)+(R405-'Operating costs'!$B$41)*(IF(T405&lt;1,'Operating costs'!$B$16,0)+'Operating costs'!$B$17)/60)*'Operating costs'!$B$19*'Operating costs'!$B$20),"n.a."))</f>
        <v>0</v>
      </c>
      <c r="N405" s="16">
        <f>IF(AND(C405=1,D405="EV",E405&lt;120,E405+'Replacement plan'!$AA$106&lt;=120),'Replacement plan'!$Z$106,0)</f>
        <v>0</v>
      </c>
      <c r="O405" s="1">
        <f>E405+'Replacement plan'!$AA$106</f>
        <v>0</v>
      </c>
      <c r="P405" s="35" t="str">
        <f>IFERROR(IF(C405=0,"Excluded",IF(OR(COUNTIFS('Fleet register'!$A$7:$A$106,A405)&lt;&gt;1,COUNTIFS('Replacement plan'!$A$7:$A$106,A405)&lt;&gt;1),"Duplicate/missing ID",IF(NOT(AND(ISNUMBER(VLOOKUP($A405,'Fleet register'!$A$7:$S$106,5,FALSE)),ISNUMBER(VLOOKUP($A405,'Fleet register'!$A$7:$S$106,6,FALSE)),ISNUMBER(VLOOKUP($A405,'Fleet register'!$A$7:$S$106,10,FALSE)),ISNUMBER(VLOOKUP($A405,'Fleet register'!$A$7:$S$106,11,FALSE)),ISNUMBER(VLOOKUP($A405,'Fleet register'!$A$7:$S$106,12,FALSE)),ISNUMBER(VLOOKUP($A405,'Fleet register'!$A$7:$S$106,13,FALSE)),ISNUMBER(VLOOKUP($A405,'Fleet register'!$A$7:$S$106,14,FALSE)),VLOOKUP($A405,'Fleet register'!$A$7:$S$106,14,FALSE)&gt;0,ISNUMBER('Replacement plan'!$C$106),OR(E405=120,ISNUMBER('Replacement plan'!$Q$106)),ISNUMBER(E405))),"Missing vehicle input",IF(OR(E405&lt;0,E405&gt;VLOOKUP($A405,'Fleet register'!$A$7:$S$106,10,FALSE),E405&gt;120,E405&lt;&gt;INT(E405),VLOOKUP($A405,'Fleet register'!$A$7:$S$106,6,FALSE)&lt;=0,VLOOKUP($A405,'Fleet register'!$A$7:$S$106,6,FALSE)&gt;366,VLOOKUP($A405,'Fleet register'!$A$7:$S$106,5,FALSE)&lt;0,VLOOKUP($A405,'Fleet register'!$A$7:$S$106,11,FALSE)&lt;0,I405&lt;0,'Operating costs'!$B$8&lt;='Operating costs'!$B$7*'Operating costs'!$B$9,'Operating costs'!$B$11&lt;=0,'Operating costs'!$B$39&gt;R405,'Operating costs'!$B$40&gt;R405,'Operating costs'!$B$41&gt;R405,NOT(OR('Replacement plan'!$O$106="Keep ICE",'Replacement plan'!$O$106="New ICE",'Replacement plan'!$O$106="EV"))),"Invalid vehicle input",IF(AND(D405="EV",E405&lt;120,OR(NOT(ISNUMBER(U405)),NOT(ISNUMBER(V405)),V405&lt;=0,T405&lt;0,T405&gt;1,'Replacement plan'!$L$106&lt;=0,'Operating costs'!$B$44&lt;0,'Operating costs'!$B$44&gt;=1,'Operating costs'!$B$47&lt;=0,'Operating costs'!$B$47&gt;1,V405*'Operating costs'!$B$47/(1-'Operating costs'!$B$44)&lt;=T405*'Operating costs'!$B$12*U405,AND('Replacement plan'!$Z$106&gt;0,OR('Replacement plan'!$AB$106&lt;&gt;"Yes",'Operating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charging'!$B$9),'Energy and charging'!$B$9&gt;=0,'Energy and charging'!$B$9&lt;=1,OR('Energy and charging'!$B$9=0,AND(ISNUMBER('Energy and charging'!$B$7),'Energy and charging'!$B$7&gt;=0)),OR('Energy and charging'!$B$9=1,AND(ISNUMBER('Energy and charging'!$B$8),'Energy and charging'!$B$8&gt;=0))),ISNUMBER(VLOOKUP($A405,'Fleet register'!$A$7:$S$106,15,FALSE)),ISNUMBER(VLOOKUP($A405,'Fleet register'!$A$7:$S$106,16,FALSE)),ISNUMBER('Replacement plan'!$W$106),ISNUMBER('Replacement plan'!$X$106),OR(E405=120,AND(ISNUMBER(G405),G405&gt;=0)),ISNUMBER(H405),H405&gt;=0,OR(D405&lt;&gt;"EV",E405=120,AND(ISNUMBER('Operating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average",ISNUMBER(IFERROR(INDEX(Products!$P$7:$P$13,MATCH(AD405,Products!$A$7:$A$13,0)),"")))),ISNUMBER('Operating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charging'!$B$12),AND(ISNUMBER(1-'Energy and charging'!$B$12),1-'Energy and charging'!$B$12&gt;=0,1-'Energy and charging'!$B$12&lt;=1,OR(1-'Energy and charging'!$B$12=0,AND(ISNUMBER('Energy and charging'!$B$10),'Energy and charging'!$B$10&gt;=0)),OR(1-'Energy and charging'!$B$12=1,AND(ISNUMBER('Energy and charging'!$B$11),'Energy and charging'!$B$11&gt;=0))),ISNUMBER('Replacement plan'!$Y$106),ISNUMBER('Replacement plan'!$Z$106),'Replacement plan'!$Z$106&gt;=0,ISNUMBER('Replacement plan'!$AA$106),'Replacement plan'!$AA$106&gt;=0,'Replacement plan'!$AA$106=INT('Replacement plan'!$AA$106),ISNUMBER('Replacement plan'!$L$106))),'Operating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plan'!$AG$106="",'Operating costs'!$B$7,'Replacement plan'!$AG$106)),IF('Replacement plan'!$AG$106="",'Operating costs'!$B$7,'Replacement plan'!$AG$106)&gt;=0,ISNUMBER(IF('Replacement plan'!$AH$106="",'Operating costs'!$B$7,'Replacement plan'!$AH$106)),IF('Replacement plan'!$AH$106="",'Operating costs'!$B$7,'Replacement plan'!$AH$106)&gt;=0,'Operating costs'!$B$8&gt;MAX(IF('Replacement plan'!$AG$106="",'Operating costs'!$B$7,'Replacement plan'!$AG$106),IF('Replacement plan'!$AH$106="",'Operating costs'!$B$7,'Replacement plan'!$AH$106))*'Operating costs'!$B$9),IF(AND(VLOOKUP($A405,'Fleet register'!$A$7:$S$106,10,FALSE)&gt;=0,VLOOKUP($A405,'Fleet register'!$A$7:$S$106,10,FALSE)&lt;=120,VLOOKUP($A405,'Fleet register'!$A$7:$S$106,10,FALSE)=INT(VLOOKUP($A405,'Fleet register'!$A$7:$S$106,10,FALSE)),VLOOKUP($A405,'Fleet register'!$A$7:$S$106,15,FALSE)&gt;=0,VLOOKUP($A405,'Fleet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costs'!$B$67)&gt;=0,OR(D405&lt;&gt;"EV",E405=120,AND(MIN('Operating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405" s="1" t="str">
        <f>IF(C405=0,"Excluded",IF(P405&lt;&gt;"Complete",P405,IF(OR('Replacement plan'!$AD$106&lt;120-E405,AND(D405="EV",E405&lt;120,OR('Replacement plan'!$AC$106&lt;120-E405,'Replacement plan'!$I$106="No",AND(ISNUMBER(AF405),AE405&gt;AF405),AI405&gt;V405*(1-'Operating costs'!$B$46)^MAX(0,AB405-1)*(1-'Operating costs'!$B$45),AC405&gt;'Operating costs'!$B$18,AND(T405&lt;1,OR(AG405&lt;=0,AND(ISNUMBER(AH405),AG405&gt;AH405))),'Replacement plan'!$L$106&gt;INDEX(Products!$H$7:$H$13,MATCH('Replacement plan'!$B$106,Products!$A$7:$A$13,0))))),"Fails entered limits",IF(AND(D405="EV",E405&lt;120,OR(NOT(ISNUMBER(VLOOKUP($A405,'Fleet register'!$A$7:$S$106,7,FALSE))),NOT(ISNUMBER(VLOOKUP($A405,'Fleet register'!$A$7:$S$106,8,FALSE))),NOT(ISNUMBER(AF405)),'Replacement plan'!$I$106&lt;&gt;"Yes",NOT(ISNUMBER(AH405)),'Operating costs'!$B$59&lt;&gt;"Yes",'Operating costs'!$B$58&lt;&gt;"Yes")),"Unverified","Within entered limits"))))</f>
        <v>Excluded</v>
      </c>
      <c r="R405" s="1">
        <f>IF(C405=0,0,VLOOKUP($A405,'Fleet register'!$A$7:$S$106,6,FALSE))</f>
        <v>0</v>
      </c>
      <c r="S405" s="1">
        <f>IF(C405=0,0,VLOOKUP($A405,'Fleet register'!$A$7:$S$106,5,FALSE))</f>
        <v>0</v>
      </c>
      <c r="T405" s="1">
        <f>IF(D405="EV",'Energy and charging'!$B$12,0)</f>
        <v>0</v>
      </c>
      <c r="U405" s="1">
        <f>IFERROR(IF(C405=0,0,IF(D405="EV",IF('Replacement plan'!$F$106="",INDEX(Products!$E$7:$E$13,MATCH('Replacement plan'!$B$106,Products!$A$7:$A$13,0)),'Replacement plan'!$F$106)/IF('Replacement plan'!$G$106="Battery",1-'Operating costs'!$B$44,1),0)),"n.a.")</f>
        <v>0</v>
      </c>
      <c r="V405" s="1">
        <f>IFERROR(IF(C405=0,0,IF(D405="EV",IF('Replacement plan'!$E$106="",INDEX(Products!$D$7:$D$13,MATCH('Replacement plan'!$B$106,Products!$A$7:$A$13,0)),'Replacement plan'!$E$106),0)),"n.a.")</f>
        <v>0</v>
      </c>
      <c r="W405" s="1">
        <f>IF(C405=0,0,IF(AND(P405="Complete",D405="EV",E405&lt;120),IF(T405=0,0,ROUNDUP(T405*(R405-'Operating costs'!$B$41)*(S405*U405+'Operating costs'!$B$48/(1-'Operating costs'!$B$44))/(V405*'Operating costs'!$B$47/(1-'Operating costs'!$B$44)-T405*'Operating costs'!$B$12*U405),0)),0))</f>
        <v>0</v>
      </c>
      <c r="X405" s="1">
        <f>IF(C405=0,0,IF(AND(P405="Complete",D405="EV",E405&lt;120),(R405-'Operating costs'!$B$41)*(S405*U405+'Operating costs'!$B$48/(1-'Operating costs'!$B$44))+W405*'Operating costs'!$B$12*U405,0))</f>
        <v>0</v>
      </c>
      <c r="Y405" s="1">
        <f>IF(AND(C405=1,D405="EV",E405&lt;120),AI405/(1-'Operating costs'!$B$44)*(1-T405),0)</f>
        <v>0</v>
      </c>
      <c r="Z405" s="1">
        <f t="shared" si="12"/>
        <v>0</v>
      </c>
      <c r="AA405" s="1">
        <f>IF(C405=0,0,IF(P405="Complete",((S405*(R405-'Operating costs'!$B$40))+ROUNDUP(S405*(R405-'Operating costs'!$B$40)*IF('Replacement plan'!$AH$106="",'Operating costs'!$B$7,'Replacement plan'!$AH$106)/('Operating costs'!$B$8-'Operating costs'!$B$9*IF('Replacement plan'!$AH$106="",'Operating costs'!$B$7,'Replacement plan'!$AH$106)),0)*'Operating costs'!$B$9)*IF('Replacement plan'!$AH$106="",'Operating costs'!$B$7,'Replacement plan'!$AH$106),"n.a."))</f>
        <v>0</v>
      </c>
      <c r="AB405" s="1">
        <f t="shared" si="13"/>
        <v>0</v>
      </c>
      <c r="AC405" s="1">
        <f>IF(AND(C405=1,D405="EV",E405&lt;120,T405&gt;0),'Operating costs'!$B$12/'Operating costs'!$B$11*60+'Operating costs'!$B$13+'Operating costs'!$B$14+V405*'Operating costs'!$B$47/(1-'Operating costs'!$B$44)/'Replacement plan'!$L$106*60,0)</f>
        <v>0</v>
      </c>
      <c r="AD405" s="1" t="str">
        <f>'Replacement plan'!$B$106</f>
        <v>ChengLong L2EV</v>
      </c>
      <c r="AE405" s="1">
        <f>IF(C405=0,0,VLOOKUP($A405,'Fleet register'!$A$7:$S$106,8,FALSE))</f>
        <v>0</v>
      </c>
      <c r="AF405" s="1" t="str">
        <f>IF('Replacement plan'!$H$106="","n.a.",'Replacement plan'!$H$106)</f>
        <v>n.a.</v>
      </c>
      <c r="AG405" s="1">
        <f>'Replacement plan'!$J$106</f>
        <v>22</v>
      </c>
      <c r="AH405" s="1">
        <f>IFERROR(IF(D405="EV",IF('Replacement plan'!$K$106="AC",IF(ISNUMBER(INDEX(Products!$G$7:$G$13,MATCH('Replacement plan'!$B$106,Products!$A$7:$A$13,0))),INDEX(Products!$G$7:$G$13,MATCH('Replacement plan'!$B$106,Products!$A$7:$A$13,0)),"n.a."),IF(ISNUMBER(INDEX(Products!$H$7:$H$13,MATCH('Replacement plan'!$B$106,Products!$A$7:$A$13,0))),INDEX(Products!$H$7:$H$13,MATCH('Replacement plan'!$B$106,Products!$A$7:$A$13,0)),"n.a.")),0),"n.a.")</f>
        <v>0</v>
      </c>
      <c r="AI405" s="1">
        <f>IF(AND(C405=1,D405="EV",E405&lt;120),(VLOOKUP($A405,'Fleet register'!$A$7:$S$106,7,FALSE)+IF(T405&gt;0,'Operating costs'!$B$12,0))*U405*(1-'Operating costs'!$B$44)+'Operating costs'!$B$49,0)</f>
        <v>0</v>
      </c>
      <c r="AJ405" s="1">
        <f>IF(D405="EV",'Energy and charging'!$B$50,0)</f>
        <v>0</v>
      </c>
      <c r="AK405" s="17">
        <f>EDATE('Operating costs'!$B$63,E405)</f>
        <v>46298</v>
      </c>
      <c r="AL405" s="1">
        <f>IFERROR(IF(D405="EV",INDEX(Products!$B$7:$B$13,MATCH('Replacement plan'!$B$106,Products!$A$7:$A$13,0)),0),"n.a.")</f>
        <v>0</v>
      </c>
      <c r="AM405" s="1" t="str">
        <f>'Replacement plan'!$K$106</f>
        <v>DC</v>
      </c>
      <c r="AN405" s="1" t="str">
        <f>'Replacement plan'!$AE$106</f>
        <v>Assumed</v>
      </c>
      <c r="AO405" s="47">
        <f>IF(AND(C405=1,D405="EV",E405&lt;120),(R405-'Operating costs'!$B$41)*S405+W405*'Operating costs'!$B$12,0)</f>
        <v>0</v>
      </c>
      <c r="AP405" s="41">
        <f>IF(AND(C405=1,D405="EV",E405&lt;120),IF('Operating costs'!$B$68="Hong Seh 200k average",AO405*IFERROR(INDEX(Products!$P$7:$P$13,MATCH(AD405,Products!$A$7:$A$13,0)),"n.a."),'Operating costs'!$B$26),0)</f>
        <v>0</v>
      </c>
      <c r="AQ405" s="40" t="str">
        <f>IF(D405="EV",'Operating costs'!$B$68,"Not applicable")</f>
        <v>Not applicable</v>
      </c>
    </row>
    <row r="406" spans="1:43" ht="24" customHeight="1">
      <c r="A406" s="1" t="str">
        <f>'Replacement plan'!A106</f>
        <v>T100</v>
      </c>
      <c r="B406" s="1">
        <v>3</v>
      </c>
      <c r="C406" s="1">
        <f>IF(COUNTIFS('Fleet register'!$A$7:$A$106,$A406)=1,VLOOKUP($A406,'Fleet register'!$A$7:$S$106,2,FALSE),0)</f>
        <v>0</v>
      </c>
      <c r="D406" s="1" t="str">
        <f>IF('Replacement plan'!$R$106="EV","EV","ICE")</f>
        <v>ICE</v>
      </c>
      <c r="E406" s="1">
        <f>IF(C406=0,0,IF('Replacement plan'!$S$106="",IF('Replacement plan'!$R$106="Keep ICE",IF('Replacement plan'!$M$106="",VLOOKUP($A406,'Fleet register'!$A$7:$S$106,10,FALSE),'Replacement plan'!$M$106),0),'Replacement plan'!$S$106))</f>
        <v>0</v>
      </c>
      <c r="F406" s="16">
        <f>IF(C406=0,0,VLOOKUP($A406,'Fleet register'!$A$7:$S$106,11,FALSE))</f>
        <v>0</v>
      </c>
      <c r="G406" s="16">
        <f>IFERROR(IF(C406=0,0,IF(E406=120,0,IF(D406="ICE",'Replacement plan'!$C$106,IF('Replacement plan'!$D$106="",INDEX(Products!$I$7:$I$13,MATCH('Replacement plan'!$B$106,Products!$A$7:$A$13,0))+'Operating costs'!$B$57,'Replacement plan'!$D$106))*(1+'Operating costs'!$B$50)^(E406/12))),"n.a.")</f>
        <v>0</v>
      </c>
      <c r="H406" s="16">
        <f>IFERROR(IF(C406=0,0,IF('Replacement plan'!$V$106&lt;&gt;"",'Replacement plan'!$V$106,IF(E406=0,F406,VLOOKUP($A406,'Fleet register'!$A$7:$S$106,12,FALSE)+VLOOKUP($A406,'Fleet register'!$A$7:$S$106,13,FALSE)*MAX(0,VLOOKUP($A406,'Fleet register'!$A$7:$S$106,10,FALSE)-E406)/VLOOKUP($A406,'Fleet register'!$A$7:$S$106,14,FALSE)))),"n.a.")</f>
        <v>0</v>
      </c>
      <c r="I406" s="16">
        <f>IF(C406=0,0,IF(E406=120,0,'Replacement plan'!$T$106))</f>
        <v>0</v>
      </c>
      <c r="J406" s="16">
        <f>IF(C406=0,0,IF(P406="Complete",((S406*(R406-'Operating costs'!$B$39))+ROUNDUP(S406*(R406-'Operating costs'!$B$39)*IF('Replacement plan'!$AG$106="",'Operating costs'!$B$7,'Replacement plan'!$AG$106)/('Operating costs'!$B$8-'Operating costs'!$B$9*IF('Replacement plan'!$AG$106="",'Operating costs'!$B$7,'Replacement plan'!$AG$106)),0)*'Operating costs'!$B$9)*IF('Replacement plan'!$AG$106="",'Operating costs'!$B$7,'Replacement plan'!$AG$106)*('Energy and charging'!$C$9*'Energy and charging'!$C$7+(1-'Energy and charging'!$C$9)*'Energy and charging'!$C$8)*'Operating costs'!$B$23,"n.a."))</f>
        <v>0</v>
      </c>
      <c r="K406" s="16">
        <f>IF(C406=0,0,IF(P406="Complete",SUM('Operating costs'!$B$24,'Operating costs'!$B$27,'Operating costs'!$B$29,'Operating costs'!$B$31,'Operating costs'!$B$33,'Operating costs'!$B$34,'Operating costs'!$B$37,'Replacement plan'!$W$106)+'Operating costs'!$B$39*'Operating costs'!$B$42+ROUNDUP(S406*(R406-'Operating costs'!$B$39)*IF('Replacement plan'!$AG$106="",'Operating costs'!$B$7,'Replacement plan'!$AG$106)/('Operating costs'!$B$8-'Operating costs'!$B$9*IF('Replacement plan'!$AG$106="",'Operating costs'!$B$7,'Replacement plan'!$AG$106)),0)*('Operating costs'!$B$9/'Operating costs'!$B$11+'Operating costs'!$B$10/60)*'Operating costs'!$B$19*'Operating costs'!$B$21,"n.a."))</f>
        <v>0</v>
      </c>
      <c r="L406" s="16">
        <f>IF(C406=0,0,IF(P406="Complete",IF(D406="EV",X406*((1-T406)*'Energy and charging'!$C$10+T406*'Energy and charging'!$C$11)*'Operating costs'!$B$22,AA406*('Energy and charging'!$C$9*'Energy and charging'!$C$7+(1-'Energy and charging'!$C$9)*'Energy and charging'!$C$8)*'Operating costs'!$B$23),"n.a."))</f>
        <v>0</v>
      </c>
      <c r="M406" s="37">
        <f>IF(C406=0,0,IF(P406="Complete",IF(D406="ICE",SUM('Operating costs'!$B$25,'Operating costs'!$B$27,'Operating costs'!$B$29,'Operating costs'!$B$31,'Operating costs'!$B$33,'Operating costs'!$B$35,'Operating costs'!$B$37,'Replacement plan'!$X$106)+'Operating costs'!$B$40*'Operating costs'!$B$42+ROUNDUP(S406*(R406-'Operating costs'!$B$40)*IF('Replacement plan'!$AH$106="",'Operating costs'!$B$7,'Replacement plan'!$AH$106)/('Operating costs'!$B$8-'Operating costs'!$B$9*IF('Replacement plan'!$AH$106="",'Operating costs'!$B$7,'Replacement plan'!$AH$106)),0)*('Operating costs'!$B$9/'Operating costs'!$B$11+'Operating costs'!$B$10/60)*'Operating costs'!$B$19*'Operating costs'!$B$21,SUM(AP406,'Operating costs'!$B$28,'Operating costs'!$B$30,'Operating costs'!$B$32,'Operating costs'!$B$33,'Operating costs'!$B$36,'Operating costs'!$B$38,'Replacement plan'!$Y$106)+'Operating costs'!$B$41*'Operating costs'!$B$43+W406*'Operating costs'!$B$15+(T406*X406/'Replacement plan'!$L$106+W406*('Operating costs'!$B$12/'Operating costs'!$B$11+('Operating costs'!$B$13+'Operating costs'!$B$14)/60)+(R406-'Operating costs'!$B$41)*(IF(T406&lt;1,'Operating costs'!$B$16,0)+'Operating costs'!$B$17)/60)*'Operating costs'!$B$19*'Operating costs'!$B$20),"n.a."))</f>
        <v>0</v>
      </c>
      <c r="N406" s="16">
        <f>IF(AND(C406=1,D406="EV",E406&lt;120,E406+'Replacement plan'!$AA$106&lt;=120),'Replacement plan'!$Z$106,0)</f>
        <v>0</v>
      </c>
      <c r="O406" s="1">
        <f>E406+'Replacement plan'!$AA$106</f>
        <v>0</v>
      </c>
      <c r="P406" s="35" t="str">
        <f>IFERROR(IF(C406=0,"Excluded",IF(OR(COUNTIFS('Fleet register'!$A$7:$A$106,A406)&lt;&gt;1,COUNTIFS('Replacement plan'!$A$7:$A$106,A406)&lt;&gt;1),"Duplicate/missing ID",IF(NOT(AND(ISNUMBER(VLOOKUP($A406,'Fleet register'!$A$7:$S$106,5,FALSE)),ISNUMBER(VLOOKUP($A406,'Fleet register'!$A$7:$S$106,6,FALSE)),ISNUMBER(VLOOKUP($A406,'Fleet register'!$A$7:$S$106,10,FALSE)),ISNUMBER(VLOOKUP($A406,'Fleet register'!$A$7:$S$106,11,FALSE)),ISNUMBER(VLOOKUP($A406,'Fleet register'!$A$7:$S$106,12,FALSE)),ISNUMBER(VLOOKUP($A406,'Fleet register'!$A$7:$S$106,13,FALSE)),ISNUMBER(VLOOKUP($A406,'Fleet register'!$A$7:$S$106,14,FALSE)),VLOOKUP($A406,'Fleet register'!$A$7:$S$106,14,FALSE)&gt;0,ISNUMBER('Replacement plan'!$C$106),OR(E406=120,ISNUMBER('Replacement plan'!$T$106)),ISNUMBER(E406))),"Missing vehicle input",IF(OR(E406&lt;0,E406&gt;VLOOKUP($A406,'Fleet register'!$A$7:$S$106,10,FALSE),E406&gt;120,E406&lt;&gt;INT(E406),VLOOKUP($A406,'Fleet register'!$A$7:$S$106,6,FALSE)&lt;=0,VLOOKUP($A406,'Fleet register'!$A$7:$S$106,6,FALSE)&gt;366,VLOOKUP($A406,'Fleet register'!$A$7:$S$106,5,FALSE)&lt;0,VLOOKUP($A406,'Fleet register'!$A$7:$S$106,11,FALSE)&lt;0,I406&lt;0,'Operating costs'!$B$8&lt;='Operating costs'!$B$7*'Operating costs'!$B$9,'Operating costs'!$B$11&lt;=0,'Operating costs'!$B$39&gt;R406,'Operating costs'!$B$40&gt;R406,'Operating costs'!$B$41&gt;R406,NOT(OR('Replacement plan'!$R$106="Keep ICE",'Replacement plan'!$R$106="New ICE",'Replacement plan'!$R$106="EV"))),"Invalid vehicle input",IF(AND(D406="EV",E406&lt;120,OR(NOT(ISNUMBER(U406)),NOT(ISNUMBER(V406)),V406&lt;=0,T406&lt;0,T406&gt;1,'Replacement plan'!$L$106&lt;=0,'Operating costs'!$B$44&lt;0,'Operating costs'!$B$44&gt;=1,'Operating costs'!$B$47&lt;=0,'Operating costs'!$B$47&gt;1,V406*'Operating costs'!$B$47/(1-'Operating costs'!$B$44)&lt;=T406*'Operating costs'!$B$12*U406,AND('Replacement plan'!$Z$106&gt;0,OR('Replacement plan'!$AB$106&lt;&gt;"Yes",'Operating costs'!$B$62&lt;&gt;"Gross")))),"Invalid EV input",IF(AND(ISNUMBER('Operating costs'!$B$7),ISNUMBER('Operating costs'!$B$8),ISNUMBER('Operating costs'!$B$9),ISNUMBER('Operating costs'!$B$10),ISNUMBER('Operating costs'!$B$11),ISNUMBER('Operating costs'!$B$19),ISNUMBER('Operating costs'!$B$21),ISNUMBER('Operating costs'!$B$23),ISNUMBER('Operating costs'!$B$24),ISNUMBER('Operating costs'!$B$25),ISNUMBER('Operating costs'!$B$27),ISNUMBER('Operating costs'!$B$29),ISNUMBER('Operating costs'!$B$31),ISNUMBER('Operating costs'!$B$33),ISNUMBER('Operating costs'!$B$34),ISNUMBER('Operating costs'!$B$35),ISNUMBER('Operating costs'!$B$37),ISNUMBER('Operating costs'!$B$39),ISNUMBER('Operating costs'!$B$40),ISNUMBER('Operating costs'!$B$42),ISNUMBER('Operating costs'!$B$50),ISNUMBER('Operating costs'!$B$51),ISNUMBER('Operating costs'!$B$53),ISNUMBER('Operating costs'!$B$54),ISNUMBER('Operating costs'!$B$66),ISNUMBER('Operating costs'!$B$67),AND(ISNUMBER('Energy and charging'!$C$9),'Energy and charging'!$C$9&gt;=0,'Energy and charging'!$C$9&lt;=1,OR('Energy and charging'!$C$9=0,AND(ISNUMBER('Energy and charging'!$C$7),'Energy and charging'!$C$7&gt;=0)),OR('Energy and charging'!$C$9=1,AND(ISNUMBER('Energy and charging'!$C$8),'Energy and charging'!$C$8&gt;=0))),ISNUMBER(VLOOKUP($A406,'Fleet register'!$A$7:$S$106,15,FALSE)),ISNUMBER(VLOOKUP($A406,'Fleet register'!$A$7:$S$106,16,FALSE)),ISNUMBER('Replacement plan'!$W$106),ISNUMBER('Replacement plan'!$X$106),OR(E406=120,AND(ISNUMBER(G406),G406&gt;=0)),ISNUMBER(H406),H406&gt;=0,OR(D406&lt;&gt;"EV",E406=120,AND(ISNUMBER('Operating costs'!$B$12),ISNUMBER('Operating costs'!$B$13),ISNUMBER('Operating costs'!$B$14),ISNUMBER('Operating costs'!$B$15),ISNUMBER('Operating costs'!$B$16),ISNUMBER('Operating costs'!$B$17),ISNUMBER('Operating costs'!$B$18),ISNUMBER('Operating costs'!$B$20),ISNUMBER('Operating costs'!$B$22),OR(AND('Operating costs'!$B$68="Annual override",ISNUMBER('Operating costs'!$B$26)),AND('Operating costs'!$B$68="Hong Seh 200k average",ISNUMBER(IFERROR(INDEX(Products!$P$7:$P$13,MATCH(AD406,Products!$A$7:$A$13,0)),"")))),ISNUMBER('Operating costs'!$B$28),ISNUMBER('Operating costs'!$B$30),ISNUMBER('Operating costs'!$B$32),ISNUMBER('Operating costs'!$B$36),ISNUMBER('Operating costs'!$B$38),ISNUMBER('Operating costs'!$B$41),ISNUMBER('Operating costs'!$B$43),ISNUMBER('Operating costs'!$B$44),ISNUMBER('Operating costs'!$B$45),ISNUMBER('Operating costs'!$B$46),ISNUMBER('Operating costs'!$B$47),ISNUMBER('Operating costs'!$B$48),ISNUMBER('Operating costs'!$B$49),ISNUMBER('Operating costs'!$B$52),ISNUMBER('Operating costs'!$B$64),ISNUMBER('Operating costs'!$B$65),ISNUMBER('Energy and charging'!$C$12),AND(ISNUMBER(1-'Energy and charging'!$C$12),1-'Energy and charging'!$C$12&gt;=0,1-'Energy and charging'!$C$12&lt;=1,OR(1-'Energy and charging'!$C$12=0,AND(ISNUMBER('Energy and charging'!$C$10),'Energy and charging'!$C$10&gt;=0)),OR(1-'Energy and charging'!$C$12=1,AND(ISNUMBER('Energy and charging'!$C$11),'Energy and charging'!$C$11&gt;=0))),ISNUMBER('Replacement plan'!$Y$106),ISNUMBER('Replacement plan'!$Z$106),'Replacement plan'!$Z$106&gt;=0,ISNUMBER('Replacement plan'!$AA$106),'Replacement plan'!$AA$106&gt;=0,'Replacement plan'!$AA$106=INT('Replacement plan'!$AA$106),ISNUMBER('Replacement plan'!$L$106))),'Operating costs'!$B$7&gt;=0,'Operating costs'!$B$21&gt;=0,'Operating costs'!$B$21&lt;=1,'Operating costs'!$B$23&gt;=0,'Operating costs'!$B$23&lt;=1,'Operating costs'!$B$50&gt;-1,'Operating costs'!$B$51&gt;-1,'Operating costs'!$B$53&gt;-1,'Operating costs'!$B$54&gt;-1),IF(AND(ISNUMBER(IF('Replacement plan'!$AG$106="",'Operating costs'!$B$7,'Replacement plan'!$AG$106)),IF('Replacement plan'!$AG$106="",'Operating costs'!$B$7,'Replacement plan'!$AG$106)&gt;=0,ISNUMBER(IF('Replacement plan'!$AH$106="",'Operating costs'!$B$7,'Replacement plan'!$AH$106)),IF('Replacement plan'!$AH$106="",'Operating costs'!$B$7,'Replacement plan'!$AH$106)&gt;=0,'Operating costs'!$B$8&gt;MAX(IF('Replacement plan'!$AG$106="",'Operating costs'!$B$7,'Replacement plan'!$AG$106),IF('Replacement plan'!$AH$106="",'Operating costs'!$B$7,'Replacement plan'!$AH$106))*'Operating costs'!$B$9),IF(AND(VLOOKUP($A406,'Fleet register'!$A$7:$S$106,10,FALSE)&gt;=0,VLOOKUP($A406,'Fleet register'!$A$7:$S$106,10,FALSE)&lt;=120,VLOOKUP($A406,'Fleet register'!$A$7:$S$106,10,FALSE)=INT(VLOOKUP($A406,'Fleet register'!$A$7:$S$106,10,FALSE)),VLOOKUP($A406,'Fleet register'!$A$7:$S$106,15,FALSE)&gt;=0,VLOOKUP($A406,'Fleet register'!$A$7:$S$106,16,FALSE)&gt;=0,MIN('Operating costs'!$B$7,'Operating costs'!$B$8,'Operating costs'!$B$9,'Operating costs'!$B$10,'Operating costs'!$B$11,'Operating costs'!$B$19,'Operating costs'!$B$21,'Operating costs'!$B$23,'Operating costs'!$B$24,'Operating costs'!$B$25,'Operating costs'!$B$27,'Operating costs'!$B$29,'Operating costs'!$B$31,'Operating costs'!$B$33,'Operating costs'!$B$34,'Operating costs'!$B$35,'Operating costs'!$B$37,'Operating costs'!$B$39,'Operating costs'!$B$40,'Operating costs'!$B$42,'Operating costs'!$B$66,'Operating costs'!$B$67)&gt;=0,OR(D406&lt;&gt;"EV",E406=120,AND(MIN('Operating costs'!$B$12,'Operating costs'!$B$13,'Operating costs'!$B$14,'Operating costs'!$B$15,'Operating costs'!$B$16,'Operating costs'!$B$17,'Operating costs'!$B$18,'Operating costs'!$B$20,'Operating costs'!$B$22,'Operating costs'!$B$26,'Operating costs'!$B$28,'Operating costs'!$B$30,'Operating costs'!$B$32,'Operating costs'!$B$36,'Operating costs'!$B$38,'Operating costs'!$B$41,'Operating costs'!$B$43,'Operating costs'!$B$44,'Operating costs'!$B$45,'Operating costs'!$B$46,'Operating costs'!$B$47,'Operating costs'!$B$48,'Operating costs'!$B$49,'Operating costs'!$B$64,'Operating costs'!$B$65)&gt;=0,'Operating costs'!$B$20&lt;=1,'Operating costs'!$B$22&lt;=1,'Operating costs'!$B$45&lt;1,'Operating costs'!$B$46&lt;1,'Operating costs'!$B$52&gt;-1))),"Complete","Invalid operating limits"),"Invalid fuel override"),"Missing/invalid operating input")))))),"Invalid input type")</f>
        <v>Excluded</v>
      </c>
      <c r="Q406" s="1" t="str">
        <f>IF(C406=0,"Excluded",IF(P406&lt;&gt;"Complete",P406,IF(OR('Replacement plan'!$AD$106&lt;120-E406,AND(D406="EV",E406&lt;120,OR('Replacement plan'!$AC$106&lt;120-E406,'Replacement plan'!$I$106="No",AND(ISNUMBER(AF406),AE406&gt;AF406),AI406&gt;V406*(1-'Operating costs'!$B$46)^MAX(0,AB406-1)*(1-'Operating costs'!$B$45),AC406&gt;'Operating costs'!$B$18,AND(T406&lt;1,OR(AG406&lt;=0,AND(ISNUMBER(AH406),AG406&gt;AH406))),'Replacement plan'!$L$106&gt;INDEX(Products!$H$7:$H$13,MATCH('Replacement plan'!$B$106,Products!$A$7:$A$13,0))))),"Fails entered limits",IF(AND(D406="EV",E406&lt;120,OR(NOT(ISNUMBER(VLOOKUP($A406,'Fleet register'!$A$7:$S$106,7,FALSE))),NOT(ISNUMBER(VLOOKUP($A406,'Fleet register'!$A$7:$S$106,8,FALSE))),NOT(ISNUMBER(AF406)),'Replacement plan'!$I$106&lt;&gt;"Yes",NOT(ISNUMBER(AH406)),'Operating costs'!$B$59&lt;&gt;"Yes",'Operating costs'!$B$58&lt;&gt;"Yes")),"Unverified","Within entered limits"))))</f>
        <v>Excluded</v>
      </c>
      <c r="R406" s="1">
        <f>IF(C406=0,0,VLOOKUP($A406,'Fleet register'!$A$7:$S$106,6,FALSE))</f>
        <v>0</v>
      </c>
      <c r="S406" s="1">
        <f>IF(C406=0,0,VLOOKUP($A406,'Fleet register'!$A$7:$S$106,5,FALSE))</f>
        <v>0</v>
      </c>
      <c r="T406" s="1">
        <f>IF(D406="EV",'Energy and charging'!$C$12,0)</f>
        <v>0</v>
      </c>
      <c r="U406" s="1">
        <f>IFERROR(IF(C406=0,0,IF(D406="EV",IF('Replacement plan'!$F$106="",INDEX(Products!$E$7:$E$13,MATCH('Replacement plan'!$B$106,Products!$A$7:$A$13,0)),'Replacement plan'!$F$106)/IF('Replacement plan'!$G$106="Battery",1-'Operating costs'!$B$44,1),0)),"n.a.")</f>
        <v>0</v>
      </c>
      <c r="V406" s="1">
        <f>IFERROR(IF(C406=0,0,IF(D406="EV",IF('Replacement plan'!$E$106="",INDEX(Products!$D$7:$D$13,MATCH('Replacement plan'!$B$106,Products!$A$7:$A$13,0)),'Replacement plan'!$E$106),0)),"n.a.")</f>
        <v>0</v>
      </c>
      <c r="W406" s="1">
        <f>IF(C406=0,0,IF(AND(P406="Complete",D406="EV",E406&lt;120),IF(T406=0,0,ROUNDUP(T406*(R406-'Operating costs'!$B$41)*(S406*U406+'Operating costs'!$B$48/(1-'Operating costs'!$B$44))/(V406*'Operating costs'!$B$47/(1-'Operating costs'!$B$44)-T406*'Operating costs'!$B$12*U406),0)),0))</f>
        <v>0</v>
      </c>
      <c r="X406" s="1">
        <f>IF(C406=0,0,IF(AND(P406="Complete",D406="EV",E406&lt;120),(R406-'Operating costs'!$B$41)*(S406*U406+'Operating costs'!$B$48/(1-'Operating costs'!$B$44))+W406*'Operating costs'!$B$12*U406,0))</f>
        <v>0</v>
      </c>
      <c r="Y406" s="1">
        <f>IF(AND(C406=1,D406="EV",E406&lt;120),AI406/(1-'Operating costs'!$B$44)*(1-T406),0)</f>
        <v>0</v>
      </c>
      <c r="Z406" s="1">
        <f t="shared" si="12"/>
        <v>0</v>
      </c>
      <c r="AA406" s="1">
        <f>IF(C406=0,0,IF(P406="Complete",((S406*(R406-'Operating costs'!$B$40))+ROUNDUP(S406*(R406-'Operating costs'!$B$40)*IF('Replacement plan'!$AH$106="",'Operating costs'!$B$7,'Replacement plan'!$AH$106)/('Operating costs'!$B$8-'Operating costs'!$B$9*IF('Replacement plan'!$AH$106="",'Operating costs'!$B$7,'Replacement plan'!$AH$106)),0)*'Operating costs'!$B$9)*IF('Replacement plan'!$AH$106="",'Operating costs'!$B$7,'Replacement plan'!$AH$106),"n.a."))</f>
        <v>0</v>
      </c>
      <c r="AB406" s="1">
        <f t="shared" si="13"/>
        <v>0</v>
      </c>
      <c r="AC406" s="1">
        <f>IF(AND(C406=1,D406="EV",E406&lt;120,T406&gt;0),'Operating costs'!$B$12/'Operating costs'!$B$11*60+'Operating costs'!$B$13+'Operating costs'!$B$14+V406*'Operating costs'!$B$47/(1-'Operating costs'!$B$44)/'Replacement plan'!$L$106*60,0)</f>
        <v>0</v>
      </c>
      <c r="AD406" s="1" t="str">
        <f>'Replacement plan'!$B$106</f>
        <v>ChengLong L2EV</v>
      </c>
      <c r="AE406" s="1">
        <f>IF(C406=0,0,VLOOKUP($A406,'Fleet register'!$A$7:$S$106,8,FALSE))</f>
        <v>0</v>
      </c>
      <c r="AF406" s="1" t="str">
        <f>IF('Replacement plan'!$H$106="","n.a.",'Replacement plan'!$H$106)</f>
        <v>n.a.</v>
      </c>
      <c r="AG406" s="1">
        <f>'Replacement plan'!$J$106</f>
        <v>22</v>
      </c>
      <c r="AH406" s="1">
        <f>IFERROR(IF(D406="EV",IF('Replacement plan'!$K$106="AC",IF(ISNUMBER(INDEX(Products!$G$7:$G$13,MATCH('Replacement plan'!$B$106,Products!$A$7:$A$13,0))),INDEX(Products!$G$7:$G$13,MATCH('Replacement plan'!$B$106,Products!$A$7:$A$13,0)),"n.a."),IF(ISNUMBER(INDEX(Products!$H$7:$H$13,MATCH('Replacement plan'!$B$106,Products!$A$7:$A$13,0))),INDEX(Products!$H$7:$H$13,MATCH('Replacement plan'!$B$106,Products!$A$7:$A$13,0)),"n.a.")),0),"n.a.")</f>
        <v>0</v>
      </c>
      <c r="AI406" s="1">
        <f>IF(AND(C406=1,D406="EV",E406&lt;120),(VLOOKUP($A406,'Fleet register'!$A$7:$S$106,7,FALSE)+IF(T406&gt;0,'Operating costs'!$B$12,0))*U406*(1-'Operating costs'!$B$44)+'Operating costs'!$B$49,0)</f>
        <v>0</v>
      </c>
      <c r="AJ406" s="1">
        <f>IF(D406="EV",'Energy and charging'!$C$50,0)</f>
        <v>0</v>
      </c>
      <c r="AK406" s="17">
        <f>EDATE('Operating costs'!$B$63,E406)</f>
        <v>46298</v>
      </c>
      <c r="AL406" s="1">
        <f>IFERROR(IF(D406="EV",INDEX(Products!$B$7:$B$13,MATCH('Replacement plan'!$B$106,Products!$A$7:$A$13,0)),0),"n.a.")</f>
        <v>0</v>
      </c>
      <c r="AM406" s="1" t="str">
        <f>'Replacement plan'!$K$106</f>
        <v>DC</v>
      </c>
      <c r="AN406" s="1" t="str">
        <f>'Replacement plan'!$AE$106</f>
        <v>Assumed</v>
      </c>
      <c r="AO406" s="47">
        <f>IF(AND(C406=1,D406="EV",E406&lt;120),(R406-'Operating costs'!$B$41)*S406+W406*'Operating costs'!$B$12,0)</f>
        <v>0</v>
      </c>
      <c r="AP406" s="41">
        <f>IF(AND(C406=1,D406="EV",E406&lt;120),IF('Operating costs'!$B$68="Hong Seh 200k average",AO406*IFERROR(INDEX(Products!$P$7:$P$13,MATCH(AD406,Products!$A$7:$A$13,0)),"n.a."),'Operating costs'!$B$26),0)</f>
        <v>0</v>
      </c>
      <c r="AQ406" s="40" t="str">
        <f>IF(D406="EV",'Operating costs'!$B$68,"Not applicable")</f>
        <v>Not applicable</v>
      </c>
    </row>
  </sheetData>
  <conditionalFormatting sqref="P7:Q406">
    <cfRule type="containsText" dxfId="2" priority="1" operator="containsText" text="Missing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4BCC4"/>
  </sheetPr>
  <dimension ref="A1:T4406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D7" sqref="D7"/>
    </sheetView>
  </sheetViews>
  <sheetFormatPr defaultRowHeight="14.25"/>
  <cols>
    <col min="1" max="20" width="18" customWidth="1"/>
  </cols>
  <sheetData>
    <row r="1" spans="1:20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4" customHeight="1">
      <c r="A2" s="2" t="s">
        <v>695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2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25.9" customHeight="1">
      <c r="A4" s="1" t="s">
        <v>696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48" customHeight="1">
      <c r="A6" s="4" t="s">
        <v>63</v>
      </c>
      <c r="B6" s="4" t="s">
        <v>661</v>
      </c>
      <c r="C6" s="4" t="s">
        <v>37</v>
      </c>
      <c r="D6" s="4" t="s">
        <v>697</v>
      </c>
      <c r="E6" s="4" t="s">
        <v>698</v>
      </c>
      <c r="F6" s="4" t="s">
        <v>699</v>
      </c>
      <c r="G6" s="4" t="s">
        <v>700</v>
      </c>
      <c r="H6" s="4" t="s">
        <v>701</v>
      </c>
      <c r="I6" s="4" t="s">
        <v>666</v>
      </c>
      <c r="J6" s="4" t="s">
        <v>702</v>
      </c>
      <c r="K6" s="4" t="s">
        <v>673</v>
      </c>
      <c r="L6" s="4" t="s">
        <v>703</v>
      </c>
      <c r="M6" s="4" t="s">
        <v>704</v>
      </c>
      <c r="N6" s="4" t="s">
        <v>705</v>
      </c>
      <c r="O6" s="4" t="s">
        <v>706</v>
      </c>
      <c r="P6" s="4" t="s">
        <v>707</v>
      </c>
      <c r="Q6" s="4" t="s">
        <v>708</v>
      </c>
      <c r="R6" s="4" t="s">
        <v>709</v>
      </c>
      <c r="S6" s="4" t="s">
        <v>710</v>
      </c>
      <c r="T6" s="4" t="s">
        <v>711</v>
      </c>
    </row>
    <row r="7" spans="1:20" ht="24" customHeight="1">
      <c r="A7" s="1" t="str">
        <f>Paths!$A$7</f>
        <v>T001</v>
      </c>
      <c r="B7" s="1">
        <f>Paths!$B$7</f>
        <v>0</v>
      </c>
      <c r="C7" s="1">
        <v>0</v>
      </c>
      <c r="D7" s="1">
        <v>7</v>
      </c>
      <c r="E7" s="1">
        <f>IF(OR(Paths!$C$7=0,C7=0),0,MAX(0,MIN(C7*12,Paths!$E$7)-(C7-1)*12))</f>
        <v>0</v>
      </c>
      <c r="F7" s="1">
        <f>IF(OR(Paths!$C$7=0,C7=0),0,12-E7)</f>
        <v>0</v>
      </c>
      <c r="G7" s="16">
        <f>IF(NOT(Paths!$C$7=1),0,IF(Paths!$P$7="Complete",E7/12*(Paths!$J$7*(1+'Operating costs'!$B$51)^MAX(0,C7-1)+Paths!$K$7*(1+'Operating costs'!$B$53)^MAX(0,C7-1)),"n.a."))</f>
        <v>0</v>
      </c>
      <c r="H7" s="16">
        <f>IF(NOT(Paths!$C$7=1),0,IF(Paths!$P$7="Complete",F7/12*(Paths!$L$7*(1+IF(Paths!$D$7="EV",'Operating costs'!$B$52,'Operating costs'!$B$51))^MAX(0,C7-1)+Paths!$M$7*(1+'Operating costs'!$B$53)^MAX(0,C7-1)),"n.a."))</f>
        <v>0</v>
      </c>
      <c r="I7" s="16">
        <f>IF(NOT(Paths!$C$7=1),0,IF(Paths!$P$7="Complete",IF(IF(Paths!$E$7=0,C7=0,AND(C7&gt;0,Paths!$E$7&gt;(C7-1)*12,Paths!$E$7&lt;=C7*12)),Paths!$G$7,0),"n.a."))</f>
        <v>0</v>
      </c>
      <c r="J7" s="16">
        <f>IF(NOT(Paths!$C$7=1),0,IF(Paths!$P$7="Complete",IF(IF(Paths!$E$7=0,C7=0,AND(C7&gt;0,Paths!$E$7&gt;(C7-1)*12,Paths!$E$7&lt;=C7*12)),Paths!$H$7,0),"n.a."))</f>
        <v>0</v>
      </c>
      <c r="K7" s="16">
        <f>IF(NOT(Paths!$C$7=1),0,IF(Paths!$P$7="Complete",IF(IF(Paths!$O$7=0,C7=0,AND(C7&gt;0,Paths!$O$7&gt;(C7-1)*12,Paths!$O$7&lt;=C7*12)),Paths!$N$7,0),"n.a."))</f>
        <v>0</v>
      </c>
      <c r="L7" s="16">
        <f>IF(NOT(Paths!$C$7=1),0,IF(Paths!$P$7="Complete",IF(C7=10,Paths!$I$7,0),"n.a."))</f>
        <v>0</v>
      </c>
      <c r="M7" s="16">
        <f>IF(NOT(Paths!$C$7=1),0,IF(Paths!$P$7="Complete",IF(AND(Paths!$D$7="EV",Paths!$E$7&lt;120,Paths!$E$7+'Operating costs'!$B$65&gt;Paths!$E$7,Paths!$E$7+'Operating costs'!$B$65&lt;=120,IF(Paths!$E$7+'Operating costs'!$B$65=0,C7=0,AND(C7&gt;0,Paths!$E$7+'Operating costs'!$B$65&gt;(C7-1)*12,Paths!$E$7+'Operating costs'!$B$65&lt;=C7*12))),'Operating costs'!$B$64,0)+IF(AND('Operating costs'!$B$67&gt;0,'Operating costs'!$B$67&lt;=120,OR(Paths!$D$7="ICE",'Operating costs'!$B$67&lt;=Paths!$E$7),IF('Operating costs'!$B$67=0,C7=0,AND(C7&gt;0,'Operating costs'!$B$67&gt;(C7-1)*12,'Operating costs'!$B$67&lt;=C7*12))),'Operating costs'!$B$66,0),"n.a."))</f>
        <v>0</v>
      </c>
      <c r="N7" s="16">
        <f>IF(NOT(Paths!$C$7=1),0,IF(Paths!$P$7="Complete",SUM(G7:I7)-J7-K7-L7+M7+IF(C7=0,Paths!$F$7,0)+IF(IF(Paths!$E$7=0,C7=0,AND(C7&gt;0,Paths!$E$7&gt;(C7-1)*12,Paths!$E$7&lt;=C7*12)),VLOOKUP(A7,'Fleet register'!$A$7:$S$106,16,FALSE),0),"n.a."))</f>
        <v>24000</v>
      </c>
      <c r="O7" s="16">
        <f>IF(NOT(Paths!$C$7=1),0,IF(Paths!$P$7="Complete",N7-IF(C7=0,Paths!$F$7,0),"n.a."))</f>
        <v>0</v>
      </c>
      <c r="P7" s="16">
        <f>IF(NOT(Paths!$C$7=1),0,IF(Paths!$P$7="Complete",O7+L7,"n.a."))</f>
        <v>0</v>
      </c>
      <c r="Q7" s="16">
        <f>IF(NOT(Paths!$C$7=1),0,IF(Paths!$P$7="Complete",N7*(1+'Operating costs'!$B$54)^-C7,"n.a."))</f>
        <v>24000</v>
      </c>
      <c r="R7" s="16">
        <f>IF(NOT(Paths!$C$7=1),0,IF(Paths!$P$7="Complete",IF(AND(C7=0,Paths!$E$7=0),I7-J7-K7+VLOOKUP(A7,'Fleet register'!$A$7:$S$106,15,FALSE)+VLOOKUP(A7,'Fleet register'!$A$7:$S$106,16,FALSE),0),"n.a."))</f>
        <v>0</v>
      </c>
      <c r="S7" s="1">
        <f>IF(NOT(Paths!$C$7=1),0,IF(Paths!$P$7="Complete",IF(C7=0,0,Paths!$S$7*Paths!$R$7),"n.a."))</f>
        <v>0</v>
      </c>
      <c r="T7" s="1">
        <f>IF(NOT(Paths!$C$7=1),0,IF(Paths!$P$7="Complete",IF(C7=0,0,VLOOKUP(A7,'Fleet register'!$A$7:$S$106,9,FALSE)*Paths!$R$7),"n.a."))</f>
        <v>0</v>
      </c>
    </row>
    <row r="8" spans="1:20" ht="24" customHeight="1">
      <c r="A8" s="1" t="str">
        <f>Paths!$A$7</f>
        <v>T001</v>
      </c>
      <c r="B8" s="1">
        <f>Paths!$B$7</f>
        <v>0</v>
      </c>
      <c r="C8" s="1">
        <v>1</v>
      </c>
      <c r="D8" s="1">
        <v>7</v>
      </c>
      <c r="E8" s="1">
        <f>IF(OR(Paths!$C$7=0,C8=0),0,MAX(0,MIN(C8*12,Paths!$E$7)-(C8-1)*12))</f>
        <v>12</v>
      </c>
      <c r="F8" s="1">
        <f>IF(OR(Paths!$C$7=0,C8=0),0,12-E8)</f>
        <v>0</v>
      </c>
      <c r="G8" s="16">
        <f>IF(NOT(Paths!$C$7=1),0,IF(Paths!$P$7="Complete",E8/12*(Paths!$J$7*(1+'Operating costs'!$B$51)^MAX(0,C8-1)+Paths!$K$7*(1+'Operating costs'!$B$53)^MAX(0,C8-1)),"n.a."))</f>
        <v>18151.349999999999</v>
      </c>
      <c r="H8" s="16">
        <f>IF(NOT(Paths!$C$7=1),0,IF(Paths!$P$7="Complete",F8/12*(Paths!$L$7*(1+IF(Paths!$D$7="EV",'Operating costs'!$B$52,'Operating costs'!$B$51))^MAX(0,C8-1)+Paths!$M$7*(1+'Operating costs'!$B$53)^MAX(0,C8-1)),"n.a."))</f>
        <v>0</v>
      </c>
      <c r="I8" s="16">
        <f>IF(NOT(Paths!$C$7=1),0,IF(Paths!$P$7="Complete",IF(IF(Paths!$E$7=0,C8=0,AND(C8&gt;0,Paths!$E$7&gt;(C8-1)*12,Paths!$E$7&lt;=C8*12)),Paths!$G$7,0),"n.a."))</f>
        <v>181000</v>
      </c>
      <c r="J8" s="16">
        <f>IF(NOT(Paths!$C$7=1),0,IF(Paths!$P$7="Complete",IF(IF(Paths!$E$7=0,C8=0,AND(C8&gt;0,Paths!$E$7&gt;(C8-1)*12,Paths!$E$7&lt;=C8*12)),Paths!$H$7,0),"n.a."))</f>
        <v>10000</v>
      </c>
      <c r="K8" s="16">
        <f>IF(NOT(Paths!$C$7=1),0,IF(Paths!$P$7="Complete",IF(IF(Paths!$O$7=0,C8=0,AND(C8&gt;0,Paths!$O$7&gt;(C8-1)*12,Paths!$O$7&lt;=C8*12)),Paths!$N$7,0),"n.a."))</f>
        <v>0</v>
      </c>
      <c r="L8" s="16">
        <f>IF(NOT(Paths!$C$7=1),0,IF(Paths!$P$7="Complete",IF(C8=10,Paths!$I$7,0),"n.a."))</f>
        <v>0</v>
      </c>
      <c r="M8" s="16">
        <f>IF(NOT(Paths!$C$7=1),0,IF(Paths!$P$7="Complete",IF(AND(Paths!$D$7="EV",Paths!$E$7&lt;120,Paths!$E$7+'Operating costs'!$B$65&gt;Paths!$E$7,Paths!$E$7+'Operating costs'!$B$65&lt;=120,IF(Paths!$E$7+'Operating costs'!$B$65=0,C8=0,AND(C8&gt;0,Paths!$E$7+'Operating costs'!$B$65&gt;(C8-1)*12,Paths!$E$7+'Operating costs'!$B$65&lt;=C8*12))),'Operating costs'!$B$64,0)+IF(AND('Operating costs'!$B$67&gt;0,'Operating costs'!$B$67&lt;=120,OR(Paths!$D$7="ICE",'Operating costs'!$B$67&lt;=Paths!$E$7),IF('Operating costs'!$B$67=0,C8=0,AND(C8&gt;0,'Operating costs'!$B$67&gt;(C8-1)*12,'Operating costs'!$B$67&lt;=C8*12))),'Operating costs'!$B$66,0),"n.a."))</f>
        <v>0</v>
      </c>
      <c r="N8" s="16">
        <f>IF(NOT(Paths!$C$7=1),0,IF(Paths!$P$7="Complete",SUM(G8:I8)-J8-K8-L8+M8+IF(C8=0,Paths!$F$7,0)+IF(IF(Paths!$E$7=0,C8=0,AND(C8&gt;0,Paths!$E$7&gt;(C8-1)*12,Paths!$E$7&lt;=C8*12)),VLOOKUP(A8,'Fleet register'!$A$7:$S$106,16,FALSE),0),"n.a."))</f>
        <v>189151.35</v>
      </c>
      <c r="O8" s="16">
        <f>IF(NOT(Paths!$C$7=1),0,IF(Paths!$P$7="Complete",N8-IF(C8=0,Paths!$F$7,0),"n.a."))</f>
        <v>189151.35</v>
      </c>
      <c r="P8" s="16">
        <f>IF(NOT(Paths!$C$7=1),0,IF(Paths!$P$7="Complete",O8+L8,"n.a."))</f>
        <v>189151.35</v>
      </c>
      <c r="Q8" s="16">
        <f>IF(NOT(Paths!$C$7=1),0,IF(Paths!$P$7="Complete",N8*(1+'Operating costs'!$B$54)^-C8,"n.a."))</f>
        <v>189151.35</v>
      </c>
      <c r="R8" s="16">
        <f>IF(NOT(Paths!$C$7=1),0,IF(Paths!$P$7="Complete",IF(AND(C8=0,Paths!$E$7=0),I8-J8-K8+VLOOKUP(A8,'Fleet register'!$A$7:$S$106,15,FALSE)+VLOOKUP(A8,'Fleet register'!$A$7:$S$106,16,FALSE),0),"n.a."))</f>
        <v>0</v>
      </c>
      <c r="S8" s="1">
        <f>IF(NOT(Paths!$C$7=1),0,IF(Paths!$P$7="Complete",IF(C8=0,0,Paths!$S$7*Paths!$R$7),"n.a."))</f>
        <v>45000</v>
      </c>
      <c r="T8" s="1">
        <f>IF(NOT(Paths!$C$7=1),0,IF(Paths!$P$7="Complete",IF(C8=0,0,VLOOKUP(A8,'Fleet register'!$A$7:$S$106,9,FALSE)*Paths!$R$7),"n.a."))</f>
        <v>7200</v>
      </c>
    </row>
    <row r="9" spans="1:20" ht="24" customHeight="1">
      <c r="A9" s="1" t="str">
        <f>Paths!$A$7</f>
        <v>T001</v>
      </c>
      <c r="B9" s="1">
        <f>Paths!$B$7</f>
        <v>0</v>
      </c>
      <c r="C9" s="1">
        <v>2</v>
      </c>
      <c r="D9" s="1">
        <v>7</v>
      </c>
      <c r="E9" s="1">
        <f>IF(OR(Paths!$C$7=0,C9=0),0,MAX(0,MIN(C9*12,Paths!$E$7)-(C9-1)*12))</f>
        <v>0</v>
      </c>
      <c r="F9" s="1">
        <f>IF(OR(Paths!$C$7=0,C9=0),0,12-E9)</f>
        <v>12</v>
      </c>
      <c r="G9" s="16">
        <f>IF(NOT(Paths!$C$7=1),0,IF(Paths!$P$7="Complete",E9/12*(Paths!$J$7*(1+'Operating costs'!$B$51)^MAX(0,C9-1)+Paths!$K$7*(1+'Operating costs'!$B$53)^MAX(0,C9-1)),"n.a."))</f>
        <v>0</v>
      </c>
      <c r="H9" s="16">
        <f>IF(NOT(Paths!$C$7=1),0,IF(Paths!$P$7="Complete",F9/12*(Paths!$L$7*(1+IF(Paths!$D$7="EV",'Operating costs'!$B$52,'Operating costs'!$B$51))^MAX(0,C9-1)+Paths!$M$7*(1+'Operating costs'!$B$53)^MAX(0,C9-1)),"n.a."))</f>
        <v>18151.349999999999</v>
      </c>
      <c r="I9" s="16">
        <f>IF(NOT(Paths!$C$7=1),0,IF(Paths!$P$7="Complete",IF(IF(Paths!$E$7=0,C9=0,AND(C9&gt;0,Paths!$E$7&gt;(C9-1)*12,Paths!$E$7&lt;=C9*12)),Paths!$G$7,0),"n.a."))</f>
        <v>0</v>
      </c>
      <c r="J9" s="16">
        <f>IF(NOT(Paths!$C$7=1),0,IF(Paths!$P$7="Complete",IF(IF(Paths!$E$7=0,C9=0,AND(C9&gt;0,Paths!$E$7&gt;(C9-1)*12,Paths!$E$7&lt;=C9*12)),Paths!$H$7,0),"n.a."))</f>
        <v>0</v>
      </c>
      <c r="K9" s="16">
        <f>IF(NOT(Paths!$C$7=1),0,IF(Paths!$P$7="Complete",IF(IF(Paths!$O$7=0,C9=0,AND(C9&gt;0,Paths!$O$7&gt;(C9-1)*12,Paths!$O$7&lt;=C9*12)),Paths!$N$7,0),"n.a."))</f>
        <v>0</v>
      </c>
      <c r="L9" s="16">
        <f>IF(NOT(Paths!$C$7=1),0,IF(Paths!$P$7="Complete",IF(C9=10,Paths!$I$7,0),"n.a."))</f>
        <v>0</v>
      </c>
      <c r="M9" s="16">
        <f>IF(NOT(Paths!$C$7=1),0,IF(Paths!$P$7="Complete",IF(AND(Paths!$D$7="EV",Paths!$E$7&lt;120,Paths!$E$7+'Operating costs'!$B$65&gt;Paths!$E$7,Paths!$E$7+'Operating costs'!$B$65&lt;=120,IF(Paths!$E$7+'Operating costs'!$B$65=0,C9=0,AND(C9&gt;0,Paths!$E$7+'Operating costs'!$B$65&gt;(C9-1)*12,Paths!$E$7+'Operating costs'!$B$65&lt;=C9*12))),'Operating costs'!$B$64,0)+IF(AND('Operating costs'!$B$67&gt;0,'Operating costs'!$B$67&lt;=120,OR(Paths!$D$7="ICE",'Operating costs'!$B$67&lt;=Paths!$E$7),IF('Operating costs'!$B$67=0,C9=0,AND(C9&gt;0,'Operating costs'!$B$67&gt;(C9-1)*12,'Operating costs'!$B$67&lt;=C9*12))),'Operating costs'!$B$66,0),"n.a."))</f>
        <v>0</v>
      </c>
      <c r="N9" s="16">
        <f>IF(NOT(Paths!$C$7=1),0,IF(Paths!$P$7="Complete",SUM(G9:I9)-J9-K9-L9+M9+IF(C9=0,Paths!$F$7,0)+IF(IF(Paths!$E$7=0,C9=0,AND(C9&gt;0,Paths!$E$7&gt;(C9-1)*12,Paths!$E$7&lt;=C9*12)),VLOOKUP(A9,'Fleet register'!$A$7:$S$106,16,FALSE),0),"n.a."))</f>
        <v>18151.349999999999</v>
      </c>
      <c r="O9" s="16">
        <f>IF(NOT(Paths!$C$7=1),0,IF(Paths!$P$7="Complete",N9-IF(C9=0,Paths!$F$7,0),"n.a."))</f>
        <v>18151.349999999999</v>
      </c>
      <c r="P9" s="16">
        <f>IF(NOT(Paths!$C$7=1),0,IF(Paths!$P$7="Complete",O9+L9,"n.a."))</f>
        <v>18151.349999999999</v>
      </c>
      <c r="Q9" s="16">
        <f>IF(NOT(Paths!$C$7=1),0,IF(Paths!$P$7="Complete",N9*(1+'Operating costs'!$B$54)^-C9,"n.a."))</f>
        <v>18151.349999999999</v>
      </c>
      <c r="R9" s="16">
        <f>IF(NOT(Paths!$C$7=1),0,IF(Paths!$P$7="Complete",IF(AND(C9=0,Paths!$E$7=0),I9-J9-K9+VLOOKUP(A9,'Fleet register'!$A$7:$S$106,15,FALSE)+VLOOKUP(A9,'Fleet register'!$A$7:$S$106,16,FALSE),0),"n.a."))</f>
        <v>0</v>
      </c>
      <c r="S9" s="1">
        <f>IF(NOT(Paths!$C$7=1),0,IF(Paths!$P$7="Complete",IF(C9=0,0,Paths!$S$7*Paths!$R$7),"n.a."))</f>
        <v>45000</v>
      </c>
      <c r="T9" s="1">
        <f>IF(NOT(Paths!$C$7=1),0,IF(Paths!$P$7="Complete",IF(C9=0,0,VLOOKUP(A9,'Fleet register'!$A$7:$S$106,9,FALSE)*Paths!$R$7),"n.a."))</f>
        <v>7200</v>
      </c>
    </row>
    <row r="10" spans="1:20" ht="24" customHeight="1">
      <c r="A10" s="1" t="str">
        <f>Paths!$A$7</f>
        <v>T001</v>
      </c>
      <c r="B10" s="1">
        <f>Paths!$B$7</f>
        <v>0</v>
      </c>
      <c r="C10" s="1">
        <v>3</v>
      </c>
      <c r="D10" s="1">
        <v>7</v>
      </c>
      <c r="E10" s="1">
        <f>IF(OR(Paths!$C$7=0,C10=0),0,MAX(0,MIN(C10*12,Paths!$E$7)-(C10-1)*12))</f>
        <v>0</v>
      </c>
      <c r="F10" s="1">
        <f>IF(OR(Paths!$C$7=0,C10=0),0,12-E10)</f>
        <v>12</v>
      </c>
      <c r="G10" s="16">
        <f>IF(NOT(Paths!$C$7=1),0,IF(Paths!$P$7="Complete",E10/12*(Paths!$J$7*(1+'Operating costs'!$B$51)^MAX(0,C10-1)+Paths!$K$7*(1+'Operating costs'!$B$53)^MAX(0,C10-1)),"n.a."))</f>
        <v>0</v>
      </c>
      <c r="H10" s="16">
        <f>IF(NOT(Paths!$C$7=1),0,IF(Paths!$P$7="Complete",F10/12*(Paths!$L$7*(1+IF(Paths!$D$7="EV",'Operating costs'!$B$52,'Operating costs'!$B$51))^MAX(0,C10-1)+Paths!$M$7*(1+'Operating costs'!$B$53)^MAX(0,C10-1)),"n.a."))</f>
        <v>18151.349999999999</v>
      </c>
      <c r="I10" s="16">
        <f>IF(NOT(Paths!$C$7=1),0,IF(Paths!$P$7="Complete",IF(IF(Paths!$E$7=0,C10=0,AND(C10&gt;0,Paths!$E$7&gt;(C10-1)*12,Paths!$E$7&lt;=C10*12)),Paths!$G$7,0),"n.a."))</f>
        <v>0</v>
      </c>
      <c r="J10" s="16">
        <f>IF(NOT(Paths!$C$7=1),0,IF(Paths!$P$7="Complete",IF(IF(Paths!$E$7=0,C10=0,AND(C10&gt;0,Paths!$E$7&gt;(C10-1)*12,Paths!$E$7&lt;=C10*12)),Paths!$H$7,0),"n.a."))</f>
        <v>0</v>
      </c>
      <c r="K10" s="16">
        <f>IF(NOT(Paths!$C$7=1),0,IF(Paths!$P$7="Complete",IF(IF(Paths!$O$7=0,C10=0,AND(C10&gt;0,Paths!$O$7&gt;(C10-1)*12,Paths!$O$7&lt;=C10*12)),Paths!$N$7,0),"n.a."))</f>
        <v>0</v>
      </c>
      <c r="L10" s="16">
        <f>IF(NOT(Paths!$C$7=1),0,IF(Paths!$P$7="Complete",IF(C10=10,Paths!$I$7,0),"n.a."))</f>
        <v>0</v>
      </c>
      <c r="M10" s="16">
        <f>IF(NOT(Paths!$C$7=1),0,IF(Paths!$P$7="Complete",IF(AND(Paths!$D$7="EV",Paths!$E$7&lt;120,Paths!$E$7+'Operating costs'!$B$65&gt;Paths!$E$7,Paths!$E$7+'Operating costs'!$B$65&lt;=120,IF(Paths!$E$7+'Operating costs'!$B$65=0,C10=0,AND(C10&gt;0,Paths!$E$7+'Operating costs'!$B$65&gt;(C10-1)*12,Paths!$E$7+'Operating costs'!$B$65&lt;=C10*12))),'Operating costs'!$B$64,0)+IF(AND('Operating costs'!$B$67&gt;0,'Operating costs'!$B$67&lt;=120,OR(Paths!$D$7="ICE",'Operating costs'!$B$67&lt;=Paths!$E$7),IF('Operating costs'!$B$67=0,C10=0,AND(C10&gt;0,'Operating costs'!$B$67&gt;(C10-1)*12,'Operating costs'!$B$67&lt;=C10*12))),'Operating costs'!$B$66,0),"n.a."))</f>
        <v>0</v>
      </c>
      <c r="N10" s="16">
        <f>IF(NOT(Paths!$C$7=1),0,IF(Paths!$P$7="Complete",SUM(G10:I10)-J10-K10-L10+M10+IF(C10=0,Paths!$F$7,0)+IF(IF(Paths!$E$7=0,C10=0,AND(C10&gt;0,Paths!$E$7&gt;(C10-1)*12,Paths!$E$7&lt;=C10*12)),VLOOKUP(A10,'Fleet register'!$A$7:$S$106,16,FALSE),0),"n.a."))</f>
        <v>18151.349999999999</v>
      </c>
      <c r="O10" s="16">
        <f>IF(NOT(Paths!$C$7=1),0,IF(Paths!$P$7="Complete",N10-IF(C10=0,Paths!$F$7,0),"n.a."))</f>
        <v>18151.349999999999</v>
      </c>
      <c r="P10" s="16">
        <f>IF(NOT(Paths!$C$7=1),0,IF(Paths!$P$7="Complete",O10+L10,"n.a."))</f>
        <v>18151.349999999999</v>
      </c>
      <c r="Q10" s="16">
        <f>IF(NOT(Paths!$C$7=1),0,IF(Paths!$P$7="Complete",N10*(1+'Operating costs'!$B$54)^-C10,"n.a."))</f>
        <v>18151.349999999999</v>
      </c>
      <c r="R10" s="16">
        <f>IF(NOT(Paths!$C$7=1),0,IF(Paths!$P$7="Complete",IF(AND(C10=0,Paths!$E$7=0),I10-J10-K10+VLOOKUP(A10,'Fleet register'!$A$7:$S$106,15,FALSE)+VLOOKUP(A10,'Fleet register'!$A$7:$S$106,16,FALSE),0),"n.a."))</f>
        <v>0</v>
      </c>
      <c r="S10" s="1">
        <f>IF(NOT(Paths!$C$7=1),0,IF(Paths!$P$7="Complete",IF(C10=0,0,Paths!$S$7*Paths!$R$7),"n.a."))</f>
        <v>45000</v>
      </c>
      <c r="T10" s="1">
        <f>IF(NOT(Paths!$C$7=1),0,IF(Paths!$P$7="Complete",IF(C10=0,0,VLOOKUP(A10,'Fleet register'!$A$7:$S$106,9,FALSE)*Paths!$R$7),"n.a."))</f>
        <v>7200</v>
      </c>
    </row>
    <row r="11" spans="1:20" ht="24" customHeight="1">
      <c r="A11" s="1" t="str">
        <f>Paths!$A$7</f>
        <v>T001</v>
      </c>
      <c r="B11" s="1">
        <f>Paths!$B$7</f>
        <v>0</v>
      </c>
      <c r="C11" s="1">
        <v>4</v>
      </c>
      <c r="D11" s="1">
        <v>7</v>
      </c>
      <c r="E11" s="1">
        <f>IF(OR(Paths!$C$7=0,C11=0),0,MAX(0,MIN(C11*12,Paths!$E$7)-(C11-1)*12))</f>
        <v>0</v>
      </c>
      <c r="F11" s="1">
        <f>IF(OR(Paths!$C$7=0,C11=0),0,12-E11)</f>
        <v>12</v>
      </c>
      <c r="G11" s="16">
        <f>IF(NOT(Paths!$C$7=1),0,IF(Paths!$P$7="Complete",E11/12*(Paths!$J$7*(1+'Operating costs'!$B$51)^MAX(0,C11-1)+Paths!$K$7*(1+'Operating costs'!$B$53)^MAX(0,C11-1)),"n.a."))</f>
        <v>0</v>
      </c>
      <c r="H11" s="16">
        <f>IF(NOT(Paths!$C$7=1),0,IF(Paths!$P$7="Complete",F11/12*(Paths!$L$7*(1+IF(Paths!$D$7="EV",'Operating costs'!$B$52,'Operating costs'!$B$51))^MAX(0,C11-1)+Paths!$M$7*(1+'Operating costs'!$B$53)^MAX(0,C11-1)),"n.a."))</f>
        <v>18151.349999999999</v>
      </c>
      <c r="I11" s="16">
        <f>IF(NOT(Paths!$C$7=1),0,IF(Paths!$P$7="Complete",IF(IF(Paths!$E$7=0,C11=0,AND(C11&gt;0,Paths!$E$7&gt;(C11-1)*12,Paths!$E$7&lt;=C11*12)),Paths!$G$7,0),"n.a."))</f>
        <v>0</v>
      </c>
      <c r="J11" s="16">
        <f>IF(NOT(Paths!$C$7=1),0,IF(Paths!$P$7="Complete",IF(IF(Paths!$E$7=0,C11=0,AND(C11&gt;0,Paths!$E$7&gt;(C11-1)*12,Paths!$E$7&lt;=C11*12)),Paths!$H$7,0),"n.a."))</f>
        <v>0</v>
      </c>
      <c r="K11" s="16">
        <f>IF(NOT(Paths!$C$7=1),0,IF(Paths!$P$7="Complete",IF(IF(Paths!$O$7=0,C11=0,AND(C11&gt;0,Paths!$O$7&gt;(C11-1)*12,Paths!$O$7&lt;=C11*12)),Paths!$N$7,0),"n.a."))</f>
        <v>0</v>
      </c>
      <c r="L11" s="16">
        <f>IF(NOT(Paths!$C$7=1),0,IF(Paths!$P$7="Complete",IF(C11=10,Paths!$I$7,0),"n.a."))</f>
        <v>0</v>
      </c>
      <c r="M11" s="16">
        <f>IF(NOT(Paths!$C$7=1),0,IF(Paths!$P$7="Complete",IF(AND(Paths!$D$7="EV",Paths!$E$7&lt;120,Paths!$E$7+'Operating costs'!$B$65&gt;Paths!$E$7,Paths!$E$7+'Operating costs'!$B$65&lt;=120,IF(Paths!$E$7+'Operating costs'!$B$65=0,C11=0,AND(C11&gt;0,Paths!$E$7+'Operating costs'!$B$65&gt;(C11-1)*12,Paths!$E$7+'Operating costs'!$B$65&lt;=C11*12))),'Operating costs'!$B$64,0)+IF(AND('Operating costs'!$B$67&gt;0,'Operating costs'!$B$67&lt;=120,OR(Paths!$D$7="ICE",'Operating costs'!$B$67&lt;=Paths!$E$7),IF('Operating costs'!$B$67=0,C11=0,AND(C11&gt;0,'Operating costs'!$B$67&gt;(C11-1)*12,'Operating costs'!$B$67&lt;=C11*12))),'Operating costs'!$B$66,0),"n.a."))</f>
        <v>0</v>
      </c>
      <c r="N11" s="16">
        <f>IF(NOT(Paths!$C$7=1),0,IF(Paths!$P$7="Complete",SUM(G11:I11)-J11-K11-L11+M11+IF(C11=0,Paths!$F$7,0)+IF(IF(Paths!$E$7=0,C11=0,AND(C11&gt;0,Paths!$E$7&gt;(C11-1)*12,Paths!$E$7&lt;=C11*12)),VLOOKUP(A11,'Fleet register'!$A$7:$S$106,16,FALSE),0),"n.a."))</f>
        <v>18151.349999999999</v>
      </c>
      <c r="O11" s="16">
        <f>IF(NOT(Paths!$C$7=1),0,IF(Paths!$P$7="Complete",N11-IF(C11=0,Paths!$F$7,0),"n.a."))</f>
        <v>18151.349999999999</v>
      </c>
      <c r="P11" s="16">
        <f>IF(NOT(Paths!$C$7=1),0,IF(Paths!$P$7="Complete",O11+L11,"n.a."))</f>
        <v>18151.349999999999</v>
      </c>
      <c r="Q11" s="16">
        <f>IF(NOT(Paths!$C$7=1),0,IF(Paths!$P$7="Complete",N11*(1+'Operating costs'!$B$54)^-C11,"n.a."))</f>
        <v>18151.349999999999</v>
      </c>
      <c r="R11" s="16">
        <f>IF(NOT(Paths!$C$7=1),0,IF(Paths!$P$7="Complete",IF(AND(C11=0,Paths!$E$7=0),I11-J11-K11+VLOOKUP(A11,'Fleet register'!$A$7:$S$106,15,FALSE)+VLOOKUP(A11,'Fleet register'!$A$7:$S$106,16,FALSE),0),"n.a."))</f>
        <v>0</v>
      </c>
      <c r="S11" s="1">
        <f>IF(NOT(Paths!$C$7=1),0,IF(Paths!$P$7="Complete",IF(C11=0,0,Paths!$S$7*Paths!$R$7),"n.a."))</f>
        <v>45000</v>
      </c>
      <c r="T11" s="1">
        <f>IF(NOT(Paths!$C$7=1),0,IF(Paths!$P$7="Complete",IF(C11=0,0,VLOOKUP(A11,'Fleet register'!$A$7:$S$106,9,FALSE)*Paths!$R$7),"n.a."))</f>
        <v>7200</v>
      </c>
    </row>
    <row r="12" spans="1:20" ht="24" customHeight="1">
      <c r="A12" s="1" t="str">
        <f>Paths!$A$7</f>
        <v>T001</v>
      </c>
      <c r="B12" s="1">
        <f>Paths!$B$7</f>
        <v>0</v>
      </c>
      <c r="C12" s="1">
        <v>5</v>
      </c>
      <c r="D12" s="1">
        <v>7</v>
      </c>
      <c r="E12" s="1">
        <f>IF(OR(Paths!$C$7=0,C12=0),0,MAX(0,MIN(C12*12,Paths!$E$7)-(C12-1)*12))</f>
        <v>0</v>
      </c>
      <c r="F12" s="1">
        <f>IF(OR(Paths!$C$7=0,C12=0),0,12-E12)</f>
        <v>12</v>
      </c>
      <c r="G12" s="16">
        <f>IF(NOT(Paths!$C$7=1),0,IF(Paths!$P$7="Complete",E12/12*(Paths!$J$7*(1+'Operating costs'!$B$51)^MAX(0,C12-1)+Paths!$K$7*(1+'Operating costs'!$B$53)^MAX(0,C12-1)),"n.a."))</f>
        <v>0</v>
      </c>
      <c r="H12" s="16">
        <f>IF(NOT(Paths!$C$7=1),0,IF(Paths!$P$7="Complete",F12/12*(Paths!$L$7*(1+IF(Paths!$D$7="EV",'Operating costs'!$B$52,'Operating costs'!$B$51))^MAX(0,C12-1)+Paths!$M$7*(1+'Operating costs'!$B$53)^MAX(0,C12-1)),"n.a."))</f>
        <v>18151.349999999999</v>
      </c>
      <c r="I12" s="16">
        <f>IF(NOT(Paths!$C$7=1),0,IF(Paths!$P$7="Complete",IF(IF(Paths!$E$7=0,C12=0,AND(C12&gt;0,Paths!$E$7&gt;(C12-1)*12,Paths!$E$7&lt;=C12*12)),Paths!$G$7,0),"n.a."))</f>
        <v>0</v>
      </c>
      <c r="J12" s="16">
        <f>IF(NOT(Paths!$C$7=1),0,IF(Paths!$P$7="Complete",IF(IF(Paths!$E$7=0,C12=0,AND(C12&gt;0,Paths!$E$7&gt;(C12-1)*12,Paths!$E$7&lt;=C12*12)),Paths!$H$7,0),"n.a."))</f>
        <v>0</v>
      </c>
      <c r="K12" s="16">
        <f>IF(NOT(Paths!$C$7=1),0,IF(Paths!$P$7="Complete",IF(IF(Paths!$O$7=0,C12=0,AND(C12&gt;0,Paths!$O$7&gt;(C12-1)*12,Paths!$O$7&lt;=C12*12)),Paths!$N$7,0),"n.a."))</f>
        <v>0</v>
      </c>
      <c r="L12" s="16">
        <f>IF(NOT(Paths!$C$7=1),0,IF(Paths!$P$7="Complete",IF(C12=10,Paths!$I$7,0),"n.a."))</f>
        <v>0</v>
      </c>
      <c r="M12" s="16">
        <f>IF(NOT(Paths!$C$7=1),0,IF(Paths!$P$7="Complete",IF(AND(Paths!$D$7="EV",Paths!$E$7&lt;120,Paths!$E$7+'Operating costs'!$B$65&gt;Paths!$E$7,Paths!$E$7+'Operating costs'!$B$65&lt;=120,IF(Paths!$E$7+'Operating costs'!$B$65=0,C12=0,AND(C12&gt;0,Paths!$E$7+'Operating costs'!$B$65&gt;(C12-1)*12,Paths!$E$7+'Operating costs'!$B$65&lt;=C12*12))),'Operating costs'!$B$64,0)+IF(AND('Operating costs'!$B$67&gt;0,'Operating costs'!$B$67&lt;=120,OR(Paths!$D$7="ICE",'Operating costs'!$B$67&lt;=Paths!$E$7),IF('Operating costs'!$B$67=0,C12=0,AND(C12&gt;0,'Operating costs'!$B$67&gt;(C12-1)*12,'Operating costs'!$B$67&lt;=C12*12))),'Operating costs'!$B$66,0),"n.a."))</f>
        <v>0</v>
      </c>
      <c r="N12" s="16">
        <f>IF(NOT(Paths!$C$7=1),0,IF(Paths!$P$7="Complete",SUM(G12:I12)-J12-K12-L12+M12+IF(C12=0,Paths!$F$7,0)+IF(IF(Paths!$E$7=0,C12=0,AND(C12&gt;0,Paths!$E$7&gt;(C12-1)*12,Paths!$E$7&lt;=C12*12)),VLOOKUP(A12,'Fleet register'!$A$7:$S$106,16,FALSE),0),"n.a."))</f>
        <v>18151.349999999999</v>
      </c>
      <c r="O12" s="16">
        <f>IF(NOT(Paths!$C$7=1),0,IF(Paths!$P$7="Complete",N12-IF(C12=0,Paths!$F$7,0),"n.a."))</f>
        <v>18151.349999999999</v>
      </c>
      <c r="P12" s="16">
        <f>IF(NOT(Paths!$C$7=1),0,IF(Paths!$P$7="Complete",O12+L12,"n.a."))</f>
        <v>18151.349999999999</v>
      </c>
      <c r="Q12" s="16">
        <f>IF(NOT(Paths!$C$7=1),0,IF(Paths!$P$7="Complete",N12*(1+'Operating costs'!$B$54)^-C12,"n.a."))</f>
        <v>18151.349999999999</v>
      </c>
      <c r="R12" s="16">
        <f>IF(NOT(Paths!$C$7=1),0,IF(Paths!$P$7="Complete",IF(AND(C12=0,Paths!$E$7=0),I12-J12-K12+VLOOKUP(A12,'Fleet register'!$A$7:$S$106,15,FALSE)+VLOOKUP(A12,'Fleet register'!$A$7:$S$106,16,FALSE),0),"n.a."))</f>
        <v>0</v>
      </c>
      <c r="S12" s="1">
        <f>IF(NOT(Paths!$C$7=1),0,IF(Paths!$P$7="Complete",IF(C12=0,0,Paths!$S$7*Paths!$R$7),"n.a."))</f>
        <v>45000</v>
      </c>
      <c r="T12" s="1">
        <f>IF(NOT(Paths!$C$7=1),0,IF(Paths!$P$7="Complete",IF(C12=0,0,VLOOKUP(A12,'Fleet register'!$A$7:$S$106,9,FALSE)*Paths!$R$7),"n.a."))</f>
        <v>7200</v>
      </c>
    </row>
    <row r="13" spans="1:20" ht="24" customHeight="1">
      <c r="A13" s="1" t="str">
        <f>Paths!$A$7</f>
        <v>T001</v>
      </c>
      <c r="B13" s="1">
        <f>Paths!$B$7</f>
        <v>0</v>
      </c>
      <c r="C13" s="1">
        <v>6</v>
      </c>
      <c r="D13" s="1">
        <v>7</v>
      </c>
      <c r="E13" s="1">
        <f>IF(OR(Paths!$C$7=0,C13=0),0,MAX(0,MIN(C13*12,Paths!$E$7)-(C13-1)*12))</f>
        <v>0</v>
      </c>
      <c r="F13" s="1">
        <f>IF(OR(Paths!$C$7=0,C13=0),0,12-E13)</f>
        <v>12</v>
      </c>
      <c r="G13" s="16">
        <f>IF(NOT(Paths!$C$7=1),0,IF(Paths!$P$7="Complete",E13/12*(Paths!$J$7*(1+'Operating costs'!$B$51)^MAX(0,C13-1)+Paths!$K$7*(1+'Operating costs'!$B$53)^MAX(0,C13-1)),"n.a."))</f>
        <v>0</v>
      </c>
      <c r="H13" s="16">
        <f>IF(NOT(Paths!$C$7=1),0,IF(Paths!$P$7="Complete",F13/12*(Paths!$L$7*(1+IF(Paths!$D$7="EV",'Operating costs'!$B$52,'Operating costs'!$B$51))^MAX(0,C13-1)+Paths!$M$7*(1+'Operating costs'!$B$53)^MAX(0,C13-1)),"n.a."))</f>
        <v>18151.349999999999</v>
      </c>
      <c r="I13" s="16">
        <f>IF(NOT(Paths!$C$7=1),0,IF(Paths!$P$7="Complete",IF(IF(Paths!$E$7=0,C13=0,AND(C13&gt;0,Paths!$E$7&gt;(C13-1)*12,Paths!$E$7&lt;=C13*12)),Paths!$G$7,0),"n.a."))</f>
        <v>0</v>
      </c>
      <c r="J13" s="16">
        <f>IF(NOT(Paths!$C$7=1),0,IF(Paths!$P$7="Complete",IF(IF(Paths!$E$7=0,C13=0,AND(C13&gt;0,Paths!$E$7&gt;(C13-1)*12,Paths!$E$7&lt;=C13*12)),Paths!$H$7,0),"n.a."))</f>
        <v>0</v>
      </c>
      <c r="K13" s="16">
        <f>IF(NOT(Paths!$C$7=1),0,IF(Paths!$P$7="Complete",IF(IF(Paths!$O$7=0,C13=0,AND(C13&gt;0,Paths!$O$7&gt;(C13-1)*12,Paths!$O$7&lt;=C13*12)),Paths!$N$7,0),"n.a."))</f>
        <v>0</v>
      </c>
      <c r="L13" s="16">
        <f>IF(NOT(Paths!$C$7=1),0,IF(Paths!$P$7="Complete",IF(C13=10,Paths!$I$7,0),"n.a."))</f>
        <v>0</v>
      </c>
      <c r="M13" s="16">
        <f>IF(NOT(Paths!$C$7=1),0,IF(Paths!$P$7="Complete",IF(AND(Paths!$D$7="EV",Paths!$E$7&lt;120,Paths!$E$7+'Operating costs'!$B$65&gt;Paths!$E$7,Paths!$E$7+'Operating costs'!$B$65&lt;=120,IF(Paths!$E$7+'Operating costs'!$B$65=0,C13=0,AND(C13&gt;0,Paths!$E$7+'Operating costs'!$B$65&gt;(C13-1)*12,Paths!$E$7+'Operating costs'!$B$65&lt;=C13*12))),'Operating costs'!$B$64,0)+IF(AND('Operating costs'!$B$67&gt;0,'Operating costs'!$B$67&lt;=120,OR(Paths!$D$7="ICE",'Operating costs'!$B$67&lt;=Paths!$E$7),IF('Operating costs'!$B$67=0,C13=0,AND(C13&gt;0,'Operating costs'!$B$67&gt;(C13-1)*12,'Operating costs'!$B$67&lt;=C13*12))),'Operating costs'!$B$66,0),"n.a."))</f>
        <v>0</v>
      </c>
      <c r="N13" s="16">
        <f>IF(NOT(Paths!$C$7=1),0,IF(Paths!$P$7="Complete",SUM(G13:I13)-J13-K13-L13+M13+IF(C13=0,Paths!$F$7,0)+IF(IF(Paths!$E$7=0,C13=0,AND(C13&gt;0,Paths!$E$7&gt;(C13-1)*12,Paths!$E$7&lt;=C13*12)),VLOOKUP(A13,'Fleet register'!$A$7:$S$106,16,FALSE),0),"n.a."))</f>
        <v>18151.349999999999</v>
      </c>
      <c r="O13" s="16">
        <f>IF(NOT(Paths!$C$7=1),0,IF(Paths!$P$7="Complete",N13-IF(C13=0,Paths!$F$7,0),"n.a."))</f>
        <v>18151.349999999999</v>
      </c>
      <c r="P13" s="16">
        <f>IF(NOT(Paths!$C$7=1),0,IF(Paths!$P$7="Complete",O13+L13,"n.a."))</f>
        <v>18151.349999999999</v>
      </c>
      <c r="Q13" s="16">
        <f>IF(NOT(Paths!$C$7=1),0,IF(Paths!$P$7="Complete",N13*(1+'Operating costs'!$B$54)^-C13,"n.a."))</f>
        <v>18151.349999999999</v>
      </c>
      <c r="R13" s="16">
        <f>IF(NOT(Paths!$C$7=1),0,IF(Paths!$P$7="Complete",IF(AND(C13=0,Paths!$E$7=0),I13-J13-K13+VLOOKUP(A13,'Fleet register'!$A$7:$S$106,15,FALSE)+VLOOKUP(A13,'Fleet register'!$A$7:$S$106,16,FALSE),0),"n.a."))</f>
        <v>0</v>
      </c>
      <c r="S13" s="1">
        <f>IF(NOT(Paths!$C$7=1),0,IF(Paths!$P$7="Complete",IF(C13=0,0,Paths!$S$7*Paths!$R$7),"n.a."))</f>
        <v>45000</v>
      </c>
      <c r="T13" s="1">
        <f>IF(NOT(Paths!$C$7=1),0,IF(Paths!$P$7="Complete",IF(C13=0,0,VLOOKUP(A13,'Fleet register'!$A$7:$S$106,9,FALSE)*Paths!$R$7),"n.a."))</f>
        <v>7200</v>
      </c>
    </row>
    <row r="14" spans="1:20" ht="24" customHeight="1">
      <c r="A14" s="1" t="str">
        <f>Paths!$A$7</f>
        <v>T001</v>
      </c>
      <c r="B14" s="1">
        <f>Paths!$B$7</f>
        <v>0</v>
      </c>
      <c r="C14" s="1">
        <v>7</v>
      </c>
      <c r="D14" s="1">
        <v>7</v>
      </c>
      <c r="E14" s="1">
        <f>IF(OR(Paths!$C$7=0,C14=0),0,MAX(0,MIN(C14*12,Paths!$E$7)-(C14-1)*12))</f>
        <v>0</v>
      </c>
      <c r="F14" s="1">
        <f>IF(OR(Paths!$C$7=0,C14=0),0,12-E14)</f>
        <v>12</v>
      </c>
      <c r="G14" s="16">
        <f>IF(NOT(Paths!$C$7=1),0,IF(Paths!$P$7="Complete",E14/12*(Paths!$J$7*(1+'Operating costs'!$B$51)^MAX(0,C14-1)+Paths!$K$7*(1+'Operating costs'!$B$53)^MAX(0,C14-1)),"n.a."))</f>
        <v>0</v>
      </c>
      <c r="H14" s="16">
        <f>IF(NOT(Paths!$C$7=1),0,IF(Paths!$P$7="Complete",F14/12*(Paths!$L$7*(1+IF(Paths!$D$7="EV",'Operating costs'!$B$52,'Operating costs'!$B$51))^MAX(0,C14-1)+Paths!$M$7*(1+'Operating costs'!$B$53)^MAX(0,C14-1)),"n.a."))</f>
        <v>18151.349999999999</v>
      </c>
      <c r="I14" s="16">
        <f>IF(NOT(Paths!$C$7=1),0,IF(Paths!$P$7="Complete",IF(IF(Paths!$E$7=0,C14=0,AND(C14&gt;0,Paths!$E$7&gt;(C14-1)*12,Paths!$E$7&lt;=C14*12)),Paths!$G$7,0),"n.a."))</f>
        <v>0</v>
      </c>
      <c r="J14" s="16">
        <f>IF(NOT(Paths!$C$7=1),0,IF(Paths!$P$7="Complete",IF(IF(Paths!$E$7=0,C14=0,AND(C14&gt;0,Paths!$E$7&gt;(C14-1)*12,Paths!$E$7&lt;=C14*12)),Paths!$H$7,0),"n.a."))</f>
        <v>0</v>
      </c>
      <c r="K14" s="16">
        <f>IF(NOT(Paths!$C$7=1),0,IF(Paths!$P$7="Complete",IF(IF(Paths!$O$7=0,C14=0,AND(C14&gt;0,Paths!$O$7&gt;(C14-1)*12,Paths!$O$7&lt;=C14*12)),Paths!$N$7,0),"n.a."))</f>
        <v>0</v>
      </c>
      <c r="L14" s="16">
        <f>IF(NOT(Paths!$C$7=1),0,IF(Paths!$P$7="Complete",IF(C14=10,Paths!$I$7,0),"n.a."))</f>
        <v>0</v>
      </c>
      <c r="M14" s="16">
        <f>IF(NOT(Paths!$C$7=1),0,IF(Paths!$P$7="Complete",IF(AND(Paths!$D$7="EV",Paths!$E$7&lt;120,Paths!$E$7+'Operating costs'!$B$65&gt;Paths!$E$7,Paths!$E$7+'Operating costs'!$B$65&lt;=120,IF(Paths!$E$7+'Operating costs'!$B$65=0,C14=0,AND(C14&gt;0,Paths!$E$7+'Operating costs'!$B$65&gt;(C14-1)*12,Paths!$E$7+'Operating costs'!$B$65&lt;=C14*12))),'Operating costs'!$B$64,0)+IF(AND('Operating costs'!$B$67&gt;0,'Operating costs'!$B$67&lt;=120,OR(Paths!$D$7="ICE",'Operating costs'!$B$67&lt;=Paths!$E$7),IF('Operating costs'!$B$67=0,C14=0,AND(C14&gt;0,'Operating costs'!$B$67&gt;(C14-1)*12,'Operating costs'!$B$67&lt;=C14*12))),'Operating costs'!$B$66,0),"n.a."))</f>
        <v>0</v>
      </c>
      <c r="N14" s="16">
        <f>IF(NOT(Paths!$C$7=1),0,IF(Paths!$P$7="Complete",SUM(G14:I14)-J14-K14-L14+M14+IF(C14=0,Paths!$F$7,0)+IF(IF(Paths!$E$7=0,C14=0,AND(C14&gt;0,Paths!$E$7&gt;(C14-1)*12,Paths!$E$7&lt;=C14*12)),VLOOKUP(A14,'Fleet register'!$A$7:$S$106,16,FALSE),0),"n.a."))</f>
        <v>18151.349999999999</v>
      </c>
      <c r="O14" s="16">
        <f>IF(NOT(Paths!$C$7=1),0,IF(Paths!$P$7="Complete",N14-IF(C14=0,Paths!$F$7,0),"n.a."))</f>
        <v>18151.349999999999</v>
      </c>
      <c r="P14" s="16">
        <f>IF(NOT(Paths!$C$7=1),0,IF(Paths!$P$7="Complete",O14+L14,"n.a."))</f>
        <v>18151.349999999999</v>
      </c>
      <c r="Q14" s="16">
        <f>IF(NOT(Paths!$C$7=1),0,IF(Paths!$P$7="Complete",N14*(1+'Operating costs'!$B$54)^-C14,"n.a."))</f>
        <v>18151.349999999999</v>
      </c>
      <c r="R14" s="16">
        <f>IF(NOT(Paths!$C$7=1),0,IF(Paths!$P$7="Complete",IF(AND(C14=0,Paths!$E$7=0),I14-J14-K14+VLOOKUP(A14,'Fleet register'!$A$7:$S$106,15,FALSE)+VLOOKUP(A14,'Fleet register'!$A$7:$S$106,16,FALSE),0),"n.a."))</f>
        <v>0</v>
      </c>
      <c r="S14" s="1">
        <f>IF(NOT(Paths!$C$7=1),0,IF(Paths!$P$7="Complete",IF(C14=0,0,Paths!$S$7*Paths!$R$7),"n.a."))</f>
        <v>45000</v>
      </c>
      <c r="T14" s="1">
        <f>IF(NOT(Paths!$C$7=1),0,IF(Paths!$P$7="Complete",IF(C14=0,0,VLOOKUP(A14,'Fleet register'!$A$7:$S$106,9,FALSE)*Paths!$R$7),"n.a."))</f>
        <v>7200</v>
      </c>
    </row>
    <row r="15" spans="1:20" ht="24" customHeight="1">
      <c r="A15" s="1" t="str">
        <f>Paths!$A$7</f>
        <v>T001</v>
      </c>
      <c r="B15" s="1">
        <f>Paths!$B$7</f>
        <v>0</v>
      </c>
      <c r="C15" s="1">
        <v>8</v>
      </c>
      <c r="D15" s="1">
        <v>7</v>
      </c>
      <c r="E15" s="1">
        <f>IF(OR(Paths!$C$7=0,C15=0),0,MAX(0,MIN(C15*12,Paths!$E$7)-(C15-1)*12))</f>
        <v>0</v>
      </c>
      <c r="F15" s="1">
        <f>IF(OR(Paths!$C$7=0,C15=0),0,12-E15)</f>
        <v>12</v>
      </c>
      <c r="G15" s="16">
        <f>IF(NOT(Paths!$C$7=1),0,IF(Paths!$P$7="Complete",E15/12*(Paths!$J$7*(1+'Operating costs'!$B$51)^MAX(0,C15-1)+Paths!$K$7*(1+'Operating costs'!$B$53)^MAX(0,C15-1)),"n.a."))</f>
        <v>0</v>
      </c>
      <c r="H15" s="16">
        <f>IF(NOT(Paths!$C$7=1),0,IF(Paths!$P$7="Complete",F15/12*(Paths!$L$7*(1+IF(Paths!$D$7="EV",'Operating costs'!$B$52,'Operating costs'!$B$51))^MAX(0,C15-1)+Paths!$M$7*(1+'Operating costs'!$B$53)^MAX(0,C15-1)),"n.a."))</f>
        <v>18151.349999999999</v>
      </c>
      <c r="I15" s="16">
        <f>IF(NOT(Paths!$C$7=1),0,IF(Paths!$P$7="Complete",IF(IF(Paths!$E$7=0,C15=0,AND(C15&gt;0,Paths!$E$7&gt;(C15-1)*12,Paths!$E$7&lt;=C15*12)),Paths!$G$7,0),"n.a."))</f>
        <v>0</v>
      </c>
      <c r="J15" s="16">
        <f>IF(NOT(Paths!$C$7=1),0,IF(Paths!$P$7="Complete",IF(IF(Paths!$E$7=0,C15=0,AND(C15&gt;0,Paths!$E$7&gt;(C15-1)*12,Paths!$E$7&lt;=C15*12)),Paths!$H$7,0),"n.a."))</f>
        <v>0</v>
      </c>
      <c r="K15" s="16">
        <f>IF(NOT(Paths!$C$7=1),0,IF(Paths!$P$7="Complete",IF(IF(Paths!$O$7=0,C15=0,AND(C15&gt;0,Paths!$O$7&gt;(C15-1)*12,Paths!$O$7&lt;=C15*12)),Paths!$N$7,0),"n.a."))</f>
        <v>0</v>
      </c>
      <c r="L15" s="16">
        <f>IF(NOT(Paths!$C$7=1),0,IF(Paths!$P$7="Complete",IF(C15=10,Paths!$I$7,0),"n.a."))</f>
        <v>0</v>
      </c>
      <c r="M15" s="16">
        <f>IF(NOT(Paths!$C$7=1),0,IF(Paths!$P$7="Complete",IF(AND(Paths!$D$7="EV",Paths!$E$7&lt;120,Paths!$E$7+'Operating costs'!$B$65&gt;Paths!$E$7,Paths!$E$7+'Operating costs'!$B$65&lt;=120,IF(Paths!$E$7+'Operating costs'!$B$65=0,C15=0,AND(C15&gt;0,Paths!$E$7+'Operating costs'!$B$65&gt;(C15-1)*12,Paths!$E$7+'Operating costs'!$B$65&lt;=C15*12))),'Operating costs'!$B$64,0)+IF(AND('Operating costs'!$B$67&gt;0,'Operating costs'!$B$67&lt;=120,OR(Paths!$D$7="ICE",'Operating costs'!$B$67&lt;=Paths!$E$7),IF('Operating costs'!$B$67=0,C15=0,AND(C15&gt;0,'Operating costs'!$B$67&gt;(C15-1)*12,'Operating costs'!$B$67&lt;=C15*12))),'Operating costs'!$B$66,0),"n.a."))</f>
        <v>0</v>
      </c>
      <c r="N15" s="16">
        <f>IF(NOT(Paths!$C$7=1),0,IF(Paths!$P$7="Complete",SUM(G15:I15)-J15-K15-L15+M15+IF(C15=0,Paths!$F$7,0)+IF(IF(Paths!$E$7=0,C15=0,AND(C15&gt;0,Paths!$E$7&gt;(C15-1)*12,Paths!$E$7&lt;=C15*12)),VLOOKUP(A15,'Fleet register'!$A$7:$S$106,16,FALSE),0),"n.a."))</f>
        <v>18151.349999999999</v>
      </c>
      <c r="O15" s="16">
        <f>IF(NOT(Paths!$C$7=1),0,IF(Paths!$P$7="Complete",N15-IF(C15=0,Paths!$F$7,0),"n.a."))</f>
        <v>18151.349999999999</v>
      </c>
      <c r="P15" s="16">
        <f>IF(NOT(Paths!$C$7=1),0,IF(Paths!$P$7="Complete",O15+L15,"n.a."))</f>
        <v>18151.349999999999</v>
      </c>
      <c r="Q15" s="16">
        <f>IF(NOT(Paths!$C$7=1),0,IF(Paths!$P$7="Complete",N15*(1+'Operating costs'!$B$54)^-C15,"n.a."))</f>
        <v>18151.349999999999</v>
      </c>
      <c r="R15" s="16">
        <f>IF(NOT(Paths!$C$7=1),0,IF(Paths!$P$7="Complete",IF(AND(C15=0,Paths!$E$7=0),I15-J15-K15+VLOOKUP(A15,'Fleet register'!$A$7:$S$106,15,FALSE)+VLOOKUP(A15,'Fleet register'!$A$7:$S$106,16,FALSE),0),"n.a."))</f>
        <v>0</v>
      </c>
      <c r="S15" s="1">
        <f>IF(NOT(Paths!$C$7=1),0,IF(Paths!$P$7="Complete",IF(C15=0,0,Paths!$S$7*Paths!$R$7),"n.a."))</f>
        <v>45000</v>
      </c>
      <c r="T15" s="1">
        <f>IF(NOT(Paths!$C$7=1),0,IF(Paths!$P$7="Complete",IF(C15=0,0,VLOOKUP(A15,'Fleet register'!$A$7:$S$106,9,FALSE)*Paths!$R$7),"n.a."))</f>
        <v>7200</v>
      </c>
    </row>
    <row r="16" spans="1:20" ht="24" customHeight="1">
      <c r="A16" s="1" t="str">
        <f>Paths!$A$7</f>
        <v>T001</v>
      </c>
      <c r="B16" s="1">
        <f>Paths!$B$7</f>
        <v>0</v>
      </c>
      <c r="C16" s="1">
        <v>9</v>
      </c>
      <c r="D16" s="1">
        <v>7</v>
      </c>
      <c r="E16" s="1">
        <f>IF(OR(Paths!$C$7=0,C16=0),0,MAX(0,MIN(C16*12,Paths!$E$7)-(C16-1)*12))</f>
        <v>0</v>
      </c>
      <c r="F16" s="1">
        <f>IF(OR(Paths!$C$7=0,C16=0),0,12-E16)</f>
        <v>12</v>
      </c>
      <c r="G16" s="16">
        <f>IF(NOT(Paths!$C$7=1),0,IF(Paths!$P$7="Complete",E16/12*(Paths!$J$7*(1+'Operating costs'!$B$51)^MAX(0,C16-1)+Paths!$K$7*(1+'Operating costs'!$B$53)^MAX(0,C16-1)),"n.a."))</f>
        <v>0</v>
      </c>
      <c r="H16" s="16">
        <f>IF(NOT(Paths!$C$7=1),0,IF(Paths!$P$7="Complete",F16/12*(Paths!$L$7*(1+IF(Paths!$D$7="EV",'Operating costs'!$B$52,'Operating costs'!$B$51))^MAX(0,C16-1)+Paths!$M$7*(1+'Operating costs'!$B$53)^MAX(0,C16-1)),"n.a."))</f>
        <v>18151.349999999999</v>
      </c>
      <c r="I16" s="16">
        <f>IF(NOT(Paths!$C$7=1),0,IF(Paths!$P$7="Complete",IF(IF(Paths!$E$7=0,C16=0,AND(C16&gt;0,Paths!$E$7&gt;(C16-1)*12,Paths!$E$7&lt;=C16*12)),Paths!$G$7,0),"n.a."))</f>
        <v>0</v>
      </c>
      <c r="J16" s="16">
        <f>IF(NOT(Paths!$C$7=1),0,IF(Paths!$P$7="Complete",IF(IF(Paths!$E$7=0,C16=0,AND(C16&gt;0,Paths!$E$7&gt;(C16-1)*12,Paths!$E$7&lt;=C16*12)),Paths!$H$7,0),"n.a."))</f>
        <v>0</v>
      </c>
      <c r="K16" s="16">
        <f>IF(NOT(Paths!$C$7=1),0,IF(Paths!$P$7="Complete",IF(IF(Paths!$O$7=0,C16=0,AND(C16&gt;0,Paths!$O$7&gt;(C16-1)*12,Paths!$O$7&lt;=C16*12)),Paths!$N$7,0),"n.a."))</f>
        <v>0</v>
      </c>
      <c r="L16" s="16">
        <f>IF(NOT(Paths!$C$7=1),0,IF(Paths!$P$7="Complete",IF(C16=10,Paths!$I$7,0),"n.a."))</f>
        <v>0</v>
      </c>
      <c r="M16" s="16">
        <f>IF(NOT(Paths!$C$7=1),0,IF(Paths!$P$7="Complete",IF(AND(Paths!$D$7="EV",Paths!$E$7&lt;120,Paths!$E$7+'Operating costs'!$B$65&gt;Paths!$E$7,Paths!$E$7+'Operating costs'!$B$65&lt;=120,IF(Paths!$E$7+'Operating costs'!$B$65=0,C16=0,AND(C16&gt;0,Paths!$E$7+'Operating costs'!$B$65&gt;(C16-1)*12,Paths!$E$7+'Operating costs'!$B$65&lt;=C16*12))),'Operating costs'!$B$64,0)+IF(AND('Operating costs'!$B$67&gt;0,'Operating costs'!$B$67&lt;=120,OR(Paths!$D$7="ICE",'Operating costs'!$B$67&lt;=Paths!$E$7),IF('Operating costs'!$B$67=0,C16=0,AND(C16&gt;0,'Operating costs'!$B$67&gt;(C16-1)*12,'Operating costs'!$B$67&lt;=C16*12))),'Operating costs'!$B$66,0),"n.a."))</f>
        <v>0</v>
      </c>
      <c r="N16" s="16">
        <f>IF(NOT(Paths!$C$7=1),0,IF(Paths!$P$7="Complete",SUM(G16:I16)-J16-K16-L16+M16+IF(C16=0,Paths!$F$7,0)+IF(IF(Paths!$E$7=0,C16=0,AND(C16&gt;0,Paths!$E$7&gt;(C16-1)*12,Paths!$E$7&lt;=C16*12)),VLOOKUP(A16,'Fleet register'!$A$7:$S$106,16,FALSE),0),"n.a."))</f>
        <v>18151.349999999999</v>
      </c>
      <c r="O16" s="16">
        <f>IF(NOT(Paths!$C$7=1),0,IF(Paths!$P$7="Complete",N16-IF(C16=0,Paths!$F$7,0),"n.a."))</f>
        <v>18151.349999999999</v>
      </c>
      <c r="P16" s="16">
        <f>IF(NOT(Paths!$C$7=1),0,IF(Paths!$P$7="Complete",O16+L16,"n.a."))</f>
        <v>18151.349999999999</v>
      </c>
      <c r="Q16" s="16">
        <f>IF(NOT(Paths!$C$7=1),0,IF(Paths!$P$7="Complete",N16*(1+'Operating costs'!$B$54)^-C16,"n.a."))</f>
        <v>18151.349999999999</v>
      </c>
      <c r="R16" s="16">
        <f>IF(NOT(Paths!$C$7=1),0,IF(Paths!$P$7="Complete",IF(AND(C16=0,Paths!$E$7=0),I16-J16-K16+VLOOKUP(A16,'Fleet register'!$A$7:$S$106,15,FALSE)+VLOOKUP(A16,'Fleet register'!$A$7:$S$106,16,FALSE),0),"n.a."))</f>
        <v>0</v>
      </c>
      <c r="S16" s="1">
        <f>IF(NOT(Paths!$C$7=1),0,IF(Paths!$P$7="Complete",IF(C16=0,0,Paths!$S$7*Paths!$R$7),"n.a."))</f>
        <v>45000</v>
      </c>
      <c r="T16" s="1">
        <f>IF(NOT(Paths!$C$7=1),0,IF(Paths!$P$7="Complete",IF(C16=0,0,VLOOKUP(A16,'Fleet register'!$A$7:$S$106,9,FALSE)*Paths!$R$7),"n.a."))</f>
        <v>7200</v>
      </c>
    </row>
    <row r="17" spans="1:20" ht="24" customHeight="1">
      <c r="A17" s="1" t="str">
        <f>Paths!$A$7</f>
        <v>T001</v>
      </c>
      <c r="B17" s="1">
        <f>Paths!$B$7</f>
        <v>0</v>
      </c>
      <c r="C17" s="1">
        <v>10</v>
      </c>
      <c r="D17" s="1">
        <v>7</v>
      </c>
      <c r="E17" s="1">
        <f>IF(OR(Paths!$C$7=0,C17=0),0,MAX(0,MIN(C17*12,Paths!$E$7)-(C17-1)*12))</f>
        <v>0</v>
      </c>
      <c r="F17" s="1">
        <f>IF(OR(Paths!$C$7=0,C17=0),0,12-E17)</f>
        <v>12</v>
      </c>
      <c r="G17" s="16">
        <f>IF(NOT(Paths!$C$7=1),0,IF(Paths!$P$7="Complete",E17/12*(Paths!$J$7*(1+'Operating costs'!$B$51)^MAX(0,C17-1)+Paths!$K$7*(1+'Operating costs'!$B$53)^MAX(0,C17-1)),"n.a."))</f>
        <v>0</v>
      </c>
      <c r="H17" s="16">
        <f>IF(NOT(Paths!$C$7=1),0,IF(Paths!$P$7="Complete",F17/12*(Paths!$L$7*(1+IF(Paths!$D$7="EV",'Operating costs'!$B$52,'Operating costs'!$B$51))^MAX(0,C17-1)+Paths!$M$7*(1+'Operating costs'!$B$53)^MAX(0,C17-1)),"n.a."))</f>
        <v>18151.349999999999</v>
      </c>
      <c r="I17" s="16">
        <f>IF(NOT(Paths!$C$7=1),0,IF(Paths!$P$7="Complete",IF(IF(Paths!$E$7=0,C17=0,AND(C17&gt;0,Paths!$E$7&gt;(C17-1)*12,Paths!$E$7&lt;=C17*12)),Paths!$G$7,0),"n.a."))</f>
        <v>0</v>
      </c>
      <c r="J17" s="16">
        <f>IF(NOT(Paths!$C$7=1),0,IF(Paths!$P$7="Complete",IF(IF(Paths!$E$7=0,C17=0,AND(C17&gt;0,Paths!$E$7&gt;(C17-1)*12,Paths!$E$7&lt;=C17*12)),Paths!$H$7,0),"n.a."))</f>
        <v>0</v>
      </c>
      <c r="K17" s="16">
        <f>IF(NOT(Paths!$C$7=1),0,IF(Paths!$P$7="Complete",IF(IF(Paths!$O$7=0,C17=0,AND(C17&gt;0,Paths!$O$7&gt;(C17-1)*12,Paths!$O$7&lt;=C17*12)),Paths!$N$7,0),"n.a."))</f>
        <v>0</v>
      </c>
      <c r="L17" s="16">
        <f>IF(NOT(Paths!$C$7=1),0,IF(Paths!$P$7="Complete",IF(C17=10,Paths!$I$7,0),"n.a."))</f>
        <v>21300</v>
      </c>
      <c r="M17" s="16">
        <f>IF(NOT(Paths!$C$7=1),0,IF(Paths!$P$7="Complete",IF(AND(Paths!$D$7="EV",Paths!$E$7&lt;120,Paths!$E$7+'Operating costs'!$B$65&gt;Paths!$E$7,Paths!$E$7+'Operating costs'!$B$65&lt;=120,IF(Paths!$E$7+'Operating costs'!$B$65=0,C17=0,AND(C17&gt;0,Paths!$E$7+'Operating costs'!$B$65&gt;(C17-1)*12,Paths!$E$7+'Operating costs'!$B$65&lt;=C17*12))),'Operating costs'!$B$64,0)+IF(AND('Operating costs'!$B$67&gt;0,'Operating costs'!$B$67&lt;=120,OR(Paths!$D$7="ICE",'Operating costs'!$B$67&lt;=Paths!$E$7),IF('Operating costs'!$B$67=0,C17=0,AND(C17&gt;0,'Operating costs'!$B$67&gt;(C17-1)*12,'Operating costs'!$B$67&lt;=C17*12))),'Operating costs'!$B$66,0),"n.a."))</f>
        <v>0</v>
      </c>
      <c r="N17" s="16">
        <f>IF(NOT(Paths!$C$7=1),0,IF(Paths!$P$7="Complete",SUM(G17:I17)-J17-K17-L17+M17+IF(C17=0,Paths!$F$7,0)+IF(IF(Paths!$E$7=0,C17=0,AND(C17&gt;0,Paths!$E$7&gt;(C17-1)*12,Paths!$E$7&lt;=C17*12)),VLOOKUP(A17,'Fleet register'!$A$7:$S$106,16,FALSE),0),"n.a."))</f>
        <v>-3148.6500000000015</v>
      </c>
      <c r="O17" s="16">
        <f>IF(NOT(Paths!$C$7=1),0,IF(Paths!$P$7="Complete",N17-IF(C17=0,Paths!$F$7,0),"n.a."))</f>
        <v>-3148.6500000000015</v>
      </c>
      <c r="P17" s="16">
        <f>IF(NOT(Paths!$C$7=1),0,IF(Paths!$P$7="Complete",O17+L17,"n.a."))</f>
        <v>18151.349999999999</v>
      </c>
      <c r="Q17" s="16">
        <f>IF(NOT(Paths!$C$7=1),0,IF(Paths!$P$7="Complete",N17*(1+'Operating costs'!$B$54)^-C17,"n.a."))</f>
        <v>-3148.6500000000015</v>
      </c>
      <c r="R17" s="16">
        <f>IF(NOT(Paths!$C$7=1),0,IF(Paths!$P$7="Complete",IF(AND(C17=0,Paths!$E$7=0),I17-J17-K17+VLOOKUP(A17,'Fleet register'!$A$7:$S$106,15,FALSE)+VLOOKUP(A17,'Fleet register'!$A$7:$S$106,16,FALSE),0),"n.a."))</f>
        <v>0</v>
      </c>
      <c r="S17" s="1">
        <f>IF(NOT(Paths!$C$7=1),0,IF(Paths!$P$7="Complete",IF(C17=0,0,Paths!$S$7*Paths!$R$7),"n.a."))</f>
        <v>45000</v>
      </c>
      <c r="T17" s="1">
        <f>IF(NOT(Paths!$C$7=1),0,IF(Paths!$P$7="Complete",IF(C17=0,0,VLOOKUP(A17,'Fleet register'!$A$7:$S$106,9,FALSE)*Paths!$R$7),"n.a."))</f>
        <v>7200</v>
      </c>
    </row>
    <row r="18" spans="1:20" ht="24" customHeight="1">
      <c r="A18" s="1" t="str">
        <f>Paths!$A$8</f>
        <v>T001</v>
      </c>
      <c r="B18" s="1">
        <f>Paths!$B$8</f>
        <v>1</v>
      </c>
      <c r="C18" s="1">
        <v>0</v>
      </c>
      <c r="D18" s="1">
        <v>8</v>
      </c>
      <c r="E18" s="1">
        <f>IF(OR(Paths!$C$8=0,C18=0),0,MAX(0,MIN(C18*12,Paths!$E$8)-(C18-1)*12))</f>
        <v>0</v>
      </c>
      <c r="F18" s="1">
        <f>IF(OR(Paths!$C$8=0,C18=0),0,12-E18)</f>
        <v>0</v>
      </c>
      <c r="G18" s="16">
        <f>IF(NOT(Paths!$C$8=1),0,IF(Paths!$P$8="Complete",E18/12*(Paths!$J$8*(1+'Operating costs'!$B$51)^MAX(0,C18-1)+Paths!$K$8*(1+'Operating costs'!$B$53)^MAX(0,C18-1)),"n.a."))</f>
        <v>0</v>
      </c>
      <c r="H18" s="16">
        <f>IF(NOT(Paths!$C$8=1),0,IF(Paths!$P$8="Complete",F18/12*(Paths!$L$8*(1+IF(Paths!$D$8="EV",'Operating costs'!$B$52,'Operating costs'!$B$51))^MAX(0,C18-1)+Paths!$M$8*(1+'Operating costs'!$B$53)^MAX(0,C18-1)),"n.a."))</f>
        <v>0</v>
      </c>
      <c r="I18" s="16">
        <f>IF(NOT(Paths!$C$8=1),0,IF(Paths!$P$8="Complete",IF(IF(Paths!$E$8=0,C18=0,AND(C18&gt;0,Paths!$E$8&gt;(C18-1)*12,Paths!$E$8&lt;=C18*12)),Paths!$G$8,0),"n.a."))</f>
        <v>181000</v>
      </c>
      <c r="J18" s="16">
        <f>IF(NOT(Paths!$C$8=1),0,IF(Paths!$P$8="Complete",IF(IF(Paths!$E$8=0,C18=0,AND(C18&gt;0,Paths!$E$8&gt;(C18-1)*12,Paths!$E$8&lt;=C18*12)),Paths!$H$8,0),"n.a."))</f>
        <v>24000</v>
      </c>
      <c r="K18" s="16">
        <f>IF(NOT(Paths!$C$8=1),0,IF(Paths!$P$8="Complete",IF(IF(Paths!$O$8=0,C18=0,AND(C18&gt;0,Paths!$O$8&gt;(C18-1)*12,Paths!$O$8&lt;=C18*12)),Paths!$N$8,0),"n.a."))</f>
        <v>0</v>
      </c>
      <c r="L18" s="16">
        <f>IF(NOT(Paths!$C$8=1),0,IF(Paths!$P$8="Complete",IF(C18=10,Paths!$I$8,0),"n.a."))</f>
        <v>0</v>
      </c>
      <c r="M18" s="16">
        <f>IF(NOT(Paths!$C$8=1),0,IF(Paths!$P$8="Complete",IF(AND(Paths!$D$8="EV",Paths!$E$8&lt;120,Paths!$E$8+'Operating costs'!$B$65&gt;Paths!$E$8,Paths!$E$8+'Operating costs'!$B$65&lt;=120,IF(Paths!$E$8+'Operating costs'!$B$65=0,C18=0,AND(C18&gt;0,Paths!$E$8+'Operating costs'!$B$65&gt;(C18-1)*12,Paths!$E$8+'Operating costs'!$B$65&lt;=C18*12))),'Operating costs'!$B$64,0)+IF(AND('Operating costs'!$B$67&gt;0,'Operating costs'!$B$67&lt;=120,OR(Paths!$D$8="ICE",'Operating costs'!$B$67&lt;=Paths!$E$8),IF('Operating costs'!$B$67=0,C18=0,AND(C18&gt;0,'Operating costs'!$B$67&gt;(C18-1)*12,'Operating costs'!$B$67&lt;=C18*12))),'Operating costs'!$B$66,0),"n.a."))</f>
        <v>0</v>
      </c>
      <c r="N18" s="16">
        <f>IF(NOT(Paths!$C$8=1),0,IF(Paths!$P$8="Complete",SUM(G18:I18)-J18-K18-L18+M18+IF(C18=0,Paths!$F$8,0)+IF(IF(Paths!$E$8=0,C18=0,AND(C18&gt;0,Paths!$E$8&gt;(C18-1)*12,Paths!$E$8&lt;=C18*12)),VLOOKUP(A18,'Fleet register'!$A$7:$S$106,16,FALSE),0),"n.a."))</f>
        <v>181000</v>
      </c>
      <c r="O18" s="16">
        <f>IF(NOT(Paths!$C$8=1),0,IF(Paths!$P$8="Complete",N18-IF(C18=0,Paths!$F$8,0),"n.a."))</f>
        <v>157000</v>
      </c>
      <c r="P18" s="16">
        <f>IF(NOT(Paths!$C$8=1),0,IF(Paths!$P$8="Complete",O18+L18,"n.a."))</f>
        <v>157000</v>
      </c>
      <c r="Q18" s="16">
        <f>IF(NOT(Paths!$C$8=1),0,IF(Paths!$P$8="Complete",N18*(1+'Operating costs'!$B$54)^-C18,"n.a."))</f>
        <v>181000</v>
      </c>
      <c r="R18" s="16">
        <f>IF(NOT(Paths!$C$8=1),0,IF(Paths!$P$8="Complete",IF(AND(C18=0,Paths!$E$8=0),I18-J18-K18+VLOOKUP(A18,'Fleet register'!$A$7:$S$106,15,FALSE)+VLOOKUP(A18,'Fleet register'!$A$7:$S$106,16,FALSE),0),"n.a."))</f>
        <v>157000</v>
      </c>
      <c r="S18" s="1">
        <f>IF(NOT(Paths!$C$8=1),0,IF(Paths!$P$8="Complete",IF(C18=0,0,Paths!$S$8*Paths!$R$8),"n.a."))</f>
        <v>0</v>
      </c>
      <c r="T18" s="1">
        <f>IF(NOT(Paths!$C$8=1),0,IF(Paths!$P$8="Complete",IF(C18=0,0,VLOOKUP(A18,'Fleet register'!$A$7:$S$106,9,FALSE)*Paths!$R$8),"n.a."))</f>
        <v>0</v>
      </c>
    </row>
    <row r="19" spans="1:20" ht="24" customHeight="1">
      <c r="A19" s="1" t="str">
        <f>Paths!$A$8</f>
        <v>T001</v>
      </c>
      <c r="B19" s="1">
        <f>Paths!$B$8</f>
        <v>1</v>
      </c>
      <c r="C19" s="1">
        <v>1</v>
      </c>
      <c r="D19" s="1">
        <v>8</v>
      </c>
      <c r="E19" s="1">
        <f>IF(OR(Paths!$C$8=0,C19=0),0,MAX(0,MIN(C19*12,Paths!$E$8)-(C19-1)*12))</f>
        <v>0</v>
      </c>
      <c r="F19" s="1">
        <f>IF(OR(Paths!$C$8=0,C19=0),0,12-E19)</f>
        <v>12</v>
      </c>
      <c r="G19" s="16">
        <f>IF(NOT(Paths!$C$8=1),0,IF(Paths!$P$8="Complete",E19/12*(Paths!$J$8*(1+'Operating costs'!$B$51)^MAX(0,C19-1)+Paths!$K$8*(1+'Operating costs'!$B$53)^MAX(0,C19-1)),"n.a."))</f>
        <v>0</v>
      </c>
      <c r="H19" s="16">
        <f>IF(NOT(Paths!$C$8=1),0,IF(Paths!$P$8="Complete",F19/12*(Paths!$L$8*(1+IF(Paths!$D$8="EV",'Operating costs'!$B$52,'Operating costs'!$B$51))^MAX(0,C19-1)+Paths!$M$8*(1+'Operating costs'!$B$53)^MAX(0,C19-1)),"n.a."))</f>
        <v>18151.349999999999</v>
      </c>
      <c r="I19" s="16">
        <f>IF(NOT(Paths!$C$8=1),0,IF(Paths!$P$8="Complete",IF(IF(Paths!$E$8=0,C19=0,AND(C19&gt;0,Paths!$E$8&gt;(C19-1)*12,Paths!$E$8&lt;=C19*12)),Paths!$G$8,0),"n.a."))</f>
        <v>0</v>
      </c>
      <c r="J19" s="16">
        <f>IF(NOT(Paths!$C$8=1),0,IF(Paths!$P$8="Complete",IF(IF(Paths!$E$8=0,C19=0,AND(C19&gt;0,Paths!$E$8&gt;(C19-1)*12,Paths!$E$8&lt;=C19*12)),Paths!$H$8,0),"n.a."))</f>
        <v>0</v>
      </c>
      <c r="K19" s="16">
        <f>IF(NOT(Paths!$C$8=1),0,IF(Paths!$P$8="Complete",IF(IF(Paths!$O$8=0,C19=0,AND(C19&gt;0,Paths!$O$8&gt;(C19-1)*12,Paths!$O$8&lt;=C19*12)),Paths!$N$8,0),"n.a."))</f>
        <v>0</v>
      </c>
      <c r="L19" s="16">
        <f>IF(NOT(Paths!$C$8=1),0,IF(Paths!$P$8="Complete",IF(C19=10,Paths!$I$8,0),"n.a."))</f>
        <v>0</v>
      </c>
      <c r="M19" s="16">
        <f>IF(NOT(Paths!$C$8=1),0,IF(Paths!$P$8="Complete",IF(AND(Paths!$D$8="EV",Paths!$E$8&lt;120,Paths!$E$8+'Operating costs'!$B$65&gt;Paths!$E$8,Paths!$E$8+'Operating costs'!$B$65&lt;=120,IF(Paths!$E$8+'Operating costs'!$B$65=0,C19=0,AND(C19&gt;0,Paths!$E$8+'Operating costs'!$B$65&gt;(C19-1)*12,Paths!$E$8+'Operating costs'!$B$65&lt;=C19*12))),'Operating costs'!$B$64,0)+IF(AND('Operating costs'!$B$67&gt;0,'Operating costs'!$B$67&lt;=120,OR(Paths!$D$8="ICE",'Operating costs'!$B$67&lt;=Paths!$E$8),IF('Operating costs'!$B$67=0,C19=0,AND(C19&gt;0,'Operating costs'!$B$67&gt;(C19-1)*12,'Operating costs'!$B$67&lt;=C19*12))),'Operating costs'!$B$66,0),"n.a."))</f>
        <v>0</v>
      </c>
      <c r="N19" s="16">
        <f>IF(NOT(Paths!$C$8=1),0,IF(Paths!$P$8="Complete",SUM(G19:I19)-J19-K19-L19+M19+IF(C19=0,Paths!$F$8,0)+IF(IF(Paths!$E$8=0,C19=0,AND(C19&gt;0,Paths!$E$8&gt;(C19-1)*12,Paths!$E$8&lt;=C19*12)),VLOOKUP(A19,'Fleet register'!$A$7:$S$106,16,FALSE),0),"n.a."))</f>
        <v>18151.349999999999</v>
      </c>
      <c r="O19" s="16">
        <f>IF(NOT(Paths!$C$8=1),0,IF(Paths!$P$8="Complete",N19-IF(C19=0,Paths!$F$8,0),"n.a."))</f>
        <v>18151.349999999999</v>
      </c>
      <c r="P19" s="16">
        <f>IF(NOT(Paths!$C$8=1),0,IF(Paths!$P$8="Complete",O19+L19,"n.a."))</f>
        <v>18151.349999999999</v>
      </c>
      <c r="Q19" s="16">
        <f>IF(NOT(Paths!$C$8=1),0,IF(Paths!$P$8="Complete",N19*(1+'Operating costs'!$B$54)^-C19,"n.a."))</f>
        <v>18151.349999999999</v>
      </c>
      <c r="R19" s="16">
        <f>IF(NOT(Paths!$C$8=1),0,IF(Paths!$P$8="Complete",IF(AND(C19=0,Paths!$E$8=0),I19-J19-K19+VLOOKUP(A19,'Fleet register'!$A$7:$S$106,15,FALSE)+VLOOKUP(A19,'Fleet register'!$A$7:$S$106,16,FALSE),0),"n.a."))</f>
        <v>0</v>
      </c>
      <c r="S19" s="1">
        <f>IF(NOT(Paths!$C$8=1),0,IF(Paths!$P$8="Complete",IF(C19=0,0,Paths!$S$8*Paths!$R$8),"n.a."))</f>
        <v>45000</v>
      </c>
      <c r="T19" s="1">
        <f>IF(NOT(Paths!$C$8=1),0,IF(Paths!$P$8="Complete",IF(C19=0,0,VLOOKUP(A19,'Fleet register'!$A$7:$S$106,9,FALSE)*Paths!$R$8),"n.a."))</f>
        <v>7200</v>
      </c>
    </row>
    <row r="20" spans="1:20" ht="24" customHeight="1">
      <c r="A20" s="1" t="str">
        <f>Paths!$A$8</f>
        <v>T001</v>
      </c>
      <c r="B20" s="1">
        <f>Paths!$B$8</f>
        <v>1</v>
      </c>
      <c r="C20" s="1">
        <v>2</v>
      </c>
      <c r="D20" s="1">
        <v>8</v>
      </c>
      <c r="E20" s="1">
        <f>IF(OR(Paths!$C$8=0,C20=0),0,MAX(0,MIN(C20*12,Paths!$E$8)-(C20-1)*12))</f>
        <v>0</v>
      </c>
      <c r="F20" s="1">
        <f>IF(OR(Paths!$C$8=0,C20=0),0,12-E20)</f>
        <v>12</v>
      </c>
      <c r="G20" s="16">
        <f>IF(NOT(Paths!$C$8=1),0,IF(Paths!$P$8="Complete",E20/12*(Paths!$J$8*(1+'Operating costs'!$B$51)^MAX(0,C20-1)+Paths!$K$8*(1+'Operating costs'!$B$53)^MAX(0,C20-1)),"n.a."))</f>
        <v>0</v>
      </c>
      <c r="H20" s="16">
        <f>IF(NOT(Paths!$C$8=1),0,IF(Paths!$P$8="Complete",F20/12*(Paths!$L$8*(1+IF(Paths!$D$8="EV",'Operating costs'!$B$52,'Operating costs'!$B$51))^MAX(0,C20-1)+Paths!$M$8*(1+'Operating costs'!$B$53)^MAX(0,C20-1)),"n.a."))</f>
        <v>18151.349999999999</v>
      </c>
      <c r="I20" s="16">
        <f>IF(NOT(Paths!$C$8=1),0,IF(Paths!$P$8="Complete",IF(IF(Paths!$E$8=0,C20=0,AND(C20&gt;0,Paths!$E$8&gt;(C20-1)*12,Paths!$E$8&lt;=C20*12)),Paths!$G$8,0),"n.a."))</f>
        <v>0</v>
      </c>
      <c r="J20" s="16">
        <f>IF(NOT(Paths!$C$8=1),0,IF(Paths!$P$8="Complete",IF(IF(Paths!$E$8=0,C20=0,AND(C20&gt;0,Paths!$E$8&gt;(C20-1)*12,Paths!$E$8&lt;=C20*12)),Paths!$H$8,0),"n.a."))</f>
        <v>0</v>
      </c>
      <c r="K20" s="16">
        <f>IF(NOT(Paths!$C$8=1),0,IF(Paths!$P$8="Complete",IF(IF(Paths!$O$8=0,C20=0,AND(C20&gt;0,Paths!$O$8&gt;(C20-1)*12,Paths!$O$8&lt;=C20*12)),Paths!$N$8,0),"n.a."))</f>
        <v>0</v>
      </c>
      <c r="L20" s="16">
        <f>IF(NOT(Paths!$C$8=1),0,IF(Paths!$P$8="Complete",IF(C20=10,Paths!$I$8,0),"n.a."))</f>
        <v>0</v>
      </c>
      <c r="M20" s="16">
        <f>IF(NOT(Paths!$C$8=1),0,IF(Paths!$P$8="Complete",IF(AND(Paths!$D$8="EV",Paths!$E$8&lt;120,Paths!$E$8+'Operating costs'!$B$65&gt;Paths!$E$8,Paths!$E$8+'Operating costs'!$B$65&lt;=120,IF(Paths!$E$8+'Operating costs'!$B$65=0,C20=0,AND(C20&gt;0,Paths!$E$8+'Operating costs'!$B$65&gt;(C20-1)*12,Paths!$E$8+'Operating costs'!$B$65&lt;=C20*12))),'Operating costs'!$B$64,0)+IF(AND('Operating costs'!$B$67&gt;0,'Operating costs'!$B$67&lt;=120,OR(Paths!$D$8="ICE",'Operating costs'!$B$67&lt;=Paths!$E$8),IF('Operating costs'!$B$67=0,C20=0,AND(C20&gt;0,'Operating costs'!$B$67&gt;(C20-1)*12,'Operating costs'!$B$67&lt;=C20*12))),'Operating costs'!$B$66,0),"n.a."))</f>
        <v>0</v>
      </c>
      <c r="N20" s="16">
        <f>IF(NOT(Paths!$C$8=1),0,IF(Paths!$P$8="Complete",SUM(G20:I20)-J20-K20-L20+M20+IF(C20=0,Paths!$F$8,0)+IF(IF(Paths!$E$8=0,C20=0,AND(C20&gt;0,Paths!$E$8&gt;(C20-1)*12,Paths!$E$8&lt;=C20*12)),VLOOKUP(A20,'Fleet register'!$A$7:$S$106,16,FALSE),0),"n.a."))</f>
        <v>18151.349999999999</v>
      </c>
      <c r="O20" s="16">
        <f>IF(NOT(Paths!$C$8=1),0,IF(Paths!$P$8="Complete",N20-IF(C20=0,Paths!$F$8,0),"n.a."))</f>
        <v>18151.349999999999</v>
      </c>
      <c r="P20" s="16">
        <f>IF(NOT(Paths!$C$8=1),0,IF(Paths!$P$8="Complete",O20+L20,"n.a."))</f>
        <v>18151.349999999999</v>
      </c>
      <c r="Q20" s="16">
        <f>IF(NOT(Paths!$C$8=1),0,IF(Paths!$P$8="Complete",N20*(1+'Operating costs'!$B$54)^-C20,"n.a."))</f>
        <v>18151.349999999999</v>
      </c>
      <c r="R20" s="16">
        <f>IF(NOT(Paths!$C$8=1),0,IF(Paths!$P$8="Complete",IF(AND(C20=0,Paths!$E$8=0),I20-J20-K20+VLOOKUP(A20,'Fleet register'!$A$7:$S$106,15,FALSE)+VLOOKUP(A20,'Fleet register'!$A$7:$S$106,16,FALSE),0),"n.a."))</f>
        <v>0</v>
      </c>
      <c r="S20" s="1">
        <f>IF(NOT(Paths!$C$8=1),0,IF(Paths!$P$8="Complete",IF(C20=0,0,Paths!$S$8*Paths!$R$8),"n.a."))</f>
        <v>45000</v>
      </c>
      <c r="T20" s="1">
        <f>IF(NOT(Paths!$C$8=1),0,IF(Paths!$P$8="Complete",IF(C20=0,0,VLOOKUP(A20,'Fleet register'!$A$7:$S$106,9,FALSE)*Paths!$R$8),"n.a."))</f>
        <v>7200</v>
      </c>
    </row>
    <row r="21" spans="1:20" ht="24" customHeight="1">
      <c r="A21" s="1" t="str">
        <f>Paths!$A$8</f>
        <v>T001</v>
      </c>
      <c r="B21" s="1">
        <f>Paths!$B$8</f>
        <v>1</v>
      </c>
      <c r="C21" s="1">
        <v>3</v>
      </c>
      <c r="D21" s="1">
        <v>8</v>
      </c>
      <c r="E21" s="1">
        <f>IF(OR(Paths!$C$8=0,C21=0),0,MAX(0,MIN(C21*12,Paths!$E$8)-(C21-1)*12))</f>
        <v>0</v>
      </c>
      <c r="F21" s="1">
        <f>IF(OR(Paths!$C$8=0,C21=0),0,12-E21)</f>
        <v>12</v>
      </c>
      <c r="G21" s="16">
        <f>IF(NOT(Paths!$C$8=1),0,IF(Paths!$P$8="Complete",E21/12*(Paths!$J$8*(1+'Operating costs'!$B$51)^MAX(0,C21-1)+Paths!$K$8*(1+'Operating costs'!$B$53)^MAX(0,C21-1)),"n.a."))</f>
        <v>0</v>
      </c>
      <c r="H21" s="16">
        <f>IF(NOT(Paths!$C$8=1),0,IF(Paths!$P$8="Complete",F21/12*(Paths!$L$8*(1+IF(Paths!$D$8="EV",'Operating costs'!$B$52,'Operating costs'!$B$51))^MAX(0,C21-1)+Paths!$M$8*(1+'Operating costs'!$B$53)^MAX(0,C21-1)),"n.a."))</f>
        <v>18151.349999999999</v>
      </c>
      <c r="I21" s="16">
        <f>IF(NOT(Paths!$C$8=1),0,IF(Paths!$P$8="Complete",IF(IF(Paths!$E$8=0,C21=0,AND(C21&gt;0,Paths!$E$8&gt;(C21-1)*12,Paths!$E$8&lt;=C21*12)),Paths!$G$8,0),"n.a."))</f>
        <v>0</v>
      </c>
      <c r="J21" s="16">
        <f>IF(NOT(Paths!$C$8=1),0,IF(Paths!$P$8="Complete",IF(IF(Paths!$E$8=0,C21=0,AND(C21&gt;0,Paths!$E$8&gt;(C21-1)*12,Paths!$E$8&lt;=C21*12)),Paths!$H$8,0),"n.a."))</f>
        <v>0</v>
      </c>
      <c r="K21" s="16">
        <f>IF(NOT(Paths!$C$8=1),0,IF(Paths!$P$8="Complete",IF(IF(Paths!$O$8=0,C21=0,AND(C21&gt;0,Paths!$O$8&gt;(C21-1)*12,Paths!$O$8&lt;=C21*12)),Paths!$N$8,0),"n.a."))</f>
        <v>0</v>
      </c>
      <c r="L21" s="16">
        <f>IF(NOT(Paths!$C$8=1),0,IF(Paths!$P$8="Complete",IF(C21=10,Paths!$I$8,0),"n.a."))</f>
        <v>0</v>
      </c>
      <c r="M21" s="16">
        <f>IF(NOT(Paths!$C$8=1),0,IF(Paths!$P$8="Complete",IF(AND(Paths!$D$8="EV",Paths!$E$8&lt;120,Paths!$E$8+'Operating costs'!$B$65&gt;Paths!$E$8,Paths!$E$8+'Operating costs'!$B$65&lt;=120,IF(Paths!$E$8+'Operating costs'!$B$65=0,C21=0,AND(C21&gt;0,Paths!$E$8+'Operating costs'!$B$65&gt;(C21-1)*12,Paths!$E$8+'Operating costs'!$B$65&lt;=C21*12))),'Operating costs'!$B$64,0)+IF(AND('Operating costs'!$B$67&gt;0,'Operating costs'!$B$67&lt;=120,OR(Paths!$D$8="ICE",'Operating costs'!$B$67&lt;=Paths!$E$8),IF('Operating costs'!$B$67=0,C21=0,AND(C21&gt;0,'Operating costs'!$B$67&gt;(C21-1)*12,'Operating costs'!$B$67&lt;=C21*12))),'Operating costs'!$B$66,0),"n.a."))</f>
        <v>0</v>
      </c>
      <c r="N21" s="16">
        <f>IF(NOT(Paths!$C$8=1),0,IF(Paths!$P$8="Complete",SUM(G21:I21)-J21-K21-L21+M21+IF(C21=0,Paths!$F$8,0)+IF(IF(Paths!$E$8=0,C21=0,AND(C21&gt;0,Paths!$E$8&gt;(C21-1)*12,Paths!$E$8&lt;=C21*12)),VLOOKUP(A21,'Fleet register'!$A$7:$S$106,16,FALSE),0),"n.a."))</f>
        <v>18151.349999999999</v>
      </c>
      <c r="O21" s="16">
        <f>IF(NOT(Paths!$C$8=1),0,IF(Paths!$P$8="Complete",N21-IF(C21=0,Paths!$F$8,0),"n.a."))</f>
        <v>18151.349999999999</v>
      </c>
      <c r="P21" s="16">
        <f>IF(NOT(Paths!$C$8=1),0,IF(Paths!$P$8="Complete",O21+L21,"n.a."))</f>
        <v>18151.349999999999</v>
      </c>
      <c r="Q21" s="16">
        <f>IF(NOT(Paths!$C$8=1),0,IF(Paths!$P$8="Complete",N21*(1+'Operating costs'!$B$54)^-C21,"n.a."))</f>
        <v>18151.349999999999</v>
      </c>
      <c r="R21" s="16">
        <f>IF(NOT(Paths!$C$8=1),0,IF(Paths!$P$8="Complete",IF(AND(C21=0,Paths!$E$8=0),I21-J21-K21+VLOOKUP(A21,'Fleet register'!$A$7:$S$106,15,FALSE)+VLOOKUP(A21,'Fleet register'!$A$7:$S$106,16,FALSE),0),"n.a."))</f>
        <v>0</v>
      </c>
      <c r="S21" s="1">
        <f>IF(NOT(Paths!$C$8=1),0,IF(Paths!$P$8="Complete",IF(C21=0,0,Paths!$S$8*Paths!$R$8),"n.a."))</f>
        <v>45000</v>
      </c>
      <c r="T21" s="1">
        <f>IF(NOT(Paths!$C$8=1),0,IF(Paths!$P$8="Complete",IF(C21=0,0,VLOOKUP(A21,'Fleet register'!$A$7:$S$106,9,FALSE)*Paths!$R$8),"n.a."))</f>
        <v>7200</v>
      </c>
    </row>
    <row r="22" spans="1:20" ht="24" customHeight="1">
      <c r="A22" s="1" t="str">
        <f>Paths!$A$8</f>
        <v>T001</v>
      </c>
      <c r="B22" s="1">
        <f>Paths!$B$8</f>
        <v>1</v>
      </c>
      <c r="C22" s="1">
        <v>4</v>
      </c>
      <c r="D22" s="1">
        <v>8</v>
      </c>
      <c r="E22" s="1">
        <f>IF(OR(Paths!$C$8=0,C22=0),0,MAX(0,MIN(C22*12,Paths!$E$8)-(C22-1)*12))</f>
        <v>0</v>
      </c>
      <c r="F22" s="1">
        <f>IF(OR(Paths!$C$8=0,C22=0),0,12-E22)</f>
        <v>12</v>
      </c>
      <c r="G22" s="16">
        <f>IF(NOT(Paths!$C$8=1),0,IF(Paths!$P$8="Complete",E22/12*(Paths!$J$8*(1+'Operating costs'!$B$51)^MAX(0,C22-1)+Paths!$K$8*(1+'Operating costs'!$B$53)^MAX(0,C22-1)),"n.a."))</f>
        <v>0</v>
      </c>
      <c r="H22" s="16">
        <f>IF(NOT(Paths!$C$8=1),0,IF(Paths!$P$8="Complete",F22/12*(Paths!$L$8*(1+IF(Paths!$D$8="EV",'Operating costs'!$B$52,'Operating costs'!$B$51))^MAX(0,C22-1)+Paths!$M$8*(1+'Operating costs'!$B$53)^MAX(0,C22-1)),"n.a."))</f>
        <v>18151.349999999999</v>
      </c>
      <c r="I22" s="16">
        <f>IF(NOT(Paths!$C$8=1),0,IF(Paths!$P$8="Complete",IF(IF(Paths!$E$8=0,C22=0,AND(C22&gt;0,Paths!$E$8&gt;(C22-1)*12,Paths!$E$8&lt;=C22*12)),Paths!$G$8,0),"n.a."))</f>
        <v>0</v>
      </c>
      <c r="J22" s="16">
        <f>IF(NOT(Paths!$C$8=1),0,IF(Paths!$P$8="Complete",IF(IF(Paths!$E$8=0,C22=0,AND(C22&gt;0,Paths!$E$8&gt;(C22-1)*12,Paths!$E$8&lt;=C22*12)),Paths!$H$8,0),"n.a."))</f>
        <v>0</v>
      </c>
      <c r="K22" s="16">
        <f>IF(NOT(Paths!$C$8=1),0,IF(Paths!$P$8="Complete",IF(IF(Paths!$O$8=0,C22=0,AND(C22&gt;0,Paths!$O$8&gt;(C22-1)*12,Paths!$O$8&lt;=C22*12)),Paths!$N$8,0),"n.a."))</f>
        <v>0</v>
      </c>
      <c r="L22" s="16">
        <f>IF(NOT(Paths!$C$8=1),0,IF(Paths!$P$8="Complete",IF(C22=10,Paths!$I$8,0),"n.a."))</f>
        <v>0</v>
      </c>
      <c r="M22" s="16">
        <f>IF(NOT(Paths!$C$8=1),0,IF(Paths!$P$8="Complete",IF(AND(Paths!$D$8="EV",Paths!$E$8&lt;120,Paths!$E$8+'Operating costs'!$B$65&gt;Paths!$E$8,Paths!$E$8+'Operating costs'!$B$65&lt;=120,IF(Paths!$E$8+'Operating costs'!$B$65=0,C22=0,AND(C22&gt;0,Paths!$E$8+'Operating costs'!$B$65&gt;(C22-1)*12,Paths!$E$8+'Operating costs'!$B$65&lt;=C22*12))),'Operating costs'!$B$64,0)+IF(AND('Operating costs'!$B$67&gt;0,'Operating costs'!$B$67&lt;=120,OR(Paths!$D$8="ICE",'Operating costs'!$B$67&lt;=Paths!$E$8),IF('Operating costs'!$B$67=0,C22=0,AND(C22&gt;0,'Operating costs'!$B$67&gt;(C22-1)*12,'Operating costs'!$B$67&lt;=C22*12))),'Operating costs'!$B$66,0),"n.a."))</f>
        <v>0</v>
      </c>
      <c r="N22" s="16">
        <f>IF(NOT(Paths!$C$8=1),0,IF(Paths!$P$8="Complete",SUM(G22:I22)-J22-K22-L22+M22+IF(C22=0,Paths!$F$8,0)+IF(IF(Paths!$E$8=0,C22=0,AND(C22&gt;0,Paths!$E$8&gt;(C22-1)*12,Paths!$E$8&lt;=C22*12)),VLOOKUP(A22,'Fleet register'!$A$7:$S$106,16,FALSE),0),"n.a."))</f>
        <v>18151.349999999999</v>
      </c>
      <c r="O22" s="16">
        <f>IF(NOT(Paths!$C$8=1),0,IF(Paths!$P$8="Complete",N22-IF(C22=0,Paths!$F$8,0),"n.a."))</f>
        <v>18151.349999999999</v>
      </c>
      <c r="P22" s="16">
        <f>IF(NOT(Paths!$C$8=1),0,IF(Paths!$P$8="Complete",O22+L22,"n.a."))</f>
        <v>18151.349999999999</v>
      </c>
      <c r="Q22" s="16">
        <f>IF(NOT(Paths!$C$8=1),0,IF(Paths!$P$8="Complete",N22*(1+'Operating costs'!$B$54)^-C22,"n.a."))</f>
        <v>18151.349999999999</v>
      </c>
      <c r="R22" s="16">
        <f>IF(NOT(Paths!$C$8=1),0,IF(Paths!$P$8="Complete",IF(AND(C22=0,Paths!$E$8=0),I22-J22-K22+VLOOKUP(A22,'Fleet register'!$A$7:$S$106,15,FALSE)+VLOOKUP(A22,'Fleet register'!$A$7:$S$106,16,FALSE),0),"n.a."))</f>
        <v>0</v>
      </c>
      <c r="S22" s="1">
        <f>IF(NOT(Paths!$C$8=1),0,IF(Paths!$P$8="Complete",IF(C22=0,0,Paths!$S$8*Paths!$R$8),"n.a."))</f>
        <v>45000</v>
      </c>
      <c r="T22" s="1">
        <f>IF(NOT(Paths!$C$8=1),0,IF(Paths!$P$8="Complete",IF(C22=0,0,VLOOKUP(A22,'Fleet register'!$A$7:$S$106,9,FALSE)*Paths!$R$8),"n.a."))</f>
        <v>7200</v>
      </c>
    </row>
    <row r="23" spans="1:20" ht="24" customHeight="1">
      <c r="A23" s="1" t="str">
        <f>Paths!$A$8</f>
        <v>T001</v>
      </c>
      <c r="B23" s="1">
        <f>Paths!$B$8</f>
        <v>1</v>
      </c>
      <c r="C23" s="1">
        <v>5</v>
      </c>
      <c r="D23" s="1">
        <v>8</v>
      </c>
      <c r="E23" s="1">
        <f>IF(OR(Paths!$C$8=0,C23=0),0,MAX(0,MIN(C23*12,Paths!$E$8)-(C23-1)*12))</f>
        <v>0</v>
      </c>
      <c r="F23" s="1">
        <f>IF(OR(Paths!$C$8=0,C23=0),0,12-E23)</f>
        <v>12</v>
      </c>
      <c r="G23" s="16">
        <f>IF(NOT(Paths!$C$8=1),0,IF(Paths!$P$8="Complete",E23/12*(Paths!$J$8*(1+'Operating costs'!$B$51)^MAX(0,C23-1)+Paths!$K$8*(1+'Operating costs'!$B$53)^MAX(0,C23-1)),"n.a."))</f>
        <v>0</v>
      </c>
      <c r="H23" s="16">
        <f>IF(NOT(Paths!$C$8=1),0,IF(Paths!$P$8="Complete",F23/12*(Paths!$L$8*(1+IF(Paths!$D$8="EV",'Operating costs'!$B$52,'Operating costs'!$B$51))^MAX(0,C23-1)+Paths!$M$8*(1+'Operating costs'!$B$53)^MAX(0,C23-1)),"n.a."))</f>
        <v>18151.349999999999</v>
      </c>
      <c r="I23" s="16">
        <f>IF(NOT(Paths!$C$8=1),0,IF(Paths!$P$8="Complete",IF(IF(Paths!$E$8=0,C23=0,AND(C23&gt;0,Paths!$E$8&gt;(C23-1)*12,Paths!$E$8&lt;=C23*12)),Paths!$G$8,0),"n.a."))</f>
        <v>0</v>
      </c>
      <c r="J23" s="16">
        <f>IF(NOT(Paths!$C$8=1),0,IF(Paths!$P$8="Complete",IF(IF(Paths!$E$8=0,C23=0,AND(C23&gt;0,Paths!$E$8&gt;(C23-1)*12,Paths!$E$8&lt;=C23*12)),Paths!$H$8,0),"n.a."))</f>
        <v>0</v>
      </c>
      <c r="K23" s="16">
        <f>IF(NOT(Paths!$C$8=1),0,IF(Paths!$P$8="Complete",IF(IF(Paths!$O$8=0,C23=0,AND(C23&gt;0,Paths!$O$8&gt;(C23-1)*12,Paths!$O$8&lt;=C23*12)),Paths!$N$8,0),"n.a."))</f>
        <v>0</v>
      </c>
      <c r="L23" s="16">
        <f>IF(NOT(Paths!$C$8=1),0,IF(Paths!$P$8="Complete",IF(C23=10,Paths!$I$8,0),"n.a."))</f>
        <v>0</v>
      </c>
      <c r="M23" s="16">
        <f>IF(NOT(Paths!$C$8=1),0,IF(Paths!$P$8="Complete",IF(AND(Paths!$D$8="EV",Paths!$E$8&lt;120,Paths!$E$8+'Operating costs'!$B$65&gt;Paths!$E$8,Paths!$E$8+'Operating costs'!$B$65&lt;=120,IF(Paths!$E$8+'Operating costs'!$B$65=0,C23=0,AND(C23&gt;0,Paths!$E$8+'Operating costs'!$B$65&gt;(C23-1)*12,Paths!$E$8+'Operating costs'!$B$65&lt;=C23*12))),'Operating costs'!$B$64,0)+IF(AND('Operating costs'!$B$67&gt;0,'Operating costs'!$B$67&lt;=120,OR(Paths!$D$8="ICE",'Operating costs'!$B$67&lt;=Paths!$E$8),IF('Operating costs'!$B$67=0,C23=0,AND(C23&gt;0,'Operating costs'!$B$67&gt;(C23-1)*12,'Operating costs'!$B$67&lt;=C23*12))),'Operating costs'!$B$66,0),"n.a."))</f>
        <v>0</v>
      </c>
      <c r="N23" s="16">
        <f>IF(NOT(Paths!$C$8=1),0,IF(Paths!$P$8="Complete",SUM(G23:I23)-J23-K23-L23+M23+IF(C23=0,Paths!$F$8,0)+IF(IF(Paths!$E$8=0,C23=0,AND(C23&gt;0,Paths!$E$8&gt;(C23-1)*12,Paths!$E$8&lt;=C23*12)),VLOOKUP(A23,'Fleet register'!$A$7:$S$106,16,FALSE),0),"n.a."))</f>
        <v>18151.349999999999</v>
      </c>
      <c r="O23" s="16">
        <f>IF(NOT(Paths!$C$8=1),0,IF(Paths!$P$8="Complete",N23-IF(C23=0,Paths!$F$8,0),"n.a."))</f>
        <v>18151.349999999999</v>
      </c>
      <c r="P23" s="16">
        <f>IF(NOT(Paths!$C$8=1),0,IF(Paths!$P$8="Complete",O23+L23,"n.a."))</f>
        <v>18151.349999999999</v>
      </c>
      <c r="Q23" s="16">
        <f>IF(NOT(Paths!$C$8=1),0,IF(Paths!$P$8="Complete",N23*(1+'Operating costs'!$B$54)^-C23,"n.a."))</f>
        <v>18151.349999999999</v>
      </c>
      <c r="R23" s="16">
        <f>IF(NOT(Paths!$C$8=1),0,IF(Paths!$P$8="Complete",IF(AND(C23=0,Paths!$E$8=0),I23-J23-K23+VLOOKUP(A23,'Fleet register'!$A$7:$S$106,15,FALSE)+VLOOKUP(A23,'Fleet register'!$A$7:$S$106,16,FALSE),0),"n.a."))</f>
        <v>0</v>
      </c>
      <c r="S23" s="1">
        <f>IF(NOT(Paths!$C$8=1),0,IF(Paths!$P$8="Complete",IF(C23=0,0,Paths!$S$8*Paths!$R$8),"n.a."))</f>
        <v>45000</v>
      </c>
      <c r="T23" s="1">
        <f>IF(NOT(Paths!$C$8=1),0,IF(Paths!$P$8="Complete",IF(C23=0,0,VLOOKUP(A23,'Fleet register'!$A$7:$S$106,9,FALSE)*Paths!$R$8),"n.a."))</f>
        <v>7200</v>
      </c>
    </row>
    <row r="24" spans="1:20" ht="24" customHeight="1">
      <c r="A24" s="1" t="str">
        <f>Paths!$A$8</f>
        <v>T001</v>
      </c>
      <c r="B24" s="1">
        <f>Paths!$B$8</f>
        <v>1</v>
      </c>
      <c r="C24" s="1">
        <v>6</v>
      </c>
      <c r="D24" s="1">
        <v>8</v>
      </c>
      <c r="E24" s="1">
        <f>IF(OR(Paths!$C$8=0,C24=0),0,MAX(0,MIN(C24*12,Paths!$E$8)-(C24-1)*12))</f>
        <v>0</v>
      </c>
      <c r="F24" s="1">
        <f>IF(OR(Paths!$C$8=0,C24=0),0,12-E24)</f>
        <v>12</v>
      </c>
      <c r="G24" s="16">
        <f>IF(NOT(Paths!$C$8=1),0,IF(Paths!$P$8="Complete",E24/12*(Paths!$J$8*(1+'Operating costs'!$B$51)^MAX(0,C24-1)+Paths!$K$8*(1+'Operating costs'!$B$53)^MAX(0,C24-1)),"n.a."))</f>
        <v>0</v>
      </c>
      <c r="H24" s="16">
        <f>IF(NOT(Paths!$C$8=1),0,IF(Paths!$P$8="Complete",F24/12*(Paths!$L$8*(1+IF(Paths!$D$8="EV",'Operating costs'!$B$52,'Operating costs'!$B$51))^MAX(0,C24-1)+Paths!$M$8*(1+'Operating costs'!$B$53)^MAX(0,C24-1)),"n.a."))</f>
        <v>18151.349999999999</v>
      </c>
      <c r="I24" s="16">
        <f>IF(NOT(Paths!$C$8=1),0,IF(Paths!$P$8="Complete",IF(IF(Paths!$E$8=0,C24=0,AND(C24&gt;0,Paths!$E$8&gt;(C24-1)*12,Paths!$E$8&lt;=C24*12)),Paths!$G$8,0),"n.a."))</f>
        <v>0</v>
      </c>
      <c r="J24" s="16">
        <f>IF(NOT(Paths!$C$8=1),0,IF(Paths!$P$8="Complete",IF(IF(Paths!$E$8=0,C24=0,AND(C24&gt;0,Paths!$E$8&gt;(C24-1)*12,Paths!$E$8&lt;=C24*12)),Paths!$H$8,0),"n.a."))</f>
        <v>0</v>
      </c>
      <c r="K24" s="16">
        <f>IF(NOT(Paths!$C$8=1),0,IF(Paths!$P$8="Complete",IF(IF(Paths!$O$8=0,C24=0,AND(C24&gt;0,Paths!$O$8&gt;(C24-1)*12,Paths!$O$8&lt;=C24*12)),Paths!$N$8,0),"n.a."))</f>
        <v>0</v>
      </c>
      <c r="L24" s="16">
        <f>IF(NOT(Paths!$C$8=1),0,IF(Paths!$P$8="Complete",IF(C24=10,Paths!$I$8,0),"n.a."))</f>
        <v>0</v>
      </c>
      <c r="M24" s="16">
        <f>IF(NOT(Paths!$C$8=1),0,IF(Paths!$P$8="Complete",IF(AND(Paths!$D$8="EV",Paths!$E$8&lt;120,Paths!$E$8+'Operating costs'!$B$65&gt;Paths!$E$8,Paths!$E$8+'Operating costs'!$B$65&lt;=120,IF(Paths!$E$8+'Operating costs'!$B$65=0,C24=0,AND(C24&gt;0,Paths!$E$8+'Operating costs'!$B$65&gt;(C24-1)*12,Paths!$E$8+'Operating costs'!$B$65&lt;=C24*12))),'Operating costs'!$B$64,0)+IF(AND('Operating costs'!$B$67&gt;0,'Operating costs'!$B$67&lt;=120,OR(Paths!$D$8="ICE",'Operating costs'!$B$67&lt;=Paths!$E$8),IF('Operating costs'!$B$67=0,C24=0,AND(C24&gt;0,'Operating costs'!$B$67&gt;(C24-1)*12,'Operating costs'!$B$67&lt;=C24*12))),'Operating costs'!$B$66,0),"n.a."))</f>
        <v>0</v>
      </c>
      <c r="N24" s="16">
        <f>IF(NOT(Paths!$C$8=1),0,IF(Paths!$P$8="Complete",SUM(G24:I24)-J24-K24-L24+M24+IF(C24=0,Paths!$F$8,0)+IF(IF(Paths!$E$8=0,C24=0,AND(C24&gt;0,Paths!$E$8&gt;(C24-1)*12,Paths!$E$8&lt;=C24*12)),VLOOKUP(A24,'Fleet register'!$A$7:$S$106,16,FALSE),0),"n.a."))</f>
        <v>18151.349999999999</v>
      </c>
      <c r="O24" s="16">
        <f>IF(NOT(Paths!$C$8=1),0,IF(Paths!$P$8="Complete",N24-IF(C24=0,Paths!$F$8,0),"n.a."))</f>
        <v>18151.349999999999</v>
      </c>
      <c r="P24" s="16">
        <f>IF(NOT(Paths!$C$8=1),0,IF(Paths!$P$8="Complete",O24+L24,"n.a."))</f>
        <v>18151.349999999999</v>
      </c>
      <c r="Q24" s="16">
        <f>IF(NOT(Paths!$C$8=1),0,IF(Paths!$P$8="Complete",N24*(1+'Operating costs'!$B$54)^-C24,"n.a."))</f>
        <v>18151.349999999999</v>
      </c>
      <c r="R24" s="16">
        <f>IF(NOT(Paths!$C$8=1),0,IF(Paths!$P$8="Complete",IF(AND(C24=0,Paths!$E$8=0),I24-J24-K24+VLOOKUP(A24,'Fleet register'!$A$7:$S$106,15,FALSE)+VLOOKUP(A24,'Fleet register'!$A$7:$S$106,16,FALSE),0),"n.a."))</f>
        <v>0</v>
      </c>
      <c r="S24" s="1">
        <f>IF(NOT(Paths!$C$8=1),0,IF(Paths!$P$8="Complete",IF(C24=0,0,Paths!$S$8*Paths!$R$8),"n.a."))</f>
        <v>45000</v>
      </c>
      <c r="T24" s="1">
        <f>IF(NOT(Paths!$C$8=1),0,IF(Paths!$P$8="Complete",IF(C24=0,0,VLOOKUP(A24,'Fleet register'!$A$7:$S$106,9,FALSE)*Paths!$R$8),"n.a."))</f>
        <v>7200</v>
      </c>
    </row>
    <row r="25" spans="1:20" ht="24" customHeight="1">
      <c r="A25" s="1" t="str">
        <f>Paths!$A$8</f>
        <v>T001</v>
      </c>
      <c r="B25" s="1">
        <f>Paths!$B$8</f>
        <v>1</v>
      </c>
      <c r="C25" s="1">
        <v>7</v>
      </c>
      <c r="D25" s="1">
        <v>8</v>
      </c>
      <c r="E25" s="1">
        <f>IF(OR(Paths!$C$8=0,C25=0),0,MAX(0,MIN(C25*12,Paths!$E$8)-(C25-1)*12))</f>
        <v>0</v>
      </c>
      <c r="F25" s="1">
        <f>IF(OR(Paths!$C$8=0,C25=0),0,12-E25)</f>
        <v>12</v>
      </c>
      <c r="G25" s="16">
        <f>IF(NOT(Paths!$C$8=1),0,IF(Paths!$P$8="Complete",E25/12*(Paths!$J$8*(1+'Operating costs'!$B$51)^MAX(0,C25-1)+Paths!$K$8*(1+'Operating costs'!$B$53)^MAX(0,C25-1)),"n.a."))</f>
        <v>0</v>
      </c>
      <c r="H25" s="16">
        <f>IF(NOT(Paths!$C$8=1),0,IF(Paths!$P$8="Complete",F25/12*(Paths!$L$8*(1+IF(Paths!$D$8="EV",'Operating costs'!$B$52,'Operating costs'!$B$51))^MAX(0,C25-1)+Paths!$M$8*(1+'Operating costs'!$B$53)^MAX(0,C25-1)),"n.a."))</f>
        <v>18151.349999999999</v>
      </c>
      <c r="I25" s="16">
        <f>IF(NOT(Paths!$C$8=1),0,IF(Paths!$P$8="Complete",IF(IF(Paths!$E$8=0,C25=0,AND(C25&gt;0,Paths!$E$8&gt;(C25-1)*12,Paths!$E$8&lt;=C25*12)),Paths!$G$8,0),"n.a."))</f>
        <v>0</v>
      </c>
      <c r="J25" s="16">
        <f>IF(NOT(Paths!$C$8=1),0,IF(Paths!$P$8="Complete",IF(IF(Paths!$E$8=0,C25=0,AND(C25&gt;0,Paths!$E$8&gt;(C25-1)*12,Paths!$E$8&lt;=C25*12)),Paths!$H$8,0),"n.a."))</f>
        <v>0</v>
      </c>
      <c r="K25" s="16">
        <f>IF(NOT(Paths!$C$8=1),0,IF(Paths!$P$8="Complete",IF(IF(Paths!$O$8=0,C25=0,AND(C25&gt;0,Paths!$O$8&gt;(C25-1)*12,Paths!$O$8&lt;=C25*12)),Paths!$N$8,0),"n.a."))</f>
        <v>0</v>
      </c>
      <c r="L25" s="16">
        <f>IF(NOT(Paths!$C$8=1),0,IF(Paths!$P$8="Complete",IF(C25=10,Paths!$I$8,0),"n.a."))</f>
        <v>0</v>
      </c>
      <c r="M25" s="16">
        <f>IF(NOT(Paths!$C$8=1),0,IF(Paths!$P$8="Complete",IF(AND(Paths!$D$8="EV",Paths!$E$8&lt;120,Paths!$E$8+'Operating costs'!$B$65&gt;Paths!$E$8,Paths!$E$8+'Operating costs'!$B$65&lt;=120,IF(Paths!$E$8+'Operating costs'!$B$65=0,C25=0,AND(C25&gt;0,Paths!$E$8+'Operating costs'!$B$65&gt;(C25-1)*12,Paths!$E$8+'Operating costs'!$B$65&lt;=C25*12))),'Operating costs'!$B$64,0)+IF(AND('Operating costs'!$B$67&gt;0,'Operating costs'!$B$67&lt;=120,OR(Paths!$D$8="ICE",'Operating costs'!$B$67&lt;=Paths!$E$8),IF('Operating costs'!$B$67=0,C25=0,AND(C25&gt;0,'Operating costs'!$B$67&gt;(C25-1)*12,'Operating costs'!$B$67&lt;=C25*12))),'Operating costs'!$B$66,0),"n.a."))</f>
        <v>0</v>
      </c>
      <c r="N25" s="16">
        <f>IF(NOT(Paths!$C$8=1),0,IF(Paths!$P$8="Complete",SUM(G25:I25)-J25-K25-L25+M25+IF(C25=0,Paths!$F$8,0)+IF(IF(Paths!$E$8=0,C25=0,AND(C25&gt;0,Paths!$E$8&gt;(C25-1)*12,Paths!$E$8&lt;=C25*12)),VLOOKUP(A25,'Fleet register'!$A$7:$S$106,16,FALSE),0),"n.a."))</f>
        <v>18151.349999999999</v>
      </c>
      <c r="O25" s="16">
        <f>IF(NOT(Paths!$C$8=1),0,IF(Paths!$P$8="Complete",N25-IF(C25=0,Paths!$F$8,0),"n.a."))</f>
        <v>18151.349999999999</v>
      </c>
      <c r="P25" s="16">
        <f>IF(NOT(Paths!$C$8=1),0,IF(Paths!$P$8="Complete",O25+L25,"n.a."))</f>
        <v>18151.349999999999</v>
      </c>
      <c r="Q25" s="16">
        <f>IF(NOT(Paths!$C$8=1),0,IF(Paths!$P$8="Complete",N25*(1+'Operating costs'!$B$54)^-C25,"n.a."))</f>
        <v>18151.349999999999</v>
      </c>
      <c r="R25" s="16">
        <f>IF(NOT(Paths!$C$8=1),0,IF(Paths!$P$8="Complete",IF(AND(C25=0,Paths!$E$8=0),I25-J25-K25+VLOOKUP(A25,'Fleet register'!$A$7:$S$106,15,FALSE)+VLOOKUP(A25,'Fleet register'!$A$7:$S$106,16,FALSE),0),"n.a."))</f>
        <v>0</v>
      </c>
      <c r="S25" s="1">
        <f>IF(NOT(Paths!$C$8=1),0,IF(Paths!$P$8="Complete",IF(C25=0,0,Paths!$S$8*Paths!$R$8),"n.a."))</f>
        <v>45000</v>
      </c>
      <c r="T25" s="1">
        <f>IF(NOT(Paths!$C$8=1),0,IF(Paths!$P$8="Complete",IF(C25=0,0,VLOOKUP(A25,'Fleet register'!$A$7:$S$106,9,FALSE)*Paths!$R$8),"n.a."))</f>
        <v>7200</v>
      </c>
    </row>
    <row r="26" spans="1:20" ht="24" customHeight="1">
      <c r="A26" s="1" t="str">
        <f>Paths!$A$8</f>
        <v>T001</v>
      </c>
      <c r="B26" s="1">
        <f>Paths!$B$8</f>
        <v>1</v>
      </c>
      <c r="C26" s="1">
        <v>8</v>
      </c>
      <c r="D26" s="1">
        <v>8</v>
      </c>
      <c r="E26" s="1">
        <f>IF(OR(Paths!$C$8=0,C26=0),0,MAX(0,MIN(C26*12,Paths!$E$8)-(C26-1)*12))</f>
        <v>0</v>
      </c>
      <c r="F26" s="1">
        <f>IF(OR(Paths!$C$8=0,C26=0),0,12-E26)</f>
        <v>12</v>
      </c>
      <c r="G26" s="16">
        <f>IF(NOT(Paths!$C$8=1),0,IF(Paths!$P$8="Complete",E26/12*(Paths!$J$8*(1+'Operating costs'!$B$51)^MAX(0,C26-1)+Paths!$K$8*(1+'Operating costs'!$B$53)^MAX(0,C26-1)),"n.a."))</f>
        <v>0</v>
      </c>
      <c r="H26" s="16">
        <f>IF(NOT(Paths!$C$8=1),0,IF(Paths!$P$8="Complete",F26/12*(Paths!$L$8*(1+IF(Paths!$D$8="EV",'Operating costs'!$B$52,'Operating costs'!$B$51))^MAX(0,C26-1)+Paths!$M$8*(1+'Operating costs'!$B$53)^MAX(0,C26-1)),"n.a."))</f>
        <v>18151.349999999999</v>
      </c>
      <c r="I26" s="16">
        <f>IF(NOT(Paths!$C$8=1),0,IF(Paths!$P$8="Complete",IF(IF(Paths!$E$8=0,C26=0,AND(C26&gt;0,Paths!$E$8&gt;(C26-1)*12,Paths!$E$8&lt;=C26*12)),Paths!$G$8,0),"n.a."))</f>
        <v>0</v>
      </c>
      <c r="J26" s="16">
        <f>IF(NOT(Paths!$C$8=1),0,IF(Paths!$P$8="Complete",IF(IF(Paths!$E$8=0,C26=0,AND(C26&gt;0,Paths!$E$8&gt;(C26-1)*12,Paths!$E$8&lt;=C26*12)),Paths!$H$8,0),"n.a."))</f>
        <v>0</v>
      </c>
      <c r="K26" s="16">
        <f>IF(NOT(Paths!$C$8=1),0,IF(Paths!$P$8="Complete",IF(IF(Paths!$O$8=0,C26=0,AND(C26&gt;0,Paths!$O$8&gt;(C26-1)*12,Paths!$O$8&lt;=C26*12)),Paths!$N$8,0),"n.a."))</f>
        <v>0</v>
      </c>
      <c r="L26" s="16">
        <f>IF(NOT(Paths!$C$8=1),0,IF(Paths!$P$8="Complete",IF(C26=10,Paths!$I$8,0),"n.a."))</f>
        <v>0</v>
      </c>
      <c r="M26" s="16">
        <f>IF(NOT(Paths!$C$8=1),0,IF(Paths!$P$8="Complete",IF(AND(Paths!$D$8="EV",Paths!$E$8&lt;120,Paths!$E$8+'Operating costs'!$B$65&gt;Paths!$E$8,Paths!$E$8+'Operating costs'!$B$65&lt;=120,IF(Paths!$E$8+'Operating costs'!$B$65=0,C26=0,AND(C26&gt;0,Paths!$E$8+'Operating costs'!$B$65&gt;(C26-1)*12,Paths!$E$8+'Operating costs'!$B$65&lt;=C26*12))),'Operating costs'!$B$64,0)+IF(AND('Operating costs'!$B$67&gt;0,'Operating costs'!$B$67&lt;=120,OR(Paths!$D$8="ICE",'Operating costs'!$B$67&lt;=Paths!$E$8),IF('Operating costs'!$B$67=0,C26=0,AND(C26&gt;0,'Operating costs'!$B$67&gt;(C26-1)*12,'Operating costs'!$B$67&lt;=C26*12))),'Operating costs'!$B$66,0),"n.a."))</f>
        <v>0</v>
      </c>
      <c r="N26" s="16">
        <f>IF(NOT(Paths!$C$8=1),0,IF(Paths!$P$8="Complete",SUM(G26:I26)-J26-K26-L26+M26+IF(C26=0,Paths!$F$8,0)+IF(IF(Paths!$E$8=0,C26=0,AND(C26&gt;0,Paths!$E$8&gt;(C26-1)*12,Paths!$E$8&lt;=C26*12)),VLOOKUP(A26,'Fleet register'!$A$7:$S$106,16,FALSE),0),"n.a."))</f>
        <v>18151.349999999999</v>
      </c>
      <c r="O26" s="16">
        <f>IF(NOT(Paths!$C$8=1),0,IF(Paths!$P$8="Complete",N26-IF(C26=0,Paths!$F$8,0),"n.a."))</f>
        <v>18151.349999999999</v>
      </c>
      <c r="P26" s="16">
        <f>IF(NOT(Paths!$C$8=1),0,IF(Paths!$P$8="Complete",O26+L26,"n.a."))</f>
        <v>18151.349999999999</v>
      </c>
      <c r="Q26" s="16">
        <f>IF(NOT(Paths!$C$8=1),0,IF(Paths!$P$8="Complete",N26*(1+'Operating costs'!$B$54)^-C26,"n.a."))</f>
        <v>18151.349999999999</v>
      </c>
      <c r="R26" s="16">
        <f>IF(NOT(Paths!$C$8=1),0,IF(Paths!$P$8="Complete",IF(AND(C26=0,Paths!$E$8=0),I26-J26-K26+VLOOKUP(A26,'Fleet register'!$A$7:$S$106,15,FALSE)+VLOOKUP(A26,'Fleet register'!$A$7:$S$106,16,FALSE),0),"n.a."))</f>
        <v>0</v>
      </c>
      <c r="S26" s="1">
        <f>IF(NOT(Paths!$C$8=1),0,IF(Paths!$P$8="Complete",IF(C26=0,0,Paths!$S$8*Paths!$R$8),"n.a."))</f>
        <v>45000</v>
      </c>
      <c r="T26" s="1">
        <f>IF(NOT(Paths!$C$8=1),0,IF(Paths!$P$8="Complete",IF(C26=0,0,VLOOKUP(A26,'Fleet register'!$A$7:$S$106,9,FALSE)*Paths!$R$8),"n.a."))</f>
        <v>7200</v>
      </c>
    </row>
    <row r="27" spans="1:20" ht="24" customHeight="1">
      <c r="A27" s="1" t="str">
        <f>Paths!$A$8</f>
        <v>T001</v>
      </c>
      <c r="B27" s="1">
        <f>Paths!$B$8</f>
        <v>1</v>
      </c>
      <c r="C27" s="1">
        <v>9</v>
      </c>
      <c r="D27" s="1">
        <v>8</v>
      </c>
      <c r="E27" s="1">
        <f>IF(OR(Paths!$C$8=0,C27=0),0,MAX(0,MIN(C27*12,Paths!$E$8)-(C27-1)*12))</f>
        <v>0</v>
      </c>
      <c r="F27" s="1">
        <f>IF(OR(Paths!$C$8=0,C27=0),0,12-E27)</f>
        <v>12</v>
      </c>
      <c r="G27" s="16">
        <f>IF(NOT(Paths!$C$8=1),0,IF(Paths!$P$8="Complete",E27/12*(Paths!$J$8*(1+'Operating costs'!$B$51)^MAX(0,C27-1)+Paths!$K$8*(1+'Operating costs'!$B$53)^MAX(0,C27-1)),"n.a."))</f>
        <v>0</v>
      </c>
      <c r="H27" s="16">
        <f>IF(NOT(Paths!$C$8=1),0,IF(Paths!$P$8="Complete",F27/12*(Paths!$L$8*(1+IF(Paths!$D$8="EV",'Operating costs'!$B$52,'Operating costs'!$B$51))^MAX(0,C27-1)+Paths!$M$8*(1+'Operating costs'!$B$53)^MAX(0,C27-1)),"n.a."))</f>
        <v>18151.349999999999</v>
      </c>
      <c r="I27" s="16">
        <f>IF(NOT(Paths!$C$8=1),0,IF(Paths!$P$8="Complete",IF(IF(Paths!$E$8=0,C27=0,AND(C27&gt;0,Paths!$E$8&gt;(C27-1)*12,Paths!$E$8&lt;=C27*12)),Paths!$G$8,0),"n.a."))</f>
        <v>0</v>
      </c>
      <c r="J27" s="16">
        <f>IF(NOT(Paths!$C$8=1),0,IF(Paths!$P$8="Complete",IF(IF(Paths!$E$8=0,C27=0,AND(C27&gt;0,Paths!$E$8&gt;(C27-1)*12,Paths!$E$8&lt;=C27*12)),Paths!$H$8,0),"n.a."))</f>
        <v>0</v>
      </c>
      <c r="K27" s="16">
        <f>IF(NOT(Paths!$C$8=1),0,IF(Paths!$P$8="Complete",IF(IF(Paths!$O$8=0,C27=0,AND(C27&gt;0,Paths!$O$8&gt;(C27-1)*12,Paths!$O$8&lt;=C27*12)),Paths!$N$8,0),"n.a."))</f>
        <v>0</v>
      </c>
      <c r="L27" s="16">
        <f>IF(NOT(Paths!$C$8=1),0,IF(Paths!$P$8="Complete",IF(C27=10,Paths!$I$8,0),"n.a."))</f>
        <v>0</v>
      </c>
      <c r="M27" s="16">
        <f>IF(NOT(Paths!$C$8=1),0,IF(Paths!$P$8="Complete",IF(AND(Paths!$D$8="EV",Paths!$E$8&lt;120,Paths!$E$8+'Operating costs'!$B$65&gt;Paths!$E$8,Paths!$E$8+'Operating costs'!$B$65&lt;=120,IF(Paths!$E$8+'Operating costs'!$B$65=0,C27=0,AND(C27&gt;0,Paths!$E$8+'Operating costs'!$B$65&gt;(C27-1)*12,Paths!$E$8+'Operating costs'!$B$65&lt;=C27*12))),'Operating costs'!$B$64,0)+IF(AND('Operating costs'!$B$67&gt;0,'Operating costs'!$B$67&lt;=120,OR(Paths!$D$8="ICE",'Operating costs'!$B$67&lt;=Paths!$E$8),IF('Operating costs'!$B$67=0,C27=0,AND(C27&gt;0,'Operating costs'!$B$67&gt;(C27-1)*12,'Operating costs'!$B$67&lt;=C27*12))),'Operating costs'!$B$66,0),"n.a."))</f>
        <v>0</v>
      </c>
      <c r="N27" s="16">
        <f>IF(NOT(Paths!$C$8=1),0,IF(Paths!$P$8="Complete",SUM(G27:I27)-J27-K27-L27+M27+IF(C27=0,Paths!$F$8,0)+IF(IF(Paths!$E$8=0,C27=0,AND(C27&gt;0,Paths!$E$8&gt;(C27-1)*12,Paths!$E$8&lt;=C27*12)),VLOOKUP(A27,'Fleet register'!$A$7:$S$106,16,FALSE),0),"n.a."))</f>
        <v>18151.349999999999</v>
      </c>
      <c r="O27" s="16">
        <f>IF(NOT(Paths!$C$8=1),0,IF(Paths!$P$8="Complete",N27-IF(C27=0,Paths!$F$8,0),"n.a."))</f>
        <v>18151.349999999999</v>
      </c>
      <c r="P27" s="16">
        <f>IF(NOT(Paths!$C$8=1),0,IF(Paths!$P$8="Complete",O27+L27,"n.a."))</f>
        <v>18151.349999999999</v>
      </c>
      <c r="Q27" s="16">
        <f>IF(NOT(Paths!$C$8=1),0,IF(Paths!$P$8="Complete",N27*(1+'Operating costs'!$B$54)^-C27,"n.a."))</f>
        <v>18151.349999999999</v>
      </c>
      <c r="R27" s="16">
        <f>IF(NOT(Paths!$C$8=1),0,IF(Paths!$P$8="Complete",IF(AND(C27=0,Paths!$E$8=0),I27-J27-K27+VLOOKUP(A27,'Fleet register'!$A$7:$S$106,15,FALSE)+VLOOKUP(A27,'Fleet register'!$A$7:$S$106,16,FALSE),0),"n.a."))</f>
        <v>0</v>
      </c>
      <c r="S27" s="1">
        <f>IF(NOT(Paths!$C$8=1),0,IF(Paths!$P$8="Complete",IF(C27=0,0,Paths!$S$8*Paths!$R$8),"n.a."))</f>
        <v>45000</v>
      </c>
      <c r="T27" s="1">
        <f>IF(NOT(Paths!$C$8=1),0,IF(Paths!$P$8="Complete",IF(C27=0,0,VLOOKUP(A27,'Fleet register'!$A$7:$S$106,9,FALSE)*Paths!$R$8),"n.a."))</f>
        <v>7200</v>
      </c>
    </row>
    <row r="28" spans="1:20" ht="24" customHeight="1">
      <c r="A28" s="1" t="str">
        <f>Paths!$A$8</f>
        <v>T001</v>
      </c>
      <c r="B28" s="1">
        <f>Paths!$B$8</f>
        <v>1</v>
      </c>
      <c r="C28" s="1">
        <v>10</v>
      </c>
      <c r="D28" s="1">
        <v>8</v>
      </c>
      <c r="E28" s="1">
        <f>IF(OR(Paths!$C$8=0,C28=0),0,MAX(0,MIN(C28*12,Paths!$E$8)-(C28-1)*12))</f>
        <v>0</v>
      </c>
      <c r="F28" s="1">
        <f>IF(OR(Paths!$C$8=0,C28=0),0,12-E28)</f>
        <v>12</v>
      </c>
      <c r="G28" s="16">
        <f>IF(NOT(Paths!$C$8=1),0,IF(Paths!$P$8="Complete",E28/12*(Paths!$J$8*(1+'Operating costs'!$B$51)^MAX(0,C28-1)+Paths!$K$8*(1+'Operating costs'!$B$53)^MAX(0,C28-1)),"n.a."))</f>
        <v>0</v>
      </c>
      <c r="H28" s="16">
        <f>IF(NOT(Paths!$C$8=1),0,IF(Paths!$P$8="Complete",F28/12*(Paths!$L$8*(1+IF(Paths!$D$8="EV",'Operating costs'!$B$52,'Operating costs'!$B$51))^MAX(0,C28-1)+Paths!$M$8*(1+'Operating costs'!$B$53)^MAX(0,C28-1)),"n.a."))</f>
        <v>18151.349999999999</v>
      </c>
      <c r="I28" s="16">
        <f>IF(NOT(Paths!$C$8=1),0,IF(Paths!$P$8="Complete",IF(IF(Paths!$E$8=0,C28=0,AND(C28&gt;0,Paths!$E$8&gt;(C28-1)*12,Paths!$E$8&lt;=C28*12)),Paths!$G$8,0),"n.a."))</f>
        <v>0</v>
      </c>
      <c r="J28" s="16">
        <f>IF(NOT(Paths!$C$8=1),0,IF(Paths!$P$8="Complete",IF(IF(Paths!$E$8=0,C28=0,AND(C28&gt;0,Paths!$E$8&gt;(C28-1)*12,Paths!$E$8&lt;=C28*12)),Paths!$H$8,0),"n.a."))</f>
        <v>0</v>
      </c>
      <c r="K28" s="16">
        <f>IF(NOT(Paths!$C$8=1),0,IF(Paths!$P$8="Complete",IF(IF(Paths!$O$8=0,C28=0,AND(C28&gt;0,Paths!$O$8&gt;(C28-1)*12,Paths!$O$8&lt;=C28*12)),Paths!$N$8,0),"n.a."))</f>
        <v>0</v>
      </c>
      <c r="L28" s="16">
        <f>IF(NOT(Paths!$C$8=1),0,IF(Paths!$P$8="Complete",IF(C28=10,Paths!$I$8,0),"n.a."))</f>
        <v>12000</v>
      </c>
      <c r="M28" s="16">
        <f>IF(NOT(Paths!$C$8=1),0,IF(Paths!$P$8="Complete",IF(AND(Paths!$D$8="EV",Paths!$E$8&lt;120,Paths!$E$8+'Operating costs'!$B$65&gt;Paths!$E$8,Paths!$E$8+'Operating costs'!$B$65&lt;=120,IF(Paths!$E$8+'Operating costs'!$B$65=0,C28=0,AND(C28&gt;0,Paths!$E$8+'Operating costs'!$B$65&gt;(C28-1)*12,Paths!$E$8+'Operating costs'!$B$65&lt;=C28*12))),'Operating costs'!$B$64,0)+IF(AND('Operating costs'!$B$67&gt;0,'Operating costs'!$B$67&lt;=120,OR(Paths!$D$8="ICE",'Operating costs'!$B$67&lt;=Paths!$E$8),IF('Operating costs'!$B$67=0,C28=0,AND(C28&gt;0,'Operating costs'!$B$67&gt;(C28-1)*12,'Operating costs'!$B$67&lt;=C28*12))),'Operating costs'!$B$66,0),"n.a."))</f>
        <v>0</v>
      </c>
      <c r="N28" s="16">
        <f>IF(NOT(Paths!$C$8=1),0,IF(Paths!$P$8="Complete",SUM(G28:I28)-J28-K28-L28+M28+IF(C28=0,Paths!$F$8,0)+IF(IF(Paths!$E$8=0,C28=0,AND(C28&gt;0,Paths!$E$8&gt;(C28-1)*12,Paths!$E$8&lt;=C28*12)),VLOOKUP(A28,'Fleet register'!$A$7:$S$106,16,FALSE),0),"n.a."))</f>
        <v>6151.3499999999985</v>
      </c>
      <c r="O28" s="16">
        <f>IF(NOT(Paths!$C$8=1),0,IF(Paths!$P$8="Complete",N28-IF(C28=0,Paths!$F$8,0),"n.a."))</f>
        <v>6151.3499999999985</v>
      </c>
      <c r="P28" s="16">
        <f>IF(NOT(Paths!$C$8=1),0,IF(Paths!$P$8="Complete",O28+L28,"n.a."))</f>
        <v>18151.349999999999</v>
      </c>
      <c r="Q28" s="16">
        <f>IF(NOT(Paths!$C$8=1),0,IF(Paths!$P$8="Complete",N28*(1+'Operating costs'!$B$54)^-C28,"n.a."))</f>
        <v>6151.3499999999985</v>
      </c>
      <c r="R28" s="16">
        <f>IF(NOT(Paths!$C$8=1),0,IF(Paths!$P$8="Complete",IF(AND(C28=0,Paths!$E$8=0),I28-J28-K28+VLOOKUP(A28,'Fleet register'!$A$7:$S$106,15,FALSE)+VLOOKUP(A28,'Fleet register'!$A$7:$S$106,16,FALSE),0),"n.a."))</f>
        <v>0</v>
      </c>
      <c r="S28" s="1">
        <f>IF(NOT(Paths!$C$8=1),0,IF(Paths!$P$8="Complete",IF(C28=0,0,Paths!$S$8*Paths!$R$8),"n.a."))</f>
        <v>45000</v>
      </c>
      <c r="T28" s="1">
        <f>IF(NOT(Paths!$C$8=1),0,IF(Paths!$P$8="Complete",IF(C28=0,0,VLOOKUP(A28,'Fleet register'!$A$7:$S$106,9,FALSE)*Paths!$R$8),"n.a."))</f>
        <v>7200</v>
      </c>
    </row>
    <row r="29" spans="1:20" ht="24" customHeight="1">
      <c r="A29" s="1" t="str">
        <f>Paths!$A$9</f>
        <v>T001</v>
      </c>
      <c r="B29" s="1">
        <f>Paths!$B$9</f>
        <v>2</v>
      </c>
      <c r="C29" s="1">
        <v>0</v>
      </c>
      <c r="D29" s="1">
        <v>9</v>
      </c>
      <c r="E29" s="1">
        <f>IF(OR(Paths!$C$9=0,C29=0),0,MAX(0,MIN(C29*12,Paths!$E$9)-(C29-1)*12))</f>
        <v>0</v>
      </c>
      <c r="F29" s="1">
        <f>IF(OR(Paths!$C$9=0,C29=0),0,12-E29)</f>
        <v>0</v>
      </c>
      <c r="G29" s="16">
        <f>IF(NOT(Paths!$C$9=1),0,IF(Paths!$P$9="Complete",E29/12*(Paths!$J$9*(1+'Operating costs'!$B$51)^MAX(0,C29-1)+Paths!$K$9*(1+'Operating costs'!$B$53)^MAX(0,C29-1)),"n.a."))</f>
        <v>0</v>
      </c>
      <c r="H29" s="16">
        <f>IF(NOT(Paths!$C$9=1),0,IF(Paths!$P$9="Complete",F29/12*(Paths!$L$9*(1+IF(Paths!$D$9="EV",'Operating costs'!$B$52,'Operating costs'!$B$51))^MAX(0,C29-1)+Paths!$M$9*(1+'Operating costs'!$B$53)^MAX(0,C29-1)),"n.a."))</f>
        <v>0</v>
      </c>
      <c r="I29" s="16">
        <f>IF(NOT(Paths!$C$9=1),0,IF(Paths!$P$9="Complete",IF(IF(Paths!$E$9=0,C29=0,AND(C29&gt;0,Paths!$E$9&gt;(C29-1)*12,Paths!$E$9&lt;=C29*12)),Paths!$G$9,0),"n.a."))</f>
        <v>171800</v>
      </c>
      <c r="J29" s="16">
        <f>IF(NOT(Paths!$C$9=1),0,IF(Paths!$P$9="Complete",IF(IF(Paths!$E$9=0,C29=0,AND(C29&gt;0,Paths!$E$9&gt;(C29-1)*12,Paths!$E$9&lt;=C29*12)),Paths!$H$9,0),"n.a."))</f>
        <v>24000</v>
      </c>
      <c r="K29" s="16">
        <f>IF(NOT(Paths!$C$9=1),0,IF(Paths!$P$9="Complete",IF(IF(Paths!$O$9=0,C29=0,AND(C29&gt;0,Paths!$O$9&gt;(C29-1)*12,Paths!$O$9&lt;=C29*12)),Paths!$N$9,0),"n.a."))</f>
        <v>0</v>
      </c>
      <c r="L29" s="16">
        <f>IF(NOT(Paths!$C$9=1),0,IF(Paths!$P$9="Complete",IF(C29=10,Paths!$I$9,0),"n.a."))</f>
        <v>0</v>
      </c>
      <c r="M29" s="16">
        <f>IF(NOT(Paths!$C$9=1),0,IF(Paths!$P$9="Complete",IF(AND(Paths!$D$9="EV",Paths!$E$9&lt;120,Paths!$E$9+'Operating costs'!$B$65&gt;Paths!$E$9,Paths!$E$9+'Operating costs'!$B$65&lt;=120,IF(Paths!$E$9+'Operating costs'!$B$65=0,C29=0,AND(C29&gt;0,Paths!$E$9+'Operating costs'!$B$65&gt;(C29-1)*12,Paths!$E$9+'Operating costs'!$B$65&lt;=C29*12))),'Operating costs'!$B$64,0)+IF(AND('Operating costs'!$B$67&gt;0,'Operating costs'!$B$67&lt;=120,OR(Paths!$D$9="ICE",'Operating costs'!$B$67&lt;=Paths!$E$9),IF('Operating costs'!$B$67=0,C29=0,AND(C29&gt;0,'Operating costs'!$B$67&gt;(C29-1)*12,'Operating costs'!$B$67&lt;=C29*12))),'Operating costs'!$B$66,0),"n.a."))</f>
        <v>0</v>
      </c>
      <c r="N29" s="16">
        <f>IF(NOT(Paths!$C$9=1),0,IF(Paths!$P$9="Complete",SUM(G29:I29)-J29-K29-L29+M29+IF(C29=0,Paths!$F$9,0)+IF(IF(Paths!$E$9=0,C29=0,AND(C29&gt;0,Paths!$E$9&gt;(C29-1)*12,Paths!$E$9&lt;=C29*12)),VLOOKUP(A29,'Fleet register'!$A$7:$S$106,16,FALSE),0),"n.a."))</f>
        <v>171800</v>
      </c>
      <c r="O29" s="16">
        <f>IF(NOT(Paths!$C$9=1),0,IF(Paths!$P$9="Complete",N29-IF(C29=0,Paths!$F$9,0),"n.a."))</f>
        <v>147800</v>
      </c>
      <c r="P29" s="16">
        <f>IF(NOT(Paths!$C$9=1),0,IF(Paths!$P$9="Complete",O29+L29,"n.a."))</f>
        <v>147800</v>
      </c>
      <c r="Q29" s="16">
        <f>IF(NOT(Paths!$C$9=1),0,IF(Paths!$P$9="Complete",N29*(1+'Operating costs'!$B$54)^-C29,"n.a."))</f>
        <v>171800</v>
      </c>
      <c r="R29" s="16">
        <f>IF(NOT(Paths!$C$9=1),0,IF(Paths!$P$9="Complete",IF(AND(C29=0,Paths!$E$9=0),I29-J29-K29+VLOOKUP(A29,'Fleet register'!$A$7:$S$106,15,FALSE)+VLOOKUP(A29,'Fleet register'!$A$7:$S$106,16,FALSE),0),"n.a."))</f>
        <v>147800</v>
      </c>
      <c r="S29" s="1">
        <f>IF(NOT(Paths!$C$9=1),0,IF(Paths!$P$9="Complete",IF(C29=0,0,Paths!$S$9*Paths!$R$9),"n.a."))</f>
        <v>0</v>
      </c>
      <c r="T29" s="1">
        <f>IF(NOT(Paths!$C$9=1),0,IF(Paths!$P$9="Complete",IF(C29=0,0,VLOOKUP(A29,'Fleet register'!$A$7:$S$106,9,FALSE)*Paths!$R$9),"n.a."))</f>
        <v>0</v>
      </c>
    </row>
    <row r="30" spans="1:20" ht="24" customHeight="1">
      <c r="A30" s="1" t="str">
        <f>Paths!$A$9</f>
        <v>T001</v>
      </c>
      <c r="B30" s="1">
        <f>Paths!$B$9</f>
        <v>2</v>
      </c>
      <c r="C30" s="1">
        <v>1</v>
      </c>
      <c r="D30" s="1">
        <v>9</v>
      </c>
      <c r="E30" s="1">
        <f>IF(OR(Paths!$C$9=0,C30=0),0,MAX(0,MIN(C30*12,Paths!$E$9)-(C30-1)*12))</f>
        <v>0</v>
      </c>
      <c r="F30" s="1">
        <f>IF(OR(Paths!$C$9=0,C30=0),0,12-E30)</f>
        <v>12</v>
      </c>
      <c r="G30" s="16">
        <f>IF(NOT(Paths!$C$9=1),0,IF(Paths!$P$9="Complete",E30/12*(Paths!$J$9*(1+'Operating costs'!$B$51)^MAX(0,C30-1)+Paths!$K$9*(1+'Operating costs'!$B$53)^MAX(0,C30-1)),"n.a."))</f>
        <v>0</v>
      </c>
      <c r="H30" s="16">
        <f>IF(NOT(Paths!$C$9=1),0,IF(Paths!$P$9="Complete",F30/12*(Paths!$L$9*(1+IF(Paths!$D$9="EV",'Operating costs'!$B$52,'Operating costs'!$B$51))^MAX(0,C30-1)+Paths!$M$9*(1+'Operating costs'!$B$53)^MAX(0,C30-1)),"n.a."))</f>
        <v>15636.851517552668</v>
      </c>
      <c r="I30" s="16">
        <f>IF(NOT(Paths!$C$9=1),0,IF(Paths!$P$9="Complete",IF(IF(Paths!$E$9=0,C30=0,AND(C30&gt;0,Paths!$E$9&gt;(C30-1)*12,Paths!$E$9&lt;=C30*12)),Paths!$G$9,0),"n.a."))</f>
        <v>0</v>
      </c>
      <c r="J30" s="16">
        <f>IF(NOT(Paths!$C$9=1),0,IF(Paths!$P$9="Complete",IF(IF(Paths!$E$9=0,C30=0,AND(C30&gt;0,Paths!$E$9&gt;(C30-1)*12,Paths!$E$9&lt;=C30*12)),Paths!$H$9,0),"n.a."))</f>
        <v>0</v>
      </c>
      <c r="K30" s="16">
        <f>IF(NOT(Paths!$C$9=1),0,IF(Paths!$P$9="Complete",IF(IF(Paths!$O$9=0,C30=0,AND(C30&gt;0,Paths!$O$9&gt;(C30-1)*12,Paths!$O$9&lt;=C30*12)),Paths!$N$9,0),"n.a."))</f>
        <v>0</v>
      </c>
      <c r="L30" s="16">
        <f>IF(NOT(Paths!$C$9=1),0,IF(Paths!$P$9="Complete",IF(C30=10,Paths!$I$9,0),"n.a."))</f>
        <v>0</v>
      </c>
      <c r="M30" s="16">
        <f>IF(NOT(Paths!$C$9=1),0,IF(Paths!$P$9="Complete",IF(AND(Paths!$D$9="EV",Paths!$E$9&lt;120,Paths!$E$9+'Operating costs'!$B$65&gt;Paths!$E$9,Paths!$E$9+'Operating costs'!$B$65&lt;=120,IF(Paths!$E$9+'Operating costs'!$B$65=0,C30=0,AND(C30&gt;0,Paths!$E$9+'Operating costs'!$B$65&gt;(C30-1)*12,Paths!$E$9+'Operating costs'!$B$65&lt;=C30*12))),'Operating costs'!$B$64,0)+IF(AND('Operating costs'!$B$67&gt;0,'Operating costs'!$B$67&lt;=120,OR(Paths!$D$9="ICE",'Operating costs'!$B$67&lt;=Paths!$E$9),IF('Operating costs'!$B$67=0,C30=0,AND(C30&gt;0,'Operating costs'!$B$67&gt;(C30-1)*12,'Operating costs'!$B$67&lt;=C30*12))),'Operating costs'!$B$66,0),"n.a."))</f>
        <v>0</v>
      </c>
      <c r="N30" s="16">
        <f>IF(NOT(Paths!$C$9=1),0,IF(Paths!$P$9="Complete",SUM(G30:I30)-J30-K30-L30+M30+IF(C30=0,Paths!$F$9,0)+IF(IF(Paths!$E$9=0,C30=0,AND(C30&gt;0,Paths!$E$9&gt;(C30-1)*12,Paths!$E$9&lt;=C30*12)),VLOOKUP(A30,'Fleet register'!$A$7:$S$106,16,FALSE),0),"n.a."))</f>
        <v>15636.851517552668</v>
      </c>
      <c r="O30" s="16">
        <f>IF(NOT(Paths!$C$9=1),0,IF(Paths!$P$9="Complete",N30-IF(C30=0,Paths!$F$9,0),"n.a."))</f>
        <v>15636.851517552668</v>
      </c>
      <c r="P30" s="16">
        <f>IF(NOT(Paths!$C$9=1),0,IF(Paths!$P$9="Complete",O30+L30,"n.a."))</f>
        <v>15636.851517552668</v>
      </c>
      <c r="Q30" s="16">
        <f>IF(NOT(Paths!$C$9=1),0,IF(Paths!$P$9="Complete",N30*(1+'Operating costs'!$B$54)^-C30,"n.a."))</f>
        <v>15636.851517552668</v>
      </c>
      <c r="R30" s="16">
        <f>IF(NOT(Paths!$C$9=1),0,IF(Paths!$P$9="Complete",IF(AND(C30=0,Paths!$E$9=0),I30-J30-K30+VLOOKUP(A30,'Fleet register'!$A$7:$S$106,15,FALSE)+VLOOKUP(A30,'Fleet register'!$A$7:$S$106,16,FALSE),0),"n.a."))</f>
        <v>0</v>
      </c>
      <c r="S30" s="1">
        <f>IF(NOT(Paths!$C$9=1),0,IF(Paths!$P$9="Complete",IF(C30=0,0,Paths!$S$9*Paths!$R$9),"n.a."))</f>
        <v>45000</v>
      </c>
      <c r="T30" s="1">
        <f>IF(NOT(Paths!$C$9=1),0,IF(Paths!$P$9="Complete",IF(C30=0,0,VLOOKUP(A30,'Fleet register'!$A$7:$S$106,9,FALSE)*Paths!$R$9),"n.a."))</f>
        <v>7200</v>
      </c>
    </row>
    <row r="31" spans="1:20" ht="24" customHeight="1">
      <c r="A31" s="1" t="str">
        <f>Paths!$A$9</f>
        <v>T001</v>
      </c>
      <c r="B31" s="1">
        <f>Paths!$B$9</f>
        <v>2</v>
      </c>
      <c r="C31" s="1">
        <v>2</v>
      </c>
      <c r="D31" s="1">
        <v>9</v>
      </c>
      <c r="E31" s="1">
        <f>IF(OR(Paths!$C$9=0,C31=0),0,MAX(0,MIN(C31*12,Paths!$E$9)-(C31-1)*12))</f>
        <v>0</v>
      </c>
      <c r="F31" s="1">
        <f>IF(OR(Paths!$C$9=0,C31=0),0,12-E31)</f>
        <v>12</v>
      </c>
      <c r="G31" s="16">
        <f>IF(NOT(Paths!$C$9=1),0,IF(Paths!$P$9="Complete",E31/12*(Paths!$J$9*(1+'Operating costs'!$B$51)^MAX(0,C31-1)+Paths!$K$9*(1+'Operating costs'!$B$53)^MAX(0,C31-1)),"n.a."))</f>
        <v>0</v>
      </c>
      <c r="H31" s="16">
        <f>IF(NOT(Paths!$C$9=1),0,IF(Paths!$P$9="Complete",F31/12*(Paths!$L$9*(1+IF(Paths!$D$9="EV",'Operating costs'!$B$52,'Operating costs'!$B$51))^MAX(0,C31-1)+Paths!$M$9*(1+'Operating costs'!$B$53)^MAX(0,C31-1)),"n.a."))</f>
        <v>15636.851517552668</v>
      </c>
      <c r="I31" s="16">
        <f>IF(NOT(Paths!$C$9=1),0,IF(Paths!$P$9="Complete",IF(IF(Paths!$E$9=0,C31=0,AND(C31&gt;0,Paths!$E$9&gt;(C31-1)*12,Paths!$E$9&lt;=C31*12)),Paths!$G$9,0),"n.a."))</f>
        <v>0</v>
      </c>
      <c r="J31" s="16">
        <f>IF(NOT(Paths!$C$9=1),0,IF(Paths!$P$9="Complete",IF(IF(Paths!$E$9=0,C31=0,AND(C31&gt;0,Paths!$E$9&gt;(C31-1)*12,Paths!$E$9&lt;=C31*12)),Paths!$H$9,0),"n.a."))</f>
        <v>0</v>
      </c>
      <c r="K31" s="16">
        <f>IF(NOT(Paths!$C$9=1),0,IF(Paths!$P$9="Complete",IF(IF(Paths!$O$9=0,C31=0,AND(C31&gt;0,Paths!$O$9&gt;(C31-1)*12,Paths!$O$9&lt;=C31*12)),Paths!$N$9,0),"n.a."))</f>
        <v>0</v>
      </c>
      <c r="L31" s="16">
        <f>IF(NOT(Paths!$C$9=1),0,IF(Paths!$P$9="Complete",IF(C31=10,Paths!$I$9,0),"n.a."))</f>
        <v>0</v>
      </c>
      <c r="M31" s="16">
        <f>IF(NOT(Paths!$C$9=1),0,IF(Paths!$P$9="Complete",IF(AND(Paths!$D$9="EV",Paths!$E$9&lt;120,Paths!$E$9+'Operating costs'!$B$65&gt;Paths!$E$9,Paths!$E$9+'Operating costs'!$B$65&lt;=120,IF(Paths!$E$9+'Operating costs'!$B$65=0,C31=0,AND(C31&gt;0,Paths!$E$9+'Operating costs'!$B$65&gt;(C31-1)*12,Paths!$E$9+'Operating costs'!$B$65&lt;=C31*12))),'Operating costs'!$B$64,0)+IF(AND('Operating costs'!$B$67&gt;0,'Operating costs'!$B$67&lt;=120,OR(Paths!$D$9="ICE",'Operating costs'!$B$67&lt;=Paths!$E$9),IF('Operating costs'!$B$67=0,C31=0,AND(C31&gt;0,'Operating costs'!$B$67&gt;(C31-1)*12,'Operating costs'!$B$67&lt;=C31*12))),'Operating costs'!$B$66,0),"n.a."))</f>
        <v>0</v>
      </c>
      <c r="N31" s="16">
        <f>IF(NOT(Paths!$C$9=1),0,IF(Paths!$P$9="Complete",SUM(G31:I31)-J31-K31-L31+M31+IF(C31=0,Paths!$F$9,0)+IF(IF(Paths!$E$9=0,C31=0,AND(C31&gt;0,Paths!$E$9&gt;(C31-1)*12,Paths!$E$9&lt;=C31*12)),VLOOKUP(A31,'Fleet register'!$A$7:$S$106,16,FALSE),0),"n.a."))</f>
        <v>15636.851517552668</v>
      </c>
      <c r="O31" s="16">
        <f>IF(NOT(Paths!$C$9=1),0,IF(Paths!$P$9="Complete",N31-IF(C31=0,Paths!$F$9,0),"n.a."))</f>
        <v>15636.851517552668</v>
      </c>
      <c r="P31" s="16">
        <f>IF(NOT(Paths!$C$9=1),0,IF(Paths!$P$9="Complete",O31+L31,"n.a."))</f>
        <v>15636.851517552668</v>
      </c>
      <c r="Q31" s="16">
        <f>IF(NOT(Paths!$C$9=1),0,IF(Paths!$P$9="Complete",N31*(1+'Operating costs'!$B$54)^-C31,"n.a."))</f>
        <v>15636.851517552668</v>
      </c>
      <c r="R31" s="16">
        <f>IF(NOT(Paths!$C$9=1),0,IF(Paths!$P$9="Complete",IF(AND(C31=0,Paths!$E$9=0),I31-J31-K31+VLOOKUP(A31,'Fleet register'!$A$7:$S$106,15,FALSE)+VLOOKUP(A31,'Fleet register'!$A$7:$S$106,16,FALSE),0),"n.a."))</f>
        <v>0</v>
      </c>
      <c r="S31" s="1">
        <f>IF(NOT(Paths!$C$9=1),0,IF(Paths!$P$9="Complete",IF(C31=0,0,Paths!$S$9*Paths!$R$9),"n.a."))</f>
        <v>45000</v>
      </c>
      <c r="T31" s="1">
        <f>IF(NOT(Paths!$C$9=1),0,IF(Paths!$P$9="Complete",IF(C31=0,0,VLOOKUP(A31,'Fleet register'!$A$7:$S$106,9,FALSE)*Paths!$R$9),"n.a."))</f>
        <v>7200</v>
      </c>
    </row>
    <row r="32" spans="1:20" ht="24" customHeight="1">
      <c r="A32" s="1" t="str">
        <f>Paths!$A$9</f>
        <v>T001</v>
      </c>
      <c r="B32" s="1">
        <f>Paths!$B$9</f>
        <v>2</v>
      </c>
      <c r="C32" s="1">
        <v>3</v>
      </c>
      <c r="D32" s="1">
        <v>9</v>
      </c>
      <c r="E32" s="1">
        <f>IF(OR(Paths!$C$9=0,C32=0),0,MAX(0,MIN(C32*12,Paths!$E$9)-(C32-1)*12))</f>
        <v>0</v>
      </c>
      <c r="F32" s="1">
        <f>IF(OR(Paths!$C$9=0,C32=0),0,12-E32)</f>
        <v>12</v>
      </c>
      <c r="G32" s="16">
        <f>IF(NOT(Paths!$C$9=1),0,IF(Paths!$P$9="Complete",E32/12*(Paths!$J$9*(1+'Operating costs'!$B$51)^MAX(0,C32-1)+Paths!$K$9*(1+'Operating costs'!$B$53)^MAX(0,C32-1)),"n.a."))</f>
        <v>0</v>
      </c>
      <c r="H32" s="16">
        <f>IF(NOT(Paths!$C$9=1),0,IF(Paths!$P$9="Complete",F32/12*(Paths!$L$9*(1+IF(Paths!$D$9="EV",'Operating costs'!$B$52,'Operating costs'!$B$51))^MAX(0,C32-1)+Paths!$M$9*(1+'Operating costs'!$B$53)^MAX(0,C32-1)),"n.a."))</f>
        <v>15636.851517552668</v>
      </c>
      <c r="I32" s="16">
        <f>IF(NOT(Paths!$C$9=1),0,IF(Paths!$P$9="Complete",IF(IF(Paths!$E$9=0,C32=0,AND(C32&gt;0,Paths!$E$9&gt;(C32-1)*12,Paths!$E$9&lt;=C32*12)),Paths!$G$9,0),"n.a."))</f>
        <v>0</v>
      </c>
      <c r="J32" s="16">
        <f>IF(NOT(Paths!$C$9=1),0,IF(Paths!$P$9="Complete",IF(IF(Paths!$E$9=0,C32=0,AND(C32&gt;0,Paths!$E$9&gt;(C32-1)*12,Paths!$E$9&lt;=C32*12)),Paths!$H$9,0),"n.a."))</f>
        <v>0</v>
      </c>
      <c r="K32" s="16">
        <f>IF(NOT(Paths!$C$9=1),0,IF(Paths!$P$9="Complete",IF(IF(Paths!$O$9=0,C32=0,AND(C32&gt;0,Paths!$O$9&gt;(C32-1)*12,Paths!$O$9&lt;=C32*12)),Paths!$N$9,0),"n.a."))</f>
        <v>0</v>
      </c>
      <c r="L32" s="16">
        <f>IF(NOT(Paths!$C$9=1),0,IF(Paths!$P$9="Complete",IF(C32=10,Paths!$I$9,0),"n.a."))</f>
        <v>0</v>
      </c>
      <c r="M32" s="16">
        <f>IF(NOT(Paths!$C$9=1),0,IF(Paths!$P$9="Complete",IF(AND(Paths!$D$9="EV",Paths!$E$9&lt;120,Paths!$E$9+'Operating costs'!$B$65&gt;Paths!$E$9,Paths!$E$9+'Operating costs'!$B$65&lt;=120,IF(Paths!$E$9+'Operating costs'!$B$65=0,C32=0,AND(C32&gt;0,Paths!$E$9+'Operating costs'!$B$65&gt;(C32-1)*12,Paths!$E$9+'Operating costs'!$B$65&lt;=C32*12))),'Operating costs'!$B$64,0)+IF(AND('Operating costs'!$B$67&gt;0,'Operating costs'!$B$67&lt;=120,OR(Paths!$D$9="ICE",'Operating costs'!$B$67&lt;=Paths!$E$9),IF('Operating costs'!$B$67=0,C32=0,AND(C32&gt;0,'Operating costs'!$B$67&gt;(C32-1)*12,'Operating costs'!$B$67&lt;=C32*12))),'Operating costs'!$B$66,0),"n.a."))</f>
        <v>0</v>
      </c>
      <c r="N32" s="16">
        <f>IF(NOT(Paths!$C$9=1),0,IF(Paths!$P$9="Complete",SUM(G32:I32)-J32-K32-L32+M32+IF(C32=0,Paths!$F$9,0)+IF(IF(Paths!$E$9=0,C32=0,AND(C32&gt;0,Paths!$E$9&gt;(C32-1)*12,Paths!$E$9&lt;=C32*12)),VLOOKUP(A32,'Fleet register'!$A$7:$S$106,16,FALSE),0),"n.a."))</f>
        <v>15636.851517552668</v>
      </c>
      <c r="O32" s="16">
        <f>IF(NOT(Paths!$C$9=1),0,IF(Paths!$P$9="Complete",N32-IF(C32=0,Paths!$F$9,0),"n.a."))</f>
        <v>15636.851517552668</v>
      </c>
      <c r="P32" s="16">
        <f>IF(NOT(Paths!$C$9=1),0,IF(Paths!$P$9="Complete",O32+L32,"n.a."))</f>
        <v>15636.851517552668</v>
      </c>
      <c r="Q32" s="16">
        <f>IF(NOT(Paths!$C$9=1),0,IF(Paths!$P$9="Complete",N32*(1+'Operating costs'!$B$54)^-C32,"n.a."))</f>
        <v>15636.851517552668</v>
      </c>
      <c r="R32" s="16">
        <f>IF(NOT(Paths!$C$9=1),0,IF(Paths!$P$9="Complete",IF(AND(C32=0,Paths!$E$9=0),I32-J32-K32+VLOOKUP(A32,'Fleet register'!$A$7:$S$106,15,FALSE)+VLOOKUP(A32,'Fleet register'!$A$7:$S$106,16,FALSE),0),"n.a."))</f>
        <v>0</v>
      </c>
      <c r="S32" s="1">
        <f>IF(NOT(Paths!$C$9=1),0,IF(Paths!$P$9="Complete",IF(C32=0,0,Paths!$S$9*Paths!$R$9),"n.a."))</f>
        <v>45000</v>
      </c>
      <c r="T32" s="1">
        <f>IF(NOT(Paths!$C$9=1),0,IF(Paths!$P$9="Complete",IF(C32=0,0,VLOOKUP(A32,'Fleet register'!$A$7:$S$106,9,FALSE)*Paths!$R$9),"n.a."))</f>
        <v>7200</v>
      </c>
    </row>
    <row r="33" spans="1:20" ht="24" customHeight="1">
      <c r="A33" s="1" t="str">
        <f>Paths!$A$9</f>
        <v>T001</v>
      </c>
      <c r="B33" s="1">
        <f>Paths!$B$9</f>
        <v>2</v>
      </c>
      <c r="C33" s="1">
        <v>4</v>
      </c>
      <c r="D33" s="1">
        <v>9</v>
      </c>
      <c r="E33" s="1">
        <f>IF(OR(Paths!$C$9=0,C33=0),0,MAX(0,MIN(C33*12,Paths!$E$9)-(C33-1)*12))</f>
        <v>0</v>
      </c>
      <c r="F33" s="1">
        <f>IF(OR(Paths!$C$9=0,C33=0),0,12-E33)</f>
        <v>12</v>
      </c>
      <c r="G33" s="16">
        <f>IF(NOT(Paths!$C$9=1),0,IF(Paths!$P$9="Complete",E33/12*(Paths!$J$9*(1+'Operating costs'!$B$51)^MAX(0,C33-1)+Paths!$K$9*(1+'Operating costs'!$B$53)^MAX(0,C33-1)),"n.a."))</f>
        <v>0</v>
      </c>
      <c r="H33" s="16">
        <f>IF(NOT(Paths!$C$9=1),0,IF(Paths!$P$9="Complete",F33/12*(Paths!$L$9*(1+IF(Paths!$D$9="EV",'Operating costs'!$B$52,'Operating costs'!$B$51))^MAX(0,C33-1)+Paths!$M$9*(1+'Operating costs'!$B$53)^MAX(0,C33-1)),"n.a."))</f>
        <v>15636.851517552668</v>
      </c>
      <c r="I33" s="16">
        <f>IF(NOT(Paths!$C$9=1),0,IF(Paths!$P$9="Complete",IF(IF(Paths!$E$9=0,C33=0,AND(C33&gt;0,Paths!$E$9&gt;(C33-1)*12,Paths!$E$9&lt;=C33*12)),Paths!$G$9,0),"n.a."))</f>
        <v>0</v>
      </c>
      <c r="J33" s="16">
        <f>IF(NOT(Paths!$C$9=1),0,IF(Paths!$P$9="Complete",IF(IF(Paths!$E$9=0,C33=0,AND(C33&gt;0,Paths!$E$9&gt;(C33-1)*12,Paths!$E$9&lt;=C33*12)),Paths!$H$9,0),"n.a."))</f>
        <v>0</v>
      </c>
      <c r="K33" s="16">
        <f>IF(NOT(Paths!$C$9=1),0,IF(Paths!$P$9="Complete",IF(IF(Paths!$O$9=0,C33=0,AND(C33&gt;0,Paths!$O$9&gt;(C33-1)*12,Paths!$O$9&lt;=C33*12)),Paths!$N$9,0),"n.a."))</f>
        <v>0</v>
      </c>
      <c r="L33" s="16">
        <f>IF(NOT(Paths!$C$9=1),0,IF(Paths!$P$9="Complete",IF(C33=10,Paths!$I$9,0),"n.a."))</f>
        <v>0</v>
      </c>
      <c r="M33" s="16">
        <f>IF(NOT(Paths!$C$9=1),0,IF(Paths!$P$9="Complete",IF(AND(Paths!$D$9="EV",Paths!$E$9&lt;120,Paths!$E$9+'Operating costs'!$B$65&gt;Paths!$E$9,Paths!$E$9+'Operating costs'!$B$65&lt;=120,IF(Paths!$E$9+'Operating costs'!$B$65=0,C33=0,AND(C33&gt;0,Paths!$E$9+'Operating costs'!$B$65&gt;(C33-1)*12,Paths!$E$9+'Operating costs'!$B$65&lt;=C33*12))),'Operating costs'!$B$64,0)+IF(AND('Operating costs'!$B$67&gt;0,'Operating costs'!$B$67&lt;=120,OR(Paths!$D$9="ICE",'Operating costs'!$B$67&lt;=Paths!$E$9),IF('Operating costs'!$B$67=0,C33=0,AND(C33&gt;0,'Operating costs'!$B$67&gt;(C33-1)*12,'Operating costs'!$B$67&lt;=C33*12))),'Operating costs'!$B$66,0),"n.a."))</f>
        <v>0</v>
      </c>
      <c r="N33" s="16">
        <f>IF(NOT(Paths!$C$9=1),0,IF(Paths!$P$9="Complete",SUM(G33:I33)-J33-K33-L33+M33+IF(C33=0,Paths!$F$9,0)+IF(IF(Paths!$E$9=0,C33=0,AND(C33&gt;0,Paths!$E$9&gt;(C33-1)*12,Paths!$E$9&lt;=C33*12)),VLOOKUP(A33,'Fleet register'!$A$7:$S$106,16,FALSE),0),"n.a."))</f>
        <v>15636.851517552668</v>
      </c>
      <c r="O33" s="16">
        <f>IF(NOT(Paths!$C$9=1),0,IF(Paths!$P$9="Complete",N33-IF(C33=0,Paths!$F$9,0),"n.a."))</f>
        <v>15636.851517552668</v>
      </c>
      <c r="P33" s="16">
        <f>IF(NOT(Paths!$C$9=1),0,IF(Paths!$P$9="Complete",O33+L33,"n.a."))</f>
        <v>15636.851517552668</v>
      </c>
      <c r="Q33" s="16">
        <f>IF(NOT(Paths!$C$9=1),0,IF(Paths!$P$9="Complete",N33*(1+'Operating costs'!$B$54)^-C33,"n.a."))</f>
        <v>15636.851517552668</v>
      </c>
      <c r="R33" s="16">
        <f>IF(NOT(Paths!$C$9=1),0,IF(Paths!$P$9="Complete",IF(AND(C33=0,Paths!$E$9=0),I33-J33-K33+VLOOKUP(A33,'Fleet register'!$A$7:$S$106,15,FALSE)+VLOOKUP(A33,'Fleet register'!$A$7:$S$106,16,FALSE),0),"n.a."))</f>
        <v>0</v>
      </c>
      <c r="S33" s="1">
        <f>IF(NOT(Paths!$C$9=1),0,IF(Paths!$P$9="Complete",IF(C33=0,0,Paths!$S$9*Paths!$R$9),"n.a."))</f>
        <v>45000</v>
      </c>
      <c r="T33" s="1">
        <f>IF(NOT(Paths!$C$9=1),0,IF(Paths!$P$9="Complete",IF(C33=0,0,VLOOKUP(A33,'Fleet register'!$A$7:$S$106,9,FALSE)*Paths!$R$9),"n.a."))</f>
        <v>7200</v>
      </c>
    </row>
    <row r="34" spans="1:20" ht="24" customHeight="1">
      <c r="A34" s="1" t="str">
        <f>Paths!$A$9</f>
        <v>T001</v>
      </c>
      <c r="B34" s="1">
        <f>Paths!$B$9</f>
        <v>2</v>
      </c>
      <c r="C34" s="1">
        <v>5</v>
      </c>
      <c r="D34" s="1">
        <v>9</v>
      </c>
      <c r="E34" s="1">
        <f>IF(OR(Paths!$C$9=0,C34=0),0,MAX(0,MIN(C34*12,Paths!$E$9)-(C34-1)*12))</f>
        <v>0</v>
      </c>
      <c r="F34" s="1">
        <f>IF(OR(Paths!$C$9=0,C34=0),0,12-E34)</f>
        <v>12</v>
      </c>
      <c r="G34" s="16">
        <f>IF(NOT(Paths!$C$9=1),0,IF(Paths!$P$9="Complete",E34/12*(Paths!$J$9*(1+'Operating costs'!$B$51)^MAX(0,C34-1)+Paths!$K$9*(1+'Operating costs'!$B$53)^MAX(0,C34-1)),"n.a."))</f>
        <v>0</v>
      </c>
      <c r="H34" s="16">
        <f>IF(NOT(Paths!$C$9=1),0,IF(Paths!$P$9="Complete",F34/12*(Paths!$L$9*(1+IF(Paths!$D$9="EV",'Operating costs'!$B$52,'Operating costs'!$B$51))^MAX(0,C34-1)+Paths!$M$9*(1+'Operating costs'!$B$53)^MAX(0,C34-1)),"n.a."))</f>
        <v>15636.851517552668</v>
      </c>
      <c r="I34" s="16">
        <f>IF(NOT(Paths!$C$9=1),0,IF(Paths!$P$9="Complete",IF(IF(Paths!$E$9=0,C34=0,AND(C34&gt;0,Paths!$E$9&gt;(C34-1)*12,Paths!$E$9&lt;=C34*12)),Paths!$G$9,0),"n.a."))</f>
        <v>0</v>
      </c>
      <c r="J34" s="16">
        <f>IF(NOT(Paths!$C$9=1),0,IF(Paths!$P$9="Complete",IF(IF(Paths!$E$9=0,C34=0,AND(C34&gt;0,Paths!$E$9&gt;(C34-1)*12,Paths!$E$9&lt;=C34*12)),Paths!$H$9,0),"n.a."))</f>
        <v>0</v>
      </c>
      <c r="K34" s="16">
        <f>IF(NOT(Paths!$C$9=1),0,IF(Paths!$P$9="Complete",IF(IF(Paths!$O$9=0,C34=0,AND(C34&gt;0,Paths!$O$9&gt;(C34-1)*12,Paths!$O$9&lt;=C34*12)),Paths!$N$9,0),"n.a."))</f>
        <v>0</v>
      </c>
      <c r="L34" s="16">
        <f>IF(NOT(Paths!$C$9=1),0,IF(Paths!$P$9="Complete",IF(C34=10,Paths!$I$9,0),"n.a."))</f>
        <v>0</v>
      </c>
      <c r="M34" s="16">
        <f>IF(NOT(Paths!$C$9=1),0,IF(Paths!$P$9="Complete",IF(AND(Paths!$D$9="EV",Paths!$E$9&lt;120,Paths!$E$9+'Operating costs'!$B$65&gt;Paths!$E$9,Paths!$E$9+'Operating costs'!$B$65&lt;=120,IF(Paths!$E$9+'Operating costs'!$B$65=0,C34=0,AND(C34&gt;0,Paths!$E$9+'Operating costs'!$B$65&gt;(C34-1)*12,Paths!$E$9+'Operating costs'!$B$65&lt;=C34*12))),'Operating costs'!$B$64,0)+IF(AND('Operating costs'!$B$67&gt;0,'Operating costs'!$B$67&lt;=120,OR(Paths!$D$9="ICE",'Operating costs'!$B$67&lt;=Paths!$E$9),IF('Operating costs'!$B$67=0,C34=0,AND(C34&gt;0,'Operating costs'!$B$67&gt;(C34-1)*12,'Operating costs'!$B$67&lt;=C34*12))),'Operating costs'!$B$66,0),"n.a."))</f>
        <v>0</v>
      </c>
      <c r="N34" s="16">
        <f>IF(NOT(Paths!$C$9=1),0,IF(Paths!$P$9="Complete",SUM(G34:I34)-J34-K34-L34+M34+IF(C34=0,Paths!$F$9,0)+IF(IF(Paths!$E$9=0,C34=0,AND(C34&gt;0,Paths!$E$9&gt;(C34-1)*12,Paths!$E$9&lt;=C34*12)),VLOOKUP(A34,'Fleet register'!$A$7:$S$106,16,FALSE),0),"n.a."))</f>
        <v>15636.851517552668</v>
      </c>
      <c r="O34" s="16">
        <f>IF(NOT(Paths!$C$9=1),0,IF(Paths!$P$9="Complete",N34-IF(C34=0,Paths!$F$9,0),"n.a."))</f>
        <v>15636.851517552668</v>
      </c>
      <c r="P34" s="16">
        <f>IF(NOT(Paths!$C$9=1),0,IF(Paths!$P$9="Complete",O34+L34,"n.a."))</f>
        <v>15636.851517552668</v>
      </c>
      <c r="Q34" s="16">
        <f>IF(NOT(Paths!$C$9=1),0,IF(Paths!$P$9="Complete",N34*(1+'Operating costs'!$B$54)^-C34,"n.a."))</f>
        <v>15636.851517552668</v>
      </c>
      <c r="R34" s="16">
        <f>IF(NOT(Paths!$C$9=1),0,IF(Paths!$P$9="Complete",IF(AND(C34=0,Paths!$E$9=0),I34-J34-K34+VLOOKUP(A34,'Fleet register'!$A$7:$S$106,15,FALSE)+VLOOKUP(A34,'Fleet register'!$A$7:$S$106,16,FALSE),0),"n.a."))</f>
        <v>0</v>
      </c>
      <c r="S34" s="1">
        <f>IF(NOT(Paths!$C$9=1),0,IF(Paths!$P$9="Complete",IF(C34=0,0,Paths!$S$9*Paths!$R$9),"n.a."))</f>
        <v>45000</v>
      </c>
      <c r="T34" s="1">
        <f>IF(NOT(Paths!$C$9=1),0,IF(Paths!$P$9="Complete",IF(C34=0,0,VLOOKUP(A34,'Fleet register'!$A$7:$S$106,9,FALSE)*Paths!$R$9),"n.a."))</f>
        <v>7200</v>
      </c>
    </row>
    <row r="35" spans="1:20" ht="24" customHeight="1">
      <c r="A35" s="1" t="str">
        <f>Paths!$A$9</f>
        <v>T001</v>
      </c>
      <c r="B35" s="1">
        <f>Paths!$B$9</f>
        <v>2</v>
      </c>
      <c r="C35" s="1">
        <v>6</v>
      </c>
      <c r="D35" s="1">
        <v>9</v>
      </c>
      <c r="E35" s="1">
        <f>IF(OR(Paths!$C$9=0,C35=0),0,MAX(0,MIN(C35*12,Paths!$E$9)-(C35-1)*12))</f>
        <v>0</v>
      </c>
      <c r="F35" s="1">
        <f>IF(OR(Paths!$C$9=0,C35=0),0,12-E35)</f>
        <v>12</v>
      </c>
      <c r="G35" s="16">
        <f>IF(NOT(Paths!$C$9=1),0,IF(Paths!$P$9="Complete",E35/12*(Paths!$J$9*(1+'Operating costs'!$B$51)^MAX(0,C35-1)+Paths!$K$9*(1+'Operating costs'!$B$53)^MAX(0,C35-1)),"n.a."))</f>
        <v>0</v>
      </c>
      <c r="H35" s="16">
        <f>IF(NOT(Paths!$C$9=1),0,IF(Paths!$P$9="Complete",F35/12*(Paths!$L$9*(1+IF(Paths!$D$9="EV",'Operating costs'!$B$52,'Operating costs'!$B$51))^MAX(0,C35-1)+Paths!$M$9*(1+'Operating costs'!$B$53)^MAX(0,C35-1)),"n.a."))</f>
        <v>15636.851517552668</v>
      </c>
      <c r="I35" s="16">
        <f>IF(NOT(Paths!$C$9=1),0,IF(Paths!$P$9="Complete",IF(IF(Paths!$E$9=0,C35=0,AND(C35&gt;0,Paths!$E$9&gt;(C35-1)*12,Paths!$E$9&lt;=C35*12)),Paths!$G$9,0),"n.a."))</f>
        <v>0</v>
      </c>
      <c r="J35" s="16">
        <f>IF(NOT(Paths!$C$9=1),0,IF(Paths!$P$9="Complete",IF(IF(Paths!$E$9=0,C35=0,AND(C35&gt;0,Paths!$E$9&gt;(C35-1)*12,Paths!$E$9&lt;=C35*12)),Paths!$H$9,0),"n.a."))</f>
        <v>0</v>
      </c>
      <c r="K35" s="16">
        <f>IF(NOT(Paths!$C$9=1),0,IF(Paths!$P$9="Complete",IF(IF(Paths!$O$9=0,C35=0,AND(C35&gt;0,Paths!$O$9&gt;(C35-1)*12,Paths!$O$9&lt;=C35*12)),Paths!$N$9,0),"n.a."))</f>
        <v>0</v>
      </c>
      <c r="L35" s="16">
        <f>IF(NOT(Paths!$C$9=1),0,IF(Paths!$P$9="Complete",IF(C35=10,Paths!$I$9,0),"n.a."))</f>
        <v>0</v>
      </c>
      <c r="M35" s="16">
        <f>IF(NOT(Paths!$C$9=1),0,IF(Paths!$P$9="Complete",IF(AND(Paths!$D$9="EV",Paths!$E$9&lt;120,Paths!$E$9+'Operating costs'!$B$65&gt;Paths!$E$9,Paths!$E$9+'Operating costs'!$B$65&lt;=120,IF(Paths!$E$9+'Operating costs'!$B$65=0,C35=0,AND(C35&gt;0,Paths!$E$9+'Operating costs'!$B$65&gt;(C35-1)*12,Paths!$E$9+'Operating costs'!$B$65&lt;=C35*12))),'Operating costs'!$B$64,0)+IF(AND('Operating costs'!$B$67&gt;0,'Operating costs'!$B$67&lt;=120,OR(Paths!$D$9="ICE",'Operating costs'!$B$67&lt;=Paths!$E$9),IF('Operating costs'!$B$67=0,C35=0,AND(C35&gt;0,'Operating costs'!$B$67&gt;(C35-1)*12,'Operating costs'!$B$67&lt;=C35*12))),'Operating costs'!$B$66,0),"n.a."))</f>
        <v>0</v>
      </c>
      <c r="N35" s="16">
        <f>IF(NOT(Paths!$C$9=1),0,IF(Paths!$P$9="Complete",SUM(G35:I35)-J35-K35-L35+M35+IF(C35=0,Paths!$F$9,0)+IF(IF(Paths!$E$9=0,C35=0,AND(C35&gt;0,Paths!$E$9&gt;(C35-1)*12,Paths!$E$9&lt;=C35*12)),VLOOKUP(A35,'Fleet register'!$A$7:$S$106,16,FALSE),0),"n.a."))</f>
        <v>15636.851517552668</v>
      </c>
      <c r="O35" s="16">
        <f>IF(NOT(Paths!$C$9=1),0,IF(Paths!$P$9="Complete",N35-IF(C35=0,Paths!$F$9,0),"n.a."))</f>
        <v>15636.851517552668</v>
      </c>
      <c r="P35" s="16">
        <f>IF(NOT(Paths!$C$9=1),0,IF(Paths!$P$9="Complete",O35+L35,"n.a."))</f>
        <v>15636.851517552668</v>
      </c>
      <c r="Q35" s="16">
        <f>IF(NOT(Paths!$C$9=1),0,IF(Paths!$P$9="Complete",N35*(1+'Operating costs'!$B$54)^-C35,"n.a."))</f>
        <v>15636.851517552668</v>
      </c>
      <c r="R35" s="16">
        <f>IF(NOT(Paths!$C$9=1),0,IF(Paths!$P$9="Complete",IF(AND(C35=0,Paths!$E$9=0),I35-J35-K35+VLOOKUP(A35,'Fleet register'!$A$7:$S$106,15,FALSE)+VLOOKUP(A35,'Fleet register'!$A$7:$S$106,16,FALSE),0),"n.a."))</f>
        <v>0</v>
      </c>
      <c r="S35" s="1">
        <f>IF(NOT(Paths!$C$9=1),0,IF(Paths!$P$9="Complete",IF(C35=0,0,Paths!$S$9*Paths!$R$9),"n.a."))</f>
        <v>45000</v>
      </c>
      <c r="T35" s="1">
        <f>IF(NOT(Paths!$C$9=1),0,IF(Paths!$P$9="Complete",IF(C35=0,0,VLOOKUP(A35,'Fleet register'!$A$7:$S$106,9,FALSE)*Paths!$R$9),"n.a."))</f>
        <v>7200</v>
      </c>
    </row>
    <row r="36" spans="1:20" ht="24" customHeight="1">
      <c r="A36" s="1" t="str">
        <f>Paths!$A$9</f>
        <v>T001</v>
      </c>
      <c r="B36" s="1">
        <f>Paths!$B$9</f>
        <v>2</v>
      </c>
      <c r="C36" s="1">
        <v>7</v>
      </c>
      <c r="D36" s="1">
        <v>9</v>
      </c>
      <c r="E36" s="1">
        <f>IF(OR(Paths!$C$9=0,C36=0),0,MAX(0,MIN(C36*12,Paths!$E$9)-(C36-1)*12))</f>
        <v>0</v>
      </c>
      <c r="F36" s="1">
        <f>IF(OR(Paths!$C$9=0,C36=0),0,12-E36)</f>
        <v>12</v>
      </c>
      <c r="G36" s="16">
        <f>IF(NOT(Paths!$C$9=1),0,IF(Paths!$P$9="Complete",E36/12*(Paths!$J$9*(1+'Operating costs'!$B$51)^MAX(0,C36-1)+Paths!$K$9*(1+'Operating costs'!$B$53)^MAX(0,C36-1)),"n.a."))</f>
        <v>0</v>
      </c>
      <c r="H36" s="16">
        <f>IF(NOT(Paths!$C$9=1),0,IF(Paths!$P$9="Complete",F36/12*(Paths!$L$9*(1+IF(Paths!$D$9="EV",'Operating costs'!$B$52,'Operating costs'!$B$51))^MAX(0,C36-1)+Paths!$M$9*(1+'Operating costs'!$B$53)^MAX(0,C36-1)),"n.a."))</f>
        <v>15636.851517552668</v>
      </c>
      <c r="I36" s="16">
        <f>IF(NOT(Paths!$C$9=1),0,IF(Paths!$P$9="Complete",IF(IF(Paths!$E$9=0,C36=0,AND(C36&gt;0,Paths!$E$9&gt;(C36-1)*12,Paths!$E$9&lt;=C36*12)),Paths!$G$9,0),"n.a."))</f>
        <v>0</v>
      </c>
      <c r="J36" s="16">
        <f>IF(NOT(Paths!$C$9=1),0,IF(Paths!$P$9="Complete",IF(IF(Paths!$E$9=0,C36=0,AND(C36&gt;0,Paths!$E$9&gt;(C36-1)*12,Paths!$E$9&lt;=C36*12)),Paths!$H$9,0),"n.a."))</f>
        <v>0</v>
      </c>
      <c r="K36" s="16">
        <f>IF(NOT(Paths!$C$9=1),0,IF(Paths!$P$9="Complete",IF(IF(Paths!$O$9=0,C36=0,AND(C36&gt;0,Paths!$O$9&gt;(C36-1)*12,Paths!$O$9&lt;=C36*12)),Paths!$N$9,0),"n.a."))</f>
        <v>0</v>
      </c>
      <c r="L36" s="16">
        <f>IF(NOT(Paths!$C$9=1),0,IF(Paths!$P$9="Complete",IF(C36=10,Paths!$I$9,0),"n.a."))</f>
        <v>0</v>
      </c>
      <c r="M36" s="16">
        <f>IF(NOT(Paths!$C$9=1),0,IF(Paths!$P$9="Complete",IF(AND(Paths!$D$9="EV",Paths!$E$9&lt;120,Paths!$E$9+'Operating costs'!$B$65&gt;Paths!$E$9,Paths!$E$9+'Operating costs'!$B$65&lt;=120,IF(Paths!$E$9+'Operating costs'!$B$65=0,C36=0,AND(C36&gt;0,Paths!$E$9+'Operating costs'!$B$65&gt;(C36-1)*12,Paths!$E$9+'Operating costs'!$B$65&lt;=C36*12))),'Operating costs'!$B$64,0)+IF(AND('Operating costs'!$B$67&gt;0,'Operating costs'!$B$67&lt;=120,OR(Paths!$D$9="ICE",'Operating costs'!$B$67&lt;=Paths!$E$9),IF('Operating costs'!$B$67=0,C36=0,AND(C36&gt;0,'Operating costs'!$B$67&gt;(C36-1)*12,'Operating costs'!$B$67&lt;=C36*12))),'Operating costs'!$B$66,0),"n.a."))</f>
        <v>0</v>
      </c>
      <c r="N36" s="16">
        <f>IF(NOT(Paths!$C$9=1),0,IF(Paths!$P$9="Complete",SUM(G36:I36)-J36-K36-L36+M36+IF(C36=0,Paths!$F$9,0)+IF(IF(Paths!$E$9=0,C36=0,AND(C36&gt;0,Paths!$E$9&gt;(C36-1)*12,Paths!$E$9&lt;=C36*12)),VLOOKUP(A36,'Fleet register'!$A$7:$S$106,16,FALSE),0),"n.a."))</f>
        <v>15636.851517552668</v>
      </c>
      <c r="O36" s="16">
        <f>IF(NOT(Paths!$C$9=1),0,IF(Paths!$P$9="Complete",N36-IF(C36=0,Paths!$F$9,0),"n.a."))</f>
        <v>15636.851517552668</v>
      </c>
      <c r="P36" s="16">
        <f>IF(NOT(Paths!$C$9=1),0,IF(Paths!$P$9="Complete",O36+L36,"n.a."))</f>
        <v>15636.851517552668</v>
      </c>
      <c r="Q36" s="16">
        <f>IF(NOT(Paths!$C$9=1),0,IF(Paths!$P$9="Complete",N36*(1+'Operating costs'!$B$54)^-C36,"n.a."))</f>
        <v>15636.851517552668</v>
      </c>
      <c r="R36" s="16">
        <f>IF(NOT(Paths!$C$9=1),0,IF(Paths!$P$9="Complete",IF(AND(C36=0,Paths!$E$9=0),I36-J36-K36+VLOOKUP(A36,'Fleet register'!$A$7:$S$106,15,FALSE)+VLOOKUP(A36,'Fleet register'!$A$7:$S$106,16,FALSE),0),"n.a."))</f>
        <v>0</v>
      </c>
      <c r="S36" s="1">
        <f>IF(NOT(Paths!$C$9=1),0,IF(Paths!$P$9="Complete",IF(C36=0,0,Paths!$S$9*Paths!$R$9),"n.a."))</f>
        <v>45000</v>
      </c>
      <c r="T36" s="1">
        <f>IF(NOT(Paths!$C$9=1),0,IF(Paths!$P$9="Complete",IF(C36=0,0,VLOOKUP(A36,'Fleet register'!$A$7:$S$106,9,FALSE)*Paths!$R$9),"n.a."))</f>
        <v>7200</v>
      </c>
    </row>
    <row r="37" spans="1:20" ht="24" customHeight="1">
      <c r="A37" s="1" t="str">
        <f>Paths!$A$9</f>
        <v>T001</v>
      </c>
      <c r="B37" s="1">
        <f>Paths!$B$9</f>
        <v>2</v>
      </c>
      <c r="C37" s="1">
        <v>8</v>
      </c>
      <c r="D37" s="1">
        <v>9</v>
      </c>
      <c r="E37" s="1">
        <f>IF(OR(Paths!$C$9=0,C37=0),0,MAX(0,MIN(C37*12,Paths!$E$9)-(C37-1)*12))</f>
        <v>0</v>
      </c>
      <c r="F37" s="1">
        <f>IF(OR(Paths!$C$9=0,C37=0),0,12-E37)</f>
        <v>12</v>
      </c>
      <c r="G37" s="16">
        <f>IF(NOT(Paths!$C$9=1),0,IF(Paths!$P$9="Complete",E37/12*(Paths!$J$9*(1+'Operating costs'!$B$51)^MAX(0,C37-1)+Paths!$K$9*(1+'Operating costs'!$B$53)^MAX(0,C37-1)),"n.a."))</f>
        <v>0</v>
      </c>
      <c r="H37" s="16">
        <f>IF(NOT(Paths!$C$9=1),0,IF(Paths!$P$9="Complete",F37/12*(Paths!$L$9*(1+IF(Paths!$D$9="EV",'Operating costs'!$B$52,'Operating costs'!$B$51))^MAX(0,C37-1)+Paths!$M$9*(1+'Operating costs'!$B$53)^MAX(0,C37-1)),"n.a."))</f>
        <v>15636.851517552668</v>
      </c>
      <c r="I37" s="16">
        <f>IF(NOT(Paths!$C$9=1),0,IF(Paths!$P$9="Complete",IF(IF(Paths!$E$9=0,C37=0,AND(C37&gt;0,Paths!$E$9&gt;(C37-1)*12,Paths!$E$9&lt;=C37*12)),Paths!$G$9,0),"n.a."))</f>
        <v>0</v>
      </c>
      <c r="J37" s="16">
        <f>IF(NOT(Paths!$C$9=1),0,IF(Paths!$P$9="Complete",IF(IF(Paths!$E$9=0,C37=0,AND(C37&gt;0,Paths!$E$9&gt;(C37-1)*12,Paths!$E$9&lt;=C37*12)),Paths!$H$9,0),"n.a."))</f>
        <v>0</v>
      </c>
      <c r="K37" s="16">
        <f>IF(NOT(Paths!$C$9=1),0,IF(Paths!$P$9="Complete",IF(IF(Paths!$O$9=0,C37=0,AND(C37&gt;0,Paths!$O$9&gt;(C37-1)*12,Paths!$O$9&lt;=C37*12)),Paths!$N$9,0),"n.a."))</f>
        <v>0</v>
      </c>
      <c r="L37" s="16">
        <f>IF(NOT(Paths!$C$9=1),0,IF(Paths!$P$9="Complete",IF(C37=10,Paths!$I$9,0),"n.a."))</f>
        <v>0</v>
      </c>
      <c r="M37" s="16">
        <f>IF(NOT(Paths!$C$9=1),0,IF(Paths!$P$9="Complete",IF(AND(Paths!$D$9="EV",Paths!$E$9&lt;120,Paths!$E$9+'Operating costs'!$B$65&gt;Paths!$E$9,Paths!$E$9+'Operating costs'!$B$65&lt;=120,IF(Paths!$E$9+'Operating costs'!$B$65=0,C37=0,AND(C37&gt;0,Paths!$E$9+'Operating costs'!$B$65&gt;(C37-1)*12,Paths!$E$9+'Operating costs'!$B$65&lt;=C37*12))),'Operating costs'!$B$64,0)+IF(AND('Operating costs'!$B$67&gt;0,'Operating costs'!$B$67&lt;=120,OR(Paths!$D$9="ICE",'Operating costs'!$B$67&lt;=Paths!$E$9),IF('Operating costs'!$B$67=0,C37=0,AND(C37&gt;0,'Operating costs'!$B$67&gt;(C37-1)*12,'Operating costs'!$B$67&lt;=C37*12))),'Operating costs'!$B$66,0),"n.a."))</f>
        <v>0</v>
      </c>
      <c r="N37" s="16">
        <f>IF(NOT(Paths!$C$9=1),0,IF(Paths!$P$9="Complete",SUM(G37:I37)-J37-K37-L37+M37+IF(C37=0,Paths!$F$9,0)+IF(IF(Paths!$E$9=0,C37=0,AND(C37&gt;0,Paths!$E$9&gt;(C37-1)*12,Paths!$E$9&lt;=C37*12)),VLOOKUP(A37,'Fleet register'!$A$7:$S$106,16,FALSE),0),"n.a."))</f>
        <v>15636.851517552668</v>
      </c>
      <c r="O37" s="16">
        <f>IF(NOT(Paths!$C$9=1),0,IF(Paths!$P$9="Complete",N37-IF(C37=0,Paths!$F$9,0),"n.a."))</f>
        <v>15636.851517552668</v>
      </c>
      <c r="P37" s="16">
        <f>IF(NOT(Paths!$C$9=1),0,IF(Paths!$P$9="Complete",O37+L37,"n.a."))</f>
        <v>15636.851517552668</v>
      </c>
      <c r="Q37" s="16">
        <f>IF(NOT(Paths!$C$9=1),0,IF(Paths!$P$9="Complete",N37*(1+'Operating costs'!$B$54)^-C37,"n.a."))</f>
        <v>15636.851517552668</v>
      </c>
      <c r="R37" s="16">
        <f>IF(NOT(Paths!$C$9=1),0,IF(Paths!$P$9="Complete",IF(AND(C37=0,Paths!$E$9=0),I37-J37-K37+VLOOKUP(A37,'Fleet register'!$A$7:$S$106,15,FALSE)+VLOOKUP(A37,'Fleet register'!$A$7:$S$106,16,FALSE),0),"n.a."))</f>
        <v>0</v>
      </c>
      <c r="S37" s="1">
        <f>IF(NOT(Paths!$C$9=1),0,IF(Paths!$P$9="Complete",IF(C37=0,0,Paths!$S$9*Paths!$R$9),"n.a."))</f>
        <v>45000</v>
      </c>
      <c r="T37" s="1">
        <f>IF(NOT(Paths!$C$9=1),0,IF(Paths!$P$9="Complete",IF(C37=0,0,VLOOKUP(A37,'Fleet register'!$A$7:$S$106,9,FALSE)*Paths!$R$9),"n.a."))</f>
        <v>7200</v>
      </c>
    </row>
    <row r="38" spans="1:20" ht="24" customHeight="1">
      <c r="A38" s="1" t="str">
        <f>Paths!$A$9</f>
        <v>T001</v>
      </c>
      <c r="B38" s="1">
        <f>Paths!$B$9</f>
        <v>2</v>
      </c>
      <c r="C38" s="1">
        <v>9</v>
      </c>
      <c r="D38" s="1">
        <v>9</v>
      </c>
      <c r="E38" s="1">
        <f>IF(OR(Paths!$C$9=0,C38=0),0,MAX(0,MIN(C38*12,Paths!$E$9)-(C38-1)*12))</f>
        <v>0</v>
      </c>
      <c r="F38" s="1">
        <f>IF(OR(Paths!$C$9=0,C38=0),0,12-E38)</f>
        <v>12</v>
      </c>
      <c r="G38" s="16">
        <f>IF(NOT(Paths!$C$9=1),0,IF(Paths!$P$9="Complete",E38/12*(Paths!$J$9*(1+'Operating costs'!$B$51)^MAX(0,C38-1)+Paths!$K$9*(1+'Operating costs'!$B$53)^MAX(0,C38-1)),"n.a."))</f>
        <v>0</v>
      </c>
      <c r="H38" s="16">
        <f>IF(NOT(Paths!$C$9=1),0,IF(Paths!$P$9="Complete",F38/12*(Paths!$L$9*(1+IF(Paths!$D$9="EV",'Operating costs'!$B$52,'Operating costs'!$B$51))^MAX(0,C38-1)+Paths!$M$9*(1+'Operating costs'!$B$53)^MAX(0,C38-1)),"n.a."))</f>
        <v>15636.851517552668</v>
      </c>
      <c r="I38" s="16">
        <f>IF(NOT(Paths!$C$9=1),0,IF(Paths!$P$9="Complete",IF(IF(Paths!$E$9=0,C38=0,AND(C38&gt;0,Paths!$E$9&gt;(C38-1)*12,Paths!$E$9&lt;=C38*12)),Paths!$G$9,0),"n.a."))</f>
        <v>0</v>
      </c>
      <c r="J38" s="16">
        <f>IF(NOT(Paths!$C$9=1),0,IF(Paths!$P$9="Complete",IF(IF(Paths!$E$9=0,C38=0,AND(C38&gt;0,Paths!$E$9&gt;(C38-1)*12,Paths!$E$9&lt;=C38*12)),Paths!$H$9,0),"n.a."))</f>
        <v>0</v>
      </c>
      <c r="K38" s="16">
        <f>IF(NOT(Paths!$C$9=1),0,IF(Paths!$P$9="Complete",IF(IF(Paths!$O$9=0,C38=0,AND(C38&gt;0,Paths!$O$9&gt;(C38-1)*12,Paths!$O$9&lt;=C38*12)),Paths!$N$9,0),"n.a."))</f>
        <v>0</v>
      </c>
      <c r="L38" s="16">
        <f>IF(NOT(Paths!$C$9=1),0,IF(Paths!$P$9="Complete",IF(C38=10,Paths!$I$9,0),"n.a."))</f>
        <v>0</v>
      </c>
      <c r="M38" s="16">
        <f>IF(NOT(Paths!$C$9=1),0,IF(Paths!$P$9="Complete",IF(AND(Paths!$D$9="EV",Paths!$E$9&lt;120,Paths!$E$9+'Operating costs'!$B$65&gt;Paths!$E$9,Paths!$E$9+'Operating costs'!$B$65&lt;=120,IF(Paths!$E$9+'Operating costs'!$B$65=0,C38=0,AND(C38&gt;0,Paths!$E$9+'Operating costs'!$B$65&gt;(C38-1)*12,Paths!$E$9+'Operating costs'!$B$65&lt;=C38*12))),'Operating costs'!$B$64,0)+IF(AND('Operating costs'!$B$67&gt;0,'Operating costs'!$B$67&lt;=120,OR(Paths!$D$9="ICE",'Operating costs'!$B$67&lt;=Paths!$E$9),IF('Operating costs'!$B$67=0,C38=0,AND(C38&gt;0,'Operating costs'!$B$67&gt;(C38-1)*12,'Operating costs'!$B$67&lt;=C38*12))),'Operating costs'!$B$66,0),"n.a."))</f>
        <v>0</v>
      </c>
      <c r="N38" s="16">
        <f>IF(NOT(Paths!$C$9=1),0,IF(Paths!$P$9="Complete",SUM(G38:I38)-J38-K38-L38+M38+IF(C38=0,Paths!$F$9,0)+IF(IF(Paths!$E$9=0,C38=0,AND(C38&gt;0,Paths!$E$9&gt;(C38-1)*12,Paths!$E$9&lt;=C38*12)),VLOOKUP(A38,'Fleet register'!$A$7:$S$106,16,FALSE),0),"n.a."))</f>
        <v>15636.851517552668</v>
      </c>
      <c r="O38" s="16">
        <f>IF(NOT(Paths!$C$9=1),0,IF(Paths!$P$9="Complete",N38-IF(C38=0,Paths!$F$9,0),"n.a."))</f>
        <v>15636.851517552668</v>
      </c>
      <c r="P38" s="16">
        <f>IF(NOT(Paths!$C$9=1),0,IF(Paths!$P$9="Complete",O38+L38,"n.a."))</f>
        <v>15636.851517552668</v>
      </c>
      <c r="Q38" s="16">
        <f>IF(NOT(Paths!$C$9=1),0,IF(Paths!$P$9="Complete",N38*(1+'Operating costs'!$B$54)^-C38,"n.a."))</f>
        <v>15636.851517552668</v>
      </c>
      <c r="R38" s="16">
        <f>IF(NOT(Paths!$C$9=1),0,IF(Paths!$P$9="Complete",IF(AND(C38=0,Paths!$E$9=0),I38-J38-K38+VLOOKUP(A38,'Fleet register'!$A$7:$S$106,15,FALSE)+VLOOKUP(A38,'Fleet register'!$A$7:$S$106,16,FALSE),0),"n.a."))</f>
        <v>0</v>
      </c>
      <c r="S38" s="1">
        <f>IF(NOT(Paths!$C$9=1),0,IF(Paths!$P$9="Complete",IF(C38=0,0,Paths!$S$9*Paths!$R$9),"n.a."))</f>
        <v>45000</v>
      </c>
      <c r="T38" s="1">
        <f>IF(NOT(Paths!$C$9=1),0,IF(Paths!$P$9="Complete",IF(C38=0,0,VLOOKUP(A38,'Fleet register'!$A$7:$S$106,9,FALSE)*Paths!$R$9),"n.a."))</f>
        <v>7200</v>
      </c>
    </row>
    <row r="39" spans="1:20" ht="24" customHeight="1">
      <c r="A39" s="1" t="str">
        <f>Paths!$A$9</f>
        <v>T001</v>
      </c>
      <c r="B39" s="1">
        <f>Paths!$B$9</f>
        <v>2</v>
      </c>
      <c r="C39" s="1">
        <v>10</v>
      </c>
      <c r="D39" s="1">
        <v>9</v>
      </c>
      <c r="E39" s="1">
        <f>IF(OR(Paths!$C$9=0,C39=0),0,MAX(0,MIN(C39*12,Paths!$E$9)-(C39-1)*12))</f>
        <v>0</v>
      </c>
      <c r="F39" s="1">
        <f>IF(OR(Paths!$C$9=0,C39=0),0,12-E39)</f>
        <v>12</v>
      </c>
      <c r="G39" s="16">
        <f>IF(NOT(Paths!$C$9=1),0,IF(Paths!$P$9="Complete",E39/12*(Paths!$J$9*(1+'Operating costs'!$B$51)^MAX(0,C39-1)+Paths!$K$9*(1+'Operating costs'!$B$53)^MAX(0,C39-1)),"n.a."))</f>
        <v>0</v>
      </c>
      <c r="H39" s="16">
        <f>IF(NOT(Paths!$C$9=1),0,IF(Paths!$P$9="Complete",F39/12*(Paths!$L$9*(1+IF(Paths!$D$9="EV",'Operating costs'!$B$52,'Operating costs'!$B$51))^MAX(0,C39-1)+Paths!$M$9*(1+'Operating costs'!$B$53)^MAX(0,C39-1)),"n.a."))</f>
        <v>15636.851517552668</v>
      </c>
      <c r="I39" s="16">
        <f>IF(NOT(Paths!$C$9=1),0,IF(Paths!$P$9="Complete",IF(IF(Paths!$E$9=0,C39=0,AND(C39&gt;0,Paths!$E$9&gt;(C39-1)*12,Paths!$E$9&lt;=C39*12)),Paths!$G$9,0),"n.a."))</f>
        <v>0</v>
      </c>
      <c r="J39" s="16">
        <f>IF(NOT(Paths!$C$9=1),0,IF(Paths!$P$9="Complete",IF(IF(Paths!$E$9=0,C39=0,AND(C39&gt;0,Paths!$E$9&gt;(C39-1)*12,Paths!$E$9&lt;=C39*12)),Paths!$H$9,0),"n.a."))</f>
        <v>0</v>
      </c>
      <c r="K39" s="16">
        <f>IF(NOT(Paths!$C$9=1),0,IF(Paths!$P$9="Complete",IF(IF(Paths!$O$9=0,C39=0,AND(C39&gt;0,Paths!$O$9&gt;(C39-1)*12,Paths!$O$9&lt;=C39*12)),Paths!$N$9,0),"n.a."))</f>
        <v>0</v>
      </c>
      <c r="L39" s="16">
        <f>IF(NOT(Paths!$C$9=1),0,IF(Paths!$P$9="Complete",IF(C39=10,Paths!$I$9,0),"n.a."))</f>
        <v>8000</v>
      </c>
      <c r="M39" s="16">
        <f>IF(NOT(Paths!$C$9=1),0,IF(Paths!$P$9="Complete",IF(AND(Paths!$D$9="EV",Paths!$E$9&lt;120,Paths!$E$9+'Operating costs'!$B$65&gt;Paths!$E$9,Paths!$E$9+'Operating costs'!$B$65&lt;=120,IF(Paths!$E$9+'Operating costs'!$B$65=0,C39=0,AND(C39&gt;0,Paths!$E$9+'Operating costs'!$B$65&gt;(C39-1)*12,Paths!$E$9+'Operating costs'!$B$65&lt;=C39*12))),'Operating costs'!$B$64,0)+IF(AND('Operating costs'!$B$67&gt;0,'Operating costs'!$B$67&lt;=120,OR(Paths!$D$9="ICE",'Operating costs'!$B$67&lt;=Paths!$E$9),IF('Operating costs'!$B$67=0,C39=0,AND(C39&gt;0,'Operating costs'!$B$67&gt;(C39-1)*12,'Operating costs'!$B$67&lt;=C39*12))),'Operating costs'!$B$66,0),"n.a."))</f>
        <v>0</v>
      </c>
      <c r="N39" s="16">
        <f>IF(NOT(Paths!$C$9=1),0,IF(Paths!$P$9="Complete",SUM(G39:I39)-J39-K39-L39+M39+IF(C39=0,Paths!$F$9,0)+IF(IF(Paths!$E$9=0,C39=0,AND(C39&gt;0,Paths!$E$9&gt;(C39-1)*12,Paths!$E$9&lt;=C39*12)),VLOOKUP(A39,'Fleet register'!$A$7:$S$106,16,FALSE),0),"n.a."))</f>
        <v>7636.8515175526682</v>
      </c>
      <c r="O39" s="16">
        <f>IF(NOT(Paths!$C$9=1),0,IF(Paths!$P$9="Complete",N39-IF(C39=0,Paths!$F$9,0),"n.a."))</f>
        <v>7636.8515175526682</v>
      </c>
      <c r="P39" s="16">
        <f>IF(NOT(Paths!$C$9=1),0,IF(Paths!$P$9="Complete",O39+L39,"n.a."))</f>
        <v>15636.851517552668</v>
      </c>
      <c r="Q39" s="16">
        <f>IF(NOT(Paths!$C$9=1),0,IF(Paths!$P$9="Complete",N39*(1+'Operating costs'!$B$54)^-C39,"n.a."))</f>
        <v>7636.8515175526682</v>
      </c>
      <c r="R39" s="16">
        <f>IF(NOT(Paths!$C$9=1),0,IF(Paths!$P$9="Complete",IF(AND(C39=0,Paths!$E$9=0),I39-J39-K39+VLOOKUP(A39,'Fleet register'!$A$7:$S$106,15,FALSE)+VLOOKUP(A39,'Fleet register'!$A$7:$S$106,16,FALSE),0),"n.a."))</f>
        <v>0</v>
      </c>
      <c r="S39" s="1">
        <f>IF(NOT(Paths!$C$9=1),0,IF(Paths!$P$9="Complete",IF(C39=0,0,Paths!$S$9*Paths!$R$9),"n.a."))</f>
        <v>45000</v>
      </c>
      <c r="T39" s="1">
        <f>IF(NOT(Paths!$C$9=1),0,IF(Paths!$P$9="Complete",IF(C39=0,0,VLOOKUP(A39,'Fleet register'!$A$7:$S$106,9,FALSE)*Paths!$R$9),"n.a."))</f>
        <v>7200</v>
      </c>
    </row>
    <row r="40" spans="1:20" ht="24" customHeight="1">
      <c r="A40" s="1" t="str">
        <f>Paths!$A$10</f>
        <v>T001</v>
      </c>
      <c r="B40" s="1">
        <f>Paths!$B$10</f>
        <v>3</v>
      </c>
      <c r="C40" s="1">
        <v>0</v>
      </c>
      <c r="D40" s="1">
        <v>10</v>
      </c>
      <c r="E40" s="1">
        <f>IF(OR(Paths!$C$10=0,C40=0),0,MAX(0,MIN(C40*12,Paths!$E$10)-(C40-1)*12))</f>
        <v>0</v>
      </c>
      <c r="F40" s="1">
        <f>IF(OR(Paths!$C$10=0,C40=0),0,12-E40)</f>
        <v>0</v>
      </c>
      <c r="G40" s="16">
        <f>IF(NOT(Paths!$C$10=1),0,IF(Paths!$P$10="Complete",E40/12*(Paths!$J$10*(1+'Operating costs'!$B$51)^MAX(0,C40-1)+Paths!$K$10*(1+'Operating costs'!$B$53)^MAX(0,C40-1)),"n.a."))</f>
        <v>0</v>
      </c>
      <c r="H40" s="16">
        <f>IF(NOT(Paths!$C$10=1),0,IF(Paths!$P$10="Complete",F40/12*(Paths!$L$10*(1+IF(Paths!$D$10="EV",'Operating costs'!$B$52,'Operating costs'!$B$51))^MAX(0,C40-1)+Paths!$M$10*(1+'Operating costs'!$B$53)^MAX(0,C40-1)),"n.a."))</f>
        <v>0</v>
      </c>
      <c r="I40" s="16">
        <f>IF(NOT(Paths!$C$10=1),0,IF(Paths!$P$10="Complete",IF(IF(Paths!$E$10=0,C40=0,AND(C40&gt;0,Paths!$E$10&gt;(C40-1)*12,Paths!$E$10&lt;=C40*12)),Paths!$G$10,0),"n.a."))</f>
        <v>171800</v>
      </c>
      <c r="J40" s="16">
        <f>IF(NOT(Paths!$C$10=1),0,IF(Paths!$P$10="Complete",IF(IF(Paths!$E$10=0,C40=0,AND(C40&gt;0,Paths!$E$10&gt;(C40-1)*12,Paths!$E$10&lt;=C40*12)),Paths!$H$10,0),"n.a."))</f>
        <v>24000</v>
      </c>
      <c r="K40" s="16">
        <f>IF(NOT(Paths!$C$10=1),0,IF(Paths!$P$10="Complete",IF(IF(Paths!$O$10=0,C40=0,AND(C40&gt;0,Paths!$O$10&gt;(C40-1)*12,Paths!$O$10&lt;=C40*12)),Paths!$N$10,0),"n.a."))</f>
        <v>0</v>
      </c>
      <c r="L40" s="16">
        <f>IF(NOT(Paths!$C$10=1),0,IF(Paths!$P$10="Complete",IF(C40=10,Paths!$I$10,0),"n.a."))</f>
        <v>0</v>
      </c>
      <c r="M40" s="16">
        <f>IF(NOT(Paths!$C$10=1),0,IF(Paths!$P$10="Complete",IF(AND(Paths!$D$10="EV",Paths!$E$10&lt;120,Paths!$E$10+'Operating costs'!$B$65&gt;Paths!$E$10,Paths!$E$10+'Operating costs'!$B$65&lt;=120,IF(Paths!$E$10+'Operating costs'!$B$65=0,C40=0,AND(C40&gt;0,Paths!$E$10+'Operating costs'!$B$65&gt;(C40-1)*12,Paths!$E$10+'Operating costs'!$B$65&lt;=C40*12))),'Operating costs'!$B$64,0)+IF(AND('Operating costs'!$B$67&gt;0,'Operating costs'!$B$67&lt;=120,OR(Paths!$D$10="ICE",'Operating costs'!$B$67&lt;=Paths!$E$10),IF('Operating costs'!$B$67=0,C40=0,AND(C40&gt;0,'Operating costs'!$B$67&gt;(C40-1)*12,'Operating costs'!$B$67&lt;=C40*12))),'Operating costs'!$B$66,0),"n.a."))</f>
        <v>0</v>
      </c>
      <c r="N40" s="16">
        <f>IF(NOT(Paths!$C$10=1),0,IF(Paths!$P$10="Complete",SUM(G40:I40)-J40-K40-L40+M40+IF(C40=0,Paths!$F$10,0)+IF(IF(Paths!$E$10=0,C40=0,AND(C40&gt;0,Paths!$E$10&gt;(C40-1)*12,Paths!$E$10&lt;=C40*12)),VLOOKUP(A40,'Fleet register'!$A$7:$S$106,16,FALSE),0),"n.a."))</f>
        <v>171800</v>
      </c>
      <c r="O40" s="16">
        <f>IF(NOT(Paths!$C$10=1),0,IF(Paths!$P$10="Complete",N40-IF(C40=0,Paths!$F$10,0),"n.a."))</f>
        <v>147800</v>
      </c>
      <c r="P40" s="16">
        <f>IF(NOT(Paths!$C$10=1),0,IF(Paths!$P$10="Complete",O40+L40,"n.a."))</f>
        <v>147800</v>
      </c>
      <c r="Q40" s="16">
        <f>IF(NOT(Paths!$C$10=1),0,IF(Paths!$P$10="Complete",N40*(1+'Operating costs'!$B$54)^-C40,"n.a."))</f>
        <v>171800</v>
      </c>
      <c r="R40" s="16">
        <f>IF(NOT(Paths!$C$10=1),0,IF(Paths!$P$10="Complete",IF(AND(C40=0,Paths!$E$10=0),I40-J40-K40+VLOOKUP(A40,'Fleet register'!$A$7:$S$106,15,FALSE)+VLOOKUP(A40,'Fleet register'!$A$7:$S$106,16,FALSE),0),"n.a."))</f>
        <v>147800</v>
      </c>
      <c r="S40" s="1">
        <f>IF(NOT(Paths!$C$10=1),0,IF(Paths!$P$10="Complete",IF(C40=0,0,Paths!$S$10*Paths!$R$10),"n.a."))</f>
        <v>0</v>
      </c>
      <c r="T40" s="1">
        <f>IF(NOT(Paths!$C$10=1),0,IF(Paths!$P$10="Complete",IF(C40=0,0,VLOOKUP(A40,'Fleet register'!$A$7:$S$106,9,FALSE)*Paths!$R$10),"n.a."))</f>
        <v>0</v>
      </c>
    </row>
    <row r="41" spans="1:20" ht="24" customHeight="1">
      <c r="A41" s="1" t="str">
        <f>Paths!$A$10</f>
        <v>T001</v>
      </c>
      <c r="B41" s="1">
        <f>Paths!$B$10</f>
        <v>3</v>
      </c>
      <c r="C41" s="1">
        <v>1</v>
      </c>
      <c r="D41" s="1">
        <v>10</v>
      </c>
      <c r="E41" s="1">
        <f>IF(OR(Paths!$C$10=0,C41=0),0,MAX(0,MIN(C41*12,Paths!$E$10)-(C41-1)*12))</f>
        <v>0</v>
      </c>
      <c r="F41" s="1">
        <f>IF(OR(Paths!$C$10=0,C41=0),0,12-E41)</f>
        <v>12</v>
      </c>
      <c r="G41" s="16">
        <f>IF(NOT(Paths!$C$10=1),0,IF(Paths!$P$10="Complete",E41/12*(Paths!$J$10*(1+'Operating costs'!$B$51)^MAX(0,C41-1)+Paths!$K$10*(1+'Operating costs'!$B$53)^MAX(0,C41-1)),"n.a."))</f>
        <v>0</v>
      </c>
      <c r="H41" s="16">
        <f>IF(NOT(Paths!$C$10=1),0,IF(Paths!$P$10="Complete",F41/12*(Paths!$L$10*(1+IF(Paths!$D$10="EV",'Operating costs'!$B$52,'Operating costs'!$B$51))^MAX(0,C41-1)+Paths!$M$10*(1+'Operating costs'!$B$53)^MAX(0,C41-1)),"n.a."))</f>
        <v>15636.851517552668</v>
      </c>
      <c r="I41" s="16">
        <f>IF(NOT(Paths!$C$10=1),0,IF(Paths!$P$10="Complete",IF(IF(Paths!$E$10=0,C41=0,AND(C41&gt;0,Paths!$E$10&gt;(C41-1)*12,Paths!$E$10&lt;=C41*12)),Paths!$G$10,0),"n.a."))</f>
        <v>0</v>
      </c>
      <c r="J41" s="16">
        <f>IF(NOT(Paths!$C$10=1),0,IF(Paths!$P$10="Complete",IF(IF(Paths!$E$10=0,C41=0,AND(C41&gt;0,Paths!$E$10&gt;(C41-1)*12,Paths!$E$10&lt;=C41*12)),Paths!$H$10,0),"n.a."))</f>
        <v>0</v>
      </c>
      <c r="K41" s="16">
        <f>IF(NOT(Paths!$C$10=1),0,IF(Paths!$P$10="Complete",IF(IF(Paths!$O$10=0,C41=0,AND(C41&gt;0,Paths!$O$10&gt;(C41-1)*12,Paths!$O$10&lt;=C41*12)),Paths!$N$10,0),"n.a."))</f>
        <v>0</v>
      </c>
      <c r="L41" s="16">
        <f>IF(NOT(Paths!$C$10=1),0,IF(Paths!$P$10="Complete",IF(C41=10,Paths!$I$10,0),"n.a."))</f>
        <v>0</v>
      </c>
      <c r="M41" s="16">
        <f>IF(NOT(Paths!$C$10=1),0,IF(Paths!$P$10="Complete",IF(AND(Paths!$D$10="EV",Paths!$E$10&lt;120,Paths!$E$10+'Operating costs'!$B$65&gt;Paths!$E$10,Paths!$E$10+'Operating costs'!$B$65&lt;=120,IF(Paths!$E$10+'Operating costs'!$B$65=0,C41=0,AND(C41&gt;0,Paths!$E$10+'Operating costs'!$B$65&gt;(C41-1)*12,Paths!$E$10+'Operating costs'!$B$65&lt;=C41*12))),'Operating costs'!$B$64,0)+IF(AND('Operating costs'!$B$67&gt;0,'Operating costs'!$B$67&lt;=120,OR(Paths!$D$10="ICE",'Operating costs'!$B$67&lt;=Paths!$E$10),IF('Operating costs'!$B$67=0,C41=0,AND(C41&gt;0,'Operating costs'!$B$67&gt;(C41-1)*12,'Operating costs'!$B$67&lt;=C41*12))),'Operating costs'!$B$66,0),"n.a."))</f>
        <v>0</v>
      </c>
      <c r="N41" s="16">
        <f>IF(NOT(Paths!$C$10=1),0,IF(Paths!$P$10="Complete",SUM(G41:I41)-J41-K41-L41+M41+IF(C41=0,Paths!$F$10,0)+IF(IF(Paths!$E$10=0,C41=0,AND(C41&gt;0,Paths!$E$10&gt;(C41-1)*12,Paths!$E$10&lt;=C41*12)),VLOOKUP(A41,'Fleet register'!$A$7:$S$106,16,FALSE),0),"n.a."))</f>
        <v>15636.851517552668</v>
      </c>
      <c r="O41" s="16">
        <f>IF(NOT(Paths!$C$10=1),0,IF(Paths!$P$10="Complete",N41-IF(C41=0,Paths!$F$10,0),"n.a."))</f>
        <v>15636.851517552668</v>
      </c>
      <c r="P41" s="16">
        <f>IF(NOT(Paths!$C$10=1),0,IF(Paths!$P$10="Complete",O41+L41,"n.a."))</f>
        <v>15636.851517552668</v>
      </c>
      <c r="Q41" s="16">
        <f>IF(NOT(Paths!$C$10=1),0,IF(Paths!$P$10="Complete",N41*(1+'Operating costs'!$B$54)^-C41,"n.a."))</f>
        <v>15636.851517552668</v>
      </c>
      <c r="R41" s="16">
        <f>IF(NOT(Paths!$C$10=1),0,IF(Paths!$P$10="Complete",IF(AND(C41=0,Paths!$E$10=0),I41-J41-K41+VLOOKUP(A41,'Fleet register'!$A$7:$S$106,15,FALSE)+VLOOKUP(A41,'Fleet register'!$A$7:$S$106,16,FALSE),0),"n.a."))</f>
        <v>0</v>
      </c>
      <c r="S41" s="1">
        <f>IF(NOT(Paths!$C$10=1),0,IF(Paths!$P$10="Complete",IF(C41=0,0,Paths!$S$10*Paths!$R$10),"n.a."))</f>
        <v>45000</v>
      </c>
      <c r="T41" s="1">
        <f>IF(NOT(Paths!$C$10=1),0,IF(Paths!$P$10="Complete",IF(C41=0,0,VLOOKUP(A41,'Fleet register'!$A$7:$S$106,9,FALSE)*Paths!$R$10),"n.a."))</f>
        <v>7200</v>
      </c>
    </row>
    <row r="42" spans="1:20" ht="24" customHeight="1">
      <c r="A42" s="1" t="str">
        <f>Paths!$A$10</f>
        <v>T001</v>
      </c>
      <c r="B42" s="1">
        <f>Paths!$B$10</f>
        <v>3</v>
      </c>
      <c r="C42" s="1">
        <v>2</v>
      </c>
      <c r="D42" s="1">
        <v>10</v>
      </c>
      <c r="E42" s="1">
        <f>IF(OR(Paths!$C$10=0,C42=0),0,MAX(0,MIN(C42*12,Paths!$E$10)-(C42-1)*12))</f>
        <v>0</v>
      </c>
      <c r="F42" s="1">
        <f>IF(OR(Paths!$C$10=0,C42=0),0,12-E42)</f>
        <v>12</v>
      </c>
      <c r="G42" s="16">
        <f>IF(NOT(Paths!$C$10=1),0,IF(Paths!$P$10="Complete",E42/12*(Paths!$J$10*(1+'Operating costs'!$B$51)^MAX(0,C42-1)+Paths!$K$10*(1+'Operating costs'!$B$53)^MAX(0,C42-1)),"n.a."))</f>
        <v>0</v>
      </c>
      <c r="H42" s="16">
        <f>IF(NOT(Paths!$C$10=1),0,IF(Paths!$P$10="Complete",F42/12*(Paths!$L$10*(1+IF(Paths!$D$10="EV",'Operating costs'!$B$52,'Operating costs'!$B$51))^MAX(0,C42-1)+Paths!$M$10*(1+'Operating costs'!$B$53)^MAX(0,C42-1)),"n.a."))</f>
        <v>15636.851517552668</v>
      </c>
      <c r="I42" s="16">
        <f>IF(NOT(Paths!$C$10=1),0,IF(Paths!$P$10="Complete",IF(IF(Paths!$E$10=0,C42=0,AND(C42&gt;0,Paths!$E$10&gt;(C42-1)*12,Paths!$E$10&lt;=C42*12)),Paths!$G$10,0),"n.a."))</f>
        <v>0</v>
      </c>
      <c r="J42" s="16">
        <f>IF(NOT(Paths!$C$10=1),0,IF(Paths!$P$10="Complete",IF(IF(Paths!$E$10=0,C42=0,AND(C42&gt;0,Paths!$E$10&gt;(C42-1)*12,Paths!$E$10&lt;=C42*12)),Paths!$H$10,0),"n.a."))</f>
        <v>0</v>
      </c>
      <c r="K42" s="16">
        <f>IF(NOT(Paths!$C$10=1),0,IF(Paths!$P$10="Complete",IF(IF(Paths!$O$10=0,C42=0,AND(C42&gt;0,Paths!$O$10&gt;(C42-1)*12,Paths!$O$10&lt;=C42*12)),Paths!$N$10,0),"n.a."))</f>
        <v>0</v>
      </c>
      <c r="L42" s="16">
        <f>IF(NOT(Paths!$C$10=1),0,IF(Paths!$P$10="Complete",IF(C42=10,Paths!$I$10,0),"n.a."))</f>
        <v>0</v>
      </c>
      <c r="M42" s="16">
        <f>IF(NOT(Paths!$C$10=1),0,IF(Paths!$P$10="Complete",IF(AND(Paths!$D$10="EV",Paths!$E$10&lt;120,Paths!$E$10+'Operating costs'!$B$65&gt;Paths!$E$10,Paths!$E$10+'Operating costs'!$B$65&lt;=120,IF(Paths!$E$10+'Operating costs'!$B$65=0,C42=0,AND(C42&gt;0,Paths!$E$10+'Operating costs'!$B$65&gt;(C42-1)*12,Paths!$E$10+'Operating costs'!$B$65&lt;=C42*12))),'Operating costs'!$B$64,0)+IF(AND('Operating costs'!$B$67&gt;0,'Operating costs'!$B$67&lt;=120,OR(Paths!$D$10="ICE",'Operating costs'!$B$67&lt;=Paths!$E$10),IF('Operating costs'!$B$67=0,C42=0,AND(C42&gt;0,'Operating costs'!$B$67&gt;(C42-1)*12,'Operating costs'!$B$67&lt;=C42*12))),'Operating costs'!$B$66,0),"n.a."))</f>
        <v>0</v>
      </c>
      <c r="N42" s="16">
        <f>IF(NOT(Paths!$C$10=1),0,IF(Paths!$P$10="Complete",SUM(G42:I42)-J42-K42-L42+M42+IF(C42=0,Paths!$F$10,0)+IF(IF(Paths!$E$10=0,C42=0,AND(C42&gt;0,Paths!$E$10&gt;(C42-1)*12,Paths!$E$10&lt;=C42*12)),VLOOKUP(A42,'Fleet register'!$A$7:$S$106,16,FALSE),0),"n.a."))</f>
        <v>15636.851517552668</v>
      </c>
      <c r="O42" s="16">
        <f>IF(NOT(Paths!$C$10=1),0,IF(Paths!$P$10="Complete",N42-IF(C42=0,Paths!$F$10,0),"n.a."))</f>
        <v>15636.851517552668</v>
      </c>
      <c r="P42" s="16">
        <f>IF(NOT(Paths!$C$10=1),0,IF(Paths!$P$10="Complete",O42+L42,"n.a."))</f>
        <v>15636.851517552668</v>
      </c>
      <c r="Q42" s="16">
        <f>IF(NOT(Paths!$C$10=1),0,IF(Paths!$P$10="Complete",N42*(1+'Operating costs'!$B$54)^-C42,"n.a."))</f>
        <v>15636.851517552668</v>
      </c>
      <c r="R42" s="16">
        <f>IF(NOT(Paths!$C$10=1),0,IF(Paths!$P$10="Complete",IF(AND(C42=0,Paths!$E$10=0),I42-J42-K42+VLOOKUP(A42,'Fleet register'!$A$7:$S$106,15,FALSE)+VLOOKUP(A42,'Fleet register'!$A$7:$S$106,16,FALSE),0),"n.a."))</f>
        <v>0</v>
      </c>
      <c r="S42" s="1">
        <f>IF(NOT(Paths!$C$10=1),0,IF(Paths!$P$10="Complete",IF(C42=0,0,Paths!$S$10*Paths!$R$10),"n.a."))</f>
        <v>45000</v>
      </c>
      <c r="T42" s="1">
        <f>IF(NOT(Paths!$C$10=1),0,IF(Paths!$P$10="Complete",IF(C42=0,0,VLOOKUP(A42,'Fleet register'!$A$7:$S$106,9,FALSE)*Paths!$R$10),"n.a."))</f>
        <v>7200</v>
      </c>
    </row>
    <row r="43" spans="1:20" ht="24" customHeight="1">
      <c r="A43" s="1" t="str">
        <f>Paths!$A$10</f>
        <v>T001</v>
      </c>
      <c r="B43" s="1">
        <f>Paths!$B$10</f>
        <v>3</v>
      </c>
      <c r="C43" s="1">
        <v>3</v>
      </c>
      <c r="D43" s="1">
        <v>10</v>
      </c>
      <c r="E43" s="1">
        <f>IF(OR(Paths!$C$10=0,C43=0),0,MAX(0,MIN(C43*12,Paths!$E$10)-(C43-1)*12))</f>
        <v>0</v>
      </c>
      <c r="F43" s="1">
        <f>IF(OR(Paths!$C$10=0,C43=0),0,12-E43)</f>
        <v>12</v>
      </c>
      <c r="G43" s="16">
        <f>IF(NOT(Paths!$C$10=1),0,IF(Paths!$P$10="Complete",E43/12*(Paths!$J$10*(1+'Operating costs'!$B$51)^MAX(0,C43-1)+Paths!$K$10*(1+'Operating costs'!$B$53)^MAX(0,C43-1)),"n.a."))</f>
        <v>0</v>
      </c>
      <c r="H43" s="16">
        <f>IF(NOT(Paths!$C$10=1),0,IF(Paths!$P$10="Complete",F43/12*(Paths!$L$10*(1+IF(Paths!$D$10="EV",'Operating costs'!$B$52,'Operating costs'!$B$51))^MAX(0,C43-1)+Paths!$M$10*(1+'Operating costs'!$B$53)^MAX(0,C43-1)),"n.a."))</f>
        <v>15636.851517552668</v>
      </c>
      <c r="I43" s="16">
        <f>IF(NOT(Paths!$C$10=1),0,IF(Paths!$P$10="Complete",IF(IF(Paths!$E$10=0,C43=0,AND(C43&gt;0,Paths!$E$10&gt;(C43-1)*12,Paths!$E$10&lt;=C43*12)),Paths!$G$10,0),"n.a."))</f>
        <v>0</v>
      </c>
      <c r="J43" s="16">
        <f>IF(NOT(Paths!$C$10=1),0,IF(Paths!$P$10="Complete",IF(IF(Paths!$E$10=0,C43=0,AND(C43&gt;0,Paths!$E$10&gt;(C43-1)*12,Paths!$E$10&lt;=C43*12)),Paths!$H$10,0),"n.a."))</f>
        <v>0</v>
      </c>
      <c r="K43" s="16">
        <f>IF(NOT(Paths!$C$10=1),0,IF(Paths!$P$10="Complete",IF(IF(Paths!$O$10=0,C43=0,AND(C43&gt;0,Paths!$O$10&gt;(C43-1)*12,Paths!$O$10&lt;=C43*12)),Paths!$N$10,0),"n.a."))</f>
        <v>0</v>
      </c>
      <c r="L43" s="16">
        <f>IF(NOT(Paths!$C$10=1),0,IF(Paths!$P$10="Complete",IF(C43=10,Paths!$I$10,0),"n.a."))</f>
        <v>0</v>
      </c>
      <c r="M43" s="16">
        <f>IF(NOT(Paths!$C$10=1),0,IF(Paths!$P$10="Complete",IF(AND(Paths!$D$10="EV",Paths!$E$10&lt;120,Paths!$E$10+'Operating costs'!$B$65&gt;Paths!$E$10,Paths!$E$10+'Operating costs'!$B$65&lt;=120,IF(Paths!$E$10+'Operating costs'!$B$65=0,C43=0,AND(C43&gt;0,Paths!$E$10+'Operating costs'!$B$65&gt;(C43-1)*12,Paths!$E$10+'Operating costs'!$B$65&lt;=C43*12))),'Operating costs'!$B$64,0)+IF(AND('Operating costs'!$B$67&gt;0,'Operating costs'!$B$67&lt;=120,OR(Paths!$D$10="ICE",'Operating costs'!$B$67&lt;=Paths!$E$10),IF('Operating costs'!$B$67=0,C43=0,AND(C43&gt;0,'Operating costs'!$B$67&gt;(C43-1)*12,'Operating costs'!$B$67&lt;=C43*12))),'Operating costs'!$B$66,0),"n.a."))</f>
        <v>0</v>
      </c>
      <c r="N43" s="16">
        <f>IF(NOT(Paths!$C$10=1),0,IF(Paths!$P$10="Complete",SUM(G43:I43)-J43-K43-L43+M43+IF(C43=0,Paths!$F$10,0)+IF(IF(Paths!$E$10=0,C43=0,AND(C43&gt;0,Paths!$E$10&gt;(C43-1)*12,Paths!$E$10&lt;=C43*12)),VLOOKUP(A43,'Fleet register'!$A$7:$S$106,16,FALSE),0),"n.a."))</f>
        <v>15636.851517552668</v>
      </c>
      <c r="O43" s="16">
        <f>IF(NOT(Paths!$C$10=1),0,IF(Paths!$P$10="Complete",N43-IF(C43=0,Paths!$F$10,0),"n.a."))</f>
        <v>15636.851517552668</v>
      </c>
      <c r="P43" s="16">
        <f>IF(NOT(Paths!$C$10=1),0,IF(Paths!$P$10="Complete",O43+L43,"n.a."))</f>
        <v>15636.851517552668</v>
      </c>
      <c r="Q43" s="16">
        <f>IF(NOT(Paths!$C$10=1),0,IF(Paths!$P$10="Complete",N43*(1+'Operating costs'!$B$54)^-C43,"n.a."))</f>
        <v>15636.851517552668</v>
      </c>
      <c r="R43" s="16">
        <f>IF(NOT(Paths!$C$10=1),0,IF(Paths!$P$10="Complete",IF(AND(C43=0,Paths!$E$10=0),I43-J43-K43+VLOOKUP(A43,'Fleet register'!$A$7:$S$106,15,FALSE)+VLOOKUP(A43,'Fleet register'!$A$7:$S$106,16,FALSE),0),"n.a."))</f>
        <v>0</v>
      </c>
      <c r="S43" s="1">
        <f>IF(NOT(Paths!$C$10=1),0,IF(Paths!$P$10="Complete",IF(C43=0,0,Paths!$S$10*Paths!$R$10),"n.a."))</f>
        <v>45000</v>
      </c>
      <c r="T43" s="1">
        <f>IF(NOT(Paths!$C$10=1),0,IF(Paths!$P$10="Complete",IF(C43=0,0,VLOOKUP(A43,'Fleet register'!$A$7:$S$106,9,FALSE)*Paths!$R$10),"n.a."))</f>
        <v>7200</v>
      </c>
    </row>
    <row r="44" spans="1:20" ht="24" customHeight="1">
      <c r="A44" s="1" t="str">
        <f>Paths!$A$10</f>
        <v>T001</v>
      </c>
      <c r="B44" s="1">
        <f>Paths!$B$10</f>
        <v>3</v>
      </c>
      <c r="C44" s="1">
        <v>4</v>
      </c>
      <c r="D44" s="1">
        <v>10</v>
      </c>
      <c r="E44" s="1">
        <f>IF(OR(Paths!$C$10=0,C44=0),0,MAX(0,MIN(C44*12,Paths!$E$10)-(C44-1)*12))</f>
        <v>0</v>
      </c>
      <c r="F44" s="1">
        <f>IF(OR(Paths!$C$10=0,C44=0),0,12-E44)</f>
        <v>12</v>
      </c>
      <c r="G44" s="16">
        <f>IF(NOT(Paths!$C$10=1),0,IF(Paths!$P$10="Complete",E44/12*(Paths!$J$10*(1+'Operating costs'!$B$51)^MAX(0,C44-1)+Paths!$K$10*(1+'Operating costs'!$B$53)^MAX(0,C44-1)),"n.a."))</f>
        <v>0</v>
      </c>
      <c r="H44" s="16">
        <f>IF(NOT(Paths!$C$10=1),0,IF(Paths!$P$10="Complete",F44/12*(Paths!$L$10*(1+IF(Paths!$D$10="EV",'Operating costs'!$B$52,'Operating costs'!$B$51))^MAX(0,C44-1)+Paths!$M$10*(1+'Operating costs'!$B$53)^MAX(0,C44-1)),"n.a."))</f>
        <v>15636.851517552668</v>
      </c>
      <c r="I44" s="16">
        <f>IF(NOT(Paths!$C$10=1),0,IF(Paths!$P$10="Complete",IF(IF(Paths!$E$10=0,C44=0,AND(C44&gt;0,Paths!$E$10&gt;(C44-1)*12,Paths!$E$10&lt;=C44*12)),Paths!$G$10,0),"n.a."))</f>
        <v>0</v>
      </c>
      <c r="J44" s="16">
        <f>IF(NOT(Paths!$C$10=1),0,IF(Paths!$P$10="Complete",IF(IF(Paths!$E$10=0,C44=0,AND(C44&gt;0,Paths!$E$10&gt;(C44-1)*12,Paths!$E$10&lt;=C44*12)),Paths!$H$10,0),"n.a."))</f>
        <v>0</v>
      </c>
      <c r="K44" s="16">
        <f>IF(NOT(Paths!$C$10=1),0,IF(Paths!$P$10="Complete",IF(IF(Paths!$O$10=0,C44=0,AND(C44&gt;0,Paths!$O$10&gt;(C44-1)*12,Paths!$O$10&lt;=C44*12)),Paths!$N$10,0),"n.a."))</f>
        <v>0</v>
      </c>
      <c r="L44" s="16">
        <f>IF(NOT(Paths!$C$10=1),0,IF(Paths!$P$10="Complete",IF(C44=10,Paths!$I$10,0),"n.a."))</f>
        <v>0</v>
      </c>
      <c r="M44" s="16">
        <f>IF(NOT(Paths!$C$10=1),0,IF(Paths!$P$10="Complete",IF(AND(Paths!$D$10="EV",Paths!$E$10&lt;120,Paths!$E$10+'Operating costs'!$B$65&gt;Paths!$E$10,Paths!$E$10+'Operating costs'!$B$65&lt;=120,IF(Paths!$E$10+'Operating costs'!$B$65=0,C44=0,AND(C44&gt;0,Paths!$E$10+'Operating costs'!$B$65&gt;(C44-1)*12,Paths!$E$10+'Operating costs'!$B$65&lt;=C44*12))),'Operating costs'!$B$64,0)+IF(AND('Operating costs'!$B$67&gt;0,'Operating costs'!$B$67&lt;=120,OR(Paths!$D$10="ICE",'Operating costs'!$B$67&lt;=Paths!$E$10),IF('Operating costs'!$B$67=0,C44=0,AND(C44&gt;0,'Operating costs'!$B$67&gt;(C44-1)*12,'Operating costs'!$B$67&lt;=C44*12))),'Operating costs'!$B$66,0),"n.a."))</f>
        <v>0</v>
      </c>
      <c r="N44" s="16">
        <f>IF(NOT(Paths!$C$10=1),0,IF(Paths!$P$10="Complete",SUM(G44:I44)-J44-K44-L44+M44+IF(C44=0,Paths!$F$10,0)+IF(IF(Paths!$E$10=0,C44=0,AND(C44&gt;0,Paths!$E$10&gt;(C44-1)*12,Paths!$E$10&lt;=C44*12)),VLOOKUP(A44,'Fleet register'!$A$7:$S$106,16,FALSE),0),"n.a."))</f>
        <v>15636.851517552668</v>
      </c>
      <c r="O44" s="16">
        <f>IF(NOT(Paths!$C$10=1),0,IF(Paths!$P$10="Complete",N44-IF(C44=0,Paths!$F$10,0),"n.a."))</f>
        <v>15636.851517552668</v>
      </c>
      <c r="P44" s="16">
        <f>IF(NOT(Paths!$C$10=1),0,IF(Paths!$P$10="Complete",O44+L44,"n.a."))</f>
        <v>15636.851517552668</v>
      </c>
      <c r="Q44" s="16">
        <f>IF(NOT(Paths!$C$10=1),0,IF(Paths!$P$10="Complete",N44*(1+'Operating costs'!$B$54)^-C44,"n.a."))</f>
        <v>15636.851517552668</v>
      </c>
      <c r="R44" s="16">
        <f>IF(NOT(Paths!$C$10=1),0,IF(Paths!$P$10="Complete",IF(AND(C44=0,Paths!$E$10=0),I44-J44-K44+VLOOKUP(A44,'Fleet register'!$A$7:$S$106,15,FALSE)+VLOOKUP(A44,'Fleet register'!$A$7:$S$106,16,FALSE),0),"n.a."))</f>
        <v>0</v>
      </c>
      <c r="S44" s="1">
        <f>IF(NOT(Paths!$C$10=1),0,IF(Paths!$P$10="Complete",IF(C44=0,0,Paths!$S$10*Paths!$R$10),"n.a."))</f>
        <v>45000</v>
      </c>
      <c r="T44" s="1">
        <f>IF(NOT(Paths!$C$10=1),0,IF(Paths!$P$10="Complete",IF(C44=0,0,VLOOKUP(A44,'Fleet register'!$A$7:$S$106,9,FALSE)*Paths!$R$10),"n.a."))</f>
        <v>7200</v>
      </c>
    </row>
    <row r="45" spans="1:20" ht="24" customHeight="1">
      <c r="A45" s="1" t="str">
        <f>Paths!$A$10</f>
        <v>T001</v>
      </c>
      <c r="B45" s="1">
        <f>Paths!$B$10</f>
        <v>3</v>
      </c>
      <c r="C45" s="1">
        <v>5</v>
      </c>
      <c r="D45" s="1">
        <v>10</v>
      </c>
      <c r="E45" s="1">
        <f>IF(OR(Paths!$C$10=0,C45=0),0,MAX(0,MIN(C45*12,Paths!$E$10)-(C45-1)*12))</f>
        <v>0</v>
      </c>
      <c r="F45" s="1">
        <f>IF(OR(Paths!$C$10=0,C45=0),0,12-E45)</f>
        <v>12</v>
      </c>
      <c r="G45" s="16">
        <f>IF(NOT(Paths!$C$10=1),0,IF(Paths!$P$10="Complete",E45/12*(Paths!$J$10*(1+'Operating costs'!$B$51)^MAX(0,C45-1)+Paths!$K$10*(1+'Operating costs'!$B$53)^MAX(0,C45-1)),"n.a."))</f>
        <v>0</v>
      </c>
      <c r="H45" s="16">
        <f>IF(NOT(Paths!$C$10=1),0,IF(Paths!$P$10="Complete",F45/12*(Paths!$L$10*(1+IF(Paths!$D$10="EV",'Operating costs'!$B$52,'Operating costs'!$B$51))^MAX(0,C45-1)+Paths!$M$10*(1+'Operating costs'!$B$53)^MAX(0,C45-1)),"n.a."))</f>
        <v>15636.851517552668</v>
      </c>
      <c r="I45" s="16">
        <f>IF(NOT(Paths!$C$10=1),0,IF(Paths!$P$10="Complete",IF(IF(Paths!$E$10=0,C45=0,AND(C45&gt;0,Paths!$E$10&gt;(C45-1)*12,Paths!$E$10&lt;=C45*12)),Paths!$G$10,0),"n.a."))</f>
        <v>0</v>
      </c>
      <c r="J45" s="16">
        <f>IF(NOT(Paths!$C$10=1),0,IF(Paths!$P$10="Complete",IF(IF(Paths!$E$10=0,C45=0,AND(C45&gt;0,Paths!$E$10&gt;(C45-1)*12,Paths!$E$10&lt;=C45*12)),Paths!$H$10,0),"n.a."))</f>
        <v>0</v>
      </c>
      <c r="K45" s="16">
        <f>IF(NOT(Paths!$C$10=1),0,IF(Paths!$P$10="Complete",IF(IF(Paths!$O$10=0,C45=0,AND(C45&gt;0,Paths!$O$10&gt;(C45-1)*12,Paths!$O$10&lt;=C45*12)),Paths!$N$10,0),"n.a."))</f>
        <v>0</v>
      </c>
      <c r="L45" s="16">
        <f>IF(NOT(Paths!$C$10=1),0,IF(Paths!$P$10="Complete",IF(C45=10,Paths!$I$10,0),"n.a."))</f>
        <v>0</v>
      </c>
      <c r="M45" s="16">
        <f>IF(NOT(Paths!$C$10=1),0,IF(Paths!$P$10="Complete",IF(AND(Paths!$D$10="EV",Paths!$E$10&lt;120,Paths!$E$10+'Operating costs'!$B$65&gt;Paths!$E$10,Paths!$E$10+'Operating costs'!$B$65&lt;=120,IF(Paths!$E$10+'Operating costs'!$B$65=0,C45=0,AND(C45&gt;0,Paths!$E$10+'Operating costs'!$B$65&gt;(C45-1)*12,Paths!$E$10+'Operating costs'!$B$65&lt;=C45*12))),'Operating costs'!$B$64,0)+IF(AND('Operating costs'!$B$67&gt;0,'Operating costs'!$B$67&lt;=120,OR(Paths!$D$10="ICE",'Operating costs'!$B$67&lt;=Paths!$E$10),IF('Operating costs'!$B$67=0,C45=0,AND(C45&gt;0,'Operating costs'!$B$67&gt;(C45-1)*12,'Operating costs'!$B$67&lt;=C45*12))),'Operating costs'!$B$66,0),"n.a."))</f>
        <v>0</v>
      </c>
      <c r="N45" s="16">
        <f>IF(NOT(Paths!$C$10=1),0,IF(Paths!$P$10="Complete",SUM(G45:I45)-J45-K45-L45+M45+IF(C45=0,Paths!$F$10,0)+IF(IF(Paths!$E$10=0,C45=0,AND(C45&gt;0,Paths!$E$10&gt;(C45-1)*12,Paths!$E$10&lt;=C45*12)),VLOOKUP(A45,'Fleet register'!$A$7:$S$106,16,FALSE),0),"n.a."))</f>
        <v>15636.851517552668</v>
      </c>
      <c r="O45" s="16">
        <f>IF(NOT(Paths!$C$10=1),0,IF(Paths!$P$10="Complete",N45-IF(C45=0,Paths!$F$10,0),"n.a."))</f>
        <v>15636.851517552668</v>
      </c>
      <c r="P45" s="16">
        <f>IF(NOT(Paths!$C$10=1),0,IF(Paths!$P$10="Complete",O45+L45,"n.a."))</f>
        <v>15636.851517552668</v>
      </c>
      <c r="Q45" s="16">
        <f>IF(NOT(Paths!$C$10=1),0,IF(Paths!$P$10="Complete",N45*(1+'Operating costs'!$B$54)^-C45,"n.a."))</f>
        <v>15636.851517552668</v>
      </c>
      <c r="R45" s="16">
        <f>IF(NOT(Paths!$C$10=1),0,IF(Paths!$P$10="Complete",IF(AND(C45=0,Paths!$E$10=0),I45-J45-K45+VLOOKUP(A45,'Fleet register'!$A$7:$S$106,15,FALSE)+VLOOKUP(A45,'Fleet register'!$A$7:$S$106,16,FALSE),0),"n.a."))</f>
        <v>0</v>
      </c>
      <c r="S45" s="1">
        <f>IF(NOT(Paths!$C$10=1),0,IF(Paths!$P$10="Complete",IF(C45=0,0,Paths!$S$10*Paths!$R$10),"n.a."))</f>
        <v>45000</v>
      </c>
      <c r="T45" s="1">
        <f>IF(NOT(Paths!$C$10=1),0,IF(Paths!$P$10="Complete",IF(C45=0,0,VLOOKUP(A45,'Fleet register'!$A$7:$S$106,9,FALSE)*Paths!$R$10),"n.a."))</f>
        <v>7200</v>
      </c>
    </row>
    <row r="46" spans="1:20" ht="24" customHeight="1">
      <c r="A46" s="1" t="str">
        <f>Paths!$A$10</f>
        <v>T001</v>
      </c>
      <c r="B46" s="1">
        <f>Paths!$B$10</f>
        <v>3</v>
      </c>
      <c r="C46" s="1">
        <v>6</v>
      </c>
      <c r="D46" s="1">
        <v>10</v>
      </c>
      <c r="E46" s="1">
        <f>IF(OR(Paths!$C$10=0,C46=0),0,MAX(0,MIN(C46*12,Paths!$E$10)-(C46-1)*12))</f>
        <v>0</v>
      </c>
      <c r="F46" s="1">
        <f>IF(OR(Paths!$C$10=0,C46=0),0,12-E46)</f>
        <v>12</v>
      </c>
      <c r="G46" s="16">
        <f>IF(NOT(Paths!$C$10=1),0,IF(Paths!$P$10="Complete",E46/12*(Paths!$J$10*(1+'Operating costs'!$B$51)^MAX(0,C46-1)+Paths!$K$10*(1+'Operating costs'!$B$53)^MAX(0,C46-1)),"n.a."))</f>
        <v>0</v>
      </c>
      <c r="H46" s="16">
        <f>IF(NOT(Paths!$C$10=1),0,IF(Paths!$P$10="Complete",F46/12*(Paths!$L$10*(1+IF(Paths!$D$10="EV",'Operating costs'!$B$52,'Operating costs'!$B$51))^MAX(0,C46-1)+Paths!$M$10*(1+'Operating costs'!$B$53)^MAX(0,C46-1)),"n.a."))</f>
        <v>15636.851517552668</v>
      </c>
      <c r="I46" s="16">
        <f>IF(NOT(Paths!$C$10=1),0,IF(Paths!$P$10="Complete",IF(IF(Paths!$E$10=0,C46=0,AND(C46&gt;0,Paths!$E$10&gt;(C46-1)*12,Paths!$E$10&lt;=C46*12)),Paths!$G$10,0),"n.a."))</f>
        <v>0</v>
      </c>
      <c r="J46" s="16">
        <f>IF(NOT(Paths!$C$10=1),0,IF(Paths!$P$10="Complete",IF(IF(Paths!$E$10=0,C46=0,AND(C46&gt;0,Paths!$E$10&gt;(C46-1)*12,Paths!$E$10&lt;=C46*12)),Paths!$H$10,0),"n.a."))</f>
        <v>0</v>
      </c>
      <c r="K46" s="16">
        <f>IF(NOT(Paths!$C$10=1),0,IF(Paths!$P$10="Complete",IF(IF(Paths!$O$10=0,C46=0,AND(C46&gt;0,Paths!$O$10&gt;(C46-1)*12,Paths!$O$10&lt;=C46*12)),Paths!$N$10,0),"n.a."))</f>
        <v>0</v>
      </c>
      <c r="L46" s="16">
        <f>IF(NOT(Paths!$C$10=1),0,IF(Paths!$P$10="Complete",IF(C46=10,Paths!$I$10,0),"n.a."))</f>
        <v>0</v>
      </c>
      <c r="M46" s="16">
        <f>IF(NOT(Paths!$C$10=1),0,IF(Paths!$P$10="Complete",IF(AND(Paths!$D$10="EV",Paths!$E$10&lt;120,Paths!$E$10+'Operating costs'!$B$65&gt;Paths!$E$10,Paths!$E$10+'Operating costs'!$B$65&lt;=120,IF(Paths!$E$10+'Operating costs'!$B$65=0,C46=0,AND(C46&gt;0,Paths!$E$10+'Operating costs'!$B$65&gt;(C46-1)*12,Paths!$E$10+'Operating costs'!$B$65&lt;=C46*12))),'Operating costs'!$B$64,0)+IF(AND('Operating costs'!$B$67&gt;0,'Operating costs'!$B$67&lt;=120,OR(Paths!$D$10="ICE",'Operating costs'!$B$67&lt;=Paths!$E$10),IF('Operating costs'!$B$67=0,C46=0,AND(C46&gt;0,'Operating costs'!$B$67&gt;(C46-1)*12,'Operating costs'!$B$67&lt;=C46*12))),'Operating costs'!$B$66,0),"n.a."))</f>
        <v>0</v>
      </c>
      <c r="N46" s="16">
        <f>IF(NOT(Paths!$C$10=1),0,IF(Paths!$P$10="Complete",SUM(G46:I46)-J46-K46-L46+M46+IF(C46=0,Paths!$F$10,0)+IF(IF(Paths!$E$10=0,C46=0,AND(C46&gt;0,Paths!$E$10&gt;(C46-1)*12,Paths!$E$10&lt;=C46*12)),VLOOKUP(A46,'Fleet register'!$A$7:$S$106,16,FALSE),0),"n.a."))</f>
        <v>15636.851517552668</v>
      </c>
      <c r="O46" s="16">
        <f>IF(NOT(Paths!$C$10=1),0,IF(Paths!$P$10="Complete",N46-IF(C46=0,Paths!$F$10,0),"n.a."))</f>
        <v>15636.851517552668</v>
      </c>
      <c r="P46" s="16">
        <f>IF(NOT(Paths!$C$10=1),0,IF(Paths!$P$10="Complete",O46+L46,"n.a."))</f>
        <v>15636.851517552668</v>
      </c>
      <c r="Q46" s="16">
        <f>IF(NOT(Paths!$C$10=1),0,IF(Paths!$P$10="Complete",N46*(1+'Operating costs'!$B$54)^-C46,"n.a."))</f>
        <v>15636.851517552668</v>
      </c>
      <c r="R46" s="16">
        <f>IF(NOT(Paths!$C$10=1),0,IF(Paths!$P$10="Complete",IF(AND(C46=0,Paths!$E$10=0),I46-J46-K46+VLOOKUP(A46,'Fleet register'!$A$7:$S$106,15,FALSE)+VLOOKUP(A46,'Fleet register'!$A$7:$S$106,16,FALSE),0),"n.a."))</f>
        <v>0</v>
      </c>
      <c r="S46" s="1">
        <f>IF(NOT(Paths!$C$10=1),0,IF(Paths!$P$10="Complete",IF(C46=0,0,Paths!$S$10*Paths!$R$10),"n.a."))</f>
        <v>45000</v>
      </c>
      <c r="T46" s="1">
        <f>IF(NOT(Paths!$C$10=1),0,IF(Paths!$P$10="Complete",IF(C46=0,0,VLOOKUP(A46,'Fleet register'!$A$7:$S$106,9,FALSE)*Paths!$R$10),"n.a."))</f>
        <v>7200</v>
      </c>
    </row>
    <row r="47" spans="1:20" ht="24" customHeight="1">
      <c r="A47" s="1" t="str">
        <f>Paths!$A$10</f>
        <v>T001</v>
      </c>
      <c r="B47" s="1">
        <f>Paths!$B$10</f>
        <v>3</v>
      </c>
      <c r="C47" s="1">
        <v>7</v>
      </c>
      <c r="D47" s="1">
        <v>10</v>
      </c>
      <c r="E47" s="1">
        <f>IF(OR(Paths!$C$10=0,C47=0),0,MAX(0,MIN(C47*12,Paths!$E$10)-(C47-1)*12))</f>
        <v>0</v>
      </c>
      <c r="F47" s="1">
        <f>IF(OR(Paths!$C$10=0,C47=0),0,12-E47)</f>
        <v>12</v>
      </c>
      <c r="G47" s="16">
        <f>IF(NOT(Paths!$C$10=1),0,IF(Paths!$P$10="Complete",E47/12*(Paths!$J$10*(1+'Operating costs'!$B$51)^MAX(0,C47-1)+Paths!$K$10*(1+'Operating costs'!$B$53)^MAX(0,C47-1)),"n.a."))</f>
        <v>0</v>
      </c>
      <c r="H47" s="16">
        <f>IF(NOT(Paths!$C$10=1),0,IF(Paths!$P$10="Complete",F47/12*(Paths!$L$10*(1+IF(Paths!$D$10="EV",'Operating costs'!$B$52,'Operating costs'!$B$51))^MAX(0,C47-1)+Paths!$M$10*(1+'Operating costs'!$B$53)^MAX(0,C47-1)),"n.a."))</f>
        <v>15636.851517552668</v>
      </c>
      <c r="I47" s="16">
        <f>IF(NOT(Paths!$C$10=1),0,IF(Paths!$P$10="Complete",IF(IF(Paths!$E$10=0,C47=0,AND(C47&gt;0,Paths!$E$10&gt;(C47-1)*12,Paths!$E$10&lt;=C47*12)),Paths!$G$10,0),"n.a."))</f>
        <v>0</v>
      </c>
      <c r="J47" s="16">
        <f>IF(NOT(Paths!$C$10=1),0,IF(Paths!$P$10="Complete",IF(IF(Paths!$E$10=0,C47=0,AND(C47&gt;0,Paths!$E$10&gt;(C47-1)*12,Paths!$E$10&lt;=C47*12)),Paths!$H$10,0),"n.a."))</f>
        <v>0</v>
      </c>
      <c r="K47" s="16">
        <f>IF(NOT(Paths!$C$10=1),0,IF(Paths!$P$10="Complete",IF(IF(Paths!$O$10=0,C47=0,AND(C47&gt;0,Paths!$O$10&gt;(C47-1)*12,Paths!$O$10&lt;=C47*12)),Paths!$N$10,0),"n.a."))</f>
        <v>0</v>
      </c>
      <c r="L47" s="16">
        <f>IF(NOT(Paths!$C$10=1),0,IF(Paths!$P$10="Complete",IF(C47=10,Paths!$I$10,0),"n.a."))</f>
        <v>0</v>
      </c>
      <c r="M47" s="16">
        <f>IF(NOT(Paths!$C$10=1),0,IF(Paths!$P$10="Complete",IF(AND(Paths!$D$10="EV",Paths!$E$10&lt;120,Paths!$E$10+'Operating costs'!$B$65&gt;Paths!$E$10,Paths!$E$10+'Operating costs'!$B$65&lt;=120,IF(Paths!$E$10+'Operating costs'!$B$65=0,C47=0,AND(C47&gt;0,Paths!$E$10+'Operating costs'!$B$65&gt;(C47-1)*12,Paths!$E$10+'Operating costs'!$B$65&lt;=C47*12))),'Operating costs'!$B$64,0)+IF(AND('Operating costs'!$B$67&gt;0,'Operating costs'!$B$67&lt;=120,OR(Paths!$D$10="ICE",'Operating costs'!$B$67&lt;=Paths!$E$10),IF('Operating costs'!$B$67=0,C47=0,AND(C47&gt;0,'Operating costs'!$B$67&gt;(C47-1)*12,'Operating costs'!$B$67&lt;=C47*12))),'Operating costs'!$B$66,0),"n.a."))</f>
        <v>0</v>
      </c>
      <c r="N47" s="16">
        <f>IF(NOT(Paths!$C$10=1),0,IF(Paths!$P$10="Complete",SUM(G47:I47)-J47-K47-L47+M47+IF(C47=0,Paths!$F$10,0)+IF(IF(Paths!$E$10=0,C47=0,AND(C47&gt;0,Paths!$E$10&gt;(C47-1)*12,Paths!$E$10&lt;=C47*12)),VLOOKUP(A47,'Fleet register'!$A$7:$S$106,16,FALSE),0),"n.a."))</f>
        <v>15636.851517552668</v>
      </c>
      <c r="O47" s="16">
        <f>IF(NOT(Paths!$C$10=1),0,IF(Paths!$P$10="Complete",N47-IF(C47=0,Paths!$F$10,0),"n.a."))</f>
        <v>15636.851517552668</v>
      </c>
      <c r="P47" s="16">
        <f>IF(NOT(Paths!$C$10=1),0,IF(Paths!$P$10="Complete",O47+L47,"n.a."))</f>
        <v>15636.851517552668</v>
      </c>
      <c r="Q47" s="16">
        <f>IF(NOT(Paths!$C$10=1),0,IF(Paths!$P$10="Complete",N47*(1+'Operating costs'!$B$54)^-C47,"n.a."))</f>
        <v>15636.851517552668</v>
      </c>
      <c r="R47" s="16">
        <f>IF(NOT(Paths!$C$10=1),0,IF(Paths!$P$10="Complete",IF(AND(C47=0,Paths!$E$10=0),I47-J47-K47+VLOOKUP(A47,'Fleet register'!$A$7:$S$106,15,FALSE)+VLOOKUP(A47,'Fleet register'!$A$7:$S$106,16,FALSE),0),"n.a."))</f>
        <v>0</v>
      </c>
      <c r="S47" s="1">
        <f>IF(NOT(Paths!$C$10=1),0,IF(Paths!$P$10="Complete",IF(C47=0,0,Paths!$S$10*Paths!$R$10),"n.a."))</f>
        <v>45000</v>
      </c>
      <c r="T47" s="1">
        <f>IF(NOT(Paths!$C$10=1),0,IF(Paths!$P$10="Complete",IF(C47=0,0,VLOOKUP(A47,'Fleet register'!$A$7:$S$106,9,FALSE)*Paths!$R$10),"n.a."))</f>
        <v>7200</v>
      </c>
    </row>
    <row r="48" spans="1:20" ht="24" customHeight="1">
      <c r="A48" s="1" t="str">
        <f>Paths!$A$10</f>
        <v>T001</v>
      </c>
      <c r="B48" s="1">
        <f>Paths!$B$10</f>
        <v>3</v>
      </c>
      <c r="C48" s="1">
        <v>8</v>
      </c>
      <c r="D48" s="1">
        <v>10</v>
      </c>
      <c r="E48" s="1">
        <f>IF(OR(Paths!$C$10=0,C48=0),0,MAX(0,MIN(C48*12,Paths!$E$10)-(C48-1)*12))</f>
        <v>0</v>
      </c>
      <c r="F48" s="1">
        <f>IF(OR(Paths!$C$10=0,C48=0),0,12-E48)</f>
        <v>12</v>
      </c>
      <c r="G48" s="16">
        <f>IF(NOT(Paths!$C$10=1),0,IF(Paths!$P$10="Complete",E48/12*(Paths!$J$10*(1+'Operating costs'!$B$51)^MAX(0,C48-1)+Paths!$K$10*(1+'Operating costs'!$B$53)^MAX(0,C48-1)),"n.a."))</f>
        <v>0</v>
      </c>
      <c r="H48" s="16">
        <f>IF(NOT(Paths!$C$10=1),0,IF(Paths!$P$10="Complete",F48/12*(Paths!$L$10*(1+IF(Paths!$D$10="EV",'Operating costs'!$B$52,'Operating costs'!$B$51))^MAX(0,C48-1)+Paths!$M$10*(1+'Operating costs'!$B$53)^MAX(0,C48-1)),"n.a."))</f>
        <v>15636.851517552668</v>
      </c>
      <c r="I48" s="16">
        <f>IF(NOT(Paths!$C$10=1),0,IF(Paths!$P$10="Complete",IF(IF(Paths!$E$10=0,C48=0,AND(C48&gt;0,Paths!$E$10&gt;(C48-1)*12,Paths!$E$10&lt;=C48*12)),Paths!$G$10,0),"n.a."))</f>
        <v>0</v>
      </c>
      <c r="J48" s="16">
        <f>IF(NOT(Paths!$C$10=1),0,IF(Paths!$P$10="Complete",IF(IF(Paths!$E$10=0,C48=0,AND(C48&gt;0,Paths!$E$10&gt;(C48-1)*12,Paths!$E$10&lt;=C48*12)),Paths!$H$10,0),"n.a."))</f>
        <v>0</v>
      </c>
      <c r="K48" s="16">
        <f>IF(NOT(Paths!$C$10=1),0,IF(Paths!$P$10="Complete",IF(IF(Paths!$O$10=0,C48=0,AND(C48&gt;0,Paths!$O$10&gt;(C48-1)*12,Paths!$O$10&lt;=C48*12)),Paths!$N$10,0),"n.a."))</f>
        <v>0</v>
      </c>
      <c r="L48" s="16">
        <f>IF(NOT(Paths!$C$10=1),0,IF(Paths!$P$10="Complete",IF(C48=10,Paths!$I$10,0),"n.a."))</f>
        <v>0</v>
      </c>
      <c r="M48" s="16">
        <f>IF(NOT(Paths!$C$10=1),0,IF(Paths!$P$10="Complete",IF(AND(Paths!$D$10="EV",Paths!$E$10&lt;120,Paths!$E$10+'Operating costs'!$B$65&gt;Paths!$E$10,Paths!$E$10+'Operating costs'!$B$65&lt;=120,IF(Paths!$E$10+'Operating costs'!$B$65=0,C48=0,AND(C48&gt;0,Paths!$E$10+'Operating costs'!$B$65&gt;(C48-1)*12,Paths!$E$10+'Operating costs'!$B$65&lt;=C48*12))),'Operating costs'!$B$64,0)+IF(AND('Operating costs'!$B$67&gt;0,'Operating costs'!$B$67&lt;=120,OR(Paths!$D$10="ICE",'Operating costs'!$B$67&lt;=Paths!$E$10),IF('Operating costs'!$B$67=0,C48=0,AND(C48&gt;0,'Operating costs'!$B$67&gt;(C48-1)*12,'Operating costs'!$B$67&lt;=C48*12))),'Operating costs'!$B$66,0),"n.a."))</f>
        <v>0</v>
      </c>
      <c r="N48" s="16">
        <f>IF(NOT(Paths!$C$10=1),0,IF(Paths!$P$10="Complete",SUM(G48:I48)-J48-K48-L48+M48+IF(C48=0,Paths!$F$10,0)+IF(IF(Paths!$E$10=0,C48=0,AND(C48&gt;0,Paths!$E$10&gt;(C48-1)*12,Paths!$E$10&lt;=C48*12)),VLOOKUP(A48,'Fleet register'!$A$7:$S$106,16,FALSE),0),"n.a."))</f>
        <v>15636.851517552668</v>
      </c>
      <c r="O48" s="16">
        <f>IF(NOT(Paths!$C$10=1),0,IF(Paths!$P$10="Complete",N48-IF(C48=0,Paths!$F$10,0),"n.a."))</f>
        <v>15636.851517552668</v>
      </c>
      <c r="P48" s="16">
        <f>IF(NOT(Paths!$C$10=1),0,IF(Paths!$P$10="Complete",O48+L48,"n.a."))</f>
        <v>15636.851517552668</v>
      </c>
      <c r="Q48" s="16">
        <f>IF(NOT(Paths!$C$10=1),0,IF(Paths!$P$10="Complete",N48*(1+'Operating costs'!$B$54)^-C48,"n.a."))</f>
        <v>15636.851517552668</v>
      </c>
      <c r="R48" s="16">
        <f>IF(NOT(Paths!$C$10=1),0,IF(Paths!$P$10="Complete",IF(AND(C48=0,Paths!$E$10=0),I48-J48-K48+VLOOKUP(A48,'Fleet register'!$A$7:$S$106,15,FALSE)+VLOOKUP(A48,'Fleet register'!$A$7:$S$106,16,FALSE),0),"n.a."))</f>
        <v>0</v>
      </c>
      <c r="S48" s="1">
        <f>IF(NOT(Paths!$C$10=1),0,IF(Paths!$P$10="Complete",IF(C48=0,0,Paths!$S$10*Paths!$R$10),"n.a."))</f>
        <v>45000</v>
      </c>
      <c r="T48" s="1">
        <f>IF(NOT(Paths!$C$10=1),0,IF(Paths!$P$10="Complete",IF(C48=0,0,VLOOKUP(A48,'Fleet register'!$A$7:$S$106,9,FALSE)*Paths!$R$10),"n.a."))</f>
        <v>7200</v>
      </c>
    </row>
    <row r="49" spans="1:20" ht="24" customHeight="1">
      <c r="A49" s="1" t="str">
        <f>Paths!$A$10</f>
        <v>T001</v>
      </c>
      <c r="B49" s="1">
        <f>Paths!$B$10</f>
        <v>3</v>
      </c>
      <c r="C49" s="1">
        <v>9</v>
      </c>
      <c r="D49" s="1">
        <v>10</v>
      </c>
      <c r="E49" s="1">
        <f>IF(OR(Paths!$C$10=0,C49=0),0,MAX(0,MIN(C49*12,Paths!$E$10)-(C49-1)*12))</f>
        <v>0</v>
      </c>
      <c r="F49" s="1">
        <f>IF(OR(Paths!$C$10=0,C49=0),0,12-E49)</f>
        <v>12</v>
      </c>
      <c r="G49" s="16">
        <f>IF(NOT(Paths!$C$10=1),0,IF(Paths!$P$10="Complete",E49/12*(Paths!$J$10*(1+'Operating costs'!$B$51)^MAX(0,C49-1)+Paths!$K$10*(1+'Operating costs'!$B$53)^MAX(0,C49-1)),"n.a."))</f>
        <v>0</v>
      </c>
      <c r="H49" s="16">
        <f>IF(NOT(Paths!$C$10=1),0,IF(Paths!$P$10="Complete",F49/12*(Paths!$L$10*(1+IF(Paths!$D$10="EV",'Operating costs'!$B$52,'Operating costs'!$B$51))^MAX(0,C49-1)+Paths!$M$10*(1+'Operating costs'!$B$53)^MAX(0,C49-1)),"n.a."))</f>
        <v>15636.851517552668</v>
      </c>
      <c r="I49" s="16">
        <f>IF(NOT(Paths!$C$10=1),0,IF(Paths!$P$10="Complete",IF(IF(Paths!$E$10=0,C49=0,AND(C49&gt;0,Paths!$E$10&gt;(C49-1)*12,Paths!$E$10&lt;=C49*12)),Paths!$G$10,0),"n.a."))</f>
        <v>0</v>
      </c>
      <c r="J49" s="16">
        <f>IF(NOT(Paths!$C$10=1),0,IF(Paths!$P$10="Complete",IF(IF(Paths!$E$10=0,C49=0,AND(C49&gt;0,Paths!$E$10&gt;(C49-1)*12,Paths!$E$10&lt;=C49*12)),Paths!$H$10,0),"n.a."))</f>
        <v>0</v>
      </c>
      <c r="K49" s="16">
        <f>IF(NOT(Paths!$C$10=1),0,IF(Paths!$P$10="Complete",IF(IF(Paths!$O$10=0,C49=0,AND(C49&gt;0,Paths!$O$10&gt;(C49-1)*12,Paths!$O$10&lt;=C49*12)),Paths!$N$10,0),"n.a."))</f>
        <v>0</v>
      </c>
      <c r="L49" s="16">
        <f>IF(NOT(Paths!$C$10=1),0,IF(Paths!$P$10="Complete",IF(C49=10,Paths!$I$10,0),"n.a."))</f>
        <v>0</v>
      </c>
      <c r="M49" s="16">
        <f>IF(NOT(Paths!$C$10=1),0,IF(Paths!$P$10="Complete",IF(AND(Paths!$D$10="EV",Paths!$E$10&lt;120,Paths!$E$10+'Operating costs'!$B$65&gt;Paths!$E$10,Paths!$E$10+'Operating costs'!$B$65&lt;=120,IF(Paths!$E$10+'Operating costs'!$B$65=0,C49=0,AND(C49&gt;0,Paths!$E$10+'Operating costs'!$B$65&gt;(C49-1)*12,Paths!$E$10+'Operating costs'!$B$65&lt;=C49*12))),'Operating costs'!$B$64,0)+IF(AND('Operating costs'!$B$67&gt;0,'Operating costs'!$B$67&lt;=120,OR(Paths!$D$10="ICE",'Operating costs'!$B$67&lt;=Paths!$E$10),IF('Operating costs'!$B$67=0,C49=0,AND(C49&gt;0,'Operating costs'!$B$67&gt;(C49-1)*12,'Operating costs'!$B$67&lt;=C49*12))),'Operating costs'!$B$66,0),"n.a."))</f>
        <v>0</v>
      </c>
      <c r="N49" s="16">
        <f>IF(NOT(Paths!$C$10=1),0,IF(Paths!$P$10="Complete",SUM(G49:I49)-J49-K49-L49+M49+IF(C49=0,Paths!$F$10,0)+IF(IF(Paths!$E$10=0,C49=0,AND(C49&gt;0,Paths!$E$10&gt;(C49-1)*12,Paths!$E$10&lt;=C49*12)),VLOOKUP(A49,'Fleet register'!$A$7:$S$106,16,FALSE),0),"n.a."))</f>
        <v>15636.851517552668</v>
      </c>
      <c r="O49" s="16">
        <f>IF(NOT(Paths!$C$10=1),0,IF(Paths!$P$10="Complete",N49-IF(C49=0,Paths!$F$10,0),"n.a."))</f>
        <v>15636.851517552668</v>
      </c>
      <c r="P49" s="16">
        <f>IF(NOT(Paths!$C$10=1),0,IF(Paths!$P$10="Complete",O49+L49,"n.a."))</f>
        <v>15636.851517552668</v>
      </c>
      <c r="Q49" s="16">
        <f>IF(NOT(Paths!$C$10=1),0,IF(Paths!$P$10="Complete",N49*(1+'Operating costs'!$B$54)^-C49,"n.a."))</f>
        <v>15636.851517552668</v>
      </c>
      <c r="R49" s="16">
        <f>IF(NOT(Paths!$C$10=1),0,IF(Paths!$P$10="Complete",IF(AND(C49=0,Paths!$E$10=0),I49-J49-K49+VLOOKUP(A49,'Fleet register'!$A$7:$S$106,15,FALSE)+VLOOKUP(A49,'Fleet register'!$A$7:$S$106,16,FALSE),0),"n.a."))</f>
        <v>0</v>
      </c>
      <c r="S49" s="1">
        <f>IF(NOT(Paths!$C$10=1),0,IF(Paths!$P$10="Complete",IF(C49=0,0,Paths!$S$10*Paths!$R$10),"n.a."))</f>
        <v>45000</v>
      </c>
      <c r="T49" s="1">
        <f>IF(NOT(Paths!$C$10=1),0,IF(Paths!$P$10="Complete",IF(C49=0,0,VLOOKUP(A49,'Fleet register'!$A$7:$S$106,9,FALSE)*Paths!$R$10),"n.a."))</f>
        <v>7200</v>
      </c>
    </row>
    <row r="50" spans="1:20" ht="24" customHeight="1">
      <c r="A50" s="1" t="str">
        <f>Paths!$A$10</f>
        <v>T001</v>
      </c>
      <c r="B50" s="1">
        <f>Paths!$B$10</f>
        <v>3</v>
      </c>
      <c r="C50" s="1">
        <v>10</v>
      </c>
      <c r="D50" s="1">
        <v>10</v>
      </c>
      <c r="E50" s="1">
        <f>IF(OR(Paths!$C$10=0,C50=0),0,MAX(0,MIN(C50*12,Paths!$E$10)-(C50-1)*12))</f>
        <v>0</v>
      </c>
      <c r="F50" s="1">
        <f>IF(OR(Paths!$C$10=0,C50=0),0,12-E50)</f>
        <v>12</v>
      </c>
      <c r="G50" s="16">
        <f>IF(NOT(Paths!$C$10=1),0,IF(Paths!$P$10="Complete",E50/12*(Paths!$J$10*(1+'Operating costs'!$B$51)^MAX(0,C50-1)+Paths!$K$10*(1+'Operating costs'!$B$53)^MAX(0,C50-1)),"n.a."))</f>
        <v>0</v>
      </c>
      <c r="H50" s="16">
        <f>IF(NOT(Paths!$C$10=1),0,IF(Paths!$P$10="Complete",F50/12*(Paths!$L$10*(1+IF(Paths!$D$10="EV",'Operating costs'!$B$52,'Operating costs'!$B$51))^MAX(0,C50-1)+Paths!$M$10*(1+'Operating costs'!$B$53)^MAX(0,C50-1)),"n.a."))</f>
        <v>15636.851517552668</v>
      </c>
      <c r="I50" s="16">
        <f>IF(NOT(Paths!$C$10=1),0,IF(Paths!$P$10="Complete",IF(IF(Paths!$E$10=0,C50=0,AND(C50&gt;0,Paths!$E$10&gt;(C50-1)*12,Paths!$E$10&lt;=C50*12)),Paths!$G$10,0),"n.a."))</f>
        <v>0</v>
      </c>
      <c r="J50" s="16">
        <f>IF(NOT(Paths!$C$10=1),0,IF(Paths!$P$10="Complete",IF(IF(Paths!$E$10=0,C50=0,AND(C50&gt;0,Paths!$E$10&gt;(C50-1)*12,Paths!$E$10&lt;=C50*12)),Paths!$H$10,0),"n.a."))</f>
        <v>0</v>
      </c>
      <c r="K50" s="16">
        <f>IF(NOT(Paths!$C$10=1),0,IF(Paths!$P$10="Complete",IF(IF(Paths!$O$10=0,C50=0,AND(C50&gt;0,Paths!$O$10&gt;(C50-1)*12,Paths!$O$10&lt;=C50*12)),Paths!$N$10,0),"n.a."))</f>
        <v>0</v>
      </c>
      <c r="L50" s="16">
        <f>IF(NOT(Paths!$C$10=1),0,IF(Paths!$P$10="Complete",IF(C50=10,Paths!$I$10,0),"n.a."))</f>
        <v>8000</v>
      </c>
      <c r="M50" s="16">
        <f>IF(NOT(Paths!$C$10=1),0,IF(Paths!$P$10="Complete",IF(AND(Paths!$D$10="EV",Paths!$E$10&lt;120,Paths!$E$10+'Operating costs'!$B$65&gt;Paths!$E$10,Paths!$E$10+'Operating costs'!$B$65&lt;=120,IF(Paths!$E$10+'Operating costs'!$B$65=0,C50=0,AND(C50&gt;0,Paths!$E$10+'Operating costs'!$B$65&gt;(C50-1)*12,Paths!$E$10+'Operating costs'!$B$65&lt;=C50*12))),'Operating costs'!$B$64,0)+IF(AND('Operating costs'!$B$67&gt;0,'Operating costs'!$B$67&lt;=120,OR(Paths!$D$10="ICE",'Operating costs'!$B$67&lt;=Paths!$E$10),IF('Operating costs'!$B$67=0,C50=0,AND(C50&gt;0,'Operating costs'!$B$67&gt;(C50-1)*12,'Operating costs'!$B$67&lt;=C50*12))),'Operating costs'!$B$66,0),"n.a."))</f>
        <v>0</v>
      </c>
      <c r="N50" s="16">
        <f>IF(NOT(Paths!$C$10=1),0,IF(Paths!$P$10="Complete",SUM(G50:I50)-J50-K50-L50+M50+IF(C50=0,Paths!$F$10,0)+IF(IF(Paths!$E$10=0,C50=0,AND(C50&gt;0,Paths!$E$10&gt;(C50-1)*12,Paths!$E$10&lt;=C50*12)),VLOOKUP(A50,'Fleet register'!$A$7:$S$106,16,FALSE),0),"n.a."))</f>
        <v>7636.8515175526682</v>
      </c>
      <c r="O50" s="16">
        <f>IF(NOT(Paths!$C$10=1),0,IF(Paths!$P$10="Complete",N50-IF(C50=0,Paths!$F$10,0),"n.a."))</f>
        <v>7636.8515175526682</v>
      </c>
      <c r="P50" s="16">
        <f>IF(NOT(Paths!$C$10=1),0,IF(Paths!$P$10="Complete",O50+L50,"n.a."))</f>
        <v>15636.851517552668</v>
      </c>
      <c r="Q50" s="16">
        <f>IF(NOT(Paths!$C$10=1),0,IF(Paths!$P$10="Complete",N50*(1+'Operating costs'!$B$54)^-C50,"n.a."))</f>
        <v>7636.8515175526682</v>
      </c>
      <c r="R50" s="16">
        <f>IF(NOT(Paths!$C$10=1),0,IF(Paths!$P$10="Complete",IF(AND(C50=0,Paths!$E$10=0),I50-J50-K50+VLOOKUP(A50,'Fleet register'!$A$7:$S$106,15,FALSE)+VLOOKUP(A50,'Fleet register'!$A$7:$S$106,16,FALSE),0),"n.a."))</f>
        <v>0</v>
      </c>
      <c r="S50" s="1">
        <f>IF(NOT(Paths!$C$10=1),0,IF(Paths!$P$10="Complete",IF(C50=0,0,Paths!$S$10*Paths!$R$10),"n.a."))</f>
        <v>45000</v>
      </c>
      <c r="T50" s="1">
        <f>IF(NOT(Paths!$C$10=1),0,IF(Paths!$P$10="Complete",IF(C50=0,0,VLOOKUP(A50,'Fleet register'!$A$7:$S$106,9,FALSE)*Paths!$R$10),"n.a."))</f>
        <v>7200</v>
      </c>
    </row>
    <row r="51" spans="1:20" ht="24" customHeight="1">
      <c r="A51" s="1" t="str">
        <f>Paths!$A$11</f>
        <v>T002</v>
      </c>
      <c r="B51" s="1">
        <f>Paths!$B$11</f>
        <v>0</v>
      </c>
      <c r="C51" s="1">
        <v>0</v>
      </c>
      <c r="D51" s="1">
        <v>11</v>
      </c>
      <c r="E51" s="1">
        <f>IF(OR(Paths!$C$11=0,C51=0),0,MAX(0,MIN(C51*12,Paths!$E$11)-(C51-1)*12))</f>
        <v>0</v>
      </c>
      <c r="F51" s="1">
        <f>IF(OR(Paths!$C$11=0,C51=0),0,12-E51)</f>
        <v>0</v>
      </c>
      <c r="G51" s="16">
        <f>IF(NOT(Paths!$C$11=1),0,IF(Paths!$P$11="Complete",E51/12*(Paths!$J$11*(1+'Operating costs'!$B$51)^MAX(0,C51-1)+Paths!$K$11*(1+'Operating costs'!$B$53)^MAX(0,C51-1)),"n.a."))</f>
        <v>0</v>
      </c>
      <c r="H51" s="16">
        <f>IF(NOT(Paths!$C$11=1),0,IF(Paths!$P$11="Complete",F51/12*(Paths!$L$11*(1+IF(Paths!$D$11="EV",'Operating costs'!$B$52,'Operating costs'!$B$51))^MAX(0,C51-1)+Paths!$M$11*(1+'Operating costs'!$B$53)^MAX(0,C51-1)),"n.a."))</f>
        <v>0</v>
      </c>
      <c r="I51" s="16">
        <f>IF(NOT(Paths!$C$11=1),0,IF(Paths!$P$11="Complete",IF(IF(Paths!$E$11=0,C51=0,AND(C51&gt;0,Paths!$E$11&gt;(C51-1)*12,Paths!$E$11&lt;=C51*12)),Paths!$G$11,0),"n.a."))</f>
        <v>0</v>
      </c>
      <c r="J51" s="16">
        <f>IF(NOT(Paths!$C$11=1),0,IF(Paths!$P$11="Complete",IF(IF(Paths!$E$11=0,C51=0,AND(C51&gt;0,Paths!$E$11&gt;(C51-1)*12,Paths!$E$11&lt;=C51*12)),Paths!$H$11,0),"n.a."))</f>
        <v>0</v>
      </c>
      <c r="K51" s="16">
        <f>IF(NOT(Paths!$C$11=1),0,IF(Paths!$P$11="Complete",IF(IF(Paths!$O$11=0,C51=0,AND(C51&gt;0,Paths!$O$11&gt;(C51-1)*12,Paths!$O$11&lt;=C51*12)),Paths!$N$11,0),"n.a."))</f>
        <v>0</v>
      </c>
      <c r="L51" s="16">
        <f>IF(NOT(Paths!$C$11=1),0,IF(Paths!$P$11="Complete",IF(C51=10,Paths!$I$11,0),"n.a."))</f>
        <v>0</v>
      </c>
      <c r="M51" s="16">
        <f>IF(NOT(Paths!$C$11=1),0,IF(Paths!$P$11="Complete",IF(AND(Paths!$D$11="EV",Paths!$E$11&lt;120,Paths!$E$11+'Operating costs'!$B$65&gt;Paths!$E$11,Paths!$E$11+'Operating costs'!$B$65&lt;=120,IF(Paths!$E$11+'Operating costs'!$B$65=0,C51=0,AND(C51&gt;0,Paths!$E$11+'Operating costs'!$B$65&gt;(C51-1)*12,Paths!$E$11+'Operating costs'!$B$65&lt;=C51*12))),'Operating costs'!$B$64,0)+IF(AND('Operating costs'!$B$67&gt;0,'Operating costs'!$B$67&lt;=120,OR(Paths!$D$11="ICE",'Operating costs'!$B$67&lt;=Paths!$E$11),IF('Operating costs'!$B$67=0,C51=0,AND(C51&gt;0,'Operating costs'!$B$67&gt;(C51-1)*12,'Operating costs'!$B$67&lt;=C51*12))),'Operating costs'!$B$66,0),"n.a."))</f>
        <v>0</v>
      </c>
      <c r="N51" s="16">
        <f>IF(NOT(Paths!$C$11=1),0,IF(Paths!$P$11="Complete",SUM(G51:I51)-J51-K51-L51+M51+IF(C51=0,Paths!$F$11,0)+IF(IF(Paths!$E$11=0,C51=0,AND(C51&gt;0,Paths!$E$11&gt;(C51-1)*12,Paths!$E$11&lt;=C51*12)),VLOOKUP(A51,'Fleet register'!$A$7:$S$106,16,FALSE),0),"n.a."))</f>
        <v>30000</v>
      </c>
      <c r="O51" s="16">
        <f>IF(NOT(Paths!$C$11=1),0,IF(Paths!$P$11="Complete",N51-IF(C51=0,Paths!$F$11,0),"n.a."))</f>
        <v>0</v>
      </c>
      <c r="P51" s="16">
        <f>IF(NOT(Paths!$C$11=1),0,IF(Paths!$P$11="Complete",O51+L51,"n.a."))</f>
        <v>0</v>
      </c>
      <c r="Q51" s="16">
        <f>IF(NOT(Paths!$C$11=1),0,IF(Paths!$P$11="Complete",N51*(1+'Operating costs'!$B$54)^-C51,"n.a."))</f>
        <v>30000</v>
      </c>
      <c r="R51" s="16">
        <f>IF(NOT(Paths!$C$11=1),0,IF(Paths!$P$11="Complete",IF(AND(C51=0,Paths!$E$11=0),I51-J51-K51+VLOOKUP(A51,'Fleet register'!$A$7:$S$106,15,FALSE)+VLOOKUP(A51,'Fleet register'!$A$7:$S$106,16,FALSE),0),"n.a."))</f>
        <v>0</v>
      </c>
      <c r="S51" s="1">
        <f>IF(NOT(Paths!$C$11=1),0,IF(Paths!$P$11="Complete",IF(C51=0,0,Paths!$S$11*Paths!$R$11),"n.a."))</f>
        <v>0</v>
      </c>
      <c r="T51" s="1">
        <f>IF(NOT(Paths!$C$11=1),0,IF(Paths!$P$11="Complete",IF(C51=0,0,VLOOKUP(A51,'Fleet register'!$A$7:$S$106,9,FALSE)*Paths!$R$11),"n.a."))</f>
        <v>0</v>
      </c>
    </row>
    <row r="52" spans="1:20" ht="24" customHeight="1">
      <c r="A52" s="1" t="str">
        <f>Paths!$A$11</f>
        <v>T002</v>
      </c>
      <c r="B52" s="1">
        <f>Paths!$B$11</f>
        <v>0</v>
      </c>
      <c r="C52" s="1">
        <v>1</v>
      </c>
      <c r="D52" s="1">
        <v>11</v>
      </c>
      <c r="E52" s="1">
        <f>IF(OR(Paths!$C$11=0,C52=0),0,MAX(0,MIN(C52*12,Paths!$E$11)-(C52-1)*12))</f>
        <v>12</v>
      </c>
      <c r="F52" s="1">
        <f>IF(OR(Paths!$C$11=0,C52=0),0,12-E52)</f>
        <v>0</v>
      </c>
      <c r="G52" s="16">
        <f>IF(NOT(Paths!$C$11=1),0,IF(Paths!$P$11="Complete",E52/12*(Paths!$J$11*(1+'Operating costs'!$B$51)^MAX(0,C52-1)+Paths!$K$11*(1+'Operating costs'!$B$53)^MAX(0,C52-1)),"n.a."))</f>
        <v>18151.349999999999</v>
      </c>
      <c r="H52" s="16">
        <f>IF(NOT(Paths!$C$11=1),0,IF(Paths!$P$11="Complete",F52/12*(Paths!$L$11*(1+IF(Paths!$D$11="EV",'Operating costs'!$B$52,'Operating costs'!$B$51))^MAX(0,C52-1)+Paths!$M$11*(1+'Operating costs'!$B$53)^MAX(0,C52-1)),"n.a."))</f>
        <v>0</v>
      </c>
      <c r="I52" s="16">
        <f>IF(NOT(Paths!$C$11=1),0,IF(Paths!$P$11="Complete",IF(IF(Paths!$E$11=0,C52=0,AND(C52&gt;0,Paths!$E$11&gt;(C52-1)*12,Paths!$E$11&lt;=C52*12)),Paths!$G$11,0),"n.a."))</f>
        <v>0</v>
      </c>
      <c r="J52" s="16">
        <f>IF(NOT(Paths!$C$11=1),0,IF(Paths!$P$11="Complete",IF(IF(Paths!$E$11=0,C52=0,AND(C52&gt;0,Paths!$E$11&gt;(C52-1)*12,Paths!$E$11&lt;=C52*12)),Paths!$H$11,0),"n.a."))</f>
        <v>0</v>
      </c>
      <c r="K52" s="16">
        <f>IF(NOT(Paths!$C$11=1),0,IF(Paths!$P$11="Complete",IF(IF(Paths!$O$11=0,C52=0,AND(C52&gt;0,Paths!$O$11&gt;(C52-1)*12,Paths!$O$11&lt;=C52*12)),Paths!$N$11,0),"n.a."))</f>
        <v>0</v>
      </c>
      <c r="L52" s="16">
        <f>IF(NOT(Paths!$C$11=1),0,IF(Paths!$P$11="Complete",IF(C52=10,Paths!$I$11,0),"n.a."))</f>
        <v>0</v>
      </c>
      <c r="M52" s="16">
        <f>IF(NOT(Paths!$C$11=1),0,IF(Paths!$P$11="Complete",IF(AND(Paths!$D$11="EV",Paths!$E$11&lt;120,Paths!$E$11+'Operating costs'!$B$65&gt;Paths!$E$11,Paths!$E$11+'Operating costs'!$B$65&lt;=120,IF(Paths!$E$11+'Operating costs'!$B$65=0,C52=0,AND(C52&gt;0,Paths!$E$11+'Operating costs'!$B$65&gt;(C52-1)*12,Paths!$E$11+'Operating costs'!$B$65&lt;=C52*12))),'Operating costs'!$B$64,0)+IF(AND('Operating costs'!$B$67&gt;0,'Operating costs'!$B$67&lt;=120,OR(Paths!$D$11="ICE",'Operating costs'!$B$67&lt;=Paths!$E$11),IF('Operating costs'!$B$67=0,C52=0,AND(C52&gt;0,'Operating costs'!$B$67&gt;(C52-1)*12,'Operating costs'!$B$67&lt;=C52*12))),'Operating costs'!$B$66,0),"n.a."))</f>
        <v>0</v>
      </c>
      <c r="N52" s="16">
        <f>IF(NOT(Paths!$C$11=1),0,IF(Paths!$P$11="Complete",SUM(G52:I52)-J52-K52-L52+M52+IF(C52=0,Paths!$F$11,0)+IF(IF(Paths!$E$11=0,C52=0,AND(C52&gt;0,Paths!$E$11&gt;(C52-1)*12,Paths!$E$11&lt;=C52*12)),VLOOKUP(A52,'Fleet register'!$A$7:$S$106,16,FALSE),0),"n.a."))</f>
        <v>18151.349999999999</v>
      </c>
      <c r="O52" s="16">
        <f>IF(NOT(Paths!$C$11=1),0,IF(Paths!$P$11="Complete",N52-IF(C52=0,Paths!$F$11,0),"n.a."))</f>
        <v>18151.349999999999</v>
      </c>
      <c r="P52" s="16">
        <f>IF(NOT(Paths!$C$11=1),0,IF(Paths!$P$11="Complete",O52+L52,"n.a."))</f>
        <v>18151.349999999999</v>
      </c>
      <c r="Q52" s="16">
        <f>IF(NOT(Paths!$C$11=1),0,IF(Paths!$P$11="Complete",N52*(1+'Operating costs'!$B$54)^-C52,"n.a."))</f>
        <v>18151.349999999999</v>
      </c>
      <c r="R52" s="16">
        <f>IF(NOT(Paths!$C$11=1),0,IF(Paths!$P$11="Complete",IF(AND(C52=0,Paths!$E$11=0),I52-J52-K52+VLOOKUP(A52,'Fleet register'!$A$7:$S$106,15,FALSE)+VLOOKUP(A52,'Fleet register'!$A$7:$S$106,16,FALSE),0),"n.a."))</f>
        <v>0</v>
      </c>
      <c r="S52" s="1">
        <f>IF(NOT(Paths!$C$11=1),0,IF(Paths!$P$11="Complete",IF(C52=0,0,Paths!$S$11*Paths!$R$11),"n.a."))</f>
        <v>45000</v>
      </c>
      <c r="T52" s="1">
        <f>IF(NOT(Paths!$C$11=1),0,IF(Paths!$P$11="Complete",IF(C52=0,0,VLOOKUP(A52,'Fleet register'!$A$7:$S$106,9,FALSE)*Paths!$R$11),"n.a."))</f>
        <v>7200</v>
      </c>
    </row>
    <row r="53" spans="1:20" ht="24" customHeight="1">
      <c r="A53" s="1" t="str">
        <f>Paths!$A$11</f>
        <v>T002</v>
      </c>
      <c r="B53" s="1">
        <f>Paths!$B$11</f>
        <v>0</v>
      </c>
      <c r="C53" s="1">
        <v>2</v>
      </c>
      <c r="D53" s="1">
        <v>11</v>
      </c>
      <c r="E53" s="1">
        <f>IF(OR(Paths!$C$11=0,C53=0),0,MAX(0,MIN(C53*12,Paths!$E$11)-(C53-1)*12))</f>
        <v>12</v>
      </c>
      <c r="F53" s="1">
        <f>IF(OR(Paths!$C$11=0,C53=0),0,12-E53)</f>
        <v>0</v>
      </c>
      <c r="G53" s="16">
        <f>IF(NOT(Paths!$C$11=1),0,IF(Paths!$P$11="Complete",E53/12*(Paths!$J$11*(1+'Operating costs'!$B$51)^MAX(0,C53-1)+Paths!$K$11*(1+'Operating costs'!$B$53)^MAX(0,C53-1)),"n.a."))</f>
        <v>18151.349999999999</v>
      </c>
      <c r="H53" s="16">
        <f>IF(NOT(Paths!$C$11=1),0,IF(Paths!$P$11="Complete",F53/12*(Paths!$L$11*(1+IF(Paths!$D$11="EV",'Operating costs'!$B$52,'Operating costs'!$B$51))^MAX(0,C53-1)+Paths!$M$11*(1+'Operating costs'!$B$53)^MAX(0,C53-1)),"n.a."))</f>
        <v>0</v>
      </c>
      <c r="I53" s="16">
        <f>IF(NOT(Paths!$C$11=1),0,IF(Paths!$P$11="Complete",IF(IF(Paths!$E$11=0,C53=0,AND(C53&gt;0,Paths!$E$11&gt;(C53-1)*12,Paths!$E$11&lt;=C53*12)),Paths!$G$11,0),"n.a."))</f>
        <v>181000</v>
      </c>
      <c r="J53" s="16">
        <f>IF(NOT(Paths!$C$11=1),0,IF(Paths!$P$11="Complete",IF(IF(Paths!$E$11=0,C53=0,AND(C53&gt;0,Paths!$E$11&gt;(C53-1)*12,Paths!$E$11&lt;=C53*12)),Paths!$H$11,0),"n.a."))</f>
        <v>10000</v>
      </c>
      <c r="K53" s="16">
        <f>IF(NOT(Paths!$C$11=1),0,IF(Paths!$P$11="Complete",IF(IF(Paths!$O$11=0,C53=0,AND(C53&gt;0,Paths!$O$11&gt;(C53-1)*12,Paths!$O$11&lt;=C53*12)),Paths!$N$11,0),"n.a."))</f>
        <v>0</v>
      </c>
      <c r="L53" s="16">
        <f>IF(NOT(Paths!$C$11=1),0,IF(Paths!$P$11="Complete",IF(C53=10,Paths!$I$11,0),"n.a."))</f>
        <v>0</v>
      </c>
      <c r="M53" s="16">
        <f>IF(NOT(Paths!$C$11=1),0,IF(Paths!$P$11="Complete",IF(AND(Paths!$D$11="EV",Paths!$E$11&lt;120,Paths!$E$11+'Operating costs'!$B$65&gt;Paths!$E$11,Paths!$E$11+'Operating costs'!$B$65&lt;=120,IF(Paths!$E$11+'Operating costs'!$B$65=0,C53=0,AND(C53&gt;0,Paths!$E$11+'Operating costs'!$B$65&gt;(C53-1)*12,Paths!$E$11+'Operating costs'!$B$65&lt;=C53*12))),'Operating costs'!$B$64,0)+IF(AND('Operating costs'!$B$67&gt;0,'Operating costs'!$B$67&lt;=120,OR(Paths!$D$11="ICE",'Operating costs'!$B$67&lt;=Paths!$E$11),IF('Operating costs'!$B$67=0,C53=0,AND(C53&gt;0,'Operating costs'!$B$67&gt;(C53-1)*12,'Operating costs'!$B$67&lt;=C53*12))),'Operating costs'!$B$66,0),"n.a."))</f>
        <v>0</v>
      </c>
      <c r="N53" s="16">
        <f>IF(NOT(Paths!$C$11=1),0,IF(Paths!$P$11="Complete",SUM(G53:I53)-J53-K53-L53+M53+IF(C53=0,Paths!$F$11,0)+IF(IF(Paths!$E$11=0,C53=0,AND(C53&gt;0,Paths!$E$11&gt;(C53-1)*12,Paths!$E$11&lt;=C53*12)),VLOOKUP(A53,'Fleet register'!$A$7:$S$106,16,FALSE),0),"n.a."))</f>
        <v>189151.35</v>
      </c>
      <c r="O53" s="16">
        <f>IF(NOT(Paths!$C$11=1),0,IF(Paths!$P$11="Complete",N53-IF(C53=0,Paths!$F$11,0),"n.a."))</f>
        <v>189151.35</v>
      </c>
      <c r="P53" s="16">
        <f>IF(NOT(Paths!$C$11=1),0,IF(Paths!$P$11="Complete",O53+L53,"n.a."))</f>
        <v>189151.35</v>
      </c>
      <c r="Q53" s="16">
        <f>IF(NOT(Paths!$C$11=1),0,IF(Paths!$P$11="Complete",N53*(1+'Operating costs'!$B$54)^-C53,"n.a."))</f>
        <v>189151.35</v>
      </c>
      <c r="R53" s="16">
        <f>IF(NOT(Paths!$C$11=1),0,IF(Paths!$P$11="Complete",IF(AND(C53=0,Paths!$E$11=0),I53-J53-K53+VLOOKUP(A53,'Fleet register'!$A$7:$S$106,15,FALSE)+VLOOKUP(A53,'Fleet register'!$A$7:$S$106,16,FALSE),0),"n.a."))</f>
        <v>0</v>
      </c>
      <c r="S53" s="1">
        <f>IF(NOT(Paths!$C$11=1),0,IF(Paths!$P$11="Complete",IF(C53=0,0,Paths!$S$11*Paths!$R$11),"n.a."))</f>
        <v>45000</v>
      </c>
      <c r="T53" s="1">
        <f>IF(NOT(Paths!$C$11=1),0,IF(Paths!$P$11="Complete",IF(C53=0,0,VLOOKUP(A53,'Fleet register'!$A$7:$S$106,9,FALSE)*Paths!$R$11),"n.a."))</f>
        <v>7200</v>
      </c>
    </row>
    <row r="54" spans="1:20" ht="24" customHeight="1">
      <c r="A54" s="1" t="str">
        <f>Paths!$A$11</f>
        <v>T002</v>
      </c>
      <c r="B54" s="1">
        <f>Paths!$B$11</f>
        <v>0</v>
      </c>
      <c r="C54" s="1">
        <v>3</v>
      </c>
      <c r="D54" s="1">
        <v>11</v>
      </c>
      <c r="E54" s="1">
        <f>IF(OR(Paths!$C$11=0,C54=0),0,MAX(0,MIN(C54*12,Paths!$E$11)-(C54-1)*12))</f>
        <v>0</v>
      </c>
      <c r="F54" s="1">
        <f>IF(OR(Paths!$C$11=0,C54=0),0,12-E54)</f>
        <v>12</v>
      </c>
      <c r="G54" s="16">
        <f>IF(NOT(Paths!$C$11=1),0,IF(Paths!$P$11="Complete",E54/12*(Paths!$J$11*(1+'Operating costs'!$B$51)^MAX(0,C54-1)+Paths!$K$11*(1+'Operating costs'!$B$53)^MAX(0,C54-1)),"n.a."))</f>
        <v>0</v>
      </c>
      <c r="H54" s="16">
        <f>IF(NOT(Paths!$C$11=1),0,IF(Paths!$P$11="Complete",F54/12*(Paths!$L$11*(1+IF(Paths!$D$11="EV",'Operating costs'!$B$52,'Operating costs'!$B$51))^MAX(0,C54-1)+Paths!$M$11*(1+'Operating costs'!$B$53)^MAX(0,C54-1)),"n.a."))</f>
        <v>18151.349999999999</v>
      </c>
      <c r="I54" s="16">
        <f>IF(NOT(Paths!$C$11=1),0,IF(Paths!$P$11="Complete",IF(IF(Paths!$E$11=0,C54=0,AND(C54&gt;0,Paths!$E$11&gt;(C54-1)*12,Paths!$E$11&lt;=C54*12)),Paths!$G$11,0),"n.a."))</f>
        <v>0</v>
      </c>
      <c r="J54" s="16">
        <f>IF(NOT(Paths!$C$11=1),0,IF(Paths!$P$11="Complete",IF(IF(Paths!$E$11=0,C54=0,AND(C54&gt;0,Paths!$E$11&gt;(C54-1)*12,Paths!$E$11&lt;=C54*12)),Paths!$H$11,0),"n.a."))</f>
        <v>0</v>
      </c>
      <c r="K54" s="16">
        <f>IF(NOT(Paths!$C$11=1),0,IF(Paths!$P$11="Complete",IF(IF(Paths!$O$11=0,C54=0,AND(C54&gt;0,Paths!$O$11&gt;(C54-1)*12,Paths!$O$11&lt;=C54*12)),Paths!$N$11,0),"n.a."))</f>
        <v>0</v>
      </c>
      <c r="L54" s="16">
        <f>IF(NOT(Paths!$C$11=1),0,IF(Paths!$P$11="Complete",IF(C54=10,Paths!$I$11,0),"n.a."))</f>
        <v>0</v>
      </c>
      <c r="M54" s="16">
        <f>IF(NOT(Paths!$C$11=1),0,IF(Paths!$P$11="Complete",IF(AND(Paths!$D$11="EV",Paths!$E$11&lt;120,Paths!$E$11+'Operating costs'!$B$65&gt;Paths!$E$11,Paths!$E$11+'Operating costs'!$B$65&lt;=120,IF(Paths!$E$11+'Operating costs'!$B$65=0,C54=0,AND(C54&gt;0,Paths!$E$11+'Operating costs'!$B$65&gt;(C54-1)*12,Paths!$E$11+'Operating costs'!$B$65&lt;=C54*12))),'Operating costs'!$B$64,0)+IF(AND('Operating costs'!$B$67&gt;0,'Operating costs'!$B$67&lt;=120,OR(Paths!$D$11="ICE",'Operating costs'!$B$67&lt;=Paths!$E$11),IF('Operating costs'!$B$67=0,C54=0,AND(C54&gt;0,'Operating costs'!$B$67&gt;(C54-1)*12,'Operating costs'!$B$67&lt;=C54*12))),'Operating costs'!$B$66,0),"n.a."))</f>
        <v>0</v>
      </c>
      <c r="N54" s="16">
        <f>IF(NOT(Paths!$C$11=1),0,IF(Paths!$P$11="Complete",SUM(G54:I54)-J54-K54-L54+M54+IF(C54=0,Paths!$F$11,0)+IF(IF(Paths!$E$11=0,C54=0,AND(C54&gt;0,Paths!$E$11&gt;(C54-1)*12,Paths!$E$11&lt;=C54*12)),VLOOKUP(A54,'Fleet register'!$A$7:$S$106,16,FALSE),0),"n.a."))</f>
        <v>18151.349999999999</v>
      </c>
      <c r="O54" s="16">
        <f>IF(NOT(Paths!$C$11=1),0,IF(Paths!$P$11="Complete",N54-IF(C54=0,Paths!$F$11,0),"n.a."))</f>
        <v>18151.349999999999</v>
      </c>
      <c r="P54" s="16">
        <f>IF(NOT(Paths!$C$11=1),0,IF(Paths!$P$11="Complete",O54+L54,"n.a."))</f>
        <v>18151.349999999999</v>
      </c>
      <c r="Q54" s="16">
        <f>IF(NOT(Paths!$C$11=1),0,IF(Paths!$P$11="Complete",N54*(1+'Operating costs'!$B$54)^-C54,"n.a."))</f>
        <v>18151.349999999999</v>
      </c>
      <c r="R54" s="16">
        <f>IF(NOT(Paths!$C$11=1),0,IF(Paths!$P$11="Complete",IF(AND(C54=0,Paths!$E$11=0),I54-J54-K54+VLOOKUP(A54,'Fleet register'!$A$7:$S$106,15,FALSE)+VLOOKUP(A54,'Fleet register'!$A$7:$S$106,16,FALSE),0),"n.a."))</f>
        <v>0</v>
      </c>
      <c r="S54" s="1">
        <f>IF(NOT(Paths!$C$11=1),0,IF(Paths!$P$11="Complete",IF(C54=0,0,Paths!$S$11*Paths!$R$11),"n.a."))</f>
        <v>45000</v>
      </c>
      <c r="T54" s="1">
        <f>IF(NOT(Paths!$C$11=1),0,IF(Paths!$P$11="Complete",IF(C54=0,0,VLOOKUP(A54,'Fleet register'!$A$7:$S$106,9,FALSE)*Paths!$R$11),"n.a."))</f>
        <v>7200</v>
      </c>
    </row>
    <row r="55" spans="1:20" ht="24" customHeight="1">
      <c r="A55" s="1" t="str">
        <f>Paths!$A$11</f>
        <v>T002</v>
      </c>
      <c r="B55" s="1">
        <f>Paths!$B$11</f>
        <v>0</v>
      </c>
      <c r="C55" s="1">
        <v>4</v>
      </c>
      <c r="D55" s="1">
        <v>11</v>
      </c>
      <c r="E55" s="1">
        <f>IF(OR(Paths!$C$11=0,C55=0),0,MAX(0,MIN(C55*12,Paths!$E$11)-(C55-1)*12))</f>
        <v>0</v>
      </c>
      <c r="F55" s="1">
        <f>IF(OR(Paths!$C$11=0,C55=0),0,12-E55)</f>
        <v>12</v>
      </c>
      <c r="G55" s="16">
        <f>IF(NOT(Paths!$C$11=1),0,IF(Paths!$P$11="Complete",E55/12*(Paths!$J$11*(1+'Operating costs'!$B$51)^MAX(0,C55-1)+Paths!$K$11*(1+'Operating costs'!$B$53)^MAX(0,C55-1)),"n.a."))</f>
        <v>0</v>
      </c>
      <c r="H55" s="16">
        <f>IF(NOT(Paths!$C$11=1),0,IF(Paths!$P$11="Complete",F55/12*(Paths!$L$11*(1+IF(Paths!$D$11="EV",'Operating costs'!$B$52,'Operating costs'!$B$51))^MAX(0,C55-1)+Paths!$M$11*(1+'Operating costs'!$B$53)^MAX(0,C55-1)),"n.a."))</f>
        <v>18151.349999999999</v>
      </c>
      <c r="I55" s="16">
        <f>IF(NOT(Paths!$C$11=1),0,IF(Paths!$P$11="Complete",IF(IF(Paths!$E$11=0,C55=0,AND(C55&gt;0,Paths!$E$11&gt;(C55-1)*12,Paths!$E$11&lt;=C55*12)),Paths!$G$11,0),"n.a."))</f>
        <v>0</v>
      </c>
      <c r="J55" s="16">
        <f>IF(NOT(Paths!$C$11=1),0,IF(Paths!$P$11="Complete",IF(IF(Paths!$E$11=0,C55=0,AND(C55&gt;0,Paths!$E$11&gt;(C55-1)*12,Paths!$E$11&lt;=C55*12)),Paths!$H$11,0),"n.a."))</f>
        <v>0</v>
      </c>
      <c r="K55" s="16">
        <f>IF(NOT(Paths!$C$11=1),0,IF(Paths!$P$11="Complete",IF(IF(Paths!$O$11=0,C55=0,AND(C55&gt;0,Paths!$O$11&gt;(C55-1)*12,Paths!$O$11&lt;=C55*12)),Paths!$N$11,0),"n.a."))</f>
        <v>0</v>
      </c>
      <c r="L55" s="16">
        <f>IF(NOT(Paths!$C$11=1),0,IF(Paths!$P$11="Complete",IF(C55=10,Paths!$I$11,0),"n.a."))</f>
        <v>0</v>
      </c>
      <c r="M55" s="16">
        <f>IF(NOT(Paths!$C$11=1),0,IF(Paths!$P$11="Complete",IF(AND(Paths!$D$11="EV",Paths!$E$11&lt;120,Paths!$E$11+'Operating costs'!$B$65&gt;Paths!$E$11,Paths!$E$11+'Operating costs'!$B$65&lt;=120,IF(Paths!$E$11+'Operating costs'!$B$65=0,C55=0,AND(C55&gt;0,Paths!$E$11+'Operating costs'!$B$65&gt;(C55-1)*12,Paths!$E$11+'Operating costs'!$B$65&lt;=C55*12))),'Operating costs'!$B$64,0)+IF(AND('Operating costs'!$B$67&gt;0,'Operating costs'!$B$67&lt;=120,OR(Paths!$D$11="ICE",'Operating costs'!$B$67&lt;=Paths!$E$11),IF('Operating costs'!$B$67=0,C55=0,AND(C55&gt;0,'Operating costs'!$B$67&gt;(C55-1)*12,'Operating costs'!$B$67&lt;=C55*12))),'Operating costs'!$B$66,0),"n.a."))</f>
        <v>0</v>
      </c>
      <c r="N55" s="16">
        <f>IF(NOT(Paths!$C$11=1),0,IF(Paths!$P$11="Complete",SUM(G55:I55)-J55-K55-L55+M55+IF(C55=0,Paths!$F$11,0)+IF(IF(Paths!$E$11=0,C55=0,AND(C55&gt;0,Paths!$E$11&gt;(C55-1)*12,Paths!$E$11&lt;=C55*12)),VLOOKUP(A55,'Fleet register'!$A$7:$S$106,16,FALSE),0),"n.a."))</f>
        <v>18151.349999999999</v>
      </c>
      <c r="O55" s="16">
        <f>IF(NOT(Paths!$C$11=1),0,IF(Paths!$P$11="Complete",N55-IF(C55=0,Paths!$F$11,0),"n.a."))</f>
        <v>18151.349999999999</v>
      </c>
      <c r="P55" s="16">
        <f>IF(NOT(Paths!$C$11=1),0,IF(Paths!$P$11="Complete",O55+L55,"n.a."))</f>
        <v>18151.349999999999</v>
      </c>
      <c r="Q55" s="16">
        <f>IF(NOT(Paths!$C$11=1),0,IF(Paths!$P$11="Complete",N55*(1+'Operating costs'!$B$54)^-C55,"n.a."))</f>
        <v>18151.349999999999</v>
      </c>
      <c r="R55" s="16">
        <f>IF(NOT(Paths!$C$11=1),0,IF(Paths!$P$11="Complete",IF(AND(C55=0,Paths!$E$11=0),I55-J55-K55+VLOOKUP(A55,'Fleet register'!$A$7:$S$106,15,FALSE)+VLOOKUP(A55,'Fleet register'!$A$7:$S$106,16,FALSE),0),"n.a."))</f>
        <v>0</v>
      </c>
      <c r="S55" s="1">
        <f>IF(NOT(Paths!$C$11=1),0,IF(Paths!$P$11="Complete",IF(C55=0,0,Paths!$S$11*Paths!$R$11),"n.a."))</f>
        <v>45000</v>
      </c>
      <c r="T55" s="1">
        <f>IF(NOT(Paths!$C$11=1),0,IF(Paths!$P$11="Complete",IF(C55=0,0,VLOOKUP(A55,'Fleet register'!$A$7:$S$106,9,FALSE)*Paths!$R$11),"n.a."))</f>
        <v>7200</v>
      </c>
    </row>
    <row r="56" spans="1:20" ht="24" customHeight="1">
      <c r="A56" s="1" t="str">
        <f>Paths!$A$11</f>
        <v>T002</v>
      </c>
      <c r="B56" s="1">
        <f>Paths!$B$11</f>
        <v>0</v>
      </c>
      <c r="C56" s="1">
        <v>5</v>
      </c>
      <c r="D56" s="1">
        <v>11</v>
      </c>
      <c r="E56" s="1">
        <f>IF(OR(Paths!$C$11=0,C56=0),0,MAX(0,MIN(C56*12,Paths!$E$11)-(C56-1)*12))</f>
        <v>0</v>
      </c>
      <c r="F56" s="1">
        <f>IF(OR(Paths!$C$11=0,C56=0),0,12-E56)</f>
        <v>12</v>
      </c>
      <c r="G56" s="16">
        <f>IF(NOT(Paths!$C$11=1),0,IF(Paths!$P$11="Complete",E56/12*(Paths!$J$11*(1+'Operating costs'!$B$51)^MAX(0,C56-1)+Paths!$K$11*(1+'Operating costs'!$B$53)^MAX(0,C56-1)),"n.a."))</f>
        <v>0</v>
      </c>
      <c r="H56" s="16">
        <f>IF(NOT(Paths!$C$11=1),0,IF(Paths!$P$11="Complete",F56/12*(Paths!$L$11*(1+IF(Paths!$D$11="EV",'Operating costs'!$B$52,'Operating costs'!$B$51))^MAX(0,C56-1)+Paths!$M$11*(1+'Operating costs'!$B$53)^MAX(0,C56-1)),"n.a."))</f>
        <v>18151.349999999999</v>
      </c>
      <c r="I56" s="16">
        <f>IF(NOT(Paths!$C$11=1),0,IF(Paths!$P$11="Complete",IF(IF(Paths!$E$11=0,C56=0,AND(C56&gt;0,Paths!$E$11&gt;(C56-1)*12,Paths!$E$11&lt;=C56*12)),Paths!$G$11,0),"n.a."))</f>
        <v>0</v>
      </c>
      <c r="J56" s="16">
        <f>IF(NOT(Paths!$C$11=1),0,IF(Paths!$P$11="Complete",IF(IF(Paths!$E$11=0,C56=0,AND(C56&gt;0,Paths!$E$11&gt;(C56-1)*12,Paths!$E$11&lt;=C56*12)),Paths!$H$11,0),"n.a."))</f>
        <v>0</v>
      </c>
      <c r="K56" s="16">
        <f>IF(NOT(Paths!$C$11=1),0,IF(Paths!$P$11="Complete",IF(IF(Paths!$O$11=0,C56=0,AND(C56&gt;0,Paths!$O$11&gt;(C56-1)*12,Paths!$O$11&lt;=C56*12)),Paths!$N$11,0),"n.a."))</f>
        <v>0</v>
      </c>
      <c r="L56" s="16">
        <f>IF(NOT(Paths!$C$11=1),0,IF(Paths!$P$11="Complete",IF(C56=10,Paths!$I$11,0),"n.a."))</f>
        <v>0</v>
      </c>
      <c r="M56" s="16">
        <f>IF(NOT(Paths!$C$11=1),0,IF(Paths!$P$11="Complete",IF(AND(Paths!$D$11="EV",Paths!$E$11&lt;120,Paths!$E$11+'Operating costs'!$B$65&gt;Paths!$E$11,Paths!$E$11+'Operating costs'!$B$65&lt;=120,IF(Paths!$E$11+'Operating costs'!$B$65=0,C56=0,AND(C56&gt;0,Paths!$E$11+'Operating costs'!$B$65&gt;(C56-1)*12,Paths!$E$11+'Operating costs'!$B$65&lt;=C56*12))),'Operating costs'!$B$64,0)+IF(AND('Operating costs'!$B$67&gt;0,'Operating costs'!$B$67&lt;=120,OR(Paths!$D$11="ICE",'Operating costs'!$B$67&lt;=Paths!$E$11),IF('Operating costs'!$B$67=0,C56=0,AND(C56&gt;0,'Operating costs'!$B$67&gt;(C56-1)*12,'Operating costs'!$B$67&lt;=C56*12))),'Operating costs'!$B$66,0),"n.a."))</f>
        <v>0</v>
      </c>
      <c r="N56" s="16">
        <f>IF(NOT(Paths!$C$11=1),0,IF(Paths!$P$11="Complete",SUM(G56:I56)-J56-K56-L56+M56+IF(C56=0,Paths!$F$11,0)+IF(IF(Paths!$E$11=0,C56=0,AND(C56&gt;0,Paths!$E$11&gt;(C56-1)*12,Paths!$E$11&lt;=C56*12)),VLOOKUP(A56,'Fleet register'!$A$7:$S$106,16,FALSE),0),"n.a."))</f>
        <v>18151.349999999999</v>
      </c>
      <c r="O56" s="16">
        <f>IF(NOT(Paths!$C$11=1),0,IF(Paths!$P$11="Complete",N56-IF(C56=0,Paths!$F$11,0),"n.a."))</f>
        <v>18151.349999999999</v>
      </c>
      <c r="P56" s="16">
        <f>IF(NOT(Paths!$C$11=1),0,IF(Paths!$P$11="Complete",O56+L56,"n.a."))</f>
        <v>18151.349999999999</v>
      </c>
      <c r="Q56" s="16">
        <f>IF(NOT(Paths!$C$11=1),0,IF(Paths!$P$11="Complete",N56*(1+'Operating costs'!$B$54)^-C56,"n.a."))</f>
        <v>18151.349999999999</v>
      </c>
      <c r="R56" s="16">
        <f>IF(NOT(Paths!$C$11=1),0,IF(Paths!$P$11="Complete",IF(AND(C56=0,Paths!$E$11=0),I56-J56-K56+VLOOKUP(A56,'Fleet register'!$A$7:$S$106,15,FALSE)+VLOOKUP(A56,'Fleet register'!$A$7:$S$106,16,FALSE),0),"n.a."))</f>
        <v>0</v>
      </c>
      <c r="S56" s="1">
        <f>IF(NOT(Paths!$C$11=1),0,IF(Paths!$P$11="Complete",IF(C56=0,0,Paths!$S$11*Paths!$R$11),"n.a."))</f>
        <v>45000</v>
      </c>
      <c r="T56" s="1">
        <f>IF(NOT(Paths!$C$11=1),0,IF(Paths!$P$11="Complete",IF(C56=0,0,VLOOKUP(A56,'Fleet register'!$A$7:$S$106,9,FALSE)*Paths!$R$11),"n.a."))</f>
        <v>7200</v>
      </c>
    </row>
    <row r="57" spans="1:20" ht="24" customHeight="1">
      <c r="A57" s="1" t="str">
        <f>Paths!$A$11</f>
        <v>T002</v>
      </c>
      <c r="B57" s="1">
        <f>Paths!$B$11</f>
        <v>0</v>
      </c>
      <c r="C57" s="1">
        <v>6</v>
      </c>
      <c r="D57" s="1">
        <v>11</v>
      </c>
      <c r="E57" s="1">
        <f>IF(OR(Paths!$C$11=0,C57=0),0,MAX(0,MIN(C57*12,Paths!$E$11)-(C57-1)*12))</f>
        <v>0</v>
      </c>
      <c r="F57" s="1">
        <f>IF(OR(Paths!$C$11=0,C57=0),0,12-E57)</f>
        <v>12</v>
      </c>
      <c r="G57" s="16">
        <f>IF(NOT(Paths!$C$11=1),0,IF(Paths!$P$11="Complete",E57/12*(Paths!$J$11*(1+'Operating costs'!$B$51)^MAX(0,C57-1)+Paths!$K$11*(1+'Operating costs'!$B$53)^MAX(0,C57-1)),"n.a."))</f>
        <v>0</v>
      </c>
      <c r="H57" s="16">
        <f>IF(NOT(Paths!$C$11=1),0,IF(Paths!$P$11="Complete",F57/12*(Paths!$L$11*(1+IF(Paths!$D$11="EV",'Operating costs'!$B$52,'Operating costs'!$B$51))^MAX(0,C57-1)+Paths!$M$11*(1+'Operating costs'!$B$53)^MAX(0,C57-1)),"n.a."))</f>
        <v>18151.349999999999</v>
      </c>
      <c r="I57" s="16">
        <f>IF(NOT(Paths!$C$11=1),0,IF(Paths!$P$11="Complete",IF(IF(Paths!$E$11=0,C57=0,AND(C57&gt;0,Paths!$E$11&gt;(C57-1)*12,Paths!$E$11&lt;=C57*12)),Paths!$G$11,0),"n.a."))</f>
        <v>0</v>
      </c>
      <c r="J57" s="16">
        <f>IF(NOT(Paths!$C$11=1),0,IF(Paths!$P$11="Complete",IF(IF(Paths!$E$11=0,C57=0,AND(C57&gt;0,Paths!$E$11&gt;(C57-1)*12,Paths!$E$11&lt;=C57*12)),Paths!$H$11,0),"n.a."))</f>
        <v>0</v>
      </c>
      <c r="K57" s="16">
        <f>IF(NOT(Paths!$C$11=1),0,IF(Paths!$P$11="Complete",IF(IF(Paths!$O$11=0,C57=0,AND(C57&gt;0,Paths!$O$11&gt;(C57-1)*12,Paths!$O$11&lt;=C57*12)),Paths!$N$11,0),"n.a."))</f>
        <v>0</v>
      </c>
      <c r="L57" s="16">
        <f>IF(NOT(Paths!$C$11=1),0,IF(Paths!$P$11="Complete",IF(C57=10,Paths!$I$11,0),"n.a."))</f>
        <v>0</v>
      </c>
      <c r="M57" s="16">
        <f>IF(NOT(Paths!$C$11=1),0,IF(Paths!$P$11="Complete",IF(AND(Paths!$D$11="EV",Paths!$E$11&lt;120,Paths!$E$11+'Operating costs'!$B$65&gt;Paths!$E$11,Paths!$E$11+'Operating costs'!$B$65&lt;=120,IF(Paths!$E$11+'Operating costs'!$B$65=0,C57=0,AND(C57&gt;0,Paths!$E$11+'Operating costs'!$B$65&gt;(C57-1)*12,Paths!$E$11+'Operating costs'!$B$65&lt;=C57*12))),'Operating costs'!$B$64,0)+IF(AND('Operating costs'!$B$67&gt;0,'Operating costs'!$B$67&lt;=120,OR(Paths!$D$11="ICE",'Operating costs'!$B$67&lt;=Paths!$E$11),IF('Operating costs'!$B$67=0,C57=0,AND(C57&gt;0,'Operating costs'!$B$67&gt;(C57-1)*12,'Operating costs'!$B$67&lt;=C57*12))),'Operating costs'!$B$66,0),"n.a."))</f>
        <v>0</v>
      </c>
      <c r="N57" s="16">
        <f>IF(NOT(Paths!$C$11=1),0,IF(Paths!$P$11="Complete",SUM(G57:I57)-J57-K57-L57+M57+IF(C57=0,Paths!$F$11,0)+IF(IF(Paths!$E$11=0,C57=0,AND(C57&gt;0,Paths!$E$11&gt;(C57-1)*12,Paths!$E$11&lt;=C57*12)),VLOOKUP(A57,'Fleet register'!$A$7:$S$106,16,FALSE),0),"n.a."))</f>
        <v>18151.349999999999</v>
      </c>
      <c r="O57" s="16">
        <f>IF(NOT(Paths!$C$11=1),0,IF(Paths!$P$11="Complete",N57-IF(C57=0,Paths!$F$11,0),"n.a."))</f>
        <v>18151.349999999999</v>
      </c>
      <c r="P57" s="16">
        <f>IF(NOT(Paths!$C$11=1),0,IF(Paths!$P$11="Complete",O57+L57,"n.a."))</f>
        <v>18151.349999999999</v>
      </c>
      <c r="Q57" s="16">
        <f>IF(NOT(Paths!$C$11=1),0,IF(Paths!$P$11="Complete",N57*(1+'Operating costs'!$B$54)^-C57,"n.a."))</f>
        <v>18151.349999999999</v>
      </c>
      <c r="R57" s="16">
        <f>IF(NOT(Paths!$C$11=1),0,IF(Paths!$P$11="Complete",IF(AND(C57=0,Paths!$E$11=0),I57-J57-K57+VLOOKUP(A57,'Fleet register'!$A$7:$S$106,15,FALSE)+VLOOKUP(A57,'Fleet register'!$A$7:$S$106,16,FALSE),0),"n.a."))</f>
        <v>0</v>
      </c>
      <c r="S57" s="1">
        <f>IF(NOT(Paths!$C$11=1),0,IF(Paths!$P$11="Complete",IF(C57=0,0,Paths!$S$11*Paths!$R$11),"n.a."))</f>
        <v>45000</v>
      </c>
      <c r="T57" s="1">
        <f>IF(NOT(Paths!$C$11=1),0,IF(Paths!$P$11="Complete",IF(C57=0,0,VLOOKUP(A57,'Fleet register'!$A$7:$S$106,9,FALSE)*Paths!$R$11),"n.a."))</f>
        <v>7200</v>
      </c>
    </row>
    <row r="58" spans="1:20" ht="24" customHeight="1">
      <c r="A58" s="1" t="str">
        <f>Paths!$A$11</f>
        <v>T002</v>
      </c>
      <c r="B58" s="1">
        <f>Paths!$B$11</f>
        <v>0</v>
      </c>
      <c r="C58" s="1">
        <v>7</v>
      </c>
      <c r="D58" s="1">
        <v>11</v>
      </c>
      <c r="E58" s="1">
        <f>IF(OR(Paths!$C$11=0,C58=0),0,MAX(0,MIN(C58*12,Paths!$E$11)-(C58-1)*12))</f>
        <v>0</v>
      </c>
      <c r="F58" s="1">
        <f>IF(OR(Paths!$C$11=0,C58=0),0,12-E58)</f>
        <v>12</v>
      </c>
      <c r="G58" s="16">
        <f>IF(NOT(Paths!$C$11=1),0,IF(Paths!$P$11="Complete",E58/12*(Paths!$J$11*(1+'Operating costs'!$B$51)^MAX(0,C58-1)+Paths!$K$11*(1+'Operating costs'!$B$53)^MAX(0,C58-1)),"n.a."))</f>
        <v>0</v>
      </c>
      <c r="H58" s="16">
        <f>IF(NOT(Paths!$C$11=1),0,IF(Paths!$P$11="Complete",F58/12*(Paths!$L$11*(1+IF(Paths!$D$11="EV",'Operating costs'!$B$52,'Operating costs'!$B$51))^MAX(0,C58-1)+Paths!$M$11*(1+'Operating costs'!$B$53)^MAX(0,C58-1)),"n.a."))</f>
        <v>18151.349999999999</v>
      </c>
      <c r="I58" s="16">
        <f>IF(NOT(Paths!$C$11=1),0,IF(Paths!$P$11="Complete",IF(IF(Paths!$E$11=0,C58=0,AND(C58&gt;0,Paths!$E$11&gt;(C58-1)*12,Paths!$E$11&lt;=C58*12)),Paths!$G$11,0),"n.a."))</f>
        <v>0</v>
      </c>
      <c r="J58" s="16">
        <f>IF(NOT(Paths!$C$11=1),0,IF(Paths!$P$11="Complete",IF(IF(Paths!$E$11=0,C58=0,AND(C58&gt;0,Paths!$E$11&gt;(C58-1)*12,Paths!$E$11&lt;=C58*12)),Paths!$H$11,0),"n.a."))</f>
        <v>0</v>
      </c>
      <c r="K58" s="16">
        <f>IF(NOT(Paths!$C$11=1),0,IF(Paths!$P$11="Complete",IF(IF(Paths!$O$11=0,C58=0,AND(C58&gt;0,Paths!$O$11&gt;(C58-1)*12,Paths!$O$11&lt;=C58*12)),Paths!$N$11,0),"n.a."))</f>
        <v>0</v>
      </c>
      <c r="L58" s="16">
        <f>IF(NOT(Paths!$C$11=1),0,IF(Paths!$P$11="Complete",IF(C58=10,Paths!$I$11,0),"n.a."))</f>
        <v>0</v>
      </c>
      <c r="M58" s="16">
        <f>IF(NOT(Paths!$C$11=1),0,IF(Paths!$P$11="Complete",IF(AND(Paths!$D$11="EV",Paths!$E$11&lt;120,Paths!$E$11+'Operating costs'!$B$65&gt;Paths!$E$11,Paths!$E$11+'Operating costs'!$B$65&lt;=120,IF(Paths!$E$11+'Operating costs'!$B$65=0,C58=0,AND(C58&gt;0,Paths!$E$11+'Operating costs'!$B$65&gt;(C58-1)*12,Paths!$E$11+'Operating costs'!$B$65&lt;=C58*12))),'Operating costs'!$B$64,0)+IF(AND('Operating costs'!$B$67&gt;0,'Operating costs'!$B$67&lt;=120,OR(Paths!$D$11="ICE",'Operating costs'!$B$67&lt;=Paths!$E$11),IF('Operating costs'!$B$67=0,C58=0,AND(C58&gt;0,'Operating costs'!$B$67&gt;(C58-1)*12,'Operating costs'!$B$67&lt;=C58*12))),'Operating costs'!$B$66,0),"n.a."))</f>
        <v>0</v>
      </c>
      <c r="N58" s="16">
        <f>IF(NOT(Paths!$C$11=1),0,IF(Paths!$P$11="Complete",SUM(G58:I58)-J58-K58-L58+M58+IF(C58=0,Paths!$F$11,0)+IF(IF(Paths!$E$11=0,C58=0,AND(C58&gt;0,Paths!$E$11&gt;(C58-1)*12,Paths!$E$11&lt;=C58*12)),VLOOKUP(A58,'Fleet register'!$A$7:$S$106,16,FALSE),0),"n.a."))</f>
        <v>18151.349999999999</v>
      </c>
      <c r="O58" s="16">
        <f>IF(NOT(Paths!$C$11=1),0,IF(Paths!$P$11="Complete",N58-IF(C58=0,Paths!$F$11,0),"n.a."))</f>
        <v>18151.349999999999</v>
      </c>
      <c r="P58" s="16">
        <f>IF(NOT(Paths!$C$11=1),0,IF(Paths!$P$11="Complete",O58+L58,"n.a."))</f>
        <v>18151.349999999999</v>
      </c>
      <c r="Q58" s="16">
        <f>IF(NOT(Paths!$C$11=1),0,IF(Paths!$P$11="Complete",N58*(1+'Operating costs'!$B$54)^-C58,"n.a."))</f>
        <v>18151.349999999999</v>
      </c>
      <c r="R58" s="16">
        <f>IF(NOT(Paths!$C$11=1),0,IF(Paths!$P$11="Complete",IF(AND(C58=0,Paths!$E$11=0),I58-J58-K58+VLOOKUP(A58,'Fleet register'!$A$7:$S$106,15,FALSE)+VLOOKUP(A58,'Fleet register'!$A$7:$S$106,16,FALSE),0),"n.a."))</f>
        <v>0</v>
      </c>
      <c r="S58" s="1">
        <f>IF(NOT(Paths!$C$11=1),0,IF(Paths!$P$11="Complete",IF(C58=0,0,Paths!$S$11*Paths!$R$11),"n.a."))</f>
        <v>45000</v>
      </c>
      <c r="T58" s="1">
        <f>IF(NOT(Paths!$C$11=1),0,IF(Paths!$P$11="Complete",IF(C58=0,0,VLOOKUP(A58,'Fleet register'!$A$7:$S$106,9,FALSE)*Paths!$R$11),"n.a."))</f>
        <v>7200</v>
      </c>
    </row>
    <row r="59" spans="1:20" ht="24" customHeight="1">
      <c r="A59" s="1" t="str">
        <f>Paths!$A$11</f>
        <v>T002</v>
      </c>
      <c r="B59" s="1">
        <f>Paths!$B$11</f>
        <v>0</v>
      </c>
      <c r="C59" s="1">
        <v>8</v>
      </c>
      <c r="D59" s="1">
        <v>11</v>
      </c>
      <c r="E59" s="1">
        <f>IF(OR(Paths!$C$11=0,C59=0),0,MAX(0,MIN(C59*12,Paths!$E$11)-(C59-1)*12))</f>
        <v>0</v>
      </c>
      <c r="F59" s="1">
        <f>IF(OR(Paths!$C$11=0,C59=0),0,12-E59)</f>
        <v>12</v>
      </c>
      <c r="G59" s="16">
        <f>IF(NOT(Paths!$C$11=1),0,IF(Paths!$P$11="Complete",E59/12*(Paths!$J$11*(1+'Operating costs'!$B$51)^MAX(0,C59-1)+Paths!$K$11*(1+'Operating costs'!$B$53)^MAX(0,C59-1)),"n.a."))</f>
        <v>0</v>
      </c>
      <c r="H59" s="16">
        <f>IF(NOT(Paths!$C$11=1),0,IF(Paths!$P$11="Complete",F59/12*(Paths!$L$11*(1+IF(Paths!$D$11="EV",'Operating costs'!$B$52,'Operating costs'!$B$51))^MAX(0,C59-1)+Paths!$M$11*(1+'Operating costs'!$B$53)^MAX(0,C59-1)),"n.a."))</f>
        <v>18151.349999999999</v>
      </c>
      <c r="I59" s="16">
        <f>IF(NOT(Paths!$C$11=1),0,IF(Paths!$P$11="Complete",IF(IF(Paths!$E$11=0,C59=0,AND(C59&gt;0,Paths!$E$11&gt;(C59-1)*12,Paths!$E$11&lt;=C59*12)),Paths!$G$11,0),"n.a."))</f>
        <v>0</v>
      </c>
      <c r="J59" s="16">
        <f>IF(NOT(Paths!$C$11=1),0,IF(Paths!$P$11="Complete",IF(IF(Paths!$E$11=0,C59=0,AND(C59&gt;0,Paths!$E$11&gt;(C59-1)*12,Paths!$E$11&lt;=C59*12)),Paths!$H$11,0),"n.a."))</f>
        <v>0</v>
      </c>
      <c r="K59" s="16">
        <f>IF(NOT(Paths!$C$11=1),0,IF(Paths!$P$11="Complete",IF(IF(Paths!$O$11=0,C59=0,AND(C59&gt;0,Paths!$O$11&gt;(C59-1)*12,Paths!$O$11&lt;=C59*12)),Paths!$N$11,0),"n.a."))</f>
        <v>0</v>
      </c>
      <c r="L59" s="16">
        <f>IF(NOT(Paths!$C$11=1),0,IF(Paths!$P$11="Complete",IF(C59=10,Paths!$I$11,0),"n.a."))</f>
        <v>0</v>
      </c>
      <c r="M59" s="16">
        <f>IF(NOT(Paths!$C$11=1),0,IF(Paths!$P$11="Complete",IF(AND(Paths!$D$11="EV",Paths!$E$11&lt;120,Paths!$E$11+'Operating costs'!$B$65&gt;Paths!$E$11,Paths!$E$11+'Operating costs'!$B$65&lt;=120,IF(Paths!$E$11+'Operating costs'!$B$65=0,C59=0,AND(C59&gt;0,Paths!$E$11+'Operating costs'!$B$65&gt;(C59-1)*12,Paths!$E$11+'Operating costs'!$B$65&lt;=C59*12))),'Operating costs'!$B$64,0)+IF(AND('Operating costs'!$B$67&gt;0,'Operating costs'!$B$67&lt;=120,OR(Paths!$D$11="ICE",'Operating costs'!$B$67&lt;=Paths!$E$11),IF('Operating costs'!$B$67=0,C59=0,AND(C59&gt;0,'Operating costs'!$B$67&gt;(C59-1)*12,'Operating costs'!$B$67&lt;=C59*12))),'Operating costs'!$B$66,0),"n.a."))</f>
        <v>0</v>
      </c>
      <c r="N59" s="16">
        <f>IF(NOT(Paths!$C$11=1),0,IF(Paths!$P$11="Complete",SUM(G59:I59)-J59-K59-L59+M59+IF(C59=0,Paths!$F$11,0)+IF(IF(Paths!$E$11=0,C59=0,AND(C59&gt;0,Paths!$E$11&gt;(C59-1)*12,Paths!$E$11&lt;=C59*12)),VLOOKUP(A59,'Fleet register'!$A$7:$S$106,16,FALSE),0),"n.a."))</f>
        <v>18151.349999999999</v>
      </c>
      <c r="O59" s="16">
        <f>IF(NOT(Paths!$C$11=1),0,IF(Paths!$P$11="Complete",N59-IF(C59=0,Paths!$F$11,0),"n.a."))</f>
        <v>18151.349999999999</v>
      </c>
      <c r="P59" s="16">
        <f>IF(NOT(Paths!$C$11=1),0,IF(Paths!$P$11="Complete",O59+L59,"n.a."))</f>
        <v>18151.349999999999</v>
      </c>
      <c r="Q59" s="16">
        <f>IF(NOT(Paths!$C$11=1),0,IF(Paths!$P$11="Complete",N59*(1+'Operating costs'!$B$54)^-C59,"n.a."))</f>
        <v>18151.349999999999</v>
      </c>
      <c r="R59" s="16">
        <f>IF(NOT(Paths!$C$11=1),0,IF(Paths!$P$11="Complete",IF(AND(C59=0,Paths!$E$11=0),I59-J59-K59+VLOOKUP(A59,'Fleet register'!$A$7:$S$106,15,FALSE)+VLOOKUP(A59,'Fleet register'!$A$7:$S$106,16,FALSE),0),"n.a."))</f>
        <v>0</v>
      </c>
      <c r="S59" s="1">
        <f>IF(NOT(Paths!$C$11=1),0,IF(Paths!$P$11="Complete",IF(C59=0,0,Paths!$S$11*Paths!$R$11),"n.a."))</f>
        <v>45000</v>
      </c>
      <c r="T59" s="1">
        <f>IF(NOT(Paths!$C$11=1),0,IF(Paths!$P$11="Complete",IF(C59=0,0,VLOOKUP(A59,'Fleet register'!$A$7:$S$106,9,FALSE)*Paths!$R$11),"n.a."))</f>
        <v>7200</v>
      </c>
    </row>
    <row r="60" spans="1:20" ht="24" customHeight="1">
      <c r="A60" s="1" t="str">
        <f>Paths!$A$11</f>
        <v>T002</v>
      </c>
      <c r="B60" s="1">
        <f>Paths!$B$11</f>
        <v>0</v>
      </c>
      <c r="C60" s="1">
        <v>9</v>
      </c>
      <c r="D60" s="1">
        <v>11</v>
      </c>
      <c r="E60" s="1">
        <f>IF(OR(Paths!$C$11=0,C60=0),0,MAX(0,MIN(C60*12,Paths!$E$11)-(C60-1)*12))</f>
        <v>0</v>
      </c>
      <c r="F60" s="1">
        <f>IF(OR(Paths!$C$11=0,C60=0),0,12-E60)</f>
        <v>12</v>
      </c>
      <c r="G60" s="16">
        <f>IF(NOT(Paths!$C$11=1),0,IF(Paths!$P$11="Complete",E60/12*(Paths!$J$11*(1+'Operating costs'!$B$51)^MAX(0,C60-1)+Paths!$K$11*(1+'Operating costs'!$B$53)^MAX(0,C60-1)),"n.a."))</f>
        <v>0</v>
      </c>
      <c r="H60" s="16">
        <f>IF(NOT(Paths!$C$11=1),0,IF(Paths!$P$11="Complete",F60/12*(Paths!$L$11*(1+IF(Paths!$D$11="EV",'Operating costs'!$B$52,'Operating costs'!$B$51))^MAX(0,C60-1)+Paths!$M$11*(1+'Operating costs'!$B$53)^MAX(0,C60-1)),"n.a."))</f>
        <v>18151.349999999999</v>
      </c>
      <c r="I60" s="16">
        <f>IF(NOT(Paths!$C$11=1),0,IF(Paths!$P$11="Complete",IF(IF(Paths!$E$11=0,C60=0,AND(C60&gt;0,Paths!$E$11&gt;(C60-1)*12,Paths!$E$11&lt;=C60*12)),Paths!$G$11,0),"n.a."))</f>
        <v>0</v>
      </c>
      <c r="J60" s="16">
        <f>IF(NOT(Paths!$C$11=1),0,IF(Paths!$P$11="Complete",IF(IF(Paths!$E$11=0,C60=0,AND(C60&gt;0,Paths!$E$11&gt;(C60-1)*12,Paths!$E$11&lt;=C60*12)),Paths!$H$11,0),"n.a."))</f>
        <v>0</v>
      </c>
      <c r="K60" s="16">
        <f>IF(NOT(Paths!$C$11=1),0,IF(Paths!$P$11="Complete",IF(IF(Paths!$O$11=0,C60=0,AND(C60&gt;0,Paths!$O$11&gt;(C60-1)*12,Paths!$O$11&lt;=C60*12)),Paths!$N$11,0),"n.a."))</f>
        <v>0</v>
      </c>
      <c r="L60" s="16">
        <f>IF(NOT(Paths!$C$11=1),0,IF(Paths!$P$11="Complete",IF(C60=10,Paths!$I$11,0),"n.a."))</f>
        <v>0</v>
      </c>
      <c r="M60" s="16">
        <f>IF(NOT(Paths!$C$11=1),0,IF(Paths!$P$11="Complete",IF(AND(Paths!$D$11="EV",Paths!$E$11&lt;120,Paths!$E$11+'Operating costs'!$B$65&gt;Paths!$E$11,Paths!$E$11+'Operating costs'!$B$65&lt;=120,IF(Paths!$E$11+'Operating costs'!$B$65=0,C60=0,AND(C60&gt;0,Paths!$E$11+'Operating costs'!$B$65&gt;(C60-1)*12,Paths!$E$11+'Operating costs'!$B$65&lt;=C60*12))),'Operating costs'!$B$64,0)+IF(AND('Operating costs'!$B$67&gt;0,'Operating costs'!$B$67&lt;=120,OR(Paths!$D$11="ICE",'Operating costs'!$B$67&lt;=Paths!$E$11),IF('Operating costs'!$B$67=0,C60=0,AND(C60&gt;0,'Operating costs'!$B$67&gt;(C60-1)*12,'Operating costs'!$B$67&lt;=C60*12))),'Operating costs'!$B$66,0),"n.a."))</f>
        <v>0</v>
      </c>
      <c r="N60" s="16">
        <f>IF(NOT(Paths!$C$11=1),0,IF(Paths!$P$11="Complete",SUM(G60:I60)-J60-K60-L60+M60+IF(C60=0,Paths!$F$11,0)+IF(IF(Paths!$E$11=0,C60=0,AND(C60&gt;0,Paths!$E$11&gt;(C60-1)*12,Paths!$E$11&lt;=C60*12)),VLOOKUP(A60,'Fleet register'!$A$7:$S$106,16,FALSE),0),"n.a."))</f>
        <v>18151.349999999999</v>
      </c>
      <c r="O60" s="16">
        <f>IF(NOT(Paths!$C$11=1),0,IF(Paths!$P$11="Complete",N60-IF(C60=0,Paths!$F$11,0),"n.a."))</f>
        <v>18151.349999999999</v>
      </c>
      <c r="P60" s="16">
        <f>IF(NOT(Paths!$C$11=1),0,IF(Paths!$P$11="Complete",O60+L60,"n.a."))</f>
        <v>18151.349999999999</v>
      </c>
      <c r="Q60" s="16">
        <f>IF(NOT(Paths!$C$11=1),0,IF(Paths!$P$11="Complete",N60*(1+'Operating costs'!$B$54)^-C60,"n.a."))</f>
        <v>18151.349999999999</v>
      </c>
      <c r="R60" s="16">
        <f>IF(NOT(Paths!$C$11=1),0,IF(Paths!$P$11="Complete",IF(AND(C60=0,Paths!$E$11=0),I60-J60-K60+VLOOKUP(A60,'Fleet register'!$A$7:$S$106,15,FALSE)+VLOOKUP(A60,'Fleet register'!$A$7:$S$106,16,FALSE),0),"n.a."))</f>
        <v>0</v>
      </c>
      <c r="S60" s="1">
        <f>IF(NOT(Paths!$C$11=1),0,IF(Paths!$P$11="Complete",IF(C60=0,0,Paths!$S$11*Paths!$R$11),"n.a."))</f>
        <v>45000</v>
      </c>
      <c r="T60" s="1">
        <f>IF(NOT(Paths!$C$11=1),0,IF(Paths!$P$11="Complete",IF(C60=0,0,VLOOKUP(A60,'Fleet register'!$A$7:$S$106,9,FALSE)*Paths!$R$11),"n.a."))</f>
        <v>7200</v>
      </c>
    </row>
    <row r="61" spans="1:20" ht="24" customHeight="1">
      <c r="A61" s="1" t="str">
        <f>Paths!$A$11</f>
        <v>T002</v>
      </c>
      <c r="B61" s="1">
        <f>Paths!$B$11</f>
        <v>0</v>
      </c>
      <c r="C61" s="1">
        <v>10</v>
      </c>
      <c r="D61" s="1">
        <v>11</v>
      </c>
      <c r="E61" s="1">
        <f>IF(OR(Paths!$C$11=0,C61=0),0,MAX(0,MIN(C61*12,Paths!$E$11)-(C61-1)*12))</f>
        <v>0</v>
      </c>
      <c r="F61" s="1">
        <f>IF(OR(Paths!$C$11=0,C61=0),0,12-E61)</f>
        <v>12</v>
      </c>
      <c r="G61" s="16">
        <f>IF(NOT(Paths!$C$11=1),0,IF(Paths!$P$11="Complete",E61/12*(Paths!$J$11*(1+'Operating costs'!$B$51)^MAX(0,C61-1)+Paths!$K$11*(1+'Operating costs'!$B$53)^MAX(0,C61-1)),"n.a."))</f>
        <v>0</v>
      </c>
      <c r="H61" s="16">
        <f>IF(NOT(Paths!$C$11=1),0,IF(Paths!$P$11="Complete",F61/12*(Paths!$L$11*(1+IF(Paths!$D$11="EV",'Operating costs'!$B$52,'Operating costs'!$B$51))^MAX(0,C61-1)+Paths!$M$11*(1+'Operating costs'!$B$53)^MAX(0,C61-1)),"n.a."))</f>
        <v>18151.349999999999</v>
      </c>
      <c r="I61" s="16">
        <f>IF(NOT(Paths!$C$11=1),0,IF(Paths!$P$11="Complete",IF(IF(Paths!$E$11=0,C61=0,AND(C61&gt;0,Paths!$E$11&gt;(C61-1)*12,Paths!$E$11&lt;=C61*12)),Paths!$G$11,0),"n.a."))</f>
        <v>0</v>
      </c>
      <c r="J61" s="16">
        <f>IF(NOT(Paths!$C$11=1),0,IF(Paths!$P$11="Complete",IF(IF(Paths!$E$11=0,C61=0,AND(C61&gt;0,Paths!$E$11&gt;(C61-1)*12,Paths!$E$11&lt;=C61*12)),Paths!$H$11,0),"n.a."))</f>
        <v>0</v>
      </c>
      <c r="K61" s="16">
        <f>IF(NOT(Paths!$C$11=1),0,IF(Paths!$P$11="Complete",IF(IF(Paths!$O$11=0,C61=0,AND(C61&gt;0,Paths!$O$11&gt;(C61-1)*12,Paths!$O$11&lt;=C61*12)),Paths!$N$11,0),"n.a."))</f>
        <v>0</v>
      </c>
      <c r="L61" s="16">
        <f>IF(NOT(Paths!$C$11=1),0,IF(Paths!$P$11="Complete",IF(C61=10,Paths!$I$11,0),"n.a."))</f>
        <v>30600</v>
      </c>
      <c r="M61" s="16">
        <f>IF(NOT(Paths!$C$11=1),0,IF(Paths!$P$11="Complete",IF(AND(Paths!$D$11="EV",Paths!$E$11&lt;120,Paths!$E$11+'Operating costs'!$B$65&gt;Paths!$E$11,Paths!$E$11+'Operating costs'!$B$65&lt;=120,IF(Paths!$E$11+'Operating costs'!$B$65=0,C61=0,AND(C61&gt;0,Paths!$E$11+'Operating costs'!$B$65&gt;(C61-1)*12,Paths!$E$11+'Operating costs'!$B$65&lt;=C61*12))),'Operating costs'!$B$64,0)+IF(AND('Operating costs'!$B$67&gt;0,'Operating costs'!$B$67&lt;=120,OR(Paths!$D$11="ICE",'Operating costs'!$B$67&lt;=Paths!$E$11),IF('Operating costs'!$B$67=0,C61=0,AND(C61&gt;0,'Operating costs'!$B$67&gt;(C61-1)*12,'Operating costs'!$B$67&lt;=C61*12))),'Operating costs'!$B$66,0),"n.a."))</f>
        <v>0</v>
      </c>
      <c r="N61" s="16">
        <f>IF(NOT(Paths!$C$11=1),0,IF(Paths!$P$11="Complete",SUM(G61:I61)-J61-K61-L61+M61+IF(C61=0,Paths!$F$11,0)+IF(IF(Paths!$E$11=0,C61=0,AND(C61&gt;0,Paths!$E$11&gt;(C61-1)*12,Paths!$E$11&lt;=C61*12)),VLOOKUP(A61,'Fleet register'!$A$7:$S$106,16,FALSE),0),"n.a."))</f>
        <v>-12448.650000000001</v>
      </c>
      <c r="O61" s="16">
        <f>IF(NOT(Paths!$C$11=1),0,IF(Paths!$P$11="Complete",N61-IF(C61=0,Paths!$F$11,0),"n.a."))</f>
        <v>-12448.650000000001</v>
      </c>
      <c r="P61" s="16">
        <f>IF(NOT(Paths!$C$11=1),0,IF(Paths!$P$11="Complete",O61+L61,"n.a."))</f>
        <v>18151.349999999999</v>
      </c>
      <c r="Q61" s="16">
        <f>IF(NOT(Paths!$C$11=1),0,IF(Paths!$P$11="Complete",N61*(1+'Operating costs'!$B$54)^-C61,"n.a."))</f>
        <v>-12448.650000000001</v>
      </c>
      <c r="R61" s="16">
        <f>IF(NOT(Paths!$C$11=1),0,IF(Paths!$P$11="Complete",IF(AND(C61=0,Paths!$E$11=0),I61-J61-K61+VLOOKUP(A61,'Fleet register'!$A$7:$S$106,15,FALSE)+VLOOKUP(A61,'Fleet register'!$A$7:$S$106,16,FALSE),0),"n.a."))</f>
        <v>0</v>
      </c>
      <c r="S61" s="1">
        <f>IF(NOT(Paths!$C$11=1),0,IF(Paths!$P$11="Complete",IF(C61=0,0,Paths!$S$11*Paths!$R$11),"n.a."))</f>
        <v>45000</v>
      </c>
      <c r="T61" s="1">
        <f>IF(NOT(Paths!$C$11=1),0,IF(Paths!$P$11="Complete",IF(C61=0,0,VLOOKUP(A61,'Fleet register'!$A$7:$S$106,9,FALSE)*Paths!$R$11),"n.a."))</f>
        <v>7200</v>
      </c>
    </row>
    <row r="62" spans="1:20" ht="24" customHeight="1">
      <c r="A62" s="1" t="str">
        <f>Paths!$A$12</f>
        <v>T002</v>
      </c>
      <c r="B62" s="1">
        <f>Paths!$B$12</f>
        <v>1</v>
      </c>
      <c r="C62" s="1">
        <v>0</v>
      </c>
      <c r="D62" s="1">
        <v>12</v>
      </c>
      <c r="E62" s="1">
        <f>IF(OR(Paths!$C$12=0,C62=0),0,MAX(0,MIN(C62*12,Paths!$E$12)-(C62-1)*12))</f>
        <v>0</v>
      </c>
      <c r="F62" s="1">
        <f>IF(OR(Paths!$C$12=0,C62=0),0,12-E62)</f>
        <v>0</v>
      </c>
      <c r="G62" s="16">
        <f>IF(NOT(Paths!$C$12=1),0,IF(Paths!$P$12="Complete",E62/12*(Paths!$J$12*(1+'Operating costs'!$B$51)^MAX(0,C62-1)+Paths!$K$12*(1+'Operating costs'!$B$53)^MAX(0,C62-1)),"n.a."))</f>
        <v>0</v>
      </c>
      <c r="H62" s="16">
        <f>IF(NOT(Paths!$C$12=1),0,IF(Paths!$P$12="Complete",F62/12*(Paths!$L$12*(1+IF(Paths!$D$12="EV",'Operating costs'!$B$52,'Operating costs'!$B$51))^MAX(0,C62-1)+Paths!$M$12*(1+'Operating costs'!$B$53)^MAX(0,C62-1)),"n.a."))</f>
        <v>0</v>
      </c>
      <c r="I62" s="16">
        <f>IF(NOT(Paths!$C$12=1),0,IF(Paths!$P$12="Complete",IF(IF(Paths!$E$12=0,C62=0,AND(C62&gt;0,Paths!$E$12&gt;(C62-1)*12,Paths!$E$12&lt;=C62*12)),Paths!$G$12,0),"n.a."))</f>
        <v>181000</v>
      </c>
      <c r="J62" s="16">
        <f>IF(NOT(Paths!$C$12=1),0,IF(Paths!$P$12="Complete",IF(IF(Paths!$E$12=0,C62=0,AND(C62&gt;0,Paths!$E$12&gt;(C62-1)*12,Paths!$E$12&lt;=C62*12)),Paths!$H$12,0),"n.a."))</f>
        <v>30000</v>
      </c>
      <c r="K62" s="16">
        <f>IF(NOT(Paths!$C$12=1),0,IF(Paths!$P$12="Complete",IF(IF(Paths!$O$12=0,C62=0,AND(C62&gt;0,Paths!$O$12&gt;(C62-1)*12,Paths!$O$12&lt;=C62*12)),Paths!$N$12,0),"n.a."))</f>
        <v>0</v>
      </c>
      <c r="L62" s="16">
        <f>IF(NOT(Paths!$C$12=1),0,IF(Paths!$P$12="Complete",IF(C62=10,Paths!$I$12,0),"n.a."))</f>
        <v>0</v>
      </c>
      <c r="M62" s="16">
        <f>IF(NOT(Paths!$C$12=1),0,IF(Paths!$P$12="Complete",IF(AND(Paths!$D$12="EV",Paths!$E$12&lt;120,Paths!$E$12+'Operating costs'!$B$65&gt;Paths!$E$12,Paths!$E$12+'Operating costs'!$B$65&lt;=120,IF(Paths!$E$12+'Operating costs'!$B$65=0,C62=0,AND(C62&gt;0,Paths!$E$12+'Operating costs'!$B$65&gt;(C62-1)*12,Paths!$E$12+'Operating costs'!$B$65&lt;=C62*12))),'Operating costs'!$B$64,0)+IF(AND('Operating costs'!$B$67&gt;0,'Operating costs'!$B$67&lt;=120,OR(Paths!$D$12="ICE",'Operating costs'!$B$67&lt;=Paths!$E$12),IF('Operating costs'!$B$67=0,C62=0,AND(C62&gt;0,'Operating costs'!$B$67&gt;(C62-1)*12,'Operating costs'!$B$67&lt;=C62*12))),'Operating costs'!$B$66,0),"n.a."))</f>
        <v>0</v>
      </c>
      <c r="N62" s="16">
        <f>IF(NOT(Paths!$C$12=1),0,IF(Paths!$P$12="Complete",SUM(G62:I62)-J62-K62-L62+M62+IF(C62=0,Paths!$F$12,0)+IF(IF(Paths!$E$12=0,C62=0,AND(C62&gt;0,Paths!$E$12&gt;(C62-1)*12,Paths!$E$12&lt;=C62*12)),VLOOKUP(A62,'Fleet register'!$A$7:$S$106,16,FALSE),0),"n.a."))</f>
        <v>181000</v>
      </c>
      <c r="O62" s="16">
        <f>IF(NOT(Paths!$C$12=1),0,IF(Paths!$P$12="Complete",N62-IF(C62=0,Paths!$F$12,0),"n.a."))</f>
        <v>151000</v>
      </c>
      <c r="P62" s="16">
        <f>IF(NOT(Paths!$C$12=1),0,IF(Paths!$P$12="Complete",O62+L62,"n.a."))</f>
        <v>151000</v>
      </c>
      <c r="Q62" s="16">
        <f>IF(NOT(Paths!$C$12=1),0,IF(Paths!$P$12="Complete",N62*(1+'Operating costs'!$B$54)^-C62,"n.a."))</f>
        <v>181000</v>
      </c>
      <c r="R62" s="16">
        <f>IF(NOT(Paths!$C$12=1),0,IF(Paths!$P$12="Complete",IF(AND(C62=0,Paths!$E$12=0),I62-J62-K62+VLOOKUP(A62,'Fleet register'!$A$7:$S$106,15,FALSE)+VLOOKUP(A62,'Fleet register'!$A$7:$S$106,16,FALSE),0),"n.a."))</f>
        <v>151000</v>
      </c>
      <c r="S62" s="1">
        <f>IF(NOT(Paths!$C$12=1),0,IF(Paths!$P$12="Complete",IF(C62=0,0,Paths!$S$12*Paths!$R$12),"n.a."))</f>
        <v>0</v>
      </c>
      <c r="T62" s="1">
        <f>IF(NOT(Paths!$C$12=1),0,IF(Paths!$P$12="Complete",IF(C62=0,0,VLOOKUP(A62,'Fleet register'!$A$7:$S$106,9,FALSE)*Paths!$R$12),"n.a."))</f>
        <v>0</v>
      </c>
    </row>
    <row r="63" spans="1:20" ht="24" customHeight="1">
      <c r="A63" s="1" t="str">
        <f>Paths!$A$12</f>
        <v>T002</v>
      </c>
      <c r="B63" s="1">
        <f>Paths!$B$12</f>
        <v>1</v>
      </c>
      <c r="C63" s="1">
        <v>1</v>
      </c>
      <c r="D63" s="1">
        <v>12</v>
      </c>
      <c r="E63" s="1">
        <f>IF(OR(Paths!$C$12=0,C63=0),0,MAX(0,MIN(C63*12,Paths!$E$12)-(C63-1)*12))</f>
        <v>0</v>
      </c>
      <c r="F63" s="1">
        <f>IF(OR(Paths!$C$12=0,C63=0),0,12-E63)</f>
        <v>12</v>
      </c>
      <c r="G63" s="16">
        <f>IF(NOT(Paths!$C$12=1),0,IF(Paths!$P$12="Complete",E63/12*(Paths!$J$12*(1+'Operating costs'!$B$51)^MAX(0,C63-1)+Paths!$K$12*(1+'Operating costs'!$B$53)^MAX(0,C63-1)),"n.a."))</f>
        <v>0</v>
      </c>
      <c r="H63" s="16">
        <f>IF(NOT(Paths!$C$12=1),0,IF(Paths!$P$12="Complete",F63/12*(Paths!$L$12*(1+IF(Paths!$D$12="EV",'Operating costs'!$B$52,'Operating costs'!$B$51))^MAX(0,C63-1)+Paths!$M$12*(1+'Operating costs'!$B$53)^MAX(0,C63-1)),"n.a."))</f>
        <v>18151.349999999999</v>
      </c>
      <c r="I63" s="16">
        <f>IF(NOT(Paths!$C$12=1),0,IF(Paths!$P$12="Complete",IF(IF(Paths!$E$12=0,C63=0,AND(C63&gt;0,Paths!$E$12&gt;(C63-1)*12,Paths!$E$12&lt;=C63*12)),Paths!$G$12,0),"n.a."))</f>
        <v>0</v>
      </c>
      <c r="J63" s="16">
        <f>IF(NOT(Paths!$C$12=1),0,IF(Paths!$P$12="Complete",IF(IF(Paths!$E$12=0,C63=0,AND(C63&gt;0,Paths!$E$12&gt;(C63-1)*12,Paths!$E$12&lt;=C63*12)),Paths!$H$12,0),"n.a."))</f>
        <v>0</v>
      </c>
      <c r="K63" s="16">
        <f>IF(NOT(Paths!$C$12=1),0,IF(Paths!$P$12="Complete",IF(IF(Paths!$O$12=0,C63=0,AND(C63&gt;0,Paths!$O$12&gt;(C63-1)*12,Paths!$O$12&lt;=C63*12)),Paths!$N$12,0),"n.a."))</f>
        <v>0</v>
      </c>
      <c r="L63" s="16">
        <f>IF(NOT(Paths!$C$12=1),0,IF(Paths!$P$12="Complete",IF(C63=10,Paths!$I$12,0),"n.a."))</f>
        <v>0</v>
      </c>
      <c r="M63" s="16">
        <f>IF(NOT(Paths!$C$12=1),0,IF(Paths!$P$12="Complete",IF(AND(Paths!$D$12="EV",Paths!$E$12&lt;120,Paths!$E$12+'Operating costs'!$B$65&gt;Paths!$E$12,Paths!$E$12+'Operating costs'!$B$65&lt;=120,IF(Paths!$E$12+'Operating costs'!$B$65=0,C63=0,AND(C63&gt;0,Paths!$E$12+'Operating costs'!$B$65&gt;(C63-1)*12,Paths!$E$12+'Operating costs'!$B$65&lt;=C63*12))),'Operating costs'!$B$64,0)+IF(AND('Operating costs'!$B$67&gt;0,'Operating costs'!$B$67&lt;=120,OR(Paths!$D$12="ICE",'Operating costs'!$B$67&lt;=Paths!$E$12),IF('Operating costs'!$B$67=0,C63=0,AND(C63&gt;0,'Operating costs'!$B$67&gt;(C63-1)*12,'Operating costs'!$B$67&lt;=C63*12))),'Operating costs'!$B$66,0),"n.a."))</f>
        <v>0</v>
      </c>
      <c r="N63" s="16">
        <f>IF(NOT(Paths!$C$12=1),0,IF(Paths!$P$12="Complete",SUM(G63:I63)-J63-K63-L63+M63+IF(C63=0,Paths!$F$12,0)+IF(IF(Paths!$E$12=0,C63=0,AND(C63&gt;0,Paths!$E$12&gt;(C63-1)*12,Paths!$E$12&lt;=C63*12)),VLOOKUP(A63,'Fleet register'!$A$7:$S$106,16,FALSE),0),"n.a."))</f>
        <v>18151.349999999999</v>
      </c>
      <c r="O63" s="16">
        <f>IF(NOT(Paths!$C$12=1),0,IF(Paths!$P$12="Complete",N63-IF(C63=0,Paths!$F$12,0),"n.a."))</f>
        <v>18151.349999999999</v>
      </c>
      <c r="P63" s="16">
        <f>IF(NOT(Paths!$C$12=1),0,IF(Paths!$P$12="Complete",O63+L63,"n.a."))</f>
        <v>18151.349999999999</v>
      </c>
      <c r="Q63" s="16">
        <f>IF(NOT(Paths!$C$12=1),0,IF(Paths!$P$12="Complete",N63*(1+'Operating costs'!$B$54)^-C63,"n.a."))</f>
        <v>18151.349999999999</v>
      </c>
      <c r="R63" s="16">
        <f>IF(NOT(Paths!$C$12=1),0,IF(Paths!$P$12="Complete",IF(AND(C63=0,Paths!$E$12=0),I63-J63-K63+VLOOKUP(A63,'Fleet register'!$A$7:$S$106,15,FALSE)+VLOOKUP(A63,'Fleet register'!$A$7:$S$106,16,FALSE),0),"n.a."))</f>
        <v>0</v>
      </c>
      <c r="S63" s="1">
        <f>IF(NOT(Paths!$C$12=1),0,IF(Paths!$P$12="Complete",IF(C63=0,0,Paths!$S$12*Paths!$R$12),"n.a."))</f>
        <v>45000</v>
      </c>
      <c r="T63" s="1">
        <f>IF(NOT(Paths!$C$12=1),0,IF(Paths!$P$12="Complete",IF(C63=0,0,VLOOKUP(A63,'Fleet register'!$A$7:$S$106,9,FALSE)*Paths!$R$12),"n.a."))</f>
        <v>7200</v>
      </c>
    </row>
    <row r="64" spans="1:20" ht="24" customHeight="1">
      <c r="A64" s="1" t="str">
        <f>Paths!$A$12</f>
        <v>T002</v>
      </c>
      <c r="B64" s="1">
        <f>Paths!$B$12</f>
        <v>1</v>
      </c>
      <c r="C64" s="1">
        <v>2</v>
      </c>
      <c r="D64" s="1">
        <v>12</v>
      </c>
      <c r="E64" s="1">
        <f>IF(OR(Paths!$C$12=0,C64=0),0,MAX(0,MIN(C64*12,Paths!$E$12)-(C64-1)*12))</f>
        <v>0</v>
      </c>
      <c r="F64" s="1">
        <f>IF(OR(Paths!$C$12=0,C64=0),0,12-E64)</f>
        <v>12</v>
      </c>
      <c r="G64" s="16">
        <f>IF(NOT(Paths!$C$12=1),0,IF(Paths!$P$12="Complete",E64/12*(Paths!$J$12*(1+'Operating costs'!$B$51)^MAX(0,C64-1)+Paths!$K$12*(1+'Operating costs'!$B$53)^MAX(0,C64-1)),"n.a."))</f>
        <v>0</v>
      </c>
      <c r="H64" s="16">
        <f>IF(NOT(Paths!$C$12=1),0,IF(Paths!$P$12="Complete",F64/12*(Paths!$L$12*(1+IF(Paths!$D$12="EV",'Operating costs'!$B$52,'Operating costs'!$B$51))^MAX(0,C64-1)+Paths!$M$12*(1+'Operating costs'!$B$53)^MAX(0,C64-1)),"n.a."))</f>
        <v>18151.349999999999</v>
      </c>
      <c r="I64" s="16">
        <f>IF(NOT(Paths!$C$12=1),0,IF(Paths!$P$12="Complete",IF(IF(Paths!$E$12=0,C64=0,AND(C64&gt;0,Paths!$E$12&gt;(C64-1)*12,Paths!$E$12&lt;=C64*12)),Paths!$G$12,0),"n.a."))</f>
        <v>0</v>
      </c>
      <c r="J64" s="16">
        <f>IF(NOT(Paths!$C$12=1),0,IF(Paths!$P$12="Complete",IF(IF(Paths!$E$12=0,C64=0,AND(C64&gt;0,Paths!$E$12&gt;(C64-1)*12,Paths!$E$12&lt;=C64*12)),Paths!$H$12,0),"n.a."))</f>
        <v>0</v>
      </c>
      <c r="K64" s="16">
        <f>IF(NOT(Paths!$C$12=1),0,IF(Paths!$P$12="Complete",IF(IF(Paths!$O$12=0,C64=0,AND(C64&gt;0,Paths!$O$12&gt;(C64-1)*12,Paths!$O$12&lt;=C64*12)),Paths!$N$12,0),"n.a."))</f>
        <v>0</v>
      </c>
      <c r="L64" s="16">
        <f>IF(NOT(Paths!$C$12=1),0,IF(Paths!$P$12="Complete",IF(C64=10,Paths!$I$12,0),"n.a."))</f>
        <v>0</v>
      </c>
      <c r="M64" s="16">
        <f>IF(NOT(Paths!$C$12=1),0,IF(Paths!$P$12="Complete",IF(AND(Paths!$D$12="EV",Paths!$E$12&lt;120,Paths!$E$12+'Operating costs'!$B$65&gt;Paths!$E$12,Paths!$E$12+'Operating costs'!$B$65&lt;=120,IF(Paths!$E$12+'Operating costs'!$B$65=0,C64=0,AND(C64&gt;0,Paths!$E$12+'Operating costs'!$B$65&gt;(C64-1)*12,Paths!$E$12+'Operating costs'!$B$65&lt;=C64*12))),'Operating costs'!$B$64,0)+IF(AND('Operating costs'!$B$67&gt;0,'Operating costs'!$B$67&lt;=120,OR(Paths!$D$12="ICE",'Operating costs'!$B$67&lt;=Paths!$E$12),IF('Operating costs'!$B$67=0,C64=0,AND(C64&gt;0,'Operating costs'!$B$67&gt;(C64-1)*12,'Operating costs'!$B$67&lt;=C64*12))),'Operating costs'!$B$66,0),"n.a."))</f>
        <v>0</v>
      </c>
      <c r="N64" s="16">
        <f>IF(NOT(Paths!$C$12=1),0,IF(Paths!$P$12="Complete",SUM(G64:I64)-J64-K64-L64+M64+IF(C64=0,Paths!$F$12,0)+IF(IF(Paths!$E$12=0,C64=0,AND(C64&gt;0,Paths!$E$12&gt;(C64-1)*12,Paths!$E$12&lt;=C64*12)),VLOOKUP(A64,'Fleet register'!$A$7:$S$106,16,FALSE),0),"n.a."))</f>
        <v>18151.349999999999</v>
      </c>
      <c r="O64" s="16">
        <f>IF(NOT(Paths!$C$12=1),0,IF(Paths!$P$12="Complete",N64-IF(C64=0,Paths!$F$12,0),"n.a."))</f>
        <v>18151.349999999999</v>
      </c>
      <c r="P64" s="16">
        <f>IF(NOT(Paths!$C$12=1),0,IF(Paths!$P$12="Complete",O64+L64,"n.a."))</f>
        <v>18151.349999999999</v>
      </c>
      <c r="Q64" s="16">
        <f>IF(NOT(Paths!$C$12=1),0,IF(Paths!$P$12="Complete",N64*(1+'Operating costs'!$B$54)^-C64,"n.a."))</f>
        <v>18151.349999999999</v>
      </c>
      <c r="R64" s="16">
        <f>IF(NOT(Paths!$C$12=1),0,IF(Paths!$P$12="Complete",IF(AND(C64=0,Paths!$E$12=0),I64-J64-K64+VLOOKUP(A64,'Fleet register'!$A$7:$S$106,15,FALSE)+VLOOKUP(A64,'Fleet register'!$A$7:$S$106,16,FALSE),0),"n.a."))</f>
        <v>0</v>
      </c>
      <c r="S64" s="1">
        <f>IF(NOT(Paths!$C$12=1),0,IF(Paths!$P$12="Complete",IF(C64=0,0,Paths!$S$12*Paths!$R$12),"n.a."))</f>
        <v>45000</v>
      </c>
      <c r="T64" s="1">
        <f>IF(NOT(Paths!$C$12=1),0,IF(Paths!$P$12="Complete",IF(C64=0,0,VLOOKUP(A64,'Fleet register'!$A$7:$S$106,9,FALSE)*Paths!$R$12),"n.a."))</f>
        <v>7200</v>
      </c>
    </row>
    <row r="65" spans="1:20" ht="24" customHeight="1">
      <c r="A65" s="1" t="str">
        <f>Paths!$A$12</f>
        <v>T002</v>
      </c>
      <c r="B65" s="1">
        <f>Paths!$B$12</f>
        <v>1</v>
      </c>
      <c r="C65" s="1">
        <v>3</v>
      </c>
      <c r="D65" s="1">
        <v>12</v>
      </c>
      <c r="E65" s="1">
        <f>IF(OR(Paths!$C$12=0,C65=0),0,MAX(0,MIN(C65*12,Paths!$E$12)-(C65-1)*12))</f>
        <v>0</v>
      </c>
      <c r="F65" s="1">
        <f>IF(OR(Paths!$C$12=0,C65=0),0,12-E65)</f>
        <v>12</v>
      </c>
      <c r="G65" s="16">
        <f>IF(NOT(Paths!$C$12=1),0,IF(Paths!$P$12="Complete",E65/12*(Paths!$J$12*(1+'Operating costs'!$B$51)^MAX(0,C65-1)+Paths!$K$12*(1+'Operating costs'!$B$53)^MAX(0,C65-1)),"n.a."))</f>
        <v>0</v>
      </c>
      <c r="H65" s="16">
        <f>IF(NOT(Paths!$C$12=1),0,IF(Paths!$P$12="Complete",F65/12*(Paths!$L$12*(1+IF(Paths!$D$12="EV",'Operating costs'!$B$52,'Operating costs'!$B$51))^MAX(0,C65-1)+Paths!$M$12*(1+'Operating costs'!$B$53)^MAX(0,C65-1)),"n.a."))</f>
        <v>18151.349999999999</v>
      </c>
      <c r="I65" s="16">
        <f>IF(NOT(Paths!$C$12=1),0,IF(Paths!$P$12="Complete",IF(IF(Paths!$E$12=0,C65=0,AND(C65&gt;0,Paths!$E$12&gt;(C65-1)*12,Paths!$E$12&lt;=C65*12)),Paths!$G$12,0),"n.a."))</f>
        <v>0</v>
      </c>
      <c r="J65" s="16">
        <f>IF(NOT(Paths!$C$12=1),0,IF(Paths!$P$12="Complete",IF(IF(Paths!$E$12=0,C65=0,AND(C65&gt;0,Paths!$E$12&gt;(C65-1)*12,Paths!$E$12&lt;=C65*12)),Paths!$H$12,0),"n.a."))</f>
        <v>0</v>
      </c>
      <c r="K65" s="16">
        <f>IF(NOT(Paths!$C$12=1),0,IF(Paths!$P$12="Complete",IF(IF(Paths!$O$12=0,C65=0,AND(C65&gt;0,Paths!$O$12&gt;(C65-1)*12,Paths!$O$12&lt;=C65*12)),Paths!$N$12,0),"n.a."))</f>
        <v>0</v>
      </c>
      <c r="L65" s="16">
        <f>IF(NOT(Paths!$C$12=1),0,IF(Paths!$P$12="Complete",IF(C65=10,Paths!$I$12,0),"n.a."))</f>
        <v>0</v>
      </c>
      <c r="M65" s="16">
        <f>IF(NOT(Paths!$C$12=1),0,IF(Paths!$P$12="Complete",IF(AND(Paths!$D$12="EV",Paths!$E$12&lt;120,Paths!$E$12+'Operating costs'!$B$65&gt;Paths!$E$12,Paths!$E$12+'Operating costs'!$B$65&lt;=120,IF(Paths!$E$12+'Operating costs'!$B$65=0,C65=0,AND(C65&gt;0,Paths!$E$12+'Operating costs'!$B$65&gt;(C65-1)*12,Paths!$E$12+'Operating costs'!$B$65&lt;=C65*12))),'Operating costs'!$B$64,0)+IF(AND('Operating costs'!$B$67&gt;0,'Operating costs'!$B$67&lt;=120,OR(Paths!$D$12="ICE",'Operating costs'!$B$67&lt;=Paths!$E$12),IF('Operating costs'!$B$67=0,C65=0,AND(C65&gt;0,'Operating costs'!$B$67&gt;(C65-1)*12,'Operating costs'!$B$67&lt;=C65*12))),'Operating costs'!$B$66,0),"n.a."))</f>
        <v>0</v>
      </c>
      <c r="N65" s="16">
        <f>IF(NOT(Paths!$C$12=1),0,IF(Paths!$P$12="Complete",SUM(G65:I65)-J65-K65-L65+M65+IF(C65=0,Paths!$F$12,0)+IF(IF(Paths!$E$12=0,C65=0,AND(C65&gt;0,Paths!$E$12&gt;(C65-1)*12,Paths!$E$12&lt;=C65*12)),VLOOKUP(A65,'Fleet register'!$A$7:$S$106,16,FALSE),0),"n.a."))</f>
        <v>18151.349999999999</v>
      </c>
      <c r="O65" s="16">
        <f>IF(NOT(Paths!$C$12=1),0,IF(Paths!$P$12="Complete",N65-IF(C65=0,Paths!$F$12,0),"n.a."))</f>
        <v>18151.349999999999</v>
      </c>
      <c r="P65" s="16">
        <f>IF(NOT(Paths!$C$12=1),0,IF(Paths!$P$12="Complete",O65+L65,"n.a."))</f>
        <v>18151.349999999999</v>
      </c>
      <c r="Q65" s="16">
        <f>IF(NOT(Paths!$C$12=1),0,IF(Paths!$P$12="Complete",N65*(1+'Operating costs'!$B$54)^-C65,"n.a."))</f>
        <v>18151.349999999999</v>
      </c>
      <c r="R65" s="16">
        <f>IF(NOT(Paths!$C$12=1),0,IF(Paths!$P$12="Complete",IF(AND(C65=0,Paths!$E$12=0),I65-J65-K65+VLOOKUP(A65,'Fleet register'!$A$7:$S$106,15,FALSE)+VLOOKUP(A65,'Fleet register'!$A$7:$S$106,16,FALSE),0),"n.a."))</f>
        <v>0</v>
      </c>
      <c r="S65" s="1">
        <f>IF(NOT(Paths!$C$12=1),0,IF(Paths!$P$12="Complete",IF(C65=0,0,Paths!$S$12*Paths!$R$12),"n.a."))</f>
        <v>45000</v>
      </c>
      <c r="T65" s="1">
        <f>IF(NOT(Paths!$C$12=1),0,IF(Paths!$P$12="Complete",IF(C65=0,0,VLOOKUP(A65,'Fleet register'!$A$7:$S$106,9,FALSE)*Paths!$R$12),"n.a."))</f>
        <v>7200</v>
      </c>
    </row>
    <row r="66" spans="1:20" ht="24" customHeight="1">
      <c r="A66" s="1" t="str">
        <f>Paths!$A$12</f>
        <v>T002</v>
      </c>
      <c r="B66" s="1">
        <f>Paths!$B$12</f>
        <v>1</v>
      </c>
      <c r="C66" s="1">
        <v>4</v>
      </c>
      <c r="D66" s="1">
        <v>12</v>
      </c>
      <c r="E66" s="1">
        <f>IF(OR(Paths!$C$12=0,C66=0),0,MAX(0,MIN(C66*12,Paths!$E$12)-(C66-1)*12))</f>
        <v>0</v>
      </c>
      <c r="F66" s="1">
        <f>IF(OR(Paths!$C$12=0,C66=0),0,12-E66)</f>
        <v>12</v>
      </c>
      <c r="G66" s="16">
        <f>IF(NOT(Paths!$C$12=1),0,IF(Paths!$P$12="Complete",E66/12*(Paths!$J$12*(1+'Operating costs'!$B$51)^MAX(0,C66-1)+Paths!$K$12*(1+'Operating costs'!$B$53)^MAX(0,C66-1)),"n.a."))</f>
        <v>0</v>
      </c>
      <c r="H66" s="16">
        <f>IF(NOT(Paths!$C$12=1),0,IF(Paths!$P$12="Complete",F66/12*(Paths!$L$12*(1+IF(Paths!$D$12="EV",'Operating costs'!$B$52,'Operating costs'!$B$51))^MAX(0,C66-1)+Paths!$M$12*(1+'Operating costs'!$B$53)^MAX(0,C66-1)),"n.a."))</f>
        <v>18151.349999999999</v>
      </c>
      <c r="I66" s="16">
        <f>IF(NOT(Paths!$C$12=1),0,IF(Paths!$P$12="Complete",IF(IF(Paths!$E$12=0,C66=0,AND(C66&gt;0,Paths!$E$12&gt;(C66-1)*12,Paths!$E$12&lt;=C66*12)),Paths!$G$12,0),"n.a."))</f>
        <v>0</v>
      </c>
      <c r="J66" s="16">
        <f>IF(NOT(Paths!$C$12=1),0,IF(Paths!$P$12="Complete",IF(IF(Paths!$E$12=0,C66=0,AND(C66&gt;0,Paths!$E$12&gt;(C66-1)*12,Paths!$E$12&lt;=C66*12)),Paths!$H$12,0),"n.a."))</f>
        <v>0</v>
      </c>
      <c r="K66" s="16">
        <f>IF(NOT(Paths!$C$12=1),0,IF(Paths!$P$12="Complete",IF(IF(Paths!$O$12=0,C66=0,AND(C66&gt;0,Paths!$O$12&gt;(C66-1)*12,Paths!$O$12&lt;=C66*12)),Paths!$N$12,0),"n.a."))</f>
        <v>0</v>
      </c>
      <c r="L66" s="16">
        <f>IF(NOT(Paths!$C$12=1),0,IF(Paths!$P$12="Complete",IF(C66=10,Paths!$I$12,0),"n.a."))</f>
        <v>0</v>
      </c>
      <c r="M66" s="16">
        <f>IF(NOT(Paths!$C$12=1),0,IF(Paths!$P$12="Complete",IF(AND(Paths!$D$12="EV",Paths!$E$12&lt;120,Paths!$E$12+'Operating costs'!$B$65&gt;Paths!$E$12,Paths!$E$12+'Operating costs'!$B$65&lt;=120,IF(Paths!$E$12+'Operating costs'!$B$65=0,C66=0,AND(C66&gt;0,Paths!$E$12+'Operating costs'!$B$65&gt;(C66-1)*12,Paths!$E$12+'Operating costs'!$B$65&lt;=C66*12))),'Operating costs'!$B$64,0)+IF(AND('Operating costs'!$B$67&gt;0,'Operating costs'!$B$67&lt;=120,OR(Paths!$D$12="ICE",'Operating costs'!$B$67&lt;=Paths!$E$12),IF('Operating costs'!$B$67=0,C66=0,AND(C66&gt;0,'Operating costs'!$B$67&gt;(C66-1)*12,'Operating costs'!$B$67&lt;=C66*12))),'Operating costs'!$B$66,0),"n.a."))</f>
        <v>0</v>
      </c>
      <c r="N66" s="16">
        <f>IF(NOT(Paths!$C$12=1),0,IF(Paths!$P$12="Complete",SUM(G66:I66)-J66-K66-L66+M66+IF(C66=0,Paths!$F$12,0)+IF(IF(Paths!$E$12=0,C66=0,AND(C66&gt;0,Paths!$E$12&gt;(C66-1)*12,Paths!$E$12&lt;=C66*12)),VLOOKUP(A66,'Fleet register'!$A$7:$S$106,16,FALSE),0),"n.a."))</f>
        <v>18151.349999999999</v>
      </c>
      <c r="O66" s="16">
        <f>IF(NOT(Paths!$C$12=1),0,IF(Paths!$P$12="Complete",N66-IF(C66=0,Paths!$F$12,0),"n.a."))</f>
        <v>18151.349999999999</v>
      </c>
      <c r="P66" s="16">
        <f>IF(NOT(Paths!$C$12=1),0,IF(Paths!$P$12="Complete",O66+L66,"n.a."))</f>
        <v>18151.349999999999</v>
      </c>
      <c r="Q66" s="16">
        <f>IF(NOT(Paths!$C$12=1),0,IF(Paths!$P$12="Complete",N66*(1+'Operating costs'!$B$54)^-C66,"n.a."))</f>
        <v>18151.349999999999</v>
      </c>
      <c r="R66" s="16">
        <f>IF(NOT(Paths!$C$12=1),0,IF(Paths!$P$12="Complete",IF(AND(C66=0,Paths!$E$12=0),I66-J66-K66+VLOOKUP(A66,'Fleet register'!$A$7:$S$106,15,FALSE)+VLOOKUP(A66,'Fleet register'!$A$7:$S$106,16,FALSE),0),"n.a."))</f>
        <v>0</v>
      </c>
      <c r="S66" s="1">
        <f>IF(NOT(Paths!$C$12=1),0,IF(Paths!$P$12="Complete",IF(C66=0,0,Paths!$S$12*Paths!$R$12),"n.a."))</f>
        <v>45000</v>
      </c>
      <c r="T66" s="1">
        <f>IF(NOT(Paths!$C$12=1),0,IF(Paths!$P$12="Complete",IF(C66=0,0,VLOOKUP(A66,'Fleet register'!$A$7:$S$106,9,FALSE)*Paths!$R$12),"n.a."))</f>
        <v>7200</v>
      </c>
    </row>
    <row r="67" spans="1:20" ht="24" customHeight="1">
      <c r="A67" s="1" t="str">
        <f>Paths!$A$12</f>
        <v>T002</v>
      </c>
      <c r="B67" s="1">
        <f>Paths!$B$12</f>
        <v>1</v>
      </c>
      <c r="C67" s="1">
        <v>5</v>
      </c>
      <c r="D67" s="1">
        <v>12</v>
      </c>
      <c r="E67" s="1">
        <f>IF(OR(Paths!$C$12=0,C67=0),0,MAX(0,MIN(C67*12,Paths!$E$12)-(C67-1)*12))</f>
        <v>0</v>
      </c>
      <c r="F67" s="1">
        <f>IF(OR(Paths!$C$12=0,C67=0),0,12-E67)</f>
        <v>12</v>
      </c>
      <c r="G67" s="16">
        <f>IF(NOT(Paths!$C$12=1),0,IF(Paths!$P$12="Complete",E67/12*(Paths!$J$12*(1+'Operating costs'!$B$51)^MAX(0,C67-1)+Paths!$K$12*(1+'Operating costs'!$B$53)^MAX(0,C67-1)),"n.a."))</f>
        <v>0</v>
      </c>
      <c r="H67" s="16">
        <f>IF(NOT(Paths!$C$12=1),0,IF(Paths!$P$12="Complete",F67/12*(Paths!$L$12*(1+IF(Paths!$D$12="EV",'Operating costs'!$B$52,'Operating costs'!$B$51))^MAX(0,C67-1)+Paths!$M$12*(1+'Operating costs'!$B$53)^MAX(0,C67-1)),"n.a."))</f>
        <v>18151.349999999999</v>
      </c>
      <c r="I67" s="16">
        <f>IF(NOT(Paths!$C$12=1),0,IF(Paths!$P$12="Complete",IF(IF(Paths!$E$12=0,C67=0,AND(C67&gt;0,Paths!$E$12&gt;(C67-1)*12,Paths!$E$12&lt;=C67*12)),Paths!$G$12,0),"n.a."))</f>
        <v>0</v>
      </c>
      <c r="J67" s="16">
        <f>IF(NOT(Paths!$C$12=1),0,IF(Paths!$P$12="Complete",IF(IF(Paths!$E$12=0,C67=0,AND(C67&gt;0,Paths!$E$12&gt;(C67-1)*12,Paths!$E$12&lt;=C67*12)),Paths!$H$12,0),"n.a."))</f>
        <v>0</v>
      </c>
      <c r="K67" s="16">
        <f>IF(NOT(Paths!$C$12=1),0,IF(Paths!$P$12="Complete",IF(IF(Paths!$O$12=0,C67=0,AND(C67&gt;0,Paths!$O$12&gt;(C67-1)*12,Paths!$O$12&lt;=C67*12)),Paths!$N$12,0),"n.a."))</f>
        <v>0</v>
      </c>
      <c r="L67" s="16">
        <f>IF(NOT(Paths!$C$12=1),0,IF(Paths!$P$12="Complete",IF(C67=10,Paths!$I$12,0),"n.a."))</f>
        <v>0</v>
      </c>
      <c r="M67" s="16">
        <f>IF(NOT(Paths!$C$12=1),0,IF(Paths!$P$12="Complete",IF(AND(Paths!$D$12="EV",Paths!$E$12&lt;120,Paths!$E$12+'Operating costs'!$B$65&gt;Paths!$E$12,Paths!$E$12+'Operating costs'!$B$65&lt;=120,IF(Paths!$E$12+'Operating costs'!$B$65=0,C67=0,AND(C67&gt;0,Paths!$E$12+'Operating costs'!$B$65&gt;(C67-1)*12,Paths!$E$12+'Operating costs'!$B$65&lt;=C67*12))),'Operating costs'!$B$64,0)+IF(AND('Operating costs'!$B$67&gt;0,'Operating costs'!$B$67&lt;=120,OR(Paths!$D$12="ICE",'Operating costs'!$B$67&lt;=Paths!$E$12),IF('Operating costs'!$B$67=0,C67=0,AND(C67&gt;0,'Operating costs'!$B$67&gt;(C67-1)*12,'Operating costs'!$B$67&lt;=C67*12))),'Operating costs'!$B$66,0),"n.a."))</f>
        <v>0</v>
      </c>
      <c r="N67" s="16">
        <f>IF(NOT(Paths!$C$12=1),0,IF(Paths!$P$12="Complete",SUM(G67:I67)-J67-K67-L67+M67+IF(C67=0,Paths!$F$12,0)+IF(IF(Paths!$E$12=0,C67=0,AND(C67&gt;0,Paths!$E$12&gt;(C67-1)*12,Paths!$E$12&lt;=C67*12)),VLOOKUP(A67,'Fleet register'!$A$7:$S$106,16,FALSE),0),"n.a."))</f>
        <v>18151.349999999999</v>
      </c>
      <c r="O67" s="16">
        <f>IF(NOT(Paths!$C$12=1),0,IF(Paths!$P$12="Complete",N67-IF(C67=0,Paths!$F$12,0),"n.a."))</f>
        <v>18151.349999999999</v>
      </c>
      <c r="P67" s="16">
        <f>IF(NOT(Paths!$C$12=1),0,IF(Paths!$P$12="Complete",O67+L67,"n.a."))</f>
        <v>18151.349999999999</v>
      </c>
      <c r="Q67" s="16">
        <f>IF(NOT(Paths!$C$12=1),0,IF(Paths!$P$12="Complete",N67*(1+'Operating costs'!$B$54)^-C67,"n.a."))</f>
        <v>18151.349999999999</v>
      </c>
      <c r="R67" s="16">
        <f>IF(NOT(Paths!$C$12=1),0,IF(Paths!$P$12="Complete",IF(AND(C67=0,Paths!$E$12=0),I67-J67-K67+VLOOKUP(A67,'Fleet register'!$A$7:$S$106,15,FALSE)+VLOOKUP(A67,'Fleet register'!$A$7:$S$106,16,FALSE),0),"n.a."))</f>
        <v>0</v>
      </c>
      <c r="S67" s="1">
        <f>IF(NOT(Paths!$C$12=1),0,IF(Paths!$P$12="Complete",IF(C67=0,0,Paths!$S$12*Paths!$R$12),"n.a."))</f>
        <v>45000</v>
      </c>
      <c r="T67" s="1">
        <f>IF(NOT(Paths!$C$12=1),0,IF(Paths!$P$12="Complete",IF(C67=0,0,VLOOKUP(A67,'Fleet register'!$A$7:$S$106,9,FALSE)*Paths!$R$12),"n.a."))</f>
        <v>7200</v>
      </c>
    </row>
    <row r="68" spans="1:20" ht="24" customHeight="1">
      <c r="A68" s="1" t="str">
        <f>Paths!$A$12</f>
        <v>T002</v>
      </c>
      <c r="B68" s="1">
        <f>Paths!$B$12</f>
        <v>1</v>
      </c>
      <c r="C68" s="1">
        <v>6</v>
      </c>
      <c r="D68" s="1">
        <v>12</v>
      </c>
      <c r="E68" s="1">
        <f>IF(OR(Paths!$C$12=0,C68=0),0,MAX(0,MIN(C68*12,Paths!$E$12)-(C68-1)*12))</f>
        <v>0</v>
      </c>
      <c r="F68" s="1">
        <f>IF(OR(Paths!$C$12=0,C68=0),0,12-E68)</f>
        <v>12</v>
      </c>
      <c r="G68" s="16">
        <f>IF(NOT(Paths!$C$12=1),0,IF(Paths!$P$12="Complete",E68/12*(Paths!$J$12*(1+'Operating costs'!$B$51)^MAX(0,C68-1)+Paths!$K$12*(1+'Operating costs'!$B$53)^MAX(0,C68-1)),"n.a."))</f>
        <v>0</v>
      </c>
      <c r="H68" s="16">
        <f>IF(NOT(Paths!$C$12=1),0,IF(Paths!$P$12="Complete",F68/12*(Paths!$L$12*(1+IF(Paths!$D$12="EV",'Operating costs'!$B$52,'Operating costs'!$B$51))^MAX(0,C68-1)+Paths!$M$12*(1+'Operating costs'!$B$53)^MAX(0,C68-1)),"n.a."))</f>
        <v>18151.349999999999</v>
      </c>
      <c r="I68" s="16">
        <f>IF(NOT(Paths!$C$12=1),0,IF(Paths!$P$12="Complete",IF(IF(Paths!$E$12=0,C68=0,AND(C68&gt;0,Paths!$E$12&gt;(C68-1)*12,Paths!$E$12&lt;=C68*12)),Paths!$G$12,0),"n.a."))</f>
        <v>0</v>
      </c>
      <c r="J68" s="16">
        <f>IF(NOT(Paths!$C$12=1),0,IF(Paths!$P$12="Complete",IF(IF(Paths!$E$12=0,C68=0,AND(C68&gt;0,Paths!$E$12&gt;(C68-1)*12,Paths!$E$12&lt;=C68*12)),Paths!$H$12,0),"n.a."))</f>
        <v>0</v>
      </c>
      <c r="K68" s="16">
        <f>IF(NOT(Paths!$C$12=1),0,IF(Paths!$P$12="Complete",IF(IF(Paths!$O$12=0,C68=0,AND(C68&gt;0,Paths!$O$12&gt;(C68-1)*12,Paths!$O$12&lt;=C68*12)),Paths!$N$12,0),"n.a."))</f>
        <v>0</v>
      </c>
      <c r="L68" s="16">
        <f>IF(NOT(Paths!$C$12=1),0,IF(Paths!$P$12="Complete",IF(C68=10,Paths!$I$12,0),"n.a."))</f>
        <v>0</v>
      </c>
      <c r="M68" s="16">
        <f>IF(NOT(Paths!$C$12=1),0,IF(Paths!$P$12="Complete",IF(AND(Paths!$D$12="EV",Paths!$E$12&lt;120,Paths!$E$12+'Operating costs'!$B$65&gt;Paths!$E$12,Paths!$E$12+'Operating costs'!$B$65&lt;=120,IF(Paths!$E$12+'Operating costs'!$B$65=0,C68=0,AND(C68&gt;0,Paths!$E$12+'Operating costs'!$B$65&gt;(C68-1)*12,Paths!$E$12+'Operating costs'!$B$65&lt;=C68*12))),'Operating costs'!$B$64,0)+IF(AND('Operating costs'!$B$67&gt;0,'Operating costs'!$B$67&lt;=120,OR(Paths!$D$12="ICE",'Operating costs'!$B$67&lt;=Paths!$E$12),IF('Operating costs'!$B$67=0,C68=0,AND(C68&gt;0,'Operating costs'!$B$67&gt;(C68-1)*12,'Operating costs'!$B$67&lt;=C68*12))),'Operating costs'!$B$66,0),"n.a."))</f>
        <v>0</v>
      </c>
      <c r="N68" s="16">
        <f>IF(NOT(Paths!$C$12=1),0,IF(Paths!$P$12="Complete",SUM(G68:I68)-J68-K68-L68+M68+IF(C68=0,Paths!$F$12,0)+IF(IF(Paths!$E$12=0,C68=0,AND(C68&gt;0,Paths!$E$12&gt;(C68-1)*12,Paths!$E$12&lt;=C68*12)),VLOOKUP(A68,'Fleet register'!$A$7:$S$106,16,FALSE),0),"n.a."))</f>
        <v>18151.349999999999</v>
      </c>
      <c r="O68" s="16">
        <f>IF(NOT(Paths!$C$12=1),0,IF(Paths!$P$12="Complete",N68-IF(C68=0,Paths!$F$12,0),"n.a."))</f>
        <v>18151.349999999999</v>
      </c>
      <c r="P68" s="16">
        <f>IF(NOT(Paths!$C$12=1),0,IF(Paths!$P$12="Complete",O68+L68,"n.a."))</f>
        <v>18151.349999999999</v>
      </c>
      <c r="Q68" s="16">
        <f>IF(NOT(Paths!$C$12=1),0,IF(Paths!$P$12="Complete",N68*(1+'Operating costs'!$B$54)^-C68,"n.a."))</f>
        <v>18151.349999999999</v>
      </c>
      <c r="R68" s="16">
        <f>IF(NOT(Paths!$C$12=1),0,IF(Paths!$P$12="Complete",IF(AND(C68=0,Paths!$E$12=0),I68-J68-K68+VLOOKUP(A68,'Fleet register'!$A$7:$S$106,15,FALSE)+VLOOKUP(A68,'Fleet register'!$A$7:$S$106,16,FALSE),0),"n.a."))</f>
        <v>0</v>
      </c>
      <c r="S68" s="1">
        <f>IF(NOT(Paths!$C$12=1),0,IF(Paths!$P$12="Complete",IF(C68=0,0,Paths!$S$12*Paths!$R$12),"n.a."))</f>
        <v>45000</v>
      </c>
      <c r="T68" s="1">
        <f>IF(NOT(Paths!$C$12=1),0,IF(Paths!$P$12="Complete",IF(C68=0,0,VLOOKUP(A68,'Fleet register'!$A$7:$S$106,9,FALSE)*Paths!$R$12),"n.a."))</f>
        <v>7200</v>
      </c>
    </row>
    <row r="69" spans="1:20" ht="24" customHeight="1">
      <c r="A69" s="1" t="str">
        <f>Paths!$A$12</f>
        <v>T002</v>
      </c>
      <c r="B69" s="1">
        <f>Paths!$B$12</f>
        <v>1</v>
      </c>
      <c r="C69" s="1">
        <v>7</v>
      </c>
      <c r="D69" s="1">
        <v>12</v>
      </c>
      <c r="E69" s="1">
        <f>IF(OR(Paths!$C$12=0,C69=0),0,MAX(0,MIN(C69*12,Paths!$E$12)-(C69-1)*12))</f>
        <v>0</v>
      </c>
      <c r="F69" s="1">
        <f>IF(OR(Paths!$C$12=0,C69=0),0,12-E69)</f>
        <v>12</v>
      </c>
      <c r="G69" s="16">
        <f>IF(NOT(Paths!$C$12=1),0,IF(Paths!$P$12="Complete",E69/12*(Paths!$J$12*(1+'Operating costs'!$B$51)^MAX(0,C69-1)+Paths!$K$12*(1+'Operating costs'!$B$53)^MAX(0,C69-1)),"n.a."))</f>
        <v>0</v>
      </c>
      <c r="H69" s="16">
        <f>IF(NOT(Paths!$C$12=1),0,IF(Paths!$P$12="Complete",F69/12*(Paths!$L$12*(1+IF(Paths!$D$12="EV",'Operating costs'!$B$52,'Operating costs'!$B$51))^MAX(0,C69-1)+Paths!$M$12*(1+'Operating costs'!$B$53)^MAX(0,C69-1)),"n.a."))</f>
        <v>18151.349999999999</v>
      </c>
      <c r="I69" s="16">
        <f>IF(NOT(Paths!$C$12=1),0,IF(Paths!$P$12="Complete",IF(IF(Paths!$E$12=0,C69=0,AND(C69&gt;0,Paths!$E$12&gt;(C69-1)*12,Paths!$E$12&lt;=C69*12)),Paths!$G$12,0),"n.a."))</f>
        <v>0</v>
      </c>
      <c r="J69" s="16">
        <f>IF(NOT(Paths!$C$12=1),0,IF(Paths!$P$12="Complete",IF(IF(Paths!$E$12=0,C69=0,AND(C69&gt;0,Paths!$E$12&gt;(C69-1)*12,Paths!$E$12&lt;=C69*12)),Paths!$H$12,0),"n.a."))</f>
        <v>0</v>
      </c>
      <c r="K69" s="16">
        <f>IF(NOT(Paths!$C$12=1),0,IF(Paths!$P$12="Complete",IF(IF(Paths!$O$12=0,C69=0,AND(C69&gt;0,Paths!$O$12&gt;(C69-1)*12,Paths!$O$12&lt;=C69*12)),Paths!$N$12,0),"n.a."))</f>
        <v>0</v>
      </c>
      <c r="L69" s="16">
        <f>IF(NOT(Paths!$C$12=1),0,IF(Paths!$P$12="Complete",IF(C69=10,Paths!$I$12,0),"n.a."))</f>
        <v>0</v>
      </c>
      <c r="M69" s="16">
        <f>IF(NOT(Paths!$C$12=1),0,IF(Paths!$P$12="Complete",IF(AND(Paths!$D$12="EV",Paths!$E$12&lt;120,Paths!$E$12+'Operating costs'!$B$65&gt;Paths!$E$12,Paths!$E$12+'Operating costs'!$B$65&lt;=120,IF(Paths!$E$12+'Operating costs'!$B$65=0,C69=0,AND(C69&gt;0,Paths!$E$12+'Operating costs'!$B$65&gt;(C69-1)*12,Paths!$E$12+'Operating costs'!$B$65&lt;=C69*12))),'Operating costs'!$B$64,0)+IF(AND('Operating costs'!$B$67&gt;0,'Operating costs'!$B$67&lt;=120,OR(Paths!$D$12="ICE",'Operating costs'!$B$67&lt;=Paths!$E$12),IF('Operating costs'!$B$67=0,C69=0,AND(C69&gt;0,'Operating costs'!$B$67&gt;(C69-1)*12,'Operating costs'!$B$67&lt;=C69*12))),'Operating costs'!$B$66,0),"n.a."))</f>
        <v>0</v>
      </c>
      <c r="N69" s="16">
        <f>IF(NOT(Paths!$C$12=1),0,IF(Paths!$P$12="Complete",SUM(G69:I69)-J69-K69-L69+M69+IF(C69=0,Paths!$F$12,0)+IF(IF(Paths!$E$12=0,C69=0,AND(C69&gt;0,Paths!$E$12&gt;(C69-1)*12,Paths!$E$12&lt;=C69*12)),VLOOKUP(A69,'Fleet register'!$A$7:$S$106,16,FALSE),0),"n.a."))</f>
        <v>18151.349999999999</v>
      </c>
      <c r="O69" s="16">
        <f>IF(NOT(Paths!$C$12=1),0,IF(Paths!$P$12="Complete",N69-IF(C69=0,Paths!$F$12,0),"n.a."))</f>
        <v>18151.349999999999</v>
      </c>
      <c r="P69" s="16">
        <f>IF(NOT(Paths!$C$12=1),0,IF(Paths!$P$12="Complete",O69+L69,"n.a."))</f>
        <v>18151.349999999999</v>
      </c>
      <c r="Q69" s="16">
        <f>IF(NOT(Paths!$C$12=1),0,IF(Paths!$P$12="Complete",N69*(1+'Operating costs'!$B$54)^-C69,"n.a."))</f>
        <v>18151.349999999999</v>
      </c>
      <c r="R69" s="16">
        <f>IF(NOT(Paths!$C$12=1),0,IF(Paths!$P$12="Complete",IF(AND(C69=0,Paths!$E$12=0),I69-J69-K69+VLOOKUP(A69,'Fleet register'!$A$7:$S$106,15,FALSE)+VLOOKUP(A69,'Fleet register'!$A$7:$S$106,16,FALSE),0),"n.a."))</f>
        <v>0</v>
      </c>
      <c r="S69" s="1">
        <f>IF(NOT(Paths!$C$12=1),0,IF(Paths!$P$12="Complete",IF(C69=0,0,Paths!$S$12*Paths!$R$12),"n.a."))</f>
        <v>45000</v>
      </c>
      <c r="T69" s="1">
        <f>IF(NOT(Paths!$C$12=1),0,IF(Paths!$P$12="Complete",IF(C69=0,0,VLOOKUP(A69,'Fleet register'!$A$7:$S$106,9,FALSE)*Paths!$R$12),"n.a."))</f>
        <v>7200</v>
      </c>
    </row>
    <row r="70" spans="1:20" ht="24" customHeight="1">
      <c r="A70" s="1" t="str">
        <f>Paths!$A$12</f>
        <v>T002</v>
      </c>
      <c r="B70" s="1">
        <f>Paths!$B$12</f>
        <v>1</v>
      </c>
      <c r="C70" s="1">
        <v>8</v>
      </c>
      <c r="D70" s="1">
        <v>12</v>
      </c>
      <c r="E70" s="1">
        <f>IF(OR(Paths!$C$12=0,C70=0),0,MAX(0,MIN(C70*12,Paths!$E$12)-(C70-1)*12))</f>
        <v>0</v>
      </c>
      <c r="F70" s="1">
        <f>IF(OR(Paths!$C$12=0,C70=0),0,12-E70)</f>
        <v>12</v>
      </c>
      <c r="G70" s="16">
        <f>IF(NOT(Paths!$C$12=1),0,IF(Paths!$P$12="Complete",E70/12*(Paths!$J$12*(1+'Operating costs'!$B$51)^MAX(0,C70-1)+Paths!$K$12*(1+'Operating costs'!$B$53)^MAX(0,C70-1)),"n.a."))</f>
        <v>0</v>
      </c>
      <c r="H70" s="16">
        <f>IF(NOT(Paths!$C$12=1),0,IF(Paths!$P$12="Complete",F70/12*(Paths!$L$12*(1+IF(Paths!$D$12="EV",'Operating costs'!$B$52,'Operating costs'!$B$51))^MAX(0,C70-1)+Paths!$M$12*(1+'Operating costs'!$B$53)^MAX(0,C70-1)),"n.a."))</f>
        <v>18151.349999999999</v>
      </c>
      <c r="I70" s="16">
        <f>IF(NOT(Paths!$C$12=1),0,IF(Paths!$P$12="Complete",IF(IF(Paths!$E$12=0,C70=0,AND(C70&gt;0,Paths!$E$12&gt;(C70-1)*12,Paths!$E$12&lt;=C70*12)),Paths!$G$12,0),"n.a."))</f>
        <v>0</v>
      </c>
      <c r="J70" s="16">
        <f>IF(NOT(Paths!$C$12=1),0,IF(Paths!$P$12="Complete",IF(IF(Paths!$E$12=0,C70=0,AND(C70&gt;0,Paths!$E$12&gt;(C70-1)*12,Paths!$E$12&lt;=C70*12)),Paths!$H$12,0),"n.a."))</f>
        <v>0</v>
      </c>
      <c r="K70" s="16">
        <f>IF(NOT(Paths!$C$12=1),0,IF(Paths!$P$12="Complete",IF(IF(Paths!$O$12=0,C70=0,AND(C70&gt;0,Paths!$O$12&gt;(C70-1)*12,Paths!$O$12&lt;=C70*12)),Paths!$N$12,0),"n.a."))</f>
        <v>0</v>
      </c>
      <c r="L70" s="16">
        <f>IF(NOT(Paths!$C$12=1),0,IF(Paths!$P$12="Complete",IF(C70=10,Paths!$I$12,0),"n.a."))</f>
        <v>0</v>
      </c>
      <c r="M70" s="16">
        <f>IF(NOT(Paths!$C$12=1),0,IF(Paths!$P$12="Complete",IF(AND(Paths!$D$12="EV",Paths!$E$12&lt;120,Paths!$E$12+'Operating costs'!$B$65&gt;Paths!$E$12,Paths!$E$12+'Operating costs'!$B$65&lt;=120,IF(Paths!$E$12+'Operating costs'!$B$65=0,C70=0,AND(C70&gt;0,Paths!$E$12+'Operating costs'!$B$65&gt;(C70-1)*12,Paths!$E$12+'Operating costs'!$B$65&lt;=C70*12))),'Operating costs'!$B$64,0)+IF(AND('Operating costs'!$B$67&gt;0,'Operating costs'!$B$67&lt;=120,OR(Paths!$D$12="ICE",'Operating costs'!$B$67&lt;=Paths!$E$12),IF('Operating costs'!$B$67=0,C70=0,AND(C70&gt;0,'Operating costs'!$B$67&gt;(C70-1)*12,'Operating costs'!$B$67&lt;=C70*12))),'Operating costs'!$B$66,0),"n.a."))</f>
        <v>0</v>
      </c>
      <c r="N70" s="16">
        <f>IF(NOT(Paths!$C$12=1),0,IF(Paths!$P$12="Complete",SUM(G70:I70)-J70-K70-L70+M70+IF(C70=0,Paths!$F$12,0)+IF(IF(Paths!$E$12=0,C70=0,AND(C70&gt;0,Paths!$E$12&gt;(C70-1)*12,Paths!$E$12&lt;=C70*12)),VLOOKUP(A70,'Fleet register'!$A$7:$S$106,16,FALSE),0),"n.a."))</f>
        <v>18151.349999999999</v>
      </c>
      <c r="O70" s="16">
        <f>IF(NOT(Paths!$C$12=1),0,IF(Paths!$P$12="Complete",N70-IF(C70=0,Paths!$F$12,0),"n.a."))</f>
        <v>18151.349999999999</v>
      </c>
      <c r="P70" s="16">
        <f>IF(NOT(Paths!$C$12=1),0,IF(Paths!$P$12="Complete",O70+L70,"n.a."))</f>
        <v>18151.349999999999</v>
      </c>
      <c r="Q70" s="16">
        <f>IF(NOT(Paths!$C$12=1),0,IF(Paths!$P$12="Complete",N70*(1+'Operating costs'!$B$54)^-C70,"n.a."))</f>
        <v>18151.349999999999</v>
      </c>
      <c r="R70" s="16">
        <f>IF(NOT(Paths!$C$12=1),0,IF(Paths!$P$12="Complete",IF(AND(C70=0,Paths!$E$12=0),I70-J70-K70+VLOOKUP(A70,'Fleet register'!$A$7:$S$106,15,FALSE)+VLOOKUP(A70,'Fleet register'!$A$7:$S$106,16,FALSE),0),"n.a."))</f>
        <v>0</v>
      </c>
      <c r="S70" s="1">
        <f>IF(NOT(Paths!$C$12=1),0,IF(Paths!$P$12="Complete",IF(C70=0,0,Paths!$S$12*Paths!$R$12),"n.a."))</f>
        <v>45000</v>
      </c>
      <c r="T70" s="1">
        <f>IF(NOT(Paths!$C$12=1),0,IF(Paths!$P$12="Complete",IF(C70=0,0,VLOOKUP(A70,'Fleet register'!$A$7:$S$106,9,FALSE)*Paths!$R$12),"n.a."))</f>
        <v>7200</v>
      </c>
    </row>
    <row r="71" spans="1:20" ht="24" customHeight="1">
      <c r="A71" s="1" t="str">
        <f>Paths!$A$12</f>
        <v>T002</v>
      </c>
      <c r="B71" s="1">
        <f>Paths!$B$12</f>
        <v>1</v>
      </c>
      <c r="C71" s="1">
        <v>9</v>
      </c>
      <c r="D71" s="1">
        <v>12</v>
      </c>
      <c r="E71" s="1">
        <f>IF(OR(Paths!$C$12=0,C71=0),0,MAX(0,MIN(C71*12,Paths!$E$12)-(C71-1)*12))</f>
        <v>0</v>
      </c>
      <c r="F71" s="1">
        <f>IF(OR(Paths!$C$12=0,C71=0),0,12-E71)</f>
        <v>12</v>
      </c>
      <c r="G71" s="16">
        <f>IF(NOT(Paths!$C$12=1),0,IF(Paths!$P$12="Complete",E71/12*(Paths!$J$12*(1+'Operating costs'!$B$51)^MAX(0,C71-1)+Paths!$K$12*(1+'Operating costs'!$B$53)^MAX(0,C71-1)),"n.a."))</f>
        <v>0</v>
      </c>
      <c r="H71" s="16">
        <f>IF(NOT(Paths!$C$12=1),0,IF(Paths!$P$12="Complete",F71/12*(Paths!$L$12*(1+IF(Paths!$D$12="EV",'Operating costs'!$B$52,'Operating costs'!$B$51))^MAX(0,C71-1)+Paths!$M$12*(1+'Operating costs'!$B$53)^MAX(0,C71-1)),"n.a."))</f>
        <v>18151.349999999999</v>
      </c>
      <c r="I71" s="16">
        <f>IF(NOT(Paths!$C$12=1),0,IF(Paths!$P$12="Complete",IF(IF(Paths!$E$12=0,C71=0,AND(C71&gt;0,Paths!$E$12&gt;(C71-1)*12,Paths!$E$12&lt;=C71*12)),Paths!$G$12,0),"n.a."))</f>
        <v>0</v>
      </c>
      <c r="J71" s="16">
        <f>IF(NOT(Paths!$C$12=1),0,IF(Paths!$P$12="Complete",IF(IF(Paths!$E$12=0,C71=0,AND(C71&gt;0,Paths!$E$12&gt;(C71-1)*12,Paths!$E$12&lt;=C71*12)),Paths!$H$12,0),"n.a."))</f>
        <v>0</v>
      </c>
      <c r="K71" s="16">
        <f>IF(NOT(Paths!$C$12=1),0,IF(Paths!$P$12="Complete",IF(IF(Paths!$O$12=0,C71=0,AND(C71&gt;0,Paths!$O$12&gt;(C71-1)*12,Paths!$O$12&lt;=C71*12)),Paths!$N$12,0),"n.a."))</f>
        <v>0</v>
      </c>
      <c r="L71" s="16">
        <f>IF(NOT(Paths!$C$12=1),0,IF(Paths!$P$12="Complete",IF(C71=10,Paths!$I$12,0),"n.a."))</f>
        <v>0</v>
      </c>
      <c r="M71" s="16">
        <f>IF(NOT(Paths!$C$12=1),0,IF(Paths!$P$12="Complete",IF(AND(Paths!$D$12="EV",Paths!$E$12&lt;120,Paths!$E$12+'Operating costs'!$B$65&gt;Paths!$E$12,Paths!$E$12+'Operating costs'!$B$65&lt;=120,IF(Paths!$E$12+'Operating costs'!$B$65=0,C71=0,AND(C71&gt;0,Paths!$E$12+'Operating costs'!$B$65&gt;(C71-1)*12,Paths!$E$12+'Operating costs'!$B$65&lt;=C71*12))),'Operating costs'!$B$64,0)+IF(AND('Operating costs'!$B$67&gt;0,'Operating costs'!$B$67&lt;=120,OR(Paths!$D$12="ICE",'Operating costs'!$B$67&lt;=Paths!$E$12),IF('Operating costs'!$B$67=0,C71=0,AND(C71&gt;0,'Operating costs'!$B$67&gt;(C71-1)*12,'Operating costs'!$B$67&lt;=C71*12))),'Operating costs'!$B$66,0),"n.a."))</f>
        <v>0</v>
      </c>
      <c r="N71" s="16">
        <f>IF(NOT(Paths!$C$12=1),0,IF(Paths!$P$12="Complete",SUM(G71:I71)-J71-K71-L71+M71+IF(C71=0,Paths!$F$12,0)+IF(IF(Paths!$E$12=0,C71=0,AND(C71&gt;0,Paths!$E$12&gt;(C71-1)*12,Paths!$E$12&lt;=C71*12)),VLOOKUP(A71,'Fleet register'!$A$7:$S$106,16,FALSE),0),"n.a."))</f>
        <v>18151.349999999999</v>
      </c>
      <c r="O71" s="16">
        <f>IF(NOT(Paths!$C$12=1),0,IF(Paths!$P$12="Complete",N71-IF(C71=0,Paths!$F$12,0),"n.a."))</f>
        <v>18151.349999999999</v>
      </c>
      <c r="P71" s="16">
        <f>IF(NOT(Paths!$C$12=1),0,IF(Paths!$P$12="Complete",O71+L71,"n.a."))</f>
        <v>18151.349999999999</v>
      </c>
      <c r="Q71" s="16">
        <f>IF(NOT(Paths!$C$12=1),0,IF(Paths!$P$12="Complete",N71*(1+'Operating costs'!$B$54)^-C71,"n.a."))</f>
        <v>18151.349999999999</v>
      </c>
      <c r="R71" s="16">
        <f>IF(NOT(Paths!$C$12=1),0,IF(Paths!$P$12="Complete",IF(AND(C71=0,Paths!$E$12=0),I71-J71-K71+VLOOKUP(A71,'Fleet register'!$A$7:$S$106,15,FALSE)+VLOOKUP(A71,'Fleet register'!$A$7:$S$106,16,FALSE),0),"n.a."))</f>
        <v>0</v>
      </c>
      <c r="S71" s="1">
        <f>IF(NOT(Paths!$C$12=1),0,IF(Paths!$P$12="Complete",IF(C71=0,0,Paths!$S$12*Paths!$R$12),"n.a."))</f>
        <v>45000</v>
      </c>
      <c r="T71" s="1">
        <f>IF(NOT(Paths!$C$12=1),0,IF(Paths!$P$12="Complete",IF(C71=0,0,VLOOKUP(A71,'Fleet register'!$A$7:$S$106,9,FALSE)*Paths!$R$12),"n.a."))</f>
        <v>7200</v>
      </c>
    </row>
    <row r="72" spans="1:20" ht="24" customHeight="1">
      <c r="A72" s="1" t="str">
        <f>Paths!$A$12</f>
        <v>T002</v>
      </c>
      <c r="B72" s="1">
        <f>Paths!$B$12</f>
        <v>1</v>
      </c>
      <c r="C72" s="1">
        <v>10</v>
      </c>
      <c r="D72" s="1">
        <v>12</v>
      </c>
      <c r="E72" s="1">
        <f>IF(OR(Paths!$C$12=0,C72=0),0,MAX(0,MIN(C72*12,Paths!$E$12)-(C72-1)*12))</f>
        <v>0</v>
      </c>
      <c r="F72" s="1">
        <f>IF(OR(Paths!$C$12=0,C72=0),0,12-E72)</f>
        <v>12</v>
      </c>
      <c r="G72" s="16">
        <f>IF(NOT(Paths!$C$12=1),0,IF(Paths!$P$12="Complete",E72/12*(Paths!$J$12*(1+'Operating costs'!$B$51)^MAX(0,C72-1)+Paths!$K$12*(1+'Operating costs'!$B$53)^MAX(0,C72-1)),"n.a."))</f>
        <v>0</v>
      </c>
      <c r="H72" s="16">
        <f>IF(NOT(Paths!$C$12=1),0,IF(Paths!$P$12="Complete",F72/12*(Paths!$L$12*(1+IF(Paths!$D$12="EV",'Operating costs'!$B$52,'Operating costs'!$B$51))^MAX(0,C72-1)+Paths!$M$12*(1+'Operating costs'!$B$53)^MAX(0,C72-1)),"n.a."))</f>
        <v>18151.349999999999</v>
      </c>
      <c r="I72" s="16">
        <f>IF(NOT(Paths!$C$12=1),0,IF(Paths!$P$12="Complete",IF(IF(Paths!$E$12=0,C72=0,AND(C72&gt;0,Paths!$E$12&gt;(C72-1)*12,Paths!$E$12&lt;=C72*12)),Paths!$G$12,0),"n.a."))</f>
        <v>0</v>
      </c>
      <c r="J72" s="16">
        <f>IF(NOT(Paths!$C$12=1),0,IF(Paths!$P$12="Complete",IF(IF(Paths!$E$12=0,C72=0,AND(C72&gt;0,Paths!$E$12&gt;(C72-1)*12,Paths!$E$12&lt;=C72*12)),Paths!$H$12,0),"n.a."))</f>
        <v>0</v>
      </c>
      <c r="K72" s="16">
        <f>IF(NOT(Paths!$C$12=1),0,IF(Paths!$P$12="Complete",IF(IF(Paths!$O$12=0,C72=0,AND(C72&gt;0,Paths!$O$12&gt;(C72-1)*12,Paths!$O$12&lt;=C72*12)),Paths!$N$12,0),"n.a."))</f>
        <v>0</v>
      </c>
      <c r="L72" s="16">
        <f>IF(NOT(Paths!$C$12=1),0,IF(Paths!$P$12="Complete",IF(C72=10,Paths!$I$12,0),"n.a."))</f>
        <v>12000</v>
      </c>
      <c r="M72" s="16">
        <f>IF(NOT(Paths!$C$12=1),0,IF(Paths!$P$12="Complete",IF(AND(Paths!$D$12="EV",Paths!$E$12&lt;120,Paths!$E$12+'Operating costs'!$B$65&gt;Paths!$E$12,Paths!$E$12+'Operating costs'!$B$65&lt;=120,IF(Paths!$E$12+'Operating costs'!$B$65=0,C72=0,AND(C72&gt;0,Paths!$E$12+'Operating costs'!$B$65&gt;(C72-1)*12,Paths!$E$12+'Operating costs'!$B$65&lt;=C72*12))),'Operating costs'!$B$64,0)+IF(AND('Operating costs'!$B$67&gt;0,'Operating costs'!$B$67&lt;=120,OR(Paths!$D$12="ICE",'Operating costs'!$B$67&lt;=Paths!$E$12),IF('Operating costs'!$B$67=0,C72=0,AND(C72&gt;0,'Operating costs'!$B$67&gt;(C72-1)*12,'Operating costs'!$B$67&lt;=C72*12))),'Operating costs'!$B$66,0),"n.a."))</f>
        <v>0</v>
      </c>
      <c r="N72" s="16">
        <f>IF(NOT(Paths!$C$12=1),0,IF(Paths!$P$12="Complete",SUM(G72:I72)-J72-K72-L72+M72+IF(C72=0,Paths!$F$12,0)+IF(IF(Paths!$E$12=0,C72=0,AND(C72&gt;0,Paths!$E$12&gt;(C72-1)*12,Paths!$E$12&lt;=C72*12)),VLOOKUP(A72,'Fleet register'!$A$7:$S$106,16,FALSE),0),"n.a."))</f>
        <v>6151.3499999999985</v>
      </c>
      <c r="O72" s="16">
        <f>IF(NOT(Paths!$C$12=1),0,IF(Paths!$P$12="Complete",N72-IF(C72=0,Paths!$F$12,0),"n.a."))</f>
        <v>6151.3499999999985</v>
      </c>
      <c r="P72" s="16">
        <f>IF(NOT(Paths!$C$12=1),0,IF(Paths!$P$12="Complete",O72+L72,"n.a."))</f>
        <v>18151.349999999999</v>
      </c>
      <c r="Q72" s="16">
        <f>IF(NOT(Paths!$C$12=1),0,IF(Paths!$P$12="Complete",N72*(1+'Operating costs'!$B$54)^-C72,"n.a."))</f>
        <v>6151.3499999999985</v>
      </c>
      <c r="R72" s="16">
        <f>IF(NOT(Paths!$C$12=1),0,IF(Paths!$P$12="Complete",IF(AND(C72=0,Paths!$E$12=0),I72-J72-K72+VLOOKUP(A72,'Fleet register'!$A$7:$S$106,15,FALSE)+VLOOKUP(A72,'Fleet register'!$A$7:$S$106,16,FALSE),0),"n.a."))</f>
        <v>0</v>
      </c>
      <c r="S72" s="1">
        <f>IF(NOT(Paths!$C$12=1),0,IF(Paths!$P$12="Complete",IF(C72=0,0,Paths!$S$12*Paths!$R$12),"n.a."))</f>
        <v>45000</v>
      </c>
      <c r="T72" s="1">
        <f>IF(NOT(Paths!$C$12=1),0,IF(Paths!$P$12="Complete",IF(C72=0,0,VLOOKUP(A72,'Fleet register'!$A$7:$S$106,9,FALSE)*Paths!$R$12),"n.a."))</f>
        <v>7200</v>
      </c>
    </row>
    <row r="73" spans="1:20" ht="24" customHeight="1">
      <c r="A73" s="1" t="str">
        <f>Paths!$A$13</f>
        <v>T002</v>
      </c>
      <c r="B73" s="1">
        <f>Paths!$B$13</f>
        <v>2</v>
      </c>
      <c r="C73" s="1">
        <v>0</v>
      </c>
      <c r="D73" s="1">
        <v>13</v>
      </c>
      <c r="E73" s="1">
        <f>IF(OR(Paths!$C$13=0,C73=0),0,MAX(0,MIN(C73*12,Paths!$E$13)-(C73-1)*12))</f>
        <v>0</v>
      </c>
      <c r="F73" s="1">
        <f>IF(OR(Paths!$C$13=0,C73=0),0,12-E73)</f>
        <v>0</v>
      </c>
      <c r="G73" s="16">
        <f>IF(NOT(Paths!$C$13=1),0,IF(Paths!$P$13="Complete",E73/12*(Paths!$J$13*(1+'Operating costs'!$B$51)^MAX(0,C73-1)+Paths!$K$13*(1+'Operating costs'!$B$53)^MAX(0,C73-1)),"n.a."))</f>
        <v>0</v>
      </c>
      <c r="H73" s="16">
        <f>IF(NOT(Paths!$C$13=1),0,IF(Paths!$P$13="Complete",F73/12*(Paths!$L$13*(1+IF(Paths!$D$13="EV",'Operating costs'!$B$52,'Operating costs'!$B$51))^MAX(0,C73-1)+Paths!$M$13*(1+'Operating costs'!$B$53)^MAX(0,C73-1)),"n.a."))</f>
        <v>0</v>
      </c>
      <c r="I73" s="16">
        <f>IF(NOT(Paths!$C$13=1),0,IF(Paths!$P$13="Complete",IF(IF(Paths!$E$13=0,C73=0,AND(C73&gt;0,Paths!$E$13&gt;(C73-1)*12,Paths!$E$13&lt;=C73*12)),Paths!$G$13,0),"n.a."))</f>
        <v>0</v>
      </c>
      <c r="J73" s="16">
        <f>IF(NOT(Paths!$C$13=1),0,IF(Paths!$P$13="Complete",IF(IF(Paths!$E$13=0,C73=0,AND(C73&gt;0,Paths!$E$13&gt;(C73-1)*12,Paths!$E$13&lt;=C73*12)),Paths!$H$13,0),"n.a."))</f>
        <v>0</v>
      </c>
      <c r="K73" s="16">
        <f>IF(NOT(Paths!$C$13=1),0,IF(Paths!$P$13="Complete",IF(IF(Paths!$O$13=0,C73=0,AND(C73&gt;0,Paths!$O$13&gt;(C73-1)*12,Paths!$O$13&lt;=C73*12)),Paths!$N$13,0),"n.a."))</f>
        <v>0</v>
      </c>
      <c r="L73" s="16">
        <f>IF(NOT(Paths!$C$13=1),0,IF(Paths!$P$13="Complete",IF(C73=10,Paths!$I$13,0),"n.a."))</f>
        <v>0</v>
      </c>
      <c r="M73" s="16">
        <f>IF(NOT(Paths!$C$13=1),0,IF(Paths!$P$13="Complete",IF(AND(Paths!$D$13="EV",Paths!$E$13&lt;120,Paths!$E$13+'Operating costs'!$B$65&gt;Paths!$E$13,Paths!$E$13+'Operating costs'!$B$65&lt;=120,IF(Paths!$E$13+'Operating costs'!$B$65=0,C73=0,AND(C73&gt;0,Paths!$E$13+'Operating costs'!$B$65&gt;(C73-1)*12,Paths!$E$13+'Operating costs'!$B$65&lt;=C73*12))),'Operating costs'!$B$64,0)+IF(AND('Operating costs'!$B$67&gt;0,'Operating costs'!$B$67&lt;=120,OR(Paths!$D$13="ICE",'Operating costs'!$B$67&lt;=Paths!$E$13),IF('Operating costs'!$B$67=0,C73=0,AND(C73&gt;0,'Operating costs'!$B$67&gt;(C73-1)*12,'Operating costs'!$B$67&lt;=C73*12))),'Operating costs'!$B$66,0),"n.a."))</f>
        <v>0</v>
      </c>
      <c r="N73" s="16">
        <f>IF(NOT(Paths!$C$13=1),0,IF(Paths!$P$13="Complete",SUM(G73:I73)-J73-K73-L73+M73+IF(C73=0,Paths!$F$13,0)+IF(IF(Paths!$E$13=0,C73=0,AND(C73&gt;0,Paths!$E$13&gt;(C73-1)*12,Paths!$E$13&lt;=C73*12)),VLOOKUP(A73,'Fleet register'!$A$7:$S$106,16,FALSE),0),"n.a."))</f>
        <v>30000</v>
      </c>
      <c r="O73" s="16">
        <f>IF(NOT(Paths!$C$13=1),0,IF(Paths!$P$13="Complete",N73-IF(C73=0,Paths!$F$13,0),"n.a."))</f>
        <v>0</v>
      </c>
      <c r="P73" s="16">
        <f>IF(NOT(Paths!$C$13=1),0,IF(Paths!$P$13="Complete",O73+L73,"n.a."))</f>
        <v>0</v>
      </c>
      <c r="Q73" s="16">
        <f>IF(NOT(Paths!$C$13=1),0,IF(Paths!$P$13="Complete",N73*(1+'Operating costs'!$B$54)^-C73,"n.a."))</f>
        <v>30000</v>
      </c>
      <c r="R73" s="16">
        <f>IF(NOT(Paths!$C$13=1),0,IF(Paths!$P$13="Complete",IF(AND(C73=0,Paths!$E$13=0),I73-J73-K73+VLOOKUP(A73,'Fleet register'!$A$7:$S$106,15,FALSE)+VLOOKUP(A73,'Fleet register'!$A$7:$S$106,16,FALSE),0),"n.a."))</f>
        <v>0</v>
      </c>
      <c r="S73" s="1">
        <f>IF(NOT(Paths!$C$13=1),0,IF(Paths!$P$13="Complete",IF(C73=0,0,Paths!$S$13*Paths!$R$13),"n.a."))</f>
        <v>0</v>
      </c>
      <c r="T73" s="1">
        <f>IF(NOT(Paths!$C$13=1),0,IF(Paths!$P$13="Complete",IF(C73=0,0,VLOOKUP(A73,'Fleet register'!$A$7:$S$106,9,FALSE)*Paths!$R$13),"n.a."))</f>
        <v>0</v>
      </c>
    </row>
    <row r="74" spans="1:20" ht="24" customHeight="1">
      <c r="A74" s="1" t="str">
        <f>Paths!$A$13</f>
        <v>T002</v>
      </c>
      <c r="B74" s="1">
        <f>Paths!$B$13</f>
        <v>2</v>
      </c>
      <c r="C74" s="1">
        <v>1</v>
      </c>
      <c r="D74" s="1">
        <v>13</v>
      </c>
      <c r="E74" s="1">
        <f>IF(OR(Paths!$C$13=0,C74=0),0,MAX(0,MIN(C74*12,Paths!$E$13)-(C74-1)*12))</f>
        <v>12</v>
      </c>
      <c r="F74" s="1">
        <f>IF(OR(Paths!$C$13=0,C74=0),0,12-E74)</f>
        <v>0</v>
      </c>
      <c r="G74" s="16">
        <f>IF(NOT(Paths!$C$13=1),0,IF(Paths!$P$13="Complete",E74/12*(Paths!$J$13*(1+'Operating costs'!$B$51)^MAX(0,C74-1)+Paths!$K$13*(1+'Operating costs'!$B$53)^MAX(0,C74-1)),"n.a."))</f>
        <v>18151.349999999999</v>
      </c>
      <c r="H74" s="16">
        <f>IF(NOT(Paths!$C$13=1),0,IF(Paths!$P$13="Complete",F74/12*(Paths!$L$13*(1+IF(Paths!$D$13="EV",'Operating costs'!$B$52,'Operating costs'!$B$51))^MAX(0,C74-1)+Paths!$M$13*(1+'Operating costs'!$B$53)^MAX(0,C74-1)),"n.a."))</f>
        <v>0</v>
      </c>
      <c r="I74" s="16">
        <f>IF(NOT(Paths!$C$13=1),0,IF(Paths!$P$13="Complete",IF(IF(Paths!$E$13=0,C74=0,AND(C74&gt;0,Paths!$E$13&gt;(C74-1)*12,Paths!$E$13&lt;=C74*12)),Paths!$G$13,0),"n.a."))</f>
        <v>0</v>
      </c>
      <c r="J74" s="16">
        <f>IF(NOT(Paths!$C$13=1),0,IF(Paths!$P$13="Complete",IF(IF(Paths!$E$13=0,C74=0,AND(C74&gt;0,Paths!$E$13&gt;(C74-1)*12,Paths!$E$13&lt;=C74*12)),Paths!$H$13,0),"n.a."))</f>
        <v>0</v>
      </c>
      <c r="K74" s="16">
        <f>IF(NOT(Paths!$C$13=1),0,IF(Paths!$P$13="Complete",IF(IF(Paths!$O$13=0,C74=0,AND(C74&gt;0,Paths!$O$13&gt;(C74-1)*12,Paths!$O$13&lt;=C74*12)),Paths!$N$13,0),"n.a."))</f>
        <v>0</v>
      </c>
      <c r="L74" s="16">
        <f>IF(NOT(Paths!$C$13=1),0,IF(Paths!$P$13="Complete",IF(C74=10,Paths!$I$13,0),"n.a."))</f>
        <v>0</v>
      </c>
      <c r="M74" s="16">
        <f>IF(NOT(Paths!$C$13=1),0,IF(Paths!$P$13="Complete",IF(AND(Paths!$D$13="EV",Paths!$E$13&lt;120,Paths!$E$13+'Operating costs'!$B$65&gt;Paths!$E$13,Paths!$E$13+'Operating costs'!$B$65&lt;=120,IF(Paths!$E$13+'Operating costs'!$B$65=0,C74=0,AND(C74&gt;0,Paths!$E$13+'Operating costs'!$B$65&gt;(C74-1)*12,Paths!$E$13+'Operating costs'!$B$65&lt;=C74*12))),'Operating costs'!$B$64,0)+IF(AND('Operating costs'!$B$67&gt;0,'Operating costs'!$B$67&lt;=120,OR(Paths!$D$13="ICE",'Operating costs'!$B$67&lt;=Paths!$E$13),IF('Operating costs'!$B$67=0,C74=0,AND(C74&gt;0,'Operating costs'!$B$67&gt;(C74-1)*12,'Operating costs'!$B$67&lt;=C74*12))),'Operating costs'!$B$66,0),"n.a."))</f>
        <v>0</v>
      </c>
      <c r="N74" s="16">
        <f>IF(NOT(Paths!$C$13=1),0,IF(Paths!$P$13="Complete",SUM(G74:I74)-J74-K74-L74+M74+IF(C74=0,Paths!$F$13,0)+IF(IF(Paths!$E$13=0,C74=0,AND(C74&gt;0,Paths!$E$13&gt;(C74-1)*12,Paths!$E$13&lt;=C74*12)),VLOOKUP(A74,'Fleet register'!$A$7:$S$106,16,FALSE),0),"n.a."))</f>
        <v>18151.349999999999</v>
      </c>
      <c r="O74" s="16">
        <f>IF(NOT(Paths!$C$13=1),0,IF(Paths!$P$13="Complete",N74-IF(C74=0,Paths!$F$13,0),"n.a."))</f>
        <v>18151.349999999999</v>
      </c>
      <c r="P74" s="16">
        <f>IF(NOT(Paths!$C$13=1),0,IF(Paths!$P$13="Complete",O74+L74,"n.a."))</f>
        <v>18151.349999999999</v>
      </c>
      <c r="Q74" s="16">
        <f>IF(NOT(Paths!$C$13=1),0,IF(Paths!$P$13="Complete",N74*(1+'Operating costs'!$B$54)^-C74,"n.a."))</f>
        <v>18151.349999999999</v>
      </c>
      <c r="R74" s="16">
        <f>IF(NOT(Paths!$C$13=1),0,IF(Paths!$P$13="Complete",IF(AND(C74=0,Paths!$E$13=0),I74-J74-K74+VLOOKUP(A74,'Fleet register'!$A$7:$S$106,15,FALSE)+VLOOKUP(A74,'Fleet register'!$A$7:$S$106,16,FALSE),0),"n.a."))</f>
        <v>0</v>
      </c>
      <c r="S74" s="1">
        <f>IF(NOT(Paths!$C$13=1),0,IF(Paths!$P$13="Complete",IF(C74=0,0,Paths!$S$13*Paths!$R$13),"n.a."))</f>
        <v>45000</v>
      </c>
      <c r="T74" s="1">
        <f>IF(NOT(Paths!$C$13=1),0,IF(Paths!$P$13="Complete",IF(C74=0,0,VLOOKUP(A74,'Fleet register'!$A$7:$S$106,9,FALSE)*Paths!$R$13),"n.a."))</f>
        <v>7200</v>
      </c>
    </row>
    <row r="75" spans="1:20" ht="24" customHeight="1">
      <c r="A75" s="1" t="str">
        <f>Paths!$A$13</f>
        <v>T002</v>
      </c>
      <c r="B75" s="1">
        <f>Paths!$B$13</f>
        <v>2</v>
      </c>
      <c r="C75" s="1">
        <v>2</v>
      </c>
      <c r="D75" s="1">
        <v>13</v>
      </c>
      <c r="E75" s="1">
        <f>IF(OR(Paths!$C$13=0,C75=0),0,MAX(0,MIN(C75*12,Paths!$E$13)-(C75-1)*12))</f>
        <v>12</v>
      </c>
      <c r="F75" s="1">
        <f>IF(OR(Paths!$C$13=0,C75=0),0,12-E75)</f>
        <v>0</v>
      </c>
      <c r="G75" s="16">
        <f>IF(NOT(Paths!$C$13=1),0,IF(Paths!$P$13="Complete",E75/12*(Paths!$J$13*(1+'Operating costs'!$B$51)^MAX(0,C75-1)+Paths!$K$13*(1+'Operating costs'!$B$53)^MAX(0,C75-1)),"n.a."))</f>
        <v>18151.349999999999</v>
      </c>
      <c r="H75" s="16">
        <f>IF(NOT(Paths!$C$13=1),0,IF(Paths!$P$13="Complete",F75/12*(Paths!$L$13*(1+IF(Paths!$D$13="EV",'Operating costs'!$B$52,'Operating costs'!$B$51))^MAX(0,C75-1)+Paths!$M$13*(1+'Operating costs'!$B$53)^MAX(0,C75-1)),"n.a."))</f>
        <v>0</v>
      </c>
      <c r="I75" s="16">
        <f>IF(NOT(Paths!$C$13=1),0,IF(Paths!$P$13="Complete",IF(IF(Paths!$E$13=0,C75=0,AND(C75&gt;0,Paths!$E$13&gt;(C75-1)*12,Paths!$E$13&lt;=C75*12)),Paths!$G$13,0),"n.a."))</f>
        <v>181000</v>
      </c>
      <c r="J75" s="16">
        <f>IF(NOT(Paths!$C$13=1),0,IF(Paths!$P$13="Complete",IF(IF(Paths!$E$13=0,C75=0,AND(C75&gt;0,Paths!$E$13&gt;(C75-1)*12,Paths!$E$13&lt;=C75*12)),Paths!$H$13,0),"n.a."))</f>
        <v>10000</v>
      </c>
      <c r="K75" s="16">
        <f>IF(NOT(Paths!$C$13=1),0,IF(Paths!$P$13="Complete",IF(IF(Paths!$O$13=0,C75=0,AND(C75&gt;0,Paths!$O$13&gt;(C75-1)*12,Paths!$O$13&lt;=C75*12)),Paths!$N$13,0),"n.a."))</f>
        <v>0</v>
      </c>
      <c r="L75" s="16">
        <f>IF(NOT(Paths!$C$13=1),0,IF(Paths!$P$13="Complete",IF(C75=10,Paths!$I$13,0),"n.a."))</f>
        <v>0</v>
      </c>
      <c r="M75" s="16">
        <f>IF(NOT(Paths!$C$13=1),0,IF(Paths!$P$13="Complete",IF(AND(Paths!$D$13="EV",Paths!$E$13&lt;120,Paths!$E$13+'Operating costs'!$B$65&gt;Paths!$E$13,Paths!$E$13+'Operating costs'!$B$65&lt;=120,IF(Paths!$E$13+'Operating costs'!$B$65=0,C75=0,AND(C75&gt;0,Paths!$E$13+'Operating costs'!$B$65&gt;(C75-1)*12,Paths!$E$13+'Operating costs'!$B$65&lt;=C75*12))),'Operating costs'!$B$64,0)+IF(AND('Operating costs'!$B$67&gt;0,'Operating costs'!$B$67&lt;=120,OR(Paths!$D$13="ICE",'Operating costs'!$B$67&lt;=Paths!$E$13),IF('Operating costs'!$B$67=0,C75=0,AND(C75&gt;0,'Operating costs'!$B$67&gt;(C75-1)*12,'Operating costs'!$B$67&lt;=C75*12))),'Operating costs'!$B$66,0),"n.a."))</f>
        <v>0</v>
      </c>
      <c r="N75" s="16">
        <f>IF(NOT(Paths!$C$13=1),0,IF(Paths!$P$13="Complete",SUM(G75:I75)-J75-K75-L75+M75+IF(C75=0,Paths!$F$13,0)+IF(IF(Paths!$E$13=0,C75=0,AND(C75&gt;0,Paths!$E$13&gt;(C75-1)*12,Paths!$E$13&lt;=C75*12)),VLOOKUP(A75,'Fleet register'!$A$7:$S$106,16,FALSE),0),"n.a."))</f>
        <v>189151.35</v>
      </c>
      <c r="O75" s="16">
        <f>IF(NOT(Paths!$C$13=1),0,IF(Paths!$P$13="Complete",N75-IF(C75=0,Paths!$F$13,0),"n.a."))</f>
        <v>189151.35</v>
      </c>
      <c r="P75" s="16">
        <f>IF(NOT(Paths!$C$13=1),0,IF(Paths!$P$13="Complete",O75+L75,"n.a."))</f>
        <v>189151.35</v>
      </c>
      <c r="Q75" s="16">
        <f>IF(NOT(Paths!$C$13=1),0,IF(Paths!$P$13="Complete",N75*(1+'Operating costs'!$B$54)^-C75,"n.a."))</f>
        <v>189151.35</v>
      </c>
      <c r="R75" s="16">
        <f>IF(NOT(Paths!$C$13=1),0,IF(Paths!$P$13="Complete",IF(AND(C75=0,Paths!$E$13=0),I75-J75-K75+VLOOKUP(A75,'Fleet register'!$A$7:$S$106,15,FALSE)+VLOOKUP(A75,'Fleet register'!$A$7:$S$106,16,FALSE),0),"n.a."))</f>
        <v>0</v>
      </c>
      <c r="S75" s="1">
        <f>IF(NOT(Paths!$C$13=1),0,IF(Paths!$P$13="Complete",IF(C75=0,0,Paths!$S$13*Paths!$R$13),"n.a."))</f>
        <v>45000</v>
      </c>
      <c r="T75" s="1">
        <f>IF(NOT(Paths!$C$13=1),0,IF(Paths!$P$13="Complete",IF(C75=0,0,VLOOKUP(A75,'Fleet register'!$A$7:$S$106,9,FALSE)*Paths!$R$13),"n.a."))</f>
        <v>7200</v>
      </c>
    </row>
    <row r="76" spans="1:20" ht="24" customHeight="1">
      <c r="A76" s="1" t="str">
        <f>Paths!$A$13</f>
        <v>T002</v>
      </c>
      <c r="B76" s="1">
        <f>Paths!$B$13</f>
        <v>2</v>
      </c>
      <c r="C76" s="1">
        <v>3</v>
      </c>
      <c r="D76" s="1">
        <v>13</v>
      </c>
      <c r="E76" s="1">
        <f>IF(OR(Paths!$C$13=0,C76=0),0,MAX(0,MIN(C76*12,Paths!$E$13)-(C76-1)*12))</f>
        <v>0</v>
      </c>
      <c r="F76" s="1">
        <f>IF(OR(Paths!$C$13=0,C76=0),0,12-E76)</f>
        <v>12</v>
      </c>
      <c r="G76" s="16">
        <f>IF(NOT(Paths!$C$13=1),0,IF(Paths!$P$13="Complete",E76/12*(Paths!$J$13*(1+'Operating costs'!$B$51)^MAX(0,C76-1)+Paths!$K$13*(1+'Operating costs'!$B$53)^MAX(0,C76-1)),"n.a."))</f>
        <v>0</v>
      </c>
      <c r="H76" s="16">
        <f>IF(NOT(Paths!$C$13=1),0,IF(Paths!$P$13="Complete",F76/12*(Paths!$L$13*(1+IF(Paths!$D$13="EV",'Operating costs'!$B$52,'Operating costs'!$B$51))^MAX(0,C76-1)+Paths!$M$13*(1+'Operating costs'!$B$53)^MAX(0,C76-1)),"n.a."))</f>
        <v>18151.349999999999</v>
      </c>
      <c r="I76" s="16">
        <f>IF(NOT(Paths!$C$13=1),0,IF(Paths!$P$13="Complete",IF(IF(Paths!$E$13=0,C76=0,AND(C76&gt;0,Paths!$E$13&gt;(C76-1)*12,Paths!$E$13&lt;=C76*12)),Paths!$G$13,0),"n.a."))</f>
        <v>0</v>
      </c>
      <c r="J76" s="16">
        <f>IF(NOT(Paths!$C$13=1),0,IF(Paths!$P$13="Complete",IF(IF(Paths!$E$13=0,C76=0,AND(C76&gt;0,Paths!$E$13&gt;(C76-1)*12,Paths!$E$13&lt;=C76*12)),Paths!$H$13,0),"n.a."))</f>
        <v>0</v>
      </c>
      <c r="K76" s="16">
        <f>IF(NOT(Paths!$C$13=1),0,IF(Paths!$P$13="Complete",IF(IF(Paths!$O$13=0,C76=0,AND(C76&gt;0,Paths!$O$13&gt;(C76-1)*12,Paths!$O$13&lt;=C76*12)),Paths!$N$13,0),"n.a."))</f>
        <v>0</v>
      </c>
      <c r="L76" s="16">
        <f>IF(NOT(Paths!$C$13=1),0,IF(Paths!$P$13="Complete",IF(C76=10,Paths!$I$13,0),"n.a."))</f>
        <v>0</v>
      </c>
      <c r="M76" s="16">
        <f>IF(NOT(Paths!$C$13=1),0,IF(Paths!$P$13="Complete",IF(AND(Paths!$D$13="EV",Paths!$E$13&lt;120,Paths!$E$13+'Operating costs'!$B$65&gt;Paths!$E$13,Paths!$E$13+'Operating costs'!$B$65&lt;=120,IF(Paths!$E$13+'Operating costs'!$B$65=0,C76=0,AND(C76&gt;0,Paths!$E$13+'Operating costs'!$B$65&gt;(C76-1)*12,Paths!$E$13+'Operating costs'!$B$65&lt;=C76*12))),'Operating costs'!$B$64,0)+IF(AND('Operating costs'!$B$67&gt;0,'Operating costs'!$B$67&lt;=120,OR(Paths!$D$13="ICE",'Operating costs'!$B$67&lt;=Paths!$E$13),IF('Operating costs'!$B$67=0,C76=0,AND(C76&gt;0,'Operating costs'!$B$67&gt;(C76-1)*12,'Operating costs'!$B$67&lt;=C76*12))),'Operating costs'!$B$66,0),"n.a."))</f>
        <v>0</v>
      </c>
      <c r="N76" s="16">
        <f>IF(NOT(Paths!$C$13=1),0,IF(Paths!$P$13="Complete",SUM(G76:I76)-J76-K76-L76+M76+IF(C76=0,Paths!$F$13,0)+IF(IF(Paths!$E$13=0,C76=0,AND(C76&gt;0,Paths!$E$13&gt;(C76-1)*12,Paths!$E$13&lt;=C76*12)),VLOOKUP(A76,'Fleet register'!$A$7:$S$106,16,FALSE),0),"n.a."))</f>
        <v>18151.349999999999</v>
      </c>
      <c r="O76" s="16">
        <f>IF(NOT(Paths!$C$13=1),0,IF(Paths!$P$13="Complete",N76-IF(C76=0,Paths!$F$13,0),"n.a."))</f>
        <v>18151.349999999999</v>
      </c>
      <c r="P76" s="16">
        <f>IF(NOT(Paths!$C$13=1),0,IF(Paths!$P$13="Complete",O76+L76,"n.a."))</f>
        <v>18151.349999999999</v>
      </c>
      <c r="Q76" s="16">
        <f>IF(NOT(Paths!$C$13=1),0,IF(Paths!$P$13="Complete",N76*(1+'Operating costs'!$B$54)^-C76,"n.a."))</f>
        <v>18151.349999999999</v>
      </c>
      <c r="R76" s="16">
        <f>IF(NOT(Paths!$C$13=1),0,IF(Paths!$P$13="Complete",IF(AND(C76=0,Paths!$E$13=0),I76-J76-K76+VLOOKUP(A76,'Fleet register'!$A$7:$S$106,15,FALSE)+VLOOKUP(A76,'Fleet register'!$A$7:$S$106,16,FALSE),0),"n.a."))</f>
        <v>0</v>
      </c>
      <c r="S76" s="1">
        <f>IF(NOT(Paths!$C$13=1),0,IF(Paths!$P$13="Complete",IF(C76=0,0,Paths!$S$13*Paths!$R$13),"n.a."))</f>
        <v>45000</v>
      </c>
      <c r="T76" s="1">
        <f>IF(NOT(Paths!$C$13=1),0,IF(Paths!$P$13="Complete",IF(C76=0,0,VLOOKUP(A76,'Fleet register'!$A$7:$S$106,9,FALSE)*Paths!$R$13),"n.a."))</f>
        <v>7200</v>
      </c>
    </row>
    <row r="77" spans="1:20" ht="24" customHeight="1">
      <c r="A77" s="1" t="str">
        <f>Paths!$A$13</f>
        <v>T002</v>
      </c>
      <c r="B77" s="1">
        <f>Paths!$B$13</f>
        <v>2</v>
      </c>
      <c r="C77" s="1">
        <v>4</v>
      </c>
      <c r="D77" s="1">
        <v>13</v>
      </c>
      <c r="E77" s="1">
        <f>IF(OR(Paths!$C$13=0,C77=0),0,MAX(0,MIN(C77*12,Paths!$E$13)-(C77-1)*12))</f>
        <v>0</v>
      </c>
      <c r="F77" s="1">
        <f>IF(OR(Paths!$C$13=0,C77=0),0,12-E77)</f>
        <v>12</v>
      </c>
      <c r="G77" s="16">
        <f>IF(NOT(Paths!$C$13=1),0,IF(Paths!$P$13="Complete",E77/12*(Paths!$J$13*(1+'Operating costs'!$B$51)^MAX(0,C77-1)+Paths!$K$13*(1+'Operating costs'!$B$53)^MAX(0,C77-1)),"n.a."))</f>
        <v>0</v>
      </c>
      <c r="H77" s="16">
        <f>IF(NOT(Paths!$C$13=1),0,IF(Paths!$P$13="Complete",F77/12*(Paths!$L$13*(1+IF(Paths!$D$13="EV",'Operating costs'!$B$52,'Operating costs'!$B$51))^MAX(0,C77-1)+Paths!$M$13*(1+'Operating costs'!$B$53)^MAX(0,C77-1)),"n.a."))</f>
        <v>18151.349999999999</v>
      </c>
      <c r="I77" s="16">
        <f>IF(NOT(Paths!$C$13=1),0,IF(Paths!$P$13="Complete",IF(IF(Paths!$E$13=0,C77=0,AND(C77&gt;0,Paths!$E$13&gt;(C77-1)*12,Paths!$E$13&lt;=C77*12)),Paths!$G$13,0),"n.a."))</f>
        <v>0</v>
      </c>
      <c r="J77" s="16">
        <f>IF(NOT(Paths!$C$13=1),0,IF(Paths!$P$13="Complete",IF(IF(Paths!$E$13=0,C77=0,AND(C77&gt;0,Paths!$E$13&gt;(C77-1)*12,Paths!$E$13&lt;=C77*12)),Paths!$H$13,0),"n.a."))</f>
        <v>0</v>
      </c>
      <c r="K77" s="16">
        <f>IF(NOT(Paths!$C$13=1),0,IF(Paths!$P$13="Complete",IF(IF(Paths!$O$13=0,C77=0,AND(C77&gt;0,Paths!$O$13&gt;(C77-1)*12,Paths!$O$13&lt;=C77*12)),Paths!$N$13,0),"n.a."))</f>
        <v>0</v>
      </c>
      <c r="L77" s="16">
        <f>IF(NOT(Paths!$C$13=1),0,IF(Paths!$P$13="Complete",IF(C77=10,Paths!$I$13,0),"n.a."))</f>
        <v>0</v>
      </c>
      <c r="M77" s="16">
        <f>IF(NOT(Paths!$C$13=1),0,IF(Paths!$P$13="Complete",IF(AND(Paths!$D$13="EV",Paths!$E$13&lt;120,Paths!$E$13+'Operating costs'!$B$65&gt;Paths!$E$13,Paths!$E$13+'Operating costs'!$B$65&lt;=120,IF(Paths!$E$13+'Operating costs'!$B$65=0,C77=0,AND(C77&gt;0,Paths!$E$13+'Operating costs'!$B$65&gt;(C77-1)*12,Paths!$E$13+'Operating costs'!$B$65&lt;=C77*12))),'Operating costs'!$B$64,0)+IF(AND('Operating costs'!$B$67&gt;0,'Operating costs'!$B$67&lt;=120,OR(Paths!$D$13="ICE",'Operating costs'!$B$67&lt;=Paths!$E$13),IF('Operating costs'!$B$67=0,C77=0,AND(C77&gt;0,'Operating costs'!$B$67&gt;(C77-1)*12,'Operating costs'!$B$67&lt;=C77*12))),'Operating costs'!$B$66,0),"n.a."))</f>
        <v>0</v>
      </c>
      <c r="N77" s="16">
        <f>IF(NOT(Paths!$C$13=1),0,IF(Paths!$P$13="Complete",SUM(G77:I77)-J77-K77-L77+M77+IF(C77=0,Paths!$F$13,0)+IF(IF(Paths!$E$13=0,C77=0,AND(C77&gt;0,Paths!$E$13&gt;(C77-1)*12,Paths!$E$13&lt;=C77*12)),VLOOKUP(A77,'Fleet register'!$A$7:$S$106,16,FALSE),0),"n.a."))</f>
        <v>18151.349999999999</v>
      </c>
      <c r="O77" s="16">
        <f>IF(NOT(Paths!$C$13=1),0,IF(Paths!$P$13="Complete",N77-IF(C77=0,Paths!$F$13,0),"n.a."))</f>
        <v>18151.349999999999</v>
      </c>
      <c r="P77" s="16">
        <f>IF(NOT(Paths!$C$13=1),0,IF(Paths!$P$13="Complete",O77+L77,"n.a."))</f>
        <v>18151.349999999999</v>
      </c>
      <c r="Q77" s="16">
        <f>IF(NOT(Paths!$C$13=1),0,IF(Paths!$P$13="Complete",N77*(1+'Operating costs'!$B$54)^-C77,"n.a."))</f>
        <v>18151.349999999999</v>
      </c>
      <c r="R77" s="16">
        <f>IF(NOT(Paths!$C$13=1),0,IF(Paths!$P$13="Complete",IF(AND(C77=0,Paths!$E$13=0),I77-J77-K77+VLOOKUP(A77,'Fleet register'!$A$7:$S$106,15,FALSE)+VLOOKUP(A77,'Fleet register'!$A$7:$S$106,16,FALSE),0),"n.a."))</f>
        <v>0</v>
      </c>
      <c r="S77" s="1">
        <f>IF(NOT(Paths!$C$13=1),0,IF(Paths!$P$13="Complete",IF(C77=0,0,Paths!$S$13*Paths!$R$13),"n.a."))</f>
        <v>45000</v>
      </c>
      <c r="T77" s="1">
        <f>IF(NOT(Paths!$C$13=1),0,IF(Paths!$P$13="Complete",IF(C77=0,0,VLOOKUP(A77,'Fleet register'!$A$7:$S$106,9,FALSE)*Paths!$R$13),"n.a."))</f>
        <v>7200</v>
      </c>
    </row>
    <row r="78" spans="1:20" ht="24" customHeight="1">
      <c r="A78" s="1" t="str">
        <f>Paths!$A$13</f>
        <v>T002</v>
      </c>
      <c r="B78" s="1">
        <f>Paths!$B$13</f>
        <v>2</v>
      </c>
      <c r="C78" s="1">
        <v>5</v>
      </c>
      <c r="D78" s="1">
        <v>13</v>
      </c>
      <c r="E78" s="1">
        <f>IF(OR(Paths!$C$13=0,C78=0),0,MAX(0,MIN(C78*12,Paths!$E$13)-(C78-1)*12))</f>
        <v>0</v>
      </c>
      <c r="F78" s="1">
        <f>IF(OR(Paths!$C$13=0,C78=0),0,12-E78)</f>
        <v>12</v>
      </c>
      <c r="G78" s="16">
        <f>IF(NOT(Paths!$C$13=1),0,IF(Paths!$P$13="Complete",E78/12*(Paths!$J$13*(1+'Operating costs'!$B$51)^MAX(0,C78-1)+Paths!$K$13*(1+'Operating costs'!$B$53)^MAX(0,C78-1)),"n.a."))</f>
        <v>0</v>
      </c>
      <c r="H78" s="16">
        <f>IF(NOT(Paths!$C$13=1),0,IF(Paths!$P$13="Complete",F78/12*(Paths!$L$13*(1+IF(Paths!$D$13="EV",'Operating costs'!$B$52,'Operating costs'!$B$51))^MAX(0,C78-1)+Paths!$M$13*(1+'Operating costs'!$B$53)^MAX(0,C78-1)),"n.a."))</f>
        <v>18151.349999999999</v>
      </c>
      <c r="I78" s="16">
        <f>IF(NOT(Paths!$C$13=1),0,IF(Paths!$P$13="Complete",IF(IF(Paths!$E$13=0,C78=0,AND(C78&gt;0,Paths!$E$13&gt;(C78-1)*12,Paths!$E$13&lt;=C78*12)),Paths!$G$13,0),"n.a."))</f>
        <v>0</v>
      </c>
      <c r="J78" s="16">
        <f>IF(NOT(Paths!$C$13=1),0,IF(Paths!$P$13="Complete",IF(IF(Paths!$E$13=0,C78=0,AND(C78&gt;0,Paths!$E$13&gt;(C78-1)*12,Paths!$E$13&lt;=C78*12)),Paths!$H$13,0),"n.a."))</f>
        <v>0</v>
      </c>
      <c r="K78" s="16">
        <f>IF(NOT(Paths!$C$13=1),0,IF(Paths!$P$13="Complete",IF(IF(Paths!$O$13=0,C78=0,AND(C78&gt;0,Paths!$O$13&gt;(C78-1)*12,Paths!$O$13&lt;=C78*12)),Paths!$N$13,0),"n.a."))</f>
        <v>0</v>
      </c>
      <c r="L78" s="16">
        <f>IF(NOT(Paths!$C$13=1),0,IF(Paths!$P$13="Complete",IF(C78=10,Paths!$I$13,0),"n.a."))</f>
        <v>0</v>
      </c>
      <c r="M78" s="16">
        <f>IF(NOT(Paths!$C$13=1),0,IF(Paths!$P$13="Complete",IF(AND(Paths!$D$13="EV",Paths!$E$13&lt;120,Paths!$E$13+'Operating costs'!$B$65&gt;Paths!$E$13,Paths!$E$13+'Operating costs'!$B$65&lt;=120,IF(Paths!$E$13+'Operating costs'!$B$65=0,C78=0,AND(C78&gt;0,Paths!$E$13+'Operating costs'!$B$65&gt;(C78-1)*12,Paths!$E$13+'Operating costs'!$B$65&lt;=C78*12))),'Operating costs'!$B$64,0)+IF(AND('Operating costs'!$B$67&gt;0,'Operating costs'!$B$67&lt;=120,OR(Paths!$D$13="ICE",'Operating costs'!$B$67&lt;=Paths!$E$13),IF('Operating costs'!$B$67=0,C78=0,AND(C78&gt;0,'Operating costs'!$B$67&gt;(C78-1)*12,'Operating costs'!$B$67&lt;=C78*12))),'Operating costs'!$B$66,0),"n.a."))</f>
        <v>0</v>
      </c>
      <c r="N78" s="16">
        <f>IF(NOT(Paths!$C$13=1),0,IF(Paths!$P$13="Complete",SUM(G78:I78)-J78-K78-L78+M78+IF(C78=0,Paths!$F$13,0)+IF(IF(Paths!$E$13=0,C78=0,AND(C78&gt;0,Paths!$E$13&gt;(C78-1)*12,Paths!$E$13&lt;=C78*12)),VLOOKUP(A78,'Fleet register'!$A$7:$S$106,16,FALSE),0),"n.a."))</f>
        <v>18151.349999999999</v>
      </c>
      <c r="O78" s="16">
        <f>IF(NOT(Paths!$C$13=1),0,IF(Paths!$P$13="Complete",N78-IF(C78=0,Paths!$F$13,0),"n.a."))</f>
        <v>18151.349999999999</v>
      </c>
      <c r="P78" s="16">
        <f>IF(NOT(Paths!$C$13=1),0,IF(Paths!$P$13="Complete",O78+L78,"n.a."))</f>
        <v>18151.349999999999</v>
      </c>
      <c r="Q78" s="16">
        <f>IF(NOT(Paths!$C$13=1),0,IF(Paths!$P$13="Complete",N78*(1+'Operating costs'!$B$54)^-C78,"n.a."))</f>
        <v>18151.349999999999</v>
      </c>
      <c r="R78" s="16">
        <f>IF(NOT(Paths!$C$13=1),0,IF(Paths!$P$13="Complete",IF(AND(C78=0,Paths!$E$13=0),I78-J78-K78+VLOOKUP(A78,'Fleet register'!$A$7:$S$106,15,FALSE)+VLOOKUP(A78,'Fleet register'!$A$7:$S$106,16,FALSE),0),"n.a."))</f>
        <v>0</v>
      </c>
      <c r="S78" s="1">
        <f>IF(NOT(Paths!$C$13=1),0,IF(Paths!$P$13="Complete",IF(C78=0,0,Paths!$S$13*Paths!$R$13),"n.a."))</f>
        <v>45000</v>
      </c>
      <c r="T78" s="1">
        <f>IF(NOT(Paths!$C$13=1),0,IF(Paths!$P$13="Complete",IF(C78=0,0,VLOOKUP(A78,'Fleet register'!$A$7:$S$106,9,FALSE)*Paths!$R$13),"n.a."))</f>
        <v>7200</v>
      </c>
    </row>
    <row r="79" spans="1:20" ht="24" customHeight="1">
      <c r="A79" s="1" t="str">
        <f>Paths!$A$13</f>
        <v>T002</v>
      </c>
      <c r="B79" s="1">
        <f>Paths!$B$13</f>
        <v>2</v>
      </c>
      <c r="C79" s="1">
        <v>6</v>
      </c>
      <c r="D79" s="1">
        <v>13</v>
      </c>
      <c r="E79" s="1">
        <f>IF(OR(Paths!$C$13=0,C79=0),0,MAX(0,MIN(C79*12,Paths!$E$13)-(C79-1)*12))</f>
        <v>0</v>
      </c>
      <c r="F79" s="1">
        <f>IF(OR(Paths!$C$13=0,C79=0),0,12-E79)</f>
        <v>12</v>
      </c>
      <c r="G79" s="16">
        <f>IF(NOT(Paths!$C$13=1),0,IF(Paths!$P$13="Complete",E79/12*(Paths!$J$13*(1+'Operating costs'!$B$51)^MAX(0,C79-1)+Paths!$K$13*(1+'Operating costs'!$B$53)^MAX(0,C79-1)),"n.a."))</f>
        <v>0</v>
      </c>
      <c r="H79" s="16">
        <f>IF(NOT(Paths!$C$13=1),0,IF(Paths!$P$13="Complete",F79/12*(Paths!$L$13*(1+IF(Paths!$D$13="EV",'Operating costs'!$B$52,'Operating costs'!$B$51))^MAX(0,C79-1)+Paths!$M$13*(1+'Operating costs'!$B$53)^MAX(0,C79-1)),"n.a."))</f>
        <v>18151.349999999999</v>
      </c>
      <c r="I79" s="16">
        <f>IF(NOT(Paths!$C$13=1),0,IF(Paths!$P$13="Complete",IF(IF(Paths!$E$13=0,C79=0,AND(C79&gt;0,Paths!$E$13&gt;(C79-1)*12,Paths!$E$13&lt;=C79*12)),Paths!$G$13,0),"n.a."))</f>
        <v>0</v>
      </c>
      <c r="J79" s="16">
        <f>IF(NOT(Paths!$C$13=1),0,IF(Paths!$P$13="Complete",IF(IF(Paths!$E$13=0,C79=0,AND(C79&gt;0,Paths!$E$13&gt;(C79-1)*12,Paths!$E$13&lt;=C79*12)),Paths!$H$13,0),"n.a."))</f>
        <v>0</v>
      </c>
      <c r="K79" s="16">
        <f>IF(NOT(Paths!$C$13=1),0,IF(Paths!$P$13="Complete",IF(IF(Paths!$O$13=0,C79=0,AND(C79&gt;0,Paths!$O$13&gt;(C79-1)*12,Paths!$O$13&lt;=C79*12)),Paths!$N$13,0),"n.a."))</f>
        <v>0</v>
      </c>
      <c r="L79" s="16">
        <f>IF(NOT(Paths!$C$13=1),0,IF(Paths!$P$13="Complete",IF(C79=10,Paths!$I$13,0),"n.a."))</f>
        <v>0</v>
      </c>
      <c r="M79" s="16">
        <f>IF(NOT(Paths!$C$13=1),0,IF(Paths!$P$13="Complete",IF(AND(Paths!$D$13="EV",Paths!$E$13&lt;120,Paths!$E$13+'Operating costs'!$B$65&gt;Paths!$E$13,Paths!$E$13+'Operating costs'!$B$65&lt;=120,IF(Paths!$E$13+'Operating costs'!$B$65=0,C79=0,AND(C79&gt;0,Paths!$E$13+'Operating costs'!$B$65&gt;(C79-1)*12,Paths!$E$13+'Operating costs'!$B$65&lt;=C79*12))),'Operating costs'!$B$64,0)+IF(AND('Operating costs'!$B$67&gt;0,'Operating costs'!$B$67&lt;=120,OR(Paths!$D$13="ICE",'Operating costs'!$B$67&lt;=Paths!$E$13),IF('Operating costs'!$B$67=0,C79=0,AND(C79&gt;0,'Operating costs'!$B$67&gt;(C79-1)*12,'Operating costs'!$B$67&lt;=C79*12))),'Operating costs'!$B$66,0),"n.a."))</f>
        <v>0</v>
      </c>
      <c r="N79" s="16">
        <f>IF(NOT(Paths!$C$13=1),0,IF(Paths!$P$13="Complete",SUM(G79:I79)-J79-K79-L79+M79+IF(C79=0,Paths!$F$13,0)+IF(IF(Paths!$E$13=0,C79=0,AND(C79&gt;0,Paths!$E$13&gt;(C79-1)*12,Paths!$E$13&lt;=C79*12)),VLOOKUP(A79,'Fleet register'!$A$7:$S$106,16,FALSE),0),"n.a."))</f>
        <v>18151.349999999999</v>
      </c>
      <c r="O79" s="16">
        <f>IF(NOT(Paths!$C$13=1),0,IF(Paths!$P$13="Complete",N79-IF(C79=0,Paths!$F$13,0),"n.a."))</f>
        <v>18151.349999999999</v>
      </c>
      <c r="P79" s="16">
        <f>IF(NOT(Paths!$C$13=1),0,IF(Paths!$P$13="Complete",O79+L79,"n.a."))</f>
        <v>18151.349999999999</v>
      </c>
      <c r="Q79" s="16">
        <f>IF(NOT(Paths!$C$13=1),0,IF(Paths!$P$13="Complete",N79*(1+'Operating costs'!$B$54)^-C79,"n.a."))</f>
        <v>18151.349999999999</v>
      </c>
      <c r="R79" s="16">
        <f>IF(NOT(Paths!$C$13=1),0,IF(Paths!$P$13="Complete",IF(AND(C79=0,Paths!$E$13=0),I79-J79-K79+VLOOKUP(A79,'Fleet register'!$A$7:$S$106,15,FALSE)+VLOOKUP(A79,'Fleet register'!$A$7:$S$106,16,FALSE),0),"n.a."))</f>
        <v>0</v>
      </c>
      <c r="S79" s="1">
        <f>IF(NOT(Paths!$C$13=1),0,IF(Paths!$P$13="Complete",IF(C79=0,0,Paths!$S$13*Paths!$R$13),"n.a."))</f>
        <v>45000</v>
      </c>
      <c r="T79" s="1">
        <f>IF(NOT(Paths!$C$13=1),0,IF(Paths!$P$13="Complete",IF(C79=0,0,VLOOKUP(A79,'Fleet register'!$A$7:$S$106,9,FALSE)*Paths!$R$13),"n.a."))</f>
        <v>7200</v>
      </c>
    </row>
    <row r="80" spans="1:20" ht="24" customHeight="1">
      <c r="A80" s="1" t="str">
        <f>Paths!$A$13</f>
        <v>T002</v>
      </c>
      <c r="B80" s="1">
        <f>Paths!$B$13</f>
        <v>2</v>
      </c>
      <c r="C80" s="1">
        <v>7</v>
      </c>
      <c r="D80" s="1">
        <v>13</v>
      </c>
      <c r="E80" s="1">
        <f>IF(OR(Paths!$C$13=0,C80=0),0,MAX(0,MIN(C80*12,Paths!$E$13)-(C80-1)*12))</f>
        <v>0</v>
      </c>
      <c r="F80" s="1">
        <f>IF(OR(Paths!$C$13=0,C80=0),0,12-E80)</f>
        <v>12</v>
      </c>
      <c r="G80" s="16">
        <f>IF(NOT(Paths!$C$13=1),0,IF(Paths!$P$13="Complete",E80/12*(Paths!$J$13*(1+'Operating costs'!$B$51)^MAX(0,C80-1)+Paths!$K$13*(1+'Operating costs'!$B$53)^MAX(0,C80-1)),"n.a."))</f>
        <v>0</v>
      </c>
      <c r="H80" s="16">
        <f>IF(NOT(Paths!$C$13=1),0,IF(Paths!$P$13="Complete",F80/12*(Paths!$L$13*(1+IF(Paths!$D$13="EV",'Operating costs'!$B$52,'Operating costs'!$B$51))^MAX(0,C80-1)+Paths!$M$13*(1+'Operating costs'!$B$53)^MAX(0,C80-1)),"n.a."))</f>
        <v>18151.349999999999</v>
      </c>
      <c r="I80" s="16">
        <f>IF(NOT(Paths!$C$13=1),0,IF(Paths!$P$13="Complete",IF(IF(Paths!$E$13=0,C80=0,AND(C80&gt;0,Paths!$E$13&gt;(C80-1)*12,Paths!$E$13&lt;=C80*12)),Paths!$G$13,0),"n.a."))</f>
        <v>0</v>
      </c>
      <c r="J80" s="16">
        <f>IF(NOT(Paths!$C$13=1),0,IF(Paths!$P$13="Complete",IF(IF(Paths!$E$13=0,C80=0,AND(C80&gt;0,Paths!$E$13&gt;(C80-1)*12,Paths!$E$13&lt;=C80*12)),Paths!$H$13,0),"n.a."))</f>
        <v>0</v>
      </c>
      <c r="K80" s="16">
        <f>IF(NOT(Paths!$C$13=1),0,IF(Paths!$P$13="Complete",IF(IF(Paths!$O$13=0,C80=0,AND(C80&gt;0,Paths!$O$13&gt;(C80-1)*12,Paths!$O$13&lt;=C80*12)),Paths!$N$13,0),"n.a."))</f>
        <v>0</v>
      </c>
      <c r="L80" s="16">
        <f>IF(NOT(Paths!$C$13=1),0,IF(Paths!$P$13="Complete",IF(C80=10,Paths!$I$13,0),"n.a."))</f>
        <v>0</v>
      </c>
      <c r="M80" s="16">
        <f>IF(NOT(Paths!$C$13=1),0,IF(Paths!$P$13="Complete",IF(AND(Paths!$D$13="EV",Paths!$E$13&lt;120,Paths!$E$13+'Operating costs'!$B$65&gt;Paths!$E$13,Paths!$E$13+'Operating costs'!$B$65&lt;=120,IF(Paths!$E$13+'Operating costs'!$B$65=0,C80=0,AND(C80&gt;0,Paths!$E$13+'Operating costs'!$B$65&gt;(C80-1)*12,Paths!$E$13+'Operating costs'!$B$65&lt;=C80*12))),'Operating costs'!$B$64,0)+IF(AND('Operating costs'!$B$67&gt;0,'Operating costs'!$B$67&lt;=120,OR(Paths!$D$13="ICE",'Operating costs'!$B$67&lt;=Paths!$E$13),IF('Operating costs'!$B$67=0,C80=0,AND(C80&gt;0,'Operating costs'!$B$67&gt;(C80-1)*12,'Operating costs'!$B$67&lt;=C80*12))),'Operating costs'!$B$66,0),"n.a."))</f>
        <v>0</v>
      </c>
      <c r="N80" s="16">
        <f>IF(NOT(Paths!$C$13=1),0,IF(Paths!$P$13="Complete",SUM(G80:I80)-J80-K80-L80+M80+IF(C80=0,Paths!$F$13,0)+IF(IF(Paths!$E$13=0,C80=0,AND(C80&gt;0,Paths!$E$13&gt;(C80-1)*12,Paths!$E$13&lt;=C80*12)),VLOOKUP(A80,'Fleet register'!$A$7:$S$106,16,FALSE),0),"n.a."))</f>
        <v>18151.349999999999</v>
      </c>
      <c r="O80" s="16">
        <f>IF(NOT(Paths!$C$13=1),0,IF(Paths!$P$13="Complete",N80-IF(C80=0,Paths!$F$13,0),"n.a."))</f>
        <v>18151.349999999999</v>
      </c>
      <c r="P80" s="16">
        <f>IF(NOT(Paths!$C$13=1),0,IF(Paths!$P$13="Complete",O80+L80,"n.a."))</f>
        <v>18151.349999999999</v>
      </c>
      <c r="Q80" s="16">
        <f>IF(NOT(Paths!$C$13=1),0,IF(Paths!$P$13="Complete",N80*(1+'Operating costs'!$B$54)^-C80,"n.a."))</f>
        <v>18151.349999999999</v>
      </c>
      <c r="R80" s="16">
        <f>IF(NOT(Paths!$C$13=1),0,IF(Paths!$P$13="Complete",IF(AND(C80=0,Paths!$E$13=0),I80-J80-K80+VLOOKUP(A80,'Fleet register'!$A$7:$S$106,15,FALSE)+VLOOKUP(A80,'Fleet register'!$A$7:$S$106,16,FALSE),0),"n.a."))</f>
        <v>0</v>
      </c>
      <c r="S80" s="1">
        <f>IF(NOT(Paths!$C$13=1),0,IF(Paths!$P$13="Complete",IF(C80=0,0,Paths!$S$13*Paths!$R$13),"n.a."))</f>
        <v>45000</v>
      </c>
      <c r="T80" s="1">
        <f>IF(NOT(Paths!$C$13=1),0,IF(Paths!$P$13="Complete",IF(C80=0,0,VLOOKUP(A80,'Fleet register'!$A$7:$S$106,9,FALSE)*Paths!$R$13),"n.a."))</f>
        <v>7200</v>
      </c>
    </row>
    <row r="81" spans="1:20" ht="24" customHeight="1">
      <c r="A81" s="1" t="str">
        <f>Paths!$A$13</f>
        <v>T002</v>
      </c>
      <c r="B81" s="1">
        <f>Paths!$B$13</f>
        <v>2</v>
      </c>
      <c r="C81" s="1">
        <v>8</v>
      </c>
      <c r="D81" s="1">
        <v>13</v>
      </c>
      <c r="E81" s="1">
        <f>IF(OR(Paths!$C$13=0,C81=0),0,MAX(0,MIN(C81*12,Paths!$E$13)-(C81-1)*12))</f>
        <v>0</v>
      </c>
      <c r="F81" s="1">
        <f>IF(OR(Paths!$C$13=0,C81=0),0,12-E81)</f>
        <v>12</v>
      </c>
      <c r="G81" s="16">
        <f>IF(NOT(Paths!$C$13=1),0,IF(Paths!$P$13="Complete",E81/12*(Paths!$J$13*(1+'Operating costs'!$B$51)^MAX(0,C81-1)+Paths!$K$13*(1+'Operating costs'!$B$53)^MAX(0,C81-1)),"n.a."))</f>
        <v>0</v>
      </c>
      <c r="H81" s="16">
        <f>IF(NOT(Paths!$C$13=1),0,IF(Paths!$P$13="Complete",F81/12*(Paths!$L$13*(1+IF(Paths!$D$13="EV",'Operating costs'!$B$52,'Operating costs'!$B$51))^MAX(0,C81-1)+Paths!$M$13*(1+'Operating costs'!$B$53)^MAX(0,C81-1)),"n.a."))</f>
        <v>18151.349999999999</v>
      </c>
      <c r="I81" s="16">
        <f>IF(NOT(Paths!$C$13=1),0,IF(Paths!$P$13="Complete",IF(IF(Paths!$E$13=0,C81=0,AND(C81&gt;0,Paths!$E$13&gt;(C81-1)*12,Paths!$E$13&lt;=C81*12)),Paths!$G$13,0),"n.a."))</f>
        <v>0</v>
      </c>
      <c r="J81" s="16">
        <f>IF(NOT(Paths!$C$13=1),0,IF(Paths!$P$13="Complete",IF(IF(Paths!$E$13=0,C81=0,AND(C81&gt;0,Paths!$E$13&gt;(C81-1)*12,Paths!$E$13&lt;=C81*12)),Paths!$H$13,0),"n.a."))</f>
        <v>0</v>
      </c>
      <c r="K81" s="16">
        <f>IF(NOT(Paths!$C$13=1),0,IF(Paths!$P$13="Complete",IF(IF(Paths!$O$13=0,C81=0,AND(C81&gt;0,Paths!$O$13&gt;(C81-1)*12,Paths!$O$13&lt;=C81*12)),Paths!$N$13,0),"n.a."))</f>
        <v>0</v>
      </c>
      <c r="L81" s="16">
        <f>IF(NOT(Paths!$C$13=1),0,IF(Paths!$P$13="Complete",IF(C81=10,Paths!$I$13,0),"n.a."))</f>
        <v>0</v>
      </c>
      <c r="M81" s="16">
        <f>IF(NOT(Paths!$C$13=1),0,IF(Paths!$P$13="Complete",IF(AND(Paths!$D$13="EV",Paths!$E$13&lt;120,Paths!$E$13+'Operating costs'!$B$65&gt;Paths!$E$13,Paths!$E$13+'Operating costs'!$B$65&lt;=120,IF(Paths!$E$13+'Operating costs'!$B$65=0,C81=0,AND(C81&gt;0,Paths!$E$13+'Operating costs'!$B$65&gt;(C81-1)*12,Paths!$E$13+'Operating costs'!$B$65&lt;=C81*12))),'Operating costs'!$B$64,0)+IF(AND('Operating costs'!$B$67&gt;0,'Operating costs'!$B$67&lt;=120,OR(Paths!$D$13="ICE",'Operating costs'!$B$67&lt;=Paths!$E$13),IF('Operating costs'!$B$67=0,C81=0,AND(C81&gt;0,'Operating costs'!$B$67&gt;(C81-1)*12,'Operating costs'!$B$67&lt;=C81*12))),'Operating costs'!$B$66,0),"n.a."))</f>
        <v>0</v>
      </c>
      <c r="N81" s="16">
        <f>IF(NOT(Paths!$C$13=1),0,IF(Paths!$P$13="Complete",SUM(G81:I81)-J81-K81-L81+M81+IF(C81=0,Paths!$F$13,0)+IF(IF(Paths!$E$13=0,C81=0,AND(C81&gt;0,Paths!$E$13&gt;(C81-1)*12,Paths!$E$13&lt;=C81*12)),VLOOKUP(A81,'Fleet register'!$A$7:$S$106,16,FALSE),0),"n.a."))</f>
        <v>18151.349999999999</v>
      </c>
      <c r="O81" s="16">
        <f>IF(NOT(Paths!$C$13=1),0,IF(Paths!$P$13="Complete",N81-IF(C81=0,Paths!$F$13,0),"n.a."))</f>
        <v>18151.349999999999</v>
      </c>
      <c r="P81" s="16">
        <f>IF(NOT(Paths!$C$13=1),0,IF(Paths!$P$13="Complete",O81+L81,"n.a."))</f>
        <v>18151.349999999999</v>
      </c>
      <c r="Q81" s="16">
        <f>IF(NOT(Paths!$C$13=1),0,IF(Paths!$P$13="Complete",N81*(1+'Operating costs'!$B$54)^-C81,"n.a."))</f>
        <v>18151.349999999999</v>
      </c>
      <c r="R81" s="16">
        <f>IF(NOT(Paths!$C$13=1),0,IF(Paths!$P$13="Complete",IF(AND(C81=0,Paths!$E$13=0),I81-J81-K81+VLOOKUP(A81,'Fleet register'!$A$7:$S$106,15,FALSE)+VLOOKUP(A81,'Fleet register'!$A$7:$S$106,16,FALSE),0),"n.a."))</f>
        <v>0</v>
      </c>
      <c r="S81" s="1">
        <f>IF(NOT(Paths!$C$13=1),0,IF(Paths!$P$13="Complete",IF(C81=0,0,Paths!$S$13*Paths!$R$13),"n.a."))</f>
        <v>45000</v>
      </c>
      <c r="T81" s="1">
        <f>IF(NOT(Paths!$C$13=1),0,IF(Paths!$P$13="Complete",IF(C81=0,0,VLOOKUP(A81,'Fleet register'!$A$7:$S$106,9,FALSE)*Paths!$R$13),"n.a."))</f>
        <v>7200</v>
      </c>
    </row>
    <row r="82" spans="1:20" ht="24" customHeight="1">
      <c r="A82" s="1" t="str">
        <f>Paths!$A$13</f>
        <v>T002</v>
      </c>
      <c r="B82" s="1">
        <f>Paths!$B$13</f>
        <v>2</v>
      </c>
      <c r="C82" s="1">
        <v>9</v>
      </c>
      <c r="D82" s="1">
        <v>13</v>
      </c>
      <c r="E82" s="1">
        <f>IF(OR(Paths!$C$13=0,C82=0),0,MAX(0,MIN(C82*12,Paths!$E$13)-(C82-1)*12))</f>
        <v>0</v>
      </c>
      <c r="F82" s="1">
        <f>IF(OR(Paths!$C$13=0,C82=0),0,12-E82)</f>
        <v>12</v>
      </c>
      <c r="G82" s="16">
        <f>IF(NOT(Paths!$C$13=1),0,IF(Paths!$P$13="Complete",E82/12*(Paths!$J$13*(1+'Operating costs'!$B$51)^MAX(0,C82-1)+Paths!$K$13*(1+'Operating costs'!$B$53)^MAX(0,C82-1)),"n.a."))</f>
        <v>0</v>
      </c>
      <c r="H82" s="16">
        <f>IF(NOT(Paths!$C$13=1),0,IF(Paths!$P$13="Complete",F82/12*(Paths!$L$13*(1+IF(Paths!$D$13="EV",'Operating costs'!$B$52,'Operating costs'!$B$51))^MAX(0,C82-1)+Paths!$M$13*(1+'Operating costs'!$B$53)^MAX(0,C82-1)),"n.a."))</f>
        <v>18151.349999999999</v>
      </c>
      <c r="I82" s="16">
        <f>IF(NOT(Paths!$C$13=1),0,IF(Paths!$P$13="Complete",IF(IF(Paths!$E$13=0,C82=0,AND(C82&gt;0,Paths!$E$13&gt;(C82-1)*12,Paths!$E$13&lt;=C82*12)),Paths!$G$13,0),"n.a."))</f>
        <v>0</v>
      </c>
      <c r="J82" s="16">
        <f>IF(NOT(Paths!$C$13=1),0,IF(Paths!$P$13="Complete",IF(IF(Paths!$E$13=0,C82=0,AND(C82&gt;0,Paths!$E$13&gt;(C82-1)*12,Paths!$E$13&lt;=C82*12)),Paths!$H$13,0),"n.a."))</f>
        <v>0</v>
      </c>
      <c r="K82" s="16">
        <f>IF(NOT(Paths!$C$13=1),0,IF(Paths!$P$13="Complete",IF(IF(Paths!$O$13=0,C82=0,AND(C82&gt;0,Paths!$O$13&gt;(C82-1)*12,Paths!$O$13&lt;=C82*12)),Paths!$N$13,0),"n.a."))</f>
        <v>0</v>
      </c>
      <c r="L82" s="16">
        <f>IF(NOT(Paths!$C$13=1),0,IF(Paths!$P$13="Complete",IF(C82=10,Paths!$I$13,0),"n.a."))</f>
        <v>0</v>
      </c>
      <c r="M82" s="16">
        <f>IF(NOT(Paths!$C$13=1),0,IF(Paths!$P$13="Complete",IF(AND(Paths!$D$13="EV",Paths!$E$13&lt;120,Paths!$E$13+'Operating costs'!$B$65&gt;Paths!$E$13,Paths!$E$13+'Operating costs'!$B$65&lt;=120,IF(Paths!$E$13+'Operating costs'!$B$65=0,C82=0,AND(C82&gt;0,Paths!$E$13+'Operating costs'!$B$65&gt;(C82-1)*12,Paths!$E$13+'Operating costs'!$B$65&lt;=C82*12))),'Operating costs'!$B$64,0)+IF(AND('Operating costs'!$B$67&gt;0,'Operating costs'!$B$67&lt;=120,OR(Paths!$D$13="ICE",'Operating costs'!$B$67&lt;=Paths!$E$13),IF('Operating costs'!$B$67=0,C82=0,AND(C82&gt;0,'Operating costs'!$B$67&gt;(C82-1)*12,'Operating costs'!$B$67&lt;=C82*12))),'Operating costs'!$B$66,0),"n.a."))</f>
        <v>0</v>
      </c>
      <c r="N82" s="16">
        <f>IF(NOT(Paths!$C$13=1),0,IF(Paths!$P$13="Complete",SUM(G82:I82)-J82-K82-L82+M82+IF(C82=0,Paths!$F$13,0)+IF(IF(Paths!$E$13=0,C82=0,AND(C82&gt;0,Paths!$E$13&gt;(C82-1)*12,Paths!$E$13&lt;=C82*12)),VLOOKUP(A82,'Fleet register'!$A$7:$S$106,16,FALSE),0),"n.a."))</f>
        <v>18151.349999999999</v>
      </c>
      <c r="O82" s="16">
        <f>IF(NOT(Paths!$C$13=1),0,IF(Paths!$P$13="Complete",N82-IF(C82=0,Paths!$F$13,0),"n.a."))</f>
        <v>18151.349999999999</v>
      </c>
      <c r="P82" s="16">
        <f>IF(NOT(Paths!$C$13=1),0,IF(Paths!$P$13="Complete",O82+L82,"n.a."))</f>
        <v>18151.349999999999</v>
      </c>
      <c r="Q82" s="16">
        <f>IF(NOT(Paths!$C$13=1),0,IF(Paths!$P$13="Complete",N82*(1+'Operating costs'!$B$54)^-C82,"n.a."))</f>
        <v>18151.349999999999</v>
      </c>
      <c r="R82" s="16">
        <f>IF(NOT(Paths!$C$13=1),0,IF(Paths!$P$13="Complete",IF(AND(C82=0,Paths!$E$13=0),I82-J82-K82+VLOOKUP(A82,'Fleet register'!$A$7:$S$106,15,FALSE)+VLOOKUP(A82,'Fleet register'!$A$7:$S$106,16,FALSE),0),"n.a."))</f>
        <v>0</v>
      </c>
      <c r="S82" s="1">
        <f>IF(NOT(Paths!$C$13=1),0,IF(Paths!$P$13="Complete",IF(C82=0,0,Paths!$S$13*Paths!$R$13),"n.a."))</f>
        <v>45000</v>
      </c>
      <c r="T82" s="1">
        <f>IF(NOT(Paths!$C$13=1),0,IF(Paths!$P$13="Complete",IF(C82=0,0,VLOOKUP(A82,'Fleet register'!$A$7:$S$106,9,FALSE)*Paths!$R$13),"n.a."))</f>
        <v>7200</v>
      </c>
    </row>
    <row r="83" spans="1:20" ht="24" customHeight="1">
      <c r="A83" s="1" t="str">
        <f>Paths!$A$13</f>
        <v>T002</v>
      </c>
      <c r="B83" s="1">
        <f>Paths!$B$13</f>
        <v>2</v>
      </c>
      <c r="C83" s="1">
        <v>10</v>
      </c>
      <c r="D83" s="1">
        <v>13</v>
      </c>
      <c r="E83" s="1">
        <f>IF(OR(Paths!$C$13=0,C83=0),0,MAX(0,MIN(C83*12,Paths!$E$13)-(C83-1)*12))</f>
        <v>0</v>
      </c>
      <c r="F83" s="1">
        <f>IF(OR(Paths!$C$13=0,C83=0),0,12-E83)</f>
        <v>12</v>
      </c>
      <c r="G83" s="16">
        <f>IF(NOT(Paths!$C$13=1),0,IF(Paths!$P$13="Complete",E83/12*(Paths!$J$13*(1+'Operating costs'!$B$51)^MAX(0,C83-1)+Paths!$K$13*(1+'Operating costs'!$B$53)^MAX(0,C83-1)),"n.a."))</f>
        <v>0</v>
      </c>
      <c r="H83" s="16">
        <f>IF(NOT(Paths!$C$13=1),0,IF(Paths!$P$13="Complete",F83/12*(Paths!$L$13*(1+IF(Paths!$D$13="EV",'Operating costs'!$B$52,'Operating costs'!$B$51))^MAX(0,C83-1)+Paths!$M$13*(1+'Operating costs'!$B$53)^MAX(0,C83-1)),"n.a."))</f>
        <v>18151.349999999999</v>
      </c>
      <c r="I83" s="16">
        <f>IF(NOT(Paths!$C$13=1),0,IF(Paths!$P$13="Complete",IF(IF(Paths!$E$13=0,C83=0,AND(C83&gt;0,Paths!$E$13&gt;(C83-1)*12,Paths!$E$13&lt;=C83*12)),Paths!$G$13,0),"n.a."))</f>
        <v>0</v>
      </c>
      <c r="J83" s="16">
        <f>IF(NOT(Paths!$C$13=1),0,IF(Paths!$P$13="Complete",IF(IF(Paths!$E$13=0,C83=0,AND(C83&gt;0,Paths!$E$13&gt;(C83-1)*12,Paths!$E$13&lt;=C83*12)),Paths!$H$13,0),"n.a."))</f>
        <v>0</v>
      </c>
      <c r="K83" s="16">
        <f>IF(NOT(Paths!$C$13=1),0,IF(Paths!$P$13="Complete",IF(IF(Paths!$O$13=0,C83=0,AND(C83&gt;0,Paths!$O$13&gt;(C83-1)*12,Paths!$O$13&lt;=C83*12)),Paths!$N$13,0),"n.a."))</f>
        <v>0</v>
      </c>
      <c r="L83" s="16">
        <f>IF(NOT(Paths!$C$13=1),0,IF(Paths!$P$13="Complete",IF(C83=10,Paths!$I$13,0),"n.a."))</f>
        <v>30600</v>
      </c>
      <c r="M83" s="16">
        <f>IF(NOT(Paths!$C$13=1),0,IF(Paths!$P$13="Complete",IF(AND(Paths!$D$13="EV",Paths!$E$13&lt;120,Paths!$E$13+'Operating costs'!$B$65&gt;Paths!$E$13,Paths!$E$13+'Operating costs'!$B$65&lt;=120,IF(Paths!$E$13+'Operating costs'!$B$65=0,C83=0,AND(C83&gt;0,Paths!$E$13+'Operating costs'!$B$65&gt;(C83-1)*12,Paths!$E$13+'Operating costs'!$B$65&lt;=C83*12))),'Operating costs'!$B$64,0)+IF(AND('Operating costs'!$B$67&gt;0,'Operating costs'!$B$67&lt;=120,OR(Paths!$D$13="ICE",'Operating costs'!$B$67&lt;=Paths!$E$13),IF('Operating costs'!$B$67=0,C83=0,AND(C83&gt;0,'Operating costs'!$B$67&gt;(C83-1)*12,'Operating costs'!$B$67&lt;=C83*12))),'Operating costs'!$B$66,0),"n.a."))</f>
        <v>0</v>
      </c>
      <c r="N83" s="16">
        <f>IF(NOT(Paths!$C$13=1),0,IF(Paths!$P$13="Complete",SUM(G83:I83)-J83-K83-L83+M83+IF(C83=0,Paths!$F$13,0)+IF(IF(Paths!$E$13=0,C83=0,AND(C83&gt;0,Paths!$E$13&gt;(C83-1)*12,Paths!$E$13&lt;=C83*12)),VLOOKUP(A83,'Fleet register'!$A$7:$S$106,16,FALSE),0),"n.a."))</f>
        <v>-12448.650000000001</v>
      </c>
      <c r="O83" s="16">
        <f>IF(NOT(Paths!$C$13=1),0,IF(Paths!$P$13="Complete",N83-IF(C83=0,Paths!$F$13,0),"n.a."))</f>
        <v>-12448.650000000001</v>
      </c>
      <c r="P83" s="16">
        <f>IF(NOT(Paths!$C$13=1),0,IF(Paths!$P$13="Complete",O83+L83,"n.a."))</f>
        <v>18151.349999999999</v>
      </c>
      <c r="Q83" s="16">
        <f>IF(NOT(Paths!$C$13=1),0,IF(Paths!$P$13="Complete",N83*(1+'Operating costs'!$B$54)^-C83,"n.a."))</f>
        <v>-12448.650000000001</v>
      </c>
      <c r="R83" s="16">
        <f>IF(NOT(Paths!$C$13=1),0,IF(Paths!$P$13="Complete",IF(AND(C83=0,Paths!$E$13=0),I83-J83-K83+VLOOKUP(A83,'Fleet register'!$A$7:$S$106,15,FALSE)+VLOOKUP(A83,'Fleet register'!$A$7:$S$106,16,FALSE),0),"n.a."))</f>
        <v>0</v>
      </c>
      <c r="S83" s="1">
        <f>IF(NOT(Paths!$C$13=1),0,IF(Paths!$P$13="Complete",IF(C83=0,0,Paths!$S$13*Paths!$R$13),"n.a."))</f>
        <v>45000</v>
      </c>
      <c r="T83" s="1">
        <f>IF(NOT(Paths!$C$13=1),0,IF(Paths!$P$13="Complete",IF(C83=0,0,VLOOKUP(A83,'Fleet register'!$A$7:$S$106,9,FALSE)*Paths!$R$13),"n.a."))</f>
        <v>7200</v>
      </c>
    </row>
    <row r="84" spans="1:20" ht="24" customHeight="1">
      <c r="A84" s="1" t="str">
        <f>Paths!$A$14</f>
        <v>T002</v>
      </c>
      <c r="B84" s="1">
        <f>Paths!$B$14</f>
        <v>3</v>
      </c>
      <c r="C84" s="1">
        <v>0</v>
      </c>
      <c r="D84" s="1">
        <v>14</v>
      </c>
      <c r="E84" s="1">
        <f>IF(OR(Paths!$C$14=0,C84=0),0,MAX(0,MIN(C84*12,Paths!$E$14)-(C84-1)*12))</f>
        <v>0</v>
      </c>
      <c r="F84" s="1">
        <f>IF(OR(Paths!$C$14=0,C84=0),0,12-E84)</f>
        <v>0</v>
      </c>
      <c r="G84" s="16">
        <f>IF(NOT(Paths!$C$14=1),0,IF(Paths!$P$14="Complete",E84/12*(Paths!$J$14*(1+'Operating costs'!$B$51)^MAX(0,C84-1)+Paths!$K$14*(1+'Operating costs'!$B$53)^MAX(0,C84-1)),"n.a."))</f>
        <v>0</v>
      </c>
      <c r="H84" s="16">
        <f>IF(NOT(Paths!$C$14=1),0,IF(Paths!$P$14="Complete",F84/12*(Paths!$L$14*(1+IF(Paths!$D$14="EV",'Operating costs'!$B$52,'Operating costs'!$B$51))^MAX(0,C84-1)+Paths!$M$14*(1+'Operating costs'!$B$53)^MAX(0,C84-1)),"n.a."))</f>
        <v>0</v>
      </c>
      <c r="I84" s="16">
        <f>IF(NOT(Paths!$C$14=1),0,IF(Paths!$P$14="Complete",IF(IF(Paths!$E$14=0,C84=0,AND(C84&gt;0,Paths!$E$14&gt;(C84-1)*12,Paths!$E$14&lt;=C84*12)),Paths!$G$14,0),"n.a."))</f>
        <v>171800</v>
      </c>
      <c r="J84" s="16">
        <f>IF(NOT(Paths!$C$14=1),0,IF(Paths!$P$14="Complete",IF(IF(Paths!$E$14=0,C84=0,AND(C84&gt;0,Paths!$E$14&gt;(C84-1)*12,Paths!$E$14&lt;=C84*12)),Paths!$H$14,0),"n.a."))</f>
        <v>30000</v>
      </c>
      <c r="K84" s="16">
        <f>IF(NOT(Paths!$C$14=1),0,IF(Paths!$P$14="Complete",IF(IF(Paths!$O$14=0,C84=0,AND(C84&gt;0,Paths!$O$14&gt;(C84-1)*12,Paths!$O$14&lt;=C84*12)),Paths!$N$14,0),"n.a."))</f>
        <v>0</v>
      </c>
      <c r="L84" s="16">
        <f>IF(NOT(Paths!$C$14=1),0,IF(Paths!$P$14="Complete",IF(C84=10,Paths!$I$14,0),"n.a."))</f>
        <v>0</v>
      </c>
      <c r="M84" s="16">
        <f>IF(NOT(Paths!$C$14=1),0,IF(Paths!$P$14="Complete",IF(AND(Paths!$D$14="EV",Paths!$E$14&lt;120,Paths!$E$14+'Operating costs'!$B$65&gt;Paths!$E$14,Paths!$E$14+'Operating costs'!$B$65&lt;=120,IF(Paths!$E$14+'Operating costs'!$B$65=0,C84=0,AND(C84&gt;0,Paths!$E$14+'Operating costs'!$B$65&gt;(C84-1)*12,Paths!$E$14+'Operating costs'!$B$65&lt;=C84*12))),'Operating costs'!$B$64,0)+IF(AND('Operating costs'!$B$67&gt;0,'Operating costs'!$B$67&lt;=120,OR(Paths!$D$14="ICE",'Operating costs'!$B$67&lt;=Paths!$E$14),IF('Operating costs'!$B$67=0,C84=0,AND(C84&gt;0,'Operating costs'!$B$67&gt;(C84-1)*12,'Operating costs'!$B$67&lt;=C84*12))),'Operating costs'!$B$66,0),"n.a."))</f>
        <v>0</v>
      </c>
      <c r="N84" s="16">
        <f>IF(NOT(Paths!$C$14=1),0,IF(Paths!$P$14="Complete",SUM(G84:I84)-J84-K84-L84+M84+IF(C84=0,Paths!$F$14,0)+IF(IF(Paths!$E$14=0,C84=0,AND(C84&gt;0,Paths!$E$14&gt;(C84-1)*12,Paths!$E$14&lt;=C84*12)),VLOOKUP(A84,'Fleet register'!$A$7:$S$106,16,FALSE),0),"n.a."))</f>
        <v>171800</v>
      </c>
      <c r="O84" s="16">
        <f>IF(NOT(Paths!$C$14=1),0,IF(Paths!$P$14="Complete",N84-IF(C84=0,Paths!$F$14,0),"n.a."))</f>
        <v>141800</v>
      </c>
      <c r="P84" s="16">
        <f>IF(NOT(Paths!$C$14=1),0,IF(Paths!$P$14="Complete",O84+L84,"n.a."))</f>
        <v>141800</v>
      </c>
      <c r="Q84" s="16">
        <f>IF(NOT(Paths!$C$14=1),0,IF(Paths!$P$14="Complete",N84*(1+'Operating costs'!$B$54)^-C84,"n.a."))</f>
        <v>171800</v>
      </c>
      <c r="R84" s="16">
        <f>IF(NOT(Paths!$C$14=1),0,IF(Paths!$P$14="Complete",IF(AND(C84=0,Paths!$E$14=0),I84-J84-K84+VLOOKUP(A84,'Fleet register'!$A$7:$S$106,15,FALSE)+VLOOKUP(A84,'Fleet register'!$A$7:$S$106,16,FALSE),0),"n.a."))</f>
        <v>141800</v>
      </c>
      <c r="S84" s="1">
        <f>IF(NOT(Paths!$C$14=1),0,IF(Paths!$P$14="Complete",IF(C84=0,0,Paths!$S$14*Paths!$R$14),"n.a."))</f>
        <v>0</v>
      </c>
      <c r="T84" s="1">
        <f>IF(NOT(Paths!$C$14=1),0,IF(Paths!$P$14="Complete",IF(C84=0,0,VLOOKUP(A84,'Fleet register'!$A$7:$S$106,9,FALSE)*Paths!$R$14),"n.a."))</f>
        <v>0</v>
      </c>
    </row>
    <row r="85" spans="1:20" ht="24" customHeight="1">
      <c r="A85" s="1" t="str">
        <f>Paths!$A$14</f>
        <v>T002</v>
      </c>
      <c r="B85" s="1">
        <f>Paths!$B$14</f>
        <v>3</v>
      </c>
      <c r="C85" s="1">
        <v>1</v>
      </c>
      <c r="D85" s="1">
        <v>14</v>
      </c>
      <c r="E85" s="1">
        <f>IF(OR(Paths!$C$14=0,C85=0),0,MAX(0,MIN(C85*12,Paths!$E$14)-(C85-1)*12))</f>
        <v>0</v>
      </c>
      <c r="F85" s="1">
        <f>IF(OR(Paths!$C$14=0,C85=0),0,12-E85)</f>
        <v>12</v>
      </c>
      <c r="G85" s="16">
        <f>IF(NOT(Paths!$C$14=1),0,IF(Paths!$P$14="Complete",E85/12*(Paths!$J$14*(1+'Operating costs'!$B$51)^MAX(0,C85-1)+Paths!$K$14*(1+'Operating costs'!$B$53)^MAX(0,C85-1)),"n.a."))</f>
        <v>0</v>
      </c>
      <c r="H85" s="16">
        <f>IF(NOT(Paths!$C$14=1),0,IF(Paths!$P$14="Complete",F85/12*(Paths!$L$14*(1+IF(Paths!$D$14="EV",'Operating costs'!$B$52,'Operating costs'!$B$51))^MAX(0,C85-1)+Paths!$M$14*(1+'Operating costs'!$B$53)^MAX(0,C85-1)),"n.a."))</f>
        <v>15636.851517552668</v>
      </c>
      <c r="I85" s="16">
        <f>IF(NOT(Paths!$C$14=1),0,IF(Paths!$P$14="Complete",IF(IF(Paths!$E$14=0,C85=0,AND(C85&gt;0,Paths!$E$14&gt;(C85-1)*12,Paths!$E$14&lt;=C85*12)),Paths!$G$14,0),"n.a."))</f>
        <v>0</v>
      </c>
      <c r="J85" s="16">
        <f>IF(NOT(Paths!$C$14=1),0,IF(Paths!$P$14="Complete",IF(IF(Paths!$E$14=0,C85=0,AND(C85&gt;0,Paths!$E$14&gt;(C85-1)*12,Paths!$E$14&lt;=C85*12)),Paths!$H$14,0),"n.a."))</f>
        <v>0</v>
      </c>
      <c r="K85" s="16">
        <f>IF(NOT(Paths!$C$14=1),0,IF(Paths!$P$14="Complete",IF(IF(Paths!$O$14=0,C85=0,AND(C85&gt;0,Paths!$O$14&gt;(C85-1)*12,Paths!$O$14&lt;=C85*12)),Paths!$N$14,0),"n.a."))</f>
        <v>0</v>
      </c>
      <c r="L85" s="16">
        <f>IF(NOT(Paths!$C$14=1),0,IF(Paths!$P$14="Complete",IF(C85=10,Paths!$I$14,0),"n.a."))</f>
        <v>0</v>
      </c>
      <c r="M85" s="16">
        <f>IF(NOT(Paths!$C$14=1),0,IF(Paths!$P$14="Complete",IF(AND(Paths!$D$14="EV",Paths!$E$14&lt;120,Paths!$E$14+'Operating costs'!$B$65&gt;Paths!$E$14,Paths!$E$14+'Operating costs'!$B$65&lt;=120,IF(Paths!$E$14+'Operating costs'!$B$65=0,C85=0,AND(C85&gt;0,Paths!$E$14+'Operating costs'!$B$65&gt;(C85-1)*12,Paths!$E$14+'Operating costs'!$B$65&lt;=C85*12))),'Operating costs'!$B$64,0)+IF(AND('Operating costs'!$B$67&gt;0,'Operating costs'!$B$67&lt;=120,OR(Paths!$D$14="ICE",'Operating costs'!$B$67&lt;=Paths!$E$14),IF('Operating costs'!$B$67=0,C85=0,AND(C85&gt;0,'Operating costs'!$B$67&gt;(C85-1)*12,'Operating costs'!$B$67&lt;=C85*12))),'Operating costs'!$B$66,0),"n.a."))</f>
        <v>0</v>
      </c>
      <c r="N85" s="16">
        <f>IF(NOT(Paths!$C$14=1),0,IF(Paths!$P$14="Complete",SUM(G85:I85)-J85-K85-L85+M85+IF(C85=0,Paths!$F$14,0)+IF(IF(Paths!$E$14=0,C85=0,AND(C85&gt;0,Paths!$E$14&gt;(C85-1)*12,Paths!$E$14&lt;=C85*12)),VLOOKUP(A85,'Fleet register'!$A$7:$S$106,16,FALSE),0),"n.a."))</f>
        <v>15636.851517552668</v>
      </c>
      <c r="O85" s="16">
        <f>IF(NOT(Paths!$C$14=1),0,IF(Paths!$P$14="Complete",N85-IF(C85=0,Paths!$F$14,0),"n.a."))</f>
        <v>15636.851517552668</v>
      </c>
      <c r="P85" s="16">
        <f>IF(NOT(Paths!$C$14=1),0,IF(Paths!$P$14="Complete",O85+L85,"n.a."))</f>
        <v>15636.851517552668</v>
      </c>
      <c r="Q85" s="16">
        <f>IF(NOT(Paths!$C$14=1),0,IF(Paths!$P$14="Complete",N85*(1+'Operating costs'!$B$54)^-C85,"n.a."))</f>
        <v>15636.851517552668</v>
      </c>
      <c r="R85" s="16">
        <f>IF(NOT(Paths!$C$14=1),0,IF(Paths!$P$14="Complete",IF(AND(C85=0,Paths!$E$14=0),I85-J85-K85+VLOOKUP(A85,'Fleet register'!$A$7:$S$106,15,FALSE)+VLOOKUP(A85,'Fleet register'!$A$7:$S$106,16,FALSE),0),"n.a."))</f>
        <v>0</v>
      </c>
      <c r="S85" s="1">
        <f>IF(NOT(Paths!$C$14=1),0,IF(Paths!$P$14="Complete",IF(C85=0,0,Paths!$S$14*Paths!$R$14),"n.a."))</f>
        <v>45000</v>
      </c>
      <c r="T85" s="1">
        <f>IF(NOT(Paths!$C$14=1),0,IF(Paths!$P$14="Complete",IF(C85=0,0,VLOOKUP(A85,'Fleet register'!$A$7:$S$106,9,FALSE)*Paths!$R$14),"n.a."))</f>
        <v>7200</v>
      </c>
    </row>
    <row r="86" spans="1:20" ht="24" customHeight="1">
      <c r="A86" s="1" t="str">
        <f>Paths!$A$14</f>
        <v>T002</v>
      </c>
      <c r="B86" s="1">
        <f>Paths!$B$14</f>
        <v>3</v>
      </c>
      <c r="C86" s="1">
        <v>2</v>
      </c>
      <c r="D86" s="1">
        <v>14</v>
      </c>
      <c r="E86" s="1">
        <f>IF(OR(Paths!$C$14=0,C86=0),0,MAX(0,MIN(C86*12,Paths!$E$14)-(C86-1)*12))</f>
        <v>0</v>
      </c>
      <c r="F86" s="1">
        <f>IF(OR(Paths!$C$14=0,C86=0),0,12-E86)</f>
        <v>12</v>
      </c>
      <c r="G86" s="16">
        <f>IF(NOT(Paths!$C$14=1),0,IF(Paths!$P$14="Complete",E86/12*(Paths!$J$14*(1+'Operating costs'!$B$51)^MAX(0,C86-1)+Paths!$K$14*(1+'Operating costs'!$B$53)^MAX(0,C86-1)),"n.a."))</f>
        <v>0</v>
      </c>
      <c r="H86" s="16">
        <f>IF(NOT(Paths!$C$14=1),0,IF(Paths!$P$14="Complete",F86/12*(Paths!$L$14*(1+IF(Paths!$D$14="EV",'Operating costs'!$B$52,'Operating costs'!$B$51))^MAX(0,C86-1)+Paths!$M$14*(1+'Operating costs'!$B$53)^MAX(0,C86-1)),"n.a."))</f>
        <v>15636.851517552668</v>
      </c>
      <c r="I86" s="16">
        <f>IF(NOT(Paths!$C$14=1),0,IF(Paths!$P$14="Complete",IF(IF(Paths!$E$14=0,C86=0,AND(C86&gt;0,Paths!$E$14&gt;(C86-1)*12,Paths!$E$14&lt;=C86*12)),Paths!$G$14,0),"n.a."))</f>
        <v>0</v>
      </c>
      <c r="J86" s="16">
        <f>IF(NOT(Paths!$C$14=1),0,IF(Paths!$P$14="Complete",IF(IF(Paths!$E$14=0,C86=0,AND(C86&gt;0,Paths!$E$14&gt;(C86-1)*12,Paths!$E$14&lt;=C86*12)),Paths!$H$14,0),"n.a."))</f>
        <v>0</v>
      </c>
      <c r="K86" s="16">
        <f>IF(NOT(Paths!$C$14=1),0,IF(Paths!$P$14="Complete",IF(IF(Paths!$O$14=0,C86=0,AND(C86&gt;0,Paths!$O$14&gt;(C86-1)*12,Paths!$O$14&lt;=C86*12)),Paths!$N$14,0),"n.a."))</f>
        <v>0</v>
      </c>
      <c r="L86" s="16">
        <f>IF(NOT(Paths!$C$14=1),0,IF(Paths!$P$14="Complete",IF(C86=10,Paths!$I$14,0),"n.a."))</f>
        <v>0</v>
      </c>
      <c r="M86" s="16">
        <f>IF(NOT(Paths!$C$14=1),0,IF(Paths!$P$14="Complete",IF(AND(Paths!$D$14="EV",Paths!$E$14&lt;120,Paths!$E$14+'Operating costs'!$B$65&gt;Paths!$E$14,Paths!$E$14+'Operating costs'!$B$65&lt;=120,IF(Paths!$E$14+'Operating costs'!$B$65=0,C86=0,AND(C86&gt;0,Paths!$E$14+'Operating costs'!$B$65&gt;(C86-1)*12,Paths!$E$14+'Operating costs'!$B$65&lt;=C86*12))),'Operating costs'!$B$64,0)+IF(AND('Operating costs'!$B$67&gt;0,'Operating costs'!$B$67&lt;=120,OR(Paths!$D$14="ICE",'Operating costs'!$B$67&lt;=Paths!$E$14),IF('Operating costs'!$B$67=0,C86=0,AND(C86&gt;0,'Operating costs'!$B$67&gt;(C86-1)*12,'Operating costs'!$B$67&lt;=C86*12))),'Operating costs'!$B$66,0),"n.a."))</f>
        <v>0</v>
      </c>
      <c r="N86" s="16">
        <f>IF(NOT(Paths!$C$14=1),0,IF(Paths!$P$14="Complete",SUM(G86:I86)-J86-K86-L86+M86+IF(C86=0,Paths!$F$14,0)+IF(IF(Paths!$E$14=0,C86=0,AND(C86&gt;0,Paths!$E$14&gt;(C86-1)*12,Paths!$E$14&lt;=C86*12)),VLOOKUP(A86,'Fleet register'!$A$7:$S$106,16,FALSE),0),"n.a."))</f>
        <v>15636.851517552668</v>
      </c>
      <c r="O86" s="16">
        <f>IF(NOT(Paths!$C$14=1),0,IF(Paths!$P$14="Complete",N86-IF(C86=0,Paths!$F$14,0),"n.a."))</f>
        <v>15636.851517552668</v>
      </c>
      <c r="P86" s="16">
        <f>IF(NOT(Paths!$C$14=1),0,IF(Paths!$P$14="Complete",O86+L86,"n.a."))</f>
        <v>15636.851517552668</v>
      </c>
      <c r="Q86" s="16">
        <f>IF(NOT(Paths!$C$14=1),0,IF(Paths!$P$14="Complete",N86*(1+'Operating costs'!$B$54)^-C86,"n.a."))</f>
        <v>15636.851517552668</v>
      </c>
      <c r="R86" s="16">
        <f>IF(NOT(Paths!$C$14=1),0,IF(Paths!$P$14="Complete",IF(AND(C86=0,Paths!$E$14=0),I86-J86-K86+VLOOKUP(A86,'Fleet register'!$A$7:$S$106,15,FALSE)+VLOOKUP(A86,'Fleet register'!$A$7:$S$106,16,FALSE),0),"n.a."))</f>
        <v>0</v>
      </c>
      <c r="S86" s="1">
        <f>IF(NOT(Paths!$C$14=1),0,IF(Paths!$P$14="Complete",IF(C86=0,0,Paths!$S$14*Paths!$R$14),"n.a."))</f>
        <v>45000</v>
      </c>
      <c r="T86" s="1">
        <f>IF(NOT(Paths!$C$14=1),0,IF(Paths!$P$14="Complete",IF(C86=0,0,VLOOKUP(A86,'Fleet register'!$A$7:$S$106,9,FALSE)*Paths!$R$14),"n.a."))</f>
        <v>7200</v>
      </c>
    </row>
    <row r="87" spans="1:20" ht="24" customHeight="1">
      <c r="A87" s="1" t="str">
        <f>Paths!$A$14</f>
        <v>T002</v>
      </c>
      <c r="B87" s="1">
        <f>Paths!$B$14</f>
        <v>3</v>
      </c>
      <c r="C87" s="1">
        <v>3</v>
      </c>
      <c r="D87" s="1">
        <v>14</v>
      </c>
      <c r="E87" s="1">
        <f>IF(OR(Paths!$C$14=0,C87=0),0,MAX(0,MIN(C87*12,Paths!$E$14)-(C87-1)*12))</f>
        <v>0</v>
      </c>
      <c r="F87" s="1">
        <f>IF(OR(Paths!$C$14=0,C87=0),0,12-E87)</f>
        <v>12</v>
      </c>
      <c r="G87" s="16">
        <f>IF(NOT(Paths!$C$14=1),0,IF(Paths!$P$14="Complete",E87/12*(Paths!$J$14*(1+'Operating costs'!$B$51)^MAX(0,C87-1)+Paths!$K$14*(1+'Operating costs'!$B$53)^MAX(0,C87-1)),"n.a."))</f>
        <v>0</v>
      </c>
      <c r="H87" s="16">
        <f>IF(NOT(Paths!$C$14=1),0,IF(Paths!$P$14="Complete",F87/12*(Paths!$L$14*(1+IF(Paths!$D$14="EV",'Operating costs'!$B$52,'Operating costs'!$B$51))^MAX(0,C87-1)+Paths!$M$14*(1+'Operating costs'!$B$53)^MAX(0,C87-1)),"n.a."))</f>
        <v>15636.851517552668</v>
      </c>
      <c r="I87" s="16">
        <f>IF(NOT(Paths!$C$14=1),0,IF(Paths!$P$14="Complete",IF(IF(Paths!$E$14=0,C87=0,AND(C87&gt;0,Paths!$E$14&gt;(C87-1)*12,Paths!$E$14&lt;=C87*12)),Paths!$G$14,0),"n.a."))</f>
        <v>0</v>
      </c>
      <c r="J87" s="16">
        <f>IF(NOT(Paths!$C$14=1),0,IF(Paths!$P$14="Complete",IF(IF(Paths!$E$14=0,C87=0,AND(C87&gt;0,Paths!$E$14&gt;(C87-1)*12,Paths!$E$14&lt;=C87*12)),Paths!$H$14,0),"n.a."))</f>
        <v>0</v>
      </c>
      <c r="K87" s="16">
        <f>IF(NOT(Paths!$C$14=1),0,IF(Paths!$P$14="Complete",IF(IF(Paths!$O$14=0,C87=0,AND(C87&gt;0,Paths!$O$14&gt;(C87-1)*12,Paths!$O$14&lt;=C87*12)),Paths!$N$14,0),"n.a."))</f>
        <v>0</v>
      </c>
      <c r="L87" s="16">
        <f>IF(NOT(Paths!$C$14=1),0,IF(Paths!$P$14="Complete",IF(C87=10,Paths!$I$14,0),"n.a."))</f>
        <v>0</v>
      </c>
      <c r="M87" s="16">
        <f>IF(NOT(Paths!$C$14=1),0,IF(Paths!$P$14="Complete",IF(AND(Paths!$D$14="EV",Paths!$E$14&lt;120,Paths!$E$14+'Operating costs'!$B$65&gt;Paths!$E$14,Paths!$E$14+'Operating costs'!$B$65&lt;=120,IF(Paths!$E$14+'Operating costs'!$B$65=0,C87=0,AND(C87&gt;0,Paths!$E$14+'Operating costs'!$B$65&gt;(C87-1)*12,Paths!$E$14+'Operating costs'!$B$65&lt;=C87*12))),'Operating costs'!$B$64,0)+IF(AND('Operating costs'!$B$67&gt;0,'Operating costs'!$B$67&lt;=120,OR(Paths!$D$14="ICE",'Operating costs'!$B$67&lt;=Paths!$E$14),IF('Operating costs'!$B$67=0,C87=0,AND(C87&gt;0,'Operating costs'!$B$67&gt;(C87-1)*12,'Operating costs'!$B$67&lt;=C87*12))),'Operating costs'!$B$66,0),"n.a."))</f>
        <v>0</v>
      </c>
      <c r="N87" s="16">
        <f>IF(NOT(Paths!$C$14=1),0,IF(Paths!$P$14="Complete",SUM(G87:I87)-J87-K87-L87+M87+IF(C87=0,Paths!$F$14,0)+IF(IF(Paths!$E$14=0,C87=0,AND(C87&gt;0,Paths!$E$14&gt;(C87-1)*12,Paths!$E$14&lt;=C87*12)),VLOOKUP(A87,'Fleet register'!$A$7:$S$106,16,FALSE),0),"n.a."))</f>
        <v>15636.851517552668</v>
      </c>
      <c r="O87" s="16">
        <f>IF(NOT(Paths!$C$14=1),0,IF(Paths!$P$14="Complete",N87-IF(C87=0,Paths!$F$14,0),"n.a."))</f>
        <v>15636.851517552668</v>
      </c>
      <c r="P87" s="16">
        <f>IF(NOT(Paths!$C$14=1),0,IF(Paths!$P$14="Complete",O87+L87,"n.a."))</f>
        <v>15636.851517552668</v>
      </c>
      <c r="Q87" s="16">
        <f>IF(NOT(Paths!$C$14=1),0,IF(Paths!$P$14="Complete",N87*(1+'Operating costs'!$B$54)^-C87,"n.a."))</f>
        <v>15636.851517552668</v>
      </c>
      <c r="R87" s="16">
        <f>IF(NOT(Paths!$C$14=1),0,IF(Paths!$P$14="Complete",IF(AND(C87=0,Paths!$E$14=0),I87-J87-K87+VLOOKUP(A87,'Fleet register'!$A$7:$S$106,15,FALSE)+VLOOKUP(A87,'Fleet register'!$A$7:$S$106,16,FALSE),0),"n.a."))</f>
        <v>0</v>
      </c>
      <c r="S87" s="1">
        <f>IF(NOT(Paths!$C$14=1),0,IF(Paths!$P$14="Complete",IF(C87=0,0,Paths!$S$14*Paths!$R$14),"n.a."))</f>
        <v>45000</v>
      </c>
      <c r="T87" s="1">
        <f>IF(NOT(Paths!$C$14=1),0,IF(Paths!$P$14="Complete",IF(C87=0,0,VLOOKUP(A87,'Fleet register'!$A$7:$S$106,9,FALSE)*Paths!$R$14),"n.a."))</f>
        <v>7200</v>
      </c>
    </row>
    <row r="88" spans="1:20" ht="24" customHeight="1">
      <c r="A88" s="1" t="str">
        <f>Paths!$A$14</f>
        <v>T002</v>
      </c>
      <c r="B88" s="1">
        <f>Paths!$B$14</f>
        <v>3</v>
      </c>
      <c r="C88" s="1">
        <v>4</v>
      </c>
      <c r="D88" s="1">
        <v>14</v>
      </c>
      <c r="E88" s="1">
        <f>IF(OR(Paths!$C$14=0,C88=0),0,MAX(0,MIN(C88*12,Paths!$E$14)-(C88-1)*12))</f>
        <v>0</v>
      </c>
      <c r="F88" s="1">
        <f>IF(OR(Paths!$C$14=0,C88=0),0,12-E88)</f>
        <v>12</v>
      </c>
      <c r="G88" s="16">
        <f>IF(NOT(Paths!$C$14=1),0,IF(Paths!$P$14="Complete",E88/12*(Paths!$J$14*(1+'Operating costs'!$B$51)^MAX(0,C88-1)+Paths!$K$14*(1+'Operating costs'!$B$53)^MAX(0,C88-1)),"n.a."))</f>
        <v>0</v>
      </c>
      <c r="H88" s="16">
        <f>IF(NOT(Paths!$C$14=1),0,IF(Paths!$P$14="Complete",F88/12*(Paths!$L$14*(1+IF(Paths!$D$14="EV",'Operating costs'!$B$52,'Operating costs'!$B$51))^MAX(0,C88-1)+Paths!$M$14*(1+'Operating costs'!$B$53)^MAX(0,C88-1)),"n.a."))</f>
        <v>15636.851517552668</v>
      </c>
      <c r="I88" s="16">
        <f>IF(NOT(Paths!$C$14=1),0,IF(Paths!$P$14="Complete",IF(IF(Paths!$E$14=0,C88=0,AND(C88&gt;0,Paths!$E$14&gt;(C88-1)*12,Paths!$E$14&lt;=C88*12)),Paths!$G$14,0),"n.a."))</f>
        <v>0</v>
      </c>
      <c r="J88" s="16">
        <f>IF(NOT(Paths!$C$14=1),0,IF(Paths!$P$14="Complete",IF(IF(Paths!$E$14=0,C88=0,AND(C88&gt;0,Paths!$E$14&gt;(C88-1)*12,Paths!$E$14&lt;=C88*12)),Paths!$H$14,0),"n.a."))</f>
        <v>0</v>
      </c>
      <c r="K88" s="16">
        <f>IF(NOT(Paths!$C$14=1),0,IF(Paths!$P$14="Complete",IF(IF(Paths!$O$14=0,C88=0,AND(C88&gt;0,Paths!$O$14&gt;(C88-1)*12,Paths!$O$14&lt;=C88*12)),Paths!$N$14,0),"n.a."))</f>
        <v>0</v>
      </c>
      <c r="L88" s="16">
        <f>IF(NOT(Paths!$C$14=1),0,IF(Paths!$P$14="Complete",IF(C88=10,Paths!$I$14,0),"n.a."))</f>
        <v>0</v>
      </c>
      <c r="M88" s="16">
        <f>IF(NOT(Paths!$C$14=1),0,IF(Paths!$P$14="Complete",IF(AND(Paths!$D$14="EV",Paths!$E$14&lt;120,Paths!$E$14+'Operating costs'!$B$65&gt;Paths!$E$14,Paths!$E$14+'Operating costs'!$B$65&lt;=120,IF(Paths!$E$14+'Operating costs'!$B$65=0,C88=0,AND(C88&gt;0,Paths!$E$14+'Operating costs'!$B$65&gt;(C88-1)*12,Paths!$E$14+'Operating costs'!$B$65&lt;=C88*12))),'Operating costs'!$B$64,0)+IF(AND('Operating costs'!$B$67&gt;0,'Operating costs'!$B$67&lt;=120,OR(Paths!$D$14="ICE",'Operating costs'!$B$67&lt;=Paths!$E$14),IF('Operating costs'!$B$67=0,C88=0,AND(C88&gt;0,'Operating costs'!$B$67&gt;(C88-1)*12,'Operating costs'!$B$67&lt;=C88*12))),'Operating costs'!$B$66,0),"n.a."))</f>
        <v>0</v>
      </c>
      <c r="N88" s="16">
        <f>IF(NOT(Paths!$C$14=1),0,IF(Paths!$P$14="Complete",SUM(G88:I88)-J88-K88-L88+M88+IF(C88=0,Paths!$F$14,0)+IF(IF(Paths!$E$14=0,C88=0,AND(C88&gt;0,Paths!$E$14&gt;(C88-1)*12,Paths!$E$14&lt;=C88*12)),VLOOKUP(A88,'Fleet register'!$A$7:$S$106,16,FALSE),0),"n.a."))</f>
        <v>15636.851517552668</v>
      </c>
      <c r="O88" s="16">
        <f>IF(NOT(Paths!$C$14=1),0,IF(Paths!$P$14="Complete",N88-IF(C88=0,Paths!$F$14,0),"n.a."))</f>
        <v>15636.851517552668</v>
      </c>
      <c r="P88" s="16">
        <f>IF(NOT(Paths!$C$14=1),0,IF(Paths!$P$14="Complete",O88+L88,"n.a."))</f>
        <v>15636.851517552668</v>
      </c>
      <c r="Q88" s="16">
        <f>IF(NOT(Paths!$C$14=1),0,IF(Paths!$P$14="Complete",N88*(1+'Operating costs'!$B$54)^-C88,"n.a."))</f>
        <v>15636.851517552668</v>
      </c>
      <c r="R88" s="16">
        <f>IF(NOT(Paths!$C$14=1),0,IF(Paths!$P$14="Complete",IF(AND(C88=0,Paths!$E$14=0),I88-J88-K88+VLOOKUP(A88,'Fleet register'!$A$7:$S$106,15,FALSE)+VLOOKUP(A88,'Fleet register'!$A$7:$S$106,16,FALSE),0),"n.a."))</f>
        <v>0</v>
      </c>
      <c r="S88" s="1">
        <f>IF(NOT(Paths!$C$14=1),0,IF(Paths!$P$14="Complete",IF(C88=0,0,Paths!$S$14*Paths!$R$14),"n.a."))</f>
        <v>45000</v>
      </c>
      <c r="T88" s="1">
        <f>IF(NOT(Paths!$C$14=1),0,IF(Paths!$P$14="Complete",IF(C88=0,0,VLOOKUP(A88,'Fleet register'!$A$7:$S$106,9,FALSE)*Paths!$R$14),"n.a."))</f>
        <v>7200</v>
      </c>
    </row>
    <row r="89" spans="1:20" ht="24" customHeight="1">
      <c r="A89" s="1" t="str">
        <f>Paths!$A$14</f>
        <v>T002</v>
      </c>
      <c r="B89" s="1">
        <f>Paths!$B$14</f>
        <v>3</v>
      </c>
      <c r="C89" s="1">
        <v>5</v>
      </c>
      <c r="D89" s="1">
        <v>14</v>
      </c>
      <c r="E89" s="1">
        <f>IF(OR(Paths!$C$14=0,C89=0),0,MAX(0,MIN(C89*12,Paths!$E$14)-(C89-1)*12))</f>
        <v>0</v>
      </c>
      <c r="F89" s="1">
        <f>IF(OR(Paths!$C$14=0,C89=0),0,12-E89)</f>
        <v>12</v>
      </c>
      <c r="G89" s="16">
        <f>IF(NOT(Paths!$C$14=1),0,IF(Paths!$P$14="Complete",E89/12*(Paths!$J$14*(1+'Operating costs'!$B$51)^MAX(0,C89-1)+Paths!$K$14*(1+'Operating costs'!$B$53)^MAX(0,C89-1)),"n.a."))</f>
        <v>0</v>
      </c>
      <c r="H89" s="16">
        <f>IF(NOT(Paths!$C$14=1),0,IF(Paths!$P$14="Complete",F89/12*(Paths!$L$14*(1+IF(Paths!$D$14="EV",'Operating costs'!$B$52,'Operating costs'!$B$51))^MAX(0,C89-1)+Paths!$M$14*(1+'Operating costs'!$B$53)^MAX(0,C89-1)),"n.a."))</f>
        <v>15636.851517552668</v>
      </c>
      <c r="I89" s="16">
        <f>IF(NOT(Paths!$C$14=1),0,IF(Paths!$P$14="Complete",IF(IF(Paths!$E$14=0,C89=0,AND(C89&gt;0,Paths!$E$14&gt;(C89-1)*12,Paths!$E$14&lt;=C89*12)),Paths!$G$14,0),"n.a."))</f>
        <v>0</v>
      </c>
      <c r="J89" s="16">
        <f>IF(NOT(Paths!$C$14=1),0,IF(Paths!$P$14="Complete",IF(IF(Paths!$E$14=0,C89=0,AND(C89&gt;0,Paths!$E$14&gt;(C89-1)*12,Paths!$E$14&lt;=C89*12)),Paths!$H$14,0),"n.a."))</f>
        <v>0</v>
      </c>
      <c r="K89" s="16">
        <f>IF(NOT(Paths!$C$14=1),0,IF(Paths!$P$14="Complete",IF(IF(Paths!$O$14=0,C89=0,AND(C89&gt;0,Paths!$O$14&gt;(C89-1)*12,Paths!$O$14&lt;=C89*12)),Paths!$N$14,0),"n.a."))</f>
        <v>0</v>
      </c>
      <c r="L89" s="16">
        <f>IF(NOT(Paths!$C$14=1),0,IF(Paths!$P$14="Complete",IF(C89=10,Paths!$I$14,0),"n.a."))</f>
        <v>0</v>
      </c>
      <c r="M89" s="16">
        <f>IF(NOT(Paths!$C$14=1),0,IF(Paths!$P$14="Complete",IF(AND(Paths!$D$14="EV",Paths!$E$14&lt;120,Paths!$E$14+'Operating costs'!$B$65&gt;Paths!$E$14,Paths!$E$14+'Operating costs'!$B$65&lt;=120,IF(Paths!$E$14+'Operating costs'!$B$65=0,C89=0,AND(C89&gt;0,Paths!$E$14+'Operating costs'!$B$65&gt;(C89-1)*12,Paths!$E$14+'Operating costs'!$B$65&lt;=C89*12))),'Operating costs'!$B$64,0)+IF(AND('Operating costs'!$B$67&gt;0,'Operating costs'!$B$67&lt;=120,OR(Paths!$D$14="ICE",'Operating costs'!$B$67&lt;=Paths!$E$14),IF('Operating costs'!$B$67=0,C89=0,AND(C89&gt;0,'Operating costs'!$B$67&gt;(C89-1)*12,'Operating costs'!$B$67&lt;=C89*12))),'Operating costs'!$B$66,0),"n.a."))</f>
        <v>0</v>
      </c>
      <c r="N89" s="16">
        <f>IF(NOT(Paths!$C$14=1),0,IF(Paths!$P$14="Complete",SUM(G89:I89)-J89-K89-L89+M89+IF(C89=0,Paths!$F$14,0)+IF(IF(Paths!$E$14=0,C89=0,AND(C89&gt;0,Paths!$E$14&gt;(C89-1)*12,Paths!$E$14&lt;=C89*12)),VLOOKUP(A89,'Fleet register'!$A$7:$S$106,16,FALSE),0),"n.a."))</f>
        <v>15636.851517552668</v>
      </c>
      <c r="O89" s="16">
        <f>IF(NOT(Paths!$C$14=1),0,IF(Paths!$P$14="Complete",N89-IF(C89=0,Paths!$F$14,0),"n.a."))</f>
        <v>15636.851517552668</v>
      </c>
      <c r="P89" s="16">
        <f>IF(NOT(Paths!$C$14=1),0,IF(Paths!$P$14="Complete",O89+L89,"n.a."))</f>
        <v>15636.851517552668</v>
      </c>
      <c r="Q89" s="16">
        <f>IF(NOT(Paths!$C$14=1),0,IF(Paths!$P$14="Complete",N89*(1+'Operating costs'!$B$54)^-C89,"n.a."))</f>
        <v>15636.851517552668</v>
      </c>
      <c r="R89" s="16">
        <f>IF(NOT(Paths!$C$14=1),0,IF(Paths!$P$14="Complete",IF(AND(C89=0,Paths!$E$14=0),I89-J89-K89+VLOOKUP(A89,'Fleet register'!$A$7:$S$106,15,FALSE)+VLOOKUP(A89,'Fleet register'!$A$7:$S$106,16,FALSE),0),"n.a."))</f>
        <v>0</v>
      </c>
      <c r="S89" s="1">
        <f>IF(NOT(Paths!$C$14=1),0,IF(Paths!$P$14="Complete",IF(C89=0,0,Paths!$S$14*Paths!$R$14),"n.a."))</f>
        <v>45000</v>
      </c>
      <c r="T89" s="1">
        <f>IF(NOT(Paths!$C$14=1),0,IF(Paths!$P$14="Complete",IF(C89=0,0,VLOOKUP(A89,'Fleet register'!$A$7:$S$106,9,FALSE)*Paths!$R$14),"n.a."))</f>
        <v>7200</v>
      </c>
    </row>
    <row r="90" spans="1:20" ht="24" customHeight="1">
      <c r="A90" s="1" t="str">
        <f>Paths!$A$14</f>
        <v>T002</v>
      </c>
      <c r="B90" s="1">
        <f>Paths!$B$14</f>
        <v>3</v>
      </c>
      <c r="C90" s="1">
        <v>6</v>
      </c>
      <c r="D90" s="1">
        <v>14</v>
      </c>
      <c r="E90" s="1">
        <f>IF(OR(Paths!$C$14=0,C90=0),0,MAX(0,MIN(C90*12,Paths!$E$14)-(C90-1)*12))</f>
        <v>0</v>
      </c>
      <c r="F90" s="1">
        <f>IF(OR(Paths!$C$14=0,C90=0),0,12-E90)</f>
        <v>12</v>
      </c>
      <c r="G90" s="16">
        <f>IF(NOT(Paths!$C$14=1),0,IF(Paths!$P$14="Complete",E90/12*(Paths!$J$14*(1+'Operating costs'!$B$51)^MAX(0,C90-1)+Paths!$K$14*(1+'Operating costs'!$B$53)^MAX(0,C90-1)),"n.a."))</f>
        <v>0</v>
      </c>
      <c r="H90" s="16">
        <f>IF(NOT(Paths!$C$14=1),0,IF(Paths!$P$14="Complete",F90/12*(Paths!$L$14*(1+IF(Paths!$D$14="EV",'Operating costs'!$B$52,'Operating costs'!$B$51))^MAX(0,C90-1)+Paths!$M$14*(1+'Operating costs'!$B$53)^MAX(0,C90-1)),"n.a."))</f>
        <v>15636.851517552668</v>
      </c>
      <c r="I90" s="16">
        <f>IF(NOT(Paths!$C$14=1),0,IF(Paths!$P$14="Complete",IF(IF(Paths!$E$14=0,C90=0,AND(C90&gt;0,Paths!$E$14&gt;(C90-1)*12,Paths!$E$14&lt;=C90*12)),Paths!$G$14,0),"n.a."))</f>
        <v>0</v>
      </c>
      <c r="J90" s="16">
        <f>IF(NOT(Paths!$C$14=1),0,IF(Paths!$P$14="Complete",IF(IF(Paths!$E$14=0,C90=0,AND(C90&gt;0,Paths!$E$14&gt;(C90-1)*12,Paths!$E$14&lt;=C90*12)),Paths!$H$14,0),"n.a."))</f>
        <v>0</v>
      </c>
      <c r="K90" s="16">
        <f>IF(NOT(Paths!$C$14=1),0,IF(Paths!$P$14="Complete",IF(IF(Paths!$O$14=0,C90=0,AND(C90&gt;0,Paths!$O$14&gt;(C90-1)*12,Paths!$O$14&lt;=C90*12)),Paths!$N$14,0),"n.a."))</f>
        <v>0</v>
      </c>
      <c r="L90" s="16">
        <f>IF(NOT(Paths!$C$14=1),0,IF(Paths!$P$14="Complete",IF(C90=10,Paths!$I$14,0),"n.a."))</f>
        <v>0</v>
      </c>
      <c r="M90" s="16">
        <f>IF(NOT(Paths!$C$14=1),0,IF(Paths!$P$14="Complete",IF(AND(Paths!$D$14="EV",Paths!$E$14&lt;120,Paths!$E$14+'Operating costs'!$B$65&gt;Paths!$E$14,Paths!$E$14+'Operating costs'!$B$65&lt;=120,IF(Paths!$E$14+'Operating costs'!$B$65=0,C90=0,AND(C90&gt;0,Paths!$E$14+'Operating costs'!$B$65&gt;(C90-1)*12,Paths!$E$14+'Operating costs'!$B$65&lt;=C90*12))),'Operating costs'!$B$64,0)+IF(AND('Operating costs'!$B$67&gt;0,'Operating costs'!$B$67&lt;=120,OR(Paths!$D$14="ICE",'Operating costs'!$B$67&lt;=Paths!$E$14),IF('Operating costs'!$B$67=0,C90=0,AND(C90&gt;0,'Operating costs'!$B$67&gt;(C90-1)*12,'Operating costs'!$B$67&lt;=C90*12))),'Operating costs'!$B$66,0),"n.a."))</f>
        <v>0</v>
      </c>
      <c r="N90" s="16">
        <f>IF(NOT(Paths!$C$14=1),0,IF(Paths!$P$14="Complete",SUM(G90:I90)-J90-K90-L90+M90+IF(C90=0,Paths!$F$14,0)+IF(IF(Paths!$E$14=0,C90=0,AND(C90&gt;0,Paths!$E$14&gt;(C90-1)*12,Paths!$E$14&lt;=C90*12)),VLOOKUP(A90,'Fleet register'!$A$7:$S$106,16,FALSE),0),"n.a."))</f>
        <v>15636.851517552668</v>
      </c>
      <c r="O90" s="16">
        <f>IF(NOT(Paths!$C$14=1),0,IF(Paths!$P$14="Complete",N90-IF(C90=0,Paths!$F$14,0),"n.a."))</f>
        <v>15636.851517552668</v>
      </c>
      <c r="P90" s="16">
        <f>IF(NOT(Paths!$C$14=1),0,IF(Paths!$P$14="Complete",O90+L90,"n.a."))</f>
        <v>15636.851517552668</v>
      </c>
      <c r="Q90" s="16">
        <f>IF(NOT(Paths!$C$14=1),0,IF(Paths!$P$14="Complete",N90*(1+'Operating costs'!$B$54)^-C90,"n.a."))</f>
        <v>15636.851517552668</v>
      </c>
      <c r="R90" s="16">
        <f>IF(NOT(Paths!$C$14=1),0,IF(Paths!$P$14="Complete",IF(AND(C90=0,Paths!$E$14=0),I90-J90-K90+VLOOKUP(A90,'Fleet register'!$A$7:$S$106,15,FALSE)+VLOOKUP(A90,'Fleet register'!$A$7:$S$106,16,FALSE),0),"n.a."))</f>
        <v>0</v>
      </c>
      <c r="S90" s="1">
        <f>IF(NOT(Paths!$C$14=1),0,IF(Paths!$P$14="Complete",IF(C90=0,0,Paths!$S$14*Paths!$R$14),"n.a."))</f>
        <v>45000</v>
      </c>
      <c r="T90" s="1">
        <f>IF(NOT(Paths!$C$14=1),0,IF(Paths!$P$14="Complete",IF(C90=0,0,VLOOKUP(A90,'Fleet register'!$A$7:$S$106,9,FALSE)*Paths!$R$14),"n.a."))</f>
        <v>7200</v>
      </c>
    </row>
    <row r="91" spans="1:20" ht="24" customHeight="1">
      <c r="A91" s="1" t="str">
        <f>Paths!$A$14</f>
        <v>T002</v>
      </c>
      <c r="B91" s="1">
        <f>Paths!$B$14</f>
        <v>3</v>
      </c>
      <c r="C91" s="1">
        <v>7</v>
      </c>
      <c r="D91" s="1">
        <v>14</v>
      </c>
      <c r="E91" s="1">
        <f>IF(OR(Paths!$C$14=0,C91=0),0,MAX(0,MIN(C91*12,Paths!$E$14)-(C91-1)*12))</f>
        <v>0</v>
      </c>
      <c r="F91" s="1">
        <f>IF(OR(Paths!$C$14=0,C91=0),0,12-E91)</f>
        <v>12</v>
      </c>
      <c r="G91" s="16">
        <f>IF(NOT(Paths!$C$14=1),0,IF(Paths!$P$14="Complete",E91/12*(Paths!$J$14*(1+'Operating costs'!$B$51)^MAX(0,C91-1)+Paths!$K$14*(1+'Operating costs'!$B$53)^MAX(0,C91-1)),"n.a."))</f>
        <v>0</v>
      </c>
      <c r="H91" s="16">
        <f>IF(NOT(Paths!$C$14=1),0,IF(Paths!$P$14="Complete",F91/12*(Paths!$L$14*(1+IF(Paths!$D$14="EV",'Operating costs'!$B$52,'Operating costs'!$B$51))^MAX(0,C91-1)+Paths!$M$14*(1+'Operating costs'!$B$53)^MAX(0,C91-1)),"n.a."))</f>
        <v>15636.851517552668</v>
      </c>
      <c r="I91" s="16">
        <f>IF(NOT(Paths!$C$14=1),0,IF(Paths!$P$14="Complete",IF(IF(Paths!$E$14=0,C91=0,AND(C91&gt;0,Paths!$E$14&gt;(C91-1)*12,Paths!$E$14&lt;=C91*12)),Paths!$G$14,0),"n.a."))</f>
        <v>0</v>
      </c>
      <c r="J91" s="16">
        <f>IF(NOT(Paths!$C$14=1),0,IF(Paths!$P$14="Complete",IF(IF(Paths!$E$14=0,C91=0,AND(C91&gt;0,Paths!$E$14&gt;(C91-1)*12,Paths!$E$14&lt;=C91*12)),Paths!$H$14,0),"n.a."))</f>
        <v>0</v>
      </c>
      <c r="K91" s="16">
        <f>IF(NOT(Paths!$C$14=1),0,IF(Paths!$P$14="Complete",IF(IF(Paths!$O$14=0,C91=0,AND(C91&gt;0,Paths!$O$14&gt;(C91-1)*12,Paths!$O$14&lt;=C91*12)),Paths!$N$14,0),"n.a."))</f>
        <v>0</v>
      </c>
      <c r="L91" s="16">
        <f>IF(NOT(Paths!$C$14=1),0,IF(Paths!$P$14="Complete",IF(C91=10,Paths!$I$14,0),"n.a."))</f>
        <v>0</v>
      </c>
      <c r="M91" s="16">
        <f>IF(NOT(Paths!$C$14=1),0,IF(Paths!$P$14="Complete",IF(AND(Paths!$D$14="EV",Paths!$E$14&lt;120,Paths!$E$14+'Operating costs'!$B$65&gt;Paths!$E$14,Paths!$E$14+'Operating costs'!$B$65&lt;=120,IF(Paths!$E$14+'Operating costs'!$B$65=0,C91=0,AND(C91&gt;0,Paths!$E$14+'Operating costs'!$B$65&gt;(C91-1)*12,Paths!$E$14+'Operating costs'!$B$65&lt;=C91*12))),'Operating costs'!$B$64,0)+IF(AND('Operating costs'!$B$67&gt;0,'Operating costs'!$B$67&lt;=120,OR(Paths!$D$14="ICE",'Operating costs'!$B$67&lt;=Paths!$E$14),IF('Operating costs'!$B$67=0,C91=0,AND(C91&gt;0,'Operating costs'!$B$67&gt;(C91-1)*12,'Operating costs'!$B$67&lt;=C91*12))),'Operating costs'!$B$66,0),"n.a."))</f>
        <v>0</v>
      </c>
      <c r="N91" s="16">
        <f>IF(NOT(Paths!$C$14=1),0,IF(Paths!$P$14="Complete",SUM(G91:I91)-J91-K91-L91+M91+IF(C91=0,Paths!$F$14,0)+IF(IF(Paths!$E$14=0,C91=0,AND(C91&gt;0,Paths!$E$14&gt;(C91-1)*12,Paths!$E$14&lt;=C91*12)),VLOOKUP(A91,'Fleet register'!$A$7:$S$106,16,FALSE),0),"n.a."))</f>
        <v>15636.851517552668</v>
      </c>
      <c r="O91" s="16">
        <f>IF(NOT(Paths!$C$14=1),0,IF(Paths!$P$14="Complete",N91-IF(C91=0,Paths!$F$14,0),"n.a."))</f>
        <v>15636.851517552668</v>
      </c>
      <c r="P91" s="16">
        <f>IF(NOT(Paths!$C$14=1),0,IF(Paths!$P$14="Complete",O91+L91,"n.a."))</f>
        <v>15636.851517552668</v>
      </c>
      <c r="Q91" s="16">
        <f>IF(NOT(Paths!$C$14=1),0,IF(Paths!$P$14="Complete",N91*(1+'Operating costs'!$B$54)^-C91,"n.a."))</f>
        <v>15636.851517552668</v>
      </c>
      <c r="R91" s="16">
        <f>IF(NOT(Paths!$C$14=1),0,IF(Paths!$P$14="Complete",IF(AND(C91=0,Paths!$E$14=0),I91-J91-K91+VLOOKUP(A91,'Fleet register'!$A$7:$S$106,15,FALSE)+VLOOKUP(A91,'Fleet register'!$A$7:$S$106,16,FALSE),0),"n.a."))</f>
        <v>0</v>
      </c>
      <c r="S91" s="1">
        <f>IF(NOT(Paths!$C$14=1),0,IF(Paths!$P$14="Complete",IF(C91=0,0,Paths!$S$14*Paths!$R$14),"n.a."))</f>
        <v>45000</v>
      </c>
      <c r="T91" s="1">
        <f>IF(NOT(Paths!$C$14=1),0,IF(Paths!$P$14="Complete",IF(C91=0,0,VLOOKUP(A91,'Fleet register'!$A$7:$S$106,9,FALSE)*Paths!$R$14),"n.a."))</f>
        <v>7200</v>
      </c>
    </row>
    <row r="92" spans="1:20" ht="24" customHeight="1">
      <c r="A92" s="1" t="str">
        <f>Paths!$A$14</f>
        <v>T002</v>
      </c>
      <c r="B92" s="1">
        <f>Paths!$B$14</f>
        <v>3</v>
      </c>
      <c r="C92" s="1">
        <v>8</v>
      </c>
      <c r="D92" s="1">
        <v>14</v>
      </c>
      <c r="E92" s="1">
        <f>IF(OR(Paths!$C$14=0,C92=0),0,MAX(0,MIN(C92*12,Paths!$E$14)-(C92-1)*12))</f>
        <v>0</v>
      </c>
      <c r="F92" s="1">
        <f>IF(OR(Paths!$C$14=0,C92=0),0,12-E92)</f>
        <v>12</v>
      </c>
      <c r="G92" s="16">
        <f>IF(NOT(Paths!$C$14=1),0,IF(Paths!$P$14="Complete",E92/12*(Paths!$J$14*(1+'Operating costs'!$B$51)^MAX(0,C92-1)+Paths!$K$14*(1+'Operating costs'!$B$53)^MAX(0,C92-1)),"n.a."))</f>
        <v>0</v>
      </c>
      <c r="H92" s="16">
        <f>IF(NOT(Paths!$C$14=1),0,IF(Paths!$P$14="Complete",F92/12*(Paths!$L$14*(1+IF(Paths!$D$14="EV",'Operating costs'!$B$52,'Operating costs'!$B$51))^MAX(0,C92-1)+Paths!$M$14*(1+'Operating costs'!$B$53)^MAX(0,C92-1)),"n.a."))</f>
        <v>15636.851517552668</v>
      </c>
      <c r="I92" s="16">
        <f>IF(NOT(Paths!$C$14=1),0,IF(Paths!$P$14="Complete",IF(IF(Paths!$E$14=0,C92=0,AND(C92&gt;0,Paths!$E$14&gt;(C92-1)*12,Paths!$E$14&lt;=C92*12)),Paths!$G$14,0),"n.a."))</f>
        <v>0</v>
      </c>
      <c r="J92" s="16">
        <f>IF(NOT(Paths!$C$14=1),0,IF(Paths!$P$14="Complete",IF(IF(Paths!$E$14=0,C92=0,AND(C92&gt;0,Paths!$E$14&gt;(C92-1)*12,Paths!$E$14&lt;=C92*12)),Paths!$H$14,0),"n.a."))</f>
        <v>0</v>
      </c>
      <c r="K92" s="16">
        <f>IF(NOT(Paths!$C$14=1),0,IF(Paths!$P$14="Complete",IF(IF(Paths!$O$14=0,C92=0,AND(C92&gt;0,Paths!$O$14&gt;(C92-1)*12,Paths!$O$14&lt;=C92*12)),Paths!$N$14,0),"n.a."))</f>
        <v>0</v>
      </c>
      <c r="L92" s="16">
        <f>IF(NOT(Paths!$C$14=1),0,IF(Paths!$P$14="Complete",IF(C92=10,Paths!$I$14,0),"n.a."))</f>
        <v>0</v>
      </c>
      <c r="M92" s="16">
        <f>IF(NOT(Paths!$C$14=1),0,IF(Paths!$P$14="Complete",IF(AND(Paths!$D$14="EV",Paths!$E$14&lt;120,Paths!$E$14+'Operating costs'!$B$65&gt;Paths!$E$14,Paths!$E$14+'Operating costs'!$B$65&lt;=120,IF(Paths!$E$14+'Operating costs'!$B$65=0,C92=0,AND(C92&gt;0,Paths!$E$14+'Operating costs'!$B$65&gt;(C92-1)*12,Paths!$E$14+'Operating costs'!$B$65&lt;=C92*12))),'Operating costs'!$B$64,0)+IF(AND('Operating costs'!$B$67&gt;0,'Operating costs'!$B$67&lt;=120,OR(Paths!$D$14="ICE",'Operating costs'!$B$67&lt;=Paths!$E$14),IF('Operating costs'!$B$67=0,C92=0,AND(C92&gt;0,'Operating costs'!$B$67&gt;(C92-1)*12,'Operating costs'!$B$67&lt;=C92*12))),'Operating costs'!$B$66,0),"n.a."))</f>
        <v>0</v>
      </c>
      <c r="N92" s="16">
        <f>IF(NOT(Paths!$C$14=1),0,IF(Paths!$P$14="Complete",SUM(G92:I92)-J92-K92-L92+M92+IF(C92=0,Paths!$F$14,0)+IF(IF(Paths!$E$14=0,C92=0,AND(C92&gt;0,Paths!$E$14&gt;(C92-1)*12,Paths!$E$14&lt;=C92*12)),VLOOKUP(A92,'Fleet register'!$A$7:$S$106,16,FALSE),0),"n.a."))</f>
        <v>15636.851517552668</v>
      </c>
      <c r="O92" s="16">
        <f>IF(NOT(Paths!$C$14=1),0,IF(Paths!$P$14="Complete",N92-IF(C92=0,Paths!$F$14,0),"n.a."))</f>
        <v>15636.851517552668</v>
      </c>
      <c r="P92" s="16">
        <f>IF(NOT(Paths!$C$14=1),0,IF(Paths!$P$14="Complete",O92+L92,"n.a."))</f>
        <v>15636.851517552668</v>
      </c>
      <c r="Q92" s="16">
        <f>IF(NOT(Paths!$C$14=1),0,IF(Paths!$P$14="Complete",N92*(1+'Operating costs'!$B$54)^-C92,"n.a."))</f>
        <v>15636.851517552668</v>
      </c>
      <c r="R92" s="16">
        <f>IF(NOT(Paths!$C$14=1),0,IF(Paths!$P$14="Complete",IF(AND(C92=0,Paths!$E$14=0),I92-J92-K92+VLOOKUP(A92,'Fleet register'!$A$7:$S$106,15,FALSE)+VLOOKUP(A92,'Fleet register'!$A$7:$S$106,16,FALSE),0),"n.a."))</f>
        <v>0</v>
      </c>
      <c r="S92" s="1">
        <f>IF(NOT(Paths!$C$14=1),0,IF(Paths!$P$14="Complete",IF(C92=0,0,Paths!$S$14*Paths!$R$14),"n.a."))</f>
        <v>45000</v>
      </c>
      <c r="T92" s="1">
        <f>IF(NOT(Paths!$C$14=1),0,IF(Paths!$P$14="Complete",IF(C92=0,0,VLOOKUP(A92,'Fleet register'!$A$7:$S$106,9,FALSE)*Paths!$R$14),"n.a."))</f>
        <v>7200</v>
      </c>
    </row>
    <row r="93" spans="1:20" ht="24" customHeight="1">
      <c r="A93" s="1" t="str">
        <f>Paths!$A$14</f>
        <v>T002</v>
      </c>
      <c r="B93" s="1">
        <f>Paths!$B$14</f>
        <v>3</v>
      </c>
      <c r="C93" s="1">
        <v>9</v>
      </c>
      <c r="D93" s="1">
        <v>14</v>
      </c>
      <c r="E93" s="1">
        <f>IF(OR(Paths!$C$14=0,C93=0),0,MAX(0,MIN(C93*12,Paths!$E$14)-(C93-1)*12))</f>
        <v>0</v>
      </c>
      <c r="F93" s="1">
        <f>IF(OR(Paths!$C$14=0,C93=0),0,12-E93)</f>
        <v>12</v>
      </c>
      <c r="G93" s="16">
        <f>IF(NOT(Paths!$C$14=1),0,IF(Paths!$P$14="Complete",E93/12*(Paths!$J$14*(1+'Operating costs'!$B$51)^MAX(0,C93-1)+Paths!$K$14*(1+'Operating costs'!$B$53)^MAX(0,C93-1)),"n.a."))</f>
        <v>0</v>
      </c>
      <c r="H93" s="16">
        <f>IF(NOT(Paths!$C$14=1),0,IF(Paths!$P$14="Complete",F93/12*(Paths!$L$14*(1+IF(Paths!$D$14="EV",'Operating costs'!$B$52,'Operating costs'!$B$51))^MAX(0,C93-1)+Paths!$M$14*(1+'Operating costs'!$B$53)^MAX(0,C93-1)),"n.a."))</f>
        <v>15636.851517552668</v>
      </c>
      <c r="I93" s="16">
        <f>IF(NOT(Paths!$C$14=1),0,IF(Paths!$P$14="Complete",IF(IF(Paths!$E$14=0,C93=0,AND(C93&gt;0,Paths!$E$14&gt;(C93-1)*12,Paths!$E$14&lt;=C93*12)),Paths!$G$14,0),"n.a."))</f>
        <v>0</v>
      </c>
      <c r="J93" s="16">
        <f>IF(NOT(Paths!$C$14=1),0,IF(Paths!$P$14="Complete",IF(IF(Paths!$E$14=0,C93=0,AND(C93&gt;0,Paths!$E$14&gt;(C93-1)*12,Paths!$E$14&lt;=C93*12)),Paths!$H$14,0),"n.a."))</f>
        <v>0</v>
      </c>
      <c r="K93" s="16">
        <f>IF(NOT(Paths!$C$14=1),0,IF(Paths!$P$14="Complete",IF(IF(Paths!$O$14=0,C93=0,AND(C93&gt;0,Paths!$O$14&gt;(C93-1)*12,Paths!$O$14&lt;=C93*12)),Paths!$N$14,0),"n.a."))</f>
        <v>0</v>
      </c>
      <c r="L93" s="16">
        <f>IF(NOT(Paths!$C$14=1),0,IF(Paths!$P$14="Complete",IF(C93=10,Paths!$I$14,0),"n.a."))</f>
        <v>0</v>
      </c>
      <c r="M93" s="16">
        <f>IF(NOT(Paths!$C$14=1),0,IF(Paths!$P$14="Complete",IF(AND(Paths!$D$14="EV",Paths!$E$14&lt;120,Paths!$E$14+'Operating costs'!$B$65&gt;Paths!$E$14,Paths!$E$14+'Operating costs'!$B$65&lt;=120,IF(Paths!$E$14+'Operating costs'!$B$65=0,C93=0,AND(C93&gt;0,Paths!$E$14+'Operating costs'!$B$65&gt;(C93-1)*12,Paths!$E$14+'Operating costs'!$B$65&lt;=C93*12))),'Operating costs'!$B$64,0)+IF(AND('Operating costs'!$B$67&gt;0,'Operating costs'!$B$67&lt;=120,OR(Paths!$D$14="ICE",'Operating costs'!$B$67&lt;=Paths!$E$14),IF('Operating costs'!$B$67=0,C93=0,AND(C93&gt;0,'Operating costs'!$B$67&gt;(C93-1)*12,'Operating costs'!$B$67&lt;=C93*12))),'Operating costs'!$B$66,0),"n.a."))</f>
        <v>0</v>
      </c>
      <c r="N93" s="16">
        <f>IF(NOT(Paths!$C$14=1),0,IF(Paths!$P$14="Complete",SUM(G93:I93)-J93-K93-L93+M93+IF(C93=0,Paths!$F$14,0)+IF(IF(Paths!$E$14=0,C93=0,AND(C93&gt;0,Paths!$E$14&gt;(C93-1)*12,Paths!$E$14&lt;=C93*12)),VLOOKUP(A93,'Fleet register'!$A$7:$S$106,16,FALSE),0),"n.a."))</f>
        <v>15636.851517552668</v>
      </c>
      <c r="O93" s="16">
        <f>IF(NOT(Paths!$C$14=1),0,IF(Paths!$P$14="Complete",N93-IF(C93=0,Paths!$F$14,0),"n.a."))</f>
        <v>15636.851517552668</v>
      </c>
      <c r="P93" s="16">
        <f>IF(NOT(Paths!$C$14=1),0,IF(Paths!$P$14="Complete",O93+L93,"n.a."))</f>
        <v>15636.851517552668</v>
      </c>
      <c r="Q93" s="16">
        <f>IF(NOT(Paths!$C$14=1),0,IF(Paths!$P$14="Complete",N93*(1+'Operating costs'!$B$54)^-C93,"n.a."))</f>
        <v>15636.851517552668</v>
      </c>
      <c r="R93" s="16">
        <f>IF(NOT(Paths!$C$14=1),0,IF(Paths!$P$14="Complete",IF(AND(C93=0,Paths!$E$14=0),I93-J93-K93+VLOOKUP(A93,'Fleet register'!$A$7:$S$106,15,FALSE)+VLOOKUP(A93,'Fleet register'!$A$7:$S$106,16,FALSE),0),"n.a."))</f>
        <v>0</v>
      </c>
      <c r="S93" s="1">
        <f>IF(NOT(Paths!$C$14=1),0,IF(Paths!$P$14="Complete",IF(C93=0,0,Paths!$S$14*Paths!$R$14),"n.a."))</f>
        <v>45000</v>
      </c>
      <c r="T93" s="1">
        <f>IF(NOT(Paths!$C$14=1),0,IF(Paths!$P$14="Complete",IF(C93=0,0,VLOOKUP(A93,'Fleet register'!$A$7:$S$106,9,FALSE)*Paths!$R$14),"n.a."))</f>
        <v>7200</v>
      </c>
    </row>
    <row r="94" spans="1:20" ht="24" customHeight="1">
      <c r="A94" s="1" t="str">
        <f>Paths!$A$14</f>
        <v>T002</v>
      </c>
      <c r="B94" s="1">
        <f>Paths!$B$14</f>
        <v>3</v>
      </c>
      <c r="C94" s="1">
        <v>10</v>
      </c>
      <c r="D94" s="1">
        <v>14</v>
      </c>
      <c r="E94" s="1">
        <f>IF(OR(Paths!$C$14=0,C94=0),0,MAX(0,MIN(C94*12,Paths!$E$14)-(C94-1)*12))</f>
        <v>0</v>
      </c>
      <c r="F94" s="1">
        <f>IF(OR(Paths!$C$14=0,C94=0),0,12-E94)</f>
        <v>12</v>
      </c>
      <c r="G94" s="16">
        <f>IF(NOT(Paths!$C$14=1),0,IF(Paths!$P$14="Complete",E94/12*(Paths!$J$14*(1+'Operating costs'!$B$51)^MAX(0,C94-1)+Paths!$K$14*(1+'Operating costs'!$B$53)^MAX(0,C94-1)),"n.a."))</f>
        <v>0</v>
      </c>
      <c r="H94" s="16">
        <f>IF(NOT(Paths!$C$14=1),0,IF(Paths!$P$14="Complete",F94/12*(Paths!$L$14*(1+IF(Paths!$D$14="EV",'Operating costs'!$B$52,'Operating costs'!$B$51))^MAX(0,C94-1)+Paths!$M$14*(1+'Operating costs'!$B$53)^MAX(0,C94-1)),"n.a."))</f>
        <v>15636.851517552668</v>
      </c>
      <c r="I94" s="16">
        <f>IF(NOT(Paths!$C$14=1),0,IF(Paths!$P$14="Complete",IF(IF(Paths!$E$14=0,C94=0,AND(C94&gt;0,Paths!$E$14&gt;(C94-1)*12,Paths!$E$14&lt;=C94*12)),Paths!$G$14,0),"n.a."))</f>
        <v>0</v>
      </c>
      <c r="J94" s="16">
        <f>IF(NOT(Paths!$C$14=1),0,IF(Paths!$P$14="Complete",IF(IF(Paths!$E$14=0,C94=0,AND(C94&gt;0,Paths!$E$14&gt;(C94-1)*12,Paths!$E$14&lt;=C94*12)),Paths!$H$14,0),"n.a."))</f>
        <v>0</v>
      </c>
      <c r="K94" s="16">
        <f>IF(NOT(Paths!$C$14=1),0,IF(Paths!$P$14="Complete",IF(IF(Paths!$O$14=0,C94=0,AND(C94&gt;0,Paths!$O$14&gt;(C94-1)*12,Paths!$O$14&lt;=C94*12)),Paths!$N$14,0),"n.a."))</f>
        <v>0</v>
      </c>
      <c r="L94" s="16">
        <f>IF(NOT(Paths!$C$14=1),0,IF(Paths!$P$14="Complete",IF(C94=10,Paths!$I$14,0),"n.a."))</f>
        <v>8000</v>
      </c>
      <c r="M94" s="16">
        <f>IF(NOT(Paths!$C$14=1),0,IF(Paths!$P$14="Complete",IF(AND(Paths!$D$14="EV",Paths!$E$14&lt;120,Paths!$E$14+'Operating costs'!$B$65&gt;Paths!$E$14,Paths!$E$14+'Operating costs'!$B$65&lt;=120,IF(Paths!$E$14+'Operating costs'!$B$65=0,C94=0,AND(C94&gt;0,Paths!$E$14+'Operating costs'!$B$65&gt;(C94-1)*12,Paths!$E$14+'Operating costs'!$B$65&lt;=C94*12))),'Operating costs'!$B$64,0)+IF(AND('Operating costs'!$B$67&gt;0,'Operating costs'!$B$67&lt;=120,OR(Paths!$D$14="ICE",'Operating costs'!$B$67&lt;=Paths!$E$14),IF('Operating costs'!$B$67=0,C94=0,AND(C94&gt;0,'Operating costs'!$B$67&gt;(C94-1)*12,'Operating costs'!$B$67&lt;=C94*12))),'Operating costs'!$B$66,0),"n.a."))</f>
        <v>0</v>
      </c>
      <c r="N94" s="16">
        <f>IF(NOT(Paths!$C$14=1),0,IF(Paths!$P$14="Complete",SUM(G94:I94)-J94-K94-L94+M94+IF(C94=0,Paths!$F$14,0)+IF(IF(Paths!$E$14=0,C94=0,AND(C94&gt;0,Paths!$E$14&gt;(C94-1)*12,Paths!$E$14&lt;=C94*12)),VLOOKUP(A94,'Fleet register'!$A$7:$S$106,16,FALSE),0),"n.a."))</f>
        <v>7636.8515175526682</v>
      </c>
      <c r="O94" s="16">
        <f>IF(NOT(Paths!$C$14=1),0,IF(Paths!$P$14="Complete",N94-IF(C94=0,Paths!$F$14,0),"n.a."))</f>
        <v>7636.8515175526682</v>
      </c>
      <c r="P94" s="16">
        <f>IF(NOT(Paths!$C$14=1),0,IF(Paths!$P$14="Complete",O94+L94,"n.a."))</f>
        <v>15636.851517552668</v>
      </c>
      <c r="Q94" s="16">
        <f>IF(NOT(Paths!$C$14=1),0,IF(Paths!$P$14="Complete",N94*(1+'Operating costs'!$B$54)^-C94,"n.a."))</f>
        <v>7636.8515175526682</v>
      </c>
      <c r="R94" s="16">
        <f>IF(NOT(Paths!$C$14=1),0,IF(Paths!$P$14="Complete",IF(AND(C94=0,Paths!$E$14=0),I94-J94-K94+VLOOKUP(A94,'Fleet register'!$A$7:$S$106,15,FALSE)+VLOOKUP(A94,'Fleet register'!$A$7:$S$106,16,FALSE),0),"n.a."))</f>
        <v>0</v>
      </c>
      <c r="S94" s="1">
        <f>IF(NOT(Paths!$C$14=1),0,IF(Paths!$P$14="Complete",IF(C94=0,0,Paths!$S$14*Paths!$R$14),"n.a."))</f>
        <v>45000</v>
      </c>
      <c r="T94" s="1">
        <f>IF(NOT(Paths!$C$14=1),0,IF(Paths!$P$14="Complete",IF(C94=0,0,VLOOKUP(A94,'Fleet register'!$A$7:$S$106,9,FALSE)*Paths!$R$14),"n.a."))</f>
        <v>7200</v>
      </c>
    </row>
    <row r="95" spans="1:20" ht="24" customHeight="1">
      <c r="A95" s="1" t="str">
        <f>Paths!$A$15</f>
        <v>T003</v>
      </c>
      <c r="B95" s="1">
        <f>Paths!$B$15</f>
        <v>0</v>
      </c>
      <c r="C95" s="1">
        <v>0</v>
      </c>
      <c r="D95" s="1">
        <v>15</v>
      </c>
      <c r="E95" s="1">
        <f>IF(OR(Paths!$C$15=0,C95=0),0,MAX(0,MIN(C95*12,Paths!$E$15)-(C95-1)*12))</f>
        <v>0</v>
      </c>
      <c r="F95" s="1">
        <f>IF(OR(Paths!$C$15=0,C95=0),0,12-E95)</f>
        <v>0</v>
      </c>
      <c r="G95" s="16">
        <f>IF(NOT(Paths!$C$15=1),0,IF(Paths!$P$15="Complete",E95/12*(Paths!$J$15*(1+'Operating costs'!$B$51)^MAX(0,C95-1)+Paths!$K$15*(1+'Operating costs'!$B$53)^MAX(0,C95-1)),"n.a."))</f>
        <v>0</v>
      </c>
      <c r="H95" s="16">
        <f>IF(NOT(Paths!$C$15=1),0,IF(Paths!$P$15="Complete",F95/12*(Paths!$L$15*(1+IF(Paths!$D$15="EV",'Operating costs'!$B$52,'Operating costs'!$B$51))^MAX(0,C95-1)+Paths!$M$15*(1+'Operating costs'!$B$53)^MAX(0,C95-1)),"n.a."))</f>
        <v>0</v>
      </c>
      <c r="I95" s="16">
        <f>IF(NOT(Paths!$C$15=1),0,IF(Paths!$P$15="Complete",IF(IF(Paths!$E$15=0,C95=0,AND(C95&gt;0,Paths!$E$15&gt;(C95-1)*12,Paths!$E$15&lt;=C95*12)),Paths!$G$15,0),"n.a."))</f>
        <v>0</v>
      </c>
      <c r="J95" s="16">
        <f>IF(NOT(Paths!$C$15=1),0,IF(Paths!$P$15="Complete",IF(IF(Paths!$E$15=0,C95=0,AND(C95&gt;0,Paths!$E$15&gt;(C95-1)*12,Paths!$E$15&lt;=C95*12)),Paths!$H$15,0),"n.a."))</f>
        <v>0</v>
      </c>
      <c r="K95" s="16">
        <f>IF(NOT(Paths!$C$15=1),0,IF(Paths!$P$15="Complete",IF(IF(Paths!$O$15=0,C95=0,AND(C95&gt;0,Paths!$O$15&gt;(C95-1)*12,Paths!$O$15&lt;=C95*12)),Paths!$N$15,0),"n.a."))</f>
        <v>0</v>
      </c>
      <c r="L95" s="16">
        <f>IF(NOT(Paths!$C$15=1),0,IF(Paths!$P$15="Complete",IF(C95=10,Paths!$I$15,0),"n.a."))</f>
        <v>0</v>
      </c>
      <c r="M95" s="16">
        <f>IF(NOT(Paths!$C$15=1),0,IF(Paths!$P$15="Complete",IF(AND(Paths!$D$15="EV",Paths!$E$15&lt;120,Paths!$E$15+'Operating costs'!$B$65&gt;Paths!$E$15,Paths!$E$15+'Operating costs'!$B$65&lt;=120,IF(Paths!$E$15+'Operating costs'!$B$65=0,C95=0,AND(C95&gt;0,Paths!$E$15+'Operating costs'!$B$65&gt;(C95-1)*12,Paths!$E$15+'Operating costs'!$B$65&lt;=C95*12))),'Operating costs'!$B$64,0)+IF(AND('Operating costs'!$B$67&gt;0,'Operating costs'!$B$67&lt;=120,OR(Paths!$D$15="ICE",'Operating costs'!$B$67&lt;=Paths!$E$15),IF('Operating costs'!$B$67=0,C95=0,AND(C95&gt;0,'Operating costs'!$B$67&gt;(C95-1)*12,'Operating costs'!$B$67&lt;=C95*12))),'Operating costs'!$B$66,0),"n.a."))</f>
        <v>0</v>
      </c>
      <c r="N95" s="16">
        <f>IF(NOT(Paths!$C$15=1),0,IF(Paths!$P$15="Complete",SUM(G95:I95)-J95-K95-L95+M95+IF(C95=0,Paths!$F$15,0)+IF(IF(Paths!$E$15=0,C95=0,AND(C95&gt;0,Paths!$E$15&gt;(C95-1)*12,Paths!$E$15&lt;=C95*12)),VLOOKUP(A95,'Fleet register'!$A$7:$S$106,16,FALSE),0),"n.a."))</f>
        <v>36000</v>
      </c>
      <c r="O95" s="16">
        <f>IF(NOT(Paths!$C$15=1),0,IF(Paths!$P$15="Complete",N95-IF(C95=0,Paths!$F$15,0),"n.a."))</f>
        <v>0</v>
      </c>
      <c r="P95" s="16">
        <f>IF(NOT(Paths!$C$15=1),0,IF(Paths!$P$15="Complete",O95+L95,"n.a."))</f>
        <v>0</v>
      </c>
      <c r="Q95" s="16">
        <f>IF(NOT(Paths!$C$15=1),0,IF(Paths!$P$15="Complete",N95*(1+'Operating costs'!$B$54)^-C95,"n.a."))</f>
        <v>36000</v>
      </c>
      <c r="R95" s="16">
        <f>IF(NOT(Paths!$C$15=1),0,IF(Paths!$P$15="Complete",IF(AND(C95=0,Paths!$E$15=0),I95-J95-K95+VLOOKUP(A95,'Fleet register'!$A$7:$S$106,15,FALSE)+VLOOKUP(A95,'Fleet register'!$A$7:$S$106,16,FALSE),0),"n.a."))</f>
        <v>0</v>
      </c>
      <c r="S95" s="1">
        <f>IF(NOT(Paths!$C$15=1),0,IF(Paths!$P$15="Complete",IF(C95=0,0,Paths!$S$15*Paths!$R$15),"n.a."))</f>
        <v>0</v>
      </c>
      <c r="T95" s="1">
        <f>IF(NOT(Paths!$C$15=1),0,IF(Paths!$P$15="Complete",IF(C95=0,0,VLOOKUP(A95,'Fleet register'!$A$7:$S$106,9,FALSE)*Paths!$R$15),"n.a."))</f>
        <v>0</v>
      </c>
    </row>
    <row r="96" spans="1:20" ht="24" customHeight="1">
      <c r="A96" s="1" t="str">
        <f>Paths!$A$15</f>
        <v>T003</v>
      </c>
      <c r="B96" s="1">
        <f>Paths!$B$15</f>
        <v>0</v>
      </c>
      <c r="C96" s="1">
        <v>1</v>
      </c>
      <c r="D96" s="1">
        <v>15</v>
      </c>
      <c r="E96" s="1">
        <f>IF(OR(Paths!$C$15=0,C96=0),0,MAX(0,MIN(C96*12,Paths!$E$15)-(C96-1)*12))</f>
        <v>12</v>
      </c>
      <c r="F96" s="1">
        <f>IF(OR(Paths!$C$15=0,C96=0),0,12-E96)</f>
        <v>0</v>
      </c>
      <c r="G96" s="16">
        <f>IF(NOT(Paths!$C$15=1),0,IF(Paths!$P$15="Complete",E96/12*(Paths!$J$15*(1+'Operating costs'!$B$51)^MAX(0,C96-1)+Paths!$K$15*(1+'Operating costs'!$B$53)^MAX(0,C96-1)),"n.a."))</f>
        <v>18151.349999999999</v>
      </c>
      <c r="H96" s="16">
        <f>IF(NOT(Paths!$C$15=1),0,IF(Paths!$P$15="Complete",F96/12*(Paths!$L$15*(1+IF(Paths!$D$15="EV",'Operating costs'!$B$52,'Operating costs'!$B$51))^MAX(0,C96-1)+Paths!$M$15*(1+'Operating costs'!$B$53)^MAX(0,C96-1)),"n.a."))</f>
        <v>0</v>
      </c>
      <c r="I96" s="16">
        <f>IF(NOT(Paths!$C$15=1),0,IF(Paths!$P$15="Complete",IF(IF(Paths!$E$15=0,C96=0,AND(C96&gt;0,Paths!$E$15&gt;(C96-1)*12,Paths!$E$15&lt;=C96*12)),Paths!$G$15,0),"n.a."))</f>
        <v>0</v>
      </c>
      <c r="J96" s="16">
        <f>IF(NOT(Paths!$C$15=1),0,IF(Paths!$P$15="Complete",IF(IF(Paths!$E$15=0,C96=0,AND(C96&gt;0,Paths!$E$15&gt;(C96-1)*12,Paths!$E$15&lt;=C96*12)),Paths!$H$15,0),"n.a."))</f>
        <v>0</v>
      </c>
      <c r="K96" s="16">
        <f>IF(NOT(Paths!$C$15=1),0,IF(Paths!$P$15="Complete",IF(IF(Paths!$O$15=0,C96=0,AND(C96&gt;0,Paths!$O$15&gt;(C96-1)*12,Paths!$O$15&lt;=C96*12)),Paths!$N$15,0),"n.a."))</f>
        <v>0</v>
      </c>
      <c r="L96" s="16">
        <f>IF(NOT(Paths!$C$15=1),0,IF(Paths!$P$15="Complete",IF(C96=10,Paths!$I$15,0),"n.a."))</f>
        <v>0</v>
      </c>
      <c r="M96" s="16">
        <f>IF(NOT(Paths!$C$15=1),0,IF(Paths!$P$15="Complete",IF(AND(Paths!$D$15="EV",Paths!$E$15&lt;120,Paths!$E$15+'Operating costs'!$B$65&gt;Paths!$E$15,Paths!$E$15+'Operating costs'!$B$65&lt;=120,IF(Paths!$E$15+'Operating costs'!$B$65=0,C96=0,AND(C96&gt;0,Paths!$E$15+'Operating costs'!$B$65&gt;(C96-1)*12,Paths!$E$15+'Operating costs'!$B$65&lt;=C96*12))),'Operating costs'!$B$64,0)+IF(AND('Operating costs'!$B$67&gt;0,'Operating costs'!$B$67&lt;=120,OR(Paths!$D$15="ICE",'Operating costs'!$B$67&lt;=Paths!$E$15),IF('Operating costs'!$B$67=0,C96=0,AND(C96&gt;0,'Operating costs'!$B$67&gt;(C96-1)*12,'Operating costs'!$B$67&lt;=C96*12))),'Operating costs'!$B$66,0),"n.a."))</f>
        <v>0</v>
      </c>
      <c r="N96" s="16">
        <f>IF(NOT(Paths!$C$15=1),0,IF(Paths!$P$15="Complete",SUM(G96:I96)-J96-K96-L96+M96+IF(C96=0,Paths!$F$15,0)+IF(IF(Paths!$E$15=0,C96=0,AND(C96&gt;0,Paths!$E$15&gt;(C96-1)*12,Paths!$E$15&lt;=C96*12)),VLOOKUP(A96,'Fleet register'!$A$7:$S$106,16,FALSE),0),"n.a."))</f>
        <v>18151.349999999999</v>
      </c>
      <c r="O96" s="16">
        <f>IF(NOT(Paths!$C$15=1),0,IF(Paths!$P$15="Complete",N96-IF(C96=0,Paths!$F$15,0),"n.a."))</f>
        <v>18151.349999999999</v>
      </c>
      <c r="P96" s="16">
        <f>IF(NOT(Paths!$C$15=1),0,IF(Paths!$P$15="Complete",O96+L96,"n.a."))</f>
        <v>18151.349999999999</v>
      </c>
      <c r="Q96" s="16">
        <f>IF(NOT(Paths!$C$15=1),0,IF(Paths!$P$15="Complete",N96*(1+'Operating costs'!$B$54)^-C96,"n.a."))</f>
        <v>18151.349999999999</v>
      </c>
      <c r="R96" s="16">
        <f>IF(NOT(Paths!$C$15=1),0,IF(Paths!$P$15="Complete",IF(AND(C96=0,Paths!$E$15=0),I96-J96-K96+VLOOKUP(A96,'Fleet register'!$A$7:$S$106,15,FALSE)+VLOOKUP(A96,'Fleet register'!$A$7:$S$106,16,FALSE),0),"n.a."))</f>
        <v>0</v>
      </c>
      <c r="S96" s="1">
        <f>IF(NOT(Paths!$C$15=1),0,IF(Paths!$P$15="Complete",IF(C96=0,0,Paths!$S$15*Paths!$R$15),"n.a."))</f>
        <v>45000</v>
      </c>
      <c r="T96" s="1">
        <f>IF(NOT(Paths!$C$15=1),0,IF(Paths!$P$15="Complete",IF(C96=0,0,VLOOKUP(A96,'Fleet register'!$A$7:$S$106,9,FALSE)*Paths!$R$15),"n.a."))</f>
        <v>7200</v>
      </c>
    </row>
    <row r="97" spans="1:20" ht="24" customHeight="1">
      <c r="A97" s="1" t="str">
        <f>Paths!$A$15</f>
        <v>T003</v>
      </c>
      <c r="B97" s="1">
        <f>Paths!$B$15</f>
        <v>0</v>
      </c>
      <c r="C97" s="1">
        <v>2</v>
      </c>
      <c r="D97" s="1">
        <v>15</v>
      </c>
      <c r="E97" s="1">
        <f>IF(OR(Paths!$C$15=0,C97=0),0,MAX(0,MIN(C97*12,Paths!$E$15)-(C97-1)*12))</f>
        <v>12</v>
      </c>
      <c r="F97" s="1">
        <f>IF(OR(Paths!$C$15=0,C97=0),0,12-E97)</f>
        <v>0</v>
      </c>
      <c r="G97" s="16">
        <f>IF(NOT(Paths!$C$15=1),0,IF(Paths!$P$15="Complete",E97/12*(Paths!$J$15*(1+'Operating costs'!$B$51)^MAX(0,C97-1)+Paths!$K$15*(1+'Operating costs'!$B$53)^MAX(0,C97-1)),"n.a."))</f>
        <v>18151.349999999999</v>
      </c>
      <c r="H97" s="16">
        <f>IF(NOT(Paths!$C$15=1),0,IF(Paths!$P$15="Complete",F97/12*(Paths!$L$15*(1+IF(Paths!$D$15="EV",'Operating costs'!$B$52,'Operating costs'!$B$51))^MAX(0,C97-1)+Paths!$M$15*(1+'Operating costs'!$B$53)^MAX(0,C97-1)),"n.a."))</f>
        <v>0</v>
      </c>
      <c r="I97" s="16">
        <f>IF(NOT(Paths!$C$15=1),0,IF(Paths!$P$15="Complete",IF(IF(Paths!$E$15=0,C97=0,AND(C97&gt;0,Paths!$E$15&gt;(C97-1)*12,Paths!$E$15&lt;=C97*12)),Paths!$G$15,0),"n.a."))</f>
        <v>0</v>
      </c>
      <c r="J97" s="16">
        <f>IF(NOT(Paths!$C$15=1),0,IF(Paths!$P$15="Complete",IF(IF(Paths!$E$15=0,C97=0,AND(C97&gt;0,Paths!$E$15&gt;(C97-1)*12,Paths!$E$15&lt;=C97*12)),Paths!$H$15,0),"n.a."))</f>
        <v>0</v>
      </c>
      <c r="K97" s="16">
        <f>IF(NOT(Paths!$C$15=1),0,IF(Paths!$P$15="Complete",IF(IF(Paths!$O$15=0,C97=0,AND(C97&gt;0,Paths!$O$15&gt;(C97-1)*12,Paths!$O$15&lt;=C97*12)),Paths!$N$15,0),"n.a."))</f>
        <v>0</v>
      </c>
      <c r="L97" s="16">
        <f>IF(NOT(Paths!$C$15=1),0,IF(Paths!$P$15="Complete",IF(C97=10,Paths!$I$15,0),"n.a."))</f>
        <v>0</v>
      </c>
      <c r="M97" s="16">
        <f>IF(NOT(Paths!$C$15=1),0,IF(Paths!$P$15="Complete",IF(AND(Paths!$D$15="EV",Paths!$E$15&lt;120,Paths!$E$15+'Operating costs'!$B$65&gt;Paths!$E$15,Paths!$E$15+'Operating costs'!$B$65&lt;=120,IF(Paths!$E$15+'Operating costs'!$B$65=0,C97=0,AND(C97&gt;0,Paths!$E$15+'Operating costs'!$B$65&gt;(C97-1)*12,Paths!$E$15+'Operating costs'!$B$65&lt;=C97*12))),'Operating costs'!$B$64,0)+IF(AND('Operating costs'!$B$67&gt;0,'Operating costs'!$B$67&lt;=120,OR(Paths!$D$15="ICE",'Operating costs'!$B$67&lt;=Paths!$E$15),IF('Operating costs'!$B$67=0,C97=0,AND(C97&gt;0,'Operating costs'!$B$67&gt;(C97-1)*12,'Operating costs'!$B$67&lt;=C97*12))),'Operating costs'!$B$66,0),"n.a."))</f>
        <v>0</v>
      </c>
      <c r="N97" s="16">
        <f>IF(NOT(Paths!$C$15=1),0,IF(Paths!$P$15="Complete",SUM(G97:I97)-J97-K97-L97+M97+IF(C97=0,Paths!$F$15,0)+IF(IF(Paths!$E$15=0,C97=0,AND(C97&gt;0,Paths!$E$15&gt;(C97-1)*12,Paths!$E$15&lt;=C97*12)),VLOOKUP(A97,'Fleet register'!$A$7:$S$106,16,FALSE),0),"n.a."))</f>
        <v>18151.349999999999</v>
      </c>
      <c r="O97" s="16">
        <f>IF(NOT(Paths!$C$15=1),0,IF(Paths!$P$15="Complete",N97-IF(C97=0,Paths!$F$15,0),"n.a."))</f>
        <v>18151.349999999999</v>
      </c>
      <c r="P97" s="16">
        <f>IF(NOT(Paths!$C$15=1),0,IF(Paths!$P$15="Complete",O97+L97,"n.a."))</f>
        <v>18151.349999999999</v>
      </c>
      <c r="Q97" s="16">
        <f>IF(NOT(Paths!$C$15=1),0,IF(Paths!$P$15="Complete",N97*(1+'Operating costs'!$B$54)^-C97,"n.a."))</f>
        <v>18151.349999999999</v>
      </c>
      <c r="R97" s="16">
        <f>IF(NOT(Paths!$C$15=1),0,IF(Paths!$P$15="Complete",IF(AND(C97=0,Paths!$E$15=0),I97-J97-K97+VLOOKUP(A97,'Fleet register'!$A$7:$S$106,15,FALSE)+VLOOKUP(A97,'Fleet register'!$A$7:$S$106,16,FALSE),0),"n.a."))</f>
        <v>0</v>
      </c>
      <c r="S97" s="1">
        <f>IF(NOT(Paths!$C$15=1),0,IF(Paths!$P$15="Complete",IF(C97=0,0,Paths!$S$15*Paths!$R$15),"n.a."))</f>
        <v>45000</v>
      </c>
      <c r="T97" s="1">
        <f>IF(NOT(Paths!$C$15=1),0,IF(Paths!$P$15="Complete",IF(C97=0,0,VLOOKUP(A97,'Fleet register'!$A$7:$S$106,9,FALSE)*Paths!$R$15),"n.a."))</f>
        <v>7200</v>
      </c>
    </row>
    <row r="98" spans="1:20" ht="24" customHeight="1">
      <c r="A98" s="1" t="str">
        <f>Paths!$A$15</f>
        <v>T003</v>
      </c>
      <c r="B98" s="1">
        <f>Paths!$B$15</f>
        <v>0</v>
      </c>
      <c r="C98" s="1">
        <v>3</v>
      </c>
      <c r="D98" s="1">
        <v>15</v>
      </c>
      <c r="E98" s="1">
        <f>IF(OR(Paths!$C$15=0,C98=0),0,MAX(0,MIN(C98*12,Paths!$E$15)-(C98-1)*12))</f>
        <v>12</v>
      </c>
      <c r="F98" s="1">
        <f>IF(OR(Paths!$C$15=0,C98=0),0,12-E98)</f>
        <v>0</v>
      </c>
      <c r="G98" s="16">
        <f>IF(NOT(Paths!$C$15=1),0,IF(Paths!$P$15="Complete",E98/12*(Paths!$J$15*(1+'Operating costs'!$B$51)^MAX(0,C98-1)+Paths!$K$15*(1+'Operating costs'!$B$53)^MAX(0,C98-1)),"n.a."))</f>
        <v>18151.349999999999</v>
      </c>
      <c r="H98" s="16">
        <f>IF(NOT(Paths!$C$15=1),0,IF(Paths!$P$15="Complete",F98/12*(Paths!$L$15*(1+IF(Paths!$D$15="EV",'Operating costs'!$B$52,'Operating costs'!$B$51))^MAX(0,C98-1)+Paths!$M$15*(1+'Operating costs'!$B$53)^MAX(0,C98-1)),"n.a."))</f>
        <v>0</v>
      </c>
      <c r="I98" s="16">
        <f>IF(NOT(Paths!$C$15=1),0,IF(Paths!$P$15="Complete",IF(IF(Paths!$E$15=0,C98=0,AND(C98&gt;0,Paths!$E$15&gt;(C98-1)*12,Paths!$E$15&lt;=C98*12)),Paths!$G$15,0),"n.a."))</f>
        <v>181000</v>
      </c>
      <c r="J98" s="16">
        <f>IF(NOT(Paths!$C$15=1),0,IF(Paths!$P$15="Complete",IF(IF(Paths!$E$15=0,C98=0,AND(C98&gt;0,Paths!$E$15&gt;(C98-1)*12,Paths!$E$15&lt;=C98*12)),Paths!$H$15,0),"n.a."))</f>
        <v>10000</v>
      </c>
      <c r="K98" s="16">
        <f>IF(NOT(Paths!$C$15=1),0,IF(Paths!$P$15="Complete",IF(IF(Paths!$O$15=0,C98=0,AND(C98&gt;0,Paths!$O$15&gt;(C98-1)*12,Paths!$O$15&lt;=C98*12)),Paths!$N$15,0),"n.a."))</f>
        <v>0</v>
      </c>
      <c r="L98" s="16">
        <f>IF(NOT(Paths!$C$15=1),0,IF(Paths!$P$15="Complete",IF(C98=10,Paths!$I$15,0),"n.a."))</f>
        <v>0</v>
      </c>
      <c r="M98" s="16">
        <f>IF(NOT(Paths!$C$15=1),0,IF(Paths!$P$15="Complete",IF(AND(Paths!$D$15="EV",Paths!$E$15&lt;120,Paths!$E$15+'Operating costs'!$B$65&gt;Paths!$E$15,Paths!$E$15+'Operating costs'!$B$65&lt;=120,IF(Paths!$E$15+'Operating costs'!$B$65=0,C98=0,AND(C98&gt;0,Paths!$E$15+'Operating costs'!$B$65&gt;(C98-1)*12,Paths!$E$15+'Operating costs'!$B$65&lt;=C98*12))),'Operating costs'!$B$64,0)+IF(AND('Operating costs'!$B$67&gt;0,'Operating costs'!$B$67&lt;=120,OR(Paths!$D$15="ICE",'Operating costs'!$B$67&lt;=Paths!$E$15),IF('Operating costs'!$B$67=0,C98=0,AND(C98&gt;0,'Operating costs'!$B$67&gt;(C98-1)*12,'Operating costs'!$B$67&lt;=C98*12))),'Operating costs'!$B$66,0),"n.a."))</f>
        <v>0</v>
      </c>
      <c r="N98" s="16">
        <f>IF(NOT(Paths!$C$15=1),0,IF(Paths!$P$15="Complete",SUM(G98:I98)-J98-K98-L98+M98+IF(C98=0,Paths!$F$15,0)+IF(IF(Paths!$E$15=0,C98=0,AND(C98&gt;0,Paths!$E$15&gt;(C98-1)*12,Paths!$E$15&lt;=C98*12)),VLOOKUP(A98,'Fleet register'!$A$7:$S$106,16,FALSE),0),"n.a."))</f>
        <v>189151.35</v>
      </c>
      <c r="O98" s="16">
        <f>IF(NOT(Paths!$C$15=1),0,IF(Paths!$P$15="Complete",N98-IF(C98=0,Paths!$F$15,0),"n.a."))</f>
        <v>189151.35</v>
      </c>
      <c r="P98" s="16">
        <f>IF(NOT(Paths!$C$15=1),0,IF(Paths!$P$15="Complete",O98+L98,"n.a."))</f>
        <v>189151.35</v>
      </c>
      <c r="Q98" s="16">
        <f>IF(NOT(Paths!$C$15=1),0,IF(Paths!$P$15="Complete",N98*(1+'Operating costs'!$B$54)^-C98,"n.a."))</f>
        <v>189151.35</v>
      </c>
      <c r="R98" s="16">
        <f>IF(NOT(Paths!$C$15=1),0,IF(Paths!$P$15="Complete",IF(AND(C98=0,Paths!$E$15=0),I98-J98-K98+VLOOKUP(A98,'Fleet register'!$A$7:$S$106,15,FALSE)+VLOOKUP(A98,'Fleet register'!$A$7:$S$106,16,FALSE),0),"n.a."))</f>
        <v>0</v>
      </c>
      <c r="S98" s="1">
        <f>IF(NOT(Paths!$C$15=1),0,IF(Paths!$P$15="Complete",IF(C98=0,0,Paths!$S$15*Paths!$R$15),"n.a."))</f>
        <v>45000</v>
      </c>
      <c r="T98" s="1">
        <f>IF(NOT(Paths!$C$15=1),0,IF(Paths!$P$15="Complete",IF(C98=0,0,VLOOKUP(A98,'Fleet register'!$A$7:$S$106,9,FALSE)*Paths!$R$15),"n.a."))</f>
        <v>7200</v>
      </c>
    </row>
    <row r="99" spans="1:20" ht="24" customHeight="1">
      <c r="A99" s="1" t="str">
        <f>Paths!$A$15</f>
        <v>T003</v>
      </c>
      <c r="B99" s="1">
        <f>Paths!$B$15</f>
        <v>0</v>
      </c>
      <c r="C99" s="1">
        <v>4</v>
      </c>
      <c r="D99" s="1">
        <v>15</v>
      </c>
      <c r="E99" s="1">
        <f>IF(OR(Paths!$C$15=0,C99=0),0,MAX(0,MIN(C99*12,Paths!$E$15)-(C99-1)*12))</f>
        <v>0</v>
      </c>
      <c r="F99" s="1">
        <f>IF(OR(Paths!$C$15=0,C99=0),0,12-E99)</f>
        <v>12</v>
      </c>
      <c r="G99" s="16">
        <f>IF(NOT(Paths!$C$15=1),0,IF(Paths!$P$15="Complete",E99/12*(Paths!$J$15*(1+'Operating costs'!$B$51)^MAX(0,C99-1)+Paths!$K$15*(1+'Operating costs'!$B$53)^MAX(0,C99-1)),"n.a."))</f>
        <v>0</v>
      </c>
      <c r="H99" s="16">
        <f>IF(NOT(Paths!$C$15=1),0,IF(Paths!$P$15="Complete",F99/12*(Paths!$L$15*(1+IF(Paths!$D$15="EV",'Operating costs'!$B$52,'Operating costs'!$B$51))^MAX(0,C99-1)+Paths!$M$15*(1+'Operating costs'!$B$53)^MAX(0,C99-1)),"n.a."))</f>
        <v>18151.349999999999</v>
      </c>
      <c r="I99" s="16">
        <f>IF(NOT(Paths!$C$15=1),0,IF(Paths!$P$15="Complete",IF(IF(Paths!$E$15=0,C99=0,AND(C99&gt;0,Paths!$E$15&gt;(C99-1)*12,Paths!$E$15&lt;=C99*12)),Paths!$G$15,0),"n.a."))</f>
        <v>0</v>
      </c>
      <c r="J99" s="16">
        <f>IF(NOT(Paths!$C$15=1),0,IF(Paths!$P$15="Complete",IF(IF(Paths!$E$15=0,C99=0,AND(C99&gt;0,Paths!$E$15&gt;(C99-1)*12,Paths!$E$15&lt;=C99*12)),Paths!$H$15,0),"n.a."))</f>
        <v>0</v>
      </c>
      <c r="K99" s="16">
        <f>IF(NOT(Paths!$C$15=1),0,IF(Paths!$P$15="Complete",IF(IF(Paths!$O$15=0,C99=0,AND(C99&gt;0,Paths!$O$15&gt;(C99-1)*12,Paths!$O$15&lt;=C99*12)),Paths!$N$15,0),"n.a."))</f>
        <v>0</v>
      </c>
      <c r="L99" s="16">
        <f>IF(NOT(Paths!$C$15=1),0,IF(Paths!$P$15="Complete",IF(C99=10,Paths!$I$15,0),"n.a."))</f>
        <v>0</v>
      </c>
      <c r="M99" s="16">
        <f>IF(NOT(Paths!$C$15=1),0,IF(Paths!$P$15="Complete",IF(AND(Paths!$D$15="EV",Paths!$E$15&lt;120,Paths!$E$15+'Operating costs'!$B$65&gt;Paths!$E$15,Paths!$E$15+'Operating costs'!$B$65&lt;=120,IF(Paths!$E$15+'Operating costs'!$B$65=0,C99=0,AND(C99&gt;0,Paths!$E$15+'Operating costs'!$B$65&gt;(C99-1)*12,Paths!$E$15+'Operating costs'!$B$65&lt;=C99*12))),'Operating costs'!$B$64,0)+IF(AND('Operating costs'!$B$67&gt;0,'Operating costs'!$B$67&lt;=120,OR(Paths!$D$15="ICE",'Operating costs'!$B$67&lt;=Paths!$E$15),IF('Operating costs'!$B$67=0,C99=0,AND(C99&gt;0,'Operating costs'!$B$67&gt;(C99-1)*12,'Operating costs'!$B$67&lt;=C99*12))),'Operating costs'!$B$66,0),"n.a."))</f>
        <v>0</v>
      </c>
      <c r="N99" s="16">
        <f>IF(NOT(Paths!$C$15=1),0,IF(Paths!$P$15="Complete",SUM(G99:I99)-J99-K99-L99+M99+IF(C99=0,Paths!$F$15,0)+IF(IF(Paths!$E$15=0,C99=0,AND(C99&gt;0,Paths!$E$15&gt;(C99-1)*12,Paths!$E$15&lt;=C99*12)),VLOOKUP(A99,'Fleet register'!$A$7:$S$106,16,FALSE),0),"n.a."))</f>
        <v>18151.349999999999</v>
      </c>
      <c r="O99" s="16">
        <f>IF(NOT(Paths!$C$15=1),0,IF(Paths!$P$15="Complete",N99-IF(C99=0,Paths!$F$15,0),"n.a."))</f>
        <v>18151.349999999999</v>
      </c>
      <c r="P99" s="16">
        <f>IF(NOT(Paths!$C$15=1),0,IF(Paths!$P$15="Complete",O99+L99,"n.a."))</f>
        <v>18151.349999999999</v>
      </c>
      <c r="Q99" s="16">
        <f>IF(NOT(Paths!$C$15=1),0,IF(Paths!$P$15="Complete",N99*(1+'Operating costs'!$B$54)^-C99,"n.a."))</f>
        <v>18151.349999999999</v>
      </c>
      <c r="R99" s="16">
        <f>IF(NOT(Paths!$C$15=1),0,IF(Paths!$P$15="Complete",IF(AND(C99=0,Paths!$E$15=0),I99-J99-K99+VLOOKUP(A99,'Fleet register'!$A$7:$S$106,15,FALSE)+VLOOKUP(A99,'Fleet register'!$A$7:$S$106,16,FALSE),0),"n.a."))</f>
        <v>0</v>
      </c>
      <c r="S99" s="1">
        <f>IF(NOT(Paths!$C$15=1),0,IF(Paths!$P$15="Complete",IF(C99=0,0,Paths!$S$15*Paths!$R$15),"n.a."))</f>
        <v>45000</v>
      </c>
      <c r="T99" s="1">
        <f>IF(NOT(Paths!$C$15=1),0,IF(Paths!$P$15="Complete",IF(C99=0,0,VLOOKUP(A99,'Fleet register'!$A$7:$S$106,9,FALSE)*Paths!$R$15),"n.a."))</f>
        <v>7200</v>
      </c>
    </row>
    <row r="100" spans="1:20" ht="24" customHeight="1">
      <c r="A100" s="1" t="str">
        <f>Paths!$A$15</f>
        <v>T003</v>
      </c>
      <c r="B100" s="1">
        <f>Paths!$B$15</f>
        <v>0</v>
      </c>
      <c r="C100" s="1">
        <v>5</v>
      </c>
      <c r="D100" s="1">
        <v>15</v>
      </c>
      <c r="E100" s="1">
        <f>IF(OR(Paths!$C$15=0,C100=0),0,MAX(0,MIN(C100*12,Paths!$E$15)-(C100-1)*12))</f>
        <v>0</v>
      </c>
      <c r="F100" s="1">
        <f>IF(OR(Paths!$C$15=0,C100=0),0,12-E100)</f>
        <v>12</v>
      </c>
      <c r="G100" s="16">
        <f>IF(NOT(Paths!$C$15=1),0,IF(Paths!$P$15="Complete",E100/12*(Paths!$J$15*(1+'Operating costs'!$B$51)^MAX(0,C100-1)+Paths!$K$15*(1+'Operating costs'!$B$53)^MAX(0,C100-1)),"n.a."))</f>
        <v>0</v>
      </c>
      <c r="H100" s="16">
        <f>IF(NOT(Paths!$C$15=1),0,IF(Paths!$P$15="Complete",F100/12*(Paths!$L$15*(1+IF(Paths!$D$15="EV",'Operating costs'!$B$52,'Operating costs'!$B$51))^MAX(0,C100-1)+Paths!$M$15*(1+'Operating costs'!$B$53)^MAX(0,C100-1)),"n.a."))</f>
        <v>18151.349999999999</v>
      </c>
      <c r="I100" s="16">
        <f>IF(NOT(Paths!$C$15=1),0,IF(Paths!$P$15="Complete",IF(IF(Paths!$E$15=0,C100=0,AND(C100&gt;0,Paths!$E$15&gt;(C100-1)*12,Paths!$E$15&lt;=C100*12)),Paths!$G$15,0),"n.a."))</f>
        <v>0</v>
      </c>
      <c r="J100" s="16">
        <f>IF(NOT(Paths!$C$15=1),0,IF(Paths!$P$15="Complete",IF(IF(Paths!$E$15=0,C100=0,AND(C100&gt;0,Paths!$E$15&gt;(C100-1)*12,Paths!$E$15&lt;=C100*12)),Paths!$H$15,0),"n.a."))</f>
        <v>0</v>
      </c>
      <c r="K100" s="16">
        <f>IF(NOT(Paths!$C$15=1),0,IF(Paths!$P$15="Complete",IF(IF(Paths!$O$15=0,C100=0,AND(C100&gt;0,Paths!$O$15&gt;(C100-1)*12,Paths!$O$15&lt;=C100*12)),Paths!$N$15,0),"n.a."))</f>
        <v>0</v>
      </c>
      <c r="L100" s="16">
        <f>IF(NOT(Paths!$C$15=1),0,IF(Paths!$P$15="Complete",IF(C100=10,Paths!$I$15,0),"n.a."))</f>
        <v>0</v>
      </c>
      <c r="M100" s="16">
        <f>IF(NOT(Paths!$C$15=1),0,IF(Paths!$P$15="Complete",IF(AND(Paths!$D$15="EV",Paths!$E$15&lt;120,Paths!$E$15+'Operating costs'!$B$65&gt;Paths!$E$15,Paths!$E$15+'Operating costs'!$B$65&lt;=120,IF(Paths!$E$15+'Operating costs'!$B$65=0,C100=0,AND(C100&gt;0,Paths!$E$15+'Operating costs'!$B$65&gt;(C100-1)*12,Paths!$E$15+'Operating costs'!$B$65&lt;=C100*12))),'Operating costs'!$B$64,0)+IF(AND('Operating costs'!$B$67&gt;0,'Operating costs'!$B$67&lt;=120,OR(Paths!$D$15="ICE",'Operating costs'!$B$67&lt;=Paths!$E$15),IF('Operating costs'!$B$67=0,C100=0,AND(C100&gt;0,'Operating costs'!$B$67&gt;(C100-1)*12,'Operating costs'!$B$67&lt;=C100*12))),'Operating costs'!$B$66,0),"n.a."))</f>
        <v>0</v>
      </c>
      <c r="N100" s="16">
        <f>IF(NOT(Paths!$C$15=1),0,IF(Paths!$P$15="Complete",SUM(G100:I100)-J100-K100-L100+M100+IF(C100=0,Paths!$F$15,0)+IF(IF(Paths!$E$15=0,C100=0,AND(C100&gt;0,Paths!$E$15&gt;(C100-1)*12,Paths!$E$15&lt;=C100*12)),VLOOKUP(A100,'Fleet register'!$A$7:$S$106,16,FALSE),0),"n.a."))</f>
        <v>18151.349999999999</v>
      </c>
      <c r="O100" s="16">
        <f>IF(NOT(Paths!$C$15=1),0,IF(Paths!$P$15="Complete",N100-IF(C100=0,Paths!$F$15,0),"n.a."))</f>
        <v>18151.349999999999</v>
      </c>
      <c r="P100" s="16">
        <f>IF(NOT(Paths!$C$15=1),0,IF(Paths!$P$15="Complete",O100+L100,"n.a."))</f>
        <v>18151.349999999999</v>
      </c>
      <c r="Q100" s="16">
        <f>IF(NOT(Paths!$C$15=1),0,IF(Paths!$P$15="Complete",N100*(1+'Operating costs'!$B$54)^-C100,"n.a."))</f>
        <v>18151.349999999999</v>
      </c>
      <c r="R100" s="16">
        <f>IF(NOT(Paths!$C$15=1),0,IF(Paths!$P$15="Complete",IF(AND(C100=0,Paths!$E$15=0),I100-J100-K100+VLOOKUP(A100,'Fleet register'!$A$7:$S$106,15,FALSE)+VLOOKUP(A100,'Fleet register'!$A$7:$S$106,16,FALSE),0),"n.a."))</f>
        <v>0</v>
      </c>
      <c r="S100" s="1">
        <f>IF(NOT(Paths!$C$15=1),0,IF(Paths!$P$15="Complete",IF(C100=0,0,Paths!$S$15*Paths!$R$15),"n.a."))</f>
        <v>45000</v>
      </c>
      <c r="T100" s="1">
        <f>IF(NOT(Paths!$C$15=1),0,IF(Paths!$P$15="Complete",IF(C100=0,0,VLOOKUP(A100,'Fleet register'!$A$7:$S$106,9,FALSE)*Paths!$R$15),"n.a."))</f>
        <v>7200</v>
      </c>
    </row>
    <row r="101" spans="1:20" ht="24" customHeight="1">
      <c r="A101" s="1" t="str">
        <f>Paths!$A$15</f>
        <v>T003</v>
      </c>
      <c r="B101" s="1">
        <f>Paths!$B$15</f>
        <v>0</v>
      </c>
      <c r="C101" s="1">
        <v>6</v>
      </c>
      <c r="D101" s="1">
        <v>15</v>
      </c>
      <c r="E101" s="1">
        <f>IF(OR(Paths!$C$15=0,C101=0),0,MAX(0,MIN(C101*12,Paths!$E$15)-(C101-1)*12))</f>
        <v>0</v>
      </c>
      <c r="F101" s="1">
        <f>IF(OR(Paths!$C$15=0,C101=0),0,12-E101)</f>
        <v>12</v>
      </c>
      <c r="G101" s="16">
        <f>IF(NOT(Paths!$C$15=1),0,IF(Paths!$P$15="Complete",E101/12*(Paths!$J$15*(1+'Operating costs'!$B$51)^MAX(0,C101-1)+Paths!$K$15*(1+'Operating costs'!$B$53)^MAX(0,C101-1)),"n.a."))</f>
        <v>0</v>
      </c>
      <c r="H101" s="16">
        <f>IF(NOT(Paths!$C$15=1),0,IF(Paths!$P$15="Complete",F101/12*(Paths!$L$15*(1+IF(Paths!$D$15="EV",'Operating costs'!$B$52,'Operating costs'!$B$51))^MAX(0,C101-1)+Paths!$M$15*(1+'Operating costs'!$B$53)^MAX(0,C101-1)),"n.a."))</f>
        <v>18151.349999999999</v>
      </c>
      <c r="I101" s="16">
        <f>IF(NOT(Paths!$C$15=1),0,IF(Paths!$P$15="Complete",IF(IF(Paths!$E$15=0,C101=0,AND(C101&gt;0,Paths!$E$15&gt;(C101-1)*12,Paths!$E$15&lt;=C101*12)),Paths!$G$15,0),"n.a."))</f>
        <v>0</v>
      </c>
      <c r="J101" s="16">
        <f>IF(NOT(Paths!$C$15=1),0,IF(Paths!$P$15="Complete",IF(IF(Paths!$E$15=0,C101=0,AND(C101&gt;0,Paths!$E$15&gt;(C101-1)*12,Paths!$E$15&lt;=C101*12)),Paths!$H$15,0),"n.a."))</f>
        <v>0</v>
      </c>
      <c r="K101" s="16">
        <f>IF(NOT(Paths!$C$15=1),0,IF(Paths!$P$15="Complete",IF(IF(Paths!$O$15=0,C101=0,AND(C101&gt;0,Paths!$O$15&gt;(C101-1)*12,Paths!$O$15&lt;=C101*12)),Paths!$N$15,0),"n.a."))</f>
        <v>0</v>
      </c>
      <c r="L101" s="16">
        <f>IF(NOT(Paths!$C$15=1),0,IF(Paths!$P$15="Complete",IF(C101=10,Paths!$I$15,0),"n.a."))</f>
        <v>0</v>
      </c>
      <c r="M101" s="16">
        <f>IF(NOT(Paths!$C$15=1),0,IF(Paths!$P$15="Complete",IF(AND(Paths!$D$15="EV",Paths!$E$15&lt;120,Paths!$E$15+'Operating costs'!$B$65&gt;Paths!$E$15,Paths!$E$15+'Operating costs'!$B$65&lt;=120,IF(Paths!$E$15+'Operating costs'!$B$65=0,C101=0,AND(C101&gt;0,Paths!$E$15+'Operating costs'!$B$65&gt;(C101-1)*12,Paths!$E$15+'Operating costs'!$B$65&lt;=C101*12))),'Operating costs'!$B$64,0)+IF(AND('Operating costs'!$B$67&gt;0,'Operating costs'!$B$67&lt;=120,OR(Paths!$D$15="ICE",'Operating costs'!$B$67&lt;=Paths!$E$15),IF('Operating costs'!$B$67=0,C101=0,AND(C101&gt;0,'Operating costs'!$B$67&gt;(C101-1)*12,'Operating costs'!$B$67&lt;=C101*12))),'Operating costs'!$B$66,0),"n.a."))</f>
        <v>0</v>
      </c>
      <c r="N101" s="16">
        <f>IF(NOT(Paths!$C$15=1),0,IF(Paths!$P$15="Complete",SUM(G101:I101)-J101-K101-L101+M101+IF(C101=0,Paths!$F$15,0)+IF(IF(Paths!$E$15=0,C101=0,AND(C101&gt;0,Paths!$E$15&gt;(C101-1)*12,Paths!$E$15&lt;=C101*12)),VLOOKUP(A101,'Fleet register'!$A$7:$S$106,16,FALSE),0),"n.a."))</f>
        <v>18151.349999999999</v>
      </c>
      <c r="O101" s="16">
        <f>IF(NOT(Paths!$C$15=1),0,IF(Paths!$P$15="Complete",N101-IF(C101=0,Paths!$F$15,0),"n.a."))</f>
        <v>18151.349999999999</v>
      </c>
      <c r="P101" s="16">
        <f>IF(NOT(Paths!$C$15=1),0,IF(Paths!$P$15="Complete",O101+L101,"n.a."))</f>
        <v>18151.349999999999</v>
      </c>
      <c r="Q101" s="16">
        <f>IF(NOT(Paths!$C$15=1),0,IF(Paths!$P$15="Complete",N101*(1+'Operating costs'!$B$54)^-C101,"n.a."))</f>
        <v>18151.349999999999</v>
      </c>
      <c r="R101" s="16">
        <f>IF(NOT(Paths!$C$15=1),0,IF(Paths!$P$15="Complete",IF(AND(C101=0,Paths!$E$15=0),I101-J101-K101+VLOOKUP(A101,'Fleet register'!$A$7:$S$106,15,FALSE)+VLOOKUP(A101,'Fleet register'!$A$7:$S$106,16,FALSE),0),"n.a."))</f>
        <v>0</v>
      </c>
      <c r="S101" s="1">
        <f>IF(NOT(Paths!$C$15=1),0,IF(Paths!$P$15="Complete",IF(C101=0,0,Paths!$S$15*Paths!$R$15),"n.a."))</f>
        <v>45000</v>
      </c>
      <c r="T101" s="1">
        <f>IF(NOT(Paths!$C$15=1),0,IF(Paths!$P$15="Complete",IF(C101=0,0,VLOOKUP(A101,'Fleet register'!$A$7:$S$106,9,FALSE)*Paths!$R$15),"n.a."))</f>
        <v>7200</v>
      </c>
    </row>
    <row r="102" spans="1:20" ht="24" customHeight="1">
      <c r="A102" s="1" t="str">
        <f>Paths!$A$15</f>
        <v>T003</v>
      </c>
      <c r="B102" s="1">
        <f>Paths!$B$15</f>
        <v>0</v>
      </c>
      <c r="C102" s="1">
        <v>7</v>
      </c>
      <c r="D102" s="1">
        <v>15</v>
      </c>
      <c r="E102" s="1">
        <f>IF(OR(Paths!$C$15=0,C102=0),0,MAX(0,MIN(C102*12,Paths!$E$15)-(C102-1)*12))</f>
        <v>0</v>
      </c>
      <c r="F102" s="1">
        <f>IF(OR(Paths!$C$15=0,C102=0),0,12-E102)</f>
        <v>12</v>
      </c>
      <c r="G102" s="16">
        <f>IF(NOT(Paths!$C$15=1),0,IF(Paths!$P$15="Complete",E102/12*(Paths!$J$15*(1+'Operating costs'!$B$51)^MAX(0,C102-1)+Paths!$K$15*(1+'Operating costs'!$B$53)^MAX(0,C102-1)),"n.a."))</f>
        <v>0</v>
      </c>
      <c r="H102" s="16">
        <f>IF(NOT(Paths!$C$15=1),0,IF(Paths!$P$15="Complete",F102/12*(Paths!$L$15*(1+IF(Paths!$D$15="EV",'Operating costs'!$B$52,'Operating costs'!$B$51))^MAX(0,C102-1)+Paths!$M$15*(1+'Operating costs'!$B$53)^MAX(0,C102-1)),"n.a."))</f>
        <v>18151.349999999999</v>
      </c>
      <c r="I102" s="16">
        <f>IF(NOT(Paths!$C$15=1),0,IF(Paths!$P$15="Complete",IF(IF(Paths!$E$15=0,C102=0,AND(C102&gt;0,Paths!$E$15&gt;(C102-1)*12,Paths!$E$15&lt;=C102*12)),Paths!$G$15,0),"n.a."))</f>
        <v>0</v>
      </c>
      <c r="J102" s="16">
        <f>IF(NOT(Paths!$C$15=1),0,IF(Paths!$P$15="Complete",IF(IF(Paths!$E$15=0,C102=0,AND(C102&gt;0,Paths!$E$15&gt;(C102-1)*12,Paths!$E$15&lt;=C102*12)),Paths!$H$15,0),"n.a."))</f>
        <v>0</v>
      </c>
      <c r="K102" s="16">
        <f>IF(NOT(Paths!$C$15=1),0,IF(Paths!$P$15="Complete",IF(IF(Paths!$O$15=0,C102=0,AND(C102&gt;0,Paths!$O$15&gt;(C102-1)*12,Paths!$O$15&lt;=C102*12)),Paths!$N$15,0),"n.a."))</f>
        <v>0</v>
      </c>
      <c r="L102" s="16">
        <f>IF(NOT(Paths!$C$15=1),0,IF(Paths!$P$15="Complete",IF(C102=10,Paths!$I$15,0),"n.a."))</f>
        <v>0</v>
      </c>
      <c r="M102" s="16">
        <f>IF(NOT(Paths!$C$15=1),0,IF(Paths!$P$15="Complete",IF(AND(Paths!$D$15="EV",Paths!$E$15&lt;120,Paths!$E$15+'Operating costs'!$B$65&gt;Paths!$E$15,Paths!$E$15+'Operating costs'!$B$65&lt;=120,IF(Paths!$E$15+'Operating costs'!$B$65=0,C102=0,AND(C102&gt;0,Paths!$E$15+'Operating costs'!$B$65&gt;(C102-1)*12,Paths!$E$15+'Operating costs'!$B$65&lt;=C102*12))),'Operating costs'!$B$64,0)+IF(AND('Operating costs'!$B$67&gt;0,'Operating costs'!$B$67&lt;=120,OR(Paths!$D$15="ICE",'Operating costs'!$B$67&lt;=Paths!$E$15),IF('Operating costs'!$B$67=0,C102=0,AND(C102&gt;0,'Operating costs'!$B$67&gt;(C102-1)*12,'Operating costs'!$B$67&lt;=C102*12))),'Operating costs'!$B$66,0),"n.a."))</f>
        <v>0</v>
      </c>
      <c r="N102" s="16">
        <f>IF(NOT(Paths!$C$15=1),0,IF(Paths!$P$15="Complete",SUM(G102:I102)-J102-K102-L102+M102+IF(C102=0,Paths!$F$15,0)+IF(IF(Paths!$E$15=0,C102=0,AND(C102&gt;0,Paths!$E$15&gt;(C102-1)*12,Paths!$E$15&lt;=C102*12)),VLOOKUP(A102,'Fleet register'!$A$7:$S$106,16,FALSE),0),"n.a."))</f>
        <v>18151.349999999999</v>
      </c>
      <c r="O102" s="16">
        <f>IF(NOT(Paths!$C$15=1),0,IF(Paths!$P$15="Complete",N102-IF(C102=0,Paths!$F$15,0),"n.a."))</f>
        <v>18151.349999999999</v>
      </c>
      <c r="P102" s="16">
        <f>IF(NOT(Paths!$C$15=1),0,IF(Paths!$P$15="Complete",O102+L102,"n.a."))</f>
        <v>18151.349999999999</v>
      </c>
      <c r="Q102" s="16">
        <f>IF(NOT(Paths!$C$15=1),0,IF(Paths!$P$15="Complete",N102*(1+'Operating costs'!$B$54)^-C102,"n.a."))</f>
        <v>18151.349999999999</v>
      </c>
      <c r="R102" s="16">
        <f>IF(NOT(Paths!$C$15=1),0,IF(Paths!$P$15="Complete",IF(AND(C102=0,Paths!$E$15=0),I102-J102-K102+VLOOKUP(A102,'Fleet register'!$A$7:$S$106,15,FALSE)+VLOOKUP(A102,'Fleet register'!$A$7:$S$106,16,FALSE),0),"n.a."))</f>
        <v>0</v>
      </c>
      <c r="S102" s="1">
        <f>IF(NOT(Paths!$C$15=1),0,IF(Paths!$P$15="Complete",IF(C102=0,0,Paths!$S$15*Paths!$R$15),"n.a."))</f>
        <v>45000</v>
      </c>
      <c r="T102" s="1">
        <f>IF(NOT(Paths!$C$15=1),0,IF(Paths!$P$15="Complete",IF(C102=0,0,VLOOKUP(A102,'Fleet register'!$A$7:$S$106,9,FALSE)*Paths!$R$15),"n.a."))</f>
        <v>7200</v>
      </c>
    </row>
    <row r="103" spans="1:20" ht="24" customHeight="1">
      <c r="A103" s="1" t="str">
        <f>Paths!$A$15</f>
        <v>T003</v>
      </c>
      <c r="B103" s="1">
        <f>Paths!$B$15</f>
        <v>0</v>
      </c>
      <c r="C103" s="1">
        <v>8</v>
      </c>
      <c r="D103" s="1">
        <v>15</v>
      </c>
      <c r="E103" s="1">
        <f>IF(OR(Paths!$C$15=0,C103=0),0,MAX(0,MIN(C103*12,Paths!$E$15)-(C103-1)*12))</f>
        <v>0</v>
      </c>
      <c r="F103" s="1">
        <f>IF(OR(Paths!$C$15=0,C103=0),0,12-E103)</f>
        <v>12</v>
      </c>
      <c r="G103" s="16">
        <f>IF(NOT(Paths!$C$15=1),0,IF(Paths!$P$15="Complete",E103/12*(Paths!$J$15*(1+'Operating costs'!$B$51)^MAX(0,C103-1)+Paths!$K$15*(1+'Operating costs'!$B$53)^MAX(0,C103-1)),"n.a."))</f>
        <v>0</v>
      </c>
      <c r="H103" s="16">
        <f>IF(NOT(Paths!$C$15=1),0,IF(Paths!$P$15="Complete",F103/12*(Paths!$L$15*(1+IF(Paths!$D$15="EV",'Operating costs'!$B$52,'Operating costs'!$B$51))^MAX(0,C103-1)+Paths!$M$15*(1+'Operating costs'!$B$53)^MAX(0,C103-1)),"n.a."))</f>
        <v>18151.349999999999</v>
      </c>
      <c r="I103" s="16">
        <f>IF(NOT(Paths!$C$15=1),0,IF(Paths!$P$15="Complete",IF(IF(Paths!$E$15=0,C103=0,AND(C103&gt;0,Paths!$E$15&gt;(C103-1)*12,Paths!$E$15&lt;=C103*12)),Paths!$G$15,0),"n.a."))</f>
        <v>0</v>
      </c>
      <c r="J103" s="16">
        <f>IF(NOT(Paths!$C$15=1),0,IF(Paths!$P$15="Complete",IF(IF(Paths!$E$15=0,C103=0,AND(C103&gt;0,Paths!$E$15&gt;(C103-1)*12,Paths!$E$15&lt;=C103*12)),Paths!$H$15,0),"n.a."))</f>
        <v>0</v>
      </c>
      <c r="K103" s="16">
        <f>IF(NOT(Paths!$C$15=1),0,IF(Paths!$P$15="Complete",IF(IF(Paths!$O$15=0,C103=0,AND(C103&gt;0,Paths!$O$15&gt;(C103-1)*12,Paths!$O$15&lt;=C103*12)),Paths!$N$15,0),"n.a."))</f>
        <v>0</v>
      </c>
      <c r="L103" s="16">
        <f>IF(NOT(Paths!$C$15=1),0,IF(Paths!$P$15="Complete",IF(C103=10,Paths!$I$15,0),"n.a."))</f>
        <v>0</v>
      </c>
      <c r="M103" s="16">
        <f>IF(NOT(Paths!$C$15=1),0,IF(Paths!$P$15="Complete",IF(AND(Paths!$D$15="EV",Paths!$E$15&lt;120,Paths!$E$15+'Operating costs'!$B$65&gt;Paths!$E$15,Paths!$E$15+'Operating costs'!$B$65&lt;=120,IF(Paths!$E$15+'Operating costs'!$B$65=0,C103=0,AND(C103&gt;0,Paths!$E$15+'Operating costs'!$B$65&gt;(C103-1)*12,Paths!$E$15+'Operating costs'!$B$65&lt;=C103*12))),'Operating costs'!$B$64,0)+IF(AND('Operating costs'!$B$67&gt;0,'Operating costs'!$B$67&lt;=120,OR(Paths!$D$15="ICE",'Operating costs'!$B$67&lt;=Paths!$E$15),IF('Operating costs'!$B$67=0,C103=0,AND(C103&gt;0,'Operating costs'!$B$67&gt;(C103-1)*12,'Operating costs'!$B$67&lt;=C103*12))),'Operating costs'!$B$66,0),"n.a."))</f>
        <v>0</v>
      </c>
      <c r="N103" s="16">
        <f>IF(NOT(Paths!$C$15=1),0,IF(Paths!$P$15="Complete",SUM(G103:I103)-J103-K103-L103+M103+IF(C103=0,Paths!$F$15,0)+IF(IF(Paths!$E$15=0,C103=0,AND(C103&gt;0,Paths!$E$15&gt;(C103-1)*12,Paths!$E$15&lt;=C103*12)),VLOOKUP(A103,'Fleet register'!$A$7:$S$106,16,FALSE),0),"n.a."))</f>
        <v>18151.349999999999</v>
      </c>
      <c r="O103" s="16">
        <f>IF(NOT(Paths!$C$15=1),0,IF(Paths!$P$15="Complete",N103-IF(C103=0,Paths!$F$15,0),"n.a."))</f>
        <v>18151.349999999999</v>
      </c>
      <c r="P103" s="16">
        <f>IF(NOT(Paths!$C$15=1),0,IF(Paths!$P$15="Complete",O103+L103,"n.a."))</f>
        <v>18151.349999999999</v>
      </c>
      <c r="Q103" s="16">
        <f>IF(NOT(Paths!$C$15=1),0,IF(Paths!$P$15="Complete",N103*(1+'Operating costs'!$B$54)^-C103,"n.a."))</f>
        <v>18151.349999999999</v>
      </c>
      <c r="R103" s="16">
        <f>IF(NOT(Paths!$C$15=1),0,IF(Paths!$P$15="Complete",IF(AND(C103=0,Paths!$E$15=0),I103-J103-K103+VLOOKUP(A103,'Fleet register'!$A$7:$S$106,15,FALSE)+VLOOKUP(A103,'Fleet register'!$A$7:$S$106,16,FALSE),0),"n.a."))</f>
        <v>0</v>
      </c>
      <c r="S103" s="1">
        <f>IF(NOT(Paths!$C$15=1),0,IF(Paths!$P$15="Complete",IF(C103=0,0,Paths!$S$15*Paths!$R$15),"n.a."))</f>
        <v>45000</v>
      </c>
      <c r="T103" s="1">
        <f>IF(NOT(Paths!$C$15=1),0,IF(Paths!$P$15="Complete",IF(C103=0,0,VLOOKUP(A103,'Fleet register'!$A$7:$S$106,9,FALSE)*Paths!$R$15),"n.a."))</f>
        <v>7200</v>
      </c>
    </row>
    <row r="104" spans="1:20" ht="24" customHeight="1">
      <c r="A104" s="1" t="str">
        <f>Paths!$A$15</f>
        <v>T003</v>
      </c>
      <c r="B104" s="1">
        <f>Paths!$B$15</f>
        <v>0</v>
      </c>
      <c r="C104" s="1">
        <v>9</v>
      </c>
      <c r="D104" s="1">
        <v>15</v>
      </c>
      <c r="E104" s="1">
        <f>IF(OR(Paths!$C$15=0,C104=0),0,MAX(0,MIN(C104*12,Paths!$E$15)-(C104-1)*12))</f>
        <v>0</v>
      </c>
      <c r="F104" s="1">
        <f>IF(OR(Paths!$C$15=0,C104=0),0,12-E104)</f>
        <v>12</v>
      </c>
      <c r="G104" s="16">
        <f>IF(NOT(Paths!$C$15=1),0,IF(Paths!$P$15="Complete",E104/12*(Paths!$J$15*(1+'Operating costs'!$B$51)^MAX(0,C104-1)+Paths!$K$15*(1+'Operating costs'!$B$53)^MAX(0,C104-1)),"n.a."))</f>
        <v>0</v>
      </c>
      <c r="H104" s="16">
        <f>IF(NOT(Paths!$C$15=1),0,IF(Paths!$P$15="Complete",F104/12*(Paths!$L$15*(1+IF(Paths!$D$15="EV",'Operating costs'!$B$52,'Operating costs'!$B$51))^MAX(0,C104-1)+Paths!$M$15*(1+'Operating costs'!$B$53)^MAX(0,C104-1)),"n.a."))</f>
        <v>18151.349999999999</v>
      </c>
      <c r="I104" s="16">
        <f>IF(NOT(Paths!$C$15=1),0,IF(Paths!$P$15="Complete",IF(IF(Paths!$E$15=0,C104=0,AND(C104&gt;0,Paths!$E$15&gt;(C104-1)*12,Paths!$E$15&lt;=C104*12)),Paths!$G$15,0),"n.a."))</f>
        <v>0</v>
      </c>
      <c r="J104" s="16">
        <f>IF(NOT(Paths!$C$15=1),0,IF(Paths!$P$15="Complete",IF(IF(Paths!$E$15=0,C104=0,AND(C104&gt;0,Paths!$E$15&gt;(C104-1)*12,Paths!$E$15&lt;=C104*12)),Paths!$H$15,0),"n.a."))</f>
        <v>0</v>
      </c>
      <c r="K104" s="16">
        <f>IF(NOT(Paths!$C$15=1),0,IF(Paths!$P$15="Complete",IF(IF(Paths!$O$15=0,C104=0,AND(C104&gt;0,Paths!$O$15&gt;(C104-1)*12,Paths!$O$15&lt;=C104*12)),Paths!$N$15,0),"n.a."))</f>
        <v>0</v>
      </c>
      <c r="L104" s="16">
        <f>IF(NOT(Paths!$C$15=1),0,IF(Paths!$P$15="Complete",IF(C104=10,Paths!$I$15,0),"n.a."))</f>
        <v>0</v>
      </c>
      <c r="M104" s="16">
        <f>IF(NOT(Paths!$C$15=1),0,IF(Paths!$P$15="Complete",IF(AND(Paths!$D$15="EV",Paths!$E$15&lt;120,Paths!$E$15+'Operating costs'!$B$65&gt;Paths!$E$15,Paths!$E$15+'Operating costs'!$B$65&lt;=120,IF(Paths!$E$15+'Operating costs'!$B$65=0,C104=0,AND(C104&gt;0,Paths!$E$15+'Operating costs'!$B$65&gt;(C104-1)*12,Paths!$E$15+'Operating costs'!$B$65&lt;=C104*12))),'Operating costs'!$B$64,0)+IF(AND('Operating costs'!$B$67&gt;0,'Operating costs'!$B$67&lt;=120,OR(Paths!$D$15="ICE",'Operating costs'!$B$67&lt;=Paths!$E$15),IF('Operating costs'!$B$67=0,C104=0,AND(C104&gt;0,'Operating costs'!$B$67&gt;(C104-1)*12,'Operating costs'!$B$67&lt;=C104*12))),'Operating costs'!$B$66,0),"n.a."))</f>
        <v>0</v>
      </c>
      <c r="N104" s="16">
        <f>IF(NOT(Paths!$C$15=1),0,IF(Paths!$P$15="Complete",SUM(G104:I104)-J104-K104-L104+M104+IF(C104=0,Paths!$F$15,0)+IF(IF(Paths!$E$15=0,C104=0,AND(C104&gt;0,Paths!$E$15&gt;(C104-1)*12,Paths!$E$15&lt;=C104*12)),VLOOKUP(A104,'Fleet register'!$A$7:$S$106,16,FALSE),0),"n.a."))</f>
        <v>18151.349999999999</v>
      </c>
      <c r="O104" s="16">
        <f>IF(NOT(Paths!$C$15=1),0,IF(Paths!$P$15="Complete",N104-IF(C104=0,Paths!$F$15,0),"n.a."))</f>
        <v>18151.349999999999</v>
      </c>
      <c r="P104" s="16">
        <f>IF(NOT(Paths!$C$15=1),0,IF(Paths!$P$15="Complete",O104+L104,"n.a."))</f>
        <v>18151.349999999999</v>
      </c>
      <c r="Q104" s="16">
        <f>IF(NOT(Paths!$C$15=1),0,IF(Paths!$P$15="Complete",N104*(1+'Operating costs'!$B$54)^-C104,"n.a."))</f>
        <v>18151.349999999999</v>
      </c>
      <c r="R104" s="16">
        <f>IF(NOT(Paths!$C$15=1),0,IF(Paths!$P$15="Complete",IF(AND(C104=0,Paths!$E$15=0),I104-J104-K104+VLOOKUP(A104,'Fleet register'!$A$7:$S$106,15,FALSE)+VLOOKUP(A104,'Fleet register'!$A$7:$S$106,16,FALSE),0),"n.a."))</f>
        <v>0</v>
      </c>
      <c r="S104" s="1">
        <f>IF(NOT(Paths!$C$15=1),0,IF(Paths!$P$15="Complete",IF(C104=0,0,Paths!$S$15*Paths!$R$15),"n.a."))</f>
        <v>45000</v>
      </c>
      <c r="T104" s="1">
        <f>IF(NOT(Paths!$C$15=1),0,IF(Paths!$P$15="Complete",IF(C104=0,0,VLOOKUP(A104,'Fleet register'!$A$7:$S$106,9,FALSE)*Paths!$R$15),"n.a."))</f>
        <v>7200</v>
      </c>
    </row>
    <row r="105" spans="1:20" ht="24" customHeight="1">
      <c r="A105" s="1" t="str">
        <f>Paths!$A$15</f>
        <v>T003</v>
      </c>
      <c r="B105" s="1">
        <f>Paths!$B$15</f>
        <v>0</v>
      </c>
      <c r="C105" s="1">
        <v>10</v>
      </c>
      <c r="D105" s="1">
        <v>15</v>
      </c>
      <c r="E105" s="1">
        <f>IF(OR(Paths!$C$15=0,C105=0),0,MAX(0,MIN(C105*12,Paths!$E$15)-(C105-1)*12))</f>
        <v>0</v>
      </c>
      <c r="F105" s="1">
        <f>IF(OR(Paths!$C$15=0,C105=0),0,12-E105)</f>
        <v>12</v>
      </c>
      <c r="G105" s="16">
        <f>IF(NOT(Paths!$C$15=1),0,IF(Paths!$P$15="Complete",E105/12*(Paths!$J$15*(1+'Operating costs'!$B$51)^MAX(0,C105-1)+Paths!$K$15*(1+'Operating costs'!$B$53)^MAX(0,C105-1)),"n.a."))</f>
        <v>0</v>
      </c>
      <c r="H105" s="16">
        <f>IF(NOT(Paths!$C$15=1),0,IF(Paths!$P$15="Complete",F105/12*(Paths!$L$15*(1+IF(Paths!$D$15="EV",'Operating costs'!$B$52,'Operating costs'!$B$51))^MAX(0,C105-1)+Paths!$M$15*(1+'Operating costs'!$B$53)^MAX(0,C105-1)),"n.a."))</f>
        <v>18151.349999999999</v>
      </c>
      <c r="I105" s="16">
        <f>IF(NOT(Paths!$C$15=1),0,IF(Paths!$P$15="Complete",IF(IF(Paths!$E$15=0,C105=0,AND(C105&gt;0,Paths!$E$15&gt;(C105-1)*12,Paths!$E$15&lt;=C105*12)),Paths!$G$15,0),"n.a."))</f>
        <v>0</v>
      </c>
      <c r="J105" s="16">
        <f>IF(NOT(Paths!$C$15=1),0,IF(Paths!$P$15="Complete",IF(IF(Paths!$E$15=0,C105=0,AND(C105&gt;0,Paths!$E$15&gt;(C105-1)*12,Paths!$E$15&lt;=C105*12)),Paths!$H$15,0),"n.a."))</f>
        <v>0</v>
      </c>
      <c r="K105" s="16">
        <f>IF(NOT(Paths!$C$15=1),0,IF(Paths!$P$15="Complete",IF(IF(Paths!$O$15=0,C105=0,AND(C105&gt;0,Paths!$O$15&gt;(C105-1)*12,Paths!$O$15&lt;=C105*12)),Paths!$N$15,0),"n.a."))</f>
        <v>0</v>
      </c>
      <c r="L105" s="16">
        <f>IF(NOT(Paths!$C$15=1),0,IF(Paths!$P$15="Complete",IF(C105=10,Paths!$I$15,0),"n.a."))</f>
        <v>39900</v>
      </c>
      <c r="M105" s="16">
        <f>IF(NOT(Paths!$C$15=1),0,IF(Paths!$P$15="Complete",IF(AND(Paths!$D$15="EV",Paths!$E$15&lt;120,Paths!$E$15+'Operating costs'!$B$65&gt;Paths!$E$15,Paths!$E$15+'Operating costs'!$B$65&lt;=120,IF(Paths!$E$15+'Operating costs'!$B$65=0,C105=0,AND(C105&gt;0,Paths!$E$15+'Operating costs'!$B$65&gt;(C105-1)*12,Paths!$E$15+'Operating costs'!$B$65&lt;=C105*12))),'Operating costs'!$B$64,0)+IF(AND('Operating costs'!$B$67&gt;0,'Operating costs'!$B$67&lt;=120,OR(Paths!$D$15="ICE",'Operating costs'!$B$67&lt;=Paths!$E$15),IF('Operating costs'!$B$67=0,C105=0,AND(C105&gt;0,'Operating costs'!$B$67&gt;(C105-1)*12,'Operating costs'!$B$67&lt;=C105*12))),'Operating costs'!$B$66,0),"n.a."))</f>
        <v>0</v>
      </c>
      <c r="N105" s="16">
        <f>IF(NOT(Paths!$C$15=1),0,IF(Paths!$P$15="Complete",SUM(G105:I105)-J105-K105-L105+M105+IF(C105=0,Paths!$F$15,0)+IF(IF(Paths!$E$15=0,C105=0,AND(C105&gt;0,Paths!$E$15&gt;(C105-1)*12,Paths!$E$15&lt;=C105*12)),VLOOKUP(A105,'Fleet register'!$A$7:$S$106,16,FALSE),0),"n.a."))</f>
        <v>-21748.65</v>
      </c>
      <c r="O105" s="16">
        <f>IF(NOT(Paths!$C$15=1),0,IF(Paths!$P$15="Complete",N105-IF(C105=0,Paths!$F$15,0),"n.a."))</f>
        <v>-21748.65</v>
      </c>
      <c r="P105" s="16">
        <f>IF(NOT(Paths!$C$15=1),0,IF(Paths!$P$15="Complete",O105+L105,"n.a."))</f>
        <v>18151.349999999999</v>
      </c>
      <c r="Q105" s="16">
        <f>IF(NOT(Paths!$C$15=1),0,IF(Paths!$P$15="Complete",N105*(1+'Operating costs'!$B$54)^-C105,"n.a."))</f>
        <v>-21748.65</v>
      </c>
      <c r="R105" s="16">
        <f>IF(NOT(Paths!$C$15=1),0,IF(Paths!$P$15="Complete",IF(AND(C105=0,Paths!$E$15=0),I105-J105-K105+VLOOKUP(A105,'Fleet register'!$A$7:$S$106,15,FALSE)+VLOOKUP(A105,'Fleet register'!$A$7:$S$106,16,FALSE),0),"n.a."))</f>
        <v>0</v>
      </c>
      <c r="S105" s="1">
        <f>IF(NOT(Paths!$C$15=1),0,IF(Paths!$P$15="Complete",IF(C105=0,0,Paths!$S$15*Paths!$R$15),"n.a."))</f>
        <v>45000</v>
      </c>
      <c r="T105" s="1">
        <f>IF(NOT(Paths!$C$15=1),0,IF(Paths!$P$15="Complete",IF(C105=0,0,VLOOKUP(A105,'Fleet register'!$A$7:$S$106,9,FALSE)*Paths!$R$15),"n.a."))</f>
        <v>7200</v>
      </c>
    </row>
    <row r="106" spans="1:20" ht="24" customHeight="1">
      <c r="A106" s="1" t="str">
        <f>Paths!$A$16</f>
        <v>T003</v>
      </c>
      <c r="B106" s="1">
        <f>Paths!$B$16</f>
        <v>1</v>
      </c>
      <c r="C106" s="1">
        <v>0</v>
      </c>
      <c r="D106" s="1">
        <v>16</v>
      </c>
      <c r="E106" s="1">
        <f>IF(OR(Paths!$C$16=0,C106=0),0,MAX(0,MIN(C106*12,Paths!$E$16)-(C106-1)*12))</f>
        <v>0</v>
      </c>
      <c r="F106" s="1">
        <f>IF(OR(Paths!$C$16=0,C106=0),0,12-E106)</f>
        <v>0</v>
      </c>
      <c r="G106" s="16">
        <f>IF(NOT(Paths!$C$16=1),0,IF(Paths!$P$16="Complete",E106/12*(Paths!$J$16*(1+'Operating costs'!$B$51)^MAX(0,C106-1)+Paths!$K$16*(1+'Operating costs'!$B$53)^MAX(0,C106-1)),"n.a."))</f>
        <v>0</v>
      </c>
      <c r="H106" s="16">
        <f>IF(NOT(Paths!$C$16=1),0,IF(Paths!$P$16="Complete",F106/12*(Paths!$L$16*(1+IF(Paths!$D$16="EV",'Operating costs'!$B$52,'Operating costs'!$B$51))^MAX(0,C106-1)+Paths!$M$16*(1+'Operating costs'!$B$53)^MAX(0,C106-1)),"n.a."))</f>
        <v>0</v>
      </c>
      <c r="I106" s="16">
        <f>IF(NOT(Paths!$C$16=1),0,IF(Paths!$P$16="Complete",IF(IF(Paths!$E$16=0,C106=0,AND(C106&gt;0,Paths!$E$16&gt;(C106-1)*12,Paths!$E$16&lt;=C106*12)),Paths!$G$16,0),"n.a."))</f>
        <v>181000</v>
      </c>
      <c r="J106" s="16">
        <f>IF(NOT(Paths!$C$16=1),0,IF(Paths!$P$16="Complete",IF(IF(Paths!$E$16=0,C106=0,AND(C106&gt;0,Paths!$E$16&gt;(C106-1)*12,Paths!$E$16&lt;=C106*12)),Paths!$H$16,0),"n.a."))</f>
        <v>36000</v>
      </c>
      <c r="K106" s="16">
        <f>IF(NOT(Paths!$C$16=1),0,IF(Paths!$P$16="Complete",IF(IF(Paths!$O$16=0,C106=0,AND(C106&gt;0,Paths!$O$16&gt;(C106-1)*12,Paths!$O$16&lt;=C106*12)),Paths!$N$16,0),"n.a."))</f>
        <v>0</v>
      </c>
      <c r="L106" s="16">
        <f>IF(NOT(Paths!$C$16=1),0,IF(Paths!$P$16="Complete",IF(C106=10,Paths!$I$16,0),"n.a."))</f>
        <v>0</v>
      </c>
      <c r="M106" s="16">
        <f>IF(NOT(Paths!$C$16=1),0,IF(Paths!$P$16="Complete",IF(AND(Paths!$D$16="EV",Paths!$E$16&lt;120,Paths!$E$16+'Operating costs'!$B$65&gt;Paths!$E$16,Paths!$E$16+'Operating costs'!$B$65&lt;=120,IF(Paths!$E$16+'Operating costs'!$B$65=0,C106=0,AND(C106&gt;0,Paths!$E$16+'Operating costs'!$B$65&gt;(C106-1)*12,Paths!$E$16+'Operating costs'!$B$65&lt;=C106*12))),'Operating costs'!$B$64,0)+IF(AND('Operating costs'!$B$67&gt;0,'Operating costs'!$B$67&lt;=120,OR(Paths!$D$16="ICE",'Operating costs'!$B$67&lt;=Paths!$E$16),IF('Operating costs'!$B$67=0,C106=0,AND(C106&gt;0,'Operating costs'!$B$67&gt;(C106-1)*12,'Operating costs'!$B$67&lt;=C106*12))),'Operating costs'!$B$66,0),"n.a."))</f>
        <v>0</v>
      </c>
      <c r="N106" s="16">
        <f>IF(NOT(Paths!$C$16=1),0,IF(Paths!$P$16="Complete",SUM(G106:I106)-J106-K106-L106+M106+IF(C106=0,Paths!$F$16,0)+IF(IF(Paths!$E$16=0,C106=0,AND(C106&gt;0,Paths!$E$16&gt;(C106-1)*12,Paths!$E$16&lt;=C106*12)),VLOOKUP(A106,'Fleet register'!$A$7:$S$106,16,FALSE),0),"n.a."))</f>
        <v>181000</v>
      </c>
      <c r="O106" s="16">
        <f>IF(NOT(Paths!$C$16=1),0,IF(Paths!$P$16="Complete",N106-IF(C106=0,Paths!$F$16,0),"n.a."))</f>
        <v>145000</v>
      </c>
      <c r="P106" s="16">
        <f>IF(NOT(Paths!$C$16=1),0,IF(Paths!$P$16="Complete",O106+L106,"n.a."))</f>
        <v>145000</v>
      </c>
      <c r="Q106" s="16">
        <f>IF(NOT(Paths!$C$16=1),0,IF(Paths!$P$16="Complete",N106*(1+'Operating costs'!$B$54)^-C106,"n.a."))</f>
        <v>181000</v>
      </c>
      <c r="R106" s="16">
        <f>IF(NOT(Paths!$C$16=1),0,IF(Paths!$P$16="Complete",IF(AND(C106=0,Paths!$E$16=0),I106-J106-K106+VLOOKUP(A106,'Fleet register'!$A$7:$S$106,15,FALSE)+VLOOKUP(A106,'Fleet register'!$A$7:$S$106,16,FALSE),0),"n.a."))</f>
        <v>145000</v>
      </c>
      <c r="S106" s="1">
        <f>IF(NOT(Paths!$C$16=1),0,IF(Paths!$P$16="Complete",IF(C106=0,0,Paths!$S$16*Paths!$R$16),"n.a."))</f>
        <v>0</v>
      </c>
      <c r="T106" s="1">
        <f>IF(NOT(Paths!$C$16=1),0,IF(Paths!$P$16="Complete",IF(C106=0,0,VLOOKUP(A106,'Fleet register'!$A$7:$S$106,9,FALSE)*Paths!$R$16),"n.a."))</f>
        <v>0</v>
      </c>
    </row>
    <row r="107" spans="1:20" ht="24" customHeight="1">
      <c r="A107" s="1" t="str">
        <f>Paths!$A$16</f>
        <v>T003</v>
      </c>
      <c r="B107" s="1">
        <f>Paths!$B$16</f>
        <v>1</v>
      </c>
      <c r="C107" s="1">
        <v>1</v>
      </c>
      <c r="D107" s="1">
        <v>16</v>
      </c>
      <c r="E107" s="1">
        <f>IF(OR(Paths!$C$16=0,C107=0),0,MAX(0,MIN(C107*12,Paths!$E$16)-(C107-1)*12))</f>
        <v>0</v>
      </c>
      <c r="F107" s="1">
        <f>IF(OR(Paths!$C$16=0,C107=0),0,12-E107)</f>
        <v>12</v>
      </c>
      <c r="G107" s="16">
        <f>IF(NOT(Paths!$C$16=1),0,IF(Paths!$P$16="Complete",E107/12*(Paths!$J$16*(1+'Operating costs'!$B$51)^MAX(0,C107-1)+Paths!$K$16*(1+'Operating costs'!$B$53)^MAX(0,C107-1)),"n.a."))</f>
        <v>0</v>
      </c>
      <c r="H107" s="16">
        <f>IF(NOT(Paths!$C$16=1),0,IF(Paths!$P$16="Complete",F107/12*(Paths!$L$16*(1+IF(Paths!$D$16="EV",'Operating costs'!$B$52,'Operating costs'!$B$51))^MAX(0,C107-1)+Paths!$M$16*(1+'Operating costs'!$B$53)^MAX(0,C107-1)),"n.a."))</f>
        <v>18151.349999999999</v>
      </c>
      <c r="I107" s="16">
        <f>IF(NOT(Paths!$C$16=1),0,IF(Paths!$P$16="Complete",IF(IF(Paths!$E$16=0,C107=0,AND(C107&gt;0,Paths!$E$16&gt;(C107-1)*12,Paths!$E$16&lt;=C107*12)),Paths!$G$16,0),"n.a."))</f>
        <v>0</v>
      </c>
      <c r="J107" s="16">
        <f>IF(NOT(Paths!$C$16=1),0,IF(Paths!$P$16="Complete",IF(IF(Paths!$E$16=0,C107=0,AND(C107&gt;0,Paths!$E$16&gt;(C107-1)*12,Paths!$E$16&lt;=C107*12)),Paths!$H$16,0),"n.a."))</f>
        <v>0</v>
      </c>
      <c r="K107" s="16">
        <f>IF(NOT(Paths!$C$16=1),0,IF(Paths!$P$16="Complete",IF(IF(Paths!$O$16=0,C107=0,AND(C107&gt;0,Paths!$O$16&gt;(C107-1)*12,Paths!$O$16&lt;=C107*12)),Paths!$N$16,0),"n.a."))</f>
        <v>0</v>
      </c>
      <c r="L107" s="16">
        <f>IF(NOT(Paths!$C$16=1),0,IF(Paths!$P$16="Complete",IF(C107=10,Paths!$I$16,0),"n.a."))</f>
        <v>0</v>
      </c>
      <c r="M107" s="16">
        <f>IF(NOT(Paths!$C$16=1),0,IF(Paths!$P$16="Complete",IF(AND(Paths!$D$16="EV",Paths!$E$16&lt;120,Paths!$E$16+'Operating costs'!$B$65&gt;Paths!$E$16,Paths!$E$16+'Operating costs'!$B$65&lt;=120,IF(Paths!$E$16+'Operating costs'!$B$65=0,C107=0,AND(C107&gt;0,Paths!$E$16+'Operating costs'!$B$65&gt;(C107-1)*12,Paths!$E$16+'Operating costs'!$B$65&lt;=C107*12))),'Operating costs'!$B$64,0)+IF(AND('Operating costs'!$B$67&gt;0,'Operating costs'!$B$67&lt;=120,OR(Paths!$D$16="ICE",'Operating costs'!$B$67&lt;=Paths!$E$16),IF('Operating costs'!$B$67=0,C107=0,AND(C107&gt;0,'Operating costs'!$B$67&gt;(C107-1)*12,'Operating costs'!$B$67&lt;=C107*12))),'Operating costs'!$B$66,0),"n.a."))</f>
        <v>0</v>
      </c>
      <c r="N107" s="16">
        <f>IF(NOT(Paths!$C$16=1),0,IF(Paths!$P$16="Complete",SUM(G107:I107)-J107-K107-L107+M107+IF(C107=0,Paths!$F$16,0)+IF(IF(Paths!$E$16=0,C107=0,AND(C107&gt;0,Paths!$E$16&gt;(C107-1)*12,Paths!$E$16&lt;=C107*12)),VLOOKUP(A107,'Fleet register'!$A$7:$S$106,16,FALSE),0),"n.a."))</f>
        <v>18151.349999999999</v>
      </c>
      <c r="O107" s="16">
        <f>IF(NOT(Paths!$C$16=1),0,IF(Paths!$P$16="Complete",N107-IF(C107=0,Paths!$F$16,0),"n.a."))</f>
        <v>18151.349999999999</v>
      </c>
      <c r="P107" s="16">
        <f>IF(NOT(Paths!$C$16=1),0,IF(Paths!$P$16="Complete",O107+L107,"n.a."))</f>
        <v>18151.349999999999</v>
      </c>
      <c r="Q107" s="16">
        <f>IF(NOT(Paths!$C$16=1),0,IF(Paths!$P$16="Complete",N107*(1+'Operating costs'!$B$54)^-C107,"n.a."))</f>
        <v>18151.349999999999</v>
      </c>
      <c r="R107" s="16">
        <f>IF(NOT(Paths!$C$16=1),0,IF(Paths!$P$16="Complete",IF(AND(C107=0,Paths!$E$16=0),I107-J107-K107+VLOOKUP(A107,'Fleet register'!$A$7:$S$106,15,FALSE)+VLOOKUP(A107,'Fleet register'!$A$7:$S$106,16,FALSE),0),"n.a."))</f>
        <v>0</v>
      </c>
      <c r="S107" s="1">
        <f>IF(NOT(Paths!$C$16=1),0,IF(Paths!$P$16="Complete",IF(C107=0,0,Paths!$S$16*Paths!$R$16),"n.a."))</f>
        <v>45000</v>
      </c>
      <c r="T107" s="1">
        <f>IF(NOT(Paths!$C$16=1),0,IF(Paths!$P$16="Complete",IF(C107=0,0,VLOOKUP(A107,'Fleet register'!$A$7:$S$106,9,FALSE)*Paths!$R$16),"n.a."))</f>
        <v>7200</v>
      </c>
    </row>
    <row r="108" spans="1:20" ht="24" customHeight="1">
      <c r="A108" s="1" t="str">
        <f>Paths!$A$16</f>
        <v>T003</v>
      </c>
      <c r="B108" s="1">
        <f>Paths!$B$16</f>
        <v>1</v>
      </c>
      <c r="C108" s="1">
        <v>2</v>
      </c>
      <c r="D108" s="1">
        <v>16</v>
      </c>
      <c r="E108" s="1">
        <f>IF(OR(Paths!$C$16=0,C108=0),0,MAX(0,MIN(C108*12,Paths!$E$16)-(C108-1)*12))</f>
        <v>0</v>
      </c>
      <c r="F108" s="1">
        <f>IF(OR(Paths!$C$16=0,C108=0),0,12-E108)</f>
        <v>12</v>
      </c>
      <c r="G108" s="16">
        <f>IF(NOT(Paths!$C$16=1),0,IF(Paths!$P$16="Complete",E108/12*(Paths!$J$16*(1+'Operating costs'!$B$51)^MAX(0,C108-1)+Paths!$K$16*(1+'Operating costs'!$B$53)^MAX(0,C108-1)),"n.a."))</f>
        <v>0</v>
      </c>
      <c r="H108" s="16">
        <f>IF(NOT(Paths!$C$16=1),0,IF(Paths!$P$16="Complete",F108/12*(Paths!$L$16*(1+IF(Paths!$D$16="EV",'Operating costs'!$B$52,'Operating costs'!$B$51))^MAX(0,C108-1)+Paths!$M$16*(1+'Operating costs'!$B$53)^MAX(0,C108-1)),"n.a."))</f>
        <v>18151.349999999999</v>
      </c>
      <c r="I108" s="16">
        <f>IF(NOT(Paths!$C$16=1),0,IF(Paths!$P$16="Complete",IF(IF(Paths!$E$16=0,C108=0,AND(C108&gt;0,Paths!$E$16&gt;(C108-1)*12,Paths!$E$16&lt;=C108*12)),Paths!$G$16,0),"n.a."))</f>
        <v>0</v>
      </c>
      <c r="J108" s="16">
        <f>IF(NOT(Paths!$C$16=1),0,IF(Paths!$P$16="Complete",IF(IF(Paths!$E$16=0,C108=0,AND(C108&gt;0,Paths!$E$16&gt;(C108-1)*12,Paths!$E$16&lt;=C108*12)),Paths!$H$16,0),"n.a."))</f>
        <v>0</v>
      </c>
      <c r="K108" s="16">
        <f>IF(NOT(Paths!$C$16=1),0,IF(Paths!$P$16="Complete",IF(IF(Paths!$O$16=0,C108=0,AND(C108&gt;0,Paths!$O$16&gt;(C108-1)*12,Paths!$O$16&lt;=C108*12)),Paths!$N$16,0),"n.a."))</f>
        <v>0</v>
      </c>
      <c r="L108" s="16">
        <f>IF(NOT(Paths!$C$16=1),0,IF(Paths!$P$16="Complete",IF(C108=10,Paths!$I$16,0),"n.a."))</f>
        <v>0</v>
      </c>
      <c r="M108" s="16">
        <f>IF(NOT(Paths!$C$16=1),0,IF(Paths!$P$16="Complete",IF(AND(Paths!$D$16="EV",Paths!$E$16&lt;120,Paths!$E$16+'Operating costs'!$B$65&gt;Paths!$E$16,Paths!$E$16+'Operating costs'!$B$65&lt;=120,IF(Paths!$E$16+'Operating costs'!$B$65=0,C108=0,AND(C108&gt;0,Paths!$E$16+'Operating costs'!$B$65&gt;(C108-1)*12,Paths!$E$16+'Operating costs'!$B$65&lt;=C108*12))),'Operating costs'!$B$64,0)+IF(AND('Operating costs'!$B$67&gt;0,'Operating costs'!$B$67&lt;=120,OR(Paths!$D$16="ICE",'Operating costs'!$B$67&lt;=Paths!$E$16),IF('Operating costs'!$B$67=0,C108=0,AND(C108&gt;0,'Operating costs'!$B$67&gt;(C108-1)*12,'Operating costs'!$B$67&lt;=C108*12))),'Operating costs'!$B$66,0),"n.a."))</f>
        <v>0</v>
      </c>
      <c r="N108" s="16">
        <f>IF(NOT(Paths!$C$16=1),0,IF(Paths!$P$16="Complete",SUM(G108:I108)-J108-K108-L108+M108+IF(C108=0,Paths!$F$16,0)+IF(IF(Paths!$E$16=0,C108=0,AND(C108&gt;0,Paths!$E$16&gt;(C108-1)*12,Paths!$E$16&lt;=C108*12)),VLOOKUP(A108,'Fleet register'!$A$7:$S$106,16,FALSE),0),"n.a."))</f>
        <v>18151.349999999999</v>
      </c>
      <c r="O108" s="16">
        <f>IF(NOT(Paths!$C$16=1),0,IF(Paths!$P$16="Complete",N108-IF(C108=0,Paths!$F$16,0),"n.a."))</f>
        <v>18151.349999999999</v>
      </c>
      <c r="P108" s="16">
        <f>IF(NOT(Paths!$C$16=1),0,IF(Paths!$P$16="Complete",O108+L108,"n.a."))</f>
        <v>18151.349999999999</v>
      </c>
      <c r="Q108" s="16">
        <f>IF(NOT(Paths!$C$16=1),0,IF(Paths!$P$16="Complete",N108*(1+'Operating costs'!$B$54)^-C108,"n.a."))</f>
        <v>18151.349999999999</v>
      </c>
      <c r="R108" s="16">
        <f>IF(NOT(Paths!$C$16=1),0,IF(Paths!$P$16="Complete",IF(AND(C108=0,Paths!$E$16=0),I108-J108-K108+VLOOKUP(A108,'Fleet register'!$A$7:$S$106,15,FALSE)+VLOOKUP(A108,'Fleet register'!$A$7:$S$106,16,FALSE),0),"n.a."))</f>
        <v>0</v>
      </c>
      <c r="S108" s="1">
        <f>IF(NOT(Paths!$C$16=1),0,IF(Paths!$P$16="Complete",IF(C108=0,0,Paths!$S$16*Paths!$R$16),"n.a."))</f>
        <v>45000</v>
      </c>
      <c r="T108" s="1">
        <f>IF(NOT(Paths!$C$16=1),0,IF(Paths!$P$16="Complete",IF(C108=0,0,VLOOKUP(A108,'Fleet register'!$A$7:$S$106,9,FALSE)*Paths!$R$16),"n.a."))</f>
        <v>7200</v>
      </c>
    </row>
    <row r="109" spans="1:20" ht="24" customHeight="1">
      <c r="A109" s="1" t="str">
        <f>Paths!$A$16</f>
        <v>T003</v>
      </c>
      <c r="B109" s="1">
        <f>Paths!$B$16</f>
        <v>1</v>
      </c>
      <c r="C109" s="1">
        <v>3</v>
      </c>
      <c r="D109" s="1">
        <v>16</v>
      </c>
      <c r="E109" s="1">
        <f>IF(OR(Paths!$C$16=0,C109=0),0,MAX(0,MIN(C109*12,Paths!$E$16)-(C109-1)*12))</f>
        <v>0</v>
      </c>
      <c r="F109" s="1">
        <f>IF(OR(Paths!$C$16=0,C109=0),0,12-E109)</f>
        <v>12</v>
      </c>
      <c r="G109" s="16">
        <f>IF(NOT(Paths!$C$16=1),0,IF(Paths!$P$16="Complete",E109/12*(Paths!$J$16*(1+'Operating costs'!$B$51)^MAX(0,C109-1)+Paths!$K$16*(1+'Operating costs'!$B$53)^MAX(0,C109-1)),"n.a."))</f>
        <v>0</v>
      </c>
      <c r="H109" s="16">
        <f>IF(NOT(Paths!$C$16=1),0,IF(Paths!$P$16="Complete",F109/12*(Paths!$L$16*(1+IF(Paths!$D$16="EV",'Operating costs'!$B$52,'Operating costs'!$B$51))^MAX(0,C109-1)+Paths!$M$16*(1+'Operating costs'!$B$53)^MAX(0,C109-1)),"n.a."))</f>
        <v>18151.349999999999</v>
      </c>
      <c r="I109" s="16">
        <f>IF(NOT(Paths!$C$16=1),0,IF(Paths!$P$16="Complete",IF(IF(Paths!$E$16=0,C109=0,AND(C109&gt;0,Paths!$E$16&gt;(C109-1)*12,Paths!$E$16&lt;=C109*12)),Paths!$G$16,0),"n.a."))</f>
        <v>0</v>
      </c>
      <c r="J109" s="16">
        <f>IF(NOT(Paths!$C$16=1),0,IF(Paths!$P$16="Complete",IF(IF(Paths!$E$16=0,C109=0,AND(C109&gt;0,Paths!$E$16&gt;(C109-1)*12,Paths!$E$16&lt;=C109*12)),Paths!$H$16,0),"n.a."))</f>
        <v>0</v>
      </c>
      <c r="K109" s="16">
        <f>IF(NOT(Paths!$C$16=1),0,IF(Paths!$P$16="Complete",IF(IF(Paths!$O$16=0,C109=0,AND(C109&gt;0,Paths!$O$16&gt;(C109-1)*12,Paths!$O$16&lt;=C109*12)),Paths!$N$16,0),"n.a."))</f>
        <v>0</v>
      </c>
      <c r="L109" s="16">
        <f>IF(NOT(Paths!$C$16=1),0,IF(Paths!$P$16="Complete",IF(C109=10,Paths!$I$16,0),"n.a."))</f>
        <v>0</v>
      </c>
      <c r="M109" s="16">
        <f>IF(NOT(Paths!$C$16=1),0,IF(Paths!$P$16="Complete",IF(AND(Paths!$D$16="EV",Paths!$E$16&lt;120,Paths!$E$16+'Operating costs'!$B$65&gt;Paths!$E$16,Paths!$E$16+'Operating costs'!$B$65&lt;=120,IF(Paths!$E$16+'Operating costs'!$B$65=0,C109=0,AND(C109&gt;0,Paths!$E$16+'Operating costs'!$B$65&gt;(C109-1)*12,Paths!$E$16+'Operating costs'!$B$65&lt;=C109*12))),'Operating costs'!$B$64,0)+IF(AND('Operating costs'!$B$67&gt;0,'Operating costs'!$B$67&lt;=120,OR(Paths!$D$16="ICE",'Operating costs'!$B$67&lt;=Paths!$E$16),IF('Operating costs'!$B$67=0,C109=0,AND(C109&gt;0,'Operating costs'!$B$67&gt;(C109-1)*12,'Operating costs'!$B$67&lt;=C109*12))),'Operating costs'!$B$66,0),"n.a."))</f>
        <v>0</v>
      </c>
      <c r="N109" s="16">
        <f>IF(NOT(Paths!$C$16=1),0,IF(Paths!$P$16="Complete",SUM(G109:I109)-J109-K109-L109+M109+IF(C109=0,Paths!$F$16,0)+IF(IF(Paths!$E$16=0,C109=0,AND(C109&gt;0,Paths!$E$16&gt;(C109-1)*12,Paths!$E$16&lt;=C109*12)),VLOOKUP(A109,'Fleet register'!$A$7:$S$106,16,FALSE),0),"n.a."))</f>
        <v>18151.349999999999</v>
      </c>
      <c r="O109" s="16">
        <f>IF(NOT(Paths!$C$16=1),0,IF(Paths!$P$16="Complete",N109-IF(C109=0,Paths!$F$16,0),"n.a."))</f>
        <v>18151.349999999999</v>
      </c>
      <c r="P109" s="16">
        <f>IF(NOT(Paths!$C$16=1),0,IF(Paths!$P$16="Complete",O109+L109,"n.a."))</f>
        <v>18151.349999999999</v>
      </c>
      <c r="Q109" s="16">
        <f>IF(NOT(Paths!$C$16=1),0,IF(Paths!$P$16="Complete",N109*(1+'Operating costs'!$B$54)^-C109,"n.a."))</f>
        <v>18151.349999999999</v>
      </c>
      <c r="R109" s="16">
        <f>IF(NOT(Paths!$C$16=1),0,IF(Paths!$P$16="Complete",IF(AND(C109=0,Paths!$E$16=0),I109-J109-K109+VLOOKUP(A109,'Fleet register'!$A$7:$S$106,15,FALSE)+VLOOKUP(A109,'Fleet register'!$A$7:$S$106,16,FALSE),0),"n.a."))</f>
        <v>0</v>
      </c>
      <c r="S109" s="1">
        <f>IF(NOT(Paths!$C$16=1),0,IF(Paths!$P$16="Complete",IF(C109=0,0,Paths!$S$16*Paths!$R$16),"n.a."))</f>
        <v>45000</v>
      </c>
      <c r="T109" s="1">
        <f>IF(NOT(Paths!$C$16=1),0,IF(Paths!$P$16="Complete",IF(C109=0,0,VLOOKUP(A109,'Fleet register'!$A$7:$S$106,9,FALSE)*Paths!$R$16),"n.a."))</f>
        <v>7200</v>
      </c>
    </row>
    <row r="110" spans="1:20" ht="24" customHeight="1">
      <c r="A110" s="1" t="str">
        <f>Paths!$A$16</f>
        <v>T003</v>
      </c>
      <c r="B110" s="1">
        <f>Paths!$B$16</f>
        <v>1</v>
      </c>
      <c r="C110" s="1">
        <v>4</v>
      </c>
      <c r="D110" s="1">
        <v>16</v>
      </c>
      <c r="E110" s="1">
        <f>IF(OR(Paths!$C$16=0,C110=0),0,MAX(0,MIN(C110*12,Paths!$E$16)-(C110-1)*12))</f>
        <v>0</v>
      </c>
      <c r="F110" s="1">
        <f>IF(OR(Paths!$C$16=0,C110=0),0,12-E110)</f>
        <v>12</v>
      </c>
      <c r="G110" s="16">
        <f>IF(NOT(Paths!$C$16=1),0,IF(Paths!$P$16="Complete",E110/12*(Paths!$J$16*(1+'Operating costs'!$B$51)^MAX(0,C110-1)+Paths!$K$16*(1+'Operating costs'!$B$53)^MAX(0,C110-1)),"n.a."))</f>
        <v>0</v>
      </c>
      <c r="H110" s="16">
        <f>IF(NOT(Paths!$C$16=1),0,IF(Paths!$P$16="Complete",F110/12*(Paths!$L$16*(1+IF(Paths!$D$16="EV",'Operating costs'!$B$52,'Operating costs'!$B$51))^MAX(0,C110-1)+Paths!$M$16*(1+'Operating costs'!$B$53)^MAX(0,C110-1)),"n.a."))</f>
        <v>18151.349999999999</v>
      </c>
      <c r="I110" s="16">
        <f>IF(NOT(Paths!$C$16=1),0,IF(Paths!$P$16="Complete",IF(IF(Paths!$E$16=0,C110=0,AND(C110&gt;0,Paths!$E$16&gt;(C110-1)*12,Paths!$E$16&lt;=C110*12)),Paths!$G$16,0),"n.a."))</f>
        <v>0</v>
      </c>
      <c r="J110" s="16">
        <f>IF(NOT(Paths!$C$16=1),0,IF(Paths!$P$16="Complete",IF(IF(Paths!$E$16=0,C110=0,AND(C110&gt;0,Paths!$E$16&gt;(C110-1)*12,Paths!$E$16&lt;=C110*12)),Paths!$H$16,0),"n.a."))</f>
        <v>0</v>
      </c>
      <c r="K110" s="16">
        <f>IF(NOT(Paths!$C$16=1),0,IF(Paths!$P$16="Complete",IF(IF(Paths!$O$16=0,C110=0,AND(C110&gt;0,Paths!$O$16&gt;(C110-1)*12,Paths!$O$16&lt;=C110*12)),Paths!$N$16,0),"n.a."))</f>
        <v>0</v>
      </c>
      <c r="L110" s="16">
        <f>IF(NOT(Paths!$C$16=1),0,IF(Paths!$P$16="Complete",IF(C110=10,Paths!$I$16,0),"n.a."))</f>
        <v>0</v>
      </c>
      <c r="M110" s="16">
        <f>IF(NOT(Paths!$C$16=1),0,IF(Paths!$P$16="Complete",IF(AND(Paths!$D$16="EV",Paths!$E$16&lt;120,Paths!$E$16+'Operating costs'!$B$65&gt;Paths!$E$16,Paths!$E$16+'Operating costs'!$B$65&lt;=120,IF(Paths!$E$16+'Operating costs'!$B$65=0,C110=0,AND(C110&gt;0,Paths!$E$16+'Operating costs'!$B$65&gt;(C110-1)*12,Paths!$E$16+'Operating costs'!$B$65&lt;=C110*12))),'Operating costs'!$B$64,0)+IF(AND('Operating costs'!$B$67&gt;0,'Operating costs'!$B$67&lt;=120,OR(Paths!$D$16="ICE",'Operating costs'!$B$67&lt;=Paths!$E$16),IF('Operating costs'!$B$67=0,C110=0,AND(C110&gt;0,'Operating costs'!$B$67&gt;(C110-1)*12,'Operating costs'!$B$67&lt;=C110*12))),'Operating costs'!$B$66,0),"n.a."))</f>
        <v>0</v>
      </c>
      <c r="N110" s="16">
        <f>IF(NOT(Paths!$C$16=1),0,IF(Paths!$P$16="Complete",SUM(G110:I110)-J110-K110-L110+M110+IF(C110=0,Paths!$F$16,0)+IF(IF(Paths!$E$16=0,C110=0,AND(C110&gt;0,Paths!$E$16&gt;(C110-1)*12,Paths!$E$16&lt;=C110*12)),VLOOKUP(A110,'Fleet register'!$A$7:$S$106,16,FALSE),0),"n.a."))</f>
        <v>18151.349999999999</v>
      </c>
      <c r="O110" s="16">
        <f>IF(NOT(Paths!$C$16=1),0,IF(Paths!$P$16="Complete",N110-IF(C110=0,Paths!$F$16,0),"n.a."))</f>
        <v>18151.349999999999</v>
      </c>
      <c r="P110" s="16">
        <f>IF(NOT(Paths!$C$16=1),0,IF(Paths!$P$16="Complete",O110+L110,"n.a."))</f>
        <v>18151.349999999999</v>
      </c>
      <c r="Q110" s="16">
        <f>IF(NOT(Paths!$C$16=1),0,IF(Paths!$P$16="Complete",N110*(1+'Operating costs'!$B$54)^-C110,"n.a."))</f>
        <v>18151.349999999999</v>
      </c>
      <c r="R110" s="16">
        <f>IF(NOT(Paths!$C$16=1),0,IF(Paths!$P$16="Complete",IF(AND(C110=0,Paths!$E$16=0),I110-J110-K110+VLOOKUP(A110,'Fleet register'!$A$7:$S$106,15,FALSE)+VLOOKUP(A110,'Fleet register'!$A$7:$S$106,16,FALSE),0),"n.a."))</f>
        <v>0</v>
      </c>
      <c r="S110" s="1">
        <f>IF(NOT(Paths!$C$16=1),0,IF(Paths!$P$16="Complete",IF(C110=0,0,Paths!$S$16*Paths!$R$16),"n.a."))</f>
        <v>45000</v>
      </c>
      <c r="T110" s="1">
        <f>IF(NOT(Paths!$C$16=1),0,IF(Paths!$P$16="Complete",IF(C110=0,0,VLOOKUP(A110,'Fleet register'!$A$7:$S$106,9,FALSE)*Paths!$R$16),"n.a."))</f>
        <v>7200</v>
      </c>
    </row>
    <row r="111" spans="1:20" ht="24" customHeight="1">
      <c r="A111" s="1" t="str">
        <f>Paths!$A$16</f>
        <v>T003</v>
      </c>
      <c r="B111" s="1">
        <f>Paths!$B$16</f>
        <v>1</v>
      </c>
      <c r="C111" s="1">
        <v>5</v>
      </c>
      <c r="D111" s="1">
        <v>16</v>
      </c>
      <c r="E111" s="1">
        <f>IF(OR(Paths!$C$16=0,C111=0),0,MAX(0,MIN(C111*12,Paths!$E$16)-(C111-1)*12))</f>
        <v>0</v>
      </c>
      <c r="F111" s="1">
        <f>IF(OR(Paths!$C$16=0,C111=0),0,12-E111)</f>
        <v>12</v>
      </c>
      <c r="G111" s="16">
        <f>IF(NOT(Paths!$C$16=1),0,IF(Paths!$P$16="Complete",E111/12*(Paths!$J$16*(1+'Operating costs'!$B$51)^MAX(0,C111-1)+Paths!$K$16*(1+'Operating costs'!$B$53)^MAX(0,C111-1)),"n.a."))</f>
        <v>0</v>
      </c>
      <c r="H111" s="16">
        <f>IF(NOT(Paths!$C$16=1),0,IF(Paths!$P$16="Complete",F111/12*(Paths!$L$16*(1+IF(Paths!$D$16="EV",'Operating costs'!$B$52,'Operating costs'!$B$51))^MAX(0,C111-1)+Paths!$M$16*(1+'Operating costs'!$B$53)^MAX(0,C111-1)),"n.a."))</f>
        <v>18151.349999999999</v>
      </c>
      <c r="I111" s="16">
        <f>IF(NOT(Paths!$C$16=1),0,IF(Paths!$P$16="Complete",IF(IF(Paths!$E$16=0,C111=0,AND(C111&gt;0,Paths!$E$16&gt;(C111-1)*12,Paths!$E$16&lt;=C111*12)),Paths!$G$16,0),"n.a."))</f>
        <v>0</v>
      </c>
      <c r="J111" s="16">
        <f>IF(NOT(Paths!$C$16=1),0,IF(Paths!$P$16="Complete",IF(IF(Paths!$E$16=0,C111=0,AND(C111&gt;0,Paths!$E$16&gt;(C111-1)*12,Paths!$E$16&lt;=C111*12)),Paths!$H$16,0),"n.a."))</f>
        <v>0</v>
      </c>
      <c r="K111" s="16">
        <f>IF(NOT(Paths!$C$16=1),0,IF(Paths!$P$16="Complete",IF(IF(Paths!$O$16=0,C111=0,AND(C111&gt;0,Paths!$O$16&gt;(C111-1)*12,Paths!$O$16&lt;=C111*12)),Paths!$N$16,0),"n.a."))</f>
        <v>0</v>
      </c>
      <c r="L111" s="16">
        <f>IF(NOT(Paths!$C$16=1),0,IF(Paths!$P$16="Complete",IF(C111=10,Paths!$I$16,0),"n.a."))</f>
        <v>0</v>
      </c>
      <c r="M111" s="16">
        <f>IF(NOT(Paths!$C$16=1),0,IF(Paths!$P$16="Complete",IF(AND(Paths!$D$16="EV",Paths!$E$16&lt;120,Paths!$E$16+'Operating costs'!$B$65&gt;Paths!$E$16,Paths!$E$16+'Operating costs'!$B$65&lt;=120,IF(Paths!$E$16+'Operating costs'!$B$65=0,C111=0,AND(C111&gt;0,Paths!$E$16+'Operating costs'!$B$65&gt;(C111-1)*12,Paths!$E$16+'Operating costs'!$B$65&lt;=C111*12))),'Operating costs'!$B$64,0)+IF(AND('Operating costs'!$B$67&gt;0,'Operating costs'!$B$67&lt;=120,OR(Paths!$D$16="ICE",'Operating costs'!$B$67&lt;=Paths!$E$16),IF('Operating costs'!$B$67=0,C111=0,AND(C111&gt;0,'Operating costs'!$B$67&gt;(C111-1)*12,'Operating costs'!$B$67&lt;=C111*12))),'Operating costs'!$B$66,0),"n.a."))</f>
        <v>0</v>
      </c>
      <c r="N111" s="16">
        <f>IF(NOT(Paths!$C$16=1),0,IF(Paths!$P$16="Complete",SUM(G111:I111)-J111-K111-L111+M111+IF(C111=0,Paths!$F$16,0)+IF(IF(Paths!$E$16=0,C111=0,AND(C111&gt;0,Paths!$E$16&gt;(C111-1)*12,Paths!$E$16&lt;=C111*12)),VLOOKUP(A111,'Fleet register'!$A$7:$S$106,16,FALSE),0),"n.a."))</f>
        <v>18151.349999999999</v>
      </c>
      <c r="O111" s="16">
        <f>IF(NOT(Paths!$C$16=1),0,IF(Paths!$P$16="Complete",N111-IF(C111=0,Paths!$F$16,0),"n.a."))</f>
        <v>18151.349999999999</v>
      </c>
      <c r="P111" s="16">
        <f>IF(NOT(Paths!$C$16=1),0,IF(Paths!$P$16="Complete",O111+L111,"n.a."))</f>
        <v>18151.349999999999</v>
      </c>
      <c r="Q111" s="16">
        <f>IF(NOT(Paths!$C$16=1),0,IF(Paths!$P$16="Complete",N111*(1+'Operating costs'!$B$54)^-C111,"n.a."))</f>
        <v>18151.349999999999</v>
      </c>
      <c r="R111" s="16">
        <f>IF(NOT(Paths!$C$16=1),0,IF(Paths!$P$16="Complete",IF(AND(C111=0,Paths!$E$16=0),I111-J111-K111+VLOOKUP(A111,'Fleet register'!$A$7:$S$106,15,FALSE)+VLOOKUP(A111,'Fleet register'!$A$7:$S$106,16,FALSE),0),"n.a."))</f>
        <v>0</v>
      </c>
      <c r="S111" s="1">
        <f>IF(NOT(Paths!$C$16=1),0,IF(Paths!$P$16="Complete",IF(C111=0,0,Paths!$S$16*Paths!$R$16),"n.a."))</f>
        <v>45000</v>
      </c>
      <c r="T111" s="1">
        <f>IF(NOT(Paths!$C$16=1),0,IF(Paths!$P$16="Complete",IF(C111=0,0,VLOOKUP(A111,'Fleet register'!$A$7:$S$106,9,FALSE)*Paths!$R$16),"n.a."))</f>
        <v>7200</v>
      </c>
    </row>
    <row r="112" spans="1:20" ht="24" customHeight="1">
      <c r="A112" s="1" t="str">
        <f>Paths!$A$16</f>
        <v>T003</v>
      </c>
      <c r="B112" s="1">
        <f>Paths!$B$16</f>
        <v>1</v>
      </c>
      <c r="C112" s="1">
        <v>6</v>
      </c>
      <c r="D112" s="1">
        <v>16</v>
      </c>
      <c r="E112" s="1">
        <f>IF(OR(Paths!$C$16=0,C112=0),0,MAX(0,MIN(C112*12,Paths!$E$16)-(C112-1)*12))</f>
        <v>0</v>
      </c>
      <c r="F112" s="1">
        <f>IF(OR(Paths!$C$16=0,C112=0),0,12-E112)</f>
        <v>12</v>
      </c>
      <c r="G112" s="16">
        <f>IF(NOT(Paths!$C$16=1),0,IF(Paths!$P$16="Complete",E112/12*(Paths!$J$16*(1+'Operating costs'!$B$51)^MAX(0,C112-1)+Paths!$K$16*(1+'Operating costs'!$B$53)^MAX(0,C112-1)),"n.a."))</f>
        <v>0</v>
      </c>
      <c r="H112" s="16">
        <f>IF(NOT(Paths!$C$16=1),0,IF(Paths!$P$16="Complete",F112/12*(Paths!$L$16*(1+IF(Paths!$D$16="EV",'Operating costs'!$B$52,'Operating costs'!$B$51))^MAX(0,C112-1)+Paths!$M$16*(1+'Operating costs'!$B$53)^MAX(0,C112-1)),"n.a."))</f>
        <v>18151.349999999999</v>
      </c>
      <c r="I112" s="16">
        <f>IF(NOT(Paths!$C$16=1),0,IF(Paths!$P$16="Complete",IF(IF(Paths!$E$16=0,C112=0,AND(C112&gt;0,Paths!$E$16&gt;(C112-1)*12,Paths!$E$16&lt;=C112*12)),Paths!$G$16,0),"n.a."))</f>
        <v>0</v>
      </c>
      <c r="J112" s="16">
        <f>IF(NOT(Paths!$C$16=1),0,IF(Paths!$P$16="Complete",IF(IF(Paths!$E$16=0,C112=0,AND(C112&gt;0,Paths!$E$16&gt;(C112-1)*12,Paths!$E$16&lt;=C112*12)),Paths!$H$16,0),"n.a."))</f>
        <v>0</v>
      </c>
      <c r="K112" s="16">
        <f>IF(NOT(Paths!$C$16=1),0,IF(Paths!$P$16="Complete",IF(IF(Paths!$O$16=0,C112=0,AND(C112&gt;0,Paths!$O$16&gt;(C112-1)*12,Paths!$O$16&lt;=C112*12)),Paths!$N$16,0),"n.a."))</f>
        <v>0</v>
      </c>
      <c r="L112" s="16">
        <f>IF(NOT(Paths!$C$16=1),0,IF(Paths!$P$16="Complete",IF(C112=10,Paths!$I$16,0),"n.a."))</f>
        <v>0</v>
      </c>
      <c r="M112" s="16">
        <f>IF(NOT(Paths!$C$16=1),0,IF(Paths!$P$16="Complete",IF(AND(Paths!$D$16="EV",Paths!$E$16&lt;120,Paths!$E$16+'Operating costs'!$B$65&gt;Paths!$E$16,Paths!$E$16+'Operating costs'!$B$65&lt;=120,IF(Paths!$E$16+'Operating costs'!$B$65=0,C112=0,AND(C112&gt;0,Paths!$E$16+'Operating costs'!$B$65&gt;(C112-1)*12,Paths!$E$16+'Operating costs'!$B$65&lt;=C112*12))),'Operating costs'!$B$64,0)+IF(AND('Operating costs'!$B$67&gt;0,'Operating costs'!$B$67&lt;=120,OR(Paths!$D$16="ICE",'Operating costs'!$B$67&lt;=Paths!$E$16),IF('Operating costs'!$B$67=0,C112=0,AND(C112&gt;0,'Operating costs'!$B$67&gt;(C112-1)*12,'Operating costs'!$B$67&lt;=C112*12))),'Operating costs'!$B$66,0),"n.a."))</f>
        <v>0</v>
      </c>
      <c r="N112" s="16">
        <f>IF(NOT(Paths!$C$16=1),0,IF(Paths!$P$16="Complete",SUM(G112:I112)-J112-K112-L112+M112+IF(C112=0,Paths!$F$16,0)+IF(IF(Paths!$E$16=0,C112=0,AND(C112&gt;0,Paths!$E$16&gt;(C112-1)*12,Paths!$E$16&lt;=C112*12)),VLOOKUP(A112,'Fleet register'!$A$7:$S$106,16,FALSE),0),"n.a."))</f>
        <v>18151.349999999999</v>
      </c>
      <c r="O112" s="16">
        <f>IF(NOT(Paths!$C$16=1),0,IF(Paths!$P$16="Complete",N112-IF(C112=0,Paths!$F$16,0),"n.a."))</f>
        <v>18151.349999999999</v>
      </c>
      <c r="P112" s="16">
        <f>IF(NOT(Paths!$C$16=1),0,IF(Paths!$P$16="Complete",O112+L112,"n.a."))</f>
        <v>18151.349999999999</v>
      </c>
      <c r="Q112" s="16">
        <f>IF(NOT(Paths!$C$16=1),0,IF(Paths!$P$16="Complete",N112*(1+'Operating costs'!$B$54)^-C112,"n.a."))</f>
        <v>18151.349999999999</v>
      </c>
      <c r="R112" s="16">
        <f>IF(NOT(Paths!$C$16=1),0,IF(Paths!$P$16="Complete",IF(AND(C112=0,Paths!$E$16=0),I112-J112-K112+VLOOKUP(A112,'Fleet register'!$A$7:$S$106,15,FALSE)+VLOOKUP(A112,'Fleet register'!$A$7:$S$106,16,FALSE),0),"n.a."))</f>
        <v>0</v>
      </c>
      <c r="S112" s="1">
        <f>IF(NOT(Paths!$C$16=1),0,IF(Paths!$P$16="Complete",IF(C112=0,0,Paths!$S$16*Paths!$R$16),"n.a."))</f>
        <v>45000</v>
      </c>
      <c r="T112" s="1">
        <f>IF(NOT(Paths!$C$16=1),0,IF(Paths!$P$16="Complete",IF(C112=0,0,VLOOKUP(A112,'Fleet register'!$A$7:$S$106,9,FALSE)*Paths!$R$16),"n.a."))</f>
        <v>7200</v>
      </c>
    </row>
    <row r="113" spans="1:20" ht="24" customHeight="1">
      <c r="A113" s="1" t="str">
        <f>Paths!$A$16</f>
        <v>T003</v>
      </c>
      <c r="B113" s="1">
        <f>Paths!$B$16</f>
        <v>1</v>
      </c>
      <c r="C113" s="1">
        <v>7</v>
      </c>
      <c r="D113" s="1">
        <v>16</v>
      </c>
      <c r="E113" s="1">
        <f>IF(OR(Paths!$C$16=0,C113=0),0,MAX(0,MIN(C113*12,Paths!$E$16)-(C113-1)*12))</f>
        <v>0</v>
      </c>
      <c r="F113" s="1">
        <f>IF(OR(Paths!$C$16=0,C113=0),0,12-E113)</f>
        <v>12</v>
      </c>
      <c r="G113" s="16">
        <f>IF(NOT(Paths!$C$16=1),0,IF(Paths!$P$16="Complete",E113/12*(Paths!$J$16*(1+'Operating costs'!$B$51)^MAX(0,C113-1)+Paths!$K$16*(1+'Operating costs'!$B$53)^MAX(0,C113-1)),"n.a."))</f>
        <v>0</v>
      </c>
      <c r="H113" s="16">
        <f>IF(NOT(Paths!$C$16=1),0,IF(Paths!$P$16="Complete",F113/12*(Paths!$L$16*(1+IF(Paths!$D$16="EV",'Operating costs'!$B$52,'Operating costs'!$B$51))^MAX(0,C113-1)+Paths!$M$16*(1+'Operating costs'!$B$53)^MAX(0,C113-1)),"n.a."))</f>
        <v>18151.349999999999</v>
      </c>
      <c r="I113" s="16">
        <f>IF(NOT(Paths!$C$16=1),0,IF(Paths!$P$16="Complete",IF(IF(Paths!$E$16=0,C113=0,AND(C113&gt;0,Paths!$E$16&gt;(C113-1)*12,Paths!$E$16&lt;=C113*12)),Paths!$G$16,0),"n.a."))</f>
        <v>0</v>
      </c>
      <c r="J113" s="16">
        <f>IF(NOT(Paths!$C$16=1),0,IF(Paths!$P$16="Complete",IF(IF(Paths!$E$16=0,C113=0,AND(C113&gt;0,Paths!$E$16&gt;(C113-1)*12,Paths!$E$16&lt;=C113*12)),Paths!$H$16,0),"n.a."))</f>
        <v>0</v>
      </c>
      <c r="K113" s="16">
        <f>IF(NOT(Paths!$C$16=1),0,IF(Paths!$P$16="Complete",IF(IF(Paths!$O$16=0,C113=0,AND(C113&gt;0,Paths!$O$16&gt;(C113-1)*12,Paths!$O$16&lt;=C113*12)),Paths!$N$16,0),"n.a."))</f>
        <v>0</v>
      </c>
      <c r="L113" s="16">
        <f>IF(NOT(Paths!$C$16=1),0,IF(Paths!$P$16="Complete",IF(C113=10,Paths!$I$16,0),"n.a."))</f>
        <v>0</v>
      </c>
      <c r="M113" s="16">
        <f>IF(NOT(Paths!$C$16=1),0,IF(Paths!$P$16="Complete",IF(AND(Paths!$D$16="EV",Paths!$E$16&lt;120,Paths!$E$16+'Operating costs'!$B$65&gt;Paths!$E$16,Paths!$E$16+'Operating costs'!$B$65&lt;=120,IF(Paths!$E$16+'Operating costs'!$B$65=0,C113=0,AND(C113&gt;0,Paths!$E$16+'Operating costs'!$B$65&gt;(C113-1)*12,Paths!$E$16+'Operating costs'!$B$65&lt;=C113*12))),'Operating costs'!$B$64,0)+IF(AND('Operating costs'!$B$67&gt;0,'Operating costs'!$B$67&lt;=120,OR(Paths!$D$16="ICE",'Operating costs'!$B$67&lt;=Paths!$E$16),IF('Operating costs'!$B$67=0,C113=0,AND(C113&gt;0,'Operating costs'!$B$67&gt;(C113-1)*12,'Operating costs'!$B$67&lt;=C113*12))),'Operating costs'!$B$66,0),"n.a."))</f>
        <v>0</v>
      </c>
      <c r="N113" s="16">
        <f>IF(NOT(Paths!$C$16=1),0,IF(Paths!$P$16="Complete",SUM(G113:I113)-J113-K113-L113+M113+IF(C113=0,Paths!$F$16,0)+IF(IF(Paths!$E$16=0,C113=0,AND(C113&gt;0,Paths!$E$16&gt;(C113-1)*12,Paths!$E$16&lt;=C113*12)),VLOOKUP(A113,'Fleet register'!$A$7:$S$106,16,FALSE),0),"n.a."))</f>
        <v>18151.349999999999</v>
      </c>
      <c r="O113" s="16">
        <f>IF(NOT(Paths!$C$16=1),0,IF(Paths!$P$16="Complete",N113-IF(C113=0,Paths!$F$16,0),"n.a."))</f>
        <v>18151.349999999999</v>
      </c>
      <c r="P113" s="16">
        <f>IF(NOT(Paths!$C$16=1),0,IF(Paths!$P$16="Complete",O113+L113,"n.a."))</f>
        <v>18151.349999999999</v>
      </c>
      <c r="Q113" s="16">
        <f>IF(NOT(Paths!$C$16=1),0,IF(Paths!$P$16="Complete",N113*(1+'Operating costs'!$B$54)^-C113,"n.a."))</f>
        <v>18151.349999999999</v>
      </c>
      <c r="R113" s="16">
        <f>IF(NOT(Paths!$C$16=1),0,IF(Paths!$P$16="Complete",IF(AND(C113=0,Paths!$E$16=0),I113-J113-K113+VLOOKUP(A113,'Fleet register'!$A$7:$S$106,15,FALSE)+VLOOKUP(A113,'Fleet register'!$A$7:$S$106,16,FALSE),0),"n.a."))</f>
        <v>0</v>
      </c>
      <c r="S113" s="1">
        <f>IF(NOT(Paths!$C$16=1),0,IF(Paths!$P$16="Complete",IF(C113=0,0,Paths!$S$16*Paths!$R$16),"n.a."))</f>
        <v>45000</v>
      </c>
      <c r="T113" s="1">
        <f>IF(NOT(Paths!$C$16=1),0,IF(Paths!$P$16="Complete",IF(C113=0,0,VLOOKUP(A113,'Fleet register'!$A$7:$S$106,9,FALSE)*Paths!$R$16),"n.a."))</f>
        <v>7200</v>
      </c>
    </row>
    <row r="114" spans="1:20" ht="24" customHeight="1">
      <c r="A114" s="1" t="str">
        <f>Paths!$A$16</f>
        <v>T003</v>
      </c>
      <c r="B114" s="1">
        <f>Paths!$B$16</f>
        <v>1</v>
      </c>
      <c r="C114" s="1">
        <v>8</v>
      </c>
      <c r="D114" s="1">
        <v>16</v>
      </c>
      <c r="E114" s="1">
        <f>IF(OR(Paths!$C$16=0,C114=0),0,MAX(0,MIN(C114*12,Paths!$E$16)-(C114-1)*12))</f>
        <v>0</v>
      </c>
      <c r="F114" s="1">
        <f>IF(OR(Paths!$C$16=0,C114=0),0,12-E114)</f>
        <v>12</v>
      </c>
      <c r="G114" s="16">
        <f>IF(NOT(Paths!$C$16=1),0,IF(Paths!$P$16="Complete",E114/12*(Paths!$J$16*(1+'Operating costs'!$B$51)^MAX(0,C114-1)+Paths!$K$16*(1+'Operating costs'!$B$53)^MAX(0,C114-1)),"n.a."))</f>
        <v>0</v>
      </c>
      <c r="H114" s="16">
        <f>IF(NOT(Paths!$C$16=1),0,IF(Paths!$P$16="Complete",F114/12*(Paths!$L$16*(1+IF(Paths!$D$16="EV",'Operating costs'!$B$52,'Operating costs'!$B$51))^MAX(0,C114-1)+Paths!$M$16*(1+'Operating costs'!$B$53)^MAX(0,C114-1)),"n.a."))</f>
        <v>18151.349999999999</v>
      </c>
      <c r="I114" s="16">
        <f>IF(NOT(Paths!$C$16=1),0,IF(Paths!$P$16="Complete",IF(IF(Paths!$E$16=0,C114=0,AND(C114&gt;0,Paths!$E$16&gt;(C114-1)*12,Paths!$E$16&lt;=C114*12)),Paths!$G$16,0),"n.a."))</f>
        <v>0</v>
      </c>
      <c r="J114" s="16">
        <f>IF(NOT(Paths!$C$16=1),0,IF(Paths!$P$16="Complete",IF(IF(Paths!$E$16=0,C114=0,AND(C114&gt;0,Paths!$E$16&gt;(C114-1)*12,Paths!$E$16&lt;=C114*12)),Paths!$H$16,0),"n.a."))</f>
        <v>0</v>
      </c>
      <c r="K114" s="16">
        <f>IF(NOT(Paths!$C$16=1),0,IF(Paths!$P$16="Complete",IF(IF(Paths!$O$16=0,C114=0,AND(C114&gt;0,Paths!$O$16&gt;(C114-1)*12,Paths!$O$16&lt;=C114*12)),Paths!$N$16,0),"n.a."))</f>
        <v>0</v>
      </c>
      <c r="L114" s="16">
        <f>IF(NOT(Paths!$C$16=1),0,IF(Paths!$P$16="Complete",IF(C114=10,Paths!$I$16,0),"n.a."))</f>
        <v>0</v>
      </c>
      <c r="M114" s="16">
        <f>IF(NOT(Paths!$C$16=1),0,IF(Paths!$P$16="Complete",IF(AND(Paths!$D$16="EV",Paths!$E$16&lt;120,Paths!$E$16+'Operating costs'!$B$65&gt;Paths!$E$16,Paths!$E$16+'Operating costs'!$B$65&lt;=120,IF(Paths!$E$16+'Operating costs'!$B$65=0,C114=0,AND(C114&gt;0,Paths!$E$16+'Operating costs'!$B$65&gt;(C114-1)*12,Paths!$E$16+'Operating costs'!$B$65&lt;=C114*12))),'Operating costs'!$B$64,0)+IF(AND('Operating costs'!$B$67&gt;0,'Operating costs'!$B$67&lt;=120,OR(Paths!$D$16="ICE",'Operating costs'!$B$67&lt;=Paths!$E$16),IF('Operating costs'!$B$67=0,C114=0,AND(C114&gt;0,'Operating costs'!$B$67&gt;(C114-1)*12,'Operating costs'!$B$67&lt;=C114*12))),'Operating costs'!$B$66,0),"n.a."))</f>
        <v>0</v>
      </c>
      <c r="N114" s="16">
        <f>IF(NOT(Paths!$C$16=1),0,IF(Paths!$P$16="Complete",SUM(G114:I114)-J114-K114-L114+M114+IF(C114=0,Paths!$F$16,0)+IF(IF(Paths!$E$16=0,C114=0,AND(C114&gt;0,Paths!$E$16&gt;(C114-1)*12,Paths!$E$16&lt;=C114*12)),VLOOKUP(A114,'Fleet register'!$A$7:$S$106,16,FALSE),0),"n.a."))</f>
        <v>18151.349999999999</v>
      </c>
      <c r="O114" s="16">
        <f>IF(NOT(Paths!$C$16=1),0,IF(Paths!$P$16="Complete",N114-IF(C114=0,Paths!$F$16,0),"n.a."))</f>
        <v>18151.349999999999</v>
      </c>
      <c r="P114" s="16">
        <f>IF(NOT(Paths!$C$16=1),0,IF(Paths!$P$16="Complete",O114+L114,"n.a."))</f>
        <v>18151.349999999999</v>
      </c>
      <c r="Q114" s="16">
        <f>IF(NOT(Paths!$C$16=1),0,IF(Paths!$P$16="Complete",N114*(1+'Operating costs'!$B$54)^-C114,"n.a."))</f>
        <v>18151.349999999999</v>
      </c>
      <c r="R114" s="16">
        <f>IF(NOT(Paths!$C$16=1),0,IF(Paths!$P$16="Complete",IF(AND(C114=0,Paths!$E$16=0),I114-J114-K114+VLOOKUP(A114,'Fleet register'!$A$7:$S$106,15,FALSE)+VLOOKUP(A114,'Fleet register'!$A$7:$S$106,16,FALSE),0),"n.a."))</f>
        <v>0</v>
      </c>
      <c r="S114" s="1">
        <f>IF(NOT(Paths!$C$16=1),0,IF(Paths!$P$16="Complete",IF(C114=0,0,Paths!$S$16*Paths!$R$16),"n.a."))</f>
        <v>45000</v>
      </c>
      <c r="T114" s="1">
        <f>IF(NOT(Paths!$C$16=1),0,IF(Paths!$P$16="Complete",IF(C114=0,0,VLOOKUP(A114,'Fleet register'!$A$7:$S$106,9,FALSE)*Paths!$R$16),"n.a."))</f>
        <v>7200</v>
      </c>
    </row>
    <row r="115" spans="1:20" ht="24" customHeight="1">
      <c r="A115" s="1" t="str">
        <f>Paths!$A$16</f>
        <v>T003</v>
      </c>
      <c r="B115" s="1">
        <f>Paths!$B$16</f>
        <v>1</v>
      </c>
      <c r="C115" s="1">
        <v>9</v>
      </c>
      <c r="D115" s="1">
        <v>16</v>
      </c>
      <c r="E115" s="1">
        <f>IF(OR(Paths!$C$16=0,C115=0),0,MAX(0,MIN(C115*12,Paths!$E$16)-(C115-1)*12))</f>
        <v>0</v>
      </c>
      <c r="F115" s="1">
        <f>IF(OR(Paths!$C$16=0,C115=0),0,12-E115)</f>
        <v>12</v>
      </c>
      <c r="G115" s="16">
        <f>IF(NOT(Paths!$C$16=1),0,IF(Paths!$P$16="Complete",E115/12*(Paths!$J$16*(1+'Operating costs'!$B$51)^MAX(0,C115-1)+Paths!$K$16*(1+'Operating costs'!$B$53)^MAX(0,C115-1)),"n.a."))</f>
        <v>0</v>
      </c>
      <c r="H115" s="16">
        <f>IF(NOT(Paths!$C$16=1),0,IF(Paths!$P$16="Complete",F115/12*(Paths!$L$16*(1+IF(Paths!$D$16="EV",'Operating costs'!$B$52,'Operating costs'!$B$51))^MAX(0,C115-1)+Paths!$M$16*(1+'Operating costs'!$B$53)^MAX(0,C115-1)),"n.a."))</f>
        <v>18151.349999999999</v>
      </c>
      <c r="I115" s="16">
        <f>IF(NOT(Paths!$C$16=1),0,IF(Paths!$P$16="Complete",IF(IF(Paths!$E$16=0,C115=0,AND(C115&gt;0,Paths!$E$16&gt;(C115-1)*12,Paths!$E$16&lt;=C115*12)),Paths!$G$16,0),"n.a."))</f>
        <v>0</v>
      </c>
      <c r="J115" s="16">
        <f>IF(NOT(Paths!$C$16=1),0,IF(Paths!$P$16="Complete",IF(IF(Paths!$E$16=0,C115=0,AND(C115&gt;0,Paths!$E$16&gt;(C115-1)*12,Paths!$E$16&lt;=C115*12)),Paths!$H$16,0),"n.a."))</f>
        <v>0</v>
      </c>
      <c r="K115" s="16">
        <f>IF(NOT(Paths!$C$16=1),0,IF(Paths!$P$16="Complete",IF(IF(Paths!$O$16=0,C115=0,AND(C115&gt;0,Paths!$O$16&gt;(C115-1)*12,Paths!$O$16&lt;=C115*12)),Paths!$N$16,0),"n.a."))</f>
        <v>0</v>
      </c>
      <c r="L115" s="16">
        <f>IF(NOT(Paths!$C$16=1),0,IF(Paths!$P$16="Complete",IF(C115=10,Paths!$I$16,0),"n.a."))</f>
        <v>0</v>
      </c>
      <c r="M115" s="16">
        <f>IF(NOT(Paths!$C$16=1),0,IF(Paths!$P$16="Complete",IF(AND(Paths!$D$16="EV",Paths!$E$16&lt;120,Paths!$E$16+'Operating costs'!$B$65&gt;Paths!$E$16,Paths!$E$16+'Operating costs'!$B$65&lt;=120,IF(Paths!$E$16+'Operating costs'!$B$65=0,C115=0,AND(C115&gt;0,Paths!$E$16+'Operating costs'!$B$65&gt;(C115-1)*12,Paths!$E$16+'Operating costs'!$B$65&lt;=C115*12))),'Operating costs'!$B$64,0)+IF(AND('Operating costs'!$B$67&gt;0,'Operating costs'!$B$67&lt;=120,OR(Paths!$D$16="ICE",'Operating costs'!$B$67&lt;=Paths!$E$16),IF('Operating costs'!$B$67=0,C115=0,AND(C115&gt;0,'Operating costs'!$B$67&gt;(C115-1)*12,'Operating costs'!$B$67&lt;=C115*12))),'Operating costs'!$B$66,0),"n.a."))</f>
        <v>0</v>
      </c>
      <c r="N115" s="16">
        <f>IF(NOT(Paths!$C$16=1),0,IF(Paths!$P$16="Complete",SUM(G115:I115)-J115-K115-L115+M115+IF(C115=0,Paths!$F$16,0)+IF(IF(Paths!$E$16=0,C115=0,AND(C115&gt;0,Paths!$E$16&gt;(C115-1)*12,Paths!$E$16&lt;=C115*12)),VLOOKUP(A115,'Fleet register'!$A$7:$S$106,16,FALSE),0),"n.a."))</f>
        <v>18151.349999999999</v>
      </c>
      <c r="O115" s="16">
        <f>IF(NOT(Paths!$C$16=1),0,IF(Paths!$P$16="Complete",N115-IF(C115=0,Paths!$F$16,0),"n.a."))</f>
        <v>18151.349999999999</v>
      </c>
      <c r="P115" s="16">
        <f>IF(NOT(Paths!$C$16=1),0,IF(Paths!$P$16="Complete",O115+L115,"n.a."))</f>
        <v>18151.349999999999</v>
      </c>
      <c r="Q115" s="16">
        <f>IF(NOT(Paths!$C$16=1),0,IF(Paths!$P$16="Complete",N115*(1+'Operating costs'!$B$54)^-C115,"n.a."))</f>
        <v>18151.349999999999</v>
      </c>
      <c r="R115" s="16">
        <f>IF(NOT(Paths!$C$16=1),0,IF(Paths!$P$16="Complete",IF(AND(C115=0,Paths!$E$16=0),I115-J115-K115+VLOOKUP(A115,'Fleet register'!$A$7:$S$106,15,FALSE)+VLOOKUP(A115,'Fleet register'!$A$7:$S$106,16,FALSE),0),"n.a."))</f>
        <v>0</v>
      </c>
      <c r="S115" s="1">
        <f>IF(NOT(Paths!$C$16=1),0,IF(Paths!$P$16="Complete",IF(C115=0,0,Paths!$S$16*Paths!$R$16),"n.a."))</f>
        <v>45000</v>
      </c>
      <c r="T115" s="1">
        <f>IF(NOT(Paths!$C$16=1),0,IF(Paths!$P$16="Complete",IF(C115=0,0,VLOOKUP(A115,'Fleet register'!$A$7:$S$106,9,FALSE)*Paths!$R$16),"n.a."))</f>
        <v>7200</v>
      </c>
    </row>
    <row r="116" spans="1:20" ht="24" customHeight="1">
      <c r="A116" s="1" t="str">
        <f>Paths!$A$16</f>
        <v>T003</v>
      </c>
      <c r="B116" s="1">
        <f>Paths!$B$16</f>
        <v>1</v>
      </c>
      <c r="C116" s="1">
        <v>10</v>
      </c>
      <c r="D116" s="1">
        <v>16</v>
      </c>
      <c r="E116" s="1">
        <f>IF(OR(Paths!$C$16=0,C116=0),0,MAX(0,MIN(C116*12,Paths!$E$16)-(C116-1)*12))</f>
        <v>0</v>
      </c>
      <c r="F116" s="1">
        <f>IF(OR(Paths!$C$16=0,C116=0),0,12-E116)</f>
        <v>12</v>
      </c>
      <c r="G116" s="16">
        <f>IF(NOT(Paths!$C$16=1),0,IF(Paths!$P$16="Complete",E116/12*(Paths!$J$16*(1+'Operating costs'!$B$51)^MAX(0,C116-1)+Paths!$K$16*(1+'Operating costs'!$B$53)^MAX(0,C116-1)),"n.a."))</f>
        <v>0</v>
      </c>
      <c r="H116" s="16">
        <f>IF(NOT(Paths!$C$16=1),0,IF(Paths!$P$16="Complete",F116/12*(Paths!$L$16*(1+IF(Paths!$D$16="EV",'Operating costs'!$B$52,'Operating costs'!$B$51))^MAX(0,C116-1)+Paths!$M$16*(1+'Operating costs'!$B$53)^MAX(0,C116-1)),"n.a."))</f>
        <v>18151.349999999999</v>
      </c>
      <c r="I116" s="16">
        <f>IF(NOT(Paths!$C$16=1),0,IF(Paths!$P$16="Complete",IF(IF(Paths!$E$16=0,C116=0,AND(C116&gt;0,Paths!$E$16&gt;(C116-1)*12,Paths!$E$16&lt;=C116*12)),Paths!$G$16,0),"n.a."))</f>
        <v>0</v>
      </c>
      <c r="J116" s="16">
        <f>IF(NOT(Paths!$C$16=1),0,IF(Paths!$P$16="Complete",IF(IF(Paths!$E$16=0,C116=0,AND(C116&gt;0,Paths!$E$16&gt;(C116-1)*12,Paths!$E$16&lt;=C116*12)),Paths!$H$16,0),"n.a."))</f>
        <v>0</v>
      </c>
      <c r="K116" s="16">
        <f>IF(NOT(Paths!$C$16=1),0,IF(Paths!$P$16="Complete",IF(IF(Paths!$O$16=0,C116=0,AND(C116&gt;0,Paths!$O$16&gt;(C116-1)*12,Paths!$O$16&lt;=C116*12)),Paths!$N$16,0),"n.a."))</f>
        <v>0</v>
      </c>
      <c r="L116" s="16">
        <f>IF(NOT(Paths!$C$16=1),0,IF(Paths!$P$16="Complete",IF(C116=10,Paths!$I$16,0),"n.a."))</f>
        <v>12000</v>
      </c>
      <c r="M116" s="16">
        <f>IF(NOT(Paths!$C$16=1),0,IF(Paths!$P$16="Complete",IF(AND(Paths!$D$16="EV",Paths!$E$16&lt;120,Paths!$E$16+'Operating costs'!$B$65&gt;Paths!$E$16,Paths!$E$16+'Operating costs'!$B$65&lt;=120,IF(Paths!$E$16+'Operating costs'!$B$65=0,C116=0,AND(C116&gt;0,Paths!$E$16+'Operating costs'!$B$65&gt;(C116-1)*12,Paths!$E$16+'Operating costs'!$B$65&lt;=C116*12))),'Operating costs'!$B$64,0)+IF(AND('Operating costs'!$B$67&gt;0,'Operating costs'!$B$67&lt;=120,OR(Paths!$D$16="ICE",'Operating costs'!$B$67&lt;=Paths!$E$16),IF('Operating costs'!$B$67=0,C116=0,AND(C116&gt;0,'Operating costs'!$B$67&gt;(C116-1)*12,'Operating costs'!$B$67&lt;=C116*12))),'Operating costs'!$B$66,0),"n.a."))</f>
        <v>0</v>
      </c>
      <c r="N116" s="16">
        <f>IF(NOT(Paths!$C$16=1),0,IF(Paths!$P$16="Complete",SUM(G116:I116)-J116-K116-L116+M116+IF(C116=0,Paths!$F$16,0)+IF(IF(Paths!$E$16=0,C116=0,AND(C116&gt;0,Paths!$E$16&gt;(C116-1)*12,Paths!$E$16&lt;=C116*12)),VLOOKUP(A116,'Fleet register'!$A$7:$S$106,16,FALSE),0),"n.a."))</f>
        <v>6151.3499999999985</v>
      </c>
      <c r="O116" s="16">
        <f>IF(NOT(Paths!$C$16=1),0,IF(Paths!$P$16="Complete",N116-IF(C116=0,Paths!$F$16,0),"n.a."))</f>
        <v>6151.3499999999985</v>
      </c>
      <c r="P116" s="16">
        <f>IF(NOT(Paths!$C$16=1),0,IF(Paths!$P$16="Complete",O116+L116,"n.a."))</f>
        <v>18151.349999999999</v>
      </c>
      <c r="Q116" s="16">
        <f>IF(NOT(Paths!$C$16=1),0,IF(Paths!$P$16="Complete",N116*(1+'Operating costs'!$B$54)^-C116,"n.a."))</f>
        <v>6151.3499999999985</v>
      </c>
      <c r="R116" s="16">
        <f>IF(NOT(Paths!$C$16=1),0,IF(Paths!$P$16="Complete",IF(AND(C116=0,Paths!$E$16=0),I116-J116-K116+VLOOKUP(A116,'Fleet register'!$A$7:$S$106,15,FALSE)+VLOOKUP(A116,'Fleet register'!$A$7:$S$106,16,FALSE),0),"n.a."))</f>
        <v>0</v>
      </c>
      <c r="S116" s="1">
        <f>IF(NOT(Paths!$C$16=1),0,IF(Paths!$P$16="Complete",IF(C116=0,0,Paths!$S$16*Paths!$R$16),"n.a."))</f>
        <v>45000</v>
      </c>
      <c r="T116" s="1">
        <f>IF(NOT(Paths!$C$16=1),0,IF(Paths!$P$16="Complete",IF(C116=0,0,VLOOKUP(A116,'Fleet register'!$A$7:$S$106,9,FALSE)*Paths!$R$16),"n.a."))</f>
        <v>7200</v>
      </c>
    </row>
    <row r="117" spans="1:20" ht="24" customHeight="1">
      <c r="A117" s="1" t="str">
        <f>Paths!$A$17</f>
        <v>T003</v>
      </c>
      <c r="B117" s="1">
        <f>Paths!$B$17</f>
        <v>2</v>
      </c>
      <c r="C117" s="1">
        <v>0</v>
      </c>
      <c r="D117" s="1">
        <v>17</v>
      </c>
      <c r="E117" s="1">
        <f>IF(OR(Paths!$C$17=0,C117=0),0,MAX(0,MIN(C117*12,Paths!$E$17)-(C117-1)*12))</f>
        <v>0</v>
      </c>
      <c r="F117" s="1">
        <f>IF(OR(Paths!$C$17=0,C117=0),0,12-E117)</f>
        <v>0</v>
      </c>
      <c r="G117" s="16">
        <f>IF(NOT(Paths!$C$17=1),0,IF(Paths!$P$17="Complete",E117/12*(Paths!$J$17*(1+'Operating costs'!$B$51)^MAX(0,C117-1)+Paths!$K$17*(1+'Operating costs'!$B$53)^MAX(0,C117-1)),"n.a."))</f>
        <v>0</v>
      </c>
      <c r="H117" s="16">
        <f>IF(NOT(Paths!$C$17=1),0,IF(Paths!$P$17="Complete",F117/12*(Paths!$L$17*(1+IF(Paths!$D$17="EV",'Operating costs'!$B$52,'Operating costs'!$B$51))^MAX(0,C117-1)+Paths!$M$17*(1+'Operating costs'!$B$53)^MAX(0,C117-1)),"n.a."))</f>
        <v>0</v>
      </c>
      <c r="I117" s="16">
        <f>IF(NOT(Paths!$C$17=1),0,IF(Paths!$P$17="Complete",IF(IF(Paths!$E$17=0,C117=0,AND(C117&gt;0,Paths!$E$17&gt;(C117-1)*12,Paths!$E$17&lt;=C117*12)),Paths!$G$17,0),"n.a."))</f>
        <v>0</v>
      </c>
      <c r="J117" s="16">
        <f>IF(NOT(Paths!$C$17=1),0,IF(Paths!$P$17="Complete",IF(IF(Paths!$E$17=0,C117=0,AND(C117&gt;0,Paths!$E$17&gt;(C117-1)*12,Paths!$E$17&lt;=C117*12)),Paths!$H$17,0),"n.a."))</f>
        <v>0</v>
      </c>
      <c r="K117" s="16">
        <f>IF(NOT(Paths!$C$17=1),0,IF(Paths!$P$17="Complete",IF(IF(Paths!$O$17=0,C117=0,AND(C117&gt;0,Paths!$O$17&gt;(C117-1)*12,Paths!$O$17&lt;=C117*12)),Paths!$N$17,0),"n.a."))</f>
        <v>0</v>
      </c>
      <c r="L117" s="16">
        <f>IF(NOT(Paths!$C$17=1),0,IF(Paths!$P$17="Complete",IF(C117=10,Paths!$I$17,0),"n.a."))</f>
        <v>0</v>
      </c>
      <c r="M117" s="16">
        <f>IF(NOT(Paths!$C$17=1),0,IF(Paths!$P$17="Complete",IF(AND(Paths!$D$17="EV",Paths!$E$17&lt;120,Paths!$E$17+'Operating costs'!$B$65&gt;Paths!$E$17,Paths!$E$17+'Operating costs'!$B$65&lt;=120,IF(Paths!$E$17+'Operating costs'!$B$65=0,C117=0,AND(C117&gt;0,Paths!$E$17+'Operating costs'!$B$65&gt;(C117-1)*12,Paths!$E$17+'Operating costs'!$B$65&lt;=C117*12))),'Operating costs'!$B$64,0)+IF(AND('Operating costs'!$B$67&gt;0,'Operating costs'!$B$67&lt;=120,OR(Paths!$D$17="ICE",'Operating costs'!$B$67&lt;=Paths!$E$17),IF('Operating costs'!$B$67=0,C117=0,AND(C117&gt;0,'Operating costs'!$B$67&gt;(C117-1)*12,'Operating costs'!$B$67&lt;=C117*12))),'Operating costs'!$B$66,0),"n.a."))</f>
        <v>0</v>
      </c>
      <c r="N117" s="16">
        <f>IF(NOT(Paths!$C$17=1),0,IF(Paths!$P$17="Complete",SUM(G117:I117)-J117-K117-L117+M117+IF(C117=0,Paths!$F$17,0)+IF(IF(Paths!$E$17=0,C117=0,AND(C117&gt;0,Paths!$E$17&gt;(C117-1)*12,Paths!$E$17&lt;=C117*12)),VLOOKUP(A117,'Fleet register'!$A$7:$S$106,16,FALSE),0),"n.a."))</f>
        <v>36000</v>
      </c>
      <c r="O117" s="16">
        <f>IF(NOT(Paths!$C$17=1),0,IF(Paths!$P$17="Complete",N117-IF(C117=0,Paths!$F$17,0),"n.a."))</f>
        <v>0</v>
      </c>
      <c r="P117" s="16">
        <f>IF(NOT(Paths!$C$17=1),0,IF(Paths!$P$17="Complete",O117+L117,"n.a."))</f>
        <v>0</v>
      </c>
      <c r="Q117" s="16">
        <f>IF(NOT(Paths!$C$17=1),0,IF(Paths!$P$17="Complete",N117*(1+'Operating costs'!$B$54)^-C117,"n.a."))</f>
        <v>36000</v>
      </c>
      <c r="R117" s="16">
        <f>IF(NOT(Paths!$C$17=1),0,IF(Paths!$P$17="Complete",IF(AND(C117=0,Paths!$E$17=0),I117-J117-K117+VLOOKUP(A117,'Fleet register'!$A$7:$S$106,15,FALSE)+VLOOKUP(A117,'Fleet register'!$A$7:$S$106,16,FALSE),0),"n.a."))</f>
        <v>0</v>
      </c>
      <c r="S117" s="1">
        <f>IF(NOT(Paths!$C$17=1),0,IF(Paths!$P$17="Complete",IF(C117=0,0,Paths!$S$17*Paths!$R$17),"n.a."))</f>
        <v>0</v>
      </c>
      <c r="T117" s="1">
        <f>IF(NOT(Paths!$C$17=1),0,IF(Paths!$P$17="Complete",IF(C117=0,0,VLOOKUP(A117,'Fleet register'!$A$7:$S$106,9,FALSE)*Paths!$R$17),"n.a."))</f>
        <v>0</v>
      </c>
    </row>
    <row r="118" spans="1:20" ht="24" customHeight="1">
      <c r="A118" s="1" t="str">
        <f>Paths!$A$17</f>
        <v>T003</v>
      </c>
      <c r="B118" s="1">
        <f>Paths!$B$17</f>
        <v>2</v>
      </c>
      <c r="C118" s="1">
        <v>1</v>
      </c>
      <c r="D118" s="1">
        <v>17</v>
      </c>
      <c r="E118" s="1">
        <f>IF(OR(Paths!$C$17=0,C118=0),0,MAX(0,MIN(C118*12,Paths!$E$17)-(C118-1)*12))</f>
        <v>12</v>
      </c>
      <c r="F118" s="1">
        <f>IF(OR(Paths!$C$17=0,C118=0),0,12-E118)</f>
        <v>0</v>
      </c>
      <c r="G118" s="16">
        <f>IF(NOT(Paths!$C$17=1),0,IF(Paths!$P$17="Complete",E118/12*(Paths!$J$17*(1+'Operating costs'!$B$51)^MAX(0,C118-1)+Paths!$K$17*(1+'Operating costs'!$B$53)^MAX(0,C118-1)),"n.a."))</f>
        <v>18151.349999999999</v>
      </c>
      <c r="H118" s="16">
        <f>IF(NOT(Paths!$C$17=1),0,IF(Paths!$P$17="Complete",F118/12*(Paths!$L$17*(1+IF(Paths!$D$17="EV",'Operating costs'!$B$52,'Operating costs'!$B$51))^MAX(0,C118-1)+Paths!$M$17*(1+'Operating costs'!$B$53)^MAX(0,C118-1)),"n.a."))</f>
        <v>0</v>
      </c>
      <c r="I118" s="16">
        <f>IF(NOT(Paths!$C$17=1),0,IF(Paths!$P$17="Complete",IF(IF(Paths!$E$17=0,C118=0,AND(C118&gt;0,Paths!$E$17&gt;(C118-1)*12,Paths!$E$17&lt;=C118*12)),Paths!$G$17,0),"n.a."))</f>
        <v>0</v>
      </c>
      <c r="J118" s="16">
        <f>IF(NOT(Paths!$C$17=1),0,IF(Paths!$P$17="Complete",IF(IF(Paths!$E$17=0,C118=0,AND(C118&gt;0,Paths!$E$17&gt;(C118-1)*12,Paths!$E$17&lt;=C118*12)),Paths!$H$17,0),"n.a."))</f>
        <v>0</v>
      </c>
      <c r="K118" s="16">
        <f>IF(NOT(Paths!$C$17=1),0,IF(Paths!$P$17="Complete",IF(IF(Paths!$O$17=0,C118=0,AND(C118&gt;0,Paths!$O$17&gt;(C118-1)*12,Paths!$O$17&lt;=C118*12)),Paths!$N$17,0),"n.a."))</f>
        <v>0</v>
      </c>
      <c r="L118" s="16">
        <f>IF(NOT(Paths!$C$17=1),0,IF(Paths!$P$17="Complete",IF(C118=10,Paths!$I$17,0),"n.a."))</f>
        <v>0</v>
      </c>
      <c r="M118" s="16">
        <f>IF(NOT(Paths!$C$17=1),0,IF(Paths!$P$17="Complete",IF(AND(Paths!$D$17="EV",Paths!$E$17&lt;120,Paths!$E$17+'Operating costs'!$B$65&gt;Paths!$E$17,Paths!$E$17+'Operating costs'!$B$65&lt;=120,IF(Paths!$E$17+'Operating costs'!$B$65=0,C118=0,AND(C118&gt;0,Paths!$E$17+'Operating costs'!$B$65&gt;(C118-1)*12,Paths!$E$17+'Operating costs'!$B$65&lt;=C118*12))),'Operating costs'!$B$64,0)+IF(AND('Operating costs'!$B$67&gt;0,'Operating costs'!$B$67&lt;=120,OR(Paths!$D$17="ICE",'Operating costs'!$B$67&lt;=Paths!$E$17),IF('Operating costs'!$B$67=0,C118=0,AND(C118&gt;0,'Operating costs'!$B$67&gt;(C118-1)*12,'Operating costs'!$B$67&lt;=C118*12))),'Operating costs'!$B$66,0),"n.a."))</f>
        <v>0</v>
      </c>
      <c r="N118" s="16">
        <f>IF(NOT(Paths!$C$17=1),0,IF(Paths!$P$17="Complete",SUM(G118:I118)-J118-K118-L118+M118+IF(C118=0,Paths!$F$17,0)+IF(IF(Paths!$E$17=0,C118=0,AND(C118&gt;0,Paths!$E$17&gt;(C118-1)*12,Paths!$E$17&lt;=C118*12)),VLOOKUP(A118,'Fleet register'!$A$7:$S$106,16,FALSE),0),"n.a."))</f>
        <v>18151.349999999999</v>
      </c>
      <c r="O118" s="16">
        <f>IF(NOT(Paths!$C$17=1),0,IF(Paths!$P$17="Complete",N118-IF(C118=0,Paths!$F$17,0),"n.a."))</f>
        <v>18151.349999999999</v>
      </c>
      <c r="P118" s="16">
        <f>IF(NOT(Paths!$C$17=1),0,IF(Paths!$P$17="Complete",O118+L118,"n.a."))</f>
        <v>18151.349999999999</v>
      </c>
      <c r="Q118" s="16">
        <f>IF(NOT(Paths!$C$17=1),0,IF(Paths!$P$17="Complete",N118*(1+'Operating costs'!$B$54)^-C118,"n.a."))</f>
        <v>18151.349999999999</v>
      </c>
      <c r="R118" s="16">
        <f>IF(NOT(Paths!$C$17=1),0,IF(Paths!$P$17="Complete",IF(AND(C118=0,Paths!$E$17=0),I118-J118-K118+VLOOKUP(A118,'Fleet register'!$A$7:$S$106,15,FALSE)+VLOOKUP(A118,'Fleet register'!$A$7:$S$106,16,FALSE),0),"n.a."))</f>
        <v>0</v>
      </c>
      <c r="S118" s="1">
        <f>IF(NOT(Paths!$C$17=1),0,IF(Paths!$P$17="Complete",IF(C118=0,0,Paths!$S$17*Paths!$R$17),"n.a."))</f>
        <v>45000</v>
      </c>
      <c r="T118" s="1">
        <f>IF(NOT(Paths!$C$17=1),0,IF(Paths!$P$17="Complete",IF(C118=0,0,VLOOKUP(A118,'Fleet register'!$A$7:$S$106,9,FALSE)*Paths!$R$17),"n.a."))</f>
        <v>7200</v>
      </c>
    </row>
    <row r="119" spans="1:20" ht="24" customHeight="1">
      <c r="A119" s="1" t="str">
        <f>Paths!$A$17</f>
        <v>T003</v>
      </c>
      <c r="B119" s="1">
        <f>Paths!$B$17</f>
        <v>2</v>
      </c>
      <c r="C119" s="1">
        <v>2</v>
      </c>
      <c r="D119" s="1">
        <v>17</v>
      </c>
      <c r="E119" s="1">
        <f>IF(OR(Paths!$C$17=0,C119=0),0,MAX(0,MIN(C119*12,Paths!$E$17)-(C119-1)*12))</f>
        <v>12</v>
      </c>
      <c r="F119" s="1">
        <f>IF(OR(Paths!$C$17=0,C119=0),0,12-E119)</f>
        <v>0</v>
      </c>
      <c r="G119" s="16">
        <f>IF(NOT(Paths!$C$17=1),0,IF(Paths!$P$17="Complete",E119/12*(Paths!$J$17*(1+'Operating costs'!$B$51)^MAX(0,C119-1)+Paths!$K$17*(1+'Operating costs'!$B$53)^MAX(0,C119-1)),"n.a."))</f>
        <v>18151.349999999999</v>
      </c>
      <c r="H119" s="16">
        <f>IF(NOT(Paths!$C$17=1),0,IF(Paths!$P$17="Complete",F119/12*(Paths!$L$17*(1+IF(Paths!$D$17="EV",'Operating costs'!$B$52,'Operating costs'!$B$51))^MAX(0,C119-1)+Paths!$M$17*(1+'Operating costs'!$B$53)^MAX(0,C119-1)),"n.a."))</f>
        <v>0</v>
      </c>
      <c r="I119" s="16">
        <f>IF(NOT(Paths!$C$17=1),0,IF(Paths!$P$17="Complete",IF(IF(Paths!$E$17=0,C119=0,AND(C119&gt;0,Paths!$E$17&gt;(C119-1)*12,Paths!$E$17&lt;=C119*12)),Paths!$G$17,0),"n.a."))</f>
        <v>0</v>
      </c>
      <c r="J119" s="16">
        <f>IF(NOT(Paths!$C$17=1),0,IF(Paths!$P$17="Complete",IF(IF(Paths!$E$17=0,C119=0,AND(C119&gt;0,Paths!$E$17&gt;(C119-1)*12,Paths!$E$17&lt;=C119*12)),Paths!$H$17,0),"n.a."))</f>
        <v>0</v>
      </c>
      <c r="K119" s="16">
        <f>IF(NOT(Paths!$C$17=1),0,IF(Paths!$P$17="Complete",IF(IF(Paths!$O$17=0,C119=0,AND(C119&gt;0,Paths!$O$17&gt;(C119-1)*12,Paths!$O$17&lt;=C119*12)),Paths!$N$17,0),"n.a."))</f>
        <v>0</v>
      </c>
      <c r="L119" s="16">
        <f>IF(NOT(Paths!$C$17=1),0,IF(Paths!$P$17="Complete",IF(C119=10,Paths!$I$17,0),"n.a."))</f>
        <v>0</v>
      </c>
      <c r="M119" s="16">
        <f>IF(NOT(Paths!$C$17=1),0,IF(Paths!$P$17="Complete",IF(AND(Paths!$D$17="EV",Paths!$E$17&lt;120,Paths!$E$17+'Operating costs'!$B$65&gt;Paths!$E$17,Paths!$E$17+'Operating costs'!$B$65&lt;=120,IF(Paths!$E$17+'Operating costs'!$B$65=0,C119=0,AND(C119&gt;0,Paths!$E$17+'Operating costs'!$B$65&gt;(C119-1)*12,Paths!$E$17+'Operating costs'!$B$65&lt;=C119*12))),'Operating costs'!$B$64,0)+IF(AND('Operating costs'!$B$67&gt;0,'Operating costs'!$B$67&lt;=120,OR(Paths!$D$17="ICE",'Operating costs'!$B$67&lt;=Paths!$E$17),IF('Operating costs'!$B$67=0,C119=0,AND(C119&gt;0,'Operating costs'!$B$67&gt;(C119-1)*12,'Operating costs'!$B$67&lt;=C119*12))),'Operating costs'!$B$66,0),"n.a."))</f>
        <v>0</v>
      </c>
      <c r="N119" s="16">
        <f>IF(NOT(Paths!$C$17=1),0,IF(Paths!$P$17="Complete",SUM(G119:I119)-J119-K119-L119+M119+IF(C119=0,Paths!$F$17,0)+IF(IF(Paths!$E$17=0,C119=0,AND(C119&gt;0,Paths!$E$17&gt;(C119-1)*12,Paths!$E$17&lt;=C119*12)),VLOOKUP(A119,'Fleet register'!$A$7:$S$106,16,FALSE),0),"n.a."))</f>
        <v>18151.349999999999</v>
      </c>
      <c r="O119" s="16">
        <f>IF(NOT(Paths!$C$17=1),0,IF(Paths!$P$17="Complete",N119-IF(C119=0,Paths!$F$17,0),"n.a."))</f>
        <v>18151.349999999999</v>
      </c>
      <c r="P119" s="16">
        <f>IF(NOT(Paths!$C$17=1),0,IF(Paths!$P$17="Complete",O119+L119,"n.a."))</f>
        <v>18151.349999999999</v>
      </c>
      <c r="Q119" s="16">
        <f>IF(NOT(Paths!$C$17=1),0,IF(Paths!$P$17="Complete",N119*(1+'Operating costs'!$B$54)^-C119,"n.a."))</f>
        <v>18151.349999999999</v>
      </c>
      <c r="R119" s="16">
        <f>IF(NOT(Paths!$C$17=1),0,IF(Paths!$P$17="Complete",IF(AND(C119=0,Paths!$E$17=0),I119-J119-K119+VLOOKUP(A119,'Fleet register'!$A$7:$S$106,15,FALSE)+VLOOKUP(A119,'Fleet register'!$A$7:$S$106,16,FALSE),0),"n.a."))</f>
        <v>0</v>
      </c>
      <c r="S119" s="1">
        <f>IF(NOT(Paths!$C$17=1),0,IF(Paths!$P$17="Complete",IF(C119=0,0,Paths!$S$17*Paths!$R$17),"n.a."))</f>
        <v>45000</v>
      </c>
      <c r="T119" s="1">
        <f>IF(NOT(Paths!$C$17=1),0,IF(Paths!$P$17="Complete",IF(C119=0,0,VLOOKUP(A119,'Fleet register'!$A$7:$S$106,9,FALSE)*Paths!$R$17),"n.a."))</f>
        <v>7200</v>
      </c>
    </row>
    <row r="120" spans="1:20" ht="24" customHeight="1">
      <c r="A120" s="1" t="str">
        <f>Paths!$A$17</f>
        <v>T003</v>
      </c>
      <c r="B120" s="1">
        <f>Paths!$B$17</f>
        <v>2</v>
      </c>
      <c r="C120" s="1">
        <v>3</v>
      </c>
      <c r="D120" s="1">
        <v>17</v>
      </c>
      <c r="E120" s="1">
        <f>IF(OR(Paths!$C$17=0,C120=0),0,MAX(0,MIN(C120*12,Paths!$E$17)-(C120-1)*12))</f>
        <v>12</v>
      </c>
      <c r="F120" s="1">
        <f>IF(OR(Paths!$C$17=0,C120=0),0,12-E120)</f>
        <v>0</v>
      </c>
      <c r="G120" s="16">
        <f>IF(NOT(Paths!$C$17=1),0,IF(Paths!$P$17="Complete",E120/12*(Paths!$J$17*(1+'Operating costs'!$B$51)^MAX(0,C120-1)+Paths!$K$17*(1+'Operating costs'!$B$53)^MAX(0,C120-1)),"n.a."))</f>
        <v>18151.349999999999</v>
      </c>
      <c r="H120" s="16">
        <f>IF(NOT(Paths!$C$17=1),0,IF(Paths!$P$17="Complete",F120/12*(Paths!$L$17*(1+IF(Paths!$D$17="EV",'Operating costs'!$B$52,'Operating costs'!$B$51))^MAX(0,C120-1)+Paths!$M$17*(1+'Operating costs'!$B$53)^MAX(0,C120-1)),"n.a."))</f>
        <v>0</v>
      </c>
      <c r="I120" s="16">
        <f>IF(NOT(Paths!$C$17=1),0,IF(Paths!$P$17="Complete",IF(IF(Paths!$E$17=0,C120=0,AND(C120&gt;0,Paths!$E$17&gt;(C120-1)*12,Paths!$E$17&lt;=C120*12)),Paths!$G$17,0),"n.a."))</f>
        <v>181000</v>
      </c>
      <c r="J120" s="16">
        <f>IF(NOT(Paths!$C$17=1),0,IF(Paths!$P$17="Complete",IF(IF(Paths!$E$17=0,C120=0,AND(C120&gt;0,Paths!$E$17&gt;(C120-1)*12,Paths!$E$17&lt;=C120*12)),Paths!$H$17,0),"n.a."))</f>
        <v>10000</v>
      </c>
      <c r="K120" s="16">
        <f>IF(NOT(Paths!$C$17=1),0,IF(Paths!$P$17="Complete",IF(IF(Paths!$O$17=0,C120=0,AND(C120&gt;0,Paths!$O$17&gt;(C120-1)*12,Paths!$O$17&lt;=C120*12)),Paths!$N$17,0),"n.a."))</f>
        <v>0</v>
      </c>
      <c r="L120" s="16">
        <f>IF(NOT(Paths!$C$17=1),0,IF(Paths!$P$17="Complete",IF(C120=10,Paths!$I$17,0),"n.a."))</f>
        <v>0</v>
      </c>
      <c r="M120" s="16">
        <f>IF(NOT(Paths!$C$17=1),0,IF(Paths!$P$17="Complete",IF(AND(Paths!$D$17="EV",Paths!$E$17&lt;120,Paths!$E$17+'Operating costs'!$B$65&gt;Paths!$E$17,Paths!$E$17+'Operating costs'!$B$65&lt;=120,IF(Paths!$E$17+'Operating costs'!$B$65=0,C120=0,AND(C120&gt;0,Paths!$E$17+'Operating costs'!$B$65&gt;(C120-1)*12,Paths!$E$17+'Operating costs'!$B$65&lt;=C120*12))),'Operating costs'!$B$64,0)+IF(AND('Operating costs'!$B$67&gt;0,'Operating costs'!$B$67&lt;=120,OR(Paths!$D$17="ICE",'Operating costs'!$B$67&lt;=Paths!$E$17),IF('Operating costs'!$B$67=0,C120=0,AND(C120&gt;0,'Operating costs'!$B$67&gt;(C120-1)*12,'Operating costs'!$B$67&lt;=C120*12))),'Operating costs'!$B$66,0),"n.a."))</f>
        <v>0</v>
      </c>
      <c r="N120" s="16">
        <f>IF(NOT(Paths!$C$17=1),0,IF(Paths!$P$17="Complete",SUM(G120:I120)-J120-K120-L120+M120+IF(C120=0,Paths!$F$17,0)+IF(IF(Paths!$E$17=0,C120=0,AND(C120&gt;0,Paths!$E$17&gt;(C120-1)*12,Paths!$E$17&lt;=C120*12)),VLOOKUP(A120,'Fleet register'!$A$7:$S$106,16,FALSE),0),"n.a."))</f>
        <v>189151.35</v>
      </c>
      <c r="O120" s="16">
        <f>IF(NOT(Paths!$C$17=1),0,IF(Paths!$P$17="Complete",N120-IF(C120=0,Paths!$F$17,0),"n.a."))</f>
        <v>189151.35</v>
      </c>
      <c r="P120" s="16">
        <f>IF(NOT(Paths!$C$17=1),0,IF(Paths!$P$17="Complete",O120+L120,"n.a."))</f>
        <v>189151.35</v>
      </c>
      <c r="Q120" s="16">
        <f>IF(NOT(Paths!$C$17=1),0,IF(Paths!$P$17="Complete",N120*(1+'Operating costs'!$B$54)^-C120,"n.a."))</f>
        <v>189151.35</v>
      </c>
      <c r="R120" s="16">
        <f>IF(NOT(Paths!$C$17=1),0,IF(Paths!$P$17="Complete",IF(AND(C120=0,Paths!$E$17=0),I120-J120-K120+VLOOKUP(A120,'Fleet register'!$A$7:$S$106,15,FALSE)+VLOOKUP(A120,'Fleet register'!$A$7:$S$106,16,FALSE),0),"n.a."))</f>
        <v>0</v>
      </c>
      <c r="S120" s="1">
        <f>IF(NOT(Paths!$C$17=1),0,IF(Paths!$P$17="Complete",IF(C120=0,0,Paths!$S$17*Paths!$R$17),"n.a."))</f>
        <v>45000</v>
      </c>
      <c r="T120" s="1">
        <f>IF(NOT(Paths!$C$17=1),0,IF(Paths!$P$17="Complete",IF(C120=0,0,VLOOKUP(A120,'Fleet register'!$A$7:$S$106,9,FALSE)*Paths!$R$17),"n.a."))</f>
        <v>7200</v>
      </c>
    </row>
    <row r="121" spans="1:20" ht="24" customHeight="1">
      <c r="A121" s="1" t="str">
        <f>Paths!$A$17</f>
        <v>T003</v>
      </c>
      <c r="B121" s="1">
        <f>Paths!$B$17</f>
        <v>2</v>
      </c>
      <c r="C121" s="1">
        <v>4</v>
      </c>
      <c r="D121" s="1">
        <v>17</v>
      </c>
      <c r="E121" s="1">
        <f>IF(OR(Paths!$C$17=0,C121=0),0,MAX(0,MIN(C121*12,Paths!$E$17)-(C121-1)*12))</f>
        <v>0</v>
      </c>
      <c r="F121" s="1">
        <f>IF(OR(Paths!$C$17=0,C121=0),0,12-E121)</f>
        <v>12</v>
      </c>
      <c r="G121" s="16">
        <f>IF(NOT(Paths!$C$17=1),0,IF(Paths!$P$17="Complete",E121/12*(Paths!$J$17*(1+'Operating costs'!$B$51)^MAX(0,C121-1)+Paths!$K$17*(1+'Operating costs'!$B$53)^MAX(0,C121-1)),"n.a."))</f>
        <v>0</v>
      </c>
      <c r="H121" s="16">
        <f>IF(NOT(Paths!$C$17=1),0,IF(Paths!$P$17="Complete",F121/12*(Paths!$L$17*(1+IF(Paths!$D$17="EV",'Operating costs'!$B$52,'Operating costs'!$B$51))^MAX(0,C121-1)+Paths!$M$17*(1+'Operating costs'!$B$53)^MAX(0,C121-1)),"n.a."))</f>
        <v>18151.349999999999</v>
      </c>
      <c r="I121" s="16">
        <f>IF(NOT(Paths!$C$17=1),0,IF(Paths!$P$17="Complete",IF(IF(Paths!$E$17=0,C121=0,AND(C121&gt;0,Paths!$E$17&gt;(C121-1)*12,Paths!$E$17&lt;=C121*12)),Paths!$G$17,0),"n.a."))</f>
        <v>0</v>
      </c>
      <c r="J121" s="16">
        <f>IF(NOT(Paths!$C$17=1),0,IF(Paths!$P$17="Complete",IF(IF(Paths!$E$17=0,C121=0,AND(C121&gt;0,Paths!$E$17&gt;(C121-1)*12,Paths!$E$17&lt;=C121*12)),Paths!$H$17,0),"n.a."))</f>
        <v>0</v>
      </c>
      <c r="K121" s="16">
        <f>IF(NOT(Paths!$C$17=1),0,IF(Paths!$P$17="Complete",IF(IF(Paths!$O$17=0,C121=0,AND(C121&gt;0,Paths!$O$17&gt;(C121-1)*12,Paths!$O$17&lt;=C121*12)),Paths!$N$17,0),"n.a."))</f>
        <v>0</v>
      </c>
      <c r="L121" s="16">
        <f>IF(NOT(Paths!$C$17=1),0,IF(Paths!$P$17="Complete",IF(C121=10,Paths!$I$17,0),"n.a."))</f>
        <v>0</v>
      </c>
      <c r="M121" s="16">
        <f>IF(NOT(Paths!$C$17=1),0,IF(Paths!$P$17="Complete",IF(AND(Paths!$D$17="EV",Paths!$E$17&lt;120,Paths!$E$17+'Operating costs'!$B$65&gt;Paths!$E$17,Paths!$E$17+'Operating costs'!$B$65&lt;=120,IF(Paths!$E$17+'Operating costs'!$B$65=0,C121=0,AND(C121&gt;0,Paths!$E$17+'Operating costs'!$B$65&gt;(C121-1)*12,Paths!$E$17+'Operating costs'!$B$65&lt;=C121*12))),'Operating costs'!$B$64,0)+IF(AND('Operating costs'!$B$67&gt;0,'Operating costs'!$B$67&lt;=120,OR(Paths!$D$17="ICE",'Operating costs'!$B$67&lt;=Paths!$E$17),IF('Operating costs'!$B$67=0,C121=0,AND(C121&gt;0,'Operating costs'!$B$67&gt;(C121-1)*12,'Operating costs'!$B$67&lt;=C121*12))),'Operating costs'!$B$66,0),"n.a."))</f>
        <v>0</v>
      </c>
      <c r="N121" s="16">
        <f>IF(NOT(Paths!$C$17=1),0,IF(Paths!$P$17="Complete",SUM(G121:I121)-J121-K121-L121+M121+IF(C121=0,Paths!$F$17,0)+IF(IF(Paths!$E$17=0,C121=0,AND(C121&gt;0,Paths!$E$17&gt;(C121-1)*12,Paths!$E$17&lt;=C121*12)),VLOOKUP(A121,'Fleet register'!$A$7:$S$106,16,FALSE),0),"n.a."))</f>
        <v>18151.349999999999</v>
      </c>
      <c r="O121" s="16">
        <f>IF(NOT(Paths!$C$17=1),0,IF(Paths!$P$17="Complete",N121-IF(C121=0,Paths!$F$17,0),"n.a."))</f>
        <v>18151.349999999999</v>
      </c>
      <c r="P121" s="16">
        <f>IF(NOT(Paths!$C$17=1),0,IF(Paths!$P$17="Complete",O121+L121,"n.a."))</f>
        <v>18151.349999999999</v>
      </c>
      <c r="Q121" s="16">
        <f>IF(NOT(Paths!$C$17=1),0,IF(Paths!$P$17="Complete",N121*(1+'Operating costs'!$B$54)^-C121,"n.a."))</f>
        <v>18151.349999999999</v>
      </c>
      <c r="R121" s="16">
        <f>IF(NOT(Paths!$C$17=1),0,IF(Paths!$P$17="Complete",IF(AND(C121=0,Paths!$E$17=0),I121-J121-K121+VLOOKUP(A121,'Fleet register'!$A$7:$S$106,15,FALSE)+VLOOKUP(A121,'Fleet register'!$A$7:$S$106,16,FALSE),0),"n.a."))</f>
        <v>0</v>
      </c>
      <c r="S121" s="1">
        <f>IF(NOT(Paths!$C$17=1),0,IF(Paths!$P$17="Complete",IF(C121=0,0,Paths!$S$17*Paths!$R$17),"n.a."))</f>
        <v>45000</v>
      </c>
      <c r="T121" s="1">
        <f>IF(NOT(Paths!$C$17=1),0,IF(Paths!$P$17="Complete",IF(C121=0,0,VLOOKUP(A121,'Fleet register'!$A$7:$S$106,9,FALSE)*Paths!$R$17),"n.a."))</f>
        <v>7200</v>
      </c>
    </row>
    <row r="122" spans="1:20" ht="24" customHeight="1">
      <c r="A122" s="1" t="str">
        <f>Paths!$A$17</f>
        <v>T003</v>
      </c>
      <c r="B122" s="1">
        <f>Paths!$B$17</f>
        <v>2</v>
      </c>
      <c r="C122" s="1">
        <v>5</v>
      </c>
      <c r="D122" s="1">
        <v>17</v>
      </c>
      <c r="E122" s="1">
        <f>IF(OR(Paths!$C$17=0,C122=0),0,MAX(0,MIN(C122*12,Paths!$E$17)-(C122-1)*12))</f>
        <v>0</v>
      </c>
      <c r="F122" s="1">
        <f>IF(OR(Paths!$C$17=0,C122=0),0,12-E122)</f>
        <v>12</v>
      </c>
      <c r="G122" s="16">
        <f>IF(NOT(Paths!$C$17=1),0,IF(Paths!$P$17="Complete",E122/12*(Paths!$J$17*(1+'Operating costs'!$B$51)^MAX(0,C122-1)+Paths!$K$17*(1+'Operating costs'!$B$53)^MAX(0,C122-1)),"n.a."))</f>
        <v>0</v>
      </c>
      <c r="H122" s="16">
        <f>IF(NOT(Paths!$C$17=1),0,IF(Paths!$P$17="Complete",F122/12*(Paths!$L$17*(1+IF(Paths!$D$17="EV",'Operating costs'!$B$52,'Operating costs'!$B$51))^MAX(0,C122-1)+Paths!$M$17*(1+'Operating costs'!$B$53)^MAX(0,C122-1)),"n.a."))</f>
        <v>18151.349999999999</v>
      </c>
      <c r="I122" s="16">
        <f>IF(NOT(Paths!$C$17=1),0,IF(Paths!$P$17="Complete",IF(IF(Paths!$E$17=0,C122=0,AND(C122&gt;0,Paths!$E$17&gt;(C122-1)*12,Paths!$E$17&lt;=C122*12)),Paths!$G$17,0),"n.a."))</f>
        <v>0</v>
      </c>
      <c r="J122" s="16">
        <f>IF(NOT(Paths!$C$17=1),0,IF(Paths!$P$17="Complete",IF(IF(Paths!$E$17=0,C122=0,AND(C122&gt;0,Paths!$E$17&gt;(C122-1)*12,Paths!$E$17&lt;=C122*12)),Paths!$H$17,0),"n.a."))</f>
        <v>0</v>
      </c>
      <c r="K122" s="16">
        <f>IF(NOT(Paths!$C$17=1),0,IF(Paths!$P$17="Complete",IF(IF(Paths!$O$17=0,C122=0,AND(C122&gt;0,Paths!$O$17&gt;(C122-1)*12,Paths!$O$17&lt;=C122*12)),Paths!$N$17,0),"n.a."))</f>
        <v>0</v>
      </c>
      <c r="L122" s="16">
        <f>IF(NOT(Paths!$C$17=1),0,IF(Paths!$P$17="Complete",IF(C122=10,Paths!$I$17,0),"n.a."))</f>
        <v>0</v>
      </c>
      <c r="M122" s="16">
        <f>IF(NOT(Paths!$C$17=1),0,IF(Paths!$P$17="Complete",IF(AND(Paths!$D$17="EV",Paths!$E$17&lt;120,Paths!$E$17+'Operating costs'!$B$65&gt;Paths!$E$17,Paths!$E$17+'Operating costs'!$B$65&lt;=120,IF(Paths!$E$17+'Operating costs'!$B$65=0,C122=0,AND(C122&gt;0,Paths!$E$17+'Operating costs'!$B$65&gt;(C122-1)*12,Paths!$E$17+'Operating costs'!$B$65&lt;=C122*12))),'Operating costs'!$B$64,0)+IF(AND('Operating costs'!$B$67&gt;0,'Operating costs'!$B$67&lt;=120,OR(Paths!$D$17="ICE",'Operating costs'!$B$67&lt;=Paths!$E$17),IF('Operating costs'!$B$67=0,C122=0,AND(C122&gt;0,'Operating costs'!$B$67&gt;(C122-1)*12,'Operating costs'!$B$67&lt;=C122*12))),'Operating costs'!$B$66,0),"n.a."))</f>
        <v>0</v>
      </c>
      <c r="N122" s="16">
        <f>IF(NOT(Paths!$C$17=1),0,IF(Paths!$P$17="Complete",SUM(G122:I122)-J122-K122-L122+M122+IF(C122=0,Paths!$F$17,0)+IF(IF(Paths!$E$17=0,C122=0,AND(C122&gt;0,Paths!$E$17&gt;(C122-1)*12,Paths!$E$17&lt;=C122*12)),VLOOKUP(A122,'Fleet register'!$A$7:$S$106,16,FALSE),0),"n.a."))</f>
        <v>18151.349999999999</v>
      </c>
      <c r="O122" s="16">
        <f>IF(NOT(Paths!$C$17=1),0,IF(Paths!$P$17="Complete",N122-IF(C122=0,Paths!$F$17,0),"n.a."))</f>
        <v>18151.349999999999</v>
      </c>
      <c r="P122" s="16">
        <f>IF(NOT(Paths!$C$17=1),0,IF(Paths!$P$17="Complete",O122+L122,"n.a."))</f>
        <v>18151.349999999999</v>
      </c>
      <c r="Q122" s="16">
        <f>IF(NOT(Paths!$C$17=1),0,IF(Paths!$P$17="Complete",N122*(1+'Operating costs'!$B$54)^-C122,"n.a."))</f>
        <v>18151.349999999999</v>
      </c>
      <c r="R122" s="16">
        <f>IF(NOT(Paths!$C$17=1),0,IF(Paths!$P$17="Complete",IF(AND(C122=0,Paths!$E$17=0),I122-J122-K122+VLOOKUP(A122,'Fleet register'!$A$7:$S$106,15,FALSE)+VLOOKUP(A122,'Fleet register'!$A$7:$S$106,16,FALSE),0),"n.a."))</f>
        <v>0</v>
      </c>
      <c r="S122" s="1">
        <f>IF(NOT(Paths!$C$17=1),0,IF(Paths!$P$17="Complete",IF(C122=0,0,Paths!$S$17*Paths!$R$17),"n.a."))</f>
        <v>45000</v>
      </c>
      <c r="T122" s="1">
        <f>IF(NOT(Paths!$C$17=1),0,IF(Paths!$P$17="Complete",IF(C122=0,0,VLOOKUP(A122,'Fleet register'!$A$7:$S$106,9,FALSE)*Paths!$R$17),"n.a."))</f>
        <v>7200</v>
      </c>
    </row>
    <row r="123" spans="1:20" ht="24" customHeight="1">
      <c r="A123" s="1" t="str">
        <f>Paths!$A$17</f>
        <v>T003</v>
      </c>
      <c r="B123" s="1">
        <f>Paths!$B$17</f>
        <v>2</v>
      </c>
      <c r="C123" s="1">
        <v>6</v>
      </c>
      <c r="D123" s="1">
        <v>17</v>
      </c>
      <c r="E123" s="1">
        <f>IF(OR(Paths!$C$17=0,C123=0),0,MAX(0,MIN(C123*12,Paths!$E$17)-(C123-1)*12))</f>
        <v>0</v>
      </c>
      <c r="F123" s="1">
        <f>IF(OR(Paths!$C$17=0,C123=0),0,12-E123)</f>
        <v>12</v>
      </c>
      <c r="G123" s="16">
        <f>IF(NOT(Paths!$C$17=1),0,IF(Paths!$P$17="Complete",E123/12*(Paths!$J$17*(1+'Operating costs'!$B$51)^MAX(0,C123-1)+Paths!$K$17*(1+'Operating costs'!$B$53)^MAX(0,C123-1)),"n.a."))</f>
        <v>0</v>
      </c>
      <c r="H123" s="16">
        <f>IF(NOT(Paths!$C$17=1),0,IF(Paths!$P$17="Complete",F123/12*(Paths!$L$17*(1+IF(Paths!$D$17="EV",'Operating costs'!$B$52,'Operating costs'!$B$51))^MAX(0,C123-1)+Paths!$M$17*(1+'Operating costs'!$B$53)^MAX(0,C123-1)),"n.a."))</f>
        <v>18151.349999999999</v>
      </c>
      <c r="I123" s="16">
        <f>IF(NOT(Paths!$C$17=1),0,IF(Paths!$P$17="Complete",IF(IF(Paths!$E$17=0,C123=0,AND(C123&gt;0,Paths!$E$17&gt;(C123-1)*12,Paths!$E$17&lt;=C123*12)),Paths!$G$17,0),"n.a."))</f>
        <v>0</v>
      </c>
      <c r="J123" s="16">
        <f>IF(NOT(Paths!$C$17=1),0,IF(Paths!$P$17="Complete",IF(IF(Paths!$E$17=0,C123=0,AND(C123&gt;0,Paths!$E$17&gt;(C123-1)*12,Paths!$E$17&lt;=C123*12)),Paths!$H$17,0),"n.a."))</f>
        <v>0</v>
      </c>
      <c r="K123" s="16">
        <f>IF(NOT(Paths!$C$17=1),0,IF(Paths!$P$17="Complete",IF(IF(Paths!$O$17=0,C123=0,AND(C123&gt;0,Paths!$O$17&gt;(C123-1)*12,Paths!$O$17&lt;=C123*12)),Paths!$N$17,0),"n.a."))</f>
        <v>0</v>
      </c>
      <c r="L123" s="16">
        <f>IF(NOT(Paths!$C$17=1),0,IF(Paths!$P$17="Complete",IF(C123=10,Paths!$I$17,0),"n.a."))</f>
        <v>0</v>
      </c>
      <c r="M123" s="16">
        <f>IF(NOT(Paths!$C$17=1),0,IF(Paths!$P$17="Complete",IF(AND(Paths!$D$17="EV",Paths!$E$17&lt;120,Paths!$E$17+'Operating costs'!$B$65&gt;Paths!$E$17,Paths!$E$17+'Operating costs'!$B$65&lt;=120,IF(Paths!$E$17+'Operating costs'!$B$65=0,C123=0,AND(C123&gt;0,Paths!$E$17+'Operating costs'!$B$65&gt;(C123-1)*12,Paths!$E$17+'Operating costs'!$B$65&lt;=C123*12))),'Operating costs'!$B$64,0)+IF(AND('Operating costs'!$B$67&gt;0,'Operating costs'!$B$67&lt;=120,OR(Paths!$D$17="ICE",'Operating costs'!$B$67&lt;=Paths!$E$17),IF('Operating costs'!$B$67=0,C123=0,AND(C123&gt;0,'Operating costs'!$B$67&gt;(C123-1)*12,'Operating costs'!$B$67&lt;=C123*12))),'Operating costs'!$B$66,0),"n.a."))</f>
        <v>0</v>
      </c>
      <c r="N123" s="16">
        <f>IF(NOT(Paths!$C$17=1),0,IF(Paths!$P$17="Complete",SUM(G123:I123)-J123-K123-L123+M123+IF(C123=0,Paths!$F$17,0)+IF(IF(Paths!$E$17=0,C123=0,AND(C123&gt;0,Paths!$E$17&gt;(C123-1)*12,Paths!$E$17&lt;=C123*12)),VLOOKUP(A123,'Fleet register'!$A$7:$S$106,16,FALSE),0),"n.a."))</f>
        <v>18151.349999999999</v>
      </c>
      <c r="O123" s="16">
        <f>IF(NOT(Paths!$C$17=1),0,IF(Paths!$P$17="Complete",N123-IF(C123=0,Paths!$F$17,0),"n.a."))</f>
        <v>18151.349999999999</v>
      </c>
      <c r="P123" s="16">
        <f>IF(NOT(Paths!$C$17=1),0,IF(Paths!$P$17="Complete",O123+L123,"n.a."))</f>
        <v>18151.349999999999</v>
      </c>
      <c r="Q123" s="16">
        <f>IF(NOT(Paths!$C$17=1),0,IF(Paths!$P$17="Complete",N123*(1+'Operating costs'!$B$54)^-C123,"n.a."))</f>
        <v>18151.349999999999</v>
      </c>
      <c r="R123" s="16">
        <f>IF(NOT(Paths!$C$17=1),0,IF(Paths!$P$17="Complete",IF(AND(C123=0,Paths!$E$17=0),I123-J123-K123+VLOOKUP(A123,'Fleet register'!$A$7:$S$106,15,FALSE)+VLOOKUP(A123,'Fleet register'!$A$7:$S$106,16,FALSE),0),"n.a."))</f>
        <v>0</v>
      </c>
      <c r="S123" s="1">
        <f>IF(NOT(Paths!$C$17=1),0,IF(Paths!$P$17="Complete",IF(C123=0,0,Paths!$S$17*Paths!$R$17),"n.a."))</f>
        <v>45000</v>
      </c>
      <c r="T123" s="1">
        <f>IF(NOT(Paths!$C$17=1),0,IF(Paths!$P$17="Complete",IF(C123=0,0,VLOOKUP(A123,'Fleet register'!$A$7:$S$106,9,FALSE)*Paths!$R$17),"n.a."))</f>
        <v>7200</v>
      </c>
    </row>
    <row r="124" spans="1:20" ht="24" customHeight="1">
      <c r="A124" s="1" t="str">
        <f>Paths!$A$17</f>
        <v>T003</v>
      </c>
      <c r="B124" s="1">
        <f>Paths!$B$17</f>
        <v>2</v>
      </c>
      <c r="C124" s="1">
        <v>7</v>
      </c>
      <c r="D124" s="1">
        <v>17</v>
      </c>
      <c r="E124" s="1">
        <f>IF(OR(Paths!$C$17=0,C124=0),0,MAX(0,MIN(C124*12,Paths!$E$17)-(C124-1)*12))</f>
        <v>0</v>
      </c>
      <c r="F124" s="1">
        <f>IF(OR(Paths!$C$17=0,C124=0),0,12-E124)</f>
        <v>12</v>
      </c>
      <c r="G124" s="16">
        <f>IF(NOT(Paths!$C$17=1),0,IF(Paths!$P$17="Complete",E124/12*(Paths!$J$17*(1+'Operating costs'!$B$51)^MAX(0,C124-1)+Paths!$K$17*(1+'Operating costs'!$B$53)^MAX(0,C124-1)),"n.a."))</f>
        <v>0</v>
      </c>
      <c r="H124" s="16">
        <f>IF(NOT(Paths!$C$17=1),0,IF(Paths!$P$17="Complete",F124/12*(Paths!$L$17*(1+IF(Paths!$D$17="EV",'Operating costs'!$B$52,'Operating costs'!$B$51))^MAX(0,C124-1)+Paths!$M$17*(1+'Operating costs'!$B$53)^MAX(0,C124-1)),"n.a."))</f>
        <v>18151.349999999999</v>
      </c>
      <c r="I124" s="16">
        <f>IF(NOT(Paths!$C$17=1),0,IF(Paths!$P$17="Complete",IF(IF(Paths!$E$17=0,C124=0,AND(C124&gt;0,Paths!$E$17&gt;(C124-1)*12,Paths!$E$17&lt;=C124*12)),Paths!$G$17,0),"n.a."))</f>
        <v>0</v>
      </c>
      <c r="J124" s="16">
        <f>IF(NOT(Paths!$C$17=1),0,IF(Paths!$P$17="Complete",IF(IF(Paths!$E$17=0,C124=0,AND(C124&gt;0,Paths!$E$17&gt;(C124-1)*12,Paths!$E$17&lt;=C124*12)),Paths!$H$17,0),"n.a."))</f>
        <v>0</v>
      </c>
      <c r="K124" s="16">
        <f>IF(NOT(Paths!$C$17=1),0,IF(Paths!$P$17="Complete",IF(IF(Paths!$O$17=0,C124=0,AND(C124&gt;0,Paths!$O$17&gt;(C124-1)*12,Paths!$O$17&lt;=C124*12)),Paths!$N$17,0),"n.a."))</f>
        <v>0</v>
      </c>
      <c r="L124" s="16">
        <f>IF(NOT(Paths!$C$17=1),0,IF(Paths!$P$17="Complete",IF(C124=10,Paths!$I$17,0),"n.a."))</f>
        <v>0</v>
      </c>
      <c r="M124" s="16">
        <f>IF(NOT(Paths!$C$17=1),0,IF(Paths!$P$17="Complete",IF(AND(Paths!$D$17="EV",Paths!$E$17&lt;120,Paths!$E$17+'Operating costs'!$B$65&gt;Paths!$E$17,Paths!$E$17+'Operating costs'!$B$65&lt;=120,IF(Paths!$E$17+'Operating costs'!$B$65=0,C124=0,AND(C124&gt;0,Paths!$E$17+'Operating costs'!$B$65&gt;(C124-1)*12,Paths!$E$17+'Operating costs'!$B$65&lt;=C124*12))),'Operating costs'!$B$64,0)+IF(AND('Operating costs'!$B$67&gt;0,'Operating costs'!$B$67&lt;=120,OR(Paths!$D$17="ICE",'Operating costs'!$B$67&lt;=Paths!$E$17),IF('Operating costs'!$B$67=0,C124=0,AND(C124&gt;0,'Operating costs'!$B$67&gt;(C124-1)*12,'Operating costs'!$B$67&lt;=C124*12))),'Operating costs'!$B$66,0),"n.a."))</f>
        <v>0</v>
      </c>
      <c r="N124" s="16">
        <f>IF(NOT(Paths!$C$17=1),0,IF(Paths!$P$17="Complete",SUM(G124:I124)-J124-K124-L124+M124+IF(C124=0,Paths!$F$17,0)+IF(IF(Paths!$E$17=0,C124=0,AND(C124&gt;0,Paths!$E$17&gt;(C124-1)*12,Paths!$E$17&lt;=C124*12)),VLOOKUP(A124,'Fleet register'!$A$7:$S$106,16,FALSE),0),"n.a."))</f>
        <v>18151.349999999999</v>
      </c>
      <c r="O124" s="16">
        <f>IF(NOT(Paths!$C$17=1),0,IF(Paths!$P$17="Complete",N124-IF(C124=0,Paths!$F$17,0),"n.a."))</f>
        <v>18151.349999999999</v>
      </c>
      <c r="P124" s="16">
        <f>IF(NOT(Paths!$C$17=1),0,IF(Paths!$P$17="Complete",O124+L124,"n.a."))</f>
        <v>18151.349999999999</v>
      </c>
      <c r="Q124" s="16">
        <f>IF(NOT(Paths!$C$17=1),0,IF(Paths!$P$17="Complete",N124*(1+'Operating costs'!$B$54)^-C124,"n.a."))</f>
        <v>18151.349999999999</v>
      </c>
      <c r="R124" s="16">
        <f>IF(NOT(Paths!$C$17=1),0,IF(Paths!$P$17="Complete",IF(AND(C124=0,Paths!$E$17=0),I124-J124-K124+VLOOKUP(A124,'Fleet register'!$A$7:$S$106,15,FALSE)+VLOOKUP(A124,'Fleet register'!$A$7:$S$106,16,FALSE),0),"n.a."))</f>
        <v>0</v>
      </c>
      <c r="S124" s="1">
        <f>IF(NOT(Paths!$C$17=1),0,IF(Paths!$P$17="Complete",IF(C124=0,0,Paths!$S$17*Paths!$R$17),"n.a."))</f>
        <v>45000</v>
      </c>
      <c r="T124" s="1">
        <f>IF(NOT(Paths!$C$17=1),0,IF(Paths!$P$17="Complete",IF(C124=0,0,VLOOKUP(A124,'Fleet register'!$A$7:$S$106,9,FALSE)*Paths!$R$17),"n.a."))</f>
        <v>7200</v>
      </c>
    </row>
    <row r="125" spans="1:20" ht="24" customHeight="1">
      <c r="A125" s="1" t="str">
        <f>Paths!$A$17</f>
        <v>T003</v>
      </c>
      <c r="B125" s="1">
        <f>Paths!$B$17</f>
        <v>2</v>
      </c>
      <c r="C125" s="1">
        <v>8</v>
      </c>
      <c r="D125" s="1">
        <v>17</v>
      </c>
      <c r="E125" s="1">
        <f>IF(OR(Paths!$C$17=0,C125=0),0,MAX(0,MIN(C125*12,Paths!$E$17)-(C125-1)*12))</f>
        <v>0</v>
      </c>
      <c r="F125" s="1">
        <f>IF(OR(Paths!$C$17=0,C125=0),0,12-E125)</f>
        <v>12</v>
      </c>
      <c r="G125" s="16">
        <f>IF(NOT(Paths!$C$17=1),0,IF(Paths!$P$17="Complete",E125/12*(Paths!$J$17*(1+'Operating costs'!$B$51)^MAX(0,C125-1)+Paths!$K$17*(1+'Operating costs'!$B$53)^MAX(0,C125-1)),"n.a."))</f>
        <v>0</v>
      </c>
      <c r="H125" s="16">
        <f>IF(NOT(Paths!$C$17=1),0,IF(Paths!$P$17="Complete",F125/12*(Paths!$L$17*(1+IF(Paths!$D$17="EV",'Operating costs'!$B$52,'Operating costs'!$B$51))^MAX(0,C125-1)+Paths!$M$17*(1+'Operating costs'!$B$53)^MAX(0,C125-1)),"n.a."))</f>
        <v>18151.349999999999</v>
      </c>
      <c r="I125" s="16">
        <f>IF(NOT(Paths!$C$17=1),0,IF(Paths!$P$17="Complete",IF(IF(Paths!$E$17=0,C125=0,AND(C125&gt;0,Paths!$E$17&gt;(C125-1)*12,Paths!$E$17&lt;=C125*12)),Paths!$G$17,0),"n.a."))</f>
        <v>0</v>
      </c>
      <c r="J125" s="16">
        <f>IF(NOT(Paths!$C$17=1),0,IF(Paths!$P$17="Complete",IF(IF(Paths!$E$17=0,C125=0,AND(C125&gt;0,Paths!$E$17&gt;(C125-1)*12,Paths!$E$17&lt;=C125*12)),Paths!$H$17,0),"n.a."))</f>
        <v>0</v>
      </c>
      <c r="K125" s="16">
        <f>IF(NOT(Paths!$C$17=1),0,IF(Paths!$P$17="Complete",IF(IF(Paths!$O$17=0,C125=0,AND(C125&gt;0,Paths!$O$17&gt;(C125-1)*12,Paths!$O$17&lt;=C125*12)),Paths!$N$17,0),"n.a."))</f>
        <v>0</v>
      </c>
      <c r="L125" s="16">
        <f>IF(NOT(Paths!$C$17=1),0,IF(Paths!$P$17="Complete",IF(C125=10,Paths!$I$17,0),"n.a."))</f>
        <v>0</v>
      </c>
      <c r="M125" s="16">
        <f>IF(NOT(Paths!$C$17=1),0,IF(Paths!$P$17="Complete",IF(AND(Paths!$D$17="EV",Paths!$E$17&lt;120,Paths!$E$17+'Operating costs'!$B$65&gt;Paths!$E$17,Paths!$E$17+'Operating costs'!$B$65&lt;=120,IF(Paths!$E$17+'Operating costs'!$B$65=0,C125=0,AND(C125&gt;0,Paths!$E$17+'Operating costs'!$B$65&gt;(C125-1)*12,Paths!$E$17+'Operating costs'!$B$65&lt;=C125*12))),'Operating costs'!$B$64,0)+IF(AND('Operating costs'!$B$67&gt;0,'Operating costs'!$B$67&lt;=120,OR(Paths!$D$17="ICE",'Operating costs'!$B$67&lt;=Paths!$E$17),IF('Operating costs'!$B$67=0,C125=0,AND(C125&gt;0,'Operating costs'!$B$67&gt;(C125-1)*12,'Operating costs'!$B$67&lt;=C125*12))),'Operating costs'!$B$66,0),"n.a."))</f>
        <v>0</v>
      </c>
      <c r="N125" s="16">
        <f>IF(NOT(Paths!$C$17=1),0,IF(Paths!$P$17="Complete",SUM(G125:I125)-J125-K125-L125+M125+IF(C125=0,Paths!$F$17,0)+IF(IF(Paths!$E$17=0,C125=0,AND(C125&gt;0,Paths!$E$17&gt;(C125-1)*12,Paths!$E$17&lt;=C125*12)),VLOOKUP(A125,'Fleet register'!$A$7:$S$106,16,FALSE),0),"n.a."))</f>
        <v>18151.349999999999</v>
      </c>
      <c r="O125" s="16">
        <f>IF(NOT(Paths!$C$17=1),0,IF(Paths!$P$17="Complete",N125-IF(C125=0,Paths!$F$17,0),"n.a."))</f>
        <v>18151.349999999999</v>
      </c>
      <c r="P125" s="16">
        <f>IF(NOT(Paths!$C$17=1),0,IF(Paths!$P$17="Complete",O125+L125,"n.a."))</f>
        <v>18151.349999999999</v>
      </c>
      <c r="Q125" s="16">
        <f>IF(NOT(Paths!$C$17=1),0,IF(Paths!$P$17="Complete",N125*(1+'Operating costs'!$B$54)^-C125,"n.a."))</f>
        <v>18151.349999999999</v>
      </c>
      <c r="R125" s="16">
        <f>IF(NOT(Paths!$C$17=1),0,IF(Paths!$P$17="Complete",IF(AND(C125=0,Paths!$E$17=0),I125-J125-K125+VLOOKUP(A125,'Fleet register'!$A$7:$S$106,15,FALSE)+VLOOKUP(A125,'Fleet register'!$A$7:$S$106,16,FALSE),0),"n.a."))</f>
        <v>0</v>
      </c>
      <c r="S125" s="1">
        <f>IF(NOT(Paths!$C$17=1),0,IF(Paths!$P$17="Complete",IF(C125=0,0,Paths!$S$17*Paths!$R$17),"n.a."))</f>
        <v>45000</v>
      </c>
      <c r="T125" s="1">
        <f>IF(NOT(Paths!$C$17=1),0,IF(Paths!$P$17="Complete",IF(C125=0,0,VLOOKUP(A125,'Fleet register'!$A$7:$S$106,9,FALSE)*Paths!$R$17),"n.a."))</f>
        <v>7200</v>
      </c>
    </row>
    <row r="126" spans="1:20" ht="24" customHeight="1">
      <c r="A126" s="1" t="str">
        <f>Paths!$A$17</f>
        <v>T003</v>
      </c>
      <c r="B126" s="1">
        <f>Paths!$B$17</f>
        <v>2</v>
      </c>
      <c r="C126" s="1">
        <v>9</v>
      </c>
      <c r="D126" s="1">
        <v>17</v>
      </c>
      <c r="E126" s="1">
        <f>IF(OR(Paths!$C$17=0,C126=0),0,MAX(0,MIN(C126*12,Paths!$E$17)-(C126-1)*12))</f>
        <v>0</v>
      </c>
      <c r="F126" s="1">
        <f>IF(OR(Paths!$C$17=0,C126=0),0,12-E126)</f>
        <v>12</v>
      </c>
      <c r="G126" s="16">
        <f>IF(NOT(Paths!$C$17=1),0,IF(Paths!$P$17="Complete",E126/12*(Paths!$J$17*(1+'Operating costs'!$B$51)^MAX(0,C126-1)+Paths!$K$17*(1+'Operating costs'!$B$53)^MAX(0,C126-1)),"n.a."))</f>
        <v>0</v>
      </c>
      <c r="H126" s="16">
        <f>IF(NOT(Paths!$C$17=1),0,IF(Paths!$P$17="Complete",F126/12*(Paths!$L$17*(1+IF(Paths!$D$17="EV",'Operating costs'!$B$52,'Operating costs'!$B$51))^MAX(0,C126-1)+Paths!$M$17*(1+'Operating costs'!$B$53)^MAX(0,C126-1)),"n.a."))</f>
        <v>18151.349999999999</v>
      </c>
      <c r="I126" s="16">
        <f>IF(NOT(Paths!$C$17=1),0,IF(Paths!$P$17="Complete",IF(IF(Paths!$E$17=0,C126=0,AND(C126&gt;0,Paths!$E$17&gt;(C126-1)*12,Paths!$E$17&lt;=C126*12)),Paths!$G$17,0),"n.a."))</f>
        <v>0</v>
      </c>
      <c r="J126" s="16">
        <f>IF(NOT(Paths!$C$17=1),0,IF(Paths!$P$17="Complete",IF(IF(Paths!$E$17=0,C126=0,AND(C126&gt;0,Paths!$E$17&gt;(C126-1)*12,Paths!$E$17&lt;=C126*12)),Paths!$H$17,0),"n.a."))</f>
        <v>0</v>
      </c>
      <c r="K126" s="16">
        <f>IF(NOT(Paths!$C$17=1),0,IF(Paths!$P$17="Complete",IF(IF(Paths!$O$17=0,C126=0,AND(C126&gt;0,Paths!$O$17&gt;(C126-1)*12,Paths!$O$17&lt;=C126*12)),Paths!$N$17,0),"n.a."))</f>
        <v>0</v>
      </c>
      <c r="L126" s="16">
        <f>IF(NOT(Paths!$C$17=1),0,IF(Paths!$P$17="Complete",IF(C126=10,Paths!$I$17,0),"n.a."))</f>
        <v>0</v>
      </c>
      <c r="M126" s="16">
        <f>IF(NOT(Paths!$C$17=1),0,IF(Paths!$P$17="Complete",IF(AND(Paths!$D$17="EV",Paths!$E$17&lt;120,Paths!$E$17+'Operating costs'!$B$65&gt;Paths!$E$17,Paths!$E$17+'Operating costs'!$B$65&lt;=120,IF(Paths!$E$17+'Operating costs'!$B$65=0,C126=0,AND(C126&gt;0,Paths!$E$17+'Operating costs'!$B$65&gt;(C126-1)*12,Paths!$E$17+'Operating costs'!$B$65&lt;=C126*12))),'Operating costs'!$B$64,0)+IF(AND('Operating costs'!$B$67&gt;0,'Operating costs'!$B$67&lt;=120,OR(Paths!$D$17="ICE",'Operating costs'!$B$67&lt;=Paths!$E$17),IF('Operating costs'!$B$67=0,C126=0,AND(C126&gt;0,'Operating costs'!$B$67&gt;(C126-1)*12,'Operating costs'!$B$67&lt;=C126*12))),'Operating costs'!$B$66,0),"n.a."))</f>
        <v>0</v>
      </c>
      <c r="N126" s="16">
        <f>IF(NOT(Paths!$C$17=1),0,IF(Paths!$P$17="Complete",SUM(G126:I126)-J126-K126-L126+M126+IF(C126=0,Paths!$F$17,0)+IF(IF(Paths!$E$17=0,C126=0,AND(C126&gt;0,Paths!$E$17&gt;(C126-1)*12,Paths!$E$17&lt;=C126*12)),VLOOKUP(A126,'Fleet register'!$A$7:$S$106,16,FALSE),0),"n.a."))</f>
        <v>18151.349999999999</v>
      </c>
      <c r="O126" s="16">
        <f>IF(NOT(Paths!$C$17=1),0,IF(Paths!$P$17="Complete",N126-IF(C126=0,Paths!$F$17,0),"n.a."))</f>
        <v>18151.349999999999</v>
      </c>
      <c r="P126" s="16">
        <f>IF(NOT(Paths!$C$17=1),0,IF(Paths!$P$17="Complete",O126+L126,"n.a."))</f>
        <v>18151.349999999999</v>
      </c>
      <c r="Q126" s="16">
        <f>IF(NOT(Paths!$C$17=1),0,IF(Paths!$P$17="Complete",N126*(1+'Operating costs'!$B$54)^-C126,"n.a."))</f>
        <v>18151.349999999999</v>
      </c>
      <c r="R126" s="16">
        <f>IF(NOT(Paths!$C$17=1),0,IF(Paths!$P$17="Complete",IF(AND(C126=0,Paths!$E$17=0),I126-J126-K126+VLOOKUP(A126,'Fleet register'!$A$7:$S$106,15,FALSE)+VLOOKUP(A126,'Fleet register'!$A$7:$S$106,16,FALSE),0),"n.a."))</f>
        <v>0</v>
      </c>
      <c r="S126" s="1">
        <f>IF(NOT(Paths!$C$17=1),0,IF(Paths!$P$17="Complete",IF(C126=0,0,Paths!$S$17*Paths!$R$17),"n.a."))</f>
        <v>45000</v>
      </c>
      <c r="T126" s="1">
        <f>IF(NOT(Paths!$C$17=1),0,IF(Paths!$P$17="Complete",IF(C126=0,0,VLOOKUP(A126,'Fleet register'!$A$7:$S$106,9,FALSE)*Paths!$R$17),"n.a."))</f>
        <v>7200</v>
      </c>
    </row>
    <row r="127" spans="1:20" ht="24" customHeight="1">
      <c r="A127" s="1" t="str">
        <f>Paths!$A$17</f>
        <v>T003</v>
      </c>
      <c r="B127" s="1">
        <f>Paths!$B$17</f>
        <v>2</v>
      </c>
      <c r="C127" s="1">
        <v>10</v>
      </c>
      <c r="D127" s="1">
        <v>17</v>
      </c>
      <c r="E127" s="1">
        <f>IF(OR(Paths!$C$17=0,C127=0),0,MAX(0,MIN(C127*12,Paths!$E$17)-(C127-1)*12))</f>
        <v>0</v>
      </c>
      <c r="F127" s="1">
        <f>IF(OR(Paths!$C$17=0,C127=0),0,12-E127)</f>
        <v>12</v>
      </c>
      <c r="G127" s="16">
        <f>IF(NOT(Paths!$C$17=1),0,IF(Paths!$P$17="Complete",E127/12*(Paths!$J$17*(1+'Operating costs'!$B$51)^MAX(0,C127-1)+Paths!$K$17*(1+'Operating costs'!$B$53)^MAX(0,C127-1)),"n.a."))</f>
        <v>0</v>
      </c>
      <c r="H127" s="16">
        <f>IF(NOT(Paths!$C$17=1),0,IF(Paths!$P$17="Complete",F127/12*(Paths!$L$17*(1+IF(Paths!$D$17="EV",'Operating costs'!$B$52,'Operating costs'!$B$51))^MAX(0,C127-1)+Paths!$M$17*(1+'Operating costs'!$B$53)^MAX(0,C127-1)),"n.a."))</f>
        <v>18151.349999999999</v>
      </c>
      <c r="I127" s="16">
        <f>IF(NOT(Paths!$C$17=1),0,IF(Paths!$P$17="Complete",IF(IF(Paths!$E$17=0,C127=0,AND(C127&gt;0,Paths!$E$17&gt;(C127-1)*12,Paths!$E$17&lt;=C127*12)),Paths!$G$17,0),"n.a."))</f>
        <v>0</v>
      </c>
      <c r="J127" s="16">
        <f>IF(NOT(Paths!$C$17=1),0,IF(Paths!$P$17="Complete",IF(IF(Paths!$E$17=0,C127=0,AND(C127&gt;0,Paths!$E$17&gt;(C127-1)*12,Paths!$E$17&lt;=C127*12)),Paths!$H$17,0),"n.a."))</f>
        <v>0</v>
      </c>
      <c r="K127" s="16">
        <f>IF(NOT(Paths!$C$17=1),0,IF(Paths!$P$17="Complete",IF(IF(Paths!$O$17=0,C127=0,AND(C127&gt;0,Paths!$O$17&gt;(C127-1)*12,Paths!$O$17&lt;=C127*12)),Paths!$N$17,0),"n.a."))</f>
        <v>0</v>
      </c>
      <c r="L127" s="16">
        <f>IF(NOT(Paths!$C$17=1),0,IF(Paths!$P$17="Complete",IF(C127=10,Paths!$I$17,0),"n.a."))</f>
        <v>39900</v>
      </c>
      <c r="M127" s="16">
        <f>IF(NOT(Paths!$C$17=1),0,IF(Paths!$P$17="Complete",IF(AND(Paths!$D$17="EV",Paths!$E$17&lt;120,Paths!$E$17+'Operating costs'!$B$65&gt;Paths!$E$17,Paths!$E$17+'Operating costs'!$B$65&lt;=120,IF(Paths!$E$17+'Operating costs'!$B$65=0,C127=0,AND(C127&gt;0,Paths!$E$17+'Operating costs'!$B$65&gt;(C127-1)*12,Paths!$E$17+'Operating costs'!$B$65&lt;=C127*12))),'Operating costs'!$B$64,0)+IF(AND('Operating costs'!$B$67&gt;0,'Operating costs'!$B$67&lt;=120,OR(Paths!$D$17="ICE",'Operating costs'!$B$67&lt;=Paths!$E$17),IF('Operating costs'!$B$67=0,C127=0,AND(C127&gt;0,'Operating costs'!$B$67&gt;(C127-1)*12,'Operating costs'!$B$67&lt;=C127*12))),'Operating costs'!$B$66,0),"n.a."))</f>
        <v>0</v>
      </c>
      <c r="N127" s="16">
        <f>IF(NOT(Paths!$C$17=1),0,IF(Paths!$P$17="Complete",SUM(G127:I127)-J127-K127-L127+M127+IF(C127=0,Paths!$F$17,0)+IF(IF(Paths!$E$17=0,C127=0,AND(C127&gt;0,Paths!$E$17&gt;(C127-1)*12,Paths!$E$17&lt;=C127*12)),VLOOKUP(A127,'Fleet register'!$A$7:$S$106,16,FALSE),0),"n.a."))</f>
        <v>-21748.65</v>
      </c>
      <c r="O127" s="16">
        <f>IF(NOT(Paths!$C$17=1),0,IF(Paths!$P$17="Complete",N127-IF(C127=0,Paths!$F$17,0),"n.a."))</f>
        <v>-21748.65</v>
      </c>
      <c r="P127" s="16">
        <f>IF(NOT(Paths!$C$17=1),0,IF(Paths!$P$17="Complete",O127+L127,"n.a."))</f>
        <v>18151.349999999999</v>
      </c>
      <c r="Q127" s="16">
        <f>IF(NOT(Paths!$C$17=1),0,IF(Paths!$P$17="Complete",N127*(1+'Operating costs'!$B$54)^-C127,"n.a."))</f>
        <v>-21748.65</v>
      </c>
      <c r="R127" s="16">
        <f>IF(NOT(Paths!$C$17=1),0,IF(Paths!$P$17="Complete",IF(AND(C127=0,Paths!$E$17=0),I127-J127-K127+VLOOKUP(A127,'Fleet register'!$A$7:$S$106,15,FALSE)+VLOOKUP(A127,'Fleet register'!$A$7:$S$106,16,FALSE),0),"n.a."))</f>
        <v>0</v>
      </c>
      <c r="S127" s="1">
        <f>IF(NOT(Paths!$C$17=1),0,IF(Paths!$P$17="Complete",IF(C127=0,0,Paths!$S$17*Paths!$R$17),"n.a."))</f>
        <v>45000</v>
      </c>
      <c r="T127" s="1">
        <f>IF(NOT(Paths!$C$17=1),0,IF(Paths!$P$17="Complete",IF(C127=0,0,VLOOKUP(A127,'Fleet register'!$A$7:$S$106,9,FALSE)*Paths!$R$17),"n.a."))</f>
        <v>7200</v>
      </c>
    </row>
    <row r="128" spans="1:20" ht="24" customHeight="1">
      <c r="A128" s="1" t="str">
        <f>Paths!$A$18</f>
        <v>T003</v>
      </c>
      <c r="B128" s="1">
        <f>Paths!$B$18</f>
        <v>3</v>
      </c>
      <c r="C128" s="1">
        <v>0</v>
      </c>
      <c r="D128" s="1">
        <v>18</v>
      </c>
      <c r="E128" s="1">
        <f>IF(OR(Paths!$C$18=0,C128=0),0,MAX(0,MIN(C128*12,Paths!$E$18)-(C128-1)*12))</f>
        <v>0</v>
      </c>
      <c r="F128" s="1">
        <f>IF(OR(Paths!$C$18=0,C128=0),0,12-E128)</f>
        <v>0</v>
      </c>
      <c r="G128" s="16">
        <f>IF(NOT(Paths!$C$18=1),0,IF(Paths!$P$18="Complete",E128/12*(Paths!$J$18*(1+'Operating costs'!$B$51)^MAX(0,C128-1)+Paths!$K$18*(1+'Operating costs'!$B$53)^MAX(0,C128-1)),"n.a."))</f>
        <v>0</v>
      </c>
      <c r="H128" s="16">
        <f>IF(NOT(Paths!$C$18=1),0,IF(Paths!$P$18="Complete",F128/12*(Paths!$L$18*(1+IF(Paths!$D$18="EV",'Operating costs'!$B$52,'Operating costs'!$B$51))^MAX(0,C128-1)+Paths!$M$18*(1+'Operating costs'!$B$53)^MAX(0,C128-1)),"n.a."))</f>
        <v>0</v>
      </c>
      <c r="I128" s="16">
        <f>IF(NOT(Paths!$C$18=1),0,IF(Paths!$P$18="Complete",IF(IF(Paths!$E$18=0,C128=0,AND(C128&gt;0,Paths!$E$18&gt;(C128-1)*12,Paths!$E$18&lt;=C128*12)),Paths!$G$18,0),"n.a."))</f>
        <v>171800</v>
      </c>
      <c r="J128" s="16">
        <f>IF(NOT(Paths!$C$18=1),0,IF(Paths!$P$18="Complete",IF(IF(Paths!$E$18=0,C128=0,AND(C128&gt;0,Paths!$E$18&gt;(C128-1)*12,Paths!$E$18&lt;=C128*12)),Paths!$H$18,0),"n.a."))</f>
        <v>36000</v>
      </c>
      <c r="K128" s="16">
        <f>IF(NOT(Paths!$C$18=1),0,IF(Paths!$P$18="Complete",IF(IF(Paths!$O$18=0,C128=0,AND(C128&gt;0,Paths!$O$18&gt;(C128-1)*12,Paths!$O$18&lt;=C128*12)),Paths!$N$18,0),"n.a."))</f>
        <v>0</v>
      </c>
      <c r="L128" s="16">
        <f>IF(NOT(Paths!$C$18=1),0,IF(Paths!$P$18="Complete",IF(C128=10,Paths!$I$18,0),"n.a."))</f>
        <v>0</v>
      </c>
      <c r="M128" s="16">
        <f>IF(NOT(Paths!$C$18=1),0,IF(Paths!$P$18="Complete",IF(AND(Paths!$D$18="EV",Paths!$E$18&lt;120,Paths!$E$18+'Operating costs'!$B$65&gt;Paths!$E$18,Paths!$E$18+'Operating costs'!$B$65&lt;=120,IF(Paths!$E$18+'Operating costs'!$B$65=0,C128=0,AND(C128&gt;0,Paths!$E$18+'Operating costs'!$B$65&gt;(C128-1)*12,Paths!$E$18+'Operating costs'!$B$65&lt;=C128*12))),'Operating costs'!$B$64,0)+IF(AND('Operating costs'!$B$67&gt;0,'Operating costs'!$B$67&lt;=120,OR(Paths!$D$18="ICE",'Operating costs'!$B$67&lt;=Paths!$E$18),IF('Operating costs'!$B$67=0,C128=0,AND(C128&gt;0,'Operating costs'!$B$67&gt;(C128-1)*12,'Operating costs'!$B$67&lt;=C128*12))),'Operating costs'!$B$66,0),"n.a."))</f>
        <v>0</v>
      </c>
      <c r="N128" s="16">
        <f>IF(NOT(Paths!$C$18=1),0,IF(Paths!$P$18="Complete",SUM(G128:I128)-J128-K128-L128+M128+IF(C128=0,Paths!$F$18,0)+IF(IF(Paths!$E$18=0,C128=0,AND(C128&gt;0,Paths!$E$18&gt;(C128-1)*12,Paths!$E$18&lt;=C128*12)),VLOOKUP(A128,'Fleet register'!$A$7:$S$106,16,FALSE),0),"n.a."))</f>
        <v>171800</v>
      </c>
      <c r="O128" s="16">
        <f>IF(NOT(Paths!$C$18=1),0,IF(Paths!$P$18="Complete",N128-IF(C128=0,Paths!$F$18,0),"n.a."))</f>
        <v>135800</v>
      </c>
      <c r="P128" s="16">
        <f>IF(NOT(Paths!$C$18=1),0,IF(Paths!$P$18="Complete",O128+L128,"n.a."))</f>
        <v>135800</v>
      </c>
      <c r="Q128" s="16">
        <f>IF(NOT(Paths!$C$18=1),0,IF(Paths!$P$18="Complete",N128*(1+'Operating costs'!$B$54)^-C128,"n.a."))</f>
        <v>171800</v>
      </c>
      <c r="R128" s="16">
        <f>IF(NOT(Paths!$C$18=1),0,IF(Paths!$P$18="Complete",IF(AND(C128=0,Paths!$E$18=0),I128-J128-K128+VLOOKUP(A128,'Fleet register'!$A$7:$S$106,15,FALSE)+VLOOKUP(A128,'Fleet register'!$A$7:$S$106,16,FALSE),0),"n.a."))</f>
        <v>135800</v>
      </c>
      <c r="S128" s="1">
        <f>IF(NOT(Paths!$C$18=1),0,IF(Paths!$P$18="Complete",IF(C128=0,0,Paths!$S$18*Paths!$R$18),"n.a."))</f>
        <v>0</v>
      </c>
      <c r="T128" s="1">
        <f>IF(NOT(Paths!$C$18=1),0,IF(Paths!$P$18="Complete",IF(C128=0,0,VLOOKUP(A128,'Fleet register'!$A$7:$S$106,9,FALSE)*Paths!$R$18),"n.a."))</f>
        <v>0</v>
      </c>
    </row>
    <row r="129" spans="1:20" ht="24" customHeight="1">
      <c r="A129" s="1" t="str">
        <f>Paths!$A$18</f>
        <v>T003</v>
      </c>
      <c r="B129" s="1">
        <f>Paths!$B$18</f>
        <v>3</v>
      </c>
      <c r="C129" s="1">
        <v>1</v>
      </c>
      <c r="D129" s="1">
        <v>18</v>
      </c>
      <c r="E129" s="1">
        <f>IF(OR(Paths!$C$18=0,C129=0),0,MAX(0,MIN(C129*12,Paths!$E$18)-(C129-1)*12))</f>
        <v>0</v>
      </c>
      <c r="F129" s="1">
        <f>IF(OR(Paths!$C$18=0,C129=0),0,12-E129)</f>
        <v>12</v>
      </c>
      <c r="G129" s="16">
        <f>IF(NOT(Paths!$C$18=1),0,IF(Paths!$P$18="Complete",E129/12*(Paths!$J$18*(1+'Operating costs'!$B$51)^MAX(0,C129-1)+Paths!$K$18*(1+'Operating costs'!$B$53)^MAX(0,C129-1)),"n.a."))</f>
        <v>0</v>
      </c>
      <c r="H129" s="16">
        <f>IF(NOT(Paths!$C$18=1),0,IF(Paths!$P$18="Complete",F129/12*(Paths!$L$18*(1+IF(Paths!$D$18="EV",'Operating costs'!$B$52,'Operating costs'!$B$51))^MAX(0,C129-1)+Paths!$M$18*(1+'Operating costs'!$B$53)^MAX(0,C129-1)),"n.a."))</f>
        <v>15636.851517552668</v>
      </c>
      <c r="I129" s="16">
        <f>IF(NOT(Paths!$C$18=1),0,IF(Paths!$P$18="Complete",IF(IF(Paths!$E$18=0,C129=0,AND(C129&gt;0,Paths!$E$18&gt;(C129-1)*12,Paths!$E$18&lt;=C129*12)),Paths!$G$18,0),"n.a."))</f>
        <v>0</v>
      </c>
      <c r="J129" s="16">
        <f>IF(NOT(Paths!$C$18=1),0,IF(Paths!$P$18="Complete",IF(IF(Paths!$E$18=0,C129=0,AND(C129&gt;0,Paths!$E$18&gt;(C129-1)*12,Paths!$E$18&lt;=C129*12)),Paths!$H$18,0),"n.a."))</f>
        <v>0</v>
      </c>
      <c r="K129" s="16">
        <f>IF(NOT(Paths!$C$18=1),0,IF(Paths!$P$18="Complete",IF(IF(Paths!$O$18=0,C129=0,AND(C129&gt;0,Paths!$O$18&gt;(C129-1)*12,Paths!$O$18&lt;=C129*12)),Paths!$N$18,0),"n.a."))</f>
        <v>0</v>
      </c>
      <c r="L129" s="16">
        <f>IF(NOT(Paths!$C$18=1),0,IF(Paths!$P$18="Complete",IF(C129=10,Paths!$I$18,0),"n.a."))</f>
        <v>0</v>
      </c>
      <c r="M129" s="16">
        <f>IF(NOT(Paths!$C$18=1),0,IF(Paths!$P$18="Complete",IF(AND(Paths!$D$18="EV",Paths!$E$18&lt;120,Paths!$E$18+'Operating costs'!$B$65&gt;Paths!$E$18,Paths!$E$18+'Operating costs'!$B$65&lt;=120,IF(Paths!$E$18+'Operating costs'!$B$65=0,C129=0,AND(C129&gt;0,Paths!$E$18+'Operating costs'!$B$65&gt;(C129-1)*12,Paths!$E$18+'Operating costs'!$B$65&lt;=C129*12))),'Operating costs'!$B$64,0)+IF(AND('Operating costs'!$B$67&gt;0,'Operating costs'!$B$67&lt;=120,OR(Paths!$D$18="ICE",'Operating costs'!$B$67&lt;=Paths!$E$18),IF('Operating costs'!$B$67=0,C129=0,AND(C129&gt;0,'Operating costs'!$B$67&gt;(C129-1)*12,'Operating costs'!$B$67&lt;=C129*12))),'Operating costs'!$B$66,0),"n.a."))</f>
        <v>0</v>
      </c>
      <c r="N129" s="16">
        <f>IF(NOT(Paths!$C$18=1),0,IF(Paths!$P$18="Complete",SUM(G129:I129)-J129-K129-L129+M129+IF(C129=0,Paths!$F$18,0)+IF(IF(Paths!$E$18=0,C129=0,AND(C129&gt;0,Paths!$E$18&gt;(C129-1)*12,Paths!$E$18&lt;=C129*12)),VLOOKUP(A129,'Fleet register'!$A$7:$S$106,16,FALSE),0),"n.a."))</f>
        <v>15636.851517552668</v>
      </c>
      <c r="O129" s="16">
        <f>IF(NOT(Paths!$C$18=1),0,IF(Paths!$P$18="Complete",N129-IF(C129=0,Paths!$F$18,0),"n.a."))</f>
        <v>15636.851517552668</v>
      </c>
      <c r="P129" s="16">
        <f>IF(NOT(Paths!$C$18=1),0,IF(Paths!$P$18="Complete",O129+L129,"n.a."))</f>
        <v>15636.851517552668</v>
      </c>
      <c r="Q129" s="16">
        <f>IF(NOT(Paths!$C$18=1),0,IF(Paths!$P$18="Complete",N129*(1+'Operating costs'!$B$54)^-C129,"n.a."))</f>
        <v>15636.851517552668</v>
      </c>
      <c r="R129" s="16">
        <f>IF(NOT(Paths!$C$18=1),0,IF(Paths!$P$18="Complete",IF(AND(C129=0,Paths!$E$18=0),I129-J129-K129+VLOOKUP(A129,'Fleet register'!$A$7:$S$106,15,FALSE)+VLOOKUP(A129,'Fleet register'!$A$7:$S$106,16,FALSE),0),"n.a."))</f>
        <v>0</v>
      </c>
      <c r="S129" s="1">
        <f>IF(NOT(Paths!$C$18=1),0,IF(Paths!$P$18="Complete",IF(C129=0,0,Paths!$S$18*Paths!$R$18),"n.a."))</f>
        <v>45000</v>
      </c>
      <c r="T129" s="1">
        <f>IF(NOT(Paths!$C$18=1),0,IF(Paths!$P$18="Complete",IF(C129=0,0,VLOOKUP(A129,'Fleet register'!$A$7:$S$106,9,FALSE)*Paths!$R$18),"n.a."))</f>
        <v>7200</v>
      </c>
    </row>
    <row r="130" spans="1:20" ht="24" customHeight="1">
      <c r="A130" s="1" t="str">
        <f>Paths!$A$18</f>
        <v>T003</v>
      </c>
      <c r="B130" s="1">
        <f>Paths!$B$18</f>
        <v>3</v>
      </c>
      <c r="C130" s="1">
        <v>2</v>
      </c>
      <c r="D130" s="1">
        <v>18</v>
      </c>
      <c r="E130" s="1">
        <f>IF(OR(Paths!$C$18=0,C130=0),0,MAX(0,MIN(C130*12,Paths!$E$18)-(C130-1)*12))</f>
        <v>0</v>
      </c>
      <c r="F130" s="1">
        <f>IF(OR(Paths!$C$18=0,C130=0),0,12-E130)</f>
        <v>12</v>
      </c>
      <c r="G130" s="16">
        <f>IF(NOT(Paths!$C$18=1),0,IF(Paths!$P$18="Complete",E130/12*(Paths!$J$18*(1+'Operating costs'!$B$51)^MAX(0,C130-1)+Paths!$K$18*(1+'Operating costs'!$B$53)^MAX(0,C130-1)),"n.a."))</f>
        <v>0</v>
      </c>
      <c r="H130" s="16">
        <f>IF(NOT(Paths!$C$18=1),0,IF(Paths!$P$18="Complete",F130/12*(Paths!$L$18*(1+IF(Paths!$D$18="EV",'Operating costs'!$B$52,'Operating costs'!$B$51))^MAX(0,C130-1)+Paths!$M$18*(1+'Operating costs'!$B$53)^MAX(0,C130-1)),"n.a."))</f>
        <v>15636.851517552668</v>
      </c>
      <c r="I130" s="16">
        <f>IF(NOT(Paths!$C$18=1),0,IF(Paths!$P$18="Complete",IF(IF(Paths!$E$18=0,C130=0,AND(C130&gt;0,Paths!$E$18&gt;(C130-1)*12,Paths!$E$18&lt;=C130*12)),Paths!$G$18,0),"n.a."))</f>
        <v>0</v>
      </c>
      <c r="J130" s="16">
        <f>IF(NOT(Paths!$C$18=1),0,IF(Paths!$P$18="Complete",IF(IF(Paths!$E$18=0,C130=0,AND(C130&gt;0,Paths!$E$18&gt;(C130-1)*12,Paths!$E$18&lt;=C130*12)),Paths!$H$18,0),"n.a."))</f>
        <v>0</v>
      </c>
      <c r="K130" s="16">
        <f>IF(NOT(Paths!$C$18=1),0,IF(Paths!$P$18="Complete",IF(IF(Paths!$O$18=0,C130=0,AND(C130&gt;0,Paths!$O$18&gt;(C130-1)*12,Paths!$O$18&lt;=C130*12)),Paths!$N$18,0),"n.a."))</f>
        <v>0</v>
      </c>
      <c r="L130" s="16">
        <f>IF(NOT(Paths!$C$18=1),0,IF(Paths!$P$18="Complete",IF(C130=10,Paths!$I$18,0),"n.a."))</f>
        <v>0</v>
      </c>
      <c r="M130" s="16">
        <f>IF(NOT(Paths!$C$18=1),0,IF(Paths!$P$18="Complete",IF(AND(Paths!$D$18="EV",Paths!$E$18&lt;120,Paths!$E$18+'Operating costs'!$B$65&gt;Paths!$E$18,Paths!$E$18+'Operating costs'!$B$65&lt;=120,IF(Paths!$E$18+'Operating costs'!$B$65=0,C130=0,AND(C130&gt;0,Paths!$E$18+'Operating costs'!$B$65&gt;(C130-1)*12,Paths!$E$18+'Operating costs'!$B$65&lt;=C130*12))),'Operating costs'!$B$64,0)+IF(AND('Operating costs'!$B$67&gt;0,'Operating costs'!$B$67&lt;=120,OR(Paths!$D$18="ICE",'Operating costs'!$B$67&lt;=Paths!$E$18),IF('Operating costs'!$B$67=0,C130=0,AND(C130&gt;0,'Operating costs'!$B$67&gt;(C130-1)*12,'Operating costs'!$B$67&lt;=C130*12))),'Operating costs'!$B$66,0),"n.a."))</f>
        <v>0</v>
      </c>
      <c r="N130" s="16">
        <f>IF(NOT(Paths!$C$18=1),0,IF(Paths!$P$18="Complete",SUM(G130:I130)-J130-K130-L130+M130+IF(C130=0,Paths!$F$18,0)+IF(IF(Paths!$E$18=0,C130=0,AND(C130&gt;0,Paths!$E$18&gt;(C130-1)*12,Paths!$E$18&lt;=C130*12)),VLOOKUP(A130,'Fleet register'!$A$7:$S$106,16,FALSE),0),"n.a."))</f>
        <v>15636.851517552668</v>
      </c>
      <c r="O130" s="16">
        <f>IF(NOT(Paths!$C$18=1),0,IF(Paths!$P$18="Complete",N130-IF(C130=0,Paths!$F$18,0),"n.a."))</f>
        <v>15636.851517552668</v>
      </c>
      <c r="P130" s="16">
        <f>IF(NOT(Paths!$C$18=1),0,IF(Paths!$P$18="Complete",O130+L130,"n.a."))</f>
        <v>15636.851517552668</v>
      </c>
      <c r="Q130" s="16">
        <f>IF(NOT(Paths!$C$18=1),0,IF(Paths!$P$18="Complete",N130*(1+'Operating costs'!$B$54)^-C130,"n.a."))</f>
        <v>15636.851517552668</v>
      </c>
      <c r="R130" s="16">
        <f>IF(NOT(Paths!$C$18=1),0,IF(Paths!$P$18="Complete",IF(AND(C130=0,Paths!$E$18=0),I130-J130-K130+VLOOKUP(A130,'Fleet register'!$A$7:$S$106,15,FALSE)+VLOOKUP(A130,'Fleet register'!$A$7:$S$106,16,FALSE),0),"n.a."))</f>
        <v>0</v>
      </c>
      <c r="S130" s="1">
        <f>IF(NOT(Paths!$C$18=1),0,IF(Paths!$P$18="Complete",IF(C130=0,0,Paths!$S$18*Paths!$R$18),"n.a."))</f>
        <v>45000</v>
      </c>
      <c r="T130" s="1">
        <f>IF(NOT(Paths!$C$18=1),0,IF(Paths!$P$18="Complete",IF(C130=0,0,VLOOKUP(A130,'Fleet register'!$A$7:$S$106,9,FALSE)*Paths!$R$18),"n.a."))</f>
        <v>7200</v>
      </c>
    </row>
    <row r="131" spans="1:20" ht="24" customHeight="1">
      <c r="A131" s="1" t="str">
        <f>Paths!$A$18</f>
        <v>T003</v>
      </c>
      <c r="B131" s="1">
        <f>Paths!$B$18</f>
        <v>3</v>
      </c>
      <c r="C131" s="1">
        <v>3</v>
      </c>
      <c r="D131" s="1">
        <v>18</v>
      </c>
      <c r="E131" s="1">
        <f>IF(OR(Paths!$C$18=0,C131=0),0,MAX(0,MIN(C131*12,Paths!$E$18)-(C131-1)*12))</f>
        <v>0</v>
      </c>
      <c r="F131" s="1">
        <f>IF(OR(Paths!$C$18=0,C131=0),0,12-E131)</f>
        <v>12</v>
      </c>
      <c r="G131" s="16">
        <f>IF(NOT(Paths!$C$18=1),0,IF(Paths!$P$18="Complete",E131/12*(Paths!$J$18*(1+'Operating costs'!$B$51)^MAX(0,C131-1)+Paths!$K$18*(1+'Operating costs'!$B$53)^MAX(0,C131-1)),"n.a."))</f>
        <v>0</v>
      </c>
      <c r="H131" s="16">
        <f>IF(NOT(Paths!$C$18=1),0,IF(Paths!$P$18="Complete",F131/12*(Paths!$L$18*(1+IF(Paths!$D$18="EV",'Operating costs'!$B$52,'Operating costs'!$B$51))^MAX(0,C131-1)+Paths!$M$18*(1+'Operating costs'!$B$53)^MAX(0,C131-1)),"n.a."))</f>
        <v>15636.851517552668</v>
      </c>
      <c r="I131" s="16">
        <f>IF(NOT(Paths!$C$18=1),0,IF(Paths!$P$18="Complete",IF(IF(Paths!$E$18=0,C131=0,AND(C131&gt;0,Paths!$E$18&gt;(C131-1)*12,Paths!$E$18&lt;=C131*12)),Paths!$G$18,0),"n.a."))</f>
        <v>0</v>
      </c>
      <c r="J131" s="16">
        <f>IF(NOT(Paths!$C$18=1),0,IF(Paths!$P$18="Complete",IF(IF(Paths!$E$18=0,C131=0,AND(C131&gt;0,Paths!$E$18&gt;(C131-1)*12,Paths!$E$18&lt;=C131*12)),Paths!$H$18,0),"n.a."))</f>
        <v>0</v>
      </c>
      <c r="K131" s="16">
        <f>IF(NOT(Paths!$C$18=1),0,IF(Paths!$P$18="Complete",IF(IF(Paths!$O$18=0,C131=0,AND(C131&gt;0,Paths!$O$18&gt;(C131-1)*12,Paths!$O$18&lt;=C131*12)),Paths!$N$18,0),"n.a."))</f>
        <v>0</v>
      </c>
      <c r="L131" s="16">
        <f>IF(NOT(Paths!$C$18=1),0,IF(Paths!$P$18="Complete",IF(C131=10,Paths!$I$18,0),"n.a."))</f>
        <v>0</v>
      </c>
      <c r="M131" s="16">
        <f>IF(NOT(Paths!$C$18=1),0,IF(Paths!$P$18="Complete",IF(AND(Paths!$D$18="EV",Paths!$E$18&lt;120,Paths!$E$18+'Operating costs'!$B$65&gt;Paths!$E$18,Paths!$E$18+'Operating costs'!$B$65&lt;=120,IF(Paths!$E$18+'Operating costs'!$B$65=0,C131=0,AND(C131&gt;0,Paths!$E$18+'Operating costs'!$B$65&gt;(C131-1)*12,Paths!$E$18+'Operating costs'!$B$65&lt;=C131*12))),'Operating costs'!$B$64,0)+IF(AND('Operating costs'!$B$67&gt;0,'Operating costs'!$B$67&lt;=120,OR(Paths!$D$18="ICE",'Operating costs'!$B$67&lt;=Paths!$E$18),IF('Operating costs'!$B$67=0,C131=0,AND(C131&gt;0,'Operating costs'!$B$67&gt;(C131-1)*12,'Operating costs'!$B$67&lt;=C131*12))),'Operating costs'!$B$66,0),"n.a."))</f>
        <v>0</v>
      </c>
      <c r="N131" s="16">
        <f>IF(NOT(Paths!$C$18=1),0,IF(Paths!$P$18="Complete",SUM(G131:I131)-J131-K131-L131+M131+IF(C131=0,Paths!$F$18,0)+IF(IF(Paths!$E$18=0,C131=0,AND(C131&gt;0,Paths!$E$18&gt;(C131-1)*12,Paths!$E$18&lt;=C131*12)),VLOOKUP(A131,'Fleet register'!$A$7:$S$106,16,FALSE),0),"n.a."))</f>
        <v>15636.851517552668</v>
      </c>
      <c r="O131" s="16">
        <f>IF(NOT(Paths!$C$18=1),0,IF(Paths!$P$18="Complete",N131-IF(C131=0,Paths!$F$18,0),"n.a."))</f>
        <v>15636.851517552668</v>
      </c>
      <c r="P131" s="16">
        <f>IF(NOT(Paths!$C$18=1),0,IF(Paths!$P$18="Complete",O131+L131,"n.a."))</f>
        <v>15636.851517552668</v>
      </c>
      <c r="Q131" s="16">
        <f>IF(NOT(Paths!$C$18=1),0,IF(Paths!$P$18="Complete",N131*(1+'Operating costs'!$B$54)^-C131,"n.a."))</f>
        <v>15636.851517552668</v>
      </c>
      <c r="R131" s="16">
        <f>IF(NOT(Paths!$C$18=1),0,IF(Paths!$P$18="Complete",IF(AND(C131=0,Paths!$E$18=0),I131-J131-K131+VLOOKUP(A131,'Fleet register'!$A$7:$S$106,15,FALSE)+VLOOKUP(A131,'Fleet register'!$A$7:$S$106,16,FALSE),0),"n.a."))</f>
        <v>0</v>
      </c>
      <c r="S131" s="1">
        <f>IF(NOT(Paths!$C$18=1),0,IF(Paths!$P$18="Complete",IF(C131=0,0,Paths!$S$18*Paths!$R$18),"n.a."))</f>
        <v>45000</v>
      </c>
      <c r="T131" s="1">
        <f>IF(NOT(Paths!$C$18=1),0,IF(Paths!$P$18="Complete",IF(C131=0,0,VLOOKUP(A131,'Fleet register'!$A$7:$S$106,9,FALSE)*Paths!$R$18),"n.a."))</f>
        <v>7200</v>
      </c>
    </row>
    <row r="132" spans="1:20" ht="24" customHeight="1">
      <c r="A132" s="1" t="str">
        <f>Paths!$A$18</f>
        <v>T003</v>
      </c>
      <c r="B132" s="1">
        <f>Paths!$B$18</f>
        <v>3</v>
      </c>
      <c r="C132" s="1">
        <v>4</v>
      </c>
      <c r="D132" s="1">
        <v>18</v>
      </c>
      <c r="E132" s="1">
        <f>IF(OR(Paths!$C$18=0,C132=0),0,MAX(0,MIN(C132*12,Paths!$E$18)-(C132-1)*12))</f>
        <v>0</v>
      </c>
      <c r="F132" s="1">
        <f>IF(OR(Paths!$C$18=0,C132=0),0,12-E132)</f>
        <v>12</v>
      </c>
      <c r="G132" s="16">
        <f>IF(NOT(Paths!$C$18=1),0,IF(Paths!$P$18="Complete",E132/12*(Paths!$J$18*(1+'Operating costs'!$B$51)^MAX(0,C132-1)+Paths!$K$18*(1+'Operating costs'!$B$53)^MAX(0,C132-1)),"n.a."))</f>
        <v>0</v>
      </c>
      <c r="H132" s="16">
        <f>IF(NOT(Paths!$C$18=1),0,IF(Paths!$P$18="Complete",F132/12*(Paths!$L$18*(1+IF(Paths!$D$18="EV",'Operating costs'!$B$52,'Operating costs'!$B$51))^MAX(0,C132-1)+Paths!$M$18*(1+'Operating costs'!$B$53)^MAX(0,C132-1)),"n.a."))</f>
        <v>15636.851517552668</v>
      </c>
      <c r="I132" s="16">
        <f>IF(NOT(Paths!$C$18=1),0,IF(Paths!$P$18="Complete",IF(IF(Paths!$E$18=0,C132=0,AND(C132&gt;0,Paths!$E$18&gt;(C132-1)*12,Paths!$E$18&lt;=C132*12)),Paths!$G$18,0),"n.a."))</f>
        <v>0</v>
      </c>
      <c r="J132" s="16">
        <f>IF(NOT(Paths!$C$18=1),0,IF(Paths!$P$18="Complete",IF(IF(Paths!$E$18=0,C132=0,AND(C132&gt;0,Paths!$E$18&gt;(C132-1)*12,Paths!$E$18&lt;=C132*12)),Paths!$H$18,0),"n.a."))</f>
        <v>0</v>
      </c>
      <c r="K132" s="16">
        <f>IF(NOT(Paths!$C$18=1),0,IF(Paths!$P$18="Complete",IF(IF(Paths!$O$18=0,C132=0,AND(C132&gt;0,Paths!$O$18&gt;(C132-1)*12,Paths!$O$18&lt;=C132*12)),Paths!$N$18,0),"n.a."))</f>
        <v>0</v>
      </c>
      <c r="L132" s="16">
        <f>IF(NOT(Paths!$C$18=1),0,IF(Paths!$P$18="Complete",IF(C132=10,Paths!$I$18,0),"n.a."))</f>
        <v>0</v>
      </c>
      <c r="M132" s="16">
        <f>IF(NOT(Paths!$C$18=1),0,IF(Paths!$P$18="Complete",IF(AND(Paths!$D$18="EV",Paths!$E$18&lt;120,Paths!$E$18+'Operating costs'!$B$65&gt;Paths!$E$18,Paths!$E$18+'Operating costs'!$B$65&lt;=120,IF(Paths!$E$18+'Operating costs'!$B$65=0,C132=0,AND(C132&gt;0,Paths!$E$18+'Operating costs'!$B$65&gt;(C132-1)*12,Paths!$E$18+'Operating costs'!$B$65&lt;=C132*12))),'Operating costs'!$B$64,0)+IF(AND('Operating costs'!$B$67&gt;0,'Operating costs'!$B$67&lt;=120,OR(Paths!$D$18="ICE",'Operating costs'!$B$67&lt;=Paths!$E$18),IF('Operating costs'!$B$67=0,C132=0,AND(C132&gt;0,'Operating costs'!$B$67&gt;(C132-1)*12,'Operating costs'!$B$67&lt;=C132*12))),'Operating costs'!$B$66,0),"n.a."))</f>
        <v>0</v>
      </c>
      <c r="N132" s="16">
        <f>IF(NOT(Paths!$C$18=1),0,IF(Paths!$P$18="Complete",SUM(G132:I132)-J132-K132-L132+M132+IF(C132=0,Paths!$F$18,0)+IF(IF(Paths!$E$18=0,C132=0,AND(C132&gt;0,Paths!$E$18&gt;(C132-1)*12,Paths!$E$18&lt;=C132*12)),VLOOKUP(A132,'Fleet register'!$A$7:$S$106,16,FALSE),0),"n.a."))</f>
        <v>15636.851517552668</v>
      </c>
      <c r="O132" s="16">
        <f>IF(NOT(Paths!$C$18=1),0,IF(Paths!$P$18="Complete",N132-IF(C132=0,Paths!$F$18,0),"n.a."))</f>
        <v>15636.851517552668</v>
      </c>
      <c r="P132" s="16">
        <f>IF(NOT(Paths!$C$18=1),0,IF(Paths!$P$18="Complete",O132+L132,"n.a."))</f>
        <v>15636.851517552668</v>
      </c>
      <c r="Q132" s="16">
        <f>IF(NOT(Paths!$C$18=1),0,IF(Paths!$P$18="Complete",N132*(1+'Operating costs'!$B$54)^-C132,"n.a."))</f>
        <v>15636.851517552668</v>
      </c>
      <c r="R132" s="16">
        <f>IF(NOT(Paths!$C$18=1),0,IF(Paths!$P$18="Complete",IF(AND(C132=0,Paths!$E$18=0),I132-J132-K132+VLOOKUP(A132,'Fleet register'!$A$7:$S$106,15,FALSE)+VLOOKUP(A132,'Fleet register'!$A$7:$S$106,16,FALSE),0),"n.a."))</f>
        <v>0</v>
      </c>
      <c r="S132" s="1">
        <f>IF(NOT(Paths!$C$18=1),0,IF(Paths!$P$18="Complete",IF(C132=0,0,Paths!$S$18*Paths!$R$18),"n.a."))</f>
        <v>45000</v>
      </c>
      <c r="T132" s="1">
        <f>IF(NOT(Paths!$C$18=1),0,IF(Paths!$P$18="Complete",IF(C132=0,0,VLOOKUP(A132,'Fleet register'!$A$7:$S$106,9,FALSE)*Paths!$R$18),"n.a."))</f>
        <v>7200</v>
      </c>
    </row>
    <row r="133" spans="1:20" ht="24" customHeight="1">
      <c r="A133" s="1" t="str">
        <f>Paths!$A$18</f>
        <v>T003</v>
      </c>
      <c r="B133" s="1">
        <f>Paths!$B$18</f>
        <v>3</v>
      </c>
      <c r="C133" s="1">
        <v>5</v>
      </c>
      <c r="D133" s="1">
        <v>18</v>
      </c>
      <c r="E133" s="1">
        <f>IF(OR(Paths!$C$18=0,C133=0),0,MAX(0,MIN(C133*12,Paths!$E$18)-(C133-1)*12))</f>
        <v>0</v>
      </c>
      <c r="F133" s="1">
        <f>IF(OR(Paths!$C$18=0,C133=0),0,12-E133)</f>
        <v>12</v>
      </c>
      <c r="G133" s="16">
        <f>IF(NOT(Paths!$C$18=1),0,IF(Paths!$P$18="Complete",E133/12*(Paths!$J$18*(1+'Operating costs'!$B$51)^MAX(0,C133-1)+Paths!$K$18*(1+'Operating costs'!$B$53)^MAX(0,C133-1)),"n.a."))</f>
        <v>0</v>
      </c>
      <c r="H133" s="16">
        <f>IF(NOT(Paths!$C$18=1),0,IF(Paths!$P$18="Complete",F133/12*(Paths!$L$18*(1+IF(Paths!$D$18="EV",'Operating costs'!$B$52,'Operating costs'!$B$51))^MAX(0,C133-1)+Paths!$M$18*(1+'Operating costs'!$B$53)^MAX(0,C133-1)),"n.a."))</f>
        <v>15636.851517552668</v>
      </c>
      <c r="I133" s="16">
        <f>IF(NOT(Paths!$C$18=1),0,IF(Paths!$P$18="Complete",IF(IF(Paths!$E$18=0,C133=0,AND(C133&gt;0,Paths!$E$18&gt;(C133-1)*12,Paths!$E$18&lt;=C133*12)),Paths!$G$18,0),"n.a."))</f>
        <v>0</v>
      </c>
      <c r="J133" s="16">
        <f>IF(NOT(Paths!$C$18=1),0,IF(Paths!$P$18="Complete",IF(IF(Paths!$E$18=0,C133=0,AND(C133&gt;0,Paths!$E$18&gt;(C133-1)*12,Paths!$E$18&lt;=C133*12)),Paths!$H$18,0),"n.a."))</f>
        <v>0</v>
      </c>
      <c r="K133" s="16">
        <f>IF(NOT(Paths!$C$18=1),0,IF(Paths!$P$18="Complete",IF(IF(Paths!$O$18=0,C133=0,AND(C133&gt;0,Paths!$O$18&gt;(C133-1)*12,Paths!$O$18&lt;=C133*12)),Paths!$N$18,0),"n.a."))</f>
        <v>0</v>
      </c>
      <c r="L133" s="16">
        <f>IF(NOT(Paths!$C$18=1),0,IF(Paths!$P$18="Complete",IF(C133=10,Paths!$I$18,0),"n.a."))</f>
        <v>0</v>
      </c>
      <c r="M133" s="16">
        <f>IF(NOT(Paths!$C$18=1),0,IF(Paths!$P$18="Complete",IF(AND(Paths!$D$18="EV",Paths!$E$18&lt;120,Paths!$E$18+'Operating costs'!$B$65&gt;Paths!$E$18,Paths!$E$18+'Operating costs'!$B$65&lt;=120,IF(Paths!$E$18+'Operating costs'!$B$65=0,C133=0,AND(C133&gt;0,Paths!$E$18+'Operating costs'!$B$65&gt;(C133-1)*12,Paths!$E$18+'Operating costs'!$B$65&lt;=C133*12))),'Operating costs'!$B$64,0)+IF(AND('Operating costs'!$B$67&gt;0,'Operating costs'!$B$67&lt;=120,OR(Paths!$D$18="ICE",'Operating costs'!$B$67&lt;=Paths!$E$18),IF('Operating costs'!$B$67=0,C133=0,AND(C133&gt;0,'Operating costs'!$B$67&gt;(C133-1)*12,'Operating costs'!$B$67&lt;=C133*12))),'Operating costs'!$B$66,0),"n.a."))</f>
        <v>0</v>
      </c>
      <c r="N133" s="16">
        <f>IF(NOT(Paths!$C$18=1),0,IF(Paths!$P$18="Complete",SUM(G133:I133)-J133-K133-L133+M133+IF(C133=0,Paths!$F$18,0)+IF(IF(Paths!$E$18=0,C133=0,AND(C133&gt;0,Paths!$E$18&gt;(C133-1)*12,Paths!$E$18&lt;=C133*12)),VLOOKUP(A133,'Fleet register'!$A$7:$S$106,16,FALSE),0),"n.a."))</f>
        <v>15636.851517552668</v>
      </c>
      <c r="O133" s="16">
        <f>IF(NOT(Paths!$C$18=1),0,IF(Paths!$P$18="Complete",N133-IF(C133=0,Paths!$F$18,0),"n.a."))</f>
        <v>15636.851517552668</v>
      </c>
      <c r="P133" s="16">
        <f>IF(NOT(Paths!$C$18=1),0,IF(Paths!$P$18="Complete",O133+L133,"n.a."))</f>
        <v>15636.851517552668</v>
      </c>
      <c r="Q133" s="16">
        <f>IF(NOT(Paths!$C$18=1),0,IF(Paths!$P$18="Complete",N133*(1+'Operating costs'!$B$54)^-C133,"n.a."))</f>
        <v>15636.851517552668</v>
      </c>
      <c r="R133" s="16">
        <f>IF(NOT(Paths!$C$18=1),0,IF(Paths!$P$18="Complete",IF(AND(C133=0,Paths!$E$18=0),I133-J133-K133+VLOOKUP(A133,'Fleet register'!$A$7:$S$106,15,FALSE)+VLOOKUP(A133,'Fleet register'!$A$7:$S$106,16,FALSE),0),"n.a."))</f>
        <v>0</v>
      </c>
      <c r="S133" s="1">
        <f>IF(NOT(Paths!$C$18=1),0,IF(Paths!$P$18="Complete",IF(C133=0,0,Paths!$S$18*Paths!$R$18),"n.a."))</f>
        <v>45000</v>
      </c>
      <c r="T133" s="1">
        <f>IF(NOT(Paths!$C$18=1),0,IF(Paths!$P$18="Complete",IF(C133=0,0,VLOOKUP(A133,'Fleet register'!$A$7:$S$106,9,FALSE)*Paths!$R$18),"n.a."))</f>
        <v>7200</v>
      </c>
    </row>
    <row r="134" spans="1:20" ht="24" customHeight="1">
      <c r="A134" s="1" t="str">
        <f>Paths!$A$18</f>
        <v>T003</v>
      </c>
      <c r="B134" s="1">
        <f>Paths!$B$18</f>
        <v>3</v>
      </c>
      <c r="C134" s="1">
        <v>6</v>
      </c>
      <c r="D134" s="1">
        <v>18</v>
      </c>
      <c r="E134" s="1">
        <f>IF(OR(Paths!$C$18=0,C134=0),0,MAX(0,MIN(C134*12,Paths!$E$18)-(C134-1)*12))</f>
        <v>0</v>
      </c>
      <c r="F134" s="1">
        <f>IF(OR(Paths!$C$18=0,C134=0),0,12-E134)</f>
        <v>12</v>
      </c>
      <c r="G134" s="16">
        <f>IF(NOT(Paths!$C$18=1),0,IF(Paths!$P$18="Complete",E134/12*(Paths!$J$18*(1+'Operating costs'!$B$51)^MAX(0,C134-1)+Paths!$K$18*(1+'Operating costs'!$B$53)^MAX(0,C134-1)),"n.a."))</f>
        <v>0</v>
      </c>
      <c r="H134" s="16">
        <f>IF(NOT(Paths!$C$18=1),0,IF(Paths!$P$18="Complete",F134/12*(Paths!$L$18*(1+IF(Paths!$D$18="EV",'Operating costs'!$B$52,'Operating costs'!$B$51))^MAX(0,C134-1)+Paths!$M$18*(1+'Operating costs'!$B$53)^MAX(0,C134-1)),"n.a."))</f>
        <v>15636.851517552668</v>
      </c>
      <c r="I134" s="16">
        <f>IF(NOT(Paths!$C$18=1),0,IF(Paths!$P$18="Complete",IF(IF(Paths!$E$18=0,C134=0,AND(C134&gt;0,Paths!$E$18&gt;(C134-1)*12,Paths!$E$18&lt;=C134*12)),Paths!$G$18,0),"n.a."))</f>
        <v>0</v>
      </c>
      <c r="J134" s="16">
        <f>IF(NOT(Paths!$C$18=1),0,IF(Paths!$P$18="Complete",IF(IF(Paths!$E$18=0,C134=0,AND(C134&gt;0,Paths!$E$18&gt;(C134-1)*12,Paths!$E$18&lt;=C134*12)),Paths!$H$18,0),"n.a."))</f>
        <v>0</v>
      </c>
      <c r="K134" s="16">
        <f>IF(NOT(Paths!$C$18=1),0,IF(Paths!$P$18="Complete",IF(IF(Paths!$O$18=0,C134=0,AND(C134&gt;0,Paths!$O$18&gt;(C134-1)*12,Paths!$O$18&lt;=C134*12)),Paths!$N$18,0),"n.a."))</f>
        <v>0</v>
      </c>
      <c r="L134" s="16">
        <f>IF(NOT(Paths!$C$18=1),0,IF(Paths!$P$18="Complete",IF(C134=10,Paths!$I$18,0),"n.a."))</f>
        <v>0</v>
      </c>
      <c r="M134" s="16">
        <f>IF(NOT(Paths!$C$18=1),0,IF(Paths!$P$18="Complete",IF(AND(Paths!$D$18="EV",Paths!$E$18&lt;120,Paths!$E$18+'Operating costs'!$B$65&gt;Paths!$E$18,Paths!$E$18+'Operating costs'!$B$65&lt;=120,IF(Paths!$E$18+'Operating costs'!$B$65=0,C134=0,AND(C134&gt;0,Paths!$E$18+'Operating costs'!$B$65&gt;(C134-1)*12,Paths!$E$18+'Operating costs'!$B$65&lt;=C134*12))),'Operating costs'!$B$64,0)+IF(AND('Operating costs'!$B$67&gt;0,'Operating costs'!$B$67&lt;=120,OR(Paths!$D$18="ICE",'Operating costs'!$B$67&lt;=Paths!$E$18),IF('Operating costs'!$B$67=0,C134=0,AND(C134&gt;0,'Operating costs'!$B$67&gt;(C134-1)*12,'Operating costs'!$B$67&lt;=C134*12))),'Operating costs'!$B$66,0),"n.a."))</f>
        <v>0</v>
      </c>
      <c r="N134" s="16">
        <f>IF(NOT(Paths!$C$18=1),0,IF(Paths!$P$18="Complete",SUM(G134:I134)-J134-K134-L134+M134+IF(C134=0,Paths!$F$18,0)+IF(IF(Paths!$E$18=0,C134=0,AND(C134&gt;0,Paths!$E$18&gt;(C134-1)*12,Paths!$E$18&lt;=C134*12)),VLOOKUP(A134,'Fleet register'!$A$7:$S$106,16,FALSE),0),"n.a."))</f>
        <v>15636.851517552668</v>
      </c>
      <c r="O134" s="16">
        <f>IF(NOT(Paths!$C$18=1),0,IF(Paths!$P$18="Complete",N134-IF(C134=0,Paths!$F$18,0),"n.a."))</f>
        <v>15636.851517552668</v>
      </c>
      <c r="P134" s="16">
        <f>IF(NOT(Paths!$C$18=1),0,IF(Paths!$P$18="Complete",O134+L134,"n.a."))</f>
        <v>15636.851517552668</v>
      </c>
      <c r="Q134" s="16">
        <f>IF(NOT(Paths!$C$18=1),0,IF(Paths!$P$18="Complete",N134*(1+'Operating costs'!$B$54)^-C134,"n.a."))</f>
        <v>15636.851517552668</v>
      </c>
      <c r="R134" s="16">
        <f>IF(NOT(Paths!$C$18=1),0,IF(Paths!$P$18="Complete",IF(AND(C134=0,Paths!$E$18=0),I134-J134-K134+VLOOKUP(A134,'Fleet register'!$A$7:$S$106,15,FALSE)+VLOOKUP(A134,'Fleet register'!$A$7:$S$106,16,FALSE),0),"n.a."))</f>
        <v>0</v>
      </c>
      <c r="S134" s="1">
        <f>IF(NOT(Paths!$C$18=1),0,IF(Paths!$P$18="Complete",IF(C134=0,0,Paths!$S$18*Paths!$R$18),"n.a."))</f>
        <v>45000</v>
      </c>
      <c r="T134" s="1">
        <f>IF(NOT(Paths!$C$18=1),0,IF(Paths!$P$18="Complete",IF(C134=0,0,VLOOKUP(A134,'Fleet register'!$A$7:$S$106,9,FALSE)*Paths!$R$18),"n.a."))</f>
        <v>7200</v>
      </c>
    </row>
    <row r="135" spans="1:20" ht="24" customHeight="1">
      <c r="A135" s="1" t="str">
        <f>Paths!$A$18</f>
        <v>T003</v>
      </c>
      <c r="B135" s="1">
        <f>Paths!$B$18</f>
        <v>3</v>
      </c>
      <c r="C135" s="1">
        <v>7</v>
      </c>
      <c r="D135" s="1">
        <v>18</v>
      </c>
      <c r="E135" s="1">
        <f>IF(OR(Paths!$C$18=0,C135=0),0,MAX(0,MIN(C135*12,Paths!$E$18)-(C135-1)*12))</f>
        <v>0</v>
      </c>
      <c r="F135" s="1">
        <f>IF(OR(Paths!$C$18=0,C135=0),0,12-E135)</f>
        <v>12</v>
      </c>
      <c r="G135" s="16">
        <f>IF(NOT(Paths!$C$18=1),0,IF(Paths!$P$18="Complete",E135/12*(Paths!$J$18*(1+'Operating costs'!$B$51)^MAX(0,C135-1)+Paths!$K$18*(1+'Operating costs'!$B$53)^MAX(0,C135-1)),"n.a."))</f>
        <v>0</v>
      </c>
      <c r="H135" s="16">
        <f>IF(NOT(Paths!$C$18=1),0,IF(Paths!$P$18="Complete",F135/12*(Paths!$L$18*(1+IF(Paths!$D$18="EV",'Operating costs'!$B$52,'Operating costs'!$B$51))^MAX(0,C135-1)+Paths!$M$18*(1+'Operating costs'!$B$53)^MAX(0,C135-1)),"n.a."))</f>
        <v>15636.851517552668</v>
      </c>
      <c r="I135" s="16">
        <f>IF(NOT(Paths!$C$18=1),0,IF(Paths!$P$18="Complete",IF(IF(Paths!$E$18=0,C135=0,AND(C135&gt;0,Paths!$E$18&gt;(C135-1)*12,Paths!$E$18&lt;=C135*12)),Paths!$G$18,0),"n.a."))</f>
        <v>0</v>
      </c>
      <c r="J135" s="16">
        <f>IF(NOT(Paths!$C$18=1),0,IF(Paths!$P$18="Complete",IF(IF(Paths!$E$18=0,C135=0,AND(C135&gt;0,Paths!$E$18&gt;(C135-1)*12,Paths!$E$18&lt;=C135*12)),Paths!$H$18,0),"n.a."))</f>
        <v>0</v>
      </c>
      <c r="K135" s="16">
        <f>IF(NOT(Paths!$C$18=1),0,IF(Paths!$P$18="Complete",IF(IF(Paths!$O$18=0,C135=0,AND(C135&gt;0,Paths!$O$18&gt;(C135-1)*12,Paths!$O$18&lt;=C135*12)),Paths!$N$18,0),"n.a."))</f>
        <v>0</v>
      </c>
      <c r="L135" s="16">
        <f>IF(NOT(Paths!$C$18=1),0,IF(Paths!$P$18="Complete",IF(C135=10,Paths!$I$18,0),"n.a."))</f>
        <v>0</v>
      </c>
      <c r="M135" s="16">
        <f>IF(NOT(Paths!$C$18=1),0,IF(Paths!$P$18="Complete",IF(AND(Paths!$D$18="EV",Paths!$E$18&lt;120,Paths!$E$18+'Operating costs'!$B$65&gt;Paths!$E$18,Paths!$E$18+'Operating costs'!$B$65&lt;=120,IF(Paths!$E$18+'Operating costs'!$B$65=0,C135=0,AND(C135&gt;0,Paths!$E$18+'Operating costs'!$B$65&gt;(C135-1)*12,Paths!$E$18+'Operating costs'!$B$65&lt;=C135*12))),'Operating costs'!$B$64,0)+IF(AND('Operating costs'!$B$67&gt;0,'Operating costs'!$B$67&lt;=120,OR(Paths!$D$18="ICE",'Operating costs'!$B$67&lt;=Paths!$E$18),IF('Operating costs'!$B$67=0,C135=0,AND(C135&gt;0,'Operating costs'!$B$67&gt;(C135-1)*12,'Operating costs'!$B$67&lt;=C135*12))),'Operating costs'!$B$66,0),"n.a."))</f>
        <v>0</v>
      </c>
      <c r="N135" s="16">
        <f>IF(NOT(Paths!$C$18=1),0,IF(Paths!$P$18="Complete",SUM(G135:I135)-J135-K135-L135+M135+IF(C135=0,Paths!$F$18,0)+IF(IF(Paths!$E$18=0,C135=0,AND(C135&gt;0,Paths!$E$18&gt;(C135-1)*12,Paths!$E$18&lt;=C135*12)),VLOOKUP(A135,'Fleet register'!$A$7:$S$106,16,FALSE),0),"n.a."))</f>
        <v>15636.851517552668</v>
      </c>
      <c r="O135" s="16">
        <f>IF(NOT(Paths!$C$18=1),0,IF(Paths!$P$18="Complete",N135-IF(C135=0,Paths!$F$18,0),"n.a."))</f>
        <v>15636.851517552668</v>
      </c>
      <c r="P135" s="16">
        <f>IF(NOT(Paths!$C$18=1),0,IF(Paths!$P$18="Complete",O135+L135,"n.a."))</f>
        <v>15636.851517552668</v>
      </c>
      <c r="Q135" s="16">
        <f>IF(NOT(Paths!$C$18=1),0,IF(Paths!$P$18="Complete",N135*(1+'Operating costs'!$B$54)^-C135,"n.a."))</f>
        <v>15636.851517552668</v>
      </c>
      <c r="R135" s="16">
        <f>IF(NOT(Paths!$C$18=1),0,IF(Paths!$P$18="Complete",IF(AND(C135=0,Paths!$E$18=0),I135-J135-K135+VLOOKUP(A135,'Fleet register'!$A$7:$S$106,15,FALSE)+VLOOKUP(A135,'Fleet register'!$A$7:$S$106,16,FALSE),0),"n.a."))</f>
        <v>0</v>
      </c>
      <c r="S135" s="1">
        <f>IF(NOT(Paths!$C$18=1),0,IF(Paths!$P$18="Complete",IF(C135=0,0,Paths!$S$18*Paths!$R$18),"n.a."))</f>
        <v>45000</v>
      </c>
      <c r="T135" s="1">
        <f>IF(NOT(Paths!$C$18=1),0,IF(Paths!$P$18="Complete",IF(C135=0,0,VLOOKUP(A135,'Fleet register'!$A$7:$S$106,9,FALSE)*Paths!$R$18),"n.a."))</f>
        <v>7200</v>
      </c>
    </row>
    <row r="136" spans="1:20" ht="24" customHeight="1">
      <c r="A136" s="1" t="str">
        <f>Paths!$A$18</f>
        <v>T003</v>
      </c>
      <c r="B136" s="1">
        <f>Paths!$B$18</f>
        <v>3</v>
      </c>
      <c r="C136" s="1">
        <v>8</v>
      </c>
      <c r="D136" s="1">
        <v>18</v>
      </c>
      <c r="E136" s="1">
        <f>IF(OR(Paths!$C$18=0,C136=0),0,MAX(0,MIN(C136*12,Paths!$E$18)-(C136-1)*12))</f>
        <v>0</v>
      </c>
      <c r="F136" s="1">
        <f>IF(OR(Paths!$C$18=0,C136=0),0,12-E136)</f>
        <v>12</v>
      </c>
      <c r="G136" s="16">
        <f>IF(NOT(Paths!$C$18=1),0,IF(Paths!$P$18="Complete",E136/12*(Paths!$J$18*(1+'Operating costs'!$B$51)^MAX(0,C136-1)+Paths!$K$18*(1+'Operating costs'!$B$53)^MAX(0,C136-1)),"n.a."))</f>
        <v>0</v>
      </c>
      <c r="H136" s="16">
        <f>IF(NOT(Paths!$C$18=1),0,IF(Paths!$P$18="Complete",F136/12*(Paths!$L$18*(1+IF(Paths!$D$18="EV",'Operating costs'!$B$52,'Operating costs'!$B$51))^MAX(0,C136-1)+Paths!$M$18*(1+'Operating costs'!$B$53)^MAX(0,C136-1)),"n.a."))</f>
        <v>15636.851517552668</v>
      </c>
      <c r="I136" s="16">
        <f>IF(NOT(Paths!$C$18=1),0,IF(Paths!$P$18="Complete",IF(IF(Paths!$E$18=0,C136=0,AND(C136&gt;0,Paths!$E$18&gt;(C136-1)*12,Paths!$E$18&lt;=C136*12)),Paths!$G$18,0),"n.a."))</f>
        <v>0</v>
      </c>
      <c r="J136" s="16">
        <f>IF(NOT(Paths!$C$18=1),0,IF(Paths!$P$18="Complete",IF(IF(Paths!$E$18=0,C136=0,AND(C136&gt;0,Paths!$E$18&gt;(C136-1)*12,Paths!$E$18&lt;=C136*12)),Paths!$H$18,0),"n.a."))</f>
        <v>0</v>
      </c>
      <c r="K136" s="16">
        <f>IF(NOT(Paths!$C$18=1),0,IF(Paths!$P$18="Complete",IF(IF(Paths!$O$18=0,C136=0,AND(C136&gt;0,Paths!$O$18&gt;(C136-1)*12,Paths!$O$18&lt;=C136*12)),Paths!$N$18,0),"n.a."))</f>
        <v>0</v>
      </c>
      <c r="L136" s="16">
        <f>IF(NOT(Paths!$C$18=1),0,IF(Paths!$P$18="Complete",IF(C136=10,Paths!$I$18,0),"n.a."))</f>
        <v>0</v>
      </c>
      <c r="M136" s="16">
        <f>IF(NOT(Paths!$C$18=1),0,IF(Paths!$P$18="Complete",IF(AND(Paths!$D$18="EV",Paths!$E$18&lt;120,Paths!$E$18+'Operating costs'!$B$65&gt;Paths!$E$18,Paths!$E$18+'Operating costs'!$B$65&lt;=120,IF(Paths!$E$18+'Operating costs'!$B$65=0,C136=0,AND(C136&gt;0,Paths!$E$18+'Operating costs'!$B$65&gt;(C136-1)*12,Paths!$E$18+'Operating costs'!$B$65&lt;=C136*12))),'Operating costs'!$B$64,0)+IF(AND('Operating costs'!$B$67&gt;0,'Operating costs'!$B$67&lt;=120,OR(Paths!$D$18="ICE",'Operating costs'!$B$67&lt;=Paths!$E$18),IF('Operating costs'!$B$67=0,C136=0,AND(C136&gt;0,'Operating costs'!$B$67&gt;(C136-1)*12,'Operating costs'!$B$67&lt;=C136*12))),'Operating costs'!$B$66,0),"n.a."))</f>
        <v>0</v>
      </c>
      <c r="N136" s="16">
        <f>IF(NOT(Paths!$C$18=1),0,IF(Paths!$P$18="Complete",SUM(G136:I136)-J136-K136-L136+M136+IF(C136=0,Paths!$F$18,0)+IF(IF(Paths!$E$18=0,C136=0,AND(C136&gt;0,Paths!$E$18&gt;(C136-1)*12,Paths!$E$18&lt;=C136*12)),VLOOKUP(A136,'Fleet register'!$A$7:$S$106,16,FALSE),0),"n.a."))</f>
        <v>15636.851517552668</v>
      </c>
      <c r="O136" s="16">
        <f>IF(NOT(Paths!$C$18=1),0,IF(Paths!$P$18="Complete",N136-IF(C136=0,Paths!$F$18,0),"n.a."))</f>
        <v>15636.851517552668</v>
      </c>
      <c r="P136" s="16">
        <f>IF(NOT(Paths!$C$18=1),0,IF(Paths!$P$18="Complete",O136+L136,"n.a."))</f>
        <v>15636.851517552668</v>
      </c>
      <c r="Q136" s="16">
        <f>IF(NOT(Paths!$C$18=1),0,IF(Paths!$P$18="Complete",N136*(1+'Operating costs'!$B$54)^-C136,"n.a."))</f>
        <v>15636.851517552668</v>
      </c>
      <c r="R136" s="16">
        <f>IF(NOT(Paths!$C$18=1),0,IF(Paths!$P$18="Complete",IF(AND(C136=0,Paths!$E$18=0),I136-J136-K136+VLOOKUP(A136,'Fleet register'!$A$7:$S$106,15,FALSE)+VLOOKUP(A136,'Fleet register'!$A$7:$S$106,16,FALSE),0),"n.a."))</f>
        <v>0</v>
      </c>
      <c r="S136" s="1">
        <f>IF(NOT(Paths!$C$18=1),0,IF(Paths!$P$18="Complete",IF(C136=0,0,Paths!$S$18*Paths!$R$18),"n.a."))</f>
        <v>45000</v>
      </c>
      <c r="T136" s="1">
        <f>IF(NOT(Paths!$C$18=1),0,IF(Paths!$P$18="Complete",IF(C136=0,0,VLOOKUP(A136,'Fleet register'!$A$7:$S$106,9,FALSE)*Paths!$R$18),"n.a."))</f>
        <v>7200</v>
      </c>
    </row>
    <row r="137" spans="1:20" ht="24" customHeight="1">
      <c r="A137" s="1" t="str">
        <f>Paths!$A$18</f>
        <v>T003</v>
      </c>
      <c r="B137" s="1">
        <f>Paths!$B$18</f>
        <v>3</v>
      </c>
      <c r="C137" s="1">
        <v>9</v>
      </c>
      <c r="D137" s="1">
        <v>18</v>
      </c>
      <c r="E137" s="1">
        <f>IF(OR(Paths!$C$18=0,C137=0),0,MAX(0,MIN(C137*12,Paths!$E$18)-(C137-1)*12))</f>
        <v>0</v>
      </c>
      <c r="F137" s="1">
        <f>IF(OR(Paths!$C$18=0,C137=0),0,12-E137)</f>
        <v>12</v>
      </c>
      <c r="G137" s="16">
        <f>IF(NOT(Paths!$C$18=1),0,IF(Paths!$P$18="Complete",E137/12*(Paths!$J$18*(1+'Operating costs'!$B$51)^MAX(0,C137-1)+Paths!$K$18*(1+'Operating costs'!$B$53)^MAX(0,C137-1)),"n.a."))</f>
        <v>0</v>
      </c>
      <c r="H137" s="16">
        <f>IF(NOT(Paths!$C$18=1),0,IF(Paths!$P$18="Complete",F137/12*(Paths!$L$18*(1+IF(Paths!$D$18="EV",'Operating costs'!$B$52,'Operating costs'!$B$51))^MAX(0,C137-1)+Paths!$M$18*(1+'Operating costs'!$B$53)^MAX(0,C137-1)),"n.a."))</f>
        <v>15636.851517552668</v>
      </c>
      <c r="I137" s="16">
        <f>IF(NOT(Paths!$C$18=1),0,IF(Paths!$P$18="Complete",IF(IF(Paths!$E$18=0,C137=0,AND(C137&gt;0,Paths!$E$18&gt;(C137-1)*12,Paths!$E$18&lt;=C137*12)),Paths!$G$18,0),"n.a."))</f>
        <v>0</v>
      </c>
      <c r="J137" s="16">
        <f>IF(NOT(Paths!$C$18=1),0,IF(Paths!$P$18="Complete",IF(IF(Paths!$E$18=0,C137=0,AND(C137&gt;0,Paths!$E$18&gt;(C137-1)*12,Paths!$E$18&lt;=C137*12)),Paths!$H$18,0),"n.a."))</f>
        <v>0</v>
      </c>
      <c r="K137" s="16">
        <f>IF(NOT(Paths!$C$18=1),0,IF(Paths!$P$18="Complete",IF(IF(Paths!$O$18=0,C137=0,AND(C137&gt;0,Paths!$O$18&gt;(C137-1)*12,Paths!$O$18&lt;=C137*12)),Paths!$N$18,0),"n.a."))</f>
        <v>0</v>
      </c>
      <c r="L137" s="16">
        <f>IF(NOT(Paths!$C$18=1),0,IF(Paths!$P$18="Complete",IF(C137=10,Paths!$I$18,0),"n.a."))</f>
        <v>0</v>
      </c>
      <c r="M137" s="16">
        <f>IF(NOT(Paths!$C$18=1),0,IF(Paths!$P$18="Complete",IF(AND(Paths!$D$18="EV",Paths!$E$18&lt;120,Paths!$E$18+'Operating costs'!$B$65&gt;Paths!$E$18,Paths!$E$18+'Operating costs'!$B$65&lt;=120,IF(Paths!$E$18+'Operating costs'!$B$65=0,C137=0,AND(C137&gt;0,Paths!$E$18+'Operating costs'!$B$65&gt;(C137-1)*12,Paths!$E$18+'Operating costs'!$B$65&lt;=C137*12))),'Operating costs'!$B$64,0)+IF(AND('Operating costs'!$B$67&gt;0,'Operating costs'!$B$67&lt;=120,OR(Paths!$D$18="ICE",'Operating costs'!$B$67&lt;=Paths!$E$18),IF('Operating costs'!$B$67=0,C137=0,AND(C137&gt;0,'Operating costs'!$B$67&gt;(C137-1)*12,'Operating costs'!$B$67&lt;=C137*12))),'Operating costs'!$B$66,0),"n.a."))</f>
        <v>0</v>
      </c>
      <c r="N137" s="16">
        <f>IF(NOT(Paths!$C$18=1),0,IF(Paths!$P$18="Complete",SUM(G137:I137)-J137-K137-L137+M137+IF(C137=0,Paths!$F$18,0)+IF(IF(Paths!$E$18=0,C137=0,AND(C137&gt;0,Paths!$E$18&gt;(C137-1)*12,Paths!$E$18&lt;=C137*12)),VLOOKUP(A137,'Fleet register'!$A$7:$S$106,16,FALSE),0),"n.a."))</f>
        <v>15636.851517552668</v>
      </c>
      <c r="O137" s="16">
        <f>IF(NOT(Paths!$C$18=1),0,IF(Paths!$P$18="Complete",N137-IF(C137=0,Paths!$F$18,0),"n.a."))</f>
        <v>15636.851517552668</v>
      </c>
      <c r="P137" s="16">
        <f>IF(NOT(Paths!$C$18=1),0,IF(Paths!$P$18="Complete",O137+L137,"n.a."))</f>
        <v>15636.851517552668</v>
      </c>
      <c r="Q137" s="16">
        <f>IF(NOT(Paths!$C$18=1),0,IF(Paths!$P$18="Complete",N137*(1+'Operating costs'!$B$54)^-C137,"n.a."))</f>
        <v>15636.851517552668</v>
      </c>
      <c r="R137" s="16">
        <f>IF(NOT(Paths!$C$18=1),0,IF(Paths!$P$18="Complete",IF(AND(C137=0,Paths!$E$18=0),I137-J137-K137+VLOOKUP(A137,'Fleet register'!$A$7:$S$106,15,FALSE)+VLOOKUP(A137,'Fleet register'!$A$7:$S$106,16,FALSE),0),"n.a."))</f>
        <v>0</v>
      </c>
      <c r="S137" s="1">
        <f>IF(NOT(Paths!$C$18=1),0,IF(Paths!$P$18="Complete",IF(C137=0,0,Paths!$S$18*Paths!$R$18),"n.a."))</f>
        <v>45000</v>
      </c>
      <c r="T137" s="1">
        <f>IF(NOT(Paths!$C$18=1),0,IF(Paths!$P$18="Complete",IF(C137=0,0,VLOOKUP(A137,'Fleet register'!$A$7:$S$106,9,FALSE)*Paths!$R$18),"n.a."))</f>
        <v>7200</v>
      </c>
    </row>
    <row r="138" spans="1:20" ht="24" customHeight="1">
      <c r="A138" s="1" t="str">
        <f>Paths!$A$18</f>
        <v>T003</v>
      </c>
      <c r="B138" s="1">
        <f>Paths!$B$18</f>
        <v>3</v>
      </c>
      <c r="C138" s="1">
        <v>10</v>
      </c>
      <c r="D138" s="1">
        <v>18</v>
      </c>
      <c r="E138" s="1">
        <f>IF(OR(Paths!$C$18=0,C138=0),0,MAX(0,MIN(C138*12,Paths!$E$18)-(C138-1)*12))</f>
        <v>0</v>
      </c>
      <c r="F138" s="1">
        <f>IF(OR(Paths!$C$18=0,C138=0),0,12-E138)</f>
        <v>12</v>
      </c>
      <c r="G138" s="16">
        <f>IF(NOT(Paths!$C$18=1),0,IF(Paths!$P$18="Complete",E138/12*(Paths!$J$18*(1+'Operating costs'!$B$51)^MAX(0,C138-1)+Paths!$K$18*(1+'Operating costs'!$B$53)^MAX(0,C138-1)),"n.a."))</f>
        <v>0</v>
      </c>
      <c r="H138" s="16">
        <f>IF(NOT(Paths!$C$18=1),0,IF(Paths!$P$18="Complete",F138/12*(Paths!$L$18*(1+IF(Paths!$D$18="EV",'Operating costs'!$B$52,'Operating costs'!$B$51))^MAX(0,C138-1)+Paths!$M$18*(1+'Operating costs'!$B$53)^MAX(0,C138-1)),"n.a."))</f>
        <v>15636.851517552668</v>
      </c>
      <c r="I138" s="16">
        <f>IF(NOT(Paths!$C$18=1),0,IF(Paths!$P$18="Complete",IF(IF(Paths!$E$18=0,C138=0,AND(C138&gt;0,Paths!$E$18&gt;(C138-1)*12,Paths!$E$18&lt;=C138*12)),Paths!$G$18,0),"n.a."))</f>
        <v>0</v>
      </c>
      <c r="J138" s="16">
        <f>IF(NOT(Paths!$C$18=1),0,IF(Paths!$P$18="Complete",IF(IF(Paths!$E$18=0,C138=0,AND(C138&gt;0,Paths!$E$18&gt;(C138-1)*12,Paths!$E$18&lt;=C138*12)),Paths!$H$18,0),"n.a."))</f>
        <v>0</v>
      </c>
      <c r="K138" s="16">
        <f>IF(NOT(Paths!$C$18=1),0,IF(Paths!$P$18="Complete",IF(IF(Paths!$O$18=0,C138=0,AND(C138&gt;0,Paths!$O$18&gt;(C138-1)*12,Paths!$O$18&lt;=C138*12)),Paths!$N$18,0),"n.a."))</f>
        <v>0</v>
      </c>
      <c r="L138" s="16">
        <f>IF(NOT(Paths!$C$18=1),0,IF(Paths!$P$18="Complete",IF(C138=10,Paths!$I$18,0),"n.a."))</f>
        <v>8000</v>
      </c>
      <c r="M138" s="16">
        <f>IF(NOT(Paths!$C$18=1),0,IF(Paths!$P$18="Complete",IF(AND(Paths!$D$18="EV",Paths!$E$18&lt;120,Paths!$E$18+'Operating costs'!$B$65&gt;Paths!$E$18,Paths!$E$18+'Operating costs'!$B$65&lt;=120,IF(Paths!$E$18+'Operating costs'!$B$65=0,C138=0,AND(C138&gt;0,Paths!$E$18+'Operating costs'!$B$65&gt;(C138-1)*12,Paths!$E$18+'Operating costs'!$B$65&lt;=C138*12))),'Operating costs'!$B$64,0)+IF(AND('Operating costs'!$B$67&gt;0,'Operating costs'!$B$67&lt;=120,OR(Paths!$D$18="ICE",'Operating costs'!$B$67&lt;=Paths!$E$18),IF('Operating costs'!$B$67=0,C138=0,AND(C138&gt;0,'Operating costs'!$B$67&gt;(C138-1)*12,'Operating costs'!$B$67&lt;=C138*12))),'Operating costs'!$B$66,0),"n.a."))</f>
        <v>0</v>
      </c>
      <c r="N138" s="16">
        <f>IF(NOT(Paths!$C$18=1),0,IF(Paths!$P$18="Complete",SUM(G138:I138)-J138-K138-L138+M138+IF(C138=0,Paths!$F$18,0)+IF(IF(Paths!$E$18=0,C138=0,AND(C138&gt;0,Paths!$E$18&gt;(C138-1)*12,Paths!$E$18&lt;=C138*12)),VLOOKUP(A138,'Fleet register'!$A$7:$S$106,16,FALSE),0),"n.a."))</f>
        <v>7636.8515175526682</v>
      </c>
      <c r="O138" s="16">
        <f>IF(NOT(Paths!$C$18=1),0,IF(Paths!$P$18="Complete",N138-IF(C138=0,Paths!$F$18,0),"n.a."))</f>
        <v>7636.8515175526682</v>
      </c>
      <c r="P138" s="16">
        <f>IF(NOT(Paths!$C$18=1),0,IF(Paths!$P$18="Complete",O138+L138,"n.a."))</f>
        <v>15636.851517552668</v>
      </c>
      <c r="Q138" s="16">
        <f>IF(NOT(Paths!$C$18=1),0,IF(Paths!$P$18="Complete",N138*(1+'Operating costs'!$B$54)^-C138,"n.a."))</f>
        <v>7636.8515175526682</v>
      </c>
      <c r="R138" s="16">
        <f>IF(NOT(Paths!$C$18=1),0,IF(Paths!$P$18="Complete",IF(AND(C138=0,Paths!$E$18=0),I138-J138-K138+VLOOKUP(A138,'Fleet register'!$A$7:$S$106,15,FALSE)+VLOOKUP(A138,'Fleet register'!$A$7:$S$106,16,FALSE),0),"n.a."))</f>
        <v>0</v>
      </c>
      <c r="S138" s="1">
        <f>IF(NOT(Paths!$C$18=1),0,IF(Paths!$P$18="Complete",IF(C138=0,0,Paths!$S$18*Paths!$R$18),"n.a."))</f>
        <v>45000</v>
      </c>
      <c r="T138" s="1">
        <f>IF(NOT(Paths!$C$18=1),0,IF(Paths!$P$18="Complete",IF(C138=0,0,VLOOKUP(A138,'Fleet register'!$A$7:$S$106,9,FALSE)*Paths!$R$18),"n.a."))</f>
        <v>7200</v>
      </c>
    </row>
    <row r="139" spans="1:20" ht="24" customHeight="1">
      <c r="A139" s="1" t="str">
        <f>Paths!$A$19</f>
        <v>T004</v>
      </c>
      <c r="B139" s="1">
        <f>Paths!$B$19</f>
        <v>0</v>
      </c>
      <c r="C139" s="1">
        <v>0</v>
      </c>
      <c r="D139" s="1">
        <v>19</v>
      </c>
      <c r="E139" s="1">
        <f>IF(OR(Paths!$C$19=0,C139=0),0,MAX(0,MIN(C139*12,Paths!$E$19)-(C139-1)*12))</f>
        <v>0</v>
      </c>
      <c r="F139" s="1">
        <f>IF(OR(Paths!$C$19=0,C139=0),0,12-E139)</f>
        <v>0</v>
      </c>
      <c r="G139" s="16">
        <f>IF(NOT(Paths!$C$19=1),0,IF(Paths!$P$19="Complete",E139/12*(Paths!$J$19*(1+'Operating costs'!$B$51)^MAX(0,C139-1)+Paths!$K$19*(1+'Operating costs'!$B$53)^MAX(0,C139-1)),"n.a."))</f>
        <v>0</v>
      </c>
      <c r="H139" s="16">
        <f>IF(NOT(Paths!$C$19=1),0,IF(Paths!$P$19="Complete",F139/12*(Paths!$L$19*(1+IF(Paths!$D$19="EV",'Operating costs'!$B$52,'Operating costs'!$B$51))^MAX(0,C139-1)+Paths!$M$19*(1+'Operating costs'!$B$53)^MAX(0,C139-1)),"n.a."))</f>
        <v>0</v>
      </c>
      <c r="I139" s="16">
        <f>IF(NOT(Paths!$C$19=1),0,IF(Paths!$P$19="Complete",IF(IF(Paths!$E$19=0,C139=0,AND(C139&gt;0,Paths!$E$19&gt;(C139-1)*12,Paths!$E$19&lt;=C139*12)),Paths!$G$19,0),"n.a."))</f>
        <v>0</v>
      </c>
      <c r="J139" s="16">
        <f>IF(NOT(Paths!$C$19=1),0,IF(Paths!$P$19="Complete",IF(IF(Paths!$E$19=0,C139=0,AND(C139&gt;0,Paths!$E$19&gt;(C139-1)*12,Paths!$E$19&lt;=C139*12)),Paths!$H$19,0),"n.a."))</f>
        <v>0</v>
      </c>
      <c r="K139" s="16">
        <f>IF(NOT(Paths!$C$19=1),0,IF(Paths!$P$19="Complete",IF(IF(Paths!$O$19=0,C139=0,AND(C139&gt;0,Paths!$O$19&gt;(C139-1)*12,Paths!$O$19&lt;=C139*12)),Paths!$N$19,0),"n.a."))</f>
        <v>0</v>
      </c>
      <c r="L139" s="16">
        <f>IF(NOT(Paths!$C$19=1),0,IF(Paths!$P$19="Complete",IF(C139=10,Paths!$I$19,0),"n.a."))</f>
        <v>0</v>
      </c>
      <c r="M139" s="16">
        <f>IF(NOT(Paths!$C$19=1),0,IF(Paths!$P$19="Complete",IF(AND(Paths!$D$19="EV",Paths!$E$19&lt;120,Paths!$E$19+'Operating costs'!$B$65&gt;Paths!$E$19,Paths!$E$19+'Operating costs'!$B$65&lt;=120,IF(Paths!$E$19+'Operating costs'!$B$65=0,C139=0,AND(C139&gt;0,Paths!$E$19+'Operating costs'!$B$65&gt;(C139-1)*12,Paths!$E$19+'Operating costs'!$B$65&lt;=C139*12))),'Operating costs'!$B$64,0)+IF(AND('Operating costs'!$B$67&gt;0,'Operating costs'!$B$67&lt;=120,OR(Paths!$D$19="ICE",'Operating costs'!$B$67&lt;=Paths!$E$19),IF('Operating costs'!$B$67=0,C139=0,AND(C139&gt;0,'Operating costs'!$B$67&gt;(C139-1)*12,'Operating costs'!$B$67&lt;=C139*12))),'Operating costs'!$B$66,0),"n.a."))</f>
        <v>0</v>
      </c>
      <c r="N139" s="16">
        <f>IF(NOT(Paths!$C$19=1),0,IF(Paths!$P$19="Complete",SUM(G139:I139)-J139-K139-L139+M139+IF(C139=0,Paths!$F$19,0)+IF(IF(Paths!$E$19=0,C139=0,AND(C139&gt;0,Paths!$E$19&gt;(C139-1)*12,Paths!$E$19&lt;=C139*12)),VLOOKUP(A139,'Fleet register'!$A$7:$S$106,16,FALSE),0),"n.a."))</f>
        <v>42000</v>
      </c>
      <c r="O139" s="16">
        <f>IF(NOT(Paths!$C$19=1),0,IF(Paths!$P$19="Complete",N139-IF(C139=0,Paths!$F$19,0),"n.a."))</f>
        <v>0</v>
      </c>
      <c r="P139" s="16">
        <f>IF(NOT(Paths!$C$19=1),0,IF(Paths!$P$19="Complete",O139+L139,"n.a."))</f>
        <v>0</v>
      </c>
      <c r="Q139" s="16">
        <f>IF(NOT(Paths!$C$19=1),0,IF(Paths!$P$19="Complete",N139*(1+'Operating costs'!$B$54)^-C139,"n.a."))</f>
        <v>42000</v>
      </c>
      <c r="R139" s="16">
        <f>IF(NOT(Paths!$C$19=1),0,IF(Paths!$P$19="Complete",IF(AND(C139=0,Paths!$E$19=0),I139-J139-K139+VLOOKUP(A139,'Fleet register'!$A$7:$S$106,15,FALSE)+VLOOKUP(A139,'Fleet register'!$A$7:$S$106,16,FALSE),0),"n.a."))</f>
        <v>0</v>
      </c>
      <c r="S139" s="1">
        <f>IF(NOT(Paths!$C$19=1),0,IF(Paths!$P$19="Complete",IF(C139=0,0,Paths!$S$19*Paths!$R$19),"n.a."))</f>
        <v>0</v>
      </c>
      <c r="T139" s="1">
        <f>IF(NOT(Paths!$C$19=1),0,IF(Paths!$P$19="Complete",IF(C139=0,0,VLOOKUP(A139,'Fleet register'!$A$7:$S$106,9,FALSE)*Paths!$R$19),"n.a."))</f>
        <v>0</v>
      </c>
    </row>
    <row r="140" spans="1:20" ht="24" customHeight="1">
      <c r="A140" s="1" t="str">
        <f>Paths!$A$19</f>
        <v>T004</v>
      </c>
      <c r="B140" s="1">
        <f>Paths!$B$19</f>
        <v>0</v>
      </c>
      <c r="C140" s="1">
        <v>1</v>
      </c>
      <c r="D140" s="1">
        <v>19</v>
      </c>
      <c r="E140" s="1">
        <f>IF(OR(Paths!$C$19=0,C140=0),0,MAX(0,MIN(C140*12,Paths!$E$19)-(C140-1)*12))</f>
        <v>12</v>
      </c>
      <c r="F140" s="1">
        <f>IF(OR(Paths!$C$19=0,C140=0),0,12-E140)</f>
        <v>0</v>
      </c>
      <c r="G140" s="16">
        <f>IF(NOT(Paths!$C$19=1),0,IF(Paths!$P$19="Complete",E140/12*(Paths!$J$19*(1+'Operating costs'!$B$51)^MAX(0,C140-1)+Paths!$K$19*(1+'Operating costs'!$B$53)^MAX(0,C140-1)),"n.a."))</f>
        <v>18151.349999999999</v>
      </c>
      <c r="H140" s="16">
        <f>IF(NOT(Paths!$C$19=1),0,IF(Paths!$P$19="Complete",F140/12*(Paths!$L$19*(1+IF(Paths!$D$19="EV",'Operating costs'!$B$52,'Operating costs'!$B$51))^MAX(0,C140-1)+Paths!$M$19*(1+'Operating costs'!$B$53)^MAX(0,C140-1)),"n.a."))</f>
        <v>0</v>
      </c>
      <c r="I140" s="16">
        <f>IF(NOT(Paths!$C$19=1),0,IF(Paths!$P$19="Complete",IF(IF(Paths!$E$19=0,C140=0,AND(C140&gt;0,Paths!$E$19&gt;(C140-1)*12,Paths!$E$19&lt;=C140*12)),Paths!$G$19,0),"n.a."))</f>
        <v>0</v>
      </c>
      <c r="J140" s="16">
        <f>IF(NOT(Paths!$C$19=1),0,IF(Paths!$P$19="Complete",IF(IF(Paths!$E$19=0,C140=0,AND(C140&gt;0,Paths!$E$19&gt;(C140-1)*12,Paths!$E$19&lt;=C140*12)),Paths!$H$19,0),"n.a."))</f>
        <v>0</v>
      </c>
      <c r="K140" s="16">
        <f>IF(NOT(Paths!$C$19=1),0,IF(Paths!$P$19="Complete",IF(IF(Paths!$O$19=0,C140=0,AND(C140&gt;0,Paths!$O$19&gt;(C140-1)*12,Paths!$O$19&lt;=C140*12)),Paths!$N$19,0),"n.a."))</f>
        <v>0</v>
      </c>
      <c r="L140" s="16">
        <f>IF(NOT(Paths!$C$19=1),0,IF(Paths!$P$19="Complete",IF(C140=10,Paths!$I$19,0),"n.a."))</f>
        <v>0</v>
      </c>
      <c r="M140" s="16">
        <f>IF(NOT(Paths!$C$19=1),0,IF(Paths!$P$19="Complete",IF(AND(Paths!$D$19="EV",Paths!$E$19&lt;120,Paths!$E$19+'Operating costs'!$B$65&gt;Paths!$E$19,Paths!$E$19+'Operating costs'!$B$65&lt;=120,IF(Paths!$E$19+'Operating costs'!$B$65=0,C140=0,AND(C140&gt;0,Paths!$E$19+'Operating costs'!$B$65&gt;(C140-1)*12,Paths!$E$19+'Operating costs'!$B$65&lt;=C140*12))),'Operating costs'!$B$64,0)+IF(AND('Operating costs'!$B$67&gt;0,'Operating costs'!$B$67&lt;=120,OR(Paths!$D$19="ICE",'Operating costs'!$B$67&lt;=Paths!$E$19),IF('Operating costs'!$B$67=0,C140=0,AND(C140&gt;0,'Operating costs'!$B$67&gt;(C140-1)*12,'Operating costs'!$B$67&lt;=C140*12))),'Operating costs'!$B$66,0),"n.a."))</f>
        <v>0</v>
      </c>
      <c r="N140" s="16">
        <f>IF(NOT(Paths!$C$19=1),0,IF(Paths!$P$19="Complete",SUM(G140:I140)-J140-K140-L140+M140+IF(C140=0,Paths!$F$19,0)+IF(IF(Paths!$E$19=0,C140=0,AND(C140&gt;0,Paths!$E$19&gt;(C140-1)*12,Paths!$E$19&lt;=C140*12)),VLOOKUP(A140,'Fleet register'!$A$7:$S$106,16,FALSE),0),"n.a."))</f>
        <v>18151.349999999999</v>
      </c>
      <c r="O140" s="16">
        <f>IF(NOT(Paths!$C$19=1),0,IF(Paths!$P$19="Complete",N140-IF(C140=0,Paths!$F$19,0),"n.a."))</f>
        <v>18151.349999999999</v>
      </c>
      <c r="P140" s="16">
        <f>IF(NOT(Paths!$C$19=1),0,IF(Paths!$P$19="Complete",O140+L140,"n.a."))</f>
        <v>18151.349999999999</v>
      </c>
      <c r="Q140" s="16">
        <f>IF(NOT(Paths!$C$19=1),0,IF(Paths!$P$19="Complete",N140*(1+'Operating costs'!$B$54)^-C140,"n.a."))</f>
        <v>18151.349999999999</v>
      </c>
      <c r="R140" s="16">
        <f>IF(NOT(Paths!$C$19=1),0,IF(Paths!$P$19="Complete",IF(AND(C140=0,Paths!$E$19=0),I140-J140-K140+VLOOKUP(A140,'Fleet register'!$A$7:$S$106,15,FALSE)+VLOOKUP(A140,'Fleet register'!$A$7:$S$106,16,FALSE),0),"n.a."))</f>
        <v>0</v>
      </c>
      <c r="S140" s="1">
        <f>IF(NOT(Paths!$C$19=1),0,IF(Paths!$P$19="Complete",IF(C140=0,0,Paths!$S$19*Paths!$R$19),"n.a."))</f>
        <v>45000</v>
      </c>
      <c r="T140" s="1">
        <f>IF(NOT(Paths!$C$19=1),0,IF(Paths!$P$19="Complete",IF(C140=0,0,VLOOKUP(A140,'Fleet register'!$A$7:$S$106,9,FALSE)*Paths!$R$19),"n.a."))</f>
        <v>7200</v>
      </c>
    </row>
    <row r="141" spans="1:20" ht="24" customHeight="1">
      <c r="A141" s="1" t="str">
        <f>Paths!$A$19</f>
        <v>T004</v>
      </c>
      <c r="B141" s="1">
        <f>Paths!$B$19</f>
        <v>0</v>
      </c>
      <c r="C141" s="1">
        <v>2</v>
      </c>
      <c r="D141" s="1">
        <v>19</v>
      </c>
      <c r="E141" s="1">
        <f>IF(OR(Paths!$C$19=0,C141=0),0,MAX(0,MIN(C141*12,Paths!$E$19)-(C141-1)*12))</f>
        <v>12</v>
      </c>
      <c r="F141" s="1">
        <f>IF(OR(Paths!$C$19=0,C141=0),0,12-E141)</f>
        <v>0</v>
      </c>
      <c r="G141" s="16">
        <f>IF(NOT(Paths!$C$19=1),0,IF(Paths!$P$19="Complete",E141/12*(Paths!$J$19*(1+'Operating costs'!$B$51)^MAX(0,C141-1)+Paths!$K$19*(1+'Operating costs'!$B$53)^MAX(0,C141-1)),"n.a."))</f>
        <v>18151.349999999999</v>
      </c>
      <c r="H141" s="16">
        <f>IF(NOT(Paths!$C$19=1),0,IF(Paths!$P$19="Complete",F141/12*(Paths!$L$19*(1+IF(Paths!$D$19="EV",'Operating costs'!$B$52,'Operating costs'!$B$51))^MAX(0,C141-1)+Paths!$M$19*(1+'Operating costs'!$B$53)^MAX(0,C141-1)),"n.a."))</f>
        <v>0</v>
      </c>
      <c r="I141" s="16">
        <f>IF(NOT(Paths!$C$19=1),0,IF(Paths!$P$19="Complete",IF(IF(Paths!$E$19=0,C141=0,AND(C141&gt;0,Paths!$E$19&gt;(C141-1)*12,Paths!$E$19&lt;=C141*12)),Paths!$G$19,0),"n.a."))</f>
        <v>0</v>
      </c>
      <c r="J141" s="16">
        <f>IF(NOT(Paths!$C$19=1),0,IF(Paths!$P$19="Complete",IF(IF(Paths!$E$19=0,C141=0,AND(C141&gt;0,Paths!$E$19&gt;(C141-1)*12,Paths!$E$19&lt;=C141*12)),Paths!$H$19,0),"n.a."))</f>
        <v>0</v>
      </c>
      <c r="K141" s="16">
        <f>IF(NOT(Paths!$C$19=1),0,IF(Paths!$P$19="Complete",IF(IF(Paths!$O$19=0,C141=0,AND(C141&gt;0,Paths!$O$19&gt;(C141-1)*12,Paths!$O$19&lt;=C141*12)),Paths!$N$19,0),"n.a."))</f>
        <v>0</v>
      </c>
      <c r="L141" s="16">
        <f>IF(NOT(Paths!$C$19=1),0,IF(Paths!$P$19="Complete",IF(C141=10,Paths!$I$19,0),"n.a."))</f>
        <v>0</v>
      </c>
      <c r="M141" s="16">
        <f>IF(NOT(Paths!$C$19=1),0,IF(Paths!$P$19="Complete",IF(AND(Paths!$D$19="EV",Paths!$E$19&lt;120,Paths!$E$19+'Operating costs'!$B$65&gt;Paths!$E$19,Paths!$E$19+'Operating costs'!$B$65&lt;=120,IF(Paths!$E$19+'Operating costs'!$B$65=0,C141=0,AND(C141&gt;0,Paths!$E$19+'Operating costs'!$B$65&gt;(C141-1)*12,Paths!$E$19+'Operating costs'!$B$65&lt;=C141*12))),'Operating costs'!$B$64,0)+IF(AND('Operating costs'!$B$67&gt;0,'Operating costs'!$B$67&lt;=120,OR(Paths!$D$19="ICE",'Operating costs'!$B$67&lt;=Paths!$E$19),IF('Operating costs'!$B$67=0,C141=0,AND(C141&gt;0,'Operating costs'!$B$67&gt;(C141-1)*12,'Operating costs'!$B$67&lt;=C141*12))),'Operating costs'!$B$66,0),"n.a."))</f>
        <v>0</v>
      </c>
      <c r="N141" s="16">
        <f>IF(NOT(Paths!$C$19=1),0,IF(Paths!$P$19="Complete",SUM(G141:I141)-J141-K141-L141+M141+IF(C141=0,Paths!$F$19,0)+IF(IF(Paths!$E$19=0,C141=0,AND(C141&gt;0,Paths!$E$19&gt;(C141-1)*12,Paths!$E$19&lt;=C141*12)),VLOOKUP(A141,'Fleet register'!$A$7:$S$106,16,FALSE),0),"n.a."))</f>
        <v>18151.349999999999</v>
      </c>
      <c r="O141" s="16">
        <f>IF(NOT(Paths!$C$19=1),0,IF(Paths!$P$19="Complete",N141-IF(C141=0,Paths!$F$19,0),"n.a."))</f>
        <v>18151.349999999999</v>
      </c>
      <c r="P141" s="16">
        <f>IF(NOT(Paths!$C$19=1),0,IF(Paths!$P$19="Complete",O141+L141,"n.a."))</f>
        <v>18151.349999999999</v>
      </c>
      <c r="Q141" s="16">
        <f>IF(NOT(Paths!$C$19=1),0,IF(Paths!$P$19="Complete",N141*(1+'Operating costs'!$B$54)^-C141,"n.a."))</f>
        <v>18151.349999999999</v>
      </c>
      <c r="R141" s="16">
        <f>IF(NOT(Paths!$C$19=1),0,IF(Paths!$P$19="Complete",IF(AND(C141=0,Paths!$E$19=0),I141-J141-K141+VLOOKUP(A141,'Fleet register'!$A$7:$S$106,15,FALSE)+VLOOKUP(A141,'Fleet register'!$A$7:$S$106,16,FALSE),0),"n.a."))</f>
        <v>0</v>
      </c>
      <c r="S141" s="1">
        <f>IF(NOT(Paths!$C$19=1),0,IF(Paths!$P$19="Complete",IF(C141=0,0,Paths!$S$19*Paths!$R$19),"n.a."))</f>
        <v>45000</v>
      </c>
      <c r="T141" s="1">
        <f>IF(NOT(Paths!$C$19=1),0,IF(Paths!$P$19="Complete",IF(C141=0,0,VLOOKUP(A141,'Fleet register'!$A$7:$S$106,9,FALSE)*Paths!$R$19),"n.a."))</f>
        <v>7200</v>
      </c>
    </row>
    <row r="142" spans="1:20" ht="24" customHeight="1">
      <c r="A142" s="1" t="str">
        <f>Paths!$A$19</f>
        <v>T004</v>
      </c>
      <c r="B142" s="1">
        <f>Paths!$B$19</f>
        <v>0</v>
      </c>
      <c r="C142" s="1">
        <v>3</v>
      </c>
      <c r="D142" s="1">
        <v>19</v>
      </c>
      <c r="E142" s="1">
        <f>IF(OR(Paths!$C$19=0,C142=0),0,MAX(0,MIN(C142*12,Paths!$E$19)-(C142-1)*12))</f>
        <v>12</v>
      </c>
      <c r="F142" s="1">
        <f>IF(OR(Paths!$C$19=0,C142=0),0,12-E142)</f>
        <v>0</v>
      </c>
      <c r="G142" s="16">
        <f>IF(NOT(Paths!$C$19=1),0,IF(Paths!$P$19="Complete",E142/12*(Paths!$J$19*(1+'Operating costs'!$B$51)^MAX(0,C142-1)+Paths!$K$19*(1+'Operating costs'!$B$53)^MAX(0,C142-1)),"n.a."))</f>
        <v>18151.349999999999</v>
      </c>
      <c r="H142" s="16">
        <f>IF(NOT(Paths!$C$19=1),0,IF(Paths!$P$19="Complete",F142/12*(Paths!$L$19*(1+IF(Paths!$D$19="EV",'Operating costs'!$B$52,'Operating costs'!$B$51))^MAX(0,C142-1)+Paths!$M$19*(1+'Operating costs'!$B$53)^MAX(0,C142-1)),"n.a."))</f>
        <v>0</v>
      </c>
      <c r="I142" s="16">
        <f>IF(NOT(Paths!$C$19=1),0,IF(Paths!$P$19="Complete",IF(IF(Paths!$E$19=0,C142=0,AND(C142&gt;0,Paths!$E$19&gt;(C142-1)*12,Paths!$E$19&lt;=C142*12)),Paths!$G$19,0),"n.a."))</f>
        <v>0</v>
      </c>
      <c r="J142" s="16">
        <f>IF(NOT(Paths!$C$19=1),0,IF(Paths!$P$19="Complete",IF(IF(Paths!$E$19=0,C142=0,AND(C142&gt;0,Paths!$E$19&gt;(C142-1)*12,Paths!$E$19&lt;=C142*12)),Paths!$H$19,0),"n.a."))</f>
        <v>0</v>
      </c>
      <c r="K142" s="16">
        <f>IF(NOT(Paths!$C$19=1),0,IF(Paths!$P$19="Complete",IF(IF(Paths!$O$19=0,C142=0,AND(C142&gt;0,Paths!$O$19&gt;(C142-1)*12,Paths!$O$19&lt;=C142*12)),Paths!$N$19,0),"n.a."))</f>
        <v>0</v>
      </c>
      <c r="L142" s="16">
        <f>IF(NOT(Paths!$C$19=1),0,IF(Paths!$P$19="Complete",IF(C142=10,Paths!$I$19,0),"n.a."))</f>
        <v>0</v>
      </c>
      <c r="M142" s="16">
        <f>IF(NOT(Paths!$C$19=1),0,IF(Paths!$P$19="Complete",IF(AND(Paths!$D$19="EV",Paths!$E$19&lt;120,Paths!$E$19+'Operating costs'!$B$65&gt;Paths!$E$19,Paths!$E$19+'Operating costs'!$B$65&lt;=120,IF(Paths!$E$19+'Operating costs'!$B$65=0,C142=0,AND(C142&gt;0,Paths!$E$19+'Operating costs'!$B$65&gt;(C142-1)*12,Paths!$E$19+'Operating costs'!$B$65&lt;=C142*12))),'Operating costs'!$B$64,0)+IF(AND('Operating costs'!$B$67&gt;0,'Operating costs'!$B$67&lt;=120,OR(Paths!$D$19="ICE",'Operating costs'!$B$67&lt;=Paths!$E$19),IF('Operating costs'!$B$67=0,C142=0,AND(C142&gt;0,'Operating costs'!$B$67&gt;(C142-1)*12,'Operating costs'!$B$67&lt;=C142*12))),'Operating costs'!$B$66,0),"n.a."))</f>
        <v>0</v>
      </c>
      <c r="N142" s="16">
        <f>IF(NOT(Paths!$C$19=1),0,IF(Paths!$P$19="Complete",SUM(G142:I142)-J142-K142-L142+M142+IF(C142=0,Paths!$F$19,0)+IF(IF(Paths!$E$19=0,C142=0,AND(C142&gt;0,Paths!$E$19&gt;(C142-1)*12,Paths!$E$19&lt;=C142*12)),VLOOKUP(A142,'Fleet register'!$A$7:$S$106,16,FALSE),0),"n.a."))</f>
        <v>18151.349999999999</v>
      </c>
      <c r="O142" s="16">
        <f>IF(NOT(Paths!$C$19=1),0,IF(Paths!$P$19="Complete",N142-IF(C142=0,Paths!$F$19,0),"n.a."))</f>
        <v>18151.349999999999</v>
      </c>
      <c r="P142" s="16">
        <f>IF(NOT(Paths!$C$19=1),0,IF(Paths!$P$19="Complete",O142+L142,"n.a."))</f>
        <v>18151.349999999999</v>
      </c>
      <c r="Q142" s="16">
        <f>IF(NOT(Paths!$C$19=1),0,IF(Paths!$P$19="Complete",N142*(1+'Operating costs'!$B$54)^-C142,"n.a."))</f>
        <v>18151.349999999999</v>
      </c>
      <c r="R142" s="16">
        <f>IF(NOT(Paths!$C$19=1),0,IF(Paths!$P$19="Complete",IF(AND(C142=0,Paths!$E$19=0),I142-J142-K142+VLOOKUP(A142,'Fleet register'!$A$7:$S$106,15,FALSE)+VLOOKUP(A142,'Fleet register'!$A$7:$S$106,16,FALSE),0),"n.a."))</f>
        <v>0</v>
      </c>
      <c r="S142" s="1">
        <f>IF(NOT(Paths!$C$19=1),0,IF(Paths!$P$19="Complete",IF(C142=0,0,Paths!$S$19*Paths!$R$19),"n.a."))</f>
        <v>45000</v>
      </c>
      <c r="T142" s="1">
        <f>IF(NOT(Paths!$C$19=1),0,IF(Paths!$P$19="Complete",IF(C142=0,0,VLOOKUP(A142,'Fleet register'!$A$7:$S$106,9,FALSE)*Paths!$R$19),"n.a."))</f>
        <v>7200</v>
      </c>
    </row>
    <row r="143" spans="1:20" ht="24" customHeight="1">
      <c r="A143" s="1" t="str">
        <f>Paths!$A$19</f>
        <v>T004</v>
      </c>
      <c r="B143" s="1">
        <f>Paths!$B$19</f>
        <v>0</v>
      </c>
      <c r="C143" s="1">
        <v>4</v>
      </c>
      <c r="D143" s="1">
        <v>19</v>
      </c>
      <c r="E143" s="1">
        <f>IF(OR(Paths!$C$19=0,C143=0),0,MAX(0,MIN(C143*12,Paths!$E$19)-(C143-1)*12))</f>
        <v>12</v>
      </c>
      <c r="F143" s="1">
        <f>IF(OR(Paths!$C$19=0,C143=0),0,12-E143)</f>
        <v>0</v>
      </c>
      <c r="G143" s="16">
        <f>IF(NOT(Paths!$C$19=1),0,IF(Paths!$P$19="Complete",E143/12*(Paths!$J$19*(1+'Operating costs'!$B$51)^MAX(0,C143-1)+Paths!$K$19*(1+'Operating costs'!$B$53)^MAX(0,C143-1)),"n.a."))</f>
        <v>18151.349999999999</v>
      </c>
      <c r="H143" s="16">
        <f>IF(NOT(Paths!$C$19=1),0,IF(Paths!$P$19="Complete",F143/12*(Paths!$L$19*(1+IF(Paths!$D$19="EV",'Operating costs'!$B$52,'Operating costs'!$B$51))^MAX(0,C143-1)+Paths!$M$19*(1+'Operating costs'!$B$53)^MAX(0,C143-1)),"n.a."))</f>
        <v>0</v>
      </c>
      <c r="I143" s="16">
        <f>IF(NOT(Paths!$C$19=1),0,IF(Paths!$P$19="Complete",IF(IF(Paths!$E$19=0,C143=0,AND(C143&gt;0,Paths!$E$19&gt;(C143-1)*12,Paths!$E$19&lt;=C143*12)),Paths!$G$19,0),"n.a."))</f>
        <v>181000</v>
      </c>
      <c r="J143" s="16">
        <f>IF(NOT(Paths!$C$19=1),0,IF(Paths!$P$19="Complete",IF(IF(Paths!$E$19=0,C143=0,AND(C143&gt;0,Paths!$E$19&gt;(C143-1)*12,Paths!$E$19&lt;=C143*12)),Paths!$H$19,0),"n.a."))</f>
        <v>10000</v>
      </c>
      <c r="K143" s="16">
        <f>IF(NOT(Paths!$C$19=1),0,IF(Paths!$P$19="Complete",IF(IF(Paths!$O$19=0,C143=0,AND(C143&gt;0,Paths!$O$19&gt;(C143-1)*12,Paths!$O$19&lt;=C143*12)),Paths!$N$19,0),"n.a."))</f>
        <v>0</v>
      </c>
      <c r="L143" s="16">
        <f>IF(NOT(Paths!$C$19=1),0,IF(Paths!$P$19="Complete",IF(C143=10,Paths!$I$19,0),"n.a."))</f>
        <v>0</v>
      </c>
      <c r="M143" s="16">
        <f>IF(NOT(Paths!$C$19=1),0,IF(Paths!$P$19="Complete",IF(AND(Paths!$D$19="EV",Paths!$E$19&lt;120,Paths!$E$19+'Operating costs'!$B$65&gt;Paths!$E$19,Paths!$E$19+'Operating costs'!$B$65&lt;=120,IF(Paths!$E$19+'Operating costs'!$B$65=0,C143=0,AND(C143&gt;0,Paths!$E$19+'Operating costs'!$B$65&gt;(C143-1)*12,Paths!$E$19+'Operating costs'!$B$65&lt;=C143*12))),'Operating costs'!$B$64,0)+IF(AND('Operating costs'!$B$67&gt;0,'Operating costs'!$B$67&lt;=120,OR(Paths!$D$19="ICE",'Operating costs'!$B$67&lt;=Paths!$E$19),IF('Operating costs'!$B$67=0,C143=0,AND(C143&gt;0,'Operating costs'!$B$67&gt;(C143-1)*12,'Operating costs'!$B$67&lt;=C143*12))),'Operating costs'!$B$66,0),"n.a."))</f>
        <v>0</v>
      </c>
      <c r="N143" s="16">
        <f>IF(NOT(Paths!$C$19=1),0,IF(Paths!$P$19="Complete",SUM(G143:I143)-J143-K143-L143+M143+IF(C143=0,Paths!$F$19,0)+IF(IF(Paths!$E$19=0,C143=0,AND(C143&gt;0,Paths!$E$19&gt;(C143-1)*12,Paths!$E$19&lt;=C143*12)),VLOOKUP(A143,'Fleet register'!$A$7:$S$106,16,FALSE),0),"n.a."))</f>
        <v>189151.35</v>
      </c>
      <c r="O143" s="16">
        <f>IF(NOT(Paths!$C$19=1),0,IF(Paths!$P$19="Complete",N143-IF(C143=0,Paths!$F$19,0),"n.a."))</f>
        <v>189151.35</v>
      </c>
      <c r="P143" s="16">
        <f>IF(NOT(Paths!$C$19=1),0,IF(Paths!$P$19="Complete",O143+L143,"n.a."))</f>
        <v>189151.35</v>
      </c>
      <c r="Q143" s="16">
        <f>IF(NOT(Paths!$C$19=1),0,IF(Paths!$P$19="Complete",N143*(1+'Operating costs'!$B$54)^-C143,"n.a."))</f>
        <v>189151.35</v>
      </c>
      <c r="R143" s="16">
        <f>IF(NOT(Paths!$C$19=1),0,IF(Paths!$P$19="Complete",IF(AND(C143=0,Paths!$E$19=0),I143-J143-K143+VLOOKUP(A143,'Fleet register'!$A$7:$S$106,15,FALSE)+VLOOKUP(A143,'Fleet register'!$A$7:$S$106,16,FALSE),0),"n.a."))</f>
        <v>0</v>
      </c>
      <c r="S143" s="1">
        <f>IF(NOT(Paths!$C$19=1),0,IF(Paths!$P$19="Complete",IF(C143=0,0,Paths!$S$19*Paths!$R$19),"n.a."))</f>
        <v>45000</v>
      </c>
      <c r="T143" s="1">
        <f>IF(NOT(Paths!$C$19=1),0,IF(Paths!$P$19="Complete",IF(C143=0,0,VLOOKUP(A143,'Fleet register'!$A$7:$S$106,9,FALSE)*Paths!$R$19),"n.a."))</f>
        <v>7200</v>
      </c>
    </row>
    <row r="144" spans="1:20" ht="24" customHeight="1">
      <c r="A144" s="1" t="str">
        <f>Paths!$A$19</f>
        <v>T004</v>
      </c>
      <c r="B144" s="1">
        <f>Paths!$B$19</f>
        <v>0</v>
      </c>
      <c r="C144" s="1">
        <v>5</v>
      </c>
      <c r="D144" s="1">
        <v>19</v>
      </c>
      <c r="E144" s="1">
        <f>IF(OR(Paths!$C$19=0,C144=0),0,MAX(0,MIN(C144*12,Paths!$E$19)-(C144-1)*12))</f>
        <v>0</v>
      </c>
      <c r="F144" s="1">
        <f>IF(OR(Paths!$C$19=0,C144=0),0,12-E144)</f>
        <v>12</v>
      </c>
      <c r="G144" s="16">
        <f>IF(NOT(Paths!$C$19=1),0,IF(Paths!$P$19="Complete",E144/12*(Paths!$J$19*(1+'Operating costs'!$B$51)^MAX(0,C144-1)+Paths!$K$19*(1+'Operating costs'!$B$53)^MAX(0,C144-1)),"n.a."))</f>
        <v>0</v>
      </c>
      <c r="H144" s="16">
        <f>IF(NOT(Paths!$C$19=1),0,IF(Paths!$P$19="Complete",F144/12*(Paths!$L$19*(1+IF(Paths!$D$19="EV",'Operating costs'!$B$52,'Operating costs'!$B$51))^MAX(0,C144-1)+Paths!$M$19*(1+'Operating costs'!$B$53)^MAX(0,C144-1)),"n.a."))</f>
        <v>18151.349999999999</v>
      </c>
      <c r="I144" s="16">
        <f>IF(NOT(Paths!$C$19=1),0,IF(Paths!$P$19="Complete",IF(IF(Paths!$E$19=0,C144=0,AND(C144&gt;0,Paths!$E$19&gt;(C144-1)*12,Paths!$E$19&lt;=C144*12)),Paths!$G$19,0),"n.a."))</f>
        <v>0</v>
      </c>
      <c r="J144" s="16">
        <f>IF(NOT(Paths!$C$19=1),0,IF(Paths!$P$19="Complete",IF(IF(Paths!$E$19=0,C144=0,AND(C144&gt;0,Paths!$E$19&gt;(C144-1)*12,Paths!$E$19&lt;=C144*12)),Paths!$H$19,0),"n.a."))</f>
        <v>0</v>
      </c>
      <c r="K144" s="16">
        <f>IF(NOT(Paths!$C$19=1),0,IF(Paths!$P$19="Complete",IF(IF(Paths!$O$19=0,C144=0,AND(C144&gt;0,Paths!$O$19&gt;(C144-1)*12,Paths!$O$19&lt;=C144*12)),Paths!$N$19,0),"n.a."))</f>
        <v>0</v>
      </c>
      <c r="L144" s="16">
        <f>IF(NOT(Paths!$C$19=1),0,IF(Paths!$P$19="Complete",IF(C144=10,Paths!$I$19,0),"n.a."))</f>
        <v>0</v>
      </c>
      <c r="M144" s="16">
        <f>IF(NOT(Paths!$C$19=1),0,IF(Paths!$P$19="Complete",IF(AND(Paths!$D$19="EV",Paths!$E$19&lt;120,Paths!$E$19+'Operating costs'!$B$65&gt;Paths!$E$19,Paths!$E$19+'Operating costs'!$B$65&lt;=120,IF(Paths!$E$19+'Operating costs'!$B$65=0,C144=0,AND(C144&gt;0,Paths!$E$19+'Operating costs'!$B$65&gt;(C144-1)*12,Paths!$E$19+'Operating costs'!$B$65&lt;=C144*12))),'Operating costs'!$B$64,0)+IF(AND('Operating costs'!$B$67&gt;0,'Operating costs'!$B$67&lt;=120,OR(Paths!$D$19="ICE",'Operating costs'!$B$67&lt;=Paths!$E$19),IF('Operating costs'!$B$67=0,C144=0,AND(C144&gt;0,'Operating costs'!$B$67&gt;(C144-1)*12,'Operating costs'!$B$67&lt;=C144*12))),'Operating costs'!$B$66,0),"n.a."))</f>
        <v>0</v>
      </c>
      <c r="N144" s="16">
        <f>IF(NOT(Paths!$C$19=1),0,IF(Paths!$P$19="Complete",SUM(G144:I144)-J144-K144-L144+M144+IF(C144=0,Paths!$F$19,0)+IF(IF(Paths!$E$19=0,C144=0,AND(C144&gt;0,Paths!$E$19&gt;(C144-1)*12,Paths!$E$19&lt;=C144*12)),VLOOKUP(A144,'Fleet register'!$A$7:$S$106,16,FALSE),0),"n.a."))</f>
        <v>18151.349999999999</v>
      </c>
      <c r="O144" s="16">
        <f>IF(NOT(Paths!$C$19=1),0,IF(Paths!$P$19="Complete",N144-IF(C144=0,Paths!$F$19,0),"n.a."))</f>
        <v>18151.349999999999</v>
      </c>
      <c r="P144" s="16">
        <f>IF(NOT(Paths!$C$19=1),0,IF(Paths!$P$19="Complete",O144+L144,"n.a."))</f>
        <v>18151.349999999999</v>
      </c>
      <c r="Q144" s="16">
        <f>IF(NOT(Paths!$C$19=1),0,IF(Paths!$P$19="Complete",N144*(1+'Operating costs'!$B$54)^-C144,"n.a."))</f>
        <v>18151.349999999999</v>
      </c>
      <c r="R144" s="16">
        <f>IF(NOT(Paths!$C$19=1),0,IF(Paths!$P$19="Complete",IF(AND(C144=0,Paths!$E$19=0),I144-J144-K144+VLOOKUP(A144,'Fleet register'!$A$7:$S$106,15,FALSE)+VLOOKUP(A144,'Fleet register'!$A$7:$S$106,16,FALSE),0),"n.a."))</f>
        <v>0</v>
      </c>
      <c r="S144" s="1">
        <f>IF(NOT(Paths!$C$19=1),0,IF(Paths!$P$19="Complete",IF(C144=0,0,Paths!$S$19*Paths!$R$19),"n.a."))</f>
        <v>45000</v>
      </c>
      <c r="T144" s="1">
        <f>IF(NOT(Paths!$C$19=1),0,IF(Paths!$P$19="Complete",IF(C144=0,0,VLOOKUP(A144,'Fleet register'!$A$7:$S$106,9,FALSE)*Paths!$R$19),"n.a."))</f>
        <v>7200</v>
      </c>
    </row>
    <row r="145" spans="1:20" ht="24" customHeight="1">
      <c r="A145" s="1" t="str">
        <f>Paths!$A$19</f>
        <v>T004</v>
      </c>
      <c r="B145" s="1">
        <f>Paths!$B$19</f>
        <v>0</v>
      </c>
      <c r="C145" s="1">
        <v>6</v>
      </c>
      <c r="D145" s="1">
        <v>19</v>
      </c>
      <c r="E145" s="1">
        <f>IF(OR(Paths!$C$19=0,C145=0),0,MAX(0,MIN(C145*12,Paths!$E$19)-(C145-1)*12))</f>
        <v>0</v>
      </c>
      <c r="F145" s="1">
        <f>IF(OR(Paths!$C$19=0,C145=0),0,12-E145)</f>
        <v>12</v>
      </c>
      <c r="G145" s="16">
        <f>IF(NOT(Paths!$C$19=1),0,IF(Paths!$P$19="Complete",E145/12*(Paths!$J$19*(1+'Operating costs'!$B$51)^MAX(0,C145-1)+Paths!$K$19*(1+'Operating costs'!$B$53)^MAX(0,C145-1)),"n.a."))</f>
        <v>0</v>
      </c>
      <c r="H145" s="16">
        <f>IF(NOT(Paths!$C$19=1),0,IF(Paths!$P$19="Complete",F145/12*(Paths!$L$19*(1+IF(Paths!$D$19="EV",'Operating costs'!$B$52,'Operating costs'!$B$51))^MAX(0,C145-1)+Paths!$M$19*(1+'Operating costs'!$B$53)^MAX(0,C145-1)),"n.a."))</f>
        <v>18151.349999999999</v>
      </c>
      <c r="I145" s="16">
        <f>IF(NOT(Paths!$C$19=1),0,IF(Paths!$P$19="Complete",IF(IF(Paths!$E$19=0,C145=0,AND(C145&gt;0,Paths!$E$19&gt;(C145-1)*12,Paths!$E$19&lt;=C145*12)),Paths!$G$19,0),"n.a."))</f>
        <v>0</v>
      </c>
      <c r="J145" s="16">
        <f>IF(NOT(Paths!$C$19=1),0,IF(Paths!$P$19="Complete",IF(IF(Paths!$E$19=0,C145=0,AND(C145&gt;0,Paths!$E$19&gt;(C145-1)*12,Paths!$E$19&lt;=C145*12)),Paths!$H$19,0),"n.a."))</f>
        <v>0</v>
      </c>
      <c r="K145" s="16">
        <f>IF(NOT(Paths!$C$19=1),0,IF(Paths!$P$19="Complete",IF(IF(Paths!$O$19=0,C145=0,AND(C145&gt;0,Paths!$O$19&gt;(C145-1)*12,Paths!$O$19&lt;=C145*12)),Paths!$N$19,0),"n.a."))</f>
        <v>0</v>
      </c>
      <c r="L145" s="16">
        <f>IF(NOT(Paths!$C$19=1),0,IF(Paths!$P$19="Complete",IF(C145=10,Paths!$I$19,0),"n.a."))</f>
        <v>0</v>
      </c>
      <c r="M145" s="16">
        <f>IF(NOT(Paths!$C$19=1),0,IF(Paths!$P$19="Complete",IF(AND(Paths!$D$19="EV",Paths!$E$19&lt;120,Paths!$E$19+'Operating costs'!$B$65&gt;Paths!$E$19,Paths!$E$19+'Operating costs'!$B$65&lt;=120,IF(Paths!$E$19+'Operating costs'!$B$65=0,C145=0,AND(C145&gt;0,Paths!$E$19+'Operating costs'!$B$65&gt;(C145-1)*12,Paths!$E$19+'Operating costs'!$B$65&lt;=C145*12))),'Operating costs'!$B$64,0)+IF(AND('Operating costs'!$B$67&gt;0,'Operating costs'!$B$67&lt;=120,OR(Paths!$D$19="ICE",'Operating costs'!$B$67&lt;=Paths!$E$19),IF('Operating costs'!$B$67=0,C145=0,AND(C145&gt;0,'Operating costs'!$B$67&gt;(C145-1)*12,'Operating costs'!$B$67&lt;=C145*12))),'Operating costs'!$B$66,0),"n.a."))</f>
        <v>0</v>
      </c>
      <c r="N145" s="16">
        <f>IF(NOT(Paths!$C$19=1),0,IF(Paths!$P$19="Complete",SUM(G145:I145)-J145-K145-L145+M145+IF(C145=0,Paths!$F$19,0)+IF(IF(Paths!$E$19=0,C145=0,AND(C145&gt;0,Paths!$E$19&gt;(C145-1)*12,Paths!$E$19&lt;=C145*12)),VLOOKUP(A145,'Fleet register'!$A$7:$S$106,16,FALSE),0),"n.a."))</f>
        <v>18151.349999999999</v>
      </c>
      <c r="O145" s="16">
        <f>IF(NOT(Paths!$C$19=1),0,IF(Paths!$P$19="Complete",N145-IF(C145=0,Paths!$F$19,0),"n.a."))</f>
        <v>18151.349999999999</v>
      </c>
      <c r="P145" s="16">
        <f>IF(NOT(Paths!$C$19=1),0,IF(Paths!$P$19="Complete",O145+L145,"n.a."))</f>
        <v>18151.349999999999</v>
      </c>
      <c r="Q145" s="16">
        <f>IF(NOT(Paths!$C$19=1),0,IF(Paths!$P$19="Complete",N145*(1+'Operating costs'!$B$54)^-C145,"n.a."))</f>
        <v>18151.349999999999</v>
      </c>
      <c r="R145" s="16">
        <f>IF(NOT(Paths!$C$19=1),0,IF(Paths!$P$19="Complete",IF(AND(C145=0,Paths!$E$19=0),I145-J145-K145+VLOOKUP(A145,'Fleet register'!$A$7:$S$106,15,FALSE)+VLOOKUP(A145,'Fleet register'!$A$7:$S$106,16,FALSE),0),"n.a."))</f>
        <v>0</v>
      </c>
      <c r="S145" s="1">
        <f>IF(NOT(Paths!$C$19=1),0,IF(Paths!$P$19="Complete",IF(C145=0,0,Paths!$S$19*Paths!$R$19),"n.a."))</f>
        <v>45000</v>
      </c>
      <c r="T145" s="1">
        <f>IF(NOT(Paths!$C$19=1),0,IF(Paths!$P$19="Complete",IF(C145=0,0,VLOOKUP(A145,'Fleet register'!$A$7:$S$106,9,FALSE)*Paths!$R$19),"n.a."))</f>
        <v>7200</v>
      </c>
    </row>
    <row r="146" spans="1:20" ht="24" customHeight="1">
      <c r="A146" s="1" t="str">
        <f>Paths!$A$19</f>
        <v>T004</v>
      </c>
      <c r="B146" s="1">
        <f>Paths!$B$19</f>
        <v>0</v>
      </c>
      <c r="C146" s="1">
        <v>7</v>
      </c>
      <c r="D146" s="1">
        <v>19</v>
      </c>
      <c r="E146" s="1">
        <f>IF(OR(Paths!$C$19=0,C146=0),0,MAX(0,MIN(C146*12,Paths!$E$19)-(C146-1)*12))</f>
        <v>0</v>
      </c>
      <c r="F146" s="1">
        <f>IF(OR(Paths!$C$19=0,C146=0),0,12-E146)</f>
        <v>12</v>
      </c>
      <c r="G146" s="16">
        <f>IF(NOT(Paths!$C$19=1),0,IF(Paths!$P$19="Complete",E146/12*(Paths!$J$19*(1+'Operating costs'!$B$51)^MAX(0,C146-1)+Paths!$K$19*(1+'Operating costs'!$B$53)^MAX(0,C146-1)),"n.a."))</f>
        <v>0</v>
      </c>
      <c r="H146" s="16">
        <f>IF(NOT(Paths!$C$19=1),0,IF(Paths!$P$19="Complete",F146/12*(Paths!$L$19*(1+IF(Paths!$D$19="EV",'Operating costs'!$B$52,'Operating costs'!$B$51))^MAX(0,C146-1)+Paths!$M$19*(1+'Operating costs'!$B$53)^MAX(0,C146-1)),"n.a."))</f>
        <v>18151.349999999999</v>
      </c>
      <c r="I146" s="16">
        <f>IF(NOT(Paths!$C$19=1),0,IF(Paths!$P$19="Complete",IF(IF(Paths!$E$19=0,C146=0,AND(C146&gt;0,Paths!$E$19&gt;(C146-1)*12,Paths!$E$19&lt;=C146*12)),Paths!$G$19,0),"n.a."))</f>
        <v>0</v>
      </c>
      <c r="J146" s="16">
        <f>IF(NOT(Paths!$C$19=1),0,IF(Paths!$P$19="Complete",IF(IF(Paths!$E$19=0,C146=0,AND(C146&gt;0,Paths!$E$19&gt;(C146-1)*12,Paths!$E$19&lt;=C146*12)),Paths!$H$19,0),"n.a."))</f>
        <v>0</v>
      </c>
      <c r="K146" s="16">
        <f>IF(NOT(Paths!$C$19=1),0,IF(Paths!$P$19="Complete",IF(IF(Paths!$O$19=0,C146=0,AND(C146&gt;0,Paths!$O$19&gt;(C146-1)*12,Paths!$O$19&lt;=C146*12)),Paths!$N$19,0),"n.a."))</f>
        <v>0</v>
      </c>
      <c r="L146" s="16">
        <f>IF(NOT(Paths!$C$19=1),0,IF(Paths!$P$19="Complete",IF(C146=10,Paths!$I$19,0),"n.a."))</f>
        <v>0</v>
      </c>
      <c r="M146" s="16">
        <f>IF(NOT(Paths!$C$19=1),0,IF(Paths!$P$19="Complete",IF(AND(Paths!$D$19="EV",Paths!$E$19&lt;120,Paths!$E$19+'Operating costs'!$B$65&gt;Paths!$E$19,Paths!$E$19+'Operating costs'!$B$65&lt;=120,IF(Paths!$E$19+'Operating costs'!$B$65=0,C146=0,AND(C146&gt;0,Paths!$E$19+'Operating costs'!$B$65&gt;(C146-1)*12,Paths!$E$19+'Operating costs'!$B$65&lt;=C146*12))),'Operating costs'!$B$64,0)+IF(AND('Operating costs'!$B$67&gt;0,'Operating costs'!$B$67&lt;=120,OR(Paths!$D$19="ICE",'Operating costs'!$B$67&lt;=Paths!$E$19),IF('Operating costs'!$B$67=0,C146=0,AND(C146&gt;0,'Operating costs'!$B$67&gt;(C146-1)*12,'Operating costs'!$B$67&lt;=C146*12))),'Operating costs'!$B$66,0),"n.a."))</f>
        <v>0</v>
      </c>
      <c r="N146" s="16">
        <f>IF(NOT(Paths!$C$19=1),0,IF(Paths!$P$19="Complete",SUM(G146:I146)-J146-K146-L146+M146+IF(C146=0,Paths!$F$19,0)+IF(IF(Paths!$E$19=0,C146=0,AND(C146&gt;0,Paths!$E$19&gt;(C146-1)*12,Paths!$E$19&lt;=C146*12)),VLOOKUP(A146,'Fleet register'!$A$7:$S$106,16,FALSE),0),"n.a."))</f>
        <v>18151.349999999999</v>
      </c>
      <c r="O146" s="16">
        <f>IF(NOT(Paths!$C$19=1),0,IF(Paths!$P$19="Complete",N146-IF(C146=0,Paths!$F$19,0),"n.a."))</f>
        <v>18151.349999999999</v>
      </c>
      <c r="P146" s="16">
        <f>IF(NOT(Paths!$C$19=1),0,IF(Paths!$P$19="Complete",O146+L146,"n.a."))</f>
        <v>18151.349999999999</v>
      </c>
      <c r="Q146" s="16">
        <f>IF(NOT(Paths!$C$19=1),0,IF(Paths!$P$19="Complete",N146*(1+'Operating costs'!$B$54)^-C146,"n.a."))</f>
        <v>18151.349999999999</v>
      </c>
      <c r="R146" s="16">
        <f>IF(NOT(Paths!$C$19=1),0,IF(Paths!$P$19="Complete",IF(AND(C146=0,Paths!$E$19=0),I146-J146-K146+VLOOKUP(A146,'Fleet register'!$A$7:$S$106,15,FALSE)+VLOOKUP(A146,'Fleet register'!$A$7:$S$106,16,FALSE),0),"n.a."))</f>
        <v>0</v>
      </c>
      <c r="S146" s="1">
        <f>IF(NOT(Paths!$C$19=1),0,IF(Paths!$P$19="Complete",IF(C146=0,0,Paths!$S$19*Paths!$R$19),"n.a."))</f>
        <v>45000</v>
      </c>
      <c r="T146" s="1">
        <f>IF(NOT(Paths!$C$19=1),0,IF(Paths!$P$19="Complete",IF(C146=0,0,VLOOKUP(A146,'Fleet register'!$A$7:$S$106,9,FALSE)*Paths!$R$19),"n.a."))</f>
        <v>7200</v>
      </c>
    </row>
    <row r="147" spans="1:20" ht="24" customHeight="1">
      <c r="A147" s="1" t="str">
        <f>Paths!$A$19</f>
        <v>T004</v>
      </c>
      <c r="B147" s="1">
        <f>Paths!$B$19</f>
        <v>0</v>
      </c>
      <c r="C147" s="1">
        <v>8</v>
      </c>
      <c r="D147" s="1">
        <v>19</v>
      </c>
      <c r="E147" s="1">
        <f>IF(OR(Paths!$C$19=0,C147=0),0,MAX(0,MIN(C147*12,Paths!$E$19)-(C147-1)*12))</f>
        <v>0</v>
      </c>
      <c r="F147" s="1">
        <f>IF(OR(Paths!$C$19=0,C147=0),0,12-E147)</f>
        <v>12</v>
      </c>
      <c r="G147" s="16">
        <f>IF(NOT(Paths!$C$19=1),0,IF(Paths!$P$19="Complete",E147/12*(Paths!$J$19*(1+'Operating costs'!$B$51)^MAX(0,C147-1)+Paths!$K$19*(1+'Operating costs'!$B$53)^MAX(0,C147-1)),"n.a."))</f>
        <v>0</v>
      </c>
      <c r="H147" s="16">
        <f>IF(NOT(Paths!$C$19=1),0,IF(Paths!$P$19="Complete",F147/12*(Paths!$L$19*(1+IF(Paths!$D$19="EV",'Operating costs'!$B$52,'Operating costs'!$B$51))^MAX(0,C147-1)+Paths!$M$19*(1+'Operating costs'!$B$53)^MAX(0,C147-1)),"n.a."))</f>
        <v>18151.349999999999</v>
      </c>
      <c r="I147" s="16">
        <f>IF(NOT(Paths!$C$19=1),0,IF(Paths!$P$19="Complete",IF(IF(Paths!$E$19=0,C147=0,AND(C147&gt;0,Paths!$E$19&gt;(C147-1)*12,Paths!$E$19&lt;=C147*12)),Paths!$G$19,0),"n.a."))</f>
        <v>0</v>
      </c>
      <c r="J147" s="16">
        <f>IF(NOT(Paths!$C$19=1),0,IF(Paths!$P$19="Complete",IF(IF(Paths!$E$19=0,C147=0,AND(C147&gt;0,Paths!$E$19&gt;(C147-1)*12,Paths!$E$19&lt;=C147*12)),Paths!$H$19,0),"n.a."))</f>
        <v>0</v>
      </c>
      <c r="K147" s="16">
        <f>IF(NOT(Paths!$C$19=1),0,IF(Paths!$P$19="Complete",IF(IF(Paths!$O$19=0,C147=0,AND(C147&gt;0,Paths!$O$19&gt;(C147-1)*12,Paths!$O$19&lt;=C147*12)),Paths!$N$19,0),"n.a."))</f>
        <v>0</v>
      </c>
      <c r="L147" s="16">
        <f>IF(NOT(Paths!$C$19=1),0,IF(Paths!$P$19="Complete",IF(C147=10,Paths!$I$19,0),"n.a."))</f>
        <v>0</v>
      </c>
      <c r="M147" s="16">
        <f>IF(NOT(Paths!$C$19=1),0,IF(Paths!$P$19="Complete",IF(AND(Paths!$D$19="EV",Paths!$E$19&lt;120,Paths!$E$19+'Operating costs'!$B$65&gt;Paths!$E$19,Paths!$E$19+'Operating costs'!$B$65&lt;=120,IF(Paths!$E$19+'Operating costs'!$B$65=0,C147=0,AND(C147&gt;0,Paths!$E$19+'Operating costs'!$B$65&gt;(C147-1)*12,Paths!$E$19+'Operating costs'!$B$65&lt;=C147*12))),'Operating costs'!$B$64,0)+IF(AND('Operating costs'!$B$67&gt;0,'Operating costs'!$B$67&lt;=120,OR(Paths!$D$19="ICE",'Operating costs'!$B$67&lt;=Paths!$E$19),IF('Operating costs'!$B$67=0,C147=0,AND(C147&gt;0,'Operating costs'!$B$67&gt;(C147-1)*12,'Operating costs'!$B$67&lt;=C147*12))),'Operating costs'!$B$66,0),"n.a."))</f>
        <v>0</v>
      </c>
      <c r="N147" s="16">
        <f>IF(NOT(Paths!$C$19=1),0,IF(Paths!$P$19="Complete",SUM(G147:I147)-J147-K147-L147+M147+IF(C147=0,Paths!$F$19,0)+IF(IF(Paths!$E$19=0,C147=0,AND(C147&gt;0,Paths!$E$19&gt;(C147-1)*12,Paths!$E$19&lt;=C147*12)),VLOOKUP(A147,'Fleet register'!$A$7:$S$106,16,FALSE),0),"n.a."))</f>
        <v>18151.349999999999</v>
      </c>
      <c r="O147" s="16">
        <f>IF(NOT(Paths!$C$19=1),0,IF(Paths!$P$19="Complete",N147-IF(C147=0,Paths!$F$19,0),"n.a."))</f>
        <v>18151.349999999999</v>
      </c>
      <c r="P147" s="16">
        <f>IF(NOT(Paths!$C$19=1),0,IF(Paths!$P$19="Complete",O147+L147,"n.a."))</f>
        <v>18151.349999999999</v>
      </c>
      <c r="Q147" s="16">
        <f>IF(NOT(Paths!$C$19=1),0,IF(Paths!$P$19="Complete",N147*(1+'Operating costs'!$B$54)^-C147,"n.a."))</f>
        <v>18151.349999999999</v>
      </c>
      <c r="R147" s="16">
        <f>IF(NOT(Paths!$C$19=1),0,IF(Paths!$P$19="Complete",IF(AND(C147=0,Paths!$E$19=0),I147-J147-K147+VLOOKUP(A147,'Fleet register'!$A$7:$S$106,15,FALSE)+VLOOKUP(A147,'Fleet register'!$A$7:$S$106,16,FALSE),0),"n.a."))</f>
        <v>0</v>
      </c>
      <c r="S147" s="1">
        <f>IF(NOT(Paths!$C$19=1),0,IF(Paths!$P$19="Complete",IF(C147=0,0,Paths!$S$19*Paths!$R$19),"n.a."))</f>
        <v>45000</v>
      </c>
      <c r="T147" s="1">
        <f>IF(NOT(Paths!$C$19=1),0,IF(Paths!$P$19="Complete",IF(C147=0,0,VLOOKUP(A147,'Fleet register'!$A$7:$S$106,9,FALSE)*Paths!$R$19),"n.a."))</f>
        <v>7200</v>
      </c>
    </row>
    <row r="148" spans="1:20" ht="24" customHeight="1">
      <c r="A148" s="1" t="str">
        <f>Paths!$A$19</f>
        <v>T004</v>
      </c>
      <c r="B148" s="1">
        <f>Paths!$B$19</f>
        <v>0</v>
      </c>
      <c r="C148" s="1">
        <v>9</v>
      </c>
      <c r="D148" s="1">
        <v>19</v>
      </c>
      <c r="E148" s="1">
        <f>IF(OR(Paths!$C$19=0,C148=0),0,MAX(0,MIN(C148*12,Paths!$E$19)-(C148-1)*12))</f>
        <v>0</v>
      </c>
      <c r="F148" s="1">
        <f>IF(OR(Paths!$C$19=0,C148=0),0,12-E148)</f>
        <v>12</v>
      </c>
      <c r="G148" s="16">
        <f>IF(NOT(Paths!$C$19=1),0,IF(Paths!$P$19="Complete",E148/12*(Paths!$J$19*(1+'Operating costs'!$B$51)^MAX(0,C148-1)+Paths!$K$19*(1+'Operating costs'!$B$53)^MAX(0,C148-1)),"n.a."))</f>
        <v>0</v>
      </c>
      <c r="H148" s="16">
        <f>IF(NOT(Paths!$C$19=1),0,IF(Paths!$P$19="Complete",F148/12*(Paths!$L$19*(1+IF(Paths!$D$19="EV",'Operating costs'!$B$52,'Operating costs'!$B$51))^MAX(0,C148-1)+Paths!$M$19*(1+'Operating costs'!$B$53)^MAX(0,C148-1)),"n.a."))</f>
        <v>18151.349999999999</v>
      </c>
      <c r="I148" s="16">
        <f>IF(NOT(Paths!$C$19=1),0,IF(Paths!$P$19="Complete",IF(IF(Paths!$E$19=0,C148=0,AND(C148&gt;0,Paths!$E$19&gt;(C148-1)*12,Paths!$E$19&lt;=C148*12)),Paths!$G$19,0),"n.a."))</f>
        <v>0</v>
      </c>
      <c r="J148" s="16">
        <f>IF(NOT(Paths!$C$19=1),0,IF(Paths!$P$19="Complete",IF(IF(Paths!$E$19=0,C148=0,AND(C148&gt;0,Paths!$E$19&gt;(C148-1)*12,Paths!$E$19&lt;=C148*12)),Paths!$H$19,0),"n.a."))</f>
        <v>0</v>
      </c>
      <c r="K148" s="16">
        <f>IF(NOT(Paths!$C$19=1),0,IF(Paths!$P$19="Complete",IF(IF(Paths!$O$19=0,C148=0,AND(C148&gt;0,Paths!$O$19&gt;(C148-1)*12,Paths!$O$19&lt;=C148*12)),Paths!$N$19,0),"n.a."))</f>
        <v>0</v>
      </c>
      <c r="L148" s="16">
        <f>IF(NOT(Paths!$C$19=1),0,IF(Paths!$P$19="Complete",IF(C148=10,Paths!$I$19,0),"n.a."))</f>
        <v>0</v>
      </c>
      <c r="M148" s="16">
        <f>IF(NOT(Paths!$C$19=1),0,IF(Paths!$P$19="Complete",IF(AND(Paths!$D$19="EV",Paths!$E$19&lt;120,Paths!$E$19+'Operating costs'!$B$65&gt;Paths!$E$19,Paths!$E$19+'Operating costs'!$B$65&lt;=120,IF(Paths!$E$19+'Operating costs'!$B$65=0,C148=0,AND(C148&gt;0,Paths!$E$19+'Operating costs'!$B$65&gt;(C148-1)*12,Paths!$E$19+'Operating costs'!$B$65&lt;=C148*12))),'Operating costs'!$B$64,0)+IF(AND('Operating costs'!$B$67&gt;0,'Operating costs'!$B$67&lt;=120,OR(Paths!$D$19="ICE",'Operating costs'!$B$67&lt;=Paths!$E$19),IF('Operating costs'!$B$67=0,C148=0,AND(C148&gt;0,'Operating costs'!$B$67&gt;(C148-1)*12,'Operating costs'!$B$67&lt;=C148*12))),'Operating costs'!$B$66,0),"n.a."))</f>
        <v>0</v>
      </c>
      <c r="N148" s="16">
        <f>IF(NOT(Paths!$C$19=1),0,IF(Paths!$P$19="Complete",SUM(G148:I148)-J148-K148-L148+M148+IF(C148=0,Paths!$F$19,0)+IF(IF(Paths!$E$19=0,C148=0,AND(C148&gt;0,Paths!$E$19&gt;(C148-1)*12,Paths!$E$19&lt;=C148*12)),VLOOKUP(A148,'Fleet register'!$A$7:$S$106,16,FALSE),0),"n.a."))</f>
        <v>18151.349999999999</v>
      </c>
      <c r="O148" s="16">
        <f>IF(NOT(Paths!$C$19=1),0,IF(Paths!$P$19="Complete",N148-IF(C148=0,Paths!$F$19,0),"n.a."))</f>
        <v>18151.349999999999</v>
      </c>
      <c r="P148" s="16">
        <f>IF(NOT(Paths!$C$19=1),0,IF(Paths!$P$19="Complete",O148+L148,"n.a."))</f>
        <v>18151.349999999999</v>
      </c>
      <c r="Q148" s="16">
        <f>IF(NOT(Paths!$C$19=1),0,IF(Paths!$P$19="Complete",N148*(1+'Operating costs'!$B$54)^-C148,"n.a."))</f>
        <v>18151.349999999999</v>
      </c>
      <c r="R148" s="16">
        <f>IF(NOT(Paths!$C$19=1),0,IF(Paths!$P$19="Complete",IF(AND(C148=0,Paths!$E$19=0),I148-J148-K148+VLOOKUP(A148,'Fleet register'!$A$7:$S$106,15,FALSE)+VLOOKUP(A148,'Fleet register'!$A$7:$S$106,16,FALSE),0),"n.a."))</f>
        <v>0</v>
      </c>
      <c r="S148" s="1">
        <f>IF(NOT(Paths!$C$19=1),0,IF(Paths!$P$19="Complete",IF(C148=0,0,Paths!$S$19*Paths!$R$19),"n.a."))</f>
        <v>45000</v>
      </c>
      <c r="T148" s="1">
        <f>IF(NOT(Paths!$C$19=1),0,IF(Paths!$P$19="Complete",IF(C148=0,0,VLOOKUP(A148,'Fleet register'!$A$7:$S$106,9,FALSE)*Paths!$R$19),"n.a."))</f>
        <v>7200</v>
      </c>
    </row>
    <row r="149" spans="1:20" ht="24" customHeight="1">
      <c r="A149" s="1" t="str">
        <f>Paths!$A$19</f>
        <v>T004</v>
      </c>
      <c r="B149" s="1">
        <f>Paths!$B$19</f>
        <v>0</v>
      </c>
      <c r="C149" s="1">
        <v>10</v>
      </c>
      <c r="D149" s="1">
        <v>19</v>
      </c>
      <c r="E149" s="1">
        <f>IF(OR(Paths!$C$19=0,C149=0),0,MAX(0,MIN(C149*12,Paths!$E$19)-(C149-1)*12))</f>
        <v>0</v>
      </c>
      <c r="F149" s="1">
        <f>IF(OR(Paths!$C$19=0,C149=0),0,12-E149)</f>
        <v>12</v>
      </c>
      <c r="G149" s="16">
        <f>IF(NOT(Paths!$C$19=1),0,IF(Paths!$P$19="Complete",E149/12*(Paths!$J$19*(1+'Operating costs'!$B$51)^MAX(0,C149-1)+Paths!$K$19*(1+'Operating costs'!$B$53)^MAX(0,C149-1)),"n.a."))</f>
        <v>0</v>
      </c>
      <c r="H149" s="16">
        <f>IF(NOT(Paths!$C$19=1),0,IF(Paths!$P$19="Complete",F149/12*(Paths!$L$19*(1+IF(Paths!$D$19="EV",'Operating costs'!$B$52,'Operating costs'!$B$51))^MAX(0,C149-1)+Paths!$M$19*(1+'Operating costs'!$B$53)^MAX(0,C149-1)),"n.a."))</f>
        <v>18151.349999999999</v>
      </c>
      <c r="I149" s="16">
        <f>IF(NOT(Paths!$C$19=1),0,IF(Paths!$P$19="Complete",IF(IF(Paths!$E$19=0,C149=0,AND(C149&gt;0,Paths!$E$19&gt;(C149-1)*12,Paths!$E$19&lt;=C149*12)),Paths!$G$19,0),"n.a."))</f>
        <v>0</v>
      </c>
      <c r="J149" s="16">
        <f>IF(NOT(Paths!$C$19=1),0,IF(Paths!$P$19="Complete",IF(IF(Paths!$E$19=0,C149=0,AND(C149&gt;0,Paths!$E$19&gt;(C149-1)*12,Paths!$E$19&lt;=C149*12)),Paths!$H$19,0),"n.a."))</f>
        <v>0</v>
      </c>
      <c r="K149" s="16">
        <f>IF(NOT(Paths!$C$19=1),0,IF(Paths!$P$19="Complete",IF(IF(Paths!$O$19=0,C149=0,AND(C149&gt;0,Paths!$O$19&gt;(C149-1)*12,Paths!$O$19&lt;=C149*12)),Paths!$N$19,0),"n.a."))</f>
        <v>0</v>
      </c>
      <c r="L149" s="16">
        <f>IF(NOT(Paths!$C$19=1),0,IF(Paths!$P$19="Complete",IF(C149=10,Paths!$I$19,0),"n.a."))</f>
        <v>49200</v>
      </c>
      <c r="M149" s="16">
        <f>IF(NOT(Paths!$C$19=1),0,IF(Paths!$P$19="Complete",IF(AND(Paths!$D$19="EV",Paths!$E$19&lt;120,Paths!$E$19+'Operating costs'!$B$65&gt;Paths!$E$19,Paths!$E$19+'Operating costs'!$B$65&lt;=120,IF(Paths!$E$19+'Operating costs'!$B$65=0,C149=0,AND(C149&gt;0,Paths!$E$19+'Operating costs'!$B$65&gt;(C149-1)*12,Paths!$E$19+'Operating costs'!$B$65&lt;=C149*12))),'Operating costs'!$B$64,0)+IF(AND('Operating costs'!$B$67&gt;0,'Operating costs'!$B$67&lt;=120,OR(Paths!$D$19="ICE",'Operating costs'!$B$67&lt;=Paths!$E$19),IF('Operating costs'!$B$67=0,C149=0,AND(C149&gt;0,'Operating costs'!$B$67&gt;(C149-1)*12,'Operating costs'!$B$67&lt;=C149*12))),'Operating costs'!$B$66,0),"n.a."))</f>
        <v>0</v>
      </c>
      <c r="N149" s="16">
        <f>IF(NOT(Paths!$C$19=1),0,IF(Paths!$P$19="Complete",SUM(G149:I149)-J149-K149-L149+M149+IF(C149=0,Paths!$F$19,0)+IF(IF(Paths!$E$19=0,C149=0,AND(C149&gt;0,Paths!$E$19&gt;(C149-1)*12,Paths!$E$19&lt;=C149*12)),VLOOKUP(A149,'Fleet register'!$A$7:$S$106,16,FALSE),0),"n.a."))</f>
        <v>-31048.65</v>
      </c>
      <c r="O149" s="16">
        <f>IF(NOT(Paths!$C$19=1),0,IF(Paths!$P$19="Complete",N149-IF(C149=0,Paths!$F$19,0),"n.a."))</f>
        <v>-31048.65</v>
      </c>
      <c r="P149" s="16">
        <f>IF(NOT(Paths!$C$19=1),0,IF(Paths!$P$19="Complete",O149+L149,"n.a."))</f>
        <v>18151.349999999999</v>
      </c>
      <c r="Q149" s="16">
        <f>IF(NOT(Paths!$C$19=1),0,IF(Paths!$P$19="Complete",N149*(1+'Operating costs'!$B$54)^-C149,"n.a."))</f>
        <v>-31048.65</v>
      </c>
      <c r="R149" s="16">
        <f>IF(NOT(Paths!$C$19=1),0,IF(Paths!$P$19="Complete",IF(AND(C149=0,Paths!$E$19=0),I149-J149-K149+VLOOKUP(A149,'Fleet register'!$A$7:$S$106,15,FALSE)+VLOOKUP(A149,'Fleet register'!$A$7:$S$106,16,FALSE),0),"n.a."))</f>
        <v>0</v>
      </c>
      <c r="S149" s="1">
        <f>IF(NOT(Paths!$C$19=1),0,IF(Paths!$P$19="Complete",IF(C149=0,0,Paths!$S$19*Paths!$R$19),"n.a."))</f>
        <v>45000</v>
      </c>
      <c r="T149" s="1">
        <f>IF(NOT(Paths!$C$19=1),0,IF(Paths!$P$19="Complete",IF(C149=0,0,VLOOKUP(A149,'Fleet register'!$A$7:$S$106,9,FALSE)*Paths!$R$19),"n.a."))</f>
        <v>7200</v>
      </c>
    </row>
    <row r="150" spans="1:20" ht="24" customHeight="1">
      <c r="A150" s="1" t="str">
        <f>Paths!$A$20</f>
        <v>T004</v>
      </c>
      <c r="B150" s="1">
        <f>Paths!$B$20</f>
        <v>1</v>
      </c>
      <c r="C150" s="1">
        <v>0</v>
      </c>
      <c r="D150" s="1">
        <v>20</v>
      </c>
      <c r="E150" s="1">
        <f>IF(OR(Paths!$C$20=0,C150=0),0,MAX(0,MIN(C150*12,Paths!$E$20)-(C150-1)*12))</f>
        <v>0</v>
      </c>
      <c r="F150" s="1">
        <f>IF(OR(Paths!$C$20=0,C150=0),0,12-E150)</f>
        <v>0</v>
      </c>
      <c r="G150" s="16">
        <f>IF(NOT(Paths!$C$20=1),0,IF(Paths!$P$20="Complete",E150/12*(Paths!$J$20*(1+'Operating costs'!$B$51)^MAX(0,C150-1)+Paths!$K$20*(1+'Operating costs'!$B$53)^MAX(0,C150-1)),"n.a."))</f>
        <v>0</v>
      </c>
      <c r="H150" s="16">
        <f>IF(NOT(Paths!$C$20=1),0,IF(Paths!$P$20="Complete",F150/12*(Paths!$L$20*(1+IF(Paths!$D$20="EV",'Operating costs'!$B$52,'Operating costs'!$B$51))^MAX(0,C150-1)+Paths!$M$20*(1+'Operating costs'!$B$53)^MAX(0,C150-1)),"n.a."))</f>
        <v>0</v>
      </c>
      <c r="I150" s="16">
        <f>IF(NOT(Paths!$C$20=1),0,IF(Paths!$P$20="Complete",IF(IF(Paths!$E$20=0,C150=0,AND(C150&gt;0,Paths!$E$20&gt;(C150-1)*12,Paths!$E$20&lt;=C150*12)),Paths!$G$20,0),"n.a."))</f>
        <v>181000</v>
      </c>
      <c r="J150" s="16">
        <f>IF(NOT(Paths!$C$20=1),0,IF(Paths!$P$20="Complete",IF(IF(Paths!$E$20=0,C150=0,AND(C150&gt;0,Paths!$E$20&gt;(C150-1)*12,Paths!$E$20&lt;=C150*12)),Paths!$H$20,0),"n.a."))</f>
        <v>42000</v>
      </c>
      <c r="K150" s="16">
        <f>IF(NOT(Paths!$C$20=1),0,IF(Paths!$P$20="Complete",IF(IF(Paths!$O$20=0,C150=0,AND(C150&gt;0,Paths!$O$20&gt;(C150-1)*12,Paths!$O$20&lt;=C150*12)),Paths!$N$20,0),"n.a."))</f>
        <v>0</v>
      </c>
      <c r="L150" s="16">
        <f>IF(NOT(Paths!$C$20=1),0,IF(Paths!$P$20="Complete",IF(C150=10,Paths!$I$20,0),"n.a."))</f>
        <v>0</v>
      </c>
      <c r="M150" s="16">
        <f>IF(NOT(Paths!$C$20=1),0,IF(Paths!$P$20="Complete",IF(AND(Paths!$D$20="EV",Paths!$E$20&lt;120,Paths!$E$20+'Operating costs'!$B$65&gt;Paths!$E$20,Paths!$E$20+'Operating costs'!$B$65&lt;=120,IF(Paths!$E$20+'Operating costs'!$B$65=0,C150=0,AND(C150&gt;0,Paths!$E$20+'Operating costs'!$B$65&gt;(C150-1)*12,Paths!$E$20+'Operating costs'!$B$65&lt;=C150*12))),'Operating costs'!$B$64,0)+IF(AND('Operating costs'!$B$67&gt;0,'Operating costs'!$B$67&lt;=120,OR(Paths!$D$20="ICE",'Operating costs'!$B$67&lt;=Paths!$E$20),IF('Operating costs'!$B$67=0,C150=0,AND(C150&gt;0,'Operating costs'!$B$67&gt;(C150-1)*12,'Operating costs'!$B$67&lt;=C150*12))),'Operating costs'!$B$66,0),"n.a."))</f>
        <v>0</v>
      </c>
      <c r="N150" s="16">
        <f>IF(NOT(Paths!$C$20=1),0,IF(Paths!$P$20="Complete",SUM(G150:I150)-J150-K150-L150+M150+IF(C150=0,Paths!$F$20,0)+IF(IF(Paths!$E$20=0,C150=0,AND(C150&gt;0,Paths!$E$20&gt;(C150-1)*12,Paths!$E$20&lt;=C150*12)),VLOOKUP(A150,'Fleet register'!$A$7:$S$106,16,FALSE),0),"n.a."))</f>
        <v>181000</v>
      </c>
      <c r="O150" s="16">
        <f>IF(NOT(Paths!$C$20=1),0,IF(Paths!$P$20="Complete",N150-IF(C150=0,Paths!$F$20,0),"n.a."))</f>
        <v>139000</v>
      </c>
      <c r="P150" s="16">
        <f>IF(NOT(Paths!$C$20=1),0,IF(Paths!$P$20="Complete",O150+L150,"n.a."))</f>
        <v>139000</v>
      </c>
      <c r="Q150" s="16">
        <f>IF(NOT(Paths!$C$20=1),0,IF(Paths!$P$20="Complete",N150*(1+'Operating costs'!$B$54)^-C150,"n.a."))</f>
        <v>181000</v>
      </c>
      <c r="R150" s="16">
        <f>IF(NOT(Paths!$C$20=1),0,IF(Paths!$P$20="Complete",IF(AND(C150=0,Paths!$E$20=0),I150-J150-K150+VLOOKUP(A150,'Fleet register'!$A$7:$S$106,15,FALSE)+VLOOKUP(A150,'Fleet register'!$A$7:$S$106,16,FALSE),0),"n.a."))</f>
        <v>139000</v>
      </c>
      <c r="S150" s="1">
        <f>IF(NOT(Paths!$C$20=1),0,IF(Paths!$P$20="Complete",IF(C150=0,0,Paths!$S$20*Paths!$R$20),"n.a."))</f>
        <v>0</v>
      </c>
      <c r="T150" s="1">
        <f>IF(NOT(Paths!$C$20=1),0,IF(Paths!$P$20="Complete",IF(C150=0,0,VLOOKUP(A150,'Fleet register'!$A$7:$S$106,9,FALSE)*Paths!$R$20),"n.a."))</f>
        <v>0</v>
      </c>
    </row>
    <row r="151" spans="1:20" ht="24" customHeight="1">
      <c r="A151" s="1" t="str">
        <f>Paths!$A$20</f>
        <v>T004</v>
      </c>
      <c r="B151" s="1">
        <f>Paths!$B$20</f>
        <v>1</v>
      </c>
      <c r="C151" s="1">
        <v>1</v>
      </c>
      <c r="D151" s="1">
        <v>20</v>
      </c>
      <c r="E151" s="1">
        <f>IF(OR(Paths!$C$20=0,C151=0),0,MAX(0,MIN(C151*12,Paths!$E$20)-(C151-1)*12))</f>
        <v>0</v>
      </c>
      <c r="F151" s="1">
        <f>IF(OR(Paths!$C$20=0,C151=0),0,12-E151)</f>
        <v>12</v>
      </c>
      <c r="G151" s="16">
        <f>IF(NOT(Paths!$C$20=1),0,IF(Paths!$P$20="Complete",E151/12*(Paths!$J$20*(1+'Operating costs'!$B$51)^MAX(0,C151-1)+Paths!$K$20*(1+'Operating costs'!$B$53)^MAX(0,C151-1)),"n.a."))</f>
        <v>0</v>
      </c>
      <c r="H151" s="16">
        <f>IF(NOT(Paths!$C$20=1),0,IF(Paths!$P$20="Complete",F151/12*(Paths!$L$20*(1+IF(Paths!$D$20="EV",'Operating costs'!$B$52,'Operating costs'!$B$51))^MAX(0,C151-1)+Paths!$M$20*(1+'Operating costs'!$B$53)^MAX(0,C151-1)),"n.a."))</f>
        <v>18151.349999999999</v>
      </c>
      <c r="I151" s="16">
        <f>IF(NOT(Paths!$C$20=1),0,IF(Paths!$P$20="Complete",IF(IF(Paths!$E$20=0,C151=0,AND(C151&gt;0,Paths!$E$20&gt;(C151-1)*12,Paths!$E$20&lt;=C151*12)),Paths!$G$20,0),"n.a."))</f>
        <v>0</v>
      </c>
      <c r="J151" s="16">
        <f>IF(NOT(Paths!$C$20=1),0,IF(Paths!$P$20="Complete",IF(IF(Paths!$E$20=0,C151=0,AND(C151&gt;0,Paths!$E$20&gt;(C151-1)*12,Paths!$E$20&lt;=C151*12)),Paths!$H$20,0),"n.a."))</f>
        <v>0</v>
      </c>
      <c r="K151" s="16">
        <f>IF(NOT(Paths!$C$20=1),0,IF(Paths!$P$20="Complete",IF(IF(Paths!$O$20=0,C151=0,AND(C151&gt;0,Paths!$O$20&gt;(C151-1)*12,Paths!$O$20&lt;=C151*12)),Paths!$N$20,0),"n.a."))</f>
        <v>0</v>
      </c>
      <c r="L151" s="16">
        <f>IF(NOT(Paths!$C$20=1),0,IF(Paths!$P$20="Complete",IF(C151=10,Paths!$I$20,0),"n.a."))</f>
        <v>0</v>
      </c>
      <c r="M151" s="16">
        <f>IF(NOT(Paths!$C$20=1),0,IF(Paths!$P$20="Complete",IF(AND(Paths!$D$20="EV",Paths!$E$20&lt;120,Paths!$E$20+'Operating costs'!$B$65&gt;Paths!$E$20,Paths!$E$20+'Operating costs'!$B$65&lt;=120,IF(Paths!$E$20+'Operating costs'!$B$65=0,C151=0,AND(C151&gt;0,Paths!$E$20+'Operating costs'!$B$65&gt;(C151-1)*12,Paths!$E$20+'Operating costs'!$B$65&lt;=C151*12))),'Operating costs'!$B$64,0)+IF(AND('Operating costs'!$B$67&gt;0,'Operating costs'!$B$67&lt;=120,OR(Paths!$D$20="ICE",'Operating costs'!$B$67&lt;=Paths!$E$20),IF('Operating costs'!$B$67=0,C151=0,AND(C151&gt;0,'Operating costs'!$B$67&gt;(C151-1)*12,'Operating costs'!$B$67&lt;=C151*12))),'Operating costs'!$B$66,0),"n.a."))</f>
        <v>0</v>
      </c>
      <c r="N151" s="16">
        <f>IF(NOT(Paths!$C$20=1),0,IF(Paths!$P$20="Complete",SUM(G151:I151)-J151-K151-L151+M151+IF(C151=0,Paths!$F$20,0)+IF(IF(Paths!$E$20=0,C151=0,AND(C151&gt;0,Paths!$E$20&gt;(C151-1)*12,Paths!$E$20&lt;=C151*12)),VLOOKUP(A151,'Fleet register'!$A$7:$S$106,16,FALSE),0),"n.a."))</f>
        <v>18151.349999999999</v>
      </c>
      <c r="O151" s="16">
        <f>IF(NOT(Paths!$C$20=1),0,IF(Paths!$P$20="Complete",N151-IF(C151=0,Paths!$F$20,0),"n.a."))</f>
        <v>18151.349999999999</v>
      </c>
      <c r="P151" s="16">
        <f>IF(NOT(Paths!$C$20=1),0,IF(Paths!$P$20="Complete",O151+L151,"n.a."))</f>
        <v>18151.349999999999</v>
      </c>
      <c r="Q151" s="16">
        <f>IF(NOT(Paths!$C$20=1),0,IF(Paths!$P$20="Complete",N151*(1+'Operating costs'!$B$54)^-C151,"n.a."))</f>
        <v>18151.349999999999</v>
      </c>
      <c r="R151" s="16">
        <f>IF(NOT(Paths!$C$20=1),0,IF(Paths!$P$20="Complete",IF(AND(C151=0,Paths!$E$20=0),I151-J151-K151+VLOOKUP(A151,'Fleet register'!$A$7:$S$106,15,FALSE)+VLOOKUP(A151,'Fleet register'!$A$7:$S$106,16,FALSE),0),"n.a."))</f>
        <v>0</v>
      </c>
      <c r="S151" s="1">
        <f>IF(NOT(Paths!$C$20=1),0,IF(Paths!$P$20="Complete",IF(C151=0,0,Paths!$S$20*Paths!$R$20),"n.a."))</f>
        <v>45000</v>
      </c>
      <c r="T151" s="1">
        <f>IF(NOT(Paths!$C$20=1),0,IF(Paths!$P$20="Complete",IF(C151=0,0,VLOOKUP(A151,'Fleet register'!$A$7:$S$106,9,FALSE)*Paths!$R$20),"n.a."))</f>
        <v>7200</v>
      </c>
    </row>
    <row r="152" spans="1:20" ht="24" customHeight="1">
      <c r="A152" s="1" t="str">
        <f>Paths!$A$20</f>
        <v>T004</v>
      </c>
      <c r="B152" s="1">
        <f>Paths!$B$20</f>
        <v>1</v>
      </c>
      <c r="C152" s="1">
        <v>2</v>
      </c>
      <c r="D152" s="1">
        <v>20</v>
      </c>
      <c r="E152" s="1">
        <f>IF(OR(Paths!$C$20=0,C152=0),0,MAX(0,MIN(C152*12,Paths!$E$20)-(C152-1)*12))</f>
        <v>0</v>
      </c>
      <c r="F152" s="1">
        <f>IF(OR(Paths!$C$20=0,C152=0),0,12-E152)</f>
        <v>12</v>
      </c>
      <c r="G152" s="16">
        <f>IF(NOT(Paths!$C$20=1),0,IF(Paths!$P$20="Complete",E152/12*(Paths!$J$20*(1+'Operating costs'!$B$51)^MAX(0,C152-1)+Paths!$K$20*(1+'Operating costs'!$B$53)^MAX(0,C152-1)),"n.a."))</f>
        <v>0</v>
      </c>
      <c r="H152" s="16">
        <f>IF(NOT(Paths!$C$20=1),0,IF(Paths!$P$20="Complete",F152/12*(Paths!$L$20*(1+IF(Paths!$D$20="EV",'Operating costs'!$B$52,'Operating costs'!$B$51))^MAX(0,C152-1)+Paths!$M$20*(1+'Operating costs'!$B$53)^MAX(0,C152-1)),"n.a."))</f>
        <v>18151.349999999999</v>
      </c>
      <c r="I152" s="16">
        <f>IF(NOT(Paths!$C$20=1),0,IF(Paths!$P$20="Complete",IF(IF(Paths!$E$20=0,C152=0,AND(C152&gt;0,Paths!$E$20&gt;(C152-1)*12,Paths!$E$20&lt;=C152*12)),Paths!$G$20,0),"n.a."))</f>
        <v>0</v>
      </c>
      <c r="J152" s="16">
        <f>IF(NOT(Paths!$C$20=1),0,IF(Paths!$P$20="Complete",IF(IF(Paths!$E$20=0,C152=0,AND(C152&gt;0,Paths!$E$20&gt;(C152-1)*12,Paths!$E$20&lt;=C152*12)),Paths!$H$20,0),"n.a."))</f>
        <v>0</v>
      </c>
      <c r="K152" s="16">
        <f>IF(NOT(Paths!$C$20=1),0,IF(Paths!$P$20="Complete",IF(IF(Paths!$O$20=0,C152=0,AND(C152&gt;0,Paths!$O$20&gt;(C152-1)*12,Paths!$O$20&lt;=C152*12)),Paths!$N$20,0),"n.a."))</f>
        <v>0</v>
      </c>
      <c r="L152" s="16">
        <f>IF(NOT(Paths!$C$20=1),0,IF(Paths!$P$20="Complete",IF(C152=10,Paths!$I$20,0),"n.a."))</f>
        <v>0</v>
      </c>
      <c r="M152" s="16">
        <f>IF(NOT(Paths!$C$20=1),0,IF(Paths!$P$20="Complete",IF(AND(Paths!$D$20="EV",Paths!$E$20&lt;120,Paths!$E$20+'Operating costs'!$B$65&gt;Paths!$E$20,Paths!$E$20+'Operating costs'!$B$65&lt;=120,IF(Paths!$E$20+'Operating costs'!$B$65=0,C152=0,AND(C152&gt;0,Paths!$E$20+'Operating costs'!$B$65&gt;(C152-1)*12,Paths!$E$20+'Operating costs'!$B$65&lt;=C152*12))),'Operating costs'!$B$64,0)+IF(AND('Operating costs'!$B$67&gt;0,'Operating costs'!$B$67&lt;=120,OR(Paths!$D$20="ICE",'Operating costs'!$B$67&lt;=Paths!$E$20),IF('Operating costs'!$B$67=0,C152=0,AND(C152&gt;0,'Operating costs'!$B$67&gt;(C152-1)*12,'Operating costs'!$B$67&lt;=C152*12))),'Operating costs'!$B$66,0),"n.a."))</f>
        <v>0</v>
      </c>
      <c r="N152" s="16">
        <f>IF(NOT(Paths!$C$20=1),0,IF(Paths!$P$20="Complete",SUM(G152:I152)-J152-K152-L152+M152+IF(C152=0,Paths!$F$20,0)+IF(IF(Paths!$E$20=0,C152=0,AND(C152&gt;0,Paths!$E$20&gt;(C152-1)*12,Paths!$E$20&lt;=C152*12)),VLOOKUP(A152,'Fleet register'!$A$7:$S$106,16,FALSE),0),"n.a."))</f>
        <v>18151.349999999999</v>
      </c>
      <c r="O152" s="16">
        <f>IF(NOT(Paths!$C$20=1),0,IF(Paths!$P$20="Complete",N152-IF(C152=0,Paths!$F$20,0),"n.a."))</f>
        <v>18151.349999999999</v>
      </c>
      <c r="P152" s="16">
        <f>IF(NOT(Paths!$C$20=1),0,IF(Paths!$P$20="Complete",O152+L152,"n.a."))</f>
        <v>18151.349999999999</v>
      </c>
      <c r="Q152" s="16">
        <f>IF(NOT(Paths!$C$20=1),0,IF(Paths!$P$20="Complete",N152*(1+'Operating costs'!$B$54)^-C152,"n.a."))</f>
        <v>18151.349999999999</v>
      </c>
      <c r="R152" s="16">
        <f>IF(NOT(Paths!$C$20=1),0,IF(Paths!$P$20="Complete",IF(AND(C152=0,Paths!$E$20=0),I152-J152-K152+VLOOKUP(A152,'Fleet register'!$A$7:$S$106,15,FALSE)+VLOOKUP(A152,'Fleet register'!$A$7:$S$106,16,FALSE),0),"n.a."))</f>
        <v>0</v>
      </c>
      <c r="S152" s="1">
        <f>IF(NOT(Paths!$C$20=1),0,IF(Paths!$P$20="Complete",IF(C152=0,0,Paths!$S$20*Paths!$R$20),"n.a."))</f>
        <v>45000</v>
      </c>
      <c r="T152" s="1">
        <f>IF(NOT(Paths!$C$20=1),0,IF(Paths!$P$20="Complete",IF(C152=0,0,VLOOKUP(A152,'Fleet register'!$A$7:$S$106,9,FALSE)*Paths!$R$20),"n.a."))</f>
        <v>7200</v>
      </c>
    </row>
    <row r="153" spans="1:20" ht="24" customHeight="1">
      <c r="A153" s="1" t="str">
        <f>Paths!$A$20</f>
        <v>T004</v>
      </c>
      <c r="B153" s="1">
        <f>Paths!$B$20</f>
        <v>1</v>
      </c>
      <c r="C153" s="1">
        <v>3</v>
      </c>
      <c r="D153" s="1">
        <v>20</v>
      </c>
      <c r="E153" s="1">
        <f>IF(OR(Paths!$C$20=0,C153=0),0,MAX(0,MIN(C153*12,Paths!$E$20)-(C153-1)*12))</f>
        <v>0</v>
      </c>
      <c r="F153" s="1">
        <f>IF(OR(Paths!$C$20=0,C153=0),0,12-E153)</f>
        <v>12</v>
      </c>
      <c r="G153" s="16">
        <f>IF(NOT(Paths!$C$20=1),0,IF(Paths!$P$20="Complete",E153/12*(Paths!$J$20*(1+'Operating costs'!$B$51)^MAX(0,C153-1)+Paths!$K$20*(1+'Operating costs'!$B$53)^MAX(0,C153-1)),"n.a."))</f>
        <v>0</v>
      </c>
      <c r="H153" s="16">
        <f>IF(NOT(Paths!$C$20=1),0,IF(Paths!$P$20="Complete",F153/12*(Paths!$L$20*(1+IF(Paths!$D$20="EV",'Operating costs'!$B$52,'Operating costs'!$B$51))^MAX(0,C153-1)+Paths!$M$20*(1+'Operating costs'!$B$53)^MAX(0,C153-1)),"n.a."))</f>
        <v>18151.349999999999</v>
      </c>
      <c r="I153" s="16">
        <f>IF(NOT(Paths!$C$20=1),0,IF(Paths!$P$20="Complete",IF(IF(Paths!$E$20=0,C153=0,AND(C153&gt;0,Paths!$E$20&gt;(C153-1)*12,Paths!$E$20&lt;=C153*12)),Paths!$G$20,0),"n.a."))</f>
        <v>0</v>
      </c>
      <c r="J153" s="16">
        <f>IF(NOT(Paths!$C$20=1),0,IF(Paths!$P$20="Complete",IF(IF(Paths!$E$20=0,C153=0,AND(C153&gt;0,Paths!$E$20&gt;(C153-1)*12,Paths!$E$20&lt;=C153*12)),Paths!$H$20,0),"n.a."))</f>
        <v>0</v>
      </c>
      <c r="K153" s="16">
        <f>IF(NOT(Paths!$C$20=1),0,IF(Paths!$P$20="Complete",IF(IF(Paths!$O$20=0,C153=0,AND(C153&gt;0,Paths!$O$20&gt;(C153-1)*12,Paths!$O$20&lt;=C153*12)),Paths!$N$20,0),"n.a."))</f>
        <v>0</v>
      </c>
      <c r="L153" s="16">
        <f>IF(NOT(Paths!$C$20=1),0,IF(Paths!$P$20="Complete",IF(C153=10,Paths!$I$20,0),"n.a."))</f>
        <v>0</v>
      </c>
      <c r="M153" s="16">
        <f>IF(NOT(Paths!$C$20=1),0,IF(Paths!$P$20="Complete",IF(AND(Paths!$D$20="EV",Paths!$E$20&lt;120,Paths!$E$20+'Operating costs'!$B$65&gt;Paths!$E$20,Paths!$E$20+'Operating costs'!$B$65&lt;=120,IF(Paths!$E$20+'Operating costs'!$B$65=0,C153=0,AND(C153&gt;0,Paths!$E$20+'Operating costs'!$B$65&gt;(C153-1)*12,Paths!$E$20+'Operating costs'!$B$65&lt;=C153*12))),'Operating costs'!$B$64,0)+IF(AND('Operating costs'!$B$67&gt;0,'Operating costs'!$B$67&lt;=120,OR(Paths!$D$20="ICE",'Operating costs'!$B$67&lt;=Paths!$E$20),IF('Operating costs'!$B$67=0,C153=0,AND(C153&gt;0,'Operating costs'!$B$67&gt;(C153-1)*12,'Operating costs'!$B$67&lt;=C153*12))),'Operating costs'!$B$66,0),"n.a."))</f>
        <v>0</v>
      </c>
      <c r="N153" s="16">
        <f>IF(NOT(Paths!$C$20=1),0,IF(Paths!$P$20="Complete",SUM(G153:I153)-J153-K153-L153+M153+IF(C153=0,Paths!$F$20,0)+IF(IF(Paths!$E$20=0,C153=0,AND(C153&gt;0,Paths!$E$20&gt;(C153-1)*12,Paths!$E$20&lt;=C153*12)),VLOOKUP(A153,'Fleet register'!$A$7:$S$106,16,FALSE),0),"n.a."))</f>
        <v>18151.349999999999</v>
      </c>
      <c r="O153" s="16">
        <f>IF(NOT(Paths!$C$20=1),0,IF(Paths!$P$20="Complete",N153-IF(C153=0,Paths!$F$20,0),"n.a."))</f>
        <v>18151.349999999999</v>
      </c>
      <c r="P153" s="16">
        <f>IF(NOT(Paths!$C$20=1),0,IF(Paths!$P$20="Complete",O153+L153,"n.a."))</f>
        <v>18151.349999999999</v>
      </c>
      <c r="Q153" s="16">
        <f>IF(NOT(Paths!$C$20=1),0,IF(Paths!$P$20="Complete",N153*(1+'Operating costs'!$B$54)^-C153,"n.a."))</f>
        <v>18151.349999999999</v>
      </c>
      <c r="R153" s="16">
        <f>IF(NOT(Paths!$C$20=1),0,IF(Paths!$P$20="Complete",IF(AND(C153=0,Paths!$E$20=0),I153-J153-K153+VLOOKUP(A153,'Fleet register'!$A$7:$S$106,15,FALSE)+VLOOKUP(A153,'Fleet register'!$A$7:$S$106,16,FALSE),0),"n.a."))</f>
        <v>0</v>
      </c>
      <c r="S153" s="1">
        <f>IF(NOT(Paths!$C$20=1),0,IF(Paths!$P$20="Complete",IF(C153=0,0,Paths!$S$20*Paths!$R$20),"n.a."))</f>
        <v>45000</v>
      </c>
      <c r="T153" s="1">
        <f>IF(NOT(Paths!$C$20=1),0,IF(Paths!$P$20="Complete",IF(C153=0,0,VLOOKUP(A153,'Fleet register'!$A$7:$S$106,9,FALSE)*Paths!$R$20),"n.a."))</f>
        <v>7200</v>
      </c>
    </row>
    <row r="154" spans="1:20" ht="24" customHeight="1">
      <c r="A154" s="1" t="str">
        <f>Paths!$A$20</f>
        <v>T004</v>
      </c>
      <c r="B154" s="1">
        <f>Paths!$B$20</f>
        <v>1</v>
      </c>
      <c r="C154" s="1">
        <v>4</v>
      </c>
      <c r="D154" s="1">
        <v>20</v>
      </c>
      <c r="E154" s="1">
        <f>IF(OR(Paths!$C$20=0,C154=0),0,MAX(0,MIN(C154*12,Paths!$E$20)-(C154-1)*12))</f>
        <v>0</v>
      </c>
      <c r="F154" s="1">
        <f>IF(OR(Paths!$C$20=0,C154=0),0,12-E154)</f>
        <v>12</v>
      </c>
      <c r="G154" s="16">
        <f>IF(NOT(Paths!$C$20=1),0,IF(Paths!$P$20="Complete",E154/12*(Paths!$J$20*(1+'Operating costs'!$B$51)^MAX(0,C154-1)+Paths!$K$20*(1+'Operating costs'!$B$53)^MAX(0,C154-1)),"n.a."))</f>
        <v>0</v>
      </c>
      <c r="H154" s="16">
        <f>IF(NOT(Paths!$C$20=1),0,IF(Paths!$P$20="Complete",F154/12*(Paths!$L$20*(1+IF(Paths!$D$20="EV",'Operating costs'!$B$52,'Operating costs'!$B$51))^MAX(0,C154-1)+Paths!$M$20*(1+'Operating costs'!$B$53)^MAX(0,C154-1)),"n.a."))</f>
        <v>18151.349999999999</v>
      </c>
      <c r="I154" s="16">
        <f>IF(NOT(Paths!$C$20=1),0,IF(Paths!$P$20="Complete",IF(IF(Paths!$E$20=0,C154=0,AND(C154&gt;0,Paths!$E$20&gt;(C154-1)*12,Paths!$E$20&lt;=C154*12)),Paths!$G$20,0),"n.a."))</f>
        <v>0</v>
      </c>
      <c r="J154" s="16">
        <f>IF(NOT(Paths!$C$20=1),0,IF(Paths!$P$20="Complete",IF(IF(Paths!$E$20=0,C154=0,AND(C154&gt;0,Paths!$E$20&gt;(C154-1)*12,Paths!$E$20&lt;=C154*12)),Paths!$H$20,0),"n.a."))</f>
        <v>0</v>
      </c>
      <c r="K154" s="16">
        <f>IF(NOT(Paths!$C$20=1),0,IF(Paths!$P$20="Complete",IF(IF(Paths!$O$20=0,C154=0,AND(C154&gt;0,Paths!$O$20&gt;(C154-1)*12,Paths!$O$20&lt;=C154*12)),Paths!$N$20,0),"n.a."))</f>
        <v>0</v>
      </c>
      <c r="L154" s="16">
        <f>IF(NOT(Paths!$C$20=1),0,IF(Paths!$P$20="Complete",IF(C154=10,Paths!$I$20,0),"n.a."))</f>
        <v>0</v>
      </c>
      <c r="M154" s="16">
        <f>IF(NOT(Paths!$C$20=1),0,IF(Paths!$P$20="Complete",IF(AND(Paths!$D$20="EV",Paths!$E$20&lt;120,Paths!$E$20+'Operating costs'!$B$65&gt;Paths!$E$20,Paths!$E$20+'Operating costs'!$B$65&lt;=120,IF(Paths!$E$20+'Operating costs'!$B$65=0,C154=0,AND(C154&gt;0,Paths!$E$20+'Operating costs'!$B$65&gt;(C154-1)*12,Paths!$E$20+'Operating costs'!$B$65&lt;=C154*12))),'Operating costs'!$B$64,0)+IF(AND('Operating costs'!$B$67&gt;0,'Operating costs'!$B$67&lt;=120,OR(Paths!$D$20="ICE",'Operating costs'!$B$67&lt;=Paths!$E$20),IF('Operating costs'!$B$67=0,C154=0,AND(C154&gt;0,'Operating costs'!$B$67&gt;(C154-1)*12,'Operating costs'!$B$67&lt;=C154*12))),'Operating costs'!$B$66,0),"n.a."))</f>
        <v>0</v>
      </c>
      <c r="N154" s="16">
        <f>IF(NOT(Paths!$C$20=1),0,IF(Paths!$P$20="Complete",SUM(G154:I154)-J154-K154-L154+M154+IF(C154=0,Paths!$F$20,0)+IF(IF(Paths!$E$20=0,C154=0,AND(C154&gt;0,Paths!$E$20&gt;(C154-1)*12,Paths!$E$20&lt;=C154*12)),VLOOKUP(A154,'Fleet register'!$A$7:$S$106,16,FALSE),0),"n.a."))</f>
        <v>18151.349999999999</v>
      </c>
      <c r="O154" s="16">
        <f>IF(NOT(Paths!$C$20=1),0,IF(Paths!$P$20="Complete",N154-IF(C154=0,Paths!$F$20,0),"n.a."))</f>
        <v>18151.349999999999</v>
      </c>
      <c r="P154" s="16">
        <f>IF(NOT(Paths!$C$20=1),0,IF(Paths!$P$20="Complete",O154+L154,"n.a."))</f>
        <v>18151.349999999999</v>
      </c>
      <c r="Q154" s="16">
        <f>IF(NOT(Paths!$C$20=1),0,IF(Paths!$P$20="Complete",N154*(1+'Operating costs'!$B$54)^-C154,"n.a."))</f>
        <v>18151.349999999999</v>
      </c>
      <c r="R154" s="16">
        <f>IF(NOT(Paths!$C$20=1),0,IF(Paths!$P$20="Complete",IF(AND(C154=0,Paths!$E$20=0),I154-J154-K154+VLOOKUP(A154,'Fleet register'!$A$7:$S$106,15,FALSE)+VLOOKUP(A154,'Fleet register'!$A$7:$S$106,16,FALSE),0),"n.a."))</f>
        <v>0</v>
      </c>
      <c r="S154" s="1">
        <f>IF(NOT(Paths!$C$20=1),0,IF(Paths!$P$20="Complete",IF(C154=0,0,Paths!$S$20*Paths!$R$20),"n.a."))</f>
        <v>45000</v>
      </c>
      <c r="T154" s="1">
        <f>IF(NOT(Paths!$C$20=1),0,IF(Paths!$P$20="Complete",IF(C154=0,0,VLOOKUP(A154,'Fleet register'!$A$7:$S$106,9,FALSE)*Paths!$R$20),"n.a."))</f>
        <v>7200</v>
      </c>
    </row>
    <row r="155" spans="1:20" ht="24" customHeight="1">
      <c r="A155" s="1" t="str">
        <f>Paths!$A$20</f>
        <v>T004</v>
      </c>
      <c r="B155" s="1">
        <f>Paths!$B$20</f>
        <v>1</v>
      </c>
      <c r="C155" s="1">
        <v>5</v>
      </c>
      <c r="D155" s="1">
        <v>20</v>
      </c>
      <c r="E155" s="1">
        <f>IF(OR(Paths!$C$20=0,C155=0),0,MAX(0,MIN(C155*12,Paths!$E$20)-(C155-1)*12))</f>
        <v>0</v>
      </c>
      <c r="F155" s="1">
        <f>IF(OR(Paths!$C$20=0,C155=0),0,12-E155)</f>
        <v>12</v>
      </c>
      <c r="G155" s="16">
        <f>IF(NOT(Paths!$C$20=1),0,IF(Paths!$P$20="Complete",E155/12*(Paths!$J$20*(1+'Operating costs'!$B$51)^MAX(0,C155-1)+Paths!$K$20*(1+'Operating costs'!$B$53)^MAX(0,C155-1)),"n.a."))</f>
        <v>0</v>
      </c>
      <c r="H155" s="16">
        <f>IF(NOT(Paths!$C$20=1),0,IF(Paths!$P$20="Complete",F155/12*(Paths!$L$20*(1+IF(Paths!$D$20="EV",'Operating costs'!$B$52,'Operating costs'!$B$51))^MAX(0,C155-1)+Paths!$M$20*(1+'Operating costs'!$B$53)^MAX(0,C155-1)),"n.a."))</f>
        <v>18151.349999999999</v>
      </c>
      <c r="I155" s="16">
        <f>IF(NOT(Paths!$C$20=1),0,IF(Paths!$P$20="Complete",IF(IF(Paths!$E$20=0,C155=0,AND(C155&gt;0,Paths!$E$20&gt;(C155-1)*12,Paths!$E$20&lt;=C155*12)),Paths!$G$20,0),"n.a."))</f>
        <v>0</v>
      </c>
      <c r="J155" s="16">
        <f>IF(NOT(Paths!$C$20=1),0,IF(Paths!$P$20="Complete",IF(IF(Paths!$E$20=0,C155=0,AND(C155&gt;0,Paths!$E$20&gt;(C155-1)*12,Paths!$E$20&lt;=C155*12)),Paths!$H$20,0),"n.a."))</f>
        <v>0</v>
      </c>
      <c r="K155" s="16">
        <f>IF(NOT(Paths!$C$20=1),0,IF(Paths!$P$20="Complete",IF(IF(Paths!$O$20=0,C155=0,AND(C155&gt;0,Paths!$O$20&gt;(C155-1)*12,Paths!$O$20&lt;=C155*12)),Paths!$N$20,0),"n.a."))</f>
        <v>0</v>
      </c>
      <c r="L155" s="16">
        <f>IF(NOT(Paths!$C$20=1),0,IF(Paths!$P$20="Complete",IF(C155=10,Paths!$I$20,0),"n.a."))</f>
        <v>0</v>
      </c>
      <c r="M155" s="16">
        <f>IF(NOT(Paths!$C$20=1),0,IF(Paths!$P$20="Complete",IF(AND(Paths!$D$20="EV",Paths!$E$20&lt;120,Paths!$E$20+'Operating costs'!$B$65&gt;Paths!$E$20,Paths!$E$20+'Operating costs'!$B$65&lt;=120,IF(Paths!$E$20+'Operating costs'!$B$65=0,C155=0,AND(C155&gt;0,Paths!$E$20+'Operating costs'!$B$65&gt;(C155-1)*12,Paths!$E$20+'Operating costs'!$B$65&lt;=C155*12))),'Operating costs'!$B$64,0)+IF(AND('Operating costs'!$B$67&gt;0,'Operating costs'!$B$67&lt;=120,OR(Paths!$D$20="ICE",'Operating costs'!$B$67&lt;=Paths!$E$20),IF('Operating costs'!$B$67=0,C155=0,AND(C155&gt;0,'Operating costs'!$B$67&gt;(C155-1)*12,'Operating costs'!$B$67&lt;=C155*12))),'Operating costs'!$B$66,0),"n.a."))</f>
        <v>0</v>
      </c>
      <c r="N155" s="16">
        <f>IF(NOT(Paths!$C$20=1),0,IF(Paths!$P$20="Complete",SUM(G155:I155)-J155-K155-L155+M155+IF(C155=0,Paths!$F$20,0)+IF(IF(Paths!$E$20=0,C155=0,AND(C155&gt;0,Paths!$E$20&gt;(C155-1)*12,Paths!$E$20&lt;=C155*12)),VLOOKUP(A155,'Fleet register'!$A$7:$S$106,16,FALSE),0),"n.a."))</f>
        <v>18151.349999999999</v>
      </c>
      <c r="O155" s="16">
        <f>IF(NOT(Paths!$C$20=1),0,IF(Paths!$P$20="Complete",N155-IF(C155=0,Paths!$F$20,0),"n.a."))</f>
        <v>18151.349999999999</v>
      </c>
      <c r="P155" s="16">
        <f>IF(NOT(Paths!$C$20=1),0,IF(Paths!$P$20="Complete",O155+L155,"n.a."))</f>
        <v>18151.349999999999</v>
      </c>
      <c r="Q155" s="16">
        <f>IF(NOT(Paths!$C$20=1),0,IF(Paths!$P$20="Complete",N155*(1+'Operating costs'!$B$54)^-C155,"n.a."))</f>
        <v>18151.349999999999</v>
      </c>
      <c r="R155" s="16">
        <f>IF(NOT(Paths!$C$20=1),0,IF(Paths!$P$20="Complete",IF(AND(C155=0,Paths!$E$20=0),I155-J155-K155+VLOOKUP(A155,'Fleet register'!$A$7:$S$106,15,FALSE)+VLOOKUP(A155,'Fleet register'!$A$7:$S$106,16,FALSE),0),"n.a."))</f>
        <v>0</v>
      </c>
      <c r="S155" s="1">
        <f>IF(NOT(Paths!$C$20=1),0,IF(Paths!$P$20="Complete",IF(C155=0,0,Paths!$S$20*Paths!$R$20),"n.a."))</f>
        <v>45000</v>
      </c>
      <c r="T155" s="1">
        <f>IF(NOT(Paths!$C$20=1),0,IF(Paths!$P$20="Complete",IF(C155=0,0,VLOOKUP(A155,'Fleet register'!$A$7:$S$106,9,FALSE)*Paths!$R$20),"n.a."))</f>
        <v>7200</v>
      </c>
    </row>
    <row r="156" spans="1:20" ht="24" customHeight="1">
      <c r="A156" s="1" t="str">
        <f>Paths!$A$20</f>
        <v>T004</v>
      </c>
      <c r="B156" s="1">
        <f>Paths!$B$20</f>
        <v>1</v>
      </c>
      <c r="C156" s="1">
        <v>6</v>
      </c>
      <c r="D156" s="1">
        <v>20</v>
      </c>
      <c r="E156" s="1">
        <f>IF(OR(Paths!$C$20=0,C156=0),0,MAX(0,MIN(C156*12,Paths!$E$20)-(C156-1)*12))</f>
        <v>0</v>
      </c>
      <c r="F156" s="1">
        <f>IF(OR(Paths!$C$20=0,C156=0),0,12-E156)</f>
        <v>12</v>
      </c>
      <c r="G156" s="16">
        <f>IF(NOT(Paths!$C$20=1),0,IF(Paths!$P$20="Complete",E156/12*(Paths!$J$20*(1+'Operating costs'!$B$51)^MAX(0,C156-1)+Paths!$K$20*(1+'Operating costs'!$B$53)^MAX(0,C156-1)),"n.a."))</f>
        <v>0</v>
      </c>
      <c r="H156" s="16">
        <f>IF(NOT(Paths!$C$20=1),0,IF(Paths!$P$20="Complete",F156/12*(Paths!$L$20*(1+IF(Paths!$D$20="EV",'Operating costs'!$B$52,'Operating costs'!$B$51))^MAX(0,C156-1)+Paths!$M$20*(1+'Operating costs'!$B$53)^MAX(0,C156-1)),"n.a."))</f>
        <v>18151.349999999999</v>
      </c>
      <c r="I156" s="16">
        <f>IF(NOT(Paths!$C$20=1),0,IF(Paths!$P$20="Complete",IF(IF(Paths!$E$20=0,C156=0,AND(C156&gt;0,Paths!$E$20&gt;(C156-1)*12,Paths!$E$20&lt;=C156*12)),Paths!$G$20,0),"n.a."))</f>
        <v>0</v>
      </c>
      <c r="J156" s="16">
        <f>IF(NOT(Paths!$C$20=1),0,IF(Paths!$P$20="Complete",IF(IF(Paths!$E$20=0,C156=0,AND(C156&gt;0,Paths!$E$20&gt;(C156-1)*12,Paths!$E$20&lt;=C156*12)),Paths!$H$20,0),"n.a."))</f>
        <v>0</v>
      </c>
      <c r="K156" s="16">
        <f>IF(NOT(Paths!$C$20=1),0,IF(Paths!$P$20="Complete",IF(IF(Paths!$O$20=0,C156=0,AND(C156&gt;0,Paths!$O$20&gt;(C156-1)*12,Paths!$O$20&lt;=C156*12)),Paths!$N$20,0),"n.a."))</f>
        <v>0</v>
      </c>
      <c r="L156" s="16">
        <f>IF(NOT(Paths!$C$20=1),0,IF(Paths!$P$20="Complete",IF(C156=10,Paths!$I$20,0),"n.a."))</f>
        <v>0</v>
      </c>
      <c r="M156" s="16">
        <f>IF(NOT(Paths!$C$20=1),0,IF(Paths!$P$20="Complete",IF(AND(Paths!$D$20="EV",Paths!$E$20&lt;120,Paths!$E$20+'Operating costs'!$B$65&gt;Paths!$E$20,Paths!$E$20+'Operating costs'!$B$65&lt;=120,IF(Paths!$E$20+'Operating costs'!$B$65=0,C156=0,AND(C156&gt;0,Paths!$E$20+'Operating costs'!$B$65&gt;(C156-1)*12,Paths!$E$20+'Operating costs'!$B$65&lt;=C156*12))),'Operating costs'!$B$64,0)+IF(AND('Operating costs'!$B$67&gt;0,'Operating costs'!$B$67&lt;=120,OR(Paths!$D$20="ICE",'Operating costs'!$B$67&lt;=Paths!$E$20),IF('Operating costs'!$B$67=0,C156=0,AND(C156&gt;0,'Operating costs'!$B$67&gt;(C156-1)*12,'Operating costs'!$B$67&lt;=C156*12))),'Operating costs'!$B$66,0),"n.a."))</f>
        <v>0</v>
      </c>
      <c r="N156" s="16">
        <f>IF(NOT(Paths!$C$20=1),0,IF(Paths!$P$20="Complete",SUM(G156:I156)-J156-K156-L156+M156+IF(C156=0,Paths!$F$20,0)+IF(IF(Paths!$E$20=0,C156=0,AND(C156&gt;0,Paths!$E$20&gt;(C156-1)*12,Paths!$E$20&lt;=C156*12)),VLOOKUP(A156,'Fleet register'!$A$7:$S$106,16,FALSE),0),"n.a."))</f>
        <v>18151.349999999999</v>
      </c>
      <c r="O156" s="16">
        <f>IF(NOT(Paths!$C$20=1),0,IF(Paths!$P$20="Complete",N156-IF(C156=0,Paths!$F$20,0),"n.a."))</f>
        <v>18151.349999999999</v>
      </c>
      <c r="P156" s="16">
        <f>IF(NOT(Paths!$C$20=1),0,IF(Paths!$P$20="Complete",O156+L156,"n.a."))</f>
        <v>18151.349999999999</v>
      </c>
      <c r="Q156" s="16">
        <f>IF(NOT(Paths!$C$20=1),0,IF(Paths!$P$20="Complete",N156*(1+'Operating costs'!$B$54)^-C156,"n.a."))</f>
        <v>18151.349999999999</v>
      </c>
      <c r="R156" s="16">
        <f>IF(NOT(Paths!$C$20=1),0,IF(Paths!$P$20="Complete",IF(AND(C156=0,Paths!$E$20=0),I156-J156-K156+VLOOKUP(A156,'Fleet register'!$A$7:$S$106,15,FALSE)+VLOOKUP(A156,'Fleet register'!$A$7:$S$106,16,FALSE),0),"n.a."))</f>
        <v>0</v>
      </c>
      <c r="S156" s="1">
        <f>IF(NOT(Paths!$C$20=1),0,IF(Paths!$P$20="Complete",IF(C156=0,0,Paths!$S$20*Paths!$R$20),"n.a."))</f>
        <v>45000</v>
      </c>
      <c r="T156" s="1">
        <f>IF(NOT(Paths!$C$20=1),0,IF(Paths!$P$20="Complete",IF(C156=0,0,VLOOKUP(A156,'Fleet register'!$A$7:$S$106,9,FALSE)*Paths!$R$20),"n.a."))</f>
        <v>7200</v>
      </c>
    </row>
    <row r="157" spans="1:20" ht="24" customHeight="1">
      <c r="A157" s="1" t="str">
        <f>Paths!$A$20</f>
        <v>T004</v>
      </c>
      <c r="B157" s="1">
        <f>Paths!$B$20</f>
        <v>1</v>
      </c>
      <c r="C157" s="1">
        <v>7</v>
      </c>
      <c r="D157" s="1">
        <v>20</v>
      </c>
      <c r="E157" s="1">
        <f>IF(OR(Paths!$C$20=0,C157=0),0,MAX(0,MIN(C157*12,Paths!$E$20)-(C157-1)*12))</f>
        <v>0</v>
      </c>
      <c r="F157" s="1">
        <f>IF(OR(Paths!$C$20=0,C157=0),0,12-E157)</f>
        <v>12</v>
      </c>
      <c r="G157" s="16">
        <f>IF(NOT(Paths!$C$20=1),0,IF(Paths!$P$20="Complete",E157/12*(Paths!$J$20*(1+'Operating costs'!$B$51)^MAX(0,C157-1)+Paths!$K$20*(1+'Operating costs'!$B$53)^MAX(0,C157-1)),"n.a."))</f>
        <v>0</v>
      </c>
      <c r="H157" s="16">
        <f>IF(NOT(Paths!$C$20=1),0,IF(Paths!$P$20="Complete",F157/12*(Paths!$L$20*(1+IF(Paths!$D$20="EV",'Operating costs'!$B$52,'Operating costs'!$B$51))^MAX(0,C157-1)+Paths!$M$20*(1+'Operating costs'!$B$53)^MAX(0,C157-1)),"n.a."))</f>
        <v>18151.349999999999</v>
      </c>
      <c r="I157" s="16">
        <f>IF(NOT(Paths!$C$20=1),0,IF(Paths!$P$20="Complete",IF(IF(Paths!$E$20=0,C157=0,AND(C157&gt;0,Paths!$E$20&gt;(C157-1)*12,Paths!$E$20&lt;=C157*12)),Paths!$G$20,0),"n.a."))</f>
        <v>0</v>
      </c>
      <c r="J157" s="16">
        <f>IF(NOT(Paths!$C$20=1),0,IF(Paths!$P$20="Complete",IF(IF(Paths!$E$20=0,C157=0,AND(C157&gt;0,Paths!$E$20&gt;(C157-1)*12,Paths!$E$20&lt;=C157*12)),Paths!$H$20,0),"n.a."))</f>
        <v>0</v>
      </c>
      <c r="K157" s="16">
        <f>IF(NOT(Paths!$C$20=1),0,IF(Paths!$P$20="Complete",IF(IF(Paths!$O$20=0,C157=0,AND(C157&gt;0,Paths!$O$20&gt;(C157-1)*12,Paths!$O$20&lt;=C157*12)),Paths!$N$20,0),"n.a."))</f>
        <v>0</v>
      </c>
      <c r="L157" s="16">
        <f>IF(NOT(Paths!$C$20=1),0,IF(Paths!$P$20="Complete",IF(C157=10,Paths!$I$20,0),"n.a."))</f>
        <v>0</v>
      </c>
      <c r="M157" s="16">
        <f>IF(NOT(Paths!$C$20=1),0,IF(Paths!$P$20="Complete",IF(AND(Paths!$D$20="EV",Paths!$E$20&lt;120,Paths!$E$20+'Operating costs'!$B$65&gt;Paths!$E$20,Paths!$E$20+'Operating costs'!$B$65&lt;=120,IF(Paths!$E$20+'Operating costs'!$B$65=0,C157=0,AND(C157&gt;0,Paths!$E$20+'Operating costs'!$B$65&gt;(C157-1)*12,Paths!$E$20+'Operating costs'!$B$65&lt;=C157*12))),'Operating costs'!$B$64,0)+IF(AND('Operating costs'!$B$67&gt;0,'Operating costs'!$B$67&lt;=120,OR(Paths!$D$20="ICE",'Operating costs'!$B$67&lt;=Paths!$E$20),IF('Operating costs'!$B$67=0,C157=0,AND(C157&gt;0,'Operating costs'!$B$67&gt;(C157-1)*12,'Operating costs'!$B$67&lt;=C157*12))),'Operating costs'!$B$66,0),"n.a."))</f>
        <v>0</v>
      </c>
      <c r="N157" s="16">
        <f>IF(NOT(Paths!$C$20=1),0,IF(Paths!$P$20="Complete",SUM(G157:I157)-J157-K157-L157+M157+IF(C157=0,Paths!$F$20,0)+IF(IF(Paths!$E$20=0,C157=0,AND(C157&gt;0,Paths!$E$20&gt;(C157-1)*12,Paths!$E$20&lt;=C157*12)),VLOOKUP(A157,'Fleet register'!$A$7:$S$106,16,FALSE),0),"n.a."))</f>
        <v>18151.349999999999</v>
      </c>
      <c r="O157" s="16">
        <f>IF(NOT(Paths!$C$20=1),0,IF(Paths!$P$20="Complete",N157-IF(C157=0,Paths!$F$20,0),"n.a."))</f>
        <v>18151.349999999999</v>
      </c>
      <c r="P157" s="16">
        <f>IF(NOT(Paths!$C$20=1),0,IF(Paths!$P$20="Complete",O157+L157,"n.a."))</f>
        <v>18151.349999999999</v>
      </c>
      <c r="Q157" s="16">
        <f>IF(NOT(Paths!$C$20=1),0,IF(Paths!$P$20="Complete",N157*(1+'Operating costs'!$B$54)^-C157,"n.a."))</f>
        <v>18151.349999999999</v>
      </c>
      <c r="R157" s="16">
        <f>IF(NOT(Paths!$C$20=1),0,IF(Paths!$P$20="Complete",IF(AND(C157=0,Paths!$E$20=0),I157-J157-K157+VLOOKUP(A157,'Fleet register'!$A$7:$S$106,15,FALSE)+VLOOKUP(A157,'Fleet register'!$A$7:$S$106,16,FALSE),0),"n.a."))</f>
        <v>0</v>
      </c>
      <c r="S157" s="1">
        <f>IF(NOT(Paths!$C$20=1),0,IF(Paths!$P$20="Complete",IF(C157=0,0,Paths!$S$20*Paths!$R$20),"n.a."))</f>
        <v>45000</v>
      </c>
      <c r="T157" s="1">
        <f>IF(NOT(Paths!$C$20=1),0,IF(Paths!$P$20="Complete",IF(C157=0,0,VLOOKUP(A157,'Fleet register'!$A$7:$S$106,9,FALSE)*Paths!$R$20),"n.a."))</f>
        <v>7200</v>
      </c>
    </row>
    <row r="158" spans="1:20" ht="24" customHeight="1">
      <c r="A158" s="1" t="str">
        <f>Paths!$A$20</f>
        <v>T004</v>
      </c>
      <c r="B158" s="1">
        <f>Paths!$B$20</f>
        <v>1</v>
      </c>
      <c r="C158" s="1">
        <v>8</v>
      </c>
      <c r="D158" s="1">
        <v>20</v>
      </c>
      <c r="E158" s="1">
        <f>IF(OR(Paths!$C$20=0,C158=0),0,MAX(0,MIN(C158*12,Paths!$E$20)-(C158-1)*12))</f>
        <v>0</v>
      </c>
      <c r="F158" s="1">
        <f>IF(OR(Paths!$C$20=0,C158=0),0,12-E158)</f>
        <v>12</v>
      </c>
      <c r="G158" s="16">
        <f>IF(NOT(Paths!$C$20=1),0,IF(Paths!$P$20="Complete",E158/12*(Paths!$J$20*(1+'Operating costs'!$B$51)^MAX(0,C158-1)+Paths!$K$20*(1+'Operating costs'!$B$53)^MAX(0,C158-1)),"n.a."))</f>
        <v>0</v>
      </c>
      <c r="H158" s="16">
        <f>IF(NOT(Paths!$C$20=1),0,IF(Paths!$P$20="Complete",F158/12*(Paths!$L$20*(1+IF(Paths!$D$20="EV",'Operating costs'!$B$52,'Operating costs'!$B$51))^MAX(0,C158-1)+Paths!$M$20*(1+'Operating costs'!$B$53)^MAX(0,C158-1)),"n.a."))</f>
        <v>18151.349999999999</v>
      </c>
      <c r="I158" s="16">
        <f>IF(NOT(Paths!$C$20=1),0,IF(Paths!$P$20="Complete",IF(IF(Paths!$E$20=0,C158=0,AND(C158&gt;0,Paths!$E$20&gt;(C158-1)*12,Paths!$E$20&lt;=C158*12)),Paths!$G$20,0),"n.a."))</f>
        <v>0</v>
      </c>
      <c r="J158" s="16">
        <f>IF(NOT(Paths!$C$20=1),0,IF(Paths!$P$20="Complete",IF(IF(Paths!$E$20=0,C158=0,AND(C158&gt;0,Paths!$E$20&gt;(C158-1)*12,Paths!$E$20&lt;=C158*12)),Paths!$H$20,0),"n.a."))</f>
        <v>0</v>
      </c>
      <c r="K158" s="16">
        <f>IF(NOT(Paths!$C$20=1),0,IF(Paths!$P$20="Complete",IF(IF(Paths!$O$20=0,C158=0,AND(C158&gt;0,Paths!$O$20&gt;(C158-1)*12,Paths!$O$20&lt;=C158*12)),Paths!$N$20,0),"n.a."))</f>
        <v>0</v>
      </c>
      <c r="L158" s="16">
        <f>IF(NOT(Paths!$C$20=1),0,IF(Paths!$P$20="Complete",IF(C158=10,Paths!$I$20,0),"n.a."))</f>
        <v>0</v>
      </c>
      <c r="M158" s="16">
        <f>IF(NOT(Paths!$C$20=1),0,IF(Paths!$P$20="Complete",IF(AND(Paths!$D$20="EV",Paths!$E$20&lt;120,Paths!$E$20+'Operating costs'!$B$65&gt;Paths!$E$20,Paths!$E$20+'Operating costs'!$B$65&lt;=120,IF(Paths!$E$20+'Operating costs'!$B$65=0,C158=0,AND(C158&gt;0,Paths!$E$20+'Operating costs'!$B$65&gt;(C158-1)*12,Paths!$E$20+'Operating costs'!$B$65&lt;=C158*12))),'Operating costs'!$B$64,0)+IF(AND('Operating costs'!$B$67&gt;0,'Operating costs'!$B$67&lt;=120,OR(Paths!$D$20="ICE",'Operating costs'!$B$67&lt;=Paths!$E$20),IF('Operating costs'!$B$67=0,C158=0,AND(C158&gt;0,'Operating costs'!$B$67&gt;(C158-1)*12,'Operating costs'!$B$67&lt;=C158*12))),'Operating costs'!$B$66,0),"n.a."))</f>
        <v>0</v>
      </c>
      <c r="N158" s="16">
        <f>IF(NOT(Paths!$C$20=1),0,IF(Paths!$P$20="Complete",SUM(G158:I158)-J158-K158-L158+M158+IF(C158=0,Paths!$F$20,0)+IF(IF(Paths!$E$20=0,C158=0,AND(C158&gt;0,Paths!$E$20&gt;(C158-1)*12,Paths!$E$20&lt;=C158*12)),VLOOKUP(A158,'Fleet register'!$A$7:$S$106,16,FALSE),0),"n.a."))</f>
        <v>18151.349999999999</v>
      </c>
      <c r="O158" s="16">
        <f>IF(NOT(Paths!$C$20=1),0,IF(Paths!$P$20="Complete",N158-IF(C158=0,Paths!$F$20,0),"n.a."))</f>
        <v>18151.349999999999</v>
      </c>
      <c r="P158" s="16">
        <f>IF(NOT(Paths!$C$20=1),0,IF(Paths!$P$20="Complete",O158+L158,"n.a."))</f>
        <v>18151.349999999999</v>
      </c>
      <c r="Q158" s="16">
        <f>IF(NOT(Paths!$C$20=1),0,IF(Paths!$P$20="Complete",N158*(1+'Operating costs'!$B$54)^-C158,"n.a."))</f>
        <v>18151.349999999999</v>
      </c>
      <c r="R158" s="16">
        <f>IF(NOT(Paths!$C$20=1),0,IF(Paths!$P$20="Complete",IF(AND(C158=0,Paths!$E$20=0),I158-J158-K158+VLOOKUP(A158,'Fleet register'!$A$7:$S$106,15,FALSE)+VLOOKUP(A158,'Fleet register'!$A$7:$S$106,16,FALSE),0),"n.a."))</f>
        <v>0</v>
      </c>
      <c r="S158" s="1">
        <f>IF(NOT(Paths!$C$20=1),0,IF(Paths!$P$20="Complete",IF(C158=0,0,Paths!$S$20*Paths!$R$20),"n.a."))</f>
        <v>45000</v>
      </c>
      <c r="T158" s="1">
        <f>IF(NOT(Paths!$C$20=1),0,IF(Paths!$P$20="Complete",IF(C158=0,0,VLOOKUP(A158,'Fleet register'!$A$7:$S$106,9,FALSE)*Paths!$R$20),"n.a."))</f>
        <v>7200</v>
      </c>
    </row>
    <row r="159" spans="1:20" ht="24" customHeight="1">
      <c r="A159" s="1" t="str">
        <f>Paths!$A$20</f>
        <v>T004</v>
      </c>
      <c r="B159" s="1">
        <f>Paths!$B$20</f>
        <v>1</v>
      </c>
      <c r="C159" s="1">
        <v>9</v>
      </c>
      <c r="D159" s="1">
        <v>20</v>
      </c>
      <c r="E159" s="1">
        <f>IF(OR(Paths!$C$20=0,C159=0),0,MAX(0,MIN(C159*12,Paths!$E$20)-(C159-1)*12))</f>
        <v>0</v>
      </c>
      <c r="F159" s="1">
        <f>IF(OR(Paths!$C$20=0,C159=0),0,12-E159)</f>
        <v>12</v>
      </c>
      <c r="G159" s="16">
        <f>IF(NOT(Paths!$C$20=1),0,IF(Paths!$P$20="Complete",E159/12*(Paths!$J$20*(1+'Operating costs'!$B$51)^MAX(0,C159-1)+Paths!$K$20*(1+'Operating costs'!$B$53)^MAX(0,C159-1)),"n.a."))</f>
        <v>0</v>
      </c>
      <c r="H159" s="16">
        <f>IF(NOT(Paths!$C$20=1),0,IF(Paths!$P$20="Complete",F159/12*(Paths!$L$20*(1+IF(Paths!$D$20="EV",'Operating costs'!$B$52,'Operating costs'!$B$51))^MAX(0,C159-1)+Paths!$M$20*(1+'Operating costs'!$B$53)^MAX(0,C159-1)),"n.a."))</f>
        <v>18151.349999999999</v>
      </c>
      <c r="I159" s="16">
        <f>IF(NOT(Paths!$C$20=1),0,IF(Paths!$P$20="Complete",IF(IF(Paths!$E$20=0,C159=0,AND(C159&gt;0,Paths!$E$20&gt;(C159-1)*12,Paths!$E$20&lt;=C159*12)),Paths!$G$20,0),"n.a."))</f>
        <v>0</v>
      </c>
      <c r="J159" s="16">
        <f>IF(NOT(Paths!$C$20=1),0,IF(Paths!$P$20="Complete",IF(IF(Paths!$E$20=0,C159=0,AND(C159&gt;0,Paths!$E$20&gt;(C159-1)*12,Paths!$E$20&lt;=C159*12)),Paths!$H$20,0),"n.a."))</f>
        <v>0</v>
      </c>
      <c r="K159" s="16">
        <f>IF(NOT(Paths!$C$20=1),0,IF(Paths!$P$20="Complete",IF(IF(Paths!$O$20=0,C159=0,AND(C159&gt;0,Paths!$O$20&gt;(C159-1)*12,Paths!$O$20&lt;=C159*12)),Paths!$N$20,0),"n.a."))</f>
        <v>0</v>
      </c>
      <c r="L159" s="16">
        <f>IF(NOT(Paths!$C$20=1),0,IF(Paths!$P$20="Complete",IF(C159=10,Paths!$I$20,0),"n.a."))</f>
        <v>0</v>
      </c>
      <c r="M159" s="16">
        <f>IF(NOT(Paths!$C$20=1),0,IF(Paths!$P$20="Complete",IF(AND(Paths!$D$20="EV",Paths!$E$20&lt;120,Paths!$E$20+'Operating costs'!$B$65&gt;Paths!$E$20,Paths!$E$20+'Operating costs'!$B$65&lt;=120,IF(Paths!$E$20+'Operating costs'!$B$65=0,C159=0,AND(C159&gt;0,Paths!$E$20+'Operating costs'!$B$65&gt;(C159-1)*12,Paths!$E$20+'Operating costs'!$B$65&lt;=C159*12))),'Operating costs'!$B$64,0)+IF(AND('Operating costs'!$B$67&gt;0,'Operating costs'!$B$67&lt;=120,OR(Paths!$D$20="ICE",'Operating costs'!$B$67&lt;=Paths!$E$20),IF('Operating costs'!$B$67=0,C159=0,AND(C159&gt;0,'Operating costs'!$B$67&gt;(C159-1)*12,'Operating costs'!$B$67&lt;=C159*12))),'Operating costs'!$B$66,0),"n.a."))</f>
        <v>0</v>
      </c>
      <c r="N159" s="16">
        <f>IF(NOT(Paths!$C$20=1),0,IF(Paths!$P$20="Complete",SUM(G159:I159)-J159-K159-L159+M159+IF(C159=0,Paths!$F$20,0)+IF(IF(Paths!$E$20=0,C159=0,AND(C159&gt;0,Paths!$E$20&gt;(C159-1)*12,Paths!$E$20&lt;=C159*12)),VLOOKUP(A159,'Fleet register'!$A$7:$S$106,16,FALSE),0),"n.a."))</f>
        <v>18151.349999999999</v>
      </c>
      <c r="O159" s="16">
        <f>IF(NOT(Paths!$C$20=1),0,IF(Paths!$P$20="Complete",N159-IF(C159=0,Paths!$F$20,0),"n.a."))</f>
        <v>18151.349999999999</v>
      </c>
      <c r="P159" s="16">
        <f>IF(NOT(Paths!$C$20=1),0,IF(Paths!$P$20="Complete",O159+L159,"n.a."))</f>
        <v>18151.349999999999</v>
      </c>
      <c r="Q159" s="16">
        <f>IF(NOT(Paths!$C$20=1),0,IF(Paths!$P$20="Complete",N159*(1+'Operating costs'!$B$54)^-C159,"n.a."))</f>
        <v>18151.349999999999</v>
      </c>
      <c r="R159" s="16">
        <f>IF(NOT(Paths!$C$20=1),0,IF(Paths!$P$20="Complete",IF(AND(C159=0,Paths!$E$20=0),I159-J159-K159+VLOOKUP(A159,'Fleet register'!$A$7:$S$106,15,FALSE)+VLOOKUP(A159,'Fleet register'!$A$7:$S$106,16,FALSE),0),"n.a."))</f>
        <v>0</v>
      </c>
      <c r="S159" s="1">
        <f>IF(NOT(Paths!$C$20=1),0,IF(Paths!$P$20="Complete",IF(C159=0,0,Paths!$S$20*Paths!$R$20),"n.a."))</f>
        <v>45000</v>
      </c>
      <c r="T159" s="1">
        <f>IF(NOT(Paths!$C$20=1),0,IF(Paths!$P$20="Complete",IF(C159=0,0,VLOOKUP(A159,'Fleet register'!$A$7:$S$106,9,FALSE)*Paths!$R$20),"n.a."))</f>
        <v>7200</v>
      </c>
    </row>
    <row r="160" spans="1:20" ht="24" customHeight="1">
      <c r="A160" s="1" t="str">
        <f>Paths!$A$20</f>
        <v>T004</v>
      </c>
      <c r="B160" s="1">
        <f>Paths!$B$20</f>
        <v>1</v>
      </c>
      <c r="C160" s="1">
        <v>10</v>
      </c>
      <c r="D160" s="1">
        <v>20</v>
      </c>
      <c r="E160" s="1">
        <f>IF(OR(Paths!$C$20=0,C160=0),0,MAX(0,MIN(C160*12,Paths!$E$20)-(C160-1)*12))</f>
        <v>0</v>
      </c>
      <c r="F160" s="1">
        <f>IF(OR(Paths!$C$20=0,C160=0),0,12-E160)</f>
        <v>12</v>
      </c>
      <c r="G160" s="16">
        <f>IF(NOT(Paths!$C$20=1),0,IF(Paths!$P$20="Complete",E160/12*(Paths!$J$20*(1+'Operating costs'!$B$51)^MAX(0,C160-1)+Paths!$K$20*(1+'Operating costs'!$B$53)^MAX(0,C160-1)),"n.a."))</f>
        <v>0</v>
      </c>
      <c r="H160" s="16">
        <f>IF(NOT(Paths!$C$20=1),0,IF(Paths!$P$20="Complete",F160/12*(Paths!$L$20*(1+IF(Paths!$D$20="EV",'Operating costs'!$B$52,'Operating costs'!$B$51))^MAX(0,C160-1)+Paths!$M$20*(1+'Operating costs'!$B$53)^MAX(0,C160-1)),"n.a."))</f>
        <v>18151.349999999999</v>
      </c>
      <c r="I160" s="16">
        <f>IF(NOT(Paths!$C$20=1),0,IF(Paths!$P$20="Complete",IF(IF(Paths!$E$20=0,C160=0,AND(C160&gt;0,Paths!$E$20&gt;(C160-1)*12,Paths!$E$20&lt;=C160*12)),Paths!$G$20,0),"n.a."))</f>
        <v>0</v>
      </c>
      <c r="J160" s="16">
        <f>IF(NOT(Paths!$C$20=1),0,IF(Paths!$P$20="Complete",IF(IF(Paths!$E$20=0,C160=0,AND(C160&gt;0,Paths!$E$20&gt;(C160-1)*12,Paths!$E$20&lt;=C160*12)),Paths!$H$20,0),"n.a."))</f>
        <v>0</v>
      </c>
      <c r="K160" s="16">
        <f>IF(NOT(Paths!$C$20=1),0,IF(Paths!$P$20="Complete",IF(IF(Paths!$O$20=0,C160=0,AND(C160&gt;0,Paths!$O$20&gt;(C160-1)*12,Paths!$O$20&lt;=C160*12)),Paths!$N$20,0),"n.a."))</f>
        <v>0</v>
      </c>
      <c r="L160" s="16">
        <f>IF(NOT(Paths!$C$20=1),0,IF(Paths!$P$20="Complete",IF(C160=10,Paths!$I$20,0),"n.a."))</f>
        <v>12000</v>
      </c>
      <c r="M160" s="16">
        <f>IF(NOT(Paths!$C$20=1),0,IF(Paths!$P$20="Complete",IF(AND(Paths!$D$20="EV",Paths!$E$20&lt;120,Paths!$E$20+'Operating costs'!$B$65&gt;Paths!$E$20,Paths!$E$20+'Operating costs'!$B$65&lt;=120,IF(Paths!$E$20+'Operating costs'!$B$65=0,C160=0,AND(C160&gt;0,Paths!$E$20+'Operating costs'!$B$65&gt;(C160-1)*12,Paths!$E$20+'Operating costs'!$B$65&lt;=C160*12))),'Operating costs'!$B$64,0)+IF(AND('Operating costs'!$B$67&gt;0,'Operating costs'!$B$67&lt;=120,OR(Paths!$D$20="ICE",'Operating costs'!$B$67&lt;=Paths!$E$20),IF('Operating costs'!$B$67=0,C160=0,AND(C160&gt;0,'Operating costs'!$B$67&gt;(C160-1)*12,'Operating costs'!$B$67&lt;=C160*12))),'Operating costs'!$B$66,0),"n.a."))</f>
        <v>0</v>
      </c>
      <c r="N160" s="16">
        <f>IF(NOT(Paths!$C$20=1),0,IF(Paths!$P$20="Complete",SUM(G160:I160)-J160-K160-L160+M160+IF(C160=0,Paths!$F$20,0)+IF(IF(Paths!$E$20=0,C160=0,AND(C160&gt;0,Paths!$E$20&gt;(C160-1)*12,Paths!$E$20&lt;=C160*12)),VLOOKUP(A160,'Fleet register'!$A$7:$S$106,16,FALSE),0),"n.a."))</f>
        <v>6151.3499999999985</v>
      </c>
      <c r="O160" s="16">
        <f>IF(NOT(Paths!$C$20=1),0,IF(Paths!$P$20="Complete",N160-IF(C160=0,Paths!$F$20,0),"n.a."))</f>
        <v>6151.3499999999985</v>
      </c>
      <c r="P160" s="16">
        <f>IF(NOT(Paths!$C$20=1),0,IF(Paths!$P$20="Complete",O160+L160,"n.a."))</f>
        <v>18151.349999999999</v>
      </c>
      <c r="Q160" s="16">
        <f>IF(NOT(Paths!$C$20=1),0,IF(Paths!$P$20="Complete",N160*(1+'Operating costs'!$B$54)^-C160,"n.a."))</f>
        <v>6151.3499999999985</v>
      </c>
      <c r="R160" s="16">
        <f>IF(NOT(Paths!$C$20=1),0,IF(Paths!$P$20="Complete",IF(AND(C160=0,Paths!$E$20=0),I160-J160-K160+VLOOKUP(A160,'Fleet register'!$A$7:$S$106,15,FALSE)+VLOOKUP(A160,'Fleet register'!$A$7:$S$106,16,FALSE),0),"n.a."))</f>
        <v>0</v>
      </c>
      <c r="S160" s="1">
        <f>IF(NOT(Paths!$C$20=1),0,IF(Paths!$P$20="Complete",IF(C160=0,0,Paths!$S$20*Paths!$R$20),"n.a."))</f>
        <v>45000</v>
      </c>
      <c r="T160" s="1">
        <f>IF(NOT(Paths!$C$20=1),0,IF(Paths!$P$20="Complete",IF(C160=0,0,VLOOKUP(A160,'Fleet register'!$A$7:$S$106,9,FALSE)*Paths!$R$20),"n.a."))</f>
        <v>7200</v>
      </c>
    </row>
    <row r="161" spans="1:20" ht="24" customHeight="1">
      <c r="A161" s="1" t="str">
        <f>Paths!$A$21</f>
        <v>T004</v>
      </c>
      <c r="B161" s="1">
        <f>Paths!$B$21</f>
        <v>2</v>
      </c>
      <c r="C161" s="1">
        <v>0</v>
      </c>
      <c r="D161" s="1">
        <v>21</v>
      </c>
      <c r="E161" s="1">
        <f>IF(OR(Paths!$C$21=0,C161=0),0,MAX(0,MIN(C161*12,Paths!$E$21)-(C161-1)*12))</f>
        <v>0</v>
      </c>
      <c r="F161" s="1">
        <f>IF(OR(Paths!$C$21=0,C161=0),0,12-E161)</f>
        <v>0</v>
      </c>
      <c r="G161" s="16">
        <f>IF(NOT(Paths!$C$21=1),0,IF(Paths!$P$21="Complete",E161/12*(Paths!$J$21*(1+'Operating costs'!$B$51)^MAX(0,C161-1)+Paths!$K$21*(1+'Operating costs'!$B$53)^MAX(0,C161-1)),"n.a."))</f>
        <v>0</v>
      </c>
      <c r="H161" s="16">
        <f>IF(NOT(Paths!$C$21=1),0,IF(Paths!$P$21="Complete",F161/12*(Paths!$L$21*(1+IF(Paths!$D$21="EV",'Operating costs'!$B$52,'Operating costs'!$B$51))^MAX(0,C161-1)+Paths!$M$21*(1+'Operating costs'!$B$53)^MAX(0,C161-1)),"n.a."))</f>
        <v>0</v>
      </c>
      <c r="I161" s="16">
        <f>IF(NOT(Paths!$C$21=1),0,IF(Paths!$P$21="Complete",IF(IF(Paths!$E$21=0,C161=0,AND(C161&gt;0,Paths!$E$21&gt;(C161-1)*12,Paths!$E$21&lt;=C161*12)),Paths!$G$21,0),"n.a."))</f>
        <v>0</v>
      </c>
      <c r="J161" s="16">
        <f>IF(NOT(Paths!$C$21=1),0,IF(Paths!$P$21="Complete",IF(IF(Paths!$E$21=0,C161=0,AND(C161&gt;0,Paths!$E$21&gt;(C161-1)*12,Paths!$E$21&lt;=C161*12)),Paths!$H$21,0),"n.a."))</f>
        <v>0</v>
      </c>
      <c r="K161" s="16">
        <f>IF(NOT(Paths!$C$21=1),0,IF(Paths!$P$21="Complete",IF(IF(Paths!$O$21=0,C161=0,AND(C161&gt;0,Paths!$O$21&gt;(C161-1)*12,Paths!$O$21&lt;=C161*12)),Paths!$N$21,0),"n.a."))</f>
        <v>0</v>
      </c>
      <c r="L161" s="16">
        <f>IF(NOT(Paths!$C$21=1),0,IF(Paths!$P$21="Complete",IF(C161=10,Paths!$I$21,0),"n.a."))</f>
        <v>0</v>
      </c>
      <c r="M161" s="16">
        <f>IF(NOT(Paths!$C$21=1),0,IF(Paths!$P$21="Complete",IF(AND(Paths!$D$21="EV",Paths!$E$21&lt;120,Paths!$E$21+'Operating costs'!$B$65&gt;Paths!$E$21,Paths!$E$21+'Operating costs'!$B$65&lt;=120,IF(Paths!$E$21+'Operating costs'!$B$65=0,C161=0,AND(C161&gt;0,Paths!$E$21+'Operating costs'!$B$65&gt;(C161-1)*12,Paths!$E$21+'Operating costs'!$B$65&lt;=C161*12))),'Operating costs'!$B$64,0)+IF(AND('Operating costs'!$B$67&gt;0,'Operating costs'!$B$67&lt;=120,OR(Paths!$D$21="ICE",'Operating costs'!$B$67&lt;=Paths!$E$21),IF('Operating costs'!$B$67=0,C161=0,AND(C161&gt;0,'Operating costs'!$B$67&gt;(C161-1)*12,'Operating costs'!$B$67&lt;=C161*12))),'Operating costs'!$B$66,0),"n.a."))</f>
        <v>0</v>
      </c>
      <c r="N161" s="16">
        <f>IF(NOT(Paths!$C$21=1),0,IF(Paths!$P$21="Complete",SUM(G161:I161)-J161-K161-L161+M161+IF(C161=0,Paths!$F$21,0)+IF(IF(Paths!$E$21=0,C161=0,AND(C161&gt;0,Paths!$E$21&gt;(C161-1)*12,Paths!$E$21&lt;=C161*12)),VLOOKUP(A161,'Fleet register'!$A$7:$S$106,16,FALSE),0),"n.a."))</f>
        <v>42000</v>
      </c>
      <c r="O161" s="16">
        <f>IF(NOT(Paths!$C$21=1),0,IF(Paths!$P$21="Complete",N161-IF(C161=0,Paths!$F$21,0),"n.a."))</f>
        <v>0</v>
      </c>
      <c r="P161" s="16">
        <f>IF(NOT(Paths!$C$21=1),0,IF(Paths!$P$21="Complete",O161+L161,"n.a."))</f>
        <v>0</v>
      </c>
      <c r="Q161" s="16">
        <f>IF(NOT(Paths!$C$21=1),0,IF(Paths!$P$21="Complete",N161*(1+'Operating costs'!$B$54)^-C161,"n.a."))</f>
        <v>42000</v>
      </c>
      <c r="R161" s="16">
        <f>IF(NOT(Paths!$C$21=1),0,IF(Paths!$P$21="Complete",IF(AND(C161=0,Paths!$E$21=0),I161-J161-K161+VLOOKUP(A161,'Fleet register'!$A$7:$S$106,15,FALSE)+VLOOKUP(A161,'Fleet register'!$A$7:$S$106,16,FALSE),0),"n.a."))</f>
        <v>0</v>
      </c>
      <c r="S161" s="1">
        <f>IF(NOT(Paths!$C$21=1),0,IF(Paths!$P$21="Complete",IF(C161=0,0,Paths!$S$21*Paths!$R$21),"n.a."))</f>
        <v>0</v>
      </c>
      <c r="T161" s="1">
        <f>IF(NOT(Paths!$C$21=1),0,IF(Paths!$P$21="Complete",IF(C161=0,0,VLOOKUP(A161,'Fleet register'!$A$7:$S$106,9,FALSE)*Paths!$R$21),"n.a."))</f>
        <v>0</v>
      </c>
    </row>
    <row r="162" spans="1:20" ht="24" customHeight="1">
      <c r="A162" s="1" t="str">
        <f>Paths!$A$21</f>
        <v>T004</v>
      </c>
      <c r="B162" s="1">
        <f>Paths!$B$21</f>
        <v>2</v>
      </c>
      <c r="C162" s="1">
        <v>1</v>
      </c>
      <c r="D162" s="1">
        <v>21</v>
      </c>
      <c r="E162" s="1">
        <f>IF(OR(Paths!$C$21=0,C162=0),0,MAX(0,MIN(C162*12,Paths!$E$21)-(C162-1)*12))</f>
        <v>12</v>
      </c>
      <c r="F162" s="1">
        <f>IF(OR(Paths!$C$21=0,C162=0),0,12-E162)</f>
        <v>0</v>
      </c>
      <c r="G162" s="16">
        <f>IF(NOT(Paths!$C$21=1),0,IF(Paths!$P$21="Complete",E162/12*(Paths!$J$21*(1+'Operating costs'!$B$51)^MAX(0,C162-1)+Paths!$K$21*(1+'Operating costs'!$B$53)^MAX(0,C162-1)),"n.a."))</f>
        <v>18151.349999999999</v>
      </c>
      <c r="H162" s="16">
        <f>IF(NOT(Paths!$C$21=1),0,IF(Paths!$P$21="Complete",F162/12*(Paths!$L$21*(1+IF(Paths!$D$21="EV",'Operating costs'!$B$52,'Operating costs'!$B$51))^MAX(0,C162-1)+Paths!$M$21*(1+'Operating costs'!$B$53)^MAX(0,C162-1)),"n.a."))</f>
        <v>0</v>
      </c>
      <c r="I162" s="16">
        <f>IF(NOT(Paths!$C$21=1),0,IF(Paths!$P$21="Complete",IF(IF(Paths!$E$21=0,C162=0,AND(C162&gt;0,Paths!$E$21&gt;(C162-1)*12,Paths!$E$21&lt;=C162*12)),Paths!$G$21,0),"n.a."))</f>
        <v>0</v>
      </c>
      <c r="J162" s="16">
        <f>IF(NOT(Paths!$C$21=1),0,IF(Paths!$P$21="Complete",IF(IF(Paths!$E$21=0,C162=0,AND(C162&gt;0,Paths!$E$21&gt;(C162-1)*12,Paths!$E$21&lt;=C162*12)),Paths!$H$21,0),"n.a."))</f>
        <v>0</v>
      </c>
      <c r="K162" s="16">
        <f>IF(NOT(Paths!$C$21=1),0,IF(Paths!$P$21="Complete",IF(IF(Paths!$O$21=0,C162=0,AND(C162&gt;0,Paths!$O$21&gt;(C162-1)*12,Paths!$O$21&lt;=C162*12)),Paths!$N$21,0),"n.a."))</f>
        <v>0</v>
      </c>
      <c r="L162" s="16">
        <f>IF(NOT(Paths!$C$21=1),0,IF(Paths!$P$21="Complete",IF(C162=10,Paths!$I$21,0),"n.a."))</f>
        <v>0</v>
      </c>
      <c r="M162" s="16">
        <f>IF(NOT(Paths!$C$21=1),0,IF(Paths!$P$21="Complete",IF(AND(Paths!$D$21="EV",Paths!$E$21&lt;120,Paths!$E$21+'Operating costs'!$B$65&gt;Paths!$E$21,Paths!$E$21+'Operating costs'!$B$65&lt;=120,IF(Paths!$E$21+'Operating costs'!$B$65=0,C162=0,AND(C162&gt;0,Paths!$E$21+'Operating costs'!$B$65&gt;(C162-1)*12,Paths!$E$21+'Operating costs'!$B$65&lt;=C162*12))),'Operating costs'!$B$64,0)+IF(AND('Operating costs'!$B$67&gt;0,'Operating costs'!$B$67&lt;=120,OR(Paths!$D$21="ICE",'Operating costs'!$B$67&lt;=Paths!$E$21),IF('Operating costs'!$B$67=0,C162=0,AND(C162&gt;0,'Operating costs'!$B$67&gt;(C162-1)*12,'Operating costs'!$B$67&lt;=C162*12))),'Operating costs'!$B$66,0),"n.a."))</f>
        <v>0</v>
      </c>
      <c r="N162" s="16">
        <f>IF(NOT(Paths!$C$21=1),0,IF(Paths!$P$21="Complete",SUM(G162:I162)-J162-K162-L162+M162+IF(C162=0,Paths!$F$21,0)+IF(IF(Paths!$E$21=0,C162=0,AND(C162&gt;0,Paths!$E$21&gt;(C162-1)*12,Paths!$E$21&lt;=C162*12)),VLOOKUP(A162,'Fleet register'!$A$7:$S$106,16,FALSE),0),"n.a."))</f>
        <v>18151.349999999999</v>
      </c>
      <c r="O162" s="16">
        <f>IF(NOT(Paths!$C$21=1),0,IF(Paths!$P$21="Complete",N162-IF(C162=0,Paths!$F$21,0),"n.a."))</f>
        <v>18151.349999999999</v>
      </c>
      <c r="P162" s="16">
        <f>IF(NOT(Paths!$C$21=1),0,IF(Paths!$P$21="Complete",O162+L162,"n.a."))</f>
        <v>18151.349999999999</v>
      </c>
      <c r="Q162" s="16">
        <f>IF(NOT(Paths!$C$21=1),0,IF(Paths!$P$21="Complete",N162*(1+'Operating costs'!$B$54)^-C162,"n.a."))</f>
        <v>18151.349999999999</v>
      </c>
      <c r="R162" s="16">
        <f>IF(NOT(Paths!$C$21=1),0,IF(Paths!$P$21="Complete",IF(AND(C162=0,Paths!$E$21=0),I162-J162-K162+VLOOKUP(A162,'Fleet register'!$A$7:$S$106,15,FALSE)+VLOOKUP(A162,'Fleet register'!$A$7:$S$106,16,FALSE),0),"n.a."))</f>
        <v>0</v>
      </c>
      <c r="S162" s="1">
        <f>IF(NOT(Paths!$C$21=1),0,IF(Paths!$P$21="Complete",IF(C162=0,0,Paths!$S$21*Paths!$R$21),"n.a."))</f>
        <v>45000</v>
      </c>
      <c r="T162" s="1">
        <f>IF(NOT(Paths!$C$21=1),0,IF(Paths!$P$21="Complete",IF(C162=0,0,VLOOKUP(A162,'Fleet register'!$A$7:$S$106,9,FALSE)*Paths!$R$21),"n.a."))</f>
        <v>7200</v>
      </c>
    </row>
    <row r="163" spans="1:20" ht="24" customHeight="1">
      <c r="A163" s="1" t="str">
        <f>Paths!$A$21</f>
        <v>T004</v>
      </c>
      <c r="B163" s="1">
        <f>Paths!$B$21</f>
        <v>2</v>
      </c>
      <c r="C163" s="1">
        <v>2</v>
      </c>
      <c r="D163" s="1">
        <v>21</v>
      </c>
      <c r="E163" s="1">
        <f>IF(OR(Paths!$C$21=0,C163=0),0,MAX(0,MIN(C163*12,Paths!$E$21)-(C163-1)*12))</f>
        <v>12</v>
      </c>
      <c r="F163" s="1">
        <f>IF(OR(Paths!$C$21=0,C163=0),0,12-E163)</f>
        <v>0</v>
      </c>
      <c r="G163" s="16">
        <f>IF(NOT(Paths!$C$21=1),0,IF(Paths!$P$21="Complete",E163/12*(Paths!$J$21*(1+'Operating costs'!$B$51)^MAX(0,C163-1)+Paths!$K$21*(1+'Operating costs'!$B$53)^MAX(0,C163-1)),"n.a."))</f>
        <v>18151.349999999999</v>
      </c>
      <c r="H163" s="16">
        <f>IF(NOT(Paths!$C$21=1),0,IF(Paths!$P$21="Complete",F163/12*(Paths!$L$21*(1+IF(Paths!$D$21="EV",'Operating costs'!$B$52,'Operating costs'!$B$51))^MAX(0,C163-1)+Paths!$M$21*(1+'Operating costs'!$B$53)^MAX(0,C163-1)),"n.a."))</f>
        <v>0</v>
      </c>
      <c r="I163" s="16">
        <f>IF(NOT(Paths!$C$21=1),0,IF(Paths!$P$21="Complete",IF(IF(Paths!$E$21=0,C163=0,AND(C163&gt;0,Paths!$E$21&gt;(C163-1)*12,Paths!$E$21&lt;=C163*12)),Paths!$G$21,0),"n.a."))</f>
        <v>0</v>
      </c>
      <c r="J163" s="16">
        <f>IF(NOT(Paths!$C$21=1),0,IF(Paths!$P$21="Complete",IF(IF(Paths!$E$21=0,C163=0,AND(C163&gt;0,Paths!$E$21&gt;(C163-1)*12,Paths!$E$21&lt;=C163*12)),Paths!$H$21,0),"n.a."))</f>
        <v>0</v>
      </c>
      <c r="K163" s="16">
        <f>IF(NOT(Paths!$C$21=1),0,IF(Paths!$P$21="Complete",IF(IF(Paths!$O$21=0,C163=0,AND(C163&gt;0,Paths!$O$21&gt;(C163-1)*12,Paths!$O$21&lt;=C163*12)),Paths!$N$21,0),"n.a."))</f>
        <v>0</v>
      </c>
      <c r="L163" s="16">
        <f>IF(NOT(Paths!$C$21=1),0,IF(Paths!$P$21="Complete",IF(C163=10,Paths!$I$21,0),"n.a."))</f>
        <v>0</v>
      </c>
      <c r="M163" s="16">
        <f>IF(NOT(Paths!$C$21=1),0,IF(Paths!$P$21="Complete",IF(AND(Paths!$D$21="EV",Paths!$E$21&lt;120,Paths!$E$21+'Operating costs'!$B$65&gt;Paths!$E$21,Paths!$E$21+'Operating costs'!$B$65&lt;=120,IF(Paths!$E$21+'Operating costs'!$B$65=0,C163=0,AND(C163&gt;0,Paths!$E$21+'Operating costs'!$B$65&gt;(C163-1)*12,Paths!$E$21+'Operating costs'!$B$65&lt;=C163*12))),'Operating costs'!$B$64,0)+IF(AND('Operating costs'!$B$67&gt;0,'Operating costs'!$B$67&lt;=120,OR(Paths!$D$21="ICE",'Operating costs'!$B$67&lt;=Paths!$E$21),IF('Operating costs'!$B$67=0,C163=0,AND(C163&gt;0,'Operating costs'!$B$67&gt;(C163-1)*12,'Operating costs'!$B$67&lt;=C163*12))),'Operating costs'!$B$66,0),"n.a."))</f>
        <v>0</v>
      </c>
      <c r="N163" s="16">
        <f>IF(NOT(Paths!$C$21=1),0,IF(Paths!$P$21="Complete",SUM(G163:I163)-J163-K163-L163+M163+IF(C163=0,Paths!$F$21,0)+IF(IF(Paths!$E$21=0,C163=0,AND(C163&gt;0,Paths!$E$21&gt;(C163-1)*12,Paths!$E$21&lt;=C163*12)),VLOOKUP(A163,'Fleet register'!$A$7:$S$106,16,FALSE),0),"n.a."))</f>
        <v>18151.349999999999</v>
      </c>
      <c r="O163" s="16">
        <f>IF(NOT(Paths!$C$21=1),0,IF(Paths!$P$21="Complete",N163-IF(C163=0,Paths!$F$21,0),"n.a."))</f>
        <v>18151.349999999999</v>
      </c>
      <c r="P163" s="16">
        <f>IF(NOT(Paths!$C$21=1),0,IF(Paths!$P$21="Complete",O163+L163,"n.a."))</f>
        <v>18151.349999999999</v>
      </c>
      <c r="Q163" s="16">
        <f>IF(NOT(Paths!$C$21=1),0,IF(Paths!$P$21="Complete",N163*(1+'Operating costs'!$B$54)^-C163,"n.a."))</f>
        <v>18151.349999999999</v>
      </c>
      <c r="R163" s="16">
        <f>IF(NOT(Paths!$C$21=1),0,IF(Paths!$P$21="Complete",IF(AND(C163=0,Paths!$E$21=0),I163-J163-K163+VLOOKUP(A163,'Fleet register'!$A$7:$S$106,15,FALSE)+VLOOKUP(A163,'Fleet register'!$A$7:$S$106,16,FALSE),0),"n.a."))</f>
        <v>0</v>
      </c>
      <c r="S163" s="1">
        <f>IF(NOT(Paths!$C$21=1),0,IF(Paths!$P$21="Complete",IF(C163=0,0,Paths!$S$21*Paths!$R$21),"n.a."))</f>
        <v>45000</v>
      </c>
      <c r="T163" s="1">
        <f>IF(NOT(Paths!$C$21=1),0,IF(Paths!$P$21="Complete",IF(C163=0,0,VLOOKUP(A163,'Fleet register'!$A$7:$S$106,9,FALSE)*Paths!$R$21),"n.a."))</f>
        <v>7200</v>
      </c>
    </row>
    <row r="164" spans="1:20" ht="24" customHeight="1">
      <c r="A164" s="1" t="str">
        <f>Paths!$A$21</f>
        <v>T004</v>
      </c>
      <c r="B164" s="1">
        <f>Paths!$B$21</f>
        <v>2</v>
      </c>
      <c r="C164" s="1">
        <v>3</v>
      </c>
      <c r="D164" s="1">
        <v>21</v>
      </c>
      <c r="E164" s="1">
        <f>IF(OR(Paths!$C$21=0,C164=0),0,MAX(0,MIN(C164*12,Paths!$E$21)-(C164-1)*12))</f>
        <v>12</v>
      </c>
      <c r="F164" s="1">
        <f>IF(OR(Paths!$C$21=0,C164=0),0,12-E164)</f>
        <v>0</v>
      </c>
      <c r="G164" s="16">
        <f>IF(NOT(Paths!$C$21=1),0,IF(Paths!$P$21="Complete",E164/12*(Paths!$J$21*(1+'Operating costs'!$B$51)^MAX(0,C164-1)+Paths!$K$21*(1+'Operating costs'!$B$53)^MAX(0,C164-1)),"n.a."))</f>
        <v>18151.349999999999</v>
      </c>
      <c r="H164" s="16">
        <f>IF(NOT(Paths!$C$21=1),0,IF(Paths!$P$21="Complete",F164/12*(Paths!$L$21*(1+IF(Paths!$D$21="EV",'Operating costs'!$B$52,'Operating costs'!$B$51))^MAX(0,C164-1)+Paths!$M$21*(1+'Operating costs'!$B$53)^MAX(0,C164-1)),"n.a."))</f>
        <v>0</v>
      </c>
      <c r="I164" s="16">
        <f>IF(NOT(Paths!$C$21=1),0,IF(Paths!$P$21="Complete",IF(IF(Paths!$E$21=0,C164=0,AND(C164&gt;0,Paths!$E$21&gt;(C164-1)*12,Paths!$E$21&lt;=C164*12)),Paths!$G$21,0),"n.a."))</f>
        <v>0</v>
      </c>
      <c r="J164" s="16">
        <f>IF(NOT(Paths!$C$21=1),0,IF(Paths!$P$21="Complete",IF(IF(Paths!$E$21=0,C164=0,AND(C164&gt;0,Paths!$E$21&gt;(C164-1)*12,Paths!$E$21&lt;=C164*12)),Paths!$H$21,0),"n.a."))</f>
        <v>0</v>
      </c>
      <c r="K164" s="16">
        <f>IF(NOT(Paths!$C$21=1),0,IF(Paths!$P$21="Complete",IF(IF(Paths!$O$21=0,C164=0,AND(C164&gt;0,Paths!$O$21&gt;(C164-1)*12,Paths!$O$21&lt;=C164*12)),Paths!$N$21,0),"n.a."))</f>
        <v>0</v>
      </c>
      <c r="L164" s="16">
        <f>IF(NOT(Paths!$C$21=1),0,IF(Paths!$P$21="Complete",IF(C164=10,Paths!$I$21,0),"n.a."))</f>
        <v>0</v>
      </c>
      <c r="M164" s="16">
        <f>IF(NOT(Paths!$C$21=1),0,IF(Paths!$P$21="Complete",IF(AND(Paths!$D$21="EV",Paths!$E$21&lt;120,Paths!$E$21+'Operating costs'!$B$65&gt;Paths!$E$21,Paths!$E$21+'Operating costs'!$B$65&lt;=120,IF(Paths!$E$21+'Operating costs'!$B$65=0,C164=0,AND(C164&gt;0,Paths!$E$21+'Operating costs'!$B$65&gt;(C164-1)*12,Paths!$E$21+'Operating costs'!$B$65&lt;=C164*12))),'Operating costs'!$B$64,0)+IF(AND('Operating costs'!$B$67&gt;0,'Operating costs'!$B$67&lt;=120,OR(Paths!$D$21="ICE",'Operating costs'!$B$67&lt;=Paths!$E$21),IF('Operating costs'!$B$67=0,C164=0,AND(C164&gt;0,'Operating costs'!$B$67&gt;(C164-1)*12,'Operating costs'!$B$67&lt;=C164*12))),'Operating costs'!$B$66,0),"n.a."))</f>
        <v>0</v>
      </c>
      <c r="N164" s="16">
        <f>IF(NOT(Paths!$C$21=1),0,IF(Paths!$P$21="Complete",SUM(G164:I164)-J164-K164-L164+M164+IF(C164=0,Paths!$F$21,0)+IF(IF(Paths!$E$21=0,C164=0,AND(C164&gt;0,Paths!$E$21&gt;(C164-1)*12,Paths!$E$21&lt;=C164*12)),VLOOKUP(A164,'Fleet register'!$A$7:$S$106,16,FALSE),0),"n.a."))</f>
        <v>18151.349999999999</v>
      </c>
      <c r="O164" s="16">
        <f>IF(NOT(Paths!$C$21=1),0,IF(Paths!$P$21="Complete",N164-IF(C164=0,Paths!$F$21,0),"n.a."))</f>
        <v>18151.349999999999</v>
      </c>
      <c r="P164" s="16">
        <f>IF(NOT(Paths!$C$21=1),0,IF(Paths!$P$21="Complete",O164+L164,"n.a."))</f>
        <v>18151.349999999999</v>
      </c>
      <c r="Q164" s="16">
        <f>IF(NOT(Paths!$C$21=1),0,IF(Paths!$P$21="Complete",N164*(1+'Operating costs'!$B$54)^-C164,"n.a."))</f>
        <v>18151.349999999999</v>
      </c>
      <c r="R164" s="16">
        <f>IF(NOT(Paths!$C$21=1),0,IF(Paths!$P$21="Complete",IF(AND(C164=0,Paths!$E$21=0),I164-J164-K164+VLOOKUP(A164,'Fleet register'!$A$7:$S$106,15,FALSE)+VLOOKUP(A164,'Fleet register'!$A$7:$S$106,16,FALSE),0),"n.a."))</f>
        <v>0</v>
      </c>
      <c r="S164" s="1">
        <f>IF(NOT(Paths!$C$21=1),0,IF(Paths!$P$21="Complete",IF(C164=0,0,Paths!$S$21*Paths!$R$21),"n.a."))</f>
        <v>45000</v>
      </c>
      <c r="T164" s="1">
        <f>IF(NOT(Paths!$C$21=1),0,IF(Paths!$P$21="Complete",IF(C164=0,0,VLOOKUP(A164,'Fleet register'!$A$7:$S$106,9,FALSE)*Paths!$R$21),"n.a."))</f>
        <v>7200</v>
      </c>
    </row>
    <row r="165" spans="1:20" ht="24" customHeight="1">
      <c r="A165" s="1" t="str">
        <f>Paths!$A$21</f>
        <v>T004</v>
      </c>
      <c r="B165" s="1">
        <f>Paths!$B$21</f>
        <v>2</v>
      </c>
      <c r="C165" s="1">
        <v>4</v>
      </c>
      <c r="D165" s="1">
        <v>21</v>
      </c>
      <c r="E165" s="1">
        <f>IF(OR(Paths!$C$21=0,C165=0),0,MAX(0,MIN(C165*12,Paths!$E$21)-(C165-1)*12))</f>
        <v>12</v>
      </c>
      <c r="F165" s="1">
        <f>IF(OR(Paths!$C$21=0,C165=0),0,12-E165)</f>
        <v>0</v>
      </c>
      <c r="G165" s="16">
        <f>IF(NOT(Paths!$C$21=1),0,IF(Paths!$P$21="Complete",E165/12*(Paths!$J$21*(1+'Operating costs'!$B$51)^MAX(0,C165-1)+Paths!$K$21*(1+'Operating costs'!$B$53)^MAX(0,C165-1)),"n.a."))</f>
        <v>18151.349999999999</v>
      </c>
      <c r="H165" s="16">
        <f>IF(NOT(Paths!$C$21=1),0,IF(Paths!$P$21="Complete",F165/12*(Paths!$L$21*(1+IF(Paths!$D$21="EV",'Operating costs'!$B$52,'Operating costs'!$B$51))^MAX(0,C165-1)+Paths!$M$21*(1+'Operating costs'!$B$53)^MAX(0,C165-1)),"n.a."))</f>
        <v>0</v>
      </c>
      <c r="I165" s="16">
        <f>IF(NOT(Paths!$C$21=1),0,IF(Paths!$P$21="Complete",IF(IF(Paths!$E$21=0,C165=0,AND(C165&gt;0,Paths!$E$21&gt;(C165-1)*12,Paths!$E$21&lt;=C165*12)),Paths!$G$21,0),"n.a."))</f>
        <v>181000</v>
      </c>
      <c r="J165" s="16">
        <f>IF(NOT(Paths!$C$21=1),0,IF(Paths!$P$21="Complete",IF(IF(Paths!$E$21=0,C165=0,AND(C165&gt;0,Paths!$E$21&gt;(C165-1)*12,Paths!$E$21&lt;=C165*12)),Paths!$H$21,0),"n.a."))</f>
        <v>10000</v>
      </c>
      <c r="K165" s="16">
        <f>IF(NOT(Paths!$C$21=1),0,IF(Paths!$P$21="Complete",IF(IF(Paths!$O$21=0,C165=0,AND(C165&gt;0,Paths!$O$21&gt;(C165-1)*12,Paths!$O$21&lt;=C165*12)),Paths!$N$21,0),"n.a."))</f>
        <v>0</v>
      </c>
      <c r="L165" s="16">
        <f>IF(NOT(Paths!$C$21=1),0,IF(Paths!$P$21="Complete",IF(C165=10,Paths!$I$21,0),"n.a."))</f>
        <v>0</v>
      </c>
      <c r="M165" s="16">
        <f>IF(NOT(Paths!$C$21=1),0,IF(Paths!$P$21="Complete",IF(AND(Paths!$D$21="EV",Paths!$E$21&lt;120,Paths!$E$21+'Operating costs'!$B$65&gt;Paths!$E$21,Paths!$E$21+'Operating costs'!$B$65&lt;=120,IF(Paths!$E$21+'Operating costs'!$B$65=0,C165=0,AND(C165&gt;0,Paths!$E$21+'Operating costs'!$B$65&gt;(C165-1)*12,Paths!$E$21+'Operating costs'!$B$65&lt;=C165*12))),'Operating costs'!$B$64,0)+IF(AND('Operating costs'!$B$67&gt;0,'Operating costs'!$B$67&lt;=120,OR(Paths!$D$21="ICE",'Operating costs'!$B$67&lt;=Paths!$E$21),IF('Operating costs'!$B$67=0,C165=0,AND(C165&gt;0,'Operating costs'!$B$67&gt;(C165-1)*12,'Operating costs'!$B$67&lt;=C165*12))),'Operating costs'!$B$66,0),"n.a."))</f>
        <v>0</v>
      </c>
      <c r="N165" s="16">
        <f>IF(NOT(Paths!$C$21=1),0,IF(Paths!$P$21="Complete",SUM(G165:I165)-J165-K165-L165+M165+IF(C165=0,Paths!$F$21,0)+IF(IF(Paths!$E$21=0,C165=0,AND(C165&gt;0,Paths!$E$21&gt;(C165-1)*12,Paths!$E$21&lt;=C165*12)),VLOOKUP(A165,'Fleet register'!$A$7:$S$106,16,FALSE),0),"n.a."))</f>
        <v>189151.35</v>
      </c>
      <c r="O165" s="16">
        <f>IF(NOT(Paths!$C$21=1),0,IF(Paths!$P$21="Complete",N165-IF(C165=0,Paths!$F$21,0),"n.a."))</f>
        <v>189151.35</v>
      </c>
      <c r="P165" s="16">
        <f>IF(NOT(Paths!$C$21=1),0,IF(Paths!$P$21="Complete",O165+L165,"n.a."))</f>
        <v>189151.35</v>
      </c>
      <c r="Q165" s="16">
        <f>IF(NOT(Paths!$C$21=1),0,IF(Paths!$P$21="Complete",N165*(1+'Operating costs'!$B$54)^-C165,"n.a."))</f>
        <v>189151.35</v>
      </c>
      <c r="R165" s="16">
        <f>IF(NOT(Paths!$C$21=1),0,IF(Paths!$P$21="Complete",IF(AND(C165=0,Paths!$E$21=0),I165-J165-K165+VLOOKUP(A165,'Fleet register'!$A$7:$S$106,15,FALSE)+VLOOKUP(A165,'Fleet register'!$A$7:$S$106,16,FALSE),0),"n.a."))</f>
        <v>0</v>
      </c>
      <c r="S165" s="1">
        <f>IF(NOT(Paths!$C$21=1),0,IF(Paths!$P$21="Complete",IF(C165=0,0,Paths!$S$21*Paths!$R$21),"n.a."))</f>
        <v>45000</v>
      </c>
      <c r="T165" s="1">
        <f>IF(NOT(Paths!$C$21=1),0,IF(Paths!$P$21="Complete",IF(C165=0,0,VLOOKUP(A165,'Fleet register'!$A$7:$S$106,9,FALSE)*Paths!$R$21),"n.a."))</f>
        <v>7200</v>
      </c>
    </row>
    <row r="166" spans="1:20" ht="24" customHeight="1">
      <c r="A166" s="1" t="str">
        <f>Paths!$A$21</f>
        <v>T004</v>
      </c>
      <c r="B166" s="1">
        <f>Paths!$B$21</f>
        <v>2</v>
      </c>
      <c r="C166" s="1">
        <v>5</v>
      </c>
      <c r="D166" s="1">
        <v>21</v>
      </c>
      <c r="E166" s="1">
        <f>IF(OR(Paths!$C$21=0,C166=0),0,MAX(0,MIN(C166*12,Paths!$E$21)-(C166-1)*12))</f>
        <v>0</v>
      </c>
      <c r="F166" s="1">
        <f>IF(OR(Paths!$C$21=0,C166=0),0,12-E166)</f>
        <v>12</v>
      </c>
      <c r="G166" s="16">
        <f>IF(NOT(Paths!$C$21=1),0,IF(Paths!$P$21="Complete",E166/12*(Paths!$J$21*(1+'Operating costs'!$B$51)^MAX(0,C166-1)+Paths!$K$21*(1+'Operating costs'!$B$53)^MAX(0,C166-1)),"n.a."))</f>
        <v>0</v>
      </c>
      <c r="H166" s="16">
        <f>IF(NOT(Paths!$C$21=1),0,IF(Paths!$P$21="Complete",F166/12*(Paths!$L$21*(1+IF(Paths!$D$21="EV",'Operating costs'!$B$52,'Operating costs'!$B$51))^MAX(0,C166-1)+Paths!$M$21*(1+'Operating costs'!$B$53)^MAX(0,C166-1)),"n.a."))</f>
        <v>18151.349999999999</v>
      </c>
      <c r="I166" s="16">
        <f>IF(NOT(Paths!$C$21=1),0,IF(Paths!$P$21="Complete",IF(IF(Paths!$E$21=0,C166=0,AND(C166&gt;0,Paths!$E$21&gt;(C166-1)*12,Paths!$E$21&lt;=C166*12)),Paths!$G$21,0),"n.a."))</f>
        <v>0</v>
      </c>
      <c r="J166" s="16">
        <f>IF(NOT(Paths!$C$21=1),0,IF(Paths!$P$21="Complete",IF(IF(Paths!$E$21=0,C166=0,AND(C166&gt;0,Paths!$E$21&gt;(C166-1)*12,Paths!$E$21&lt;=C166*12)),Paths!$H$21,0),"n.a."))</f>
        <v>0</v>
      </c>
      <c r="K166" s="16">
        <f>IF(NOT(Paths!$C$21=1),0,IF(Paths!$P$21="Complete",IF(IF(Paths!$O$21=0,C166=0,AND(C166&gt;0,Paths!$O$21&gt;(C166-1)*12,Paths!$O$21&lt;=C166*12)),Paths!$N$21,0),"n.a."))</f>
        <v>0</v>
      </c>
      <c r="L166" s="16">
        <f>IF(NOT(Paths!$C$21=1),0,IF(Paths!$P$21="Complete",IF(C166=10,Paths!$I$21,0),"n.a."))</f>
        <v>0</v>
      </c>
      <c r="M166" s="16">
        <f>IF(NOT(Paths!$C$21=1),0,IF(Paths!$P$21="Complete",IF(AND(Paths!$D$21="EV",Paths!$E$21&lt;120,Paths!$E$21+'Operating costs'!$B$65&gt;Paths!$E$21,Paths!$E$21+'Operating costs'!$B$65&lt;=120,IF(Paths!$E$21+'Operating costs'!$B$65=0,C166=0,AND(C166&gt;0,Paths!$E$21+'Operating costs'!$B$65&gt;(C166-1)*12,Paths!$E$21+'Operating costs'!$B$65&lt;=C166*12))),'Operating costs'!$B$64,0)+IF(AND('Operating costs'!$B$67&gt;0,'Operating costs'!$B$67&lt;=120,OR(Paths!$D$21="ICE",'Operating costs'!$B$67&lt;=Paths!$E$21),IF('Operating costs'!$B$67=0,C166=0,AND(C166&gt;0,'Operating costs'!$B$67&gt;(C166-1)*12,'Operating costs'!$B$67&lt;=C166*12))),'Operating costs'!$B$66,0),"n.a."))</f>
        <v>0</v>
      </c>
      <c r="N166" s="16">
        <f>IF(NOT(Paths!$C$21=1),0,IF(Paths!$P$21="Complete",SUM(G166:I166)-J166-K166-L166+M166+IF(C166=0,Paths!$F$21,0)+IF(IF(Paths!$E$21=0,C166=0,AND(C166&gt;0,Paths!$E$21&gt;(C166-1)*12,Paths!$E$21&lt;=C166*12)),VLOOKUP(A166,'Fleet register'!$A$7:$S$106,16,FALSE),0),"n.a."))</f>
        <v>18151.349999999999</v>
      </c>
      <c r="O166" s="16">
        <f>IF(NOT(Paths!$C$21=1),0,IF(Paths!$P$21="Complete",N166-IF(C166=0,Paths!$F$21,0),"n.a."))</f>
        <v>18151.349999999999</v>
      </c>
      <c r="P166" s="16">
        <f>IF(NOT(Paths!$C$21=1),0,IF(Paths!$P$21="Complete",O166+L166,"n.a."))</f>
        <v>18151.349999999999</v>
      </c>
      <c r="Q166" s="16">
        <f>IF(NOT(Paths!$C$21=1),0,IF(Paths!$P$21="Complete",N166*(1+'Operating costs'!$B$54)^-C166,"n.a."))</f>
        <v>18151.349999999999</v>
      </c>
      <c r="R166" s="16">
        <f>IF(NOT(Paths!$C$21=1),0,IF(Paths!$P$21="Complete",IF(AND(C166=0,Paths!$E$21=0),I166-J166-K166+VLOOKUP(A166,'Fleet register'!$A$7:$S$106,15,FALSE)+VLOOKUP(A166,'Fleet register'!$A$7:$S$106,16,FALSE),0),"n.a."))</f>
        <v>0</v>
      </c>
      <c r="S166" s="1">
        <f>IF(NOT(Paths!$C$21=1),0,IF(Paths!$P$21="Complete",IF(C166=0,0,Paths!$S$21*Paths!$R$21),"n.a."))</f>
        <v>45000</v>
      </c>
      <c r="T166" s="1">
        <f>IF(NOT(Paths!$C$21=1),0,IF(Paths!$P$21="Complete",IF(C166=0,0,VLOOKUP(A166,'Fleet register'!$A$7:$S$106,9,FALSE)*Paths!$R$21),"n.a."))</f>
        <v>7200</v>
      </c>
    </row>
    <row r="167" spans="1:20" ht="24" customHeight="1">
      <c r="A167" s="1" t="str">
        <f>Paths!$A$21</f>
        <v>T004</v>
      </c>
      <c r="B167" s="1">
        <f>Paths!$B$21</f>
        <v>2</v>
      </c>
      <c r="C167" s="1">
        <v>6</v>
      </c>
      <c r="D167" s="1">
        <v>21</v>
      </c>
      <c r="E167" s="1">
        <f>IF(OR(Paths!$C$21=0,C167=0),0,MAX(0,MIN(C167*12,Paths!$E$21)-(C167-1)*12))</f>
        <v>0</v>
      </c>
      <c r="F167" s="1">
        <f>IF(OR(Paths!$C$21=0,C167=0),0,12-E167)</f>
        <v>12</v>
      </c>
      <c r="G167" s="16">
        <f>IF(NOT(Paths!$C$21=1),0,IF(Paths!$P$21="Complete",E167/12*(Paths!$J$21*(1+'Operating costs'!$B$51)^MAX(0,C167-1)+Paths!$K$21*(1+'Operating costs'!$B$53)^MAX(0,C167-1)),"n.a."))</f>
        <v>0</v>
      </c>
      <c r="H167" s="16">
        <f>IF(NOT(Paths!$C$21=1),0,IF(Paths!$P$21="Complete",F167/12*(Paths!$L$21*(1+IF(Paths!$D$21="EV",'Operating costs'!$B$52,'Operating costs'!$B$51))^MAX(0,C167-1)+Paths!$M$21*(1+'Operating costs'!$B$53)^MAX(0,C167-1)),"n.a."))</f>
        <v>18151.349999999999</v>
      </c>
      <c r="I167" s="16">
        <f>IF(NOT(Paths!$C$21=1),0,IF(Paths!$P$21="Complete",IF(IF(Paths!$E$21=0,C167=0,AND(C167&gt;0,Paths!$E$21&gt;(C167-1)*12,Paths!$E$21&lt;=C167*12)),Paths!$G$21,0),"n.a."))</f>
        <v>0</v>
      </c>
      <c r="J167" s="16">
        <f>IF(NOT(Paths!$C$21=1),0,IF(Paths!$P$21="Complete",IF(IF(Paths!$E$21=0,C167=0,AND(C167&gt;0,Paths!$E$21&gt;(C167-1)*12,Paths!$E$21&lt;=C167*12)),Paths!$H$21,0),"n.a."))</f>
        <v>0</v>
      </c>
      <c r="K167" s="16">
        <f>IF(NOT(Paths!$C$21=1),0,IF(Paths!$P$21="Complete",IF(IF(Paths!$O$21=0,C167=0,AND(C167&gt;0,Paths!$O$21&gt;(C167-1)*12,Paths!$O$21&lt;=C167*12)),Paths!$N$21,0),"n.a."))</f>
        <v>0</v>
      </c>
      <c r="L167" s="16">
        <f>IF(NOT(Paths!$C$21=1),0,IF(Paths!$P$21="Complete",IF(C167=10,Paths!$I$21,0),"n.a."))</f>
        <v>0</v>
      </c>
      <c r="M167" s="16">
        <f>IF(NOT(Paths!$C$21=1),0,IF(Paths!$P$21="Complete",IF(AND(Paths!$D$21="EV",Paths!$E$21&lt;120,Paths!$E$21+'Operating costs'!$B$65&gt;Paths!$E$21,Paths!$E$21+'Operating costs'!$B$65&lt;=120,IF(Paths!$E$21+'Operating costs'!$B$65=0,C167=0,AND(C167&gt;0,Paths!$E$21+'Operating costs'!$B$65&gt;(C167-1)*12,Paths!$E$21+'Operating costs'!$B$65&lt;=C167*12))),'Operating costs'!$B$64,0)+IF(AND('Operating costs'!$B$67&gt;0,'Operating costs'!$B$67&lt;=120,OR(Paths!$D$21="ICE",'Operating costs'!$B$67&lt;=Paths!$E$21),IF('Operating costs'!$B$67=0,C167=0,AND(C167&gt;0,'Operating costs'!$B$67&gt;(C167-1)*12,'Operating costs'!$B$67&lt;=C167*12))),'Operating costs'!$B$66,0),"n.a."))</f>
        <v>0</v>
      </c>
      <c r="N167" s="16">
        <f>IF(NOT(Paths!$C$21=1),0,IF(Paths!$P$21="Complete",SUM(G167:I167)-J167-K167-L167+M167+IF(C167=0,Paths!$F$21,0)+IF(IF(Paths!$E$21=0,C167=0,AND(C167&gt;0,Paths!$E$21&gt;(C167-1)*12,Paths!$E$21&lt;=C167*12)),VLOOKUP(A167,'Fleet register'!$A$7:$S$106,16,FALSE),0),"n.a."))</f>
        <v>18151.349999999999</v>
      </c>
      <c r="O167" s="16">
        <f>IF(NOT(Paths!$C$21=1),0,IF(Paths!$P$21="Complete",N167-IF(C167=0,Paths!$F$21,0),"n.a."))</f>
        <v>18151.349999999999</v>
      </c>
      <c r="P167" s="16">
        <f>IF(NOT(Paths!$C$21=1),0,IF(Paths!$P$21="Complete",O167+L167,"n.a."))</f>
        <v>18151.349999999999</v>
      </c>
      <c r="Q167" s="16">
        <f>IF(NOT(Paths!$C$21=1),0,IF(Paths!$P$21="Complete",N167*(1+'Operating costs'!$B$54)^-C167,"n.a."))</f>
        <v>18151.349999999999</v>
      </c>
      <c r="R167" s="16">
        <f>IF(NOT(Paths!$C$21=1),0,IF(Paths!$P$21="Complete",IF(AND(C167=0,Paths!$E$21=0),I167-J167-K167+VLOOKUP(A167,'Fleet register'!$A$7:$S$106,15,FALSE)+VLOOKUP(A167,'Fleet register'!$A$7:$S$106,16,FALSE),0),"n.a."))</f>
        <v>0</v>
      </c>
      <c r="S167" s="1">
        <f>IF(NOT(Paths!$C$21=1),0,IF(Paths!$P$21="Complete",IF(C167=0,0,Paths!$S$21*Paths!$R$21),"n.a."))</f>
        <v>45000</v>
      </c>
      <c r="T167" s="1">
        <f>IF(NOT(Paths!$C$21=1),0,IF(Paths!$P$21="Complete",IF(C167=0,0,VLOOKUP(A167,'Fleet register'!$A$7:$S$106,9,FALSE)*Paths!$R$21),"n.a."))</f>
        <v>7200</v>
      </c>
    </row>
    <row r="168" spans="1:20" ht="24" customHeight="1">
      <c r="A168" s="1" t="str">
        <f>Paths!$A$21</f>
        <v>T004</v>
      </c>
      <c r="B168" s="1">
        <f>Paths!$B$21</f>
        <v>2</v>
      </c>
      <c r="C168" s="1">
        <v>7</v>
      </c>
      <c r="D168" s="1">
        <v>21</v>
      </c>
      <c r="E168" s="1">
        <f>IF(OR(Paths!$C$21=0,C168=0),0,MAX(0,MIN(C168*12,Paths!$E$21)-(C168-1)*12))</f>
        <v>0</v>
      </c>
      <c r="F168" s="1">
        <f>IF(OR(Paths!$C$21=0,C168=0),0,12-E168)</f>
        <v>12</v>
      </c>
      <c r="G168" s="16">
        <f>IF(NOT(Paths!$C$21=1),0,IF(Paths!$P$21="Complete",E168/12*(Paths!$J$21*(1+'Operating costs'!$B$51)^MAX(0,C168-1)+Paths!$K$21*(1+'Operating costs'!$B$53)^MAX(0,C168-1)),"n.a."))</f>
        <v>0</v>
      </c>
      <c r="H168" s="16">
        <f>IF(NOT(Paths!$C$21=1),0,IF(Paths!$P$21="Complete",F168/12*(Paths!$L$21*(1+IF(Paths!$D$21="EV",'Operating costs'!$B$52,'Operating costs'!$B$51))^MAX(0,C168-1)+Paths!$M$21*(1+'Operating costs'!$B$53)^MAX(0,C168-1)),"n.a."))</f>
        <v>18151.349999999999</v>
      </c>
      <c r="I168" s="16">
        <f>IF(NOT(Paths!$C$21=1),0,IF(Paths!$P$21="Complete",IF(IF(Paths!$E$21=0,C168=0,AND(C168&gt;0,Paths!$E$21&gt;(C168-1)*12,Paths!$E$21&lt;=C168*12)),Paths!$G$21,0),"n.a."))</f>
        <v>0</v>
      </c>
      <c r="J168" s="16">
        <f>IF(NOT(Paths!$C$21=1),0,IF(Paths!$P$21="Complete",IF(IF(Paths!$E$21=0,C168=0,AND(C168&gt;0,Paths!$E$21&gt;(C168-1)*12,Paths!$E$21&lt;=C168*12)),Paths!$H$21,0),"n.a."))</f>
        <v>0</v>
      </c>
      <c r="K168" s="16">
        <f>IF(NOT(Paths!$C$21=1),0,IF(Paths!$P$21="Complete",IF(IF(Paths!$O$21=0,C168=0,AND(C168&gt;0,Paths!$O$21&gt;(C168-1)*12,Paths!$O$21&lt;=C168*12)),Paths!$N$21,0),"n.a."))</f>
        <v>0</v>
      </c>
      <c r="L168" s="16">
        <f>IF(NOT(Paths!$C$21=1),0,IF(Paths!$P$21="Complete",IF(C168=10,Paths!$I$21,0),"n.a."))</f>
        <v>0</v>
      </c>
      <c r="M168" s="16">
        <f>IF(NOT(Paths!$C$21=1),0,IF(Paths!$P$21="Complete",IF(AND(Paths!$D$21="EV",Paths!$E$21&lt;120,Paths!$E$21+'Operating costs'!$B$65&gt;Paths!$E$21,Paths!$E$21+'Operating costs'!$B$65&lt;=120,IF(Paths!$E$21+'Operating costs'!$B$65=0,C168=0,AND(C168&gt;0,Paths!$E$21+'Operating costs'!$B$65&gt;(C168-1)*12,Paths!$E$21+'Operating costs'!$B$65&lt;=C168*12))),'Operating costs'!$B$64,0)+IF(AND('Operating costs'!$B$67&gt;0,'Operating costs'!$B$67&lt;=120,OR(Paths!$D$21="ICE",'Operating costs'!$B$67&lt;=Paths!$E$21),IF('Operating costs'!$B$67=0,C168=0,AND(C168&gt;0,'Operating costs'!$B$67&gt;(C168-1)*12,'Operating costs'!$B$67&lt;=C168*12))),'Operating costs'!$B$66,0),"n.a."))</f>
        <v>0</v>
      </c>
      <c r="N168" s="16">
        <f>IF(NOT(Paths!$C$21=1),0,IF(Paths!$P$21="Complete",SUM(G168:I168)-J168-K168-L168+M168+IF(C168=0,Paths!$F$21,0)+IF(IF(Paths!$E$21=0,C168=0,AND(C168&gt;0,Paths!$E$21&gt;(C168-1)*12,Paths!$E$21&lt;=C168*12)),VLOOKUP(A168,'Fleet register'!$A$7:$S$106,16,FALSE),0),"n.a."))</f>
        <v>18151.349999999999</v>
      </c>
      <c r="O168" s="16">
        <f>IF(NOT(Paths!$C$21=1),0,IF(Paths!$P$21="Complete",N168-IF(C168=0,Paths!$F$21,0),"n.a."))</f>
        <v>18151.349999999999</v>
      </c>
      <c r="P168" s="16">
        <f>IF(NOT(Paths!$C$21=1),0,IF(Paths!$P$21="Complete",O168+L168,"n.a."))</f>
        <v>18151.349999999999</v>
      </c>
      <c r="Q168" s="16">
        <f>IF(NOT(Paths!$C$21=1),0,IF(Paths!$P$21="Complete",N168*(1+'Operating costs'!$B$54)^-C168,"n.a."))</f>
        <v>18151.349999999999</v>
      </c>
      <c r="R168" s="16">
        <f>IF(NOT(Paths!$C$21=1),0,IF(Paths!$P$21="Complete",IF(AND(C168=0,Paths!$E$21=0),I168-J168-K168+VLOOKUP(A168,'Fleet register'!$A$7:$S$106,15,FALSE)+VLOOKUP(A168,'Fleet register'!$A$7:$S$106,16,FALSE),0),"n.a."))</f>
        <v>0</v>
      </c>
      <c r="S168" s="1">
        <f>IF(NOT(Paths!$C$21=1),0,IF(Paths!$P$21="Complete",IF(C168=0,0,Paths!$S$21*Paths!$R$21),"n.a."))</f>
        <v>45000</v>
      </c>
      <c r="T168" s="1">
        <f>IF(NOT(Paths!$C$21=1),0,IF(Paths!$P$21="Complete",IF(C168=0,0,VLOOKUP(A168,'Fleet register'!$A$7:$S$106,9,FALSE)*Paths!$R$21),"n.a."))</f>
        <v>7200</v>
      </c>
    </row>
    <row r="169" spans="1:20" ht="24" customHeight="1">
      <c r="A169" s="1" t="str">
        <f>Paths!$A$21</f>
        <v>T004</v>
      </c>
      <c r="B169" s="1">
        <f>Paths!$B$21</f>
        <v>2</v>
      </c>
      <c r="C169" s="1">
        <v>8</v>
      </c>
      <c r="D169" s="1">
        <v>21</v>
      </c>
      <c r="E169" s="1">
        <f>IF(OR(Paths!$C$21=0,C169=0),0,MAX(0,MIN(C169*12,Paths!$E$21)-(C169-1)*12))</f>
        <v>0</v>
      </c>
      <c r="F169" s="1">
        <f>IF(OR(Paths!$C$21=0,C169=0),0,12-E169)</f>
        <v>12</v>
      </c>
      <c r="G169" s="16">
        <f>IF(NOT(Paths!$C$21=1),0,IF(Paths!$P$21="Complete",E169/12*(Paths!$J$21*(1+'Operating costs'!$B$51)^MAX(0,C169-1)+Paths!$K$21*(1+'Operating costs'!$B$53)^MAX(0,C169-1)),"n.a."))</f>
        <v>0</v>
      </c>
      <c r="H169" s="16">
        <f>IF(NOT(Paths!$C$21=1),0,IF(Paths!$P$21="Complete",F169/12*(Paths!$L$21*(1+IF(Paths!$D$21="EV",'Operating costs'!$B$52,'Operating costs'!$B$51))^MAX(0,C169-1)+Paths!$M$21*(1+'Operating costs'!$B$53)^MAX(0,C169-1)),"n.a."))</f>
        <v>18151.349999999999</v>
      </c>
      <c r="I169" s="16">
        <f>IF(NOT(Paths!$C$21=1),0,IF(Paths!$P$21="Complete",IF(IF(Paths!$E$21=0,C169=0,AND(C169&gt;0,Paths!$E$21&gt;(C169-1)*12,Paths!$E$21&lt;=C169*12)),Paths!$G$21,0),"n.a."))</f>
        <v>0</v>
      </c>
      <c r="J169" s="16">
        <f>IF(NOT(Paths!$C$21=1),0,IF(Paths!$P$21="Complete",IF(IF(Paths!$E$21=0,C169=0,AND(C169&gt;0,Paths!$E$21&gt;(C169-1)*12,Paths!$E$21&lt;=C169*12)),Paths!$H$21,0),"n.a."))</f>
        <v>0</v>
      </c>
      <c r="K169" s="16">
        <f>IF(NOT(Paths!$C$21=1),0,IF(Paths!$P$21="Complete",IF(IF(Paths!$O$21=0,C169=0,AND(C169&gt;0,Paths!$O$21&gt;(C169-1)*12,Paths!$O$21&lt;=C169*12)),Paths!$N$21,0),"n.a."))</f>
        <v>0</v>
      </c>
      <c r="L169" s="16">
        <f>IF(NOT(Paths!$C$21=1),0,IF(Paths!$P$21="Complete",IF(C169=10,Paths!$I$21,0),"n.a."))</f>
        <v>0</v>
      </c>
      <c r="M169" s="16">
        <f>IF(NOT(Paths!$C$21=1),0,IF(Paths!$P$21="Complete",IF(AND(Paths!$D$21="EV",Paths!$E$21&lt;120,Paths!$E$21+'Operating costs'!$B$65&gt;Paths!$E$21,Paths!$E$21+'Operating costs'!$B$65&lt;=120,IF(Paths!$E$21+'Operating costs'!$B$65=0,C169=0,AND(C169&gt;0,Paths!$E$21+'Operating costs'!$B$65&gt;(C169-1)*12,Paths!$E$21+'Operating costs'!$B$65&lt;=C169*12))),'Operating costs'!$B$64,0)+IF(AND('Operating costs'!$B$67&gt;0,'Operating costs'!$B$67&lt;=120,OR(Paths!$D$21="ICE",'Operating costs'!$B$67&lt;=Paths!$E$21),IF('Operating costs'!$B$67=0,C169=0,AND(C169&gt;0,'Operating costs'!$B$67&gt;(C169-1)*12,'Operating costs'!$B$67&lt;=C169*12))),'Operating costs'!$B$66,0),"n.a."))</f>
        <v>0</v>
      </c>
      <c r="N169" s="16">
        <f>IF(NOT(Paths!$C$21=1),0,IF(Paths!$P$21="Complete",SUM(G169:I169)-J169-K169-L169+M169+IF(C169=0,Paths!$F$21,0)+IF(IF(Paths!$E$21=0,C169=0,AND(C169&gt;0,Paths!$E$21&gt;(C169-1)*12,Paths!$E$21&lt;=C169*12)),VLOOKUP(A169,'Fleet register'!$A$7:$S$106,16,FALSE),0),"n.a."))</f>
        <v>18151.349999999999</v>
      </c>
      <c r="O169" s="16">
        <f>IF(NOT(Paths!$C$21=1),0,IF(Paths!$P$21="Complete",N169-IF(C169=0,Paths!$F$21,0),"n.a."))</f>
        <v>18151.349999999999</v>
      </c>
      <c r="P169" s="16">
        <f>IF(NOT(Paths!$C$21=1),0,IF(Paths!$P$21="Complete",O169+L169,"n.a."))</f>
        <v>18151.349999999999</v>
      </c>
      <c r="Q169" s="16">
        <f>IF(NOT(Paths!$C$21=1),0,IF(Paths!$P$21="Complete",N169*(1+'Operating costs'!$B$54)^-C169,"n.a."))</f>
        <v>18151.349999999999</v>
      </c>
      <c r="R169" s="16">
        <f>IF(NOT(Paths!$C$21=1),0,IF(Paths!$P$21="Complete",IF(AND(C169=0,Paths!$E$21=0),I169-J169-K169+VLOOKUP(A169,'Fleet register'!$A$7:$S$106,15,FALSE)+VLOOKUP(A169,'Fleet register'!$A$7:$S$106,16,FALSE),0),"n.a."))</f>
        <v>0</v>
      </c>
      <c r="S169" s="1">
        <f>IF(NOT(Paths!$C$21=1),0,IF(Paths!$P$21="Complete",IF(C169=0,0,Paths!$S$21*Paths!$R$21),"n.a."))</f>
        <v>45000</v>
      </c>
      <c r="T169" s="1">
        <f>IF(NOT(Paths!$C$21=1),0,IF(Paths!$P$21="Complete",IF(C169=0,0,VLOOKUP(A169,'Fleet register'!$A$7:$S$106,9,FALSE)*Paths!$R$21),"n.a."))</f>
        <v>7200</v>
      </c>
    </row>
    <row r="170" spans="1:20" ht="24" customHeight="1">
      <c r="A170" s="1" t="str">
        <f>Paths!$A$21</f>
        <v>T004</v>
      </c>
      <c r="B170" s="1">
        <f>Paths!$B$21</f>
        <v>2</v>
      </c>
      <c r="C170" s="1">
        <v>9</v>
      </c>
      <c r="D170" s="1">
        <v>21</v>
      </c>
      <c r="E170" s="1">
        <f>IF(OR(Paths!$C$21=0,C170=0),0,MAX(0,MIN(C170*12,Paths!$E$21)-(C170-1)*12))</f>
        <v>0</v>
      </c>
      <c r="F170" s="1">
        <f>IF(OR(Paths!$C$21=0,C170=0),0,12-E170)</f>
        <v>12</v>
      </c>
      <c r="G170" s="16">
        <f>IF(NOT(Paths!$C$21=1),0,IF(Paths!$P$21="Complete",E170/12*(Paths!$J$21*(1+'Operating costs'!$B$51)^MAX(0,C170-1)+Paths!$K$21*(1+'Operating costs'!$B$53)^MAX(0,C170-1)),"n.a."))</f>
        <v>0</v>
      </c>
      <c r="H170" s="16">
        <f>IF(NOT(Paths!$C$21=1),0,IF(Paths!$P$21="Complete",F170/12*(Paths!$L$21*(1+IF(Paths!$D$21="EV",'Operating costs'!$B$52,'Operating costs'!$B$51))^MAX(0,C170-1)+Paths!$M$21*(1+'Operating costs'!$B$53)^MAX(0,C170-1)),"n.a."))</f>
        <v>18151.349999999999</v>
      </c>
      <c r="I170" s="16">
        <f>IF(NOT(Paths!$C$21=1),0,IF(Paths!$P$21="Complete",IF(IF(Paths!$E$21=0,C170=0,AND(C170&gt;0,Paths!$E$21&gt;(C170-1)*12,Paths!$E$21&lt;=C170*12)),Paths!$G$21,0),"n.a."))</f>
        <v>0</v>
      </c>
      <c r="J170" s="16">
        <f>IF(NOT(Paths!$C$21=1),0,IF(Paths!$P$21="Complete",IF(IF(Paths!$E$21=0,C170=0,AND(C170&gt;0,Paths!$E$21&gt;(C170-1)*12,Paths!$E$21&lt;=C170*12)),Paths!$H$21,0),"n.a."))</f>
        <v>0</v>
      </c>
      <c r="K170" s="16">
        <f>IF(NOT(Paths!$C$21=1),0,IF(Paths!$P$21="Complete",IF(IF(Paths!$O$21=0,C170=0,AND(C170&gt;0,Paths!$O$21&gt;(C170-1)*12,Paths!$O$21&lt;=C170*12)),Paths!$N$21,0),"n.a."))</f>
        <v>0</v>
      </c>
      <c r="L170" s="16">
        <f>IF(NOT(Paths!$C$21=1),0,IF(Paths!$P$21="Complete",IF(C170=10,Paths!$I$21,0),"n.a."))</f>
        <v>0</v>
      </c>
      <c r="M170" s="16">
        <f>IF(NOT(Paths!$C$21=1),0,IF(Paths!$P$21="Complete",IF(AND(Paths!$D$21="EV",Paths!$E$21&lt;120,Paths!$E$21+'Operating costs'!$B$65&gt;Paths!$E$21,Paths!$E$21+'Operating costs'!$B$65&lt;=120,IF(Paths!$E$21+'Operating costs'!$B$65=0,C170=0,AND(C170&gt;0,Paths!$E$21+'Operating costs'!$B$65&gt;(C170-1)*12,Paths!$E$21+'Operating costs'!$B$65&lt;=C170*12))),'Operating costs'!$B$64,0)+IF(AND('Operating costs'!$B$67&gt;0,'Operating costs'!$B$67&lt;=120,OR(Paths!$D$21="ICE",'Operating costs'!$B$67&lt;=Paths!$E$21),IF('Operating costs'!$B$67=0,C170=0,AND(C170&gt;0,'Operating costs'!$B$67&gt;(C170-1)*12,'Operating costs'!$B$67&lt;=C170*12))),'Operating costs'!$B$66,0),"n.a."))</f>
        <v>0</v>
      </c>
      <c r="N170" s="16">
        <f>IF(NOT(Paths!$C$21=1),0,IF(Paths!$P$21="Complete",SUM(G170:I170)-J170-K170-L170+M170+IF(C170=0,Paths!$F$21,0)+IF(IF(Paths!$E$21=0,C170=0,AND(C170&gt;0,Paths!$E$21&gt;(C170-1)*12,Paths!$E$21&lt;=C170*12)),VLOOKUP(A170,'Fleet register'!$A$7:$S$106,16,FALSE),0),"n.a."))</f>
        <v>18151.349999999999</v>
      </c>
      <c r="O170" s="16">
        <f>IF(NOT(Paths!$C$21=1),0,IF(Paths!$P$21="Complete",N170-IF(C170=0,Paths!$F$21,0),"n.a."))</f>
        <v>18151.349999999999</v>
      </c>
      <c r="P170" s="16">
        <f>IF(NOT(Paths!$C$21=1),0,IF(Paths!$P$21="Complete",O170+L170,"n.a."))</f>
        <v>18151.349999999999</v>
      </c>
      <c r="Q170" s="16">
        <f>IF(NOT(Paths!$C$21=1),0,IF(Paths!$P$21="Complete",N170*(1+'Operating costs'!$B$54)^-C170,"n.a."))</f>
        <v>18151.349999999999</v>
      </c>
      <c r="R170" s="16">
        <f>IF(NOT(Paths!$C$21=1),0,IF(Paths!$P$21="Complete",IF(AND(C170=0,Paths!$E$21=0),I170-J170-K170+VLOOKUP(A170,'Fleet register'!$A$7:$S$106,15,FALSE)+VLOOKUP(A170,'Fleet register'!$A$7:$S$106,16,FALSE),0),"n.a."))</f>
        <v>0</v>
      </c>
      <c r="S170" s="1">
        <f>IF(NOT(Paths!$C$21=1),0,IF(Paths!$P$21="Complete",IF(C170=0,0,Paths!$S$21*Paths!$R$21),"n.a."))</f>
        <v>45000</v>
      </c>
      <c r="T170" s="1">
        <f>IF(NOT(Paths!$C$21=1),0,IF(Paths!$P$21="Complete",IF(C170=0,0,VLOOKUP(A170,'Fleet register'!$A$7:$S$106,9,FALSE)*Paths!$R$21),"n.a."))</f>
        <v>7200</v>
      </c>
    </row>
    <row r="171" spans="1:20" ht="24" customHeight="1">
      <c r="A171" s="1" t="str">
        <f>Paths!$A$21</f>
        <v>T004</v>
      </c>
      <c r="B171" s="1">
        <f>Paths!$B$21</f>
        <v>2</v>
      </c>
      <c r="C171" s="1">
        <v>10</v>
      </c>
      <c r="D171" s="1">
        <v>21</v>
      </c>
      <c r="E171" s="1">
        <f>IF(OR(Paths!$C$21=0,C171=0),0,MAX(0,MIN(C171*12,Paths!$E$21)-(C171-1)*12))</f>
        <v>0</v>
      </c>
      <c r="F171" s="1">
        <f>IF(OR(Paths!$C$21=0,C171=0),0,12-E171)</f>
        <v>12</v>
      </c>
      <c r="G171" s="16">
        <f>IF(NOT(Paths!$C$21=1),0,IF(Paths!$P$21="Complete",E171/12*(Paths!$J$21*(1+'Operating costs'!$B$51)^MAX(0,C171-1)+Paths!$K$21*(1+'Operating costs'!$B$53)^MAX(0,C171-1)),"n.a."))</f>
        <v>0</v>
      </c>
      <c r="H171" s="16">
        <f>IF(NOT(Paths!$C$21=1),0,IF(Paths!$P$21="Complete",F171/12*(Paths!$L$21*(1+IF(Paths!$D$21="EV",'Operating costs'!$B$52,'Operating costs'!$B$51))^MAX(0,C171-1)+Paths!$M$21*(1+'Operating costs'!$B$53)^MAX(0,C171-1)),"n.a."))</f>
        <v>18151.349999999999</v>
      </c>
      <c r="I171" s="16">
        <f>IF(NOT(Paths!$C$21=1),0,IF(Paths!$P$21="Complete",IF(IF(Paths!$E$21=0,C171=0,AND(C171&gt;0,Paths!$E$21&gt;(C171-1)*12,Paths!$E$21&lt;=C171*12)),Paths!$G$21,0),"n.a."))</f>
        <v>0</v>
      </c>
      <c r="J171" s="16">
        <f>IF(NOT(Paths!$C$21=1),0,IF(Paths!$P$21="Complete",IF(IF(Paths!$E$21=0,C171=0,AND(C171&gt;0,Paths!$E$21&gt;(C171-1)*12,Paths!$E$21&lt;=C171*12)),Paths!$H$21,0),"n.a."))</f>
        <v>0</v>
      </c>
      <c r="K171" s="16">
        <f>IF(NOT(Paths!$C$21=1),0,IF(Paths!$P$21="Complete",IF(IF(Paths!$O$21=0,C171=0,AND(C171&gt;0,Paths!$O$21&gt;(C171-1)*12,Paths!$O$21&lt;=C171*12)),Paths!$N$21,0),"n.a."))</f>
        <v>0</v>
      </c>
      <c r="L171" s="16">
        <f>IF(NOT(Paths!$C$21=1),0,IF(Paths!$P$21="Complete",IF(C171=10,Paths!$I$21,0),"n.a."))</f>
        <v>49200</v>
      </c>
      <c r="M171" s="16">
        <f>IF(NOT(Paths!$C$21=1),0,IF(Paths!$P$21="Complete",IF(AND(Paths!$D$21="EV",Paths!$E$21&lt;120,Paths!$E$21+'Operating costs'!$B$65&gt;Paths!$E$21,Paths!$E$21+'Operating costs'!$B$65&lt;=120,IF(Paths!$E$21+'Operating costs'!$B$65=0,C171=0,AND(C171&gt;0,Paths!$E$21+'Operating costs'!$B$65&gt;(C171-1)*12,Paths!$E$21+'Operating costs'!$B$65&lt;=C171*12))),'Operating costs'!$B$64,0)+IF(AND('Operating costs'!$B$67&gt;0,'Operating costs'!$B$67&lt;=120,OR(Paths!$D$21="ICE",'Operating costs'!$B$67&lt;=Paths!$E$21),IF('Operating costs'!$B$67=0,C171=0,AND(C171&gt;0,'Operating costs'!$B$67&gt;(C171-1)*12,'Operating costs'!$B$67&lt;=C171*12))),'Operating costs'!$B$66,0),"n.a."))</f>
        <v>0</v>
      </c>
      <c r="N171" s="16">
        <f>IF(NOT(Paths!$C$21=1),0,IF(Paths!$P$21="Complete",SUM(G171:I171)-J171-K171-L171+M171+IF(C171=0,Paths!$F$21,0)+IF(IF(Paths!$E$21=0,C171=0,AND(C171&gt;0,Paths!$E$21&gt;(C171-1)*12,Paths!$E$21&lt;=C171*12)),VLOOKUP(A171,'Fleet register'!$A$7:$S$106,16,FALSE),0),"n.a."))</f>
        <v>-31048.65</v>
      </c>
      <c r="O171" s="16">
        <f>IF(NOT(Paths!$C$21=1),0,IF(Paths!$P$21="Complete",N171-IF(C171=0,Paths!$F$21,0),"n.a."))</f>
        <v>-31048.65</v>
      </c>
      <c r="P171" s="16">
        <f>IF(NOT(Paths!$C$21=1),0,IF(Paths!$P$21="Complete",O171+L171,"n.a."))</f>
        <v>18151.349999999999</v>
      </c>
      <c r="Q171" s="16">
        <f>IF(NOT(Paths!$C$21=1),0,IF(Paths!$P$21="Complete",N171*(1+'Operating costs'!$B$54)^-C171,"n.a."))</f>
        <v>-31048.65</v>
      </c>
      <c r="R171" s="16">
        <f>IF(NOT(Paths!$C$21=1),0,IF(Paths!$P$21="Complete",IF(AND(C171=0,Paths!$E$21=0),I171-J171-K171+VLOOKUP(A171,'Fleet register'!$A$7:$S$106,15,FALSE)+VLOOKUP(A171,'Fleet register'!$A$7:$S$106,16,FALSE),0),"n.a."))</f>
        <v>0</v>
      </c>
      <c r="S171" s="1">
        <f>IF(NOT(Paths!$C$21=1),0,IF(Paths!$P$21="Complete",IF(C171=0,0,Paths!$S$21*Paths!$R$21),"n.a."))</f>
        <v>45000</v>
      </c>
      <c r="T171" s="1">
        <f>IF(NOT(Paths!$C$21=1),0,IF(Paths!$P$21="Complete",IF(C171=0,0,VLOOKUP(A171,'Fleet register'!$A$7:$S$106,9,FALSE)*Paths!$R$21),"n.a."))</f>
        <v>7200</v>
      </c>
    </row>
    <row r="172" spans="1:20" ht="24" customHeight="1">
      <c r="A172" s="1" t="str">
        <f>Paths!$A$22</f>
        <v>T004</v>
      </c>
      <c r="B172" s="1">
        <f>Paths!$B$22</f>
        <v>3</v>
      </c>
      <c r="C172" s="1">
        <v>0</v>
      </c>
      <c r="D172" s="1">
        <v>22</v>
      </c>
      <c r="E172" s="1">
        <f>IF(OR(Paths!$C$22=0,C172=0),0,MAX(0,MIN(C172*12,Paths!$E$22)-(C172-1)*12))</f>
        <v>0</v>
      </c>
      <c r="F172" s="1">
        <f>IF(OR(Paths!$C$22=0,C172=0),0,12-E172)</f>
        <v>0</v>
      </c>
      <c r="G172" s="16">
        <f>IF(NOT(Paths!$C$22=1),0,IF(Paths!$P$22="Complete",E172/12*(Paths!$J$22*(1+'Operating costs'!$B$51)^MAX(0,C172-1)+Paths!$K$22*(1+'Operating costs'!$B$53)^MAX(0,C172-1)),"n.a."))</f>
        <v>0</v>
      </c>
      <c r="H172" s="16">
        <f>IF(NOT(Paths!$C$22=1),0,IF(Paths!$P$22="Complete",F172/12*(Paths!$L$22*(1+IF(Paths!$D$22="EV",'Operating costs'!$B$52,'Operating costs'!$B$51))^MAX(0,C172-1)+Paths!$M$22*(1+'Operating costs'!$B$53)^MAX(0,C172-1)),"n.a."))</f>
        <v>0</v>
      </c>
      <c r="I172" s="16">
        <f>IF(NOT(Paths!$C$22=1),0,IF(Paths!$P$22="Complete",IF(IF(Paths!$E$22=0,C172=0,AND(C172&gt;0,Paths!$E$22&gt;(C172-1)*12,Paths!$E$22&lt;=C172*12)),Paths!$G$22,0),"n.a."))</f>
        <v>0</v>
      </c>
      <c r="J172" s="16">
        <f>IF(NOT(Paths!$C$22=1),0,IF(Paths!$P$22="Complete",IF(IF(Paths!$E$22=0,C172=0,AND(C172&gt;0,Paths!$E$22&gt;(C172-1)*12,Paths!$E$22&lt;=C172*12)),Paths!$H$22,0),"n.a."))</f>
        <v>0</v>
      </c>
      <c r="K172" s="16">
        <f>IF(NOT(Paths!$C$22=1),0,IF(Paths!$P$22="Complete",IF(IF(Paths!$O$22=0,C172=0,AND(C172&gt;0,Paths!$O$22&gt;(C172-1)*12,Paths!$O$22&lt;=C172*12)),Paths!$N$22,0),"n.a."))</f>
        <v>0</v>
      </c>
      <c r="L172" s="16">
        <f>IF(NOT(Paths!$C$22=1),0,IF(Paths!$P$22="Complete",IF(C172=10,Paths!$I$22,0),"n.a."))</f>
        <v>0</v>
      </c>
      <c r="M172" s="16">
        <f>IF(NOT(Paths!$C$22=1),0,IF(Paths!$P$22="Complete",IF(AND(Paths!$D$22="EV",Paths!$E$22&lt;120,Paths!$E$22+'Operating costs'!$B$65&gt;Paths!$E$22,Paths!$E$22+'Operating costs'!$B$65&lt;=120,IF(Paths!$E$22+'Operating costs'!$B$65=0,C172=0,AND(C172&gt;0,Paths!$E$22+'Operating costs'!$B$65&gt;(C172-1)*12,Paths!$E$22+'Operating costs'!$B$65&lt;=C172*12))),'Operating costs'!$B$64,0)+IF(AND('Operating costs'!$B$67&gt;0,'Operating costs'!$B$67&lt;=120,OR(Paths!$D$22="ICE",'Operating costs'!$B$67&lt;=Paths!$E$22),IF('Operating costs'!$B$67=0,C172=0,AND(C172&gt;0,'Operating costs'!$B$67&gt;(C172-1)*12,'Operating costs'!$B$67&lt;=C172*12))),'Operating costs'!$B$66,0),"n.a."))</f>
        <v>0</v>
      </c>
      <c r="N172" s="16">
        <f>IF(NOT(Paths!$C$22=1),0,IF(Paths!$P$22="Complete",SUM(G172:I172)-J172-K172-L172+M172+IF(C172=0,Paths!$F$22,0)+IF(IF(Paths!$E$22=0,C172=0,AND(C172&gt;0,Paths!$E$22&gt;(C172-1)*12,Paths!$E$22&lt;=C172*12)),VLOOKUP(A172,'Fleet register'!$A$7:$S$106,16,FALSE),0),"n.a."))</f>
        <v>42000</v>
      </c>
      <c r="O172" s="16">
        <f>IF(NOT(Paths!$C$22=1),0,IF(Paths!$P$22="Complete",N172-IF(C172=0,Paths!$F$22,0),"n.a."))</f>
        <v>0</v>
      </c>
      <c r="P172" s="16">
        <f>IF(NOT(Paths!$C$22=1),0,IF(Paths!$P$22="Complete",O172+L172,"n.a."))</f>
        <v>0</v>
      </c>
      <c r="Q172" s="16">
        <f>IF(NOT(Paths!$C$22=1),0,IF(Paths!$P$22="Complete",N172*(1+'Operating costs'!$B$54)^-C172,"n.a."))</f>
        <v>42000</v>
      </c>
      <c r="R172" s="16">
        <f>IF(NOT(Paths!$C$22=1),0,IF(Paths!$P$22="Complete",IF(AND(C172=0,Paths!$E$22=0),I172-J172-K172+VLOOKUP(A172,'Fleet register'!$A$7:$S$106,15,FALSE)+VLOOKUP(A172,'Fleet register'!$A$7:$S$106,16,FALSE),0),"n.a."))</f>
        <v>0</v>
      </c>
      <c r="S172" s="1">
        <f>IF(NOT(Paths!$C$22=1),0,IF(Paths!$P$22="Complete",IF(C172=0,0,Paths!$S$22*Paths!$R$22),"n.a."))</f>
        <v>0</v>
      </c>
      <c r="T172" s="1">
        <f>IF(NOT(Paths!$C$22=1),0,IF(Paths!$P$22="Complete",IF(C172=0,0,VLOOKUP(A172,'Fleet register'!$A$7:$S$106,9,FALSE)*Paths!$R$22),"n.a."))</f>
        <v>0</v>
      </c>
    </row>
    <row r="173" spans="1:20" ht="24" customHeight="1">
      <c r="A173" s="1" t="str">
        <f>Paths!$A$22</f>
        <v>T004</v>
      </c>
      <c r="B173" s="1">
        <f>Paths!$B$22</f>
        <v>3</v>
      </c>
      <c r="C173" s="1">
        <v>1</v>
      </c>
      <c r="D173" s="1">
        <v>22</v>
      </c>
      <c r="E173" s="1">
        <f>IF(OR(Paths!$C$22=0,C173=0),0,MAX(0,MIN(C173*12,Paths!$E$22)-(C173-1)*12))</f>
        <v>12</v>
      </c>
      <c r="F173" s="1">
        <f>IF(OR(Paths!$C$22=0,C173=0),0,12-E173)</f>
        <v>0</v>
      </c>
      <c r="G173" s="16">
        <f>IF(NOT(Paths!$C$22=1),0,IF(Paths!$P$22="Complete",E173/12*(Paths!$J$22*(1+'Operating costs'!$B$51)^MAX(0,C173-1)+Paths!$K$22*(1+'Operating costs'!$B$53)^MAX(0,C173-1)),"n.a."))</f>
        <v>18151.349999999999</v>
      </c>
      <c r="H173" s="16">
        <f>IF(NOT(Paths!$C$22=1),0,IF(Paths!$P$22="Complete",F173/12*(Paths!$L$22*(1+IF(Paths!$D$22="EV",'Operating costs'!$B$52,'Operating costs'!$B$51))^MAX(0,C173-1)+Paths!$M$22*(1+'Operating costs'!$B$53)^MAX(0,C173-1)),"n.a."))</f>
        <v>0</v>
      </c>
      <c r="I173" s="16">
        <f>IF(NOT(Paths!$C$22=1),0,IF(Paths!$P$22="Complete",IF(IF(Paths!$E$22=0,C173=0,AND(C173&gt;0,Paths!$E$22&gt;(C173-1)*12,Paths!$E$22&lt;=C173*12)),Paths!$G$22,0),"n.a."))</f>
        <v>0</v>
      </c>
      <c r="J173" s="16">
        <f>IF(NOT(Paths!$C$22=1),0,IF(Paths!$P$22="Complete",IF(IF(Paths!$E$22=0,C173=0,AND(C173&gt;0,Paths!$E$22&gt;(C173-1)*12,Paths!$E$22&lt;=C173*12)),Paths!$H$22,0),"n.a."))</f>
        <v>0</v>
      </c>
      <c r="K173" s="16">
        <f>IF(NOT(Paths!$C$22=1),0,IF(Paths!$P$22="Complete",IF(IF(Paths!$O$22=0,C173=0,AND(C173&gt;0,Paths!$O$22&gt;(C173-1)*12,Paths!$O$22&lt;=C173*12)),Paths!$N$22,0),"n.a."))</f>
        <v>0</v>
      </c>
      <c r="L173" s="16">
        <f>IF(NOT(Paths!$C$22=1),0,IF(Paths!$P$22="Complete",IF(C173=10,Paths!$I$22,0),"n.a."))</f>
        <v>0</v>
      </c>
      <c r="M173" s="16">
        <f>IF(NOT(Paths!$C$22=1),0,IF(Paths!$P$22="Complete",IF(AND(Paths!$D$22="EV",Paths!$E$22&lt;120,Paths!$E$22+'Operating costs'!$B$65&gt;Paths!$E$22,Paths!$E$22+'Operating costs'!$B$65&lt;=120,IF(Paths!$E$22+'Operating costs'!$B$65=0,C173=0,AND(C173&gt;0,Paths!$E$22+'Operating costs'!$B$65&gt;(C173-1)*12,Paths!$E$22+'Operating costs'!$B$65&lt;=C173*12))),'Operating costs'!$B$64,0)+IF(AND('Operating costs'!$B$67&gt;0,'Operating costs'!$B$67&lt;=120,OR(Paths!$D$22="ICE",'Operating costs'!$B$67&lt;=Paths!$E$22),IF('Operating costs'!$B$67=0,C173=0,AND(C173&gt;0,'Operating costs'!$B$67&gt;(C173-1)*12,'Operating costs'!$B$67&lt;=C173*12))),'Operating costs'!$B$66,0),"n.a."))</f>
        <v>0</v>
      </c>
      <c r="N173" s="16">
        <f>IF(NOT(Paths!$C$22=1),0,IF(Paths!$P$22="Complete",SUM(G173:I173)-J173-K173-L173+M173+IF(C173=0,Paths!$F$22,0)+IF(IF(Paths!$E$22=0,C173=0,AND(C173&gt;0,Paths!$E$22&gt;(C173-1)*12,Paths!$E$22&lt;=C173*12)),VLOOKUP(A173,'Fleet register'!$A$7:$S$106,16,FALSE),0),"n.a."))</f>
        <v>18151.349999999999</v>
      </c>
      <c r="O173" s="16">
        <f>IF(NOT(Paths!$C$22=1),0,IF(Paths!$P$22="Complete",N173-IF(C173=0,Paths!$F$22,0),"n.a."))</f>
        <v>18151.349999999999</v>
      </c>
      <c r="P173" s="16">
        <f>IF(NOT(Paths!$C$22=1),0,IF(Paths!$P$22="Complete",O173+L173,"n.a."))</f>
        <v>18151.349999999999</v>
      </c>
      <c r="Q173" s="16">
        <f>IF(NOT(Paths!$C$22=1),0,IF(Paths!$P$22="Complete",N173*(1+'Operating costs'!$B$54)^-C173,"n.a."))</f>
        <v>18151.349999999999</v>
      </c>
      <c r="R173" s="16">
        <f>IF(NOT(Paths!$C$22=1),0,IF(Paths!$P$22="Complete",IF(AND(C173=0,Paths!$E$22=0),I173-J173-K173+VLOOKUP(A173,'Fleet register'!$A$7:$S$106,15,FALSE)+VLOOKUP(A173,'Fleet register'!$A$7:$S$106,16,FALSE),0),"n.a."))</f>
        <v>0</v>
      </c>
      <c r="S173" s="1">
        <f>IF(NOT(Paths!$C$22=1),0,IF(Paths!$P$22="Complete",IF(C173=0,0,Paths!$S$22*Paths!$R$22),"n.a."))</f>
        <v>45000</v>
      </c>
      <c r="T173" s="1">
        <f>IF(NOT(Paths!$C$22=1),0,IF(Paths!$P$22="Complete",IF(C173=0,0,VLOOKUP(A173,'Fleet register'!$A$7:$S$106,9,FALSE)*Paths!$R$22),"n.a."))</f>
        <v>7200</v>
      </c>
    </row>
    <row r="174" spans="1:20" ht="24" customHeight="1">
      <c r="A174" s="1" t="str">
        <f>Paths!$A$22</f>
        <v>T004</v>
      </c>
      <c r="B174" s="1">
        <f>Paths!$B$22</f>
        <v>3</v>
      </c>
      <c r="C174" s="1">
        <v>2</v>
      </c>
      <c r="D174" s="1">
        <v>22</v>
      </c>
      <c r="E174" s="1">
        <f>IF(OR(Paths!$C$22=0,C174=0),0,MAX(0,MIN(C174*12,Paths!$E$22)-(C174-1)*12))</f>
        <v>12</v>
      </c>
      <c r="F174" s="1">
        <f>IF(OR(Paths!$C$22=0,C174=0),0,12-E174)</f>
        <v>0</v>
      </c>
      <c r="G174" s="16">
        <f>IF(NOT(Paths!$C$22=1),0,IF(Paths!$P$22="Complete",E174/12*(Paths!$J$22*(1+'Operating costs'!$B$51)^MAX(0,C174-1)+Paths!$K$22*(1+'Operating costs'!$B$53)^MAX(0,C174-1)),"n.a."))</f>
        <v>18151.349999999999</v>
      </c>
      <c r="H174" s="16">
        <f>IF(NOT(Paths!$C$22=1),0,IF(Paths!$P$22="Complete",F174/12*(Paths!$L$22*(1+IF(Paths!$D$22="EV",'Operating costs'!$B$52,'Operating costs'!$B$51))^MAX(0,C174-1)+Paths!$M$22*(1+'Operating costs'!$B$53)^MAX(0,C174-1)),"n.a."))</f>
        <v>0</v>
      </c>
      <c r="I174" s="16">
        <f>IF(NOT(Paths!$C$22=1),0,IF(Paths!$P$22="Complete",IF(IF(Paths!$E$22=0,C174=0,AND(C174&gt;0,Paths!$E$22&gt;(C174-1)*12,Paths!$E$22&lt;=C174*12)),Paths!$G$22,0),"n.a."))</f>
        <v>0</v>
      </c>
      <c r="J174" s="16">
        <f>IF(NOT(Paths!$C$22=1),0,IF(Paths!$P$22="Complete",IF(IF(Paths!$E$22=0,C174=0,AND(C174&gt;0,Paths!$E$22&gt;(C174-1)*12,Paths!$E$22&lt;=C174*12)),Paths!$H$22,0),"n.a."))</f>
        <v>0</v>
      </c>
      <c r="K174" s="16">
        <f>IF(NOT(Paths!$C$22=1),0,IF(Paths!$P$22="Complete",IF(IF(Paths!$O$22=0,C174=0,AND(C174&gt;0,Paths!$O$22&gt;(C174-1)*12,Paths!$O$22&lt;=C174*12)),Paths!$N$22,0),"n.a."))</f>
        <v>0</v>
      </c>
      <c r="L174" s="16">
        <f>IF(NOT(Paths!$C$22=1),0,IF(Paths!$P$22="Complete",IF(C174=10,Paths!$I$22,0),"n.a."))</f>
        <v>0</v>
      </c>
      <c r="M174" s="16">
        <f>IF(NOT(Paths!$C$22=1),0,IF(Paths!$P$22="Complete",IF(AND(Paths!$D$22="EV",Paths!$E$22&lt;120,Paths!$E$22+'Operating costs'!$B$65&gt;Paths!$E$22,Paths!$E$22+'Operating costs'!$B$65&lt;=120,IF(Paths!$E$22+'Operating costs'!$B$65=0,C174=0,AND(C174&gt;0,Paths!$E$22+'Operating costs'!$B$65&gt;(C174-1)*12,Paths!$E$22+'Operating costs'!$B$65&lt;=C174*12))),'Operating costs'!$B$64,0)+IF(AND('Operating costs'!$B$67&gt;0,'Operating costs'!$B$67&lt;=120,OR(Paths!$D$22="ICE",'Operating costs'!$B$67&lt;=Paths!$E$22),IF('Operating costs'!$B$67=0,C174=0,AND(C174&gt;0,'Operating costs'!$B$67&gt;(C174-1)*12,'Operating costs'!$B$67&lt;=C174*12))),'Operating costs'!$B$66,0),"n.a."))</f>
        <v>0</v>
      </c>
      <c r="N174" s="16">
        <f>IF(NOT(Paths!$C$22=1),0,IF(Paths!$P$22="Complete",SUM(G174:I174)-J174-K174-L174+M174+IF(C174=0,Paths!$F$22,0)+IF(IF(Paths!$E$22=0,C174=0,AND(C174&gt;0,Paths!$E$22&gt;(C174-1)*12,Paths!$E$22&lt;=C174*12)),VLOOKUP(A174,'Fleet register'!$A$7:$S$106,16,FALSE),0),"n.a."))</f>
        <v>18151.349999999999</v>
      </c>
      <c r="O174" s="16">
        <f>IF(NOT(Paths!$C$22=1),0,IF(Paths!$P$22="Complete",N174-IF(C174=0,Paths!$F$22,0),"n.a."))</f>
        <v>18151.349999999999</v>
      </c>
      <c r="P174" s="16">
        <f>IF(NOT(Paths!$C$22=1),0,IF(Paths!$P$22="Complete",O174+L174,"n.a."))</f>
        <v>18151.349999999999</v>
      </c>
      <c r="Q174" s="16">
        <f>IF(NOT(Paths!$C$22=1),0,IF(Paths!$P$22="Complete",N174*(1+'Operating costs'!$B$54)^-C174,"n.a."))</f>
        <v>18151.349999999999</v>
      </c>
      <c r="R174" s="16">
        <f>IF(NOT(Paths!$C$22=1),0,IF(Paths!$P$22="Complete",IF(AND(C174=0,Paths!$E$22=0),I174-J174-K174+VLOOKUP(A174,'Fleet register'!$A$7:$S$106,15,FALSE)+VLOOKUP(A174,'Fleet register'!$A$7:$S$106,16,FALSE),0),"n.a."))</f>
        <v>0</v>
      </c>
      <c r="S174" s="1">
        <f>IF(NOT(Paths!$C$22=1),0,IF(Paths!$P$22="Complete",IF(C174=0,0,Paths!$S$22*Paths!$R$22),"n.a."))</f>
        <v>45000</v>
      </c>
      <c r="T174" s="1">
        <f>IF(NOT(Paths!$C$22=1),0,IF(Paths!$P$22="Complete",IF(C174=0,0,VLOOKUP(A174,'Fleet register'!$A$7:$S$106,9,FALSE)*Paths!$R$22),"n.a."))</f>
        <v>7200</v>
      </c>
    </row>
    <row r="175" spans="1:20" ht="24" customHeight="1">
      <c r="A175" s="1" t="str">
        <f>Paths!$A$22</f>
        <v>T004</v>
      </c>
      <c r="B175" s="1">
        <f>Paths!$B$22</f>
        <v>3</v>
      </c>
      <c r="C175" s="1">
        <v>3</v>
      </c>
      <c r="D175" s="1">
        <v>22</v>
      </c>
      <c r="E175" s="1">
        <f>IF(OR(Paths!$C$22=0,C175=0),0,MAX(0,MIN(C175*12,Paths!$E$22)-(C175-1)*12))</f>
        <v>12</v>
      </c>
      <c r="F175" s="1">
        <f>IF(OR(Paths!$C$22=0,C175=0),0,12-E175)</f>
        <v>0</v>
      </c>
      <c r="G175" s="16">
        <f>IF(NOT(Paths!$C$22=1),0,IF(Paths!$P$22="Complete",E175/12*(Paths!$J$22*(1+'Operating costs'!$B$51)^MAX(0,C175-1)+Paths!$K$22*(1+'Operating costs'!$B$53)^MAX(0,C175-1)),"n.a."))</f>
        <v>18151.349999999999</v>
      </c>
      <c r="H175" s="16">
        <f>IF(NOT(Paths!$C$22=1),0,IF(Paths!$P$22="Complete",F175/12*(Paths!$L$22*(1+IF(Paths!$D$22="EV",'Operating costs'!$B$52,'Operating costs'!$B$51))^MAX(0,C175-1)+Paths!$M$22*(1+'Operating costs'!$B$53)^MAX(0,C175-1)),"n.a."))</f>
        <v>0</v>
      </c>
      <c r="I175" s="16">
        <f>IF(NOT(Paths!$C$22=1),0,IF(Paths!$P$22="Complete",IF(IF(Paths!$E$22=0,C175=0,AND(C175&gt;0,Paths!$E$22&gt;(C175-1)*12,Paths!$E$22&lt;=C175*12)),Paths!$G$22,0),"n.a."))</f>
        <v>0</v>
      </c>
      <c r="J175" s="16">
        <f>IF(NOT(Paths!$C$22=1),0,IF(Paths!$P$22="Complete",IF(IF(Paths!$E$22=0,C175=0,AND(C175&gt;0,Paths!$E$22&gt;(C175-1)*12,Paths!$E$22&lt;=C175*12)),Paths!$H$22,0),"n.a."))</f>
        <v>0</v>
      </c>
      <c r="K175" s="16">
        <f>IF(NOT(Paths!$C$22=1),0,IF(Paths!$P$22="Complete",IF(IF(Paths!$O$22=0,C175=0,AND(C175&gt;0,Paths!$O$22&gt;(C175-1)*12,Paths!$O$22&lt;=C175*12)),Paths!$N$22,0),"n.a."))</f>
        <v>0</v>
      </c>
      <c r="L175" s="16">
        <f>IF(NOT(Paths!$C$22=1),0,IF(Paths!$P$22="Complete",IF(C175=10,Paths!$I$22,0),"n.a."))</f>
        <v>0</v>
      </c>
      <c r="M175" s="16">
        <f>IF(NOT(Paths!$C$22=1),0,IF(Paths!$P$22="Complete",IF(AND(Paths!$D$22="EV",Paths!$E$22&lt;120,Paths!$E$22+'Operating costs'!$B$65&gt;Paths!$E$22,Paths!$E$22+'Operating costs'!$B$65&lt;=120,IF(Paths!$E$22+'Operating costs'!$B$65=0,C175=0,AND(C175&gt;0,Paths!$E$22+'Operating costs'!$B$65&gt;(C175-1)*12,Paths!$E$22+'Operating costs'!$B$65&lt;=C175*12))),'Operating costs'!$B$64,0)+IF(AND('Operating costs'!$B$67&gt;0,'Operating costs'!$B$67&lt;=120,OR(Paths!$D$22="ICE",'Operating costs'!$B$67&lt;=Paths!$E$22),IF('Operating costs'!$B$67=0,C175=0,AND(C175&gt;0,'Operating costs'!$B$67&gt;(C175-1)*12,'Operating costs'!$B$67&lt;=C175*12))),'Operating costs'!$B$66,0),"n.a."))</f>
        <v>0</v>
      </c>
      <c r="N175" s="16">
        <f>IF(NOT(Paths!$C$22=1),0,IF(Paths!$P$22="Complete",SUM(G175:I175)-J175-K175-L175+M175+IF(C175=0,Paths!$F$22,0)+IF(IF(Paths!$E$22=0,C175=0,AND(C175&gt;0,Paths!$E$22&gt;(C175-1)*12,Paths!$E$22&lt;=C175*12)),VLOOKUP(A175,'Fleet register'!$A$7:$S$106,16,FALSE),0),"n.a."))</f>
        <v>18151.349999999999</v>
      </c>
      <c r="O175" s="16">
        <f>IF(NOT(Paths!$C$22=1),0,IF(Paths!$P$22="Complete",N175-IF(C175=0,Paths!$F$22,0),"n.a."))</f>
        <v>18151.349999999999</v>
      </c>
      <c r="P175" s="16">
        <f>IF(NOT(Paths!$C$22=1),0,IF(Paths!$P$22="Complete",O175+L175,"n.a."))</f>
        <v>18151.349999999999</v>
      </c>
      <c r="Q175" s="16">
        <f>IF(NOT(Paths!$C$22=1),0,IF(Paths!$P$22="Complete",N175*(1+'Operating costs'!$B$54)^-C175,"n.a."))</f>
        <v>18151.349999999999</v>
      </c>
      <c r="R175" s="16">
        <f>IF(NOT(Paths!$C$22=1),0,IF(Paths!$P$22="Complete",IF(AND(C175=0,Paths!$E$22=0),I175-J175-K175+VLOOKUP(A175,'Fleet register'!$A$7:$S$106,15,FALSE)+VLOOKUP(A175,'Fleet register'!$A$7:$S$106,16,FALSE),0),"n.a."))</f>
        <v>0</v>
      </c>
      <c r="S175" s="1">
        <f>IF(NOT(Paths!$C$22=1),0,IF(Paths!$P$22="Complete",IF(C175=0,0,Paths!$S$22*Paths!$R$22),"n.a."))</f>
        <v>45000</v>
      </c>
      <c r="T175" s="1">
        <f>IF(NOT(Paths!$C$22=1),0,IF(Paths!$P$22="Complete",IF(C175=0,0,VLOOKUP(A175,'Fleet register'!$A$7:$S$106,9,FALSE)*Paths!$R$22),"n.a."))</f>
        <v>7200</v>
      </c>
    </row>
    <row r="176" spans="1:20" ht="24" customHeight="1">
      <c r="A176" s="1" t="str">
        <f>Paths!$A$22</f>
        <v>T004</v>
      </c>
      <c r="B176" s="1">
        <f>Paths!$B$22</f>
        <v>3</v>
      </c>
      <c r="C176" s="1">
        <v>4</v>
      </c>
      <c r="D176" s="1">
        <v>22</v>
      </c>
      <c r="E176" s="1">
        <f>IF(OR(Paths!$C$22=0,C176=0),0,MAX(0,MIN(C176*12,Paths!$E$22)-(C176-1)*12))</f>
        <v>12</v>
      </c>
      <c r="F176" s="1">
        <f>IF(OR(Paths!$C$22=0,C176=0),0,12-E176)</f>
        <v>0</v>
      </c>
      <c r="G176" s="16">
        <f>IF(NOT(Paths!$C$22=1),0,IF(Paths!$P$22="Complete",E176/12*(Paths!$J$22*(1+'Operating costs'!$B$51)^MAX(0,C176-1)+Paths!$K$22*(1+'Operating costs'!$B$53)^MAX(0,C176-1)),"n.a."))</f>
        <v>18151.349999999999</v>
      </c>
      <c r="H176" s="16">
        <f>IF(NOT(Paths!$C$22=1),0,IF(Paths!$P$22="Complete",F176/12*(Paths!$L$22*(1+IF(Paths!$D$22="EV",'Operating costs'!$B$52,'Operating costs'!$B$51))^MAX(0,C176-1)+Paths!$M$22*(1+'Operating costs'!$B$53)^MAX(0,C176-1)),"n.a."))</f>
        <v>0</v>
      </c>
      <c r="I176" s="16">
        <f>IF(NOT(Paths!$C$22=1),0,IF(Paths!$P$22="Complete",IF(IF(Paths!$E$22=0,C176=0,AND(C176&gt;0,Paths!$E$22&gt;(C176-1)*12,Paths!$E$22&lt;=C176*12)),Paths!$G$22,0),"n.a."))</f>
        <v>181000</v>
      </c>
      <c r="J176" s="16">
        <f>IF(NOT(Paths!$C$22=1),0,IF(Paths!$P$22="Complete",IF(IF(Paths!$E$22=0,C176=0,AND(C176&gt;0,Paths!$E$22&gt;(C176-1)*12,Paths!$E$22&lt;=C176*12)),Paths!$H$22,0),"n.a."))</f>
        <v>10000</v>
      </c>
      <c r="K176" s="16">
        <f>IF(NOT(Paths!$C$22=1),0,IF(Paths!$P$22="Complete",IF(IF(Paths!$O$22=0,C176=0,AND(C176&gt;0,Paths!$O$22&gt;(C176-1)*12,Paths!$O$22&lt;=C176*12)),Paths!$N$22,0),"n.a."))</f>
        <v>0</v>
      </c>
      <c r="L176" s="16">
        <f>IF(NOT(Paths!$C$22=1),0,IF(Paths!$P$22="Complete",IF(C176=10,Paths!$I$22,0),"n.a."))</f>
        <v>0</v>
      </c>
      <c r="M176" s="16">
        <f>IF(NOT(Paths!$C$22=1),0,IF(Paths!$P$22="Complete",IF(AND(Paths!$D$22="EV",Paths!$E$22&lt;120,Paths!$E$22+'Operating costs'!$B$65&gt;Paths!$E$22,Paths!$E$22+'Operating costs'!$B$65&lt;=120,IF(Paths!$E$22+'Operating costs'!$B$65=0,C176=0,AND(C176&gt;0,Paths!$E$22+'Operating costs'!$B$65&gt;(C176-1)*12,Paths!$E$22+'Operating costs'!$B$65&lt;=C176*12))),'Operating costs'!$B$64,0)+IF(AND('Operating costs'!$B$67&gt;0,'Operating costs'!$B$67&lt;=120,OR(Paths!$D$22="ICE",'Operating costs'!$B$67&lt;=Paths!$E$22),IF('Operating costs'!$B$67=0,C176=0,AND(C176&gt;0,'Operating costs'!$B$67&gt;(C176-1)*12,'Operating costs'!$B$67&lt;=C176*12))),'Operating costs'!$B$66,0),"n.a."))</f>
        <v>0</v>
      </c>
      <c r="N176" s="16">
        <f>IF(NOT(Paths!$C$22=1),0,IF(Paths!$P$22="Complete",SUM(G176:I176)-J176-K176-L176+M176+IF(C176=0,Paths!$F$22,0)+IF(IF(Paths!$E$22=0,C176=0,AND(C176&gt;0,Paths!$E$22&gt;(C176-1)*12,Paths!$E$22&lt;=C176*12)),VLOOKUP(A176,'Fleet register'!$A$7:$S$106,16,FALSE),0),"n.a."))</f>
        <v>189151.35</v>
      </c>
      <c r="O176" s="16">
        <f>IF(NOT(Paths!$C$22=1),0,IF(Paths!$P$22="Complete",N176-IF(C176=0,Paths!$F$22,0),"n.a."))</f>
        <v>189151.35</v>
      </c>
      <c r="P176" s="16">
        <f>IF(NOT(Paths!$C$22=1),0,IF(Paths!$P$22="Complete",O176+L176,"n.a."))</f>
        <v>189151.35</v>
      </c>
      <c r="Q176" s="16">
        <f>IF(NOT(Paths!$C$22=1),0,IF(Paths!$P$22="Complete",N176*(1+'Operating costs'!$B$54)^-C176,"n.a."))</f>
        <v>189151.35</v>
      </c>
      <c r="R176" s="16">
        <f>IF(NOT(Paths!$C$22=1),0,IF(Paths!$P$22="Complete",IF(AND(C176=0,Paths!$E$22=0),I176-J176-K176+VLOOKUP(A176,'Fleet register'!$A$7:$S$106,15,FALSE)+VLOOKUP(A176,'Fleet register'!$A$7:$S$106,16,FALSE),0),"n.a."))</f>
        <v>0</v>
      </c>
      <c r="S176" s="1">
        <f>IF(NOT(Paths!$C$22=1),0,IF(Paths!$P$22="Complete",IF(C176=0,0,Paths!$S$22*Paths!$R$22),"n.a."))</f>
        <v>45000</v>
      </c>
      <c r="T176" s="1">
        <f>IF(NOT(Paths!$C$22=1),0,IF(Paths!$P$22="Complete",IF(C176=0,0,VLOOKUP(A176,'Fleet register'!$A$7:$S$106,9,FALSE)*Paths!$R$22),"n.a."))</f>
        <v>7200</v>
      </c>
    </row>
    <row r="177" spans="1:20" ht="24" customHeight="1">
      <c r="A177" s="1" t="str">
        <f>Paths!$A$22</f>
        <v>T004</v>
      </c>
      <c r="B177" s="1">
        <f>Paths!$B$22</f>
        <v>3</v>
      </c>
      <c r="C177" s="1">
        <v>5</v>
      </c>
      <c r="D177" s="1">
        <v>22</v>
      </c>
      <c r="E177" s="1">
        <f>IF(OR(Paths!$C$22=0,C177=0),0,MAX(0,MIN(C177*12,Paths!$E$22)-(C177-1)*12))</f>
        <v>0</v>
      </c>
      <c r="F177" s="1">
        <f>IF(OR(Paths!$C$22=0,C177=0),0,12-E177)</f>
        <v>12</v>
      </c>
      <c r="G177" s="16">
        <f>IF(NOT(Paths!$C$22=1),0,IF(Paths!$P$22="Complete",E177/12*(Paths!$J$22*(1+'Operating costs'!$B$51)^MAX(0,C177-1)+Paths!$K$22*(1+'Operating costs'!$B$53)^MAX(0,C177-1)),"n.a."))</f>
        <v>0</v>
      </c>
      <c r="H177" s="16">
        <f>IF(NOT(Paths!$C$22=1),0,IF(Paths!$P$22="Complete",F177/12*(Paths!$L$22*(1+IF(Paths!$D$22="EV",'Operating costs'!$B$52,'Operating costs'!$B$51))^MAX(0,C177-1)+Paths!$M$22*(1+'Operating costs'!$B$53)^MAX(0,C177-1)),"n.a."))</f>
        <v>18151.349999999999</v>
      </c>
      <c r="I177" s="16">
        <f>IF(NOT(Paths!$C$22=1),0,IF(Paths!$P$22="Complete",IF(IF(Paths!$E$22=0,C177=0,AND(C177&gt;0,Paths!$E$22&gt;(C177-1)*12,Paths!$E$22&lt;=C177*12)),Paths!$G$22,0),"n.a."))</f>
        <v>0</v>
      </c>
      <c r="J177" s="16">
        <f>IF(NOT(Paths!$C$22=1),0,IF(Paths!$P$22="Complete",IF(IF(Paths!$E$22=0,C177=0,AND(C177&gt;0,Paths!$E$22&gt;(C177-1)*12,Paths!$E$22&lt;=C177*12)),Paths!$H$22,0),"n.a."))</f>
        <v>0</v>
      </c>
      <c r="K177" s="16">
        <f>IF(NOT(Paths!$C$22=1),0,IF(Paths!$P$22="Complete",IF(IF(Paths!$O$22=0,C177=0,AND(C177&gt;0,Paths!$O$22&gt;(C177-1)*12,Paths!$O$22&lt;=C177*12)),Paths!$N$22,0),"n.a."))</f>
        <v>0</v>
      </c>
      <c r="L177" s="16">
        <f>IF(NOT(Paths!$C$22=1),0,IF(Paths!$P$22="Complete",IF(C177=10,Paths!$I$22,0),"n.a."))</f>
        <v>0</v>
      </c>
      <c r="M177" s="16">
        <f>IF(NOT(Paths!$C$22=1),0,IF(Paths!$P$22="Complete",IF(AND(Paths!$D$22="EV",Paths!$E$22&lt;120,Paths!$E$22+'Operating costs'!$B$65&gt;Paths!$E$22,Paths!$E$22+'Operating costs'!$B$65&lt;=120,IF(Paths!$E$22+'Operating costs'!$B$65=0,C177=0,AND(C177&gt;0,Paths!$E$22+'Operating costs'!$B$65&gt;(C177-1)*12,Paths!$E$22+'Operating costs'!$B$65&lt;=C177*12))),'Operating costs'!$B$64,0)+IF(AND('Operating costs'!$B$67&gt;0,'Operating costs'!$B$67&lt;=120,OR(Paths!$D$22="ICE",'Operating costs'!$B$67&lt;=Paths!$E$22),IF('Operating costs'!$B$67=0,C177=0,AND(C177&gt;0,'Operating costs'!$B$67&gt;(C177-1)*12,'Operating costs'!$B$67&lt;=C177*12))),'Operating costs'!$B$66,0),"n.a."))</f>
        <v>0</v>
      </c>
      <c r="N177" s="16">
        <f>IF(NOT(Paths!$C$22=1),0,IF(Paths!$P$22="Complete",SUM(G177:I177)-J177-K177-L177+M177+IF(C177=0,Paths!$F$22,0)+IF(IF(Paths!$E$22=0,C177=0,AND(C177&gt;0,Paths!$E$22&gt;(C177-1)*12,Paths!$E$22&lt;=C177*12)),VLOOKUP(A177,'Fleet register'!$A$7:$S$106,16,FALSE),0),"n.a."))</f>
        <v>18151.349999999999</v>
      </c>
      <c r="O177" s="16">
        <f>IF(NOT(Paths!$C$22=1),0,IF(Paths!$P$22="Complete",N177-IF(C177=0,Paths!$F$22,0),"n.a."))</f>
        <v>18151.349999999999</v>
      </c>
      <c r="P177" s="16">
        <f>IF(NOT(Paths!$C$22=1),0,IF(Paths!$P$22="Complete",O177+L177,"n.a."))</f>
        <v>18151.349999999999</v>
      </c>
      <c r="Q177" s="16">
        <f>IF(NOT(Paths!$C$22=1),0,IF(Paths!$P$22="Complete",N177*(1+'Operating costs'!$B$54)^-C177,"n.a."))</f>
        <v>18151.349999999999</v>
      </c>
      <c r="R177" s="16">
        <f>IF(NOT(Paths!$C$22=1),0,IF(Paths!$P$22="Complete",IF(AND(C177=0,Paths!$E$22=0),I177-J177-K177+VLOOKUP(A177,'Fleet register'!$A$7:$S$106,15,FALSE)+VLOOKUP(A177,'Fleet register'!$A$7:$S$106,16,FALSE),0),"n.a."))</f>
        <v>0</v>
      </c>
      <c r="S177" s="1">
        <f>IF(NOT(Paths!$C$22=1),0,IF(Paths!$P$22="Complete",IF(C177=0,0,Paths!$S$22*Paths!$R$22),"n.a."))</f>
        <v>45000</v>
      </c>
      <c r="T177" s="1">
        <f>IF(NOT(Paths!$C$22=1),0,IF(Paths!$P$22="Complete",IF(C177=0,0,VLOOKUP(A177,'Fleet register'!$A$7:$S$106,9,FALSE)*Paths!$R$22),"n.a."))</f>
        <v>7200</v>
      </c>
    </row>
    <row r="178" spans="1:20" ht="24" customHeight="1">
      <c r="A178" s="1" t="str">
        <f>Paths!$A$22</f>
        <v>T004</v>
      </c>
      <c r="B178" s="1">
        <f>Paths!$B$22</f>
        <v>3</v>
      </c>
      <c r="C178" s="1">
        <v>6</v>
      </c>
      <c r="D178" s="1">
        <v>22</v>
      </c>
      <c r="E178" s="1">
        <f>IF(OR(Paths!$C$22=0,C178=0),0,MAX(0,MIN(C178*12,Paths!$E$22)-(C178-1)*12))</f>
        <v>0</v>
      </c>
      <c r="F178" s="1">
        <f>IF(OR(Paths!$C$22=0,C178=0),0,12-E178)</f>
        <v>12</v>
      </c>
      <c r="G178" s="16">
        <f>IF(NOT(Paths!$C$22=1),0,IF(Paths!$P$22="Complete",E178/12*(Paths!$J$22*(1+'Operating costs'!$B$51)^MAX(0,C178-1)+Paths!$K$22*(1+'Operating costs'!$B$53)^MAX(0,C178-1)),"n.a."))</f>
        <v>0</v>
      </c>
      <c r="H178" s="16">
        <f>IF(NOT(Paths!$C$22=1),0,IF(Paths!$P$22="Complete",F178/12*(Paths!$L$22*(1+IF(Paths!$D$22="EV",'Operating costs'!$B$52,'Operating costs'!$B$51))^MAX(0,C178-1)+Paths!$M$22*(1+'Operating costs'!$B$53)^MAX(0,C178-1)),"n.a."))</f>
        <v>18151.349999999999</v>
      </c>
      <c r="I178" s="16">
        <f>IF(NOT(Paths!$C$22=1),0,IF(Paths!$P$22="Complete",IF(IF(Paths!$E$22=0,C178=0,AND(C178&gt;0,Paths!$E$22&gt;(C178-1)*12,Paths!$E$22&lt;=C178*12)),Paths!$G$22,0),"n.a."))</f>
        <v>0</v>
      </c>
      <c r="J178" s="16">
        <f>IF(NOT(Paths!$C$22=1),0,IF(Paths!$P$22="Complete",IF(IF(Paths!$E$22=0,C178=0,AND(C178&gt;0,Paths!$E$22&gt;(C178-1)*12,Paths!$E$22&lt;=C178*12)),Paths!$H$22,0),"n.a."))</f>
        <v>0</v>
      </c>
      <c r="K178" s="16">
        <f>IF(NOT(Paths!$C$22=1),0,IF(Paths!$P$22="Complete",IF(IF(Paths!$O$22=0,C178=0,AND(C178&gt;0,Paths!$O$22&gt;(C178-1)*12,Paths!$O$22&lt;=C178*12)),Paths!$N$22,0),"n.a."))</f>
        <v>0</v>
      </c>
      <c r="L178" s="16">
        <f>IF(NOT(Paths!$C$22=1),0,IF(Paths!$P$22="Complete",IF(C178=10,Paths!$I$22,0),"n.a."))</f>
        <v>0</v>
      </c>
      <c r="M178" s="16">
        <f>IF(NOT(Paths!$C$22=1),0,IF(Paths!$P$22="Complete",IF(AND(Paths!$D$22="EV",Paths!$E$22&lt;120,Paths!$E$22+'Operating costs'!$B$65&gt;Paths!$E$22,Paths!$E$22+'Operating costs'!$B$65&lt;=120,IF(Paths!$E$22+'Operating costs'!$B$65=0,C178=0,AND(C178&gt;0,Paths!$E$22+'Operating costs'!$B$65&gt;(C178-1)*12,Paths!$E$22+'Operating costs'!$B$65&lt;=C178*12))),'Operating costs'!$B$64,0)+IF(AND('Operating costs'!$B$67&gt;0,'Operating costs'!$B$67&lt;=120,OR(Paths!$D$22="ICE",'Operating costs'!$B$67&lt;=Paths!$E$22),IF('Operating costs'!$B$67=0,C178=0,AND(C178&gt;0,'Operating costs'!$B$67&gt;(C178-1)*12,'Operating costs'!$B$67&lt;=C178*12))),'Operating costs'!$B$66,0),"n.a."))</f>
        <v>0</v>
      </c>
      <c r="N178" s="16">
        <f>IF(NOT(Paths!$C$22=1),0,IF(Paths!$P$22="Complete",SUM(G178:I178)-J178-K178-L178+M178+IF(C178=0,Paths!$F$22,0)+IF(IF(Paths!$E$22=0,C178=0,AND(C178&gt;0,Paths!$E$22&gt;(C178-1)*12,Paths!$E$22&lt;=C178*12)),VLOOKUP(A178,'Fleet register'!$A$7:$S$106,16,FALSE),0),"n.a."))</f>
        <v>18151.349999999999</v>
      </c>
      <c r="O178" s="16">
        <f>IF(NOT(Paths!$C$22=1),0,IF(Paths!$P$22="Complete",N178-IF(C178=0,Paths!$F$22,0),"n.a."))</f>
        <v>18151.349999999999</v>
      </c>
      <c r="P178" s="16">
        <f>IF(NOT(Paths!$C$22=1),0,IF(Paths!$P$22="Complete",O178+L178,"n.a."))</f>
        <v>18151.349999999999</v>
      </c>
      <c r="Q178" s="16">
        <f>IF(NOT(Paths!$C$22=1),0,IF(Paths!$P$22="Complete",N178*(1+'Operating costs'!$B$54)^-C178,"n.a."))</f>
        <v>18151.349999999999</v>
      </c>
      <c r="R178" s="16">
        <f>IF(NOT(Paths!$C$22=1),0,IF(Paths!$P$22="Complete",IF(AND(C178=0,Paths!$E$22=0),I178-J178-K178+VLOOKUP(A178,'Fleet register'!$A$7:$S$106,15,FALSE)+VLOOKUP(A178,'Fleet register'!$A$7:$S$106,16,FALSE),0),"n.a."))</f>
        <v>0</v>
      </c>
      <c r="S178" s="1">
        <f>IF(NOT(Paths!$C$22=1),0,IF(Paths!$P$22="Complete",IF(C178=0,0,Paths!$S$22*Paths!$R$22),"n.a."))</f>
        <v>45000</v>
      </c>
      <c r="T178" s="1">
        <f>IF(NOT(Paths!$C$22=1),0,IF(Paths!$P$22="Complete",IF(C178=0,0,VLOOKUP(A178,'Fleet register'!$A$7:$S$106,9,FALSE)*Paths!$R$22),"n.a."))</f>
        <v>7200</v>
      </c>
    </row>
    <row r="179" spans="1:20" ht="24" customHeight="1">
      <c r="A179" s="1" t="str">
        <f>Paths!$A$22</f>
        <v>T004</v>
      </c>
      <c r="B179" s="1">
        <f>Paths!$B$22</f>
        <v>3</v>
      </c>
      <c r="C179" s="1">
        <v>7</v>
      </c>
      <c r="D179" s="1">
        <v>22</v>
      </c>
      <c r="E179" s="1">
        <f>IF(OR(Paths!$C$22=0,C179=0),0,MAX(0,MIN(C179*12,Paths!$E$22)-(C179-1)*12))</f>
        <v>0</v>
      </c>
      <c r="F179" s="1">
        <f>IF(OR(Paths!$C$22=0,C179=0),0,12-E179)</f>
        <v>12</v>
      </c>
      <c r="G179" s="16">
        <f>IF(NOT(Paths!$C$22=1),0,IF(Paths!$P$22="Complete",E179/12*(Paths!$J$22*(1+'Operating costs'!$B$51)^MAX(0,C179-1)+Paths!$K$22*(1+'Operating costs'!$B$53)^MAX(0,C179-1)),"n.a."))</f>
        <v>0</v>
      </c>
      <c r="H179" s="16">
        <f>IF(NOT(Paths!$C$22=1),0,IF(Paths!$P$22="Complete",F179/12*(Paths!$L$22*(1+IF(Paths!$D$22="EV",'Operating costs'!$B$52,'Operating costs'!$B$51))^MAX(0,C179-1)+Paths!$M$22*(1+'Operating costs'!$B$53)^MAX(0,C179-1)),"n.a."))</f>
        <v>18151.349999999999</v>
      </c>
      <c r="I179" s="16">
        <f>IF(NOT(Paths!$C$22=1),0,IF(Paths!$P$22="Complete",IF(IF(Paths!$E$22=0,C179=0,AND(C179&gt;0,Paths!$E$22&gt;(C179-1)*12,Paths!$E$22&lt;=C179*12)),Paths!$G$22,0),"n.a."))</f>
        <v>0</v>
      </c>
      <c r="J179" s="16">
        <f>IF(NOT(Paths!$C$22=1),0,IF(Paths!$P$22="Complete",IF(IF(Paths!$E$22=0,C179=0,AND(C179&gt;0,Paths!$E$22&gt;(C179-1)*12,Paths!$E$22&lt;=C179*12)),Paths!$H$22,0),"n.a."))</f>
        <v>0</v>
      </c>
      <c r="K179" s="16">
        <f>IF(NOT(Paths!$C$22=1),0,IF(Paths!$P$22="Complete",IF(IF(Paths!$O$22=0,C179=0,AND(C179&gt;0,Paths!$O$22&gt;(C179-1)*12,Paths!$O$22&lt;=C179*12)),Paths!$N$22,0),"n.a."))</f>
        <v>0</v>
      </c>
      <c r="L179" s="16">
        <f>IF(NOT(Paths!$C$22=1),0,IF(Paths!$P$22="Complete",IF(C179=10,Paths!$I$22,0),"n.a."))</f>
        <v>0</v>
      </c>
      <c r="M179" s="16">
        <f>IF(NOT(Paths!$C$22=1),0,IF(Paths!$P$22="Complete",IF(AND(Paths!$D$22="EV",Paths!$E$22&lt;120,Paths!$E$22+'Operating costs'!$B$65&gt;Paths!$E$22,Paths!$E$22+'Operating costs'!$B$65&lt;=120,IF(Paths!$E$22+'Operating costs'!$B$65=0,C179=0,AND(C179&gt;0,Paths!$E$22+'Operating costs'!$B$65&gt;(C179-1)*12,Paths!$E$22+'Operating costs'!$B$65&lt;=C179*12))),'Operating costs'!$B$64,0)+IF(AND('Operating costs'!$B$67&gt;0,'Operating costs'!$B$67&lt;=120,OR(Paths!$D$22="ICE",'Operating costs'!$B$67&lt;=Paths!$E$22),IF('Operating costs'!$B$67=0,C179=0,AND(C179&gt;0,'Operating costs'!$B$67&gt;(C179-1)*12,'Operating costs'!$B$67&lt;=C179*12))),'Operating costs'!$B$66,0),"n.a."))</f>
        <v>0</v>
      </c>
      <c r="N179" s="16">
        <f>IF(NOT(Paths!$C$22=1),0,IF(Paths!$P$22="Complete",SUM(G179:I179)-J179-K179-L179+M179+IF(C179=0,Paths!$F$22,0)+IF(IF(Paths!$E$22=0,C179=0,AND(C179&gt;0,Paths!$E$22&gt;(C179-1)*12,Paths!$E$22&lt;=C179*12)),VLOOKUP(A179,'Fleet register'!$A$7:$S$106,16,FALSE),0),"n.a."))</f>
        <v>18151.349999999999</v>
      </c>
      <c r="O179" s="16">
        <f>IF(NOT(Paths!$C$22=1),0,IF(Paths!$P$22="Complete",N179-IF(C179=0,Paths!$F$22,0),"n.a."))</f>
        <v>18151.349999999999</v>
      </c>
      <c r="P179" s="16">
        <f>IF(NOT(Paths!$C$22=1),0,IF(Paths!$P$22="Complete",O179+L179,"n.a."))</f>
        <v>18151.349999999999</v>
      </c>
      <c r="Q179" s="16">
        <f>IF(NOT(Paths!$C$22=1),0,IF(Paths!$P$22="Complete",N179*(1+'Operating costs'!$B$54)^-C179,"n.a."))</f>
        <v>18151.349999999999</v>
      </c>
      <c r="R179" s="16">
        <f>IF(NOT(Paths!$C$22=1),0,IF(Paths!$P$22="Complete",IF(AND(C179=0,Paths!$E$22=0),I179-J179-K179+VLOOKUP(A179,'Fleet register'!$A$7:$S$106,15,FALSE)+VLOOKUP(A179,'Fleet register'!$A$7:$S$106,16,FALSE),0),"n.a."))</f>
        <v>0</v>
      </c>
      <c r="S179" s="1">
        <f>IF(NOT(Paths!$C$22=1),0,IF(Paths!$P$22="Complete",IF(C179=0,0,Paths!$S$22*Paths!$R$22),"n.a."))</f>
        <v>45000</v>
      </c>
      <c r="T179" s="1">
        <f>IF(NOT(Paths!$C$22=1),0,IF(Paths!$P$22="Complete",IF(C179=0,0,VLOOKUP(A179,'Fleet register'!$A$7:$S$106,9,FALSE)*Paths!$R$22),"n.a."))</f>
        <v>7200</v>
      </c>
    </row>
    <row r="180" spans="1:20" ht="24" customHeight="1">
      <c r="A180" s="1" t="str">
        <f>Paths!$A$22</f>
        <v>T004</v>
      </c>
      <c r="B180" s="1">
        <f>Paths!$B$22</f>
        <v>3</v>
      </c>
      <c r="C180" s="1">
        <v>8</v>
      </c>
      <c r="D180" s="1">
        <v>22</v>
      </c>
      <c r="E180" s="1">
        <f>IF(OR(Paths!$C$22=0,C180=0),0,MAX(0,MIN(C180*12,Paths!$E$22)-(C180-1)*12))</f>
        <v>0</v>
      </c>
      <c r="F180" s="1">
        <f>IF(OR(Paths!$C$22=0,C180=0),0,12-E180)</f>
        <v>12</v>
      </c>
      <c r="G180" s="16">
        <f>IF(NOT(Paths!$C$22=1),0,IF(Paths!$P$22="Complete",E180/12*(Paths!$J$22*(1+'Operating costs'!$B$51)^MAX(0,C180-1)+Paths!$K$22*(1+'Operating costs'!$B$53)^MAX(0,C180-1)),"n.a."))</f>
        <v>0</v>
      </c>
      <c r="H180" s="16">
        <f>IF(NOT(Paths!$C$22=1),0,IF(Paths!$P$22="Complete",F180/12*(Paths!$L$22*(1+IF(Paths!$D$22="EV",'Operating costs'!$B$52,'Operating costs'!$B$51))^MAX(0,C180-1)+Paths!$M$22*(1+'Operating costs'!$B$53)^MAX(0,C180-1)),"n.a."))</f>
        <v>18151.349999999999</v>
      </c>
      <c r="I180" s="16">
        <f>IF(NOT(Paths!$C$22=1),0,IF(Paths!$P$22="Complete",IF(IF(Paths!$E$22=0,C180=0,AND(C180&gt;0,Paths!$E$22&gt;(C180-1)*12,Paths!$E$22&lt;=C180*12)),Paths!$G$22,0),"n.a."))</f>
        <v>0</v>
      </c>
      <c r="J180" s="16">
        <f>IF(NOT(Paths!$C$22=1),0,IF(Paths!$P$22="Complete",IF(IF(Paths!$E$22=0,C180=0,AND(C180&gt;0,Paths!$E$22&gt;(C180-1)*12,Paths!$E$22&lt;=C180*12)),Paths!$H$22,0),"n.a."))</f>
        <v>0</v>
      </c>
      <c r="K180" s="16">
        <f>IF(NOT(Paths!$C$22=1),0,IF(Paths!$P$22="Complete",IF(IF(Paths!$O$22=0,C180=0,AND(C180&gt;0,Paths!$O$22&gt;(C180-1)*12,Paths!$O$22&lt;=C180*12)),Paths!$N$22,0),"n.a."))</f>
        <v>0</v>
      </c>
      <c r="L180" s="16">
        <f>IF(NOT(Paths!$C$22=1),0,IF(Paths!$P$22="Complete",IF(C180=10,Paths!$I$22,0),"n.a."))</f>
        <v>0</v>
      </c>
      <c r="M180" s="16">
        <f>IF(NOT(Paths!$C$22=1),0,IF(Paths!$P$22="Complete",IF(AND(Paths!$D$22="EV",Paths!$E$22&lt;120,Paths!$E$22+'Operating costs'!$B$65&gt;Paths!$E$22,Paths!$E$22+'Operating costs'!$B$65&lt;=120,IF(Paths!$E$22+'Operating costs'!$B$65=0,C180=0,AND(C180&gt;0,Paths!$E$22+'Operating costs'!$B$65&gt;(C180-1)*12,Paths!$E$22+'Operating costs'!$B$65&lt;=C180*12))),'Operating costs'!$B$64,0)+IF(AND('Operating costs'!$B$67&gt;0,'Operating costs'!$B$67&lt;=120,OR(Paths!$D$22="ICE",'Operating costs'!$B$67&lt;=Paths!$E$22),IF('Operating costs'!$B$67=0,C180=0,AND(C180&gt;0,'Operating costs'!$B$67&gt;(C180-1)*12,'Operating costs'!$B$67&lt;=C180*12))),'Operating costs'!$B$66,0),"n.a."))</f>
        <v>0</v>
      </c>
      <c r="N180" s="16">
        <f>IF(NOT(Paths!$C$22=1),0,IF(Paths!$P$22="Complete",SUM(G180:I180)-J180-K180-L180+M180+IF(C180=0,Paths!$F$22,0)+IF(IF(Paths!$E$22=0,C180=0,AND(C180&gt;0,Paths!$E$22&gt;(C180-1)*12,Paths!$E$22&lt;=C180*12)),VLOOKUP(A180,'Fleet register'!$A$7:$S$106,16,FALSE),0),"n.a."))</f>
        <v>18151.349999999999</v>
      </c>
      <c r="O180" s="16">
        <f>IF(NOT(Paths!$C$22=1),0,IF(Paths!$P$22="Complete",N180-IF(C180=0,Paths!$F$22,0),"n.a."))</f>
        <v>18151.349999999999</v>
      </c>
      <c r="P180" s="16">
        <f>IF(NOT(Paths!$C$22=1),0,IF(Paths!$P$22="Complete",O180+L180,"n.a."))</f>
        <v>18151.349999999999</v>
      </c>
      <c r="Q180" s="16">
        <f>IF(NOT(Paths!$C$22=1),0,IF(Paths!$P$22="Complete",N180*(1+'Operating costs'!$B$54)^-C180,"n.a."))</f>
        <v>18151.349999999999</v>
      </c>
      <c r="R180" s="16">
        <f>IF(NOT(Paths!$C$22=1),0,IF(Paths!$P$22="Complete",IF(AND(C180=0,Paths!$E$22=0),I180-J180-K180+VLOOKUP(A180,'Fleet register'!$A$7:$S$106,15,FALSE)+VLOOKUP(A180,'Fleet register'!$A$7:$S$106,16,FALSE),0),"n.a."))</f>
        <v>0</v>
      </c>
      <c r="S180" s="1">
        <f>IF(NOT(Paths!$C$22=1),0,IF(Paths!$P$22="Complete",IF(C180=0,0,Paths!$S$22*Paths!$R$22),"n.a."))</f>
        <v>45000</v>
      </c>
      <c r="T180" s="1">
        <f>IF(NOT(Paths!$C$22=1),0,IF(Paths!$P$22="Complete",IF(C180=0,0,VLOOKUP(A180,'Fleet register'!$A$7:$S$106,9,FALSE)*Paths!$R$22),"n.a."))</f>
        <v>7200</v>
      </c>
    </row>
    <row r="181" spans="1:20" ht="24" customHeight="1">
      <c r="A181" s="1" t="str">
        <f>Paths!$A$22</f>
        <v>T004</v>
      </c>
      <c r="B181" s="1">
        <f>Paths!$B$22</f>
        <v>3</v>
      </c>
      <c r="C181" s="1">
        <v>9</v>
      </c>
      <c r="D181" s="1">
        <v>22</v>
      </c>
      <c r="E181" s="1">
        <f>IF(OR(Paths!$C$22=0,C181=0),0,MAX(0,MIN(C181*12,Paths!$E$22)-(C181-1)*12))</f>
        <v>0</v>
      </c>
      <c r="F181" s="1">
        <f>IF(OR(Paths!$C$22=0,C181=0),0,12-E181)</f>
        <v>12</v>
      </c>
      <c r="G181" s="16">
        <f>IF(NOT(Paths!$C$22=1),0,IF(Paths!$P$22="Complete",E181/12*(Paths!$J$22*(1+'Operating costs'!$B$51)^MAX(0,C181-1)+Paths!$K$22*(1+'Operating costs'!$B$53)^MAX(0,C181-1)),"n.a."))</f>
        <v>0</v>
      </c>
      <c r="H181" s="16">
        <f>IF(NOT(Paths!$C$22=1),0,IF(Paths!$P$22="Complete",F181/12*(Paths!$L$22*(1+IF(Paths!$D$22="EV",'Operating costs'!$B$52,'Operating costs'!$B$51))^MAX(0,C181-1)+Paths!$M$22*(1+'Operating costs'!$B$53)^MAX(0,C181-1)),"n.a."))</f>
        <v>18151.349999999999</v>
      </c>
      <c r="I181" s="16">
        <f>IF(NOT(Paths!$C$22=1),0,IF(Paths!$P$22="Complete",IF(IF(Paths!$E$22=0,C181=0,AND(C181&gt;0,Paths!$E$22&gt;(C181-1)*12,Paths!$E$22&lt;=C181*12)),Paths!$G$22,0),"n.a."))</f>
        <v>0</v>
      </c>
      <c r="J181" s="16">
        <f>IF(NOT(Paths!$C$22=1),0,IF(Paths!$P$22="Complete",IF(IF(Paths!$E$22=0,C181=0,AND(C181&gt;0,Paths!$E$22&gt;(C181-1)*12,Paths!$E$22&lt;=C181*12)),Paths!$H$22,0),"n.a."))</f>
        <v>0</v>
      </c>
      <c r="K181" s="16">
        <f>IF(NOT(Paths!$C$22=1),0,IF(Paths!$P$22="Complete",IF(IF(Paths!$O$22=0,C181=0,AND(C181&gt;0,Paths!$O$22&gt;(C181-1)*12,Paths!$O$22&lt;=C181*12)),Paths!$N$22,0),"n.a."))</f>
        <v>0</v>
      </c>
      <c r="L181" s="16">
        <f>IF(NOT(Paths!$C$22=1),0,IF(Paths!$P$22="Complete",IF(C181=10,Paths!$I$22,0),"n.a."))</f>
        <v>0</v>
      </c>
      <c r="M181" s="16">
        <f>IF(NOT(Paths!$C$22=1),0,IF(Paths!$P$22="Complete",IF(AND(Paths!$D$22="EV",Paths!$E$22&lt;120,Paths!$E$22+'Operating costs'!$B$65&gt;Paths!$E$22,Paths!$E$22+'Operating costs'!$B$65&lt;=120,IF(Paths!$E$22+'Operating costs'!$B$65=0,C181=0,AND(C181&gt;0,Paths!$E$22+'Operating costs'!$B$65&gt;(C181-1)*12,Paths!$E$22+'Operating costs'!$B$65&lt;=C181*12))),'Operating costs'!$B$64,0)+IF(AND('Operating costs'!$B$67&gt;0,'Operating costs'!$B$67&lt;=120,OR(Paths!$D$22="ICE",'Operating costs'!$B$67&lt;=Paths!$E$22),IF('Operating costs'!$B$67=0,C181=0,AND(C181&gt;0,'Operating costs'!$B$67&gt;(C181-1)*12,'Operating costs'!$B$67&lt;=C181*12))),'Operating costs'!$B$66,0),"n.a."))</f>
        <v>0</v>
      </c>
      <c r="N181" s="16">
        <f>IF(NOT(Paths!$C$22=1),0,IF(Paths!$P$22="Complete",SUM(G181:I181)-J181-K181-L181+M181+IF(C181=0,Paths!$F$22,0)+IF(IF(Paths!$E$22=0,C181=0,AND(C181&gt;0,Paths!$E$22&gt;(C181-1)*12,Paths!$E$22&lt;=C181*12)),VLOOKUP(A181,'Fleet register'!$A$7:$S$106,16,FALSE),0),"n.a."))</f>
        <v>18151.349999999999</v>
      </c>
      <c r="O181" s="16">
        <f>IF(NOT(Paths!$C$22=1),0,IF(Paths!$P$22="Complete",N181-IF(C181=0,Paths!$F$22,0),"n.a."))</f>
        <v>18151.349999999999</v>
      </c>
      <c r="P181" s="16">
        <f>IF(NOT(Paths!$C$22=1),0,IF(Paths!$P$22="Complete",O181+L181,"n.a."))</f>
        <v>18151.349999999999</v>
      </c>
      <c r="Q181" s="16">
        <f>IF(NOT(Paths!$C$22=1),0,IF(Paths!$P$22="Complete",N181*(1+'Operating costs'!$B$54)^-C181,"n.a."))</f>
        <v>18151.349999999999</v>
      </c>
      <c r="R181" s="16">
        <f>IF(NOT(Paths!$C$22=1),0,IF(Paths!$P$22="Complete",IF(AND(C181=0,Paths!$E$22=0),I181-J181-K181+VLOOKUP(A181,'Fleet register'!$A$7:$S$106,15,FALSE)+VLOOKUP(A181,'Fleet register'!$A$7:$S$106,16,FALSE),0),"n.a."))</f>
        <v>0</v>
      </c>
      <c r="S181" s="1">
        <f>IF(NOT(Paths!$C$22=1),0,IF(Paths!$P$22="Complete",IF(C181=0,0,Paths!$S$22*Paths!$R$22),"n.a."))</f>
        <v>45000</v>
      </c>
      <c r="T181" s="1">
        <f>IF(NOT(Paths!$C$22=1),0,IF(Paths!$P$22="Complete",IF(C181=0,0,VLOOKUP(A181,'Fleet register'!$A$7:$S$106,9,FALSE)*Paths!$R$22),"n.a."))</f>
        <v>7200</v>
      </c>
    </row>
    <row r="182" spans="1:20" ht="24" customHeight="1">
      <c r="A182" s="1" t="str">
        <f>Paths!$A$22</f>
        <v>T004</v>
      </c>
      <c r="B182" s="1">
        <f>Paths!$B$22</f>
        <v>3</v>
      </c>
      <c r="C182" s="1">
        <v>10</v>
      </c>
      <c r="D182" s="1">
        <v>22</v>
      </c>
      <c r="E182" s="1">
        <f>IF(OR(Paths!$C$22=0,C182=0),0,MAX(0,MIN(C182*12,Paths!$E$22)-(C182-1)*12))</f>
        <v>0</v>
      </c>
      <c r="F182" s="1">
        <f>IF(OR(Paths!$C$22=0,C182=0),0,12-E182)</f>
        <v>12</v>
      </c>
      <c r="G182" s="16">
        <f>IF(NOT(Paths!$C$22=1),0,IF(Paths!$P$22="Complete",E182/12*(Paths!$J$22*(1+'Operating costs'!$B$51)^MAX(0,C182-1)+Paths!$K$22*(1+'Operating costs'!$B$53)^MAX(0,C182-1)),"n.a."))</f>
        <v>0</v>
      </c>
      <c r="H182" s="16">
        <f>IF(NOT(Paths!$C$22=1),0,IF(Paths!$P$22="Complete",F182/12*(Paths!$L$22*(1+IF(Paths!$D$22="EV",'Operating costs'!$B$52,'Operating costs'!$B$51))^MAX(0,C182-1)+Paths!$M$22*(1+'Operating costs'!$B$53)^MAX(0,C182-1)),"n.a."))</f>
        <v>18151.349999999999</v>
      </c>
      <c r="I182" s="16">
        <f>IF(NOT(Paths!$C$22=1),0,IF(Paths!$P$22="Complete",IF(IF(Paths!$E$22=0,C182=0,AND(C182&gt;0,Paths!$E$22&gt;(C182-1)*12,Paths!$E$22&lt;=C182*12)),Paths!$G$22,0),"n.a."))</f>
        <v>0</v>
      </c>
      <c r="J182" s="16">
        <f>IF(NOT(Paths!$C$22=1),0,IF(Paths!$P$22="Complete",IF(IF(Paths!$E$22=0,C182=0,AND(C182&gt;0,Paths!$E$22&gt;(C182-1)*12,Paths!$E$22&lt;=C182*12)),Paths!$H$22,0),"n.a."))</f>
        <v>0</v>
      </c>
      <c r="K182" s="16">
        <f>IF(NOT(Paths!$C$22=1),0,IF(Paths!$P$22="Complete",IF(IF(Paths!$O$22=0,C182=0,AND(C182&gt;0,Paths!$O$22&gt;(C182-1)*12,Paths!$O$22&lt;=C182*12)),Paths!$N$22,0),"n.a."))</f>
        <v>0</v>
      </c>
      <c r="L182" s="16">
        <f>IF(NOT(Paths!$C$22=1),0,IF(Paths!$P$22="Complete",IF(C182=10,Paths!$I$22,0),"n.a."))</f>
        <v>49200</v>
      </c>
      <c r="M182" s="16">
        <f>IF(NOT(Paths!$C$22=1),0,IF(Paths!$P$22="Complete",IF(AND(Paths!$D$22="EV",Paths!$E$22&lt;120,Paths!$E$22+'Operating costs'!$B$65&gt;Paths!$E$22,Paths!$E$22+'Operating costs'!$B$65&lt;=120,IF(Paths!$E$22+'Operating costs'!$B$65=0,C182=0,AND(C182&gt;0,Paths!$E$22+'Operating costs'!$B$65&gt;(C182-1)*12,Paths!$E$22+'Operating costs'!$B$65&lt;=C182*12))),'Operating costs'!$B$64,0)+IF(AND('Operating costs'!$B$67&gt;0,'Operating costs'!$B$67&lt;=120,OR(Paths!$D$22="ICE",'Operating costs'!$B$67&lt;=Paths!$E$22),IF('Operating costs'!$B$67=0,C182=0,AND(C182&gt;0,'Operating costs'!$B$67&gt;(C182-1)*12,'Operating costs'!$B$67&lt;=C182*12))),'Operating costs'!$B$66,0),"n.a."))</f>
        <v>0</v>
      </c>
      <c r="N182" s="16">
        <f>IF(NOT(Paths!$C$22=1),0,IF(Paths!$P$22="Complete",SUM(G182:I182)-J182-K182-L182+M182+IF(C182=0,Paths!$F$22,0)+IF(IF(Paths!$E$22=0,C182=0,AND(C182&gt;0,Paths!$E$22&gt;(C182-1)*12,Paths!$E$22&lt;=C182*12)),VLOOKUP(A182,'Fleet register'!$A$7:$S$106,16,FALSE),0),"n.a."))</f>
        <v>-31048.65</v>
      </c>
      <c r="O182" s="16">
        <f>IF(NOT(Paths!$C$22=1),0,IF(Paths!$P$22="Complete",N182-IF(C182=0,Paths!$F$22,0),"n.a."))</f>
        <v>-31048.65</v>
      </c>
      <c r="P182" s="16">
        <f>IF(NOT(Paths!$C$22=1),0,IF(Paths!$P$22="Complete",O182+L182,"n.a."))</f>
        <v>18151.349999999999</v>
      </c>
      <c r="Q182" s="16">
        <f>IF(NOT(Paths!$C$22=1),0,IF(Paths!$P$22="Complete",N182*(1+'Operating costs'!$B$54)^-C182,"n.a."))</f>
        <v>-31048.65</v>
      </c>
      <c r="R182" s="16">
        <f>IF(NOT(Paths!$C$22=1),0,IF(Paths!$P$22="Complete",IF(AND(C182=0,Paths!$E$22=0),I182-J182-K182+VLOOKUP(A182,'Fleet register'!$A$7:$S$106,15,FALSE)+VLOOKUP(A182,'Fleet register'!$A$7:$S$106,16,FALSE),0),"n.a."))</f>
        <v>0</v>
      </c>
      <c r="S182" s="1">
        <f>IF(NOT(Paths!$C$22=1),0,IF(Paths!$P$22="Complete",IF(C182=0,0,Paths!$S$22*Paths!$R$22),"n.a."))</f>
        <v>45000</v>
      </c>
      <c r="T182" s="1">
        <f>IF(NOT(Paths!$C$22=1),0,IF(Paths!$P$22="Complete",IF(C182=0,0,VLOOKUP(A182,'Fleet register'!$A$7:$S$106,9,FALSE)*Paths!$R$22),"n.a."))</f>
        <v>7200</v>
      </c>
    </row>
    <row r="183" spans="1:20" ht="24" customHeight="1">
      <c r="A183" s="1" t="str">
        <f>Paths!$A$23</f>
        <v>T005</v>
      </c>
      <c r="B183" s="1">
        <f>Paths!$B$23</f>
        <v>0</v>
      </c>
      <c r="C183" s="1">
        <v>0</v>
      </c>
      <c r="D183" s="1">
        <v>23</v>
      </c>
      <c r="E183" s="1">
        <f>IF(OR(Paths!$C$23=0,C183=0),0,MAX(0,MIN(C183*12,Paths!$E$23)-(C183-1)*12))</f>
        <v>0</v>
      </c>
      <c r="F183" s="1">
        <f>IF(OR(Paths!$C$23=0,C183=0),0,12-E183)</f>
        <v>0</v>
      </c>
      <c r="G183" s="16">
        <f>IF(NOT(Paths!$C$23=1),0,IF(Paths!$P$23="Complete",E183/12*(Paths!$J$23*(1+'Operating costs'!$B$51)^MAX(0,C183-1)+Paths!$K$23*(1+'Operating costs'!$B$53)^MAX(0,C183-1)),"n.a."))</f>
        <v>0</v>
      </c>
      <c r="H183" s="16">
        <f>IF(NOT(Paths!$C$23=1),0,IF(Paths!$P$23="Complete",F183/12*(Paths!$L$23*(1+IF(Paths!$D$23="EV",'Operating costs'!$B$52,'Operating costs'!$B$51))^MAX(0,C183-1)+Paths!$M$23*(1+'Operating costs'!$B$53)^MAX(0,C183-1)),"n.a."))</f>
        <v>0</v>
      </c>
      <c r="I183" s="16">
        <f>IF(NOT(Paths!$C$23=1),0,IF(Paths!$P$23="Complete",IF(IF(Paths!$E$23=0,C183=0,AND(C183&gt;0,Paths!$E$23&gt;(C183-1)*12,Paths!$E$23&lt;=C183*12)),Paths!$G$23,0),"n.a."))</f>
        <v>0</v>
      </c>
      <c r="J183" s="16">
        <f>IF(NOT(Paths!$C$23=1),0,IF(Paths!$P$23="Complete",IF(IF(Paths!$E$23=0,C183=0,AND(C183&gt;0,Paths!$E$23&gt;(C183-1)*12,Paths!$E$23&lt;=C183*12)),Paths!$H$23,0),"n.a."))</f>
        <v>0</v>
      </c>
      <c r="K183" s="16">
        <f>IF(NOT(Paths!$C$23=1),0,IF(Paths!$P$23="Complete",IF(IF(Paths!$O$23=0,C183=0,AND(C183&gt;0,Paths!$O$23&gt;(C183-1)*12,Paths!$O$23&lt;=C183*12)),Paths!$N$23,0),"n.a."))</f>
        <v>0</v>
      </c>
      <c r="L183" s="16">
        <f>IF(NOT(Paths!$C$23=1),0,IF(Paths!$P$23="Complete",IF(C183=10,Paths!$I$23,0),"n.a."))</f>
        <v>0</v>
      </c>
      <c r="M183" s="16">
        <f>IF(NOT(Paths!$C$23=1),0,IF(Paths!$P$23="Complete",IF(AND(Paths!$D$23="EV",Paths!$E$23&lt;120,Paths!$E$23+'Operating costs'!$B$65&gt;Paths!$E$23,Paths!$E$23+'Operating costs'!$B$65&lt;=120,IF(Paths!$E$23+'Operating costs'!$B$65=0,C183=0,AND(C183&gt;0,Paths!$E$23+'Operating costs'!$B$65&gt;(C183-1)*12,Paths!$E$23+'Operating costs'!$B$65&lt;=C183*12))),'Operating costs'!$B$64,0)+IF(AND('Operating costs'!$B$67&gt;0,'Operating costs'!$B$67&lt;=120,OR(Paths!$D$23="ICE",'Operating costs'!$B$67&lt;=Paths!$E$23),IF('Operating costs'!$B$67=0,C183=0,AND(C183&gt;0,'Operating costs'!$B$67&gt;(C183-1)*12,'Operating costs'!$B$67&lt;=C183*12))),'Operating costs'!$B$66,0),"n.a."))</f>
        <v>0</v>
      </c>
      <c r="N183" s="16">
        <f>IF(NOT(Paths!$C$23=1),0,IF(Paths!$P$23="Complete",SUM(G183:I183)-J183-K183-L183+M183+IF(C183=0,Paths!$F$23,0)+IF(IF(Paths!$E$23=0,C183=0,AND(C183&gt;0,Paths!$E$23&gt;(C183-1)*12,Paths!$E$23&lt;=C183*12)),VLOOKUP(A183,'Fleet register'!$A$7:$S$106,16,FALSE),0),"n.a."))</f>
        <v>48000</v>
      </c>
      <c r="O183" s="16">
        <f>IF(NOT(Paths!$C$23=1),0,IF(Paths!$P$23="Complete",N183-IF(C183=0,Paths!$F$23,0),"n.a."))</f>
        <v>0</v>
      </c>
      <c r="P183" s="16">
        <f>IF(NOT(Paths!$C$23=1),0,IF(Paths!$P$23="Complete",O183+L183,"n.a."))</f>
        <v>0</v>
      </c>
      <c r="Q183" s="16">
        <f>IF(NOT(Paths!$C$23=1),0,IF(Paths!$P$23="Complete",N183*(1+'Operating costs'!$B$54)^-C183,"n.a."))</f>
        <v>48000</v>
      </c>
      <c r="R183" s="16">
        <f>IF(NOT(Paths!$C$23=1),0,IF(Paths!$P$23="Complete",IF(AND(C183=0,Paths!$E$23=0),I183-J183-K183+VLOOKUP(A183,'Fleet register'!$A$7:$S$106,15,FALSE)+VLOOKUP(A183,'Fleet register'!$A$7:$S$106,16,FALSE),0),"n.a."))</f>
        <v>0</v>
      </c>
      <c r="S183" s="1">
        <f>IF(NOT(Paths!$C$23=1),0,IF(Paths!$P$23="Complete",IF(C183=0,0,Paths!$S$23*Paths!$R$23),"n.a."))</f>
        <v>0</v>
      </c>
      <c r="T183" s="1">
        <f>IF(NOT(Paths!$C$23=1),0,IF(Paths!$P$23="Complete",IF(C183=0,0,VLOOKUP(A183,'Fleet register'!$A$7:$S$106,9,FALSE)*Paths!$R$23),"n.a."))</f>
        <v>0</v>
      </c>
    </row>
    <row r="184" spans="1:20" ht="24" customHeight="1">
      <c r="A184" s="1" t="str">
        <f>Paths!$A$23</f>
        <v>T005</v>
      </c>
      <c r="B184" s="1">
        <f>Paths!$B$23</f>
        <v>0</v>
      </c>
      <c r="C184" s="1">
        <v>1</v>
      </c>
      <c r="D184" s="1">
        <v>23</v>
      </c>
      <c r="E184" s="1">
        <f>IF(OR(Paths!$C$23=0,C184=0),0,MAX(0,MIN(C184*12,Paths!$E$23)-(C184-1)*12))</f>
        <v>12</v>
      </c>
      <c r="F184" s="1">
        <f>IF(OR(Paths!$C$23=0,C184=0),0,12-E184)</f>
        <v>0</v>
      </c>
      <c r="G184" s="16">
        <f>IF(NOT(Paths!$C$23=1),0,IF(Paths!$P$23="Complete",E184/12*(Paths!$J$23*(1+'Operating costs'!$B$51)^MAX(0,C184-1)+Paths!$K$23*(1+'Operating costs'!$B$53)^MAX(0,C184-1)),"n.a."))</f>
        <v>18151.349999999999</v>
      </c>
      <c r="H184" s="16">
        <f>IF(NOT(Paths!$C$23=1),0,IF(Paths!$P$23="Complete",F184/12*(Paths!$L$23*(1+IF(Paths!$D$23="EV",'Operating costs'!$B$52,'Operating costs'!$B$51))^MAX(0,C184-1)+Paths!$M$23*(1+'Operating costs'!$B$53)^MAX(0,C184-1)),"n.a."))</f>
        <v>0</v>
      </c>
      <c r="I184" s="16">
        <f>IF(NOT(Paths!$C$23=1),0,IF(Paths!$P$23="Complete",IF(IF(Paths!$E$23=0,C184=0,AND(C184&gt;0,Paths!$E$23&gt;(C184-1)*12,Paths!$E$23&lt;=C184*12)),Paths!$G$23,0),"n.a."))</f>
        <v>0</v>
      </c>
      <c r="J184" s="16">
        <f>IF(NOT(Paths!$C$23=1),0,IF(Paths!$P$23="Complete",IF(IF(Paths!$E$23=0,C184=0,AND(C184&gt;0,Paths!$E$23&gt;(C184-1)*12,Paths!$E$23&lt;=C184*12)),Paths!$H$23,0),"n.a."))</f>
        <v>0</v>
      </c>
      <c r="K184" s="16">
        <f>IF(NOT(Paths!$C$23=1),0,IF(Paths!$P$23="Complete",IF(IF(Paths!$O$23=0,C184=0,AND(C184&gt;0,Paths!$O$23&gt;(C184-1)*12,Paths!$O$23&lt;=C184*12)),Paths!$N$23,0),"n.a."))</f>
        <v>0</v>
      </c>
      <c r="L184" s="16">
        <f>IF(NOT(Paths!$C$23=1),0,IF(Paths!$P$23="Complete",IF(C184=10,Paths!$I$23,0),"n.a."))</f>
        <v>0</v>
      </c>
      <c r="M184" s="16">
        <f>IF(NOT(Paths!$C$23=1),0,IF(Paths!$P$23="Complete",IF(AND(Paths!$D$23="EV",Paths!$E$23&lt;120,Paths!$E$23+'Operating costs'!$B$65&gt;Paths!$E$23,Paths!$E$23+'Operating costs'!$B$65&lt;=120,IF(Paths!$E$23+'Operating costs'!$B$65=0,C184=0,AND(C184&gt;0,Paths!$E$23+'Operating costs'!$B$65&gt;(C184-1)*12,Paths!$E$23+'Operating costs'!$B$65&lt;=C184*12))),'Operating costs'!$B$64,0)+IF(AND('Operating costs'!$B$67&gt;0,'Operating costs'!$B$67&lt;=120,OR(Paths!$D$23="ICE",'Operating costs'!$B$67&lt;=Paths!$E$23),IF('Operating costs'!$B$67=0,C184=0,AND(C184&gt;0,'Operating costs'!$B$67&gt;(C184-1)*12,'Operating costs'!$B$67&lt;=C184*12))),'Operating costs'!$B$66,0),"n.a."))</f>
        <v>0</v>
      </c>
      <c r="N184" s="16">
        <f>IF(NOT(Paths!$C$23=1),0,IF(Paths!$P$23="Complete",SUM(G184:I184)-J184-K184-L184+M184+IF(C184=0,Paths!$F$23,0)+IF(IF(Paths!$E$23=0,C184=0,AND(C184&gt;0,Paths!$E$23&gt;(C184-1)*12,Paths!$E$23&lt;=C184*12)),VLOOKUP(A184,'Fleet register'!$A$7:$S$106,16,FALSE),0),"n.a."))</f>
        <v>18151.349999999999</v>
      </c>
      <c r="O184" s="16">
        <f>IF(NOT(Paths!$C$23=1),0,IF(Paths!$P$23="Complete",N184-IF(C184=0,Paths!$F$23,0),"n.a."))</f>
        <v>18151.349999999999</v>
      </c>
      <c r="P184" s="16">
        <f>IF(NOT(Paths!$C$23=1),0,IF(Paths!$P$23="Complete",O184+L184,"n.a."))</f>
        <v>18151.349999999999</v>
      </c>
      <c r="Q184" s="16">
        <f>IF(NOT(Paths!$C$23=1),0,IF(Paths!$P$23="Complete",N184*(1+'Operating costs'!$B$54)^-C184,"n.a."))</f>
        <v>18151.349999999999</v>
      </c>
      <c r="R184" s="16">
        <f>IF(NOT(Paths!$C$23=1),0,IF(Paths!$P$23="Complete",IF(AND(C184=0,Paths!$E$23=0),I184-J184-K184+VLOOKUP(A184,'Fleet register'!$A$7:$S$106,15,FALSE)+VLOOKUP(A184,'Fleet register'!$A$7:$S$106,16,FALSE),0),"n.a."))</f>
        <v>0</v>
      </c>
      <c r="S184" s="1">
        <f>IF(NOT(Paths!$C$23=1),0,IF(Paths!$P$23="Complete",IF(C184=0,0,Paths!$S$23*Paths!$R$23),"n.a."))</f>
        <v>45000</v>
      </c>
      <c r="T184" s="1">
        <f>IF(NOT(Paths!$C$23=1),0,IF(Paths!$P$23="Complete",IF(C184=0,0,VLOOKUP(A184,'Fleet register'!$A$7:$S$106,9,FALSE)*Paths!$R$23),"n.a."))</f>
        <v>7200</v>
      </c>
    </row>
    <row r="185" spans="1:20" ht="24" customHeight="1">
      <c r="A185" s="1" t="str">
        <f>Paths!$A$23</f>
        <v>T005</v>
      </c>
      <c r="B185" s="1">
        <f>Paths!$B$23</f>
        <v>0</v>
      </c>
      <c r="C185" s="1">
        <v>2</v>
      </c>
      <c r="D185" s="1">
        <v>23</v>
      </c>
      <c r="E185" s="1">
        <f>IF(OR(Paths!$C$23=0,C185=0),0,MAX(0,MIN(C185*12,Paths!$E$23)-(C185-1)*12))</f>
        <v>12</v>
      </c>
      <c r="F185" s="1">
        <f>IF(OR(Paths!$C$23=0,C185=0),0,12-E185)</f>
        <v>0</v>
      </c>
      <c r="G185" s="16">
        <f>IF(NOT(Paths!$C$23=1),0,IF(Paths!$P$23="Complete",E185/12*(Paths!$J$23*(1+'Operating costs'!$B$51)^MAX(0,C185-1)+Paths!$K$23*(1+'Operating costs'!$B$53)^MAX(0,C185-1)),"n.a."))</f>
        <v>18151.349999999999</v>
      </c>
      <c r="H185" s="16">
        <f>IF(NOT(Paths!$C$23=1),0,IF(Paths!$P$23="Complete",F185/12*(Paths!$L$23*(1+IF(Paths!$D$23="EV",'Operating costs'!$B$52,'Operating costs'!$B$51))^MAX(0,C185-1)+Paths!$M$23*(1+'Operating costs'!$B$53)^MAX(0,C185-1)),"n.a."))</f>
        <v>0</v>
      </c>
      <c r="I185" s="16">
        <f>IF(NOT(Paths!$C$23=1),0,IF(Paths!$P$23="Complete",IF(IF(Paths!$E$23=0,C185=0,AND(C185&gt;0,Paths!$E$23&gt;(C185-1)*12,Paths!$E$23&lt;=C185*12)),Paths!$G$23,0),"n.a."))</f>
        <v>0</v>
      </c>
      <c r="J185" s="16">
        <f>IF(NOT(Paths!$C$23=1),0,IF(Paths!$P$23="Complete",IF(IF(Paths!$E$23=0,C185=0,AND(C185&gt;0,Paths!$E$23&gt;(C185-1)*12,Paths!$E$23&lt;=C185*12)),Paths!$H$23,0),"n.a."))</f>
        <v>0</v>
      </c>
      <c r="K185" s="16">
        <f>IF(NOT(Paths!$C$23=1),0,IF(Paths!$P$23="Complete",IF(IF(Paths!$O$23=0,C185=0,AND(C185&gt;0,Paths!$O$23&gt;(C185-1)*12,Paths!$O$23&lt;=C185*12)),Paths!$N$23,0),"n.a."))</f>
        <v>0</v>
      </c>
      <c r="L185" s="16">
        <f>IF(NOT(Paths!$C$23=1),0,IF(Paths!$P$23="Complete",IF(C185=10,Paths!$I$23,0),"n.a."))</f>
        <v>0</v>
      </c>
      <c r="M185" s="16">
        <f>IF(NOT(Paths!$C$23=1),0,IF(Paths!$P$23="Complete",IF(AND(Paths!$D$23="EV",Paths!$E$23&lt;120,Paths!$E$23+'Operating costs'!$B$65&gt;Paths!$E$23,Paths!$E$23+'Operating costs'!$B$65&lt;=120,IF(Paths!$E$23+'Operating costs'!$B$65=0,C185=0,AND(C185&gt;0,Paths!$E$23+'Operating costs'!$B$65&gt;(C185-1)*12,Paths!$E$23+'Operating costs'!$B$65&lt;=C185*12))),'Operating costs'!$B$64,0)+IF(AND('Operating costs'!$B$67&gt;0,'Operating costs'!$B$67&lt;=120,OR(Paths!$D$23="ICE",'Operating costs'!$B$67&lt;=Paths!$E$23),IF('Operating costs'!$B$67=0,C185=0,AND(C185&gt;0,'Operating costs'!$B$67&gt;(C185-1)*12,'Operating costs'!$B$67&lt;=C185*12))),'Operating costs'!$B$66,0),"n.a."))</f>
        <v>0</v>
      </c>
      <c r="N185" s="16">
        <f>IF(NOT(Paths!$C$23=1),0,IF(Paths!$P$23="Complete",SUM(G185:I185)-J185-K185-L185+M185+IF(C185=0,Paths!$F$23,0)+IF(IF(Paths!$E$23=0,C185=0,AND(C185&gt;0,Paths!$E$23&gt;(C185-1)*12,Paths!$E$23&lt;=C185*12)),VLOOKUP(A185,'Fleet register'!$A$7:$S$106,16,FALSE),0),"n.a."))</f>
        <v>18151.349999999999</v>
      </c>
      <c r="O185" s="16">
        <f>IF(NOT(Paths!$C$23=1),0,IF(Paths!$P$23="Complete",N185-IF(C185=0,Paths!$F$23,0),"n.a."))</f>
        <v>18151.349999999999</v>
      </c>
      <c r="P185" s="16">
        <f>IF(NOT(Paths!$C$23=1),0,IF(Paths!$P$23="Complete",O185+L185,"n.a."))</f>
        <v>18151.349999999999</v>
      </c>
      <c r="Q185" s="16">
        <f>IF(NOT(Paths!$C$23=1),0,IF(Paths!$P$23="Complete",N185*(1+'Operating costs'!$B$54)^-C185,"n.a."))</f>
        <v>18151.349999999999</v>
      </c>
      <c r="R185" s="16">
        <f>IF(NOT(Paths!$C$23=1),0,IF(Paths!$P$23="Complete",IF(AND(C185=0,Paths!$E$23=0),I185-J185-K185+VLOOKUP(A185,'Fleet register'!$A$7:$S$106,15,FALSE)+VLOOKUP(A185,'Fleet register'!$A$7:$S$106,16,FALSE),0),"n.a."))</f>
        <v>0</v>
      </c>
      <c r="S185" s="1">
        <f>IF(NOT(Paths!$C$23=1),0,IF(Paths!$P$23="Complete",IF(C185=0,0,Paths!$S$23*Paths!$R$23),"n.a."))</f>
        <v>45000</v>
      </c>
      <c r="T185" s="1">
        <f>IF(NOT(Paths!$C$23=1),0,IF(Paths!$P$23="Complete",IF(C185=0,0,VLOOKUP(A185,'Fleet register'!$A$7:$S$106,9,FALSE)*Paths!$R$23),"n.a."))</f>
        <v>7200</v>
      </c>
    </row>
    <row r="186" spans="1:20" ht="24" customHeight="1">
      <c r="A186" s="1" t="str">
        <f>Paths!$A$23</f>
        <v>T005</v>
      </c>
      <c r="B186" s="1">
        <f>Paths!$B$23</f>
        <v>0</v>
      </c>
      <c r="C186" s="1">
        <v>3</v>
      </c>
      <c r="D186" s="1">
        <v>23</v>
      </c>
      <c r="E186" s="1">
        <f>IF(OR(Paths!$C$23=0,C186=0),0,MAX(0,MIN(C186*12,Paths!$E$23)-(C186-1)*12))</f>
        <v>12</v>
      </c>
      <c r="F186" s="1">
        <f>IF(OR(Paths!$C$23=0,C186=0),0,12-E186)</f>
        <v>0</v>
      </c>
      <c r="G186" s="16">
        <f>IF(NOT(Paths!$C$23=1),0,IF(Paths!$P$23="Complete",E186/12*(Paths!$J$23*(1+'Operating costs'!$B$51)^MAX(0,C186-1)+Paths!$K$23*(1+'Operating costs'!$B$53)^MAX(0,C186-1)),"n.a."))</f>
        <v>18151.349999999999</v>
      </c>
      <c r="H186" s="16">
        <f>IF(NOT(Paths!$C$23=1),0,IF(Paths!$P$23="Complete",F186/12*(Paths!$L$23*(1+IF(Paths!$D$23="EV",'Operating costs'!$B$52,'Operating costs'!$B$51))^MAX(0,C186-1)+Paths!$M$23*(1+'Operating costs'!$B$53)^MAX(0,C186-1)),"n.a."))</f>
        <v>0</v>
      </c>
      <c r="I186" s="16">
        <f>IF(NOT(Paths!$C$23=1),0,IF(Paths!$P$23="Complete",IF(IF(Paths!$E$23=0,C186=0,AND(C186&gt;0,Paths!$E$23&gt;(C186-1)*12,Paths!$E$23&lt;=C186*12)),Paths!$G$23,0),"n.a."))</f>
        <v>0</v>
      </c>
      <c r="J186" s="16">
        <f>IF(NOT(Paths!$C$23=1),0,IF(Paths!$P$23="Complete",IF(IF(Paths!$E$23=0,C186=0,AND(C186&gt;0,Paths!$E$23&gt;(C186-1)*12,Paths!$E$23&lt;=C186*12)),Paths!$H$23,0),"n.a."))</f>
        <v>0</v>
      </c>
      <c r="K186" s="16">
        <f>IF(NOT(Paths!$C$23=1),0,IF(Paths!$P$23="Complete",IF(IF(Paths!$O$23=0,C186=0,AND(C186&gt;0,Paths!$O$23&gt;(C186-1)*12,Paths!$O$23&lt;=C186*12)),Paths!$N$23,0),"n.a."))</f>
        <v>0</v>
      </c>
      <c r="L186" s="16">
        <f>IF(NOT(Paths!$C$23=1),0,IF(Paths!$P$23="Complete",IF(C186=10,Paths!$I$23,0),"n.a."))</f>
        <v>0</v>
      </c>
      <c r="M186" s="16">
        <f>IF(NOT(Paths!$C$23=1),0,IF(Paths!$P$23="Complete",IF(AND(Paths!$D$23="EV",Paths!$E$23&lt;120,Paths!$E$23+'Operating costs'!$B$65&gt;Paths!$E$23,Paths!$E$23+'Operating costs'!$B$65&lt;=120,IF(Paths!$E$23+'Operating costs'!$B$65=0,C186=0,AND(C186&gt;0,Paths!$E$23+'Operating costs'!$B$65&gt;(C186-1)*12,Paths!$E$23+'Operating costs'!$B$65&lt;=C186*12))),'Operating costs'!$B$64,0)+IF(AND('Operating costs'!$B$67&gt;0,'Operating costs'!$B$67&lt;=120,OR(Paths!$D$23="ICE",'Operating costs'!$B$67&lt;=Paths!$E$23),IF('Operating costs'!$B$67=0,C186=0,AND(C186&gt;0,'Operating costs'!$B$67&gt;(C186-1)*12,'Operating costs'!$B$67&lt;=C186*12))),'Operating costs'!$B$66,0),"n.a."))</f>
        <v>0</v>
      </c>
      <c r="N186" s="16">
        <f>IF(NOT(Paths!$C$23=1),0,IF(Paths!$P$23="Complete",SUM(G186:I186)-J186-K186-L186+M186+IF(C186=0,Paths!$F$23,0)+IF(IF(Paths!$E$23=0,C186=0,AND(C186&gt;0,Paths!$E$23&gt;(C186-1)*12,Paths!$E$23&lt;=C186*12)),VLOOKUP(A186,'Fleet register'!$A$7:$S$106,16,FALSE),0),"n.a."))</f>
        <v>18151.349999999999</v>
      </c>
      <c r="O186" s="16">
        <f>IF(NOT(Paths!$C$23=1),0,IF(Paths!$P$23="Complete",N186-IF(C186=0,Paths!$F$23,0),"n.a."))</f>
        <v>18151.349999999999</v>
      </c>
      <c r="P186" s="16">
        <f>IF(NOT(Paths!$C$23=1),0,IF(Paths!$P$23="Complete",O186+L186,"n.a."))</f>
        <v>18151.349999999999</v>
      </c>
      <c r="Q186" s="16">
        <f>IF(NOT(Paths!$C$23=1),0,IF(Paths!$P$23="Complete",N186*(1+'Operating costs'!$B$54)^-C186,"n.a."))</f>
        <v>18151.349999999999</v>
      </c>
      <c r="R186" s="16">
        <f>IF(NOT(Paths!$C$23=1),0,IF(Paths!$P$23="Complete",IF(AND(C186=0,Paths!$E$23=0),I186-J186-K186+VLOOKUP(A186,'Fleet register'!$A$7:$S$106,15,FALSE)+VLOOKUP(A186,'Fleet register'!$A$7:$S$106,16,FALSE),0),"n.a."))</f>
        <v>0</v>
      </c>
      <c r="S186" s="1">
        <f>IF(NOT(Paths!$C$23=1),0,IF(Paths!$P$23="Complete",IF(C186=0,0,Paths!$S$23*Paths!$R$23),"n.a."))</f>
        <v>45000</v>
      </c>
      <c r="T186" s="1">
        <f>IF(NOT(Paths!$C$23=1),0,IF(Paths!$P$23="Complete",IF(C186=0,0,VLOOKUP(A186,'Fleet register'!$A$7:$S$106,9,FALSE)*Paths!$R$23),"n.a."))</f>
        <v>7200</v>
      </c>
    </row>
    <row r="187" spans="1:20" ht="24" customHeight="1">
      <c r="A187" s="1" t="str">
        <f>Paths!$A$23</f>
        <v>T005</v>
      </c>
      <c r="B187" s="1">
        <f>Paths!$B$23</f>
        <v>0</v>
      </c>
      <c r="C187" s="1">
        <v>4</v>
      </c>
      <c r="D187" s="1">
        <v>23</v>
      </c>
      <c r="E187" s="1">
        <f>IF(OR(Paths!$C$23=0,C187=0),0,MAX(0,MIN(C187*12,Paths!$E$23)-(C187-1)*12))</f>
        <v>12</v>
      </c>
      <c r="F187" s="1">
        <f>IF(OR(Paths!$C$23=0,C187=0),0,12-E187)</f>
        <v>0</v>
      </c>
      <c r="G187" s="16">
        <f>IF(NOT(Paths!$C$23=1),0,IF(Paths!$P$23="Complete",E187/12*(Paths!$J$23*(1+'Operating costs'!$B$51)^MAX(0,C187-1)+Paths!$K$23*(1+'Operating costs'!$B$53)^MAX(0,C187-1)),"n.a."))</f>
        <v>18151.349999999999</v>
      </c>
      <c r="H187" s="16">
        <f>IF(NOT(Paths!$C$23=1),0,IF(Paths!$P$23="Complete",F187/12*(Paths!$L$23*(1+IF(Paths!$D$23="EV",'Operating costs'!$B$52,'Operating costs'!$B$51))^MAX(0,C187-1)+Paths!$M$23*(1+'Operating costs'!$B$53)^MAX(0,C187-1)),"n.a."))</f>
        <v>0</v>
      </c>
      <c r="I187" s="16">
        <f>IF(NOT(Paths!$C$23=1),0,IF(Paths!$P$23="Complete",IF(IF(Paths!$E$23=0,C187=0,AND(C187&gt;0,Paths!$E$23&gt;(C187-1)*12,Paths!$E$23&lt;=C187*12)),Paths!$G$23,0),"n.a."))</f>
        <v>0</v>
      </c>
      <c r="J187" s="16">
        <f>IF(NOT(Paths!$C$23=1),0,IF(Paths!$P$23="Complete",IF(IF(Paths!$E$23=0,C187=0,AND(C187&gt;0,Paths!$E$23&gt;(C187-1)*12,Paths!$E$23&lt;=C187*12)),Paths!$H$23,0),"n.a."))</f>
        <v>0</v>
      </c>
      <c r="K187" s="16">
        <f>IF(NOT(Paths!$C$23=1),0,IF(Paths!$P$23="Complete",IF(IF(Paths!$O$23=0,C187=0,AND(C187&gt;0,Paths!$O$23&gt;(C187-1)*12,Paths!$O$23&lt;=C187*12)),Paths!$N$23,0),"n.a."))</f>
        <v>0</v>
      </c>
      <c r="L187" s="16">
        <f>IF(NOT(Paths!$C$23=1),0,IF(Paths!$P$23="Complete",IF(C187=10,Paths!$I$23,0),"n.a."))</f>
        <v>0</v>
      </c>
      <c r="M187" s="16">
        <f>IF(NOT(Paths!$C$23=1),0,IF(Paths!$P$23="Complete",IF(AND(Paths!$D$23="EV",Paths!$E$23&lt;120,Paths!$E$23+'Operating costs'!$B$65&gt;Paths!$E$23,Paths!$E$23+'Operating costs'!$B$65&lt;=120,IF(Paths!$E$23+'Operating costs'!$B$65=0,C187=0,AND(C187&gt;0,Paths!$E$23+'Operating costs'!$B$65&gt;(C187-1)*12,Paths!$E$23+'Operating costs'!$B$65&lt;=C187*12))),'Operating costs'!$B$64,0)+IF(AND('Operating costs'!$B$67&gt;0,'Operating costs'!$B$67&lt;=120,OR(Paths!$D$23="ICE",'Operating costs'!$B$67&lt;=Paths!$E$23),IF('Operating costs'!$B$67=0,C187=0,AND(C187&gt;0,'Operating costs'!$B$67&gt;(C187-1)*12,'Operating costs'!$B$67&lt;=C187*12))),'Operating costs'!$B$66,0),"n.a."))</f>
        <v>0</v>
      </c>
      <c r="N187" s="16">
        <f>IF(NOT(Paths!$C$23=1),0,IF(Paths!$P$23="Complete",SUM(G187:I187)-J187-K187-L187+M187+IF(C187=0,Paths!$F$23,0)+IF(IF(Paths!$E$23=0,C187=0,AND(C187&gt;0,Paths!$E$23&gt;(C187-1)*12,Paths!$E$23&lt;=C187*12)),VLOOKUP(A187,'Fleet register'!$A$7:$S$106,16,FALSE),0),"n.a."))</f>
        <v>18151.349999999999</v>
      </c>
      <c r="O187" s="16">
        <f>IF(NOT(Paths!$C$23=1),0,IF(Paths!$P$23="Complete",N187-IF(C187=0,Paths!$F$23,0),"n.a."))</f>
        <v>18151.349999999999</v>
      </c>
      <c r="P187" s="16">
        <f>IF(NOT(Paths!$C$23=1),0,IF(Paths!$P$23="Complete",O187+L187,"n.a."))</f>
        <v>18151.349999999999</v>
      </c>
      <c r="Q187" s="16">
        <f>IF(NOT(Paths!$C$23=1),0,IF(Paths!$P$23="Complete",N187*(1+'Operating costs'!$B$54)^-C187,"n.a."))</f>
        <v>18151.349999999999</v>
      </c>
      <c r="R187" s="16">
        <f>IF(NOT(Paths!$C$23=1),0,IF(Paths!$P$23="Complete",IF(AND(C187=0,Paths!$E$23=0),I187-J187-K187+VLOOKUP(A187,'Fleet register'!$A$7:$S$106,15,FALSE)+VLOOKUP(A187,'Fleet register'!$A$7:$S$106,16,FALSE),0),"n.a."))</f>
        <v>0</v>
      </c>
      <c r="S187" s="1">
        <f>IF(NOT(Paths!$C$23=1),0,IF(Paths!$P$23="Complete",IF(C187=0,0,Paths!$S$23*Paths!$R$23),"n.a."))</f>
        <v>45000</v>
      </c>
      <c r="T187" s="1">
        <f>IF(NOT(Paths!$C$23=1),0,IF(Paths!$P$23="Complete",IF(C187=0,0,VLOOKUP(A187,'Fleet register'!$A$7:$S$106,9,FALSE)*Paths!$R$23),"n.a."))</f>
        <v>7200</v>
      </c>
    </row>
    <row r="188" spans="1:20" ht="24" customHeight="1">
      <c r="A188" s="1" t="str">
        <f>Paths!$A$23</f>
        <v>T005</v>
      </c>
      <c r="B188" s="1">
        <f>Paths!$B$23</f>
        <v>0</v>
      </c>
      <c r="C188" s="1">
        <v>5</v>
      </c>
      <c r="D188" s="1">
        <v>23</v>
      </c>
      <c r="E188" s="1">
        <f>IF(OR(Paths!$C$23=0,C188=0),0,MAX(0,MIN(C188*12,Paths!$E$23)-(C188-1)*12))</f>
        <v>12</v>
      </c>
      <c r="F188" s="1">
        <f>IF(OR(Paths!$C$23=0,C188=0),0,12-E188)</f>
        <v>0</v>
      </c>
      <c r="G188" s="16">
        <f>IF(NOT(Paths!$C$23=1),0,IF(Paths!$P$23="Complete",E188/12*(Paths!$J$23*(1+'Operating costs'!$B$51)^MAX(0,C188-1)+Paths!$K$23*(1+'Operating costs'!$B$53)^MAX(0,C188-1)),"n.a."))</f>
        <v>18151.349999999999</v>
      </c>
      <c r="H188" s="16">
        <f>IF(NOT(Paths!$C$23=1),0,IF(Paths!$P$23="Complete",F188/12*(Paths!$L$23*(1+IF(Paths!$D$23="EV",'Operating costs'!$B$52,'Operating costs'!$B$51))^MAX(0,C188-1)+Paths!$M$23*(1+'Operating costs'!$B$53)^MAX(0,C188-1)),"n.a."))</f>
        <v>0</v>
      </c>
      <c r="I188" s="16">
        <f>IF(NOT(Paths!$C$23=1),0,IF(Paths!$P$23="Complete",IF(IF(Paths!$E$23=0,C188=0,AND(C188&gt;0,Paths!$E$23&gt;(C188-1)*12,Paths!$E$23&lt;=C188*12)),Paths!$G$23,0),"n.a."))</f>
        <v>181000</v>
      </c>
      <c r="J188" s="16">
        <f>IF(NOT(Paths!$C$23=1),0,IF(Paths!$P$23="Complete",IF(IF(Paths!$E$23=0,C188=0,AND(C188&gt;0,Paths!$E$23&gt;(C188-1)*12,Paths!$E$23&lt;=C188*12)),Paths!$H$23,0),"n.a."))</f>
        <v>10000</v>
      </c>
      <c r="K188" s="16">
        <f>IF(NOT(Paths!$C$23=1),0,IF(Paths!$P$23="Complete",IF(IF(Paths!$O$23=0,C188=0,AND(C188&gt;0,Paths!$O$23&gt;(C188-1)*12,Paths!$O$23&lt;=C188*12)),Paths!$N$23,0),"n.a."))</f>
        <v>0</v>
      </c>
      <c r="L188" s="16">
        <f>IF(NOT(Paths!$C$23=1),0,IF(Paths!$P$23="Complete",IF(C188=10,Paths!$I$23,0),"n.a."))</f>
        <v>0</v>
      </c>
      <c r="M188" s="16">
        <f>IF(NOT(Paths!$C$23=1),0,IF(Paths!$P$23="Complete",IF(AND(Paths!$D$23="EV",Paths!$E$23&lt;120,Paths!$E$23+'Operating costs'!$B$65&gt;Paths!$E$23,Paths!$E$23+'Operating costs'!$B$65&lt;=120,IF(Paths!$E$23+'Operating costs'!$B$65=0,C188=0,AND(C188&gt;0,Paths!$E$23+'Operating costs'!$B$65&gt;(C188-1)*12,Paths!$E$23+'Operating costs'!$B$65&lt;=C188*12))),'Operating costs'!$B$64,0)+IF(AND('Operating costs'!$B$67&gt;0,'Operating costs'!$B$67&lt;=120,OR(Paths!$D$23="ICE",'Operating costs'!$B$67&lt;=Paths!$E$23),IF('Operating costs'!$B$67=0,C188=0,AND(C188&gt;0,'Operating costs'!$B$67&gt;(C188-1)*12,'Operating costs'!$B$67&lt;=C188*12))),'Operating costs'!$B$66,0),"n.a."))</f>
        <v>0</v>
      </c>
      <c r="N188" s="16">
        <f>IF(NOT(Paths!$C$23=1),0,IF(Paths!$P$23="Complete",SUM(G188:I188)-J188-K188-L188+M188+IF(C188=0,Paths!$F$23,0)+IF(IF(Paths!$E$23=0,C188=0,AND(C188&gt;0,Paths!$E$23&gt;(C188-1)*12,Paths!$E$23&lt;=C188*12)),VLOOKUP(A188,'Fleet register'!$A$7:$S$106,16,FALSE),0),"n.a."))</f>
        <v>189151.35</v>
      </c>
      <c r="O188" s="16">
        <f>IF(NOT(Paths!$C$23=1),0,IF(Paths!$P$23="Complete",N188-IF(C188=0,Paths!$F$23,0),"n.a."))</f>
        <v>189151.35</v>
      </c>
      <c r="P188" s="16">
        <f>IF(NOT(Paths!$C$23=1),0,IF(Paths!$P$23="Complete",O188+L188,"n.a."))</f>
        <v>189151.35</v>
      </c>
      <c r="Q188" s="16">
        <f>IF(NOT(Paths!$C$23=1),0,IF(Paths!$P$23="Complete",N188*(1+'Operating costs'!$B$54)^-C188,"n.a."))</f>
        <v>189151.35</v>
      </c>
      <c r="R188" s="16">
        <f>IF(NOT(Paths!$C$23=1),0,IF(Paths!$P$23="Complete",IF(AND(C188=0,Paths!$E$23=0),I188-J188-K188+VLOOKUP(A188,'Fleet register'!$A$7:$S$106,15,FALSE)+VLOOKUP(A188,'Fleet register'!$A$7:$S$106,16,FALSE),0),"n.a."))</f>
        <v>0</v>
      </c>
      <c r="S188" s="1">
        <f>IF(NOT(Paths!$C$23=1),0,IF(Paths!$P$23="Complete",IF(C188=0,0,Paths!$S$23*Paths!$R$23),"n.a."))</f>
        <v>45000</v>
      </c>
      <c r="T188" s="1">
        <f>IF(NOT(Paths!$C$23=1),0,IF(Paths!$P$23="Complete",IF(C188=0,0,VLOOKUP(A188,'Fleet register'!$A$7:$S$106,9,FALSE)*Paths!$R$23),"n.a."))</f>
        <v>7200</v>
      </c>
    </row>
    <row r="189" spans="1:20" ht="24" customHeight="1">
      <c r="A189" s="1" t="str">
        <f>Paths!$A$23</f>
        <v>T005</v>
      </c>
      <c r="B189" s="1">
        <f>Paths!$B$23</f>
        <v>0</v>
      </c>
      <c r="C189" s="1">
        <v>6</v>
      </c>
      <c r="D189" s="1">
        <v>23</v>
      </c>
      <c r="E189" s="1">
        <f>IF(OR(Paths!$C$23=0,C189=0),0,MAX(0,MIN(C189*12,Paths!$E$23)-(C189-1)*12))</f>
        <v>0</v>
      </c>
      <c r="F189" s="1">
        <f>IF(OR(Paths!$C$23=0,C189=0),0,12-E189)</f>
        <v>12</v>
      </c>
      <c r="G189" s="16">
        <f>IF(NOT(Paths!$C$23=1),0,IF(Paths!$P$23="Complete",E189/12*(Paths!$J$23*(1+'Operating costs'!$B$51)^MAX(0,C189-1)+Paths!$K$23*(1+'Operating costs'!$B$53)^MAX(0,C189-1)),"n.a."))</f>
        <v>0</v>
      </c>
      <c r="H189" s="16">
        <f>IF(NOT(Paths!$C$23=1),0,IF(Paths!$P$23="Complete",F189/12*(Paths!$L$23*(1+IF(Paths!$D$23="EV",'Operating costs'!$B$52,'Operating costs'!$B$51))^MAX(0,C189-1)+Paths!$M$23*(1+'Operating costs'!$B$53)^MAX(0,C189-1)),"n.a."))</f>
        <v>18151.349999999999</v>
      </c>
      <c r="I189" s="16">
        <f>IF(NOT(Paths!$C$23=1),0,IF(Paths!$P$23="Complete",IF(IF(Paths!$E$23=0,C189=0,AND(C189&gt;0,Paths!$E$23&gt;(C189-1)*12,Paths!$E$23&lt;=C189*12)),Paths!$G$23,0),"n.a."))</f>
        <v>0</v>
      </c>
      <c r="J189" s="16">
        <f>IF(NOT(Paths!$C$23=1),0,IF(Paths!$P$23="Complete",IF(IF(Paths!$E$23=0,C189=0,AND(C189&gt;0,Paths!$E$23&gt;(C189-1)*12,Paths!$E$23&lt;=C189*12)),Paths!$H$23,0),"n.a."))</f>
        <v>0</v>
      </c>
      <c r="K189" s="16">
        <f>IF(NOT(Paths!$C$23=1),0,IF(Paths!$P$23="Complete",IF(IF(Paths!$O$23=0,C189=0,AND(C189&gt;0,Paths!$O$23&gt;(C189-1)*12,Paths!$O$23&lt;=C189*12)),Paths!$N$23,0),"n.a."))</f>
        <v>0</v>
      </c>
      <c r="L189" s="16">
        <f>IF(NOT(Paths!$C$23=1),0,IF(Paths!$P$23="Complete",IF(C189=10,Paths!$I$23,0),"n.a."))</f>
        <v>0</v>
      </c>
      <c r="M189" s="16">
        <f>IF(NOT(Paths!$C$23=1),0,IF(Paths!$P$23="Complete",IF(AND(Paths!$D$23="EV",Paths!$E$23&lt;120,Paths!$E$23+'Operating costs'!$B$65&gt;Paths!$E$23,Paths!$E$23+'Operating costs'!$B$65&lt;=120,IF(Paths!$E$23+'Operating costs'!$B$65=0,C189=0,AND(C189&gt;0,Paths!$E$23+'Operating costs'!$B$65&gt;(C189-1)*12,Paths!$E$23+'Operating costs'!$B$65&lt;=C189*12))),'Operating costs'!$B$64,0)+IF(AND('Operating costs'!$B$67&gt;0,'Operating costs'!$B$67&lt;=120,OR(Paths!$D$23="ICE",'Operating costs'!$B$67&lt;=Paths!$E$23),IF('Operating costs'!$B$67=0,C189=0,AND(C189&gt;0,'Operating costs'!$B$67&gt;(C189-1)*12,'Operating costs'!$B$67&lt;=C189*12))),'Operating costs'!$B$66,0),"n.a."))</f>
        <v>0</v>
      </c>
      <c r="N189" s="16">
        <f>IF(NOT(Paths!$C$23=1),0,IF(Paths!$P$23="Complete",SUM(G189:I189)-J189-K189-L189+M189+IF(C189=0,Paths!$F$23,0)+IF(IF(Paths!$E$23=0,C189=0,AND(C189&gt;0,Paths!$E$23&gt;(C189-1)*12,Paths!$E$23&lt;=C189*12)),VLOOKUP(A189,'Fleet register'!$A$7:$S$106,16,FALSE),0),"n.a."))</f>
        <v>18151.349999999999</v>
      </c>
      <c r="O189" s="16">
        <f>IF(NOT(Paths!$C$23=1),0,IF(Paths!$P$23="Complete",N189-IF(C189=0,Paths!$F$23,0),"n.a."))</f>
        <v>18151.349999999999</v>
      </c>
      <c r="P189" s="16">
        <f>IF(NOT(Paths!$C$23=1),0,IF(Paths!$P$23="Complete",O189+L189,"n.a."))</f>
        <v>18151.349999999999</v>
      </c>
      <c r="Q189" s="16">
        <f>IF(NOT(Paths!$C$23=1),0,IF(Paths!$P$23="Complete",N189*(1+'Operating costs'!$B$54)^-C189,"n.a."))</f>
        <v>18151.349999999999</v>
      </c>
      <c r="R189" s="16">
        <f>IF(NOT(Paths!$C$23=1),0,IF(Paths!$P$23="Complete",IF(AND(C189=0,Paths!$E$23=0),I189-J189-K189+VLOOKUP(A189,'Fleet register'!$A$7:$S$106,15,FALSE)+VLOOKUP(A189,'Fleet register'!$A$7:$S$106,16,FALSE),0),"n.a."))</f>
        <v>0</v>
      </c>
      <c r="S189" s="1">
        <f>IF(NOT(Paths!$C$23=1),0,IF(Paths!$P$23="Complete",IF(C189=0,0,Paths!$S$23*Paths!$R$23),"n.a."))</f>
        <v>45000</v>
      </c>
      <c r="T189" s="1">
        <f>IF(NOT(Paths!$C$23=1),0,IF(Paths!$P$23="Complete",IF(C189=0,0,VLOOKUP(A189,'Fleet register'!$A$7:$S$106,9,FALSE)*Paths!$R$23),"n.a."))</f>
        <v>7200</v>
      </c>
    </row>
    <row r="190" spans="1:20" ht="24" customHeight="1">
      <c r="A190" s="1" t="str">
        <f>Paths!$A$23</f>
        <v>T005</v>
      </c>
      <c r="B190" s="1">
        <f>Paths!$B$23</f>
        <v>0</v>
      </c>
      <c r="C190" s="1">
        <v>7</v>
      </c>
      <c r="D190" s="1">
        <v>23</v>
      </c>
      <c r="E190" s="1">
        <f>IF(OR(Paths!$C$23=0,C190=0),0,MAX(0,MIN(C190*12,Paths!$E$23)-(C190-1)*12))</f>
        <v>0</v>
      </c>
      <c r="F190" s="1">
        <f>IF(OR(Paths!$C$23=0,C190=0),0,12-E190)</f>
        <v>12</v>
      </c>
      <c r="G190" s="16">
        <f>IF(NOT(Paths!$C$23=1),0,IF(Paths!$P$23="Complete",E190/12*(Paths!$J$23*(1+'Operating costs'!$B$51)^MAX(0,C190-1)+Paths!$K$23*(1+'Operating costs'!$B$53)^MAX(0,C190-1)),"n.a."))</f>
        <v>0</v>
      </c>
      <c r="H190" s="16">
        <f>IF(NOT(Paths!$C$23=1),0,IF(Paths!$P$23="Complete",F190/12*(Paths!$L$23*(1+IF(Paths!$D$23="EV",'Operating costs'!$B$52,'Operating costs'!$B$51))^MAX(0,C190-1)+Paths!$M$23*(1+'Operating costs'!$B$53)^MAX(0,C190-1)),"n.a."))</f>
        <v>18151.349999999999</v>
      </c>
      <c r="I190" s="16">
        <f>IF(NOT(Paths!$C$23=1),0,IF(Paths!$P$23="Complete",IF(IF(Paths!$E$23=0,C190=0,AND(C190&gt;0,Paths!$E$23&gt;(C190-1)*12,Paths!$E$23&lt;=C190*12)),Paths!$G$23,0),"n.a."))</f>
        <v>0</v>
      </c>
      <c r="J190" s="16">
        <f>IF(NOT(Paths!$C$23=1),0,IF(Paths!$P$23="Complete",IF(IF(Paths!$E$23=0,C190=0,AND(C190&gt;0,Paths!$E$23&gt;(C190-1)*12,Paths!$E$23&lt;=C190*12)),Paths!$H$23,0),"n.a."))</f>
        <v>0</v>
      </c>
      <c r="K190" s="16">
        <f>IF(NOT(Paths!$C$23=1),0,IF(Paths!$P$23="Complete",IF(IF(Paths!$O$23=0,C190=0,AND(C190&gt;0,Paths!$O$23&gt;(C190-1)*12,Paths!$O$23&lt;=C190*12)),Paths!$N$23,0),"n.a."))</f>
        <v>0</v>
      </c>
      <c r="L190" s="16">
        <f>IF(NOT(Paths!$C$23=1),0,IF(Paths!$P$23="Complete",IF(C190=10,Paths!$I$23,0),"n.a."))</f>
        <v>0</v>
      </c>
      <c r="M190" s="16">
        <f>IF(NOT(Paths!$C$23=1),0,IF(Paths!$P$23="Complete",IF(AND(Paths!$D$23="EV",Paths!$E$23&lt;120,Paths!$E$23+'Operating costs'!$B$65&gt;Paths!$E$23,Paths!$E$23+'Operating costs'!$B$65&lt;=120,IF(Paths!$E$23+'Operating costs'!$B$65=0,C190=0,AND(C190&gt;0,Paths!$E$23+'Operating costs'!$B$65&gt;(C190-1)*12,Paths!$E$23+'Operating costs'!$B$65&lt;=C190*12))),'Operating costs'!$B$64,0)+IF(AND('Operating costs'!$B$67&gt;0,'Operating costs'!$B$67&lt;=120,OR(Paths!$D$23="ICE",'Operating costs'!$B$67&lt;=Paths!$E$23),IF('Operating costs'!$B$67=0,C190=0,AND(C190&gt;0,'Operating costs'!$B$67&gt;(C190-1)*12,'Operating costs'!$B$67&lt;=C190*12))),'Operating costs'!$B$66,0),"n.a."))</f>
        <v>0</v>
      </c>
      <c r="N190" s="16">
        <f>IF(NOT(Paths!$C$23=1),0,IF(Paths!$P$23="Complete",SUM(G190:I190)-J190-K190-L190+M190+IF(C190=0,Paths!$F$23,0)+IF(IF(Paths!$E$23=0,C190=0,AND(C190&gt;0,Paths!$E$23&gt;(C190-1)*12,Paths!$E$23&lt;=C190*12)),VLOOKUP(A190,'Fleet register'!$A$7:$S$106,16,FALSE),0),"n.a."))</f>
        <v>18151.349999999999</v>
      </c>
      <c r="O190" s="16">
        <f>IF(NOT(Paths!$C$23=1),0,IF(Paths!$P$23="Complete",N190-IF(C190=0,Paths!$F$23,0),"n.a."))</f>
        <v>18151.349999999999</v>
      </c>
      <c r="P190" s="16">
        <f>IF(NOT(Paths!$C$23=1),0,IF(Paths!$P$23="Complete",O190+L190,"n.a."))</f>
        <v>18151.349999999999</v>
      </c>
      <c r="Q190" s="16">
        <f>IF(NOT(Paths!$C$23=1),0,IF(Paths!$P$23="Complete",N190*(1+'Operating costs'!$B$54)^-C190,"n.a."))</f>
        <v>18151.349999999999</v>
      </c>
      <c r="R190" s="16">
        <f>IF(NOT(Paths!$C$23=1),0,IF(Paths!$P$23="Complete",IF(AND(C190=0,Paths!$E$23=0),I190-J190-K190+VLOOKUP(A190,'Fleet register'!$A$7:$S$106,15,FALSE)+VLOOKUP(A190,'Fleet register'!$A$7:$S$106,16,FALSE),0),"n.a."))</f>
        <v>0</v>
      </c>
      <c r="S190" s="1">
        <f>IF(NOT(Paths!$C$23=1),0,IF(Paths!$P$23="Complete",IF(C190=0,0,Paths!$S$23*Paths!$R$23),"n.a."))</f>
        <v>45000</v>
      </c>
      <c r="T190" s="1">
        <f>IF(NOT(Paths!$C$23=1),0,IF(Paths!$P$23="Complete",IF(C190=0,0,VLOOKUP(A190,'Fleet register'!$A$7:$S$106,9,FALSE)*Paths!$R$23),"n.a."))</f>
        <v>7200</v>
      </c>
    </row>
    <row r="191" spans="1:20" ht="24" customHeight="1">
      <c r="A191" s="1" t="str">
        <f>Paths!$A$23</f>
        <v>T005</v>
      </c>
      <c r="B191" s="1">
        <f>Paths!$B$23</f>
        <v>0</v>
      </c>
      <c r="C191" s="1">
        <v>8</v>
      </c>
      <c r="D191" s="1">
        <v>23</v>
      </c>
      <c r="E191" s="1">
        <f>IF(OR(Paths!$C$23=0,C191=0),0,MAX(0,MIN(C191*12,Paths!$E$23)-(C191-1)*12))</f>
        <v>0</v>
      </c>
      <c r="F191" s="1">
        <f>IF(OR(Paths!$C$23=0,C191=0),0,12-E191)</f>
        <v>12</v>
      </c>
      <c r="G191" s="16">
        <f>IF(NOT(Paths!$C$23=1),0,IF(Paths!$P$23="Complete",E191/12*(Paths!$J$23*(1+'Operating costs'!$B$51)^MAX(0,C191-1)+Paths!$K$23*(1+'Operating costs'!$B$53)^MAX(0,C191-1)),"n.a."))</f>
        <v>0</v>
      </c>
      <c r="H191" s="16">
        <f>IF(NOT(Paths!$C$23=1),0,IF(Paths!$P$23="Complete",F191/12*(Paths!$L$23*(1+IF(Paths!$D$23="EV",'Operating costs'!$B$52,'Operating costs'!$B$51))^MAX(0,C191-1)+Paths!$M$23*(1+'Operating costs'!$B$53)^MAX(0,C191-1)),"n.a."))</f>
        <v>18151.349999999999</v>
      </c>
      <c r="I191" s="16">
        <f>IF(NOT(Paths!$C$23=1),0,IF(Paths!$P$23="Complete",IF(IF(Paths!$E$23=0,C191=0,AND(C191&gt;0,Paths!$E$23&gt;(C191-1)*12,Paths!$E$23&lt;=C191*12)),Paths!$G$23,0),"n.a."))</f>
        <v>0</v>
      </c>
      <c r="J191" s="16">
        <f>IF(NOT(Paths!$C$23=1),0,IF(Paths!$P$23="Complete",IF(IF(Paths!$E$23=0,C191=0,AND(C191&gt;0,Paths!$E$23&gt;(C191-1)*12,Paths!$E$23&lt;=C191*12)),Paths!$H$23,0),"n.a."))</f>
        <v>0</v>
      </c>
      <c r="K191" s="16">
        <f>IF(NOT(Paths!$C$23=1),0,IF(Paths!$P$23="Complete",IF(IF(Paths!$O$23=0,C191=0,AND(C191&gt;0,Paths!$O$23&gt;(C191-1)*12,Paths!$O$23&lt;=C191*12)),Paths!$N$23,0),"n.a."))</f>
        <v>0</v>
      </c>
      <c r="L191" s="16">
        <f>IF(NOT(Paths!$C$23=1),0,IF(Paths!$P$23="Complete",IF(C191=10,Paths!$I$23,0),"n.a."))</f>
        <v>0</v>
      </c>
      <c r="M191" s="16">
        <f>IF(NOT(Paths!$C$23=1),0,IF(Paths!$P$23="Complete",IF(AND(Paths!$D$23="EV",Paths!$E$23&lt;120,Paths!$E$23+'Operating costs'!$B$65&gt;Paths!$E$23,Paths!$E$23+'Operating costs'!$B$65&lt;=120,IF(Paths!$E$23+'Operating costs'!$B$65=0,C191=0,AND(C191&gt;0,Paths!$E$23+'Operating costs'!$B$65&gt;(C191-1)*12,Paths!$E$23+'Operating costs'!$B$65&lt;=C191*12))),'Operating costs'!$B$64,0)+IF(AND('Operating costs'!$B$67&gt;0,'Operating costs'!$B$67&lt;=120,OR(Paths!$D$23="ICE",'Operating costs'!$B$67&lt;=Paths!$E$23),IF('Operating costs'!$B$67=0,C191=0,AND(C191&gt;0,'Operating costs'!$B$67&gt;(C191-1)*12,'Operating costs'!$B$67&lt;=C191*12))),'Operating costs'!$B$66,0),"n.a."))</f>
        <v>0</v>
      </c>
      <c r="N191" s="16">
        <f>IF(NOT(Paths!$C$23=1),0,IF(Paths!$P$23="Complete",SUM(G191:I191)-J191-K191-L191+M191+IF(C191=0,Paths!$F$23,0)+IF(IF(Paths!$E$23=0,C191=0,AND(C191&gt;0,Paths!$E$23&gt;(C191-1)*12,Paths!$E$23&lt;=C191*12)),VLOOKUP(A191,'Fleet register'!$A$7:$S$106,16,FALSE),0),"n.a."))</f>
        <v>18151.349999999999</v>
      </c>
      <c r="O191" s="16">
        <f>IF(NOT(Paths!$C$23=1),0,IF(Paths!$P$23="Complete",N191-IF(C191=0,Paths!$F$23,0),"n.a."))</f>
        <v>18151.349999999999</v>
      </c>
      <c r="P191" s="16">
        <f>IF(NOT(Paths!$C$23=1),0,IF(Paths!$P$23="Complete",O191+L191,"n.a."))</f>
        <v>18151.349999999999</v>
      </c>
      <c r="Q191" s="16">
        <f>IF(NOT(Paths!$C$23=1),0,IF(Paths!$P$23="Complete",N191*(1+'Operating costs'!$B$54)^-C191,"n.a."))</f>
        <v>18151.349999999999</v>
      </c>
      <c r="R191" s="16">
        <f>IF(NOT(Paths!$C$23=1),0,IF(Paths!$P$23="Complete",IF(AND(C191=0,Paths!$E$23=0),I191-J191-K191+VLOOKUP(A191,'Fleet register'!$A$7:$S$106,15,FALSE)+VLOOKUP(A191,'Fleet register'!$A$7:$S$106,16,FALSE),0),"n.a."))</f>
        <v>0</v>
      </c>
      <c r="S191" s="1">
        <f>IF(NOT(Paths!$C$23=1),0,IF(Paths!$P$23="Complete",IF(C191=0,0,Paths!$S$23*Paths!$R$23),"n.a."))</f>
        <v>45000</v>
      </c>
      <c r="T191" s="1">
        <f>IF(NOT(Paths!$C$23=1),0,IF(Paths!$P$23="Complete",IF(C191=0,0,VLOOKUP(A191,'Fleet register'!$A$7:$S$106,9,FALSE)*Paths!$R$23),"n.a."))</f>
        <v>7200</v>
      </c>
    </row>
    <row r="192" spans="1:20" ht="24" customHeight="1">
      <c r="A192" s="1" t="str">
        <f>Paths!$A$23</f>
        <v>T005</v>
      </c>
      <c r="B192" s="1">
        <f>Paths!$B$23</f>
        <v>0</v>
      </c>
      <c r="C192" s="1">
        <v>9</v>
      </c>
      <c r="D192" s="1">
        <v>23</v>
      </c>
      <c r="E192" s="1">
        <f>IF(OR(Paths!$C$23=0,C192=0),0,MAX(0,MIN(C192*12,Paths!$E$23)-(C192-1)*12))</f>
        <v>0</v>
      </c>
      <c r="F192" s="1">
        <f>IF(OR(Paths!$C$23=0,C192=0),0,12-E192)</f>
        <v>12</v>
      </c>
      <c r="G192" s="16">
        <f>IF(NOT(Paths!$C$23=1),0,IF(Paths!$P$23="Complete",E192/12*(Paths!$J$23*(1+'Operating costs'!$B$51)^MAX(0,C192-1)+Paths!$K$23*(1+'Operating costs'!$B$53)^MAX(0,C192-1)),"n.a."))</f>
        <v>0</v>
      </c>
      <c r="H192" s="16">
        <f>IF(NOT(Paths!$C$23=1),0,IF(Paths!$P$23="Complete",F192/12*(Paths!$L$23*(1+IF(Paths!$D$23="EV",'Operating costs'!$B$52,'Operating costs'!$B$51))^MAX(0,C192-1)+Paths!$M$23*(1+'Operating costs'!$B$53)^MAX(0,C192-1)),"n.a."))</f>
        <v>18151.349999999999</v>
      </c>
      <c r="I192" s="16">
        <f>IF(NOT(Paths!$C$23=1),0,IF(Paths!$P$23="Complete",IF(IF(Paths!$E$23=0,C192=0,AND(C192&gt;0,Paths!$E$23&gt;(C192-1)*12,Paths!$E$23&lt;=C192*12)),Paths!$G$23,0),"n.a."))</f>
        <v>0</v>
      </c>
      <c r="J192" s="16">
        <f>IF(NOT(Paths!$C$23=1),0,IF(Paths!$P$23="Complete",IF(IF(Paths!$E$23=0,C192=0,AND(C192&gt;0,Paths!$E$23&gt;(C192-1)*12,Paths!$E$23&lt;=C192*12)),Paths!$H$23,0),"n.a."))</f>
        <v>0</v>
      </c>
      <c r="K192" s="16">
        <f>IF(NOT(Paths!$C$23=1),0,IF(Paths!$P$23="Complete",IF(IF(Paths!$O$23=0,C192=0,AND(C192&gt;0,Paths!$O$23&gt;(C192-1)*12,Paths!$O$23&lt;=C192*12)),Paths!$N$23,0),"n.a."))</f>
        <v>0</v>
      </c>
      <c r="L192" s="16">
        <f>IF(NOT(Paths!$C$23=1),0,IF(Paths!$P$23="Complete",IF(C192=10,Paths!$I$23,0),"n.a."))</f>
        <v>0</v>
      </c>
      <c r="M192" s="16">
        <f>IF(NOT(Paths!$C$23=1),0,IF(Paths!$P$23="Complete",IF(AND(Paths!$D$23="EV",Paths!$E$23&lt;120,Paths!$E$23+'Operating costs'!$B$65&gt;Paths!$E$23,Paths!$E$23+'Operating costs'!$B$65&lt;=120,IF(Paths!$E$23+'Operating costs'!$B$65=0,C192=0,AND(C192&gt;0,Paths!$E$23+'Operating costs'!$B$65&gt;(C192-1)*12,Paths!$E$23+'Operating costs'!$B$65&lt;=C192*12))),'Operating costs'!$B$64,0)+IF(AND('Operating costs'!$B$67&gt;0,'Operating costs'!$B$67&lt;=120,OR(Paths!$D$23="ICE",'Operating costs'!$B$67&lt;=Paths!$E$23),IF('Operating costs'!$B$67=0,C192=0,AND(C192&gt;0,'Operating costs'!$B$67&gt;(C192-1)*12,'Operating costs'!$B$67&lt;=C192*12))),'Operating costs'!$B$66,0),"n.a."))</f>
        <v>0</v>
      </c>
      <c r="N192" s="16">
        <f>IF(NOT(Paths!$C$23=1),0,IF(Paths!$P$23="Complete",SUM(G192:I192)-J192-K192-L192+M192+IF(C192=0,Paths!$F$23,0)+IF(IF(Paths!$E$23=0,C192=0,AND(C192&gt;0,Paths!$E$23&gt;(C192-1)*12,Paths!$E$23&lt;=C192*12)),VLOOKUP(A192,'Fleet register'!$A$7:$S$106,16,FALSE),0),"n.a."))</f>
        <v>18151.349999999999</v>
      </c>
      <c r="O192" s="16">
        <f>IF(NOT(Paths!$C$23=1),0,IF(Paths!$P$23="Complete",N192-IF(C192=0,Paths!$F$23,0),"n.a."))</f>
        <v>18151.349999999999</v>
      </c>
      <c r="P192" s="16">
        <f>IF(NOT(Paths!$C$23=1),0,IF(Paths!$P$23="Complete",O192+L192,"n.a."))</f>
        <v>18151.349999999999</v>
      </c>
      <c r="Q192" s="16">
        <f>IF(NOT(Paths!$C$23=1),0,IF(Paths!$P$23="Complete",N192*(1+'Operating costs'!$B$54)^-C192,"n.a."))</f>
        <v>18151.349999999999</v>
      </c>
      <c r="R192" s="16">
        <f>IF(NOT(Paths!$C$23=1),0,IF(Paths!$P$23="Complete",IF(AND(C192=0,Paths!$E$23=0),I192-J192-K192+VLOOKUP(A192,'Fleet register'!$A$7:$S$106,15,FALSE)+VLOOKUP(A192,'Fleet register'!$A$7:$S$106,16,FALSE),0),"n.a."))</f>
        <v>0</v>
      </c>
      <c r="S192" s="1">
        <f>IF(NOT(Paths!$C$23=1),0,IF(Paths!$P$23="Complete",IF(C192=0,0,Paths!$S$23*Paths!$R$23),"n.a."))</f>
        <v>45000</v>
      </c>
      <c r="T192" s="1">
        <f>IF(NOT(Paths!$C$23=1),0,IF(Paths!$P$23="Complete",IF(C192=0,0,VLOOKUP(A192,'Fleet register'!$A$7:$S$106,9,FALSE)*Paths!$R$23),"n.a."))</f>
        <v>7200</v>
      </c>
    </row>
    <row r="193" spans="1:20" ht="24" customHeight="1">
      <c r="A193" s="1" t="str">
        <f>Paths!$A$23</f>
        <v>T005</v>
      </c>
      <c r="B193" s="1">
        <f>Paths!$B$23</f>
        <v>0</v>
      </c>
      <c r="C193" s="1">
        <v>10</v>
      </c>
      <c r="D193" s="1">
        <v>23</v>
      </c>
      <c r="E193" s="1">
        <f>IF(OR(Paths!$C$23=0,C193=0),0,MAX(0,MIN(C193*12,Paths!$E$23)-(C193-1)*12))</f>
        <v>0</v>
      </c>
      <c r="F193" s="1">
        <f>IF(OR(Paths!$C$23=0,C193=0),0,12-E193)</f>
        <v>12</v>
      </c>
      <c r="G193" s="16">
        <f>IF(NOT(Paths!$C$23=1),0,IF(Paths!$P$23="Complete",E193/12*(Paths!$J$23*(1+'Operating costs'!$B$51)^MAX(0,C193-1)+Paths!$K$23*(1+'Operating costs'!$B$53)^MAX(0,C193-1)),"n.a."))</f>
        <v>0</v>
      </c>
      <c r="H193" s="16">
        <f>IF(NOT(Paths!$C$23=1),0,IF(Paths!$P$23="Complete",F193/12*(Paths!$L$23*(1+IF(Paths!$D$23="EV",'Operating costs'!$B$52,'Operating costs'!$B$51))^MAX(0,C193-1)+Paths!$M$23*(1+'Operating costs'!$B$53)^MAX(0,C193-1)),"n.a."))</f>
        <v>18151.349999999999</v>
      </c>
      <c r="I193" s="16">
        <f>IF(NOT(Paths!$C$23=1),0,IF(Paths!$P$23="Complete",IF(IF(Paths!$E$23=0,C193=0,AND(C193&gt;0,Paths!$E$23&gt;(C193-1)*12,Paths!$E$23&lt;=C193*12)),Paths!$G$23,0),"n.a."))</f>
        <v>0</v>
      </c>
      <c r="J193" s="16">
        <f>IF(NOT(Paths!$C$23=1),0,IF(Paths!$P$23="Complete",IF(IF(Paths!$E$23=0,C193=0,AND(C193&gt;0,Paths!$E$23&gt;(C193-1)*12,Paths!$E$23&lt;=C193*12)),Paths!$H$23,0),"n.a."))</f>
        <v>0</v>
      </c>
      <c r="K193" s="16">
        <f>IF(NOT(Paths!$C$23=1),0,IF(Paths!$P$23="Complete",IF(IF(Paths!$O$23=0,C193=0,AND(C193&gt;0,Paths!$O$23&gt;(C193-1)*12,Paths!$O$23&lt;=C193*12)),Paths!$N$23,0),"n.a."))</f>
        <v>0</v>
      </c>
      <c r="L193" s="16">
        <f>IF(NOT(Paths!$C$23=1),0,IF(Paths!$P$23="Complete",IF(C193=10,Paths!$I$23,0),"n.a."))</f>
        <v>58500</v>
      </c>
      <c r="M193" s="16">
        <f>IF(NOT(Paths!$C$23=1),0,IF(Paths!$P$23="Complete",IF(AND(Paths!$D$23="EV",Paths!$E$23&lt;120,Paths!$E$23+'Operating costs'!$B$65&gt;Paths!$E$23,Paths!$E$23+'Operating costs'!$B$65&lt;=120,IF(Paths!$E$23+'Operating costs'!$B$65=0,C193=0,AND(C193&gt;0,Paths!$E$23+'Operating costs'!$B$65&gt;(C193-1)*12,Paths!$E$23+'Operating costs'!$B$65&lt;=C193*12))),'Operating costs'!$B$64,0)+IF(AND('Operating costs'!$B$67&gt;0,'Operating costs'!$B$67&lt;=120,OR(Paths!$D$23="ICE",'Operating costs'!$B$67&lt;=Paths!$E$23),IF('Operating costs'!$B$67=0,C193=0,AND(C193&gt;0,'Operating costs'!$B$67&gt;(C193-1)*12,'Operating costs'!$B$67&lt;=C193*12))),'Operating costs'!$B$66,0),"n.a."))</f>
        <v>0</v>
      </c>
      <c r="N193" s="16">
        <f>IF(NOT(Paths!$C$23=1),0,IF(Paths!$P$23="Complete",SUM(G193:I193)-J193-K193-L193+M193+IF(C193=0,Paths!$F$23,0)+IF(IF(Paths!$E$23=0,C193=0,AND(C193&gt;0,Paths!$E$23&gt;(C193-1)*12,Paths!$E$23&lt;=C193*12)),VLOOKUP(A193,'Fleet register'!$A$7:$S$106,16,FALSE),0),"n.a."))</f>
        <v>-40348.65</v>
      </c>
      <c r="O193" s="16">
        <f>IF(NOT(Paths!$C$23=1),0,IF(Paths!$P$23="Complete",N193-IF(C193=0,Paths!$F$23,0),"n.a."))</f>
        <v>-40348.65</v>
      </c>
      <c r="P193" s="16">
        <f>IF(NOT(Paths!$C$23=1),0,IF(Paths!$P$23="Complete",O193+L193,"n.a."))</f>
        <v>18151.349999999999</v>
      </c>
      <c r="Q193" s="16">
        <f>IF(NOT(Paths!$C$23=1),0,IF(Paths!$P$23="Complete",N193*(1+'Operating costs'!$B$54)^-C193,"n.a."))</f>
        <v>-40348.65</v>
      </c>
      <c r="R193" s="16">
        <f>IF(NOT(Paths!$C$23=1),0,IF(Paths!$P$23="Complete",IF(AND(C193=0,Paths!$E$23=0),I193-J193-K193+VLOOKUP(A193,'Fleet register'!$A$7:$S$106,15,FALSE)+VLOOKUP(A193,'Fleet register'!$A$7:$S$106,16,FALSE),0),"n.a."))</f>
        <v>0</v>
      </c>
      <c r="S193" s="1">
        <f>IF(NOT(Paths!$C$23=1),0,IF(Paths!$P$23="Complete",IF(C193=0,0,Paths!$S$23*Paths!$R$23),"n.a."))</f>
        <v>45000</v>
      </c>
      <c r="T193" s="1">
        <f>IF(NOT(Paths!$C$23=1),0,IF(Paths!$P$23="Complete",IF(C193=0,0,VLOOKUP(A193,'Fleet register'!$A$7:$S$106,9,FALSE)*Paths!$R$23),"n.a."))</f>
        <v>7200</v>
      </c>
    </row>
    <row r="194" spans="1:20" ht="24" customHeight="1">
      <c r="A194" s="1" t="str">
        <f>Paths!$A$24</f>
        <v>T005</v>
      </c>
      <c r="B194" s="1">
        <f>Paths!$B$24</f>
        <v>1</v>
      </c>
      <c r="C194" s="1">
        <v>0</v>
      </c>
      <c r="D194" s="1">
        <v>24</v>
      </c>
      <c r="E194" s="1">
        <f>IF(OR(Paths!$C$24=0,C194=0),0,MAX(0,MIN(C194*12,Paths!$E$24)-(C194-1)*12))</f>
        <v>0</v>
      </c>
      <c r="F194" s="1">
        <f>IF(OR(Paths!$C$24=0,C194=0),0,12-E194)</f>
        <v>0</v>
      </c>
      <c r="G194" s="16">
        <f>IF(NOT(Paths!$C$24=1),0,IF(Paths!$P$24="Complete",E194/12*(Paths!$J$24*(1+'Operating costs'!$B$51)^MAX(0,C194-1)+Paths!$K$24*(1+'Operating costs'!$B$53)^MAX(0,C194-1)),"n.a."))</f>
        <v>0</v>
      </c>
      <c r="H194" s="16">
        <f>IF(NOT(Paths!$C$24=1),0,IF(Paths!$P$24="Complete",F194/12*(Paths!$L$24*(1+IF(Paths!$D$24="EV",'Operating costs'!$B$52,'Operating costs'!$B$51))^MAX(0,C194-1)+Paths!$M$24*(1+'Operating costs'!$B$53)^MAX(0,C194-1)),"n.a."))</f>
        <v>0</v>
      </c>
      <c r="I194" s="16">
        <f>IF(NOT(Paths!$C$24=1),0,IF(Paths!$P$24="Complete",IF(IF(Paths!$E$24=0,C194=0,AND(C194&gt;0,Paths!$E$24&gt;(C194-1)*12,Paths!$E$24&lt;=C194*12)),Paths!$G$24,0),"n.a."))</f>
        <v>181000</v>
      </c>
      <c r="J194" s="16">
        <f>IF(NOT(Paths!$C$24=1),0,IF(Paths!$P$24="Complete",IF(IF(Paths!$E$24=0,C194=0,AND(C194&gt;0,Paths!$E$24&gt;(C194-1)*12,Paths!$E$24&lt;=C194*12)),Paths!$H$24,0),"n.a."))</f>
        <v>48000</v>
      </c>
      <c r="K194" s="16">
        <f>IF(NOT(Paths!$C$24=1),0,IF(Paths!$P$24="Complete",IF(IF(Paths!$O$24=0,C194=0,AND(C194&gt;0,Paths!$O$24&gt;(C194-1)*12,Paths!$O$24&lt;=C194*12)),Paths!$N$24,0),"n.a."))</f>
        <v>0</v>
      </c>
      <c r="L194" s="16">
        <f>IF(NOT(Paths!$C$24=1),0,IF(Paths!$P$24="Complete",IF(C194=10,Paths!$I$24,0),"n.a."))</f>
        <v>0</v>
      </c>
      <c r="M194" s="16">
        <f>IF(NOT(Paths!$C$24=1),0,IF(Paths!$P$24="Complete",IF(AND(Paths!$D$24="EV",Paths!$E$24&lt;120,Paths!$E$24+'Operating costs'!$B$65&gt;Paths!$E$24,Paths!$E$24+'Operating costs'!$B$65&lt;=120,IF(Paths!$E$24+'Operating costs'!$B$65=0,C194=0,AND(C194&gt;0,Paths!$E$24+'Operating costs'!$B$65&gt;(C194-1)*12,Paths!$E$24+'Operating costs'!$B$65&lt;=C194*12))),'Operating costs'!$B$64,0)+IF(AND('Operating costs'!$B$67&gt;0,'Operating costs'!$B$67&lt;=120,OR(Paths!$D$24="ICE",'Operating costs'!$B$67&lt;=Paths!$E$24),IF('Operating costs'!$B$67=0,C194=0,AND(C194&gt;0,'Operating costs'!$B$67&gt;(C194-1)*12,'Operating costs'!$B$67&lt;=C194*12))),'Operating costs'!$B$66,0),"n.a."))</f>
        <v>0</v>
      </c>
      <c r="N194" s="16">
        <f>IF(NOT(Paths!$C$24=1),0,IF(Paths!$P$24="Complete",SUM(G194:I194)-J194-K194-L194+M194+IF(C194=0,Paths!$F$24,0)+IF(IF(Paths!$E$24=0,C194=0,AND(C194&gt;0,Paths!$E$24&gt;(C194-1)*12,Paths!$E$24&lt;=C194*12)),VLOOKUP(A194,'Fleet register'!$A$7:$S$106,16,FALSE),0),"n.a."))</f>
        <v>181000</v>
      </c>
      <c r="O194" s="16">
        <f>IF(NOT(Paths!$C$24=1),0,IF(Paths!$P$24="Complete",N194-IF(C194=0,Paths!$F$24,0),"n.a."))</f>
        <v>133000</v>
      </c>
      <c r="P194" s="16">
        <f>IF(NOT(Paths!$C$24=1),0,IF(Paths!$P$24="Complete",O194+L194,"n.a."))</f>
        <v>133000</v>
      </c>
      <c r="Q194" s="16">
        <f>IF(NOT(Paths!$C$24=1),0,IF(Paths!$P$24="Complete",N194*(1+'Operating costs'!$B$54)^-C194,"n.a."))</f>
        <v>181000</v>
      </c>
      <c r="R194" s="16">
        <f>IF(NOT(Paths!$C$24=1),0,IF(Paths!$P$24="Complete",IF(AND(C194=0,Paths!$E$24=0),I194-J194-K194+VLOOKUP(A194,'Fleet register'!$A$7:$S$106,15,FALSE)+VLOOKUP(A194,'Fleet register'!$A$7:$S$106,16,FALSE),0),"n.a."))</f>
        <v>133000</v>
      </c>
      <c r="S194" s="1">
        <f>IF(NOT(Paths!$C$24=1),0,IF(Paths!$P$24="Complete",IF(C194=0,0,Paths!$S$24*Paths!$R$24),"n.a."))</f>
        <v>0</v>
      </c>
      <c r="T194" s="1">
        <f>IF(NOT(Paths!$C$24=1),0,IF(Paths!$P$24="Complete",IF(C194=0,0,VLOOKUP(A194,'Fleet register'!$A$7:$S$106,9,FALSE)*Paths!$R$24),"n.a."))</f>
        <v>0</v>
      </c>
    </row>
    <row r="195" spans="1:20" ht="24" customHeight="1">
      <c r="A195" s="1" t="str">
        <f>Paths!$A$24</f>
        <v>T005</v>
      </c>
      <c r="B195" s="1">
        <f>Paths!$B$24</f>
        <v>1</v>
      </c>
      <c r="C195" s="1">
        <v>1</v>
      </c>
      <c r="D195" s="1">
        <v>24</v>
      </c>
      <c r="E195" s="1">
        <f>IF(OR(Paths!$C$24=0,C195=0),0,MAX(0,MIN(C195*12,Paths!$E$24)-(C195-1)*12))</f>
        <v>0</v>
      </c>
      <c r="F195" s="1">
        <f>IF(OR(Paths!$C$24=0,C195=0),0,12-E195)</f>
        <v>12</v>
      </c>
      <c r="G195" s="16">
        <f>IF(NOT(Paths!$C$24=1),0,IF(Paths!$P$24="Complete",E195/12*(Paths!$J$24*(1+'Operating costs'!$B$51)^MAX(0,C195-1)+Paths!$K$24*(1+'Operating costs'!$B$53)^MAX(0,C195-1)),"n.a."))</f>
        <v>0</v>
      </c>
      <c r="H195" s="16">
        <f>IF(NOT(Paths!$C$24=1),0,IF(Paths!$P$24="Complete",F195/12*(Paths!$L$24*(1+IF(Paths!$D$24="EV",'Operating costs'!$B$52,'Operating costs'!$B$51))^MAX(0,C195-1)+Paths!$M$24*(1+'Operating costs'!$B$53)^MAX(0,C195-1)),"n.a."))</f>
        <v>18151.349999999999</v>
      </c>
      <c r="I195" s="16">
        <f>IF(NOT(Paths!$C$24=1),0,IF(Paths!$P$24="Complete",IF(IF(Paths!$E$24=0,C195=0,AND(C195&gt;0,Paths!$E$24&gt;(C195-1)*12,Paths!$E$24&lt;=C195*12)),Paths!$G$24,0),"n.a."))</f>
        <v>0</v>
      </c>
      <c r="J195" s="16">
        <f>IF(NOT(Paths!$C$24=1),0,IF(Paths!$P$24="Complete",IF(IF(Paths!$E$24=0,C195=0,AND(C195&gt;0,Paths!$E$24&gt;(C195-1)*12,Paths!$E$24&lt;=C195*12)),Paths!$H$24,0),"n.a."))</f>
        <v>0</v>
      </c>
      <c r="K195" s="16">
        <f>IF(NOT(Paths!$C$24=1),0,IF(Paths!$P$24="Complete",IF(IF(Paths!$O$24=0,C195=0,AND(C195&gt;0,Paths!$O$24&gt;(C195-1)*12,Paths!$O$24&lt;=C195*12)),Paths!$N$24,0),"n.a."))</f>
        <v>0</v>
      </c>
      <c r="L195" s="16">
        <f>IF(NOT(Paths!$C$24=1),0,IF(Paths!$P$24="Complete",IF(C195=10,Paths!$I$24,0),"n.a."))</f>
        <v>0</v>
      </c>
      <c r="M195" s="16">
        <f>IF(NOT(Paths!$C$24=1),0,IF(Paths!$P$24="Complete",IF(AND(Paths!$D$24="EV",Paths!$E$24&lt;120,Paths!$E$24+'Operating costs'!$B$65&gt;Paths!$E$24,Paths!$E$24+'Operating costs'!$B$65&lt;=120,IF(Paths!$E$24+'Operating costs'!$B$65=0,C195=0,AND(C195&gt;0,Paths!$E$24+'Operating costs'!$B$65&gt;(C195-1)*12,Paths!$E$24+'Operating costs'!$B$65&lt;=C195*12))),'Operating costs'!$B$64,0)+IF(AND('Operating costs'!$B$67&gt;0,'Operating costs'!$B$67&lt;=120,OR(Paths!$D$24="ICE",'Operating costs'!$B$67&lt;=Paths!$E$24),IF('Operating costs'!$B$67=0,C195=0,AND(C195&gt;0,'Operating costs'!$B$67&gt;(C195-1)*12,'Operating costs'!$B$67&lt;=C195*12))),'Operating costs'!$B$66,0),"n.a."))</f>
        <v>0</v>
      </c>
      <c r="N195" s="16">
        <f>IF(NOT(Paths!$C$24=1),0,IF(Paths!$P$24="Complete",SUM(G195:I195)-J195-K195-L195+M195+IF(C195=0,Paths!$F$24,0)+IF(IF(Paths!$E$24=0,C195=0,AND(C195&gt;0,Paths!$E$24&gt;(C195-1)*12,Paths!$E$24&lt;=C195*12)),VLOOKUP(A195,'Fleet register'!$A$7:$S$106,16,FALSE),0),"n.a."))</f>
        <v>18151.349999999999</v>
      </c>
      <c r="O195" s="16">
        <f>IF(NOT(Paths!$C$24=1),0,IF(Paths!$P$24="Complete",N195-IF(C195=0,Paths!$F$24,0),"n.a."))</f>
        <v>18151.349999999999</v>
      </c>
      <c r="P195" s="16">
        <f>IF(NOT(Paths!$C$24=1),0,IF(Paths!$P$24="Complete",O195+L195,"n.a."))</f>
        <v>18151.349999999999</v>
      </c>
      <c r="Q195" s="16">
        <f>IF(NOT(Paths!$C$24=1),0,IF(Paths!$P$24="Complete",N195*(1+'Operating costs'!$B$54)^-C195,"n.a."))</f>
        <v>18151.349999999999</v>
      </c>
      <c r="R195" s="16">
        <f>IF(NOT(Paths!$C$24=1),0,IF(Paths!$P$24="Complete",IF(AND(C195=0,Paths!$E$24=0),I195-J195-K195+VLOOKUP(A195,'Fleet register'!$A$7:$S$106,15,FALSE)+VLOOKUP(A195,'Fleet register'!$A$7:$S$106,16,FALSE),0),"n.a."))</f>
        <v>0</v>
      </c>
      <c r="S195" s="1">
        <f>IF(NOT(Paths!$C$24=1),0,IF(Paths!$P$24="Complete",IF(C195=0,0,Paths!$S$24*Paths!$R$24),"n.a."))</f>
        <v>45000</v>
      </c>
      <c r="T195" s="1">
        <f>IF(NOT(Paths!$C$24=1),0,IF(Paths!$P$24="Complete",IF(C195=0,0,VLOOKUP(A195,'Fleet register'!$A$7:$S$106,9,FALSE)*Paths!$R$24),"n.a."))</f>
        <v>7200</v>
      </c>
    </row>
    <row r="196" spans="1:20" ht="24" customHeight="1">
      <c r="A196" s="1" t="str">
        <f>Paths!$A$24</f>
        <v>T005</v>
      </c>
      <c r="B196" s="1">
        <f>Paths!$B$24</f>
        <v>1</v>
      </c>
      <c r="C196" s="1">
        <v>2</v>
      </c>
      <c r="D196" s="1">
        <v>24</v>
      </c>
      <c r="E196" s="1">
        <f>IF(OR(Paths!$C$24=0,C196=0),0,MAX(0,MIN(C196*12,Paths!$E$24)-(C196-1)*12))</f>
        <v>0</v>
      </c>
      <c r="F196" s="1">
        <f>IF(OR(Paths!$C$24=0,C196=0),0,12-E196)</f>
        <v>12</v>
      </c>
      <c r="G196" s="16">
        <f>IF(NOT(Paths!$C$24=1),0,IF(Paths!$P$24="Complete",E196/12*(Paths!$J$24*(1+'Operating costs'!$B$51)^MAX(0,C196-1)+Paths!$K$24*(1+'Operating costs'!$B$53)^MAX(0,C196-1)),"n.a."))</f>
        <v>0</v>
      </c>
      <c r="H196" s="16">
        <f>IF(NOT(Paths!$C$24=1),0,IF(Paths!$P$24="Complete",F196/12*(Paths!$L$24*(1+IF(Paths!$D$24="EV",'Operating costs'!$B$52,'Operating costs'!$B$51))^MAX(0,C196-1)+Paths!$M$24*(1+'Operating costs'!$B$53)^MAX(0,C196-1)),"n.a."))</f>
        <v>18151.349999999999</v>
      </c>
      <c r="I196" s="16">
        <f>IF(NOT(Paths!$C$24=1),0,IF(Paths!$P$24="Complete",IF(IF(Paths!$E$24=0,C196=0,AND(C196&gt;0,Paths!$E$24&gt;(C196-1)*12,Paths!$E$24&lt;=C196*12)),Paths!$G$24,0),"n.a."))</f>
        <v>0</v>
      </c>
      <c r="J196" s="16">
        <f>IF(NOT(Paths!$C$24=1),0,IF(Paths!$P$24="Complete",IF(IF(Paths!$E$24=0,C196=0,AND(C196&gt;0,Paths!$E$24&gt;(C196-1)*12,Paths!$E$24&lt;=C196*12)),Paths!$H$24,0),"n.a."))</f>
        <v>0</v>
      </c>
      <c r="K196" s="16">
        <f>IF(NOT(Paths!$C$24=1),0,IF(Paths!$P$24="Complete",IF(IF(Paths!$O$24=0,C196=0,AND(C196&gt;0,Paths!$O$24&gt;(C196-1)*12,Paths!$O$24&lt;=C196*12)),Paths!$N$24,0),"n.a."))</f>
        <v>0</v>
      </c>
      <c r="L196" s="16">
        <f>IF(NOT(Paths!$C$24=1),0,IF(Paths!$P$24="Complete",IF(C196=10,Paths!$I$24,0),"n.a."))</f>
        <v>0</v>
      </c>
      <c r="M196" s="16">
        <f>IF(NOT(Paths!$C$24=1),0,IF(Paths!$P$24="Complete",IF(AND(Paths!$D$24="EV",Paths!$E$24&lt;120,Paths!$E$24+'Operating costs'!$B$65&gt;Paths!$E$24,Paths!$E$24+'Operating costs'!$B$65&lt;=120,IF(Paths!$E$24+'Operating costs'!$B$65=0,C196=0,AND(C196&gt;0,Paths!$E$24+'Operating costs'!$B$65&gt;(C196-1)*12,Paths!$E$24+'Operating costs'!$B$65&lt;=C196*12))),'Operating costs'!$B$64,0)+IF(AND('Operating costs'!$B$67&gt;0,'Operating costs'!$B$67&lt;=120,OR(Paths!$D$24="ICE",'Operating costs'!$B$67&lt;=Paths!$E$24),IF('Operating costs'!$B$67=0,C196=0,AND(C196&gt;0,'Operating costs'!$B$67&gt;(C196-1)*12,'Operating costs'!$B$67&lt;=C196*12))),'Operating costs'!$B$66,0),"n.a."))</f>
        <v>0</v>
      </c>
      <c r="N196" s="16">
        <f>IF(NOT(Paths!$C$24=1),0,IF(Paths!$P$24="Complete",SUM(G196:I196)-J196-K196-L196+M196+IF(C196=0,Paths!$F$24,0)+IF(IF(Paths!$E$24=0,C196=0,AND(C196&gt;0,Paths!$E$24&gt;(C196-1)*12,Paths!$E$24&lt;=C196*12)),VLOOKUP(A196,'Fleet register'!$A$7:$S$106,16,FALSE),0),"n.a."))</f>
        <v>18151.349999999999</v>
      </c>
      <c r="O196" s="16">
        <f>IF(NOT(Paths!$C$24=1),0,IF(Paths!$P$24="Complete",N196-IF(C196=0,Paths!$F$24,0),"n.a."))</f>
        <v>18151.349999999999</v>
      </c>
      <c r="P196" s="16">
        <f>IF(NOT(Paths!$C$24=1),0,IF(Paths!$P$24="Complete",O196+L196,"n.a."))</f>
        <v>18151.349999999999</v>
      </c>
      <c r="Q196" s="16">
        <f>IF(NOT(Paths!$C$24=1),0,IF(Paths!$P$24="Complete",N196*(1+'Operating costs'!$B$54)^-C196,"n.a."))</f>
        <v>18151.349999999999</v>
      </c>
      <c r="R196" s="16">
        <f>IF(NOT(Paths!$C$24=1),0,IF(Paths!$P$24="Complete",IF(AND(C196=0,Paths!$E$24=0),I196-J196-K196+VLOOKUP(A196,'Fleet register'!$A$7:$S$106,15,FALSE)+VLOOKUP(A196,'Fleet register'!$A$7:$S$106,16,FALSE),0),"n.a."))</f>
        <v>0</v>
      </c>
      <c r="S196" s="1">
        <f>IF(NOT(Paths!$C$24=1),0,IF(Paths!$P$24="Complete",IF(C196=0,0,Paths!$S$24*Paths!$R$24),"n.a."))</f>
        <v>45000</v>
      </c>
      <c r="T196" s="1">
        <f>IF(NOT(Paths!$C$24=1),0,IF(Paths!$P$24="Complete",IF(C196=0,0,VLOOKUP(A196,'Fleet register'!$A$7:$S$106,9,FALSE)*Paths!$R$24),"n.a."))</f>
        <v>7200</v>
      </c>
    </row>
    <row r="197" spans="1:20" ht="24" customHeight="1">
      <c r="A197" s="1" t="str">
        <f>Paths!$A$24</f>
        <v>T005</v>
      </c>
      <c r="B197" s="1">
        <f>Paths!$B$24</f>
        <v>1</v>
      </c>
      <c r="C197" s="1">
        <v>3</v>
      </c>
      <c r="D197" s="1">
        <v>24</v>
      </c>
      <c r="E197" s="1">
        <f>IF(OR(Paths!$C$24=0,C197=0),0,MAX(0,MIN(C197*12,Paths!$E$24)-(C197-1)*12))</f>
        <v>0</v>
      </c>
      <c r="F197" s="1">
        <f>IF(OR(Paths!$C$24=0,C197=0),0,12-E197)</f>
        <v>12</v>
      </c>
      <c r="G197" s="16">
        <f>IF(NOT(Paths!$C$24=1),0,IF(Paths!$P$24="Complete",E197/12*(Paths!$J$24*(1+'Operating costs'!$B$51)^MAX(0,C197-1)+Paths!$K$24*(1+'Operating costs'!$B$53)^MAX(0,C197-1)),"n.a."))</f>
        <v>0</v>
      </c>
      <c r="H197" s="16">
        <f>IF(NOT(Paths!$C$24=1),0,IF(Paths!$P$24="Complete",F197/12*(Paths!$L$24*(1+IF(Paths!$D$24="EV",'Operating costs'!$B$52,'Operating costs'!$B$51))^MAX(0,C197-1)+Paths!$M$24*(1+'Operating costs'!$B$53)^MAX(0,C197-1)),"n.a."))</f>
        <v>18151.349999999999</v>
      </c>
      <c r="I197" s="16">
        <f>IF(NOT(Paths!$C$24=1),0,IF(Paths!$P$24="Complete",IF(IF(Paths!$E$24=0,C197=0,AND(C197&gt;0,Paths!$E$24&gt;(C197-1)*12,Paths!$E$24&lt;=C197*12)),Paths!$G$24,0),"n.a."))</f>
        <v>0</v>
      </c>
      <c r="J197" s="16">
        <f>IF(NOT(Paths!$C$24=1),0,IF(Paths!$P$24="Complete",IF(IF(Paths!$E$24=0,C197=0,AND(C197&gt;0,Paths!$E$24&gt;(C197-1)*12,Paths!$E$24&lt;=C197*12)),Paths!$H$24,0),"n.a."))</f>
        <v>0</v>
      </c>
      <c r="K197" s="16">
        <f>IF(NOT(Paths!$C$24=1),0,IF(Paths!$P$24="Complete",IF(IF(Paths!$O$24=0,C197=0,AND(C197&gt;0,Paths!$O$24&gt;(C197-1)*12,Paths!$O$24&lt;=C197*12)),Paths!$N$24,0),"n.a."))</f>
        <v>0</v>
      </c>
      <c r="L197" s="16">
        <f>IF(NOT(Paths!$C$24=1),0,IF(Paths!$P$24="Complete",IF(C197=10,Paths!$I$24,0),"n.a."))</f>
        <v>0</v>
      </c>
      <c r="M197" s="16">
        <f>IF(NOT(Paths!$C$24=1),0,IF(Paths!$P$24="Complete",IF(AND(Paths!$D$24="EV",Paths!$E$24&lt;120,Paths!$E$24+'Operating costs'!$B$65&gt;Paths!$E$24,Paths!$E$24+'Operating costs'!$B$65&lt;=120,IF(Paths!$E$24+'Operating costs'!$B$65=0,C197=0,AND(C197&gt;0,Paths!$E$24+'Operating costs'!$B$65&gt;(C197-1)*12,Paths!$E$24+'Operating costs'!$B$65&lt;=C197*12))),'Operating costs'!$B$64,0)+IF(AND('Operating costs'!$B$67&gt;0,'Operating costs'!$B$67&lt;=120,OR(Paths!$D$24="ICE",'Operating costs'!$B$67&lt;=Paths!$E$24),IF('Operating costs'!$B$67=0,C197=0,AND(C197&gt;0,'Operating costs'!$B$67&gt;(C197-1)*12,'Operating costs'!$B$67&lt;=C197*12))),'Operating costs'!$B$66,0),"n.a."))</f>
        <v>0</v>
      </c>
      <c r="N197" s="16">
        <f>IF(NOT(Paths!$C$24=1),0,IF(Paths!$P$24="Complete",SUM(G197:I197)-J197-K197-L197+M197+IF(C197=0,Paths!$F$24,0)+IF(IF(Paths!$E$24=0,C197=0,AND(C197&gt;0,Paths!$E$24&gt;(C197-1)*12,Paths!$E$24&lt;=C197*12)),VLOOKUP(A197,'Fleet register'!$A$7:$S$106,16,FALSE),0),"n.a."))</f>
        <v>18151.349999999999</v>
      </c>
      <c r="O197" s="16">
        <f>IF(NOT(Paths!$C$24=1),0,IF(Paths!$P$24="Complete",N197-IF(C197=0,Paths!$F$24,0),"n.a."))</f>
        <v>18151.349999999999</v>
      </c>
      <c r="P197" s="16">
        <f>IF(NOT(Paths!$C$24=1),0,IF(Paths!$P$24="Complete",O197+L197,"n.a."))</f>
        <v>18151.349999999999</v>
      </c>
      <c r="Q197" s="16">
        <f>IF(NOT(Paths!$C$24=1),0,IF(Paths!$P$24="Complete",N197*(1+'Operating costs'!$B$54)^-C197,"n.a."))</f>
        <v>18151.349999999999</v>
      </c>
      <c r="R197" s="16">
        <f>IF(NOT(Paths!$C$24=1),0,IF(Paths!$P$24="Complete",IF(AND(C197=0,Paths!$E$24=0),I197-J197-K197+VLOOKUP(A197,'Fleet register'!$A$7:$S$106,15,FALSE)+VLOOKUP(A197,'Fleet register'!$A$7:$S$106,16,FALSE),0),"n.a."))</f>
        <v>0</v>
      </c>
      <c r="S197" s="1">
        <f>IF(NOT(Paths!$C$24=1),0,IF(Paths!$P$24="Complete",IF(C197=0,0,Paths!$S$24*Paths!$R$24),"n.a."))</f>
        <v>45000</v>
      </c>
      <c r="T197" s="1">
        <f>IF(NOT(Paths!$C$24=1),0,IF(Paths!$P$24="Complete",IF(C197=0,0,VLOOKUP(A197,'Fleet register'!$A$7:$S$106,9,FALSE)*Paths!$R$24),"n.a."))</f>
        <v>7200</v>
      </c>
    </row>
    <row r="198" spans="1:20" ht="24" customHeight="1">
      <c r="A198" s="1" t="str">
        <f>Paths!$A$24</f>
        <v>T005</v>
      </c>
      <c r="B198" s="1">
        <f>Paths!$B$24</f>
        <v>1</v>
      </c>
      <c r="C198" s="1">
        <v>4</v>
      </c>
      <c r="D198" s="1">
        <v>24</v>
      </c>
      <c r="E198" s="1">
        <f>IF(OR(Paths!$C$24=0,C198=0),0,MAX(0,MIN(C198*12,Paths!$E$24)-(C198-1)*12))</f>
        <v>0</v>
      </c>
      <c r="F198" s="1">
        <f>IF(OR(Paths!$C$24=0,C198=0),0,12-E198)</f>
        <v>12</v>
      </c>
      <c r="G198" s="16">
        <f>IF(NOT(Paths!$C$24=1),0,IF(Paths!$P$24="Complete",E198/12*(Paths!$J$24*(1+'Operating costs'!$B$51)^MAX(0,C198-1)+Paths!$K$24*(1+'Operating costs'!$B$53)^MAX(0,C198-1)),"n.a."))</f>
        <v>0</v>
      </c>
      <c r="H198" s="16">
        <f>IF(NOT(Paths!$C$24=1),0,IF(Paths!$P$24="Complete",F198/12*(Paths!$L$24*(1+IF(Paths!$D$24="EV",'Operating costs'!$B$52,'Operating costs'!$B$51))^MAX(0,C198-1)+Paths!$M$24*(1+'Operating costs'!$B$53)^MAX(0,C198-1)),"n.a."))</f>
        <v>18151.349999999999</v>
      </c>
      <c r="I198" s="16">
        <f>IF(NOT(Paths!$C$24=1),0,IF(Paths!$P$24="Complete",IF(IF(Paths!$E$24=0,C198=0,AND(C198&gt;0,Paths!$E$24&gt;(C198-1)*12,Paths!$E$24&lt;=C198*12)),Paths!$G$24,0),"n.a."))</f>
        <v>0</v>
      </c>
      <c r="J198" s="16">
        <f>IF(NOT(Paths!$C$24=1),0,IF(Paths!$P$24="Complete",IF(IF(Paths!$E$24=0,C198=0,AND(C198&gt;0,Paths!$E$24&gt;(C198-1)*12,Paths!$E$24&lt;=C198*12)),Paths!$H$24,0),"n.a."))</f>
        <v>0</v>
      </c>
      <c r="K198" s="16">
        <f>IF(NOT(Paths!$C$24=1),0,IF(Paths!$P$24="Complete",IF(IF(Paths!$O$24=0,C198=0,AND(C198&gt;0,Paths!$O$24&gt;(C198-1)*12,Paths!$O$24&lt;=C198*12)),Paths!$N$24,0),"n.a."))</f>
        <v>0</v>
      </c>
      <c r="L198" s="16">
        <f>IF(NOT(Paths!$C$24=1),0,IF(Paths!$P$24="Complete",IF(C198=10,Paths!$I$24,0),"n.a."))</f>
        <v>0</v>
      </c>
      <c r="M198" s="16">
        <f>IF(NOT(Paths!$C$24=1),0,IF(Paths!$P$24="Complete",IF(AND(Paths!$D$24="EV",Paths!$E$24&lt;120,Paths!$E$24+'Operating costs'!$B$65&gt;Paths!$E$24,Paths!$E$24+'Operating costs'!$B$65&lt;=120,IF(Paths!$E$24+'Operating costs'!$B$65=0,C198=0,AND(C198&gt;0,Paths!$E$24+'Operating costs'!$B$65&gt;(C198-1)*12,Paths!$E$24+'Operating costs'!$B$65&lt;=C198*12))),'Operating costs'!$B$64,0)+IF(AND('Operating costs'!$B$67&gt;0,'Operating costs'!$B$67&lt;=120,OR(Paths!$D$24="ICE",'Operating costs'!$B$67&lt;=Paths!$E$24),IF('Operating costs'!$B$67=0,C198=0,AND(C198&gt;0,'Operating costs'!$B$67&gt;(C198-1)*12,'Operating costs'!$B$67&lt;=C198*12))),'Operating costs'!$B$66,0),"n.a."))</f>
        <v>0</v>
      </c>
      <c r="N198" s="16">
        <f>IF(NOT(Paths!$C$24=1),0,IF(Paths!$P$24="Complete",SUM(G198:I198)-J198-K198-L198+M198+IF(C198=0,Paths!$F$24,0)+IF(IF(Paths!$E$24=0,C198=0,AND(C198&gt;0,Paths!$E$24&gt;(C198-1)*12,Paths!$E$24&lt;=C198*12)),VLOOKUP(A198,'Fleet register'!$A$7:$S$106,16,FALSE),0),"n.a."))</f>
        <v>18151.349999999999</v>
      </c>
      <c r="O198" s="16">
        <f>IF(NOT(Paths!$C$24=1),0,IF(Paths!$P$24="Complete",N198-IF(C198=0,Paths!$F$24,0),"n.a."))</f>
        <v>18151.349999999999</v>
      </c>
      <c r="P198" s="16">
        <f>IF(NOT(Paths!$C$24=1),0,IF(Paths!$P$24="Complete",O198+L198,"n.a."))</f>
        <v>18151.349999999999</v>
      </c>
      <c r="Q198" s="16">
        <f>IF(NOT(Paths!$C$24=1),0,IF(Paths!$P$24="Complete",N198*(1+'Operating costs'!$B$54)^-C198,"n.a."))</f>
        <v>18151.349999999999</v>
      </c>
      <c r="R198" s="16">
        <f>IF(NOT(Paths!$C$24=1),0,IF(Paths!$P$24="Complete",IF(AND(C198=0,Paths!$E$24=0),I198-J198-K198+VLOOKUP(A198,'Fleet register'!$A$7:$S$106,15,FALSE)+VLOOKUP(A198,'Fleet register'!$A$7:$S$106,16,FALSE),0),"n.a."))</f>
        <v>0</v>
      </c>
      <c r="S198" s="1">
        <f>IF(NOT(Paths!$C$24=1),0,IF(Paths!$P$24="Complete",IF(C198=0,0,Paths!$S$24*Paths!$R$24),"n.a."))</f>
        <v>45000</v>
      </c>
      <c r="T198" s="1">
        <f>IF(NOT(Paths!$C$24=1),0,IF(Paths!$P$24="Complete",IF(C198=0,0,VLOOKUP(A198,'Fleet register'!$A$7:$S$106,9,FALSE)*Paths!$R$24),"n.a."))</f>
        <v>7200</v>
      </c>
    </row>
    <row r="199" spans="1:20" ht="24" customHeight="1">
      <c r="A199" s="1" t="str">
        <f>Paths!$A$24</f>
        <v>T005</v>
      </c>
      <c r="B199" s="1">
        <f>Paths!$B$24</f>
        <v>1</v>
      </c>
      <c r="C199" s="1">
        <v>5</v>
      </c>
      <c r="D199" s="1">
        <v>24</v>
      </c>
      <c r="E199" s="1">
        <f>IF(OR(Paths!$C$24=0,C199=0),0,MAX(0,MIN(C199*12,Paths!$E$24)-(C199-1)*12))</f>
        <v>0</v>
      </c>
      <c r="F199" s="1">
        <f>IF(OR(Paths!$C$24=0,C199=0),0,12-E199)</f>
        <v>12</v>
      </c>
      <c r="G199" s="16">
        <f>IF(NOT(Paths!$C$24=1),0,IF(Paths!$P$24="Complete",E199/12*(Paths!$J$24*(1+'Operating costs'!$B$51)^MAX(0,C199-1)+Paths!$K$24*(1+'Operating costs'!$B$53)^MAX(0,C199-1)),"n.a."))</f>
        <v>0</v>
      </c>
      <c r="H199" s="16">
        <f>IF(NOT(Paths!$C$24=1),0,IF(Paths!$P$24="Complete",F199/12*(Paths!$L$24*(1+IF(Paths!$D$24="EV",'Operating costs'!$B$52,'Operating costs'!$B$51))^MAX(0,C199-1)+Paths!$M$24*(1+'Operating costs'!$B$53)^MAX(0,C199-1)),"n.a."))</f>
        <v>18151.349999999999</v>
      </c>
      <c r="I199" s="16">
        <f>IF(NOT(Paths!$C$24=1),0,IF(Paths!$P$24="Complete",IF(IF(Paths!$E$24=0,C199=0,AND(C199&gt;0,Paths!$E$24&gt;(C199-1)*12,Paths!$E$24&lt;=C199*12)),Paths!$G$24,0),"n.a."))</f>
        <v>0</v>
      </c>
      <c r="J199" s="16">
        <f>IF(NOT(Paths!$C$24=1),0,IF(Paths!$P$24="Complete",IF(IF(Paths!$E$24=0,C199=0,AND(C199&gt;0,Paths!$E$24&gt;(C199-1)*12,Paths!$E$24&lt;=C199*12)),Paths!$H$24,0),"n.a."))</f>
        <v>0</v>
      </c>
      <c r="K199" s="16">
        <f>IF(NOT(Paths!$C$24=1),0,IF(Paths!$P$24="Complete",IF(IF(Paths!$O$24=0,C199=0,AND(C199&gt;0,Paths!$O$24&gt;(C199-1)*12,Paths!$O$24&lt;=C199*12)),Paths!$N$24,0),"n.a."))</f>
        <v>0</v>
      </c>
      <c r="L199" s="16">
        <f>IF(NOT(Paths!$C$24=1),0,IF(Paths!$P$24="Complete",IF(C199=10,Paths!$I$24,0),"n.a."))</f>
        <v>0</v>
      </c>
      <c r="M199" s="16">
        <f>IF(NOT(Paths!$C$24=1),0,IF(Paths!$P$24="Complete",IF(AND(Paths!$D$24="EV",Paths!$E$24&lt;120,Paths!$E$24+'Operating costs'!$B$65&gt;Paths!$E$24,Paths!$E$24+'Operating costs'!$B$65&lt;=120,IF(Paths!$E$24+'Operating costs'!$B$65=0,C199=0,AND(C199&gt;0,Paths!$E$24+'Operating costs'!$B$65&gt;(C199-1)*12,Paths!$E$24+'Operating costs'!$B$65&lt;=C199*12))),'Operating costs'!$B$64,0)+IF(AND('Operating costs'!$B$67&gt;0,'Operating costs'!$B$67&lt;=120,OR(Paths!$D$24="ICE",'Operating costs'!$B$67&lt;=Paths!$E$24),IF('Operating costs'!$B$67=0,C199=0,AND(C199&gt;0,'Operating costs'!$B$67&gt;(C199-1)*12,'Operating costs'!$B$67&lt;=C199*12))),'Operating costs'!$B$66,0),"n.a."))</f>
        <v>0</v>
      </c>
      <c r="N199" s="16">
        <f>IF(NOT(Paths!$C$24=1),0,IF(Paths!$P$24="Complete",SUM(G199:I199)-J199-K199-L199+M199+IF(C199=0,Paths!$F$24,0)+IF(IF(Paths!$E$24=0,C199=0,AND(C199&gt;0,Paths!$E$24&gt;(C199-1)*12,Paths!$E$24&lt;=C199*12)),VLOOKUP(A199,'Fleet register'!$A$7:$S$106,16,FALSE),0),"n.a."))</f>
        <v>18151.349999999999</v>
      </c>
      <c r="O199" s="16">
        <f>IF(NOT(Paths!$C$24=1),0,IF(Paths!$P$24="Complete",N199-IF(C199=0,Paths!$F$24,0),"n.a."))</f>
        <v>18151.349999999999</v>
      </c>
      <c r="P199" s="16">
        <f>IF(NOT(Paths!$C$24=1),0,IF(Paths!$P$24="Complete",O199+L199,"n.a."))</f>
        <v>18151.349999999999</v>
      </c>
      <c r="Q199" s="16">
        <f>IF(NOT(Paths!$C$24=1),0,IF(Paths!$P$24="Complete",N199*(1+'Operating costs'!$B$54)^-C199,"n.a."))</f>
        <v>18151.349999999999</v>
      </c>
      <c r="R199" s="16">
        <f>IF(NOT(Paths!$C$24=1),0,IF(Paths!$P$24="Complete",IF(AND(C199=0,Paths!$E$24=0),I199-J199-K199+VLOOKUP(A199,'Fleet register'!$A$7:$S$106,15,FALSE)+VLOOKUP(A199,'Fleet register'!$A$7:$S$106,16,FALSE),0),"n.a."))</f>
        <v>0</v>
      </c>
      <c r="S199" s="1">
        <f>IF(NOT(Paths!$C$24=1),0,IF(Paths!$P$24="Complete",IF(C199=0,0,Paths!$S$24*Paths!$R$24),"n.a."))</f>
        <v>45000</v>
      </c>
      <c r="T199" s="1">
        <f>IF(NOT(Paths!$C$24=1),0,IF(Paths!$P$24="Complete",IF(C199=0,0,VLOOKUP(A199,'Fleet register'!$A$7:$S$106,9,FALSE)*Paths!$R$24),"n.a."))</f>
        <v>7200</v>
      </c>
    </row>
    <row r="200" spans="1:20" ht="24" customHeight="1">
      <c r="A200" s="1" t="str">
        <f>Paths!$A$24</f>
        <v>T005</v>
      </c>
      <c r="B200" s="1">
        <f>Paths!$B$24</f>
        <v>1</v>
      </c>
      <c r="C200" s="1">
        <v>6</v>
      </c>
      <c r="D200" s="1">
        <v>24</v>
      </c>
      <c r="E200" s="1">
        <f>IF(OR(Paths!$C$24=0,C200=0),0,MAX(0,MIN(C200*12,Paths!$E$24)-(C200-1)*12))</f>
        <v>0</v>
      </c>
      <c r="F200" s="1">
        <f>IF(OR(Paths!$C$24=0,C200=0),0,12-E200)</f>
        <v>12</v>
      </c>
      <c r="G200" s="16">
        <f>IF(NOT(Paths!$C$24=1),0,IF(Paths!$P$24="Complete",E200/12*(Paths!$J$24*(1+'Operating costs'!$B$51)^MAX(0,C200-1)+Paths!$K$24*(1+'Operating costs'!$B$53)^MAX(0,C200-1)),"n.a."))</f>
        <v>0</v>
      </c>
      <c r="H200" s="16">
        <f>IF(NOT(Paths!$C$24=1),0,IF(Paths!$P$24="Complete",F200/12*(Paths!$L$24*(1+IF(Paths!$D$24="EV",'Operating costs'!$B$52,'Operating costs'!$B$51))^MAX(0,C200-1)+Paths!$M$24*(1+'Operating costs'!$B$53)^MAX(0,C200-1)),"n.a."))</f>
        <v>18151.349999999999</v>
      </c>
      <c r="I200" s="16">
        <f>IF(NOT(Paths!$C$24=1),0,IF(Paths!$P$24="Complete",IF(IF(Paths!$E$24=0,C200=0,AND(C200&gt;0,Paths!$E$24&gt;(C200-1)*12,Paths!$E$24&lt;=C200*12)),Paths!$G$24,0),"n.a."))</f>
        <v>0</v>
      </c>
      <c r="J200" s="16">
        <f>IF(NOT(Paths!$C$24=1),0,IF(Paths!$P$24="Complete",IF(IF(Paths!$E$24=0,C200=0,AND(C200&gt;0,Paths!$E$24&gt;(C200-1)*12,Paths!$E$24&lt;=C200*12)),Paths!$H$24,0),"n.a."))</f>
        <v>0</v>
      </c>
      <c r="K200" s="16">
        <f>IF(NOT(Paths!$C$24=1),0,IF(Paths!$P$24="Complete",IF(IF(Paths!$O$24=0,C200=0,AND(C200&gt;0,Paths!$O$24&gt;(C200-1)*12,Paths!$O$24&lt;=C200*12)),Paths!$N$24,0),"n.a."))</f>
        <v>0</v>
      </c>
      <c r="L200" s="16">
        <f>IF(NOT(Paths!$C$24=1),0,IF(Paths!$P$24="Complete",IF(C200=10,Paths!$I$24,0),"n.a."))</f>
        <v>0</v>
      </c>
      <c r="M200" s="16">
        <f>IF(NOT(Paths!$C$24=1),0,IF(Paths!$P$24="Complete",IF(AND(Paths!$D$24="EV",Paths!$E$24&lt;120,Paths!$E$24+'Operating costs'!$B$65&gt;Paths!$E$24,Paths!$E$24+'Operating costs'!$B$65&lt;=120,IF(Paths!$E$24+'Operating costs'!$B$65=0,C200=0,AND(C200&gt;0,Paths!$E$24+'Operating costs'!$B$65&gt;(C200-1)*12,Paths!$E$24+'Operating costs'!$B$65&lt;=C200*12))),'Operating costs'!$B$64,0)+IF(AND('Operating costs'!$B$67&gt;0,'Operating costs'!$B$67&lt;=120,OR(Paths!$D$24="ICE",'Operating costs'!$B$67&lt;=Paths!$E$24),IF('Operating costs'!$B$67=0,C200=0,AND(C200&gt;0,'Operating costs'!$B$67&gt;(C200-1)*12,'Operating costs'!$B$67&lt;=C200*12))),'Operating costs'!$B$66,0),"n.a."))</f>
        <v>0</v>
      </c>
      <c r="N200" s="16">
        <f>IF(NOT(Paths!$C$24=1),0,IF(Paths!$P$24="Complete",SUM(G200:I200)-J200-K200-L200+M200+IF(C200=0,Paths!$F$24,0)+IF(IF(Paths!$E$24=0,C200=0,AND(C200&gt;0,Paths!$E$24&gt;(C200-1)*12,Paths!$E$24&lt;=C200*12)),VLOOKUP(A200,'Fleet register'!$A$7:$S$106,16,FALSE),0),"n.a."))</f>
        <v>18151.349999999999</v>
      </c>
      <c r="O200" s="16">
        <f>IF(NOT(Paths!$C$24=1),0,IF(Paths!$P$24="Complete",N200-IF(C200=0,Paths!$F$24,0),"n.a."))</f>
        <v>18151.349999999999</v>
      </c>
      <c r="P200" s="16">
        <f>IF(NOT(Paths!$C$24=1),0,IF(Paths!$P$24="Complete",O200+L200,"n.a."))</f>
        <v>18151.349999999999</v>
      </c>
      <c r="Q200" s="16">
        <f>IF(NOT(Paths!$C$24=1),0,IF(Paths!$P$24="Complete",N200*(1+'Operating costs'!$B$54)^-C200,"n.a."))</f>
        <v>18151.349999999999</v>
      </c>
      <c r="R200" s="16">
        <f>IF(NOT(Paths!$C$24=1),0,IF(Paths!$P$24="Complete",IF(AND(C200=0,Paths!$E$24=0),I200-J200-K200+VLOOKUP(A200,'Fleet register'!$A$7:$S$106,15,FALSE)+VLOOKUP(A200,'Fleet register'!$A$7:$S$106,16,FALSE),0),"n.a."))</f>
        <v>0</v>
      </c>
      <c r="S200" s="1">
        <f>IF(NOT(Paths!$C$24=1),0,IF(Paths!$P$24="Complete",IF(C200=0,0,Paths!$S$24*Paths!$R$24),"n.a."))</f>
        <v>45000</v>
      </c>
      <c r="T200" s="1">
        <f>IF(NOT(Paths!$C$24=1),0,IF(Paths!$P$24="Complete",IF(C200=0,0,VLOOKUP(A200,'Fleet register'!$A$7:$S$106,9,FALSE)*Paths!$R$24),"n.a."))</f>
        <v>7200</v>
      </c>
    </row>
    <row r="201" spans="1:20" ht="24" customHeight="1">
      <c r="A201" s="1" t="str">
        <f>Paths!$A$24</f>
        <v>T005</v>
      </c>
      <c r="B201" s="1">
        <f>Paths!$B$24</f>
        <v>1</v>
      </c>
      <c r="C201" s="1">
        <v>7</v>
      </c>
      <c r="D201" s="1">
        <v>24</v>
      </c>
      <c r="E201" s="1">
        <f>IF(OR(Paths!$C$24=0,C201=0),0,MAX(0,MIN(C201*12,Paths!$E$24)-(C201-1)*12))</f>
        <v>0</v>
      </c>
      <c r="F201" s="1">
        <f>IF(OR(Paths!$C$24=0,C201=0),0,12-E201)</f>
        <v>12</v>
      </c>
      <c r="G201" s="16">
        <f>IF(NOT(Paths!$C$24=1),0,IF(Paths!$P$24="Complete",E201/12*(Paths!$J$24*(1+'Operating costs'!$B$51)^MAX(0,C201-1)+Paths!$K$24*(1+'Operating costs'!$B$53)^MAX(0,C201-1)),"n.a."))</f>
        <v>0</v>
      </c>
      <c r="H201" s="16">
        <f>IF(NOT(Paths!$C$24=1),0,IF(Paths!$P$24="Complete",F201/12*(Paths!$L$24*(1+IF(Paths!$D$24="EV",'Operating costs'!$B$52,'Operating costs'!$B$51))^MAX(0,C201-1)+Paths!$M$24*(1+'Operating costs'!$B$53)^MAX(0,C201-1)),"n.a."))</f>
        <v>18151.349999999999</v>
      </c>
      <c r="I201" s="16">
        <f>IF(NOT(Paths!$C$24=1),0,IF(Paths!$P$24="Complete",IF(IF(Paths!$E$24=0,C201=0,AND(C201&gt;0,Paths!$E$24&gt;(C201-1)*12,Paths!$E$24&lt;=C201*12)),Paths!$G$24,0),"n.a."))</f>
        <v>0</v>
      </c>
      <c r="J201" s="16">
        <f>IF(NOT(Paths!$C$24=1),0,IF(Paths!$P$24="Complete",IF(IF(Paths!$E$24=0,C201=0,AND(C201&gt;0,Paths!$E$24&gt;(C201-1)*12,Paths!$E$24&lt;=C201*12)),Paths!$H$24,0),"n.a."))</f>
        <v>0</v>
      </c>
      <c r="K201" s="16">
        <f>IF(NOT(Paths!$C$24=1),0,IF(Paths!$P$24="Complete",IF(IF(Paths!$O$24=0,C201=0,AND(C201&gt;0,Paths!$O$24&gt;(C201-1)*12,Paths!$O$24&lt;=C201*12)),Paths!$N$24,0),"n.a."))</f>
        <v>0</v>
      </c>
      <c r="L201" s="16">
        <f>IF(NOT(Paths!$C$24=1),0,IF(Paths!$P$24="Complete",IF(C201=10,Paths!$I$24,0),"n.a."))</f>
        <v>0</v>
      </c>
      <c r="M201" s="16">
        <f>IF(NOT(Paths!$C$24=1),0,IF(Paths!$P$24="Complete",IF(AND(Paths!$D$24="EV",Paths!$E$24&lt;120,Paths!$E$24+'Operating costs'!$B$65&gt;Paths!$E$24,Paths!$E$24+'Operating costs'!$B$65&lt;=120,IF(Paths!$E$24+'Operating costs'!$B$65=0,C201=0,AND(C201&gt;0,Paths!$E$24+'Operating costs'!$B$65&gt;(C201-1)*12,Paths!$E$24+'Operating costs'!$B$65&lt;=C201*12))),'Operating costs'!$B$64,0)+IF(AND('Operating costs'!$B$67&gt;0,'Operating costs'!$B$67&lt;=120,OR(Paths!$D$24="ICE",'Operating costs'!$B$67&lt;=Paths!$E$24),IF('Operating costs'!$B$67=0,C201=0,AND(C201&gt;0,'Operating costs'!$B$67&gt;(C201-1)*12,'Operating costs'!$B$67&lt;=C201*12))),'Operating costs'!$B$66,0),"n.a."))</f>
        <v>0</v>
      </c>
      <c r="N201" s="16">
        <f>IF(NOT(Paths!$C$24=1),0,IF(Paths!$P$24="Complete",SUM(G201:I201)-J201-K201-L201+M201+IF(C201=0,Paths!$F$24,0)+IF(IF(Paths!$E$24=0,C201=0,AND(C201&gt;0,Paths!$E$24&gt;(C201-1)*12,Paths!$E$24&lt;=C201*12)),VLOOKUP(A201,'Fleet register'!$A$7:$S$106,16,FALSE),0),"n.a."))</f>
        <v>18151.349999999999</v>
      </c>
      <c r="O201" s="16">
        <f>IF(NOT(Paths!$C$24=1),0,IF(Paths!$P$24="Complete",N201-IF(C201=0,Paths!$F$24,0),"n.a."))</f>
        <v>18151.349999999999</v>
      </c>
      <c r="P201" s="16">
        <f>IF(NOT(Paths!$C$24=1),0,IF(Paths!$P$24="Complete",O201+L201,"n.a."))</f>
        <v>18151.349999999999</v>
      </c>
      <c r="Q201" s="16">
        <f>IF(NOT(Paths!$C$24=1),0,IF(Paths!$P$24="Complete",N201*(1+'Operating costs'!$B$54)^-C201,"n.a."))</f>
        <v>18151.349999999999</v>
      </c>
      <c r="R201" s="16">
        <f>IF(NOT(Paths!$C$24=1),0,IF(Paths!$P$24="Complete",IF(AND(C201=0,Paths!$E$24=0),I201-J201-K201+VLOOKUP(A201,'Fleet register'!$A$7:$S$106,15,FALSE)+VLOOKUP(A201,'Fleet register'!$A$7:$S$106,16,FALSE),0),"n.a."))</f>
        <v>0</v>
      </c>
      <c r="S201" s="1">
        <f>IF(NOT(Paths!$C$24=1),0,IF(Paths!$P$24="Complete",IF(C201=0,0,Paths!$S$24*Paths!$R$24),"n.a."))</f>
        <v>45000</v>
      </c>
      <c r="T201" s="1">
        <f>IF(NOT(Paths!$C$24=1),0,IF(Paths!$P$24="Complete",IF(C201=0,0,VLOOKUP(A201,'Fleet register'!$A$7:$S$106,9,FALSE)*Paths!$R$24),"n.a."))</f>
        <v>7200</v>
      </c>
    </row>
    <row r="202" spans="1:20" ht="24" customHeight="1">
      <c r="A202" s="1" t="str">
        <f>Paths!$A$24</f>
        <v>T005</v>
      </c>
      <c r="B202" s="1">
        <f>Paths!$B$24</f>
        <v>1</v>
      </c>
      <c r="C202" s="1">
        <v>8</v>
      </c>
      <c r="D202" s="1">
        <v>24</v>
      </c>
      <c r="E202" s="1">
        <f>IF(OR(Paths!$C$24=0,C202=0),0,MAX(0,MIN(C202*12,Paths!$E$24)-(C202-1)*12))</f>
        <v>0</v>
      </c>
      <c r="F202" s="1">
        <f>IF(OR(Paths!$C$24=0,C202=0),0,12-E202)</f>
        <v>12</v>
      </c>
      <c r="G202" s="16">
        <f>IF(NOT(Paths!$C$24=1),0,IF(Paths!$P$24="Complete",E202/12*(Paths!$J$24*(1+'Operating costs'!$B$51)^MAX(0,C202-1)+Paths!$K$24*(1+'Operating costs'!$B$53)^MAX(0,C202-1)),"n.a."))</f>
        <v>0</v>
      </c>
      <c r="H202" s="16">
        <f>IF(NOT(Paths!$C$24=1),0,IF(Paths!$P$24="Complete",F202/12*(Paths!$L$24*(1+IF(Paths!$D$24="EV",'Operating costs'!$B$52,'Operating costs'!$B$51))^MAX(0,C202-1)+Paths!$M$24*(1+'Operating costs'!$B$53)^MAX(0,C202-1)),"n.a."))</f>
        <v>18151.349999999999</v>
      </c>
      <c r="I202" s="16">
        <f>IF(NOT(Paths!$C$24=1),0,IF(Paths!$P$24="Complete",IF(IF(Paths!$E$24=0,C202=0,AND(C202&gt;0,Paths!$E$24&gt;(C202-1)*12,Paths!$E$24&lt;=C202*12)),Paths!$G$24,0),"n.a."))</f>
        <v>0</v>
      </c>
      <c r="J202" s="16">
        <f>IF(NOT(Paths!$C$24=1),0,IF(Paths!$P$24="Complete",IF(IF(Paths!$E$24=0,C202=0,AND(C202&gt;0,Paths!$E$24&gt;(C202-1)*12,Paths!$E$24&lt;=C202*12)),Paths!$H$24,0),"n.a."))</f>
        <v>0</v>
      </c>
      <c r="K202" s="16">
        <f>IF(NOT(Paths!$C$24=1),0,IF(Paths!$P$24="Complete",IF(IF(Paths!$O$24=0,C202=0,AND(C202&gt;0,Paths!$O$24&gt;(C202-1)*12,Paths!$O$24&lt;=C202*12)),Paths!$N$24,0),"n.a."))</f>
        <v>0</v>
      </c>
      <c r="L202" s="16">
        <f>IF(NOT(Paths!$C$24=1),0,IF(Paths!$P$24="Complete",IF(C202=10,Paths!$I$24,0),"n.a."))</f>
        <v>0</v>
      </c>
      <c r="M202" s="16">
        <f>IF(NOT(Paths!$C$24=1),0,IF(Paths!$P$24="Complete",IF(AND(Paths!$D$24="EV",Paths!$E$24&lt;120,Paths!$E$24+'Operating costs'!$B$65&gt;Paths!$E$24,Paths!$E$24+'Operating costs'!$B$65&lt;=120,IF(Paths!$E$24+'Operating costs'!$B$65=0,C202=0,AND(C202&gt;0,Paths!$E$24+'Operating costs'!$B$65&gt;(C202-1)*12,Paths!$E$24+'Operating costs'!$B$65&lt;=C202*12))),'Operating costs'!$B$64,0)+IF(AND('Operating costs'!$B$67&gt;0,'Operating costs'!$B$67&lt;=120,OR(Paths!$D$24="ICE",'Operating costs'!$B$67&lt;=Paths!$E$24),IF('Operating costs'!$B$67=0,C202=0,AND(C202&gt;0,'Operating costs'!$B$67&gt;(C202-1)*12,'Operating costs'!$B$67&lt;=C202*12))),'Operating costs'!$B$66,0),"n.a."))</f>
        <v>0</v>
      </c>
      <c r="N202" s="16">
        <f>IF(NOT(Paths!$C$24=1),0,IF(Paths!$P$24="Complete",SUM(G202:I202)-J202-K202-L202+M202+IF(C202=0,Paths!$F$24,0)+IF(IF(Paths!$E$24=0,C202=0,AND(C202&gt;0,Paths!$E$24&gt;(C202-1)*12,Paths!$E$24&lt;=C202*12)),VLOOKUP(A202,'Fleet register'!$A$7:$S$106,16,FALSE),0),"n.a."))</f>
        <v>18151.349999999999</v>
      </c>
      <c r="O202" s="16">
        <f>IF(NOT(Paths!$C$24=1),0,IF(Paths!$P$24="Complete",N202-IF(C202=0,Paths!$F$24,0),"n.a."))</f>
        <v>18151.349999999999</v>
      </c>
      <c r="P202" s="16">
        <f>IF(NOT(Paths!$C$24=1),0,IF(Paths!$P$24="Complete",O202+L202,"n.a."))</f>
        <v>18151.349999999999</v>
      </c>
      <c r="Q202" s="16">
        <f>IF(NOT(Paths!$C$24=1),0,IF(Paths!$P$24="Complete",N202*(1+'Operating costs'!$B$54)^-C202,"n.a."))</f>
        <v>18151.349999999999</v>
      </c>
      <c r="R202" s="16">
        <f>IF(NOT(Paths!$C$24=1),0,IF(Paths!$P$24="Complete",IF(AND(C202=0,Paths!$E$24=0),I202-J202-K202+VLOOKUP(A202,'Fleet register'!$A$7:$S$106,15,FALSE)+VLOOKUP(A202,'Fleet register'!$A$7:$S$106,16,FALSE),0),"n.a."))</f>
        <v>0</v>
      </c>
      <c r="S202" s="1">
        <f>IF(NOT(Paths!$C$24=1),0,IF(Paths!$P$24="Complete",IF(C202=0,0,Paths!$S$24*Paths!$R$24),"n.a."))</f>
        <v>45000</v>
      </c>
      <c r="T202" s="1">
        <f>IF(NOT(Paths!$C$24=1),0,IF(Paths!$P$24="Complete",IF(C202=0,0,VLOOKUP(A202,'Fleet register'!$A$7:$S$106,9,FALSE)*Paths!$R$24),"n.a."))</f>
        <v>7200</v>
      </c>
    </row>
    <row r="203" spans="1:20" ht="24" customHeight="1">
      <c r="A203" s="1" t="str">
        <f>Paths!$A$24</f>
        <v>T005</v>
      </c>
      <c r="B203" s="1">
        <f>Paths!$B$24</f>
        <v>1</v>
      </c>
      <c r="C203" s="1">
        <v>9</v>
      </c>
      <c r="D203" s="1">
        <v>24</v>
      </c>
      <c r="E203" s="1">
        <f>IF(OR(Paths!$C$24=0,C203=0),0,MAX(0,MIN(C203*12,Paths!$E$24)-(C203-1)*12))</f>
        <v>0</v>
      </c>
      <c r="F203" s="1">
        <f>IF(OR(Paths!$C$24=0,C203=0),0,12-E203)</f>
        <v>12</v>
      </c>
      <c r="G203" s="16">
        <f>IF(NOT(Paths!$C$24=1),0,IF(Paths!$P$24="Complete",E203/12*(Paths!$J$24*(1+'Operating costs'!$B$51)^MAX(0,C203-1)+Paths!$K$24*(1+'Operating costs'!$B$53)^MAX(0,C203-1)),"n.a."))</f>
        <v>0</v>
      </c>
      <c r="H203" s="16">
        <f>IF(NOT(Paths!$C$24=1),0,IF(Paths!$P$24="Complete",F203/12*(Paths!$L$24*(1+IF(Paths!$D$24="EV",'Operating costs'!$B$52,'Operating costs'!$B$51))^MAX(0,C203-1)+Paths!$M$24*(1+'Operating costs'!$B$53)^MAX(0,C203-1)),"n.a."))</f>
        <v>18151.349999999999</v>
      </c>
      <c r="I203" s="16">
        <f>IF(NOT(Paths!$C$24=1),0,IF(Paths!$P$24="Complete",IF(IF(Paths!$E$24=0,C203=0,AND(C203&gt;0,Paths!$E$24&gt;(C203-1)*12,Paths!$E$24&lt;=C203*12)),Paths!$G$24,0),"n.a."))</f>
        <v>0</v>
      </c>
      <c r="J203" s="16">
        <f>IF(NOT(Paths!$C$24=1),0,IF(Paths!$P$24="Complete",IF(IF(Paths!$E$24=0,C203=0,AND(C203&gt;0,Paths!$E$24&gt;(C203-1)*12,Paths!$E$24&lt;=C203*12)),Paths!$H$24,0),"n.a."))</f>
        <v>0</v>
      </c>
      <c r="K203" s="16">
        <f>IF(NOT(Paths!$C$24=1),0,IF(Paths!$P$24="Complete",IF(IF(Paths!$O$24=0,C203=0,AND(C203&gt;0,Paths!$O$24&gt;(C203-1)*12,Paths!$O$24&lt;=C203*12)),Paths!$N$24,0),"n.a."))</f>
        <v>0</v>
      </c>
      <c r="L203" s="16">
        <f>IF(NOT(Paths!$C$24=1),0,IF(Paths!$P$24="Complete",IF(C203=10,Paths!$I$24,0),"n.a."))</f>
        <v>0</v>
      </c>
      <c r="M203" s="16">
        <f>IF(NOT(Paths!$C$24=1),0,IF(Paths!$P$24="Complete",IF(AND(Paths!$D$24="EV",Paths!$E$24&lt;120,Paths!$E$24+'Operating costs'!$B$65&gt;Paths!$E$24,Paths!$E$24+'Operating costs'!$B$65&lt;=120,IF(Paths!$E$24+'Operating costs'!$B$65=0,C203=0,AND(C203&gt;0,Paths!$E$24+'Operating costs'!$B$65&gt;(C203-1)*12,Paths!$E$24+'Operating costs'!$B$65&lt;=C203*12))),'Operating costs'!$B$64,0)+IF(AND('Operating costs'!$B$67&gt;0,'Operating costs'!$B$67&lt;=120,OR(Paths!$D$24="ICE",'Operating costs'!$B$67&lt;=Paths!$E$24),IF('Operating costs'!$B$67=0,C203=0,AND(C203&gt;0,'Operating costs'!$B$67&gt;(C203-1)*12,'Operating costs'!$B$67&lt;=C203*12))),'Operating costs'!$B$66,0),"n.a."))</f>
        <v>0</v>
      </c>
      <c r="N203" s="16">
        <f>IF(NOT(Paths!$C$24=1),0,IF(Paths!$P$24="Complete",SUM(G203:I203)-J203-K203-L203+M203+IF(C203=0,Paths!$F$24,0)+IF(IF(Paths!$E$24=0,C203=0,AND(C203&gt;0,Paths!$E$24&gt;(C203-1)*12,Paths!$E$24&lt;=C203*12)),VLOOKUP(A203,'Fleet register'!$A$7:$S$106,16,FALSE),0),"n.a."))</f>
        <v>18151.349999999999</v>
      </c>
      <c r="O203" s="16">
        <f>IF(NOT(Paths!$C$24=1),0,IF(Paths!$P$24="Complete",N203-IF(C203=0,Paths!$F$24,0),"n.a."))</f>
        <v>18151.349999999999</v>
      </c>
      <c r="P203" s="16">
        <f>IF(NOT(Paths!$C$24=1),0,IF(Paths!$P$24="Complete",O203+L203,"n.a."))</f>
        <v>18151.349999999999</v>
      </c>
      <c r="Q203" s="16">
        <f>IF(NOT(Paths!$C$24=1),0,IF(Paths!$P$24="Complete",N203*(1+'Operating costs'!$B$54)^-C203,"n.a."))</f>
        <v>18151.349999999999</v>
      </c>
      <c r="R203" s="16">
        <f>IF(NOT(Paths!$C$24=1),0,IF(Paths!$P$24="Complete",IF(AND(C203=0,Paths!$E$24=0),I203-J203-K203+VLOOKUP(A203,'Fleet register'!$A$7:$S$106,15,FALSE)+VLOOKUP(A203,'Fleet register'!$A$7:$S$106,16,FALSE),0),"n.a."))</f>
        <v>0</v>
      </c>
      <c r="S203" s="1">
        <f>IF(NOT(Paths!$C$24=1),0,IF(Paths!$P$24="Complete",IF(C203=0,0,Paths!$S$24*Paths!$R$24),"n.a."))</f>
        <v>45000</v>
      </c>
      <c r="T203" s="1">
        <f>IF(NOT(Paths!$C$24=1),0,IF(Paths!$P$24="Complete",IF(C203=0,0,VLOOKUP(A203,'Fleet register'!$A$7:$S$106,9,FALSE)*Paths!$R$24),"n.a."))</f>
        <v>7200</v>
      </c>
    </row>
    <row r="204" spans="1:20" ht="24" customHeight="1">
      <c r="A204" s="1" t="str">
        <f>Paths!$A$24</f>
        <v>T005</v>
      </c>
      <c r="B204" s="1">
        <f>Paths!$B$24</f>
        <v>1</v>
      </c>
      <c r="C204" s="1">
        <v>10</v>
      </c>
      <c r="D204" s="1">
        <v>24</v>
      </c>
      <c r="E204" s="1">
        <f>IF(OR(Paths!$C$24=0,C204=0),0,MAX(0,MIN(C204*12,Paths!$E$24)-(C204-1)*12))</f>
        <v>0</v>
      </c>
      <c r="F204" s="1">
        <f>IF(OR(Paths!$C$24=0,C204=0),0,12-E204)</f>
        <v>12</v>
      </c>
      <c r="G204" s="16">
        <f>IF(NOT(Paths!$C$24=1),0,IF(Paths!$P$24="Complete",E204/12*(Paths!$J$24*(1+'Operating costs'!$B$51)^MAX(0,C204-1)+Paths!$K$24*(1+'Operating costs'!$B$53)^MAX(0,C204-1)),"n.a."))</f>
        <v>0</v>
      </c>
      <c r="H204" s="16">
        <f>IF(NOT(Paths!$C$24=1),0,IF(Paths!$P$24="Complete",F204/12*(Paths!$L$24*(1+IF(Paths!$D$24="EV",'Operating costs'!$B$52,'Operating costs'!$B$51))^MAX(0,C204-1)+Paths!$M$24*(1+'Operating costs'!$B$53)^MAX(0,C204-1)),"n.a."))</f>
        <v>18151.349999999999</v>
      </c>
      <c r="I204" s="16">
        <f>IF(NOT(Paths!$C$24=1),0,IF(Paths!$P$24="Complete",IF(IF(Paths!$E$24=0,C204=0,AND(C204&gt;0,Paths!$E$24&gt;(C204-1)*12,Paths!$E$24&lt;=C204*12)),Paths!$G$24,0),"n.a."))</f>
        <v>0</v>
      </c>
      <c r="J204" s="16">
        <f>IF(NOT(Paths!$C$24=1),0,IF(Paths!$P$24="Complete",IF(IF(Paths!$E$24=0,C204=0,AND(C204&gt;0,Paths!$E$24&gt;(C204-1)*12,Paths!$E$24&lt;=C204*12)),Paths!$H$24,0),"n.a."))</f>
        <v>0</v>
      </c>
      <c r="K204" s="16">
        <f>IF(NOT(Paths!$C$24=1),0,IF(Paths!$P$24="Complete",IF(IF(Paths!$O$24=0,C204=0,AND(C204&gt;0,Paths!$O$24&gt;(C204-1)*12,Paths!$O$24&lt;=C204*12)),Paths!$N$24,0),"n.a."))</f>
        <v>0</v>
      </c>
      <c r="L204" s="16">
        <f>IF(NOT(Paths!$C$24=1),0,IF(Paths!$P$24="Complete",IF(C204=10,Paths!$I$24,0),"n.a."))</f>
        <v>12000</v>
      </c>
      <c r="M204" s="16">
        <f>IF(NOT(Paths!$C$24=1),0,IF(Paths!$P$24="Complete",IF(AND(Paths!$D$24="EV",Paths!$E$24&lt;120,Paths!$E$24+'Operating costs'!$B$65&gt;Paths!$E$24,Paths!$E$24+'Operating costs'!$B$65&lt;=120,IF(Paths!$E$24+'Operating costs'!$B$65=0,C204=0,AND(C204&gt;0,Paths!$E$24+'Operating costs'!$B$65&gt;(C204-1)*12,Paths!$E$24+'Operating costs'!$B$65&lt;=C204*12))),'Operating costs'!$B$64,0)+IF(AND('Operating costs'!$B$67&gt;0,'Operating costs'!$B$67&lt;=120,OR(Paths!$D$24="ICE",'Operating costs'!$B$67&lt;=Paths!$E$24),IF('Operating costs'!$B$67=0,C204=0,AND(C204&gt;0,'Operating costs'!$B$67&gt;(C204-1)*12,'Operating costs'!$B$67&lt;=C204*12))),'Operating costs'!$B$66,0),"n.a."))</f>
        <v>0</v>
      </c>
      <c r="N204" s="16">
        <f>IF(NOT(Paths!$C$24=1),0,IF(Paths!$P$24="Complete",SUM(G204:I204)-J204-K204-L204+M204+IF(C204=0,Paths!$F$24,0)+IF(IF(Paths!$E$24=0,C204=0,AND(C204&gt;0,Paths!$E$24&gt;(C204-1)*12,Paths!$E$24&lt;=C204*12)),VLOOKUP(A204,'Fleet register'!$A$7:$S$106,16,FALSE),0),"n.a."))</f>
        <v>6151.3499999999985</v>
      </c>
      <c r="O204" s="16">
        <f>IF(NOT(Paths!$C$24=1),0,IF(Paths!$P$24="Complete",N204-IF(C204=0,Paths!$F$24,0),"n.a."))</f>
        <v>6151.3499999999985</v>
      </c>
      <c r="P204" s="16">
        <f>IF(NOT(Paths!$C$24=1),0,IF(Paths!$P$24="Complete",O204+L204,"n.a."))</f>
        <v>18151.349999999999</v>
      </c>
      <c r="Q204" s="16">
        <f>IF(NOT(Paths!$C$24=1),0,IF(Paths!$P$24="Complete",N204*(1+'Operating costs'!$B$54)^-C204,"n.a."))</f>
        <v>6151.3499999999985</v>
      </c>
      <c r="R204" s="16">
        <f>IF(NOT(Paths!$C$24=1),0,IF(Paths!$P$24="Complete",IF(AND(C204=0,Paths!$E$24=0),I204-J204-K204+VLOOKUP(A204,'Fleet register'!$A$7:$S$106,15,FALSE)+VLOOKUP(A204,'Fleet register'!$A$7:$S$106,16,FALSE),0),"n.a."))</f>
        <v>0</v>
      </c>
      <c r="S204" s="1">
        <f>IF(NOT(Paths!$C$24=1),0,IF(Paths!$P$24="Complete",IF(C204=0,0,Paths!$S$24*Paths!$R$24),"n.a."))</f>
        <v>45000</v>
      </c>
      <c r="T204" s="1">
        <f>IF(NOT(Paths!$C$24=1),0,IF(Paths!$P$24="Complete",IF(C204=0,0,VLOOKUP(A204,'Fleet register'!$A$7:$S$106,9,FALSE)*Paths!$R$24),"n.a."))</f>
        <v>7200</v>
      </c>
    </row>
    <row r="205" spans="1:20" ht="24" customHeight="1">
      <c r="A205" s="1" t="str">
        <f>Paths!$A$25</f>
        <v>T005</v>
      </c>
      <c r="B205" s="1">
        <f>Paths!$B$25</f>
        <v>2</v>
      </c>
      <c r="C205" s="1">
        <v>0</v>
      </c>
      <c r="D205" s="1">
        <v>25</v>
      </c>
      <c r="E205" s="1">
        <f>IF(OR(Paths!$C$25=0,C205=0),0,MAX(0,MIN(C205*12,Paths!$E$25)-(C205-1)*12))</f>
        <v>0</v>
      </c>
      <c r="F205" s="1">
        <f>IF(OR(Paths!$C$25=0,C205=0),0,12-E205)</f>
        <v>0</v>
      </c>
      <c r="G205" s="16">
        <f>IF(NOT(Paths!$C$25=1),0,IF(Paths!$P$25="Complete",E205/12*(Paths!$J$25*(1+'Operating costs'!$B$51)^MAX(0,C205-1)+Paths!$K$25*(1+'Operating costs'!$B$53)^MAX(0,C205-1)),"n.a."))</f>
        <v>0</v>
      </c>
      <c r="H205" s="16">
        <f>IF(NOT(Paths!$C$25=1),0,IF(Paths!$P$25="Complete",F205/12*(Paths!$L$25*(1+IF(Paths!$D$25="EV",'Operating costs'!$B$52,'Operating costs'!$B$51))^MAX(0,C205-1)+Paths!$M$25*(1+'Operating costs'!$B$53)^MAX(0,C205-1)),"n.a."))</f>
        <v>0</v>
      </c>
      <c r="I205" s="16">
        <f>IF(NOT(Paths!$C$25=1),0,IF(Paths!$P$25="Complete",IF(IF(Paths!$E$25=0,C205=0,AND(C205&gt;0,Paths!$E$25&gt;(C205-1)*12,Paths!$E$25&lt;=C205*12)),Paths!$G$25,0),"n.a."))</f>
        <v>0</v>
      </c>
      <c r="J205" s="16">
        <f>IF(NOT(Paths!$C$25=1),0,IF(Paths!$P$25="Complete",IF(IF(Paths!$E$25=0,C205=0,AND(C205&gt;0,Paths!$E$25&gt;(C205-1)*12,Paths!$E$25&lt;=C205*12)),Paths!$H$25,0),"n.a."))</f>
        <v>0</v>
      </c>
      <c r="K205" s="16">
        <f>IF(NOT(Paths!$C$25=1),0,IF(Paths!$P$25="Complete",IF(IF(Paths!$O$25=0,C205=0,AND(C205&gt;0,Paths!$O$25&gt;(C205-1)*12,Paths!$O$25&lt;=C205*12)),Paths!$N$25,0),"n.a."))</f>
        <v>0</v>
      </c>
      <c r="L205" s="16">
        <f>IF(NOT(Paths!$C$25=1),0,IF(Paths!$P$25="Complete",IF(C205=10,Paths!$I$25,0),"n.a."))</f>
        <v>0</v>
      </c>
      <c r="M205" s="16">
        <f>IF(NOT(Paths!$C$25=1),0,IF(Paths!$P$25="Complete",IF(AND(Paths!$D$25="EV",Paths!$E$25&lt;120,Paths!$E$25+'Operating costs'!$B$65&gt;Paths!$E$25,Paths!$E$25+'Operating costs'!$B$65&lt;=120,IF(Paths!$E$25+'Operating costs'!$B$65=0,C205=0,AND(C205&gt;0,Paths!$E$25+'Operating costs'!$B$65&gt;(C205-1)*12,Paths!$E$25+'Operating costs'!$B$65&lt;=C205*12))),'Operating costs'!$B$64,0)+IF(AND('Operating costs'!$B$67&gt;0,'Operating costs'!$B$67&lt;=120,OR(Paths!$D$25="ICE",'Operating costs'!$B$67&lt;=Paths!$E$25),IF('Operating costs'!$B$67=0,C205=0,AND(C205&gt;0,'Operating costs'!$B$67&gt;(C205-1)*12,'Operating costs'!$B$67&lt;=C205*12))),'Operating costs'!$B$66,0),"n.a."))</f>
        <v>0</v>
      </c>
      <c r="N205" s="16">
        <f>IF(NOT(Paths!$C$25=1),0,IF(Paths!$P$25="Complete",SUM(G205:I205)-J205-K205-L205+M205+IF(C205=0,Paths!$F$25,0)+IF(IF(Paths!$E$25=0,C205=0,AND(C205&gt;0,Paths!$E$25&gt;(C205-1)*12,Paths!$E$25&lt;=C205*12)),VLOOKUP(A205,'Fleet register'!$A$7:$S$106,16,FALSE),0),"n.a."))</f>
        <v>48000</v>
      </c>
      <c r="O205" s="16">
        <f>IF(NOT(Paths!$C$25=1),0,IF(Paths!$P$25="Complete",N205-IF(C205=0,Paths!$F$25,0),"n.a."))</f>
        <v>0</v>
      </c>
      <c r="P205" s="16">
        <f>IF(NOT(Paths!$C$25=1),0,IF(Paths!$P$25="Complete",O205+L205,"n.a."))</f>
        <v>0</v>
      </c>
      <c r="Q205" s="16">
        <f>IF(NOT(Paths!$C$25=1),0,IF(Paths!$P$25="Complete",N205*(1+'Operating costs'!$B$54)^-C205,"n.a."))</f>
        <v>48000</v>
      </c>
      <c r="R205" s="16">
        <f>IF(NOT(Paths!$C$25=1),0,IF(Paths!$P$25="Complete",IF(AND(C205=0,Paths!$E$25=0),I205-J205-K205+VLOOKUP(A205,'Fleet register'!$A$7:$S$106,15,FALSE)+VLOOKUP(A205,'Fleet register'!$A$7:$S$106,16,FALSE),0),"n.a."))</f>
        <v>0</v>
      </c>
      <c r="S205" s="1">
        <f>IF(NOT(Paths!$C$25=1),0,IF(Paths!$P$25="Complete",IF(C205=0,0,Paths!$S$25*Paths!$R$25),"n.a."))</f>
        <v>0</v>
      </c>
      <c r="T205" s="1">
        <f>IF(NOT(Paths!$C$25=1),0,IF(Paths!$P$25="Complete",IF(C205=0,0,VLOOKUP(A205,'Fleet register'!$A$7:$S$106,9,FALSE)*Paths!$R$25),"n.a."))</f>
        <v>0</v>
      </c>
    </row>
    <row r="206" spans="1:20" ht="24" customHeight="1">
      <c r="A206" s="1" t="str">
        <f>Paths!$A$25</f>
        <v>T005</v>
      </c>
      <c r="B206" s="1">
        <f>Paths!$B$25</f>
        <v>2</v>
      </c>
      <c r="C206" s="1">
        <v>1</v>
      </c>
      <c r="D206" s="1">
        <v>25</v>
      </c>
      <c r="E206" s="1">
        <f>IF(OR(Paths!$C$25=0,C206=0),0,MAX(0,MIN(C206*12,Paths!$E$25)-(C206-1)*12))</f>
        <v>12</v>
      </c>
      <c r="F206" s="1">
        <f>IF(OR(Paths!$C$25=0,C206=0),0,12-E206)</f>
        <v>0</v>
      </c>
      <c r="G206" s="16">
        <f>IF(NOT(Paths!$C$25=1),0,IF(Paths!$P$25="Complete",E206/12*(Paths!$J$25*(1+'Operating costs'!$B$51)^MAX(0,C206-1)+Paths!$K$25*(1+'Operating costs'!$B$53)^MAX(0,C206-1)),"n.a."))</f>
        <v>18151.349999999999</v>
      </c>
      <c r="H206" s="16">
        <f>IF(NOT(Paths!$C$25=1),0,IF(Paths!$P$25="Complete",F206/12*(Paths!$L$25*(1+IF(Paths!$D$25="EV",'Operating costs'!$B$52,'Operating costs'!$B$51))^MAX(0,C206-1)+Paths!$M$25*(1+'Operating costs'!$B$53)^MAX(0,C206-1)),"n.a."))</f>
        <v>0</v>
      </c>
      <c r="I206" s="16">
        <f>IF(NOT(Paths!$C$25=1),0,IF(Paths!$P$25="Complete",IF(IF(Paths!$E$25=0,C206=0,AND(C206&gt;0,Paths!$E$25&gt;(C206-1)*12,Paths!$E$25&lt;=C206*12)),Paths!$G$25,0),"n.a."))</f>
        <v>0</v>
      </c>
      <c r="J206" s="16">
        <f>IF(NOT(Paths!$C$25=1),0,IF(Paths!$P$25="Complete",IF(IF(Paths!$E$25=0,C206=0,AND(C206&gt;0,Paths!$E$25&gt;(C206-1)*12,Paths!$E$25&lt;=C206*12)),Paths!$H$25,0),"n.a."))</f>
        <v>0</v>
      </c>
      <c r="K206" s="16">
        <f>IF(NOT(Paths!$C$25=1),0,IF(Paths!$P$25="Complete",IF(IF(Paths!$O$25=0,C206=0,AND(C206&gt;0,Paths!$O$25&gt;(C206-1)*12,Paths!$O$25&lt;=C206*12)),Paths!$N$25,0),"n.a."))</f>
        <v>0</v>
      </c>
      <c r="L206" s="16">
        <f>IF(NOT(Paths!$C$25=1),0,IF(Paths!$P$25="Complete",IF(C206=10,Paths!$I$25,0),"n.a."))</f>
        <v>0</v>
      </c>
      <c r="M206" s="16">
        <f>IF(NOT(Paths!$C$25=1),0,IF(Paths!$P$25="Complete",IF(AND(Paths!$D$25="EV",Paths!$E$25&lt;120,Paths!$E$25+'Operating costs'!$B$65&gt;Paths!$E$25,Paths!$E$25+'Operating costs'!$B$65&lt;=120,IF(Paths!$E$25+'Operating costs'!$B$65=0,C206=0,AND(C206&gt;0,Paths!$E$25+'Operating costs'!$B$65&gt;(C206-1)*12,Paths!$E$25+'Operating costs'!$B$65&lt;=C206*12))),'Operating costs'!$B$64,0)+IF(AND('Operating costs'!$B$67&gt;0,'Operating costs'!$B$67&lt;=120,OR(Paths!$D$25="ICE",'Operating costs'!$B$67&lt;=Paths!$E$25),IF('Operating costs'!$B$67=0,C206=0,AND(C206&gt;0,'Operating costs'!$B$67&gt;(C206-1)*12,'Operating costs'!$B$67&lt;=C206*12))),'Operating costs'!$B$66,0),"n.a."))</f>
        <v>0</v>
      </c>
      <c r="N206" s="16">
        <f>IF(NOT(Paths!$C$25=1),0,IF(Paths!$P$25="Complete",SUM(G206:I206)-J206-K206-L206+M206+IF(C206=0,Paths!$F$25,0)+IF(IF(Paths!$E$25=0,C206=0,AND(C206&gt;0,Paths!$E$25&gt;(C206-1)*12,Paths!$E$25&lt;=C206*12)),VLOOKUP(A206,'Fleet register'!$A$7:$S$106,16,FALSE),0),"n.a."))</f>
        <v>18151.349999999999</v>
      </c>
      <c r="O206" s="16">
        <f>IF(NOT(Paths!$C$25=1),0,IF(Paths!$P$25="Complete",N206-IF(C206=0,Paths!$F$25,0),"n.a."))</f>
        <v>18151.349999999999</v>
      </c>
      <c r="P206" s="16">
        <f>IF(NOT(Paths!$C$25=1),0,IF(Paths!$P$25="Complete",O206+L206,"n.a."))</f>
        <v>18151.349999999999</v>
      </c>
      <c r="Q206" s="16">
        <f>IF(NOT(Paths!$C$25=1),0,IF(Paths!$P$25="Complete",N206*(1+'Operating costs'!$B$54)^-C206,"n.a."))</f>
        <v>18151.349999999999</v>
      </c>
      <c r="R206" s="16">
        <f>IF(NOT(Paths!$C$25=1),0,IF(Paths!$P$25="Complete",IF(AND(C206=0,Paths!$E$25=0),I206-J206-K206+VLOOKUP(A206,'Fleet register'!$A$7:$S$106,15,FALSE)+VLOOKUP(A206,'Fleet register'!$A$7:$S$106,16,FALSE),0),"n.a."))</f>
        <v>0</v>
      </c>
      <c r="S206" s="1">
        <f>IF(NOT(Paths!$C$25=1),0,IF(Paths!$P$25="Complete",IF(C206=0,0,Paths!$S$25*Paths!$R$25),"n.a."))</f>
        <v>45000</v>
      </c>
      <c r="T206" s="1">
        <f>IF(NOT(Paths!$C$25=1),0,IF(Paths!$P$25="Complete",IF(C206=0,0,VLOOKUP(A206,'Fleet register'!$A$7:$S$106,9,FALSE)*Paths!$R$25),"n.a."))</f>
        <v>7200</v>
      </c>
    </row>
    <row r="207" spans="1:20" ht="24" customHeight="1">
      <c r="A207" s="1" t="str">
        <f>Paths!$A$25</f>
        <v>T005</v>
      </c>
      <c r="B207" s="1">
        <f>Paths!$B$25</f>
        <v>2</v>
      </c>
      <c r="C207" s="1">
        <v>2</v>
      </c>
      <c r="D207" s="1">
        <v>25</v>
      </c>
      <c r="E207" s="1">
        <f>IF(OR(Paths!$C$25=0,C207=0),0,MAX(0,MIN(C207*12,Paths!$E$25)-(C207-1)*12))</f>
        <v>12</v>
      </c>
      <c r="F207" s="1">
        <f>IF(OR(Paths!$C$25=0,C207=0),0,12-E207)</f>
        <v>0</v>
      </c>
      <c r="G207" s="16">
        <f>IF(NOT(Paths!$C$25=1),0,IF(Paths!$P$25="Complete",E207/12*(Paths!$J$25*(1+'Operating costs'!$B$51)^MAX(0,C207-1)+Paths!$K$25*(1+'Operating costs'!$B$53)^MAX(0,C207-1)),"n.a."))</f>
        <v>18151.349999999999</v>
      </c>
      <c r="H207" s="16">
        <f>IF(NOT(Paths!$C$25=1),0,IF(Paths!$P$25="Complete",F207/12*(Paths!$L$25*(1+IF(Paths!$D$25="EV",'Operating costs'!$B$52,'Operating costs'!$B$51))^MAX(0,C207-1)+Paths!$M$25*(1+'Operating costs'!$B$53)^MAX(0,C207-1)),"n.a."))</f>
        <v>0</v>
      </c>
      <c r="I207" s="16">
        <f>IF(NOT(Paths!$C$25=1),0,IF(Paths!$P$25="Complete",IF(IF(Paths!$E$25=0,C207=0,AND(C207&gt;0,Paths!$E$25&gt;(C207-1)*12,Paths!$E$25&lt;=C207*12)),Paths!$G$25,0),"n.a."))</f>
        <v>0</v>
      </c>
      <c r="J207" s="16">
        <f>IF(NOT(Paths!$C$25=1),0,IF(Paths!$P$25="Complete",IF(IF(Paths!$E$25=0,C207=0,AND(C207&gt;0,Paths!$E$25&gt;(C207-1)*12,Paths!$E$25&lt;=C207*12)),Paths!$H$25,0),"n.a."))</f>
        <v>0</v>
      </c>
      <c r="K207" s="16">
        <f>IF(NOT(Paths!$C$25=1),0,IF(Paths!$P$25="Complete",IF(IF(Paths!$O$25=0,C207=0,AND(C207&gt;0,Paths!$O$25&gt;(C207-1)*12,Paths!$O$25&lt;=C207*12)),Paths!$N$25,0),"n.a."))</f>
        <v>0</v>
      </c>
      <c r="L207" s="16">
        <f>IF(NOT(Paths!$C$25=1),0,IF(Paths!$P$25="Complete",IF(C207=10,Paths!$I$25,0),"n.a."))</f>
        <v>0</v>
      </c>
      <c r="M207" s="16">
        <f>IF(NOT(Paths!$C$25=1),0,IF(Paths!$P$25="Complete",IF(AND(Paths!$D$25="EV",Paths!$E$25&lt;120,Paths!$E$25+'Operating costs'!$B$65&gt;Paths!$E$25,Paths!$E$25+'Operating costs'!$B$65&lt;=120,IF(Paths!$E$25+'Operating costs'!$B$65=0,C207=0,AND(C207&gt;0,Paths!$E$25+'Operating costs'!$B$65&gt;(C207-1)*12,Paths!$E$25+'Operating costs'!$B$65&lt;=C207*12))),'Operating costs'!$B$64,0)+IF(AND('Operating costs'!$B$67&gt;0,'Operating costs'!$B$67&lt;=120,OR(Paths!$D$25="ICE",'Operating costs'!$B$67&lt;=Paths!$E$25),IF('Operating costs'!$B$67=0,C207=0,AND(C207&gt;0,'Operating costs'!$B$67&gt;(C207-1)*12,'Operating costs'!$B$67&lt;=C207*12))),'Operating costs'!$B$66,0),"n.a."))</f>
        <v>0</v>
      </c>
      <c r="N207" s="16">
        <f>IF(NOT(Paths!$C$25=1),0,IF(Paths!$P$25="Complete",SUM(G207:I207)-J207-K207-L207+M207+IF(C207=0,Paths!$F$25,0)+IF(IF(Paths!$E$25=0,C207=0,AND(C207&gt;0,Paths!$E$25&gt;(C207-1)*12,Paths!$E$25&lt;=C207*12)),VLOOKUP(A207,'Fleet register'!$A$7:$S$106,16,FALSE),0),"n.a."))</f>
        <v>18151.349999999999</v>
      </c>
      <c r="O207" s="16">
        <f>IF(NOT(Paths!$C$25=1),0,IF(Paths!$P$25="Complete",N207-IF(C207=0,Paths!$F$25,0),"n.a."))</f>
        <v>18151.349999999999</v>
      </c>
      <c r="P207" s="16">
        <f>IF(NOT(Paths!$C$25=1),0,IF(Paths!$P$25="Complete",O207+L207,"n.a."))</f>
        <v>18151.349999999999</v>
      </c>
      <c r="Q207" s="16">
        <f>IF(NOT(Paths!$C$25=1),0,IF(Paths!$P$25="Complete",N207*(1+'Operating costs'!$B$54)^-C207,"n.a."))</f>
        <v>18151.349999999999</v>
      </c>
      <c r="R207" s="16">
        <f>IF(NOT(Paths!$C$25=1),0,IF(Paths!$P$25="Complete",IF(AND(C207=0,Paths!$E$25=0),I207-J207-K207+VLOOKUP(A207,'Fleet register'!$A$7:$S$106,15,FALSE)+VLOOKUP(A207,'Fleet register'!$A$7:$S$106,16,FALSE),0),"n.a."))</f>
        <v>0</v>
      </c>
      <c r="S207" s="1">
        <f>IF(NOT(Paths!$C$25=1),0,IF(Paths!$P$25="Complete",IF(C207=0,0,Paths!$S$25*Paths!$R$25),"n.a."))</f>
        <v>45000</v>
      </c>
      <c r="T207" s="1">
        <f>IF(NOT(Paths!$C$25=1),0,IF(Paths!$P$25="Complete",IF(C207=0,0,VLOOKUP(A207,'Fleet register'!$A$7:$S$106,9,FALSE)*Paths!$R$25),"n.a."))</f>
        <v>7200</v>
      </c>
    </row>
    <row r="208" spans="1:20" ht="24" customHeight="1">
      <c r="A208" s="1" t="str">
        <f>Paths!$A$25</f>
        <v>T005</v>
      </c>
      <c r="B208" s="1">
        <f>Paths!$B$25</f>
        <v>2</v>
      </c>
      <c r="C208" s="1">
        <v>3</v>
      </c>
      <c r="D208" s="1">
        <v>25</v>
      </c>
      <c r="E208" s="1">
        <f>IF(OR(Paths!$C$25=0,C208=0),0,MAX(0,MIN(C208*12,Paths!$E$25)-(C208-1)*12))</f>
        <v>12</v>
      </c>
      <c r="F208" s="1">
        <f>IF(OR(Paths!$C$25=0,C208=0),0,12-E208)</f>
        <v>0</v>
      </c>
      <c r="G208" s="16">
        <f>IF(NOT(Paths!$C$25=1),0,IF(Paths!$P$25="Complete",E208/12*(Paths!$J$25*(1+'Operating costs'!$B$51)^MAX(0,C208-1)+Paths!$K$25*(1+'Operating costs'!$B$53)^MAX(0,C208-1)),"n.a."))</f>
        <v>18151.349999999999</v>
      </c>
      <c r="H208" s="16">
        <f>IF(NOT(Paths!$C$25=1),0,IF(Paths!$P$25="Complete",F208/12*(Paths!$L$25*(1+IF(Paths!$D$25="EV",'Operating costs'!$B$52,'Operating costs'!$B$51))^MAX(0,C208-1)+Paths!$M$25*(1+'Operating costs'!$B$53)^MAX(0,C208-1)),"n.a."))</f>
        <v>0</v>
      </c>
      <c r="I208" s="16">
        <f>IF(NOT(Paths!$C$25=1),0,IF(Paths!$P$25="Complete",IF(IF(Paths!$E$25=0,C208=0,AND(C208&gt;0,Paths!$E$25&gt;(C208-1)*12,Paths!$E$25&lt;=C208*12)),Paths!$G$25,0),"n.a."))</f>
        <v>0</v>
      </c>
      <c r="J208" s="16">
        <f>IF(NOT(Paths!$C$25=1),0,IF(Paths!$P$25="Complete",IF(IF(Paths!$E$25=0,C208=0,AND(C208&gt;0,Paths!$E$25&gt;(C208-1)*12,Paths!$E$25&lt;=C208*12)),Paths!$H$25,0),"n.a."))</f>
        <v>0</v>
      </c>
      <c r="K208" s="16">
        <f>IF(NOT(Paths!$C$25=1),0,IF(Paths!$P$25="Complete",IF(IF(Paths!$O$25=0,C208=0,AND(C208&gt;0,Paths!$O$25&gt;(C208-1)*12,Paths!$O$25&lt;=C208*12)),Paths!$N$25,0),"n.a."))</f>
        <v>0</v>
      </c>
      <c r="L208" s="16">
        <f>IF(NOT(Paths!$C$25=1),0,IF(Paths!$P$25="Complete",IF(C208=10,Paths!$I$25,0),"n.a."))</f>
        <v>0</v>
      </c>
      <c r="M208" s="16">
        <f>IF(NOT(Paths!$C$25=1),0,IF(Paths!$P$25="Complete",IF(AND(Paths!$D$25="EV",Paths!$E$25&lt;120,Paths!$E$25+'Operating costs'!$B$65&gt;Paths!$E$25,Paths!$E$25+'Operating costs'!$B$65&lt;=120,IF(Paths!$E$25+'Operating costs'!$B$65=0,C208=0,AND(C208&gt;0,Paths!$E$25+'Operating costs'!$B$65&gt;(C208-1)*12,Paths!$E$25+'Operating costs'!$B$65&lt;=C208*12))),'Operating costs'!$B$64,0)+IF(AND('Operating costs'!$B$67&gt;0,'Operating costs'!$B$67&lt;=120,OR(Paths!$D$25="ICE",'Operating costs'!$B$67&lt;=Paths!$E$25),IF('Operating costs'!$B$67=0,C208=0,AND(C208&gt;0,'Operating costs'!$B$67&gt;(C208-1)*12,'Operating costs'!$B$67&lt;=C208*12))),'Operating costs'!$B$66,0),"n.a."))</f>
        <v>0</v>
      </c>
      <c r="N208" s="16">
        <f>IF(NOT(Paths!$C$25=1),0,IF(Paths!$P$25="Complete",SUM(G208:I208)-J208-K208-L208+M208+IF(C208=0,Paths!$F$25,0)+IF(IF(Paths!$E$25=0,C208=0,AND(C208&gt;0,Paths!$E$25&gt;(C208-1)*12,Paths!$E$25&lt;=C208*12)),VLOOKUP(A208,'Fleet register'!$A$7:$S$106,16,FALSE),0),"n.a."))</f>
        <v>18151.349999999999</v>
      </c>
      <c r="O208" s="16">
        <f>IF(NOT(Paths!$C$25=1),0,IF(Paths!$P$25="Complete",N208-IF(C208=0,Paths!$F$25,0),"n.a."))</f>
        <v>18151.349999999999</v>
      </c>
      <c r="P208" s="16">
        <f>IF(NOT(Paths!$C$25=1),0,IF(Paths!$P$25="Complete",O208+L208,"n.a."))</f>
        <v>18151.349999999999</v>
      </c>
      <c r="Q208" s="16">
        <f>IF(NOT(Paths!$C$25=1),0,IF(Paths!$P$25="Complete",N208*(1+'Operating costs'!$B$54)^-C208,"n.a."))</f>
        <v>18151.349999999999</v>
      </c>
      <c r="R208" s="16">
        <f>IF(NOT(Paths!$C$25=1),0,IF(Paths!$P$25="Complete",IF(AND(C208=0,Paths!$E$25=0),I208-J208-K208+VLOOKUP(A208,'Fleet register'!$A$7:$S$106,15,FALSE)+VLOOKUP(A208,'Fleet register'!$A$7:$S$106,16,FALSE),0),"n.a."))</f>
        <v>0</v>
      </c>
      <c r="S208" s="1">
        <f>IF(NOT(Paths!$C$25=1),0,IF(Paths!$P$25="Complete",IF(C208=0,0,Paths!$S$25*Paths!$R$25),"n.a."))</f>
        <v>45000</v>
      </c>
      <c r="T208" s="1">
        <f>IF(NOT(Paths!$C$25=1),0,IF(Paths!$P$25="Complete",IF(C208=0,0,VLOOKUP(A208,'Fleet register'!$A$7:$S$106,9,FALSE)*Paths!$R$25),"n.a."))</f>
        <v>7200</v>
      </c>
    </row>
    <row r="209" spans="1:20" ht="24" customHeight="1">
      <c r="A209" s="1" t="str">
        <f>Paths!$A$25</f>
        <v>T005</v>
      </c>
      <c r="B209" s="1">
        <f>Paths!$B$25</f>
        <v>2</v>
      </c>
      <c r="C209" s="1">
        <v>4</v>
      </c>
      <c r="D209" s="1">
        <v>25</v>
      </c>
      <c r="E209" s="1">
        <f>IF(OR(Paths!$C$25=0,C209=0),0,MAX(0,MIN(C209*12,Paths!$E$25)-(C209-1)*12))</f>
        <v>12</v>
      </c>
      <c r="F209" s="1">
        <f>IF(OR(Paths!$C$25=0,C209=0),0,12-E209)</f>
        <v>0</v>
      </c>
      <c r="G209" s="16">
        <f>IF(NOT(Paths!$C$25=1),0,IF(Paths!$P$25="Complete",E209/12*(Paths!$J$25*(1+'Operating costs'!$B$51)^MAX(0,C209-1)+Paths!$K$25*(1+'Operating costs'!$B$53)^MAX(0,C209-1)),"n.a."))</f>
        <v>18151.349999999999</v>
      </c>
      <c r="H209" s="16">
        <f>IF(NOT(Paths!$C$25=1),0,IF(Paths!$P$25="Complete",F209/12*(Paths!$L$25*(1+IF(Paths!$D$25="EV",'Operating costs'!$B$52,'Operating costs'!$B$51))^MAX(0,C209-1)+Paths!$M$25*(1+'Operating costs'!$B$53)^MAX(0,C209-1)),"n.a."))</f>
        <v>0</v>
      </c>
      <c r="I209" s="16">
        <f>IF(NOT(Paths!$C$25=1),0,IF(Paths!$P$25="Complete",IF(IF(Paths!$E$25=0,C209=0,AND(C209&gt;0,Paths!$E$25&gt;(C209-1)*12,Paths!$E$25&lt;=C209*12)),Paths!$G$25,0),"n.a."))</f>
        <v>0</v>
      </c>
      <c r="J209" s="16">
        <f>IF(NOT(Paths!$C$25=1),0,IF(Paths!$P$25="Complete",IF(IF(Paths!$E$25=0,C209=0,AND(C209&gt;0,Paths!$E$25&gt;(C209-1)*12,Paths!$E$25&lt;=C209*12)),Paths!$H$25,0),"n.a."))</f>
        <v>0</v>
      </c>
      <c r="K209" s="16">
        <f>IF(NOT(Paths!$C$25=1),0,IF(Paths!$P$25="Complete",IF(IF(Paths!$O$25=0,C209=0,AND(C209&gt;0,Paths!$O$25&gt;(C209-1)*12,Paths!$O$25&lt;=C209*12)),Paths!$N$25,0),"n.a."))</f>
        <v>0</v>
      </c>
      <c r="L209" s="16">
        <f>IF(NOT(Paths!$C$25=1),0,IF(Paths!$P$25="Complete",IF(C209=10,Paths!$I$25,0),"n.a."))</f>
        <v>0</v>
      </c>
      <c r="M209" s="16">
        <f>IF(NOT(Paths!$C$25=1),0,IF(Paths!$P$25="Complete",IF(AND(Paths!$D$25="EV",Paths!$E$25&lt;120,Paths!$E$25+'Operating costs'!$B$65&gt;Paths!$E$25,Paths!$E$25+'Operating costs'!$B$65&lt;=120,IF(Paths!$E$25+'Operating costs'!$B$65=0,C209=0,AND(C209&gt;0,Paths!$E$25+'Operating costs'!$B$65&gt;(C209-1)*12,Paths!$E$25+'Operating costs'!$B$65&lt;=C209*12))),'Operating costs'!$B$64,0)+IF(AND('Operating costs'!$B$67&gt;0,'Operating costs'!$B$67&lt;=120,OR(Paths!$D$25="ICE",'Operating costs'!$B$67&lt;=Paths!$E$25),IF('Operating costs'!$B$67=0,C209=0,AND(C209&gt;0,'Operating costs'!$B$67&gt;(C209-1)*12,'Operating costs'!$B$67&lt;=C209*12))),'Operating costs'!$B$66,0),"n.a."))</f>
        <v>0</v>
      </c>
      <c r="N209" s="16">
        <f>IF(NOT(Paths!$C$25=1),0,IF(Paths!$P$25="Complete",SUM(G209:I209)-J209-K209-L209+M209+IF(C209=0,Paths!$F$25,0)+IF(IF(Paths!$E$25=0,C209=0,AND(C209&gt;0,Paths!$E$25&gt;(C209-1)*12,Paths!$E$25&lt;=C209*12)),VLOOKUP(A209,'Fleet register'!$A$7:$S$106,16,FALSE),0),"n.a."))</f>
        <v>18151.349999999999</v>
      </c>
      <c r="O209" s="16">
        <f>IF(NOT(Paths!$C$25=1),0,IF(Paths!$P$25="Complete",N209-IF(C209=0,Paths!$F$25,0),"n.a."))</f>
        <v>18151.349999999999</v>
      </c>
      <c r="P209" s="16">
        <f>IF(NOT(Paths!$C$25=1),0,IF(Paths!$P$25="Complete",O209+L209,"n.a."))</f>
        <v>18151.349999999999</v>
      </c>
      <c r="Q209" s="16">
        <f>IF(NOT(Paths!$C$25=1),0,IF(Paths!$P$25="Complete",N209*(1+'Operating costs'!$B$54)^-C209,"n.a."))</f>
        <v>18151.349999999999</v>
      </c>
      <c r="R209" s="16">
        <f>IF(NOT(Paths!$C$25=1),0,IF(Paths!$P$25="Complete",IF(AND(C209=0,Paths!$E$25=0),I209-J209-K209+VLOOKUP(A209,'Fleet register'!$A$7:$S$106,15,FALSE)+VLOOKUP(A209,'Fleet register'!$A$7:$S$106,16,FALSE),0),"n.a."))</f>
        <v>0</v>
      </c>
      <c r="S209" s="1">
        <f>IF(NOT(Paths!$C$25=1),0,IF(Paths!$P$25="Complete",IF(C209=0,0,Paths!$S$25*Paths!$R$25),"n.a."))</f>
        <v>45000</v>
      </c>
      <c r="T209" s="1">
        <f>IF(NOT(Paths!$C$25=1),0,IF(Paths!$P$25="Complete",IF(C209=0,0,VLOOKUP(A209,'Fleet register'!$A$7:$S$106,9,FALSE)*Paths!$R$25),"n.a."))</f>
        <v>7200</v>
      </c>
    </row>
    <row r="210" spans="1:20" ht="24" customHeight="1">
      <c r="A210" s="1" t="str">
        <f>Paths!$A$25</f>
        <v>T005</v>
      </c>
      <c r="B210" s="1">
        <f>Paths!$B$25</f>
        <v>2</v>
      </c>
      <c r="C210" s="1">
        <v>5</v>
      </c>
      <c r="D210" s="1">
        <v>25</v>
      </c>
      <c r="E210" s="1">
        <f>IF(OR(Paths!$C$25=0,C210=0),0,MAX(0,MIN(C210*12,Paths!$E$25)-(C210-1)*12))</f>
        <v>12</v>
      </c>
      <c r="F210" s="1">
        <f>IF(OR(Paths!$C$25=0,C210=0),0,12-E210)</f>
        <v>0</v>
      </c>
      <c r="G210" s="16">
        <f>IF(NOT(Paths!$C$25=1),0,IF(Paths!$P$25="Complete",E210/12*(Paths!$J$25*(1+'Operating costs'!$B$51)^MAX(0,C210-1)+Paths!$K$25*(1+'Operating costs'!$B$53)^MAX(0,C210-1)),"n.a."))</f>
        <v>18151.349999999999</v>
      </c>
      <c r="H210" s="16">
        <f>IF(NOT(Paths!$C$25=1),0,IF(Paths!$P$25="Complete",F210/12*(Paths!$L$25*(1+IF(Paths!$D$25="EV",'Operating costs'!$B$52,'Operating costs'!$B$51))^MAX(0,C210-1)+Paths!$M$25*(1+'Operating costs'!$B$53)^MAX(0,C210-1)),"n.a."))</f>
        <v>0</v>
      </c>
      <c r="I210" s="16">
        <f>IF(NOT(Paths!$C$25=1),0,IF(Paths!$P$25="Complete",IF(IF(Paths!$E$25=0,C210=0,AND(C210&gt;0,Paths!$E$25&gt;(C210-1)*12,Paths!$E$25&lt;=C210*12)),Paths!$G$25,0),"n.a."))</f>
        <v>181000</v>
      </c>
      <c r="J210" s="16">
        <f>IF(NOT(Paths!$C$25=1),0,IF(Paths!$P$25="Complete",IF(IF(Paths!$E$25=0,C210=0,AND(C210&gt;0,Paths!$E$25&gt;(C210-1)*12,Paths!$E$25&lt;=C210*12)),Paths!$H$25,0),"n.a."))</f>
        <v>10000</v>
      </c>
      <c r="K210" s="16">
        <f>IF(NOT(Paths!$C$25=1),0,IF(Paths!$P$25="Complete",IF(IF(Paths!$O$25=0,C210=0,AND(C210&gt;0,Paths!$O$25&gt;(C210-1)*12,Paths!$O$25&lt;=C210*12)),Paths!$N$25,0),"n.a."))</f>
        <v>0</v>
      </c>
      <c r="L210" s="16">
        <f>IF(NOT(Paths!$C$25=1),0,IF(Paths!$P$25="Complete",IF(C210=10,Paths!$I$25,0),"n.a."))</f>
        <v>0</v>
      </c>
      <c r="M210" s="16">
        <f>IF(NOT(Paths!$C$25=1),0,IF(Paths!$P$25="Complete",IF(AND(Paths!$D$25="EV",Paths!$E$25&lt;120,Paths!$E$25+'Operating costs'!$B$65&gt;Paths!$E$25,Paths!$E$25+'Operating costs'!$B$65&lt;=120,IF(Paths!$E$25+'Operating costs'!$B$65=0,C210=0,AND(C210&gt;0,Paths!$E$25+'Operating costs'!$B$65&gt;(C210-1)*12,Paths!$E$25+'Operating costs'!$B$65&lt;=C210*12))),'Operating costs'!$B$64,0)+IF(AND('Operating costs'!$B$67&gt;0,'Operating costs'!$B$67&lt;=120,OR(Paths!$D$25="ICE",'Operating costs'!$B$67&lt;=Paths!$E$25),IF('Operating costs'!$B$67=0,C210=0,AND(C210&gt;0,'Operating costs'!$B$67&gt;(C210-1)*12,'Operating costs'!$B$67&lt;=C210*12))),'Operating costs'!$B$66,0),"n.a."))</f>
        <v>0</v>
      </c>
      <c r="N210" s="16">
        <f>IF(NOT(Paths!$C$25=1),0,IF(Paths!$P$25="Complete",SUM(G210:I210)-J210-K210-L210+M210+IF(C210=0,Paths!$F$25,0)+IF(IF(Paths!$E$25=0,C210=0,AND(C210&gt;0,Paths!$E$25&gt;(C210-1)*12,Paths!$E$25&lt;=C210*12)),VLOOKUP(A210,'Fleet register'!$A$7:$S$106,16,FALSE),0),"n.a."))</f>
        <v>189151.35</v>
      </c>
      <c r="O210" s="16">
        <f>IF(NOT(Paths!$C$25=1),0,IF(Paths!$P$25="Complete",N210-IF(C210=0,Paths!$F$25,0),"n.a."))</f>
        <v>189151.35</v>
      </c>
      <c r="P210" s="16">
        <f>IF(NOT(Paths!$C$25=1),0,IF(Paths!$P$25="Complete",O210+L210,"n.a."))</f>
        <v>189151.35</v>
      </c>
      <c r="Q210" s="16">
        <f>IF(NOT(Paths!$C$25=1),0,IF(Paths!$P$25="Complete",N210*(1+'Operating costs'!$B$54)^-C210,"n.a."))</f>
        <v>189151.35</v>
      </c>
      <c r="R210" s="16">
        <f>IF(NOT(Paths!$C$25=1),0,IF(Paths!$P$25="Complete",IF(AND(C210=0,Paths!$E$25=0),I210-J210-K210+VLOOKUP(A210,'Fleet register'!$A$7:$S$106,15,FALSE)+VLOOKUP(A210,'Fleet register'!$A$7:$S$106,16,FALSE),0),"n.a."))</f>
        <v>0</v>
      </c>
      <c r="S210" s="1">
        <f>IF(NOT(Paths!$C$25=1),0,IF(Paths!$P$25="Complete",IF(C210=0,0,Paths!$S$25*Paths!$R$25),"n.a."))</f>
        <v>45000</v>
      </c>
      <c r="T210" s="1">
        <f>IF(NOT(Paths!$C$25=1),0,IF(Paths!$P$25="Complete",IF(C210=0,0,VLOOKUP(A210,'Fleet register'!$A$7:$S$106,9,FALSE)*Paths!$R$25),"n.a."))</f>
        <v>7200</v>
      </c>
    </row>
    <row r="211" spans="1:20" ht="24" customHeight="1">
      <c r="A211" s="1" t="str">
        <f>Paths!$A$25</f>
        <v>T005</v>
      </c>
      <c r="B211" s="1">
        <f>Paths!$B$25</f>
        <v>2</v>
      </c>
      <c r="C211" s="1">
        <v>6</v>
      </c>
      <c r="D211" s="1">
        <v>25</v>
      </c>
      <c r="E211" s="1">
        <f>IF(OR(Paths!$C$25=0,C211=0),0,MAX(0,MIN(C211*12,Paths!$E$25)-(C211-1)*12))</f>
        <v>0</v>
      </c>
      <c r="F211" s="1">
        <f>IF(OR(Paths!$C$25=0,C211=0),0,12-E211)</f>
        <v>12</v>
      </c>
      <c r="G211" s="16">
        <f>IF(NOT(Paths!$C$25=1),0,IF(Paths!$P$25="Complete",E211/12*(Paths!$J$25*(1+'Operating costs'!$B$51)^MAX(0,C211-1)+Paths!$K$25*(1+'Operating costs'!$B$53)^MAX(0,C211-1)),"n.a."))</f>
        <v>0</v>
      </c>
      <c r="H211" s="16">
        <f>IF(NOT(Paths!$C$25=1),0,IF(Paths!$P$25="Complete",F211/12*(Paths!$L$25*(1+IF(Paths!$D$25="EV",'Operating costs'!$B$52,'Operating costs'!$B$51))^MAX(0,C211-1)+Paths!$M$25*(1+'Operating costs'!$B$53)^MAX(0,C211-1)),"n.a."))</f>
        <v>18151.349999999999</v>
      </c>
      <c r="I211" s="16">
        <f>IF(NOT(Paths!$C$25=1),0,IF(Paths!$P$25="Complete",IF(IF(Paths!$E$25=0,C211=0,AND(C211&gt;0,Paths!$E$25&gt;(C211-1)*12,Paths!$E$25&lt;=C211*12)),Paths!$G$25,0),"n.a."))</f>
        <v>0</v>
      </c>
      <c r="J211" s="16">
        <f>IF(NOT(Paths!$C$25=1),0,IF(Paths!$P$25="Complete",IF(IF(Paths!$E$25=0,C211=0,AND(C211&gt;0,Paths!$E$25&gt;(C211-1)*12,Paths!$E$25&lt;=C211*12)),Paths!$H$25,0),"n.a."))</f>
        <v>0</v>
      </c>
      <c r="K211" s="16">
        <f>IF(NOT(Paths!$C$25=1),0,IF(Paths!$P$25="Complete",IF(IF(Paths!$O$25=0,C211=0,AND(C211&gt;0,Paths!$O$25&gt;(C211-1)*12,Paths!$O$25&lt;=C211*12)),Paths!$N$25,0),"n.a."))</f>
        <v>0</v>
      </c>
      <c r="L211" s="16">
        <f>IF(NOT(Paths!$C$25=1),0,IF(Paths!$P$25="Complete",IF(C211=10,Paths!$I$25,0),"n.a."))</f>
        <v>0</v>
      </c>
      <c r="M211" s="16">
        <f>IF(NOT(Paths!$C$25=1),0,IF(Paths!$P$25="Complete",IF(AND(Paths!$D$25="EV",Paths!$E$25&lt;120,Paths!$E$25+'Operating costs'!$B$65&gt;Paths!$E$25,Paths!$E$25+'Operating costs'!$B$65&lt;=120,IF(Paths!$E$25+'Operating costs'!$B$65=0,C211=0,AND(C211&gt;0,Paths!$E$25+'Operating costs'!$B$65&gt;(C211-1)*12,Paths!$E$25+'Operating costs'!$B$65&lt;=C211*12))),'Operating costs'!$B$64,0)+IF(AND('Operating costs'!$B$67&gt;0,'Operating costs'!$B$67&lt;=120,OR(Paths!$D$25="ICE",'Operating costs'!$B$67&lt;=Paths!$E$25),IF('Operating costs'!$B$67=0,C211=0,AND(C211&gt;0,'Operating costs'!$B$67&gt;(C211-1)*12,'Operating costs'!$B$67&lt;=C211*12))),'Operating costs'!$B$66,0),"n.a."))</f>
        <v>0</v>
      </c>
      <c r="N211" s="16">
        <f>IF(NOT(Paths!$C$25=1),0,IF(Paths!$P$25="Complete",SUM(G211:I211)-J211-K211-L211+M211+IF(C211=0,Paths!$F$25,0)+IF(IF(Paths!$E$25=0,C211=0,AND(C211&gt;0,Paths!$E$25&gt;(C211-1)*12,Paths!$E$25&lt;=C211*12)),VLOOKUP(A211,'Fleet register'!$A$7:$S$106,16,FALSE),0),"n.a."))</f>
        <v>18151.349999999999</v>
      </c>
      <c r="O211" s="16">
        <f>IF(NOT(Paths!$C$25=1),0,IF(Paths!$P$25="Complete",N211-IF(C211=0,Paths!$F$25,0),"n.a."))</f>
        <v>18151.349999999999</v>
      </c>
      <c r="P211" s="16">
        <f>IF(NOT(Paths!$C$25=1),0,IF(Paths!$P$25="Complete",O211+L211,"n.a."))</f>
        <v>18151.349999999999</v>
      </c>
      <c r="Q211" s="16">
        <f>IF(NOT(Paths!$C$25=1),0,IF(Paths!$P$25="Complete",N211*(1+'Operating costs'!$B$54)^-C211,"n.a."))</f>
        <v>18151.349999999999</v>
      </c>
      <c r="R211" s="16">
        <f>IF(NOT(Paths!$C$25=1),0,IF(Paths!$P$25="Complete",IF(AND(C211=0,Paths!$E$25=0),I211-J211-K211+VLOOKUP(A211,'Fleet register'!$A$7:$S$106,15,FALSE)+VLOOKUP(A211,'Fleet register'!$A$7:$S$106,16,FALSE),0),"n.a."))</f>
        <v>0</v>
      </c>
      <c r="S211" s="1">
        <f>IF(NOT(Paths!$C$25=1),0,IF(Paths!$P$25="Complete",IF(C211=0,0,Paths!$S$25*Paths!$R$25),"n.a."))</f>
        <v>45000</v>
      </c>
      <c r="T211" s="1">
        <f>IF(NOT(Paths!$C$25=1),0,IF(Paths!$P$25="Complete",IF(C211=0,0,VLOOKUP(A211,'Fleet register'!$A$7:$S$106,9,FALSE)*Paths!$R$25),"n.a."))</f>
        <v>7200</v>
      </c>
    </row>
    <row r="212" spans="1:20" ht="24" customHeight="1">
      <c r="A212" s="1" t="str">
        <f>Paths!$A$25</f>
        <v>T005</v>
      </c>
      <c r="B212" s="1">
        <f>Paths!$B$25</f>
        <v>2</v>
      </c>
      <c r="C212" s="1">
        <v>7</v>
      </c>
      <c r="D212" s="1">
        <v>25</v>
      </c>
      <c r="E212" s="1">
        <f>IF(OR(Paths!$C$25=0,C212=0),0,MAX(0,MIN(C212*12,Paths!$E$25)-(C212-1)*12))</f>
        <v>0</v>
      </c>
      <c r="F212" s="1">
        <f>IF(OR(Paths!$C$25=0,C212=0),0,12-E212)</f>
        <v>12</v>
      </c>
      <c r="G212" s="16">
        <f>IF(NOT(Paths!$C$25=1),0,IF(Paths!$P$25="Complete",E212/12*(Paths!$J$25*(1+'Operating costs'!$B$51)^MAX(0,C212-1)+Paths!$K$25*(1+'Operating costs'!$B$53)^MAX(0,C212-1)),"n.a."))</f>
        <v>0</v>
      </c>
      <c r="H212" s="16">
        <f>IF(NOT(Paths!$C$25=1),0,IF(Paths!$P$25="Complete",F212/12*(Paths!$L$25*(1+IF(Paths!$D$25="EV",'Operating costs'!$B$52,'Operating costs'!$B$51))^MAX(0,C212-1)+Paths!$M$25*(1+'Operating costs'!$B$53)^MAX(0,C212-1)),"n.a."))</f>
        <v>18151.349999999999</v>
      </c>
      <c r="I212" s="16">
        <f>IF(NOT(Paths!$C$25=1),0,IF(Paths!$P$25="Complete",IF(IF(Paths!$E$25=0,C212=0,AND(C212&gt;0,Paths!$E$25&gt;(C212-1)*12,Paths!$E$25&lt;=C212*12)),Paths!$G$25,0),"n.a."))</f>
        <v>0</v>
      </c>
      <c r="J212" s="16">
        <f>IF(NOT(Paths!$C$25=1),0,IF(Paths!$P$25="Complete",IF(IF(Paths!$E$25=0,C212=0,AND(C212&gt;0,Paths!$E$25&gt;(C212-1)*12,Paths!$E$25&lt;=C212*12)),Paths!$H$25,0),"n.a."))</f>
        <v>0</v>
      </c>
      <c r="K212" s="16">
        <f>IF(NOT(Paths!$C$25=1),0,IF(Paths!$P$25="Complete",IF(IF(Paths!$O$25=0,C212=0,AND(C212&gt;0,Paths!$O$25&gt;(C212-1)*12,Paths!$O$25&lt;=C212*12)),Paths!$N$25,0),"n.a."))</f>
        <v>0</v>
      </c>
      <c r="L212" s="16">
        <f>IF(NOT(Paths!$C$25=1),0,IF(Paths!$P$25="Complete",IF(C212=10,Paths!$I$25,0),"n.a."))</f>
        <v>0</v>
      </c>
      <c r="M212" s="16">
        <f>IF(NOT(Paths!$C$25=1),0,IF(Paths!$P$25="Complete",IF(AND(Paths!$D$25="EV",Paths!$E$25&lt;120,Paths!$E$25+'Operating costs'!$B$65&gt;Paths!$E$25,Paths!$E$25+'Operating costs'!$B$65&lt;=120,IF(Paths!$E$25+'Operating costs'!$B$65=0,C212=0,AND(C212&gt;0,Paths!$E$25+'Operating costs'!$B$65&gt;(C212-1)*12,Paths!$E$25+'Operating costs'!$B$65&lt;=C212*12))),'Operating costs'!$B$64,0)+IF(AND('Operating costs'!$B$67&gt;0,'Operating costs'!$B$67&lt;=120,OR(Paths!$D$25="ICE",'Operating costs'!$B$67&lt;=Paths!$E$25),IF('Operating costs'!$B$67=0,C212=0,AND(C212&gt;0,'Operating costs'!$B$67&gt;(C212-1)*12,'Operating costs'!$B$67&lt;=C212*12))),'Operating costs'!$B$66,0),"n.a."))</f>
        <v>0</v>
      </c>
      <c r="N212" s="16">
        <f>IF(NOT(Paths!$C$25=1),0,IF(Paths!$P$25="Complete",SUM(G212:I212)-J212-K212-L212+M212+IF(C212=0,Paths!$F$25,0)+IF(IF(Paths!$E$25=0,C212=0,AND(C212&gt;0,Paths!$E$25&gt;(C212-1)*12,Paths!$E$25&lt;=C212*12)),VLOOKUP(A212,'Fleet register'!$A$7:$S$106,16,FALSE),0),"n.a."))</f>
        <v>18151.349999999999</v>
      </c>
      <c r="O212" s="16">
        <f>IF(NOT(Paths!$C$25=1),0,IF(Paths!$P$25="Complete",N212-IF(C212=0,Paths!$F$25,0),"n.a."))</f>
        <v>18151.349999999999</v>
      </c>
      <c r="P212" s="16">
        <f>IF(NOT(Paths!$C$25=1),0,IF(Paths!$P$25="Complete",O212+L212,"n.a."))</f>
        <v>18151.349999999999</v>
      </c>
      <c r="Q212" s="16">
        <f>IF(NOT(Paths!$C$25=1),0,IF(Paths!$P$25="Complete",N212*(1+'Operating costs'!$B$54)^-C212,"n.a."))</f>
        <v>18151.349999999999</v>
      </c>
      <c r="R212" s="16">
        <f>IF(NOT(Paths!$C$25=1),0,IF(Paths!$P$25="Complete",IF(AND(C212=0,Paths!$E$25=0),I212-J212-K212+VLOOKUP(A212,'Fleet register'!$A$7:$S$106,15,FALSE)+VLOOKUP(A212,'Fleet register'!$A$7:$S$106,16,FALSE),0),"n.a."))</f>
        <v>0</v>
      </c>
      <c r="S212" s="1">
        <f>IF(NOT(Paths!$C$25=1),0,IF(Paths!$P$25="Complete",IF(C212=0,0,Paths!$S$25*Paths!$R$25),"n.a."))</f>
        <v>45000</v>
      </c>
      <c r="T212" s="1">
        <f>IF(NOT(Paths!$C$25=1),0,IF(Paths!$P$25="Complete",IF(C212=0,0,VLOOKUP(A212,'Fleet register'!$A$7:$S$106,9,FALSE)*Paths!$R$25),"n.a."))</f>
        <v>7200</v>
      </c>
    </row>
    <row r="213" spans="1:20" ht="24" customHeight="1">
      <c r="A213" s="1" t="str">
        <f>Paths!$A$25</f>
        <v>T005</v>
      </c>
      <c r="B213" s="1">
        <f>Paths!$B$25</f>
        <v>2</v>
      </c>
      <c r="C213" s="1">
        <v>8</v>
      </c>
      <c r="D213" s="1">
        <v>25</v>
      </c>
      <c r="E213" s="1">
        <f>IF(OR(Paths!$C$25=0,C213=0),0,MAX(0,MIN(C213*12,Paths!$E$25)-(C213-1)*12))</f>
        <v>0</v>
      </c>
      <c r="F213" s="1">
        <f>IF(OR(Paths!$C$25=0,C213=0),0,12-E213)</f>
        <v>12</v>
      </c>
      <c r="G213" s="16">
        <f>IF(NOT(Paths!$C$25=1),0,IF(Paths!$P$25="Complete",E213/12*(Paths!$J$25*(1+'Operating costs'!$B$51)^MAX(0,C213-1)+Paths!$K$25*(1+'Operating costs'!$B$53)^MAX(0,C213-1)),"n.a."))</f>
        <v>0</v>
      </c>
      <c r="H213" s="16">
        <f>IF(NOT(Paths!$C$25=1),0,IF(Paths!$P$25="Complete",F213/12*(Paths!$L$25*(1+IF(Paths!$D$25="EV",'Operating costs'!$B$52,'Operating costs'!$B$51))^MAX(0,C213-1)+Paths!$M$25*(1+'Operating costs'!$B$53)^MAX(0,C213-1)),"n.a."))</f>
        <v>18151.349999999999</v>
      </c>
      <c r="I213" s="16">
        <f>IF(NOT(Paths!$C$25=1),0,IF(Paths!$P$25="Complete",IF(IF(Paths!$E$25=0,C213=0,AND(C213&gt;0,Paths!$E$25&gt;(C213-1)*12,Paths!$E$25&lt;=C213*12)),Paths!$G$25,0),"n.a."))</f>
        <v>0</v>
      </c>
      <c r="J213" s="16">
        <f>IF(NOT(Paths!$C$25=1),0,IF(Paths!$P$25="Complete",IF(IF(Paths!$E$25=0,C213=0,AND(C213&gt;0,Paths!$E$25&gt;(C213-1)*12,Paths!$E$25&lt;=C213*12)),Paths!$H$25,0),"n.a."))</f>
        <v>0</v>
      </c>
      <c r="K213" s="16">
        <f>IF(NOT(Paths!$C$25=1),0,IF(Paths!$P$25="Complete",IF(IF(Paths!$O$25=0,C213=0,AND(C213&gt;0,Paths!$O$25&gt;(C213-1)*12,Paths!$O$25&lt;=C213*12)),Paths!$N$25,0),"n.a."))</f>
        <v>0</v>
      </c>
      <c r="L213" s="16">
        <f>IF(NOT(Paths!$C$25=1),0,IF(Paths!$P$25="Complete",IF(C213=10,Paths!$I$25,0),"n.a."))</f>
        <v>0</v>
      </c>
      <c r="M213" s="16">
        <f>IF(NOT(Paths!$C$25=1),0,IF(Paths!$P$25="Complete",IF(AND(Paths!$D$25="EV",Paths!$E$25&lt;120,Paths!$E$25+'Operating costs'!$B$65&gt;Paths!$E$25,Paths!$E$25+'Operating costs'!$B$65&lt;=120,IF(Paths!$E$25+'Operating costs'!$B$65=0,C213=0,AND(C213&gt;0,Paths!$E$25+'Operating costs'!$B$65&gt;(C213-1)*12,Paths!$E$25+'Operating costs'!$B$65&lt;=C213*12))),'Operating costs'!$B$64,0)+IF(AND('Operating costs'!$B$67&gt;0,'Operating costs'!$B$67&lt;=120,OR(Paths!$D$25="ICE",'Operating costs'!$B$67&lt;=Paths!$E$25),IF('Operating costs'!$B$67=0,C213=0,AND(C213&gt;0,'Operating costs'!$B$67&gt;(C213-1)*12,'Operating costs'!$B$67&lt;=C213*12))),'Operating costs'!$B$66,0),"n.a."))</f>
        <v>0</v>
      </c>
      <c r="N213" s="16">
        <f>IF(NOT(Paths!$C$25=1),0,IF(Paths!$P$25="Complete",SUM(G213:I213)-J213-K213-L213+M213+IF(C213=0,Paths!$F$25,0)+IF(IF(Paths!$E$25=0,C213=0,AND(C213&gt;0,Paths!$E$25&gt;(C213-1)*12,Paths!$E$25&lt;=C213*12)),VLOOKUP(A213,'Fleet register'!$A$7:$S$106,16,FALSE),0),"n.a."))</f>
        <v>18151.349999999999</v>
      </c>
      <c r="O213" s="16">
        <f>IF(NOT(Paths!$C$25=1),0,IF(Paths!$P$25="Complete",N213-IF(C213=0,Paths!$F$25,0),"n.a."))</f>
        <v>18151.349999999999</v>
      </c>
      <c r="P213" s="16">
        <f>IF(NOT(Paths!$C$25=1),0,IF(Paths!$P$25="Complete",O213+L213,"n.a."))</f>
        <v>18151.349999999999</v>
      </c>
      <c r="Q213" s="16">
        <f>IF(NOT(Paths!$C$25=1),0,IF(Paths!$P$25="Complete",N213*(1+'Operating costs'!$B$54)^-C213,"n.a."))</f>
        <v>18151.349999999999</v>
      </c>
      <c r="R213" s="16">
        <f>IF(NOT(Paths!$C$25=1),0,IF(Paths!$P$25="Complete",IF(AND(C213=0,Paths!$E$25=0),I213-J213-K213+VLOOKUP(A213,'Fleet register'!$A$7:$S$106,15,FALSE)+VLOOKUP(A213,'Fleet register'!$A$7:$S$106,16,FALSE),0),"n.a."))</f>
        <v>0</v>
      </c>
      <c r="S213" s="1">
        <f>IF(NOT(Paths!$C$25=1),0,IF(Paths!$P$25="Complete",IF(C213=0,0,Paths!$S$25*Paths!$R$25),"n.a."))</f>
        <v>45000</v>
      </c>
      <c r="T213" s="1">
        <f>IF(NOT(Paths!$C$25=1),0,IF(Paths!$P$25="Complete",IF(C213=0,0,VLOOKUP(A213,'Fleet register'!$A$7:$S$106,9,FALSE)*Paths!$R$25),"n.a."))</f>
        <v>7200</v>
      </c>
    </row>
    <row r="214" spans="1:20" ht="24" customHeight="1">
      <c r="A214" s="1" t="str">
        <f>Paths!$A$25</f>
        <v>T005</v>
      </c>
      <c r="B214" s="1">
        <f>Paths!$B$25</f>
        <v>2</v>
      </c>
      <c r="C214" s="1">
        <v>9</v>
      </c>
      <c r="D214" s="1">
        <v>25</v>
      </c>
      <c r="E214" s="1">
        <f>IF(OR(Paths!$C$25=0,C214=0),0,MAX(0,MIN(C214*12,Paths!$E$25)-(C214-1)*12))</f>
        <v>0</v>
      </c>
      <c r="F214" s="1">
        <f>IF(OR(Paths!$C$25=0,C214=0),0,12-E214)</f>
        <v>12</v>
      </c>
      <c r="G214" s="16">
        <f>IF(NOT(Paths!$C$25=1),0,IF(Paths!$P$25="Complete",E214/12*(Paths!$J$25*(1+'Operating costs'!$B$51)^MAX(0,C214-1)+Paths!$K$25*(1+'Operating costs'!$B$53)^MAX(0,C214-1)),"n.a."))</f>
        <v>0</v>
      </c>
      <c r="H214" s="16">
        <f>IF(NOT(Paths!$C$25=1),0,IF(Paths!$P$25="Complete",F214/12*(Paths!$L$25*(1+IF(Paths!$D$25="EV",'Operating costs'!$B$52,'Operating costs'!$B$51))^MAX(0,C214-1)+Paths!$M$25*(1+'Operating costs'!$B$53)^MAX(0,C214-1)),"n.a."))</f>
        <v>18151.349999999999</v>
      </c>
      <c r="I214" s="16">
        <f>IF(NOT(Paths!$C$25=1),0,IF(Paths!$P$25="Complete",IF(IF(Paths!$E$25=0,C214=0,AND(C214&gt;0,Paths!$E$25&gt;(C214-1)*12,Paths!$E$25&lt;=C214*12)),Paths!$G$25,0),"n.a."))</f>
        <v>0</v>
      </c>
      <c r="J214" s="16">
        <f>IF(NOT(Paths!$C$25=1),0,IF(Paths!$P$25="Complete",IF(IF(Paths!$E$25=0,C214=0,AND(C214&gt;0,Paths!$E$25&gt;(C214-1)*12,Paths!$E$25&lt;=C214*12)),Paths!$H$25,0),"n.a."))</f>
        <v>0</v>
      </c>
      <c r="K214" s="16">
        <f>IF(NOT(Paths!$C$25=1),0,IF(Paths!$P$25="Complete",IF(IF(Paths!$O$25=0,C214=0,AND(C214&gt;0,Paths!$O$25&gt;(C214-1)*12,Paths!$O$25&lt;=C214*12)),Paths!$N$25,0),"n.a."))</f>
        <v>0</v>
      </c>
      <c r="L214" s="16">
        <f>IF(NOT(Paths!$C$25=1),0,IF(Paths!$P$25="Complete",IF(C214=10,Paths!$I$25,0),"n.a."))</f>
        <v>0</v>
      </c>
      <c r="M214" s="16">
        <f>IF(NOT(Paths!$C$25=1),0,IF(Paths!$P$25="Complete",IF(AND(Paths!$D$25="EV",Paths!$E$25&lt;120,Paths!$E$25+'Operating costs'!$B$65&gt;Paths!$E$25,Paths!$E$25+'Operating costs'!$B$65&lt;=120,IF(Paths!$E$25+'Operating costs'!$B$65=0,C214=0,AND(C214&gt;0,Paths!$E$25+'Operating costs'!$B$65&gt;(C214-1)*12,Paths!$E$25+'Operating costs'!$B$65&lt;=C214*12))),'Operating costs'!$B$64,0)+IF(AND('Operating costs'!$B$67&gt;0,'Operating costs'!$B$67&lt;=120,OR(Paths!$D$25="ICE",'Operating costs'!$B$67&lt;=Paths!$E$25),IF('Operating costs'!$B$67=0,C214=0,AND(C214&gt;0,'Operating costs'!$B$67&gt;(C214-1)*12,'Operating costs'!$B$67&lt;=C214*12))),'Operating costs'!$B$66,0),"n.a."))</f>
        <v>0</v>
      </c>
      <c r="N214" s="16">
        <f>IF(NOT(Paths!$C$25=1),0,IF(Paths!$P$25="Complete",SUM(G214:I214)-J214-K214-L214+M214+IF(C214=0,Paths!$F$25,0)+IF(IF(Paths!$E$25=0,C214=0,AND(C214&gt;0,Paths!$E$25&gt;(C214-1)*12,Paths!$E$25&lt;=C214*12)),VLOOKUP(A214,'Fleet register'!$A$7:$S$106,16,FALSE),0),"n.a."))</f>
        <v>18151.349999999999</v>
      </c>
      <c r="O214" s="16">
        <f>IF(NOT(Paths!$C$25=1),0,IF(Paths!$P$25="Complete",N214-IF(C214=0,Paths!$F$25,0),"n.a."))</f>
        <v>18151.349999999999</v>
      </c>
      <c r="P214" s="16">
        <f>IF(NOT(Paths!$C$25=1),0,IF(Paths!$P$25="Complete",O214+L214,"n.a."))</f>
        <v>18151.349999999999</v>
      </c>
      <c r="Q214" s="16">
        <f>IF(NOT(Paths!$C$25=1),0,IF(Paths!$P$25="Complete",N214*(1+'Operating costs'!$B$54)^-C214,"n.a."))</f>
        <v>18151.349999999999</v>
      </c>
      <c r="R214" s="16">
        <f>IF(NOT(Paths!$C$25=1),0,IF(Paths!$P$25="Complete",IF(AND(C214=0,Paths!$E$25=0),I214-J214-K214+VLOOKUP(A214,'Fleet register'!$A$7:$S$106,15,FALSE)+VLOOKUP(A214,'Fleet register'!$A$7:$S$106,16,FALSE),0),"n.a."))</f>
        <v>0</v>
      </c>
      <c r="S214" s="1">
        <f>IF(NOT(Paths!$C$25=1),0,IF(Paths!$P$25="Complete",IF(C214=0,0,Paths!$S$25*Paths!$R$25),"n.a."))</f>
        <v>45000</v>
      </c>
      <c r="T214" s="1">
        <f>IF(NOT(Paths!$C$25=1),0,IF(Paths!$P$25="Complete",IF(C214=0,0,VLOOKUP(A214,'Fleet register'!$A$7:$S$106,9,FALSE)*Paths!$R$25),"n.a."))</f>
        <v>7200</v>
      </c>
    </row>
    <row r="215" spans="1:20" ht="24" customHeight="1">
      <c r="A215" s="1" t="str">
        <f>Paths!$A$25</f>
        <v>T005</v>
      </c>
      <c r="B215" s="1">
        <f>Paths!$B$25</f>
        <v>2</v>
      </c>
      <c r="C215" s="1">
        <v>10</v>
      </c>
      <c r="D215" s="1">
        <v>25</v>
      </c>
      <c r="E215" s="1">
        <f>IF(OR(Paths!$C$25=0,C215=0),0,MAX(0,MIN(C215*12,Paths!$E$25)-(C215-1)*12))</f>
        <v>0</v>
      </c>
      <c r="F215" s="1">
        <f>IF(OR(Paths!$C$25=0,C215=0),0,12-E215)</f>
        <v>12</v>
      </c>
      <c r="G215" s="16">
        <f>IF(NOT(Paths!$C$25=1),0,IF(Paths!$P$25="Complete",E215/12*(Paths!$J$25*(1+'Operating costs'!$B$51)^MAX(0,C215-1)+Paths!$K$25*(1+'Operating costs'!$B$53)^MAX(0,C215-1)),"n.a."))</f>
        <v>0</v>
      </c>
      <c r="H215" s="16">
        <f>IF(NOT(Paths!$C$25=1),0,IF(Paths!$P$25="Complete",F215/12*(Paths!$L$25*(1+IF(Paths!$D$25="EV",'Operating costs'!$B$52,'Operating costs'!$B$51))^MAX(0,C215-1)+Paths!$M$25*(1+'Operating costs'!$B$53)^MAX(0,C215-1)),"n.a."))</f>
        <v>18151.349999999999</v>
      </c>
      <c r="I215" s="16">
        <f>IF(NOT(Paths!$C$25=1),0,IF(Paths!$P$25="Complete",IF(IF(Paths!$E$25=0,C215=0,AND(C215&gt;0,Paths!$E$25&gt;(C215-1)*12,Paths!$E$25&lt;=C215*12)),Paths!$G$25,0),"n.a."))</f>
        <v>0</v>
      </c>
      <c r="J215" s="16">
        <f>IF(NOT(Paths!$C$25=1),0,IF(Paths!$P$25="Complete",IF(IF(Paths!$E$25=0,C215=0,AND(C215&gt;0,Paths!$E$25&gt;(C215-1)*12,Paths!$E$25&lt;=C215*12)),Paths!$H$25,0),"n.a."))</f>
        <v>0</v>
      </c>
      <c r="K215" s="16">
        <f>IF(NOT(Paths!$C$25=1),0,IF(Paths!$P$25="Complete",IF(IF(Paths!$O$25=0,C215=0,AND(C215&gt;0,Paths!$O$25&gt;(C215-1)*12,Paths!$O$25&lt;=C215*12)),Paths!$N$25,0),"n.a."))</f>
        <v>0</v>
      </c>
      <c r="L215" s="16">
        <f>IF(NOT(Paths!$C$25=1),0,IF(Paths!$P$25="Complete",IF(C215=10,Paths!$I$25,0),"n.a."))</f>
        <v>58500</v>
      </c>
      <c r="M215" s="16">
        <f>IF(NOT(Paths!$C$25=1),0,IF(Paths!$P$25="Complete",IF(AND(Paths!$D$25="EV",Paths!$E$25&lt;120,Paths!$E$25+'Operating costs'!$B$65&gt;Paths!$E$25,Paths!$E$25+'Operating costs'!$B$65&lt;=120,IF(Paths!$E$25+'Operating costs'!$B$65=0,C215=0,AND(C215&gt;0,Paths!$E$25+'Operating costs'!$B$65&gt;(C215-1)*12,Paths!$E$25+'Operating costs'!$B$65&lt;=C215*12))),'Operating costs'!$B$64,0)+IF(AND('Operating costs'!$B$67&gt;0,'Operating costs'!$B$67&lt;=120,OR(Paths!$D$25="ICE",'Operating costs'!$B$67&lt;=Paths!$E$25),IF('Operating costs'!$B$67=0,C215=0,AND(C215&gt;0,'Operating costs'!$B$67&gt;(C215-1)*12,'Operating costs'!$B$67&lt;=C215*12))),'Operating costs'!$B$66,0),"n.a."))</f>
        <v>0</v>
      </c>
      <c r="N215" s="16">
        <f>IF(NOT(Paths!$C$25=1),0,IF(Paths!$P$25="Complete",SUM(G215:I215)-J215-K215-L215+M215+IF(C215=0,Paths!$F$25,0)+IF(IF(Paths!$E$25=0,C215=0,AND(C215&gt;0,Paths!$E$25&gt;(C215-1)*12,Paths!$E$25&lt;=C215*12)),VLOOKUP(A215,'Fleet register'!$A$7:$S$106,16,FALSE),0),"n.a."))</f>
        <v>-40348.65</v>
      </c>
      <c r="O215" s="16">
        <f>IF(NOT(Paths!$C$25=1),0,IF(Paths!$P$25="Complete",N215-IF(C215=0,Paths!$F$25,0),"n.a."))</f>
        <v>-40348.65</v>
      </c>
      <c r="P215" s="16">
        <f>IF(NOT(Paths!$C$25=1),0,IF(Paths!$P$25="Complete",O215+L215,"n.a."))</f>
        <v>18151.349999999999</v>
      </c>
      <c r="Q215" s="16">
        <f>IF(NOT(Paths!$C$25=1),0,IF(Paths!$P$25="Complete",N215*(1+'Operating costs'!$B$54)^-C215,"n.a."))</f>
        <v>-40348.65</v>
      </c>
      <c r="R215" s="16">
        <f>IF(NOT(Paths!$C$25=1),0,IF(Paths!$P$25="Complete",IF(AND(C215=0,Paths!$E$25=0),I215-J215-K215+VLOOKUP(A215,'Fleet register'!$A$7:$S$106,15,FALSE)+VLOOKUP(A215,'Fleet register'!$A$7:$S$106,16,FALSE),0),"n.a."))</f>
        <v>0</v>
      </c>
      <c r="S215" s="1">
        <f>IF(NOT(Paths!$C$25=1),0,IF(Paths!$P$25="Complete",IF(C215=0,0,Paths!$S$25*Paths!$R$25),"n.a."))</f>
        <v>45000</v>
      </c>
      <c r="T215" s="1">
        <f>IF(NOT(Paths!$C$25=1),0,IF(Paths!$P$25="Complete",IF(C215=0,0,VLOOKUP(A215,'Fleet register'!$A$7:$S$106,9,FALSE)*Paths!$R$25),"n.a."))</f>
        <v>7200</v>
      </c>
    </row>
    <row r="216" spans="1:20" ht="24" customHeight="1">
      <c r="A216" s="1" t="str">
        <f>Paths!$A$26</f>
        <v>T005</v>
      </c>
      <c r="B216" s="1">
        <f>Paths!$B$26</f>
        <v>3</v>
      </c>
      <c r="C216" s="1">
        <v>0</v>
      </c>
      <c r="D216" s="1">
        <v>26</v>
      </c>
      <c r="E216" s="1">
        <f>IF(OR(Paths!$C$26=0,C216=0),0,MAX(0,MIN(C216*12,Paths!$E$26)-(C216-1)*12))</f>
        <v>0</v>
      </c>
      <c r="F216" s="1">
        <f>IF(OR(Paths!$C$26=0,C216=0),0,12-E216)</f>
        <v>0</v>
      </c>
      <c r="G216" s="16">
        <f>IF(NOT(Paths!$C$26=1),0,IF(Paths!$P$26="Complete",E216/12*(Paths!$J$26*(1+'Operating costs'!$B$51)^MAX(0,C216-1)+Paths!$K$26*(1+'Operating costs'!$B$53)^MAX(0,C216-1)),"n.a."))</f>
        <v>0</v>
      </c>
      <c r="H216" s="16">
        <f>IF(NOT(Paths!$C$26=1),0,IF(Paths!$P$26="Complete",F216/12*(Paths!$L$26*(1+IF(Paths!$D$26="EV",'Operating costs'!$B$52,'Operating costs'!$B$51))^MAX(0,C216-1)+Paths!$M$26*(1+'Operating costs'!$B$53)^MAX(0,C216-1)),"n.a."))</f>
        <v>0</v>
      </c>
      <c r="I216" s="16">
        <f>IF(NOT(Paths!$C$26=1),0,IF(Paths!$P$26="Complete",IF(IF(Paths!$E$26=0,C216=0,AND(C216&gt;0,Paths!$E$26&gt;(C216-1)*12,Paths!$E$26&lt;=C216*12)),Paths!$G$26,0),"n.a."))</f>
        <v>0</v>
      </c>
      <c r="J216" s="16">
        <f>IF(NOT(Paths!$C$26=1),0,IF(Paths!$P$26="Complete",IF(IF(Paths!$E$26=0,C216=0,AND(C216&gt;0,Paths!$E$26&gt;(C216-1)*12,Paths!$E$26&lt;=C216*12)),Paths!$H$26,0),"n.a."))</f>
        <v>0</v>
      </c>
      <c r="K216" s="16">
        <f>IF(NOT(Paths!$C$26=1),0,IF(Paths!$P$26="Complete",IF(IF(Paths!$O$26=0,C216=0,AND(C216&gt;0,Paths!$O$26&gt;(C216-1)*12,Paths!$O$26&lt;=C216*12)),Paths!$N$26,0),"n.a."))</f>
        <v>0</v>
      </c>
      <c r="L216" s="16">
        <f>IF(NOT(Paths!$C$26=1),0,IF(Paths!$P$26="Complete",IF(C216=10,Paths!$I$26,0),"n.a."))</f>
        <v>0</v>
      </c>
      <c r="M216" s="16">
        <f>IF(NOT(Paths!$C$26=1),0,IF(Paths!$P$26="Complete",IF(AND(Paths!$D$26="EV",Paths!$E$26&lt;120,Paths!$E$26+'Operating costs'!$B$65&gt;Paths!$E$26,Paths!$E$26+'Operating costs'!$B$65&lt;=120,IF(Paths!$E$26+'Operating costs'!$B$65=0,C216=0,AND(C216&gt;0,Paths!$E$26+'Operating costs'!$B$65&gt;(C216-1)*12,Paths!$E$26+'Operating costs'!$B$65&lt;=C216*12))),'Operating costs'!$B$64,0)+IF(AND('Operating costs'!$B$67&gt;0,'Operating costs'!$B$67&lt;=120,OR(Paths!$D$26="ICE",'Operating costs'!$B$67&lt;=Paths!$E$26),IF('Operating costs'!$B$67=0,C216=0,AND(C216&gt;0,'Operating costs'!$B$67&gt;(C216-1)*12,'Operating costs'!$B$67&lt;=C216*12))),'Operating costs'!$B$66,0),"n.a."))</f>
        <v>0</v>
      </c>
      <c r="N216" s="16">
        <f>IF(NOT(Paths!$C$26=1),0,IF(Paths!$P$26="Complete",SUM(G216:I216)-J216-K216-L216+M216+IF(C216=0,Paths!$F$26,0)+IF(IF(Paths!$E$26=0,C216=0,AND(C216&gt;0,Paths!$E$26&gt;(C216-1)*12,Paths!$E$26&lt;=C216*12)),VLOOKUP(A216,'Fleet register'!$A$7:$S$106,16,FALSE),0),"n.a."))</f>
        <v>48000</v>
      </c>
      <c r="O216" s="16">
        <f>IF(NOT(Paths!$C$26=1),0,IF(Paths!$P$26="Complete",N216-IF(C216=0,Paths!$F$26,0),"n.a."))</f>
        <v>0</v>
      </c>
      <c r="P216" s="16">
        <f>IF(NOT(Paths!$C$26=1),0,IF(Paths!$P$26="Complete",O216+L216,"n.a."))</f>
        <v>0</v>
      </c>
      <c r="Q216" s="16">
        <f>IF(NOT(Paths!$C$26=1),0,IF(Paths!$P$26="Complete",N216*(1+'Operating costs'!$B$54)^-C216,"n.a."))</f>
        <v>48000</v>
      </c>
      <c r="R216" s="16">
        <f>IF(NOT(Paths!$C$26=1),0,IF(Paths!$P$26="Complete",IF(AND(C216=0,Paths!$E$26=0),I216-J216-K216+VLOOKUP(A216,'Fleet register'!$A$7:$S$106,15,FALSE)+VLOOKUP(A216,'Fleet register'!$A$7:$S$106,16,FALSE),0),"n.a."))</f>
        <v>0</v>
      </c>
      <c r="S216" s="1">
        <f>IF(NOT(Paths!$C$26=1),0,IF(Paths!$P$26="Complete",IF(C216=0,0,Paths!$S$26*Paths!$R$26),"n.a."))</f>
        <v>0</v>
      </c>
      <c r="T216" s="1">
        <f>IF(NOT(Paths!$C$26=1),0,IF(Paths!$P$26="Complete",IF(C216=0,0,VLOOKUP(A216,'Fleet register'!$A$7:$S$106,9,FALSE)*Paths!$R$26),"n.a."))</f>
        <v>0</v>
      </c>
    </row>
    <row r="217" spans="1:20" ht="24" customHeight="1">
      <c r="A217" s="1" t="str">
        <f>Paths!$A$26</f>
        <v>T005</v>
      </c>
      <c r="B217" s="1">
        <f>Paths!$B$26</f>
        <v>3</v>
      </c>
      <c r="C217" s="1">
        <v>1</v>
      </c>
      <c r="D217" s="1">
        <v>26</v>
      </c>
      <c r="E217" s="1">
        <f>IF(OR(Paths!$C$26=0,C217=0),0,MAX(0,MIN(C217*12,Paths!$E$26)-(C217-1)*12))</f>
        <v>12</v>
      </c>
      <c r="F217" s="1">
        <f>IF(OR(Paths!$C$26=0,C217=0),0,12-E217)</f>
        <v>0</v>
      </c>
      <c r="G217" s="16">
        <f>IF(NOT(Paths!$C$26=1),0,IF(Paths!$P$26="Complete",E217/12*(Paths!$J$26*(1+'Operating costs'!$B$51)^MAX(0,C217-1)+Paths!$K$26*(1+'Operating costs'!$B$53)^MAX(0,C217-1)),"n.a."))</f>
        <v>18151.349999999999</v>
      </c>
      <c r="H217" s="16">
        <f>IF(NOT(Paths!$C$26=1),0,IF(Paths!$P$26="Complete",F217/12*(Paths!$L$26*(1+IF(Paths!$D$26="EV",'Operating costs'!$B$52,'Operating costs'!$B$51))^MAX(0,C217-1)+Paths!$M$26*(1+'Operating costs'!$B$53)^MAX(0,C217-1)),"n.a."))</f>
        <v>0</v>
      </c>
      <c r="I217" s="16">
        <f>IF(NOT(Paths!$C$26=1),0,IF(Paths!$P$26="Complete",IF(IF(Paths!$E$26=0,C217=0,AND(C217&gt;0,Paths!$E$26&gt;(C217-1)*12,Paths!$E$26&lt;=C217*12)),Paths!$G$26,0),"n.a."))</f>
        <v>0</v>
      </c>
      <c r="J217" s="16">
        <f>IF(NOT(Paths!$C$26=1),0,IF(Paths!$P$26="Complete",IF(IF(Paths!$E$26=0,C217=0,AND(C217&gt;0,Paths!$E$26&gt;(C217-1)*12,Paths!$E$26&lt;=C217*12)),Paths!$H$26,0),"n.a."))</f>
        <v>0</v>
      </c>
      <c r="K217" s="16">
        <f>IF(NOT(Paths!$C$26=1),0,IF(Paths!$P$26="Complete",IF(IF(Paths!$O$26=0,C217=0,AND(C217&gt;0,Paths!$O$26&gt;(C217-1)*12,Paths!$O$26&lt;=C217*12)),Paths!$N$26,0),"n.a."))</f>
        <v>0</v>
      </c>
      <c r="L217" s="16">
        <f>IF(NOT(Paths!$C$26=1),0,IF(Paths!$P$26="Complete",IF(C217=10,Paths!$I$26,0),"n.a."))</f>
        <v>0</v>
      </c>
      <c r="M217" s="16">
        <f>IF(NOT(Paths!$C$26=1),0,IF(Paths!$P$26="Complete",IF(AND(Paths!$D$26="EV",Paths!$E$26&lt;120,Paths!$E$26+'Operating costs'!$B$65&gt;Paths!$E$26,Paths!$E$26+'Operating costs'!$B$65&lt;=120,IF(Paths!$E$26+'Operating costs'!$B$65=0,C217=0,AND(C217&gt;0,Paths!$E$26+'Operating costs'!$B$65&gt;(C217-1)*12,Paths!$E$26+'Operating costs'!$B$65&lt;=C217*12))),'Operating costs'!$B$64,0)+IF(AND('Operating costs'!$B$67&gt;0,'Operating costs'!$B$67&lt;=120,OR(Paths!$D$26="ICE",'Operating costs'!$B$67&lt;=Paths!$E$26),IF('Operating costs'!$B$67=0,C217=0,AND(C217&gt;0,'Operating costs'!$B$67&gt;(C217-1)*12,'Operating costs'!$B$67&lt;=C217*12))),'Operating costs'!$B$66,0),"n.a."))</f>
        <v>0</v>
      </c>
      <c r="N217" s="16">
        <f>IF(NOT(Paths!$C$26=1),0,IF(Paths!$P$26="Complete",SUM(G217:I217)-J217-K217-L217+M217+IF(C217=0,Paths!$F$26,0)+IF(IF(Paths!$E$26=0,C217=0,AND(C217&gt;0,Paths!$E$26&gt;(C217-1)*12,Paths!$E$26&lt;=C217*12)),VLOOKUP(A217,'Fleet register'!$A$7:$S$106,16,FALSE),0),"n.a."))</f>
        <v>18151.349999999999</v>
      </c>
      <c r="O217" s="16">
        <f>IF(NOT(Paths!$C$26=1),0,IF(Paths!$P$26="Complete",N217-IF(C217=0,Paths!$F$26,0),"n.a."))</f>
        <v>18151.349999999999</v>
      </c>
      <c r="P217" s="16">
        <f>IF(NOT(Paths!$C$26=1),0,IF(Paths!$P$26="Complete",O217+L217,"n.a."))</f>
        <v>18151.349999999999</v>
      </c>
      <c r="Q217" s="16">
        <f>IF(NOT(Paths!$C$26=1),0,IF(Paths!$P$26="Complete",N217*(1+'Operating costs'!$B$54)^-C217,"n.a."))</f>
        <v>18151.349999999999</v>
      </c>
      <c r="R217" s="16">
        <f>IF(NOT(Paths!$C$26=1),0,IF(Paths!$P$26="Complete",IF(AND(C217=0,Paths!$E$26=0),I217-J217-K217+VLOOKUP(A217,'Fleet register'!$A$7:$S$106,15,FALSE)+VLOOKUP(A217,'Fleet register'!$A$7:$S$106,16,FALSE),0),"n.a."))</f>
        <v>0</v>
      </c>
      <c r="S217" s="1">
        <f>IF(NOT(Paths!$C$26=1),0,IF(Paths!$P$26="Complete",IF(C217=0,0,Paths!$S$26*Paths!$R$26),"n.a."))</f>
        <v>45000</v>
      </c>
      <c r="T217" s="1">
        <f>IF(NOT(Paths!$C$26=1),0,IF(Paths!$P$26="Complete",IF(C217=0,0,VLOOKUP(A217,'Fleet register'!$A$7:$S$106,9,FALSE)*Paths!$R$26),"n.a."))</f>
        <v>7200</v>
      </c>
    </row>
    <row r="218" spans="1:20" ht="24" customHeight="1">
      <c r="A218" s="1" t="str">
        <f>Paths!$A$26</f>
        <v>T005</v>
      </c>
      <c r="B218" s="1">
        <f>Paths!$B$26</f>
        <v>3</v>
      </c>
      <c r="C218" s="1">
        <v>2</v>
      </c>
      <c r="D218" s="1">
        <v>26</v>
      </c>
      <c r="E218" s="1">
        <f>IF(OR(Paths!$C$26=0,C218=0),0,MAX(0,MIN(C218*12,Paths!$E$26)-(C218-1)*12))</f>
        <v>12</v>
      </c>
      <c r="F218" s="1">
        <f>IF(OR(Paths!$C$26=0,C218=0),0,12-E218)</f>
        <v>0</v>
      </c>
      <c r="G218" s="16">
        <f>IF(NOT(Paths!$C$26=1),0,IF(Paths!$P$26="Complete",E218/12*(Paths!$J$26*(1+'Operating costs'!$B$51)^MAX(0,C218-1)+Paths!$K$26*(1+'Operating costs'!$B$53)^MAX(0,C218-1)),"n.a."))</f>
        <v>18151.349999999999</v>
      </c>
      <c r="H218" s="16">
        <f>IF(NOT(Paths!$C$26=1),0,IF(Paths!$P$26="Complete",F218/12*(Paths!$L$26*(1+IF(Paths!$D$26="EV",'Operating costs'!$B$52,'Operating costs'!$B$51))^MAX(0,C218-1)+Paths!$M$26*(1+'Operating costs'!$B$53)^MAX(0,C218-1)),"n.a."))</f>
        <v>0</v>
      </c>
      <c r="I218" s="16">
        <f>IF(NOT(Paths!$C$26=1),0,IF(Paths!$P$26="Complete",IF(IF(Paths!$E$26=0,C218=0,AND(C218&gt;0,Paths!$E$26&gt;(C218-1)*12,Paths!$E$26&lt;=C218*12)),Paths!$G$26,0),"n.a."))</f>
        <v>0</v>
      </c>
      <c r="J218" s="16">
        <f>IF(NOT(Paths!$C$26=1),0,IF(Paths!$P$26="Complete",IF(IF(Paths!$E$26=0,C218=0,AND(C218&gt;0,Paths!$E$26&gt;(C218-1)*12,Paths!$E$26&lt;=C218*12)),Paths!$H$26,0),"n.a."))</f>
        <v>0</v>
      </c>
      <c r="K218" s="16">
        <f>IF(NOT(Paths!$C$26=1),0,IF(Paths!$P$26="Complete",IF(IF(Paths!$O$26=0,C218=0,AND(C218&gt;0,Paths!$O$26&gt;(C218-1)*12,Paths!$O$26&lt;=C218*12)),Paths!$N$26,0),"n.a."))</f>
        <v>0</v>
      </c>
      <c r="L218" s="16">
        <f>IF(NOT(Paths!$C$26=1),0,IF(Paths!$P$26="Complete",IF(C218=10,Paths!$I$26,0),"n.a."))</f>
        <v>0</v>
      </c>
      <c r="M218" s="16">
        <f>IF(NOT(Paths!$C$26=1),0,IF(Paths!$P$26="Complete",IF(AND(Paths!$D$26="EV",Paths!$E$26&lt;120,Paths!$E$26+'Operating costs'!$B$65&gt;Paths!$E$26,Paths!$E$26+'Operating costs'!$B$65&lt;=120,IF(Paths!$E$26+'Operating costs'!$B$65=0,C218=0,AND(C218&gt;0,Paths!$E$26+'Operating costs'!$B$65&gt;(C218-1)*12,Paths!$E$26+'Operating costs'!$B$65&lt;=C218*12))),'Operating costs'!$B$64,0)+IF(AND('Operating costs'!$B$67&gt;0,'Operating costs'!$B$67&lt;=120,OR(Paths!$D$26="ICE",'Operating costs'!$B$67&lt;=Paths!$E$26),IF('Operating costs'!$B$67=0,C218=0,AND(C218&gt;0,'Operating costs'!$B$67&gt;(C218-1)*12,'Operating costs'!$B$67&lt;=C218*12))),'Operating costs'!$B$66,0),"n.a."))</f>
        <v>0</v>
      </c>
      <c r="N218" s="16">
        <f>IF(NOT(Paths!$C$26=1),0,IF(Paths!$P$26="Complete",SUM(G218:I218)-J218-K218-L218+M218+IF(C218=0,Paths!$F$26,0)+IF(IF(Paths!$E$26=0,C218=0,AND(C218&gt;0,Paths!$E$26&gt;(C218-1)*12,Paths!$E$26&lt;=C218*12)),VLOOKUP(A218,'Fleet register'!$A$7:$S$106,16,FALSE),0),"n.a."))</f>
        <v>18151.349999999999</v>
      </c>
      <c r="O218" s="16">
        <f>IF(NOT(Paths!$C$26=1),0,IF(Paths!$P$26="Complete",N218-IF(C218=0,Paths!$F$26,0),"n.a."))</f>
        <v>18151.349999999999</v>
      </c>
      <c r="P218" s="16">
        <f>IF(NOT(Paths!$C$26=1),0,IF(Paths!$P$26="Complete",O218+L218,"n.a."))</f>
        <v>18151.349999999999</v>
      </c>
      <c r="Q218" s="16">
        <f>IF(NOT(Paths!$C$26=1),0,IF(Paths!$P$26="Complete",N218*(1+'Operating costs'!$B$54)^-C218,"n.a."))</f>
        <v>18151.349999999999</v>
      </c>
      <c r="R218" s="16">
        <f>IF(NOT(Paths!$C$26=1),0,IF(Paths!$P$26="Complete",IF(AND(C218=0,Paths!$E$26=0),I218-J218-K218+VLOOKUP(A218,'Fleet register'!$A$7:$S$106,15,FALSE)+VLOOKUP(A218,'Fleet register'!$A$7:$S$106,16,FALSE),0),"n.a."))</f>
        <v>0</v>
      </c>
      <c r="S218" s="1">
        <f>IF(NOT(Paths!$C$26=1),0,IF(Paths!$P$26="Complete",IF(C218=0,0,Paths!$S$26*Paths!$R$26),"n.a."))</f>
        <v>45000</v>
      </c>
      <c r="T218" s="1">
        <f>IF(NOT(Paths!$C$26=1),0,IF(Paths!$P$26="Complete",IF(C218=0,0,VLOOKUP(A218,'Fleet register'!$A$7:$S$106,9,FALSE)*Paths!$R$26),"n.a."))</f>
        <v>7200</v>
      </c>
    </row>
    <row r="219" spans="1:20" ht="24" customHeight="1">
      <c r="A219" s="1" t="str">
        <f>Paths!$A$26</f>
        <v>T005</v>
      </c>
      <c r="B219" s="1">
        <f>Paths!$B$26</f>
        <v>3</v>
      </c>
      <c r="C219" s="1">
        <v>3</v>
      </c>
      <c r="D219" s="1">
        <v>26</v>
      </c>
      <c r="E219" s="1">
        <f>IF(OR(Paths!$C$26=0,C219=0),0,MAX(0,MIN(C219*12,Paths!$E$26)-(C219-1)*12))</f>
        <v>12</v>
      </c>
      <c r="F219" s="1">
        <f>IF(OR(Paths!$C$26=0,C219=0),0,12-E219)</f>
        <v>0</v>
      </c>
      <c r="G219" s="16">
        <f>IF(NOT(Paths!$C$26=1),0,IF(Paths!$P$26="Complete",E219/12*(Paths!$J$26*(1+'Operating costs'!$B$51)^MAX(0,C219-1)+Paths!$K$26*(1+'Operating costs'!$B$53)^MAX(0,C219-1)),"n.a."))</f>
        <v>18151.349999999999</v>
      </c>
      <c r="H219" s="16">
        <f>IF(NOT(Paths!$C$26=1),0,IF(Paths!$P$26="Complete",F219/12*(Paths!$L$26*(1+IF(Paths!$D$26="EV",'Operating costs'!$B$52,'Operating costs'!$B$51))^MAX(0,C219-1)+Paths!$M$26*(1+'Operating costs'!$B$53)^MAX(0,C219-1)),"n.a."))</f>
        <v>0</v>
      </c>
      <c r="I219" s="16">
        <f>IF(NOT(Paths!$C$26=1),0,IF(Paths!$P$26="Complete",IF(IF(Paths!$E$26=0,C219=0,AND(C219&gt;0,Paths!$E$26&gt;(C219-1)*12,Paths!$E$26&lt;=C219*12)),Paths!$G$26,0),"n.a."))</f>
        <v>0</v>
      </c>
      <c r="J219" s="16">
        <f>IF(NOT(Paths!$C$26=1),0,IF(Paths!$P$26="Complete",IF(IF(Paths!$E$26=0,C219=0,AND(C219&gt;0,Paths!$E$26&gt;(C219-1)*12,Paths!$E$26&lt;=C219*12)),Paths!$H$26,0),"n.a."))</f>
        <v>0</v>
      </c>
      <c r="K219" s="16">
        <f>IF(NOT(Paths!$C$26=1),0,IF(Paths!$P$26="Complete",IF(IF(Paths!$O$26=0,C219=0,AND(C219&gt;0,Paths!$O$26&gt;(C219-1)*12,Paths!$O$26&lt;=C219*12)),Paths!$N$26,0),"n.a."))</f>
        <v>0</v>
      </c>
      <c r="L219" s="16">
        <f>IF(NOT(Paths!$C$26=1),0,IF(Paths!$P$26="Complete",IF(C219=10,Paths!$I$26,0),"n.a."))</f>
        <v>0</v>
      </c>
      <c r="M219" s="16">
        <f>IF(NOT(Paths!$C$26=1),0,IF(Paths!$P$26="Complete",IF(AND(Paths!$D$26="EV",Paths!$E$26&lt;120,Paths!$E$26+'Operating costs'!$B$65&gt;Paths!$E$26,Paths!$E$26+'Operating costs'!$B$65&lt;=120,IF(Paths!$E$26+'Operating costs'!$B$65=0,C219=0,AND(C219&gt;0,Paths!$E$26+'Operating costs'!$B$65&gt;(C219-1)*12,Paths!$E$26+'Operating costs'!$B$65&lt;=C219*12))),'Operating costs'!$B$64,0)+IF(AND('Operating costs'!$B$67&gt;0,'Operating costs'!$B$67&lt;=120,OR(Paths!$D$26="ICE",'Operating costs'!$B$67&lt;=Paths!$E$26),IF('Operating costs'!$B$67=0,C219=0,AND(C219&gt;0,'Operating costs'!$B$67&gt;(C219-1)*12,'Operating costs'!$B$67&lt;=C219*12))),'Operating costs'!$B$66,0),"n.a."))</f>
        <v>0</v>
      </c>
      <c r="N219" s="16">
        <f>IF(NOT(Paths!$C$26=1),0,IF(Paths!$P$26="Complete",SUM(G219:I219)-J219-K219-L219+M219+IF(C219=0,Paths!$F$26,0)+IF(IF(Paths!$E$26=0,C219=0,AND(C219&gt;0,Paths!$E$26&gt;(C219-1)*12,Paths!$E$26&lt;=C219*12)),VLOOKUP(A219,'Fleet register'!$A$7:$S$106,16,FALSE),0),"n.a."))</f>
        <v>18151.349999999999</v>
      </c>
      <c r="O219" s="16">
        <f>IF(NOT(Paths!$C$26=1),0,IF(Paths!$P$26="Complete",N219-IF(C219=0,Paths!$F$26,0),"n.a."))</f>
        <v>18151.349999999999</v>
      </c>
      <c r="P219" s="16">
        <f>IF(NOT(Paths!$C$26=1),0,IF(Paths!$P$26="Complete",O219+L219,"n.a."))</f>
        <v>18151.349999999999</v>
      </c>
      <c r="Q219" s="16">
        <f>IF(NOT(Paths!$C$26=1),0,IF(Paths!$P$26="Complete",N219*(1+'Operating costs'!$B$54)^-C219,"n.a."))</f>
        <v>18151.349999999999</v>
      </c>
      <c r="R219" s="16">
        <f>IF(NOT(Paths!$C$26=1),0,IF(Paths!$P$26="Complete",IF(AND(C219=0,Paths!$E$26=0),I219-J219-K219+VLOOKUP(A219,'Fleet register'!$A$7:$S$106,15,FALSE)+VLOOKUP(A219,'Fleet register'!$A$7:$S$106,16,FALSE),0),"n.a."))</f>
        <v>0</v>
      </c>
      <c r="S219" s="1">
        <f>IF(NOT(Paths!$C$26=1),0,IF(Paths!$P$26="Complete",IF(C219=0,0,Paths!$S$26*Paths!$R$26),"n.a."))</f>
        <v>45000</v>
      </c>
      <c r="T219" s="1">
        <f>IF(NOT(Paths!$C$26=1),0,IF(Paths!$P$26="Complete",IF(C219=0,0,VLOOKUP(A219,'Fleet register'!$A$7:$S$106,9,FALSE)*Paths!$R$26),"n.a."))</f>
        <v>7200</v>
      </c>
    </row>
    <row r="220" spans="1:20" ht="24" customHeight="1">
      <c r="A220" s="1" t="str">
        <f>Paths!$A$26</f>
        <v>T005</v>
      </c>
      <c r="B220" s="1">
        <f>Paths!$B$26</f>
        <v>3</v>
      </c>
      <c r="C220" s="1">
        <v>4</v>
      </c>
      <c r="D220" s="1">
        <v>26</v>
      </c>
      <c r="E220" s="1">
        <f>IF(OR(Paths!$C$26=0,C220=0),0,MAX(0,MIN(C220*12,Paths!$E$26)-(C220-1)*12))</f>
        <v>12</v>
      </c>
      <c r="F220" s="1">
        <f>IF(OR(Paths!$C$26=0,C220=0),0,12-E220)</f>
        <v>0</v>
      </c>
      <c r="G220" s="16">
        <f>IF(NOT(Paths!$C$26=1),0,IF(Paths!$P$26="Complete",E220/12*(Paths!$J$26*(1+'Operating costs'!$B$51)^MAX(0,C220-1)+Paths!$K$26*(1+'Operating costs'!$B$53)^MAX(0,C220-1)),"n.a."))</f>
        <v>18151.349999999999</v>
      </c>
      <c r="H220" s="16">
        <f>IF(NOT(Paths!$C$26=1),0,IF(Paths!$P$26="Complete",F220/12*(Paths!$L$26*(1+IF(Paths!$D$26="EV",'Operating costs'!$B$52,'Operating costs'!$B$51))^MAX(0,C220-1)+Paths!$M$26*(1+'Operating costs'!$B$53)^MAX(0,C220-1)),"n.a."))</f>
        <v>0</v>
      </c>
      <c r="I220" s="16">
        <f>IF(NOT(Paths!$C$26=1),0,IF(Paths!$P$26="Complete",IF(IF(Paths!$E$26=0,C220=0,AND(C220&gt;0,Paths!$E$26&gt;(C220-1)*12,Paths!$E$26&lt;=C220*12)),Paths!$G$26,0),"n.a."))</f>
        <v>0</v>
      </c>
      <c r="J220" s="16">
        <f>IF(NOT(Paths!$C$26=1),0,IF(Paths!$P$26="Complete",IF(IF(Paths!$E$26=0,C220=0,AND(C220&gt;0,Paths!$E$26&gt;(C220-1)*12,Paths!$E$26&lt;=C220*12)),Paths!$H$26,0),"n.a."))</f>
        <v>0</v>
      </c>
      <c r="K220" s="16">
        <f>IF(NOT(Paths!$C$26=1),0,IF(Paths!$P$26="Complete",IF(IF(Paths!$O$26=0,C220=0,AND(C220&gt;0,Paths!$O$26&gt;(C220-1)*12,Paths!$O$26&lt;=C220*12)),Paths!$N$26,0),"n.a."))</f>
        <v>0</v>
      </c>
      <c r="L220" s="16">
        <f>IF(NOT(Paths!$C$26=1),0,IF(Paths!$P$26="Complete",IF(C220=10,Paths!$I$26,0),"n.a."))</f>
        <v>0</v>
      </c>
      <c r="M220" s="16">
        <f>IF(NOT(Paths!$C$26=1),0,IF(Paths!$P$26="Complete",IF(AND(Paths!$D$26="EV",Paths!$E$26&lt;120,Paths!$E$26+'Operating costs'!$B$65&gt;Paths!$E$26,Paths!$E$26+'Operating costs'!$B$65&lt;=120,IF(Paths!$E$26+'Operating costs'!$B$65=0,C220=0,AND(C220&gt;0,Paths!$E$26+'Operating costs'!$B$65&gt;(C220-1)*12,Paths!$E$26+'Operating costs'!$B$65&lt;=C220*12))),'Operating costs'!$B$64,0)+IF(AND('Operating costs'!$B$67&gt;0,'Operating costs'!$B$67&lt;=120,OR(Paths!$D$26="ICE",'Operating costs'!$B$67&lt;=Paths!$E$26),IF('Operating costs'!$B$67=0,C220=0,AND(C220&gt;0,'Operating costs'!$B$67&gt;(C220-1)*12,'Operating costs'!$B$67&lt;=C220*12))),'Operating costs'!$B$66,0),"n.a."))</f>
        <v>0</v>
      </c>
      <c r="N220" s="16">
        <f>IF(NOT(Paths!$C$26=1),0,IF(Paths!$P$26="Complete",SUM(G220:I220)-J220-K220-L220+M220+IF(C220=0,Paths!$F$26,0)+IF(IF(Paths!$E$26=0,C220=0,AND(C220&gt;0,Paths!$E$26&gt;(C220-1)*12,Paths!$E$26&lt;=C220*12)),VLOOKUP(A220,'Fleet register'!$A$7:$S$106,16,FALSE),0),"n.a."))</f>
        <v>18151.349999999999</v>
      </c>
      <c r="O220" s="16">
        <f>IF(NOT(Paths!$C$26=1),0,IF(Paths!$P$26="Complete",N220-IF(C220=0,Paths!$F$26,0),"n.a."))</f>
        <v>18151.349999999999</v>
      </c>
      <c r="P220" s="16">
        <f>IF(NOT(Paths!$C$26=1),0,IF(Paths!$P$26="Complete",O220+L220,"n.a."))</f>
        <v>18151.349999999999</v>
      </c>
      <c r="Q220" s="16">
        <f>IF(NOT(Paths!$C$26=1),0,IF(Paths!$P$26="Complete",N220*(1+'Operating costs'!$B$54)^-C220,"n.a."))</f>
        <v>18151.349999999999</v>
      </c>
      <c r="R220" s="16">
        <f>IF(NOT(Paths!$C$26=1),0,IF(Paths!$P$26="Complete",IF(AND(C220=0,Paths!$E$26=0),I220-J220-K220+VLOOKUP(A220,'Fleet register'!$A$7:$S$106,15,FALSE)+VLOOKUP(A220,'Fleet register'!$A$7:$S$106,16,FALSE),0),"n.a."))</f>
        <v>0</v>
      </c>
      <c r="S220" s="1">
        <f>IF(NOT(Paths!$C$26=1),0,IF(Paths!$P$26="Complete",IF(C220=0,0,Paths!$S$26*Paths!$R$26),"n.a."))</f>
        <v>45000</v>
      </c>
      <c r="T220" s="1">
        <f>IF(NOT(Paths!$C$26=1),0,IF(Paths!$P$26="Complete",IF(C220=0,0,VLOOKUP(A220,'Fleet register'!$A$7:$S$106,9,FALSE)*Paths!$R$26),"n.a."))</f>
        <v>7200</v>
      </c>
    </row>
    <row r="221" spans="1:20" ht="24" customHeight="1">
      <c r="A221" s="1" t="str">
        <f>Paths!$A$26</f>
        <v>T005</v>
      </c>
      <c r="B221" s="1">
        <f>Paths!$B$26</f>
        <v>3</v>
      </c>
      <c r="C221" s="1">
        <v>5</v>
      </c>
      <c r="D221" s="1">
        <v>26</v>
      </c>
      <c r="E221" s="1">
        <f>IF(OR(Paths!$C$26=0,C221=0),0,MAX(0,MIN(C221*12,Paths!$E$26)-(C221-1)*12))</f>
        <v>12</v>
      </c>
      <c r="F221" s="1">
        <f>IF(OR(Paths!$C$26=0,C221=0),0,12-E221)</f>
        <v>0</v>
      </c>
      <c r="G221" s="16">
        <f>IF(NOT(Paths!$C$26=1),0,IF(Paths!$P$26="Complete",E221/12*(Paths!$J$26*(1+'Operating costs'!$B$51)^MAX(0,C221-1)+Paths!$K$26*(1+'Operating costs'!$B$53)^MAX(0,C221-1)),"n.a."))</f>
        <v>18151.349999999999</v>
      </c>
      <c r="H221" s="16">
        <f>IF(NOT(Paths!$C$26=1),0,IF(Paths!$P$26="Complete",F221/12*(Paths!$L$26*(1+IF(Paths!$D$26="EV",'Operating costs'!$B$52,'Operating costs'!$B$51))^MAX(0,C221-1)+Paths!$M$26*(1+'Operating costs'!$B$53)^MAX(0,C221-1)),"n.a."))</f>
        <v>0</v>
      </c>
      <c r="I221" s="16">
        <f>IF(NOT(Paths!$C$26=1),0,IF(Paths!$P$26="Complete",IF(IF(Paths!$E$26=0,C221=0,AND(C221&gt;0,Paths!$E$26&gt;(C221-1)*12,Paths!$E$26&lt;=C221*12)),Paths!$G$26,0),"n.a."))</f>
        <v>181000</v>
      </c>
      <c r="J221" s="16">
        <f>IF(NOT(Paths!$C$26=1),0,IF(Paths!$P$26="Complete",IF(IF(Paths!$E$26=0,C221=0,AND(C221&gt;0,Paths!$E$26&gt;(C221-1)*12,Paths!$E$26&lt;=C221*12)),Paths!$H$26,0),"n.a."))</f>
        <v>10000</v>
      </c>
      <c r="K221" s="16">
        <f>IF(NOT(Paths!$C$26=1),0,IF(Paths!$P$26="Complete",IF(IF(Paths!$O$26=0,C221=0,AND(C221&gt;0,Paths!$O$26&gt;(C221-1)*12,Paths!$O$26&lt;=C221*12)),Paths!$N$26,0),"n.a."))</f>
        <v>0</v>
      </c>
      <c r="L221" s="16">
        <f>IF(NOT(Paths!$C$26=1),0,IF(Paths!$P$26="Complete",IF(C221=10,Paths!$I$26,0),"n.a."))</f>
        <v>0</v>
      </c>
      <c r="M221" s="16">
        <f>IF(NOT(Paths!$C$26=1),0,IF(Paths!$P$26="Complete",IF(AND(Paths!$D$26="EV",Paths!$E$26&lt;120,Paths!$E$26+'Operating costs'!$B$65&gt;Paths!$E$26,Paths!$E$26+'Operating costs'!$B$65&lt;=120,IF(Paths!$E$26+'Operating costs'!$B$65=0,C221=0,AND(C221&gt;0,Paths!$E$26+'Operating costs'!$B$65&gt;(C221-1)*12,Paths!$E$26+'Operating costs'!$B$65&lt;=C221*12))),'Operating costs'!$B$64,0)+IF(AND('Operating costs'!$B$67&gt;0,'Operating costs'!$B$67&lt;=120,OR(Paths!$D$26="ICE",'Operating costs'!$B$67&lt;=Paths!$E$26),IF('Operating costs'!$B$67=0,C221=0,AND(C221&gt;0,'Operating costs'!$B$67&gt;(C221-1)*12,'Operating costs'!$B$67&lt;=C221*12))),'Operating costs'!$B$66,0),"n.a."))</f>
        <v>0</v>
      </c>
      <c r="N221" s="16">
        <f>IF(NOT(Paths!$C$26=1),0,IF(Paths!$P$26="Complete",SUM(G221:I221)-J221-K221-L221+M221+IF(C221=0,Paths!$F$26,0)+IF(IF(Paths!$E$26=0,C221=0,AND(C221&gt;0,Paths!$E$26&gt;(C221-1)*12,Paths!$E$26&lt;=C221*12)),VLOOKUP(A221,'Fleet register'!$A$7:$S$106,16,FALSE),0),"n.a."))</f>
        <v>189151.35</v>
      </c>
      <c r="O221" s="16">
        <f>IF(NOT(Paths!$C$26=1),0,IF(Paths!$P$26="Complete",N221-IF(C221=0,Paths!$F$26,0),"n.a."))</f>
        <v>189151.35</v>
      </c>
      <c r="P221" s="16">
        <f>IF(NOT(Paths!$C$26=1),0,IF(Paths!$P$26="Complete",O221+L221,"n.a."))</f>
        <v>189151.35</v>
      </c>
      <c r="Q221" s="16">
        <f>IF(NOT(Paths!$C$26=1),0,IF(Paths!$P$26="Complete",N221*(1+'Operating costs'!$B$54)^-C221,"n.a."))</f>
        <v>189151.35</v>
      </c>
      <c r="R221" s="16">
        <f>IF(NOT(Paths!$C$26=1),0,IF(Paths!$P$26="Complete",IF(AND(C221=0,Paths!$E$26=0),I221-J221-K221+VLOOKUP(A221,'Fleet register'!$A$7:$S$106,15,FALSE)+VLOOKUP(A221,'Fleet register'!$A$7:$S$106,16,FALSE),0),"n.a."))</f>
        <v>0</v>
      </c>
      <c r="S221" s="1">
        <f>IF(NOT(Paths!$C$26=1),0,IF(Paths!$P$26="Complete",IF(C221=0,0,Paths!$S$26*Paths!$R$26),"n.a."))</f>
        <v>45000</v>
      </c>
      <c r="T221" s="1">
        <f>IF(NOT(Paths!$C$26=1),0,IF(Paths!$P$26="Complete",IF(C221=0,0,VLOOKUP(A221,'Fleet register'!$A$7:$S$106,9,FALSE)*Paths!$R$26),"n.a."))</f>
        <v>7200</v>
      </c>
    </row>
    <row r="222" spans="1:20" ht="24" customHeight="1">
      <c r="A222" s="1" t="str">
        <f>Paths!$A$26</f>
        <v>T005</v>
      </c>
      <c r="B222" s="1">
        <f>Paths!$B$26</f>
        <v>3</v>
      </c>
      <c r="C222" s="1">
        <v>6</v>
      </c>
      <c r="D222" s="1">
        <v>26</v>
      </c>
      <c r="E222" s="1">
        <f>IF(OR(Paths!$C$26=0,C222=0),0,MAX(0,MIN(C222*12,Paths!$E$26)-(C222-1)*12))</f>
        <v>0</v>
      </c>
      <c r="F222" s="1">
        <f>IF(OR(Paths!$C$26=0,C222=0),0,12-E222)</f>
        <v>12</v>
      </c>
      <c r="G222" s="16">
        <f>IF(NOT(Paths!$C$26=1),0,IF(Paths!$P$26="Complete",E222/12*(Paths!$J$26*(1+'Operating costs'!$B$51)^MAX(0,C222-1)+Paths!$K$26*(1+'Operating costs'!$B$53)^MAX(0,C222-1)),"n.a."))</f>
        <v>0</v>
      </c>
      <c r="H222" s="16">
        <f>IF(NOT(Paths!$C$26=1),0,IF(Paths!$P$26="Complete",F222/12*(Paths!$L$26*(1+IF(Paths!$D$26="EV",'Operating costs'!$B$52,'Operating costs'!$B$51))^MAX(0,C222-1)+Paths!$M$26*(1+'Operating costs'!$B$53)^MAX(0,C222-1)),"n.a."))</f>
        <v>18151.349999999999</v>
      </c>
      <c r="I222" s="16">
        <f>IF(NOT(Paths!$C$26=1),0,IF(Paths!$P$26="Complete",IF(IF(Paths!$E$26=0,C222=0,AND(C222&gt;0,Paths!$E$26&gt;(C222-1)*12,Paths!$E$26&lt;=C222*12)),Paths!$G$26,0),"n.a."))</f>
        <v>0</v>
      </c>
      <c r="J222" s="16">
        <f>IF(NOT(Paths!$C$26=1),0,IF(Paths!$P$26="Complete",IF(IF(Paths!$E$26=0,C222=0,AND(C222&gt;0,Paths!$E$26&gt;(C222-1)*12,Paths!$E$26&lt;=C222*12)),Paths!$H$26,0),"n.a."))</f>
        <v>0</v>
      </c>
      <c r="K222" s="16">
        <f>IF(NOT(Paths!$C$26=1),0,IF(Paths!$P$26="Complete",IF(IF(Paths!$O$26=0,C222=0,AND(C222&gt;0,Paths!$O$26&gt;(C222-1)*12,Paths!$O$26&lt;=C222*12)),Paths!$N$26,0),"n.a."))</f>
        <v>0</v>
      </c>
      <c r="L222" s="16">
        <f>IF(NOT(Paths!$C$26=1),0,IF(Paths!$P$26="Complete",IF(C222=10,Paths!$I$26,0),"n.a."))</f>
        <v>0</v>
      </c>
      <c r="M222" s="16">
        <f>IF(NOT(Paths!$C$26=1),0,IF(Paths!$P$26="Complete",IF(AND(Paths!$D$26="EV",Paths!$E$26&lt;120,Paths!$E$26+'Operating costs'!$B$65&gt;Paths!$E$26,Paths!$E$26+'Operating costs'!$B$65&lt;=120,IF(Paths!$E$26+'Operating costs'!$B$65=0,C222=0,AND(C222&gt;0,Paths!$E$26+'Operating costs'!$B$65&gt;(C222-1)*12,Paths!$E$26+'Operating costs'!$B$65&lt;=C222*12))),'Operating costs'!$B$64,0)+IF(AND('Operating costs'!$B$67&gt;0,'Operating costs'!$B$67&lt;=120,OR(Paths!$D$26="ICE",'Operating costs'!$B$67&lt;=Paths!$E$26),IF('Operating costs'!$B$67=0,C222=0,AND(C222&gt;0,'Operating costs'!$B$67&gt;(C222-1)*12,'Operating costs'!$B$67&lt;=C222*12))),'Operating costs'!$B$66,0),"n.a."))</f>
        <v>0</v>
      </c>
      <c r="N222" s="16">
        <f>IF(NOT(Paths!$C$26=1),0,IF(Paths!$P$26="Complete",SUM(G222:I222)-J222-K222-L222+M222+IF(C222=0,Paths!$F$26,0)+IF(IF(Paths!$E$26=0,C222=0,AND(C222&gt;0,Paths!$E$26&gt;(C222-1)*12,Paths!$E$26&lt;=C222*12)),VLOOKUP(A222,'Fleet register'!$A$7:$S$106,16,FALSE),0),"n.a."))</f>
        <v>18151.349999999999</v>
      </c>
      <c r="O222" s="16">
        <f>IF(NOT(Paths!$C$26=1),0,IF(Paths!$P$26="Complete",N222-IF(C222=0,Paths!$F$26,0),"n.a."))</f>
        <v>18151.349999999999</v>
      </c>
      <c r="P222" s="16">
        <f>IF(NOT(Paths!$C$26=1),0,IF(Paths!$P$26="Complete",O222+L222,"n.a."))</f>
        <v>18151.349999999999</v>
      </c>
      <c r="Q222" s="16">
        <f>IF(NOT(Paths!$C$26=1),0,IF(Paths!$P$26="Complete",N222*(1+'Operating costs'!$B$54)^-C222,"n.a."))</f>
        <v>18151.349999999999</v>
      </c>
      <c r="R222" s="16">
        <f>IF(NOT(Paths!$C$26=1),0,IF(Paths!$P$26="Complete",IF(AND(C222=0,Paths!$E$26=0),I222-J222-K222+VLOOKUP(A222,'Fleet register'!$A$7:$S$106,15,FALSE)+VLOOKUP(A222,'Fleet register'!$A$7:$S$106,16,FALSE),0),"n.a."))</f>
        <v>0</v>
      </c>
      <c r="S222" s="1">
        <f>IF(NOT(Paths!$C$26=1),0,IF(Paths!$P$26="Complete",IF(C222=0,0,Paths!$S$26*Paths!$R$26),"n.a."))</f>
        <v>45000</v>
      </c>
      <c r="T222" s="1">
        <f>IF(NOT(Paths!$C$26=1),0,IF(Paths!$P$26="Complete",IF(C222=0,0,VLOOKUP(A222,'Fleet register'!$A$7:$S$106,9,FALSE)*Paths!$R$26),"n.a."))</f>
        <v>7200</v>
      </c>
    </row>
    <row r="223" spans="1:20" ht="24" customHeight="1">
      <c r="A223" s="1" t="str">
        <f>Paths!$A$26</f>
        <v>T005</v>
      </c>
      <c r="B223" s="1">
        <f>Paths!$B$26</f>
        <v>3</v>
      </c>
      <c r="C223" s="1">
        <v>7</v>
      </c>
      <c r="D223" s="1">
        <v>26</v>
      </c>
      <c r="E223" s="1">
        <f>IF(OR(Paths!$C$26=0,C223=0),0,MAX(0,MIN(C223*12,Paths!$E$26)-(C223-1)*12))</f>
        <v>0</v>
      </c>
      <c r="F223" s="1">
        <f>IF(OR(Paths!$C$26=0,C223=0),0,12-E223)</f>
        <v>12</v>
      </c>
      <c r="G223" s="16">
        <f>IF(NOT(Paths!$C$26=1),0,IF(Paths!$P$26="Complete",E223/12*(Paths!$J$26*(1+'Operating costs'!$B$51)^MAX(0,C223-1)+Paths!$K$26*(1+'Operating costs'!$B$53)^MAX(0,C223-1)),"n.a."))</f>
        <v>0</v>
      </c>
      <c r="H223" s="16">
        <f>IF(NOT(Paths!$C$26=1),0,IF(Paths!$P$26="Complete",F223/12*(Paths!$L$26*(1+IF(Paths!$D$26="EV",'Operating costs'!$B$52,'Operating costs'!$B$51))^MAX(0,C223-1)+Paths!$M$26*(1+'Operating costs'!$B$53)^MAX(0,C223-1)),"n.a."))</f>
        <v>18151.349999999999</v>
      </c>
      <c r="I223" s="16">
        <f>IF(NOT(Paths!$C$26=1),0,IF(Paths!$P$26="Complete",IF(IF(Paths!$E$26=0,C223=0,AND(C223&gt;0,Paths!$E$26&gt;(C223-1)*12,Paths!$E$26&lt;=C223*12)),Paths!$G$26,0),"n.a."))</f>
        <v>0</v>
      </c>
      <c r="J223" s="16">
        <f>IF(NOT(Paths!$C$26=1),0,IF(Paths!$P$26="Complete",IF(IF(Paths!$E$26=0,C223=0,AND(C223&gt;0,Paths!$E$26&gt;(C223-1)*12,Paths!$E$26&lt;=C223*12)),Paths!$H$26,0),"n.a."))</f>
        <v>0</v>
      </c>
      <c r="K223" s="16">
        <f>IF(NOT(Paths!$C$26=1),0,IF(Paths!$P$26="Complete",IF(IF(Paths!$O$26=0,C223=0,AND(C223&gt;0,Paths!$O$26&gt;(C223-1)*12,Paths!$O$26&lt;=C223*12)),Paths!$N$26,0),"n.a."))</f>
        <v>0</v>
      </c>
      <c r="L223" s="16">
        <f>IF(NOT(Paths!$C$26=1),0,IF(Paths!$P$26="Complete",IF(C223=10,Paths!$I$26,0),"n.a."))</f>
        <v>0</v>
      </c>
      <c r="M223" s="16">
        <f>IF(NOT(Paths!$C$26=1),0,IF(Paths!$P$26="Complete",IF(AND(Paths!$D$26="EV",Paths!$E$26&lt;120,Paths!$E$26+'Operating costs'!$B$65&gt;Paths!$E$26,Paths!$E$26+'Operating costs'!$B$65&lt;=120,IF(Paths!$E$26+'Operating costs'!$B$65=0,C223=0,AND(C223&gt;0,Paths!$E$26+'Operating costs'!$B$65&gt;(C223-1)*12,Paths!$E$26+'Operating costs'!$B$65&lt;=C223*12))),'Operating costs'!$B$64,0)+IF(AND('Operating costs'!$B$67&gt;0,'Operating costs'!$B$67&lt;=120,OR(Paths!$D$26="ICE",'Operating costs'!$B$67&lt;=Paths!$E$26),IF('Operating costs'!$B$67=0,C223=0,AND(C223&gt;0,'Operating costs'!$B$67&gt;(C223-1)*12,'Operating costs'!$B$67&lt;=C223*12))),'Operating costs'!$B$66,0),"n.a."))</f>
        <v>0</v>
      </c>
      <c r="N223" s="16">
        <f>IF(NOT(Paths!$C$26=1),0,IF(Paths!$P$26="Complete",SUM(G223:I223)-J223-K223-L223+M223+IF(C223=0,Paths!$F$26,0)+IF(IF(Paths!$E$26=0,C223=0,AND(C223&gt;0,Paths!$E$26&gt;(C223-1)*12,Paths!$E$26&lt;=C223*12)),VLOOKUP(A223,'Fleet register'!$A$7:$S$106,16,FALSE),0),"n.a."))</f>
        <v>18151.349999999999</v>
      </c>
      <c r="O223" s="16">
        <f>IF(NOT(Paths!$C$26=1),0,IF(Paths!$P$26="Complete",N223-IF(C223=0,Paths!$F$26,0),"n.a."))</f>
        <v>18151.349999999999</v>
      </c>
      <c r="P223" s="16">
        <f>IF(NOT(Paths!$C$26=1),0,IF(Paths!$P$26="Complete",O223+L223,"n.a."))</f>
        <v>18151.349999999999</v>
      </c>
      <c r="Q223" s="16">
        <f>IF(NOT(Paths!$C$26=1),0,IF(Paths!$P$26="Complete",N223*(1+'Operating costs'!$B$54)^-C223,"n.a."))</f>
        <v>18151.349999999999</v>
      </c>
      <c r="R223" s="16">
        <f>IF(NOT(Paths!$C$26=1),0,IF(Paths!$P$26="Complete",IF(AND(C223=0,Paths!$E$26=0),I223-J223-K223+VLOOKUP(A223,'Fleet register'!$A$7:$S$106,15,FALSE)+VLOOKUP(A223,'Fleet register'!$A$7:$S$106,16,FALSE),0),"n.a."))</f>
        <v>0</v>
      </c>
      <c r="S223" s="1">
        <f>IF(NOT(Paths!$C$26=1),0,IF(Paths!$P$26="Complete",IF(C223=0,0,Paths!$S$26*Paths!$R$26),"n.a."))</f>
        <v>45000</v>
      </c>
      <c r="T223" s="1">
        <f>IF(NOT(Paths!$C$26=1),0,IF(Paths!$P$26="Complete",IF(C223=0,0,VLOOKUP(A223,'Fleet register'!$A$7:$S$106,9,FALSE)*Paths!$R$26),"n.a."))</f>
        <v>7200</v>
      </c>
    </row>
    <row r="224" spans="1:20" ht="24" customHeight="1">
      <c r="A224" s="1" t="str">
        <f>Paths!$A$26</f>
        <v>T005</v>
      </c>
      <c r="B224" s="1">
        <f>Paths!$B$26</f>
        <v>3</v>
      </c>
      <c r="C224" s="1">
        <v>8</v>
      </c>
      <c r="D224" s="1">
        <v>26</v>
      </c>
      <c r="E224" s="1">
        <f>IF(OR(Paths!$C$26=0,C224=0),0,MAX(0,MIN(C224*12,Paths!$E$26)-(C224-1)*12))</f>
        <v>0</v>
      </c>
      <c r="F224" s="1">
        <f>IF(OR(Paths!$C$26=0,C224=0),0,12-E224)</f>
        <v>12</v>
      </c>
      <c r="G224" s="16">
        <f>IF(NOT(Paths!$C$26=1),0,IF(Paths!$P$26="Complete",E224/12*(Paths!$J$26*(1+'Operating costs'!$B$51)^MAX(0,C224-1)+Paths!$K$26*(1+'Operating costs'!$B$53)^MAX(0,C224-1)),"n.a."))</f>
        <v>0</v>
      </c>
      <c r="H224" s="16">
        <f>IF(NOT(Paths!$C$26=1),0,IF(Paths!$P$26="Complete",F224/12*(Paths!$L$26*(1+IF(Paths!$D$26="EV",'Operating costs'!$B$52,'Operating costs'!$B$51))^MAX(0,C224-1)+Paths!$M$26*(1+'Operating costs'!$B$53)^MAX(0,C224-1)),"n.a."))</f>
        <v>18151.349999999999</v>
      </c>
      <c r="I224" s="16">
        <f>IF(NOT(Paths!$C$26=1),0,IF(Paths!$P$26="Complete",IF(IF(Paths!$E$26=0,C224=0,AND(C224&gt;0,Paths!$E$26&gt;(C224-1)*12,Paths!$E$26&lt;=C224*12)),Paths!$G$26,0),"n.a."))</f>
        <v>0</v>
      </c>
      <c r="J224" s="16">
        <f>IF(NOT(Paths!$C$26=1),0,IF(Paths!$P$26="Complete",IF(IF(Paths!$E$26=0,C224=0,AND(C224&gt;0,Paths!$E$26&gt;(C224-1)*12,Paths!$E$26&lt;=C224*12)),Paths!$H$26,0),"n.a."))</f>
        <v>0</v>
      </c>
      <c r="K224" s="16">
        <f>IF(NOT(Paths!$C$26=1),0,IF(Paths!$P$26="Complete",IF(IF(Paths!$O$26=0,C224=0,AND(C224&gt;0,Paths!$O$26&gt;(C224-1)*12,Paths!$O$26&lt;=C224*12)),Paths!$N$26,0),"n.a."))</f>
        <v>0</v>
      </c>
      <c r="L224" s="16">
        <f>IF(NOT(Paths!$C$26=1),0,IF(Paths!$P$26="Complete",IF(C224=10,Paths!$I$26,0),"n.a."))</f>
        <v>0</v>
      </c>
      <c r="M224" s="16">
        <f>IF(NOT(Paths!$C$26=1),0,IF(Paths!$P$26="Complete",IF(AND(Paths!$D$26="EV",Paths!$E$26&lt;120,Paths!$E$26+'Operating costs'!$B$65&gt;Paths!$E$26,Paths!$E$26+'Operating costs'!$B$65&lt;=120,IF(Paths!$E$26+'Operating costs'!$B$65=0,C224=0,AND(C224&gt;0,Paths!$E$26+'Operating costs'!$B$65&gt;(C224-1)*12,Paths!$E$26+'Operating costs'!$B$65&lt;=C224*12))),'Operating costs'!$B$64,0)+IF(AND('Operating costs'!$B$67&gt;0,'Operating costs'!$B$67&lt;=120,OR(Paths!$D$26="ICE",'Operating costs'!$B$67&lt;=Paths!$E$26),IF('Operating costs'!$B$67=0,C224=0,AND(C224&gt;0,'Operating costs'!$B$67&gt;(C224-1)*12,'Operating costs'!$B$67&lt;=C224*12))),'Operating costs'!$B$66,0),"n.a."))</f>
        <v>0</v>
      </c>
      <c r="N224" s="16">
        <f>IF(NOT(Paths!$C$26=1),0,IF(Paths!$P$26="Complete",SUM(G224:I224)-J224-K224-L224+M224+IF(C224=0,Paths!$F$26,0)+IF(IF(Paths!$E$26=0,C224=0,AND(C224&gt;0,Paths!$E$26&gt;(C224-1)*12,Paths!$E$26&lt;=C224*12)),VLOOKUP(A224,'Fleet register'!$A$7:$S$106,16,FALSE),0),"n.a."))</f>
        <v>18151.349999999999</v>
      </c>
      <c r="O224" s="16">
        <f>IF(NOT(Paths!$C$26=1),0,IF(Paths!$P$26="Complete",N224-IF(C224=0,Paths!$F$26,0),"n.a."))</f>
        <v>18151.349999999999</v>
      </c>
      <c r="P224" s="16">
        <f>IF(NOT(Paths!$C$26=1),0,IF(Paths!$P$26="Complete",O224+L224,"n.a."))</f>
        <v>18151.349999999999</v>
      </c>
      <c r="Q224" s="16">
        <f>IF(NOT(Paths!$C$26=1),0,IF(Paths!$P$26="Complete",N224*(1+'Operating costs'!$B$54)^-C224,"n.a."))</f>
        <v>18151.349999999999</v>
      </c>
      <c r="R224" s="16">
        <f>IF(NOT(Paths!$C$26=1),0,IF(Paths!$P$26="Complete",IF(AND(C224=0,Paths!$E$26=0),I224-J224-K224+VLOOKUP(A224,'Fleet register'!$A$7:$S$106,15,FALSE)+VLOOKUP(A224,'Fleet register'!$A$7:$S$106,16,FALSE),0),"n.a."))</f>
        <v>0</v>
      </c>
      <c r="S224" s="1">
        <f>IF(NOT(Paths!$C$26=1),0,IF(Paths!$P$26="Complete",IF(C224=0,0,Paths!$S$26*Paths!$R$26),"n.a."))</f>
        <v>45000</v>
      </c>
      <c r="T224" s="1">
        <f>IF(NOT(Paths!$C$26=1),0,IF(Paths!$P$26="Complete",IF(C224=0,0,VLOOKUP(A224,'Fleet register'!$A$7:$S$106,9,FALSE)*Paths!$R$26),"n.a."))</f>
        <v>7200</v>
      </c>
    </row>
    <row r="225" spans="1:20" ht="24" customHeight="1">
      <c r="A225" s="1" t="str">
        <f>Paths!$A$26</f>
        <v>T005</v>
      </c>
      <c r="B225" s="1">
        <f>Paths!$B$26</f>
        <v>3</v>
      </c>
      <c r="C225" s="1">
        <v>9</v>
      </c>
      <c r="D225" s="1">
        <v>26</v>
      </c>
      <c r="E225" s="1">
        <f>IF(OR(Paths!$C$26=0,C225=0),0,MAX(0,MIN(C225*12,Paths!$E$26)-(C225-1)*12))</f>
        <v>0</v>
      </c>
      <c r="F225" s="1">
        <f>IF(OR(Paths!$C$26=0,C225=0),0,12-E225)</f>
        <v>12</v>
      </c>
      <c r="G225" s="16">
        <f>IF(NOT(Paths!$C$26=1),0,IF(Paths!$P$26="Complete",E225/12*(Paths!$J$26*(1+'Operating costs'!$B$51)^MAX(0,C225-1)+Paths!$K$26*(1+'Operating costs'!$B$53)^MAX(0,C225-1)),"n.a."))</f>
        <v>0</v>
      </c>
      <c r="H225" s="16">
        <f>IF(NOT(Paths!$C$26=1),0,IF(Paths!$P$26="Complete",F225/12*(Paths!$L$26*(1+IF(Paths!$D$26="EV",'Operating costs'!$B$52,'Operating costs'!$B$51))^MAX(0,C225-1)+Paths!$M$26*(1+'Operating costs'!$B$53)^MAX(0,C225-1)),"n.a."))</f>
        <v>18151.349999999999</v>
      </c>
      <c r="I225" s="16">
        <f>IF(NOT(Paths!$C$26=1),0,IF(Paths!$P$26="Complete",IF(IF(Paths!$E$26=0,C225=0,AND(C225&gt;0,Paths!$E$26&gt;(C225-1)*12,Paths!$E$26&lt;=C225*12)),Paths!$G$26,0),"n.a."))</f>
        <v>0</v>
      </c>
      <c r="J225" s="16">
        <f>IF(NOT(Paths!$C$26=1),0,IF(Paths!$P$26="Complete",IF(IF(Paths!$E$26=0,C225=0,AND(C225&gt;0,Paths!$E$26&gt;(C225-1)*12,Paths!$E$26&lt;=C225*12)),Paths!$H$26,0),"n.a."))</f>
        <v>0</v>
      </c>
      <c r="K225" s="16">
        <f>IF(NOT(Paths!$C$26=1),0,IF(Paths!$P$26="Complete",IF(IF(Paths!$O$26=0,C225=0,AND(C225&gt;0,Paths!$O$26&gt;(C225-1)*12,Paths!$O$26&lt;=C225*12)),Paths!$N$26,0),"n.a."))</f>
        <v>0</v>
      </c>
      <c r="L225" s="16">
        <f>IF(NOT(Paths!$C$26=1),0,IF(Paths!$P$26="Complete",IF(C225=10,Paths!$I$26,0),"n.a."))</f>
        <v>0</v>
      </c>
      <c r="M225" s="16">
        <f>IF(NOT(Paths!$C$26=1),0,IF(Paths!$P$26="Complete",IF(AND(Paths!$D$26="EV",Paths!$E$26&lt;120,Paths!$E$26+'Operating costs'!$B$65&gt;Paths!$E$26,Paths!$E$26+'Operating costs'!$B$65&lt;=120,IF(Paths!$E$26+'Operating costs'!$B$65=0,C225=0,AND(C225&gt;0,Paths!$E$26+'Operating costs'!$B$65&gt;(C225-1)*12,Paths!$E$26+'Operating costs'!$B$65&lt;=C225*12))),'Operating costs'!$B$64,0)+IF(AND('Operating costs'!$B$67&gt;0,'Operating costs'!$B$67&lt;=120,OR(Paths!$D$26="ICE",'Operating costs'!$B$67&lt;=Paths!$E$26),IF('Operating costs'!$B$67=0,C225=0,AND(C225&gt;0,'Operating costs'!$B$67&gt;(C225-1)*12,'Operating costs'!$B$67&lt;=C225*12))),'Operating costs'!$B$66,0),"n.a."))</f>
        <v>0</v>
      </c>
      <c r="N225" s="16">
        <f>IF(NOT(Paths!$C$26=1),0,IF(Paths!$P$26="Complete",SUM(G225:I225)-J225-K225-L225+M225+IF(C225=0,Paths!$F$26,0)+IF(IF(Paths!$E$26=0,C225=0,AND(C225&gt;0,Paths!$E$26&gt;(C225-1)*12,Paths!$E$26&lt;=C225*12)),VLOOKUP(A225,'Fleet register'!$A$7:$S$106,16,FALSE),0),"n.a."))</f>
        <v>18151.349999999999</v>
      </c>
      <c r="O225" s="16">
        <f>IF(NOT(Paths!$C$26=1),0,IF(Paths!$P$26="Complete",N225-IF(C225=0,Paths!$F$26,0),"n.a."))</f>
        <v>18151.349999999999</v>
      </c>
      <c r="P225" s="16">
        <f>IF(NOT(Paths!$C$26=1),0,IF(Paths!$P$26="Complete",O225+L225,"n.a."))</f>
        <v>18151.349999999999</v>
      </c>
      <c r="Q225" s="16">
        <f>IF(NOT(Paths!$C$26=1),0,IF(Paths!$P$26="Complete",N225*(1+'Operating costs'!$B$54)^-C225,"n.a."))</f>
        <v>18151.349999999999</v>
      </c>
      <c r="R225" s="16">
        <f>IF(NOT(Paths!$C$26=1),0,IF(Paths!$P$26="Complete",IF(AND(C225=0,Paths!$E$26=0),I225-J225-K225+VLOOKUP(A225,'Fleet register'!$A$7:$S$106,15,FALSE)+VLOOKUP(A225,'Fleet register'!$A$7:$S$106,16,FALSE),0),"n.a."))</f>
        <v>0</v>
      </c>
      <c r="S225" s="1">
        <f>IF(NOT(Paths!$C$26=1),0,IF(Paths!$P$26="Complete",IF(C225=0,0,Paths!$S$26*Paths!$R$26),"n.a."))</f>
        <v>45000</v>
      </c>
      <c r="T225" s="1">
        <f>IF(NOT(Paths!$C$26=1),0,IF(Paths!$P$26="Complete",IF(C225=0,0,VLOOKUP(A225,'Fleet register'!$A$7:$S$106,9,FALSE)*Paths!$R$26),"n.a."))</f>
        <v>7200</v>
      </c>
    </row>
    <row r="226" spans="1:20" ht="24" customHeight="1">
      <c r="A226" s="1" t="str">
        <f>Paths!$A$26</f>
        <v>T005</v>
      </c>
      <c r="B226" s="1">
        <f>Paths!$B$26</f>
        <v>3</v>
      </c>
      <c r="C226" s="1">
        <v>10</v>
      </c>
      <c r="D226" s="1">
        <v>26</v>
      </c>
      <c r="E226" s="1">
        <f>IF(OR(Paths!$C$26=0,C226=0),0,MAX(0,MIN(C226*12,Paths!$E$26)-(C226-1)*12))</f>
        <v>0</v>
      </c>
      <c r="F226" s="1">
        <f>IF(OR(Paths!$C$26=0,C226=0),0,12-E226)</f>
        <v>12</v>
      </c>
      <c r="G226" s="16">
        <f>IF(NOT(Paths!$C$26=1),0,IF(Paths!$P$26="Complete",E226/12*(Paths!$J$26*(1+'Operating costs'!$B$51)^MAX(0,C226-1)+Paths!$K$26*(1+'Operating costs'!$B$53)^MAX(0,C226-1)),"n.a."))</f>
        <v>0</v>
      </c>
      <c r="H226" s="16">
        <f>IF(NOT(Paths!$C$26=1),0,IF(Paths!$P$26="Complete",F226/12*(Paths!$L$26*(1+IF(Paths!$D$26="EV",'Operating costs'!$B$52,'Operating costs'!$B$51))^MAX(0,C226-1)+Paths!$M$26*(1+'Operating costs'!$B$53)^MAX(0,C226-1)),"n.a."))</f>
        <v>18151.349999999999</v>
      </c>
      <c r="I226" s="16">
        <f>IF(NOT(Paths!$C$26=1),0,IF(Paths!$P$26="Complete",IF(IF(Paths!$E$26=0,C226=0,AND(C226&gt;0,Paths!$E$26&gt;(C226-1)*12,Paths!$E$26&lt;=C226*12)),Paths!$G$26,0),"n.a."))</f>
        <v>0</v>
      </c>
      <c r="J226" s="16">
        <f>IF(NOT(Paths!$C$26=1),0,IF(Paths!$P$26="Complete",IF(IF(Paths!$E$26=0,C226=0,AND(C226&gt;0,Paths!$E$26&gt;(C226-1)*12,Paths!$E$26&lt;=C226*12)),Paths!$H$26,0),"n.a."))</f>
        <v>0</v>
      </c>
      <c r="K226" s="16">
        <f>IF(NOT(Paths!$C$26=1),0,IF(Paths!$P$26="Complete",IF(IF(Paths!$O$26=0,C226=0,AND(C226&gt;0,Paths!$O$26&gt;(C226-1)*12,Paths!$O$26&lt;=C226*12)),Paths!$N$26,0),"n.a."))</f>
        <v>0</v>
      </c>
      <c r="L226" s="16">
        <f>IF(NOT(Paths!$C$26=1),0,IF(Paths!$P$26="Complete",IF(C226=10,Paths!$I$26,0),"n.a."))</f>
        <v>58500</v>
      </c>
      <c r="M226" s="16">
        <f>IF(NOT(Paths!$C$26=1),0,IF(Paths!$P$26="Complete",IF(AND(Paths!$D$26="EV",Paths!$E$26&lt;120,Paths!$E$26+'Operating costs'!$B$65&gt;Paths!$E$26,Paths!$E$26+'Operating costs'!$B$65&lt;=120,IF(Paths!$E$26+'Operating costs'!$B$65=0,C226=0,AND(C226&gt;0,Paths!$E$26+'Operating costs'!$B$65&gt;(C226-1)*12,Paths!$E$26+'Operating costs'!$B$65&lt;=C226*12))),'Operating costs'!$B$64,0)+IF(AND('Operating costs'!$B$67&gt;0,'Operating costs'!$B$67&lt;=120,OR(Paths!$D$26="ICE",'Operating costs'!$B$67&lt;=Paths!$E$26),IF('Operating costs'!$B$67=0,C226=0,AND(C226&gt;0,'Operating costs'!$B$67&gt;(C226-1)*12,'Operating costs'!$B$67&lt;=C226*12))),'Operating costs'!$B$66,0),"n.a."))</f>
        <v>0</v>
      </c>
      <c r="N226" s="16">
        <f>IF(NOT(Paths!$C$26=1),0,IF(Paths!$P$26="Complete",SUM(G226:I226)-J226-K226-L226+M226+IF(C226=0,Paths!$F$26,0)+IF(IF(Paths!$E$26=0,C226=0,AND(C226&gt;0,Paths!$E$26&gt;(C226-1)*12,Paths!$E$26&lt;=C226*12)),VLOOKUP(A226,'Fleet register'!$A$7:$S$106,16,FALSE),0),"n.a."))</f>
        <v>-40348.65</v>
      </c>
      <c r="O226" s="16">
        <f>IF(NOT(Paths!$C$26=1),0,IF(Paths!$P$26="Complete",N226-IF(C226=0,Paths!$F$26,0),"n.a."))</f>
        <v>-40348.65</v>
      </c>
      <c r="P226" s="16">
        <f>IF(NOT(Paths!$C$26=1),0,IF(Paths!$P$26="Complete",O226+L226,"n.a."))</f>
        <v>18151.349999999999</v>
      </c>
      <c r="Q226" s="16">
        <f>IF(NOT(Paths!$C$26=1),0,IF(Paths!$P$26="Complete",N226*(1+'Operating costs'!$B$54)^-C226,"n.a."))</f>
        <v>-40348.65</v>
      </c>
      <c r="R226" s="16">
        <f>IF(NOT(Paths!$C$26=1),0,IF(Paths!$P$26="Complete",IF(AND(C226=0,Paths!$E$26=0),I226-J226-K226+VLOOKUP(A226,'Fleet register'!$A$7:$S$106,15,FALSE)+VLOOKUP(A226,'Fleet register'!$A$7:$S$106,16,FALSE),0),"n.a."))</f>
        <v>0</v>
      </c>
      <c r="S226" s="1">
        <f>IF(NOT(Paths!$C$26=1),0,IF(Paths!$P$26="Complete",IF(C226=0,0,Paths!$S$26*Paths!$R$26),"n.a."))</f>
        <v>45000</v>
      </c>
      <c r="T226" s="1">
        <f>IF(NOT(Paths!$C$26=1),0,IF(Paths!$P$26="Complete",IF(C226=0,0,VLOOKUP(A226,'Fleet register'!$A$7:$S$106,9,FALSE)*Paths!$R$26),"n.a."))</f>
        <v>7200</v>
      </c>
    </row>
    <row r="227" spans="1:20" ht="24" customHeight="1">
      <c r="A227" s="1" t="str">
        <f>Paths!$A$27</f>
        <v>T006</v>
      </c>
      <c r="B227" s="1">
        <f>Paths!$B$27</f>
        <v>0</v>
      </c>
      <c r="C227" s="1">
        <v>0</v>
      </c>
      <c r="D227" s="1">
        <v>27</v>
      </c>
      <c r="E227" s="1">
        <f>IF(OR(Paths!$C$27=0,C227=0),0,MAX(0,MIN(C227*12,Paths!$E$27)-(C227-1)*12))</f>
        <v>0</v>
      </c>
      <c r="F227" s="1">
        <f>IF(OR(Paths!$C$27=0,C227=0),0,12-E227)</f>
        <v>0</v>
      </c>
      <c r="G227" s="16">
        <f>IF(NOT(Paths!$C$27=1),0,IF(Paths!$P$27="Complete",E227/12*(Paths!$J$27*(1+'Operating costs'!$B$51)^MAX(0,C227-1)+Paths!$K$27*(1+'Operating costs'!$B$53)^MAX(0,C227-1)),"n.a."))</f>
        <v>0</v>
      </c>
      <c r="H227" s="16">
        <f>IF(NOT(Paths!$C$27=1),0,IF(Paths!$P$27="Complete",F227/12*(Paths!$L$27*(1+IF(Paths!$D$27="EV",'Operating costs'!$B$52,'Operating costs'!$B$51))^MAX(0,C227-1)+Paths!$M$27*(1+'Operating costs'!$B$53)^MAX(0,C227-1)),"n.a."))</f>
        <v>0</v>
      </c>
      <c r="I227" s="16">
        <f>IF(NOT(Paths!$C$27=1),0,IF(Paths!$P$27="Complete",IF(IF(Paths!$E$27=0,C227=0,AND(C227&gt;0,Paths!$E$27&gt;(C227-1)*12,Paths!$E$27&lt;=C227*12)),Paths!$G$27,0),"n.a."))</f>
        <v>0</v>
      </c>
      <c r="J227" s="16">
        <f>IF(NOT(Paths!$C$27=1),0,IF(Paths!$P$27="Complete",IF(IF(Paths!$E$27=0,C227=0,AND(C227&gt;0,Paths!$E$27&gt;(C227-1)*12,Paths!$E$27&lt;=C227*12)),Paths!$H$27,0),"n.a."))</f>
        <v>0</v>
      </c>
      <c r="K227" s="16">
        <f>IF(NOT(Paths!$C$27=1),0,IF(Paths!$P$27="Complete",IF(IF(Paths!$O$27=0,C227=0,AND(C227&gt;0,Paths!$O$27&gt;(C227-1)*12,Paths!$O$27&lt;=C227*12)),Paths!$N$27,0),"n.a."))</f>
        <v>0</v>
      </c>
      <c r="L227" s="16">
        <f>IF(NOT(Paths!$C$27=1),0,IF(Paths!$P$27="Complete",IF(C227=10,Paths!$I$27,0),"n.a."))</f>
        <v>0</v>
      </c>
      <c r="M227" s="16">
        <f>IF(NOT(Paths!$C$27=1),0,IF(Paths!$P$27="Complete",IF(AND(Paths!$D$27="EV",Paths!$E$27&lt;120,Paths!$E$27+'Operating costs'!$B$65&gt;Paths!$E$27,Paths!$E$27+'Operating costs'!$B$65&lt;=120,IF(Paths!$E$27+'Operating costs'!$B$65=0,C227=0,AND(C227&gt;0,Paths!$E$27+'Operating costs'!$B$65&gt;(C227-1)*12,Paths!$E$27+'Operating costs'!$B$65&lt;=C227*12))),'Operating costs'!$B$64,0)+IF(AND('Operating costs'!$B$67&gt;0,'Operating costs'!$B$67&lt;=120,OR(Paths!$D$27="ICE",'Operating costs'!$B$67&lt;=Paths!$E$27),IF('Operating costs'!$B$67=0,C227=0,AND(C227&gt;0,'Operating costs'!$B$67&gt;(C227-1)*12,'Operating costs'!$B$67&lt;=C227*12))),'Operating costs'!$B$66,0),"n.a."))</f>
        <v>0</v>
      </c>
      <c r="N227" s="16">
        <f>IF(NOT(Paths!$C$27=1),0,IF(Paths!$P$27="Complete",SUM(G227:I227)-J227-K227-L227+M227+IF(C227=0,Paths!$F$27,0)+IF(IF(Paths!$E$27=0,C227=0,AND(C227&gt;0,Paths!$E$27&gt;(C227-1)*12,Paths!$E$27&lt;=C227*12)),VLOOKUP(A227,'Fleet register'!$A$7:$S$106,16,FALSE),0),"n.a."))</f>
        <v>54000</v>
      </c>
      <c r="O227" s="16">
        <f>IF(NOT(Paths!$C$27=1),0,IF(Paths!$P$27="Complete",N227-IF(C227=0,Paths!$F$27,0),"n.a."))</f>
        <v>0</v>
      </c>
      <c r="P227" s="16">
        <f>IF(NOT(Paths!$C$27=1),0,IF(Paths!$P$27="Complete",O227+L227,"n.a."))</f>
        <v>0</v>
      </c>
      <c r="Q227" s="16">
        <f>IF(NOT(Paths!$C$27=1),0,IF(Paths!$P$27="Complete",N227*(1+'Operating costs'!$B$54)^-C227,"n.a."))</f>
        <v>54000</v>
      </c>
      <c r="R227" s="16">
        <f>IF(NOT(Paths!$C$27=1),0,IF(Paths!$P$27="Complete",IF(AND(C227=0,Paths!$E$27=0),I227-J227-K227+VLOOKUP(A227,'Fleet register'!$A$7:$S$106,15,FALSE)+VLOOKUP(A227,'Fleet register'!$A$7:$S$106,16,FALSE),0),"n.a."))</f>
        <v>0</v>
      </c>
      <c r="S227" s="1">
        <f>IF(NOT(Paths!$C$27=1),0,IF(Paths!$P$27="Complete",IF(C227=0,0,Paths!$S$27*Paths!$R$27),"n.a."))</f>
        <v>0</v>
      </c>
      <c r="T227" s="1">
        <f>IF(NOT(Paths!$C$27=1),0,IF(Paths!$P$27="Complete",IF(C227=0,0,VLOOKUP(A227,'Fleet register'!$A$7:$S$106,9,FALSE)*Paths!$R$27),"n.a."))</f>
        <v>0</v>
      </c>
    </row>
    <row r="228" spans="1:20" ht="24" customHeight="1">
      <c r="A228" s="1" t="str">
        <f>Paths!$A$27</f>
        <v>T006</v>
      </c>
      <c r="B228" s="1">
        <f>Paths!$B$27</f>
        <v>0</v>
      </c>
      <c r="C228" s="1">
        <v>1</v>
      </c>
      <c r="D228" s="1">
        <v>27</v>
      </c>
      <c r="E228" s="1">
        <f>IF(OR(Paths!$C$27=0,C228=0),0,MAX(0,MIN(C228*12,Paths!$E$27)-(C228-1)*12))</f>
        <v>12</v>
      </c>
      <c r="F228" s="1">
        <f>IF(OR(Paths!$C$27=0,C228=0),0,12-E228)</f>
        <v>0</v>
      </c>
      <c r="G228" s="16">
        <f>IF(NOT(Paths!$C$27=1),0,IF(Paths!$P$27="Complete",E228/12*(Paths!$J$27*(1+'Operating costs'!$B$51)^MAX(0,C228-1)+Paths!$K$27*(1+'Operating costs'!$B$53)^MAX(0,C228-1)),"n.a."))</f>
        <v>18151.349999999999</v>
      </c>
      <c r="H228" s="16">
        <f>IF(NOT(Paths!$C$27=1),0,IF(Paths!$P$27="Complete",F228/12*(Paths!$L$27*(1+IF(Paths!$D$27="EV",'Operating costs'!$B$52,'Operating costs'!$B$51))^MAX(0,C228-1)+Paths!$M$27*(1+'Operating costs'!$B$53)^MAX(0,C228-1)),"n.a."))</f>
        <v>0</v>
      </c>
      <c r="I228" s="16">
        <f>IF(NOT(Paths!$C$27=1),0,IF(Paths!$P$27="Complete",IF(IF(Paths!$E$27=0,C228=0,AND(C228&gt;0,Paths!$E$27&gt;(C228-1)*12,Paths!$E$27&lt;=C228*12)),Paths!$G$27,0),"n.a."))</f>
        <v>0</v>
      </c>
      <c r="J228" s="16">
        <f>IF(NOT(Paths!$C$27=1),0,IF(Paths!$P$27="Complete",IF(IF(Paths!$E$27=0,C228=0,AND(C228&gt;0,Paths!$E$27&gt;(C228-1)*12,Paths!$E$27&lt;=C228*12)),Paths!$H$27,0),"n.a."))</f>
        <v>0</v>
      </c>
      <c r="K228" s="16">
        <f>IF(NOT(Paths!$C$27=1),0,IF(Paths!$P$27="Complete",IF(IF(Paths!$O$27=0,C228=0,AND(C228&gt;0,Paths!$O$27&gt;(C228-1)*12,Paths!$O$27&lt;=C228*12)),Paths!$N$27,0),"n.a."))</f>
        <v>0</v>
      </c>
      <c r="L228" s="16">
        <f>IF(NOT(Paths!$C$27=1),0,IF(Paths!$P$27="Complete",IF(C228=10,Paths!$I$27,0),"n.a."))</f>
        <v>0</v>
      </c>
      <c r="M228" s="16">
        <f>IF(NOT(Paths!$C$27=1),0,IF(Paths!$P$27="Complete",IF(AND(Paths!$D$27="EV",Paths!$E$27&lt;120,Paths!$E$27+'Operating costs'!$B$65&gt;Paths!$E$27,Paths!$E$27+'Operating costs'!$B$65&lt;=120,IF(Paths!$E$27+'Operating costs'!$B$65=0,C228=0,AND(C228&gt;0,Paths!$E$27+'Operating costs'!$B$65&gt;(C228-1)*12,Paths!$E$27+'Operating costs'!$B$65&lt;=C228*12))),'Operating costs'!$B$64,0)+IF(AND('Operating costs'!$B$67&gt;0,'Operating costs'!$B$67&lt;=120,OR(Paths!$D$27="ICE",'Operating costs'!$B$67&lt;=Paths!$E$27),IF('Operating costs'!$B$67=0,C228=0,AND(C228&gt;0,'Operating costs'!$B$67&gt;(C228-1)*12,'Operating costs'!$B$67&lt;=C228*12))),'Operating costs'!$B$66,0),"n.a."))</f>
        <v>0</v>
      </c>
      <c r="N228" s="16">
        <f>IF(NOT(Paths!$C$27=1),0,IF(Paths!$P$27="Complete",SUM(G228:I228)-J228-K228-L228+M228+IF(C228=0,Paths!$F$27,0)+IF(IF(Paths!$E$27=0,C228=0,AND(C228&gt;0,Paths!$E$27&gt;(C228-1)*12,Paths!$E$27&lt;=C228*12)),VLOOKUP(A228,'Fleet register'!$A$7:$S$106,16,FALSE),0),"n.a."))</f>
        <v>18151.349999999999</v>
      </c>
      <c r="O228" s="16">
        <f>IF(NOT(Paths!$C$27=1),0,IF(Paths!$P$27="Complete",N228-IF(C228=0,Paths!$F$27,0),"n.a."))</f>
        <v>18151.349999999999</v>
      </c>
      <c r="P228" s="16">
        <f>IF(NOT(Paths!$C$27=1),0,IF(Paths!$P$27="Complete",O228+L228,"n.a."))</f>
        <v>18151.349999999999</v>
      </c>
      <c r="Q228" s="16">
        <f>IF(NOT(Paths!$C$27=1),0,IF(Paths!$P$27="Complete",N228*(1+'Operating costs'!$B$54)^-C228,"n.a."))</f>
        <v>18151.349999999999</v>
      </c>
      <c r="R228" s="16">
        <f>IF(NOT(Paths!$C$27=1),0,IF(Paths!$P$27="Complete",IF(AND(C228=0,Paths!$E$27=0),I228-J228-K228+VLOOKUP(A228,'Fleet register'!$A$7:$S$106,15,FALSE)+VLOOKUP(A228,'Fleet register'!$A$7:$S$106,16,FALSE),0),"n.a."))</f>
        <v>0</v>
      </c>
      <c r="S228" s="1">
        <f>IF(NOT(Paths!$C$27=1),0,IF(Paths!$P$27="Complete",IF(C228=0,0,Paths!$S$27*Paths!$R$27),"n.a."))</f>
        <v>45000</v>
      </c>
      <c r="T228" s="1">
        <f>IF(NOT(Paths!$C$27=1),0,IF(Paths!$P$27="Complete",IF(C228=0,0,VLOOKUP(A228,'Fleet register'!$A$7:$S$106,9,FALSE)*Paths!$R$27),"n.a."))</f>
        <v>7200</v>
      </c>
    </row>
    <row r="229" spans="1:20" ht="24" customHeight="1">
      <c r="A229" s="1" t="str">
        <f>Paths!$A$27</f>
        <v>T006</v>
      </c>
      <c r="B229" s="1">
        <f>Paths!$B$27</f>
        <v>0</v>
      </c>
      <c r="C229" s="1">
        <v>2</v>
      </c>
      <c r="D229" s="1">
        <v>27</v>
      </c>
      <c r="E229" s="1">
        <f>IF(OR(Paths!$C$27=0,C229=0),0,MAX(0,MIN(C229*12,Paths!$E$27)-(C229-1)*12))</f>
        <v>12</v>
      </c>
      <c r="F229" s="1">
        <f>IF(OR(Paths!$C$27=0,C229=0),0,12-E229)</f>
        <v>0</v>
      </c>
      <c r="G229" s="16">
        <f>IF(NOT(Paths!$C$27=1),0,IF(Paths!$P$27="Complete",E229/12*(Paths!$J$27*(1+'Operating costs'!$B$51)^MAX(0,C229-1)+Paths!$K$27*(1+'Operating costs'!$B$53)^MAX(0,C229-1)),"n.a."))</f>
        <v>18151.349999999999</v>
      </c>
      <c r="H229" s="16">
        <f>IF(NOT(Paths!$C$27=1),0,IF(Paths!$P$27="Complete",F229/12*(Paths!$L$27*(1+IF(Paths!$D$27="EV",'Operating costs'!$B$52,'Operating costs'!$B$51))^MAX(0,C229-1)+Paths!$M$27*(1+'Operating costs'!$B$53)^MAX(0,C229-1)),"n.a."))</f>
        <v>0</v>
      </c>
      <c r="I229" s="16">
        <f>IF(NOT(Paths!$C$27=1),0,IF(Paths!$P$27="Complete",IF(IF(Paths!$E$27=0,C229=0,AND(C229&gt;0,Paths!$E$27&gt;(C229-1)*12,Paths!$E$27&lt;=C229*12)),Paths!$G$27,0),"n.a."))</f>
        <v>0</v>
      </c>
      <c r="J229" s="16">
        <f>IF(NOT(Paths!$C$27=1),0,IF(Paths!$P$27="Complete",IF(IF(Paths!$E$27=0,C229=0,AND(C229&gt;0,Paths!$E$27&gt;(C229-1)*12,Paths!$E$27&lt;=C229*12)),Paths!$H$27,0),"n.a."))</f>
        <v>0</v>
      </c>
      <c r="K229" s="16">
        <f>IF(NOT(Paths!$C$27=1),0,IF(Paths!$P$27="Complete",IF(IF(Paths!$O$27=0,C229=0,AND(C229&gt;0,Paths!$O$27&gt;(C229-1)*12,Paths!$O$27&lt;=C229*12)),Paths!$N$27,0),"n.a."))</f>
        <v>0</v>
      </c>
      <c r="L229" s="16">
        <f>IF(NOT(Paths!$C$27=1),0,IF(Paths!$P$27="Complete",IF(C229=10,Paths!$I$27,0),"n.a."))</f>
        <v>0</v>
      </c>
      <c r="M229" s="16">
        <f>IF(NOT(Paths!$C$27=1),0,IF(Paths!$P$27="Complete",IF(AND(Paths!$D$27="EV",Paths!$E$27&lt;120,Paths!$E$27+'Operating costs'!$B$65&gt;Paths!$E$27,Paths!$E$27+'Operating costs'!$B$65&lt;=120,IF(Paths!$E$27+'Operating costs'!$B$65=0,C229=0,AND(C229&gt;0,Paths!$E$27+'Operating costs'!$B$65&gt;(C229-1)*12,Paths!$E$27+'Operating costs'!$B$65&lt;=C229*12))),'Operating costs'!$B$64,0)+IF(AND('Operating costs'!$B$67&gt;0,'Operating costs'!$B$67&lt;=120,OR(Paths!$D$27="ICE",'Operating costs'!$B$67&lt;=Paths!$E$27),IF('Operating costs'!$B$67=0,C229=0,AND(C229&gt;0,'Operating costs'!$B$67&gt;(C229-1)*12,'Operating costs'!$B$67&lt;=C229*12))),'Operating costs'!$B$66,0),"n.a."))</f>
        <v>0</v>
      </c>
      <c r="N229" s="16">
        <f>IF(NOT(Paths!$C$27=1),0,IF(Paths!$P$27="Complete",SUM(G229:I229)-J229-K229-L229+M229+IF(C229=0,Paths!$F$27,0)+IF(IF(Paths!$E$27=0,C229=0,AND(C229&gt;0,Paths!$E$27&gt;(C229-1)*12,Paths!$E$27&lt;=C229*12)),VLOOKUP(A229,'Fleet register'!$A$7:$S$106,16,FALSE),0),"n.a."))</f>
        <v>18151.349999999999</v>
      </c>
      <c r="O229" s="16">
        <f>IF(NOT(Paths!$C$27=1),0,IF(Paths!$P$27="Complete",N229-IF(C229=0,Paths!$F$27,0),"n.a."))</f>
        <v>18151.349999999999</v>
      </c>
      <c r="P229" s="16">
        <f>IF(NOT(Paths!$C$27=1),0,IF(Paths!$P$27="Complete",O229+L229,"n.a."))</f>
        <v>18151.349999999999</v>
      </c>
      <c r="Q229" s="16">
        <f>IF(NOT(Paths!$C$27=1),0,IF(Paths!$P$27="Complete",N229*(1+'Operating costs'!$B$54)^-C229,"n.a."))</f>
        <v>18151.349999999999</v>
      </c>
      <c r="R229" s="16">
        <f>IF(NOT(Paths!$C$27=1),0,IF(Paths!$P$27="Complete",IF(AND(C229=0,Paths!$E$27=0),I229-J229-K229+VLOOKUP(A229,'Fleet register'!$A$7:$S$106,15,FALSE)+VLOOKUP(A229,'Fleet register'!$A$7:$S$106,16,FALSE),0),"n.a."))</f>
        <v>0</v>
      </c>
      <c r="S229" s="1">
        <f>IF(NOT(Paths!$C$27=1),0,IF(Paths!$P$27="Complete",IF(C229=0,0,Paths!$S$27*Paths!$R$27),"n.a."))</f>
        <v>45000</v>
      </c>
      <c r="T229" s="1">
        <f>IF(NOT(Paths!$C$27=1),0,IF(Paths!$P$27="Complete",IF(C229=0,0,VLOOKUP(A229,'Fleet register'!$A$7:$S$106,9,FALSE)*Paths!$R$27),"n.a."))</f>
        <v>7200</v>
      </c>
    </row>
    <row r="230" spans="1:20" ht="24" customHeight="1">
      <c r="A230" s="1" t="str">
        <f>Paths!$A$27</f>
        <v>T006</v>
      </c>
      <c r="B230" s="1">
        <f>Paths!$B$27</f>
        <v>0</v>
      </c>
      <c r="C230" s="1">
        <v>3</v>
      </c>
      <c r="D230" s="1">
        <v>27</v>
      </c>
      <c r="E230" s="1">
        <f>IF(OR(Paths!$C$27=0,C230=0),0,MAX(0,MIN(C230*12,Paths!$E$27)-(C230-1)*12))</f>
        <v>12</v>
      </c>
      <c r="F230" s="1">
        <f>IF(OR(Paths!$C$27=0,C230=0),0,12-E230)</f>
        <v>0</v>
      </c>
      <c r="G230" s="16">
        <f>IF(NOT(Paths!$C$27=1),0,IF(Paths!$P$27="Complete",E230/12*(Paths!$J$27*(1+'Operating costs'!$B$51)^MAX(0,C230-1)+Paths!$K$27*(1+'Operating costs'!$B$53)^MAX(0,C230-1)),"n.a."))</f>
        <v>18151.349999999999</v>
      </c>
      <c r="H230" s="16">
        <f>IF(NOT(Paths!$C$27=1),0,IF(Paths!$P$27="Complete",F230/12*(Paths!$L$27*(1+IF(Paths!$D$27="EV",'Operating costs'!$B$52,'Operating costs'!$B$51))^MAX(0,C230-1)+Paths!$M$27*(1+'Operating costs'!$B$53)^MAX(0,C230-1)),"n.a."))</f>
        <v>0</v>
      </c>
      <c r="I230" s="16">
        <f>IF(NOT(Paths!$C$27=1),0,IF(Paths!$P$27="Complete",IF(IF(Paths!$E$27=0,C230=0,AND(C230&gt;0,Paths!$E$27&gt;(C230-1)*12,Paths!$E$27&lt;=C230*12)),Paths!$G$27,0),"n.a."))</f>
        <v>0</v>
      </c>
      <c r="J230" s="16">
        <f>IF(NOT(Paths!$C$27=1),0,IF(Paths!$P$27="Complete",IF(IF(Paths!$E$27=0,C230=0,AND(C230&gt;0,Paths!$E$27&gt;(C230-1)*12,Paths!$E$27&lt;=C230*12)),Paths!$H$27,0),"n.a."))</f>
        <v>0</v>
      </c>
      <c r="K230" s="16">
        <f>IF(NOT(Paths!$C$27=1),0,IF(Paths!$P$27="Complete",IF(IF(Paths!$O$27=0,C230=0,AND(C230&gt;0,Paths!$O$27&gt;(C230-1)*12,Paths!$O$27&lt;=C230*12)),Paths!$N$27,0),"n.a."))</f>
        <v>0</v>
      </c>
      <c r="L230" s="16">
        <f>IF(NOT(Paths!$C$27=1),0,IF(Paths!$P$27="Complete",IF(C230=10,Paths!$I$27,0),"n.a."))</f>
        <v>0</v>
      </c>
      <c r="M230" s="16">
        <f>IF(NOT(Paths!$C$27=1),0,IF(Paths!$P$27="Complete",IF(AND(Paths!$D$27="EV",Paths!$E$27&lt;120,Paths!$E$27+'Operating costs'!$B$65&gt;Paths!$E$27,Paths!$E$27+'Operating costs'!$B$65&lt;=120,IF(Paths!$E$27+'Operating costs'!$B$65=0,C230=0,AND(C230&gt;0,Paths!$E$27+'Operating costs'!$B$65&gt;(C230-1)*12,Paths!$E$27+'Operating costs'!$B$65&lt;=C230*12))),'Operating costs'!$B$64,0)+IF(AND('Operating costs'!$B$67&gt;0,'Operating costs'!$B$67&lt;=120,OR(Paths!$D$27="ICE",'Operating costs'!$B$67&lt;=Paths!$E$27),IF('Operating costs'!$B$67=0,C230=0,AND(C230&gt;0,'Operating costs'!$B$67&gt;(C230-1)*12,'Operating costs'!$B$67&lt;=C230*12))),'Operating costs'!$B$66,0),"n.a."))</f>
        <v>0</v>
      </c>
      <c r="N230" s="16">
        <f>IF(NOT(Paths!$C$27=1),0,IF(Paths!$P$27="Complete",SUM(G230:I230)-J230-K230-L230+M230+IF(C230=0,Paths!$F$27,0)+IF(IF(Paths!$E$27=0,C230=0,AND(C230&gt;0,Paths!$E$27&gt;(C230-1)*12,Paths!$E$27&lt;=C230*12)),VLOOKUP(A230,'Fleet register'!$A$7:$S$106,16,FALSE),0),"n.a."))</f>
        <v>18151.349999999999</v>
      </c>
      <c r="O230" s="16">
        <f>IF(NOT(Paths!$C$27=1),0,IF(Paths!$P$27="Complete",N230-IF(C230=0,Paths!$F$27,0),"n.a."))</f>
        <v>18151.349999999999</v>
      </c>
      <c r="P230" s="16">
        <f>IF(NOT(Paths!$C$27=1),0,IF(Paths!$P$27="Complete",O230+L230,"n.a."))</f>
        <v>18151.349999999999</v>
      </c>
      <c r="Q230" s="16">
        <f>IF(NOT(Paths!$C$27=1),0,IF(Paths!$P$27="Complete",N230*(1+'Operating costs'!$B$54)^-C230,"n.a."))</f>
        <v>18151.349999999999</v>
      </c>
      <c r="R230" s="16">
        <f>IF(NOT(Paths!$C$27=1),0,IF(Paths!$P$27="Complete",IF(AND(C230=0,Paths!$E$27=0),I230-J230-K230+VLOOKUP(A230,'Fleet register'!$A$7:$S$106,15,FALSE)+VLOOKUP(A230,'Fleet register'!$A$7:$S$106,16,FALSE),0),"n.a."))</f>
        <v>0</v>
      </c>
      <c r="S230" s="1">
        <f>IF(NOT(Paths!$C$27=1),0,IF(Paths!$P$27="Complete",IF(C230=0,0,Paths!$S$27*Paths!$R$27),"n.a."))</f>
        <v>45000</v>
      </c>
      <c r="T230" s="1">
        <f>IF(NOT(Paths!$C$27=1),0,IF(Paths!$P$27="Complete",IF(C230=0,0,VLOOKUP(A230,'Fleet register'!$A$7:$S$106,9,FALSE)*Paths!$R$27),"n.a."))</f>
        <v>7200</v>
      </c>
    </row>
    <row r="231" spans="1:20" ht="24" customHeight="1">
      <c r="A231" s="1" t="str">
        <f>Paths!$A$27</f>
        <v>T006</v>
      </c>
      <c r="B231" s="1">
        <f>Paths!$B$27</f>
        <v>0</v>
      </c>
      <c r="C231" s="1">
        <v>4</v>
      </c>
      <c r="D231" s="1">
        <v>27</v>
      </c>
      <c r="E231" s="1">
        <f>IF(OR(Paths!$C$27=0,C231=0),0,MAX(0,MIN(C231*12,Paths!$E$27)-(C231-1)*12))</f>
        <v>12</v>
      </c>
      <c r="F231" s="1">
        <f>IF(OR(Paths!$C$27=0,C231=0),0,12-E231)</f>
        <v>0</v>
      </c>
      <c r="G231" s="16">
        <f>IF(NOT(Paths!$C$27=1),0,IF(Paths!$P$27="Complete",E231/12*(Paths!$J$27*(1+'Operating costs'!$B$51)^MAX(0,C231-1)+Paths!$K$27*(1+'Operating costs'!$B$53)^MAX(0,C231-1)),"n.a."))</f>
        <v>18151.349999999999</v>
      </c>
      <c r="H231" s="16">
        <f>IF(NOT(Paths!$C$27=1),0,IF(Paths!$P$27="Complete",F231/12*(Paths!$L$27*(1+IF(Paths!$D$27="EV",'Operating costs'!$B$52,'Operating costs'!$B$51))^MAX(0,C231-1)+Paths!$M$27*(1+'Operating costs'!$B$53)^MAX(0,C231-1)),"n.a."))</f>
        <v>0</v>
      </c>
      <c r="I231" s="16">
        <f>IF(NOT(Paths!$C$27=1),0,IF(Paths!$P$27="Complete",IF(IF(Paths!$E$27=0,C231=0,AND(C231&gt;0,Paths!$E$27&gt;(C231-1)*12,Paths!$E$27&lt;=C231*12)),Paths!$G$27,0),"n.a."))</f>
        <v>0</v>
      </c>
      <c r="J231" s="16">
        <f>IF(NOT(Paths!$C$27=1),0,IF(Paths!$P$27="Complete",IF(IF(Paths!$E$27=0,C231=0,AND(C231&gt;0,Paths!$E$27&gt;(C231-1)*12,Paths!$E$27&lt;=C231*12)),Paths!$H$27,0),"n.a."))</f>
        <v>0</v>
      </c>
      <c r="K231" s="16">
        <f>IF(NOT(Paths!$C$27=1),0,IF(Paths!$P$27="Complete",IF(IF(Paths!$O$27=0,C231=0,AND(C231&gt;0,Paths!$O$27&gt;(C231-1)*12,Paths!$O$27&lt;=C231*12)),Paths!$N$27,0),"n.a."))</f>
        <v>0</v>
      </c>
      <c r="L231" s="16">
        <f>IF(NOT(Paths!$C$27=1),0,IF(Paths!$P$27="Complete",IF(C231=10,Paths!$I$27,0),"n.a."))</f>
        <v>0</v>
      </c>
      <c r="M231" s="16">
        <f>IF(NOT(Paths!$C$27=1),0,IF(Paths!$P$27="Complete",IF(AND(Paths!$D$27="EV",Paths!$E$27&lt;120,Paths!$E$27+'Operating costs'!$B$65&gt;Paths!$E$27,Paths!$E$27+'Operating costs'!$B$65&lt;=120,IF(Paths!$E$27+'Operating costs'!$B$65=0,C231=0,AND(C231&gt;0,Paths!$E$27+'Operating costs'!$B$65&gt;(C231-1)*12,Paths!$E$27+'Operating costs'!$B$65&lt;=C231*12))),'Operating costs'!$B$64,0)+IF(AND('Operating costs'!$B$67&gt;0,'Operating costs'!$B$67&lt;=120,OR(Paths!$D$27="ICE",'Operating costs'!$B$67&lt;=Paths!$E$27),IF('Operating costs'!$B$67=0,C231=0,AND(C231&gt;0,'Operating costs'!$B$67&gt;(C231-1)*12,'Operating costs'!$B$67&lt;=C231*12))),'Operating costs'!$B$66,0),"n.a."))</f>
        <v>0</v>
      </c>
      <c r="N231" s="16">
        <f>IF(NOT(Paths!$C$27=1),0,IF(Paths!$P$27="Complete",SUM(G231:I231)-J231-K231-L231+M231+IF(C231=0,Paths!$F$27,0)+IF(IF(Paths!$E$27=0,C231=0,AND(C231&gt;0,Paths!$E$27&gt;(C231-1)*12,Paths!$E$27&lt;=C231*12)),VLOOKUP(A231,'Fleet register'!$A$7:$S$106,16,FALSE),0),"n.a."))</f>
        <v>18151.349999999999</v>
      </c>
      <c r="O231" s="16">
        <f>IF(NOT(Paths!$C$27=1),0,IF(Paths!$P$27="Complete",N231-IF(C231=0,Paths!$F$27,0),"n.a."))</f>
        <v>18151.349999999999</v>
      </c>
      <c r="P231" s="16">
        <f>IF(NOT(Paths!$C$27=1),0,IF(Paths!$P$27="Complete",O231+L231,"n.a."))</f>
        <v>18151.349999999999</v>
      </c>
      <c r="Q231" s="16">
        <f>IF(NOT(Paths!$C$27=1),0,IF(Paths!$P$27="Complete",N231*(1+'Operating costs'!$B$54)^-C231,"n.a."))</f>
        <v>18151.349999999999</v>
      </c>
      <c r="R231" s="16">
        <f>IF(NOT(Paths!$C$27=1),0,IF(Paths!$P$27="Complete",IF(AND(C231=0,Paths!$E$27=0),I231-J231-K231+VLOOKUP(A231,'Fleet register'!$A$7:$S$106,15,FALSE)+VLOOKUP(A231,'Fleet register'!$A$7:$S$106,16,FALSE),0),"n.a."))</f>
        <v>0</v>
      </c>
      <c r="S231" s="1">
        <f>IF(NOT(Paths!$C$27=1),0,IF(Paths!$P$27="Complete",IF(C231=0,0,Paths!$S$27*Paths!$R$27),"n.a."))</f>
        <v>45000</v>
      </c>
      <c r="T231" s="1">
        <f>IF(NOT(Paths!$C$27=1),0,IF(Paths!$P$27="Complete",IF(C231=0,0,VLOOKUP(A231,'Fleet register'!$A$7:$S$106,9,FALSE)*Paths!$R$27),"n.a."))</f>
        <v>7200</v>
      </c>
    </row>
    <row r="232" spans="1:20" ht="24" customHeight="1">
      <c r="A232" s="1" t="str">
        <f>Paths!$A$27</f>
        <v>T006</v>
      </c>
      <c r="B232" s="1">
        <f>Paths!$B$27</f>
        <v>0</v>
      </c>
      <c r="C232" s="1">
        <v>5</v>
      </c>
      <c r="D232" s="1">
        <v>27</v>
      </c>
      <c r="E232" s="1">
        <f>IF(OR(Paths!$C$27=0,C232=0),0,MAX(0,MIN(C232*12,Paths!$E$27)-(C232-1)*12))</f>
        <v>12</v>
      </c>
      <c r="F232" s="1">
        <f>IF(OR(Paths!$C$27=0,C232=0),0,12-E232)</f>
        <v>0</v>
      </c>
      <c r="G232" s="16">
        <f>IF(NOT(Paths!$C$27=1),0,IF(Paths!$P$27="Complete",E232/12*(Paths!$J$27*(1+'Operating costs'!$B$51)^MAX(0,C232-1)+Paths!$K$27*(1+'Operating costs'!$B$53)^MAX(0,C232-1)),"n.a."))</f>
        <v>18151.349999999999</v>
      </c>
      <c r="H232" s="16">
        <f>IF(NOT(Paths!$C$27=1),0,IF(Paths!$P$27="Complete",F232/12*(Paths!$L$27*(1+IF(Paths!$D$27="EV",'Operating costs'!$B$52,'Operating costs'!$B$51))^MAX(0,C232-1)+Paths!$M$27*(1+'Operating costs'!$B$53)^MAX(0,C232-1)),"n.a."))</f>
        <v>0</v>
      </c>
      <c r="I232" s="16">
        <f>IF(NOT(Paths!$C$27=1),0,IF(Paths!$P$27="Complete",IF(IF(Paths!$E$27=0,C232=0,AND(C232&gt;0,Paths!$E$27&gt;(C232-1)*12,Paths!$E$27&lt;=C232*12)),Paths!$G$27,0),"n.a."))</f>
        <v>0</v>
      </c>
      <c r="J232" s="16">
        <f>IF(NOT(Paths!$C$27=1),0,IF(Paths!$P$27="Complete",IF(IF(Paths!$E$27=0,C232=0,AND(C232&gt;0,Paths!$E$27&gt;(C232-1)*12,Paths!$E$27&lt;=C232*12)),Paths!$H$27,0),"n.a."))</f>
        <v>0</v>
      </c>
      <c r="K232" s="16">
        <f>IF(NOT(Paths!$C$27=1),0,IF(Paths!$P$27="Complete",IF(IF(Paths!$O$27=0,C232=0,AND(C232&gt;0,Paths!$O$27&gt;(C232-1)*12,Paths!$O$27&lt;=C232*12)),Paths!$N$27,0),"n.a."))</f>
        <v>0</v>
      </c>
      <c r="L232" s="16">
        <f>IF(NOT(Paths!$C$27=1),0,IF(Paths!$P$27="Complete",IF(C232=10,Paths!$I$27,0),"n.a."))</f>
        <v>0</v>
      </c>
      <c r="M232" s="16">
        <f>IF(NOT(Paths!$C$27=1),0,IF(Paths!$P$27="Complete",IF(AND(Paths!$D$27="EV",Paths!$E$27&lt;120,Paths!$E$27+'Operating costs'!$B$65&gt;Paths!$E$27,Paths!$E$27+'Operating costs'!$B$65&lt;=120,IF(Paths!$E$27+'Operating costs'!$B$65=0,C232=0,AND(C232&gt;0,Paths!$E$27+'Operating costs'!$B$65&gt;(C232-1)*12,Paths!$E$27+'Operating costs'!$B$65&lt;=C232*12))),'Operating costs'!$B$64,0)+IF(AND('Operating costs'!$B$67&gt;0,'Operating costs'!$B$67&lt;=120,OR(Paths!$D$27="ICE",'Operating costs'!$B$67&lt;=Paths!$E$27),IF('Operating costs'!$B$67=0,C232=0,AND(C232&gt;0,'Operating costs'!$B$67&gt;(C232-1)*12,'Operating costs'!$B$67&lt;=C232*12))),'Operating costs'!$B$66,0),"n.a."))</f>
        <v>0</v>
      </c>
      <c r="N232" s="16">
        <f>IF(NOT(Paths!$C$27=1),0,IF(Paths!$P$27="Complete",SUM(G232:I232)-J232-K232-L232+M232+IF(C232=0,Paths!$F$27,0)+IF(IF(Paths!$E$27=0,C232=0,AND(C232&gt;0,Paths!$E$27&gt;(C232-1)*12,Paths!$E$27&lt;=C232*12)),VLOOKUP(A232,'Fleet register'!$A$7:$S$106,16,FALSE),0),"n.a."))</f>
        <v>18151.349999999999</v>
      </c>
      <c r="O232" s="16">
        <f>IF(NOT(Paths!$C$27=1),0,IF(Paths!$P$27="Complete",N232-IF(C232=0,Paths!$F$27,0),"n.a."))</f>
        <v>18151.349999999999</v>
      </c>
      <c r="P232" s="16">
        <f>IF(NOT(Paths!$C$27=1),0,IF(Paths!$P$27="Complete",O232+L232,"n.a."))</f>
        <v>18151.349999999999</v>
      </c>
      <c r="Q232" s="16">
        <f>IF(NOT(Paths!$C$27=1),0,IF(Paths!$P$27="Complete",N232*(1+'Operating costs'!$B$54)^-C232,"n.a."))</f>
        <v>18151.349999999999</v>
      </c>
      <c r="R232" s="16">
        <f>IF(NOT(Paths!$C$27=1),0,IF(Paths!$P$27="Complete",IF(AND(C232=0,Paths!$E$27=0),I232-J232-K232+VLOOKUP(A232,'Fleet register'!$A$7:$S$106,15,FALSE)+VLOOKUP(A232,'Fleet register'!$A$7:$S$106,16,FALSE),0),"n.a."))</f>
        <v>0</v>
      </c>
      <c r="S232" s="1">
        <f>IF(NOT(Paths!$C$27=1),0,IF(Paths!$P$27="Complete",IF(C232=0,0,Paths!$S$27*Paths!$R$27),"n.a."))</f>
        <v>45000</v>
      </c>
      <c r="T232" s="1">
        <f>IF(NOT(Paths!$C$27=1),0,IF(Paths!$P$27="Complete",IF(C232=0,0,VLOOKUP(A232,'Fleet register'!$A$7:$S$106,9,FALSE)*Paths!$R$27),"n.a."))</f>
        <v>7200</v>
      </c>
    </row>
    <row r="233" spans="1:20" ht="24" customHeight="1">
      <c r="A233" s="1" t="str">
        <f>Paths!$A$27</f>
        <v>T006</v>
      </c>
      <c r="B233" s="1">
        <f>Paths!$B$27</f>
        <v>0</v>
      </c>
      <c r="C233" s="1">
        <v>6</v>
      </c>
      <c r="D233" s="1">
        <v>27</v>
      </c>
      <c r="E233" s="1">
        <f>IF(OR(Paths!$C$27=0,C233=0),0,MAX(0,MIN(C233*12,Paths!$E$27)-(C233-1)*12))</f>
        <v>12</v>
      </c>
      <c r="F233" s="1">
        <f>IF(OR(Paths!$C$27=0,C233=0),0,12-E233)</f>
        <v>0</v>
      </c>
      <c r="G233" s="16">
        <f>IF(NOT(Paths!$C$27=1),0,IF(Paths!$P$27="Complete",E233/12*(Paths!$J$27*(1+'Operating costs'!$B$51)^MAX(0,C233-1)+Paths!$K$27*(1+'Operating costs'!$B$53)^MAX(0,C233-1)),"n.a."))</f>
        <v>18151.349999999999</v>
      </c>
      <c r="H233" s="16">
        <f>IF(NOT(Paths!$C$27=1),0,IF(Paths!$P$27="Complete",F233/12*(Paths!$L$27*(1+IF(Paths!$D$27="EV",'Operating costs'!$B$52,'Operating costs'!$B$51))^MAX(0,C233-1)+Paths!$M$27*(1+'Operating costs'!$B$53)^MAX(0,C233-1)),"n.a."))</f>
        <v>0</v>
      </c>
      <c r="I233" s="16">
        <f>IF(NOT(Paths!$C$27=1),0,IF(Paths!$P$27="Complete",IF(IF(Paths!$E$27=0,C233=0,AND(C233&gt;0,Paths!$E$27&gt;(C233-1)*12,Paths!$E$27&lt;=C233*12)),Paths!$G$27,0),"n.a."))</f>
        <v>181000</v>
      </c>
      <c r="J233" s="16">
        <f>IF(NOT(Paths!$C$27=1),0,IF(Paths!$P$27="Complete",IF(IF(Paths!$E$27=0,C233=0,AND(C233&gt;0,Paths!$E$27&gt;(C233-1)*12,Paths!$E$27&lt;=C233*12)),Paths!$H$27,0),"n.a."))</f>
        <v>10000</v>
      </c>
      <c r="K233" s="16">
        <f>IF(NOT(Paths!$C$27=1),0,IF(Paths!$P$27="Complete",IF(IF(Paths!$O$27=0,C233=0,AND(C233&gt;0,Paths!$O$27&gt;(C233-1)*12,Paths!$O$27&lt;=C233*12)),Paths!$N$27,0),"n.a."))</f>
        <v>0</v>
      </c>
      <c r="L233" s="16">
        <f>IF(NOT(Paths!$C$27=1),0,IF(Paths!$P$27="Complete",IF(C233=10,Paths!$I$27,0),"n.a."))</f>
        <v>0</v>
      </c>
      <c r="M233" s="16">
        <f>IF(NOT(Paths!$C$27=1),0,IF(Paths!$P$27="Complete",IF(AND(Paths!$D$27="EV",Paths!$E$27&lt;120,Paths!$E$27+'Operating costs'!$B$65&gt;Paths!$E$27,Paths!$E$27+'Operating costs'!$B$65&lt;=120,IF(Paths!$E$27+'Operating costs'!$B$65=0,C233=0,AND(C233&gt;0,Paths!$E$27+'Operating costs'!$B$65&gt;(C233-1)*12,Paths!$E$27+'Operating costs'!$B$65&lt;=C233*12))),'Operating costs'!$B$64,0)+IF(AND('Operating costs'!$B$67&gt;0,'Operating costs'!$B$67&lt;=120,OR(Paths!$D$27="ICE",'Operating costs'!$B$67&lt;=Paths!$E$27),IF('Operating costs'!$B$67=0,C233=0,AND(C233&gt;0,'Operating costs'!$B$67&gt;(C233-1)*12,'Operating costs'!$B$67&lt;=C233*12))),'Operating costs'!$B$66,0),"n.a."))</f>
        <v>0</v>
      </c>
      <c r="N233" s="16">
        <f>IF(NOT(Paths!$C$27=1),0,IF(Paths!$P$27="Complete",SUM(G233:I233)-J233-K233-L233+M233+IF(C233=0,Paths!$F$27,0)+IF(IF(Paths!$E$27=0,C233=0,AND(C233&gt;0,Paths!$E$27&gt;(C233-1)*12,Paths!$E$27&lt;=C233*12)),VLOOKUP(A233,'Fleet register'!$A$7:$S$106,16,FALSE),0),"n.a."))</f>
        <v>189151.35</v>
      </c>
      <c r="O233" s="16">
        <f>IF(NOT(Paths!$C$27=1),0,IF(Paths!$P$27="Complete",N233-IF(C233=0,Paths!$F$27,0),"n.a."))</f>
        <v>189151.35</v>
      </c>
      <c r="P233" s="16">
        <f>IF(NOT(Paths!$C$27=1),0,IF(Paths!$P$27="Complete",O233+L233,"n.a."))</f>
        <v>189151.35</v>
      </c>
      <c r="Q233" s="16">
        <f>IF(NOT(Paths!$C$27=1),0,IF(Paths!$P$27="Complete",N233*(1+'Operating costs'!$B$54)^-C233,"n.a."))</f>
        <v>189151.35</v>
      </c>
      <c r="R233" s="16">
        <f>IF(NOT(Paths!$C$27=1),0,IF(Paths!$P$27="Complete",IF(AND(C233=0,Paths!$E$27=0),I233-J233-K233+VLOOKUP(A233,'Fleet register'!$A$7:$S$106,15,FALSE)+VLOOKUP(A233,'Fleet register'!$A$7:$S$106,16,FALSE),0),"n.a."))</f>
        <v>0</v>
      </c>
      <c r="S233" s="1">
        <f>IF(NOT(Paths!$C$27=1),0,IF(Paths!$P$27="Complete",IF(C233=0,0,Paths!$S$27*Paths!$R$27),"n.a."))</f>
        <v>45000</v>
      </c>
      <c r="T233" s="1">
        <f>IF(NOT(Paths!$C$27=1),0,IF(Paths!$P$27="Complete",IF(C233=0,0,VLOOKUP(A233,'Fleet register'!$A$7:$S$106,9,FALSE)*Paths!$R$27),"n.a."))</f>
        <v>7200</v>
      </c>
    </row>
    <row r="234" spans="1:20" ht="24" customHeight="1">
      <c r="A234" s="1" t="str">
        <f>Paths!$A$27</f>
        <v>T006</v>
      </c>
      <c r="B234" s="1">
        <f>Paths!$B$27</f>
        <v>0</v>
      </c>
      <c r="C234" s="1">
        <v>7</v>
      </c>
      <c r="D234" s="1">
        <v>27</v>
      </c>
      <c r="E234" s="1">
        <f>IF(OR(Paths!$C$27=0,C234=0),0,MAX(0,MIN(C234*12,Paths!$E$27)-(C234-1)*12))</f>
        <v>0</v>
      </c>
      <c r="F234" s="1">
        <f>IF(OR(Paths!$C$27=0,C234=0),0,12-E234)</f>
        <v>12</v>
      </c>
      <c r="G234" s="16">
        <f>IF(NOT(Paths!$C$27=1),0,IF(Paths!$P$27="Complete",E234/12*(Paths!$J$27*(1+'Operating costs'!$B$51)^MAX(0,C234-1)+Paths!$K$27*(1+'Operating costs'!$B$53)^MAX(0,C234-1)),"n.a."))</f>
        <v>0</v>
      </c>
      <c r="H234" s="16">
        <f>IF(NOT(Paths!$C$27=1),0,IF(Paths!$P$27="Complete",F234/12*(Paths!$L$27*(1+IF(Paths!$D$27="EV",'Operating costs'!$B$52,'Operating costs'!$B$51))^MAX(0,C234-1)+Paths!$M$27*(1+'Operating costs'!$B$53)^MAX(0,C234-1)),"n.a."))</f>
        <v>18151.349999999999</v>
      </c>
      <c r="I234" s="16">
        <f>IF(NOT(Paths!$C$27=1),0,IF(Paths!$P$27="Complete",IF(IF(Paths!$E$27=0,C234=0,AND(C234&gt;0,Paths!$E$27&gt;(C234-1)*12,Paths!$E$27&lt;=C234*12)),Paths!$G$27,0),"n.a."))</f>
        <v>0</v>
      </c>
      <c r="J234" s="16">
        <f>IF(NOT(Paths!$C$27=1),0,IF(Paths!$P$27="Complete",IF(IF(Paths!$E$27=0,C234=0,AND(C234&gt;0,Paths!$E$27&gt;(C234-1)*12,Paths!$E$27&lt;=C234*12)),Paths!$H$27,0),"n.a."))</f>
        <v>0</v>
      </c>
      <c r="K234" s="16">
        <f>IF(NOT(Paths!$C$27=1),0,IF(Paths!$P$27="Complete",IF(IF(Paths!$O$27=0,C234=0,AND(C234&gt;0,Paths!$O$27&gt;(C234-1)*12,Paths!$O$27&lt;=C234*12)),Paths!$N$27,0),"n.a."))</f>
        <v>0</v>
      </c>
      <c r="L234" s="16">
        <f>IF(NOT(Paths!$C$27=1),0,IF(Paths!$P$27="Complete",IF(C234=10,Paths!$I$27,0),"n.a."))</f>
        <v>0</v>
      </c>
      <c r="M234" s="16">
        <f>IF(NOT(Paths!$C$27=1),0,IF(Paths!$P$27="Complete",IF(AND(Paths!$D$27="EV",Paths!$E$27&lt;120,Paths!$E$27+'Operating costs'!$B$65&gt;Paths!$E$27,Paths!$E$27+'Operating costs'!$B$65&lt;=120,IF(Paths!$E$27+'Operating costs'!$B$65=0,C234=0,AND(C234&gt;0,Paths!$E$27+'Operating costs'!$B$65&gt;(C234-1)*12,Paths!$E$27+'Operating costs'!$B$65&lt;=C234*12))),'Operating costs'!$B$64,0)+IF(AND('Operating costs'!$B$67&gt;0,'Operating costs'!$B$67&lt;=120,OR(Paths!$D$27="ICE",'Operating costs'!$B$67&lt;=Paths!$E$27),IF('Operating costs'!$B$67=0,C234=0,AND(C234&gt;0,'Operating costs'!$B$67&gt;(C234-1)*12,'Operating costs'!$B$67&lt;=C234*12))),'Operating costs'!$B$66,0),"n.a."))</f>
        <v>0</v>
      </c>
      <c r="N234" s="16">
        <f>IF(NOT(Paths!$C$27=1),0,IF(Paths!$P$27="Complete",SUM(G234:I234)-J234-K234-L234+M234+IF(C234=0,Paths!$F$27,0)+IF(IF(Paths!$E$27=0,C234=0,AND(C234&gt;0,Paths!$E$27&gt;(C234-1)*12,Paths!$E$27&lt;=C234*12)),VLOOKUP(A234,'Fleet register'!$A$7:$S$106,16,FALSE),0),"n.a."))</f>
        <v>18151.349999999999</v>
      </c>
      <c r="O234" s="16">
        <f>IF(NOT(Paths!$C$27=1),0,IF(Paths!$P$27="Complete",N234-IF(C234=0,Paths!$F$27,0),"n.a."))</f>
        <v>18151.349999999999</v>
      </c>
      <c r="P234" s="16">
        <f>IF(NOT(Paths!$C$27=1),0,IF(Paths!$P$27="Complete",O234+L234,"n.a."))</f>
        <v>18151.349999999999</v>
      </c>
      <c r="Q234" s="16">
        <f>IF(NOT(Paths!$C$27=1),0,IF(Paths!$P$27="Complete",N234*(1+'Operating costs'!$B$54)^-C234,"n.a."))</f>
        <v>18151.349999999999</v>
      </c>
      <c r="R234" s="16">
        <f>IF(NOT(Paths!$C$27=1),0,IF(Paths!$P$27="Complete",IF(AND(C234=0,Paths!$E$27=0),I234-J234-K234+VLOOKUP(A234,'Fleet register'!$A$7:$S$106,15,FALSE)+VLOOKUP(A234,'Fleet register'!$A$7:$S$106,16,FALSE),0),"n.a."))</f>
        <v>0</v>
      </c>
      <c r="S234" s="1">
        <f>IF(NOT(Paths!$C$27=1),0,IF(Paths!$P$27="Complete",IF(C234=0,0,Paths!$S$27*Paths!$R$27),"n.a."))</f>
        <v>45000</v>
      </c>
      <c r="T234" s="1">
        <f>IF(NOT(Paths!$C$27=1),0,IF(Paths!$P$27="Complete",IF(C234=0,0,VLOOKUP(A234,'Fleet register'!$A$7:$S$106,9,FALSE)*Paths!$R$27),"n.a."))</f>
        <v>7200</v>
      </c>
    </row>
    <row r="235" spans="1:20" ht="24" customHeight="1">
      <c r="A235" s="1" t="str">
        <f>Paths!$A$27</f>
        <v>T006</v>
      </c>
      <c r="B235" s="1">
        <f>Paths!$B$27</f>
        <v>0</v>
      </c>
      <c r="C235" s="1">
        <v>8</v>
      </c>
      <c r="D235" s="1">
        <v>27</v>
      </c>
      <c r="E235" s="1">
        <f>IF(OR(Paths!$C$27=0,C235=0),0,MAX(0,MIN(C235*12,Paths!$E$27)-(C235-1)*12))</f>
        <v>0</v>
      </c>
      <c r="F235" s="1">
        <f>IF(OR(Paths!$C$27=0,C235=0),0,12-E235)</f>
        <v>12</v>
      </c>
      <c r="G235" s="16">
        <f>IF(NOT(Paths!$C$27=1),0,IF(Paths!$P$27="Complete",E235/12*(Paths!$J$27*(1+'Operating costs'!$B$51)^MAX(0,C235-1)+Paths!$K$27*(1+'Operating costs'!$B$53)^MAX(0,C235-1)),"n.a."))</f>
        <v>0</v>
      </c>
      <c r="H235" s="16">
        <f>IF(NOT(Paths!$C$27=1),0,IF(Paths!$P$27="Complete",F235/12*(Paths!$L$27*(1+IF(Paths!$D$27="EV",'Operating costs'!$B$52,'Operating costs'!$B$51))^MAX(0,C235-1)+Paths!$M$27*(1+'Operating costs'!$B$53)^MAX(0,C235-1)),"n.a."))</f>
        <v>18151.349999999999</v>
      </c>
      <c r="I235" s="16">
        <f>IF(NOT(Paths!$C$27=1),0,IF(Paths!$P$27="Complete",IF(IF(Paths!$E$27=0,C235=0,AND(C235&gt;0,Paths!$E$27&gt;(C235-1)*12,Paths!$E$27&lt;=C235*12)),Paths!$G$27,0),"n.a."))</f>
        <v>0</v>
      </c>
      <c r="J235" s="16">
        <f>IF(NOT(Paths!$C$27=1),0,IF(Paths!$P$27="Complete",IF(IF(Paths!$E$27=0,C235=0,AND(C235&gt;0,Paths!$E$27&gt;(C235-1)*12,Paths!$E$27&lt;=C235*12)),Paths!$H$27,0),"n.a."))</f>
        <v>0</v>
      </c>
      <c r="K235" s="16">
        <f>IF(NOT(Paths!$C$27=1),0,IF(Paths!$P$27="Complete",IF(IF(Paths!$O$27=0,C235=0,AND(C235&gt;0,Paths!$O$27&gt;(C235-1)*12,Paths!$O$27&lt;=C235*12)),Paths!$N$27,0),"n.a."))</f>
        <v>0</v>
      </c>
      <c r="L235" s="16">
        <f>IF(NOT(Paths!$C$27=1),0,IF(Paths!$P$27="Complete",IF(C235=10,Paths!$I$27,0),"n.a."))</f>
        <v>0</v>
      </c>
      <c r="M235" s="16">
        <f>IF(NOT(Paths!$C$27=1),0,IF(Paths!$P$27="Complete",IF(AND(Paths!$D$27="EV",Paths!$E$27&lt;120,Paths!$E$27+'Operating costs'!$B$65&gt;Paths!$E$27,Paths!$E$27+'Operating costs'!$B$65&lt;=120,IF(Paths!$E$27+'Operating costs'!$B$65=0,C235=0,AND(C235&gt;0,Paths!$E$27+'Operating costs'!$B$65&gt;(C235-1)*12,Paths!$E$27+'Operating costs'!$B$65&lt;=C235*12))),'Operating costs'!$B$64,0)+IF(AND('Operating costs'!$B$67&gt;0,'Operating costs'!$B$67&lt;=120,OR(Paths!$D$27="ICE",'Operating costs'!$B$67&lt;=Paths!$E$27),IF('Operating costs'!$B$67=0,C235=0,AND(C235&gt;0,'Operating costs'!$B$67&gt;(C235-1)*12,'Operating costs'!$B$67&lt;=C235*12))),'Operating costs'!$B$66,0),"n.a."))</f>
        <v>0</v>
      </c>
      <c r="N235" s="16">
        <f>IF(NOT(Paths!$C$27=1),0,IF(Paths!$P$27="Complete",SUM(G235:I235)-J235-K235-L235+M235+IF(C235=0,Paths!$F$27,0)+IF(IF(Paths!$E$27=0,C235=0,AND(C235&gt;0,Paths!$E$27&gt;(C235-1)*12,Paths!$E$27&lt;=C235*12)),VLOOKUP(A235,'Fleet register'!$A$7:$S$106,16,FALSE),0),"n.a."))</f>
        <v>18151.349999999999</v>
      </c>
      <c r="O235" s="16">
        <f>IF(NOT(Paths!$C$27=1),0,IF(Paths!$P$27="Complete",N235-IF(C235=0,Paths!$F$27,0),"n.a."))</f>
        <v>18151.349999999999</v>
      </c>
      <c r="P235" s="16">
        <f>IF(NOT(Paths!$C$27=1),0,IF(Paths!$P$27="Complete",O235+L235,"n.a."))</f>
        <v>18151.349999999999</v>
      </c>
      <c r="Q235" s="16">
        <f>IF(NOT(Paths!$C$27=1),0,IF(Paths!$P$27="Complete",N235*(1+'Operating costs'!$B$54)^-C235,"n.a."))</f>
        <v>18151.349999999999</v>
      </c>
      <c r="R235" s="16">
        <f>IF(NOT(Paths!$C$27=1),0,IF(Paths!$P$27="Complete",IF(AND(C235=0,Paths!$E$27=0),I235-J235-K235+VLOOKUP(A235,'Fleet register'!$A$7:$S$106,15,FALSE)+VLOOKUP(A235,'Fleet register'!$A$7:$S$106,16,FALSE),0),"n.a."))</f>
        <v>0</v>
      </c>
      <c r="S235" s="1">
        <f>IF(NOT(Paths!$C$27=1),0,IF(Paths!$P$27="Complete",IF(C235=0,0,Paths!$S$27*Paths!$R$27),"n.a."))</f>
        <v>45000</v>
      </c>
      <c r="T235" s="1">
        <f>IF(NOT(Paths!$C$27=1),0,IF(Paths!$P$27="Complete",IF(C235=0,0,VLOOKUP(A235,'Fleet register'!$A$7:$S$106,9,FALSE)*Paths!$R$27),"n.a."))</f>
        <v>7200</v>
      </c>
    </row>
    <row r="236" spans="1:20" ht="24" customHeight="1">
      <c r="A236" s="1" t="str">
        <f>Paths!$A$27</f>
        <v>T006</v>
      </c>
      <c r="B236" s="1">
        <f>Paths!$B$27</f>
        <v>0</v>
      </c>
      <c r="C236" s="1">
        <v>9</v>
      </c>
      <c r="D236" s="1">
        <v>27</v>
      </c>
      <c r="E236" s="1">
        <f>IF(OR(Paths!$C$27=0,C236=0),0,MAX(0,MIN(C236*12,Paths!$E$27)-(C236-1)*12))</f>
        <v>0</v>
      </c>
      <c r="F236" s="1">
        <f>IF(OR(Paths!$C$27=0,C236=0),0,12-E236)</f>
        <v>12</v>
      </c>
      <c r="G236" s="16">
        <f>IF(NOT(Paths!$C$27=1),0,IF(Paths!$P$27="Complete",E236/12*(Paths!$J$27*(1+'Operating costs'!$B$51)^MAX(0,C236-1)+Paths!$K$27*(1+'Operating costs'!$B$53)^MAX(0,C236-1)),"n.a."))</f>
        <v>0</v>
      </c>
      <c r="H236" s="16">
        <f>IF(NOT(Paths!$C$27=1),0,IF(Paths!$P$27="Complete",F236/12*(Paths!$L$27*(1+IF(Paths!$D$27="EV",'Operating costs'!$B$52,'Operating costs'!$B$51))^MAX(0,C236-1)+Paths!$M$27*(1+'Operating costs'!$B$53)^MAX(0,C236-1)),"n.a."))</f>
        <v>18151.349999999999</v>
      </c>
      <c r="I236" s="16">
        <f>IF(NOT(Paths!$C$27=1),0,IF(Paths!$P$27="Complete",IF(IF(Paths!$E$27=0,C236=0,AND(C236&gt;0,Paths!$E$27&gt;(C236-1)*12,Paths!$E$27&lt;=C236*12)),Paths!$G$27,0),"n.a."))</f>
        <v>0</v>
      </c>
      <c r="J236" s="16">
        <f>IF(NOT(Paths!$C$27=1),0,IF(Paths!$P$27="Complete",IF(IF(Paths!$E$27=0,C236=0,AND(C236&gt;0,Paths!$E$27&gt;(C236-1)*12,Paths!$E$27&lt;=C236*12)),Paths!$H$27,0),"n.a."))</f>
        <v>0</v>
      </c>
      <c r="K236" s="16">
        <f>IF(NOT(Paths!$C$27=1),0,IF(Paths!$P$27="Complete",IF(IF(Paths!$O$27=0,C236=0,AND(C236&gt;0,Paths!$O$27&gt;(C236-1)*12,Paths!$O$27&lt;=C236*12)),Paths!$N$27,0),"n.a."))</f>
        <v>0</v>
      </c>
      <c r="L236" s="16">
        <f>IF(NOT(Paths!$C$27=1),0,IF(Paths!$P$27="Complete",IF(C236=10,Paths!$I$27,0),"n.a."))</f>
        <v>0</v>
      </c>
      <c r="M236" s="16">
        <f>IF(NOT(Paths!$C$27=1),0,IF(Paths!$P$27="Complete",IF(AND(Paths!$D$27="EV",Paths!$E$27&lt;120,Paths!$E$27+'Operating costs'!$B$65&gt;Paths!$E$27,Paths!$E$27+'Operating costs'!$B$65&lt;=120,IF(Paths!$E$27+'Operating costs'!$B$65=0,C236=0,AND(C236&gt;0,Paths!$E$27+'Operating costs'!$B$65&gt;(C236-1)*12,Paths!$E$27+'Operating costs'!$B$65&lt;=C236*12))),'Operating costs'!$B$64,0)+IF(AND('Operating costs'!$B$67&gt;0,'Operating costs'!$B$67&lt;=120,OR(Paths!$D$27="ICE",'Operating costs'!$B$67&lt;=Paths!$E$27),IF('Operating costs'!$B$67=0,C236=0,AND(C236&gt;0,'Operating costs'!$B$67&gt;(C236-1)*12,'Operating costs'!$B$67&lt;=C236*12))),'Operating costs'!$B$66,0),"n.a."))</f>
        <v>0</v>
      </c>
      <c r="N236" s="16">
        <f>IF(NOT(Paths!$C$27=1),0,IF(Paths!$P$27="Complete",SUM(G236:I236)-J236-K236-L236+M236+IF(C236=0,Paths!$F$27,0)+IF(IF(Paths!$E$27=0,C236=0,AND(C236&gt;0,Paths!$E$27&gt;(C236-1)*12,Paths!$E$27&lt;=C236*12)),VLOOKUP(A236,'Fleet register'!$A$7:$S$106,16,FALSE),0),"n.a."))</f>
        <v>18151.349999999999</v>
      </c>
      <c r="O236" s="16">
        <f>IF(NOT(Paths!$C$27=1),0,IF(Paths!$P$27="Complete",N236-IF(C236=0,Paths!$F$27,0),"n.a."))</f>
        <v>18151.349999999999</v>
      </c>
      <c r="P236" s="16">
        <f>IF(NOT(Paths!$C$27=1),0,IF(Paths!$P$27="Complete",O236+L236,"n.a."))</f>
        <v>18151.349999999999</v>
      </c>
      <c r="Q236" s="16">
        <f>IF(NOT(Paths!$C$27=1),0,IF(Paths!$P$27="Complete",N236*(1+'Operating costs'!$B$54)^-C236,"n.a."))</f>
        <v>18151.349999999999</v>
      </c>
      <c r="R236" s="16">
        <f>IF(NOT(Paths!$C$27=1),0,IF(Paths!$P$27="Complete",IF(AND(C236=0,Paths!$E$27=0),I236-J236-K236+VLOOKUP(A236,'Fleet register'!$A$7:$S$106,15,FALSE)+VLOOKUP(A236,'Fleet register'!$A$7:$S$106,16,FALSE),0),"n.a."))</f>
        <v>0</v>
      </c>
      <c r="S236" s="1">
        <f>IF(NOT(Paths!$C$27=1),0,IF(Paths!$P$27="Complete",IF(C236=0,0,Paths!$S$27*Paths!$R$27),"n.a."))</f>
        <v>45000</v>
      </c>
      <c r="T236" s="1">
        <f>IF(NOT(Paths!$C$27=1),0,IF(Paths!$P$27="Complete",IF(C236=0,0,VLOOKUP(A236,'Fleet register'!$A$7:$S$106,9,FALSE)*Paths!$R$27),"n.a."))</f>
        <v>7200</v>
      </c>
    </row>
    <row r="237" spans="1:20" ht="24" customHeight="1">
      <c r="A237" s="1" t="str">
        <f>Paths!$A$27</f>
        <v>T006</v>
      </c>
      <c r="B237" s="1">
        <f>Paths!$B$27</f>
        <v>0</v>
      </c>
      <c r="C237" s="1">
        <v>10</v>
      </c>
      <c r="D237" s="1">
        <v>27</v>
      </c>
      <c r="E237" s="1">
        <f>IF(OR(Paths!$C$27=0,C237=0),0,MAX(0,MIN(C237*12,Paths!$E$27)-(C237-1)*12))</f>
        <v>0</v>
      </c>
      <c r="F237" s="1">
        <f>IF(OR(Paths!$C$27=0,C237=0),0,12-E237)</f>
        <v>12</v>
      </c>
      <c r="G237" s="16">
        <f>IF(NOT(Paths!$C$27=1),0,IF(Paths!$P$27="Complete",E237/12*(Paths!$J$27*(1+'Operating costs'!$B$51)^MAX(0,C237-1)+Paths!$K$27*(1+'Operating costs'!$B$53)^MAX(0,C237-1)),"n.a."))</f>
        <v>0</v>
      </c>
      <c r="H237" s="16">
        <f>IF(NOT(Paths!$C$27=1),0,IF(Paths!$P$27="Complete",F237/12*(Paths!$L$27*(1+IF(Paths!$D$27="EV",'Operating costs'!$B$52,'Operating costs'!$B$51))^MAX(0,C237-1)+Paths!$M$27*(1+'Operating costs'!$B$53)^MAX(0,C237-1)),"n.a."))</f>
        <v>18151.349999999999</v>
      </c>
      <c r="I237" s="16">
        <f>IF(NOT(Paths!$C$27=1),0,IF(Paths!$P$27="Complete",IF(IF(Paths!$E$27=0,C237=0,AND(C237&gt;0,Paths!$E$27&gt;(C237-1)*12,Paths!$E$27&lt;=C237*12)),Paths!$G$27,0),"n.a."))</f>
        <v>0</v>
      </c>
      <c r="J237" s="16">
        <f>IF(NOT(Paths!$C$27=1),0,IF(Paths!$P$27="Complete",IF(IF(Paths!$E$27=0,C237=0,AND(C237&gt;0,Paths!$E$27&gt;(C237-1)*12,Paths!$E$27&lt;=C237*12)),Paths!$H$27,0),"n.a."))</f>
        <v>0</v>
      </c>
      <c r="K237" s="16">
        <f>IF(NOT(Paths!$C$27=1),0,IF(Paths!$P$27="Complete",IF(IF(Paths!$O$27=0,C237=0,AND(C237&gt;0,Paths!$O$27&gt;(C237-1)*12,Paths!$O$27&lt;=C237*12)),Paths!$N$27,0),"n.a."))</f>
        <v>0</v>
      </c>
      <c r="L237" s="16">
        <f>IF(NOT(Paths!$C$27=1),0,IF(Paths!$P$27="Complete",IF(C237=10,Paths!$I$27,0),"n.a."))</f>
        <v>67800</v>
      </c>
      <c r="M237" s="16">
        <f>IF(NOT(Paths!$C$27=1),0,IF(Paths!$P$27="Complete",IF(AND(Paths!$D$27="EV",Paths!$E$27&lt;120,Paths!$E$27+'Operating costs'!$B$65&gt;Paths!$E$27,Paths!$E$27+'Operating costs'!$B$65&lt;=120,IF(Paths!$E$27+'Operating costs'!$B$65=0,C237=0,AND(C237&gt;0,Paths!$E$27+'Operating costs'!$B$65&gt;(C237-1)*12,Paths!$E$27+'Operating costs'!$B$65&lt;=C237*12))),'Operating costs'!$B$64,0)+IF(AND('Operating costs'!$B$67&gt;0,'Operating costs'!$B$67&lt;=120,OR(Paths!$D$27="ICE",'Operating costs'!$B$67&lt;=Paths!$E$27),IF('Operating costs'!$B$67=0,C237=0,AND(C237&gt;0,'Operating costs'!$B$67&gt;(C237-1)*12,'Operating costs'!$B$67&lt;=C237*12))),'Operating costs'!$B$66,0),"n.a."))</f>
        <v>0</v>
      </c>
      <c r="N237" s="16">
        <f>IF(NOT(Paths!$C$27=1),0,IF(Paths!$P$27="Complete",SUM(G237:I237)-J237-K237-L237+M237+IF(C237=0,Paths!$F$27,0)+IF(IF(Paths!$E$27=0,C237=0,AND(C237&gt;0,Paths!$E$27&gt;(C237-1)*12,Paths!$E$27&lt;=C237*12)),VLOOKUP(A237,'Fleet register'!$A$7:$S$106,16,FALSE),0),"n.a."))</f>
        <v>-49648.65</v>
      </c>
      <c r="O237" s="16">
        <f>IF(NOT(Paths!$C$27=1),0,IF(Paths!$P$27="Complete",N237-IF(C237=0,Paths!$F$27,0),"n.a."))</f>
        <v>-49648.65</v>
      </c>
      <c r="P237" s="16">
        <f>IF(NOT(Paths!$C$27=1),0,IF(Paths!$P$27="Complete",O237+L237,"n.a."))</f>
        <v>18151.349999999999</v>
      </c>
      <c r="Q237" s="16">
        <f>IF(NOT(Paths!$C$27=1),0,IF(Paths!$P$27="Complete",N237*(1+'Operating costs'!$B$54)^-C237,"n.a."))</f>
        <v>-49648.65</v>
      </c>
      <c r="R237" s="16">
        <f>IF(NOT(Paths!$C$27=1),0,IF(Paths!$P$27="Complete",IF(AND(C237=0,Paths!$E$27=0),I237-J237-K237+VLOOKUP(A237,'Fleet register'!$A$7:$S$106,15,FALSE)+VLOOKUP(A237,'Fleet register'!$A$7:$S$106,16,FALSE),0),"n.a."))</f>
        <v>0</v>
      </c>
      <c r="S237" s="1">
        <f>IF(NOT(Paths!$C$27=1),0,IF(Paths!$P$27="Complete",IF(C237=0,0,Paths!$S$27*Paths!$R$27),"n.a."))</f>
        <v>45000</v>
      </c>
      <c r="T237" s="1">
        <f>IF(NOT(Paths!$C$27=1),0,IF(Paths!$P$27="Complete",IF(C237=0,0,VLOOKUP(A237,'Fleet register'!$A$7:$S$106,9,FALSE)*Paths!$R$27),"n.a."))</f>
        <v>7200</v>
      </c>
    </row>
    <row r="238" spans="1:20" ht="24" customHeight="1">
      <c r="A238" s="1" t="str">
        <f>Paths!$A$28</f>
        <v>T006</v>
      </c>
      <c r="B238" s="1">
        <f>Paths!$B$28</f>
        <v>1</v>
      </c>
      <c r="C238" s="1">
        <v>0</v>
      </c>
      <c r="D238" s="1">
        <v>28</v>
      </c>
      <c r="E238" s="1">
        <f>IF(OR(Paths!$C$28=0,C238=0),0,MAX(0,MIN(C238*12,Paths!$E$28)-(C238-1)*12))</f>
        <v>0</v>
      </c>
      <c r="F238" s="1">
        <f>IF(OR(Paths!$C$28=0,C238=0),0,12-E238)</f>
        <v>0</v>
      </c>
      <c r="G238" s="16">
        <f>IF(NOT(Paths!$C$28=1),0,IF(Paths!$P$28="Complete",E238/12*(Paths!$J$28*(1+'Operating costs'!$B$51)^MAX(0,C238-1)+Paths!$K$28*(1+'Operating costs'!$B$53)^MAX(0,C238-1)),"n.a."))</f>
        <v>0</v>
      </c>
      <c r="H238" s="16">
        <f>IF(NOT(Paths!$C$28=1),0,IF(Paths!$P$28="Complete",F238/12*(Paths!$L$28*(1+IF(Paths!$D$28="EV",'Operating costs'!$B$52,'Operating costs'!$B$51))^MAX(0,C238-1)+Paths!$M$28*(1+'Operating costs'!$B$53)^MAX(0,C238-1)),"n.a."))</f>
        <v>0</v>
      </c>
      <c r="I238" s="16">
        <f>IF(NOT(Paths!$C$28=1),0,IF(Paths!$P$28="Complete",IF(IF(Paths!$E$28=0,C238=0,AND(C238&gt;0,Paths!$E$28&gt;(C238-1)*12,Paths!$E$28&lt;=C238*12)),Paths!$G$28,0),"n.a."))</f>
        <v>181000</v>
      </c>
      <c r="J238" s="16">
        <f>IF(NOT(Paths!$C$28=1),0,IF(Paths!$P$28="Complete",IF(IF(Paths!$E$28=0,C238=0,AND(C238&gt;0,Paths!$E$28&gt;(C238-1)*12,Paths!$E$28&lt;=C238*12)),Paths!$H$28,0),"n.a."))</f>
        <v>54000</v>
      </c>
      <c r="K238" s="16">
        <f>IF(NOT(Paths!$C$28=1),0,IF(Paths!$P$28="Complete",IF(IF(Paths!$O$28=0,C238=0,AND(C238&gt;0,Paths!$O$28&gt;(C238-1)*12,Paths!$O$28&lt;=C238*12)),Paths!$N$28,0),"n.a."))</f>
        <v>0</v>
      </c>
      <c r="L238" s="16">
        <f>IF(NOT(Paths!$C$28=1),0,IF(Paths!$P$28="Complete",IF(C238=10,Paths!$I$28,0),"n.a."))</f>
        <v>0</v>
      </c>
      <c r="M238" s="16">
        <f>IF(NOT(Paths!$C$28=1),0,IF(Paths!$P$28="Complete",IF(AND(Paths!$D$28="EV",Paths!$E$28&lt;120,Paths!$E$28+'Operating costs'!$B$65&gt;Paths!$E$28,Paths!$E$28+'Operating costs'!$B$65&lt;=120,IF(Paths!$E$28+'Operating costs'!$B$65=0,C238=0,AND(C238&gt;0,Paths!$E$28+'Operating costs'!$B$65&gt;(C238-1)*12,Paths!$E$28+'Operating costs'!$B$65&lt;=C238*12))),'Operating costs'!$B$64,0)+IF(AND('Operating costs'!$B$67&gt;0,'Operating costs'!$B$67&lt;=120,OR(Paths!$D$28="ICE",'Operating costs'!$B$67&lt;=Paths!$E$28),IF('Operating costs'!$B$67=0,C238=0,AND(C238&gt;0,'Operating costs'!$B$67&gt;(C238-1)*12,'Operating costs'!$B$67&lt;=C238*12))),'Operating costs'!$B$66,0),"n.a."))</f>
        <v>0</v>
      </c>
      <c r="N238" s="16">
        <f>IF(NOT(Paths!$C$28=1),0,IF(Paths!$P$28="Complete",SUM(G238:I238)-J238-K238-L238+M238+IF(C238=0,Paths!$F$28,0)+IF(IF(Paths!$E$28=0,C238=0,AND(C238&gt;0,Paths!$E$28&gt;(C238-1)*12,Paths!$E$28&lt;=C238*12)),VLOOKUP(A238,'Fleet register'!$A$7:$S$106,16,FALSE),0),"n.a."))</f>
        <v>181000</v>
      </c>
      <c r="O238" s="16">
        <f>IF(NOT(Paths!$C$28=1),0,IF(Paths!$P$28="Complete",N238-IF(C238=0,Paths!$F$28,0),"n.a."))</f>
        <v>127000</v>
      </c>
      <c r="P238" s="16">
        <f>IF(NOT(Paths!$C$28=1),0,IF(Paths!$P$28="Complete",O238+L238,"n.a."))</f>
        <v>127000</v>
      </c>
      <c r="Q238" s="16">
        <f>IF(NOT(Paths!$C$28=1),0,IF(Paths!$P$28="Complete",N238*(1+'Operating costs'!$B$54)^-C238,"n.a."))</f>
        <v>181000</v>
      </c>
      <c r="R238" s="16">
        <f>IF(NOT(Paths!$C$28=1),0,IF(Paths!$P$28="Complete",IF(AND(C238=0,Paths!$E$28=0),I238-J238-K238+VLOOKUP(A238,'Fleet register'!$A$7:$S$106,15,FALSE)+VLOOKUP(A238,'Fleet register'!$A$7:$S$106,16,FALSE),0),"n.a."))</f>
        <v>127000</v>
      </c>
      <c r="S238" s="1">
        <f>IF(NOT(Paths!$C$28=1),0,IF(Paths!$P$28="Complete",IF(C238=0,0,Paths!$S$28*Paths!$R$28),"n.a."))</f>
        <v>0</v>
      </c>
      <c r="T238" s="1">
        <f>IF(NOT(Paths!$C$28=1),0,IF(Paths!$P$28="Complete",IF(C238=0,0,VLOOKUP(A238,'Fleet register'!$A$7:$S$106,9,FALSE)*Paths!$R$28),"n.a."))</f>
        <v>0</v>
      </c>
    </row>
    <row r="239" spans="1:20" ht="24" customHeight="1">
      <c r="A239" s="1" t="str">
        <f>Paths!$A$28</f>
        <v>T006</v>
      </c>
      <c r="B239" s="1">
        <f>Paths!$B$28</f>
        <v>1</v>
      </c>
      <c r="C239" s="1">
        <v>1</v>
      </c>
      <c r="D239" s="1">
        <v>28</v>
      </c>
      <c r="E239" s="1">
        <f>IF(OR(Paths!$C$28=0,C239=0),0,MAX(0,MIN(C239*12,Paths!$E$28)-(C239-1)*12))</f>
        <v>0</v>
      </c>
      <c r="F239" s="1">
        <f>IF(OR(Paths!$C$28=0,C239=0),0,12-E239)</f>
        <v>12</v>
      </c>
      <c r="G239" s="16">
        <f>IF(NOT(Paths!$C$28=1),0,IF(Paths!$P$28="Complete",E239/12*(Paths!$J$28*(1+'Operating costs'!$B$51)^MAX(0,C239-1)+Paths!$K$28*(1+'Operating costs'!$B$53)^MAX(0,C239-1)),"n.a."))</f>
        <v>0</v>
      </c>
      <c r="H239" s="16">
        <f>IF(NOT(Paths!$C$28=1),0,IF(Paths!$P$28="Complete",F239/12*(Paths!$L$28*(1+IF(Paths!$D$28="EV",'Operating costs'!$B$52,'Operating costs'!$B$51))^MAX(0,C239-1)+Paths!$M$28*(1+'Operating costs'!$B$53)^MAX(0,C239-1)),"n.a."))</f>
        <v>18151.349999999999</v>
      </c>
      <c r="I239" s="16">
        <f>IF(NOT(Paths!$C$28=1),0,IF(Paths!$P$28="Complete",IF(IF(Paths!$E$28=0,C239=0,AND(C239&gt;0,Paths!$E$28&gt;(C239-1)*12,Paths!$E$28&lt;=C239*12)),Paths!$G$28,0),"n.a."))</f>
        <v>0</v>
      </c>
      <c r="J239" s="16">
        <f>IF(NOT(Paths!$C$28=1),0,IF(Paths!$P$28="Complete",IF(IF(Paths!$E$28=0,C239=0,AND(C239&gt;0,Paths!$E$28&gt;(C239-1)*12,Paths!$E$28&lt;=C239*12)),Paths!$H$28,0),"n.a."))</f>
        <v>0</v>
      </c>
      <c r="K239" s="16">
        <f>IF(NOT(Paths!$C$28=1),0,IF(Paths!$P$28="Complete",IF(IF(Paths!$O$28=0,C239=0,AND(C239&gt;0,Paths!$O$28&gt;(C239-1)*12,Paths!$O$28&lt;=C239*12)),Paths!$N$28,0),"n.a."))</f>
        <v>0</v>
      </c>
      <c r="L239" s="16">
        <f>IF(NOT(Paths!$C$28=1),0,IF(Paths!$P$28="Complete",IF(C239=10,Paths!$I$28,0),"n.a."))</f>
        <v>0</v>
      </c>
      <c r="M239" s="16">
        <f>IF(NOT(Paths!$C$28=1),0,IF(Paths!$P$28="Complete",IF(AND(Paths!$D$28="EV",Paths!$E$28&lt;120,Paths!$E$28+'Operating costs'!$B$65&gt;Paths!$E$28,Paths!$E$28+'Operating costs'!$B$65&lt;=120,IF(Paths!$E$28+'Operating costs'!$B$65=0,C239=0,AND(C239&gt;0,Paths!$E$28+'Operating costs'!$B$65&gt;(C239-1)*12,Paths!$E$28+'Operating costs'!$B$65&lt;=C239*12))),'Operating costs'!$B$64,0)+IF(AND('Operating costs'!$B$67&gt;0,'Operating costs'!$B$67&lt;=120,OR(Paths!$D$28="ICE",'Operating costs'!$B$67&lt;=Paths!$E$28),IF('Operating costs'!$B$67=0,C239=0,AND(C239&gt;0,'Operating costs'!$B$67&gt;(C239-1)*12,'Operating costs'!$B$67&lt;=C239*12))),'Operating costs'!$B$66,0),"n.a."))</f>
        <v>0</v>
      </c>
      <c r="N239" s="16">
        <f>IF(NOT(Paths!$C$28=1),0,IF(Paths!$P$28="Complete",SUM(G239:I239)-J239-K239-L239+M239+IF(C239=0,Paths!$F$28,0)+IF(IF(Paths!$E$28=0,C239=0,AND(C239&gt;0,Paths!$E$28&gt;(C239-1)*12,Paths!$E$28&lt;=C239*12)),VLOOKUP(A239,'Fleet register'!$A$7:$S$106,16,FALSE),0),"n.a."))</f>
        <v>18151.349999999999</v>
      </c>
      <c r="O239" s="16">
        <f>IF(NOT(Paths!$C$28=1),0,IF(Paths!$P$28="Complete",N239-IF(C239=0,Paths!$F$28,0),"n.a."))</f>
        <v>18151.349999999999</v>
      </c>
      <c r="P239" s="16">
        <f>IF(NOT(Paths!$C$28=1),0,IF(Paths!$P$28="Complete",O239+L239,"n.a."))</f>
        <v>18151.349999999999</v>
      </c>
      <c r="Q239" s="16">
        <f>IF(NOT(Paths!$C$28=1),0,IF(Paths!$P$28="Complete",N239*(1+'Operating costs'!$B$54)^-C239,"n.a."))</f>
        <v>18151.349999999999</v>
      </c>
      <c r="R239" s="16">
        <f>IF(NOT(Paths!$C$28=1),0,IF(Paths!$P$28="Complete",IF(AND(C239=0,Paths!$E$28=0),I239-J239-K239+VLOOKUP(A239,'Fleet register'!$A$7:$S$106,15,FALSE)+VLOOKUP(A239,'Fleet register'!$A$7:$S$106,16,FALSE),0),"n.a."))</f>
        <v>0</v>
      </c>
      <c r="S239" s="1">
        <f>IF(NOT(Paths!$C$28=1),0,IF(Paths!$P$28="Complete",IF(C239=0,0,Paths!$S$28*Paths!$R$28),"n.a."))</f>
        <v>45000</v>
      </c>
      <c r="T239" s="1">
        <f>IF(NOT(Paths!$C$28=1),0,IF(Paths!$P$28="Complete",IF(C239=0,0,VLOOKUP(A239,'Fleet register'!$A$7:$S$106,9,FALSE)*Paths!$R$28),"n.a."))</f>
        <v>7200</v>
      </c>
    </row>
    <row r="240" spans="1:20" ht="24" customHeight="1">
      <c r="A240" s="1" t="str">
        <f>Paths!$A$28</f>
        <v>T006</v>
      </c>
      <c r="B240" s="1">
        <f>Paths!$B$28</f>
        <v>1</v>
      </c>
      <c r="C240" s="1">
        <v>2</v>
      </c>
      <c r="D240" s="1">
        <v>28</v>
      </c>
      <c r="E240" s="1">
        <f>IF(OR(Paths!$C$28=0,C240=0),0,MAX(0,MIN(C240*12,Paths!$E$28)-(C240-1)*12))</f>
        <v>0</v>
      </c>
      <c r="F240" s="1">
        <f>IF(OR(Paths!$C$28=0,C240=0),0,12-E240)</f>
        <v>12</v>
      </c>
      <c r="G240" s="16">
        <f>IF(NOT(Paths!$C$28=1),0,IF(Paths!$P$28="Complete",E240/12*(Paths!$J$28*(1+'Operating costs'!$B$51)^MAX(0,C240-1)+Paths!$K$28*(1+'Operating costs'!$B$53)^MAX(0,C240-1)),"n.a."))</f>
        <v>0</v>
      </c>
      <c r="H240" s="16">
        <f>IF(NOT(Paths!$C$28=1),0,IF(Paths!$P$28="Complete",F240/12*(Paths!$L$28*(1+IF(Paths!$D$28="EV",'Operating costs'!$B$52,'Operating costs'!$B$51))^MAX(0,C240-1)+Paths!$M$28*(1+'Operating costs'!$B$53)^MAX(0,C240-1)),"n.a."))</f>
        <v>18151.349999999999</v>
      </c>
      <c r="I240" s="16">
        <f>IF(NOT(Paths!$C$28=1),0,IF(Paths!$P$28="Complete",IF(IF(Paths!$E$28=0,C240=0,AND(C240&gt;0,Paths!$E$28&gt;(C240-1)*12,Paths!$E$28&lt;=C240*12)),Paths!$G$28,0),"n.a."))</f>
        <v>0</v>
      </c>
      <c r="J240" s="16">
        <f>IF(NOT(Paths!$C$28=1),0,IF(Paths!$P$28="Complete",IF(IF(Paths!$E$28=0,C240=0,AND(C240&gt;0,Paths!$E$28&gt;(C240-1)*12,Paths!$E$28&lt;=C240*12)),Paths!$H$28,0),"n.a."))</f>
        <v>0</v>
      </c>
      <c r="K240" s="16">
        <f>IF(NOT(Paths!$C$28=1),0,IF(Paths!$P$28="Complete",IF(IF(Paths!$O$28=0,C240=0,AND(C240&gt;0,Paths!$O$28&gt;(C240-1)*12,Paths!$O$28&lt;=C240*12)),Paths!$N$28,0),"n.a."))</f>
        <v>0</v>
      </c>
      <c r="L240" s="16">
        <f>IF(NOT(Paths!$C$28=1),0,IF(Paths!$P$28="Complete",IF(C240=10,Paths!$I$28,0),"n.a."))</f>
        <v>0</v>
      </c>
      <c r="M240" s="16">
        <f>IF(NOT(Paths!$C$28=1),0,IF(Paths!$P$28="Complete",IF(AND(Paths!$D$28="EV",Paths!$E$28&lt;120,Paths!$E$28+'Operating costs'!$B$65&gt;Paths!$E$28,Paths!$E$28+'Operating costs'!$B$65&lt;=120,IF(Paths!$E$28+'Operating costs'!$B$65=0,C240=0,AND(C240&gt;0,Paths!$E$28+'Operating costs'!$B$65&gt;(C240-1)*12,Paths!$E$28+'Operating costs'!$B$65&lt;=C240*12))),'Operating costs'!$B$64,0)+IF(AND('Operating costs'!$B$67&gt;0,'Operating costs'!$B$67&lt;=120,OR(Paths!$D$28="ICE",'Operating costs'!$B$67&lt;=Paths!$E$28),IF('Operating costs'!$B$67=0,C240=0,AND(C240&gt;0,'Operating costs'!$B$67&gt;(C240-1)*12,'Operating costs'!$B$67&lt;=C240*12))),'Operating costs'!$B$66,0),"n.a."))</f>
        <v>0</v>
      </c>
      <c r="N240" s="16">
        <f>IF(NOT(Paths!$C$28=1),0,IF(Paths!$P$28="Complete",SUM(G240:I240)-J240-K240-L240+M240+IF(C240=0,Paths!$F$28,0)+IF(IF(Paths!$E$28=0,C240=0,AND(C240&gt;0,Paths!$E$28&gt;(C240-1)*12,Paths!$E$28&lt;=C240*12)),VLOOKUP(A240,'Fleet register'!$A$7:$S$106,16,FALSE),0),"n.a."))</f>
        <v>18151.349999999999</v>
      </c>
      <c r="O240" s="16">
        <f>IF(NOT(Paths!$C$28=1),0,IF(Paths!$P$28="Complete",N240-IF(C240=0,Paths!$F$28,0),"n.a."))</f>
        <v>18151.349999999999</v>
      </c>
      <c r="P240" s="16">
        <f>IF(NOT(Paths!$C$28=1),0,IF(Paths!$P$28="Complete",O240+L240,"n.a."))</f>
        <v>18151.349999999999</v>
      </c>
      <c r="Q240" s="16">
        <f>IF(NOT(Paths!$C$28=1),0,IF(Paths!$P$28="Complete",N240*(1+'Operating costs'!$B$54)^-C240,"n.a."))</f>
        <v>18151.349999999999</v>
      </c>
      <c r="R240" s="16">
        <f>IF(NOT(Paths!$C$28=1),0,IF(Paths!$P$28="Complete",IF(AND(C240=0,Paths!$E$28=0),I240-J240-K240+VLOOKUP(A240,'Fleet register'!$A$7:$S$106,15,FALSE)+VLOOKUP(A240,'Fleet register'!$A$7:$S$106,16,FALSE),0),"n.a."))</f>
        <v>0</v>
      </c>
      <c r="S240" s="1">
        <f>IF(NOT(Paths!$C$28=1),0,IF(Paths!$P$28="Complete",IF(C240=0,0,Paths!$S$28*Paths!$R$28),"n.a."))</f>
        <v>45000</v>
      </c>
      <c r="T240" s="1">
        <f>IF(NOT(Paths!$C$28=1),0,IF(Paths!$P$28="Complete",IF(C240=0,0,VLOOKUP(A240,'Fleet register'!$A$7:$S$106,9,FALSE)*Paths!$R$28),"n.a."))</f>
        <v>7200</v>
      </c>
    </row>
    <row r="241" spans="1:20" ht="24" customHeight="1">
      <c r="A241" s="1" t="str">
        <f>Paths!$A$28</f>
        <v>T006</v>
      </c>
      <c r="B241" s="1">
        <f>Paths!$B$28</f>
        <v>1</v>
      </c>
      <c r="C241" s="1">
        <v>3</v>
      </c>
      <c r="D241" s="1">
        <v>28</v>
      </c>
      <c r="E241" s="1">
        <f>IF(OR(Paths!$C$28=0,C241=0),0,MAX(0,MIN(C241*12,Paths!$E$28)-(C241-1)*12))</f>
        <v>0</v>
      </c>
      <c r="F241" s="1">
        <f>IF(OR(Paths!$C$28=0,C241=0),0,12-E241)</f>
        <v>12</v>
      </c>
      <c r="G241" s="16">
        <f>IF(NOT(Paths!$C$28=1),0,IF(Paths!$P$28="Complete",E241/12*(Paths!$J$28*(1+'Operating costs'!$B$51)^MAX(0,C241-1)+Paths!$K$28*(1+'Operating costs'!$B$53)^MAX(0,C241-1)),"n.a."))</f>
        <v>0</v>
      </c>
      <c r="H241" s="16">
        <f>IF(NOT(Paths!$C$28=1),0,IF(Paths!$P$28="Complete",F241/12*(Paths!$L$28*(1+IF(Paths!$D$28="EV",'Operating costs'!$B$52,'Operating costs'!$B$51))^MAX(0,C241-1)+Paths!$M$28*(1+'Operating costs'!$B$53)^MAX(0,C241-1)),"n.a."))</f>
        <v>18151.349999999999</v>
      </c>
      <c r="I241" s="16">
        <f>IF(NOT(Paths!$C$28=1),0,IF(Paths!$P$28="Complete",IF(IF(Paths!$E$28=0,C241=0,AND(C241&gt;0,Paths!$E$28&gt;(C241-1)*12,Paths!$E$28&lt;=C241*12)),Paths!$G$28,0),"n.a."))</f>
        <v>0</v>
      </c>
      <c r="J241" s="16">
        <f>IF(NOT(Paths!$C$28=1),0,IF(Paths!$P$28="Complete",IF(IF(Paths!$E$28=0,C241=0,AND(C241&gt;0,Paths!$E$28&gt;(C241-1)*12,Paths!$E$28&lt;=C241*12)),Paths!$H$28,0),"n.a."))</f>
        <v>0</v>
      </c>
      <c r="K241" s="16">
        <f>IF(NOT(Paths!$C$28=1),0,IF(Paths!$P$28="Complete",IF(IF(Paths!$O$28=0,C241=0,AND(C241&gt;0,Paths!$O$28&gt;(C241-1)*12,Paths!$O$28&lt;=C241*12)),Paths!$N$28,0),"n.a."))</f>
        <v>0</v>
      </c>
      <c r="L241" s="16">
        <f>IF(NOT(Paths!$C$28=1),0,IF(Paths!$P$28="Complete",IF(C241=10,Paths!$I$28,0),"n.a."))</f>
        <v>0</v>
      </c>
      <c r="M241" s="16">
        <f>IF(NOT(Paths!$C$28=1),0,IF(Paths!$P$28="Complete",IF(AND(Paths!$D$28="EV",Paths!$E$28&lt;120,Paths!$E$28+'Operating costs'!$B$65&gt;Paths!$E$28,Paths!$E$28+'Operating costs'!$B$65&lt;=120,IF(Paths!$E$28+'Operating costs'!$B$65=0,C241=0,AND(C241&gt;0,Paths!$E$28+'Operating costs'!$B$65&gt;(C241-1)*12,Paths!$E$28+'Operating costs'!$B$65&lt;=C241*12))),'Operating costs'!$B$64,0)+IF(AND('Operating costs'!$B$67&gt;0,'Operating costs'!$B$67&lt;=120,OR(Paths!$D$28="ICE",'Operating costs'!$B$67&lt;=Paths!$E$28),IF('Operating costs'!$B$67=0,C241=0,AND(C241&gt;0,'Operating costs'!$B$67&gt;(C241-1)*12,'Operating costs'!$B$67&lt;=C241*12))),'Operating costs'!$B$66,0),"n.a."))</f>
        <v>0</v>
      </c>
      <c r="N241" s="16">
        <f>IF(NOT(Paths!$C$28=1),0,IF(Paths!$P$28="Complete",SUM(G241:I241)-J241-K241-L241+M241+IF(C241=0,Paths!$F$28,0)+IF(IF(Paths!$E$28=0,C241=0,AND(C241&gt;0,Paths!$E$28&gt;(C241-1)*12,Paths!$E$28&lt;=C241*12)),VLOOKUP(A241,'Fleet register'!$A$7:$S$106,16,FALSE),0),"n.a."))</f>
        <v>18151.349999999999</v>
      </c>
      <c r="O241" s="16">
        <f>IF(NOT(Paths!$C$28=1),0,IF(Paths!$P$28="Complete",N241-IF(C241=0,Paths!$F$28,0),"n.a."))</f>
        <v>18151.349999999999</v>
      </c>
      <c r="P241" s="16">
        <f>IF(NOT(Paths!$C$28=1),0,IF(Paths!$P$28="Complete",O241+L241,"n.a."))</f>
        <v>18151.349999999999</v>
      </c>
      <c r="Q241" s="16">
        <f>IF(NOT(Paths!$C$28=1),0,IF(Paths!$P$28="Complete",N241*(1+'Operating costs'!$B$54)^-C241,"n.a."))</f>
        <v>18151.349999999999</v>
      </c>
      <c r="R241" s="16">
        <f>IF(NOT(Paths!$C$28=1),0,IF(Paths!$P$28="Complete",IF(AND(C241=0,Paths!$E$28=0),I241-J241-K241+VLOOKUP(A241,'Fleet register'!$A$7:$S$106,15,FALSE)+VLOOKUP(A241,'Fleet register'!$A$7:$S$106,16,FALSE),0),"n.a."))</f>
        <v>0</v>
      </c>
      <c r="S241" s="1">
        <f>IF(NOT(Paths!$C$28=1),0,IF(Paths!$P$28="Complete",IF(C241=0,0,Paths!$S$28*Paths!$R$28),"n.a."))</f>
        <v>45000</v>
      </c>
      <c r="T241" s="1">
        <f>IF(NOT(Paths!$C$28=1),0,IF(Paths!$P$28="Complete",IF(C241=0,0,VLOOKUP(A241,'Fleet register'!$A$7:$S$106,9,FALSE)*Paths!$R$28),"n.a."))</f>
        <v>7200</v>
      </c>
    </row>
    <row r="242" spans="1:20" ht="24" customHeight="1">
      <c r="A242" s="1" t="str">
        <f>Paths!$A$28</f>
        <v>T006</v>
      </c>
      <c r="B242" s="1">
        <f>Paths!$B$28</f>
        <v>1</v>
      </c>
      <c r="C242" s="1">
        <v>4</v>
      </c>
      <c r="D242" s="1">
        <v>28</v>
      </c>
      <c r="E242" s="1">
        <f>IF(OR(Paths!$C$28=0,C242=0),0,MAX(0,MIN(C242*12,Paths!$E$28)-(C242-1)*12))</f>
        <v>0</v>
      </c>
      <c r="F242" s="1">
        <f>IF(OR(Paths!$C$28=0,C242=0),0,12-E242)</f>
        <v>12</v>
      </c>
      <c r="G242" s="16">
        <f>IF(NOT(Paths!$C$28=1),0,IF(Paths!$P$28="Complete",E242/12*(Paths!$J$28*(1+'Operating costs'!$B$51)^MAX(0,C242-1)+Paths!$K$28*(1+'Operating costs'!$B$53)^MAX(0,C242-1)),"n.a."))</f>
        <v>0</v>
      </c>
      <c r="H242" s="16">
        <f>IF(NOT(Paths!$C$28=1),0,IF(Paths!$P$28="Complete",F242/12*(Paths!$L$28*(1+IF(Paths!$D$28="EV",'Operating costs'!$B$52,'Operating costs'!$B$51))^MAX(0,C242-1)+Paths!$M$28*(1+'Operating costs'!$B$53)^MAX(0,C242-1)),"n.a."))</f>
        <v>18151.349999999999</v>
      </c>
      <c r="I242" s="16">
        <f>IF(NOT(Paths!$C$28=1),0,IF(Paths!$P$28="Complete",IF(IF(Paths!$E$28=0,C242=0,AND(C242&gt;0,Paths!$E$28&gt;(C242-1)*12,Paths!$E$28&lt;=C242*12)),Paths!$G$28,0),"n.a."))</f>
        <v>0</v>
      </c>
      <c r="J242" s="16">
        <f>IF(NOT(Paths!$C$28=1),0,IF(Paths!$P$28="Complete",IF(IF(Paths!$E$28=0,C242=0,AND(C242&gt;0,Paths!$E$28&gt;(C242-1)*12,Paths!$E$28&lt;=C242*12)),Paths!$H$28,0),"n.a."))</f>
        <v>0</v>
      </c>
      <c r="K242" s="16">
        <f>IF(NOT(Paths!$C$28=1),0,IF(Paths!$P$28="Complete",IF(IF(Paths!$O$28=0,C242=0,AND(C242&gt;0,Paths!$O$28&gt;(C242-1)*12,Paths!$O$28&lt;=C242*12)),Paths!$N$28,0),"n.a."))</f>
        <v>0</v>
      </c>
      <c r="L242" s="16">
        <f>IF(NOT(Paths!$C$28=1),0,IF(Paths!$P$28="Complete",IF(C242=10,Paths!$I$28,0),"n.a."))</f>
        <v>0</v>
      </c>
      <c r="M242" s="16">
        <f>IF(NOT(Paths!$C$28=1),0,IF(Paths!$P$28="Complete",IF(AND(Paths!$D$28="EV",Paths!$E$28&lt;120,Paths!$E$28+'Operating costs'!$B$65&gt;Paths!$E$28,Paths!$E$28+'Operating costs'!$B$65&lt;=120,IF(Paths!$E$28+'Operating costs'!$B$65=0,C242=0,AND(C242&gt;0,Paths!$E$28+'Operating costs'!$B$65&gt;(C242-1)*12,Paths!$E$28+'Operating costs'!$B$65&lt;=C242*12))),'Operating costs'!$B$64,0)+IF(AND('Operating costs'!$B$67&gt;0,'Operating costs'!$B$67&lt;=120,OR(Paths!$D$28="ICE",'Operating costs'!$B$67&lt;=Paths!$E$28),IF('Operating costs'!$B$67=0,C242=0,AND(C242&gt;0,'Operating costs'!$B$67&gt;(C242-1)*12,'Operating costs'!$B$67&lt;=C242*12))),'Operating costs'!$B$66,0),"n.a."))</f>
        <v>0</v>
      </c>
      <c r="N242" s="16">
        <f>IF(NOT(Paths!$C$28=1),0,IF(Paths!$P$28="Complete",SUM(G242:I242)-J242-K242-L242+M242+IF(C242=0,Paths!$F$28,0)+IF(IF(Paths!$E$28=0,C242=0,AND(C242&gt;0,Paths!$E$28&gt;(C242-1)*12,Paths!$E$28&lt;=C242*12)),VLOOKUP(A242,'Fleet register'!$A$7:$S$106,16,FALSE),0),"n.a."))</f>
        <v>18151.349999999999</v>
      </c>
      <c r="O242" s="16">
        <f>IF(NOT(Paths!$C$28=1),0,IF(Paths!$P$28="Complete",N242-IF(C242=0,Paths!$F$28,0),"n.a."))</f>
        <v>18151.349999999999</v>
      </c>
      <c r="P242" s="16">
        <f>IF(NOT(Paths!$C$28=1),0,IF(Paths!$P$28="Complete",O242+L242,"n.a."))</f>
        <v>18151.349999999999</v>
      </c>
      <c r="Q242" s="16">
        <f>IF(NOT(Paths!$C$28=1),0,IF(Paths!$P$28="Complete",N242*(1+'Operating costs'!$B$54)^-C242,"n.a."))</f>
        <v>18151.349999999999</v>
      </c>
      <c r="R242" s="16">
        <f>IF(NOT(Paths!$C$28=1),0,IF(Paths!$P$28="Complete",IF(AND(C242=0,Paths!$E$28=0),I242-J242-K242+VLOOKUP(A242,'Fleet register'!$A$7:$S$106,15,FALSE)+VLOOKUP(A242,'Fleet register'!$A$7:$S$106,16,FALSE),0),"n.a."))</f>
        <v>0</v>
      </c>
      <c r="S242" s="1">
        <f>IF(NOT(Paths!$C$28=1),0,IF(Paths!$P$28="Complete",IF(C242=0,0,Paths!$S$28*Paths!$R$28),"n.a."))</f>
        <v>45000</v>
      </c>
      <c r="T242" s="1">
        <f>IF(NOT(Paths!$C$28=1),0,IF(Paths!$P$28="Complete",IF(C242=0,0,VLOOKUP(A242,'Fleet register'!$A$7:$S$106,9,FALSE)*Paths!$R$28),"n.a."))</f>
        <v>7200</v>
      </c>
    </row>
    <row r="243" spans="1:20" ht="24" customHeight="1">
      <c r="A243" s="1" t="str">
        <f>Paths!$A$28</f>
        <v>T006</v>
      </c>
      <c r="B243" s="1">
        <f>Paths!$B$28</f>
        <v>1</v>
      </c>
      <c r="C243" s="1">
        <v>5</v>
      </c>
      <c r="D243" s="1">
        <v>28</v>
      </c>
      <c r="E243" s="1">
        <f>IF(OR(Paths!$C$28=0,C243=0),0,MAX(0,MIN(C243*12,Paths!$E$28)-(C243-1)*12))</f>
        <v>0</v>
      </c>
      <c r="F243" s="1">
        <f>IF(OR(Paths!$C$28=0,C243=0),0,12-E243)</f>
        <v>12</v>
      </c>
      <c r="G243" s="16">
        <f>IF(NOT(Paths!$C$28=1),0,IF(Paths!$P$28="Complete",E243/12*(Paths!$J$28*(1+'Operating costs'!$B$51)^MAX(0,C243-1)+Paths!$K$28*(1+'Operating costs'!$B$53)^MAX(0,C243-1)),"n.a."))</f>
        <v>0</v>
      </c>
      <c r="H243" s="16">
        <f>IF(NOT(Paths!$C$28=1),0,IF(Paths!$P$28="Complete",F243/12*(Paths!$L$28*(1+IF(Paths!$D$28="EV",'Operating costs'!$B$52,'Operating costs'!$B$51))^MAX(0,C243-1)+Paths!$M$28*(1+'Operating costs'!$B$53)^MAX(0,C243-1)),"n.a."))</f>
        <v>18151.349999999999</v>
      </c>
      <c r="I243" s="16">
        <f>IF(NOT(Paths!$C$28=1),0,IF(Paths!$P$28="Complete",IF(IF(Paths!$E$28=0,C243=0,AND(C243&gt;0,Paths!$E$28&gt;(C243-1)*12,Paths!$E$28&lt;=C243*12)),Paths!$G$28,0),"n.a."))</f>
        <v>0</v>
      </c>
      <c r="J243" s="16">
        <f>IF(NOT(Paths!$C$28=1),0,IF(Paths!$P$28="Complete",IF(IF(Paths!$E$28=0,C243=0,AND(C243&gt;0,Paths!$E$28&gt;(C243-1)*12,Paths!$E$28&lt;=C243*12)),Paths!$H$28,0),"n.a."))</f>
        <v>0</v>
      </c>
      <c r="K243" s="16">
        <f>IF(NOT(Paths!$C$28=1),0,IF(Paths!$P$28="Complete",IF(IF(Paths!$O$28=0,C243=0,AND(C243&gt;0,Paths!$O$28&gt;(C243-1)*12,Paths!$O$28&lt;=C243*12)),Paths!$N$28,0),"n.a."))</f>
        <v>0</v>
      </c>
      <c r="L243" s="16">
        <f>IF(NOT(Paths!$C$28=1),0,IF(Paths!$P$28="Complete",IF(C243=10,Paths!$I$28,0),"n.a."))</f>
        <v>0</v>
      </c>
      <c r="M243" s="16">
        <f>IF(NOT(Paths!$C$28=1),0,IF(Paths!$P$28="Complete",IF(AND(Paths!$D$28="EV",Paths!$E$28&lt;120,Paths!$E$28+'Operating costs'!$B$65&gt;Paths!$E$28,Paths!$E$28+'Operating costs'!$B$65&lt;=120,IF(Paths!$E$28+'Operating costs'!$B$65=0,C243=0,AND(C243&gt;0,Paths!$E$28+'Operating costs'!$B$65&gt;(C243-1)*12,Paths!$E$28+'Operating costs'!$B$65&lt;=C243*12))),'Operating costs'!$B$64,0)+IF(AND('Operating costs'!$B$67&gt;0,'Operating costs'!$B$67&lt;=120,OR(Paths!$D$28="ICE",'Operating costs'!$B$67&lt;=Paths!$E$28),IF('Operating costs'!$B$67=0,C243=0,AND(C243&gt;0,'Operating costs'!$B$67&gt;(C243-1)*12,'Operating costs'!$B$67&lt;=C243*12))),'Operating costs'!$B$66,0),"n.a."))</f>
        <v>0</v>
      </c>
      <c r="N243" s="16">
        <f>IF(NOT(Paths!$C$28=1),0,IF(Paths!$P$28="Complete",SUM(G243:I243)-J243-K243-L243+M243+IF(C243=0,Paths!$F$28,0)+IF(IF(Paths!$E$28=0,C243=0,AND(C243&gt;0,Paths!$E$28&gt;(C243-1)*12,Paths!$E$28&lt;=C243*12)),VLOOKUP(A243,'Fleet register'!$A$7:$S$106,16,FALSE),0),"n.a."))</f>
        <v>18151.349999999999</v>
      </c>
      <c r="O243" s="16">
        <f>IF(NOT(Paths!$C$28=1),0,IF(Paths!$P$28="Complete",N243-IF(C243=0,Paths!$F$28,0),"n.a."))</f>
        <v>18151.349999999999</v>
      </c>
      <c r="P243" s="16">
        <f>IF(NOT(Paths!$C$28=1),0,IF(Paths!$P$28="Complete",O243+L243,"n.a."))</f>
        <v>18151.349999999999</v>
      </c>
      <c r="Q243" s="16">
        <f>IF(NOT(Paths!$C$28=1),0,IF(Paths!$P$28="Complete",N243*(1+'Operating costs'!$B$54)^-C243,"n.a."))</f>
        <v>18151.349999999999</v>
      </c>
      <c r="R243" s="16">
        <f>IF(NOT(Paths!$C$28=1),0,IF(Paths!$P$28="Complete",IF(AND(C243=0,Paths!$E$28=0),I243-J243-K243+VLOOKUP(A243,'Fleet register'!$A$7:$S$106,15,FALSE)+VLOOKUP(A243,'Fleet register'!$A$7:$S$106,16,FALSE),0),"n.a."))</f>
        <v>0</v>
      </c>
      <c r="S243" s="1">
        <f>IF(NOT(Paths!$C$28=1),0,IF(Paths!$P$28="Complete",IF(C243=0,0,Paths!$S$28*Paths!$R$28),"n.a."))</f>
        <v>45000</v>
      </c>
      <c r="T243" s="1">
        <f>IF(NOT(Paths!$C$28=1),0,IF(Paths!$P$28="Complete",IF(C243=0,0,VLOOKUP(A243,'Fleet register'!$A$7:$S$106,9,FALSE)*Paths!$R$28),"n.a."))</f>
        <v>7200</v>
      </c>
    </row>
    <row r="244" spans="1:20" ht="24" customHeight="1">
      <c r="A244" s="1" t="str">
        <f>Paths!$A$28</f>
        <v>T006</v>
      </c>
      <c r="B244" s="1">
        <f>Paths!$B$28</f>
        <v>1</v>
      </c>
      <c r="C244" s="1">
        <v>6</v>
      </c>
      <c r="D244" s="1">
        <v>28</v>
      </c>
      <c r="E244" s="1">
        <f>IF(OR(Paths!$C$28=0,C244=0),0,MAX(0,MIN(C244*12,Paths!$E$28)-(C244-1)*12))</f>
        <v>0</v>
      </c>
      <c r="F244" s="1">
        <f>IF(OR(Paths!$C$28=0,C244=0),0,12-E244)</f>
        <v>12</v>
      </c>
      <c r="G244" s="16">
        <f>IF(NOT(Paths!$C$28=1),0,IF(Paths!$P$28="Complete",E244/12*(Paths!$J$28*(1+'Operating costs'!$B$51)^MAX(0,C244-1)+Paths!$K$28*(1+'Operating costs'!$B$53)^MAX(0,C244-1)),"n.a."))</f>
        <v>0</v>
      </c>
      <c r="H244" s="16">
        <f>IF(NOT(Paths!$C$28=1),0,IF(Paths!$P$28="Complete",F244/12*(Paths!$L$28*(1+IF(Paths!$D$28="EV",'Operating costs'!$B$52,'Operating costs'!$B$51))^MAX(0,C244-1)+Paths!$M$28*(1+'Operating costs'!$B$53)^MAX(0,C244-1)),"n.a."))</f>
        <v>18151.349999999999</v>
      </c>
      <c r="I244" s="16">
        <f>IF(NOT(Paths!$C$28=1),0,IF(Paths!$P$28="Complete",IF(IF(Paths!$E$28=0,C244=0,AND(C244&gt;0,Paths!$E$28&gt;(C244-1)*12,Paths!$E$28&lt;=C244*12)),Paths!$G$28,0),"n.a."))</f>
        <v>0</v>
      </c>
      <c r="J244" s="16">
        <f>IF(NOT(Paths!$C$28=1),0,IF(Paths!$P$28="Complete",IF(IF(Paths!$E$28=0,C244=0,AND(C244&gt;0,Paths!$E$28&gt;(C244-1)*12,Paths!$E$28&lt;=C244*12)),Paths!$H$28,0),"n.a."))</f>
        <v>0</v>
      </c>
      <c r="K244" s="16">
        <f>IF(NOT(Paths!$C$28=1),0,IF(Paths!$P$28="Complete",IF(IF(Paths!$O$28=0,C244=0,AND(C244&gt;0,Paths!$O$28&gt;(C244-1)*12,Paths!$O$28&lt;=C244*12)),Paths!$N$28,0),"n.a."))</f>
        <v>0</v>
      </c>
      <c r="L244" s="16">
        <f>IF(NOT(Paths!$C$28=1),0,IF(Paths!$P$28="Complete",IF(C244=10,Paths!$I$28,0),"n.a."))</f>
        <v>0</v>
      </c>
      <c r="M244" s="16">
        <f>IF(NOT(Paths!$C$28=1),0,IF(Paths!$P$28="Complete",IF(AND(Paths!$D$28="EV",Paths!$E$28&lt;120,Paths!$E$28+'Operating costs'!$B$65&gt;Paths!$E$28,Paths!$E$28+'Operating costs'!$B$65&lt;=120,IF(Paths!$E$28+'Operating costs'!$B$65=0,C244=0,AND(C244&gt;0,Paths!$E$28+'Operating costs'!$B$65&gt;(C244-1)*12,Paths!$E$28+'Operating costs'!$B$65&lt;=C244*12))),'Operating costs'!$B$64,0)+IF(AND('Operating costs'!$B$67&gt;0,'Operating costs'!$B$67&lt;=120,OR(Paths!$D$28="ICE",'Operating costs'!$B$67&lt;=Paths!$E$28),IF('Operating costs'!$B$67=0,C244=0,AND(C244&gt;0,'Operating costs'!$B$67&gt;(C244-1)*12,'Operating costs'!$B$67&lt;=C244*12))),'Operating costs'!$B$66,0),"n.a."))</f>
        <v>0</v>
      </c>
      <c r="N244" s="16">
        <f>IF(NOT(Paths!$C$28=1),0,IF(Paths!$P$28="Complete",SUM(G244:I244)-J244-K244-L244+M244+IF(C244=0,Paths!$F$28,0)+IF(IF(Paths!$E$28=0,C244=0,AND(C244&gt;0,Paths!$E$28&gt;(C244-1)*12,Paths!$E$28&lt;=C244*12)),VLOOKUP(A244,'Fleet register'!$A$7:$S$106,16,FALSE),0),"n.a."))</f>
        <v>18151.349999999999</v>
      </c>
      <c r="O244" s="16">
        <f>IF(NOT(Paths!$C$28=1),0,IF(Paths!$P$28="Complete",N244-IF(C244=0,Paths!$F$28,0),"n.a."))</f>
        <v>18151.349999999999</v>
      </c>
      <c r="P244" s="16">
        <f>IF(NOT(Paths!$C$28=1),0,IF(Paths!$P$28="Complete",O244+L244,"n.a."))</f>
        <v>18151.349999999999</v>
      </c>
      <c r="Q244" s="16">
        <f>IF(NOT(Paths!$C$28=1),0,IF(Paths!$P$28="Complete",N244*(1+'Operating costs'!$B$54)^-C244,"n.a."))</f>
        <v>18151.349999999999</v>
      </c>
      <c r="R244" s="16">
        <f>IF(NOT(Paths!$C$28=1),0,IF(Paths!$P$28="Complete",IF(AND(C244=0,Paths!$E$28=0),I244-J244-K244+VLOOKUP(A244,'Fleet register'!$A$7:$S$106,15,FALSE)+VLOOKUP(A244,'Fleet register'!$A$7:$S$106,16,FALSE),0),"n.a."))</f>
        <v>0</v>
      </c>
      <c r="S244" s="1">
        <f>IF(NOT(Paths!$C$28=1),0,IF(Paths!$P$28="Complete",IF(C244=0,0,Paths!$S$28*Paths!$R$28),"n.a."))</f>
        <v>45000</v>
      </c>
      <c r="T244" s="1">
        <f>IF(NOT(Paths!$C$28=1),0,IF(Paths!$P$28="Complete",IF(C244=0,0,VLOOKUP(A244,'Fleet register'!$A$7:$S$106,9,FALSE)*Paths!$R$28),"n.a."))</f>
        <v>7200</v>
      </c>
    </row>
    <row r="245" spans="1:20" ht="24" customHeight="1">
      <c r="A245" s="1" t="str">
        <f>Paths!$A$28</f>
        <v>T006</v>
      </c>
      <c r="B245" s="1">
        <f>Paths!$B$28</f>
        <v>1</v>
      </c>
      <c r="C245" s="1">
        <v>7</v>
      </c>
      <c r="D245" s="1">
        <v>28</v>
      </c>
      <c r="E245" s="1">
        <f>IF(OR(Paths!$C$28=0,C245=0),0,MAX(0,MIN(C245*12,Paths!$E$28)-(C245-1)*12))</f>
        <v>0</v>
      </c>
      <c r="F245" s="1">
        <f>IF(OR(Paths!$C$28=0,C245=0),0,12-E245)</f>
        <v>12</v>
      </c>
      <c r="G245" s="16">
        <f>IF(NOT(Paths!$C$28=1),0,IF(Paths!$P$28="Complete",E245/12*(Paths!$J$28*(1+'Operating costs'!$B$51)^MAX(0,C245-1)+Paths!$K$28*(1+'Operating costs'!$B$53)^MAX(0,C245-1)),"n.a."))</f>
        <v>0</v>
      </c>
      <c r="H245" s="16">
        <f>IF(NOT(Paths!$C$28=1),0,IF(Paths!$P$28="Complete",F245/12*(Paths!$L$28*(1+IF(Paths!$D$28="EV",'Operating costs'!$B$52,'Operating costs'!$B$51))^MAX(0,C245-1)+Paths!$M$28*(1+'Operating costs'!$B$53)^MAX(0,C245-1)),"n.a."))</f>
        <v>18151.349999999999</v>
      </c>
      <c r="I245" s="16">
        <f>IF(NOT(Paths!$C$28=1),0,IF(Paths!$P$28="Complete",IF(IF(Paths!$E$28=0,C245=0,AND(C245&gt;0,Paths!$E$28&gt;(C245-1)*12,Paths!$E$28&lt;=C245*12)),Paths!$G$28,0),"n.a."))</f>
        <v>0</v>
      </c>
      <c r="J245" s="16">
        <f>IF(NOT(Paths!$C$28=1),0,IF(Paths!$P$28="Complete",IF(IF(Paths!$E$28=0,C245=0,AND(C245&gt;0,Paths!$E$28&gt;(C245-1)*12,Paths!$E$28&lt;=C245*12)),Paths!$H$28,0),"n.a."))</f>
        <v>0</v>
      </c>
      <c r="K245" s="16">
        <f>IF(NOT(Paths!$C$28=1),0,IF(Paths!$P$28="Complete",IF(IF(Paths!$O$28=0,C245=0,AND(C245&gt;0,Paths!$O$28&gt;(C245-1)*12,Paths!$O$28&lt;=C245*12)),Paths!$N$28,0),"n.a."))</f>
        <v>0</v>
      </c>
      <c r="L245" s="16">
        <f>IF(NOT(Paths!$C$28=1),0,IF(Paths!$P$28="Complete",IF(C245=10,Paths!$I$28,0),"n.a."))</f>
        <v>0</v>
      </c>
      <c r="M245" s="16">
        <f>IF(NOT(Paths!$C$28=1),0,IF(Paths!$P$28="Complete",IF(AND(Paths!$D$28="EV",Paths!$E$28&lt;120,Paths!$E$28+'Operating costs'!$B$65&gt;Paths!$E$28,Paths!$E$28+'Operating costs'!$B$65&lt;=120,IF(Paths!$E$28+'Operating costs'!$B$65=0,C245=0,AND(C245&gt;0,Paths!$E$28+'Operating costs'!$B$65&gt;(C245-1)*12,Paths!$E$28+'Operating costs'!$B$65&lt;=C245*12))),'Operating costs'!$B$64,0)+IF(AND('Operating costs'!$B$67&gt;0,'Operating costs'!$B$67&lt;=120,OR(Paths!$D$28="ICE",'Operating costs'!$B$67&lt;=Paths!$E$28),IF('Operating costs'!$B$67=0,C245=0,AND(C245&gt;0,'Operating costs'!$B$67&gt;(C245-1)*12,'Operating costs'!$B$67&lt;=C245*12))),'Operating costs'!$B$66,0),"n.a."))</f>
        <v>0</v>
      </c>
      <c r="N245" s="16">
        <f>IF(NOT(Paths!$C$28=1),0,IF(Paths!$P$28="Complete",SUM(G245:I245)-J245-K245-L245+M245+IF(C245=0,Paths!$F$28,0)+IF(IF(Paths!$E$28=0,C245=0,AND(C245&gt;0,Paths!$E$28&gt;(C245-1)*12,Paths!$E$28&lt;=C245*12)),VLOOKUP(A245,'Fleet register'!$A$7:$S$106,16,FALSE),0),"n.a."))</f>
        <v>18151.349999999999</v>
      </c>
      <c r="O245" s="16">
        <f>IF(NOT(Paths!$C$28=1),0,IF(Paths!$P$28="Complete",N245-IF(C245=0,Paths!$F$28,0),"n.a."))</f>
        <v>18151.349999999999</v>
      </c>
      <c r="P245" s="16">
        <f>IF(NOT(Paths!$C$28=1),0,IF(Paths!$P$28="Complete",O245+L245,"n.a."))</f>
        <v>18151.349999999999</v>
      </c>
      <c r="Q245" s="16">
        <f>IF(NOT(Paths!$C$28=1),0,IF(Paths!$P$28="Complete",N245*(1+'Operating costs'!$B$54)^-C245,"n.a."))</f>
        <v>18151.349999999999</v>
      </c>
      <c r="R245" s="16">
        <f>IF(NOT(Paths!$C$28=1),0,IF(Paths!$P$28="Complete",IF(AND(C245=0,Paths!$E$28=0),I245-J245-K245+VLOOKUP(A245,'Fleet register'!$A$7:$S$106,15,FALSE)+VLOOKUP(A245,'Fleet register'!$A$7:$S$106,16,FALSE),0),"n.a."))</f>
        <v>0</v>
      </c>
      <c r="S245" s="1">
        <f>IF(NOT(Paths!$C$28=1),0,IF(Paths!$P$28="Complete",IF(C245=0,0,Paths!$S$28*Paths!$R$28),"n.a."))</f>
        <v>45000</v>
      </c>
      <c r="T245" s="1">
        <f>IF(NOT(Paths!$C$28=1),0,IF(Paths!$P$28="Complete",IF(C245=0,0,VLOOKUP(A245,'Fleet register'!$A$7:$S$106,9,FALSE)*Paths!$R$28),"n.a."))</f>
        <v>7200</v>
      </c>
    </row>
    <row r="246" spans="1:20" ht="24" customHeight="1">
      <c r="A246" s="1" t="str">
        <f>Paths!$A$28</f>
        <v>T006</v>
      </c>
      <c r="B246" s="1">
        <f>Paths!$B$28</f>
        <v>1</v>
      </c>
      <c r="C246" s="1">
        <v>8</v>
      </c>
      <c r="D246" s="1">
        <v>28</v>
      </c>
      <c r="E246" s="1">
        <f>IF(OR(Paths!$C$28=0,C246=0),0,MAX(0,MIN(C246*12,Paths!$E$28)-(C246-1)*12))</f>
        <v>0</v>
      </c>
      <c r="F246" s="1">
        <f>IF(OR(Paths!$C$28=0,C246=0),0,12-E246)</f>
        <v>12</v>
      </c>
      <c r="G246" s="16">
        <f>IF(NOT(Paths!$C$28=1),0,IF(Paths!$P$28="Complete",E246/12*(Paths!$J$28*(1+'Operating costs'!$B$51)^MAX(0,C246-1)+Paths!$K$28*(1+'Operating costs'!$B$53)^MAX(0,C246-1)),"n.a."))</f>
        <v>0</v>
      </c>
      <c r="H246" s="16">
        <f>IF(NOT(Paths!$C$28=1),0,IF(Paths!$P$28="Complete",F246/12*(Paths!$L$28*(1+IF(Paths!$D$28="EV",'Operating costs'!$B$52,'Operating costs'!$B$51))^MAX(0,C246-1)+Paths!$M$28*(1+'Operating costs'!$B$53)^MAX(0,C246-1)),"n.a."))</f>
        <v>18151.349999999999</v>
      </c>
      <c r="I246" s="16">
        <f>IF(NOT(Paths!$C$28=1),0,IF(Paths!$P$28="Complete",IF(IF(Paths!$E$28=0,C246=0,AND(C246&gt;0,Paths!$E$28&gt;(C246-1)*12,Paths!$E$28&lt;=C246*12)),Paths!$G$28,0),"n.a."))</f>
        <v>0</v>
      </c>
      <c r="J246" s="16">
        <f>IF(NOT(Paths!$C$28=1),0,IF(Paths!$P$28="Complete",IF(IF(Paths!$E$28=0,C246=0,AND(C246&gt;0,Paths!$E$28&gt;(C246-1)*12,Paths!$E$28&lt;=C246*12)),Paths!$H$28,0),"n.a."))</f>
        <v>0</v>
      </c>
      <c r="K246" s="16">
        <f>IF(NOT(Paths!$C$28=1),0,IF(Paths!$P$28="Complete",IF(IF(Paths!$O$28=0,C246=0,AND(C246&gt;0,Paths!$O$28&gt;(C246-1)*12,Paths!$O$28&lt;=C246*12)),Paths!$N$28,0),"n.a."))</f>
        <v>0</v>
      </c>
      <c r="L246" s="16">
        <f>IF(NOT(Paths!$C$28=1),0,IF(Paths!$P$28="Complete",IF(C246=10,Paths!$I$28,0),"n.a."))</f>
        <v>0</v>
      </c>
      <c r="M246" s="16">
        <f>IF(NOT(Paths!$C$28=1),0,IF(Paths!$P$28="Complete",IF(AND(Paths!$D$28="EV",Paths!$E$28&lt;120,Paths!$E$28+'Operating costs'!$B$65&gt;Paths!$E$28,Paths!$E$28+'Operating costs'!$B$65&lt;=120,IF(Paths!$E$28+'Operating costs'!$B$65=0,C246=0,AND(C246&gt;0,Paths!$E$28+'Operating costs'!$B$65&gt;(C246-1)*12,Paths!$E$28+'Operating costs'!$B$65&lt;=C246*12))),'Operating costs'!$B$64,0)+IF(AND('Operating costs'!$B$67&gt;0,'Operating costs'!$B$67&lt;=120,OR(Paths!$D$28="ICE",'Operating costs'!$B$67&lt;=Paths!$E$28),IF('Operating costs'!$B$67=0,C246=0,AND(C246&gt;0,'Operating costs'!$B$67&gt;(C246-1)*12,'Operating costs'!$B$67&lt;=C246*12))),'Operating costs'!$B$66,0),"n.a."))</f>
        <v>0</v>
      </c>
      <c r="N246" s="16">
        <f>IF(NOT(Paths!$C$28=1),0,IF(Paths!$P$28="Complete",SUM(G246:I246)-J246-K246-L246+M246+IF(C246=0,Paths!$F$28,0)+IF(IF(Paths!$E$28=0,C246=0,AND(C246&gt;0,Paths!$E$28&gt;(C246-1)*12,Paths!$E$28&lt;=C246*12)),VLOOKUP(A246,'Fleet register'!$A$7:$S$106,16,FALSE),0),"n.a."))</f>
        <v>18151.349999999999</v>
      </c>
      <c r="O246" s="16">
        <f>IF(NOT(Paths!$C$28=1),0,IF(Paths!$P$28="Complete",N246-IF(C246=0,Paths!$F$28,0),"n.a."))</f>
        <v>18151.349999999999</v>
      </c>
      <c r="P246" s="16">
        <f>IF(NOT(Paths!$C$28=1),0,IF(Paths!$P$28="Complete",O246+L246,"n.a."))</f>
        <v>18151.349999999999</v>
      </c>
      <c r="Q246" s="16">
        <f>IF(NOT(Paths!$C$28=1),0,IF(Paths!$P$28="Complete",N246*(1+'Operating costs'!$B$54)^-C246,"n.a."))</f>
        <v>18151.349999999999</v>
      </c>
      <c r="R246" s="16">
        <f>IF(NOT(Paths!$C$28=1),0,IF(Paths!$P$28="Complete",IF(AND(C246=0,Paths!$E$28=0),I246-J246-K246+VLOOKUP(A246,'Fleet register'!$A$7:$S$106,15,FALSE)+VLOOKUP(A246,'Fleet register'!$A$7:$S$106,16,FALSE),0),"n.a."))</f>
        <v>0</v>
      </c>
      <c r="S246" s="1">
        <f>IF(NOT(Paths!$C$28=1),0,IF(Paths!$P$28="Complete",IF(C246=0,0,Paths!$S$28*Paths!$R$28),"n.a."))</f>
        <v>45000</v>
      </c>
      <c r="T246" s="1">
        <f>IF(NOT(Paths!$C$28=1),0,IF(Paths!$P$28="Complete",IF(C246=0,0,VLOOKUP(A246,'Fleet register'!$A$7:$S$106,9,FALSE)*Paths!$R$28),"n.a."))</f>
        <v>7200</v>
      </c>
    </row>
    <row r="247" spans="1:20" ht="24" customHeight="1">
      <c r="A247" s="1" t="str">
        <f>Paths!$A$28</f>
        <v>T006</v>
      </c>
      <c r="B247" s="1">
        <f>Paths!$B$28</f>
        <v>1</v>
      </c>
      <c r="C247" s="1">
        <v>9</v>
      </c>
      <c r="D247" s="1">
        <v>28</v>
      </c>
      <c r="E247" s="1">
        <f>IF(OR(Paths!$C$28=0,C247=0),0,MAX(0,MIN(C247*12,Paths!$E$28)-(C247-1)*12))</f>
        <v>0</v>
      </c>
      <c r="F247" s="1">
        <f>IF(OR(Paths!$C$28=0,C247=0),0,12-E247)</f>
        <v>12</v>
      </c>
      <c r="G247" s="16">
        <f>IF(NOT(Paths!$C$28=1),0,IF(Paths!$P$28="Complete",E247/12*(Paths!$J$28*(1+'Operating costs'!$B$51)^MAX(0,C247-1)+Paths!$K$28*(1+'Operating costs'!$B$53)^MAX(0,C247-1)),"n.a."))</f>
        <v>0</v>
      </c>
      <c r="H247" s="16">
        <f>IF(NOT(Paths!$C$28=1),0,IF(Paths!$P$28="Complete",F247/12*(Paths!$L$28*(1+IF(Paths!$D$28="EV",'Operating costs'!$B$52,'Operating costs'!$B$51))^MAX(0,C247-1)+Paths!$M$28*(1+'Operating costs'!$B$53)^MAX(0,C247-1)),"n.a."))</f>
        <v>18151.349999999999</v>
      </c>
      <c r="I247" s="16">
        <f>IF(NOT(Paths!$C$28=1),0,IF(Paths!$P$28="Complete",IF(IF(Paths!$E$28=0,C247=0,AND(C247&gt;0,Paths!$E$28&gt;(C247-1)*12,Paths!$E$28&lt;=C247*12)),Paths!$G$28,0),"n.a."))</f>
        <v>0</v>
      </c>
      <c r="J247" s="16">
        <f>IF(NOT(Paths!$C$28=1),0,IF(Paths!$P$28="Complete",IF(IF(Paths!$E$28=0,C247=0,AND(C247&gt;0,Paths!$E$28&gt;(C247-1)*12,Paths!$E$28&lt;=C247*12)),Paths!$H$28,0),"n.a."))</f>
        <v>0</v>
      </c>
      <c r="K247" s="16">
        <f>IF(NOT(Paths!$C$28=1),0,IF(Paths!$P$28="Complete",IF(IF(Paths!$O$28=0,C247=0,AND(C247&gt;0,Paths!$O$28&gt;(C247-1)*12,Paths!$O$28&lt;=C247*12)),Paths!$N$28,0),"n.a."))</f>
        <v>0</v>
      </c>
      <c r="L247" s="16">
        <f>IF(NOT(Paths!$C$28=1),0,IF(Paths!$P$28="Complete",IF(C247=10,Paths!$I$28,0),"n.a."))</f>
        <v>0</v>
      </c>
      <c r="M247" s="16">
        <f>IF(NOT(Paths!$C$28=1),0,IF(Paths!$P$28="Complete",IF(AND(Paths!$D$28="EV",Paths!$E$28&lt;120,Paths!$E$28+'Operating costs'!$B$65&gt;Paths!$E$28,Paths!$E$28+'Operating costs'!$B$65&lt;=120,IF(Paths!$E$28+'Operating costs'!$B$65=0,C247=0,AND(C247&gt;0,Paths!$E$28+'Operating costs'!$B$65&gt;(C247-1)*12,Paths!$E$28+'Operating costs'!$B$65&lt;=C247*12))),'Operating costs'!$B$64,0)+IF(AND('Operating costs'!$B$67&gt;0,'Operating costs'!$B$67&lt;=120,OR(Paths!$D$28="ICE",'Operating costs'!$B$67&lt;=Paths!$E$28),IF('Operating costs'!$B$67=0,C247=0,AND(C247&gt;0,'Operating costs'!$B$67&gt;(C247-1)*12,'Operating costs'!$B$67&lt;=C247*12))),'Operating costs'!$B$66,0),"n.a."))</f>
        <v>0</v>
      </c>
      <c r="N247" s="16">
        <f>IF(NOT(Paths!$C$28=1),0,IF(Paths!$P$28="Complete",SUM(G247:I247)-J247-K247-L247+M247+IF(C247=0,Paths!$F$28,0)+IF(IF(Paths!$E$28=0,C247=0,AND(C247&gt;0,Paths!$E$28&gt;(C247-1)*12,Paths!$E$28&lt;=C247*12)),VLOOKUP(A247,'Fleet register'!$A$7:$S$106,16,FALSE),0),"n.a."))</f>
        <v>18151.349999999999</v>
      </c>
      <c r="O247" s="16">
        <f>IF(NOT(Paths!$C$28=1),0,IF(Paths!$P$28="Complete",N247-IF(C247=0,Paths!$F$28,0),"n.a."))</f>
        <v>18151.349999999999</v>
      </c>
      <c r="P247" s="16">
        <f>IF(NOT(Paths!$C$28=1),0,IF(Paths!$P$28="Complete",O247+L247,"n.a."))</f>
        <v>18151.349999999999</v>
      </c>
      <c r="Q247" s="16">
        <f>IF(NOT(Paths!$C$28=1),0,IF(Paths!$P$28="Complete",N247*(1+'Operating costs'!$B$54)^-C247,"n.a."))</f>
        <v>18151.349999999999</v>
      </c>
      <c r="R247" s="16">
        <f>IF(NOT(Paths!$C$28=1),0,IF(Paths!$P$28="Complete",IF(AND(C247=0,Paths!$E$28=0),I247-J247-K247+VLOOKUP(A247,'Fleet register'!$A$7:$S$106,15,FALSE)+VLOOKUP(A247,'Fleet register'!$A$7:$S$106,16,FALSE),0),"n.a."))</f>
        <v>0</v>
      </c>
      <c r="S247" s="1">
        <f>IF(NOT(Paths!$C$28=1),0,IF(Paths!$P$28="Complete",IF(C247=0,0,Paths!$S$28*Paths!$R$28),"n.a."))</f>
        <v>45000</v>
      </c>
      <c r="T247" s="1">
        <f>IF(NOT(Paths!$C$28=1),0,IF(Paths!$P$28="Complete",IF(C247=0,0,VLOOKUP(A247,'Fleet register'!$A$7:$S$106,9,FALSE)*Paths!$R$28),"n.a."))</f>
        <v>7200</v>
      </c>
    </row>
    <row r="248" spans="1:20" ht="24" customHeight="1">
      <c r="A248" s="1" t="str">
        <f>Paths!$A$28</f>
        <v>T006</v>
      </c>
      <c r="B248" s="1">
        <f>Paths!$B$28</f>
        <v>1</v>
      </c>
      <c r="C248" s="1">
        <v>10</v>
      </c>
      <c r="D248" s="1">
        <v>28</v>
      </c>
      <c r="E248" s="1">
        <f>IF(OR(Paths!$C$28=0,C248=0),0,MAX(0,MIN(C248*12,Paths!$E$28)-(C248-1)*12))</f>
        <v>0</v>
      </c>
      <c r="F248" s="1">
        <f>IF(OR(Paths!$C$28=0,C248=0),0,12-E248)</f>
        <v>12</v>
      </c>
      <c r="G248" s="16">
        <f>IF(NOT(Paths!$C$28=1),0,IF(Paths!$P$28="Complete",E248/12*(Paths!$J$28*(1+'Operating costs'!$B$51)^MAX(0,C248-1)+Paths!$K$28*(1+'Operating costs'!$B$53)^MAX(0,C248-1)),"n.a."))</f>
        <v>0</v>
      </c>
      <c r="H248" s="16">
        <f>IF(NOT(Paths!$C$28=1),0,IF(Paths!$P$28="Complete",F248/12*(Paths!$L$28*(1+IF(Paths!$D$28="EV",'Operating costs'!$B$52,'Operating costs'!$B$51))^MAX(0,C248-1)+Paths!$M$28*(1+'Operating costs'!$B$53)^MAX(0,C248-1)),"n.a."))</f>
        <v>18151.349999999999</v>
      </c>
      <c r="I248" s="16">
        <f>IF(NOT(Paths!$C$28=1),0,IF(Paths!$P$28="Complete",IF(IF(Paths!$E$28=0,C248=0,AND(C248&gt;0,Paths!$E$28&gt;(C248-1)*12,Paths!$E$28&lt;=C248*12)),Paths!$G$28,0),"n.a."))</f>
        <v>0</v>
      </c>
      <c r="J248" s="16">
        <f>IF(NOT(Paths!$C$28=1),0,IF(Paths!$P$28="Complete",IF(IF(Paths!$E$28=0,C248=0,AND(C248&gt;0,Paths!$E$28&gt;(C248-1)*12,Paths!$E$28&lt;=C248*12)),Paths!$H$28,0),"n.a."))</f>
        <v>0</v>
      </c>
      <c r="K248" s="16">
        <f>IF(NOT(Paths!$C$28=1),0,IF(Paths!$P$28="Complete",IF(IF(Paths!$O$28=0,C248=0,AND(C248&gt;0,Paths!$O$28&gt;(C248-1)*12,Paths!$O$28&lt;=C248*12)),Paths!$N$28,0),"n.a."))</f>
        <v>0</v>
      </c>
      <c r="L248" s="16">
        <f>IF(NOT(Paths!$C$28=1),0,IF(Paths!$P$28="Complete",IF(C248=10,Paths!$I$28,0),"n.a."))</f>
        <v>12000</v>
      </c>
      <c r="M248" s="16">
        <f>IF(NOT(Paths!$C$28=1),0,IF(Paths!$P$28="Complete",IF(AND(Paths!$D$28="EV",Paths!$E$28&lt;120,Paths!$E$28+'Operating costs'!$B$65&gt;Paths!$E$28,Paths!$E$28+'Operating costs'!$B$65&lt;=120,IF(Paths!$E$28+'Operating costs'!$B$65=0,C248=0,AND(C248&gt;0,Paths!$E$28+'Operating costs'!$B$65&gt;(C248-1)*12,Paths!$E$28+'Operating costs'!$B$65&lt;=C248*12))),'Operating costs'!$B$64,0)+IF(AND('Operating costs'!$B$67&gt;0,'Operating costs'!$B$67&lt;=120,OR(Paths!$D$28="ICE",'Operating costs'!$B$67&lt;=Paths!$E$28),IF('Operating costs'!$B$67=0,C248=0,AND(C248&gt;0,'Operating costs'!$B$67&gt;(C248-1)*12,'Operating costs'!$B$67&lt;=C248*12))),'Operating costs'!$B$66,0),"n.a."))</f>
        <v>0</v>
      </c>
      <c r="N248" s="16">
        <f>IF(NOT(Paths!$C$28=1),0,IF(Paths!$P$28="Complete",SUM(G248:I248)-J248-K248-L248+M248+IF(C248=0,Paths!$F$28,0)+IF(IF(Paths!$E$28=0,C248=0,AND(C248&gt;0,Paths!$E$28&gt;(C248-1)*12,Paths!$E$28&lt;=C248*12)),VLOOKUP(A248,'Fleet register'!$A$7:$S$106,16,FALSE),0),"n.a."))</f>
        <v>6151.3499999999985</v>
      </c>
      <c r="O248" s="16">
        <f>IF(NOT(Paths!$C$28=1),0,IF(Paths!$P$28="Complete",N248-IF(C248=0,Paths!$F$28,0),"n.a."))</f>
        <v>6151.3499999999985</v>
      </c>
      <c r="P248" s="16">
        <f>IF(NOT(Paths!$C$28=1),0,IF(Paths!$P$28="Complete",O248+L248,"n.a."))</f>
        <v>18151.349999999999</v>
      </c>
      <c r="Q248" s="16">
        <f>IF(NOT(Paths!$C$28=1),0,IF(Paths!$P$28="Complete",N248*(1+'Operating costs'!$B$54)^-C248,"n.a."))</f>
        <v>6151.3499999999985</v>
      </c>
      <c r="R248" s="16">
        <f>IF(NOT(Paths!$C$28=1),0,IF(Paths!$P$28="Complete",IF(AND(C248=0,Paths!$E$28=0),I248-J248-K248+VLOOKUP(A248,'Fleet register'!$A$7:$S$106,15,FALSE)+VLOOKUP(A248,'Fleet register'!$A$7:$S$106,16,FALSE),0),"n.a."))</f>
        <v>0</v>
      </c>
      <c r="S248" s="1">
        <f>IF(NOT(Paths!$C$28=1),0,IF(Paths!$P$28="Complete",IF(C248=0,0,Paths!$S$28*Paths!$R$28),"n.a."))</f>
        <v>45000</v>
      </c>
      <c r="T248" s="1">
        <f>IF(NOT(Paths!$C$28=1),0,IF(Paths!$P$28="Complete",IF(C248=0,0,VLOOKUP(A248,'Fleet register'!$A$7:$S$106,9,FALSE)*Paths!$R$28),"n.a."))</f>
        <v>7200</v>
      </c>
    </row>
    <row r="249" spans="1:20" ht="24" customHeight="1">
      <c r="A249" s="1" t="str">
        <f>Paths!$A$29</f>
        <v>T006</v>
      </c>
      <c r="B249" s="1">
        <f>Paths!$B$29</f>
        <v>2</v>
      </c>
      <c r="C249" s="1">
        <v>0</v>
      </c>
      <c r="D249" s="1">
        <v>29</v>
      </c>
      <c r="E249" s="1">
        <f>IF(OR(Paths!$C$29=0,C249=0),0,MAX(0,MIN(C249*12,Paths!$E$29)-(C249-1)*12))</f>
        <v>0</v>
      </c>
      <c r="F249" s="1">
        <f>IF(OR(Paths!$C$29=0,C249=0),0,12-E249)</f>
        <v>0</v>
      </c>
      <c r="G249" s="16">
        <f>IF(NOT(Paths!$C$29=1),0,IF(Paths!$P$29="Complete",E249/12*(Paths!$J$29*(1+'Operating costs'!$B$51)^MAX(0,C249-1)+Paths!$K$29*(1+'Operating costs'!$B$53)^MAX(0,C249-1)),"n.a."))</f>
        <v>0</v>
      </c>
      <c r="H249" s="16">
        <f>IF(NOT(Paths!$C$29=1),0,IF(Paths!$P$29="Complete",F249/12*(Paths!$L$29*(1+IF(Paths!$D$29="EV",'Operating costs'!$B$52,'Operating costs'!$B$51))^MAX(0,C249-1)+Paths!$M$29*(1+'Operating costs'!$B$53)^MAX(0,C249-1)),"n.a."))</f>
        <v>0</v>
      </c>
      <c r="I249" s="16">
        <f>IF(NOT(Paths!$C$29=1),0,IF(Paths!$P$29="Complete",IF(IF(Paths!$E$29=0,C249=0,AND(C249&gt;0,Paths!$E$29&gt;(C249-1)*12,Paths!$E$29&lt;=C249*12)),Paths!$G$29,0),"n.a."))</f>
        <v>0</v>
      </c>
      <c r="J249" s="16">
        <f>IF(NOT(Paths!$C$29=1),0,IF(Paths!$P$29="Complete",IF(IF(Paths!$E$29=0,C249=0,AND(C249&gt;0,Paths!$E$29&gt;(C249-1)*12,Paths!$E$29&lt;=C249*12)),Paths!$H$29,0),"n.a."))</f>
        <v>0</v>
      </c>
      <c r="K249" s="16">
        <f>IF(NOT(Paths!$C$29=1),0,IF(Paths!$P$29="Complete",IF(IF(Paths!$O$29=0,C249=0,AND(C249&gt;0,Paths!$O$29&gt;(C249-1)*12,Paths!$O$29&lt;=C249*12)),Paths!$N$29,0),"n.a."))</f>
        <v>0</v>
      </c>
      <c r="L249" s="16">
        <f>IF(NOT(Paths!$C$29=1),0,IF(Paths!$P$29="Complete",IF(C249=10,Paths!$I$29,0),"n.a."))</f>
        <v>0</v>
      </c>
      <c r="M249" s="16">
        <f>IF(NOT(Paths!$C$29=1),0,IF(Paths!$P$29="Complete",IF(AND(Paths!$D$29="EV",Paths!$E$29&lt;120,Paths!$E$29+'Operating costs'!$B$65&gt;Paths!$E$29,Paths!$E$29+'Operating costs'!$B$65&lt;=120,IF(Paths!$E$29+'Operating costs'!$B$65=0,C249=0,AND(C249&gt;0,Paths!$E$29+'Operating costs'!$B$65&gt;(C249-1)*12,Paths!$E$29+'Operating costs'!$B$65&lt;=C249*12))),'Operating costs'!$B$64,0)+IF(AND('Operating costs'!$B$67&gt;0,'Operating costs'!$B$67&lt;=120,OR(Paths!$D$29="ICE",'Operating costs'!$B$67&lt;=Paths!$E$29),IF('Operating costs'!$B$67=0,C249=0,AND(C249&gt;0,'Operating costs'!$B$67&gt;(C249-1)*12,'Operating costs'!$B$67&lt;=C249*12))),'Operating costs'!$B$66,0),"n.a."))</f>
        <v>0</v>
      </c>
      <c r="N249" s="16">
        <f>IF(NOT(Paths!$C$29=1),0,IF(Paths!$P$29="Complete",SUM(G249:I249)-J249-K249-L249+M249+IF(C249=0,Paths!$F$29,0)+IF(IF(Paths!$E$29=0,C249=0,AND(C249&gt;0,Paths!$E$29&gt;(C249-1)*12,Paths!$E$29&lt;=C249*12)),VLOOKUP(A249,'Fleet register'!$A$7:$S$106,16,FALSE),0),"n.a."))</f>
        <v>54000</v>
      </c>
      <c r="O249" s="16">
        <f>IF(NOT(Paths!$C$29=1),0,IF(Paths!$P$29="Complete",N249-IF(C249=0,Paths!$F$29,0),"n.a."))</f>
        <v>0</v>
      </c>
      <c r="P249" s="16">
        <f>IF(NOT(Paths!$C$29=1),0,IF(Paths!$P$29="Complete",O249+L249,"n.a."))</f>
        <v>0</v>
      </c>
      <c r="Q249" s="16">
        <f>IF(NOT(Paths!$C$29=1),0,IF(Paths!$P$29="Complete",N249*(1+'Operating costs'!$B$54)^-C249,"n.a."))</f>
        <v>54000</v>
      </c>
      <c r="R249" s="16">
        <f>IF(NOT(Paths!$C$29=1),0,IF(Paths!$P$29="Complete",IF(AND(C249=0,Paths!$E$29=0),I249-J249-K249+VLOOKUP(A249,'Fleet register'!$A$7:$S$106,15,FALSE)+VLOOKUP(A249,'Fleet register'!$A$7:$S$106,16,FALSE),0),"n.a."))</f>
        <v>0</v>
      </c>
      <c r="S249" s="1">
        <f>IF(NOT(Paths!$C$29=1),0,IF(Paths!$P$29="Complete",IF(C249=0,0,Paths!$S$29*Paths!$R$29),"n.a."))</f>
        <v>0</v>
      </c>
      <c r="T249" s="1">
        <f>IF(NOT(Paths!$C$29=1),0,IF(Paths!$P$29="Complete",IF(C249=0,0,VLOOKUP(A249,'Fleet register'!$A$7:$S$106,9,FALSE)*Paths!$R$29),"n.a."))</f>
        <v>0</v>
      </c>
    </row>
    <row r="250" spans="1:20" ht="24" customHeight="1">
      <c r="A250" s="1" t="str">
        <f>Paths!$A$29</f>
        <v>T006</v>
      </c>
      <c r="B250" s="1">
        <f>Paths!$B$29</f>
        <v>2</v>
      </c>
      <c r="C250" s="1">
        <v>1</v>
      </c>
      <c r="D250" s="1">
        <v>29</v>
      </c>
      <c r="E250" s="1">
        <f>IF(OR(Paths!$C$29=0,C250=0),0,MAX(0,MIN(C250*12,Paths!$E$29)-(C250-1)*12))</f>
        <v>12</v>
      </c>
      <c r="F250" s="1">
        <f>IF(OR(Paths!$C$29=0,C250=0),0,12-E250)</f>
        <v>0</v>
      </c>
      <c r="G250" s="16">
        <f>IF(NOT(Paths!$C$29=1),0,IF(Paths!$P$29="Complete",E250/12*(Paths!$J$29*(1+'Operating costs'!$B$51)^MAX(0,C250-1)+Paths!$K$29*(1+'Operating costs'!$B$53)^MAX(0,C250-1)),"n.a."))</f>
        <v>18151.349999999999</v>
      </c>
      <c r="H250" s="16">
        <f>IF(NOT(Paths!$C$29=1),0,IF(Paths!$P$29="Complete",F250/12*(Paths!$L$29*(1+IF(Paths!$D$29="EV",'Operating costs'!$B$52,'Operating costs'!$B$51))^MAX(0,C250-1)+Paths!$M$29*(1+'Operating costs'!$B$53)^MAX(0,C250-1)),"n.a."))</f>
        <v>0</v>
      </c>
      <c r="I250" s="16">
        <f>IF(NOT(Paths!$C$29=1),0,IF(Paths!$P$29="Complete",IF(IF(Paths!$E$29=0,C250=0,AND(C250&gt;0,Paths!$E$29&gt;(C250-1)*12,Paths!$E$29&lt;=C250*12)),Paths!$G$29,0),"n.a."))</f>
        <v>0</v>
      </c>
      <c r="J250" s="16">
        <f>IF(NOT(Paths!$C$29=1),0,IF(Paths!$P$29="Complete",IF(IF(Paths!$E$29=0,C250=0,AND(C250&gt;0,Paths!$E$29&gt;(C250-1)*12,Paths!$E$29&lt;=C250*12)),Paths!$H$29,0),"n.a."))</f>
        <v>0</v>
      </c>
      <c r="K250" s="16">
        <f>IF(NOT(Paths!$C$29=1),0,IF(Paths!$P$29="Complete",IF(IF(Paths!$O$29=0,C250=0,AND(C250&gt;0,Paths!$O$29&gt;(C250-1)*12,Paths!$O$29&lt;=C250*12)),Paths!$N$29,0),"n.a."))</f>
        <v>0</v>
      </c>
      <c r="L250" s="16">
        <f>IF(NOT(Paths!$C$29=1),0,IF(Paths!$P$29="Complete",IF(C250=10,Paths!$I$29,0),"n.a."))</f>
        <v>0</v>
      </c>
      <c r="M250" s="16">
        <f>IF(NOT(Paths!$C$29=1),0,IF(Paths!$P$29="Complete",IF(AND(Paths!$D$29="EV",Paths!$E$29&lt;120,Paths!$E$29+'Operating costs'!$B$65&gt;Paths!$E$29,Paths!$E$29+'Operating costs'!$B$65&lt;=120,IF(Paths!$E$29+'Operating costs'!$B$65=0,C250=0,AND(C250&gt;0,Paths!$E$29+'Operating costs'!$B$65&gt;(C250-1)*12,Paths!$E$29+'Operating costs'!$B$65&lt;=C250*12))),'Operating costs'!$B$64,0)+IF(AND('Operating costs'!$B$67&gt;0,'Operating costs'!$B$67&lt;=120,OR(Paths!$D$29="ICE",'Operating costs'!$B$67&lt;=Paths!$E$29),IF('Operating costs'!$B$67=0,C250=0,AND(C250&gt;0,'Operating costs'!$B$67&gt;(C250-1)*12,'Operating costs'!$B$67&lt;=C250*12))),'Operating costs'!$B$66,0),"n.a."))</f>
        <v>0</v>
      </c>
      <c r="N250" s="16">
        <f>IF(NOT(Paths!$C$29=1),0,IF(Paths!$P$29="Complete",SUM(G250:I250)-J250-K250-L250+M250+IF(C250=0,Paths!$F$29,0)+IF(IF(Paths!$E$29=0,C250=0,AND(C250&gt;0,Paths!$E$29&gt;(C250-1)*12,Paths!$E$29&lt;=C250*12)),VLOOKUP(A250,'Fleet register'!$A$7:$S$106,16,FALSE),0),"n.a."))</f>
        <v>18151.349999999999</v>
      </c>
      <c r="O250" s="16">
        <f>IF(NOT(Paths!$C$29=1),0,IF(Paths!$P$29="Complete",N250-IF(C250=0,Paths!$F$29,0),"n.a."))</f>
        <v>18151.349999999999</v>
      </c>
      <c r="P250" s="16">
        <f>IF(NOT(Paths!$C$29=1),0,IF(Paths!$P$29="Complete",O250+L250,"n.a."))</f>
        <v>18151.349999999999</v>
      </c>
      <c r="Q250" s="16">
        <f>IF(NOT(Paths!$C$29=1),0,IF(Paths!$P$29="Complete",N250*(1+'Operating costs'!$B$54)^-C250,"n.a."))</f>
        <v>18151.349999999999</v>
      </c>
      <c r="R250" s="16">
        <f>IF(NOT(Paths!$C$29=1),0,IF(Paths!$P$29="Complete",IF(AND(C250=0,Paths!$E$29=0),I250-J250-K250+VLOOKUP(A250,'Fleet register'!$A$7:$S$106,15,FALSE)+VLOOKUP(A250,'Fleet register'!$A$7:$S$106,16,FALSE),0),"n.a."))</f>
        <v>0</v>
      </c>
      <c r="S250" s="1">
        <f>IF(NOT(Paths!$C$29=1),0,IF(Paths!$P$29="Complete",IF(C250=0,0,Paths!$S$29*Paths!$R$29),"n.a."))</f>
        <v>45000</v>
      </c>
      <c r="T250" s="1">
        <f>IF(NOT(Paths!$C$29=1),0,IF(Paths!$P$29="Complete",IF(C250=0,0,VLOOKUP(A250,'Fleet register'!$A$7:$S$106,9,FALSE)*Paths!$R$29),"n.a."))</f>
        <v>7200</v>
      </c>
    </row>
    <row r="251" spans="1:20" ht="24" customHeight="1">
      <c r="A251" s="1" t="str">
        <f>Paths!$A$29</f>
        <v>T006</v>
      </c>
      <c r="B251" s="1">
        <f>Paths!$B$29</f>
        <v>2</v>
      </c>
      <c r="C251" s="1">
        <v>2</v>
      </c>
      <c r="D251" s="1">
        <v>29</v>
      </c>
      <c r="E251" s="1">
        <f>IF(OR(Paths!$C$29=0,C251=0),0,MAX(0,MIN(C251*12,Paths!$E$29)-(C251-1)*12))</f>
        <v>12</v>
      </c>
      <c r="F251" s="1">
        <f>IF(OR(Paths!$C$29=0,C251=0),0,12-E251)</f>
        <v>0</v>
      </c>
      <c r="G251" s="16">
        <f>IF(NOT(Paths!$C$29=1),0,IF(Paths!$P$29="Complete",E251/12*(Paths!$J$29*(1+'Operating costs'!$B$51)^MAX(0,C251-1)+Paths!$K$29*(1+'Operating costs'!$B$53)^MAX(0,C251-1)),"n.a."))</f>
        <v>18151.349999999999</v>
      </c>
      <c r="H251" s="16">
        <f>IF(NOT(Paths!$C$29=1),0,IF(Paths!$P$29="Complete",F251/12*(Paths!$L$29*(1+IF(Paths!$D$29="EV",'Operating costs'!$B$52,'Operating costs'!$B$51))^MAX(0,C251-1)+Paths!$M$29*(1+'Operating costs'!$B$53)^MAX(0,C251-1)),"n.a."))</f>
        <v>0</v>
      </c>
      <c r="I251" s="16">
        <f>IF(NOT(Paths!$C$29=1),0,IF(Paths!$P$29="Complete",IF(IF(Paths!$E$29=0,C251=0,AND(C251&gt;0,Paths!$E$29&gt;(C251-1)*12,Paths!$E$29&lt;=C251*12)),Paths!$G$29,0),"n.a."))</f>
        <v>0</v>
      </c>
      <c r="J251" s="16">
        <f>IF(NOT(Paths!$C$29=1),0,IF(Paths!$P$29="Complete",IF(IF(Paths!$E$29=0,C251=0,AND(C251&gt;0,Paths!$E$29&gt;(C251-1)*12,Paths!$E$29&lt;=C251*12)),Paths!$H$29,0),"n.a."))</f>
        <v>0</v>
      </c>
      <c r="K251" s="16">
        <f>IF(NOT(Paths!$C$29=1),0,IF(Paths!$P$29="Complete",IF(IF(Paths!$O$29=0,C251=0,AND(C251&gt;0,Paths!$O$29&gt;(C251-1)*12,Paths!$O$29&lt;=C251*12)),Paths!$N$29,0),"n.a."))</f>
        <v>0</v>
      </c>
      <c r="L251" s="16">
        <f>IF(NOT(Paths!$C$29=1),0,IF(Paths!$P$29="Complete",IF(C251=10,Paths!$I$29,0),"n.a."))</f>
        <v>0</v>
      </c>
      <c r="M251" s="16">
        <f>IF(NOT(Paths!$C$29=1),0,IF(Paths!$P$29="Complete",IF(AND(Paths!$D$29="EV",Paths!$E$29&lt;120,Paths!$E$29+'Operating costs'!$B$65&gt;Paths!$E$29,Paths!$E$29+'Operating costs'!$B$65&lt;=120,IF(Paths!$E$29+'Operating costs'!$B$65=0,C251=0,AND(C251&gt;0,Paths!$E$29+'Operating costs'!$B$65&gt;(C251-1)*12,Paths!$E$29+'Operating costs'!$B$65&lt;=C251*12))),'Operating costs'!$B$64,0)+IF(AND('Operating costs'!$B$67&gt;0,'Operating costs'!$B$67&lt;=120,OR(Paths!$D$29="ICE",'Operating costs'!$B$67&lt;=Paths!$E$29),IF('Operating costs'!$B$67=0,C251=0,AND(C251&gt;0,'Operating costs'!$B$67&gt;(C251-1)*12,'Operating costs'!$B$67&lt;=C251*12))),'Operating costs'!$B$66,0),"n.a."))</f>
        <v>0</v>
      </c>
      <c r="N251" s="16">
        <f>IF(NOT(Paths!$C$29=1),0,IF(Paths!$P$29="Complete",SUM(G251:I251)-J251-K251-L251+M251+IF(C251=0,Paths!$F$29,0)+IF(IF(Paths!$E$29=0,C251=0,AND(C251&gt;0,Paths!$E$29&gt;(C251-1)*12,Paths!$E$29&lt;=C251*12)),VLOOKUP(A251,'Fleet register'!$A$7:$S$106,16,FALSE),0),"n.a."))</f>
        <v>18151.349999999999</v>
      </c>
      <c r="O251" s="16">
        <f>IF(NOT(Paths!$C$29=1),0,IF(Paths!$P$29="Complete",N251-IF(C251=0,Paths!$F$29,0),"n.a."))</f>
        <v>18151.349999999999</v>
      </c>
      <c r="P251" s="16">
        <f>IF(NOT(Paths!$C$29=1),0,IF(Paths!$P$29="Complete",O251+L251,"n.a."))</f>
        <v>18151.349999999999</v>
      </c>
      <c r="Q251" s="16">
        <f>IF(NOT(Paths!$C$29=1),0,IF(Paths!$P$29="Complete",N251*(1+'Operating costs'!$B$54)^-C251,"n.a."))</f>
        <v>18151.349999999999</v>
      </c>
      <c r="R251" s="16">
        <f>IF(NOT(Paths!$C$29=1),0,IF(Paths!$P$29="Complete",IF(AND(C251=0,Paths!$E$29=0),I251-J251-K251+VLOOKUP(A251,'Fleet register'!$A$7:$S$106,15,FALSE)+VLOOKUP(A251,'Fleet register'!$A$7:$S$106,16,FALSE),0),"n.a."))</f>
        <v>0</v>
      </c>
      <c r="S251" s="1">
        <f>IF(NOT(Paths!$C$29=1),0,IF(Paths!$P$29="Complete",IF(C251=0,0,Paths!$S$29*Paths!$R$29),"n.a."))</f>
        <v>45000</v>
      </c>
      <c r="T251" s="1">
        <f>IF(NOT(Paths!$C$29=1),0,IF(Paths!$P$29="Complete",IF(C251=0,0,VLOOKUP(A251,'Fleet register'!$A$7:$S$106,9,FALSE)*Paths!$R$29),"n.a."))</f>
        <v>7200</v>
      </c>
    </row>
    <row r="252" spans="1:20" ht="24" customHeight="1">
      <c r="A252" s="1" t="str">
        <f>Paths!$A$29</f>
        <v>T006</v>
      </c>
      <c r="B252" s="1">
        <f>Paths!$B$29</f>
        <v>2</v>
      </c>
      <c r="C252" s="1">
        <v>3</v>
      </c>
      <c r="D252" s="1">
        <v>29</v>
      </c>
      <c r="E252" s="1">
        <f>IF(OR(Paths!$C$29=0,C252=0),0,MAX(0,MIN(C252*12,Paths!$E$29)-(C252-1)*12))</f>
        <v>12</v>
      </c>
      <c r="F252" s="1">
        <f>IF(OR(Paths!$C$29=0,C252=0),0,12-E252)</f>
        <v>0</v>
      </c>
      <c r="G252" s="16">
        <f>IF(NOT(Paths!$C$29=1),0,IF(Paths!$P$29="Complete",E252/12*(Paths!$J$29*(1+'Operating costs'!$B$51)^MAX(0,C252-1)+Paths!$K$29*(1+'Operating costs'!$B$53)^MAX(0,C252-1)),"n.a."))</f>
        <v>18151.349999999999</v>
      </c>
      <c r="H252" s="16">
        <f>IF(NOT(Paths!$C$29=1),0,IF(Paths!$P$29="Complete",F252/12*(Paths!$L$29*(1+IF(Paths!$D$29="EV",'Operating costs'!$B$52,'Operating costs'!$B$51))^MAX(0,C252-1)+Paths!$M$29*(1+'Operating costs'!$B$53)^MAX(0,C252-1)),"n.a."))</f>
        <v>0</v>
      </c>
      <c r="I252" s="16">
        <f>IF(NOT(Paths!$C$29=1),0,IF(Paths!$P$29="Complete",IF(IF(Paths!$E$29=0,C252=0,AND(C252&gt;0,Paths!$E$29&gt;(C252-1)*12,Paths!$E$29&lt;=C252*12)),Paths!$G$29,0),"n.a."))</f>
        <v>0</v>
      </c>
      <c r="J252" s="16">
        <f>IF(NOT(Paths!$C$29=1),0,IF(Paths!$P$29="Complete",IF(IF(Paths!$E$29=0,C252=0,AND(C252&gt;0,Paths!$E$29&gt;(C252-1)*12,Paths!$E$29&lt;=C252*12)),Paths!$H$29,0),"n.a."))</f>
        <v>0</v>
      </c>
      <c r="K252" s="16">
        <f>IF(NOT(Paths!$C$29=1),0,IF(Paths!$P$29="Complete",IF(IF(Paths!$O$29=0,C252=0,AND(C252&gt;0,Paths!$O$29&gt;(C252-1)*12,Paths!$O$29&lt;=C252*12)),Paths!$N$29,0),"n.a."))</f>
        <v>0</v>
      </c>
      <c r="L252" s="16">
        <f>IF(NOT(Paths!$C$29=1),0,IF(Paths!$P$29="Complete",IF(C252=10,Paths!$I$29,0),"n.a."))</f>
        <v>0</v>
      </c>
      <c r="M252" s="16">
        <f>IF(NOT(Paths!$C$29=1),0,IF(Paths!$P$29="Complete",IF(AND(Paths!$D$29="EV",Paths!$E$29&lt;120,Paths!$E$29+'Operating costs'!$B$65&gt;Paths!$E$29,Paths!$E$29+'Operating costs'!$B$65&lt;=120,IF(Paths!$E$29+'Operating costs'!$B$65=0,C252=0,AND(C252&gt;0,Paths!$E$29+'Operating costs'!$B$65&gt;(C252-1)*12,Paths!$E$29+'Operating costs'!$B$65&lt;=C252*12))),'Operating costs'!$B$64,0)+IF(AND('Operating costs'!$B$67&gt;0,'Operating costs'!$B$67&lt;=120,OR(Paths!$D$29="ICE",'Operating costs'!$B$67&lt;=Paths!$E$29),IF('Operating costs'!$B$67=0,C252=0,AND(C252&gt;0,'Operating costs'!$B$67&gt;(C252-1)*12,'Operating costs'!$B$67&lt;=C252*12))),'Operating costs'!$B$66,0),"n.a."))</f>
        <v>0</v>
      </c>
      <c r="N252" s="16">
        <f>IF(NOT(Paths!$C$29=1),0,IF(Paths!$P$29="Complete",SUM(G252:I252)-J252-K252-L252+M252+IF(C252=0,Paths!$F$29,0)+IF(IF(Paths!$E$29=0,C252=0,AND(C252&gt;0,Paths!$E$29&gt;(C252-1)*12,Paths!$E$29&lt;=C252*12)),VLOOKUP(A252,'Fleet register'!$A$7:$S$106,16,FALSE),0),"n.a."))</f>
        <v>18151.349999999999</v>
      </c>
      <c r="O252" s="16">
        <f>IF(NOT(Paths!$C$29=1),0,IF(Paths!$P$29="Complete",N252-IF(C252=0,Paths!$F$29,0),"n.a."))</f>
        <v>18151.349999999999</v>
      </c>
      <c r="P252" s="16">
        <f>IF(NOT(Paths!$C$29=1),0,IF(Paths!$P$29="Complete",O252+L252,"n.a."))</f>
        <v>18151.349999999999</v>
      </c>
      <c r="Q252" s="16">
        <f>IF(NOT(Paths!$C$29=1),0,IF(Paths!$P$29="Complete",N252*(1+'Operating costs'!$B$54)^-C252,"n.a."))</f>
        <v>18151.349999999999</v>
      </c>
      <c r="R252" s="16">
        <f>IF(NOT(Paths!$C$29=1),0,IF(Paths!$P$29="Complete",IF(AND(C252=0,Paths!$E$29=0),I252-J252-K252+VLOOKUP(A252,'Fleet register'!$A$7:$S$106,15,FALSE)+VLOOKUP(A252,'Fleet register'!$A$7:$S$106,16,FALSE),0),"n.a."))</f>
        <v>0</v>
      </c>
      <c r="S252" s="1">
        <f>IF(NOT(Paths!$C$29=1),0,IF(Paths!$P$29="Complete",IF(C252=0,0,Paths!$S$29*Paths!$R$29),"n.a."))</f>
        <v>45000</v>
      </c>
      <c r="T252" s="1">
        <f>IF(NOT(Paths!$C$29=1),0,IF(Paths!$P$29="Complete",IF(C252=0,0,VLOOKUP(A252,'Fleet register'!$A$7:$S$106,9,FALSE)*Paths!$R$29),"n.a."))</f>
        <v>7200</v>
      </c>
    </row>
    <row r="253" spans="1:20" ht="24" customHeight="1">
      <c r="A253" s="1" t="str">
        <f>Paths!$A$29</f>
        <v>T006</v>
      </c>
      <c r="B253" s="1">
        <f>Paths!$B$29</f>
        <v>2</v>
      </c>
      <c r="C253" s="1">
        <v>4</v>
      </c>
      <c r="D253" s="1">
        <v>29</v>
      </c>
      <c r="E253" s="1">
        <f>IF(OR(Paths!$C$29=0,C253=0),0,MAX(0,MIN(C253*12,Paths!$E$29)-(C253-1)*12))</f>
        <v>12</v>
      </c>
      <c r="F253" s="1">
        <f>IF(OR(Paths!$C$29=0,C253=0),0,12-E253)</f>
        <v>0</v>
      </c>
      <c r="G253" s="16">
        <f>IF(NOT(Paths!$C$29=1),0,IF(Paths!$P$29="Complete",E253/12*(Paths!$J$29*(1+'Operating costs'!$B$51)^MAX(0,C253-1)+Paths!$K$29*(1+'Operating costs'!$B$53)^MAX(0,C253-1)),"n.a."))</f>
        <v>18151.349999999999</v>
      </c>
      <c r="H253" s="16">
        <f>IF(NOT(Paths!$C$29=1),0,IF(Paths!$P$29="Complete",F253/12*(Paths!$L$29*(1+IF(Paths!$D$29="EV",'Operating costs'!$B$52,'Operating costs'!$B$51))^MAX(0,C253-1)+Paths!$M$29*(1+'Operating costs'!$B$53)^MAX(0,C253-1)),"n.a."))</f>
        <v>0</v>
      </c>
      <c r="I253" s="16">
        <f>IF(NOT(Paths!$C$29=1),0,IF(Paths!$P$29="Complete",IF(IF(Paths!$E$29=0,C253=0,AND(C253&gt;0,Paths!$E$29&gt;(C253-1)*12,Paths!$E$29&lt;=C253*12)),Paths!$G$29,0),"n.a."))</f>
        <v>0</v>
      </c>
      <c r="J253" s="16">
        <f>IF(NOT(Paths!$C$29=1),0,IF(Paths!$P$29="Complete",IF(IF(Paths!$E$29=0,C253=0,AND(C253&gt;0,Paths!$E$29&gt;(C253-1)*12,Paths!$E$29&lt;=C253*12)),Paths!$H$29,0),"n.a."))</f>
        <v>0</v>
      </c>
      <c r="K253" s="16">
        <f>IF(NOT(Paths!$C$29=1),0,IF(Paths!$P$29="Complete",IF(IF(Paths!$O$29=0,C253=0,AND(C253&gt;0,Paths!$O$29&gt;(C253-1)*12,Paths!$O$29&lt;=C253*12)),Paths!$N$29,0),"n.a."))</f>
        <v>0</v>
      </c>
      <c r="L253" s="16">
        <f>IF(NOT(Paths!$C$29=1),0,IF(Paths!$P$29="Complete",IF(C253=10,Paths!$I$29,0),"n.a."))</f>
        <v>0</v>
      </c>
      <c r="M253" s="16">
        <f>IF(NOT(Paths!$C$29=1),0,IF(Paths!$P$29="Complete",IF(AND(Paths!$D$29="EV",Paths!$E$29&lt;120,Paths!$E$29+'Operating costs'!$B$65&gt;Paths!$E$29,Paths!$E$29+'Operating costs'!$B$65&lt;=120,IF(Paths!$E$29+'Operating costs'!$B$65=0,C253=0,AND(C253&gt;0,Paths!$E$29+'Operating costs'!$B$65&gt;(C253-1)*12,Paths!$E$29+'Operating costs'!$B$65&lt;=C253*12))),'Operating costs'!$B$64,0)+IF(AND('Operating costs'!$B$67&gt;0,'Operating costs'!$B$67&lt;=120,OR(Paths!$D$29="ICE",'Operating costs'!$B$67&lt;=Paths!$E$29),IF('Operating costs'!$B$67=0,C253=0,AND(C253&gt;0,'Operating costs'!$B$67&gt;(C253-1)*12,'Operating costs'!$B$67&lt;=C253*12))),'Operating costs'!$B$66,0),"n.a."))</f>
        <v>0</v>
      </c>
      <c r="N253" s="16">
        <f>IF(NOT(Paths!$C$29=1),0,IF(Paths!$P$29="Complete",SUM(G253:I253)-J253-K253-L253+M253+IF(C253=0,Paths!$F$29,0)+IF(IF(Paths!$E$29=0,C253=0,AND(C253&gt;0,Paths!$E$29&gt;(C253-1)*12,Paths!$E$29&lt;=C253*12)),VLOOKUP(A253,'Fleet register'!$A$7:$S$106,16,FALSE),0),"n.a."))</f>
        <v>18151.349999999999</v>
      </c>
      <c r="O253" s="16">
        <f>IF(NOT(Paths!$C$29=1),0,IF(Paths!$P$29="Complete",N253-IF(C253=0,Paths!$F$29,0),"n.a."))</f>
        <v>18151.349999999999</v>
      </c>
      <c r="P253" s="16">
        <f>IF(NOT(Paths!$C$29=1),0,IF(Paths!$P$29="Complete",O253+L253,"n.a."))</f>
        <v>18151.349999999999</v>
      </c>
      <c r="Q253" s="16">
        <f>IF(NOT(Paths!$C$29=1),0,IF(Paths!$P$29="Complete",N253*(1+'Operating costs'!$B$54)^-C253,"n.a."))</f>
        <v>18151.349999999999</v>
      </c>
      <c r="R253" s="16">
        <f>IF(NOT(Paths!$C$29=1),0,IF(Paths!$P$29="Complete",IF(AND(C253=0,Paths!$E$29=0),I253-J253-K253+VLOOKUP(A253,'Fleet register'!$A$7:$S$106,15,FALSE)+VLOOKUP(A253,'Fleet register'!$A$7:$S$106,16,FALSE),0),"n.a."))</f>
        <v>0</v>
      </c>
      <c r="S253" s="1">
        <f>IF(NOT(Paths!$C$29=1),0,IF(Paths!$P$29="Complete",IF(C253=0,0,Paths!$S$29*Paths!$R$29),"n.a."))</f>
        <v>45000</v>
      </c>
      <c r="T253" s="1">
        <f>IF(NOT(Paths!$C$29=1),0,IF(Paths!$P$29="Complete",IF(C253=0,0,VLOOKUP(A253,'Fleet register'!$A$7:$S$106,9,FALSE)*Paths!$R$29),"n.a."))</f>
        <v>7200</v>
      </c>
    </row>
    <row r="254" spans="1:20" ht="24" customHeight="1">
      <c r="A254" s="1" t="str">
        <f>Paths!$A$29</f>
        <v>T006</v>
      </c>
      <c r="B254" s="1">
        <f>Paths!$B$29</f>
        <v>2</v>
      </c>
      <c r="C254" s="1">
        <v>5</v>
      </c>
      <c r="D254" s="1">
        <v>29</v>
      </c>
      <c r="E254" s="1">
        <f>IF(OR(Paths!$C$29=0,C254=0),0,MAX(0,MIN(C254*12,Paths!$E$29)-(C254-1)*12))</f>
        <v>12</v>
      </c>
      <c r="F254" s="1">
        <f>IF(OR(Paths!$C$29=0,C254=0),0,12-E254)</f>
        <v>0</v>
      </c>
      <c r="G254" s="16">
        <f>IF(NOT(Paths!$C$29=1),0,IF(Paths!$P$29="Complete",E254/12*(Paths!$J$29*(1+'Operating costs'!$B$51)^MAX(0,C254-1)+Paths!$K$29*(1+'Operating costs'!$B$53)^MAX(0,C254-1)),"n.a."))</f>
        <v>18151.349999999999</v>
      </c>
      <c r="H254" s="16">
        <f>IF(NOT(Paths!$C$29=1),0,IF(Paths!$P$29="Complete",F254/12*(Paths!$L$29*(1+IF(Paths!$D$29="EV",'Operating costs'!$B$52,'Operating costs'!$B$51))^MAX(0,C254-1)+Paths!$M$29*(1+'Operating costs'!$B$53)^MAX(0,C254-1)),"n.a."))</f>
        <v>0</v>
      </c>
      <c r="I254" s="16">
        <f>IF(NOT(Paths!$C$29=1),0,IF(Paths!$P$29="Complete",IF(IF(Paths!$E$29=0,C254=0,AND(C254&gt;0,Paths!$E$29&gt;(C254-1)*12,Paths!$E$29&lt;=C254*12)),Paths!$G$29,0),"n.a."))</f>
        <v>0</v>
      </c>
      <c r="J254" s="16">
        <f>IF(NOT(Paths!$C$29=1),0,IF(Paths!$P$29="Complete",IF(IF(Paths!$E$29=0,C254=0,AND(C254&gt;0,Paths!$E$29&gt;(C254-1)*12,Paths!$E$29&lt;=C254*12)),Paths!$H$29,0),"n.a."))</f>
        <v>0</v>
      </c>
      <c r="K254" s="16">
        <f>IF(NOT(Paths!$C$29=1),0,IF(Paths!$P$29="Complete",IF(IF(Paths!$O$29=0,C254=0,AND(C254&gt;0,Paths!$O$29&gt;(C254-1)*12,Paths!$O$29&lt;=C254*12)),Paths!$N$29,0),"n.a."))</f>
        <v>0</v>
      </c>
      <c r="L254" s="16">
        <f>IF(NOT(Paths!$C$29=1),0,IF(Paths!$P$29="Complete",IF(C254=10,Paths!$I$29,0),"n.a."))</f>
        <v>0</v>
      </c>
      <c r="M254" s="16">
        <f>IF(NOT(Paths!$C$29=1),0,IF(Paths!$P$29="Complete",IF(AND(Paths!$D$29="EV",Paths!$E$29&lt;120,Paths!$E$29+'Operating costs'!$B$65&gt;Paths!$E$29,Paths!$E$29+'Operating costs'!$B$65&lt;=120,IF(Paths!$E$29+'Operating costs'!$B$65=0,C254=0,AND(C254&gt;0,Paths!$E$29+'Operating costs'!$B$65&gt;(C254-1)*12,Paths!$E$29+'Operating costs'!$B$65&lt;=C254*12))),'Operating costs'!$B$64,0)+IF(AND('Operating costs'!$B$67&gt;0,'Operating costs'!$B$67&lt;=120,OR(Paths!$D$29="ICE",'Operating costs'!$B$67&lt;=Paths!$E$29),IF('Operating costs'!$B$67=0,C254=0,AND(C254&gt;0,'Operating costs'!$B$67&gt;(C254-1)*12,'Operating costs'!$B$67&lt;=C254*12))),'Operating costs'!$B$66,0),"n.a."))</f>
        <v>0</v>
      </c>
      <c r="N254" s="16">
        <f>IF(NOT(Paths!$C$29=1),0,IF(Paths!$P$29="Complete",SUM(G254:I254)-J254-K254-L254+M254+IF(C254=0,Paths!$F$29,0)+IF(IF(Paths!$E$29=0,C254=0,AND(C254&gt;0,Paths!$E$29&gt;(C254-1)*12,Paths!$E$29&lt;=C254*12)),VLOOKUP(A254,'Fleet register'!$A$7:$S$106,16,FALSE),0),"n.a."))</f>
        <v>18151.349999999999</v>
      </c>
      <c r="O254" s="16">
        <f>IF(NOT(Paths!$C$29=1),0,IF(Paths!$P$29="Complete",N254-IF(C254=0,Paths!$F$29,0),"n.a."))</f>
        <v>18151.349999999999</v>
      </c>
      <c r="P254" s="16">
        <f>IF(NOT(Paths!$C$29=1),0,IF(Paths!$P$29="Complete",O254+L254,"n.a."))</f>
        <v>18151.349999999999</v>
      </c>
      <c r="Q254" s="16">
        <f>IF(NOT(Paths!$C$29=1),0,IF(Paths!$P$29="Complete",N254*(1+'Operating costs'!$B$54)^-C254,"n.a."))</f>
        <v>18151.349999999999</v>
      </c>
      <c r="R254" s="16">
        <f>IF(NOT(Paths!$C$29=1),0,IF(Paths!$P$29="Complete",IF(AND(C254=0,Paths!$E$29=0),I254-J254-K254+VLOOKUP(A254,'Fleet register'!$A$7:$S$106,15,FALSE)+VLOOKUP(A254,'Fleet register'!$A$7:$S$106,16,FALSE),0),"n.a."))</f>
        <v>0</v>
      </c>
      <c r="S254" s="1">
        <f>IF(NOT(Paths!$C$29=1),0,IF(Paths!$P$29="Complete",IF(C254=0,0,Paths!$S$29*Paths!$R$29),"n.a."))</f>
        <v>45000</v>
      </c>
      <c r="T254" s="1">
        <f>IF(NOT(Paths!$C$29=1),0,IF(Paths!$P$29="Complete",IF(C254=0,0,VLOOKUP(A254,'Fleet register'!$A$7:$S$106,9,FALSE)*Paths!$R$29),"n.a."))</f>
        <v>7200</v>
      </c>
    </row>
    <row r="255" spans="1:20" ht="24" customHeight="1">
      <c r="A255" s="1" t="str">
        <f>Paths!$A$29</f>
        <v>T006</v>
      </c>
      <c r="B255" s="1">
        <f>Paths!$B$29</f>
        <v>2</v>
      </c>
      <c r="C255" s="1">
        <v>6</v>
      </c>
      <c r="D255" s="1">
        <v>29</v>
      </c>
      <c r="E255" s="1">
        <f>IF(OR(Paths!$C$29=0,C255=0),0,MAX(0,MIN(C255*12,Paths!$E$29)-(C255-1)*12))</f>
        <v>12</v>
      </c>
      <c r="F255" s="1">
        <f>IF(OR(Paths!$C$29=0,C255=0),0,12-E255)</f>
        <v>0</v>
      </c>
      <c r="G255" s="16">
        <f>IF(NOT(Paths!$C$29=1),0,IF(Paths!$P$29="Complete",E255/12*(Paths!$J$29*(1+'Operating costs'!$B$51)^MAX(0,C255-1)+Paths!$K$29*(1+'Operating costs'!$B$53)^MAX(0,C255-1)),"n.a."))</f>
        <v>18151.349999999999</v>
      </c>
      <c r="H255" s="16">
        <f>IF(NOT(Paths!$C$29=1),0,IF(Paths!$P$29="Complete",F255/12*(Paths!$L$29*(1+IF(Paths!$D$29="EV",'Operating costs'!$B$52,'Operating costs'!$B$51))^MAX(0,C255-1)+Paths!$M$29*(1+'Operating costs'!$B$53)^MAX(0,C255-1)),"n.a."))</f>
        <v>0</v>
      </c>
      <c r="I255" s="16">
        <f>IF(NOT(Paths!$C$29=1),0,IF(Paths!$P$29="Complete",IF(IF(Paths!$E$29=0,C255=0,AND(C255&gt;0,Paths!$E$29&gt;(C255-1)*12,Paths!$E$29&lt;=C255*12)),Paths!$G$29,0),"n.a."))</f>
        <v>181000</v>
      </c>
      <c r="J255" s="16">
        <f>IF(NOT(Paths!$C$29=1),0,IF(Paths!$P$29="Complete",IF(IF(Paths!$E$29=0,C255=0,AND(C255&gt;0,Paths!$E$29&gt;(C255-1)*12,Paths!$E$29&lt;=C255*12)),Paths!$H$29,0),"n.a."))</f>
        <v>10000</v>
      </c>
      <c r="K255" s="16">
        <f>IF(NOT(Paths!$C$29=1),0,IF(Paths!$P$29="Complete",IF(IF(Paths!$O$29=0,C255=0,AND(C255&gt;0,Paths!$O$29&gt;(C255-1)*12,Paths!$O$29&lt;=C255*12)),Paths!$N$29,0),"n.a."))</f>
        <v>0</v>
      </c>
      <c r="L255" s="16">
        <f>IF(NOT(Paths!$C$29=1),0,IF(Paths!$P$29="Complete",IF(C255=10,Paths!$I$29,0),"n.a."))</f>
        <v>0</v>
      </c>
      <c r="M255" s="16">
        <f>IF(NOT(Paths!$C$29=1),0,IF(Paths!$P$29="Complete",IF(AND(Paths!$D$29="EV",Paths!$E$29&lt;120,Paths!$E$29+'Operating costs'!$B$65&gt;Paths!$E$29,Paths!$E$29+'Operating costs'!$B$65&lt;=120,IF(Paths!$E$29+'Operating costs'!$B$65=0,C255=0,AND(C255&gt;0,Paths!$E$29+'Operating costs'!$B$65&gt;(C255-1)*12,Paths!$E$29+'Operating costs'!$B$65&lt;=C255*12))),'Operating costs'!$B$64,0)+IF(AND('Operating costs'!$B$67&gt;0,'Operating costs'!$B$67&lt;=120,OR(Paths!$D$29="ICE",'Operating costs'!$B$67&lt;=Paths!$E$29),IF('Operating costs'!$B$67=0,C255=0,AND(C255&gt;0,'Operating costs'!$B$67&gt;(C255-1)*12,'Operating costs'!$B$67&lt;=C255*12))),'Operating costs'!$B$66,0),"n.a."))</f>
        <v>0</v>
      </c>
      <c r="N255" s="16">
        <f>IF(NOT(Paths!$C$29=1),0,IF(Paths!$P$29="Complete",SUM(G255:I255)-J255-K255-L255+M255+IF(C255=0,Paths!$F$29,0)+IF(IF(Paths!$E$29=0,C255=0,AND(C255&gt;0,Paths!$E$29&gt;(C255-1)*12,Paths!$E$29&lt;=C255*12)),VLOOKUP(A255,'Fleet register'!$A$7:$S$106,16,FALSE),0),"n.a."))</f>
        <v>189151.35</v>
      </c>
      <c r="O255" s="16">
        <f>IF(NOT(Paths!$C$29=1),0,IF(Paths!$P$29="Complete",N255-IF(C255=0,Paths!$F$29,0),"n.a."))</f>
        <v>189151.35</v>
      </c>
      <c r="P255" s="16">
        <f>IF(NOT(Paths!$C$29=1),0,IF(Paths!$P$29="Complete",O255+L255,"n.a."))</f>
        <v>189151.35</v>
      </c>
      <c r="Q255" s="16">
        <f>IF(NOT(Paths!$C$29=1),0,IF(Paths!$P$29="Complete",N255*(1+'Operating costs'!$B$54)^-C255,"n.a."))</f>
        <v>189151.35</v>
      </c>
      <c r="R255" s="16">
        <f>IF(NOT(Paths!$C$29=1),0,IF(Paths!$P$29="Complete",IF(AND(C255=0,Paths!$E$29=0),I255-J255-K255+VLOOKUP(A255,'Fleet register'!$A$7:$S$106,15,FALSE)+VLOOKUP(A255,'Fleet register'!$A$7:$S$106,16,FALSE),0),"n.a."))</f>
        <v>0</v>
      </c>
      <c r="S255" s="1">
        <f>IF(NOT(Paths!$C$29=1),0,IF(Paths!$P$29="Complete",IF(C255=0,0,Paths!$S$29*Paths!$R$29),"n.a."))</f>
        <v>45000</v>
      </c>
      <c r="T255" s="1">
        <f>IF(NOT(Paths!$C$29=1),0,IF(Paths!$P$29="Complete",IF(C255=0,0,VLOOKUP(A255,'Fleet register'!$A$7:$S$106,9,FALSE)*Paths!$R$29),"n.a."))</f>
        <v>7200</v>
      </c>
    </row>
    <row r="256" spans="1:20" ht="24" customHeight="1">
      <c r="A256" s="1" t="str">
        <f>Paths!$A$29</f>
        <v>T006</v>
      </c>
      <c r="B256" s="1">
        <f>Paths!$B$29</f>
        <v>2</v>
      </c>
      <c r="C256" s="1">
        <v>7</v>
      </c>
      <c r="D256" s="1">
        <v>29</v>
      </c>
      <c r="E256" s="1">
        <f>IF(OR(Paths!$C$29=0,C256=0),0,MAX(0,MIN(C256*12,Paths!$E$29)-(C256-1)*12))</f>
        <v>0</v>
      </c>
      <c r="F256" s="1">
        <f>IF(OR(Paths!$C$29=0,C256=0),0,12-E256)</f>
        <v>12</v>
      </c>
      <c r="G256" s="16">
        <f>IF(NOT(Paths!$C$29=1),0,IF(Paths!$P$29="Complete",E256/12*(Paths!$J$29*(1+'Operating costs'!$B$51)^MAX(0,C256-1)+Paths!$K$29*(1+'Operating costs'!$B$53)^MAX(0,C256-1)),"n.a."))</f>
        <v>0</v>
      </c>
      <c r="H256" s="16">
        <f>IF(NOT(Paths!$C$29=1),0,IF(Paths!$P$29="Complete",F256/12*(Paths!$L$29*(1+IF(Paths!$D$29="EV",'Operating costs'!$B$52,'Operating costs'!$B$51))^MAX(0,C256-1)+Paths!$M$29*(1+'Operating costs'!$B$53)^MAX(0,C256-1)),"n.a."))</f>
        <v>18151.349999999999</v>
      </c>
      <c r="I256" s="16">
        <f>IF(NOT(Paths!$C$29=1),0,IF(Paths!$P$29="Complete",IF(IF(Paths!$E$29=0,C256=0,AND(C256&gt;0,Paths!$E$29&gt;(C256-1)*12,Paths!$E$29&lt;=C256*12)),Paths!$G$29,0),"n.a."))</f>
        <v>0</v>
      </c>
      <c r="J256" s="16">
        <f>IF(NOT(Paths!$C$29=1),0,IF(Paths!$P$29="Complete",IF(IF(Paths!$E$29=0,C256=0,AND(C256&gt;0,Paths!$E$29&gt;(C256-1)*12,Paths!$E$29&lt;=C256*12)),Paths!$H$29,0),"n.a."))</f>
        <v>0</v>
      </c>
      <c r="K256" s="16">
        <f>IF(NOT(Paths!$C$29=1),0,IF(Paths!$P$29="Complete",IF(IF(Paths!$O$29=0,C256=0,AND(C256&gt;0,Paths!$O$29&gt;(C256-1)*12,Paths!$O$29&lt;=C256*12)),Paths!$N$29,0),"n.a."))</f>
        <v>0</v>
      </c>
      <c r="L256" s="16">
        <f>IF(NOT(Paths!$C$29=1),0,IF(Paths!$P$29="Complete",IF(C256=10,Paths!$I$29,0),"n.a."))</f>
        <v>0</v>
      </c>
      <c r="M256" s="16">
        <f>IF(NOT(Paths!$C$29=1),0,IF(Paths!$P$29="Complete",IF(AND(Paths!$D$29="EV",Paths!$E$29&lt;120,Paths!$E$29+'Operating costs'!$B$65&gt;Paths!$E$29,Paths!$E$29+'Operating costs'!$B$65&lt;=120,IF(Paths!$E$29+'Operating costs'!$B$65=0,C256=0,AND(C256&gt;0,Paths!$E$29+'Operating costs'!$B$65&gt;(C256-1)*12,Paths!$E$29+'Operating costs'!$B$65&lt;=C256*12))),'Operating costs'!$B$64,0)+IF(AND('Operating costs'!$B$67&gt;0,'Operating costs'!$B$67&lt;=120,OR(Paths!$D$29="ICE",'Operating costs'!$B$67&lt;=Paths!$E$29),IF('Operating costs'!$B$67=0,C256=0,AND(C256&gt;0,'Operating costs'!$B$67&gt;(C256-1)*12,'Operating costs'!$B$67&lt;=C256*12))),'Operating costs'!$B$66,0),"n.a."))</f>
        <v>0</v>
      </c>
      <c r="N256" s="16">
        <f>IF(NOT(Paths!$C$29=1),0,IF(Paths!$P$29="Complete",SUM(G256:I256)-J256-K256-L256+M256+IF(C256=0,Paths!$F$29,0)+IF(IF(Paths!$E$29=0,C256=0,AND(C256&gt;0,Paths!$E$29&gt;(C256-1)*12,Paths!$E$29&lt;=C256*12)),VLOOKUP(A256,'Fleet register'!$A$7:$S$106,16,FALSE),0),"n.a."))</f>
        <v>18151.349999999999</v>
      </c>
      <c r="O256" s="16">
        <f>IF(NOT(Paths!$C$29=1),0,IF(Paths!$P$29="Complete",N256-IF(C256=0,Paths!$F$29,0),"n.a."))</f>
        <v>18151.349999999999</v>
      </c>
      <c r="P256" s="16">
        <f>IF(NOT(Paths!$C$29=1),0,IF(Paths!$P$29="Complete",O256+L256,"n.a."))</f>
        <v>18151.349999999999</v>
      </c>
      <c r="Q256" s="16">
        <f>IF(NOT(Paths!$C$29=1),0,IF(Paths!$P$29="Complete",N256*(1+'Operating costs'!$B$54)^-C256,"n.a."))</f>
        <v>18151.349999999999</v>
      </c>
      <c r="R256" s="16">
        <f>IF(NOT(Paths!$C$29=1),0,IF(Paths!$P$29="Complete",IF(AND(C256=0,Paths!$E$29=0),I256-J256-K256+VLOOKUP(A256,'Fleet register'!$A$7:$S$106,15,FALSE)+VLOOKUP(A256,'Fleet register'!$A$7:$S$106,16,FALSE),0),"n.a."))</f>
        <v>0</v>
      </c>
      <c r="S256" s="1">
        <f>IF(NOT(Paths!$C$29=1),0,IF(Paths!$P$29="Complete",IF(C256=0,0,Paths!$S$29*Paths!$R$29),"n.a."))</f>
        <v>45000</v>
      </c>
      <c r="T256" s="1">
        <f>IF(NOT(Paths!$C$29=1),0,IF(Paths!$P$29="Complete",IF(C256=0,0,VLOOKUP(A256,'Fleet register'!$A$7:$S$106,9,FALSE)*Paths!$R$29),"n.a."))</f>
        <v>7200</v>
      </c>
    </row>
    <row r="257" spans="1:20" ht="24" customHeight="1">
      <c r="A257" s="1" t="str">
        <f>Paths!$A$29</f>
        <v>T006</v>
      </c>
      <c r="B257" s="1">
        <f>Paths!$B$29</f>
        <v>2</v>
      </c>
      <c r="C257" s="1">
        <v>8</v>
      </c>
      <c r="D257" s="1">
        <v>29</v>
      </c>
      <c r="E257" s="1">
        <f>IF(OR(Paths!$C$29=0,C257=0),0,MAX(0,MIN(C257*12,Paths!$E$29)-(C257-1)*12))</f>
        <v>0</v>
      </c>
      <c r="F257" s="1">
        <f>IF(OR(Paths!$C$29=0,C257=0),0,12-E257)</f>
        <v>12</v>
      </c>
      <c r="G257" s="16">
        <f>IF(NOT(Paths!$C$29=1),0,IF(Paths!$P$29="Complete",E257/12*(Paths!$J$29*(1+'Operating costs'!$B$51)^MAX(0,C257-1)+Paths!$K$29*(1+'Operating costs'!$B$53)^MAX(0,C257-1)),"n.a."))</f>
        <v>0</v>
      </c>
      <c r="H257" s="16">
        <f>IF(NOT(Paths!$C$29=1),0,IF(Paths!$P$29="Complete",F257/12*(Paths!$L$29*(1+IF(Paths!$D$29="EV",'Operating costs'!$B$52,'Operating costs'!$B$51))^MAX(0,C257-1)+Paths!$M$29*(1+'Operating costs'!$B$53)^MAX(0,C257-1)),"n.a."))</f>
        <v>18151.349999999999</v>
      </c>
      <c r="I257" s="16">
        <f>IF(NOT(Paths!$C$29=1),0,IF(Paths!$P$29="Complete",IF(IF(Paths!$E$29=0,C257=0,AND(C257&gt;0,Paths!$E$29&gt;(C257-1)*12,Paths!$E$29&lt;=C257*12)),Paths!$G$29,0),"n.a."))</f>
        <v>0</v>
      </c>
      <c r="J257" s="16">
        <f>IF(NOT(Paths!$C$29=1),0,IF(Paths!$P$29="Complete",IF(IF(Paths!$E$29=0,C257=0,AND(C257&gt;0,Paths!$E$29&gt;(C257-1)*12,Paths!$E$29&lt;=C257*12)),Paths!$H$29,0),"n.a."))</f>
        <v>0</v>
      </c>
      <c r="K257" s="16">
        <f>IF(NOT(Paths!$C$29=1),0,IF(Paths!$P$29="Complete",IF(IF(Paths!$O$29=0,C257=0,AND(C257&gt;0,Paths!$O$29&gt;(C257-1)*12,Paths!$O$29&lt;=C257*12)),Paths!$N$29,0),"n.a."))</f>
        <v>0</v>
      </c>
      <c r="L257" s="16">
        <f>IF(NOT(Paths!$C$29=1),0,IF(Paths!$P$29="Complete",IF(C257=10,Paths!$I$29,0),"n.a."))</f>
        <v>0</v>
      </c>
      <c r="M257" s="16">
        <f>IF(NOT(Paths!$C$29=1),0,IF(Paths!$P$29="Complete",IF(AND(Paths!$D$29="EV",Paths!$E$29&lt;120,Paths!$E$29+'Operating costs'!$B$65&gt;Paths!$E$29,Paths!$E$29+'Operating costs'!$B$65&lt;=120,IF(Paths!$E$29+'Operating costs'!$B$65=0,C257=0,AND(C257&gt;0,Paths!$E$29+'Operating costs'!$B$65&gt;(C257-1)*12,Paths!$E$29+'Operating costs'!$B$65&lt;=C257*12))),'Operating costs'!$B$64,0)+IF(AND('Operating costs'!$B$67&gt;0,'Operating costs'!$B$67&lt;=120,OR(Paths!$D$29="ICE",'Operating costs'!$B$67&lt;=Paths!$E$29),IF('Operating costs'!$B$67=0,C257=0,AND(C257&gt;0,'Operating costs'!$B$67&gt;(C257-1)*12,'Operating costs'!$B$67&lt;=C257*12))),'Operating costs'!$B$66,0),"n.a."))</f>
        <v>0</v>
      </c>
      <c r="N257" s="16">
        <f>IF(NOT(Paths!$C$29=1),0,IF(Paths!$P$29="Complete",SUM(G257:I257)-J257-K257-L257+M257+IF(C257=0,Paths!$F$29,0)+IF(IF(Paths!$E$29=0,C257=0,AND(C257&gt;0,Paths!$E$29&gt;(C257-1)*12,Paths!$E$29&lt;=C257*12)),VLOOKUP(A257,'Fleet register'!$A$7:$S$106,16,FALSE),0),"n.a."))</f>
        <v>18151.349999999999</v>
      </c>
      <c r="O257" s="16">
        <f>IF(NOT(Paths!$C$29=1),0,IF(Paths!$P$29="Complete",N257-IF(C257=0,Paths!$F$29,0),"n.a."))</f>
        <v>18151.349999999999</v>
      </c>
      <c r="P257" s="16">
        <f>IF(NOT(Paths!$C$29=1),0,IF(Paths!$P$29="Complete",O257+L257,"n.a."))</f>
        <v>18151.349999999999</v>
      </c>
      <c r="Q257" s="16">
        <f>IF(NOT(Paths!$C$29=1),0,IF(Paths!$P$29="Complete",N257*(1+'Operating costs'!$B$54)^-C257,"n.a."))</f>
        <v>18151.349999999999</v>
      </c>
      <c r="R257" s="16">
        <f>IF(NOT(Paths!$C$29=1),0,IF(Paths!$P$29="Complete",IF(AND(C257=0,Paths!$E$29=0),I257-J257-K257+VLOOKUP(A257,'Fleet register'!$A$7:$S$106,15,FALSE)+VLOOKUP(A257,'Fleet register'!$A$7:$S$106,16,FALSE),0),"n.a."))</f>
        <v>0</v>
      </c>
      <c r="S257" s="1">
        <f>IF(NOT(Paths!$C$29=1),0,IF(Paths!$P$29="Complete",IF(C257=0,0,Paths!$S$29*Paths!$R$29),"n.a."))</f>
        <v>45000</v>
      </c>
      <c r="T257" s="1">
        <f>IF(NOT(Paths!$C$29=1),0,IF(Paths!$P$29="Complete",IF(C257=0,0,VLOOKUP(A257,'Fleet register'!$A$7:$S$106,9,FALSE)*Paths!$R$29),"n.a."))</f>
        <v>7200</v>
      </c>
    </row>
    <row r="258" spans="1:20" ht="24" customHeight="1">
      <c r="A258" s="1" t="str">
        <f>Paths!$A$29</f>
        <v>T006</v>
      </c>
      <c r="B258" s="1">
        <f>Paths!$B$29</f>
        <v>2</v>
      </c>
      <c r="C258" s="1">
        <v>9</v>
      </c>
      <c r="D258" s="1">
        <v>29</v>
      </c>
      <c r="E258" s="1">
        <f>IF(OR(Paths!$C$29=0,C258=0),0,MAX(0,MIN(C258*12,Paths!$E$29)-(C258-1)*12))</f>
        <v>0</v>
      </c>
      <c r="F258" s="1">
        <f>IF(OR(Paths!$C$29=0,C258=0),0,12-E258)</f>
        <v>12</v>
      </c>
      <c r="G258" s="16">
        <f>IF(NOT(Paths!$C$29=1),0,IF(Paths!$P$29="Complete",E258/12*(Paths!$J$29*(1+'Operating costs'!$B$51)^MAX(0,C258-1)+Paths!$K$29*(1+'Operating costs'!$B$53)^MAX(0,C258-1)),"n.a."))</f>
        <v>0</v>
      </c>
      <c r="H258" s="16">
        <f>IF(NOT(Paths!$C$29=1),0,IF(Paths!$P$29="Complete",F258/12*(Paths!$L$29*(1+IF(Paths!$D$29="EV",'Operating costs'!$B$52,'Operating costs'!$B$51))^MAX(0,C258-1)+Paths!$M$29*(1+'Operating costs'!$B$53)^MAX(0,C258-1)),"n.a."))</f>
        <v>18151.349999999999</v>
      </c>
      <c r="I258" s="16">
        <f>IF(NOT(Paths!$C$29=1),0,IF(Paths!$P$29="Complete",IF(IF(Paths!$E$29=0,C258=0,AND(C258&gt;0,Paths!$E$29&gt;(C258-1)*12,Paths!$E$29&lt;=C258*12)),Paths!$G$29,0),"n.a."))</f>
        <v>0</v>
      </c>
      <c r="J258" s="16">
        <f>IF(NOT(Paths!$C$29=1),0,IF(Paths!$P$29="Complete",IF(IF(Paths!$E$29=0,C258=0,AND(C258&gt;0,Paths!$E$29&gt;(C258-1)*12,Paths!$E$29&lt;=C258*12)),Paths!$H$29,0),"n.a."))</f>
        <v>0</v>
      </c>
      <c r="K258" s="16">
        <f>IF(NOT(Paths!$C$29=1),0,IF(Paths!$P$29="Complete",IF(IF(Paths!$O$29=0,C258=0,AND(C258&gt;0,Paths!$O$29&gt;(C258-1)*12,Paths!$O$29&lt;=C258*12)),Paths!$N$29,0),"n.a."))</f>
        <v>0</v>
      </c>
      <c r="L258" s="16">
        <f>IF(NOT(Paths!$C$29=1),0,IF(Paths!$P$29="Complete",IF(C258=10,Paths!$I$29,0),"n.a."))</f>
        <v>0</v>
      </c>
      <c r="M258" s="16">
        <f>IF(NOT(Paths!$C$29=1),0,IF(Paths!$P$29="Complete",IF(AND(Paths!$D$29="EV",Paths!$E$29&lt;120,Paths!$E$29+'Operating costs'!$B$65&gt;Paths!$E$29,Paths!$E$29+'Operating costs'!$B$65&lt;=120,IF(Paths!$E$29+'Operating costs'!$B$65=0,C258=0,AND(C258&gt;0,Paths!$E$29+'Operating costs'!$B$65&gt;(C258-1)*12,Paths!$E$29+'Operating costs'!$B$65&lt;=C258*12))),'Operating costs'!$B$64,0)+IF(AND('Operating costs'!$B$67&gt;0,'Operating costs'!$B$67&lt;=120,OR(Paths!$D$29="ICE",'Operating costs'!$B$67&lt;=Paths!$E$29),IF('Operating costs'!$B$67=0,C258=0,AND(C258&gt;0,'Operating costs'!$B$67&gt;(C258-1)*12,'Operating costs'!$B$67&lt;=C258*12))),'Operating costs'!$B$66,0),"n.a."))</f>
        <v>0</v>
      </c>
      <c r="N258" s="16">
        <f>IF(NOT(Paths!$C$29=1),0,IF(Paths!$P$29="Complete",SUM(G258:I258)-J258-K258-L258+M258+IF(C258=0,Paths!$F$29,0)+IF(IF(Paths!$E$29=0,C258=0,AND(C258&gt;0,Paths!$E$29&gt;(C258-1)*12,Paths!$E$29&lt;=C258*12)),VLOOKUP(A258,'Fleet register'!$A$7:$S$106,16,FALSE),0),"n.a."))</f>
        <v>18151.349999999999</v>
      </c>
      <c r="O258" s="16">
        <f>IF(NOT(Paths!$C$29=1),0,IF(Paths!$P$29="Complete",N258-IF(C258=0,Paths!$F$29,0),"n.a."))</f>
        <v>18151.349999999999</v>
      </c>
      <c r="P258" s="16">
        <f>IF(NOT(Paths!$C$29=1),0,IF(Paths!$P$29="Complete",O258+L258,"n.a."))</f>
        <v>18151.349999999999</v>
      </c>
      <c r="Q258" s="16">
        <f>IF(NOT(Paths!$C$29=1),0,IF(Paths!$P$29="Complete",N258*(1+'Operating costs'!$B$54)^-C258,"n.a."))</f>
        <v>18151.349999999999</v>
      </c>
      <c r="R258" s="16">
        <f>IF(NOT(Paths!$C$29=1),0,IF(Paths!$P$29="Complete",IF(AND(C258=0,Paths!$E$29=0),I258-J258-K258+VLOOKUP(A258,'Fleet register'!$A$7:$S$106,15,FALSE)+VLOOKUP(A258,'Fleet register'!$A$7:$S$106,16,FALSE),0),"n.a."))</f>
        <v>0</v>
      </c>
      <c r="S258" s="1">
        <f>IF(NOT(Paths!$C$29=1),0,IF(Paths!$P$29="Complete",IF(C258=0,0,Paths!$S$29*Paths!$R$29),"n.a."))</f>
        <v>45000</v>
      </c>
      <c r="T258" s="1">
        <f>IF(NOT(Paths!$C$29=1),0,IF(Paths!$P$29="Complete",IF(C258=0,0,VLOOKUP(A258,'Fleet register'!$A$7:$S$106,9,FALSE)*Paths!$R$29),"n.a."))</f>
        <v>7200</v>
      </c>
    </row>
    <row r="259" spans="1:20" ht="24" customHeight="1">
      <c r="A259" s="1" t="str">
        <f>Paths!$A$29</f>
        <v>T006</v>
      </c>
      <c r="B259" s="1">
        <f>Paths!$B$29</f>
        <v>2</v>
      </c>
      <c r="C259" s="1">
        <v>10</v>
      </c>
      <c r="D259" s="1">
        <v>29</v>
      </c>
      <c r="E259" s="1">
        <f>IF(OR(Paths!$C$29=0,C259=0),0,MAX(0,MIN(C259*12,Paths!$E$29)-(C259-1)*12))</f>
        <v>0</v>
      </c>
      <c r="F259" s="1">
        <f>IF(OR(Paths!$C$29=0,C259=0),0,12-E259)</f>
        <v>12</v>
      </c>
      <c r="G259" s="16">
        <f>IF(NOT(Paths!$C$29=1),0,IF(Paths!$P$29="Complete",E259/12*(Paths!$J$29*(1+'Operating costs'!$B$51)^MAX(0,C259-1)+Paths!$K$29*(1+'Operating costs'!$B$53)^MAX(0,C259-1)),"n.a."))</f>
        <v>0</v>
      </c>
      <c r="H259" s="16">
        <f>IF(NOT(Paths!$C$29=1),0,IF(Paths!$P$29="Complete",F259/12*(Paths!$L$29*(1+IF(Paths!$D$29="EV",'Operating costs'!$B$52,'Operating costs'!$B$51))^MAX(0,C259-1)+Paths!$M$29*(1+'Operating costs'!$B$53)^MAX(0,C259-1)),"n.a."))</f>
        <v>18151.349999999999</v>
      </c>
      <c r="I259" s="16">
        <f>IF(NOT(Paths!$C$29=1),0,IF(Paths!$P$29="Complete",IF(IF(Paths!$E$29=0,C259=0,AND(C259&gt;0,Paths!$E$29&gt;(C259-1)*12,Paths!$E$29&lt;=C259*12)),Paths!$G$29,0),"n.a."))</f>
        <v>0</v>
      </c>
      <c r="J259" s="16">
        <f>IF(NOT(Paths!$C$29=1),0,IF(Paths!$P$29="Complete",IF(IF(Paths!$E$29=0,C259=0,AND(C259&gt;0,Paths!$E$29&gt;(C259-1)*12,Paths!$E$29&lt;=C259*12)),Paths!$H$29,0),"n.a."))</f>
        <v>0</v>
      </c>
      <c r="K259" s="16">
        <f>IF(NOT(Paths!$C$29=1),0,IF(Paths!$P$29="Complete",IF(IF(Paths!$O$29=0,C259=0,AND(C259&gt;0,Paths!$O$29&gt;(C259-1)*12,Paths!$O$29&lt;=C259*12)),Paths!$N$29,0),"n.a."))</f>
        <v>0</v>
      </c>
      <c r="L259" s="16">
        <f>IF(NOT(Paths!$C$29=1),0,IF(Paths!$P$29="Complete",IF(C259=10,Paths!$I$29,0),"n.a."))</f>
        <v>67800</v>
      </c>
      <c r="M259" s="16">
        <f>IF(NOT(Paths!$C$29=1),0,IF(Paths!$P$29="Complete",IF(AND(Paths!$D$29="EV",Paths!$E$29&lt;120,Paths!$E$29+'Operating costs'!$B$65&gt;Paths!$E$29,Paths!$E$29+'Operating costs'!$B$65&lt;=120,IF(Paths!$E$29+'Operating costs'!$B$65=0,C259=0,AND(C259&gt;0,Paths!$E$29+'Operating costs'!$B$65&gt;(C259-1)*12,Paths!$E$29+'Operating costs'!$B$65&lt;=C259*12))),'Operating costs'!$B$64,0)+IF(AND('Operating costs'!$B$67&gt;0,'Operating costs'!$B$67&lt;=120,OR(Paths!$D$29="ICE",'Operating costs'!$B$67&lt;=Paths!$E$29),IF('Operating costs'!$B$67=0,C259=0,AND(C259&gt;0,'Operating costs'!$B$67&gt;(C259-1)*12,'Operating costs'!$B$67&lt;=C259*12))),'Operating costs'!$B$66,0),"n.a."))</f>
        <v>0</v>
      </c>
      <c r="N259" s="16">
        <f>IF(NOT(Paths!$C$29=1),0,IF(Paths!$P$29="Complete",SUM(G259:I259)-J259-K259-L259+M259+IF(C259=0,Paths!$F$29,0)+IF(IF(Paths!$E$29=0,C259=0,AND(C259&gt;0,Paths!$E$29&gt;(C259-1)*12,Paths!$E$29&lt;=C259*12)),VLOOKUP(A259,'Fleet register'!$A$7:$S$106,16,FALSE),0),"n.a."))</f>
        <v>-49648.65</v>
      </c>
      <c r="O259" s="16">
        <f>IF(NOT(Paths!$C$29=1),0,IF(Paths!$P$29="Complete",N259-IF(C259=0,Paths!$F$29,0),"n.a."))</f>
        <v>-49648.65</v>
      </c>
      <c r="P259" s="16">
        <f>IF(NOT(Paths!$C$29=1),0,IF(Paths!$P$29="Complete",O259+L259,"n.a."))</f>
        <v>18151.349999999999</v>
      </c>
      <c r="Q259" s="16">
        <f>IF(NOT(Paths!$C$29=1),0,IF(Paths!$P$29="Complete",N259*(1+'Operating costs'!$B$54)^-C259,"n.a."))</f>
        <v>-49648.65</v>
      </c>
      <c r="R259" s="16">
        <f>IF(NOT(Paths!$C$29=1),0,IF(Paths!$P$29="Complete",IF(AND(C259=0,Paths!$E$29=0),I259-J259-K259+VLOOKUP(A259,'Fleet register'!$A$7:$S$106,15,FALSE)+VLOOKUP(A259,'Fleet register'!$A$7:$S$106,16,FALSE),0),"n.a."))</f>
        <v>0</v>
      </c>
      <c r="S259" s="1">
        <f>IF(NOT(Paths!$C$29=1),0,IF(Paths!$P$29="Complete",IF(C259=0,0,Paths!$S$29*Paths!$R$29),"n.a."))</f>
        <v>45000</v>
      </c>
      <c r="T259" s="1">
        <f>IF(NOT(Paths!$C$29=1),0,IF(Paths!$P$29="Complete",IF(C259=0,0,VLOOKUP(A259,'Fleet register'!$A$7:$S$106,9,FALSE)*Paths!$R$29),"n.a."))</f>
        <v>7200</v>
      </c>
    </row>
    <row r="260" spans="1:20" ht="24" customHeight="1">
      <c r="A260" s="1" t="str">
        <f>Paths!$A$30</f>
        <v>T006</v>
      </c>
      <c r="B260" s="1">
        <f>Paths!$B$30</f>
        <v>3</v>
      </c>
      <c r="C260" s="1">
        <v>0</v>
      </c>
      <c r="D260" s="1">
        <v>30</v>
      </c>
      <c r="E260" s="1">
        <f>IF(OR(Paths!$C$30=0,C260=0),0,MAX(0,MIN(C260*12,Paths!$E$30)-(C260-1)*12))</f>
        <v>0</v>
      </c>
      <c r="F260" s="1">
        <f>IF(OR(Paths!$C$30=0,C260=0),0,12-E260)</f>
        <v>0</v>
      </c>
      <c r="G260" s="16">
        <f>IF(NOT(Paths!$C$30=1),0,IF(Paths!$P$30="Complete",E260/12*(Paths!$J$30*(1+'Operating costs'!$B$51)^MAX(0,C260-1)+Paths!$K$30*(1+'Operating costs'!$B$53)^MAX(0,C260-1)),"n.a."))</f>
        <v>0</v>
      </c>
      <c r="H260" s="16">
        <f>IF(NOT(Paths!$C$30=1),0,IF(Paths!$P$30="Complete",F260/12*(Paths!$L$30*(1+IF(Paths!$D$30="EV",'Operating costs'!$B$52,'Operating costs'!$B$51))^MAX(0,C260-1)+Paths!$M$30*(1+'Operating costs'!$B$53)^MAX(0,C260-1)),"n.a."))</f>
        <v>0</v>
      </c>
      <c r="I260" s="16">
        <f>IF(NOT(Paths!$C$30=1),0,IF(Paths!$P$30="Complete",IF(IF(Paths!$E$30=0,C260=0,AND(C260&gt;0,Paths!$E$30&gt;(C260-1)*12,Paths!$E$30&lt;=C260*12)),Paths!$G$30,0),"n.a."))</f>
        <v>0</v>
      </c>
      <c r="J260" s="16">
        <f>IF(NOT(Paths!$C$30=1),0,IF(Paths!$P$30="Complete",IF(IF(Paths!$E$30=0,C260=0,AND(C260&gt;0,Paths!$E$30&gt;(C260-1)*12,Paths!$E$30&lt;=C260*12)),Paths!$H$30,0),"n.a."))</f>
        <v>0</v>
      </c>
      <c r="K260" s="16">
        <f>IF(NOT(Paths!$C$30=1),0,IF(Paths!$P$30="Complete",IF(IF(Paths!$O$30=0,C260=0,AND(C260&gt;0,Paths!$O$30&gt;(C260-1)*12,Paths!$O$30&lt;=C260*12)),Paths!$N$30,0),"n.a."))</f>
        <v>0</v>
      </c>
      <c r="L260" s="16">
        <f>IF(NOT(Paths!$C$30=1),0,IF(Paths!$P$30="Complete",IF(C260=10,Paths!$I$30,0),"n.a."))</f>
        <v>0</v>
      </c>
      <c r="M260" s="16">
        <f>IF(NOT(Paths!$C$30=1),0,IF(Paths!$P$30="Complete",IF(AND(Paths!$D$30="EV",Paths!$E$30&lt;120,Paths!$E$30+'Operating costs'!$B$65&gt;Paths!$E$30,Paths!$E$30+'Operating costs'!$B$65&lt;=120,IF(Paths!$E$30+'Operating costs'!$B$65=0,C260=0,AND(C260&gt;0,Paths!$E$30+'Operating costs'!$B$65&gt;(C260-1)*12,Paths!$E$30+'Operating costs'!$B$65&lt;=C260*12))),'Operating costs'!$B$64,0)+IF(AND('Operating costs'!$B$67&gt;0,'Operating costs'!$B$67&lt;=120,OR(Paths!$D$30="ICE",'Operating costs'!$B$67&lt;=Paths!$E$30),IF('Operating costs'!$B$67=0,C260=0,AND(C260&gt;0,'Operating costs'!$B$67&gt;(C260-1)*12,'Operating costs'!$B$67&lt;=C260*12))),'Operating costs'!$B$66,0),"n.a."))</f>
        <v>0</v>
      </c>
      <c r="N260" s="16">
        <f>IF(NOT(Paths!$C$30=1),0,IF(Paths!$P$30="Complete",SUM(G260:I260)-J260-K260-L260+M260+IF(C260=0,Paths!$F$30,0)+IF(IF(Paths!$E$30=0,C260=0,AND(C260&gt;0,Paths!$E$30&gt;(C260-1)*12,Paths!$E$30&lt;=C260*12)),VLOOKUP(A260,'Fleet register'!$A$7:$S$106,16,FALSE),0),"n.a."))</f>
        <v>54000</v>
      </c>
      <c r="O260" s="16">
        <f>IF(NOT(Paths!$C$30=1),0,IF(Paths!$P$30="Complete",N260-IF(C260=0,Paths!$F$30,0),"n.a."))</f>
        <v>0</v>
      </c>
      <c r="P260" s="16">
        <f>IF(NOT(Paths!$C$30=1),0,IF(Paths!$P$30="Complete",O260+L260,"n.a."))</f>
        <v>0</v>
      </c>
      <c r="Q260" s="16">
        <f>IF(NOT(Paths!$C$30=1),0,IF(Paths!$P$30="Complete",N260*(1+'Operating costs'!$B$54)^-C260,"n.a."))</f>
        <v>54000</v>
      </c>
      <c r="R260" s="16">
        <f>IF(NOT(Paths!$C$30=1),0,IF(Paths!$P$30="Complete",IF(AND(C260=0,Paths!$E$30=0),I260-J260-K260+VLOOKUP(A260,'Fleet register'!$A$7:$S$106,15,FALSE)+VLOOKUP(A260,'Fleet register'!$A$7:$S$106,16,FALSE),0),"n.a."))</f>
        <v>0</v>
      </c>
      <c r="S260" s="1">
        <f>IF(NOT(Paths!$C$30=1),0,IF(Paths!$P$30="Complete",IF(C260=0,0,Paths!$S$30*Paths!$R$30),"n.a."))</f>
        <v>0</v>
      </c>
      <c r="T260" s="1">
        <f>IF(NOT(Paths!$C$30=1),0,IF(Paths!$P$30="Complete",IF(C260=0,0,VLOOKUP(A260,'Fleet register'!$A$7:$S$106,9,FALSE)*Paths!$R$30),"n.a."))</f>
        <v>0</v>
      </c>
    </row>
    <row r="261" spans="1:20" ht="24" customHeight="1">
      <c r="A261" s="1" t="str">
        <f>Paths!$A$30</f>
        <v>T006</v>
      </c>
      <c r="B261" s="1">
        <f>Paths!$B$30</f>
        <v>3</v>
      </c>
      <c r="C261" s="1">
        <v>1</v>
      </c>
      <c r="D261" s="1">
        <v>30</v>
      </c>
      <c r="E261" s="1">
        <f>IF(OR(Paths!$C$30=0,C261=0),0,MAX(0,MIN(C261*12,Paths!$E$30)-(C261-1)*12))</f>
        <v>12</v>
      </c>
      <c r="F261" s="1">
        <f>IF(OR(Paths!$C$30=0,C261=0),0,12-E261)</f>
        <v>0</v>
      </c>
      <c r="G261" s="16">
        <f>IF(NOT(Paths!$C$30=1),0,IF(Paths!$P$30="Complete",E261/12*(Paths!$J$30*(1+'Operating costs'!$B$51)^MAX(0,C261-1)+Paths!$K$30*(1+'Operating costs'!$B$53)^MAX(0,C261-1)),"n.a."))</f>
        <v>18151.349999999999</v>
      </c>
      <c r="H261" s="16">
        <f>IF(NOT(Paths!$C$30=1),0,IF(Paths!$P$30="Complete",F261/12*(Paths!$L$30*(1+IF(Paths!$D$30="EV",'Operating costs'!$B$52,'Operating costs'!$B$51))^MAX(0,C261-1)+Paths!$M$30*(1+'Operating costs'!$B$53)^MAX(0,C261-1)),"n.a."))</f>
        <v>0</v>
      </c>
      <c r="I261" s="16">
        <f>IF(NOT(Paths!$C$30=1),0,IF(Paths!$P$30="Complete",IF(IF(Paths!$E$30=0,C261=0,AND(C261&gt;0,Paths!$E$30&gt;(C261-1)*12,Paths!$E$30&lt;=C261*12)),Paths!$G$30,0),"n.a."))</f>
        <v>0</v>
      </c>
      <c r="J261" s="16">
        <f>IF(NOT(Paths!$C$30=1),0,IF(Paths!$P$30="Complete",IF(IF(Paths!$E$30=0,C261=0,AND(C261&gt;0,Paths!$E$30&gt;(C261-1)*12,Paths!$E$30&lt;=C261*12)),Paths!$H$30,0),"n.a."))</f>
        <v>0</v>
      </c>
      <c r="K261" s="16">
        <f>IF(NOT(Paths!$C$30=1),0,IF(Paths!$P$30="Complete",IF(IF(Paths!$O$30=0,C261=0,AND(C261&gt;0,Paths!$O$30&gt;(C261-1)*12,Paths!$O$30&lt;=C261*12)),Paths!$N$30,0),"n.a."))</f>
        <v>0</v>
      </c>
      <c r="L261" s="16">
        <f>IF(NOT(Paths!$C$30=1),0,IF(Paths!$P$30="Complete",IF(C261=10,Paths!$I$30,0),"n.a."))</f>
        <v>0</v>
      </c>
      <c r="M261" s="16">
        <f>IF(NOT(Paths!$C$30=1),0,IF(Paths!$P$30="Complete",IF(AND(Paths!$D$30="EV",Paths!$E$30&lt;120,Paths!$E$30+'Operating costs'!$B$65&gt;Paths!$E$30,Paths!$E$30+'Operating costs'!$B$65&lt;=120,IF(Paths!$E$30+'Operating costs'!$B$65=0,C261=0,AND(C261&gt;0,Paths!$E$30+'Operating costs'!$B$65&gt;(C261-1)*12,Paths!$E$30+'Operating costs'!$B$65&lt;=C261*12))),'Operating costs'!$B$64,0)+IF(AND('Operating costs'!$B$67&gt;0,'Operating costs'!$B$67&lt;=120,OR(Paths!$D$30="ICE",'Operating costs'!$B$67&lt;=Paths!$E$30),IF('Operating costs'!$B$67=0,C261=0,AND(C261&gt;0,'Operating costs'!$B$67&gt;(C261-1)*12,'Operating costs'!$B$67&lt;=C261*12))),'Operating costs'!$B$66,0),"n.a."))</f>
        <v>0</v>
      </c>
      <c r="N261" s="16">
        <f>IF(NOT(Paths!$C$30=1),0,IF(Paths!$P$30="Complete",SUM(G261:I261)-J261-K261-L261+M261+IF(C261=0,Paths!$F$30,0)+IF(IF(Paths!$E$30=0,C261=0,AND(C261&gt;0,Paths!$E$30&gt;(C261-1)*12,Paths!$E$30&lt;=C261*12)),VLOOKUP(A261,'Fleet register'!$A$7:$S$106,16,FALSE),0),"n.a."))</f>
        <v>18151.349999999999</v>
      </c>
      <c r="O261" s="16">
        <f>IF(NOT(Paths!$C$30=1),0,IF(Paths!$P$30="Complete",N261-IF(C261=0,Paths!$F$30,0),"n.a."))</f>
        <v>18151.349999999999</v>
      </c>
      <c r="P261" s="16">
        <f>IF(NOT(Paths!$C$30=1),0,IF(Paths!$P$30="Complete",O261+L261,"n.a."))</f>
        <v>18151.349999999999</v>
      </c>
      <c r="Q261" s="16">
        <f>IF(NOT(Paths!$C$30=1),0,IF(Paths!$P$30="Complete",N261*(1+'Operating costs'!$B$54)^-C261,"n.a."))</f>
        <v>18151.349999999999</v>
      </c>
      <c r="R261" s="16">
        <f>IF(NOT(Paths!$C$30=1),0,IF(Paths!$P$30="Complete",IF(AND(C261=0,Paths!$E$30=0),I261-J261-K261+VLOOKUP(A261,'Fleet register'!$A$7:$S$106,15,FALSE)+VLOOKUP(A261,'Fleet register'!$A$7:$S$106,16,FALSE),0),"n.a."))</f>
        <v>0</v>
      </c>
      <c r="S261" s="1">
        <f>IF(NOT(Paths!$C$30=1),0,IF(Paths!$P$30="Complete",IF(C261=0,0,Paths!$S$30*Paths!$R$30),"n.a."))</f>
        <v>45000</v>
      </c>
      <c r="T261" s="1">
        <f>IF(NOT(Paths!$C$30=1),0,IF(Paths!$P$30="Complete",IF(C261=0,0,VLOOKUP(A261,'Fleet register'!$A$7:$S$106,9,FALSE)*Paths!$R$30),"n.a."))</f>
        <v>7200</v>
      </c>
    </row>
    <row r="262" spans="1:20" ht="24" customHeight="1">
      <c r="A262" s="1" t="str">
        <f>Paths!$A$30</f>
        <v>T006</v>
      </c>
      <c r="B262" s="1">
        <f>Paths!$B$30</f>
        <v>3</v>
      </c>
      <c r="C262" s="1">
        <v>2</v>
      </c>
      <c r="D262" s="1">
        <v>30</v>
      </c>
      <c r="E262" s="1">
        <f>IF(OR(Paths!$C$30=0,C262=0),0,MAX(0,MIN(C262*12,Paths!$E$30)-(C262-1)*12))</f>
        <v>12</v>
      </c>
      <c r="F262" s="1">
        <f>IF(OR(Paths!$C$30=0,C262=0),0,12-E262)</f>
        <v>0</v>
      </c>
      <c r="G262" s="16">
        <f>IF(NOT(Paths!$C$30=1),0,IF(Paths!$P$30="Complete",E262/12*(Paths!$J$30*(1+'Operating costs'!$B$51)^MAX(0,C262-1)+Paths!$K$30*(1+'Operating costs'!$B$53)^MAX(0,C262-1)),"n.a."))</f>
        <v>18151.349999999999</v>
      </c>
      <c r="H262" s="16">
        <f>IF(NOT(Paths!$C$30=1),0,IF(Paths!$P$30="Complete",F262/12*(Paths!$L$30*(1+IF(Paths!$D$30="EV",'Operating costs'!$B$52,'Operating costs'!$B$51))^MAX(0,C262-1)+Paths!$M$30*(1+'Operating costs'!$B$53)^MAX(0,C262-1)),"n.a."))</f>
        <v>0</v>
      </c>
      <c r="I262" s="16">
        <f>IF(NOT(Paths!$C$30=1),0,IF(Paths!$P$30="Complete",IF(IF(Paths!$E$30=0,C262=0,AND(C262&gt;0,Paths!$E$30&gt;(C262-1)*12,Paths!$E$30&lt;=C262*12)),Paths!$G$30,0),"n.a."))</f>
        <v>0</v>
      </c>
      <c r="J262" s="16">
        <f>IF(NOT(Paths!$C$30=1),0,IF(Paths!$P$30="Complete",IF(IF(Paths!$E$30=0,C262=0,AND(C262&gt;0,Paths!$E$30&gt;(C262-1)*12,Paths!$E$30&lt;=C262*12)),Paths!$H$30,0),"n.a."))</f>
        <v>0</v>
      </c>
      <c r="K262" s="16">
        <f>IF(NOT(Paths!$C$30=1),0,IF(Paths!$P$30="Complete",IF(IF(Paths!$O$30=0,C262=0,AND(C262&gt;0,Paths!$O$30&gt;(C262-1)*12,Paths!$O$30&lt;=C262*12)),Paths!$N$30,0),"n.a."))</f>
        <v>0</v>
      </c>
      <c r="L262" s="16">
        <f>IF(NOT(Paths!$C$30=1),0,IF(Paths!$P$30="Complete",IF(C262=10,Paths!$I$30,0),"n.a."))</f>
        <v>0</v>
      </c>
      <c r="M262" s="16">
        <f>IF(NOT(Paths!$C$30=1),0,IF(Paths!$P$30="Complete",IF(AND(Paths!$D$30="EV",Paths!$E$30&lt;120,Paths!$E$30+'Operating costs'!$B$65&gt;Paths!$E$30,Paths!$E$30+'Operating costs'!$B$65&lt;=120,IF(Paths!$E$30+'Operating costs'!$B$65=0,C262=0,AND(C262&gt;0,Paths!$E$30+'Operating costs'!$B$65&gt;(C262-1)*12,Paths!$E$30+'Operating costs'!$B$65&lt;=C262*12))),'Operating costs'!$B$64,0)+IF(AND('Operating costs'!$B$67&gt;0,'Operating costs'!$B$67&lt;=120,OR(Paths!$D$30="ICE",'Operating costs'!$B$67&lt;=Paths!$E$30),IF('Operating costs'!$B$67=0,C262=0,AND(C262&gt;0,'Operating costs'!$B$67&gt;(C262-1)*12,'Operating costs'!$B$67&lt;=C262*12))),'Operating costs'!$B$66,0),"n.a."))</f>
        <v>0</v>
      </c>
      <c r="N262" s="16">
        <f>IF(NOT(Paths!$C$30=1),0,IF(Paths!$P$30="Complete",SUM(G262:I262)-J262-K262-L262+M262+IF(C262=0,Paths!$F$30,0)+IF(IF(Paths!$E$30=0,C262=0,AND(C262&gt;0,Paths!$E$30&gt;(C262-1)*12,Paths!$E$30&lt;=C262*12)),VLOOKUP(A262,'Fleet register'!$A$7:$S$106,16,FALSE),0),"n.a."))</f>
        <v>18151.349999999999</v>
      </c>
      <c r="O262" s="16">
        <f>IF(NOT(Paths!$C$30=1),0,IF(Paths!$P$30="Complete",N262-IF(C262=0,Paths!$F$30,0),"n.a."))</f>
        <v>18151.349999999999</v>
      </c>
      <c r="P262" s="16">
        <f>IF(NOT(Paths!$C$30=1),0,IF(Paths!$P$30="Complete",O262+L262,"n.a."))</f>
        <v>18151.349999999999</v>
      </c>
      <c r="Q262" s="16">
        <f>IF(NOT(Paths!$C$30=1),0,IF(Paths!$P$30="Complete",N262*(1+'Operating costs'!$B$54)^-C262,"n.a."))</f>
        <v>18151.349999999999</v>
      </c>
      <c r="R262" s="16">
        <f>IF(NOT(Paths!$C$30=1),0,IF(Paths!$P$30="Complete",IF(AND(C262=0,Paths!$E$30=0),I262-J262-K262+VLOOKUP(A262,'Fleet register'!$A$7:$S$106,15,FALSE)+VLOOKUP(A262,'Fleet register'!$A$7:$S$106,16,FALSE),0),"n.a."))</f>
        <v>0</v>
      </c>
      <c r="S262" s="1">
        <f>IF(NOT(Paths!$C$30=1),0,IF(Paths!$P$30="Complete",IF(C262=0,0,Paths!$S$30*Paths!$R$30),"n.a."))</f>
        <v>45000</v>
      </c>
      <c r="T262" s="1">
        <f>IF(NOT(Paths!$C$30=1),0,IF(Paths!$P$30="Complete",IF(C262=0,0,VLOOKUP(A262,'Fleet register'!$A$7:$S$106,9,FALSE)*Paths!$R$30),"n.a."))</f>
        <v>7200</v>
      </c>
    </row>
    <row r="263" spans="1:20" ht="24" customHeight="1">
      <c r="A263" s="1" t="str">
        <f>Paths!$A$30</f>
        <v>T006</v>
      </c>
      <c r="B263" s="1">
        <f>Paths!$B$30</f>
        <v>3</v>
      </c>
      <c r="C263" s="1">
        <v>3</v>
      </c>
      <c r="D263" s="1">
        <v>30</v>
      </c>
      <c r="E263" s="1">
        <f>IF(OR(Paths!$C$30=0,C263=0),0,MAX(0,MIN(C263*12,Paths!$E$30)-(C263-1)*12))</f>
        <v>12</v>
      </c>
      <c r="F263" s="1">
        <f>IF(OR(Paths!$C$30=0,C263=0),0,12-E263)</f>
        <v>0</v>
      </c>
      <c r="G263" s="16">
        <f>IF(NOT(Paths!$C$30=1),0,IF(Paths!$P$30="Complete",E263/12*(Paths!$J$30*(1+'Operating costs'!$B$51)^MAX(0,C263-1)+Paths!$K$30*(1+'Operating costs'!$B$53)^MAX(0,C263-1)),"n.a."))</f>
        <v>18151.349999999999</v>
      </c>
      <c r="H263" s="16">
        <f>IF(NOT(Paths!$C$30=1),0,IF(Paths!$P$30="Complete",F263/12*(Paths!$L$30*(1+IF(Paths!$D$30="EV",'Operating costs'!$B$52,'Operating costs'!$B$51))^MAX(0,C263-1)+Paths!$M$30*(1+'Operating costs'!$B$53)^MAX(0,C263-1)),"n.a."))</f>
        <v>0</v>
      </c>
      <c r="I263" s="16">
        <f>IF(NOT(Paths!$C$30=1),0,IF(Paths!$P$30="Complete",IF(IF(Paths!$E$30=0,C263=0,AND(C263&gt;0,Paths!$E$30&gt;(C263-1)*12,Paths!$E$30&lt;=C263*12)),Paths!$G$30,0),"n.a."))</f>
        <v>0</v>
      </c>
      <c r="J263" s="16">
        <f>IF(NOT(Paths!$C$30=1),0,IF(Paths!$P$30="Complete",IF(IF(Paths!$E$30=0,C263=0,AND(C263&gt;0,Paths!$E$30&gt;(C263-1)*12,Paths!$E$30&lt;=C263*12)),Paths!$H$30,0),"n.a."))</f>
        <v>0</v>
      </c>
      <c r="K263" s="16">
        <f>IF(NOT(Paths!$C$30=1),0,IF(Paths!$P$30="Complete",IF(IF(Paths!$O$30=0,C263=0,AND(C263&gt;0,Paths!$O$30&gt;(C263-1)*12,Paths!$O$30&lt;=C263*12)),Paths!$N$30,0),"n.a."))</f>
        <v>0</v>
      </c>
      <c r="L263" s="16">
        <f>IF(NOT(Paths!$C$30=1),0,IF(Paths!$P$30="Complete",IF(C263=10,Paths!$I$30,0),"n.a."))</f>
        <v>0</v>
      </c>
      <c r="M263" s="16">
        <f>IF(NOT(Paths!$C$30=1),0,IF(Paths!$P$30="Complete",IF(AND(Paths!$D$30="EV",Paths!$E$30&lt;120,Paths!$E$30+'Operating costs'!$B$65&gt;Paths!$E$30,Paths!$E$30+'Operating costs'!$B$65&lt;=120,IF(Paths!$E$30+'Operating costs'!$B$65=0,C263=0,AND(C263&gt;0,Paths!$E$30+'Operating costs'!$B$65&gt;(C263-1)*12,Paths!$E$30+'Operating costs'!$B$65&lt;=C263*12))),'Operating costs'!$B$64,0)+IF(AND('Operating costs'!$B$67&gt;0,'Operating costs'!$B$67&lt;=120,OR(Paths!$D$30="ICE",'Operating costs'!$B$67&lt;=Paths!$E$30),IF('Operating costs'!$B$67=0,C263=0,AND(C263&gt;0,'Operating costs'!$B$67&gt;(C263-1)*12,'Operating costs'!$B$67&lt;=C263*12))),'Operating costs'!$B$66,0),"n.a."))</f>
        <v>0</v>
      </c>
      <c r="N263" s="16">
        <f>IF(NOT(Paths!$C$30=1),0,IF(Paths!$P$30="Complete",SUM(G263:I263)-J263-K263-L263+M263+IF(C263=0,Paths!$F$30,0)+IF(IF(Paths!$E$30=0,C263=0,AND(C263&gt;0,Paths!$E$30&gt;(C263-1)*12,Paths!$E$30&lt;=C263*12)),VLOOKUP(A263,'Fleet register'!$A$7:$S$106,16,FALSE),0),"n.a."))</f>
        <v>18151.349999999999</v>
      </c>
      <c r="O263" s="16">
        <f>IF(NOT(Paths!$C$30=1),0,IF(Paths!$P$30="Complete",N263-IF(C263=0,Paths!$F$30,0),"n.a."))</f>
        <v>18151.349999999999</v>
      </c>
      <c r="P263" s="16">
        <f>IF(NOT(Paths!$C$30=1),0,IF(Paths!$P$30="Complete",O263+L263,"n.a."))</f>
        <v>18151.349999999999</v>
      </c>
      <c r="Q263" s="16">
        <f>IF(NOT(Paths!$C$30=1),0,IF(Paths!$P$30="Complete",N263*(1+'Operating costs'!$B$54)^-C263,"n.a."))</f>
        <v>18151.349999999999</v>
      </c>
      <c r="R263" s="16">
        <f>IF(NOT(Paths!$C$30=1),0,IF(Paths!$P$30="Complete",IF(AND(C263=0,Paths!$E$30=0),I263-J263-K263+VLOOKUP(A263,'Fleet register'!$A$7:$S$106,15,FALSE)+VLOOKUP(A263,'Fleet register'!$A$7:$S$106,16,FALSE),0),"n.a."))</f>
        <v>0</v>
      </c>
      <c r="S263" s="1">
        <f>IF(NOT(Paths!$C$30=1),0,IF(Paths!$P$30="Complete",IF(C263=0,0,Paths!$S$30*Paths!$R$30),"n.a."))</f>
        <v>45000</v>
      </c>
      <c r="T263" s="1">
        <f>IF(NOT(Paths!$C$30=1),0,IF(Paths!$P$30="Complete",IF(C263=0,0,VLOOKUP(A263,'Fleet register'!$A$7:$S$106,9,FALSE)*Paths!$R$30),"n.a."))</f>
        <v>7200</v>
      </c>
    </row>
    <row r="264" spans="1:20" ht="24" customHeight="1">
      <c r="A264" s="1" t="str">
        <f>Paths!$A$30</f>
        <v>T006</v>
      </c>
      <c r="B264" s="1">
        <f>Paths!$B$30</f>
        <v>3</v>
      </c>
      <c r="C264" s="1">
        <v>4</v>
      </c>
      <c r="D264" s="1">
        <v>30</v>
      </c>
      <c r="E264" s="1">
        <f>IF(OR(Paths!$C$30=0,C264=0),0,MAX(0,MIN(C264*12,Paths!$E$30)-(C264-1)*12))</f>
        <v>12</v>
      </c>
      <c r="F264" s="1">
        <f>IF(OR(Paths!$C$30=0,C264=0),0,12-E264)</f>
        <v>0</v>
      </c>
      <c r="G264" s="16">
        <f>IF(NOT(Paths!$C$30=1),0,IF(Paths!$P$30="Complete",E264/12*(Paths!$J$30*(1+'Operating costs'!$B$51)^MAX(0,C264-1)+Paths!$K$30*(1+'Operating costs'!$B$53)^MAX(0,C264-1)),"n.a."))</f>
        <v>18151.349999999999</v>
      </c>
      <c r="H264" s="16">
        <f>IF(NOT(Paths!$C$30=1),0,IF(Paths!$P$30="Complete",F264/12*(Paths!$L$30*(1+IF(Paths!$D$30="EV",'Operating costs'!$B$52,'Operating costs'!$B$51))^MAX(0,C264-1)+Paths!$M$30*(1+'Operating costs'!$B$53)^MAX(0,C264-1)),"n.a."))</f>
        <v>0</v>
      </c>
      <c r="I264" s="16">
        <f>IF(NOT(Paths!$C$30=1),0,IF(Paths!$P$30="Complete",IF(IF(Paths!$E$30=0,C264=0,AND(C264&gt;0,Paths!$E$30&gt;(C264-1)*12,Paths!$E$30&lt;=C264*12)),Paths!$G$30,0),"n.a."))</f>
        <v>0</v>
      </c>
      <c r="J264" s="16">
        <f>IF(NOT(Paths!$C$30=1),0,IF(Paths!$P$30="Complete",IF(IF(Paths!$E$30=0,C264=0,AND(C264&gt;0,Paths!$E$30&gt;(C264-1)*12,Paths!$E$30&lt;=C264*12)),Paths!$H$30,0),"n.a."))</f>
        <v>0</v>
      </c>
      <c r="K264" s="16">
        <f>IF(NOT(Paths!$C$30=1),0,IF(Paths!$P$30="Complete",IF(IF(Paths!$O$30=0,C264=0,AND(C264&gt;0,Paths!$O$30&gt;(C264-1)*12,Paths!$O$30&lt;=C264*12)),Paths!$N$30,0),"n.a."))</f>
        <v>0</v>
      </c>
      <c r="L264" s="16">
        <f>IF(NOT(Paths!$C$30=1),0,IF(Paths!$P$30="Complete",IF(C264=10,Paths!$I$30,0),"n.a."))</f>
        <v>0</v>
      </c>
      <c r="M264" s="16">
        <f>IF(NOT(Paths!$C$30=1),0,IF(Paths!$P$30="Complete",IF(AND(Paths!$D$30="EV",Paths!$E$30&lt;120,Paths!$E$30+'Operating costs'!$B$65&gt;Paths!$E$30,Paths!$E$30+'Operating costs'!$B$65&lt;=120,IF(Paths!$E$30+'Operating costs'!$B$65=0,C264=0,AND(C264&gt;0,Paths!$E$30+'Operating costs'!$B$65&gt;(C264-1)*12,Paths!$E$30+'Operating costs'!$B$65&lt;=C264*12))),'Operating costs'!$B$64,0)+IF(AND('Operating costs'!$B$67&gt;0,'Operating costs'!$B$67&lt;=120,OR(Paths!$D$30="ICE",'Operating costs'!$B$67&lt;=Paths!$E$30),IF('Operating costs'!$B$67=0,C264=0,AND(C264&gt;0,'Operating costs'!$B$67&gt;(C264-1)*12,'Operating costs'!$B$67&lt;=C264*12))),'Operating costs'!$B$66,0),"n.a."))</f>
        <v>0</v>
      </c>
      <c r="N264" s="16">
        <f>IF(NOT(Paths!$C$30=1),0,IF(Paths!$P$30="Complete",SUM(G264:I264)-J264-K264-L264+M264+IF(C264=0,Paths!$F$30,0)+IF(IF(Paths!$E$30=0,C264=0,AND(C264&gt;0,Paths!$E$30&gt;(C264-1)*12,Paths!$E$30&lt;=C264*12)),VLOOKUP(A264,'Fleet register'!$A$7:$S$106,16,FALSE),0),"n.a."))</f>
        <v>18151.349999999999</v>
      </c>
      <c r="O264" s="16">
        <f>IF(NOT(Paths!$C$30=1),0,IF(Paths!$P$30="Complete",N264-IF(C264=0,Paths!$F$30,0),"n.a."))</f>
        <v>18151.349999999999</v>
      </c>
      <c r="P264" s="16">
        <f>IF(NOT(Paths!$C$30=1),0,IF(Paths!$P$30="Complete",O264+L264,"n.a."))</f>
        <v>18151.349999999999</v>
      </c>
      <c r="Q264" s="16">
        <f>IF(NOT(Paths!$C$30=1),0,IF(Paths!$P$30="Complete",N264*(1+'Operating costs'!$B$54)^-C264,"n.a."))</f>
        <v>18151.349999999999</v>
      </c>
      <c r="R264" s="16">
        <f>IF(NOT(Paths!$C$30=1),0,IF(Paths!$P$30="Complete",IF(AND(C264=0,Paths!$E$30=0),I264-J264-K264+VLOOKUP(A264,'Fleet register'!$A$7:$S$106,15,FALSE)+VLOOKUP(A264,'Fleet register'!$A$7:$S$106,16,FALSE),0),"n.a."))</f>
        <v>0</v>
      </c>
      <c r="S264" s="1">
        <f>IF(NOT(Paths!$C$30=1),0,IF(Paths!$P$30="Complete",IF(C264=0,0,Paths!$S$30*Paths!$R$30),"n.a."))</f>
        <v>45000</v>
      </c>
      <c r="T264" s="1">
        <f>IF(NOT(Paths!$C$30=1),0,IF(Paths!$P$30="Complete",IF(C264=0,0,VLOOKUP(A264,'Fleet register'!$A$7:$S$106,9,FALSE)*Paths!$R$30),"n.a."))</f>
        <v>7200</v>
      </c>
    </row>
    <row r="265" spans="1:20" ht="24" customHeight="1">
      <c r="A265" s="1" t="str">
        <f>Paths!$A$30</f>
        <v>T006</v>
      </c>
      <c r="B265" s="1">
        <f>Paths!$B$30</f>
        <v>3</v>
      </c>
      <c r="C265" s="1">
        <v>5</v>
      </c>
      <c r="D265" s="1">
        <v>30</v>
      </c>
      <c r="E265" s="1">
        <f>IF(OR(Paths!$C$30=0,C265=0),0,MAX(0,MIN(C265*12,Paths!$E$30)-(C265-1)*12))</f>
        <v>12</v>
      </c>
      <c r="F265" s="1">
        <f>IF(OR(Paths!$C$30=0,C265=0),0,12-E265)</f>
        <v>0</v>
      </c>
      <c r="G265" s="16">
        <f>IF(NOT(Paths!$C$30=1),0,IF(Paths!$P$30="Complete",E265/12*(Paths!$J$30*(1+'Operating costs'!$B$51)^MAX(0,C265-1)+Paths!$K$30*(1+'Operating costs'!$B$53)^MAX(0,C265-1)),"n.a."))</f>
        <v>18151.349999999999</v>
      </c>
      <c r="H265" s="16">
        <f>IF(NOT(Paths!$C$30=1),0,IF(Paths!$P$30="Complete",F265/12*(Paths!$L$30*(1+IF(Paths!$D$30="EV",'Operating costs'!$B$52,'Operating costs'!$B$51))^MAX(0,C265-1)+Paths!$M$30*(1+'Operating costs'!$B$53)^MAX(0,C265-1)),"n.a."))</f>
        <v>0</v>
      </c>
      <c r="I265" s="16">
        <f>IF(NOT(Paths!$C$30=1),0,IF(Paths!$P$30="Complete",IF(IF(Paths!$E$30=0,C265=0,AND(C265&gt;0,Paths!$E$30&gt;(C265-1)*12,Paths!$E$30&lt;=C265*12)),Paths!$G$30,0),"n.a."))</f>
        <v>0</v>
      </c>
      <c r="J265" s="16">
        <f>IF(NOT(Paths!$C$30=1),0,IF(Paths!$P$30="Complete",IF(IF(Paths!$E$30=0,C265=0,AND(C265&gt;0,Paths!$E$30&gt;(C265-1)*12,Paths!$E$30&lt;=C265*12)),Paths!$H$30,0),"n.a."))</f>
        <v>0</v>
      </c>
      <c r="K265" s="16">
        <f>IF(NOT(Paths!$C$30=1),0,IF(Paths!$P$30="Complete",IF(IF(Paths!$O$30=0,C265=0,AND(C265&gt;0,Paths!$O$30&gt;(C265-1)*12,Paths!$O$30&lt;=C265*12)),Paths!$N$30,0),"n.a."))</f>
        <v>0</v>
      </c>
      <c r="L265" s="16">
        <f>IF(NOT(Paths!$C$30=1),0,IF(Paths!$P$30="Complete",IF(C265=10,Paths!$I$30,0),"n.a."))</f>
        <v>0</v>
      </c>
      <c r="M265" s="16">
        <f>IF(NOT(Paths!$C$30=1),0,IF(Paths!$P$30="Complete",IF(AND(Paths!$D$30="EV",Paths!$E$30&lt;120,Paths!$E$30+'Operating costs'!$B$65&gt;Paths!$E$30,Paths!$E$30+'Operating costs'!$B$65&lt;=120,IF(Paths!$E$30+'Operating costs'!$B$65=0,C265=0,AND(C265&gt;0,Paths!$E$30+'Operating costs'!$B$65&gt;(C265-1)*12,Paths!$E$30+'Operating costs'!$B$65&lt;=C265*12))),'Operating costs'!$B$64,0)+IF(AND('Operating costs'!$B$67&gt;0,'Operating costs'!$B$67&lt;=120,OR(Paths!$D$30="ICE",'Operating costs'!$B$67&lt;=Paths!$E$30),IF('Operating costs'!$B$67=0,C265=0,AND(C265&gt;0,'Operating costs'!$B$67&gt;(C265-1)*12,'Operating costs'!$B$67&lt;=C265*12))),'Operating costs'!$B$66,0),"n.a."))</f>
        <v>0</v>
      </c>
      <c r="N265" s="16">
        <f>IF(NOT(Paths!$C$30=1),0,IF(Paths!$P$30="Complete",SUM(G265:I265)-J265-K265-L265+M265+IF(C265=0,Paths!$F$30,0)+IF(IF(Paths!$E$30=0,C265=0,AND(C265&gt;0,Paths!$E$30&gt;(C265-1)*12,Paths!$E$30&lt;=C265*12)),VLOOKUP(A265,'Fleet register'!$A$7:$S$106,16,FALSE),0),"n.a."))</f>
        <v>18151.349999999999</v>
      </c>
      <c r="O265" s="16">
        <f>IF(NOT(Paths!$C$30=1),0,IF(Paths!$P$30="Complete",N265-IF(C265=0,Paths!$F$30,0),"n.a."))</f>
        <v>18151.349999999999</v>
      </c>
      <c r="P265" s="16">
        <f>IF(NOT(Paths!$C$30=1),0,IF(Paths!$P$30="Complete",O265+L265,"n.a."))</f>
        <v>18151.349999999999</v>
      </c>
      <c r="Q265" s="16">
        <f>IF(NOT(Paths!$C$30=1),0,IF(Paths!$P$30="Complete",N265*(1+'Operating costs'!$B$54)^-C265,"n.a."))</f>
        <v>18151.349999999999</v>
      </c>
      <c r="R265" s="16">
        <f>IF(NOT(Paths!$C$30=1),0,IF(Paths!$P$30="Complete",IF(AND(C265=0,Paths!$E$30=0),I265-J265-K265+VLOOKUP(A265,'Fleet register'!$A$7:$S$106,15,FALSE)+VLOOKUP(A265,'Fleet register'!$A$7:$S$106,16,FALSE),0),"n.a."))</f>
        <v>0</v>
      </c>
      <c r="S265" s="1">
        <f>IF(NOT(Paths!$C$30=1),0,IF(Paths!$P$30="Complete",IF(C265=0,0,Paths!$S$30*Paths!$R$30),"n.a."))</f>
        <v>45000</v>
      </c>
      <c r="T265" s="1">
        <f>IF(NOT(Paths!$C$30=1),0,IF(Paths!$P$30="Complete",IF(C265=0,0,VLOOKUP(A265,'Fleet register'!$A$7:$S$106,9,FALSE)*Paths!$R$30),"n.a."))</f>
        <v>7200</v>
      </c>
    </row>
    <row r="266" spans="1:20" ht="24" customHeight="1">
      <c r="A266" s="1" t="str">
        <f>Paths!$A$30</f>
        <v>T006</v>
      </c>
      <c r="B266" s="1">
        <f>Paths!$B$30</f>
        <v>3</v>
      </c>
      <c r="C266" s="1">
        <v>6</v>
      </c>
      <c r="D266" s="1">
        <v>30</v>
      </c>
      <c r="E266" s="1">
        <f>IF(OR(Paths!$C$30=0,C266=0),0,MAX(0,MIN(C266*12,Paths!$E$30)-(C266-1)*12))</f>
        <v>12</v>
      </c>
      <c r="F266" s="1">
        <f>IF(OR(Paths!$C$30=0,C266=0),0,12-E266)</f>
        <v>0</v>
      </c>
      <c r="G266" s="16">
        <f>IF(NOT(Paths!$C$30=1),0,IF(Paths!$P$30="Complete",E266/12*(Paths!$J$30*(1+'Operating costs'!$B$51)^MAX(0,C266-1)+Paths!$K$30*(1+'Operating costs'!$B$53)^MAX(0,C266-1)),"n.a."))</f>
        <v>18151.349999999999</v>
      </c>
      <c r="H266" s="16">
        <f>IF(NOT(Paths!$C$30=1),0,IF(Paths!$P$30="Complete",F266/12*(Paths!$L$30*(1+IF(Paths!$D$30="EV",'Operating costs'!$B$52,'Operating costs'!$B$51))^MAX(0,C266-1)+Paths!$M$30*(1+'Operating costs'!$B$53)^MAX(0,C266-1)),"n.a."))</f>
        <v>0</v>
      </c>
      <c r="I266" s="16">
        <f>IF(NOT(Paths!$C$30=1),0,IF(Paths!$P$30="Complete",IF(IF(Paths!$E$30=0,C266=0,AND(C266&gt;0,Paths!$E$30&gt;(C266-1)*12,Paths!$E$30&lt;=C266*12)),Paths!$G$30,0),"n.a."))</f>
        <v>181000</v>
      </c>
      <c r="J266" s="16">
        <f>IF(NOT(Paths!$C$30=1),0,IF(Paths!$P$30="Complete",IF(IF(Paths!$E$30=0,C266=0,AND(C266&gt;0,Paths!$E$30&gt;(C266-1)*12,Paths!$E$30&lt;=C266*12)),Paths!$H$30,0),"n.a."))</f>
        <v>10000</v>
      </c>
      <c r="K266" s="16">
        <f>IF(NOT(Paths!$C$30=1),0,IF(Paths!$P$30="Complete",IF(IF(Paths!$O$30=0,C266=0,AND(C266&gt;0,Paths!$O$30&gt;(C266-1)*12,Paths!$O$30&lt;=C266*12)),Paths!$N$30,0),"n.a."))</f>
        <v>0</v>
      </c>
      <c r="L266" s="16">
        <f>IF(NOT(Paths!$C$30=1),0,IF(Paths!$P$30="Complete",IF(C266=10,Paths!$I$30,0),"n.a."))</f>
        <v>0</v>
      </c>
      <c r="M266" s="16">
        <f>IF(NOT(Paths!$C$30=1),0,IF(Paths!$P$30="Complete",IF(AND(Paths!$D$30="EV",Paths!$E$30&lt;120,Paths!$E$30+'Operating costs'!$B$65&gt;Paths!$E$30,Paths!$E$30+'Operating costs'!$B$65&lt;=120,IF(Paths!$E$30+'Operating costs'!$B$65=0,C266=0,AND(C266&gt;0,Paths!$E$30+'Operating costs'!$B$65&gt;(C266-1)*12,Paths!$E$30+'Operating costs'!$B$65&lt;=C266*12))),'Operating costs'!$B$64,0)+IF(AND('Operating costs'!$B$67&gt;0,'Operating costs'!$B$67&lt;=120,OR(Paths!$D$30="ICE",'Operating costs'!$B$67&lt;=Paths!$E$30),IF('Operating costs'!$B$67=0,C266=0,AND(C266&gt;0,'Operating costs'!$B$67&gt;(C266-1)*12,'Operating costs'!$B$67&lt;=C266*12))),'Operating costs'!$B$66,0),"n.a."))</f>
        <v>0</v>
      </c>
      <c r="N266" s="16">
        <f>IF(NOT(Paths!$C$30=1),0,IF(Paths!$P$30="Complete",SUM(G266:I266)-J266-K266-L266+M266+IF(C266=0,Paths!$F$30,0)+IF(IF(Paths!$E$30=0,C266=0,AND(C266&gt;0,Paths!$E$30&gt;(C266-1)*12,Paths!$E$30&lt;=C266*12)),VLOOKUP(A266,'Fleet register'!$A$7:$S$106,16,FALSE),0),"n.a."))</f>
        <v>189151.35</v>
      </c>
      <c r="O266" s="16">
        <f>IF(NOT(Paths!$C$30=1),0,IF(Paths!$P$30="Complete",N266-IF(C266=0,Paths!$F$30,0),"n.a."))</f>
        <v>189151.35</v>
      </c>
      <c r="P266" s="16">
        <f>IF(NOT(Paths!$C$30=1),0,IF(Paths!$P$30="Complete",O266+L266,"n.a."))</f>
        <v>189151.35</v>
      </c>
      <c r="Q266" s="16">
        <f>IF(NOT(Paths!$C$30=1),0,IF(Paths!$P$30="Complete",N266*(1+'Operating costs'!$B$54)^-C266,"n.a."))</f>
        <v>189151.35</v>
      </c>
      <c r="R266" s="16">
        <f>IF(NOT(Paths!$C$30=1),0,IF(Paths!$P$30="Complete",IF(AND(C266=0,Paths!$E$30=0),I266-J266-K266+VLOOKUP(A266,'Fleet register'!$A$7:$S$106,15,FALSE)+VLOOKUP(A266,'Fleet register'!$A$7:$S$106,16,FALSE),0),"n.a."))</f>
        <v>0</v>
      </c>
      <c r="S266" s="1">
        <f>IF(NOT(Paths!$C$30=1),0,IF(Paths!$P$30="Complete",IF(C266=0,0,Paths!$S$30*Paths!$R$30),"n.a."))</f>
        <v>45000</v>
      </c>
      <c r="T266" s="1">
        <f>IF(NOT(Paths!$C$30=1),0,IF(Paths!$P$30="Complete",IF(C266=0,0,VLOOKUP(A266,'Fleet register'!$A$7:$S$106,9,FALSE)*Paths!$R$30),"n.a."))</f>
        <v>7200</v>
      </c>
    </row>
    <row r="267" spans="1:20" ht="24" customHeight="1">
      <c r="A267" s="1" t="str">
        <f>Paths!$A$30</f>
        <v>T006</v>
      </c>
      <c r="B267" s="1">
        <f>Paths!$B$30</f>
        <v>3</v>
      </c>
      <c r="C267" s="1">
        <v>7</v>
      </c>
      <c r="D267" s="1">
        <v>30</v>
      </c>
      <c r="E267" s="1">
        <f>IF(OR(Paths!$C$30=0,C267=0),0,MAX(0,MIN(C267*12,Paths!$E$30)-(C267-1)*12))</f>
        <v>0</v>
      </c>
      <c r="F267" s="1">
        <f>IF(OR(Paths!$C$30=0,C267=0),0,12-E267)</f>
        <v>12</v>
      </c>
      <c r="G267" s="16">
        <f>IF(NOT(Paths!$C$30=1),0,IF(Paths!$P$30="Complete",E267/12*(Paths!$J$30*(1+'Operating costs'!$B$51)^MAX(0,C267-1)+Paths!$K$30*(1+'Operating costs'!$B$53)^MAX(0,C267-1)),"n.a."))</f>
        <v>0</v>
      </c>
      <c r="H267" s="16">
        <f>IF(NOT(Paths!$C$30=1),0,IF(Paths!$P$30="Complete",F267/12*(Paths!$L$30*(1+IF(Paths!$D$30="EV",'Operating costs'!$B$52,'Operating costs'!$B$51))^MAX(0,C267-1)+Paths!$M$30*(1+'Operating costs'!$B$53)^MAX(0,C267-1)),"n.a."))</f>
        <v>18151.349999999999</v>
      </c>
      <c r="I267" s="16">
        <f>IF(NOT(Paths!$C$30=1),0,IF(Paths!$P$30="Complete",IF(IF(Paths!$E$30=0,C267=0,AND(C267&gt;0,Paths!$E$30&gt;(C267-1)*12,Paths!$E$30&lt;=C267*12)),Paths!$G$30,0),"n.a."))</f>
        <v>0</v>
      </c>
      <c r="J267" s="16">
        <f>IF(NOT(Paths!$C$30=1),0,IF(Paths!$P$30="Complete",IF(IF(Paths!$E$30=0,C267=0,AND(C267&gt;0,Paths!$E$30&gt;(C267-1)*12,Paths!$E$30&lt;=C267*12)),Paths!$H$30,0),"n.a."))</f>
        <v>0</v>
      </c>
      <c r="K267" s="16">
        <f>IF(NOT(Paths!$C$30=1),0,IF(Paths!$P$30="Complete",IF(IF(Paths!$O$30=0,C267=0,AND(C267&gt;0,Paths!$O$30&gt;(C267-1)*12,Paths!$O$30&lt;=C267*12)),Paths!$N$30,0),"n.a."))</f>
        <v>0</v>
      </c>
      <c r="L267" s="16">
        <f>IF(NOT(Paths!$C$30=1),0,IF(Paths!$P$30="Complete",IF(C267=10,Paths!$I$30,0),"n.a."))</f>
        <v>0</v>
      </c>
      <c r="M267" s="16">
        <f>IF(NOT(Paths!$C$30=1),0,IF(Paths!$P$30="Complete",IF(AND(Paths!$D$30="EV",Paths!$E$30&lt;120,Paths!$E$30+'Operating costs'!$B$65&gt;Paths!$E$30,Paths!$E$30+'Operating costs'!$B$65&lt;=120,IF(Paths!$E$30+'Operating costs'!$B$65=0,C267=0,AND(C267&gt;0,Paths!$E$30+'Operating costs'!$B$65&gt;(C267-1)*12,Paths!$E$30+'Operating costs'!$B$65&lt;=C267*12))),'Operating costs'!$B$64,0)+IF(AND('Operating costs'!$B$67&gt;0,'Operating costs'!$B$67&lt;=120,OR(Paths!$D$30="ICE",'Operating costs'!$B$67&lt;=Paths!$E$30),IF('Operating costs'!$B$67=0,C267=0,AND(C267&gt;0,'Operating costs'!$B$67&gt;(C267-1)*12,'Operating costs'!$B$67&lt;=C267*12))),'Operating costs'!$B$66,0),"n.a."))</f>
        <v>0</v>
      </c>
      <c r="N267" s="16">
        <f>IF(NOT(Paths!$C$30=1),0,IF(Paths!$P$30="Complete",SUM(G267:I267)-J267-K267-L267+M267+IF(C267=0,Paths!$F$30,0)+IF(IF(Paths!$E$30=0,C267=0,AND(C267&gt;0,Paths!$E$30&gt;(C267-1)*12,Paths!$E$30&lt;=C267*12)),VLOOKUP(A267,'Fleet register'!$A$7:$S$106,16,FALSE),0),"n.a."))</f>
        <v>18151.349999999999</v>
      </c>
      <c r="O267" s="16">
        <f>IF(NOT(Paths!$C$30=1),0,IF(Paths!$P$30="Complete",N267-IF(C267=0,Paths!$F$30,0),"n.a."))</f>
        <v>18151.349999999999</v>
      </c>
      <c r="P267" s="16">
        <f>IF(NOT(Paths!$C$30=1),0,IF(Paths!$P$30="Complete",O267+L267,"n.a."))</f>
        <v>18151.349999999999</v>
      </c>
      <c r="Q267" s="16">
        <f>IF(NOT(Paths!$C$30=1),0,IF(Paths!$P$30="Complete",N267*(1+'Operating costs'!$B$54)^-C267,"n.a."))</f>
        <v>18151.349999999999</v>
      </c>
      <c r="R267" s="16">
        <f>IF(NOT(Paths!$C$30=1),0,IF(Paths!$P$30="Complete",IF(AND(C267=0,Paths!$E$30=0),I267-J267-K267+VLOOKUP(A267,'Fleet register'!$A$7:$S$106,15,FALSE)+VLOOKUP(A267,'Fleet register'!$A$7:$S$106,16,FALSE),0),"n.a."))</f>
        <v>0</v>
      </c>
      <c r="S267" s="1">
        <f>IF(NOT(Paths!$C$30=1),0,IF(Paths!$P$30="Complete",IF(C267=0,0,Paths!$S$30*Paths!$R$30),"n.a."))</f>
        <v>45000</v>
      </c>
      <c r="T267" s="1">
        <f>IF(NOT(Paths!$C$30=1),0,IF(Paths!$P$30="Complete",IF(C267=0,0,VLOOKUP(A267,'Fleet register'!$A$7:$S$106,9,FALSE)*Paths!$R$30),"n.a."))</f>
        <v>7200</v>
      </c>
    </row>
    <row r="268" spans="1:20" ht="24" customHeight="1">
      <c r="A268" s="1" t="str">
        <f>Paths!$A$30</f>
        <v>T006</v>
      </c>
      <c r="B268" s="1">
        <f>Paths!$B$30</f>
        <v>3</v>
      </c>
      <c r="C268" s="1">
        <v>8</v>
      </c>
      <c r="D268" s="1">
        <v>30</v>
      </c>
      <c r="E268" s="1">
        <f>IF(OR(Paths!$C$30=0,C268=0),0,MAX(0,MIN(C268*12,Paths!$E$30)-(C268-1)*12))</f>
        <v>0</v>
      </c>
      <c r="F268" s="1">
        <f>IF(OR(Paths!$C$30=0,C268=0),0,12-E268)</f>
        <v>12</v>
      </c>
      <c r="G268" s="16">
        <f>IF(NOT(Paths!$C$30=1),0,IF(Paths!$P$30="Complete",E268/12*(Paths!$J$30*(1+'Operating costs'!$B$51)^MAX(0,C268-1)+Paths!$K$30*(1+'Operating costs'!$B$53)^MAX(0,C268-1)),"n.a."))</f>
        <v>0</v>
      </c>
      <c r="H268" s="16">
        <f>IF(NOT(Paths!$C$30=1),0,IF(Paths!$P$30="Complete",F268/12*(Paths!$L$30*(1+IF(Paths!$D$30="EV",'Operating costs'!$B$52,'Operating costs'!$B$51))^MAX(0,C268-1)+Paths!$M$30*(1+'Operating costs'!$B$53)^MAX(0,C268-1)),"n.a."))</f>
        <v>18151.349999999999</v>
      </c>
      <c r="I268" s="16">
        <f>IF(NOT(Paths!$C$30=1),0,IF(Paths!$P$30="Complete",IF(IF(Paths!$E$30=0,C268=0,AND(C268&gt;0,Paths!$E$30&gt;(C268-1)*12,Paths!$E$30&lt;=C268*12)),Paths!$G$30,0),"n.a."))</f>
        <v>0</v>
      </c>
      <c r="J268" s="16">
        <f>IF(NOT(Paths!$C$30=1),0,IF(Paths!$P$30="Complete",IF(IF(Paths!$E$30=0,C268=0,AND(C268&gt;0,Paths!$E$30&gt;(C268-1)*12,Paths!$E$30&lt;=C268*12)),Paths!$H$30,0),"n.a."))</f>
        <v>0</v>
      </c>
      <c r="K268" s="16">
        <f>IF(NOT(Paths!$C$30=1),0,IF(Paths!$P$30="Complete",IF(IF(Paths!$O$30=0,C268=0,AND(C268&gt;0,Paths!$O$30&gt;(C268-1)*12,Paths!$O$30&lt;=C268*12)),Paths!$N$30,0),"n.a."))</f>
        <v>0</v>
      </c>
      <c r="L268" s="16">
        <f>IF(NOT(Paths!$C$30=1),0,IF(Paths!$P$30="Complete",IF(C268=10,Paths!$I$30,0),"n.a."))</f>
        <v>0</v>
      </c>
      <c r="M268" s="16">
        <f>IF(NOT(Paths!$C$30=1),0,IF(Paths!$P$30="Complete",IF(AND(Paths!$D$30="EV",Paths!$E$30&lt;120,Paths!$E$30+'Operating costs'!$B$65&gt;Paths!$E$30,Paths!$E$30+'Operating costs'!$B$65&lt;=120,IF(Paths!$E$30+'Operating costs'!$B$65=0,C268=0,AND(C268&gt;0,Paths!$E$30+'Operating costs'!$B$65&gt;(C268-1)*12,Paths!$E$30+'Operating costs'!$B$65&lt;=C268*12))),'Operating costs'!$B$64,0)+IF(AND('Operating costs'!$B$67&gt;0,'Operating costs'!$B$67&lt;=120,OR(Paths!$D$30="ICE",'Operating costs'!$B$67&lt;=Paths!$E$30),IF('Operating costs'!$B$67=0,C268=0,AND(C268&gt;0,'Operating costs'!$B$67&gt;(C268-1)*12,'Operating costs'!$B$67&lt;=C268*12))),'Operating costs'!$B$66,0),"n.a."))</f>
        <v>0</v>
      </c>
      <c r="N268" s="16">
        <f>IF(NOT(Paths!$C$30=1),0,IF(Paths!$P$30="Complete",SUM(G268:I268)-J268-K268-L268+M268+IF(C268=0,Paths!$F$30,0)+IF(IF(Paths!$E$30=0,C268=0,AND(C268&gt;0,Paths!$E$30&gt;(C268-1)*12,Paths!$E$30&lt;=C268*12)),VLOOKUP(A268,'Fleet register'!$A$7:$S$106,16,FALSE),0),"n.a."))</f>
        <v>18151.349999999999</v>
      </c>
      <c r="O268" s="16">
        <f>IF(NOT(Paths!$C$30=1),0,IF(Paths!$P$30="Complete",N268-IF(C268=0,Paths!$F$30,0),"n.a."))</f>
        <v>18151.349999999999</v>
      </c>
      <c r="P268" s="16">
        <f>IF(NOT(Paths!$C$30=1),0,IF(Paths!$P$30="Complete",O268+L268,"n.a."))</f>
        <v>18151.349999999999</v>
      </c>
      <c r="Q268" s="16">
        <f>IF(NOT(Paths!$C$30=1),0,IF(Paths!$P$30="Complete",N268*(1+'Operating costs'!$B$54)^-C268,"n.a."))</f>
        <v>18151.349999999999</v>
      </c>
      <c r="R268" s="16">
        <f>IF(NOT(Paths!$C$30=1),0,IF(Paths!$P$30="Complete",IF(AND(C268=0,Paths!$E$30=0),I268-J268-K268+VLOOKUP(A268,'Fleet register'!$A$7:$S$106,15,FALSE)+VLOOKUP(A268,'Fleet register'!$A$7:$S$106,16,FALSE),0),"n.a."))</f>
        <v>0</v>
      </c>
      <c r="S268" s="1">
        <f>IF(NOT(Paths!$C$30=1),0,IF(Paths!$P$30="Complete",IF(C268=0,0,Paths!$S$30*Paths!$R$30),"n.a."))</f>
        <v>45000</v>
      </c>
      <c r="T268" s="1">
        <f>IF(NOT(Paths!$C$30=1),0,IF(Paths!$P$30="Complete",IF(C268=0,0,VLOOKUP(A268,'Fleet register'!$A$7:$S$106,9,FALSE)*Paths!$R$30),"n.a."))</f>
        <v>7200</v>
      </c>
    </row>
    <row r="269" spans="1:20" ht="24" customHeight="1">
      <c r="A269" s="1" t="str">
        <f>Paths!$A$30</f>
        <v>T006</v>
      </c>
      <c r="B269" s="1">
        <f>Paths!$B$30</f>
        <v>3</v>
      </c>
      <c r="C269" s="1">
        <v>9</v>
      </c>
      <c r="D269" s="1">
        <v>30</v>
      </c>
      <c r="E269" s="1">
        <f>IF(OR(Paths!$C$30=0,C269=0),0,MAX(0,MIN(C269*12,Paths!$E$30)-(C269-1)*12))</f>
        <v>0</v>
      </c>
      <c r="F269" s="1">
        <f>IF(OR(Paths!$C$30=0,C269=0),0,12-E269)</f>
        <v>12</v>
      </c>
      <c r="G269" s="16">
        <f>IF(NOT(Paths!$C$30=1),0,IF(Paths!$P$30="Complete",E269/12*(Paths!$J$30*(1+'Operating costs'!$B$51)^MAX(0,C269-1)+Paths!$K$30*(1+'Operating costs'!$B$53)^MAX(0,C269-1)),"n.a."))</f>
        <v>0</v>
      </c>
      <c r="H269" s="16">
        <f>IF(NOT(Paths!$C$30=1),0,IF(Paths!$P$30="Complete",F269/12*(Paths!$L$30*(1+IF(Paths!$D$30="EV",'Operating costs'!$B$52,'Operating costs'!$B$51))^MAX(0,C269-1)+Paths!$M$30*(1+'Operating costs'!$B$53)^MAX(0,C269-1)),"n.a."))</f>
        <v>18151.349999999999</v>
      </c>
      <c r="I269" s="16">
        <f>IF(NOT(Paths!$C$30=1),0,IF(Paths!$P$30="Complete",IF(IF(Paths!$E$30=0,C269=0,AND(C269&gt;0,Paths!$E$30&gt;(C269-1)*12,Paths!$E$30&lt;=C269*12)),Paths!$G$30,0),"n.a."))</f>
        <v>0</v>
      </c>
      <c r="J269" s="16">
        <f>IF(NOT(Paths!$C$30=1),0,IF(Paths!$P$30="Complete",IF(IF(Paths!$E$30=0,C269=0,AND(C269&gt;0,Paths!$E$30&gt;(C269-1)*12,Paths!$E$30&lt;=C269*12)),Paths!$H$30,0),"n.a."))</f>
        <v>0</v>
      </c>
      <c r="K269" s="16">
        <f>IF(NOT(Paths!$C$30=1),0,IF(Paths!$P$30="Complete",IF(IF(Paths!$O$30=0,C269=0,AND(C269&gt;0,Paths!$O$30&gt;(C269-1)*12,Paths!$O$30&lt;=C269*12)),Paths!$N$30,0),"n.a."))</f>
        <v>0</v>
      </c>
      <c r="L269" s="16">
        <f>IF(NOT(Paths!$C$30=1),0,IF(Paths!$P$30="Complete",IF(C269=10,Paths!$I$30,0),"n.a."))</f>
        <v>0</v>
      </c>
      <c r="M269" s="16">
        <f>IF(NOT(Paths!$C$30=1),0,IF(Paths!$P$30="Complete",IF(AND(Paths!$D$30="EV",Paths!$E$30&lt;120,Paths!$E$30+'Operating costs'!$B$65&gt;Paths!$E$30,Paths!$E$30+'Operating costs'!$B$65&lt;=120,IF(Paths!$E$30+'Operating costs'!$B$65=0,C269=0,AND(C269&gt;0,Paths!$E$30+'Operating costs'!$B$65&gt;(C269-1)*12,Paths!$E$30+'Operating costs'!$B$65&lt;=C269*12))),'Operating costs'!$B$64,0)+IF(AND('Operating costs'!$B$67&gt;0,'Operating costs'!$B$67&lt;=120,OR(Paths!$D$30="ICE",'Operating costs'!$B$67&lt;=Paths!$E$30),IF('Operating costs'!$B$67=0,C269=0,AND(C269&gt;0,'Operating costs'!$B$67&gt;(C269-1)*12,'Operating costs'!$B$67&lt;=C269*12))),'Operating costs'!$B$66,0),"n.a."))</f>
        <v>0</v>
      </c>
      <c r="N269" s="16">
        <f>IF(NOT(Paths!$C$30=1),0,IF(Paths!$P$30="Complete",SUM(G269:I269)-J269-K269-L269+M269+IF(C269=0,Paths!$F$30,0)+IF(IF(Paths!$E$30=0,C269=0,AND(C269&gt;0,Paths!$E$30&gt;(C269-1)*12,Paths!$E$30&lt;=C269*12)),VLOOKUP(A269,'Fleet register'!$A$7:$S$106,16,FALSE),0),"n.a."))</f>
        <v>18151.349999999999</v>
      </c>
      <c r="O269" s="16">
        <f>IF(NOT(Paths!$C$30=1),0,IF(Paths!$P$30="Complete",N269-IF(C269=0,Paths!$F$30,0),"n.a."))</f>
        <v>18151.349999999999</v>
      </c>
      <c r="P269" s="16">
        <f>IF(NOT(Paths!$C$30=1),0,IF(Paths!$P$30="Complete",O269+L269,"n.a."))</f>
        <v>18151.349999999999</v>
      </c>
      <c r="Q269" s="16">
        <f>IF(NOT(Paths!$C$30=1),0,IF(Paths!$P$30="Complete",N269*(1+'Operating costs'!$B$54)^-C269,"n.a."))</f>
        <v>18151.349999999999</v>
      </c>
      <c r="R269" s="16">
        <f>IF(NOT(Paths!$C$30=1),0,IF(Paths!$P$30="Complete",IF(AND(C269=0,Paths!$E$30=0),I269-J269-K269+VLOOKUP(A269,'Fleet register'!$A$7:$S$106,15,FALSE)+VLOOKUP(A269,'Fleet register'!$A$7:$S$106,16,FALSE),0),"n.a."))</f>
        <v>0</v>
      </c>
      <c r="S269" s="1">
        <f>IF(NOT(Paths!$C$30=1),0,IF(Paths!$P$30="Complete",IF(C269=0,0,Paths!$S$30*Paths!$R$30),"n.a."))</f>
        <v>45000</v>
      </c>
      <c r="T269" s="1">
        <f>IF(NOT(Paths!$C$30=1),0,IF(Paths!$P$30="Complete",IF(C269=0,0,VLOOKUP(A269,'Fleet register'!$A$7:$S$106,9,FALSE)*Paths!$R$30),"n.a."))</f>
        <v>7200</v>
      </c>
    </row>
    <row r="270" spans="1:20" ht="24" customHeight="1">
      <c r="A270" s="1" t="str">
        <f>Paths!$A$30</f>
        <v>T006</v>
      </c>
      <c r="B270" s="1">
        <f>Paths!$B$30</f>
        <v>3</v>
      </c>
      <c r="C270" s="1">
        <v>10</v>
      </c>
      <c r="D270" s="1">
        <v>30</v>
      </c>
      <c r="E270" s="1">
        <f>IF(OR(Paths!$C$30=0,C270=0),0,MAX(0,MIN(C270*12,Paths!$E$30)-(C270-1)*12))</f>
        <v>0</v>
      </c>
      <c r="F270" s="1">
        <f>IF(OR(Paths!$C$30=0,C270=0),0,12-E270)</f>
        <v>12</v>
      </c>
      <c r="G270" s="16">
        <f>IF(NOT(Paths!$C$30=1),0,IF(Paths!$P$30="Complete",E270/12*(Paths!$J$30*(1+'Operating costs'!$B$51)^MAX(0,C270-1)+Paths!$K$30*(1+'Operating costs'!$B$53)^MAX(0,C270-1)),"n.a."))</f>
        <v>0</v>
      </c>
      <c r="H270" s="16">
        <f>IF(NOT(Paths!$C$30=1),0,IF(Paths!$P$30="Complete",F270/12*(Paths!$L$30*(1+IF(Paths!$D$30="EV",'Operating costs'!$B$52,'Operating costs'!$B$51))^MAX(0,C270-1)+Paths!$M$30*(1+'Operating costs'!$B$53)^MAX(0,C270-1)),"n.a."))</f>
        <v>18151.349999999999</v>
      </c>
      <c r="I270" s="16">
        <f>IF(NOT(Paths!$C$30=1),0,IF(Paths!$P$30="Complete",IF(IF(Paths!$E$30=0,C270=0,AND(C270&gt;0,Paths!$E$30&gt;(C270-1)*12,Paths!$E$30&lt;=C270*12)),Paths!$G$30,0),"n.a."))</f>
        <v>0</v>
      </c>
      <c r="J270" s="16">
        <f>IF(NOT(Paths!$C$30=1),0,IF(Paths!$P$30="Complete",IF(IF(Paths!$E$30=0,C270=0,AND(C270&gt;0,Paths!$E$30&gt;(C270-1)*12,Paths!$E$30&lt;=C270*12)),Paths!$H$30,0),"n.a."))</f>
        <v>0</v>
      </c>
      <c r="K270" s="16">
        <f>IF(NOT(Paths!$C$30=1),0,IF(Paths!$P$30="Complete",IF(IF(Paths!$O$30=0,C270=0,AND(C270&gt;0,Paths!$O$30&gt;(C270-1)*12,Paths!$O$30&lt;=C270*12)),Paths!$N$30,0),"n.a."))</f>
        <v>0</v>
      </c>
      <c r="L270" s="16">
        <f>IF(NOT(Paths!$C$30=1),0,IF(Paths!$P$30="Complete",IF(C270=10,Paths!$I$30,0),"n.a."))</f>
        <v>67800</v>
      </c>
      <c r="M270" s="16">
        <f>IF(NOT(Paths!$C$30=1),0,IF(Paths!$P$30="Complete",IF(AND(Paths!$D$30="EV",Paths!$E$30&lt;120,Paths!$E$30+'Operating costs'!$B$65&gt;Paths!$E$30,Paths!$E$30+'Operating costs'!$B$65&lt;=120,IF(Paths!$E$30+'Operating costs'!$B$65=0,C270=0,AND(C270&gt;0,Paths!$E$30+'Operating costs'!$B$65&gt;(C270-1)*12,Paths!$E$30+'Operating costs'!$B$65&lt;=C270*12))),'Operating costs'!$B$64,0)+IF(AND('Operating costs'!$B$67&gt;0,'Operating costs'!$B$67&lt;=120,OR(Paths!$D$30="ICE",'Operating costs'!$B$67&lt;=Paths!$E$30),IF('Operating costs'!$B$67=0,C270=0,AND(C270&gt;0,'Operating costs'!$B$67&gt;(C270-1)*12,'Operating costs'!$B$67&lt;=C270*12))),'Operating costs'!$B$66,0),"n.a."))</f>
        <v>0</v>
      </c>
      <c r="N270" s="16">
        <f>IF(NOT(Paths!$C$30=1),0,IF(Paths!$P$30="Complete",SUM(G270:I270)-J270-K270-L270+M270+IF(C270=0,Paths!$F$30,0)+IF(IF(Paths!$E$30=0,C270=0,AND(C270&gt;0,Paths!$E$30&gt;(C270-1)*12,Paths!$E$30&lt;=C270*12)),VLOOKUP(A270,'Fleet register'!$A$7:$S$106,16,FALSE),0),"n.a."))</f>
        <v>-49648.65</v>
      </c>
      <c r="O270" s="16">
        <f>IF(NOT(Paths!$C$30=1),0,IF(Paths!$P$30="Complete",N270-IF(C270=0,Paths!$F$30,0),"n.a."))</f>
        <v>-49648.65</v>
      </c>
      <c r="P270" s="16">
        <f>IF(NOT(Paths!$C$30=1),0,IF(Paths!$P$30="Complete",O270+L270,"n.a."))</f>
        <v>18151.349999999999</v>
      </c>
      <c r="Q270" s="16">
        <f>IF(NOT(Paths!$C$30=1),0,IF(Paths!$P$30="Complete",N270*(1+'Operating costs'!$B$54)^-C270,"n.a."))</f>
        <v>-49648.65</v>
      </c>
      <c r="R270" s="16">
        <f>IF(NOT(Paths!$C$30=1),0,IF(Paths!$P$30="Complete",IF(AND(C270=0,Paths!$E$30=0),I270-J270-K270+VLOOKUP(A270,'Fleet register'!$A$7:$S$106,15,FALSE)+VLOOKUP(A270,'Fleet register'!$A$7:$S$106,16,FALSE),0),"n.a."))</f>
        <v>0</v>
      </c>
      <c r="S270" s="1">
        <f>IF(NOT(Paths!$C$30=1),0,IF(Paths!$P$30="Complete",IF(C270=0,0,Paths!$S$30*Paths!$R$30),"n.a."))</f>
        <v>45000</v>
      </c>
      <c r="T270" s="1">
        <f>IF(NOT(Paths!$C$30=1),0,IF(Paths!$P$30="Complete",IF(C270=0,0,VLOOKUP(A270,'Fleet register'!$A$7:$S$106,9,FALSE)*Paths!$R$30),"n.a."))</f>
        <v>7200</v>
      </c>
    </row>
    <row r="271" spans="1:20" ht="24" customHeight="1">
      <c r="A271" s="1" t="str">
        <f>Paths!$A$31</f>
        <v>T007</v>
      </c>
      <c r="B271" s="1">
        <f>Paths!$B$31</f>
        <v>0</v>
      </c>
      <c r="C271" s="1">
        <v>0</v>
      </c>
      <c r="D271" s="1">
        <v>31</v>
      </c>
      <c r="E271" s="1">
        <f>IF(OR(Paths!$C$31=0,C271=0),0,MAX(0,MIN(C271*12,Paths!$E$31)-(C271-1)*12))</f>
        <v>0</v>
      </c>
      <c r="F271" s="1">
        <f>IF(OR(Paths!$C$31=0,C271=0),0,12-E271)</f>
        <v>0</v>
      </c>
      <c r="G271" s="16">
        <f>IF(NOT(Paths!$C$31=1),0,IF(Paths!$P$31="Complete",E271/12*(Paths!$J$31*(1+'Operating costs'!$B$51)^MAX(0,C271-1)+Paths!$K$31*(1+'Operating costs'!$B$53)^MAX(0,C271-1)),"n.a."))</f>
        <v>0</v>
      </c>
      <c r="H271" s="16">
        <f>IF(NOT(Paths!$C$31=1),0,IF(Paths!$P$31="Complete",F271/12*(Paths!$L$31*(1+IF(Paths!$D$31="EV",'Operating costs'!$B$52,'Operating costs'!$B$51))^MAX(0,C271-1)+Paths!$M$31*(1+'Operating costs'!$B$53)^MAX(0,C271-1)),"n.a."))</f>
        <v>0</v>
      </c>
      <c r="I271" s="16">
        <f>IF(NOT(Paths!$C$31=1),0,IF(Paths!$P$31="Complete",IF(IF(Paths!$E$31=0,C271=0,AND(C271&gt;0,Paths!$E$31&gt;(C271-1)*12,Paths!$E$31&lt;=C271*12)),Paths!$G$31,0),"n.a."))</f>
        <v>0</v>
      </c>
      <c r="J271" s="16">
        <f>IF(NOT(Paths!$C$31=1),0,IF(Paths!$P$31="Complete",IF(IF(Paths!$E$31=0,C271=0,AND(C271&gt;0,Paths!$E$31&gt;(C271-1)*12,Paths!$E$31&lt;=C271*12)),Paths!$H$31,0),"n.a."))</f>
        <v>0</v>
      </c>
      <c r="K271" s="16">
        <f>IF(NOT(Paths!$C$31=1),0,IF(Paths!$P$31="Complete",IF(IF(Paths!$O$31=0,C271=0,AND(C271&gt;0,Paths!$O$31&gt;(C271-1)*12,Paths!$O$31&lt;=C271*12)),Paths!$N$31,0),"n.a."))</f>
        <v>0</v>
      </c>
      <c r="L271" s="16">
        <f>IF(NOT(Paths!$C$31=1),0,IF(Paths!$P$31="Complete",IF(C271=10,Paths!$I$31,0),"n.a."))</f>
        <v>0</v>
      </c>
      <c r="M271" s="16">
        <f>IF(NOT(Paths!$C$31=1),0,IF(Paths!$P$31="Complete",IF(AND(Paths!$D$31="EV",Paths!$E$31&lt;120,Paths!$E$31+'Operating costs'!$B$65&gt;Paths!$E$31,Paths!$E$31+'Operating costs'!$B$65&lt;=120,IF(Paths!$E$31+'Operating costs'!$B$65=0,C271=0,AND(C271&gt;0,Paths!$E$31+'Operating costs'!$B$65&gt;(C271-1)*12,Paths!$E$31+'Operating costs'!$B$65&lt;=C271*12))),'Operating costs'!$B$64,0)+IF(AND('Operating costs'!$B$67&gt;0,'Operating costs'!$B$67&lt;=120,OR(Paths!$D$31="ICE",'Operating costs'!$B$67&lt;=Paths!$E$31),IF('Operating costs'!$B$67=0,C271=0,AND(C271&gt;0,'Operating costs'!$B$67&gt;(C271-1)*12,'Operating costs'!$B$67&lt;=C271*12))),'Operating costs'!$B$66,0),"n.a."))</f>
        <v>0</v>
      </c>
      <c r="N271" s="16">
        <f>IF(NOT(Paths!$C$31=1),0,IF(Paths!$P$31="Complete",SUM(G271:I271)-J271-K271-L271+M271+IF(C271=0,Paths!$F$31,0)+IF(IF(Paths!$E$31=0,C271=0,AND(C271&gt;0,Paths!$E$31&gt;(C271-1)*12,Paths!$E$31&lt;=C271*12)),VLOOKUP(A271,'Fleet register'!$A$7:$S$106,16,FALSE),0),"n.a."))</f>
        <v>0</v>
      </c>
      <c r="O271" s="16">
        <f>IF(NOT(Paths!$C$31=1),0,IF(Paths!$P$31="Complete",N271-IF(C271=0,Paths!$F$31,0),"n.a."))</f>
        <v>0</v>
      </c>
      <c r="P271" s="16">
        <f>IF(NOT(Paths!$C$31=1),0,IF(Paths!$P$31="Complete",O271+L271,"n.a."))</f>
        <v>0</v>
      </c>
      <c r="Q271" s="16">
        <f>IF(NOT(Paths!$C$31=1),0,IF(Paths!$P$31="Complete",N271*(1+'Operating costs'!$B$54)^-C271,"n.a."))</f>
        <v>0</v>
      </c>
      <c r="R271" s="16">
        <f>IF(NOT(Paths!$C$31=1),0,IF(Paths!$P$31="Complete",IF(AND(C271=0,Paths!$E$31=0),I271-J271-K271+VLOOKUP(A271,'Fleet register'!$A$7:$S$106,15,FALSE)+VLOOKUP(A271,'Fleet register'!$A$7:$S$106,16,FALSE),0),"n.a."))</f>
        <v>0</v>
      </c>
      <c r="S271" s="1">
        <f>IF(NOT(Paths!$C$31=1),0,IF(Paths!$P$31="Complete",IF(C271=0,0,Paths!$S$31*Paths!$R$31),"n.a."))</f>
        <v>0</v>
      </c>
      <c r="T271" s="1">
        <f>IF(NOT(Paths!$C$31=1),0,IF(Paths!$P$31="Complete",IF(C271=0,0,VLOOKUP(A271,'Fleet register'!$A$7:$S$106,9,FALSE)*Paths!$R$31),"n.a."))</f>
        <v>0</v>
      </c>
    </row>
    <row r="272" spans="1:20" ht="24" customHeight="1">
      <c r="A272" s="1" t="str">
        <f>Paths!$A$31</f>
        <v>T007</v>
      </c>
      <c r="B272" s="1">
        <f>Paths!$B$31</f>
        <v>0</v>
      </c>
      <c r="C272" s="1">
        <v>1</v>
      </c>
      <c r="D272" s="1">
        <v>31</v>
      </c>
      <c r="E272" s="1">
        <f>IF(OR(Paths!$C$31=0,C272=0),0,MAX(0,MIN(C272*12,Paths!$E$31)-(C272-1)*12))</f>
        <v>0</v>
      </c>
      <c r="F272" s="1">
        <f>IF(OR(Paths!$C$31=0,C272=0),0,12-E272)</f>
        <v>0</v>
      </c>
      <c r="G272" s="16">
        <f>IF(NOT(Paths!$C$31=1),0,IF(Paths!$P$31="Complete",E272/12*(Paths!$J$31*(1+'Operating costs'!$B$51)^MAX(0,C272-1)+Paths!$K$31*(1+'Operating costs'!$B$53)^MAX(0,C272-1)),"n.a."))</f>
        <v>0</v>
      </c>
      <c r="H272" s="16">
        <f>IF(NOT(Paths!$C$31=1),0,IF(Paths!$P$31="Complete",F272/12*(Paths!$L$31*(1+IF(Paths!$D$31="EV",'Operating costs'!$B$52,'Operating costs'!$B$51))^MAX(0,C272-1)+Paths!$M$31*(1+'Operating costs'!$B$53)^MAX(0,C272-1)),"n.a."))</f>
        <v>0</v>
      </c>
      <c r="I272" s="16">
        <f>IF(NOT(Paths!$C$31=1),0,IF(Paths!$P$31="Complete",IF(IF(Paths!$E$31=0,C272=0,AND(C272&gt;0,Paths!$E$31&gt;(C272-1)*12,Paths!$E$31&lt;=C272*12)),Paths!$G$31,0),"n.a."))</f>
        <v>0</v>
      </c>
      <c r="J272" s="16">
        <f>IF(NOT(Paths!$C$31=1),0,IF(Paths!$P$31="Complete",IF(IF(Paths!$E$31=0,C272=0,AND(C272&gt;0,Paths!$E$31&gt;(C272-1)*12,Paths!$E$31&lt;=C272*12)),Paths!$H$31,0),"n.a."))</f>
        <v>0</v>
      </c>
      <c r="K272" s="16">
        <f>IF(NOT(Paths!$C$31=1),0,IF(Paths!$P$31="Complete",IF(IF(Paths!$O$31=0,C272=0,AND(C272&gt;0,Paths!$O$31&gt;(C272-1)*12,Paths!$O$31&lt;=C272*12)),Paths!$N$31,0),"n.a."))</f>
        <v>0</v>
      </c>
      <c r="L272" s="16">
        <f>IF(NOT(Paths!$C$31=1),0,IF(Paths!$P$31="Complete",IF(C272=10,Paths!$I$31,0),"n.a."))</f>
        <v>0</v>
      </c>
      <c r="M272" s="16">
        <f>IF(NOT(Paths!$C$31=1),0,IF(Paths!$P$31="Complete",IF(AND(Paths!$D$31="EV",Paths!$E$31&lt;120,Paths!$E$31+'Operating costs'!$B$65&gt;Paths!$E$31,Paths!$E$31+'Operating costs'!$B$65&lt;=120,IF(Paths!$E$31+'Operating costs'!$B$65=0,C272=0,AND(C272&gt;0,Paths!$E$31+'Operating costs'!$B$65&gt;(C272-1)*12,Paths!$E$31+'Operating costs'!$B$65&lt;=C272*12))),'Operating costs'!$B$64,0)+IF(AND('Operating costs'!$B$67&gt;0,'Operating costs'!$B$67&lt;=120,OR(Paths!$D$31="ICE",'Operating costs'!$B$67&lt;=Paths!$E$31),IF('Operating costs'!$B$67=0,C272=0,AND(C272&gt;0,'Operating costs'!$B$67&gt;(C272-1)*12,'Operating costs'!$B$67&lt;=C272*12))),'Operating costs'!$B$66,0),"n.a."))</f>
        <v>0</v>
      </c>
      <c r="N272" s="16">
        <f>IF(NOT(Paths!$C$31=1),0,IF(Paths!$P$31="Complete",SUM(G272:I272)-J272-K272-L272+M272+IF(C272=0,Paths!$F$31,0)+IF(IF(Paths!$E$31=0,C272=0,AND(C272&gt;0,Paths!$E$31&gt;(C272-1)*12,Paths!$E$31&lt;=C272*12)),VLOOKUP(A272,'Fleet register'!$A$7:$S$106,16,FALSE),0),"n.a."))</f>
        <v>0</v>
      </c>
      <c r="O272" s="16">
        <f>IF(NOT(Paths!$C$31=1),0,IF(Paths!$P$31="Complete",N272-IF(C272=0,Paths!$F$31,0),"n.a."))</f>
        <v>0</v>
      </c>
      <c r="P272" s="16">
        <f>IF(NOT(Paths!$C$31=1),0,IF(Paths!$P$31="Complete",O272+L272,"n.a."))</f>
        <v>0</v>
      </c>
      <c r="Q272" s="16">
        <f>IF(NOT(Paths!$C$31=1),0,IF(Paths!$P$31="Complete",N272*(1+'Operating costs'!$B$54)^-C272,"n.a."))</f>
        <v>0</v>
      </c>
      <c r="R272" s="16">
        <f>IF(NOT(Paths!$C$31=1),0,IF(Paths!$P$31="Complete",IF(AND(C272=0,Paths!$E$31=0),I272-J272-K272+VLOOKUP(A272,'Fleet register'!$A$7:$S$106,15,FALSE)+VLOOKUP(A272,'Fleet register'!$A$7:$S$106,16,FALSE),0),"n.a."))</f>
        <v>0</v>
      </c>
      <c r="S272" s="1">
        <f>IF(NOT(Paths!$C$31=1),0,IF(Paths!$P$31="Complete",IF(C272=0,0,Paths!$S$31*Paths!$R$31),"n.a."))</f>
        <v>0</v>
      </c>
      <c r="T272" s="1">
        <f>IF(NOT(Paths!$C$31=1),0,IF(Paths!$P$31="Complete",IF(C272=0,0,VLOOKUP(A272,'Fleet register'!$A$7:$S$106,9,FALSE)*Paths!$R$31),"n.a."))</f>
        <v>0</v>
      </c>
    </row>
    <row r="273" spans="1:20" ht="24" customHeight="1">
      <c r="A273" s="1" t="str">
        <f>Paths!$A$31</f>
        <v>T007</v>
      </c>
      <c r="B273" s="1">
        <f>Paths!$B$31</f>
        <v>0</v>
      </c>
      <c r="C273" s="1">
        <v>2</v>
      </c>
      <c r="D273" s="1">
        <v>31</v>
      </c>
      <c r="E273" s="1">
        <f>IF(OR(Paths!$C$31=0,C273=0),0,MAX(0,MIN(C273*12,Paths!$E$31)-(C273-1)*12))</f>
        <v>0</v>
      </c>
      <c r="F273" s="1">
        <f>IF(OR(Paths!$C$31=0,C273=0),0,12-E273)</f>
        <v>0</v>
      </c>
      <c r="G273" s="16">
        <f>IF(NOT(Paths!$C$31=1),0,IF(Paths!$P$31="Complete",E273/12*(Paths!$J$31*(1+'Operating costs'!$B$51)^MAX(0,C273-1)+Paths!$K$31*(1+'Operating costs'!$B$53)^MAX(0,C273-1)),"n.a."))</f>
        <v>0</v>
      </c>
      <c r="H273" s="16">
        <f>IF(NOT(Paths!$C$31=1),0,IF(Paths!$P$31="Complete",F273/12*(Paths!$L$31*(1+IF(Paths!$D$31="EV",'Operating costs'!$B$52,'Operating costs'!$B$51))^MAX(0,C273-1)+Paths!$M$31*(1+'Operating costs'!$B$53)^MAX(0,C273-1)),"n.a."))</f>
        <v>0</v>
      </c>
      <c r="I273" s="16">
        <f>IF(NOT(Paths!$C$31=1),0,IF(Paths!$P$31="Complete",IF(IF(Paths!$E$31=0,C273=0,AND(C273&gt;0,Paths!$E$31&gt;(C273-1)*12,Paths!$E$31&lt;=C273*12)),Paths!$G$31,0),"n.a."))</f>
        <v>0</v>
      </c>
      <c r="J273" s="16">
        <f>IF(NOT(Paths!$C$31=1),0,IF(Paths!$P$31="Complete",IF(IF(Paths!$E$31=0,C273=0,AND(C273&gt;0,Paths!$E$31&gt;(C273-1)*12,Paths!$E$31&lt;=C273*12)),Paths!$H$31,0),"n.a."))</f>
        <v>0</v>
      </c>
      <c r="K273" s="16">
        <f>IF(NOT(Paths!$C$31=1),0,IF(Paths!$P$31="Complete",IF(IF(Paths!$O$31=0,C273=0,AND(C273&gt;0,Paths!$O$31&gt;(C273-1)*12,Paths!$O$31&lt;=C273*12)),Paths!$N$31,0),"n.a."))</f>
        <v>0</v>
      </c>
      <c r="L273" s="16">
        <f>IF(NOT(Paths!$C$31=1),0,IF(Paths!$P$31="Complete",IF(C273=10,Paths!$I$31,0),"n.a."))</f>
        <v>0</v>
      </c>
      <c r="M273" s="16">
        <f>IF(NOT(Paths!$C$31=1),0,IF(Paths!$P$31="Complete",IF(AND(Paths!$D$31="EV",Paths!$E$31&lt;120,Paths!$E$31+'Operating costs'!$B$65&gt;Paths!$E$31,Paths!$E$31+'Operating costs'!$B$65&lt;=120,IF(Paths!$E$31+'Operating costs'!$B$65=0,C273=0,AND(C273&gt;0,Paths!$E$31+'Operating costs'!$B$65&gt;(C273-1)*12,Paths!$E$31+'Operating costs'!$B$65&lt;=C273*12))),'Operating costs'!$B$64,0)+IF(AND('Operating costs'!$B$67&gt;0,'Operating costs'!$B$67&lt;=120,OR(Paths!$D$31="ICE",'Operating costs'!$B$67&lt;=Paths!$E$31),IF('Operating costs'!$B$67=0,C273=0,AND(C273&gt;0,'Operating costs'!$B$67&gt;(C273-1)*12,'Operating costs'!$B$67&lt;=C273*12))),'Operating costs'!$B$66,0),"n.a."))</f>
        <v>0</v>
      </c>
      <c r="N273" s="16">
        <f>IF(NOT(Paths!$C$31=1),0,IF(Paths!$P$31="Complete",SUM(G273:I273)-J273-K273-L273+M273+IF(C273=0,Paths!$F$31,0)+IF(IF(Paths!$E$31=0,C273=0,AND(C273&gt;0,Paths!$E$31&gt;(C273-1)*12,Paths!$E$31&lt;=C273*12)),VLOOKUP(A273,'Fleet register'!$A$7:$S$106,16,FALSE),0),"n.a."))</f>
        <v>0</v>
      </c>
      <c r="O273" s="16">
        <f>IF(NOT(Paths!$C$31=1),0,IF(Paths!$P$31="Complete",N273-IF(C273=0,Paths!$F$31,0),"n.a."))</f>
        <v>0</v>
      </c>
      <c r="P273" s="16">
        <f>IF(NOT(Paths!$C$31=1),0,IF(Paths!$P$31="Complete",O273+L273,"n.a."))</f>
        <v>0</v>
      </c>
      <c r="Q273" s="16">
        <f>IF(NOT(Paths!$C$31=1),0,IF(Paths!$P$31="Complete",N273*(1+'Operating costs'!$B$54)^-C273,"n.a."))</f>
        <v>0</v>
      </c>
      <c r="R273" s="16">
        <f>IF(NOT(Paths!$C$31=1),0,IF(Paths!$P$31="Complete",IF(AND(C273=0,Paths!$E$31=0),I273-J273-K273+VLOOKUP(A273,'Fleet register'!$A$7:$S$106,15,FALSE)+VLOOKUP(A273,'Fleet register'!$A$7:$S$106,16,FALSE),0),"n.a."))</f>
        <v>0</v>
      </c>
      <c r="S273" s="1">
        <f>IF(NOT(Paths!$C$31=1),0,IF(Paths!$P$31="Complete",IF(C273=0,0,Paths!$S$31*Paths!$R$31),"n.a."))</f>
        <v>0</v>
      </c>
      <c r="T273" s="1">
        <f>IF(NOT(Paths!$C$31=1),0,IF(Paths!$P$31="Complete",IF(C273=0,0,VLOOKUP(A273,'Fleet register'!$A$7:$S$106,9,FALSE)*Paths!$R$31),"n.a."))</f>
        <v>0</v>
      </c>
    </row>
    <row r="274" spans="1:20" ht="24" customHeight="1">
      <c r="A274" s="1" t="str">
        <f>Paths!$A$31</f>
        <v>T007</v>
      </c>
      <c r="B274" s="1">
        <f>Paths!$B$31</f>
        <v>0</v>
      </c>
      <c r="C274" s="1">
        <v>3</v>
      </c>
      <c r="D274" s="1">
        <v>31</v>
      </c>
      <c r="E274" s="1">
        <f>IF(OR(Paths!$C$31=0,C274=0),0,MAX(0,MIN(C274*12,Paths!$E$31)-(C274-1)*12))</f>
        <v>0</v>
      </c>
      <c r="F274" s="1">
        <f>IF(OR(Paths!$C$31=0,C274=0),0,12-E274)</f>
        <v>0</v>
      </c>
      <c r="G274" s="16">
        <f>IF(NOT(Paths!$C$31=1),0,IF(Paths!$P$31="Complete",E274/12*(Paths!$J$31*(1+'Operating costs'!$B$51)^MAX(0,C274-1)+Paths!$K$31*(1+'Operating costs'!$B$53)^MAX(0,C274-1)),"n.a."))</f>
        <v>0</v>
      </c>
      <c r="H274" s="16">
        <f>IF(NOT(Paths!$C$31=1),0,IF(Paths!$P$31="Complete",F274/12*(Paths!$L$31*(1+IF(Paths!$D$31="EV",'Operating costs'!$B$52,'Operating costs'!$B$51))^MAX(0,C274-1)+Paths!$M$31*(1+'Operating costs'!$B$53)^MAX(0,C274-1)),"n.a."))</f>
        <v>0</v>
      </c>
      <c r="I274" s="16">
        <f>IF(NOT(Paths!$C$31=1),0,IF(Paths!$P$31="Complete",IF(IF(Paths!$E$31=0,C274=0,AND(C274&gt;0,Paths!$E$31&gt;(C274-1)*12,Paths!$E$31&lt;=C274*12)),Paths!$G$31,0),"n.a."))</f>
        <v>0</v>
      </c>
      <c r="J274" s="16">
        <f>IF(NOT(Paths!$C$31=1),0,IF(Paths!$P$31="Complete",IF(IF(Paths!$E$31=0,C274=0,AND(C274&gt;0,Paths!$E$31&gt;(C274-1)*12,Paths!$E$31&lt;=C274*12)),Paths!$H$31,0),"n.a."))</f>
        <v>0</v>
      </c>
      <c r="K274" s="16">
        <f>IF(NOT(Paths!$C$31=1),0,IF(Paths!$P$31="Complete",IF(IF(Paths!$O$31=0,C274=0,AND(C274&gt;0,Paths!$O$31&gt;(C274-1)*12,Paths!$O$31&lt;=C274*12)),Paths!$N$31,0),"n.a."))</f>
        <v>0</v>
      </c>
      <c r="L274" s="16">
        <f>IF(NOT(Paths!$C$31=1),0,IF(Paths!$P$31="Complete",IF(C274=10,Paths!$I$31,0),"n.a."))</f>
        <v>0</v>
      </c>
      <c r="M274" s="16">
        <f>IF(NOT(Paths!$C$31=1),0,IF(Paths!$P$31="Complete",IF(AND(Paths!$D$31="EV",Paths!$E$31&lt;120,Paths!$E$31+'Operating costs'!$B$65&gt;Paths!$E$31,Paths!$E$31+'Operating costs'!$B$65&lt;=120,IF(Paths!$E$31+'Operating costs'!$B$65=0,C274=0,AND(C274&gt;0,Paths!$E$31+'Operating costs'!$B$65&gt;(C274-1)*12,Paths!$E$31+'Operating costs'!$B$65&lt;=C274*12))),'Operating costs'!$B$64,0)+IF(AND('Operating costs'!$B$67&gt;0,'Operating costs'!$B$67&lt;=120,OR(Paths!$D$31="ICE",'Operating costs'!$B$67&lt;=Paths!$E$31),IF('Operating costs'!$B$67=0,C274=0,AND(C274&gt;0,'Operating costs'!$B$67&gt;(C274-1)*12,'Operating costs'!$B$67&lt;=C274*12))),'Operating costs'!$B$66,0),"n.a."))</f>
        <v>0</v>
      </c>
      <c r="N274" s="16">
        <f>IF(NOT(Paths!$C$31=1),0,IF(Paths!$P$31="Complete",SUM(G274:I274)-J274-K274-L274+M274+IF(C274=0,Paths!$F$31,0)+IF(IF(Paths!$E$31=0,C274=0,AND(C274&gt;0,Paths!$E$31&gt;(C274-1)*12,Paths!$E$31&lt;=C274*12)),VLOOKUP(A274,'Fleet register'!$A$7:$S$106,16,FALSE),0),"n.a."))</f>
        <v>0</v>
      </c>
      <c r="O274" s="16">
        <f>IF(NOT(Paths!$C$31=1),0,IF(Paths!$P$31="Complete",N274-IF(C274=0,Paths!$F$31,0),"n.a."))</f>
        <v>0</v>
      </c>
      <c r="P274" s="16">
        <f>IF(NOT(Paths!$C$31=1),0,IF(Paths!$P$31="Complete",O274+L274,"n.a."))</f>
        <v>0</v>
      </c>
      <c r="Q274" s="16">
        <f>IF(NOT(Paths!$C$31=1),0,IF(Paths!$P$31="Complete",N274*(1+'Operating costs'!$B$54)^-C274,"n.a."))</f>
        <v>0</v>
      </c>
      <c r="R274" s="16">
        <f>IF(NOT(Paths!$C$31=1),0,IF(Paths!$P$31="Complete",IF(AND(C274=0,Paths!$E$31=0),I274-J274-K274+VLOOKUP(A274,'Fleet register'!$A$7:$S$106,15,FALSE)+VLOOKUP(A274,'Fleet register'!$A$7:$S$106,16,FALSE),0),"n.a."))</f>
        <v>0</v>
      </c>
      <c r="S274" s="1">
        <f>IF(NOT(Paths!$C$31=1),0,IF(Paths!$P$31="Complete",IF(C274=0,0,Paths!$S$31*Paths!$R$31),"n.a."))</f>
        <v>0</v>
      </c>
      <c r="T274" s="1">
        <f>IF(NOT(Paths!$C$31=1),0,IF(Paths!$P$31="Complete",IF(C274=0,0,VLOOKUP(A274,'Fleet register'!$A$7:$S$106,9,FALSE)*Paths!$R$31),"n.a."))</f>
        <v>0</v>
      </c>
    </row>
    <row r="275" spans="1:20" ht="24" customHeight="1">
      <c r="A275" s="1" t="str">
        <f>Paths!$A$31</f>
        <v>T007</v>
      </c>
      <c r="B275" s="1">
        <f>Paths!$B$31</f>
        <v>0</v>
      </c>
      <c r="C275" s="1">
        <v>4</v>
      </c>
      <c r="D275" s="1">
        <v>31</v>
      </c>
      <c r="E275" s="1">
        <f>IF(OR(Paths!$C$31=0,C275=0),0,MAX(0,MIN(C275*12,Paths!$E$31)-(C275-1)*12))</f>
        <v>0</v>
      </c>
      <c r="F275" s="1">
        <f>IF(OR(Paths!$C$31=0,C275=0),0,12-E275)</f>
        <v>0</v>
      </c>
      <c r="G275" s="16">
        <f>IF(NOT(Paths!$C$31=1),0,IF(Paths!$P$31="Complete",E275/12*(Paths!$J$31*(1+'Operating costs'!$B$51)^MAX(0,C275-1)+Paths!$K$31*(1+'Operating costs'!$B$53)^MAX(0,C275-1)),"n.a."))</f>
        <v>0</v>
      </c>
      <c r="H275" s="16">
        <f>IF(NOT(Paths!$C$31=1),0,IF(Paths!$P$31="Complete",F275/12*(Paths!$L$31*(1+IF(Paths!$D$31="EV",'Operating costs'!$B$52,'Operating costs'!$B$51))^MAX(0,C275-1)+Paths!$M$31*(1+'Operating costs'!$B$53)^MAX(0,C275-1)),"n.a."))</f>
        <v>0</v>
      </c>
      <c r="I275" s="16">
        <f>IF(NOT(Paths!$C$31=1),0,IF(Paths!$P$31="Complete",IF(IF(Paths!$E$31=0,C275=0,AND(C275&gt;0,Paths!$E$31&gt;(C275-1)*12,Paths!$E$31&lt;=C275*12)),Paths!$G$31,0),"n.a."))</f>
        <v>0</v>
      </c>
      <c r="J275" s="16">
        <f>IF(NOT(Paths!$C$31=1),0,IF(Paths!$P$31="Complete",IF(IF(Paths!$E$31=0,C275=0,AND(C275&gt;0,Paths!$E$31&gt;(C275-1)*12,Paths!$E$31&lt;=C275*12)),Paths!$H$31,0),"n.a."))</f>
        <v>0</v>
      </c>
      <c r="K275" s="16">
        <f>IF(NOT(Paths!$C$31=1),0,IF(Paths!$P$31="Complete",IF(IF(Paths!$O$31=0,C275=0,AND(C275&gt;0,Paths!$O$31&gt;(C275-1)*12,Paths!$O$31&lt;=C275*12)),Paths!$N$31,0),"n.a."))</f>
        <v>0</v>
      </c>
      <c r="L275" s="16">
        <f>IF(NOT(Paths!$C$31=1),0,IF(Paths!$P$31="Complete",IF(C275=10,Paths!$I$31,0),"n.a."))</f>
        <v>0</v>
      </c>
      <c r="M275" s="16">
        <f>IF(NOT(Paths!$C$31=1),0,IF(Paths!$P$31="Complete",IF(AND(Paths!$D$31="EV",Paths!$E$31&lt;120,Paths!$E$31+'Operating costs'!$B$65&gt;Paths!$E$31,Paths!$E$31+'Operating costs'!$B$65&lt;=120,IF(Paths!$E$31+'Operating costs'!$B$65=0,C275=0,AND(C275&gt;0,Paths!$E$31+'Operating costs'!$B$65&gt;(C275-1)*12,Paths!$E$31+'Operating costs'!$B$65&lt;=C275*12))),'Operating costs'!$B$64,0)+IF(AND('Operating costs'!$B$67&gt;0,'Operating costs'!$B$67&lt;=120,OR(Paths!$D$31="ICE",'Operating costs'!$B$67&lt;=Paths!$E$31),IF('Operating costs'!$B$67=0,C275=0,AND(C275&gt;0,'Operating costs'!$B$67&gt;(C275-1)*12,'Operating costs'!$B$67&lt;=C275*12))),'Operating costs'!$B$66,0),"n.a."))</f>
        <v>0</v>
      </c>
      <c r="N275" s="16">
        <f>IF(NOT(Paths!$C$31=1),0,IF(Paths!$P$31="Complete",SUM(G275:I275)-J275-K275-L275+M275+IF(C275=0,Paths!$F$31,0)+IF(IF(Paths!$E$31=0,C275=0,AND(C275&gt;0,Paths!$E$31&gt;(C275-1)*12,Paths!$E$31&lt;=C275*12)),VLOOKUP(A275,'Fleet register'!$A$7:$S$106,16,FALSE),0),"n.a."))</f>
        <v>0</v>
      </c>
      <c r="O275" s="16">
        <f>IF(NOT(Paths!$C$31=1),0,IF(Paths!$P$31="Complete",N275-IF(C275=0,Paths!$F$31,0),"n.a."))</f>
        <v>0</v>
      </c>
      <c r="P275" s="16">
        <f>IF(NOT(Paths!$C$31=1),0,IF(Paths!$P$31="Complete",O275+L275,"n.a."))</f>
        <v>0</v>
      </c>
      <c r="Q275" s="16">
        <f>IF(NOT(Paths!$C$31=1),0,IF(Paths!$P$31="Complete",N275*(1+'Operating costs'!$B$54)^-C275,"n.a."))</f>
        <v>0</v>
      </c>
      <c r="R275" s="16">
        <f>IF(NOT(Paths!$C$31=1),0,IF(Paths!$P$31="Complete",IF(AND(C275=0,Paths!$E$31=0),I275-J275-K275+VLOOKUP(A275,'Fleet register'!$A$7:$S$106,15,FALSE)+VLOOKUP(A275,'Fleet register'!$A$7:$S$106,16,FALSE),0),"n.a."))</f>
        <v>0</v>
      </c>
      <c r="S275" s="1">
        <f>IF(NOT(Paths!$C$31=1),0,IF(Paths!$P$31="Complete",IF(C275=0,0,Paths!$S$31*Paths!$R$31),"n.a."))</f>
        <v>0</v>
      </c>
      <c r="T275" s="1">
        <f>IF(NOT(Paths!$C$31=1),0,IF(Paths!$P$31="Complete",IF(C275=0,0,VLOOKUP(A275,'Fleet register'!$A$7:$S$106,9,FALSE)*Paths!$R$31),"n.a."))</f>
        <v>0</v>
      </c>
    </row>
    <row r="276" spans="1:20" ht="24" customHeight="1">
      <c r="A276" s="1" t="str">
        <f>Paths!$A$31</f>
        <v>T007</v>
      </c>
      <c r="B276" s="1">
        <f>Paths!$B$31</f>
        <v>0</v>
      </c>
      <c r="C276" s="1">
        <v>5</v>
      </c>
      <c r="D276" s="1">
        <v>31</v>
      </c>
      <c r="E276" s="1">
        <f>IF(OR(Paths!$C$31=0,C276=0),0,MAX(0,MIN(C276*12,Paths!$E$31)-(C276-1)*12))</f>
        <v>0</v>
      </c>
      <c r="F276" s="1">
        <f>IF(OR(Paths!$C$31=0,C276=0),0,12-E276)</f>
        <v>0</v>
      </c>
      <c r="G276" s="16">
        <f>IF(NOT(Paths!$C$31=1),0,IF(Paths!$P$31="Complete",E276/12*(Paths!$J$31*(1+'Operating costs'!$B$51)^MAX(0,C276-1)+Paths!$K$31*(1+'Operating costs'!$B$53)^MAX(0,C276-1)),"n.a."))</f>
        <v>0</v>
      </c>
      <c r="H276" s="16">
        <f>IF(NOT(Paths!$C$31=1),0,IF(Paths!$P$31="Complete",F276/12*(Paths!$L$31*(1+IF(Paths!$D$31="EV",'Operating costs'!$B$52,'Operating costs'!$B$51))^MAX(0,C276-1)+Paths!$M$31*(1+'Operating costs'!$B$53)^MAX(0,C276-1)),"n.a."))</f>
        <v>0</v>
      </c>
      <c r="I276" s="16">
        <f>IF(NOT(Paths!$C$31=1),0,IF(Paths!$P$31="Complete",IF(IF(Paths!$E$31=0,C276=0,AND(C276&gt;0,Paths!$E$31&gt;(C276-1)*12,Paths!$E$31&lt;=C276*12)),Paths!$G$31,0),"n.a."))</f>
        <v>0</v>
      </c>
      <c r="J276" s="16">
        <f>IF(NOT(Paths!$C$31=1),0,IF(Paths!$P$31="Complete",IF(IF(Paths!$E$31=0,C276=0,AND(C276&gt;0,Paths!$E$31&gt;(C276-1)*12,Paths!$E$31&lt;=C276*12)),Paths!$H$31,0),"n.a."))</f>
        <v>0</v>
      </c>
      <c r="K276" s="16">
        <f>IF(NOT(Paths!$C$31=1),0,IF(Paths!$P$31="Complete",IF(IF(Paths!$O$31=0,C276=0,AND(C276&gt;0,Paths!$O$31&gt;(C276-1)*12,Paths!$O$31&lt;=C276*12)),Paths!$N$31,0),"n.a."))</f>
        <v>0</v>
      </c>
      <c r="L276" s="16">
        <f>IF(NOT(Paths!$C$31=1),0,IF(Paths!$P$31="Complete",IF(C276=10,Paths!$I$31,0),"n.a."))</f>
        <v>0</v>
      </c>
      <c r="M276" s="16">
        <f>IF(NOT(Paths!$C$31=1),0,IF(Paths!$P$31="Complete",IF(AND(Paths!$D$31="EV",Paths!$E$31&lt;120,Paths!$E$31+'Operating costs'!$B$65&gt;Paths!$E$31,Paths!$E$31+'Operating costs'!$B$65&lt;=120,IF(Paths!$E$31+'Operating costs'!$B$65=0,C276=0,AND(C276&gt;0,Paths!$E$31+'Operating costs'!$B$65&gt;(C276-1)*12,Paths!$E$31+'Operating costs'!$B$65&lt;=C276*12))),'Operating costs'!$B$64,0)+IF(AND('Operating costs'!$B$67&gt;0,'Operating costs'!$B$67&lt;=120,OR(Paths!$D$31="ICE",'Operating costs'!$B$67&lt;=Paths!$E$31),IF('Operating costs'!$B$67=0,C276=0,AND(C276&gt;0,'Operating costs'!$B$67&gt;(C276-1)*12,'Operating costs'!$B$67&lt;=C276*12))),'Operating costs'!$B$66,0),"n.a."))</f>
        <v>0</v>
      </c>
      <c r="N276" s="16">
        <f>IF(NOT(Paths!$C$31=1),0,IF(Paths!$P$31="Complete",SUM(G276:I276)-J276-K276-L276+M276+IF(C276=0,Paths!$F$31,0)+IF(IF(Paths!$E$31=0,C276=0,AND(C276&gt;0,Paths!$E$31&gt;(C276-1)*12,Paths!$E$31&lt;=C276*12)),VLOOKUP(A276,'Fleet register'!$A$7:$S$106,16,FALSE),0),"n.a."))</f>
        <v>0</v>
      </c>
      <c r="O276" s="16">
        <f>IF(NOT(Paths!$C$31=1),0,IF(Paths!$P$31="Complete",N276-IF(C276=0,Paths!$F$31,0),"n.a."))</f>
        <v>0</v>
      </c>
      <c r="P276" s="16">
        <f>IF(NOT(Paths!$C$31=1),0,IF(Paths!$P$31="Complete",O276+L276,"n.a."))</f>
        <v>0</v>
      </c>
      <c r="Q276" s="16">
        <f>IF(NOT(Paths!$C$31=1),0,IF(Paths!$P$31="Complete",N276*(1+'Operating costs'!$B$54)^-C276,"n.a."))</f>
        <v>0</v>
      </c>
      <c r="R276" s="16">
        <f>IF(NOT(Paths!$C$31=1),0,IF(Paths!$P$31="Complete",IF(AND(C276=0,Paths!$E$31=0),I276-J276-K276+VLOOKUP(A276,'Fleet register'!$A$7:$S$106,15,FALSE)+VLOOKUP(A276,'Fleet register'!$A$7:$S$106,16,FALSE),0),"n.a."))</f>
        <v>0</v>
      </c>
      <c r="S276" s="1">
        <f>IF(NOT(Paths!$C$31=1),0,IF(Paths!$P$31="Complete",IF(C276=0,0,Paths!$S$31*Paths!$R$31),"n.a."))</f>
        <v>0</v>
      </c>
      <c r="T276" s="1">
        <f>IF(NOT(Paths!$C$31=1),0,IF(Paths!$P$31="Complete",IF(C276=0,0,VLOOKUP(A276,'Fleet register'!$A$7:$S$106,9,FALSE)*Paths!$R$31),"n.a."))</f>
        <v>0</v>
      </c>
    </row>
    <row r="277" spans="1:20" ht="24" customHeight="1">
      <c r="A277" s="1" t="str">
        <f>Paths!$A$31</f>
        <v>T007</v>
      </c>
      <c r="B277" s="1">
        <f>Paths!$B$31</f>
        <v>0</v>
      </c>
      <c r="C277" s="1">
        <v>6</v>
      </c>
      <c r="D277" s="1">
        <v>31</v>
      </c>
      <c r="E277" s="1">
        <f>IF(OR(Paths!$C$31=0,C277=0),0,MAX(0,MIN(C277*12,Paths!$E$31)-(C277-1)*12))</f>
        <v>0</v>
      </c>
      <c r="F277" s="1">
        <f>IF(OR(Paths!$C$31=0,C277=0),0,12-E277)</f>
        <v>0</v>
      </c>
      <c r="G277" s="16">
        <f>IF(NOT(Paths!$C$31=1),0,IF(Paths!$P$31="Complete",E277/12*(Paths!$J$31*(1+'Operating costs'!$B$51)^MAX(0,C277-1)+Paths!$K$31*(1+'Operating costs'!$B$53)^MAX(0,C277-1)),"n.a."))</f>
        <v>0</v>
      </c>
      <c r="H277" s="16">
        <f>IF(NOT(Paths!$C$31=1),0,IF(Paths!$P$31="Complete",F277/12*(Paths!$L$31*(1+IF(Paths!$D$31="EV",'Operating costs'!$B$52,'Operating costs'!$B$51))^MAX(0,C277-1)+Paths!$M$31*(1+'Operating costs'!$B$53)^MAX(0,C277-1)),"n.a."))</f>
        <v>0</v>
      </c>
      <c r="I277" s="16">
        <f>IF(NOT(Paths!$C$31=1),0,IF(Paths!$P$31="Complete",IF(IF(Paths!$E$31=0,C277=0,AND(C277&gt;0,Paths!$E$31&gt;(C277-1)*12,Paths!$E$31&lt;=C277*12)),Paths!$G$31,0),"n.a."))</f>
        <v>0</v>
      </c>
      <c r="J277" s="16">
        <f>IF(NOT(Paths!$C$31=1),0,IF(Paths!$P$31="Complete",IF(IF(Paths!$E$31=0,C277=0,AND(C277&gt;0,Paths!$E$31&gt;(C277-1)*12,Paths!$E$31&lt;=C277*12)),Paths!$H$31,0),"n.a."))</f>
        <v>0</v>
      </c>
      <c r="K277" s="16">
        <f>IF(NOT(Paths!$C$31=1),0,IF(Paths!$P$31="Complete",IF(IF(Paths!$O$31=0,C277=0,AND(C277&gt;0,Paths!$O$31&gt;(C277-1)*12,Paths!$O$31&lt;=C277*12)),Paths!$N$31,0),"n.a."))</f>
        <v>0</v>
      </c>
      <c r="L277" s="16">
        <f>IF(NOT(Paths!$C$31=1),0,IF(Paths!$P$31="Complete",IF(C277=10,Paths!$I$31,0),"n.a."))</f>
        <v>0</v>
      </c>
      <c r="M277" s="16">
        <f>IF(NOT(Paths!$C$31=1),0,IF(Paths!$P$31="Complete",IF(AND(Paths!$D$31="EV",Paths!$E$31&lt;120,Paths!$E$31+'Operating costs'!$B$65&gt;Paths!$E$31,Paths!$E$31+'Operating costs'!$B$65&lt;=120,IF(Paths!$E$31+'Operating costs'!$B$65=0,C277=0,AND(C277&gt;0,Paths!$E$31+'Operating costs'!$B$65&gt;(C277-1)*12,Paths!$E$31+'Operating costs'!$B$65&lt;=C277*12))),'Operating costs'!$B$64,0)+IF(AND('Operating costs'!$B$67&gt;0,'Operating costs'!$B$67&lt;=120,OR(Paths!$D$31="ICE",'Operating costs'!$B$67&lt;=Paths!$E$31),IF('Operating costs'!$B$67=0,C277=0,AND(C277&gt;0,'Operating costs'!$B$67&gt;(C277-1)*12,'Operating costs'!$B$67&lt;=C277*12))),'Operating costs'!$B$66,0),"n.a."))</f>
        <v>0</v>
      </c>
      <c r="N277" s="16">
        <f>IF(NOT(Paths!$C$31=1),0,IF(Paths!$P$31="Complete",SUM(G277:I277)-J277-K277-L277+M277+IF(C277=0,Paths!$F$31,0)+IF(IF(Paths!$E$31=0,C277=0,AND(C277&gt;0,Paths!$E$31&gt;(C277-1)*12,Paths!$E$31&lt;=C277*12)),VLOOKUP(A277,'Fleet register'!$A$7:$S$106,16,FALSE),0),"n.a."))</f>
        <v>0</v>
      </c>
      <c r="O277" s="16">
        <f>IF(NOT(Paths!$C$31=1),0,IF(Paths!$P$31="Complete",N277-IF(C277=0,Paths!$F$31,0),"n.a."))</f>
        <v>0</v>
      </c>
      <c r="P277" s="16">
        <f>IF(NOT(Paths!$C$31=1),0,IF(Paths!$P$31="Complete",O277+L277,"n.a."))</f>
        <v>0</v>
      </c>
      <c r="Q277" s="16">
        <f>IF(NOT(Paths!$C$31=1),0,IF(Paths!$P$31="Complete",N277*(1+'Operating costs'!$B$54)^-C277,"n.a."))</f>
        <v>0</v>
      </c>
      <c r="R277" s="16">
        <f>IF(NOT(Paths!$C$31=1),0,IF(Paths!$P$31="Complete",IF(AND(C277=0,Paths!$E$31=0),I277-J277-K277+VLOOKUP(A277,'Fleet register'!$A$7:$S$106,15,FALSE)+VLOOKUP(A277,'Fleet register'!$A$7:$S$106,16,FALSE),0),"n.a."))</f>
        <v>0</v>
      </c>
      <c r="S277" s="1">
        <f>IF(NOT(Paths!$C$31=1),0,IF(Paths!$P$31="Complete",IF(C277=0,0,Paths!$S$31*Paths!$R$31),"n.a."))</f>
        <v>0</v>
      </c>
      <c r="T277" s="1">
        <f>IF(NOT(Paths!$C$31=1),0,IF(Paths!$P$31="Complete",IF(C277=0,0,VLOOKUP(A277,'Fleet register'!$A$7:$S$106,9,FALSE)*Paths!$R$31),"n.a."))</f>
        <v>0</v>
      </c>
    </row>
    <row r="278" spans="1:20" ht="24" customHeight="1">
      <c r="A278" s="1" t="str">
        <f>Paths!$A$31</f>
        <v>T007</v>
      </c>
      <c r="B278" s="1">
        <f>Paths!$B$31</f>
        <v>0</v>
      </c>
      <c r="C278" s="1">
        <v>7</v>
      </c>
      <c r="D278" s="1">
        <v>31</v>
      </c>
      <c r="E278" s="1">
        <f>IF(OR(Paths!$C$31=0,C278=0),0,MAX(0,MIN(C278*12,Paths!$E$31)-(C278-1)*12))</f>
        <v>0</v>
      </c>
      <c r="F278" s="1">
        <f>IF(OR(Paths!$C$31=0,C278=0),0,12-E278)</f>
        <v>0</v>
      </c>
      <c r="G278" s="16">
        <f>IF(NOT(Paths!$C$31=1),0,IF(Paths!$P$31="Complete",E278/12*(Paths!$J$31*(1+'Operating costs'!$B$51)^MAX(0,C278-1)+Paths!$K$31*(1+'Operating costs'!$B$53)^MAX(0,C278-1)),"n.a."))</f>
        <v>0</v>
      </c>
      <c r="H278" s="16">
        <f>IF(NOT(Paths!$C$31=1),0,IF(Paths!$P$31="Complete",F278/12*(Paths!$L$31*(1+IF(Paths!$D$31="EV",'Operating costs'!$B$52,'Operating costs'!$B$51))^MAX(0,C278-1)+Paths!$M$31*(1+'Operating costs'!$B$53)^MAX(0,C278-1)),"n.a."))</f>
        <v>0</v>
      </c>
      <c r="I278" s="16">
        <f>IF(NOT(Paths!$C$31=1),0,IF(Paths!$P$31="Complete",IF(IF(Paths!$E$31=0,C278=0,AND(C278&gt;0,Paths!$E$31&gt;(C278-1)*12,Paths!$E$31&lt;=C278*12)),Paths!$G$31,0),"n.a."))</f>
        <v>0</v>
      </c>
      <c r="J278" s="16">
        <f>IF(NOT(Paths!$C$31=1),0,IF(Paths!$P$31="Complete",IF(IF(Paths!$E$31=0,C278=0,AND(C278&gt;0,Paths!$E$31&gt;(C278-1)*12,Paths!$E$31&lt;=C278*12)),Paths!$H$31,0),"n.a."))</f>
        <v>0</v>
      </c>
      <c r="K278" s="16">
        <f>IF(NOT(Paths!$C$31=1),0,IF(Paths!$P$31="Complete",IF(IF(Paths!$O$31=0,C278=0,AND(C278&gt;0,Paths!$O$31&gt;(C278-1)*12,Paths!$O$31&lt;=C278*12)),Paths!$N$31,0),"n.a."))</f>
        <v>0</v>
      </c>
      <c r="L278" s="16">
        <f>IF(NOT(Paths!$C$31=1),0,IF(Paths!$P$31="Complete",IF(C278=10,Paths!$I$31,0),"n.a."))</f>
        <v>0</v>
      </c>
      <c r="M278" s="16">
        <f>IF(NOT(Paths!$C$31=1),0,IF(Paths!$P$31="Complete",IF(AND(Paths!$D$31="EV",Paths!$E$31&lt;120,Paths!$E$31+'Operating costs'!$B$65&gt;Paths!$E$31,Paths!$E$31+'Operating costs'!$B$65&lt;=120,IF(Paths!$E$31+'Operating costs'!$B$65=0,C278=0,AND(C278&gt;0,Paths!$E$31+'Operating costs'!$B$65&gt;(C278-1)*12,Paths!$E$31+'Operating costs'!$B$65&lt;=C278*12))),'Operating costs'!$B$64,0)+IF(AND('Operating costs'!$B$67&gt;0,'Operating costs'!$B$67&lt;=120,OR(Paths!$D$31="ICE",'Operating costs'!$B$67&lt;=Paths!$E$31),IF('Operating costs'!$B$67=0,C278=0,AND(C278&gt;0,'Operating costs'!$B$67&gt;(C278-1)*12,'Operating costs'!$B$67&lt;=C278*12))),'Operating costs'!$B$66,0),"n.a."))</f>
        <v>0</v>
      </c>
      <c r="N278" s="16">
        <f>IF(NOT(Paths!$C$31=1),0,IF(Paths!$P$31="Complete",SUM(G278:I278)-J278-K278-L278+M278+IF(C278=0,Paths!$F$31,0)+IF(IF(Paths!$E$31=0,C278=0,AND(C278&gt;0,Paths!$E$31&gt;(C278-1)*12,Paths!$E$31&lt;=C278*12)),VLOOKUP(A278,'Fleet register'!$A$7:$S$106,16,FALSE),0),"n.a."))</f>
        <v>0</v>
      </c>
      <c r="O278" s="16">
        <f>IF(NOT(Paths!$C$31=1),0,IF(Paths!$P$31="Complete",N278-IF(C278=0,Paths!$F$31,0),"n.a."))</f>
        <v>0</v>
      </c>
      <c r="P278" s="16">
        <f>IF(NOT(Paths!$C$31=1),0,IF(Paths!$P$31="Complete",O278+L278,"n.a."))</f>
        <v>0</v>
      </c>
      <c r="Q278" s="16">
        <f>IF(NOT(Paths!$C$31=1),0,IF(Paths!$P$31="Complete",N278*(1+'Operating costs'!$B$54)^-C278,"n.a."))</f>
        <v>0</v>
      </c>
      <c r="R278" s="16">
        <f>IF(NOT(Paths!$C$31=1),0,IF(Paths!$P$31="Complete",IF(AND(C278=0,Paths!$E$31=0),I278-J278-K278+VLOOKUP(A278,'Fleet register'!$A$7:$S$106,15,FALSE)+VLOOKUP(A278,'Fleet register'!$A$7:$S$106,16,FALSE),0),"n.a."))</f>
        <v>0</v>
      </c>
      <c r="S278" s="1">
        <f>IF(NOT(Paths!$C$31=1),0,IF(Paths!$P$31="Complete",IF(C278=0,0,Paths!$S$31*Paths!$R$31),"n.a."))</f>
        <v>0</v>
      </c>
      <c r="T278" s="1">
        <f>IF(NOT(Paths!$C$31=1),0,IF(Paths!$P$31="Complete",IF(C278=0,0,VLOOKUP(A278,'Fleet register'!$A$7:$S$106,9,FALSE)*Paths!$R$31),"n.a."))</f>
        <v>0</v>
      </c>
    </row>
    <row r="279" spans="1:20" ht="24" customHeight="1">
      <c r="A279" s="1" t="str">
        <f>Paths!$A$31</f>
        <v>T007</v>
      </c>
      <c r="B279" s="1">
        <f>Paths!$B$31</f>
        <v>0</v>
      </c>
      <c r="C279" s="1">
        <v>8</v>
      </c>
      <c r="D279" s="1">
        <v>31</v>
      </c>
      <c r="E279" s="1">
        <f>IF(OR(Paths!$C$31=0,C279=0),0,MAX(0,MIN(C279*12,Paths!$E$31)-(C279-1)*12))</f>
        <v>0</v>
      </c>
      <c r="F279" s="1">
        <f>IF(OR(Paths!$C$31=0,C279=0),0,12-E279)</f>
        <v>0</v>
      </c>
      <c r="G279" s="16">
        <f>IF(NOT(Paths!$C$31=1),0,IF(Paths!$P$31="Complete",E279/12*(Paths!$J$31*(1+'Operating costs'!$B$51)^MAX(0,C279-1)+Paths!$K$31*(1+'Operating costs'!$B$53)^MAX(0,C279-1)),"n.a."))</f>
        <v>0</v>
      </c>
      <c r="H279" s="16">
        <f>IF(NOT(Paths!$C$31=1),0,IF(Paths!$P$31="Complete",F279/12*(Paths!$L$31*(1+IF(Paths!$D$31="EV",'Operating costs'!$B$52,'Operating costs'!$B$51))^MAX(0,C279-1)+Paths!$M$31*(1+'Operating costs'!$B$53)^MAX(0,C279-1)),"n.a."))</f>
        <v>0</v>
      </c>
      <c r="I279" s="16">
        <f>IF(NOT(Paths!$C$31=1),0,IF(Paths!$P$31="Complete",IF(IF(Paths!$E$31=0,C279=0,AND(C279&gt;0,Paths!$E$31&gt;(C279-1)*12,Paths!$E$31&lt;=C279*12)),Paths!$G$31,0),"n.a."))</f>
        <v>0</v>
      </c>
      <c r="J279" s="16">
        <f>IF(NOT(Paths!$C$31=1),0,IF(Paths!$P$31="Complete",IF(IF(Paths!$E$31=0,C279=0,AND(C279&gt;0,Paths!$E$31&gt;(C279-1)*12,Paths!$E$31&lt;=C279*12)),Paths!$H$31,0),"n.a."))</f>
        <v>0</v>
      </c>
      <c r="K279" s="16">
        <f>IF(NOT(Paths!$C$31=1),0,IF(Paths!$P$31="Complete",IF(IF(Paths!$O$31=0,C279=0,AND(C279&gt;0,Paths!$O$31&gt;(C279-1)*12,Paths!$O$31&lt;=C279*12)),Paths!$N$31,0),"n.a."))</f>
        <v>0</v>
      </c>
      <c r="L279" s="16">
        <f>IF(NOT(Paths!$C$31=1),0,IF(Paths!$P$31="Complete",IF(C279=10,Paths!$I$31,0),"n.a."))</f>
        <v>0</v>
      </c>
      <c r="M279" s="16">
        <f>IF(NOT(Paths!$C$31=1),0,IF(Paths!$P$31="Complete",IF(AND(Paths!$D$31="EV",Paths!$E$31&lt;120,Paths!$E$31+'Operating costs'!$B$65&gt;Paths!$E$31,Paths!$E$31+'Operating costs'!$B$65&lt;=120,IF(Paths!$E$31+'Operating costs'!$B$65=0,C279=0,AND(C279&gt;0,Paths!$E$31+'Operating costs'!$B$65&gt;(C279-1)*12,Paths!$E$31+'Operating costs'!$B$65&lt;=C279*12))),'Operating costs'!$B$64,0)+IF(AND('Operating costs'!$B$67&gt;0,'Operating costs'!$B$67&lt;=120,OR(Paths!$D$31="ICE",'Operating costs'!$B$67&lt;=Paths!$E$31),IF('Operating costs'!$B$67=0,C279=0,AND(C279&gt;0,'Operating costs'!$B$67&gt;(C279-1)*12,'Operating costs'!$B$67&lt;=C279*12))),'Operating costs'!$B$66,0),"n.a."))</f>
        <v>0</v>
      </c>
      <c r="N279" s="16">
        <f>IF(NOT(Paths!$C$31=1),0,IF(Paths!$P$31="Complete",SUM(G279:I279)-J279-K279-L279+M279+IF(C279=0,Paths!$F$31,0)+IF(IF(Paths!$E$31=0,C279=0,AND(C279&gt;0,Paths!$E$31&gt;(C279-1)*12,Paths!$E$31&lt;=C279*12)),VLOOKUP(A279,'Fleet register'!$A$7:$S$106,16,FALSE),0),"n.a."))</f>
        <v>0</v>
      </c>
      <c r="O279" s="16">
        <f>IF(NOT(Paths!$C$31=1),0,IF(Paths!$P$31="Complete",N279-IF(C279=0,Paths!$F$31,0),"n.a."))</f>
        <v>0</v>
      </c>
      <c r="P279" s="16">
        <f>IF(NOT(Paths!$C$31=1),0,IF(Paths!$P$31="Complete",O279+L279,"n.a."))</f>
        <v>0</v>
      </c>
      <c r="Q279" s="16">
        <f>IF(NOT(Paths!$C$31=1),0,IF(Paths!$P$31="Complete",N279*(1+'Operating costs'!$B$54)^-C279,"n.a."))</f>
        <v>0</v>
      </c>
      <c r="R279" s="16">
        <f>IF(NOT(Paths!$C$31=1),0,IF(Paths!$P$31="Complete",IF(AND(C279=0,Paths!$E$31=0),I279-J279-K279+VLOOKUP(A279,'Fleet register'!$A$7:$S$106,15,FALSE)+VLOOKUP(A279,'Fleet register'!$A$7:$S$106,16,FALSE),0),"n.a."))</f>
        <v>0</v>
      </c>
      <c r="S279" s="1">
        <f>IF(NOT(Paths!$C$31=1),0,IF(Paths!$P$31="Complete",IF(C279=0,0,Paths!$S$31*Paths!$R$31),"n.a."))</f>
        <v>0</v>
      </c>
      <c r="T279" s="1">
        <f>IF(NOT(Paths!$C$31=1),0,IF(Paths!$P$31="Complete",IF(C279=0,0,VLOOKUP(A279,'Fleet register'!$A$7:$S$106,9,FALSE)*Paths!$R$31),"n.a."))</f>
        <v>0</v>
      </c>
    </row>
    <row r="280" spans="1:20" ht="24" customHeight="1">
      <c r="A280" s="1" t="str">
        <f>Paths!$A$31</f>
        <v>T007</v>
      </c>
      <c r="B280" s="1">
        <f>Paths!$B$31</f>
        <v>0</v>
      </c>
      <c r="C280" s="1">
        <v>9</v>
      </c>
      <c r="D280" s="1">
        <v>31</v>
      </c>
      <c r="E280" s="1">
        <f>IF(OR(Paths!$C$31=0,C280=0),0,MAX(0,MIN(C280*12,Paths!$E$31)-(C280-1)*12))</f>
        <v>0</v>
      </c>
      <c r="F280" s="1">
        <f>IF(OR(Paths!$C$31=0,C280=0),0,12-E280)</f>
        <v>0</v>
      </c>
      <c r="G280" s="16">
        <f>IF(NOT(Paths!$C$31=1),0,IF(Paths!$P$31="Complete",E280/12*(Paths!$J$31*(1+'Operating costs'!$B$51)^MAX(0,C280-1)+Paths!$K$31*(1+'Operating costs'!$B$53)^MAX(0,C280-1)),"n.a."))</f>
        <v>0</v>
      </c>
      <c r="H280" s="16">
        <f>IF(NOT(Paths!$C$31=1),0,IF(Paths!$P$31="Complete",F280/12*(Paths!$L$31*(1+IF(Paths!$D$31="EV",'Operating costs'!$B$52,'Operating costs'!$B$51))^MAX(0,C280-1)+Paths!$M$31*(1+'Operating costs'!$B$53)^MAX(0,C280-1)),"n.a."))</f>
        <v>0</v>
      </c>
      <c r="I280" s="16">
        <f>IF(NOT(Paths!$C$31=1),0,IF(Paths!$P$31="Complete",IF(IF(Paths!$E$31=0,C280=0,AND(C280&gt;0,Paths!$E$31&gt;(C280-1)*12,Paths!$E$31&lt;=C280*12)),Paths!$G$31,0),"n.a."))</f>
        <v>0</v>
      </c>
      <c r="J280" s="16">
        <f>IF(NOT(Paths!$C$31=1),0,IF(Paths!$P$31="Complete",IF(IF(Paths!$E$31=0,C280=0,AND(C280&gt;0,Paths!$E$31&gt;(C280-1)*12,Paths!$E$31&lt;=C280*12)),Paths!$H$31,0),"n.a."))</f>
        <v>0</v>
      </c>
      <c r="K280" s="16">
        <f>IF(NOT(Paths!$C$31=1),0,IF(Paths!$P$31="Complete",IF(IF(Paths!$O$31=0,C280=0,AND(C280&gt;0,Paths!$O$31&gt;(C280-1)*12,Paths!$O$31&lt;=C280*12)),Paths!$N$31,0),"n.a."))</f>
        <v>0</v>
      </c>
      <c r="L280" s="16">
        <f>IF(NOT(Paths!$C$31=1),0,IF(Paths!$P$31="Complete",IF(C280=10,Paths!$I$31,0),"n.a."))</f>
        <v>0</v>
      </c>
      <c r="M280" s="16">
        <f>IF(NOT(Paths!$C$31=1),0,IF(Paths!$P$31="Complete",IF(AND(Paths!$D$31="EV",Paths!$E$31&lt;120,Paths!$E$31+'Operating costs'!$B$65&gt;Paths!$E$31,Paths!$E$31+'Operating costs'!$B$65&lt;=120,IF(Paths!$E$31+'Operating costs'!$B$65=0,C280=0,AND(C280&gt;0,Paths!$E$31+'Operating costs'!$B$65&gt;(C280-1)*12,Paths!$E$31+'Operating costs'!$B$65&lt;=C280*12))),'Operating costs'!$B$64,0)+IF(AND('Operating costs'!$B$67&gt;0,'Operating costs'!$B$67&lt;=120,OR(Paths!$D$31="ICE",'Operating costs'!$B$67&lt;=Paths!$E$31),IF('Operating costs'!$B$67=0,C280=0,AND(C280&gt;0,'Operating costs'!$B$67&gt;(C280-1)*12,'Operating costs'!$B$67&lt;=C280*12))),'Operating costs'!$B$66,0),"n.a."))</f>
        <v>0</v>
      </c>
      <c r="N280" s="16">
        <f>IF(NOT(Paths!$C$31=1),0,IF(Paths!$P$31="Complete",SUM(G280:I280)-J280-K280-L280+M280+IF(C280=0,Paths!$F$31,0)+IF(IF(Paths!$E$31=0,C280=0,AND(C280&gt;0,Paths!$E$31&gt;(C280-1)*12,Paths!$E$31&lt;=C280*12)),VLOOKUP(A280,'Fleet register'!$A$7:$S$106,16,FALSE),0),"n.a."))</f>
        <v>0</v>
      </c>
      <c r="O280" s="16">
        <f>IF(NOT(Paths!$C$31=1),0,IF(Paths!$P$31="Complete",N280-IF(C280=0,Paths!$F$31,0),"n.a."))</f>
        <v>0</v>
      </c>
      <c r="P280" s="16">
        <f>IF(NOT(Paths!$C$31=1),0,IF(Paths!$P$31="Complete",O280+L280,"n.a."))</f>
        <v>0</v>
      </c>
      <c r="Q280" s="16">
        <f>IF(NOT(Paths!$C$31=1),0,IF(Paths!$P$31="Complete",N280*(1+'Operating costs'!$B$54)^-C280,"n.a."))</f>
        <v>0</v>
      </c>
      <c r="R280" s="16">
        <f>IF(NOT(Paths!$C$31=1),0,IF(Paths!$P$31="Complete",IF(AND(C280=0,Paths!$E$31=0),I280-J280-K280+VLOOKUP(A280,'Fleet register'!$A$7:$S$106,15,FALSE)+VLOOKUP(A280,'Fleet register'!$A$7:$S$106,16,FALSE),0),"n.a."))</f>
        <v>0</v>
      </c>
      <c r="S280" s="1">
        <f>IF(NOT(Paths!$C$31=1),0,IF(Paths!$P$31="Complete",IF(C280=0,0,Paths!$S$31*Paths!$R$31),"n.a."))</f>
        <v>0</v>
      </c>
      <c r="T280" s="1">
        <f>IF(NOT(Paths!$C$31=1),0,IF(Paths!$P$31="Complete",IF(C280=0,0,VLOOKUP(A280,'Fleet register'!$A$7:$S$106,9,FALSE)*Paths!$R$31),"n.a."))</f>
        <v>0</v>
      </c>
    </row>
    <row r="281" spans="1:20" ht="24" customHeight="1">
      <c r="A281" s="1" t="str">
        <f>Paths!$A$31</f>
        <v>T007</v>
      </c>
      <c r="B281" s="1">
        <f>Paths!$B$31</f>
        <v>0</v>
      </c>
      <c r="C281" s="1">
        <v>10</v>
      </c>
      <c r="D281" s="1">
        <v>31</v>
      </c>
      <c r="E281" s="1">
        <f>IF(OR(Paths!$C$31=0,C281=0),0,MAX(0,MIN(C281*12,Paths!$E$31)-(C281-1)*12))</f>
        <v>0</v>
      </c>
      <c r="F281" s="1">
        <f>IF(OR(Paths!$C$31=0,C281=0),0,12-E281)</f>
        <v>0</v>
      </c>
      <c r="G281" s="16">
        <f>IF(NOT(Paths!$C$31=1),0,IF(Paths!$P$31="Complete",E281/12*(Paths!$J$31*(1+'Operating costs'!$B$51)^MAX(0,C281-1)+Paths!$K$31*(1+'Operating costs'!$B$53)^MAX(0,C281-1)),"n.a."))</f>
        <v>0</v>
      </c>
      <c r="H281" s="16">
        <f>IF(NOT(Paths!$C$31=1),0,IF(Paths!$P$31="Complete",F281/12*(Paths!$L$31*(1+IF(Paths!$D$31="EV",'Operating costs'!$B$52,'Operating costs'!$B$51))^MAX(0,C281-1)+Paths!$M$31*(1+'Operating costs'!$B$53)^MAX(0,C281-1)),"n.a."))</f>
        <v>0</v>
      </c>
      <c r="I281" s="16">
        <f>IF(NOT(Paths!$C$31=1),0,IF(Paths!$P$31="Complete",IF(IF(Paths!$E$31=0,C281=0,AND(C281&gt;0,Paths!$E$31&gt;(C281-1)*12,Paths!$E$31&lt;=C281*12)),Paths!$G$31,0),"n.a."))</f>
        <v>0</v>
      </c>
      <c r="J281" s="16">
        <f>IF(NOT(Paths!$C$31=1),0,IF(Paths!$P$31="Complete",IF(IF(Paths!$E$31=0,C281=0,AND(C281&gt;0,Paths!$E$31&gt;(C281-1)*12,Paths!$E$31&lt;=C281*12)),Paths!$H$31,0),"n.a."))</f>
        <v>0</v>
      </c>
      <c r="K281" s="16">
        <f>IF(NOT(Paths!$C$31=1),0,IF(Paths!$P$31="Complete",IF(IF(Paths!$O$31=0,C281=0,AND(C281&gt;0,Paths!$O$31&gt;(C281-1)*12,Paths!$O$31&lt;=C281*12)),Paths!$N$31,0),"n.a."))</f>
        <v>0</v>
      </c>
      <c r="L281" s="16">
        <f>IF(NOT(Paths!$C$31=1),0,IF(Paths!$P$31="Complete",IF(C281=10,Paths!$I$31,0),"n.a."))</f>
        <v>0</v>
      </c>
      <c r="M281" s="16">
        <f>IF(NOT(Paths!$C$31=1),0,IF(Paths!$P$31="Complete",IF(AND(Paths!$D$31="EV",Paths!$E$31&lt;120,Paths!$E$31+'Operating costs'!$B$65&gt;Paths!$E$31,Paths!$E$31+'Operating costs'!$B$65&lt;=120,IF(Paths!$E$31+'Operating costs'!$B$65=0,C281=0,AND(C281&gt;0,Paths!$E$31+'Operating costs'!$B$65&gt;(C281-1)*12,Paths!$E$31+'Operating costs'!$B$65&lt;=C281*12))),'Operating costs'!$B$64,0)+IF(AND('Operating costs'!$B$67&gt;0,'Operating costs'!$B$67&lt;=120,OR(Paths!$D$31="ICE",'Operating costs'!$B$67&lt;=Paths!$E$31),IF('Operating costs'!$B$67=0,C281=0,AND(C281&gt;0,'Operating costs'!$B$67&gt;(C281-1)*12,'Operating costs'!$B$67&lt;=C281*12))),'Operating costs'!$B$66,0),"n.a."))</f>
        <v>0</v>
      </c>
      <c r="N281" s="16">
        <f>IF(NOT(Paths!$C$31=1),0,IF(Paths!$P$31="Complete",SUM(G281:I281)-J281-K281-L281+M281+IF(C281=0,Paths!$F$31,0)+IF(IF(Paths!$E$31=0,C281=0,AND(C281&gt;0,Paths!$E$31&gt;(C281-1)*12,Paths!$E$31&lt;=C281*12)),VLOOKUP(A281,'Fleet register'!$A$7:$S$106,16,FALSE),0),"n.a."))</f>
        <v>0</v>
      </c>
      <c r="O281" s="16">
        <f>IF(NOT(Paths!$C$31=1),0,IF(Paths!$P$31="Complete",N281-IF(C281=0,Paths!$F$31,0),"n.a."))</f>
        <v>0</v>
      </c>
      <c r="P281" s="16">
        <f>IF(NOT(Paths!$C$31=1),0,IF(Paths!$P$31="Complete",O281+L281,"n.a."))</f>
        <v>0</v>
      </c>
      <c r="Q281" s="16">
        <f>IF(NOT(Paths!$C$31=1),0,IF(Paths!$P$31="Complete",N281*(1+'Operating costs'!$B$54)^-C281,"n.a."))</f>
        <v>0</v>
      </c>
      <c r="R281" s="16">
        <f>IF(NOT(Paths!$C$31=1),0,IF(Paths!$P$31="Complete",IF(AND(C281=0,Paths!$E$31=0),I281-J281-K281+VLOOKUP(A281,'Fleet register'!$A$7:$S$106,15,FALSE)+VLOOKUP(A281,'Fleet register'!$A$7:$S$106,16,FALSE),0),"n.a."))</f>
        <v>0</v>
      </c>
      <c r="S281" s="1">
        <f>IF(NOT(Paths!$C$31=1),0,IF(Paths!$P$31="Complete",IF(C281=0,0,Paths!$S$31*Paths!$R$31),"n.a."))</f>
        <v>0</v>
      </c>
      <c r="T281" s="1">
        <f>IF(NOT(Paths!$C$31=1),0,IF(Paths!$P$31="Complete",IF(C281=0,0,VLOOKUP(A281,'Fleet register'!$A$7:$S$106,9,FALSE)*Paths!$R$31),"n.a."))</f>
        <v>0</v>
      </c>
    </row>
    <row r="282" spans="1:20" ht="24" customHeight="1">
      <c r="A282" s="1" t="str">
        <f>Paths!$A$32</f>
        <v>T007</v>
      </c>
      <c r="B282" s="1">
        <f>Paths!$B$32</f>
        <v>1</v>
      </c>
      <c r="C282" s="1">
        <v>0</v>
      </c>
      <c r="D282" s="1">
        <v>32</v>
      </c>
      <c r="E282" s="1">
        <f>IF(OR(Paths!$C$32=0,C282=0),0,MAX(0,MIN(C282*12,Paths!$E$32)-(C282-1)*12))</f>
        <v>0</v>
      </c>
      <c r="F282" s="1">
        <f>IF(OR(Paths!$C$32=0,C282=0),0,12-E282)</f>
        <v>0</v>
      </c>
      <c r="G282" s="16">
        <f>IF(NOT(Paths!$C$32=1),0,IF(Paths!$P$32="Complete",E282/12*(Paths!$J$32*(1+'Operating costs'!$B$51)^MAX(0,C282-1)+Paths!$K$32*(1+'Operating costs'!$B$53)^MAX(0,C282-1)),"n.a."))</f>
        <v>0</v>
      </c>
      <c r="H282" s="16">
        <f>IF(NOT(Paths!$C$32=1),0,IF(Paths!$P$32="Complete",F282/12*(Paths!$L$32*(1+IF(Paths!$D$32="EV",'Operating costs'!$B$52,'Operating costs'!$B$51))^MAX(0,C282-1)+Paths!$M$32*(1+'Operating costs'!$B$53)^MAX(0,C282-1)),"n.a."))</f>
        <v>0</v>
      </c>
      <c r="I282" s="16">
        <f>IF(NOT(Paths!$C$32=1),0,IF(Paths!$P$32="Complete",IF(IF(Paths!$E$32=0,C282=0,AND(C282&gt;0,Paths!$E$32&gt;(C282-1)*12,Paths!$E$32&lt;=C282*12)),Paths!$G$32,0),"n.a."))</f>
        <v>0</v>
      </c>
      <c r="J282" s="16">
        <f>IF(NOT(Paths!$C$32=1),0,IF(Paths!$P$32="Complete",IF(IF(Paths!$E$32=0,C282=0,AND(C282&gt;0,Paths!$E$32&gt;(C282-1)*12,Paths!$E$32&lt;=C282*12)),Paths!$H$32,0),"n.a."))</f>
        <v>0</v>
      </c>
      <c r="K282" s="16">
        <f>IF(NOT(Paths!$C$32=1),0,IF(Paths!$P$32="Complete",IF(IF(Paths!$O$32=0,C282=0,AND(C282&gt;0,Paths!$O$32&gt;(C282-1)*12,Paths!$O$32&lt;=C282*12)),Paths!$N$32,0),"n.a."))</f>
        <v>0</v>
      </c>
      <c r="L282" s="16">
        <f>IF(NOT(Paths!$C$32=1),0,IF(Paths!$P$32="Complete",IF(C282=10,Paths!$I$32,0),"n.a."))</f>
        <v>0</v>
      </c>
      <c r="M282" s="16">
        <f>IF(NOT(Paths!$C$32=1),0,IF(Paths!$P$32="Complete",IF(AND(Paths!$D$32="EV",Paths!$E$32&lt;120,Paths!$E$32+'Operating costs'!$B$65&gt;Paths!$E$32,Paths!$E$32+'Operating costs'!$B$65&lt;=120,IF(Paths!$E$32+'Operating costs'!$B$65=0,C282=0,AND(C282&gt;0,Paths!$E$32+'Operating costs'!$B$65&gt;(C282-1)*12,Paths!$E$32+'Operating costs'!$B$65&lt;=C282*12))),'Operating costs'!$B$64,0)+IF(AND('Operating costs'!$B$67&gt;0,'Operating costs'!$B$67&lt;=120,OR(Paths!$D$32="ICE",'Operating costs'!$B$67&lt;=Paths!$E$32),IF('Operating costs'!$B$67=0,C282=0,AND(C282&gt;0,'Operating costs'!$B$67&gt;(C282-1)*12,'Operating costs'!$B$67&lt;=C282*12))),'Operating costs'!$B$66,0),"n.a."))</f>
        <v>0</v>
      </c>
      <c r="N282" s="16">
        <f>IF(NOT(Paths!$C$32=1),0,IF(Paths!$P$32="Complete",SUM(G282:I282)-J282-K282-L282+M282+IF(C282=0,Paths!$F$32,0)+IF(IF(Paths!$E$32=0,C282=0,AND(C282&gt;0,Paths!$E$32&gt;(C282-1)*12,Paths!$E$32&lt;=C282*12)),VLOOKUP(A282,'Fleet register'!$A$7:$S$106,16,FALSE),0),"n.a."))</f>
        <v>0</v>
      </c>
      <c r="O282" s="16">
        <f>IF(NOT(Paths!$C$32=1),0,IF(Paths!$P$32="Complete",N282-IF(C282=0,Paths!$F$32,0),"n.a."))</f>
        <v>0</v>
      </c>
      <c r="P282" s="16">
        <f>IF(NOT(Paths!$C$32=1),0,IF(Paths!$P$32="Complete",O282+L282,"n.a."))</f>
        <v>0</v>
      </c>
      <c r="Q282" s="16">
        <f>IF(NOT(Paths!$C$32=1),0,IF(Paths!$P$32="Complete",N282*(1+'Operating costs'!$B$54)^-C282,"n.a."))</f>
        <v>0</v>
      </c>
      <c r="R282" s="16">
        <f>IF(NOT(Paths!$C$32=1),0,IF(Paths!$P$32="Complete",IF(AND(C282=0,Paths!$E$32=0),I282-J282-K282+VLOOKUP(A282,'Fleet register'!$A$7:$S$106,15,FALSE)+VLOOKUP(A282,'Fleet register'!$A$7:$S$106,16,FALSE),0),"n.a."))</f>
        <v>0</v>
      </c>
      <c r="S282" s="1">
        <f>IF(NOT(Paths!$C$32=1),0,IF(Paths!$P$32="Complete",IF(C282=0,0,Paths!$S$32*Paths!$R$32),"n.a."))</f>
        <v>0</v>
      </c>
      <c r="T282" s="1">
        <f>IF(NOT(Paths!$C$32=1),0,IF(Paths!$P$32="Complete",IF(C282=0,0,VLOOKUP(A282,'Fleet register'!$A$7:$S$106,9,FALSE)*Paths!$R$32),"n.a."))</f>
        <v>0</v>
      </c>
    </row>
    <row r="283" spans="1:20" ht="24" customHeight="1">
      <c r="A283" s="1" t="str">
        <f>Paths!$A$32</f>
        <v>T007</v>
      </c>
      <c r="B283" s="1">
        <f>Paths!$B$32</f>
        <v>1</v>
      </c>
      <c r="C283" s="1">
        <v>1</v>
      </c>
      <c r="D283" s="1">
        <v>32</v>
      </c>
      <c r="E283" s="1">
        <f>IF(OR(Paths!$C$32=0,C283=0),0,MAX(0,MIN(C283*12,Paths!$E$32)-(C283-1)*12))</f>
        <v>0</v>
      </c>
      <c r="F283" s="1">
        <f>IF(OR(Paths!$C$32=0,C283=0),0,12-E283)</f>
        <v>0</v>
      </c>
      <c r="G283" s="16">
        <f>IF(NOT(Paths!$C$32=1),0,IF(Paths!$P$32="Complete",E283/12*(Paths!$J$32*(1+'Operating costs'!$B$51)^MAX(0,C283-1)+Paths!$K$32*(1+'Operating costs'!$B$53)^MAX(0,C283-1)),"n.a."))</f>
        <v>0</v>
      </c>
      <c r="H283" s="16">
        <f>IF(NOT(Paths!$C$32=1),0,IF(Paths!$P$32="Complete",F283/12*(Paths!$L$32*(1+IF(Paths!$D$32="EV",'Operating costs'!$B$52,'Operating costs'!$B$51))^MAX(0,C283-1)+Paths!$M$32*(1+'Operating costs'!$B$53)^MAX(0,C283-1)),"n.a."))</f>
        <v>0</v>
      </c>
      <c r="I283" s="16">
        <f>IF(NOT(Paths!$C$32=1),0,IF(Paths!$P$32="Complete",IF(IF(Paths!$E$32=0,C283=0,AND(C283&gt;0,Paths!$E$32&gt;(C283-1)*12,Paths!$E$32&lt;=C283*12)),Paths!$G$32,0),"n.a."))</f>
        <v>0</v>
      </c>
      <c r="J283" s="16">
        <f>IF(NOT(Paths!$C$32=1),0,IF(Paths!$P$32="Complete",IF(IF(Paths!$E$32=0,C283=0,AND(C283&gt;0,Paths!$E$32&gt;(C283-1)*12,Paths!$E$32&lt;=C283*12)),Paths!$H$32,0),"n.a."))</f>
        <v>0</v>
      </c>
      <c r="K283" s="16">
        <f>IF(NOT(Paths!$C$32=1),0,IF(Paths!$P$32="Complete",IF(IF(Paths!$O$32=0,C283=0,AND(C283&gt;0,Paths!$O$32&gt;(C283-1)*12,Paths!$O$32&lt;=C283*12)),Paths!$N$32,0),"n.a."))</f>
        <v>0</v>
      </c>
      <c r="L283" s="16">
        <f>IF(NOT(Paths!$C$32=1),0,IF(Paths!$P$32="Complete",IF(C283=10,Paths!$I$32,0),"n.a."))</f>
        <v>0</v>
      </c>
      <c r="M283" s="16">
        <f>IF(NOT(Paths!$C$32=1),0,IF(Paths!$P$32="Complete",IF(AND(Paths!$D$32="EV",Paths!$E$32&lt;120,Paths!$E$32+'Operating costs'!$B$65&gt;Paths!$E$32,Paths!$E$32+'Operating costs'!$B$65&lt;=120,IF(Paths!$E$32+'Operating costs'!$B$65=0,C283=0,AND(C283&gt;0,Paths!$E$32+'Operating costs'!$B$65&gt;(C283-1)*12,Paths!$E$32+'Operating costs'!$B$65&lt;=C283*12))),'Operating costs'!$B$64,0)+IF(AND('Operating costs'!$B$67&gt;0,'Operating costs'!$B$67&lt;=120,OR(Paths!$D$32="ICE",'Operating costs'!$B$67&lt;=Paths!$E$32),IF('Operating costs'!$B$67=0,C283=0,AND(C283&gt;0,'Operating costs'!$B$67&gt;(C283-1)*12,'Operating costs'!$B$67&lt;=C283*12))),'Operating costs'!$B$66,0),"n.a."))</f>
        <v>0</v>
      </c>
      <c r="N283" s="16">
        <f>IF(NOT(Paths!$C$32=1),0,IF(Paths!$P$32="Complete",SUM(G283:I283)-J283-K283-L283+M283+IF(C283=0,Paths!$F$32,0)+IF(IF(Paths!$E$32=0,C283=0,AND(C283&gt;0,Paths!$E$32&gt;(C283-1)*12,Paths!$E$32&lt;=C283*12)),VLOOKUP(A283,'Fleet register'!$A$7:$S$106,16,FALSE),0),"n.a."))</f>
        <v>0</v>
      </c>
      <c r="O283" s="16">
        <f>IF(NOT(Paths!$C$32=1),0,IF(Paths!$P$32="Complete",N283-IF(C283=0,Paths!$F$32,0),"n.a."))</f>
        <v>0</v>
      </c>
      <c r="P283" s="16">
        <f>IF(NOT(Paths!$C$32=1),0,IF(Paths!$P$32="Complete",O283+L283,"n.a."))</f>
        <v>0</v>
      </c>
      <c r="Q283" s="16">
        <f>IF(NOT(Paths!$C$32=1),0,IF(Paths!$P$32="Complete",N283*(1+'Operating costs'!$B$54)^-C283,"n.a."))</f>
        <v>0</v>
      </c>
      <c r="R283" s="16">
        <f>IF(NOT(Paths!$C$32=1),0,IF(Paths!$P$32="Complete",IF(AND(C283=0,Paths!$E$32=0),I283-J283-K283+VLOOKUP(A283,'Fleet register'!$A$7:$S$106,15,FALSE)+VLOOKUP(A283,'Fleet register'!$A$7:$S$106,16,FALSE),0),"n.a."))</f>
        <v>0</v>
      </c>
      <c r="S283" s="1">
        <f>IF(NOT(Paths!$C$32=1),0,IF(Paths!$P$32="Complete",IF(C283=0,0,Paths!$S$32*Paths!$R$32),"n.a."))</f>
        <v>0</v>
      </c>
      <c r="T283" s="1">
        <f>IF(NOT(Paths!$C$32=1),0,IF(Paths!$P$32="Complete",IF(C283=0,0,VLOOKUP(A283,'Fleet register'!$A$7:$S$106,9,FALSE)*Paths!$R$32),"n.a."))</f>
        <v>0</v>
      </c>
    </row>
    <row r="284" spans="1:20" ht="24" customHeight="1">
      <c r="A284" s="1" t="str">
        <f>Paths!$A$32</f>
        <v>T007</v>
      </c>
      <c r="B284" s="1">
        <f>Paths!$B$32</f>
        <v>1</v>
      </c>
      <c r="C284" s="1">
        <v>2</v>
      </c>
      <c r="D284" s="1">
        <v>32</v>
      </c>
      <c r="E284" s="1">
        <f>IF(OR(Paths!$C$32=0,C284=0),0,MAX(0,MIN(C284*12,Paths!$E$32)-(C284-1)*12))</f>
        <v>0</v>
      </c>
      <c r="F284" s="1">
        <f>IF(OR(Paths!$C$32=0,C284=0),0,12-E284)</f>
        <v>0</v>
      </c>
      <c r="G284" s="16">
        <f>IF(NOT(Paths!$C$32=1),0,IF(Paths!$P$32="Complete",E284/12*(Paths!$J$32*(1+'Operating costs'!$B$51)^MAX(0,C284-1)+Paths!$K$32*(1+'Operating costs'!$B$53)^MAX(0,C284-1)),"n.a."))</f>
        <v>0</v>
      </c>
      <c r="H284" s="16">
        <f>IF(NOT(Paths!$C$32=1),0,IF(Paths!$P$32="Complete",F284/12*(Paths!$L$32*(1+IF(Paths!$D$32="EV",'Operating costs'!$B$52,'Operating costs'!$B$51))^MAX(0,C284-1)+Paths!$M$32*(1+'Operating costs'!$B$53)^MAX(0,C284-1)),"n.a."))</f>
        <v>0</v>
      </c>
      <c r="I284" s="16">
        <f>IF(NOT(Paths!$C$32=1),0,IF(Paths!$P$32="Complete",IF(IF(Paths!$E$32=0,C284=0,AND(C284&gt;0,Paths!$E$32&gt;(C284-1)*12,Paths!$E$32&lt;=C284*12)),Paths!$G$32,0),"n.a."))</f>
        <v>0</v>
      </c>
      <c r="J284" s="16">
        <f>IF(NOT(Paths!$C$32=1),0,IF(Paths!$P$32="Complete",IF(IF(Paths!$E$32=0,C284=0,AND(C284&gt;0,Paths!$E$32&gt;(C284-1)*12,Paths!$E$32&lt;=C284*12)),Paths!$H$32,0),"n.a."))</f>
        <v>0</v>
      </c>
      <c r="K284" s="16">
        <f>IF(NOT(Paths!$C$32=1),0,IF(Paths!$P$32="Complete",IF(IF(Paths!$O$32=0,C284=0,AND(C284&gt;0,Paths!$O$32&gt;(C284-1)*12,Paths!$O$32&lt;=C284*12)),Paths!$N$32,0),"n.a."))</f>
        <v>0</v>
      </c>
      <c r="L284" s="16">
        <f>IF(NOT(Paths!$C$32=1),0,IF(Paths!$P$32="Complete",IF(C284=10,Paths!$I$32,0),"n.a."))</f>
        <v>0</v>
      </c>
      <c r="M284" s="16">
        <f>IF(NOT(Paths!$C$32=1),0,IF(Paths!$P$32="Complete",IF(AND(Paths!$D$32="EV",Paths!$E$32&lt;120,Paths!$E$32+'Operating costs'!$B$65&gt;Paths!$E$32,Paths!$E$32+'Operating costs'!$B$65&lt;=120,IF(Paths!$E$32+'Operating costs'!$B$65=0,C284=0,AND(C284&gt;0,Paths!$E$32+'Operating costs'!$B$65&gt;(C284-1)*12,Paths!$E$32+'Operating costs'!$B$65&lt;=C284*12))),'Operating costs'!$B$64,0)+IF(AND('Operating costs'!$B$67&gt;0,'Operating costs'!$B$67&lt;=120,OR(Paths!$D$32="ICE",'Operating costs'!$B$67&lt;=Paths!$E$32),IF('Operating costs'!$B$67=0,C284=0,AND(C284&gt;0,'Operating costs'!$B$67&gt;(C284-1)*12,'Operating costs'!$B$67&lt;=C284*12))),'Operating costs'!$B$66,0),"n.a."))</f>
        <v>0</v>
      </c>
      <c r="N284" s="16">
        <f>IF(NOT(Paths!$C$32=1),0,IF(Paths!$P$32="Complete",SUM(G284:I284)-J284-K284-L284+M284+IF(C284=0,Paths!$F$32,0)+IF(IF(Paths!$E$32=0,C284=0,AND(C284&gt;0,Paths!$E$32&gt;(C284-1)*12,Paths!$E$32&lt;=C284*12)),VLOOKUP(A284,'Fleet register'!$A$7:$S$106,16,FALSE),0),"n.a."))</f>
        <v>0</v>
      </c>
      <c r="O284" s="16">
        <f>IF(NOT(Paths!$C$32=1),0,IF(Paths!$P$32="Complete",N284-IF(C284=0,Paths!$F$32,0),"n.a."))</f>
        <v>0</v>
      </c>
      <c r="P284" s="16">
        <f>IF(NOT(Paths!$C$32=1),0,IF(Paths!$P$32="Complete",O284+L284,"n.a."))</f>
        <v>0</v>
      </c>
      <c r="Q284" s="16">
        <f>IF(NOT(Paths!$C$32=1),0,IF(Paths!$P$32="Complete",N284*(1+'Operating costs'!$B$54)^-C284,"n.a."))</f>
        <v>0</v>
      </c>
      <c r="R284" s="16">
        <f>IF(NOT(Paths!$C$32=1),0,IF(Paths!$P$32="Complete",IF(AND(C284=0,Paths!$E$32=0),I284-J284-K284+VLOOKUP(A284,'Fleet register'!$A$7:$S$106,15,FALSE)+VLOOKUP(A284,'Fleet register'!$A$7:$S$106,16,FALSE),0),"n.a."))</f>
        <v>0</v>
      </c>
      <c r="S284" s="1">
        <f>IF(NOT(Paths!$C$32=1),0,IF(Paths!$P$32="Complete",IF(C284=0,0,Paths!$S$32*Paths!$R$32),"n.a."))</f>
        <v>0</v>
      </c>
      <c r="T284" s="1">
        <f>IF(NOT(Paths!$C$32=1),0,IF(Paths!$P$32="Complete",IF(C284=0,0,VLOOKUP(A284,'Fleet register'!$A$7:$S$106,9,FALSE)*Paths!$R$32),"n.a."))</f>
        <v>0</v>
      </c>
    </row>
    <row r="285" spans="1:20" ht="24" customHeight="1">
      <c r="A285" s="1" t="str">
        <f>Paths!$A$32</f>
        <v>T007</v>
      </c>
      <c r="B285" s="1">
        <f>Paths!$B$32</f>
        <v>1</v>
      </c>
      <c r="C285" s="1">
        <v>3</v>
      </c>
      <c r="D285" s="1">
        <v>32</v>
      </c>
      <c r="E285" s="1">
        <f>IF(OR(Paths!$C$32=0,C285=0),0,MAX(0,MIN(C285*12,Paths!$E$32)-(C285-1)*12))</f>
        <v>0</v>
      </c>
      <c r="F285" s="1">
        <f>IF(OR(Paths!$C$32=0,C285=0),0,12-E285)</f>
        <v>0</v>
      </c>
      <c r="G285" s="16">
        <f>IF(NOT(Paths!$C$32=1),0,IF(Paths!$P$32="Complete",E285/12*(Paths!$J$32*(1+'Operating costs'!$B$51)^MAX(0,C285-1)+Paths!$K$32*(1+'Operating costs'!$B$53)^MAX(0,C285-1)),"n.a."))</f>
        <v>0</v>
      </c>
      <c r="H285" s="16">
        <f>IF(NOT(Paths!$C$32=1),0,IF(Paths!$P$32="Complete",F285/12*(Paths!$L$32*(1+IF(Paths!$D$32="EV",'Operating costs'!$B$52,'Operating costs'!$B$51))^MAX(0,C285-1)+Paths!$M$32*(1+'Operating costs'!$B$53)^MAX(0,C285-1)),"n.a."))</f>
        <v>0</v>
      </c>
      <c r="I285" s="16">
        <f>IF(NOT(Paths!$C$32=1),0,IF(Paths!$P$32="Complete",IF(IF(Paths!$E$32=0,C285=0,AND(C285&gt;0,Paths!$E$32&gt;(C285-1)*12,Paths!$E$32&lt;=C285*12)),Paths!$G$32,0),"n.a."))</f>
        <v>0</v>
      </c>
      <c r="J285" s="16">
        <f>IF(NOT(Paths!$C$32=1),0,IF(Paths!$P$32="Complete",IF(IF(Paths!$E$32=0,C285=0,AND(C285&gt;0,Paths!$E$32&gt;(C285-1)*12,Paths!$E$32&lt;=C285*12)),Paths!$H$32,0),"n.a."))</f>
        <v>0</v>
      </c>
      <c r="K285" s="16">
        <f>IF(NOT(Paths!$C$32=1),0,IF(Paths!$P$32="Complete",IF(IF(Paths!$O$32=0,C285=0,AND(C285&gt;0,Paths!$O$32&gt;(C285-1)*12,Paths!$O$32&lt;=C285*12)),Paths!$N$32,0),"n.a."))</f>
        <v>0</v>
      </c>
      <c r="L285" s="16">
        <f>IF(NOT(Paths!$C$32=1),0,IF(Paths!$P$32="Complete",IF(C285=10,Paths!$I$32,0),"n.a."))</f>
        <v>0</v>
      </c>
      <c r="M285" s="16">
        <f>IF(NOT(Paths!$C$32=1),0,IF(Paths!$P$32="Complete",IF(AND(Paths!$D$32="EV",Paths!$E$32&lt;120,Paths!$E$32+'Operating costs'!$B$65&gt;Paths!$E$32,Paths!$E$32+'Operating costs'!$B$65&lt;=120,IF(Paths!$E$32+'Operating costs'!$B$65=0,C285=0,AND(C285&gt;0,Paths!$E$32+'Operating costs'!$B$65&gt;(C285-1)*12,Paths!$E$32+'Operating costs'!$B$65&lt;=C285*12))),'Operating costs'!$B$64,0)+IF(AND('Operating costs'!$B$67&gt;0,'Operating costs'!$B$67&lt;=120,OR(Paths!$D$32="ICE",'Operating costs'!$B$67&lt;=Paths!$E$32),IF('Operating costs'!$B$67=0,C285=0,AND(C285&gt;0,'Operating costs'!$B$67&gt;(C285-1)*12,'Operating costs'!$B$67&lt;=C285*12))),'Operating costs'!$B$66,0),"n.a."))</f>
        <v>0</v>
      </c>
      <c r="N285" s="16">
        <f>IF(NOT(Paths!$C$32=1),0,IF(Paths!$P$32="Complete",SUM(G285:I285)-J285-K285-L285+M285+IF(C285=0,Paths!$F$32,0)+IF(IF(Paths!$E$32=0,C285=0,AND(C285&gt;0,Paths!$E$32&gt;(C285-1)*12,Paths!$E$32&lt;=C285*12)),VLOOKUP(A285,'Fleet register'!$A$7:$S$106,16,FALSE),0),"n.a."))</f>
        <v>0</v>
      </c>
      <c r="O285" s="16">
        <f>IF(NOT(Paths!$C$32=1),0,IF(Paths!$P$32="Complete",N285-IF(C285=0,Paths!$F$32,0),"n.a."))</f>
        <v>0</v>
      </c>
      <c r="P285" s="16">
        <f>IF(NOT(Paths!$C$32=1),0,IF(Paths!$P$32="Complete",O285+L285,"n.a."))</f>
        <v>0</v>
      </c>
      <c r="Q285" s="16">
        <f>IF(NOT(Paths!$C$32=1),0,IF(Paths!$P$32="Complete",N285*(1+'Operating costs'!$B$54)^-C285,"n.a."))</f>
        <v>0</v>
      </c>
      <c r="R285" s="16">
        <f>IF(NOT(Paths!$C$32=1),0,IF(Paths!$P$32="Complete",IF(AND(C285=0,Paths!$E$32=0),I285-J285-K285+VLOOKUP(A285,'Fleet register'!$A$7:$S$106,15,FALSE)+VLOOKUP(A285,'Fleet register'!$A$7:$S$106,16,FALSE),0),"n.a."))</f>
        <v>0</v>
      </c>
      <c r="S285" s="1">
        <f>IF(NOT(Paths!$C$32=1),0,IF(Paths!$P$32="Complete",IF(C285=0,0,Paths!$S$32*Paths!$R$32),"n.a."))</f>
        <v>0</v>
      </c>
      <c r="T285" s="1">
        <f>IF(NOT(Paths!$C$32=1),0,IF(Paths!$P$32="Complete",IF(C285=0,0,VLOOKUP(A285,'Fleet register'!$A$7:$S$106,9,FALSE)*Paths!$R$32),"n.a."))</f>
        <v>0</v>
      </c>
    </row>
    <row r="286" spans="1:20" ht="24" customHeight="1">
      <c r="A286" s="1" t="str">
        <f>Paths!$A$32</f>
        <v>T007</v>
      </c>
      <c r="B286" s="1">
        <f>Paths!$B$32</f>
        <v>1</v>
      </c>
      <c r="C286" s="1">
        <v>4</v>
      </c>
      <c r="D286" s="1">
        <v>32</v>
      </c>
      <c r="E286" s="1">
        <f>IF(OR(Paths!$C$32=0,C286=0),0,MAX(0,MIN(C286*12,Paths!$E$32)-(C286-1)*12))</f>
        <v>0</v>
      </c>
      <c r="F286" s="1">
        <f>IF(OR(Paths!$C$32=0,C286=0),0,12-E286)</f>
        <v>0</v>
      </c>
      <c r="G286" s="16">
        <f>IF(NOT(Paths!$C$32=1),0,IF(Paths!$P$32="Complete",E286/12*(Paths!$J$32*(1+'Operating costs'!$B$51)^MAX(0,C286-1)+Paths!$K$32*(1+'Operating costs'!$B$53)^MAX(0,C286-1)),"n.a."))</f>
        <v>0</v>
      </c>
      <c r="H286" s="16">
        <f>IF(NOT(Paths!$C$32=1),0,IF(Paths!$P$32="Complete",F286/12*(Paths!$L$32*(1+IF(Paths!$D$32="EV",'Operating costs'!$B$52,'Operating costs'!$B$51))^MAX(0,C286-1)+Paths!$M$32*(1+'Operating costs'!$B$53)^MAX(0,C286-1)),"n.a."))</f>
        <v>0</v>
      </c>
      <c r="I286" s="16">
        <f>IF(NOT(Paths!$C$32=1),0,IF(Paths!$P$32="Complete",IF(IF(Paths!$E$32=0,C286=0,AND(C286&gt;0,Paths!$E$32&gt;(C286-1)*12,Paths!$E$32&lt;=C286*12)),Paths!$G$32,0),"n.a."))</f>
        <v>0</v>
      </c>
      <c r="J286" s="16">
        <f>IF(NOT(Paths!$C$32=1),0,IF(Paths!$P$32="Complete",IF(IF(Paths!$E$32=0,C286=0,AND(C286&gt;0,Paths!$E$32&gt;(C286-1)*12,Paths!$E$32&lt;=C286*12)),Paths!$H$32,0),"n.a."))</f>
        <v>0</v>
      </c>
      <c r="K286" s="16">
        <f>IF(NOT(Paths!$C$32=1),0,IF(Paths!$P$32="Complete",IF(IF(Paths!$O$32=0,C286=0,AND(C286&gt;0,Paths!$O$32&gt;(C286-1)*12,Paths!$O$32&lt;=C286*12)),Paths!$N$32,0),"n.a."))</f>
        <v>0</v>
      </c>
      <c r="L286" s="16">
        <f>IF(NOT(Paths!$C$32=1),0,IF(Paths!$P$32="Complete",IF(C286=10,Paths!$I$32,0),"n.a."))</f>
        <v>0</v>
      </c>
      <c r="M286" s="16">
        <f>IF(NOT(Paths!$C$32=1),0,IF(Paths!$P$32="Complete",IF(AND(Paths!$D$32="EV",Paths!$E$32&lt;120,Paths!$E$32+'Operating costs'!$B$65&gt;Paths!$E$32,Paths!$E$32+'Operating costs'!$B$65&lt;=120,IF(Paths!$E$32+'Operating costs'!$B$65=0,C286=0,AND(C286&gt;0,Paths!$E$32+'Operating costs'!$B$65&gt;(C286-1)*12,Paths!$E$32+'Operating costs'!$B$65&lt;=C286*12))),'Operating costs'!$B$64,0)+IF(AND('Operating costs'!$B$67&gt;0,'Operating costs'!$B$67&lt;=120,OR(Paths!$D$32="ICE",'Operating costs'!$B$67&lt;=Paths!$E$32),IF('Operating costs'!$B$67=0,C286=0,AND(C286&gt;0,'Operating costs'!$B$67&gt;(C286-1)*12,'Operating costs'!$B$67&lt;=C286*12))),'Operating costs'!$B$66,0),"n.a."))</f>
        <v>0</v>
      </c>
      <c r="N286" s="16">
        <f>IF(NOT(Paths!$C$32=1),0,IF(Paths!$P$32="Complete",SUM(G286:I286)-J286-K286-L286+M286+IF(C286=0,Paths!$F$32,0)+IF(IF(Paths!$E$32=0,C286=0,AND(C286&gt;0,Paths!$E$32&gt;(C286-1)*12,Paths!$E$32&lt;=C286*12)),VLOOKUP(A286,'Fleet register'!$A$7:$S$106,16,FALSE),0),"n.a."))</f>
        <v>0</v>
      </c>
      <c r="O286" s="16">
        <f>IF(NOT(Paths!$C$32=1),0,IF(Paths!$P$32="Complete",N286-IF(C286=0,Paths!$F$32,0),"n.a."))</f>
        <v>0</v>
      </c>
      <c r="P286" s="16">
        <f>IF(NOT(Paths!$C$32=1),0,IF(Paths!$P$32="Complete",O286+L286,"n.a."))</f>
        <v>0</v>
      </c>
      <c r="Q286" s="16">
        <f>IF(NOT(Paths!$C$32=1),0,IF(Paths!$P$32="Complete",N286*(1+'Operating costs'!$B$54)^-C286,"n.a."))</f>
        <v>0</v>
      </c>
      <c r="R286" s="16">
        <f>IF(NOT(Paths!$C$32=1),0,IF(Paths!$P$32="Complete",IF(AND(C286=0,Paths!$E$32=0),I286-J286-K286+VLOOKUP(A286,'Fleet register'!$A$7:$S$106,15,FALSE)+VLOOKUP(A286,'Fleet register'!$A$7:$S$106,16,FALSE),0),"n.a."))</f>
        <v>0</v>
      </c>
      <c r="S286" s="1">
        <f>IF(NOT(Paths!$C$32=1),0,IF(Paths!$P$32="Complete",IF(C286=0,0,Paths!$S$32*Paths!$R$32),"n.a."))</f>
        <v>0</v>
      </c>
      <c r="T286" s="1">
        <f>IF(NOT(Paths!$C$32=1),0,IF(Paths!$P$32="Complete",IF(C286=0,0,VLOOKUP(A286,'Fleet register'!$A$7:$S$106,9,FALSE)*Paths!$R$32),"n.a."))</f>
        <v>0</v>
      </c>
    </row>
    <row r="287" spans="1:20" ht="24" customHeight="1">
      <c r="A287" s="1" t="str">
        <f>Paths!$A$32</f>
        <v>T007</v>
      </c>
      <c r="B287" s="1">
        <f>Paths!$B$32</f>
        <v>1</v>
      </c>
      <c r="C287" s="1">
        <v>5</v>
      </c>
      <c r="D287" s="1">
        <v>32</v>
      </c>
      <c r="E287" s="1">
        <f>IF(OR(Paths!$C$32=0,C287=0),0,MAX(0,MIN(C287*12,Paths!$E$32)-(C287-1)*12))</f>
        <v>0</v>
      </c>
      <c r="F287" s="1">
        <f>IF(OR(Paths!$C$32=0,C287=0),0,12-E287)</f>
        <v>0</v>
      </c>
      <c r="G287" s="16">
        <f>IF(NOT(Paths!$C$32=1),0,IF(Paths!$P$32="Complete",E287/12*(Paths!$J$32*(1+'Operating costs'!$B$51)^MAX(0,C287-1)+Paths!$K$32*(1+'Operating costs'!$B$53)^MAX(0,C287-1)),"n.a."))</f>
        <v>0</v>
      </c>
      <c r="H287" s="16">
        <f>IF(NOT(Paths!$C$32=1),0,IF(Paths!$P$32="Complete",F287/12*(Paths!$L$32*(1+IF(Paths!$D$32="EV",'Operating costs'!$B$52,'Operating costs'!$B$51))^MAX(0,C287-1)+Paths!$M$32*(1+'Operating costs'!$B$53)^MAX(0,C287-1)),"n.a."))</f>
        <v>0</v>
      </c>
      <c r="I287" s="16">
        <f>IF(NOT(Paths!$C$32=1),0,IF(Paths!$P$32="Complete",IF(IF(Paths!$E$32=0,C287=0,AND(C287&gt;0,Paths!$E$32&gt;(C287-1)*12,Paths!$E$32&lt;=C287*12)),Paths!$G$32,0),"n.a."))</f>
        <v>0</v>
      </c>
      <c r="J287" s="16">
        <f>IF(NOT(Paths!$C$32=1),0,IF(Paths!$P$32="Complete",IF(IF(Paths!$E$32=0,C287=0,AND(C287&gt;0,Paths!$E$32&gt;(C287-1)*12,Paths!$E$32&lt;=C287*12)),Paths!$H$32,0),"n.a."))</f>
        <v>0</v>
      </c>
      <c r="K287" s="16">
        <f>IF(NOT(Paths!$C$32=1),0,IF(Paths!$P$32="Complete",IF(IF(Paths!$O$32=0,C287=0,AND(C287&gt;0,Paths!$O$32&gt;(C287-1)*12,Paths!$O$32&lt;=C287*12)),Paths!$N$32,0),"n.a."))</f>
        <v>0</v>
      </c>
      <c r="L287" s="16">
        <f>IF(NOT(Paths!$C$32=1),0,IF(Paths!$P$32="Complete",IF(C287=10,Paths!$I$32,0),"n.a."))</f>
        <v>0</v>
      </c>
      <c r="M287" s="16">
        <f>IF(NOT(Paths!$C$32=1),0,IF(Paths!$P$32="Complete",IF(AND(Paths!$D$32="EV",Paths!$E$32&lt;120,Paths!$E$32+'Operating costs'!$B$65&gt;Paths!$E$32,Paths!$E$32+'Operating costs'!$B$65&lt;=120,IF(Paths!$E$32+'Operating costs'!$B$65=0,C287=0,AND(C287&gt;0,Paths!$E$32+'Operating costs'!$B$65&gt;(C287-1)*12,Paths!$E$32+'Operating costs'!$B$65&lt;=C287*12))),'Operating costs'!$B$64,0)+IF(AND('Operating costs'!$B$67&gt;0,'Operating costs'!$B$67&lt;=120,OR(Paths!$D$32="ICE",'Operating costs'!$B$67&lt;=Paths!$E$32),IF('Operating costs'!$B$67=0,C287=0,AND(C287&gt;0,'Operating costs'!$B$67&gt;(C287-1)*12,'Operating costs'!$B$67&lt;=C287*12))),'Operating costs'!$B$66,0),"n.a."))</f>
        <v>0</v>
      </c>
      <c r="N287" s="16">
        <f>IF(NOT(Paths!$C$32=1),0,IF(Paths!$P$32="Complete",SUM(G287:I287)-J287-K287-L287+M287+IF(C287=0,Paths!$F$32,0)+IF(IF(Paths!$E$32=0,C287=0,AND(C287&gt;0,Paths!$E$32&gt;(C287-1)*12,Paths!$E$32&lt;=C287*12)),VLOOKUP(A287,'Fleet register'!$A$7:$S$106,16,FALSE),0),"n.a."))</f>
        <v>0</v>
      </c>
      <c r="O287" s="16">
        <f>IF(NOT(Paths!$C$32=1),0,IF(Paths!$P$32="Complete",N287-IF(C287=0,Paths!$F$32,0),"n.a."))</f>
        <v>0</v>
      </c>
      <c r="P287" s="16">
        <f>IF(NOT(Paths!$C$32=1),0,IF(Paths!$P$32="Complete",O287+L287,"n.a."))</f>
        <v>0</v>
      </c>
      <c r="Q287" s="16">
        <f>IF(NOT(Paths!$C$32=1),0,IF(Paths!$P$32="Complete",N287*(1+'Operating costs'!$B$54)^-C287,"n.a."))</f>
        <v>0</v>
      </c>
      <c r="R287" s="16">
        <f>IF(NOT(Paths!$C$32=1),0,IF(Paths!$P$32="Complete",IF(AND(C287=0,Paths!$E$32=0),I287-J287-K287+VLOOKUP(A287,'Fleet register'!$A$7:$S$106,15,FALSE)+VLOOKUP(A287,'Fleet register'!$A$7:$S$106,16,FALSE),0),"n.a."))</f>
        <v>0</v>
      </c>
      <c r="S287" s="1">
        <f>IF(NOT(Paths!$C$32=1),0,IF(Paths!$P$32="Complete",IF(C287=0,0,Paths!$S$32*Paths!$R$32),"n.a."))</f>
        <v>0</v>
      </c>
      <c r="T287" s="1">
        <f>IF(NOT(Paths!$C$32=1),0,IF(Paths!$P$32="Complete",IF(C287=0,0,VLOOKUP(A287,'Fleet register'!$A$7:$S$106,9,FALSE)*Paths!$R$32),"n.a."))</f>
        <v>0</v>
      </c>
    </row>
    <row r="288" spans="1:20" ht="24" customHeight="1">
      <c r="A288" s="1" t="str">
        <f>Paths!$A$32</f>
        <v>T007</v>
      </c>
      <c r="B288" s="1">
        <f>Paths!$B$32</f>
        <v>1</v>
      </c>
      <c r="C288" s="1">
        <v>6</v>
      </c>
      <c r="D288" s="1">
        <v>32</v>
      </c>
      <c r="E288" s="1">
        <f>IF(OR(Paths!$C$32=0,C288=0),0,MAX(0,MIN(C288*12,Paths!$E$32)-(C288-1)*12))</f>
        <v>0</v>
      </c>
      <c r="F288" s="1">
        <f>IF(OR(Paths!$C$32=0,C288=0),0,12-E288)</f>
        <v>0</v>
      </c>
      <c r="G288" s="16">
        <f>IF(NOT(Paths!$C$32=1),0,IF(Paths!$P$32="Complete",E288/12*(Paths!$J$32*(1+'Operating costs'!$B$51)^MAX(0,C288-1)+Paths!$K$32*(1+'Operating costs'!$B$53)^MAX(0,C288-1)),"n.a."))</f>
        <v>0</v>
      </c>
      <c r="H288" s="16">
        <f>IF(NOT(Paths!$C$32=1),0,IF(Paths!$P$32="Complete",F288/12*(Paths!$L$32*(1+IF(Paths!$D$32="EV",'Operating costs'!$B$52,'Operating costs'!$B$51))^MAX(0,C288-1)+Paths!$M$32*(1+'Operating costs'!$B$53)^MAX(0,C288-1)),"n.a."))</f>
        <v>0</v>
      </c>
      <c r="I288" s="16">
        <f>IF(NOT(Paths!$C$32=1),0,IF(Paths!$P$32="Complete",IF(IF(Paths!$E$32=0,C288=0,AND(C288&gt;0,Paths!$E$32&gt;(C288-1)*12,Paths!$E$32&lt;=C288*12)),Paths!$G$32,0),"n.a."))</f>
        <v>0</v>
      </c>
      <c r="J288" s="16">
        <f>IF(NOT(Paths!$C$32=1),0,IF(Paths!$P$32="Complete",IF(IF(Paths!$E$32=0,C288=0,AND(C288&gt;0,Paths!$E$32&gt;(C288-1)*12,Paths!$E$32&lt;=C288*12)),Paths!$H$32,0),"n.a."))</f>
        <v>0</v>
      </c>
      <c r="K288" s="16">
        <f>IF(NOT(Paths!$C$32=1),0,IF(Paths!$P$32="Complete",IF(IF(Paths!$O$32=0,C288=0,AND(C288&gt;0,Paths!$O$32&gt;(C288-1)*12,Paths!$O$32&lt;=C288*12)),Paths!$N$32,0),"n.a."))</f>
        <v>0</v>
      </c>
      <c r="L288" s="16">
        <f>IF(NOT(Paths!$C$32=1),0,IF(Paths!$P$32="Complete",IF(C288=10,Paths!$I$32,0),"n.a."))</f>
        <v>0</v>
      </c>
      <c r="M288" s="16">
        <f>IF(NOT(Paths!$C$32=1),0,IF(Paths!$P$32="Complete",IF(AND(Paths!$D$32="EV",Paths!$E$32&lt;120,Paths!$E$32+'Operating costs'!$B$65&gt;Paths!$E$32,Paths!$E$32+'Operating costs'!$B$65&lt;=120,IF(Paths!$E$32+'Operating costs'!$B$65=0,C288=0,AND(C288&gt;0,Paths!$E$32+'Operating costs'!$B$65&gt;(C288-1)*12,Paths!$E$32+'Operating costs'!$B$65&lt;=C288*12))),'Operating costs'!$B$64,0)+IF(AND('Operating costs'!$B$67&gt;0,'Operating costs'!$B$67&lt;=120,OR(Paths!$D$32="ICE",'Operating costs'!$B$67&lt;=Paths!$E$32),IF('Operating costs'!$B$67=0,C288=0,AND(C288&gt;0,'Operating costs'!$B$67&gt;(C288-1)*12,'Operating costs'!$B$67&lt;=C288*12))),'Operating costs'!$B$66,0),"n.a."))</f>
        <v>0</v>
      </c>
      <c r="N288" s="16">
        <f>IF(NOT(Paths!$C$32=1),0,IF(Paths!$P$32="Complete",SUM(G288:I288)-J288-K288-L288+M288+IF(C288=0,Paths!$F$32,0)+IF(IF(Paths!$E$32=0,C288=0,AND(C288&gt;0,Paths!$E$32&gt;(C288-1)*12,Paths!$E$32&lt;=C288*12)),VLOOKUP(A288,'Fleet register'!$A$7:$S$106,16,FALSE),0),"n.a."))</f>
        <v>0</v>
      </c>
      <c r="O288" s="16">
        <f>IF(NOT(Paths!$C$32=1),0,IF(Paths!$P$32="Complete",N288-IF(C288=0,Paths!$F$32,0),"n.a."))</f>
        <v>0</v>
      </c>
      <c r="P288" s="16">
        <f>IF(NOT(Paths!$C$32=1),0,IF(Paths!$P$32="Complete",O288+L288,"n.a."))</f>
        <v>0</v>
      </c>
      <c r="Q288" s="16">
        <f>IF(NOT(Paths!$C$32=1),0,IF(Paths!$P$32="Complete",N288*(1+'Operating costs'!$B$54)^-C288,"n.a."))</f>
        <v>0</v>
      </c>
      <c r="R288" s="16">
        <f>IF(NOT(Paths!$C$32=1),0,IF(Paths!$P$32="Complete",IF(AND(C288=0,Paths!$E$32=0),I288-J288-K288+VLOOKUP(A288,'Fleet register'!$A$7:$S$106,15,FALSE)+VLOOKUP(A288,'Fleet register'!$A$7:$S$106,16,FALSE),0),"n.a."))</f>
        <v>0</v>
      </c>
      <c r="S288" s="1">
        <f>IF(NOT(Paths!$C$32=1),0,IF(Paths!$P$32="Complete",IF(C288=0,0,Paths!$S$32*Paths!$R$32),"n.a."))</f>
        <v>0</v>
      </c>
      <c r="T288" s="1">
        <f>IF(NOT(Paths!$C$32=1),0,IF(Paths!$P$32="Complete",IF(C288=0,0,VLOOKUP(A288,'Fleet register'!$A$7:$S$106,9,FALSE)*Paths!$R$32),"n.a."))</f>
        <v>0</v>
      </c>
    </row>
    <row r="289" spans="1:20" ht="24" customHeight="1">
      <c r="A289" s="1" t="str">
        <f>Paths!$A$32</f>
        <v>T007</v>
      </c>
      <c r="B289" s="1">
        <f>Paths!$B$32</f>
        <v>1</v>
      </c>
      <c r="C289" s="1">
        <v>7</v>
      </c>
      <c r="D289" s="1">
        <v>32</v>
      </c>
      <c r="E289" s="1">
        <f>IF(OR(Paths!$C$32=0,C289=0),0,MAX(0,MIN(C289*12,Paths!$E$32)-(C289-1)*12))</f>
        <v>0</v>
      </c>
      <c r="F289" s="1">
        <f>IF(OR(Paths!$C$32=0,C289=0),0,12-E289)</f>
        <v>0</v>
      </c>
      <c r="G289" s="16">
        <f>IF(NOT(Paths!$C$32=1),0,IF(Paths!$P$32="Complete",E289/12*(Paths!$J$32*(1+'Operating costs'!$B$51)^MAX(0,C289-1)+Paths!$K$32*(1+'Operating costs'!$B$53)^MAX(0,C289-1)),"n.a."))</f>
        <v>0</v>
      </c>
      <c r="H289" s="16">
        <f>IF(NOT(Paths!$C$32=1),0,IF(Paths!$P$32="Complete",F289/12*(Paths!$L$32*(1+IF(Paths!$D$32="EV",'Operating costs'!$B$52,'Operating costs'!$B$51))^MAX(0,C289-1)+Paths!$M$32*(1+'Operating costs'!$B$53)^MAX(0,C289-1)),"n.a."))</f>
        <v>0</v>
      </c>
      <c r="I289" s="16">
        <f>IF(NOT(Paths!$C$32=1),0,IF(Paths!$P$32="Complete",IF(IF(Paths!$E$32=0,C289=0,AND(C289&gt;0,Paths!$E$32&gt;(C289-1)*12,Paths!$E$32&lt;=C289*12)),Paths!$G$32,0),"n.a."))</f>
        <v>0</v>
      </c>
      <c r="J289" s="16">
        <f>IF(NOT(Paths!$C$32=1),0,IF(Paths!$P$32="Complete",IF(IF(Paths!$E$32=0,C289=0,AND(C289&gt;0,Paths!$E$32&gt;(C289-1)*12,Paths!$E$32&lt;=C289*12)),Paths!$H$32,0),"n.a."))</f>
        <v>0</v>
      </c>
      <c r="K289" s="16">
        <f>IF(NOT(Paths!$C$32=1),0,IF(Paths!$P$32="Complete",IF(IF(Paths!$O$32=0,C289=0,AND(C289&gt;0,Paths!$O$32&gt;(C289-1)*12,Paths!$O$32&lt;=C289*12)),Paths!$N$32,0),"n.a."))</f>
        <v>0</v>
      </c>
      <c r="L289" s="16">
        <f>IF(NOT(Paths!$C$32=1),0,IF(Paths!$P$32="Complete",IF(C289=10,Paths!$I$32,0),"n.a."))</f>
        <v>0</v>
      </c>
      <c r="M289" s="16">
        <f>IF(NOT(Paths!$C$32=1),0,IF(Paths!$P$32="Complete",IF(AND(Paths!$D$32="EV",Paths!$E$32&lt;120,Paths!$E$32+'Operating costs'!$B$65&gt;Paths!$E$32,Paths!$E$32+'Operating costs'!$B$65&lt;=120,IF(Paths!$E$32+'Operating costs'!$B$65=0,C289=0,AND(C289&gt;0,Paths!$E$32+'Operating costs'!$B$65&gt;(C289-1)*12,Paths!$E$32+'Operating costs'!$B$65&lt;=C289*12))),'Operating costs'!$B$64,0)+IF(AND('Operating costs'!$B$67&gt;0,'Operating costs'!$B$67&lt;=120,OR(Paths!$D$32="ICE",'Operating costs'!$B$67&lt;=Paths!$E$32),IF('Operating costs'!$B$67=0,C289=0,AND(C289&gt;0,'Operating costs'!$B$67&gt;(C289-1)*12,'Operating costs'!$B$67&lt;=C289*12))),'Operating costs'!$B$66,0),"n.a."))</f>
        <v>0</v>
      </c>
      <c r="N289" s="16">
        <f>IF(NOT(Paths!$C$32=1),0,IF(Paths!$P$32="Complete",SUM(G289:I289)-J289-K289-L289+M289+IF(C289=0,Paths!$F$32,0)+IF(IF(Paths!$E$32=0,C289=0,AND(C289&gt;0,Paths!$E$32&gt;(C289-1)*12,Paths!$E$32&lt;=C289*12)),VLOOKUP(A289,'Fleet register'!$A$7:$S$106,16,FALSE),0),"n.a."))</f>
        <v>0</v>
      </c>
      <c r="O289" s="16">
        <f>IF(NOT(Paths!$C$32=1),0,IF(Paths!$P$32="Complete",N289-IF(C289=0,Paths!$F$32,0),"n.a."))</f>
        <v>0</v>
      </c>
      <c r="P289" s="16">
        <f>IF(NOT(Paths!$C$32=1),0,IF(Paths!$P$32="Complete",O289+L289,"n.a."))</f>
        <v>0</v>
      </c>
      <c r="Q289" s="16">
        <f>IF(NOT(Paths!$C$32=1),0,IF(Paths!$P$32="Complete",N289*(1+'Operating costs'!$B$54)^-C289,"n.a."))</f>
        <v>0</v>
      </c>
      <c r="R289" s="16">
        <f>IF(NOT(Paths!$C$32=1),0,IF(Paths!$P$32="Complete",IF(AND(C289=0,Paths!$E$32=0),I289-J289-K289+VLOOKUP(A289,'Fleet register'!$A$7:$S$106,15,FALSE)+VLOOKUP(A289,'Fleet register'!$A$7:$S$106,16,FALSE),0),"n.a."))</f>
        <v>0</v>
      </c>
      <c r="S289" s="1">
        <f>IF(NOT(Paths!$C$32=1),0,IF(Paths!$P$32="Complete",IF(C289=0,0,Paths!$S$32*Paths!$R$32),"n.a."))</f>
        <v>0</v>
      </c>
      <c r="T289" s="1">
        <f>IF(NOT(Paths!$C$32=1),0,IF(Paths!$P$32="Complete",IF(C289=0,0,VLOOKUP(A289,'Fleet register'!$A$7:$S$106,9,FALSE)*Paths!$R$32),"n.a."))</f>
        <v>0</v>
      </c>
    </row>
    <row r="290" spans="1:20" ht="24" customHeight="1">
      <c r="A290" s="1" t="str">
        <f>Paths!$A$32</f>
        <v>T007</v>
      </c>
      <c r="B290" s="1">
        <f>Paths!$B$32</f>
        <v>1</v>
      </c>
      <c r="C290" s="1">
        <v>8</v>
      </c>
      <c r="D290" s="1">
        <v>32</v>
      </c>
      <c r="E290" s="1">
        <f>IF(OR(Paths!$C$32=0,C290=0),0,MAX(0,MIN(C290*12,Paths!$E$32)-(C290-1)*12))</f>
        <v>0</v>
      </c>
      <c r="F290" s="1">
        <f>IF(OR(Paths!$C$32=0,C290=0),0,12-E290)</f>
        <v>0</v>
      </c>
      <c r="G290" s="16">
        <f>IF(NOT(Paths!$C$32=1),0,IF(Paths!$P$32="Complete",E290/12*(Paths!$J$32*(1+'Operating costs'!$B$51)^MAX(0,C290-1)+Paths!$K$32*(1+'Operating costs'!$B$53)^MAX(0,C290-1)),"n.a."))</f>
        <v>0</v>
      </c>
      <c r="H290" s="16">
        <f>IF(NOT(Paths!$C$32=1),0,IF(Paths!$P$32="Complete",F290/12*(Paths!$L$32*(1+IF(Paths!$D$32="EV",'Operating costs'!$B$52,'Operating costs'!$B$51))^MAX(0,C290-1)+Paths!$M$32*(1+'Operating costs'!$B$53)^MAX(0,C290-1)),"n.a."))</f>
        <v>0</v>
      </c>
      <c r="I290" s="16">
        <f>IF(NOT(Paths!$C$32=1),0,IF(Paths!$P$32="Complete",IF(IF(Paths!$E$32=0,C290=0,AND(C290&gt;0,Paths!$E$32&gt;(C290-1)*12,Paths!$E$32&lt;=C290*12)),Paths!$G$32,0),"n.a."))</f>
        <v>0</v>
      </c>
      <c r="J290" s="16">
        <f>IF(NOT(Paths!$C$32=1),0,IF(Paths!$P$32="Complete",IF(IF(Paths!$E$32=0,C290=0,AND(C290&gt;0,Paths!$E$32&gt;(C290-1)*12,Paths!$E$32&lt;=C290*12)),Paths!$H$32,0),"n.a."))</f>
        <v>0</v>
      </c>
      <c r="K290" s="16">
        <f>IF(NOT(Paths!$C$32=1),0,IF(Paths!$P$32="Complete",IF(IF(Paths!$O$32=0,C290=0,AND(C290&gt;0,Paths!$O$32&gt;(C290-1)*12,Paths!$O$32&lt;=C290*12)),Paths!$N$32,0),"n.a."))</f>
        <v>0</v>
      </c>
      <c r="L290" s="16">
        <f>IF(NOT(Paths!$C$32=1),0,IF(Paths!$P$32="Complete",IF(C290=10,Paths!$I$32,0),"n.a."))</f>
        <v>0</v>
      </c>
      <c r="M290" s="16">
        <f>IF(NOT(Paths!$C$32=1),0,IF(Paths!$P$32="Complete",IF(AND(Paths!$D$32="EV",Paths!$E$32&lt;120,Paths!$E$32+'Operating costs'!$B$65&gt;Paths!$E$32,Paths!$E$32+'Operating costs'!$B$65&lt;=120,IF(Paths!$E$32+'Operating costs'!$B$65=0,C290=0,AND(C290&gt;0,Paths!$E$32+'Operating costs'!$B$65&gt;(C290-1)*12,Paths!$E$32+'Operating costs'!$B$65&lt;=C290*12))),'Operating costs'!$B$64,0)+IF(AND('Operating costs'!$B$67&gt;0,'Operating costs'!$B$67&lt;=120,OR(Paths!$D$32="ICE",'Operating costs'!$B$67&lt;=Paths!$E$32),IF('Operating costs'!$B$67=0,C290=0,AND(C290&gt;0,'Operating costs'!$B$67&gt;(C290-1)*12,'Operating costs'!$B$67&lt;=C290*12))),'Operating costs'!$B$66,0),"n.a."))</f>
        <v>0</v>
      </c>
      <c r="N290" s="16">
        <f>IF(NOT(Paths!$C$32=1),0,IF(Paths!$P$32="Complete",SUM(G290:I290)-J290-K290-L290+M290+IF(C290=0,Paths!$F$32,0)+IF(IF(Paths!$E$32=0,C290=0,AND(C290&gt;0,Paths!$E$32&gt;(C290-1)*12,Paths!$E$32&lt;=C290*12)),VLOOKUP(A290,'Fleet register'!$A$7:$S$106,16,FALSE),0),"n.a."))</f>
        <v>0</v>
      </c>
      <c r="O290" s="16">
        <f>IF(NOT(Paths!$C$32=1),0,IF(Paths!$P$32="Complete",N290-IF(C290=0,Paths!$F$32,0),"n.a."))</f>
        <v>0</v>
      </c>
      <c r="P290" s="16">
        <f>IF(NOT(Paths!$C$32=1),0,IF(Paths!$P$32="Complete",O290+L290,"n.a."))</f>
        <v>0</v>
      </c>
      <c r="Q290" s="16">
        <f>IF(NOT(Paths!$C$32=1),0,IF(Paths!$P$32="Complete",N290*(1+'Operating costs'!$B$54)^-C290,"n.a."))</f>
        <v>0</v>
      </c>
      <c r="R290" s="16">
        <f>IF(NOT(Paths!$C$32=1),0,IF(Paths!$P$32="Complete",IF(AND(C290=0,Paths!$E$32=0),I290-J290-K290+VLOOKUP(A290,'Fleet register'!$A$7:$S$106,15,FALSE)+VLOOKUP(A290,'Fleet register'!$A$7:$S$106,16,FALSE),0),"n.a."))</f>
        <v>0</v>
      </c>
      <c r="S290" s="1">
        <f>IF(NOT(Paths!$C$32=1),0,IF(Paths!$P$32="Complete",IF(C290=0,0,Paths!$S$32*Paths!$R$32),"n.a."))</f>
        <v>0</v>
      </c>
      <c r="T290" s="1">
        <f>IF(NOT(Paths!$C$32=1),0,IF(Paths!$P$32="Complete",IF(C290=0,0,VLOOKUP(A290,'Fleet register'!$A$7:$S$106,9,FALSE)*Paths!$R$32),"n.a."))</f>
        <v>0</v>
      </c>
    </row>
    <row r="291" spans="1:20" ht="24" customHeight="1">
      <c r="A291" s="1" t="str">
        <f>Paths!$A$32</f>
        <v>T007</v>
      </c>
      <c r="B291" s="1">
        <f>Paths!$B$32</f>
        <v>1</v>
      </c>
      <c r="C291" s="1">
        <v>9</v>
      </c>
      <c r="D291" s="1">
        <v>32</v>
      </c>
      <c r="E291" s="1">
        <f>IF(OR(Paths!$C$32=0,C291=0),0,MAX(0,MIN(C291*12,Paths!$E$32)-(C291-1)*12))</f>
        <v>0</v>
      </c>
      <c r="F291" s="1">
        <f>IF(OR(Paths!$C$32=0,C291=0),0,12-E291)</f>
        <v>0</v>
      </c>
      <c r="G291" s="16">
        <f>IF(NOT(Paths!$C$32=1),0,IF(Paths!$P$32="Complete",E291/12*(Paths!$J$32*(1+'Operating costs'!$B$51)^MAX(0,C291-1)+Paths!$K$32*(1+'Operating costs'!$B$53)^MAX(0,C291-1)),"n.a."))</f>
        <v>0</v>
      </c>
      <c r="H291" s="16">
        <f>IF(NOT(Paths!$C$32=1),0,IF(Paths!$P$32="Complete",F291/12*(Paths!$L$32*(1+IF(Paths!$D$32="EV",'Operating costs'!$B$52,'Operating costs'!$B$51))^MAX(0,C291-1)+Paths!$M$32*(1+'Operating costs'!$B$53)^MAX(0,C291-1)),"n.a."))</f>
        <v>0</v>
      </c>
      <c r="I291" s="16">
        <f>IF(NOT(Paths!$C$32=1),0,IF(Paths!$P$32="Complete",IF(IF(Paths!$E$32=0,C291=0,AND(C291&gt;0,Paths!$E$32&gt;(C291-1)*12,Paths!$E$32&lt;=C291*12)),Paths!$G$32,0),"n.a."))</f>
        <v>0</v>
      </c>
      <c r="J291" s="16">
        <f>IF(NOT(Paths!$C$32=1),0,IF(Paths!$P$32="Complete",IF(IF(Paths!$E$32=0,C291=0,AND(C291&gt;0,Paths!$E$32&gt;(C291-1)*12,Paths!$E$32&lt;=C291*12)),Paths!$H$32,0),"n.a."))</f>
        <v>0</v>
      </c>
      <c r="K291" s="16">
        <f>IF(NOT(Paths!$C$32=1),0,IF(Paths!$P$32="Complete",IF(IF(Paths!$O$32=0,C291=0,AND(C291&gt;0,Paths!$O$32&gt;(C291-1)*12,Paths!$O$32&lt;=C291*12)),Paths!$N$32,0),"n.a."))</f>
        <v>0</v>
      </c>
      <c r="L291" s="16">
        <f>IF(NOT(Paths!$C$32=1),0,IF(Paths!$P$32="Complete",IF(C291=10,Paths!$I$32,0),"n.a."))</f>
        <v>0</v>
      </c>
      <c r="M291" s="16">
        <f>IF(NOT(Paths!$C$32=1),0,IF(Paths!$P$32="Complete",IF(AND(Paths!$D$32="EV",Paths!$E$32&lt;120,Paths!$E$32+'Operating costs'!$B$65&gt;Paths!$E$32,Paths!$E$32+'Operating costs'!$B$65&lt;=120,IF(Paths!$E$32+'Operating costs'!$B$65=0,C291=0,AND(C291&gt;0,Paths!$E$32+'Operating costs'!$B$65&gt;(C291-1)*12,Paths!$E$32+'Operating costs'!$B$65&lt;=C291*12))),'Operating costs'!$B$64,0)+IF(AND('Operating costs'!$B$67&gt;0,'Operating costs'!$B$67&lt;=120,OR(Paths!$D$32="ICE",'Operating costs'!$B$67&lt;=Paths!$E$32),IF('Operating costs'!$B$67=0,C291=0,AND(C291&gt;0,'Operating costs'!$B$67&gt;(C291-1)*12,'Operating costs'!$B$67&lt;=C291*12))),'Operating costs'!$B$66,0),"n.a."))</f>
        <v>0</v>
      </c>
      <c r="N291" s="16">
        <f>IF(NOT(Paths!$C$32=1),0,IF(Paths!$P$32="Complete",SUM(G291:I291)-J291-K291-L291+M291+IF(C291=0,Paths!$F$32,0)+IF(IF(Paths!$E$32=0,C291=0,AND(C291&gt;0,Paths!$E$32&gt;(C291-1)*12,Paths!$E$32&lt;=C291*12)),VLOOKUP(A291,'Fleet register'!$A$7:$S$106,16,FALSE),0),"n.a."))</f>
        <v>0</v>
      </c>
      <c r="O291" s="16">
        <f>IF(NOT(Paths!$C$32=1),0,IF(Paths!$P$32="Complete",N291-IF(C291=0,Paths!$F$32,0),"n.a."))</f>
        <v>0</v>
      </c>
      <c r="P291" s="16">
        <f>IF(NOT(Paths!$C$32=1),0,IF(Paths!$P$32="Complete",O291+L291,"n.a."))</f>
        <v>0</v>
      </c>
      <c r="Q291" s="16">
        <f>IF(NOT(Paths!$C$32=1),0,IF(Paths!$P$32="Complete",N291*(1+'Operating costs'!$B$54)^-C291,"n.a."))</f>
        <v>0</v>
      </c>
      <c r="R291" s="16">
        <f>IF(NOT(Paths!$C$32=1),0,IF(Paths!$P$32="Complete",IF(AND(C291=0,Paths!$E$32=0),I291-J291-K291+VLOOKUP(A291,'Fleet register'!$A$7:$S$106,15,FALSE)+VLOOKUP(A291,'Fleet register'!$A$7:$S$106,16,FALSE),0),"n.a."))</f>
        <v>0</v>
      </c>
      <c r="S291" s="1">
        <f>IF(NOT(Paths!$C$32=1),0,IF(Paths!$P$32="Complete",IF(C291=0,0,Paths!$S$32*Paths!$R$32),"n.a."))</f>
        <v>0</v>
      </c>
      <c r="T291" s="1">
        <f>IF(NOT(Paths!$C$32=1),0,IF(Paths!$P$32="Complete",IF(C291=0,0,VLOOKUP(A291,'Fleet register'!$A$7:$S$106,9,FALSE)*Paths!$R$32),"n.a."))</f>
        <v>0</v>
      </c>
    </row>
    <row r="292" spans="1:20" ht="24" customHeight="1">
      <c r="A292" s="1" t="str">
        <f>Paths!$A$32</f>
        <v>T007</v>
      </c>
      <c r="B292" s="1">
        <f>Paths!$B$32</f>
        <v>1</v>
      </c>
      <c r="C292" s="1">
        <v>10</v>
      </c>
      <c r="D292" s="1">
        <v>32</v>
      </c>
      <c r="E292" s="1">
        <f>IF(OR(Paths!$C$32=0,C292=0),0,MAX(0,MIN(C292*12,Paths!$E$32)-(C292-1)*12))</f>
        <v>0</v>
      </c>
      <c r="F292" s="1">
        <f>IF(OR(Paths!$C$32=0,C292=0),0,12-E292)</f>
        <v>0</v>
      </c>
      <c r="G292" s="16">
        <f>IF(NOT(Paths!$C$32=1),0,IF(Paths!$P$32="Complete",E292/12*(Paths!$J$32*(1+'Operating costs'!$B$51)^MAX(0,C292-1)+Paths!$K$32*(1+'Operating costs'!$B$53)^MAX(0,C292-1)),"n.a."))</f>
        <v>0</v>
      </c>
      <c r="H292" s="16">
        <f>IF(NOT(Paths!$C$32=1),0,IF(Paths!$P$32="Complete",F292/12*(Paths!$L$32*(1+IF(Paths!$D$32="EV",'Operating costs'!$B$52,'Operating costs'!$B$51))^MAX(0,C292-1)+Paths!$M$32*(1+'Operating costs'!$B$53)^MAX(0,C292-1)),"n.a."))</f>
        <v>0</v>
      </c>
      <c r="I292" s="16">
        <f>IF(NOT(Paths!$C$32=1),0,IF(Paths!$P$32="Complete",IF(IF(Paths!$E$32=0,C292=0,AND(C292&gt;0,Paths!$E$32&gt;(C292-1)*12,Paths!$E$32&lt;=C292*12)),Paths!$G$32,0),"n.a."))</f>
        <v>0</v>
      </c>
      <c r="J292" s="16">
        <f>IF(NOT(Paths!$C$32=1),0,IF(Paths!$P$32="Complete",IF(IF(Paths!$E$32=0,C292=0,AND(C292&gt;0,Paths!$E$32&gt;(C292-1)*12,Paths!$E$32&lt;=C292*12)),Paths!$H$32,0),"n.a."))</f>
        <v>0</v>
      </c>
      <c r="K292" s="16">
        <f>IF(NOT(Paths!$C$32=1),0,IF(Paths!$P$32="Complete",IF(IF(Paths!$O$32=0,C292=0,AND(C292&gt;0,Paths!$O$32&gt;(C292-1)*12,Paths!$O$32&lt;=C292*12)),Paths!$N$32,0),"n.a."))</f>
        <v>0</v>
      </c>
      <c r="L292" s="16">
        <f>IF(NOT(Paths!$C$32=1),0,IF(Paths!$P$32="Complete",IF(C292=10,Paths!$I$32,0),"n.a."))</f>
        <v>0</v>
      </c>
      <c r="M292" s="16">
        <f>IF(NOT(Paths!$C$32=1),0,IF(Paths!$P$32="Complete",IF(AND(Paths!$D$32="EV",Paths!$E$32&lt;120,Paths!$E$32+'Operating costs'!$B$65&gt;Paths!$E$32,Paths!$E$32+'Operating costs'!$B$65&lt;=120,IF(Paths!$E$32+'Operating costs'!$B$65=0,C292=0,AND(C292&gt;0,Paths!$E$32+'Operating costs'!$B$65&gt;(C292-1)*12,Paths!$E$32+'Operating costs'!$B$65&lt;=C292*12))),'Operating costs'!$B$64,0)+IF(AND('Operating costs'!$B$67&gt;0,'Operating costs'!$B$67&lt;=120,OR(Paths!$D$32="ICE",'Operating costs'!$B$67&lt;=Paths!$E$32),IF('Operating costs'!$B$67=0,C292=0,AND(C292&gt;0,'Operating costs'!$B$67&gt;(C292-1)*12,'Operating costs'!$B$67&lt;=C292*12))),'Operating costs'!$B$66,0),"n.a."))</f>
        <v>0</v>
      </c>
      <c r="N292" s="16">
        <f>IF(NOT(Paths!$C$32=1),0,IF(Paths!$P$32="Complete",SUM(G292:I292)-J292-K292-L292+M292+IF(C292=0,Paths!$F$32,0)+IF(IF(Paths!$E$32=0,C292=0,AND(C292&gt;0,Paths!$E$32&gt;(C292-1)*12,Paths!$E$32&lt;=C292*12)),VLOOKUP(A292,'Fleet register'!$A$7:$S$106,16,FALSE),0),"n.a."))</f>
        <v>0</v>
      </c>
      <c r="O292" s="16">
        <f>IF(NOT(Paths!$C$32=1),0,IF(Paths!$P$32="Complete",N292-IF(C292=0,Paths!$F$32,0),"n.a."))</f>
        <v>0</v>
      </c>
      <c r="P292" s="16">
        <f>IF(NOT(Paths!$C$32=1),0,IF(Paths!$P$32="Complete",O292+L292,"n.a."))</f>
        <v>0</v>
      </c>
      <c r="Q292" s="16">
        <f>IF(NOT(Paths!$C$32=1),0,IF(Paths!$P$32="Complete",N292*(1+'Operating costs'!$B$54)^-C292,"n.a."))</f>
        <v>0</v>
      </c>
      <c r="R292" s="16">
        <f>IF(NOT(Paths!$C$32=1),0,IF(Paths!$P$32="Complete",IF(AND(C292=0,Paths!$E$32=0),I292-J292-K292+VLOOKUP(A292,'Fleet register'!$A$7:$S$106,15,FALSE)+VLOOKUP(A292,'Fleet register'!$A$7:$S$106,16,FALSE),0),"n.a."))</f>
        <v>0</v>
      </c>
      <c r="S292" s="1">
        <f>IF(NOT(Paths!$C$32=1),0,IF(Paths!$P$32="Complete",IF(C292=0,0,Paths!$S$32*Paths!$R$32),"n.a."))</f>
        <v>0</v>
      </c>
      <c r="T292" s="1">
        <f>IF(NOT(Paths!$C$32=1),0,IF(Paths!$P$32="Complete",IF(C292=0,0,VLOOKUP(A292,'Fleet register'!$A$7:$S$106,9,FALSE)*Paths!$R$32),"n.a."))</f>
        <v>0</v>
      </c>
    </row>
    <row r="293" spans="1:20" ht="24" customHeight="1">
      <c r="A293" s="1" t="str">
        <f>Paths!$A$33</f>
        <v>T007</v>
      </c>
      <c r="B293" s="1">
        <f>Paths!$B$33</f>
        <v>2</v>
      </c>
      <c r="C293" s="1">
        <v>0</v>
      </c>
      <c r="D293" s="1">
        <v>33</v>
      </c>
      <c r="E293" s="1">
        <f>IF(OR(Paths!$C$33=0,C293=0),0,MAX(0,MIN(C293*12,Paths!$E$33)-(C293-1)*12))</f>
        <v>0</v>
      </c>
      <c r="F293" s="1">
        <f>IF(OR(Paths!$C$33=0,C293=0),0,12-E293)</f>
        <v>0</v>
      </c>
      <c r="G293" s="16">
        <f>IF(NOT(Paths!$C$33=1),0,IF(Paths!$P$33="Complete",E293/12*(Paths!$J$33*(1+'Operating costs'!$B$51)^MAX(0,C293-1)+Paths!$K$33*(1+'Operating costs'!$B$53)^MAX(0,C293-1)),"n.a."))</f>
        <v>0</v>
      </c>
      <c r="H293" s="16">
        <f>IF(NOT(Paths!$C$33=1),0,IF(Paths!$P$33="Complete",F293/12*(Paths!$L$33*(1+IF(Paths!$D$33="EV",'Operating costs'!$B$52,'Operating costs'!$B$51))^MAX(0,C293-1)+Paths!$M$33*(1+'Operating costs'!$B$53)^MAX(0,C293-1)),"n.a."))</f>
        <v>0</v>
      </c>
      <c r="I293" s="16">
        <f>IF(NOT(Paths!$C$33=1),0,IF(Paths!$P$33="Complete",IF(IF(Paths!$E$33=0,C293=0,AND(C293&gt;0,Paths!$E$33&gt;(C293-1)*12,Paths!$E$33&lt;=C293*12)),Paths!$G$33,0),"n.a."))</f>
        <v>0</v>
      </c>
      <c r="J293" s="16">
        <f>IF(NOT(Paths!$C$33=1),0,IF(Paths!$P$33="Complete",IF(IF(Paths!$E$33=0,C293=0,AND(C293&gt;0,Paths!$E$33&gt;(C293-1)*12,Paths!$E$33&lt;=C293*12)),Paths!$H$33,0),"n.a."))</f>
        <v>0</v>
      </c>
      <c r="K293" s="16">
        <f>IF(NOT(Paths!$C$33=1),0,IF(Paths!$P$33="Complete",IF(IF(Paths!$O$33=0,C293=0,AND(C293&gt;0,Paths!$O$33&gt;(C293-1)*12,Paths!$O$33&lt;=C293*12)),Paths!$N$33,0),"n.a."))</f>
        <v>0</v>
      </c>
      <c r="L293" s="16">
        <f>IF(NOT(Paths!$C$33=1),0,IF(Paths!$P$33="Complete",IF(C293=10,Paths!$I$33,0),"n.a."))</f>
        <v>0</v>
      </c>
      <c r="M293" s="16">
        <f>IF(NOT(Paths!$C$33=1),0,IF(Paths!$P$33="Complete",IF(AND(Paths!$D$33="EV",Paths!$E$33&lt;120,Paths!$E$33+'Operating costs'!$B$65&gt;Paths!$E$33,Paths!$E$33+'Operating costs'!$B$65&lt;=120,IF(Paths!$E$33+'Operating costs'!$B$65=0,C293=0,AND(C293&gt;0,Paths!$E$33+'Operating costs'!$B$65&gt;(C293-1)*12,Paths!$E$33+'Operating costs'!$B$65&lt;=C293*12))),'Operating costs'!$B$64,0)+IF(AND('Operating costs'!$B$67&gt;0,'Operating costs'!$B$67&lt;=120,OR(Paths!$D$33="ICE",'Operating costs'!$B$67&lt;=Paths!$E$33),IF('Operating costs'!$B$67=0,C293=0,AND(C293&gt;0,'Operating costs'!$B$67&gt;(C293-1)*12,'Operating costs'!$B$67&lt;=C293*12))),'Operating costs'!$B$66,0),"n.a."))</f>
        <v>0</v>
      </c>
      <c r="N293" s="16">
        <f>IF(NOT(Paths!$C$33=1),0,IF(Paths!$P$33="Complete",SUM(G293:I293)-J293-K293-L293+M293+IF(C293=0,Paths!$F$33,0)+IF(IF(Paths!$E$33=0,C293=0,AND(C293&gt;0,Paths!$E$33&gt;(C293-1)*12,Paths!$E$33&lt;=C293*12)),VLOOKUP(A293,'Fleet register'!$A$7:$S$106,16,FALSE),0),"n.a."))</f>
        <v>0</v>
      </c>
      <c r="O293" s="16">
        <f>IF(NOT(Paths!$C$33=1),0,IF(Paths!$P$33="Complete",N293-IF(C293=0,Paths!$F$33,0),"n.a."))</f>
        <v>0</v>
      </c>
      <c r="P293" s="16">
        <f>IF(NOT(Paths!$C$33=1),0,IF(Paths!$P$33="Complete",O293+L293,"n.a."))</f>
        <v>0</v>
      </c>
      <c r="Q293" s="16">
        <f>IF(NOT(Paths!$C$33=1),0,IF(Paths!$P$33="Complete",N293*(1+'Operating costs'!$B$54)^-C293,"n.a."))</f>
        <v>0</v>
      </c>
      <c r="R293" s="16">
        <f>IF(NOT(Paths!$C$33=1),0,IF(Paths!$P$33="Complete",IF(AND(C293=0,Paths!$E$33=0),I293-J293-K293+VLOOKUP(A293,'Fleet register'!$A$7:$S$106,15,FALSE)+VLOOKUP(A293,'Fleet register'!$A$7:$S$106,16,FALSE),0),"n.a."))</f>
        <v>0</v>
      </c>
      <c r="S293" s="1">
        <f>IF(NOT(Paths!$C$33=1),0,IF(Paths!$P$33="Complete",IF(C293=0,0,Paths!$S$33*Paths!$R$33),"n.a."))</f>
        <v>0</v>
      </c>
      <c r="T293" s="1">
        <f>IF(NOT(Paths!$C$33=1),0,IF(Paths!$P$33="Complete",IF(C293=0,0,VLOOKUP(A293,'Fleet register'!$A$7:$S$106,9,FALSE)*Paths!$R$33),"n.a."))</f>
        <v>0</v>
      </c>
    </row>
    <row r="294" spans="1:20" ht="24" customHeight="1">
      <c r="A294" s="1" t="str">
        <f>Paths!$A$33</f>
        <v>T007</v>
      </c>
      <c r="B294" s="1">
        <f>Paths!$B$33</f>
        <v>2</v>
      </c>
      <c r="C294" s="1">
        <v>1</v>
      </c>
      <c r="D294" s="1">
        <v>33</v>
      </c>
      <c r="E294" s="1">
        <f>IF(OR(Paths!$C$33=0,C294=0),0,MAX(0,MIN(C294*12,Paths!$E$33)-(C294-1)*12))</f>
        <v>0</v>
      </c>
      <c r="F294" s="1">
        <f>IF(OR(Paths!$C$33=0,C294=0),0,12-E294)</f>
        <v>0</v>
      </c>
      <c r="G294" s="16">
        <f>IF(NOT(Paths!$C$33=1),0,IF(Paths!$P$33="Complete",E294/12*(Paths!$J$33*(1+'Operating costs'!$B$51)^MAX(0,C294-1)+Paths!$K$33*(1+'Operating costs'!$B$53)^MAX(0,C294-1)),"n.a."))</f>
        <v>0</v>
      </c>
      <c r="H294" s="16">
        <f>IF(NOT(Paths!$C$33=1),0,IF(Paths!$P$33="Complete",F294/12*(Paths!$L$33*(1+IF(Paths!$D$33="EV",'Operating costs'!$B$52,'Operating costs'!$B$51))^MAX(0,C294-1)+Paths!$M$33*(1+'Operating costs'!$B$53)^MAX(0,C294-1)),"n.a."))</f>
        <v>0</v>
      </c>
      <c r="I294" s="16">
        <f>IF(NOT(Paths!$C$33=1),0,IF(Paths!$P$33="Complete",IF(IF(Paths!$E$33=0,C294=0,AND(C294&gt;0,Paths!$E$33&gt;(C294-1)*12,Paths!$E$33&lt;=C294*12)),Paths!$G$33,0),"n.a."))</f>
        <v>0</v>
      </c>
      <c r="J294" s="16">
        <f>IF(NOT(Paths!$C$33=1),0,IF(Paths!$P$33="Complete",IF(IF(Paths!$E$33=0,C294=0,AND(C294&gt;0,Paths!$E$33&gt;(C294-1)*12,Paths!$E$33&lt;=C294*12)),Paths!$H$33,0),"n.a."))</f>
        <v>0</v>
      </c>
      <c r="K294" s="16">
        <f>IF(NOT(Paths!$C$33=1),0,IF(Paths!$P$33="Complete",IF(IF(Paths!$O$33=0,C294=0,AND(C294&gt;0,Paths!$O$33&gt;(C294-1)*12,Paths!$O$33&lt;=C294*12)),Paths!$N$33,0),"n.a."))</f>
        <v>0</v>
      </c>
      <c r="L294" s="16">
        <f>IF(NOT(Paths!$C$33=1),0,IF(Paths!$P$33="Complete",IF(C294=10,Paths!$I$33,0),"n.a."))</f>
        <v>0</v>
      </c>
      <c r="M294" s="16">
        <f>IF(NOT(Paths!$C$33=1),0,IF(Paths!$P$33="Complete",IF(AND(Paths!$D$33="EV",Paths!$E$33&lt;120,Paths!$E$33+'Operating costs'!$B$65&gt;Paths!$E$33,Paths!$E$33+'Operating costs'!$B$65&lt;=120,IF(Paths!$E$33+'Operating costs'!$B$65=0,C294=0,AND(C294&gt;0,Paths!$E$33+'Operating costs'!$B$65&gt;(C294-1)*12,Paths!$E$33+'Operating costs'!$B$65&lt;=C294*12))),'Operating costs'!$B$64,0)+IF(AND('Operating costs'!$B$67&gt;0,'Operating costs'!$B$67&lt;=120,OR(Paths!$D$33="ICE",'Operating costs'!$B$67&lt;=Paths!$E$33),IF('Operating costs'!$B$67=0,C294=0,AND(C294&gt;0,'Operating costs'!$B$67&gt;(C294-1)*12,'Operating costs'!$B$67&lt;=C294*12))),'Operating costs'!$B$66,0),"n.a."))</f>
        <v>0</v>
      </c>
      <c r="N294" s="16">
        <f>IF(NOT(Paths!$C$33=1),0,IF(Paths!$P$33="Complete",SUM(G294:I294)-J294-K294-L294+M294+IF(C294=0,Paths!$F$33,0)+IF(IF(Paths!$E$33=0,C294=0,AND(C294&gt;0,Paths!$E$33&gt;(C294-1)*12,Paths!$E$33&lt;=C294*12)),VLOOKUP(A294,'Fleet register'!$A$7:$S$106,16,FALSE),0),"n.a."))</f>
        <v>0</v>
      </c>
      <c r="O294" s="16">
        <f>IF(NOT(Paths!$C$33=1),0,IF(Paths!$P$33="Complete",N294-IF(C294=0,Paths!$F$33,0),"n.a."))</f>
        <v>0</v>
      </c>
      <c r="P294" s="16">
        <f>IF(NOT(Paths!$C$33=1),0,IF(Paths!$P$33="Complete",O294+L294,"n.a."))</f>
        <v>0</v>
      </c>
      <c r="Q294" s="16">
        <f>IF(NOT(Paths!$C$33=1),0,IF(Paths!$P$33="Complete",N294*(1+'Operating costs'!$B$54)^-C294,"n.a."))</f>
        <v>0</v>
      </c>
      <c r="R294" s="16">
        <f>IF(NOT(Paths!$C$33=1),0,IF(Paths!$P$33="Complete",IF(AND(C294=0,Paths!$E$33=0),I294-J294-K294+VLOOKUP(A294,'Fleet register'!$A$7:$S$106,15,FALSE)+VLOOKUP(A294,'Fleet register'!$A$7:$S$106,16,FALSE),0),"n.a."))</f>
        <v>0</v>
      </c>
      <c r="S294" s="1">
        <f>IF(NOT(Paths!$C$33=1),0,IF(Paths!$P$33="Complete",IF(C294=0,0,Paths!$S$33*Paths!$R$33),"n.a."))</f>
        <v>0</v>
      </c>
      <c r="T294" s="1">
        <f>IF(NOT(Paths!$C$33=1),0,IF(Paths!$P$33="Complete",IF(C294=0,0,VLOOKUP(A294,'Fleet register'!$A$7:$S$106,9,FALSE)*Paths!$R$33),"n.a."))</f>
        <v>0</v>
      </c>
    </row>
    <row r="295" spans="1:20" ht="24" customHeight="1">
      <c r="A295" s="1" t="str">
        <f>Paths!$A$33</f>
        <v>T007</v>
      </c>
      <c r="B295" s="1">
        <f>Paths!$B$33</f>
        <v>2</v>
      </c>
      <c r="C295" s="1">
        <v>2</v>
      </c>
      <c r="D295" s="1">
        <v>33</v>
      </c>
      <c r="E295" s="1">
        <f>IF(OR(Paths!$C$33=0,C295=0),0,MAX(0,MIN(C295*12,Paths!$E$33)-(C295-1)*12))</f>
        <v>0</v>
      </c>
      <c r="F295" s="1">
        <f>IF(OR(Paths!$C$33=0,C295=0),0,12-E295)</f>
        <v>0</v>
      </c>
      <c r="G295" s="16">
        <f>IF(NOT(Paths!$C$33=1),0,IF(Paths!$P$33="Complete",E295/12*(Paths!$J$33*(1+'Operating costs'!$B$51)^MAX(0,C295-1)+Paths!$K$33*(1+'Operating costs'!$B$53)^MAX(0,C295-1)),"n.a."))</f>
        <v>0</v>
      </c>
      <c r="H295" s="16">
        <f>IF(NOT(Paths!$C$33=1),0,IF(Paths!$P$33="Complete",F295/12*(Paths!$L$33*(1+IF(Paths!$D$33="EV",'Operating costs'!$B$52,'Operating costs'!$B$51))^MAX(0,C295-1)+Paths!$M$33*(1+'Operating costs'!$B$53)^MAX(0,C295-1)),"n.a."))</f>
        <v>0</v>
      </c>
      <c r="I295" s="16">
        <f>IF(NOT(Paths!$C$33=1),0,IF(Paths!$P$33="Complete",IF(IF(Paths!$E$33=0,C295=0,AND(C295&gt;0,Paths!$E$33&gt;(C295-1)*12,Paths!$E$33&lt;=C295*12)),Paths!$G$33,0),"n.a."))</f>
        <v>0</v>
      </c>
      <c r="J295" s="16">
        <f>IF(NOT(Paths!$C$33=1),0,IF(Paths!$P$33="Complete",IF(IF(Paths!$E$33=0,C295=0,AND(C295&gt;0,Paths!$E$33&gt;(C295-1)*12,Paths!$E$33&lt;=C295*12)),Paths!$H$33,0),"n.a."))</f>
        <v>0</v>
      </c>
      <c r="K295" s="16">
        <f>IF(NOT(Paths!$C$33=1),0,IF(Paths!$P$33="Complete",IF(IF(Paths!$O$33=0,C295=0,AND(C295&gt;0,Paths!$O$33&gt;(C295-1)*12,Paths!$O$33&lt;=C295*12)),Paths!$N$33,0),"n.a."))</f>
        <v>0</v>
      </c>
      <c r="L295" s="16">
        <f>IF(NOT(Paths!$C$33=1),0,IF(Paths!$P$33="Complete",IF(C295=10,Paths!$I$33,0),"n.a."))</f>
        <v>0</v>
      </c>
      <c r="M295" s="16">
        <f>IF(NOT(Paths!$C$33=1),0,IF(Paths!$P$33="Complete",IF(AND(Paths!$D$33="EV",Paths!$E$33&lt;120,Paths!$E$33+'Operating costs'!$B$65&gt;Paths!$E$33,Paths!$E$33+'Operating costs'!$B$65&lt;=120,IF(Paths!$E$33+'Operating costs'!$B$65=0,C295=0,AND(C295&gt;0,Paths!$E$33+'Operating costs'!$B$65&gt;(C295-1)*12,Paths!$E$33+'Operating costs'!$B$65&lt;=C295*12))),'Operating costs'!$B$64,0)+IF(AND('Operating costs'!$B$67&gt;0,'Operating costs'!$B$67&lt;=120,OR(Paths!$D$33="ICE",'Operating costs'!$B$67&lt;=Paths!$E$33),IF('Operating costs'!$B$67=0,C295=0,AND(C295&gt;0,'Operating costs'!$B$67&gt;(C295-1)*12,'Operating costs'!$B$67&lt;=C295*12))),'Operating costs'!$B$66,0),"n.a."))</f>
        <v>0</v>
      </c>
      <c r="N295" s="16">
        <f>IF(NOT(Paths!$C$33=1),0,IF(Paths!$P$33="Complete",SUM(G295:I295)-J295-K295-L295+M295+IF(C295=0,Paths!$F$33,0)+IF(IF(Paths!$E$33=0,C295=0,AND(C295&gt;0,Paths!$E$33&gt;(C295-1)*12,Paths!$E$33&lt;=C295*12)),VLOOKUP(A295,'Fleet register'!$A$7:$S$106,16,FALSE),0),"n.a."))</f>
        <v>0</v>
      </c>
      <c r="O295" s="16">
        <f>IF(NOT(Paths!$C$33=1),0,IF(Paths!$P$33="Complete",N295-IF(C295=0,Paths!$F$33,0),"n.a."))</f>
        <v>0</v>
      </c>
      <c r="P295" s="16">
        <f>IF(NOT(Paths!$C$33=1),0,IF(Paths!$P$33="Complete",O295+L295,"n.a."))</f>
        <v>0</v>
      </c>
      <c r="Q295" s="16">
        <f>IF(NOT(Paths!$C$33=1),0,IF(Paths!$P$33="Complete",N295*(1+'Operating costs'!$B$54)^-C295,"n.a."))</f>
        <v>0</v>
      </c>
      <c r="R295" s="16">
        <f>IF(NOT(Paths!$C$33=1),0,IF(Paths!$P$33="Complete",IF(AND(C295=0,Paths!$E$33=0),I295-J295-K295+VLOOKUP(A295,'Fleet register'!$A$7:$S$106,15,FALSE)+VLOOKUP(A295,'Fleet register'!$A$7:$S$106,16,FALSE),0),"n.a."))</f>
        <v>0</v>
      </c>
      <c r="S295" s="1">
        <f>IF(NOT(Paths!$C$33=1),0,IF(Paths!$P$33="Complete",IF(C295=0,0,Paths!$S$33*Paths!$R$33),"n.a."))</f>
        <v>0</v>
      </c>
      <c r="T295" s="1">
        <f>IF(NOT(Paths!$C$33=1),0,IF(Paths!$P$33="Complete",IF(C295=0,0,VLOOKUP(A295,'Fleet register'!$A$7:$S$106,9,FALSE)*Paths!$R$33),"n.a."))</f>
        <v>0</v>
      </c>
    </row>
    <row r="296" spans="1:20" ht="24" customHeight="1">
      <c r="A296" s="1" t="str">
        <f>Paths!$A$33</f>
        <v>T007</v>
      </c>
      <c r="B296" s="1">
        <f>Paths!$B$33</f>
        <v>2</v>
      </c>
      <c r="C296" s="1">
        <v>3</v>
      </c>
      <c r="D296" s="1">
        <v>33</v>
      </c>
      <c r="E296" s="1">
        <f>IF(OR(Paths!$C$33=0,C296=0),0,MAX(0,MIN(C296*12,Paths!$E$33)-(C296-1)*12))</f>
        <v>0</v>
      </c>
      <c r="F296" s="1">
        <f>IF(OR(Paths!$C$33=0,C296=0),0,12-E296)</f>
        <v>0</v>
      </c>
      <c r="G296" s="16">
        <f>IF(NOT(Paths!$C$33=1),0,IF(Paths!$P$33="Complete",E296/12*(Paths!$J$33*(1+'Operating costs'!$B$51)^MAX(0,C296-1)+Paths!$K$33*(1+'Operating costs'!$B$53)^MAX(0,C296-1)),"n.a."))</f>
        <v>0</v>
      </c>
      <c r="H296" s="16">
        <f>IF(NOT(Paths!$C$33=1),0,IF(Paths!$P$33="Complete",F296/12*(Paths!$L$33*(1+IF(Paths!$D$33="EV",'Operating costs'!$B$52,'Operating costs'!$B$51))^MAX(0,C296-1)+Paths!$M$33*(1+'Operating costs'!$B$53)^MAX(0,C296-1)),"n.a."))</f>
        <v>0</v>
      </c>
      <c r="I296" s="16">
        <f>IF(NOT(Paths!$C$33=1),0,IF(Paths!$P$33="Complete",IF(IF(Paths!$E$33=0,C296=0,AND(C296&gt;0,Paths!$E$33&gt;(C296-1)*12,Paths!$E$33&lt;=C296*12)),Paths!$G$33,0),"n.a."))</f>
        <v>0</v>
      </c>
      <c r="J296" s="16">
        <f>IF(NOT(Paths!$C$33=1),0,IF(Paths!$P$33="Complete",IF(IF(Paths!$E$33=0,C296=0,AND(C296&gt;0,Paths!$E$33&gt;(C296-1)*12,Paths!$E$33&lt;=C296*12)),Paths!$H$33,0),"n.a."))</f>
        <v>0</v>
      </c>
      <c r="K296" s="16">
        <f>IF(NOT(Paths!$C$33=1),0,IF(Paths!$P$33="Complete",IF(IF(Paths!$O$33=0,C296=0,AND(C296&gt;0,Paths!$O$33&gt;(C296-1)*12,Paths!$O$33&lt;=C296*12)),Paths!$N$33,0),"n.a."))</f>
        <v>0</v>
      </c>
      <c r="L296" s="16">
        <f>IF(NOT(Paths!$C$33=1),0,IF(Paths!$P$33="Complete",IF(C296=10,Paths!$I$33,0),"n.a."))</f>
        <v>0</v>
      </c>
      <c r="M296" s="16">
        <f>IF(NOT(Paths!$C$33=1),0,IF(Paths!$P$33="Complete",IF(AND(Paths!$D$33="EV",Paths!$E$33&lt;120,Paths!$E$33+'Operating costs'!$B$65&gt;Paths!$E$33,Paths!$E$33+'Operating costs'!$B$65&lt;=120,IF(Paths!$E$33+'Operating costs'!$B$65=0,C296=0,AND(C296&gt;0,Paths!$E$33+'Operating costs'!$B$65&gt;(C296-1)*12,Paths!$E$33+'Operating costs'!$B$65&lt;=C296*12))),'Operating costs'!$B$64,0)+IF(AND('Operating costs'!$B$67&gt;0,'Operating costs'!$B$67&lt;=120,OR(Paths!$D$33="ICE",'Operating costs'!$B$67&lt;=Paths!$E$33),IF('Operating costs'!$B$67=0,C296=0,AND(C296&gt;0,'Operating costs'!$B$67&gt;(C296-1)*12,'Operating costs'!$B$67&lt;=C296*12))),'Operating costs'!$B$66,0),"n.a."))</f>
        <v>0</v>
      </c>
      <c r="N296" s="16">
        <f>IF(NOT(Paths!$C$33=1),0,IF(Paths!$P$33="Complete",SUM(G296:I296)-J296-K296-L296+M296+IF(C296=0,Paths!$F$33,0)+IF(IF(Paths!$E$33=0,C296=0,AND(C296&gt;0,Paths!$E$33&gt;(C296-1)*12,Paths!$E$33&lt;=C296*12)),VLOOKUP(A296,'Fleet register'!$A$7:$S$106,16,FALSE),0),"n.a."))</f>
        <v>0</v>
      </c>
      <c r="O296" s="16">
        <f>IF(NOT(Paths!$C$33=1),0,IF(Paths!$P$33="Complete",N296-IF(C296=0,Paths!$F$33,0),"n.a."))</f>
        <v>0</v>
      </c>
      <c r="P296" s="16">
        <f>IF(NOT(Paths!$C$33=1),0,IF(Paths!$P$33="Complete",O296+L296,"n.a."))</f>
        <v>0</v>
      </c>
      <c r="Q296" s="16">
        <f>IF(NOT(Paths!$C$33=1),0,IF(Paths!$P$33="Complete",N296*(1+'Operating costs'!$B$54)^-C296,"n.a."))</f>
        <v>0</v>
      </c>
      <c r="R296" s="16">
        <f>IF(NOT(Paths!$C$33=1),0,IF(Paths!$P$33="Complete",IF(AND(C296=0,Paths!$E$33=0),I296-J296-K296+VLOOKUP(A296,'Fleet register'!$A$7:$S$106,15,FALSE)+VLOOKUP(A296,'Fleet register'!$A$7:$S$106,16,FALSE),0),"n.a."))</f>
        <v>0</v>
      </c>
      <c r="S296" s="1">
        <f>IF(NOT(Paths!$C$33=1),0,IF(Paths!$P$33="Complete",IF(C296=0,0,Paths!$S$33*Paths!$R$33),"n.a."))</f>
        <v>0</v>
      </c>
      <c r="T296" s="1">
        <f>IF(NOT(Paths!$C$33=1),0,IF(Paths!$P$33="Complete",IF(C296=0,0,VLOOKUP(A296,'Fleet register'!$A$7:$S$106,9,FALSE)*Paths!$R$33),"n.a."))</f>
        <v>0</v>
      </c>
    </row>
    <row r="297" spans="1:20" ht="24" customHeight="1">
      <c r="A297" s="1" t="str">
        <f>Paths!$A$33</f>
        <v>T007</v>
      </c>
      <c r="B297" s="1">
        <f>Paths!$B$33</f>
        <v>2</v>
      </c>
      <c r="C297" s="1">
        <v>4</v>
      </c>
      <c r="D297" s="1">
        <v>33</v>
      </c>
      <c r="E297" s="1">
        <f>IF(OR(Paths!$C$33=0,C297=0),0,MAX(0,MIN(C297*12,Paths!$E$33)-(C297-1)*12))</f>
        <v>0</v>
      </c>
      <c r="F297" s="1">
        <f>IF(OR(Paths!$C$33=0,C297=0),0,12-E297)</f>
        <v>0</v>
      </c>
      <c r="G297" s="16">
        <f>IF(NOT(Paths!$C$33=1),0,IF(Paths!$P$33="Complete",E297/12*(Paths!$J$33*(1+'Operating costs'!$B$51)^MAX(0,C297-1)+Paths!$K$33*(1+'Operating costs'!$B$53)^MAX(0,C297-1)),"n.a."))</f>
        <v>0</v>
      </c>
      <c r="H297" s="16">
        <f>IF(NOT(Paths!$C$33=1),0,IF(Paths!$P$33="Complete",F297/12*(Paths!$L$33*(1+IF(Paths!$D$33="EV",'Operating costs'!$B$52,'Operating costs'!$B$51))^MAX(0,C297-1)+Paths!$M$33*(1+'Operating costs'!$B$53)^MAX(0,C297-1)),"n.a."))</f>
        <v>0</v>
      </c>
      <c r="I297" s="16">
        <f>IF(NOT(Paths!$C$33=1),0,IF(Paths!$P$33="Complete",IF(IF(Paths!$E$33=0,C297=0,AND(C297&gt;0,Paths!$E$33&gt;(C297-1)*12,Paths!$E$33&lt;=C297*12)),Paths!$G$33,0),"n.a."))</f>
        <v>0</v>
      </c>
      <c r="J297" s="16">
        <f>IF(NOT(Paths!$C$33=1),0,IF(Paths!$P$33="Complete",IF(IF(Paths!$E$33=0,C297=0,AND(C297&gt;0,Paths!$E$33&gt;(C297-1)*12,Paths!$E$33&lt;=C297*12)),Paths!$H$33,0),"n.a."))</f>
        <v>0</v>
      </c>
      <c r="K297" s="16">
        <f>IF(NOT(Paths!$C$33=1),0,IF(Paths!$P$33="Complete",IF(IF(Paths!$O$33=0,C297=0,AND(C297&gt;0,Paths!$O$33&gt;(C297-1)*12,Paths!$O$33&lt;=C297*12)),Paths!$N$33,0),"n.a."))</f>
        <v>0</v>
      </c>
      <c r="L297" s="16">
        <f>IF(NOT(Paths!$C$33=1),0,IF(Paths!$P$33="Complete",IF(C297=10,Paths!$I$33,0),"n.a."))</f>
        <v>0</v>
      </c>
      <c r="M297" s="16">
        <f>IF(NOT(Paths!$C$33=1),0,IF(Paths!$P$33="Complete",IF(AND(Paths!$D$33="EV",Paths!$E$33&lt;120,Paths!$E$33+'Operating costs'!$B$65&gt;Paths!$E$33,Paths!$E$33+'Operating costs'!$B$65&lt;=120,IF(Paths!$E$33+'Operating costs'!$B$65=0,C297=0,AND(C297&gt;0,Paths!$E$33+'Operating costs'!$B$65&gt;(C297-1)*12,Paths!$E$33+'Operating costs'!$B$65&lt;=C297*12))),'Operating costs'!$B$64,0)+IF(AND('Operating costs'!$B$67&gt;0,'Operating costs'!$B$67&lt;=120,OR(Paths!$D$33="ICE",'Operating costs'!$B$67&lt;=Paths!$E$33),IF('Operating costs'!$B$67=0,C297=0,AND(C297&gt;0,'Operating costs'!$B$67&gt;(C297-1)*12,'Operating costs'!$B$67&lt;=C297*12))),'Operating costs'!$B$66,0),"n.a."))</f>
        <v>0</v>
      </c>
      <c r="N297" s="16">
        <f>IF(NOT(Paths!$C$33=1),0,IF(Paths!$P$33="Complete",SUM(G297:I297)-J297-K297-L297+M297+IF(C297=0,Paths!$F$33,0)+IF(IF(Paths!$E$33=0,C297=0,AND(C297&gt;0,Paths!$E$33&gt;(C297-1)*12,Paths!$E$33&lt;=C297*12)),VLOOKUP(A297,'Fleet register'!$A$7:$S$106,16,FALSE),0),"n.a."))</f>
        <v>0</v>
      </c>
      <c r="O297" s="16">
        <f>IF(NOT(Paths!$C$33=1),0,IF(Paths!$P$33="Complete",N297-IF(C297=0,Paths!$F$33,0),"n.a."))</f>
        <v>0</v>
      </c>
      <c r="P297" s="16">
        <f>IF(NOT(Paths!$C$33=1),0,IF(Paths!$P$33="Complete",O297+L297,"n.a."))</f>
        <v>0</v>
      </c>
      <c r="Q297" s="16">
        <f>IF(NOT(Paths!$C$33=1),0,IF(Paths!$P$33="Complete",N297*(1+'Operating costs'!$B$54)^-C297,"n.a."))</f>
        <v>0</v>
      </c>
      <c r="R297" s="16">
        <f>IF(NOT(Paths!$C$33=1),0,IF(Paths!$P$33="Complete",IF(AND(C297=0,Paths!$E$33=0),I297-J297-K297+VLOOKUP(A297,'Fleet register'!$A$7:$S$106,15,FALSE)+VLOOKUP(A297,'Fleet register'!$A$7:$S$106,16,FALSE),0),"n.a."))</f>
        <v>0</v>
      </c>
      <c r="S297" s="1">
        <f>IF(NOT(Paths!$C$33=1),0,IF(Paths!$P$33="Complete",IF(C297=0,0,Paths!$S$33*Paths!$R$33),"n.a."))</f>
        <v>0</v>
      </c>
      <c r="T297" s="1">
        <f>IF(NOT(Paths!$C$33=1),0,IF(Paths!$P$33="Complete",IF(C297=0,0,VLOOKUP(A297,'Fleet register'!$A$7:$S$106,9,FALSE)*Paths!$R$33),"n.a."))</f>
        <v>0</v>
      </c>
    </row>
    <row r="298" spans="1:20" ht="24" customHeight="1">
      <c r="A298" s="1" t="str">
        <f>Paths!$A$33</f>
        <v>T007</v>
      </c>
      <c r="B298" s="1">
        <f>Paths!$B$33</f>
        <v>2</v>
      </c>
      <c r="C298" s="1">
        <v>5</v>
      </c>
      <c r="D298" s="1">
        <v>33</v>
      </c>
      <c r="E298" s="1">
        <f>IF(OR(Paths!$C$33=0,C298=0),0,MAX(0,MIN(C298*12,Paths!$E$33)-(C298-1)*12))</f>
        <v>0</v>
      </c>
      <c r="F298" s="1">
        <f>IF(OR(Paths!$C$33=0,C298=0),0,12-E298)</f>
        <v>0</v>
      </c>
      <c r="G298" s="16">
        <f>IF(NOT(Paths!$C$33=1),0,IF(Paths!$P$33="Complete",E298/12*(Paths!$J$33*(1+'Operating costs'!$B$51)^MAX(0,C298-1)+Paths!$K$33*(1+'Operating costs'!$B$53)^MAX(0,C298-1)),"n.a."))</f>
        <v>0</v>
      </c>
      <c r="H298" s="16">
        <f>IF(NOT(Paths!$C$33=1),0,IF(Paths!$P$33="Complete",F298/12*(Paths!$L$33*(1+IF(Paths!$D$33="EV",'Operating costs'!$B$52,'Operating costs'!$B$51))^MAX(0,C298-1)+Paths!$M$33*(1+'Operating costs'!$B$53)^MAX(0,C298-1)),"n.a."))</f>
        <v>0</v>
      </c>
      <c r="I298" s="16">
        <f>IF(NOT(Paths!$C$33=1),0,IF(Paths!$P$33="Complete",IF(IF(Paths!$E$33=0,C298=0,AND(C298&gt;0,Paths!$E$33&gt;(C298-1)*12,Paths!$E$33&lt;=C298*12)),Paths!$G$33,0),"n.a."))</f>
        <v>0</v>
      </c>
      <c r="J298" s="16">
        <f>IF(NOT(Paths!$C$33=1),0,IF(Paths!$P$33="Complete",IF(IF(Paths!$E$33=0,C298=0,AND(C298&gt;0,Paths!$E$33&gt;(C298-1)*12,Paths!$E$33&lt;=C298*12)),Paths!$H$33,0),"n.a."))</f>
        <v>0</v>
      </c>
      <c r="K298" s="16">
        <f>IF(NOT(Paths!$C$33=1),0,IF(Paths!$P$33="Complete",IF(IF(Paths!$O$33=0,C298=0,AND(C298&gt;0,Paths!$O$33&gt;(C298-1)*12,Paths!$O$33&lt;=C298*12)),Paths!$N$33,0),"n.a."))</f>
        <v>0</v>
      </c>
      <c r="L298" s="16">
        <f>IF(NOT(Paths!$C$33=1),0,IF(Paths!$P$33="Complete",IF(C298=10,Paths!$I$33,0),"n.a."))</f>
        <v>0</v>
      </c>
      <c r="M298" s="16">
        <f>IF(NOT(Paths!$C$33=1),0,IF(Paths!$P$33="Complete",IF(AND(Paths!$D$33="EV",Paths!$E$33&lt;120,Paths!$E$33+'Operating costs'!$B$65&gt;Paths!$E$33,Paths!$E$33+'Operating costs'!$B$65&lt;=120,IF(Paths!$E$33+'Operating costs'!$B$65=0,C298=0,AND(C298&gt;0,Paths!$E$33+'Operating costs'!$B$65&gt;(C298-1)*12,Paths!$E$33+'Operating costs'!$B$65&lt;=C298*12))),'Operating costs'!$B$64,0)+IF(AND('Operating costs'!$B$67&gt;0,'Operating costs'!$B$67&lt;=120,OR(Paths!$D$33="ICE",'Operating costs'!$B$67&lt;=Paths!$E$33),IF('Operating costs'!$B$67=0,C298=0,AND(C298&gt;0,'Operating costs'!$B$67&gt;(C298-1)*12,'Operating costs'!$B$67&lt;=C298*12))),'Operating costs'!$B$66,0),"n.a."))</f>
        <v>0</v>
      </c>
      <c r="N298" s="16">
        <f>IF(NOT(Paths!$C$33=1),0,IF(Paths!$P$33="Complete",SUM(G298:I298)-J298-K298-L298+M298+IF(C298=0,Paths!$F$33,0)+IF(IF(Paths!$E$33=0,C298=0,AND(C298&gt;0,Paths!$E$33&gt;(C298-1)*12,Paths!$E$33&lt;=C298*12)),VLOOKUP(A298,'Fleet register'!$A$7:$S$106,16,FALSE),0),"n.a."))</f>
        <v>0</v>
      </c>
      <c r="O298" s="16">
        <f>IF(NOT(Paths!$C$33=1),0,IF(Paths!$P$33="Complete",N298-IF(C298=0,Paths!$F$33,0),"n.a."))</f>
        <v>0</v>
      </c>
      <c r="P298" s="16">
        <f>IF(NOT(Paths!$C$33=1),0,IF(Paths!$P$33="Complete",O298+L298,"n.a."))</f>
        <v>0</v>
      </c>
      <c r="Q298" s="16">
        <f>IF(NOT(Paths!$C$33=1),0,IF(Paths!$P$33="Complete",N298*(1+'Operating costs'!$B$54)^-C298,"n.a."))</f>
        <v>0</v>
      </c>
      <c r="R298" s="16">
        <f>IF(NOT(Paths!$C$33=1),0,IF(Paths!$P$33="Complete",IF(AND(C298=0,Paths!$E$33=0),I298-J298-K298+VLOOKUP(A298,'Fleet register'!$A$7:$S$106,15,FALSE)+VLOOKUP(A298,'Fleet register'!$A$7:$S$106,16,FALSE),0),"n.a."))</f>
        <v>0</v>
      </c>
      <c r="S298" s="1">
        <f>IF(NOT(Paths!$C$33=1),0,IF(Paths!$P$33="Complete",IF(C298=0,0,Paths!$S$33*Paths!$R$33),"n.a."))</f>
        <v>0</v>
      </c>
      <c r="T298" s="1">
        <f>IF(NOT(Paths!$C$33=1),0,IF(Paths!$P$33="Complete",IF(C298=0,0,VLOOKUP(A298,'Fleet register'!$A$7:$S$106,9,FALSE)*Paths!$R$33),"n.a."))</f>
        <v>0</v>
      </c>
    </row>
    <row r="299" spans="1:20" ht="24" customHeight="1">
      <c r="A299" s="1" t="str">
        <f>Paths!$A$33</f>
        <v>T007</v>
      </c>
      <c r="B299" s="1">
        <f>Paths!$B$33</f>
        <v>2</v>
      </c>
      <c r="C299" s="1">
        <v>6</v>
      </c>
      <c r="D299" s="1">
        <v>33</v>
      </c>
      <c r="E299" s="1">
        <f>IF(OR(Paths!$C$33=0,C299=0),0,MAX(0,MIN(C299*12,Paths!$E$33)-(C299-1)*12))</f>
        <v>0</v>
      </c>
      <c r="F299" s="1">
        <f>IF(OR(Paths!$C$33=0,C299=0),0,12-E299)</f>
        <v>0</v>
      </c>
      <c r="G299" s="16">
        <f>IF(NOT(Paths!$C$33=1),0,IF(Paths!$P$33="Complete",E299/12*(Paths!$J$33*(1+'Operating costs'!$B$51)^MAX(0,C299-1)+Paths!$K$33*(1+'Operating costs'!$B$53)^MAX(0,C299-1)),"n.a."))</f>
        <v>0</v>
      </c>
      <c r="H299" s="16">
        <f>IF(NOT(Paths!$C$33=1),0,IF(Paths!$P$33="Complete",F299/12*(Paths!$L$33*(1+IF(Paths!$D$33="EV",'Operating costs'!$B$52,'Operating costs'!$B$51))^MAX(0,C299-1)+Paths!$M$33*(1+'Operating costs'!$B$53)^MAX(0,C299-1)),"n.a."))</f>
        <v>0</v>
      </c>
      <c r="I299" s="16">
        <f>IF(NOT(Paths!$C$33=1),0,IF(Paths!$P$33="Complete",IF(IF(Paths!$E$33=0,C299=0,AND(C299&gt;0,Paths!$E$33&gt;(C299-1)*12,Paths!$E$33&lt;=C299*12)),Paths!$G$33,0),"n.a."))</f>
        <v>0</v>
      </c>
      <c r="J299" s="16">
        <f>IF(NOT(Paths!$C$33=1),0,IF(Paths!$P$33="Complete",IF(IF(Paths!$E$33=0,C299=0,AND(C299&gt;0,Paths!$E$33&gt;(C299-1)*12,Paths!$E$33&lt;=C299*12)),Paths!$H$33,0),"n.a."))</f>
        <v>0</v>
      </c>
      <c r="K299" s="16">
        <f>IF(NOT(Paths!$C$33=1),0,IF(Paths!$P$33="Complete",IF(IF(Paths!$O$33=0,C299=0,AND(C299&gt;0,Paths!$O$33&gt;(C299-1)*12,Paths!$O$33&lt;=C299*12)),Paths!$N$33,0),"n.a."))</f>
        <v>0</v>
      </c>
      <c r="L299" s="16">
        <f>IF(NOT(Paths!$C$33=1),0,IF(Paths!$P$33="Complete",IF(C299=10,Paths!$I$33,0),"n.a."))</f>
        <v>0</v>
      </c>
      <c r="M299" s="16">
        <f>IF(NOT(Paths!$C$33=1),0,IF(Paths!$P$33="Complete",IF(AND(Paths!$D$33="EV",Paths!$E$33&lt;120,Paths!$E$33+'Operating costs'!$B$65&gt;Paths!$E$33,Paths!$E$33+'Operating costs'!$B$65&lt;=120,IF(Paths!$E$33+'Operating costs'!$B$65=0,C299=0,AND(C299&gt;0,Paths!$E$33+'Operating costs'!$B$65&gt;(C299-1)*12,Paths!$E$33+'Operating costs'!$B$65&lt;=C299*12))),'Operating costs'!$B$64,0)+IF(AND('Operating costs'!$B$67&gt;0,'Operating costs'!$B$67&lt;=120,OR(Paths!$D$33="ICE",'Operating costs'!$B$67&lt;=Paths!$E$33),IF('Operating costs'!$B$67=0,C299=0,AND(C299&gt;0,'Operating costs'!$B$67&gt;(C299-1)*12,'Operating costs'!$B$67&lt;=C299*12))),'Operating costs'!$B$66,0),"n.a."))</f>
        <v>0</v>
      </c>
      <c r="N299" s="16">
        <f>IF(NOT(Paths!$C$33=1),0,IF(Paths!$P$33="Complete",SUM(G299:I299)-J299-K299-L299+M299+IF(C299=0,Paths!$F$33,0)+IF(IF(Paths!$E$33=0,C299=0,AND(C299&gt;0,Paths!$E$33&gt;(C299-1)*12,Paths!$E$33&lt;=C299*12)),VLOOKUP(A299,'Fleet register'!$A$7:$S$106,16,FALSE),0),"n.a."))</f>
        <v>0</v>
      </c>
      <c r="O299" s="16">
        <f>IF(NOT(Paths!$C$33=1),0,IF(Paths!$P$33="Complete",N299-IF(C299=0,Paths!$F$33,0),"n.a."))</f>
        <v>0</v>
      </c>
      <c r="P299" s="16">
        <f>IF(NOT(Paths!$C$33=1),0,IF(Paths!$P$33="Complete",O299+L299,"n.a."))</f>
        <v>0</v>
      </c>
      <c r="Q299" s="16">
        <f>IF(NOT(Paths!$C$33=1),0,IF(Paths!$P$33="Complete",N299*(1+'Operating costs'!$B$54)^-C299,"n.a."))</f>
        <v>0</v>
      </c>
      <c r="R299" s="16">
        <f>IF(NOT(Paths!$C$33=1),0,IF(Paths!$P$33="Complete",IF(AND(C299=0,Paths!$E$33=0),I299-J299-K299+VLOOKUP(A299,'Fleet register'!$A$7:$S$106,15,FALSE)+VLOOKUP(A299,'Fleet register'!$A$7:$S$106,16,FALSE),0),"n.a."))</f>
        <v>0</v>
      </c>
      <c r="S299" s="1">
        <f>IF(NOT(Paths!$C$33=1),0,IF(Paths!$P$33="Complete",IF(C299=0,0,Paths!$S$33*Paths!$R$33),"n.a."))</f>
        <v>0</v>
      </c>
      <c r="T299" s="1">
        <f>IF(NOT(Paths!$C$33=1),0,IF(Paths!$P$33="Complete",IF(C299=0,0,VLOOKUP(A299,'Fleet register'!$A$7:$S$106,9,FALSE)*Paths!$R$33),"n.a."))</f>
        <v>0</v>
      </c>
    </row>
    <row r="300" spans="1:20" ht="24" customHeight="1">
      <c r="A300" s="1" t="str">
        <f>Paths!$A$33</f>
        <v>T007</v>
      </c>
      <c r="B300" s="1">
        <f>Paths!$B$33</f>
        <v>2</v>
      </c>
      <c r="C300" s="1">
        <v>7</v>
      </c>
      <c r="D300" s="1">
        <v>33</v>
      </c>
      <c r="E300" s="1">
        <f>IF(OR(Paths!$C$33=0,C300=0),0,MAX(0,MIN(C300*12,Paths!$E$33)-(C300-1)*12))</f>
        <v>0</v>
      </c>
      <c r="F300" s="1">
        <f>IF(OR(Paths!$C$33=0,C300=0),0,12-E300)</f>
        <v>0</v>
      </c>
      <c r="G300" s="16">
        <f>IF(NOT(Paths!$C$33=1),0,IF(Paths!$P$33="Complete",E300/12*(Paths!$J$33*(1+'Operating costs'!$B$51)^MAX(0,C300-1)+Paths!$K$33*(1+'Operating costs'!$B$53)^MAX(0,C300-1)),"n.a."))</f>
        <v>0</v>
      </c>
      <c r="H300" s="16">
        <f>IF(NOT(Paths!$C$33=1),0,IF(Paths!$P$33="Complete",F300/12*(Paths!$L$33*(1+IF(Paths!$D$33="EV",'Operating costs'!$B$52,'Operating costs'!$B$51))^MAX(0,C300-1)+Paths!$M$33*(1+'Operating costs'!$B$53)^MAX(0,C300-1)),"n.a."))</f>
        <v>0</v>
      </c>
      <c r="I300" s="16">
        <f>IF(NOT(Paths!$C$33=1),0,IF(Paths!$P$33="Complete",IF(IF(Paths!$E$33=0,C300=0,AND(C300&gt;0,Paths!$E$33&gt;(C300-1)*12,Paths!$E$33&lt;=C300*12)),Paths!$G$33,0),"n.a."))</f>
        <v>0</v>
      </c>
      <c r="J300" s="16">
        <f>IF(NOT(Paths!$C$33=1),0,IF(Paths!$P$33="Complete",IF(IF(Paths!$E$33=0,C300=0,AND(C300&gt;0,Paths!$E$33&gt;(C300-1)*12,Paths!$E$33&lt;=C300*12)),Paths!$H$33,0),"n.a."))</f>
        <v>0</v>
      </c>
      <c r="K300" s="16">
        <f>IF(NOT(Paths!$C$33=1),0,IF(Paths!$P$33="Complete",IF(IF(Paths!$O$33=0,C300=0,AND(C300&gt;0,Paths!$O$33&gt;(C300-1)*12,Paths!$O$33&lt;=C300*12)),Paths!$N$33,0),"n.a."))</f>
        <v>0</v>
      </c>
      <c r="L300" s="16">
        <f>IF(NOT(Paths!$C$33=1),0,IF(Paths!$P$33="Complete",IF(C300=10,Paths!$I$33,0),"n.a."))</f>
        <v>0</v>
      </c>
      <c r="M300" s="16">
        <f>IF(NOT(Paths!$C$33=1),0,IF(Paths!$P$33="Complete",IF(AND(Paths!$D$33="EV",Paths!$E$33&lt;120,Paths!$E$33+'Operating costs'!$B$65&gt;Paths!$E$33,Paths!$E$33+'Operating costs'!$B$65&lt;=120,IF(Paths!$E$33+'Operating costs'!$B$65=0,C300=0,AND(C300&gt;0,Paths!$E$33+'Operating costs'!$B$65&gt;(C300-1)*12,Paths!$E$33+'Operating costs'!$B$65&lt;=C300*12))),'Operating costs'!$B$64,0)+IF(AND('Operating costs'!$B$67&gt;0,'Operating costs'!$B$67&lt;=120,OR(Paths!$D$33="ICE",'Operating costs'!$B$67&lt;=Paths!$E$33),IF('Operating costs'!$B$67=0,C300=0,AND(C300&gt;0,'Operating costs'!$B$67&gt;(C300-1)*12,'Operating costs'!$B$67&lt;=C300*12))),'Operating costs'!$B$66,0),"n.a."))</f>
        <v>0</v>
      </c>
      <c r="N300" s="16">
        <f>IF(NOT(Paths!$C$33=1),0,IF(Paths!$P$33="Complete",SUM(G300:I300)-J300-K300-L300+M300+IF(C300=0,Paths!$F$33,0)+IF(IF(Paths!$E$33=0,C300=0,AND(C300&gt;0,Paths!$E$33&gt;(C300-1)*12,Paths!$E$33&lt;=C300*12)),VLOOKUP(A300,'Fleet register'!$A$7:$S$106,16,FALSE),0),"n.a."))</f>
        <v>0</v>
      </c>
      <c r="O300" s="16">
        <f>IF(NOT(Paths!$C$33=1),0,IF(Paths!$P$33="Complete",N300-IF(C300=0,Paths!$F$33,0),"n.a."))</f>
        <v>0</v>
      </c>
      <c r="P300" s="16">
        <f>IF(NOT(Paths!$C$33=1),0,IF(Paths!$P$33="Complete",O300+L300,"n.a."))</f>
        <v>0</v>
      </c>
      <c r="Q300" s="16">
        <f>IF(NOT(Paths!$C$33=1),0,IF(Paths!$P$33="Complete",N300*(1+'Operating costs'!$B$54)^-C300,"n.a."))</f>
        <v>0</v>
      </c>
      <c r="R300" s="16">
        <f>IF(NOT(Paths!$C$33=1),0,IF(Paths!$P$33="Complete",IF(AND(C300=0,Paths!$E$33=0),I300-J300-K300+VLOOKUP(A300,'Fleet register'!$A$7:$S$106,15,FALSE)+VLOOKUP(A300,'Fleet register'!$A$7:$S$106,16,FALSE),0),"n.a."))</f>
        <v>0</v>
      </c>
      <c r="S300" s="1">
        <f>IF(NOT(Paths!$C$33=1),0,IF(Paths!$P$33="Complete",IF(C300=0,0,Paths!$S$33*Paths!$R$33),"n.a."))</f>
        <v>0</v>
      </c>
      <c r="T300" s="1">
        <f>IF(NOT(Paths!$C$33=1),0,IF(Paths!$P$33="Complete",IF(C300=0,0,VLOOKUP(A300,'Fleet register'!$A$7:$S$106,9,FALSE)*Paths!$R$33),"n.a."))</f>
        <v>0</v>
      </c>
    </row>
    <row r="301" spans="1:20" ht="24" customHeight="1">
      <c r="A301" s="1" t="str">
        <f>Paths!$A$33</f>
        <v>T007</v>
      </c>
      <c r="B301" s="1">
        <f>Paths!$B$33</f>
        <v>2</v>
      </c>
      <c r="C301" s="1">
        <v>8</v>
      </c>
      <c r="D301" s="1">
        <v>33</v>
      </c>
      <c r="E301" s="1">
        <f>IF(OR(Paths!$C$33=0,C301=0),0,MAX(0,MIN(C301*12,Paths!$E$33)-(C301-1)*12))</f>
        <v>0</v>
      </c>
      <c r="F301" s="1">
        <f>IF(OR(Paths!$C$33=0,C301=0),0,12-E301)</f>
        <v>0</v>
      </c>
      <c r="G301" s="16">
        <f>IF(NOT(Paths!$C$33=1),0,IF(Paths!$P$33="Complete",E301/12*(Paths!$J$33*(1+'Operating costs'!$B$51)^MAX(0,C301-1)+Paths!$K$33*(1+'Operating costs'!$B$53)^MAX(0,C301-1)),"n.a."))</f>
        <v>0</v>
      </c>
      <c r="H301" s="16">
        <f>IF(NOT(Paths!$C$33=1),0,IF(Paths!$P$33="Complete",F301/12*(Paths!$L$33*(1+IF(Paths!$D$33="EV",'Operating costs'!$B$52,'Operating costs'!$B$51))^MAX(0,C301-1)+Paths!$M$33*(1+'Operating costs'!$B$53)^MAX(0,C301-1)),"n.a."))</f>
        <v>0</v>
      </c>
      <c r="I301" s="16">
        <f>IF(NOT(Paths!$C$33=1),0,IF(Paths!$P$33="Complete",IF(IF(Paths!$E$33=0,C301=0,AND(C301&gt;0,Paths!$E$33&gt;(C301-1)*12,Paths!$E$33&lt;=C301*12)),Paths!$G$33,0),"n.a."))</f>
        <v>0</v>
      </c>
      <c r="J301" s="16">
        <f>IF(NOT(Paths!$C$33=1),0,IF(Paths!$P$33="Complete",IF(IF(Paths!$E$33=0,C301=0,AND(C301&gt;0,Paths!$E$33&gt;(C301-1)*12,Paths!$E$33&lt;=C301*12)),Paths!$H$33,0),"n.a."))</f>
        <v>0</v>
      </c>
      <c r="K301" s="16">
        <f>IF(NOT(Paths!$C$33=1),0,IF(Paths!$P$33="Complete",IF(IF(Paths!$O$33=0,C301=0,AND(C301&gt;0,Paths!$O$33&gt;(C301-1)*12,Paths!$O$33&lt;=C301*12)),Paths!$N$33,0),"n.a."))</f>
        <v>0</v>
      </c>
      <c r="L301" s="16">
        <f>IF(NOT(Paths!$C$33=1),0,IF(Paths!$P$33="Complete",IF(C301=10,Paths!$I$33,0),"n.a."))</f>
        <v>0</v>
      </c>
      <c r="M301" s="16">
        <f>IF(NOT(Paths!$C$33=1),0,IF(Paths!$P$33="Complete",IF(AND(Paths!$D$33="EV",Paths!$E$33&lt;120,Paths!$E$33+'Operating costs'!$B$65&gt;Paths!$E$33,Paths!$E$33+'Operating costs'!$B$65&lt;=120,IF(Paths!$E$33+'Operating costs'!$B$65=0,C301=0,AND(C301&gt;0,Paths!$E$33+'Operating costs'!$B$65&gt;(C301-1)*12,Paths!$E$33+'Operating costs'!$B$65&lt;=C301*12))),'Operating costs'!$B$64,0)+IF(AND('Operating costs'!$B$67&gt;0,'Operating costs'!$B$67&lt;=120,OR(Paths!$D$33="ICE",'Operating costs'!$B$67&lt;=Paths!$E$33),IF('Operating costs'!$B$67=0,C301=0,AND(C301&gt;0,'Operating costs'!$B$67&gt;(C301-1)*12,'Operating costs'!$B$67&lt;=C301*12))),'Operating costs'!$B$66,0),"n.a."))</f>
        <v>0</v>
      </c>
      <c r="N301" s="16">
        <f>IF(NOT(Paths!$C$33=1),0,IF(Paths!$P$33="Complete",SUM(G301:I301)-J301-K301-L301+M301+IF(C301=0,Paths!$F$33,0)+IF(IF(Paths!$E$33=0,C301=0,AND(C301&gt;0,Paths!$E$33&gt;(C301-1)*12,Paths!$E$33&lt;=C301*12)),VLOOKUP(A301,'Fleet register'!$A$7:$S$106,16,FALSE),0),"n.a."))</f>
        <v>0</v>
      </c>
      <c r="O301" s="16">
        <f>IF(NOT(Paths!$C$33=1),0,IF(Paths!$P$33="Complete",N301-IF(C301=0,Paths!$F$33,0),"n.a."))</f>
        <v>0</v>
      </c>
      <c r="P301" s="16">
        <f>IF(NOT(Paths!$C$33=1),0,IF(Paths!$P$33="Complete",O301+L301,"n.a."))</f>
        <v>0</v>
      </c>
      <c r="Q301" s="16">
        <f>IF(NOT(Paths!$C$33=1),0,IF(Paths!$P$33="Complete",N301*(1+'Operating costs'!$B$54)^-C301,"n.a."))</f>
        <v>0</v>
      </c>
      <c r="R301" s="16">
        <f>IF(NOT(Paths!$C$33=1),0,IF(Paths!$P$33="Complete",IF(AND(C301=0,Paths!$E$33=0),I301-J301-K301+VLOOKUP(A301,'Fleet register'!$A$7:$S$106,15,FALSE)+VLOOKUP(A301,'Fleet register'!$A$7:$S$106,16,FALSE),0),"n.a."))</f>
        <v>0</v>
      </c>
      <c r="S301" s="1">
        <f>IF(NOT(Paths!$C$33=1),0,IF(Paths!$P$33="Complete",IF(C301=0,0,Paths!$S$33*Paths!$R$33),"n.a."))</f>
        <v>0</v>
      </c>
      <c r="T301" s="1">
        <f>IF(NOT(Paths!$C$33=1),0,IF(Paths!$P$33="Complete",IF(C301=0,0,VLOOKUP(A301,'Fleet register'!$A$7:$S$106,9,FALSE)*Paths!$R$33),"n.a."))</f>
        <v>0</v>
      </c>
    </row>
    <row r="302" spans="1:20" ht="24" customHeight="1">
      <c r="A302" s="1" t="str">
        <f>Paths!$A$33</f>
        <v>T007</v>
      </c>
      <c r="B302" s="1">
        <f>Paths!$B$33</f>
        <v>2</v>
      </c>
      <c r="C302" s="1">
        <v>9</v>
      </c>
      <c r="D302" s="1">
        <v>33</v>
      </c>
      <c r="E302" s="1">
        <f>IF(OR(Paths!$C$33=0,C302=0),0,MAX(0,MIN(C302*12,Paths!$E$33)-(C302-1)*12))</f>
        <v>0</v>
      </c>
      <c r="F302" s="1">
        <f>IF(OR(Paths!$C$33=0,C302=0),0,12-E302)</f>
        <v>0</v>
      </c>
      <c r="G302" s="16">
        <f>IF(NOT(Paths!$C$33=1),0,IF(Paths!$P$33="Complete",E302/12*(Paths!$J$33*(1+'Operating costs'!$B$51)^MAX(0,C302-1)+Paths!$K$33*(1+'Operating costs'!$B$53)^MAX(0,C302-1)),"n.a."))</f>
        <v>0</v>
      </c>
      <c r="H302" s="16">
        <f>IF(NOT(Paths!$C$33=1),0,IF(Paths!$P$33="Complete",F302/12*(Paths!$L$33*(1+IF(Paths!$D$33="EV",'Operating costs'!$B$52,'Operating costs'!$B$51))^MAX(0,C302-1)+Paths!$M$33*(1+'Operating costs'!$B$53)^MAX(0,C302-1)),"n.a."))</f>
        <v>0</v>
      </c>
      <c r="I302" s="16">
        <f>IF(NOT(Paths!$C$33=1),0,IF(Paths!$P$33="Complete",IF(IF(Paths!$E$33=0,C302=0,AND(C302&gt;0,Paths!$E$33&gt;(C302-1)*12,Paths!$E$33&lt;=C302*12)),Paths!$G$33,0),"n.a."))</f>
        <v>0</v>
      </c>
      <c r="J302" s="16">
        <f>IF(NOT(Paths!$C$33=1),0,IF(Paths!$P$33="Complete",IF(IF(Paths!$E$33=0,C302=0,AND(C302&gt;0,Paths!$E$33&gt;(C302-1)*12,Paths!$E$33&lt;=C302*12)),Paths!$H$33,0),"n.a."))</f>
        <v>0</v>
      </c>
      <c r="K302" s="16">
        <f>IF(NOT(Paths!$C$33=1),0,IF(Paths!$P$33="Complete",IF(IF(Paths!$O$33=0,C302=0,AND(C302&gt;0,Paths!$O$33&gt;(C302-1)*12,Paths!$O$33&lt;=C302*12)),Paths!$N$33,0),"n.a."))</f>
        <v>0</v>
      </c>
      <c r="L302" s="16">
        <f>IF(NOT(Paths!$C$33=1),0,IF(Paths!$P$33="Complete",IF(C302=10,Paths!$I$33,0),"n.a."))</f>
        <v>0</v>
      </c>
      <c r="M302" s="16">
        <f>IF(NOT(Paths!$C$33=1),0,IF(Paths!$P$33="Complete",IF(AND(Paths!$D$33="EV",Paths!$E$33&lt;120,Paths!$E$33+'Operating costs'!$B$65&gt;Paths!$E$33,Paths!$E$33+'Operating costs'!$B$65&lt;=120,IF(Paths!$E$33+'Operating costs'!$B$65=0,C302=0,AND(C302&gt;0,Paths!$E$33+'Operating costs'!$B$65&gt;(C302-1)*12,Paths!$E$33+'Operating costs'!$B$65&lt;=C302*12))),'Operating costs'!$B$64,0)+IF(AND('Operating costs'!$B$67&gt;0,'Operating costs'!$B$67&lt;=120,OR(Paths!$D$33="ICE",'Operating costs'!$B$67&lt;=Paths!$E$33),IF('Operating costs'!$B$67=0,C302=0,AND(C302&gt;0,'Operating costs'!$B$67&gt;(C302-1)*12,'Operating costs'!$B$67&lt;=C302*12))),'Operating costs'!$B$66,0),"n.a."))</f>
        <v>0</v>
      </c>
      <c r="N302" s="16">
        <f>IF(NOT(Paths!$C$33=1),0,IF(Paths!$P$33="Complete",SUM(G302:I302)-J302-K302-L302+M302+IF(C302=0,Paths!$F$33,0)+IF(IF(Paths!$E$33=0,C302=0,AND(C302&gt;0,Paths!$E$33&gt;(C302-1)*12,Paths!$E$33&lt;=C302*12)),VLOOKUP(A302,'Fleet register'!$A$7:$S$106,16,FALSE),0),"n.a."))</f>
        <v>0</v>
      </c>
      <c r="O302" s="16">
        <f>IF(NOT(Paths!$C$33=1),0,IF(Paths!$P$33="Complete",N302-IF(C302=0,Paths!$F$33,0),"n.a."))</f>
        <v>0</v>
      </c>
      <c r="P302" s="16">
        <f>IF(NOT(Paths!$C$33=1),0,IF(Paths!$P$33="Complete",O302+L302,"n.a."))</f>
        <v>0</v>
      </c>
      <c r="Q302" s="16">
        <f>IF(NOT(Paths!$C$33=1),0,IF(Paths!$P$33="Complete",N302*(1+'Operating costs'!$B$54)^-C302,"n.a."))</f>
        <v>0</v>
      </c>
      <c r="R302" s="16">
        <f>IF(NOT(Paths!$C$33=1),0,IF(Paths!$P$33="Complete",IF(AND(C302=0,Paths!$E$33=0),I302-J302-K302+VLOOKUP(A302,'Fleet register'!$A$7:$S$106,15,FALSE)+VLOOKUP(A302,'Fleet register'!$A$7:$S$106,16,FALSE),0),"n.a."))</f>
        <v>0</v>
      </c>
      <c r="S302" s="1">
        <f>IF(NOT(Paths!$C$33=1),0,IF(Paths!$P$33="Complete",IF(C302=0,0,Paths!$S$33*Paths!$R$33),"n.a."))</f>
        <v>0</v>
      </c>
      <c r="T302" s="1">
        <f>IF(NOT(Paths!$C$33=1),0,IF(Paths!$P$33="Complete",IF(C302=0,0,VLOOKUP(A302,'Fleet register'!$A$7:$S$106,9,FALSE)*Paths!$R$33),"n.a."))</f>
        <v>0</v>
      </c>
    </row>
    <row r="303" spans="1:20" ht="24" customHeight="1">
      <c r="A303" s="1" t="str">
        <f>Paths!$A$33</f>
        <v>T007</v>
      </c>
      <c r="B303" s="1">
        <f>Paths!$B$33</f>
        <v>2</v>
      </c>
      <c r="C303" s="1">
        <v>10</v>
      </c>
      <c r="D303" s="1">
        <v>33</v>
      </c>
      <c r="E303" s="1">
        <f>IF(OR(Paths!$C$33=0,C303=0),0,MAX(0,MIN(C303*12,Paths!$E$33)-(C303-1)*12))</f>
        <v>0</v>
      </c>
      <c r="F303" s="1">
        <f>IF(OR(Paths!$C$33=0,C303=0),0,12-E303)</f>
        <v>0</v>
      </c>
      <c r="G303" s="16">
        <f>IF(NOT(Paths!$C$33=1),0,IF(Paths!$P$33="Complete",E303/12*(Paths!$J$33*(1+'Operating costs'!$B$51)^MAX(0,C303-1)+Paths!$K$33*(1+'Operating costs'!$B$53)^MAX(0,C303-1)),"n.a."))</f>
        <v>0</v>
      </c>
      <c r="H303" s="16">
        <f>IF(NOT(Paths!$C$33=1),0,IF(Paths!$P$33="Complete",F303/12*(Paths!$L$33*(1+IF(Paths!$D$33="EV",'Operating costs'!$B$52,'Operating costs'!$B$51))^MAX(0,C303-1)+Paths!$M$33*(1+'Operating costs'!$B$53)^MAX(0,C303-1)),"n.a."))</f>
        <v>0</v>
      </c>
      <c r="I303" s="16">
        <f>IF(NOT(Paths!$C$33=1),0,IF(Paths!$P$33="Complete",IF(IF(Paths!$E$33=0,C303=0,AND(C303&gt;0,Paths!$E$33&gt;(C303-1)*12,Paths!$E$33&lt;=C303*12)),Paths!$G$33,0),"n.a."))</f>
        <v>0</v>
      </c>
      <c r="J303" s="16">
        <f>IF(NOT(Paths!$C$33=1),0,IF(Paths!$P$33="Complete",IF(IF(Paths!$E$33=0,C303=0,AND(C303&gt;0,Paths!$E$33&gt;(C303-1)*12,Paths!$E$33&lt;=C303*12)),Paths!$H$33,0),"n.a."))</f>
        <v>0</v>
      </c>
      <c r="K303" s="16">
        <f>IF(NOT(Paths!$C$33=1),0,IF(Paths!$P$33="Complete",IF(IF(Paths!$O$33=0,C303=0,AND(C303&gt;0,Paths!$O$33&gt;(C303-1)*12,Paths!$O$33&lt;=C303*12)),Paths!$N$33,0),"n.a."))</f>
        <v>0</v>
      </c>
      <c r="L303" s="16">
        <f>IF(NOT(Paths!$C$33=1),0,IF(Paths!$P$33="Complete",IF(C303=10,Paths!$I$33,0),"n.a."))</f>
        <v>0</v>
      </c>
      <c r="M303" s="16">
        <f>IF(NOT(Paths!$C$33=1),0,IF(Paths!$P$33="Complete",IF(AND(Paths!$D$33="EV",Paths!$E$33&lt;120,Paths!$E$33+'Operating costs'!$B$65&gt;Paths!$E$33,Paths!$E$33+'Operating costs'!$B$65&lt;=120,IF(Paths!$E$33+'Operating costs'!$B$65=0,C303=0,AND(C303&gt;0,Paths!$E$33+'Operating costs'!$B$65&gt;(C303-1)*12,Paths!$E$33+'Operating costs'!$B$65&lt;=C303*12))),'Operating costs'!$B$64,0)+IF(AND('Operating costs'!$B$67&gt;0,'Operating costs'!$B$67&lt;=120,OR(Paths!$D$33="ICE",'Operating costs'!$B$67&lt;=Paths!$E$33),IF('Operating costs'!$B$67=0,C303=0,AND(C303&gt;0,'Operating costs'!$B$67&gt;(C303-1)*12,'Operating costs'!$B$67&lt;=C303*12))),'Operating costs'!$B$66,0),"n.a."))</f>
        <v>0</v>
      </c>
      <c r="N303" s="16">
        <f>IF(NOT(Paths!$C$33=1),0,IF(Paths!$P$33="Complete",SUM(G303:I303)-J303-K303-L303+M303+IF(C303=0,Paths!$F$33,0)+IF(IF(Paths!$E$33=0,C303=0,AND(C303&gt;0,Paths!$E$33&gt;(C303-1)*12,Paths!$E$33&lt;=C303*12)),VLOOKUP(A303,'Fleet register'!$A$7:$S$106,16,FALSE),0),"n.a."))</f>
        <v>0</v>
      </c>
      <c r="O303" s="16">
        <f>IF(NOT(Paths!$C$33=1),0,IF(Paths!$P$33="Complete",N303-IF(C303=0,Paths!$F$33,0),"n.a."))</f>
        <v>0</v>
      </c>
      <c r="P303" s="16">
        <f>IF(NOT(Paths!$C$33=1),0,IF(Paths!$P$33="Complete",O303+L303,"n.a."))</f>
        <v>0</v>
      </c>
      <c r="Q303" s="16">
        <f>IF(NOT(Paths!$C$33=1),0,IF(Paths!$P$33="Complete",N303*(1+'Operating costs'!$B$54)^-C303,"n.a."))</f>
        <v>0</v>
      </c>
      <c r="R303" s="16">
        <f>IF(NOT(Paths!$C$33=1),0,IF(Paths!$P$33="Complete",IF(AND(C303=0,Paths!$E$33=0),I303-J303-K303+VLOOKUP(A303,'Fleet register'!$A$7:$S$106,15,FALSE)+VLOOKUP(A303,'Fleet register'!$A$7:$S$106,16,FALSE),0),"n.a."))</f>
        <v>0</v>
      </c>
      <c r="S303" s="1">
        <f>IF(NOT(Paths!$C$33=1),0,IF(Paths!$P$33="Complete",IF(C303=0,0,Paths!$S$33*Paths!$R$33),"n.a."))</f>
        <v>0</v>
      </c>
      <c r="T303" s="1">
        <f>IF(NOT(Paths!$C$33=1),0,IF(Paths!$P$33="Complete",IF(C303=0,0,VLOOKUP(A303,'Fleet register'!$A$7:$S$106,9,FALSE)*Paths!$R$33),"n.a."))</f>
        <v>0</v>
      </c>
    </row>
    <row r="304" spans="1:20" ht="24" customHeight="1">
      <c r="A304" s="1" t="str">
        <f>Paths!$A$34</f>
        <v>T007</v>
      </c>
      <c r="B304" s="1">
        <f>Paths!$B$34</f>
        <v>3</v>
      </c>
      <c r="C304" s="1">
        <v>0</v>
      </c>
      <c r="D304" s="1">
        <v>34</v>
      </c>
      <c r="E304" s="1">
        <f>IF(OR(Paths!$C$34=0,C304=0),0,MAX(0,MIN(C304*12,Paths!$E$34)-(C304-1)*12))</f>
        <v>0</v>
      </c>
      <c r="F304" s="1">
        <f>IF(OR(Paths!$C$34=0,C304=0),0,12-E304)</f>
        <v>0</v>
      </c>
      <c r="G304" s="16">
        <f>IF(NOT(Paths!$C$34=1),0,IF(Paths!$P$34="Complete",E304/12*(Paths!$J$34*(1+'Operating costs'!$B$51)^MAX(0,C304-1)+Paths!$K$34*(1+'Operating costs'!$B$53)^MAX(0,C304-1)),"n.a."))</f>
        <v>0</v>
      </c>
      <c r="H304" s="16">
        <f>IF(NOT(Paths!$C$34=1),0,IF(Paths!$P$34="Complete",F304/12*(Paths!$L$34*(1+IF(Paths!$D$34="EV",'Operating costs'!$B$52,'Operating costs'!$B$51))^MAX(0,C304-1)+Paths!$M$34*(1+'Operating costs'!$B$53)^MAX(0,C304-1)),"n.a."))</f>
        <v>0</v>
      </c>
      <c r="I304" s="16">
        <f>IF(NOT(Paths!$C$34=1),0,IF(Paths!$P$34="Complete",IF(IF(Paths!$E$34=0,C304=0,AND(C304&gt;0,Paths!$E$34&gt;(C304-1)*12,Paths!$E$34&lt;=C304*12)),Paths!$G$34,0),"n.a."))</f>
        <v>0</v>
      </c>
      <c r="J304" s="16">
        <f>IF(NOT(Paths!$C$34=1),0,IF(Paths!$P$34="Complete",IF(IF(Paths!$E$34=0,C304=0,AND(C304&gt;0,Paths!$E$34&gt;(C304-1)*12,Paths!$E$34&lt;=C304*12)),Paths!$H$34,0),"n.a."))</f>
        <v>0</v>
      </c>
      <c r="K304" s="16">
        <f>IF(NOT(Paths!$C$34=1),0,IF(Paths!$P$34="Complete",IF(IF(Paths!$O$34=0,C304=0,AND(C304&gt;0,Paths!$O$34&gt;(C304-1)*12,Paths!$O$34&lt;=C304*12)),Paths!$N$34,0),"n.a."))</f>
        <v>0</v>
      </c>
      <c r="L304" s="16">
        <f>IF(NOT(Paths!$C$34=1),0,IF(Paths!$P$34="Complete",IF(C304=10,Paths!$I$34,0),"n.a."))</f>
        <v>0</v>
      </c>
      <c r="M304" s="16">
        <f>IF(NOT(Paths!$C$34=1),0,IF(Paths!$P$34="Complete",IF(AND(Paths!$D$34="EV",Paths!$E$34&lt;120,Paths!$E$34+'Operating costs'!$B$65&gt;Paths!$E$34,Paths!$E$34+'Operating costs'!$B$65&lt;=120,IF(Paths!$E$34+'Operating costs'!$B$65=0,C304=0,AND(C304&gt;0,Paths!$E$34+'Operating costs'!$B$65&gt;(C304-1)*12,Paths!$E$34+'Operating costs'!$B$65&lt;=C304*12))),'Operating costs'!$B$64,0)+IF(AND('Operating costs'!$B$67&gt;0,'Operating costs'!$B$67&lt;=120,OR(Paths!$D$34="ICE",'Operating costs'!$B$67&lt;=Paths!$E$34),IF('Operating costs'!$B$67=0,C304=0,AND(C304&gt;0,'Operating costs'!$B$67&gt;(C304-1)*12,'Operating costs'!$B$67&lt;=C304*12))),'Operating costs'!$B$66,0),"n.a."))</f>
        <v>0</v>
      </c>
      <c r="N304" s="16">
        <f>IF(NOT(Paths!$C$34=1),0,IF(Paths!$P$34="Complete",SUM(G304:I304)-J304-K304-L304+M304+IF(C304=0,Paths!$F$34,0)+IF(IF(Paths!$E$34=0,C304=0,AND(C304&gt;0,Paths!$E$34&gt;(C304-1)*12,Paths!$E$34&lt;=C304*12)),VLOOKUP(A304,'Fleet register'!$A$7:$S$106,16,FALSE),0),"n.a."))</f>
        <v>0</v>
      </c>
      <c r="O304" s="16">
        <f>IF(NOT(Paths!$C$34=1),0,IF(Paths!$P$34="Complete",N304-IF(C304=0,Paths!$F$34,0),"n.a."))</f>
        <v>0</v>
      </c>
      <c r="P304" s="16">
        <f>IF(NOT(Paths!$C$34=1),0,IF(Paths!$P$34="Complete",O304+L304,"n.a."))</f>
        <v>0</v>
      </c>
      <c r="Q304" s="16">
        <f>IF(NOT(Paths!$C$34=1),0,IF(Paths!$P$34="Complete",N304*(1+'Operating costs'!$B$54)^-C304,"n.a."))</f>
        <v>0</v>
      </c>
      <c r="R304" s="16">
        <f>IF(NOT(Paths!$C$34=1),0,IF(Paths!$P$34="Complete",IF(AND(C304=0,Paths!$E$34=0),I304-J304-K304+VLOOKUP(A304,'Fleet register'!$A$7:$S$106,15,FALSE)+VLOOKUP(A304,'Fleet register'!$A$7:$S$106,16,FALSE),0),"n.a."))</f>
        <v>0</v>
      </c>
      <c r="S304" s="1">
        <f>IF(NOT(Paths!$C$34=1),0,IF(Paths!$P$34="Complete",IF(C304=0,0,Paths!$S$34*Paths!$R$34),"n.a."))</f>
        <v>0</v>
      </c>
      <c r="T304" s="1">
        <f>IF(NOT(Paths!$C$34=1),0,IF(Paths!$P$34="Complete",IF(C304=0,0,VLOOKUP(A304,'Fleet register'!$A$7:$S$106,9,FALSE)*Paths!$R$34),"n.a."))</f>
        <v>0</v>
      </c>
    </row>
    <row r="305" spans="1:20" ht="24" customHeight="1">
      <c r="A305" s="1" t="str">
        <f>Paths!$A$34</f>
        <v>T007</v>
      </c>
      <c r="B305" s="1">
        <f>Paths!$B$34</f>
        <v>3</v>
      </c>
      <c r="C305" s="1">
        <v>1</v>
      </c>
      <c r="D305" s="1">
        <v>34</v>
      </c>
      <c r="E305" s="1">
        <f>IF(OR(Paths!$C$34=0,C305=0),0,MAX(0,MIN(C305*12,Paths!$E$34)-(C305-1)*12))</f>
        <v>0</v>
      </c>
      <c r="F305" s="1">
        <f>IF(OR(Paths!$C$34=0,C305=0),0,12-E305)</f>
        <v>0</v>
      </c>
      <c r="G305" s="16">
        <f>IF(NOT(Paths!$C$34=1),0,IF(Paths!$P$34="Complete",E305/12*(Paths!$J$34*(1+'Operating costs'!$B$51)^MAX(0,C305-1)+Paths!$K$34*(1+'Operating costs'!$B$53)^MAX(0,C305-1)),"n.a."))</f>
        <v>0</v>
      </c>
      <c r="H305" s="16">
        <f>IF(NOT(Paths!$C$34=1),0,IF(Paths!$P$34="Complete",F305/12*(Paths!$L$34*(1+IF(Paths!$D$34="EV",'Operating costs'!$B$52,'Operating costs'!$B$51))^MAX(0,C305-1)+Paths!$M$34*(1+'Operating costs'!$B$53)^MAX(0,C305-1)),"n.a."))</f>
        <v>0</v>
      </c>
      <c r="I305" s="16">
        <f>IF(NOT(Paths!$C$34=1),0,IF(Paths!$P$34="Complete",IF(IF(Paths!$E$34=0,C305=0,AND(C305&gt;0,Paths!$E$34&gt;(C305-1)*12,Paths!$E$34&lt;=C305*12)),Paths!$G$34,0),"n.a."))</f>
        <v>0</v>
      </c>
      <c r="J305" s="16">
        <f>IF(NOT(Paths!$C$34=1),0,IF(Paths!$P$34="Complete",IF(IF(Paths!$E$34=0,C305=0,AND(C305&gt;0,Paths!$E$34&gt;(C305-1)*12,Paths!$E$34&lt;=C305*12)),Paths!$H$34,0),"n.a."))</f>
        <v>0</v>
      </c>
      <c r="K305" s="16">
        <f>IF(NOT(Paths!$C$34=1),0,IF(Paths!$P$34="Complete",IF(IF(Paths!$O$34=0,C305=0,AND(C305&gt;0,Paths!$O$34&gt;(C305-1)*12,Paths!$O$34&lt;=C305*12)),Paths!$N$34,0),"n.a."))</f>
        <v>0</v>
      </c>
      <c r="L305" s="16">
        <f>IF(NOT(Paths!$C$34=1),0,IF(Paths!$P$34="Complete",IF(C305=10,Paths!$I$34,0),"n.a."))</f>
        <v>0</v>
      </c>
      <c r="M305" s="16">
        <f>IF(NOT(Paths!$C$34=1),0,IF(Paths!$P$34="Complete",IF(AND(Paths!$D$34="EV",Paths!$E$34&lt;120,Paths!$E$34+'Operating costs'!$B$65&gt;Paths!$E$34,Paths!$E$34+'Operating costs'!$B$65&lt;=120,IF(Paths!$E$34+'Operating costs'!$B$65=0,C305=0,AND(C305&gt;0,Paths!$E$34+'Operating costs'!$B$65&gt;(C305-1)*12,Paths!$E$34+'Operating costs'!$B$65&lt;=C305*12))),'Operating costs'!$B$64,0)+IF(AND('Operating costs'!$B$67&gt;0,'Operating costs'!$B$67&lt;=120,OR(Paths!$D$34="ICE",'Operating costs'!$B$67&lt;=Paths!$E$34),IF('Operating costs'!$B$67=0,C305=0,AND(C305&gt;0,'Operating costs'!$B$67&gt;(C305-1)*12,'Operating costs'!$B$67&lt;=C305*12))),'Operating costs'!$B$66,0),"n.a."))</f>
        <v>0</v>
      </c>
      <c r="N305" s="16">
        <f>IF(NOT(Paths!$C$34=1),0,IF(Paths!$P$34="Complete",SUM(G305:I305)-J305-K305-L305+M305+IF(C305=0,Paths!$F$34,0)+IF(IF(Paths!$E$34=0,C305=0,AND(C305&gt;0,Paths!$E$34&gt;(C305-1)*12,Paths!$E$34&lt;=C305*12)),VLOOKUP(A305,'Fleet register'!$A$7:$S$106,16,FALSE),0),"n.a."))</f>
        <v>0</v>
      </c>
      <c r="O305" s="16">
        <f>IF(NOT(Paths!$C$34=1),0,IF(Paths!$P$34="Complete",N305-IF(C305=0,Paths!$F$34,0),"n.a."))</f>
        <v>0</v>
      </c>
      <c r="P305" s="16">
        <f>IF(NOT(Paths!$C$34=1),0,IF(Paths!$P$34="Complete",O305+L305,"n.a."))</f>
        <v>0</v>
      </c>
      <c r="Q305" s="16">
        <f>IF(NOT(Paths!$C$34=1),0,IF(Paths!$P$34="Complete",N305*(1+'Operating costs'!$B$54)^-C305,"n.a."))</f>
        <v>0</v>
      </c>
      <c r="R305" s="16">
        <f>IF(NOT(Paths!$C$34=1),0,IF(Paths!$P$34="Complete",IF(AND(C305=0,Paths!$E$34=0),I305-J305-K305+VLOOKUP(A305,'Fleet register'!$A$7:$S$106,15,FALSE)+VLOOKUP(A305,'Fleet register'!$A$7:$S$106,16,FALSE),0),"n.a."))</f>
        <v>0</v>
      </c>
      <c r="S305" s="1">
        <f>IF(NOT(Paths!$C$34=1),0,IF(Paths!$P$34="Complete",IF(C305=0,0,Paths!$S$34*Paths!$R$34),"n.a."))</f>
        <v>0</v>
      </c>
      <c r="T305" s="1">
        <f>IF(NOT(Paths!$C$34=1),0,IF(Paths!$P$34="Complete",IF(C305=0,0,VLOOKUP(A305,'Fleet register'!$A$7:$S$106,9,FALSE)*Paths!$R$34),"n.a."))</f>
        <v>0</v>
      </c>
    </row>
    <row r="306" spans="1:20" ht="24" customHeight="1">
      <c r="A306" s="1" t="str">
        <f>Paths!$A$34</f>
        <v>T007</v>
      </c>
      <c r="B306" s="1">
        <f>Paths!$B$34</f>
        <v>3</v>
      </c>
      <c r="C306" s="1">
        <v>2</v>
      </c>
      <c r="D306" s="1">
        <v>34</v>
      </c>
      <c r="E306" s="1">
        <f>IF(OR(Paths!$C$34=0,C306=0),0,MAX(0,MIN(C306*12,Paths!$E$34)-(C306-1)*12))</f>
        <v>0</v>
      </c>
      <c r="F306" s="1">
        <f>IF(OR(Paths!$C$34=0,C306=0),0,12-E306)</f>
        <v>0</v>
      </c>
      <c r="G306" s="16">
        <f>IF(NOT(Paths!$C$34=1),0,IF(Paths!$P$34="Complete",E306/12*(Paths!$J$34*(1+'Operating costs'!$B$51)^MAX(0,C306-1)+Paths!$K$34*(1+'Operating costs'!$B$53)^MAX(0,C306-1)),"n.a."))</f>
        <v>0</v>
      </c>
      <c r="H306" s="16">
        <f>IF(NOT(Paths!$C$34=1),0,IF(Paths!$P$34="Complete",F306/12*(Paths!$L$34*(1+IF(Paths!$D$34="EV",'Operating costs'!$B$52,'Operating costs'!$B$51))^MAX(0,C306-1)+Paths!$M$34*(1+'Operating costs'!$B$53)^MAX(0,C306-1)),"n.a."))</f>
        <v>0</v>
      </c>
      <c r="I306" s="16">
        <f>IF(NOT(Paths!$C$34=1),0,IF(Paths!$P$34="Complete",IF(IF(Paths!$E$34=0,C306=0,AND(C306&gt;0,Paths!$E$34&gt;(C306-1)*12,Paths!$E$34&lt;=C306*12)),Paths!$G$34,0),"n.a."))</f>
        <v>0</v>
      </c>
      <c r="J306" s="16">
        <f>IF(NOT(Paths!$C$34=1),0,IF(Paths!$P$34="Complete",IF(IF(Paths!$E$34=0,C306=0,AND(C306&gt;0,Paths!$E$34&gt;(C306-1)*12,Paths!$E$34&lt;=C306*12)),Paths!$H$34,0),"n.a."))</f>
        <v>0</v>
      </c>
      <c r="K306" s="16">
        <f>IF(NOT(Paths!$C$34=1),0,IF(Paths!$P$34="Complete",IF(IF(Paths!$O$34=0,C306=0,AND(C306&gt;0,Paths!$O$34&gt;(C306-1)*12,Paths!$O$34&lt;=C306*12)),Paths!$N$34,0),"n.a."))</f>
        <v>0</v>
      </c>
      <c r="L306" s="16">
        <f>IF(NOT(Paths!$C$34=1),0,IF(Paths!$P$34="Complete",IF(C306=10,Paths!$I$34,0),"n.a."))</f>
        <v>0</v>
      </c>
      <c r="M306" s="16">
        <f>IF(NOT(Paths!$C$34=1),0,IF(Paths!$P$34="Complete",IF(AND(Paths!$D$34="EV",Paths!$E$34&lt;120,Paths!$E$34+'Operating costs'!$B$65&gt;Paths!$E$34,Paths!$E$34+'Operating costs'!$B$65&lt;=120,IF(Paths!$E$34+'Operating costs'!$B$65=0,C306=0,AND(C306&gt;0,Paths!$E$34+'Operating costs'!$B$65&gt;(C306-1)*12,Paths!$E$34+'Operating costs'!$B$65&lt;=C306*12))),'Operating costs'!$B$64,0)+IF(AND('Operating costs'!$B$67&gt;0,'Operating costs'!$B$67&lt;=120,OR(Paths!$D$34="ICE",'Operating costs'!$B$67&lt;=Paths!$E$34),IF('Operating costs'!$B$67=0,C306=0,AND(C306&gt;0,'Operating costs'!$B$67&gt;(C306-1)*12,'Operating costs'!$B$67&lt;=C306*12))),'Operating costs'!$B$66,0),"n.a."))</f>
        <v>0</v>
      </c>
      <c r="N306" s="16">
        <f>IF(NOT(Paths!$C$34=1),0,IF(Paths!$P$34="Complete",SUM(G306:I306)-J306-K306-L306+M306+IF(C306=0,Paths!$F$34,0)+IF(IF(Paths!$E$34=0,C306=0,AND(C306&gt;0,Paths!$E$34&gt;(C306-1)*12,Paths!$E$34&lt;=C306*12)),VLOOKUP(A306,'Fleet register'!$A$7:$S$106,16,FALSE),0),"n.a."))</f>
        <v>0</v>
      </c>
      <c r="O306" s="16">
        <f>IF(NOT(Paths!$C$34=1),0,IF(Paths!$P$34="Complete",N306-IF(C306=0,Paths!$F$34,0),"n.a."))</f>
        <v>0</v>
      </c>
      <c r="P306" s="16">
        <f>IF(NOT(Paths!$C$34=1),0,IF(Paths!$P$34="Complete",O306+L306,"n.a."))</f>
        <v>0</v>
      </c>
      <c r="Q306" s="16">
        <f>IF(NOT(Paths!$C$34=1),0,IF(Paths!$P$34="Complete",N306*(1+'Operating costs'!$B$54)^-C306,"n.a."))</f>
        <v>0</v>
      </c>
      <c r="R306" s="16">
        <f>IF(NOT(Paths!$C$34=1),0,IF(Paths!$P$34="Complete",IF(AND(C306=0,Paths!$E$34=0),I306-J306-K306+VLOOKUP(A306,'Fleet register'!$A$7:$S$106,15,FALSE)+VLOOKUP(A306,'Fleet register'!$A$7:$S$106,16,FALSE),0),"n.a."))</f>
        <v>0</v>
      </c>
      <c r="S306" s="1">
        <f>IF(NOT(Paths!$C$34=1),0,IF(Paths!$P$34="Complete",IF(C306=0,0,Paths!$S$34*Paths!$R$34),"n.a."))</f>
        <v>0</v>
      </c>
      <c r="T306" s="1">
        <f>IF(NOT(Paths!$C$34=1),0,IF(Paths!$P$34="Complete",IF(C306=0,0,VLOOKUP(A306,'Fleet register'!$A$7:$S$106,9,FALSE)*Paths!$R$34),"n.a."))</f>
        <v>0</v>
      </c>
    </row>
    <row r="307" spans="1:20" ht="24" customHeight="1">
      <c r="A307" s="1" t="str">
        <f>Paths!$A$34</f>
        <v>T007</v>
      </c>
      <c r="B307" s="1">
        <f>Paths!$B$34</f>
        <v>3</v>
      </c>
      <c r="C307" s="1">
        <v>3</v>
      </c>
      <c r="D307" s="1">
        <v>34</v>
      </c>
      <c r="E307" s="1">
        <f>IF(OR(Paths!$C$34=0,C307=0),0,MAX(0,MIN(C307*12,Paths!$E$34)-(C307-1)*12))</f>
        <v>0</v>
      </c>
      <c r="F307" s="1">
        <f>IF(OR(Paths!$C$34=0,C307=0),0,12-E307)</f>
        <v>0</v>
      </c>
      <c r="G307" s="16">
        <f>IF(NOT(Paths!$C$34=1),0,IF(Paths!$P$34="Complete",E307/12*(Paths!$J$34*(1+'Operating costs'!$B$51)^MAX(0,C307-1)+Paths!$K$34*(1+'Operating costs'!$B$53)^MAX(0,C307-1)),"n.a."))</f>
        <v>0</v>
      </c>
      <c r="H307" s="16">
        <f>IF(NOT(Paths!$C$34=1),0,IF(Paths!$P$34="Complete",F307/12*(Paths!$L$34*(1+IF(Paths!$D$34="EV",'Operating costs'!$B$52,'Operating costs'!$B$51))^MAX(0,C307-1)+Paths!$M$34*(1+'Operating costs'!$B$53)^MAX(0,C307-1)),"n.a."))</f>
        <v>0</v>
      </c>
      <c r="I307" s="16">
        <f>IF(NOT(Paths!$C$34=1),0,IF(Paths!$P$34="Complete",IF(IF(Paths!$E$34=0,C307=0,AND(C307&gt;0,Paths!$E$34&gt;(C307-1)*12,Paths!$E$34&lt;=C307*12)),Paths!$G$34,0),"n.a."))</f>
        <v>0</v>
      </c>
      <c r="J307" s="16">
        <f>IF(NOT(Paths!$C$34=1),0,IF(Paths!$P$34="Complete",IF(IF(Paths!$E$34=0,C307=0,AND(C307&gt;0,Paths!$E$34&gt;(C307-1)*12,Paths!$E$34&lt;=C307*12)),Paths!$H$34,0),"n.a."))</f>
        <v>0</v>
      </c>
      <c r="K307" s="16">
        <f>IF(NOT(Paths!$C$34=1),0,IF(Paths!$P$34="Complete",IF(IF(Paths!$O$34=0,C307=0,AND(C307&gt;0,Paths!$O$34&gt;(C307-1)*12,Paths!$O$34&lt;=C307*12)),Paths!$N$34,0),"n.a."))</f>
        <v>0</v>
      </c>
      <c r="L307" s="16">
        <f>IF(NOT(Paths!$C$34=1),0,IF(Paths!$P$34="Complete",IF(C307=10,Paths!$I$34,0),"n.a."))</f>
        <v>0</v>
      </c>
      <c r="M307" s="16">
        <f>IF(NOT(Paths!$C$34=1),0,IF(Paths!$P$34="Complete",IF(AND(Paths!$D$34="EV",Paths!$E$34&lt;120,Paths!$E$34+'Operating costs'!$B$65&gt;Paths!$E$34,Paths!$E$34+'Operating costs'!$B$65&lt;=120,IF(Paths!$E$34+'Operating costs'!$B$65=0,C307=0,AND(C307&gt;0,Paths!$E$34+'Operating costs'!$B$65&gt;(C307-1)*12,Paths!$E$34+'Operating costs'!$B$65&lt;=C307*12))),'Operating costs'!$B$64,0)+IF(AND('Operating costs'!$B$67&gt;0,'Operating costs'!$B$67&lt;=120,OR(Paths!$D$34="ICE",'Operating costs'!$B$67&lt;=Paths!$E$34),IF('Operating costs'!$B$67=0,C307=0,AND(C307&gt;0,'Operating costs'!$B$67&gt;(C307-1)*12,'Operating costs'!$B$67&lt;=C307*12))),'Operating costs'!$B$66,0),"n.a."))</f>
        <v>0</v>
      </c>
      <c r="N307" s="16">
        <f>IF(NOT(Paths!$C$34=1),0,IF(Paths!$P$34="Complete",SUM(G307:I307)-J307-K307-L307+M307+IF(C307=0,Paths!$F$34,0)+IF(IF(Paths!$E$34=0,C307=0,AND(C307&gt;0,Paths!$E$34&gt;(C307-1)*12,Paths!$E$34&lt;=C307*12)),VLOOKUP(A307,'Fleet register'!$A$7:$S$106,16,FALSE),0),"n.a."))</f>
        <v>0</v>
      </c>
      <c r="O307" s="16">
        <f>IF(NOT(Paths!$C$34=1),0,IF(Paths!$P$34="Complete",N307-IF(C307=0,Paths!$F$34,0),"n.a."))</f>
        <v>0</v>
      </c>
      <c r="P307" s="16">
        <f>IF(NOT(Paths!$C$34=1),0,IF(Paths!$P$34="Complete",O307+L307,"n.a."))</f>
        <v>0</v>
      </c>
      <c r="Q307" s="16">
        <f>IF(NOT(Paths!$C$34=1),0,IF(Paths!$P$34="Complete",N307*(1+'Operating costs'!$B$54)^-C307,"n.a."))</f>
        <v>0</v>
      </c>
      <c r="R307" s="16">
        <f>IF(NOT(Paths!$C$34=1),0,IF(Paths!$P$34="Complete",IF(AND(C307=0,Paths!$E$34=0),I307-J307-K307+VLOOKUP(A307,'Fleet register'!$A$7:$S$106,15,FALSE)+VLOOKUP(A307,'Fleet register'!$A$7:$S$106,16,FALSE),0),"n.a."))</f>
        <v>0</v>
      </c>
      <c r="S307" s="1">
        <f>IF(NOT(Paths!$C$34=1),0,IF(Paths!$P$34="Complete",IF(C307=0,0,Paths!$S$34*Paths!$R$34),"n.a."))</f>
        <v>0</v>
      </c>
      <c r="T307" s="1">
        <f>IF(NOT(Paths!$C$34=1),0,IF(Paths!$P$34="Complete",IF(C307=0,0,VLOOKUP(A307,'Fleet register'!$A$7:$S$106,9,FALSE)*Paths!$R$34),"n.a."))</f>
        <v>0</v>
      </c>
    </row>
    <row r="308" spans="1:20" ht="24" customHeight="1">
      <c r="A308" s="1" t="str">
        <f>Paths!$A$34</f>
        <v>T007</v>
      </c>
      <c r="B308" s="1">
        <f>Paths!$B$34</f>
        <v>3</v>
      </c>
      <c r="C308" s="1">
        <v>4</v>
      </c>
      <c r="D308" s="1">
        <v>34</v>
      </c>
      <c r="E308" s="1">
        <f>IF(OR(Paths!$C$34=0,C308=0),0,MAX(0,MIN(C308*12,Paths!$E$34)-(C308-1)*12))</f>
        <v>0</v>
      </c>
      <c r="F308" s="1">
        <f>IF(OR(Paths!$C$34=0,C308=0),0,12-E308)</f>
        <v>0</v>
      </c>
      <c r="G308" s="16">
        <f>IF(NOT(Paths!$C$34=1),0,IF(Paths!$P$34="Complete",E308/12*(Paths!$J$34*(1+'Operating costs'!$B$51)^MAX(0,C308-1)+Paths!$K$34*(1+'Operating costs'!$B$53)^MAX(0,C308-1)),"n.a."))</f>
        <v>0</v>
      </c>
      <c r="H308" s="16">
        <f>IF(NOT(Paths!$C$34=1),0,IF(Paths!$P$34="Complete",F308/12*(Paths!$L$34*(1+IF(Paths!$D$34="EV",'Operating costs'!$B$52,'Operating costs'!$B$51))^MAX(0,C308-1)+Paths!$M$34*(1+'Operating costs'!$B$53)^MAX(0,C308-1)),"n.a."))</f>
        <v>0</v>
      </c>
      <c r="I308" s="16">
        <f>IF(NOT(Paths!$C$34=1),0,IF(Paths!$P$34="Complete",IF(IF(Paths!$E$34=0,C308=0,AND(C308&gt;0,Paths!$E$34&gt;(C308-1)*12,Paths!$E$34&lt;=C308*12)),Paths!$G$34,0),"n.a."))</f>
        <v>0</v>
      </c>
      <c r="J308" s="16">
        <f>IF(NOT(Paths!$C$34=1),0,IF(Paths!$P$34="Complete",IF(IF(Paths!$E$34=0,C308=0,AND(C308&gt;0,Paths!$E$34&gt;(C308-1)*12,Paths!$E$34&lt;=C308*12)),Paths!$H$34,0),"n.a."))</f>
        <v>0</v>
      </c>
      <c r="K308" s="16">
        <f>IF(NOT(Paths!$C$34=1),0,IF(Paths!$P$34="Complete",IF(IF(Paths!$O$34=0,C308=0,AND(C308&gt;0,Paths!$O$34&gt;(C308-1)*12,Paths!$O$34&lt;=C308*12)),Paths!$N$34,0),"n.a."))</f>
        <v>0</v>
      </c>
      <c r="L308" s="16">
        <f>IF(NOT(Paths!$C$34=1),0,IF(Paths!$P$34="Complete",IF(C308=10,Paths!$I$34,0),"n.a."))</f>
        <v>0</v>
      </c>
      <c r="M308" s="16">
        <f>IF(NOT(Paths!$C$34=1),0,IF(Paths!$P$34="Complete",IF(AND(Paths!$D$34="EV",Paths!$E$34&lt;120,Paths!$E$34+'Operating costs'!$B$65&gt;Paths!$E$34,Paths!$E$34+'Operating costs'!$B$65&lt;=120,IF(Paths!$E$34+'Operating costs'!$B$65=0,C308=0,AND(C308&gt;0,Paths!$E$34+'Operating costs'!$B$65&gt;(C308-1)*12,Paths!$E$34+'Operating costs'!$B$65&lt;=C308*12))),'Operating costs'!$B$64,0)+IF(AND('Operating costs'!$B$67&gt;0,'Operating costs'!$B$67&lt;=120,OR(Paths!$D$34="ICE",'Operating costs'!$B$67&lt;=Paths!$E$34),IF('Operating costs'!$B$67=0,C308=0,AND(C308&gt;0,'Operating costs'!$B$67&gt;(C308-1)*12,'Operating costs'!$B$67&lt;=C308*12))),'Operating costs'!$B$66,0),"n.a."))</f>
        <v>0</v>
      </c>
      <c r="N308" s="16">
        <f>IF(NOT(Paths!$C$34=1),0,IF(Paths!$P$34="Complete",SUM(G308:I308)-J308-K308-L308+M308+IF(C308=0,Paths!$F$34,0)+IF(IF(Paths!$E$34=0,C308=0,AND(C308&gt;0,Paths!$E$34&gt;(C308-1)*12,Paths!$E$34&lt;=C308*12)),VLOOKUP(A308,'Fleet register'!$A$7:$S$106,16,FALSE),0),"n.a."))</f>
        <v>0</v>
      </c>
      <c r="O308" s="16">
        <f>IF(NOT(Paths!$C$34=1),0,IF(Paths!$P$34="Complete",N308-IF(C308=0,Paths!$F$34,0),"n.a."))</f>
        <v>0</v>
      </c>
      <c r="P308" s="16">
        <f>IF(NOT(Paths!$C$34=1),0,IF(Paths!$P$34="Complete",O308+L308,"n.a."))</f>
        <v>0</v>
      </c>
      <c r="Q308" s="16">
        <f>IF(NOT(Paths!$C$34=1),0,IF(Paths!$P$34="Complete",N308*(1+'Operating costs'!$B$54)^-C308,"n.a."))</f>
        <v>0</v>
      </c>
      <c r="R308" s="16">
        <f>IF(NOT(Paths!$C$34=1),0,IF(Paths!$P$34="Complete",IF(AND(C308=0,Paths!$E$34=0),I308-J308-K308+VLOOKUP(A308,'Fleet register'!$A$7:$S$106,15,FALSE)+VLOOKUP(A308,'Fleet register'!$A$7:$S$106,16,FALSE),0),"n.a."))</f>
        <v>0</v>
      </c>
      <c r="S308" s="1">
        <f>IF(NOT(Paths!$C$34=1),0,IF(Paths!$P$34="Complete",IF(C308=0,0,Paths!$S$34*Paths!$R$34),"n.a."))</f>
        <v>0</v>
      </c>
      <c r="T308" s="1">
        <f>IF(NOT(Paths!$C$34=1),0,IF(Paths!$P$34="Complete",IF(C308=0,0,VLOOKUP(A308,'Fleet register'!$A$7:$S$106,9,FALSE)*Paths!$R$34),"n.a."))</f>
        <v>0</v>
      </c>
    </row>
    <row r="309" spans="1:20" ht="24" customHeight="1">
      <c r="A309" s="1" t="str">
        <f>Paths!$A$34</f>
        <v>T007</v>
      </c>
      <c r="B309" s="1">
        <f>Paths!$B$34</f>
        <v>3</v>
      </c>
      <c r="C309" s="1">
        <v>5</v>
      </c>
      <c r="D309" s="1">
        <v>34</v>
      </c>
      <c r="E309" s="1">
        <f>IF(OR(Paths!$C$34=0,C309=0),0,MAX(0,MIN(C309*12,Paths!$E$34)-(C309-1)*12))</f>
        <v>0</v>
      </c>
      <c r="F309" s="1">
        <f>IF(OR(Paths!$C$34=0,C309=0),0,12-E309)</f>
        <v>0</v>
      </c>
      <c r="G309" s="16">
        <f>IF(NOT(Paths!$C$34=1),0,IF(Paths!$P$34="Complete",E309/12*(Paths!$J$34*(1+'Operating costs'!$B$51)^MAX(0,C309-1)+Paths!$K$34*(1+'Operating costs'!$B$53)^MAX(0,C309-1)),"n.a."))</f>
        <v>0</v>
      </c>
      <c r="H309" s="16">
        <f>IF(NOT(Paths!$C$34=1),0,IF(Paths!$P$34="Complete",F309/12*(Paths!$L$34*(1+IF(Paths!$D$34="EV",'Operating costs'!$B$52,'Operating costs'!$B$51))^MAX(0,C309-1)+Paths!$M$34*(1+'Operating costs'!$B$53)^MAX(0,C309-1)),"n.a."))</f>
        <v>0</v>
      </c>
      <c r="I309" s="16">
        <f>IF(NOT(Paths!$C$34=1),0,IF(Paths!$P$34="Complete",IF(IF(Paths!$E$34=0,C309=0,AND(C309&gt;0,Paths!$E$34&gt;(C309-1)*12,Paths!$E$34&lt;=C309*12)),Paths!$G$34,0),"n.a."))</f>
        <v>0</v>
      </c>
      <c r="J309" s="16">
        <f>IF(NOT(Paths!$C$34=1),0,IF(Paths!$P$34="Complete",IF(IF(Paths!$E$34=0,C309=0,AND(C309&gt;0,Paths!$E$34&gt;(C309-1)*12,Paths!$E$34&lt;=C309*12)),Paths!$H$34,0),"n.a."))</f>
        <v>0</v>
      </c>
      <c r="K309" s="16">
        <f>IF(NOT(Paths!$C$34=1),0,IF(Paths!$P$34="Complete",IF(IF(Paths!$O$34=0,C309=0,AND(C309&gt;0,Paths!$O$34&gt;(C309-1)*12,Paths!$O$34&lt;=C309*12)),Paths!$N$34,0),"n.a."))</f>
        <v>0</v>
      </c>
      <c r="L309" s="16">
        <f>IF(NOT(Paths!$C$34=1),0,IF(Paths!$P$34="Complete",IF(C309=10,Paths!$I$34,0),"n.a."))</f>
        <v>0</v>
      </c>
      <c r="M309" s="16">
        <f>IF(NOT(Paths!$C$34=1),0,IF(Paths!$P$34="Complete",IF(AND(Paths!$D$34="EV",Paths!$E$34&lt;120,Paths!$E$34+'Operating costs'!$B$65&gt;Paths!$E$34,Paths!$E$34+'Operating costs'!$B$65&lt;=120,IF(Paths!$E$34+'Operating costs'!$B$65=0,C309=0,AND(C309&gt;0,Paths!$E$34+'Operating costs'!$B$65&gt;(C309-1)*12,Paths!$E$34+'Operating costs'!$B$65&lt;=C309*12))),'Operating costs'!$B$64,0)+IF(AND('Operating costs'!$B$67&gt;0,'Operating costs'!$B$67&lt;=120,OR(Paths!$D$34="ICE",'Operating costs'!$B$67&lt;=Paths!$E$34),IF('Operating costs'!$B$67=0,C309=0,AND(C309&gt;0,'Operating costs'!$B$67&gt;(C309-1)*12,'Operating costs'!$B$67&lt;=C309*12))),'Operating costs'!$B$66,0),"n.a."))</f>
        <v>0</v>
      </c>
      <c r="N309" s="16">
        <f>IF(NOT(Paths!$C$34=1),0,IF(Paths!$P$34="Complete",SUM(G309:I309)-J309-K309-L309+M309+IF(C309=0,Paths!$F$34,0)+IF(IF(Paths!$E$34=0,C309=0,AND(C309&gt;0,Paths!$E$34&gt;(C309-1)*12,Paths!$E$34&lt;=C309*12)),VLOOKUP(A309,'Fleet register'!$A$7:$S$106,16,FALSE),0),"n.a."))</f>
        <v>0</v>
      </c>
      <c r="O309" s="16">
        <f>IF(NOT(Paths!$C$34=1),0,IF(Paths!$P$34="Complete",N309-IF(C309=0,Paths!$F$34,0),"n.a."))</f>
        <v>0</v>
      </c>
      <c r="P309" s="16">
        <f>IF(NOT(Paths!$C$34=1),0,IF(Paths!$P$34="Complete",O309+L309,"n.a."))</f>
        <v>0</v>
      </c>
      <c r="Q309" s="16">
        <f>IF(NOT(Paths!$C$34=1),0,IF(Paths!$P$34="Complete",N309*(1+'Operating costs'!$B$54)^-C309,"n.a."))</f>
        <v>0</v>
      </c>
      <c r="R309" s="16">
        <f>IF(NOT(Paths!$C$34=1),0,IF(Paths!$P$34="Complete",IF(AND(C309=0,Paths!$E$34=0),I309-J309-K309+VLOOKUP(A309,'Fleet register'!$A$7:$S$106,15,FALSE)+VLOOKUP(A309,'Fleet register'!$A$7:$S$106,16,FALSE),0),"n.a."))</f>
        <v>0</v>
      </c>
      <c r="S309" s="1">
        <f>IF(NOT(Paths!$C$34=1),0,IF(Paths!$P$34="Complete",IF(C309=0,0,Paths!$S$34*Paths!$R$34),"n.a."))</f>
        <v>0</v>
      </c>
      <c r="T309" s="1">
        <f>IF(NOT(Paths!$C$34=1),0,IF(Paths!$P$34="Complete",IF(C309=0,0,VLOOKUP(A309,'Fleet register'!$A$7:$S$106,9,FALSE)*Paths!$R$34),"n.a."))</f>
        <v>0</v>
      </c>
    </row>
    <row r="310" spans="1:20" ht="24" customHeight="1">
      <c r="A310" s="1" t="str">
        <f>Paths!$A$34</f>
        <v>T007</v>
      </c>
      <c r="B310" s="1">
        <f>Paths!$B$34</f>
        <v>3</v>
      </c>
      <c r="C310" s="1">
        <v>6</v>
      </c>
      <c r="D310" s="1">
        <v>34</v>
      </c>
      <c r="E310" s="1">
        <f>IF(OR(Paths!$C$34=0,C310=0),0,MAX(0,MIN(C310*12,Paths!$E$34)-(C310-1)*12))</f>
        <v>0</v>
      </c>
      <c r="F310" s="1">
        <f>IF(OR(Paths!$C$34=0,C310=0),0,12-E310)</f>
        <v>0</v>
      </c>
      <c r="G310" s="16">
        <f>IF(NOT(Paths!$C$34=1),0,IF(Paths!$P$34="Complete",E310/12*(Paths!$J$34*(1+'Operating costs'!$B$51)^MAX(0,C310-1)+Paths!$K$34*(1+'Operating costs'!$B$53)^MAX(0,C310-1)),"n.a."))</f>
        <v>0</v>
      </c>
      <c r="H310" s="16">
        <f>IF(NOT(Paths!$C$34=1),0,IF(Paths!$P$34="Complete",F310/12*(Paths!$L$34*(1+IF(Paths!$D$34="EV",'Operating costs'!$B$52,'Operating costs'!$B$51))^MAX(0,C310-1)+Paths!$M$34*(1+'Operating costs'!$B$53)^MAX(0,C310-1)),"n.a."))</f>
        <v>0</v>
      </c>
      <c r="I310" s="16">
        <f>IF(NOT(Paths!$C$34=1),0,IF(Paths!$P$34="Complete",IF(IF(Paths!$E$34=0,C310=0,AND(C310&gt;0,Paths!$E$34&gt;(C310-1)*12,Paths!$E$34&lt;=C310*12)),Paths!$G$34,0),"n.a."))</f>
        <v>0</v>
      </c>
      <c r="J310" s="16">
        <f>IF(NOT(Paths!$C$34=1),0,IF(Paths!$P$34="Complete",IF(IF(Paths!$E$34=0,C310=0,AND(C310&gt;0,Paths!$E$34&gt;(C310-1)*12,Paths!$E$34&lt;=C310*12)),Paths!$H$34,0),"n.a."))</f>
        <v>0</v>
      </c>
      <c r="K310" s="16">
        <f>IF(NOT(Paths!$C$34=1),0,IF(Paths!$P$34="Complete",IF(IF(Paths!$O$34=0,C310=0,AND(C310&gt;0,Paths!$O$34&gt;(C310-1)*12,Paths!$O$34&lt;=C310*12)),Paths!$N$34,0),"n.a."))</f>
        <v>0</v>
      </c>
      <c r="L310" s="16">
        <f>IF(NOT(Paths!$C$34=1),0,IF(Paths!$P$34="Complete",IF(C310=10,Paths!$I$34,0),"n.a."))</f>
        <v>0</v>
      </c>
      <c r="M310" s="16">
        <f>IF(NOT(Paths!$C$34=1),0,IF(Paths!$P$34="Complete",IF(AND(Paths!$D$34="EV",Paths!$E$34&lt;120,Paths!$E$34+'Operating costs'!$B$65&gt;Paths!$E$34,Paths!$E$34+'Operating costs'!$B$65&lt;=120,IF(Paths!$E$34+'Operating costs'!$B$65=0,C310=0,AND(C310&gt;0,Paths!$E$34+'Operating costs'!$B$65&gt;(C310-1)*12,Paths!$E$34+'Operating costs'!$B$65&lt;=C310*12))),'Operating costs'!$B$64,0)+IF(AND('Operating costs'!$B$67&gt;0,'Operating costs'!$B$67&lt;=120,OR(Paths!$D$34="ICE",'Operating costs'!$B$67&lt;=Paths!$E$34),IF('Operating costs'!$B$67=0,C310=0,AND(C310&gt;0,'Operating costs'!$B$67&gt;(C310-1)*12,'Operating costs'!$B$67&lt;=C310*12))),'Operating costs'!$B$66,0),"n.a."))</f>
        <v>0</v>
      </c>
      <c r="N310" s="16">
        <f>IF(NOT(Paths!$C$34=1),0,IF(Paths!$P$34="Complete",SUM(G310:I310)-J310-K310-L310+M310+IF(C310=0,Paths!$F$34,0)+IF(IF(Paths!$E$34=0,C310=0,AND(C310&gt;0,Paths!$E$34&gt;(C310-1)*12,Paths!$E$34&lt;=C310*12)),VLOOKUP(A310,'Fleet register'!$A$7:$S$106,16,FALSE),0),"n.a."))</f>
        <v>0</v>
      </c>
      <c r="O310" s="16">
        <f>IF(NOT(Paths!$C$34=1),0,IF(Paths!$P$34="Complete",N310-IF(C310=0,Paths!$F$34,0),"n.a."))</f>
        <v>0</v>
      </c>
      <c r="P310" s="16">
        <f>IF(NOT(Paths!$C$34=1),0,IF(Paths!$P$34="Complete",O310+L310,"n.a."))</f>
        <v>0</v>
      </c>
      <c r="Q310" s="16">
        <f>IF(NOT(Paths!$C$34=1),0,IF(Paths!$P$34="Complete",N310*(1+'Operating costs'!$B$54)^-C310,"n.a."))</f>
        <v>0</v>
      </c>
      <c r="R310" s="16">
        <f>IF(NOT(Paths!$C$34=1),0,IF(Paths!$P$34="Complete",IF(AND(C310=0,Paths!$E$34=0),I310-J310-K310+VLOOKUP(A310,'Fleet register'!$A$7:$S$106,15,FALSE)+VLOOKUP(A310,'Fleet register'!$A$7:$S$106,16,FALSE),0),"n.a."))</f>
        <v>0</v>
      </c>
      <c r="S310" s="1">
        <f>IF(NOT(Paths!$C$34=1),0,IF(Paths!$P$34="Complete",IF(C310=0,0,Paths!$S$34*Paths!$R$34),"n.a."))</f>
        <v>0</v>
      </c>
      <c r="T310" s="1">
        <f>IF(NOT(Paths!$C$34=1),0,IF(Paths!$P$34="Complete",IF(C310=0,0,VLOOKUP(A310,'Fleet register'!$A$7:$S$106,9,FALSE)*Paths!$R$34),"n.a."))</f>
        <v>0</v>
      </c>
    </row>
    <row r="311" spans="1:20" ht="24" customHeight="1">
      <c r="A311" s="1" t="str">
        <f>Paths!$A$34</f>
        <v>T007</v>
      </c>
      <c r="B311" s="1">
        <f>Paths!$B$34</f>
        <v>3</v>
      </c>
      <c r="C311" s="1">
        <v>7</v>
      </c>
      <c r="D311" s="1">
        <v>34</v>
      </c>
      <c r="E311" s="1">
        <f>IF(OR(Paths!$C$34=0,C311=0),0,MAX(0,MIN(C311*12,Paths!$E$34)-(C311-1)*12))</f>
        <v>0</v>
      </c>
      <c r="F311" s="1">
        <f>IF(OR(Paths!$C$34=0,C311=0),0,12-E311)</f>
        <v>0</v>
      </c>
      <c r="G311" s="16">
        <f>IF(NOT(Paths!$C$34=1),0,IF(Paths!$P$34="Complete",E311/12*(Paths!$J$34*(1+'Operating costs'!$B$51)^MAX(0,C311-1)+Paths!$K$34*(1+'Operating costs'!$B$53)^MAX(0,C311-1)),"n.a."))</f>
        <v>0</v>
      </c>
      <c r="H311" s="16">
        <f>IF(NOT(Paths!$C$34=1),0,IF(Paths!$P$34="Complete",F311/12*(Paths!$L$34*(1+IF(Paths!$D$34="EV",'Operating costs'!$B$52,'Operating costs'!$B$51))^MAX(0,C311-1)+Paths!$M$34*(1+'Operating costs'!$B$53)^MAX(0,C311-1)),"n.a."))</f>
        <v>0</v>
      </c>
      <c r="I311" s="16">
        <f>IF(NOT(Paths!$C$34=1),0,IF(Paths!$P$34="Complete",IF(IF(Paths!$E$34=0,C311=0,AND(C311&gt;0,Paths!$E$34&gt;(C311-1)*12,Paths!$E$34&lt;=C311*12)),Paths!$G$34,0),"n.a."))</f>
        <v>0</v>
      </c>
      <c r="J311" s="16">
        <f>IF(NOT(Paths!$C$34=1),0,IF(Paths!$P$34="Complete",IF(IF(Paths!$E$34=0,C311=0,AND(C311&gt;0,Paths!$E$34&gt;(C311-1)*12,Paths!$E$34&lt;=C311*12)),Paths!$H$34,0),"n.a."))</f>
        <v>0</v>
      </c>
      <c r="K311" s="16">
        <f>IF(NOT(Paths!$C$34=1),0,IF(Paths!$P$34="Complete",IF(IF(Paths!$O$34=0,C311=0,AND(C311&gt;0,Paths!$O$34&gt;(C311-1)*12,Paths!$O$34&lt;=C311*12)),Paths!$N$34,0),"n.a."))</f>
        <v>0</v>
      </c>
      <c r="L311" s="16">
        <f>IF(NOT(Paths!$C$34=1),0,IF(Paths!$P$34="Complete",IF(C311=10,Paths!$I$34,0),"n.a."))</f>
        <v>0</v>
      </c>
      <c r="M311" s="16">
        <f>IF(NOT(Paths!$C$34=1),0,IF(Paths!$P$34="Complete",IF(AND(Paths!$D$34="EV",Paths!$E$34&lt;120,Paths!$E$34+'Operating costs'!$B$65&gt;Paths!$E$34,Paths!$E$34+'Operating costs'!$B$65&lt;=120,IF(Paths!$E$34+'Operating costs'!$B$65=0,C311=0,AND(C311&gt;0,Paths!$E$34+'Operating costs'!$B$65&gt;(C311-1)*12,Paths!$E$34+'Operating costs'!$B$65&lt;=C311*12))),'Operating costs'!$B$64,0)+IF(AND('Operating costs'!$B$67&gt;0,'Operating costs'!$B$67&lt;=120,OR(Paths!$D$34="ICE",'Operating costs'!$B$67&lt;=Paths!$E$34),IF('Operating costs'!$B$67=0,C311=0,AND(C311&gt;0,'Operating costs'!$B$67&gt;(C311-1)*12,'Operating costs'!$B$67&lt;=C311*12))),'Operating costs'!$B$66,0),"n.a."))</f>
        <v>0</v>
      </c>
      <c r="N311" s="16">
        <f>IF(NOT(Paths!$C$34=1),0,IF(Paths!$P$34="Complete",SUM(G311:I311)-J311-K311-L311+M311+IF(C311=0,Paths!$F$34,0)+IF(IF(Paths!$E$34=0,C311=0,AND(C311&gt;0,Paths!$E$34&gt;(C311-1)*12,Paths!$E$34&lt;=C311*12)),VLOOKUP(A311,'Fleet register'!$A$7:$S$106,16,FALSE),0),"n.a."))</f>
        <v>0</v>
      </c>
      <c r="O311" s="16">
        <f>IF(NOT(Paths!$C$34=1),0,IF(Paths!$P$34="Complete",N311-IF(C311=0,Paths!$F$34,0),"n.a."))</f>
        <v>0</v>
      </c>
      <c r="P311" s="16">
        <f>IF(NOT(Paths!$C$34=1),0,IF(Paths!$P$34="Complete",O311+L311,"n.a."))</f>
        <v>0</v>
      </c>
      <c r="Q311" s="16">
        <f>IF(NOT(Paths!$C$34=1),0,IF(Paths!$P$34="Complete",N311*(1+'Operating costs'!$B$54)^-C311,"n.a."))</f>
        <v>0</v>
      </c>
      <c r="R311" s="16">
        <f>IF(NOT(Paths!$C$34=1),0,IF(Paths!$P$34="Complete",IF(AND(C311=0,Paths!$E$34=0),I311-J311-K311+VLOOKUP(A311,'Fleet register'!$A$7:$S$106,15,FALSE)+VLOOKUP(A311,'Fleet register'!$A$7:$S$106,16,FALSE),0),"n.a."))</f>
        <v>0</v>
      </c>
      <c r="S311" s="1">
        <f>IF(NOT(Paths!$C$34=1),0,IF(Paths!$P$34="Complete",IF(C311=0,0,Paths!$S$34*Paths!$R$34),"n.a."))</f>
        <v>0</v>
      </c>
      <c r="T311" s="1">
        <f>IF(NOT(Paths!$C$34=1),0,IF(Paths!$P$34="Complete",IF(C311=0,0,VLOOKUP(A311,'Fleet register'!$A$7:$S$106,9,FALSE)*Paths!$R$34),"n.a."))</f>
        <v>0</v>
      </c>
    </row>
    <row r="312" spans="1:20" ht="24" customHeight="1">
      <c r="A312" s="1" t="str">
        <f>Paths!$A$34</f>
        <v>T007</v>
      </c>
      <c r="B312" s="1">
        <f>Paths!$B$34</f>
        <v>3</v>
      </c>
      <c r="C312" s="1">
        <v>8</v>
      </c>
      <c r="D312" s="1">
        <v>34</v>
      </c>
      <c r="E312" s="1">
        <f>IF(OR(Paths!$C$34=0,C312=0),0,MAX(0,MIN(C312*12,Paths!$E$34)-(C312-1)*12))</f>
        <v>0</v>
      </c>
      <c r="F312" s="1">
        <f>IF(OR(Paths!$C$34=0,C312=0),0,12-E312)</f>
        <v>0</v>
      </c>
      <c r="G312" s="16">
        <f>IF(NOT(Paths!$C$34=1),0,IF(Paths!$P$34="Complete",E312/12*(Paths!$J$34*(1+'Operating costs'!$B$51)^MAX(0,C312-1)+Paths!$K$34*(1+'Operating costs'!$B$53)^MAX(0,C312-1)),"n.a."))</f>
        <v>0</v>
      </c>
      <c r="H312" s="16">
        <f>IF(NOT(Paths!$C$34=1),0,IF(Paths!$P$34="Complete",F312/12*(Paths!$L$34*(1+IF(Paths!$D$34="EV",'Operating costs'!$B$52,'Operating costs'!$B$51))^MAX(0,C312-1)+Paths!$M$34*(1+'Operating costs'!$B$53)^MAX(0,C312-1)),"n.a."))</f>
        <v>0</v>
      </c>
      <c r="I312" s="16">
        <f>IF(NOT(Paths!$C$34=1),0,IF(Paths!$P$34="Complete",IF(IF(Paths!$E$34=0,C312=0,AND(C312&gt;0,Paths!$E$34&gt;(C312-1)*12,Paths!$E$34&lt;=C312*12)),Paths!$G$34,0),"n.a."))</f>
        <v>0</v>
      </c>
      <c r="J312" s="16">
        <f>IF(NOT(Paths!$C$34=1),0,IF(Paths!$P$34="Complete",IF(IF(Paths!$E$34=0,C312=0,AND(C312&gt;0,Paths!$E$34&gt;(C312-1)*12,Paths!$E$34&lt;=C312*12)),Paths!$H$34,0),"n.a."))</f>
        <v>0</v>
      </c>
      <c r="K312" s="16">
        <f>IF(NOT(Paths!$C$34=1),0,IF(Paths!$P$34="Complete",IF(IF(Paths!$O$34=0,C312=0,AND(C312&gt;0,Paths!$O$34&gt;(C312-1)*12,Paths!$O$34&lt;=C312*12)),Paths!$N$34,0),"n.a."))</f>
        <v>0</v>
      </c>
      <c r="L312" s="16">
        <f>IF(NOT(Paths!$C$34=1),0,IF(Paths!$P$34="Complete",IF(C312=10,Paths!$I$34,0),"n.a."))</f>
        <v>0</v>
      </c>
      <c r="M312" s="16">
        <f>IF(NOT(Paths!$C$34=1),0,IF(Paths!$P$34="Complete",IF(AND(Paths!$D$34="EV",Paths!$E$34&lt;120,Paths!$E$34+'Operating costs'!$B$65&gt;Paths!$E$34,Paths!$E$34+'Operating costs'!$B$65&lt;=120,IF(Paths!$E$34+'Operating costs'!$B$65=0,C312=0,AND(C312&gt;0,Paths!$E$34+'Operating costs'!$B$65&gt;(C312-1)*12,Paths!$E$34+'Operating costs'!$B$65&lt;=C312*12))),'Operating costs'!$B$64,0)+IF(AND('Operating costs'!$B$67&gt;0,'Operating costs'!$B$67&lt;=120,OR(Paths!$D$34="ICE",'Operating costs'!$B$67&lt;=Paths!$E$34),IF('Operating costs'!$B$67=0,C312=0,AND(C312&gt;0,'Operating costs'!$B$67&gt;(C312-1)*12,'Operating costs'!$B$67&lt;=C312*12))),'Operating costs'!$B$66,0),"n.a."))</f>
        <v>0</v>
      </c>
      <c r="N312" s="16">
        <f>IF(NOT(Paths!$C$34=1),0,IF(Paths!$P$34="Complete",SUM(G312:I312)-J312-K312-L312+M312+IF(C312=0,Paths!$F$34,0)+IF(IF(Paths!$E$34=0,C312=0,AND(C312&gt;0,Paths!$E$34&gt;(C312-1)*12,Paths!$E$34&lt;=C312*12)),VLOOKUP(A312,'Fleet register'!$A$7:$S$106,16,FALSE),0),"n.a."))</f>
        <v>0</v>
      </c>
      <c r="O312" s="16">
        <f>IF(NOT(Paths!$C$34=1),0,IF(Paths!$P$34="Complete",N312-IF(C312=0,Paths!$F$34,0),"n.a."))</f>
        <v>0</v>
      </c>
      <c r="P312" s="16">
        <f>IF(NOT(Paths!$C$34=1),0,IF(Paths!$P$34="Complete",O312+L312,"n.a."))</f>
        <v>0</v>
      </c>
      <c r="Q312" s="16">
        <f>IF(NOT(Paths!$C$34=1),0,IF(Paths!$P$34="Complete",N312*(1+'Operating costs'!$B$54)^-C312,"n.a."))</f>
        <v>0</v>
      </c>
      <c r="R312" s="16">
        <f>IF(NOT(Paths!$C$34=1),0,IF(Paths!$P$34="Complete",IF(AND(C312=0,Paths!$E$34=0),I312-J312-K312+VLOOKUP(A312,'Fleet register'!$A$7:$S$106,15,FALSE)+VLOOKUP(A312,'Fleet register'!$A$7:$S$106,16,FALSE),0),"n.a."))</f>
        <v>0</v>
      </c>
      <c r="S312" s="1">
        <f>IF(NOT(Paths!$C$34=1),0,IF(Paths!$P$34="Complete",IF(C312=0,0,Paths!$S$34*Paths!$R$34),"n.a."))</f>
        <v>0</v>
      </c>
      <c r="T312" s="1">
        <f>IF(NOT(Paths!$C$34=1),0,IF(Paths!$P$34="Complete",IF(C312=0,0,VLOOKUP(A312,'Fleet register'!$A$7:$S$106,9,FALSE)*Paths!$R$34),"n.a."))</f>
        <v>0</v>
      </c>
    </row>
    <row r="313" spans="1:20" ht="24" customHeight="1">
      <c r="A313" s="1" t="str">
        <f>Paths!$A$34</f>
        <v>T007</v>
      </c>
      <c r="B313" s="1">
        <f>Paths!$B$34</f>
        <v>3</v>
      </c>
      <c r="C313" s="1">
        <v>9</v>
      </c>
      <c r="D313" s="1">
        <v>34</v>
      </c>
      <c r="E313" s="1">
        <f>IF(OR(Paths!$C$34=0,C313=0),0,MAX(0,MIN(C313*12,Paths!$E$34)-(C313-1)*12))</f>
        <v>0</v>
      </c>
      <c r="F313" s="1">
        <f>IF(OR(Paths!$C$34=0,C313=0),0,12-E313)</f>
        <v>0</v>
      </c>
      <c r="G313" s="16">
        <f>IF(NOT(Paths!$C$34=1),0,IF(Paths!$P$34="Complete",E313/12*(Paths!$J$34*(1+'Operating costs'!$B$51)^MAX(0,C313-1)+Paths!$K$34*(1+'Operating costs'!$B$53)^MAX(0,C313-1)),"n.a."))</f>
        <v>0</v>
      </c>
      <c r="H313" s="16">
        <f>IF(NOT(Paths!$C$34=1),0,IF(Paths!$P$34="Complete",F313/12*(Paths!$L$34*(1+IF(Paths!$D$34="EV",'Operating costs'!$B$52,'Operating costs'!$B$51))^MAX(0,C313-1)+Paths!$M$34*(1+'Operating costs'!$B$53)^MAX(0,C313-1)),"n.a."))</f>
        <v>0</v>
      </c>
      <c r="I313" s="16">
        <f>IF(NOT(Paths!$C$34=1),0,IF(Paths!$P$34="Complete",IF(IF(Paths!$E$34=0,C313=0,AND(C313&gt;0,Paths!$E$34&gt;(C313-1)*12,Paths!$E$34&lt;=C313*12)),Paths!$G$34,0),"n.a."))</f>
        <v>0</v>
      </c>
      <c r="J313" s="16">
        <f>IF(NOT(Paths!$C$34=1),0,IF(Paths!$P$34="Complete",IF(IF(Paths!$E$34=0,C313=0,AND(C313&gt;0,Paths!$E$34&gt;(C313-1)*12,Paths!$E$34&lt;=C313*12)),Paths!$H$34,0),"n.a."))</f>
        <v>0</v>
      </c>
      <c r="K313" s="16">
        <f>IF(NOT(Paths!$C$34=1),0,IF(Paths!$P$34="Complete",IF(IF(Paths!$O$34=0,C313=0,AND(C313&gt;0,Paths!$O$34&gt;(C313-1)*12,Paths!$O$34&lt;=C313*12)),Paths!$N$34,0),"n.a."))</f>
        <v>0</v>
      </c>
      <c r="L313" s="16">
        <f>IF(NOT(Paths!$C$34=1),0,IF(Paths!$P$34="Complete",IF(C313=10,Paths!$I$34,0),"n.a."))</f>
        <v>0</v>
      </c>
      <c r="M313" s="16">
        <f>IF(NOT(Paths!$C$34=1),0,IF(Paths!$P$34="Complete",IF(AND(Paths!$D$34="EV",Paths!$E$34&lt;120,Paths!$E$34+'Operating costs'!$B$65&gt;Paths!$E$34,Paths!$E$34+'Operating costs'!$B$65&lt;=120,IF(Paths!$E$34+'Operating costs'!$B$65=0,C313=0,AND(C313&gt;0,Paths!$E$34+'Operating costs'!$B$65&gt;(C313-1)*12,Paths!$E$34+'Operating costs'!$B$65&lt;=C313*12))),'Operating costs'!$B$64,0)+IF(AND('Operating costs'!$B$67&gt;0,'Operating costs'!$B$67&lt;=120,OR(Paths!$D$34="ICE",'Operating costs'!$B$67&lt;=Paths!$E$34),IF('Operating costs'!$B$67=0,C313=0,AND(C313&gt;0,'Operating costs'!$B$67&gt;(C313-1)*12,'Operating costs'!$B$67&lt;=C313*12))),'Operating costs'!$B$66,0),"n.a."))</f>
        <v>0</v>
      </c>
      <c r="N313" s="16">
        <f>IF(NOT(Paths!$C$34=1),0,IF(Paths!$P$34="Complete",SUM(G313:I313)-J313-K313-L313+M313+IF(C313=0,Paths!$F$34,0)+IF(IF(Paths!$E$34=0,C313=0,AND(C313&gt;0,Paths!$E$34&gt;(C313-1)*12,Paths!$E$34&lt;=C313*12)),VLOOKUP(A313,'Fleet register'!$A$7:$S$106,16,FALSE),0),"n.a."))</f>
        <v>0</v>
      </c>
      <c r="O313" s="16">
        <f>IF(NOT(Paths!$C$34=1),0,IF(Paths!$P$34="Complete",N313-IF(C313=0,Paths!$F$34,0),"n.a."))</f>
        <v>0</v>
      </c>
      <c r="P313" s="16">
        <f>IF(NOT(Paths!$C$34=1),0,IF(Paths!$P$34="Complete",O313+L313,"n.a."))</f>
        <v>0</v>
      </c>
      <c r="Q313" s="16">
        <f>IF(NOT(Paths!$C$34=1),0,IF(Paths!$P$34="Complete",N313*(1+'Operating costs'!$B$54)^-C313,"n.a."))</f>
        <v>0</v>
      </c>
      <c r="R313" s="16">
        <f>IF(NOT(Paths!$C$34=1),0,IF(Paths!$P$34="Complete",IF(AND(C313=0,Paths!$E$34=0),I313-J313-K313+VLOOKUP(A313,'Fleet register'!$A$7:$S$106,15,FALSE)+VLOOKUP(A313,'Fleet register'!$A$7:$S$106,16,FALSE),0),"n.a."))</f>
        <v>0</v>
      </c>
      <c r="S313" s="1">
        <f>IF(NOT(Paths!$C$34=1),0,IF(Paths!$P$34="Complete",IF(C313=0,0,Paths!$S$34*Paths!$R$34),"n.a."))</f>
        <v>0</v>
      </c>
      <c r="T313" s="1">
        <f>IF(NOT(Paths!$C$34=1),0,IF(Paths!$P$34="Complete",IF(C313=0,0,VLOOKUP(A313,'Fleet register'!$A$7:$S$106,9,FALSE)*Paths!$R$34),"n.a."))</f>
        <v>0</v>
      </c>
    </row>
    <row r="314" spans="1:20" ht="24" customHeight="1">
      <c r="A314" s="1" t="str">
        <f>Paths!$A$34</f>
        <v>T007</v>
      </c>
      <c r="B314" s="1">
        <f>Paths!$B$34</f>
        <v>3</v>
      </c>
      <c r="C314" s="1">
        <v>10</v>
      </c>
      <c r="D314" s="1">
        <v>34</v>
      </c>
      <c r="E314" s="1">
        <f>IF(OR(Paths!$C$34=0,C314=0),0,MAX(0,MIN(C314*12,Paths!$E$34)-(C314-1)*12))</f>
        <v>0</v>
      </c>
      <c r="F314" s="1">
        <f>IF(OR(Paths!$C$34=0,C314=0),0,12-E314)</f>
        <v>0</v>
      </c>
      <c r="G314" s="16">
        <f>IF(NOT(Paths!$C$34=1),0,IF(Paths!$P$34="Complete",E314/12*(Paths!$J$34*(1+'Operating costs'!$B$51)^MAX(0,C314-1)+Paths!$K$34*(1+'Operating costs'!$B$53)^MAX(0,C314-1)),"n.a."))</f>
        <v>0</v>
      </c>
      <c r="H314" s="16">
        <f>IF(NOT(Paths!$C$34=1),0,IF(Paths!$P$34="Complete",F314/12*(Paths!$L$34*(1+IF(Paths!$D$34="EV",'Operating costs'!$B$52,'Operating costs'!$B$51))^MAX(0,C314-1)+Paths!$M$34*(1+'Operating costs'!$B$53)^MAX(0,C314-1)),"n.a."))</f>
        <v>0</v>
      </c>
      <c r="I314" s="16">
        <f>IF(NOT(Paths!$C$34=1),0,IF(Paths!$P$34="Complete",IF(IF(Paths!$E$34=0,C314=0,AND(C314&gt;0,Paths!$E$34&gt;(C314-1)*12,Paths!$E$34&lt;=C314*12)),Paths!$G$34,0),"n.a."))</f>
        <v>0</v>
      </c>
      <c r="J314" s="16">
        <f>IF(NOT(Paths!$C$34=1),0,IF(Paths!$P$34="Complete",IF(IF(Paths!$E$34=0,C314=0,AND(C314&gt;0,Paths!$E$34&gt;(C314-1)*12,Paths!$E$34&lt;=C314*12)),Paths!$H$34,0),"n.a."))</f>
        <v>0</v>
      </c>
      <c r="K314" s="16">
        <f>IF(NOT(Paths!$C$34=1),0,IF(Paths!$P$34="Complete",IF(IF(Paths!$O$34=0,C314=0,AND(C314&gt;0,Paths!$O$34&gt;(C314-1)*12,Paths!$O$34&lt;=C314*12)),Paths!$N$34,0),"n.a."))</f>
        <v>0</v>
      </c>
      <c r="L314" s="16">
        <f>IF(NOT(Paths!$C$34=1),0,IF(Paths!$P$34="Complete",IF(C314=10,Paths!$I$34,0),"n.a."))</f>
        <v>0</v>
      </c>
      <c r="M314" s="16">
        <f>IF(NOT(Paths!$C$34=1),0,IF(Paths!$P$34="Complete",IF(AND(Paths!$D$34="EV",Paths!$E$34&lt;120,Paths!$E$34+'Operating costs'!$B$65&gt;Paths!$E$34,Paths!$E$34+'Operating costs'!$B$65&lt;=120,IF(Paths!$E$34+'Operating costs'!$B$65=0,C314=0,AND(C314&gt;0,Paths!$E$34+'Operating costs'!$B$65&gt;(C314-1)*12,Paths!$E$34+'Operating costs'!$B$65&lt;=C314*12))),'Operating costs'!$B$64,0)+IF(AND('Operating costs'!$B$67&gt;0,'Operating costs'!$B$67&lt;=120,OR(Paths!$D$34="ICE",'Operating costs'!$B$67&lt;=Paths!$E$34),IF('Operating costs'!$B$67=0,C314=0,AND(C314&gt;0,'Operating costs'!$B$67&gt;(C314-1)*12,'Operating costs'!$B$67&lt;=C314*12))),'Operating costs'!$B$66,0),"n.a."))</f>
        <v>0</v>
      </c>
      <c r="N314" s="16">
        <f>IF(NOT(Paths!$C$34=1),0,IF(Paths!$P$34="Complete",SUM(G314:I314)-J314-K314-L314+M314+IF(C314=0,Paths!$F$34,0)+IF(IF(Paths!$E$34=0,C314=0,AND(C314&gt;0,Paths!$E$34&gt;(C314-1)*12,Paths!$E$34&lt;=C314*12)),VLOOKUP(A314,'Fleet register'!$A$7:$S$106,16,FALSE),0),"n.a."))</f>
        <v>0</v>
      </c>
      <c r="O314" s="16">
        <f>IF(NOT(Paths!$C$34=1),0,IF(Paths!$P$34="Complete",N314-IF(C314=0,Paths!$F$34,0),"n.a."))</f>
        <v>0</v>
      </c>
      <c r="P314" s="16">
        <f>IF(NOT(Paths!$C$34=1),0,IF(Paths!$P$34="Complete",O314+L314,"n.a."))</f>
        <v>0</v>
      </c>
      <c r="Q314" s="16">
        <f>IF(NOT(Paths!$C$34=1),0,IF(Paths!$P$34="Complete",N314*(1+'Operating costs'!$B$54)^-C314,"n.a."))</f>
        <v>0</v>
      </c>
      <c r="R314" s="16">
        <f>IF(NOT(Paths!$C$34=1),0,IF(Paths!$P$34="Complete",IF(AND(C314=0,Paths!$E$34=0),I314-J314-K314+VLOOKUP(A314,'Fleet register'!$A$7:$S$106,15,FALSE)+VLOOKUP(A314,'Fleet register'!$A$7:$S$106,16,FALSE),0),"n.a."))</f>
        <v>0</v>
      </c>
      <c r="S314" s="1">
        <f>IF(NOT(Paths!$C$34=1),0,IF(Paths!$P$34="Complete",IF(C314=0,0,Paths!$S$34*Paths!$R$34),"n.a."))</f>
        <v>0</v>
      </c>
      <c r="T314" s="1">
        <f>IF(NOT(Paths!$C$34=1),0,IF(Paths!$P$34="Complete",IF(C314=0,0,VLOOKUP(A314,'Fleet register'!$A$7:$S$106,9,FALSE)*Paths!$R$34),"n.a."))</f>
        <v>0</v>
      </c>
    </row>
    <row r="315" spans="1:20" ht="24" customHeight="1">
      <c r="A315" s="1" t="str">
        <f>Paths!$A$35</f>
        <v>T008</v>
      </c>
      <c r="B315" s="1">
        <f>Paths!$B$35</f>
        <v>0</v>
      </c>
      <c r="C315" s="1">
        <v>0</v>
      </c>
      <c r="D315" s="1">
        <v>35</v>
      </c>
      <c r="E315" s="1">
        <f>IF(OR(Paths!$C$35=0,C315=0),0,MAX(0,MIN(C315*12,Paths!$E$35)-(C315-1)*12))</f>
        <v>0</v>
      </c>
      <c r="F315" s="1">
        <f>IF(OR(Paths!$C$35=0,C315=0),0,12-E315)</f>
        <v>0</v>
      </c>
      <c r="G315" s="16">
        <f>IF(NOT(Paths!$C$35=1),0,IF(Paths!$P$35="Complete",E315/12*(Paths!$J$35*(1+'Operating costs'!$B$51)^MAX(0,C315-1)+Paths!$K$35*(1+'Operating costs'!$B$53)^MAX(0,C315-1)),"n.a."))</f>
        <v>0</v>
      </c>
      <c r="H315" s="16">
        <f>IF(NOT(Paths!$C$35=1),0,IF(Paths!$P$35="Complete",F315/12*(Paths!$L$35*(1+IF(Paths!$D$35="EV",'Operating costs'!$B$52,'Operating costs'!$B$51))^MAX(0,C315-1)+Paths!$M$35*(1+'Operating costs'!$B$53)^MAX(0,C315-1)),"n.a."))</f>
        <v>0</v>
      </c>
      <c r="I315" s="16">
        <f>IF(NOT(Paths!$C$35=1),0,IF(Paths!$P$35="Complete",IF(IF(Paths!$E$35=0,C315=0,AND(C315&gt;0,Paths!$E$35&gt;(C315-1)*12,Paths!$E$35&lt;=C315*12)),Paths!$G$35,0),"n.a."))</f>
        <v>0</v>
      </c>
      <c r="J315" s="16">
        <f>IF(NOT(Paths!$C$35=1),0,IF(Paths!$P$35="Complete",IF(IF(Paths!$E$35=0,C315=0,AND(C315&gt;0,Paths!$E$35&gt;(C315-1)*12,Paths!$E$35&lt;=C315*12)),Paths!$H$35,0),"n.a."))</f>
        <v>0</v>
      </c>
      <c r="K315" s="16">
        <f>IF(NOT(Paths!$C$35=1),0,IF(Paths!$P$35="Complete",IF(IF(Paths!$O$35=0,C315=0,AND(C315&gt;0,Paths!$O$35&gt;(C315-1)*12,Paths!$O$35&lt;=C315*12)),Paths!$N$35,0),"n.a."))</f>
        <v>0</v>
      </c>
      <c r="L315" s="16">
        <f>IF(NOT(Paths!$C$35=1),0,IF(Paths!$P$35="Complete",IF(C315=10,Paths!$I$35,0),"n.a."))</f>
        <v>0</v>
      </c>
      <c r="M315" s="16">
        <f>IF(NOT(Paths!$C$35=1),0,IF(Paths!$P$35="Complete",IF(AND(Paths!$D$35="EV",Paths!$E$35&lt;120,Paths!$E$35+'Operating costs'!$B$65&gt;Paths!$E$35,Paths!$E$35+'Operating costs'!$B$65&lt;=120,IF(Paths!$E$35+'Operating costs'!$B$65=0,C315=0,AND(C315&gt;0,Paths!$E$35+'Operating costs'!$B$65&gt;(C315-1)*12,Paths!$E$35+'Operating costs'!$B$65&lt;=C315*12))),'Operating costs'!$B$64,0)+IF(AND('Operating costs'!$B$67&gt;0,'Operating costs'!$B$67&lt;=120,OR(Paths!$D$35="ICE",'Operating costs'!$B$67&lt;=Paths!$E$35),IF('Operating costs'!$B$67=0,C315=0,AND(C315&gt;0,'Operating costs'!$B$67&gt;(C315-1)*12,'Operating costs'!$B$67&lt;=C315*12))),'Operating costs'!$B$66,0),"n.a."))</f>
        <v>0</v>
      </c>
      <c r="N315" s="16">
        <f>IF(NOT(Paths!$C$35=1),0,IF(Paths!$P$35="Complete",SUM(G315:I315)-J315-K315-L315+M315+IF(C315=0,Paths!$F$35,0)+IF(IF(Paths!$E$35=0,C315=0,AND(C315&gt;0,Paths!$E$35&gt;(C315-1)*12,Paths!$E$35&lt;=C315*12)),VLOOKUP(A315,'Fleet register'!$A$7:$S$106,16,FALSE),0),"n.a."))</f>
        <v>0</v>
      </c>
      <c r="O315" s="16">
        <f>IF(NOT(Paths!$C$35=1),0,IF(Paths!$P$35="Complete",N315-IF(C315=0,Paths!$F$35,0),"n.a."))</f>
        <v>0</v>
      </c>
      <c r="P315" s="16">
        <f>IF(NOT(Paths!$C$35=1),0,IF(Paths!$P$35="Complete",O315+L315,"n.a."))</f>
        <v>0</v>
      </c>
      <c r="Q315" s="16">
        <f>IF(NOT(Paths!$C$35=1),0,IF(Paths!$P$35="Complete",N315*(1+'Operating costs'!$B$54)^-C315,"n.a."))</f>
        <v>0</v>
      </c>
      <c r="R315" s="16">
        <f>IF(NOT(Paths!$C$35=1),0,IF(Paths!$P$35="Complete",IF(AND(C315=0,Paths!$E$35=0),I315-J315-K315+VLOOKUP(A315,'Fleet register'!$A$7:$S$106,15,FALSE)+VLOOKUP(A315,'Fleet register'!$A$7:$S$106,16,FALSE),0),"n.a."))</f>
        <v>0</v>
      </c>
      <c r="S315" s="1">
        <f>IF(NOT(Paths!$C$35=1),0,IF(Paths!$P$35="Complete",IF(C315=0,0,Paths!$S$35*Paths!$R$35),"n.a."))</f>
        <v>0</v>
      </c>
      <c r="T315" s="1">
        <f>IF(NOT(Paths!$C$35=1),0,IF(Paths!$P$35="Complete",IF(C315=0,0,VLOOKUP(A315,'Fleet register'!$A$7:$S$106,9,FALSE)*Paths!$R$35),"n.a."))</f>
        <v>0</v>
      </c>
    </row>
    <row r="316" spans="1:20" ht="24" customHeight="1">
      <c r="A316" s="1" t="str">
        <f>Paths!$A$35</f>
        <v>T008</v>
      </c>
      <c r="B316" s="1">
        <f>Paths!$B$35</f>
        <v>0</v>
      </c>
      <c r="C316" s="1">
        <v>1</v>
      </c>
      <c r="D316" s="1">
        <v>35</v>
      </c>
      <c r="E316" s="1">
        <f>IF(OR(Paths!$C$35=0,C316=0),0,MAX(0,MIN(C316*12,Paths!$E$35)-(C316-1)*12))</f>
        <v>0</v>
      </c>
      <c r="F316" s="1">
        <f>IF(OR(Paths!$C$35=0,C316=0),0,12-E316)</f>
        <v>0</v>
      </c>
      <c r="G316" s="16">
        <f>IF(NOT(Paths!$C$35=1),0,IF(Paths!$P$35="Complete",E316/12*(Paths!$J$35*(1+'Operating costs'!$B$51)^MAX(0,C316-1)+Paths!$K$35*(1+'Operating costs'!$B$53)^MAX(0,C316-1)),"n.a."))</f>
        <v>0</v>
      </c>
      <c r="H316" s="16">
        <f>IF(NOT(Paths!$C$35=1),0,IF(Paths!$P$35="Complete",F316/12*(Paths!$L$35*(1+IF(Paths!$D$35="EV",'Operating costs'!$B$52,'Operating costs'!$B$51))^MAX(0,C316-1)+Paths!$M$35*(1+'Operating costs'!$B$53)^MAX(0,C316-1)),"n.a."))</f>
        <v>0</v>
      </c>
      <c r="I316" s="16">
        <f>IF(NOT(Paths!$C$35=1),0,IF(Paths!$P$35="Complete",IF(IF(Paths!$E$35=0,C316=0,AND(C316&gt;0,Paths!$E$35&gt;(C316-1)*12,Paths!$E$35&lt;=C316*12)),Paths!$G$35,0),"n.a."))</f>
        <v>0</v>
      </c>
      <c r="J316" s="16">
        <f>IF(NOT(Paths!$C$35=1),0,IF(Paths!$P$35="Complete",IF(IF(Paths!$E$35=0,C316=0,AND(C316&gt;0,Paths!$E$35&gt;(C316-1)*12,Paths!$E$35&lt;=C316*12)),Paths!$H$35,0),"n.a."))</f>
        <v>0</v>
      </c>
      <c r="K316" s="16">
        <f>IF(NOT(Paths!$C$35=1),0,IF(Paths!$P$35="Complete",IF(IF(Paths!$O$35=0,C316=0,AND(C316&gt;0,Paths!$O$35&gt;(C316-1)*12,Paths!$O$35&lt;=C316*12)),Paths!$N$35,0),"n.a."))</f>
        <v>0</v>
      </c>
      <c r="L316" s="16">
        <f>IF(NOT(Paths!$C$35=1),0,IF(Paths!$P$35="Complete",IF(C316=10,Paths!$I$35,0),"n.a."))</f>
        <v>0</v>
      </c>
      <c r="M316" s="16">
        <f>IF(NOT(Paths!$C$35=1),0,IF(Paths!$P$35="Complete",IF(AND(Paths!$D$35="EV",Paths!$E$35&lt;120,Paths!$E$35+'Operating costs'!$B$65&gt;Paths!$E$35,Paths!$E$35+'Operating costs'!$B$65&lt;=120,IF(Paths!$E$35+'Operating costs'!$B$65=0,C316=0,AND(C316&gt;0,Paths!$E$35+'Operating costs'!$B$65&gt;(C316-1)*12,Paths!$E$35+'Operating costs'!$B$65&lt;=C316*12))),'Operating costs'!$B$64,0)+IF(AND('Operating costs'!$B$67&gt;0,'Operating costs'!$B$67&lt;=120,OR(Paths!$D$35="ICE",'Operating costs'!$B$67&lt;=Paths!$E$35),IF('Operating costs'!$B$67=0,C316=0,AND(C316&gt;0,'Operating costs'!$B$67&gt;(C316-1)*12,'Operating costs'!$B$67&lt;=C316*12))),'Operating costs'!$B$66,0),"n.a."))</f>
        <v>0</v>
      </c>
      <c r="N316" s="16">
        <f>IF(NOT(Paths!$C$35=1),0,IF(Paths!$P$35="Complete",SUM(G316:I316)-J316-K316-L316+M316+IF(C316=0,Paths!$F$35,0)+IF(IF(Paths!$E$35=0,C316=0,AND(C316&gt;0,Paths!$E$35&gt;(C316-1)*12,Paths!$E$35&lt;=C316*12)),VLOOKUP(A316,'Fleet register'!$A$7:$S$106,16,FALSE),0),"n.a."))</f>
        <v>0</v>
      </c>
      <c r="O316" s="16">
        <f>IF(NOT(Paths!$C$35=1),0,IF(Paths!$P$35="Complete",N316-IF(C316=0,Paths!$F$35,0),"n.a."))</f>
        <v>0</v>
      </c>
      <c r="P316" s="16">
        <f>IF(NOT(Paths!$C$35=1),0,IF(Paths!$P$35="Complete",O316+L316,"n.a."))</f>
        <v>0</v>
      </c>
      <c r="Q316" s="16">
        <f>IF(NOT(Paths!$C$35=1),0,IF(Paths!$P$35="Complete",N316*(1+'Operating costs'!$B$54)^-C316,"n.a."))</f>
        <v>0</v>
      </c>
      <c r="R316" s="16">
        <f>IF(NOT(Paths!$C$35=1),0,IF(Paths!$P$35="Complete",IF(AND(C316=0,Paths!$E$35=0),I316-J316-K316+VLOOKUP(A316,'Fleet register'!$A$7:$S$106,15,FALSE)+VLOOKUP(A316,'Fleet register'!$A$7:$S$106,16,FALSE),0),"n.a."))</f>
        <v>0</v>
      </c>
      <c r="S316" s="1">
        <f>IF(NOT(Paths!$C$35=1),0,IF(Paths!$P$35="Complete",IF(C316=0,0,Paths!$S$35*Paths!$R$35),"n.a."))</f>
        <v>0</v>
      </c>
      <c r="T316" s="1">
        <f>IF(NOT(Paths!$C$35=1),0,IF(Paths!$P$35="Complete",IF(C316=0,0,VLOOKUP(A316,'Fleet register'!$A$7:$S$106,9,FALSE)*Paths!$R$35),"n.a."))</f>
        <v>0</v>
      </c>
    </row>
    <row r="317" spans="1:20" ht="24" customHeight="1">
      <c r="A317" s="1" t="str">
        <f>Paths!$A$35</f>
        <v>T008</v>
      </c>
      <c r="B317" s="1">
        <f>Paths!$B$35</f>
        <v>0</v>
      </c>
      <c r="C317" s="1">
        <v>2</v>
      </c>
      <c r="D317" s="1">
        <v>35</v>
      </c>
      <c r="E317" s="1">
        <f>IF(OR(Paths!$C$35=0,C317=0),0,MAX(0,MIN(C317*12,Paths!$E$35)-(C317-1)*12))</f>
        <v>0</v>
      </c>
      <c r="F317" s="1">
        <f>IF(OR(Paths!$C$35=0,C317=0),0,12-E317)</f>
        <v>0</v>
      </c>
      <c r="G317" s="16">
        <f>IF(NOT(Paths!$C$35=1),0,IF(Paths!$P$35="Complete",E317/12*(Paths!$J$35*(1+'Operating costs'!$B$51)^MAX(0,C317-1)+Paths!$K$35*(1+'Operating costs'!$B$53)^MAX(0,C317-1)),"n.a."))</f>
        <v>0</v>
      </c>
      <c r="H317" s="16">
        <f>IF(NOT(Paths!$C$35=1),0,IF(Paths!$P$35="Complete",F317/12*(Paths!$L$35*(1+IF(Paths!$D$35="EV",'Operating costs'!$B$52,'Operating costs'!$B$51))^MAX(0,C317-1)+Paths!$M$35*(1+'Operating costs'!$B$53)^MAX(0,C317-1)),"n.a."))</f>
        <v>0</v>
      </c>
      <c r="I317" s="16">
        <f>IF(NOT(Paths!$C$35=1),0,IF(Paths!$P$35="Complete",IF(IF(Paths!$E$35=0,C317=0,AND(C317&gt;0,Paths!$E$35&gt;(C317-1)*12,Paths!$E$35&lt;=C317*12)),Paths!$G$35,0),"n.a."))</f>
        <v>0</v>
      </c>
      <c r="J317" s="16">
        <f>IF(NOT(Paths!$C$35=1),0,IF(Paths!$P$35="Complete",IF(IF(Paths!$E$35=0,C317=0,AND(C317&gt;0,Paths!$E$35&gt;(C317-1)*12,Paths!$E$35&lt;=C317*12)),Paths!$H$35,0),"n.a."))</f>
        <v>0</v>
      </c>
      <c r="K317" s="16">
        <f>IF(NOT(Paths!$C$35=1),0,IF(Paths!$P$35="Complete",IF(IF(Paths!$O$35=0,C317=0,AND(C317&gt;0,Paths!$O$35&gt;(C317-1)*12,Paths!$O$35&lt;=C317*12)),Paths!$N$35,0),"n.a."))</f>
        <v>0</v>
      </c>
      <c r="L317" s="16">
        <f>IF(NOT(Paths!$C$35=1),0,IF(Paths!$P$35="Complete",IF(C317=10,Paths!$I$35,0),"n.a."))</f>
        <v>0</v>
      </c>
      <c r="M317" s="16">
        <f>IF(NOT(Paths!$C$35=1),0,IF(Paths!$P$35="Complete",IF(AND(Paths!$D$35="EV",Paths!$E$35&lt;120,Paths!$E$35+'Operating costs'!$B$65&gt;Paths!$E$35,Paths!$E$35+'Operating costs'!$B$65&lt;=120,IF(Paths!$E$35+'Operating costs'!$B$65=0,C317=0,AND(C317&gt;0,Paths!$E$35+'Operating costs'!$B$65&gt;(C317-1)*12,Paths!$E$35+'Operating costs'!$B$65&lt;=C317*12))),'Operating costs'!$B$64,0)+IF(AND('Operating costs'!$B$67&gt;0,'Operating costs'!$B$67&lt;=120,OR(Paths!$D$35="ICE",'Operating costs'!$B$67&lt;=Paths!$E$35),IF('Operating costs'!$B$67=0,C317=0,AND(C317&gt;0,'Operating costs'!$B$67&gt;(C317-1)*12,'Operating costs'!$B$67&lt;=C317*12))),'Operating costs'!$B$66,0),"n.a."))</f>
        <v>0</v>
      </c>
      <c r="N317" s="16">
        <f>IF(NOT(Paths!$C$35=1),0,IF(Paths!$P$35="Complete",SUM(G317:I317)-J317-K317-L317+M317+IF(C317=0,Paths!$F$35,0)+IF(IF(Paths!$E$35=0,C317=0,AND(C317&gt;0,Paths!$E$35&gt;(C317-1)*12,Paths!$E$35&lt;=C317*12)),VLOOKUP(A317,'Fleet register'!$A$7:$S$106,16,FALSE),0),"n.a."))</f>
        <v>0</v>
      </c>
      <c r="O317" s="16">
        <f>IF(NOT(Paths!$C$35=1),0,IF(Paths!$P$35="Complete",N317-IF(C317=0,Paths!$F$35,0),"n.a."))</f>
        <v>0</v>
      </c>
      <c r="P317" s="16">
        <f>IF(NOT(Paths!$C$35=1),0,IF(Paths!$P$35="Complete",O317+L317,"n.a."))</f>
        <v>0</v>
      </c>
      <c r="Q317" s="16">
        <f>IF(NOT(Paths!$C$35=1),0,IF(Paths!$P$35="Complete",N317*(1+'Operating costs'!$B$54)^-C317,"n.a."))</f>
        <v>0</v>
      </c>
      <c r="R317" s="16">
        <f>IF(NOT(Paths!$C$35=1),0,IF(Paths!$P$35="Complete",IF(AND(C317=0,Paths!$E$35=0),I317-J317-K317+VLOOKUP(A317,'Fleet register'!$A$7:$S$106,15,FALSE)+VLOOKUP(A317,'Fleet register'!$A$7:$S$106,16,FALSE),0),"n.a."))</f>
        <v>0</v>
      </c>
      <c r="S317" s="1">
        <f>IF(NOT(Paths!$C$35=1),0,IF(Paths!$P$35="Complete",IF(C317=0,0,Paths!$S$35*Paths!$R$35),"n.a."))</f>
        <v>0</v>
      </c>
      <c r="T317" s="1">
        <f>IF(NOT(Paths!$C$35=1),0,IF(Paths!$P$35="Complete",IF(C317=0,0,VLOOKUP(A317,'Fleet register'!$A$7:$S$106,9,FALSE)*Paths!$R$35),"n.a."))</f>
        <v>0</v>
      </c>
    </row>
    <row r="318" spans="1:20" ht="24" customHeight="1">
      <c r="A318" s="1" t="str">
        <f>Paths!$A$35</f>
        <v>T008</v>
      </c>
      <c r="B318" s="1">
        <f>Paths!$B$35</f>
        <v>0</v>
      </c>
      <c r="C318" s="1">
        <v>3</v>
      </c>
      <c r="D318" s="1">
        <v>35</v>
      </c>
      <c r="E318" s="1">
        <f>IF(OR(Paths!$C$35=0,C318=0),0,MAX(0,MIN(C318*12,Paths!$E$35)-(C318-1)*12))</f>
        <v>0</v>
      </c>
      <c r="F318" s="1">
        <f>IF(OR(Paths!$C$35=0,C318=0),0,12-E318)</f>
        <v>0</v>
      </c>
      <c r="G318" s="16">
        <f>IF(NOT(Paths!$C$35=1),0,IF(Paths!$P$35="Complete",E318/12*(Paths!$J$35*(1+'Operating costs'!$B$51)^MAX(0,C318-1)+Paths!$K$35*(1+'Operating costs'!$B$53)^MAX(0,C318-1)),"n.a."))</f>
        <v>0</v>
      </c>
      <c r="H318" s="16">
        <f>IF(NOT(Paths!$C$35=1),0,IF(Paths!$P$35="Complete",F318/12*(Paths!$L$35*(1+IF(Paths!$D$35="EV",'Operating costs'!$B$52,'Operating costs'!$B$51))^MAX(0,C318-1)+Paths!$M$35*(1+'Operating costs'!$B$53)^MAX(0,C318-1)),"n.a."))</f>
        <v>0</v>
      </c>
      <c r="I318" s="16">
        <f>IF(NOT(Paths!$C$35=1),0,IF(Paths!$P$35="Complete",IF(IF(Paths!$E$35=0,C318=0,AND(C318&gt;0,Paths!$E$35&gt;(C318-1)*12,Paths!$E$35&lt;=C318*12)),Paths!$G$35,0),"n.a."))</f>
        <v>0</v>
      </c>
      <c r="J318" s="16">
        <f>IF(NOT(Paths!$C$35=1),0,IF(Paths!$P$35="Complete",IF(IF(Paths!$E$35=0,C318=0,AND(C318&gt;0,Paths!$E$35&gt;(C318-1)*12,Paths!$E$35&lt;=C318*12)),Paths!$H$35,0),"n.a."))</f>
        <v>0</v>
      </c>
      <c r="K318" s="16">
        <f>IF(NOT(Paths!$C$35=1),0,IF(Paths!$P$35="Complete",IF(IF(Paths!$O$35=0,C318=0,AND(C318&gt;0,Paths!$O$35&gt;(C318-1)*12,Paths!$O$35&lt;=C318*12)),Paths!$N$35,0),"n.a."))</f>
        <v>0</v>
      </c>
      <c r="L318" s="16">
        <f>IF(NOT(Paths!$C$35=1),0,IF(Paths!$P$35="Complete",IF(C318=10,Paths!$I$35,0),"n.a."))</f>
        <v>0</v>
      </c>
      <c r="M318" s="16">
        <f>IF(NOT(Paths!$C$35=1),0,IF(Paths!$P$35="Complete",IF(AND(Paths!$D$35="EV",Paths!$E$35&lt;120,Paths!$E$35+'Operating costs'!$B$65&gt;Paths!$E$35,Paths!$E$35+'Operating costs'!$B$65&lt;=120,IF(Paths!$E$35+'Operating costs'!$B$65=0,C318=0,AND(C318&gt;0,Paths!$E$35+'Operating costs'!$B$65&gt;(C318-1)*12,Paths!$E$35+'Operating costs'!$B$65&lt;=C318*12))),'Operating costs'!$B$64,0)+IF(AND('Operating costs'!$B$67&gt;0,'Operating costs'!$B$67&lt;=120,OR(Paths!$D$35="ICE",'Operating costs'!$B$67&lt;=Paths!$E$35),IF('Operating costs'!$B$67=0,C318=0,AND(C318&gt;0,'Operating costs'!$B$67&gt;(C318-1)*12,'Operating costs'!$B$67&lt;=C318*12))),'Operating costs'!$B$66,0),"n.a."))</f>
        <v>0</v>
      </c>
      <c r="N318" s="16">
        <f>IF(NOT(Paths!$C$35=1),0,IF(Paths!$P$35="Complete",SUM(G318:I318)-J318-K318-L318+M318+IF(C318=0,Paths!$F$35,0)+IF(IF(Paths!$E$35=0,C318=0,AND(C318&gt;0,Paths!$E$35&gt;(C318-1)*12,Paths!$E$35&lt;=C318*12)),VLOOKUP(A318,'Fleet register'!$A$7:$S$106,16,FALSE),0),"n.a."))</f>
        <v>0</v>
      </c>
      <c r="O318" s="16">
        <f>IF(NOT(Paths!$C$35=1),0,IF(Paths!$P$35="Complete",N318-IF(C318=0,Paths!$F$35,0),"n.a."))</f>
        <v>0</v>
      </c>
      <c r="P318" s="16">
        <f>IF(NOT(Paths!$C$35=1),0,IF(Paths!$P$35="Complete",O318+L318,"n.a."))</f>
        <v>0</v>
      </c>
      <c r="Q318" s="16">
        <f>IF(NOT(Paths!$C$35=1),0,IF(Paths!$P$35="Complete",N318*(1+'Operating costs'!$B$54)^-C318,"n.a."))</f>
        <v>0</v>
      </c>
      <c r="R318" s="16">
        <f>IF(NOT(Paths!$C$35=1),0,IF(Paths!$P$35="Complete",IF(AND(C318=0,Paths!$E$35=0),I318-J318-K318+VLOOKUP(A318,'Fleet register'!$A$7:$S$106,15,FALSE)+VLOOKUP(A318,'Fleet register'!$A$7:$S$106,16,FALSE),0),"n.a."))</f>
        <v>0</v>
      </c>
      <c r="S318" s="1">
        <f>IF(NOT(Paths!$C$35=1),0,IF(Paths!$P$35="Complete",IF(C318=0,0,Paths!$S$35*Paths!$R$35),"n.a."))</f>
        <v>0</v>
      </c>
      <c r="T318" s="1">
        <f>IF(NOT(Paths!$C$35=1),0,IF(Paths!$P$35="Complete",IF(C318=0,0,VLOOKUP(A318,'Fleet register'!$A$7:$S$106,9,FALSE)*Paths!$R$35),"n.a."))</f>
        <v>0</v>
      </c>
    </row>
    <row r="319" spans="1:20" ht="24" customHeight="1">
      <c r="A319" s="1" t="str">
        <f>Paths!$A$35</f>
        <v>T008</v>
      </c>
      <c r="B319" s="1">
        <f>Paths!$B$35</f>
        <v>0</v>
      </c>
      <c r="C319" s="1">
        <v>4</v>
      </c>
      <c r="D319" s="1">
        <v>35</v>
      </c>
      <c r="E319" s="1">
        <f>IF(OR(Paths!$C$35=0,C319=0),0,MAX(0,MIN(C319*12,Paths!$E$35)-(C319-1)*12))</f>
        <v>0</v>
      </c>
      <c r="F319" s="1">
        <f>IF(OR(Paths!$C$35=0,C319=0),0,12-E319)</f>
        <v>0</v>
      </c>
      <c r="G319" s="16">
        <f>IF(NOT(Paths!$C$35=1),0,IF(Paths!$P$35="Complete",E319/12*(Paths!$J$35*(1+'Operating costs'!$B$51)^MAX(0,C319-1)+Paths!$K$35*(1+'Operating costs'!$B$53)^MAX(0,C319-1)),"n.a."))</f>
        <v>0</v>
      </c>
      <c r="H319" s="16">
        <f>IF(NOT(Paths!$C$35=1),0,IF(Paths!$P$35="Complete",F319/12*(Paths!$L$35*(1+IF(Paths!$D$35="EV",'Operating costs'!$B$52,'Operating costs'!$B$51))^MAX(0,C319-1)+Paths!$M$35*(1+'Operating costs'!$B$53)^MAX(0,C319-1)),"n.a."))</f>
        <v>0</v>
      </c>
      <c r="I319" s="16">
        <f>IF(NOT(Paths!$C$35=1),0,IF(Paths!$P$35="Complete",IF(IF(Paths!$E$35=0,C319=0,AND(C319&gt;0,Paths!$E$35&gt;(C319-1)*12,Paths!$E$35&lt;=C319*12)),Paths!$G$35,0),"n.a."))</f>
        <v>0</v>
      </c>
      <c r="J319" s="16">
        <f>IF(NOT(Paths!$C$35=1),0,IF(Paths!$P$35="Complete",IF(IF(Paths!$E$35=0,C319=0,AND(C319&gt;0,Paths!$E$35&gt;(C319-1)*12,Paths!$E$35&lt;=C319*12)),Paths!$H$35,0),"n.a."))</f>
        <v>0</v>
      </c>
      <c r="K319" s="16">
        <f>IF(NOT(Paths!$C$35=1),0,IF(Paths!$P$35="Complete",IF(IF(Paths!$O$35=0,C319=0,AND(C319&gt;0,Paths!$O$35&gt;(C319-1)*12,Paths!$O$35&lt;=C319*12)),Paths!$N$35,0),"n.a."))</f>
        <v>0</v>
      </c>
      <c r="L319" s="16">
        <f>IF(NOT(Paths!$C$35=1),0,IF(Paths!$P$35="Complete",IF(C319=10,Paths!$I$35,0),"n.a."))</f>
        <v>0</v>
      </c>
      <c r="M319" s="16">
        <f>IF(NOT(Paths!$C$35=1),0,IF(Paths!$P$35="Complete",IF(AND(Paths!$D$35="EV",Paths!$E$35&lt;120,Paths!$E$35+'Operating costs'!$B$65&gt;Paths!$E$35,Paths!$E$35+'Operating costs'!$B$65&lt;=120,IF(Paths!$E$35+'Operating costs'!$B$65=0,C319=0,AND(C319&gt;0,Paths!$E$35+'Operating costs'!$B$65&gt;(C319-1)*12,Paths!$E$35+'Operating costs'!$B$65&lt;=C319*12))),'Operating costs'!$B$64,0)+IF(AND('Operating costs'!$B$67&gt;0,'Operating costs'!$B$67&lt;=120,OR(Paths!$D$35="ICE",'Operating costs'!$B$67&lt;=Paths!$E$35),IF('Operating costs'!$B$67=0,C319=0,AND(C319&gt;0,'Operating costs'!$B$67&gt;(C319-1)*12,'Operating costs'!$B$67&lt;=C319*12))),'Operating costs'!$B$66,0),"n.a."))</f>
        <v>0</v>
      </c>
      <c r="N319" s="16">
        <f>IF(NOT(Paths!$C$35=1),0,IF(Paths!$P$35="Complete",SUM(G319:I319)-J319-K319-L319+M319+IF(C319=0,Paths!$F$35,0)+IF(IF(Paths!$E$35=0,C319=0,AND(C319&gt;0,Paths!$E$35&gt;(C319-1)*12,Paths!$E$35&lt;=C319*12)),VLOOKUP(A319,'Fleet register'!$A$7:$S$106,16,FALSE),0),"n.a."))</f>
        <v>0</v>
      </c>
      <c r="O319" s="16">
        <f>IF(NOT(Paths!$C$35=1),0,IF(Paths!$P$35="Complete",N319-IF(C319=0,Paths!$F$35,0),"n.a."))</f>
        <v>0</v>
      </c>
      <c r="P319" s="16">
        <f>IF(NOT(Paths!$C$35=1),0,IF(Paths!$P$35="Complete",O319+L319,"n.a."))</f>
        <v>0</v>
      </c>
      <c r="Q319" s="16">
        <f>IF(NOT(Paths!$C$35=1),0,IF(Paths!$P$35="Complete",N319*(1+'Operating costs'!$B$54)^-C319,"n.a."))</f>
        <v>0</v>
      </c>
      <c r="R319" s="16">
        <f>IF(NOT(Paths!$C$35=1),0,IF(Paths!$P$35="Complete",IF(AND(C319=0,Paths!$E$35=0),I319-J319-K319+VLOOKUP(A319,'Fleet register'!$A$7:$S$106,15,FALSE)+VLOOKUP(A319,'Fleet register'!$A$7:$S$106,16,FALSE),0),"n.a."))</f>
        <v>0</v>
      </c>
      <c r="S319" s="1">
        <f>IF(NOT(Paths!$C$35=1),0,IF(Paths!$P$35="Complete",IF(C319=0,0,Paths!$S$35*Paths!$R$35),"n.a."))</f>
        <v>0</v>
      </c>
      <c r="T319" s="1">
        <f>IF(NOT(Paths!$C$35=1),0,IF(Paths!$P$35="Complete",IF(C319=0,0,VLOOKUP(A319,'Fleet register'!$A$7:$S$106,9,FALSE)*Paths!$R$35),"n.a."))</f>
        <v>0</v>
      </c>
    </row>
    <row r="320" spans="1:20" ht="24" customHeight="1">
      <c r="A320" s="1" t="str">
        <f>Paths!$A$35</f>
        <v>T008</v>
      </c>
      <c r="B320" s="1">
        <f>Paths!$B$35</f>
        <v>0</v>
      </c>
      <c r="C320" s="1">
        <v>5</v>
      </c>
      <c r="D320" s="1">
        <v>35</v>
      </c>
      <c r="E320" s="1">
        <f>IF(OR(Paths!$C$35=0,C320=0),0,MAX(0,MIN(C320*12,Paths!$E$35)-(C320-1)*12))</f>
        <v>0</v>
      </c>
      <c r="F320" s="1">
        <f>IF(OR(Paths!$C$35=0,C320=0),0,12-E320)</f>
        <v>0</v>
      </c>
      <c r="G320" s="16">
        <f>IF(NOT(Paths!$C$35=1),0,IF(Paths!$P$35="Complete",E320/12*(Paths!$J$35*(1+'Operating costs'!$B$51)^MAX(0,C320-1)+Paths!$K$35*(1+'Operating costs'!$B$53)^MAX(0,C320-1)),"n.a."))</f>
        <v>0</v>
      </c>
      <c r="H320" s="16">
        <f>IF(NOT(Paths!$C$35=1),0,IF(Paths!$P$35="Complete",F320/12*(Paths!$L$35*(1+IF(Paths!$D$35="EV",'Operating costs'!$B$52,'Operating costs'!$B$51))^MAX(0,C320-1)+Paths!$M$35*(1+'Operating costs'!$B$53)^MAX(0,C320-1)),"n.a."))</f>
        <v>0</v>
      </c>
      <c r="I320" s="16">
        <f>IF(NOT(Paths!$C$35=1),0,IF(Paths!$P$35="Complete",IF(IF(Paths!$E$35=0,C320=0,AND(C320&gt;0,Paths!$E$35&gt;(C320-1)*12,Paths!$E$35&lt;=C320*12)),Paths!$G$35,0),"n.a."))</f>
        <v>0</v>
      </c>
      <c r="J320" s="16">
        <f>IF(NOT(Paths!$C$35=1),0,IF(Paths!$P$35="Complete",IF(IF(Paths!$E$35=0,C320=0,AND(C320&gt;0,Paths!$E$35&gt;(C320-1)*12,Paths!$E$35&lt;=C320*12)),Paths!$H$35,0),"n.a."))</f>
        <v>0</v>
      </c>
      <c r="K320" s="16">
        <f>IF(NOT(Paths!$C$35=1),0,IF(Paths!$P$35="Complete",IF(IF(Paths!$O$35=0,C320=0,AND(C320&gt;0,Paths!$O$35&gt;(C320-1)*12,Paths!$O$35&lt;=C320*12)),Paths!$N$35,0),"n.a."))</f>
        <v>0</v>
      </c>
      <c r="L320" s="16">
        <f>IF(NOT(Paths!$C$35=1),0,IF(Paths!$P$35="Complete",IF(C320=10,Paths!$I$35,0),"n.a."))</f>
        <v>0</v>
      </c>
      <c r="M320" s="16">
        <f>IF(NOT(Paths!$C$35=1),0,IF(Paths!$P$35="Complete",IF(AND(Paths!$D$35="EV",Paths!$E$35&lt;120,Paths!$E$35+'Operating costs'!$B$65&gt;Paths!$E$35,Paths!$E$35+'Operating costs'!$B$65&lt;=120,IF(Paths!$E$35+'Operating costs'!$B$65=0,C320=0,AND(C320&gt;0,Paths!$E$35+'Operating costs'!$B$65&gt;(C320-1)*12,Paths!$E$35+'Operating costs'!$B$65&lt;=C320*12))),'Operating costs'!$B$64,0)+IF(AND('Operating costs'!$B$67&gt;0,'Operating costs'!$B$67&lt;=120,OR(Paths!$D$35="ICE",'Operating costs'!$B$67&lt;=Paths!$E$35),IF('Operating costs'!$B$67=0,C320=0,AND(C320&gt;0,'Operating costs'!$B$67&gt;(C320-1)*12,'Operating costs'!$B$67&lt;=C320*12))),'Operating costs'!$B$66,0),"n.a."))</f>
        <v>0</v>
      </c>
      <c r="N320" s="16">
        <f>IF(NOT(Paths!$C$35=1),0,IF(Paths!$P$35="Complete",SUM(G320:I320)-J320-K320-L320+M320+IF(C320=0,Paths!$F$35,0)+IF(IF(Paths!$E$35=0,C320=0,AND(C320&gt;0,Paths!$E$35&gt;(C320-1)*12,Paths!$E$35&lt;=C320*12)),VLOOKUP(A320,'Fleet register'!$A$7:$S$106,16,FALSE),0),"n.a."))</f>
        <v>0</v>
      </c>
      <c r="O320" s="16">
        <f>IF(NOT(Paths!$C$35=1),0,IF(Paths!$P$35="Complete",N320-IF(C320=0,Paths!$F$35,0),"n.a."))</f>
        <v>0</v>
      </c>
      <c r="P320" s="16">
        <f>IF(NOT(Paths!$C$35=1),0,IF(Paths!$P$35="Complete",O320+L320,"n.a."))</f>
        <v>0</v>
      </c>
      <c r="Q320" s="16">
        <f>IF(NOT(Paths!$C$35=1),0,IF(Paths!$P$35="Complete",N320*(1+'Operating costs'!$B$54)^-C320,"n.a."))</f>
        <v>0</v>
      </c>
      <c r="R320" s="16">
        <f>IF(NOT(Paths!$C$35=1),0,IF(Paths!$P$35="Complete",IF(AND(C320=0,Paths!$E$35=0),I320-J320-K320+VLOOKUP(A320,'Fleet register'!$A$7:$S$106,15,FALSE)+VLOOKUP(A320,'Fleet register'!$A$7:$S$106,16,FALSE),0),"n.a."))</f>
        <v>0</v>
      </c>
      <c r="S320" s="1">
        <f>IF(NOT(Paths!$C$35=1),0,IF(Paths!$P$35="Complete",IF(C320=0,0,Paths!$S$35*Paths!$R$35),"n.a."))</f>
        <v>0</v>
      </c>
      <c r="T320" s="1">
        <f>IF(NOT(Paths!$C$35=1),0,IF(Paths!$P$35="Complete",IF(C320=0,0,VLOOKUP(A320,'Fleet register'!$A$7:$S$106,9,FALSE)*Paths!$R$35),"n.a."))</f>
        <v>0</v>
      </c>
    </row>
    <row r="321" spans="1:20" ht="24" customHeight="1">
      <c r="A321" s="1" t="str">
        <f>Paths!$A$35</f>
        <v>T008</v>
      </c>
      <c r="B321" s="1">
        <f>Paths!$B$35</f>
        <v>0</v>
      </c>
      <c r="C321" s="1">
        <v>6</v>
      </c>
      <c r="D321" s="1">
        <v>35</v>
      </c>
      <c r="E321" s="1">
        <f>IF(OR(Paths!$C$35=0,C321=0),0,MAX(0,MIN(C321*12,Paths!$E$35)-(C321-1)*12))</f>
        <v>0</v>
      </c>
      <c r="F321" s="1">
        <f>IF(OR(Paths!$C$35=0,C321=0),0,12-E321)</f>
        <v>0</v>
      </c>
      <c r="G321" s="16">
        <f>IF(NOT(Paths!$C$35=1),0,IF(Paths!$P$35="Complete",E321/12*(Paths!$J$35*(1+'Operating costs'!$B$51)^MAX(0,C321-1)+Paths!$K$35*(1+'Operating costs'!$B$53)^MAX(0,C321-1)),"n.a."))</f>
        <v>0</v>
      </c>
      <c r="H321" s="16">
        <f>IF(NOT(Paths!$C$35=1),0,IF(Paths!$P$35="Complete",F321/12*(Paths!$L$35*(1+IF(Paths!$D$35="EV",'Operating costs'!$B$52,'Operating costs'!$B$51))^MAX(0,C321-1)+Paths!$M$35*(1+'Operating costs'!$B$53)^MAX(0,C321-1)),"n.a."))</f>
        <v>0</v>
      </c>
      <c r="I321" s="16">
        <f>IF(NOT(Paths!$C$35=1),0,IF(Paths!$P$35="Complete",IF(IF(Paths!$E$35=0,C321=0,AND(C321&gt;0,Paths!$E$35&gt;(C321-1)*12,Paths!$E$35&lt;=C321*12)),Paths!$G$35,0),"n.a."))</f>
        <v>0</v>
      </c>
      <c r="J321" s="16">
        <f>IF(NOT(Paths!$C$35=1),0,IF(Paths!$P$35="Complete",IF(IF(Paths!$E$35=0,C321=0,AND(C321&gt;0,Paths!$E$35&gt;(C321-1)*12,Paths!$E$35&lt;=C321*12)),Paths!$H$35,0),"n.a."))</f>
        <v>0</v>
      </c>
      <c r="K321" s="16">
        <f>IF(NOT(Paths!$C$35=1),0,IF(Paths!$P$35="Complete",IF(IF(Paths!$O$35=0,C321=0,AND(C321&gt;0,Paths!$O$35&gt;(C321-1)*12,Paths!$O$35&lt;=C321*12)),Paths!$N$35,0),"n.a."))</f>
        <v>0</v>
      </c>
      <c r="L321" s="16">
        <f>IF(NOT(Paths!$C$35=1),0,IF(Paths!$P$35="Complete",IF(C321=10,Paths!$I$35,0),"n.a."))</f>
        <v>0</v>
      </c>
      <c r="M321" s="16">
        <f>IF(NOT(Paths!$C$35=1),0,IF(Paths!$P$35="Complete",IF(AND(Paths!$D$35="EV",Paths!$E$35&lt;120,Paths!$E$35+'Operating costs'!$B$65&gt;Paths!$E$35,Paths!$E$35+'Operating costs'!$B$65&lt;=120,IF(Paths!$E$35+'Operating costs'!$B$65=0,C321=0,AND(C321&gt;0,Paths!$E$35+'Operating costs'!$B$65&gt;(C321-1)*12,Paths!$E$35+'Operating costs'!$B$65&lt;=C321*12))),'Operating costs'!$B$64,0)+IF(AND('Operating costs'!$B$67&gt;0,'Operating costs'!$B$67&lt;=120,OR(Paths!$D$35="ICE",'Operating costs'!$B$67&lt;=Paths!$E$35),IF('Operating costs'!$B$67=0,C321=0,AND(C321&gt;0,'Operating costs'!$B$67&gt;(C321-1)*12,'Operating costs'!$B$67&lt;=C321*12))),'Operating costs'!$B$66,0),"n.a."))</f>
        <v>0</v>
      </c>
      <c r="N321" s="16">
        <f>IF(NOT(Paths!$C$35=1),0,IF(Paths!$P$35="Complete",SUM(G321:I321)-J321-K321-L321+M321+IF(C321=0,Paths!$F$35,0)+IF(IF(Paths!$E$35=0,C321=0,AND(C321&gt;0,Paths!$E$35&gt;(C321-1)*12,Paths!$E$35&lt;=C321*12)),VLOOKUP(A321,'Fleet register'!$A$7:$S$106,16,FALSE),0),"n.a."))</f>
        <v>0</v>
      </c>
      <c r="O321" s="16">
        <f>IF(NOT(Paths!$C$35=1),0,IF(Paths!$P$35="Complete",N321-IF(C321=0,Paths!$F$35,0),"n.a."))</f>
        <v>0</v>
      </c>
      <c r="P321" s="16">
        <f>IF(NOT(Paths!$C$35=1),0,IF(Paths!$P$35="Complete",O321+L321,"n.a."))</f>
        <v>0</v>
      </c>
      <c r="Q321" s="16">
        <f>IF(NOT(Paths!$C$35=1),0,IF(Paths!$P$35="Complete",N321*(1+'Operating costs'!$B$54)^-C321,"n.a."))</f>
        <v>0</v>
      </c>
      <c r="R321" s="16">
        <f>IF(NOT(Paths!$C$35=1),0,IF(Paths!$P$35="Complete",IF(AND(C321=0,Paths!$E$35=0),I321-J321-K321+VLOOKUP(A321,'Fleet register'!$A$7:$S$106,15,FALSE)+VLOOKUP(A321,'Fleet register'!$A$7:$S$106,16,FALSE),0),"n.a."))</f>
        <v>0</v>
      </c>
      <c r="S321" s="1">
        <f>IF(NOT(Paths!$C$35=1),0,IF(Paths!$P$35="Complete",IF(C321=0,0,Paths!$S$35*Paths!$R$35),"n.a."))</f>
        <v>0</v>
      </c>
      <c r="T321" s="1">
        <f>IF(NOT(Paths!$C$35=1),0,IF(Paths!$P$35="Complete",IF(C321=0,0,VLOOKUP(A321,'Fleet register'!$A$7:$S$106,9,FALSE)*Paths!$R$35),"n.a."))</f>
        <v>0</v>
      </c>
    </row>
    <row r="322" spans="1:20" ht="24" customHeight="1">
      <c r="A322" s="1" t="str">
        <f>Paths!$A$35</f>
        <v>T008</v>
      </c>
      <c r="B322" s="1">
        <f>Paths!$B$35</f>
        <v>0</v>
      </c>
      <c r="C322" s="1">
        <v>7</v>
      </c>
      <c r="D322" s="1">
        <v>35</v>
      </c>
      <c r="E322" s="1">
        <f>IF(OR(Paths!$C$35=0,C322=0),0,MAX(0,MIN(C322*12,Paths!$E$35)-(C322-1)*12))</f>
        <v>0</v>
      </c>
      <c r="F322" s="1">
        <f>IF(OR(Paths!$C$35=0,C322=0),0,12-E322)</f>
        <v>0</v>
      </c>
      <c r="G322" s="16">
        <f>IF(NOT(Paths!$C$35=1),0,IF(Paths!$P$35="Complete",E322/12*(Paths!$J$35*(1+'Operating costs'!$B$51)^MAX(0,C322-1)+Paths!$K$35*(1+'Operating costs'!$B$53)^MAX(0,C322-1)),"n.a."))</f>
        <v>0</v>
      </c>
      <c r="H322" s="16">
        <f>IF(NOT(Paths!$C$35=1),0,IF(Paths!$P$35="Complete",F322/12*(Paths!$L$35*(1+IF(Paths!$D$35="EV",'Operating costs'!$B$52,'Operating costs'!$B$51))^MAX(0,C322-1)+Paths!$M$35*(1+'Operating costs'!$B$53)^MAX(0,C322-1)),"n.a."))</f>
        <v>0</v>
      </c>
      <c r="I322" s="16">
        <f>IF(NOT(Paths!$C$35=1),0,IF(Paths!$P$35="Complete",IF(IF(Paths!$E$35=0,C322=0,AND(C322&gt;0,Paths!$E$35&gt;(C322-1)*12,Paths!$E$35&lt;=C322*12)),Paths!$G$35,0),"n.a."))</f>
        <v>0</v>
      </c>
      <c r="J322" s="16">
        <f>IF(NOT(Paths!$C$35=1),0,IF(Paths!$P$35="Complete",IF(IF(Paths!$E$35=0,C322=0,AND(C322&gt;0,Paths!$E$35&gt;(C322-1)*12,Paths!$E$35&lt;=C322*12)),Paths!$H$35,0),"n.a."))</f>
        <v>0</v>
      </c>
      <c r="K322" s="16">
        <f>IF(NOT(Paths!$C$35=1),0,IF(Paths!$P$35="Complete",IF(IF(Paths!$O$35=0,C322=0,AND(C322&gt;0,Paths!$O$35&gt;(C322-1)*12,Paths!$O$35&lt;=C322*12)),Paths!$N$35,0),"n.a."))</f>
        <v>0</v>
      </c>
      <c r="L322" s="16">
        <f>IF(NOT(Paths!$C$35=1),0,IF(Paths!$P$35="Complete",IF(C322=10,Paths!$I$35,0),"n.a."))</f>
        <v>0</v>
      </c>
      <c r="M322" s="16">
        <f>IF(NOT(Paths!$C$35=1),0,IF(Paths!$P$35="Complete",IF(AND(Paths!$D$35="EV",Paths!$E$35&lt;120,Paths!$E$35+'Operating costs'!$B$65&gt;Paths!$E$35,Paths!$E$35+'Operating costs'!$B$65&lt;=120,IF(Paths!$E$35+'Operating costs'!$B$65=0,C322=0,AND(C322&gt;0,Paths!$E$35+'Operating costs'!$B$65&gt;(C322-1)*12,Paths!$E$35+'Operating costs'!$B$65&lt;=C322*12))),'Operating costs'!$B$64,0)+IF(AND('Operating costs'!$B$67&gt;0,'Operating costs'!$B$67&lt;=120,OR(Paths!$D$35="ICE",'Operating costs'!$B$67&lt;=Paths!$E$35),IF('Operating costs'!$B$67=0,C322=0,AND(C322&gt;0,'Operating costs'!$B$67&gt;(C322-1)*12,'Operating costs'!$B$67&lt;=C322*12))),'Operating costs'!$B$66,0),"n.a."))</f>
        <v>0</v>
      </c>
      <c r="N322" s="16">
        <f>IF(NOT(Paths!$C$35=1),0,IF(Paths!$P$35="Complete",SUM(G322:I322)-J322-K322-L322+M322+IF(C322=0,Paths!$F$35,0)+IF(IF(Paths!$E$35=0,C322=0,AND(C322&gt;0,Paths!$E$35&gt;(C322-1)*12,Paths!$E$35&lt;=C322*12)),VLOOKUP(A322,'Fleet register'!$A$7:$S$106,16,FALSE),0),"n.a."))</f>
        <v>0</v>
      </c>
      <c r="O322" s="16">
        <f>IF(NOT(Paths!$C$35=1),0,IF(Paths!$P$35="Complete",N322-IF(C322=0,Paths!$F$35,0),"n.a."))</f>
        <v>0</v>
      </c>
      <c r="P322" s="16">
        <f>IF(NOT(Paths!$C$35=1),0,IF(Paths!$P$35="Complete",O322+L322,"n.a."))</f>
        <v>0</v>
      </c>
      <c r="Q322" s="16">
        <f>IF(NOT(Paths!$C$35=1),0,IF(Paths!$P$35="Complete",N322*(1+'Operating costs'!$B$54)^-C322,"n.a."))</f>
        <v>0</v>
      </c>
      <c r="R322" s="16">
        <f>IF(NOT(Paths!$C$35=1),0,IF(Paths!$P$35="Complete",IF(AND(C322=0,Paths!$E$35=0),I322-J322-K322+VLOOKUP(A322,'Fleet register'!$A$7:$S$106,15,FALSE)+VLOOKUP(A322,'Fleet register'!$A$7:$S$106,16,FALSE),0),"n.a."))</f>
        <v>0</v>
      </c>
      <c r="S322" s="1">
        <f>IF(NOT(Paths!$C$35=1),0,IF(Paths!$P$35="Complete",IF(C322=0,0,Paths!$S$35*Paths!$R$35),"n.a."))</f>
        <v>0</v>
      </c>
      <c r="T322" s="1">
        <f>IF(NOT(Paths!$C$35=1),0,IF(Paths!$P$35="Complete",IF(C322=0,0,VLOOKUP(A322,'Fleet register'!$A$7:$S$106,9,FALSE)*Paths!$R$35),"n.a."))</f>
        <v>0</v>
      </c>
    </row>
    <row r="323" spans="1:20" ht="24" customHeight="1">
      <c r="A323" s="1" t="str">
        <f>Paths!$A$35</f>
        <v>T008</v>
      </c>
      <c r="B323" s="1">
        <f>Paths!$B$35</f>
        <v>0</v>
      </c>
      <c r="C323" s="1">
        <v>8</v>
      </c>
      <c r="D323" s="1">
        <v>35</v>
      </c>
      <c r="E323" s="1">
        <f>IF(OR(Paths!$C$35=0,C323=0),0,MAX(0,MIN(C323*12,Paths!$E$35)-(C323-1)*12))</f>
        <v>0</v>
      </c>
      <c r="F323" s="1">
        <f>IF(OR(Paths!$C$35=0,C323=0),0,12-E323)</f>
        <v>0</v>
      </c>
      <c r="G323" s="16">
        <f>IF(NOT(Paths!$C$35=1),0,IF(Paths!$P$35="Complete",E323/12*(Paths!$J$35*(1+'Operating costs'!$B$51)^MAX(0,C323-1)+Paths!$K$35*(1+'Operating costs'!$B$53)^MAX(0,C323-1)),"n.a."))</f>
        <v>0</v>
      </c>
      <c r="H323" s="16">
        <f>IF(NOT(Paths!$C$35=1),0,IF(Paths!$P$35="Complete",F323/12*(Paths!$L$35*(1+IF(Paths!$D$35="EV",'Operating costs'!$B$52,'Operating costs'!$B$51))^MAX(0,C323-1)+Paths!$M$35*(1+'Operating costs'!$B$53)^MAX(0,C323-1)),"n.a."))</f>
        <v>0</v>
      </c>
      <c r="I323" s="16">
        <f>IF(NOT(Paths!$C$35=1),0,IF(Paths!$P$35="Complete",IF(IF(Paths!$E$35=0,C323=0,AND(C323&gt;0,Paths!$E$35&gt;(C323-1)*12,Paths!$E$35&lt;=C323*12)),Paths!$G$35,0),"n.a."))</f>
        <v>0</v>
      </c>
      <c r="J323" s="16">
        <f>IF(NOT(Paths!$C$35=1),0,IF(Paths!$P$35="Complete",IF(IF(Paths!$E$35=0,C323=0,AND(C323&gt;0,Paths!$E$35&gt;(C323-1)*12,Paths!$E$35&lt;=C323*12)),Paths!$H$35,0),"n.a."))</f>
        <v>0</v>
      </c>
      <c r="K323" s="16">
        <f>IF(NOT(Paths!$C$35=1),0,IF(Paths!$P$35="Complete",IF(IF(Paths!$O$35=0,C323=0,AND(C323&gt;0,Paths!$O$35&gt;(C323-1)*12,Paths!$O$35&lt;=C323*12)),Paths!$N$35,0),"n.a."))</f>
        <v>0</v>
      </c>
      <c r="L323" s="16">
        <f>IF(NOT(Paths!$C$35=1),0,IF(Paths!$P$35="Complete",IF(C323=10,Paths!$I$35,0),"n.a."))</f>
        <v>0</v>
      </c>
      <c r="M323" s="16">
        <f>IF(NOT(Paths!$C$35=1),0,IF(Paths!$P$35="Complete",IF(AND(Paths!$D$35="EV",Paths!$E$35&lt;120,Paths!$E$35+'Operating costs'!$B$65&gt;Paths!$E$35,Paths!$E$35+'Operating costs'!$B$65&lt;=120,IF(Paths!$E$35+'Operating costs'!$B$65=0,C323=0,AND(C323&gt;0,Paths!$E$35+'Operating costs'!$B$65&gt;(C323-1)*12,Paths!$E$35+'Operating costs'!$B$65&lt;=C323*12))),'Operating costs'!$B$64,0)+IF(AND('Operating costs'!$B$67&gt;0,'Operating costs'!$B$67&lt;=120,OR(Paths!$D$35="ICE",'Operating costs'!$B$67&lt;=Paths!$E$35),IF('Operating costs'!$B$67=0,C323=0,AND(C323&gt;0,'Operating costs'!$B$67&gt;(C323-1)*12,'Operating costs'!$B$67&lt;=C323*12))),'Operating costs'!$B$66,0),"n.a."))</f>
        <v>0</v>
      </c>
      <c r="N323" s="16">
        <f>IF(NOT(Paths!$C$35=1),0,IF(Paths!$P$35="Complete",SUM(G323:I323)-J323-K323-L323+M323+IF(C323=0,Paths!$F$35,0)+IF(IF(Paths!$E$35=0,C323=0,AND(C323&gt;0,Paths!$E$35&gt;(C323-1)*12,Paths!$E$35&lt;=C323*12)),VLOOKUP(A323,'Fleet register'!$A$7:$S$106,16,FALSE),0),"n.a."))</f>
        <v>0</v>
      </c>
      <c r="O323" s="16">
        <f>IF(NOT(Paths!$C$35=1),0,IF(Paths!$P$35="Complete",N323-IF(C323=0,Paths!$F$35,0),"n.a."))</f>
        <v>0</v>
      </c>
      <c r="P323" s="16">
        <f>IF(NOT(Paths!$C$35=1),0,IF(Paths!$P$35="Complete",O323+L323,"n.a."))</f>
        <v>0</v>
      </c>
      <c r="Q323" s="16">
        <f>IF(NOT(Paths!$C$35=1),0,IF(Paths!$P$35="Complete",N323*(1+'Operating costs'!$B$54)^-C323,"n.a."))</f>
        <v>0</v>
      </c>
      <c r="R323" s="16">
        <f>IF(NOT(Paths!$C$35=1),0,IF(Paths!$P$35="Complete",IF(AND(C323=0,Paths!$E$35=0),I323-J323-K323+VLOOKUP(A323,'Fleet register'!$A$7:$S$106,15,FALSE)+VLOOKUP(A323,'Fleet register'!$A$7:$S$106,16,FALSE),0),"n.a."))</f>
        <v>0</v>
      </c>
      <c r="S323" s="1">
        <f>IF(NOT(Paths!$C$35=1),0,IF(Paths!$P$35="Complete",IF(C323=0,0,Paths!$S$35*Paths!$R$35),"n.a."))</f>
        <v>0</v>
      </c>
      <c r="T323" s="1">
        <f>IF(NOT(Paths!$C$35=1),0,IF(Paths!$P$35="Complete",IF(C323=0,0,VLOOKUP(A323,'Fleet register'!$A$7:$S$106,9,FALSE)*Paths!$R$35),"n.a."))</f>
        <v>0</v>
      </c>
    </row>
    <row r="324" spans="1:20" ht="24" customHeight="1">
      <c r="A324" s="1" t="str">
        <f>Paths!$A$35</f>
        <v>T008</v>
      </c>
      <c r="B324" s="1">
        <f>Paths!$B$35</f>
        <v>0</v>
      </c>
      <c r="C324" s="1">
        <v>9</v>
      </c>
      <c r="D324" s="1">
        <v>35</v>
      </c>
      <c r="E324" s="1">
        <f>IF(OR(Paths!$C$35=0,C324=0),0,MAX(0,MIN(C324*12,Paths!$E$35)-(C324-1)*12))</f>
        <v>0</v>
      </c>
      <c r="F324" s="1">
        <f>IF(OR(Paths!$C$35=0,C324=0),0,12-E324)</f>
        <v>0</v>
      </c>
      <c r="G324" s="16">
        <f>IF(NOT(Paths!$C$35=1),0,IF(Paths!$P$35="Complete",E324/12*(Paths!$J$35*(1+'Operating costs'!$B$51)^MAX(0,C324-1)+Paths!$K$35*(1+'Operating costs'!$B$53)^MAX(0,C324-1)),"n.a."))</f>
        <v>0</v>
      </c>
      <c r="H324" s="16">
        <f>IF(NOT(Paths!$C$35=1),0,IF(Paths!$P$35="Complete",F324/12*(Paths!$L$35*(1+IF(Paths!$D$35="EV",'Operating costs'!$B$52,'Operating costs'!$B$51))^MAX(0,C324-1)+Paths!$M$35*(1+'Operating costs'!$B$53)^MAX(0,C324-1)),"n.a."))</f>
        <v>0</v>
      </c>
      <c r="I324" s="16">
        <f>IF(NOT(Paths!$C$35=1),0,IF(Paths!$P$35="Complete",IF(IF(Paths!$E$35=0,C324=0,AND(C324&gt;0,Paths!$E$35&gt;(C324-1)*12,Paths!$E$35&lt;=C324*12)),Paths!$G$35,0),"n.a."))</f>
        <v>0</v>
      </c>
      <c r="J324" s="16">
        <f>IF(NOT(Paths!$C$35=1),0,IF(Paths!$P$35="Complete",IF(IF(Paths!$E$35=0,C324=0,AND(C324&gt;0,Paths!$E$35&gt;(C324-1)*12,Paths!$E$35&lt;=C324*12)),Paths!$H$35,0),"n.a."))</f>
        <v>0</v>
      </c>
      <c r="K324" s="16">
        <f>IF(NOT(Paths!$C$35=1),0,IF(Paths!$P$35="Complete",IF(IF(Paths!$O$35=0,C324=0,AND(C324&gt;0,Paths!$O$35&gt;(C324-1)*12,Paths!$O$35&lt;=C324*12)),Paths!$N$35,0),"n.a."))</f>
        <v>0</v>
      </c>
      <c r="L324" s="16">
        <f>IF(NOT(Paths!$C$35=1),0,IF(Paths!$P$35="Complete",IF(C324=10,Paths!$I$35,0),"n.a."))</f>
        <v>0</v>
      </c>
      <c r="M324" s="16">
        <f>IF(NOT(Paths!$C$35=1),0,IF(Paths!$P$35="Complete",IF(AND(Paths!$D$35="EV",Paths!$E$35&lt;120,Paths!$E$35+'Operating costs'!$B$65&gt;Paths!$E$35,Paths!$E$35+'Operating costs'!$B$65&lt;=120,IF(Paths!$E$35+'Operating costs'!$B$65=0,C324=0,AND(C324&gt;0,Paths!$E$35+'Operating costs'!$B$65&gt;(C324-1)*12,Paths!$E$35+'Operating costs'!$B$65&lt;=C324*12))),'Operating costs'!$B$64,0)+IF(AND('Operating costs'!$B$67&gt;0,'Operating costs'!$B$67&lt;=120,OR(Paths!$D$35="ICE",'Operating costs'!$B$67&lt;=Paths!$E$35),IF('Operating costs'!$B$67=0,C324=0,AND(C324&gt;0,'Operating costs'!$B$67&gt;(C324-1)*12,'Operating costs'!$B$67&lt;=C324*12))),'Operating costs'!$B$66,0),"n.a."))</f>
        <v>0</v>
      </c>
      <c r="N324" s="16">
        <f>IF(NOT(Paths!$C$35=1),0,IF(Paths!$P$35="Complete",SUM(G324:I324)-J324-K324-L324+M324+IF(C324=0,Paths!$F$35,0)+IF(IF(Paths!$E$35=0,C324=0,AND(C324&gt;0,Paths!$E$35&gt;(C324-1)*12,Paths!$E$35&lt;=C324*12)),VLOOKUP(A324,'Fleet register'!$A$7:$S$106,16,FALSE),0),"n.a."))</f>
        <v>0</v>
      </c>
      <c r="O324" s="16">
        <f>IF(NOT(Paths!$C$35=1),0,IF(Paths!$P$35="Complete",N324-IF(C324=0,Paths!$F$35,0),"n.a."))</f>
        <v>0</v>
      </c>
      <c r="P324" s="16">
        <f>IF(NOT(Paths!$C$35=1),0,IF(Paths!$P$35="Complete",O324+L324,"n.a."))</f>
        <v>0</v>
      </c>
      <c r="Q324" s="16">
        <f>IF(NOT(Paths!$C$35=1),0,IF(Paths!$P$35="Complete",N324*(1+'Operating costs'!$B$54)^-C324,"n.a."))</f>
        <v>0</v>
      </c>
      <c r="R324" s="16">
        <f>IF(NOT(Paths!$C$35=1),0,IF(Paths!$P$35="Complete",IF(AND(C324=0,Paths!$E$35=0),I324-J324-K324+VLOOKUP(A324,'Fleet register'!$A$7:$S$106,15,FALSE)+VLOOKUP(A324,'Fleet register'!$A$7:$S$106,16,FALSE),0),"n.a."))</f>
        <v>0</v>
      </c>
      <c r="S324" s="1">
        <f>IF(NOT(Paths!$C$35=1),0,IF(Paths!$P$35="Complete",IF(C324=0,0,Paths!$S$35*Paths!$R$35),"n.a."))</f>
        <v>0</v>
      </c>
      <c r="T324" s="1">
        <f>IF(NOT(Paths!$C$35=1),0,IF(Paths!$P$35="Complete",IF(C324=0,0,VLOOKUP(A324,'Fleet register'!$A$7:$S$106,9,FALSE)*Paths!$R$35),"n.a."))</f>
        <v>0</v>
      </c>
    </row>
    <row r="325" spans="1:20" ht="24" customHeight="1">
      <c r="A325" s="1" t="str">
        <f>Paths!$A$35</f>
        <v>T008</v>
      </c>
      <c r="B325" s="1">
        <f>Paths!$B$35</f>
        <v>0</v>
      </c>
      <c r="C325" s="1">
        <v>10</v>
      </c>
      <c r="D325" s="1">
        <v>35</v>
      </c>
      <c r="E325" s="1">
        <f>IF(OR(Paths!$C$35=0,C325=0),0,MAX(0,MIN(C325*12,Paths!$E$35)-(C325-1)*12))</f>
        <v>0</v>
      </c>
      <c r="F325" s="1">
        <f>IF(OR(Paths!$C$35=0,C325=0),0,12-E325)</f>
        <v>0</v>
      </c>
      <c r="G325" s="16">
        <f>IF(NOT(Paths!$C$35=1),0,IF(Paths!$P$35="Complete",E325/12*(Paths!$J$35*(1+'Operating costs'!$B$51)^MAX(0,C325-1)+Paths!$K$35*(1+'Operating costs'!$B$53)^MAX(0,C325-1)),"n.a."))</f>
        <v>0</v>
      </c>
      <c r="H325" s="16">
        <f>IF(NOT(Paths!$C$35=1),0,IF(Paths!$P$35="Complete",F325/12*(Paths!$L$35*(1+IF(Paths!$D$35="EV",'Operating costs'!$B$52,'Operating costs'!$B$51))^MAX(0,C325-1)+Paths!$M$35*(1+'Operating costs'!$B$53)^MAX(0,C325-1)),"n.a."))</f>
        <v>0</v>
      </c>
      <c r="I325" s="16">
        <f>IF(NOT(Paths!$C$35=1),0,IF(Paths!$P$35="Complete",IF(IF(Paths!$E$35=0,C325=0,AND(C325&gt;0,Paths!$E$35&gt;(C325-1)*12,Paths!$E$35&lt;=C325*12)),Paths!$G$35,0),"n.a."))</f>
        <v>0</v>
      </c>
      <c r="J325" s="16">
        <f>IF(NOT(Paths!$C$35=1),0,IF(Paths!$P$35="Complete",IF(IF(Paths!$E$35=0,C325=0,AND(C325&gt;0,Paths!$E$35&gt;(C325-1)*12,Paths!$E$35&lt;=C325*12)),Paths!$H$35,0),"n.a."))</f>
        <v>0</v>
      </c>
      <c r="K325" s="16">
        <f>IF(NOT(Paths!$C$35=1),0,IF(Paths!$P$35="Complete",IF(IF(Paths!$O$35=0,C325=0,AND(C325&gt;0,Paths!$O$35&gt;(C325-1)*12,Paths!$O$35&lt;=C325*12)),Paths!$N$35,0),"n.a."))</f>
        <v>0</v>
      </c>
      <c r="L325" s="16">
        <f>IF(NOT(Paths!$C$35=1),0,IF(Paths!$P$35="Complete",IF(C325=10,Paths!$I$35,0),"n.a."))</f>
        <v>0</v>
      </c>
      <c r="M325" s="16">
        <f>IF(NOT(Paths!$C$35=1),0,IF(Paths!$P$35="Complete",IF(AND(Paths!$D$35="EV",Paths!$E$35&lt;120,Paths!$E$35+'Operating costs'!$B$65&gt;Paths!$E$35,Paths!$E$35+'Operating costs'!$B$65&lt;=120,IF(Paths!$E$35+'Operating costs'!$B$65=0,C325=0,AND(C325&gt;0,Paths!$E$35+'Operating costs'!$B$65&gt;(C325-1)*12,Paths!$E$35+'Operating costs'!$B$65&lt;=C325*12))),'Operating costs'!$B$64,0)+IF(AND('Operating costs'!$B$67&gt;0,'Operating costs'!$B$67&lt;=120,OR(Paths!$D$35="ICE",'Operating costs'!$B$67&lt;=Paths!$E$35),IF('Operating costs'!$B$67=0,C325=0,AND(C325&gt;0,'Operating costs'!$B$67&gt;(C325-1)*12,'Operating costs'!$B$67&lt;=C325*12))),'Operating costs'!$B$66,0),"n.a."))</f>
        <v>0</v>
      </c>
      <c r="N325" s="16">
        <f>IF(NOT(Paths!$C$35=1),0,IF(Paths!$P$35="Complete",SUM(G325:I325)-J325-K325-L325+M325+IF(C325=0,Paths!$F$35,0)+IF(IF(Paths!$E$35=0,C325=0,AND(C325&gt;0,Paths!$E$35&gt;(C325-1)*12,Paths!$E$35&lt;=C325*12)),VLOOKUP(A325,'Fleet register'!$A$7:$S$106,16,FALSE),0),"n.a."))</f>
        <v>0</v>
      </c>
      <c r="O325" s="16">
        <f>IF(NOT(Paths!$C$35=1),0,IF(Paths!$P$35="Complete",N325-IF(C325=0,Paths!$F$35,0),"n.a."))</f>
        <v>0</v>
      </c>
      <c r="P325" s="16">
        <f>IF(NOT(Paths!$C$35=1),0,IF(Paths!$P$35="Complete",O325+L325,"n.a."))</f>
        <v>0</v>
      </c>
      <c r="Q325" s="16">
        <f>IF(NOT(Paths!$C$35=1),0,IF(Paths!$P$35="Complete",N325*(1+'Operating costs'!$B$54)^-C325,"n.a."))</f>
        <v>0</v>
      </c>
      <c r="R325" s="16">
        <f>IF(NOT(Paths!$C$35=1),0,IF(Paths!$P$35="Complete",IF(AND(C325=0,Paths!$E$35=0),I325-J325-K325+VLOOKUP(A325,'Fleet register'!$A$7:$S$106,15,FALSE)+VLOOKUP(A325,'Fleet register'!$A$7:$S$106,16,FALSE),0),"n.a."))</f>
        <v>0</v>
      </c>
      <c r="S325" s="1">
        <f>IF(NOT(Paths!$C$35=1),0,IF(Paths!$P$35="Complete",IF(C325=0,0,Paths!$S$35*Paths!$R$35),"n.a."))</f>
        <v>0</v>
      </c>
      <c r="T325" s="1">
        <f>IF(NOT(Paths!$C$35=1),0,IF(Paths!$P$35="Complete",IF(C325=0,0,VLOOKUP(A325,'Fleet register'!$A$7:$S$106,9,FALSE)*Paths!$R$35),"n.a."))</f>
        <v>0</v>
      </c>
    </row>
    <row r="326" spans="1:20" ht="24" customHeight="1">
      <c r="A326" s="1" t="str">
        <f>Paths!$A$36</f>
        <v>T008</v>
      </c>
      <c r="B326" s="1">
        <f>Paths!$B$36</f>
        <v>1</v>
      </c>
      <c r="C326" s="1">
        <v>0</v>
      </c>
      <c r="D326" s="1">
        <v>36</v>
      </c>
      <c r="E326" s="1">
        <f>IF(OR(Paths!$C$36=0,C326=0),0,MAX(0,MIN(C326*12,Paths!$E$36)-(C326-1)*12))</f>
        <v>0</v>
      </c>
      <c r="F326" s="1">
        <f>IF(OR(Paths!$C$36=0,C326=0),0,12-E326)</f>
        <v>0</v>
      </c>
      <c r="G326" s="16">
        <f>IF(NOT(Paths!$C$36=1),0,IF(Paths!$P$36="Complete",E326/12*(Paths!$J$36*(1+'Operating costs'!$B$51)^MAX(0,C326-1)+Paths!$K$36*(1+'Operating costs'!$B$53)^MAX(0,C326-1)),"n.a."))</f>
        <v>0</v>
      </c>
      <c r="H326" s="16">
        <f>IF(NOT(Paths!$C$36=1),0,IF(Paths!$P$36="Complete",F326/12*(Paths!$L$36*(1+IF(Paths!$D$36="EV",'Operating costs'!$B$52,'Operating costs'!$B$51))^MAX(0,C326-1)+Paths!$M$36*(1+'Operating costs'!$B$53)^MAX(0,C326-1)),"n.a."))</f>
        <v>0</v>
      </c>
      <c r="I326" s="16">
        <f>IF(NOT(Paths!$C$36=1),0,IF(Paths!$P$36="Complete",IF(IF(Paths!$E$36=0,C326=0,AND(C326&gt;0,Paths!$E$36&gt;(C326-1)*12,Paths!$E$36&lt;=C326*12)),Paths!$G$36,0),"n.a."))</f>
        <v>0</v>
      </c>
      <c r="J326" s="16">
        <f>IF(NOT(Paths!$C$36=1),0,IF(Paths!$P$36="Complete",IF(IF(Paths!$E$36=0,C326=0,AND(C326&gt;0,Paths!$E$36&gt;(C326-1)*12,Paths!$E$36&lt;=C326*12)),Paths!$H$36,0),"n.a."))</f>
        <v>0</v>
      </c>
      <c r="K326" s="16">
        <f>IF(NOT(Paths!$C$36=1),0,IF(Paths!$P$36="Complete",IF(IF(Paths!$O$36=0,C326=0,AND(C326&gt;0,Paths!$O$36&gt;(C326-1)*12,Paths!$O$36&lt;=C326*12)),Paths!$N$36,0),"n.a."))</f>
        <v>0</v>
      </c>
      <c r="L326" s="16">
        <f>IF(NOT(Paths!$C$36=1),0,IF(Paths!$P$36="Complete",IF(C326=10,Paths!$I$36,0),"n.a."))</f>
        <v>0</v>
      </c>
      <c r="M326" s="16">
        <f>IF(NOT(Paths!$C$36=1),0,IF(Paths!$P$36="Complete",IF(AND(Paths!$D$36="EV",Paths!$E$36&lt;120,Paths!$E$36+'Operating costs'!$B$65&gt;Paths!$E$36,Paths!$E$36+'Operating costs'!$B$65&lt;=120,IF(Paths!$E$36+'Operating costs'!$B$65=0,C326=0,AND(C326&gt;0,Paths!$E$36+'Operating costs'!$B$65&gt;(C326-1)*12,Paths!$E$36+'Operating costs'!$B$65&lt;=C326*12))),'Operating costs'!$B$64,0)+IF(AND('Operating costs'!$B$67&gt;0,'Operating costs'!$B$67&lt;=120,OR(Paths!$D$36="ICE",'Operating costs'!$B$67&lt;=Paths!$E$36),IF('Operating costs'!$B$67=0,C326=0,AND(C326&gt;0,'Operating costs'!$B$67&gt;(C326-1)*12,'Operating costs'!$B$67&lt;=C326*12))),'Operating costs'!$B$66,0),"n.a."))</f>
        <v>0</v>
      </c>
      <c r="N326" s="16">
        <f>IF(NOT(Paths!$C$36=1),0,IF(Paths!$P$36="Complete",SUM(G326:I326)-J326-K326-L326+M326+IF(C326=0,Paths!$F$36,0)+IF(IF(Paths!$E$36=0,C326=0,AND(C326&gt;0,Paths!$E$36&gt;(C326-1)*12,Paths!$E$36&lt;=C326*12)),VLOOKUP(A326,'Fleet register'!$A$7:$S$106,16,FALSE),0),"n.a."))</f>
        <v>0</v>
      </c>
      <c r="O326" s="16">
        <f>IF(NOT(Paths!$C$36=1),0,IF(Paths!$P$36="Complete",N326-IF(C326=0,Paths!$F$36,0),"n.a."))</f>
        <v>0</v>
      </c>
      <c r="P326" s="16">
        <f>IF(NOT(Paths!$C$36=1),0,IF(Paths!$P$36="Complete",O326+L326,"n.a."))</f>
        <v>0</v>
      </c>
      <c r="Q326" s="16">
        <f>IF(NOT(Paths!$C$36=1),0,IF(Paths!$P$36="Complete",N326*(1+'Operating costs'!$B$54)^-C326,"n.a."))</f>
        <v>0</v>
      </c>
      <c r="R326" s="16">
        <f>IF(NOT(Paths!$C$36=1),0,IF(Paths!$P$36="Complete",IF(AND(C326=0,Paths!$E$36=0),I326-J326-K326+VLOOKUP(A326,'Fleet register'!$A$7:$S$106,15,FALSE)+VLOOKUP(A326,'Fleet register'!$A$7:$S$106,16,FALSE),0),"n.a."))</f>
        <v>0</v>
      </c>
      <c r="S326" s="1">
        <f>IF(NOT(Paths!$C$36=1),0,IF(Paths!$P$36="Complete",IF(C326=0,0,Paths!$S$36*Paths!$R$36),"n.a."))</f>
        <v>0</v>
      </c>
      <c r="T326" s="1">
        <f>IF(NOT(Paths!$C$36=1),0,IF(Paths!$P$36="Complete",IF(C326=0,0,VLOOKUP(A326,'Fleet register'!$A$7:$S$106,9,FALSE)*Paths!$R$36),"n.a."))</f>
        <v>0</v>
      </c>
    </row>
    <row r="327" spans="1:20" ht="24" customHeight="1">
      <c r="A327" s="1" t="str">
        <f>Paths!$A$36</f>
        <v>T008</v>
      </c>
      <c r="B327" s="1">
        <f>Paths!$B$36</f>
        <v>1</v>
      </c>
      <c r="C327" s="1">
        <v>1</v>
      </c>
      <c r="D327" s="1">
        <v>36</v>
      </c>
      <c r="E327" s="1">
        <f>IF(OR(Paths!$C$36=0,C327=0),0,MAX(0,MIN(C327*12,Paths!$E$36)-(C327-1)*12))</f>
        <v>0</v>
      </c>
      <c r="F327" s="1">
        <f>IF(OR(Paths!$C$36=0,C327=0),0,12-E327)</f>
        <v>0</v>
      </c>
      <c r="G327" s="16">
        <f>IF(NOT(Paths!$C$36=1),0,IF(Paths!$P$36="Complete",E327/12*(Paths!$J$36*(1+'Operating costs'!$B$51)^MAX(0,C327-1)+Paths!$K$36*(1+'Operating costs'!$B$53)^MAX(0,C327-1)),"n.a."))</f>
        <v>0</v>
      </c>
      <c r="H327" s="16">
        <f>IF(NOT(Paths!$C$36=1),0,IF(Paths!$P$36="Complete",F327/12*(Paths!$L$36*(1+IF(Paths!$D$36="EV",'Operating costs'!$B$52,'Operating costs'!$B$51))^MAX(0,C327-1)+Paths!$M$36*(1+'Operating costs'!$B$53)^MAX(0,C327-1)),"n.a."))</f>
        <v>0</v>
      </c>
      <c r="I327" s="16">
        <f>IF(NOT(Paths!$C$36=1),0,IF(Paths!$P$36="Complete",IF(IF(Paths!$E$36=0,C327=0,AND(C327&gt;0,Paths!$E$36&gt;(C327-1)*12,Paths!$E$36&lt;=C327*12)),Paths!$G$36,0),"n.a."))</f>
        <v>0</v>
      </c>
      <c r="J327" s="16">
        <f>IF(NOT(Paths!$C$36=1),0,IF(Paths!$P$36="Complete",IF(IF(Paths!$E$36=0,C327=0,AND(C327&gt;0,Paths!$E$36&gt;(C327-1)*12,Paths!$E$36&lt;=C327*12)),Paths!$H$36,0),"n.a."))</f>
        <v>0</v>
      </c>
      <c r="K327" s="16">
        <f>IF(NOT(Paths!$C$36=1),0,IF(Paths!$P$36="Complete",IF(IF(Paths!$O$36=0,C327=0,AND(C327&gt;0,Paths!$O$36&gt;(C327-1)*12,Paths!$O$36&lt;=C327*12)),Paths!$N$36,0),"n.a."))</f>
        <v>0</v>
      </c>
      <c r="L327" s="16">
        <f>IF(NOT(Paths!$C$36=1),0,IF(Paths!$P$36="Complete",IF(C327=10,Paths!$I$36,0),"n.a."))</f>
        <v>0</v>
      </c>
      <c r="M327" s="16">
        <f>IF(NOT(Paths!$C$36=1),0,IF(Paths!$P$36="Complete",IF(AND(Paths!$D$36="EV",Paths!$E$36&lt;120,Paths!$E$36+'Operating costs'!$B$65&gt;Paths!$E$36,Paths!$E$36+'Operating costs'!$B$65&lt;=120,IF(Paths!$E$36+'Operating costs'!$B$65=0,C327=0,AND(C327&gt;0,Paths!$E$36+'Operating costs'!$B$65&gt;(C327-1)*12,Paths!$E$36+'Operating costs'!$B$65&lt;=C327*12))),'Operating costs'!$B$64,0)+IF(AND('Operating costs'!$B$67&gt;0,'Operating costs'!$B$67&lt;=120,OR(Paths!$D$36="ICE",'Operating costs'!$B$67&lt;=Paths!$E$36),IF('Operating costs'!$B$67=0,C327=0,AND(C327&gt;0,'Operating costs'!$B$67&gt;(C327-1)*12,'Operating costs'!$B$67&lt;=C327*12))),'Operating costs'!$B$66,0),"n.a."))</f>
        <v>0</v>
      </c>
      <c r="N327" s="16">
        <f>IF(NOT(Paths!$C$36=1),0,IF(Paths!$P$36="Complete",SUM(G327:I327)-J327-K327-L327+M327+IF(C327=0,Paths!$F$36,0)+IF(IF(Paths!$E$36=0,C327=0,AND(C327&gt;0,Paths!$E$36&gt;(C327-1)*12,Paths!$E$36&lt;=C327*12)),VLOOKUP(A327,'Fleet register'!$A$7:$S$106,16,FALSE),0),"n.a."))</f>
        <v>0</v>
      </c>
      <c r="O327" s="16">
        <f>IF(NOT(Paths!$C$36=1),0,IF(Paths!$P$36="Complete",N327-IF(C327=0,Paths!$F$36,0),"n.a."))</f>
        <v>0</v>
      </c>
      <c r="P327" s="16">
        <f>IF(NOT(Paths!$C$36=1),0,IF(Paths!$P$36="Complete",O327+L327,"n.a."))</f>
        <v>0</v>
      </c>
      <c r="Q327" s="16">
        <f>IF(NOT(Paths!$C$36=1),0,IF(Paths!$P$36="Complete",N327*(1+'Operating costs'!$B$54)^-C327,"n.a."))</f>
        <v>0</v>
      </c>
      <c r="R327" s="16">
        <f>IF(NOT(Paths!$C$36=1),0,IF(Paths!$P$36="Complete",IF(AND(C327=0,Paths!$E$36=0),I327-J327-K327+VLOOKUP(A327,'Fleet register'!$A$7:$S$106,15,FALSE)+VLOOKUP(A327,'Fleet register'!$A$7:$S$106,16,FALSE),0),"n.a."))</f>
        <v>0</v>
      </c>
      <c r="S327" s="1">
        <f>IF(NOT(Paths!$C$36=1),0,IF(Paths!$P$36="Complete",IF(C327=0,0,Paths!$S$36*Paths!$R$36),"n.a."))</f>
        <v>0</v>
      </c>
      <c r="T327" s="1">
        <f>IF(NOT(Paths!$C$36=1),0,IF(Paths!$P$36="Complete",IF(C327=0,0,VLOOKUP(A327,'Fleet register'!$A$7:$S$106,9,FALSE)*Paths!$R$36),"n.a."))</f>
        <v>0</v>
      </c>
    </row>
    <row r="328" spans="1:20" ht="24" customHeight="1">
      <c r="A328" s="1" t="str">
        <f>Paths!$A$36</f>
        <v>T008</v>
      </c>
      <c r="B328" s="1">
        <f>Paths!$B$36</f>
        <v>1</v>
      </c>
      <c r="C328" s="1">
        <v>2</v>
      </c>
      <c r="D328" s="1">
        <v>36</v>
      </c>
      <c r="E328" s="1">
        <f>IF(OR(Paths!$C$36=0,C328=0),0,MAX(0,MIN(C328*12,Paths!$E$36)-(C328-1)*12))</f>
        <v>0</v>
      </c>
      <c r="F328" s="1">
        <f>IF(OR(Paths!$C$36=0,C328=0),0,12-E328)</f>
        <v>0</v>
      </c>
      <c r="G328" s="16">
        <f>IF(NOT(Paths!$C$36=1),0,IF(Paths!$P$36="Complete",E328/12*(Paths!$J$36*(1+'Operating costs'!$B$51)^MAX(0,C328-1)+Paths!$K$36*(1+'Operating costs'!$B$53)^MAX(0,C328-1)),"n.a."))</f>
        <v>0</v>
      </c>
      <c r="H328" s="16">
        <f>IF(NOT(Paths!$C$36=1),0,IF(Paths!$P$36="Complete",F328/12*(Paths!$L$36*(1+IF(Paths!$D$36="EV",'Operating costs'!$B$52,'Operating costs'!$B$51))^MAX(0,C328-1)+Paths!$M$36*(1+'Operating costs'!$B$53)^MAX(0,C328-1)),"n.a."))</f>
        <v>0</v>
      </c>
      <c r="I328" s="16">
        <f>IF(NOT(Paths!$C$36=1),0,IF(Paths!$P$36="Complete",IF(IF(Paths!$E$36=0,C328=0,AND(C328&gt;0,Paths!$E$36&gt;(C328-1)*12,Paths!$E$36&lt;=C328*12)),Paths!$G$36,0),"n.a."))</f>
        <v>0</v>
      </c>
      <c r="J328" s="16">
        <f>IF(NOT(Paths!$C$36=1),0,IF(Paths!$P$36="Complete",IF(IF(Paths!$E$36=0,C328=0,AND(C328&gt;0,Paths!$E$36&gt;(C328-1)*12,Paths!$E$36&lt;=C328*12)),Paths!$H$36,0),"n.a."))</f>
        <v>0</v>
      </c>
      <c r="K328" s="16">
        <f>IF(NOT(Paths!$C$36=1),0,IF(Paths!$P$36="Complete",IF(IF(Paths!$O$36=0,C328=0,AND(C328&gt;0,Paths!$O$36&gt;(C328-1)*12,Paths!$O$36&lt;=C328*12)),Paths!$N$36,0),"n.a."))</f>
        <v>0</v>
      </c>
      <c r="L328" s="16">
        <f>IF(NOT(Paths!$C$36=1),0,IF(Paths!$P$36="Complete",IF(C328=10,Paths!$I$36,0),"n.a."))</f>
        <v>0</v>
      </c>
      <c r="M328" s="16">
        <f>IF(NOT(Paths!$C$36=1),0,IF(Paths!$P$36="Complete",IF(AND(Paths!$D$36="EV",Paths!$E$36&lt;120,Paths!$E$36+'Operating costs'!$B$65&gt;Paths!$E$36,Paths!$E$36+'Operating costs'!$B$65&lt;=120,IF(Paths!$E$36+'Operating costs'!$B$65=0,C328=0,AND(C328&gt;0,Paths!$E$36+'Operating costs'!$B$65&gt;(C328-1)*12,Paths!$E$36+'Operating costs'!$B$65&lt;=C328*12))),'Operating costs'!$B$64,0)+IF(AND('Operating costs'!$B$67&gt;0,'Operating costs'!$B$67&lt;=120,OR(Paths!$D$36="ICE",'Operating costs'!$B$67&lt;=Paths!$E$36),IF('Operating costs'!$B$67=0,C328=0,AND(C328&gt;0,'Operating costs'!$B$67&gt;(C328-1)*12,'Operating costs'!$B$67&lt;=C328*12))),'Operating costs'!$B$66,0),"n.a."))</f>
        <v>0</v>
      </c>
      <c r="N328" s="16">
        <f>IF(NOT(Paths!$C$36=1),0,IF(Paths!$P$36="Complete",SUM(G328:I328)-J328-K328-L328+M328+IF(C328=0,Paths!$F$36,0)+IF(IF(Paths!$E$36=0,C328=0,AND(C328&gt;0,Paths!$E$36&gt;(C328-1)*12,Paths!$E$36&lt;=C328*12)),VLOOKUP(A328,'Fleet register'!$A$7:$S$106,16,FALSE),0),"n.a."))</f>
        <v>0</v>
      </c>
      <c r="O328" s="16">
        <f>IF(NOT(Paths!$C$36=1),0,IF(Paths!$P$36="Complete",N328-IF(C328=0,Paths!$F$36,0),"n.a."))</f>
        <v>0</v>
      </c>
      <c r="P328" s="16">
        <f>IF(NOT(Paths!$C$36=1),0,IF(Paths!$P$36="Complete",O328+L328,"n.a."))</f>
        <v>0</v>
      </c>
      <c r="Q328" s="16">
        <f>IF(NOT(Paths!$C$36=1),0,IF(Paths!$P$36="Complete",N328*(1+'Operating costs'!$B$54)^-C328,"n.a."))</f>
        <v>0</v>
      </c>
      <c r="R328" s="16">
        <f>IF(NOT(Paths!$C$36=1),0,IF(Paths!$P$36="Complete",IF(AND(C328=0,Paths!$E$36=0),I328-J328-K328+VLOOKUP(A328,'Fleet register'!$A$7:$S$106,15,FALSE)+VLOOKUP(A328,'Fleet register'!$A$7:$S$106,16,FALSE),0),"n.a."))</f>
        <v>0</v>
      </c>
      <c r="S328" s="1">
        <f>IF(NOT(Paths!$C$36=1),0,IF(Paths!$P$36="Complete",IF(C328=0,0,Paths!$S$36*Paths!$R$36),"n.a."))</f>
        <v>0</v>
      </c>
      <c r="T328" s="1">
        <f>IF(NOT(Paths!$C$36=1),0,IF(Paths!$P$36="Complete",IF(C328=0,0,VLOOKUP(A328,'Fleet register'!$A$7:$S$106,9,FALSE)*Paths!$R$36),"n.a."))</f>
        <v>0</v>
      </c>
    </row>
    <row r="329" spans="1:20" ht="24" customHeight="1">
      <c r="A329" s="1" t="str">
        <f>Paths!$A$36</f>
        <v>T008</v>
      </c>
      <c r="B329" s="1">
        <f>Paths!$B$36</f>
        <v>1</v>
      </c>
      <c r="C329" s="1">
        <v>3</v>
      </c>
      <c r="D329" s="1">
        <v>36</v>
      </c>
      <c r="E329" s="1">
        <f>IF(OR(Paths!$C$36=0,C329=0),0,MAX(0,MIN(C329*12,Paths!$E$36)-(C329-1)*12))</f>
        <v>0</v>
      </c>
      <c r="F329" s="1">
        <f>IF(OR(Paths!$C$36=0,C329=0),0,12-E329)</f>
        <v>0</v>
      </c>
      <c r="G329" s="16">
        <f>IF(NOT(Paths!$C$36=1),0,IF(Paths!$P$36="Complete",E329/12*(Paths!$J$36*(1+'Operating costs'!$B$51)^MAX(0,C329-1)+Paths!$K$36*(1+'Operating costs'!$B$53)^MAX(0,C329-1)),"n.a."))</f>
        <v>0</v>
      </c>
      <c r="H329" s="16">
        <f>IF(NOT(Paths!$C$36=1),0,IF(Paths!$P$36="Complete",F329/12*(Paths!$L$36*(1+IF(Paths!$D$36="EV",'Operating costs'!$B$52,'Operating costs'!$B$51))^MAX(0,C329-1)+Paths!$M$36*(1+'Operating costs'!$B$53)^MAX(0,C329-1)),"n.a."))</f>
        <v>0</v>
      </c>
      <c r="I329" s="16">
        <f>IF(NOT(Paths!$C$36=1),0,IF(Paths!$P$36="Complete",IF(IF(Paths!$E$36=0,C329=0,AND(C329&gt;0,Paths!$E$36&gt;(C329-1)*12,Paths!$E$36&lt;=C329*12)),Paths!$G$36,0),"n.a."))</f>
        <v>0</v>
      </c>
      <c r="J329" s="16">
        <f>IF(NOT(Paths!$C$36=1),0,IF(Paths!$P$36="Complete",IF(IF(Paths!$E$36=0,C329=0,AND(C329&gt;0,Paths!$E$36&gt;(C329-1)*12,Paths!$E$36&lt;=C329*12)),Paths!$H$36,0),"n.a."))</f>
        <v>0</v>
      </c>
      <c r="K329" s="16">
        <f>IF(NOT(Paths!$C$36=1),0,IF(Paths!$P$36="Complete",IF(IF(Paths!$O$36=0,C329=0,AND(C329&gt;0,Paths!$O$36&gt;(C329-1)*12,Paths!$O$36&lt;=C329*12)),Paths!$N$36,0),"n.a."))</f>
        <v>0</v>
      </c>
      <c r="L329" s="16">
        <f>IF(NOT(Paths!$C$36=1),0,IF(Paths!$P$36="Complete",IF(C329=10,Paths!$I$36,0),"n.a."))</f>
        <v>0</v>
      </c>
      <c r="M329" s="16">
        <f>IF(NOT(Paths!$C$36=1),0,IF(Paths!$P$36="Complete",IF(AND(Paths!$D$36="EV",Paths!$E$36&lt;120,Paths!$E$36+'Operating costs'!$B$65&gt;Paths!$E$36,Paths!$E$36+'Operating costs'!$B$65&lt;=120,IF(Paths!$E$36+'Operating costs'!$B$65=0,C329=0,AND(C329&gt;0,Paths!$E$36+'Operating costs'!$B$65&gt;(C329-1)*12,Paths!$E$36+'Operating costs'!$B$65&lt;=C329*12))),'Operating costs'!$B$64,0)+IF(AND('Operating costs'!$B$67&gt;0,'Operating costs'!$B$67&lt;=120,OR(Paths!$D$36="ICE",'Operating costs'!$B$67&lt;=Paths!$E$36),IF('Operating costs'!$B$67=0,C329=0,AND(C329&gt;0,'Operating costs'!$B$67&gt;(C329-1)*12,'Operating costs'!$B$67&lt;=C329*12))),'Operating costs'!$B$66,0),"n.a."))</f>
        <v>0</v>
      </c>
      <c r="N329" s="16">
        <f>IF(NOT(Paths!$C$36=1),0,IF(Paths!$P$36="Complete",SUM(G329:I329)-J329-K329-L329+M329+IF(C329=0,Paths!$F$36,0)+IF(IF(Paths!$E$36=0,C329=0,AND(C329&gt;0,Paths!$E$36&gt;(C329-1)*12,Paths!$E$36&lt;=C329*12)),VLOOKUP(A329,'Fleet register'!$A$7:$S$106,16,FALSE),0),"n.a."))</f>
        <v>0</v>
      </c>
      <c r="O329" s="16">
        <f>IF(NOT(Paths!$C$36=1),0,IF(Paths!$P$36="Complete",N329-IF(C329=0,Paths!$F$36,0),"n.a."))</f>
        <v>0</v>
      </c>
      <c r="P329" s="16">
        <f>IF(NOT(Paths!$C$36=1),0,IF(Paths!$P$36="Complete",O329+L329,"n.a."))</f>
        <v>0</v>
      </c>
      <c r="Q329" s="16">
        <f>IF(NOT(Paths!$C$36=1),0,IF(Paths!$P$36="Complete",N329*(1+'Operating costs'!$B$54)^-C329,"n.a."))</f>
        <v>0</v>
      </c>
      <c r="R329" s="16">
        <f>IF(NOT(Paths!$C$36=1),0,IF(Paths!$P$36="Complete",IF(AND(C329=0,Paths!$E$36=0),I329-J329-K329+VLOOKUP(A329,'Fleet register'!$A$7:$S$106,15,FALSE)+VLOOKUP(A329,'Fleet register'!$A$7:$S$106,16,FALSE),0),"n.a."))</f>
        <v>0</v>
      </c>
      <c r="S329" s="1">
        <f>IF(NOT(Paths!$C$36=1),0,IF(Paths!$P$36="Complete",IF(C329=0,0,Paths!$S$36*Paths!$R$36),"n.a."))</f>
        <v>0</v>
      </c>
      <c r="T329" s="1">
        <f>IF(NOT(Paths!$C$36=1),0,IF(Paths!$P$36="Complete",IF(C329=0,0,VLOOKUP(A329,'Fleet register'!$A$7:$S$106,9,FALSE)*Paths!$R$36),"n.a."))</f>
        <v>0</v>
      </c>
    </row>
    <row r="330" spans="1:20" ht="24" customHeight="1">
      <c r="A330" s="1" t="str">
        <f>Paths!$A$36</f>
        <v>T008</v>
      </c>
      <c r="B330" s="1">
        <f>Paths!$B$36</f>
        <v>1</v>
      </c>
      <c r="C330" s="1">
        <v>4</v>
      </c>
      <c r="D330" s="1">
        <v>36</v>
      </c>
      <c r="E330" s="1">
        <f>IF(OR(Paths!$C$36=0,C330=0),0,MAX(0,MIN(C330*12,Paths!$E$36)-(C330-1)*12))</f>
        <v>0</v>
      </c>
      <c r="F330" s="1">
        <f>IF(OR(Paths!$C$36=0,C330=0),0,12-E330)</f>
        <v>0</v>
      </c>
      <c r="G330" s="16">
        <f>IF(NOT(Paths!$C$36=1),0,IF(Paths!$P$36="Complete",E330/12*(Paths!$J$36*(1+'Operating costs'!$B$51)^MAX(0,C330-1)+Paths!$K$36*(1+'Operating costs'!$B$53)^MAX(0,C330-1)),"n.a."))</f>
        <v>0</v>
      </c>
      <c r="H330" s="16">
        <f>IF(NOT(Paths!$C$36=1),0,IF(Paths!$P$36="Complete",F330/12*(Paths!$L$36*(1+IF(Paths!$D$36="EV",'Operating costs'!$B$52,'Operating costs'!$B$51))^MAX(0,C330-1)+Paths!$M$36*(1+'Operating costs'!$B$53)^MAX(0,C330-1)),"n.a."))</f>
        <v>0</v>
      </c>
      <c r="I330" s="16">
        <f>IF(NOT(Paths!$C$36=1),0,IF(Paths!$P$36="Complete",IF(IF(Paths!$E$36=0,C330=0,AND(C330&gt;0,Paths!$E$36&gt;(C330-1)*12,Paths!$E$36&lt;=C330*12)),Paths!$G$36,0),"n.a."))</f>
        <v>0</v>
      </c>
      <c r="J330" s="16">
        <f>IF(NOT(Paths!$C$36=1),0,IF(Paths!$P$36="Complete",IF(IF(Paths!$E$36=0,C330=0,AND(C330&gt;0,Paths!$E$36&gt;(C330-1)*12,Paths!$E$36&lt;=C330*12)),Paths!$H$36,0),"n.a."))</f>
        <v>0</v>
      </c>
      <c r="K330" s="16">
        <f>IF(NOT(Paths!$C$36=1),0,IF(Paths!$P$36="Complete",IF(IF(Paths!$O$36=0,C330=0,AND(C330&gt;0,Paths!$O$36&gt;(C330-1)*12,Paths!$O$36&lt;=C330*12)),Paths!$N$36,0),"n.a."))</f>
        <v>0</v>
      </c>
      <c r="L330" s="16">
        <f>IF(NOT(Paths!$C$36=1),0,IF(Paths!$P$36="Complete",IF(C330=10,Paths!$I$36,0),"n.a."))</f>
        <v>0</v>
      </c>
      <c r="M330" s="16">
        <f>IF(NOT(Paths!$C$36=1),0,IF(Paths!$P$36="Complete",IF(AND(Paths!$D$36="EV",Paths!$E$36&lt;120,Paths!$E$36+'Operating costs'!$B$65&gt;Paths!$E$36,Paths!$E$36+'Operating costs'!$B$65&lt;=120,IF(Paths!$E$36+'Operating costs'!$B$65=0,C330=0,AND(C330&gt;0,Paths!$E$36+'Operating costs'!$B$65&gt;(C330-1)*12,Paths!$E$36+'Operating costs'!$B$65&lt;=C330*12))),'Operating costs'!$B$64,0)+IF(AND('Operating costs'!$B$67&gt;0,'Operating costs'!$B$67&lt;=120,OR(Paths!$D$36="ICE",'Operating costs'!$B$67&lt;=Paths!$E$36),IF('Operating costs'!$B$67=0,C330=0,AND(C330&gt;0,'Operating costs'!$B$67&gt;(C330-1)*12,'Operating costs'!$B$67&lt;=C330*12))),'Operating costs'!$B$66,0),"n.a."))</f>
        <v>0</v>
      </c>
      <c r="N330" s="16">
        <f>IF(NOT(Paths!$C$36=1),0,IF(Paths!$P$36="Complete",SUM(G330:I330)-J330-K330-L330+M330+IF(C330=0,Paths!$F$36,0)+IF(IF(Paths!$E$36=0,C330=0,AND(C330&gt;0,Paths!$E$36&gt;(C330-1)*12,Paths!$E$36&lt;=C330*12)),VLOOKUP(A330,'Fleet register'!$A$7:$S$106,16,FALSE),0),"n.a."))</f>
        <v>0</v>
      </c>
      <c r="O330" s="16">
        <f>IF(NOT(Paths!$C$36=1),0,IF(Paths!$P$36="Complete",N330-IF(C330=0,Paths!$F$36,0),"n.a."))</f>
        <v>0</v>
      </c>
      <c r="P330" s="16">
        <f>IF(NOT(Paths!$C$36=1),0,IF(Paths!$P$36="Complete",O330+L330,"n.a."))</f>
        <v>0</v>
      </c>
      <c r="Q330" s="16">
        <f>IF(NOT(Paths!$C$36=1),0,IF(Paths!$P$36="Complete",N330*(1+'Operating costs'!$B$54)^-C330,"n.a."))</f>
        <v>0</v>
      </c>
      <c r="R330" s="16">
        <f>IF(NOT(Paths!$C$36=1),0,IF(Paths!$P$36="Complete",IF(AND(C330=0,Paths!$E$36=0),I330-J330-K330+VLOOKUP(A330,'Fleet register'!$A$7:$S$106,15,FALSE)+VLOOKUP(A330,'Fleet register'!$A$7:$S$106,16,FALSE),0),"n.a."))</f>
        <v>0</v>
      </c>
      <c r="S330" s="1">
        <f>IF(NOT(Paths!$C$36=1),0,IF(Paths!$P$36="Complete",IF(C330=0,0,Paths!$S$36*Paths!$R$36),"n.a."))</f>
        <v>0</v>
      </c>
      <c r="T330" s="1">
        <f>IF(NOT(Paths!$C$36=1),0,IF(Paths!$P$36="Complete",IF(C330=0,0,VLOOKUP(A330,'Fleet register'!$A$7:$S$106,9,FALSE)*Paths!$R$36),"n.a."))</f>
        <v>0</v>
      </c>
    </row>
    <row r="331" spans="1:20" ht="24" customHeight="1">
      <c r="A331" s="1" t="str">
        <f>Paths!$A$36</f>
        <v>T008</v>
      </c>
      <c r="B331" s="1">
        <f>Paths!$B$36</f>
        <v>1</v>
      </c>
      <c r="C331" s="1">
        <v>5</v>
      </c>
      <c r="D331" s="1">
        <v>36</v>
      </c>
      <c r="E331" s="1">
        <f>IF(OR(Paths!$C$36=0,C331=0),0,MAX(0,MIN(C331*12,Paths!$E$36)-(C331-1)*12))</f>
        <v>0</v>
      </c>
      <c r="F331" s="1">
        <f>IF(OR(Paths!$C$36=0,C331=0),0,12-E331)</f>
        <v>0</v>
      </c>
      <c r="G331" s="16">
        <f>IF(NOT(Paths!$C$36=1),0,IF(Paths!$P$36="Complete",E331/12*(Paths!$J$36*(1+'Operating costs'!$B$51)^MAX(0,C331-1)+Paths!$K$36*(1+'Operating costs'!$B$53)^MAX(0,C331-1)),"n.a."))</f>
        <v>0</v>
      </c>
      <c r="H331" s="16">
        <f>IF(NOT(Paths!$C$36=1),0,IF(Paths!$P$36="Complete",F331/12*(Paths!$L$36*(1+IF(Paths!$D$36="EV",'Operating costs'!$B$52,'Operating costs'!$B$51))^MAX(0,C331-1)+Paths!$M$36*(1+'Operating costs'!$B$53)^MAX(0,C331-1)),"n.a."))</f>
        <v>0</v>
      </c>
      <c r="I331" s="16">
        <f>IF(NOT(Paths!$C$36=1),0,IF(Paths!$P$36="Complete",IF(IF(Paths!$E$36=0,C331=0,AND(C331&gt;0,Paths!$E$36&gt;(C331-1)*12,Paths!$E$36&lt;=C331*12)),Paths!$G$36,0),"n.a."))</f>
        <v>0</v>
      </c>
      <c r="J331" s="16">
        <f>IF(NOT(Paths!$C$36=1),0,IF(Paths!$P$36="Complete",IF(IF(Paths!$E$36=0,C331=0,AND(C331&gt;0,Paths!$E$36&gt;(C331-1)*12,Paths!$E$36&lt;=C331*12)),Paths!$H$36,0),"n.a."))</f>
        <v>0</v>
      </c>
      <c r="K331" s="16">
        <f>IF(NOT(Paths!$C$36=1),0,IF(Paths!$P$36="Complete",IF(IF(Paths!$O$36=0,C331=0,AND(C331&gt;0,Paths!$O$36&gt;(C331-1)*12,Paths!$O$36&lt;=C331*12)),Paths!$N$36,0),"n.a."))</f>
        <v>0</v>
      </c>
      <c r="L331" s="16">
        <f>IF(NOT(Paths!$C$36=1),0,IF(Paths!$P$36="Complete",IF(C331=10,Paths!$I$36,0),"n.a."))</f>
        <v>0</v>
      </c>
      <c r="M331" s="16">
        <f>IF(NOT(Paths!$C$36=1),0,IF(Paths!$P$36="Complete",IF(AND(Paths!$D$36="EV",Paths!$E$36&lt;120,Paths!$E$36+'Operating costs'!$B$65&gt;Paths!$E$36,Paths!$E$36+'Operating costs'!$B$65&lt;=120,IF(Paths!$E$36+'Operating costs'!$B$65=0,C331=0,AND(C331&gt;0,Paths!$E$36+'Operating costs'!$B$65&gt;(C331-1)*12,Paths!$E$36+'Operating costs'!$B$65&lt;=C331*12))),'Operating costs'!$B$64,0)+IF(AND('Operating costs'!$B$67&gt;0,'Operating costs'!$B$67&lt;=120,OR(Paths!$D$36="ICE",'Operating costs'!$B$67&lt;=Paths!$E$36),IF('Operating costs'!$B$67=0,C331=0,AND(C331&gt;0,'Operating costs'!$B$67&gt;(C331-1)*12,'Operating costs'!$B$67&lt;=C331*12))),'Operating costs'!$B$66,0),"n.a."))</f>
        <v>0</v>
      </c>
      <c r="N331" s="16">
        <f>IF(NOT(Paths!$C$36=1),0,IF(Paths!$P$36="Complete",SUM(G331:I331)-J331-K331-L331+M331+IF(C331=0,Paths!$F$36,0)+IF(IF(Paths!$E$36=0,C331=0,AND(C331&gt;0,Paths!$E$36&gt;(C331-1)*12,Paths!$E$36&lt;=C331*12)),VLOOKUP(A331,'Fleet register'!$A$7:$S$106,16,FALSE),0),"n.a."))</f>
        <v>0</v>
      </c>
      <c r="O331" s="16">
        <f>IF(NOT(Paths!$C$36=1),0,IF(Paths!$P$36="Complete",N331-IF(C331=0,Paths!$F$36,0),"n.a."))</f>
        <v>0</v>
      </c>
      <c r="P331" s="16">
        <f>IF(NOT(Paths!$C$36=1),0,IF(Paths!$P$36="Complete",O331+L331,"n.a."))</f>
        <v>0</v>
      </c>
      <c r="Q331" s="16">
        <f>IF(NOT(Paths!$C$36=1),0,IF(Paths!$P$36="Complete",N331*(1+'Operating costs'!$B$54)^-C331,"n.a."))</f>
        <v>0</v>
      </c>
      <c r="R331" s="16">
        <f>IF(NOT(Paths!$C$36=1),0,IF(Paths!$P$36="Complete",IF(AND(C331=0,Paths!$E$36=0),I331-J331-K331+VLOOKUP(A331,'Fleet register'!$A$7:$S$106,15,FALSE)+VLOOKUP(A331,'Fleet register'!$A$7:$S$106,16,FALSE),0),"n.a."))</f>
        <v>0</v>
      </c>
      <c r="S331" s="1">
        <f>IF(NOT(Paths!$C$36=1),0,IF(Paths!$P$36="Complete",IF(C331=0,0,Paths!$S$36*Paths!$R$36),"n.a."))</f>
        <v>0</v>
      </c>
      <c r="T331" s="1">
        <f>IF(NOT(Paths!$C$36=1),0,IF(Paths!$P$36="Complete",IF(C331=0,0,VLOOKUP(A331,'Fleet register'!$A$7:$S$106,9,FALSE)*Paths!$R$36),"n.a."))</f>
        <v>0</v>
      </c>
    </row>
    <row r="332" spans="1:20" ht="24" customHeight="1">
      <c r="A332" s="1" t="str">
        <f>Paths!$A$36</f>
        <v>T008</v>
      </c>
      <c r="B332" s="1">
        <f>Paths!$B$36</f>
        <v>1</v>
      </c>
      <c r="C332" s="1">
        <v>6</v>
      </c>
      <c r="D332" s="1">
        <v>36</v>
      </c>
      <c r="E332" s="1">
        <f>IF(OR(Paths!$C$36=0,C332=0),0,MAX(0,MIN(C332*12,Paths!$E$36)-(C332-1)*12))</f>
        <v>0</v>
      </c>
      <c r="F332" s="1">
        <f>IF(OR(Paths!$C$36=0,C332=0),0,12-E332)</f>
        <v>0</v>
      </c>
      <c r="G332" s="16">
        <f>IF(NOT(Paths!$C$36=1),0,IF(Paths!$P$36="Complete",E332/12*(Paths!$J$36*(1+'Operating costs'!$B$51)^MAX(0,C332-1)+Paths!$K$36*(1+'Operating costs'!$B$53)^MAX(0,C332-1)),"n.a."))</f>
        <v>0</v>
      </c>
      <c r="H332" s="16">
        <f>IF(NOT(Paths!$C$36=1),0,IF(Paths!$P$36="Complete",F332/12*(Paths!$L$36*(1+IF(Paths!$D$36="EV",'Operating costs'!$B$52,'Operating costs'!$B$51))^MAX(0,C332-1)+Paths!$M$36*(1+'Operating costs'!$B$53)^MAX(0,C332-1)),"n.a."))</f>
        <v>0</v>
      </c>
      <c r="I332" s="16">
        <f>IF(NOT(Paths!$C$36=1),0,IF(Paths!$P$36="Complete",IF(IF(Paths!$E$36=0,C332=0,AND(C332&gt;0,Paths!$E$36&gt;(C332-1)*12,Paths!$E$36&lt;=C332*12)),Paths!$G$36,0),"n.a."))</f>
        <v>0</v>
      </c>
      <c r="J332" s="16">
        <f>IF(NOT(Paths!$C$36=1),0,IF(Paths!$P$36="Complete",IF(IF(Paths!$E$36=0,C332=0,AND(C332&gt;0,Paths!$E$36&gt;(C332-1)*12,Paths!$E$36&lt;=C332*12)),Paths!$H$36,0),"n.a."))</f>
        <v>0</v>
      </c>
      <c r="K332" s="16">
        <f>IF(NOT(Paths!$C$36=1),0,IF(Paths!$P$36="Complete",IF(IF(Paths!$O$36=0,C332=0,AND(C332&gt;0,Paths!$O$36&gt;(C332-1)*12,Paths!$O$36&lt;=C332*12)),Paths!$N$36,0),"n.a."))</f>
        <v>0</v>
      </c>
      <c r="L332" s="16">
        <f>IF(NOT(Paths!$C$36=1),0,IF(Paths!$P$36="Complete",IF(C332=10,Paths!$I$36,0),"n.a."))</f>
        <v>0</v>
      </c>
      <c r="M332" s="16">
        <f>IF(NOT(Paths!$C$36=1),0,IF(Paths!$P$36="Complete",IF(AND(Paths!$D$36="EV",Paths!$E$36&lt;120,Paths!$E$36+'Operating costs'!$B$65&gt;Paths!$E$36,Paths!$E$36+'Operating costs'!$B$65&lt;=120,IF(Paths!$E$36+'Operating costs'!$B$65=0,C332=0,AND(C332&gt;0,Paths!$E$36+'Operating costs'!$B$65&gt;(C332-1)*12,Paths!$E$36+'Operating costs'!$B$65&lt;=C332*12))),'Operating costs'!$B$64,0)+IF(AND('Operating costs'!$B$67&gt;0,'Operating costs'!$B$67&lt;=120,OR(Paths!$D$36="ICE",'Operating costs'!$B$67&lt;=Paths!$E$36),IF('Operating costs'!$B$67=0,C332=0,AND(C332&gt;0,'Operating costs'!$B$67&gt;(C332-1)*12,'Operating costs'!$B$67&lt;=C332*12))),'Operating costs'!$B$66,0),"n.a."))</f>
        <v>0</v>
      </c>
      <c r="N332" s="16">
        <f>IF(NOT(Paths!$C$36=1),0,IF(Paths!$P$36="Complete",SUM(G332:I332)-J332-K332-L332+M332+IF(C332=0,Paths!$F$36,0)+IF(IF(Paths!$E$36=0,C332=0,AND(C332&gt;0,Paths!$E$36&gt;(C332-1)*12,Paths!$E$36&lt;=C332*12)),VLOOKUP(A332,'Fleet register'!$A$7:$S$106,16,FALSE),0),"n.a."))</f>
        <v>0</v>
      </c>
      <c r="O332" s="16">
        <f>IF(NOT(Paths!$C$36=1),0,IF(Paths!$P$36="Complete",N332-IF(C332=0,Paths!$F$36,0),"n.a."))</f>
        <v>0</v>
      </c>
      <c r="P332" s="16">
        <f>IF(NOT(Paths!$C$36=1),0,IF(Paths!$P$36="Complete",O332+L332,"n.a."))</f>
        <v>0</v>
      </c>
      <c r="Q332" s="16">
        <f>IF(NOT(Paths!$C$36=1),0,IF(Paths!$P$36="Complete",N332*(1+'Operating costs'!$B$54)^-C332,"n.a."))</f>
        <v>0</v>
      </c>
      <c r="R332" s="16">
        <f>IF(NOT(Paths!$C$36=1),0,IF(Paths!$P$36="Complete",IF(AND(C332=0,Paths!$E$36=0),I332-J332-K332+VLOOKUP(A332,'Fleet register'!$A$7:$S$106,15,FALSE)+VLOOKUP(A332,'Fleet register'!$A$7:$S$106,16,FALSE),0),"n.a."))</f>
        <v>0</v>
      </c>
      <c r="S332" s="1">
        <f>IF(NOT(Paths!$C$36=1),0,IF(Paths!$P$36="Complete",IF(C332=0,0,Paths!$S$36*Paths!$R$36),"n.a."))</f>
        <v>0</v>
      </c>
      <c r="T332" s="1">
        <f>IF(NOT(Paths!$C$36=1),0,IF(Paths!$P$36="Complete",IF(C332=0,0,VLOOKUP(A332,'Fleet register'!$A$7:$S$106,9,FALSE)*Paths!$R$36),"n.a."))</f>
        <v>0</v>
      </c>
    </row>
    <row r="333" spans="1:20" ht="24" customHeight="1">
      <c r="A333" s="1" t="str">
        <f>Paths!$A$36</f>
        <v>T008</v>
      </c>
      <c r="B333" s="1">
        <f>Paths!$B$36</f>
        <v>1</v>
      </c>
      <c r="C333" s="1">
        <v>7</v>
      </c>
      <c r="D333" s="1">
        <v>36</v>
      </c>
      <c r="E333" s="1">
        <f>IF(OR(Paths!$C$36=0,C333=0),0,MAX(0,MIN(C333*12,Paths!$E$36)-(C333-1)*12))</f>
        <v>0</v>
      </c>
      <c r="F333" s="1">
        <f>IF(OR(Paths!$C$36=0,C333=0),0,12-E333)</f>
        <v>0</v>
      </c>
      <c r="G333" s="16">
        <f>IF(NOT(Paths!$C$36=1),0,IF(Paths!$P$36="Complete",E333/12*(Paths!$J$36*(1+'Operating costs'!$B$51)^MAX(0,C333-1)+Paths!$K$36*(1+'Operating costs'!$B$53)^MAX(0,C333-1)),"n.a."))</f>
        <v>0</v>
      </c>
      <c r="H333" s="16">
        <f>IF(NOT(Paths!$C$36=1),0,IF(Paths!$P$36="Complete",F333/12*(Paths!$L$36*(1+IF(Paths!$D$36="EV",'Operating costs'!$B$52,'Operating costs'!$B$51))^MAX(0,C333-1)+Paths!$M$36*(1+'Operating costs'!$B$53)^MAX(0,C333-1)),"n.a."))</f>
        <v>0</v>
      </c>
      <c r="I333" s="16">
        <f>IF(NOT(Paths!$C$36=1),0,IF(Paths!$P$36="Complete",IF(IF(Paths!$E$36=0,C333=0,AND(C333&gt;0,Paths!$E$36&gt;(C333-1)*12,Paths!$E$36&lt;=C333*12)),Paths!$G$36,0),"n.a."))</f>
        <v>0</v>
      </c>
      <c r="J333" s="16">
        <f>IF(NOT(Paths!$C$36=1),0,IF(Paths!$P$36="Complete",IF(IF(Paths!$E$36=0,C333=0,AND(C333&gt;0,Paths!$E$36&gt;(C333-1)*12,Paths!$E$36&lt;=C333*12)),Paths!$H$36,0),"n.a."))</f>
        <v>0</v>
      </c>
      <c r="K333" s="16">
        <f>IF(NOT(Paths!$C$36=1),0,IF(Paths!$P$36="Complete",IF(IF(Paths!$O$36=0,C333=0,AND(C333&gt;0,Paths!$O$36&gt;(C333-1)*12,Paths!$O$36&lt;=C333*12)),Paths!$N$36,0),"n.a."))</f>
        <v>0</v>
      </c>
      <c r="L333" s="16">
        <f>IF(NOT(Paths!$C$36=1),0,IF(Paths!$P$36="Complete",IF(C333=10,Paths!$I$36,0),"n.a."))</f>
        <v>0</v>
      </c>
      <c r="M333" s="16">
        <f>IF(NOT(Paths!$C$36=1),0,IF(Paths!$P$36="Complete",IF(AND(Paths!$D$36="EV",Paths!$E$36&lt;120,Paths!$E$36+'Operating costs'!$B$65&gt;Paths!$E$36,Paths!$E$36+'Operating costs'!$B$65&lt;=120,IF(Paths!$E$36+'Operating costs'!$B$65=0,C333=0,AND(C333&gt;0,Paths!$E$36+'Operating costs'!$B$65&gt;(C333-1)*12,Paths!$E$36+'Operating costs'!$B$65&lt;=C333*12))),'Operating costs'!$B$64,0)+IF(AND('Operating costs'!$B$67&gt;0,'Operating costs'!$B$67&lt;=120,OR(Paths!$D$36="ICE",'Operating costs'!$B$67&lt;=Paths!$E$36),IF('Operating costs'!$B$67=0,C333=0,AND(C333&gt;0,'Operating costs'!$B$67&gt;(C333-1)*12,'Operating costs'!$B$67&lt;=C333*12))),'Operating costs'!$B$66,0),"n.a."))</f>
        <v>0</v>
      </c>
      <c r="N333" s="16">
        <f>IF(NOT(Paths!$C$36=1),0,IF(Paths!$P$36="Complete",SUM(G333:I333)-J333-K333-L333+M333+IF(C333=0,Paths!$F$36,0)+IF(IF(Paths!$E$36=0,C333=0,AND(C333&gt;0,Paths!$E$36&gt;(C333-1)*12,Paths!$E$36&lt;=C333*12)),VLOOKUP(A333,'Fleet register'!$A$7:$S$106,16,FALSE),0),"n.a."))</f>
        <v>0</v>
      </c>
      <c r="O333" s="16">
        <f>IF(NOT(Paths!$C$36=1),0,IF(Paths!$P$36="Complete",N333-IF(C333=0,Paths!$F$36,0),"n.a."))</f>
        <v>0</v>
      </c>
      <c r="P333" s="16">
        <f>IF(NOT(Paths!$C$36=1),0,IF(Paths!$P$36="Complete",O333+L333,"n.a."))</f>
        <v>0</v>
      </c>
      <c r="Q333" s="16">
        <f>IF(NOT(Paths!$C$36=1),0,IF(Paths!$P$36="Complete",N333*(1+'Operating costs'!$B$54)^-C333,"n.a."))</f>
        <v>0</v>
      </c>
      <c r="R333" s="16">
        <f>IF(NOT(Paths!$C$36=1),0,IF(Paths!$P$36="Complete",IF(AND(C333=0,Paths!$E$36=0),I333-J333-K333+VLOOKUP(A333,'Fleet register'!$A$7:$S$106,15,FALSE)+VLOOKUP(A333,'Fleet register'!$A$7:$S$106,16,FALSE),0),"n.a."))</f>
        <v>0</v>
      </c>
      <c r="S333" s="1">
        <f>IF(NOT(Paths!$C$36=1),0,IF(Paths!$P$36="Complete",IF(C333=0,0,Paths!$S$36*Paths!$R$36),"n.a."))</f>
        <v>0</v>
      </c>
      <c r="T333" s="1">
        <f>IF(NOT(Paths!$C$36=1),0,IF(Paths!$P$36="Complete",IF(C333=0,0,VLOOKUP(A333,'Fleet register'!$A$7:$S$106,9,FALSE)*Paths!$R$36),"n.a."))</f>
        <v>0</v>
      </c>
    </row>
    <row r="334" spans="1:20" ht="24" customHeight="1">
      <c r="A334" s="1" t="str">
        <f>Paths!$A$36</f>
        <v>T008</v>
      </c>
      <c r="B334" s="1">
        <f>Paths!$B$36</f>
        <v>1</v>
      </c>
      <c r="C334" s="1">
        <v>8</v>
      </c>
      <c r="D334" s="1">
        <v>36</v>
      </c>
      <c r="E334" s="1">
        <f>IF(OR(Paths!$C$36=0,C334=0),0,MAX(0,MIN(C334*12,Paths!$E$36)-(C334-1)*12))</f>
        <v>0</v>
      </c>
      <c r="F334" s="1">
        <f>IF(OR(Paths!$C$36=0,C334=0),0,12-E334)</f>
        <v>0</v>
      </c>
      <c r="G334" s="16">
        <f>IF(NOT(Paths!$C$36=1),0,IF(Paths!$P$36="Complete",E334/12*(Paths!$J$36*(1+'Operating costs'!$B$51)^MAX(0,C334-1)+Paths!$K$36*(1+'Operating costs'!$B$53)^MAX(0,C334-1)),"n.a."))</f>
        <v>0</v>
      </c>
      <c r="H334" s="16">
        <f>IF(NOT(Paths!$C$36=1),0,IF(Paths!$P$36="Complete",F334/12*(Paths!$L$36*(1+IF(Paths!$D$36="EV",'Operating costs'!$B$52,'Operating costs'!$B$51))^MAX(0,C334-1)+Paths!$M$36*(1+'Operating costs'!$B$53)^MAX(0,C334-1)),"n.a."))</f>
        <v>0</v>
      </c>
      <c r="I334" s="16">
        <f>IF(NOT(Paths!$C$36=1),0,IF(Paths!$P$36="Complete",IF(IF(Paths!$E$36=0,C334=0,AND(C334&gt;0,Paths!$E$36&gt;(C334-1)*12,Paths!$E$36&lt;=C334*12)),Paths!$G$36,0),"n.a."))</f>
        <v>0</v>
      </c>
      <c r="J334" s="16">
        <f>IF(NOT(Paths!$C$36=1),0,IF(Paths!$P$36="Complete",IF(IF(Paths!$E$36=0,C334=0,AND(C334&gt;0,Paths!$E$36&gt;(C334-1)*12,Paths!$E$36&lt;=C334*12)),Paths!$H$36,0),"n.a."))</f>
        <v>0</v>
      </c>
      <c r="K334" s="16">
        <f>IF(NOT(Paths!$C$36=1),0,IF(Paths!$P$36="Complete",IF(IF(Paths!$O$36=0,C334=0,AND(C334&gt;0,Paths!$O$36&gt;(C334-1)*12,Paths!$O$36&lt;=C334*12)),Paths!$N$36,0),"n.a."))</f>
        <v>0</v>
      </c>
      <c r="L334" s="16">
        <f>IF(NOT(Paths!$C$36=1),0,IF(Paths!$P$36="Complete",IF(C334=10,Paths!$I$36,0),"n.a."))</f>
        <v>0</v>
      </c>
      <c r="M334" s="16">
        <f>IF(NOT(Paths!$C$36=1),0,IF(Paths!$P$36="Complete",IF(AND(Paths!$D$36="EV",Paths!$E$36&lt;120,Paths!$E$36+'Operating costs'!$B$65&gt;Paths!$E$36,Paths!$E$36+'Operating costs'!$B$65&lt;=120,IF(Paths!$E$36+'Operating costs'!$B$65=0,C334=0,AND(C334&gt;0,Paths!$E$36+'Operating costs'!$B$65&gt;(C334-1)*12,Paths!$E$36+'Operating costs'!$B$65&lt;=C334*12))),'Operating costs'!$B$64,0)+IF(AND('Operating costs'!$B$67&gt;0,'Operating costs'!$B$67&lt;=120,OR(Paths!$D$36="ICE",'Operating costs'!$B$67&lt;=Paths!$E$36),IF('Operating costs'!$B$67=0,C334=0,AND(C334&gt;0,'Operating costs'!$B$67&gt;(C334-1)*12,'Operating costs'!$B$67&lt;=C334*12))),'Operating costs'!$B$66,0),"n.a."))</f>
        <v>0</v>
      </c>
      <c r="N334" s="16">
        <f>IF(NOT(Paths!$C$36=1),0,IF(Paths!$P$36="Complete",SUM(G334:I334)-J334-K334-L334+M334+IF(C334=0,Paths!$F$36,0)+IF(IF(Paths!$E$36=0,C334=0,AND(C334&gt;0,Paths!$E$36&gt;(C334-1)*12,Paths!$E$36&lt;=C334*12)),VLOOKUP(A334,'Fleet register'!$A$7:$S$106,16,FALSE),0),"n.a."))</f>
        <v>0</v>
      </c>
      <c r="O334" s="16">
        <f>IF(NOT(Paths!$C$36=1),0,IF(Paths!$P$36="Complete",N334-IF(C334=0,Paths!$F$36,0),"n.a."))</f>
        <v>0</v>
      </c>
      <c r="P334" s="16">
        <f>IF(NOT(Paths!$C$36=1),0,IF(Paths!$P$36="Complete",O334+L334,"n.a."))</f>
        <v>0</v>
      </c>
      <c r="Q334" s="16">
        <f>IF(NOT(Paths!$C$36=1),0,IF(Paths!$P$36="Complete",N334*(1+'Operating costs'!$B$54)^-C334,"n.a."))</f>
        <v>0</v>
      </c>
      <c r="R334" s="16">
        <f>IF(NOT(Paths!$C$36=1),0,IF(Paths!$P$36="Complete",IF(AND(C334=0,Paths!$E$36=0),I334-J334-K334+VLOOKUP(A334,'Fleet register'!$A$7:$S$106,15,FALSE)+VLOOKUP(A334,'Fleet register'!$A$7:$S$106,16,FALSE),0),"n.a."))</f>
        <v>0</v>
      </c>
      <c r="S334" s="1">
        <f>IF(NOT(Paths!$C$36=1),0,IF(Paths!$P$36="Complete",IF(C334=0,0,Paths!$S$36*Paths!$R$36),"n.a."))</f>
        <v>0</v>
      </c>
      <c r="T334" s="1">
        <f>IF(NOT(Paths!$C$36=1),0,IF(Paths!$P$36="Complete",IF(C334=0,0,VLOOKUP(A334,'Fleet register'!$A$7:$S$106,9,FALSE)*Paths!$R$36),"n.a."))</f>
        <v>0</v>
      </c>
    </row>
    <row r="335" spans="1:20" ht="24" customHeight="1">
      <c r="A335" s="1" t="str">
        <f>Paths!$A$36</f>
        <v>T008</v>
      </c>
      <c r="B335" s="1">
        <f>Paths!$B$36</f>
        <v>1</v>
      </c>
      <c r="C335" s="1">
        <v>9</v>
      </c>
      <c r="D335" s="1">
        <v>36</v>
      </c>
      <c r="E335" s="1">
        <f>IF(OR(Paths!$C$36=0,C335=0),0,MAX(0,MIN(C335*12,Paths!$E$36)-(C335-1)*12))</f>
        <v>0</v>
      </c>
      <c r="F335" s="1">
        <f>IF(OR(Paths!$C$36=0,C335=0),0,12-E335)</f>
        <v>0</v>
      </c>
      <c r="G335" s="16">
        <f>IF(NOT(Paths!$C$36=1),0,IF(Paths!$P$36="Complete",E335/12*(Paths!$J$36*(1+'Operating costs'!$B$51)^MAX(0,C335-1)+Paths!$K$36*(1+'Operating costs'!$B$53)^MAX(0,C335-1)),"n.a."))</f>
        <v>0</v>
      </c>
      <c r="H335" s="16">
        <f>IF(NOT(Paths!$C$36=1),0,IF(Paths!$P$36="Complete",F335/12*(Paths!$L$36*(1+IF(Paths!$D$36="EV",'Operating costs'!$B$52,'Operating costs'!$B$51))^MAX(0,C335-1)+Paths!$M$36*(1+'Operating costs'!$B$53)^MAX(0,C335-1)),"n.a."))</f>
        <v>0</v>
      </c>
      <c r="I335" s="16">
        <f>IF(NOT(Paths!$C$36=1),0,IF(Paths!$P$36="Complete",IF(IF(Paths!$E$36=0,C335=0,AND(C335&gt;0,Paths!$E$36&gt;(C335-1)*12,Paths!$E$36&lt;=C335*12)),Paths!$G$36,0),"n.a."))</f>
        <v>0</v>
      </c>
      <c r="J335" s="16">
        <f>IF(NOT(Paths!$C$36=1),0,IF(Paths!$P$36="Complete",IF(IF(Paths!$E$36=0,C335=0,AND(C335&gt;0,Paths!$E$36&gt;(C335-1)*12,Paths!$E$36&lt;=C335*12)),Paths!$H$36,0),"n.a."))</f>
        <v>0</v>
      </c>
      <c r="K335" s="16">
        <f>IF(NOT(Paths!$C$36=1),0,IF(Paths!$P$36="Complete",IF(IF(Paths!$O$36=0,C335=0,AND(C335&gt;0,Paths!$O$36&gt;(C335-1)*12,Paths!$O$36&lt;=C335*12)),Paths!$N$36,0),"n.a."))</f>
        <v>0</v>
      </c>
      <c r="L335" s="16">
        <f>IF(NOT(Paths!$C$36=1),0,IF(Paths!$P$36="Complete",IF(C335=10,Paths!$I$36,0),"n.a."))</f>
        <v>0</v>
      </c>
      <c r="M335" s="16">
        <f>IF(NOT(Paths!$C$36=1),0,IF(Paths!$P$36="Complete",IF(AND(Paths!$D$36="EV",Paths!$E$36&lt;120,Paths!$E$36+'Operating costs'!$B$65&gt;Paths!$E$36,Paths!$E$36+'Operating costs'!$B$65&lt;=120,IF(Paths!$E$36+'Operating costs'!$B$65=0,C335=0,AND(C335&gt;0,Paths!$E$36+'Operating costs'!$B$65&gt;(C335-1)*12,Paths!$E$36+'Operating costs'!$B$65&lt;=C335*12))),'Operating costs'!$B$64,0)+IF(AND('Operating costs'!$B$67&gt;0,'Operating costs'!$B$67&lt;=120,OR(Paths!$D$36="ICE",'Operating costs'!$B$67&lt;=Paths!$E$36),IF('Operating costs'!$B$67=0,C335=0,AND(C335&gt;0,'Operating costs'!$B$67&gt;(C335-1)*12,'Operating costs'!$B$67&lt;=C335*12))),'Operating costs'!$B$66,0),"n.a."))</f>
        <v>0</v>
      </c>
      <c r="N335" s="16">
        <f>IF(NOT(Paths!$C$36=1),0,IF(Paths!$P$36="Complete",SUM(G335:I335)-J335-K335-L335+M335+IF(C335=0,Paths!$F$36,0)+IF(IF(Paths!$E$36=0,C335=0,AND(C335&gt;0,Paths!$E$36&gt;(C335-1)*12,Paths!$E$36&lt;=C335*12)),VLOOKUP(A335,'Fleet register'!$A$7:$S$106,16,FALSE),0),"n.a."))</f>
        <v>0</v>
      </c>
      <c r="O335" s="16">
        <f>IF(NOT(Paths!$C$36=1),0,IF(Paths!$P$36="Complete",N335-IF(C335=0,Paths!$F$36,0),"n.a."))</f>
        <v>0</v>
      </c>
      <c r="P335" s="16">
        <f>IF(NOT(Paths!$C$36=1),0,IF(Paths!$P$36="Complete",O335+L335,"n.a."))</f>
        <v>0</v>
      </c>
      <c r="Q335" s="16">
        <f>IF(NOT(Paths!$C$36=1),0,IF(Paths!$P$36="Complete",N335*(1+'Operating costs'!$B$54)^-C335,"n.a."))</f>
        <v>0</v>
      </c>
      <c r="R335" s="16">
        <f>IF(NOT(Paths!$C$36=1),0,IF(Paths!$P$36="Complete",IF(AND(C335=0,Paths!$E$36=0),I335-J335-K335+VLOOKUP(A335,'Fleet register'!$A$7:$S$106,15,FALSE)+VLOOKUP(A335,'Fleet register'!$A$7:$S$106,16,FALSE),0),"n.a."))</f>
        <v>0</v>
      </c>
      <c r="S335" s="1">
        <f>IF(NOT(Paths!$C$36=1),0,IF(Paths!$P$36="Complete",IF(C335=0,0,Paths!$S$36*Paths!$R$36),"n.a."))</f>
        <v>0</v>
      </c>
      <c r="T335" s="1">
        <f>IF(NOT(Paths!$C$36=1),0,IF(Paths!$P$36="Complete",IF(C335=0,0,VLOOKUP(A335,'Fleet register'!$A$7:$S$106,9,FALSE)*Paths!$R$36),"n.a."))</f>
        <v>0</v>
      </c>
    </row>
    <row r="336" spans="1:20" ht="24" customHeight="1">
      <c r="A336" s="1" t="str">
        <f>Paths!$A$36</f>
        <v>T008</v>
      </c>
      <c r="B336" s="1">
        <f>Paths!$B$36</f>
        <v>1</v>
      </c>
      <c r="C336" s="1">
        <v>10</v>
      </c>
      <c r="D336" s="1">
        <v>36</v>
      </c>
      <c r="E336" s="1">
        <f>IF(OR(Paths!$C$36=0,C336=0),0,MAX(0,MIN(C336*12,Paths!$E$36)-(C336-1)*12))</f>
        <v>0</v>
      </c>
      <c r="F336" s="1">
        <f>IF(OR(Paths!$C$36=0,C336=0),0,12-E336)</f>
        <v>0</v>
      </c>
      <c r="G336" s="16">
        <f>IF(NOT(Paths!$C$36=1),0,IF(Paths!$P$36="Complete",E336/12*(Paths!$J$36*(1+'Operating costs'!$B$51)^MAX(0,C336-1)+Paths!$K$36*(1+'Operating costs'!$B$53)^MAX(0,C336-1)),"n.a."))</f>
        <v>0</v>
      </c>
      <c r="H336" s="16">
        <f>IF(NOT(Paths!$C$36=1),0,IF(Paths!$P$36="Complete",F336/12*(Paths!$L$36*(1+IF(Paths!$D$36="EV",'Operating costs'!$B$52,'Operating costs'!$B$51))^MAX(0,C336-1)+Paths!$M$36*(1+'Operating costs'!$B$53)^MAX(0,C336-1)),"n.a."))</f>
        <v>0</v>
      </c>
      <c r="I336" s="16">
        <f>IF(NOT(Paths!$C$36=1),0,IF(Paths!$P$36="Complete",IF(IF(Paths!$E$36=0,C336=0,AND(C336&gt;0,Paths!$E$36&gt;(C336-1)*12,Paths!$E$36&lt;=C336*12)),Paths!$G$36,0),"n.a."))</f>
        <v>0</v>
      </c>
      <c r="J336" s="16">
        <f>IF(NOT(Paths!$C$36=1),0,IF(Paths!$P$36="Complete",IF(IF(Paths!$E$36=0,C336=0,AND(C336&gt;0,Paths!$E$36&gt;(C336-1)*12,Paths!$E$36&lt;=C336*12)),Paths!$H$36,0),"n.a."))</f>
        <v>0</v>
      </c>
      <c r="K336" s="16">
        <f>IF(NOT(Paths!$C$36=1),0,IF(Paths!$P$36="Complete",IF(IF(Paths!$O$36=0,C336=0,AND(C336&gt;0,Paths!$O$36&gt;(C336-1)*12,Paths!$O$36&lt;=C336*12)),Paths!$N$36,0),"n.a."))</f>
        <v>0</v>
      </c>
      <c r="L336" s="16">
        <f>IF(NOT(Paths!$C$36=1),0,IF(Paths!$P$36="Complete",IF(C336=10,Paths!$I$36,0),"n.a."))</f>
        <v>0</v>
      </c>
      <c r="M336" s="16">
        <f>IF(NOT(Paths!$C$36=1),0,IF(Paths!$P$36="Complete",IF(AND(Paths!$D$36="EV",Paths!$E$36&lt;120,Paths!$E$36+'Operating costs'!$B$65&gt;Paths!$E$36,Paths!$E$36+'Operating costs'!$B$65&lt;=120,IF(Paths!$E$36+'Operating costs'!$B$65=0,C336=0,AND(C336&gt;0,Paths!$E$36+'Operating costs'!$B$65&gt;(C336-1)*12,Paths!$E$36+'Operating costs'!$B$65&lt;=C336*12))),'Operating costs'!$B$64,0)+IF(AND('Operating costs'!$B$67&gt;0,'Operating costs'!$B$67&lt;=120,OR(Paths!$D$36="ICE",'Operating costs'!$B$67&lt;=Paths!$E$36),IF('Operating costs'!$B$67=0,C336=0,AND(C336&gt;0,'Operating costs'!$B$67&gt;(C336-1)*12,'Operating costs'!$B$67&lt;=C336*12))),'Operating costs'!$B$66,0),"n.a."))</f>
        <v>0</v>
      </c>
      <c r="N336" s="16">
        <f>IF(NOT(Paths!$C$36=1),0,IF(Paths!$P$36="Complete",SUM(G336:I336)-J336-K336-L336+M336+IF(C336=0,Paths!$F$36,0)+IF(IF(Paths!$E$36=0,C336=0,AND(C336&gt;0,Paths!$E$36&gt;(C336-1)*12,Paths!$E$36&lt;=C336*12)),VLOOKUP(A336,'Fleet register'!$A$7:$S$106,16,FALSE),0),"n.a."))</f>
        <v>0</v>
      </c>
      <c r="O336" s="16">
        <f>IF(NOT(Paths!$C$36=1),0,IF(Paths!$P$36="Complete",N336-IF(C336=0,Paths!$F$36,0),"n.a."))</f>
        <v>0</v>
      </c>
      <c r="P336" s="16">
        <f>IF(NOT(Paths!$C$36=1),0,IF(Paths!$P$36="Complete",O336+L336,"n.a."))</f>
        <v>0</v>
      </c>
      <c r="Q336" s="16">
        <f>IF(NOT(Paths!$C$36=1),0,IF(Paths!$P$36="Complete",N336*(1+'Operating costs'!$B$54)^-C336,"n.a."))</f>
        <v>0</v>
      </c>
      <c r="R336" s="16">
        <f>IF(NOT(Paths!$C$36=1),0,IF(Paths!$P$36="Complete",IF(AND(C336=0,Paths!$E$36=0),I336-J336-K336+VLOOKUP(A336,'Fleet register'!$A$7:$S$106,15,FALSE)+VLOOKUP(A336,'Fleet register'!$A$7:$S$106,16,FALSE),0),"n.a."))</f>
        <v>0</v>
      </c>
      <c r="S336" s="1">
        <f>IF(NOT(Paths!$C$36=1),0,IF(Paths!$P$36="Complete",IF(C336=0,0,Paths!$S$36*Paths!$R$36),"n.a."))</f>
        <v>0</v>
      </c>
      <c r="T336" s="1">
        <f>IF(NOT(Paths!$C$36=1),0,IF(Paths!$P$36="Complete",IF(C336=0,0,VLOOKUP(A336,'Fleet register'!$A$7:$S$106,9,FALSE)*Paths!$R$36),"n.a."))</f>
        <v>0</v>
      </c>
    </row>
    <row r="337" spans="1:20" ht="24" customHeight="1">
      <c r="A337" s="1" t="str">
        <f>Paths!$A$37</f>
        <v>T008</v>
      </c>
      <c r="B337" s="1">
        <f>Paths!$B$37</f>
        <v>2</v>
      </c>
      <c r="C337" s="1">
        <v>0</v>
      </c>
      <c r="D337" s="1">
        <v>37</v>
      </c>
      <c r="E337" s="1">
        <f>IF(OR(Paths!$C$37=0,C337=0),0,MAX(0,MIN(C337*12,Paths!$E$37)-(C337-1)*12))</f>
        <v>0</v>
      </c>
      <c r="F337" s="1">
        <f>IF(OR(Paths!$C$37=0,C337=0),0,12-E337)</f>
        <v>0</v>
      </c>
      <c r="G337" s="16">
        <f>IF(NOT(Paths!$C$37=1),0,IF(Paths!$P$37="Complete",E337/12*(Paths!$J$37*(1+'Operating costs'!$B$51)^MAX(0,C337-1)+Paths!$K$37*(1+'Operating costs'!$B$53)^MAX(0,C337-1)),"n.a."))</f>
        <v>0</v>
      </c>
      <c r="H337" s="16">
        <f>IF(NOT(Paths!$C$37=1),0,IF(Paths!$P$37="Complete",F337/12*(Paths!$L$37*(1+IF(Paths!$D$37="EV",'Operating costs'!$B$52,'Operating costs'!$B$51))^MAX(0,C337-1)+Paths!$M$37*(1+'Operating costs'!$B$53)^MAX(0,C337-1)),"n.a."))</f>
        <v>0</v>
      </c>
      <c r="I337" s="16">
        <f>IF(NOT(Paths!$C$37=1),0,IF(Paths!$P$37="Complete",IF(IF(Paths!$E$37=0,C337=0,AND(C337&gt;0,Paths!$E$37&gt;(C337-1)*12,Paths!$E$37&lt;=C337*12)),Paths!$G$37,0),"n.a."))</f>
        <v>0</v>
      </c>
      <c r="J337" s="16">
        <f>IF(NOT(Paths!$C$37=1),0,IF(Paths!$P$37="Complete",IF(IF(Paths!$E$37=0,C337=0,AND(C337&gt;0,Paths!$E$37&gt;(C337-1)*12,Paths!$E$37&lt;=C337*12)),Paths!$H$37,0),"n.a."))</f>
        <v>0</v>
      </c>
      <c r="K337" s="16">
        <f>IF(NOT(Paths!$C$37=1),0,IF(Paths!$P$37="Complete",IF(IF(Paths!$O$37=0,C337=0,AND(C337&gt;0,Paths!$O$37&gt;(C337-1)*12,Paths!$O$37&lt;=C337*12)),Paths!$N$37,0),"n.a."))</f>
        <v>0</v>
      </c>
      <c r="L337" s="16">
        <f>IF(NOT(Paths!$C$37=1),0,IF(Paths!$P$37="Complete",IF(C337=10,Paths!$I$37,0),"n.a."))</f>
        <v>0</v>
      </c>
      <c r="M337" s="16">
        <f>IF(NOT(Paths!$C$37=1),0,IF(Paths!$P$37="Complete",IF(AND(Paths!$D$37="EV",Paths!$E$37&lt;120,Paths!$E$37+'Operating costs'!$B$65&gt;Paths!$E$37,Paths!$E$37+'Operating costs'!$B$65&lt;=120,IF(Paths!$E$37+'Operating costs'!$B$65=0,C337=0,AND(C337&gt;0,Paths!$E$37+'Operating costs'!$B$65&gt;(C337-1)*12,Paths!$E$37+'Operating costs'!$B$65&lt;=C337*12))),'Operating costs'!$B$64,0)+IF(AND('Operating costs'!$B$67&gt;0,'Operating costs'!$B$67&lt;=120,OR(Paths!$D$37="ICE",'Operating costs'!$B$67&lt;=Paths!$E$37),IF('Operating costs'!$B$67=0,C337=0,AND(C337&gt;0,'Operating costs'!$B$67&gt;(C337-1)*12,'Operating costs'!$B$67&lt;=C337*12))),'Operating costs'!$B$66,0),"n.a."))</f>
        <v>0</v>
      </c>
      <c r="N337" s="16">
        <f>IF(NOT(Paths!$C$37=1),0,IF(Paths!$P$37="Complete",SUM(G337:I337)-J337-K337-L337+M337+IF(C337=0,Paths!$F$37,0)+IF(IF(Paths!$E$37=0,C337=0,AND(C337&gt;0,Paths!$E$37&gt;(C337-1)*12,Paths!$E$37&lt;=C337*12)),VLOOKUP(A337,'Fleet register'!$A$7:$S$106,16,FALSE),0),"n.a."))</f>
        <v>0</v>
      </c>
      <c r="O337" s="16">
        <f>IF(NOT(Paths!$C$37=1),0,IF(Paths!$P$37="Complete",N337-IF(C337=0,Paths!$F$37,0),"n.a."))</f>
        <v>0</v>
      </c>
      <c r="P337" s="16">
        <f>IF(NOT(Paths!$C$37=1),0,IF(Paths!$P$37="Complete",O337+L337,"n.a."))</f>
        <v>0</v>
      </c>
      <c r="Q337" s="16">
        <f>IF(NOT(Paths!$C$37=1),0,IF(Paths!$P$37="Complete",N337*(1+'Operating costs'!$B$54)^-C337,"n.a."))</f>
        <v>0</v>
      </c>
      <c r="R337" s="16">
        <f>IF(NOT(Paths!$C$37=1),0,IF(Paths!$P$37="Complete",IF(AND(C337=0,Paths!$E$37=0),I337-J337-K337+VLOOKUP(A337,'Fleet register'!$A$7:$S$106,15,FALSE)+VLOOKUP(A337,'Fleet register'!$A$7:$S$106,16,FALSE),0),"n.a."))</f>
        <v>0</v>
      </c>
      <c r="S337" s="1">
        <f>IF(NOT(Paths!$C$37=1),0,IF(Paths!$P$37="Complete",IF(C337=0,0,Paths!$S$37*Paths!$R$37),"n.a."))</f>
        <v>0</v>
      </c>
      <c r="T337" s="1">
        <f>IF(NOT(Paths!$C$37=1),0,IF(Paths!$P$37="Complete",IF(C337=0,0,VLOOKUP(A337,'Fleet register'!$A$7:$S$106,9,FALSE)*Paths!$R$37),"n.a."))</f>
        <v>0</v>
      </c>
    </row>
    <row r="338" spans="1:20" ht="24" customHeight="1">
      <c r="A338" s="1" t="str">
        <f>Paths!$A$37</f>
        <v>T008</v>
      </c>
      <c r="B338" s="1">
        <f>Paths!$B$37</f>
        <v>2</v>
      </c>
      <c r="C338" s="1">
        <v>1</v>
      </c>
      <c r="D338" s="1">
        <v>37</v>
      </c>
      <c r="E338" s="1">
        <f>IF(OR(Paths!$C$37=0,C338=0),0,MAX(0,MIN(C338*12,Paths!$E$37)-(C338-1)*12))</f>
        <v>0</v>
      </c>
      <c r="F338" s="1">
        <f>IF(OR(Paths!$C$37=0,C338=0),0,12-E338)</f>
        <v>0</v>
      </c>
      <c r="G338" s="16">
        <f>IF(NOT(Paths!$C$37=1),0,IF(Paths!$P$37="Complete",E338/12*(Paths!$J$37*(1+'Operating costs'!$B$51)^MAX(0,C338-1)+Paths!$K$37*(1+'Operating costs'!$B$53)^MAX(0,C338-1)),"n.a."))</f>
        <v>0</v>
      </c>
      <c r="H338" s="16">
        <f>IF(NOT(Paths!$C$37=1),0,IF(Paths!$P$37="Complete",F338/12*(Paths!$L$37*(1+IF(Paths!$D$37="EV",'Operating costs'!$B$52,'Operating costs'!$B$51))^MAX(0,C338-1)+Paths!$M$37*(1+'Operating costs'!$B$53)^MAX(0,C338-1)),"n.a."))</f>
        <v>0</v>
      </c>
      <c r="I338" s="16">
        <f>IF(NOT(Paths!$C$37=1),0,IF(Paths!$P$37="Complete",IF(IF(Paths!$E$37=0,C338=0,AND(C338&gt;0,Paths!$E$37&gt;(C338-1)*12,Paths!$E$37&lt;=C338*12)),Paths!$G$37,0),"n.a."))</f>
        <v>0</v>
      </c>
      <c r="J338" s="16">
        <f>IF(NOT(Paths!$C$37=1),0,IF(Paths!$P$37="Complete",IF(IF(Paths!$E$37=0,C338=0,AND(C338&gt;0,Paths!$E$37&gt;(C338-1)*12,Paths!$E$37&lt;=C338*12)),Paths!$H$37,0),"n.a."))</f>
        <v>0</v>
      </c>
      <c r="K338" s="16">
        <f>IF(NOT(Paths!$C$37=1),0,IF(Paths!$P$37="Complete",IF(IF(Paths!$O$37=0,C338=0,AND(C338&gt;0,Paths!$O$37&gt;(C338-1)*12,Paths!$O$37&lt;=C338*12)),Paths!$N$37,0),"n.a."))</f>
        <v>0</v>
      </c>
      <c r="L338" s="16">
        <f>IF(NOT(Paths!$C$37=1),0,IF(Paths!$P$37="Complete",IF(C338=10,Paths!$I$37,0),"n.a."))</f>
        <v>0</v>
      </c>
      <c r="M338" s="16">
        <f>IF(NOT(Paths!$C$37=1),0,IF(Paths!$P$37="Complete",IF(AND(Paths!$D$37="EV",Paths!$E$37&lt;120,Paths!$E$37+'Operating costs'!$B$65&gt;Paths!$E$37,Paths!$E$37+'Operating costs'!$B$65&lt;=120,IF(Paths!$E$37+'Operating costs'!$B$65=0,C338=0,AND(C338&gt;0,Paths!$E$37+'Operating costs'!$B$65&gt;(C338-1)*12,Paths!$E$37+'Operating costs'!$B$65&lt;=C338*12))),'Operating costs'!$B$64,0)+IF(AND('Operating costs'!$B$67&gt;0,'Operating costs'!$B$67&lt;=120,OR(Paths!$D$37="ICE",'Operating costs'!$B$67&lt;=Paths!$E$37),IF('Operating costs'!$B$67=0,C338=0,AND(C338&gt;0,'Operating costs'!$B$67&gt;(C338-1)*12,'Operating costs'!$B$67&lt;=C338*12))),'Operating costs'!$B$66,0),"n.a."))</f>
        <v>0</v>
      </c>
      <c r="N338" s="16">
        <f>IF(NOT(Paths!$C$37=1),0,IF(Paths!$P$37="Complete",SUM(G338:I338)-J338-K338-L338+M338+IF(C338=0,Paths!$F$37,0)+IF(IF(Paths!$E$37=0,C338=0,AND(C338&gt;0,Paths!$E$37&gt;(C338-1)*12,Paths!$E$37&lt;=C338*12)),VLOOKUP(A338,'Fleet register'!$A$7:$S$106,16,FALSE),0),"n.a."))</f>
        <v>0</v>
      </c>
      <c r="O338" s="16">
        <f>IF(NOT(Paths!$C$37=1),0,IF(Paths!$P$37="Complete",N338-IF(C338=0,Paths!$F$37,0),"n.a."))</f>
        <v>0</v>
      </c>
      <c r="P338" s="16">
        <f>IF(NOT(Paths!$C$37=1),0,IF(Paths!$P$37="Complete",O338+L338,"n.a."))</f>
        <v>0</v>
      </c>
      <c r="Q338" s="16">
        <f>IF(NOT(Paths!$C$37=1),0,IF(Paths!$P$37="Complete",N338*(1+'Operating costs'!$B$54)^-C338,"n.a."))</f>
        <v>0</v>
      </c>
      <c r="R338" s="16">
        <f>IF(NOT(Paths!$C$37=1),0,IF(Paths!$P$37="Complete",IF(AND(C338=0,Paths!$E$37=0),I338-J338-K338+VLOOKUP(A338,'Fleet register'!$A$7:$S$106,15,FALSE)+VLOOKUP(A338,'Fleet register'!$A$7:$S$106,16,FALSE),0),"n.a."))</f>
        <v>0</v>
      </c>
      <c r="S338" s="1">
        <f>IF(NOT(Paths!$C$37=1),0,IF(Paths!$P$37="Complete",IF(C338=0,0,Paths!$S$37*Paths!$R$37),"n.a."))</f>
        <v>0</v>
      </c>
      <c r="T338" s="1">
        <f>IF(NOT(Paths!$C$37=1),0,IF(Paths!$P$37="Complete",IF(C338=0,0,VLOOKUP(A338,'Fleet register'!$A$7:$S$106,9,FALSE)*Paths!$R$37),"n.a."))</f>
        <v>0</v>
      </c>
    </row>
    <row r="339" spans="1:20" ht="24" customHeight="1">
      <c r="A339" s="1" t="str">
        <f>Paths!$A$37</f>
        <v>T008</v>
      </c>
      <c r="B339" s="1">
        <f>Paths!$B$37</f>
        <v>2</v>
      </c>
      <c r="C339" s="1">
        <v>2</v>
      </c>
      <c r="D339" s="1">
        <v>37</v>
      </c>
      <c r="E339" s="1">
        <f>IF(OR(Paths!$C$37=0,C339=0),0,MAX(0,MIN(C339*12,Paths!$E$37)-(C339-1)*12))</f>
        <v>0</v>
      </c>
      <c r="F339" s="1">
        <f>IF(OR(Paths!$C$37=0,C339=0),0,12-E339)</f>
        <v>0</v>
      </c>
      <c r="G339" s="16">
        <f>IF(NOT(Paths!$C$37=1),0,IF(Paths!$P$37="Complete",E339/12*(Paths!$J$37*(1+'Operating costs'!$B$51)^MAX(0,C339-1)+Paths!$K$37*(1+'Operating costs'!$B$53)^MAX(0,C339-1)),"n.a."))</f>
        <v>0</v>
      </c>
      <c r="H339" s="16">
        <f>IF(NOT(Paths!$C$37=1),0,IF(Paths!$P$37="Complete",F339/12*(Paths!$L$37*(1+IF(Paths!$D$37="EV",'Operating costs'!$B$52,'Operating costs'!$B$51))^MAX(0,C339-1)+Paths!$M$37*(1+'Operating costs'!$B$53)^MAX(0,C339-1)),"n.a."))</f>
        <v>0</v>
      </c>
      <c r="I339" s="16">
        <f>IF(NOT(Paths!$C$37=1),0,IF(Paths!$P$37="Complete",IF(IF(Paths!$E$37=0,C339=0,AND(C339&gt;0,Paths!$E$37&gt;(C339-1)*12,Paths!$E$37&lt;=C339*12)),Paths!$G$37,0),"n.a."))</f>
        <v>0</v>
      </c>
      <c r="J339" s="16">
        <f>IF(NOT(Paths!$C$37=1),0,IF(Paths!$P$37="Complete",IF(IF(Paths!$E$37=0,C339=0,AND(C339&gt;0,Paths!$E$37&gt;(C339-1)*12,Paths!$E$37&lt;=C339*12)),Paths!$H$37,0),"n.a."))</f>
        <v>0</v>
      </c>
      <c r="K339" s="16">
        <f>IF(NOT(Paths!$C$37=1),0,IF(Paths!$P$37="Complete",IF(IF(Paths!$O$37=0,C339=0,AND(C339&gt;0,Paths!$O$37&gt;(C339-1)*12,Paths!$O$37&lt;=C339*12)),Paths!$N$37,0),"n.a."))</f>
        <v>0</v>
      </c>
      <c r="L339" s="16">
        <f>IF(NOT(Paths!$C$37=1),0,IF(Paths!$P$37="Complete",IF(C339=10,Paths!$I$37,0),"n.a."))</f>
        <v>0</v>
      </c>
      <c r="M339" s="16">
        <f>IF(NOT(Paths!$C$37=1),0,IF(Paths!$P$37="Complete",IF(AND(Paths!$D$37="EV",Paths!$E$37&lt;120,Paths!$E$37+'Operating costs'!$B$65&gt;Paths!$E$37,Paths!$E$37+'Operating costs'!$B$65&lt;=120,IF(Paths!$E$37+'Operating costs'!$B$65=0,C339=0,AND(C339&gt;0,Paths!$E$37+'Operating costs'!$B$65&gt;(C339-1)*12,Paths!$E$37+'Operating costs'!$B$65&lt;=C339*12))),'Operating costs'!$B$64,0)+IF(AND('Operating costs'!$B$67&gt;0,'Operating costs'!$B$67&lt;=120,OR(Paths!$D$37="ICE",'Operating costs'!$B$67&lt;=Paths!$E$37),IF('Operating costs'!$B$67=0,C339=0,AND(C339&gt;0,'Operating costs'!$B$67&gt;(C339-1)*12,'Operating costs'!$B$67&lt;=C339*12))),'Operating costs'!$B$66,0),"n.a."))</f>
        <v>0</v>
      </c>
      <c r="N339" s="16">
        <f>IF(NOT(Paths!$C$37=1),0,IF(Paths!$P$37="Complete",SUM(G339:I339)-J339-K339-L339+M339+IF(C339=0,Paths!$F$37,0)+IF(IF(Paths!$E$37=0,C339=0,AND(C339&gt;0,Paths!$E$37&gt;(C339-1)*12,Paths!$E$37&lt;=C339*12)),VLOOKUP(A339,'Fleet register'!$A$7:$S$106,16,FALSE),0),"n.a."))</f>
        <v>0</v>
      </c>
      <c r="O339" s="16">
        <f>IF(NOT(Paths!$C$37=1),0,IF(Paths!$P$37="Complete",N339-IF(C339=0,Paths!$F$37,0),"n.a."))</f>
        <v>0</v>
      </c>
      <c r="P339" s="16">
        <f>IF(NOT(Paths!$C$37=1),0,IF(Paths!$P$37="Complete",O339+L339,"n.a."))</f>
        <v>0</v>
      </c>
      <c r="Q339" s="16">
        <f>IF(NOT(Paths!$C$37=1),0,IF(Paths!$P$37="Complete",N339*(1+'Operating costs'!$B$54)^-C339,"n.a."))</f>
        <v>0</v>
      </c>
      <c r="R339" s="16">
        <f>IF(NOT(Paths!$C$37=1),0,IF(Paths!$P$37="Complete",IF(AND(C339=0,Paths!$E$37=0),I339-J339-K339+VLOOKUP(A339,'Fleet register'!$A$7:$S$106,15,FALSE)+VLOOKUP(A339,'Fleet register'!$A$7:$S$106,16,FALSE),0),"n.a."))</f>
        <v>0</v>
      </c>
      <c r="S339" s="1">
        <f>IF(NOT(Paths!$C$37=1),0,IF(Paths!$P$37="Complete",IF(C339=0,0,Paths!$S$37*Paths!$R$37),"n.a."))</f>
        <v>0</v>
      </c>
      <c r="T339" s="1">
        <f>IF(NOT(Paths!$C$37=1),0,IF(Paths!$P$37="Complete",IF(C339=0,0,VLOOKUP(A339,'Fleet register'!$A$7:$S$106,9,FALSE)*Paths!$R$37),"n.a."))</f>
        <v>0</v>
      </c>
    </row>
    <row r="340" spans="1:20" ht="24" customHeight="1">
      <c r="A340" s="1" t="str">
        <f>Paths!$A$37</f>
        <v>T008</v>
      </c>
      <c r="B340" s="1">
        <f>Paths!$B$37</f>
        <v>2</v>
      </c>
      <c r="C340" s="1">
        <v>3</v>
      </c>
      <c r="D340" s="1">
        <v>37</v>
      </c>
      <c r="E340" s="1">
        <f>IF(OR(Paths!$C$37=0,C340=0),0,MAX(0,MIN(C340*12,Paths!$E$37)-(C340-1)*12))</f>
        <v>0</v>
      </c>
      <c r="F340" s="1">
        <f>IF(OR(Paths!$C$37=0,C340=0),0,12-E340)</f>
        <v>0</v>
      </c>
      <c r="G340" s="16">
        <f>IF(NOT(Paths!$C$37=1),0,IF(Paths!$P$37="Complete",E340/12*(Paths!$J$37*(1+'Operating costs'!$B$51)^MAX(0,C340-1)+Paths!$K$37*(1+'Operating costs'!$B$53)^MAX(0,C340-1)),"n.a."))</f>
        <v>0</v>
      </c>
      <c r="H340" s="16">
        <f>IF(NOT(Paths!$C$37=1),0,IF(Paths!$P$37="Complete",F340/12*(Paths!$L$37*(1+IF(Paths!$D$37="EV",'Operating costs'!$B$52,'Operating costs'!$B$51))^MAX(0,C340-1)+Paths!$M$37*(1+'Operating costs'!$B$53)^MAX(0,C340-1)),"n.a."))</f>
        <v>0</v>
      </c>
      <c r="I340" s="16">
        <f>IF(NOT(Paths!$C$37=1),0,IF(Paths!$P$37="Complete",IF(IF(Paths!$E$37=0,C340=0,AND(C340&gt;0,Paths!$E$37&gt;(C340-1)*12,Paths!$E$37&lt;=C340*12)),Paths!$G$37,0),"n.a."))</f>
        <v>0</v>
      </c>
      <c r="J340" s="16">
        <f>IF(NOT(Paths!$C$37=1),0,IF(Paths!$P$37="Complete",IF(IF(Paths!$E$37=0,C340=0,AND(C340&gt;0,Paths!$E$37&gt;(C340-1)*12,Paths!$E$37&lt;=C340*12)),Paths!$H$37,0),"n.a."))</f>
        <v>0</v>
      </c>
      <c r="K340" s="16">
        <f>IF(NOT(Paths!$C$37=1),0,IF(Paths!$P$37="Complete",IF(IF(Paths!$O$37=0,C340=0,AND(C340&gt;0,Paths!$O$37&gt;(C340-1)*12,Paths!$O$37&lt;=C340*12)),Paths!$N$37,0),"n.a."))</f>
        <v>0</v>
      </c>
      <c r="L340" s="16">
        <f>IF(NOT(Paths!$C$37=1),0,IF(Paths!$P$37="Complete",IF(C340=10,Paths!$I$37,0),"n.a."))</f>
        <v>0</v>
      </c>
      <c r="M340" s="16">
        <f>IF(NOT(Paths!$C$37=1),0,IF(Paths!$P$37="Complete",IF(AND(Paths!$D$37="EV",Paths!$E$37&lt;120,Paths!$E$37+'Operating costs'!$B$65&gt;Paths!$E$37,Paths!$E$37+'Operating costs'!$B$65&lt;=120,IF(Paths!$E$37+'Operating costs'!$B$65=0,C340=0,AND(C340&gt;0,Paths!$E$37+'Operating costs'!$B$65&gt;(C340-1)*12,Paths!$E$37+'Operating costs'!$B$65&lt;=C340*12))),'Operating costs'!$B$64,0)+IF(AND('Operating costs'!$B$67&gt;0,'Operating costs'!$B$67&lt;=120,OR(Paths!$D$37="ICE",'Operating costs'!$B$67&lt;=Paths!$E$37),IF('Operating costs'!$B$67=0,C340=0,AND(C340&gt;0,'Operating costs'!$B$67&gt;(C340-1)*12,'Operating costs'!$B$67&lt;=C340*12))),'Operating costs'!$B$66,0),"n.a."))</f>
        <v>0</v>
      </c>
      <c r="N340" s="16">
        <f>IF(NOT(Paths!$C$37=1),0,IF(Paths!$P$37="Complete",SUM(G340:I340)-J340-K340-L340+M340+IF(C340=0,Paths!$F$37,0)+IF(IF(Paths!$E$37=0,C340=0,AND(C340&gt;0,Paths!$E$37&gt;(C340-1)*12,Paths!$E$37&lt;=C340*12)),VLOOKUP(A340,'Fleet register'!$A$7:$S$106,16,FALSE),0),"n.a."))</f>
        <v>0</v>
      </c>
      <c r="O340" s="16">
        <f>IF(NOT(Paths!$C$37=1),0,IF(Paths!$P$37="Complete",N340-IF(C340=0,Paths!$F$37,0),"n.a."))</f>
        <v>0</v>
      </c>
      <c r="P340" s="16">
        <f>IF(NOT(Paths!$C$37=1),0,IF(Paths!$P$37="Complete",O340+L340,"n.a."))</f>
        <v>0</v>
      </c>
      <c r="Q340" s="16">
        <f>IF(NOT(Paths!$C$37=1),0,IF(Paths!$P$37="Complete",N340*(1+'Operating costs'!$B$54)^-C340,"n.a."))</f>
        <v>0</v>
      </c>
      <c r="R340" s="16">
        <f>IF(NOT(Paths!$C$37=1),0,IF(Paths!$P$37="Complete",IF(AND(C340=0,Paths!$E$37=0),I340-J340-K340+VLOOKUP(A340,'Fleet register'!$A$7:$S$106,15,FALSE)+VLOOKUP(A340,'Fleet register'!$A$7:$S$106,16,FALSE),0),"n.a."))</f>
        <v>0</v>
      </c>
      <c r="S340" s="1">
        <f>IF(NOT(Paths!$C$37=1),0,IF(Paths!$P$37="Complete",IF(C340=0,0,Paths!$S$37*Paths!$R$37),"n.a."))</f>
        <v>0</v>
      </c>
      <c r="T340" s="1">
        <f>IF(NOT(Paths!$C$37=1),0,IF(Paths!$P$37="Complete",IF(C340=0,0,VLOOKUP(A340,'Fleet register'!$A$7:$S$106,9,FALSE)*Paths!$R$37),"n.a."))</f>
        <v>0</v>
      </c>
    </row>
    <row r="341" spans="1:20" ht="24" customHeight="1">
      <c r="A341" s="1" t="str">
        <f>Paths!$A$37</f>
        <v>T008</v>
      </c>
      <c r="B341" s="1">
        <f>Paths!$B$37</f>
        <v>2</v>
      </c>
      <c r="C341" s="1">
        <v>4</v>
      </c>
      <c r="D341" s="1">
        <v>37</v>
      </c>
      <c r="E341" s="1">
        <f>IF(OR(Paths!$C$37=0,C341=0),0,MAX(0,MIN(C341*12,Paths!$E$37)-(C341-1)*12))</f>
        <v>0</v>
      </c>
      <c r="F341" s="1">
        <f>IF(OR(Paths!$C$37=0,C341=0),0,12-E341)</f>
        <v>0</v>
      </c>
      <c r="G341" s="16">
        <f>IF(NOT(Paths!$C$37=1),0,IF(Paths!$P$37="Complete",E341/12*(Paths!$J$37*(1+'Operating costs'!$B$51)^MAX(0,C341-1)+Paths!$K$37*(1+'Operating costs'!$B$53)^MAX(0,C341-1)),"n.a."))</f>
        <v>0</v>
      </c>
      <c r="H341" s="16">
        <f>IF(NOT(Paths!$C$37=1),0,IF(Paths!$P$37="Complete",F341/12*(Paths!$L$37*(1+IF(Paths!$D$37="EV",'Operating costs'!$B$52,'Operating costs'!$B$51))^MAX(0,C341-1)+Paths!$M$37*(1+'Operating costs'!$B$53)^MAX(0,C341-1)),"n.a."))</f>
        <v>0</v>
      </c>
      <c r="I341" s="16">
        <f>IF(NOT(Paths!$C$37=1),0,IF(Paths!$P$37="Complete",IF(IF(Paths!$E$37=0,C341=0,AND(C341&gt;0,Paths!$E$37&gt;(C341-1)*12,Paths!$E$37&lt;=C341*12)),Paths!$G$37,0),"n.a."))</f>
        <v>0</v>
      </c>
      <c r="J341" s="16">
        <f>IF(NOT(Paths!$C$37=1),0,IF(Paths!$P$37="Complete",IF(IF(Paths!$E$37=0,C341=0,AND(C341&gt;0,Paths!$E$37&gt;(C341-1)*12,Paths!$E$37&lt;=C341*12)),Paths!$H$37,0),"n.a."))</f>
        <v>0</v>
      </c>
      <c r="K341" s="16">
        <f>IF(NOT(Paths!$C$37=1),0,IF(Paths!$P$37="Complete",IF(IF(Paths!$O$37=0,C341=0,AND(C341&gt;0,Paths!$O$37&gt;(C341-1)*12,Paths!$O$37&lt;=C341*12)),Paths!$N$37,0),"n.a."))</f>
        <v>0</v>
      </c>
      <c r="L341" s="16">
        <f>IF(NOT(Paths!$C$37=1),0,IF(Paths!$P$37="Complete",IF(C341=10,Paths!$I$37,0),"n.a."))</f>
        <v>0</v>
      </c>
      <c r="M341" s="16">
        <f>IF(NOT(Paths!$C$37=1),0,IF(Paths!$P$37="Complete",IF(AND(Paths!$D$37="EV",Paths!$E$37&lt;120,Paths!$E$37+'Operating costs'!$B$65&gt;Paths!$E$37,Paths!$E$37+'Operating costs'!$B$65&lt;=120,IF(Paths!$E$37+'Operating costs'!$B$65=0,C341=0,AND(C341&gt;0,Paths!$E$37+'Operating costs'!$B$65&gt;(C341-1)*12,Paths!$E$37+'Operating costs'!$B$65&lt;=C341*12))),'Operating costs'!$B$64,0)+IF(AND('Operating costs'!$B$67&gt;0,'Operating costs'!$B$67&lt;=120,OR(Paths!$D$37="ICE",'Operating costs'!$B$67&lt;=Paths!$E$37),IF('Operating costs'!$B$67=0,C341=0,AND(C341&gt;0,'Operating costs'!$B$67&gt;(C341-1)*12,'Operating costs'!$B$67&lt;=C341*12))),'Operating costs'!$B$66,0),"n.a."))</f>
        <v>0</v>
      </c>
      <c r="N341" s="16">
        <f>IF(NOT(Paths!$C$37=1),0,IF(Paths!$P$37="Complete",SUM(G341:I341)-J341-K341-L341+M341+IF(C341=0,Paths!$F$37,0)+IF(IF(Paths!$E$37=0,C341=0,AND(C341&gt;0,Paths!$E$37&gt;(C341-1)*12,Paths!$E$37&lt;=C341*12)),VLOOKUP(A341,'Fleet register'!$A$7:$S$106,16,FALSE),0),"n.a."))</f>
        <v>0</v>
      </c>
      <c r="O341" s="16">
        <f>IF(NOT(Paths!$C$37=1),0,IF(Paths!$P$37="Complete",N341-IF(C341=0,Paths!$F$37,0),"n.a."))</f>
        <v>0</v>
      </c>
      <c r="P341" s="16">
        <f>IF(NOT(Paths!$C$37=1),0,IF(Paths!$P$37="Complete",O341+L341,"n.a."))</f>
        <v>0</v>
      </c>
      <c r="Q341" s="16">
        <f>IF(NOT(Paths!$C$37=1),0,IF(Paths!$P$37="Complete",N341*(1+'Operating costs'!$B$54)^-C341,"n.a."))</f>
        <v>0</v>
      </c>
      <c r="R341" s="16">
        <f>IF(NOT(Paths!$C$37=1),0,IF(Paths!$P$37="Complete",IF(AND(C341=0,Paths!$E$37=0),I341-J341-K341+VLOOKUP(A341,'Fleet register'!$A$7:$S$106,15,FALSE)+VLOOKUP(A341,'Fleet register'!$A$7:$S$106,16,FALSE),0),"n.a."))</f>
        <v>0</v>
      </c>
      <c r="S341" s="1">
        <f>IF(NOT(Paths!$C$37=1),0,IF(Paths!$P$37="Complete",IF(C341=0,0,Paths!$S$37*Paths!$R$37),"n.a."))</f>
        <v>0</v>
      </c>
      <c r="T341" s="1">
        <f>IF(NOT(Paths!$C$37=1),0,IF(Paths!$P$37="Complete",IF(C341=0,0,VLOOKUP(A341,'Fleet register'!$A$7:$S$106,9,FALSE)*Paths!$R$37),"n.a."))</f>
        <v>0</v>
      </c>
    </row>
    <row r="342" spans="1:20" ht="24" customHeight="1">
      <c r="A342" s="1" t="str">
        <f>Paths!$A$37</f>
        <v>T008</v>
      </c>
      <c r="B342" s="1">
        <f>Paths!$B$37</f>
        <v>2</v>
      </c>
      <c r="C342" s="1">
        <v>5</v>
      </c>
      <c r="D342" s="1">
        <v>37</v>
      </c>
      <c r="E342" s="1">
        <f>IF(OR(Paths!$C$37=0,C342=0),0,MAX(0,MIN(C342*12,Paths!$E$37)-(C342-1)*12))</f>
        <v>0</v>
      </c>
      <c r="F342" s="1">
        <f>IF(OR(Paths!$C$37=0,C342=0),0,12-E342)</f>
        <v>0</v>
      </c>
      <c r="G342" s="16">
        <f>IF(NOT(Paths!$C$37=1),0,IF(Paths!$P$37="Complete",E342/12*(Paths!$J$37*(1+'Operating costs'!$B$51)^MAX(0,C342-1)+Paths!$K$37*(1+'Operating costs'!$B$53)^MAX(0,C342-1)),"n.a."))</f>
        <v>0</v>
      </c>
      <c r="H342" s="16">
        <f>IF(NOT(Paths!$C$37=1),0,IF(Paths!$P$37="Complete",F342/12*(Paths!$L$37*(1+IF(Paths!$D$37="EV",'Operating costs'!$B$52,'Operating costs'!$B$51))^MAX(0,C342-1)+Paths!$M$37*(1+'Operating costs'!$B$53)^MAX(0,C342-1)),"n.a."))</f>
        <v>0</v>
      </c>
      <c r="I342" s="16">
        <f>IF(NOT(Paths!$C$37=1),0,IF(Paths!$P$37="Complete",IF(IF(Paths!$E$37=0,C342=0,AND(C342&gt;0,Paths!$E$37&gt;(C342-1)*12,Paths!$E$37&lt;=C342*12)),Paths!$G$37,0),"n.a."))</f>
        <v>0</v>
      </c>
      <c r="J342" s="16">
        <f>IF(NOT(Paths!$C$37=1),0,IF(Paths!$P$37="Complete",IF(IF(Paths!$E$37=0,C342=0,AND(C342&gt;0,Paths!$E$37&gt;(C342-1)*12,Paths!$E$37&lt;=C342*12)),Paths!$H$37,0),"n.a."))</f>
        <v>0</v>
      </c>
      <c r="K342" s="16">
        <f>IF(NOT(Paths!$C$37=1),0,IF(Paths!$P$37="Complete",IF(IF(Paths!$O$37=0,C342=0,AND(C342&gt;0,Paths!$O$37&gt;(C342-1)*12,Paths!$O$37&lt;=C342*12)),Paths!$N$37,0),"n.a."))</f>
        <v>0</v>
      </c>
      <c r="L342" s="16">
        <f>IF(NOT(Paths!$C$37=1),0,IF(Paths!$P$37="Complete",IF(C342=10,Paths!$I$37,0),"n.a."))</f>
        <v>0</v>
      </c>
      <c r="M342" s="16">
        <f>IF(NOT(Paths!$C$37=1),0,IF(Paths!$P$37="Complete",IF(AND(Paths!$D$37="EV",Paths!$E$37&lt;120,Paths!$E$37+'Operating costs'!$B$65&gt;Paths!$E$37,Paths!$E$37+'Operating costs'!$B$65&lt;=120,IF(Paths!$E$37+'Operating costs'!$B$65=0,C342=0,AND(C342&gt;0,Paths!$E$37+'Operating costs'!$B$65&gt;(C342-1)*12,Paths!$E$37+'Operating costs'!$B$65&lt;=C342*12))),'Operating costs'!$B$64,0)+IF(AND('Operating costs'!$B$67&gt;0,'Operating costs'!$B$67&lt;=120,OR(Paths!$D$37="ICE",'Operating costs'!$B$67&lt;=Paths!$E$37),IF('Operating costs'!$B$67=0,C342=0,AND(C342&gt;0,'Operating costs'!$B$67&gt;(C342-1)*12,'Operating costs'!$B$67&lt;=C342*12))),'Operating costs'!$B$66,0),"n.a."))</f>
        <v>0</v>
      </c>
      <c r="N342" s="16">
        <f>IF(NOT(Paths!$C$37=1),0,IF(Paths!$P$37="Complete",SUM(G342:I342)-J342-K342-L342+M342+IF(C342=0,Paths!$F$37,0)+IF(IF(Paths!$E$37=0,C342=0,AND(C342&gt;0,Paths!$E$37&gt;(C342-1)*12,Paths!$E$37&lt;=C342*12)),VLOOKUP(A342,'Fleet register'!$A$7:$S$106,16,FALSE),0),"n.a."))</f>
        <v>0</v>
      </c>
      <c r="O342" s="16">
        <f>IF(NOT(Paths!$C$37=1),0,IF(Paths!$P$37="Complete",N342-IF(C342=0,Paths!$F$37,0),"n.a."))</f>
        <v>0</v>
      </c>
      <c r="P342" s="16">
        <f>IF(NOT(Paths!$C$37=1),0,IF(Paths!$P$37="Complete",O342+L342,"n.a."))</f>
        <v>0</v>
      </c>
      <c r="Q342" s="16">
        <f>IF(NOT(Paths!$C$37=1),0,IF(Paths!$P$37="Complete",N342*(1+'Operating costs'!$B$54)^-C342,"n.a."))</f>
        <v>0</v>
      </c>
      <c r="R342" s="16">
        <f>IF(NOT(Paths!$C$37=1),0,IF(Paths!$P$37="Complete",IF(AND(C342=0,Paths!$E$37=0),I342-J342-K342+VLOOKUP(A342,'Fleet register'!$A$7:$S$106,15,FALSE)+VLOOKUP(A342,'Fleet register'!$A$7:$S$106,16,FALSE),0),"n.a."))</f>
        <v>0</v>
      </c>
      <c r="S342" s="1">
        <f>IF(NOT(Paths!$C$37=1),0,IF(Paths!$P$37="Complete",IF(C342=0,0,Paths!$S$37*Paths!$R$37),"n.a."))</f>
        <v>0</v>
      </c>
      <c r="T342" s="1">
        <f>IF(NOT(Paths!$C$37=1),0,IF(Paths!$P$37="Complete",IF(C342=0,0,VLOOKUP(A342,'Fleet register'!$A$7:$S$106,9,FALSE)*Paths!$R$37),"n.a."))</f>
        <v>0</v>
      </c>
    </row>
    <row r="343" spans="1:20" ht="24" customHeight="1">
      <c r="A343" s="1" t="str">
        <f>Paths!$A$37</f>
        <v>T008</v>
      </c>
      <c r="B343" s="1">
        <f>Paths!$B$37</f>
        <v>2</v>
      </c>
      <c r="C343" s="1">
        <v>6</v>
      </c>
      <c r="D343" s="1">
        <v>37</v>
      </c>
      <c r="E343" s="1">
        <f>IF(OR(Paths!$C$37=0,C343=0),0,MAX(0,MIN(C343*12,Paths!$E$37)-(C343-1)*12))</f>
        <v>0</v>
      </c>
      <c r="F343" s="1">
        <f>IF(OR(Paths!$C$37=0,C343=0),0,12-E343)</f>
        <v>0</v>
      </c>
      <c r="G343" s="16">
        <f>IF(NOT(Paths!$C$37=1),0,IF(Paths!$P$37="Complete",E343/12*(Paths!$J$37*(1+'Operating costs'!$B$51)^MAX(0,C343-1)+Paths!$K$37*(1+'Operating costs'!$B$53)^MAX(0,C343-1)),"n.a."))</f>
        <v>0</v>
      </c>
      <c r="H343" s="16">
        <f>IF(NOT(Paths!$C$37=1),0,IF(Paths!$P$37="Complete",F343/12*(Paths!$L$37*(1+IF(Paths!$D$37="EV",'Operating costs'!$B$52,'Operating costs'!$B$51))^MAX(0,C343-1)+Paths!$M$37*(1+'Operating costs'!$B$53)^MAX(0,C343-1)),"n.a."))</f>
        <v>0</v>
      </c>
      <c r="I343" s="16">
        <f>IF(NOT(Paths!$C$37=1),0,IF(Paths!$P$37="Complete",IF(IF(Paths!$E$37=0,C343=0,AND(C343&gt;0,Paths!$E$37&gt;(C343-1)*12,Paths!$E$37&lt;=C343*12)),Paths!$G$37,0),"n.a."))</f>
        <v>0</v>
      </c>
      <c r="J343" s="16">
        <f>IF(NOT(Paths!$C$37=1),0,IF(Paths!$P$37="Complete",IF(IF(Paths!$E$37=0,C343=0,AND(C343&gt;0,Paths!$E$37&gt;(C343-1)*12,Paths!$E$37&lt;=C343*12)),Paths!$H$37,0),"n.a."))</f>
        <v>0</v>
      </c>
      <c r="K343" s="16">
        <f>IF(NOT(Paths!$C$37=1),0,IF(Paths!$P$37="Complete",IF(IF(Paths!$O$37=0,C343=0,AND(C343&gt;0,Paths!$O$37&gt;(C343-1)*12,Paths!$O$37&lt;=C343*12)),Paths!$N$37,0),"n.a."))</f>
        <v>0</v>
      </c>
      <c r="L343" s="16">
        <f>IF(NOT(Paths!$C$37=1),0,IF(Paths!$P$37="Complete",IF(C343=10,Paths!$I$37,0),"n.a."))</f>
        <v>0</v>
      </c>
      <c r="M343" s="16">
        <f>IF(NOT(Paths!$C$37=1),0,IF(Paths!$P$37="Complete",IF(AND(Paths!$D$37="EV",Paths!$E$37&lt;120,Paths!$E$37+'Operating costs'!$B$65&gt;Paths!$E$37,Paths!$E$37+'Operating costs'!$B$65&lt;=120,IF(Paths!$E$37+'Operating costs'!$B$65=0,C343=0,AND(C343&gt;0,Paths!$E$37+'Operating costs'!$B$65&gt;(C343-1)*12,Paths!$E$37+'Operating costs'!$B$65&lt;=C343*12))),'Operating costs'!$B$64,0)+IF(AND('Operating costs'!$B$67&gt;0,'Operating costs'!$B$67&lt;=120,OR(Paths!$D$37="ICE",'Operating costs'!$B$67&lt;=Paths!$E$37),IF('Operating costs'!$B$67=0,C343=0,AND(C343&gt;0,'Operating costs'!$B$67&gt;(C343-1)*12,'Operating costs'!$B$67&lt;=C343*12))),'Operating costs'!$B$66,0),"n.a."))</f>
        <v>0</v>
      </c>
      <c r="N343" s="16">
        <f>IF(NOT(Paths!$C$37=1),0,IF(Paths!$P$37="Complete",SUM(G343:I343)-J343-K343-L343+M343+IF(C343=0,Paths!$F$37,0)+IF(IF(Paths!$E$37=0,C343=0,AND(C343&gt;0,Paths!$E$37&gt;(C343-1)*12,Paths!$E$37&lt;=C343*12)),VLOOKUP(A343,'Fleet register'!$A$7:$S$106,16,FALSE),0),"n.a."))</f>
        <v>0</v>
      </c>
      <c r="O343" s="16">
        <f>IF(NOT(Paths!$C$37=1),0,IF(Paths!$P$37="Complete",N343-IF(C343=0,Paths!$F$37,0),"n.a."))</f>
        <v>0</v>
      </c>
      <c r="P343" s="16">
        <f>IF(NOT(Paths!$C$37=1),0,IF(Paths!$P$37="Complete",O343+L343,"n.a."))</f>
        <v>0</v>
      </c>
      <c r="Q343" s="16">
        <f>IF(NOT(Paths!$C$37=1),0,IF(Paths!$P$37="Complete",N343*(1+'Operating costs'!$B$54)^-C343,"n.a."))</f>
        <v>0</v>
      </c>
      <c r="R343" s="16">
        <f>IF(NOT(Paths!$C$37=1),0,IF(Paths!$P$37="Complete",IF(AND(C343=0,Paths!$E$37=0),I343-J343-K343+VLOOKUP(A343,'Fleet register'!$A$7:$S$106,15,FALSE)+VLOOKUP(A343,'Fleet register'!$A$7:$S$106,16,FALSE),0),"n.a."))</f>
        <v>0</v>
      </c>
      <c r="S343" s="1">
        <f>IF(NOT(Paths!$C$37=1),0,IF(Paths!$P$37="Complete",IF(C343=0,0,Paths!$S$37*Paths!$R$37),"n.a."))</f>
        <v>0</v>
      </c>
      <c r="T343" s="1">
        <f>IF(NOT(Paths!$C$37=1),0,IF(Paths!$P$37="Complete",IF(C343=0,0,VLOOKUP(A343,'Fleet register'!$A$7:$S$106,9,FALSE)*Paths!$R$37),"n.a."))</f>
        <v>0</v>
      </c>
    </row>
    <row r="344" spans="1:20" ht="24" customHeight="1">
      <c r="A344" s="1" t="str">
        <f>Paths!$A$37</f>
        <v>T008</v>
      </c>
      <c r="B344" s="1">
        <f>Paths!$B$37</f>
        <v>2</v>
      </c>
      <c r="C344" s="1">
        <v>7</v>
      </c>
      <c r="D344" s="1">
        <v>37</v>
      </c>
      <c r="E344" s="1">
        <f>IF(OR(Paths!$C$37=0,C344=0),0,MAX(0,MIN(C344*12,Paths!$E$37)-(C344-1)*12))</f>
        <v>0</v>
      </c>
      <c r="F344" s="1">
        <f>IF(OR(Paths!$C$37=0,C344=0),0,12-E344)</f>
        <v>0</v>
      </c>
      <c r="G344" s="16">
        <f>IF(NOT(Paths!$C$37=1),0,IF(Paths!$P$37="Complete",E344/12*(Paths!$J$37*(1+'Operating costs'!$B$51)^MAX(0,C344-1)+Paths!$K$37*(1+'Operating costs'!$B$53)^MAX(0,C344-1)),"n.a."))</f>
        <v>0</v>
      </c>
      <c r="H344" s="16">
        <f>IF(NOT(Paths!$C$37=1),0,IF(Paths!$P$37="Complete",F344/12*(Paths!$L$37*(1+IF(Paths!$D$37="EV",'Operating costs'!$B$52,'Operating costs'!$B$51))^MAX(0,C344-1)+Paths!$M$37*(1+'Operating costs'!$B$53)^MAX(0,C344-1)),"n.a."))</f>
        <v>0</v>
      </c>
      <c r="I344" s="16">
        <f>IF(NOT(Paths!$C$37=1),0,IF(Paths!$P$37="Complete",IF(IF(Paths!$E$37=0,C344=0,AND(C344&gt;0,Paths!$E$37&gt;(C344-1)*12,Paths!$E$37&lt;=C344*12)),Paths!$G$37,0),"n.a."))</f>
        <v>0</v>
      </c>
      <c r="J344" s="16">
        <f>IF(NOT(Paths!$C$37=1),0,IF(Paths!$P$37="Complete",IF(IF(Paths!$E$37=0,C344=0,AND(C344&gt;0,Paths!$E$37&gt;(C344-1)*12,Paths!$E$37&lt;=C344*12)),Paths!$H$37,0),"n.a."))</f>
        <v>0</v>
      </c>
      <c r="K344" s="16">
        <f>IF(NOT(Paths!$C$37=1),0,IF(Paths!$P$37="Complete",IF(IF(Paths!$O$37=0,C344=0,AND(C344&gt;0,Paths!$O$37&gt;(C344-1)*12,Paths!$O$37&lt;=C344*12)),Paths!$N$37,0),"n.a."))</f>
        <v>0</v>
      </c>
      <c r="L344" s="16">
        <f>IF(NOT(Paths!$C$37=1),0,IF(Paths!$P$37="Complete",IF(C344=10,Paths!$I$37,0),"n.a."))</f>
        <v>0</v>
      </c>
      <c r="M344" s="16">
        <f>IF(NOT(Paths!$C$37=1),0,IF(Paths!$P$37="Complete",IF(AND(Paths!$D$37="EV",Paths!$E$37&lt;120,Paths!$E$37+'Operating costs'!$B$65&gt;Paths!$E$37,Paths!$E$37+'Operating costs'!$B$65&lt;=120,IF(Paths!$E$37+'Operating costs'!$B$65=0,C344=0,AND(C344&gt;0,Paths!$E$37+'Operating costs'!$B$65&gt;(C344-1)*12,Paths!$E$37+'Operating costs'!$B$65&lt;=C344*12))),'Operating costs'!$B$64,0)+IF(AND('Operating costs'!$B$67&gt;0,'Operating costs'!$B$67&lt;=120,OR(Paths!$D$37="ICE",'Operating costs'!$B$67&lt;=Paths!$E$37),IF('Operating costs'!$B$67=0,C344=0,AND(C344&gt;0,'Operating costs'!$B$67&gt;(C344-1)*12,'Operating costs'!$B$67&lt;=C344*12))),'Operating costs'!$B$66,0),"n.a."))</f>
        <v>0</v>
      </c>
      <c r="N344" s="16">
        <f>IF(NOT(Paths!$C$37=1),0,IF(Paths!$P$37="Complete",SUM(G344:I344)-J344-K344-L344+M344+IF(C344=0,Paths!$F$37,0)+IF(IF(Paths!$E$37=0,C344=0,AND(C344&gt;0,Paths!$E$37&gt;(C344-1)*12,Paths!$E$37&lt;=C344*12)),VLOOKUP(A344,'Fleet register'!$A$7:$S$106,16,FALSE),0),"n.a."))</f>
        <v>0</v>
      </c>
      <c r="O344" s="16">
        <f>IF(NOT(Paths!$C$37=1),0,IF(Paths!$P$37="Complete",N344-IF(C344=0,Paths!$F$37,0),"n.a."))</f>
        <v>0</v>
      </c>
      <c r="P344" s="16">
        <f>IF(NOT(Paths!$C$37=1),0,IF(Paths!$P$37="Complete",O344+L344,"n.a."))</f>
        <v>0</v>
      </c>
      <c r="Q344" s="16">
        <f>IF(NOT(Paths!$C$37=1),0,IF(Paths!$P$37="Complete",N344*(1+'Operating costs'!$B$54)^-C344,"n.a."))</f>
        <v>0</v>
      </c>
      <c r="R344" s="16">
        <f>IF(NOT(Paths!$C$37=1),0,IF(Paths!$P$37="Complete",IF(AND(C344=0,Paths!$E$37=0),I344-J344-K344+VLOOKUP(A344,'Fleet register'!$A$7:$S$106,15,FALSE)+VLOOKUP(A344,'Fleet register'!$A$7:$S$106,16,FALSE),0),"n.a."))</f>
        <v>0</v>
      </c>
      <c r="S344" s="1">
        <f>IF(NOT(Paths!$C$37=1),0,IF(Paths!$P$37="Complete",IF(C344=0,0,Paths!$S$37*Paths!$R$37),"n.a."))</f>
        <v>0</v>
      </c>
      <c r="T344" s="1">
        <f>IF(NOT(Paths!$C$37=1),0,IF(Paths!$P$37="Complete",IF(C344=0,0,VLOOKUP(A344,'Fleet register'!$A$7:$S$106,9,FALSE)*Paths!$R$37),"n.a."))</f>
        <v>0</v>
      </c>
    </row>
    <row r="345" spans="1:20" ht="24" customHeight="1">
      <c r="A345" s="1" t="str">
        <f>Paths!$A$37</f>
        <v>T008</v>
      </c>
      <c r="B345" s="1">
        <f>Paths!$B$37</f>
        <v>2</v>
      </c>
      <c r="C345" s="1">
        <v>8</v>
      </c>
      <c r="D345" s="1">
        <v>37</v>
      </c>
      <c r="E345" s="1">
        <f>IF(OR(Paths!$C$37=0,C345=0),0,MAX(0,MIN(C345*12,Paths!$E$37)-(C345-1)*12))</f>
        <v>0</v>
      </c>
      <c r="F345" s="1">
        <f>IF(OR(Paths!$C$37=0,C345=0),0,12-E345)</f>
        <v>0</v>
      </c>
      <c r="G345" s="16">
        <f>IF(NOT(Paths!$C$37=1),0,IF(Paths!$P$37="Complete",E345/12*(Paths!$J$37*(1+'Operating costs'!$B$51)^MAX(0,C345-1)+Paths!$K$37*(1+'Operating costs'!$B$53)^MAX(0,C345-1)),"n.a."))</f>
        <v>0</v>
      </c>
      <c r="H345" s="16">
        <f>IF(NOT(Paths!$C$37=1),0,IF(Paths!$P$37="Complete",F345/12*(Paths!$L$37*(1+IF(Paths!$D$37="EV",'Operating costs'!$B$52,'Operating costs'!$B$51))^MAX(0,C345-1)+Paths!$M$37*(1+'Operating costs'!$B$53)^MAX(0,C345-1)),"n.a."))</f>
        <v>0</v>
      </c>
      <c r="I345" s="16">
        <f>IF(NOT(Paths!$C$37=1),0,IF(Paths!$P$37="Complete",IF(IF(Paths!$E$37=0,C345=0,AND(C345&gt;0,Paths!$E$37&gt;(C345-1)*12,Paths!$E$37&lt;=C345*12)),Paths!$G$37,0),"n.a."))</f>
        <v>0</v>
      </c>
      <c r="J345" s="16">
        <f>IF(NOT(Paths!$C$37=1),0,IF(Paths!$P$37="Complete",IF(IF(Paths!$E$37=0,C345=0,AND(C345&gt;0,Paths!$E$37&gt;(C345-1)*12,Paths!$E$37&lt;=C345*12)),Paths!$H$37,0),"n.a."))</f>
        <v>0</v>
      </c>
      <c r="K345" s="16">
        <f>IF(NOT(Paths!$C$37=1),0,IF(Paths!$P$37="Complete",IF(IF(Paths!$O$37=0,C345=0,AND(C345&gt;0,Paths!$O$37&gt;(C345-1)*12,Paths!$O$37&lt;=C345*12)),Paths!$N$37,0),"n.a."))</f>
        <v>0</v>
      </c>
      <c r="L345" s="16">
        <f>IF(NOT(Paths!$C$37=1),0,IF(Paths!$P$37="Complete",IF(C345=10,Paths!$I$37,0),"n.a."))</f>
        <v>0</v>
      </c>
      <c r="M345" s="16">
        <f>IF(NOT(Paths!$C$37=1),0,IF(Paths!$P$37="Complete",IF(AND(Paths!$D$37="EV",Paths!$E$37&lt;120,Paths!$E$37+'Operating costs'!$B$65&gt;Paths!$E$37,Paths!$E$37+'Operating costs'!$B$65&lt;=120,IF(Paths!$E$37+'Operating costs'!$B$65=0,C345=0,AND(C345&gt;0,Paths!$E$37+'Operating costs'!$B$65&gt;(C345-1)*12,Paths!$E$37+'Operating costs'!$B$65&lt;=C345*12))),'Operating costs'!$B$64,0)+IF(AND('Operating costs'!$B$67&gt;0,'Operating costs'!$B$67&lt;=120,OR(Paths!$D$37="ICE",'Operating costs'!$B$67&lt;=Paths!$E$37),IF('Operating costs'!$B$67=0,C345=0,AND(C345&gt;0,'Operating costs'!$B$67&gt;(C345-1)*12,'Operating costs'!$B$67&lt;=C345*12))),'Operating costs'!$B$66,0),"n.a."))</f>
        <v>0</v>
      </c>
      <c r="N345" s="16">
        <f>IF(NOT(Paths!$C$37=1),0,IF(Paths!$P$37="Complete",SUM(G345:I345)-J345-K345-L345+M345+IF(C345=0,Paths!$F$37,0)+IF(IF(Paths!$E$37=0,C345=0,AND(C345&gt;0,Paths!$E$37&gt;(C345-1)*12,Paths!$E$37&lt;=C345*12)),VLOOKUP(A345,'Fleet register'!$A$7:$S$106,16,FALSE),0),"n.a."))</f>
        <v>0</v>
      </c>
      <c r="O345" s="16">
        <f>IF(NOT(Paths!$C$37=1),0,IF(Paths!$P$37="Complete",N345-IF(C345=0,Paths!$F$37,0),"n.a."))</f>
        <v>0</v>
      </c>
      <c r="P345" s="16">
        <f>IF(NOT(Paths!$C$37=1),0,IF(Paths!$P$37="Complete",O345+L345,"n.a."))</f>
        <v>0</v>
      </c>
      <c r="Q345" s="16">
        <f>IF(NOT(Paths!$C$37=1),0,IF(Paths!$P$37="Complete",N345*(1+'Operating costs'!$B$54)^-C345,"n.a."))</f>
        <v>0</v>
      </c>
      <c r="R345" s="16">
        <f>IF(NOT(Paths!$C$37=1),0,IF(Paths!$P$37="Complete",IF(AND(C345=0,Paths!$E$37=0),I345-J345-K345+VLOOKUP(A345,'Fleet register'!$A$7:$S$106,15,FALSE)+VLOOKUP(A345,'Fleet register'!$A$7:$S$106,16,FALSE),0),"n.a."))</f>
        <v>0</v>
      </c>
      <c r="S345" s="1">
        <f>IF(NOT(Paths!$C$37=1),0,IF(Paths!$P$37="Complete",IF(C345=0,0,Paths!$S$37*Paths!$R$37),"n.a."))</f>
        <v>0</v>
      </c>
      <c r="T345" s="1">
        <f>IF(NOT(Paths!$C$37=1),0,IF(Paths!$P$37="Complete",IF(C345=0,0,VLOOKUP(A345,'Fleet register'!$A$7:$S$106,9,FALSE)*Paths!$R$37),"n.a."))</f>
        <v>0</v>
      </c>
    </row>
    <row r="346" spans="1:20" ht="24" customHeight="1">
      <c r="A346" s="1" t="str">
        <f>Paths!$A$37</f>
        <v>T008</v>
      </c>
      <c r="B346" s="1">
        <f>Paths!$B$37</f>
        <v>2</v>
      </c>
      <c r="C346" s="1">
        <v>9</v>
      </c>
      <c r="D346" s="1">
        <v>37</v>
      </c>
      <c r="E346" s="1">
        <f>IF(OR(Paths!$C$37=0,C346=0),0,MAX(0,MIN(C346*12,Paths!$E$37)-(C346-1)*12))</f>
        <v>0</v>
      </c>
      <c r="F346" s="1">
        <f>IF(OR(Paths!$C$37=0,C346=0),0,12-E346)</f>
        <v>0</v>
      </c>
      <c r="G346" s="16">
        <f>IF(NOT(Paths!$C$37=1),0,IF(Paths!$P$37="Complete",E346/12*(Paths!$J$37*(1+'Operating costs'!$B$51)^MAX(0,C346-1)+Paths!$K$37*(1+'Operating costs'!$B$53)^MAX(0,C346-1)),"n.a."))</f>
        <v>0</v>
      </c>
      <c r="H346" s="16">
        <f>IF(NOT(Paths!$C$37=1),0,IF(Paths!$P$37="Complete",F346/12*(Paths!$L$37*(1+IF(Paths!$D$37="EV",'Operating costs'!$B$52,'Operating costs'!$B$51))^MAX(0,C346-1)+Paths!$M$37*(1+'Operating costs'!$B$53)^MAX(0,C346-1)),"n.a."))</f>
        <v>0</v>
      </c>
      <c r="I346" s="16">
        <f>IF(NOT(Paths!$C$37=1),0,IF(Paths!$P$37="Complete",IF(IF(Paths!$E$37=0,C346=0,AND(C346&gt;0,Paths!$E$37&gt;(C346-1)*12,Paths!$E$37&lt;=C346*12)),Paths!$G$37,0),"n.a."))</f>
        <v>0</v>
      </c>
      <c r="J346" s="16">
        <f>IF(NOT(Paths!$C$37=1),0,IF(Paths!$P$37="Complete",IF(IF(Paths!$E$37=0,C346=0,AND(C346&gt;0,Paths!$E$37&gt;(C346-1)*12,Paths!$E$37&lt;=C346*12)),Paths!$H$37,0),"n.a."))</f>
        <v>0</v>
      </c>
      <c r="K346" s="16">
        <f>IF(NOT(Paths!$C$37=1),0,IF(Paths!$P$37="Complete",IF(IF(Paths!$O$37=0,C346=0,AND(C346&gt;0,Paths!$O$37&gt;(C346-1)*12,Paths!$O$37&lt;=C346*12)),Paths!$N$37,0),"n.a."))</f>
        <v>0</v>
      </c>
      <c r="L346" s="16">
        <f>IF(NOT(Paths!$C$37=1),0,IF(Paths!$P$37="Complete",IF(C346=10,Paths!$I$37,0),"n.a."))</f>
        <v>0</v>
      </c>
      <c r="M346" s="16">
        <f>IF(NOT(Paths!$C$37=1),0,IF(Paths!$P$37="Complete",IF(AND(Paths!$D$37="EV",Paths!$E$37&lt;120,Paths!$E$37+'Operating costs'!$B$65&gt;Paths!$E$37,Paths!$E$37+'Operating costs'!$B$65&lt;=120,IF(Paths!$E$37+'Operating costs'!$B$65=0,C346=0,AND(C346&gt;0,Paths!$E$37+'Operating costs'!$B$65&gt;(C346-1)*12,Paths!$E$37+'Operating costs'!$B$65&lt;=C346*12))),'Operating costs'!$B$64,0)+IF(AND('Operating costs'!$B$67&gt;0,'Operating costs'!$B$67&lt;=120,OR(Paths!$D$37="ICE",'Operating costs'!$B$67&lt;=Paths!$E$37),IF('Operating costs'!$B$67=0,C346=0,AND(C346&gt;0,'Operating costs'!$B$67&gt;(C346-1)*12,'Operating costs'!$B$67&lt;=C346*12))),'Operating costs'!$B$66,0),"n.a."))</f>
        <v>0</v>
      </c>
      <c r="N346" s="16">
        <f>IF(NOT(Paths!$C$37=1),0,IF(Paths!$P$37="Complete",SUM(G346:I346)-J346-K346-L346+M346+IF(C346=0,Paths!$F$37,0)+IF(IF(Paths!$E$37=0,C346=0,AND(C346&gt;0,Paths!$E$37&gt;(C346-1)*12,Paths!$E$37&lt;=C346*12)),VLOOKUP(A346,'Fleet register'!$A$7:$S$106,16,FALSE),0),"n.a."))</f>
        <v>0</v>
      </c>
      <c r="O346" s="16">
        <f>IF(NOT(Paths!$C$37=1),0,IF(Paths!$P$37="Complete",N346-IF(C346=0,Paths!$F$37,0),"n.a."))</f>
        <v>0</v>
      </c>
      <c r="P346" s="16">
        <f>IF(NOT(Paths!$C$37=1),0,IF(Paths!$P$37="Complete",O346+L346,"n.a."))</f>
        <v>0</v>
      </c>
      <c r="Q346" s="16">
        <f>IF(NOT(Paths!$C$37=1),0,IF(Paths!$P$37="Complete",N346*(1+'Operating costs'!$B$54)^-C346,"n.a."))</f>
        <v>0</v>
      </c>
      <c r="R346" s="16">
        <f>IF(NOT(Paths!$C$37=1),0,IF(Paths!$P$37="Complete",IF(AND(C346=0,Paths!$E$37=0),I346-J346-K346+VLOOKUP(A346,'Fleet register'!$A$7:$S$106,15,FALSE)+VLOOKUP(A346,'Fleet register'!$A$7:$S$106,16,FALSE),0),"n.a."))</f>
        <v>0</v>
      </c>
      <c r="S346" s="1">
        <f>IF(NOT(Paths!$C$37=1),0,IF(Paths!$P$37="Complete",IF(C346=0,0,Paths!$S$37*Paths!$R$37),"n.a."))</f>
        <v>0</v>
      </c>
      <c r="T346" s="1">
        <f>IF(NOT(Paths!$C$37=1),0,IF(Paths!$P$37="Complete",IF(C346=0,0,VLOOKUP(A346,'Fleet register'!$A$7:$S$106,9,FALSE)*Paths!$R$37),"n.a."))</f>
        <v>0</v>
      </c>
    </row>
    <row r="347" spans="1:20" ht="24" customHeight="1">
      <c r="A347" s="1" t="str">
        <f>Paths!$A$37</f>
        <v>T008</v>
      </c>
      <c r="B347" s="1">
        <f>Paths!$B$37</f>
        <v>2</v>
      </c>
      <c r="C347" s="1">
        <v>10</v>
      </c>
      <c r="D347" s="1">
        <v>37</v>
      </c>
      <c r="E347" s="1">
        <f>IF(OR(Paths!$C$37=0,C347=0),0,MAX(0,MIN(C347*12,Paths!$E$37)-(C347-1)*12))</f>
        <v>0</v>
      </c>
      <c r="F347" s="1">
        <f>IF(OR(Paths!$C$37=0,C347=0),0,12-E347)</f>
        <v>0</v>
      </c>
      <c r="G347" s="16">
        <f>IF(NOT(Paths!$C$37=1),0,IF(Paths!$P$37="Complete",E347/12*(Paths!$J$37*(1+'Operating costs'!$B$51)^MAX(0,C347-1)+Paths!$K$37*(1+'Operating costs'!$B$53)^MAX(0,C347-1)),"n.a."))</f>
        <v>0</v>
      </c>
      <c r="H347" s="16">
        <f>IF(NOT(Paths!$C$37=1),0,IF(Paths!$P$37="Complete",F347/12*(Paths!$L$37*(1+IF(Paths!$D$37="EV",'Operating costs'!$B$52,'Operating costs'!$B$51))^MAX(0,C347-1)+Paths!$M$37*(1+'Operating costs'!$B$53)^MAX(0,C347-1)),"n.a."))</f>
        <v>0</v>
      </c>
      <c r="I347" s="16">
        <f>IF(NOT(Paths!$C$37=1),0,IF(Paths!$P$37="Complete",IF(IF(Paths!$E$37=0,C347=0,AND(C347&gt;0,Paths!$E$37&gt;(C347-1)*12,Paths!$E$37&lt;=C347*12)),Paths!$G$37,0),"n.a."))</f>
        <v>0</v>
      </c>
      <c r="J347" s="16">
        <f>IF(NOT(Paths!$C$37=1),0,IF(Paths!$P$37="Complete",IF(IF(Paths!$E$37=0,C347=0,AND(C347&gt;0,Paths!$E$37&gt;(C347-1)*12,Paths!$E$37&lt;=C347*12)),Paths!$H$37,0),"n.a."))</f>
        <v>0</v>
      </c>
      <c r="K347" s="16">
        <f>IF(NOT(Paths!$C$37=1),0,IF(Paths!$P$37="Complete",IF(IF(Paths!$O$37=0,C347=0,AND(C347&gt;0,Paths!$O$37&gt;(C347-1)*12,Paths!$O$37&lt;=C347*12)),Paths!$N$37,0),"n.a."))</f>
        <v>0</v>
      </c>
      <c r="L347" s="16">
        <f>IF(NOT(Paths!$C$37=1),0,IF(Paths!$P$37="Complete",IF(C347=10,Paths!$I$37,0),"n.a."))</f>
        <v>0</v>
      </c>
      <c r="M347" s="16">
        <f>IF(NOT(Paths!$C$37=1),0,IF(Paths!$P$37="Complete",IF(AND(Paths!$D$37="EV",Paths!$E$37&lt;120,Paths!$E$37+'Operating costs'!$B$65&gt;Paths!$E$37,Paths!$E$37+'Operating costs'!$B$65&lt;=120,IF(Paths!$E$37+'Operating costs'!$B$65=0,C347=0,AND(C347&gt;0,Paths!$E$37+'Operating costs'!$B$65&gt;(C347-1)*12,Paths!$E$37+'Operating costs'!$B$65&lt;=C347*12))),'Operating costs'!$B$64,0)+IF(AND('Operating costs'!$B$67&gt;0,'Operating costs'!$B$67&lt;=120,OR(Paths!$D$37="ICE",'Operating costs'!$B$67&lt;=Paths!$E$37),IF('Operating costs'!$B$67=0,C347=0,AND(C347&gt;0,'Operating costs'!$B$67&gt;(C347-1)*12,'Operating costs'!$B$67&lt;=C347*12))),'Operating costs'!$B$66,0),"n.a."))</f>
        <v>0</v>
      </c>
      <c r="N347" s="16">
        <f>IF(NOT(Paths!$C$37=1),0,IF(Paths!$P$37="Complete",SUM(G347:I347)-J347-K347-L347+M347+IF(C347=0,Paths!$F$37,0)+IF(IF(Paths!$E$37=0,C347=0,AND(C347&gt;0,Paths!$E$37&gt;(C347-1)*12,Paths!$E$37&lt;=C347*12)),VLOOKUP(A347,'Fleet register'!$A$7:$S$106,16,FALSE),0),"n.a."))</f>
        <v>0</v>
      </c>
      <c r="O347" s="16">
        <f>IF(NOT(Paths!$C$37=1),0,IF(Paths!$P$37="Complete",N347-IF(C347=0,Paths!$F$37,0),"n.a."))</f>
        <v>0</v>
      </c>
      <c r="P347" s="16">
        <f>IF(NOT(Paths!$C$37=1),0,IF(Paths!$P$37="Complete",O347+L347,"n.a."))</f>
        <v>0</v>
      </c>
      <c r="Q347" s="16">
        <f>IF(NOT(Paths!$C$37=1),0,IF(Paths!$P$37="Complete",N347*(1+'Operating costs'!$B$54)^-C347,"n.a."))</f>
        <v>0</v>
      </c>
      <c r="R347" s="16">
        <f>IF(NOT(Paths!$C$37=1),0,IF(Paths!$P$37="Complete",IF(AND(C347=0,Paths!$E$37=0),I347-J347-K347+VLOOKUP(A347,'Fleet register'!$A$7:$S$106,15,FALSE)+VLOOKUP(A347,'Fleet register'!$A$7:$S$106,16,FALSE),0),"n.a."))</f>
        <v>0</v>
      </c>
      <c r="S347" s="1">
        <f>IF(NOT(Paths!$C$37=1),0,IF(Paths!$P$37="Complete",IF(C347=0,0,Paths!$S$37*Paths!$R$37),"n.a."))</f>
        <v>0</v>
      </c>
      <c r="T347" s="1">
        <f>IF(NOT(Paths!$C$37=1),0,IF(Paths!$P$37="Complete",IF(C347=0,0,VLOOKUP(A347,'Fleet register'!$A$7:$S$106,9,FALSE)*Paths!$R$37),"n.a."))</f>
        <v>0</v>
      </c>
    </row>
    <row r="348" spans="1:20" ht="24" customHeight="1">
      <c r="A348" s="1" t="str">
        <f>Paths!$A$38</f>
        <v>T008</v>
      </c>
      <c r="B348" s="1">
        <f>Paths!$B$38</f>
        <v>3</v>
      </c>
      <c r="C348" s="1">
        <v>0</v>
      </c>
      <c r="D348" s="1">
        <v>38</v>
      </c>
      <c r="E348" s="1">
        <f>IF(OR(Paths!$C$38=0,C348=0),0,MAX(0,MIN(C348*12,Paths!$E$38)-(C348-1)*12))</f>
        <v>0</v>
      </c>
      <c r="F348" s="1">
        <f>IF(OR(Paths!$C$38=0,C348=0),0,12-E348)</f>
        <v>0</v>
      </c>
      <c r="G348" s="16">
        <f>IF(NOT(Paths!$C$38=1),0,IF(Paths!$P$38="Complete",E348/12*(Paths!$J$38*(1+'Operating costs'!$B$51)^MAX(0,C348-1)+Paths!$K$38*(1+'Operating costs'!$B$53)^MAX(0,C348-1)),"n.a."))</f>
        <v>0</v>
      </c>
      <c r="H348" s="16">
        <f>IF(NOT(Paths!$C$38=1),0,IF(Paths!$P$38="Complete",F348/12*(Paths!$L$38*(1+IF(Paths!$D$38="EV",'Operating costs'!$B$52,'Operating costs'!$B$51))^MAX(0,C348-1)+Paths!$M$38*(1+'Operating costs'!$B$53)^MAX(0,C348-1)),"n.a."))</f>
        <v>0</v>
      </c>
      <c r="I348" s="16">
        <f>IF(NOT(Paths!$C$38=1),0,IF(Paths!$P$38="Complete",IF(IF(Paths!$E$38=0,C348=0,AND(C348&gt;0,Paths!$E$38&gt;(C348-1)*12,Paths!$E$38&lt;=C348*12)),Paths!$G$38,0),"n.a."))</f>
        <v>0</v>
      </c>
      <c r="J348" s="16">
        <f>IF(NOT(Paths!$C$38=1),0,IF(Paths!$P$38="Complete",IF(IF(Paths!$E$38=0,C348=0,AND(C348&gt;0,Paths!$E$38&gt;(C348-1)*12,Paths!$E$38&lt;=C348*12)),Paths!$H$38,0),"n.a."))</f>
        <v>0</v>
      </c>
      <c r="K348" s="16">
        <f>IF(NOT(Paths!$C$38=1),0,IF(Paths!$P$38="Complete",IF(IF(Paths!$O$38=0,C348=0,AND(C348&gt;0,Paths!$O$38&gt;(C348-1)*12,Paths!$O$38&lt;=C348*12)),Paths!$N$38,0),"n.a."))</f>
        <v>0</v>
      </c>
      <c r="L348" s="16">
        <f>IF(NOT(Paths!$C$38=1),0,IF(Paths!$P$38="Complete",IF(C348=10,Paths!$I$38,0),"n.a."))</f>
        <v>0</v>
      </c>
      <c r="M348" s="16">
        <f>IF(NOT(Paths!$C$38=1),0,IF(Paths!$P$38="Complete",IF(AND(Paths!$D$38="EV",Paths!$E$38&lt;120,Paths!$E$38+'Operating costs'!$B$65&gt;Paths!$E$38,Paths!$E$38+'Operating costs'!$B$65&lt;=120,IF(Paths!$E$38+'Operating costs'!$B$65=0,C348=0,AND(C348&gt;0,Paths!$E$38+'Operating costs'!$B$65&gt;(C348-1)*12,Paths!$E$38+'Operating costs'!$B$65&lt;=C348*12))),'Operating costs'!$B$64,0)+IF(AND('Operating costs'!$B$67&gt;0,'Operating costs'!$B$67&lt;=120,OR(Paths!$D$38="ICE",'Operating costs'!$B$67&lt;=Paths!$E$38),IF('Operating costs'!$B$67=0,C348=0,AND(C348&gt;0,'Operating costs'!$B$67&gt;(C348-1)*12,'Operating costs'!$B$67&lt;=C348*12))),'Operating costs'!$B$66,0),"n.a."))</f>
        <v>0</v>
      </c>
      <c r="N348" s="16">
        <f>IF(NOT(Paths!$C$38=1),0,IF(Paths!$P$38="Complete",SUM(G348:I348)-J348-K348-L348+M348+IF(C348=0,Paths!$F$38,0)+IF(IF(Paths!$E$38=0,C348=0,AND(C348&gt;0,Paths!$E$38&gt;(C348-1)*12,Paths!$E$38&lt;=C348*12)),VLOOKUP(A348,'Fleet register'!$A$7:$S$106,16,FALSE),0),"n.a."))</f>
        <v>0</v>
      </c>
      <c r="O348" s="16">
        <f>IF(NOT(Paths!$C$38=1),0,IF(Paths!$P$38="Complete",N348-IF(C348=0,Paths!$F$38,0),"n.a."))</f>
        <v>0</v>
      </c>
      <c r="P348" s="16">
        <f>IF(NOT(Paths!$C$38=1),0,IF(Paths!$P$38="Complete",O348+L348,"n.a."))</f>
        <v>0</v>
      </c>
      <c r="Q348" s="16">
        <f>IF(NOT(Paths!$C$38=1),0,IF(Paths!$P$38="Complete",N348*(1+'Operating costs'!$B$54)^-C348,"n.a."))</f>
        <v>0</v>
      </c>
      <c r="R348" s="16">
        <f>IF(NOT(Paths!$C$38=1),0,IF(Paths!$P$38="Complete",IF(AND(C348=0,Paths!$E$38=0),I348-J348-K348+VLOOKUP(A348,'Fleet register'!$A$7:$S$106,15,FALSE)+VLOOKUP(A348,'Fleet register'!$A$7:$S$106,16,FALSE),0),"n.a."))</f>
        <v>0</v>
      </c>
      <c r="S348" s="1">
        <f>IF(NOT(Paths!$C$38=1),0,IF(Paths!$P$38="Complete",IF(C348=0,0,Paths!$S$38*Paths!$R$38),"n.a."))</f>
        <v>0</v>
      </c>
      <c r="T348" s="1">
        <f>IF(NOT(Paths!$C$38=1),0,IF(Paths!$P$38="Complete",IF(C348=0,0,VLOOKUP(A348,'Fleet register'!$A$7:$S$106,9,FALSE)*Paths!$R$38),"n.a."))</f>
        <v>0</v>
      </c>
    </row>
    <row r="349" spans="1:20" ht="24" customHeight="1">
      <c r="A349" s="1" t="str">
        <f>Paths!$A$38</f>
        <v>T008</v>
      </c>
      <c r="B349" s="1">
        <f>Paths!$B$38</f>
        <v>3</v>
      </c>
      <c r="C349" s="1">
        <v>1</v>
      </c>
      <c r="D349" s="1">
        <v>38</v>
      </c>
      <c r="E349" s="1">
        <f>IF(OR(Paths!$C$38=0,C349=0),0,MAX(0,MIN(C349*12,Paths!$E$38)-(C349-1)*12))</f>
        <v>0</v>
      </c>
      <c r="F349" s="1">
        <f>IF(OR(Paths!$C$38=0,C349=0),0,12-E349)</f>
        <v>0</v>
      </c>
      <c r="G349" s="16">
        <f>IF(NOT(Paths!$C$38=1),0,IF(Paths!$P$38="Complete",E349/12*(Paths!$J$38*(1+'Operating costs'!$B$51)^MAX(0,C349-1)+Paths!$K$38*(1+'Operating costs'!$B$53)^MAX(0,C349-1)),"n.a."))</f>
        <v>0</v>
      </c>
      <c r="H349" s="16">
        <f>IF(NOT(Paths!$C$38=1),0,IF(Paths!$P$38="Complete",F349/12*(Paths!$L$38*(1+IF(Paths!$D$38="EV",'Operating costs'!$B$52,'Operating costs'!$B$51))^MAX(0,C349-1)+Paths!$M$38*(1+'Operating costs'!$B$53)^MAX(0,C349-1)),"n.a."))</f>
        <v>0</v>
      </c>
      <c r="I349" s="16">
        <f>IF(NOT(Paths!$C$38=1),0,IF(Paths!$P$38="Complete",IF(IF(Paths!$E$38=0,C349=0,AND(C349&gt;0,Paths!$E$38&gt;(C349-1)*12,Paths!$E$38&lt;=C349*12)),Paths!$G$38,0),"n.a."))</f>
        <v>0</v>
      </c>
      <c r="J349" s="16">
        <f>IF(NOT(Paths!$C$38=1),0,IF(Paths!$P$38="Complete",IF(IF(Paths!$E$38=0,C349=0,AND(C349&gt;0,Paths!$E$38&gt;(C349-1)*12,Paths!$E$38&lt;=C349*12)),Paths!$H$38,0),"n.a."))</f>
        <v>0</v>
      </c>
      <c r="K349" s="16">
        <f>IF(NOT(Paths!$C$38=1),0,IF(Paths!$P$38="Complete",IF(IF(Paths!$O$38=0,C349=0,AND(C349&gt;0,Paths!$O$38&gt;(C349-1)*12,Paths!$O$38&lt;=C349*12)),Paths!$N$38,0),"n.a."))</f>
        <v>0</v>
      </c>
      <c r="L349" s="16">
        <f>IF(NOT(Paths!$C$38=1),0,IF(Paths!$P$38="Complete",IF(C349=10,Paths!$I$38,0),"n.a."))</f>
        <v>0</v>
      </c>
      <c r="M349" s="16">
        <f>IF(NOT(Paths!$C$38=1),0,IF(Paths!$P$38="Complete",IF(AND(Paths!$D$38="EV",Paths!$E$38&lt;120,Paths!$E$38+'Operating costs'!$B$65&gt;Paths!$E$38,Paths!$E$38+'Operating costs'!$B$65&lt;=120,IF(Paths!$E$38+'Operating costs'!$B$65=0,C349=0,AND(C349&gt;0,Paths!$E$38+'Operating costs'!$B$65&gt;(C349-1)*12,Paths!$E$38+'Operating costs'!$B$65&lt;=C349*12))),'Operating costs'!$B$64,0)+IF(AND('Operating costs'!$B$67&gt;0,'Operating costs'!$B$67&lt;=120,OR(Paths!$D$38="ICE",'Operating costs'!$B$67&lt;=Paths!$E$38),IF('Operating costs'!$B$67=0,C349=0,AND(C349&gt;0,'Operating costs'!$B$67&gt;(C349-1)*12,'Operating costs'!$B$67&lt;=C349*12))),'Operating costs'!$B$66,0),"n.a."))</f>
        <v>0</v>
      </c>
      <c r="N349" s="16">
        <f>IF(NOT(Paths!$C$38=1),0,IF(Paths!$P$38="Complete",SUM(G349:I349)-J349-K349-L349+M349+IF(C349=0,Paths!$F$38,0)+IF(IF(Paths!$E$38=0,C349=0,AND(C349&gt;0,Paths!$E$38&gt;(C349-1)*12,Paths!$E$38&lt;=C349*12)),VLOOKUP(A349,'Fleet register'!$A$7:$S$106,16,FALSE),0),"n.a."))</f>
        <v>0</v>
      </c>
      <c r="O349" s="16">
        <f>IF(NOT(Paths!$C$38=1),0,IF(Paths!$P$38="Complete",N349-IF(C349=0,Paths!$F$38,0),"n.a."))</f>
        <v>0</v>
      </c>
      <c r="P349" s="16">
        <f>IF(NOT(Paths!$C$38=1),0,IF(Paths!$P$38="Complete",O349+L349,"n.a."))</f>
        <v>0</v>
      </c>
      <c r="Q349" s="16">
        <f>IF(NOT(Paths!$C$38=1),0,IF(Paths!$P$38="Complete",N349*(1+'Operating costs'!$B$54)^-C349,"n.a."))</f>
        <v>0</v>
      </c>
      <c r="R349" s="16">
        <f>IF(NOT(Paths!$C$38=1),0,IF(Paths!$P$38="Complete",IF(AND(C349=0,Paths!$E$38=0),I349-J349-K349+VLOOKUP(A349,'Fleet register'!$A$7:$S$106,15,FALSE)+VLOOKUP(A349,'Fleet register'!$A$7:$S$106,16,FALSE),0),"n.a."))</f>
        <v>0</v>
      </c>
      <c r="S349" s="1">
        <f>IF(NOT(Paths!$C$38=1),0,IF(Paths!$P$38="Complete",IF(C349=0,0,Paths!$S$38*Paths!$R$38),"n.a."))</f>
        <v>0</v>
      </c>
      <c r="T349" s="1">
        <f>IF(NOT(Paths!$C$38=1),0,IF(Paths!$P$38="Complete",IF(C349=0,0,VLOOKUP(A349,'Fleet register'!$A$7:$S$106,9,FALSE)*Paths!$R$38),"n.a."))</f>
        <v>0</v>
      </c>
    </row>
    <row r="350" spans="1:20" ht="24" customHeight="1">
      <c r="A350" s="1" t="str">
        <f>Paths!$A$38</f>
        <v>T008</v>
      </c>
      <c r="B350" s="1">
        <f>Paths!$B$38</f>
        <v>3</v>
      </c>
      <c r="C350" s="1">
        <v>2</v>
      </c>
      <c r="D350" s="1">
        <v>38</v>
      </c>
      <c r="E350" s="1">
        <f>IF(OR(Paths!$C$38=0,C350=0),0,MAX(0,MIN(C350*12,Paths!$E$38)-(C350-1)*12))</f>
        <v>0</v>
      </c>
      <c r="F350" s="1">
        <f>IF(OR(Paths!$C$38=0,C350=0),0,12-E350)</f>
        <v>0</v>
      </c>
      <c r="G350" s="16">
        <f>IF(NOT(Paths!$C$38=1),0,IF(Paths!$P$38="Complete",E350/12*(Paths!$J$38*(1+'Operating costs'!$B$51)^MAX(0,C350-1)+Paths!$K$38*(1+'Operating costs'!$B$53)^MAX(0,C350-1)),"n.a."))</f>
        <v>0</v>
      </c>
      <c r="H350" s="16">
        <f>IF(NOT(Paths!$C$38=1),0,IF(Paths!$P$38="Complete",F350/12*(Paths!$L$38*(1+IF(Paths!$D$38="EV",'Operating costs'!$B$52,'Operating costs'!$B$51))^MAX(0,C350-1)+Paths!$M$38*(1+'Operating costs'!$B$53)^MAX(0,C350-1)),"n.a."))</f>
        <v>0</v>
      </c>
      <c r="I350" s="16">
        <f>IF(NOT(Paths!$C$38=1),0,IF(Paths!$P$38="Complete",IF(IF(Paths!$E$38=0,C350=0,AND(C350&gt;0,Paths!$E$38&gt;(C350-1)*12,Paths!$E$38&lt;=C350*12)),Paths!$G$38,0),"n.a."))</f>
        <v>0</v>
      </c>
      <c r="J350" s="16">
        <f>IF(NOT(Paths!$C$38=1),0,IF(Paths!$P$38="Complete",IF(IF(Paths!$E$38=0,C350=0,AND(C350&gt;0,Paths!$E$38&gt;(C350-1)*12,Paths!$E$38&lt;=C350*12)),Paths!$H$38,0),"n.a."))</f>
        <v>0</v>
      </c>
      <c r="K350" s="16">
        <f>IF(NOT(Paths!$C$38=1),0,IF(Paths!$P$38="Complete",IF(IF(Paths!$O$38=0,C350=0,AND(C350&gt;0,Paths!$O$38&gt;(C350-1)*12,Paths!$O$38&lt;=C350*12)),Paths!$N$38,0),"n.a."))</f>
        <v>0</v>
      </c>
      <c r="L350" s="16">
        <f>IF(NOT(Paths!$C$38=1),0,IF(Paths!$P$38="Complete",IF(C350=10,Paths!$I$38,0),"n.a."))</f>
        <v>0</v>
      </c>
      <c r="M350" s="16">
        <f>IF(NOT(Paths!$C$38=1),0,IF(Paths!$P$38="Complete",IF(AND(Paths!$D$38="EV",Paths!$E$38&lt;120,Paths!$E$38+'Operating costs'!$B$65&gt;Paths!$E$38,Paths!$E$38+'Operating costs'!$B$65&lt;=120,IF(Paths!$E$38+'Operating costs'!$B$65=0,C350=0,AND(C350&gt;0,Paths!$E$38+'Operating costs'!$B$65&gt;(C350-1)*12,Paths!$E$38+'Operating costs'!$B$65&lt;=C350*12))),'Operating costs'!$B$64,0)+IF(AND('Operating costs'!$B$67&gt;0,'Operating costs'!$B$67&lt;=120,OR(Paths!$D$38="ICE",'Operating costs'!$B$67&lt;=Paths!$E$38),IF('Operating costs'!$B$67=0,C350=0,AND(C350&gt;0,'Operating costs'!$B$67&gt;(C350-1)*12,'Operating costs'!$B$67&lt;=C350*12))),'Operating costs'!$B$66,0),"n.a."))</f>
        <v>0</v>
      </c>
      <c r="N350" s="16">
        <f>IF(NOT(Paths!$C$38=1),0,IF(Paths!$P$38="Complete",SUM(G350:I350)-J350-K350-L350+M350+IF(C350=0,Paths!$F$38,0)+IF(IF(Paths!$E$38=0,C350=0,AND(C350&gt;0,Paths!$E$38&gt;(C350-1)*12,Paths!$E$38&lt;=C350*12)),VLOOKUP(A350,'Fleet register'!$A$7:$S$106,16,FALSE),0),"n.a."))</f>
        <v>0</v>
      </c>
      <c r="O350" s="16">
        <f>IF(NOT(Paths!$C$38=1),0,IF(Paths!$P$38="Complete",N350-IF(C350=0,Paths!$F$38,0),"n.a."))</f>
        <v>0</v>
      </c>
      <c r="P350" s="16">
        <f>IF(NOT(Paths!$C$38=1),0,IF(Paths!$P$38="Complete",O350+L350,"n.a."))</f>
        <v>0</v>
      </c>
      <c r="Q350" s="16">
        <f>IF(NOT(Paths!$C$38=1),0,IF(Paths!$P$38="Complete",N350*(1+'Operating costs'!$B$54)^-C350,"n.a."))</f>
        <v>0</v>
      </c>
      <c r="R350" s="16">
        <f>IF(NOT(Paths!$C$38=1),0,IF(Paths!$P$38="Complete",IF(AND(C350=0,Paths!$E$38=0),I350-J350-K350+VLOOKUP(A350,'Fleet register'!$A$7:$S$106,15,FALSE)+VLOOKUP(A350,'Fleet register'!$A$7:$S$106,16,FALSE),0),"n.a."))</f>
        <v>0</v>
      </c>
      <c r="S350" s="1">
        <f>IF(NOT(Paths!$C$38=1),0,IF(Paths!$P$38="Complete",IF(C350=0,0,Paths!$S$38*Paths!$R$38),"n.a."))</f>
        <v>0</v>
      </c>
      <c r="T350" s="1">
        <f>IF(NOT(Paths!$C$38=1),0,IF(Paths!$P$38="Complete",IF(C350=0,0,VLOOKUP(A350,'Fleet register'!$A$7:$S$106,9,FALSE)*Paths!$R$38),"n.a."))</f>
        <v>0</v>
      </c>
    </row>
    <row r="351" spans="1:20" ht="24" customHeight="1">
      <c r="A351" s="1" t="str">
        <f>Paths!$A$38</f>
        <v>T008</v>
      </c>
      <c r="B351" s="1">
        <f>Paths!$B$38</f>
        <v>3</v>
      </c>
      <c r="C351" s="1">
        <v>3</v>
      </c>
      <c r="D351" s="1">
        <v>38</v>
      </c>
      <c r="E351" s="1">
        <f>IF(OR(Paths!$C$38=0,C351=0),0,MAX(0,MIN(C351*12,Paths!$E$38)-(C351-1)*12))</f>
        <v>0</v>
      </c>
      <c r="F351" s="1">
        <f>IF(OR(Paths!$C$38=0,C351=0),0,12-E351)</f>
        <v>0</v>
      </c>
      <c r="G351" s="16">
        <f>IF(NOT(Paths!$C$38=1),0,IF(Paths!$P$38="Complete",E351/12*(Paths!$J$38*(1+'Operating costs'!$B$51)^MAX(0,C351-1)+Paths!$K$38*(1+'Operating costs'!$B$53)^MAX(0,C351-1)),"n.a."))</f>
        <v>0</v>
      </c>
      <c r="H351" s="16">
        <f>IF(NOT(Paths!$C$38=1),0,IF(Paths!$P$38="Complete",F351/12*(Paths!$L$38*(1+IF(Paths!$D$38="EV",'Operating costs'!$B$52,'Operating costs'!$B$51))^MAX(0,C351-1)+Paths!$M$38*(1+'Operating costs'!$B$53)^MAX(0,C351-1)),"n.a."))</f>
        <v>0</v>
      </c>
      <c r="I351" s="16">
        <f>IF(NOT(Paths!$C$38=1),0,IF(Paths!$P$38="Complete",IF(IF(Paths!$E$38=0,C351=0,AND(C351&gt;0,Paths!$E$38&gt;(C351-1)*12,Paths!$E$38&lt;=C351*12)),Paths!$G$38,0),"n.a."))</f>
        <v>0</v>
      </c>
      <c r="J351" s="16">
        <f>IF(NOT(Paths!$C$38=1),0,IF(Paths!$P$38="Complete",IF(IF(Paths!$E$38=0,C351=0,AND(C351&gt;0,Paths!$E$38&gt;(C351-1)*12,Paths!$E$38&lt;=C351*12)),Paths!$H$38,0),"n.a."))</f>
        <v>0</v>
      </c>
      <c r="K351" s="16">
        <f>IF(NOT(Paths!$C$38=1),0,IF(Paths!$P$38="Complete",IF(IF(Paths!$O$38=0,C351=0,AND(C351&gt;0,Paths!$O$38&gt;(C351-1)*12,Paths!$O$38&lt;=C351*12)),Paths!$N$38,0),"n.a."))</f>
        <v>0</v>
      </c>
      <c r="L351" s="16">
        <f>IF(NOT(Paths!$C$38=1),0,IF(Paths!$P$38="Complete",IF(C351=10,Paths!$I$38,0),"n.a."))</f>
        <v>0</v>
      </c>
      <c r="M351" s="16">
        <f>IF(NOT(Paths!$C$38=1),0,IF(Paths!$P$38="Complete",IF(AND(Paths!$D$38="EV",Paths!$E$38&lt;120,Paths!$E$38+'Operating costs'!$B$65&gt;Paths!$E$38,Paths!$E$38+'Operating costs'!$B$65&lt;=120,IF(Paths!$E$38+'Operating costs'!$B$65=0,C351=0,AND(C351&gt;0,Paths!$E$38+'Operating costs'!$B$65&gt;(C351-1)*12,Paths!$E$38+'Operating costs'!$B$65&lt;=C351*12))),'Operating costs'!$B$64,0)+IF(AND('Operating costs'!$B$67&gt;0,'Operating costs'!$B$67&lt;=120,OR(Paths!$D$38="ICE",'Operating costs'!$B$67&lt;=Paths!$E$38),IF('Operating costs'!$B$67=0,C351=0,AND(C351&gt;0,'Operating costs'!$B$67&gt;(C351-1)*12,'Operating costs'!$B$67&lt;=C351*12))),'Operating costs'!$B$66,0),"n.a."))</f>
        <v>0</v>
      </c>
      <c r="N351" s="16">
        <f>IF(NOT(Paths!$C$38=1),0,IF(Paths!$P$38="Complete",SUM(G351:I351)-J351-K351-L351+M351+IF(C351=0,Paths!$F$38,0)+IF(IF(Paths!$E$38=0,C351=0,AND(C351&gt;0,Paths!$E$38&gt;(C351-1)*12,Paths!$E$38&lt;=C351*12)),VLOOKUP(A351,'Fleet register'!$A$7:$S$106,16,FALSE),0),"n.a."))</f>
        <v>0</v>
      </c>
      <c r="O351" s="16">
        <f>IF(NOT(Paths!$C$38=1),0,IF(Paths!$P$38="Complete",N351-IF(C351=0,Paths!$F$38,0),"n.a."))</f>
        <v>0</v>
      </c>
      <c r="P351" s="16">
        <f>IF(NOT(Paths!$C$38=1),0,IF(Paths!$P$38="Complete",O351+L351,"n.a."))</f>
        <v>0</v>
      </c>
      <c r="Q351" s="16">
        <f>IF(NOT(Paths!$C$38=1),0,IF(Paths!$P$38="Complete",N351*(1+'Operating costs'!$B$54)^-C351,"n.a."))</f>
        <v>0</v>
      </c>
      <c r="R351" s="16">
        <f>IF(NOT(Paths!$C$38=1),0,IF(Paths!$P$38="Complete",IF(AND(C351=0,Paths!$E$38=0),I351-J351-K351+VLOOKUP(A351,'Fleet register'!$A$7:$S$106,15,FALSE)+VLOOKUP(A351,'Fleet register'!$A$7:$S$106,16,FALSE),0),"n.a."))</f>
        <v>0</v>
      </c>
      <c r="S351" s="1">
        <f>IF(NOT(Paths!$C$38=1),0,IF(Paths!$P$38="Complete",IF(C351=0,0,Paths!$S$38*Paths!$R$38),"n.a."))</f>
        <v>0</v>
      </c>
      <c r="T351" s="1">
        <f>IF(NOT(Paths!$C$38=1),0,IF(Paths!$P$38="Complete",IF(C351=0,0,VLOOKUP(A351,'Fleet register'!$A$7:$S$106,9,FALSE)*Paths!$R$38),"n.a."))</f>
        <v>0</v>
      </c>
    </row>
    <row r="352" spans="1:20" ht="24" customHeight="1">
      <c r="A352" s="1" t="str">
        <f>Paths!$A$38</f>
        <v>T008</v>
      </c>
      <c r="B352" s="1">
        <f>Paths!$B$38</f>
        <v>3</v>
      </c>
      <c r="C352" s="1">
        <v>4</v>
      </c>
      <c r="D352" s="1">
        <v>38</v>
      </c>
      <c r="E352" s="1">
        <f>IF(OR(Paths!$C$38=0,C352=0),0,MAX(0,MIN(C352*12,Paths!$E$38)-(C352-1)*12))</f>
        <v>0</v>
      </c>
      <c r="F352" s="1">
        <f>IF(OR(Paths!$C$38=0,C352=0),0,12-E352)</f>
        <v>0</v>
      </c>
      <c r="G352" s="16">
        <f>IF(NOT(Paths!$C$38=1),0,IF(Paths!$P$38="Complete",E352/12*(Paths!$J$38*(1+'Operating costs'!$B$51)^MAX(0,C352-1)+Paths!$K$38*(1+'Operating costs'!$B$53)^MAX(0,C352-1)),"n.a."))</f>
        <v>0</v>
      </c>
      <c r="H352" s="16">
        <f>IF(NOT(Paths!$C$38=1),0,IF(Paths!$P$38="Complete",F352/12*(Paths!$L$38*(1+IF(Paths!$D$38="EV",'Operating costs'!$B$52,'Operating costs'!$B$51))^MAX(0,C352-1)+Paths!$M$38*(1+'Operating costs'!$B$53)^MAX(0,C352-1)),"n.a."))</f>
        <v>0</v>
      </c>
      <c r="I352" s="16">
        <f>IF(NOT(Paths!$C$38=1),0,IF(Paths!$P$38="Complete",IF(IF(Paths!$E$38=0,C352=0,AND(C352&gt;0,Paths!$E$38&gt;(C352-1)*12,Paths!$E$38&lt;=C352*12)),Paths!$G$38,0),"n.a."))</f>
        <v>0</v>
      </c>
      <c r="J352" s="16">
        <f>IF(NOT(Paths!$C$38=1),0,IF(Paths!$P$38="Complete",IF(IF(Paths!$E$38=0,C352=0,AND(C352&gt;0,Paths!$E$38&gt;(C352-1)*12,Paths!$E$38&lt;=C352*12)),Paths!$H$38,0),"n.a."))</f>
        <v>0</v>
      </c>
      <c r="K352" s="16">
        <f>IF(NOT(Paths!$C$38=1),0,IF(Paths!$P$38="Complete",IF(IF(Paths!$O$38=0,C352=0,AND(C352&gt;0,Paths!$O$38&gt;(C352-1)*12,Paths!$O$38&lt;=C352*12)),Paths!$N$38,0),"n.a."))</f>
        <v>0</v>
      </c>
      <c r="L352" s="16">
        <f>IF(NOT(Paths!$C$38=1),0,IF(Paths!$P$38="Complete",IF(C352=10,Paths!$I$38,0),"n.a."))</f>
        <v>0</v>
      </c>
      <c r="M352" s="16">
        <f>IF(NOT(Paths!$C$38=1),0,IF(Paths!$P$38="Complete",IF(AND(Paths!$D$38="EV",Paths!$E$38&lt;120,Paths!$E$38+'Operating costs'!$B$65&gt;Paths!$E$38,Paths!$E$38+'Operating costs'!$B$65&lt;=120,IF(Paths!$E$38+'Operating costs'!$B$65=0,C352=0,AND(C352&gt;0,Paths!$E$38+'Operating costs'!$B$65&gt;(C352-1)*12,Paths!$E$38+'Operating costs'!$B$65&lt;=C352*12))),'Operating costs'!$B$64,0)+IF(AND('Operating costs'!$B$67&gt;0,'Operating costs'!$B$67&lt;=120,OR(Paths!$D$38="ICE",'Operating costs'!$B$67&lt;=Paths!$E$38),IF('Operating costs'!$B$67=0,C352=0,AND(C352&gt;0,'Operating costs'!$B$67&gt;(C352-1)*12,'Operating costs'!$B$67&lt;=C352*12))),'Operating costs'!$B$66,0),"n.a."))</f>
        <v>0</v>
      </c>
      <c r="N352" s="16">
        <f>IF(NOT(Paths!$C$38=1),0,IF(Paths!$P$38="Complete",SUM(G352:I352)-J352-K352-L352+M352+IF(C352=0,Paths!$F$38,0)+IF(IF(Paths!$E$38=0,C352=0,AND(C352&gt;0,Paths!$E$38&gt;(C352-1)*12,Paths!$E$38&lt;=C352*12)),VLOOKUP(A352,'Fleet register'!$A$7:$S$106,16,FALSE),0),"n.a."))</f>
        <v>0</v>
      </c>
      <c r="O352" s="16">
        <f>IF(NOT(Paths!$C$38=1),0,IF(Paths!$P$38="Complete",N352-IF(C352=0,Paths!$F$38,0),"n.a."))</f>
        <v>0</v>
      </c>
      <c r="P352" s="16">
        <f>IF(NOT(Paths!$C$38=1),0,IF(Paths!$P$38="Complete",O352+L352,"n.a."))</f>
        <v>0</v>
      </c>
      <c r="Q352" s="16">
        <f>IF(NOT(Paths!$C$38=1),0,IF(Paths!$P$38="Complete",N352*(1+'Operating costs'!$B$54)^-C352,"n.a."))</f>
        <v>0</v>
      </c>
      <c r="R352" s="16">
        <f>IF(NOT(Paths!$C$38=1),0,IF(Paths!$P$38="Complete",IF(AND(C352=0,Paths!$E$38=0),I352-J352-K352+VLOOKUP(A352,'Fleet register'!$A$7:$S$106,15,FALSE)+VLOOKUP(A352,'Fleet register'!$A$7:$S$106,16,FALSE),0),"n.a."))</f>
        <v>0</v>
      </c>
      <c r="S352" s="1">
        <f>IF(NOT(Paths!$C$38=1),0,IF(Paths!$P$38="Complete",IF(C352=0,0,Paths!$S$38*Paths!$R$38),"n.a."))</f>
        <v>0</v>
      </c>
      <c r="T352" s="1">
        <f>IF(NOT(Paths!$C$38=1),0,IF(Paths!$P$38="Complete",IF(C352=0,0,VLOOKUP(A352,'Fleet register'!$A$7:$S$106,9,FALSE)*Paths!$R$38),"n.a."))</f>
        <v>0</v>
      </c>
    </row>
    <row r="353" spans="1:20" ht="24" customHeight="1">
      <c r="A353" s="1" t="str">
        <f>Paths!$A$38</f>
        <v>T008</v>
      </c>
      <c r="B353" s="1">
        <f>Paths!$B$38</f>
        <v>3</v>
      </c>
      <c r="C353" s="1">
        <v>5</v>
      </c>
      <c r="D353" s="1">
        <v>38</v>
      </c>
      <c r="E353" s="1">
        <f>IF(OR(Paths!$C$38=0,C353=0),0,MAX(0,MIN(C353*12,Paths!$E$38)-(C353-1)*12))</f>
        <v>0</v>
      </c>
      <c r="F353" s="1">
        <f>IF(OR(Paths!$C$38=0,C353=0),0,12-E353)</f>
        <v>0</v>
      </c>
      <c r="G353" s="16">
        <f>IF(NOT(Paths!$C$38=1),0,IF(Paths!$P$38="Complete",E353/12*(Paths!$J$38*(1+'Operating costs'!$B$51)^MAX(0,C353-1)+Paths!$K$38*(1+'Operating costs'!$B$53)^MAX(0,C353-1)),"n.a."))</f>
        <v>0</v>
      </c>
      <c r="H353" s="16">
        <f>IF(NOT(Paths!$C$38=1),0,IF(Paths!$P$38="Complete",F353/12*(Paths!$L$38*(1+IF(Paths!$D$38="EV",'Operating costs'!$B$52,'Operating costs'!$B$51))^MAX(0,C353-1)+Paths!$M$38*(1+'Operating costs'!$B$53)^MAX(0,C353-1)),"n.a."))</f>
        <v>0</v>
      </c>
      <c r="I353" s="16">
        <f>IF(NOT(Paths!$C$38=1),0,IF(Paths!$P$38="Complete",IF(IF(Paths!$E$38=0,C353=0,AND(C353&gt;0,Paths!$E$38&gt;(C353-1)*12,Paths!$E$38&lt;=C353*12)),Paths!$G$38,0),"n.a."))</f>
        <v>0</v>
      </c>
      <c r="J353" s="16">
        <f>IF(NOT(Paths!$C$38=1),0,IF(Paths!$P$38="Complete",IF(IF(Paths!$E$38=0,C353=0,AND(C353&gt;0,Paths!$E$38&gt;(C353-1)*12,Paths!$E$38&lt;=C353*12)),Paths!$H$38,0),"n.a."))</f>
        <v>0</v>
      </c>
      <c r="K353" s="16">
        <f>IF(NOT(Paths!$C$38=1),0,IF(Paths!$P$38="Complete",IF(IF(Paths!$O$38=0,C353=0,AND(C353&gt;0,Paths!$O$38&gt;(C353-1)*12,Paths!$O$38&lt;=C353*12)),Paths!$N$38,0),"n.a."))</f>
        <v>0</v>
      </c>
      <c r="L353" s="16">
        <f>IF(NOT(Paths!$C$38=1),0,IF(Paths!$P$38="Complete",IF(C353=10,Paths!$I$38,0),"n.a."))</f>
        <v>0</v>
      </c>
      <c r="M353" s="16">
        <f>IF(NOT(Paths!$C$38=1),0,IF(Paths!$P$38="Complete",IF(AND(Paths!$D$38="EV",Paths!$E$38&lt;120,Paths!$E$38+'Operating costs'!$B$65&gt;Paths!$E$38,Paths!$E$38+'Operating costs'!$B$65&lt;=120,IF(Paths!$E$38+'Operating costs'!$B$65=0,C353=0,AND(C353&gt;0,Paths!$E$38+'Operating costs'!$B$65&gt;(C353-1)*12,Paths!$E$38+'Operating costs'!$B$65&lt;=C353*12))),'Operating costs'!$B$64,0)+IF(AND('Operating costs'!$B$67&gt;0,'Operating costs'!$B$67&lt;=120,OR(Paths!$D$38="ICE",'Operating costs'!$B$67&lt;=Paths!$E$38),IF('Operating costs'!$B$67=0,C353=0,AND(C353&gt;0,'Operating costs'!$B$67&gt;(C353-1)*12,'Operating costs'!$B$67&lt;=C353*12))),'Operating costs'!$B$66,0),"n.a."))</f>
        <v>0</v>
      </c>
      <c r="N353" s="16">
        <f>IF(NOT(Paths!$C$38=1),0,IF(Paths!$P$38="Complete",SUM(G353:I353)-J353-K353-L353+M353+IF(C353=0,Paths!$F$38,0)+IF(IF(Paths!$E$38=0,C353=0,AND(C353&gt;0,Paths!$E$38&gt;(C353-1)*12,Paths!$E$38&lt;=C353*12)),VLOOKUP(A353,'Fleet register'!$A$7:$S$106,16,FALSE),0),"n.a."))</f>
        <v>0</v>
      </c>
      <c r="O353" s="16">
        <f>IF(NOT(Paths!$C$38=1),0,IF(Paths!$P$38="Complete",N353-IF(C353=0,Paths!$F$38,0),"n.a."))</f>
        <v>0</v>
      </c>
      <c r="P353" s="16">
        <f>IF(NOT(Paths!$C$38=1),0,IF(Paths!$P$38="Complete",O353+L353,"n.a."))</f>
        <v>0</v>
      </c>
      <c r="Q353" s="16">
        <f>IF(NOT(Paths!$C$38=1),0,IF(Paths!$P$38="Complete",N353*(1+'Operating costs'!$B$54)^-C353,"n.a."))</f>
        <v>0</v>
      </c>
      <c r="R353" s="16">
        <f>IF(NOT(Paths!$C$38=1),0,IF(Paths!$P$38="Complete",IF(AND(C353=0,Paths!$E$38=0),I353-J353-K353+VLOOKUP(A353,'Fleet register'!$A$7:$S$106,15,FALSE)+VLOOKUP(A353,'Fleet register'!$A$7:$S$106,16,FALSE),0),"n.a."))</f>
        <v>0</v>
      </c>
      <c r="S353" s="1">
        <f>IF(NOT(Paths!$C$38=1),0,IF(Paths!$P$38="Complete",IF(C353=0,0,Paths!$S$38*Paths!$R$38),"n.a."))</f>
        <v>0</v>
      </c>
      <c r="T353" s="1">
        <f>IF(NOT(Paths!$C$38=1),0,IF(Paths!$P$38="Complete",IF(C353=0,0,VLOOKUP(A353,'Fleet register'!$A$7:$S$106,9,FALSE)*Paths!$R$38),"n.a."))</f>
        <v>0</v>
      </c>
    </row>
    <row r="354" spans="1:20" ht="24" customHeight="1">
      <c r="A354" s="1" t="str">
        <f>Paths!$A$38</f>
        <v>T008</v>
      </c>
      <c r="B354" s="1">
        <f>Paths!$B$38</f>
        <v>3</v>
      </c>
      <c r="C354" s="1">
        <v>6</v>
      </c>
      <c r="D354" s="1">
        <v>38</v>
      </c>
      <c r="E354" s="1">
        <f>IF(OR(Paths!$C$38=0,C354=0),0,MAX(0,MIN(C354*12,Paths!$E$38)-(C354-1)*12))</f>
        <v>0</v>
      </c>
      <c r="F354" s="1">
        <f>IF(OR(Paths!$C$38=0,C354=0),0,12-E354)</f>
        <v>0</v>
      </c>
      <c r="G354" s="16">
        <f>IF(NOT(Paths!$C$38=1),0,IF(Paths!$P$38="Complete",E354/12*(Paths!$J$38*(1+'Operating costs'!$B$51)^MAX(0,C354-1)+Paths!$K$38*(1+'Operating costs'!$B$53)^MAX(0,C354-1)),"n.a."))</f>
        <v>0</v>
      </c>
      <c r="H354" s="16">
        <f>IF(NOT(Paths!$C$38=1),0,IF(Paths!$P$38="Complete",F354/12*(Paths!$L$38*(1+IF(Paths!$D$38="EV",'Operating costs'!$B$52,'Operating costs'!$B$51))^MAX(0,C354-1)+Paths!$M$38*(1+'Operating costs'!$B$53)^MAX(0,C354-1)),"n.a."))</f>
        <v>0</v>
      </c>
      <c r="I354" s="16">
        <f>IF(NOT(Paths!$C$38=1),0,IF(Paths!$P$38="Complete",IF(IF(Paths!$E$38=0,C354=0,AND(C354&gt;0,Paths!$E$38&gt;(C354-1)*12,Paths!$E$38&lt;=C354*12)),Paths!$G$38,0),"n.a."))</f>
        <v>0</v>
      </c>
      <c r="J354" s="16">
        <f>IF(NOT(Paths!$C$38=1),0,IF(Paths!$P$38="Complete",IF(IF(Paths!$E$38=0,C354=0,AND(C354&gt;0,Paths!$E$38&gt;(C354-1)*12,Paths!$E$38&lt;=C354*12)),Paths!$H$38,0),"n.a."))</f>
        <v>0</v>
      </c>
      <c r="K354" s="16">
        <f>IF(NOT(Paths!$C$38=1),0,IF(Paths!$P$38="Complete",IF(IF(Paths!$O$38=0,C354=0,AND(C354&gt;0,Paths!$O$38&gt;(C354-1)*12,Paths!$O$38&lt;=C354*12)),Paths!$N$38,0),"n.a."))</f>
        <v>0</v>
      </c>
      <c r="L354" s="16">
        <f>IF(NOT(Paths!$C$38=1),0,IF(Paths!$P$38="Complete",IF(C354=10,Paths!$I$38,0),"n.a."))</f>
        <v>0</v>
      </c>
      <c r="M354" s="16">
        <f>IF(NOT(Paths!$C$38=1),0,IF(Paths!$P$38="Complete",IF(AND(Paths!$D$38="EV",Paths!$E$38&lt;120,Paths!$E$38+'Operating costs'!$B$65&gt;Paths!$E$38,Paths!$E$38+'Operating costs'!$B$65&lt;=120,IF(Paths!$E$38+'Operating costs'!$B$65=0,C354=0,AND(C354&gt;0,Paths!$E$38+'Operating costs'!$B$65&gt;(C354-1)*12,Paths!$E$38+'Operating costs'!$B$65&lt;=C354*12))),'Operating costs'!$B$64,0)+IF(AND('Operating costs'!$B$67&gt;0,'Operating costs'!$B$67&lt;=120,OR(Paths!$D$38="ICE",'Operating costs'!$B$67&lt;=Paths!$E$38),IF('Operating costs'!$B$67=0,C354=0,AND(C354&gt;0,'Operating costs'!$B$67&gt;(C354-1)*12,'Operating costs'!$B$67&lt;=C354*12))),'Operating costs'!$B$66,0),"n.a."))</f>
        <v>0</v>
      </c>
      <c r="N354" s="16">
        <f>IF(NOT(Paths!$C$38=1),0,IF(Paths!$P$38="Complete",SUM(G354:I354)-J354-K354-L354+M354+IF(C354=0,Paths!$F$38,0)+IF(IF(Paths!$E$38=0,C354=0,AND(C354&gt;0,Paths!$E$38&gt;(C354-1)*12,Paths!$E$38&lt;=C354*12)),VLOOKUP(A354,'Fleet register'!$A$7:$S$106,16,FALSE),0),"n.a."))</f>
        <v>0</v>
      </c>
      <c r="O354" s="16">
        <f>IF(NOT(Paths!$C$38=1),0,IF(Paths!$P$38="Complete",N354-IF(C354=0,Paths!$F$38,0),"n.a."))</f>
        <v>0</v>
      </c>
      <c r="P354" s="16">
        <f>IF(NOT(Paths!$C$38=1),0,IF(Paths!$P$38="Complete",O354+L354,"n.a."))</f>
        <v>0</v>
      </c>
      <c r="Q354" s="16">
        <f>IF(NOT(Paths!$C$38=1),0,IF(Paths!$P$38="Complete",N354*(1+'Operating costs'!$B$54)^-C354,"n.a."))</f>
        <v>0</v>
      </c>
      <c r="R354" s="16">
        <f>IF(NOT(Paths!$C$38=1),0,IF(Paths!$P$38="Complete",IF(AND(C354=0,Paths!$E$38=0),I354-J354-K354+VLOOKUP(A354,'Fleet register'!$A$7:$S$106,15,FALSE)+VLOOKUP(A354,'Fleet register'!$A$7:$S$106,16,FALSE),0),"n.a."))</f>
        <v>0</v>
      </c>
      <c r="S354" s="1">
        <f>IF(NOT(Paths!$C$38=1),0,IF(Paths!$P$38="Complete",IF(C354=0,0,Paths!$S$38*Paths!$R$38),"n.a."))</f>
        <v>0</v>
      </c>
      <c r="T354" s="1">
        <f>IF(NOT(Paths!$C$38=1),0,IF(Paths!$P$38="Complete",IF(C354=0,0,VLOOKUP(A354,'Fleet register'!$A$7:$S$106,9,FALSE)*Paths!$R$38),"n.a."))</f>
        <v>0</v>
      </c>
    </row>
    <row r="355" spans="1:20" ht="24" customHeight="1">
      <c r="A355" s="1" t="str">
        <f>Paths!$A$38</f>
        <v>T008</v>
      </c>
      <c r="B355" s="1">
        <f>Paths!$B$38</f>
        <v>3</v>
      </c>
      <c r="C355" s="1">
        <v>7</v>
      </c>
      <c r="D355" s="1">
        <v>38</v>
      </c>
      <c r="E355" s="1">
        <f>IF(OR(Paths!$C$38=0,C355=0),0,MAX(0,MIN(C355*12,Paths!$E$38)-(C355-1)*12))</f>
        <v>0</v>
      </c>
      <c r="F355" s="1">
        <f>IF(OR(Paths!$C$38=0,C355=0),0,12-E355)</f>
        <v>0</v>
      </c>
      <c r="G355" s="16">
        <f>IF(NOT(Paths!$C$38=1),0,IF(Paths!$P$38="Complete",E355/12*(Paths!$J$38*(1+'Operating costs'!$B$51)^MAX(0,C355-1)+Paths!$K$38*(1+'Operating costs'!$B$53)^MAX(0,C355-1)),"n.a."))</f>
        <v>0</v>
      </c>
      <c r="H355" s="16">
        <f>IF(NOT(Paths!$C$38=1),0,IF(Paths!$P$38="Complete",F355/12*(Paths!$L$38*(1+IF(Paths!$D$38="EV",'Operating costs'!$B$52,'Operating costs'!$B$51))^MAX(0,C355-1)+Paths!$M$38*(1+'Operating costs'!$B$53)^MAX(0,C355-1)),"n.a."))</f>
        <v>0</v>
      </c>
      <c r="I355" s="16">
        <f>IF(NOT(Paths!$C$38=1),0,IF(Paths!$P$38="Complete",IF(IF(Paths!$E$38=0,C355=0,AND(C355&gt;0,Paths!$E$38&gt;(C355-1)*12,Paths!$E$38&lt;=C355*12)),Paths!$G$38,0),"n.a."))</f>
        <v>0</v>
      </c>
      <c r="J355" s="16">
        <f>IF(NOT(Paths!$C$38=1),0,IF(Paths!$P$38="Complete",IF(IF(Paths!$E$38=0,C355=0,AND(C355&gt;0,Paths!$E$38&gt;(C355-1)*12,Paths!$E$38&lt;=C355*12)),Paths!$H$38,0),"n.a."))</f>
        <v>0</v>
      </c>
      <c r="K355" s="16">
        <f>IF(NOT(Paths!$C$38=1),0,IF(Paths!$P$38="Complete",IF(IF(Paths!$O$38=0,C355=0,AND(C355&gt;0,Paths!$O$38&gt;(C355-1)*12,Paths!$O$38&lt;=C355*12)),Paths!$N$38,0),"n.a."))</f>
        <v>0</v>
      </c>
      <c r="L355" s="16">
        <f>IF(NOT(Paths!$C$38=1),0,IF(Paths!$P$38="Complete",IF(C355=10,Paths!$I$38,0),"n.a."))</f>
        <v>0</v>
      </c>
      <c r="M355" s="16">
        <f>IF(NOT(Paths!$C$38=1),0,IF(Paths!$P$38="Complete",IF(AND(Paths!$D$38="EV",Paths!$E$38&lt;120,Paths!$E$38+'Operating costs'!$B$65&gt;Paths!$E$38,Paths!$E$38+'Operating costs'!$B$65&lt;=120,IF(Paths!$E$38+'Operating costs'!$B$65=0,C355=0,AND(C355&gt;0,Paths!$E$38+'Operating costs'!$B$65&gt;(C355-1)*12,Paths!$E$38+'Operating costs'!$B$65&lt;=C355*12))),'Operating costs'!$B$64,0)+IF(AND('Operating costs'!$B$67&gt;0,'Operating costs'!$B$67&lt;=120,OR(Paths!$D$38="ICE",'Operating costs'!$B$67&lt;=Paths!$E$38),IF('Operating costs'!$B$67=0,C355=0,AND(C355&gt;0,'Operating costs'!$B$67&gt;(C355-1)*12,'Operating costs'!$B$67&lt;=C355*12))),'Operating costs'!$B$66,0),"n.a."))</f>
        <v>0</v>
      </c>
      <c r="N355" s="16">
        <f>IF(NOT(Paths!$C$38=1),0,IF(Paths!$P$38="Complete",SUM(G355:I355)-J355-K355-L355+M355+IF(C355=0,Paths!$F$38,0)+IF(IF(Paths!$E$38=0,C355=0,AND(C355&gt;0,Paths!$E$38&gt;(C355-1)*12,Paths!$E$38&lt;=C355*12)),VLOOKUP(A355,'Fleet register'!$A$7:$S$106,16,FALSE),0),"n.a."))</f>
        <v>0</v>
      </c>
      <c r="O355" s="16">
        <f>IF(NOT(Paths!$C$38=1),0,IF(Paths!$P$38="Complete",N355-IF(C355=0,Paths!$F$38,0),"n.a."))</f>
        <v>0</v>
      </c>
      <c r="P355" s="16">
        <f>IF(NOT(Paths!$C$38=1),0,IF(Paths!$P$38="Complete",O355+L355,"n.a."))</f>
        <v>0</v>
      </c>
      <c r="Q355" s="16">
        <f>IF(NOT(Paths!$C$38=1),0,IF(Paths!$P$38="Complete",N355*(1+'Operating costs'!$B$54)^-C355,"n.a."))</f>
        <v>0</v>
      </c>
      <c r="R355" s="16">
        <f>IF(NOT(Paths!$C$38=1),0,IF(Paths!$P$38="Complete",IF(AND(C355=0,Paths!$E$38=0),I355-J355-K355+VLOOKUP(A355,'Fleet register'!$A$7:$S$106,15,FALSE)+VLOOKUP(A355,'Fleet register'!$A$7:$S$106,16,FALSE),0),"n.a."))</f>
        <v>0</v>
      </c>
      <c r="S355" s="1">
        <f>IF(NOT(Paths!$C$38=1),0,IF(Paths!$P$38="Complete",IF(C355=0,0,Paths!$S$38*Paths!$R$38),"n.a."))</f>
        <v>0</v>
      </c>
      <c r="T355" s="1">
        <f>IF(NOT(Paths!$C$38=1),0,IF(Paths!$P$38="Complete",IF(C355=0,0,VLOOKUP(A355,'Fleet register'!$A$7:$S$106,9,FALSE)*Paths!$R$38),"n.a."))</f>
        <v>0</v>
      </c>
    </row>
    <row r="356" spans="1:20" ht="24" customHeight="1">
      <c r="A356" s="1" t="str">
        <f>Paths!$A$38</f>
        <v>T008</v>
      </c>
      <c r="B356" s="1">
        <f>Paths!$B$38</f>
        <v>3</v>
      </c>
      <c r="C356" s="1">
        <v>8</v>
      </c>
      <c r="D356" s="1">
        <v>38</v>
      </c>
      <c r="E356" s="1">
        <f>IF(OR(Paths!$C$38=0,C356=0),0,MAX(0,MIN(C356*12,Paths!$E$38)-(C356-1)*12))</f>
        <v>0</v>
      </c>
      <c r="F356" s="1">
        <f>IF(OR(Paths!$C$38=0,C356=0),0,12-E356)</f>
        <v>0</v>
      </c>
      <c r="G356" s="16">
        <f>IF(NOT(Paths!$C$38=1),0,IF(Paths!$P$38="Complete",E356/12*(Paths!$J$38*(1+'Operating costs'!$B$51)^MAX(0,C356-1)+Paths!$K$38*(1+'Operating costs'!$B$53)^MAX(0,C356-1)),"n.a."))</f>
        <v>0</v>
      </c>
      <c r="H356" s="16">
        <f>IF(NOT(Paths!$C$38=1),0,IF(Paths!$P$38="Complete",F356/12*(Paths!$L$38*(1+IF(Paths!$D$38="EV",'Operating costs'!$B$52,'Operating costs'!$B$51))^MAX(0,C356-1)+Paths!$M$38*(1+'Operating costs'!$B$53)^MAX(0,C356-1)),"n.a."))</f>
        <v>0</v>
      </c>
      <c r="I356" s="16">
        <f>IF(NOT(Paths!$C$38=1),0,IF(Paths!$P$38="Complete",IF(IF(Paths!$E$38=0,C356=0,AND(C356&gt;0,Paths!$E$38&gt;(C356-1)*12,Paths!$E$38&lt;=C356*12)),Paths!$G$38,0),"n.a."))</f>
        <v>0</v>
      </c>
      <c r="J356" s="16">
        <f>IF(NOT(Paths!$C$38=1),0,IF(Paths!$P$38="Complete",IF(IF(Paths!$E$38=0,C356=0,AND(C356&gt;0,Paths!$E$38&gt;(C356-1)*12,Paths!$E$38&lt;=C356*12)),Paths!$H$38,0),"n.a."))</f>
        <v>0</v>
      </c>
      <c r="K356" s="16">
        <f>IF(NOT(Paths!$C$38=1),0,IF(Paths!$P$38="Complete",IF(IF(Paths!$O$38=0,C356=0,AND(C356&gt;0,Paths!$O$38&gt;(C356-1)*12,Paths!$O$38&lt;=C356*12)),Paths!$N$38,0),"n.a."))</f>
        <v>0</v>
      </c>
      <c r="L356" s="16">
        <f>IF(NOT(Paths!$C$38=1),0,IF(Paths!$P$38="Complete",IF(C356=10,Paths!$I$38,0),"n.a."))</f>
        <v>0</v>
      </c>
      <c r="M356" s="16">
        <f>IF(NOT(Paths!$C$38=1),0,IF(Paths!$P$38="Complete",IF(AND(Paths!$D$38="EV",Paths!$E$38&lt;120,Paths!$E$38+'Operating costs'!$B$65&gt;Paths!$E$38,Paths!$E$38+'Operating costs'!$B$65&lt;=120,IF(Paths!$E$38+'Operating costs'!$B$65=0,C356=0,AND(C356&gt;0,Paths!$E$38+'Operating costs'!$B$65&gt;(C356-1)*12,Paths!$E$38+'Operating costs'!$B$65&lt;=C356*12))),'Operating costs'!$B$64,0)+IF(AND('Operating costs'!$B$67&gt;0,'Operating costs'!$B$67&lt;=120,OR(Paths!$D$38="ICE",'Operating costs'!$B$67&lt;=Paths!$E$38),IF('Operating costs'!$B$67=0,C356=0,AND(C356&gt;0,'Operating costs'!$B$67&gt;(C356-1)*12,'Operating costs'!$B$67&lt;=C356*12))),'Operating costs'!$B$66,0),"n.a."))</f>
        <v>0</v>
      </c>
      <c r="N356" s="16">
        <f>IF(NOT(Paths!$C$38=1),0,IF(Paths!$P$38="Complete",SUM(G356:I356)-J356-K356-L356+M356+IF(C356=0,Paths!$F$38,0)+IF(IF(Paths!$E$38=0,C356=0,AND(C356&gt;0,Paths!$E$38&gt;(C356-1)*12,Paths!$E$38&lt;=C356*12)),VLOOKUP(A356,'Fleet register'!$A$7:$S$106,16,FALSE),0),"n.a."))</f>
        <v>0</v>
      </c>
      <c r="O356" s="16">
        <f>IF(NOT(Paths!$C$38=1),0,IF(Paths!$P$38="Complete",N356-IF(C356=0,Paths!$F$38,0),"n.a."))</f>
        <v>0</v>
      </c>
      <c r="P356" s="16">
        <f>IF(NOT(Paths!$C$38=1),0,IF(Paths!$P$38="Complete",O356+L356,"n.a."))</f>
        <v>0</v>
      </c>
      <c r="Q356" s="16">
        <f>IF(NOT(Paths!$C$38=1),0,IF(Paths!$P$38="Complete",N356*(1+'Operating costs'!$B$54)^-C356,"n.a."))</f>
        <v>0</v>
      </c>
      <c r="R356" s="16">
        <f>IF(NOT(Paths!$C$38=1),0,IF(Paths!$P$38="Complete",IF(AND(C356=0,Paths!$E$38=0),I356-J356-K356+VLOOKUP(A356,'Fleet register'!$A$7:$S$106,15,FALSE)+VLOOKUP(A356,'Fleet register'!$A$7:$S$106,16,FALSE),0),"n.a."))</f>
        <v>0</v>
      </c>
      <c r="S356" s="1">
        <f>IF(NOT(Paths!$C$38=1),0,IF(Paths!$P$38="Complete",IF(C356=0,0,Paths!$S$38*Paths!$R$38),"n.a."))</f>
        <v>0</v>
      </c>
      <c r="T356" s="1">
        <f>IF(NOT(Paths!$C$38=1),0,IF(Paths!$P$38="Complete",IF(C356=0,0,VLOOKUP(A356,'Fleet register'!$A$7:$S$106,9,FALSE)*Paths!$R$38),"n.a."))</f>
        <v>0</v>
      </c>
    </row>
    <row r="357" spans="1:20" ht="24" customHeight="1">
      <c r="A357" s="1" t="str">
        <f>Paths!$A$38</f>
        <v>T008</v>
      </c>
      <c r="B357" s="1">
        <f>Paths!$B$38</f>
        <v>3</v>
      </c>
      <c r="C357" s="1">
        <v>9</v>
      </c>
      <c r="D357" s="1">
        <v>38</v>
      </c>
      <c r="E357" s="1">
        <f>IF(OR(Paths!$C$38=0,C357=0),0,MAX(0,MIN(C357*12,Paths!$E$38)-(C357-1)*12))</f>
        <v>0</v>
      </c>
      <c r="F357" s="1">
        <f>IF(OR(Paths!$C$38=0,C357=0),0,12-E357)</f>
        <v>0</v>
      </c>
      <c r="G357" s="16">
        <f>IF(NOT(Paths!$C$38=1),0,IF(Paths!$P$38="Complete",E357/12*(Paths!$J$38*(1+'Operating costs'!$B$51)^MAX(0,C357-1)+Paths!$K$38*(1+'Operating costs'!$B$53)^MAX(0,C357-1)),"n.a."))</f>
        <v>0</v>
      </c>
      <c r="H357" s="16">
        <f>IF(NOT(Paths!$C$38=1),0,IF(Paths!$P$38="Complete",F357/12*(Paths!$L$38*(1+IF(Paths!$D$38="EV",'Operating costs'!$B$52,'Operating costs'!$B$51))^MAX(0,C357-1)+Paths!$M$38*(1+'Operating costs'!$B$53)^MAX(0,C357-1)),"n.a."))</f>
        <v>0</v>
      </c>
      <c r="I357" s="16">
        <f>IF(NOT(Paths!$C$38=1),0,IF(Paths!$P$38="Complete",IF(IF(Paths!$E$38=0,C357=0,AND(C357&gt;0,Paths!$E$38&gt;(C357-1)*12,Paths!$E$38&lt;=C357*12)),Paths!$G$38,0),"n.a."))</f>
        <v>0</v>
      </c>
      <c r="J357" s="16">
        <f>IF(NOT(Paths!$C$38=1),0,IF(Paths!$P$38="Complete",IF(IF(Paths!$E$38=0,C357=0,AND(C357&gt;0,Paths!$E$38&gt;(C357-1)*12,Paths!$E$38&lt;=C357*12)),Paths!$H$38,0),"n.a."))</f>
        <v>0</v>
      </c>
      <c r="K357" s="16">
        <f>IF(NOT(Paths!$C$38=1),0,IF(Paths!$P$38="Complete",IF(IF(Paths!$O$38=0,C357=0,AND(C357&gt;0,Paths!$O$38&gt;(C357-1)*12,Paths!$O$38&lt;=C357*12)),Paths!$N$38,0),"n.a."))</f>
        <v>0</v>
      </c>
      <c r="L357" s="16">
        <f>IF(NOT(Paths!$C$38=1),0,IF(Paths!$P$38="Complete",IF(C357=10,Paths!$I$38,0),"n.a."))</f>
        <v>0</v>
      </c>
      <c r="M357" s="16">
        <f>IF(NOT(Paths!$C$38=1),0,IF(Paths!$P$38="Complete",IF(AND(Paths!$D$38="EV",Paths!$E$38&lt;120,Paths!$E$38+'Operating costs'!$B$65&gt;Paths!$E$38,Paths!$E$38+'Operating costs'!$B$65&lt;=120,IF(Paths!$E$38+'Operating costs'!$B$65=0,C357=0,AND(C357&gt;0,Paths!$E$38+'Operating costs'!$B$65&gt;(C357-1)*12,Paths!$E$38+'Operating costs'!$B$65&lt;=C357*12))),'Operating costs'!$B$64,0)+IF(AND('Operating costs'!$B$67&gt;0,'Operating costs'!$B$67&lt;=120,OR(Paths!$D$38="ICE",'Operating costs'!$B$67&lt;=Paths!$E$38),IF('Operating costs'!$B$67=0,C357=0,AND(C357&gt;0,'Operating costs'!$B$67&gt;(C357-1)*12,'Operating costs'!$B$67&lt;=C357*12))),'Operating costs'!$B$66,0),"n.a."))</f>
        <v>0</v>
      </c>
      <c r="N357" s="16">
        <f>IF(NOT(Paths!$C$38=1),0,IF(Paths!$P$38="Complete",SUM(G357:I357)-J357-K357-L357+M357+IF(C357=0,Paths!$F$38,0)+IF(IF(Paths!$E$38=0,C357=0,AND(C357&gt;0,Paths!$E$38&gt;(C357-1)*12,Paths!$E$38&lt;=C357*12)),VLOOKUP(A357,'Fleet register'!$A$7:$S$106,16,FALSE),0),"n.a."))</f>
        <v>0</v>
      </c>
      <c r="O357" s="16">
        <f>IF(NOT(Paths!$C$38=1),0,IF(Paths!$P$38="Complete",N357-IF(C357=0,Paths!$F$38,0),"n.a."))</f>
        <v>0</v>
      </c>
      <c r="P357" s="16">
        <f>IF(NOT(Paths!$C$38=1),0,IF(Paths!$P$38="Complete",O357+L357,"n.a."))</f>
        <v>0</v>
      </c>
      <c r="Q357" s="16">
        <f>IF(NOT(Paths!$C$38=1),0,IF(Paths!$P$38="Complete",N357*(1+'Operating costs'!$B$54)^-C357,"n.a."))</f>
        <v>0</v>
      </c>
      <c r="R357" s="16">
        <f>IF(NOT(Paths!$C$38=1),0,IF(Paths!$P$38="Complete",IF(AND(C357=0,Paths!$E$38=0),I357-J357-K357+VLOOKUP(A357,'Fleet register'!$A$7:$S$106,15,FALSE)+VLOOKUP(A357,'Fleet register'!$A$7:$S$106,16,FALSE),0),"n.a."))</f>
        <v>0</v>
      </c>
      <c r="S357" s="1">
        <f>IF(NOT(Paths!$C$38=1),0,IF(Paths!$P$38="Complete",IF(C357=0,0,Paths!$S$38*Paths!$R$38),"n.a."))</f>
        <v>0</v>
      </c>
      <c r="T357" s="1">
        <f>IF(NOT(Paths!$C$38=1),0,IF(Paths!$P$38="Complete",IF(C357=0,0,VLOOKUP(A357,'Fleet register'!$A$7:$S$106,9,FALSE)*Paths!$R$38),"n.a."))</f>
        <v>0</v>
      </c>
    </row>
    <row r="358" spans="1:20" ht="24" customHeight="1">
      <c r="A358" s="1" t="str">
        <f>Paths!$A$38</f>
        <v>T008</v>
      </c>
      <c r="B358" s="1">
        <f>Paths!$B$38</f>
        <v>3</v>
      </c>
      <c r="C358" s="1">
        <v>10</v>
      </c>
      <c r="D358" s="1">
        <v>38</v>
      </c>
      <c r="E358" s="1">
        <f>IF(OR(Paths!$C$38=0,C358=0),0,MAX(0,MIN(C358*12,Paths!$E$38)-(C358-1)*12))</f>
        <v>0</v>
      </c>
      <c r="F358" s="1">
        <f>IF(OR(Paths!$C$38=0,C358=0),0,12-E358)</f>
        <v>0</v>
      </c>
      <c r="G358" s="16">
        <f>IF(NOT(Paths!$C$38=1),0,IF(Paths!$P$38="Complete",E358/12*(Paths!$J$38*(1+'Operating costs'!$B$51)^MAX(0,C358-1)+Paths!$K$38*(1+'Operating costs'!$B$53)^MAX(0,C358-1)),"n.a."))</f>
        <v>0</v>
      </c>
      <c r="H358" s="16">
        <f>IF(NOT(Paths!$C$38=1),0,IF(Paths!$P$38="Complete",F358/12*(Paths!$L$38*(1+IF(Paths!$D$38="EV",'Operating costs'!$B$52,'Operating costs'!$B$51))^MAX(0,C358-1)+Paths!$M$38*(1+'Operating costs'!$B$53)^MAX(0,C358-1)),"n.a."))</f>
        <v>0</v>
      </c>
      <c r="I358" s="16">
        <f>IF(NOT(Paths!$C$38=1),0,IF(Paths!$P$38="Complete",IF(IF(Paths!$E$38=0,C358=0,AND(C358&gt;0,Paths!$E$38&gt;(C358-1)*12,Paths!$E$38&lt;=C358*12)),Paths!$G$38,0),"n.a."))</f>
        <v>0</v>
      </c>
      <c r="J358" s="16">
        <f>IF(NOT(Paths!$C$38=1),0,IF(Paths!$P$38="Complete",IF(IF(Paths!$E$38=0,C358=0,AND(C358&gt;0,Paths!$E$38&gt;(C358-1)*12,Paths!$E$38&lt;=C358*12)),Paths!$H$38,0),"n.a."))</f>
        <v>0</v>
      </c>
      <c r="K358" s="16">
        <f>IF(NOT(Paths!$C$38=1),0,IF(Paths!$P$38="Complete",IF(IF(Paths!$O$38=0,C358=0,AND(C358&gt;0,Paths!$O$38&gt;(C358-1)*12,Paths!$O$38&lt;=C358*12)),Paths!$N$38,0),"n.a."))</f>
        <v>0</v>
      </c>
      <c r="L358" s="16">
        <f>IF(NOT(Paths!$C$38=1),0,IF(Paths!$P$38="Complete",IF(C358=10,Paths!$I$38,0),"n.a."))</f>
        <v>0</v>
      </c>
      <c r="M358" s="16">
        <f>IF(NOT(Paths!$C$38=1),0,IF(Paths!$P$38="Complete",IF(AND(Paths!$D$38="EV",Paths!$E$38&lt;120,Paths!$E$38+'Operating costs'!$B$65&gt;Paths!$E$38,Paths!$E$38+'Operating costs'!$B$65&lt;=120,IF(Paths!$E$38+'Operating costs'!$B$65=0,C358=0,AND(C358&gt;0,Paths!$E$38+'Operating costs'!$B$65&gt;(C358-1)*12,Paths!$E$38+'Operating costs'!$B$65&lt;=C358*12))),'Operating costs'!$B$64,0)+IF(AND('Operating costs'!$B$67&gt;0,'Operating costs'!$B$67&lt;=120,OR(Paths!$D$38="ICE",'Operating costs'!$B$67&lt;=Paths!$E$38),IF('Operating costs'!$B$67=0,C358=0,AND(C358&gt;0,'Operating costs'!$B$67&gt;(C358-1)*12,'Operating costs'!$B$67&lt;=C358*12))),'Operating costs'!$B$66,0),"n.a."))</f>
        <v>0</v>
      </c>
      <c r="N358" s="16">
        <f>IF(NOT(Paths!$C$38=1),0,IF(Paths!$P$38="Complete",SUM(G358:I358)-J358-K358-L358+M358+IF(C358=0,Paths!$F$38,0)+IF(IF(Paths!$E$38=0,C358=0,AND(C358&gt;0,Paths!$E$38&gt;(C358-1)*12,Paths!$E$38&lt;=C358*12)),VLOOKUP(A358,'Fleet register'!$A$7:$S$106,16,FALSE),0),"n.a."))</f>
        <v>0</v>
      </c>
      <c r="O358" s="16">
        <f>IF(NOT(Paths!$C$38=1),0,IF(Paths!$P$38="Complete",N358-IF(C358=0,Paths!$F$38,0),"n.a."))</f>
        <v>0</v>
      </c>
      <c r="P358" s="16">
        <f>IF(NOT(Paths!$C$38=1),0,IF(Paths!$P$38="Complete",O358+L358,"n.a."))</f>
        <v>0</v>
      </c>
      <c r="Q358" s="16">
        <f>IF(NOT(Paths!$C$38=1),0,IF(Paths!$P$38="Complete",N358*(1+'Operating costs'!$B$54)^-C358,"n.a."))</f>
        <v>0</v>
      </c>
      <c r="R358" s="16">
        <f>IF(NOT(Paths!$C$38=1),0,IF(Paths!$P$38="Complete",IF(AND(C358=0,Paths!$E$38=0),I358-J358-K358+VLOOKUP(A358,'Fleet register'!$A$7:$S$106,15,FALSE)+VLOOKUP(A358,'Fleet register'!$A$7:$S$106,16,FALSE),0),"n.a."))</f>
        <v>0</v>
      </c>
      <c r="S358" s="1">
        <f>IF(NOT(Paths!$C$38=1),0,IF(Paths!$P$38="Complete",IF(C358=0,0,Paths!$S$38*Paths!$R$38),"n.a."))</f>
        <v>0</v>
      </c>
      <c r="T358" s="1">
        <f>IF(NOT(Paths!$C$38=1),0,IF(Paths!$P$38="Complete",IF(C358=0,0,VLOOKUP(A358,'Fleet register'!$A$7:$S$106,9,FALSE)*Paths!$R$38),"n.a."))</f>
        <v>0</v>
      </c>
    </row>
    <row r="359" spans="1:20" ht="24" customHeight="1">
      <c r="A359" s="1" t="str">
        <f>Paths!$A$39</f>
        <v>T009</v>
      </c>
      <c r="B359" s="1">
        <f>Paths!$B$39</f>
        <v>0</v>
      </c>
      <c r="C359" s="1">
        <v>0</v>
      </c>
      <c r="D359" s="1">
        <v>39</v>
      </c>
      <c r="E359" s="1">
        <f>IF(OR(Paths!$C$39=0,C359=0),0,MAX(0,MIN(C359*12,Paths!$E$39)-(C359-1)*12))</f>
        <v>0</v>
      </c>
      <c r="F359" s="1">
        <f>IF(OR(Paths!$C$39=0,C359=0),0,12-E359)</f>
        <v>0</v>
      </c>
      <c r="G359" s="16">
        <f>IF(NOT(Paths!$C$39=1),0,IF(Paths!$P$39="Complete",E359/12*(Paths!$J$39*(1+'Operating costs'!$B$51)^MAX(0,C359-1)+Paths!$K$39*(1+'Operating costs'!$B$53)^MAX(0,C359-1)),"n.a."))</f>
        <v>0</v>
      </c>
      <c r="H359" s="16">
        <f>IF(NOT(Paths!$C$39=1),0,IF(Paths!$P$39="Complete",F359/12*(Paths!$L$39*(1+IF(Paths!$D$39="EV",'Operating costs'!$B$52,'Operating costs'!$B$51))^MAX(0,C359-1)+Paths!$M$39*(1+'Operating costs'!$B$53)^MAX(0,C359-1)),"n.a."))</f>
        <v>0</v>
      </c>
      <c r="I359" s="16">
        <f>IF(NOT(Paths!$C$39=1),0,IF(Paths!$P$39="Complete",IF(IF(Paths!$E$39=0,C359=0,AND(C359&gt;0,Paths!$E$39&gt;(C359-1)*12,Paths!$E$39&lt;=C359*12)),Paths!$G$39,0),"n.a."))</f>
        <v>0</v>
      </c>
      <c r="J359" s="16">
        <f>IF(NOT(Paths!$C$39=1),0,IF(Paths!$P$39="Complete",IF(IF(Paths!$E$39=0,C359=0,AND(C359&gt;0,Paths!$E$39&gt;(C359-1)*12,Paths!$E$39&lt;=C359*12)),Paths!$H$39,0),"n.a."))</f>
        <v>0</v>
      </c>
      <c r="K359" s="16">
        <f>IF(NOT(Paths!$C$39=1),0,IF(Paths!$P$39="Complete",IF(IF(Paths!$O$39=0,C359=0,AND(C359&gt;0,Paths!$O$39&gt;(C359-1)*12,Paths!$O$39&lt;=C359*12)),Paths!$N$39,0),"n.a."))</f>
        <v>0</v>
      </c>
      <c r="L359" s="16">
        <f>IF(NOT(Paths!$C$39=1),0,IF(Paths!$P$39="Complete",IF(C359=10,Paths!$I$39,0),"n.a."))</f>
        <v>0</v>
      </c>
      <c r="M359" s="16">
        <f>IF(NOT(Paths!$C$39=1),0,IF(Paths!$P$39="Complete",IF(AND(Paths!$D$39="EV",Paths!$E$39&lt;120,Paths!$E$39+'Operating costs'!$B$65&gt;Paths!$E$39,Paths!$E$39+'Operating costs'!$B$65&lt;=120,IF(Paths!$E$39+'Operating costs'!$B$65=0,C359=0,AND(C359&gt;0,Paths!$E$39+'Operating costs'!$B$65&gt;(C359-1)*12,Paths!$E$39+'Operating costs'!$B$65&lt;=C359*12))),'Operating costs'!$B$64,0)+IF(AND('Operating costs'!$B$67&gt;0,'Operating costs'!$B$67&lt;=120,OR(Paths!$D$39="ICE",'Operating costs'!$B$67&lt;=Paths!$E$39),IF('Operating costs'!$B$67=0,C359=0,AND(C359&gt;0,'Operating costs'!$B$67&gt;(C359-1)*12,'Operating costs'!$B$67&lt;=C359*12))),'Operating costs'!$B$66,0),"n.a."))</f>
        <v>0</v>
      </c>
      <c r="N359" s="16">
        <f>IF(NOT(Paths!$C$39=1),0,IF(Paths!$P$39="Complete",SUM(G359:I359)-J359-K359-L359+M359+IF(C359=0,Paths!$F$39,0)+IF(IF(Paths!$E$39=0,C359=0,AND(C359&gt;0,Paths!$E$39&gt;(C359-1)*12,Paths!$E$39&lt;=C359*12)),VLOOKUP(A359,'Fleet register'!$A$7:$S$106,16,FALSE),0),"n.a."))</f>
        <v>0</v>
      </c>
      <c r="O359" s="16">
        <f>IF(NOT(Paths!$C$39=1),0,IF(Paths!$P$39="Complete",N359-IF(C359=0,Paths!$F$39,0),"n.a."))</f>
        <v>0</v>
      </c>
      <c r="P359" s="16">
        <f>IF(NOT(Paths!$C$39=1),0,IF(Paths!$P$39="Complete",O359+L359,"n.a."))</f>
        <v>0</v>
      </c>
      <c r="Q359" s="16">
        <f>IF(NOT(Paths!$C$39=1),0,IF(Paths!$P$39="Complete",N359*(1+'Operating costs'!$B$54)^-C359,"n.a."))</f>
        <v>0</v>
      </c>
      <c r="R359" s="16">
        <f>IF(NOT(Paths!$C$39=1),0,IF(Paths!$P$39="Complete",IF(AND(C359=0,Paths!$E$39=0),I359-J359-K359+VLOOKUP(A359,'Fleet register'!$A$7:$S$106,15,FALSE)+VLOOKUP(A359,'Fleet register'!$A$7:$S$106,16,FALSE),0),"n.a."))</f>
        <v>0</v>
      </c>
      <c r="S359" s="1">
        <f>IF(NOT(Paths!$C$39=1),0,IF(Paths!$P$39="Complete",IF(C359=0,0,Paths!$S$39*Paths!$R$39),"n.a."))</f>
        <v>0</v>
      </c>
      <c r="T359" s="1">
        <f>IF(NOT(Paths!$C$39=1),0,IF(Paths!$P$39="Complete",IF(C359=0,0,VLOOKUP(A359,'Fleet register'!$A$7:$S$106,9,FALSE)*Paths!$R$39),"n.a."))</f>
        <v>0</v>
      </c>
    </row>
    <row r="360" spans="1:20" ht="24" customHeight="1">
      <c r="A360" s="1" t="str">
        <f>Paths!$A$39</f>
        <v>T009</v>
      </c>
      <c r="B360" s="1">
        <f>Paths!$B$39</f>
        <v>0</v>
      </c>
      <c r="C360" s="1">
        <v>1</v>
      </c>
      <c r="D360" s="1">
        <v>39</v>
      </c>
      <c r="E360" s="1">
        <f>IF(OR(Paths!$C$39=0,C360=0),0,MAX(0,MIN(C360*12,Paths!$E$39)-(C360-1)*12))</f>
        <v>0</v>
      </c>
      <c r="F360" s="1">
        <f>IF(OR(Paths!$C$39=0,C360=0),0,12-E360)</f>
        <v>0</v>
      </c>
      <c r="G360" s="16">
        <f>IF(NOT(Paths!$C$39=1),0,IF(Paths!$P$39="Complete",E360/12*(Paths!$J$39*(1+'Operating costs'!$B$51)^MAX(0,C360-1)+Paths!$K$39*(1+'Operating costs'!$B$53)^MAX(0,C360-1)),"n.a."))</f>
        <v>0</v>
      </c>
      <c r="H360" s="16">
        <f>IF(NOT(Paths!$C$39=1),0,IF(Paths!$P$39="Complete",F360/12*(Paths!$L$39*(1+IF(Paths!$D$39="EV",'Operating costs'!$B$52,'Operating costs'!$B$51))^MAX(0,C360-1)+Paths!$M$39*(1+'Operating costs'!$B$53)^MAX(0,C360-1)),"n.a."))</f>
        <v>0</v>
      </c>
      <c r="I360" s="16">
        <f>IF(NOT(Paths!$C$39=1),0,IF(Paths!$P$39="Complete",IF(IF(Paths!$E$39=0,C360=0,AND(C360&gt;0,Paths!$E$39&gt;(C360-1)*12,Paths!$E$39&lt;=C360*12)),Paths!$G$39,0),"n.a."))</f>
        <v>0</v>
      </c>
      <c r="J360" s="16">
        <f>IF(NOT(Paths!$C$39=1),0,IF(Paths!$P$39="Complete",IF(IF(Paths!$E$39=0,C360=0,AND(C360&gt;0,Paths!$E$39&gt;(C360-1)*12,Paths!$E$39&lt;=C360*12)),Paths!$H$39,0),"n.a."))</f>
        <v>0</v>
      </c>
      <c r="K360" s="16">
        <f>IF(NOT(Paths!$C$39=1),0,IF(Paths!$P$39="Complete",IF(IF(Paths!$O$39=0,C360=0,AND(C360&gt;0,Paths!$O$39&gt;(C360-1)*12,Paths!$O$39&lt;=C360*12)),Paths!$N$39,0),"n.a."))</f>
        <v>0</v>
      </c>
      <c r="L360" s="16">
        <f>IF(NOT(Paths!$C$39=1),0,IF(Paths!$P$39="Complete",IF(C360=10,Paths!$I$39,0),"n.a."))</f>
        <v>0</v>
      </c>
      <c r="M360" s="16">
        <f>IF(NOT(Paths!$C$39=1),0,IF(Paths!$P$39="Complete",IF(AND(Paths!$D$39="EV",Paths!$E$39&lt;120,Paths!$E$39+'Operating costs'!$B$65&gt;Paths!$E$39,Paths!$E$39+'Operating costs'!$B$65&lt;=120,IF(Paths!$E$39+'Operating costs'!$B$65=0,C360=0,AND(C360&gt;0,Paths!$E$39+'Operating costs'!$B$65&gt;(C360-1)*12,Paths!$E$39+'Operating costs'!$B$65&lt;=C360*12))),'Operating costs'!$B$64,0)+IF(AND('Operating costs'!$B$67&gt;0,'Operating costs'!$B$67&lt;=120,OR(Paths!$D$39="ICE",'Operating costs'!$B$67&lt;=Paths!$E$39),IF('Operating costs'!$B$67=0,C360=0,AND(C360&gt;0,'Operating costs'!$B$67&gt;(C360-1)*12,'Operating costs'!$B$67&lt;=C360*12))),'Operating costs'!$B$66,0),"n.a."))</f>
        <v>0</v>
      </c>
      <c r="N360" s="16">
        <f>IF(NOT(Paths!$C$39=1),0,IF(Paths!$P$39="Complete",SUM(G360:I360)-J360-K360-L360+M360+IF(C360=0,Paths!$F$39,0)+IF(IF(Paths!$E$39=0,C360=0,AND(C360&gt;0,Paths!$E$39&gt;(C360-1)*12,Paths!$E$39&lt;=C360*12)),VLOOKUP(A360,'Fleet register'!$A$7:$S$106,16,FALSE),0),"n.a."))</f>
        <v>0</v>
      </c>
      <c r="O360" s="16">
        <f>IF(NOT(Paths!$C$39=1),0,IF(Paths!$P$39="Complete",N360-IF(C360=0,Paths!$F$39,0),"n.a."))</f>
        <v>0</v>
      </c>
      <c r="P360" s="16">
        <f>IF(NOT(Paths!$C$39=1),0,IF(Paths!$P$39="Complete",O360+L360,"n.a."))</f>
        <v>0</v>
      </c>
      <c r="Q360" s="16">
        <f>IF(NOT(Paths!$C$39=1),0,IF(Paths!$P$39="Complete",N360*(1+'Operating costs'!$B$54)^-C360,"n.a."))</f>
        <v>0</v>
      </c>
      <c r="R360" s="16">
        <f>IF(NOT(Paths!$C$39=1),0,IF(Paths!$P$39="Complete",IF(AND(C360=0,Paths!$E$39=0),I360-J360-K360+VLOOKUP(A360,'Fleet register'!$A$7:$S$106,15,FALSE)+VLOOKUP(A360,'Fleet register'!$A$7:$S$106,16,FALSE),0),"n.a."))</f>
        <v>0</v>
      </c>
      <c r="S360" s="1">
        <f>IF(NOT(Paths!$C$39=1),0,IF(Paths!$P$39="Complete",IF(C360=0,0,Paths!$S$39*Paths!$R$39),"n.a."))</f>
        <v>0</v>
      </c>
      <c r="T360" s="1">
        <f>IF(NOT(Paths!$C$39=1),0,IF(Paths!$P$39="Complete",IF(C360=0,0,VLOOKUP(A360,'Fleet register'!$A$7:$S$106,9,FALSE)*Paths!$R$39),"n.a."))</f>
        <v>0</v>
      </c>
    </row>
    <row r="361" spans="1:20" ht="24" customHeight="1">
      <c r="A361" s="1" t="str">
        <f>Paths!$A$39</f>
        <v>T009</v>
      </c>
      <c r="B361" s="1">
        <f>Paths!$B$39</f>
        <v>0</v>
      </c>
      <c r="C361" s="1">
        <v>2</v>
      </c>
      <c r="D361" s="1">
        <v>39</v>
      </c>
      <c r="E361" s="1">
        <f>IF(OR(Paths!$C$39=0,C361=0),0,MAX(0,MIN(C361*12,Paths!$E$39)-(C361-1)*12))</f>
        <v>0</v>
      </c>
      <c r="F361" s="1">
        <f>IF(OR(Paths!$C$39=0,C361=0),0,12-E361)</f>
        <v>0</v>
      </c>
      <c r="G361" s="16">
        <f>IF(NOT(Paths!$C$39=1),0,IF(Paths!$P$39="Complete",E361/12*(Paths!$J$39*(1+'Operating costs'!$B$51)^MAX(0,C361-1)+Paths!$K$39*(1+'Operating costs'!$B$53)^MAX(0,C361-1)),"n.a."))</f>
        <v>0</v>
      </c>
      <c r="H361" s="16">
        <f>IF(NOT(Paths!$C$39=1),0,IF(Paths!$P$39="Complete",F361/12*(Paths!$L$39*(1+IF(Paths!$D$39="EV",'Operating costs'!$B$52,'Operating costs'!$B$51))^MAX(0,C361-1)+Paths!$M$39*(1+'Operating costs'!$B$53)^MAX(0,C361-1)),"n.a."))</f>
        <v>0</v>
      </c>
      <c r="I361" s="16">
        <f>IF(NOT(Paths!$C$39=1),0,IF(Paths!$P$39="Complete",IF(IF(Paths!$E$39=0,C361=0,AND(C361&gt;0,Paths!$E$39&gt;(C361-1)*12,Paths!$E$39&lt;=C361*12)),Paths!$G$39,0),"n.a."))</f>
        <v>0</v>
      </c>
      <c r="J361" s="16">
        <f>IF(NOT(Paths!$C$39=1),0,IF(Paths!$P$39="Complete",IF(IF(Paths!$E$39=0,C361=0,AND(C361&gt;0,Paths!$E$39&gt;(C361-1)*12,Paths!$E$39&lt;=C361*12)),Paths!$H$39,0),"n.a."))</f>
        <v>0</v>
      </c>
      <c r="K361" s="16">
        <f>IF(NOT(Paths!$C$39=1),0,IF(Paths!$P$39="Complete",IF(IF(Paths!$O$39=0,C361=0,AND(C361&gt;0,Paths!$O$39&gt;(C361-1)*12,Paths!$O$39&lt;=C361*12)),Paths!$N$39,0),"n.a."))</f>
        <v>0</v>
      </c>
      <c r="L361" s="16">
        <f>IF(NOT(Paths!$C$39=1),0,IF(Paths!$P$39="Complete",IF(C361=10,Paths!$I$39,0),"n.a."))</f>
        <v>0</v>
      </c>
      <c r="M361" s="16">
        <f>IF(NOT(Paths!$C$39=1),0,IF(Paths!$P$39="Complete",IF(AND(Paths!$D$39="EV",Paths!$E$39&lt;120,Paths!$E$39+'Operating costs'!$B$65&gt;Paths!$E$39,Paths!$E$39+'Operating costs'!$B$65&lt;=120,IF(Paths!$E$39+'Operating costs'!$B$65=0,C361=0,AND(C361&gt;0,Paths!$E$39+'Operating costs'!$B$65&gt;(C361-1)*12,Paths!$E$39+'Operating costs'!$B$65&lt;=C361*12))),'Operating costs'!$B$64,0)+IF(AND('Operating costs'!$B$67&gt;0,'Operating costs'!$B$67&lt;=120,OR(Paths!$D$39="ICE",'Operating costs'!$B$67&lt;=Paths!$E$39),IF('Operating costs'!$B$67=0,C361=0,AND(C361&gt;0,'Operating costs'!$B$67&gt;(C361-1)*12,'Operating costs'!$B$67&lt;=C361*12))),'Operating costs'!$B$66,0),"n.a."))</f>
        <v>0</v>
      </c>
      <c r="N361" s="16">
        <f>IF(NOT(Paths!$C$39=1),0,IF(Paths!$P$39="Complete",SUM(G361:I361)-J361-K361-L361+M361+IF(C361=0,Paths!$F$39,0)+IF(IF(Paths!$E$39=0,C361=0,AND(C361&gt;0,Paths!$E$39&gt;(C361-1)*12,Paths!$E$39&lt;=C361*12)),VLOOKUP(A361,'Fleet register'!$A$7:$S$106,16,FALSE),0),"n.a."))</f>
        <v>0</v>
      </c>
      <c r="O361" s="16">
        <f>IF(NOT(Paths!$C$39=1),0,IF(Paths!$P$39="Complete",N361-IF(C361=0,Paths!$F$39,0),"n.a."))</f>
        <v>0</v>
      </c>
      <c r="P361" s="16">
        <f>IF(NOT(Paths!$C$39=1),0,IF(Paths!$P$39="Complete",O361+L361,"n.a."))</f>
        <v>0</v>
      </c>
      <c r="Q361" s="16">
        <f>IF(NOT(Paths!$C$39=1),0,IF(Paths!$P$39="Complete",N361*(1+'Operating costs'!$B$54)^-C361,"n.a."))</f>
        <v>0</v>
      </c>
      <c r="R361" s="16">
        <f>IF(NOT(Paths!$C$39=1),0,IF(Paths!$P$39="Complete",IF(AND(C361=0,Paths!$E$39=0),I361-J361-K361+VLOOKUP(A361,'Fleet register'!$A$7:$S$106,15,FALSE)+VLOOKUP(A361,'Fleet register'!$A$7:$S$106,16,FALSE),0),"n.a."))</f>
        <v>0</v>
      </c>
      <c r="S361" s="1">
        <f>IF(NOT(Paths!$C$39=1),0,IF(Paths!$P$39="Complete",IF(C361=0,0,Paths!$S$39*Paths!$R$39),"n.a."))</f>
        <v>0</v>
      </c>
      <c r="T361" s="1">
        <f>IF(NOT(Paths!$C$39=1),0,IF(Paths!$P$39="Complete",IF(C361=0,0,VLOOKUP(A361,'Fleet register'!$A$7:$S$106,9,FALSE)*Paths!$R$39),"n.a."))</f>
        <v>0</v>
      </c>
    </row>
    <row r="362" spans="1:20" ht="24" customHeight="1">
      <c r="A362" s="1" t="str">
        <f>Paths!$A$39</f>
        <v>T009</v>
      </c>
      <c r="B362" s="1">
        <f>Paths!$B$39</f>
        <v>0</v>
      </c>
      <c r="C362" s="1">
        <v>3</v>
      </c>
      <c r="D362" s="1">
        <v>39</v>
      </c>
      <c r="E362" s="1">
        <f>IF(OR(Paths!$C$39=0,C362=0),0,MAX(0,MIN(C362*12,Paths!$E$39)-(C362-1)*12))</f>
        <v>0</v>
      </c>
      <c r="F362" s="1">
        <f>IF(OR(Paths!$C$39=0,C362=0),0,12-E362)</f>
        <v>0</v>
      </c>
      <c r="G362" s="16">
        <f>IF(NOT(Paths!$C$39=1),0,IF(Paths!$P$39="Complete",E362/12*(Paths!$J$39*(1+'Operating costs'!$B$51)^MAX(0,C362-1)+Paths!$K$39*(1+'Operating costs'!$B$53)^MAX(0,C362-1)),"n.a."))</f>
        <v>0</v>
      </c>
      <c r="H362" s="16">
        <f>IF(NOT(Paths!$C$39=1),0,IF(Paths!$P$39="Complete",F362/12*(Paths!$L$39*(1+IF(Paths!$D$39="EV",'Operating costs'!$B$52,'Operating costs'!$B$51))^MAX(0,C362-1)+Paths!$M$39*(1+'Operating costs'!$B$53)^MAX(0,C362-1)),"n.a."))</f>
        <v>0</v>
      </c>
      <c r="I362" s="16">
        <f>IF(NOT(Paths!$C$39=1),0,IF(Paths!$P$39="Complete",IF(IF(Paths!$E$39=0,C362=0,AND(C362&gt;0,Paths!$E$39&gt;(C362-1)*12,Paths!$E$39&lt;=C362*12)),Paths!$G$39,0),"n.a."))</f>
        <v>0</v>
      </c>
      <c r="J362" s="16">
        <f>IF(NOT(Paths!$C$39=1),0,IF(Paths!$P$39="Complete",IF(IF(Paths!$E$39=0,C362=0,AND(C362&gt;0,Paths!$E$39&gt;(C362-1)*12,Paths!$E$39&lt;=C362*12)),Paths!$H$39,0),"n.a."))</f>
        <v>0</v>
      </c>
      <c r="K362" s="16">
        <f>IF(NOT(Paths!$C$39=1),0,IF(Paths!$P$39="Complete",IF(IF(Paths!$O$39=0,C362=0,AND(C362&gt;0,Paths!$O$39&gt;(C362-1)*12,Paths!$O$39&lt;=C362*12)),Paths!$N$39,0),"n.a."))</f>
        <v>0</v>
      </c>
      <c r="L362" s="16">
        <f>IF(NOT(Paths!$C$39=1),0,IF(Paths!$P$39="Complete",IF(C362=10,Paths!$I$39,0),"n.a."))</f>
        <v>0</v>
      </c>
      <c r="M362" s="16">
        <f>IF(NOT(Paths!$C$39=1),0,IF(Paths!$P$39="Complete",IF(AND(Paths!$D$39="EV",Paths!$E$39&lt;120,Paths!$E$39+'Operating costs'!$B$65&gt;Paths!$E$39,Paths!$E$39+'Operating costs'!$B$65&lt;=120,IF(Paths!$E$39+'Operating costs'!$B$65=0,C362=0,AND(C362&gt;0,Paths!$E$39+'Operating costs'!$B$65&gt;(C362-1)*12,Paths!$E$39+'Operating costs'!$B$65&lt;=C362*12))),'Operating costs'!$B$64,0)+IF(AND('Operating costs'!$B$67&gt;0,'Operating costs'!$B$67&lt;=120,OR(Paths!$D$39="ICE",'Operating costs'!$B$67&lt;=Paths!$E$39),IF('Operating costs'!$B$67=0,C362=0,AND(C362&gt;0,'Operating costs'!$B$67&gt;(C362-1)*12,'Operating costs'!$B$67&lt;=C362*12))),'Operating costs'!$B$66,0),"n.a."))</f>
        <v>0</v>
      </c>
      <c r="N362" s="16">
        <f>IF(NOT(Paths!$C$39=1),0,IF(Paths!$P$39="Complete",SUM(G362:I362)-J362-K362-L362+M362+IF(C362=0,Paths!$F$39,0)+IF(IF(Paths!$E$39=0,C362=0,AND(C362&gt;0,Paths!$E$39&gt;(C362-1)*12,Paths!$E$39&lt;=C362*12)),VLOOKUP(A362,'Fleet register'!$A$7:$S$106,16,FALSE),0),"n.a."))</f>
        <v>0</v>
      </c>
      <c r="O362" s="16">
        <f>IF(NOT(Paths!$C$39=1),0,IF(Paths!$P$39="Complete",N362-IF(C362=0,Paths!$F$39,0),"n.a."))</f>
        <v>0</v>
      </c>
      <c r="P362" s="16">
        <f>IF(NOT(Paths!$C$39=1),0,IF(Paths!$P$39="Complete",O362+L362,"n.a."))</f>
        <v>0</v>
      </c>
      <c r="Q362" s="16">
        <f>IF(NOT(Paths!$C$39=1),0,IF(Paths!$P$39="Complete",N362*(1+'Operating costs'!$B$54)^-C362,"n.a."))</f>
        <v>0</v>
      </c>
      <c r="R362" s="16">
        <f>IF(NOT(Paths!$C$39=1),0,IF(Paths!$P$39="Complete",IF(AND(C362=0,Paths!$E$39=0),I362-J362-K362+VLOOKUP(A362,'Fleet register'!$A$7:$S$106,15,FALSE)+VLOOKUP(A362,'Fleet register'!$A$7:$S$106,16,FALSE),0),"n.a."))</f>
        <v>0</v>
      </c>
      <c r="S362" s="1">
        <f>IF(NOT(Paths!$C$39=1),0,IF(Paths!$P$39="Complete",IF(C362=0,0,Paths!$S$39*Paths!$R$39),"n.a."))</f>
        <v>0</v>
      </c>
      <c r="T362" s="1">
        <f>IF(NOT(Paths!$C$39=1),0,IF(Paths!$P$39="Complete",IF(C362=0,0,VLOOKUP(A362,'Fleet register'!$A$7:$S$106,9,FALSE)*Paths!$R$39),"n.a."))</f>
        <v>0</v>
      </c>
    </row>
    <row r="363" spans="1:20" ht="24" customHeight="1">
      <c r="A363" s="1" t="str">
        <f>Paths!$A$39</f>
        <v>T009</v>
      </c>
      <c r="B363" s="1">
        <f>Paths!$B$39</f>
        <v>0</v>
      </c>
      <c r="C363" s="1">
        <v>4</v>
      </c>
      <c r="D363" s="1">
        <v>39</v>
      </c>
      <c r="E363" s="1">
        <f>IF(OR(Paths!$C$39=0,C363=0),0,MAX(0,MIN(C363*12,Paths!$E$39)-(C363-1)*12))</f>
        <v>0</v>
      </c>
      <c r="F363" s="1">
        <f>IF(OR(Paths!$C$39=0,C363=0),0,12-E363)</f>
        <v>0</v>
      </c>
      <c r="G363" s="16">
        <f>IF(NOT(Paths!$C$39=1),0,IF(Paths!$P$39="Complete",E363/12*(Paths!$J$39*(1+'Operating costs'!$B$51)^MAX(0,C363-1)+Paths!$K$39*(1+'Operating costs'!$B$53)^MAX(0,C363-1)),"n.a."))</f>
        <v>0</v>
      </c>
      <c r="H363" s="16">
        <f>IF(NOT(Paths!$C$39=1),0,IF(Paths!$P$39="Complete",F363/12*(Paths!$L$39*(1+IF(Paths!$D$39="EV",'Operating costs'!$B$52,'Operating costs'!$B$51))^MAX(0,C363-1)+Paths!$M$39*(1+'Operating costs'!$B$53)^MAX(0,C363-1)),"n.a."))</f>
        <v>0</v>
      </c>
      <c r="I363" s="16">
        <f>IF(NOT(Paths!$C$39=1),0,IF(Paths!$P$39="Complete",IF(IF(Paths!$E$39=0,C363=0,AND(C363&gt;0,Paths!$E$39&gt;(C363-1)*12,Paths!$E$39&lt;=C363*12)),Paths!$G$39,0),"n.a."))</f>
        <v>0</v>
      </c>
      <c r="J363" s="16">
        <f>IF(NOT(Paths!$C$39=1),0,IF(Paths!$P$39="Complete",IF(IF(Paths!$E$39=0,C363=0,AND(C363&gt;0,Paths!$E$39&gt;(C363-1)*12,Paths!$E$39&lt;=C363*12)),Paths!$H$39,0),"n.a."))</f>
        <v>0</v>
      </c>
      <c r="K363" s="16">
        <f>IF(NOT(Paths!$C$39=1),0,IF(Paths!$P$39="Complete",IF(IF(Paths!$O$39=0,C363=0,AND(C363&gt;0,Paths!$O$39&gt;(C363-1)*12,Paths!$O$39&lt;=C363*12)),Paths!$N$39,0),"n.a."))</f>
        <v>0</v>
      </c>
      <c r="L363" s="16">
        <f>IF(NOT(Paths!$C$39=1),0,IF(Paths!$P$39="Complete",IF(C363=10,Paths!$I$39,0),"n.a."))</f>
        <v>0</v>
      </c>
      <c r="M363" s="16">
        <f>IF(NOT(Paths!$C$39=1),0,IF(Paths!$P$39="Complete",IF(AND(Paths!$D$39="EV",Paths!$E$39&lt;120,Paths!$E$39+'Operating costs'!$B$65&gt;Paths!$E$39,Paths!$E$39+'Operating costs'!$B$65&lt;=120,IF(Paths!$E$39+'Operating costs'!$B$65=0,C363=0,AND(C363&gt;0,Paths!$E$39+'Operating costs'!$B$65&gt;(C363-1)*12,Paths!$E$39+'Operating costs'!$B$65&lt;=C363*12))),'Operating costs'!$B$64,0)+IF(AND('Operating costs'!$B$67&gt;0,'Operating costs'!$B$67&lt;=120,OR(Paths!$D$39="ICE",'Operating costs'!$B$67&lt;=Paths!$E$39),IF('Operating costs'!$B$67=0,C363=0,AND(C363&gt;0,'Operating costs'!$B$67&gt;(C363-1)*12,'Operating costs'!$B$67&lt;=C363*12))),'Operating costs'!$B$66,0),"n.a."))</f>
        <v>0</v>
      </c>
      <c r="N363" s="16">
        <f>IF(NOT(Paths!$C$39=1),0,IF(Paths!$P$39="Complete",SUM(G363:I363)-J363-K363-L363+M363+IF(C363=0,Paths!$F$39,0)+IF(IF(Paths!$E$39=0,C363=0,AND(C363&gt;0,Paths!$E$39&gt;(C363-1)*12,Paths!$E$39&lt;=C363*12)),VLOOKUP(A363,'Fleet register'!$A$7:$S$106,16,FALSE),0),"n.a."))</f>
        <v>0</v>
      </c>
      <c r="O363" s="16">
        <f>IF(NOT(Paths!$C$39=1),0,IF(Paths!$P$39="Complete",N363-IF(C363=0,Paths!$F$39,0),"n.a."))</f>
        <v>0</v>
      </c>
      <c r="P363" s="16">
        <f>IF(NOT(Paths!$C$39=1),0,IF(Paths!$P$39="Complete",O363+L363,"n.a."))</f>
        <v>0</v>
      </c>
      <c r="Q363" s="16">
        <f>IF(NOT(Paths!$C$39=1),0,IF(Paths!$P$39="Complete",N363*(1+'Operating costs'!$B$54)^-C363,"n.a."))</f>
        <v>0</v>
      </c>
      <c r="R363" s="16">
        <f>IF(NOT(Paths!$C$39=1),0,IF(Paths!$P$39="Complete",IF(AND(C363=0,Paths!$E$39=0),I363-J363-K363+VLOOKUP(A363,'Fleet register'!$A$7:$S$106,15,FALSE)+VLOOKUP(A363,'Fleet register'!$A$7:$S$106,16,FALSE),0),"n.a."))</f>
        <v>0</v>
      </c>
      <c r="S363" s="1">
        <f>IF(NOT(Paths!$C$39=1),0,IF(Paths!$P$39="Complete",IF(C363=0,0,Paths!$S$39*Paths!$R$39),"n.a."))</f>
        <v>0</v>
      </c>
      <c r="T363" s="1">
        <f>IF(NOT(Paths!$C$39=1),0,IF(Paths!$P$39="Complete",IF(C363=0,0,VLOOKUP(A363,'Fleet register'!$A$7:$S$106,9,FALSE)*Paths!$R$39),"n.a."))</f>
        <v>0</v>
      </c>
    </row>
    <row r="364" spans="1:20" ht="24" customHeight="1">
      <c r="A364" s="1" t="str">
        <f>Paths!$A$39</f>
        <v>T009</v>
      </c>
      <c r="B364" s="1">
        <f>Paths!$B$39</f>
        <v>0</v>
      </c>
      <c r="C364" s="1">
        <v>5</v>
      </c>
      <c r="D364" s="1">
        <v>39</v>
      </c>
      <c r="E364" s="1">
        <f>IF(OR(Paths!$C$39=0,C364=0),0,MAX(0,MIN(C364*12,Paths!$E$39)-(C364-1)*12))</f>
        <v>0</v>
      </c>
      <c r="F364" s="1">
        <f>IF(OR(Paths!$C$39=0,C364=0),0,12-E364)</f>
        <v>0</v>
      </c>
      <c r="G364" s="16">
        <f>IF(NOT(Paths!$C$39=1),0,IF(Paths!$P$39="Complete",E364/12*(Paths!$J$39*(1+'Operating costs'!$B$51)^MAX(0,C364-1)+Paths!$K$39*(1+'Operating costs'!$B$53)^MAX(0,C364-1)),"n.a."))</f>
        <v>0</v>
      </c>
      <c r="H364" s="16">
        <f>IF(NOT(Paths!$C$39=1),0,IF(Paths!$P$39="Complete",F364/12*(Paths!$L$39*(1+IF(Paths!$D$39="EV",'Operating costs'!$B$52,'Operating costs'!$B$51))^MAX(0,C364-1)+Paths!$M$39*(1+'Operating costs'!$B$53)^MAX(0,C364-1)),"n.a."))</f>
        <v>0</v>
      </c>
      <c r="I364" s="16">
        <f>IF(NOT(Paths!$C$39=1),0,IF(Paths!$P$39="Complete",IF(IF(Paths!$E$39=0,C364=0,AND(C364&gt;0,Paths!$E$39&gt;(C364-1)*12,Paths!$E$39&lt;=C364*12)),Paths!$G$39,0),"n.a."))</f>
        <v>0</v>
      </c>
      <c r="J364" s="16">
        <f>IF(NOT(Paths!$C$39=1),0,IF(Paths!$P$39="Complete",IF(IF(Paths!$E$39=0,C364=0,AND(C364&gt;0,Paths!$E$39&gt;(C364-1)*12,Paths!$E$39&lt;=C364*12)),Paths!$H$39,0),"n.a."))</f>
        <v>0</v>
      </c>
      <c r="K364" s="16">
        <f>IF(NOT(Paths!$C$39=1),0,IF(Paths!$P$39="Complete",IF(IF(Paths!$O$39=0,C364=0,AND(C364&gt;0,Paths!$O$39&gt;(C364-1)*12,Paths!$O$39&lt;=C364*12)),Paths!$N$39,0),"n.a."))</f>
        <v>0</v>
      </c>
      <c r="L364" s="16">
        <f>IF(NOT(Paths!$C$39=1),0,IF(Paths!$P$39="Complete",IF(C364=10,Paths!$I$39,0),"n.a."))</f>
        <v>0</v>
      </c>
      <c r="M364" s="16">
        <f>IF(NOT(Paths!$C$39=1),0,IF(Paths!$P$39="Complete",IF(AND(Paths!$D$39="EV",Paths!$E$39&lt;120,Paths!$E$39+'Operating costs'!$B$65&gt;Paths!$E$39,Paths!$E$39+'Operating costs'!$B$65&lt;=120,IF(Paths!$E$39+'Operating costs'!$B$65=0,C364=0,AND(C364&gt;0,Paths!$E$39+'Operating costs'!$B$65&gt;(C364-1)*12,Paths!$E$39+'Operating costs'!$B$65&lt;=C364*12))),'Operating costs'!$B$64,0)+IF(AND('Operating costs'!$B$67&gt;0,'Operating costs'!$B$67&lt;=120,OR(Paths!$D$39="ICE",'Operating costs'!$B$67&lt;=Paths!$E$39),IF('Operating costs'!$B$67=0,C364=0,AND(C364&gt;0,'Operating costs'!$B$67&gt;(C364-1)*12,'Operating costs'!$B$67&lt;=C364*12))),'Operating costs'!$B$66,0),"n.a."))</f>
        <v>0</v>
      </c>
      <c r="N364" s="16">
        <f>IF(NOT(Paths!$C$39=1),0,IF(Paths!$P$39="Complete",SUM(G364:I364)-J364-K364-L364+M364+IF(C364=0,Paths!$F$39,0)+IF(IF(Paths!$E$39=0,C364=0,AND(C364&gt;0,Paths!$E$39&gt;(C364-1)*12,Paths!$E$39&lt;=C364*12)),VLOOKUP(A364,'Fleet register'!$A$7:$S$106,16,FALSE),0),"n.a."))</f>
        <v>0</v>
      </c>
      <c r="O364" s="16">
        <f>IF(NOT(Paths!$C$39=1),0,IF(Paths!$P$39="Complete",N364-IF(C364=0,Paths!$F$39,0),"n.a."))</f>
        <v>0</v>
      </c>
      <c r="P364" s="16">
        <f>IF(NOT(Paths!$C$39=1),0,IF(Paths!$P$39="Complete",O364+L364,"n.a."))</f>
        <v>0</v>
      </c>
      <c r="Q364" s="16">
        <f>IF(NOT(Paths!$C$39=1),0,IF(Paths!$P$39="Complete",N364*(1+'Operating costs'!$B$54)^-C364,"n.a."))</f>
        <v>0</v>
      </c>
      <c r="R364" s="16">
        <f>IF(NOT(Paths!$C$39=1),0,IF(Paths!$P$39="Complete",IF(AND(C364=0,Paths!$E$39=0),I364-J364-K364+VLOOKUP(A364,'Fleet register'!$A$7:$S$106,15,FALSE)+VLOOKUP(A364,'Fleet register'!$A$7:$S$106,16,FALSE),0),"n.a."))</f>
        <v>0</v>
      </c>
      <c r="S364" s="1">
        <f>IF(NOT(Paths!$C$39=1),0,IF(Paths!$P$39="Complete",IF(C364=0,0,Paths!$S$39*Paths!$R$39),"n.a."))</f>
        <v>0</v>
      </c>
      <c r="T364" s="1">
        <f>IF(NOT(Paths!$C$39=1),0,IF(Paths!$P$39="Complete",IF(C364=0,0,VLOOKUP(A364,'Fleet register'!$A$7:$S$106,9,FALSE)*Paths!$R$39),"n.a."))</f>
        <v>0</v>
      </c>
    </row>
    <row r="365" spans="1:20" ht="24" customHeight="1">
      <c r="A365" s="1" t="str">
        <f>Paths!$A$39</f>
        <v>T009</v>
      </c>
      <c r="B365" s="1">
        <f>Paths!$B$39</f>
        <v>0</v>
      </c>
      <c r="C365" s="1">
        <v>6</v>
      </c>
      <c r="D365" s="1">
        <v>39</v>
      </c>
      <c r="E365" s="1">
        <f>IF(OR(Paths!$C$39=0,C365=0),0,MAX(0,MIN(C365*12,Paths!$E$39)-(C365-1)*12))</f>
        <v>0</v>
      </c>
      <c r="F365" s="1">
        <f>IF(OR(Paths!$C$39=0,C365=0),0,12-E365)</f>
        <v>0</v>
      </c>
      <c r="G365" s="16">
        <f>IF(NOT(Paths!$C$39=1),0,IF(Paths!$P$39="Complete",E365/12*(Paths!$J$39*(1+'Operating costs'!$B$51)^MAX(0,C365-1)+Paths!$K$39*(1+'Operating costs'!$B$53)^MAX(0,C365-1)),"n.a."))</f>
        <v>0</v>
      </c>
      <c r="H365" s="16">
        <f>IF(NOT(Paths!$C$39=1),0,IF(Paths!$P$39="Complete",F365/12*(Paths!$L$39*(1+IF(Paths!$D$39="EV",'Operating costs'!$B$52,'Operating costs'!$B$51))^MAX(0,C365-1)+Paths!$M$39*(1+'Operating costs'!$B$53)^MAX(0,C365-1)),"n.a."))</f>
        <v>0</v>
      </c>
      <c r="I365" s="16">
        <f>IF(NOT(Paths!$C$39=1),0,IF(Paths!$P$39="Complete",IF(IF(Paths!$E$39=0,C365=0,AND(C365&gt;0,Paths!$E$39&gt;(C365-1)*12,Paths!$E$39&lt;=C365*12)),Paths!$G$39,0),"n.a."))</f>
        <v>0</v>
      </c>
      <c r="J365" s="16">
        <f>IF(NOT(Paths!$C$39=1),0,IF(Paths!$P$39="Complete",IF(IF(Paths!$E$39=0,C365=0,AND(C365&gt;0,Paths!$E$39&gt;(C365-1)*12,Paths!$E$39&lt;=C365*12)),Paths!$H$39,0),"n.a."))</f>
        <v>0</v>
      </c>
      <c r="K365" s="16">
        <f>IF(NOT(Paths!$C$39=1),0,IF(Paths!$P$39="Complete",IF(IF(Paths!$O$39=0,C365=0,AND(C365&gt;0,Paths!$O$39&gt;(C365-1)*12,Paths!$O$39&lt;=C365*12)),Paths!$N$39,0),"n.a."))</f>
        <v>0</v>
      </c>
      <c r="L365" s="16">
        <f>IF(NOT(Paths!$C$39=1),0,IF(Paths!$P$39="Complete",IF(C365=10,Paths!$I$39,0),"n.a."))</f>
        <v>0</v>
      </c>
      <c r="M365" s="16">
        <f>IF(NOT(Paths!$C$39=1),0,IF(Paths!$P$39="Complete",IF(AND(Paths!$D$39="EV",Paths!$E$39&lt;120,Paths!$E$39+'Operating costs'!$B$65&gt;Paths!$E$39,Paths!$E$39+'Operating costs'!$B$65&lt;=120,IF(Paths!$E$39+'Operating costs'!$B$65=0,C365=0,AND(C365&gt;0,Paths!$E$39+'Operating costs'!$B$65&gt;(C365-1)*12,Paths!$E$39+'Operating costs'!$B$65&lt;=C365*12))),'Operating costs'!$B$64,0)+IF(AND('Operating costs'!$B$67&gt;0,'Operating costs'!$B$67&lt;=120,OR(Paths!$D$39="ICE",'Operating costs'!$B$67&lt;=Paths!$E$39),IF('Operating costs'!$B$67=0,C365=0,AND(C365&gt;0,'Operating costs'!$B$67&gt;(C365-1)*12,'Operating costs'!$B$67&lt;=C365*12))),'Operating costs'!$B$66,0),"n.a."))</f>
        <v>0</v>
      </c>
      <c r="N365" s="16">
        <f>IF(NOT(Paths!$C$39=1),0,IF(Paths!$P$39="Complete",SUM(G365:I365)-J365-K365-L365+M365+IF(C365=0,Paths!$F$39,0)+IF(IF(Paths!$E$39=0,C365=0,AND(C365&gt;0,Paths!$E$39&gt;(C365-1)*12,Paths!$E$39&lt;=C365*12)),VLOOKUP(A365,'Fleet register'!$A$7:$S$106,16,FALSE),0),"n.a."))</f>
        <v>0</v>
      </c>
      <c r="O365" s="16">
        <f>IF(NOT(Paths!$C$39=1),0,IF(Paths!$P$39="Complete",N365-IF(C365=0,Paths!$F$39,0),"n.a."))</f>
        <v>0</v>
      </c>
      <c r="P365" s="16">
        <f>IF(NOT(Paths!$C$39=1),0,IF(Paths!$P$39="Complete",O365+L365,"n.a."))</f>
        <v>0</v>
      </c>
      <c r="Q365" s="16">
        <f>IF(NOT(Paths!$C$39=1),0,IF(Paths!$P$39="Complete",N365*(1+'Operating costs'!$B$54)^-C365,"n.a."))</f>
        <v>0</v>
      </c>
      <c r="R365" s="16">
        <f>IF(NOT(Paths!$C$39=1),0,IF(Paths!$P$39="Complete",IF(AND(C365=0,Paths!$E$39=0),I365-J365-K365+VLOOKUP(A365,'Fleet register'!$A$7:$S$106,15,FALSE)+VLOOKUP(A365,'Fleet register'!$A$7:$S$106,16,FALSE),0),"n.a."))</f>
        <v>0</v>
      </c>
      <c r="S365" s="1">
        <f>IF(NOT(Paths!$C$39=1),0,IF(Paths!$P$39="Complete",IF(C365=0,0,Paths!$S$39*Paths!$R$39),"n.a."))</f>
        <v>0</v>
      </c>
      <c r="T365" s="1">
        <f>IF(NOT(Paths!$C$39=1),0,IF(Paths!$P$39="Complete",IF(C365=0,0,VLOOKUP(A365,'Fleet register'!$A$7:$S$106,9,FALSE)*Paths!$R$39),"n.a."))</f>
        <v>0</v>
      </c>
    </row>
    <row r="366" spans="1:20" ht="24" customHeight="1">
      <c r="A366" s="1" t="str">
        <f>Paths!$A$39</f>
        <v>T009</v>
      </c>
      <c r="B366" s="1">
        <f>Paths!$B$39</f>
        <v>0</v>
      </c>
      <c r="C366" s="1">
        <v>7</v>
      </c>
      <c r="D366" s="1">
        <v>39</v>
      </c>
      <c r="E366" s="1">
        <f>IF(OR(Paths!$C$39=0,C366=0),0,MAX(0,MIN(C366*12,Paths!$E$39)-(C366-1)*12))</f>
        <v>0</v>
      </c>
      <c r="F366" s="1">
        <f>IF(OR(Paths!$C$39=0,C366=0),0,12-E366)</f>
        <v>0</v>
      </c>
      <c r="G366" s="16">
        <f>IF(NOT(Paths!$C$39=1),0,IF(Paths!$P$39="Complete",E366/12*(Paths!$J$39*(1+'Operating costs'!$B$51)^MAX(0,C366-1)+Paths!$K$39*(1+'Operating costs'!$B$53)^MAX(0,C366-1)),"n.a."))</f>
        <v>0</v>
      </c>
      <c r="H366" s="16">
        <f>IF(NOT(Paths!$C$39=1),0,IF(Paths!$P$39="Complete",F366/12*(Paths!$L$39*(1+IF(Paths!$D$39="EV",'Operating costs'!$B$52,'Operating costs'!$B$51))^MAX(0,C366-1)+Paths!$M$39*(1+'Operating costs'!$B$53)^MAX(0,C366-1)),"n.a."))</f>
        <v>0</v>
      </c>
      <c r="I366" s="16">
        <f>IF(NOT(Paths!$C$39=1),0,IF(Paths!$P$39="Complete",IF(IF(Paths!$E$39=0,C366=0,AND(C366&gt;0,Paths!$E$39&gt;(C366-1)*12,Paths!$E$39&lt;=C366*12)),Paths!$G$39,0),"n.a."))</f>
        <v>0</v>
      </c>
      <c r="J366" s="16">
        <f>IF(NOT(Paths!$C$39=1),0,IF(Paths!$P$39="Complete",IF(IF(Paths!$E$39=0,C366=0,AND(C366&gt;0,Paths!$E$39&gt;(C366-1)*12,Paths!$E$39&lt;=C366*12)),Paths!$H$39,0),"n.a."))</f>
        <v>0</v>
      </c>
      <c r="K366" s="16">
        <f>IF(NOT(Paths!$C$39=1),0,IF(Paths!$P$39="Complete",IF(IF(Paths!$O$39=0,C366=0,AND(C366&gt;0,Paths!$O$39&gt;(C366-1)*12,Paths!$O$39&lt;=C366*12)),Paths!$N$39,0),"n.a."))</f>
        <v>0</v>
      </c>
      <c r="L366" s="16">
        <f>IF(NOT(Paths!$C$39=1),0,IF(Paths!$P$39="Complete",IF(C366=10,Paths!$I$39,0),"n.a."))</f>
        <v>0</v>
      </c>
      <c r="M366" s="16">
        <f>IF(NOT(Paths!$C$39=1),0,IF(Paths!$P$39="Complete",IF(AND(Paths!$D$39="EV",Paths!$E$39&lt;120,Paths!$E$39+'Operating costs'!$B$65&gt;Paths!$E$39,Paths!$E$39+'Operating costs'!$B$65&lt;=120,IF(Paths!$E$39+'Operating costs'!$B$65=0,C366=0,AND(C366&gt;0,Paths!$E$39+'Operating costs'!$B$65&gt;(C366-1)*12,Paths!$E$39+'Operating costs'!$B$65&lt;=C366*12))),'Operating costs'!$B$64,0)+IF(AND('Operating costs'!$B$67&gt;0,'Operating costs'!$B$67&lt;=120,OR(Paths!$D$39="ICE",'Operating costs'!$B$67&lt;=Paths!$E$39),IF('Operating costs'!$B$67=0,C366=0,AND(C366&gt;0,'Operating costs'!$B$67&gt;(C366-1)*12,'Operating costs'!$B$67&lt;=C366*12))),'Operating costs'!$B$66,0),"n.a."))</f>
        <v>0</v>
      </c>
      <c r="N366" s="16">
        <f>IF(NOT(Paths!$C$39=1),0,IF(Paths!$P$39="Complete",SUM(G366:I366)-J366-K366-L366+M366+IF(C366=0,Paths!$F$39,0)+IF(IF(Paths!$E$39=0,C366=0,AND(C366&gt;0,Paths!$E$39&gt;(C366-1)*12,Paths!$E$39&lt;=C366*12)),VLOOKUP(A366,'Fleet register'!$A$7:$S$106,16,FALSE),0),"n.a."))</f>
        <v>0</v>
      </c>
      <c r="O366" s="16">
        <f>IF(NOT(Paths!$C$39=1),0,IF(Paths!$P$39="Complete",N366-IF(C366=0,Paths!$F$39,0),"n.a."))</f>
        <v>0</v>
      </c>
      <c r="P366" s="16">
        <f>IF(NOT(Paths!$C$39=1),0,IF(Paths!$P$39="Complete",O366+L366,"n.a."))</f>
        <v>0</v>
      </c>
      <c r="Q366" s="16">
        <f>IF(NOT(Paths!$C$39=1),0,IF(Paths!$P$39="Complete",N366*(1+'Operating costs'!$B$54)^-C366,"n.a."))</f>
        <v>0</v>
      </c>
      <c r="R366" s="16">
        <f>IF(NOT(Paths!$C$39=1),0,IF(Paths!$P$39="Complete",IF(AND(C366=0,Paths!$E$39=0),I366-J366-K366+VLOOKUP(A366,'Fleet register'!$A$7:$S$106,15,FALSE)+VLOOKUP(A366,'Fleet register'!$A$7:$S$106,16,FALSE),0),"n.a."))</f>
        <v>0</v>
      </c>
      <c r="S366" s="1">
        <f>IF(NOT(Paths!$C$39=1),0,IF(Paths!$P$39="Complete",IF(C366=0,0,Paths!$S$39*Paths!$R$39),"n.a."))</f>
        <v>0</v>
      </c>
      <c r="T366" s="1">
        <f>IF(NOT(Paths!$C$39=1),0,IF(Paths!$P$39="Complete",IF(C366=0,0,VLOOKUP(A366,'Fleet register'!$A$7:$S$106,9,FALSE)*Paths!$R$39),"n.a."))</f>
        <v>0</v>
      </c>
    </row>
    <row r="367" spans="1:20" ht="24" customHeight="1">
      <c r="A367" s="1" t="str">
        <f>Paths!$A$39</f>
        <v>T009</v>
      </c>
      <c r="B367" s="1">
        <f>Paths!$B$39</f>
        <v>0</v>
      </c>
      <c r="C367" s="1">
        <v>8</v>
      </c>
      <c r="D367" s="1">
        <v>39</v>
      </c>
      <c r="E367" s="1">
        <f>IF(OR(Paths!$C$39=0,C367=0),0,MAX(0,MIN(C367*12,Paths!$E$39)-(C367-1)*12))</f>
        <v>0</v>
      </c>
      <c r="F367" s="1">
        <f>IF(OR(Paths!$C$39=0,C367=0),0,12-E367)</f>
        <v>0</v>
      </c>
      <c r="G367" s="16">
        <f>IF(NOT(Paths!$C$39=1),0,IF(Paths!$P$39="Complete",E367/12*(Paths!$J$39*(1+'Operating costs'!$B$51)^MAX(0,C367-1)+Paths!$K$39*(1+'Operating costs'!$B$53)^MAX(0,C367-1)),"n.a."))</f>
        <v>0</v>
      </c>
      <c r="H367" s="16">
        <f>IF(NOT(Paths!$C$39=1),0,IF(Paths!$P$39="Complete",F367/12*(Paths!$L$39*(1+IF(Paths!$D$39="EV",'Operating costs'!$B$52,'Operating costs'!$B$51))^MAX(0,C367-1)+Paths!$M$39*(1+'Operating costs'!$B$53)^MAX(0,C367-1)),"n.a."))</f>
        <v>0</v>
      </c>
      <c r="I367" s="16">
        <f>IF(NOT(Paths!$C$39=1),0,IF(Paths!$P$39="Complete",IF(IF(Paths!$E$39=0,C367=0,AND(C367&gt;0,Paths!$E$39&gt;(C367-1)*12,Paths!$E$39&lt;=C367*12)),Paths!$G$39,0),"n.a."))</f>
        <v>0</v>
      </c>
      <c r="J367" s="16">
        <f>IF(NOT(Paths!$C$39=1),0,IF(Paths!$P$39="Complete",IF(IF(Paths!$E$39=0,C367=0,AND(C367&gt;0,Paths!$E$39&gt;(C367-1)*12,Paths!$E$39&lt;=C367*12)),Paths!$H$39,0),"n.a."))</f>
        <v>0</v>
      </c>
      <c r="K367" s="16">
        <f>IF(NOT(Paths!$C$39=1),0,IF(Paths!$P$39="Complete",IF(IF(Paths!$O$39=0,C367=0,AND(C367&gt;0,Paths!$O$39&gt;(C367-1)*12,Paths!$O$39&lt;=C367*12)),Paths!$N$39,0),"n.a."))</f>
        <v>0</v>
      </c>
      <c r="L367" s="16">
        <f>IF(NOT(Paths!$C$39=1),0,IF(Paths!$P$39="Complete",IF(C367=10,Paths!$I$39,0),"n.a."))</f>
        <v>0</v>
      </c>
      <c r="M367" s="16">
        <f>IF(NOT(Paths!$C$39=1),0,IF(Paths!$P$39="Complete",IF(AND(Paths!$D$39="EV",Paths!$E$39&lt;120,Paths!$E$39+'Operating costs'!$B$65&gt;Paths!$E$39,Paths!$E$39+'Operating costs'!$B$65&lt;=120,IF(Paths!$E$39+'Operating costs'!$B$65=0,C367=0,AND(C367&gt;0,Paths!$E$39+'Operating costs'!$B$65&gt;(C367-1)*12,Paths!$E$39+'Operating costs'!$B$65&lt;=C367*12))),'Operating costs'!$B$64,0)+IF(AND('Operating costs'!$B$67&gt;0,'Operating costs'!$B$67&lt;=120,OR(Paths!$D$39="ICE",'Operating costs'!$B$67&lt;=Paths!$E$39),IF('Operating costs'!$B$67=0,C367=0,AND(C367&gt;0,'Operating costs'!$B$67&gt;(C367-1)*12,'Operating costs'!$B$67&lt;=C367*12))),'Operating costs'!$B$66,0),"n.a."))</f>
        <v>0</v>
      </c>
      <c r="N367" s="16">
        <f>IF(NOT(Paths!$C$39=1),0,IF(Paths!$P$39="Complete",SUM(G367:I367)-J367-K367-L367+M367+IF(C367=0,Paths!$F$39,0)+IF(IF(Paths!$E$39=0,C367=0,AND(C367&gt;0,Paths!$E$39&gt;(C367-1)*12,Paths!$E$39&lt;=C367*12)),VLOOKUP(A367,'Fleet register'!$A$7:$S$106,16,FALSE),0),"n.a."))</f>
        <v>0</v>
      </c>
      <c r="O367" s="16">
        <f>IF(NOT(Paths!$C$39=1),0,IF(Paths!$P$39="Complete",N367-IF(C367=0,Paths!$F$39,0),"n.a."))</f>
        <v>0</v>
      </c>
      <c r="P367" s="16">
        <f>IF(NOT(Paths!$C$39=1),0,IF(Paths!$P$39="Complete",O367+L367,"n.a."))</f>
        <v>0</v>
      </c>
      <c r="Q367" s="16">
        <f>IF(NOT(Paths!$C$39=1),0,IF(Paths!$P$39="Complete",N367*(1+'Operating costs'!$B$54)^-C367,"n.a."))</f>
        <v>0</v>
      </c>
      <c r="R367" s="16">
        <f>IF(NOT(Paths!$C$39=1),0,IF(Paths!$P$39="Complete",IF(AND(C367=0,Paths!$E$39=0),I367-J367-K367+VLOOKUP(A367,'Fleet register'!$A$7:$S$106,15,FALSE)+VLOOKUP(A367,'Fleet register'!$A$7:$S$106,16,FALSE),0),"n.a."))</f>
        <v>0</v>
      </c>
      <c r="S367" s="1">
        <f>IF(NOT(Paths!$C$39=1),0,IF(Paths!$P$39="Complete",IF(C367=0,0,Paths!$S$39*Paths!$R$39),"n.a."))</f>
        <v>0</v>
      </c>
      <c r="T367" s="1">
        <f>IF(NOT(Paths!$C$39=1),0,IF(Paths!$P$39="Complete",IF(C367=0,0,VLOOKUP(A367,'Fleet register'!$A$7:$S$106,9,FALSE)*Paths!$R$39),"n.a."))</f>
        <v>0</v>
      </c>
    </row>
    <row r="368" spans="1:20" ht="24" customHeight="1">
      <c r="A368" s="1" t="str">
        <f>Paths!$A$39</f>
        <v>T009</v>
      </c>
      <c r="B368" s="1">
        <f>Paths!$B$39</f>
        <v>0</v>
      </c>
      <c r="C368" s="1">
        <v>9</v>
      </c>
      <c r="D368" s="1">
        <v>39</v>
      </c>
      <c r="E368" s="1">
        <f>IF(OR(Paths!$C$39=0,C368=0),0,MAX(0,MIN(C368*12,Paths!$E$39)-(C368-1)*12))</f>
        <v>0</v>
      </c>
      <c r="F368" s="1">
        <f>IF(OR(Paths!$C$39=0,C368=0),0,12-E368)</f>
        <v>0</v>
      </c>
      <c r="G368" s="16">
        <f>IF(NOT(Paths!$C$39=1),0,IF(Paths!$P$39="Complete",E368/12*(Paths!$J$39*(1+'Operating costs'!$B$51)^MAX(0,C368-1)+Paths!$K$39*(1+'Operating costs'!$B$53)^MAX(0,C368-1)),"n.a."))</f>
        <v>0</v>
      </c>
      <c r="H368" s="16">
        <f>IF(NOT(Paths!$C$39=1),0,IF(Paths!$P$39="Complete",F368/12*(Paths!$L$39*(1+IF(Paths!$D$39="EV",'Operating costs'!$B$52,'Operating costs'!$B$51))^MAX(0,C368-1)+Paths!$M$39*(1+'Operating costs'!$B$53)^MAX(0,C368-1)),"n.a."))</f>
        <v>0</v>
      </c>
      <c r="I368" s="16">
        <f>IF(NOT(Paths!$C$39=1),0,IF(Paths!$P$39="Complete",IF(IF(Paths!$E$39=0,C368=0,AND(C368&gt;0,Paths!$E$39&gt;(C368-1)*12,Paths!$E$39&lt;=C368*12)),Paths!$G$39,0),"n.a."))</f>
        <v>0</v>
      </c>
      <c r="J368" s="16">
        <f>IF(NOT(Paths!$C$39=1),0,IF(Paths!$P$39="Complete",IF(IF(Paths!$E$39=0,C368=0,AND(C368&gt;0,Paths!$E$39&gt;(C368-1)*12,Paths!$E$39&lt;=C368*12)),Paths!$H$39,0),"n.a."))</f>
        <v>0</v>
      </c>
      <c r="K368" s="16">
        <f>IF(NOT(Paths!$C$39=1),0,IF(Paths!$P$39="Complete",IF(IF(Paths!$O$39=0,C368=0,AND(C368&gt;0,Paths!$O$39&gt;(C368-1)*12,Paths!$O$39&lt;=C368*12)),Paths!$N$39,0),"n.a."))</f>
        <v>0</v>
      </c>
      <c r="L368" s="16">
        <f>IF(NOT(Paths!$C$39=1),0,IF(Paths!$P$39="Complete",IF(C368=10,Paths!$I$39,0),"n.a."))</f>
        <v>0</v>
      </c>
      <c r="M368" s="16">
        <f>IF(NOT(Paths!$C$39=1),0,IF(Paths!$P$39="Complete",IF(AND(Paths!$D$39="EV",Paths!$E$39&lt;120,Paths!$E$39+'Operating costs'!$B$65&gt;Paths!$E$39,Paths!$E$39+'Operating costs'!$B$65&lt;=120,IF(Paths!$E$39+'Operating costs'!$B$65=0,C368=0,AND(C368&gt;0,Paths!$E$39+'Operating costs'!$B$65&gt;(C368-1)*12,Paths!$E$39+'Operating costs'!$B$65&lt;=C368*12))),'Operating costs'!$B$64,0)+IF(AND('Operating costs'!$B$67&gt;0,'Operating costs'!$B$67&lt;=120,OR(Paths!$D$39="ICE",'Operating costs'!$B$67&lt;=Paths!$E$39),IF('Operating costs'!$B$67=0,C368=0,AND(C368&gt;0,'Operating costs'!$B$67&gt;(C368-1)*12,'Operating costs'!$B$67&lt;=C368*12))),'Operating costs'!$B$66,0),"n.a."))</f>
        <v>0</v>
      </c>
      <c r="N368" s="16">
        <f>IF(NOT(Paths!$C$39=1),0,IF(Paths!$P$39="Complete",SUM(G368:I368)-J368-K368-L368+M368+IF(C368=0,Paths!$F$39,0)+IF(IF(Paths!$E$39=0,C368=0,AND(C368&gt;0,Paths!$E$39&gt;(C368-1)*12,Paths!$E$39&lt;=C368*12)),VLOOKUP(A368,'Fleet register'!$A$7:$S$106,16,FALSE),0),"n.a."))</f>
        <v>0</v>
      </c>
      <c r="O368" s="16">
        <f>IF(NOT(Paths!$C$39=1),0,IF(Paths!$P$39="Complete",N368-IF(C368=0,Paths!$F$39,0),"n.a."))</f>
        <v>0</v>
      </c>
      <c r="P368" s="16">
        <f>IF(NOT(Paths!$C$39=1),0,IF(Paths!$P$39="Complete",O368+L368,"n.a."))</f>
        <v>0</v>
      </c>
      <c r="Q368" s="16">
        <f>IF(NOT(Paths!$C$39=1),0,IF(Paths!$P$39="Complete",N368*(1+'Operating costs'!$B$54)^-C368,"n.a."))</f>
        <v>0</v>
      </c>
      <c r="R368" s="16">
        <f>IF(NOT(Paths!$C$39=1),0,IF(Paths!$P$39="Complete",IF(AND(C368=0,Paths!$E$39=0),I368-J368-K368+VLOOKUP(A368,'Fleet register'!$A$7:$S$106,15,FALSE)+VLOOKUP(A368,'Fleet register'!$A$7:$S$106,16,FALSE),0),"n.a."))</f>
        <v>0</v>
      </c>
      <c r="S368" s="1">
        <f>IF(NOT(Paths!$C$39=1),0,IF(Paths!$P$39="Complete",IF(C368=0,0,Paths!$S$39*Paths!$R$39),"n.a."))</f>
        <v>0</v>
      </c>
      <c r="T368" s="1">
        <f>IF(NOT(Paths!$C$39=1),0,IF(Paths!$P$39="Complete",IF(C368=0,0,VLOOKUP(A368,'Fleet register'!$A$7:$S$106,9,FALSE)*Paths!$R$39),"n.a."))</f>
        <v>0</v>
      </c>
    </row>
    <row r="369" spans="1:20" ht="24" customHeight="1">
      <c r="A369" s="1" t="str">
        <f>Paths!$A$39</f>
        <v>T009</v>
      </c>
      <c r="B369" s="1">
        <f>Paths!$B$39</f>
        <v>0</v>
      </c>
      <c r="C369" s="1">
        <v>10</v>
      </c>
      <c r="D369" s="1">
        <v>39</v>
      </c>
      <c r="E369" s="1">
        <f>IF(OR(Paths!$C$39=0,C369=0),0,MAX(0,MIN(C369*12,Paths!$E$39)-(C369-1)*12))</f>
        <v>0</v>
      </c>
      <c r="F369" s="1">
        <f>IF(OR(Paths!$C$39=0,C369=0),0,12-E369)</f>
        <v>0</v>
      </c>
      <c r="G369" s="16">
        <f>IF(NOT(Paths!$C$39=1),0,IF(Paths!$P$39="Complete",E369/12*(Paths!$J$39*(1+'Operating costs'!$B$51)^MAX(0,C369-1)+Paths!$K$39*(1+'Operating costs'!$B$53)^MAX(0,C369-1)),"n.a."))</f>
        <v>0</v>
      </c>
      <c r="H369" s="16">
        <f>IF(NOT(Paths!$C$39=1),0,IF(Paths!$P$39="Complete",F369/12*(Paths!$L$39*(1+IF(Paths!$D$39="EV",'Operating costs'!$B$52,'Operating costs'!$B$51))^MAX(0,C369-1)+Paths!$M$39*(1+'Operating costs'!$B$53)^MAX(0,C369-1)),"n.a."))</f>
        <v>0</v>
      </c>
      <c r="I369" s="16">
        <f>IF(NOT(Paths!$C$39=1),0,IF(Paths!$P$39="Complete",IF(IF(Paths!$E$39=0,C369=0,AND(C369&gt;0,Paths!$E$39&gt;(C369-1)*12,Paths!$E$39&lt;=C369*12)),Paths!$G$39,0),"n.a."))</f>
        <v>0</v>
      </c>
      <c r="J369" s="16">
        <f>IF(NOT(Paths!$C$39=1),0,IF(Paths!$P$39="Complete",IF(IF(Paths!$E$39=0,C369=0,AND(C369&gt;0,Paths!$E$39&gt;(C369-1)*12,Paths!$E$39&lt;=C369*12)),Paths!$H$39,0),"n.a."))</f>
        <v>0</v>
      </c>
      <c r="K369" s="16">
        <f>IF(NOT(Paths!$C$39=1),0,IF(Paths!$P$39="Complete",IF(IF(Paths!$O$39=0,C369=0,AND(C369&gt;0,Paths!$O$39&gt;(C369-1)*12,Paths!$O$39&lt;=C369*12)),Paths!$N$39,0),"n.a."))</f>
        <v>0</v>
      </c>
      <c r="L369" s="16">
        <f>IF(NOT(Paths!$C$39=1),0,IF(Paths!$P$39="Complete",IF(C369=10,Paths!$I$39,0),"n.a."))</f>
        <v>0</v>
      </c>
      <c r="M369" s="16">
        <f>IF(NOT(Paths!$C$39=1),0,IF(Paths!$P$39="Complete",IF(AND(Paths!$D$39="EV",Paths!$E$39&lt;120,Paths!$E$39+'Operating costs'!$B$65&gt;Paths!$E$39,Paths!$E$39+'Operating costs'!$B$65&lt;=120,IF(Paths!$E$39+'Operating costs'!$B$65=0,C369=0,AND(C369&gt;0,Paths!$E$39+'Operating costs'!$B$65&gt;(C369-1)*12,Paths!$E$39+'Operating costs'!$B$65&lt;=C369*12))),'Operating costs'!$B$64,0)+IF(AND('Operating costs'!$B$67&gt;0,'Operating costs'!$B$67&lt;=120,OR(Paths!$D$39="ICE",'Operating costs'!$B$67&lt;=Paths!$E$39),IF('Operating costs'!$B$67=0,C369=0,AND(C369&gt;0,'Operating costs'!$B$67&gt;(C369-1)*12,'Operating costs'!$B$67&lt;=C369*12))),'Operating costs'!$B$66,0),"n.a."))</f>
        <v>0</v>
      </c>
      <c r="N369" s="16">
        <f>IF(NOT(Paths!$C$39=1),0,IF(Paths!$P$39="Complete",SUM(G369:I369)-J369-K369-L369+M369+IF(C369=0,Paths!$F$39,0)+IF(IF(Paths!$E$39=0,C369=0,AND(C369&gt;0,Paths!$E$39&gt;(C369-1)*12,Paths!$E$39&lt;=C369*12)),VLOOKUP(A369,'Fleet register'!$A$7:$S$106,16,FALSE),0),"n.a."))</f>
        <v>0</v>
      </c>
      <c r="O369" s="16">
        <f>IF(NOT(Paths!$C$39=1),0,IF(Paths!$P$39="Complete",N369-IF(C369=0,Paths!$F$39,0),"n.a."))</f>
        <v>0</v>
      </c>
      <c r="P369" s="16">
        <f>IF(NOT(Paths!$C$39=1),0,IF(Paths!$P$39="Complete",O369+L369,"n.a."))</f>
        <v>0</v>
      </c>
      <c r="Q369" s="16">
        <f>IF(NOT(Paths!$C$39=1),0,IF(Paths!$P$39="Complete",N369*(1+'Operating costs'!$B$54)^-C369,"n.a."))</f>
        <v>0</v>
      </c>
      <c r="R369" s="16">
        <f>IF(NOT(Paths!$C$39=1),0,IF(Paths!$P$39="Complete",IF(AND(C369=0,Paths!$E$39=0),I369-J369-K369+VLOOKUP(A369,'Fleet register'!$A$7:$S$106,15,FALSE)+VLOOKUP(A369,'Fleet register'!$A$7:$S$106,16,FALSE),0),"n.a."))</f>
        <v>0</v>
      </c>
      <c r="S369" s="1">
        <f>IF(NOT(Paths!$C$39=1),0,IF(Paths!$P$39="Complete",IF(C369=0,0,Paths!$S$39*Paths!$R$39),"n.a."))</f>
        <v>0</v>
      </c>
      <c r="T369" s="1">
        <f>IF(NOT(Paths!$C$39=1),0,IF(Paths!$P$39="Complete",IF(C369=0,0,VLOOKUP(A369,'Fleet register'!$A$7:$S$106,9,FALSE)*Paths!$R$39),"n.a."))</f>
        <v>0</v>
      </c>
    </row>
    <row r="370" spans="1:20" ht="24" customHeight="1">
      <c r="A370" s="1" t="str">
        <f>Paths!$A$40</f>
        <v>T009</v>
      </c>
      <c r="B370" s="1">
        <f>Paths!$B$40</f>
        <v>1</v>
      </c>
      <c r="C370" s="1">
        <v>0</v>
      </c>
      <c r="D370" s="1">
        <v>40</v>
      </c>
      <c r="E370" s="1">
        <f>IF(OR(Paths!$C$40=0,C370=0),0,MAX(0,MIN(C370*12,Paths!$E$40)-(C370-1)*12))</f>
        <v>0</v>
      </c>
      <c r="F370" s="1">
        <f>IF(OR(Paths!$C$40=0,C370=0),0,12-E370)</f>
        <v>0</v>
      </c>
      <c r="G370" s="16">
        <f>IF(NOT(Paths!$C$40=1),0,IF(Paths!$P$40="Complete",E370/12*(Paths!$J$40*(1+'Operating costs'!$B$51)^MAX(0,C370-1)+Paths!$K$40*(1+'Operating costs'!$B$53)^MAX(0,C370-1)),"n.a."))</f>
        <v>0</v>
      </c>
      <c r="H370" s="16">
        <f>IF(NOT(Paths!$C$40=1),0,IF(Paths!$P$40="Complete",F370/12*(Paths!$L$40*(1+IF(Paths!$D$40="EV",'Operating costs'!$B$52,'Operating costs'!$B$51))^MAX(0,C370-1)+Paths!$M$40*(1+'Operating costs'!$B$53)^MAX(0,C370-1)),"n.a."))</f>
        <v>0</v>
      </c>
      <c r="I370" s="16">
        <f>IF(NOT(Paths!$C$40=1),0,IF(Paths!$P$40="Complete",IF(IF(Paths!$E$40=0,C370=0,AND(C370&gt;0,Paths!$E$40&gt;(C370-1)*12,Paths!$E$40&lt;=C370*12)),Paths!$G$40,0),"n.a."))</f>
        <v>0</v>
      </c>
      <c r="J370" s="16">
        <f>IF(NOT(Paths!$C$40=1),0,IF(Paths!$P$40="Complete",IF(IF(Paths!$E$40=0,C370=0,AND(C370&gt;0,Paths!$E$40&gt;(C370-1)*12,Paths!$E$40&lt;=C370*12)),Paths!$H$40,0),"n.a."))</f>
        <v>0</v>
      </c>
      <c r="K370" s="16">
        <f>IF(NOT(Paths!$C$40=1),0,IF(Paths!$P$40="Complete",IF(IF(Paths!$O$40=0,C370=0,AND(C370&gt;0,Paths!$O$40&gt;(C370-1)*12,Paths!$O$40&lt;=C370*12)),Paths!$N$40,0),"n.a."))</f>
        <v>0</v>
      </c>
      <c r="L370" s="16">
        <f>IF(NOT(Paths!$C$40=1),0,IF(Paths!$P$40="Complete",IF(C370=10,Paths!$I$40,0),"n.a."))</f>
        <v>0</v>
      </c>
      <c r="M370" s="16">
        <f>IF(NOT(Paths!$C$40=1),0,IF(Paths!$P$40="Complete",IF(AND(Paths!$D$40="EV",Paths!$E$40&lt;120,Paths!$E$40+'Operating costs'!$B$65&gt;Paths!$E$40,Paths!$E$40+'Operating costs'!$B$65&lt;=120,IF(Paths!$E$40+'Operating costs'!$B$65=0,C370=0,AND(C370&gt;0,Paths!$E$40+'Operating costs'!$B$65&gt;(C370-1)*12,Paths!$E$40+'Operating costs'!$B$65&lt;=C370*12))),'Operating costs'!$B$64,0)+IF(AND('Operating costs'!$B$67&gt;0,'Operating costs'!$B$67&lt;=120,OR(Paths!$D$40="ICE",'Operating costs'!$B$67&lt;=Paths!$E$40),IF('Operating costs'!$B$67=0,C370=0,AND(C370&gt;0,'Operating costs'!$B$67&gt;(C370-1)*12,'Operating costs'!$B$67&lt;=C370*12))),'Operating costs'!$B$66,0),"n.a."))</f>
        <v>0</v>
      </c>
      <c r="N370" s="16">
        <f>IF(NOT(Paths!$C$40=1),0,IF(Paths!$P$40="Complete",SUM(G370:I370)-J370-K370-L370+M370+IF(C370=0,Paths!$F$40,0)+IF(IF(Paths!$E$40=0,C370=0,AND(C370&gt;0,Paths!$E$40&gt;(C370-1)*12,Paths!$E$40&lt;=C370*12)),VLOOKUP(A370,'Fleet register'!$A$7:$S$106,16,FALSE),0),"n.a."))</f>
        <v>0</v>
      </c>
      <c r="O370" s="16">
        <f>IF(NOT(Paths!$C$40=1),0,IF(Paths!$P$40="Complete",N370-IF(C370=0,Paths!$F$40,0),"n.a."))</f>
        <v>0</v>
      </c>
      <c r="P370" s="16">
        <f>IF(NOT(Paths!$C$40=1),0,IF(Paths!$P$40="Complete",O370+L370,"n.a."))</f>
        <v>0</v>
      </c>
      <c r="Q370" s="16">
        <f>IF(NOT(Paths!$C$40=1),0,IF(Paths!$P$40="Complete",N370*(1+'Operating costs'!$B$54)^-C370,"n.a."))</f>
        <v>0</v>
      </c>
      <c r="R370" s="16">
        <f>IF(NOT(Paths!$C$40=1),0,IF(Paths!$P$40="Complete",IF(AND(C370=0,Paths!$E$40=0),I370-J370-K370+VLOOKUP(A370,'Fleet register'!$A$7:$S$106,15,FALSE)+VLOOKUP(A370,'Fleet register'!$A$7:$S$106,16,FALSE),0),"n.a."))</f>
        <v>0</v>
      </c>
      <c r="S370" s="1">
        <f>IF(NOT(Paths!$C$40=1),0,IF(Paths!$P$40="Complete",IF(C370=0,0,Paths!$S$40*Paths!$R$40),"n.a."))</f>
        <v>0</v>
      </c>
      <c r="T370" s="1">
        <f>IF(NOT(Paths!$C$40=1),0,IF(Paths!$P$40="Complete",IF(C370=0,0,VLOOKUP(A370,'Fleet register'!$A$7:$S$106,9,FALSE)*Paths!$R$40),"n.a."))</f>
        <v>0</v>
      </c>
    </row>
    <row r="371" spans="1:20" ht="24" customHeight="1">
      <c r="A371" s="1" t="str">
        <f>Paths!$A$40</f>
        <v>T009</v>
      </c>
      <c r="B371" s="1">
        <f>Paths!$B$40</f>
        <v>1</v>
      </c>
      <c r="C371" s="1">
        <v>1</v>
      </c>
      <c r="D371" s="1">
        <v>40</v>
      </c>
      <c r="E371" s="1">
        <f>IF(OR(Paths!$C$40=0,C371=0),0,MAX(0,MIN(C371*12,Paths!$E$40)-(C371-1)*12))</f>
        <v>0</v>
      </c>
      <c r="F371" s="1">
        <f>IF(OR(Paths!$C$40=0,C371=0),0,12-E371)</f>
        <v>0</v>
      </c>
      <c r="G371" s="16">
        <f>IF(NOT(Paths!$C$40=1),0,IF(Paths!$P$40="Complete",E371/12*(Paths!$J$40*(1+'Operating costs'!$B$51)^MAX(0,C371-1)+Paths!$K$40*(1+'Operating costs'!$B$53)^MAX(0,C371-1)),"n.a."))</f>
        <v>0</v>
      </c>
      <c r="H371" s="16">
        <f>IF(NOT(Paths!$C$40=1),0,IF(Paths!$P$40="Complete",F371/12*(Paths!$L$40*(1+IF(Paths!$D$40="EV",'Operating costs'!$B$52,'Operating costs'!$B$51))^MAX(0,C371-1)+Paths!$M$40*(1+'Operating costs'!$B$53)^MAX(0,C371-1)),"n.a."))</f>
        <v>0</v>
      </c>
      <c r="I371" s="16">
        <f>IF(NOT(Paths!$C$40=1),0,IF(Paths!$P$40="Complete",IF(IF(Paths!$E$40=0,C371=0,AND(C371&gt;0,Paths!$E$40&gt;(C371-1)*12,Paths!$E$40&lt;=C371*12)),Paths!$G$40,0),"n.a."))</f>
        <v>0</v>
      </c>
      <c r="J371" s="16">
        <f>IF(NOT(Paths!$C$40=1),0,IF(Paths!$P$40="Complete",IF(IF(Paths!$E$40=0,C371=0,AND(C371&gt;0,Paths!$E$40&gt;(C371-1)*12,Paths!$E$40&lt;=C371*12)),Paths!$H$40,0),"n.a."))</f>
        <v>0</v>
      </c>
      <c r="K371" s="16">
        <f>IF(NOT(Paths!$C$40=1),0,IF(Paths!$P$40="Complete",IF(IF(Paths!$O$40=0,C371=0,AND(C371&gt;0,Paths!$O$40&gt;(C371-1)*12,Paths!$O$40&lt;=C371*12)),Paths!$N$40,0),"n.a."))</f>
        <v>0</v>
      </c>
      <c r="L371" s="16">
        <f>IF(NOT(Paths!$C$40=1),0,IF(Paths!$P$40="Complete",IF(C371=10,Paths!$I$40,0),"n.a."))</f>
        <v>0</v>
      </c>
      <c r="M371" s="16">
        <f>IF(NOT(Paths!$C$40=1),0,IF(Paths!$P$40="Complete",IF(AND(Paths!$D$40="EV",Paths!$E$40&lt;120,Paths!$E$40+'Operating costs'!$B$65&gt;Paths!$E$40,Paths!$E$40+'Operating costs'!$B$65&lt;=120,IF(Paths!$E$40+'Operating costs'!$B$65=0,C371=0,AND(C371&gt;0,Paths!$E$40+'Operating costs'!$B$65&gt;(C371-1)*12,Paths!$E$40+'Operating costs'!$B$65&lt;=C371*12))),'Operating costs'!$B$64,0)+IF(AND('Operating costs'!$B$67&gt;0,'Operating costs'!$B$67&lt;=120,OR(Paths!$D$40="ICE",'Operating costs'!$B$67&lt;=Paths!$E$40),IF('Operating costs'!$B$67=0,C371=0,AND(C371&gt;0,'Operating costs'!$B$67&gt;(C371-1)*12,'Operating costs'!$B$67&lt;=C371*12))),'Operating costs'!$B$66,0),"n.a."))</f>
        <v>0</v>
      </c>
      <c r="N371" s="16">
        <f>IF(NOT(Paths!$C$40=1),0,IF(Paths!$P$40="Complete",SUM(G371:I371)-J371-K371-L371+M371+IF(C371=0,Paths!$F$40,0)+IF(IF(Paths!$E$40=0,C371=0,AND(C371&gt;0,Paths!$E$40&gt;(C371-1)*12,Paths!$E$40&lt;=C371*12)),VLOOKUP(A371,'Fleet register'!$A$7:$S$106,16,FALSE),0),"n.a."))</f>
        <v>0</v>
      </c>
      <c r="O371" s="16">
        <f>IF(NOT(Paths!$C$40=1),0,IF(Paths!$P$40="Complete",N371-IF(C371=0,Paths!$F$40,0),"n.a."))</f>
        <v>0</v>
      </c>
      <c r="P371" s="16">
        <f>IF(NOT(Paths!$C$40=1),0,IF(Paths!$P$40="Complete",O371+L371,"n.a."))</f>
        <v>0</v>
      </c>
      <c r="Q371" s="16">
        <f>IF(NOT(Paths!$C$40=1),0,IF(Paths!$P$40="Complete",N371*(1+'Operating costs'!$B$54)^-C371,"n.a."))</f>
        <v>0</v>
      </c>
      <c r="R371" s="16">
        <f>IF(NOT(Paths!$C$40=1),0,IF(Paths!$P$40="Complete",IF(AND(C371=0,Paths!$E$40=0),I371-J371-K371+VLOOKUP(A371,'Fleet register'!$A$7:$S$106,15,FALSE)+VLOOKUP(A371,'Fleet register'!$A$7:$S$106,16,FALSE),0),"n.a."))</f>
        <v>0</v>
      </c>
      <c r="S371" s="1">
        <f>IF(NOT(Paths!$C$40=1),0,IF(Paths!$P$40="Complete",IF(C371=0,0,Paths!$S$40*Paths!$R$40),"n.a."))</f>
        <v>0</v>
      </c>
      <c r="T371" s="1">
        <f>IF(NOT(Paths!$C$40=1),0,IF(Paths!$P$40="Complete",IF(C371=0,0,VLOOKUP(A371,'Fleet register'!$A$7:$S$106,9,FALSE)*Paths!$R$40),"n.a."))</f>
        <v>0</v>
      </c>
    </row>
    <row r="372" spans="1:20" ht="24" customHeight="1">
      <c r="A372" s="1" t="str">
        <f>Paths!$A$40</f>
        <v>T009</v>
      </c>
      <c r="B372" s="1">
        <f>Paths!$B$40</f>
        <v>1</v>
      </c>
      <c r="C372" s="1">
        <v>2</v>
      </c>
      <c r="D372" s="1">
        <v>40</v>
      </c>
      <c r="E372" s="1">
        <f>IF(OR(Paths!$C$40=0,C372=0),0,MAX(0,MIN(C372*12,Paths!$E$40)-(C372-1)*12))</f>
        <v>0</v>
      </c>
      <c r="F372" s="1">
        <f>IF(OR(Paths!$C$40=0,C372=0),0,12-E372)</f>
        <v>0</v>
      </c>
      <c r="G372" s="16">
        <f>IF(NOT(Paths!$C$40=1),0,IF(Paths!$P$40="Complete",E372/12*(Paths!$J$40*(1+'Operating costs'!$B$51)^MAX(0,C372-1)+Paths!$K$40*(1+'Operating costs'!$B$53)^MAX(0,C372-1)),"n.a."))</f>
        <v>0</v>
      </c>
      <c r="H372" s="16">
        <f>IF(NOT(Paths!$C$40=1),0,IF(Paths!$P$40="Complete",F372/12*(Paths!$L$40*(1+IF(Paths!$D$40="EV",'Operating costs'!$B$52,'Operating costs'!$B$51))^MAX(0,C372-1)+Paths!$M$40*(1+'Operating costs'!$B$53)^MAX(0,C372-1)),"n.a."))</f>
        <v>0</v>
      </c>
      <c r="I372" s="16">
        <f>IF(NOT(Paths!$C$40=1),0,IF(Paths!$P$40="Complete",IF(IF(Paths!$E$40=0,C372=0,AND(C372&gt;0,Paths!$E$40&gt;(C372-1)*12,Paths!$E$40&lt;=C372*12)),Paths!$G$40,0),"n.a."))</f>
        <v>0</v>
      </c>
      <c r="J372" s="16">
        <f>IF(NOT(Paths!$C$40=1),0,IF(Paths!$P$40="Complete",IF(IF(Paths!$E$40=0,C372=0,AND(C372&gt;0,Paths!$E$40&gt;(C372-1)*12,Paths!$E$40&lt;=C372*12)),Paths!$H$40,0),"n.a."))</f>
        <v>0</v>
      </c>
      <c r="K372" s="16">
        <f>IF(NOT(Paths!$C$40=1),0,IF(Paths!$P$40="Complete",IF(IF(Paths!$O$40=0,C372=0,AND(C372&gt;0,Paths!$O$40&gt;(C372-1)*12,Paths!$O$40&lt;=C372*12)),Paths!$N$40,0),"n.a."))</f>
        <v>0</v>
      </c>
      <c r="L372" s="16">
        <f>IF(NOT(Paths!$C$40=1),0,IF(Paths!$P$40="Complete",IF(C372=10,Paths!$I$40,0),"n.a."))</f>
        <v>0</v>
      </c>
      <c r="M372" s="16">
        <f>IF(NOT(Paths!$C$40=1),0,IF(Paths!$P$40="Complete",IF(AND(Paths!$D$40="EV",Paths!$E$40&lt;120,Paths!$E$40+'Operating costs'!$B$65&gt;Paths!$E$40,Paths!$E$40+'Operating costs'!$B$65&lt;=120,IF(Paths!$E$40+'Operating costs'!$B$65=0,C372=0,AND(C372&gt;0,Paths!$E$40+'Operating costs'!$B$65&gt;(C372-1)*12,Paths!$E$40+'Operating costs'!$B$65&lt;=C372*12))),'Operating costs'!$B$64,0)+IF(AND('Operating costs'!$B$67&gt;0,'Operating costs'!$B$67&lt;=120,OR(Paths!$D$40="ICE",'Operating costs'!$B$67&lt;=Paths!$E$40),IF('Operating costs'!$B$67=0,C372=0,AND(C372&gt;0,'Operating costs'!$B$67&gt;(C372-1)*12,'Operating costs'!$B$67&lt;=C372*12))),'Operating costs'!$B$66,0),"n.a."))</f>
        <v>0</v>
      </c>
      <c r="N372" s="16">
        <f>IF(NOT(Paths!$C$40=1),0,IF(Paths!$P$40="Complete",SUM(G372:I372)-J372-K372-L372+M372+IF(C372=0,Paths!$F$40,0)+IF(IF(Paths!$E$40=0,C372=0,AND(C372&gt;0,Paths!$E$40&gt;(C372-1)*12,Paths!$E$40&lt;=C372*12)),VLOOKUP(A372,'Fleet register'!$A$7:$S$106,16,FALSE),0),"n.a."))</f>
        <v>0</v>
      </c>
      <c r="O372" s="16">
        <f>IF(NOT(Paths!$C$40=1),0,IF(Paths!$P$40="Complete",N372-IF(C372=0,Paths!$F$40,0),"n.a."))</f>
        <v>0</v>
      </c>
      <c r="P372" s="16">
        <f>IF(NOT(Paths!$C$40=1),0,IF(Paths!$P$40="Complete",O372+L372,"n.a."))</f>
        <v>0</v>
      </c>
      <c r="Q372" s="16">
        <f>IF(NOT(Paths!$C$40=1),0,IF(Paths!$P$40="Complete",N372*(1+'Operating costs'!$B$54)^-C372,"n.a."))</f>
        <v>0</v>
      </c>
      <c r="R372" s="16">
        <f>IF(NOT(Paths!$C$40=1),0,IF(Paths!$P$40="Complete",IF(AND(C372=0,Paths!$E$40=0),I372-J372-K372+VLOOKUP(A372,'Fleet register'!$A$7:$S$106,15,FALSE)+VLOOKUP(A372,'Fleet register'!$A$7:$S$106,16,FALSE),0),"n.a."))</f>
        <v>0</v>
      </c>
      <c r="S372" s="1">
        <f>IF(NOT(Paths!$C$40=1),0,IF(Paths!$P$40="Complete",IF(C372=0,0,Paths!$S$40*Paths!$R$40),"n.a."))</f>
        <v>0</v>
      </c>
      <c r="T372" s="1">
        <f>IF(NOT(Paths!$C$40=1),0,IF(Paths!$P$40="Complete",IF(C372=0,0,VLOOKUP(A372,'Fleet register'!$A$7:$S$106,9,FALSE)*Paths!$R$40),"n.a."))</f>
        <v>0</v>
      </c>
    </row>
    <row r="373" spans="1:20" ht="24" customHeight="1">
      <c r="A373" s="1" t="str">
        <f>Paths!$A$40</f>
        <v>T009</v>
      </c>
      <c r="B373" s="1">
        <f>Paths!$B$40</f>
        <v>1</v>
      </c>
      <c r="C373" s="1">
        <v>3</v>
      </c>
      <c r="D373" s="1">
        <v>40</v>
      </c>
      <c r="E373" s="1">
        <f>IF(OR(Paths!$C$40=0,C373=0),0,MAX(0,MIN(C373*12,Paths!$E$40)-(C373-1)*12))</f>
        <v>0</v>
      </c>
      <c r="F373" s="1">
        <f>IF(OR(Paths!$C$40=0,C373=0),0,12-E373)</f>
        <v>0</v>
      </c>
      <c r="G373" s="16">
        <f>IF(NOT(Paths!$C$40=1),0,IF(Paths!$P$40="Complete",E373/12*(Paths!$J$40*(1+'Operating costs'!$B$51)^MAX(0,C373-1)+Paths!$K$40*(1+'Operating costs'!$B$53)^MAX(0,C373-1)),"n.a."))</f>
        <v>0</v>
      </c>
      <c r="H373" s="16">
        <f>IF(NOT(Paths!$C$40=1),0,IF(Paths!$P$40="Complete",F373/12*(Paths!$L$40*(1+IF(Paths!$D$40="EV",'Operating costs'!$B$52,'Operating costs'!$B$51))^MAX(0,C373-1)+Paths!$M$40*(1+'Operating costs'!$B$53)^MAX(0,C373-1)),"n.a."))</f>
        <v>0</v>
      </c>
      <c r="I373" s="16">
        <f>IF(NOT(Paths!$C$40=1),0,IF(Paths!$P$40="Complete",IF(IF(Paths!$E$40=0,C373=0,AND(C373&gt;0,Paths!$E$40&gt;(C373-1)*12,Paths!$E$40&lt;=C373*12)),Paths!$G$40,0),"n.a."))</f>
        <v>0</v>
      </c>
      <c r="J373" s="16">
        <f>IF(NOT(Paths!$C$40=1),0,IF(Paths!$P$40="Complete",IF(IF(Paths!$E$40=0,C373=0,AND(C373&gt;0,Paths!$E$40&gt;(C373-1)*12,Paths!$E$40&lt;=C373*12)),Paths!$H$40,0),"n.a."))</f>
        <v>0</v>
      </c>
      <c r="K373" s="16">
        <f>IF(NOT(Paths!$C$40=1),0,IF(Paths!$P$40="Complete",IF(IF(Paths!$O$40=0,C373=0,AND(C373&gt;0,Paths!$O$40&gt;(C373-1)*12,Paths!$O$40&lt;=C373*12)),Paths!$N$40,0),"n.a."))</f>
        <v>0</v>
      </c>
      <c r="L373" s="16">
        <f>IF(NOT(Paths!$C$40=1),0,IF(Paths!$P$40="Complete",IF(C373=10,Paths!$I$40,0),"n.a."))</f>
        <v>0</v>
      </c>
      <c r="M373" s="16">
        <f>IF(NOT(Paths!$C$40=1),0,IF(Paths!$P$40="Complete",IF(AND(Paths!$D$40="EV",Paths!$E$40&lt;120,Paths!$E$40+'Operating costs'!$B$65&gt;Paths!$E$40,Paths!$E$40+'Operating costs'!$B$65&lt;=120,IF(Paths!$E$40+'Operating costs'!$B$65=0,C373=0,AND(C373&gt;0,Paths!$E$40+'Operating costs'!$B$65&gt;(C373-1)*12,Paths!$E$40+'Operating costs'!$B$65&lt;=C373*12))),'Operating costs'!$B$64,0)+IF(AND('Operating costs'!$B$67&gt;0,'Operating costs'!$B$67&lt;=120,OR(Paths!$D$40="ICE",'Operating costs'!$B$67&lt;=Paths!$E$40),IF('Operating costs'!$B$67=0,C373=0,AND(C373&gt;0,'Operating costs'!$B$67&gt;(C373-1)*12,'Operating costs'!$B$67&lt;=C373*12))),'Operating costs'!$B$66,0),"n.a."))</f>
        <v>0</v>
      </c>
      <c r="N373" s="16">
        <f>IF(NOT(Paths!$C$40=1),0,IF(Paths!$P$40="Complete",SUM(G373:I373)-J373-K373-L373+M373+IF(C373=0,Paths!$F$40,0)+IF(IF(Paths!$E$40=0,C373=0,AND(C373&gt;0,Paths!$E$40&gt;(C373-1)*12,Paths!$E$40&lt;=C373*12)),VLOOKUP(A373,'Fleet register'!$A$7:$S$106,16,FALSE),0),"n.a."))</f>
        <v>0</v>
      </c>
      <c r="O373" s="16">
        <f>IF(NOT(Paths!$C$40=1),0,IF(Paths!$P$40="Complete",N373-IF(C373=0,Paths!$F$40,0),"n.a."))</f>
        <v>0</v>
      </c>
      <c r="P373" s="16">
        <f>IF(NOT(Paths!$C$40=1),0,IF(Paths!$P$40="Complete",O373+L373,"n.a."))</f>
        <v>0</v>
      </c>
      <c r="Q373" s="16">
        <f>IF(NOT(Paths!$C$40=1),0,IF(Paths!$P$40="Complete",N373*(1+'Operating costs'!$B$54)^-C373,"n.a."))</f>
        <v>0</v>
      </c>
      <c r="R373" s="16">
        <f>IF(NOT(Paths!$C$40=1),0,IF(Paths!$P$40="Complete",IF(AND(C373=0,Paths!$E$40=0),I373-J373-K373+VLOOKUP(A373,'Fleet register'!$A$7:$S$106,15,FALSE)+VLOOKUP(A373,'Fleet register'!$A$7:$S$106,16,FALSE),0),"n.a."))</f>
        <v>0</v>
      </c>
      <c r="S373" s="1">
        <f>IF(NOT(Paths!$C$40=1),0,IF(Paths!$P$40="Complete",IF(C373=0,0,Paths!$S$40*Paths!$R$40),"n.a."))</f>
        <v>0</v>
      </c>
      <c r="T373" s="1">
        <f>IF(NOT(Paths!$C$40=1),0,IF(Paths!$P$40="Complete",IF(C373=0,0,VLOOKUP(A373,'Fleet register'!$A$7:$S$106,9,FALSE)*Paths!$R$40),"n.a."))</f>
        <v>0</v>
      </c>
    </row>
    <row r="374" spans="1:20" ht="24" customHeight="1">
      <c r="A374" s="1" t="str">
        <f>Paths!$A$40</f>
        <v>T009</v>
      </c>
      <c r="B374" s="1">
        <f>Paths!$B$40</f>
        <v>1</v>
      </c>
      <c r="C374" s="1">
        <v>4</v>
      </c>
      <c r="D374" s="1">
        <v>40</v>
      </c>
      <c r="E374" s="1">
        <f>IF(OR(Paths!$C$40=0,C374=0),0,MAX(0,MIN(C374*12,Paths!$E$40)-(C374-1)*12))</f>
        <v>0</v>
      </c>
      <c r="F374" s="1">
        <f>IF(OR(Paths!$C$40=0,C374=0),0,12-E374)</f>
        <v>0</v>
      </c>
      <c r="G374" s="16">
        <f>IF(NOT(Paths!$C$40=1),0,IF(Paths!$P$40="Complete",E374/12*(Paths!$J$40*(1+'Operating costs'!$B$51)^MAX(0,C374-1)+Paths!$K$40*(1+'Operating costs'!$B$53)^MAX(0,C374-1)),"n.a."))</f>
        <v>0</v>
      </c>
      <c r="H374" s="16">
        <f>IF(NOT(Paths!$C$40=1),0,IF(Paths!$P$40="Complete",F374/12*(Paths!$L$40*(1+IF(Paths!$D$40="EV",'Operating costs'!$B$52,'Operating costs'!$B$51))^MAX(0,C374-1)+Paths!$M$40*(1+'Operating costs'!$B$53)^MAX(0,C374-1)),"n.a."))</f>
        <v>0</v>
      </c>
      <c r="I374" s="16">
        <f>IF(NOT(Paths!$C$40=1),0,IF(Paths!$P$40="Complete",IF(IF(Paths!$E$40=0,C374=0,AND(C374&gt;0,Paths!$E$40&gt;(C374-1)*12,Paths!$E$40&lt;=C374*12)),Paths!$G$40,0),"n.a."))</f>
        <v>0</v>
      </c>
      <c r="J374" s="16">
        <f>IF(NOT(Paths!$C$40=1),0,IF(Paths!$P$40="Complete",IF(IF(Paths!$E$40=0,C374=0,AND(C374&gt;0,Paths!$E$40&gt;(C374-1)*12,Paths!$E$40&lt;=C374*12)),Paths!$H$40,0),"n.a."))</f>
        <v>0</v>
      </c>
      <c r="K374" s="16">
        <f>IF(NOT(Paths!$C$40=1),0,IF(Paths!$P$40="Complete",IF(IF(Paths!$O$40=0,C374=0,AND(C374&gt;0,Paths!$O$40&gt;(C374-1)*12,Paths!$O$40&lt;=C374*12)),Paths!$N$40,0),"n.a."))</f>
        <v>0</v>
      </c>
      <c r="L374" s="16">
        <f>IF(NOT(Paths!$C$40=1),0,IF(Paths!$P$40="Complete",IF(C374=10,Paths!$I$40,0),"n.a."))</f>
        <v>0</v>
      </c>
      <c r="M374" s="16">
        <f>IF(NOT(Paths!$C$40=1),0,IF(Paths!$P$40="Complete",IF(AND(Paths!$D$40="EV",Paths!$E$40&lt;120,Paths!$E$40+'Operating costs'!$B$65&gt;Paths!$E$40,Paths!$E$40+'Operating costs'!$B$65&lt;=120,IF(Paths!$E$40+'Operating costs'!$B$65=0,C374=0,AND(C374&gt;0,Paths!$E$40+'Operating costs'!$B$65&gt;(C374-1)*12,Paths!$E$40+'Operating costs'!$B$65&lt;=C374*12))),'Operating costs'!$B$64,0)+IF(AND('Operating costs'!$B$67&gt;0,'Operating costs'!$B$67&lt;=120,OR(Paths!$D$40="ICE",'Operating costs'!$B$67&lt;=Paths!$E$40),IF('Operating costs'!$B$67=0,C374=0,AND(C374&gt;0,'Operating costs'!$B$67&gt;(C374-1)*12,'Operating costs'!$B$67&lt;=C374*12))),'Operating costs'!$B$66,0),"n.a."))</f>
        <v>0</v>
      </c>
      <c r="N374" s="16">
        <f>IF(NOT(Paths!$C$40=1),0,IF(Paths!$P$40="Complete",SUM(G374:I374)-J374-K374-L374+M374+IF(C374=0,Paths!$F$40,0)+IF(IF(Paths!$E$40=0,C374=0,AND(C374&gt;0,Paths!$E$40&gt;(C374-1)*12,Paths!$E$40&lt;=C374*12)),VLOOKUP(A374,'Fleet register'!$A$7:$S$106,16,FALSE),0),"n.a."))</f>
        <v>0</v>
      </c>
      <c r="O374" s="16">
        <f>IF(NOT(Paths!$C$40=1),0,IF(Paths!$P$40="Complete",N374-IF(C374=0,Paths!$F$40,0),"n.a."))</f>
        <v>0</v>
      </c>
      <c r="P374" s="16">
        <f>IF(NOT(Paths!$C$40=1),0,IF(Paths!$P$40="Complete",O374+L374,"n.a."))</f>
        <v>0</v>
      </c>
      <c r="Q374" s="16">
        <f>IF(NOT(Paths!$C$40=1),0,IF(Paths!$P$40="Complete",N374*(1+'Operating costs'!$B$54)^-C374,"n.a."))</f>
        <v>0</v>
      </c>
      <c r="R374" s="16">
        <f>IF(NOT(Paths!$C$40=1),0,IF(Paths!$P$40="Complete",IF(AND(C374=0,Paths!$E$40=0),I374-J374-K374+VLOOKUP(A374,'Fleet register'!$A$7:$S$106,15,FALSE)+VLOOKUP(A374,'Fleet register'!$A$7:$S$106,16,FALSE),0),"n.a."))</f>
        <v>0</v>
      </c>
      <c r="S374" s="1">
        <f>IF(NOT(Paths!$C$40=1),0,IF(Paths!$P$40="Complete",IF(C374=0,0,Paths!$S$40*Paths!$R$40),"n.a."))</f>
        <v>0</v>
      </c>
      <c r="T374" s="1">
        <f>IF(NOT(Paths!$C$40=1),0,IF(Paths!$P$40="Complete",IF(C374=0,0,VLOOKUP(A374,'Fleet register'!$A$7:$S$106,9,FALSE)*Paths!$R$40),"n.a."))</f>
        <v>0</v>
      </c>
    </row>
    <row r="375" spans="1:20" ht="24" customHeight="1">
      <c r="A375" s="1" t="str">
        <f>Paths!$A$40</f>
        <v>T009</v>
      </c>
      <c r="B375" s="1">
        <f>Paths!$B$40</f>
        <v>1</v>
      </c>
      <c r="C375" s="1">
        <v>5</v>
      </c>
      <c r="D375" s="1">
        <v>40</v>
      </c>
      <c r="E375" s="1">
        <f>IF(OR(Paths!$C$40=0,C375=0),0,MAX(0,MIN(C375*12,Paths!$E$40)-(C375-1)*12))</f>
        <v>0</v>
      </c>
      <c r="F375" s="1">
        <f>IF(OR(Paths!$C$40=0,C375=0),0,12-E375)</f>
        <v>0</v>
      </c>
      <c r="G375" s="16">
        <f>IF(NOT(Paths!$C$40=1),0,IF(Paths!$P$40="Complete",E375/12*(Paths!$J$40*(1+'Operating costs'!$B$51)^MAX(0,C375-1)+Paths!$K$40*(1+'Operating costs'!$B$53)^MAX(0,C375-1)),"n.a."))</f>
        <v>0</v>
      </c>
      <c r="H375" s="16">
        <f>IF(NOT(Paths!$C$40=1),0,IF(Paths!$P$40="Complete",F375/12*(Paths!$L$40*(1+IF(Paths!$D$40="EV",'Operating costs'!$B$52,'Operating costs'!$B$51))^MAX(0,C375-1)+Paths!$M$40*(1+'Operating costs'!$B$53)^MAX(0,C375-1)),"n.a."))</f>
        <v>0</v>
      </c>
      <c r="I375" s="16">
        <f>IF(NOT(Paths!$C$40=1),0,IF(Paths!$P$40="Complete",IF(IF(Paths!$E$40=0,C375=0,AND(C375&gt;0,Paths!$E$40&gt;(C375-1)*12,Paths!$E$40&lt;=C375*12)),Paths!$G$40,0),"n.a."))</f>
        <v>0</v>
      </c>
      <c r="J375" s="16">
        <f>IF(NOT(Paths!$C$40=1),0,IF(Paths!$P$40="Complete",IF(IF(Paths!$E$40=0,C375=0,AND(C375&gt;0,Paths!$E$40&gt;(C375-1)*12,Paths!$E$40&lt;=C375*12)),Paths!$H$40,0),"n.a."))</f>
        <v>0</v>
      </c>
      <c r="K375" s="16">
        <f>IF(NOT(Paths!$C$40=1),0,IF(Paths!$P$40="Complete",IF(IF(Paths!$O$40=0,C375=0,AND(C375&gt;0,Paths!$O$40&gt;(C375-1)*12,Paths!$O$40&lt;=C375*12)),Paths!$N$40,0),"n.a."))</f>
        <v>0</v>
      </c>
      <c r="L375" s="16">
        <f>IF(NOT(Paths!$C$40=1),0,IF(Paths!$P$40="Complete",IF(C375=10,Paths!$I$40,0),"n.a."))</f>
        <v>0</v>
      </c>
      <c r="M375" s="16">
        <f>IF(NOT(Paths!$C$40=1),0,IF(Paths!$P$40="Complete",IF(AND(Paths!$D$40="EV",Paths!$E$40&lt;120,Paths!$E$40+'Operating costs'!$B$65&gt;Paths!$E$40,Paths!$E$40+'Operating costs'!$B$65&lt;=120,IF(Paths!$E$40+'Operating costs'!$B$65=0,C375=0,AND(C375&gt;0,Paths!$E$40+'Operating costs'!$B$65&gt;(C375-1)*12,Paths!$E$40+'Operating costs'!$B$65&lt;=C375*12))),'Operating costs'!$B$64,0)+IF(AND('Operating costs'!$B$67&gt;0,'Operating costs'!$B$67&lt;=120,OR(Paths!$D$40="ICE",'Operating costs'!$B$67&lt;=Paths!$E$40),IF('Operating costs'!$B$67=0,C375=0,AND(C375&gt;0,'Operating costs'!$B$67&gt;(C375-1)*12,'Operating costs'!$B$67&lt;=C375*12))),'Operating costs'!$B$66,0),"n.a."))</f>
        <v>0</v>
      </c>
      <c r="N375" s="16">
        <f>IF(NOT(Paths!$C$40=1),0,IF(Paths!$P$40="Complete",SUM(G375:I375)-J375-K375-L375+M375+IF(C375=0,Paths!$F$40,0)+IF(IF(Paths!$E$40=0,C375=0,AND(C375&gt;0,Paths!$E$40&gt;(C375-1)*12,Paths!$E$40&lt;=C375*12)),VLOOKUP(A375,'Fleet register'!$A$7:$S$106,16,FALSE),0),"n.a."))</f>
        <v>0</v>
      </c>
      <c r="O375" s="16">
        <f>IF(NOT(Paths!$C$40=1),0,IF(Paths!$P$40="Complete",N375-IF(C375=0,Paths!$F$40,0),"n.a."))</f>
        <v>0</v>
      </c>
      <c r="P375" s="16">
        <f>IF(NOT(Paths!$C$40=1),0,IF(Paths!$P$40="Complete",O375+L375,"n.a."))</f>
        <v>0</v>
      </c>
      <c r="Q375" s="16">
        <f>IF(NOT(Paths!$C$40=1),0,IF(Paths!$P$40="Complete",N375*(1+'Operating costs'!$B$54)^-C375,"n.a."))</f>
        <v>0</v>
      </c>
      <c r="R375" s="16">
        <f>IF(NOT(Paths!$C$40=1),0,IF(Paths!$P$40="Complete",IF(AND(C375=0,Paths!$E$40=0),I375-J375-K375+VLOOKUP(A375,'Fleet register'!$A$7:$S$106,15,FALSE)+VLOOKUP(A375,'Fleet register'!$A$7:$S$106,16,FALSE),0),"n.a."))</f>
        <v>0</v>
      </c>
      <c r="S375" s="1">
        <f>IF(NOT(Paths!$C$40=1),0,IF(Paths!$P$40="Complete",IF(C375=0,0,Paths!$S$40*Paths!$R$40),"n.a."))</f>
        <v>0</v>
      </c>
      <c r="T375" s="1">
        <f>IF(NOT(Paths!$C$40=1),0,IF(Paths!$P$40="Complete",IF(C375=0,0,VLOOKUP(A375,'Fleet register'!$A$7:$S$106,9,FALSE)*Paths!$R$40),"n.a."))</f>
        <v>0</v>
      </c>
    </row>
    <row r="376" spans="1:20" ht="24" customHeight="1">
      <c r="A376" s="1" t="str">
        <f>Paths!$A$40</f>
        <v>T009</v>
      </c>
      <c r="B376" s="1">
        <f>Paths!$B$40</f>
        <v>1</v>
      </c>
      <c r="C376" s="1">
        <v>6</v>
      </c>
      <c r="D376" s="1">
        <v>40</v>
      </c>
      <c r="E376" s="1">
        <f>IF(OR(Paths!$C$40=0,C376=0),0,MAX(0,MIN(C376*12,Paths!$E$40)-(C376-1)*12))</f>
        <v>0</v>
      </c>
      <c r="F376" s="1">
        <f>IF(OR(Paths!$C$40=0,C376=0),0,12-E376)</f>
        <v>0</v>
      </c>
      <c r="G376" s="16">
        <f>IF(NOT(Paths!$C$40=1),0,IF(Paths!$P$40="Complete",E376/12*(Paths!$J$40*(1+'Operating costs'!$B$51)^MAX(0,C376-1)+Paths!$K$40*(1+'Operating costs'!$B$53)^MAX(0,C376-1)),"n.a."))</f>
        <v>0</v>
      </c>
      <c r="H376" s="16">
        <f>IF(NOT(Paths!$C$40=1),0,IF(Paths!$P$40="Complete",F376/12*(Paths!$L$40*(1+IF(Paths!$D$40="EV",'Operating costs'!$B$52,'Operating costs'!$B$51))^MAX(0,C376-1)+Paths!$M$40*(1+'Operating costs'!$B$53)^MAX(0,C376-1)),"n.a."))</f>
        <v>0</v>
      </c>
      <c r="I376" s="16">
        <f>IF(NOT(Paths!$C$40=1),0,IF(Paths!$P$40="Complete",IF(IF(Paths!$E$40=0,C376=0,AND(C376&gt;0,Paths!$E$40&gt;(C376-1)*12,Paths!$E$40&lt;=C376*12)),Paths!$G$40,0),"n.a."))</f>
        <v>0</v>
      </c>
      <c r="J376" s="16">
        <f>IF(NOT(Paths!$C$40=1),0,IF(Paths!$P$40="Complete",IF(IF(Paths!$E$40=0,C376=0,AND(C376&gt;0,Paths!$E$40&gt;(C376-1)*12,Paths!$E$40&lt;=C376*12)),Paths!$H$40,0),"n.a."))</f>
        <v>0</v>
      </c>
      <c r="K376" s="16">
        <f>IF(NOT(Paths!$C$40=1),0,IF(Paths!$P$40="Complete",IF(IF(Paths!$O$40=0,C376=0,AND(C376&gt;0,Paths!$O$40&gt;(C376-1)*12,Paths!$O$40&lt;=C376*12)),Paths!$N$40,0),"n.a."))</f>
        <v>0</v>
      </c>
      <c r="L376" s="16">
        <f>IF(NOT(Paths!$C$40=1),0,IF(Paths!$P$40="Complete",IF(C376=10,Paths!$I$40,0),"n.a."))</f>
        <v>0</v>
      </c>
      <c r="M376" s="16">
        <f>IF(NOT(Paths!$C$40=1),0,IF(Paths!$P$40="Complete",IF(AND(Paths!$D$40="EV",Paths!$E$40&lt;120,Paths!$E$40+'Operating costs'!$B$65&gt;Paths!$E$40,Paths!$E$40+'Operating costs'!$B$65&lt;=120,IF(Paths!$E$40+'Operating costs'!$B$65=0,C376=0,AND(C376&gt;0,Paths!$E$40+'Operating costs'!$B$65&gt;(C376-1)*12,Paths!$E$40+'Operating costs'!$B$65&lt;=C376*12))),'Operating costs'!$B$64,0)+IF(AND('Operating costs'!$B$67&gt;0,'Operating costs'!$B$67&lt;=120,OR(Paths!$D$40="ICE",'Operating costs'!$B$67&lt;=Paths!$E$40),IF('Operating costs'!$B$67=0,C376=0,AND(C376&gt;0,'Operating costs'!$B$67&gt;(C376-1)*12,'Operating costs'!$B$67&lt;=C376*12))),'Operating costs'!$B$66,0),"n.a."))</f>
        <v>0</v>
      </c>
      <c r="N376" s="16">
        <f>IF(NOT(Paths!$C$40=1),0,IF(Paths!$P$40="Complete",SUM(G376:I376)-J376-K376-L376+M376+IF(C376=0,Paths!$F$40,0)+IF(IF(Paths!$E$40=0,C376=0,AND(C376&gt;0,Paths!$E$40&gt;(C376-1)*12,Paths!$E$40&lt;=C376*12)),VLOOKUP(A376,'Fleet register'!$A$7:$S$106,16,FALSE),0),"n.a."))</f>
        <v>0</v>
      </c>
      <c r="O376" s="16">
        <f>IF(NOT(Paths!$C$40=1),0,IF(Paths!$P$40="Complete",N376-IF(C376=0,Paths!$F$40,0),"n.a."))</f>
        <v>0</v>
      </c>
      <c r="P376" s="16">
        <f>IF(NOT(Paths!$C$40=1),0,IF(Paths!$P$40="Complete",O376+L376,"n.a."))</f>
        <v>0</v>
      </c>
      <c r="Q376" s="16">
        <f>IF(NOT(Paths!$C$40=1),0,IF(Paths!$P$40="Complete",N376*(1+'Operating costs'!$B$54)^-C376,"n.a."))</f>
        <v>0</v>
      </c>
      <c r="R376" s="16">
        <f>IF(NOT(Paths!$C$40=1),0,IF(Paths!$P$40="Complete",IF(AND(C376=0,Paths!$E$40=0),I376-J376-K376+VLOOKUP(A376,'Fleet register'!$A$7:$S$106,15,FALSE)+VLOOKUP(A376,'Fleet register'!$A$7:$S$106,16,FALSE),0),"n.a."))</f>
        <v>0</v>
      </c>
      <c r="S376" s="1">
        <f>IF(NOT(Paths!$C$40=1),0,IF(Paths!$P$40="Complete",IF(C376=0,0,Paths!$S$40*Paths!$R$40),"n.a."))</f>
        <v>0</v>
      </c>
      <c r="T376" s="1">
        <f>IF(NOT(Paths!$C$40=1),0,IF(Paths!$P$40="Complete",IF(C376=0,0,VLOOKUP(A376,'Fleet register'!$A$7:$S$106,9,FALSE)*Paths!$R$40),"n.a."))</f>
        <v>0</v>
      </c>
    </row>
    <row r="377" spans="1:20" ht="24" customHeight="1">
      <c r="A377" s="1" t="str">
        <f>Paths!$A$40</f>
        <v>T009</v>
      </c>
      <c r="B377" s="1">
        <f>Paths!$B$40</f>
        <v>1</v>
      </c>
      <c r="C377" s="1">
        <v>7</v>
      </c>
      <c r="D377" s="1">
        <v>40</v>
      </c>
      <c r="E377" s="1">
        <f>IF(OR(Paths!$C$40=0,C377=0),0,MAX(0,MIN(C377*12,Paths!$E$40)-(C377-1)*12))</f>
        <v>0</v>
      </c>
      <c r="F377" s="1">
        <f>IF(OR(Paths!$C$40=0,C377=0),0,12-E377)</f>
        <v>0</v>
      </c>
      <c r="G377" s="16">
        <f>IF(NOT(Paths!$C$40=1),0,IF(Paths!$P$40="Complete",E377/12*(Paths!$J$40*(1+'Operating costs'!$B$51)^MAX(0,C377-1)+Paths!$K$40*(1+'Operating costs'!$B$53)^MAX(0,C377-1)),"n.a."))</f>
        <v>0</v>
      </c>
      <c r="H377" s="16">
        <f>IF(NOT(Paths!$C$40=1),0,IF(Paths!$P$40="Complete",F377/12*(Paths!$L$40*(1+IF(Paths!$D$40="EV",'Operating costs'!$B$52,'Operating costs'!$B$51))^MAX(0,C377-1)+Paths!$M$40*(1+'Operating costs'!$B$53)^MAX(0,C377-1)),"n.a."))</f>
        <v>0</v>
      </c>
      <c r="I377" s="16">
        <f>IF(NOT(Paths!$C$40=1),0,IF(Paths!$P$40="Complete",IF(IF(Paths!$E$40=0,C377=0,AND(C377&gt;0,Paths!$E$40&gt;(C377-1)*12,Paths!$E$40&lt;=C377*12)),Paths!$G$40,0),"n.a."))</f>
        <v>0</v>
      </c>
      <c r="J377" s="16">
        <f>IF(NOT(Paths!$C$40=1),0,IF(Paths!$P$40="Complete",IF(IF(Paths!$E$40=0,C377=0,AND(C377&gt;0,Paths!$E$40&gt;(C377-1)*12,Paths!$E$40&lt;=C377*12)),Paths!$H$40,0),"n.a."))</f>
        <v>0</v>
      </c>
      <c r="K377" s="16">
        <f>IF(NOT(Paths!$C$40=1),0,IF(Paths!$P$40="Complete",IF(IF(Paths!$O$40=0,C377=0,AND(C377&gt;0,Paths!$O$40&gt;(C377-1)*12,Paths!$O$40&lt;=C377*12)),Paths!$N$40,0),"n.a."))</f>
        <v>0</v>
      </c>
      <c r="L377" s="16">
        <f>IF(NOT(Paths!$C$40=1),0,IF(Paths!$P$40="Complete",IF(C377=10,Paths!$I$40,0),"n.a."))</f>
        <v>0</v>
      </c>
      <c r="M377" s="16">
        <f>IF(NOT(Paths!$C$40=1),0,IF(Paths!$P$40="Complete",IF(AND(Paths!$D$40="EV",Paths!$E$40&lt;120,Paths!$E$40+'Operating costs'!$B$65&gt;Paths!$E$40,Paths!$E$40+'Operating costs'!$B$65&lt;=120,IF(Paths!$E$40+'Operating costs'!$B$65=0,C377=0,AND(C377&gt;0,Paths!$E$40+'Operating costs'!$B$65&gt;(C377-1)*12,Paths!$E$40+'Operating costs'!$B$65&lt;=C377*12))),'Operating costs'!$B$64,0)+IF(AND('Operating costs'!$B$67&gt;0,'Operating costs'!$B$67&lt;=120,OR(Paths!$D$40="ICE",'Operating costs'!$B$67&lt;=Paths!$E$40),IF('Operating costs'!$B$67=0,C377=0,AND(C377&gt;0,'Operating costs'!$B$67&gt;(C377-1)*12,'Operating costs'!$B$67&lt;=C377*12))),'Operating costs'!$B$66,0),"n.a."))</f>
        <v>0</v>
      </c>
      <c r="N377" s="16">
        <f>IF(NOT(Paths!$C$40=1),0,IF(Paths!$P$40="Complete",SUM(G377:I377)-J377-K377-L377+M377+IF(C377=0,Paths!$F$40,0)+IF(IF(Paths!$E$40=0,C377=0,AND(C377&gt;0,Paths!$E$40&gt;(C377-1)*12,Paths!$E$40&lt;=C377*12)),VLOOKUP(A377,'Fleet register'!$A$7:$S$106,16,FALSE),0),"n.a."))</f>
        <v>0</v>
      </c>
      <c r="O377" s="16">
        <f>IF(NOT(Paths!$C$40=1),0,IF(Paths!$P$40="Complete",N377-IF(C377=0,Paths!$F$40,0),"n.a."))</f>
        <v>0</v>
      </c>
      <c r="P377" s="16">
        <f>IF(NOT(Paths!$C$40=1),0,IF(Paths!$P$40="Complete",O377+L377,"n.a."))</f>
        <v>0</v>
      </c>
      <c r="Q377" s="16">
        <f>IF(NOT(Paths!$C$40=1),0,IF(Paths!$P$40="Complete",N377*(1+'Operating costs'!$B$54)^-C377,"n.a."))</f>
        <v>0</v>
      </c>
      <c r="R377" s="16">
        <f>IF(NOT(Paths!$C$40=1),0,IF(Paths!$P$40="Complete",IF(AND(C377=0,Paths!$E$40=0),I377-J377-K377+VLOOKUP(A377,'Fleet register'!$A$7:$S$106,15,FALSE)+VLOOKUP(A377,'Fleet register'!$A$7:$S$106,16,FALSE),0),"n.a."))</f>
        <v>0</v>
      </c>
      <c r="S377" s="1">
        <f>IF(NOT(Paths!$C$40=1),0,IF(Paths!$P$40="Complete",IF(C377=0,0,Paths!$S$40*Paths!$R$40),"n.a."))</f>
        <v>0</v>
      </c>
      <c r="T377" s="1">
        <f>IF(NOT(Paths!$C$40=1),0,IF(Paths!$P$40="Complete",IF(C377=0,0,VLOOKUP(A377,'Fleet register'!$A$7:$S$106,9,FALSE)*Paths!$R$40),"n.a."))</f>
        <v>0</v>
      </c>
    </row>
    <row r="378" spans="1:20" ht="24" customHeight="1">
      <c r="A378" s="1" t="str">
        <f>Paths!$A$40</f>
        <v>T009</v>
      </c>
      <c r="B378" s="1">
        <f>Paths!$B$40</f>
        <v>1</v>
      </c>
      <c r="C378" s="1">
        <v>8</v>
      </c>
      <c r="D378" s="1">
        <v>40</v>
      </c>
      <c r="E378" s="1">
        <f>IF(OR(Paths!$C$40=0,C378=0),0,MAX(0,MIN(C378*12,Paths!$E$40)-(C378-1)*12))</f>
        <v>0</v>
      </c>
      <c r="F378" s="1">
        <f>IF(OR(Paths!$C$40=0,C378=0),0,12-E378)</f>
        <v>0</v>
      </c>
      <c r="G378" s="16">
        <f>IF(NOT(Paths!$C$40=1),0,IF(Paths!$P$40="Complete",E378/12*(Paths!$J$40*(1+'Operating costs'!$B$51)^MAX(0,C378-1)+Paths!$K$40*(1+'Operating costs'!$B$53)^MAX(0,C378-1)),"n.a."))</f>
        <v>0</v>
      </c>
      <c r="H378" s="16">
        <f>IF(NOT(Paths!$C$40=1),0,IF(Paths!$P$40="Complete",F378/12*(Paths!$L$40*(1+IF(Paths!$D$40="EV",'Operating costs'!$B$52,'Operating costs'!$B$51))^MAX(0,C378-1)+Paths!$M$40*(1+'Operating costs'!$B$53)^MAX(0,C378-1)),"n.a."))</f>
        <v>0</v>
      </c>
      <c r="I378" s="16">
        <f>IF(NOT(Paths!$C$40=1),0,IF(Paths!$P$40="Complete",IF(IF(Paths!$E$40=0,C378=0,AND(C378&gt;0,Paths!$E$40&gt;(C378-1)*12,Paths!$E$40&lt;=C378*12)),Paths!$G$40,0),"n.a."))</f>
        <v>0</v>
      </c>
      <c r="J378" s="16">
        <f>IF(NOT(Paths!$C$40=1),0,IF(Paths!$P$40="Complete",IF(IF(Paths!$E$40=0,C378=0,AND(C378&gt;0,Paths!$E$40&gt;(C378-1)*12,Paths!$E$40&lt;=C378*12)),Paths!$H$40,0),"n.a."))</f>
        <v>0</v>
      </c>
      <c r="K378" s="16">
        <f>IF(NOT(Paths!$C$40=1),0,IF(Paths!$P$40="Complete",IF(IF(Paths!$O$40=0,C378=0,AND(C378&gt;0,Paths!$O$40&gt;(C378-1)*12,Paths!$O$40&lt;=C378*12)),Paths!$N$40,0),"n.a."))</f>
        <v>0</v>
      </c>
      <c r="L378" s="16">
        <f>IF(NOT(Paths!$C$40=1),0,IF(Paths!$P$40="Complete",IF(C378=10,Paths!$I$40,0),"n.a."))</f>
        <v>0</v>
      </c>
      <c r="M378" s="16">
        <f>IF(NOT(Paths!$C$40=1),0,IF(Paths!$P$40="Complete",IF(AND(Paths!$D$40="EV",Paths!$E$40&lt;120,Paths!$E$40+'Operating costs'!$B$65&gt;Paths!$E$40,Paths!$E$40+'Operating costs'!$B$65&lt;=120,IF(Paths!$E$40+'Operating costs'!$B$65=0,C378=0,AND(C378&gt;0,Paths!$E$40+'Operating costs'!$B$65&gt;(C378-1)*12,Paths!$E$40+'Operating costs'!$B$65&lt;=C378*12))),'Operating costs'!$B$64,0)+IF(AND('Operating costs'!$B$67&gt;0,'Operating costs'!$B$67&lt;=120,OR(Paths!$D$40="ICE",'Operating costs'!$B$67&lt;=Paths!$E$40),IF('Operating costs'!$B$67=0,C378=0,AND(C378&gt;0,'Operating costs'!$B$67&gt;(C378-1)*12,'Operating costs'!$B$67&lt;=C378*12))),'Operating costs'!$B$66,0),"n.a."))</f>
        <v>0</v>
      </c>
      <c r="N378" s="16">
        <f>IF(NOT(Paths!$C$40=1),0,IF(Paths!$P$40="Complete",SUM(G378:I378)-J378-K378-L378+M378+IF(C378=0,Paths!$F$40,0)+IF(IF(Paths!$E$40=0,C378=0,AND(C378&gt;0,Paths!$E$40&gt;(C378-1)*12,Paths!$E$40&lt;=C378*12)),VLOOKUP(A378,'Fleet register'!$A$7:$S$106,16,FALSE),0),"n.a."))</f>
        <v>0</v>
      </c>
      <c r="O378" s="16">
        <f>IF(NOT(Paths!$C$40=1),0,IF(Paths!$P$40="Complete",N378-IF(C378=0,Paths!$F$40,0),"n.a."))</f>
        <v>0</v>
      </c>
      <c r="P378" s="16">
        <f>IF(NOT(Paths!$C$40=1),0,IF(Paths!$P$40="Complete",O378+L378,"n.a."))</f>
        <v>0</v>
      </c>
      <c r="Q378" s="16">
        <f>IF(NOT(Paths!$C$40=1),0,IF(Paths!$P$40="Complete",N378*(1+'Operating costs'!$B$54)^-C378,"n.a."))</f>
        <v>0</v>
      </c>
      <c r="R378" s="16">
        <f>IF(NOT(Paths!$C$40=1),0,IF(Paths!$P$40="Complete",IF(AND(C378=0,Paths!$E$40=0),I378-J378-K378+VLOOKUP(A378,'Fleet register'!$A$7:$S$106,15,FALSE)+VLOOKUP(A378,'Fleet register'!$A$7:$S$106,16,FALSE),0),"n.a."))</f>
        <v>0</v>
      </c>
      <c r="S378" s="1">
        <f>IF(NOT(Paths!$C$40=1),0,IF(Paths!$P$40="Complete",IF(C378=0,0,Paths!$S$40*Paths!$R$40),"n.a."))</f>
        <v>0</v>
      </c>
      <c r="T378" s="1">
        <f>IF(NOT(Paths!$C$40=1),0,IF(Paths!$P$40="Complete",IF(C378=0,0,VLOOKUP(A378,'Fleet register'!$A$7:$S$106,9,FALSE)*Paths!$R$40),"n.a."))</f>
        <v>0</v>
      </c>
    </row>
    <row r="379" spans="1:20" ht="24" customHeight="1">
      <c r="A379" s="1" t="str">
        <f>Paths!$A$40</f>
        <v>T009</v>
      </c>
      <c r="B379" s="1">
        <f>Paths!$B$40</f>
        <v>1</v>
      </c>
      <c r="C379" s="1">
        <v>9</v>
      </c>
      <c r="D379" s="1">
        <v>40</v>
      </c>
      <c r="E379" s="1">
        <f>IF(OR(Paths!$C$40=0,C379=0),0,MAX(0,MIN(C379*12,Paths!$E$40)-(C379-1)*12))</f>
        <v>0</v>
      </c>
      <c r="F379" s="1">
        <f>IF(OR(Paths!$C$40=0,C379=0),0,12-E379)</f>
        <v>0</v>
      </c>
      <c r="G379" s="16">
        <f>IF(NOT(Paths!$C$40=1),0,IF(Paths!$P$40="Complete",E379/12*(Paths!$J$40*(1+'Operating costs'!$B$51)^MAX(0,C379-1)+Paths!$K$40*(1+'Operating costs'!$B$53)^MAX(0,C379-1)),"n.a."))</f>
        <v>0</v>
      </c>
      <c r="H379" s="16">
        <f>IF(NOT(Paths!$C$40=1),0,IF(Paths!$P$40="Complete",F379/12*(Paths!$L$40*(1+IF(Paths!$D$40="EV",'Operating costs'!$B$52,'Operating costs'!$B$51))^MAX(0,C379-1)+Paths!$M$40*(1+'Operating costs'!$B$53)^MAX(0,C379-1)),"n.a."))</f>
        <v>0</v>
      </c>
      <c r="I379" s="16">
        <f>IF(NOT(Paths!$C$40=1),0,IF(Paths!$P$40="Complete",IF(IF(Paths!$E$40=0,C379=0,AND(C379&gt;0,Paths!$E$40&gt;(C379-1)*12,Paths!$E$40&lt;=C379*12)),Paths!$G$40,0),"n.a."))</f>
        <v>0</v>
      </c>
      <c r="J379" s="16">
        <f>IF(NOT(Paths!$C$40=1),0,IF(Paths!$P$40="Complete",IF(IF(Paths!$E$40=0,C379=0,AND(C379&gt;0,Paths!$E$40&gt;(C379-1)*12,Paths!$E$40&lt;=C379*12)),Paths!$H$40,0),"n.a."))</f>
        <v>0</v>
      </c>
      <c r="K379" s="16">
        <f>IF(NOT(Paths!$C$40=1),0,IF(Paths!$P$40="Complete",IF(IF(Paths!$O$40=0,C379=0,AND(C379&gt;0,Paths!$O$40&gt;(C379-1)*12,Paths!$O$40&lt;=C379*12)),Paths!$N$40,0),"n.a."))</f>
        <v>0</v>
      </c>
      <c r="L379" s="16">
        <f>IF(NOT(Paths!$C$40=1),0,IF(Paths!$P$40="Complete",IF(C379=10,Paths!$I$40,0),"n.a."))</f>
        <v>0</v>
      </c>
      <c r="M379" s="16">
        <f>IF(NOT(Paths!$C$40=1),0,IF(Paths!$P$40="Complete",IF(AND(Paths!$D$40="EV",Paths!$E$40&lt;120,Paths!$E$40+'Operating costs'!$B$65&gt;Paths!$E$40,Paths!$E$40+'Operating costs'!$B$65&lt;=120,IF(Paths!$E$40+'Operating costs'!$B$65=0,C379=0,AND(C379&gt;0,Paths!$E$40+'Operating costs'!$B$65&gt;(C379-1)*12,Paths!$E$40+'Operating costs'!$B$65&lt;=C379*12))),'Operating costs'!$B$64,0)+IF(AND('Operating costs'!$B$67&gt;0,'Operating costs'!$B$67&lt;=120,OR(Paths!$D$40="ICE",'Operating costs'!$B$67&lt;=Paths!$E$40),IF('Operating costs'!$B$67=0,C379=0,AND(C379&gt;0,'Operating costs'!$B$67&gt;(C379-1)*12,'Operating costs'!$B$67&lt;=C379*12))),'Operating costs'!$B$66,0),"n.a."))</f>
        <v>0</v>
      </c>
      <c r="N379" s="16">
        <f>IF(NOT(Paths!$C$40=1),0,IF(Paths!$P$40="Complete",SUM(G379:I379)-J379-K379-L379+M379+IF(C379=0,Paths!$F$40,0)+IF(IF(Paths!$E$40=0,C379=0,AND(C379&gt;0,Paths!$E$40&gt;(C379-1)*12,Paths!$E$40&lt;=C379*12)),VLOOKUP(A379,'Fleet register'!$A$7:$S$106,16,FALSE),0),"n.a."))</f>
        <v>0</v>
      </c>
      <c r="O379" s="16">
        <f>IF(NOT(Paths!$C$40=1),0,IF(Paths!$P$40="Complete",N379-IF(C379=0,Paths!$F$40,0),"n.a."))</f>
        <v>0</v>
      </c>
      <c r="P379" s="16">
        <f>IF(NOT(Paths!$C$40=1),0,IF(Paths!$P$40="Complete",O379+L379,"n.a."))</f>
        <v>0</v>
      </c>
      <c r="Q379" s="16">
        <f>IF(NOT(Paths!$C$40=1),0,IF(Paths!$P$40="Complete",N379*(1+'Operating costs'!$B$54)^-C379,"n.a."))</f>
        <v>0</v>
      </c>
      <c r="R379" s="16">
        <f>IF(NOT(Paths!$C$40=1),0,IF(Paths!$P$40="Complete",IF(AND(C379=0,Paths!$E$40=0),I379-J379-K379+VLOOKUP(A379,'Fleet register'!$A$7:$S$106,15,FALSE)+VLOOKUP(A379,'Fleet register'!$A$7:$S$106,16,FALSE),0),"n.a."))</f>
        <v>0</v>
      </c>
      <c r="S379" s="1">
        <f>IF(NOT(Paths!$C$40=1),0,IF(Paths!$P$40="Complete",IF(C379=0,0,Paths!$S$40*Paths!$R$40),"n.a."))</f>
        <v>0</v>
      </c>
      <c r="T379" s="1">
        <f>IF(NOT(Paths!$C$40=1),0,IF(Paths!$P$40="Complete",IF(C379=0,0,VLOOKUP(A379,'Fleet register'!$A$7:$S$106,9,FALSE)*Paths!$R$40),"n.a."))</f>
        <v>0</v>
      </c>
    </row>
    <row r="380" spans="1:20" ht="24" customHeight="1">
      <c r="A380" s="1" t="str">
        <f>Paths!$A$40</f>
        <v>T009</v>
      </c>
      <c r="B380" s="1">
        <f>Paths!$B$40</f>
        <v>1</v>
      </c>
      <c r="C380" s="1">
        <v>10</v>
      </c>
      <c r="D380" s="1">
        <v>40</v>
      </c>
      <c r="E380" s="1">
        <f>IF(OR(Paths!$C$40=0,C380=0),0,MAX(0,MIN(C380*12,Paths!$E$40)-(C380-1)*12))</f>
        <v>0</v>
      </c>
      <c r="F380" s="1">
        <f>IF(OR(Paths!$C$40=0,C380=0),0,12-E380)</f>
        <v>0</v>
      </c>
      <c r="G380" s="16">
        <f>IF(NOT(Paths!$C$40=1),0,IF(Paths!$P$40="Complete",E380/12*(Paths!$J$40*(1+'Operating costs'!$B$51)^MAX(0,C380-1)+Paths!$K$40*(1+'Operating costs'!$B$53)^MAX(0,C380-1)),"n.a."))</f>
        <v>0</v>
      </c>
      <c r="H380" s="16">
        <f>IF(NOT(Paths!$C$40=1),0,IF(Paths!$P$40="Complete",F380/12*(Paths!$L$40*(1+IF(Paths!$D$40="EV",'Operating costs'!$B$52,'Operating costs'!$B$51))^MAX(0,C380-1)+Paths!$M$40*(1+'Operating costs'!$B$53)^MAX(0,C380-1)),"n.a."))</f>
        <v>0</v>
      </c>
      <c r="I380" s="16">
        <f>IF(NOT(Paths!$C$40=1),0,IF(Paths!$P$40="Complete",IF(IF(Paths!$E$40=0,C380=0,AND(C380&gt;0,Paths!$E$40&gt;(C380-1)*12,Paths!$E$40&lt;=C380*12)),Paths!$G$40,0),"n.a."))</f>
        <v>0</v>
      </c>
      <c r="J380" s="16">
        <f>IF(NOT(Paths!$C$40=1),0,IF(Paths!$P$40="Complete",IF(IF(Paths!$E$40=0,C380=0,AND(C380&gt;0,Paths!$E$40&gt;(C380-1)*12,Paths!$E$40&lt;=C380*12)),Paths!$H$40,0),"n.a."))</f>
        <v>0</v>
      </c>
      <c r="K380" s="16">
        <f>IF(NOT(Paths!$C$40=1),0,IF(Paths!$P$40="Complete",IF(IF(Paths!$O$40=0,C380=0,AND(C380&gt;0,Paths!$O$40&gt;(C380-1)*12,Paths!$O$40&lt;=C380*12)),Paths!$N$40,0),"n.a."))</f>
        <v>0</v>
      </c>
      <c r="L380" s="16">
        <f>IF(NOT(Paths!$C$40=1),0,IF(Paths!$P$40="Complete",IF(C380=10,Paths!$I$40,0),"n.a."))</f>
        <v>0</v>
      </c>
      <c r="M380" s="16">
        <f>IF(NOT(Paths!$C$40=1),0,IF(Paths!$P$40="Complete",IF(AND(Paths!$D$40="EV",Paths!$E$40&lt;120,Paths!$E$40+'Operating costs'!$B$65&gt;Paths!$E$40,Paths!$E$40+'Operating costs'!$B$65&lt;=120,IF(Paths!$E$40+'Operating costs'!$B$65=0,C380=0,AND(C380&gt;0,Paths!$E$40+'Operating costs'!$B$65&gt;(C380-1)*12,Paths!$E$40+'Operating costs'!$B$65&lt;=C380*12))),'Operating costs'!$B$64,0)+IF(AND('Operating costs'!$B$67&gt;0,'Operating costs'!$B$67&lt;=120,OR(Paths!$D$40="ICE",'Operating costs'!$B$67&lt;=Paths!$E$40),IF('Operating costs'!$B$67=0,C380=0,AND(C380&gt;0,'Operating costs'!$B$67&gt;(C380-1)*12,'Operating costs'!$B$67&lt;=C380*12))),'Operating costs'!$B$66,0),"n.a."))</f>
        <v>0</v>
      </c>
      <c r="N380" s="16">
        <f>IF(NOT(Paths!$C$40=1),0,IF(Paths!$P$40="Complete",SUM(G380:I380)-J380-K380-L380+M380+IF(C380=0,Paths!$F$40,0)+IF(IF(Paths!$E$40=0,C380=0,AND(C380&gt;0,Paths!$E$40&gt;(C380-1)*12,Paths!$E$40&lt;=C380*12)),VLOOKUP(A380,'Fleet register'!$A$7:$S$106,16,FALSE),0),"n.a."))</f>
        <v>0</v>
      </c>
      <c r="O380" s="16">
        <f>IF(NOT(Paths!$C$40=1),0,IF(Paths!$P$40="Complete",N380-IF(C380=0,Paths!$F$40,0),"n.a."))</f>
        <v>0</v>
      </c>
      <c r="P380" s="16">
        <f>IF(NOT(Paths!$C$40=1),0,IF(Paths!$P$40="Complete",O380+L380,"n.a."))</f>
        <v>0</v>
      </c>
      <c r="Q380" s="16">
        <f>IF(NOT(Paths!$C$40=1),0,IF(Paths!$P$40="Complete",N380*(1+'Operating costs'!$B$54)^-C380,"n.a."))</f>
        <v>0</v>
      </c>
      <c r="R380" s="16">
        <f>IF(NOT(Paths!$C$40=1),0,IF(Paths!$P$40="Complete",IF(AND(C380=0,Paths!$E$40=0),I380-J380-K380+VLOOKUP(A380,'Fleet register'!$A$7:$S$106,15,FALSE)+VLOOKUP(A380,'Fleet register'!$A$7:$S$106,16,FALSE),0),"n.a."))</f>
        <v>0</v>
      </c>
      <c r="S380" s="1">
        <f>IF(NOT(Paths!$C$40=1),0,IF(Paths!$P$40="Complete",IF(C380=0,0,Paths!$S$40*Paths!$R$40),"n.a."))</f>
        <v>0</v>
      </c>
      <c r="T380" s="1">
        <f>IF(NOT(Paths!$C$40=1),0,IF(Paths!$P$40="Complete",IF(C380=0,0,VLOOKUP(A380,'Fleet register'!$A$7:$S$106,9,FALSE)*Paths!$R$40),"n.a."))</f>
        <v>0</v>
      </c>
    </row>
    <row r="381" spans="1:20" ht="24" customHeight="1">
      <c r="A381" s="1" t="str">
        <f>Paths!$A$41</f>
        <v>T009</v>
      </c>
      <c r="B381" s="1">
        <f>Paths!$B$41</f>
        <v>2</v>
      </c>
      <c r="C381" s="1">
        <v>0</v>
      </c>
      <c r="D381" s="1">
        <v>41</v>
      </c>
      <c r="E381" s="1">
        <f>IF(OR(Paths!$C$41=0,C381=0),0,MAX(0,MIN(C381*12,Paths!$E$41)-(C381-1)*12))</f>
        <v>0</v>
      </c>
      <c r="F381" s="1">
        <f>IF(OR(Paths!$C$41=0,C381=0),0,12-E381)</f>
        <v>0</v>
      </c>
      <c r="G381" s="16">
        <f>IF(NOT(Paths!$C$41=1),0,IF(Paths!$P$41="Complete",E381/12*(Paths!$J$41*(1+'Operating costs'!$B$51)^MAX(0,C381-1)+Paths!$K$41*(1+'Operating costs'!$B$53)^MAX(0,C381-1)),"n.a."))</f>
        <v>0</v>
      </c>
      <c r="H381" s="16">
        <f>IF(NOT(Paths!$C$41=1),0,IF(Paths!$P$41="Complete",F381/12*(Paths!$L$41*(1+IF(Paths!$D$41="EV",'Operating costs'!$B$52,'Operating costs'!$B$51))^MAX(0,C381-1)+Paths!$M$41*(1+'Operating costs'!$B$53)^MAX(0,C381-1)),"n.a."))</f>
        <v>0</v>
      </c>
      <c r="I381" s="16">
        <f>IF(NOT(Paths!$C$41=1),0,IF(Paths!$P$41="Complete",IF(IF(Paths!$E$41=0,C381=0,AND(C381&gt;0,Paths!$E$41&gt;(C381-1)*12,Paths!$E$41&lt;=C381*12)),Paths!$G$41,0),"n.a."))</f>
        <v>0</v>
      </c>
      <c r="J381" s="16">
        <f>IF(NOT(Paths!$C$41=1),0,IF(Paths!$P$41="Complete",IF(IF(Paths!$E$41=0,C381=0,AND(C381&gt;0,Paths!$E$41&gt;(C381-1)*12,Paths!$E$41&lt;=C381*12)),Paths!$H$41,0),"n.a."))</f>
        <v>0</v>
      </c>
      <c r="K381" s="16">
        <f>IF(NOT(Paths!$C$41=1),0,IF(Paths!$P$41="Complete",IF(IF(Paths!$O$41=0,C381=0,AND(C381&gt;0,Paths!$O$41&gt;(C381-1)*12,Paths!$O$41&lt;=C381*12)),Paths!$N$41,0),"n.a."))</f>
        <v>0</v>
      </c>
      <c r="L381" s="16">
        <f>IF(NOT(Paths!$C$41=1),0,IF(Paths!$P$41="Complete",IF(C381=10,Paths!$I$41,0),"n.a."))</f>
        <v>0</v>
      </c>
      <c r="M381" s="16">
        <f>IF(NOT(Paths!$C$41=1),0,IF(Paths!$P$41="Complete",IF(AND(Paths!$D$41="EV",Paths!$E$41&lt;120,Paths!$E$41+'Operating costs'!$B$65&gt;Paths!$E$41,Paths!$E$41+'Operating costs'!$B$65&lt;=120,IF(Paths!$E$41+'Operating costs'!$B$65=0,C381=0,AND(C381&gt;0,Paths!$E$41+'Operating costs'!$B$65&gt;(C381-1)*12,Paths!$E$41+'Operating costs'!$B$65&lt;=C381*12))),'Operating costs'!$B$64,0)+IF(AND('Operating costs'!$B$67&gt;0,'Operating costs'!$B$67&lt;=120,OR(Paths!$D$41="ICE",'Operating costs'!$B$67&lt;=Paths!$E$41),IF('Operating costs'!$B$67=0,C381=0,AND(C381&gt;0,'Operating costs'!$B$67&gt;(C381-1)*12,'Operating costs'!$B$67&lt;=C381*12))),'Operating costs'!$B$66,0),"n.a."))</f>
        <v>0</v>
      </c>
      <c r="N381" s="16">
        <f>IF(NOT(Paths!$C$41=1),0,IF(Paths!$P$41="Complete",SUM(G381:I381)-J381-K381-L381+M381+IF(C381=0,Paths!$F$41,0)+IF(IF(Paths!$E$41=0,C381=0,AND(C381&gt;0,Paths!$E$41&gt;(C381-1)*12,Paths!$E$41&lt;=C381*12)),VLOOKUP(A381,'Fleet register'!$A$7:$S$106,16,FALSE),0),"n.a."))</f>
        <v>0</v>
      </c>
      <c r="O381" s="16">
        <f>IF(NOT(Paths!$C$41=1),0,IF(Paths!$P$41="Complete",N381-IF(C381=0,Paths!$F$41,0),"n.a."))</f>
        <v>0</v>
      </c>
      <c r="P381" s="16">
        <f>IF(NOT(Paths!$C$41=1),0,IF(Paths!$P$41="Complete",O381+L381,"n.a."))</f>
        <v>0</v>
      </c>
      <c r="Q381" s="16">
        <f>IF(NOT(Paths!$C$41=1),0,IF(Paths!$P$41="Complete",N381*(1+'Operating costs'!$B$54)^-C381,"n.a."))</f>
        <v>0</v>
      </c>
      <c r="R381" s="16">
        <f>IF(NOT(Paths!$C$41=1),0,IF(Paths!$P$41="Complete",IF(AND(C381=0,Paths!$E$41=0),I381-J381-K381+VLOOKUP(A381,'Fleet register'!$A$7:$S$106,15,FALSE)+VLOOKUP(A381,'Fleet register'!$A$7:$S$106,16,FALSE),0),"n.a."))</f>
        <v>0</v>
      </c>
      <c r="S381" s="1">
        <f>IF(NOT(Paths!$C$41=1),0,IF(Paths!$P$41="Complete",IF(C381=0,0,Paths!$S$41*Paths!$R$41),"n.a."))</f>
        <v>0</v>
      </c>
      <c r="T381" s="1">
        <f>IF(NOT(Paths!$C$41=1),0,IF(Paths!$P$41="Complete",IF(C381=0,0,VLOOKUP(A381,'Fleet register'!$A$7:$S$106,9,FALSE)*Paths!$R$41),"n.a."))</f>
        <v>0</v>
      </c>
    </row>
    <row r="382" spans="1:20" ht="24" customHeight="1">
      <c r="A382" s="1" t="str">
        <f>Paths!$A$41</f>
        <v>T009</v>
      </c>
      <c r="B382" s="1">
        <f>Paths!$B$41</f>
        <v>2</v>
      </c>
      <c r="C382" s="1">
        <v>1</v>
      </c>
      <c r="D382" s="1">
        <v>41</v>
      </c>
      <c r="E382" s="1">
        <f>IF(OR(Paths!$C$41=0,C382=0),0,MAX(0,MIN(C382*12,Paths!$E$41)-(C382-1)*12))</f>
        <v>0</v>
      </c>
      <c r="F382" s="1">
        <f>IF(OR(Paths!$C$41=0,C382=0),0,12-E382)</f>
        <v>0</v>
      </c>
      <c r="G382" s="16">
        <f>IF(NOT(Paths!$C$41=1),0,IF(Paths!$P$41="Complete",E382/12*(Paths!$J$41*(1+'Operating costs'!$B$51)^MAX(0,C382-1)+Paths!$K$41*(1+'Operating costs'!$B$53)^MAX(0,C382-1)),"n.a."))</f>
        <v>0</v>
      </c>
      <c r="H382" s="16">
        <f>IF(NOT(Paths!$C$41=1),0,IF(Paths!$P$41="Complete",F382/12*(Paths!$L$41*(1+IF(Paths!$D$41="EV",'Operating costs'!$B$52,'Operating costs'!$B$51))^MAX(0,C382-1)+Paths!$M$41*(1+'Operating costs'!$B$53)^MAX(0,C382-1)),"n.a."))</f>
        <v>0</v>
      </c>
      <c r="I382" s="16">
        <f>IF(NOT(Paths!$C$41=1),0,IF(Paths!$P$41="Complete",IF(IF(Paths!$E$41=0,C382=0,AND(C382&gt;0,Paths!$E$41&gt;(C382-1)*12,Paths!$E$41&lt;=C382*12)),Paths!$G$41,0),"n.a."))</f>
        <v>0</v>
      </c>
      <c r="J382" s="16">
        <f>IF(NOT(Paths!$C$41=1),0,IF(Paths!$P$41="Complete",IF(IF(Paths!$E$41=0,C382=0,AND(C382&gt;0,Paths!$E$41&gt;(C382-1)*12,Paths!$E$41&lt;=C382*12)),Paths!$H$41,0),"n.a."))</f>
        <v>0</v>
      </c>
      <c r="K382" s="16">
        <f>IF(NOT(Paths!$C$41=1),0,IF(Paths!$P$41="Complete",IF(IF(Paths!$O$41=0,C382=0,AND(C382&gt;0,Paths!$O$41&gt;(C382-1)*12,Paths!$O$41&lt;=C382*12)),Paths!$N$41,0),"n.a."))</f>
        <v>0</v>
      </c>
      <c r="L382" s="16">
        <f>IF(NOT(Paths!$C$41=1),0,IF(Paths!$P$41="Complete",IF(C382=10,Paths!$I$41,0),"n.a."))</f>
        <v>0</v>
      </c>
      <c r="M382" s="16">
        <f>IF(NOT(Paths!$C$41=1),0,IF(Paths!$P$41="Complete",IF(AND(Paths!$D$41="EV",Paths!$E$41&lt;120,Paths!$E$41+'Operating costs'!$B$65&gt;Paths!$E$41,Paths!$E$41+'Operating costs'!$B$65&lt;=120,IF(Paths!$E$41+'Operating costs'!$B$65=0,C382=0,AND(C382&gt;0,Paths!$E$41+'Operating costs'!$B$65&gt;(C382-1)*12,Paths!$E$41+'Operating costs'!$B$65&lt;=C382*12))),'Operating costs'!$B$64,0)+IF(AND('Operating costs'!$B$67&gt;0,'Operating costs'!$B$67&lt;=120,OR(Paths!$D$41="ICE",'Operating costs'!$B$67&lt;=Paths!$E$41),IF('Operating costs'!$B$67=0,C382=0,AND(C382&gt;0,'Operating costs'!$B$67&gt;(C382-1)*12,'Operating costs'!$B$67&lt;=C382*12))),'Operating costs'!$B$66,0),"n.a."))</f>
        <v>0</v>
      </c>
      <c r="N382" s="16">
        <f>IF(NOT(Paths!$C$41=1),0,IF(Paths!$P$41="Complete",SUM(G382:I382)-J382-K382-L382+M382+IF(C382=0,Paths!$F$41,0)+IF(IF(Paths!$E$41=0,C382=0,AND(C382&gt;0,Paths!$E$41&gt;(C382-1)*12,Paths!$E$41&lt;=C382*12)),VLOOKUP(A382,'Fleet register'!$A$7:$S$106,16,FALSE),0),"n.a."))</f>
        <v>0</v>
      </c>
      <c r="O382" s="16">
        <f>IF(NOT(Paths!$C$41=1),0,IF(Paths!$P$41="Complete",N382-IF(C382=0,Paths!$F$41,0),"n.a."))</f>
        <v>0</v>
      </c>
      <c r="P382" s="16">
        <f>IF(NOT(Paths!$C$41=1),0,IF(Paths!$P$41="Complete",O382+L382,"n.a."))</f>
        <v>0</v>
      </c>
      <c r="Q382" s="16">
        <f>IF(NOT(Paths!$C$41=1),0,IF(Paths!$P$41="Complete",N382*(1+'Operating costs'!$B$54)^-C382,"n.a."))</f>
        <v>0</v>
      </c>
      <c r="R382" s="16">
        <f>IF(NOT(Paths!$C$41=1),0,IF(Paths!$P$41="Complete",IF(AND(C382=0,Paths!$E$41=0),I382-J382-K382+VLOOKUP(A382,'Fleet register'!$A$7:$S$106,15,FALSE)+VLOOKUP(A382,'Fleet register'!$A$7:$S$106,16,FALSE),0),"n.a."))</f>
        <v>0</v>
      </c>
      <c r="S382" s="1">
        <f>IF(NOT(Paths!$C$41=1),0,IF(Paths!$P$41="Complete",IF(C382=0,0,Paths!$S$41*Paths!$R$41),"n.a."))</f>
        <v>0</v>
      </c>
      <c r="T382" s="1">
        <f>IF(NOT(Paths!$C$41=1),0,IF(Paths!$P$41="Complete",IF(C382=0,0,VLOOKUP(A382,'Fleet register'!$A$7:$S$106,9,FALSE)*Paths!$R$41),"n.a."))</f>
        <v>0</v>
      </c>
    </row>
    <row r="383" spans="1:20" ht="24" customHeight="1">
      <c r="A383" s="1" t="str">
        <f>Paths!$A$41</f>
        <v>T009</v>
      </c>
      <c r="B383" s="1">
        <f>Paths!$B$41</f>
        <v>2</v>
      </c>
      <c r="C383" s="1">
        <v>2</v>
      </c>
      <c r="D383" s="1">
        <v>41</v>
      </c>
      <c r="E383" s="1">
        <f>IF(OR(Paths!$C$41=0,C383=0),0,MAX(0,MIN(C383*12,Paths!$E$41)-(C383-1)*12))</f>
        <v>0</v>
      </c>
      <c r="F383" s="1">
        <f>IF(OR(Paths!$C$41=0,C383=0),0,12-E383)</f>
        <v>0</v>
      </c>
      <c r="G383" s="16">
        <f>IF(NOT(Paths!$C$41=1),0,IF(Paths!$P$41="Complete",E383/12*(Paths!$J$41*(1+'Operating costs'!$B$51)^MAX(0,C383-1)+Paths!$K$41*(1+'Operating costs'!$B$53)^MAX(0,C383-1)),"n.a."))</f>
        <v>0</v>
      </c>
      <c r="H383" s="16">
        <f>IF(NOT(Paths!$C$41=1),0,IF(Paths!$P$41="Complete",F383/12*(Paths!$L$41*(1+IF(Paths!$D$41="EV",'Operating costs'!$B$52,'Operating costs'!$B$51))^MAX(0,C383-1)+Paths!$M$41*(1+'Operating costs'!$B$53)^MAX(0,C383-1)),"n.a."))</f>
        <v>0</v>
      </c>
      <c r="I383" s="16">
        <f>IF(NOT(Paths!$C$41=1),0,IF(Paths!$P$41="Complete",IF(IF(Paths!$E$41=0,C383=0,AND(C383&gt;0,Paths!$E$41&gt;(C383-1)*12,Paths!$E$41&lt;=C383*12)),Paths!$G$41,0),"n.a."))</f>
        <v>0</v>
      </c>
      <c r="J383" s="16">
        <f>IF(NOT(Paths!$C$41=1),0,IF(Paths!$P$41="Complete",IF(IF(Paths!$E$41=0,C383=0,AND(C383&gt;0,Paths!$E$41&gt;(C383-1)*12,Paths!$E$41&lt;=C383*12)),Paths!$H$41,0),"n.a."))</f>
        <v>0</v>
      </c>
      <c r="K383" s="16">
        <f>IF(NOT(Paths!$C$41=1),0,IF(Paths!$P$41="Complete",IF(IF(Paths!$O$41=0,C383=0,AND(C383&gt;0,Paths!$O$41&gt;(C383-1)*12,Paths!$O$41&lt;=C383*12)),Paths!$N$41,0),"n.a."))</f>
        <v>0</v>
      </c>
      <c r="L383" s="16">
        <f>IF(NOT(Paths!$C$41=1),0,IF(Paths!$P$41="Complete",IF(C383=10,Paths!$I$41,0),"n.a."))</f>
        <v>0</v>
      </c>
      <c r="M383" s="16">
        <f>IF(NOT(Paths!$C$41=1),0,IF(Paths!$P$41="Complete",IF(AND(Paths!$D$41="EV",Paths!$E$41&lt;120,Paths!$E$41+'Operating costs'!$B$65&gt;Paths!$E$41,Paths!$E$41+'Operating costs'!$B$65&lt;=120,IF(Paths!$E$41+'Operating costs'!$B$65=0,C383=0,AND(C383&gt;0,Paths!$E$41+'Operating costs'!$B$65&gt;(C383-1)*12,Paths!$E$41+'Operating costs'!$B$65&lt;=C383*12))),'Operating costs'!$B$64,0)+IF(AND('Operating costs'!$B$67&gt;0,'Operating costs'!$B$67&lt;=120,OR(Paths!$D$41="ICE",'Operating costs'!$B$67&lt;=Paths!$E$41),IF('Operating costs'!$B$67=0,C383=0,AND(C383&gt;0,'Operating costs'!$B$67&gt;(C383-1)*12,'Operating costs'!$B$67&lt;=C383*12))),'Operating costs'!$B$66,0),"n.a."))</f>
        <v>0</v>
      </c>
      <c r="N383" s="16">
        <f>IF(NOT(Paths!$C$41=1),0,IF(Paths!$P$41="Complete",SUM(G383:I383)-J383-K383-L383+M383+IF(C383=0,Paths!$F$41,0)+IF(IF(Paths!$E$41=0,C383=0,AND(C383&gt;0,Paths!$E$41&gt;(C383-1)*12,Paths!$E$41&lt;=C383*12)),VLOOKUP(A383,'Fleet register'!$A$7:$S$106,16,FALSE),0),"n.a."))</f>
        <v>0</v>
      </c>
      <c r="O383" s="16">
        <f>IF(NOT(Paths!$C$41=1),0,IF(Paths!$P$41="Complete",N383-IF(C383=0,Paths!$F$41,0),"n.a."))</f>
        <v>0</v>
      </c>
      <c r="P383" s="16">
        <f>IF(NOT(Paths!$C$41=1),0,IF(Paths!$P$41="Complete",O383+L383,"n.a."))</f>
        <v>0</v>
      </c>
      <c r="Q383" s="16">
        <f>IF(NOT(Paths!$C$41=1),0,IF(Paths!$P$41="Complete",N383*(1+'Operating costs'!$B$54)^-C383,"n.a."))</f>
        <v>0</v>
      </c>
      <c r="R383" s="16">
        <f>IF(NOT(Paths!$C$41=1),0,IF(Paths!$P$41="Complete",IF(AND(C383=0,Paths!$E$41=0),I383-J383-K383+VLOOKUP(A383,'Fleet register'!$A$7:$S$106,15,FALSE)+VLOOKUP(A383,'Fleet register'!$A$7:$S$106,16,FALSE),0),"n.a."))</f>
        <v>0</v>
      </c>
      <c r="S383" s="1">
        <f>IF(NOT(Paths!$C$41=1),0,IF(Paths!$P$41="Complete",IF(C383=0,0,Paths!$S$41*Paths!$R$41),"n.a."))</f>
        <v>0</v>
      </c>
      <c r="T383" s="1">
        <f>IF(NOT(Paths!$C$41=1),0,IF(Paths!$P$41="Complete",IF(C383=0,0,VLOOKUP(A383,'Fleet register'!$A$7:$S$106,9,FALSE)*Paths!$R$41),"n.a."))</f>
        <v>0</v>
      </c>
    </row>
    <row r="384" spans="1:20" ht="24" customHeight="1">
      <c r="A384" s="1" t="str">
        <f>Paths!$A$41</f>
        <v>T009</v>
      </c>
      <c r="B384" s="1">
        <f>Paths!$B$41</f>
        <v>2</v>
      </c>
      <c r="C384" s="1">
        <v>3</v>
      </c>
      <c r="D384" s="1">
        <v>41</v>
      </c>
      <c r="E384" s="1">
        <f>IF(OR(Paths!$C$41=0,C384=0),0,MAX(0,MIN(C384*12,Paths!$E$41)-(C384-1)*12))</f>
        <v>0</v>
      </c>
      <c r="F384" s="1">
        <f>IF(OR(Paths!$C$41=0,C384=0),0,12-E384)</f>
        <v>0</v>
      </c>
      <c r="G384" s="16">
        <f>IF(NOT(Paths!$C$41=1),0,IF(Paths!$P$41="Complete",E384/12*(Paths!$J$41*(1+'Operating costs'!$B$51)^MAX(0,C384-1)+Paths!$K$41*(1+'Operating costs'!$B$53)^MAX(0,C384-1)),"n.a."))</f>
        <v>0</v>
      </c>
      <c r="H384" s="16">
        <f>IF(NOT(Paths!$C$41=1),0,IF(Paths!$P$41="Complete",F384/12*(Paths!$L$41*(1+IF(Paths!$D$41="EV",'Operating costs'!$B$52,'Operating costs'!$B$51))^MAX(0,C384-1)+Paths!$M$41*(1+'Operating costs'!$B$53)^MAX(0,C384-1)),"n.a."))</f>
        <v>0</v>
      </c>
      <c r="I384" s="16">
        <f>IF(NOT(Paths!$C$41=1),0,IF(Paths!$P$41="Complete",IF(IF(Paths!$E$41=0,C384=0,AND(C384&gt;0,Paths!$E$41&gt;(C384-1)*12,Paths!$E$41&lt;=C384*12)),Paths!$G$41,0),"n.a."))</f>
        <v>0</v>
      </c>
      <c r="J384" s="16">
        <f>IF(NOT(Paths!$C$41=1),0,IF(Paths!$P$41="Complete",IF(IF(Paths!$E$41=0,C384=0,AND(C384&gt;0,Paths!$E$41&gt;(C384-1)*12,Paths!$E$41&lt;=C384*12)),Paths!$H$41,0),"n.a."))</f>
        <v>0</v>
      </c>
      <c r="K384" s="16">
        <f>IF(NOT(Paths!$C$41=1),0,IF(Paths!$P$41="Complete",IF(IF(Paths!$O$41=0,C384=0,AND(C384&gt;0,Paths!$O$41&gt;(C384-1)*12,Paths!$O$41&lt;=C384*12)),Paths!$N$41,0),"n.a."))</f>
        <v>0</v>
      </c>
      <c r="L384" s="16">
        <f>IF(NOT(Paths!$C$41=1),0,IF(Paths!$P$41="Complete",IF(C384=10,Paths!$I$41,0),"n.a."))</f>
        <v>0</v>
      </c>
      <c r="M384" s="16">
        <f>IF(NOT(Paths!$C$41=1),0,IF(Paths!$P$41="Complete",IF(AND(Paths!$D$41="EV",Paths!$E$41&lt;120,Paths!$E$41+'Operating costs'!$B$65&gt;Paths!$E$41,Paths!$E$41+'Operating costs'!$B$65&lt;=120,IF(Paths!$E$41+'Operating costs'!$B$65=0,C384=0,AND(C384&gt;0,Paths!$E$41+'Operating costs'!$B$65&gt;(C384-1)*12,Paths!$E$41+'Operating costs'!$B$65&lt;=C384*12))),'Operating costs'!$B$64,0)+IF(AND('Operating costs'!$B$67&gt;0,'Operating costs'!$B$67&lt;=120,OR(Paths!$D$41="ICE",'Operating costs'!$B$67&lt;=Paths!$E$41),IF('Operating costs'!$B$67=0,C384=0,AND(C384&gt;0,'Operating costs'!$B$67&gt;(C384-1)*12,'Operating costs'!$B$67&lt;=C384*12))),'Operating costs'!$B$66,0),"n.a."))</f>
        <v>0</v>
      </c>
      <c r="N384" s="16">
        <f>IF(NOT(Paths!$C$41=1),0,IF(Paths!$P$41="Complete",SUM(G384:I384)-J384-K384-L384+M384+IF(C384=0,Paths!$F$41,0)+IF(IF(Paths!$E$41=0,C384=0,AND(C384&gt;0,Paths!$E$41&gt;(C384-1)*12,Paths!$E$41&lt;=C384*12)),VLOOKUP(A384,'Fleet register'!$A$7:$S$106,16,FALSE),0),"n.a."))</f>
        <v>0</v>
      </c>
      <c r="O384" s="16">
        <f>IF(NOT(Paths!$C$41=1),0,IF(Paths!$P$41="Complete",N384-IF(C384=0,Paths!$F$41,0),"n.a."))</f>
        <v>0</v>
      </c>
      <c r="P384" s="16">
        <f>IF(NOT(Paths!$C$41=1),0,IF(Paths!$P$41="Complete",O384+L384,"n.a."))</f>
        <v>0</v>
      </c>
      <c r="Q384" s="16">
        <f>IF(NOT(Paths!$C$41=1),0,IF(Paths!$P$41="Complete",N384*(1+'Operating costs'!$B$54)^-C384,"n.a."))</f>
        <v>0</v>
      </c>
      <c r="R384" s="16">
        <f>IF(NOT(Paths!$C$41=1),0,IF(Paths!$P$41="Complete",IF(AND(C384=0,Paths!$E$41=0),I384-J384-K384+VLOOKUP(A384,'Fleet register'!$A$7:$S$106,15,FALSE)+VLOOKUP(A384,'Fleet register'!$A$7:$S$106,16,FALSE),0),"n.a."))</f>
        <v>0</v>
      </c>
      <c r="S384" s="1">
        <f>IF(NOT(Paths!$C$41=1),0,IF(Paths!$P$41="Complete",IF(C384=0,0,Paths!$S$41*Paths!$R$41),"n.a."))</f>
        <v>0</v>
      </c>
      <c r="T384" s="1">
        <f>IF(NOT(Paths!$C$41=1),0,IF(Paths!$P$41="Complete",IF(C384=0,0,VLOOKUP(A384,'Fleet register'!$A$7:$S$106,9,FALSE)*Paths!$R$41),"n.a."))</f>
        <v>0</v>
      </c>
    </row>
    <row r="385" spans="1:20" ht="24" customHeight="1">
      <c r="A385" s="1" t="str">
        <f>Paths!$A$41</f>
        <v>T009</v>
      </c>
      <c r="B385" s="1">
        <f>Paths!$B$41</f>
        <v>2</v>
      </c>
      <c r="C385" s="1">
        <v>4</v>
      </c>
      <c r="D385" s="1">
        <v>41</v>
      </c>
      <c r="E385" s="1">
        <f>IF(OR(Paths!$C$41=0,C385=0),0,MAX(0,MIN(C385*12,Paths!$E$41)-(C385-1)*12))</f>
        <v>0</v>
      </c>
      <c r="F385" s="1">
        <f>IF(OR(Paths!$C$41=0,C385=0),0,12-E385)</f>
        <v>0</v>
      </c>
      <c r="G385" s="16">
        <f>IF(NOT(Paths!$C$41=1),0,IF(Paths!$P$41="Complete",E385/12*(Paths!$J$41*(1+'Operating costs'!$B$51)^MAX(0,C385-1)+Paths!$K$41*(1+'Operating costs'!$B$53)^MAX(0,C385-1)),"n.a."))</f>
        <v>0</v>
      </c>
      <c r="H385" s="16">
        <f>IF(NOT(Paths!$C$41=1),0,IF(Paths!$P$41="Complete",F385/12*(Paths!$L$41*(1+IF(Paths!$D$41="EV",'Operating costs'!$B$52,'Operating costs'!$B$51))^MAX(0,C385-1)+Paths!$M$41*(1+'Operating costs'!$B$53)^MAX(0,C385-1)),"n.a."))</f>
        <v>0</v>
      </c>
      <c r="I385" s="16">
        <f>IF(NOT(Paths!$C$41=1),0,IF(Paths!$P$41="Complete",IF(IF(Paths!$E$41=0,C385=0,AND(C385&gt;0,Paths!$E$41&gt;(C385-1)*12,Paths!$E$41&lt;=C385*12)),Paths!$G$41,0),"n.a."))</f>
        <v>0</v>
      </c>
      <c r="J385" s="16">
        <f>IF(NOT(Paths!$C$41=1),0,IF(Paths!$P$41="Complete",IF(IF(Paths!$E$41=0,C385=0,AND(C385&gt;0,Paths!$E$41&gt;(C385-1)*12,Paths!$E$41&lt;=C385*12)),Paths!$H$41,0),"n.a."))</f>
        <v>0</v>
      </c>
      <c r="K385" s="16">
        <f>IF(NOT(Paths!$C$41=1),0,IF(Paths!$P$41="Complete",IF(IF(Paths!$O$41=0,C385=0,AND(C385&gt;0,Paths!$O$41&gt;(C385-1)*12,Paths!$O$41&lt;=C385*12)),Paths!$N$41,0),"n.a."))</f>
        <v>0</v>
      </c>
      <c r="L385" s="16">
        <f>IF(NOT(Paths!$C$41=1),0,IF(Paths!$P$41="Complete",IF(C385=10,Paths!$I$41,0),"n.a."))</f>
        <v>0</v>
      </c>
      <c r="M385" s="16">
        <f>IF(NOT(Paths!$C$41=1),0,IF(Paths!$P$41="Complete",IF(AND(Paths!$D$41="EV",Paths!$E$41&lt;120,Paths!$E$41+'Operating costs'!$B$65&gt;Paths!$E$41,Paths!$E$41+'Operating costs'!$B$65&lt;=120,IF(Paths!$E$41+'Operating costs'!$B$65=0,C385=0,AND(C385&gt;0,Paths!$E$41+'Operating costs'!$B$65&gt;(C385-1)*12,Paths!$E$41+'Operating costs'!$B$65&lt;=C385*12))),'Operating costs'!$B$64,0)+IF(AND('Operating costs'!$B$67&gt;0,'Operating costs'!$B$67&lt;=120,OR(Paths!$D$41="ICE",'Operating costs'!$B$67&lt;=Paths!$E$41),IF('Operating costs'!$B$67=0,C385=0,AND(C385&gt;0,'Operating costs'!$B$67&gt;(C385-1)*12,'Operating costs'!$B$67&lt;=C385*12))),'Operating costs'!$B$66,0),"n.a."))</f>
        <v>0</v>
      </c>
      <c r="N385" s="16">
        <f>IF(NOT(Paths!$C$41=1),0,IF(Paths!$P$41="Complete",SUM(G385:I385)-J385-K385-L385+M385+IF(C385=0,Paths!$F$41,0)+IF(IF(Paths!$E$41=0,C385=0,AND(C385&gt;0,Paths!$E$41&gt;(C385-1)*12,Paths!$E$41&lt;=C385*12)),VLOOKUP(A385,'Fleet register'!$A$7:$S$106,16,FALSE),0),"n.a."))</f>
        <v>0</v>
      </c>
      <c r="O385" s="16">
        <f>IF(NOT(Paths!$C$41=1),0,IF(Paths!$P$41="Complete",N385-IF(C385=0,Paths!$F$41,0),"n.a."))</f>
        <v>0</v>
      </c>
      <c r="P385" s="16">
        <f>IF(NOT(Paths!$C$41=1),0,IF(Paths!$P$41="Complete",O385+L385,"n.a."))</f>
        <v>0</v>
      </c>
      <c r="Q385" s="16">
        <f>IF(NOT(Paths!$C$41=1),0,IF(Paths!$P$41="Complete",N385*(1+'Operating costs'!$B$54)^-C385,"n.a."))</f>
        <v>0</v>
      </c>
      <c r="R385" s="16">
        <f>IF(NOT(Paths!$C$41=1),0,IF(Paths!$P$41="Complete",IF(AND(C385=0,Paths!$E$41=0),I385-J385-K385+VLOOKUP(A385,'Fleet register'!$A$7:$S$106,15,FALSE)+VLOOKUP(A385,'Fleet register'!$A$7:$S$106,16,FALSE),0),"n.a."))</f>
        <v>0</v>
      </c>
      <c r="S385" s="1">
        <f>IF(NOT(Paths!$C$41=1),0,IF(Paths!$P$41="Complete",IF(C385=0,0,Paths!$S$41*Paths!$R$41),"n.a."))</f>
        <v>0</v>
      </c>
      <c r="T385" s="1">
        <f>IF(NOT(Paths!$C$41=1),0,IF(Paths!$P$41="Complete",IF(C385=0,0,VLOOKUP(A385,'Fleet register'!$A$7:$S$106,9,FALSE)*Paths!$R$41),"n.a."))</f>
        <v>0</v>
      </c>
    </row>
    <row r="386" spans="1:20" ht="24" customHeight="1">
      <c r="A386" s="1" t="str">
        <f>Paths!$A$41</f>
        <v>T009</v>
      </c>
      <c r="B386" s="1">
        <f>Paths!$B$41</f>
        <v>2</v>
      </c>
      <c r="C386" s="1">
        <v>5</v>
      </c>
      <c r="D386" s="1">
        <v>41</v>
      </c>
      <c r="E386" s="1">
        <f>IF(OR(Paths!$C$41=0,C386=0),0,MAX(0,MIN(C386*12,Paths!$E$41)-(C386-1)*12))</f>
        <v>0</v>
      </c>
      <c r="F386" s="1">
        <f>IF(OR(Paths!$C$41=0,C386=0),0,12-E386)</f>
        <v>0</v>
      </c>
      <c r="G386" s="16">
        <f>IF(NOT(Paths!$C$41=1),0,IF(Paths!$P$41="Complete",E386/12*(Paths!$J$41*(1+'Operating costs'!$B$51)^MAX(0,C386-1)+Paths!$K$41*(1+'Operating costs'!$B$53)^MAX(0,C386-1)),"n.a."))</f>
        <v>0</v>
      </c>
      <c r="H386" s="16">
        <f>IF(NOT(Paths!$C$41=1),0,IF(Paths!$P$41="Complete",F386/12*(Paths!$L$41*(1+IF(Paths!$D$41="EV",'Operating costs'!$B$52,'Operating costs'!$B$51))^MAX(0,C386-1)+Paths!$M$41*(1+'Operating costs'!$B$53)^MAX(0,C386-1)),"n.a."))</f>
        <v>0</v>
      </c>
      <c r="I386" s="16">
        <f>IF(NOT(Paths!$C$41=1),0,IF(Paths!$P$41="Complete",IF(IF(Paths!$E$41=0,C386=0,AND(C386&gt;0,Paths!$E$41&gt;(C386-1)*12,Paths!$E$41&lt;=C386*12)),Paths!$G$41,0),"n.a."))</f>
        <v>0</v>
      </c>
      <c r="J386" s="16">
        <f>IF(NOT(Paths!$C$41=1),0,IF(Paths!$P$41="Complete",IF(IF(Paths!$E$41=0,C386=0,AND(C386&gt;0,Paths!$E$41&gt;(C386-1)*12,Paths!$E$41&lt;=C386*12)),Paths!$H$41,0),"n.a."))</f>
        <v>0</v>
      </c>
      <c r="K386" s="16">
        <f>IF(NOT(Paths!$C$41=1),0,IF(Paths!$P$41="Complete",IF(IF(Paths!$O$41=0,C386=0,AND(C386&gt;0,Paths!$O$41&gt;(C386-1)*12,Paths!$O$41&lt;=C386*12)),Paths!$N$41,0),"n.a."))</f>
        <v>0</v>
      </c>
      <c r="L386" s="16">
        <f>IF(NOT(Paths!$C$41=1),0,IF(Paths!$P$41="Complete",IF(C386=10,Paths!$I$41,0),"n.a."))</f>
        <v>0</v>
      </c>
      <c r="M386" s="16">
        <f>IF(NOT(Paths!$C$41=1),0,IF(Paths!$P$41="Complete",IF(AND(Paths!$D$41="EV",Paths!$E$41&lt;120,Paths!$E$41+'Operating costs'!$B$65&gt;Paths!$E$41,Paths!$E$41+'Operating costs'!$B$65&lt;=120,IF(Paths!$E$41+'Operating costs'!$B$65=0,C386=0,AND(C386&gt;0,Paths!$E$41+'Operating costs'!$B$65&gt;(C386-1)*12,Paths!$E$41+'Operating costs'!$B$65&lt;=C386*12))),'Operating costs'!$B$64,0)+IF(AND('Operating costs'!$B$67&gt;0,'Operating costs'!$B$67&lt;=120,OR(Paths!$D$41="ICE",'Operating costs'!$B$67&lt;=Paths!$E$41),IF('Operating costs'!$B$67=0,C386=0,AND(C386&gt;0,'Operating costs'!$B$67&gt;(C386-1)*12,'Operating costs'!$B$67&lt;=C386*12))),'Operating costs'!$B$66,0),"n.a."))</f>
        <v>0</v>
      </c>
      <c r="N386" s="16">
        <f>IF(NOT(Paths!$C$41=1),0,IF(Paths!$P$41="Complete",SUM(G386:I386)-J386-K386-L386+M386+IF(C386=0,Paths!$F$41,0)+IF(IF(Paths!$E$41=0,C386=0,AND(C386&gt;0,Paths!$E$41&gt;(C386-1)*12,Paths!$E$41&lt;=C386*12)),VLOOKUP(A386,'Fleet register'!$A$7:$S$106,16,FALSE),0),"n.a."))</f>
        <v>0</v>
      </c>
      <c r="O386" s="16">
        <f>IF(NOT(Paths!$C$41=1),0,IF(Paths!$P$41="Complete",N386-IF(C386=0,Paths!$F$41,0),"n.a."))</f>
        <v>0</v>
      </c>
      <c r="P386" s="16">
        <f>IF(NOT(Paths!$C$41=1),0,IF(Paths!$P$41="Complete",O386+L386,"n.a."))</f>
        <v>0</v>
      </c>
      <c r="Q386" s="16">
        <f>IF(NOT(Paths!$C$41=1),0,IF(Paths!$P$41="Complete",N386*(1+'Operating costs'!$B$54)^-C386,"n.a."))</f>
        <v>0</v>
      </c>
      <c r="R386" s="16">
        <f>IF(NOT(Paths!$C$41=1),0,IF(Paths!$P$41="Complete",IF(AND(C386=0,Paths!$E$41=0),I386-J386-K386+VLOOKUP(A386,'Fleet register'!$A$7:$S$106,15,FALSE)+VLOOKUP(A386,'Fleet register'!$A$7:$S$106,16,FALSE),0),"n.a."))</f>
        <v>0</v>
      </c>
      <c r="S386" s="1">
        <f>IF(NOT(Paths!$C$41=1),0,IF(Paths!$P$41="Complete",IF(C386=0,0,Paths!$S$41*Paths!$R$41),"n.a."))</f>
        <v>0</v>
      </c>
      <c r="T386" s="1">
        <f>IF(NOT(Paths!$C$41=1),0,IF(Paths!$P$41="Complete",IF(C386=0,0,VLOOKUP(A386,'Fleet register'!$A$7:$S$106,9,FALSE)*Paths!$R$41),"n.a."))</f>
        <v>0</v>
      </c>
    </row>
    <row r="387" spans="1:20" ht="24" customHeight="1">
      <c r="A387" s="1" t="str">
        <f>Paths!$A$41</f>
        <v>T009</v>
      </c>
      <c r="B387" s="1">
        <f>Paths!$B$41</f>
        <v>2</v>
      </c>
      <c r="C387" s="1">
        <v>6</v>
      </c>
      <c r="D387" s="1">
        <v>41</v>
      </c>
      <c r="E387" s="1">
        <f>IF(OR(Paths!$C$41=0,C387=0),0,MAX(0,MIN(C387*12,Paths!$E$41)-(C387-1)*12))</f>
        <v>0</v>
      </c>
      <c r="F387" s="1">
        <f>IF(OR(Paths!$C$41=0,C387=0),0,12-E387)</f>
        <v>0</v>
      </c>
      <c r="G387" s="16">
        <f>IF(NOT(Paths!$C$41=1),0,IF(Paths!$P$41="Complete",E387/12*(Paths!$J$41*(1+'Operating costs'!$B$51)^MAX(0,C387-1)+Paths!$K$41*(1+'Operating costs'!$B$53)^MAX(0,C387-1)),"n.a."))</f>
        <v>0</v>
      </c>
      <c r="H387" s="16">
        <f>IF(NOT(Paths!$C$41=1),0,IF(Paths!$P$41="Complete",F387/12*(Paths!$L$41*(1+IF(Paths!$D$41="EV",'Operating costs'!$B$52,'Operating costs'!$B$51))^MAX(0,C387-1)+Paths!$M$41*(1+'Operating costs'!$B$53)^MAX(0,C387-1)),"n.a."))</f>
        <v>0</v>
      </c>
      <c r="I387" s="16">
        <f>IF(NOT(Paths!$C$41=1),0,IF(Paths!$P$41="Complete",IF(IF(Paths!$E$41=0,C387=0,AND(C387&gt;0,Paths!$E$41&gt;(C387-1)*12,Paths!$E$41&lt;=C387*12)),Paths!$G$41,0),"n.a."))</f>
        <v>0</v>
      </c>
      <c r="J387" s="16">
        <f>IF(NOT(Paths!$C$41=1),0,IF(Paths!$P$41="Complete",IF(IF(Paths!$E$41=0,C387=0,AND(C387&gt;0,Paths!$E$41&gt;(C387-1)*12,Paths!$E$41&lt;=C387*12)),Paths!$H$41,0),"n.a."))</f>
        <v>0</v>
      </c>
      <c r="K387" s="16">
        <f>IF(NOT(Paths!$C$41=1),0,IF(Paths!$P$41="Complete",IF(IF(Paths!$O$41=0,C387=0,AND(C387&gt;0,Paths!$O$41&gt;(C387-1)*12,Paths!$O$41&lt;=C387*12)),Paths!$N$41,0),"n.a."))</f>
        <v>0</v>
      </c>
      <c r="L387" s="16">
        <f>IF(NOT(Paths!$C$41=1),0,IF(Paths!$P$41="Complete",IF(C387=10,Paths!$I$41,0),"n.a."))</f>
        <v>0</v>
      </c>
      <c r="M387" s="16">
        <f>IF(NOT(Paths!$C$41=1),0,IF(Paths!$P$41="Complete",IF(AND(Paths!$D$41="EV",Paths!$E$41&lt;120,Paths!$E$41+'Operating costs'!$B$65&gt;Paths!$E$41,Paths!$E$41+'Operating costs'!$B$65&lt;=120,IF(Paths!$E$41+'Operating costs'!$B$65=0,C387=0,AND(C387&gt;0,Paths!$E$41+'Operating costs'!$B$65&gt;(C387-1)*12,Paths!$E$41+'Operating costs'!$B$65&lt;=C387*12))),'Operating costs'!$B$64,0)+IF(AND('Operating costs'!$B$67&gt;0,'Operating costs'!$B$67&lt;=120,OR(Paths!$D$41="ICE",'Operating costs'!$B$67&lt;=Paths!$E$41),IF('Operating costs'!$B$67=0,C387=0,AND(C387&gt;0,'Operating costs'!$B$67&gt;(C387-1)*12,'Operating costs'!$B$67&lt;=C387*12))),'Operating costs'!$B$66,0),"n.a."))</f>
        <v>0</v>
      </c>
      <c r="N387" s="16">
        <f>IF(NOT(Paths!$C$41=1),0,IF(Paths!$P$41="Complete",SUM(G387:I387)-J387-K387-L387+M387+IF(C387=0,Paths!$F$41,0)+IF(IF(Paths!$E$41=0,C387=0,AND(C387&gt;0,Paths!$E$41&gt;(C387-1)*12,Paths!$E$41&lt;=C387*12)),VLOOKUP(A387,'Fleet register'!$A$7:$S$106,16,FALSE),0),"n.a."))</f>
        <v>0</v>
      </c>
      <c r="O387" s="16">
        <f>IF(NOT(Paths!$C$41=1),0,IF(Paths!$P$41="Complete",N387-IF(C387=0,Paths!$F$41,0),"n.a."))</f>
        <v>0</v>
      </c>
      <c r="P387" s="16">
        <f>IF(NOT(Paths!$C$41=1),0,IF(Paths!$P$41="Complete",O387+L387,"n.a."))</f>
        <v>0</v>
      </c>
      <c r="Q387" s="16">
        <f>IF(NOT(Paths!$C$41=1),0,IF(Paths!$P$41="Complete",N387*(1+'Operating costs'!$B$54)^-C387,"n.a."))</f>
        <v>0</v>
      </c>
      <c r="R387" s="16">
        <f>IF(NOT(Paths!$C$41=1),0,IF(Paths!$P$41="Complete",IF(AND(C387=0,Paths!$E$41=0),I387-J387-K387+VLOOKUP(A387,'Fleet register'!$A$7:$S$106,15,FALSE)+VLOOKUP(A387,'Fleet register'!$A$7:$S$106,16,FALSE),0),"n.a."))</f>
        <v>0</v>
      </c>
      <c r="S387" s="1">
        <f>IF(NOT(Paths!$C$41=1),0,IF(Paths!$P$41="Complete",IF(C387=0,0,Paths!$S$41*Paths!$R$41),"n.a."))</f>
        <v>0</v>
      </c>
      <c r="T387" s="1">
        <f>IF(NOT(Paths!$C$41=1),0,IF(Paths!$P$41="Complete",IF(C387=0,0,VLOOKUP(A387,'Fleet register'!$A$7:$S$106,9,FALSE)*Paths!$R$41),"n.a."))</f>
        <v>0</v>
      </c>
    </row>
    <row r="388" spans="1:20" ht="24" customHeight="1">
      <c r="A388" s="1" t="str">
        <f>Paths!$A$41</f>
        <v>T009</v>
      </c>
      <c r="B388" s="1">
        <f>Paths!$B$41</f>
        <v>2</v>
      </c>
      <c r="C388" s="1">
        <v>7</v>
      </c>
      <c r="D388" s="1">
        <v>41</v>
      </c>
      <c r="E388" s="1">
        <f>IF(OR(Paths!$C$41=0,C388=0),0,MAX(0,MIN(C388*12,Paths!$E$41)-(C388-1)*12))</f>
        <v>0</v>
      </c>
      <c r="F388" s="1">
        <f>IF(OR(Paths!$C$41=0,C388=0),0,12-E388)</f>
        <v>0</v>
      </c>
      <c r="G388" s="16">
        <f>IF(NOT(Paths!$C$41=1),0,IF(Paths!$P$41="Complete",E388/12*(Paths!$J$41*(1+'Operating costs'!$B$51)^MAX(0,C388-1)+Paths!$K$41*(1+'Operating costs'!$B$53)^MAX(0,C388-1)),"n.a."))</f>
        <v>0</v>
      </c>
      <c r="H388" s="16">
        <f>IF(NOT(Paths!$C$41=1),0,IF(Paths!$P$41="Complete",F388/12*(Paths!$L$41*(1+IF(Paths!$D$41="EV",'Operating costs'!$B$52,'Operating costs'!$B$51))^MAX(0,C388-1)+Paths!$M$41*(1+'Operating costs'!$B$53)^MAX(0,C388-1)),"n.a."))</f>
        <v>0</v>
      </c>
      <c r="I388" s="16">
        <f>IF(NOT(Paths!$C$41=1),0,IF(Paths!$P$41="Complete",IF(IF(Paths!$E$41=0,C388=0,AND(C388&gt;0,Paths!$E$41&gt;(C388-1)*12,Paths!$E$41&lt;=C388*12)),Paths!$G$41,0),"n.a."))</f>
        <v>0</v>
      </c>
      <c r="J388" s="16">
        <f>IF(NOT(Paths!$C$41=1),0,IF(Paths!$P$41="Complete",IF(IF(Paths!$E$41=0,C388=0,AND(C388&gt;0,Paths!$E$41&gt;(C388-1)*12,Paths!$E$41&lt;=C388*12)),Paths!$H$41,0),"n.a."))</f>
        <v>0</v>
      </c>
      <c r="K388" s="16">
        <f>IF(NOT(Paths!$C$41=1),0,IF(Paths!$P$41="Complete",IF(IF(Paths!$O$41=0,C388=0,AND(C388&gt;0,Paths!$O$41&gt;(C388-1)*12,Paths!$O$41&lt;=C388*12)),Paths!$N$41,0),"n.a."))</f>
        <v>0</v>
      </c>
      <c r="L388" s="16">
        <f>IF(NOT(Paths!$C$41=1),0,IF(Paths!$P$41="Complete",IF(C388=10,Paths!$I$41,0),"n.a."))</f>
        <v>0</v>
      </c>
      <c r="M388" s="16">
        <f>IF(NOT(Paths!$C$41=1),0,IF(Paths!$P$41="Complete",IF(AND(Paths!$D$41="EV",Paths!$E$41&lt;120,Paths!$E$41+'Operating costs'!$B$65&gt;Paths!$E$41,Paths!$E$41+'Operating costs'!$B$65&lt;=120,IF(Paths!$E$41+'Operating costs'!$B$65=0,C388=0,AND(C388&gt;0,Paths!$E$41+'Operating costs'!$B$65&gt;(C388-1)*12,Paths!$E$41+'Operating costs'!$B$65&lt;=C388*12))),'Operating costs'!$B$64,0)+IF(AND('Operating costs'!$B$67&gt;0,'Operating costs'!$B$67&lt;=120,OR(Paths!$D$41="ICE",'Operating costs'!$B$67&lt;=Paths!$E$41),IF('Operating costs'!$B$67=0,C388=0,AND(C388&gt;0,'Operating costs'!$B$67&gt;(C388-1)*12,'Operating costs'!$B$67&lt;=C388*12))),'Operating costs'!$B$66,0),"n.a."))</f>
        <v>0</v>
      </c>
      <c r="N388" s="16">
        <f>IF(NOT(Paths!$C$41=1),0,IF(Paths!$P$41="Complete",SUM(G388:I388)-J388-K388-L388+M388+IF(C388=0,Paths!$F$41,0)+IF(IF(Paths!$E$41=0,C388=0,AND(C388&gt;0,Paths!$E$41&gt;(C388-1)*12,Paths!$E$41&lt;=C388*12)),VLOOKUP(A388,'Fleet register'!$A$7:$S$106,16,FALSE),0),"n.a."))</f>
        <v>0</v>
      </c>
      <c r="O388" s="16">
        <f>IF(NOT(Paths!$C$41=1),0,IF(Paths!$P$41="Complete",N388-IF(C388=0,Paths!$F$41,0),"n.a."))</f>
        <v>0</v>
      </c>
      <c r="P388" s="16">
        <f>IF(NOT(Paths!$C$41=1),0,IF(Paths!$P$41="Complete",O388+L388,"n.a."))</f>
        <v>0</v>
      </c>
      <c r="Q388" s="16">
        <f>IF(NOT(Paths!$C$41=1),0,IF(Paths!$P$41="Complete",N388*(1+'Operating costs'!$B$54)^-C388,"n.a."))</f>
        <v>0</v>
      </c>
      <c r="R388" s="16">
        <f>IF(NOT(Paths!$C$41=1),0,IF(Paths!$P$41="Complete",IF(AND(C388=0,Paths!$E$41=0),I388-J388-K388+VLOOKUP(A388,'Fleet register'!$A$7:$S$106,15,FALSE)+VLOOKUP(A388,'Fleet register'!$A$7:$S$106,16,FALSE),0),"n.a."))</f>
        <v>0</v>
      </c>
      <c r="S388" s="1">
        <f>IF(NOT(Paths!$C$41=1),0,IF(Paths!$P$41="Complete",IF(C388=0,0,Paths!$S$41*Paths!$R$41),"n.a."))</f>
        <v>0</v>
      </c>
      <c r="T388" s="1">
        <f>IF(NOT(Paths!$C$41=1),0,IF(Paths!$P$41="Complete",IF(C388=0,0,VLOOKUP(A388,'Fleet register'!$A$7:$S$106,9,FALSE)*Paths!$R$41),"n.a."))</f>
        <v>0</v>
      </c>
    </row>
    <row r="389" spans="1:20" ht="24" customHeight="1">
      <c r="A389" s="1" t="str">
        <f>Paths!$A$41</f>
        <v>T009</v>
      </c>
      <c r="B389" s="1">
        <f>Paths!$B$41</f>
        <v>2</v>
      </c>
      <c r="C389" s="1">
        <v>8</v>
      </c>
      <c r="D389" s="1">
        <v>41</v>
      </c>
      <c r="E389" s="1">
        <f>IF(OR(Paths!$C$41=0,C389=0),0,MAX(0,MIN(C389*12,Paths!$E$41)-(C389-1)*12))</f>
        <v>0</v>
      </c>
      <c r="F389" s="1">
        <f>IF(OR(Paths!$C$41=0,C389=0),0,12-E389)</f>
        <v>0</v>
      </c>
      <c r="G389" s="16">
        <f>IF(NOT(Paths!$C$41=1),0,IF(Paths!$P$41="Complete",E389/12*(Paths!$J$41*(1+'Operating costs'!$B$51)^MAX(0,C389-1)+Paths!$K$41*(1+'Operating costs'!$B$53)^MAX(0,C389-1)),"n.a."))</f>
        <v>0</v>
      </c>
      <c r="H389" s="16">
        <f>IF(NOT(Paths!$C$41=1),0,IF(Paths!$P$41="Complete",F389/12*(Paths!$L$41*(1+IF(Paths!$D$41="EV",'Operating costs'!$B$52,'Operating costs'!$B$51))^MAX(0,C389-1)+Paths!$M$41*(1+'Operating costs'!$B$53)^MAX(0,C389-1)),"n.a."))</f>
        <v>0</v>
      </c>
      <c r="I389" s="16">
        <f>IF(NOT(Paths!$C$41=1),0,IF(Paths!$P$41="Complete",IF(IF(Paths!$E$41=0,C389=0,AND(C389&gt;0,Paths!$E$41&gt;(C389-1)*12,Paths!$E$41&lt;=C389*12)),Paths!$G$41,0),"n.a."))</f>
        <v>0</v>
      </c>
      <c r="J389" s="16">
        <f>IF(NOT(Paths!$C$41=1),0,IF(Paths!$P$41="Complete",IF(IF(Paths!$E$41=0,C389=0,AND(C389&gt;0,Paths!$E$41&gt;(C389-1)*12,Paths!$E$41&lt;=C389*12)),Paths!$H$41,0),"n.a."))</f>
        <v>0</v>
      </c>
      <c r="K389" s="16">
        <f>IF(NOT(Paths!$C$41=1),0,IF(Paths!$P$41="Complete",IF(IF(Paths!$O$41=0,C389=0,AND(C389&gt;0,Paths!$O$41&gt;(C389-1)*12,Paths!$O$41&lt;=C389*12)),Paths!$N$41,0),"n.a."))</f>
        <v>0</v>
      </c>
      <c r="L389" s="16">
        <f>IF(NOT(Paths!$C$41=1),0,IF(Paths!$P$41="Complete",IF(C389=10,Paths!$I$41,0),"n.a."))</f>
        <v>0</v>
      </c>
      <c r="M389" s="16">
        <f>IF(NOT(Paths!$C$41=1),0,IF(Paths!$P$41="Complete",IF(AND(Paths!$D$41="EV",Paths!$E$41&lt;120,Paths!$E$41+'Operating costs'!$B$65&gt;Paths!$E$41,Paths!$E$41+'Operating costs'!$B$65&lt;=120,IF(Paths!$E$41+'Operating costs'!$B$65=0,C389=0,AND(C389&gt;0,Paths!$E$41+'Operating costs'!$B$65&gt;(C389-1)*12,Paths!$E$41+'Operating costs'!$B$65&lt;=C389*12))),'Operating costs'!$B$64,0)+IF(AND('Operating costs'!$B$67&gt;0,'Operating costs'!$B$67&lt;=120,OR(Paths!$D$41="ICE",'Operating costs'!$B$67&lt;=Paths!$E$41),IF('Operating costs'!$B$67=0,C389=0,AND(C389&gt;0,'Operating costs'!$B$67&gt;(C389-1)*12,'Operating costs'!$B$67&lt;=C389*12))),'Operating costs'!$B$66,0),"n.a."))</f>
        <v>0</v>
      </c>
      <c r="N389" s="16">
        <f>IF(NOT(Paths!$C$41=1),0,IF(Paths!$P$41="Complete",SUM(G389:I389)-J389-K389-L389+M389+IF(C389=0,Paths!$F$41,0)+IF(IF(Paths!$E$41=0,C389=0,AND(C389&gt;0,Paths!$E$41&gt;(C389-1)*12,Paths!$E$41&lt;=C389*12)),VLOOKUP(A389,'Fleet register'!$A$7:$S$106,16,FALSE),0),"n.a."))</f>
        <v>0</v>
      </c>
      <c r="O389" s="16">
        <f>IF(NOT(Paths!$C$41=1),0,IF(Paths!$P$41="Complete",N389-IF(C389=0,Paths!$F$41,0),"n.a."))</f>
        <v>0</v>
      </c>
      <c r="P389" s="16">
        <f>IF(NOT(Paths!$C$41=1),0,IF(Paths!$P$41="Complete",O389+L389,"n.a."))</f>
        <v>0</v>
      </c>
      <c r="Q389" s="16">
        <f>IF(NOT(Paths!$C$41=1),0,IF(Paths!$P$41="Complete",N389*(1+'Operating costs'!$B$54)^-C389,"n.a."))</f>
        <v>0</v>
      </c>
      <c r="R389" s="16">
        <f>IF(NOT(Paths!$C$41=1),0,IF(Paths!$P$41="Complete",IF(AND(C389=0,Paths!$E$41=0),I389-J389-K389+VLOOKUP(A389,'Fleet register'!$A$7:$S$106,15,FALSE)+VLOOKUP(A389,'Fleet register'!$A$7:$S$106,16,FALSE),0),"n.a."))</f>
        <v>0</v>
      </c>
      <c r="S389" s="1">
        <f>IF(NOT(Paths!$C$41=1),0,IF(Paths!$P$41="Complete",IF(C389=0,0,Paths!$S$41*Paths!$R$41),"n.a."))</f>
        <v>0</v>
      </c>
      <c r="T389" s="1">
        <f>IF(NOT(Paths!$C$41=1),0,IF(Paths!$P$41="Complete",IF(C389=0,0,VLOOKUP(A389,'Fleet register'!$A$7:$S$106,9,FALSE)*Paths!$R$41),"n.a."))</f>
        <v>0</v>
      </c>
    </row>
    <row r="390" spans="1:20" ht="24" customHeight="1">
      <c r="A390" s="1" t="str">
        <f>Paths!$A$41</f>
        <v>T009</v>
      </c>
      <c r="B390" s="1">
        <f>Paths!$B$41</f>
        <v>2</v>
      </c>
      <c r="C390" s="1">
        <v>9</v>
      </c>
      <c r="D390" s="1">
        <v>41</v>
      </c>
      <c r="E390" s="1">
        <f>IF(OR(Paths!$C$41=0,C390=0),0,MAX(0,MIN(C390*12,Paths!$E$41)-(C390-1)*12))</f>
        <v>0</v>
      </c>
      <c r="F390" s="1">
        <f>IF(OR(Paths!$C$41=0,C390=0),0,12-E390)</f>
        <v>0</v>
      </c>
      <c r="G390" s="16">
        <f>IF(NOT(Paths!$C$41=1),0,IF(Paths!$P$41="Complete",E390/12*(Paths!$J$41*(1+'Operating costs'!$B$51)^MAX(0,C390-1)+Paths!$K$41*(1+'Operating costs'!$B$53)^MAX(0,C390-1)),"n.a."))</f>
        <v>0</v>
      </c>
      <c r="H390" s="16">
        <f>IF(NOT(Paths!$C$41=1),0,IF(Paths!$P$41="Complete",F390/12*(Paths!$L$41*(1+IF(Paths!$D$41="EV",'Operating costs'!$B$52,'Operating costs'!$B$51))^MAX(0,C390-1)+Paths!$M$41*(1+'Operating costs'!$B$53)^MAX(0,C390-1)),"n.a."))</f>
        <v>0</v>
      </c>
      <c r="I390" s="16">
        <f>IF(NOT(Paths!$C$41=1),0,IF(Paths!$P$41="Complete",IF(IF(Paths!$E$41=0,C390=0,AND(C390&gt;0,Paths!$E$41&gt;(C390-1)*12,Paths!$E$41&lt;=C390*12)),Paths!$G$41,0),"n.a."))</f>
        <v>0</v>
      </c>
      <c r="J390" s="16">
        <f>IF(NOT(Paths!$C$41=1),0,IF(Paths!$P$41="Complete",IF(IF(Paths!$E$41=0,C390=0,AND(C390&gt;0,Paths!$E$41&gt;(C390-1)*12,Paths!$E$41&lt;=C390*12)),Paths!$H$41,0),"n.a."))</f>
        <v>0</v>
      </c>
      <c r="K390" s="16">
        <f>IF(NOT(Paths!$C$41=1),0,IF(Paths!$P$41="Complete",IF(IF(Paths!$O$41=0,C390=0,AND(C390&gt;0,Paths!$O$41&gt;(C390-1)*12,Paths!$O$41&lt;=C390*12)),Paths!$N$41,0),"n.a."))</f>
        <v>0</v>
      </c>
      <c r="L390" s="16">
        <f>IF(NOT(Paths!$C$41=1),0,IF(Paths!$P$41="Complete",IF(C390=10,Paths!$I$41,0),"n.a."))</f>
        <v>0</v>
      </c>
      <c r="M390" s="16">
        <f>IF(NOT(Paths!$C$41=1),0,IF(Paths!$P$41="Complete",IF(AND(Paths!$D$41="EV",Paths!$E$41&lt;120,Paths!$E$41+'Operating costs'!$B$65&gt;Paths!$E$41,Paths!$E$41+'Operating costs'!$B$65&lt;=120,IF(Paths!$E$41+'Operating costs'!$B$65=0,C390=0,AND(C390&gt;0,Paths!$E$41+'Operating costs'!$B$65&gt;(C390-1)*12,Paths!$E$41+'Operating costs'!$B$65&lt;=C390*12))),'Operating costs'!$B$64,0)+IF(AND('Operating costs'!$B$67&gt;0,'Operating costs'!$B$67&lt;=120,OR(Paths!$D$41="ICE",'Operating costs'!$B$67&lt;=Paths!$E$41),IF('Operating costs'!$B$67=0,C390=0,AND(C390&gt;0,'Operating costs'!$B$67&gt;(C390-1)*12,'Operating costs'!$B$67&lt;=C390*12))),'Operating costs'!$B$66,0),"n.a."))</f>
        <v>0</v>
      </c>
      <c r="N390" s="16">
        <f>IF(NOT(Paths!$C$41=1),0,IF(Paths!$P$41="Complete",SUM(G390:I390)-J390-K390-L390+M390+IF(C390=0,Paths!$F$41,0)+IF(IF(Paths!$E$41=0,C390=0,AND(C390&gt;0,Paths!$E$41&gt;(C390-1)*12,Paths!$E$41&lt;=C390*12)),VLOOKUP(A390,'Fleet register'!$A$7:$S$106,16,FALSE),0),"n.a."))</f>
        <v>0</v>
      </c>
      <c r="O390" s="16">
        <f>IF(NOT(Paths!$C$41=1),0,IF(Paths!$P$41="Complete",N390-IF(C390=0,Paths!$F$41,0),"n.a."))</f>
        <v>0</v>
      </c>
      <c r="P390" s="16">
        <f>IF(NOT(Paths!$C$41=1),0,IF(Paths!$P$41="Complete",O390+L390,"n.a."))</f>
        <v>0</v>
      </c>
      <c r="Q390" s="16">
        <f>IF(NOT(Paths!$C$41=1),0,IF(Paths!$P$41="Complete",N390*(1+'Operating costs'!$B$54)^-C390,"n.a."))</f>
        <v>0</v>
      </c>
      <c r="R390" s="16">
        <f>IF(NOT(Paths!$C$41=1),0,IF(Paths!$P$41="Complete",IF(AND(C390=0,Paths!$E$41=0),I390-J390-K390+VLOOKUP(A390,'Fleet register'!$A$7:$S$106,15,FALSE)+VLOOKUP(A390,'Fleet register'!$A$7:$S$106,16,FALSE),0),"n.a."))</f>
        <v>0</v>
      </c>
      <c r="S390" s="1">
        <f>IF(NOT(Paths!$C$41=1),0,IF(Paths!$P$41="Complete",IF(C390=0,0,Paths!$S$41*Paths!$R$41),"n.a."))</f>
        <v>0</v>
      </c>
      <c r="T390" s="1">
        <f>IF(NOT(Paths!$C$41=1),0,IF(Paths!$P$41="Complete",IF(C390=0,0,VLOOKUP(A390,'Fleet register'!$A$7:$S$106,9,FALSE)*Paths!$R$41),"n.a."))</f>
        <v>0</v>
      </c>
    </row>
    <row r="391" spans="1:20" ht="24" customHeight="1">
      <c r="A391" s="1" t="str">
        <f>Paths!$A$41</f>
        <v>T009</v>
      </c>
      <c r="B391" s="1">
        <f>Paths!$B$41</f>
        <v>2</v>
      </c>
      <c r="C391" s="1">
        <v>10</v>
      </c>
      <c r="D391" s="1">
        <v>41</v>
      </c>
      <c r="E391" s="1">
        <f>IF(OR(Paths!$C$41=0,C391=0),0,MAX(0,MIN(C391*12,Paths!$E$41)-(C391-1)*12))</f>
        <v>0</v>
      </c>
      <c r="F391" s="1">
        <f>IF(OR(Paths!$C$41=0,C391=0),0,12-E391)</f>
        <v>0</v>
      </c>
      <c r="G391" s="16">
        <f>IF(NOT(Paths!$C$41=1),0,IF(Paths!$P$41="Complete",E391/12*(Paths!$J$41*(1+'Operating costs'!$B$51)^MAX(0,C391-1)+Paths!$K$41*(1+'Operating costs'!$B$53)^MAX(0,C391-1)),"n.a."))</f>
        <v>0</v>
      </c>
      <c r="H391" s="16">
        <f>IF(NOT(Paths!$C$41=1),0,IF(Paths!$P$41="Complete",F391/12*(Paths!$L$41*(1+IF(Paths!$D$41="EV",'Operating costs'!$B$52,'Operating costs'!$B$51))^MAX(0,C391-1)+Paths!$M$41*(1+'Operating costs'!$B$53)^MAX(0,C391-1)),"n.a."))</f>
        <v>0</v>
      </c>
      <c r="I391" s="16">
        <f>IF(NOT(Paths!$C$41=1),0,IF(Paths!$P$41="Complete",IF(IF(Paths!$E$41=0,C391=0,AND(C391&gt;0,Paths!$E$41&gt;(C391-1)*12,Paths!$E$41&lt;=C391*12)),Paths!$G$41,0),"n.a."))</f>
        <v>0</v>
      </c>
      <c r="J391" s="16">
        <f>IF(NOT(Paths!$C$41=1),0,IF(Paths!$P$41="Complete",IF(IF(Paths!$E$41=0,C391=0,AND(C391&gt;0,Paths!$E$41&gt;(C391-1)*12,Paths!$E$41&lt;=C391*12)),Paths!$H$41,0),"n.a."))</f>
        <v>0</v>
      </c>
      <c r="K391" s="16">
        <f>IF(NOT(Paths!$C$41=1),0,IF(Paths!$P$41="Complete",IF(IF(Paths!$O$41=0,C391=0,AND(C391&gt;0,Paths!$O$41&gt;(C391-1)*12,Paths!$O$41&lt;=C391*12)),Paths!$N$41,0),"n.a."))</f>
        <v>0</v>
      </c>
      <c r="L391" s="16">
        <f>IF(NOT(Paths!$C$41=1),0,IF(Paths!$P$41="Complete",IF(C391=10,Paths!$I$41,0),"n.a."))</f>
        <v>0</v>
      </c>
      <c r="M391" s="16">
        <f>IF(NOT(Paths!$C$41=1),0,IF(Paths!$P$41="Complete",IF(AND(Paths!$D$41="EV",Paths!$E$41&lt;120,Paths!$E$41+'Operating costs'!$B$65&gt;Paths!$E$41,Paths!$E$41+'Operating costs'!$B$65&lt;=120,IF(Paths!$E$41+'Operating costs'!$B$65=0,C391=0,AND(C391&gt;0,Paths!$E$41+'Operating costs'!$B$65&gt;(C391-1)*12,Paths!$E$41+'Operating costs'!$B$65&lt;=C391*12))),'Operating costs'!$B$64,0)+IF(AND('Operating costs'!$B$67&gt;0,'Operating costs'!$B$67&lt;=120,OR(Paths!$D$41="ICE",'Operating costs'!$B$67&lt;=Paths!$E$41),IF('Operating costs'!$B$67=0,C391=0,AND(C391&gt;0,'Operating costs'!$B$67&gt;(C391-1)*12,'Operating costs'!$B$67&lt;=C391*12))),'Operating costs'!$B$66,0),"n.a."))</f>
        <v>0</v>
      </c>
      <c r="N391" s="16">
        <f>IF(NOT(Paths!$C$41=1),0,IF(Paths!$P$41="Complete",SUM(G391:I391)-J391-K391-L391+M391+IF(C391=0,Paths!$F$41,0)+IF(IF(Paths!$E$41=0,C391=0,AND(C391&gt;0,Paths!$E$41&gt;(C391-1)*12,Paths!$E$41&lt;=C391*12)),VLOOKUP(A391,'Fleet register'!$A$7:$S$106,16,FALSE),0),"n.a."))</f>
        <v>0</v>
      </c>
      <c r="O391" s="16">
        <f>IF(NOT(Paths!$C$41=1),0,IF(Paths!$P$41="Complete",N391-IF(C391=0,Paths!$F$41,0),"n.a."))</f>
        <v>0</v>
      </c>
      <c r="P391" s="16">
        <f>IF(NOT(Paths!$C$41=1),0,IF(Paths!$P$41="Complete",O391+L391,"n.a."))</f>
        <v>0</v>
      </c>
      <c r="Q391" s="16">
        <f>IF(NOT(Paths!$C$41=1),0,IF(Paths!$P$41="Complete",N391*(1+'Operating costs'!$B$54)^-C391,"n.a."))</f>
        <v>0</v>
      </c>
      <c r="R391" s="16">
        <f>IF(NOT(Paths!$C$41=1),0,IF(Paths!$P$41="Complete",IF(AND(C391=0,Paths!$E$41=0),I391-J391-K391+VLOOKUP(A391,'Fleet register'!$A$7:$S$106,15,FALSE)+VLOOKUP(A391,'Fleet register'!$A$7:$S$106,16,FALSE),0),"n.a."))</f>
        <v>0</v>
      </c>
      <c r="S391" s="1">
        <f>IF(NOT(Paths!$C$41=1),0,IF(Paths!$P$41="Complete",IF(C391=0,0,Paths!$S$41*Paths!$R$41),"n.a."))</f>
        <v>0</v>
      </c>
      <c r="T391" s="1">
        <f>IF(NOT(Paths!$C$41=1),0,IF(Paths!$P$41="Complete",IF(C391=0,0,VLOOKUP(A391,'Fleet register'!$A$7:$S$106,9,FALSE)*Paths!$R$41),"n.a."))</f>
        <v>0</v>
      </c>
    </row>
    <row r="392" spans="1:20" ht="24" customHeight="1">
      <c r="A392" s="1" t="str">
        <f>Paths!$A$42</f>
        <v>T009</v>
      </c>
      <c r="B392" s="1">
        <f>Paths!$B$42</f>
        <v>3</v>
      </c>
      <c r="C392" s="1">
        <v>0</v>
      </c>
      <c r="D392" s="1">
        <v>42</v>
      </c>
      <c r="E392" s="1">
        <f>IF(OR(Paths!$C$42=0,C392=0),0,MAX(0,MIN(C392*12,Paths!$E$42)-(C392-1)*12))</f>
        <v>0</v>
      </c>
      <c r="F392" s="1">
        <f>IF(OR(Paths!$C$42=0,C392=0),0,12-E392)</f>
        <v>0</v>
      </c>
      <c r="G392" s="16">
        <f>IF(NOT(Paths!$C$42=1),0,IF(Paths!$P$42="Complete",E392/12*(Paths!$J$42*(1+'Operating costs'!$B$51)^MAX(0,C392-1)+Paths!$K$42*(1+'Operating costs'!$B$53)^MAX(0,C392-1)),"n.a."))</f>
        <v>0</v>
      </c>
      <c r="H392" s="16">
        <f>IF(NOT(Paths!$C$42=1),0,IF(Paths!$P$42="Complete",F392/12*(Paths!$L$42*(1+IF(Paths!$D$42="EV",'Operating costs'!$B$52,'Operating costs'!$B$51))^MAX(0,C392-1)+Paths!$M$42*(1+'Operating costs'!$B$53)^MAX(0,C392-1)),"n.a."))</f>
        <v>0</v>
      </c>
      <c r="I392" s="16">
        <f>IF(NOT(Paths!$C$42=1),0,IF(Paths!$P$42="Complete",IF(IF(Paths!$E$42=0,C392=0,AND(C392&gt;0,Paths!$E$42&gt;(C392-1)*12,Paths!$E$42&lt;=C392*12)),Paths!$G$42,0),"n.a."))</f>
        <v>0</v>
      </c>
      <c r="J392" s="16">
        <f>IF(NOT(Paths!$C$42=1),0,IF(Paths!$P$42="Complete",IF(IF(Paths!$E$42=0,C392=0,AND(C392&gt;0,Paths!$E$42&gt;(C392-1)*12,Paths!$E$42&lt;=C392*12)),Paths!$H$42,0),"n.a."))</f>
        <v>0</v>
      </c>
      <c r="K392" s="16">
        <f>IF(NOT(Paths!$C$42=1),0,IF(Paths!$P$42="Complete",IF(IF(Paths!$O$42=0,C392=0,AND(C392&gt;0,Paths!$O$42&gt;(C392-1)*12,Paths!$O$42&lt;=C392*12)),Paths!$N$42,0),"n.a."))</f>
        <v>0</v>
      </c>
      <c r="L392" s="16">
        <f>IF(NOT(Paths!$C$42=1),0,IF(Paths!$P$42="Complete",IF(C392=10,Paths!$I$42,0),"n.a."))</f>
        <v>0</v>
      </c>
      <c r="M392" s="16">
        <f>IF(NOT(Paths!$C$42=1),0,IF(Paths!$P$42="Complete",IF(AND(Paths!$D$42="EV",Paths!$E$42&lt;120,Paths!$E$42+'Operating costs'!$B$65&gt;Paths!$E$42,Paths!$E$42+'Operating costs'!$B$65&lt;=120,IF(Paths!$E$42+'Operating costs'!$B$65=0,C392=0,AND(C392&gt;0,Paths!$E$42+'Operating costs'!$B$65&gt;(C392-1)*12,Paths!$E$42+'Operating costs'!$B$65&lt;=C392*12))),'Operating costs'!$B$64,0)+IF(AND('Operating costs'!$B$67&gt;0,'Operating costs'!$B$67&lt;=120,OR(Paths!$D$42="ICE",'Operating costs'!$B$67&lt;=Paths!$E$42),IF('Operating costs'!$B$67=0,C392=0,AND(C392&gt;0,'Operating costs'!$B$67&gt;(C392-1)*12,'Operating costs'!$B$67&lt;=C392*12))),'Operating costs'!$B$66,0),"n.a."))</f>
        <v>0</v>
      </c>
      <c r="N392" s="16">
        <f>IF(NOT(Paths!$C$42=1),0,IF(Paths!$P$42="Complete",SUM(G392:I392)-J392-K392-L392+M392+IF(C392=0,Paths!$F$42,0)+IF(IF(Paths!$E$42=0,C392=0,AND(C392&gt;0,Paths!$E$42&gt;(C392-1)*12,Paths!$E$42&lt;=C392*12)),VLOOKUP(A392,'Fleet register'!$A$7:$S$106,16,FALSE),0),"n.a."))</f>
        <v>0</v>
      </c>
      <c r="O392" s="16">
        <f>IF(NOT(Paths!$C$42=1),0,IF(Paths!$P$42="Complete",N392-IF(C392=0,Paths!$F$42,0),"n.a."))</f>
        <v>0</v>
      </c>
      <c r="P392" s="16">
        <f>IF(NOT(Paths!$C$42=1),0,IF(Paths!$P$42="Complete",O392+L392,"n.a."))</f>
        <v>0</v>
      </c>
      <c r="Q392" s="16">
        <f>IF(NOT(Paths!$C$42=1),0,IF(Paths!$P$42="Complete",N392*(1+'Operating costs'!$B$54)^-C392,"n.a."))</f>
        <v>0</v>
      </c>
      <c r="R392" s="16">
        <f>IF(NOT(Paths!$C$42=1),0,IF(Paths!$P$42="Complete",IF(AND(C392=0,Paths!$E$42=0),I392-J392-K392+VLOOKUP(A392,'Fleet register'!$A$7:$S$106,15,FALSE)+VLOOKUP(A392,'Fleet register'!$A$7:$S$106,16,FALSE),0),"n.a."))</f>
        <v>0</v>
      </c>
      <c r="S392" s="1">
        <f>IF(NOT(Paths!$C$42=1),0,IF(Paths!$P$42="Complete",IF(C392=0,0,Paths!$S$42*Paths!$R$42),"n.a."))</f>
        <v>0</v>
      </c>
      <c r="T392" s="1">
        <f>IF(NOT(Paths!$C$42=1),0,IF(Paths!$P$42="Complete",IF(C392=0,0,VLOOKUP(A392,'Fleet register'!$A$7:$S$106,9,FALSE)*Paths!$R$42),"n.a."))</f>
        <v>0</v>
      </c>
    </row>
    <row r="393" spans="1:20" ht="24" customHeight="1">
      <c r="A393" s="1" t="str">
        <f>Paths!$A$42</f>
        <v>T009</v>
      </c>
      <c r="B393" s="1">
        <f>Paths!$B$42</f>
        <v>3</v>
      </c>
      <c r="C393" s="1">
        <v>1</v>
      </c>
      <c r="D393" s="1">
        <v>42</v>
      </c>
      <c r="E393" s="1">
        <f>IF(OR(Paths!$C$42=0,C393=0),0,MAX(0,MIN(C393*12,Paths!$E$42)-(C393-1)*12))</f>
        <v>0</v>
      </c>
      <c r="F393" s="1">
        <f>IF(OR(Paths!$C$42=0,C393=0),0,12-E393)</f>
        <v>0</v>
      </c>
      <c r="G393" s="16">
        <f>IF(NOT(Paths!$C$42=1),0,IF(Paths!$P$42="Complete",E393/12*(Paths!$J$42*(1+'Operating costs'!$B$51)^MAX(0,C393-1)+Paths!$K$42*(1+'Operating costs'!$B$53)^MAX(0,C393-1)),"n.a."))</f>
        <v>0</v>
      </c>
      <c r="H393" s="16">
        <f>IF(NOT(Paths!$C$42=1),0,IF(Paths!$P$42="Complete",F393/12*(Paths!$L$42*(1+IF(Paths!$D$42="EV",'Operating costs'!$B$52,'Operating costs'!$B$51))^MAX(0,C393-1)+Paths!$M$42*(1+'Operating costs'!$B$53)^MAX(0,C393-1)),"n.a."))</f>
        <v>0</v>
      </c>
      <c r="I393" s="16">
        <f>IF(NOT(Paths!$C$42=1),0,IF(Paths!$P$42="Complete",IF(IF(Paths!$E$42=0,C393=0,AND(C393&gt;0,Paths!$E$42&gt;(C393-1)*12,Paths!$E$42&lt;=C393*12)),Paths!$G$42,0),"n.a."))</f>
        <v>0</v>
      </c>
      <c r="J393" s="16">
        <f>IF(NOT(Paths!$C$42=1),0,IF(Paths!$P$42="Complete",IF(IF(Paths!$E$42=0,C393=0,AND(C393&gt;0,Paths!$E$42&gt;(C393-1)*12,Paths!$E$42&lt;=C393*12)),Paths!$H$42,0),"n.a."))</f>
        <v>0</v>
      </c>
      <c r="K393" s="16">
        <f>IF(NOT(Paths!$C$42=1),0,IF(Paths!$P$42="Complete",IF(IF(Paths!$O$42=0,C393=0,AND(C393&gt;0,Paths!$O$42&gt;(C393-1)*12,Paths!$O$42&lt;=C393*12)),Paths!$N$42,0),"n.a."))</f>
        <v>0</v>
      </c>
      <c r="L393" s="16">
        <f>IF(NOT(Paths!$C$42=1),0,IF(Paths!$P$42="Complete",IF(C393=10,Paths!$I$42,0),"n.a."))</f>
        <v>0</v>
      </c>
      <c r="M393" s="16">
        <f>IF(NOT(Paths!$C$42=1),0,IF(Paths!$P$42="Complete",IF(AND(Paths!$D$42="EV",Paths!$E$42&lt;120,Paths!$E$42+'Operating costs'!$B$65&gt;Paths!$E$42,Paths!$E$42+'Operating costs'!$B$65&lt;=120,IF(Paths!$E$42+'Operating costs'!$B$65=0,C393=0,AND(C393&gt;0,Paths!$E$42+'Operating costs'!$B$65&gt;(C393-1)*12,Paths!$E$42+'Operating costs'!$B$65&lt;=C393*12))),'Operating costs'!$B$64,0)+IF(AND('Operating costs'!$B$67&gt;0,'Operating costs'!$B$67&lt;=120,OR(Paths!$D$42="ICE",'Operating costs'!$B$67&lt;=Paths!$E$42),IF('Operating costs'!$B$67=0,C393=0,AND(C393&gt;0,'Operating costs'!$B$67&gt;(C393-1)*12,'Operating costs'!$B$67&lt;=C393*12))),'Operating costs'!$B$66,0),"n.a."))</f>
        <v>0</v>
      </c>
      <c r="N393" s="16">
        <f>IF(NOT(Paths!$C$42=1),0,IF(Paths!$P$42="Complete",SUM(G393:I393)-J393-K393-L393+M393+IF(C393=0,Paths!$F$42,0)+IF(IF(Paths!$E$42=0,C393=0,AND(C393&gt;0,Paths!$E$42&gt;(C393-1)*12,Paths!$E$42&lt;=C393*12)),VLOOKUP(A393,'Fleet register'!$A$7:$S$106,16,FALSE),0),"n.a."))</f>
        <v>0</v>
      </c>
      <c r="O393" s="16">
        <f>IF(NOT(Paths!$C$42=1),0,IF(Paths!$P$42="Complete",N393-IF(C393=0,Paths!$F$42,0),"n.a."))</f>
        <v>0</v>
      </c>
      <c r="P393" s="16">
        <f>IF(NOT(Paths!$C$42=1),0,IF(Paths!$P$42="Complete",O393+L393,"n.a."))</f>
        <v>0</v>
      </c>
      <c r="Q393" s="16">
        <f>IF(NOT(Paths!$C$42=1),0,IF(Paths!$P$42="Complete",N393*(1+'Operating costs'!$B$54)^-C393,"n.a."))</f>
        <v>0</v>
      </c>
      <c r="R393" s="16">
        <f>IF(NOT(Paths!$C$42=1),0,IF(Paths!$P$42="Complete",IF(AND(C393=0,Paths!$E$42=0),I393-J393-K393+VLOOKUP(A393,'Fleet register'!$A$7:$S$106,15,FALSE)+VLOOKUP(A393,'Fleet register'!$A$7:$S$106,16,FALSE),0),"n.a."))</f>
        <v>0</v>
      </c>
      <c r="S393" s="1">
        <f>IF(NOT(Paths!$C$42=1),0,IF(Paths!$P$42="Complete",IF(C393=0,0,Paths!$S$42*Paths!$R$42),"n.a."))</f>
        <v>0</v>
      </c>
      <c r="T393" s="1">
        <f>IF(NOT(Paths!$C$42=1),0,IF(Paths!$P$42="Complete",IF(C393=0,0,VLOOKUP(A393,'Fleet register'!$A$7:$S$106,9,FALSE)*Paths!$R$42),"n.a."))</f>
        <v>0</v>
      </c>
    </row>
    <row r="394" spans="1:20" ht="24" customHeight="1">
      <c r="A394" s="1" t="str">
        <f>Paths!$A$42</f>
        <v>T009</v>
      </c>
      <c r="B394" s="1">
        <f>Paths!$B$42</f>
        <v>3</v>
      </c>
      <c r="C394" s="1">
        <v>2</v>
      </c>
      <c r="D394" s="1">
        <v>42</v>
      </c>
      <c r="E394" s="1">
        <f>IF(OR(Paths!$C$42=0,C394=0),0,MAX(0,MIN(C394*12,Paths!$E$42)-(C394-1)*12))</f>
        <v>0</v>
      </c>
      <c r="F394" s="1">
        <f>IF(OR(Paths!$C$42=0,C394=0),0,12-E394)</f>
        <v>0</v>
      </c>
      <c r="G394" s="16">
        <f>IF(NOT(Paths!$C$42=1),0,IF(Paths!$P$42="Complete",E394/12*(Paths!$J$42*(1+'Operating costs'!$B$51)^MAX(0,C394-1)+Paths!$K$42*(1+'Operating costs'!$B$53)^MAX(0,C394-1)),"n.a."))</f>
        <v>0</v>
      </c>
      <c r="H394" s="16">
        <f>IF(NOT(Paths!$C$42=1),0,IF(Paths!$P$42="Complete",F394/12*(Paths!$L$42*(1+IF(Paths!$D$42="EV",'Operating costs'!$B$52,'Operating costs'!$B$51))^MAX(0,C394-1)+Paths!$M$42*(1+'Operating costs'!$B$53)^MAX(0,C394-1)),"n.a."))</f>
        <v>0</v>
      </c>
      <c r="I394" s="16">
        <f>IF(NOT(Paths!$C$42=1),0,IF(Paths!$P$42="Complete",IF(IF(Paths!$E$42=0,C394=0,AND(C394&gt;0,Paths!$E$42&gt;(C394-1)*12,Paths!$E$42&lt;=C394*12)),Paths!$G$42,0),"n.a."))</f>
        <v>0</v>
      </c>
      <c r="J394" s="16">
        <f>IF(NOT(Paths!$C$42=1),0,IF(Paths!$P$42="Complete",IF(IF(Paths!$E$42=0,C394=0,AND(C394&gt;0,Paths!$E$42&gt;(C394-1)*12,Paths!$E$42&lt;=C394*12)),Paths!$H$42,0),"n.a."))</f>
        <v>0</v>
      </c>
      <c r="K394" s="16">
        <f>IF(NOT(Paths!$C$42=1),0,IF(Paths!$P$42="Complete",IF(IF(Paths!$O$42=0,C394=0,AND(C394&gt;0,Paths!$O$42&gt;(C394-1)*12,Paths!$O$42&lt;=C394*12)),Paths!$N$42,0),"n.a."))</f>
        <v>0</v>
      </c>
      <c r="L394" s="16">
        <f>IF(NOT(Paths!$C$42=1),0,IF(Paths!$P$42="Complete",IF(C394=10,Paths!$I$42,0),"n.a."))</f>
        <v>0</v>
      </c>
      <c r="M394" s="16">
        <f>IF(NOT(Paths!$C$42=1),0,IF(Paths!$P$42="Complete",IF(AND(Paths!$D$42="EV",Paths!$E$42&lt;120,Paths!$E$42+'Operating costs'!$B$65&gt;Paths!$E$42,Paths!$E$42+'Operating costs'!$B$65&lt;=120,IF(Paths!$E$42+'Operating costs'!$B$65=0,C394=0,AND(C394&gt;0,Paths!$E$42+'Operating costs'!$B$65&gt;(C394-1)*12,Paths!$E$42+'Operating costs'!$B$65&lt;=C394*12))),'Operating costs'!$B$64,0)+IF(AND('Operating costs'!$B$67&gt;0,'Operating costs'!$B$67&lt;=120,OR(Paths!$D$42="ICE",'Operating costs'!$B$67&lt;=Paths!$E$42),IF('Operating costs'!$B$67=0,C394=0,AND(C394&gt;0,'Operating costs'!$B$67&gt;(C394-1)*12,'Operating costs'!$B$67&lt;=C394*12))),'Operating costs'!$B$66,0),"n.a."))</f>
        <v>0</v>
      </c>
      <c r="N394" s="16">
        <f>IF(NOT(Paths!$C$42=1),0,IF(Paths!$P$42="Complete",SUM(G394:I394)-J394-K394-L394+M394+IF(C394=0,Paths!$F$42,0)+IF(IF(Paths!$E$42=0,C394=0,AND(C394&gt;0,Paths!$E$42&gt;(C394-1)*12,Paths!$E$42&lt;=C394*12)),VLOOKUP(A394,'Fleet register'!$A$7:$S$106,16,FALSE),0),"n.a."))</f>
        <v>0</v>
      </c>
      <c r="O394" s="16">
        <f>IF(NOT(Paths!$C$42=1),0,IF(Paths!$P$42="Complete",N394-IF(C394=0,Paths!$F$42,0),"n.a."))</f>
        <v>0</v>
      </c>
      <c r="P394" s="16">
        <f>IF(NOT(Paths!$C$42=1),0,IF(Paths!$P$42="Complete",O394+L394,"n.a."))</f>
        <v>0</v>
      </c>
      <c r="Q394" s="16">
        <f>IF(NOT(Paths!$C$42=1),0,IF(Paths!$P$42="Complete",N394*(1+'Operating costs'!$B$54)^-C394,"n.a."))</f>
        <v>0</v>
      </c>
      <c r="R394" s="16">
        <f>IF(NOT(Paths!$C$42=1),0,IF(Paths!$P$42="Complete",IF(AND(C394=0,Paths!$E$42=0),I394-J394-K394+VLOOKUP(A394,'Fleet register'!$A$7:$S$106,15,FALSE)+VLOOKUP(A394,'Fleet register'!$A$7:$S$106,16,FALSE),0),"n.a."))</f>
        <v>0</v>
      </c>
      <c r="S394" s="1">
        <f>IF(NOT(Paths!$C$42=1),0,IF(Paths!$P$42="Complete",IF(C394=0,0,Paths!$S$42*Paths!$R$42),"n.a."))</f>
        <v>0</v>
      </c>
      <c r="T394" s="1">
        <f>IF(NOT(Paths!$C$42=1),0,IF(Paths!$P$42="Complete",IF(C394=0,0,VLOOKUP(A394,'Fleet register'!$A$7:$S$106,9,FALSE)*Paths!$R$42),"n.a."))</f>
        <v>0</v>
      </c>
    </row>
    <row r="395" spans="1:20" ht="24" customHeight="1">
      <c r="A395" s="1" t="str">
        <f>Paths!$A$42</f>
        <v>T009</v>
      </c>
      <c r="B395" s="1">
        <f>Paths!$B$42</f>
        <v>3</v>
      </c>
      <c r="C395" s="1">
        <v>3</v>
      </c>
      <c r="D395" s="1">
        <v>42</v>
      </c>
      <c r="E395" s="1">
        <f>IF(OR(Paths!$C$42=0,C395=0),0,MAX(0,MIN(C395*12,Paths!$E$42)-(C395-1)*12))</f>
        <v>0</v>
      </c>
      <c r="F395" s="1">
        <f>IF(OR(Paths!$C$42=0,C395=0),0,12-E395)</f>
        <v>0</v>
      </c>
      <c r="G395" s="16">
        <f>IF(NOT(Paths!$C$42=1),0,IF(Paths!$P$42="Complete",E395/12*(Paths!$J$42*(1+'Operating costs'!$B$51)^MAX(0,C395-1)+Paths!$K$42*(1+'Operating costs'!$B$53)^MAX(0,C395-1)),"n.a."))</f>
        <v>0</v>
      </c>
      <c r="H395" s="16">
        <f>IF(NOT(Paths!$C$42=1),0,IF(Paths!$P$42="Complete",F395/12*(Paths!$L$42*(1+IF(Paths!$D$42="EV",'Operating costs'!$B$52,'Operating costs'!$B$51))^MAX(0,C395-1)+Paths!$M$42*(1+'Operating costs'!$B$53)^MAX(0,C395-1)),"n.a."))</f>
        <v>0</v>
      </c>
      <c r="I395" s="16">
        <f>IF(NOT(Paths!$C$42=1),0,IF(Paths!$P$42="Complete",IF(IF(Paths!$E$42=0,C395=0,AND(C395&gt;0,Paths!$E$42&gt;(C395-1)*12,Paths!$E$42&lt;=C395*12)),Paths!$G$42,0),"n.a."))</f>
        <v>0</v>
      </c>
      <c r="J395" s="16">
        <f>IF(NOT(Paths!$C$42=1),0,IF(Paths!$P$42="Complete",IF(IF(Paths!$E$42=0,C395=0,AND(C395&gt;0,Paths!$E$42&gt;(C395-1)*12,Paths!$E$42&lt;=C395*12)),Paths!$H$42,0),"n.a."))</f>
        <v>0</v>
      </c>
      <c r="K395" s="16">
        <f>IF(NOT(Paths!$C$42=1),0,IF(Paths!$P$42="Complete",IF(IF(Paths!$O$42=0,C395=0,AND(C395&gt;0,Paths!$O$42&gt;(C395-1)*12,Paths!$O$42&lt;=C395*12)),Paths!$N$42,0),"n.a."))</f>
        <v>0</v>
      </c>
      <c r="L395" s="16">
        <f>IF(NOT(Paths!$C$42=1),0,IF(Paths!$P$42="Complete",IF(C395=10,Paths!$I$42,0),"n.a."))</f>
        <v>0</v>
      </c>
      <c r="M395" s="16">
        <f>IF(NOT(Paths!$C$42=1),0,IF(Paths!$P$42="Complete",IF(AND(Paths!$D$42="EV",Paths!$E$42&lt;120,Paths!$E$42+'Operating costs'!$B$65&gt;Paths!$E$42,Paths!$E$42+'Operating costs'!$B$65&lt;=120,IF(Paths!$E$42+'Operating costs'!$B$65=0,C395=0,AND(C395&gt;0,Paths!$E$42+'Operating costs'!$B$65&gt;(C395-1)*12,Paths!$E$42+'Operating costs'!$B$65&lt;=C395*12))),'Operating costs'!$B$64,0)+IF(AND('Operating costs'!$B$67&gt;0,'Operating costs'!$B$67&lt;=120,OR(Paths!$D$42="ICE",'Operating costs'!$B$67&lt;=Paths!$E$42),IF('Operating costs'!$B$67=0,C395=0,AND(C395&gt;0,'Operating costs'!$B$67&gt;(C395-1)*12,'Operating costs'!$B$67&lt;=C395*12))),'Operating costs'!$B$66,0),"n.a."))</f>
        <v>0</v>
      </c>
      <c r="N395" s="16">
        <f>IF(NOT(Paths!$C$42=1),0,IF(Paths!$P$42="Complete",SUM(G395:I395)-J395-K395-L395+M395+IF(C395=0,Paths!$F$42,0)+IF(IF(Paths!$E$42=0,C395=0,AND(C395&gt;0,Paths!$E$42&gt;(C395-1)*12,Paths!$E$42&lt;=C395*12)),VLOOKUP(A395,'Fleet register'!$A$7:$S$106,16,FALSE),0),"n.a."))</f>
        <v>0</v>
      </c>
      <c r="O395" s="16">
        <f>IF(NOT(Paths!$C$42=1),0,IF(Paths!$P$42="Complete",N395-IF(C395=0,Paths!$F$42,0),"n.a."))</f>
        <v>0</v>
      </c>
      <c r="P395" s="16">
        <f>IF(NOT(Paths!$C$42=1),0,IF(Paths!$P$42="Complete",O395+L395,"n.a."))</f>
        <v>0</v>
      </c>
      <c r="Q395" s="16">
        <f>IF(NOT(Paths!$C$42=1),0,IF(Paths!$P$42="Complete",N395*(1+'Operating costs'!$B$54)^-C395,"n.a."))</f>
        <v>0</v>
      </c>
      <c r="R395" s="16">
        <f>IF(NOT(Paths!$C$42=1),0,IF(Paths!$P$42="Complete",IF(AND(C395=0,Paths!$E$42=0),I395-J395-K395+VLOOKUP(A395,'Fleet register'!$A$7:$S$106,15,FALSE)+VLOOKUP(A395,'Fleet register'!$A$7:$S$106,16,FALSE),0),"n.a."))</f>
        <v>0</v>
      </c>
      <c r="S395" s="1">
        <f>IF(NOT(Paths!$C$42=1),0,IF(Paths!$P$42="Complete",IF(C395=0,0,Paths!$S$42*Paths!$R$42),"n.a."))</f>
        <v>0</v>
      </c>
      <c r="T395" s="1">
        <f>IF(NOT(Paths!$C$42=1),0,IF(Paths!$P$42="Complete",IF(C395=0,0,VLOOKUP(A395,'Fleet register'!$A$7:$S$106,9,FALSE)*Paths!$R$42),"n.a."))</f>
        <v>0</v>
      </c>
    </row>
    <row r="396" spans="1:20" ht="24" customHeight="1">
      <c r="A396" s="1" t="str">
        <f>Paths!$A$42</f>
        <v>T009</v>
      </c>
      <c r="B396" s="1">
        <f>Paths!$B$42</f>
        <v>3</v>
      </c>
      <c r="C396" s="1">
        <v>4</v>
      </c>
      <c r="D396" s="1">
        <v>42</v>
      </c>
      <c r="E396" s="1">
        <f>IF(OR(Paths!$C$42=0,C396=0),0,MAX(0,MIN(C396*12,Paths!$E$42)-(C396-1)*12))</f>
        <v>0</v>
      </c>
      <c r="F396" s="1">
        <f>IF(OR(Paths!$C$42=0,C396=0),0,12-E396)</f>
        <v>0</v>
      </c>
      <c r="G396" s="16">
        <f>IF(NOT(Paths!$C$42=1),0,IF(Paths!$P$42="Complete",E396/12*(Paths!$J$42*(1+'Operating costs'!$B$51)^MAX(0,C396-1)+Paths!$K$42*(1+'Operating costs'!$B$53)^MAX(0,C396-1)),"n.a."))</f>
        <v>0</v>
      </c>
      <c r="H396" s="16">
        <f>IF(NOT(Paths!$C$42=1),0,IF(Paths!$P$42="Complete",F396/12*(Paths!$L$42*(1+IF(Paths!$D$42="EV",'Operating costs'!$B$52,'Operating costs'!$B$51))^MAX(0,C396-1)+Paths!$M$42*(1+'Operating costs'!$B$53)^MAX(0,C396-1)),"n.a."))</f>
        <v>0</v>
      </c>
      <c r="I396" s="16">
        <f>IF(NOT(Paths!$C$42=1),0,IF(Paths!$P$42="Complete",IF(IF(Paths!$E$42=0,C396=0,AND(C396&gt;0,Paths!$E$42&gt;(C396-1)*12,Paths!$E$42&lt;=C396*12)),Paths!$G$42,0),"n.a."))</f>
        <v>0</v>
      </c>
      <c r="J396" s="16">
        <f>IF(NOT(Paths!$C$42=1),0,IF(Paths!$P$42="Complete",IF(IF(Paths!$E$42=0,C396=0,AND(C396&gt;0,Paths!$E$42&gt;(C396-1)*12,Paths!$E$42&lt;=C396*12)),Paths!$H$42,0),"n.a."))</f>
        <v>0</v>
      </c>
      <c r="K396" s="16">
        <f>IF(NOT(Paths!$C$42=1),0,IF(Paths!$P$42="Complete",IF(IF(Paths!$O$42=0,C396=0,AND(C396&gt;0,Paths!$O$42&gt;(C396-1)*12,Paths!$O$42&lt;=C396*12)),Paths!$N$42,0),"n.a."))</f>
        <v>0</v>
      </c>
      <c r="L396" s="16">
        <f>IF(NOT(Paths!$C$42=1),0,IF(Paths!$P$42="Complete",IF(C396=10,Paths!$I$42,0),"n.a."))</f>
        <v>0</v>
      </c>
      <c r="M396" s="16">
        <f>IF(NOT(Paths!$C$42=1),0,IF(Paths!$P$42="Complete",IF(AND(Paths!$D$42="EV",Paths!$E$42&lt;120,Paths!$E$42+'Operating costs'!$B$65&gt;Paths!$E$42,Paths!$E$42+'Operating costs'!$B$65&lt;=120,IF(Paths!$E$42+'Operating costs'!$B$65=0,C396=0,AND(C396&gt;0,Paths!$E$42+'Operating costs'!$B$65&gt;(C396-1)*12,Paths!$E$42+'Operating costs'!$B$65&lt;=C396*12))),'Operating costs'!$B$64,0)+IF(AND('Operating costs'!$B$67&gt;0,'Operating costs'!$B$67&lt;=120,OR(Paths!$D$42="ICE",'Operating costs'!$B$67&lt;=Paths!$E$42),IF('Operating costs'!$B$67=0,C396=0,AND(C396&gt;0,'Operating costs'!$B$67&gt;(C396-1)*12,'Operating costs'!$B$67&lt;=C396*12))),'Operating costs'!$B$66,0),"n.a."))</f>
        <v>0</v>
      </c>
      <c r="N396" s="16">
        <f>IF(NOT(Paths!$C$42=1),0,IF(Paths!$P$42="Complete",SUM(G396:I396)-J396-K396-L396+M396+IF(C396=0,Paths!$F$42,0)+IF(IF(Paths!$E$42=0,C396=0,AND(C396&gt;0,Paths!$E$42&gt;(C396-1)*12,Paths!$E$42&lt;=C396*12)),VLOOKUP(A396,'Fleet register'!$A$7:$S$106,16,FALSE),0),"n.a."))</f>
        <v>0</v>
      </c>
      <c r="O396" s="16">
        <f>IF(NOT(Paths!$C$42=1),0,IF(Paths!$P$42="Complete",N396-IF(C396=0,Paths!$F$42,0),"n.a."))</f>
        <v>0</v>
      </c>
      <c r="P396" s="16">
        <f>IF(NOT(Paths!$C$42=1),0,IF(Paths!$P$42="Complete",O396+L396,"n.a."))</f>
        <v>0</v>
      </c>
      <c r="Q396" s="16">
        <f>IF(NOT(Paths!$C$42=1),0,IF(Paths!$P$42="Complete",N396*(1+'Operating costs'!$B$54)^-C396,"n.a."))</f>
        <v>0</v>
      </c>
      <c r="R396" s="16">
        <f>IF(NOT(Paths!$C$42=1),0,IF(Paths!$P$42="Complete",IF(AND(C396=0,Paths!$E$42=0),I396-J396-K396+VLOOKUP(A396,'Fleet register'!$A$7:$S$106,15,FALSE)+VLOOKUP(A396,'Fleet register'!$A$7:$S$106,16,FALSE),0),"n.a."))</f>
        <v>0</v>
      </c>
      <c r="S396" s="1">
        <f>IF(NOT(Paths!$C$42=1),0,IF(Paths!$P$42="Complete",IF(C396=0,0,Paths!$S$42*Paths!$R$42),"n.a."))</f>
        <v>0</v>
      </c>
      <c r="T396" s="1">
        <f>IF(NOT(Paths!$C$42=1),0,IF(Paths!$P$42="Complete",IF(C396=0,0,VLOOKUP(A396,'Fleet register'!$A$7:$S$106,9,FALSE)*Paths!$R$42),"n.a."))</f>
        <v>0</v>
      </c>
    </row>
    <row r="397" spans="1:20" ht="24" customHeight="1">
      <c r="A397" s="1" t="str">
        <f>Paths!$A$42</f>
        <v>T009</v>
      </c>
      <c r="B397" s="1">
        <f>Paths!$B$42</f>
        <v>3</v>
      </c>
      <c r="C397" s="1">
        <v>5</v>
      </c>
      <c r="D397" s="1">
        <v>42</v>
      </c>
      <c r="E397" s="1">
        <f>IF(OR(Paths!$C$42=0,C397=0),0,MAX(0,MIN(C397*12,Paths!$E$42)-(C397-1)*12))</f>
        <v>0</v>
      </c>
      <c r="F397" s="1">
        <f>IF(OR(Paths!$C$42=0,C397=0),0,12-E397)</f>
        <v>0</v>
      </c>
      <c r="G397" s="16">
        <f>IF(NOT(Paths!$C$42=1),0,IF(Paths!$P$42="Complete",E397/12*(Paths!$J$42*(1+'Operating costs'!$B$51)^MAX(0,C397-1)+Paths!$K$42*(1+'Operating costs'!$B$53)^MAX(0,C397-1)),"n.a."))</f>
        <v>0</v>
      </c>
      <c r="H397" s="16">
        <f>IF(NOT(Paths!$C$42=1),0,IF(Paths!$P$42="Complete",F397/12*(Paths!$L$42*(1+IF(Paths!$D$42="EV",'Operating costs'!$B$52,'Operating costs'!$B$51))^MAX(0,C397-1)+Paths!$M$42*(1+'Operating costs'!$B$53)^MAX(0,C397-1)),"n.a."))</f>
        <v>0</v>
      </c>
      <c r="I397" s="16">
        <f>IF(NOT(Paths!$C$42=1),0,IF(Paths!$P$42="Complete",IF(IF(Paths!$E$42=0,C397=0,AND(C397&gt;0,Paths!$E$42&gt;(C397-1)*12,Paths!$E$42&lt;=C397*12)),Paths!$G$42,0),"n.a."))</f>
        <v>0</v>
      </c>
      <c r="J397" s="16">
        <f>IF(NOT(Paths!$C$42=1),0,IF(Paths!$P$42="Complete",IF(IF(Paths!$E$42=0,C397=0,AND(C397&gt;0,Paths!$E$42&gt;(C397-1)*12,Paths!$E$42&lt;=C397*12)),Paths!$H$42,0),"n.a."))</f>
        <v>0</v>
      </c>
      <c r="K397" s="16">
        <f>IF(NOT(Paths!$C$42=1),0,IF(Paths!$P$42="Complete",IF(IF(Paths!$O$42=0,C397=0,AND(C397&gt;0,Paths!$O$42&gt;(C397-1)*12,Paths!$O$42&lt;=C397*12)),Paths!$N$42,0),"n.a."))</f>
        <v>0</v>
      </c>
      <c r="L397" s="16">
        <f>IF(NOT(Paths!$C$42=1),0,IF(Paths!$P$42="Complete",IF(C397=10,Paths!$I$42,0),"n.a."))</f>
        <v>0</v>
      </c>
      <c r="M397" s="16">
        <f>IF(NOT(Paths!$C$42=1),0,IF(Paths!$P$42="Complete",IF(AND(Paths!$D$42="EV",Paths!$E$42&lt;120,Paths!$E$42+'Operating costs'!$B$65&gt;Paths!$E$42,Paths!$E$42+'Operating costs'!$B$65&lt;=120,IF(Paths!$E$42+'Operating costs'!$B$65=0,C397=0,AND(C397&gt;0,Paths!$E$42+'Operating costs'!$B$65&gt;(C397-1)*12,Paths!$E$42+'Operating costs'!$B$65&lt;=C397*12))),'Operating costs'!$B$64,0)+IF(AND('Operating costs'!$B$67&gt;0,'Operating costs'!$B$67&lt;=120,OR(Paths!$D$42="ICE",'Operating costs'!$B$67&lt;=Paths!$E$42),IF('Operating costs'!$B$67=0,C397=0,AND(C397&gt;0,'Operating costs'!$B$67&gt;(C397-1)*12,'Operating costs'!$B$67&lt;=C397*12))),'Operating costs'!$B$66,0),"n.a."))</f>
        <v>0</v>
      </c>
      <c r="N397" s="16">
        <f>IF(NOT(Paths!$C$42=1),0,IF(Paths!$P$42="Complete",SUM(G397:I397)-J397-K397-L397+M397+IF(C397=0,Paths!$F$42,0)+IF(IF(Paths!$E$42=0,C397=0,AND(C397&gt;0,Paths!$E$42&gt;(C397-1)*12,Paths!$E$42&lt;=C397*12)),VLOOKUP(A397,'Fleet register'!$A$7:$S$106,16,FALSE),0),"n.a."))</f>
        <v>0</v>
      </c>
      <c r="O397" s="16">
        <f>IF(NOT(Paths!$C$42=1),0,IF(Paths!$P$42="Complete",N397-IF(C397=0,Paths!$F$42,0),"n.a."))</f>
        <v>0</v>
      </c>
      <c r="P397" s="16">
        <f>IF(NOT(Paths!$C$42=1),0,IF(Paths!$P$42="Complete",O397+L397,"n.a."))</f>
        <v>0</v>
      </c>
      <c r="Q397" s="16">
        <f>IF(NOT(Paths!$C$42=1),0,IF(Paths!$P$42="Complete",N397*(1+'Operating costs'!$B$54)^-C397,"n.a."))</f>
        <v>0</v>
      </c>
      <c r="R397" s="16">
        <f>IF(NOT(Paths!$C$42=1),0,IF(Paths!$P$42="Complete",IF(AND(C397=0,Paths!$E$42=0),I397-J397-K397+VLOOKUP(A397,'Fleet register'!$A$7:$S$106,15,FALSE)+VLOOKUP(A397,'Fleet register'!$A$7:$S$106,16,FALSE),0),"n.a."))</f>
        <v>0</v>
      </c>
      <c r="S397" s="1">
        <f>IF(NOT(Paths!$C$42=1),0,IF(Paths!$P$42="Complete",IF(C397=0,0,Paths!$S$42*Paths!$R$42),"n.a."))</f>
        <v>0</v>
      </c>
      <c r="T397" s="1">
        <f>IF(NOT(Paths!$C$42=1),0,IF(Paths!$P$42="Complete",IF(C397=0,0,VLOOKUP(A397,'Fleet register'!$A$7:$S$106,9,FALSE)*Paths!$R$42),"n.a."))</f>
        <v>0</v>
      </c>
    </row>
    <row r="398" spans="1:20" ht="24" customHeight="1">
      <c r="A398" s="1" t="str">
        <f>Paths!$A$42</f>
        <v>T009</v>
      </c>
      <c r="B398" s="1">
        <f>Paths!$B$42</f>
        <v>3</v>
      </c>
      <c r="C398" s="1">
        <v>6</v>
      </c>
      <c r="D398" s="1">
        <v>42</v>
      </c>
      <c r="E398" s="1">
        <f>IF(OR(Paths!$C$42=0,C398=0),0,MAX(0,MIN(C398*12,Paths!$E$42)-(C398-1)*12))</f>
        <v>0</v>
      </c>
      <c r="F398" s="1">
        <f>IF(OR(Paths!$C$42=0,C398=0),0,12-E398)</f>
        <v>0</v>
      </c>
      <c r="G398" s="16">
        <f>IF(NOT(Paths!$C$42=1),0,IF(Paths!$P$42="Complete",E398/12*(Paths!$J$42*(1+'Operating costs'!$B$51)^MAX(0,C398-1)+Paths!$K$42*(1+'Operating costs'!$B$53)^MAX(0,C398-1)),"n.a."))</f>
        <v>0</v>
      </c>
      <c r="H398" s="16">
        <f>IF(NOT(Paths!$C$42=1),0,IF(Paths!$P$42="Complete",F398/12*(Paths!$L$42*(1+IF(Paths!$D$42="EV",'Operating costs'!$B$52,'Operating costs'!$B$51))^MAX(0,C398-1)+Paths!$M$42*(1+'Operating costs'!$B$53)^MAX(0,C398-1)),"n.a."))</f>
        <v>0</v>
      </c>
      <c r="I398" s="16">
        <f>IF(NOT(Paths!$C$42=1),0,IF(Paths!$P$42="Complete",IF(IF(Paths!$E$42=0,C398=0,AND(C398&gt;0,Paths!$E$42&gt;(C398-1)*12,Paths!$E$42&lt;=C398*12)),Paths!$G$42,0),"n.a."))</f>
        <v>0</v>
      </c>
      <c r="J398" s="16">
        <f>IF(NOT(Paths!$C$42=1),0,IF(Paths!$P$42="Complete",IF(IF(Paths!$E$42=0,C398=0,AND(C398&gt;0,Paths!$E$42&gt;(C398-1)*12,Paths!$E$42&lt;=C398*12)),Paths!$H$42,0),"n.a."))</f>
        <v>0</v>
      </c>
      <c r="K398" s="16">
        <f>IF(NOT(Paths!$C$42=1),0,IF(Paths!$P$42="Complete",IF(IF(Paths!$O$42=0,C398=0,AND(C398&gt;0,Paths!$O$42&gt;(C398-1)*12,Paths!$O$42&lt;=C398*12)),Paths!$N$42,0),"n.a."))</f>
        <v>0</v>
      </c>
      <c r="L398" s="16">
        <f>IF(NOT(Paths!$C$42=1),0,IF(Paths!$P$42="Complete",IF(C398=10,Paths!$I$42,0),"n.a."))</f>
        <v>0</v>
      </c>
      <c r="M398" s="16">
        <f>IF(NOT(Paths!$C$42=1),0,IF(Paths!$P$42="Complete",IF(AND(Paths!$D$42="EV",Paths!$E$42&lt;120,Paths!$E$42+'Operating costs'!$B$65&gt;Paths!$E$42,Paths!$E$42+'Operating costs'!$B$65&lt;=120,IF(Paths!$E$42+'Operating costs'!$B$65=0,C398=0,AND(C398&gt;0,Paths!$E$42+'Operating costs'!$B$65&gt;(C398-1)*12,Paths!$E$42+'Operating costs'!$B$65&lt;=C398*12))),'Operating costs'!$B$64,0)+IF(AND('Operating costs'!$B$67&gt;0,'Operating costs'!$B$67&lt;=120,OR(Paths!$D$42="ICE",'Operating costs'!$B$67&lt;=Paths!$E$42),IF('Operating costs'!$B$67=0,C398=0,AND(C398&gt;0,'Operating costs'!$B$67&gt;(C398-1)*12,'Operating costs'!$B$67&lt;=C398*12))),'Operating costs'!$B$66,0),"n.a."))</f>
        <v>0</v>
      </c>
      <c r="N398" s="16">
        <f>IF(NOT(Paths!$C$42=1),0,IF(Paths!$P$42="Complete",SUM(G398:I398)-J398-K398-L398+M398+IF(C398=0,Paths!$F$42,0)+IF(IF(Paths!$E$42=0,C398=0,AND(C398&gt;0,Paths!$E$42&gt;(C398-1)*12,Paths!$E$42&lt;=C398*12)),VLOOKUP(A398,'Fleet register'!$A$7:$S$106,16,FALSE),0),"n.a."))</f>
        <v>0</v>
      </c>
      <c r="O398" s="16">
        <f>IF(NOT(Paths!$C$42=1),0,IF(Paths!$P$42="Complete",N398-IF(C398=0,Paths!$F$42,0),"n.a."))</f>
        <v>0</v>
      </c>
      <c r="P398" s="16">
        <f>IF(NOT(Paths!$C$42=1),0,IF(Paths!$P$42="Complete",O398+L398,"n.a."))</f>
        <v>0</v>
      </c>
      <c r="Q398" s="16">
        <f>IF(NOT(Paths!$C$42=1),0,IF(Paths!$P$42="Complete",N398*(1+'Operating costs'!$B$54)^-C398,"n.a."))</f>
        <v>0</v>
      </c>
      <c r="R398" s="16">
        <f>IF(NOT(Paths!$C$42=1),0,IF(Paths!$P$42="Complete",IF(AND(C398=0,Paths!$E$42=0),I398-J398-K398+VLOOKUP(A398,'Fleet register'!$A$7:$S$106,15,FALSE)+VLOOKUP(A398,'Fleet register'!$A$7:$S$106,16,FALSE),0),"n.a."))</f>
        <v>0</v>
      </c>
      <c r="S398" s="1">
        <f>IF(NOT(Paths!$C$42=1),0,IF(Paths!$P$42="Complete",IF(C398=0,0,Paths!$S$42*Paths!$R$42),"n.a."))</f>
        <v>0</v>
      </c>
      <c r="T398" s="1">
        <f>IF(NOT(Paths!$C$42=1),0,IF(Paths!$P$42="Complete",IF(C398=0,0,VLOOKUP(A398,'Fleet register'!$A$7:$S$106,9,FALSE)*Paths!$R$42),"n.a."))</f>
        <v>0</v>
      </c>
    </row>
    <row r="399" spans="1:20" ht="24" customHeight="1">
      <c r="A399" s="1" t="str">
        <f>Paths!$A$42</f>
        <v>T009</v>
      </c>
      <c r="B399" s="1">
        <f>Paths!$B$42</f>
        <v>3</v>
      </c>
      <c r="C399" s="1">
        <v>7</v>
      </c>
      <c r="D399" s="1">
        <v>42</v>
      </c>
      <c r="E399" s="1">
        <f>IF(OR(Paths!$C$42=0,C399=0),0,MAX(0,MIN(C399*12,Paths!$E$42)-(C399-1)*12))</f>
        <v>0</v>
      </c>
      <c r="F399" s="1">
        <f>IF(OR(Paths!$C$42=0,C399=0),0,12-E399)</f>
        <v>0</v>
      </c>
      <c r="G399" s="16">
        <f>IF(NOT(Paths!$C$42=1),0,IF(Paths!$P$42="Complete",E399/12*(Paths!$J$42*(1+'Operating costs'!$B$51)^MAX(0,C399-1)+Paths!$K$42*(1+'Operating costs'!$B$53)^MAX(0,C399-1)),"n.a."))</f>
        <v>0</v>
      </c>
      <c r="H399" s="16">
        <f>IF(NOT(Paths!$C$42=1),0,IF(Paths!$P$42="Complete",F399/12*(Paths!$L$42*(1+IF(Paths!$D$42="EV",'Operating costs'!$B$52,'Operating costs'!$B$51))^MAX(0,C399-1)+Paths!$M$42*(1+'Operating costs'!$B$53)^MAX(0,C399-1)),"n.a."))</f>
        <v>0</v>
      </c>
      <c r="I399" s="16">
        <f>IF(NOT(Paths!$C$42=1),0,IF(Paths!$P$42="Complete",IF(IF(Paths!$E$42=0,C399=0,AND(C399&gt;0,Paths!$E$42&gt;(C399-1)*12,Paths!$E$42&lt;=C399*12)),Paths!$G$42,0),"n.a."))</f>
        <v>0</v>
      </c>
      <c r="J399" s="16">
        <f>IF(NOT(Paths!$C$42=1),0,IF(Paths!$P$42="Complete",IF(IF(Paths!$E$42=0,C399=0,AND(C399&gt;0,Paths!$E$42&gt;(C399-1)*12,Paths!$E$42&lt;=C399*12)),Paths!$H$42,0),"n.a."))</f>
        <v>0</v>
      </c>
      <c r="K399" s="16">
        <f>IF(NOT(Paths!$C$42=1),0,IF(Paths!$P$42="Complete",IF(IF(Paths!$O$42=0,C399=0,AND(C399&gt;0,Paths!$O$42&gt;(C399-1)*12,Paths!$O$42&lt;=C399*12)),Paths!$N$42,0),"n.a."))</f>
        <v>0</v>
      </c>
      <c r="L399" s="16">
        <f>IF(NOT(Paths!$C$42=1),0,IF(Paths!$P$42="Complete",IF(C399=10,Paths!$I$42,0),"n.a."))</f>
        <v>0</v>
      </c>
      <c r="M399" s="16">
        <f>IF(NOT(Paths!$C$42=1),0,IF(Paths!$P$42="Complete",IF(AND(Paths!$D$42="EV",Paths!$E$42&lt;120,Paths!$E$42+'Operating costs'!$B$65&gt;Paths!$E$42,Paths!$E$42+'Operating costs'!$B$65&lt;=120,IF(Paths!$E$42+'Operating costs'!$B$65=0,C399=0,AND(C399&gt;0,Paths!$E$42+'Operating costs'!$B$65&gt;(C399-1)*12,Paths!$E$42+'Operating costs'!$B$65&lt;=C399*12))),'Operating costs'!$B$64,0)+IF(AND('Operating costs'!$B$67&gt;0,'Operating costs'!$B$67&lt;=120,OR(Paths!$D$42="ICE",'Operating costs'!$B$67&lt;=Paths!$E$42),IF('Operating costs'!$B$67=0,C399=0,AND(C399&gt;0,'Operating costs'!$B$67&gt;(C399-1)*12,'Operating costs'!$B$67&lt;=C399*12))),'Operating costs'!$B$66,0),"n.a."))</f>
        <v>0</v>
      </c>
      <c r="N399" s="16">
        <f>IF(NOT(Paths!$C$42=1),0,IF(Paths!$P$42="Complete",SUM(G399:I399)-J399-K399-L399+M399+IF(C399=0,Paths!$F$42,0)+IF(IF(Paths!$E$42=0,C399=0,AND(C399&gt;0,Paths!$E$42&gt;(C399-1)*12,Paths!$E$42&lt;=C399*12)),VLOOKUP(A399,'Fleet register'!$A$7:$S$106,16,FALSE),0),"n.a."))</f>
        <v>0</v>
      </c>
      <c r="O399" s="16">
        <f>IF(NOT(Paths!$C$42=1),0,IF(Paths!$P$42="Complete",N399-IF(C399=0,Paths!$F$42,0),"n.a."))</f>
        <v>0</v>
      </c>
      <c r="P399" s="16">
        <f>IF(NOT(Paths!$C$42=1),0,IF(Paths!$P$42="Complete",O399+L399,"n.a."))</f>
        <v>0</v>
      </c>
      <c r="Q399" s="16">
        <f>IF(NOT(Paths!$C$42=1),0,IF(Paths!$P$42="Complete",N399*(1+'Operating costs'!$B$54)^-C399,"n.a."))</f>
        <v>0</v>
      </c>
      <c r="R399" s="16">
        <f>IF(NOT(Paths!$C$42=1),0,IF(Paths!$P$42="Complete",IF(AND(C399=0,Paths!$E$42=0),I399-J399-K399+VLOOKUP(A399,'Fleet register'!$A$7:$S$106,15,FALSE)+VLOOKUP(A399,'Fleet register'!$A$7:$S$106,16,FALSE),0),"n.a."))</f>
        <v>0</v>
      </c>
      <c r="S399" s="1">
        <f>IF(NOT(Paths!$C$42=1),0,IF(Paths!$P$42="Complete",IF(C399=0,0,Paths!$S$42*Paths!$R$42),"n.a."))</f>
        <v>0</v>
      </c>
      <c r="T399" s="1">
        <f>IF(NOT(Paths!$C$42=1),0,IF(Paths!$P$42="Complete",IF(C399=0,0,VLOOKUP(A399,'Fleet register'!$A$7:$S$106,9,FALSE)*Paths!$R$42),"n.a."))</f>
        <v>0</v>
      </c>
    </row>
    <row r="400" spans="1:20" ht="24" customHeight="1">
      <c r="A400" s="1" t="str">
        <f>Paths!$A$42</f>
        <v>T009</v>
      </c>
      <c r="B400" s="1">
        <f>Paths!$B$42</f>
        <v>3</v>
      </c>
      <c r="C400" s="1">
        <v>8</v>
      </c>
      <c r="D400" s="1">
        <v>42</v>
      </c>
      <c r="E400" s="1">
        <f>IF(OR(Paths!$C$42=0,C400=0),0,MAX(0,MIN(C400*12,Paths!$E$42)-(C400-1)*12))</f>
        <v>0</v>
      </c>
      <c r="F400" s="1">
        <f>IF(OR(Paths!$C$42=0,C400=0),0,12-E400)</f>
        <v>0</v>
      </c>
      <c r="G400" s="16">
        <f>IF(NOT(Paths!$C$42=1),0,IF(Paths!$P$42="Complete",E400/12*(Paths!$J$42*(1+'Operating costs'!$B$51)^MAX(0,C400-1)+Paths!$K$42*(1+'Operating costs'!$B$53)^MAX(0,C400-1)),"n.a."))</f>
        <v>0</v>
      </c>
      <c r="H400" s="16">
        <f>IF(NOT(Paths!$C$42=1),0,IF(Paths!$P$42="Complete",F400/12*(Paths!$L$42*(1+IF(Paths!$D$42="EV",'Operating costs'!$B$52,'Operating costs'!$B$51))^MAX(0,C400-1)+Paths!$M$42*(1+'Operating costs'!$B$53)^MAX(0,C400-1)),"n.a."))</f>
        <v>0</v>
      </c>
      <c r="I400" s="16">
        <f>IF(NOT(Paths!$C$42=1),0,IF(Paths!$P$42="Complete",IF(IF(Paths!$E$42=0,C400=0,AND(C400&gt;0,Paths!$E$42&gt;(C400-1)*12,Paths!$E$42&lt;=C400*12)),Paths!$G$42,0),"n.a."))</f>
        <v>0</v>
      </c>
      <c r="J400" s="16">
        <f>IF(NOT(Paths!$C$42=1),0,IF(Paths!$P$42="Complete",IF(IF(Paths!$E$42=0,C400=0,AND(C400&gt;0,Paths!$E$42&gt;(C400-1)*12,Paths!$E$42&lt;=C400*12)),Paths!$H$42,0),"n.a."))</f>
        <v>0</v>
      </c>
      <c r="K400" s="16">
        <f>IF(NOT(Paths!$C$42=1),0,IF(Paths!$P$42="Complete",IF(IF(Paths!$O$42=0,C400=0,AND(C400&gt;0,Paths!$O$42&gt;(C400-1)*12,Paths!$O$42&lt;=C400*12)),Paths!$N$42,0),"n.a."))</f>
        <v>0</v>
      </c>
      <c r="L400" s="16">
        <f>IF(NOT(Paths!$C$42=1),0,IF(Paths!$P$42="Complete",IF(C400=10,Paths!$I$42,0),"n.a."))</f>
        <v>0</v>
      </c>
      <c r="M400" s="16">
        <f>IF(NOT(Paths!$C$42=1),0,IF(Paths!$P$42="Complete",IF(AND(Paths!$D$42="EV",Paths!$E$42&lt;120,Paths!$E$42+'Operating costs'!$B$65&gt;Paths!$E$42,Paths!$E$42+'Operating costs'!$B$65&lt;=120,IF(Paths!$E$42+'Operating costs'!$B$65=0,C400=0,AND(C400&gt;0,Paths!$E$42+'Operating costs'!$B$65&gt;(C400-1)*12,Paths!$E$42+'Operating costs'!$B$65&lt;=C400*12))),'Operating costs'!$B$64,0)+IF(AND('Operating costs'!$B$67&gt;0,'Operating costs'!$B$67&lt;=120,OR(Paths!$D$42="ICE",'Operating costs'!$B$67&lt;=Paths!$E$42),IF('Operating costs'!$B$67=0,C400=0,AND(C400&gt;0,'Operating costs'!$B$67&gt;(C400-1)*12,'Operating costs'!$B$67&lt;=C400*12))),'Operating costs'!$B$66,0),"n.a."))</f>
        <v>0</v>
      </c>
      <c r="N400" s="16">
        <f>IF(NOT(Paths!$C$42=1),0,IF(Paths!$P$42="Complete",SUM(G400:I400)-J400-K400-L400+M400+IF(C400=0,Paths!$F$42,0)+IF(IF(Paths!$E$42=0,C400=0,AND(C400&gt;0,Paths!$E$42&gt;(C400-1)*12,Paths!$E$42&lt;=C400*12)),VLOOKUP(A400,'Fleet register'!$A$7:$S$106,16,FALSE),0),"n.a."))</f>
        <v>0</v>
      </c>
      <c r="O400" s="16">
        <f>IF(NOT(Paths!$C$42=1),0,IF(Paths!$P$42="Complete",N400-IF(C400=0,Paths!$F$42,0),"n.a."))</f>
        <v>0</v>
      </c>
      <c r="P400" s="16">
        <f>IF(NOT(Paths!$C$42=1),0,IF(Paths!$P$42="Complete",O400+L400,"n.a."))</f>
        <v>0</v>
      </c>
      <c r="Q400" s="16">
        <f>IF(NOT(Paths!$C$42=1),0,IF(Paths!$P$42="Complete",N400*(1+'Operating costs'!$B$54)^-C400,"n.a."))</f>
        <v>0</v>
      </c>
      <c r="R400" s="16">
        <f>IF(NOT(Paths!$C$42=1),0,IF(Paths!$P$42="Complete",IF(AND(C400=0,Paths!$E$42=0),I400-J400-K400+VLOOKUP(A400,'Fleet register'!$A$7:$S$106,15,FALSE)+VLOOKUP(A400,'Fleet register'!$A$7:$S$106,16,FALSE),0),"n.a."))</f>
        <v>0</v>
      </c>
      <c r="S400" s="1">
        <f>IF(NOT(Paths!$C$42=1),0,IF(Paths!$P$42="Complete",IF(C400=0,0,Paths!$S$42*Paths!$R$42),"n.a."))</f>
        <v>0</v>
      </c>
      <c r="T400" s="1">
        <f>IF(NOT(Paths!$C$42=1),0,IF(Paths!$P$42="Complete",IF(C400=0,0,VLOOKUP(A400,'Fleet register'!$A$7:$S$106,9,FALSE)*Paths!$R$42),"n.a."))</f>
        <v>0</v>
      </c>
    </row>
    <row r="401" spans="1:20" ht="24" customHeight="1">
      <c r="A401" s="1" t="str">
        <f>Paths!$A$42</f>
        <v>T009</v>
      </c>
      <c r="B401" s="1">
        <f>Paths!$B$42</f>
        <v>3</v>
      </c>
      <c r="C401" s="1">
        <v>9</v>
      </c>
      <c r="D401" s="1">
        <v>42</v>
      </c>
      <c r="E401" s="1">
        <f>IF(OR(Paths!$C$42=0,C401=0),0,MAX(0,MIN(C401*12,Paths!$E$42)-(C401-1)*12))</f>
        <v>0</v>
      </c>
      <c r="F401" s="1">
        <f>IF(OR(Paths!$C$42=0,C401=0),0,12-E401)</f>
        <v>0</v>
      </c>
      <c r="G401" s="16">
        <f>IF(NOT(Paths!$C$42=1),0,IF(Paths!$P$42="Complete",E401/12*(Paths!$J$42*(1+'Operating costs'!$B$51)^MAX(0,C401-1)+Paths!$K$42*(1+'Operating costs'!$B$53)^MAX(0,C401-1)),"n.a."))</f>
        <v>0</v>
      </c>
      <c r="H401" s="16">
        <f>IF(NOT(Paths!$C$42=1),0,IF(Paths!$P$42="Complete",F401/12*(Paths!$L$42*(1+IF(Paths!$D$42="EV",'Operating costs'!$B$52,'Operating costs'!$B$51))^MAX(0,C401-1)+Paths!$M$42*(1+'Operating costs'!$B$53)^MAX(0,C401-1)),"n.a."))</f>
        <v>0</v>
      </c>
      <c r="I401" s="16">
        <f>IF(NOT(Paths!$C$42=1),0,IF(Paths!$P$42="Complete",IF(IF(Paths!$E$42=0,C401=0,AND(C401&gt;0,Paths!$E$42&gt;(C401-1)*12,Paths!$E$42&lt;=C401*12)),Paths!$G$42,0),"n.a."))</f>
        <v>0</v>
      </c>
      <c r="J401" s="16">
        <f>IF(NOT(Paths!$C$42=1),0,IF(Paths!$P$42="Complete",IF(IF(Paths!$E$42=0,C401=0,AND(C401&gt;0,Paths!$E$42&gt;(C401-1)*12,Paths!$E$42&lt;=C401*12)),Paths!$H$42,0),"n.a."))</f>
        <v>0</v>
      </c>
      <c r="K401" s="16">
        <f>IF(NOT(Paths!$C$42=1),0,IF(Paths!$P$42="Complete",IF(IF(Paths!$O$42=0,C401=0,AND(C401&gt;0,Paths!$O$42&gt;(C401-1)*12,Paths!$O$42&lt;=C401*12)),Paths!$N$42,0),"n.a."))</f>
        <v>0</v>
      </c>
      <c r="L401" s="16">
        <f>IF(NOT(Paths!$C$42=1),0,IF(Paths!$P$42="Complete",IF(C401=10,Paths!$I$42,0),"n.a."))</f>
        <v>0</v>
      </c>
      <c r="M401" s="16">
        <f>IF(NOT(Paths!$C$42=1),0,IF(Paths!$P$42="Complete",IF(AND(Paths!$D$42="EV",Paths!$E$42&lt;120,Paths!$E$42+'Operating costs'!$B$65&gt;Paths!$E$42,Paths!$E$42+'Operating costs'!$B$65&lt;=120,IF(Paths!$E$42+'Operating costs'!$B$65=0,C401=0,AND(C401&gt;0,Paths!$E$42+'Operating costs'!$B$65&gt;(C401-1)*12,Paths!$E$42+'Operating costs'!$B$65&lt;=C401*12))),'Operating costs'!$B$64,0)+IF(AND('Operating costs'!$B$67&gt;0,'Operating costs'!$B$67&lt;=120,OR(Paths!$D$42="ICE",'Operating costs'!$B$67&lt;=Paths!$E$42),IF('Operating costs'!$B$67=0,C401=0,AND(C401&gt;0,'Operating costs'!$B$67&gt;(C401-1)*12,'Operating costs'!$B$67&lt;=C401*12))),'Operating costs'!$B$66,0),"n.a."))</f>
        <v>0</v>
      </c>
      <c r="N401" s="16">
        <f>IF(NOT(Paths!$C$42=1),0,IF(Paths!$P$42="Complete",SUM(G401:I401)-J401-K401-L401+M401+IF(C401=0,Paths!$F$42,0)+IF(IF(Paths!$E$42=0,C401=0,AND(C401&gt;0,Paths!$E$42&gt;(C401-1)*12,Paths!$E$42&lt;=C401*12)),VLOOKUP(A401,'Fleet register'!$A$7:$S$106,16,FALSE),0),"n.a."))</f>
        <v>0</v>
      </c>
      <c r="O401" s="16">
        <f>IF(NOT(Paths!$C$42=1),0,IF(Paths!$P$42="Complete",N401-IF(C401=0,Paths!$F$42,0),"n.a."))</f>
        <v>0</v>
      </c>
      <c r="P401" s="16">
        <f>IF(NOT(Paths!$C$42=1),0,IF(Paths!$P$42="Complete",O401+L401,"n.a."))</f>
        <v>0</v>
      </c>
      <c r="Q401" s="16">
        <f>IF(NOT(Paths!$C$42=1),0,IF(Paths!$P$42="Complete",N401*(1+'Operating costs'!$B$54)^-C401,"n.a."))</f>
        <v>0</v>
      </c>
      <c r="R401" s="16">
        <f>IF(NOT(Paths!$C$42=1),0,IF(Paths!$P$42="Complete",IF(AND(C401=0,Paths!$E$42=0),I401-J401-K401+VLOOKUP(A401,'Fleet register'!$A$7:$S$106,15,FALSE)+VLOOKUP(A401,'Fleet register'!$A$7:$S$106,16,FALSE),0),"n.a."))</f>
        <v>0</v>
      </c>
      <c r="S401" s="1">
        <f>IF(NOT(Paths!$C$42=1),0,IF(Paths!$P$42="Complete",IF(C401=0,0,Paths!$S$42*Paths!$R$42),"n.a."))</f>
        <v>0</v>
      </c>
      <c r="T401" s="1">
        <f>IF(NOT(Paths!$C$42=1),0,IF(Paths!$P$42="Complete",IF(C401=0,0,VLOOKUP(A401,'Fleet register'!$A$7:$S$106,9,FALSE)*Paths!$R$42),"n.a."))</f>
        <v>0</v>
      </c>
    </row>
    <row r="402" spans="1:20" ht="24" customHeight="1">
      <c r="A402" s="1" t="str">
        <f>Paths!$A$42</f>
        <v>T009</v>
      </c>
      <c r="B402" s="1">
        <f>Paths!$B$42</f>
        <v>3</v>
      </c>
      <c r="C402" s="1">
        <v>10</v>
      </c>
      <c r="D402" s="1">
        <v>42</v>
      </c>
      <c r="E402" s="1">
        <f>IF(OR(Paths!$C$42=0,C402=0),0,MAX(0,MIN(C402*12,Paths!$E$42)-(C402-1)*12))</f>
        <v>0</v>
      </c>
      <c r="F402" s="1">
        <f>IF(OR(Paths!$C$42=0,C402=0),0,12-E402)</f>
        <v>0</v>
      </c>
      <c r="G402" s="16">
        <f>IF(NOT(Paths!$C$42=1),0,IF(Paths!$P$42="Complete",E402/12*(Paths!$J$42*(1+'Operating costs'!$B$51)^MAX(0,C402-1)+Paths!$K$42*(1+'Operating costs'!$B$53)^MAX(0,C402-1)),"n.a."))</f>
        <v>0</v>
      </c>
      <c r="H402" s="16">
        <f>IF(NOT(Paths!$C$42=1),0,IF(Paths!$P$42="Complete",F402/12*(Paths!$L$42*(1+IF(Paths!$D$42="EV",'Operating costs'!$B$52,'Operating costs'!$B$51))^MAX(0,C402-1)+Paths!$M$42*(1+'Operating costs'!$B$53)^MAX(0,C402-1)),"n.a."))</f>
        <v>0</v>
      </c>
      <c r="I402" s="16">
        <f>IF(NOT(Paths!$C$42=1),0,IF(Paths!$P$42="Complete",IF(IF(Paths!$E$42=0,C402=0,AND(C402&gt;0,Paths!$E$42&gt;(C402-1)*12,Paths!$E$42&lt;=C402*12)),Paths!$G$42,0),"n.a."))</f>
        <v>0</v>
      </c>
      <c r="J402" s="16">
        <f>IF(NOT(Paths!$C$42=1),0,IF(Paths!$P$42="Complete",IF(IF(Paths!$E$42=0,C402=0,AND(C402&gt;0,Paths!$E$42&gt;(C402-1)*12,Paths!$E$42&lt;=C402*12)),Paths!$H$42,0),"n.a."))</f>
        <v>0</v>
      </c>
      <c r="K402" s="16">
        <f>IF(NOT(Paths!$C$42=1),0,IF(Paths!$P$42="Complete",IF(IF(Paths!$O$42=0,C402=0,AND(C402&gt;0,Paths!$O$42&gt;(C402-1)*12,Paths!$O$42&lt;=C402*12)),Paths!$N$42,0),"n.a."))</f>
        <v>0</v>
      </c>
      <c r="L402" s="16">
        <f>IF(NOT(Paths!$C$42=1),0,IF(Paths!$P$42="Complete",IF(C402=10,Paths!$I$42,0),"n.a."))</f>
        <v>0</v>
      </c>
      <c r="M402" s="16">
        <f>IF(NOT(Paths!$C$42=1),0,IF(Paths!$P$42="Complete",IF(AND(Paths!$D$42="EV",Paths!$E$42&lt;120,Paths!$E$42+'Operating costs'!$B$65&gt;Paths!$E$42,Paths!$E$42+'Operating costs'!$B$65&lt;=120,IF(Paths!$E$42+'Operating costs'!$B$65=0,C402=0,AND(C402&gt;0,Paths!$E$42+'Operating costs'!$B$65&gt;(C402-1)*12,Paths!$E$42+'Operating costs'!$B$65&lt;=C402*12))),'Operating costs'!$B$64,0)+IF(AND('Operating costs'!$B$67&gt;0,'Operating costs'!$B$67&lt;=120,OR(Paths!$D$42="ICE",'Operating costs'!$B$67&lt;=Paths!$E$42),IF('Operating costs'!$B$67=0,C402=0,AND(C402&gt;0,'Operating costs'!$B$67&gt;(C402-1)*12,'Operating costs'!$B$67&lt;=C402*12))),'Operating costs'!$B$66,0),"n.a."))</f>
        <v>0</v>
      </c>
      <c r="N402" s="16">
        <f>IF(NOT(Paths!$C$42=1),0,IF(Paths!$P$42="Complete",SUM(G402:I402)-J402-K402-L402+M402+IF(C402=0,Paths!$F$42,0)+IF(IF(Paths!$E$42=0,C402=0,AND(C402&gt;0,Paths!$E$42&gt;(C402-1)*12,Paths!$E$42&lt;=C402*12)),VLOOKUP(A402,'Fleet register'!$A$7:$S$106,16,FALSE),0),"n.a."))</f>
        <v>0</v>
      </c>
      <c r="O402" s="16">
        <f>IF(NOT(Paths!$C$42=1),0,IF(Paths!$P$42="Complete",N402-IF(C402=0,Paths!$F$42,0),"n.a."))</f>
        <v>0</v>
      </c>
      <c r="P402" s="16">
        <f>IF(NOT(Paths!$C$42=1),0,IF(Paths!$P$42="Complete",O402+L402,"n.a."))</f>
        <v>0</v>
      </c>
      <c r="Q402" s="16">
        <f>IF(NOT(Paths!$C$42=1),0,IF(Paths!$P$42="Complete",N402*(1+'Operating costs'!$B$54)^-C402,"n.a."))</f>
        <v>0</v>
      </c>
      <c r="R402" s="16">
        <f>IF(NOT(Paths!$C$42=1),0,IF(Paths!$P$42="Complete",IF(AND(C402=0,Paths!$E$42=0),I402-J402-K402+VLOOKUP(A402,'Fleet register'!$A$7:$S$106,15,FALSE)+VLOOKUP(A402,'Fleet register'!$A$7:$S$106,16,FALSE),0),"n.a."))</f>
        <v>0</v>
      </c>
      <c r="S402" s="1">
        <f>IF(NOT(Paths!$C$42=1),0,IF(Paths!$P$42="Complete",IF(C402=0,0,Paths!$S$42*Paths!$R$42),"n.a."))</f>
        <v>0</v>
      </c>
      <c r="T402" s="1">
        <f>IF(NOT(Paths!$C$42=1),0,IF(Paths!$P$42="Complete",IF(C402=0,0,VLOOKUP(A402,'Fleet register'!$A$7:$S$106,9,FALSE)*Paths!$R$42),"n.a."))</f>
        <v>0</v>
      </c>
    </row>
    <row r="403" spans="1:20" ht="24" customHeight="1">
      <c r="A403" s="1" t="str">
        <f>Paths!$A$43</f>
        <v>T010</v>
      </c>
      <c r="B403" s="1">
        <f>Paths!$B$43</f>
        <v>0</v>
      </c>
      <c r="C403" s="1">
        <v>0</v>
      </c>
      <c r="D403" s="1">
        <v>43</v>
      </c>
      <c r="E403" s="1">
        <f>IF(OR(Paths!$C$43=0,C403=0),0,MAX(0,MIN(C403*12,Paths!$E$43)-(C403-1)*12))</f>
        <v>0</v>
      </c>
      <c r="F403" s="1">
        <f>IF(OR(Paths!$C$43=0,C403=0),0,12-E403)</f>
        <v>0</v>
      </c>
      <c r="G403" s="16">
        <f>IF(NOT(Paths!$C$43=1),0,IF(Paths!$P$43="Complete",E403/12*(Paths!$J$43*(1+'Operating costs'!$B$51)^MAX(0,C403-1)+Paths!$K$43*(1+'Operating costs'!$B$53)^MAX(0,C403-1)),"n.a."))</f>
        <v>0</v>
      </c>
      <c r="H403" s="16">
        <f>IF(NOT(Paths!$C$43=1),0,IF(Paths!$P$43="Complete",F403/12*(Paths!$L$43*(1+IF(Paths!$D$43="EV",'Operating costs'!$B$52,'Operating costs'!$B$51))^MAX(0,C403-1)+Paths!$M$43*(1+'Operating costs'!$B$53)^MAX(0,C403-1)),"n.a."))</f>
        <v>0</v>
      </c>
      <c r="I403" s="16">
        <f>IF(NOT(Paths!$C$43=1),0,IF(Paths!$P$43="Complete",IF(IF(Paths!$E$43=0,C403=0,AND(C403&gt;0,Paths!$E$43&gt;(C403-1)*12,Paths!$E$43&lt;=C403*12)),Paths!$G$43,0),"n.a."))</f>
        <v>0</v>
      </c>
      <c r="J403" s="16">
        <f>IF(NOT(Paths!$C$43=1),0,IF(Paths!$P$43="Complete",IF(IF(Paths!$E$43=0,C403=0,AND(C403&gt;0,Paths!$E$43&gt;(C403-1)*12,Paths!$E$43&lt;=C403*12)),Paths!$H$43,0),"n.a."))</f>
        <v>0</v>
      </c>
      <c r="K403" s="16">
        <f>IF(NOT(Paths!$C$43=1),0,IF(Paths!$P$43="Complete",IF(IF(Paths!$O$43=0,C403=0,AND(C403&gt;0,Paths!$O$43&gt;(C403-1)*12,Paths!$O$43&lt;=C403*12)),Paths!$N$43,0),"n.a."))</f>
        <v>0</v>
      </c>
      <c r="L403" s="16">
        <f>IF(NOT(Paths!$C$43=1),0,IF(Paths!$P$43="Complete",IF(C403=10,Paths!$I$43,0),"n.a."))</f>
        <v>0</v>
      </c>
      <c r="M403" s="16">
        <f>IF(NOT(Paths!$C$43=1),0,IF(Paths!$P$43="Complete",IF(AND(Paths!$D$43="EV",Paths!$E$43&lt;120,Paths!$E$43+'Operating costs'!$B$65&gt;Paths!$E$43,Paths!$E$43+'Operating costs'!$B$65&lt;=120,IF(Paths!$E$43+'Operating costs'!$B$65=0,C403=0,AND(C403&gt;0,Paths!$E$43+'Operating costs'!$B$65&gt;(C403-1)*12,Paths!$E$43+'Operating costs'!$B$65&lt;=C403*12))),'Operating costs'!$B$64,0)+IF(AND('Operating costs'!$B$67&gt;0,'Operating costs'!$B$67&lt;=120,OR(Paths!$D$43="ICE",'Operating costs'!$B$67&lt;=Paths!$E$43),IF('Operating costs'!$B$67=0,C403=0,AND(C403&gt;0,'Operating costs'!$B$67&gt;(C403-1)*12,'Operating costs'!$B$67&lt;=C403*12))),'Operating costs'!$B$66,0),"n.a."))</f>
        <v>0</v>
      </c>
      <c r="N403" s="16">
        <f>IF(NOT(Paths!$C$43=1),0,IF(Paths!$P$43="Complete",SUM(G403:I403)-J403-K403-L403+M403+IF(C403=0,Paths!$F$43,0)+IF(IF(Paths!$E$43=0,C403=0,AND(C403&gt;0,Paths!$E$43&gt;(C403-1)*12,Paths!$E$43&lt;=C403*12)),VLOOKUP(A403,'Fleet register'!$A$7:$S$106,16,FALSE),0),"n.a."))</f>
        <v>0</v>
      </c>
      <c r="O403" s="16">
        <f>IF(NOT(Paths!$C$43=1),0,IF(Paths!$P$43="Complete",N403-IF(C403=0,Paths!$F$43,0),"n.a."))</f>
        <v>0</v>
      </c>
      <c r="P403" s="16">
        <f>IF(NOT(Paths!$C$43=1),0,IF(Paths!$P$43="Complete",O403+L403,"n.a."))</f>
        <v>0</v>
      </c>
      <c r="Q403" s="16">
        <f>IF(NOT(Paths!$C$43=1),0,IF(Paths!$P$43="Complete",N403*(1+'Operating costs'!$B$54)^-C403,"n.a."))</f>
        <v>0</v>
      </c>
      <c r="R403" s="16">
        <f>IF(NOT(Paths!$C$43=1),0,IF(Paths!$P$43="Complete",IF(AND(C403=0,Paths!$E$43=0),I403-J403-K403+VLOOKUP(A403,'Fleet register'!$A$7:$S$106,15,FALSE)+VLOOKUP(A403,'Fleet register'!$A$7:$S$106,16,FALSE),0),"n.a."))</f>
        <v>0</v>
      </c>
      <c r="S403" s="1">
        <f>IF(NOT(Paths!$C$43=1),0,IF(Paths!$P$43="Complete",IF(C403=0,0,Paths!$S$43*Paths!$R$43),"n.a."))</f>
        <v>0</v>
      </c>
      <c r="T403" s="1">
        <f>IF(NOT(Paths!$C$43=1),0,IF(Paths!$P$43="Complete",IF(C403=0,0,VLOOKUP(A403,'Fleet register'!$A$7:$S$106,9,FALSE)*Paths!$R$43),"n.a."))</f>
        <v>0</v>
      </c>
    </row>
    <row r="404" spans="1:20" ht="24" customHeight="1">
      <c r="A404" s="1" t="str">
        <f>Paths!$A$43</f>
        <v>T010</v>
      </c>
      <c r="B404" s="1">
        <f>Paths!$B$43</f>
        <v>0</v>
      </c>
      <c r="C404" s="1">
        <v>1</v>
      </c>
      <c r="D404" s="1">
        <v>43</v>
      </c>
      <c r="E404" s="1">
        <f>IF(OR(Paths!$C$43=0,C404=0),0,MAX(0,MIN(C404*12,Paths!$E$43)-(C404-1)*12))</f>
        <v>0</v>
      </c>
      <c r="F404" s="1">
        <f>IF(OR(Paths!$C$43=0,C404=0),0,12-E404)</f>
        <v>0</v>
      </c>
      <c r="G404" s="16">
        <f>IF(NOT(Paths!$C$43=1),0,IF(Paths!$P$43="Complete",E404/12*(Paths!$J$43*(1+'Operating costs'!$B$51)^MAX(0,C404-1)+Paths!$K$43*(1+'Operating costs'!$B$53)^MAX(0,C404-1)),"n.a."))</f>
        <v>0</v>
      </c>
      <c r="H404" s="16">
        <f>IF(NOT(Paths!$C$43=1),0,IF(Paths!$P$43="Complete",F404/12*(Paths!$L$43*(1+IF(Paths!$D$43="EV",'Operating costs'!$B$52,'Operating costs'!$B$51))^MAX(0,C404-1)+Paths!$M$43*(1+'Operating costs'!$B$53)^MAX(0,C404-1)),"n.a."))</f>
        <v>0</v>
      </c>
      <c r="I404" s="16">
        <f>IF(NOT(Paths!$C$43=1),0,IF(Paths!$P$43="Complete",IF(IF(Paths!$E$43=0,C404=0,AND(C404&gt;0,Paths!$E$43&gt;(C404-1)*12,Paths!$E$43&lt;=C404*12)),Paths!$G$43,0),"n.a."))</f>
        <v>0</v>
      </c>
      <c r="J404" s="16">
        <f>IF(NOT(Paths!$C$43=1),0,IF(Paths!$P$43="Complete",IF(IF(Paths!$E$43=0,C404=0,AND(C404&gt;0,Paths!$E$43&gt;(C404-1)*12,Paths!$E$43&lt;=C404*12)),Paths!$H$43,0),"n.a."))</f>
        <v>0</v>
      </c>
      <c r="K404" s="16">
        <f>IF(NOT(Paths!$C$43=1),0,IF(Paths!$P$43="Complete",IF(IF(Paths!$O$43=0,C404=0,AND(C404&gt;0,Paths!$O$43&gt;(C404-1)*12,Paths!$O$43&lt;=C404*12)),Paths!$N$43,0),"n.a."))</f>
        <v>0</v>
      </c>
      <c r="L404" s="16">
        <f>IF(NOT(Paths!$C$43=1),0,IF(Paths!$P$43="Complete",IF(C404=10,Paths!$I$43,0),"n.a."))</f>
        <v>0</v>
      </c>
      <c r="M404" s="16">
        <f>IF(NOT(Paths!$C$43=1),0,IF(Paths!$P$43="Complete",IF(AND(Paths!$D$43="EV",Paths!$E$43&lt;120,Paths!$E$43+'Operating costs'!$B$65&gt;Paths!$E$43,Paths!$E$43+'Operating costs'!$B$65&lt;=120,IF(Paths!$E$43+'Operating costs'!$B$65=0,C404=0,AND(C404&gt;0,Paths!$E$43+'Operating costs'!$B$65&gt;(C404-1)*12,Paths!$E$43+'Operating costs'!$B$65&lt;=C404*12))),'Operating costs'!$B$64,0)+IF(AND('Operating costs'!$B$67&gt;0,'Operating costs'!$B$67&lt;=120,OR(Paths!$D$43="ICE",'Operating costs'!$B$67&lt;=Paths!$E$43),IF('Operating costs'!$B$67=0,C404=0,AND(C404&gt;0,'Operating costs'!$B$67&gt;(C404-1)*12,'Operating costs'!$B$67&lt;=C404*12))),'Operating costs'!$B$66,0),"n.a."))</f>
        <v>0</v>
      </c>
      <c r="N404" s="16">
        <f>IF(NOT(Paths!$C$43=1),0,IF(Paths!$P$43="Complete",SUM(G404:I404)-J404-K404-L404+M404+IF(C404=0,Paths!$F$43,0)+IF(IF(Paths!$E$43=0,C404=0,AND(C404&gt;0,Paths!$E$43&gt;(C404-1)*12,Paths!$E$43&lt;=C404*12)),VLOOKUP(A404,'Fleet register'!$A$7:$S$106,16,FALSE),0),"n.a."))</f>
        <v>0</v>
      </c>
      <c r="O404" s="16">
        <f>IF(NOT(Paths!$C$43=1),0,IF(Paths!$P$43="Complete",N404-IF(C404=0,Paths!$F$43,0),"n.a."))</f>
        <v>0</v>
      </c>
      <c r="P404" s="16">
        <f>IF(NOT(Paths!$C$43=1),0,IF(Paths!$P$43="Complete",O404+L404,"n.a."))</f>
        <v>0</v>
      </c>
      <c r="Q404" s="16">
        <f>IF(NOT(Paths!$C$43=1),0,IF(Paths!$P$43="Complete",N404*(1+'Operating costs'!$B$54)^-C404,"n.a."))</f>
        <v>0</v>
      </c>
      <c r="R404" s="16">
        <f>IF(NOT(Paths!$C$43=1),0,IF(Paths!$P$43="Complete",IF(AND(C404=0,Paths!$E$43=0),I404-J404-K404+VLOOKUP(A404,'Fleet register'!$A$7:$S$106,15,FALSE)+VLOOKUP(A404,'Fleet register'!$A$7:$S$106,16,FALSE),0),"n.a."))</f>
        <v>0</v>
      </c>
      <c r="S404" s="1">
        <f>IF(NOT(Paths!$C$43=1),0,IF(Paths!$P$43="Complete",IF(C404=0,0,Paths!$S$43*Paths!$R$43),"n.a."))</f>
        <v>0</v>
      </c>
      <c r="T404" s="1">
        <f>IF(NOT(Paths!$C$43=1),0,IF(Paths!$P$43="Complete",IF(C404=0,0,VLOOKUP(A404,'Fleet register'!$A$7:$S$106,9,FALSE)*Paths!$R$43),"n.a."))</f>
        <v>0</v>
      </c>
    </row>
    <row r="405" spans="1:20" ht="24" customHeight="1">
      <c r="A405" s="1" t="str">
        <f>Paths!$A$43</f>
        <v>T010</v>
      </c>
      <c r="B405" s="1">
        <f>Paths!$B$43</f>
        <v>0</v>
      </c>
      <c r="C405" s="1">
        <v>2</v>
      </c>
      <c r="D405" s="1">
        <v>43</v>
      </c>
      <c r="E405" s="1">
        <f>IF(OR(Paths!$C$43=0,C405=0),0,MAX(0,MIN(C405*12,Paths!$E$43)-(C405-1)*12))</f>
        <v>0</v>
      </c>
      <c r="F405" s="1">
        <f>IF(OR(Paths!$C$43=0,C405=0),0,12-E405)</f>
        <v>0</v>
      </c>
      <c r="G405" s="16">
        <f>IF(NOT(Paths!$C$43=1),0,IF(Paths!$P$43="Complete",E405/12*(Paths!$J$43*(1+'Operating costs'!$B$51)^MAX(0,C405-1)+Paths!$K$43*(1+'Operating costs'!$B$53)^MAX(0,C405-1)),"n.a."))</f>
        <v>0</v>
      </c>
      <c r="H405" s="16">
        <f>IF(NOT(Paths!$C$43=1),0,IF(Paths!$P$43="Complete",F405/12*(Paths!$L$43*(1+IF(Paths!$D$43="EV",'Operating costs'!$B$52,'Operating costs'!$B$51))^MAX(0,C405-1)+Paths!$M$43*(1+'Operating costs'!$B$53)^MAX(0,C405-1)),"n.a."))</f>
        <v>0</v>
      </c>
      <c r="I405" s="16">
        <f>IF(NOT(Paths!$C$43=1),0,IF(Paths!$P$43="Complete",IF(IF(Paths!$E$43=0,C405=0,AND(C405&gt;0,Paths!$E$43&gt;(C405-1)*12,Paths!$E$43&lt;=C405*12)),Paths!$G$43,0),"n.a."))</f>
        <v>0</v>
      </c>
      <c r="J405" s="16">
        <f>IF(NOT(Paths!$C$43=1),0,IF(Paths!$P$43="Complete",IF(IF(Paths!$E$43=0,C405=0,AND(C405&gt;0,Paths!$E$43&gt;(C405-1)*12,Paths!$E$43&lt;=C405*12)),Paths!$H$43,0),"n.a."))</f>
        <v>0</v>
      </c>
      <c r="K405" s="16">
        <f>IF(NOT(Paths!$C$43=1),0,IF(Paths!$P$43="Complete",IF(IF(Paths!$O$43=0,C405=0,AND(C405&gt;0,Paths!$O$43&gt;(C405-1)*12,Paths!$O$43&lt;=C405*12)),Paths!$N$43,0),"n.a."))</f>
        <v>0</v>
      </c>
      <c r="L405" s="16">
        <f>IF(NOT(Paths!$C$43=1),0,IF(Paths!$P$43="Complete",IF(C405=10,Paths!$I$43,0),"n.a."))</f>
        <v>0</v>
      </c>
      <c r="M405" s="16">
        <f>IF(NOT(Paths!$C$43=1),0,IF(Paths!$P$43="Complete",IF(AND(Paths!$D$43="EV",Paths!$E$43&lt;120,Paths!$E$43+'Operating costs'!$B$65&gt;Paths!$E$43,Paths!$E$43+'Operating costs'!$B$65&lt;=120,IF(Paths!$E$43+'Operating costs'!$B$65=0,C405=0,AND(C405&gt;0,Paths!$E$43+'Operating costs'!$B$65&gt;(C405-1)*12,Paths!$E$43+'Operating costs'!$B$65&lt;=C405*12))),'Operating costs'!$B$64,0)+IF(AND('Operating costs'!$B$67&gt;0,'Operating costs'!$B$67&lt;=120,OR(Paths!$D$43="ICE",'Operating costs'!$B$67&lt;=Paths!$E$43),IF('Operating costs'!$B$67=0,C405=0,AND(C405&gt;0,'Operating costs'!$B$67&gt;(C405-1)*12,'Operating costs'!$B$67&lt;=C405*12))),'Operating costs'!$B$66,0),"n.a."))</f>
        <v>0</v>
      </c>
      <c r="N405" s="16">
        <f>IF(NOT(Paths!$C$43=1),0,IF(Paths!$P$43="Complete",SUM(G405:I405)-J405-K405-L405+M405+IF(C405=0,Paths!$F$43,0)+IF(IF(Paths!$E$43=0,C405=0,AND(C405&gt;0,Paths!$E$43&gt;(C405-1)*12,Paths!$E$43&lt;=C405*12)),VLOOKUP(A405,'Fleet register'!$A$7:$S$106,16,FALSE),0),"n.a."))</f>
        <v>0</v>
      </c>
      <c r="O405" s="16">
        <f>IF(NOT(Paths!$C$43=1),0,IF(Paths!$P$43="Complete",N405-IF(C405=0,Paths!$F$43,0),"n.a."))</f>
        <v>0</v>
      </c>
      <c r="P405" s="16">
        <f>IF(NOT(Paths!$C$43=1),0,IF(Paths!$P$43="Complete",O405+L405,"n.a."))</f>
        <v>0</v>
      </c>
      <c r="Q405" s="16">
        <f>IF(NOT(Paths!$C$43=1),0,IF(Paths!$P$43="Complete",N405*(1+'Operating costs'!$B$54)^-C405,"n.a."))</f>
        <v>0</v>
      </c>
      <c r="R405" s="16">
        <f>IF(NOT(Paths!$C$43=1),0,IF(Paths!$P$43="Complete",IF(AND(C405=0,Paths!$E$43=0),I405-J405-K405+VLOOKUP(A405,'Fleet register'!$A$7:$S$106,15,FALSE)+VLOOKUP(A405,'Fleet register'!$A$7:$S$106,16,FALSE),0),"n.a."))</f>
        <v>0</v>
      </c>
      <c r="S405" s="1">
        <f>IF(NOT(Paths!$C$43=1),0,IF(Paths!$P$43="Complete",IF(C405=0,0,Paths!$S$43*Paths!$R$43),"n.a."))</f>
        <v>0</v>
      </c>
      <c r="T405" s="1">
        <f>IF(NOT(Paths!$C$43=1),0,IF(Paths!$P$43="Complete",IF(C405=0,0,VLOOKUP(A405,'Fleet register'!$A$7:$S$106,9,FALSE)*Paths!$R$43),"n.a."))</f>
        <v>0</v>
      </c>
    </row>
    <row r="406" spans="1:20" ht="24" customHeight="1">
      <c r="A406" s="1" t="str">
        <f>Paths!$A$43</f>
        <v>T010</v>
      </c>
      <c r="B406" s="1">
        <f>Paths!$B$43</f>
        <v>0</v>
      </c>
      <c r="C406" s="1">
        <v>3</v>
      </c>
      <c r="D406" s="1">
        <v>43</v>
      </c>
      <c r="E406" s="1">
        <f>IF(OR(Paths!$C$43=0,C406=0),0,MAX(0,MIN(C406*12,Paths!$E$43)-(C406-1)*12))</f>
        <v>0</v>
      </c>
      <c r="F406" s="1">
        <f>IF(OR(Paths!$C$43=0,C406=0),0,12-E406)</f>
        <v>0</v>
      </c>
      <c r="G406" s="16">
        <f>IF(NOT(Paths!$C$43=1),0,IF(Paths!$P$43="Complete",E406/12*(Paths!$J$43*(1+'Operating costs'!$B$51)^MAX(0,C406-1)+Paths!$K$43*(1+'Operating costs'!$B$53)^MAX(0,C406-1)),"n.a."))</f>
        <v>0</v>
      </c>
      <c r="H406" s="16">
        <f>IF(NOT(Paths!$C$43=1),0,IF(Paths!$P$43="Complete",F406/12*(Paths!$L$43*(1+IF(Paths!$D$43="EV",'Operating costs'!$B$52,'Operating costs'!$B$51))^MAX(0,C406-1)+Paths!$M$43*(1+'Operating costs'!$B$53)^MAX(0,C406-1)),"n.a."))</f>
        <v>0</v>
      </c>
      <c r="I406" s="16">
        <f>IF(NOT(Paths!$C$43=1),0,IF(Paths!$P$43="Complete",IF(IF(Paths!$E$43=0,C406=0,AND(C406&gt;0,Paths!$E$43&gt;(C406-1)*12,Paths!$E$43&lt;=C406*12)),Paths!$G$43,0),"n.a."))</f>
        <v>0</v>
      </c>
      <c r="J406" s="16">
        <f>IF(NOT(Paths!$C$43=1),0,IF(Paths!$P$43="Complete",IF(IF(Paths!$E$43=0,C406=0,AND(C406&gt;0,Paths!$E$43&gt;(C406-1)*12,Paths!$E$43&lt;=C406*12)),Paths!$H$43,0),"n.a."))</f>
        <v>0</v>
      </c>
      <c r="K406" s="16">
        <f>IF(NOT(Paths!$C$43=1),0,IF(Paths!$P$43="Complete",IF(IF(Paths!$O$43=0,C406=0,AND(C406&gt;0,Paths!$O$43&gt;(C406-1)*12,Paths!$O$43&lt;=C406*12)),Paths!$N$43,0),"n.a."))</f>
        <v>0</v>
      </c>
      <c r="L406" s="16">
        <f>IF(NOT(Paths!$C$43=1),0,IF(Paths!$P$43="Complete",IF(C406=10,Paths!$I$43,0),"n.a."))</f>
        <v>0</v>
      </c>
      <c r="M406" s="16">
        <f>IF(NOT(Paths!$C$43=1),0,IF(Paths!$P$43="Complete",IF(AND(Paths!$D$43="EV",Paths!$E$43&lt;120,Paths!$E$43+'Operating costs'!$B$65&gt;Paths!$E$43,Paths!$E$43+'Operating costs'!$B$65&lt;=120,IF(Paths!$E$43+'Operating costs'!$B$65=0,C406=0,AND(C406&gt;0,Paths!$E$43+'Operating costs'!$B$65&gt;(C406-1)*12,Paths!$E$43+'Operating costs'!$B$65&lt;=C406*12))),'Operating costs'!$B$64,0)+IF(AND('Operating costs'!$B$67&gt;0,'Operating costs'!$B$67&lt;=120,OR(Paths!$D$43="ICE",'Operating costs'!$B$67&lt;=Paths!$E$43),IF('Operating costs'!$B$67=0,C406=0,AND(C406&gt;0,'Operating costs'!$B$67&gt;(C406-1)*12,'Operating costs'!$B$67&lt;=C406*12))),'Operating costs'!$B$66,0),"n.a."))</f>
        <v>0</v>
      </c>
      <c r="N406" s="16">
        <f>IF(NOT(Paths!$C$43=1),0,IF(Paths!$P$43="Complete",SUM(G406:I406)-J406-K406-L406+M406+IF(C406=0,Paths!$F$43,0)+IF(IF(Paths!$E$43=0,C406=0,AND(C406&gt;0,Paths!$E$43&gt;(C406-1)*12,Paths!$E$43&lt;=C406*12)),VLOOKUP(A406,'Fleet register'!$A$7:$S$106,16,FALSE),0),"n.a."))</f>
        <v>0</v>
      </c>
      <c r="O406" s="16">
        <f>IF(NOT(Paths!$C$43=1),0,IF(Paths!$P$43="Complete",N406-IF(C406=0,Paths!$F$43,0),"n.a."))</f>
        <v>0</v>
      </c>
      <c r="P406" s="16">
        <f>IF(NOT(Paths!$C$43=1),0,IF(Paths!$P$43="Complete",O406+L406,"n.a."))</f>
        <v>0</v>
      </c>
      <c r="Q406" s="16">
        <f>IF(NOT(Paths!$C$43=1),0,IF(Paths!$P$43="Complete",N406*(1+'Operating costs'!$B$54)^-C406,"n.a."))</f>
        <v>0</v>
      </c>
      <c r="R406" s="16">
        <f>IF(NOT(Paths!$C$43=1),0,IF(Paths!$P$43="Complete",IF(AND(C406=0,Paths!$E$43=0),I406-J406-K406+VLOOKUP(A406,'Fleet register'!$A$7:$S$106,15,FALSE)+VLOOKUP(A406,'Fleet register'!$A$7:$S$106,16,FALSE),0),"n.a."))</f>
        <v>0</v>
      </c>
      <c r="S406" s="1">
        <f>IF(NOT(Paths!$C$43=1),0,IF(Paths!$P$43="Complete",IF(C406=0,0,Paths!$S$43*Paths!$R$43),"n.a."))</f>
        <v>0</v>
      </c>
      <c r="T406" s="1">
        <f>IF(NOT(Paths!$C$43=1),0,IF(Paths!$P$43="Complete",IF(C406=0,0,VLOOKUP(A406,'Fleet register'!$A$7:$S$106,9,FALSE)*Paths!$R$43),"n.a."))</f>
        <v>0</v>
      </c>
    </row>
    <row r="407" spans="1:20" ht="24" customHeight="1">
      <c r="A407" s="1" t="str">
        <f>Paths!$A$43</f>
        <v>T010</v>
      </c>
      <c r="B407" s="1">
        <f>Paths!$B$43</f>
        <v>0</v>
      </c>
      <c r="C407" s="1">
        <v>4</v>
      </c>
      <c r="D407" s="1">
        <v>43</v>
      </c>
      <c r="E407" s="1">
        <f>IF(OR(Paths!$C$43=0,C407=0),0,MAX(0,MIN(C407*12,Paths!$E$43)-(C407-1)*12))</f>
        <v>0</v>
      </c>
      <c r="F407" s="1">
        <f>IF(OR(Paths!$C$43=0,C407=0),0,12-E407)</f>
        <v>0</v>
      </c>
      <c r="G407" s="16">
        <f>IF(NOT(Paths!$C$43=1),0,IF(Paths!$P$43="Complete",E407/12*(Paths!$J$43*(1+'Operating costs'!$B$51)^MAX(0,C407-1)+Paths!$K$43*(1+'Operating costs'!$B$53)^MAX(0,C407-1)),"n.a."))</f>
        <v>0</v>
      </c>
      <c r="H407" s="16">
        <f>IF(NOT(Paths!$C$43=1),0,IF(Paths!$P$43="Complete",F407/12*(Paths!$L$43*(1+IF(Paths!$D$43="EV",'Operating costs'!$B$52,'Operating costs'!$B$51))^MAX(0,C407-1)+Paths!$M$43*(1+'Operating costs'!$B$53)^MAX(0,C407-1)),"n.a."))</f>
        <v>0</v>
      </c>
      <c r="I407" s="16">
        <f>IF(NOT(Paths!$C$43=1),0,IF(Paths!$P$43="Complete",IF(IF(Paths!$E$43=0,C407=0,AND(C407&gt;0,Paths!$E$43&gt;(C407-1)*12,Paths!$E$43&lt;=C407*12)),Paths!$G$43,0),"n.a."))</f>
        <v>0</v>
      </c>
      <c r="J407" s="16">
        <f>IF(NOT(Paths!$C$43=1),0,IF(Paths!$P$43="Complete",IF(IF(Paths!$E$43=0,C407=0,AND(C407&gt;0,Paths!$E$43&gt;(C407-1)*12,Paths!$E$43&lt;=C407*12)),Paths!$H$43,0),"n.a."))</f>
        <v>0</v>
      </c>
      <c r="K407" s="16">
        <f>IF(NOT(Paths!$C$43=1),0,IF(Paths!$P$43="Complete",IF(IF(Paths!$O$43=0,C407=0,AND(C407&gt;0,Paths!$O$43&gt;(C407-1)*12,Paths!$O$43&lt;=C407*12)),Paths!$N$43,0),"n.a."))</f>
        <v>0</v>
      </c>
      <c r="L407" s="16">
        <f>IF(NOT(Paths!$C$43=1),0,IF(Paths!$P$43="Complete",IF(C407=10,Paths!$I$43,0),"n.a."))</f>
        <v>0</v>
      </c>
      <c r="M407" s="16">
        <f>IF(NOT(Paths!$C$43=1),0,IF(Paths!$P$43="Complete",IF(AND(Paths!$D$43="EV",Paths!$E$43&lt;120,Paths!$E$43+'Operating costs'!$B$65&gt;Paths!$E$43,Paths!$E$43+'Operating costs'!$B$65&lt;=120,IF(Paths!$E$43+'Operating costs'!$B$65=0,C407=0,AND(C407&gt;0,Paths!$E$43+'Operating costs'!$B$65&gt;(C407-1)*12,Paths!$E$43+'Operating costs'!$B$65&lt;=C407*12))),'Operating costs'!$B$64,0)+IF(AND('Operating costs'!$B$67&gt;0,'Operating costs'!$B$67&lt;=120,OR(Paths!$D$43="ICE",'Operating costs'!$B$67&lt;=Paths!$E$43),IF('Operating costs'!$B$67=0,C407=0,AND(C407&gt;0,'Operating costs'!$B$67&gt;(C407-1)*12,'Operating costs'!$B$67&lt;=C407*12))),'Operating costs'!$B$66,0),"n.a."))</f>
        <v>0</v>
      </c>
      <c r="N407" s="16">
        <f>IF(NOT(Paths!$C$43=1),0,IF(Paths!$P$43="Complete",SUM(G407:I407)-J407-K407-L407+M407+IF(C407=0,Paths!$F$43,0)+IF(IF(Paths!$E$43=0,C407=0,AND(C407&gt;0,Paths!$E$43&gt;(C407-1)*12,Paths!$E$43&lt;=C407*12)),VLOOKUP(A407,'Fleet register'!$A$7:$S$106,16,FALSE),0),"n.a."))</f>
        <v>0</v>
      </c>
      <c r="O407" s="16">
        <f>IF(NOT(Paths!$C$43=1),0,IF(Paths!$P$43="Complete",N407-IF(C407=0,Paths!$F$43,0),"n.a."))</f>
        <v>0</v>
      </c>
      <c r="P407" s="16">
        <f>IF(NOT(Paths!$C$43=1),0,IF(Paths!$P$43="Complete",O407+L407,"n.a."))</f>
        <v>0</v>
      </c>
      <c r="Q407" s="16">
        <f>IF(NOT(Paths!$C$43=1),0,IF(Paths!$P$43="Complete",N407*(1+'Operating costs'!$B$54)^-C407,"n.a."))</f>
        <v>0</v>
      </c>
      <c r="R407" s="16">
        <f>IF(NOT(Paths!$C$43=1),0,IF(Paths!$P$43="Complete",IF(AND(C407=0,Paths!$E$43=0),I407-J407-K407+VLOOKUP(A407,'Fleet register'!$A$7:$S$106,15,FALSE)+VLOOKUP(A407,'Fleet register'!$A$7:$S$106,16,FALSE),0),"n.a."))</f>
        <v>0</v>
      </c>
      <c r="S407" s="1">
        <f>IF(NOT(Paths!$C$43=1),0,IF(Paths!$P$43="Complete",IF(C407=0,0,Paths!$S$43*Paths!$R$43),"n.a."))</f>
        <v>0</v>
      </c>
      <c r="T407" s="1">
        <f>IF(NOT(Paths!$C$43=1),0,IF(Paths!$P$43="Complete",IF(C407=0,0,VLOOKUP(A407,'Fleet register'!$A$7:$S$106,9,FALSE)*Paths!$R$43),"n.a."))</f>
        <v>0</v>
      </c>
    </row>
    <row r="408" spans="1:20" ht="24" customHeight="1">
      <c r="A408" s="1" t="str">
        <f>Paths!$A$43</f>
        <v>T010</v>
      </c>
      <c r="B408" s="1">
        <f>Paths!$B$43</f>
        <v>0</v>
      </c>
      <c r="C408" s="1">
        <v>5</v>
      </c>
      <c r="D408" s="1">
        <v>43</v>
      </c>
      <c r="E408" s="1">
        <f>IF(OR(Paths!$C$43=0,C408=0),0,MAX(0,MIN(C408*12,Paths!$E$43)-(C408-1)*12))</f>
        <v>0</v>
      </c>
      <c r="F408" s="1">
        <f>IF(OR(Paths!$C$43=0,C408=0),0,12-E408)</f>
        <v>0</v>
      </c>
      <c r="G408" s="16">
        <f>IF(NOT(Paths!$C$43=1),0,IF(Paths!$P$43="Complete",E408/12*(Paths!$J$43*(1+'Operating costs'!$B$51)^MAX(0,C408-1)+Paths!$K$43*(1+'Operating costs'!$B$53)^MAX(0,C408-1)),"n.a."))</f>
        <v>0</v>
      </c>
      <c r="H408" s="16">
        <f>IF(NOT(Paths!$C$43=1),0,IF(Paths!$P$43="Complete",F408/12*(Paths!$L$43*(1+IF(Paths!$D$43="EV",'Operating costs'!$B$52,'Operating costs'!$B$51))^MAX(0,C408-1)+Paths!$M$43*(1+'Operating costs'!$B$53)^MAX(0,C408-1)),"n.a."))</f>
        <v>0</v>
      </c>
      <c r="I408" s="16">
        <f>IF(NOT(Paths!$C$43=1),0,IF(Paths!$P$43="Complete",IF(IF(Paths!$E$43=0,C408=0,AND(C408&gt;0,Paths!$E$43&gt;(C408-1)*12,Paths!$E$43&lt;=C408*12)),Paths!$G$43,0),"n.a."))</f>
        <v>0</v>
      </c>
      <c r="J408" s="16">
        <f>IF(NOT(Paths!$C$43=1),0,IF(Paths!$P$43="Complete",IF(IF(Paths!$E$43=0,C408=0,AND(C408&gt;0,Paths!$E$43&gt;(C408-1)*12,Paths!$E$43&lt;=C408*12)),Paths!$H$43,0),"n.a."))</f>
        <v>0</v>
      </c>
      <c r="K408" s="16">
        <f>IF(NOT(Paths!$C$43=1),0,IF(Paths!$P$43="Complete",IF(IF(Paths!$O$43=0,C408=0,AND(C408&gt;0,Paths!$O$43&gt;(C408-1)*12,Paths!$O$43&lt;=C408*12)),Paths!$N$43,0),"n.a."))</f>
        <v>0</v>
      </c>
      <c r="L408" s="16">
        <f>IF(NOT(Paths!$C$43=1),0,IF(Paths!$P$43="Complete",IF(C408=10,Paths!$I$43,0),"n.a."))</f>
        <v>0</v>
      </c>
      <c r="M408" s="16">
        <f>IF(NOT(Paths!$C$43=1),0,IF(Paths!$P$43="Complete",IF(AND(Paths!$D$43="EV",Paths!$E$43&lt;120,Paths!$E$43+'Operating costs'!$B$65&gt;Paths!$E$43,Paths!$E$43+'Operating costs'!$B$65&lt;=120,IF(Paths!$E$43+'Operating costs'!$B$65=0,C408=0,AND(C408&gt;0,Paths!$E$43+'Operating costs'!$B$65&gt;(C408-1)*12,Paths!$E$43+'Operating costs'!$B$65&lt;=C408*12))),'Operating costs'!$B$64,0)+IF(AND('Operating costs'!$B$67&gt;0,'Operating costs'!$B$67&lt;=120,OR(Paths!$D$43="ICE",'Operating costs'!$B$67&lt;=Paths!$E$43),IF('Operating costs'!$B$67=0,C408=0,AND(C408&gt;0,'Operating costs'!$B$67&gt;(C408-1)*12,'Operating costs'!$B$67&lt;=C408*12))),'Operating costs'!$B$66,0),"n.a."))</f>
        <v>0</v>
      </c>
      <c r="N408" s="16">
        <f>IF(NOT(Paths!$C$43=1),0,IF(Paths!$P$43="Complete",SUM(G408:I408)-J408-K408-L408+M408+IF(C408=0,Paths!$F$43,0)+IF(IF(Paths!$E$43=0,C408=0,AND(C408&gt;0,Paths!$E$43&gt;(C408-1)*12,Paths!$E$43&lt;=C408*12)),VLOOKUP(A408,'Fleet register'!$A$7:$S$106,16,FALSE),0),"n.a."))</f>
        <v>0</v>
      </c>
      <c r="O408" s="16">
        <f>IF(NOT(Paths!$C$43=1),0,IF(Paths!$P$43="Complete",N408-IF(C408=0,Paths!$F$43,0),"n.a."))</f>
        <v>0</v>
      </c>
      <c r="P408" s="16">
        <f>IF(NOT(Paths!$C$43=1),0,IF(Paths!$P$43="Complete",O408+L408,"n.a."))</f>
        <v>0</v>
      </c>
      <c r="Q408" s="16">
        <f>IF(NOT(Paths!$C$43=1),0,IF(Paths!$P$43="Complete",N408*(1+'Operating costs'!$B$54)^-C408,"n.a."))</f>
        <v>0</v>
      </c>
      <c r="R408" s="16">
        <f>IF(NOT(Paths!$C$43=1),0,IF(Paths!$P$43="Complete",IF(AND(C408=0,Paths!$E$43=0),I408-J408-K408+VLOOKUP(A408,'Fleet register'!$A$7:$S$106,15,FALSE)+VLOOKUP(A408,'Fleet register'!$A$7:$S$106,16,FALSE),0),"n.a."))</f>
        <v>0</v>
      </c>
      <c r="S408" s="1">
        <f>IF(NOT(Paths!$C$43=1),0,IF(Paths!$P$43="Complete",IF(C408=0,0,Paths!$S$43*Paths!$R$43),"n.a."))</f>
        <v>0</v>
      </c>
      <c r="T408" s="1">
        <f>IF(NOT(Paths!$C$43=1),0,IF(Paths!$P$43="Complete",IF(C408=0,0,VLOOKUP(A408,'Fleet register'!$A$7:$S$106,9,FALSE)*Paths!$R$43),"n.a."))</f>
        <v>0</v>
      </c>
    </row>
    <row r="409" spans="1:20" ht="24" customHeight="1">
      <c r="A409" s="1" t="str">
        <f>Paths!$A$43</f>
        <v>T010</v>
      </c>
      <c r="B409" s="1">
        <f>Paths!$B$43</f>
        <v>0</v>
      </c>
      <c r="C409" s="1">
        <v>6</v>
      </c>
      <c r="D409" s="1">
        <v>43</v>
      </c>
      <c r="E409" s="1">
        <f>IF(OR(Paths!$C$43=0,C409=0),0,MAX(0,MIN(C409*12,Paths!$E$43)-(C409-1)*12))</f>
        <v>0</v>
      </c>
      <c r="F409" s="1">
        <f>IF(OR(Paths!$C$43=0,C409=0),0,12-E409)</f>
        <v>0</v>
      </c>
      <c r="G409" s="16">
        <f>IF(NOT(Paths!$C$43=1),0,IF(Paths!$P$43="Complete",E409/12*(Paths!$J$43*(1+'Operating costs'!$B$51)^MAX(0,C409-1)+Paths!$K$43*(1+'Operating costs'!$B$53)^MAX(0,C409-1)),"n.a."))</f>
        <v>0</v>
      </c>
      <c r="H409" s="16">
        <f>IF(NOT(Paths!$C$43=1),0,IF(Paths!$P$43="Complete",F409/12*(Paths!$L$43*(1+IF(Paths!$D$43="EV",'Operating costs'!$B$52,'Operating costs'!$B$51))^MAX(0,C409-1)+Paths!$M$43*(1+'Operating costs'!$B$53)^MAX(0,C409-1)),"n.a."))</f>
        <v>0</v>
      </c>
      <c r="I409" s="16">
        <f>IF(NOT(Paths!$C$43=1),0,IF(Paths!$P$43="Complete",IF(IF(Paths!$E$43=0,C409=0,AND(C409&gt;0,Paths!$E$43&gt;(C409-1)*12,Paths!$E$43&lt;=C409*12)),Paths!$G$43,0),"n.a."))</f>
        <v>0</v>
      </c>
      <c r="J409" s="16">
        <f>IF(NOT(Paths!$C$43=1),0,IF(Paths!$P$43="Complete",IF(IF(Paths!$E$43=0,C409=0,AND(C409&gt;0,Paths!$E$43&gt;(C409-1)*12,Paths!$E$43&lt;=C409*12)),Paths!$H$43,0),"n.a."))</f>
        <v>0</v>
      </c>
      <c r="K409" s="16">
        <f>IF(NOT(Paths!$C$43=1),0,IF(Paths!$P$43="Complete",IF(IF(Paths!$O$43=0,C409=0,AND(C409&gt;0,Paths!$O$43&gt;(C409-1)*12,Paths!$O$43&lt;=C409*12)),Paths!$N$43,0),"n.a."))</f>
        <v>0</v>
      </c>
      <c r="L409" s="16">
        <f>IF(NOT(Paths!$C$43=1),0,IF(Paths!$P$43="Complete",IF(C409=10,Paths!$I$43,0),"n.a."))</f>
        <v>0</v>
      </c>
      <c r="M409" s="16">
        <f>IF(NOT(Paths!$C$43=1),0,IF(Paths!$P$43="Complete",IF(AND(Paths!$D$43="EV",Paths!$E$43&lt;120,Paths!$E$43+'Operating costs'!$B$65&gt;Paths!$E$43,Paths!$E$43+'Operating costs'!$B$65&lt;=120,IF(Paths!$E$43+'Operating costs'!$B$65=0,C409=0,AND(C409&gt;0,Paths!$E$43+'Operating costs'!$B$65&gt;(C409-1)*12,Paths!$E$43+'Operating costs'!$B$65&lt;=C409*12))),'Operating costs'!$B$64,0)+IF(AND('Operating costs'!$B$67&gt;0,'Operating costs'!$B$67&lt;=120,OR(Paths!$D$43="ICE",'Operating costs'!$B$67&lt;=Paths!$E$43),IF('Operating costs'!$B$67=0,C409=0,AND(C409&gt;0,'Operating costs'!$B$67&gt;(C409-1)*12,'Operating costs'!$B$67&lt;=C409*12))),'Operating costs'!$B$66,0),"n.a."))</f>
        <v>0</v>
      </c>
      <c r="N409" s="16">
        <f>IF(NOT(Paths!$C$43=1),0,IF(Paths!$P$43="Complete",SUM(G409:I409)-J409-K409-L409+M409+IF(C409=0,Paths!$F$43,0)+IF(IF(Paths!$E$43=0,C409=0,AND(C409&gt;0,Paths!$E$43&gt;(C409-1)*12,Paths!$E$43&lt;=C409*12)),VLOOKUP(A409,'Fleet register'!$A$7:$S$106,16,FALSE),0),"n.a."))</f>
        <v>0</v>
      </c>
      <c r="O409" s="16">
        <f>IF(NOT(Paths!$C$43=1),0,IF(Paths!$P$43="Complete",N409-IF(C409=0,Paths!$F$43,0),"n.a."))</f>
        <v>0</v>
      </c>
      <c r="P409" s="16">
        <f>IF(NOT(Paths!$C$43=1),0,IF(Paths!$P$43="Complete",O409+L409,"n.a."))</f>
        <v>0</v>
      </c>
      <c r="Q409" s="16">
        <f>IF(NOT(Paths!$C$43=1),0,IF(Paths!$P$43="Complete",N409*(1+'Operating costs'!$B$54)^-C409,"n.a."))</f>
        <v>0</v>
      </c>
      <c r="R409" s="16">
        <f>IF(NOT(Paths!$C$43=1),0,IF(Paths!$P$43="Complete",IF(AND(C409=0,Paths!$E$43=0),I409-J409-K409+VLOOKUP(A409,'Fleet register'!$A$7:$S$106,15,FALSE)+VLOOKUP(A409,'Fleet register'!$A$7:$S$106,16,FALSE),0),"n.a."))</f>
        <v>0</v>
      </c>
      <c r="S409" s="1">
        <f>IF(NOT(Paths!$C$43=1),0,IF(Paths!$P$43="Complete",IF(C409=0,0,Paths!$S$43*Paths!$R$43),"n.a."))</f>
        <v>0</v>
      </c>
      <c r="T409" s="1">
        <f>IF(NOT(Paths!$C$43=1),0,IF(Paths!$P$43="Complete",IF(C409=0,0,VLOOKUP(A409,'Fleet register'!$A$7:$S$106,9,FALSE)*Paths!$R$43),"n.a."))</f>
        <v>0</v>
      </c>
    </row>
    <row r="410" spans="1:20" ht="24" customHeight="1">
      <c r="A410" s="1" t="str">
        <f>Paths!$A$43</f>
        <v>T010</v>
      </c>
      <c r="B410" s="1">
        <f>Paths!$B$43</f>
        <v>0</v>
      </c>
      <c r="C410" s="1">
        <v>7</v>
      </c>
      <c r="D410" s="1">
        <v>43</v>
      </c>
      <c r="E410" s="1">
        <f>IF(OR(Paths!$C$43=0,C410=0),0,MAX(0,MIN(C410*12,Paths!$E$43)-(C410-1)*12))</f>
        <v>0</v>
      </c>
      <c r="F410" s="1">
        <f>IF(OR(Paths!$C$43=0,C410=0),0,12-E410)</f>
        <v>0</v>
      </c>
      <c r="G410" s="16">
        <f>IF(NOT(Paths!$C$43=1),0,IF(Paths!$P$43="Complete",E410/12*(Paths!$J$43*(1+'Operating costs'!$B$51)^MAX(0,C410-1)+Paths!$K$43*(1+'Operating costs'!$B$53)^MAX(0,C410-1)),"n.a."))</f>
        <v>0</v>
      </c>
      <c r="H410" s="16">
        <f>IF(NOT(Paths!$C$43=1),0,IF(Paths!$P$43="Complete",F410/12*(Paths!$L$43*(1+IF(Paths!$D$43="EV",'Operating costs'!$B$52,'Operating costs'!$B$51))^MAX(0,C410-1)+Paths!$M$43*(1+'Operating costs'!$B$53)^MAX(0,C410-1)),"n.a."))</f>
        <v>0</v>
      </c>
      <c r="I410" s="16">
        <f>IF(NOT(Paths!$C$43=1),0,IF(Paths!$P$43="Complete",IF(IF(Paths!$E$43=0,C410=0,AND(C410&gt;0,Paths!$E$43&gt;(C410-1)*12,Paths!$E$43&lt;=C410*12)),Paths!$G$43,0),"n.a."))</f>
        <v>0</v>
      </c>
      <c r="J410" s="16">
        <f>IF(NOT(Paths!$C$43=1),0,IF(Paths!$P$43="Complete",IF(IF(Paths!$E$43=0,C410=0,AND(C410&gt;0,Paths!$E$43&gt;(C410-1)*12,Paths!$E$43&lt;=C410*12)),Paths!$H$43,0),"n.a."))</f>
        <v>0</v>
      </c>
      <c r="K410" s="16">
        <f>IF(NOT(Paths!$C$43=1),0,IF(Paths!$P$43="Complete",IF(IF(Paths!$O$43=0,C410=0,AND(C410&gt;0,Paths!$O$43&gt;(C410-1)*12,Paths!$O$43&lt;=C410*12)),Paths!$N$43,0),"n.a."))</f>
        <v>0</v>
      </c>
      <c r="L410" s="16">
        <f>IF(NOT(Paths!$C$43=1),0,IF(Paths!$P$43="Complete",IF(C410=10,Paths!$I$43,0),"n.a."))</f>
        <v>0</v>
      </c>
      <c r="M410" s="16">
        <f>IF(NOT(Paths!$C$43=1),0,IF(Paths!$P$43="Complete",IF(AND(Paths!$D$43="EV",Paths!$E$43&lt;120,Paths!$E$43+'Operating costs'!$B$65&gt;Paths!$E$43,Paths!$E$43+'Operating costs'!$B$65&lt;=120,IF(Paths!$E$43+'Operating costs'!$B$65=0,C410=0,AND(C410&gt;0,Paths!$E$43+'Operating costs'!$B$65&gt;(C410-1)*12,Paths!$E$43+'Operating costs'!$B$65&lt;=C410*12))),'Operating costs'!$B$64,0)+IF(AND('Operating costs'!$B$67&gt;0,'Operating costs'!$B$67&lt;=120,OR(Paths!$D$43="ICE",'Operating costs'!$B$67&lt;=Paths!$E$43),IF('Operating costs'!$B$67=0,C410=0,AND(C410&gt;0,'Operating costs'!$B$67&gt;(C410-1)*12,'Operating costs'!$B$67&lt;=C410*12))),'Operating costs'!$B$66,0),"n.a."))</f>
        <v>0</v>
      </c>
      <c r="N410" s="16">
        <f>IF(NOT(Paths!$C$43=1),0,IF(Paths!$P$43="Complete",SUM(G410:I410)-J410-K410-L410+M410+IF(C410=0,Paths!$F$43,0)+IF(IF(Paths!$E$43=0,C410=0,AND(C410&gt;0,Paths!$E$43&gt;(C410-1)*12,Paths!$E$43&lt;=C410*12)),VLOOKUP(A410,'Fleet register'!$A$7:$S$106,16,FALSE),0),"n.a."))</f>
        <v>0</v>
      </c>
      <c r="O410" s="16">
        <f>IF(NOT(Paths!$C$43=1),0,IF(Paths!$P$43="Complete",N410-IF(C410=0,Paths!$F$43,0),"n.a."))</f>
        <v>0</v>
      </c>
      <c r="P410" s="16">
        <f>IF(NOT(Paths!$C$43=1),0,IF(Paths!$P$43="Complete",O410+L410,"n.a."))</f>
        <v>0</v>
      </c>
      <c r="Q410" s="16">
        <f>IF(NOT(Paths!$C$43=1),0,IF(Paths!$P$43="Complete",N410*(1+'Operating costs'!$B$54)^-C410,"n.a."))</f>
        <v>0</v>
      </c>
      <c r="R410" s="16">
        <f>IF(NOT(Paths!$C$43=1),0,IF(Paths!$P$43="Complete",IF(AND(C410=0,Paths!$E$43=0),I410-J410-K410+VLOOKUP(A410,'Fleet register'!$A$7:$S$106,15,FALSE)+VLOOKUP(A410,'Fleet register'!$A$7:$S$106,16,FALSE),0),"n.a."))</f>
        <v>0</v>
      </c>
      <c r="S410" s="1">
        <f>IF(NOT(Paths!$C$43=1),0,IF(Paths!$P$43="Complete",IF(C410=0,0,Paths!$S$43*Paths!$R$43),"n.a."))</f>
        <v>0</v>
      </c>
      <c r="T410" s="1">
        <f>IF(NOT(Paths!$C$43=1),0,IF(Paths!$P$43="Complete",IF(C410=0,0,VLOOKUP(A410,'Fleet register'!$A$7:$S$106,9,FALSE)*Paths!$R$43),"n.a."))</f>
        <v>0</v>
      </c>
    </row>
    <row r="411" spans="1:20" ht="24" customHeight="1">
      <c r="A411" s="1" t="str">
        <f>Paths!$A$43</f>
        <v>T010</v>
      </c>
      <c r="B411" s="1">
        <f>Paths!$B$43</f>
        <v>0</v>
      </c>
      <c r="C411" s="1">
        <v>8</v>
      </c>
      <c r="D411" s="1">
        <v>43</v>
      </c>
      <c r="E411" s="1">
        <f>IF(OR(Paths!$C$43=0,C411=0),0,MAX(0,MIN(C411*12,Paths!$E$43)-(C411-1)*12))</f>
        <v>0</v>
      </c>
      <c r="F411" s="1">
        <f>IF(OR(Paths!$C$43=0,C411=0),0,12-E411)</f>
        <v>0</v>
      </c>
      <c r="G411" s="16">
        <f>IF(NOT(Paths!$C$43=1),0,IF(Paths!$P$43="Complete",E411/12*(Paths!$J$43*(1+'Operating costs'!$B$51)^MAX(0,C411-1)+Paths!$K$43*(1+'Operating costs'!$B$53)^MAX(0,C411-1)),"n.a."))</f>
        <v>0</v>
      </c>
      <c r="H411" s="16">
        <f>IF(NOT(Paths!$C$43=1),0,IF(Paths!$P$43="Complete",F411/12*(Paths!$L$43*(1+IF(Paths!$D$43="EV",'Operating costs'!$B$52,'Operating costs'!$B$51))^MAX(0,C411-1)+Paths!$M$43*(1+'Operating costs'!$B$53)^MAX(0,C411-1)),"n.a."))</f>
        <v>0</v>
      </c>
      <c r="I411" s="16">
        <f>IF(NOT(Paths!$C$43=1),0,IF(Paths!$P$43="Complete",IF(IF(Paths!$E$43=0,C411=0,AND(C411&gt;0,Paths!$E$43&gt;(C411-1)*12,Paths!$E$43&lt;=C411*12)),Paths!$G$43,0),"n.a."))</f>
        <v>0</v>
      </c>
      <c r="J411" s="16">
        <f>IF(NOT(Paths!$C$43=1),0,IF(Paths!$P$43="Complete",IF(IF(Paths!$E$43=0,C411=0,AND(C411&gt;0,Paths!$E$43&gt;(C411-1)*12,Paths!$E$43&lt;=C411*12)),Paths!$H$43,0),"n.a."))</f>
        <v>0</v>
      </c>
      <c r="K411" s="16">
        <f>IF(NOT(Paths!$C$43=1),0,IF(Paths!$P$43="Complete",IF(IF(Paths!$O$43=0,C411=0,AND(C411&gt;0,Paths!$O$43&gt;(C411-1)*12,Paths!$O$43&lt;=C411*12)),Paths!$N$43,0),"n.a."))</f>
        <v>0</v>
      </c>
      <c r="L411" s="16">
        <f>IF(NOT(Paths!$C$43=1),0,IF(Paths!$P$43="Complete",IF(C411=10,Paths!$I$43,0),"n.a."))</f>
        <v>0</v>
      </c>
      <c r="M411" s="16">
        <f>IF(NOT(Paths!$C$43=1),0,IF(Paths!$P$43="Complete",IF(AND(Paths!$D$43="EV",Paths!$E$43&lt;120,Paths!$E$43+'Operating costs'!$B$65&gt;Paths!$E$43,Paths!$E$43+'Operating costs'!$B$65&lt;=120,IF(Paths!$E$43+'Operating costs'!$B$65=0,C411=0,AND(C411&gt;0,Paths!$E$43+'Operating costs'!$B$65&gt;(C411-1)*12,Paths!$E$43+'Operating costs'!$B$65&lt;=C411*12))),'Operating costs'!$B$64,0)+IF(AND('Operating costs'!$B$67&gt;0,'Operating costs'!$B$67&lt;=120,OR(Paths!$D$43="ICE",'Operating costs'!$B$67&lt;=Paths!$E$43),IF('Operating costs'!$B$67=0,C411=0,AND(C411&gt;0,'Operating costs'!$B$67&gt;(C411-1)*12,'Operating costs'!$B$67&lt;=C411*12))),'Operating costs'!$B$66,0),"n.a."))</f>
        <v>0</v>
      </c>
      <c r="N411" s="16">
        <f>IF(NOT(Paths!$C$43=1),0,IF(Paths!$P$43="Complete",SUM(G411:I411)-J411-K411-L411+M411+IF(C411=0,Paths!$F$43,0)+IF(IF(Paths!$E$43=0,C411=0,AND(C411&gt;0,Paths!$E$43&gt;(C411-1)*12,Paths!$E$43&lt;=C411*12)),VLOOKUP(A411,'Fleet register'!$A$7:$S$106,16,FALSE),0),"n.a."))</f>
        <v>0</v>
      </c>
      <c r="O411" s="16">
        <f>IF(NOT(Paths!$C$43=1),0,IF(Paths!$P$43="Complete",N411-IF(C411=0,Paths!$F$43,0),"n.a."))</f>
        <v>0</v>
      </c>
      <c r="P411" s="16">
        <f>IF(NOT(Paths!$C$43=1),0,IF(Paths!$P$43="Complete",O411+L411,"n.a."))</f>
        <v>0</v>
      </c>
      <c r="Q411" s="16">
        <f>IF(NOT(Paths!$C$43=1),0,IF(Paths!$P$43="Complete",N411*(1+'Operating costs'!$B$54)^-C411,"n.a."))</f>
        <v>0</v>
      </c>
      <c r="R411" s="16">
        <f>IF(NOT(Paths!$C$43=1),0,IF(Paths!$P$43="Complete",IF(AND(C411=0,Paths!$E$43=0),I411-J411-K411+VLOOKUP(A411,'Fleet register'!$A$7:$S$106,15,FALSE)+VLOOKUP(A411,'Fleet register'!$A$7:$S$106,16,FALSE),0),"n.a."))</f>
        <v>0</v>
      </c>
      <c r="S411" s="1">
        <f>IF(NOT(Paths!$C$43=1),0,IF(Paths!$P$43="Complete",IF(C411=0,0,Paths!$S$43*Paths!$R$43),"n.a."))</f>
        <v>0</v>
      </c>
      <c r="T411" s="1">
        <f>IF(NOT(Paths!$C$43=1),0,IF(Paths!$P$43="Complete",IF(C411=0,0,VLOOKUP(A411,'Fleet register'!$A$7:$S$106,9,FALSE)*Paths!$R$43),"n.a."))</f>
        <v>0</v>
      </c>
    </row>
    <row r="412" spans="1:20" ht="24" customHeight="1">
      <c r="A412" s="1" t="str">
        <f>Paths!$A$43</f>
        <v>T010</v>
      </c>
      <c r="B412" s="1">
        <f>Paths!$B$43</f>
        <v>0</v>
      </c>
      <c r="C412" s="1">
        <v>9</v>
      </c>
      <c r="D412" s="1">
        <v>43</v>
      </c>
      <c r="E412" s="1">
        <f>IF(OR(Paths!$C$43=0,C412=0),0,MAX(0,MIN(C412*12,Paths!$E$43)-(C412-1)*12))</f>
        <v>0</v>
      </c>
      <c r="F412" s="1">
        <f>IF(OR(Paths!$C$43=0,C412=0),0,12-E412)</f>
        <v>0</v>
      </c>
      <c r="G412" s="16">
        <f>IF(NOT(Paths!$C$43=1),0,IF(Paths!$P$43="Complete",E412/12*(Paths!$J$43*(1+'Operating costs'!$B$51)^MAX(0,C412-1)+Paths!$K$43*(1+'Operating costs'!$B$53)^MAX(0,C412-1)),"n.a."))</f>
        <v>0</v>
      </c>
      <c r="H412" s="16">
        <f>IF(NOT(Paths!$C$43=1),0,IF(Paths!$P$43="Complete",F412/12*(Paths!$L$43*(1+IF(Paths!$D$43="EV",'Operating costs'!$B$52,'Operating costs'!$B$51))^MAX(0,C412-1)+Paths!$M$43*(1+'Operating costs'!$B$53)^MAX(0,C412-1)),"n.a."))</f>
        <v>0</v>
      </c>
      <c r="I412" s="16">
        <f>IF(NOT(Paths!$C$43=1),0,IF(Paths!$P$43="Complete",IF(IF(Paths!$E$43=0,C412=0,AND(C412&gt;0,Paths!$E$43&gt;(C412-1)*12,Paths!$E$43&lt;=C412*12)),Paths!$G$43,0),"n.a."))</f>
        <v>0</v>
      </c>
      <c r="J412" s="16">
        <f>IF(NOT(Paths!$C$43=1),0,IF(Paths!$P$43="Complete",IF(IF(Paths!$E$43=0,C412=0,AND(C412&gt;0,Paths!$E$43&gt;(C412-1)*12,Paths!$E$43&lt;=C412*12)),Paths!$H$43,0),"n.a."))</f>
        <v>0</v>
      </c>
      <c r="K412" s="16">
        <f>IF(NOT(Paths!$C$43=1),0,IF(Paths!$P$43="Complete",IF(IF(Paths!$O$43=0,C412=0,AND(C412&gt;0,Paths!$O$43&gt;(C412-1)*12,Paths!$O$43&lt;=C412*12)),Paths!$N$43,0),"n.a."))</f>
        <v>0</v>
      </c>
      <c r="L412" s="16">
        <f>IF(NOT(Paths!$C$43=1),0,IF(Paths!$P$43="Complete",IF(C412=10,Paths!$I$43,0),"n.a."))</f>
        <v>0</v>
      </c>
      <c r="M412" s="16">
        <f>IF(NOT(Paths!$C$43=1),0,IF(Paths!$P$43="Complete",IF(AND(Paths!$D$43="EV",Paths!$E$43&lt;120,Paths!$E$43+'Operating costs'!$B$65&gt;Paths!$E$43,Paths!$E$43+'Operating costs'!$B$65&lt;=120,IF(Paths!$E$43+'Operating costs'!$B$65=0,C412=0,AND(C412&gt;0,Paths!$E$43+'Operating costs'!$B$65&gt;(C412-1)*12,Paths!$E$43+'Operating costs'!$B$65&lt;=C412*12))),'Operating costs'!$B$64,0)+IF(AND('Operating costs'!$B$67&gt;0,'Operating costs'!$B$67&lt;=120,OR(Paths!$D$43="ICE",'Operating costs'!$B$67&lt;=Paths!$E$43),IF('Operating costs'!$B$67=0,C412=0,AND(C412&gt;0,'Operating costs'!$B$67&gt;(C412-1)*12,'Operating costs'!$B$67&lt;=C412*12))),'Operating costs'!$B$66,0),"n.a."))</f>
        <v>0</v>
      </c>
      <c r="N412" s="16">
        <f>IF(NOT(Paths!$C$43=1),0,IF(Paths!$P$43="Complete",SUM(G412:I412)-J412-K412-L412+M412+IF(C412=0,Paths!$F$43,0)+IF(IF(Paths!$E$43=0,C412=0,AND(C412&gt;0,Paths!$E$43&gt;(C412-1)*12,Paths!$E$43&lt;=C412*12)),VLOOKUP(A412,'Fleet register'!$A$7:$S$106,16,FALSE),0),"n.a."))</f>
        <v>0</v>
      </c>
      <c r="O412" s="16">
        <f>IF(NOT(Paths!$C$43=1),0,IF(Paths!$P$43="Complete",N412-IF(C412=0,Paths!$F$43,0),"n.a."))</f>
        <v>0</v>
      </c>
      <c r="P412" s="16">
        <f>IF(NOT(Paths!$C$43=1),0,IF(Paths!$P$43="Complete",O412+L412,"n.a."))</f>
        <v>0</v>
      </c>
      <c r="Q412" s="16">
        <f>IF(NOT(Paths!$C$43=1),0,IF(Paths!$P$43="Complete",N412*(1+'Operating costs'!$B$54)^-C412,"n.a."))</f>
        <v>0</v>
      </c>
      <c r="R412" s="16">
        <f>IF(NOT(Paths!$C$43=1),0,IF(Paths!$P$43="Complete",IF(AND(C412=0,Paths!$E$43=0),I412-J412-K412+VLOOKUP(A412,'Fleet register'!$A$7:$S$106,15,FALSE)+VLOOKUP(A412,'Fleet register'!$A$7:$S$106,16,FALSE),0),"n.a."))</f>
        <v>0</v>
      </c>
      <c r="S412" s="1">
        <f>IF(NOT(Paths!$C$43=1),0,IF(Paths!$P$43="Complete",IF(C412=0,0,Paths!$S$43*Paths!$R$43),"n.a."))</f>
        <v>0</v>
      </c>
      <c r="T412" s="1">
        <f>IF(NOT(Paths!$C$43=1),0,IF(Paths!$P$43="Complete",IF(C412=0,0,VLOOKUP(A412,'Fleet register'!$A$7:$S$106,9,FALSE)*Paths!$R$43),"n.a."))</f>
        <v>0</v>
      </c>
    </row>
    <row r="413" spans="1:20" ht="24" customHeight="1">
      <c r="A413" s="1" t="str">
        <f>Paths!$A$43</f>
        <v>T010</v>
      </c>
      <c r="B413" s="1">
        <f>Paths!$B$43</f>
        <v>0</v>
      </c>
      <c r="C413" s="1">
        <v>10</v>
      </c>
      <c r="D413" s="1">
        <v>43</v>
      </c>
      <c r="E413" s="1">
        <f>IF(OR(Paths!$C$43=0,C413=0),0,MAX(0,MIN(C413*12,Paths!$E$43)-(C413-1)*12))</f>
        <v>0</v>
      </c>
      <c r="F413" s="1">
        <f>IF(OR(Paths!$C$43=0,C413=0),0,12-E413)</f>
        <v>0</v>
      </c>
      <c r="G413" s="16">
        <f>IF(NOT(Paths!$C$43=1),0,IF(Paths!$P$43="Complete",E413/12*(Paths!$J$43*(1+'Operating costs'!$B$51)^MAX(0,C413-1)+Paths!$K$43*(1+'Operating costs'!$B$53)^MAX(0,C413-1)),"n.a."))</f>
        <v>0</v>
      </c>
      <c r="H413" s="16">
        <f>IF(NOT(Paths!$C$43=1),0,IF(Paths!$P$43="Complete",F413/12*(Paths!$L$43*(1+IF(Paths!$D$43="EV",'Operating costs'!$B$52,'Operating costs'!$B$51))^MAX(0,C413-1)+Paths!$M$43*(1+'Operating costs'!$B$53)^MAX(0,C413-1)),"n.a."))</f>
        <v>0</v>
      </c>
      <c r="I413" s="16">
        <f>IF(NOT(Paths!$C$43=1),0,IF(Paths!$P$43="Complete",IF(IF(Paths!$E$43=0,C413=0,AND(C413&gt;0,Paths!$E$43&gt;(C413-1)*12,Paths!$E$43&lt;=C413*12)),Paths!$G$43,0),"n.a."))</f>
        <v>0</v>
      </c>
      <c r="J413" s="16">
        <f>IF(NOT(Paths!$C$43=1),0,IF(Paths!$P$43="Complete",IF(IF(Paths!$E$43=0,C413=0,AND(C413&gt;0,Paths!$E$43&gt;(C413-1)*12,Paths!$E$43&lt;=C413*12)),Paths!$H$43,0),"n.a."))</f>
        <v>0</v>
      </c>
      <c r="K413" s="16">
        <f>IF(NOT(Paths!$C$43=1),0,IF(Paths!$P$43="Complete",IF(IF(Paths!$O$43=0,C413=0,AND(C413&gt;0,Paths!$O$43&gt;(C413-1)*12,Paths!$O$43&lt;=C413*12)),Paths!$N$43,0),"n.a."))</f>
        <v>0</v>
      </c>
      <c r="L413" s="16">
        <f>IF(NOT(Paths!$C$43=1),0,IF(Paths!$P$43="Complete",IF(C413=10,Paths!$I$43,0),"n.a."))</f>
        <v>0</v>
      </c>
      <c r="M413" s="16">
        <f>IF(NOT(Paths!$C$43=1),0,IF(Paths!$P$43="Complete",IF(AND(Paths!$D$43="EV",Paths!$E$43&lt;120,Paths!$E$43+'Operating costs'!$B$65&gt;Paths!$E$43,Paths!$E$43+'Operating costs'!$B$65&lt;=120,IF(Paths!$E$43+'Operating costs'!$B$65=0,C413=0,AND(C413&gt;0,Paths!$E$43+'Operating costs'!$B$65&gt;(C413-1)*12,Paths!$E$43+'Operating costs'!$B$65&lt;=C413*12))),'Operating costs'!$B$64,0)+IF(AND('Operating costs'!$B$67&gt;0,'Operating costs'!$B$67&lt;=120,OR(Paths!$D$43="ICE",'Operating costs'!$B$67&lt;=Paths!$E$43),IF('Operating costs'!$B$67=0,C413=0,AND(C413&gt;0,'Operating costs'!$B$67&gt;(C413-1)*12,'Operating costs'!$B$67&lt;=C413*12))),'Operating costs'!$B$66,0),"n.a."))</f>
        <v>0</v>
      </c>
      <c r="N413" s="16">
        <f>IF(NOT(Paths!$C$43=1),0,IF(Paths!$P$43="Complete",SUM(G413:I413)-J413-K413-L413+M413+IF(C413=0,Paths!$F$43,0)+IF(IF(Paths!$E$43=0,C413=0,AND(C413&gt;0,Paths!$E$43&gt;(C413-1)*12,Paths!$E$43&lt;=C413*12)),VLOOKUP(A413,'Fleet register'!$A$7:$S$106,16,FALSE),0),"n.a."))</f>
        <v>0</v>
      </c>
      <c r="O413" s="16">
        <f>IF(NOT(Paths!$C$43=1),0,IF(Paths!$P$43="Complete",N413-IF(C413=0,Paths!$F$43,0),"n.a."))</f>
        <v>0</v>
      </c>
      <c r="P413" s="16">
        <f>IF(NOT(Paths!$C$43=1),0,IF(Paths!$P$43="Complete",O413+L413,"n.a."))</f>
        <v>0</v>
      </c>
      <c r="Q413" s="16">
        <f>IF(NOT(Paths!$C$43=1),0,IF(Paths!$P$43="Complete",N413*(1+'Operating costs'!$B$54)^-C413,"n.a."))</f>
        <v>0</v>
      </c>
      <c r="R413" s="16">
        <f>IF(NOT(Paths!$C$43=1),0,IF(Paths!$P$43="Complete",IF(AND(C413=0,Paths!$E$43=0),I413-J413-K413+VLOOKUP(A413,'Fleet register'!$A$7:$S$106,15,FALSE)+VLOOKUP(A413,'Fleet register'!$A$7:$S$106,16,FALSE),0),"n.a."))</f>
        <v>0</v>
      </c>
      <c r="S413" s="1">
        <f>IF(NOT(Paths!$C$43=1),0,IF(Paths!$P$43="Complete",IF(C413=0,0,Paths!$S$43*Paths!$R$43),"n.a."))</f>
        <v>0</v>
      </c>
      <c r="T413" s="1">
        <f>IF(NOT(Paths!$C$43=1),0,IF(Paths!$P$43="Complete",IF(C413=0,0,VLOOKUP(A413,'Fleet register'!$A$7:$S$106,9,FALSE)*Paths!$R$43),"n.a."))</f>
        <v>0</v>
      </c>
    </row>
    <row r="414" spans="1:20" ht="24" customHeight="1">
      <c r="A414" s="1" t="str">
        <f>Paths!$A$44</f>
        <v>T010</v>
      </c>
      <c r="B414" s="1">
        <f>Paths!$B$44</f>
        <v>1</v>
      </c>
      <c r="C414" s="1">
        <v>0</v>
      </c>
      <c r="D414" s="1">
        <v>44</v>
      </c>
      <c r="E414" s="1">
        <f>IF(OR(Paths!$C$44=0,C414=0),0,MAX(0,MIN(C414*12,Paths!$E$44)-(C414-1)*12))</f>
        <v>0</v>
      </c>
      <c r="F414" s="1">
        <f>IF(OR(Paths!$C$44=0,C414=0),0,12-E414)</f>
        <v>0</v>
      </c>
      <c r="G414" s="16">
        <f>IF(NOT(Paths!$C$44=1),0,IF(Paths!$P$44="Complete",E414/12*(Paths!$J$44*(1+'Operating costs'!$B$51)^MAX(0,C414-1)+Paths!$K$44*(1+'Operating costs'!$B$53)^MAX(0,C414-1)),"n.a."))</f>
        <v>0</v>
      </c>
      <c r="H414" s="16">
        <f>IF(NOT(Paths!$C$44=1),0,IF(Paths!$P$44="Complete",F414/12*(Paths!$L$44*(1+IF(Paths!$D$44="EV",'Operating costs'!$B$52,'Operating costs'!$B$51))^MAX(0,C414-1)+Paths!$M$44*(1+'Operating costs'!$B$53)^MAX(0,C414-1)),"n.a."))</f>
        <v>0</v>
      </c>
      <c r="I414" s="16">
        <f>IF(NOT(Paths!$C$44=1),0,IF(Paths!$P$44="Complete",IF(IF(Paths!$E$44=0,C414=0,AND(C414&gt;0,Paths!$E$44&gt;(C414-1)*12,Paths!$E$44&lt;=C414*12)),Paths!$G$44,0),"n.a."))</f>
        <v>0</v>
      </c>
      <c r="J414" s="16">
        <f>IF(NOT(Paths!$C$44=1),0,IF(Paths!$P$44="Complete",IF(IF(Paths!$E$44=0,C414=0,AND(C414&gt;0,Paths!$E$44&gt;(C414-1)*12,Paths!$E$44&lt;=C414*12)),Paths!$H$44,0),"n.a."))</f>
        <v>0</v>
      </c>
      <c r="K414" s="16">
        <f>IF(NOT(Paths!$C$44=1),0,IF(Paths!$P$44="Complete",IF(IF(Paths!$O$44=0,C414=0,AND(C414&gt;0,Paths!$O$44&gt;(C414-1)*12,Paths!$O$44&lt;=C414*12)),Paths!$N$44,0),"n.a."))</f>
        <v>0</v>
      </c>
      <c r="L414" s="16">
        <f>IF(NOT(Paths!$C$44=1),0,IF(Paths!$P$44="Complete",IF(C414=10,Paths!$I$44,0),"n.a."))</f>
        <v>0</v>
      </c>
      <c r="M414" s="16">
        <f>IF(NOT(Paths!$C$44=1),0,IF(Paths!$P$44="Complete",IF(AND(Paths!$D$44="EV",Paths!$E$44&lt;120,Paths!$E$44+'Operating costs'!$B$65&gt;Paths!$E$44,Paths!$E$44+'Operating costs'!$B$65&lt;=120,IF(Paths!$E$44+'Operating costs'!$B$65=0,C414=0,AND(C414&gt;0,Paths!$E$44+'Operating costs'!$B$65&gt;(C414-1)*12,Paths!$E$44+'Operating costs'!$B$65&lt;=C414*12))),'Operating costs'!$B$64,0)+IF(AND('Operating costs'!$B$67&gt;0,'Operating costs'!$B$67&lt;=120,OR(Paths!$D$44="ICE",'Operating costs'!$B$67&lt;=Paths!$E$44),IF('Operating costs'!$B$67=0,C414=0,AND(C414&gt;0,'Operating costs'!$B$67&gt;(C414-1)*12,'Operating costs'!$B$67&lt;=C414*12))),'Operating costs'!$B$66,0),"n.a."))</f>
        <v>0</v>
      </c>
      <c r="N414" s="16">
        <f>IF(NOT(Paths!$C$44=1),0,IF(Paths!$P$44="Complete",SUM(G414:I414)-J414-K414-L414+M414+IF(C414=0,Paths!$F$44,0)+IF(IF(Paths!$E$44=0,C414=0,AND(C414&gt;0,Paths!$E$44&gt;(C414-1)*12,Paths!$E$44&lt;=C414*12)),VLOOKUP(A414,'Fleet register'!$A$7:$S$106,16,FALSE),0),"n.a."))</f>
        <v>0</v>
      </c>
      <c r="O414" s="16">
        <f>IF(NOT(Paths!$C$44=1),0,IF(Paths!$P$44="Complete",N414-IF(C414=0,Paths!$F$44,0),"n.a."))</f>
        <v>0</v>
      </c>
      <c r="P414" s="16">
        <f>IF(NOT(Paths!$C$44=1),0,IF(Paths!$P$44="Complete",O414+L414,"n.a."))</f>
        <v>0</v>
      </c>
      <c r="Q414" s="16">
        <f>IF(NOT(Paths!$C$44=1),0,IF(Paths!$P$44="Complete",N414*(1+'Operating costs'!$B$54)^-C414,"n.a."))</f>
        <v>0</v>
      </c>
      <c r="R414" s="16">
        <f>IF(NOT(Paths!$C$44=1),0,IF(Paths!$P$44="Complete",IF(AND(C414=0,Paths!$E$44=0),I414-J414-K414+VLOOKUP(A414,'Fleet register'!$A$7:$S$106,15,FALSE)+VLOOKUP(A414,'Fleet register'!$A$7:$S$106,16,FALSE),0),"n.a."))</f>
        <v>0</v>
      </c>
      <c r="S414" s="1">
        <f>IF(NOT(Paths!$C$44=1),0,IF(Paths!$P$44="Complete",IF(C414=0,0,Paths!$S$44*Paths!$R$44),"n.a."))</f>
        <v>0</v>
      </c>
      <c r="T414" s="1">
        <f>IF(NOT(Paths!$C$44=1),0,IF(Paths!$P$44="Complete",IF(C414=0,0,VLOOKUP(A414,'Fleet register'!$A$7:$S$106,9,FALSE)*Paths!$R$44),"n.a."))</f>
        <v>0</v>
      </c>
    </row>
    <row r="415" spans="1:20" ht="24" customHeight="1">
      <c r="A415" s="1" t="str">
        <f>Paths!$A$44</f>
        <v>T010</v>
      </c>
      <c r="B415" s="1">
        <f>Paths!$B$44</f>
        <v>1</v>
      </c>
      <c r="C415" s="1">
        <v>1</v>
      </c>
      <c r="D415" s="1">
        <v>44</v>
      </c>
      <c r="E415" s="1">
        <f>IF(OR(Paths!$C$44=0,C415=0),0,MAX(0,MIN(C415*12,Paths!$E$44)-(C415-1)*12))</f>
        <v>0</v>
      </c>
      <c r="F415" s="1">
        <f>IF(OR(Paths!$C$44=0,C415=0),0,12-E415)</f>
        <v>0</v>
      </c>
      <c r="G415" s="16">
        <f>IF(NOT(Paths!$C$44=1),0,IF(Paths!$P$44="Complete",E415/12*(Paths!$J$44*(1+'Operating costs'!$B$51)^MAX(0,C415-1)+Paths!$K$44*(1+'Operating costs'!$B$53)^MAX(0,C415-1)),"n.a."))</f>
        <v>0</v>
      </c>
      <c r="H415" s="16">
        <f>IF(NOT(Paths!$C$44=1),0,IF(Paths!$P$44="Complete",F415/12*(Paths!$L$44*(1+IF(Paths!$D$44="EV",'Operating costs'!$B$52,'Operating costs'!$B$51))^MAX(0,C415-1)+Paths!$M$44*(1+'Operating costs'!$B$53)^MAX(0,C415-1)),"n.a."))</f>
        <v>0</v>
      </c>
      <c r="I415" s="16">
        <f>IF(NOT(Paths!$C$44=1),0,IF(Paths!$P$44="Complete",IF(IF(Paths!$E$44=0,C415=0,AND(C415&gt;0,Paths!$E$44&gt;(C415-1)*12,Paths!$E$44&lt;=C415*12)),Paths!$G$44,0),"n.a."))</f>
        <v>0</v>
      </c>
      <c r="J415" s="16">
        <f>IF(NOT(Paths!$C$44=1),0,IF(Paths!$P$44="Complete",IF(IF(Paths!$E$44=0,C415=0,AND(C415&gt;0,Paths!$E$44&gt;(C415-1)*12,Paths!$E$44&lt;=C415*12)),Paths!$H$44,0),"n.a."))</f>
        <v>0</v>
      </c>
      <c r="K415" s="16">
        <f>IF(NOT(Paths!$C$44=1),0,IF(Paths!$P$44="Complete",IF(IF(Paths!$O$44=0,C415=0,AND(C415&gt;0,Paths!$O$44&gt;(C415-1)*12,Paths!$O$44&lt;=C415*12)),Paths!$N$44,0),"n.a."))</f>
        <v>0</v>
      </c>
      <c r="L415" s="16">
        <f>IF(NOT(Paths!$C$44=1),0,IF(Paths!$P$44="Complete",IF(C415=10,Paths!$I$44,0),"n.a."))</f>
        <v>0</v>
      </c>
      <c r="M415" s="16">
        <f>IF(NOT(Paths!$C$44=1),0,IF(Paths!$P$44="Complete",IF(AND(Paths!$D$44="EV",Paths!$E$44&lt;120,Paths!$E$44+'Operating costs'!$B$65&gt;Paths!$E$44,Paths!$E$44+'Operating costs'!$B$65&lt;=120,IF(Paths!$E$44+'Operating costs'!$B$65=0,C415=0,AND(C415&gt;0,Paths!$E$44+'Operating costs'!$B$65&gt;(C415-1)*12,Paths!$E$44+'Operating costs'!$B$65&lt;=C415*12))),'Operating costs'!$B$64,0)+IF(AND('Operating costs'!$B$67&gt;0,'Operating costs'!$B$67&lt;=120,OR(Paths!$D$44="ICE",'Operating costs'!$B$67&lt;=Paths!$E$44),IF('Operating costs'!$B$67=0,C415=0,AND(C415&gt;0,'Operating costs'!$B$67&gt;(C415-1)*12,'Operating costs'!$B$67&lt;=C415*12))),'Operating costs'!$B$66,0),"n.a."))</f>
        <v>0</v>
      </c>
      <c r="N415" s="16">
        <f>IF(NOT(Paths!$C$44=1),0,IF(Paths!$P$44="Complete",SUM(G415:I415)-J415-K415-L415+M415+IF(C415=0,Paths!$F$44,0)+IF(IF(Paths!$E$44=0,C415=0,AND(C415&gt;0,Paths!$E$44&gt;(C415-1)*12,Paths!$E$44&lt;=C415*12)),VLOOKUP(A415,'Fleet register'!$A$7:$S$106,16,FALSE),0),"n.a."))</f>
        <v>0</v>
      </c>
      <c r="O415" s="16">
        <f>IF(NOT(Paths!$C$44=1),0,IF(Paths!$P$44="Complete",N415-IF(C415=0,Paths!$F$44,0),"n.a."))</f>
        <v>0</v>
      </c>
      <c r="P415" s="16">
        <f>IF(NOT(Paths!$C$44=1),0,IF(Paths!$P$44="Complete",O415+L415,"n.a."))</f>
        <v>0</v>
      </c>
      <c r="Q415" s="16">
        <f>IF(NOT(Paths!$C$44=1),0,IF(Paths!$P$44="Complete",N415*(1+'Operating costs'!$B$54)^-C415,"n.a."))</f>
        <v>0</v>
      </c>
      <c r="R415" s="16">
        <f>IF(NOT(Paths!$C$44=1),0,IF(Paths!$P$44="Complete",IF(AND(C415=0,Paths!$E$44=0),I415-J415-K415+VLOOKUP(A415,'Fleet register'!$A$7:$S$106,15,FALSE)+VLOOKUP(A415,'Fleet register'!$A$7:$S$106,16,FALSE),0),"n.a."))</f>
        <v>0</v>
      </c>
      <c r="S415" s="1">
        <f>IF(NOT(Paths!$C$44=1),0,IF(Paths!$P$44="Complete",IF(C415=0,0,Paths!$S$44*Paths!$R$44),"n.a."))</f>
        <v>0</v>
      </c>
      <c r="T415" s="1">
        <f>IF(NOT(Paths!$C$44=1),0,IF(Paths!$P$44="Complete",IF(C415=0,0,VLOOKUP(A415,'Fleet register'!$A$7:$S$106,9,FALSE)*Paths!$R$44),"n.a."))</f>
        <v>0</v>
      </c>
    </row>
    <row r="416" spans="1:20" ht="24" customHeight="1">
      <c r="A416" s="1" t="str">
        <f>Paths!$A$44</f>
        <v>T010</v>
      </c>
      <c r="B416" s="1">
        <f>Paths!$B$44</f>
        <v>1</v>
      </c>
      <c r="C416" s="1">
        <v>2</v>
      </c>
      <c r="D416" s="1">
        <v>44</v>
      </c>
      <c r="E416" s="1">
        <f>IF(OR(Paths!$C$44=0,C416=0),0,MAX(0,MIN(C416*12,Paths!$E$44)-(C416-1)*12))</f>
        <v>0</v>
      </c>
      <c r="F416" s="1">
        <f>IF(OR(Paths!$C$44=0,C416=0),0,12-E416)</f>
        <v>0</v>
      </c>
      <c r="G416" s="16">
        <f>IF(NOT(Paths!$C$44=1),0,IF(Paths!$P$44="Complete",E416/12*(Paths!$J$44*(1+'Operating costs'!$B$51)^MAX(0,C416-1)+Paths!$K$44*(1+'Operating costs'!$B$53)^MAX(0,C416-1)),"n.a."))</f>
        <v>0</v>
      </c>
      <c r="H416" s="16">
        <f>IF(NOT(Paths!$C$44=1),0,IF(Paths!$P$44="Complete",F416/12*(Paths!$L$44*(1+IF(Paths!$D$44="EV",'Operating costs'!$B$52,'Operating costs'!$B$51))^MAX(0,C416-1)+Paths!$M$44*(1+'Operating costs'!$B$53)^MAX(0,C416-1)),"n.a."))</f>
        <v>0</v>
      </c>
      <c r="I416" s="16">
        <f>IF(NOT(Paths!$C$44=1),0,IF(Paths!$P$44="Complete",IF(IF(Paths!$E$44=0,C416=0,AND(C416&gt;0,Paths!$E$44&gt;(C416-1)*12,Paths!$E$44&lt;=C416*12)),Paths!$G$44,0),"n.a."))</f>
        <v>0</v>
      </c>
      <c r="J416" s="16">
        <f>IF(NOT(Paths!$C$44=1),0,IF(Paths!$P$44="Complete",IF(IF(Paths!$E$44=0,C416=0,AND(C416&gt;0,Paths!$E$44&gt;(C416-1)*12,Paths!$E$44&lt;=C416*12)),Paths!$H$44,0),"n.a."))</f>
        <v>0</v>
      </c>
      <c r="K416" s="16">
        <f>IF(NOT(Paths!$C$44=1),0,IF(Paths!$P$44="Complete",IF(IF(Paths!$O$44=0,C416=0,AND(C416&gt;0,Paths!$O$44&gt;(C416-1)*12,Paths!$O$44&lt;=C416*12)),Paths!$N$44,0),"n.a."))</f>
        <v>0</v>
      </c>
      <c r="L416" s="16">
        <f>IF(NOT(Paths!$C$44=1),0,IF(Paths!$P$44="Complete",IF(C416=10,Paths!$I$44,0),"n.a."))</f>
        <v>0</v>
      </c>
      <c r="M416" s="16">
        <f>IF(NOT(Paths!$C$44=1),0,IF(Paths!$P$44="Complete",IF(AND(Paths!$D$44="EV",Paths!$E$44&lt;120,Paths!$E$44+'Operating costs'!$B$65&gt;Paths!$E$44,Paths!$E$44+'Operating costs'!$B$65&lt;=120,IF(Paths!$E$44+'Operating costs'!$B$65=0,C416=0,AND(C416&gt;0,Paths!$E$44+'Operating costs'!$B$65&gt;(C416-1)*12,Paths!$E$44+'Operating costs'!$B$65&lt;=C416*12))),'Operating costs'!$B$64,0)+IF(AND('Operating costs'!$B$67&gt;0,'Operating costs'!$B$67&lt;=120,OR(Paths!$D$44="ICE",'Operating costs'!$B$67&lt;=Paths!$E$44),IF('Operating costs'!$B$67=0,C416=0,AND(C416&gt;0,'Operating costs'!$B$67&gt;(C416-1)*12,'Operating costs'!$B$67&lt;=C416*12))),'Operating costs'!$B$66,0),"n.a."))</f>
        <v>0</v>
      </c>
      <c r="N416" s="16">
        <f>IF(NOT(Paths!$C$44=1),0,IF(Paths!$P$44="Complete",SUM(G416:I416)-J416-K416-L416+M416+IF(C416=0,Paths!$F$44,0)+IF(IF(Paths!$E$44=0,C416=0,AND(C416&gt;0,Paths!$E$44&gt;(C416-1)*12,Paths!$E$44&lt;=C416*12)),VLOOKUP(A416,'Fleet register'!$A$7:$S$106,16,FALSE),0),"n.a."))</f>
        <v>0</v>
      </c>
      <c r="O416" s="16">
        <f>IF(NOT(Paths!$C$44=1),0,IF(Paths!$P$44="Complete",N416-IF(C416=0,Paths!$F$44,0),"n.a."))</f>
        <v>0</v>
      </c>
      <c r="P416" s="16">
        <f>IF(NOT(Paths!$C$44=1),0,IF(Paths!$P$44="Complete",O416+L416,"n.a."))</f>
        <v>0</v>
      </c>
      <c r="Q416" s="16">
        <f>IF(NOT(Paths!$C$44=1),0,IF(Paths!$P$44="Complete",N416*(1+'Operating costs'!$B$54)^-C416,"n.a."))</f>
        <v>0</v>
      </c>
      <c r="R416" s="16">
        <f>IF(NOT(Paths!$C$44=1),0,IF(Paths!$P$44="Complete",IF(AND(C416=0,Paths!$E$44=0),I416-J416-K416+VLOOKUP(A416,'Fleet register'!$A$7:$S$106,15,FALSE)+VLOOKUP(A416,'Fleet register'!$A$7:$S$106,16,FALSE),0),"n.a."))</f>
        <v>0</v>
      </c>
      <c r="S416" s="1">
        <f>IF(NOT(Paths!$C$44=1),0,IF(Paths!$P$44="Complete",IF(C416=0,0,Paths!$S$44*Paths!$R$44),"n.a."))</f>
        <v>0</v>
      </c>
      <c r="T416" s="1">
        <f>IF(NOT(Paths!$C$44=1),0,IF(Paths!$P$44="Complete",IF(C416=0,0,VLOOKUP(A416,'Fleet register'!$A$7:$S$106,9,FALSE)*Paths!$R$44),"n.a."))</f>
        <v>0</v>
      </c>
    </row>
    <row r="417" spans="1:20" ht="24" customHeight="1">
      <c r="A417" s="1" t="str">
        <f>Paths!$A$44</f>
        <v>T010</v>
      </c>
      <c r="B417" s="1">
        <f>Paths!$B$44</f>
        <v>1</v>
      </c>
      <c r="C417" s="1">
        <v>3</v>
      </c>
      <c r="D417" s="1">
        <v>44</v>
      </c>
      <c r="E417" s="1">
        <f>IF(OR(Paths!$C$44=0,C417=0),0,MAX(0,MIN(C417*12,Paths!$E$44)-(C417-1)*12))</f>
        <v>0</v>
      </c>
      <c r="F417" s="1">
        <f>IF(OR(Paths!$C$44=0,C417=0),0,12-E417)</f>
        <v>0</v>
      </c>
      <c r="G417" s="16">
        <f>IF(NOT(Paths!$C$44=1),0,IF(Paths!$P$44="Complete",E417/12*(Paths!$J$44*(1+'Operating costs'!$B$51)^MAX(0,C417-1)+Paths!$K$44*(1+'Operating costs'!$B$53)^MAX(0,C417-1)),"n.a."))</f>
        <v>0</v>
      </c>
      <c r="H417" s="16">
        <f>IF(NOT(Paths!$C$44=1),0,IF(Paths!$P$44="Complete",F417/12*(Paths!$L$44*(1+IF(Paths!$D$44="EV",'Operating costs'!$B$52,'Operating costs'!$B$51))^MAX(0,C417-1)+Paths!$M$44*(1+'Operating costs'!$B$53)^MAX(0,C417-1)),"n.a."))</f>
        <v>0</v>
      </c>
      <c r="I417" s="16">
        <f>IF(NOT(Paths!$C$44=1),0,IF(Paths!$P$44="Complete",IF(IF(Paths!$E$44=0,C417=0,AND(C417&gt;0,Paths!$E$44&gt;(C417-1)*12,Paths!$E$44&lt;=C417*12)),Paths!$G$44,0),"n.a."))</f>
        <v>0</v>
      </c>
      <c r="J417" s="16">
        <f>IF(NOT(Paths!$C$44=1),0,IF(Paths!$P$44="Complete",IF(IF(Paths!$E$44=0,C417=0,AND(C417&gt;0,Paths!$E$44&gt;(C417-1)*12,Paths!$E$44&lt;=C417*12)),Paths!$H$44,0),"n.a."))</f>
        <v>0</v>
      </c>
      <c r="K417" s="16">
        <f>IF(NOT(Paths!$C$44=1),0,IF(Paths!$P$44="Complete",IF(IF(Paths!$O$44=0,C417=0,AND(C417&gt;0,Paths!$O$44&gt;(C417-1)*12,Paths!$O$44&lt;=C417*12)),Paths!$N$44,0),"n.a."))</f>
        <v>0</v>
      </c>
      <c r="L417" s="16">
        <f>IF(NOT(Paths!$C$44=1),0,IF(Paths!$P$44="Complete",IF(C417=10,Paths!$I$44,0),"n.a."))</f>
        <v>0</v>
      </c>
      <c r="M417" s="16">
        <f>IF(NOT(Paths!$C$44=1),0,IF(Paths!$P$44="Complete",IF(AND(Paths!$D$44="EV",Paths!$E$44&lt;120,Paths!$E$44+'Operating costs'!$B$65&gt;Paths!$E$44,Paths!$E$44+'Operating costs'!$B$65&lt;=120,IF(Paths!$E$44+'Operating costs'!$B$65=0,C417=0,AND(C417&gt;0,Paths!$E$44+'Operating costs'!$B$65&gt;(C417-1)*12,Paths!$E$44+'Operating costs'!$B$65&lt;=C417*12))),'Operating costs'!$B$64,0)+IF(AND('Operating costs'!$B$67&gt;0,'Operating costs'!$B$67&lt;=120,OR(Paths!$D$44="ICE",'Operating costs'!$B$67&lt;=Paths!$E$44),IF('Operating costs'!$B$67=0,C417=0,AND(C417&gt;0,'Operating costs'!$B$67&gt;(C417-1)*12,'Operating costs'!$B$67&lt;=C417*12))),'Operating costs'!$B$66,0),"n.a."))</f>
        <v>0</v>
      </c>
      <c r="N417" s="16">
        <f>IF(NOT(Paths!$C$44=1),0,IF(Paths!$P$44="Complete",SUM(G417:I417)-J417-K417-L417+M417+IF(C417=0,Paths!$F$44,0)+IF(IF(Paths!$E$44=0,C417=0,AND(C417&gt;0,Paths!$E$44&gt;(C417-1)*12,Paths!$E$44&lt;=C417*12)),VLOOKUP(A417,'Fleet register'!$A$7:$S$106,16,FALSE),0),"n.a."))</f>
        <v>0</v>
      </c>
      <c r="O417" s="16">
        <f>IF(NOT(Paths!$C$44=1),0,IF(Paths!$P$44="Complete",N417-IF(C417=0,Paths!$F$44,0),"n.a."))</f>
        <v>0</v>
      </c>
      <c r="P417" s="16">
        <f>IF(NOT(Paths!$C$44=1),0,IF(Paths!$P$44="Complete",O417+L417,"n.a."))</f>
        <v>0</v>
      </c>
      <c r="Q417" s="16">
        <f>IF(NOT(Paths!$C$44=1),0,IF(Paths!$P$44="Complete",N417*(1+'Operating costs'!$B$54)^-C417,"n.a."))</f>
        <v>0</v>
      </c>
      <c r="R417" s="16">
        <f>IF(NOT(Paths!$C$44=1),0,IF(Paths!$P$44="Complete",IF(AND(C417=0,Paths!$E$44=0),I417-J417-K417+VLOOKUP(A417,'Fleet register'!$A$7:$S$106,15,FALSE)+VLOOKUP(A417,'Fleet register'!$A$7:$S$106,16,FALSE),0),"n.a."))</f>
        <v>0</v>
      </c>
      <c r="S417" s="1">
        <f>IF(NOT(Paths!$C$44=1),0,IF(Paths!$P$44="Complete",IF(C417=0,0,Paths!$S$44*Paths!$R$44),"n.a."))</f>
        <v>0</v>
      </c>
      <c r="T417" s="1">
        <f>IF(NOT(Paths!$C$44=1),0,IF(Paths!$P$44="Complete",IF(C417=0,0,VLOOKUP(A417,'Fleet register'!$A$7:$S$106,9,FALSE)*Paths!$R$44),"n.a."))</f>
        <v>0</v>
      </c>
    </row>
    <row r="418" spans="1:20" ht="24" customHeight="1">
      <c r="A418" s="1" t="str">
        <f>Paths!$A$44</f>
        <v>T010</v>
      </c>
      <c r="B418" s="1">
        <f>Paths!$B$44</f>
        <v>1</v>
      </c>
      <c r="C418" s="1">
        <v>4</v>
      </c>
      <c r="D418" s="1">
        <v>44</v>
      </c>
      <c r="E418" s="1">
        <f>IF(OR(Paths!$C$44=0,C418=0),0,MAX(0,MIN(C418*12,Paths!$E$44)-(C418-1)*12))</f>
        <v>0</v>
      </c>
      <c r="F418" s="1">
        <f>IF(OR(Paths!$C$44=0,C418=0),0,12-E418)</f>
        <v>0</v>
      </c>
      <c r="G418" s="16">
        <f>IF(NOT(Paths!$C$44=1),0,IF(Paths!$P$44="Complete",E418/12*(Paths!$J$44*(1+'Operating costs'!$B$51)^MAX(0,C418-1)+Paths!$K$44*(1+'Operating costs'!$B$53)^MAX(0,C418-1)),"n.a."))</f>
        <v>0</v>
      </c>
      <c r="H418" s="16">
        <f>IF(NOT(Paths!$C$44=1),0,IF(Paths!$P$44="Complete",F418/12*(Paths!$L$44*(1+IF(Paths!$D$44="EV",'Operating costs'!$B$52,'Operating costs'!$B$51))^MAX(0,C418-1)+Paths!$M$44*(1+'Operating costs'!$B$53)^MAX(0,C418-1)),"n.a."))</f>
        <v>0</v>
      </c>
      <c r="I418" s="16">
        <f>IF(NOT(Paths!$C$44=1),0,IF(Paths!$P$44="Complete",IF(IF(Paths!$E$44=0,C418=0,AND(C418&gt;0,Paths!$E$44&gt;(C418-1)*12,Paths!$E$44&lt;=C418*12)),Paths!$G$44,0),"n.a."))</f>
        <v>0</v>
      </c>
      <c r="J418" s="16">
        <f>IF(NOT(Paths!$C$44=1),0,IF(Paths!$P$44="Complete",IF(IF(Paths!$E$44=0,C418=0,AND(C418&gt;0,Paths!$E$44&gt;(C418-1)*12,Paths!$E$44&lt;=C418*12)),Paths!$H$44,0),"n.a."))</f>
        <v>0</v>
      </c>
      <c r="K418" s="16">
        <f>IF(NOT(Paths!$C$44=1),0,IF(Paths!$P$44="Complete",IF(IF(Paths!$O$44=0,C418=0,AND(C418&gt;0,Paths!$O$44&gt;(C418-1)*12,Paths!$O$44&lt;=C418*12)),Paths!$N$44,0),"n.a."))</f>
        <v>0</v>
      </c>
      <c r="L418" s="16">
        <f>IF(NOT(Paths!$C$44=1),0,IF(Paths!$P$44="Complete",IF(C418=10,Paths!$I$44,0),"n.a."))</f>
        <v>0</v>
      </c>
      <c r="M418" s="16">
        <f>IF(NOT(Paths!$C$44=1),0,IF(Paths!$P$44="Complete",IF(AND(Paths!$D$44="EV",Paths!$E$44&lt;120,Paths!$E$44+'Operating costs'!$B$65&gt;Paths!$E$44,Paths!$E$44+'Operating costs'!$B$65&lt;=120,IF(Paths!$E$44+'Operating costs'!$B$65=0,C418=0,AND(C418&gt;0,Paths!$E$44+'Operating costs'!$B$65&gt;(C418-1)*12,Paths!$E$44+'Operating costs'!$B$65&lt;=C418*12))),'Operating costs'!$B$64,0)+IF(AND('Operating costs'!$B$67&gt;0,'Operating costs'!$B$67&lt;=120,OR(Paths!$D$44="ICE",'Operating costs'!$B$67&lt;=Paths!$E$44),IF('Operating costs'!$B$67=0,C418=0,AND(C418&gt;0,'Operating costs'!$B$67&gt;(C418-1)*12,'Operating costs'!$B$67&lt;=C418*12))),'Operating costs'!$B$66,0),"n.a."))</f>
        <v>0</v>
      </c>
      <c r="N418" s="16">
        <f>IF(NOT(Paths!$C$44=1),0,IF(Paths!$P$44="Complete",SUM(G418:I418)-J418-K418-L418+M418+IF(C418=0,Paths!$F$44,0)+IF(IF(Paths!$E$44=0,C418=0,AND(C418&gt;0,Paths!$E$44&gt;(C418-1)*12,Paths!$E$44&lt;=C418*12)),VLOOKUP(A418,'Fleet register'!$A$7:$S$106,16,FALSE),0),"n.a."))</f>
        <v>0</v>
      </c>
      <c r="O418" s="16">
        <f>IF(NOT(Paths!$C$44=1),0,IF(Paths!$P$44="Complete",N418-IF(C418=0,Paths!$F$44,0),"n.a."))</f>
        <v>0</v>
      </c>
      <c r="P418" s="16">
        <f>IF(NOT(Paths!$C$44=1),0,IF(Paths!$P$44="Complete",O418+L418,"n.a."))</f>
        <v>0</v>
      </c>
      <c r="Q418" s="16">
        <f>IF(NOT(Paths!$C$44=1),0,IF(Paths!$P$44="Complete",N418*(1+'Operating costs'!$B$54)^-C418,"n.a."))</f>
        <v>0</v>
      </c>
      <c r="R418" s="16">
        <f>IF(NOT(Paths!$C$44=1),0,IF(Paths!$P$44="Complete",IF(AND(C418=0,Paths!$E$44=0),I418-J418-K418+VLOOKUP(A418,'Fleet register'!$A$7:$S$106,15,FALSE)+VLOOKUP(A418,'Fleet register'!$A$7:$S$106,16,FALSE),0),"n.a."))</f>
        <v>0</v>
      </c>
      <c r="S418" s="1">
        <f>IF(NOT(Paths!$C$44=1),0,IF(Paths!$P$44="Complete",IF(C418=0,0,Paths!$S$44*Paths!$R$44),"n.a."))</f>
        <v>0</v>
      </c>
      <c r="T418" s="1">
        <f>IF(NOT(Paths!$C$44=1),0,IF(Paths!$P$44="Complete",IF(C418=0,0,VLOOKUP(A418,'Fleet register'!$A$7:$S$106,9,FALSE)*Paths!$R$44),"n.a."))</f>
        <v>0</v>
      </c>
    </row>
    <row r="419" spans="1:20" ht="24" customHeight="1">
      <c r="A419" s="1" t="str">
        <f>Paths!$A$44</f>
        <v>T010</v>
      </c>
      <c r="B419" s="1">
        <f>Paths!$B$44</f>
        <v>1</v>
      </c>
      <c r="C419" s="1">
        <v>5</v>
      </c>
      <c r="D419" s="1">
        <v>44</v>
      </c>
      <c r="E419" s="1">
        <f>IF(OR(Paths!$C$44=0,C419=0),0,MAX(0,MIN(C419*12,Paths!$E$44)-(C419-1)*12))</f>
        <v>0</v>
      </c>
      <c r="F419" s="1">
        <f>IF(OR(Paths!$C$44=0,C419=0),0,12-E419)</f>
        <v>0</v>
      </c>
      <c r="G419" s="16">
        <f>IF(NOT(Paths!$C$44=1),0,IF(Paths!$P$44="Complete",E419/12*(Paths!$J$44*(1+'Operating costs'!$B$51)^MAX(0,C419-1)+Paths!$K$44*(1+'Operating costs'!$B$53)^MAX(0,C419-1)),"n.a."))</f>
        <v>0</v>
      </c>
      <c r="H419" s="16">
        <f>IF(NOT(Paths!$C$44=1),0,IF(Paths!$P$44="Complete",F419/12*(Paths!$L$44*(1+IF(Paths!$D$44="EV",'Operating costs'!$B$52,'Operating costs'!$B$51))^MAX(0,C419-1)+Paths!$M$44*(1+'Operating costs'!$B$53)^MAX(0,C419-1)),"n.a."))</f>
        <v>0</v>
      </c>
      <c r="I419" s="16">
        <f>IF(NOT(Paths!$C$44=1),0,IF(Paths!$P$44="Complete",IF(IF(Paths!$E$44=0,C419=0,AND(C419&gt;0,Paths!$E$44&gt;(C419-1)*12,Paths!$E$44&lt;=C419*12)),Paths!$G$44,0),"n.a."))</f>
        <v>0</v>
      </c>
      <c r="J419" s="16">
        <f>IF(NOT(Paths!$C$44=1),0,IF(Paths!$P$44="Complete",IF(IF(Paths!$E$44=0,C419=0,AND(C419&gt;0,Paths!$E$44&gt;(C419-1)*12,Paths!$E$44&lt;=C419*12)),Paths!$H$44,0),"n.a."))</f>
        <v>0</v>
      </c>
      <c r="K419" s="16">
        <f>IF(NOT(Paths!$C$44=1),0,IF(Paths!$P$44="Complete",IF(IF(Paths!$O$44=0,C419=0,AND(C419&gt;0,Paths!$O$44&gt;(C419-1)*12,Paths!$O$44&lt;=C419*12)),Paths!$N$44,0),"n.a."))</f>
        <v>0</v>
      </c>
      <c r="L419" s="16">
        <f>IF(NOT(Paths!$C$44=1),0,IF(Paths!$P$44="Complete",IF(C419=10,Paths!$I$44,0),"n.a."))</f>
        <v>0</v>
      </c>
      <c r="M419" s="16">
        <f>IF(NOT(Paths!$C$44=1),0,IF(Paths!$P$44="Complete",IF(AND(Paths!$D$44="EV",Paths!$E$44&lt;120,Paths!$E$44+'Operating costs'!$B$65&gt;Paths!$E$44,Paths!$E$44+'Operating costs'!$B$65&lt;=120,IF(Paths!$E$44+'Operating costs'!$B$65=0,C419=0,AND(C419&gt;0,Paths!$E$44+'Operating costs'!$B$65&gt;(C419-1)*12,Paths!$E$44+'Operating costs'!$B$65&lt;=C419*12))),'Operating costs'!$B$64,0)+IF(AND('Operating costs'!$B$67&gt;0,'Operating costs'!$B$67&lt;=120,OR(Paths!$D$44="ICE",'Operating costs'!$B$67&lt;=Paths!$E$44),IF('Operating costs'!$B$67=0,C419=0,AND(C419&gt;0,'Operating costs'!$B$67&gt;(C419-1)*12,'Operating costs'!$B$67&lt;=C419*12))),'Operating costs'!$B$66,0),"n.a."))</f>
        <v>0</v>
      </c>
      <c r="N419" s="16">
        <f>IF(NOT(Paths!$C$44=1),0,IF(Paths!$P$44="Complete",SUM(G419:I419)-J419-K419-L419+M419+IF(C419=0,Paths!$F$44,0)+IF(IF(Paths!$E$44=0,C419=0,AND(C419&gt;0,Paths!$E$44&gt;(C419-1)*12,Paths!$E$44&lt;=C419*12)),VLOOKUP(A419,'Fleet register'!$A$7:$S$106,16,FALSE),0),"n.a."))</f>
        <v>0</v>
      </c>
      <c r="O419" s="16">
        <f>IF(NOT(Paths!$C$44=1),0,IF(Paths!$P$44="Complete",N419-IF(C419=0,Paths!$F$44,0),"n.a."))</f>
        <v>0</v>
      </c>
      <c r="P419" s="16">
        <f>IF(NOT(Paths!$C$44=1),0,IF(Paths!$P$44="Complete",O419+L419,"n.a."))</f>
        <v>0</v>
      </c>
      <c r="Q419" s="16">
        <f>IF(NOT(Paths!$C$44=1),0,IF(Paths!$P$44="Complete",N419*(1+'Operating costs'!$B$54)^-C419,"n.a."))</f>
        <v>0</v>
      </c>
      <c r="R419" s="16">
        <f>IF(NOT(Paths!$C$44=1),0,IF(Paths!$P$44="Complete",IF(AND(C419=0,Paths!$E$44=0),I419-J419-K419+VLOOKUP(A419,'Fleet register'!$A$7:$S$106,15,FALSE)+VLOOKUP(A419,'Fleet register'!$A$7:$S$106,16,FALSE),0),"n.a."))</f>
        <v>0</v>
      </c>
      <c r="S419" s="1">
        <f>IF(NOT(Paths!$C$44=1),0,IF(Paths!$P$44="Complete",IF(C419=0,0,Paths!$S$44*Paths!$R$44),"n.a."))</f>
        <v>0</v>
      </c>
      <c r="T419" s="1">
        <f>IF(NOT(Paths!$C$44=1),0,IF(Paths!$P$44="Complete",IF(C419=0,0,VLOOKUP(A419,'Fleet register'!$A$7:$S$106,9,FALSE)*Paths!$R$44),"n.a."))</f>
        <v>0</v>
      </c>
    </row>
    <row r="420" spans="1:20" ht="24" customHeight="1">
      <c r="A420" s="1" t="str">
        <f>Paths!$A$44</f>
        <v>T010</v>
      </c>
      <c r="B420" s="1">
        <f>Paths!$B$44</f>
        <v>1</v>
      </c>
      <c r="C420" s="1">
        <v>6</v>
      </c>
      <c r="D420" s="1">
        <v>44</v>
      </c>
      <c r="E420" s="1">
        <f>IF(OR(Paths!$C$44=0,C420=0),0,MAX(0,MIN(C420*12,Paths!$E$44)-(C420-1)*12))</f>
        <v>0</v>
      </c>
      <c r="F420" s="1">
        <f>IF(OR(Paths!$C$44=0,C420=0),0,12-E420)</f>
        <v>0</v>
      </c>
      <c r="G420" s="16">
        <f>IF(NOT(Paths!$C$44=1),0,IF(Paths!$P$44="Complete",E420/12*(Paths!$J$44*(1+'Operating costs'!$B$51)^MAX(0,C420-1)+Paths!$K$44*(1+'Operating costs'!$B$53)^MAX(0,C420-1)),"n.a."))</f>
        <v>0</v>
      </c>
      <c r="H420" s="16">
        <f>IF(NOT(Paths!$C$44=1),0,IF(Paths!$P$44="Complete",F420/12*(Paths!$L$44*(1+IF(Paths!$D$44="EV",'Operating costs'!$B$52,'Operating costs'!$B$51))^MAX(0,C420-1)+Paths!$M$44*(1+'Operating costs'!$B$53)^MAX(0,C420-1)),"n.a."))</f>
        <v>0</v>
      </c>
      <c r="I420" s="16">
        <f>IF(NOT(Paths!$C$44=1),0,IF(Paths!$P$44="Complete",IF(IF(Paths!$E$44=0,C420=0,AND(C420&gt;0,Paths!$E$44&gt;(C420-1)*12,Paths!$E$44&lt;=C420*12)),Paths!$G$44,0),"n.a."))</f>
        <v>0</v>
      </c>
      <c r="J420" s="16">
        <f>IF(NOT(Paths!$C$44=1),0,IF(Paths!$P$44="Complete",IF(IF(Paths!$E$44=0,C420=0,AND(C420&gt;0,Paths!$E$44&gt;(C420-1)*12,Paths!$E$44&lt;=C420*12)),Paths!$H$44,0),"n.a."))</f>
        <v>0</v>
      </c>
      <c r="K420" s="16">
        <f>IF(NOT(Paths!$C$44=1),0,IF(Paths!$P$44="Complete",IF(IF(Paths!$O$44=0,C420=0,AND(C420&gt;0,Paths!$O$44&gt;(C420-1)*12,Paths!$O$44&lt;=C420*12)),Paths!$N$44,0),"n.a."))</f>
        <v>0</v>
      </c>
      <c r="L420" s="16">
        <f>IF(NOT(Paths!$C$44=1),0,IF(Paths!$P$44="Complete",IF(C420=10,Paths!$I$44,0),"n.a."))</f>
        <v>0</v>
      </c>
      <c r="M420" s="16">
        <f>IF(NOT(Paths!$C$44=1),0,IF(Paths!$P$44="Complete",IF(AND(Paths!$D$44="EV",Paths!$E$44&lt;120,Paths!$E$44+'Operating costs'!$B$65&gt;Paths!$E$44,Paths!$E$44+'Operating costs'!$B$65&lt;=120,IF(Paths!$E$44+'Operating costs'!$B$65=0,C420=0,AND(C420&gt;0,Paths!$E$44+'Operating costs'!$B$65&gt;(C420-1)*12,Paths!$E$44+'Operating costs'!$B$65&lt;=C420*12))),'Operating costs'!$B$64,0)+IF(AND('Operating costs'!$B$67&gt;0,'Operating costs'!$B$67&lt;=120,OR(Paths!$D$44="ICE",'Operating costs'!$B$67&lt;=Paths!$E$44),IF('Operating costs'!$B$67=0,C420=0,AND(C420&gt;0,'Operating costs'!$B$67&gt;(C420-1)*12,'Operating costs'!$B$67&lt;=C420*12))),'Operating costs'!$B$66,0),"n.a."))</f>
        <v>0</v>
      </c>
      <c r="N420" s="16">
        <f>IF(NOT(Paths!$C$44=1),0,IF(Paths!$P$44="Complete",SUM(G420:I420)-J420-K420-L420+M420+IF(C420=0,Paths!$F$44,0)+IF(IF(Paths!$E$44=0,C420=0,AND(C420&gt;0,Paths!$E$44&gt;(C420-1)*12,Paths!$E$44&lt;=C420*12)),VLOOKUP(A420,'Fleet register'!$A$7:$S$106,16,FALSE),0),"n.a."))</f>
        <v>0</v>
      </c>
      <c r="O420" s="16">
        <f>IF(NOT(Paths!$C$44=1),0,IF(Paths!$P$44="Complete",N420-IF(C420=0,Paths!$F$44,0),"n.a."))</f>
        <v>0</v>
      </c>
      <c r="P420" s="16">
        <f>IF(NOT(Paths!$C$44=1),0,IF(Paths!$P$44="Complete",O420+L420,"n.a."))</f>
        <v>0</v>
      </c>
      <c r="Q420" s="16">
        <f>IF(NOT(Paths!$C$44=1),0,IF(Paths!$P$44="Complete",N420*(1+'Operating costs'!$B$54)^-C420,"n.a."))</f>
        <v>0</v>
      </c>
      <c r="R420" s="16">
        <f>IF(NOT(Paths!$C$44=1),0,IF(Paths!$P$44="Complete",IF(AND(C420=0,Paths!$E$44=0),I420-J420-K420+VLOOKUP(A420,'Fleet register'!$A$7:$S$106,15,FALSE)+VLOOKUP(A420,'Fleet register'!$A$7:$S$106,16,FALSE),0),"n.a."))</f>
        <v>0</v>
      </c>
      <c r="S420" s="1">
        <f>IF(NOT(Paths!$C$44=1),0,IF(Paths!$P$44="Complete",IF(C420=0,0,Paths!$S$44*Paths!$R$44),"n.a."))</f>
        <v>0</v>
      </c>
      <c r="T420" s="1">
        <f>IF(NOT(Paths!$C$44=1),0,IF(Paths!$P$44="Complete",IF(C420=0,0,VLOOKUP(A420,'Fleet register'!$A$7:$S$106,9,FALSE)*Paths!$R$44),"n.a."))</f>
        <v>0</v>
      </c>
    </row>
    <row r="421" spans="1:20" ht="24" customHeight="1">
      <c r="A421" s="1" t="str">
        <f>Paths!$A$44</f>
        <v>T010</v>
      </c>
      <c r="B421" s="1">
        <f>Paths!$B$44</f>
        <v>1</v>
      </c>
      <c r="C421" s="1">
        <v>7</v>
      </c>
      <c r="D421" s="1">
        <v>44</v>
      </c>
      <c r="E421" s="1">
        <f>IF(OR(Paths!$C$44=0,C421=0),0,MAX(0,MIN(C421*12,Paths!$E$44)-(C421-1)*12))</f>
        <v>0</v>
      </c>
      <c r="F421" s="1">
        <f>IF(OR(Paths!$C$44=0,C421=0),0,12-E421)</f>
        <v>0</v>
      </c>
      <c r="G421" s="16">
        <f>IF(NOT(Paths!$C$44=1),0,IF(Paths!$P$44="Complete",E421/12*(Paths!$J$44*(1+'Operating costs'!$B$51)^MAX(0,C421-1)+Paths!$K$44*(1+'Operating costs'!$B$53)^MAX(0,C421-1)),"n.a."))</f>
        <v>0</v>
      </c>
      <c r="H421" s="16">
        <f>IF(NOT(Paths!$C$44=1),0,IF(Paths!$P$44="Complete",F421/12*(Paths!$L$44*(1+IF(Paths!$D$44="EV",'Operating costs'!$B$52,'Operating costs'!$B$51))^MAX(0,C421-1)+Paths!$M$44*(1+'Operating costs'!$B$53)^MAX(0,C421-1)),"n.a."))</f>
        <v>0</v>
      </c>
      <c r="I421" s="16">
        <f>IF(NOT(Paths!$C$44=1),0,IF(Paths!$P$44="Complete",IF(IF(Paths!$E$44=0,C421=0,AND(C421&gt;0,Paths!$E$44&gt;(C421-1)*12,Paths!$E$44&lt;=C421*12)),Paths!$G$44,0),"n.a."))</f>
        <v>0</v>
      </c>
      <c r="J421" s="16">
        <f>IF(NOT(Paths!$C$44=1),0,IF(Paths!$P$44="Complete",IF(IF(Paths!$E$44=0,C421=0,AND(C421&gt;0,Paths!$E$44&gt;(C421-1)*12,Paths!$E$44&lt;=C421*12)),Paths!$H$44,0),"n.a."))</f>
        <v>0</v>
      </c>
      <c r="K421" s="16">
        <f>IF(NOT(Paths!$C$44=1),0,IF(Paths!$P$44="Complete",IF(IF(Paths!$O$44=0,C421=0,AND(C421&gt;0,Paths!$O$44&gt;(C421-1)*12,Paths!$O$44&lt;=C421*12)),Paths!$N$44,0),"n.a."))</f>
        <v>0</v>
      </c>
      <c r="L421" s="16">
        <f>IF(NOT(Paths!$C$44=1),0,IF(Paths!$P$44="Complete",IF(C421=10,Paths!$I$44,0),"n.a."))</f>
        <v>0</v>
      </c>
      <c r="M421" s="16">
        <f>IF(NOT(Paths!$C$44=1),0,IF(Paths!$P$44="Complete",IF(AND(Paths!$D$44="EV",Paths!$E$44&lt;120,Paths!$E$44+'Operating costs'!$B$65&gt;Paths!$E$44,Paths!$E$44+'Operating costs'!$B$65&lt;=120,IF(Paths!$E$44+'Operating costs'!$B$65=0,C421=0,AND(C421&gt;0,Paths!$E$44+'Operating costs'!$B$65&gt;(C421-1)*12,Paths!$E$44+'Operating costs'!$B$65&lt;=C421*12))),'Operating costs'!$B$64,0)+IF(AND('Operating costs'!$B$67&gt;0,'Operating costs'!$B$67&lt;=120,OR(Paths!$D$44="ICE",'Operating costs'!$B$67&lt;=Paths!$E$44),IF('Operating costs'!$B$67=0,C421=0,AND(C421&gt;0,'Operating costs'!$B$67&gt;(C421-1)*12,'Operating costs'!$B$67&lt;=C421*12))),'Operating costs'!$B$66,0),"n.a."))</f>
        <v>0</v>
      </c>
      <c r="N421" s="16">
        <f>IF(NOT(Paths!$C$44=1),0,IF(Paths!$P$44="Complete",SUM(G421:I421)-J421-K421-L421+M421+IF(C421=0,Paths!$F$44,0)+IF(IF(Paths!$E$44=0,C421=0,AND(C421&gt;0,Paths!$E$44&gt;(C421-1)*12,Paths!$E$44&lt;=C421*12)),VLOOKUP(A421,'Fleet register'!$A$7:$S$106,16,FALSE),0),"n.a."))</f>
        <v>0</v>
      </c>
      <c r="O421" s="16">
        <f>IF(NOT(Paths!$C$44=1),0,IF(Paths!$P$44="Complete",N421-IF(C421=0,Paths!$F$44,0),"n.a."))</f>
        <v>0</v>
      </c>
      <c r="P421" s="16">
        <f>IF(NOT(Paths!$C$44=1),0,IF(Paths!$P$44="Complete",O421+L421,"n.a."))</f>
        <v>0</v>
      </c>
      <c r="Q421" s="16">
        <f>IF(NOT(Paths!$C$44=1),0,IF(Paths!$P$44="Complete",N421*(1+'Operating costs'!$B$54)^-C421,"n.a."))</f>
        <v>0</v>
      </c>
      <c r="R421" s="16">
        <f>IF(NOT(Paths!$C$44=1),0,IF(Paths!$P$44="Complete",IF(AND(C421=0,Paths!$E$44=0),I421-J421-K421+VLOOKUP(A421,'Fleet register'!$A$7:$S$106,15,FALSE)+VLOOKUP(A421,'Fleet register'!$A$7:$S$106,16,FALSE),0),"n.a."))</f>
        <v>0</v>
      </c>
      <c r="S421" s="1">
        <f>IF(NOT(Paths!$C$44=1),0,IF(Paths!$P$44="Complete",IF(C421=0,0,Paths!$S$44*Paths!$R$44),"n.a."))</f>
        <v>0</v>
      </c>
      <c r="T421" s="1">
        <f>IF(NOT(Paths!$C$44=1),0,IF(Paths!$P$44="Complete",IF(C421=0,0,VLOOKUP(A421,'Fleet register'!$A$7:$S$106,9,FALSE)*Paths!$R$44),"n.a."))</f>
        <v>0</v>
      </c>
    </row>
    <row r="422" spans="1:20" ht="24" customHeight="1">
      <c r="A422" s="1" t="str">
        <f>Paths!$A$44</f>
        <v>T010</v>
      </c>
      <c r="B422" s="1">
        <f>Paths!$B$44</f>
        <v>1</v>
      </c>
      <c r="C422" s="1">
        <v>8</v>
      </c>
      <c r="D422" s="1">
        <v>44</v>
      </c>
      <c r="E422" s="1">
        <f>IF(OR(Paths!$C$44=0,C422=0),0,MAX(0,MIN(C422*12,Paths!$E$44)-(C422-1)*12))</f>
        <v>0</v>
      </c>
      <c r="F422" s="1">
        <f>IF(OR(Paths!$C$44=0,C422=0),0,12-E422)</f>
        <v>0</v>
      </c>
      <c r="G422" s="16">
        <f>IF(NOT(Paths!$C$44=1),0,IF(Paths!$P$44="Complete",E422/12*(Paths!$J$44*(1+'Operating costs'!$B$51)^MAX(0,C422-1)+Paths!$K$44*(1+'Operating costs'!$B$53)^MAX(0,C422-1)),"n.a."))</f>
        <v>0</v>
      </c>
      <c r="H422" s="16">
        <f>IF(NOT(Paths!$C$44=1),0,IF(Paths!$P$44="Complete",F422/12*(Paths!$L$44*(1+IF(Paths!$D$44="EV",'Operating costs'!$B$52,'Operating costs'!$B$51))^MAX(0,C422-1)+Paths!$M$44*(1+'Operating costs'!$B$53)^MAX(0,C422-1)),"n.a."))</f>
        <v>0</v>
      </c>
      <c r="I422" s="16">
        <f>IF(NOT(Paths!$C$44=1),0,IF(Paths!$P$44="Complete",IF(IF(Paths!$E$44=0,C422=0,AND(C422&gt;0,Paths!$E$44&gt;(C422-1)*12,Paths!$E$44&lt;=C422*12)),Paths!$G$44,0),"n.a."))</f>
        <v>0</v>
      </c>
      <c r="J422" s="16">
        <f>IF(NOT(Paths!$C$44=1),0,IF(Paths!$P$44="Complete",IF(IF(Paths!$E$44=0,C422=0,AND(C422&gt;0,Paths!$E$44&gt;(C422-1)*12,Paths!$E$44&lt;=C422*12)),Paths!$H$44,0),"n.a."))</f>
        <v>0</v>
      </c>
      <c r="K422" s="16">
        <f>IF(NOT(Paths!$C$44=1),0,IF(Paths!$P$44="Complete",IF(IF(Paths!$O$44=0,C422=0,AND(C422&gt;0,Paths!$O$44&gt;(C422-1)*12,Paths!$O$44&lt;=C422*12)),Paths!$N$44,0),"n.a."))</f>
        <v>0</v>
      </c>
      <c r="L422" s="16">
        <f>IF(NOT(Paths!$C$44=1),0,IF(Paths!$P$44="Complete",IF(C422=10,Paths!$I$44,0),"n.a."))</f>
        <v>0</v>
      </c>
      <c r="M422" s="16">
        <f>IF(NOT(Paths!$C$44=1),0,IF(Paths!$P$44="Complete",IF(AND(Paths!$D$44="EV",Paths!$E$44&lt;120,Paths!$E$44+'Operating costs'!$B$65&gt;Paths!$E$44,Paths!$E$44+'Operating costs'!$B$65&lt;=120,IF(Paths!$E$44+'Operating costs'!$B$65=0,C422=0,AND(C422&gt;0,Paths!$E$44+'Operating costs'!$B$65&gt;(C422-1)*12,Paths!$E$44+'Operating costs'!$B$65&lt;=C422*12))),'Operating costs'!$B$64,0)+IF(AND('Operating costs'!$B$67&gt;0,'Operating costs'!$B$67&lt;=120,OR(Paths!$D$44="ICE",'Operating costs'!$B$67&lt;=Paths!$E$44),IF('Operating costs'!$B$67=0,C422=0,AND(C422&gt;0,'Operating costs'!$B$67&gt;(C422-1)*12,'Operating costs'!$B$67&lt;=C422*12))),'Operating costs'!$B$66,0),"n.a."))</f>
        <v>0</v>
      </c>
      <c r="N422" s="16">
        <f>IF(NOT(Paths!$C$44=1),0,IF(Paths!$P$44="Complete",SUM(G422:I422)-J422-K422-L422+M422+IF(C422=0,Paths!$F$44,0)+IF(IF(Paths!$E$44=0,C422=0,AND(C422&gt;0,Paths!$E$44&gt;(C422-1)*12,Paths!$E$44&lt;=C422*12)),VLOOKUP(A422,'Fleet register'!$A$7:$S$106,16,FALSE),0),"n.a."))</f>
        <v>0</v>
      </c>
      <c r="O422" s="16">
        <f>IF(NOT(Paths!$C$44=1),0,IF(Paths!$P$44="Complete",N422-IF(C422=0,Paths!$F$44,0),"n.a."))</f>
        <v>0</v>
      </c>
      <c r="P422" s="16">
        <f>IF(NOT(Paths!$C$44=1),0,IF(Paths!$P$44="Complete",O422+L422,"n.a."))</f>
        <v>0</v>
      </c>
      <c r="Q422" s="16">
        <f>IF(NOT(Paths!$C$44=1),0,IF(Paths!$P$44="Complete",N422*(1+'Operating costs'!$B$54)^-C422,"n.a."))</f>
        <v>0</v>
      </c>
      <c r="R422" s="16">
        <f>IF(NOT(Paths!$C$44=1),0,IF(Paths!$P$44="Complete",IF(AND(C422=0,Paths!$E$44=0),I422-J422-K422+VLOOKUP(A422,'Fleet register'!$A$7:$S$106,15,FALSE)+VLOOKUP(A422,'Fleet register'!$A$7:$S$106,16,FALSE),0),"n.a."))</f>
        <v>0</v>
      </c>
      <c r="S422" s="1">
        <f>IF(NOT(Paths!$C$44=1),0,IF(Paths!$P$44="Complete",IF(C422=0,0,Paths!$S$44*Paths!$R$44),"n.a."))</f>
        <v>0</v>
      </c>
      <c r="T422" s="1">
        <f>IF(NOT(Paths!$C$44=1),0,IF(Paths!$P$44="Complete",IF(C422=0,0,VLOOKUP(A422,'Fleet register'!$A$7:$S$106,9,FALSE)*Paths!$R$44),"n.a."))</f>
        <v>0</v>
      </c>
    </row>
    <row r="423" spans="1:20" ht="24" customHeight="1">
      <c r="A423" s="1" t="str">
        <f>Paths!$A$44</f>
        <v>T010</v>
      </c>
      <c r="B423" s="1">
        <f>Paths!$B$44</f>
        <v>1</v>
      </c>
      <c r="C423" s="1">
        <v>9</v>
      </c>
      <c r="D423" s="1">
        <v>44</v>
      </c>
      <c r="E423" s="1">
        <f>IF(OR(Paths!$C$44=0,C423=0),0,MAX(0,MIN(C423*12,Paths!$E$44)-(C423-1)*12))</f>
        <v>0</v>
      </c>
      <c r="F423" s="1">
        <f>IF(OR(Paths!$C$44=0,C423=0),0,12-E423)</f>
        <v>0</v>
      </c>
      <c r="G423" s="16">
        <f>IF(NOT(Paths!$C$44=1),0,IF(Paths!$P$44="Complete",E423/12*(Paths!$J$44*(1+'Operating costs'!$B$51)^MAX(0,C423-1)+Paths!$K$44*(1+'Operating costs'!$B$53)^MAX(0,C423-1)),"n.a."))</f>
        <v>0</v>
      </c>
      <c r="H423" s="16">
        <f>IF(NOT(Paths!$C$44=1),0,IF(Paths!$P$44="Complete",F423/12*(Paths!$L$44*(1+IF(Paths!$D$44="EV",'Operating costs'!$B$52,'Operating costs'!$B$51))^MAX(0,C423-1)+Paths!$M$44*(1+'Operating costs'!$B$53)^MAX(0,C423-1)),"n.a."))</f>
        <v>0</v>
      </c>
      <c r="I423" s="16">
        <f>IF(NOT(Paths!$C$44=1),0,IF(Paths!$P$44="Complete",IF(IF(Paths!$E$44=0,C423=0,AND(C423&gt;0,Paths!$E$44&gt;(C423-1)*12,Paths!$E$44&lt;=C423*12)),Paths!$G$44,0),"n.a."))</f>
        <v>0</v>
      </c>
      <c r="J423" s="16">
        <f>IF(NOT(Paths!$C$44=1),0,IF(Paths!$P$44="Complete",IF(IF(Paths!$E$44=0,C423=0,AND(C423&gt;0,Paths!$E$44&gt;(C423-1)*12,Paths!$E$44&lt;=C423*12)),Paths!$H$44,0),"n.a."))</f>
        <v>0</v>
      </c>
      <c r="K423" s="16">
        <f>IF(NOT(Paths!$C$44=1),0,IF(Paths!$P$44="Complete",IF(IF(Paths!$O$44=0,C423=0,AND(C423&gt;0,Paths!$O$44&gt;(C423-1)*12,Paths!$O$44&lt;=C423*12)),Paths!$N$44,0),"n.a."))</f>
        <v>0</v>
      </c>
      <c r="L423" s="16">
        <f>IF(NOT(Paths!$C$44=1),0,IF(Paths!$P$44="Complete",IF(C423=10,Paths!$I$44,0),"n.a."))</f>
        <v>0</v>
      </c>
      <c r="M423" s="16">
        <f>IF(NOT(Paths!$C$44=1),0,IF(Paths!$P$44="Complete",IF(AND(Paths!$D$44="EV",Paths!$E$44&lt;120,Paths!$E$44+'Operating costs'!$B$65&gt;Paths!$E$44,Paths!$E$44+'Operating costs'!$B$65&lt;=120,IF(Paths!$E$44+'Operating costs'!$B$65=0,C423=0,AND(C423&gt;0,Paths!$E$44+'Operating costs'!$B$65&gt;(C423-1)*12,Paths!$E$44+'Operating costs'!$B$65&lt;=C423*12))),'Operating costs'!$B$64,0)+IF(AND('Operating costs'!$B$67&gt;0,'Operating costs'!$B$67&lt;=120,OR(Paths!$D$44="ICE",'Operating costs'!$B$67&lt;=Paths!$E$44),IF('Operating costs'!$B$67=0,C423=0,AND(C423&gt;0,'Operating costs'!$B$67&gt;(C423-1)*12,'Operating costs'!$B$67&lt;=C423*12))),'Operating costs'!$B$66,0),"n.a."))</f>
        <v>0</v>
      </c>
      <c r="N423" s="16">
        <f>IF(NOT(Paths!$C$44=1),0,IF(Paths!$P$44="Complete",SUM(G423:I423)-J423-K423-L423+M423+IF(C423=0,Paths!$F$44,0)+IF(IF(Paths!$E$44=0,C423=0,AND(C423&gt;0,Paths!$E$44&gt;(C423-1)*12,Paths!$E$44&lt;=C423*12)),VLOOKUP(A423,'Fleet register'!$A$7:$S$106,16,FALSE),0),"n.a."))</f>
        <v>0</v>
      </c>
      <c r="O423" s="16">
        <f>IF(NOT(Paths!$C$44=1),0,IF(Paths!$P$44="Complete",N423-IF(C423=0,Paths!$F$44,0),"n.a."))</f>
        <v>0</v>
      </c>
      <c r="P423" s="16">
        <f>IF(NOT(Paths!$C$44=1),0,IF(Paths!$P$44="Complete",O423+L423,"n.a."))</f>
        <v>0</v>
      </c>
      <c r="Q423" s="16">
        <f>IF(NOT(Paths!$C$44=1),0,IF(Paths!$P$44="Complete",N423*(1+'Operating costs'!$B$54)^-C423,"n.a."))</f>
        <v>0</v>
      </c>
      <c r="R423" s="16">
        <f>IF(NOT(Paths!$C$44=1),0,IF(Paths!$P$44="Complete",IF(AND(C423=0,Paths!$E$44=0),I423-J423-K423+VLOOKUP(A423,'Fleet register'!$A$7:$S$106,15,FALSE)+VLOOKUP(A423,'Fleet register'!$A$7:$S$106,16,FALSE),0),"n.a."))</f>
        <v>0</v>
      </c>
      <c r="S423" s="1">
        <f>IF(NOT(Paths!$C$44=1),0,IF(Paths!$P$44="Complete",IF(C423=0,0,Paths!$S$44*Paths!$R$44),"n.a."))</f>
        <v>0</v>
      </c>
      <c r="T423" s="1">
        <f>IF(NOT(Paths!$C$44=1),0,IF(Paths!$P$44="Complete",IF(C423=0,0,VLOOKUP(A423,'Fleet register'!$A$7:$S$106,9,FALSE)*Paths!$R$44),"n.a."))</f>
        <v>0</v>
      </c>
    </row>
    <row r="424" spans="1:20" ht="24" customHeight="1">
      <c r="A424" s="1" t="str">
        <f>Paths!$A$44</f>
        <v>T010</v>
      </c>
      <c r="B424" s="1">
        <f>Paths!$B$44</f>
        <v>1</v>
      </c>
      <c r="C424" s="1">
        <v>10</v>
      </c>
      <c r="D424" s="1">
        <v>44</v>
      </c>
      <c r="E424" s="1">
        <f>IF(OR(Paths!$C$44=0,C424=0),0,MAX(0,MIN(C424*12,Paths!$E$44)-(C424-1)*12))</f>
        <v>0</v>
      </c>
      <c r="F424" s="1">
        <f>IF(OR(Paths!$C$44=0,C424=0),0,12-E424)</f>
        <v>0</v>
      </c>
      <c r="G424" s="16">
        <f>IF(NOT(Paths!$C$44=1),0,IF(Paths!$P$44="Complete",E424/12*(Paths!$J$44*(1+'Operating costs'!$B$51)^MAX(0,C424-1)+Paths!$K$44*(1+'Operating costs'!$B$53)^MAX(0,C424-1)),"n.a."))</f>
        <v>0</v>
      </c>
      <c r="H424" s="16">
        <f>IF(NOT(Paths!$C$44=1),0,IF(Paths!$P$44="Complete",F424/12*(Paths!$L$44*(1+IF(Paths!$D$44="EV",'Operating costs'!$B$52,'Operating costs'!$B$51))^MAX(0,C424-1)+Paths!$M$44*(1+'Operating costs'!$B$53)^MAX(0,C424-1)),"n.a."))</f>
        <v>0</v>
      </c>
      <c r="I424" s="16">
        <f>IF(NOT(Paths!$C$44=1),0,IF(Paths!$P$44="Complete",IF(IF(Paths!$E$44=0,C424=0,AND(C424&gt;0,Paths!$E$44&gt;(C424-1)*12,Paths!$E$44&lt;=C424*12)),Paths!$G$44,0),"n.a."))</f>
        <v>0</v>
      </c>
      <c r="J424" s="16">
        <f>IF(NOT(Paths!$C$44=1),0,IF(Paths!$P$44="Complete",IF(IF(Paths!$E$44=0,C424=0,AND(C424&gt;0,Paths!$E$44&gt;(C424-1)*12,Paths!$E$44&lt;=C424*12)),Paths!$H$44,0),"n.a."))</f>
        <v>0</v>
      </c>
      <c r="K424" s="16">
        <f>IF(NOT(Paths!$C$44=1),0,IF(Paths!$P$44="Complete",IF(IF(Paths!$O$44=0,C424=0,AND(C424&gt;0,Paths!$O$44&gt;(C424-1)*12,Paths!$O$44&lt;=C424*12)),Paths!$N$44,0),"n.a."))</f>
        <v>0</v>
      </c>
      <c r="L424" s="16">
        <f>IF(NOT(Paths!$C$44=1),0,IF(Paths!$P$44="Complete",IF(C424=10,Paths!$I$44,0),"n.a."))</f>
        <v>0</v>
      </c>
      <c r="M424" s="16">
        <f>IF(NOT(Paths!$C$44=1),0,IF(Paths!$P$44="Complete",IF(AND(Paths!$D$44="EV",Paths!$E$44&lt;120,Paths!$E$44+'Operating costs'!$B$65&gt;Paths!$E$44,Paths!$E$44+'Operating costs'!$B$65&lt;=120,IF(Paths!$E$44+'Operating costs'!$B$65=0,C424=0,AND(C424&gt;0,Paths!$E$44+'Operating costs'!$B$65&gt;(C424-1)*12,Paths!$E$44+'Operating costs'!$B$65&lt;=C424*12))),'Operating costs'!$B$64,0)+IF(AND('Operating costs'!$B$67&gt;0,'Operating costs'!$B$67&lt;=120,OR(Paths!$D$44="ICE",'Operating costs'!$B$67&lt;=Paths!$E$44),IF('Operating costs'!$B$67=0,C424=0,AND(C424&gt;0,'Operating costs'!$B$67&gt;(C424-1)*12,'Operating costs'!$B$67&lt;=C424*12))),'Operating costs'!$B$66,0),"n.a."))</f>
        <v>0</v>
      </c>
      <c r="N424" s="16">
        <f>IF(NOT(Paths!$C$44=1),0,IF(Paths!$P$44="Complete",SUM(G424:I424)-J424-K424-L424+M424+IF(C424=0,Paths!$F$44,0)+IF(IF(Paths!$E$44=0,C424=0,AND(C424&gt;0,Paths!$E$44&gt;(C424-1)*12,Paths!$E$44&lt;=C424*12)),VLOOKUP(A424,'Fleet register'!$A$7:$S$106,16,FALSE),0),"n.a."))</f>
        <v>0</v>
      </c>
      <c r="O424" s="16">
        <f>IF(NOT(Paths!$C$44=1),0,IF(Paths!$P$44="Complete",N424-IF(C424=0,Paths!$F$44,0),"n.a."))</f>
        <v>0</v>
      </c>
      <c r="P424" s="16">
        <f>IF(NOT(Paths!$C$44=1),0,IF(Paths!$P$44="Complete",O424+L424,"n.a."))</f>
        <v>0</v>
      </c>
      <c r="Q424" s="16">
        <f>IF(NOT(Paths!$C$44=1),0,IF(Paths!$P$44="Complete",N424*(1+'Operating costs'!$B$54)^-C424,"n.a."))</f>
        <v>0</v>
      </c>
      <c r="R424" s="16">
        <f>IF(NOT(Paths!$C$44=1),0,IF(Paths!$P$44="Complete",IF(AND(C424=0,Paths!$E$44=0),I424-J424-K424+VLOOKUP(A424,'Fleet register'!$A$7:$S$106,15,FALSE)+VLOOKUP(A424,'Fleet register'!$A$7:$S$106,16,FALSE),0),"n.a."))</f>
        <v>0</v>
      </c>
      <c r="S424" s="1">
        <f>IF(NOT(Paths!$C$44=1),0,IF(Paths!$P$44="Complete",IF(C424=0,0,Paths!$S$44*Paths!$R$44),"n.a."))</f>
        <v>0</v>
      </c>
      <c r="T424" s="1">
        <f>IF(NOT(Paths!$C$44=1),0,IF(Paths!$P$44="Complete",IF(C424=0,0,VLOOKUP(A424,'Fleet register'!$A$7:$S$106,9,FALSE)*Paths!$R$44),"n.a."))</f>
        <v>0</v>
      </c>
    </row>
    <row r="425" spans="1:20" ht="24" customHeight="1">
      <c r="A425" s="1" t="str">
        <f>Paths!$A$45</f>
        <v>T010</v>
      </c>
      <c r="B425" s="1">
        <f>Paths!$B$45</f>
        <v>2</v>
      </c>
      <c r="C425" s="1">
        <v>0</v>
      </c>
      <c r="D425" s="1">
        <v>45</v>
      </c>
      <c r="E425" s="1">
        <f>IF(OR(Paths!$C$45=0,C425=0),0,MAX(0,MIN(C425*12,Paths!$E$45)-(C425-1)*12))</f>
        <v>0</v>
      </c>
      <c r="F425" s="1">
        <f>IF(OR(Paths!$C$45=0,C425=0),0,12-E425)</f>
        <v>0</v>
      </c>
      <c r="G425" s="16">
        <f>IF(NOT(Paths!$C$45=1),0,IF(Paths!$P$45="Complete",E425/12*(Paths!$J$45*(1+'Operating costs'!$B$51)^MAX(0,C425-1)+Paths!$K$45*(1+'Operating costs'!$B$53)^MAX(0,C425-1)),"n.a."))</f>
        <v>0</v>
      </c>
      <c r="H425" s="16">
        <f>IF(NOT(Paths!$C$45=1),0,IF(Paths!$P$45="Complete",F425/12*(Paths!$L$45*(1+IF(Paths!$D$45="EV",'Operating costs'!$B$52,'Operating costs'!$B$51))^MAX(0,C425-1)+Paths!$M$45*(1+'Operating costs'!$B$53)^MAX(0,C425-1)),"n.a."))</f>
        <v>0</v>
      </c>
      <c r="I425" s="16">
        <f>IF(NOT(Paths!$C$45=1),0,IF(Paths!$P$45="Complete",IF(IF(Paths!$E$45=0,C425=0,AND(C425&gt;0,Paths!$E$45&gt;(C425-1)*12,Paths!$E$45&lt;=C425*12)),Paths!$G$45,0),"n.a."))</f>
        <v>0</v>
      </c>
      <c r="J425" s="16">
        <f>IF(NOT(Paths!$C$45=1),0,IF(Paths!$P$45="Complete",IF(IF(Paths!$E$45=0,C425=0,AND(C425&gt;0,Paths!$E$45&gt;(C425-1)*12,Paths!$E$45&lt;=C425*12)),Paths!$H$45,0),"n.a."))</f>
        <v>0</v>
      </c>
      <c r="K425" s="16">
        <f>IF(NOT(Paths!$C$45=1),0,IF(Paths!$P$45="Complete",IF(IF(Paths!$O$45=0,C425=0,AND(C425&gt;0,Paths!$O$45&gt;(C425-1)*12,Paths!$O$45&lt;=C425*12)),Paths!$N$45,0),"n.a."))</f>
        <v>0</v>
      </c>
      <c r="L425" s="16">
        <f>IF(NOT(Paths!$C$45=1),0,IF(Paths!$P$45="Complete",IF(C425=10,Paths!$I$45,0),"n.a."))</f>
        <v>0</v>
      </c>
      <c r="M425" s="16">
        <f>IF(NOT(Paths!$C$45=1),0,IF(Paths!$P$45="Complete",IF(AND(Paths!$D$45="EV",Paths!$E$45&lt;120,Paths!$E$45+'Operating costs'!$B$65&gt;Paths!$E$45,Paths!$E$45+'Operating costs'!$B$65&lt;=120,IF(Paths!$E$45+'Operating costs'!$B$65=0,C425=0,AND(C425&gt;0,Paths!$E$45+'Operating costs'!$B$65&gt;(C425-1)*12,Paths!$E$45+'Operating costs'!$B$65&lt;=C425*12))),'Operating costs'!$B$64,0)+IF(AND('Operating costs'!$B$67&gt;0,'Operating costs'!$B$67&lt;=120,OR(Paths!$D$45="ICE",'Operating costs'!$B$67&lt;=Paths!$E$45),IF('Operating costs'!$B$67=0,C425=0,AND(C425&gt;0,'Operating costs'!$B$67&gt;(C425-1)*12,'Operating costs'!$B$67&lt;=C425*12))),'Operating costs'!$B$66,0),"n.a."))</f>
        <v>0</v>
      </c>
      <c r="N425" s="16">
        <f>IF(NOT(Paths!$C$45=1),0,IF(Paths!$P$45="Complete",SUM(G425:I425)-J425-K425-L425+M425+IF(C425=0,Paths!$F$45,0)+IF(IF(Paths!$E$45=0,C425=0,AND(C425&gt;0,Paths!$E$45&gt;(C425-1)*12,Paths!$E$45&lt;=C425*12)),VLOOKUP(A425,'Fleet register'!$A$7:$S$106,16,FALSE),0),"n.a."))</f>
        <v>0</v>
      </c>
      <c r="O425" s="16">
        <f>IF(NOT(Paths!$C$45=1),0,IF(Paths!$P$45="Complete",N425-IF(C425=0,Paths!$F$45,0),"n.a."))</f>
        <v>0</v>
      </c>
      <c r="P425" s="16">
        <f>IF(NOT(Paths!$C$45=1),0,IF(Paths!$P$45="Complete",O425+L425,"n.a."))</f>
        <v>0</v>
      </c>
      <c r="Q425" s="16">
        <f>IF(NOT(Paths!$C$45=1),0,IF(Paths!$P$45="Complete",N425*(1+'Operating costs'!$B$54)^-C425,"n.a."))</f>
        <v>0</v>
      </c>
      <c r="R425" s="16">
        <f>IF(NOT(Paths!$C$45=1),0,IF(Paths!$P$45="Complete",IF(AND(C425=0,Paths!$E$45=0),I425-J425-K425+VLOOKUP(A425,'Fleet register'!$A$7:$S$106,15,FALSE)+VLOOKUP(A425,'Fleet register'!$A$7:$S$106,16,FALSE),0),"n.a."))</f>
        <v>0</v>
      </c>
      <c r="S425" s="1">
        <f>IF(NOT(Paths!$C$45=1),0,IF(Paths!$P$45="Complete",IF(C425=0,0,Paths!$S$45*Paths!$R$45),"n.a."))</f>
        <v>0</v>
      </c>
      <c r="T425" s="1">
        <f>IF(NOT(Paths!$C$45=1),0,IF(Paths!$P$45="Complete",IF(C425=0,0,VLOOKUP(A425,'Fleet register'!$A$7:$S$106,9,FALSE)*Paths!$R$45),"n.a."))</f>
        <v>0</v>
      </c>
    </row>
    <row r="426" spans="1:20" ht="24" customHeight="1">
      <c r="A426" s="1" t="str">
        <f>Paths!$A$45</f>
        <v>T010</v>
      </c>
      <c r="B426" s="1">
        <f>Paths!$B$45</f>
        <v>2</v>
      </c>
      <c r="C426" s="1">
        <v>1</v>
      </c>
      <c r="D426" s="1">
        <v>45</v>
      </c>
      <c r="E426" s="1">
        <f>IF(OR(Paths!$C$45=0,C426=0),0,MAX(0,MIN(C426*12,Paths!$E$45)-(C426-1)*12))</f>
        <v>0</v>
      </c>
      <c r="F426" s="1">
        <f>IF(OR(Paths!$C$45=0,C426=0),0,12-E426)</f>
        <v>0</v>
      </c>
      <c r="G426" s="16">
        <f>IF(NOT(Paths!$C$45=1),0,IF(Paths!$P$45="Complete",E426/12*(Paths!$J$45*(1+'Operating costs'!$B$51)^MAX(0,C426-1)+Paths!$K$45*(1+'Operating costs'!$B$53)^MAX(0,C426-1)),"n.a."))</f>
        <v>0</v>
      </c>
      <c r="H426" s="16">
        <f>IF(NOT(Paths!$C$45=1),0,IF(Paths!$P$45="Complete",F426/12*(Paths!$L$45*(1+IF(Paths!$D$45="EV",'Operating costs'!$B$52,'Operating costs'!$B$51))^MAX(0,C426-1)+Paths!$M$45*(1+'Operating costs'!$B$53)^MAX(0,C426-1)),"n.a."))</f>
        <v>0</v>
      </c>
      <c r="I426" s="16">
        <f>IF(NOT(Paths!$C$45=1),0,IF(Paths!$P$45="Complete",IF(IF(Paths!$E$45=0,C426=0,AND(C426&gt;0,Paths!$E$45&gt;(C426-1)*12,Paths!$E$45&lt;=C426*12)),Paths!$G$45,0),"n.a."))</f>
        <v>0</v>
      </c>
      <c r="J426" s="16">
        <f>IF(NOT(Paths!$C$45=1),0,IF(Paths!$P$45="Complete",IF(IF(Paths!$E$45=0,C426=0,AND(C426&gt;0,Paths!$E$45&gt;(C426-1)*12,Paths!$E$45&lt;=C426*12)),Paths!$H$45,0),"n.a."))</f>
        <v>0</v>
      </c>
      <c r="K426" s="16">
        <f>IF(NOT(Paths!$C$45=1),0,IF(Paths!$P$45="Complete",IF(IF(Paths!$O$45=0,C426=0,AND(C426&gt;0,Paths!$O$45&gt;(C426-1)*12,Paths!$O$45&lt;=C426*12)),Paths!$N$45,0),"n.a."))</f>
        <v>0</v>
      </c>
      <c r="L426" s="16">
        <f>IF(NOT(Paths!$C$45=1),0,IF(Paths!$P$45="Complete",IF(C426=10,Paths!$I$45,0),"n.a."))</f>
        <v>0</v>
      </c>
      <c r="M426" s="16">
        <f>IF(NOT(Paths!$C$45=1),0,IF(Paths!$P$45="Complete",IF(AND(Paths!$D$45="EV",Paths!$E$45&lt;120,Paths!$E$45+'Operating costs'!$B$65&gt;Paths!$E$45,Paths!$E$45+'Operating costs'!$B$65&lt;=120,IF(Paths!$E$45+'Operating costs'!$B$65=0,C426=0,AND(C426&gt;0,Paths!$E$45+'Operating costs'!$B$65&gt;(C426-1)*12,Paths!$E$45+'Operating costs'!$B$65&lt;=C426*12))),'Operating costs'!$B$64,0)+IF(AND('Operating costs'!$B$67&gt;0,'Operating costs'!$B$67&lt;=120,OR(Paths!$D$45="ICE",'Operating costs'!$B$67&lt;=Paths!$E$45),IF('Operating costs'!$B$67=0,C426=0,AND(C426&gt;0,'Operating costs'!$B$67&gt;(C426-1)*12,'Operating costs'!$B$67&lt;=C426*12))),'Operating costs'!$B$66,0),"n.a."))</f>
        <v>0</v>
      </c>
      <c r="N426" s="16">
        <f>IF(NOT(Paths!$C$45=1),0,IF(Paths!$P$45="Complete",SUM(G426:I426)-J426-K426-L426+M426+IF(C426=0,Paths!$F$45,0)+IF(IF(Paths!$E$45=0,C426=0,AND(C426&gt;0,Paths!$E$45&gt;(C426-1)*12,Paths!$E$45&lt;=C426*12)),VLOOKUP(A426,'Fleet register'!$A$7:$S$106,16,FALSE),0),"n.a."))</f>
        <v>0</v>
      </c>
      <c r="O426" s="16">
        <f>IF(NOT(Paths!$C$45=1),0,IF(Paths!$P$45="Complete",N426-IF(C426=0,Paths!$F$45,0),"n.a."))</f>
        <v>0</v>
      </c>
      <c r="P426" s="16">
        <f>IF(NOT(Paths!$C$45=1),0,IF(Paths!$P$45="Complete",O426+L426,"n.a."))</f>
        <v>0</v>
      </c>
      <c r="Q426" s="16">
        <f>IF(NOT(Paths!$C$45=1),0,IF(Paths!$P$45="Complete",N426*(1+'Operating costs'!$B$54)^-C426,"n.a."))</f>
        <v>0</v>
      </c>
      <c r="R426" s="16">
        <f>IF(NOT(Paths!$C$45=1),0,IF(Paths!$P$45="Complete",IF(AND(C426=0,Paths!$E$45=0),I426-J426-K426+VLOOKUP(A426,'Fleet register'!$A$7:$S$106,15,FALSE)+VLOOKUP(A426,'Fleet register'!$A$7:$S$106,16,FALSE),0),"n.a."))</f>
        <v>0</v>
      </c>
      <c r="S426" s="1">
        <f>IF(NOT(Paths!$C$45=1),0,IF(Paths!$P$45="Complete",IF(C426=0,0,Paths!$S$45*Paths!$R$45),"n.a."))</f>
        <v>0</v>
      </c>
      <c r="T426" s="1">
        <f>IF(NOT(Paths!$C$45=1),0,IF(Paths!$P$45="Complete",IF(C426=0,0,VLOOKUP(A426,'Fleet register'!$A$7:$S$106,9,FALSE)*Paths!$R$45),"n.a."))</f>
        <v>0</v>
      </c>
    </row>
    <row r="427" spans="1:20" ht="24" customHeight="1">
      <c r="A427" s="1" t="str">
        <f>Paths!$A$45</f>
        <v>T010</v>
      </c>
      <c r="B427" s="1">
        <f>Paths!$B$45</f>
        <v>2</v>
      </c>
      <c r="C427" s="1">
        <v>2</v>
      </c>
      <c r="D427" s="1">
        <v>45</v>
      </c>
      <c r="E427" s="1">
        <f>IF(OR(Paths!$C$45=0,C427=0),0,MAX(0,MIN(C427*12,Paths!$E$45)-(C427-1)*12))</f>
        <v>0</v>
      </c>
      <c r="F427" s="1">
        <f>IF(OR(Paths!$C$45=0,C427=0),0,12-E427)</f>
        <v>0</v>
      </c>
      <c r="G427" s="16">
        <f>IF(NOT(Paths!$C$45=1),0,IF(Paths!$P$45="Complete",E427/12*(Paths!$J$45*(1+'Operating costs'!$B$51)^MAX(0,C427-1)+Paths!$K$45*(1+'Operating costs'!$B$53)^MAX(0,C427-1)),"n.a."))</f>
        <v>0</v>
      </c>
      <c r="H427" s="16">
        <f>IF(NOT(Paths!$C$45=1),0,IF(Paths!$P$45="Complete",F427/12*(Paths!$L$45*(1+IF(Paths!$D$45="EV",'Operating costs'!$B$52,'Operating costs'!$B$51))^MAX(0,C427-1)+Paths!$M$45*(1+'Operating costs'!$B$53)^MAX(0,C427-1)),"n.a."))</f>
        <v>0</v>
      </c>
      <c r="I427" s="16">
        <f>IF(NOT(Paths!$C$45=1),0,IF(Paths!$P$45="Complete",IF(IF(Paths!$E$45=0,C427=0,AND(C427&gt;0,Paths!$E$45&gt;(C427-1)*12,Paths!$E$45&lt;=C427*12)),Paths!$G$45,0),"n.a."))</f>
        <v>0</v>
      </c>
      <c r="J427" s="16">
        <f>IF(NOT(Paths!$C$45=1),0,IF(Paths!$P$45="Complete",IF(IF(Paths!$E$45=0,C427=0,AND(C427&gt;0,Paths!$E$45&gt;(C427-1)*12,Paths!$E$45&lt;=C427*12)),Paths!$H$45,0),"n.a."))</f>
        <v>0</v>
      </c>
      <c r="K427" s="16">
        <f>IF(NOT(Paths!$C$45=1),0,IF(Paths!$P$45="Complete",IF(IF(Paths!$O$45=0,C427=0,AND(C427&gt;0,Paths!$O$45&gt;(C427-1)*12,Paths!$O$45&lt;=C427*12)),Paths!$N$45,0),"n.a."))</f>
        <v>0</v>
      </c>
      <c r="L427" s="16">
        <f>IF(NOT(Paths!$C$45=1),0,IF(Paths!$P$45="Complete",IF(C427=10,Paths!$I$45,0),"n.a."))</f>
        <v>0</v>
      </c>
      <c r="M427" s="16">
        <f>IF(NOT(Paths!$C$45=1),0,IF(Paths!$P$45="Complete",IF(AND(Paths!$D$45="EV",Paths!$E$45&lt;120,Paths!$E$45+'Operating costs'!$B$65&gt;Paths!$E$45,Paths!$E$45+'Operating costs'!$B$65&lt;=120,IF(Paths!$E$45+'Operating costs'!$B$65=0,C427=0,AND(C427&gt;0,Paths!$E$45+'Operating costs'!$B$65&gt;(C427-1)*12,Paths!$E$45+'Operating costs'!$B$65&lt;=C427*12))),'Operating costs'!$B$64,0)+IF(AND('Operating costs'!$B$67&gt;0,'Operating costs'!$B$67&lt;=120,OR(Paths!$D$45="ICE",'Operating costs'!$B$67&lt;=Paths!$E$45),IF('Operating costs'!$B$67=0,C427=0,AND(C427&gt;0,'Operating costs'!$B$67&gt;(C427-1)*12,'Operating costs'!$B$67&lt;=C427*12))),'Operating costs'!$B$66,0),"n.a."))</f>
        <v>0</v>
      </c>
      <c r="N427" s="16">
        <f>IF(NOT(Paths!$C$45=1),0,IF(Paths!$P$45="Complete",SUM(G427:I427)-J427-K427-L427+M427+IF(C427=0,Paths!$F$45,0)+IF(IF(Paths!$E$45=0,C427=0,AND(C427&gt;0,Paths!$E$45&gt;(C427-1)*12,Paths!$E$45&lt;=C427*12)),VLOOKUP(A427,'Fleet register'!$A$7:$S$106,16,FALSE),0),"n.a."))</f>
        <v>0</v>
      </c>
      <c r="O427" s="16">
        <f>IF(NOT(Paths!$C$45=1),0,IF(Paths!$P$45="Complete",N427-IF(C427=0,Paths!$F$45,0),"n.a."))</f>
        <v>0</v>
      </c>
      <c r="P427" s="16">
        <f>IF(NOT(Paths!$C$45=1),0,IF(Paths!$P$45="Complete",O427+L427,"n.a."))</f>
        <v>0</v>
      </c>
      <c r="Q427" s="16">
        <f>IF(NOT(Paths!$C$45=1),0,IF(Paths!$P$45="Complete",N427*(1+'Operating costs'!$B$54)^-C427,"n.a."))</f>
        <v>0</v>
      </c>
      <c r="R427" s="16">
        <f>IF(NOT(Paths!$C$45=1),0,IF(Paths!$P$45="Complete",IF(AND(C427=0,Paths!$E$45=0),I427-J427-K427+VLOOKUP(A427,'Fleet register'!$A$7:$S$106,15,FALSE)+VLOOKUP(A427,'Fleet register'!$A$7:$S$106,16,FALSE),0),"n.a."))</f>
        <v>0</v>
      </c>
      <c r="S427" s="1">
        <f>IF(NOT(Paths!$C$45=1),0,IF(Paths!$P$45="Complete",IF(C427=0,0,Paths!$S$45*Paths!$R$45),"n.a."))</f>
        <v>0</v>
      </c>
      <c r="T427" s="1">
        <f>IF(NOT(Paths!$C$45=1),0,IF(Paths!$P$45="Complete",IF(C427=0,0,VLOOKUP(A427,'Fleet register'!$A$7:$S$106,9,FALSE)*Paths!$R$45),"n.a."))</f>
        <v>0</v>
      </c>
    </row>
    <row r="428" spans="1:20" ht="24" customHeight="1">
      <c r="A428" s="1" t="str">
        <f>Paths!$A$45</f>
        <v>T010</v>
      </c>
      <c r="B428" s="1">
        <f>Paths!$B$45</f>
        <v>2</v>
      </c>
      <c r="C428" s="1">
        <v>3</v>
      </c>
      <c r="D428" s="1">
        <v>45</v>
      </c>
      <c r="E428" s="1">
        <f>IF(OR(Paths!$C$45=0,C428=0),0,MAX(0,MIN(C428*12,Paths!$E$45)-(C428-1)*12))</f>
        <v>0</v>
      </c>
      <c r="F428" s="1">
        <f>IF(OR(Paths!$C$45=0,C428=0),0,12-E428)</f>
        <v>0</v>
      </c>
      <c r="G428" s="16">
        <f>IF(NOT(Paths!$C$45=1),0,IF(Paths!$P$45="Complete",E428/12*(Paths!$J$45*(1+'Operating costs'!$B$51)^MAX(0,C428-1)+Paths!$K$45*(1+'Operating costs'!$B$53)^MAX(0,C428-1)),"n.a."))</f>
        <v>0</v>
      </c>
      <c r="H428" s="16">
        <f>IF(NOT(Paths!$C$45=1),0,IF(Paths!$P$45="Complete",F428/12*(Paths!$L$45*(1+IF(Paths!$D$45="EV",'Operating costs'!$B$52,'Operating costs'!$B$51))^MAX(0,C428-1)+Paths!$M$45*(1+'Operating costs'!$B$53)^MAX(0,C428-1)),"n.a."))</f>
        <v>0</v>
      </c>
      <c r="I428" s="16">
        <f>IF(NOT(Paths!$C$45=1),0,IF(Paths!$P$45="Complete",IF(IF(Paths!$E$45=0,C428=0,AND(C428&gt;0,Paths!$E$45&gt;(C428-1)*12,Paths!$E$45&lt;=C428*12)),Paths!$G$45,0),"n.a."))</f>
        <v>0</v>
      </c>
      <c r="J428" s="16">
        <f>IF(NOT(Paths!$C$45=1),0,IF(Paths!$P$45="Complete",IF(IF(Paths!$E$45=0,C428=0,AND(C428&gt;0,Paths!$E$45&gt;(C428-1)*12,Paths!$E$45&lt;=C428*12)),Paths!$H$45,0),"n.a."))</f>
        <v>0</v>
      </c>
      <c r="K428" s="16">
        <f>IF(NOT(Paths!$C$45=1),0,IF(Paths!$P$45="Complete",IF(IF(Paths!$O$45=0,C428=0,AND(C428&gt;0,Paths!$O$45&gt;(C428-1)*12,Paths!$O$45&lt;=C428*12)),Paths!$N$45,0),"n.a."))</f>
        <v>0</v>
      </c>
      <c r="L428" s="16">
        <f>IF(NOT(Paths!$C$45=1),0,IF(Paths!$P$45="Complete",IF(C428=10,Paths!$I$45,0),"n.a."))</f>
        <v>0</v>
      </c>
      <c r="M428" s="16">
        <f>IF(NOT(Paths!$C$45=1),0,IF(Paths!$P$45="Complete",IF(AND(Paths!$D$45="EV",Paths!$E$45&lt;120,Paths!$E$45+'Operating costs'!$B$65&gt;Paths!$E$45,Paths!$E$45+'Operating costs'!$B$65&lt;=120,IF(Paths!$E$45+'Operating costs'!$B$65=0,C428=0,AND(C428&gt;0,Paths!$E$45+'Operating costs'!$B$65&gt;(C428-1)*12,Paths!$E$45+'Operating costs'!$B$65&lt;=C428*12))),'Operating costs'!$B$64,0)+IF(AND('Operating costs'!$B$67&gt;0,'Operating costs'!$B$67&lt;=120,OR(Paths!$D$45="ICE",'Operating costs'!$B$67&lt;=Paths!$E$45),IF('Operating costs'!$B$67=0,C428=0,AND(C428&gt;0,'Operating costs'!$B$67&gt;(C428-1)*12,'Operating costs'!$B$67&lt;=C428*12))),'Operating costs'!$B$66,0),"n.a."))</f>
        <v>0</v>
      </c>
      <c r="N428" s="16">
        <f>IF(NOT(Paths!$C$45=1),0,IF(Paths!$P$45="Complete",SUM(G428:I428)-J428-K428-L428+M428+IF(C428=0,Paths!$F$45,0)+IF(IF(Paths!$E$45=0,C428=0,AND(C428&gt;0,Paths!$E$45&gt;(C428-1)*12,Paths!$E$45&lt;=C428*12)),VLOOKUP(A428,'Fleet register'!$A$7:$S$106,16,FALSE),0),"n.a."))</f>
        <v>0</v>
      </c>
      <c r="O428" s="16">
        <f>IF(NOT(Paths!$C$45=1),0,IF(Paths!$P$45="Complete",N428-IF(C428=0,Paths!$F$45,0),"n.a."))</f>
        <v>0</v>
      </c>
      <c r="P428" s="16">
        <f>IF(NOT(Paths!$C$45=1),0,IF(Paths!$P$45="Complete",O428+L428,"n.a."))</f>
        <v>0</v>
      </c>
      <c r="Q428" s="16">
        <f>IF(NOT(Paths!$C$45=1),0,IF(Paths!$P$45="Complete",N428*(1+'Operating costs'!$B$54)^-C428,"n.a."))</f>
        <v>0</v>
      </c>
      <c r="R428" s="16">
        <f>IF(NOT(Paths!$C$45=1),0,IF(Paths!$P$45="Complete",IF(AND(C428=0,Paths!$E$45=0),I428-J428-K428+VLOOKUP(A428,'Fleet register'!$A$7:$S$106,15,FALSE)+VLOOKUP(A428,'Fleet register'!$A$7:$S$106,16,FALSE),0),"n.a."))</f>
        <v>0</v>
      </c>
      <c r="S428" s="1">
        <f>IF(NOT(Paths!$C$45=1),0,IF(Paths!$P$45="Complete",IF(C428=0,0,Paths!$S$45*Paths!$R$45),"n.a."))</f>
        <v>0</v>
      </c>
      <c r="T428" s="1">
        <f>IF(NOT(Paths!$C$45=1),0,IF(Paths!$P$45="Complete",IF(C428=0,0,VLOOKUP(A428,'Fleet register'!$A$7:$S$106,9,FALSE)*Paths!$R$45),"n.a."))</f>
        <v>0</v>
      </c>
    </row>
    <row r="429" spans="1:20" ht="24" customHeight="1">
      <c r="A429" s="1" t="str">
        <f>Paths!$A$45</f>
        <v>T010</v>
      </c>
      <c r="B429" s="1">
        <f>Paths!$B$45</f>
        <v>2</v>
      </c>
      <c r="C429" s="1">
        <v>4</v>
      </c>
      <c r="D429" s="1">
        <v>45</v>
      </c>
      <c r="E429" s="1">
        <f>IF(OR(Paths!$C$45=0,C429=0),0,MAX(0,MIN(C429*12,Paths!$E$45)-(C429-1)*12))</f>
        <v>0</v>
      </c>
      <c r="F429" s="1">
        <f>IF(OR(Paths!$C$45=0,C429=0),0,12-E429)</f>
        <v>0</v>
      </c>
      <c r="G429" s="16">
        <f>IF(NOT(Paths!$C$45=1),0,IF(Paths!$P$45="Complete",E429/12*(Paths!$J$45*(1+'Operating costs'!$B$51)^MAX(0,C429-1)+Paths!$K$45*(1+'Operating costs'!$B$53)^MAX(0,C429-1)),"n.a."))</f>
        <v>0</v>
      </c>
      <c r="H429" s="16">
        <f>IF(NOT(Paths!$C$45=1),0,IF(Paths!$P$45="Complete",F429/12*(Paths!$L$45*(1+IF(Paths!$D$45="EV",'Operating costs'!$B$52,'Operating costs'!$B$51))^MAX(0,C429-1)+Paths!$M$45*(1+'Operating costs'!$B$53)^MAX(0,C429-1)),"n.a."))</f>
        <v>0</v>
      </c>
      <c r="I429" s="16">
        <f>IF(NOT(Paths!$C$45=1),0,IF(Paths!$P$45="Complete",IF(IF(Paths!$E$45=0,C429=0,AND(C429&gt;0,Paths!$E$45&gt;(C429-1)*12,Paths!$E$45&lt;=C429*12)),Paths!$G$45,0),"n.a."))</f>
        <v>0</v>
      </c>
      <c r="J429" s="16">
        <f>IF(NOT(Paths!$C$45=1),0,IF(Paths!$P$45="Complete",IF(IF(Paths!$E$45=0,C429=0,AND(C429&gt;0,Paths!$E$45&gt;(C429-1)*12,Paths!$E$45&lt;=C429*12)),Paths!$H$45,0),"n.a."))</f>
        <v>0</v>
      </c>
      <c r="K429" s="16">
        <f>IF(NOT(Paths!$C$45=1),0,IF(Paths!$P$45="Complete",IF(IF(Paths!$O$45=0,C429=0,AND(C429&gt;0,Paths!$O$45&gt;(C429-1)*12,Paths!$O$45&lt;=C429*12)),Paths!$N$45,0),"n.a."))</f>
        <v>0</v>
      </c>
      <c r="L429" s="16">
        <f>IF(NOT(Paths!$C$45=1),0,IF(Paths!$P$45="Complete",IF(C429=10,Paths!$I$45,0),"n.a."))</f>
        <v>0</v>
      </c>
      <c r="M429" s="16">
        <f>IF(NOT(Paths!$C$45=1),0,IF(Paths!$P$45="Complete",IF(AND(Paths!$D$45="EV",Paths!$E$45&lt;120,Paths!$E$45+'Operating costs'!$B$65&gt;Paths!$E$45,Paths!$E$45+'Operating costs'!$B$65&lt;=120,IF(Paths!$E$45+'Operating costs'!$B$65=0,C429=0,AND(C429&gt;0,Paths!$E$45+'Operating costs'!$B$65&gt;(C429-1)*12,Paths!$E$45+'Operating costs'!$B$65&lt;=C429*12))),'Operating costs'!$B$64,0)+IF(AND('Operating costs'!$B$67&gt;0,'Operating costs'!$B$67&lt;=120,OR(Paths!$D$45="ICE",'Operating costs'!$B$67&lt;=Paths!$E$45),IF('Operating costs'!$B$67=0,C429=0,AND(C429&gt;0,'Operating costs'!$B$67&gt;(C429-1)*12,'Operating costs'!$B$67&lt;=C429*12))),'Operating costs'!$B$66,0),"n.a."))</f>
        <v>0</v>
      </c>
      <c r="N429" s="16">
        <f>IF(NOT(Paths!$C$45=1),0,IF(Paths!$P$45="Complete",SUM(G429:I429)-J429-K429-L429+M429+IF(C429=0,Paths!$F$45,0)+IF(IF(Paths!$E$45=0,C429=0,AND(C429&gt;0,Paths!$E$45&gt;(C429-1)*12,Paths!$E$45&lt;=C429*12)),VLOOKUP(A429,'Fleet register'!$A$7:$S$106,16,FALSE),0),"n.a."))</f>
        <v>0</v>
      </c>
      <c r="O429" s="16">
        <f>IF(NOT(Paths!$C$45=1),0,IF(Paths!$P$45="Complete",N429-IF(C429=0,Paths!$F$45,0),"n.a."))</f>
        <v>0</v>
      </c>
      <c r="P429" s="16">
        <f>IF(NOT(Paths!$C$45=1),0,IF(Paths!$P$45="Complete",O429+L429,"n.a."))</f>
        <v>0</v>
      </c>
      <c r="Q429" s="16">
        <f>IF(NOT(Paths!$C$45=1),0,IF(Paths!$P$45="Complete",N429*(1+'Operating costs'!$B$54)^-C429,"n.a."))</f>
        <v>0</v>
      </c>
      <c r="R429" s="16">
        <f>IF(NOT(Paths!$C$45=1),0,IF(Paths!$P$45="Complete",IF(AND(C429=0,Paths!$E$45=0),I429-J429-K429+VLOOKUP(A429,'Fleet register'!$A$7:$S$106,15,FALSE)+VLOOKUP(A429,'Fleet register'!$A$7:$S$106,16,FALSE),0),"n.a."))</f>
        <v>0</v>
      </c>
      <c r="S429" s="1">
        <f>IF(NOT(Paths!$C$45=1),0,IF(Paths!$P$45="Complete",IF(C429=0,0,Paths!$S$45*Paths!$R$45),"n.a."))</f>
        <v>0</v>
      </c>
      <c r="T429" s="1">
        <f>IF(NOT(Paths!$C$45=1),0,IF(Paths!$P$45="Complete",IF(C429=0,0,VLOOKUP(A429,'Fleet register'!$A$7:$S$106,9,FALSE)*Paths!$R$45),"n.a."))</f>
        <v>0</v>
      </c>
    </row>
    <row r="430" spans="1:20" ht="24" customHeight="1">
      <c r="A430" s="1" t="str">
        <f>Paths!$A$45</f>
        <v>T010</v>
      </c>
      <c r="B430" s="1">
        <f>Paths!$B$45</f>
        <v>2</v>
      </c>
      <c r="C430" s="1">
        <v>5</v>
      </c>
      <c r="D430" s="1">
        <v>45</v>
      </c>
      <c r="E430" s="1">
        <f>IF(OR(Paths!$C$45=0,C430=0),0,MAX(0,MIN(C430*12,Paths!$E$45)-(C430-1)*12))</f>
        <v>0</v>
      </c>
      <c r="F430" s="1">
        <f>IF(OR(Paths!$C$45=0,C430=0),0,12-E430)</f>
        <v>0</v>
      </c>
      <c r="G430" s="16">
        <f>IF(NOT(Paths!$C$45=1),0,IF(Paths!$P$45="Complete",E430/12*(Paths!$J$45*(1+'Operating costs'!$B$51)^MAX(0,C430-1)+Paths!$K$45*(1+'Operating costs'!$B$53)^MAX(0,C430-1)),"n.a."))</f>
        <v>0</v>
      </c>
      <c r="H430" s="16">
        <f>IF(NOT(Paths!$C$45=1),0,IF(Paths!$P$45="Complete",F430/12*(Paths!$L$45*(1+IF(Paths!$D$45="EV",'Operating costs'!$B$52,'Operating costs'!$B$51))^MAX(0,C430-1)+Paths!$M$45*(1+'Operating costs'!$B$53)^MAX(0,C430-1)),"n.a."))</f>
        <v>0</v>
      </c>
      <c r="I430" s="16">
        <f>IF(NOT(Paths!$C$45=1),0,IF(Paths!$P$45="Complete",IF(IF(Paths!$E$45=0,C430=0,AND(C430&gt;0,Paths!$E$45&gt;(C430-1)*12,Paths!$E$45&lt;=C430*12)),Paths!$G$45,0),"n.a."))</f>
        <v>0</v>
      </c>
      <c r="J430" s="16">
        <f>IF(NOT(Paths!$C$45=1),0,IF(Paths!$P$45="Complete",IF(IF(Paths!$E$45=0,C430=0,AND(C430&gt;0,Paths!$E$45&gt;(C430-1)*12,Paths!$E$45&lt;=C430*12)),Paths!$H$45,0),"n.a."))</f>
        <v>0</v>
      </c>
      <c r="K430" s="16">
        <f>IF(NOT(Paths!$C$45=1),0,IF(Paths!$P$45="Complete",IF(IF(Paths!$O$45=0,C430=0,AND(C430&gt;0,Paths!$O$45&gt;(C430-1)*12,Paths!$O$45&lt;=C430*12)),Paths!$N$45,0),"n.a."))</f>
        <v>0</v>
      </c>
      <c r="L430" s="16">
        <f>IF(NOT(Paths!$C$45=1),0,IF(Paths!$P$45="Complete",IF(C430=10,Paths!$I$45,0),"n.a."))</f>
        <v>0</v>
      </c>
      <c r="M430" s="16">
        <f>IF(NOT(Paths!$C$45=1),0,IF(Paths!$P$45="Complete",IF(AND(Paths!$D$45="EV",Paths!$E$45&lt;120,Paths!$E$45+'Operating costs'!$B$65&gt;Paths!$E$45,Paths!$E$45+'Operating costs'!$B$65&lt;=120,IF(Paths!$E$45+'Operating costs'!$B$65=0,C430=0,AND(C430&gt;0,Paths!$E$45+'Operating costs'!$B$65&gt;(C430-1)*12,Paths!$E$45+'Operating costs'!$B$65&lt;=C430*12))),'Operating costs'!$B$64,0)+IF(AND('Operating costs'!$B$67&gt;0,'Operating costs'!$B$67&lt;=120,OR(Paths!$D$45="ICE",'Operating costs'!$B$67&lt;=Paths!$E$45),IF('Operating costs'!$B$67=0,C430=0,AND(C430&gt;0,'Operating costs'!$B$67&gt;(C430-1)*12,'Operating costs'!$B$67&lt;=C430*12))),'Operating costs'!$B$66,0),"n.a."))</f>
        <v>0</v>
      </c>
      <c r="N430" s="16">
        <f>IF(NOT(Paths!$C$45=1),0,IF(Paths!$P$45="Complete",SUM(G430:I430)-J430-K430-L430+M430+IF(C430=0,Paths!$F$45,0)+IF(IF(Paths!$E$45=0,C430=0,AND(C430&gt;0,Paths!$E$45&gt;(C430-1)*12,Paths!$E$45&lt;=C430*12)),VLOOKUP(A430,'Fleet register'!$A$7:$S$106,16,FALSE),0),"n.a."))</f>
        <v>0</v>
      </c>
      <c r="O430" s="16">
        <f>IF(NOT(Paths!$C$45=1),0,IF(Paths!$P$45="Complete",N430-IF(C430=0,Paths!$F$45,0),"n.a."))</f>
        <v>0</v>
      </c>
      <c r="P430" s="16">
        <f>IF(NOT(Paths!$C$45=1),0,IF(Paths!$P$45="Complete",O430+L430,"n.a."))</f>
        <v>0</v>
      </c>
      <c r="Q430" s="16">
        <f>IF(NOT(Paths!$C$45=1),0,IF(Paths!$P$45="Complete",N430*(1+'Operating costs'!$B$54)^-C430,"n.a."))</f>
        <v>0</v>
      </c>
      <c r="R430" s="16">
        <f>IF(NOT(Paths!$C$45=1),0,IF(Paths!$P$45="Complete",IF(AND(C430=0,Paths!$E$45=0),I430-J430-K430+VLOOKUP(A430,'Fleet register'!$A$7:$S$106,15,FALSE)+VLOOKUP(A430,'Fleet register'!$A$7:$S$106,16,FALSE),0),"n.a."))</f>
        <v>0</v>
      </c>
      <c r="S430" s="1">
        <f>IF(NOT(Paths!$C$45=1),0,IF(Paths!$P$45="Complete",IF(C430=0,0,Paths!$S$45*Paths!$R$45),"n.a."))</f>
        <v>0</v>
      </c>
      <c r="T430" s="1">
        <f>IF(NOT(Paths!$C$45=1),0,IF(Paths!$P$45="Complete",IF(C430=0,0,VLOOKUP(A430,'Fleet register'!$A$7:$S$106,9,FALSE)*Paths!$R$45),"n.a."))</f>
        <v>0</v>
      </c>
    </row>
    <row r="431" spans="1:20" ht="24" customHeight="1">
      <c r="A431" s="1" t="str">
        <f>Paths!$A$45</f>
        <v>T010</v>
      </c>
      <c r="B431" s="1">
        <f>Paths!$B$45</f>
        <v>2</v>
      </c>
      <c r="C431" s="1">
        <v>6</v>
      </c>
      <c r="D431" s="1">
        <v>45</v>
      </c>
      <c r="E431" s="1">
        <f>IF(OR(Paths!$C$45=0,C431=0),0,MAX(0,MIN(C431*12,Paths!$E$45)-(C431-1)*12))</f>
        <v>0</v>
      </c>
      <c r="F431" s="1">
        <f>IF(OR(Paths!$C$45=0,C431=0),0,12-E431)</f>
        <v>0</v>
      </c>
      <c r="G431" s="16">
        <f>IF(NOT(Paths!$C$45=1),0,IF(Paths!$P$45="Complete",E431/12*(Paths!$J$45*(1+'Operating costs'!$B$51)^MAX(0,C431-1)+Paths!$K$45*(1+'Operating costs'!$B$53)^MAX(0,C431-1)),"n.a."))</f>
        <v>0</v>
      </c>
      <c r="H431" s="16">
        <f>IF(NOT(Paths!$C$45=1),0,IF(Paths!$P$45="Complete",F431/12*(Paths!$L$45*(1+IF(Paths!$D$45="EV",'Operating costs'!$B$52,'Operating costs'!$B$51))^MAX(0,C431-1)+Paths!$M$45*(1+'Operating costs'!$B$53)^MAX(0,C431-1)),"n.a."))</f>
        <v>0</v>
      </c>
      <c r="I431" s="16">
        <f>IF(NOT(Paths!$C$45=1),0,IF(Paths!$P$45="Complete",IF(IF(Paths!$E$45=0,C431=0,AND(C431&gt;0,Paths!$E$45&gt;(C431-1)*12,Paths!$E$45&lt;=C431*12)),Paths!$G$45,0),"n.a."))</f>
        <v>0</v>
      </c>
      <c r="J431" s="16">
        <f>IF(NOT(Paths!$C$45=1),0,IF(Paths!$P$45="Complete",IF(IF(Paths!$E$45=0,C431=0,AND(C431&gt;0,Paths!$E$45&gt;(C431-1)*12,Paths!$E$45&lt;=C431*12)),Paths!$H$45,0),"n.a."))</f>
        <v>0</v>
      </c>
      <c r="K431" s="16">
        <f>IF(NOT(Paths!$C$45=1),0,IF(Paths!$P$45="Complete",IF(IF(Paths!$O$45=0,C431=0,AND(C431&gt;0,Paths!$O$45&gt;(C431-1)*12,Paths!$O$45&lt;=C431*12)),Paths!$N$45,0),"n.a."))</f>
        <v>0</v>
      </c>
      <c r="L431" s="16">
        <f>IF(NOT(Paths!$C$45=1),0,IF(Paths!$P$45="Complete",IF(C431=10,Paths!$I$45,0),"n.a."))</f>
        <v>0</v>
      </c>
      <c r="M431" s="16">
        <f>IF(NOT(Paths!$C$45=1),0,IF(Paths!$P$45="Complete",IF(AND(Paths!$D$45="EV",Paths!$E$45&lt;120,Paths!$E$45+'Operating costs'!$B$65&gt;Paths!$E$45,Paths!$E$45+'Operating costs'!$B$65&lt;=120,IF(Paths!$E$45+'Operating costs'!$B$65=0,C431=0,AND(C431&gt;0,Paths!$E$45+'Operating costs'!$B$65&gt;(C431-1)*12,Paths!$E$45+'Operating costs'!$B$65&lt;=C431*12))),'Operating costs'!$B$64,0)+IF(AND('Operating costs'!$B$67&gt;0,'Operating costs'!$B$67&lt;=120,OR(Paths!$D$45="ICE",'Operating costs'!$B$67&lt;=Paths!$E$45),IF('Operating costs'!$B$67=0,C431=0,AND(C431&gt;0,'Operating costs'!$B$67&gt;(C431-1)*12,'Operating costs'!$B$67&lt;=C431*12))),'Operating costs'!$B$66,0),"n.a."))</f>
        <v>0</v>
      </c>
      <c r="N431" s="16">
        <f>IF(NOT(Paths!$C$45=1),0,IF(Paths!$P$45="Complete",SUM(G431:I431)-J431-K431-L431+M431+IF(C431=0,Paths!$F$45,0)+IF(IF(Paths!$E$45=0,C431=0,AND(C431&gt;0,Paths!$E$45&gt;(C431-1)*12,Paths!$E$45&lt;=C431*12)),VLOOKUP(A431,'Fleet register'!$A$7:$S$106,16,FALSE),0),"n.a."))</f>
        <v>0</v>
      </c>
      <c r="O431" s="16">
        <f>IF(NOT(Paths!$C$45=1),0,IF(Paths!$P$45="Complete",N431-IF(C431=0,Paths!$F$45,0),"n.a."))</f>
        <v>0</v>
      </c>
      <c r="P431" s="16">
        <f>IF(NOT(Paths!$C$45=1),0,IF(Paths!$P$45="Complete",O431+L431,"n.a."))</f>
        <v>0</v>
      </c>
      <c r="Q431" s="16">
        <f>IF(NOT(Paths!$C$45=1),0,IF(Paths!$P$45="Complete",N431*(1+'Operating costs'!$B$54)^-C431,"n.a."))</f>
        <v>0</v>
      </c>
      <c r="R431" s="16">
        <f>IF(NOT(Paths!$C$45=1),0,IF(Paths!$P$45="Complete",IF(AND(C431=0,Paths!$E$45=0),I431-J431-K431+VLOOKUP(A431,'Fleet register'!$A$7:$S$106,15,FALSE)+VLOOKUP(A431,'Fleet register'!$A$7:$S$106,16,FALSE),0),"n.a."))</f>
        <v>0</v>
      </c>
      <c r="S431" s="1">
        <f>IF(NOT(Paths!$C$45=1),0,IF(Paths!$P$45="Complete",IF(C431=0,0,Paths!$S$45*Paths!$R$45),"n.a."))</f>
        <v>0</v>
      </c>
      <c r="T431" s="1">
        <f>IF(NOT(Paths!$C$45=1),0,IF(Paths!$P$45="Complete",IF(C431=0,0,VLOOKUP(A431,'Fleet register'!$A$7:$S$106,9,FALSE)*Paths!$R$45),"n.a."))</f>
        <v>0</v>
      </c>
    </row>
    <row r="432" spans="1:20" ht="24" customHeight="1">
      <c r="A432" s="1" t="str">
        <f>Paths!$A$45</f>
        <v>T010</v>
      </c>
      <c r="B432" s="1">
        <f>Paths!$B$45</f>
        <v>2</v>
      </c>
      <c r="C432" s="1">
        <v>7</v>
      </c>
      <c r="D432" s="1">
        <v>45</v>
      </c>
      <c r="E432" s="1">
        <f>IF(OR(Paths!$C$45=0,C432=0),0,MAX(0,MIN(C432*12,Paths!$E$45)-(C432-1)*12))</f>
        <v>0</v>
      </c>
      <c r="F432" s="1">
        <f>IF(OR(Paths!$C$45=0,C432=0),0,12-E432)</f>
        <v>0</v>
      </c>
      <c r="G432" s="16">
        <f>IF(NOT(Paths!$C$45=1),0,IF(Paths!$P$45="Complete",E432/12*(Paths!$J$45*(1+'Operating costs'!$B$51)^MAX(0,C432-1)+Paths!$K$45*(1+'Operating costs'!$B$53)^MAX(0,C432-1)),"n.a."))</f>
        <v>0</v>
      </c>
      <c r="H432" s="16">
        <f>IF(NOT(Paths!$C$45=1),0,IF(Paths!$P$45="Complete",F432/12*(Paths!$L$45*(1+IF(Paths!$D$45="EV",'Operating costs'!$B$52,'Operating costs'!$B$51))^MAX(0,C432-1)+Paths!$M$45*(1+'Operating costs'!$B$53)^MAX(0,C432-1)),"n.a."))</f>
        <v>0</v>
      </c>
      <c r="I432" s="16">
        <f>IF(NOT(Paths!$C$45=1),0,IF(Paths!$P$45="Complete",IF(IF(Paths!$E$45=0,C432=0,AND(C432&gt;0,Paths!$E$45&gt;(C432-1)*12,Paths!$E$45&lt;=C432*12)),Paths!$G$45,0),"n.a."))</f>
        <v>0</v>
      </c>
      <c r="J432" s="16">
        <f>IF(NOT(Paths!$C$45=1),0,IF(Paths!$P$45="Complete",IF(IF(Paths!$E$45=0,C432=0,AND(C432&gt;0,Paths!$E$45&gt;(C432-1)*12,Paths!$E$45&lt;=C432*12)),Paths!$H$45,0),"n.a."))</f>
        <v>0</v>
      </c>
      <c r="K432" s="16">
        <f>IF(NOT(Paths!$C$45=1),0,IF(Paths!$P$45="Complete",IF(IF(Paths!$O$45=0,C432=0,AND(C432&gt;0,Paths!$O$45&gt;(C432-1)*12,Paths!$O$45&lt;=C432*12)),Paths!$N$45,0),"n.a."))</f>
        <v>0</v>
      </c>
      <c r="L432" s="16">
        <f>IF(NOT(Paths!$C$45=1),0,IF(Paths!$P$45="Complete",IF(C432=10,Paths!$I$45,0),"n.a."))</f>
        <v>0</v>
      </c>
      <c r="M432" s="16">
        <f>IF(NOT(Paths!$C$45=1),0,IF(Paths!$P$45="Complete",IF(AND(Paths!$D$45="EV",Paths!$E$45&lt;120,Paths!$E$45+'Operating costs'!$B$65&gt;Paths!$E$45,Paths!$E$45+'Operating costs'!$B$65&lt;=120,IF(Paths!$E$45+'Operating costs'!$B$65=0,C432=0,AND(C432&gt;0,Paths!$E$45+'Operating costs'!$B$65&gt;(C432-1)*12,Paths!$E$45+'Operating costs'!$B$65&lt;=C432*12))),'Operating costs'!$B$64,0)+IF(AND('Operating costs'!$B$67&gt;0,'Operating costs'!$B$67&lt;=120,OR(Paths!$D$45="ICE",'Operating costs'!$B$67&lt;=Paths!$E$45),IF('Operating costs'!$B$67=0,C432=0,AND(C432&gt;0,'Operating costs'!$B$67&gt;(C432-1)*12,'Operating costs'!$B$67&lt;=C432*12))),'Operating costs'!$B$66,0),"n.a."))</f>
        <v>0</v>
      </c>
      <c r="N432" s="16">
        <f>IF(NOT(Paths!$C$45=1),0,IF(Paths!$P$45="Complete",SUM(G432:I432)-J432-K432-L432+M432+IF(C432=0,Paths!$F$45,0)+IF(IF(Paths!$E$45=0,C432=0,AND(C432&gt;0,Paths!$E$45&gt;(C432-1)*12,Paths!$E$45&lt;=C432*12)),VLOOKUP(A432,'Fleet register'!$A$7:$S$106,16,FALSE),0),"n.a."))</f>
        <v>0</v>
      </c>
      <c r="O432" s="16">
        <f>IF(NOT(Paths!$C$45=1),0,IF(Paths!$P$45="Complete",N432-IF(C432=0,Paths!$F$45,0),"n.a."))</f>
        <v>0</v>
      </c>
      <c r="P432" s="16">
        <f>IF(NOT(Paths!$C$45=1),0,IF(Paths!$P$45="Complete",O432+L432,"n.a."))</f>
        <v>0</v>
      </c>
      <c r="Q432" s="16">
        <f>IF(NOT(Paths!$C$45=1),0,IF(Paths!$P$45="Complete",N432*(1+'Operating costs'!$B$54)^-C432,"n.a."))</f>
        <v>0</v>
      </c>
      <c r="R432" s="16">
        <f>IF(NOT(Paths!$C$45=1),0,IF(Paths!$P$45="Complete",IF(AND(C432=0,Paths!$E$45=0),I432-J432-K432+VLOOKUP(A432,'Fleet register'!$A$7:$S$106,15,FALSE)+VLOOKUP(A432,'Fleet register'!$A$7:$S$106,16,FALSE),0),"n.a."))</f>
        <v>0</v>
      </c>
      <c r="S432" s="1">
        <f>IF(NOT(Paths!$C$45=1),0,IF(Paths!$P$45="Complete",IF(C432=0,0,Paths!$S$45*Paths!$R$45),"n.a."))</f>
        <v>0</v>
      </c>
      <c r="T432" s="1">
        <f>IF(NOT(Paths!$C$45=1),0,IF(Paths!$P$45="Complete",IF(C432=0,0,VLOOKUP(A432,'Fleet register'!$A$7:$S$106,9,FALSE)*Paths!$R$45),"n.a."))</f>
        <v>0</v>
      </c>
    </row>
    <row r="433" spans="1:20" ht="24" customHeight="1">
      <c r="A433" s="1" t="str">
        <f>Paths!$A$45</f>
        <v>T010</v>
      </c>
      <c r="B433" s="1">
        <f>Paths!$B$45</f>
        <v>2</v>
      </c>
      <c r="C433" s="1">
        <v>8</v>
      </c>
      <c r="D433" s="1">
        <v>45</v>
      </c>
      <c r="E433" s="1">
        <f>IF(OR(Paths!$C$45=0,C433=0),0,MAX(0,MIN(C433*12,Paths!$E$45)-(C433-1)*12))</f>
        <v>0</v>
      </c>
      <c r="F433" s="1">
        <f>IF(OR(Paths!$C$45=0,C433=0),0,12-E433)</f>
        <v>0</v>
      </c>
      <c r="G433" s="16">
        <f>IF(NOT(Paths!$C$45=1),0,IF(Paths!$P$45="Complete",E433/12*(Paths!$J$45*(1+'Operating costs'!$B$51)^MAX(0,C433-1)+Paths!$K$45*(1+'Operating costs'!$B$53)^MAX(0,C433-1)),"n.a."))</f>
        <v>0</v>
      </c>
      <c r="H433" s="16">
        <f>IF(NOT(Paths!$C$45=1),0,IF(Paths!$P$45="Complete",F433/12*(Paths!$L$45*(1+IF(Paths!$D$45="EV",'Operating costs'!$B$52,'Operating costs'!$B$51))^MAX(0,C433-1)+Paths!$M$45*(1+'Operating costs'!$B$53)^MAX(0,C433-1)),"n.a."))</f>
        <v>0</v>
      </c>
      <c r="I433" s="16">
        <f>IF(NOT(Paths!$C$45=1),0,IF(Paths!$P$45="Complete",IF(IF(Paths!$E$45=0,C433=0,AND(C433&gt;0,Paths!$E$45&gt;(C433-1)*12,Paths!$E$45&lt;=C433*12)),Paths!$G$45,0),"n.a."))</f>
        <v>0</v>
      </c>
      <c r="J433" s="16">
        <f>IF(NOT(Paths!$C$45=1),0,IF(Paths!$P$45="Complete",IF(IF(Paths!$E$45=0,C433=0,AND(C433&gt;0,Paths!$E$45&gt;(C433-1)*12,Paths!$E$45&lt;=C433*12)),Paths!$H$45,0),"n.a."))</f>
        <v>0</v>
      </c>
      <c r="K433" s="16">
        <f>IF(NOT(Paths!$C$45=1),0,IF(Paths!$P$45="Complete",IF(IF(Paths!$O$45=0,C433=0,AND(C433&gt;0,Paths!$O$45&gt;(C433-1)*12,Paths!$O$45&lt;=C433*12)),Paths!$N$45,0),"n.a."))</f>
        <v>0</v>
      </c>
      <c r="L433" s="16">
        <f>IF(NOT(Paths!$C$45=1),0,IF(Paths!$P$45="Complete",IF(C433=10,Paths!$I$45,0),"n.a."))</f>
        <v>0</v>
      </c>
      <c r="M433" s="16">
        <f>IF(NOT(Paths!$C$45=1),0,IF(Paths!$P$45="Complete",IF(AND(Paths!$D$45="EV",Paths!$E$45&lt;120,Paths!$E$45+'Operating costs'!$B$65&gt;Paths!$E$45,Paths!$E$45+'Operating costs'!$B$65&lt;=120,IF(Paths!$E$45+'Operating costs'!$B$65=0,C433=0,AND(C433&gt;0,Paths!$E$45+'Operating costs'!$B$65&gt;(C433-1)*12,Paths!$E$45+'Operating costs'!$B$65&lt;=C433*12))),'Operating costs'!$B$64,0)+IF(AND('Operating costs'!$B$67&gt;0,'Operating costs'!$B$67&lt;=120,OR(Paths!$D$45="ICE",'Operating costs'!$B$67&lt;=Paths!$E$45),IF('Operating costs'!$B$67=0,C433=0,AND(C433&gt;0,'Operating costs'!$B$67&gt;(C433-1)*12,'Operating costs'!$B$67&lt;=C433*12))),'Operating costs'!$B$66,0),"n.a."))</f>
        <v>0</v>
      </c>
      <c r="N433" s="16">
        <f>IF(NOT(Paths!$C$45=1),0,IF(Paths!$P$45="Complete",SUM(G433:I433)-J433-K433-L433+M433+IF(C433=0,Paths!$F$45,0)+IF(IF(Paths!$E$45=0,C433=0,AND(C433&gt;0,Paths!$E$45&gt;(C433-1)*12,Paths!$E$45&lt;=C433*12)),VLOOKUP(A433,'Fleet register'!$A$7:$S$106,16,FALSE),0),"n.a."))</f>
        <v>0</v>
      </c>
      <c r="O433" s="16">
        <f>IF(NOT(Paths!$C$45=1),0,IF(Paths!$P$45="Complete",N433-IF(C433=0,Paths!$F$45,0),"n.a."))</f>
        <v>0</v>
      </c>
      <c r="P433" s="16">
        <f>IF(NOT(Paths!$C$45=1),0,IF(Paths!$P$45="Complete",O433+L433,"n.a."))</f>
        <v>0</v>
      </c>
      <c r="Q433" s="16">
        <f>IF(NOT(Paths!$C$45=1),0,IF(Paths!$P$45="Complete",N433*(1+'Operating costs'!$B$54)^-C433,"n.a."))</f>
        <v>0</v>
      </c>
      <c r="R433" s="16">
        <f>IF(NOT(Paths!$C$45=1),0,IF(Paths!$P$45="Complete",IF(AND(C433=0,Paths!$E$45=0),I433-J433-K433+VLOOKUP(A433,'Fleet register'!$A$7:$S$106,15,FALSE)+VLOOKUP(A433,'Fleet register'!$A$7:$S$106,16,FALSE),0),"n.a."))</f>
        <v>0</v>
      </c>
      <c r="S433" s="1">
        <f>IF(NOT(Paths!$C$45=1),0,IF(Paths!$P$45="Complete",IF(C433=0,0,Paths!$S$45*Paths!$R$45),"n.a."))</f>
        <v>0</v>
      </c>
      <c r="T433" s="1">
        <f>IF(NOT(Paths!$C$45=1),0,IF(Paths!$P$45="Complete",IF(C433=0,0,VLOOKUP(A433,'Fleet register'!$A$7:$S$106,9,FALSE)*Paths!$R$45),"n.a."))</f>
        <v>0</v>
      </c>
    </row>
    <row r="434" spans="1:20" ht="24" customHeight="1">
      <c r="A434" s="1" t="str">
        <f>Paths!$A$45</f>
        <v>T010</v>
      </c>
      <c r="B434" s="1">
        <f>Paths!$B$45</f>
        <v>2</v>
      </c>
      <c r="C434" s="1">
        <v>9</v>
      </c>
      <c r="D434" s="1">
        <v>45</v>
      </c>
      <c r="E434" s="1">
        <f>IF(OR(Paths!$C$45=0,C434=0),0,MAX(0,MIN(C434*12,Paths!$E$45)-(C434-1)*12))</f>
        <v>0</v>
      </c>
      <c r="F434" s="1">
        <f>IF(OR(Paths!$C$45=0,C434=0),0,12-E434)</f>
        <v>0</v>
      </c>
      <c r="G434" s="16">
        <f>IF(NOT(Paths!$C$45=1),0,IF(Paths!$P$45="Complete",E434/12*(Paths!$J$45*(1+'Operating costs'!$B$51)^MAX(0,C434-1)+Paths!$K$45*(1+'Operating costs'!$B$53)^MAX(0,C434-1)),"n.a."))</f>
        <v>0</v>
      </c>
      <c r="H434" s="16">
        <f>IF(NOT(Paths!$C$45=1),0,IF(Paths!$P$45="Complete",F434/12*(Paths!$L$45*(1+IF(Paths!$D$45="EV",'Operating costs'!$B$52,'Operating costs'!$B$51))^MAX(0,C434-1)+Paths!$M$45*(1+'Operating costs'!$B$53)^MAX(0,C434-1)),"n.a."))</f>
        <v>0</v>
      </c>
      <c r="I434" s="16">
        <f>IF(NOT(Paths!$C$45=1),0,IF(Paths!$P$45="Complete",IF(IF(Paths!$E$45=0,C434=0,AND(C434&gt;0,Paths!$E$45&gt;(C434-1)*12,Paths!$E$45&lt;=C434*12)),Paths!$G$45,0),"n.a."))</f>
        <v>0</v>
      </c>
      <c r="J434" s="16">
        <f>IF(NOT(Paths!$C$45=1),0,IF(Paths!$P$45="Complete",IF(IF(Paths!$E$45=0,C434=0,AND(C434&gt;0,Paths!$E$45&gt;(C434-1)*12,Paths!$E$45&lt;=C434*12)),Paths!$H$45,0),"n.a."))</f>
        <v>0</v>
      </c>
      <c r="K434" s="16">
        <f>IF(NOT(Paths!$C$45=1),0,IF(Paths!$P$45="Complete",IF(IF(Paths!$O$45=0,C434=0,AND(C434&gt;0,Paths!$O$45&gt;(C434-1)*12,Paths!$O$45&lt;=C434*12)),Paths!$N$45,0),"n.a."))</f>
        <v>0</v>
      </c>
      <c r="L434" s="16">
        <f>IF(NOT(Paths!$C$45=1),0,IF(Paths!$P$45="Complete",IF(C434=10,Paths!$I$45,0),"n.a."))</f>
        <v>0</v>
      </c>
      <c r="M434" s="16">
        <f>IF(NOT(Paths!$C$45=1),0,IF(Paths!$P$45="Complete",IF(AND(Paths!$D$45="EV",Paths!$E$45&lt;120,Paths!$E$45+'Operating costs'!$B$65&gt;Paths!$E$45,Paths!$E$45+'Operating costs'!$B$65&lt;=120,IF(Paths!$E$45+'Operating costs'!$B$65=0,C434=0,AND(C434&gt;0,Paths!$E$45+'Operating costs'!$B$65&gt;(C434-1)*12,Paths!$E$45+'Operating costs'!$B$65&lt;=C434*12))),'Operating costs'!$B$64,0)+IF(AND('Operating costs'!$B$67&gt;0,'Operating costs'!$B$67&lt;=120,OR(Paths!$D$45="ICE",'Operating costs'!$B$67&lt;=Paths!$E$45),IF('Operating costs'!$B$67=0,C434=0,AND(C434&gt;0,'Operating costs'!$B$67&gt;(C434-1)*12,'Operating costs'!$B$67&lt;=C434*12))),'Operating costs'!$B$66,0),"n.a."))</f>
        <v>0</v>
      </c>
      <c r="N434" s="16">
        <f>IF(NOT(Paths!$C$45=1),0,IF(Paths!$P$45="Complete",SUM(G434:I434)-J434-K434-L434+M434+IF(C434=0,Paths!$F$45,0)+IF(IF(Paths!$E$45=0,C434=0,AND(C434&gt;0,Paths!$E$45&gt;(C434-1)*12,Paths!$E$45&lt;=C434*12)),VLOOKUP(A434,'Fleet register'!$A$7:$S$106,16,FALSE),0),"n.a."))</f>
        <v>0</v>
      </c>
      <c r="O434" s="16">
        <f>IF(NOT(Paths!$C$45=1),0,IF(Paths!$P$45="Complete",N434-IF(C434=0,Paths!$F$45,0),"n.a."))</f>
        <v>0</v>
      </c>
      <c r="P434" s="16">
        <f>IF(NOT(Paths!$C$45=1),0,IF(Paths!$P$45="Complete",O434+L434,"n.a."))</f>
        <v>0</v>
      </c>
      <c r="Q434" s="16">
        <f>IF(NOT(Paths!$C$45=1),0,IF(Paths!$P$45="Complete",N434*(1+'Operating costs'!$B$54)^-C434,"n.a."))</f>
        <v>0</v>
      </c>
      <c r="R434" s="16">
        <f>IF(NOT(Paths!$C$45=1),0,IF(Paths!$P$45="Complete",IF(AND(C434=0,Paths!$E$45=0),I434-J434-K434+VLOOKUP(A434,'Fleet register'!$A$7:$S$106,15,FALSE)+VLOOKUP(A434,'Fleet register'!$A$7:$S$106,16,FALSE),0),"n.a."))</f>
        <v>0</v>
      </c>
      <c r="S434" s="1">
        <f>IF(NOT(Paths!$C$45=1),0,IF(Paths!$P$45="Complete",IF(C434=0,0,Paths!$S$45*Paths!$R$45),"n.a."))</f>
        <v>0</v>
      </c>
      <c r="T434" s="1">
        <f>IF(NOT(Paths!$C$45=1),0,IF(Paths!$P$45="Complete",IF(C434=0,0,VLOOKUP(A434,'Fleet register'!$A$7:$S$106,9,FALSE)*Paths!$R$45),"n.a."))</f>
        <v>0</v>
      </c>
    </row>
    <row r="435" spans="1:20" ht="24" customHeight="1">
      <c r="A435" s="1" t="str">
        <f>Paths!$A$45</f>
        <v>T010</v>
      </c>
      <c r="B435" s="1">
        <f>Paths!$B$45</f>
        <v>2</v>
      </c>
      <c r="C435" s="1">
        <v>10</v>
      </c>
      <c r="D435" s="1">
        <v>45</v>
      </c>
      <c r="E435" s="1">
        <f>IF(OR(Paths!$C$45=0,C435=0),0,MAX(0,MIN(C435*12,Paths!$E$45)-(C435-1)*12))</f>
        <v>0</v>
      </c>
      <c r="F435" s="1">
        <f>IF(OR(Paths!$C$45=0,C435=0),0,12-E435)</f>
        <v>0</v>
      </c>
      <c r="G435" s="16">
        <f>IF(NOT(Paths!$C$45=1),0,IF(Paths!$P$45="Complete",E435/12*(Paths!$J$45*(1+'Operating costs'!$B$51)^MAX(0,C435-1)+Paths!$K$45*(1+'Operating costs'!$B$53)^MAX(0,C435-1)),"n.a."))</f>
        <v>0</v>
      </c>
      <c r="H435" s="16">
        <f>IF(NOT(Paths!$C$45=1),0,IF(Paths!$P$45="Complete",F435/12*(Paths!$L$45*(1+IF(Paths!$D$45="EV",'Operating costs'!$B$52,'Operating costs'!$B$51))^MAX(0,C435-1)+Paths!$M$45*(1+'Operating costs'!$B$53)^MAX(0,C435-1)),"n.a."))</f>
        <v>0</v>
      </c>
      <c r="I435" s="16">
        <f>IF(NOT(Paths!$C$45=1),0,IF(Paths!$P$45="Complete",IF(IF(Paths!$E$45=0,C435=0,AND(C435&gt;0,Paths!$E$45&gt;(C435-1)*12,Paths!$E$45&lt;=C435*12)),Paths!$G$45,0),"n.a."))</f>
        <v>0</v>
      </c>
      <c r="J435" s="16">
        <f>IF(NOT(Paths!$C$45=1),0,IF(Paths!$P$45="Complete",IF(IF(Paths!$E$45=0,C435=0,AND(C435&gt;0,Paths!$E$45&gt;(C435-1)*12,Paths!$E$45&lt;=C435*12)),Paths!$H$45,0),"n.a."))</f>
        <v>0</v>
      </c>
      <c r="K435" s="16">
        <f>IF(NOT(Paths!$C$45=1),0,IF(Paths!$P$45="Complete",IF(IF(Paths!$O$45=0,C435=0,AND(C435&gt;0,Paths!$O$45&gt;(C435-1)*12,Paths!$O$45&lt;=C435*12)),Paths!$N$45,0),"n.a."))</f>
        <v>0</v>
      </c>
      <c r="L435" s="16">
        <f>IF(NOT(Paths!$C$45=1),0,IF(Paths!$P$45="Complete",IF(C435=10,Paths!$I$45,0),"n.a."))</f>
        <v>0</v>
      </c>
      <c r="M435" s="16">
        <f>IF(NOT(Paths!$C$45=1),0,IF(Paths!$P$45="Complete",IF(AND(Paths!$D$45="EV",Paths!$E$45&lt;120,Paths!$E$45+'Operating costs'!$B$65&gt;Paths!$E$45,Paths!$E$45+'Operating costs'!$B$65&lt;=120,IF(Paths!$E$45+'Operating costs'!$B$65=0,C435=0,AND(C435&gt;0,Paths!$E$45+'Operating costs'!$B$65&gt;(C435-1)*12,Paths!$E$45+'Operating costs'!$B$65&lt;=C435*12))),'Operating costs'!$B$64,0)+IF(AND('Operating costs'!$B$67&gt;0,'Operating costs'!$B$67&lt;=120,OR(Paths!$D$45="ICE",'Operating costs'!$B$67&lt;=Paths!$E$45),IF('Operating costs'!$B$67=0,C435=0,AND(C435&gt;0,'Operating costs'!$B$67&gt;(C435-1)*12,'Operating costs'!$B$67&lt;=C435*12))),'Operating costs'!$B$66,0),"n.a."))</f>
        <v>0</v>
      </c>
      <c r="N435" s="16">
        <f>IF(NOT(Paths!$C$45=1),0,IF(Paths!$P$45="Complete",SUM(G435:I435)-J435-K435-L435+M435+IF(C435=0,Paths!$F$45,0)+IF(IF(Paths!$E$45=0,C435=0,AND(C435&gt;0,Paths!$E$45&gt;(C435-1)*12,Paths!$E$45&lt;=C435*12)),VLOOKUP(A435,'Fleet register'!$A$7:$S$106,16,FALSE),0),"n.a."))</f>
        <v>0</v>
      </c>
      <c r="O435" s="16">
        <f>IF(NOT(Paths!$C$45=1),0,IF(Paths!$P$45="Complete",N435-IF(C435=0,Paths!$F$45,0),"n.a."))</f>
        <v>0</v>
      </c>
      <c r="P435" s="16">
        <f>IF(NOT(Paths!$C$45=1),0,IF(Paths!$P$45="Complete",O435+L435,"n.a."))</f>
        <v>0</v>
      </c>
      <c r="Q435" s="16">
        <f>IF(NOT(Paths!$C$45=1),0,IF(Paths!$P$45="Complete",N435*(1+'Operating costs'!$B$54)^-C435,"n.a."))</f>
        <v>0</v>
      </c>
      <c r="R435" s="16">
        <f>IF(NOT(Paths!$C$45=1),0,IF(Paths!$P$45="Complete",IF(AND(C435=0,Paths!$E$45=0),I435-J435-K435+VLOOKUP(A435,'Fleet register'!$A$7:$S$106,15,FALSE)+VLOOKUP(A435,'Fleet register'!$A$7:$S$106,16,FALSE),0),"n.a."))</f>
        <v>0</v>
      </c>
      <c r="S435" s="1">
        <f>IF(NOT(Paths!$C$45=1),0,IF(Paths!$P$45="Complete",IF(C435=0,0,Paths!$S$45*Paths!$R$45),"n.a."))</f>
        <v>0</v>
      </c>
      <c r="T435" s="1">
        <f>IF(NOT(Paths!$C$45=1),0,IF(Paths!$P$45="Complete",IF(C435=0,0,VLOOKUP(A435,'Fleet register'!$A$7:$S$106,9,FALSE)*Paths!$R$45),"n.a."))</f>
        <v>0</v>
      </c>
    </row>
    <row r="436" spans="1:20" ht="24" customHeight="1">
      <c r="A436" s="1" t="str">
        <f>Paths!$A$46</f>
        <v>T010</v>
      </c>
      <c r="B436" s="1">
        <f>Paths!$B$46</f>
        <v>3</v>
      </c>
      <c r="C436" s="1">
        <v>0</v>
      </c>
      <c r="D436" s="1">
        <v>46</v>
      </c>
      <c r="E436" s="1">
        <f>IF(OR(Paths!$C$46=0,C436=0),0,MAX(0,MIN(C436*12,Paths!$E$46)-(C436-1)*12))</f>
        <v>0</v>
      </c>
      <c r="F436" s="1">
        <f>IF(OR(Paths!$C$46=0,C436=0),0,12-E436)</f>
        <v>0</v>
      </c>
      <c r="G436" s="16">
        <f>IF(NOT(Paths!$C$46=1),0,IF(Paths!$P$46="Complete",E436/12*(Paths!$J$46*(1+'Operating costs'!$B$51)^MAX(0,C436-1)+Paths!$K$46*(1+'Operating costs'!$B$53)^MAX(0,C436-1)),"n.a."))</f>
        <v>0</v>
      </c>
      <c r="H436" s="16">
        <f>IF(NOT(Paths!$C$46=1),0,IF(Paths!$P$46="Complete",F436/12*(Paths!$L$46*(1+IF(Paths!$D$46="EV",'Operating costs'!$B$52,'Operating costs'!$B$51))^MAX(0,C436-1)+Paths!$M$46*(1+'Operating costs'!$B$53)^MAX(0,C436-1)),"n.a."))</f>
        <v>0</v>
      </c>
      <c r="I436" s="16">
        <f>IF(NOT(Paths!$C$46=1),0,IF(Paths!$P$46="Complete",IF(IF(Paths!$E$46=0,C436=0,AND(C436&gt;0,Paths!$E$46&gt;(C436-1)*12,Paths!$E$46&lt;=C436*12)),Paths!$G$46,0),"n.a."))</f>
        <v>0</v>
      </c>
      <c r="J436" s="16">
        <f>IF(NOT(Paths!$C$46=1),0,IF(Paths!$P$46="Complete",IF(IF(Paths!$E$46=0,C436=0,AND(C436&gt;0,Paths!$E$46&gt;(C436-1)*12,Paths!$E$46&lt;=C436*12)),Paths!$H$46,0),"n.a."))</f>
        <v>0</v>
      </c>
      <c r="K436" s="16">
        <f>IF(NOT(Paths!$C$46=1),0,IF(Paths!$P$46="Complete",IF(IF(Paths!$O$46=0,C436=0,AND(C436&gt;0,Paths!$O$46&gt;(C436-1)*12,Paths!$O$46&lt;=C436*12)),Paths!$N$46,0),"n.a."))</f>
        <v>0</v>
      </c>
      <c r="L436" s="16">
        <f>IF(NOT(Paths!$C$46=1),0,IF(Paths!$P$46="Complete",IF(C436=10,Paths!$I$46,0),"n.a."))</f>
        <v>0</v>
      </c>
      <c r="M436" s="16">
        <f>IF(NOT(Paths!$C$46=1),0,IF(Paths!$P$46="Complete",IF(AND(Paths!$D$46="EV",Paths!$E$46&lt;120,Paths!$E$46+'Operating costs'!$B$65&gt;Paths!$E$46,Paths!$E$46+'Operating costs'!$B$65&lt;=120,IF(Paths!$E$46+'Operating costs'!$B$65=0,C436=0,AND(C436&gt;0,Paths!$E$46+'Operating costs'!$B$65&gt;(C436-1)*12,Paths!$E$46+'Operating costs'!$B$65&lt;=C436*12))),'Operating costs'!$B$64,0)+IF(AND('Operating costs'!$B$67&gt;0,'Operating costs'!$B$67&lt;=120,OR(Paths!$D$46="ICE",'Operating costs'!$B$67&lt;=Paths!$E$46),IF('Operating costs'!$B$67=0,C436=0,AND(C436&gt;0,'Operating costs'!$B$67&gt;(C436-1)*12,'Operating costs'!$B$67&lt;=C436*12))),'Operating costs'!$B$66,0),"n.a."))</f>
        <v>0</v>
      </c>
      <c r="N436" s="16">
        <f>IF(NOT(Paths!$C$46=1),0,IF(Paths!$P$46="Complete",SUM(G436:I436)-J436-K436-L436+M436+IF(C436=0,Paths!$F$46,0)+IF(IF(Paths!$E$46=0,C436=0,AND(C436&gt;0,Paths!$E$46&gt;(C436-1)*12,Paths!$E$46&lt;=C436*12)),VLOOKUP(A436,'Fleet register'!$A$7:$S$106,16,FALSE),0),"n.a."))</f>
        <v>0</v>
      </c>
      <c r="O436" s="16">
        <f>IF(NOT(Paths!$C$46=1),0,IF(Paths!$P$46="Complete",N436-IF(C436=0,Paths!$F$46,0),"n.a."))</f>
        <v>0</v>
      </c>
      <c r="P436" s="16">
        <f>IF(NOT(Paths!$C$46=1),0,IF(Paths!$P$46="Complete",O436+L436,"n.a."))</f>
        <v>0</v>
      </c>
      <c r="Q436" s="16">
        <f>IF(NOT(Paths!$C$46=1),0,IF(Paths!$P$46="Complete",N436*(1+'Operating costs'!$B$54)^-C436,"n.a."))</f>
        <v>0</v>
      </c>
      <c r="R436" s="16">
        <f>IF(NOT(Paths!$C$46=1),0,IF(Paths!$P$46="Complete",IF(AND(C436=0,Paths!$E$46=0),I436-J436-K436+VLOOKUP(A436,'Fleet register'!$A$7:$S$106,15,FALSE)+VLOOKUP(A436,'Fleet register'!$A$7:$S$106,16,FALSE),0),"n.a."))</f>
        <v>0</v>
      </c>
      <c r="S436" s="1">
        <f>IF(NOT(Paths!$C$46=1),0,IF(Paths!$P$46="Complete",IF(C436=0,0,Paths!$S$46*Paths!$R$46),"n.a."))</f>
        <v>0</v>
      </c>
      <c r="T436" s="1">
        <f>IF(NOT(Paths!$C$46=1),0,IF(Paths!$P$46="Complete",IF(C436=0,0,VLOOKUP(A436,'Fleet register'!$A$7:$S$106,9,FALSE)*Paths!$R$46),"n.a."))</f>
        <v>0</v>
      </c>
    </row>
    <row r="437" spans="1:20" ht="24" customHeight="1">
      <c r="A437" s="1" t="str">
        <f>Paths!$A$46</f>
        <v>T010</v>
      </c>
      <c r="B437" s="1">
        <f>Paths!$B$46</f>
        <v>3</v>
      </c>
      <c r="C437" s="1">
        <v>1</v>
      </c>
      <c r="D437" s="1">
        <v>46</v>
      </c>
      <c r="E437" s="1">
        <f>IF(OR(Paths!$C$46=0,C437=0),0,MAX(0,MIN(C437*12,Paths!$E$46)-(C437-1)*12))</f>
        <v>0</v>
      </c>
      <c r="F437" s="1">
        <f>IF(OR(Paths!$C$46=0,C437=0),0,12-E437)</f>
        <v>0</v>
      </c>
      <c r="G437" s="16">
        <f>IF(NOT(Paths!$C$46=1),0,IF(Paths!$P$46="Complete",E437/12*(Paths!$J$46*(1+'Operating costs'!$B$51)^MAX(0,C437-1)+Paths!$K$46*(1+'Operating costs'!$B$53)^MAX(0,C437-1)),"n.a."))</f>
        <v>0</v>
      </c>
      <c r="H437" s="16">
        <f>IF(NOT(Paths!$C$46=1),0,IF(Paths!$P$46="Complete",F437/12*(Paths!$L$46*(1+IF(Paths!$D$46="EV",'Operating costs'!$B$52,'Operating costs'!$B$51))^MAX(0,C437-1)+Paths!$M$46*(1+'Operating costs'!$B$53)^MAX(0,C437-1)),"n.a."))</f>
        <v>0</v>
      </c>
      <c r="I437" s="16">
        <f>IF(NOT(Paths!$C$46=1),0,IF(Paths!$P$46="Complete",IF(IF(Paths!$E$46=0,C437=0,AND(C437&gt;0,Paths!$E$46&gt;(C437-1)*12,Paths!$E$46&lt;=C437*12)),Paths!$G$46,0),"n.a."))</f>
        <v>0</v>
      </c>
      <c r="J437" s="16">
        <f>IF(NOT(Paths!$C$46=1),0,IF(Paths!$P$46="Complete",IF(IF(Paths!$E$46=0,C437=0,AND(C437&gt;0,Paths!$E$46&gt;(C437-1)*12,Paths!$E$46&lt;=C437*12)),Paths!$H$46,0),"n.a."))</f>
        <v>0</v>
      </c>
      <c r="K437" s="16">
        <f>IF(NOT(Paths!$C$46=1),0,IF(Paths!$P$46="Complete",IF(IF(Paths!$O$46=0,C437=0,AND(C437&gt;0,Paths!$O$46&gt;(C437-1)*12,Paths!$O$46&lt;=C437*12)),Paths!$N$46,0),"n.a."))</f>
        <v>0</v>
      </c>
      <c r="L437" s="16">
        <f>IF(NOT(Paths!$C$46=1),0,IF(Paths!$P$46="Complete",IF(C437=10,Paths!$I$46,0),"n.a."))</f>
        <v>0</v>
      </c>
      <c r="M437" s="16">
        <f>IF(NOT(Paths!$C$46=1),0,IF(Paths!$P$46="Complete",IF(AND(Paths!$D$46="EV",Paths!$E$46&lt;120,Paths!$E$46+'Operating costs'!$B$65&gt;Paths!$E$46,Paths!$E$46+'Operating costs'!$B$65&lt;=120,IF(Paths!$E$46+'Operating costs'!$B$65=0,C437=0,AND(C437&gt;0,Paths!$E$46+'Operating costs'!$B$65&gt;(C437-1)*12,Paths!$E$46+'Operating costs'!$B$65&lt;=C437*12))),'Operating costs'!$B$64,0)+IF(AND('Operating costs'!$B$67&gt;0,'Operating costs'!$B$67&lt;=120,OR(Paths!$D$46="ICE",'Operating costs'!$B$67&lt;=Paths!$E$46),IF('Operating costs'!$B$67=0,C437=0,AND(C437&gt;0,'Operating costs'!$B$67&gt;(C437-1)*12,'Operating costs'!$B$67&lt;=C437*12))),'Operating costs'!$B$66,0),"n.a."))</f>
        <v>0</v>
      </c>
      <c r="N437" s="16">
        <f>IF(NOT(Paths!$C$46=1),0,IF(Paths!$P$46="Complete",SUM(G437:I437)-J437-K437-L437+M437+IF(C437=0,Paths!$F$46,0)+IF(IF(Paths!$E$46=0,C437=0,AND(C437&gt;0,Paths!$E$46&gt;(C437-1)*12,Paths!$E$46&lt;=C437*12)),VLOOKUP(A437,'Fleet register'!$A$7:$S$106,16,FALSE),0),"n.a."))</f>
        <v>0</v>
      </c>
      <c r="O437" s="16">
        <f>IF(NOT(Paths!$C$46=1),0,IF(Paths!$P$46="Complete",N437-IF(C437=0,Paths!$F$46,0),"n.a."))</f>
        <v>0</v>
      </c>
      <c r="P437" s="16">
        <f>IF(NOT(Paths!$C$46=1),0,IF(Paths!$P$46="Complete",O437+L437,"n.a."))</f>
        <v>0</v>
      </c>
      <c r="Q437" s="16">
        <f>IF(NOT(Paths!$C$46=1),0,IF(Paths!$P$46="Complete",N437*(1+'Operating costs'!$B$54)^-C437,"n.a."))</f>
        <v>0</v>
      </c>
      <c r="R437" s="16">
        <f>IF(NOT(Paths!$C$46=1),0,IF(Paths!$P$46="Complete",IF(AND(C437=0,Paths!$E$46=0),I437-J437-K437+VLOOKUP(A437,'Fleet register'!$A$7:$S$106,15,FALSE)+VLOOKUP(A437,'Fleet register'!$A$7:$S$106,16,FALSE),0),"n.a."))</f>
        <v>0</v>
      </c>
      <c r="S437" s="1">
        <f>IF(NOT(Paths!$C$46=1),0,IF(Paths!$P$46="Complete",IF(C437=0,0,Paths!$S$46*Paths!$R$46),"n.a."))</f>
        <v>0</v>
      </c>
      <c r="T437" s="1">
        <f>IF(NOT(Paths!$C$46=1),0,IF(Paths!$P$46="Complete",IF(C437=0,0,VLOOKUP(A437,'Fleet register'!$A$7:$S$106,9,FALSE)*Paths!$R$46),"n.a."))</f>
        <v>0</v>
      </c>
    </row>
    <row r="438" spans="1:20" ht="24" customHeight="1">
      <c r="A438" s="1" t="str">
        <f>Paths!$A$46</f>
        <v>T010</v>
      </c>
      <c r="B438" s="1">
        <f>Paths!$B$46</f>
        <v>3</v>
      </c>
      <c r="C438" s="1">
        <v>2</v>
      </c>
      <c r="D438" s="1">
        <v>46</v>
      </c>
      <c r="E438" s="1">
        <f>IF(OR(Paths!$C$46=0,C438=0),0,MAX(0,MIN(C438*12,Paths!$E$46)-(C438-1)*12))</f>
        <v>0</v>
      </c>
      <c r="F438" s="1">
        <f>IF(OR(Paths!$C$46=0,C438=0),0,12-E438)</f>
        <v>0</v>
      </c>
      <c r="G438" s="16">
        <f>IF(NOT(Paths!$C$46=1),0,IF(Paths!$P$46="Complete",E438/12*(Paths!$J$46*(1+'Operating costs'!$B$51)^MAX(0,C438-1)+Paths!$K$46*(1+'Operating costs'!$B$53)^MAX(0,C438-1)),"n.a."))</f>
        <v>0</v>
      </c>
      <c r="H438" s="16">
        <f>IF(NOT(Paths!$C$46=1),0,IF(Paths!$P$46="Complete",F438/12*(Paths!$L$46*(1+IF(Paths!$D$46="EV",'Operating costs'!$B$52,'Operating costs'!$B$51))^MAX(0,C438-1)+Paths!$M$46*(1+'Operating costs'!$B$53)^MAX(0,C438-1)),"n.a."))</f>
        <v>0</v>
      </c>
      <c r="I438" s="16">
        <f>IF(NOT(Paths!$C$46=1),0,IF(Paths!$P$46="Complete",IF(IF(Paths!$E$46=0,C438=0,AND(C438&gt;0,Paths!$E$46&gt;(C438-1)*12,Paths!$E$46&lt;=C438*12)),Paths!$G$46,0),"n.a."))</f>
        <v>0</v>
      </c>
      <c r="J438" s="16">
        <f>IF(NOT(Paths!$C$46=1),0,IF(Paths!$P$46="Complete",IF(IF(Paths!$E$46=0,C438=0,AND(C438&gt;0,Paths!$E$46&gt;(C438-1)*12,Paths!$E$46&lt;=C438*12)),Paths!$H$46,0),"n.a."))</f>
        <v>0</v>
      </c>
      <c r="K438" s="16">
        <f>IF(NOT(Paths!$C$46=1),0,IF(Paths!$P$46="Complete",IF(IF(Paths!$O$46=0,C438=0,AND(C438&gt;0,Paths!$O$46&gt;(C438-1)*12,Paths!$O$46&lt;=C438*12)),Paths!$N$46,0),"n.a."))</f>
        <v>0</v>
      </c>
      <c r="L438" s="16">
        <f>IF(NOT(Paths!$C$46=1),0,IF(Paths!$P$46="Complete",IF(C438=10,Paths!$I$46,0),"n.a."))</f>
        <v>0</v>
      </c>
      <c r="M438" s="16">
        <f>IF(NOT(Paths!$C$46=1),0,IF(Paths!$P$46="Complete",IF(AND(Paths!$D$46="EV",Paths!$E$46&lt;120,Paths!$E$46+'Operating costs'!$B$65&gt;Paths!$E$46,Paths!$E$46+'Operating costs'!$B$65&lt;=120,IF(Paths!$E$46+'Operating costs'!$B$65=0,C438=0,AND(C438&gt;0,Paths!$E$46+'Operating costs'!$B$65&gt;(C438-1)*12,Paths!$E$46+'Operating costs'!$B$65&lt;=C438*12))),'Operating costs'!$B$64,0)+IF(AND('Operating costs'!$B$67&gt;0,'Operating costs'!$B$67&lt;=120,OR(Paths!$D$46="ICE",'Operating costs'!$B$67&lt;=Paths!$E$46),IF('Operating costs'!$B$67=0,C438=0,AND(C438&gt;0,'Operating costs'!$B$67&gt;(C438-1)*12,'Operating costs'!$B$67&lt;=C438*12))),'Operating costs'!$B$66,0),"n.a."))</f>
        <v>0</v>
      </c>
      <c r="N438" s="16">
        <f>IF(NOT(Paths!$C$46=1),0,IF(Paths!$P$46="Complete",SUM(G438:I438)-J438-K438-L438+M438+IF(C438=0,Paths!$F$46,0)+IF(IF(Paths!$E$46=0,C438=0,AND(C438&gt;0,Paths!$E$46&gt;(C438-1)*12,Paths!$E$46&lt;=C438*12)),VLOOKUP(A438,'Fleet register'!$A$7:$S$106,16,FALSE),0),"n.a."))</f>
        <v>0</v>
      </c>
      <c r="O438" s="16">
        <f>IF(NOT(Paths!$C$46=1),0,IF(Paths!$P$46="Complete",N438-IF(C438=0,Paths!$F$46,0),"n.a."))</f>
        <v>0</v>
      </c>
      <c r="P438" s="16">
        <f>IF(NOT(Paths!$C$46=1),0,IF(Paths!$P$46="Complete",O438+L438,"n.a."))</f>
        <v>0</v>
      </c>
      <c r="Q438" s="16">
        <f>IF(NOT(Paths!$C$46=1),0,IF(Paths!$P$46="Complete",N438*(1+'Operating costs'!$B$54)^-C438,"n.a."))</f>
        <v>0</v>
      </c>
      <c r="R438" s="16">
        <f>IF(NOT(Paths!$C$46=1),0,IF(Paths!$P$46="Complete",IF(AND(C438=0,Paths!$E$46=0),I438-J438-K438+VLOOKUP(A438,'Fleet register'!$A$7:$S$106,15,FALSE)+VLOOKUP(A438,'Fleet register'!$A$7:$S$106,16,FALSE),0),"n.a."))</f>
        <v>0</v>
      </c>
      <c r="S438" s="1">
        <f>IF(NOT(Paths!$C$46=1),0,IF(Paths!$P$46="Complete",IF(C438=0,0,Paths!$S$46*Paths!$R$46),"n.a."))</f>
        <v>0</v>
      </c>
      <c r="T438" s="1">
        <f>IF(NOT(Paths!$C$46=1),0,IF(Paths!$P$46="Complete",IF(C438=0,0,VLOOKUP(A438,'Fleet register'!$A$7:$S$106,9,FALSE)*Paths!$R$46),"n.a."))</f>
        <v>0</v>
      </c>
    </row>
    <row r="439" spans="1:20" ht="24" customHeight="1">
      <c r="A439" s="1" t="str">
        <f>Paths!$A$46</f>
        <v>T010</v>
      </c>
      <c r="B439" s="1">
        <f>Paths!$B$46</f>
        <v>3</v>
      </c>
      <c r="C439" s="1">
        <v>3</v>
      </c>
      <c r="D439" s="1">
        <v>46</v>
      </c>
      <c r="E439" s="1">
        <f>IF(OR(Paths!$C$46=0,C439=0),0,MAX(0,MIN(C439*12,Paths!$E$46)-(C439-1)*12))</f>
        <v>0</v>
      </c>
      <c r="F439" s="1">
        <f>IF(OR(Paths!$C$46=0,C439=0),0,12-E439)</f>
        <v>0</v>
      </c>
      <c r="G439" s="16">
        <f>IF(NOT(Paths!$C$46=1),0,IF(Paths!$P$46="Complete",E439/12*(Paths!$J$46*(1+'Operating costs'!$B$51)^MAX(0,C439-1)+Paths!$K$46*(1+'Operating costs'!$B$53)^MAX(0,C439-1)),"n.a."))</f>
        <v>0</v>
      </c>
      <c r="H439" s="16">
        <f>IF(NOT(Paths!$C$46=1),0,IF(Paths!$P$46="Complete",F439/12*(Paths!$L$46*(1+IF(Paths!$D$46="EV",'Operating costs'!$B$52,'Operating costs'!$B$51))^MAX(0,C439-1)+Paths!$M$46*(1+'Operating costs'!$B$53)^MAX(0,C439-1)),"n.a."))</f>
        <v>0</v>
      </c>
      <c r="I439" s="16">
        <f>IF(NOT(Paths!$C$46=1),0,IF(Paths!$P$46="Complete",IF(IF(Paths!$E$46=0,C439=0,AND(C439&gt;0,Paths!$E$46&gt;(C439-1)*12,Paths!$E$46&lt;=C439*12)),Paths!$G$46,0),"n.a."))</f>
        <v>0</v>
      </c>
      <c r="J439" s="16">
        <f>IF(NOT(Paths!$C$46=1),0,IF(Paths!$P$46="Complete",IF(IF(Paths!$E$46=0,C439=0,AND(C439&gt;0,Paths!$E$46&gt;(C439-1)*12,Paths!$E$46&lt;=C439*12)),Paths!$H$46,0),"n.a."))</f>
        <v>0</v>
      </c>
      <c r="K439" s="16">
        <f>IF(NOT(Paths!$C$46=1),0,IF(Paths!$P$46="Complete",IF(IF(Paths!$O$46=0,C439=0,AND(C439&gt;0,Paths!$O$46&gt;(C439-1)*12,Paths!$O$46&lt;=C439*12)),Paths!$N$46,0),"n.a."))</f>
        <v>0</v>
      </c>
      <c r="L439" s="16">
        <f>IF(NOT(Paths!$C$46=1),0,IF(Paths!$P$46="Complete",IF(C439=10,Paths!$I$46,0),"n.a."))</f>
        <v>0</v>
      </c>
      <c r="M439" s="16">
        <f>IF(NOT(Paths!$C$46=1),0,IF(Paths!$P$46="Complete",IF(AND(Paths!$D$46="EV",Paths!$E$46&lt;120,Paths!$E$46+'Operating costs'!$B$65&gt;Paths!$E$46,Paths!$E$46+'Operating costs'!$B$65&lt;=120,IF(Paths!$E$46+'Operating costs'!$B$65=0,C439=0,AND(C439&gt;0,Paths!$E$46+'Operating costs'!$B$65&gt;(C439-1)*12,Paths!$E$46+'Operating costs'!$B$65&lt;=C439*12))),'Operating costs'!$B$64,0)+IF(AND('Operating costs'!$B$67&gt;0,'Operating costs'!$B$67&lt;=120,OR(Paths!$D$46="ICE",'Operating costs'!$B$67&lt;=Paths!$E$46),IF('Operating costs'!$B$67=0,C439=0,AND(C439&gt;0,'Operating costs'!$B$67&gt;(C439-1)*12,'Operating costs'!$B$67&lt;=C439*12))),'Operating costs'!$B$66,0),"n.a."))</f>
        <v>0</v>
      </c>
      <c r="N439" s="16">
        <f>IF(NOT(Paths!$C$46=1),0,IF(Paths!$P$46="Complete",SUM(G439:I439)-J439-K439-L439+M439+IF(C439=0,Paths!$F$46,0)+IF(IF(Paths!$E$46=0,C439=0,AND(C439&gt;0,Paths!$E$46&gt;(C439-1)*12,Paths!$E$46&lt;=C439*12)),VLOOKUP(A439,'Fleet register'!$A$7:$S$106,16,FALSE),0),"n.a."))</f>
        <v>0</v>
      </c>
      <c r="O439" s="16">
        <f>IF(NOT(Paths!$C$46=1),0,IF(Paths!$P$46="Complete",N439-IF(C439=0,Paths!$F$46,0),"n.a."))</f>
        <v>0</v>
      </c>
      <c r="P439" s="16">
        <f>IF(NOT(Paths!$C$46=1),0,IF(Paths!$P$46="Complete",O439+L439,"n.a."))</f>
        <v>0</v>
      </c>
      <c r="Q439" s="16">
        <f>IF(NOT(Paths!$C$46=1),0,IF(Paths!$P$46="Complete",N439*(1+'Operating costs'!$B$54)^-C439,"n.a."))</f>
        <v>0</v>
      </c>
      <c r="R439" s="16">
        <f>IF(NOT(Paths!$C$46=1),0,IF(Paths!$P$46="Complete",IF(AND(C439=0,Paths!$E$46=0),I439-J439-K439+VLOOKUP(A439,'Fleet register'!$A$7:$S$106,15,FALSE)+VLOOKUP(A439,'Fleet register'!$A$7:$S$106,16,FALSE),0),"n.a."))</f>
        <v>0</v>
      </c>
      <c r="S439" s="1">
        <f>IF(NOT(Paths!$C$46=1),0,IF(Paths!$P$46="Complete",IF(C439=0,0,Paths!$S$46*Paths!$R$46),"n.a."))</f>
        <v>0</v>
      </c>
      <c r="T439" s="1">
        <f>IF(NOT(Paths!$C$46=1),0,IF(Paths!$P$46="Complete",IF(C439=0,0,VLOOKUP(A439,'Fleet register'!$A$7:$S$106,9,FALSE)*Paths!$R$46),"n.a."))</f>
        <v>0</v>
      </c>
    </row>
    <row r="440" spans="1:20" ht="24" customHeight="1">
      <c r="A440" s="1" t="str">
        <f>Paths!$A$46</f>
        <v>T010</v>
      </c>
      <c r="B440" s="1">
        <f>Paths!$B$46</f>
        <v>3</v>
      </c>
      <c r="C440" s="1">
        <v>4</v>
      </c>
      <c r="D440" s="1">
        <v>46</v>
      </c>
      <c r="E440" s="1">
        <f>IF(OR(Paths!$C$46=0,C440=0),0,MAX(0,MIN(C440*12,Paths!$E$46)-(C440-1)*12))</f>
        <v>0</v>
      </c>
      <c r="F440" s="1">
        <f>IF(OR(Paths!$C$46=0,C440=0),0,12-E440)</f>
        <v>0</v>
      </c>
      <c r="G440" s="16">
        <f>IF(NOT(Paths!$C$46=1),0,IF(Paths!$P$46="Complete",E440/12*(Paths!$J$46*(1+'Operating costs'!$B$51)^MAX(0,C440-1)+Paths!$K$46*(1+'Operating costs'!$B$53)^MAX(0,C440-1)),"n.a."))</f>
        <v>0</v>
      </c>
      <c r="H440" s="16">
        <f>IF(NOT(Paths!$C$46=1),0,IF(Paths!$P$46="Complete",F440/12*(Paths!$L$46*(1+IF(Paths!$D$46="EV",'Operating costs'!$B$52,'Operating costs'!$B$51))^MAX(0,C440-1)+Paths!$M$46*(1+'Operating costs'!$B$53)^MAX(0,C440-1)),"n.a."))</f>
        <v>0</v>
      </c>
      <c r="I440" s="16">
        <f>IF(NOT(Paths!$C$46=1),0,IF(Paths!$P$46="Complete",IF(IF(Paths!$E$46=0,C440=0,AND(C440&gt;0,Paths!$E$46&gt;(C440-1)*12,Paths!$E$46&lt;=C440*12)),Paths!$G$46,0),"n.a."))</f>
        <v>0</v>
      </c>
      <c r="J440" s="16">
        <f>IF(NOT(Paths!$C$46=1),0,IF(Paths!$P$46="Complete",IF(IF(Paths!$E$46=0,C440=0,AND(C440&gt;0,Paths!$E$46&gt;(C440-1)*12,Paths!$E$46&lt;=C440*12)),Paths!$H$46,0),"n.a."))</f>
        <v>0</v>
      </c>
      <c r="K440" s="16">
        <f>IF(NOT(Paths!$C$46=1),0,IF(Paths!$P$46="Complete",IF(IF(Paths!$O$46=0,C440=0,AND(C440&gt;0,Paths!$O$46&gt;(C440-1)*12,Paths!$O$46&lt;=C440*12)),Paths!$N$46,0),"n.a."))</f>
        <v>0</v>
      </c>
      <c r="L440" s="16">
        <f>IF(NOT(Paths!$C$46=1),0,IF(Paths!$P$46="Complete",IF(C440=10,Paths!$I$46,0),"n.a."))</f>
        <v>0</v>
      </c>
      <c r="M440" s="16">
        <f>IF(NOT(Paths!$C$46=1),0,IF(Paths!$P$46="Complete",IF(AND(Paths!$D$46="EV",Paths!$E$46&lt;120,Paths!$E$46+'Operating costs'!$B$65&gt;Paths!$E$46,Paths!$E$46+'Operating costs'!$B$65&lt;=120,IF(Paths!$E$46+'Operating costs'!$B$65=0,C440=0,AND(C440&gt;0,Paths!$E$46+'Operating costs'!$B$65&gt;(C440-1)*12,Paths!$E$46+'Operating costs'!$B$65&lt;=C440*12))),'Operating costs'!$B$64,0)+IF(AND('Operating costs'!$B$67&gt;0,'Operating costs'!$B$67&lt;=120,OR(Paths!$D$46="ICE",'Operating costs'!$B$67&lt;=Paths!$E$46),IF('Operating costs'!$B$67=0,C440=0,AND(C440&gt;0,'Operating costs'!$B$67&gt;(C440-1)*12,'Operating costs'!$B$67&lt;=C440*12))),'Operating costs'!$B$66,0),"n.a."))</f>
        <v>0</v>
      </c>
      <c r="N440" s="16">
        <f>IF(NOT(Paths!$C$46=1),0,IF(Paths!$P$46="Complete",SUM(G440:I440)-J440-K440-L440+M440+IF(C440=0,Paths!$F$46,0)+IF(IF(Paths!$E$46=0,C440=0,AND(C440&gt;0,Paths!$E$46&gt;(C440-1)*12,Paths!$E$46&lt;=C440*12)),VLOOKUP(A440,'Fleet register'!$A$7:$S$106,16,FALSE),0),"n.a."))</f>
        <v>0</v>
      </c>
      <c r="O440" s="16">
        <f>IF(NOT(Paths!$C$46=1),0,IF(Paths!$P$46="Complete",N440-IF(C440=0,Paths!$F$46,0),"n.a."))</f>
        <v>0</v>
      </c>
      <c r="P440" s="16">
        <f>IF(NOT(Paths!$C$46=1),0,IF(Paths!$P$46="Complete",O440+L440,"n.a."))</f>
        <v>0</v>
      </c>
      <c r="Q440" s="16">
        <f>IF(NOT(Paths!$C$46=1),0,IF(Paths!$P$46="Complete",N440*(1+'Operating costs'!$B$54)^-C440,"n.a."))</f>
        <v>0</v>
      </c>
      <c r="R440" s="16">
        <f>IF(NOT(Paths!$C$46=1),0,IF(Paths!$P$46="Complete",IF(AND(C440=0,Paths!$E$46=0),I440-J440-K440+VLOOKUP(A440,'Fleet register'!$A$7:$S$106,15,FALSE)+VLOOKUP(A440,'Fleet register'!$A$7:$S$106,16,FALSE),0),"n.a."))</f>
        <v>0</v>
      </c>
      <c r="S440" s="1">
        <f>IF(NOT(Paths!$C$46=1),0,IF(Paths!$P$46="Complete",IF(C440=0,0,Paths!$S$46*Paths!$R$46),"n.a."))</f>
        <v>0</v>
      </c>
      <c r="T440" s="1">
        <f>IF(NOT(Paths!$C$46=1),0,IF(Paths!$P$46="Complete",IF(C440=0,0,VLOOKUP(A440,'Fleet register'!$A$7:$S$106,9,FALSE)*Paths!$R$46),"n.a."))</f>
        <v>0</v>
      </c>
    </row>
    <row r="441" spans="1:20" ht="24" customHeight="1">
      <c r="A441" s="1" t="str">
        <f>Paths!$A$46</f>
        <v>T010</v>
      </c>
      <c r="B441" s="1">
        <f>Paths!$B$46</f>
        <v>3</v>
      </c>
      <c r="C441" s="1">
        <v>5</v>
      </c>
      <c r="D441" s="1">
        <v>46</v>
      </c>
      <c r="E441" s="1">
        <f>IF(OR(Paths!$C$46=0,C441=0),0,MAX(0,MIN(C441*12,Paths!$E$46)-(C441-1)*12))</f>
        <v>0</v>
      </c>
      <c r="F441" s="1">
        <f>IF(OR(Paths!$C$46=0,C441=0),0,12-E441)</f>
        <v>0</v>
      </c>
      <c r="G441" s="16">
        <f>IF(NOT(Paths!$C$46=1),0,IF(Paths!$P$46="Complete",E441/12*(Paths!$J$46*(1+'Operating costs'!$B$51)^MAX(0,C441-1)+Paths!$K$46*(1+'Operating costs'!$B$53)^MAX(0,C441-1)),"n.a."))</f>
        <v>0</v>
      </c>
      <c r="H441" s="16">
        <f>IF(NOT(Paths!$C$46=1),0,IF(Paths!$P$46="Complete",F441/12*(Paths!$L$46*(1+IF(Paths!$D$46="EV",'Operating costs'!$B$52,'Operating costs'!$B$51))^MAX(0,C441-1)+Paths!$M$46*(1+'Operating costs'!$B$53)^MAX(0,C441-1)),"n.a."))</f>
        <v>0</v>
      </c>
      <c r="I441" s="16">
        <f>IF(NOT(Paths!$C$46=1),0,IF(Paths!$P$46="Complete",IF(IF(Paths!$E$46=0,C441=0,AND(C441&gt;0,Paths!$E$46&gt;(C441-1)*12,Paths!$E$46&lt;=C441*12)),Paths!$G$46,0),"n.a."))</f>
        <v>0</v>
      </c>
      <c r="J441" s="16">
        <f>IF(NOT(Paths!$C$46=1),0,IF(Paths!$P$46="Complete",IF(IF(Paths!$E$46=0,C441=0,AND(C441&gt;0,Paths!$E$46&gt;(C441-1)*12,Paths!$E$46&lt;=C441*12)),Paths!$H$46,0),"n.a."))</f>
        <v>0</v>
      </c>
      <c r="K441" s="16">
        <f>IF(NOT(Paths!$C$46=1),0,IF(Paths!$P$46="Complete",IF(IF(Paths!$O$46=0,C441=0,AND(C441&gt;0,Paths!$O$46&gt;(C441-1)*12,Paths!$O$46&lt;=C441*12)),Paths!$N$46,0),"n.a."))</f>
        <v>0</v>
      </c>
      <c r="L441" s="16">
        <f>IF(NOT(Paths!$C$46=1),0,IF(Paths!$P$46="Complete",IF(C441=10,Paths!$I$46,0),"n.a."))</f>
        <v>0</v>
      </c>
      <c r="M441" s="16">
        <f>IF(NOT(Paths!$C$46=1),0,IF(Paths!$P$46="Complete",IF(AND(Paths!$D$46="EV",Paths!$E$46&lt;120,Paths!$E$46+'Operating costs'!$B$65&gt;Paths!$E$46,Paths!$E$46+'Operating costs'!$B$65&lt;=120,IF(Paths!$E$46+'Operating costs'!$B$65=0,C441=0,AND(C441&gt;0,Paths!$E$46+'Operating costs'!$B$65&gt;(C441-1)*12,Paths!$E$46+'Operating costs'!$B$65&lt;=C441*12))),'Operating costs'!$B$64,0)+IF(AND('Operating costs'!$B$67&gt;0,'Operating costs'!$B$67&lt;=120,OR(Paths!$D$46="ICE",'Operating costs'!$B$67&lt;=Paths!$E$46),IF('Operating costs'!$B$67=0,C441=0,AND(C441&gt;0,'Operating costs'!$B$67&gt;(C441-1)*12,'Operating costs'!$B$67&lt;=C441*12))),'Operating costs'!$B$66,0),"n.a."))</f>
        <v>0</v>
      </c>
      <c r="N441" s="16">
        <f>IF(NOT(Paths!$C$46=1),0,IF(Paths!$P$46="Complete",SUM(G441:I441)-J441-K441-L441+M441+IF(C441=0,Paths!$F$46,0)+IF(IF(Paths!$E$46=0,C441=0,AND(C441&gt;0,Paths!$E$46&gt;(C441-1)*12,Paths!$E$46&lt;=C441*12)),VLOOKUP(A441,'Fleet register'!$A$7:$S$106,16,FALSE),0),"n.a."))</f>
        <v>0</v>
      </c>
      <c r="O441" s="16">
        <f>IF(NOT(Paths!$C$46=1),0,IF(Paths!$P$46="Complete",N441-IF(C441=0,Paths!$F$46,0),"n.a."))</f>
        <v>0</v>
      </c>
      <c r="P441" s="16">
        <f>IF(NOT(Paths!$C$46=1),0,IF(Paths!$P$46="Complete",O441+L441,"n.a."))</f>
        <v>0</v>
      </c>
      <c r="Q441" s="16">
        <f>IF(NOT(Paths!$C$46=1),0,IF(Paths!$P$46="Complete",N441*(1+'Operating costs'!$B$54)^-C441,"n.a."))</f>
        <v>0</v>
      </c>
      <c r="R441" s="16">
        <f>IF(NOT(Paths!$C$46=1),0,IF(Paths!$P$46="Complete",IF(AND(C441=0,Paths!$E$46=0),I441-J441-K441+VLOOKUP(A441,'Fleet register'!$A$7:$S$106,15,FALSE)+VLOOKUP(A441,'Fleet register'!$A$7:$S$106,16,FALSE),0),"n.a."))</f>
        <v>0</v>
      </c>
      <c r="S441" s="1">
        <f>IF(NOT(Paths!$C$46=1),0,IF(Paths!$P$46="Complete",IF(C441=0,0,Paths!$S$46*Paths!$R$46),"n.a."))</f>
        <v>0</v>
      </c>
      <c r="T441" s="1">
        <f>IF(NOT(Paths!$C$46=1),0,IF(Paths!$P$46="Complete",IF(C441=0,0,VLOOKUP(A441,'Fleet register'!$A$7:$S$106,9,FALSE)*Paths!$R$46),"n.a."))</f>
        <v>0</v>
      </c>
    </row>
    <row r="442" spans="1:20" ht="24" customHeight="1">
      <c r="A442" s="1" t="str">
        <f>Paths!$A$46</f>
        <v>T010</v>
      </c>
      <c r="B442" s="1">
        <f>Paths!$B$46</f>
        <v>3</v>
      </c>
      <c r="C442" s="1">
        <v>6</v>
      </c>
      <c r="D442" s="1">
        <v>46</v>
      </c>
      <c r="E442" s="1">
        <f>IF(OR(Paths!$C$46=0,C442=0),0,MAX(0,MIN(C442*12,Paths!$E$46)-(C442-1)*12))</f>
        <v>0</v>
      </c>
      <c r="F442" s="1">
        <f>IF(OR(Paths!$C$46=0,C442=0),0,12-E442)</f>
        <v>0</v>
      </c>
      <c r="G442" s="16">
        <f>IF(NOT(Paths!$C$46=1),0,IF(Paths!$P$46="Complete",E442/12*(Paths!$J$46*(1+'Operating costs'!$B$51)^MAX(0,C442-1)+Paths!$K$46*(1+'Operating costs'!$B$53)^MAX(0,C442-1)),"n.a."))</f>
        <v>0</v>
      </c>
      <c r="H442" s="16">
        <f>IF(NOT(Paths!$C$46=1),0,IF(Paths!$P$46="Complete",F442/12*(Paths!$L$46*(1+IF(Paths!$D$46="EV",'Operating costs'!$B$52,'Operating costs'!$B$51))^MAX(0,C442-1)+Paths!$M$46*(1+'Operating costs'!$B$53)^MAX(0,C442-1)),"n.a."))</f>
        <v>0</v>
      </c>
      <c r="I442" s="16">
        <f>IF(NOT(Paths!$C$46=1),0,IF(Paths!$P$46="Complete",IF(IF(Paths!$E$46=0,C442=0,AND(C442&gt;0,Paths!$E$46&gt;(C442-1)*12,Paths!$E$46&lt;=C442*12)),Paths!$G$46,0),"n.a."))</f>
        <v>0</v>
      </c>
      <c r="J442" s="16">
        <f>IF(NOT(Paths!$C$46=1),0,IF(Paths!$P$46="Complete",IF(IF(Paths!$E$46=0,C442=0,AND(C442&gt;0,Paths!$E$46&gt;(C442-1)*12,Paths!$E$46&lt;=C442*12)),Paths!$H$46,0),"n.a."))</f>
        <v>0</v>
      </c>
      <c r="K442" s="16">
        <f>IF(NOT(Paths!$C$46=1),0,IF(Paths!$P$46="Complete",IF(IF(Paths!$O$46=0,C442=0,AND(C442&gt;0,Paths!$O$46&gt;(C442-1)*12,Paths!$O$46&lt;=C442*12)),Paths!$N$46,0),"n.a."))</f>
        <v>0</v>
      </c>
      <c r="L442" s="16">
        <f>IF(NOT(Paths!$C$46=1),0,IF(Paths!$P$46="Complete",IF(C442=10,Paths!$I$46,0),"n.a."))</f>
        <v>0</v>
      </c>
      <c r="M442" s="16">
        <f>IF(NOT(Paths!$C$46=1),0,IF(Paths!$P$46="Complete",IF(AND(Paths!$D$46="EV",Paths!$E$46&lt;120,Paths!$E$46+'Operating costs'!$B$65&gt;Paths!$E$46,Paths!$E$46+'Operating costs'!$B$65&lt;=120,IF(Paths!$E$46+'Operating costs'!$B$65=0,C442=0,AND(C442&gt;0,Paths!$E$46+'Operating costs'!$B$65&gt;(C442-1)*12,Paths!$E$46+'Operating costs'!$B$65&lt;=C442*12))),'Operating costs'!$B$64,0)+IF(AND('Operating costs'!$B$67&gt;0,'Operating costs'!$B$67&lt;=120,OR(Paths!$D$46="ICE",'Operating costs'!$B$67&lt;=Paths!$E$46),IF('Operating costs'!$B$67=0,C442=0,AND(C442&gt;0,'Operating costs'!$B$67&gt;(C442-1)*12,'Operating costs'!$B$67&lt;=C442*12))),'Operating costs'!$B$66,0),"n.a."))</f>
        <v>0</v>
      </c>
      <c r="N442" s="16">
        <f>IF(NOT(Paths!$C$46=1),0,IF(Paths!$P$46="Complete",SUM(G442:I442)-J442-K442-L442+M442+IF(C442=0,Paths!$F$46,0)+IF(IF(Paths!$E$46=0,C442=0,AND(C442&gt;0,Paths!$E$46&gt;(C442-1)*12,Paths!$E$46&lt;=C442*12)),VLOOKUP(A442,'Fleet register'!$A$7:$S$106,16,FALSE),0),"n.a."))</f>
        <v>0</v>
      </c>
      <c r="O442" s="16">
        <f>IF(NOT(Paths!$C$46=1),0,IF(Paths!$P$46="Complete",N442-IF(C442=0,Paths!$F$46,0),"n.a."))</f>
        <v>0</v>
      </c>
      <c r="P442" s="16">
        <f>IF(NOT(Paths!$C$46=1),0,IF(Paths!$P$46="Complete",O442+L442,"n.a."))</f>
        <v>0</v>
      </c>
      <c r="Q442" s="16">
        <f>IF(NOT(Paths!$C$46=1),0,IF(Paths!$P$46="Complete",N442*(1+'Operating costs'!$B$54)^-C442,"n.a."))</f>
        <v>0</v>
      </c>
      <c r="R442" s="16">
        <f>IF(NOT(Paths!$C$46=1),0,IF(Paths!$P$46="Complete",IF(AND(C442=0,Paths!$E$46=0),I442-J442-K442+VLOOKUP(A442,'Fleet register'!$A$7:$S$106,15,FALSE)+VLOOKUP(A442,'Fleet register'!$A$7:$S$106,16,FALSE),0),"n.a."))</f>
        <v>0</v>
      </c>
      <c r="S442" s="1">
        <f>IF(NOT(Paths!$C$46=1),0,IF(Paths!$P$46="Complete",IF(C442=0,0,Paths!$S$46*Paths!$R$46),"n.a."))</f>
        <v>0</v>
      </c>
      <c r="T442" s="1">
        <f>IF(NOT(Paths!$C$46=1),0,IF(Paths!$P$46="Complete",IF(C442=0,0,VLOOKUP(A442,'Fleet register'!$A$7:$S$106,9,FALSE)*Paths!$R$46),"n.a."))</f>
        <v>0</v>
      </c>
    </row>
    <row r="443" spans="1:20" ht="24" customHeight="1">
      <c r="A443" s="1" t="str">
        <f>Paths!$A$46</f>
        <v>T010</v>
      </c>
      <c r="B443" s="1">
        <f>Paths!$B$46</f>
        <v>3</v>
      </c>
      <c r="C443" s="1">
        <v>7</v>
      </c>
      <c r="D443" s="1">
        <v>46</v>
      </c>
      <c r="E443" s="1">
        <f>IF(OR(Paths!$C$46=0,C443=0),0,MAX(0,MIN(C443*12,Paths!$E$46)-(C443-1)*12))</f>
        <v>0</v>
      </c>
      <c r="F443" s="1">
        <f>IF(OR(Paths!$C$46=0,C443=0),0,12-E443)</f>
        <v>0</v>
      </c>
      <c r="G443" s="16">
        <f>IF(NOT(Paths!$C$46=1),0,IF(Paths!$P$46="Complete",E443/12*(Paths!$J$46*(1+'Operating costs'!$B$51)^MAX(0,C443-1)+Paths!$K$46*(1+'Operating costs'!$B$53)^MAX(0,C443-1)),"n.a."))</f>
        <v>0</v>
      </c>
      <c r="H443" s="16">
        <f>IF(NOT(Paths!$C$46=1),0,IF(Paths!$P$46="Complete",F443/12*(Paths!$L$46*(1+IF(Paths!$D$46="EV",'Operating costs'!$B$52,'Operating costs'!$B$51))^MAX(0,C443-1)+Paths!$M$46*(1+'Operating costs'!$B$53)^MAX(0,C443-1)),"n.a."))</f>
        <v>0</v>
      </c>
      <c r="I443" s="16">
        <f>IF(NOT(Paths!$C$46=1),0,IF(Paths!$P$46="Complete",IF(IF(Paths!$E$46=0,C443=0,AND(C443&gt;0,Paths!$E$46&gt;(C443-1)*12,Paths!$E$46&lt;=C443*12)),Paths!$G$46,0),"n.a."))</f>
        <v>0</v>
      </c>
      <c r="J443" s="16">
        <f>IF(NOT(Paths!$C$46=1),0,IF(Paths!$P$46="Complete",IF(IF(Paths!$E$46=0,C443=0,AND(C443&gt;0,Paths!$E$46&gt;(C443-1)*12,Paths!$E$46&lt;=C443*12)),Paths!$H$46,0),"n.a."))</f>
        <v>0</v>
      </c>
      <c r="K443" s="16">
        <f>IF(NOT(Paths!$C$46=1),0,IF(Paths!$P$46="Complete",IF(IF(Paths!$O$46=0,C443=0,AND(C443&gt;0,Paths!$O$46&gt;(C443-1)*12,Paths!$O$46&lt;=C443*12)),Paths!$N$46,0),"n.a."))</f>
        <v>0</v>
      </c>
      <c r="L443" s="16">
        <f>IF(NOT(Paths!$C$46=1),0,IF(Paths!$P$46="Complete",IF(C443=10,Paths!$I$46,0),"n.a."))</f>
        <v>0</v>
      </c>
      <c r="M443" s="16">
        <f>IF(NOT(Paths!$C$46=1),0,IF(Paths!$P$46="Complete",IF(AND(Paths!$D$46="EV",Paths!$E$46&lt;120,Paths!$E$46+'Operating costs'!$B$65&gt;Paths!$E$46,Paths!$E$46+'Operating costs'!$B$65&lt;=120,IF(Paths!$E$46+'Operating costs'!$B$65=0,C443=0,AND(C443&gt;0,Paths!$E$46+'Operating costs'!$B$65&gt;(C443-1)*12,Paths!$E$46+'Operating costs'!$B$65&lt;=C443*12))),'Operating costs'!$B$64,0)+IF(AND('Operating costs'!$B$67&gt;0,'Operating costs'!$B$67&lt;=120,OR(Paths!$D$46="ICE",'Operating costs'!$B$67&lt;=Paths!$E$46),IF('Operating costs'!$B$67=0,C443=0,AND(C443&gt;0,'Operating costs'!$B$67&gt;(C443-1)*12,'Operating costs'!$B$67&lt;=C443*12))),'Operating costs'!$B$66,0),"n.a."))</f>
        <v>0</v>
      </c>
      <c r="N443" s="16">
        <f>IF(NOT(Paths!$C$46=1),0,IF(Paths!$P$46="Complete",SUM(G443:I443)-J443-K443-L443+M443+IF(C443=0,Paths!$F$46,0)+IF(IF(Paths!$E$46=0,C443=0,AND(C443&gt;0,Paths!$E$46&gt;(C443-1)*12,Paths!$E$46&lt;=C443*12)),VLOOKUP(A443,'Fleet register'!$A$7:$S$106,16,FALSE),0),"n.a."))</f>
        <v>0</v>
      </c>
      <c r="O443" s="16">
        <f>IF(NOT(Paths!$C$46=1),0,IF(Paths!$P$46="Complete",N443-IF(C443=0,Paths!$F$46,0),"n.a."))</f>
        <v>0</v>
      </c>
      <c r="P443" s="16">
        <f>IF(NOT(Paths!$C$46=1),0,IF(Paths!$P$46="Complete",O443+L443,"n.a."))</f>
        <v>0</v>
      </c>
      <c r="Q443" s="16">
        <f>IF(NOT(Paths!$C$46=1),0,IF(Paths!$P$46="Complete",N443*(1+'Operating costs'!$B$54)^-C443,"n.a."))</f>
        <v>0</v>
      </c>
      <c r="R443" s="16">
        <f>IF(NOT(Paths!$C$46=1),0,IF(Paths!$P$46="Complete",IF(AND(C443=0,Paths!$E$46=0),I443-J443-K443+VLOOKUP(A443,'Fleet register'!$A$7:$S$106,15,FALSE)+VLOOKUP(A443,'Fleet register'!$A$7:$S$106,16,FALSE),0),"n.a."))</f>
        <v>0</v>
      </c>
      <c r="S443" s="1">
        <f>IF(NOT(Paths!$C$46=1),0,IF(Paths!$P$46="Complete",IF(C443=0,0,Paths!$S$46*Paths!$R$46),"n.a."))</f>
        <v>0</v>
      </c>
      <c r="T443" s="1">
        <f>IF(NOT(Paths!$C$46=1),0,IF(Paths!$P$46="Complete",IF(C443=0,0,VLOOKUP(A443,'Fleet register'!$A$7:$S$106,9,FALSE)*Paths!$R$46),"n.a."))</f>
        <v>0</v>
      </c>
    </row>
    <row r="444" spans="1:20" ht="24" customHeight="1">
      <c r="A444" s="1" t="str">
        <f>Paths!$A$46</f>
        <v>T010</v>
      </c>
      <c r="B444" s="1">
        <f>Paths!$B$46</f>
        <v>3</v>
      </c>
      <c r="C444" s="1">
        <v>8</v>
      </c>
      <c r="D444" s="1">
        <v>46</v>
      </c>
      <c r="E444" s="1">
        <f>IF(OR(Paths!$C$46=0,C444=0),0,MAX(0,MIN(C444*12,Paths!$E$46)-(C444-1)*12))</f>
        <v>0</v>
      </c>
      <c r="F444" s="1">
        <f>IF(OR(Paths!$C$46=0,C444=0),0,12-E444)</f>
        <v>0</v>
      </c>
      <c r="G444" s="16">
        <f>IF(NOT(Paths!$C$46=1),0,IF(Paths!$P$46="Complete",E444/12*(Paths!$J$46*(1+'Operating costs'!$B$51)^MAX(0,C444-1)+Paths!$K$46*(1+'Operating costs'!$B$53)^MAX(0,C444-1)),"n.a."))</f>
        <v>0</v>
      </c>
      <c r="H444" s="16">
        <f>IF(NOT(Paths!$C$46=1),0,IF(Paths!$P$46="Complete",F444/12*(Paths!$L$46*(1+IF(Paths!$D$46="EV",'Operating costs'!$B$52,'Operating costs'!$B$51))^MAX(0,C444-1)+Paths!$M$46*(1+'Operating costs'!$B$53)^MAX(0,C444-1)),"n.a."))</f>
        <v>0</v>
      </c>
      <c r="I444" s="16">
        <f>IF(NOT(Paths!$C$46=1),0,IF(Paths!$P$46="Complete",IF(IF(Paths!$E$46=0,C444=0,AND(C444&gt;0,Paths!$E$46&gt;(C444-1)*12,Paths!$E$46&lt;=C444*12)),Paths!$G$46,0),"n.a."))</f>
        <v>0</v>
      </c>
      <c r="J444" s="16">
        <f>IF(NOT(Paths!$C$46=1),0,IF(Paths!$P$46="Complete",IF(IF(Paths!$E$46=0,C444=0,AND(C444&gt;0,Paths!$E$46&gt;(C444-1)*12,Paths!$E$46&lt;=C444*12)),Paths!$H$46,0),"n.a."))</f>
        <v>0</v>
      </c>
      <c r="K444" s="16">
        <f>IF(NOT(Paths!$C$46=1),0,IF(Paths!$P$46="Complete",IF(IF(Paths!$O$46=0,C444=0,AND(C444&gt;0,Paths!$O$46&gt;(C444-1)*12,Paths!$O$46&lt;=C444*12)),Paths!$N$46,0),"n.a."))</f>
        <v>0</v>
      </c>
      <c r="L444" s="16">
        <f>IF(NOT(Paths!$C$46=1),0,IF(Paths!$P$46="Complete",IF(C444=10,Paths!$I$46,0),"n.a."))</f>
        <v>0</v>
      </c>
      <c r="M444" s="16">
        <f>IF(NOT(Paths!$C$46=1),0,IF(Paths!$P$46="Complete",IF(AND(Paths!$D$46="EV",Paths!$E$46&lt;120,Paths!$E$46+'Operating costs'!$B$65&gt;Paths!$E$46,Paths!$E$46+'Operating costs'!$B$65&lt;=120,IF(Paths!$E$46+'Operating costs'!$B$65=0,C444=0,AND(C444&gt;0,Paths!$E$46+'Operating costs'!$B$65&gt;(C444-1)*12,Paths!$E$46+'Operating costs'!$B$65&lt;=C444*12))),'Operating costs'!$B$64,0)+IF(AND('Operating costs'!$B$67&gt;0,'Operating costs'!$B$67&lt;=120,OR(Paths!$D$46="ICE",'Operating costs'!$B$67&lt;=Paths!$E$46),IF('Operating costs'!$B$67=0,C444=0,AND(C444&gt;0,'Operating costs'!$B$67&gt;(C444-1)*12,'Operating costs'!$B$67&lt;=C444*12))),'Operating costs'!$B$66,0),"n.a."))</f>
        <v>0</v>
      </c>
      <c r="N444" s="16">
        <f>IF(NOT(Paths!$C$46=1),0,IF(Paths!$P$46="Complete",SUM(G444:I444)-J444-K444-L444+M444+IF(C444=0,Paths!$F$46,0)+IF(IF(Paths!$E$46=0,C444=0,AND(C444&gt;0,Paths!$E$46&gt;(C444-1)*12,Paths!$E$46&lt;=C444*12)),VLOOKUP(A444,'Fleet register'!$A$7:$S$106,16,FALSE),0),"n.a."))</f>
        <v>0</v>
      </c>
      <c r="O444" s="16">
        <f>IF(NOT(Paths!$C$46=1),0,IF(Paths!$P$46="Complete",N444-IF(C444=0,Paths!$F$46,0),"n.a."))</f>
        <v>0</v>
      </c>
      <c r="P444" s="16">
        <f>IF(NOT(Paths!$C$46=1),0,IF(Paths!$P$46="Complete",O444+L444,"n.a."))</f>
        <v>0</v>
      </c>
      <c r="Q444" s="16">
        <f>IF(NOT(Paths!$C$46=1),0,IF(Paths!$P$46="Complete",N444*(1+'Operating costs'!$B$54)^-C444,"n.a."))</f>
        <v>0</v>
      </c>
      <c r="R444" s="16">
        <f>IF(NOT(Paths!$C$46=1),0,IF(Paths!$P$46="Complete",IF(AND(C444=0,Paths!$E$46=0),I444-J444-K444+VLOOKUP(A444,'Fleet register'!$A$7:$S$106,15,FALSE)+VLOOKUP(A444,'Fleet register'!$A$7:$S$106,16,FALSE),0),"n.a."))</f>
        <v>0</v>
      </c>
      <c r="S444" s="1">
        <f>IF(NOT(Paths!$C$46=1),0,IF(Paths!$P$46="Complete",IF(C444=0,0,Paths!$S$46*Paths!$R$46),"n.a."))</f>
        <v>0</v>
      </c>
      <c r="T444" s="1">
        <f>IF(NOT(Paths!$C$46=1),0,IF(Paths!$P$46="Complete",IF(C444=0,0,VLOOKUP(A444,'Fleet register'!$A$7:$S$106,9,FALSE)*Paths!$R$46),"n.a."))</f>
        <v>0</v>
      </c>
    </row>
    <row r="445" spans="1:20" ht="24" customHeight="1">
      <c r="A445" s="1" t="str">
        <f>Paths!$A$46</f>
        <v>T010</v>
      </c>
      <c r="B445" s="1">
        <f>Paths!$B$46</f>
        <v>3</v>
      </c>
      <c r="C445" s="1">
        <v>9</v>
      </c>
      <c r="D445" s="1">
        <v>46</v>
      </c>
      <c r="E445" s="1">
        <f>IF(OR(Paths!$C$46=0,C445=0),0,MAX(0,MIN(C445*12,Paths!$E$46)-(C445-1)*12))</f>
        <v>0</v>
      </c>
      <c r="F445" s="1">
        <f>IF(OR(Paths!$C$46=0,C445=0),0,12-E445)</f>
        <v>0</v>
      </c>
      <c r="G445" s="16">
        <f>IF(NOT(Paths!$C$46=1),0,IF(Paths!$P$46="Complete",E445/12*(Paths!$J$46*(1+'Operating costs'!$B$51)^MAX(0,C445-1)+Paths!$K$46*(1+'Operating costs'!$B$53)^MAX(0,C445-1)),"n.a."))</f>
        <v>0</v>
      </c>
      <c r="H445" s="16">
        <f>IF(NOT(Paths!$C$46=1),0,IF(Paths!$P$46="Complete",F445/12*(Paths!$L$46*(1+IF(Paths!$D$46="EV",'Operating costs'!$B$52,'Operating costs'!$B$51))^MAX(0,C445-1)+Paths!$M$46*(1+'Operating costs'!$B$53)^MAX(0,C445-1)),"n.a."))</f>
        <v>0</v>
      </c>
      <c r="I445" s="16">
        <f>IF(NOT(Paths!$C$46=1),0,IF(Paths!$P$46="Complete",IF(IF(Paths!$E$46=0,C445=0,AND(C445&gt;0,Paths!$E$46&gt;(C445-1)*12,Paths!$E$46&lt;=C445*12)),Paths!$G$46,0),"n.a."))</f>
        <v>0</v>
      </c>
      <c r="J445" s="16">
        <f>IF(NOT(Paths!$C$46=1),0,IF(Paths!$P$46="Complete",IF(IF(Paths!$E$46=0,C445=0,AND(C445&gt;0,Paths!$E$46&gt;(C445-1)*12,Paths!$E$46&lt;=C445*12)),Paths!$H$46,0),"n.a."))</f>
        <v>0</v>
      </c>
      <c r="K445" s="16">
        <f>IF(NOT(Paths!$C$46=1),0,IF(Paths!$P$46="Complete",IF(IF(Paths!$O$46=0,C445=0,AND(C445&gt;0,Paths!$O$46&gt;(C445-1)*12,Paths!$O$46&lt;=C445*12)),Paths!$N$46,0),"n.a."))</f>
        <v>0</v>
      </c>
      <c r="L445" s="16">
        <f>IF(NOT(Paths!$C$46=1),0,IF(Paths!$P$46="Complete",IF(C445=10,Paths!$I$46,0),"n.a."))</f>
        <v>0</v>
      </c>
      <c r="M445" s="16">
        <f>IF(NOT(Paths!$C$46=1),0,IF(Paths!$P$46="Complete",IF(AND(Paths!$D$46="EV",Paths!$E$46&lt;120,Paths!$E$46+'Operating costs'!$B$65&gt;Paths!$E$46,Paths!$E$46+'Operating costs'!$B$65&lt;=120,IF(Paths!$E$46+'Operating costs'!$B$65=0,C445=0,AND(C445&gt;0,Paths!$E$46+'Operating costs'!$B$65&gt;(C445-1)*12,Paths!$E$46+'Operating costs'!$B$65&lt;=C445*12))),'Operating costs'!$B$64,0)+IF(AND('Operating costs'!$B$67&gt;0,'Operating costs'!$B$67&lt;=120,OR(Paths!$D$46="ICE",'Operating costs'!$B$67&lt;=Paths!$E$46),IF('Operating costs'!$B$67=0,C445=0,AND(C445&gt;0,'Operating costs'!$B$67&gt;(C445-1)*12,'Operating costs'!$B$67&lt;=C445*12))),'Operating costs'!$B$66,0),"n.a."))</f>
        <v>0</v>
      </c>
      <c r="N445" s="16">
        <f>IF(NOT(Paths!$C$46=1),0,IF(Paths!$P$46="Complete",SUM(G445:I445)-J445-K445-L445+M445+IF(C445=0,Paths!$F$46,0)+IF(IF(Paths!$E$46=0,C445=0,AND(C445&gt;0,Paths!$E$46&gt;(C445-1)*12,Paths!$E$46&lt;=C445*12)),VLOOKUP(A445,'Fleet register'!$A$7:$S$106,16,FALSE),0),"n.a."))</f>
        <v>0</v>
      </c>
      <c r="O445" s="16">
        <f>IF(NOT(Paths!$C$46=1),0,IF(Paths!$P$46="Complete",N445-IF(C445=0,Paths!$F$46,0),"n.a."))</f>
        <v>0</v>
      </c>
      <c r="P445" s="16">
        <f>IF(NOT(Paths!$C$46=1),0,IF(Paths!$P$46="Complete",O445+L445,"n.a."))</f>
        <v>0</v>
      </c>
      <c r="Q445" s="16">
        <f>IF(NOT(Paths!$C$46=1),0,IF(Paths!$P$46="Complete",N445*(1+'Operating costs'!$B$54)^-C445,"n.a."))</f>
        <v>0</v>
      </c>
      <c r="R445" s="16">
        <f>IF(NOT(Paths!$C$46=1),0,IF(Paths!$P$46="Complete",IF(AND(C445=0,Paths!$E$46=0),I445-J445-K445+VLOOKUP(A445,'Fleet register'!$A$7:$S$106,15,FALSE)+VLOOKUP(A445,'Fleet register'!$A$7:$S$106,16,FALSE),0),"n.a."))</f>
        <v>0</v>
      </c>
      <c r="S445" s="1">
        <f>IF(NOT(Paths!$C$46=1),0,IF(Paths!$P$46="Complete",IF(C445=0,0,Paths!$S$46*Paths!$R$46),"n.a."))</f>
        <v>0</v>
      </c>
      <c r="T445" s="1">
        <f>IF(NOT(Paths!$C$46=1),0,IF(Paths!$P$46="Complete",IF(C445=0,0,VLOOKUP(A445,'Fleet register'!$A$7:$S$106,9,FALSE)*Paths!$R$46),"n.a."))</f>
        <v>0</v>
      </c>
    </row>
    <row r="446" spans="1:20" ht="24" customHeight="1">
      <c r="A446" s="1" t="str">
        <f>Paths!$A$46</f>
        <v>T010</v>
      </c>
      <c r="B446" s="1">
        <f>Paths!$B$46</f>
        <v>3</v>
      </c>
      <c r="C446" s="1">
        <v>10</v>
      </c>
      <c r="D446" s="1">
        <v>46</v>
      </c>
      <c r="E446" s="1">
        <f>IF(OR(Paths!$C$46=0,C446=0),0,MAX(0,MIN(C446*12,Paths!$E$46)-(C446-1)*12))</f>
        <v>0</v>
      </c>
      <c r="F446" s="1">
        <f>IF(OR(Paths!$C$46=0,C446=0),0,12-E446)</f>
        <v>0</v>
      </c>
      <c r="G446" s="16">
        <f>IF(NOT(Paths!$C$46=1),0,IF(Paths!$P$46="Complete",E446/12*(Paths!$J$46*(1+'Operating costs'!$B$51)^MAX(0,C446-1)+Paths!$K$46*(1+'Operating costs'!$B$53)^MAX(0,C446-1)),"n.a."))</f>
        <v>0</v>
      </c>
      <c r="H446" s="16">
        <f>IF(NOT(Paths!$C$46=1),0,IF(Paths!$P$46="Complete",F446/12*(Paths!$L$46*(1+IF(Paths!$D$46="EV",'Operating costs'!$B$52,'Operating costs'!$B$51))^MAX(0,C446-1)+Paths!$M$46*(1+'Operating costs'!$B$53)^MAX(0,C446-1)),"n.a."))</f>
        <v>0</v>
      </c>
      <c r="I446" s="16">
        <f>IF(NOT(Paths!$C$46=1),0,IF(Paths!$P$46="Complete",IF(IF(Paths!$E$46=0,C446=0,AND(C446&gt;0,Paths!$E$46&gt;(C446-1)*12,Paths!$E$46&lt;=C446*12)),Paths!$G$46,0),"n.a."))</f>
        <v>0</v>
      </c>
      <c r="J446" s="16">
        <f>IF(NOT(Paths!$C$46=1),0,IF(Paths!$P$46="Complete",IF(IF(Paths!$E$46=0,C446=0,AND(C446&gt;0,Paths!$E$46&gt;(C446-1)*12,Paths!$E$46&lt;=C446*12)),Paths!$H$46,0),"n.a."))</f>
        <v>0</v>
      </c>
      <c r="K446" s="16">
        <f>IF(NOT(Paths!$C$46=1),0,IF(Paths!$P$46="Complete",IF(IF(Paths!$O$46=0,C446=0,AND(C446&gt;0,Paths!$O$46&gt;(C446-1)*12,Paths!$O$46&lt;=C446*12)),Paths!$N$46,0),"n.a."))</f>
        <v>0</v>
      </c>
      <c r="L446" s="16">
        <f>IF(NOT(Paths!$C$46=1),0,IF(Paths!$P$46="Complete",IF(C446=10,Paths!$I$46,0),"n.a."))</f>
        <v>0</v>
      </c>
      <c r="M446" s="16">
        <f>IF(NOT(Paths!$C$46=1),0,IF(Paths!$P$46="Complete",IF(AND(Paths!$D$46="EV",Paths!$E$46&lt;120,Paths!$E$46+'Operating costs'!$B$65&gt;Paths!$E$46,Paths!$E$46+'Operating costs'!$B$65&lt;=120,IF(Paths!$E$46+'Operating costs'!$B$65=0,C446=0,AND(C446&gt;0,Paths!$E$46+'Operating costs'!$B$65&gt;(C446-1)*12,Paths!$E$46+'Operating costs'!$B$65&lt;=C446*12))),'Operating costs'!$B$64,0)+IF(AND('Operating costs'!$B$67&gt;0,'Operating costs'!$B$67&lt;=120,OR(Paths!$D$46="ICE",'Operating costs'!$B$67&lt;=Paths!$E$46),IF('Operating costs'!$B$67=0,C446=0,AND(C446&gt;0,'Operating costs'!$B$67&gt;(C446-1)*12,'Operating costs'!$B$67&lt;=C446*12))),'Operating costs'!$B$66,0),"n.a."))</f>
        <v>0</v>
      </c>
      <c r="N446" s="16">
        <f>IF(NOT(Paths!$C$46=1),0,IF(Paths!$P$46="Complete",SUM(G446:I446)-J446-K446-L446+M446+IF(C446=0,Paths!$F$46,0)+IF(IF(Paths!$E$46=0,C446=0,AND(C446&gt;0,Paths!$E$46&gt;(C446-1)*12,Paths!$E$46&lt;=C446*12)),VLOOKUP(A446,'Fleet register'!$A$7:$S$106,16,FALSE),0),"n.a."))</f>
        <v>0</v>
      </c>
      <c r="O446" s="16">
        <f>IF(NOT(Paths!$C$46=1),0,IF(Paths!$P$46="Complete",N446-IF(C446=0,Paths!$F$46,0),"n.a."))</f>
        <v>0</v>
      </c>
      <c r="P446" s="16">
        <f>IF(NOT(Paths!$C$46=1),0,IF(Paths!$P$46="Complete",O446+L446,"n.a."))</f>
        <v>0</v>
      </c>
      <c r="Q446" s="16">
        <f>IF(NOT(Paths!$C$46=1),0,IF(Paths!$P$46="Complete",N446*(1+'Operating costs'!$B$54)^-C446,"n.a."))</f>
        <v>0</v>
      </c>
      <c r="R446" s="16">
        <f>IF(NOT(Paths!$C$46=1),0,IF(Paths!$P$46="Complete",IF(AND(C446=0,Paths!$E$46=0),I446-J446-K446+VLOOKUP(A446,'Fleet register'!$A$7:$S$106,15,FALSE)+VLOOKUP(A446,'Fleet register'!$A$7:$S$106,16,FALSE),0),"n.a."))</f>
        <v>0</v>
      </c>
      <c r="S446" s="1">
        <f>IF(NOT(Paths!$C$46=1),0,IF(Paths!$P$46="Complete",IF(C446=0,0,Paths!$S$46*Paths!$R$46),"n.a."))</f>
        <v>0</v>
      </c>
      <c r="T446" s="1">
        <f>IF(NOT(Paths!$C$46=1),0,IF(Paths!$P$46="Complete",IF(C446=0,0,VLOOKUP(A446,'Fleet register'!$A$7:$S$106,9,FALSE)*Paths!$R$46),"n.a."))</f>
        <v>0</v>
      </c>
    </row>
    <row r="447" spans="1:20" ht="24" customHeight="1">
      <c r="A447" s="1" t="str">
        <f>Paths!$A$47</f>
        <v>T011</v>
      </c>
      <c r="B447" s="1">
        <f>Paths!$B$47</f>
        <v>0</v>
      </c>
      <c r="C447" s="1">
        <v>0</v>
      </c>
      <c r="D447" s="1">
        <v>47</v>
      </c>
      <c r="E447" s="1">
        <f>IF(OR(Paths!$C$47=0,C447=0),0,MAX(0,MIN(C447*12,Paths!$E$47)-(C447-1)*12))</f>
        <v>0</v>
      </c>
      <c r="F447" s="1">
        <f>IF(OR(Paths!$C$47=0,C447=0),0,12-E447)</f>
        <v>0</v>
      </c>
      <c r="G447" s="16">
        <f>IF(NOT(Paths!$C$47=1),0,IF(Paths!$P$47="Complete",E447/12*(Paths!$J$47*(1+'Operating costs'!$B$51)^MAX(0,C447-1)+Paths!$K$47*(1+'Operating costs'!$B$53)^MAX(0,C447-1)),"n.a."))</f>
        <v>0</v>
      </c>
      <c r="H447" s="16">
        <f>IF(NOT(Paths!$C$47=1),0,IF(Paths!$P$47="Complete",F447/12*(Paths!$L$47*(1+IF(Paths!$D$47="EV",'Operating costs'!$B$52,'Operating costs'!$B$51))^MAX(0,C447-1)+Paths!$M$47*(1+'Operating costs'!$B$53)^MAX(0,C447-1)),"n.a."))</f>
        <v>0</v>
      </c>
      <c r="I447" s="16">
        <f>IF(NOT(Paths!$C$47=1),0,IF(Paths!$P$47="Complete",IF(IF(Paths!$E$47=0,C447=0,AND(C447&gt;0,Paths!$E$47&gt;(C447-1)*12,Paths!$E$47&lt;=C447*12)),Paths!$G$47,0),"n.a."))</f>
        <v>0</v>
      </c>
      <c r="J447" s="16">
        <f>IF(NOT(Paths!$C$47=1),0,IF(Paths!$P$47="Complete",IF(IF(Paths!$E$47=0,C447=0,AND(C447&gt;0,Paths!$E$47&gt;(C447-1)*12,Paths!$E$47&lt;=C447*12)),Paths!$H$47,0),"n.a."))</f>
        <v>0</v>
      </c>
      <c r="K447" s="16">
        <f>IF(NOT(Paths!$C$47=1),0,IF(Paths!$P$47="Complete",IF(IF(Paths!$O$47=0,C447=0,AND(C447&gt;0,Paths!$O$47&gt;(C447-1)*12,Paths!$O$47&lt;=C447*12)),Paths!$N$47,0),"n.a."))</f>
        <v>0</v>
      </c>
      <c r="L447" s="16">
        <f>IF(NOT(Paths!$C$47=1),0,IF(Paths!$P$47="Complete",IF(C447=10,Paths!$I$47,0),"n.a."))</f>
        <v>0</v>
      </c>
      <c r="M447" s="16">
        <f>IF(NOT(Paths!$C$47=1),0,IF(Paths!$P$47="Complete",IF(AND(Paths!$D$47="EV",Paths!$E$47&lt;120,Paths!$E$47+'Operating costs'!$B$65&gt;Paths!$E$47,Paths!$E$47+'Operating costs'!$B$65&lt;=120,IF(Paths!$E$47+'Operating costs'!$B$65=0,C447=0,AND(C447&gt;0,Paths!$E$47+'Operating costs'!$B$65&gt;(C447-1)*12,Paths!$E$47+'Operating costs'!$B$65&lt;=C447*12))),'Operating costs'!$B$64,0)+IF(AND('Operating costs'!$B$67&gt;0,'Operating costs'!$B$67&lt;=120,OR(Paths!$D$47="ICE",'Operating costs'!$B$67&lt;=Paths!$E$47),IF('Operating costs'!$B$67=0,C447=0,AND(C447&gt;0,'Operating costs'!$B$67&gt;(C447-1)*12,'Operating costs'!$B$67&lt;=C447*12))),'Operating costs'!$B$66,0),"n.a."))</f>
        <v>0</v>
      </c>
      <c r="N447" s="16">
        <f>IF(NOT(Paths!$C$47=1),0,IF(Paths!$P$47="Complete",SUM(G447:I447)-J447-K447-L447+M447+IF(C447=0,Paths!$F$47,0)+IF(IF(Paths!$E$47=0,C447=0,AND(C447&gt;0,Paths!$E$47&gt;(C447-1)*12,Paths!$E$47&lt;=C447*12)),VLOOKUP(A447,'Fleet register'!$A$7:$S$106,16,FALSE),0),"n.a."))</f>
        <v>0</v>
      </c>
      <c r="O447" s="16">
        <f>IF(NOT(Paths!$C$47=1),0,IF(Paths!$P$47="Complete",N447-IF(C447=0,Paths!$F$47,0),"n.a."))</f>
        <v>0</v>
      </c>
      <c r="P447" s="16">
        <f>IF(NOT(Paths!$C$47=1),0,IF(Paths!$P$47="Complete",O447+L447,"n.a."))</f>
        <v>0</v>
      </c>
      <c r="Q447" s="16">
        <f>IF(NOT(Paths!$C$47=1),0,IF(Paths!$P$47="Complete",N447*(1+'Operating costs'!$B$54)^-C447,"n.a."))</f>
        <v>0</v>
      </c>
      <c r="R447" s="16">
        <f>IF(NOT(Paths!$C$47=1),0,IF(Paths!$P$47="Complete",IF(AND(C447=0,Paths!$E$47=0),I447-J447-K447+VLOOKUP(A447,'Fleet register'!$A$7:$S$106,15,FALSE)+VLOOKUP(A447,'Fleet register'!$A$7:$S$106,16,FALSE),0),"n.a."))</f>
        <v>0</v>
      </c>
      <c r="S447" s="1">
        <f>IF(NOT(Paths!$C$47=1),0,IF(Paths!$P$47="Complete",IF(C447=0,0,Paths!$S$47*Paths!$R$47),"n.a."))</f>
        <v>0</v>
      </c>
      <c r="T447" s="1">
        <f>IF(NOT(Paths!$C$47=1),0,IF(Paths!$P$47="Complete",IF(C447=0,0,VLOOKUP(A447,'Fleet register'!$A$7:$S$106,9,FALSE)*Paths!$R$47),"n.a."))</f>
        <v>0</v>
      </c>
    </row>
    <row r="448" spans="1:20" ht="24" customHeight="1">
      <c r="A448" s="1" t="str">
        <f>Paths!$A$47</f>
        <v>T011</v>
      </c>
      <c r="B448" s="1">
        <f>Paths!$B$47</f>
        <v>0</v>
      </c>
      <c r="C448" s="1">
        <v>1</v>
      </c>
      <c r="D448" s="1">
        <v>47</v>
      </c>
      <c r="E448" s="1">
        <f>IF(OR(Paths!$C$47=0,C448=0),0,MAX(0,MIN(C448*12,Paths!$E$47)-(C448-1)*12))</f>
        <v>0</v>
      </c>
      <c r="F448" s="1">
        <f>IF(OR(Paths!$C$47=0,C448=0),0,12-E448)</f>
        <v>0</v>
      </c>
      <c r="G448" s="16">
        <f>IF(NOT(Paths!$C$47=1),0,IF(Paths!$P$47="Complete",E448/12*(Paths!$J$47*(1+'Operating costs'!$B$51)^MAX(0,C448-1)+Paths!$K$47*(1+'Operating costs'!$B$53)^MAX(0,C448-1)),"n.a."))</f>
        <v>0</v>
      </c>
      <c r="H448" s="16">
        <f>IF(NOT(Paths!$C$47=1),0,IF(Paths!$P$47="Complete",F448/12*(Paths!$L$47*(1+IF(Paths!$D$47="EV",'Operating costs'!$B$52,'Operating costs'!$B$51))^MAX(0,C448-1)+Paths!$M$47*(1+'Operating costs'!$B$53)^MAX(0,C448-1)),"n.a."))</f>
        <v>0</v>
      </c>
      <c r="I448" s="16">
        <f>IF(NOT(Paths!$C$47=1),0,IF(Paths!$P$47="Complete",IF(IF(Paths!$E$47=0,C448=0,AND(C448&gt;0,Paths!$E$47&gt;(C448-1)*12,Paths!$E$47&lt;=C448*12)),Paths!$G$47,0),"n.a."))</f>
        <v>0</v>
      </c>
      <c r="J448" s="16">
        <f>IF(NOT(Paths!$C$47=1),0,IF(Paths!$P$47="Complete",IF(IF(Paths!$E$47=0,C448=0,AND(C448&gt;0,Paths!$E$47&gt;(C448-1)*12,Paths!$E$47&lt;=C448*12)),Paths!$H$47,0),"n.a."))</f>
        <v>0</v>
      </c>
      <c r="K448" s="16">
        <f>IF(NOT(Paths!$C$47=1),0,IF(Paths!$P$47="Complete",IF(IF(Paths!$O$47=0,C448=0,AND(C448&gt;0,Paths!$O$47&gt;(C448-1)*12,Paths!$O$47&lt;=C448*12)),Paths!$N$47,0),"n.a."))</f>
        <v>0</v>
      </c>
      <c r="L448" s="16">
        <f>IF(NOT(Paths!$C$47=1),0,IF(Paths!$P$47="Complete",IF(C448=10,Paths!$I$47,0),"n.a."))</f>
        <v>0</v>
      </c>
      <c r="M448" s="16">
        <f>IF(NOT(Paths!$C$47=1),0,IF(Paths!$P$47="Complete",IF(AND(Paths!$D$47="EV",Paths!$E$47&lt;120,Paths!$E$47+'Operating costs'!$B$65&gt;Paths!$E$47,Paths!$E$47+'Operating costs'!$B$65&lt;=120,IF(Paths!$E$47+'Operating costs'!$B$65=0,C448=0,AND(C448&gt;0,Paths!$E$47+'Operating costs'!$B$65&gt;(C448-1)*12,Paths!$E$47+'Operating costs'!$B$65&lt;=C448*12))),'Operating costs'!$B$64,0)+IF(AND('Operating costs'!$B$67&gt;0,'Operating costs'!$B$67&lt;=120,OR(Paths!$D$47="ICE",'Operating costs'!$B$67&lt;=Paths!$E$47),IF('Operating costs'!$B$67=0,C448=0,AND(C448&gt;0,'Operating costs'!$B$67&gt;(C448-1)*12,'Operating costs'!$B$67&lt;=C448*12))),'Operating costs'!$B$66,0),"n.a."))</f>
        <v>0</v>
      </c>
      <c r="N448" s="16">
        <f>IF(NOT(Paths!$C$47=1),0,IF(Paths!$P$47="Complete",SUM(G448:I448)-J448-K448-L448+M448+IF(C448=0,Paths!$F$47,0)+IF(IF(Paths!$E$47=0,C448=0,AND(C448&gt;0,Paths!$E$47&gt;(C448-1)*12,Paths!$E$47&lt;=C448*12)),VLOOKUP(A448,'Fleet register'!$A$7:$S$106,16,FALSE),0),"n.a."))</f>
        <v>0</v>
      </c>
      <c r="O448" s="16">
        <f>IF(NOT(Paths!$C$47=1),0,IF(Paths!$P$47="Complete",N448-IF(C448=0,Paths!$F$47,0),"n.a."))</f>
        <v>0</v>
      </c>
      <c r="P448" s="16">
        <f>IF(NOT(Paths!$C$47=1),0,IF(Paths!$P$47="Complete",O448+L448,"n.a."))</f>
        <v>0</v>
      </c>
      <c r="Q448" s="16">
        <f>IF(NOT(Paths!$C$47=1),0,IF(Paths!$P$47="Complete",N448*(1+'Operating costs'!$B$54)^-C448,"n.a."))</f>
        <v>0</v>
      </c>
      <c r="R448" s="16">
        <f>IF(NOT(Paths!$C$47=1),0,IF(Paths!$P$47="Complete",IF(AND(C448=0,Paths!$E$47=0),I448-J448-K448+VLOOKUP(A448,'Fleet register'!$A$7:$S$106,15,FALSE)+VLOOKUP(A448,'Fleet register'!$A$7:$S$106,16,FALSE),0),"n.a."))</f>
        <v>0</v>
      </c>
      <c r="S448" s="1">
        <f>IF(NOT(Paths!$C$47=1),0,IF(Paths!$P$47="Complete",IF(C448=0,0,Paths!$S$47*Paths!$R$47),"n.a."))</f>
        <v>0</v>
      </c>
      <c r="T448" s="1">
        <f>IF(NOT(Paths!$C$47=1),0,IF(Paths!$P$47="Complete",IF(C448=0,0,VLOOKUP(A448,'Fleet register'!$A$7:$S$106,9,FALSE)*Paths!$R$47),"n.a."))</f>
        <v>0</v>
      </c>
    </row>
    <row r="449" spans="1:20" ht="24" customHeight="1">
      <c r="A449" s="1" t="str">
        <f>Paths!$A$47</f>
        <v>T011</v>
      </c>
      <c r="B449" s="1">
        <f>Paths!$B$47</f>
        <v>0</v>
      </c>
      <c r="C449" s="1">
        <v>2</v>
      </c>
      <c r="D449" s="1">
        <v>47</v>
      </c>
      <c r="E449" s="1">
        <f>IF(OR(Paths!$C$47=0,C449=0),0,MAX(0,MIN(C449*12,Paths!$E$47)-(C449-1)*12))</f>
        <v>0</v>
      </c>
      <c r="F449" s="1">
        <f>IF(OR(Paths!$C$47=0,C449=0),0,12-E449)</f>
        <v>0</v>
      </c>
      <c r="G449" s="16">
        <f>IF(NOT(Paths!$C$47=1),0,IF(Paths!$P$47="Complete",E449/12*(Paths!$J$47*(1+'Operating costs'!$B$51)^MAX(0,C449-1)+Paths!$K$47*(1+'Operating costs'!$B$53)^MAX(0,C449-1)),"n.a."))</f>
        <v>0</v>
      </c>
      <c r="H449" s="16">
        <f>IF(NOT(Paths!$C$47=1),0,IF(Paths!$P$47="Complete",F449/12*(Paths!$L$47*(1+IF(Paths!$D$47="EV",'Operating costs'!$B$52,'Operating costs'!$B$51))^MAX(0,C449-1)+Paths!$M$47*(1+'Operating costs'!$B$53)^MAX(0,C449-1)),"n.a."))</f>
        <v>0</v>
      </c>
      <c r="I449" s="16">
        <f>IF(NOT(Paths!$C$47=1),0,IF(Paths!$P$47="Complete",IF(IF(Paths!$E$47=0,C449=0,AND(C449&gt;0,Paths!$E$47&gt;(C449-1)*12,Paths!$E$47&lt;=C449*12)),Paths!$G$47,0),"n.a."))</f>
        <v>0</v>
      </c>
      <c r="J449" s="16">
        <f>IF(NOT(Paths!$C$47=1),0,IF(Paths!$P$47="Complete",IF(IF(Paths!$E$47=0,C449=0,AND(C449&gt;0,Paths!$E$47&gt;(C449-1)*12,Paths!$E$47&lt;=C449*12)),Paths!$H$47,0),"n.a."))</f>
        <v>0</v>
      </c>
      <c r="K449" s="16">
        <f>IF(NOT(Paths!$C$47=1),0,IF(Paths!$P$47="Complete",IF(IF(Paths!$O$47=0,C449=0,AND(C449&gt;0,Paths!$O$47&gt;(C449-1)*12,Paths!$O$47&lt;=C449*12)),Paths!$N$47,0),"n.a."))</f>
        <v>0</v>
      </c>
      <c r="L449" s="16">
        <f>IF(NOT(Paths!$C$47=1),0,IF(Paths!$P$47="Complete",IF(C449=10,Paths!$I$47,0),"n.a."))</f>
        <v>0</v>
      </c>
      <c r="M449" s="16">
        <f>IF(NOT(Paths!$C$47=1),0,IF(Paths!$P$47="Complete",IF(AND(Paths!$D$47="EV",Paths!$E$47&lt;120,Paths!$E$47+'Operating costs'!$B$65&gt;Paths!$E$47,Paths!$E$47+'Operating costs'!$B$65&lt;=120,IF(Paths!$E$47+'Operating costs'!$B$65=0,C449=0,AND(C449&gt;0,Paths!$E$47+'Operating costs'!$B$65&gt;(C449-1)*12,Paths!$E$47+'Operating costs'!$B$65&lt;=C449*12))),'Operating costs'!$B$64,0)+IF(AND('Operating costs'!$B$67&gt;0,'Operating costs'!$B$67&lt;=120,OR(Paths!$D$47="ICE",'Operating costs'!$B$67&lt;=Paths!$E$47),IF('Operating costs'!$B$67=0,C449=0,AND(C449&gt;0,'Operating costs'!$B$67&gt;(C449-1)*12,'Operating costs'!$B$67&lt;=C449*12))),'Operating costs'!$B$66,0),"n.a."))</f>
        <v>0</v>
      </c>
      <c r="N449" s="16">
        <f>IF(NOT(Paths!$C$47=1),0,IF(Paths!$P$47="Complete",SUM(G449:I449)-J449-K449-L449+M449+IF(C449=0,Paths!$F$47,0)+IF(IF(Paths!$E$47=0,C449=0,AND(C449&gt;0,Paths!$E$47&gt;(C449-1)*12,Paths!$E$47&lt;=C449*12)),VLOOKUP(A449,'Fleet register'!$A$7:$S$106,16,FALSE),0),"n.a."))</f>
        <v>0</v>
      </c>
      <c r="O449" s="16">
        <f>IF(NOT(Paths!$C$47=1),0,IF(Paths!$P$47="Complete",N449-IF(C449=0,Paths!$F$47,0),"n.a."))</f>
        <v>0</v>
      </c>
      <c r="P449" s="16">
        <f>IF(NOT(Paths!$C$47=1),0,IF(Paths!$P$47="Complete",O449+L449,"n.a."))</f>
        <v>0</v>
      </c>
      <c r="Q449" s="16">
        <f>IF(NOT(Paths!$C$47=1),0,IF(Paths!$P$47="Complete",N449*(1+'Operating costs'!$B$54)^-C449,"n.a."))</f>
        <v>0</v>
      </c>
      <c r="R449" s="16">
        <f>IF(NOT(Paths!$C$47=1),0,IF(Paths!$P$47="Complete",IF(AND(C449=0,Paths!$E$47=0),I449-J449-K449+VLOOKUP(A449,'Fleet register'!$A$7:$S$106,15,FALSE)+VLOOKUP(A449,'Fleet register'!$A$7:$S$106,16,FALSE),0),"n.a."))</f>
        <v>0</v>
      </c>
      <c r="S449" s="1">
        <f>IF(NOT(Paths!$C$47=1),0,IF(Paths!$P$47="Complete",IF(C449=0,0,Paths!$S$47*Paths!$R$47),"n.a."))</f>
        <v>0</v>
      </c>
      <c r="T449" s="1">
        <f>IF(NOT(Paths!$C$47=1),0,IF(Paths!$P$47="Complete",IF(C449=0,0,VLOOKUP(A449,'Fleet register'!$A$7:$S$106,9,FALSE)*Paths!$R$47),"n.a."))</f>
        <v>0</v>
      </c>
    </row>
    <row r="450" spans="1:20" ht="24" customHeight="1">
      <c r="A450" s="1" t="str">
        <f>Paths!$A$47</f>
        <v>T011</v>
      </c>
      <c r="B450" s="1">
        <f>Paths!$B$47</f>
        <v>0</v>
      </c>
      <c r="C450" s="1">
        <v>3</v>
      </c>
      <c r="D450" s="1">
        <v>47</v>
      </c>
      <c r="E450" s="1">
        <f>IF(OR(Paths!$C$47=0,C450=0),0,MAX(0,MIN(C450*12,Paths!$E$47)-(C450-1)*12))</f>
        <v>0</v>
      </c>
      <c r="F450" s="1">
        <f>IF(OR(Paths!$C$47=0,C450=0),0,12-E450)</f>
        <v>0</v>
      </c>
      <c r="G450" s="16">
        <f>IF(NOT(Paths!$C$47=1),0,IF(Paths!$P$47="Complete",E450/12*(Paths!$J$47*(1+'Operating costs'!$B$51)^MAX(0,C450-1)+Paths!$K$47*(1+'Operating costs'!$B$53)^MAX(0,C450-1)),"n.a."))</f>
        <v>0</v>
      </c>
      <c r="H450" s="16">
        <f>IF(NOT(Paths!$C$47=1),0,IF(Paths!$P$47="Complete",F450/12*(Paths!$L$47*(1+IF(Paths!$D$47="EV",'Operating costs'!$B$52,'Operating costs'!$B$51))^MAX(0,C450-1)+Paths!$M$47*(1+'Operating costs'!$B$53)^MAX(0,C450-1)),"n.a."))</f>
        <v>0</v>
      </c>
      <c r="I450" s="16">
        <f>IF(NOT(Paths!$C$47=1),0,IF(Paths!$P$47="Complete",IF(IF(Paths!$E$47=0,C450=0,AND(C450&gt;0,Paths!$E$47&gt;(C450-1)*12,Paths!$E$47&lt;=C450*12)),Paths!$G$47,0),"n.a."))</f>
        <v>0</v>
      </c>
      <c r="J450" s="16">
        <f>IF(NOT(Paths!$C$47=1),0,IF(Paths!$P$47="Complete",IF(IF(Paths!$E$47=0,C450=0,AND(C450&gt;0,Paths!$E$47&gt;(C450-1)*12,Paths!$E$47&lt;=C450*12)),Paths!$H$47,0),"n.a."))</f>
        <v>0</v>
      </c>
      <c r="K450" s="16">
        <f>IF(NOT(Paths!$C$47=1),0,IF(Paths!$P$47="Complete",IF(IF(Paths!$O$47=0,C450=0,AND(C450&gt;0,Paths!$O$47&gt;(C450-1)*12,Paths!$O$47&lt;=C450*12)),Paths!$N$47,0),"n.a."))</f>
        <v>0</v>
      </c>
      <c r="L450" s="16">
        <f>IF(NOT(Paths!$C$47=1),0,IF(Paths!$P$47="Complete",IF(C450=10,Paths!$I$47,0),"n.a."))</f>
        <v>0</v>
      </c>
      <c r="M450" s="16">
        <f>IF(NOT(Paths!$C$47=1),0,IF(Paths!$P$47="Complete",IF(AND(Paths!$D$47="EV",Paths!$E$47&lt;120,Paths!$E$47+'Operating costs'!$B$65&gt;Paths!$E$47,Paths!$E$47+'Operating costs'!$B$65&lt;=120,IF(Paths!$E$47+'Operating costs'!$B$65=0,C450=0,AND(C450&gt;0,Paths!$E$47+'Operating costs'!$B$65&gt;(C450-1)*12,Paths!$E$47+'Operating costs'!$B$65&lt;=C450*12))),'Operating costs'!$B$64,0)+IF(AND('Operating costs'!$B$67&gt;0,'Operating costs'!$B$67&lt;=120,OR(Paths!$D$47="ICE",'Operating costs'!$B$67&lt;=Paths!$E$47),IF('Operating costs'!$B$67=0,C450=0,AND(C450&gt;0,'Operating costs'!$B$67&gt;(C450-1)*12,'Operating costs'!$B$67&lt;=C450*12))),'Operating costs'!$B$66,0),"n.a."))</f>
        <v>0</v>
      </c>
      <c r="N450" s="16">
        <f>IF(NOT(Paths!$C$47=1),0,IF(Paths!$P$47="Complete",SUM(G450:I450)-J450-K450-L450+M450+IF(C450=0,Paths!$F$47,0)+IF(IF(Paths!$E$47=0,C450=0,AND(C450&gt;0,Paths!$E$47&gt;(C450-1)*12,Paths!$E$47&lt;=C450*12)),VLOOKUP(A450,'Fleet register'!$A$7:$S$106,16,FALSE),0),"n.a."))</f>
        <v>0</v>
      </c>
      <c r="O450" s="16">
        <f>IF(NOT(Paths!$C$47=1),0,IF(Paths!$P$47="Complete",N450-IF(C450=0,Paths!$F$47,0),"n.a."))</f>
        <v>0</v>
      </c>
      <c r="P450" s="16">
        <f>IF(NOT(Paths!$C$47=1),0,IF(Paths!$P$47="Complete",O450+L450,"n.a."))</f>
        <v>0</v>
      </c>
      <c r="Q450" s="16">
        <f>IF(NOT(Paths!$C$47=1),0,IF(Paths!$P$47="Complete",N450*(1+'Operating costs'!$B$54)^-C450,"n.a."))</f>
        <v>0</v>
      </c>
      <c r="R450" s="16">
        <f>IF(NOT(Paths!$C$47=1),0,IF(Paths!$P$47="Complete",IF(AND(C450=0,Paths!$E$47=0),I450-J450-K450+VLOOKUP(A450,'Fleet register'!$A$7:$S$106,15,FALSE)+VLOOKUP(A450,'Fleet register'!$A$7:$S$106,16,FALSE),0),"n.a."))</f>
        <v>0</v>
      </c>
      <c r="S450" s="1">
        <f>IF(NOT(Paths!$C$47=1),0,IF(Paths!$P$47="Complete",IF(C450=0,0,Paths!$S$47*Paths!$R$47),"n.a."))</f>
        <v>0</v>
      </c>
      <c r="T450" s="1">
        <f>IF(NOT(Paths!$C$47=1),0,IF(Paths!$P$47="Complete",IF(C450=0,0,VLOOKUP(A450,'Fleet register'!$A$7:$S$106,9,FALSE)*Paths!$R$47),"n.a."))</f>
        <v>0</v>
      </c>
    </row>
    <row r="451" spans="1:20" ht="24" customHeight="1">
      <c r="A451" s="1" t="str">
        <f>Paths!$A$47</f>
        <v>T011</v>
      </c>
      <c r="B451" s="1">
        <f>Paths!$B$47</f>
        <v>0</v>
      </c>
      <c r="C451" s="1">
        <v>4</v>
      </c>
      <c r="D451" s="1">
        <v>47</v>
      </c>
      <c r="E451" s="1">
        <f>IF(OR(Paths!$C$47=0,C451=0),0,MAX(0,MIN(C451*12,Paths!$E$47)-(C451-1)*12))</f>
        <v>0</v>
      </c>
      <c r="F451" s="1">
        <f>IF(OR(Paths!$C$47=0,C451=0),0,12-E451)</f>
        <v>0</v>
      </c>
      <c r="G451" s="16">
        <f>IF(NOT(Paths!$C$47=1),0,IF(Paths!$P$47="Complete",E451/12*(Paths!$J$47*(1+'Operating costs'!$B$51)^MAX(0,C451-1)+Paths!$K$47*(1+'Operating costs'!$B$53)^MAX(0,C451-1)),"n.a."))</f>
        <v>0</v>
      </c>
      <c r="H451" s="16">
        <f>IF(NOT(Paths!$C$47=1),0,IF(Paths!$P$47="Complete",F451/12*(Paths!$L$47*(1+IF(Paths!$D$47="EV",'Operating costs'!$B$52,'Operating costs'!$B$51))^MAX(0,C451-1)+Paths!$M$47*(1+'Operating costs'!$B$53)^MAX(0,C451-1)),"n.a."))</f>
        <v>0</v>
      </c>
      <c r="I451" s="16">
        <f>IF(NOT(Paths!$C$47=1),0,IF(Paths!$P$47="Complete",IF(IF(Paths!$E$47=0,C451=0,AND(C451&gt;0,Paths!$E$47&gt;(C451-1)*12,Paths!$E$47&lt;=C451*12)),Paths!$G$47,0),"n.a."))</f>
        <v>0</v>
      </c>
      <c r="J451" s="16">
        <f>IF(NOT(Paths!$C$47=1),0,IF(Paths!$P$47="Complete",IF(IF(Paths!$E$47=0,C451=0,AND(C451&gt;0,Paths!$E$47&gt;(C451-1)*12,Paths!$E$47&lt;=C451*12)),Paths!$H$47,0),"n.a."))</f>
        <v>0</v>
      </c>
      <c r="K451" s="16">
        <f>IF(NOT(Paths!$C$47=1),0,IF(Paths!$P$47="Complete",IF(IF(Paths!$O$47=0,C451=0,AND(C451&gt;0,Paths!$O$47&gt;(C451-1)*12,Paths!$O$47&lt;=C451*12)),Paths!$N$47,0),"n.a."))</f>
        <v>0</v>
      </c>
      <c r="L451" s="16">
        <f>IF(NOT(Paths!$C$47=1),0,IF(Paths!$P$47="Complete",IF(C451=10,Paths!$I$47,0),"n.a."))</f>
        <v>0</v>
      </c>
      <c r="M451" s="16">
        <f>IF(NOT(Paths!$C$47=1),0,IF(Paths!$P$47="Complete",IF(AND(Paths!$D$47="EV",Paths!$E$47&lt;120,Paths!$E$47+'Operating costs'!$B$65&gt;Paths!$E$47,Paths!$E$47+'Operating costs'!$B$65&lt;=120,IF(Paths!$E$47+'Operating costs'!$B$65=0,C451=0,AND(C451&gt;0,Paths!$E$47+'Operating costs'!$B$65&gt;(C451-1)*12,Paths!$E$47+'Operating costs'!$B$65&lt;=C451*12))),'Operating costs'!$B$64,0)+IF(AND('Operating costs'!$B$67&gt;0,'Operating costs'!$B$67&lt;=120,OR(Paths!$D$47="ICE",'Operating costs'!$B$67&lt;=Paths!$E$47),IF('Operating costs'!$B$67=0,C451=0,AND(C451&gt;0,'Operating costs'!$B$67&gt;(C451-1)*12,'Operating costs'!$B$67&lt;=C451*12))),'Operating costs'!$B$66,0),"n.a."))</f>
        <v>0</v>
      </c>
      <c r="N451" s="16">
        <f>IF(NOT(Paths!$C$47=1),0,IF(Paths!$P$47="Complete",SUM(G451:I451)-J451-K451-L451+M451+IF(C451=0,Paths!$F$47,0)+IF(IF(Paths!$E$47=0,C451=0,AND(C451&gt;0,Paths!$E$47&gt;(C451-1)*12,Paths!$E$47&lt;=C451*12)),VLOOKUP(A451,'Fleet register'!$A$7:$S$106,16,FALSE),0),"n.a."))</f>
        <v>0</v>
      </c>
      <c r="O451" s="16">
        <f>IF(NOT(Paths!$C$47=1),0,IF(Paths!$P$47="Complete",N451-IF(C451=0,Paths!$F$47,0),"n.a."))</f>
        <v>0</v>
      </c>
      <c r="P451" s="16">
        <f>IF(NOT(Paths!$C$47=1),0,IF(Paths!$P$47="Complete",O451+L451,"n.a."))</f>
        <v>0</v>
      </c>
      <c r="Q451" s="16">
        <f>IF(NOT(Paths!$C$47=1),0,IF(Paths!$P$47="Complete",N451*(1+'Operating costs'!$B$54)^-C451,"n.a."))</f>
        <v>0</v>
      </c>
      <c r="R451" s="16">
        <f>IF(NOT(Paths!$C$47=1),0,IF(Paths!$P$47="Complete",IF(AND(C451=0,Paths!$E$47=0),I451-J451-K451+VLOOKUP(A451,'Fleet register'!$A$7:$S$106,15,FALSE)+VLOOKUP(A451,'Fleet register'!$A$7:$S$106,16,FALSE),0),"n.a."))</f>
        <v>0</v>
      </c>
      <c r="S451" s="1">
        <f>IF(NOT(Paths!$C$47=1),0,IF(Paths!$P$47="Complete",IF(C451=0,0,Paths!$S$47*Paths!$R$47),"n.a."))</f>
        <v>0</v>
      </c>
      <c r="T451" s="1">
        <f>IF(NOT(Paths!$C$47=1),0,IF(Paths!$P$47="Complete",IF(C451=0,0,VLOOKUP(A451,'Fleet register'!$A$7:$S$106,9,FALSE)*Paths!$R$47),"n.a."))</f>
        <v>0</v>
      </c>
    </row>
    <row r="452" spans="1:20" ht="24" customHeight="1">
      <c r="A452" s="1" t="str">
        <f>Paths!$A$47</f>
        <v>T011</v>
      </c>
      <c r="B452" s="1">
        <f>Paths!$B$47</f>
        <v>0</v>
      </c>
      <c r="C452" s="1">
        <v>5</v>
      </c>
      <c r="D452" s="1">
        <v>47</v>
      </c>
      <c r="E452" s="1">
        <f>IF(OR(Paths!$C$47=0,C452=0),0,MAX(0,MIN(C452*12,Paths!$E$47)-(C452-1)*12))</f>
        <v>0</v>
      </c>
      <c r="F452" s="1">
        <f>IF(OR(Paths!$C$47=0,C452=0),0,12-E452)</f>
        <v>0</v>
      </c>
      <c r="G452" s="16">
        <f>IF(NOT(Paths!$C$47=1),0,IF(Paths!$P$47="Complete",E452/12*(Paths!$J$47*(1+'Operating costs'!$B$51)^MAX(0,C452-1)+Paths!$K$47*(1+'Operating costs'!$B$53)^MAX(0,C452-1)),"n.a."))</f>
        <v>0</v>
      </c>
      <c r="H452" s="16">
        <f>IF(NOT(Paths!$C$47=1),0,IF(Paths!$P$47="Complete",F452/12*(Paths!$L$47*(1+IF(Paths!$D$47="EV",'Operating costs'!$B$52,'Operating costs'!$B$51))^MAX(0,C452-1)+Paths!$M$47*(1+'Operating costs'!$B$53)^MAX(0,C452-1)),"n.a."))</f>
        <v>0</v>
      </c>
      <c r="I452" s="16">
        <f>IF(NOT(Paths!$C$47=1),0,IF(Paths!$P$47="Complete",IF(IF(Paths!$E$47=0,C452=0,AND(C452&gt;0,Paths!$E$47&gt;(C452-1)*12,Paths!$E$47&lt;=C452*12)),Paths!$G$47,0),"n.a."))</f>
        <v>0</v>
      </c>
      <c r="J452" s="16">
        <f>IF(NOT(Paths!$C$47=1),0,IF(Paths!$P$47="Complete",IF(IF(Paths!$E$47=0,C452=0,AND(C452&gt;0,Paths!$E$47&gt;(C452-1)*12,Paths!$E$47&lt;=C452*12)),Paths!$H$47,0),"n.a."))</f>
        <v>0</v>
      </c>
      <c r="K452" s="16">
        <f>IF(NOT(Paths!$C$47=1),0,IF(Paths!$P$47="Complete",IF(IF(Paths!$O$47=0,C452=0,AND(C452&gt;0,Paths!$O$47&gt;(C452-1)*12,Paths!$O$47&lt;=C452*12)),Paths!$N$47,0),"n.a."))</f>
        <v>0</v>
      </c>
      <c r="L452" s="16">
        <f>IF(NOT(Paths!$C$47=1),0,IF(Paths!$P$47="Complete",IF(C452=10,Paths!$I$47,0),"n.a."))</f>
        <v>0</v>
      </c>
      <c r="M452" s="16">
        <f>IF(NOT(Paths!$C$47=1),0,IF(Paths!$P$47="Complete",IF(AND(Paths!$D$47="EV",Paths!$E$47&lt;120,Paths!$E$47+'Operating costs'!$B$65&gt;Paths!$E$47,Paths!$E$47+'Operating costs'!$B$65&lt;=120,IF(Paths!$E$47+'Operating costs'!$B$65=0,C452=0,AND(C452&gt;0,Paths!$E$47+'Operating costs'!$B$65&gt;(C452-1)*12,Paths!$E$47+'Operating costs'!$B$65&lt;=C452*12))),'Operating costs'!$B$64,0)+IF(AND('Operating costs'!$B$67&gt;0,'Operating costs'!$B$67&lt;=120,OR(Paths!$D$47="ICE",'Operating costs'!$B$67&lt;=Paths!$E$47),IF('Operating costs'!$B$67=0,C452=0,AND(C452&gt;0,'Operating costs'!$B$67&gt;(C452-1)*12,'Operating costs'!$B$67&lt;=C452*12))),'Operating costs'!$B$66,0),"n.a."))</f>
        <v>0</v>
      </c>
      <c r="N452" s="16">
        <f>IF(NOT(Paths!$C$47=1),0,IF(Paths!$P$47="Complete",SUM(G452:I452)-J452-K452-L452+M452+IF(C452=0,Paths!$F$47,0)+IF(IF(Paths!$E$47=0,C452=0,AND(C452&gt;0,Paths!$E$47&gt;(C452-1)*12,Paths!$E$47&lt;=C452*12)),VLOOKUP(A452,'Fleet register'!$A$7:$S$106,16,FALSE),0),"n.a."))</f>
        <v>0</v>
      </c>
      <c r="O452" s="16">
        <f>IF(NOT(Paths!$C$47=1),0,IF(Paths!$P$47="Complete",N452-IF(C452=0,Paths!$F$47,0),"n.a."))</f>
        <v>0</v>
      </c>
      <c r="P452" s="16">
        <f>IF(NOT(Paths!$C$47=1),0,IF(Paths!$P$47="Complete",O452+L452,"n.a."))</f>
        <v>0</v>
      </c>
      <c r="Q452" s="16">
        <f>IF(NOT(Paths!$C$47=1),0,IF(Paths!$P$47="Complete",N452*(1+'Operating costs'!$B$54)^-C452,"n.a."))</f>
        <v>0</v>
      </c>
      <c r="R452" s="16">
        <f>IF(NOT(Paths!$C$47=1),0,IF(Paths!$P$47="Complete",IF(AND(C452=0,Paths!$E$47=0),I452-J452-K452+VLOOKUP(A452,'Fleet register'!$A$7:$S$106,15,FALSE)+VLOOKUP(A452,'Fleet register'!$A$7:$S$106,16,FALSE),0),"n.a."))</f>
        <v>0</v>
      </c>
      <c r="S452" s="1">
        <f>IF(NOT(Paths!$C$47=1),0,IF(Paths!$P$47="Complete",IF(C452=0,0,Paths!$S$47*Paths!$R$47),"n.a."))</f>
        <v>0</v>
      </c>
      <c r="T452" s="1">
        <f>IF(NOT(Paths!$C$47=1),0,IF(Paths!$P$47="Complete",IF(C452=0,0,VLOOKUP(A452,'Fleet register'!$A$7:$S$106,9,FALSE)*Paths!$R$47),"n.a."))</f>
        <v>0</v>
      </c>
    </row>
    <row r="453" spans="1:20" ht="24" customHeight="1">
      <c r="A453" s="1" t="str">
        <f>Paths!$A$47</f>
        <v>T011</v>
      </c>
      <c r="B453" s="1">
        <f>Paths!$B$47</f>
        <v>0</v>
      </c>
      <c r="C453" s="1">
        <v>6</v>
      </c>
      <c r="D453" s="1">
        <v>47</v>
      </c>
      <c r="E453" s="1">
        <f>IF(OR(Paths!$C$47=0,C453=0),0,MAX(0,MIN(C453*12,Paths!$E$47)-(C453-1)*12))</f>
        <v>0</v>
      </c>
      <c r="F453" s="1">
        <f>IF(OR(Paths!$C$47=0,C453=0),0,12-E453)</f>
        <v>0</v>
      </c>
      <c r="G453" s="16">
        <f>IF(NOT(Paths!$C$47=1),0,IF(Paths!$P$47="Complete",E453/12*(Paths!$J$47*(1+'Operating costs'!$B$51)^MAX(0,C453-1)+Paths!$K$47*(1+'Operating costs'!$B$53)^MAX(0,C453-1)),"n.a."))</f>
        <v>0</v>
      </c>
      <c r="H453" s="16">
        <f>IF(NOT(Paths!$C$47=1),0,IF(Paths!$P$47="Complete",F453/12*(Paths!$L$47*(1+IF(Paths!$D$47="EV",'Operating costs'!$B$52,'Operating costs'!$B$51))^MAX(0,C453-1)+Paths!$M$47*(1+'Operating costs'!$B$53)^MAX(0,C453-1)),"n.a."))</f>
        <v>0</v>
      </c>
      <c r="I453" s="16">
        <f>IF(NOT(Paths!$C$47=1),0,IF(Paths!$P$47="Complete",IF(IF(Paths!$E$47=0,C453=0,AND(C453&gt;0,Paths!$E$47&gt;(C453-1)*12,Paths!$E$47&lt;=C453*12)),Paths!$G$47,0),"n.a."))</f>
        <v>0</v>
      </c>
      <c r="J453" s="16">
        <f>IF(NOT(Paths!$C$47=1),0,IF(Paths!$P$47="Complete",IF(IF(Paths!$E$47=0,C453=0,AND(C453&gt;0,Paths!$E$47&gt;(C453-1)*12,Paths!$E$47&lt;=C453*12)),Paths!$H$47,0),"n.a."))</f>
        <v>0</v>
      </c>
      <c r="K453" s="16">
        <f>IF(NOT(Paths!$C$47=1),0,IF(Paths!$P$47="Complete",IF(IF(Paths!$O$47=0,C453=0,AND(C453&gt;0,Paths!$O$47&gt;(C453-1)*12,Paths!$O$47&lt;=C453*12)),Paths!$N$47,0),"n.a."))</f>
        <v>0</v>
      </c>
      <c r="L453" s="16">
        <f>IF(NOT(Paths!$C$47=1),0,IF(Paths!$P$47="Complete",IF(C453=10,Paths!$I$47,0),"n.a."))</f>
        <v>0</v>
      </c>
      <c r="M453" s="16">
        <f>IF(NOT(Paths!$C$47=1),0,IF(Paths!$P$47="Complete",IF(AND(Paths!$D$47="EV",Paths!$E$47&lt;120,Paths!$E$47+'Operating costs'!$B$65&gt;Paths!$E$47,Paths!$E$47+'Operating costs'!$B$65&lt;=120,IF(Paths!$E$47+'Operating costs'!$B$65=0,C453=0,AND(C453&gt;0,Paths!$E$47+'Operating costs'!$B$65&gt;(C453-1)*12,Paths!$E$47+'Operating costs'!$B$65&lt;=C453*12))),'Operating costs'!$B$64,0)+IF(AND('Operating costs'!$B$67&gt;0,'Operating costs'!$B$67&lt;=120,OR(Paths!$D$47="ICE",'Operating costs'!$B$67&lt;=Paths!$E$47),IF('Operating costs'!$B$67=0,C453=0,AND(C453&gt;0,'Operating costs'!$B$67&gt;(C453-1)*12,'Operating costs'!$B$67&lt;=C453*12))),'Operating costs'!$B$66,0),"n.a."))</f>
        <v>0</v>
      </c>
      <c r="N453" s="16">
        <f>IF(NOT(Paths!$C$47=1),0,IF(Paths!$P$47="Complete",SUM(G453:I453)-J453-K453-L453+M453+IF(C453=0,Paths!$F$47,0)+IF(IF(Paths!$E$47=0,C453=0,AND(C453&gt;0,Paths!$E$47&gt;(C453-1)*12,Paths!$E$47&lt;=C453*12)),VLOOKUP(A453,'Fleet register'!$A$7:$S$106,16,FALSE),0),"n.a."))</f>
        <v>0</v>
      </c>
      <c r="O453" s="16">
        <f>IF(NOT(Paths!$C$47=1),0,IF(Paths!$P$47="Complete",N453-IF(C453=0,Paths!$F$47,0),"n.a."))</f>
        <v>0</v>
      </c>
      <c r="P453" s="16">
        <f>IF(NOT(Paths!$C$47=1),0,IF(Paths!$P$47="Complete",O453+L453,"n.a."))</f>
        <v>0</v>
      </c>
      <c r="Q453" s="16">
        <f>IF(NOT(Paths!$C$47=1),0,IF(Paths!$P$47="Complete",N453*(1+'Operating costs'!$B$54)^-C453,"n.a."))</f>
        <v>0</v>
      </c>
      <c r="R453" s="16">
        <f>IF(NOT(Paths!$C$47=1),0,IF(Paths!$P$47="Complete",IF(AND(C453=0,Paths!$E$47=0),I453-J453-K453+VLOOKUP(A453,'Fleet register'!$A$7:$S$106,15,FALSE)+VLOOKUP(A453,'Fleet register'!$A$7:$S$106,16,FALSE),0),"n.a."))</f>
        <v>0</v>
      </c>
      <c r="S453" s="1">
        <f>IF(NOT(Paths!$C$47=1),0,IF(Paths!$P$47="Complete",IF(C453=0,0,Paths!$S$47*Paths!$R$47),"n.a."))</f>
        <v>0</v>
      </c>
      <c r="T453" s="1">
        <f>IF(NOT(Paths!$C$47=1),0,IF(Paths!$P$47="Complete",IF(C453=0,0,VLOOKUP(A453,'Fleet register'!$A$7:$S$106,9,FALSE)*Paths!$R$47),"n.a."))</f>
        <v>0</v>
      </c>
    </row>
    <row r="454" spans="1:20" ht="24" customHeight="1">
      <c r="A454" s="1" t="str">
        <f>Paths!$A$47</f>
        <v>T011</v>
      </c>
      <c r="B454" s="1">
        <f>Paths!$B$47</f>
        <v>0</v>
      </c>
      <c r="C454" s="1">
        <v>7</v>
      </c>
      <c r="D454" s="1">
        <v>47</v>
      </c>
      <c r="E454" s="1">
        <f>IF(OR(Paths!$C$47=0,C454=0),0,MAX(0,MIN(C454*12,Paths!$E$47)-(C454-1)*12))</f>
        <v>0</v>
      </c>
      <c r="F454" s="1">
        <f>IF(OR(Paths!$C$47=0,C454=0),0,12-E454)</f>
        <v>0</v>
      </c>
      <c r="G454" s="16">
        <f>IF(NOT(Paths!$C$47=1),0,IF(Paths!$P$47="Complete",E454/12*(Paths!$J$47*(1+'Operating costs'!$B$51)^MAX(0,C454-1)+Paths!$K$47*(1+'Operating costs'!$B$53)^MAX(0,C454-1)),"n.a."))</f>
        <v>0</v>
      </c>
      <c r="H454" s="16">
        <f>IF(NOT(Paths!$C$47=1),0,IF(Paths!$P$47="Complete",F454/12*(Paths!$L$47*(1+IF(Paths!$D$47="EV",'Operating costs'!$B$52,'Operating costs'!$B$51))^MAX(0,C454-1)+Paths!$M$47*(1+'Operating costs'!$B$53)^MAX(0,C454-1)),"n.a."))</f>
        <v>0</v>
      </c>
      <c r="I454" s="16">
        <f>IF(NOT(Paths!$C$47=1),0,IF(Paths!$P$47="Complete",IF(IF(Paths!$E$47=0,C454=0,AND(C454&gt;0,Paths!$E$47&gt;(C454-1)*12,Paths!$E$47&lt;=C454*12)),Paths!$G$47,0),"n.a."))</f>
        <v>0</v>
      </c>
      <c r="J454" s="16">
        <f>IF(NOT(Paths!$C$47=1),0,IF(Paths!$P$47="Complete",IF(IF(Paths!$E$47=0,C454=0,AND(C454&gt;0,Paths!$E$47&gt;(C454-1)*12,Paths!$E$47&lt;=C454*12)),Paths!$H$47,0),"n.a."))</f>
        <v>0</v>
      </c>
      <c r="K454" s="16">
        <f>IF(NOT(Paths!$C$47=1),0,IF(Paths!$P$47="Complete",IF(IF(Paths!$O$47=0,C454=0,AND(C454&gt;0,Paths!$O$47&gt;(C454-1)*12,Paths!$O$47&lt;=C454*12)),Paths!$N$47,0),"n.a."))</f>
        <v>0</v>
      </c>
      <c r="L454" s="16">
        <f>IF(NOT(Paths!$C$47=1),0,IF(Paths!$P$47="Complete",IF(C454=10,Paths!$I$47,0),"n.a."))</f>
        <v>0</v>
      </c>
      <c r="M454" s="16">
        <f>IF(NOT(Paths!$C$47=1),0,IF(Paths!$P$47="Complete",IF(AND(Paths!$D$47="EV",Paths!$E$47&lt;120,Paths!$E$47+'Operating costs'!$B$65&gt;Paths!$E$47,Paths!$E$47+'Operating costs'!$B$65&lt;=120,IF(Paths!$E$47+'Operating costs'!$B$65=0,C454=0,AND(C454&gt;0,Paths!$E$47+'Operating costs'!$B$65&gt;(C454-1)*12,Paths!$E$47+'Operating costs'!$B$65&lt;=C454*12))),'Operating costs'!$B$64,0)+IF(AND('Operating costs'!$B$67&gt;0,'Operating costs'!$B$67&lt;=120,OR(Paths!$D$47="ICE",'Operating costs'!$B$67&lt;=Paths!$E$47),IF('Operating costs'!$B$67=0,C454=0,AND(C454&gt;0,'Operating costs'!$B$67&gt;(C454-1)*12,'Operating costs'!$B$67&lt;=C454*12))),'Operating costs'!$B$66,0),"n.a."))</f>
        <v>0</v>
      </c>
      <c r="N454" s="16">
        <f>IF(NOT(Paths!$C$47=1),0,IF(Paths!$P$47="Complete",SUM(G454:I454)-J454-K454-L454+M454+IF(C454=0,Paths!$F$47,0)+IF(IF(Paths!$E$47=0,C454=0,AND(C454&gt;0,Paths!$E$47&gt;(C454-1)*12,Paths!$E$47&lt;=C454*12)),VLOOKUP(A454,'Fleet register'!$A$7:$S$106,16,FALSE),0),"n.a."))</f>
        <v>0</v>
      </c>
      <c r="O454" s="16">
        <f>IF(NOT(Paths!$C$47=1),0,IF(Paths!$P$47="Complete",N454-IF(C454=0,Paths!$F$47,0),"n.a."))</f>
        <v>0</v>
      </c>
      <c r="P454" s="16">
        <f>IF(NOT(Paths!$C$47=1),0,IF(Paths!$P$47="Complete",O454+L454,"n.a."))</f>
        <v>0</v>
      </c>
      <c r="Q454" s="16">
        <f>IF(NOT(Paths!$C$47=1),0,IF(Paths!$P$47="Complete",N454*(1+'Operating costs'!$B$54)^-C454,"n.a."))</f>
        <v>0</v>
      </c>
      <c r="R454" s="16">
        <f>IF(NOT(Paths!$C$47=1),0,IF(Paths!$P$47="Complete",IF(AND(C454=0,Paths!$E$47=0),I454-J454-K454+VLOOKUP(A454,'Fleet register'!$A$7:$S$106,15,FALSE)+VLOOKUP(A454,'Fleet register'!$A$7:$S$106,16,FALSE),0),"n.a."))</f>
        <v>0</v>
      </c>
      <c r="S454" s="1">
        <f>IF(NOT(Paths!$C$47=1),0,IF(Paths!$P$47="Complete",IF(C454=0,0,Paths!$S$47*Paths!$R$47),"n.a."))</f>
        <v>0</v>
      </c>
      <c r="T454" s="1">
        <f>IF(NOT(Paths!$C$47=1),0,IF(Paths!$P$47="Complete",IF(C454=0,0,VLOOKUP(A454,'Fleet register'!$A$7:$S$106,9,FALSE)*Paths!$R$47),"n.a."))</f>
        <v>0</v>
      </c>
    </row>
    <row r="455" spans="1:20" ht="24" customHeight="1">
      <c r="A455" s="1" t="str">
        <f>Paths!$A$47</f>
        <v>T011</v>
      </c>
      <c r="B455" s="1">
        <f>Paths!$B$47</f>
        <v>0</v>
      </c>
      <c r="C455" s="1">
        <v>8</v>
      </c>
      <c r="D455" s="1">
        <v>47</v>
      </c>
      <c r="E455" s="1">
        <f>IF(OR(Paths!$C$47=0,C455=0),0,MAX(0,MIN(C455*12,Paths!$E$47)-(C455-1)*12))</f>
        <v>0</v>
      </c>
      <c r="F455" s="1">
        <f>IF(OR(Paths!$C$47=0,C455=0),0,12-E455)</f>
        <v>0</v>
      </c>
      <c r="G455" s="16">
        <f>IF(NOT(Paths!$C$47=1),0,IF(Paths!$P$47="Complete",E455/12*(Paths!$J$47*(1+'Operating costs'!$B$51)^MAX(0,C455-1)+Paths!$K$47*(1+'Operating costs'!$B$53)^MAX(0,C455-1)),"n.a."))</f>
        <v>0</v>
      </c>
      <c r="H455" s="16">
        <f>IF(NOT(Paths!$C$47=1),0,IF(Paths!$P$47="Complete",F455/12*(Paths!$L$47*(1+IF(Paths!$D$47="EV",'Operating costs'!$B$52,'Operating costs'!$B$51))^MAX(0,C455-1)+Paths!$M$47*(1+'Operating costs'!$B$53)^MAX(0,C455-1)),"n.a."))</f>
        <v>0</v>
      </c>
      <c r="I455" s="16">
        <f>IF(NOT(Paths!$C$47=1),0,IF(Paths!$P$47="Complete",IF(IF(Paths!$E$47=0,C455=0,AND(C455&gt;0,Paths!$E$47&gt;(C455-1)*12,Paths!$E$47&lt;=C455*12)),Paths!$G$47,0),"n.a."))</f>
        <v>0</v>
      </c>
      <c r="J455" s="16">
        <f>IF(NOT(Paths!$C$47=1),0,IF(Paths!$P$47="Complete",IF(IF(Paths!$E$47=0,C455=0,AND(C455&gt;0,Paths!$E$47&gt;(C455-1)*12,Paths!$E$47&lt;=C455*12)),Paths!$H$47,0),"n.a."))</f>
        <v>0</v>
      </c>
      <c r="K455" s="16">
        <f>IF(NOT(Paths!$C$47=1),0,IF(Paths!$P$47="Complete",IF(IF(Paths!$O$47=0,C455=0,AND(C455&gt;0,Paths!$O$47&gt;(C455-1)*12,Paths!$O$47&lt;=C455*12)),Paths!$N$47,0),"n.a."))</f>
        <v>0</v>
      </c>
      <c r="L455" s="16">
        <f>IF(NOT(Paths!$C$47=1),0,IF(Paths!$P$47="Complete",IF(C455=10,Paths!$I$47,0),"n.a."))</f>
        <v>0</v>
      </c>
      <c r="M455" s="16">
        <f>IF(NOT(Paths!$C$47=1),0,IF(Paths!$P$47="Complete",IF(AND(Paths!$D$47="EV",Paths!$E$47&lt;120,Paths!$E$47+'Operating costs'!$B$65&gt;Paths!$E$47,Paths!$E$47+'Operating costs'!$B$65&lt;=120,IF(Paths!$E$47+'Operating costs'!$B$65=0,C455=0,AND(C455&gt;0,Paths!$E$47+'Operating costs'!$B$65&gt;(C455-1)*12,Paths!$E$47+'Operating costs'!$B$65&lt;=C455*12))),'Operating costs'!$B$64,0)+IF(AND('Operating costs'!$B$67&gt;0,'Operating costs'!$B$67&lt;=120,OR(Paths!$D$47="ICE",'Operating costs'!$B$67&lt;=Paths!$E$47),IF('Operating costs'!$B$67=0,C455=0,AND(C455&gt;0,'Operating costs'!$B$67&gt;(C455-1)*12,'Operating costs'!$B$67&lt;=C455*12))),'Operating costs'!$B$66,0),"n.a."))</f>
        <v>0</v>
      </c>
      <c r="N455" s="16">
        <f>IF(NOT(Paths!$C$47=1),0,IF(Paths!$P$47="Complete",SUM(G455:I455)-J455-K455-L455+M455+IF(C455=0,Paths!$F$47,0)+IF(IF(Paths!$E$47=0,C455=0,AND(C455&gt;0,Paths!$E$47&gt;(C455-1)*12,Paths!$E$47&lt;=C455*12)),VLOOKUP(A455,'Fleet register'!$A$7:$S$106,16,FALSE),0),"n.a."))</f>
        <v>0</v>
      </c>
      <c r="O455" s="16">
        <f>IF(NOT(Paths!$C$47=1),0,IF(Paths!$P$47="Complete",N455-IF(C455=0,Paths!$F$47,0),"n.a."))</f>
        <v>0</v>
      </c>
      <c r="P455" s="16">
        <f>IF(NOT(Paths!$C$47=1),0,IF(Paths!$P$47="Complete",O455+L455,"n.a."))</f>
        <v>0</v>
      </c>
      <c r="Q455" s="16">
        <f>IF(NOT(Paths!$C$47=1),0,IF(Paths!$P$47="Complete",N455*(1+'Operating costs'!$B$54)^-C455,"n.a."))</f>
        <v>0</v>
      </c>
      <c r="R455" s="16">
        <f>IF(NOT(Paths!$C$47=1),0,IF(Paths!$P$47="Complete",IF(AND(C455=0,Paths!$E$47=0),I455-J455-K455+VLOOKUP(A455,'Fleet register'!$A$7:$S$106,15,FALSE)+VLOOKUP(A455,'Fleet register'!$A$7:$S$106,16,FALSE),0),"n.a."))</f>
        <v>0</v>
      </c>
      <c r="S455" s="1">
        <f>IF(NOT(Paths!$C$47=1),0,IF(Paths!$P$47="Complete",IF(C455=0,0,Paths!$S$47*Paths!$R$47),"n.a."))</f>
        <v>0</v>
      </c>
      <c r="T455" s="1">
        <f>IF(NOT(Paths!$C$47=1),0,IF(Paths!$P$47="Complete",IF(C455=0,0,VLOOKUP(A455,'Fleet register'!$A$7:$S$106,9,FALSE)*Paths!$R$47),"n.a."))</f>
        <v>0</v>
      </c>
    </row>
    <row r="456" spans="1:20" ht="24" customHeight="1">
      <c r="A456" s="1" t="str">
        <f>Paths!$A$47</f>
        <v>T011</v>
      </c>
      <c r="B456" s="1">
        <f>Paths!$B$47</f>
        <v>0</v>
      </c>
      <c r="C456" s="1">
        <v>9</v>
      </c>
      <c r="D456" s="1">
        <v>47</v>
      </c>
      <c r="E456" s="1">
        <f>IF(OR(Paths!$C$47=0,C456=0),0,MAX(0,MIN(C456*12,Paths!$E$47)-(C456-1)*12))</f>
        <v>0</v>
      </c>
      <c r="F456" s="1">
        <f>IF(OR(Paths!$C$47=0,C456=0),0,12-E456)</f>
        <v>0</v>
      </c>
      <c r="G456" s="16">
        <f>IF(NOT(Paths!$C$47=1),0,IF(Paths!$P$47="Complete",E456/12*(Paths!$J$47*(1+'Operating costs'!$B$51)^MAX(0,C456-1)+Paths!$K$47*(1+'Operating costs'!$B$53)^MAX(0,C456-1)),"n.a."))</f>
        <v>0</v>
      </c>
      <c r="H456" s="16">
        <f>IF(NOT(Paths!$C$47=1),0,IF(Paths!$P$47="Complete",F456/12*(Paths!$L$47*(1+IF(Paths!$D$47="EV",'Operating costs'!$B$52,'Operating costs'!$B$51))^MAX(0,C456-1)+Paths!$M$47*(1+'Operating costs'!$B$53)^MAX(0,C456-1)),"n.a."))</f>
        <v>0</v>
      </c>
      <c r="I456" s="16">
        <f>IF(NOT(Paths!$C$47=1),0,IF(Paths!$P$47="Complete",IF(IF(Paths!$E$47=0,C456=0,AND(C456&gt;0,Paths!$E$47&gt;(C456-1)*12,Paths!$E$47&lt;=C456*12)),Paths!$G$47,0),"n.a."))</f>
        <v>0</v>
      </c>
      <c r="J456" s="16">
        <f>IF(NOT(Paths!$C$47=1),0,IF(Paths!$P$47="Complete",IF(IF(Paths!$E$47=0,C456=0,AND(C456&gt;0,Paths!$E$47&gt;(C456-1)*12,Paths!$E$47&lt;=C456*12)),Paths!$H$47,0),"n.a."))</f>
        <v>0</v>
      </c>
      <c r="K456" s="16">
        <f>IF(NOT(Paths!$C$47=1),0,IF(Paths!$P$47="Complete",IF(IF(Paths!$O$47=0,C456=0,AND(C456&gt;0,Paths!$O$47&gt;(C456-1)*12,Paths!$O$47&lt;=C456*12)),Paths!$N$47,0),"n.a."))</f>
        <v>0</v>
      </c>
      <c r="L456" s="16">
        <f>IF(NOT(Paths!$C$47=1),0,IF(Paths!$P$47="Complete",IF(C456=10,Paths!$I$47,0),"n.a."))</f>
        <v>0</v>
      </c>
      <c r="M456" s="16">
        <f>IF(NOT(Paths!$C$47=1),0,IF(Paths!$P$47="Complete",IF(AND(Paths!$D$47="EV",Paths!$E$47&lt;120,Paths!$E$47+'Operating costs'!$B$65&gt;Paths!$E$47,Paths!$E$47+'Operating costs'!$B$65&lt;=120,IF(Paths!$E$47+'Operating costs'!$B$65=0,C456=0,AND(C456&gt;0,Paths!$E$47+'Operating costs'!$B$65&gt;(C456-1)*12,Paths!$E$47+'Operating costs'!$B$65&lt;=C456*12))),'Operating costs'!$B$64,0)+IF(AND('Operating costs'!$B$67&gt;0,'Operating costs'!$B$67&lt;=120,OR(Paths!$D$47="ICE",'Operating costs'!$B$67&lt;=Paths!$E$47),IF('Operating costs'!$B$67=0,C456=0,AND(C456&gt;0,'Operating costs'!$B$67&gt;(C456-1)*12,'Operating costs'!$B$67&lt;=C456*12))),'Operating costs'!$B$66,0),"n.a."))</f>
        <v>0</v>
      </c>
      <c r="N456" s="16">
        <f>IF(NOT(Paths!$C$47=1),0,IF(Paths!$P$47="Complete",SUM(G456:I456)-J456-K456-L456+M456+IF(C456=0,Paths!$F$47,0)+IF(IF(Paths!$E$47=0,C456=0,AND(C456&gt;0,Paths!$E$47&gt;(C456-1)*12,Paths!$E$47&lt;=C456*12)),VLOOKUP(A456,'Fleet register'!$A$7:$S$106,16,FALSE),0),"n.a."))</f>
        <v>0</v>
      </c>
      <c r="O456" s="16">
        <f>IF(NOT(Paths!$C$47=1),0,IF(Paths!$P$47="Complete",N456-IF(C456=0,Paths!$F$47,0),"n.a."))</f>
        <v>0</v>
      </c>
      <c r="P456" s="16">
        <f>IF(NOT(Paths!$C$47=1),0,IF(Paths!$P$47="Complete",O456+L456,"n.a."))</f>
        <v>0</v>
      </c>
      <c r="Q456" s="16">
        <f>IF(NOT(Paths!$C$47=1),0,IF(Paths!$P$47="Complete",N456*(1+'Operating costs'!$B$54)^-C456,"n.a."))</f>
        <v>0</v>
      </c>
      <c r="R456" s="16">
        <f>IF(NOT(Paths!$C$47=1),0,IF(Paths!$P$47="Complete",IF(AND(C456=0,Paths!$E$47=0),I456-J456-K456+VLOOKUP(A456,'Fleet register'!$A$7:$S$106,15,FALSE)+VLOOKUP(A456,'Fleet register'!$A$7:$S$106,16,FALSE),0),"n.a."))</f>
        <v>0</v>
      </c>
      <c r="S456" s="1">
        <f>IF(NOT(Paths!$C$47=1),0,IF(Paths!$P$47="Complete",IF(C456=0,0,Paths!$S$47*Paths!$R$47),"n.a."))</f>
        <v>0</v>
      </c>
      <c r="T456" s="1">
        <f>IF(NOT(Paths!$C$47=1),0,IF(Paths!$P$47="Complete",IF(C456=0,0,VLOOKUP(A456,'Fleet register'!$A$7:$S$106,9,FALSE)*Paths!$R$47),"n.a."))</f>
        <v>0</v>
      </c>
    </row>
    <row r="457" spans="1:20" ht="24" customHeight="1">
      <c r="A457" s="1" t="str">
        <f>Paths!$A$47</f>
        <v>T011</v>
      </c>
      <c r="B457" s="1">
        <f>Paths!$B$47</f>
        <v>0</v>
      </c>
      <c r="C457" s="1">
        <v>10</v>
      </c>
      <c r="D457" s="1">
        <v>47</v>
      </c>
      <c r="E457" s="1">
        <f>IF(OR(Paths!$C$47=0,C457=0),0,MAX(0,MIN(C457*12,Paths!$E$47)-(C457-1)*12))</f>
        <v>0</v>
      </c>
      <c r="F457" s="1">
        <f>IF(OR(Paths!$C$47=0,C457=0),0,12-E457)</f>
        <v>0</v>
      </c>
      <c r="G457" s="16">
        <f>IF(NOT(Paths!$C$47=1),0,IF(Paths!$P$47="Complete",E457/12*(Paths!$J$47*(1+'Operating costs'!$B$51)^MAX(0,C457-1)+Paths!$K$47*(1+'Operating costs'!$B$53)^MAX(0,C457-1)),"n.a."))</f>
        <v>0</v>
      </c>
      <c r="H457" s="16">
        <f>IF(NOT(Paths!$C$47=1),0,IF(Paths!$P$47="Complete",F457/12*(Paths!$L$47*(1+IF(Paths!$D$47="EV",'Operating costs'!$B$52,'Operating costs'!$B$51))^MAX(0,C457-1)+Paths!$M$47*(1+'Operating costs'!$B$53)^MAX(0,C457-1)),"n.a."))</f>
        <v>0</v>
      </c>
      <c r="I457" s="16">
        <f>IF(NOT(Paths!$C$47=1),0,IF(Paths!$P$47="Complete",IF(IF(Paths!$E$47=0,C457=0,AND(C457&gt;0,Paths!$E$47&gt;(C457-1)*12,Paths!$E$47&lt;=C457*12)),Paths!$G$47,0),"n.a."))</f>
        <v>0</v>
      </c>
      <c r="J457" s="16">
        <f>IF(NOT(Paths!$C$47=1),0,IF(Paths!$P$47="Complete",IF(IF(Paths!$E$47=0,C457=0,AND(C457&gt;0,Paths!$E$47&gt;(C457-1)*12,Paths!$E$47&lt;=C457*12)),Paths!$H$47,0),"n.a."))</f>
        <v>0</v>
      </c>
      <c r="K457" s="16">
        <f>IF(NOT(Paths!$C$47=1),0,IF(Paths!$P$47="Complete",IF(IF(Paths!$O$47=0,C457=0,AND(C457&gt;0,Paths!$O$47&gt;(C457-1)*12,Paths!$O$47&lt;=C457*12)),Paths!$N$47,0),"n.a."))</f>
        <v>0</v>
      </c>
      <c r="L457" s="16">
        <f>IF(NOT(Paths!$C$47=1),0,IF(Paths!$P$47="Complete",IF(C457=10,Paths!$I$47,0),"n.a."))</f>
        <v>0</v>
      </c>
      <c r="M457" s="16">
        <f>IF(NOT(Paths!$C$47=1),0,IF(Paths!$P$47="Complete",IF(AND(Paths!$D$47="EV",Paths!$E$47&lt;120,Paths!$E$47+'Operating costs'!$B$65&gt;Paths!$E$47,Paths!$E$47+'Operating costs'!$B$65&lt;=120,IF(Paths!$E$47+'Operating costs'!$B$65=0,C457=0,AND(C457&gt;0,Paths!$E$47+'Operating costs'!$B$65&gt;(C457-1)*12,Paths!$E$47+'Operating costs'!$B$65&lt;=C457*12))),'Operating costs'!$B$64,0)+IF(AND('Operating costs'!$B$67&gt;0,'Operating costs'!$B$67&lt;=120,OR(Paths!$D$47="ICE",'Operating costs'!$B$67&lt;=Paths!$E$47),IF('Operating costs'!$B$67=0,C457=0,AND(C457&gt;0,'Operating costs'!$B$67&gt;(C457-1)*12,'Operating costs'!$B$67&lt;=C457*12))),'Operating costs'!$B$66,0),"n.a."))</f>
        <v>0</v>
      </c>
      <c r="N457" s="16">
        <f>IF(NOT(Paths!$C$47=1),0,IF(Paths!$P$47="Complete",SUM(G457:I457)-J457-K457-L457+M457+IF(C457=0,Paths!$F$47,0)+IF(IF(Paths!$E$47=0,C457=0,AND(C457&gt;0,Paths!$E$47&gt;(C457-1)*12,Paths!$E$47&lt;=C457*12)),VLOOKUP(A457,'Fleet register'!$A$7:$S$106,16,FALSE),0),"n.a."))</f>
        <v>0</v>
      </c>
      <c r="O457" s="16">
        <f>IF(NOT(Paths!$C$47=1),0,IF(Paths!$P$47="Complete",N457-IF(C457=0,Paths!$F$47,0),"n.a."))</f>
        <v>0</v>
      </c>
      <c r="P457" s="16">
        <f>IF(NOT(Paths!$C$47=1),0,IF(Paths!$P$47="Complete",O457+L457,"n.a."))</f>
        <v>0</v>
      </c>
      <c r="Q457" s="16">
        <f>IF(NOT(Paths!$C$47=1),0,IF(Paths!$P$47="Complete",N457*(1+'Operating costs'!$B$54)^-C457,"n.a."))</f>
        <v>0</v>
      </c>
      <c r="R457" s="16">
        <f>IF(NOT(Paths!$C$47=1),0,IF(Paths!$P$47="Complete",IF(AND(C457=0,Paths!$E$47=0),I457-J457-K457+VLOOKUP(A457,'Fleet register'!$A$7:$S$106,15,FALSE)+VLOOKUP(A457,'Fleet register'!$A$7:$S$106,16,FALSE),0),"n.a."))</f>
        <v>0</v>
      </c>
      <c r="S457" s="1">
        <f>IF(NOT(Paths!$C$47=1),0,IF(Paths!$P$47="Complete",IF(C457=0,0,Paths!$S$47*Paths!$R$47),"n.a."))</f>
        <v>0</v>
      </c>
      <c r="T457" s="1">
        <f>IF(NOT(Paths!$C$47=1),0,IF(Paths!$P$47="Complete",IF(C457=0,0,VLOOKUP(A457,'Fleet register'!$A$7:$S$106,9,FALSE)*Paths!$R$47),"n.a."))</f>
        <v>0</v>
      </c>
    </row>
    <row r="458" spans="1:20" ht="24" customHeight="1">
      <c r="A458" s="1" t="str">
        <f>Paths!$A$48</f>
        <v>T011</v>
      </c>
      <c r="B458" s="1">
        <f>Paths!$B$48</f>
        <v>1</v>
      </c>
      <c r="C458" s="1">
        <v>0</v>
      </c>
      <c r="D458" s="1">
        <v>48</v>
      </c>
      <c r="E458" s="1">
        <f>IF(OR(Paths!$C$48=0,C458=0),0,MAX(0,MIN(C458*12,Paths!$E$48)-(C458-1)*12))</f>
        <v>0</v>
      </c>
      <c r="F458" s="1">
        <f>IF(OR(Paths!$C$48=0,C458=0),0,12-E458)</f>
        <v>0</v>
      </c>
      <c r="G458" s="16">
        <f>IF(NOT(Paths!$C$48=1),0,IF(Paths!$P$48="Complete",E458/12*(Paths!$J$48*(1+'Operating costs'!$B$51)^MAX(0,C458-1)+Paths!$K$48*(1+'Operating costs'!$B$53)^MAX(0,C458-1)),"n.a."))</f>
        <v>0</v>
      </c>
      <c r="H458" s="16">
        <f>IF(NOT(Paths!$C$48=1),0,IF(Paths!$P$48="Complete",F458/12*(Paths!$L$48*(1+IF(Paths!$D$48="EV",'Operating costs'!$B$52,'Operating costs'!$B$51))^MAX(0,C458-1)+Paths!$M$48*(1+'Operating costs'!$B$53)^MAX(0,C458-1)),"n.a."))</f>
        <v>0</v>
      </c>
      <c r="I458" s="16">
        <f>IF(NOT(Paths!$C$48=1),0,IF(Paths!$P$48="Complete",IF(IF(Paths!$E$48=0,C458=0,AND(C458&gt;0,Paths!$E$48&gt;(C458-1)*12,Paths!$E$48&lt;=C458*12)),Paths!$G$48,0),"n.a."))</f>
        <v>0</v>
      </c>
      <c r="J458" s="16">
        <f>IF(NOT(Paths!$C$48=1),0,IF(Paths!$P$48="Complete",IF(IF(Paths!$E$48=0,C458=0,AND(C458&gt;0,Paths!$E$48&gt;(C458-1)*12,Paths!$E$48&lt;=C458*12)),Paths!$H$48,0),"n.a."))</f>
        <v>0</v>
      </c>
      <c r="K458" s="16">
        <f>IF(NOT(Paths!$C$48=1),0,IF(Paths!$P$48="Complete",IF(IF(Paths!$O$48=0,C458=0,AND(C458&gt;0,Paths!$O$48&gt;(C458-1)*12,Paths!$O$48&lt;=C458*12)),Paths!$N$48,0),"n.a."))</f>
        <v>0</v>
      </c>
      <c r="L458" s="16">
        <f>IF(NOT(Paths!$C$48=1),0,IF(Paths!$P$48="Complete",IF(C458=10,Paths!$I$48,0),"n.a."))</f>
        <v>0</v>
      </c>
      <c r="M458" s="16">
        <f>IF(NOT(Paths!$C$48=1),0,IF(Paths!$P$48="Complete",IF(AND(Paths!$D$48="EV",Paths!$E$48&lt;120,Paths!$E$48+'Operating costs'!$B$65&gt;Paths!$E$48,Paths!$E$48+'Operating costs'!$B$65&lt;=120,IF(Paths!$E$48+'Operating costs'!$B$65=0,C458=0,AND(C458&gt;0,Paths!$E$48+'Operating costs'!$B$65&gt;(C458-1)*12,Paths!$E$48+'Operating costs'!$B$65&lt;=C458*12))),'Operating costs'!$B$64,0)+IF(AND('Operating costs'!$B$67&gt;0,'Operating costs'!$B$67&lt;=120,OR(Paths!$D$48="ICE",'Operating costs'!$B$67&lt;=Paths!$E$48),IF('Operating costs'!$B$67=0,C458=0,AND(C458&gt;0,'Operating costs'!$B$67&gt;(C458-1)*12,'Operating costs'!$B$67&lt;=C458*12))),'Operating costs'!$B$66,0),"n.a."))</f>
        <v>0</v>
      </c>
      <c r="N458" s="16">
        <f>IF(NOT(Paths!$C$48=1),0,IF(Paths!$P$48="Complete",SUM(G458:I458)-J458-K458-L458+M458+IF(C458=0,Paths!$F$48,0)+IF(IF(Paths!$E$48=0,C458=0,AND(C458&gt;0,Paths!$E$48&gt;(C458-1)*12,Paths!$E$48&lt;=C458*12)),VLOOKUP(A458,'Fleet register'!$A$7:$S$106,16,FALSE),0),"n.a."))</f>
        <v>0</v>
      </c>
      <c r="O458" s="16">
        <f>IF(NOT(Paths!$C$48=1),0,IF(Paths!$P$48="Complete",N458-IF(C458=0,Paths!$F$48,0),"n.a."))</f>
        <v>0</v>
      </c>
      <c r="P458" s="16">
        <f>IF(NOT(Paths!$C$48=1),0,IF(Paths!$P$48="Complete",O458+L458,"n.a."))</f>
        <v>0</v>
      </c>
      <c r="Q458" s="16">
        <f>IF(NOT(Paths!$C$48=1),0,IF(Paths!$P$48="Complete",N458*(1+'Operating costs'!$B$54)^-C458,"n.a."))</f>
        <v>0</v>
      </c>
      <c r="R458" s="16">
        <f>IF(NOT(Paths!$C$48=1),0,IF(Paths!$P$48="Complete",IF(AND(C458=0,Paths!$E$48=0),I458-J458-K458+VLOOKUP(A458,'Fleet register'!$A$7:$S$106,15,FALSE)+VLOOKUP(A458,'Fleet register'!$A$7:$S$106,16,FALSE),0),"n.a."))</f>
        <v>0</v>
      </c>
      <c r="S458" s="1">
        <f>IF(NOT(Paths!$C$48=1),0,IF(Paths!$P$48="Complete",IF(C458=0,0,Paths!$S$48*Paths!$R$48),"n.a."))</f>
        <v>0</v>
      </c>
      <c r="T458" s="1">
        <f>IF(NOT(Paths!$C$48=1),0,IF(Paths!$P$48="Complete",IF(C458=0,0,VLOOKUP(A458,'Fleet register'!$A$7:$S$106,9,FALSE)*Paths!$R$48),"n.a."))</f>
        <v>0</v>
      </c>
    </row>
    <row r="459" spans="1:20" ht="24" customHeight="1">
      <c r="A459" s="1" t="str">
        <f>Paths!$A$48</f>
        <v>T011</v>
      </c>
      <c r="B459" s="1">
        <f>Paths!$B$48</f>
        <v>1</v>
      </c>
      <c r="C459" s="1">
        <v>1</v>
      </c>
      <c r="D459" s="1">
        <v>48</v>
      </c>
      <c r="E459" s="1">
        <f>IF(OR(Paths!$C$48=0,C459=0),0,MAX(0,MIN(C459*12,Paths!$E$48)-(C459-1)*12))</f>
        <v>0</v>
      </c>
      <c r="F459" s="1">
        <f>IF(OR(Paths!$C$48=0,C459=0),0,12-E459)</f>
        <v>0</v>
      </c>
      <c r="G459" s="16">
        <f>IF(NOT(Paths!$C$48=1),0,IF(Paths!$P$48="Complete",E459/12*(Paths!$J$48*(1+'Operating costs'!$B$51)^MAX(0,C459-1)+Paths!$K$48*(1+'Operating costs'!$B$53)^MAX(0,C459-1)),"n.a."))</f>
        <v>0</v>
      </c>
      <c r="H459" s="16">
        <f>IF(NOT(Paths!$C$48=1),0,IF(Paths!$P$48="Complete",F459/12*(Paths!$L$48*(1+IF(Paths!$D$48="EV",'Operating costs'!$B$52,'Operating costs'!$B$51))^MAX(0,C459-1)+Paths!$M$48*(1+'Operating costs'!$B$53)^MAX(0,C459-1)),"n.a."))</f>
        <v>0</v>
      </c>
      <c r="I459" s="16">
        <f>IF(NOT(Paths!$C$48=1),0,IF(Paths!$P$48="Complete",IF(IF(Paths!$E$48=0,C459=0,AND(C459&gt;0,Paths!$E$48&gt;(C459-1)*12,Paths!$E$48&lt;=C459*12)),Paths!$G$48,0),"n.a."))</f>
        <v>0</v>
      </c>
      <c r="J459" s="16">
        <f>IF(NOT(Paths!$C$48=1),0,IF(Paths!$P$48="Complete",IF(IF(Paths!$E$48=0,C459=0,AND(C459&gt;0,Paths!$E$48&gt;(C459-1)*12,Paths!$E$48&lt;=C459*12)),Paths!$H$48,0),"n.a."))</f>
        <v>0</v>
      </c>
      <c r="K459" s="16">
        <f>IF(NOT(Paths!$C$48=1),0,IF(Paths!$P$48="Complete",IF(IF(Paths!$O$48=0,C459=0,AND(C459&gt;0,Paths!$O$48&gt;(C459-1)*12,Paths!$O$48&lt;=C459*12)),Paths!$N$48,0),"n.a."))</f>
        <v>0</v>
      </c>
      <c r="L459" s="16">
        <f>IF(NOT(Paths!$C$48=1),0,IF(Paths!$P$48="Complete",IF(C459=10,Paths!$I$48,0),"n.a."))</f>
        <v>0</v>
      </c>
      <c r="M459" s="16">
        <f>IF(NOT(Paths!$C$48=1),0,IF(Paths!$P$48="Complete",IF(AND(Paths!$D$48="EV",Paths!$E$48&lt;120,Paths!$E$48+'Operating costs'!$B$65&gt;Paths!$E$48,Paths!$E$48+'Operating costs'!$B$65&lt;=120,IF(Paths!$E$48+'Operating costs'!$B$65=0,C459=0,AND(C459&gt;0,Paths!$E$48+'Operating costs'!$B$65&gt;(C459-1)*12,Paths!$E$48+'Operating costs'!$B$65&lt;=C459*12))),'Operating costs'!$B$64,0)+IF(AND('Operating costs'!$B$67&gt;0,'Operating costs'!$B$67&lt;=120,OR(Paths!$D$48="ICE",'Operating costs'!$B$67&lt;=Paths!$E$48),IF('Operating costs'!$B$67=0,C459=0,AND(C459&gt;0,'Operating costs'!$B$67&gt;(C459-1)*12,'Operating costs'!$B$67&lt;=C459*12))),'Operating costs'!$B$66,0),"n.a."))</f>
        <v>0</v>
      </c>
      <c r="N459" s="16">
        <f>IF(NOT(Paths!$C$48=1),0,IF(Paths!$P$48="Complete",SUM(G459:I459)-J459-K459-L459+M459+IF(C459=0,Paths!$F$48,0)+IF(IF(Paths!$E$48=0,C459=0,AND(C459&gt;0,Paths!$E$48&gt;(C459-1)*12,Paths!$E$48&lt;=C459*12)),VLOOKUP(A459,'Fleet register'!$A$7:$S$106,16,FALSE),0),"n.a."))</f>
        <v>0</v>
      </c>
      <c r="O459" s="16">
        <f>IF(NOT(Paths!$C$48=1),0,IF(Paths!$P$48="Complete",N459-IF(C459=0,Paths!$F$48,0),"n.a."))</f>
        <v>0</v>
      </c>
      <c r="P459" s="16">
        <f>IF(NOT(Paths!$C$48=1),0,IF(Paths!$P$48="Complete",O459+L459,"n.a."))</f>
        <v>0</v>
      </c>
      <c r="Q459" s="16">
        <f>IF(NOT(Paths!$C$48=1),0,IF(Paths!$P$48="Complete",N459*(1+'Operating costs'!$B$54)^-C459,"n.a."))</f>
        <v>0</v>
      </c>
      <c r="R459" s="16">
        <f>IF(NOT(Paths!$C$48=1),0,IF(Paths!$P$48="Complete",IF(AND(C459=0,Paths!$E$48=0),I459-J459-K459+VLOOKUP(A459,'Fleet register'!$A$7:$S$106,15,FALSE)+VLOOKUP(A459,'Fleet register'!$A$7:$S$106,16,FALSE),0),"n.a."))</f>
        <v>0</v>
      </c>
      <c r="S459" s="1">
        <f>IF(NOT(Paths!$C$48=1),0,IF(Paths!$P$48="Complete",IF(C459=0,0,Paths!$S$48*Paths!$R$48),"n.a."))</f>
        <v>0</v>
      </c>
      <c r="T459" s="1">
        <f>IF(NOT(Paths!$C$48=1),0,IF(Paths!$P$48="Complete",IF(C459=0,0,VLOOKUP(A459,'Fleet register'!$A$7:$S$106,9,FALSE)*Paths!$R$48),"n.a."))</f>
        <v>0</v>
      </c>
    </row>
    <row r="460" spans="1:20" ht="24" customHeight="1">
      <c r="A460" s="1" t="str">
        <f>Paths!$A$48</f>
        <v>T011</v>
      </c>
      <c r="B460" s="1">
        <f>Paths!$B$48</f>
        <v>1</v>
      </c>
      <c r="C460" s="1">
        <v>2</v>
      </c>
      <c r="D460" s="1">
        <v>48</v>
      </c>
      <c r="E460" s="1">
        <f>IF(OR(Paths!$C$48=0,C460=0),0,MAX(0,MIN(C460*12,Paths!$E$48)-(C460-1)*12))</f>
        <v>0</v>
      </c>
      <c r="F460" s="1">
        <f>IF(OR(Paths!$C$48=0,C460=0),0,12-E460)</f>
        <v>0</v>
      </c>
      <c r="G460" s="16">
        <f>IF(NOT(Paths!$C$48=1),0,IF(Paths!$P$48="Complete",E460/12*(Paths!$J$48*(1+'Operating costs'!$B$51)^MAX(0,C460-1)+Paths!$K$48*(1+'Operating costs'!$B$53)^MAX(0,C460-1)),"n.a."))</f>
        <v>0</v>
      </c>
      <c r="H460" s="16">
        <f>IF(NOT(Paths!$C$48=1),0,IF(Paths!$P$48="Complete",F460/12*(Paths!$L$48*(1+IF(Paths!$D$48="EV",'Operating costs'!$B$52,'Operating costs'!$B$51))^MAX(0,C460-1)+Paths!$M$48*(1+'Operating costs'!$B$53)^MAX(0,C460-1)),"n.a."))</f>
        <v>0</v>
      </c>
      <c r="I460" s="16">
        <f>IF(NOT(Paths!$C$48=1),0,IF(Paths!$P$48="Complete",IF(IF(Paths!$E$48=0,C460=0,AND(C460&gt;0,Paths!$E$48&gt;(C460-1)*12,Paths!$E$48&lt;=C460*12)),Paths!$G$48,0),"n.a."))</f>
        <v>0</v>
      </c>
      <c r="J460" s="16">
        <f>IF(NOT(Paths!$C$48=1),0,IF(Paths!$P$48="Complete",IF(IF(Paths!$E$48=0,C460=0,AND(C460&gt;0,Paths!$E$48&gt;(C460-1)*12,Paths!$E$48&lt;=C460*12)),Paths!$H$48,0),"n.a."))</f>
        <v>0</v>
      </c>
      <c r="K460" s="16">
        <f>IF(NOT(Paths!$C$48=1),0,IF(Paths!$P$48="Complete",IF(IF(Paths!$O$48=0,C460=0,AND(C460&gt;0,Paths!$O$48&gt;(C460-1)*12,Paths!$O$48&lt;=C460*12)),Paths!$N$48,0),"n.a."))</f>
        <v>0</v>
      </c>
      <c r="L460" s="16">
        <f>IF(NOT(Paths!$C$48=1),0,IF(Paths!$P$48="Complete",IF(C460=10,Paths!$I$48,0),"n.a."))</f>
        <v>0</v>
      </c>
      <c r="M460" s="16">
        <f>IF(NOT(Paths!$C$48=1),0,IF(Paths!$P$48="Complete",IF(AND(Paths!$D$48="EV",Paths!$E$48&lt;120,Paths!$E$48+'Operating costs'!$B$65&gt;Paths!$E$48,Paths!$E$48+'Operating costs'!$B$65&lt;=120,IF(Paths!$E$48+'Operating costs'!$B$65=0,C460=0,AND(C460&gt;0,Paths!$E$48+'Operating costs'!$B$65&gt;(C460-1)*12,Paths!$E$48+'Operating costs'!$B$65&lt;=C460*12))),'Operating costs'!$B$64,0)+IF(AND('Operating costs'!$B$67&gt;0,'Operating costs'!$B$67&lt;=120,OR(Paths!$D$48="ICE",'Operating costs'!$B$67&lt;=Paths!$E$48),IF('Operating costs'!$B$67=0,C460=0,AND(C460&gt;0,'Operating costs'!$B$67&gt;(C460-1)*12,'Operating costs'!$B$67&lt;=C460*12))),'Operating costs'!$B$66,0),"n.a."))</f>
        <v>0</v>
      </c>
      <c r="N460" s="16">
        <f>IF(NOT(Paths!$C$48=1),0,IF(Paths!$P$48="Complete",SUM(G460:I460)-J460-K460-L460+M460+IF(C460=0,Paths!$F$48,0)+IF(IF(Paths!$E$48=0,C460=0,AND(C460&gt;0,Paths!$E$48&gt;(C460-1)*12,Paths!$E$48&lt;=C460*12)),VLOOKUP(A460,'Fleet register'!$A$7:$S$106,16,FALSE),0),"n.a."))</f>
        <v>0</v>
      </c>
      <c r="O460" s="16">
        <f>IF(NOT(Paths!$C$48=1),0,IF(Paths!$P$48="Complete",N460-IF(C460=0,Paths!$F$48,0),"n.a."))</f>
        <v>0</v>
      </c>
      <c r="P460" s="16">
        <f>IF(NOT(Paths!$C$48=1),0,IF(Paths!$P$48="Complete",O460+L460,"n.a."))</f>
        <v>0</v>
      </c>
      <c r="Q460" s="16">
        <f>IF(NOT(Paths!$C$48=1),0,IF(Paths!$P$48="Complete",N460*(1+'Operating costs'!$B$54)^-C460,"n.a."))</f>
        <v>0</v>
      </c>
      <c r="R460" s="16">
        <f>IF(NOT(Paths!$C$48=1),0,IF(Paths!$P$48="Complete",IF(AND(C460=0,Paths!$E$48=0),I460-J460-K460+VLOOKUP(A460,'Fleet register'!$A$7:$S$106,15,FALSE)+VLOOKUP(A460,'Fleet register'!$A$7:$S$106,16,FALSE),0),"n.a."))</f>
        <v>0</v>
      </c>
      <c r="S460" s="1">
        <f>IF(NOT(Paths!$C$48=1),0,IF(Paths!$P$48="Complete",IF(C460=0,0,Paths!$S$48*Paths!$R$48),"n.a."))</f>
        <v>0</v>
      </c>
      <c r="T460" s="1">
        <f>IF(NOT(Paths!$C$48=1),0,IF(Paths!$P$48="Complete",IF(C460=0,0,VLOOKUP(A460,'Fleet register'!$A$7:$S$106,9,FALSE)*Paths!$R$48),"n.a."))</f>
        <v>0</v>
      </c>
    </row>
    <row r="461" spans="1:20" ht="24" customHeight="1">
      <c r="A461" s="1" t="str">
        <f>Paths!$A$48</f>
        <v>T011</v>
      </c>
      <c r="B461" s="1">
        <f>Paths!$B$48</f>
        <v>1</v>
      </c>
      <c r="C461" s="1">
        <v>3</v>
      </c>
      <c r="D461" s="1">
        <v>48</v>
      </c>
      <c r="E461" s="1">
        <f>IF(OR(Paths!$C$48=0,C461=0),0,MAX(0,MIN(C461*12,Paths!$E$48)-(C461-1)*12))</f>
        <v>0</v>
      </c>
      <c r="F461" s="1">
        <f>IF(OR(Paths!$C$48=0,C461=0),0,12-E461)</f>
        <v>0</v>
      </c>
      <c r="G461" s="16">
        <f>IF(NOT(Paths!$C$48=1),0,IF(Paths!$P$48="Complete",E461/12*(Paths!$J$48*(1+'Operating costs'!$B$51)^MAX(0,C461-1)+Paths!$K$48*(1+'Operating costs'!$B$53)^MAX(0,C461-1)),"n.a."))</f>
        <v>0</v>
      </c>
      <c r="H461" s="16">
        <f>IF(NOT(Paths!$C$48=1),0,IF(Paths!$P$48="Complete",F461/12*(Paths!$L$48*(1+IF(Paths!$D$48="EV",'Operating costs'!$B$52,'Operating costs'!$B$51))^MAX(0,C461-1)+Paths!$M$48*(1+'Operating costs'!$B$53)^MAX(0,C461-1)),"n.a."))</f>
        <v>0</v>
      </c>
      <c r="I461" s="16">
        <f>IF(NOT(Paths!$C$48=1),0,IF(Paths!$P$48="Complete",IF(IF(Paths!$E$48=0,C461=0,AND(C461&gt;0,Paths!$E$48&gt;(C461-1)*12,Paths!$E$48&lt;=C461*12)),Paths!$G$48,0),"n.a."))</f>
        <v>0</v>
      </c>
      <c r="J461" s="16">
        <f>IF(NOT(Paths!$C$48=1),0,IF(Paths!$P$48="Complete",IF(IF(Paths!$E$48=0,C461=0,AND(C461&gt;0,Paths!$E$48&gt;(C461-1)*12,Paths!$E$48&lt;=C461*12)),Paths!$H$48,0),"n.a."))</f>
        <v>0</v>
      </c>
      <c r="K461" s="16">
        <f>IF(NOT(Paths!$C$48=1),0,IF(Paths!$P$48="Complete",IF(IF(Paths!$O$48=0,C461=0,AND(C461&gt;0,Paths!$O$48&gt;(C461-1)*12,Paths!$O$48&lt;=C461*12)),Paths!$N$48,0),"n.a."))</f>
        <v>0</v>
      </c>
      <c r="L461" s="16">
        <f>IF(NOT(Paths!$C$48=1),0,IF(Paths!$P$48="Complete",IF(C461=10,Paths!$I$48,0),"n.a."))</f>
        <v>0</v>
      </c>
      <c r="M461" s="16">
        <f>IF(NOT(Paths!$C$48=1),0,IF(Paths!$P$48="Complete",IF(AND(Paths!$D$48="EV",Paths!$E$48&lt;120,Paths!$E$48+'Operating costs'!$B$65&gt;Paths!$E$48,Paths!$E$48+'Operating costs'!$B$65&lt;=120,IF(Paths!$E$48+'Operating costs'!$B$65=0,C461=0,AND(C461&gt;0,Paths!$E$48+'Operating costs'!$B$65&gt;(C461-1)*12,Paths!$E$48+'Operating costs'!$B$65&lt;=C461*12))),'Operating costs'!$B$64,0)+IF(AND('Operating costs'!$B$67&gt;0,'Operating costs'!$B$67&lt;=120,OR(Paths!$D$48="ICE",'Operating costs'!$B$67&lt;=Paths!$E$48),IF('Operating costs'!$B$67=0,C461=0,AND(C461&gt;0,'Operating costs'!$B$67&gt;(C461-1)*12,'Operating costs'!$B$67&lt;=C461*12))),'Operating costs'!$B$66,0),"n.a."))</f>
        <v>0</v>
      </c>
      <c r="N461" s="16">
        <f>IF(NOT(Paths!$C$48=1),0,IF(Paths!$P$48="Complete",SUM(G461:I461)-J461-K461-L461+M461+IF(C461=0,Paths!$F$48,0)+IF(IF(Paths!$E$48=0,C461=0,AND(C461&gt;0,Paths!$E$48&gt;(C461-1)*12,Paths!$E$48&lt;=C461*12)),VLOOKUP(A461,'Fleet register'!$A$7:$S$106,16,FALSE),0),"n.a."))</f>
        <v>0</v>
      </c>
      <c r="O461" s="16">
        <f>IF(NOT(Paths!$C$48=1),0,IF(Paths!$P$48="Complete",N461-IF(C461=0,Paths!$F$48,0),"n.a."))</f>
        <v>0</v>
      </c>
      <c r="P461" s="16">
        <f>IF(NOT(Paths!$C$48=1),0,IF(Paths!$P$48="Complete",O461+L461,"n.a."))</f>
        <v>0</v>
      </c>
      <c r="Q461" s="16">
        <f>IF(NOT(Paths!$C$48=1),0,IF(Paths!$P$48="Complete",N461*(1+'Operating costs'!$B$54)^-C461,"n.a."))</f>
        <v>0</v>
      </c>
      <c r="R461" s="16">
        <f>IF(NOT(Paths!$C$48=1),0,IF(Paths!$P$48="Complete",IF(AND(C461=0,Paths!$E$48=0),I461-J461-K461+VLOOKUP(A461,'Fleet register'!$A$7:$S$106,15,FALSE)+VLOOKUP(A461,'Fleet register'!$A$7:$S$106,16,FALSE),0),"n.a."))</f>
        <v>0</v>
      </c>
      <c r="S461" s="1">
        <f>IF(NOT(Paths!$C$48=1),0,IF(Paths!$P$48="Complete",IF(C461=0,0,Paths!$S$48*Paths!$R$48),"n.a."))</f>
        <v>0</v>
      </c>
      <c r="T461" s="1">
        <f>IF(NOT(Paths!$C$48=1),0,IF(Paths!$P$48="Complete",IF(C461=0,0,VLOOKUP(A461,'Fleet register'!$A$7:$S$106,9,FALSE)*Paths!$R$48),"n.a."))</f>
        <v>0</v>
      </c>
    </row>
    <row r="462" spans="1:20" ht="24" customHeight="1">
      <c r="A462" s="1" t="str">
        <f>Paths!$A$48</f>
        <v>T011</v>
      </c>
      <c r="B462" s="1">
        <f>Paths!$B$48</f>
        <v>1</v>
      </c>
      <c r="C462" s="1">
        <v>4</v>
      </c>
      <c r="D462" s="1">
        <v>48</v>
      </c>
      <c r="E462" s="1">
        <f>IF(OR(Paths!$C$48=0,C462=0),0,MAX(0,MIN(C462*12,Paths!$E$48)-(C462-1)*12))</f>
        <v>0</v>
      </c>
      <c r="F462" s="1">
        <f>IF(OR(Paths!$C$48=0,C462=0),0,12-E462)</f>
        <v>0</v>
      </c>
      <c r="G462" s="16">
        <f>IF(NOT(Paths!$C$48=1),0,IF(Paths!$P$48="Complete",E462/12*(Paths!$J$48*(1+'Operating costs'!$B$51)^MAX(0,C462-1)+Paths!$K$48*(1+'Operating costs'!$B$53)^MAX(0,C462-1)),"n.a."))</f>
        <v>0</v>
      </c>
      <c r="H462" s="16">
        <f>IF(NOT(Paths!$C$48=1),0,IF(Paths!$P$48="Complete",F462/12*(Paths!$L$48*(1+IF(Paths!$D$48="EV",'Operating costs'!$B$52,'Operating costs'!$B$51))^MAX(0,C462-1)+Paths!$M$48*(1+'Operating costs'!$B$53)^MAX(0,C462-1)),"n.a."))</f>
        <v>0</v>
      </c>
      <c r="I462" s="16">
        <f>IF(NOT(Paths!$C$48=1),0,IF(Paths!$P$48="Complete",IF(IF(Paths!$E$48=0,C462=0,AND(C462&gt;0,Paths!$E$48&gt;(C462-1)*12,Paths!$E$48&lt;=C462*12)),Paths!$G$48,0),"n.a."))</f>
        <v>0</v>
      </c>
      <c r="J462" s="16">
        <f>IF(NOT(Paths!$C$48=1),0,IF(Paths!$P$48="Complete",IF(IF(Paths!$E$48=0,C462=0,AND(C462&gt;0,Paths!$E$48&gt;(C462-1)*12,Paths!$E$48&lt;=C462*12)),Paths!$H$48,0),"n.a."))</f>
        <v>0</v>
      </c>
      <c r="K462" s="16">
        <f>IF(NOT(Paths!$C$48=1),0,IF(Paths!$P$48="Complete",IF(IF(Paths!$O$48=0,C462=0,AND(C462&gt;0,Paths!$O$48&gt;(C462-1)*12,Paths!$O$48&lt;=C462*12)),Paths!$N$48,0),"n.a."))</f>
        <v>0</v>
      </c>
      <c r="L462" s="16">
        <f>IF(NOT(Paths!$C$48=1),0,IF(Paths!$P$48="Complete",IF(C462=10,Paths!$I$48,0),"n.a."))</f>
        <v>0</v>
      </c>
      <c r="M462" s="16">
        <f>IF(NOT(Paths!$C$48=1),0,IF(Paths!$P$48="Complete",IF(AND(Paths!$D$48="EV",Paths!$E$48&lt;120,Paths!$E$48+'Operating costs'!$B$65&gt;Paths!$E$48,Paths!$E$48+'Operating costs'!$B$65&lt;=120,IF(Paths!$E$48+'Operating costs'!$B$65=0,C462=0,AND(C462&gt;0,Paths!$E$48+'Operating costs'!$B$65&gt;(C462-1)*12,Paths!$E$48+'Operating costs'!$B$65&lt;=C462*12))),'Operating costs'!$B$64,0)+IF(AND('Operating costs'!$B$67&gt;0,'Operating costs'!$B$67&lt;=120,OR(Paths!$D$48="ICE",'Operating costs'!$B$67&lt;=Paths!$E$48),IF('Operating costs'!$B$67=0,C462=0,AND(C462&gt;0,'Operating costs'!$B$67&gt;(C462-1)*12,'Operating costs'!$B$67&lt;=C462*12))),'Operating costs'!$B$66,0),"n.a."))</f>
        <v>0</v>
      </c>
      <c r="N462" s="16">
        <f>IF(NOT(Paths!$C$48=1),0,IF(Paths!$P$48="Complete",SUM(G462:I462)-J462-K462-L462+M462+IF(C462=0,Paths!$F$48,0)+IF(IF(Paths!$E$48=0,C462=0,AND(C462&gt;0,Paths!$E$48&gt;(C462-1)*12,Paths!$E$48&lt;=C462*12)),VLOOKUP(A462,'Fleet register'!$A$7:$S$106,16,FALSE),0),"n.a."))</f>
        <v>0</v>
      </c>
      <c r="O462" s="16">
        <f>IF(NOT(Paths!$C$48=1),0,IF(Paths!$P$48="Complete",N462-IF(C462=0,Paths!$F$48,0),"n.a."))</f>
        <v>0</v>
      </c>
      <c r="P462" s="16">
        <f>IF(NOT(Paths!$C$48=1),0,IF(Paths!$P$48="Complete",O462+L462,"n.a."))</f>
        <v>0</v>
      </c>
      <c r="Q462" s="16">
        <f>IF(NOT(Paths!$C$48=1),0,IF(Paths!$P$48="Complete",N462*(1+'Operating costs'!$B$54)^-C462,"n.a."))</f>
        <v>0</v>
      </c>
      <c r="R462" s="16">
        <f>IF(NOT(Paths!$C$48=1),0,IF(Paths!$P$48="Complete",IF(AND(C462=0,Paths!$E$48=0),I462-J462-K462+VLOOKUP(A462,'Fleet register'!$A$7:$S$106,15,FALSE)+VLOOKUP(A462,'Fleet register'!$A$7:$S$106,16,FALSE),0),"n.a."))</f>
        <v>0</v>
      </c>
      <c r="S462" s="1">
        <f>IF(NOT(Paths!$C$48=1),0,IF(Paths!$P$48="Complete",IF(C462=0,0,Paths!$S$48*Paths!$R$48),"n.a."))</f>
        <v>0</v>
      </c>
      <c r="T462" s="1">
        <f>IF(NOT(Paths!$C$48=1),0,IF(Paths!$P$48="Complete",IF(C462=0,0,VLOOKUP(A462,'Fleet register'!$A$7:$S$106,9,FALSE)*Paths!$R$48),"n.a."))</f>
        <v>0</v>
      </c>
    </row>
    <row r="463" spans="1:20" ht="24" customHeight="1">
      <c r="A463" s="1" t="str">
        <f>Paths!$A$48</f>
        <v>T011</v>
      </c>
      <c r="B463" s="1">
        <f>Paths!$B$48</f>
        <v>1</v>
      </c>
      <c r="C463" s="1">
        <v>5</v>
      </c>
      <c r="D463" s="1">
        <v>48</v>
      </c>
      <c r="E463" s="1">
        <f>IF(OR(Paths!$C$48=0,C463=0),0,MAX(0,MIN(C463*12,Paths!$E$48)-(C463-1)*12))</f>
        <v>0</v>
      </c>
      <c r="F463" s="1">
        <f>IF(OR(Paths!$C$48=0,C463=0),0,12-E463)</f>
        <v>0</v>
      </c>
      <c r="G463" s="16">
        <f>IF(NOT(Paths!$C$48=1),0,IF(Paths!$P$48="Complete",E463/12*(Paths!$J$48*(1+'Operating costs'!$B$51)^MAX(0,C463-1)+Paths!$K$48*(1+'Operating costs'!$B$53)^MAX(0,C463-1)),"n.a."))</f>
        <v>0</v>
      </c>
      <c r="H463" s="16">
        <f>IF(NOT(Paths!$C$48=1),0,IF(Paths!$P$48="Complete",F463/12*(Paths!$L$48*(1+IF(Paths!$D$48="EV",'Operating costs'!$B$52,'Operating costs'!$B$51))^MAX(0,C463-1)+Paths!$M$48*(1+'Operating costs'!$B$53)^MAX(0,C463-1)),"n.a."))</f>
        <v>0</v>
      </c>
      <c r="I463" s="16">
        <f>IF(NOT(Paths!$C$48=1),0,IF(Paths!$P$48="Complete",IF(IF(Paths!$E$48=0,C463=0,AND(C463&gt;0,Paths!$E$48&gt;(C463-1)*12,Paths!$E$48&lt;=C463*12)),Paths!$G$48,0),"n.a."))</f>
        <v>0</v>
      </c>
      <c r="J463" s="16">
        <f>IF(NOT(Paths!$C$48=1),0,IF(Paths!$P$48="Complete",IF(IF(Paths!$E$48=0,C463=0,AND(C463&gt;0,Paths!$E$48&gt;(C463-1)*12,Paths!$E$48&lt;=C463*12)),Paths!$H$48,0),"n.a."))</f>
        <v>0</v>
      </c>
      <c r="K463" s="16">
        <f>IF(NOT(Paths!$C$48=1),0,IF(Paths!$P$48="Complete",IF(IF(Paths!$O$48=0,C463=0,AND(C463&gt;0,Paths!$O$48&gt;(C463-1)*12,Paths!$O$48&lt;=C463*12)),Paths!$N$48,0),"n.a."))</f>
        <v>0</v>
      </c>
      <c r="L463" s="16">
        <f>IF(NOT(Paths!$C$48=1),0,IF(Paths!$P$48="Complete",IF(C463=10,Paths!$I$48,0),"n.a."))</f>
        <v>0</v>
      </c>
      <c r="M463" s="16">
        <f>IF(NOT(Paths!$C$48=1),0,IF(Paths!$P$48="Complete",IF(AND(Paths!$D$48="EV",Paths!$E$48&lt;120,Paths!$E$48+'Operating costs'!$B$65&gt;Paths!$E$48,Paths!$E$48+'Operating costs'!$B$65&lt;=120,IF(Paths!$E$48+'Operating costs'!$B$65=0,C463=0,AND(C463&gt;0,Paths!$E$48+'Operating costs'!$B$65&gt;(C463-1)*12,Paths!$E$48+'Operating costs'!$B$65&lt;=C463*12))),'Operating costs'!$B$64,0)+IF(AND('Operating costs'!$B$67&gt;0,'Operating costs'!$B$67&lt;=120,OR(Paths!$D$48="ICE",'Operating costs'!$B$67&lt;=Paths!$E$48),IF('Operating costs'!$B$67=0,C463=0,AND(C463&gt;0,'Operating costs'!$B$67&gt;(C463-1)*12,'Operating costs'!$B$67&lt;=C463*12))),'Operating costs'!$B$66,0),"n.a."))</f>
        <v>0</v>
      </c>
      <c r="N463" s="16">
        <f>IF(NOT(Paths!$C$48=1),0,IF(Paths!$P$48="Complete",SUM(G463:I463)-J463-K463-L463+M463+IF(C463=0,Paths!$F$48,0)+IF(IF(Paths!$E$48=0,C463=0,AND(C463&gt;0,Paths!$E$48&gt;(C463-1)*12,Paths!$E$48&lt;=C463*12)),VLOOKUP(A463,'Fleet register'!$A$7:$S$106,16,FALSE),0),"n.a."))</f>
        <v>0</v>
      </c>
      <c r="O463" s="16">
        <f>IF(NOT(Paths!$C$48=1),0,IF(Paths!$P$48="Complete",N463-IF(C463=0,Paths!$F$48,0),"n.a."))</f>
        <v>0</v>
      </c>
      <c r="P463" s="16">
        <f>IF(NOT(Paths!$C$48=1),0,IF(Paths!$P$48="Complete",O463+L463,"n.a."))</f>
        <v>0</v>
      </c>
      <c r="Q463" s="16">
        <f>IF(NOT(Paths!$C$48=1),0,IF(Paths!$P$48="Complete",N463*(1+'Operating costs'!$B$54)^-C463,"n.a."))</f>
        <v>0</v>
      </c>
      <c r="R463" s="16">
        <f>IF(NOT(Paths!$C$48=1),0,IF(Paths!$P$48="Complete",IF(AND(C463=0,Paths!$E$48=0),I463-J463-K463+VLOOKUP(A463,'Fleet register'!$A$7:$S$106,15,FALSE)+VLOOKUP(A463,'Fleet register'!$A$7:$S$106,16,FALSE),0),"n.a."))</f>
        <v>0</v>
      </c>
      <c r="S463" s="1">
        <f>IF(NOT(Paths!$C$48=1),0,IF(Paths!$P$48="Complete",IF(C463=0,0,Paths!$S$48*Paths!$R$48),"n.a."))</f>
        <v>0</v>
      </c>
      <c r="T463" s="1">
        <f>IF(NOT(Paths!$C$48=1),0,IF(Paths!$P$48="Complete",IF(C463=0,0,VLOOKUP(A463,'Fleet register'!$A$7:$S$106,9,FALSE)*Paths!$R$48),"n.a."))</f>
        <v>0</v>
      </c>
    </row>
    <row r="464" spans="1:20" ht="24" customHeight="1">
      <c r="A464" s="1" t="str">
        <f>Paths!$A$48</f>
        <v>T011</v>
      </c>
      <c r="B464" s="1">
        <f>Paths!$B$48</f>
        <v>1</v>
      </c>
      <c r="C464" s="1">
        <v>6</v>
      </c>
      <c r="D464" s="1">
        <v>48</v>
      </c>
      <c r="E464" s="1">
        <f>IF(OR(Paths!$C$48=0,C464=0),0,MAX(0,MIN(C464*12,Paths!$E$48)-(C464-1)*12))</f>
        <v>0</v>
      </c>
      <c r="F464" s="1">
        <f>IF(OR(Paths!$C$48=0,C464=0),0,12-E464)</f>
        <v>0</v>
      </c>
      <c r="G464" s="16">
        <f>IF(NOT(Paths!$C$48=1),0,IF(Paths!$P$48="Complete",E464/12*(Paths!$J$48*(1+'Operating costs'!$B$51)^MAX(0,C464-1)+Paths!$K$48*(1+'Operating costs'!$B$53)^MAX(0,C464-1)),"n.a."))</f>
        <v>0</v>
      </c>
      <c r="H464" s="16">
        <f>IF(NOT(Paths!$C$48=1),0,IF(Paths!$P$48="Complete",F464/12*(Paths!$L$48*(1+IF(Paths!$D$48="EV",'Operating costs'!$B$52,'Operating costs'!$B$51))^MAX(0,C464-1)+Paths!$M$48*(1+'Operating costs'!$B$53)^MAX(0,C464-1)),"n.a."))</f>
        <v>0</v>
      </c>
      <c r="I464" s="16">
        <f>IF(NOT(Paths!$C$48=1),0,IF(Paths!$P$48="Complete",IF(IF(Paths!$E$48=0,C464=0,AND(C464&gt;0,Paths!$E$48&gt;(C464-1)*12,Paths!$E$48&lt;=C464*12)),Paths!$G$48,0),"n.a."))</f>
        <v>0</v>
      </c>
      <c r="J464" s="16">
        <f>IF(NOT(Paths!$C$48=1),0,IF(Paths!$P$48="Complete",IF(IF(Paths!$E$48=0,C464=0,AND(C464&gt;0,Paths!$E$48&gt;(C464-1)*12,Paths!$E$48&lt;=C464*12)),Paths!$H$48,0),"n.a."))</f>
        <v>0</v>
      </c>
      <c r="K464" s="16">
        <f>IF(NOT(Paths!$C$48=1),0,IF(Paths!$P$48="Complete",IF(IF(Paths!$O$48=0,C464=0,AND(C464&gt;0,Paths!$O$48&gt;(C464-1)*12,Paths!$O$48&lt;=C464*12)),Paths!$N$48,0),"n.a."))</f>
        <v>0</v>
      </c>
      <c r="L464" s="16">
        <f>IF(NOT(Paths!$C$48=1),0,IF(Paths!$P$48="Complete",IF(C464=10,Paths!$I$48,0),"n.a."))</f>
        <v>0</v>
      </c>
      <c r="M464" s="16">
        <f>IF(NOT(Paths!$C$48=1),0,IF(Paths!$P$48="Complete",IF(AND(Paths!$D$48="EV",Paths!$E$48&lt;120,Paths!$E$48+'Operating costs'!$B$65&gt;Paths!$E$48,Paths!$E$48+'Operating costs'!$B$65&lt;=120,IF(Paths!$E$48+'Operating costs'!$B$65=0,C464=0,AND(C464&gt;0,Paths!$E$48+'Operating costs'!$B$65&gt;(C464-1)*12,Paths!$E$48+'Operating costs'!$B$65&lt;=C464*12))),'Operating costs'!$B$64,0)+IF(AND('Operating costs'!$B$67&gt;0,'Operating costs'!$B$67&lt;=120,OR(Paths!$D$48="ICE",'Operating costs'!$B$67&lt;=Paths!$E$48),IF('Operating costs'!$B$67=0,C464=0,AND(C464&gt;0,'Operating costs'!$B$67&gt;(C464-1)*12,'Operating costs'!$B$67&lt;=C464*12))),'Operating costs'!$B$66,0),"n.a."))</f>
        <v>0</v>
      </c>
      <c r="N464" s="16">
        <f>IF(NOT(Paths!$C$48=1),0,IF(Paths!$P$48="Complete",SUM(G464:I464)-J464-K464-L464+M464+IF(C464=0,Paths!$F$48,0)+IF(IF(Paths!$E$48=0,C464=0,AND(C464&gt;0,Paths!$E$48&gt;(C464-1)*12,Paths!$E$48&lt;=C464*12)),VLOOKUP(A464,'Fleet register'!$A$7:$S$106,16,FALSE),0),"n.a."))</f>
        <v>0</v>
      </c>
      <c r="O464" s="16">
        <f>IF(NOT(Paths!$C$48=1),0,IF(Paths!$P$48="Complete",N464-IF(C464=0,Paths!$F$48,0),"n.a."))</f>
        <v>0</v>
      </c>
      <c r="P464" s="16">
        <f>IF(NOT(Paths!$C$48=1),0,IF(Paths!$P$48="Complete",O464+L464,"n.a."))</f>
        <v>0</v>
      </c>
      <c r="Q464" s="16">
        <f>IF(NOT(Paths!$C$48=1),0,IF(Paths!$P$48="Complete",N464*(1+'Operating costs'!$B$54)^-C464,"n.a."))</f>
        <v>0</v>
      </c>
      <c r="R464" s="16">
        <f>IF(NOT(Paths!$C$48=1),0,IF(Paths!$P$48="Complete",IF(AND(C464=0,Paths!$E$48=0),I464-J464-K464+VLOOKUP(A464,'Fleet register'!$A$7:$S$106,15,FALSE)+VLOOKUP(A464,'Fleet register'!$A$7:$S$106,16,FALSE),0),"n.a."))</f>
        <v>0</v>
      </c>
      <c r="S464" s="1">
        <f>IF(NOT(Paths!$C$48=1),0,IF(Paths!$P$48="Complete",IF(C464=0,0,Paths!$S$48*Paths!$R$48),"n.a."))</f>
        <v>0</v>
      </c>
      <c r="T464" s="1">
        <f>IF(NOT(Paths!$C$48=1),0,IF(Paths!$P$48="Complete",IF(C464=0,0,VLOOKUP(A464,'Fleet register'!$A$7:$S$106,9,FALSE)*Paths!$R$48),"n.a."))</f>
        <v>0</v>
      </c>
    </row>
    <row r="465" spans="1:20" ht="24" customHeight="1">
      <c r="A465" s="1" t="str">
        <f>Paths!$A$48</f>
        <v>T011</v>
      </c>
      <c r="B465" s="1">
        <f>Paths!$B$48</f>
        <v>1</v>
      </c>
      <c r="C465" s="1">
        <v>7</v>
      </c>
      <c r="D465" s="1">
        <v>48</v>
      </c>
      <c r="E465" s="1">
        <f>IF(OR(Paths!$C$48=0,C465=0),0,MAX(0,MIN(C465*12,Paths!$E$48)-(C465-1)*12))</f>
        <v>0</v>
      </c>
      <c r="F465" s="1">
        <f>IF(OR(Paths!$C$48=0,C465=0),0,12-E465)</f>
        <v>0</v>
      </c>
      <c r="G465" s="16">
        <f>IF(NOT(Paths!$C$48=1),0,IF(Paths!$P$48="Complete",E465/12*(Paths!$J$48*(1+'Operating costs'!$B$51)^MAX(0,C465-1)+Paths!$K$48*(1+'Operating costs'!$B$53)^MAX(0,C465-1)),"n.a."))</f>
        <v>0</v>
      </c>
      <c r="H465" s="16">
        <f>IF(NOT(Paths!$C$48=1),0,IF(Paths!$P$48="Complete",F465/12*(Paths!$L$48*(1+IF(Paths!$D$48="EV",'Operating costs'!$B$52,'Operating costs'!$B$51))^MAX(0,C465-1)+Paths!$M$48*(1+'Operating costs'!$B$53)^MAX(0,C465-1)),"n.a."))</f>
        <v>0</v>
      </c>
      <c r="I465" s="16">
        <f>IF(NOT(Paths!$C$48=1),0,IF(Paths!$P$48="Complete",IF(IF(Paths!$E$48=0,C465=0,AND(C465&gt;0,Paths!$E$48&gt;(C465-1)*12,Paths!$E$48&lt;=C465*12)),Paths!$G$48,0),"n.a."))</f>
        <v>0</v>
      </c>
      <c r="J465" s="16">
        <f>IF(NOT(Paths!$C$48=1),0,IF(Paths!$P$48="Complete",IF(IF(Paths!$E$48=0,C465=0,AND(C465&gt;0,Paths!$E$48&gt;(C465-1)*12,Paths!$E$48&lt;=C465*12)),Paths!$H$48,0),"n.a."))</f>
        <v>0</v>
      </c>
      <c r="K465" s="16">
        <f>IF(NOT(Paths!$C$48=1),0,IF(Paths!$P$48="Complete",IF(IF(Paths!$O$48=0,C465=0,AND(C465&gt;0,Paths!$O$48&gt;(C465-1)*12,Paths!$O$48&lt;=C465*12)),Paths!$N$48,0),"n.a."))</f>
        <v>0</v>
      </c>
      <c r="L465" s="16">
        <f>IF(NOT(Paths!$C$48=1),0,IF(Paths!$P$48="Complete",IF(C465=10,Paths!$I$48,0),"n.a."))</f>
        <v>0</v>
      </c>
      <c r="M465" s="16">
        <f>IF(NOT(Paths!$C$48=1),0,IF(Paths!$P$48="Complete",IF(AND(Paths!$D$48="EV",Paths!$E$48&lt;120,Paths!$E$48+'Operating costs'!$B$65&gt;Paths!$E$48,Paths!$E$48+'Operating costs'!$B$65&lt;=120,IF(Paths!$E$48+'Operating costs'!$B$65=0,C465=0,AND(C465&gt;0,Paths!$E$48+'Operating costs'!$B$65&gt;(C465-1)*12,Paths!$E$48+'Operating costs'!$B$65&lt;=C465*12))),'Operating costs'!$B$64,0)+IF(AND('Operating costs'!$B$67&gt;0,'Operating costs'!$B$67&lt;=120,OR(Paths!$D$48="ICE",'Operating costs'!$B$67&lt;=Paths!$E$48),IF('Operating costs'!$B$67=0,C465=0,AND(C465&gt;0,'Operating costs'!$B$67&gt;(C465-1)*12,'Operating costs'!$B$67&lt;=C465*12))),'Operating costs'!$B$66,0),"n.a."))</f>
        <v>0</v>
      </c>
      <c r="N465" s="16">
        <f>IF(NOT(Paths!$C$48=1),0,IF(Paths!$P$48="Complete",SUM(G465:I465)-J465-K465-L465+M465+IF(C465=0,Paths!$F$48,0)+IF(IF(Paths!$E$48=0,C465=0,AND(C465&gt;0,Paths!$E$48&gt;(C465-1)*12,Paths!$E$48&lt;=C465*12)),VLOOKUP(A465,'Fleet register'!$A$7:$S$106,16,FALSE),0),"n.a."))</f>
        <v>0</v>
      </c>
      <c r="O465" s="16">
        <f>IF(NOT(Paths!$C$48=1),0,IF(Paths!$P$48="Complete",N465-IF(C465=0,Paths!$F$48,0),"n.a."))</f>
        <v>0</v>
      </c>
      <c r="P465" s="16">
        <f>IF(NOT(Paths!$C$48=1),0,IF(Paths!$P$48="Complete",O465+L465,"n.a."))</f>
        <v>0</v>
      </c>
      <c r="Q465" s="16">
        <f>IF(NOT(Paths!$C$48=1),0,IF(Paths!$P$48="Complete",N465*(1+'Operating costs'!$B$54)^-C465,"n.a."))</f>
        <v>0</v>
      </c>
      <c r="R465" s="16">
        <f>IF(NOT(Paths!$C$48=1),0,IF(Paths!$P$48="Complete",IF(AND(C465=0,Paths!$E$48=0),I465-J465-K465+VLOOKUP(A465,'Fleet register'!$A$7:$S$106,15,FALSE)+VLOOKUP(A465,'Fleet register'!$A$7:$S$106,16,FALSE),0),"n.a."))</f>
        <v>0</v>
      </c>
      <c r="S465" s="1">
        <f>IF(NOT(Paths!$C$48=1),0,IF(Paths!$P$48="Complete",IF(C465=0,0,Paths!$S$48*Paths!$R$48),"n.a."))</f>
        <v>0</v>
      </c>
      <c r="T465" s="1">
        <f>IF(NOT(Paths!$C$48=1),0,IF(Paths!$P$48="Complete",IF(C465=0,0,VLOOKUP(A465,'Fleet register'!$A$7:$S$106,9,FALSE)*Paths!$R$48),"n.a."))</f>
        <v>0</v>
      </c>
    </row>
    <row r="466" spans="1:20" ht="24" customHeight="1">
      <c r="A466" s="1" t="str">
        <f>Paths!$A$48</f>
        <v>T011</v>
      </c>
      <c r="B466" s="1">
        <f>Paths!$B$48</f>
        <v>1</v>
      </c>
      <c r="C466" s="1">
        <v>8</v>
      </c>
      <c r="D466" s="1">
        <v>48</v>
      </c>
      <c r="E466" s="1">
        <f>IF(OR(Paths!$C$48=0,C466=0),0,MAX(0,MIN(C466*12,Paths!$E$48)-(C466-1)*12))</f>
        <v>0</v>
      </c>
      <c r="F466" s="1">
        <f>IF(OR(Paths!$C$48=0,C466=0),0,12-E466)</f>
        <v>0</v>
      </c>
      <c r="G466" s="16">
        <f>IF(NOT(Paths!$C$48=1),0,IF(Paths!$P$48="Complete",E466/12*(Paths!$J$48*(1+'Operating costs'!$B$51)^MAX(0,C466-1)+Paths!$K$48*(1+'Operating costs'!$B$53)^MAX(0,C466-1)),"n.a."))</f>
        <v>0</v>
      </c>
      <c r="H466" s="16">
        <f>IF(NOT(Paths!$C$48=1),0,IF(Paths!$P$48="Complete",F466/12*(Paths!$L$48*(1+IF(Paths!$D$48="EV",'Operating costs'!$B$52,'Operating costs'!$B$51))^MAX(0,C466-1)+Paths!$M$48*(1+'Operating costs'!$B$53)^MAX(0,C466-1)),"n.a."))</f>
        <v>0</v>
      </c>
      <c r="I466" s="16">
        <f>IF(NOT(Paths!$C$48=1),0,IF(Paths!$P$48="Complete",IF(IF(Paths!$E$48=0,C466=0,AND(C466&gt;0,Paths!$E$48&gt;(C466-1)*12,Paths!$E$48&lt;=C466*12)),Paths!$G$48,0),"n.a."))</f>
        <v>0</v>
      </c>
      <c r="J466" s="16">
        <f>IF(NOT(Paths!$C$48=1),0,IF(Paths!$P$48="Complete",IF(IF(Paths!$E$48=0,C466=0,AND(C466&gt;0,Paths!$E$48&gt;(C466-1)*12,Paths!$E$48&lt;=C466*12)),Paths!$H$48,0),"n.a."))</f>
        <v>0</v>
      </c>
      <c r="K466" s="16">
        <f>IF(NOT(Paths!$C$48=1),0,IF(Paths!$P$48="Complete",IF(IF(Paths!$O$48=0,C466=0,AND(C466&gt;0,Paths!$O$48&gt;(C466-1)*12,Paths!$O$48&lt;=C466*12)),Paths!$N$48,0),"n.a."))</f>
        <v>0</v>
      </c>
      <c r="L466" s="16">
        <f>IF(NOT(Paths!$C$48=1),0,IF(Paths!$P$48="Complete",IF(C466=10,Paths!$I$48,0),"n.a."))</f>
        <v>0</v>
      </c>
      <c r="M466" s="16">
        <f>IF(NOT(Paths!$C$48=1),0,IF(Paths!$P$48="Complete",IF(AND(Paths!$D$48="EV",Paths!$E$48&lt;120,Paths!$E$48+'Operating costs'!$B$65&gt;Paths!$E$48,Paths!$E$48+'Operating costs'!$B$65&lt;=120,IF(Paths!$E$48+'Operating costs'!$B$65=0,C466=0,AND(C466&gt;0,Paths!$E$48+'Operating costs'!$B$65&gt;(C466-1)*12,Paths!$E$48+'Operating costs'!$B$65&lt;=C466*12))),'Operating costs'!$B$64,0)+IF(AND('Operating costs'!$B$67&gt;0,'Operating costs'!$B$67&lt;=120,OR(Paths!$D$48="ICE",'Operating costs'!$B$67&lt;=Paths!$E$48),IF('Operating costs'!$B$67=0,C466=0,AND(C466&gt;0,'Operating costs'!$B$67&gt;(C466-1)*12,'Operating costs'!$B$67&lt;=C466*12))),'Operating costs'!$B$66,0),"n.a."))</f>
        <v>0</v>
      </c>
      <c r="N466" s="16">
        <f>IF(NOT(Paths!$C$48=1),0,IF(Paths!$P$48="Complete",SUM(G466:I466)-J466-K466-L466+M466+IF(C466=0,Paths!$F$48,0)+IF(IF(Paths!$E$48=0,C466=0,AND(C466&gt;0,Paths!$E$48&gt;(C466-1)*12,Paths!$E$48&lt;=C466*12)),VLOOKUP(A466,'Fleet register'!$A$7:$S$106,16,FALSE),0),"n.a."))</f>
        <v>0</v>
      </c>
      <c r="O466" s="16">
        <f>IF(NOT(Paths!$C$48=1),0,IF(Paths!$P$48="Complete",N466-IF(C466=0,Paths!$F$48,0),"n.a."))</f>
        <v>0</v>
      </c>
      <c r="P466" s="16">
        <f>IF(NOT(Paths!$C$48=1),0,IF(Paths!$P$48="Complete",O466+L466,"n.a."))</f>
        <v>0</v>
      </c>
      <c r="Q466" s="16">
        <f>IF(NOT(Paths!$C$48=1),0,IF(Paths!$P$48="Complete",N466*(1+'Operating costs'!$B$54)^-C466,"n.a."))</f>
        <v>0</v>
      </c>
      <c r="R466" s="16">
        <f>IF(NOT(Paths!$C$48=1),0,IF(Paths!$P$48="Complete",IF(AND(C466=0,Paths!$E$48=0),I466-J466-K466+VLOOKUP(A466,'Fleet register'!$A$7:$S$106,15,FALSE)+VLOOKUP(A466,'Fleet register'!$A$7:$S$106,16,FALSE),0),"n.a."))</f>
        <v>0</v>
      </c>
      <c r="S466" s="1">
        <f>IF(NOT(Paths!$C$48=1),0,IF(Paths!$P$48="Complete",IF(C466=0,0,Paths!$S$48*Paths!$R$48),"n.a."))</f>
        <v>0</v>
      </c>
      <c r="T466" s="1">
        <f>IF(NOT(Paths!$C$48=1),0,IF(Paths!$P$48="Complete",IF(C466=0,0,VLOOKUP(A466,'Fleet register'!$A$7:$S$106,9,FALSE)*Paths!$R$48),"n.a."))</f>
        <v>0</v>
      </c>
    </row>
    <row r="467" spans="1:20" ht="24" customHeight="1">
      <c r="A467" s="1" t="str">
        <f>Paths!$A$48</f>
        <v>T011</v>
      </c>
      <c r="B467" s="1">
        <f>Paths!$B$48</f>
        <v>1</v>
      </c>
      <c r="C467" s="1">
        <v>9</v>
      </c>
      <c r="D467" s="1">
        <v>48</v>
      </c>
      <c r="E467" s="1">
        <f>IF(OR(Paths!$C$48=0,C467=0),0,MAX(0,MIN(C467*12,Paths!$E$48)-(C467-1)*12))</f>
        <v>0</v>
      </c>
      <c r="F467" s="1">
        <f>IF(OR(Paths!$C$48=0,C467=0),0,12-E467)</f>
        <v>0</v>
      </c>
      <c r="G467" s="16">
        <f>IF(NOT(Paths!$C$48=1),0,IF(Paths!$P$48="Complete",E467/12*(Paths!$J$48*(1+'Operating costs'!$B$51)^MAX(0,C467-1)+Paths!$K$48*(1+'Operating costs'!$B$53)^MAX(0,C467-1)),"n.a."))</f>
        <v>0</v>
      </c>
      <c r="H467" s="16">
        <f>IF(NOT(Paths!$C$48=1),0,IF(Paths!$P$48="Complete",F467/12*(Paths!$L$48*(1+IF(Paths!$D$48="EV",'Operating costs'!$B$52,'Operating costs'!$B$51))^MAX(0,C467-1)+Paths!$M$48*(1+'Operating costs'!$B$53)^MAX(0,C467-1)),"n.a."))</f>
        <v>0</v>
      </c>
      <c r="I467" s="16">
        <f>IF(NOT(Paths!$C$48=1),0,IF(Paths!$P$48="Complete",IF(IF(Paths!$E$48=0,C467=0,AND(C467&gt;0,Paths!$E$48&gt;(C467-1)*12,Paths!$E$48&lt;=C467*12)),Paths!$G$48,0),"n.a."))</f>
        <v>0</v>
      </c>
      <c r="J467" s="16">
        <f>IF(NOT(Paths!$C$48=1),0,IF(Paths!$P$48="Complete",IF(IF(Paths!$E$48=0,C467=0,AND(C467&gt;0,Paths!$E$48&gt;(C467-1)*12,Paths!$E$48&lt;=C467*12)),Paths!$H$48,0),"n.a."))</f>
        <v>0</v>
      </c>
      <c r="K467" s="16">
        <f>IF(NOT(Paths!$C$48=1),0,IF(Paths!$P$48="Complete",IF(IF(Paths!$O$48=0,C467=0,AND(C467&gt;0,Paths!$O$48&gt;(C467-1)*12,Paths!$O$48&lt;=C467*12)),Paths!$N$48,0),"n.a."))</f>
        <v>0</v>
      </c>
      <c r="L467" s="16">
        <f>IF(NOT(Paths!$C$48=1),0,IF(Paths!$P$48="Complete",IF(C467=10,Paths!$I$48,0),"n.a."))</f>
        <v>0</v>
      </c>
      <c r="M467" s="16">
        <f>IF(NOT(Paths!$C$48=1),0,IF(Paths!$P$48="Complete",IF(AND(Paths!$D$48="EV",Paths!$E$48&lt;120,Paths!$E$48+'Operating costs'!$B$65&gt;Paths!$E$48,Paths!$E$48+'Operating costs'!$B$65&lt;=120,IF(Paths!$E$48+'Operating costs'!$B$65=0,C467=0,AND(C467&gt;0,Paths!$E$48+'Operating costs'!$B$65&gt;(C467-1)*12,Paths!$E$48+'Operating costs'!$B$65&lt;=C467*12))),'Operating costs'!$B$64,0)+IF(AND('Operating costs'!$B$67&gt;0,'Operating costs'!$B$67&lt;=120,OR(Paths!$D$48="ICE",'Operating costs'!$B$67&lt;=Paths!$E$48),IF('Operating costs'!$B$67=0,C467=0,AND(C467&gt;0,'Operating costs'!$B$67&gt;(C467-1)*12,'Operating costs'!$B$67&lt;=C467*12))),'Operating costs'!$B$66,0),"n.a."))</f>
        <v>0</v>
      </c>
      <c r="N467" s="16">
        <f>IF(NOT(Paths!$C$48=1),0,IF(Paths!$P$48="Complete",SUM(G467:I467)-J467-K467-L467+M467+IF(C467=0,Paths!$F$48,0)+IF(IF(Paths!$E$48=0,C467=0,AND(C467&gt;0,Paths!$E$48&gt;(C467-1)*12,Paths!$E$48&lt;=C467*12)),VLOOKUP(A467,'Fleet register'!$A$7:$S$106,16,FALSE),0),"n.a."))</f>
        <v>0</v>
      </c>
      <c r="O467" s="16">
        <f>IF(NOT(Paths!$C$48=1),0,IF(Paths!$P$48="Complete",N467-IF(C467=0,Paths!$F$48,0),"n.a."))</f>
        <v>0</v>
      </c>
      <c r="P467" s="16">
        <f>IF(NOT(Paths!$C$48=1),0,IF(Paths!$P$48="Complete",O467+L467,"n.a."))</f>
        <v>0</v>
      </c>
      <c r="Q467" s="16">
        <f>IF(NOT(Paths!$C$48=1),0,IF(Paths!$P$48="Complete",N467*(1+'Operating costs'!$B$54)^-C467,"n.a."))</f>
        <v>0</v>
      </c>
      <c r="R467" s="16">
        <f>IF(NOT(Paths!$C$48=1),0,IF(Paths!$P$48="Complete",IF(AND(C467=0,Paths!$E$48=0),I467-J467-K467+VLOOKUP(A467,'Fleet register'!$A$7:$S$106,15,FALSE)+VLOOKUP(A467,'Fleet register'!$A$7:$S$106,16,FALSE),0),"n.a."))</f>
        <v>0</v>
      </c>
      <c r="S467" s="1">
        <f>IF(NOT(Paths!$C$48=1),0,IF(Paths!$P$48="Complete",IF(C467=0,0,Paths!$S$48*Paths!$R$48),"n.a."))</f>
        <v>0</v>
      </c>
      <c r="T467" s="1">
        <f>IF(NOT(Paths!$C$48=1),0,IF(Paths!$P$48="Complete",IF(C467=0,0,VLOOKUP(A467,'Fleet register'!$A$7:$S$106,9,FALSE)*Paths!$R$48),"n.a."))</f>
        <v>0</v>
      </c>
    </row>
    <row r="468" spans="1:20" ht="24" customHeight="1">
      <c r="A468" s="1" t="str">
        <f>Paths!$A$48</f>
        <v>T011</v>
      </c>
      <c r="B468" s="1">
        <f>Paths!$B$48</f>
        <v>1</v>
      </c>
      <c r="C468" s="1">
        <v>10</v>
      </c>
      <c r="D468" s="1">
        <v>48</v>
      </c>
      <c r="E468" s="1">
        <f>IF(OR(Paths!$C$48=0,C468=0),0,MAX(0,MIN(C468*12,Paths!$E$48)-(C468-1)*12))</f>
        <v>0</v>
      </c>
      <c r="F468" s="1">
        <f>IF(OR(Paths!$C$48=0,C468=0),0,12-E468)</f>
        <v>0</v>
      </c>
      <c r="G468" s="16">
        <f>IF(NOT(Paths!$C$48=1),0,IF(Paths!$P$48="Complete",E468/12*(Paths!$J$48*(1+'Operating costs'!$B$51)^MAX(0,C468-1)+Paths!$K$48*(1+'Operating costs'!$B$53)^MAX(0,C468-1)),"n.a."))</f>
        <v>0</v>
      </c>
      <c r="H468" s="16">
        <f>IF(NOT(Paths!$C$48=1),0,IF(Paths!$P$48="Complete",F468/12*(Paths!$L$48*(1+IF(Paths!$D$48="EV",'Operating costs'!$B$52,'Operating costs'!$B$51))^MAX(0,C468-1)+Paths!$M$48*(1+'Operating costs'!$B$53)^MAX(0,C468-1)),"n.a."))</f>
        <v>0</v>
      </c>
      <c r="I468" s="16">
        <f>IF(NOT(Paths!$C$48=1),0,IF(Paths!$P$48="Complete",IF(IF(Paths!$E$48=0,C468=0,AND(C468&gt;0,Paths!$E$48&gt;(C468-1)*12,Paths!$E$48&lt;=C468*12)),Paths!$G$48,0),"n.a."))</f>
        <v>0</v>
      </c>
      <c r="J468" s="16">
        <f>IF(NOT(Paths!$C$48=1),0,IF(Paths!$P$48="Complete",IF(IF(Paths!$E$48=0,C468=0,AND(C468&gt;0,Paths!$E$48&gt;(C468-1)*12,Paths!$E$48&lt;=C468*12)),Paths!$H$48,0),"n.a."))</f>
        <v>0</v>
      </c>
      <c r="K468" s="16">
        <f>IF(NOT(Paths!$C$48=1),0,IF(Paths!$P$48="Complete",IF(IF(Paths!$O$48=0,C468=0,AND(C468&gt;0,Paths!$O$48&gt;(C468-1)*12,Paths!$O$48&lt;=C468*12)),Paths!$N$48,0),"n.a."))</f>
        <v>0</v>
      </c>
      <c r="L468" s="16">
        <f>IF(NOT(Paths!$C$48=1),0,IF(Paths!$P$48="Complete",IF(C468=10,Paths!$I$48,0),"n.a."))</f>
        <v>0</v>
      </c>
      <c r="M468" s="16">
        <f>IF(NOT(Paths!$C$48=1),0,IF(Paths!$P$48="Complete",IF(AND(Paths!$D$48="EV",Paths!$E$48&lt;120,Paths!$E$48+'Operating costs'!$B$65&gt;Paths!$E$48,Paths!$E$48+'Operating costs'!$B$65&lt;=120,IF(Paths!$E$48+'Operating costs'!$B$65=0,C468=0,AND(C468&gt;0,Paths!$E$48+'Operating costs'!$B$65&gt;(C468-1)*12,Paths!$E$48+'Operating costs'!$B$65&lt;=C468*12))),'Operating costs'!$B$64,0)+IF(AND('Operating costs'!$B$67&gt;0,'Operating costs'!$B$67&lt;=120,OR(Paths!$D$48="ICE",'Operating costs'!$B$67&lt;=Paths!$E$48),IF('Operating costs'!$B$67=0,C468=0,AND(C468&gt;0,'Operating costs'!$B$67&gt;(C468-1)*12,'Operating costs'!$B$67&lt;=C468*12))),'Operating costs'!$B$66,0),"n.a."))</f>
        <v>0</v>
      </c>
      <c r="N468" s="16">
        <f>IF(NOT(Paths!$C$48=1),0,IF(Paths!$P$48="Complete",SUM(G468:I468)-J468-K468-L468+M468+IF(C468=0,Paths!$F$48,0)+IF(IF(Paths!$E$48=0,C468=0,AND(C468&gt;0,Paths!$E$48&gt;(C468-1)*12,Paths!$E$48&lt;=C468*12)),VLOOKUP(A468,'Fleet register'!$A$7:$S$106,16,FALSE),0),"n.a."))</f>
        <v>0</v>
      </c>
      <c r="O468" s="16">
        <f>IF(NOT(Paths!$C$48=1),0,IF(Paths!$P$48="Complete",N468-IF(C468=0,Paths!$F$48,0),"n.a."))</f>
        <v>0</v>
      </c>
      <c r="P468" s="16">
        <f>IF(NOT(Paths!$C$48=1),0,IF(Paths!$P$48="Complete",O468+L468,"n.a."))</f>
        <v>0</v>
      </c>
      <c r="Q468" s="16">
        <f>IF(NOT(Paths!$C$48=1),0,IF(Paths!$P$48="Complete",N468*(1+'Operating costs'!$B$54)^-C468,"n.a."))</f>
        <v>0</v>
      </c>
      <c r="R468" s="16">
        <f>IF(NOT(Paths!$C$48=1),0,IF(Paths!$P$48="Complete",IF(AND(C468=0,Paths!$E$48=0),I468-J468-K468+VLOOKUP(A468,'Fleet register'!$A$7:$S$106,15,FALSE)+VLOOKUP(A468,'Fleet register'!$A$7:$S$106,16,FALSE),0),"n.a."))</f>
        <v>0</v>
      </c>
      <c r="S468" s="1">
        <f>IF(NOT(Paths!$C$48=1),0,IF(Paths!$P$48="Complete",IF(C468=0,0,Paths!$S$48*Paths!$R$48),"n.a."))</f>
        <v>0</v>
      </c>
      <c r="T468" s="1">
        <f>IF(NOT(Paths!$C$48=1),0,IF(Paths!$P$48="Complete",IF(C468=0,0,VLOOKUP(A468,'Fleet register'!$A$7:$S$106,9,FALSE)*Paths!$R$48),"n.a."))</f>
        <v>0</v>
      </c>
    </row>
    <row r="469" spans="1:20" ht="24" customHeight="1">
      <c r="A469" s="1" t="str">
        <f>Paths!$A$49</f>
        <v>T011</v>
      </c>
      <c r="B469" s="1">
        <f>Paths!$B$49</f>
        <v>2</v>
      </c>
      <c r="C469" s="1">
        <v>0</v>
      </c>
      <c r="D469" s="1">
        <v>49</v>
      </c>
      <c r="E469" s="1">
        <f>IF(OR(Paths!$C$49=0,C469=0),0,MAX(0,MIN(C469*12,Paths!$E$49)-(C469-1)*12))</f>
        <v>0</v>
      </c>
      <c r="F469" s="1">
        <f>IF(OR(Paths!$C$49=0,C469=0),0,12-E469)</f>
        <v>0</v>
      </c>
      <c r="G469" s="16">
        <f>IF(NOT(Paths!$C$49=1),0,IF(Paths!$P$49="Complete",E469/12*(Paths!$J$49*(1+'Operating costs'!$B$51)^MAX(0,C469-1)+Paths!$K$49*(1+'Operating costs'!$B$53)^MAX(0,C469-1)),"n.a."))</f>
        <v>0</v>
      </c>
      <c r="H469" s="16">
        <f>IF(NOT(Paths!$C$49=1),0,IF(Paths!$P$49="Complete",F469/12*(Paths!$L$49*(1+IF(Paths!$D$49="EV",'Operating costs'!$B$52,'Operating costs'!$B$51))^MAX(0,C469-1)+Paths!$M$49*(1+'Operating costs'!$B$53)^MAX(0,C469-1)),"n.a."))</f>
        <v>0</v>
      </c>
      <c r="I469" s="16">
        <f>IF(NOT(Paths!$C$49=1),0,IF(Paths!$P$49="Complete",IF(IF(Paths!$E$49=0,C469=0,AND(C469&gt;0,Paths!$E$49&gt;(C469-1)*12,Paths!$E$49&lt;=C469*12)),Paths!$G$49,0),"n.a."))</f>
        <v>0</v>
      </c>
      <c r="J469" s="16">
        <f>IF(NOT(Paths!$C$49=1),0,IF(Paths!$P$49="Complete",IF(IF(Paths!$E$49=0,C469=0,AND(C469&gt;0,Paths!$E$49&gt;(C469-1)*12,Paths!$E$49&lt;=C469*12)),Paths!$H$49,0),"n.a."))</f>
        <v>0</v>
      </c>
      <c r="K469" s="16">
        <f>IF(NOT(Paths!$C$49=1),0,IF(Paths!$P$49="Complete",IF(IF(Paths!$O$49=0,C469=0,AND(C469&gt;0,Paths!$O$49&gt;(C469-1)*12,Paths!$O$49&lt;=C469*12)),Paths!$N$49,0),"n.a."))</f>
        <v>0</v>
      </c>
      <c r="L469" s="16">
        <f>IF(NOT(Paths!$C$49=1),0,IF(Paths!$P$49="Complete",IF(C469=10,Paths!$I$49,0),"n.a."))</f>
        <v>0</v>
      </c>
      <c r="M469" s="16">
        <f>IF(NOT(Paths!$C$49=1),0,IF(Paths!$P$49="Complete",IF(AND(Paths!$D$49="EV",Paths!$E$49&lt;120,Paths!$E$49+'Operating costs'!$B$65&gt;Paths!$E$49,Paths!$E$49+'Operating costs'!$B$65&lt;=120,IF(Paths!$E$49+'Operating costs'!$B$65=0,C469=0,AND(C469&gt;0,Paths!$E$49+'Operating costs'!$B$65&gt;(C469-1)*12,Paths!$E$49+'Operating costs'!$B$65&lt;=C469*12))),'Operating costs'!$B$64,0)+IF(AND('Operating costs'!$B$67&gt;0,'Operating costs'!$B$67&lt;=120,OR(Paths!$D$49="ICE",'Operating costs'!$B$67&lt;=Paths!$E$49),IF('Operating costs'!$B$67=0,C469=0,AND(C469&gt;0,'Operating costs'!$B$67&gt;(C469-1)*12,'Operating costs'!$B$67&lt;=C469*12))),'Operating costs'!$B$66,0),"n.a."))</f>
        <v>0</v>
      </c>
      <c r="N469" s="16">
        <f>IF(NOT(Paths!$C$49=1),0,IF(Paths!$P$49="Complete",SUM(G469:I469)-J469-K469-L469+M469+IF(C469=0,Paths!$F$49,0)+IF(IF(Paths!$E$49=0,C469=0,AND(C469&gt;0,Paths!$E$49&gt;(C469-1)*12,Paths!$E$49&lt;=C469*12)),VLOOKUP(A469,'Fleet register'!$A$7:$S$106,16,FALSE),0),"n.a."))</f>
        <v>0</v>
      </c>
      <c r="O469" s="16">
        <f>IF(NOT(Paths!$C$49=1),0,IF(Paths!$P$49="Complete",N469-IF(C469=0,Paths!$F$49,0),"n.a."))</f>
        <v>0</v>
      </c>
      <c r="P469" s="16">
        <f>IF(NOT(Paths!$C$49=1),0,IF(Paths!$P$49="Complete",O469+L469,"n.a."))</f>
        <v>0</v>
      </c>
      <c r="Q469" s="16">
        <f>IF(NOT(Paths!$C$49=1),0,IF(Paths!$P$49="Complete",N469*(1+'Operating costs'!$B$54)^-C469,"n.a."))</f>
        <v>0</v>
      </c>
      <c r="R469" s="16">
        <f>IF(NOT(Paths!$C$49=1),0,IF(Paths!$P$49="Complete",IF(AND(C469=0,Paths!$E$49=0),I469-J469-K469+VLOOKUP(A469,'Fleet register'!$A$7:$S$106,15,FALSE)+VLOOKUP(A469,'Fleet register'!$A$7:$S$106,16,FALSE),0),"n.a."))</f>
        <v>0</v>
      </c>
      <c r="S469" s="1">
        <f>IF(NOT(Paths!$C$49=1),0,IF(Paths!$P$49="Complete",IF(C469=0,0,Paths!$S$49*Paths!$R$49),"n.a."))</f>
        <v>0</v>
      </c>
      <c r="T469" s="1">
        <f>IF(NOT(Paths!$C$49=1),0,IF(Paths!$P$49="Complete",IF(C469=0,0,VLOOKUP(A469,'Fleet register'!$A$7:$S$106,9,FALSE)*Paths!$R$49),"n.a."))</f>
        <v>0</v>
      </c>
    </row>
    <row r="470" spans="1:20" ht="24" customHeight="1">
      <c r="A470" s="1" t="str">
        <f>Paths!$A$49</f>
        <v>T011</v>
      </c>
      <c r="B470" s="1">
        <f>Paths!$B$49</f>
        <v>2</v>
      </c>
      <c r="C470" s="1">
        <v>1</v>
      </c>
      <c r="D470" s="1">
        <v>49</v>
      </c>
      <c r="E470" s="1">
        <f>IF(OR(Paths!$C$49=0,C470=0),0,MAX(0,MIN(C470*12,Paths!$E$49)-(C470-1)*12))</f>
        <v>0</v>
      </c>
      <c r="F470" s="1">
        <f>IF(OR(Paths!$C$49=0,C470=0),0,12-E470)</f>
        <v>0</v>
      </c>
      <c r="G470" s="16">
        <f>IF(NOT(Paths!$C$49=1),0,IF(Paths!$P$49="Complete",E470/12*(Paths!$J$49*(1+'Operating costs'!$B$51)^MAX(0,C470-1)+Paths!$K$49*(1+'Operating costs'!$B$53)^MAX(0,C470-1)),"n.a."))</f>
        <v>0</v>
      </c>
      <c r="H470" s="16">
        <f>IF(NOT(Paths!$C$49=1),0,IF(Paths!$P$49="Complete",F470/12*(Paths!$L$49*(1+IF(Paths!$D$49="EV",'Operating costs'!$B$52,'Operating costs'!$B$51))^MAX(0,C470-1)+Paths!$M$49*(1+'Operating costs'!$B$53)^MAX(0,C470-1)),"n.a."))</f>
        <v>0</v>
      </c>
      <c r="I470" s="16">
        <f>IF(NOT(Paths!$C$49=1),0,IF(Paths!$P$49="Complete",IF(IF(Paths!$E$49=0,C470=0,AND(C470&gt;0,Paths!$E$49&gt;(C470-1)*12,Paths!$E$49&lt;=C470*12)),Paths!$G$49,0),"n.a."))</f>
        <v>0</v>
      </c>
      <c r="J470" s="16">
        <f>IF(NOT(Paths!$C$49=1),0,IF(Paths!$P$49="Complete",IF(IF(Paths!$E$49=0,C470=0,AND(C470&gt;0,Paths!$E$49&gt;(C470-1)*12,Paths!$E$49&lt;=C470*12)),Paths!$H$49,0),"n.a."))</f>
        <v>0</v>
      </c>
      <c r="K470" s="16">
        <f>IF(NOT(Paths!$C$49=1),0,IF(Paths!$P$49="Complete",IF(IF(Paths!$O$49=0,C470=0,AND(C470&gt;0,Paths!$O$49&gt;(C470-1)*12,Paths!$O$49&lt;=C470*12)),Paths!$N$49,0),"n.a."))</f>
        <v>0</v>
      </c>
      <c r="L470" s="16">
        <f>IF(NOT(Paths!$C$49=1),0,IF(Paths!$P$49="Complete",IF(C470=10,Paths!$I$49,0),"n.a."))</f>
        <v>0</v>
      </c>
      <c r="M470" s="16">
        <f>IF(NOT(Paths!$C$49=1),0,IF(Paths!$P$49="Complete",IF(AND(Paths!$D$49="EV",Paths!$E$49&lt;120,Paths!$E$49+'Operating costs'!$B$65&gt;Paths!$E$49,Paths!$E$49+'Operating costs'!$B$65&lt;=120,IF(Paths!$E$49+'Operating costs'!$B$65=0,C470=0,AND(C470&gt;0,Paths!$E$49+'Operating costs'!$B$65&gt;(C470-1)*12,Paths!$E$49+'Operating costs'!$B$65&lt;=C470*12))),'Operating costs'!$B$64,0)+IF(AND('Operating costs'!$B$67&gt;0,'Operating costs'!$B$67&lt;=120,OR(Paths!$D$49="ICE",'Operating costs'!$B$67&lt;=Paths!$E$49),IF('Operating costs'!$B$67=0,C470=0,AND(C470&gt;0,'Operating costs'!$B$67&gt;(C470-1)*12,'Operating costs'!$B$67&lt;=C470*12))),'Operating costs'!$B$66,0),"n.a."))</f>
        <v>0</v>
      </c>
      <c r="N470" s="16">
        <f>IF(NOT(Paths!$C$49=1),0,IF(Paths!$P$49="Complete",SUM(G470:I470)-J470-K470-L470+M470+IF(C470=0,Paths!$F$49,0)+IF(IF(Paths!$E$49=0,C470=0,AND(C470&gt;0,Paths!$E$49&gt;(C470-1)*12,Paths!$E$49&lt;=C470*12)),VLOOKUP(A470,'Fleet register'!$A$7:$S$106,16,FALSE),0),"n.a."))</f>
        <v>0</v>
      </c>
      <c r="O470" s="16">
        <f>IF(NOT(Paths!$C$49=1),0,IF(Paths!$P$49="Complete",N470-IF(C470=0,Paths!$F$49,0),"n.a."))</f>
        <v>0</v>
      </c>
      <c r="P470" s="16">
        <f>IF(NOT(Paths!$C$49=1),0,IF(Paths!$P$49="Complete",O470+L470,"n.a."))</f>
        <v>0</v>
      </c>
      <c r="Q470" s="16">
        <f>IF(NOT(Paths!$C$49=1),0,IF(Paths!$P$49="Complete",N470*(1+'Operating costs'!$B$54)^-C470,"n.a."))</f>
        <v>0</v>
      </c>
      <c r="R470" s="16">
        <f>IF(NOT(Paths!$C$49=1),0,IF(Paths!$P$49="Complete",IF(AND(C470=0,Paths!$E$49=0),I470-J470-K470+VLOOKUP(A470,'Fleet register'!$A$7:$S$106,15,FALSE)+VLOOKUP(A470,'Fleet register'!$A$7:$S$106,16,FALSE),0),"n.a."))</f>
        <v>0</v>
      </c>
      <c r="S470" s="1">
        <f>IF(NOT(Paths!$C$49=1),0,IF(Paths!$P$49="Complete",IF(C470=0,0,Paths!$S$49*Paths!$R$49),"n.a."))</f>
        <v>0</v>
      </c>
      <c r="T470" s="1">
        <f>IF(NOT(Paths!$C$49=1),0,IF(Paths!$P$49="Complete",IF(C470=0,0,VLOOKUP(A470,'Fleet register'!$A$7:$S$106,9,FALSE)*Paths!$R$49),"n.a."))</f>
        <v>0</v>
      </c>
    </row>
    <row r="471" spans="1:20" ht="24" customHeight="1">
      <c r="A471" s="1" t="str">
        <f>Paths!$A$49</f>
        <v>T011</v>
      </c>
      <c r="B471" s="1">
        <f>Paths!$B$49</f>
        <v>2</v>
      </c>
      <c r="C471" s="1">
        <v>2</v>
      </c>
      <c r="D471" s="1">
        <v>49</v>
      </c>
      <c r="E471" s="1">
        <f>IF(OR(Paths!$C$49=0,C471=0),0,MAX(0,MIN(C471*12,Paths!$E$49)-(C471-1)*12))</f>
        <v>0</v>
      </c>
      <c r="F471" s="1">
        <f>IF(OR(Paths!$C$49=0,C471=0),0,12-E471)</f>
        <v>0</v>
      </c>
      <c r="G471" s="16">
        <f>IF(NOT(Paths!$C$49=1),0,IF(Paths!$P$49="Complete",E471/12*(Paths!$J$49*(1+'Operating costs'!$B$51)^MAX(0,C471-1)+Paths!$K$49*(1+'Operating costs'!$B$53)^MAX(0,C471-1)),"n.a."))</f>
        <v>0</v>
      </c>
      <c r="H471" s="16">
        <f>IF(NOT(Paths!$C$49=1),0,IF(Paths!$P$49="Complete",F471/12*(Paths!$L$49*(1+IF(Paths!$D$49="EV",'Operating costs'!$B$52,'Operating costs'!$B$51))^MAX(0,C471-1)+Paths!$M$49*(1+'Operating costs'!$B$53)^MAX(0,C471-1)),"n.a."))</f>
        <v>0</v>
      </c>
      <c r="I471" s="16">
        <f>IF(NOT(Paths!$C$49=1),0,IF(Paths!$P$49="Complete",IF(IF(Paths!$E$49=0,C471=0,AND(C471&gt;0,Paths!$E$49&gt;(C471-1)*12,Paths!$E$49&lt;=C471*12)),Paths!$G$49,0),"n.a."))</f>
        <v>0</v>
      </c>
      <c r="J471" s="16">
        <f>IF(NOT(Paths!$C$49=1),0,IF(Paths!$P$49="Complete",IF(IF(Paths!$E$49=0,C471=0,AND(C471&gt;0,Paths!$E$49&gt;(C471-1)*12,Paths!$E$49&lt;=C471*12)),Paths!$H$49,0),"n.a."))</f>
        <v>0</v>
      </c>
      <c r="K471" s="16">
        <f>IF(NOT(Paths!$C$49=1),0,IF(Paths!$P$49="Complete",IF(IF(Paths!$O$49=0,C471=0,AND(C471&gt;0,Paths!$O$49&gt;(C471-1)*12,Paths!$O$49&lt;=C471*12)),Paths!$N$49,0),"n.a."))</f>
        <v>0</v>
      </c>
      <c r="L471" s="16">
        <f>IF(NOT(Paths!$C$49=1),0,IF(Paths!$P$49="Complete",IF(C471=10,Paths!$I$49,0),"n.a."))</f>
        <v>0</v>
      </c>
      <c r="M471" s="16">
        <f>IF(NOT(Paths!$C$49=1),0,IF(Paths!$P$49="Complete",IF(AND(Paths!$D$49="EV",Paths!$E$49&lt;120,Paths!$E$49+'Operating costs'!$B$65&gt;Paths!$E$49,Paths!$E$49+'Operating costs'!$B$65&lt;=120,IF(Paths!$E$49+'Operating costs'!$B$65=0,C471=0,AND(C471&gt;0,Paths!$E$49+'Operating costs'!$B$65&gt;(C471-1)*12,Paths!$E$49+'Operating costs'!$B$65&lt;=C471*12))),'Operating costs'!$B$64,0)+IF(AND('Operating costs'!$B$67&gt;0,'Operating costs'!$B$67&lt;=120,OR(Paths!$D$49="ICE",'Operating costs'!$B$67&lt;=Paths!$E$49),IF('Operating costs'!$B$67=0,C471=0,AND(C471&gt;0,'Operating costs'!$B$67&gt;(C471-1)*12,'Operating costs'!$B$67&lt;=C471*12))),'Operating costs'!$B$66,0),"n.a."))</f>
        <v>0</v>
      </c>
      <c r="N471" s="16">
        <f>IF(NOT(Paths!$C$49=1),0,IF(Paths!$P$49="Complete",SUM(G471:I471)-J471-K471-L471+M471+IF(C471=0,Paths!$F$49,0)+IF(IF(Paths!$E$49=0,C471=0,AND(C471&gt;0,Paths!$E$49&gt;(C471-1)*12,Paths!$E$49&lt;=C471*12)),VLOOKUP(A471,'Fleet register'!$A$7:$S$106,16,FALSE),0),"n.a."))</f>
        <v>0</v>
      </c>
      <c r="O471" s="16">
        <f>IF(NOT(Paths!$C$49=1),0,IF(Paths!$P$49="Complete",N471-IF(C471=0,Paths!$F$49,0),"n.a."))</f>
        <v>0</v>
      </c>
      <c r="P471" s="16">
        <f>IF(NOT(Paths!$C$49=1),0,IF(Paths!$P$49="Complete",O471+L471,"n.a."))</f>
        <v>0</v>
      </c>
      <c r="Q471" s="16">
        <f>IF(NOT(Paths!$C$49=1),0,IF(Paths!$P$49="Complete",N471*(1+'Operating costs'!$B$54)^-C471,"n.a."))</f>
        <v>0</v>
      </c>
      <c r="R471" s="16">
        <f>IF(NOT(Paths!$C$49=1),0,IF(Paths!$P$49="Complete",IF(AND(C471=0,Paths!$E$49=0),I471-J471-K471+VLOOKUP(A471,'Fleet register'!$A$7:$S$106,15,FALSE)+VLOOKUP(A471,'Fleet register'!$A$7:$S$106,16,FALSE),0),"n.a."))</f>
        <v>0</v>
      </c>
      <c r="S471" s="1">
        <f>IF(NOT(Paths!$C$49=1),0,IF(Paths!$P$49="Complete",IF(C471=0,0,Paths!$S$49*Paths!$R$49),"n.a."))</f>
        <v>0</v>
      </c>
      <c r="T471" s="1">
        <f>IF(NOT(Paths!$C$49=1),0,IF(Paths!$P$49="Complete",IF(C471=0,0,VLOOKUP(A471,'Fleet register'!$A$7:$S$106,9,FALSE)*Paths!$R$49),"n.a."))</f>
        <v>0</v>
      </c>
    </row>
    <row r="472" spans="1:20" ht="24" customHeight="1">
      <c r="A472" s="1" t="str">
        <f>Paths!$A$49</f>
        <v>T011</v>
      </c>
      <c r="B472" s="1">
        <f>Paths!$B$49</f>
        <v>2</v>
      </c>
      <c r="C472" s="1">
        <v>3</v>
      </c>
      <c r="D472" s="1">
        <v>49</v>
      </c>
      <c r="E472" s="1">
        <f>IF(OR(Paths!$C$49=0,C472=0),0,MAX(0,MIN(C472*12,Paths!$E$49)-(C472-1)*12))</f>
        <v>0</v>
      </c>
      <c r="F472" s="1">
        <f>IF(OR(Paths!$C$49=0,C472=0),0,12-E472)</f>
        <v>0</v>
      </c>
      <c r="G472" s="16">
        <f>IF(NOT(Paths!$C$49=1),0,IF(Paths!$P$49="Complete",E472/12*(Paths!$J$49*(1+'Operating costs'!$B$51)^MAX(0,C472-1)+Paths!$K$49*(1+'Operating costs'!$B$53)^MAX(0,C472-1)),"n.a."))</f>
        <v>0</v>
      </c>
      <c r="H472" s="16">
        <f>IF(NOT(Paths!$C$49=1),0,IF(Paths!$P$49="Complete",F472/12*(Paths!$L$49*(1+IF(Paths!$D$49="EV",'Operating costs'!$B$52,'Operating costs'!$B$51))^MAX(0,C472-1)+Paths!$M$49*(1+'Operating costs'!$B$53)^MAX(0,C472-1)),"n.a."))</f>
        <v>0</v>
      </c>
      <c r="I472" s="16">
        <f>IF(NOT(Paths!$C$49=1),0,IF(Paths!$P$49="Complete",IF(IF(Paths!$E$49=0,C472=0,AND(C472&gt;0,Paths!$E$49&gt;(C472-1)*12,Paths!$E$49&lt;=C472*12)),Paths!$G$49,0),"n.a."))</f>
        <v>0</v>
      </c>
      <c r="J472" s="16">
        <f>IF(NOT(Paths!$C$49=1),0,IF(Paths!$P$49="Complete",IF(IF(Paths!$E$49=0,C472=0,AND(C472&gt;0,Paths!$E$49&gt;(C472-1)*12,Paths!$E$49&lt;=C472*12)),Paths!$H$49,0),"n.a."))</f>
        <v>0</v>
      </c>
      <c r="K472" s="16">
        <f>IF(NOT(Paths!$C$49=1),0,IF(Paths!$P$49="Complete",IF(IF(Paths!$O$49=0,C472=0,AND(C472&gt;0,Paths!$O$49&gt;(C472-1)*12,Paths!$O$49&lt;=C472*12)),Paths!$N$49,0),"n.a."))</f>
        <v>0</v>
      </c>
      <c r="L472" s="16">
        <f>IF(NOT(Paths!$C$49=1),0,IF(Paths!$P$49="Complete",IF(C472=10,Paths!$I$49,0),"n.a."))</f>
        <v>0</v>
      </c>
      <c r="M472" s="16">
        <f>IF(NOT(Paths!$C$49=1),0,IF(Paths!$P$49="Complete",IF(AND(Paths!$D$49="EV",Paths!$E$49&lt;120,Paths!$E$49+'Operating costs'!$B$65&gt;Paths!$E$49,Paths!$E$49+'Operating costs'!$B$65&lt;=120,IF(Paths!$E$49+'Operating costs'!$B$65=0,C472=0,AND(C472&gt;0,Paths!$E$49+'Operating costs'!$B$65&gt;(C472-1)*12,Paths!$E$49+'Operating costs'!$B$65&lt;=C472*12))),'Operating costs'!$B$64,0)+IF(AND('Operating costs'!$B$67&gt;0,'Operating costs'!$B$67&lt;=120,OR(Paths!$D$49="ICE",'Operating costs'!$B$67&lt;=Paths!$E$49),IF('Operating costs'!$B$67=0,C472=0,AND(C472&gt;0,'Operating costs'!$B$67&gt;(C472-1)*12,'Operating costs'!$B$67&lt;=C472*12))),'Operating costs'!$B$66,0),"n.a."))</f>
        <v>0</v>
      </c>
      <c r="N472" s="16">
        <f>IF(NOT(Paths!$C$49=1),0,IF(Paths!$P$49="Complete",SUM(G472:I472)-J472-K472-L472+M472+IF(C472=0,Paths!$F$49,0)+IF(IF(Paths!$E$49=0,C472=0,AND(C472&gt;0,Paths!$E$49&gt;(C472-1)*12,Paths!$E$49&lt;=C472*12)),VLOOKUP(A472,'Fleet register'!$A$7:$S$106,16,FALSE),0),"n.a."))</f>
        <v>0</v>
      </c>
      <c r="O472" s="16">
        <f>IF(NOT(Paths!$C$49=1),0,IF(Paths!$P$49="Complete",N472-IF(C472=0,Paths!$F$49,0),"n.a."))</f>
        <v>0</v>
      </c>
      <c r="P472" s="16">
        <f>IF(NOT(Paths!$C$49=1),0,IF(Paths!$P$49="Complete",O472+L472,"n.a."))</f>
        <v>0</v>
      </c>
      <c r="Q472" s="16">
        <f>IF(NOT(Paths!$C$49=1),0,IF(Paths!$P$49="Complete",N472*(1+'Operating costs'!$B$54)^-C472,"n.a."))</f>
        <v>0</v>
      </c>
      <c r="R472" s="16">
        <f>IF(NOT(Paths!$C$49=1),0,IF(Paths!$P$49="Complete",IF(AND(C472=0,Paths!$E$49=0),I472-J472-K472+VLOOKUP(A472,'Fleet register'!$A$7:$S$106,15,FALSE)+VLOOKUP(A472,'Fleet register'!$A$7:$S$106,16,FALSE),0),"n.a."))</f>
        <v>0</v>
      </c>
      <c r="S472" s="1">
        <f>IF(NOT(Paths!$C$49=1),0,IF(Paths!$P$49="Complete",IF(C472=0,0,Paths!$S$49*Paths!$R$49),"n.a."))</f>
        <v>0</v>
      </c>
      <c r="T472" s="1">
        <f>IF(NOT(Paths!$C$49=1),0,IF(Paths!$P$49="Complete",IF(C472=0,0,VLOOKUP(A472,'Fleet register'!$A$7:$S$106,9,FALSE)*Paths!$R$49),"n.a."))</f>
        <v>0</v>
      </c>
    </row>
    <row r="473" spans="1:20" ht="24" customHeight="1">
      <c r="A473" s="1" t="str">
        <f>Paths!$A$49</f>
        <v>T011</v>
      </c>
      <c r="B473" s="1">
        <f>Paths!$B$49</f>
        <v>2</v>
      </c>
      <c r="C473" s="1">
        <v>4</v>
      </c>
      <c r="D473" s="1">
        <v>49</v>
      </c>
      <c r="E473" s="1">
        <f>IF(OR(Paths!$C$49=0,C473=0),0,MAX(0,MIN(C473*12,Paths!$E$49)-(C473-1)*12))</f>
        <v>0</v>
      </c>
      <c r="F473" s="1">
        <f>IF(OR(Paths!$C$49=0,C473=0),0,12-E473)</f>
        <v>0</v>
      </c>
      <c r="G473" s="16">
        <f>IF(NOT(Paths!$C$49=1),0,IF(Paths!$P$49="Complete",E473/12*(Paths!$J$49*(1+'Operating costs'!$B$51)^MAX(0,C473-1)+Paths!$K$49*(1+'Operating costs'!$B$53)^MAX(0,C473-1)),"n.a."))</f>
        <v>0</v>
      </c>
      <c r="H473" s="16">
        <f>IF(NOT(Paths!$C$49=1),0,IF(Paths!$P$49="Complete",F473/12*(Paths!$L$49*(1+IF(Paths!$D$49="EV",'Operating costs'!$B$52,'Operating costs'!$B$51))^MAX(0,C473-1)+Paths!$M$49*(1+'Operating costs'!$B$53)^MAX(0,C473-1)),"n.a."))</f>
        <v>0</v>
      </c>
      <c r="I473" s="16">
        <f>IF(NOT(Paths!$C$49=1),0,IF(Paths!$P$49="Complete",IF(IF(Paths!$E$49=0,C473=0,AND(C473&gt;0,Paths!$E$49&gt;(C473-1)*12,Paths!$E$49&lt;=C473*12)),Paths!$G$49,0),"n.a."))</f>
        <v>0</v>
      </c>
      <c r="J473" s="16">
        <f>IF(NOT(Paths!$C$49=1),0,IF(Paths!$P$49="Complete",IF(IF(Paths!$E$49=0,C473=0,AND(C473&gt;0,Paths!$E$49&gt;(C473-1)*12,Paths!$E$49&lt;=C473*12)),Paths!$H$49,0),"n.a."))</f>
        <v>0</v>
      </c>
      <c r="K473" s="16">
        <f>IF(NOT(Paths!$C$49=1),0,IF(Paths!$P$49="Complete",IF(IF(Paths!$O$49=0,C473=0,AND(C473&gt;0,Paths!$O$49&gt;(C473-1)*12,Paths!$O$49&lt;=C473*12)),Paths!$N$49,0),"n.a."))</f>
        <v>0</v>
      </c>
      <c r="L473" s="16">
        <f>IF(NOT(Paths!$C$49=1),0,IF(Paths!$P$49="Complete",IF(C473=10,Paths!$I$49,0),"n.a."))</f>
        <v>0</v>
      </c>
      <c r="M473" s="16">
        <f>IF(NOT(Paths!$C$49=1),0,IF(Paths!$P$49="Complete",IF(AND(Paths!$D$49="EV",Paths!$E$49&lt;120,Paths!$E$49+'Operating costs'!$B$65&gt;Paths!$E$49,Paths!$E$49+'Operating costs'!$B$65&lt;=120,IF(Paths!$E$49+'Operating costs'!$B$65=0,C473=0,AND(C473&gt;0,Paths!$E$49+'Operating costs'!$B$65&gt;(C473-1)*12,Paths!$E$49+'Operating costs'!$B$65&lt;=C473*12))),'Operating costs'!$B$64,0)+IF(AND('Operating costs'!$B$67&gt;0,'Operating costs'!$B$67&lt;=120,OR(Paths!$D$49="ICE",'Operating costs'!$B$67&lt;=Paths!$E$49),IF('Operating costs'!$B$67=0,C473=0,AND(C473&gt;0,'Operating costs'!$B$67&gt;(C473-1)*12,'Operating costs'!$B$67&lt;=C473*12))),'Operating costs'!$B$66,0),"n.a."))</f>
        <v>0</v>
      </c>
      <c r="N473" s="16">
        <f>IF(NOT(Paths!$C$49=1),0,IF(Paths!$P$49="Complete",SUM(G473:I473)-J473-K473-L473+M473+IF(C473=0,Paths!$F$49,0)+IF(IF(Paths!$E$49=0,C473=0,AND(C473&gt;0,Paths!$E$49&gt;(C473-1)*12,Paths!$E$49&lt;=C473*12)),VLOOKUP(A473,'Fleet register'!$A$7:$S$106,16,FALSE),0),"n.a."))</f>
        <v>0</v>
      </c>
      <c r="O473" s="16">
        <f>IF(NOT(Paths!$C$49=1),0,IF(Paths!$P$49="Complete",N473-IF(C473=0,Paths!$F$49,0),"n.a."))</f>
        <v>0</v>
      </c>
      <c r="P473" s="16">
        <f>IF(NOT(Paths!$C$49=1),0,IF(Paths!$P$49="Complete",O473+L473,"n.a."))</f>
        <v>0</v>
      </c>
      <c r="Q473" s="16">
        <f>IF(NOT(Paths!$C$49=1),0,IF(Paths!$P$49="Complete",N473*(1+'Operating costs'!$B$54)^-C473,"n.a."))</f>
        <v>0</v>
      </c>
      <c r="R473" s="16">
        <f>IF(NOT(Paths!$C$49=1),0,IF(Paths!$P$49="Complete",IF(AND(C473=0,Paths!$E$49=0),I473-J473-K473+VLOOKUP(A473,'Fleet register'!$A$7:$S$106,15,FALSE)+VLOOKUP(A473,'Fleet register'!$A$7:$S$106,16,FALSE),0),"n.a."))</f>
        <v>0</v>
      </c>
      <c r="S473" s="1">
        <f>IF(NOT(Paths!$C$49=1),0,IF(Paths!$P$49="Complete",IF(C473=0,0,Paths!$S$49*Paths!$R$49),"n.a."))</f>
        <v>0</v>
      </c>
      <c r="T473" s="1">
        <f>IF(NOT(Paths!$C$49=1),0,IF(Paths!$P$49="Complete",IF(C473=0,0,VLOOKUP(A473,'Fleet register'!$A$7:$S$106,9,FALSE)*Paths!$R$49),"n.a."))</f>
        <v>0</v>
      </c>
    </row>
    <row r="474" spans="1:20" ht="24" customHeight="1">
      <c r="A474" s="1" t="str">
        <f>Paths!$A$49</f>
        <v>T011</v>
      </c>
      <c r="B474" s="1">
        <f>Paths!$B$49</f>
        <v>2</v>
      </c>
      <c r="C474" s="1">
        <v>5</v>
      </c>
      <c r="D474" s="1">
        <v>49</v>
      </c>
      <c r="E474" s="1">
        <f>IF(OR(Paths!$C$49=0,C474=0),0,MAX(0,MIN(C474*12,Paths!$E$49)-(C474-1)*12))</f>
        <v>0</v>
      </c>
      <c r="F474" s="1">
        <f>IF(OR(Paths!$C$49=0,C474=0),0,12-E474)</f>
        <v>0</v>
      </c>
      <c r="G474" s="16">
        <f>IF(NOT(Paths!$C$49=1),0,IF(Paths!$P$49="Complete",E474/12*(Paths!$J$49*(1+'Operating costs'!$B$51)^MAX(0,C474-1)+Paths!$K$49*(1+'Operating costs'!$B$53)^MAX(0,C474-1)),"n.a."))</f>
        <v>0</v>
      </c>
      <c r="H474" s="16">
        <f>IF(NOT(Paths!$C$49=1),0,IF(Paths!$P$49="Complete",F474/12*(Paths!$L$49*(1+IF(Paths!$D$49="EV",'Operating costs'!$B$52,'Operating costs'!$B$51))^MAX(0,C474-1)+Paths!$M$49*(1+'Operating costs'!$B$53)^MAX(0,C474-1)),"n.a."))</f>
        <v>0</v>
      </c>
      <c r="I474" s="16">
        <f>IF(NOT(Paths!$C$49=1),0,IF(Paths!$P$49="Complete",IF(IF(Paths!$E$49=0,C474=0,AND(C474&gt;0,Paths!$E$49&gt;(C474-1)*12,Paths!$E$49&lt;=C474*12)),Paths!$G$49,0),"n.a."))</f>
        <v>0</v>
      </c>
      <c r="J474" s="16">
        <f>IF(NOT(Paths!$C$49=1),0,IF(Paths!$P$49="Complete",IF(IF(Paths!$E$49=0,C474=0,AND(C474&gt;0,Paths!$E$49&gt;(C474-1)*12,Paths!$E$49&lt;=C474*12)),Paths!$H$49,0),"n.a."))</f>
        <v>0</v>
      </c>
      <c r="K474" s="16">
        <f>IF(NOT(Paths!$C$49=1),0,IF(Paths!$P$49="Complete",IF(IF(Paths!$O$49=0,C474=0,AND(C474&gt;0,Paths!$O$49&gt;(C474-1)*12,Paths!$O$49&lt;=C474*12)),Paths!$N$49,0),"n.a."))</f>
        <v>0</v>
      </c>
      <c r="L474" s="16">
        <f>IF(NOT(Paths!$C$49=1),0,IF(Paths!$P$49="Complete",IF(C474=10,Paths!$I$49,0),"n.a."))</f>
        <v>0</v>
      </c>
      <c r="M474" s="16">
        <f>IF(NOT(Paths!$C$49=1),0,IF(Paths!$P$49="Complete",IF(AND(Paths!$D$49="EV",Paths!$E$49&lt;120,Paths!$E$49+'Operating costs'!$B$65&gt;Paths!$E$49,Paths!$E$49+'Operating costs'!$B$65&lt;=120,IF(Paths!$E$49+'Operating costs'!$B$65=0,C474=0,AND(C474&gt;0,Paths!$E$49+'Operating costs'!$B$65&gt;(C474-1)*12,Paths!$E$49+'Operating costs'!$B$65&lt;=C474*12))),'Operating costs'!$B$64,0)+IF(AND('Operating costs'!$B$67&gt;0,'Operating costs'!$B$67&lt;=120,OR(Paths!$D$49="ICE",'Operating costs'!$B$67&lt;=Paths!$E$49),IF('Operating costs'!$B$67=0,C474=0,AND(C474&gt;0,'Operating costs'!$B$67&gt;(C474-1)*12,'Operating costs'!$B$67&lt;=C474*12))),'Operating costs'!$B$66,0),"n.a."))</f>
        <v>0</v>
      </c>
      <c r="N474" s="16">
        <f>IF(NOT(Paths!$C$49=1),0,IF(Paths!$P$49="Complete",SUM(G474:I474)-J474-K474-L474+M474+IF(C474=0,Paths!$F$49,0)+IF(IF(Paths!$E$49=0,C474=0,AND(C474&gt;0,Paths!$E$49&gt;(C474-1)*12,Paths!$E$49&lt;=C474*12)),VLOOKUP(A474,'Fleet register'!$A$7:$S$106,16,FALSE),0),"n.a."))</f>
        <v>0</v>
      </c>
      <c r="O474" s="16">
        <f>IF(NOT(Paths!$C$49=1),0,IF(Paths!$P$49="Complete",N474-IF(C474=0,Paths!$F$49,0),"n.a."))</f>
        <v>0</v>
      </c>
      <c r="P474" s="16">
        <f>IF(NOT(Paths!$C$49=1),0,IF(Paths!$P$49="Complete",O474+L474,"n.a."))</f>
        <v>0</v>
      </c>
      <c r="Q474" s="16">
        <f>IF(NOT(Paths!$C$49=1),0,IF(Paths!$P$49="Complete",N474*(1+'Operating costs'!$B$54)^-C474,"n.a."))</f>
        <v>0</v>
      </c>
      <c r="R474" s="16">
        <f>IF(NOT(Paths!$C$49=1),0,IF(Paths!$P$49="Complete",IF(AND(C474=0,Paths!$E$49=0),I474-J474-K474+VLOOKUP(A474,'Fleet register'!$A$7:$S$106,15,FALSE)+VLOOKUP(A474,'Fleet register'!$A$7:$S$106,16,FALSE),0),"n.a."))</f>
        <v>0</v>
      </c>
      <c r="S474" s="1">
        <f>IF(NOT(Paths!$C$49=1),0,IF(Paths!$P$49="Complete",IF(C474=0,0,Paths!$S$49*Paths!$R$49),"n.a."))</f>
        <v>0</v>
      </c>
      <c r="T474" s="1">
        <f>IF(NOT(Paths!$C$49=1),0,IF(Paths!$P$49="Complete",IF(C474=0,0,VLOOKUP(A474,'Fleet register'!$A$7:$S$106,9,FALSE)*Paths!$R$49),"n.a."))</f>
        <v>0</v>
      </c>
    </row>
    <row r="475" spans="1:20" ht="24" customHeight="1">
      <c r="A475" s="1" t="str">
        <f>Paths!$A$49</f>
        <v>T011</v>
      </c>
      <c r="B475" s="1">
        <f>Paths!$B$49</f>
        <v>2</v>
      </c>
      <c r="C475" s="1">
        <v>6</v>
      </c>
      <c r="D475" s="1">
        <v>49</v>
      </c>
      <c r="E475" s="1">
        <f>IF(OR(Paths!$C$49=0,C475=0),0,MAX(0,MIN(C475*12,Paths!$E$49)-(C475-1)*12))</f>
        <v>0</v>
      </c>
      <c r="F475" s="1">
        <f>IF(OR(Paths!$C$49=0,C475=0),0,12-E475)</f>
        <v>0</v>
      </c>
      <c r="G475" s="16">
        <f>IF(NOT(Paths!$C$49=1),0,IF(Paths!$P$49="Complete",E475/12*(Paths!$J$49*(1+'Operating costs'!$B$51)^MAX(0,C475-1)+Paths!$K$49*(1+'Operating costs'!$B$53)^MAX(0,C475-1)),"n.a."))</f>
        <v>0</v>
      </c>
      <c r="H475" s="16">
        <f>IF(NOT(Paths!$C$49=1),0,IF(Paths!$P$49="Complete",F475/12*(Paths!$L$49*(1+IF(Paths!$D$49="EV",'Operating costs'!$B$52,'Operating costs'!$B$51))^MAX(0,C475-1)+Paths!$M$49*(1+'Operating costs'!$B$53)^MAX(0,C475-1)),"n.a."))</f>
        <v>0</v>
      </c>
      <c r="I475" s="16">
        <f>IF(NOT(Paths!$C$49=1),0,IF(Paths!$P$49="Complete",IF(IF(Paths!$E$49=0,C475=0,AND(C475&gt;0,Paths!$E$49&gt;(C475-1)*12,Paths!$E$49&lt;=C475*12)),Paths!$G$49,0),"n.a."))</f>
        <v>0</v>
      </c>
      <c r="J475" s="16">
        <f>IF(NOT(Paths!$C$49=1),0,IF(Paths!$P$49="Complete",IF(IF(Paths!$E$49=0,C475=0,AND(C475&gt;0,Paths!$E$49&gt;(C475-1)*12,Paths!$E$49&lt;=C475*12)),Paths!$H$49,0),"n.a."))</f>
        <v>0</v>
      </c>
      <c r="K475" s="16">
        <f>IF(NOT(Paths!$C$49=1),0,IF(Paths!$P$49="Complete",IF(IF(Paths!$O$49=0,C475=0,AND(C475&gt;0,Paths!$O$49&gt;(C475-1)*12,Paths!$O$49&lt;=C475*12)),Paths!$N$49,0),"n.a."))</f>
        <v>0</v>
      </c>
      <c r="L475" s="16">
        <f>IF(NOT(Paths!$C$49=1),0,IF(Paths!$P$49="Complete",IF(C475=10,Paths!$I$49,0),"n.a."))</f>
        <v>0</v>
      </c>
      <c r="M475" s="16">
        <f>IF(NOT(Paths!$C$49=1),0,IF(Paths!$P$49="Complete",IF(AND(Paths!$D$49="EV",Paths!$E$49&lt;120,Paths!$E$49+'Operating costs'!$B$65&gt;Paths!$E$49,Paths!$E$49+'Operating costs'!$B$65&lt;=120,IF(Paths!$E$49+'Operating costs'!$B$65=0,C475=0,AND(C475&gt;0,Paths!$E$49+'Operating costs'!$B$65&gt;(C475-1)*12,Paths!$E$49+'Operating costs'!$B$65&lt;=C475*12))),'Operating costs'!$B$64,0)+IF(AND('Operating costs'!$B$67&gt;0,'Operating costs'!$B$67&lt;=120,OR(Paths!$D$49="ICE",'Operating costs'!$B$67&lt;=Paths!$E$49),IF('Operating costs'!$B$67=0,C475=0,AND(C475&gt;0,'Operating costs'!$B$67&gt;(C475-1)*12,'Operating costs'!$B$67&lt;=C475*12))),'Operating costs'!$B$66,0),"n.a."))</f>
        <v>0</v>
      </c>
      <c r="N475" s="16">
        <f>IF(NOT(Paths!$C$49=1),0,IF(Paths!$P$49="Complete",SUM(G475:I475)-J475-K475-L475+M475+IF(C475=0,Paths!$F$49,0)+IF(IF(Paths!$E$49=0,C475=0,AND(C475&gt;0,Paths!$E$49&gt;(C475-1)*12,Paths!$E$49&lt;=C475*12)),VLOOKUP(A475,'Fleet register'!$A$7:$S$106,16,FALSE),0),"n.a."))</f>
        <v>0</v>
      </c>
      <c r="O475" s="16">
        <f>IF(NOT(Paths!$C$49=1),0,IF(Paths!$P$49="Complete",N475-IF(C475=0,Paths!$F$49,0),"n.a."))</f>
        <v>0</v>
      </c>
      <c r="P475" s="16">
        <f>IF(NOT(Paths!$C$49=1),0,IF(Paths!$P$49="Complete",O475+L475,"n.a."))</f>
        <v>0</v>
      </c>
      <c r="Q475" s="16">
        <f>IF(NOT(Paths!$C$49=1),0,IF(Paths!$P$49="Complete",N475*(1+'Operating costs'!$B$54)^-C475,"n.a."))</f>
        <v>0</v>
      </c>
      <c r="R475" s="16">
        <f>IF(NOT(Paths!$C$49=1),0,IF(Paths!$P$49="Complete",IF(AND(C475=0,Paths!$E$49=0),I475-J475-K475+VLOOKUP(A475,'Fleet register'!$A$7:$S$106,15,FALSE)+VLOOKUP(A475,'Fleet register'!$A$7:$S$106,16,FALSE),0),"n.a."))</f>
        <v>0</v>
      </c>
      <c r="S475" s="1">
        <f>IF(NOT(Paths!$C$49=1),0,IF(Paths!$P$49="Complete",IF(C475=0,0,Paths!$S$49*Paths!$R$49),"n.a."))</f>
        <v>0</v>
      </c>
      <c r="T475" s="1">
        <f>IF(NOT(Paths!$C$49=1),0,IF(Paths!$P$49="Complete",IF(C475=0,0,VLOOKUP(A475,'Fleet register'!$A$7:$S$106,9,FALSE)*Paths!$R$49),"n.a."))</f>
        <v>0</v>
      </c>
    </row>
    <row r="476" spans="1:20" ht="24" customHeight="1">
      <c r="A476" s="1" t="str">
        <f>Paths!$A$49</f>
        <v>T011</v>
      </c>
      <c r="B476" s="1">
        <f>Paths!$B$49</f>
        <v>2</v>
      </c>
      <c r="C476" s="1">
        <v>7</v>
      </c>
      <c r="D476" s="1">
        <v>49</v>
      </c>
      <c r="E476" s="1">
        <f>IF(OR(Paths!$C$49=0,C476=0),0,MAX(0,MIN(C476*12,Paths!$E$49)-(C476-1)*12))</f>
        <v>0</v>
      </c>
      <c r="F476" s="1">
        <f>IF(OR(Paths!$C$49=0,C476=0),0,12-E476)</f>
        <v>0</v>
      </c>
      <c r="G476" s="16">
        <f>IF(NOT(Paths!$C$49=1),0,IF(Paths!$P$49="Complete",E476/12*(Paths!$J$49*(1+'Operating costs'!$B$51)^MAX(0,C476-1)+Paths!$K$49*(1+'Operating costs'!$B$53)^MAX(0,C476-1)),"n.a."))</f>
        <v>0</v>
      </c>
      <c r="H476" s="16">
        <f>IF(NOT(Paths!$C$49=1),0,IF(Paths!$P$49="Complete",F476/12*(Paths!$L$49*(1+IF(Paths!$D$49="EV",'Operating costs'!$B$52,'Operating costs'!$B$51))^MAX(0,C476-1)+Paths!$M$49*(1+'Operating costs'!$B$53)^MAX(0,C476-1)),"n.a."))</f>
        <v>0</v>
      </c>
      <c r="I476" s="16">
        <f>IF(NOT(Paths!$C$49=1),0,IF(Paths!$P$49="Complete",IF(IF(Paths!$E$49=0,C476=0,AND(C476&gt;0,Paths!$E$49&gt;(C476-1)*12,Paths!$E$49&lt;=C476*12)),Paths!$G$49,0),"n.a."))</f>
        <v>0</v>
      </c>
      <c r="J476" s="16">
        <f>IF(NOT(Paths!$C$49=1),0,IF(Paths!$P$49="Complete",IF(IF(Paths!$E$49=0,C476=0,AND(C476&gt;0,Paths!$E$49&gt;(C476-1)*12,Paths!$E$49&lt;=C476*12)),Paths!$H$49,0),"n.a."))</f>
        <v>0</v>
      </c>
      <c r="K476" s="16">
        <f>IF(NOT(Paths!$C$49=1),0,IF(Paths!$P$49="Complete",IF(IF(Paths!$O$49=0,C476=0,AND(C476&gt;0,Paths!$O$49&gt;(C476-1)*12,Paths!$O$49&lt;=C476*12)),Paths!$N$49,0),"n.a."))</f>
        <v>0</v>
      </c>
      <c r="L476" s="16">
        <f>IF(NOT(Paths!$C$49=1),0,IF(Paths!$P$49="Complete",IF(C476=10,Paths!$I$49,0),"n.a."))</f>
        <v>0</v>
      </c>
      <c r="M476" s="16">
        <f>IF(NOT(Paths!$C$49=1),0,IF(Paths!$P$49="Complete",IF(AND(Paths!$D$49="EV",Paths!$E$49&lt;120,Paths!$E$49+'Operating costs'!$B$65&gt;Paths!$E$49,Paths!$E$49+'Operating costs'!$B$65&lt;=120,IF(Paths!$E$49+'Operating costs'!$B$65=0,C476=0,AND(C476&gt;0,Paths!$E$49+'Operating costs'!$B$65&gt;(C476-1)*12,Paths!$E$49+'Operating costs'!$B$65&lt;=C476*12))),'Operating costs'!$B$64,0)+IF(AND('Operating costs'!$B$67&gt;0,'Operating costs'!$B$67&lt;=120,OR(Paths!$D$49="ICE",'Operating costs'!$B$67&lt;=Paths!$E$49),IF('Operating costs'!$B$67=0,C476=0,AND(C476&gt;0,'Operating costs'!$B$67&gt;(C476-1)*12,'Operating costs'!$B$67&lt;=C476*12))),'Operating costs'!$B$66,0),"n.a."))</f>
        <v>0</v>
      </c>
      <c r="N476" s="16">
        <f>IF(NOT(Paths!$C$49=1),0,IF(Paths!$P$49="Complete",SUM(G476:I476)-J476-K476-L476+M476+IF(C476=0,Paths!$F$49,0)+IF(IF(Paths!$E$49=0,C476=0,AND(C476&gt;0,Paths!$E$49&gt;(C476-1)*12,Paths!$E$49&lt;=C476*12)),VLOOKUP(A476,'Fleet register'!$A$7:$S$106,16,FALSE),0),"n.a."))</f>
        <v>0</v>
      </c>
      <c r="O476" s="16">
        <f>IF(NOT(Paths!$C$49=1),0,IF(Paths!$P$49="Complete",N476-IF(C476=0,Paths!$F$49,0),"n.a."))</f>
        <v>0</v>
      </c>
      <c r="P476" s="16">
        <f>IF(NOT(Paths!$C$49=1),0,IF(Paths!$P$49="Complete",O476+L476,"n.a."))</f>
        <v>0</v>
      </c>
      <c r="Q476" s="16">
        <f>IF(NOT(Paths!$C$49=1),0,IF(Paths!$P$49="Complete",N476*(1+'Operating costs'!$B$54)^-C476,"n.a."))</f>
        <v>0</v>
      </c>
      <c r="R476" s="16">
        <f>IF(NOT(Paths!$C$49=1),0,IF(Paths!$P$49="Complete",IF(AND(C476=0,Paths!$E$49=0),I476-J476-K476+VLOOKUP(A476,'Fleet register'!$A$7:$S$106,15,FALSE)+VLOOKUP(A476,'Fleet register'!$A$7:$S$106,16,FALSE),0),"n.a."))</f>
        <v>0</v>
      </c>
      <c r="S476" s="1">
        <f>IF(NOT(Paths!$C$49=1),0,IF(Paths!$P$49="Complete",IF(C476=0,0,Paths!$S$49*Paths!$R$49),"n.a."))</f>
        <v>0</v>
      </c>
      <c r="T476" s="1">
        <f>IF(NOT(Paths!$C$49=1),0,IF(Paths!$P$49="Complete",IF(C476=0,0,VLOOKUP(A476,'Fleet register'!$A$7:$S$106,9,FALSE)*Paths!$R$49),"n.a."))</f>
        <v>0</v>
      </c>
    </row>
    <row r="477" spans="1:20" ht="24" customHeight="1">
      <c r="A477" s="1" t="str">
        <f>Paths!$A$49</f>
        <v>T011</v>
      </c>
      <c r="B477" s="1">
        <f>Paths!$B$49</f>
        <v>2</v>
      </c>
      <c r="C477" s="1">
        <v>8</v>
      </c>
      <c r="D477" s="1">
        <v>49</v>
      </c>
      <c r="E477" s="1">
        <f>IF(OR(Paths!$C$49=0,C477=0),0,MAX(0,MIN(C477*12,Paths!$E$49)-(C477-1)*12))</f>
        <v>0</v>
      </c>
      <c r="F477" s="1">
        <f>IF(OR(Paths!$C$49=0,C477=0),0,12-E477)</f>
        <v>0</v>
      </c>
      <c r="G477" s="16">
        <f>IF(NOT(Paths!$C$49=1),0,IF(Paths!$P$49="Complete",E477/12*(Paths!$J$49*(1+'Operating costs'!$B$51)^MAX(0,C477-1)+Paths!$K$49*(1+'Operating costs'!$B$53)^MAX(0,C477-1)),"n.a."))</f>
        <v>0</v>
      </c>
      <c r="H477" s="16">
        <f>IF(NOT(Paths!$C$49=1),0,IF(Paths!$P$49="Complete",F477/12*(Paths!$L$49*(1+IF(Paths!$D$49="EV",'Operating costs'!$B$52,'Operating costs'!$B$51))^MAX(0,C477-1)+Paths!$M$49*(1+'Operating costs'!$B$53)^MAX(0,C477-1)),"n.a."))</f>
        <v>0</v>
      </c>
      <c r="I477" s="16">
        <f>IF(NOT(Paths!$C$49=1),0,IF(Paths!$P$49="Complete",IF(IF(Paths!$E$49=0,C477=0,AND(C477&gt;0,Paths!$E$49&gt;(C477-1)*12,Paths!$E$49&lt;=C477*12)),Paths!$G$49,0),"n.a."))</f>
        <v>0</v>
      </c>
      <c r="J477" s="16">
        <f>IF(NOT(Paths!$C$49=1),0,IF(Paths!$P$49="Complete",IF(IF(Paths!$E$49=0,C477=0,AND(C477&gt;0,Paths!$E$49&gt;(C477-1)*12,Paths!$E$49&lt;=C477*12)),Paths!$H$49,0),"n.a."))</f>
        <v>0</v>
      </c>
      <c r="K477" s="16">
        <f>IF(NOT(Paths!$C$49=1),0,IF(Paths!$P$49="Complete",IF(IF(Paths!$O$49=0,C477=0,AND(C477&gt;0,Paths!$O$49&gt;(C477-1)*12,Paths!$O$49&lt;=C477*12)),Paths!$N$49,0),"n.a."))</f>
        <v>0</v>
      </c>
      <c r="L477" s="16">
        <f>IF(NOT(Paths!$C$49=1),0,IF(Paths!$P$49="Complete",IF(C477=10,Paths!$I$49,0),"n.a."))</f>
        <v>0</v>
      </c>
      <c r="M477" s="16">
        <f>IF(NOT(Paths!$C$49=1),0,IF(Paths!$P$49="Complete",IF(AND(Paths!$D$49="EV",Paths!$E$49&lt;120,Paths!$E$49+'Operating costs'!$B$65&gt;Paths!$E$49,Paths!$E$49+'Operating costs'!$B$65&lt;=120,IF(Paths!$E$49+'Operating costs'!$B$65=0,C477=0,AND(C477&gt;0,Paths!$E$49+'Operating costs'!$B$65&gt;(C477-1)*12,Paths!$E$49+'Operating costs'!$B$65&lt;=C477*12))),'Operating costs'!$B$64,0)+IF(AND('Operating costs'!$B$67&gt;0,'Operating costs'!$B$67&lt;=120,OR(Paths!$D$49="ICE",'Operating costs'!$B$67&lt;=Paths!$E$49),IF('Operating costs'!$B$67=0,C477=0,AND(C477&gt;0,'Operating costs'!$B$67&gt;(C477-1)*12,'Operating costs'!$B$67&lt;=C477*12))),'Operating costs'!$B$66,0),"n.a."))</f>
        <v>0</v>
      </c>
      <c r="N477" s="16">
        <f>IF(NOT(Paths!$C$49=1),0,IF(Paths!$P$49="Complete",SUM(G477:I477)-J477-K477-L477+M477+IF(C477=0,Paths!$F$49,0)+IF(IF(Paths!$E$49=0,C477=0,AND(C477&gt;0,Paths!$E$49&gt;(C477-1)*12,Paths!$E$49&lt;=C477*12)),VLOOKUP(A477,'Fleet register'!$A$7:$S$106,16,FALSE),0),"n.a."))</f>
        <v>0</v>
      </c>
      <c r="O477" s="16">
        <f>IF(NOT(Paths!$C$49=1),0,IF(Paths!$P$49="Complete",N477-IF(C477=0,Paths!$F$49,0),"n.a."))</f>
        <v>0</v>
      </c>
      <c r="P477" s="16">
        <f>IF(NOT(Paths!$C$49=1),0,IF(Paths!$P$49="Complete",O477+L477,"n.a."))</f>
        <v>0</v>
      </c>
      <c r="Q477" s="16">
        <f>IF(NOT(Paths!$C$49=1),0,IF(Paths!$P$49="Complete",N477*(1+'Operating costs'!$B$54)^-C477,"n.a."))</f>
        <v>0</v>
      </c>
      <c r="R477" s="16">
        <f>IF(NOT(Paths!$C$49=1),0,IF(Paths!$P$49="Complete",IF(AND(C477=0,Paths!$E$49=0),I477-J477-K477+VLOOKUP(A477,'Fleet register'!$A$7:$S$106,15,FALSE)+VLOOKUP(A477,'Fleet register'!$A$7:$S$106,16,FALSE),0),"n.a."))</f>
        <v>0</v>
      </c>
      <c r="S477" s="1">
        <f>IF(NOT(Paths!$C$49=1),0,IF(Paths!$P$49="Complete",IF(C477=0,0,Paths!$S$49*Paths!$R$49),"n.a."))</f>
        <v>0</v>
      </c>
      <c r="T477" s="1">
        <f>IF(NOT(Paths!$C$49=1),0,IF(Paths!$P$49="Complete",IF(C477=0,0,VLOOKUP(A477,'Fleet register'!$A$7:$S$106,9,FALSE)*Paths!$R$49),"n.a."))</f>
        <v>0</v>
      </c>
    </row>
    <row r="478" spans="1:20" ht="24" customHeight="1">
      <c r="A478" s="1" t="str">
        <f>Paths!$A$49</f>
        <v>T011</v>
      </c>
      <c r="B478" s="1">
        <f>Paths!$B$49</f>
        <v>2</v>
      </c>
      <c r="C478" s="1">
        <v>9</v>
      </c>
      <c r="D478" s="1">
        <v>49</v>
      </c>
      <c r="E478" s="1">
        <f>IF(OR(Paths!$C$49=0,C478=0),0,MAX(0,MIN(C478*12,Paths!$E$49)-(C478-1)*12))</f>
        <v>0</v>
      </c>
      <c r="F478" s="1">
        <f>IF(OR(Paths!$C$49=0,C478=0),0,12-E478)</f>
        <v>0</v>
      </c>
      <c r="G478" s="16">
        <f>IF(NOT(Paths!$C$49=1),0,IF(Paths!$P$49="Complete",E478/12*(Paths!$J$49*(1+'Operating costs'!$B$51)^MAX(0,C478-1)+Paths!$K$49*(1+'Operating costs'!$B$53)^MAX(0,C478-1)),"n.a."))</f>
        <v>0</v>
      </c>
      <c r="H478" s="16">
        <f>IF(NOT(Paths!$C$49=1),0,IF(Paths!$P$49="Complete",F478/12*(Paths!$L$49*(1+IF(Paths!$D$49="EV",'Operating costs'!$B$52,'Operating costs'!$B$51))^MAX(0,C478-1)+Paths!$M$49*(1+'Operating costs'!$B$53)^MAX(0,C478-1)),"n.a."))</f>
        <v>0</v>
      </c>
      <c r="I478" s="16">
        <f>IF(NOT(Paths!$C$49=1),0,IF(Paths!$P$49="Complete",IF(IF(Paths!$E$49=0,C478=0,AND(C478&gt;0,Paths!$E$49&gt;(C478-1)*12,Paths!$E$49&lt;=C478*12)),Paths!$G$49,0),"n.a."))</f>
        <v>0</v>
      </c>
      <c r="J478" s="16">
        <f>IF(NOT(Paths!$C$49=1),0,IF(Paths!$P$49="Complete",IF(IF(Paths!$E$49=0,C478=0,AND(C478&gt;0,Paths!$E$49&gt;(C478-1)*12,Paths!$E$49&lt;=C478*12)),Paths!$H$49,0),"n.a."))</f>
        <v>0</v>
      </c>
      <c r="K478" s="16">
        <f>IF(NOT(Paths!$C$49=1),0,IF(Paths!$P$49="Complete",IF(IF(Paths!$O$49=0,C478=0,AND(C478&gt;0,Paths!$O$49&gt;(C478-1)*12,Paths!$O$49&lt;=C478*12)),Paths!$N$49,0),"n.a."))</f>
        <v>0</v>
      </c>
      <c r="L478" s="16">
        <f>IF(NOT(Paths!$C$49=1),0,IF(Paths!$P$49="Complete",IF(C478=10,Paths!$I$49,0),"n.a."))</f>
        <v>0</v>
      </c>
      <c r="M478" s="16">
        <f>IF(NOT(Paths!$C$49=1),0,IF(Paths!$P$49="Complete",IF(AND(Paths!$D$49="EV",Paths!$E$49&lt;120,Paths!$E$49+'Operating costs'!$B$65&gt;Paths!$E$49,Paths!$E$49+'Operating costs'!$B$65&lt;=120,IF(Paths!$E$49+'Operating costs'!$B$65=0,C478=0,AND(C478&gt;0,Paths!$E$49+'Operating costs'!$B$65&gt;(C478-1)*12,Paths!$E$49+'Operating costs'!$B$65&lt;=C478*12))),'Operating costs'!$B$64,0)+IF(AND('Operating costs'!$B$67&gt;0,'Operating costs'!$B$67&lt;=120,OR(Paths!$D$49="ICE",'Operating costs'!$B$67&lt;=Paths!$E$49),IF('Operating costs'!$B$67=0,C478=0,AND(C478&gt;0,'Operating costs'!$B$67&gt;(C478-1)*12,'Operating costs'!$B$67&lt;=C478*12))),'Operating costs'!$B$66,0),"n.a."))</f>
        <v>0</v>
      </c>
      <c r="N478" s="16">
        <f>IF(NOT(Paths!$C$49=1),0,IF(Paths!$P$49="Complete",SUM(G478:I478)-J478-K478-L478+M478+IF(C478=0,Paths!$F$49,0)+IF(IF(Paths!$E$49=0,C478=0,AND(C478&gt;0,Paths!$E$49&gt;(C478-1)*12,Paths!$E$49&lt;=C478*12)),VLOOKUP(A478,'Fleet register'!$A$7:$S$106,16,FALSE),0),"n.a."))</f>
        <v>0</v>
      </c>
      <c r="O478" s="16">
        <f>IF(NOT(Paths!$C$49=1),0,IF(Paths!$P$49="Complete",N478-IF(C478=0,Paths!$F$49,0),"n.a."))</f>
        <v>0</v>
      </c>
      <c r="P478" s="16">
        <f>IF(NOT(Paths!$C$49=1),0,IF(Paths!$P$49="Complete",O478+L478,"n.a."))</f>
        <v>0</v>
      </c>
      <c r="Q478" s="16">
        <f>IF(NOT(Paths!$C$49=1),0,IF(Paths!$P$49="Complete",N478*(1+'Operating costs'!$B$54)^-C478,"n.a."))</f>
        <v>0</v>
      </c>
      <c r="R478" s="16">
        <f>IF(NOT(Paths!$C$49=1),0,IF(Paths!$P$49="Complete",IF(AND(C478=0,Paths!$E$49=0),I478-J478-K478+VLOOKUP(A478,'Fleet register'!$A$7:$S$106,15,FALSE)+VLOOKUP(A478,'Fleet register'!$A$7:$S$106,16,FALSE),0),"n.a."))</f>
        <v>0</v>
      </c>
      <c r="S478" s="1">
        <f>IF(NOT(Paths!$C$49=1),0,IF(Paths!$P$49="Complete",IF(C478=0,0,Paths!$S$49*Paths!$R$49),"n.a."))</f>
        <v>0</v>
      </c>
      <c r="T478" s="1">
        <f>IF(NOT(Paths!$C$49=1),0,IF(Paths!$P$49="Complete",IF(C478=0,0,VLOOKUP(A478,'Fleet register'!$A$7:$S$106,9,FALSE)*Paths!$R$49),"n.a."))</f>
        <v>0</v>
      </c>
    </row>
    <row r="479" spans="1:20" ht="24" customHeight="1">
      <c r="A479" s="1" t="str">
        <f>Paths!$A$49</f>
        <v>T011</v>
      </c>
      <c r="B479" s="1">
        <f>Paths!$B$49</f>
        <v>2</v>
      </c>
      <c r="C479" s="1">
        <v>10</v>
      </c>
      <c r="D479" s="1">
        <v>49</v>
      </c>
      <c r="E479" s="1">
        <f>IF(OR(Paths!$C$49=0,C479=0),0,MAX(0,MIN(C479*12,Paths!$E$49)-(C479-1)*12))</f>
        <v>0</v>
      </c>
      <c r="F479" s="1">
        <f>IF(OR(Paths!$C$49=0,C479=0),0,12-E479)</f>
        <v>0</v>
      </c>
      <c r="G479" s="16">
        <f>IF(NOT(Paths!$C$49=1),0,IF(Paths!$P$49="Complete",E479/12*(Paths!$J$49*(1+'Operating costs'!$B$51)^MAX(0,C479-1)+Paths!$K$49*(1+'Operating costs'!$B$53)^MAX(0,C479-1)),"n.a."))</f>
        <v>0</v>
      </c>
      <c r="H479" s="16">
        <f>IF(NOT(Paths!$C$49=1),0,IF(Paths!$P$49="Complete",F479/12*(Paths!$L$49*(1+IF(Paths!$D$49="EV",'Operating costs'!$B$52,'Operating costs'!$B$51))^MAX(0,C479-1)+Paths!$M$49*(1+'Operating costs'!$B$53)^MAX(0,C479-1)),"n.a."))</f>
        <v>0</v>
      </c>
      <c r="I479" s="16">
        <f>IF(NOT(Paths!$C$49=1),0,IF(Paths!$P$49="Complete",IF(IF(Paths!$E$49=0,C479=0,AND(C479&gt;0,Paths!$E$49&gt;(C479-1)*12,Paths!$E$49&lt;=C479*12)),Paths!$G$49,0),"n.a."))</f>
        <v>0</v>
      </c>
      <c r="J479" s="16">
        <f>IF(NOT(Paths!$C$49=1),0,IF(Paths!$P$49="Complete",IF(IF(Paths!$E$49=0,C479=0,AND(C479&gt;0,Paths!$E$49&gt;(C479-1)*12,Paths!$E$49&lt;=C479*12)),Paths!$H$49,0),"n.a."))</f>
        <v>0</v>
      </c>
      <c r="K479" s="16">
        <f>IF(NOT(Paths!$C$49=1),0,IF(Paths!$P$49="Complete",IF(IF(Paths!$O$49=0,C479=0,AND(C479&gt;0,Paths!$O$49&gt;(C479-1)*12,Paths!$O$49&lt;=C479*12)),Paths!$N$49,0),"n.a."))</f>
        <v>0</v>
      </c>
      <c r="L479" s="16">
        <f>IF(NOT(Paths!$C$49=1),0,IF(Paths!$P$49="Complete",IF(C479=10,Paths!$I$49,0),"n.a."))</f>
        <v>0</v>
      </c>
      <c r="M479" s="16">
        <f>IF(NOT(Paths!$C$49=1),0,IF(Paths!$P$49="Complete",IF(AND(Paths!$D$49="EV",Paths!$E$49&lt;120,Paths!$E$49+'Operating costs'!$B$65&gt;Paths!$E$49,Paths!$E$49+'Operating costs'!$B$65&lt;=120,IF(Paths!$E$49+'Operating costs'!$B$65=0,C479=0,AND(C479&gt;0,Paths!$E$49+'Operating costs'!$B$65&gt;(C479-1)*12,Paths!$E$49+'Operating costs'!$B$65&lt;=C479*12))),'Operating costs'!$B$64,0)+IF(AND('Operating costs'!$B$67&gt;0,'Operating costs'!$B$67&lt;=120,OR(Paths!$D$49="ICE",'Operating costs'!$B$67&lt;=Paths!$E$49),IF('Operating costs'!$B$67=0,C479=0,AND(C479&gt;0,'Operating costs'!$B$67&gt;(C479-1)*12,'Operating costs'!$B$67&lt;=C479*12))),'Operating costs'!$B$66,0),"n.a."))</f>
        <v>0</v>
      </c>
      <c r="N479" s="16">
        <f>IF(NOT(Paths!$C$49=1),0,IF(Paths!$P$49="Complete",SUM(G479:I479)-J479-K479-L479+M479+IF(C479=0,Paths!$F$49,0)+IF(IF(Paths!$E$49=0,C479=0,AND(C479&gt;0,Paths!$E$49&gt;(C479-1)*12,Paths!$E$49&lt;=C479*12)),VLOOKUP(A479,'Fleet register'!$A$7:$S$106,16,FALSE),0),"n.a."))</f>
        <v>0</v>
      </c>
      <c r="O479" s="16">
        <f>IF(NOT(Paths!$C$49=1),0,IF(Paths!$P$49="Complete",N479-IF(C479=0,Paths!$F$49,0),"n.a."))</f>
        <v>0</v>
      </c>
      <c r="P479" s="16">
        <f>IF(NOT(Paths!$C$49=1),0,IF(Paths!$P$49="Complete",O479+L479,"n.a."))</f>
        <v>0</v>
      </c>
      <c r="Q479" s="16">
        <f>IF(NOT(Paths!$C$49=1),0,IF(Paths!$P$49="Complete",N479*(1+'Operating costs'!$B$54)^-C479,"n.a."))</f>
        <v>0</v>
      </c>
      <c r="R479" s="16">
        <f>IF(NOT(Paths!$C$49=1),0,IF(Paths!$P$49="Complete",IF(AND(C479=0,Paths!$E$49=0),I479-J479-K479+VLOOKUP(A479,'Fleet register'!$A$7:$S$106,15,FALSE)+VLOOKUP(A479,'Fleet register'!$A$7:$S$106,16,FALSE),0),"n.a."))</f>
        <v>0</v>
      </c>
      <c r="S479" s="1">
        <f>IF(NOT(Paths!$C$49=1),0,IF(Paths!$P$49="Complete",IF(C479=0,0,Paths!$S$49*Paths!$R$49),"n.a."))</f>
        <v>0</v>
      </c>
      <c r="T479" s="1">
        <f>IF(NOT(Paths!$C$49=1),0,IF(Paths!$P$49="Complete",IF(C479=0,0,VLOOKUP(A479,'Fleet register'!$A$7:$S$106,9,FALSE)*Paths!$R$49),"n.a."))</f>
        <v>0</v>
      </c>
    </row>
    <row r="480" spans="1:20" ht="24" customHeight="1">
      <c r="A480" s="1" t="str">
        <f>Paths!$A$50</f>
        <v>T011</v>
      </c>
      <c r="B480" s="1">
        <f>Paths!$B$50</f>
        <v>3</v>
      </c>
      <c r="C480" s="1">
        <v>0</v>
      </c>
      <c r="D480" s="1">
        <v>50</v>
      </c>
      <c r="E480" s="1">
        <f>IF(OR(Paths!$C$50=0,C480=0),0,MAX(0,MIN(C480*12,Paths!$E$50)-(C480-1)*12))</f>
        <v>0</v>
      </c>
      <c r="F480" s="1">
        <f>IF(OR(Paths!$C$50=0,C480=0),0,12-E480)</f>
        <v>0</v>
      </c>
      <c r="G480" s="16">
        <f>IF(NOT(Paths!$C$50=1),0,IF(Paths!$P$50="Complete",E480/12*(Paths!$J$50*(1+'Operating costs'!$B$51)^MAX(0,C480-1)+Paths!$K$50*(1+'Operating costs'!$B$53)^MAX(0,C480-1)),"n.a."))</f>
        <v>0</v>
      </c>
      <c r="H480" s="16">
        <f>IF(NOT(Paths!$C$50=1),0,IF(Paths!$P$50="Complete",F480/12*(Paths!$L$50*(1+IF(Paths!$D$50="EV",'Operating costs'!$B$52,'Operating costs'!$B$51))^MAX(0,C480-1)+Paths!$M$50*(1+'Operating costs'!$B$53)^MAX(0,C480-1)),"n.a."))</f>
        <v>0</v>
      </c>
      <c r="I480" s="16">
        <f>IF(NOT(Paths!$C$50=1),0,IF(Paths!$P$50="Complete",IF(IF(Paths!$E$50=0,C480=0,AND(C480&gt;0,Paths!$E$50&gt;(C480-1)*12,Paths!$E$50&lt;=C480*12)),Paths!$G$50,0),"n.a."))</f>
        <v>0</v>
      </c>
      <c r="J480" s="16">
        <f>IF(NOT(Paths!$C$50=1),0,IF(Paths!$P$50="Complete",IF(IF(Paths!$E$50=0,C480=0,AND(C480&gt;0,Paths!$E$50&gt;(C480-1)*12,Paths!$E$50&lt;=C480*12)),Paths!$H$50,0),"n.a."))</f>
        <v>0</v>
      </c>
      <c r="K480" s="16">
        <f>IF(NOT(Paths!$C$50=1),0,IF(Paths!$P$50="Complete",IF(IF(Paths!$O$50=0,C480=0,AND(C480&gt;0,Paths!$O$50&gt;(C480-1)*12,Paths!$O$50&lt;=C480*12)),Paths!$N$50,0),"n.a."))</f>
        <v>0</v>
      </c>
      <c r="L480" s="16">
        <f>IF(NOT(Paths!$C$50=1),0,IF(Paths!$P$50="Complete",IF(C480=10,Paths!$I$50,0),"n.a."))</f>
        <v>0</v>
      </c>
      <c r="M480" s="16">
        <f>IF(NOT(Paths!$C$50=1),0,IF(Paths!$P$50="Complete",IF(AND(Paths!$D$50="EV",Paths!$E$50&lt;120,Paths!$E$50+'Operating costs'!$B$65&gt;Paths!$E$50,Paths!$E$50+'Operating costs'!$B$65&lt;=120,IF(Paths!$E$50+'Operating costs'!$B$65=0,C480=0,AND(C480&gt;0,Paths!$E$50+'Operating costs'!$B$65&gt;(C480-1)*12,Paths!$E$50+'Operating costs'!$B$65&lt;=C480*12))),'Operating costs'!$B$64,0)+IF(AND('Operating costs'!$B$67&gt;0,'Operating costs'!$B$67&lt;=120,OR(Paths!$D$50="ICE",'Operating costs'!$B$67&lt;=Paths!$E$50),IF('Operating costs'!$B$67=0,C480=0,AND(C480&gt;0,'Operating costs'!$B$67&gt;(C480-1)*12,'Operating costs'!$B$67&lt;=C480*12))),'Operating costs'!$B$66,0),"n.a."))</f>
        <v>0</v>
      </c>
      <c r="N480" s="16">
        <f>IF(NOT(Paths!$C$50=1),0,IF(Paths!$P$50="Complete",SUM(G480:I480)-J480-K480-L480+M480+IF(C480=0,Paths!$F$50,0)+IF(IF(Paths!$E$50=0,C480=0,AND(C480&gt;0,Paths!$E$50&gt;(C480-1)*12,Paths!$E$50&lt;=C480*12)),VLOOKUP(A480,'Fleet register'!$A$7:$S$106,16,FALSE),0),"n.a."))</f>
        <v>0</v>
      </c>
      <c r="O480" s="16">
        <f>IF(NOT(Paths!$C$50=1),0,IF(Paths!$P$50="Complete",N480-IF(C480=0,Paths!$F$50,0),"n.a."))</f>
        <v>0</v>
      </c>
      <c r="P480" s="16">
        <f>IF(NOT(Paths!$C$50=1),0,IF(Paths!$P$50="Complete",O480+L480,"n.a."))</f>
        <v>0</v>
      </c>
      <c r="Q480" s="16">
        <f>IF(NOT(Paths!$C$50=1),0,IF(Paths!$P$50="Complete",N480*(1+'Operating costs'!$B$54)^-C480,"n.a."))</f>
        <v>0</v>
      </c>
      <c r="R480" s="16">
        <f>IF(NOT(Paths!$C$50=1),0,IF(Paths!$P$50="Complete",IF(AND(C480=0,Paths!$E$50=0),I480-J480-K480+VLOOKUP(A480,'Fleet register'!$A$7:$S$106,15,FALSE)+VLOOKUP(A480,'Fleet register'!$A$7:$S$106,16,FALSE),0),"n.a."))</f>
        <v>0</v>
      </c>
      <c r="S480" s="1">
        <f>IF(NOT(Paths!$C$50=1),0,IF(Paths!$P$50="Complete",IF(C480=0,0,Paths!$S$50*Paths!$R$50),"n.a."))</f>
        <v>0</v>
      </c>
      <c r="T480" s="1">
        <f>IF(NOT(Paths!$C$50=1),0,IF(Paths!$P$50="Complete",IF(C480=0,0,VLOOKUP(A480,'Fleet register'!$A$7:$S$106,9,FALSE)*Paths!$R$50),"n.a."))</f>
        <v>0</v>
      </c>
    </row>
    <row r="481" spans="1:20" ht="24" customHeight="1">
      <c r="A481" s="1" t="str">
        <f>Paths!$A$50</f>
        <v>T011</v>
      </c>
      <c r="B481" s="1">
        <f>Paths!$B$50</f>
        <v>3</v>
      </c>
      <c r="C481" s="1">
        <v>1</v>
      </c>
      <c r="D481" s="1">
        <v>50</v>
      </c>
      <c r="E481" s="1">
        <f>IF(OR(Paths!$C$50=0,C481=0),0,MAX(0,MIN(C481*12,Paths!$E$50)-(C481-1)*12))</f>
        <v>0</v>
      </c>
      <c r="F481" s="1">
        <f>IF(OR(Paths!$C$50=0,C481=0),0,12-E481)</f>
        <v>0</v>
      </c>
      <c r="G481" s="16">
        <f>IF(NOT(Paths!$C$50=1),0,IF(Paths!$P$50="Complete",E481/12*(Paths!$J$50*(1+'Operating costs'!$B$51)^MAX(0,C481-1)+Paths!$K$50*(1+'Operating costs'!$B$53)^MAX(0,C481-1)),"n.a."))</f>
        <v>0</v>
      </c>
      <c r="H481" s="16">
        <f>IF(NOT(Paths!$C$50=1),0,IF(Paths!$P$50="Complete",F481/12*(Paths!$L$50*(1+IF(Paths!$D$50="EV",'Operating costs'!$B$52,'Operating costs'!$B$51))^MAX(0,C481-1)+Paths!$M$50*(1+'Operating costs'!$B$53)^MAX(0,C481-1)),"n.a."))</f>
        <v>0</v>
      </c>
      <c r="I481" s="16">
        <f>IF(NOT(Paths!$C$50=1),0,IF(Paths!$P$50="Complete",IF(IF(Paths!$E$50=0,C481=0,AND(C481&gt;0,Paths!$E$50&gt;(C481-1)*12,Paths!$E$50&lt;=C481*12)),Paths!$G$50,0),"n.a."))</f>
        <v>0</v>
      </c>
      <c r="J481" s="16">
        <f>IF(NOT(Paths!$C$50=1),0,IF(Paths!$P$50="Complete",IF(IF(Paths!$E$50=0,C481=0,AND(C481&gt;0,Paths!$E$50&gt;(C481-1)*12,Paths!$E$50&lt;=C481*12)),Paths!$H$50,0),"n.a."))</f>
        <v>0</v>
      </c>
      <c r="K481" s="16">
        <f>IF(NOT(Paths!$C$50=1),0,IF(Paths!$P$50="Complete",IF(IF(Paths!$O$50=0,C481=0,AND(C481&gt;0,Paths!$O$50&gt;(C481-1)*12,Paths!$O$50&lt;=C481*12)),Paths!$N$50,0),"n.a."))</f>
        <v>0</v>
      </c>
      <c r="L481" s="16">
        <f>IF(NOT(Paths!$C$50=1),0,IF(Paths!$P$50="Complete",IF(C481=10,Paths!$I$50,0),"n.a."))</f>
        <v>0</v>
      </c>
      <c r="M481" s="16">
        <f>IF(NOT(Paths!$C$50=1),0,IF(Paths!$P$50="Complete",IF(AND(Paths!$D$50="EV",Paths!$E$50&lt;120,Paths!$E$50+'Operating costs'!$B$65&gt;Paths!$E$50,Paths!$E$50+'Operating costs'!$B$65&lt;=120,IF(Paths!$E$50+'Operating costs'!$B$65=0,C481=0,AND(C481&gt;0,Paths!$E$50+'Operating costs'!$B$65&gt;(C481-1)*12,Paths!$E$50+'Operating costs'!$B$65&lt;=C481*12))),'Operating costs'!$B$64,0)+IF(AND('Operating costs'!$B$67&gt;0,'Operating costs'!$B$67&lt;=120,OR(Paths!$D$50="ICE",'Operating costs'!$B$67&lt;=Paths!$E$50),IF('Operating costs'!$B$67=0,C481=0,AND(C481&gt;0,'Operating costs'!$B$67&gt;(C481-1)*12,'Operating costs'!$B$67&lt;=C481*12))),'Operating costs'!$B$66,0),"n.a."))</f>
        <v>0</v>
      </c>
      <c r="N481" s="16">
        <f>IF(NOT(Paths!$C$50=1),0,IF(Paths!$P$50="Complete",SUM(G481:I481)-J481-K481-L481+M481+IF(C481=0,Paths!$F$50,0)+IF(IF(Paths!$E$50=0,C481=0,AND(C481&gt;0,Paths!$E$50&gt;(C481-1)*12,Paths!$E$50&lt;=C481*12)),VLOOKUP(A481,'Fleet register'!$A$7:$S$106,16,FALSE),0),"n.a."))</f>
        <v>0</v>
      </c>
      <c r="O481" s="16">
        <f>IF(NOT(Paths!$C$50=1),0,IF(Paths!$P$50="Complete",N481-IF(C481=0,Paths!$F$50,0),"n.a."))</f>
        <v>0</v>
      </c>
      <c r="P481" s="16">
        <f>IF(NOT(Paths!$C$50=1),0,IF(Paths!$P$50="Complete",O481+L481,"n.a."))</f>
        <v>0</v>
      </c>
      <c r="Q481" s="16">
        <f>IF(NOT(Paths!$C$50=1),0,IF(Paths!$P$50="Complete",N481*(1+'Operating costs'!$B$54)^-C481,"n.a."))</f>
        <v>0</v>
      </c>
      <c r="R481" s="16">
        <f>IF(NOT(Paths!$C$50=1),0,IF(Paths!$P$50="Complete",IF(AND(C481=0,Paths!$E$50=0),I481-J481-K481+VLOOKUP(A481,'Fleet register'!$A$7:$S$106,15,FALSE)+VLOOKUP(A481,'Fleet register'!$A$7:$S$106,16,FALSE),0),"n.a."))</f>
        <v>0</v>
      </c>
      <c r="S481" s="1">
        <f>IF(NOT(Paths!$C$50=1),0,IF(Paths!$P$50="Complete",IF(C481=0,0,Paths!$S$50*Paths!$R$50),"n.a."))</f>
        <v>0</v>
      </c>
      <c r="T481" s="1">
        <f>IF(NOT(Paths!$C$50=1),0,IF(Paths!$P$50="Complete",IF(C481=0,0,VLOOKUP(A481,'Fleet register'!$A$7:$S$106,9,FALSE)*Paths!$R$50),"n.a."))</f>
        <v>0</v>
      </c>
    </row>
    <row r="482" spans="1:20" ht="24" customHeight="1">
      <c r="A482" s="1" t="str">
        <f>Paths!$A$50</f>
        <v>T011</v>
      </c>
      <c r="B482" s="1">
        <f>Paths!$B$50</f>
        <v>3</v>
      </c>
      <c r="C482" s="1">
        <v>2</v>
      </c>
      <c r="D482" s="1">
        <v>50</v>
      </c>
      <c r="E482" s="1">
        <f>IF(OR(Paths!$C$50=0,C482=0),0,MAX(0,MIN(C482*12,Paths!$E$50)-(C482-1)*12))</f>
        <v>0</v>
      </c>
      <c r="F482" s="1">
        <f>IF(OR(Paths!$C$50=0,C482=0),0,12-E482)</f>
        <v>0</v>
      </c>
      <c r="G482" s="16">
        <f>IF(NOT(Paths!$C$50=1),0,IF(Paths!$P$50="Complete",E482/12*(Paths!$J$50*(1+'Operating costs'!$B$51)^MAX(0,C482-1)+Paths!$K$50*(1+'Operating costs'!$B$53)^MAX(0,C482-1)),"n.a."))</f>
        <v>0</v>
      </c>
      <c r="H482" s="16">
        <f>IF(NOT(Paths!$C$50=1),0,IF(Paths!$P$50="Complete",F482/12*(Paths!$L$50*(1+IF(Paths!$D$50="EV",'Operating costs'!$B$52,'Operating costs'!$B$51))^MAX(0,C482-1)+Paths!$M$50*(1+'Operating costs'!$B$53)^MAX(0,C482-1)),"n.a."))</f>
        <v>0</v>
      </c>
      <c r="I482" s="16">
        <f>IF(NOT(Paths!$C$50=1),0,IF(Paths!$P$50="Complete",IF(IF(Paths!$E$50=0,C482=0,AND(C482&gt;0,Paths!$E$50&gt;(C482-1)*12,Paths!$E$50&lt;=C482*12)),Paths!$G$50,0),"n.a."))</f>
        <v>0</v>
      </c>
      <c r="J482" s="16">
        <f>IF(NOT(Paths!$C$50=1),0,IF(Paths!$P$50="Complete",IF(IF(Paths!$E$50=0,C482=0,AND(C482&gt;0,Paths!$E$50&gt;(C482-1)*12,Paths!$E$50&lt;=C482*12)),Paths!$H$50,0),"n.a."))</f>
        <v>0</v>
      </c>
      <c r="K482" s="16">
        <f>IF(NOT(Paths!$C$50=1),0,IF(Paths!$P$50="Complete",IF(IF(Paths!$O$50=0,C482=0,AND(C482&gt;0,Paths!$O$50&gt;(C482-1)*12,Paths!$O$50&lt;=C482*12)),Paths!$N$50,0),"n.a."))</f>
        <v>0</v>
      </c>
      <c r="L482" s="16">
        <f>IF(NOT(Paths!$C$50=1),0,IF(Paths!$P$50="Complete",IF(C482=10,Paths!$I$50,0),"n.a."))</f>
        <v>0</v>
      </c>
      <c r="M482" s="16">
        <f>IF(NOT(Paths!$C$50=1),0,IF(Paths!$P$50="Complete",IF(AND(Paths!$D$50="EV",Paths!$E$50&lt;120,Paths!$E$50+'Operating costs'!$B$65&gt;Paths!$E$50,Paths!$E$50+'Operating costs'!$B$65&lt;=120,IF(Paths!$E$50+'Operating costs'!$B$65=0,C482=0,AND(C482&gt;0,Paths!$E$50+'Operating costs'!$B$65&gt;(C482-1)*12,Paths!$E$50+'Operating costs'!$B$65&lt;=C482*12))),'Operating costs'!$B$64,0)+IF(AND('Operating costs'!$B$67&gt;0,'Operating costs'!$B$67&lt;=120,OR(Paths!$D$50="ICE",'Operating costs'!$B$67&lt;=Paths!$E$50),IF('Operating costs'!$B$67=0,C482=0,AND(C482&gt;0,'Operating costs'!$B$67&gt;(C482-1)*12,'Operating costs'!$B$67&lt;=C482*12))),'Operating costs'!$B$66,0),"n.a."))</f>
        <v>0</v>
      </c>
      <c r="N482" s="16">
        <f>IF(NOT(Paths!$C$50=1),0,IF(Paths!$P$50="Complete",SUM(G482:I482)-J482-K482-L482+M482+IF(C482=0,Paths!$F$50,0)+IF(IF(Paths!$E$50=0,C482=0,AND(C482&gt;0,Paths!$E$50&gt;(C482-1)*12,Paths!$E$50&lt;=C482*12)),VLOOKUP(A482,'Fleet register'!$A$7:$S$106,16,FALSE),0),"n.a."))</f>
        <v>0</v>
      </c>
      <c r="O482" s="16">
        <f>IF(NOT(Paths!$C$50=1),0,IF(Paths!$P$50="Complete",N482-IF(C482=0,Paths!$F$50,0),"n.a."))</f>
        <v>0</v>
      </c>
      <c r="P482" s="16">
        <f>IF(NOT(Paths!$C$50=1),0,IF(Paths!$P$50="Complete",O482+L482,"n.a."))</f>
        <v>0</v>
      </c>
      <c r="Q482" s="16">
        <f>IF(NOT(Paths!$C$50=1),0,IF(Paths!$P$50="Complete",N482*(1+'Operating costs'!$B$54)^-C482,"n.a."))</f>
        <v>0</v>
      </c>
      <c r="R482" s="16">
        <f>IF(NOT(Paths!$C$50=1),0,IF(Paths!$P$50="Complete",IF(AND(C482=0,Paths!$E$50=0),I482-J482-K482+VLOOKUP(A482,'Fleet register'!$A$7:$S$106,15,FALSE)+VLOOKUP(A482,'Fleet register'!$A$7:$S$106,16,FALSE),0),"n.a."))</f>
        <v>0</v>
      </c>
      <c r="S482" s="1">
        <f>IF(NOT(Paths!$C$50=1),0,IF(Paths!$P$50="Complete",IF(C482=0,0,Paths!$S$50*Paths!$R$50),"n.a."))</f>
        <v>0</v>
      </c>
      <c r="T482" s="1">
        <f>IF(NOT(Paths!$C$50=1),0,IF(Paths!$P$50="Complete",IF(C482=0,0,VLOOKUP(A482,'Fleet register'!$A$7:$S$106,9,FALSE)*Paths!$R$50),"n.a."))</f>
        <v>0</v>
      </c>
    </row>
    <row r="483" spans="1:20" ht="24" customHeight="1">
      <c r="A483" s="1" t="str">
        <f>Paths!$A$50</f>
        <v>T011</v>
      </c>
      <c r="B483" s="1">
        <f>Paths!$B$50</f>
        <v>3</v>
      </c>
      <c r="C483" s="1">
        <v>3</v>
      </c>
      <c r="D483" s="1">
        <v>50</v>
      </c>
      <c r="E483" s="1">
        <f>IF(OR(Paths!$C$50=0,C483=0),0,MAX(0,MIN(C483*12,Paths!$E$50)-(C483-1)*12))</f>
        <v>0</v>
      </c>
      <c r="F483" s="1">
        <f>IF(OR(Paths!$C$50=0,C483=0),0,12-E483)</f>
        <v>0</v>
      </c>
      <c r="G483" s="16">
        <f>IF(NOT(Paths!$C$50=1),0,IF(Paths!$P$50="Complete",E483/12*(Paths!$J$50*(1+'Operating costs'!$B$51)^MAX(0,C483-1)+Paths!$K$50*(1+'Operating costs'!$B$53)^MAX(0,C483-1)),"n.a."))</f>
        <v>0</v>
      </c>
      <c r="H483" s="16">
        <f>IF(NOT(Paths!$C$50=1),0,IF(Paths!$P$50="Complete",F483/12*(Paths!$L$50*(1+IF(Paths!$D$50="EV",'Operating costs'!$B$52,'Operating costs'!$B$51))^MAX(0,C483-1)+Paths!$M$50*(1+'Operating costs'!$B$53)^MAX(0,C483-1)),"n.a."))</f>
        <v>0</v>
      </c>
      <c r="I483" s="16">
        <f>IF(NOT(Paths!$C$50=1),0,IF(Paths!$P$50="Complete",IF(IF(Paths!$E$50=0,C483=0,AND(C483&gt;0,Paths!$E$50&gt;(C483-1)*12,Paths!$E$50&lt;=C483*12)),Paths!$G$50,0),"n.a."))</f>
        <v>0</v>
      </c>
      <c r="J483" s="16">
        <f>IF(NOT(Paths!$C$50=1),0,IF(Paths!$P$50="Complete",IF(IF(Paths!$E$50=0,C483=0,AND(C483&gt;0,Paths!$E$50&gt;(C483-1)*12,Paths!$E$50&lt;=C483*12)),Paths!$H$50,0),"n.a."))</f>
        <v>0</v>
      </c>
      <c r="K483" s="16">
        <f>IF(NOT(Paths!$C$50=1),0,IF(Paths!$P$50="Complete",IF(IF(Paths!$O$50=0,C483=0,AND(C483&gt;0,Paths!$O$50&gt;(C483-1)*12,Paths!$O$50&lt;=C483*12)),Paths!$N$50,0),"n.a."))</f>
        <v>0</v>
      </c>
      <c r="L483" s="16">
        <f>IF(NOT(Paths!$C$50=1),0,IF(Paths!$P$50="Complete",IF(C483=10,Paths!$I$50,0),"n.a."))</f>
        <v>0</v>
      </c>
      <c r="M483" s="16">
        <f>IF(NOT(Paths!$C$50=1),0,IF(Paths!$P$50="Complete",IF(AND(Paths!$D$50="EV",Paths!$E$50&lt;120,Paths!$E$50+'Operating costs'!$B$65&gt;Paths!$E$50,Paths!$E$50+'Operating costs'!$B$65&lt;=120,IF(Paths!$E$50+'Operating costs'!$B$65=0,C483=0,AND(C483&gt;0,Paths!$E$50+'Operating costs'!$B$65&gt;(C483-1)*12,Paths!$E$50+'Operating costs'!$B$65&lt;=C483*12))),'Operating costs'!$B$64,0)+IF(AND('Operating costs'!$B$67&gt;0,'Operating costs'!$B$67&lt;=120,OR(Paths!$D$50="ICE",'Operating costs'!$B$67&lt;=Paths!$E$50),IF('Operating costs'!$B$67=0,C483=0,AND(C483&gt;0,'Operating costs'!$B$67&gt;(C483-1)*12,'Operating costs'!$B$67&lt;=C483*12))),'Operating costs'!$B$66,0),"n.a."))</f>
        <v>0</v>
      </c>
      <c r="N483" s="16">
        <f>IF(NOT(Paths!$C$50=1),0,IF(Paths!$P$50="Complete",SUM(G483:I483)-J483-K483-L483+M483+IF(C483=0,Paths!$F$50,0)+IF(IF(Paths!$E$50=0,C483=0,AND(C483&gt;0,Paths!$E$50&gt;(C483-1)*12,Paths!$E$50&lt;=C483*12)),VLOOKUP(A483,'Fleet register'!$A$7:$S$106,16,FALSE),0),"n.a."))</f>
        <v>0</v>
      </c>
      <c r="O483" s="16">
        <f>IF(NOT(Paths!$C$50=1),0,IF(Paths!$P$50="Complete",N483-IF(C483=0,Paths!$F$50,0),"n.a."))</f>
        <v>0</v>
      </c>
      <c r="P483" s="16">
        <f>IF(NOT(Paths!$C$50=1),0,IF(Paths!$P$50="Complete",O483+L483,"n.a."))</f>
        <v>0</v>
      </c>
      <c r="Q483" s="16">
        <f>IF(NOT(Paths!$C$50=1),0,IF(Paths!$P$50="Complete",N483*(1+'Operating costs'!$B$54)^-C483,"n.a."))</f>
        <v>0</v>
      </c>
      <c r="R483" s="16">
        <f>IF(NOT(Paths!$C$50=1),0,IF(Paths!$P$50="Complete",IF(AND(C483=0,Paths!$E$50=0),I483-J483-K483+VLOOKUP(A483,'Fleet register'!$A$7:$S$106,15,FALSE)+VLOOKUP(A483,'Fleet register'!$A$7:$S$106,16,FALSE),0),"n.a."))</f>
        <v>0</v>
      </c>
      <c r="S483" s="1">
        <f>IF(NOT(Paths!$C$50=1),0,IF(Paths!$P$50="Complete",IF(C483=0,0,Paths!$S$50*Paths!$R$50),"n.a."))</f>
        <v>0</v>
      </c>
      <c r="T483" s="1">
        <f>IF(NOT(Paths!$C$50=1),0,IF(Paths!$P$50="Complete",IF(C483=0,0,VLOOKUP(A483,'Fleet register'!$A$7:$S$106,9,FALSE)*Paths!$R$50),"n.a."))</f>
        <v>0</v>
      </c>
    </row>
    <row r="484" spans="1:20" ht="24" customHeight="1">
      <c r="A484" s="1" t="str">
        <f>Paths!$A$50</f>
        <v>T011</v>
      </c>
      <c r="B484" s="1">
        <f>Paths!$B$50</f>
        <v>3</v>
      </c>
      <c r="C484" s="1">
        <v>4</v>
      </c>
      <c r="D484" s="1">
        <v>50</v>
      </c>
      <c r="E484" s="1">
        <f>IF(OR(Paths!$C$50=0,C484=0),0,MAX(0,MIN(C484*12,Paths!$E$50)-(C484-1)*12))</f>
        <v>0</v>
      </c>
      <c r="F484" s="1">
        <f>IF(OR(Paths!$C$50=0,C484=0),0,12-E484)</f>
        <v>0</v>
      </c>
      <c r="G484" s="16">
        <f>IF(NOT(Paths!$C$50=1),0,IF(Paths!$P$50="Complete",E484/12*(Paths!$J$50*(1+'Operating costs'!$B$51)^MAX(0,C484-1)+Paths!$K$50*(1+'Operating costs'!$B$53)^MAX(0,C484-1)),"n.a."))</f>
        <v>0</v>
      </c>
      <c r="H484" s="16">
        <f>IF(NOT(Paths!$C$50=1),0,IF(Paths!$P$50="Complete",F484/12*(Paths!$L$50*(1+IF(Paths!$D$50="EV",'Operating costs'!$B$52,'Operating costs'!$B$51))^MAX(0,C484-1)+Paths!$M$50*(1+'Operating costs'!$B$53)^MAX(0,C484-1)),"n.a."))</f>
        <v>0</v>
      </c>
      <c r="I484" s="16">
        <f>IF(NOT(Paths!$C$50=1),0,IF(Paths!$P$50="Complete",IF(IF(Paths!$E$50=0,C484=0,AND(C484&gt;0,Paths!$E$50&gt;(C484-1)*12,Paths!$E$50&lt;=C484*12)),Paths!$G$50,0),"n.a."))</f>
        <v>0</v>
      </c>
      <c r="J484" s="16">
        <f>IF(NOT(Paths!$C$50=1),0,IF(Paths!$P$50="Complete",IF(IF(Paths!$E$50=0,C484=0,AND(C484&gt;0,Paths!$E$50&gt;(C484-1)*12,Paths!$E$50&lt;=C484*12)),Paths!$H$50,0),"n.a."))</f>
        <v>0</v>
      </c>
      <c r="K484" s="16">
        <f>IF(NOT(Paths!$C$50=1),0,IF(Paths!$P$50="Complete",IF(IF(Paths!$O$50=0,C484=0,AND(C484&gt;0,Paths!$O$50&gt;(C484-1)*12,Paths!$O$50&lt;=C484*12)),Paths!$N$50,0),"n.a."))</f>
        <v>0</v>
      </c>
      <c r="L484" s="16">
        <f>IF(NOT(Paths!$C$50=1),0,IF(Paths!$P$50="Complete",IF(C484=10,Paths!$I$50,0),"n.a."))</f>
        <v>0</v>
      </c>
      <c r="M484" s="16">
        <f>IF(NOT(Paths!$C$50=1),0,IF(Paths!$P$50="Complete",IF(AND(Paths!$D$50="EV",Paths!$E$50&lt;120,Paths!$E$50+'Operating costs'!$B$65&gt;Paths!$E$50,Paths!$E$50+'Operating costs'!$B$65&lt;=120,IF(Paths!$E$50+'Operating costs'!$B$65=0,C484=0,AND(C484&gt;0,Paths!$E$50+'Operating costs'!$B$65&gt;(C484-1)*12,Paths!$E$50+'Operating costs'!$B$65&lt;=C484*12))),'Operating costs'!$B$64,0)+IF(AND('Operating costs'!$B$67&gt;0,'Operating costs'!$B$67&lt;=120,OR(Paths!$D$50="ICE",'Operating costs'!$B$67&lt;=Paths!$E$50),IF('Operating costs'!$B$67=0,C484=0,AND(C484&gt;0,'Operating costs'!$B$67&gt;(C484-1)*12,'Operating costs'!$B$67&lt;=C484*12))),'Operating costs'!$B$66,0),"n.a."))</f>
        <v>0</v>
      </c>
      <c r="N484" s="16">
        <f>IF(NOT(Paths!$C$50=1),0,IF(Paths!$P$50="Complete",SUM(G484:I484)-J484-K484-L484+M484+IF(C484=0,Paths!$F$50,0)+IF(IF(Paths!$E$50=0,C484=0,AND(C484&gt;0,Paths!$E$50&gt;(C484-1)*12,Paths!$E$50&lt;=C484*12)),VLOOKUP(A484,'Fleet register'!$A$7:$S$106,16,FALSE),0),"n.a."))</f>
        <v>0</v>
      </c>
      <c r="O484" s="16">
        <f>IF(NOT(Paths!$C$50=1),0,IF(Paths!$P$50="Complete",N484-IF(C484=0,Paths!$F$50,0),"n.a."))</f>
        <v>0</v>
      </c>
      <c r="P484" s="16">
        <f>IF(NOT(Paths!$C$50=1),0,IF(Paths!$P$50="Complete",O484+L484,"n.a."))</f>
        <v>0</v>
      </c>
      <c r="Q484" s="16">
        <f>IF(NOT(Paths!$C$50=1),0,IF(Paths!$P$50="Complete",N484*(1+'Operating costs'!$B$54)^-C484,"n.a."))</f>
        <v>0</v>
      </c>
      <c r="R484" s="16">
        <f>IF(NOT(Paths!$C$50=1),0,IF(Paths!$P$50="Complete",IF(AND(C484=0,Paths!$E$50=0),I484-J484-K484+VLOOKUP(A484,'Fleet register'!$A$7:$S$106,15,FALSE)+VLOOKUP(A484,'Fleet register'!$A$7:$S$106,16,FALSE),0),"n.a."))</f>
        <v>0</v>
      </c>
      <c r="S484" s="1">
        <f>IF(NOT(Paths!$C$50=1),0,IF(Paths!$P$50="Complete",IF(C484=0,0,Paths!$S$50*Paths!$R$50),"n.a."))</f>
        <v>0</v>
      </c>
      <c r="T484" s="1">
        <f>IF(NOT(Paths!$C$50=1),0,IF(Paths!$P$50="Complete",IF(C484=0,0,VLOOKUP(A484,'Fleet register'!$A$7:$S$106,9,FALSE)*Paths!$R$50),"n.a."))</f>
        <v>0</v>
      </c>
    </row>
    <row r="485" spans="1:20" ht="24" customHeight="1">
      <c r="A485" s="1" t="str">
        <f>Paths!$A$50</f>
        <v>T011</v>
      </c>
      <c r="B485" s="1">
        <f>Paths!$B$50</f>
        <v>3</v>
      </c>
      <c r="C485" s="1">
        <v>5</v>
      </c>
      <c r="D485" s="1">
        <v>50</v>
      </c>
      <c r="E485" s="1">
        <f>IF(OR(Paths!$C$50=0,C485=0),0,MAX(0,MIN(C485*12,Paths!$E$50)-(C485-1)*12))</f>
        <v>0</v>
      </c>
      <c r="F485" s="1">
        <f>IF(OR(Paths!$C$50=0,C485=0),0,12-E485)</f>
        <v>0</v>
      </c>
      <c r="G485" s="16">
        <f>IF(NOT(Paths!$C$50=1),0,IF(Paths!$P$50="Complete",E485/12*(Paths!$J$50*(1+'Operating costs'!$B$51)^MAX(0,C485-1)+Paths!$K$50*(1+'Operating costs'!$B$53)^MAX(0,C485-1)),"n.a."))</f>
        <v>0</v>
      </c>
      <c r="H485" s="16">
        <f>IF(NOT(Paths!$C$50=1),0,IF(Paths!$P$50="Complete",F485/12*(Paths!$L$50*(1+IF(Paths!$D$50="EV",'Operating costs'!$B$52,'Operating costs'!$B$51))^MAX(0,C485-1)+Paths!$M$50*(1+'Operating costs'!$B$53)^MAX(0,C485-1)),"n.a."))</f>
        <v>0</v>
      </c>
      <c r="I485" s="16">
        <f>IF(NOT(Paths!$C$50=1),0,IF(Paths!$P$50="Complete",IF(IF(Paths!$E$50=0,C485=0,AND(C485&gt;0,Paths!$E$50&gt;(C485-1)*12,Paths!$E$50&lt;=C485*12)),Paths!$G$50,0),"n.a."))</f>
        <v>0</v>
      </c>
      <c r="J485" s="16">
        <f>IF(NOT(Paths!$C$50=1),0,IF(Paths!$P$50="Complete",IF(IF(Paths!$E$50=0,C485=0,AND(C485&gt;0,Paths!$E$50&gt;(C485-1)*12,Paths!$E$50&lt;=C485*12)),Paths!$H$50,0),"n.a."))</f>
        <v>0</v>
      </c>
      <c r="K485" s="16">
        <f>IF(NOT(Paths!$C$50=1),0,IF(Paths!$P$50="Complete",IF(IF(Paths!$O$50=0,C485=0,AND(C485&gt;0,Paths!$O$50&gt;(C485-1)*12,Paths!$O$50&lt;=C485*12)),Paths!$N$50,0),"n.a."))</f>
        <v>0</v>
      </c>
      <c r="L485" s="16">
        <f>IF(NOT(Paths!$C$50=1),0,IF(Paths!$P$50="Complete",IF(C485=10,Paths!$I$50,0),"n.a."))</f>
        <v>0</v>
      </c>
      <c r="M485" s="16">
        <f>IF(NOT(Paths!$C$50=1),0,IF(Paths!$P$50="Complete",IF(AND(Paths!$D$50="EV",Paths!$E$50&lt;120,Paths!$E$50+'Operating costs'!$B$65&gt;Paths!$E$50,Paths!$E$50+'Operating costs'!$B$65&lt;=120,IF(Paths!$E$50+'Operating costs'!$B$65=0,C485=0,AND(C485&gt;0,Paths!$E$50+'Operating costs'!$B$65&gt;(C485-1)*12,Paths!$E$50+'Operating costs'!$B$65&lt;=C485*12))),'Operating costs'!$B$64,0)+IF(AND('Operating costs'!$B$67&gt;0,'Operating costs'!$B$67&lt;=120,OR(Paths!$D$50="ICE",'Operating costs'!$B$67&lt;=Paths!$E$50),IF('Operating costs'!$B$67=0,C485=0,AND(C485&gt;0,'Operating costs'!$B$67&gt;(C485-1)*12,'Operating costs'!$B$67&lt;=C485*12))),'Operating costs'!$B$66,0),"n.a."))</f>
        <v>0</v>
      </c>
      <c r="N485" s="16">
        <f>IF(NOT(Paths!$C$50=1),0,IF(Paths!$P$50="Complete",SUM(G485:I485)-J485-K485-L485+M485+IF(C485=0,Paths!$F$50,0)+IF(IF(Paths!$E$50=0,C485=0,AND(C485&gt;0,Paths!$E$50&gt;(C485-1)*12,Paths!$E$50&lt;=C485*12)),VLOOKUP(A485,'Fleet register'!$A$7:$S$106,16,FALSE),0),"n.a."))</f>
        <v>0</v>
      </c>
      <c r="O485" s="16">
        <f>IF(NOT(Paths!$C$50=1),0,IF(Paths!$P$50="Complete",N485-IF(C485=0,Paths!$F$50,0),"n.a."))</f>
        <v>0</v>
      </c>
      <c r="P485" s="16">
        <f>IF(NOT(Paths!$C$50=1),0,IF(Paths!$P$50="Complete",O485+L485,"n.a."))</f>
        <v>0</v>
      </c>
      <c r="Q485" s="16">
        <f>IF(NOT(Paths!$C$50=1),0,IF(Paths!$P$50="Complete",N485*(1+'Operating costs'!$B$54)^-C485,"n.a."))</f>
        <v>0</v>
      </c>
      <c r="R485" s="16">
        <f>IF(NOT(Paths!$C$50=1),0,IF(Paths!$P$50="Complete",IF(AND(C485=0,Paths!$E$50=0),I485-J485-K485+VLOOKUP(A485,'Fleet register'!$A$7:$S$106,15,FALSE)+VLOOKUP(A485,'Fleet register'!$A$7:$S$106,16,FALSE),0),"n.a."))</f>
        <v>0</v>
      </c>
      <c r="S485" s="1">
        <f>IF(NOT(Paths!$C$50=1),0,IF(Paths!$P$50="Complete",IF(C485=0,0,Paths!$S$50*Paths!$R$50),"n.a."))</f>
        <v>0</v>
      </c>
      <c r="T485" s="1">
        <f>IF(NOT(Paths!$C$50=1),0,IF(Paths!$P$50="Complete",IF(C485=0,0,VLOOKUP(A485,'Fleet register'!$A$7:$S$106,9,FALSE)*Paths!$R$50),"n.a."))</f>
        <v>0</v>
      </c>
    </row>
    <row r="486" spans="1:20" ht="24" customHeight="1">
      <c r="A486" s="1" t="str">
        <f>Paths!$A$50</f>
        <v>T011</v>
      </c>
      <c r="B486" s="1">
        <f>Paths!$B$50</f>
        <v>3</v>
      </c>
      <c r="C486" s="1">
        <v>6</v>
      </c>
      <c r="D486" s="1">
        <v>50</v>
      </c>
      <c r="E486" s="1">
        <f>IF(OR(Paths!$C$50=0,C486=0),0,MAX(0,MIN(C486*12,Paths!$E$50)-(C486-1)*12))</f>
        <v>0</v>
      </c>
      <c r="F486" s="1">
        <f>IF(OR(Paths!$C$50=0,C486=0),0,12-E486)</f>
        <v>0</v>
      </c>
      <c r="G486" s="16">
        <f>IF(NOT(Paths!$C$50=1),0,IF(Paths!$P$50="Complete",E486/12*(Paths!$J$50*(1+'Operating costs'!$B$51)^MAX(0,C486-1)+Paths!$K$50*(1+'Operating costs'!$B$53)^MAX(0,C486-1)),"n.a."))</f>
        <v>0</v>
      </c>
      <c r="H486" s="16">
        <f>IF(NOT(Paths!$C$50=1),0,IF(Paths!$P$50="Complete",F486/12*(Paths!$L$50*(1+IF(Paths!$D$50="EV",'Operating costs'!$B$52,'Operating costs'!$B$51))^MAX(0,C486-1)+Paths!$M$50*(1+'Operating costs'!$B$53)^MAX(0,C486-1)),"n.a."))</f>
        <v>0</v>
      </c>
      <c r="I486" s="16">
        <f>IF(NOT(Paths!$C$50=1),0,IF(Paths!$P$50="Complete",IF(IF(Paths!$E$50=0,C486=0,AND(C486&gt;0,Paths!$E$50&gt;(C486-1)*12,Paths!$E$50&lt;=C486*12)),Paths!$G$50,0),"n.a."))</f>
        <v>0</v>
      </c>
      <c r="J486" s="16">
        <f>IF(NOT(Paths!$C$50=1),0,IF(Paths!$P$50="Complete",IF(IF(Paths!$E$50=0,C486=0,AND(C486&gt;0,Paths!$E$50&gt;(C486-1)*12,Paths!$E$50&lt;=C486*12)),Paths!$H$50,0),"n.a."))</f>
        <v>0</v>
      </c>
      <c r="K486" s="16">
        <f>IF(NOT(Paths!$C$50=1),0,IF(Paths!$P$50="Complete",IF(IF(Paths!$O$50=0,C486=0,AND(C486&gt;0,Paths!$O$50&gt;(C486-1)*12,Paths!$O$50&lt;=C486*12)),Paths!$N$50,0),"n.a."))</f>
        <v>0</v>
      </c>
      <c r="L486" s="16">
        <f>IF(NOT(Paths!$C$50=1),0,IF(Paths!$P$50="Complete",IF(C486=10,Paths!$I$50,0),"n.a."))</f>
        <v>0</v>
      </c>
      <c r="M486" s="16">
        <f>IF(NOT(Paths!$C$50=1),0,IF(Paths!$P$50="Complete",IF(AND(Paths!$D$50="EV",Paths!$E$50&lt;120,Paths!$E$50+'Operating costs'!$B$65&gt;Paths!$E$50,Paths!$E$50+'Operating costs'!$B$65&lt;=120,IF(Paths!$E$50+'Operating costs'!$B$65=0,C486=0,AND(C486&gt;0,Paths!$E$50+'Operating costs'!$B$65&gt;(C486-1)*12,Paths!$E$50+'Operating costs'!$B$65&lt;=C486*12))),'Operating costs'!$B$64,0)+IF(AND('Operating costs'!$B$67&gt;0,'Operating costs'!$B$67&lt;=120,OR(Paths!$D$50="ICE",'Operating costs'!$B$67&lt;=Paths!$E$50),IF('Operating costs'!$B$67=0,C486=0,AND(C486&gt;0,'Operating costs'!$B$67&gt;(C486-1)*12,'Operating costs'!$B$67&lt;=C486*12))),'Operating costs'!$B$66,0),"n.a."))</f>
        <v>0</v>
      </c>
      <c r="N486" s="16">
        <f>IF(NOT(Paths!$C$50=1),0,IF(Paths!$P$50="Complete",SUM(G486:I486)-J486-K486-L486+M486+IF(C486=0,Paths!$F$50,0)+IF(IF(Paths!$E$50=0,C486=0,AND(C486&gt;0,Paths!$E$50&gt;(C486-1)*12,Paths!$E$50&lt;=C486*12)),VLOOKUP(A486,'Fleet register'!$A$7:$S$106,16,FALSE),0),"n.a."))</f>
        <v>0</v>
      </c>
      <c r="O486" s="16">
        <f>IF(NOT(Paths!$C$50=1),0,IF(Paths!$P$50="Complete",N486-IF(C486=0,Paths!$F$50,0),"n.a."))</f>
        <v>0</v>
      </c>
      <c r="P486" s="16">
        <f>IF(NOT(Paths!$C$50=1),0,IF(Paths!$P$50="Complete",O486+L486,"n.a."))</f>
        <v>0</v>
      </c>
      <c r="Q486" s="16">
        <f>IF(NOT(Paths!$C$50=1),0,IF(Paths!$P$50="Complete",N486*(1+'Operating costs'!$B$54)^-C486,"n.a."))</f>
        <v>0</v>
      </c>
      <c r="R486" s="16">
        <f>IF(NOT(Paths!$C$50=1),0,IF(Paths!$P$50="Complete",IF(AND(C486=0,Paths!$E$50=0),I486-J486-K486+VLOOKUP(A486,'Fleet register'!$A$7:$S$106,15,FALSE)+VLOOKUP(A486,'Fleet register'!$A$7:$S$106,16,FALSE),0),"n.a."))</f>
        <v>0</v>
      </c>
      <c r="S486" s="1">
        <f>IF(NOT(Paths!$C$50=1),0,IF(Paths!$P$50="Complete",IF(C486=0,0,Paths!$S$50*Paths!$R$50),"n.a."))</f>
        <v>0</v>
      </c>
      <c r="T486" s="1">
        <f>IF(NOT(Paths!$C$50=1),0,IF(Paths!$P$50="Complete",IF(C486=0,0,VLOOKUP(A486,'Fleet register'!$A$7:$S$106,9,FALSE)*Paths!$R$50),"n.a."))</f>
        <v>0</v>
      </c>
    </row>
    <row r="487" spans="1:20" ht="24" customHeight="1">
      <c r="A487" s="1" t="str">
        <f>Paths!$A$50</f>
        <v>T011</v>
      </c>
      <c r="B487" s="1">
        <f>Paths!$B$50</f>
        <v>3</v>
      </c>
      <c r="C487" s="1">
        <v>7</v>
      </c>
      <c r="D487" s="1">
        <v>50</v>
      </c>
      <c r="E487" s="1">
        <f>IF(OR(Paths!$C$50=0,C487=0),0,MAX(0,MIN(C487*12,Paths!$E$50)-(C487-1)*12))</f>
        <v>0</v>
      </c>
      <c r="F487" s="1">
        <f>IF(OR(Paths!$C$50=0,C487=0),0,12-E487)</f>
        <v>0</v>
      </c>
      <c r="G487" s="16">
        <f>IF(NOT(Paths!$C$50=1),0,IF(Paths!$P$50="Complete",E487/12*(Paths!$J$50*(1+'Operating costs'!$B$51)^MAX(0,C487-1)+Paths!$K$50*(1+'Operating costs'!$B$53)^MAX(0,C487-1)),"n.a."))</f>
        <v>0</v>
      </c>
      <c r="H487" s="16">
        <f>IF(NOT(Paths!$C$50=1),0,IF(Paths!$P$50="Complete",F487/12*(Paths!$L$50*(1+IF(Paths!$D$50="EV",'Operating costs'!$B$52,'Operating costs'!$B$51))^MAX(0,C487-1)+Paths!$M$50*(1+'Operating costs'!$B$53)^MAX(0,C487-1)),"n.a."))</f>
        <v>0</v>
      </c>
      <c r="I487" s="16">
        <f>IF(NOT(Paths!$C$50=1),0,IF(Paths!$P$50="Complete",IF(IF(Paths!$E$50=0,C487=0,AND(C487&gt;0,Paths!$E$50&gt;(C487-1)*12,Paths!$E$50&lt;=C487*12)),Paths!$G$50,0),"n.a."))</f>
        <v>0</v>
      </c>
      <c r="J487" s="16">
        <f>IF(NOT(Paths!$C$50=1),0,IF(Paths!$P$50="Complete",IF(IF(Paths!$E$50=0,C487=0,AND(C487&gt;0,Paths!$E$50&gt;(C487-1)*12,Paths!$E$50&lt;=C487*12)),Paths!$H$50,0),"n.a."))</f>
        <v>0</v>
      </c>
      <c r="K487" s="16">
        <f>IF(NOT(Paths!$C$50=1),0,IF(Paths!$P$50="Complete",IF(IF(Paths!$O$50=0,C487=0,AND(C487&gt;0,Paths!$O$50&gt;(C487-1)*12,Paths!$O$50&lt;=C487*12)),Paths!$N$50,0),"n.a."))</f>
        <v>0</v>
      </c>
      <c r="L487" s="16">
        <f>IF(NOT(Paths!$C$50=1),0,IF(Paths!$P$50="Complete",IF(C487=10,Paths!$I$50,0),"n.a."))</f>
        <v>0</v>
      </c>
      <c r="M487" s="16">
        <f>IF(NOT(Paths!$C$50=1),0,IF(Paths!$P$50="Complete",IF(AND(Paths!$D$50="EV",Paths!$E$50&lt;120,Paths!$E$50+'Operating costs'!$B$65&gt;Paths!$E$50,Paths!$E$50+'Operating costs'!$B$65&lt;=120,IF(Paths!$E$50+'Operating costs'!$B$65=0,C487=0,AND(C487&gt;0,Paths!$E$50+'Operating costs'!$B$65&gt;(C487-1)*12,Paths!$E$50+'Operating costs'!$B$65&lt;=C487*12))),'Operating costs'!$B$64,0)+IF(AND('Operating costs'!$B$67&gt;0,'Operating costs'!$B$67&lt;=120,OR(Paths!$D$50="ICE",'Operating costs'!$B$67&lt;=Paths!$E$50),IF('Operating costs'!$B$67=0,C487=0,AND(C487&gt;0,'Operating costs'!$B$67&gt;(C487-1)*12,'Operating costs'!$B$67&lt;=C487*12))),'Operating costs'!$B$66,0),"n.a."))</f>
        <v>0</v>
      </c>
      <c r="N487" s="16">
        <f>IF(NOT(Paths!$C$50=1),0,IF(Paths!$P$50="Complete",SUM(G487:I487)-J487-K487-L487+M487+IF(C487=0,Paths!$F$50,0)+IF(IF(Paths!$E$50=0,C487=0,AND(C487&gt;0,Paths!$E$50&gt;(C487-1)*12,Paths!$E$50&lt;=C487*12)),VLOOKUP(A487,'Fleet register'!$A$7:$S$106,16,FALSE),0),"n.a."))</f>
        <v>0</v>
      </c>
      <c r="O487" s="16">
        <f>IF(NOT(Paths!$C$50=1),0,IF(Paths!$P$50="Complete",N487-IF(C487=0,Paths!$F$50,0),"n.a."))</f>
        <v>0</v>
      </c>
      <c r="P487" s="16">
        <f>IF(NOT(Paths!$C$50=1),0,IF(Paths!$P$50="Complete",O487+L487,"n.a."))</f>
        <v>0</v>
      </c>
      <c r="Q487" s="16">
        <f>IF(NOT(Paths!$C$50=1),0,IF(Paths!$P$50="Complete",N487*(1+'Operating costs'!$B$54)^-C487,"n.a."))</f>
        <v>0</v>
      </c>
      <c r="R487" s="16">
        <f>IF(NOT(Paths!$C$50=1),0,IF(Paths!$P$50="Complete",IF(AND(C487=0,Paths!$E$50=0),I487-J487-K487+VLOOKUP(A487,'Fleet register'!$A$7:$S$106,15,FALSE)+VLOOKUP(A487,'Fleet register'!$A$7:$S$106,16,FALSE),0),"n.a."))</f>
        <v>0</v>
      </c>
      <c r="S487" s="1">
        <f>IF(NOT(Paths!$C$50=1),0,IF(Paths!$P$50="Complete",IF(C487=0,0,Paths!$S$50*Paths!$R$50),"n.a."))</f>
        <v>0</v>
      </c>
      <c r="T487" s="1">
        <f>IF(NOT(Paths!$C$50=1),0,IF(Paths!$P$50="Complete",IF(C487=0,0,VLOOKUP(A487,'Fleet register'!$A$7:$S$106,9,FALSE)*Paths!$R$50),"n.a."))</f>
        <v>0</v>
      </c>
    </row>
    <row r="488" spans="1:20" ht="24" customHeight="1">
      <c r="A488" s="1" t="str">
        <f>Paths!$A$50</f>
        <v>T011</v>
      </c>
      <c r="B488" s="1">
        <f>Paths!$B$50</f>
        <v>3</v>
      </c>
      <c r="C488" s="1">
        <v>8</v>
      </c>
      <c r="D488" s="1">
        <v>50</v>
      </c>
      <c r="E488" s="1">
        <f>IF(OR(Paths!$C$50=0,C488=0),0,MAX(0,MIN(C488*12,Paths!$E$50)-(C488-1)*12))</f>
        <v>0</v>
      </c>
      <c r="F488" s="1">
        <f>IF(OR(Paths!$C$50=0,C488=0),0,12-E488)</f>
        <v>0</v>
      </c>
      <c r="G488" s="16">
        <f>IF(NOT(Paths!$C$50=1),0,IF(Paths!$P$50="Complete",E488/12*(Paths!$J$50*(1+'Operating costs'!$B$51)^MAX(0,C488-1)+Paths!$K$50*(1+'Operating costs'!$B$53)^MAX(0,C488-1)),"n.a."))</f>
        <v>0</v>
      </c>
      <c r="H488" s="16">
        <f>IF(NOT(Paths!$C$50=1),0,IF(Paths!$P$50="Complete",F488/12*(Paths!$L$50*(1+IF(Paths!$D$50="EV",'Operating costs'!$B$52,'Operating costs'!$B$51))^MAX(0,C488-1)+Paths!$M$50*(1+'Operating costs'!$B$53)^MAX(0,C488-1)),"n.a."))</f>
        <v>0</v>
      </c>
      <c r="I488" s="16">
        <f>IF(NOT(Paths!$C$50=1),0,IF(Paths!$P$50="Complete",IF(IF(Paths!$E$50=0,C488=0,AND(C488&gt;0,Paths!$E$50&gt;(C488-1)*12,Paths!$E$50&lt;=C488*12)),Paths!$G$50,0),"n.a."))</f>
        <v>0</v>
      </c>
      <c r="J488" s="16">
        <f>IF(NOT(Paths!$C$50=1),0,IF(Paths!$P$50="Complete",IF(IF(Paths!$E$50=0,C488=0,AND(C488&gt;0,Paths!$E$50&gt;(C488-1)*12,Paths!$E$50&lt;=C488*12)),Paths!$H$50,0),"n.a."))</f>
        <v>0</v>
      </c>
      <c r="K488" s="16">
        <f>IF(NOT(Paths!$C$50=1),0,IF(Paths!$P$50="Complete",IF(IF(Paths!$O$50=0,C488=0,AND(C488&gt;0,Paths!$O$50&gt;(C488-1)*12,Paths!$O$50&lt;=C488*12)),Paths!$N$50,0),"n.a."))</f>
        <v>0</v>
      </c>
      <c r="L488" s="16">
        <f>IF(NOT(Paths!$C$50=1),0,IF(Paths!$P$50="Complete",IF(C488=10,Paths!$I$50,0),"n.a."))</f>
        <v>0</v>
      </c>
      <c r="M488" s="16">
        <f>IF(NOT(Paths!$C$50=1),0,IF(Paths!$P$50="Complete",IF(AND(Paths!$D$50="EV",Paths!$E$50&lt;120,Paths!$E$50+'Operating costs'!$B$65&gt;Paths!$E$50,Paths!$E$50+'Operating costs'!$B$65&lt;=120,IF(Paths!$E$50+'Operating costs'!$B$65=0,C488=0,AND(C488&gt;0,Paths!$E$50+'Operating costs'!$B$65&gt;(C488-1)*12,Paths!$E$50+'Operating costs'!$B$65&lt;=C488*12))),'Operating costs'!$B$64,0)+IF(AND('Operating costs'!$B$67&gt;0,'Operating costs'!$B$67&lt;=120,OR(Paths!$D$50="ICE",'Operating costs'!$B$67&lt;=Paths!$E$50),IF('Operating costs'!$B$67=0,C488=0,AND(C488&gt;0,'Operating costs'!$B$67&gt;(C488-1)*12,'Operating costs'!$B$67&lt;=C488*12))),'Operating costs'!$B$66,0),"n.a."))</f>
        <v>0</v>
      </c>
      <c r="N488" s="16">
        <f>IF(NOT(Paths!$C$50=1),0,IF(Paths!$P$50="Complete",SUM(G488:I488)-J488-K488-L488+M488+IF(C488=0,Paths!$F$50,0)+IF(IF(Paths!$E$50=0,C488=0,AND(C488&gt;0,Paths!$E$50&gt;(C488-1)*12,Paths!$E$50&lt;=C488*12)),VLOOKUP(A488,'Fleet register'!$A$7:$S$106,16,FALSE),0),"n.a."))</f>
        <v>0</v>
      </c>
      <c r="O488" s="16">
        <f>IF(NOT(Paths!$C$50=1),0,IF(Paths!$P$50="Complete",N488-IF(C488=0,Paths!$F$50,0),"n.a."))</f>
        <v>0</v>
      </c>
      <c r="P488" s="16">
        <f>IF(NOT(Paths!$C$50=1),0,IF(Paths!$P$50="Complete",O488+L488,"n.a."))</f>
        <v>0</v>
      </c>
      <c r="Q488" s="16">
        <f>IF(NOT(Paths!$C$50=1),0,IF(Paths!$P$50="Complete",N488*(1+'Operating costs'!$B$54)^-C488,"n.a."))</f>
        <v>0</v>
      </c>
      <c r="R488" s="16">
        <f>IF(NOT(Paths!$C$50=1),0,IF(Paths!$P$50="Complete",IF(AND(C488=0,Paths!$E$50=0),I488-J488-K488+VLOOKUP(A488,'Fleet register'!$A$7:$S$106,15,FALSE)+VLOOKUP(A488,'Fleet register'!$A$7:$S$106,16,FALSE),0),"n.a."))</f>
        <v>0</v>
      </c>
      <c r="S488" s="1">
        <f>IF(NOT(Paths!$C$50=1),0,IF(Paths!$P$50="Complete",IF(C488=0,0,Paths!$S$50*Paths!$R$50),"n.a."))</f>
        <v>0</v>
      </c>
      <c r="T488" s="1">
        <f>IF(NOT(Paths!$C$50=1),0,IF(Paths!$P$50="Complete",IF(C488=0,0,VLOOKUP(A488,'Fleet register'!$A$7:$S$106,9,FALSE)*Paths!$R$50),"n.a."))</f>
        <v>0</v>
      </c>
    </row>
    <row r="489" spans="1:20" ht="24" customHeight="1">
      <c r="A489" s="1" t="str">
        <f>Paths!$A$50</f>
        <v>T011</v>
      </c>
      <c r="B489" s="1">
        <f>Paths!$B$50</f>
        <v>3</v>
      </c>
      <c r="C489" s="1">
        <v>9</v>
      </c>
      <c r="D489" s="1">
        <v>50</v>
      </c>
      <c r="E489" s="1">
        <f>IF(OR(Paths!$C$50=0,C489=0),0,MAX(0,MIN(C489*12,Paths!$E$50)-(C489-1)*12))</f>
        <v>0</v>
      </c>
      <c r="F489" s="1">
        <f>IF(OR(Paths!$C$50=0,C489=0),0,12-E489)</f>
        <v>0</v>
      </c>
      <c r="G489" s="16">
        <f>IF(NOT(Paths!$C$50=1),0,IF(Paths!$P$50="Complete",E489/12*(Paths!$J$50*(1+'Operating costs'!$B$51)^MAX(0,C489-1)+Paths!$K$50*(1+'Operating costs'!$B$53)^MAX(0,C489-1)),"n.a."))</f>
        <v>0</v>
      </c>
      <c r="H489" s="16">
        <f>IF(NOT(Paths!$C$50=1),0,IF(Paths!$P$50="Complete",F489/12*(Paths!$L$50*(1+IF(Paths!$D$50="EV",'Operating costs'!$B$52,'Operating costs'!$B$51))^MAX(0,C489-1)+Paths!$M$50*(1+'Operating costs'!$B$53)^MAX(0,C489-1)),"n.a."))</f>
        <v>0</v>
      </c>
      <c r="I489" s="16">
        <f>IF(NOT(Paths!$C$50=1),0,IF(Paths!$P$50="Complete",IF(IF(Paths!$E$50=0,C489=0,AND(C489&gt;0,Paths!$E$50&gt;(C489-1)*12,Paths!$E$50&lt;=C489*12)),Paths!$G$50,0),"n.a."))</f>
        <v>0</v>
      </c>
      <c r="J489" s="16">
        <f>IF(NOT(Paths!$C$50=1),0,IF(Paths!$P$50="Complete",IF(IF(Paths!$E$50=0,C489=0,AND(C489&gt;0,Paths!$E$50&gt;(C489-1)*12,Paths!$E$50&lt;=C489*12)),Paths!$H$50,0),"n.a."))</f>
        <v>0</v>
      </c>
      <c r="K489" s="16">
        <f>IF(NOT(Paths!$C$50=1),0,IF(Paths!$P$50="Complete",IF(IF(Paths!$O$50=0,C489=0,AND(C489&gt;0,Paths!$O$50&gt;(C489-1)*12,Paths!$O$50&lt;=C489*12)),Paths!$N$50,0),"n.a."))</f>
        <v>0</v>
      </c>
      <c r="L489" s="16">
        <f>IF(NOT(Paths!$C$50=1),0,IF(Paths!$P$50="Complete",IF(C489=10,Paths!$I$50,0),"n.a."))</f>
        <v>0</v>
      </c>
      <c r="M489" s="16">
        <f>IF(NOT(Paths!$C$50=1),0,IF(Paths!$P$50="Complete",IF(AND(Paths!$D$50="EV",Paths!$E$50&lt;120,Paths!$E$50+'Operating costs'!$B$65&gt;Paths!$E$50,Paths!$E$50+'Operating costs'!$B$65&lt;=120,IF(Paths!$E$50+'Operating costs'!$B$65=0,C489=0,AND(C489&gt;0,Paths!$E$50+'Operating costs'!$B$65&gt;(C489-1)*12,Paths!$E$50+'Operating costs'!$B$65&lt;=C489*12))),'Operating costs'!$B$64,0)+IF(AND('Operating costs'!$B$67&gt;0,'Operating costs'!$B$67&lt;=120,OR(Paths!$D$50="ICE",'Operating costs'!$B$67&lt;=Paths!$E$50),IF('Operating costs'!$B$67=0,C489=0,AND(C489&gt;0,'Operating costs'!$B$67&gt;(C489-1)*12,'Operating costs'!$B$67&lt;=C489*12))),'Operating costs'!$B$66,0),"n.a."))</f>
        <v>0</v>
      </c>
      <c r="N489" s="16">
        <f>IF(NOT(Paths!$C$50=1),0,IF(Paths!$P$50="Complete",SUM(G489:I489)-J489-K489-L489+M489+IF(C489=0,Paths!$F$50,0)+IF(IF(Paths!$E$50=0,C489=0,AND(C489&gt;0,Paths!$E$50&gt;(C489-1)*12,Paths!$E$50&lt;=C489*12)),VLOOKUP(A489,'Fleet register'!$A$7:$S$106,16,FALSE),0),"n.a."))</f>
        <v>0</v>
      </c>
      <c r="O489" s="16">
        <f>IF(NOT(Paths!$C$50=1),0,IF(Paths!$P$50="Complete",N489-IF(C489=0,Paths!$F$50,0),"n.a."))</f>
        <v>0</v>
      </c>
      <c r="P489" s="16">
        <f>IF(NOT(Paths!$C$50=1),0,IF(Paths!$P$50="Complete",O489+L489,"n.a."))</f>
        <v>0</v>
      </c>
      <c r="Q489" s="16">
        <f>IF(NOT(Paths!$C$50=1),0,IF(Paths!$P$50="Complete",N489*(1+'Operating costs'!$B$54)^-C489,"n.a."))</f>
        <v>0</v>
      </c>
      <c r="R489" s="16">
        <f>IF(NOT(Paths!$C$50=1),0,IF(Paths!$P$50="Complete",IF(AND(C489=0,Paths!$E$50=0),I489-J489-K489+VLOOKUP(A489,'Fleet register'!$A$7:$S$106,15,FALSE)+VLOOKUP(A489,'Fleet register'!$A$7:$S$106,16,FALSE),0),"n.a."))</f>
        <v>0</v>
      </c>
      <c r="S489" s="1">
        <f>IF(NOT(Paths!$C$50=1),0,IF(Paths!$P$50="Complete",IF(C489=0,0,Paths!$S$50*Paths!$R$50),"n.a."))</f>
        <v>0</v>
      </c>
      <c r="T489" s="1">
        <f>IF(NOT(Paths!$C$50=1),0,IF(Paths!$P$50="Complete",IF(C489=0,0,VLOOKUP(A489,'Fleet register'!$A$7:$S$106,9,FALSE)*Paths!$R$50),"n.a."))</f>
        <v>0</v>
      </c>
    </row>
    <row r="490" spans="1:20" ht="24" customHeight="1">
      <c r="A490" s="1" t="str">
        <f>Paths!$A$50</f>
        <v>T011</v>
      </c>
      <c r="B490" s="1">
        <f>Paths!$B$50</f>
        <v>3</v>
      </c>
      <c r="C490" s="1">
        <v>10</v>
      </c>
      <c r="D490" s="1">
        <v>50</v>
      </c>
      <c r="E490" s="1">
        <f>IF(OR(Paths!$C$50=0,C490=0),0,MAX(0,MIN(C490*12,Paths!$E$50)-(C490-1)*12))</f>
        <v>0</v>
      </c>
      <c r="F490" s="1">
        <f>IF(OR(Paths!$C$50=0,C490=0),0,12-E490)</f>
        <v>0</v>
      </c>
      <c r="G490" s="16">
        <f>IF(NOT(Paths!$C$50=1),0,IF(Paths!$P$50="Complete",E490/12*(Paths!$J$50*(1+'Operating costs'!$B$51)^MAX(0,C490-1)+Paths!$K$50*(1+'Operating costs'!$B$53)^MAX(0,C490-1)),"n.a."))</f>
        <v>0</v>
      </c>
      <c r="H490" s="16">
        <f>IF(NOT(Paths!$C$50=1),0,IF(Paths!$P$50="Complete",F490/12*(Paths!$L$50*(1+IF(Paths!$D$50="EV",'Operating costs'!$B$52,'Operating costs'!$B$51))^MAX(0,C490-1)+Paths!$M$50*(1+'Operating costs'!$B$53)^MAX(0,C490-1)),"n.a."))</f>
        <v>0</v>
      </c>
      <c r="I490" s="16">
        <f>IF(NOT(Paths!$C$50=1),0,IF(Paths!$P$50="Complete",IF(IF(Paths!$E$50=0,C490=0,AND(C490&gt;0,Paths!$E$50&gt;(C490-1)*12,Paths!$E$50&lt;=C490*12)),Paths!$G$50,0),"n.a."))</f>
        <v>0</v>
      </c>
      <c r="J490" s="16">
        <f>IF(NOT(Paths!$C$50=1),0,IF(Paths!$P$50="Complete",IF(IF(Paths!$E$50=0,C490=0,AND(C490&gt;0,Paths!$E$50&gt;(C490-1)*12,Paths!$E$50&lt;=C490*12)),Paths!$H$50,0),"n.a."))</f>
        <v>0</v>
      </c>
      <c r="K490" s="16">
        <f>IF(NOT(Paths!$C$50=1),0,IF(Paths!$P$50="Complete",IF(IF(Paths!$O$50=0,C490=0,AND(C490&gt;0,Paths!$O$50&gt;(C490-1)*12,Paths!$O$50&lt;=C490*12)),Paths!$N$50,0),"n.a."))</f>
        <v>0</v>
      </c>
      <c r="L490" s="16">
        <f>IF(NOT(Paths!$C$50=1),0,IF(Paths!$P$50="Complete",IF(C490=10,Paths!$I$50,0),"n.a."))</f>
        <v>0</v>
      </c>
      <c r="M490" s="16">
        <f>IF(NOT(Paths!$C$50=1),0,IF(Paths!$P$50="Complete",IF(AND(Paths!$D$50="EV",Paths!$E$50&lt;120,Paths!$E$50+'Operating costs'!$B$65&gt;Paths!$E$50,Paths!$E$50+'Operating costs'!$B$65&lt;=120,IF(Paths!$E$50+'Operating costs'!$B$65=0,C490=0,AND(C490&gt;0,Paths!$E$50+'Operating costs'!$B$65&gt;(C490-1)*12,Paths!$E$50+'Operating costs'!$B$65&lt;=C490*12))),'Operating costs'!$B$64,0)+IF(AND('Operating costs'!$B$67&gt;0,'Operating costs'!$B$67&lt;=120,OR(Paths!$D$50="ICE",'Operating costs'!$B$67&lt;=Paths!$E$50),IF('Operating costs'!$B$67=0,C490=0,AND(C490&gt;0,'Operating costs'!$B$67&gt;(C490-1)*12,'Operating costs'!$B$67&lt;=C490*12))),'Operating costs'!$B$66,0),"n.a."))</f>
        <v>0</v>
      </c>
      <c r="N490" s="16">
        <f>IF(NOT(Paths!$C$50=1),0,IF(Paths!$P$50="Complete",SUM(G490:I490)-J490-K490-L490+M490+IF(C490=0,Paths!$F$50,0)+IF(IF(Paths!$E$50=0,C490=0,AND(C490&gt;0,Paths!$E$50&gt;(C490-1)*12,Paths!$E$50&lt;=C490*12)),VLOOKUP(A490,'Fleet register'!$A$7:$S$106,16,FALSE),0),"n.a."))</f>
        <v>0</v>
      </c>
      <c r="O490" s="16">
        <f>IF(NOT(Paths!$C$50=1),0,IF(Paths!$P$50="Complete",N490-IF(C490=0,Paths!$F$50,0),"n.a."))</f>
        <v>0</v>
      </c>
      <c r="P490" s="16">
        <f>IF(NOT(Paths!$C$50=1),0,IF(Paths!$P$50="Complete",O490+L490,"n.a."))</f>
        <v>0</v>
      </c>
      <c r="Q490" s="16">
        <f>IF(NOT(Paths!$C$50=1),0,IF(Paths!$P$50="Complete",N490*(1+'Operating costs'!$B$54)^-C490,"n.a."))</f>
        <v>0</v>
      </c>
      <c r="R490" s="16">
        <f>IF(NOT(Paths!$C$50=1),0,IF(Paths!$P$50="Complete",IF(AND(C490=0,Paths!$E$50=0),I490-J490-K490+VLOOKUP(A490,'Fleet register'!$A$7:$S$106,15,FALSE)+VLOOKUP(A490,'Fleet register'!$A$7:$S$106,16,FALSE),0),"n.a."))</f>
        <v>0</v>
      </c>
      <c r="S490" s="1">
        <f>IF(NOT(Paths!$C$50=1),0,IF(Paths!$P$50="Complete",IF(C490=0,0,Paths!$S$50*Paths!$R$50),"n.a."))</f>
        <v>0</v>
      </c>
      <c r="T490" s="1">
        <f>IF(NOT(Paths!$C$50=1),0,IF(Paths!$P$50="Complete",IF(C490=0,0,VLOOKUP(A490,'Fleet register'!$A$7:$S$106,9,FALSE)*Paths!$R$50),"n.a."))</f>
        <v>0</v>
      </c>
    </row>
    <row r="491" spans="1:20" ht="24" customHeight="1">
      <c r="A491" s="1" t="str">
        <f>Paths!$A$51</f>
        <v>T012</v>
      </c>
      <c r="B491" s="1">
        <f>Paths!$B$51</f>
        <v>0</v>
      </c>
      <c r="C491" s="1">
        <v>0</v>
      </c>
      <c r="D491" s="1">
        <v>51</v>
      </c>
      <c r="E491" s="1">
        <f>IF(OR(Paths!$C$51=0,C491=0),0,MAX(0,MIN(C491*12,Paths!$E$51)-(C491-1)*12))</f>
        <v>0</v>
      </c>
      <c r="F491" s="1">
        <f>IF(OR(Paths!$C$51=0,C491=0),0,12-E491)</f>
        <v>0</v>
      </c>
      <c r="G491" s="16">
        <f>IF(NOT(Paths!$C$51=1),0,IF(Paths!$P$51="Complete",E491/12*(Paths!$J$51*(1+'Operating costs'!$B$51)^MAX(0,C491-1)+Paths!$K$51*(1+'Operating costs'!$B$53)^MAX(0,C491-1)),"n.a."))</f>
        <v>0</v>
      </c>
      <c r="H491" s="16">
        <f>IF(NOT(Paths!$C$51=1),0,IF(Paths!$P$51="Complete",F491/12*(Paths!$L$51*(1+IF(Paths!$D$51="EV",'Operating costs'!$B$52,'Operating costs'!$B$51))^MAX(0,C491-1)+Paths!$M$51*(1+'Operating costs'!$B$53)^MAX(0,C491-1)),"n.a."))</f>
        <v>0</v>
      </c>
      <c r="I491" s="16">
        <f>IF(NOT(Paths!$C$51=1),0,IF(Paths!$P$51="Complete",IF(IF(Paths!$E$51=0,C491=0,AND(C491&gt;0,Paths!$E$51&gt;(C491-1)*12,Paths!$E$51&lt;=C491*12)),Paths!$G$51,0),"n.a."))</f>
        <v>0</v>
      </c>
      <c r="J491" s="16">
        <f>IF(NOT(Paths!$C$51=1),0,IF(Paths!$P$51="Complete",IF(IF(Paths!$E$51=0,C491=0,AND(C491&gt;0,Paths!$E$51&gt;(C491-1)*12,Paths!$E$51&lt;=C491*12)),Paths!$H$51,0),"n.a."))</f>
        <v>0</v>
      </c>
      <c r="K491" s="16">
        <f>IF(NOT(Paths!$C$51=1),0,IF(Paths!$P$51="Complete",IF(IF(Paths!$O$51=0,C491=0,AND(C491&gt;0,Paths!$O$51&gt;(C491-1)*12,Paths!$O$51&lt;=C491*12)),Paths!$N$51,0),"n.a."))</f>
        <v>0</v>
      </c>
      <c r="L491" s="16">
        <f>IF(NOT(Paths!$C$51=1),0,IF(Paths!$P$51="Complete",IF(C491=10,Paths!$I$51,0),"n.a."))</f>
        <v>0</v>
      </c>
      <c r="M491" s="16">
        <f>IF(NOT(Paths!$C$51=1),0,IF(Paths!$P$51="Complete",IF(AND(Paths!$D$51="EV",Paths!$E$51&lt;120,Paths!$E$51+'Operating costs'!$B$65&gt;Paths!$E$51,Paths!$E$51+'Operating costs'!$B$65&lt;=120,IF(Paths!$E$51+'Operating costs'!$B$65=0,C491=0,AND(C491&gt;0,Paths!$E$51+'Operating costs'!$B$65&gt;(C491-1)*12,Paths!$E$51+'Operating costs'!$B$65&lt;=C491*12))),'Operating costs'!$B$64,0)+IF(AND('Operating costs'!$B$67&gt;0,'Operating costs'!$B$67&lt;=120,OR(Paths!$D$51="ICE",'Operating costs'!$B$67&lt;=Paths!$E$51),IF('Operating costs'!$B$67=0,C491=0,AND(C491&gt;0,'Operating costs'!$B$67&gt;(C491-1)*12,'Operating costs'!$B$67&lt;=C491*12))),'Operating costs'!$B$66,0),"n.a."))</f>
        <v>0</v>
      </c>
      <c r="N491" s="16">
        <f>IF(NOT(Paths!$C$51=1),0,IF(Paths!$P$51="Complete",SUM(G491:I491)-J491-K491-L491+M491+IF(C491=0,Paths!$F$51,0)+IF(IF(Paths!$E$51=0,C491=0,AND(C491&gt;0,Paths!$E$51&gt;(C491-1)*12,Paths!$E$51&lt;=C491*12)),VLOOKUP(A491,'Fleet register'!$A$7:$S$106,16,FALSE),0),"n.a."))</f>
        <v>0</v>
      </c>
      <c r="O491" s="16">
        <f>IF(NOT(Paths!$C$51=1),0,IF(Paths!$P$51="Complete",N491-IF(C491=0,Paths!$F$51,0),"n.a."))</f>
        <v>0</v>
      </c>
      <c r="P491" s="16">
        <f>IF(NOT(Paths!$C$51=1),0,IF(Paths!$P$51="Complete",O491+L491,"n.a."))</f>
        <v>0</v>
      </c>
      <c r="Q491" s="16">
        <f>IF(NOT(Paths!$C$51=1),0,IF(Paths!$P$51="Complete",N491*(1+'Operating costs'!$B$54)^-C491,"n.a."))</f>
        <v>0</v>
      </c>
      <c r="R491" s="16">
        <f>IF(NOT(Paths!$C$51=1),0,IF(Paths!$P$51="Complete",IF(AND(C491=0,Paths!$E$51=0),I491-J491-K491+VLOOKUP(A491,'Fleet register'!$A$7:$S$106,15,FALSE)+VLOOKUP(A491,'Fleet register'!$A$7:$S$106,16,FALSE),0),"n.a."))</f>
        <v>0</v>
      </c>
      <c r="S491" s="1">
        <f>IF(NOT(Paths!$C$51=1),0,IF(Paths!$P$51="Complete",IF(C491=0,0,Paths!$S$51*Paths!$R$51),"n.a."))</f>
        <v>0</v>
      </c>
      <c r="T491" s="1">
        <f>IF(NOT(Paths!$C$51=1),0,IF(Paths!$P$51="Complete",IF(C491=0,0,VLOOKUP(A491,'Fleet register'!$A$7:$S$106,9,FALSE)*Paths!$R$51),"n.a."))</f>
        <v>0</v>
      </c>
    </row>
    <row r="492" spans="1:20" ht="24" customHeight="1">
      <c r="A492" s="1" t="str">
        <f>Paths!$A$51</f>
        <v>T012</v>
      </c>
      <c r="B492" s="1">
        <f>Paths!$B$51</f>
        <v>0</v>
      </c>
      <c r="C492" s="1">
        <v>1</v>
      </c>
      <c r="D492" s="1">
        <v>51</v>
      </c>
      <c r="E492" s="1">
        <f>IF(OR(Paths!$C$51=0,C492=0),0,MAX(0,MIN(C492*12,Paths!$E$51)-(C492-1)*12))</f>
        <v>0</v>
      </c>
      <c r="F492" s="1">
        <f>IF(OR(Paths!$C$51=0,C492=0),0,12-E492)</f>
        <v>0</v>
      </c>
      <c r="G492" s="16">
        <f>IF(NOT(Paths!$C$51=1),0,IF(Paths!$P$51="Complete",E492/12*(Paths!$J$51*(1+'Operating costs'!$B$51)^MAX(0,C492-1)+Paths!$K$51*(1+'Operating costs'!$B$53)^MAX(0,C492-1)),"n.a."))</f>
        <v>0</v>
      </c>
      <c r="H492" s="16">
        <f>IF(NOT(Paths!$C$51=1),0,IF(Paths!$P$51="Complete",F492/12*(Paths!$L$51*(1+IF(Paths!$D$51="EV",'Operating costs'!$B$52,'Operating costs'!$B$51))^MAX(0,C492-1)+Paths!$M$51*(1+'Operating costs'!$B$53)^MAX(0,C492-1)),"n.a."))</f>
        <v>0</v>
      </c>
      <c r="I492" s="16">
        <f>IF(NOT(Paths!$C$51=1),0,IF(Paths!$P$51="Complete",IF(IF(Paths!$E$51=0,C492=0,AND(C492&gt;0,Paths!$E$51&gt;(C492-1)*12,Paths!$E$51&lt;=C492*12)),Paths!$G$51,0),"n.a."))</f>
        <v>0</v>
      </c>
      <c r="J492" s="16">
        <f>IF(NOT(Paths!$C$51=1),0,IF(Paths!$P$51="Complete",IF(IF(Paths!$E$51=0,C492=0,AND(C492&gt;0,Paths!$E$51&gt;(C492-1)*12,Paths!$E$51&lt;=C492*12)),Paths!$H$51,0),"n.a."))</f>
        <v>0</v>
      </c>
      <c r="K492" s="16">
        <f>IF(NOT(Paths!$C$51=1),0,IF(Paths!$P$51="Complete",IF(IF(Paths!$O$51=0,C492=0,AND(C492&gt;0,Paths!$O$51&gt;(C492-1)*12,Paths!$O$51&lt;=C492*12)),Paths!$N$51,0),"n.a."))</f>
        <v>0</v>
      </c>
      <c r="L492" s="16">
        <f>IF(NOT(Paths!$C$51=1),0,IF(Paths!$P$51="Complete",IF(C492=10,Paths!$I$51,0),"n.a."))</f>
        <v>0</v>
      </c>
      <c r="M492" s="16">
        <f>IF(NOT(Paths!$C$51=1),0,IF(Paths!$P$51="Complete",IF(AND(Paths!$D$51="EV",Paths!$E$51&lt;120,Paths!$E$51+'Operating costs'!$B$65&gt;Paths!$E$51,Paths!$E$51+'Operating costs'!$B$65&lt;=120,IF(Paths!$E$51+'Operating costs'!$B$65=0,C492=0,AND(C492&gt;0,Paths!$E$51+'Operating costs'!$B$65&gt;(C492-1)*12,Paths!$E$51+'Operating costs'!$B$65&lt;=C492*12))),'Operating costs'!$B$64,0)+IF(AND('Operating costs'!$B$67&gt;0,'Operating costs'!$B$67&lt;=120,OR(Paths!$D$51="ICE",'Operating costs'!$B$67&lt;=Paths!$E$51),IF('Operating costs'!$B$67=0,C492=0,AND(C492&gt;0,'Operating costs'!$B$67&gt;(C492-1)*12,'Operating costs'!$B$67&lt;=C492*12))),'Operating costs'!$B$66,0),"n.a."))</f>
        <v>0</v>
      </c>
      <c r="N492" s="16">
        <f>IF(NOT(Paths!$C$51=1),0,IF(Paths!$P$51="Complete",SUM(G492:I492)-J492-K492-L492+M492+IF(C492=0,Paths!$F$51,0)+IF(IF(Paths!$E$51=0,C492=0,AND(C492&gt;0,Paths!$E$51&gt;(C492-1)*12,Paths!$E$51&lt;=C492*12)),VLOOKUP(A492,'Fleet register'!$A$7:$S$106,16,FALSE),0),"n.a."))</f>
        <v>0</v>
      </c>
      <c r="O492" s="16">
        <f>IF(NOT(Paths!$C$51=1),0,IF(Paths!$P$51="Complete",N492-IF(C492=0,Paths!$F$51,0),"n.a."))</f>
        <v>0</v>
      </c>
      <c r="P492" s="16">
        <f>IF(NOT(Paths!$C$51=1),0,IF(Paths!$P$51="Complete",O492+L492,"n.a."))</f>
        <v>0</v>
      </c>
      <c r="Q492" s="16">
        <f>IF(NOT(Paths!$C$51=1),0,IF(Paths!$P$51="Complete",N492*(1+'Operating costs'!$B$54)^-C492,"n.a."))</f>
        <v>0</v>
      </c>
      <c r="R492" s="16">
        <f>IF(NOT(Paths!$C$51=1),0,IF(Paths!$P$51="Complete",IF(AND(C492=0,Paths!$E$51=0),I492-J492-K492+VLOOKUP(A492,'Fleet register'!$A$7:$S$106,15,FALSE)+VLOOKUP(A492,'Fleet register'!$A$7:$S$106,16,FALSE),0),"n.a."))</f>
        <v>0</v>
      </c>
      <c r="S492" s="1">
        <f>IF(NOT(Paths!$C$51=1),0,IF(Paths!$P$51="Complete",IF(C492=0,0,Paths!$S$51*Paths!$R$51),"n.a."))</f>
        <v>0</v>
      </c>
      <c r="T492" s="1">
        <f>IF(NOT(Paths!$C$51=1),0,IF(Paths!$P$51="Complete",IF(C492=0,0,VLOOKUP(A492,'Fleet register'!$A$7:$S$106,9,FALSE)*Paths!$R$51),"n.a."))</f>
        <v>0</v>
      </c>
    </row>
    <row r="493" spans="1:20" ht="24" customHeight="1">
      <c r="A493" s="1" t="str">
        <f>Paths!$A$51</f>
        <v>T012</v>
      </c>
      <c r="B493" s="1">
        <f>Paths!$B$51</f>
        <v>0</v>
      </c>
      <c r="C493" s="1">
        <v>2</v>
      </c>
      <c r="D493" s="1">
        <v>51</v>
      </c>
      <c r="E493" s="1">
        <f>IF(OR(Paths!$C$51=0,C493=0),0,MAX(0,MIN(C493*12,Paths!$E$51)-(C493-1)*12))</f>
        <v>0</v>
      </c>
      <c r="F493" s="1">
        <f>IF(OR(Paths!$C$51=0,C493=0),0,12-E493)</f>
        <v>0</v>
      </c>
      <c r="G493" s="16">
        <f>IF(NOT(Paths!$C$51=1),0,IF(Paths!$P$51="Complete",E493/12*(Paths!$J$51*(1+'Operating costs'!$B$51)^MAX(0,C493-1)+Paths!$K$51*(1+'Operating costs'!$B$53)^MAX(0,C493-1)),"n.a."))</f>
        <v>0</v>
      </c>
      <c r="H493" s="16">
        <f>IF(NOT(Paths!$C$51=1),0,IF(Paths!$P$51="Complete",F493/12*(Paths!$L$51*(1+IF(Paths!$D$51="EV",'Operating costs'!$B$52,'Operating costs'!$B$51))^MAX(0,C493-1)+Paths!$M$51*(1+'Operating costs'!$B$53)^MAX(0,C493-1)),"n.a."))</f>
        <v>0</v>
      </c>
      <c r="I493" s="16">
        <f>IF(NOT(Paths!$C$51=1),0,IF(Paths!$P$51="Complete",IF(IF(Paths!$E$51=0,C493=0,AND(C493&gt;0,Paths!$E$51&gt;(C493-1)*12,Paths!$E$51&lt;=C493*12)),Paths!$G$51,0),"n.a."))</f>
        <v>0</v>
      </c>
      <c r="J493" s="16">
        <f>IF(NOT(Paths!$C$51=1),0,IF(Paths!$P$51="Complete",IF(IF(Paths!$E$51=0,C493=0,AND(C493&gt;0,Paths!$E$51&gt;(C493-1)*12,Paths!$E$51&lt;=C493*12)),Paths!$H$51,0),"n.a."))</f>
        <v>0</v>
      </c>
      <c r="K493" s="16">
        <f>IF(NOT(Paths!$C$51=1),0,IF(Paths!$P$51="Complete",IF(IF(Paths!$O$51=0,C493=0,AND(C493&gt;0,Paths!$O$51&gt;(C493-1)*12,Paths!$O$51&lt;=C493*12)),Paths!$N$51,0),"n.a."))</f>
        <v>0</v>
      </c>
      <c r="L493" s="16">
        <f>IF(NOT(Paths!$C$51=1),0,IF(Paths!$P$51="Complete",IF(C493=10,Paths!$I$51,0),"n.a."))</f>
        <v>0</v>
      </c>
      <c r="M493" s="16">
        <f>IF(NOT(Paths!$C$51=1),0,IF(Paths!$P$51="Complete",IF(AND(Paths!$D$51="EV",Paths!$E$51&lt;120,Paths!$E$51+'Operating costs'!$B$65&gt;Paths!$E$51,Paths!$E$51+'Operating costs'!$B$65&lt;=120,IF(Paths!$E$51+'Operating costs'!$B$65=0,C493=0,AND(C493&gt;0,Paths!$E$51+'Operating costs'!$B$65&gt;(C493-1)*12,Paths!$E$51+'Operating costs'!$B$65&lt;=C493*12))),'Operating costs'!$B$64,0)+IF(AND('Operating costs'!$B$67&gt;0,'Operating costs'!$B$67&lt;=120,OR(Paths!$D$51="ICE",'Operating costs'!$B$67&lt;=Paths!$E$51),IF('Operating costs'!$B$67=0,C493=0,AND(C493&gt;0,'Operating costs'!$B$67&gt;(C493-1)*12,'Operating costs'!$B$67&lt;=C493*12))),'Operating costs'!$B$66,0),"n.a."))</f>
        <v>0</v>
      </c>
      <c r="N493" s="16">
        <f>IF(NOT(Paths!$C$51=1),0,IF(Paths!$P$51="Complete",SUM(G493:I493)-J493-K493-L493+M493+IF(C493=0,Paths!$F$51,0)+IF(IF(Paths!$E$51=0,C493=0,AND(C493&gt;0,Paths!$E$51&gt;(C493-1)*12,Paths!$E$51&lt;=C493*12)),VLOOKUP(A493,'Fleet register'!$A$7:$S$106,16,FALSE),0),"n.a."))</f>
        <v>0</v>
      </c>
      <c r="O493" s="16">
        <f>IF(NOT(Paths!$C$51=1),0,IF(Paths!$P$51="Complete",N493-IF(C493=0,Paths!$F$51,0),"n.a."))</f>
        <v>0</v>
      </c>
      <c r="P493" s="16">
        <f>IF(NOT(Paths!$C$51=1),0,IF(Paths!$P$51="Complete",O493+L493,"n.a."))</f>
        <v>0</v>
      </c>
      <c r="Q493" s="16">
        <f>IF(NOT(Paths!$C$51=1),0,IF(Paths!$P$51="Complete",N493*(1+'Operating costs'!$B$54)^-C493,"n.a."))</f>
        <v>0</v>
      </c>
      <c r="R493" s="16">
        <f>IF(NOT(Paths!$C$51=1),0,IF(Paths!$P$51="Complete",IF(AND(C493=0,Paths!$E$51=0),I493-J493-K493+VLOOKUP(A493,'Fleet register'!$A$7:$S$106,15,FALSE)+VLOOKUP(A493,'Fleet register'!$A$7:$S$106,16,FALSE),0),"n.a."))</f>
        <v>0</v>
      </c>
      <c r="S493" s="1">
        <f>IF(NOT(Paths!$C$51=1),0,IF(Paths!$P$51="Complete",IF(C493=0,0,Paths!$S$51*Paths!$R$51),"n.a."))</f>
        <v>0</v>
      </c>
      <c r="T493" s="1">
        <f>IF(NOT(Paths!$C$51=1),0,IF(Paths!$P$51="Complete",IF(C493=0,0,VLOOKUP(A493,'Fleet register'!$A$7:$S$106,9,FALSE)*Paths!$R$51),"n.a."))</f>
        <v>0</v>
      </c>
    </row>
    <row r="494" spans="1:20" ht="24" customHeight="1">
      <c r="A494" s="1" t="str">
        <f>Paths!$A$51</f>
        <v>T012</v>
      </c>
      <c r="B494" s="1">
        <f>Paths!$B$51</f>
        <v>0</v>
      </c>
      <c r="C494" s="1">
        <v>3</v>
      </c>
      <c r="D494" s="1">
        <v>51</v>
      </c>
      <c r="E494" s="1">
        <f>IF(OR(Paths!$C$51=0,C494=0),0,MAX(0,MIN(C494*12,Paths!$E$51)-(C494-1)*12))</f>
        <v>0</v>
      </c>
      <c r="F494" s="1">
        <f>IF(OR(Paths!$C$51=0,C494=0),0,12-E494)</f>
        <v>0</v>
      </c>
      <c r="G494" s="16">
        <f>IF(NOT(Paths!$C$51=1),0,IF(Paths!$P$51="Complete",E494/12*(Paths!$J$51*(1+'Operating costs'!$B$51)^MAX(0,C494-1)+Paths!$K$51*(1+'Operating costs'!$B$53)^MAX(0,C494-1)),"n.a."))</f>
        <v>0</v>
      </c>
      <c r="H494" s="16">
        <f>IF(NOT(Paths!$C$51=1),0,IF(Paths!$P$51="Complete",F494/12*(Paths!$L$51*(1+IF(Paths!$D$51="EV",'Operating costs'!$B$52,'Operating costs'!$B$51))^MAX(0,C494-1)+Paths!$M$51*(1+'Operating costs'!$B$53)^MAX(0,C494-1)),"n.a."))</f>
        <v>0</v>
      </c>
      <c r="I494" s="16">
        <f>IF(NOT(Paths!$C$51=1),0,IF(Paths!$P$51="Complete",IF(IF(Paths!$E$51=0,C494=0,AND(C494&gt;0,Paths!$E$51&gt;(C494-1)*12,Paths!$E$51&lt;=C494*12)),Paths!$G$51,0),"n.a."))</f>
        <v>0</v>
      </c>
      <c r="J494" s="16">
        <f>IF(NOT(Paths!$C$51=1),0,IF(Paths!$P$51="Complete",IF(IF(Paths!$E$51=0,C494=0,AND(C494&gt;0,Paths!$E$51&gt;(C494-1)*12,Paths!$E$51&lt;=C494*12)),Paths!$H$51,0),"n.a."))</f>
        <v>0</v>
      </c>
      <c r="K494" s="16">
        <f>IF(NOT(Paths!$C$51=1),0,IF(Paths!$P$51="Complete",IF(IF(Paths!$O$51=0,C494=0,AND(C494&gt;0,Paths!$O$51&gt;(C494-1)*12,Paths!$O$51&lt;=C494*12)),Paths!$N$51,0),"n.a."))</f>
        <v>0</v>
      </c>
      <c r="L494" s="16">
        <f>IF(NOT(Paths!$C$51=1),0,IF(Paths!$P$51="Complete",IF(C494=10,Paths!$I$51,0),"n.a."))</f>
        <v>0</v>
      </c>
      <c r="M494" s="16">
        <f>IF(NOT(Paths!$C$51=1),0,IF(Paths!$P$51="Complete",IF(AND(Paths!$D$51="EV",Paths!$E$51&lt;120,Paths!$E$51+'Operating costs'!$B$65&gt;Paths!$E$51,Paths!$E$51+'Operating costs'!$B$65&lt;=120,IF(Paths!$E$51+'Operating costs'!$B$65=0,C494=0,AND(C494&gt;0,Paths!$E$51+'Operating costs'!$B$65&gt;(C494-1)*12,Paths!$E$51+'Operating costs'!$B$65&lt;=C494*12))),'Operating costs'!$B$64,0)+IF(AND('Operating costs'!$B$67&gt;0,'Operating costs'!$B$67&lt;=120,OR(Paths!$D$51="ICE",'Operating costs'!$B$67&lt;=Paths!$E$51),IF('Operating costs'!$B$67=0,C494=0,AND(C494&gt;0,'Operating costs'!$B$67&gt;(C494-1)*12,'Operating costs'!$B$67&lt;=C494*12))),'Operating costs'!$B$66,0),"n.a."))</f>
        <v>0</v>
      </c>
      <c r="N494" s="16">
        <f>IF(NOT(Paths!$C$51=1),0,IF(Paths!$P$51="Complete",SUM(G494:I494)-J494-K494-L494+M494+IF(C494=0,Paths!$F$51,0)+IF(IF(Paths!$E$51=0,C494=0,AND(C494&gt;0,Paths!$E$51&gt;(C494-1)*12,Paths!$E$51&lt;=C494*12)),VLOOKUP(A494,'Fleet register'!$A$7:$S$106,16,FALSE),0),"n.a."))</f>
        <v>0</v>
      </c>
      <c r="O494" s="16">
        <f>IF(NOT(Paths!$C$51=1),0,IF(Paths!$P$51="Complete",N494-IF(C494=0,Paths!$F$51,0),"n.a."))</f>
        <v>0</v>
      </c>
      <c r="P494" s="16">
        <f>IF(NOT(Paths!$C$51=1),0,IF(Paths!$P$51="Complete",O494+L494,"n.a."))</f>
        <v>0</v>
      </c>
      <c r="Q494" s="16">
        <f>IF(NOT(Paths!$C$51=1),0,IF(Paths!$P$51="Complete",N494*(1+'Operating costs'!$B$54)^-C494,"n.a."))</f>
        <v>0</v>
      </c>
      <c r="R494" s="16">
        <f>IF(NOT(Paths!$C$51=1),0,IF(Paths!$P$51="Complete",IF(AND(C494=0,Paths!$E$51=0),I494-J494-K494+VLOOKUP(A494,'Fleet register'!$A$7:$S$106,15,FALSE)+VLOOKUP(A494,'Fleet register'!$A$7:$S$106,16,FALSE),0),"n.a."))</f>
        <v>0</v>
      </c>
      <c r="S494" s="1">
        <f>IF(NOT(Paths!$C$51=1),0,IF(Paths!$P$51="Complete",IF(C494=0,0,Paths!$S$51*Paths!$R$51),"n.a."))</f>
        <v>0</v>
      </c>
      <c r="T494" s="1">
        <f>IF(NOT(Paths!$C$51=1),0,IF(Paths!$P$51="Complete",IF(C494=0,0,VLOOKUP(A494,'Fleet register'!$A$7:$S$106,9,FALSE)*Paths!$R$51),"n.a."))</f>
        <v>0</v>
      </c>
    </row>
    <row r="495" spans="1:20" ht="24" customHeight="1">
      <c r="A495" s="1" t="str">
        <f>Paths!$A$51</f>
        <v>T012</v>
      </c>
      <c r="B495" s="1">
        <f>Paths!$B$51</f>
        <v>0</v>
      </c>
      <c r="C495" s="1">
        <v>4</v>
      </c>
      <c r="D495" s="1">
        <v>51</v>
      </c>
      <c r="E495" s="1">
        <f>IF(OR(Paths!$C$51=0,C495=0),0,MAX(0,MIN(C495*12,Paths!$E$51)-(C495-1)*12))</f>
        <v>0</v>
      </c>
      <c r="F495" s="1">
        <f>IF(OR(Paths!$C$51=0,C495=0),0,12-E495)</f>
        <v>0</v>
      </c>
      <c r="G495" s="16">
        <f>IF(NOT(Paths!$C$51=1),0,IF(Paths!$P$51="Complete",E495/12*(Paths!$J$51*(1+'Operating costs'!$B$51)^MAX(0,C495-1)+Paths!$K$51*(1+'Operating costs'!$B$53)^MAX(0,C495-1)),"n.a."))</f>
        <v>0</v>
      </c>
      <c r="H495" s="16">
        <f>IF(NOT(Paths!$C$51=1),0,IF(Paths!$P$51="Complete",F495/12*(Paths!$L$51*(1+IF(Paths!$D$51="EV",'Operating costs'!$B$52,'Operating costs'!$B$51))^MAX(0,C495-1)+Paths!$M$51*(1+'Operating costs'!$B$53)^MAX(0,C495-1)),"n.a."))</f>
        <v>0</v>
      </c>
      <c r="I495" s="16">
        <f>IF(NOT(Paths!$C$51=1),0,IF(Paths!$P$51="Complete",IF(IF(Paths!$E$51=0,C495=0,AND(C495&gt;0,Paths!$E$51&gt;(C495-1)*12,Paths!$E$51&lt;=C495*12)),Paths!$G$51,0),"n.a."))</f>
        <v>0</v>
      </c>
      <c r="J495" s="16">
        <f>IF(NOT(Paths!$C$51=1),0,IF(Paths!$P$51="Complete",IF(IF(Paths!$E$51=0,C495=0,AND(C495&gt;0,Paths!$E$51&gt;(C495-1)*12,Paths!$E$51&lt;=C495*12)),Paths!$H$51,0),"n.a."))</f>
        <v>0</v>
      </c>
      <c r="K495" s="16">
        <f>IF(NOT(Paths!$C$51=1),0,IF(Paths!$P$51="Complete",IF(IF(Paths!$O$51=0,C495=0,AND(C495&gt;0,Paths!$O$51&gt;(C495-1)*12,Paths!$O$51&lt;=C495*12)),Paths!$N$51,0),"n.a."))</f>
        <v>0</v>
      </c>
      <c r="L495" s="16">
        <f>IF(NOT(Paths!$C$51=1),0,IF(Paths!$P$51="Complete",IF(C495=10,Paths!$I$51,0),"n.a."))</f>
        <v>0</v>
      </c>
      <c r="M495" s="16">
        <f>IF(NOT(Paths!$C$51=1),0,IF(Paths!$P$51="Complete",IF(AND(Paths!$D$51="EV",Paths!$E$51&lt;120,Paths!$E$51+'Operating costs'!$B$65&gt;Paths!$E$51,Paths!$E$51+'Operating costs'!$B$65&lt;=120,IF(Paths!$E$51+'Operating costs'!$B$65=0,C495=0,AND(C495&gt;0,Paths!$E$51+'Operating costs'!$B$65&gt;(C495-1)*12,Paths!$E$51+'Operating costs'!$B$65&lt;=C495*12))),'Operating costs'!$B$64,0)+IF(AND('Operating costs'!$B$67&gt;0,'Operating costs'!$B$67&lt;=120,OR(Paths!$D$51="ICE",'Operating costs'!$B$67&lt;=Paths!$E$51),IF('Operating costs'!$B$67=0,C495=0,AND(C495&gt;0,'Operating costs'!$B$67&gt;(C495-1)*12,'Operating costs'!$B$67&lt;=C495*12))),'Operating costs'!$B$66,0),"n.a."))</f>
        <v>0</v>
      </c>
      <c r="N495" s="16">
        <f>IF(NOT(Paths!$C$51=1),0,IF(Paths!$P$51="Complete",SUM(G495:I495)-J495-K495-L495+M495+IF(C495=0,Paths!$F$51,0)+IF(IF(Paths!$E$51=0,C495=0,AND(C495&gt;0,Paths!$E$51&gt;(C495-1)*12,Paths!$E$51&lt;=C495*12)),VLOOKUP(A495,'Fleet register'!$A$7:$S$106,16,FALSE),0),"n.a."))</f>
        <v>0</v>
      </c>
      <c r="O495" s="16">
        <f>IF(NOT(Paths!$C$51=1),0,IF(Paths!$P$51="Complete",N495-IF(C495=0,Paths!$F$51,0),"n.a."))</f>
        <v>0</v>
      </c>
      <c r="P495" s="16">
        <f>IF(NOT(Paths!$C$51=1),0,IF(Paths!$P$51="Complete",O495+L495,"n.a."))</f>
        <v>0</v>
      </c>
      <c r="Q495" s="16">
        <f>IF(NOT(Paths!$C$51=1),0,IF(Paths!$P$51="Complete",N495*(1+'Operating costs'!$B$54)^-C495,"n.a."))</f>
        <v>0</v>
      </c>
      <c r="R495" s="16">
        <f>IF(NOT(Paths!$C$51=1),0,IF(Paths!$P$51="Complete",IF(AND(C495=0,Paths!$E$51=0),I495-J495-K495+VLOOKUP(A495,'Fleet register'!$A$7:$S$106,15,FALSE)+VLOOKUP(A495,'Fleet register'!$A$7:$S$106,16,FALSE),0),"n.a."))</f>
        <v>0</v>
      </c>
      <c r="S495" s="1">
        <f>IF(NOT(Paths!$C$51=1),0,IF(Paths!$P$51="Complete",IF(C495=0,0,Paths!$S$51*Paths!$R$51),"n.a."))</f>
        <v>0</v>
      </c>
      <c r="T495" s="1">
        <f>IF(NOT(Paths!$C$51=1),0,IF(Paths!$P$51="Complete",IF(C495=0,0,VLOOKUP(A495,'Fleet register'!$A$7:$S$106,9,FALSE)*Paths!$R$51),"n.a."))</f>
        <v>0</v>
      </c>
    </row>
    <row r="496" spans="1:20" ht="24" customHeight="1">
      <c r="A496" s="1" t="str">
        <f>Paths!$A$51</f>
        <v>T012</v>
      </c>
      <c r="B496" s="1">
        <f>Paths!$B$51</f>
        <v>0</v>
      </c>
      <c r="C496" s="1">
        <v>5</v>
      </c>
      <c r="D496" s="1">
        <v>51</v>
      </c>
      <c r="E496" s="1">
        <f>IF(OR(Paths!$C$51=0,C496=0),0,MAX(0,MIN(C496*12,Paths!$E$51)-(C496-1)*12))</f>
        <v>0</v>
      </c>
      <c r="F496" s="1">
        <f>IF(OR(Paths!$C$51=0,C496=0),0,12-E496)</f>
        <v>0</v>
      </c>
      <c r="G496" s="16">
        <f>IF(NOT(Paths!$C$51=1),0,IF(Paths!$P$51="Complete",E496/12*(Paths!$J$51*(1+'Operating costs'!$B$51)^MAX(0,C496-1)+Paths!$K$51*(1+'Operating costs'!$B$53)^MAX(0,C496-1)),"n.a."))</f>
        <v>0</v>
      </c>
      <c r="H496" s="16">
        <f>IF(NOT(Paths!$C$51=1),0,IF(Paths!$P$51="Complete",F496/12*(Paths!$L$51*(1+IF(Paths!$D$51="EV",'Operating costs'!$B$52,'Operating costs'!$B$51))^MAX(0,C496-1)+Paths!$M$51*(1+'Operating costs'!$B$53)^MAX(0,C496-1)),"n.a."))</f>
        <v>0</v>
      </c>
      <c r="I496" s="16">
        <f>IF(NOT(Paths!$C$51=1),0,IF(Paths!$P$51="Complete",IF(IF(Paths!$E$51=0,C496=0,AND(C496&gt;0,Paths!$E$51&gt;(C496-1)*12,Paths!$E$51&lt;=C496*12)),Paths!$G$51,0),"n.a."))</f>
        <v>0</v>
      </c>
      <c r="J496" s="16">
        <f>IF(NOT(Paths!$C$51=1),0,IF(Paths!$P$51="Complete",IF(IF(Paths!$E$51=0,C496=0,AND(C496&gt;0,Paths!$E$51&gt;(C496-1)*12,Paths!$E$51&lt;=C496*12)),Paths!$H$51,0),"n.a."))</f>
        <v>0</v>
      </c>
      <c r="K496" s="16">
        <f>IF(NOT(Paths!$C$51=1),0,IF(Paths!$P$51="Complete",IF(IF(Paths!$O$51=0,C496=0,AND(C496&gt;0,Paths!$O$51&gt;(C496-1)*12,Paths!$O$51&lt;=C496*12)),Paths!$N$51,0),"n.a."))</f>
        <v>0</v>
      </c>
      <c r="L496" s="16">
        <f>IF(NOT(Paths!$C$51=1),0,IF(Paths!$P$51="Complete",IF(C496=10,Paths!$I$51,0),"n.a."))</f>
        <v>0</v>
      </c>
      <c r="M496" s="16">
        <f>IF(NOT(Paths!$C$51=1),0,IF(Paths!$P$51="Complete",IF(AND(Paths!$D$51="EV",Paths!$E$51&lt;120,Paths!$E$51+'Operating costs'!$B$65&gt;Paths!$E$51,Paths!$E$51+'Operating costs'!$B$65&lt;=120,IF(Paths!$E$51+'Operating costs'!$B$65=0,C496=0,AND(C496&gt;0,Paths!$E$51+'Operating costs'!$B$65&gt;(C496-1)*12,Paths!$E$51+'Operating costs'!$B$65&lt;=C496*12))),'Operating costs'!$B$64,0)+IF(AND('Operating costs'!$B$67&gt;0,'Operating costs'!$B$67&lt;=120,OR(Paths!$D$51="ICE",'Operating costs'!$B$67&lt;=Paths!$E$51),IF('Operating costs'!$B$67=0,C496=0,AND(C496&gt;0,'Operating costs'!$B$67&gt;(C496-1)*12,'Operating costs'!$B$67&lt;=C496*12))),'Operating costs'!$B$66,0),"n.a."))</f>
        <v>0</v>
      </c>
      <c r="N496" s="16">
        <f>IF(NOT(Paths!$C$51=1),0,IF(Paths!$P$51="Complete",SUM(G496:I496)-J496-K496-L496+M496+IF(C496=0,Paths!$F$51,0)+IF(IF(Paths!$E$51=0,C496=0,AND(C496&gt;0,Paths!$E$51&gt;(C496-1)*12,Paths!$E$51&lt;=C496*12)),VLOOKUP(A496,'Fleet register'!$A$7:$S$106,16,FALSE),0),"n.a."))</f>
        <v>0</v>
      </c>
      <c r="O496" s="16">
        <f>IF(NOT(Paths!$C$51=1),0,IF(Paths!$P$51="Complete",N496-IF(C496=0,Paths!$F$51,0),"n.a."))</f>
        <v>0</v>
      </c>
      <c r="P496" s="16">
        <f>IF(NOT(Paths!$C$51=1),0,IF(Paths!$P$51="Complete",O496+L496,"n.a."))</f>
        <v>0</v>
      </c>
      <c r="Q496" s="16">
        <f>IF(NOT(Paths!$C$51=1),0,IF(Paths!$P$51="Complete",N496*(1+'Operating costs'!$B$54)^-C496,"n.a."))</f>
        <v>0</v>
      </c>
      <c r="R496" s="16">
        <f>IF(NOT(Paths!$C$51=1),0,IF(Paths!$P$51="Complete",IF(AND(C496=0,Paths!$E$51=0),I496-J496-K496+VLOOKUP(A496,'Fleet register'!$A$7:$S$106,15,FALSE)+VLOOKUP(A496,'Fleet register'!$A$7:$S$106,16,FALSE),0),"n.a."))</f>
        <v>0</v>
      </c>
      <c r="S496" s="1">
        <f>IF(NOT(Paths!$C$51=1),0,IF(Paths!$P$51="Complete",IF(C496=0,0,Paths!$S$51*Paths!$R$51),"n.a."))</f>
        <v>0</v>
      </c>
      <c r="T496" s="1">
        <f>IF(NOT(Paths!$C$51=1),0,IF(Paths!$P$51="Complete",IF(C496=0,0,VLOOKUP(A496,'Fleet register'!$A$7:$S$106,9,FALSE)*Paths!$R$51),"n.a."))</f>
        <v>0</v>
      </c>
    </row>
    <row r="497" spans="1:20" ht="24" customHeight="1">
      <c r="A497" s="1" t="str">
        <f>Paths!$A$51</f>
        <v>T012</v>
      </c>
      <c r="B497" s="1">
        <f>Paths!$B$51</f>
        <v>0</v>
      </c>
      <c r="C497" s="1">
        <v>6</v>
      </c>
      <c r="D497" s="1">
        <v>51</v>
      </c>
      <c r="E497" s="1">
        <f>IF(OR(Paths!$C$51=0,C497=0),0,MAX(0,MIN(C497*12,Paths!$E$51)-(C497-1)*12))</f>
        <v>0</v>
      </c>
      <c r="F497" s="1">
        <f>IF(OR(Paths!$C$51=0,C497=0),0,12-E497)</f>
        <v>0</v>
      </c>
      <c r="G497" s="16">
        <f>IF(NOT(Paths!$C$51=1),0,IF(Paths!$P$51="Complete",E497/12*(Paths!$J$51*(1+'Operating costs'!$B$51)^MAX(0,C497-1)+Paths!$K$51*(1+'Operating costs'!$B$53)^MAX(0,C497-1)),"n.a."))</f>
        <v>0</v>
      </c>
      <c r="H497" s="16">
        <f>IF(NOT(Paths!$C$51=1),0,IF(Paths!$P$51="Complete",F497/12*(Paths!$L$51*(1+IF(Paths!$D$51="EV",'Operating costs'!$B$52,'Operating costs'!$B$51))^MAX(0,C497-1)+Paths!$M$51*(1+'Operating costs'!$B$53)^MAX(0,C497-1)),"n.a."))</f>
        <v>0</v>
      </c>
      <c r="I497" s="16">
        <f>IF(NOT(Paths!$C$51=1),0,IF(Paths!$P$51="Complete",IF(IF(Paths!$E$51=0,C497=0,AND(C497&gt;0,Paths!$E$51&gt;(C497-1)*12,Paths!$E$51&lt;=C497*12)),Paths!$G$51,0),"n.a."))</f>
        <v>0</v>
      </c>
      <c r="J497" s="16">
        <f>IF(NOT(Paths!$C$51=1),0,IF(Paths!$P$51="Complete",IF(IF(Paths!$E$51=0,C497=0,AND(C497&gt;0,Paths!$E$51&gt;(C497-1)*12,Paths!$E$51&lt;=C497*12)),Paths!$H$51,0),"n.a."))</f>
        <v>0</v>
      </c>
      <c r="K497" s="16">
        <f>IF(NOT(Paths!$C$51=1),0,IF(Paths!$P$51="Complete",IF(IF(Paths!$O$51=0,C497=0,AND(C497&gt;0,Paths!$O$51&gt;(C497-1)*12,Paths!$O$51&lt;=C497*12)),Paths!$N$51,0),"n.a."))</f>
        <v>0</v>
      </c>
      <c r="L497" s="16">
        <f>IF(NOT(Paths!$C$51=1),0,IF(Paths!$P$51="Complete",IF(C497=10,Paths!$I$51,0),"n.a."))</f>
        <v>0</v>
      </c>
      <c r="M497" s="16">
        <f>IF(NOT(Paths!$C$51=1),0,IF(Paths!$P$51="Complete",IF(AND(Paths!$D$51="EV",Paths!$E$51&lt;120,Paths!$E$51+'Operating costs'!$B$65&gt;Paths!$E$51,Paths!$E$51+'Operating costs'!$B$65&lt;=120,IF(Paths!$E$51+'Operating costs'!$B$65=0,C497=0,AND(C497&gt;0,Paths!$E$51+'Operating costs'!$B$65&gt;(C497-1)*12,Paths!$E$51+'Operating costs'!$B$65&lt;=C497*12))),'Operating costs'!$B$64,0)+IF(AND('Operating costs'!$B$67&gt;0,'Operating costs'!$B$67&lt;=120,OR(Paths!$D$51="ICE",'Operating costs'!$B$67&lt;=Paths!$E$51),IF('Operating costs'!$B$67=0,C497=0,AND(C497&gt;0,'Operating costs'!$B$67&gt;(C497-1)*12,'Operating costs'!$B$67&lt;=C497*12))),'Operating costs'!$B$66,0),"n.a."))</f>
        <v>0</v>
      </c>
      <c r="N497" s="16">
        <f>IF(NOT(Paths!$C$51=1),0,IF(Paths!$P$51="Complete",SUM(G497:I497)-J497-K497-L497+M497+IF(C497=0,Paths!$F$51,0)+IF(IF(Paths!$E$51=0,C497=0,AND(C497&gt;0,Paths!$E$51&gt;(C497-1)*12,Paths!$E$51&lt;=C497*12)),VLOOKUP(A497,'Fleet register'!$A$7:$S$106,16,FALSE),0),"n.a."))</f>
        <v>0</v>
      </c>
      <c r="O497" s="16">
        <f>IF(NOT(Paths!$C$51=1),0,IF(Paths!$P$51="Complete",N497-IF(C497=0,Paths!$F$51,0),"n.a."))</f>
        <v>0</v>
      </c>
      <c r="P497" s="16">
        <f>IF(NOT(Paths!$C$51=1),0,IF(Paths!$P$51="Complete",O497+L497,"n.a."))</f>
        <v>0</v>
      </c>
      <c r="Q497" s="16">
        <f>IF(NOT(Paths!$C$51=1),0,IF(Paths!$P$51="Complete",N497*(1+'Operating costs'!$B$54)^-C497,"n.a."))</f>
        <v>0</v>
      </c>
      <c r="R497" s="16">
        <f>IF(NOT(Paths!$C$51=1),0,IF(Paths!$P$51="Complete",IF(AND(C497=0,Paths!$E$51=0),I497-J497-K497+VLOOKUP(A497,'Fleet register'!$A$7:$S$106,15,FALSE)+VLOOKUP(A497,'Fleet register'!$A$7:$S$106,16,FALSE),0),"n.a."))</f>
        <v>0</v>
      </c>
      <c r="S497" s="1">
        <f>IF(NOT(Paths!$C$51=1),0,IF(Paths!$P$51="Complete",IF(C497=0,0,Paths!$S$51*Paths!$R$51),"n.a."))</f>
        <v>0</v>
      </c>
      <c r="T497" s="1">
        <f>IF(NOT(Paths!$C$51=1),0,IF(Paths!$P$51="Complete",IF(C497=0,0,VLOOKUP(A497,'Fleet register'!$A$7:$S$106,9,FALSE)*Paths!$R$51),"n.a."))</f>
        <v>0</v>
      </c>
    </row>
    <row r="498" spans="1:20" ht="24" customHeight="1">
      <c r="A498" s="1" t="str">
        <f>Paths!$A$51</f>
        <v>T012</v>
      </c>
      <c r="B498" s="1">
        <f>Paths!$B$51</f>
        <v>0</v>
      </c>
      <c r="C498" s="1">
        <v>7</v>
      </c>
      <c r="D498" s="1">
        <v>51</v>
      </c>
      <c r="E498" s="1">
        <f>IF(OR(Paths!$C$51=0,C498=0),0,MAX(0,MIN(C498*12,Paths!$E$51)-(C498-1)*12))</f>
        <v>0</v>
      </c>
      <c r="F498" s="1">
        <f>IF(OR(Paths!$C$51=0,C498=0),0,12-E498)</f>
        <v>0</v>
      </c>
      <c r="G498" s="16">
        <f>IF(NOT(Paths!$C$51=1),0,IF(Paths!$P$51="Complete",E498/12*(Paths!$J$51*(1+'Operating costs'!$B$51)^MAX(0,C498-1)+Paths!$K$51*(1+'Operating costs'!$B$53)^MAX(0,C498-1)),"n.a."))</f>
        <v>0</v>
      </c>
      <c r="H498" s="16">
        <f>IF(NOT(Paths!$C$51=1),0,IF(Paths!$P$51="Complete",F498/12*(Paths!$L$51*(1+IF(Paths!$D$51="EV",'Operating costs'!$B$52,'Operating costs'!$B$51))^MAX(0,C498-1)+Paths!$M$51*(1+'Operating costs'!$B$53)^MAX(0,C498-1)),"n.a."))</f>
        <v>0</v>
      </c>
      <c r="I498" s="16">
        <f>IF(NOT(Paths!$C$51=1),0,IF(Paths!$P$51="Complete",IF(IF(Paths!$E$51=0,C498=0,AND(C498&gt;0,Paths!$E$51&gt;(C498-1)*12,Paths!$E$51&lt;=C498*12)),Paths!$G$51,0),"n.a."))</f>
        <v>0</v>
      </c>
      <c r="J498" s="16">
        <f>IF(NOT(Paths!$C$51=1),0,IF(Paths!$P$51="Complete",IF(IF(Paths!$E$51=0,C498=0,AND(C498&gt;0,Paths!$E$51&gt;(C498-1)*12,Paths!$E$51&lt;=C498*12)),Paths!$H$51,0),"n.a."))</f>
        <v>0</v>
      </c>
      <c r="K498" s="16">
        <f>IF(NOT(Paths!$C$51=1),0,IF(Paths!$P$51="Complete",IF(IF(Paths!$O$51=0,C498=0,AND(C498&gt;0,Paths!$O$51&gt;(C498-1)*12,Paths!$O$51&lt;=C498*12)),Paths!$N$51,0),"n.a."))</f>
        <v>0</v>
      </c>
      <c r="L498" s="16">
        <f>IF(NOT(Paths!$C$51=1),0,IF(Paths!$P$51="Complete",IF(C498=10,Paths!$I$51,0),"n.a."))</f>
        <v>0</v>
      </c>
      <c r="M498" s="16">
        <f>IF(NOT(Paths!$C$51=1),0,IF(Paths!$P$51="Complete",IF(AND(Paths!$D$51="EV",Paths!$E$51&lt;120,Paths!$E$51+'Operating costs'!$B$65&gt;Paths!$E$51,Paths!$E$51+'Operating costs'!$B$65&lt;=120,IF(Paths!$E$51+'Operating costs'!$B$65=0,C498=0,AND(C498&gt;0,Paths!$E$51+'Operating costs'!$B$65&gt;(C498-1)*12,Paths!$E$51+'Operating costs'!$B$65&lt;=C498*12))),'Operating costs'!$B$64,0)+IF(AND('Operating costs'!$B$67&gt;0,'Operating costs'!$B$67&lt;=120,OR(Paths!$D$51="ICE",'Operating costs'!$B$67&lt;=Paths!$E$51),IF('Operating costs'!$B$67=0,C498=0,AND(C498&gt;0,'Operating costs'!$B$67&gt;(C498-1)*12,'Operating costs'!$B$67&lt;=C498*12))),'Operating costs'!$B$66,0),"n.a."))</f>
        <v>0</v>
      </c>
      <c r="N498" s="16">
        <f>IF(NOT(Paths!$C$51=1),0,IF(Paths!$P$51="Complete",SUM(G498:I498)-J498-K498-L498+M498+IF(C498=0,Paths!$F$51,0)+IF(IF(Paths!$E$51=0,C498=0,AND(C498&gt;0,Paths!$E$51&gt;(C498-1)*12,Paths!$E$51&lt;=C498*12)),VLOOKUP(A498,'Fleet register'!$A$7:$S$106,16,FALSE),0),"n.a."))</f>
        <v>0</v>
      </c>
      <c r="O498" s="16">
        <f>IF(NOT(Paths!$C$51=1),0,IF(Paths!$P$51="Complete",N498-IF(C498=0,Paths!$F$51,0),"n.a."))</f>
        <v>0</v>
      </c>
      <c r="P498" s="16">
        <f>IF(NOT(Paths!$C$51=1),0,IF(Paths!$P$51="Complete",O498+L498,"n.a."))</f>
        <v>0</v>
      </c>
      <c r="Q498" s="16">
        <f>IF(NOT(Paths!$C$51=1),0,IF(Paths!$P$51="Complete",N498*(1+'Operating costs'!$B$54)^-C498,"n.a."))</f>
        <v>0</v>
      </c>
      <c r="R498" s="16">
        <f>IF(NOT(Paths!$C$51=1),0,IF(Paths!$P$51="Complete",IF(AND(C498=0,Paths!$E$51=0),I498-J498-K498+VLOOKUP(A498,'Fleet register'!$A$7:$S$106,15,FALSE)+VLOOKUP(A498,'Fleet register'!$A$7:$S$106,16,FALSE),0),"n.a."))</f>
        <v>0</v>
      </c>
      <c r="S498" s="1">
        <f>IF(NOT(Paths!$C$51=1),0,IF(Paths!$P$51="Complete",IF(C498=0,0,Paths!$S$51*Paths!$R$51),"n.a."))</f>
        <v>0</v>
      </c>
      <c r="T498" s="1">
        <f>IF(NOT(Paths!$C$51=1),0,IF(Paths!$P$51="Complete",IF(C498=0,0,VLOOKUP(A498,'Fleet register'!$A$7:$S$106,9,FALSE)*Paths!$R$51),"n.a."))</f>
        <v>0</v>
      </c>
    </row>
    <row r="499" spans="1:20" ht="24" customHeight="1">
      <c r="A499" s="1" t="str">
        <f>Paths!$A$51</f>
        <v>T012</v>
      </c>
      <c r="B499" s="1">
        <f>Paths!$B$51</f>
        <v>0</v>
      </c>
      <c r="C499" s="1">
        <v>8</v>
      </c>
      <c r="D499" s="1">
        <v>51</v>
      </c>
      <c r="E499" s="1">
        <f>IF(OR(Paths!$C$51=0,C499=0),0,MAX(0,MIN(C499*12,Paths!$E$51)-(C499-1)*12))</f>
        <v>0</v>
      </c>
      <c r="F499" s="1">
        <f>IF(OR(Paths!$C$51=0,C499=0),0,12-E499)</f>
        <v>0</v>
      </c>
      <c r="G499" s="16">
        <f>IF(NOT(Paths!$C$51=1),0,IF(Paths!$P$51="Complete",E499/12*(Paths!$J$51*(1+'Operating costs'!$B$51)^MAX(0,C499-1)+Paths!$K$51*(1+'Operating costs'!$B$53)^MAX(0,C499-1)),"n.a."))</f>
        <v>0</v>
      </c>
      <c r="H499" s="16">
        <f>IF(NOT(Paths!$C$51=1),0,IF(Paths!$P$51="Complete",F499/12*(Paths!$L$51*(1+IF(Paths!$D$51="EV",'Operating costs'!$B$52,'Operating costs'!$B$51))^MAX(0,C499-1)+Paths!$M$51*(1+'Operating costs'!$B$53)^MAX(0,C499-1)),"n.a."))</f>
        <v>0</v>
      </c>
      <c r="I499" s="16">
        <f>IF(NOT(Paths!$C$51=1),0,IF(Paths!$P$51="Complete",IF(IF(Paths!$E$51=0,C499=0,AND(C499&gt;0,Paths!$E$51&gt;(C499-1)*12,Paths!$E$51&lt;=C499*12)),Paths!$G$51,0),"n.a."))</f>
        <v>0</v>
      </c>
      <c r="J499" s="16">
        <f>IF(NOT(Paths!$C$51=1),0,IF(Paths!$P$51="Complete",IF(IF(Paths!$E$51=0,C499=0,AND(C499&gt;0,Paths!$E$51&gt;(C499-1)*12,Paths!$E$51&lt;=C499*12)),Paths!$H$51,0),"n.a."))</f>
        <v>0</v>
      </c>
      <c r="K499" s="16">
        <f>IF(NOT(Paths!$C$51=1),0,IF(Paths!$P$51="Complete",IF(IF(Paths!$O$51=0,C499=0,AND(C499&gt;0,Paths!$O$51&gt;(C499-1)*12,Paths!$O$51&lt;=C499*12)),Paths!$N$51,0),"n.a."))</f>
        <v>0</v>
      </c>
      <c r="L499" s="16">
        <f>IF(NOT(Paths!$C$51=1),0,IF(Paths!$P$51="Complete",IF(C499=10,Paths!$I$51,0),"n.a."))</f>
        <v>0</v>
      </c>
      <c r="M499" s="16">
        <f>IF(NOT(Paths!$C$51=1),0,IF(Paths!$P$51="Complete",IF(AND(Paths!$D$51="EV",Paths!$E$51&lt;120,Paths!$E$51+'Operating costs'!$B$65&gt;Paths!$E$51,Paths!$E$51+'Operating costs'!$B$65&lt;=120,IF(Paths!$E$51+'Operating costs'!$B$65=0,C499=0,AND(C499&gt;0,Paths!$E$51+'Operating costs'!$B$65&gt;(C499-1)*12,Paths!$E$51+'Operating costs'!$B$65&lt;=C499*12))),'Operating costs'!$B$64,0)+IF(AND('Operating costs'!$B$67&gt;0,'Operating costs'!$B$67&lt;=120,OR(Paths!$D$51="ICE",'Operating costs'!$B$67&lt;=Paths!$E$51),IF('Operating costs'!$B$67=0,C499=0,AND(C499&gt;0,'Operating costs'!$B$67&gt;(C499-1)*12,'Operating costs'!$B$67&lt;=C499*12))),'Operating costs'!$B$66,0),"n.a."))</f>
        <v>0</v>
      </c>
      <c r="N499" s="16">
        <f>IF(NOT(Paths!$C$51=1),0,IF(Paths!$P$51="Complete",SUM(G499:I499)-J499-K499-L499+M499+IF(C499=0,Paths!$F$51,0)+IF(IF(Paths!$E$51=0,C499=0,AND(C499&gt;0,Paths!$E$51&gt;(C499-1)*12,Paths!$E$51&lt;=C499*12)),VLOOKUP(A499,'Fleet register'!$A$7:$S$106,16,FALSE),0),"n.a."))</f>
        <v>0</v>
      </c>
      <c r="O499" s="16">
        <f>IF(NOT(Paths!$C$51=1),0,IF(Paths!$P$51="Complete",N499-IF(C499=0,Paths!$F$51,0),"n.a."))</f>
        <v>0</v>
      </c>
      <c r="P499" s="16">
        <f>IF(NOT(Paths!$C$51=1),0,IF(Paths!$P$51="Complete",O499+L499,"n.a."))</f>
        <v>0</v>
      </c>
      <c r="Q499" s="16">
        <f>IF(NOT(Paths!$C$51=1),0,IF(Paths!$P$51="Complete",N499*(1+'Operating costs'!$B$54)^-C499,"n.a."))</f>
        <v>0</v>
      </c>
      <c r="R499" s="16">
        <f>IF(NOT(Paths!$C$51=1),0,IF(Paths!$P$51="Complete",IF(AND(C499=0,Paths!$E$51=0),I499-J499-K499+VLOOKUP(A499,'Fleet register'!$A$7:$S$106,15,FALSE)+VLOOKUP(A499,'Fleet register'!$A$7:$S$106,16,FALSE),0),"n.a."))</f>
        <v>0</v>
      </c>
      <c r="S499" s="1">
        <f>IF(NOT(Paths!$C$51=1),0,IF(Paths!$P$51="Complete",IF(C499=0,0,Paths!$S$51*Paths!$R$51),"n.a."))</f>
        <v>0</v>
      </c>
      <c r="T499" s="1">
        <f>IF(NOT(Paths!$C$51=1),0,IF(Paths!$P$51="Complete",IF(C499=0,0,VLOOKUP(A499,'Fleet register'!$A$7:$S$106,9,FALSE)*Paths!$R$51),"n.a."))</f>
        <v>0</v>
      </c>
    </row>
    <row r="500" spans="1:20" ht="24" customHeight="1">
      <c r="A500" s="1" t="str">
        <f>Paths!$A$51</f>
        <v>T012</v>
      </c>
      <c r="B500" s="1">
        <f>Paths!$B$51</f>
        <v>0</v>
      </c>
      <c r="C500" s="1">
        <v>9</v>
      </c>
      <c r="D500" s="1">
        <v>51</v>
      </c>
      <c r="E500" s="1">
        <f>IF(OR(Paths!$C$51=0,C500=0),0,MAX(0,MIN(C500*12,Paths!$E$51)-(C500-1)*12))</f>
        <v>0</v>
      </c>
      <c r="F500" s="1">
        <f>IF(OR(Paths!$C$51=0,C500=0),0,12-E500)</f>
        <v>0</v>
      </c>
      <c r="G500" s="16">
        <f>IF(NOT(Paths!$C$51=1),0,IF(Paths!$P$51="Complete",E500/12*(Paths!$J$51*(1+'Operating costs'!$B$51)^MAX(0,C500-1)+Paths!$K$51*(1+'Operating costs'!$B$53)^MAX(0,C500-1)),"n.a."))</f>
        <v>0</v>
      </c>
      <c r="H500" s="16">
        <f>IF(NOT(Paths!$C$51=1),0,IF(Paths!$P$51="Complete",F500/12*(Paths!$L$51*(1+IF(Paths!$D$51="EV",'Operating costs'!$B$52,'Operating costs'!$B$51))^MAX(0,C500-1)+Paths!$M$51*(1+'Operating costs'!$B$53)^MAX(0,C500-1)),"n.a."))</f>
        <v>0</v>
      </c>
      <c r="I500" s="16">
        <f>IF(NOT(Paths!$C$51=1),0,IF(Paths!$P$51="Complete",IF(IF(Paths!$E$51=0,C500=0,AND(C500&gt;0,Paths!$E$51&gt;(C500-1)*12,Paths!$E$51&lt;=C500*12)),Paths!$G$51,0),"n.a."))</f>
        <v>0</v>
      </c>
      <c r="J500" s="16">
        <f>IF(NOT(Paths!$C$51=1),0,IF(Paths!$P$51="Complete",IF(IF(Paths!$E$51=0,C500=0,AND(C500&gt;0,Paths!$E$51&gt;(C500-1)*12,Paths!$E$51&lt;=C500*12)),Paths!$H$51,0),"n.a."))</f>
        <v>0</v>
      </c>
      <c r="K500" s="16">
        <f>IF(NOT(Paths!$C$51=1),0,IF(Paths!$P$51="Complete",IF(IF(Paths!$O$51=0,C500=0,AND(C500&gt;0,Paths!$O$51&gt;(C500-1)*12,Paths!$O$51&lt;=C500*12)),Paths!$N$51,0),"n.a."))</f>
        <v>0</v>
      </c>
      <c r="L500" s="16">
        <f>IF(NOT(Paths!$C$51=1),0,IF(Paths!$P$51="Complete",IF(C500=10,Paths!$I$51,0),"n.a."))</f>
        <v>0</v>
      </c>
      <c r="M500" s="16">
        <f>IF(NOT(Paths!$C$51=1),0,IF(Paths!$P$51="Complete",IF(AND(Paths!$D$51="EV",Paths!$E$51&lt;120,Paths!$E$51+'Operating costs'!$B$65&gt;Paths!$E$51,Paths!$E$51+'Operating costs'!$B$65&lt;=120,IF(Paths!$E$51+'Operating costs'!$B$65=0,C500=0,AND(C500&gt;0,Paths!$E$51+'Operating costs'!$B$65&gt;(C500-1)*12,Paths!$E$51+'Operating costs'!$B$65&lt;=C500*12))),'Operating costs'!$B$64,0)+IF(AND('Operating costs'!$B$67&gt;0,'Operating costs'!$B$67&lt;=120,OR(Paths!$D$51="ICE",'Operating costs'!$B$67&lt;=Paths!$E$51),IF('Operating costs'!$B$67=0,C500=0,AND(C500&gt;0,'Operating costs'!$B$67&gt;(C500-1)*12,'Operating costs'!$B$67&lt;=C500*12))),'Operating costs'!$B$66,0),"n.a."))</f>
        <v>0</v>
      </c>
      <c r="N500" s="16">
        <f>IF(NOT(Paths!$C$51=1),0,IF(Paths!$P$51="Complete",SUM(G500:I500)-J500-K500-L500+M500+IF(C500=0,Paths!$F$51,0)+IF(IF(Paths!$E$51=0,C500=0,AND(C500&gt;0,Paths!$E$51&gt;(C500-1)*12,Paths!$E$51&lt;=C500*12)),VLOOKUP(A500,'Fleet register'!$A$7:$S$106,16,FALSE),0),"n.a."))</f>
        <v>0</v>
      </c>
      <c r="O500" s="16">
        <f>IF(NOT(Paths!$C$51=1),0,IF(Paths!$P$51="Complete",N500-IF(C500=0,Paths!$F$51,0),"n.a."))</f>
        <v>0</v>
      </c>
      <c r="P500" s="16">
        <f>IF(NOT(Paths!$C$51=1),0,IF(Paths!$P$51="Complete",O500+L500,"n.a."))</f>
        <v>0</v>
      </c>
      <c r="Q500" s="16">
        <f>IF(NOT(Paths!$C$51=1),0,IF(Paths!$P$51="Complete",N500*(1+'Operating costs'!$B$54)^-C500,"n.a."))</f>
        <v>0</v>
      </c>
      <c r="R500" s="16">
        <f>IF(NOT(Paths!$C$51=1),0,IF(Paths!$P$51="Complete",IF(AND(C500=0,Paths!$E$51=0),I500-J500-K500+VLOOKUP(A500,'Fleet register'!$A$7:$S$106,15,FALSE)+VLOOKUP(A500,'Fleet register'!$A$7:$S$106,16,FALSE),0),"n.a."))</f>
        <v>0</v>
      </c>
      <c r="S500" s="1">
        <f>IF(NOT(Paths!$C$51=1),0,IF(Paths!$P$51="Complete",IF(C500=0,0,Paths!$S$51*Paths!$R$51),"n.a."))</f>
        <v>0</v>
      </c>
      <c r="T500" s="1">
        <f>IF(NOT(Paths!$C$51=1),0,IF(Paths!$P$51="Complete",IF(C500=0,0,VLOOKUP(A500,'Fleet register'!$A$7:$S$106,9,FALSE)*Paths!$R$51),"n.a."))</f>
        <v>0</v>
      </c>
    </row>
    <row r="501" spans="1:20" ht="24" customHeight="1">
      <c r="A501" s="1" t="str">
        <f>Paths!$A$51</f>
        <v>T012</v>
      </c>
      <c r="B501" s="1">
        <f>Paths!$B$51</f>
        <v>0</v>
      </c>
      <c r="C501" s="1">
        <v>10</v>
      </c>
      <c r="D501" s="1">
        <v>51</v>
      </c>
      <c r="E501" s="1">
        <f>IF(OR(Paths!$C$51=0,C501=0),0,MAX(0,MIN(C501*12,Paths!$E$51)-(C501-1)*12))</f>
        <v>0</v>
      </c>
      <c r="F501" s="1">
        <f>IF(OR(Paths!$C$51=0,C501=0),0,12-E501)</f>
        <v>0</v>
      </c>
      <c r="G501" s="16">
        <f>IF(NOT(Paths!$C$51=1),0,IF(Paths!$P$51="Complete",E501/12*(Paths!$J$51*(1+'Operating costs'!$B$51)^MAX(0,C501-1)+Paths!$K$51*(1+'Operating costs'!$B$53)^MAX(0,C501-1)),"n.a."))</f>
        <v>0</v>
      </c>
      <c r="H501" s="16">
        <f>IF(NOT(Paths!$C$51=1),0,IF(Paths!$P$51="Complete",F501/12*(Paths!$L$51*(1+IF(Paths!$D$51="EV",'Operating costs'!$B$52,'Operating costs'!$B$51))^MAX(0,C501-1)+Paths!$M$51*(1+'Operating costs'!$B$53)^MAX(0,C501-1)),"n.a."))</f>
        <v>0</v>
      </c>
      <c r="I501" s="16">
        <f>IF(NOT(Paths!$C$51=1),0,IF(Paths!$P$51="Complete",IF(IF(Paths!$E$51=0,C501=0,AND(C501&gt;0,Paths!$E$51&gt;(C501-1)*12,Paths!$E$51&lt;=C501*12)),Paths!$G$51,0),"n.a."))</f>
        <v>0</v>
      </c>
      <c r="J501" s="16">
        <f>IF(NOT(Paths!$C$51=1),0,IF(Paths!$P$51="Complete",IF(IF(Paths!$E$51=0,C501=0,AND(C501&gt;0,Paths!$E$51&gt;(C501-1)*12,Paths!$E$51&lt;=C501*12)),Paths!$H$51,0),"n.a."))</f>
        <v>0</v>
      </c>
      <c r="K501" s="16">
        <f>IF(NOT(Paths!$C$51=1),0,IF(Paths!$P$51="Complete",IF(IF(Paths!$O$51=0,C501=0,AND(C501&gt;0,Paths!$O$51&gt;(C501-1)*12,Paths!$O$51&lt;=C501*12)),Paths!$N$51,0),"n.a."))</f>
        <v>0</v>
      </c>
      <c r="L501" s="16">
        <f>IF(NOT(Paths!$C$51=1),0,IF(Paths!$P$51="Complete",IF(C501=10,Paths!$I$51,0),"n.a."))</f>
        <v>0</v>
      </c>
      <c r="M501" s="16">
        <f>IF(NOT(Paths!$C$51=1),0,IF(Paths!$P$51="Complete",IF(AND(Paths!$D$51="EV",Paths!$E$51&lt;120,Paths!$E$51+'Operating costs'!$B$65&gt;Paths!$E$51,Paths!$E$51+'Operating costs'!$B$65&lt;=120,IF(Paths!$E$51+'Operating costs'!$B$65=0,C501=0,AND(C501&gt;0,Paths!$E$51+'Operating costs'!$B$65&gt;(C501-1)*12,Paths!$E$51+'Operating costs'!$B$65&lt;=C501*12))),'Operating costs'!$B$64,0)+IF(AND('Operating costs'!$B$67&gt;0,'Operating costs'!$B$67&lt;=120,OR(Paths!$D$51="ICE",'Operating costs'!$B$67&lt;=Paths!$E$51),IF('Operating costs'!$B$67=0,C501=0,AND(C501&gt;0,'Operating costs'!$B$67&gt;(C501-1)*12,'Operating costs'!$B$67&lt;=C501*12))),'Operating costs'!$B$66,0),"n.a."))</f>
        <v>0</v>
      </c>
      <c r="N501" s="16">
        <f>IF(NOT(Paths!$C$51=1),0,IF(Paths!$P$51="Complete",SUM(G501:I501)-J501-K501-L501+M501+IF(C501=0,Paths!$F$51,0)+IF(IF(Paths!$E$51=0,C501=0,AND(C501&gt;0,Paths!$E$51&gt;(C501-1)*12,Paths!$E$51&lt;=C501*12)),VLOOKUP(A501,'Fleet register'!$A$7:$S$106,16,FALSE),0),"n.a."))</f>
        <v>0</v>
      </c>
      <c r="O501" s="16">
        <f>IF(NOT(Paths!$C$51=1),0,IF(Paths!$P$51="Complete",N501-IF(C501=0,Paths!$F$51,0),"n.a."))</f>
        <v>0</v>
      </c>
      <c r="P501" s="16">
        <f>IF(NOT(Paths!$C$51=1),0,IF(Paths!$P$51="Complete",O501+L501,"n.a."))</f>
        <v>0</v>
      </c>
      <c r="Q501" s="16">
        <f>IF(NOT(Paths!$C$51=1),0,IF(Paths!$P$51="Complete",N501*(1+'Operating costs'!$B$54)^-C501,"n.a."))</f>
        <v>0</v>
      </c>
      <c r="R501" s="16">
        <f>IF(NOT(Paths!$C$51=1),0,IF(Paths!$P$51="Complete",IF(AND(C501=0,Paths!$E$51=0),I501-J501-K501+VLOOKUP(A501,'Fleet register'!$A$7:$S$106,15,FALSE)+VLOOKUP(A501,'Fleet register'!$A$7:$S$106,16,FALSE),0),"n.a."))</f>
        <v>0</v>
      </c>
      <c r="S501" s="1">
        <f>IF(NOT(Paths!$C$51=1),0,IF(Paths!$P$51="Complete",IF(C501=0,0,Paths!$S$51*Paths!$R$51),"n.a."))</f>
        <v>0</v>
      </c>
      <c r="T501" s="1">
        <f>IF(NOT(Paths!$C$51=1),0,IF(Paths!$P$51="Complete",IF(C501=0,0,VLOOKUP(A501,'Fleet register'!$A$7:$S$106,9,FALSE)*Paths!$R$51),"n.a."))</f>
        <v>0</v>
      </c>
    </row>
    <row r="502" spans="1:20" ht="24" customHeight="1">
      <c r="A502" s="1" t="str">
        <f>Paths!$A$52</f>
        <v>T012</v>
      </c>
      <c r="B502" s="1">
        <f>Paths!$B$52</f>
        <v>1</v>
      </c>
      <c r="C502" s="1">
        <v>0</v>
      </c>
      <c r="D502" s="1">
        <v>52</v>
      </c>
      <c r="E502" s="1">
        <f>IF(OR(Paths!$C$52=0,C502=0),0,MAX(0,MIN(C502*12,Paths!$E$52)-(C502-1)*12))</f>
        <v>0</v>
      </c>
      <c r="F502" s="1">
        <f>IF(OR(Paths!$C$52=0,C502=0),0,12-E502)</f>
        <v>0</v>
      </c>
      <c r="G502" s="16">
        <f>IF(NOT(Paths!$C$52=1),0,IF(Paths!$P$52="Complete",E502/12*(Paths!$J$52*(1+'Operating costs'!$B$51)^MAX(0,C502-1)+Paths!$K$52*(1+'Operating costs'!$B$53)^MAX(0,C502-1)),"n.a."))</f>
        <v>0</v>
      </c>
      <c r="H502" s="16">
        <f>IF(NOT(Paths!$C$52=1),0,IF(Paths!$P$52="Complete",F502/12*(Paths!$L$52*(1+IF(Paths!$D$52="EV",'Operating costs'!$B$52,'Operating costs'!$B$51))^MAX(0,C502-1)+Paths!$M$52*(1+'Operating costs'!$B$53)^MAX(0,C502-1)),"n.a."))</f>
        <v>0</v>
      </c>
      <c r="I502" s="16">
        <f>IF(NOT(Paths!$C$52=1),0,IF(Paths!$P$52="Complete",IF(IF(Paths!$E$52=0,C502=0,AND(C502&gt;0,Paths!$E$52&gt;(C502-1)*12,Paths!$E$52&lt;=C502*12)),Paths!$G$52,0),"n.a."))</f>
        <v>0</v>
      </c>
      <c r="J502" s="16">
        <f>IF(NOT(Paths!$C$52=1),0,IF(Paths!$P$52="Complete",IF(IF(Paths!$E$52=0,C502=0,AND(C502&gt;0,Paths!$E$52&gt;(C502-1)*12,Paths!$E$52&lt;=C502*12)),Paths!$H$52,0),"n.a."))</f>
        <v>0</v>
      </c>
      <c r="K502" s="16">
        <f>IF(NOT(Paths!$C$52=1),0,IF(Paths!$P$52="Complete",IF(IF(Paths!$O$52=0,C502=0,AND(C502&gt;0,Paths!$O$52&gt;(C502-1)*12,Paths!$O$52&lt;=C502*12)),Paths!$N$52,0),"n.a."))</f>
        <v>0</v>
      </c>
      <c r="L502" s="16">
        <f>IF(NOT(Paths!$C$52=1),0,IF(Paths!$P$52="Complete",IF(C502=10,Paths!$I$52,0),"n.a."))</f>
        <v>0</v>
      </c>
      <c r="M502" s="16">
        <f>IF(NOT(Paths!$C$52=1),0,IF(Paths!$P$52="Complete",IF(AND(Paths!$D$52="EV",Paths!$E$52&lt;120,Paths!$E$52+'Operating costs'!$B$65&gt;Paths!$E$52,Paths!$E$52+'Operating costs'!$B$65&lt;=120,IF(Paths!$E$52+'Operating costs'!$B$65=0,C502=0,AND(C502&gt;0,Paths!$E$52+'Operating costs'!$B$65&gt;(C502-1)*12,Paths!$E$52+'Operating costs'!$B$65&lt;=C502*12))),'Operating costs'!$B$64,0)+IF(AND('Operating costs'!$B$67&gt;0,'Operating costs'!$B$67&lt;=120,OR(Paths!$D$52="ICE",'Operating costs'!$B$67&lt;=Paths!$E$52),IF('Operating costs'!$B$67=0,C502=0,AND(C502&gt;0,'Operating costs'!$B$67&gt;(C502-1)*12,'Operating costs'!$B$67&lt;=C502*12))),'Operating costs'!$B$66,0),"n.a."))</f>
        <v>0</v>
      </c>
      <c r="N502" s="16">
        <f>IF(NOT(Paths!$C$52=1),0,IF(Paths!$P$52="Complete",SUM(G502:I502)-J502-K502-L502+M502+IF(C502=0,Paths!$F$52,0)+IF(IF(Paths!$E$52=0,C502=0,AND(C502&gt;0,Paths!$E$52&gt;(C502-1)*12,Paths!$E$52&lt;=C502*12)),VLOOKUP(A502,'Fleet register'!$A$7:$S$106,16,FALSE),0),"n.a."))</f>
        <v>0</v>
      </c>
      <c r="O502" s="16">
        <f>IF(NOT(Paths!$C$52=1),0,IF(Paths!$P$52="Complete",N502-IF(C502=0,Paths!$F$52,0),"n.a."))</f>
        <v>0</v>
      </c>
      <c r="P502" s="16">
        <f>IF(NOT(Paths!$C$52=1),0,IF(Paths!$P$52="Complete",O502+L502,"n.a."))</f>
        <v>0</v>
      </c>
      <c r="Q502" s="16">
        <f>IF(NOT(Paths!$C$52=1),0,IF(Paths!$P$52="Complete",N502*(1+'Operating costs'!$B$54)^-C502,"n.a."))</f>
        <v>0</v>
      </c>
      <c r="R502" s="16">
        <f>IF(NOT(Paths!$C$52=1),0,IF(Paths!$P$52="Complete",IF(AND(C502=0,Paths!$E$52=0),I502-J502-K502+VLOOKUP(A502,'Fleet register'!$A$7:$S$106,15,FALSE)+VLOOKUP(A502,'Fleet register'!$A$7:$S$106,16,FALSE),0),"n.a."))</f>
        <v>0</v>
      </c>
      <c r="S502" s="1">
        <f>IF(NOT(Paths!$C$52=1),0,IF(Paths!$P$52="Complete",IF(C502=0,0,Paths!$S$52*Paths!$R$52),"n.a."))</f>
        <v>0</v>
      </c>
      <c r="T502" s="1">
        <f>IF(NOT(Paths!$C$52=1),0,IF(Paths!$P$52="Complete",IF(C502=0,0,VLOOKUP(A502,'Fleet register'!$A$7:$S$106,9,FALSE)*Paths!$R$52),"n.a."))</f>
        <v>0</v>
      </c>
    </row>
    <row r="503" spans="1:20" ht="24" customHeight="1">
      <c r="A503" s="1" t="str">
        <f>Paths!$A$52</f>
        <v>T012</v>
      </c>
      <c r="B503" s="1">
        <f>Paths!$B$52</f>
        <v>1</v>
      </c>
      <c r="C503" s="1">
        <v>1</v>
      </c>
      <c r="D503" s="1">
        <v>52</v>
      </c>
      <c r="E503" s="1">
        <f>IF(OR(Paths!$C$52=0,C503=0),0,MAX(0,MIN(C503*12,Paths!$E$52)-(C503-1)*12))</f>
        <v>0</v>
      </c>
      <c r="F503" s="1">
        <f>IF(OR(Paths!$C$52=0,C503=0),0,12-E503)</f>
        <v>0</v>
      </c>
      <c r="G503" s="16">
        <f>IF(NOT(Paths!$C$52=1),0,IF(Paths!$P$52="Complete",E503/12*(Paths!$J$52*(1+'Operating costs'!$B$51)^MAX(0,C503-1)+Paths!$K$52*(1+'Operating costs'!$B$53)^MAX(0,C503-1)),"n.a."))</f>
        <v>0</v>
      </c>
      <c r="H503" s="16">
        <f>IF(NOT(Paths!$C$52=1),0,IF(Paths!$P$52="Complete",F503/12*(Paths!$L$52*(1+IF(Paths!$D$52="EV",'Operating costs'!$B$52,'Operating costs'!$B$51))^MAX(0,C503-1)+Paths!$M$52*(1+'Operating costs'!$B$53)^MAX(0,C503-1)),"n.a."))</f>
        <v>0</v>
      </c>
      <c r="I503" s="16">
        <f>IF(NOT(Paths!$C$52=1),0,IF(Paths!$P$52="Complete",IF(IF(Paths!$E$52=0,C503=0,AND(C503&gt;0,Paths!$E$52&gt;(C503-1)*12,Paths!$E$52&lt;=C503*12)),Paths!$G$52,0),"n.a."))</f>
        <v>0</v>
      </c>
      <c r="J503" s="16">
        <f>IF(NOT(Paths!$C$52=1),0,IF(Paths!$P$52="Complete",IF(IF(Paths!$E$52=0,C503=0,AND(C503&gt;0,Paths!$E$52&gt;(C503-1)*12,Paths!$E$52&lt;=C503*12)),Paths!$H$52,0),"n.a."))</f>
        <v>0</v>
      </c>
      <c r="K503" s="16">
        <f>IF(NOT(Paths!$C$52=1),0,IF(Paths!$P$52="Complete",IF(IF(Paths!$O$52=0,C503=0,AND(C503&gt;0,Paths!$O$52&gt;(C503-1)*12,Paths!$O$52&lt;=C503*12)),Paths!$N$52,0),"n.a."))</f>
        <v>0</v>
      </c>
      <c r="L503" s="16">
        <f>IF(NOT(Paths!$C$52=1),0,IF(Paths!$P$52="Complete",IF(C503=10,Paths!$I$52,0),"n.a."))</f>
        <v>0</v>
      </c>
      <c r="M503" s="16">
        <f>IF(NOT(Paths!$C$52=1),0,IF(Paths!$P$52="Complete",IF(AND(Paths!$D$52="EV",Paths!$E$52&lt;120,Paths!$E$52+'Operating costs'!$B$65&gt;Paths!$E$52,Paths!$E$52+'Operating costs'!$B$65&lt;=120,IF(Paths!$E$52+'Operating costs'!$B$65=0,C503=0,AND(C503&gt;0,Paths!$E$52+'Operating costs'!$B$65&gt;(C503-1)*12,Paths!$E$52+'Operating costs'!$B$65&lt;=C503*12))),'Operating costs'!$B$64,0)+IF(AND('Operating costs'!$B$67&gt;0,'Operating costs'!$B$67&lt;=120,OR(Paths!$D$52="ICE",'Operating costs'!$B$67&lt;=Paths!$E$52),IF('Operating costs'!$B$67=0,C503=0,AND(C503&gt;0,'Operating costs'!$B$67&gt;(C503-1)*12,'Operating costs'!$B$67&lt;=C503*12))),'Operating costs'!$B$66,0),"n.a."))</f>
        <v>0</v>
      </c>
      <c r="N503" s="16">
        <f>IF(NOT(Paths!$C$52=1),0,IF(Paths!$P$52="Complete",SUM(G503:I503)-J503-K503-L503+M503+IF(C503=0,Paths!$F$52,0)+IF(IF(Paths!$E$52=0,C503=0,AND(C503&gt;0,Paths!$E$52&gt;(C503-1)*12,Paths!$E$52&lt;=C503*12)),VLOOKUP(A503,'Fleet register'!$A$7:$S$106,16,FALSE),0),"n.a."))</f>
        <v>0</v>
      </c>
      <c r="O503" s="16">
        <f>IF(NOT(Paths!$C$52=1),0,IF(Paths!$P$52="Complete",N503-IF(C503=0,Paths!$F$52,0),"n.a."))</f>
        <v>0</v>
      </c>
      <c r="P503" s="16">
        <f>IF(NOT(Paths!$C$52=1),0,IF(Paths!$P$52="Complete",O503+L503,"n.a."))</f>
        <v>0</v>
      </c>
      <c r="Q503" s="16">
        <f>IF(NOT(Paths!$C$52=1),0,IF(Paths!$P$52="Complete",N503*(1+'Operating costs'!$B$54)^-C503,"n.a."))</f>
        <v>0</v>
      </c>
      <c r="R503" s="16">
        <f>IF(NOT(Paths!$C$52=1),0,IF(Paths!$P$52="Complete",IF(AND(C503=0,Paths!$E$52=0),I503-J503-K503+VLOOKUP(A503,'Fleet register'!$A$7:$S$106,15,FALSE)+VLOOKUP(A503,'Fleet register'!$A$7:$S$106,16,FALSE),0),"n.a."))</f>
        <v>0</v>
      </c>
      <c r="S503" s="1">
        <f>IF(NOT(Paths!$C$52=1),0,IF(Paths!$P$52="Complete",IF(C503=0,0,Paths!$S$52*Paths!$R$52),"n.a."))</f>
        <v>0</v>
      </c>
      <c r="T503" s="1">
        <f>IF(NOT(Paths!$C$52=1),0,IF(Paths!$P$52="Complete",IF(C503=0,0,VLOOKUP(A503,'Fleet register'!$A$7:$S$106,9,FALSE)*Paths!$R$52),"n.a."))</f>
        <v>0</v>
      </c>
    </row>
    <row r="504" spans="1:20" ht="24" customHeight="1">
      <c r="A504" s="1" t="str">
        <f>Paths!$A$52</f>
        <v>T012</v>
      </c>
      <c r="B504" s="1">
        <f>Paths!$B$52</f>
        <v>1</v>
      </c>
      <c r="C504" s="1">
        <v>2</v>
      </c>
      <c r="D504" s="1">
        <v>52</v>
      </c>
      <c r="E504" s="1">
        <f>IF(OR(Paths!$C$52=0,C504=0),0,MAX(0,MIN(C504*12,Paths!$E$52)-(C504-1)*12))</f>
        <v>0</v>
      </c>
      <c r="F504" s="1">
        <f>IF(OR(Paths!$C$52=0,C504=0),0,12-E504)</f>
        <v>0</v>
      </c>
      <c r="G504" s="16">
        <f>IF(NOT(Paths!$C$52=1),0,IF(Paths!$P$52="Complete",E504/12*(Paths!$J$52*(1+'Operating costs'!$B$51)^MAX(0,C504-1)+Paths!$K$52*(1+'Operating costs'!$B$53)^MAX(0,C504-1)),"n.a."))</f>
        <v>0</v>
      </c>
      <c r="H504" s="16">
        <f>IF(NOT(Paths!$C$52=1),0,IF(Paths!$P$52="Complete",F504/12*(Paths!$L$52*(1+IF(Paths!$D$52="EV",'Operating costs'!$B$52,'Operating costs'!$B$51))^MAX(0,C504-1)+Paths!$M$52*(1+'Operating costs'!$B$53)^MAX(0,C504-1)),"n.a."))</f>
        <v>0</v>
      </c>
      <c r="I504" s="16">
        <f>IF(NOT(Paths!$C$52=1),0,IF(Paths!$P$52="Complete",IF(IF(Paths!$E$52=0,C504=0,AND(C504&gt;0,Paths!$E$52&gt;(C504-1)*12,Paths!$E$52&lt;=C504*12)),Paths!$G$52,0),"n.a."))</f>
        <v>0</v>
      </c>
      <c r="J504" s="16">
        <f>IF(NOT(Paths!$C$52=1),0,IF(Paths!$P$52="Complete",IF(IF(Paths!$E$52=0,C504=0,AND(C504&gt;0,Paths!$E$52&gt;(C504-1)*12,Paths!$E$52&lt;=C504*12)),Paths!$H$52,0),"n.a."))</f>
        <v>0</v>
      </c>
      <c r="K504" s="16">
        <f>IF(NOT(Paths!$C$52=1),0,IF(Paths!$P$52="Complete",IF(IF(Paths!$O$52=0,C504=0,AND(C504&gt;0,Paths!$O$52&gt;(C504-1)*12,Paths!$O$52&lt;=C504*12)),Paths!$N$52,0),"n.a."))</f>
        <v>0</v>
      </c>
      <c r="L504" s="16">
        <f>IF(NOT(Paths!$C$52=1),0,IF(Paths!$P$52="Complete",IF(C504=10,Paths!$I$52,0),"n.a."))</f>
        <v>0</v>
      </c>
      <c r="M504" s="16">
        <f>IF(NOT(Paths!$C$52=1),0,IF(Paths!$P$52="Complete",IF(AND(Paths!$D$52="EV",Paths!$E$52&lt;120,Paths!$E$52+'Operating costs'!$B$65&gt;Paths!$E$52,Paths!$E$52+'Operating costs'!$B$65&lt;=120,IF(Paths!$E$52+'Operating costs'!$B$65=0,C504=0,AND(C504&gt;0,Paths!$E$52+'Operating costs'!$B$65&gt;(C504-1)*12,Paths!$E$52+'Operating costs'!$B$65&lt;=C504*12))),'Operating costs'!$B$64,0)+IF(AND('Operating costs'!$B$67&gt;0,'Operating costs'!$B$67&lt;=120,OR(Paths!$D$52="ICE",'Operating costs'!$B$67&lt;=Paths!$E$52),IF('Operating costs'!$B$67=0,C504=0,AND(C504&gt;0,'Operating costs'!$B$67&gt;(C504-1)*12,'Operating costs'!$B$67&lt;=C504*12))),'Operating costs'!$B$66,0),"n.a."))</f>
        <v>0</v>
      </c>
      <c r="N504" s="16">
        <f>IF(NOT(Paths!$C$52=1),0,IF(Paths!$P$52="Complete",SUM(G504:I504)-J504-K504-L504+M504+IF(C504=0,Paths!$F$52,0)+IF(IF(Paths!$E$52=0,C504=0,AND(C504&gt;0,Paths!$E$52&gt;(C504-1)*12,Paths!$E$52&lt;=C504*12)),VLOOKUP(A504,'Fleet register'!$A$7:$S$106,16,FALSE),0),"n.a."))</f>
        <v>0</v>
      </c>
      <c r="O504" s="16">
        <f>IF(NOT(Paths!$C$52=1),0,IF(Paths!$P$52="Complete",N504-IF(C504=0,Paths!$F$52,0),"n.a."))</f>
        <v>0</v>
      </c>
      <c r="P504" s="16">
        <f>IF(NOT(Paths!$C$52=1),0,IF(Paths!$P$52="Complete",O504+L504,"n.a."))</f>
        <v>0</v>
      </c>
      <c r="Q504" s="16">
        <f>IF(NOT(Paths!$C$52=1),0,IF(Paths!$P$52="Complete",N504*(1+'Operating costs'!$B$54)^-C504,"n.a."))</f>
        <v>0</v>
      </c>
      <c r="R504" s="16">
        <f>IF(NOT(Paths!$C$52=1),0,IF(Paths!$P$52="Complete",IF(AND(C504=0,Paths!$E$52=0),I504-J504-K504+VLOOKUP(A504,'Fleet register'!$A$7:$S$106,15,FALSE)+VLOOKUP(A504,'Fleet register'!$A$7:$S$106,16,FALSE),0),"n.a."))</f>
        <v>0</v>
      </c>
      <c r="S504" s="1">
        <f>IF(NOT(Paths!$C$52=1),0,IF(Paths!$P$52="Complete",IF(C504=0,0,Paths!$S$52*Paths!$R$52),"n.a."))</f>
        <v>0</v>
      </c>
      <c r="T504" s="1">
        <f>IF(NOT(Paths!$C$52=1),0,IF(Paths!$P$52="Complete",IF(C504=0,0,VLOOKUP(A504,'Fleet register'!$A$7:$S$106,9,FALSE)*Paths!$R$52),"n.a."))</f>
        <v>0</v>
      </c>
    </row>
    <row r="505" spans="1:20" ht="24" customHeight="1">
      <c r="A505" s="1" t="str">
        <f>Paths!$A$52</f>
        <v>T012</v>
      </c>
      <c r="B505" s="1">
        <f>Paths!$B$52</f>
        <v>1</v>
      </c>
      <c r="C505" s="1">
        <v>3</v>
      </c>
      <c r="D505" s="1">
        <v>52</v>
      </c>
      <c r="E505" s="1">
        <f>IF(OR(Paths!$C$52=0,C505=0),0,MAX(0,MIN(C505*12,Paths!$E$52)-(C505-1)*12))</f>
        <v>0</v>
      </c>
      <c r="F505" s="1">
        <f>IF(OR(Paths!$C$52=0,C505=0),0,12-E505)</f>
        <v>0</v>
      </c>
      <c r="G505" s="16">
        <f>IF(NOT(Paths!$C$52=1),0,IF(Paths!$P$52="Complete",E505/12*(Paths!$J$52*(1+'Operating costs'!$B$51)^MAX(0,C505-1)+Paths!$K$52*(1+'Operating costs'!$B$53)^MAX(0,C505-1)),"n.a."))</f>
        <v>0</v>
      </c>
      <c r="H505" s="16">
        <f>IF(NOT(Paths!$C$52=1),0,IF(Paths!$P$52="Complete",F505/12*(Paths!$L$52*(1+IF(Paths!$D$52="EV",'Operating costs'!$B$52,'Operating costs'!$B$51))^MAX(0,C505-1)+Paths!$M$52*(1+'Operating costs'!$B$53)^MAX(0,C505-1)),"n.a."))</f>
        <v>0</v>
      </c>
      <c r="I505" s="16">
        <f>IF(NOT(Paths!$C$52=1),0,IF(Paths!$P$52="Complete",IF(IF(Paths!$E$52=0,C505=0,AND(C505&gt;0,Paths!$E$52&gt;(C505-1)*12,Paths!$E$52&lt;=C505*12)),Paths!$G$52,0),"n.a."))</f>
        <v>0</v>
      </c>
      <c r="J505" s="16">
        <f>IF(NOT(Paths!$C$52=1),0,IF(Paths!$P$52="Complete",IF(IF(Paths!$E$52=0,C505=0,AND(C505&gt;0,Paths!$E$52&gt;(C505-1)*12,Paths!$E$52&lt;=C505*12)),Paths!$H$52,0),"n.a."))</f>
        <v>0</v>
      </c>
      <c r="K505" s="16">
        <f>IF(NOT(Paths!$C$52=1),0,IF(Paths!$P$52="Complete",IF(IF(Paths!$O$52=0,C505=0,AND(C505&gt;0,Paths!$O$52&gt;(C505-1)*12,Paths!$O$52&lt;=C505*12)),Paths!$N$52,0),"n.a."))</f>
        <v>0</v>
      </c>
      <c r="L505" s="16">
        <f>IF(NOT(Paths!$C$52=1),0,IF(Paths!$P$52="Complete",IF(C505=10,Paths!$I$52,0),"n.a."))</f>
        <v>0</v>
      </c>
      <c r="M505" s="16">
        <f>IF(NOT(Paths!$C$52=1),0,IF(Paths!$P$52="Complete",IF(AND(Paths!$D$52="EV",Paths!$E$52&lt;120,Paths!$E$52+'Operating costs'!$B$65&gt;Paths!$E$52,Paths!$E$52+'Operating costs'!$B$65&lt;=120,IF(Paths!$E$52+'Operating costs'!$B$65=0,C505=0,AND(C505&gt;0,Paths!$E$52+'Operating costs'!$B$65&gt;(C505-1)*12,Paths!$E$52+'Operating costs'!$B$65&lt;=C505*12))),'Operating costs'!$B$64,0)+IF(AND('Operating costs'!$B$67&gt;0,'Operating costs'!$B$67&lt;=120,OR(Paths!$D$52="ICE",'Operating costs'!$B$67&lt;=Paths!$E$52),IF('Operating costs'!$B$67=0,C505=0,AND(C505&gt;0,'Operating costs'!$B$67&gt;(C505-1)*12,'Operating costs'!$B$67&lt;=C505*12))),'Operating costs'!$B$66,0),"n.a."))</f>
        <v>0</v>
      </c>
      <c r="N505" s="16">
        <f>IF(NOT(Paths!$C$52=1),0,IF(Paths!$P$52="Complete",SUM(G505:I505)-J505-K505-L505+M505+IF(C505=0,Paths!$F$52,0)+IF(IF(Paths!$E$52=0,C505=0,AND(C505&gt;0,Paths!$E$52&gt;(C505-1)*12,Paths!$E$52&lt;=C505*12)),VLOOKUP(A505,'Fleet register'!$A$7:$S$106,16,FALSE),0),"n.a."))</f>
        <v>0</v>
      </c>
      <c r="O505" s="16">
        <f>IF(NOT(Paths!$C$52=1),0,IF(Paths!$P$52="Complete",N505-IF(C505=0,Paths!$F$52,0),"n.a."))</f>
        <v>0</v>
      </c>
      <c r="P505" s="16">
        <f>IF(NOT(Paths!$C$52=1),0,IF(Paths!$P$52="Complete",O505+L505,"n.a."))</f>
        <v>0</v>
      </c>
      <c r="Q505" s="16">
        <f>IF(NOT(Paths!$C$52=1),0,IF(Paths!$P$52="Complete",N505*(1+'Operating costs'!$B$54)^-C505,"n.a."))</f>
        <v>0</v>
      </c>
      <c r="R505" s="16">
        <f>IF(NOT(Paths!$C$52=1),0,IF(Paths!$P$52="Complete",IF(AND(C505=0,Paths!$E$52=0),I505-J505-K505+VLOOKUP(A505,'Fleet register'!$A$7:$S$106,15,FALSE)+VLOOKUP(A505,'Fleet register'!$A$7:$S$106,16,FALSE),0),"n.a."))</f>
        <v>0</v>
      </c>
      <c r="S505" s="1">
        <f>IF(NOT(Paths!$C$52=1),0,IF(Paths!$P$52="Complete",IF(C505=0,0,Paths!$S$52*Paths!$R$52),"n.a."))</f>
        <v>0</v>
      </c>
      <c r="T505" s="1">
        <f>IF(NOT(Paths!$C$52=1),0,IF(Paths!$P$52="Complete",IF(C505=0,0,VLOOKUP(A505,'Fleet register'!$A$7:$S$106,9,FALSE)*Paths!$R$52),"n.a."))</f>
        <v>0</v>
      </c>
    </row>
    <row r="506" spans="1:20" ht="24" customHeight="1">
      <c r="A506" s="1" t="str">
        <f>Paths!$A$52</f>
        <v>T012</v>
      </c>
      <c r="B506" s="1">
        <f>Paths!$B$52</f>
        <v>1</v>
      </c>
      <c r="C506" s="1">
        <v>4</v>
      </c>
      <c r="D506" s="1">
        <v>52</v>
      </c>
      <c r="E506" s="1">
        <f>IF(OR(Paths!$C$52=0,C506=0),0,MAX(0,MIN(C506*12,Paths!$E$52)-(C506-1)*12))</f>
        <v>0</v>
      </c>
      <c r="F506" s="1">
        <f>IF(OR(Paths!$C$52=0,C506=0),0,12-E506)</f>
        <v>0</v>
      </c>
      <c r="G506" s="16">
        <f>IF(NOT(Paths!$C$52=1),0,IF(Paths!$P$52="Complete",E506/12*(Paths!$J$52*(1+'Operating costs'!$B$51)^MAX(0,C506-1)+Paths!$K$52*(1+'Operating costs'!$B$53)^MAX(0,C506-1)),"n.a."))</f>
        <v>0</v>
      </c>
      <c r="H506" s="16">
        <f>IF(NOT(Paths!$C$52=1),0,IF(Paths!$P$52="Complete",F506/12*(Paths!$L$52*(1+IF(Paths!$D$52="EV",'Operating costs'!$B$52,'Operating costs'!$B$51))^MAX(0,C506-1)+Paths!$M$52*(1+'Operating costs'!$B$53)^MAX(0,C506-1)),"n.a."))</f>
        <v>0</v>
      </c>
      <c r="I506" s="16">
        <f>IF(NOT(Paths!$C$52=1),0,IF(Paths!$P$52="Complete",IF(IF(Paths!$E$52=0,C506=0,AND(C506&gt;0,Paths!$E$52&gt;(C506-1)*12,Paths!$E$52&lt;=C506*12)),Paths!$G$52,0),"n.a."))</f>
        <v>0</v>
      </c>
      <c r="J506" s="16">
        <f>IF(NOT(Paths!$C$52=1),0,IF(Paths!$P$52="Complete",IF(IF(Paths!$E$52=0,C506=0,AND(C506&gt;0,Paths!$E$52&gt;(C506-1)*12,Paths!$E$52&lt;=C506*12)),Paths!$H$52,0),"n.a."))</f>
        <v>0</v>
      </c>
      <c r="K506" s="16">
        <f>IF(NOT(Paths!$C$52=1),0,IF(Paths!$P$52="Complete",IF(IF(Paths!$O$52=0,C506=0,AND(C506&gt;0,Paths!$O$52&gt;(C506-1)*12,Paths!$O$52&lt;=C506*12)),Paths!$N$52,0),"n.a."))</f>
        <v>0</v>
      </c>
      <c r="L506" s="16">
        <f>IF(NOT(Paths!$C$52=1),0,IF(Paths!$P$52="Complete",IF(C506=10,Paths!$I$52,0),"n.a."))</f>
        <v>0</v>
      </c>
      <c r="M506" s="16">
        <f>IF(NOT(Paths!$C$52=1),0,IF(Paths!$P$52="Complete",IF(AND(Paths!$D$52="EV",Paths!$E$52&lt;120,Paths!$E$52+'Operating costs'!$B$65&gt;Paths!$E$52,Paths!$E$52+'Operating costs'!$B$65&lt;=120,IF(Paths!$E$52+'Operating costs'!$B$65=0,C506=0,AND(C506&gt;0,Paths!$E$52+'Operating costs'!$B$65&gt;(C506-1)*12,Paths!$E$52+'Operating costs'!$B$65&lt;=C506*12))),'Operating costs'!$B$64,0)+IF(AND('Operating costs'!$B$67&gt;0,'Operating costs'!$B$67&lt;=120,OR(Paths!$D$52="ICE",'Operating costs'!$B$67&lt;=Paths!$E$52),IF('Operating costs'!$B$67=0,C506=0,AND(C506&gt;0,'Operating costs'!$B$67&gt;(C506-1)*12,'Operating costs'!$B$67&lt;=C506*12))),'Operating costs'!$B$66,0),"n.a."))</f>
        <v>0</v>
      </c>
      <c r="N506" s="16">
        <f>IF(NOT(Paths!$C$52=1),0,IF(Paths!$P$52="Complete",SUM(G506:I506)-J506-K506-L506+M506+IF(C506=0,Paths!$F$52,0)+IF(IF(Paths!$E$52=0,C506=0,AND(C506&gt;0,Paths!$E$52&gt;(C506-1)*12,Paths!$E$52&lt;=C506*12)),VLOOKUP(A506,'Fleet register'!$A$7:$S$106,16,FALSE),0),"n.a."))</f>
        <v>0</v>
      </c>
      <c r="O506" s="16">
        <f>IF(NOT(Paths!$C$52=1),0,IF(Paths!$P$52="Complete",N506-IF(C506=0,Paths!$F$52,0),"n.a."))</f>
        <v>0</v>
      </c>
      <c r="P506" s="16">
        <f>IF(NOT(Paths!$C$52=1),0,IF(Paths!$P$52="Complete",O506+L506,"n.a."))</f>
        <v>0</v>
      </c>
      <c r="Q506" s="16">
        <f>IF(NOT(Paths!$C$52=1),0,IF(Paths!$P$52="Complete",N506*(1+'Operating costs'!$B$54)^-C506,"n.a."))</f>
        <v>0</v>
      </c>
      <c r="R506" s="16">
        <f>IF(NOT(Paths!$C$52=1),0,IF(Paths!$P$52="Complete",IF(AND(C506=0,Paths!$E$52=0),I506-J506-K506+VLOOKUP(A506,'Fleet register'!$A$7:$S$106,15,FALSE)+VLOOKUP(A506,'Fleet register'!$A$7:$S$106,16,FALSE),0),"n.a."))</f>
        <v>0</v>
      </c>
      <c r="S506" s="1">
        <f>IF(NOT(Paths!$C$52=1),0,IF(Paths!$P$52="Complete",IF(C506=0,0,Paths!$S$52*Paths!$R$52),"n.a."))</f>
        <v>0</v>
      </c>
      <c r="T506" s="1">
        <f>IF(NOT(Paths!$C$52=1),0,IF(Paths!$P$52="Complete",IF(C506=0,0,VLOOKUP(A506,'Fleet register'!$A$7:$S$106,9,FALSE)*Paths!$R$52),"n.a."))</f>
        <v>0</v>
      </c>
    </row>
    <row r="507" spans="1:20" ht="24" customHeight="1">
      <c r="A507" s="1" t="str">
        <f>Paths!$A$52</f>
        <v>T012</v>
      </c>
      <c r="B507" s="1">
        <f>Paths!$B$52</f>
        <v>1</v>
      </c>
      <c r="C507" s="1">
        <v>5</v>
      </c>
      <c r="D507" s="1">
        <v>52</v>
      </c>
      <c r="E507" s="1">
        <f>IF(OR(Paths!$C$52=0,C507=0),0,MAX(0,MIN(C507*12,Paths!$E$52)-(C507-1)*12))</f>
        <v>0</v>
      </c>
      <c r="F507" s="1">
        <f>IF(OR(Paths!$C$52=0,C507=0),0,12-E507)</f>
        <v>0</v>
      </c>
      <c r="G507" s="16">
        <f>IF(NOT(Paths!$C$52=1),0,IF(Paths!$P$52="Complete",E507/12*(Paths!$J$52*(1+'Operating costs'!$B$51)^MAX(0,C507-1)+Paths!$K$52*(1+'Operating costs'!$B$53)^MAX(0,C507-1)),"n.a."))</f>
        <v>0</v>
      </c>
      <c r="H507" s="16">
        <f>IF(NOT(Paths!$C$52=1),0,IF(Paths!$P$52="Complete",F507/12*(Paths!$L$52*(1+IF(Paths!$D$52="EV",'Operating costs'!$B$52,'Operating costs'!$B$51))^MAX(0,C507-1)+Paths!$M$52*(1+'Operating costs'!$B$53)^MAX(0,C507-1)),"n.a."))</f>
        <v>0</v>
      </c>
      <c r="I507" s="16">
        <f>IF(NOT(Paths!$C$52=1),0,IF(Paths!$P$52="Complete",IF(IF(Paths!$E$52=0,C507=0,AND(C507&gt;0,Paths!$E$52&gt;(C507-1)*12,Paths!$E$52&lt;=C507*12)),Paths!$G$52,0),"n.a."))</f>
        <v>0</v>
      </c>
      <c r="J507" s="16">
        <f>IF(NOT(Paths!$C$52=1),0,IF(Paths!$P$52="Complete",IF(IF(Paths!$E$52=0,C507=0,AND(C507&gt;0,Paths!$E$52&gt;(C507-1)*12,Paths!$E$52&lt;=C507*12)),Paths!$H$52,0),"n.a."))</f>
        <v>0</v>
      </c>
      <c r="K507" s="16">
        <f>IF(NOT(Paths!$C$52=1),0,IF(Paths!$P$52="Complete",IF(IF(Paths!$O$52=0,C507=0,AND(C507&gt;0,Paths!$O$52&gt;(C507-1)*12,Paths!$O$52&lt;=C507*12)),Paths!$N$52,0),"n.a."))</f>
        <v>0</v>
      </c>
      <c r="L507" s="16">
        <f>IF(NOT(Paths!$C$52=1),0,IF(Paths!$P$52="Complete",IF(C507=10,Paths!$I$52,0),"n.a."))</f>
        <v>0</v>
      </c>
      <c r="M507" s="16">
        <f>IF(NOT(Paths!$C$52=1),0,IF(Paths!$P$52="Complete",IF(AND(Paths!$D$52="EV",Paths!$E$52&lt;120,Paths!$E$52+'Operating costs'!$B$65&gt;Paths!$E$52,Paths!$E$52+'Operating costs'!$B$65&lt;=120,IF(Paths!$E$52+'Operating costs'!$B$65=0,C507=0,AND(C507&gt;0,Paths!$E$52+'Operating costs'!$B$65&gt;(C507-1)*12,Paths!$E$52+'Operating costs'!$B$65&lt;=C507*12))),'Operating costs'!$B$64,0)+IF(AND('Operating costs'!$B$67&gt;0,'Operating costs'!$B$67&lt;=120,OR(Paths!$D$52="ICE",'Operating costs'!$B$67&lt;=Paths!$E$52),IF('Operating costs'!$B$67=0,C507=0,AND(C507&gt;0,'Operating costs'!$B$67&gt;(C507-1)*12,'Operating costs'!$B$67&lt;=C507*12))),'Operating costs'!$B$66,0),"n.a."))</f>
        <v>0</v>
      </c>
      <c r="N507" s="16">
        <f>IF(NOT(Paths!$C$52=1),0,IF(Paths!$P$52="Complete",SUM(G507:I507)-J507-K507-L507+M507+IF(C507=0,Paths!$F$52,0)+IF(IF(Paths!$E$52=0,C507=0,AND(C507&gt;0,Paths!$E$52&gt;(C507-1)*12,Paths!$E$52&lt;=C507*12)),VLOOKUP(A507,'Fleet register'!$A$7:$S$106,16,FALSE),0),"n.a."))</f>
        <v>0</v>
      </c>
      <c r="O507" s="16">
        <f>IF(NOT(Paths!$C$52=1),0,IF(Paths!$P$52="Complete",N507-IF(C507=0,Paths!$F$52,0),"n.a."))</f>
        <v>0</v>
      </c>
      <c r="P507" s="16">
        <f>IF(NOT(Paths!$C$52=1),0,IF(Paths!$P$52="Complete",O507+L507,"n.a."))</f>
        <v>0</v>
      </c>
      <c r="Q507" s="16">
        <f>IF(NOT(Paths!$C$52=1),0,IF(Paths!$P$52="Complete",N507*(1+'Operating costs'!$B$54)^-C507,"n.a."))</f>
        <v>0</v>
      </c>
      <c r="R507" s="16">
        <f>IF(NOT(Paths!$C$52=1),0,IF(Paths!$P$52="Complete",IF(AND(C507=0,Paths!$E$52=0),I507-J507-K507+VLOOKUP(A507,'Fleet register'!$A$7:$S$106,15,FALSE)+VLOOKUP(A507,'Fleet register'!$A$7:$S$106,16,FALSE),0),"n.a."))</f>
        <v>0</v>
      </c>
      <c r="S507" s="1">
        <f>IF(NOT(Paths!$C$52=1),0,IF(Paths!$P$52="Complete",IF(C507=0,0,Paths!$S$52*Paths!$R$52),"n.a."))</f>
        <v>0</v>
      </c>
      <c r="T507" s="1">
        <f>IF(NOT(Paths!$C$52=1),0,IF(Paths!$P$52="Complete",IF(C507=0,0,VLOOKUP(A507,'Fleet register'!$A$7:$S$106,9,FALSE)*Paths!$R$52),"n.a."))</f>
        <v>0</v>
      </c>
    </row>
    <row r="508" spans="1:20" ht="24" customHeight="1">
      <c r="A508" s="1" t="str">
        <f>Paths!$A$52</f>
        <v>T012</v>
      </c>
      <c r="B508" s="1">
        <f>Paths!$B$52</f>
        <v>1</v>
      </c>
      <c r="C508" s="1">
        <v>6</v>
      </c>
      <c r="D508" s="1">
        <v>52</v>
      </c>
      <c r="E508" s="1">
        <f>IF(OR(Paths!$C$52=0,C508=0),0,MAX(0,MIN(C508*12,Paths!$E$52)-(C508-1)*12))</f>
        <v>0</v>
      </c>
      <c r="F508" s="1">
        <f>IF(OR(Paths!$C$52=0,C508=0),0,12-E508)</f>
        <v>0</v>
      </c>
      <c r="G508" s="16">
        <f>IF(NOT(Paths!$C$52=1),0,IF(Paths!$P$52="Complete",E508/12*(Paths!$J$52*(1+'Operating costs'!$B$51)^MAX(0,C508-1)+Paths!$K$52*(1+'Operating costs'!$B$53)^MAX(0,C508-1)),"n.a."))</f>
        <v>0</v>
      </c>
      <c r="H508" s="16">
        <f>IF(NOT(Paths!$C$52=1),0,IF(Paths!$P$52="Complete",F508/12*(Paths!$L$52*(1+IF(Paths!$D$52="EV",'Operating costs'!$B$52,'Operating costs'!$B$51))^MAX(0,C508-1)+Paths!$M$52*(1+'Operating costs'!$B$53)^MAX(0,C508-1)),"n.a."))</f>
        <v>0</v>
      </c>
      <c r="I508" s="16">
        <f>IF(NOT(Paths!$C$52=1),0,IF(Paths!$P$52="Complete",IF(IF(Paths!$E$52=0,C508=0,AND(C508&gt;0,Paths!$E$52&gt;(C508-1)*12,Paths!$E$52&lt;=C508*12)),Paths!$G$52,0),"n.a."))</f>
        <v>0</v>
      </c>
      <c r="J508" s="16">
        <f>IF(NOT(Paths!$C$52=1),0,IF(Paths!$P$52="Complete",IF(IF(Paths!$E$52=0,C508=0,AND(C508&gt;0,Paths!$E$52&gt;(C508-1)*12,Paths!$E$52&lt;=C508*12)),Paths!$H$52,0),"n.a."))</f>
        <v>0</v>
      </c>
      <c r="K508" s="16">
        <f>IF(NOT(Paths!$C$52=1),0,IF(Paths!$P$52="Complete",IF(IF(Paths!$O$52=0,C508=0,AND(C508&gt;0,Paths!$O$52&gt;(C508-1)*12,Paths!$O$52&lt;=C508*12)),Paths!$N$52,0),"n.a."))</f>
        <v>0</v>
      </c>
      <c r="L508" s="16">
        <f>IF(NOT(Paths!$C$52=1),0,IF(Paths!$P$52="Complete",IF(C508=10,Paths!$I$52,0),"n.a."))</f>
        <v>0</v>
      </c>
      <c r="M508" s="16">
        <f>IF(NOT(Paths!$C$52=1),0,IF(Paths!$P$52="Complete",IF(AND(Paths!$D$52="EV",Paths!$E$52&lt;120,Paths!$E$52+'Operating costs'!$B$65&gt;Paths!$E$52,Paths!$E$52+'Operating costs'!$B$65&lt;=120,IF(Paths!$E$52+'Operating costs'!$B$65=0,C508=0,AND(C508&gt;0,Paths!$E$52+'Operating costs'!$B$65&gt;(C508-1)*12,Paths!$E$52+'Operating costs'!$B$65&lt;=C508*12))),'Operating costs'!$B$64,0)+IF(AND('Operating costs'!$B$67&gt;0,'Operating costs'!$B$67&lt;=120,OR(Paths!$D$52="ICE",'Operating costs'!$B$67&lt;=Paths!$E$52),IF('Operating costs'!$B$67=0,C508=0,AND(C508&gt;0,'Operating costs'!$B$67&gt;(C508-1)*12,'Operating costs'!$B$67&lt;=C508*12))),'Operating costs'!$B$66,0),"n.a."))</f>
        <v>0</v>
      </c>
      <c r="N508" s="16">
        <f>IF(NOT(Paths!$C$52=1),0,IF(Paths!$P$52="Complete",SUM(G508:I508)-J508-K508-L508+M508+IF(C508=0,Paths!$F$52,0)+IF(IF(Paths!$E$52=0,C508=0,AND(C508&gt;0,Paths!$E$52&gt;(C508-1)*12,Paths!$E$52&lt;=C508*12)),VLOOKUP(A508,'Fleet register'!$A$7:$S$106,16,FALSE),0),"n.a."))</f>
        <v>0</v>
      </c>
      <c r="O508" s="16">
        <f>IF(NOT(Paths!$C$52=1),0,IF(Paths!$P$52="Complete",N508-IF(C508=0,Paths!$F$52,0),"n.a."))</f>
        <v>0</v>
      </c>
      <c r="P508" s="16">
        <f>IF(NOT(Paths!$C$52=1),0,IF(Paths!$P$52="Complete",O508+L508,"n.a."))</f>
        <v>0</v>
      </c>
      <c r="Q508" s="16">
        <f>IF(NOT(Paths!$C$52=1),0,IF(Paths!$P$52="Complete",N508*(1+'Operating costs'!$B$54)^-C508,"n.a."))</f>
        <v>0</v>
      </c>
      <c r="R508" s="16">
        <f>IF(NOT(Paths!$C$52=1),0,IF(Paths!$P$52="Complete",IF(AND(C508=0,Paths!$E$52=0),I508-J508-K508+VLOOKUP(A508,'Fleet register'!$A$7:$S$106,15,FALSE)+VLOOKUP(A508,'Fleet register'!$A$7:$S$106,16,FALSE),0),"n.a."))</f>
        <v>0</v>
      </c>
      <c r="S508" s="1">
        <f>IF(NOT(Paths!$C$52=1),0,IF(Paths!$P$52="Complete",IF(C508=0,0,Paths!$S$52*Paths!$R$52),"n.a."))</f>
        <v>0</v>
      </c>
      <c r="T508" s="1">
        <f>IF(NOT(Paths!$C$52=1),0,IF(Paths!$P$52="Complete",IF(C508=0,0,VLOOKUP(A508,'Fleet register'!$A$7:$S$106,9,FALSE)*Paths!$R$52),"n.a."))</f>
        <v>0</v>
      </c>
    </row>
    <row r="509" spans="1:20" ht="24" customHeight="1">
      <c r="A509" s="1" t="str">
        <f>Paths!$A$52</f>
        <v>T012</v>
      </c>
      <c r="B509" s="1">
        <f>Paths!$B$52</f>
        <v>1</v>
      </c>
      <c r="C509" s="1">
        <v>7</v>
      </c>
      <c r="D509" s="1">
        <v>52</v>
      </c>
      <c r="E509" s="1">
        <f>IF(OR(Paths!$C$52=0,C509=0),0,MAX(0,MIN(C509*12,Paths!$E$52)-(C509-1)*12))</f>
        <v>0</v>
      </c>
      <c r="F509" s="1">
        <f>IF(OR(Paths!$C$52=0,C509=0),0,12-E509)</f>
        <v>0</v>
      </c>
      <c r="G509" s="16">
        <f>IF(NOT(Paths!$C$52=1),0,IF(Paths!$P$52="Complete",E509/12*(Paths!$J$52*(1+'Operating costs'!$B$51)^MAX(0,C509-1)+Paths!$K$52*(1+'Operating costs'!$B$53)^MAX(0,C509-1)),"n.a."))</f>
        <v>0</v>
      </c>
      <c r="H509" s="16">
        <f>IF(NOT(Paths!$C$52=1),0,IF(Paths!$P$52="Complete",F509/12*(Paths!$L$52*(1+IF(Paths!$D$52="EV",'Operating costs'!$B$52,'Operating costs'!$B$51))^MAX(0,C509-1)+Paths!$M$52*(1+'Operating costs'!$B$53)^MAX(0,C509-1)),"n.a."))</f>
        <v>0</v>
      </c>
      <c r="I509" s="16">
        <f>IF(NOT(Paths!$C$52=1),0,IF(Paths!$P$52="Complete",IF(IF(Paths!$E$52=0,C509=0,AND(C509&gt;0,Paths!$E$52&gt;(C509-1)*12,Paths!$E$52&lt;=C509*12)),Paths!$G$52,0),"n.a."))</f>
        <v>0</v>
      </c>
      <c r="J509" s="16">
        <f>IF(NOT(Paths!$C$52=1),0,IF(Paths!$P$52="Complete",IF(IF(Paths!$E$52=0,C509=0,AND(C509&gt;0,Paths!$E$52&gt;(C509-1)*12,Paths!$E$52&lt;=C509*12)),Paths!$H$52,0),"n.a."))</f>
        <v>0</v>
      </c>
      <c r="K509" s="16">
        <f>IF(NOT(Paths!$C$52=1),0,IF(Paths!$P$52="Complete",IF(IF(Paths!$O$52=0,C509=0,AND(C509&gt;0,Paths!$O$52&gt;(C509-1)*12,Paths!$O$52&lt;=C509*12)),Paths!$N$52,0),"n.a."))</f>
        <v>0</v>
      </c>
      <c r="L509" s="16">
        <f>IF(NOT(Paths!$C$52=1),0,IF(Paths!$P$52="Complete",IF(C509=10,Paths!$I$52,0),"n.a."))</f>
        <v>0</v>
      </c>
      <c r="M509" s="16">
        <f>IF(NOT(Paths!$C$52=1),0,IF(Paths!$P$52="Complete",IF(AND(Paths!$D$52="EV",Paths!$E$52&lt;120,Paths!$E$52+'Operating costs'!$B$65&gt;Paths!$E$52,Paths!$E$52+'Operating costs'!$B$65&lt;=120,IF(Paths!$E$52+'Operating costs'!$B$65=0,C509=0,AND(C509&gt;0,Paths!$E$52+'Operating costs'!$B$65&gt;(C509-1)*12,Paths!$E$52+'Operating costs'!$B$65&lt;=C509*12))),'Operating costs'!$B$64,0)+IF(AND('Operating costs'!$B$67&gt;0,'Operating costs'!$B$67&lt;=120,OR(Paths!$D$52="ICE",'Operating costs'!$B$67&lt;=Paths!$E$52),IF('Operating costs'!$B$67=0,C509=0,AND(C509&gt;0,'Operating costs'!$B$67&gt;(C509-1)*12,'Operating costs'!$B$67&lt;=C509*12))),'Operating costs'!$B$66,0),"n.a."))</f>
        <v>0</v>
      </c>
      <c r="N509" s="16">
        <f>IF(NOT(Paths!$C$52=1),0,IF(Paths!$P$52="Complete",SUM(G509:I509)-J509-K509-L509+M509+IF(C509=0,Paths!$F$52,0)+IF(IF(Paths!$E$52=0,C509=0,AND(C509&gt;0,Paths!$E$52&gt;(C509-1)*12,Paths!$E$52&lt;=C509*12)),VLOOKUP(A509,'Fleet register'!$A$7:$S$106,16,FALSE),0),"n.a."))</f>
        <v>0</v>
      </c>
      <c r="O509" s="16">
        <f>IF(NOT(Paths!$C$52=1),0,IF(Paths!$P$52="Complete",N509-IF(C509=0,Paths!$F$52,0),"n.a."))</f>
        <v>0</v>
      </c>
      <c r="P509" s="16">
        <f>IF(NOT(Paths!$C$52=1),0,IF(Paths!$P$52="Complete",O509+L509,"n.a."))</f>
        <v>0</v>
      </c>
      <c r="Q509" s="16">
        <f>IF(NOT(Paths!$C$52=1),0,IF(Paths!$P$52="Complete",N509*(1+'Operating costs'!$B$54)^-C509,"n.a."))</f>
        <v>0</v>
      </c>
      <c r="R509" s="16">
        <f>IF(NOT(Paths!$C$52=1),0,IF(Paths!$P$52="Complete",IF(AND(C509=0,Paths!$E$52=0),I509-J509-K509+VLOOKUP(A509,'Fleet register'!$A$7:$S$106,15,FALSE)+VLOOKUP(A509,'Fleet register'!$A$7:$S$106,16,FALSE),0),"n.a."))</f>
        <v>0</v>
      </c>
      <c r="S509" s="1">
        <f>IF(NOT(Paths!$C$52=1),0,IF(Paths!$P$52="Complete",IF(C509=0,0,Paths!$S$52*Paths!$R$52),"n.a."))</f>
        <v>0</v>
      </c>
      <c r="T509" s="1">
        <f>IF(NOT(Paths!$C$52=1),0,IF(Paths!$P$52="Complete",IF(C509=0,0,VLOOKUP(A509,'Fleet register'!$A$7:$S$106,9,FALSE)*Paths!$R$52),"n.a."))</f>
        <v>0</v>
      </c>
    </row>
    <row r="510" spans="1:20" ht="24" customHeight="1">
      <c r="A510" s="1" t="str">
        <f>Paths!$A$52</f>
        <v>T012</v>
      </c>
      <c r="B510" s="1">
        <f>Paths!$B$52</f>
        <v>1</v>
      </c>
      <c r="C510" s="1">
        <v>8</v>
      </c>
      <c r="D510" s="1">
        <v>52</v>
      </c>
      <c r="E510" s="1">
        <f>IF(OR(Paths!$C$52=0,C510=0),0,MAX(0,MIN(C510*12,Paths!$E$52)-(C510-1)*12))</f>
        <v>0</v>
      </c>
      <c r="F510" s="1">
        <f>IF(OR(Paths!$C$52=0,C510=0),0,12-E510)</f>
        <v>0</v>
      </c>
      <c r="G510" s="16">
        <f>IF(NOT(Paths!$C$52=1),0,IF(Paths!$P$52="Complete",E510/12*(Paths!$J$52*(1+'Operating costs'!$B$51)^MAX(0,C510-1)+Paths!$K$52*(1+'Operating costs'!$B$53)^MAX(0,C510-1)),"n.a."))</f>
        <v>0</v>
      </c>
      <c r="H510" s="16">
        <f>IF(NOT(Paths!$C$52=1),0,IF(Paths!$P$52="Complete",F510/12*(Paths!$L$52*(1+IF(Paths!$D$52="EV",'Operating costs'!$B$52,'Operating costs'!$B$51))^MAX(0,C510-1)+Paths!$M$52*(1+'Operating costs'!$B$53)^MAX(0,C510-1)),"n.a."))</f>
        <v>0</v>
      </c>
      <c r="I510" s="16">
        <f>IF(NOT(Paths!$C$52=1),0,IF(Paths!$P$52="Complete",IF(IF(Paths!$E$52=0,C510=0,AND(C510&gt;0,Paths!$E$52&gt;(C510-1)*12,Paths!$E$52&lt;=C510*12)),Paths!$G$52,0),"n.a."))</f>
        <v>0</v>
      </c>
      <c r="J510" s="16">
        <f>IF(NOT(Paths!$C$52=1),0,IF(Paths!$P$52="Complete",IF(IF(Paths!$E$52=0,C510=0,AND(C510&gt;0,Paths!$E$52&gt;(C510-1)*12,Paths!$E$52&lt;=C510*12)),Paths!$H$52,0),"n.a."))</f>
        <v>0</v>
      </c>
      <c r="K510" s="16">
        <f>IF(NOT(Paths!$C$52=1),0,IF(Paths!$P$52="Complete",IF(IF(Paths!$O$52=0,C510=0,AND(C510&gt;0,Paths!$O$52&gt;(C510-1)*12,Paths!$O$52&lt;=C510*12)),Paths!$N$52,0),"n.a."))</f>
        <v>0</v>
      </c>
      <c r="L510" s="16">
        <f>IF(NOT(Paths!$C$52=1),0,IF(Paths!$P$52="Complete",IF(C510=10,Paths!$I$52,0),"n.a."))</f>
        <v>0</v>
      </c>
      <c r="M510" s="16">
        <f>IF(NOT(Paths!$C$52=1),0,IF(Paths!$P$52="Complete",IF(AND(Paths!$D$52="EV",Paths!$E$52&lt;120,Paths!$E$52+'Operating costs'!$B$65&gt;Paths!$E$52,Paths!$E$52+'Operating costs'!$B$65&lt;=120,IF(Paths!$E$52+'Operating costs'!$B$65=0,C510=0,AND(C510&gt;0,Paths!$E$52+'Operating costs'!$B$65&gt;(C510-1)*12,Paths!$E$52+'Operating costs'!$B$65&lt;=C510*12))),'Operating costs'!$B$64,0)+IF(AND('Operating costs'!$B$67&gt;0,'Operating costs'!$B$67&lt;=120,OR(Paths!$D$52="ICE",'Operating costs'!$B$67&lt;=Paths!$E$52),IF('Operating costs'!$B$67=0,C510=0,AND(C510&gt;0,'Operating costs'!$B$67&gt;(C510-1)*12,'Operating costs'!$B$67&lt;=C510*12))),'Operating costs'!$B$66,0),"n.a."))</f>
        <v>0</v>
      </c>
      <c r="N510" s="16">
        <f>IF(NOT(Paths!$C$52=1),0,IF(Paths!$P$52="Complete",SUM(G510:I510)-J510-K510-L510+M510+IF(C510=0,Paths!$F$52,0)+IF(IF(Paths!$E$52=0,C510=0,AND(C510&gt;0,Paths!$E$52&gt;(C510-1)*12,Paths!$E$52&lt;=C510*12)),VLOOKUP(A510,'Fleet register'!$A$7:$S$106,16,FALSE),0),"n.a."))</f>
        <v>0</v>
      </c>
      <c r="O510" s="16">
        <f>IF(NOT(Paths!$C$52=1),0,IF(Paths!$P$52="Complete",N510-IF(C510=0,Paths!$F$52,0),"n.a."))</f>
        <v>0</v>
      </c>
      <c r="P510" s="16">
        <f>IF(NOT(Paths!$C$52=1),0,IF(Paths!$P$52="Complete",O510+L510,"n.a."))</f>
        <v>0</v>
      </c>
      <c r="Q510" s="16">
        <f>IF(NOT(Paths!$C$52=1),0,IF(Paths!$P$52="Complete",N510*(1+'Operating costs'!$B$54)^-C510,"n.a."))</f>
        <v>0</v>
      </c>
      <c r="R510" s="16">
        <f>IF(NOT(Paths!$C$52=1),0,IF(Paths!$P$52="Complete",IF(AND(C510=0,Paths!$E$52=0),I510-J510-K510+VLOOKUP(A510,'Fleet register'!$A$7:$S$106,15,FALSE)+VLOOKUP(A510,'Fleet register'!$A$7:$S$106,16,FALSE),0),"n.a."))</f>
        <v>0</v>
      </c>
      <c r="S510" s="1">
        <f>IF(NOT(Paths!$C$52=1),0,IF(Paths!$P$52="Complete",IF(C510=0,0,Paths!$S$52*Paths!$R$52),"n.a."))</f>
        <v>0</v>
      </c>
      <c r="T510" s="1">
        <f>IF(NOT(Paths!$C$52=1),0,IF(Paths!$P$52="Complete",IF(C510=0,0,VLOOKUP(A510,'Fleet register'!$A$7:$S$106,9,FALSE)*Paths!$R$52),"n.a."))</f>
        <v>0</v>
      </c>
    </row>
    <row r="511" spans="1:20" ht="24" customHeight="1">
      <c r="A511" s="1" t="str">
        <f>Paths!$A$52</f>
        <v>T012</v>
      </c>
      <c r="B511" s="1">
        <f>Paths!$B$52</f>
        <v>1</v>
      </c>
      <c r="C511" s="1">
        <v>9</v>
      </c>
      <c r="D511" s="1">
        <v>52</v>
      </c>
      <c r="E511" s="1">
        <f>IF(OR(Paths!$C$52=0,C511=0),0,MAX(0,MIN(C511*12,Paths!$E$52)-(C511-1)*12))</f>
        <v>0</v>
      </c>
      <c r="F511" s="1">
        <f>IF(OR(Paths!$C$52=0,C511=0),0,12-E511)</f>
        <v>0</v>
      </c>
      <c r="G511" s="16">
        <f>IF(NOT(Paths!$C$52=1),0,IF(Paths!$P$52="Complete",E511/12*(Paths!$J$52*(1+'Operating costs'!$B$51)^MAX(0,C511-1)+Paths!$K$52*(1+'Operating costs'!$B$53)^MAX(0,C511-1)),"n.a."))</f>
        <v>0</v>
      </c>
      <c r="H511" s="16">
        <f>IF(NOT(Paths!$C$52=1),0,IF(Paths!$P$52="Complete",F511/12*(Paths!$L$52*(1+IF(Paths!$D$52="EV",'Operating costs'!$B$52,'Operating costs'!$B$51))^MAX(0,C511-1)+Paths!$M$52*(1+'Operating costs'!$B$53)^MAX(0,C511-1)),"n.a."))</f>
        <v>0</v>
      </c>
      <c r="I511" s="16">
        <f>IF(NOT(Paths!$C$52=1),0,IF(Paths!$P$52="Complete",IF(IF(Paths!$E$52=0,C511=0,AND(C511&gt;0,Paths!$E$52&gt;(C511-1)*12,Paths!$E$52&lt;=C511*12)),Paths!$G$52,0),"n.a."))</f>
        <v>0</v>
      </c>
      <c r="J511" s="16">
        <f>IF(NOT(Paths!$C$52=1),0,IF(Paths!$P$52="Complete",IF(IF(Paths!$E$52=0,C511=0,AND(C511&gt;0,Paths!$E$52&gt;(C511-1)*12,Paths!$E$52&lt;=C511*12)),Paths!$H$52,0),"n.a."))</f>
        <v>0</v>
      </c>
      <c r="K511" s="16">
        <f>IF(NOT(Paths!$C$52=1),0,IF(Paths!$P$52="Complete",IF(IF(Paths!$O$52=0,C511=0,AND(C511&gt;0,Paths!$O$52&gt;(C511-1)*12,Paths!$O$52&lt;=C511*12)),Paths!$N$52,0),"n.a."))</f>
        <v>0</v>
      </c>
      <c r="L511" s="16">
        <f>IF(NOT(Paths!$C$52=1),0,IF(Paths!$P$52="Complete",IF(C511=10,Paths!$I$52,0),"n.a."))</f>
        <v>0</v>
      </c>
      <c r="M511" s="16">
        <f>IF(NOT(Paths!$C$52=1),0,IF(Paths!$P$52="Complete",IF(AND(Paths!$D$52="EV",Paths!$E$52&lt;120,Paths!$E$52+'Operating costs'!$B$65&gt;Paths!$E$52,Paths!$E$52+'Operating costs'!$B$65&lt;=120,IF(Paths!$E$52+'Operating costs'!$B$65=0,C511=0,AND(C511&gt;0,Paths!$E$52+'Operating costs'!$B$65&gt;(C511-1)*12,Paths!$E$52+'Operating costs'!$B$65&lt;=C511*12))),'Operating costs'!$B$64,0)+IF(AND('Operating costs'!$B$67&gt;0,'Operating costs'!$B$67&lt;=120,OR(Paths!$D$52="ICE",'Operating costs'!$B$67&lt;=Paths!$E$52),IF('Operating costs'!$B$67=0,C511=0,AND(C511&gt;0,'Operating costs'!$B$67&gt;(C511-1)*12,'Operating costs'!$B$67&lt;=C511*12))),'Operating costs'!$B$66,0),"n.a."))</f>
        <v>0</v>
      </c>
      <c r="N511" s="16">
        <f>IF(NOT(Paths!$C$52=1),0,IF(Paths!$P$52="Complete",SUM(G511:I511)-J511-K511-L511+M511+IF(C511=0,Paths!$F$52,0)+IF(IF(Paths!$E$52=0,C511=0,AND(C511&gt;0,Paths!$E$52&gt;(C511-1)*12,Paths!$E$52&lt;=C511*12)),VLOOKUP(A511,'Fleet register'!$A$7:$S$106,16,FALSE),0),"n.a."))</f>
        <v>0</v>
      </c>
      <c r="O511" s="16">
        <f>IF(NOT(Paths!$C$52=1),0,IF(Paths!$P$52="Complete",N511-IF(C511=0,Paths!$F$52,0),"n.a."))</f>
        <v>0</v>
      </c>
      <c r="P511" s="16">
        <f>IF(NOT(Paths!$C$52=1),0,IF(Paths!$P$52="Complete",O511+L511,"n.a."))</f>
        <v>0</v>
      </c>
      <c r="Q511" s="16">
        <f>IF(NOT(Paths!$C$52=1),0,IF(Paths!$P$52="Complete",N511*(1+'Operating costs'!$B$54)^-C511,"n.a."))</f>
        <v>0</v>
      </c>
      <c r="R511" s="16">
        <f>IF(NOT(Paths!$C$52=1),0,IF(Paths!$P$52="Complete",IF(AND(C511=0,Paths!$E$52=0),I511-J511-K511+VLOOKUP(A511,'Fleet register'!$A$7:$S$106,15,FALSE)+VLOOKUP(A511,'Fleet register'!$A$7:$S$106,16,FALSE),0),"n.a."))</f>
        <v>0</v>
      </c>
      <c r="S511" s="1">
        <f>IF(NOT(Paths!$C$52=1),0,IF(Paths!$P$52="Complete",IF(C511=0,0,Paths!$S$52*Paths!$R$52),"n.a."))</f>
        <v>0</v>
      </c>
      <c r="T511" s="1">
        <f>IF(NOT(Paths!$C$52=1),0,IF(Paths!$P$52="Complete",IF(C511=0,0,VLOOKUP(A511,'Fleet register'!$A$7:$S$106,9,FALSE)*Paths!$R$52),"n.a."))</f>
        <v>0</v>
      </c>
    </row>
    <row r="512" spans="1:20" ht="24" customHeight="1">
      <c r="A512" s="1" t="str">
        <f>Paths!$A$52</f>
        <v>T012</v>
      </c>
      <c r="B512" s="1">
        <f>Paths!$B$52</f>
        <v>1</v>
      </c>
      <c r="C512" s="1">
        <v>10</v>
      </c>
      <c r="D512" s="1">
        <v>52</v>
      </c>
      <c r="E512" s="1">
        <f>IF(OR(Paths!$C$52=0,C512=0),0,MAX(0,MIN(C512*12,Paths!$E$52)-(C512-1)*12))</f>
        <v>0</v>
      </c>
      <c r="F512" s="1">
        <f>IF(OR(Paths!$C$52=0,C512=0),0,12-E512)</f>
        <v>0</v>
      </c>
      <c r="G512" s="16">
        <f>IF(NOT(Paths!$C$52=1),0,IF(Paths!$P$52="Complete",E512/12*(Paths!$J$52*(1+'Operating costs'!$B$51)^MAX(0,C512-1)+Paths!$K$52*(1+'Operating costs'!$B$53)^MAX(0,C512-1)),"n.a."))</f>
        <v>0</v>
      </c>
      <c r="H512" s="16">
        <f>IF(NOT(Paths!$C$52=1),0,IF(Paths!$P$52="Complete",F512/12*(Paths!$L$52*(1+IF(Paths!$D$52="EV",'Operating costs'!$B$52,'Operating costs'!$B$51))^MAX(0,C512-1)+Paths!$M$52*(1+'Operating costs'!$B$53)^MAX(0,C512-1)),"n.a."))</f>
        <v>0</v>
      </c>
      <c r="I512" s="16">
        <f>IF(NOT(Paths!$C$52=1),0,IF(Paths!$P$52="Complete",IF(IF(Paths!$E$52=0,C512=0,AND(C512&gt;0,Paths!$E$52&gt;(C512-1)*12,Paths!$E$52&lt;=C512*12)),Paths!$G$52,0),"n.a."))</f>
        <v>0</v>
      </c>
      <c r="J512" s="16">
        <f>IF(NOT(Paths!$C$52=1),0,IF(Paths!$P$52="Complete",IF(IF(Paths!$E$52=0,C512=0,AND(C512&gt;0,Paths!$E$52&gt;(C512-1)*12,Paths!$E$52&lt;=C512*12)),Paths!$H$52,0),"n.a."))</f>
        <v>0</v>
      </c>
      <c r="K512" s="16">
        <f>IF(NOT(Paths!$C$52=1),0,IF(Paths!$P$52="Complete",IF(IF(Paths!$O$52=0,C512=0,AND(C512&gt;0,Paths!$O$52&gt;(C512-1)*12,Paths!$O$52&lt;=C512*12)),Paths!$N$52,0),"n.a."))</f>
        <v>0</v>
      </c>
      <c r="L512" s="16">
        <f>IF(NOT(Paths!$C$52=1),0,IF(Paths!$P$52="Complete",IF(C512=10,Paths!$I$52,0),"n.a."))</f>
        <v>0</v>
      </c>
      <c r="M512" s="16">
        <f>IF(NOT(Paths!$C$52=1),0,IF(Paths!$P$52="Complete",IF(AND(Paths!$D$52="EV",Paths!$E$52&lt;120,Paths!$E$52+'Operating costs'!$B$65&gt;Paths!$E$52,Paths!$E$52+'Operating costs'!$B$65&lt;=120,IF(Paths!$E$52+'Operating costs'!$B$65=0,C512=0,AND(C512&gt;0,Paths!$E$52+'Operating costs'!$B$65&gt;(C512-1)*12,Paths!$E$52+'Operating costs'!$B$65&lt;=C512*12))),'Operating costs'!$B$64,0)+IF(AND('Operating costs'!$B$67&gt;0,'Operating costs'!$B$67&lt;=120,OR(Paths!$D$52="ICE",'Operating costs'!$B$67&lt;=Paths!$E$52),IF('Operating costs'!$B$67=0,C512=0,AND(C512&gt;0,'Operating costs'!$B$67&gt;(C512-1)*12,'Operating costs'!$B$67&lt;=C512*12))),'Operating costs'!$B$66,0),"n.a."))</f>
        <v>0</v>
      </c>
      <c r="N512" s="16">
        <f>IF(NOT(Paths!$C$52=1),0,IF(Paths!$P$52="Complete",SUM(G512:I512)-J512-K512-L512+M512+IF(C512=0,Paths!$F$52,0)+IF(IF(Paths!$E$52=0,C512=0,AND(C512&gt;0,Paths!$E$52&gt;(C512-1)*12,Paths!$E$52&lt;=C512*12)),VLOOKUP(A512,'Fleet register'!$A$7:$S$106,16,FALSE),0),"n.a."))</f>
        <v>0</v>
      </c>
      <c r="O512" s="16">
        <f>IF(NOT(Paths!$C$52=1),0,IF(Paths!$P$52="Complete",N512-IF(C512=0,Paths!$F$52,0),"n.a."))</f>
        <v>0</v>
      </c>
      <c r="P512" s="16">
        <f>IF(NOT(Paths!$C$52=1),0,IF(Paths!$P$52="Complete",O512+L512,"n.a."))</f>
        <v>0</v>
      </c>
      <c r="Q512" s="16">
        <f>IF(NOT(Paths!$C$52=1),0,IF(Paths!$P$52="Complete",N512*(1+'Operating costs'!$B$54)^-C512,"n.a."))</f>
        <v>0</v>
      </c>
      <c r="R512" s="16">
        <f>IF(NOT(Paths!$C$52=1),0,IF(Paths!$P$52="Complete",IF(AND(C512=0,Paths!$E$52=0),I512-J512-K512+VLOOKUP(A512,'Fleet register'!$A$7:$S$106,15,FALSE)+VLOOKUP(A512,'Fleet register'!$A$7:$S$106,16,FALSE),0),"n.a."))</f>
        <v>0</v>
      </c>
      <c r="S512" s="1">
        <f>IF(NOT(Paths!$C$52=1),0,IF(Paths!$P$52="Complete",IF(C512=0,0,Paths!$S$52*Paths!$R$52),"n.a."))</f>
        <v>0</v>
      </c>
      <c r="T512" s="1">
        <f>IF(NOT(Paths!$C$52=1),0,IF(Paths!$P$52="Complete",IF(C512=0,0,VLOOKUP(A512,'Fleet register'!$A$7:$S$106,9,FALSE)*Paths!$R$52),"n.a."))</f>
        <v>0</v>
      </c>
    </row>
    <row r="513" spans="1:20" ht="24" customHeight="1">
      <c r="A513" s="1" t="str">
        <f>Paths!$A$53</f>
        <v>T012</v>
      </c>
      <c r="B513" s="1">
        <f>Paths!$B$53</f>
        <v>2</v>
      </c>
      <c r="C513" s="1">
        <v>0</v>
      </c>
      <c r="D513" s="1">
        <v>53</v>
      </c>
      <c r="E513" s="1">
        <f>IF(OR(Paths!$C$53=0,C513=0),0,MAX(0,MIN(C513*12,Paths!$E$53)-(C513-1)*12))</f>
        <v>0</v>
      </c>
      <c r="F513" s="1">
        <f>IF(OR(Paths!$C$53=0,C513=0),0,12-E513)</f>
        <v>0</v>
      </c>
      <c r="G513" s="16">
        <f>IF(NOT(Paths!$C$53=1),0,IF(Paths!$P$53="Complete",E513/12*(Paths!$J$53*(1+'Operating costs'!$B$51)^MAX(0,C513-1)+Paths!$K$53*(1+'Operating costs'!$B$53)^MAX(0,C513-1)),"n.a."))</f>
        <v>0</v>
      </c>
      <c r="H513" s="16">
        <f>IF(NOT(Paths!$C$53=1),0,IF(Paths!$P$53="Complete",F513/12*(Paths!$L$53*(1+IF(Paths!$D$53="EV",'Operating costs'!$B$52,'Operating costs'!$B$51))^MAX(0,C513-1)+Paths!$M$53*(1+'Operating costs'!$B$53)^MAX(0,C513-1)),"n.a."))</f>
        <v>0</v>
      </c>
      <c r="I513" s="16">
        <f>IF(NOT(Paths!$C$53=1),0,IF(Paths!$P$53="Complete",IF(IF(Paths!$E$53=0,C513=0,AND(C513&gt;0,Paths!$E$53&gt;(C513-1)*12,Paths!$E$53&lt;=C513*12)),Paths!$G$53,0),"n.a."))</f>
        <v>0</v>
      </c>
      <c r="J513" s="16">
        <f>IF(NOT(Paths!$C$53=1),0,IF(Paths!$P$53="Complete",IF(IF(Paths!$E$53=0,C513=0,AND(C513&gt;0,Paths!$E$53&gt;(C513-1)*12,Paths!$E$53&lt;=C513*12)),Paths!$H$53,0),"n.a."))</f>
        <v>0</v>
      </c>
      <c r="K513" s="16">
        <f>IF(NOT(Paths!$C$53=1),0,IF(Paths!$P$53="Complete",IF(IF(Paths!$O$53=0,C513=0,AND(C513&gt;0,Paths!$O$53&gt;(C513-1)*12,Paths!$O$53&lt;=C513*12)),Paths!$N$53,0),"n.a."))</f>
        <v>0</v>
      </c>
      <c r="L513" s="16">
        <f>IF(NOT(Paths!$C$53=1),0,IF(Paths!$P$53="Complete",IF(C513=10,Paths!$I$53,0),"n.a."))</f>
        <v>0</v>
      </c>
      <c r="M513" s="16">
        <f>IF(NOT(Paths!$C$53=1),0,IF(Paths!$P$53="Complete",IF(AND(Paths!$D$53="EV",Paths!$E$53&lt;120,Paths!$E$53+'Operating costs'!$B$65&gt;Paths!$E$53,Paths!$E$53+'Operating costs'!$B$65&lt;=120,IF(Paths!$E$53+'Operating costs'!$B$65=0,C513=0,AND(C513&gt;0,Paths!$E$53+'Operating costs'!$B$65&gt;(C513-1)*12,Paths!$E$53+'Operating costs'!$B$65&lt;=C513*12))),'Operating costs'!$B$64,0)+IF(AND('Operating costs'!$B$67&gt;0,'Operating costs'!$B$67&lt;=120,OR(Paths!$D$53="ICE",'Operating costs'!$B$67&lt;=Paths!$E$53),IF('Operating costs'!$B$67=0,C513=0,AND(C513&gt;0,'Operating costs'!$B$67&gt;(C513-1)*12,'Operating costs'!$B$67&lt;=C513*12))),'Operating costs'!$B$66,0),"n.a."))</f>
        <v>0</v>
      </c>
      <c r="N513" s="16">
        <f>IF(NOT(Paths!$C$53=1),0,IF(Paths!$P$53="Complete",SUM(G513:I513)-J513-K513-L513+M513+IF(C513=0,Paths!$F$53,0)+IF(IF(Paths!$E$53=0,C513=0,AND(C513&gt;0,Paths!$E$53&gt;(C513-1)*12,Paths!$E$53&lt;=C513*12)),VLOOKUP(A513,'Fleet register'!$A$7:$S$106,16,FALSE),0),"n.a."))</f>
        <v>0</v>
      </c>
      <c r="O513" s="16">
        <f>IF(NOT(Paths!$C$53=1),0,IF(Paths!$P$53="Complete",N513-IF(C513=0,Paths!$F$53,0),"n.a."))</f>
        <v>0</v>
      </c>
      <c r="P513" s="16">
        <f>IF(NOT(Paths!$C$53=1),0,IF(Paths!$P$53="Complete",O513+L513,"n.a."))</f>
        <v>0</v>
      </c>
      <c r="Q513" s="16">
        <f>IF(NOT(Paths!$C$53=1),0,IF(Paths!$P$53="Complete",N513*(1+'Operating costs'!$B$54)^-C513,"n.a."))</f>
        <v>0</v>
      </c>
      <c r="R513" s="16">
        <f>IF(NOT(Paths!$C$53=1),0,IF(Paths!$P$53="Complete",IF(AND(C513=0,Paths!$E$53=0),I513-J513-K513+VLOOKUP(A513,'Fleet register'!$A$7:$S$106,15,FALSE)+VLOOKUP(A513,'Fleet register'!$A$7:$S$106,16,FALSE),0),"n.a."))</f>
        <v>0</v>
      </c>
      <c r="S513" s="1">
        <f>IF(NOT(Paths!$C$53=1),0,IF(Paths!$P$53="Complete",IF(C513=0,0,Paths!$S$53*Paths!$R$53),"n.a."))</f>
        <v>0</v>
      </c>
      <c r="T513" s="1">
        <f>IF(NOT(Paths!$C$53=1),0,IF(Paths!$P$53="Complete",IF(C513=0,0,VLOOKUP(A513,'Fleet register'!$A$7:$S$106,9,FALSE)*Paths!$R$53),"n.a."))</f>
        <v>0</v>
      </c>
    </row>
    <row r="514" spans="1:20" ht="24" customHeight="1">
      <c r="A514" s="1" t="str">
        <f>Paths!$A$53</f>
        <v>T012</v>
      </c>
      <c r="B514" s="1">
        <f>Paths!$B$53</f>
        <v>2</v>
      </c>
      <c r="C514" s="1">
        <v>1</v>
      </c>
      <c r="D514" s="1">
        <v>53</v>
      </c>
      <c r="E514" s="1">
        <f>IF(OR(Paths!$C$53=0,C514=0),0,MAX(0,MIN(C514*12,Paths!$E$53)-(C514-1)*12))</f>
        <v>0</v>
      </c>
      <c r="F514" s="1">
        <f>IF(OR(Paths!$C$53=0,C514=0),0,12-E514)</f>
        <v>0</v>
      </c>
      <c r="G514" s="16">
        <f>IF(NOT(Paths!$C$53=1),0,IF(Paths!$P$53="Complete",E514/12*(Paths!$J$53*(1+'Operating costs'!$B$51)^MAX(0,C514-1)+Paths!$K$53*(1+'Operating costs'!$B$53)^MAX(0,C514-1)),"n.a."))</f>
        <v>0</v>
      </c>
      <c r="H514" s="16">
        <f>IF(NOT(Paths!$C$53=1),0,IF(Paths!$P$53="Complete",F514/12*(Paths!$L$53*(1+IF(Paths!$D$53="EV",'Operating costs'!$B$52,'Operating costs'!$B$51))^MAX(0,C514-1)+Paths!$M$53*(1+'Operating costs'!$B$53)^MAX(0,C514-1)),"n.a."))</f>
        <v>0</v>
      </c>
      <c r="I514" s="16">
        <f>IF(NOT(Paths!$C$53=1),0,IF(Paths!$P$53="Complete",IF(IF(Paths!$E$53=0,C514=0,AND(C514&gt;0,Paths!$E$53&gt;(C514-1)*12,Paths!$E$53&lt;=C514*12)),Paths!$G$53,0),"n.a."))</f>
        <v>0</v>
      </c>
      <c r="J514" s="16">
        <f>IF(NOT(Paths!$C$53=1),0,IF(Paths!$P$53="Complete",IF(IF(Paths!$E$53=0,C514=0,AND(C514&gt;0,Paths!$E$53&gt;(C514-1)*12,Paths!$E$53&lt;=C514*12)),Paths!$H$53,0),"n.a."))</f>
        <v>0</v>
      </c>
      <c r="K514" s="16">
        <f>IF(NOT(Paths!$C$53=1),0,IF(Paths!$P$53="Complete",IF(IF(Paths!$O$53=0,C514=0,AND(C514&gt;0,Paths!$O$53&gt;(C514-1)*12,Paths!$O$53&lt;=C514*12)),Paths!$N$53,0),"n.a."))</f>
        <v>0</v>
      </c>
      <c r="L514" s="16">
        <f>IF(NOT(Paths!$C$53=1),0,IF(Paths!$P$53="Complete",IF(C514=10,Paths!$I$53,0),"n.a."))</f>
        <v>0</v>
      </c>
      <c r="M514" s="16">
        <f>IF(NOT(Paths!$C$53=1),0,IF(Paths!$P$53="Complete",IF(AND(Paths!$D$53="EV",Paths!$E$53&lt;120,Paths!$E$53+'Operating costs'!$B$65&gt;Paths!$E$53,Paths!$E$53+'Operating costs'!$B$65&lt;=120,IF(Paths!$E$53+'Operating costs'!$B$65=0,C514=0,AND(C514&gt;0,Paths!$E$53+'Operating costs'!$B$65&gt;(C514-1)*12,Paths!$E$53+'Operating costs'!$B$65&lt;=C514*12))),'Operating costs'!$B$64,0)+IF(AND('Operating costs'!$B$67&gt;0,'Operating costs'!$B$67&lt;=120,OR(Paths!$D$53="ICE",'Operating costs'!$B$67&lt;=Paths!$E$53),IF('Operating costs'!$B$67=0,C514=0,AND(C514&gt;0,'Operating costs'!$B$67&gt;(C514-1)*12,'Operating costs'!$B$67&lt;=C514*12))),'Operating costs'!$B$66,0),"n.a."))</f>
        <v>0</v>
      </c>
      <c r="N514" s="16">
        <f>IF(NOT(Paths!$C$53=1),0,IF(Paths!$P$53="Complete",SUM(G514:I514)-J514-K514-L514+M514+IF(C514=0,Paths!$F$53,0)+IF(IF(Paths!$E$53=0,C514=0,AND(C514&gt;0,Paths!$E$53&gt;(C514-1)*12,Paths!$E$53&lt;=C514*12)),VLOOKUP(A514,'Fleet register'!$A$7:$S$106,16,FALSE),0),"n.a."))</f>
        <v>0</v>
      </c>
      <c r="O514" s="16">
        <f>IF(NOT(Paths!$C$53=1),0,IF(Paths!$P$53="Complete",N514-IF(C514=0,Paths!$F$53,0),"n.a."))</f>
        <v>0</v>
      </c>
      <c r="P514" s="16">
        <f>IF(NOT(Paths!$C$53=1),0,IF(Paths!$P$53="Complete",O514+L514,"n.a."))</f>
        <v>0</v>
      </c>
      <c r="Q514" s="16">
        <f>IF(NOT(Paths!$C$53=1),0,IF(Paths!$P$53="Complete",N514*(1+'Operating costs'!$B$54)^-C514,"n.a."))</f>
        <v>0</v>
      </c>
      <c r="R514" s="16">
        <f>IF(NOT(Paths!$C$53=1),0,IF(Paths!$P$53="Complete",IF(AND(C514=0,Paths!$E$53=0),I514-J514-K514+VLOOKUP(A514,'Fleet register'!$A$7:$S$106,15,FALSE)+VLOOKUP(A514,'Fleet register'!$A$7:$S$106,16,FALSE),0),"n.a."))</f>
        <v>0</v>
      </c>
      <c r="S514" s="1">
        <f>IF(NOT(Paths!$C$53=1),0,IF(Paths!$P$53="Complete",IF(C514=0,0,Paths!$S$53*Paths!$R$53),"n.a."))</f>
        <v>0</v>
      </c>
      <c r="T514" s="1">
        <f>IF(NOT(Paths!$C$53=1),0,IF(Paths!$P$53="Complete",IF(C514=0,0,VLOOKUP(A514,'Fleet register'!$A$7:$S$106,9,FALSE)*Paths!$R$53),"n.a."))</f>
        <v>0</v>
      </c>
    </row>
    <row r="515" spans="1:20" ht="24" customHeight="1">
      <c r="A515" s="1" t="str">
        <f>Paths!$A$53</f>
        <v>T012</v>
      </c>
      <c r="B515" s="1">
        <f>Paths!$B$53</f>
        <v>2</v>
      </c>
      <c r="C515" s="1">
        <v>2</v>
      </c>
      <c r="D515" s="1">
        <v>53</v>
      </c>
      <c r="E515" s="1">
        <f>IF(OR(Paths!$C$53=0,C515=0),0,MAX(0,MIN(C515*12,Paths!$E$53)-(C515-1)*12))</f>
        <v>0</v>
      </c>
      <c r="F515" s="1">
        <f>IF(OR(Paths!$C$53=0,C515=0),0,12-E515)</f>
        <v>0</v>
      </c>
      <c r="G515" s="16">
        <f>IF(NOT(Paths!$C$53=1),0,IF(Paths!$P$53="Complete",E515/12*(Paths!$J$53*(1+'Operating costs'!$B$51)^MAX(0,C515-1)+Paths!$K$53*(1+'Operating costs'!$B$53)^MAX(0,C515-1)),"n.a."))</f>
        <v>0</v>
      </c>
      <c r="H515" s="16">
        <f>IF(NOT(Paths!$C$53=1),0,IF(Paths!$P$53="Complete",F515/12*(Paths!$L$53*(1+IF(Paths!$D$53="EV",'Operating costs'!$B$52,'Operating costs'!$B$51))^MAX(0,C515-1)+Paths!$M$53*(1+'Operating costs'!$B$53)^MAX(0,C515-1)),"n.a."))</f>
        <v>0</v>
      </c>
      <c r="I515" s="16">
        <f>IF(NOT(Paths!$C$53=1),0,IF(Paths!$P$53="Complete",IF(IF(Paths!$E$53=0,C515=0,AND(C515&gt;0,Paths!$E$53&gt;(C515-1)*12,Paths!$E$53&lt;=C515*12)),Paths!$G$53,0),"n.a."))</f>
        <v>0</v>
      </c>
      <c r="J515" s="16">
        <f>IF(NOT(Paths!$C$53=1),0,IF(Paths!$P$53="Complete",IF(IF(Paths!$E$53=0,C515=0,AND(C515&gt;0,Paths!$E$53&gt;(C515-1)*12,Paths!$E$53&lt;=C515*12)),Paths!$H$53,0),"n.a."))</f>
        <v>0</v>
      </c>
      <c r="K515" s="16">
        <f>IF(NOT(Paths!$C$53=1),0,IF(Paths!$P$53="Complete",IF(IF(Paths!$O$53=0,C515=0,AND(C515&gt;0,Paths!$O$53&gt;(C515-1)*12,Paths!$O$53&lt;=C515*12)),Paths!$N$53,0),"n.a."))</f>
        <v>0</v>
      </c>
      <c r="L515" s="16">
        <f>IF(NOT(Paths!$C$53=1),0,IF(Paths!$P$53="Complete",IF(C515=10,Paths!$I$53,0),"n.a."))</f>
        <v>0</v>
      </c>
      <c r="M515" s="16">
        <f>IF(NOT(Paths!$C$53=1),0,IF(Paths!$P$53="Complete",IF(AND(Paths!$D$53="EV",Paths!$E$53&lt;120,Paths!$E$53+'Operating costs'!$B$65&gt;Paths!$E$53,Paths!$E$53+'Operating costs'!$B$65&lt;=120,IF(Paths!$E$53+'Operating costs'!$B$65=0,C515=0,AND(C515&gt;0,Paths!$E$53+'Operating costs'!$B$65&gt;(C515-1)*12,Paths!$E$53+'Operating costs'!$B$65&lt;=C515*12))),'Operating costs'!$B$64,0)+IF(AND('Operating costs'!$B$67&gt;0,'Operating costs'!$B$67&lt;=120,OR(Paths!$D$53="ICE",'Operating costs'!$B$67&lt;=Paths!$E$53),IF('Operating costs'!$B$67=0,C515=0,AND(C515&gt;0,'Operating costs'!$B$67&gt;(C515-1)*12,'Operating costs'!$B$67&lt;=C515*12))),'Operating costs'!$B$66,0),"n.a."))</f>
        <v>0</v>
      </c>
      <c r="N515" s="16">
        <f>IF(NOT(Paths!$C$53=1),0,IF(Paths!$P$53="Complete",SUM(G515:I515)-J515-K515-L515+M515+IF(C515=0,Paths!$F$53,0)+IF(IF(Paths!$E$53=0,C515=0,AND(C515&gt;0,Paths!$E$53&gt;(C515-1)*12,Paths!$E$53&lt;=C515*12)),VLOOKUP(A515,'Fleet register'!$A$7:$S$106,16,FALSE),0),"n.a."))</f>
        <v>0</v>
      </c>
      <c r="O515" s="16">
        <f>IF(NOT(Paths!$C$53=1),0,IF(Paths!$P$53="Complete",N515-IF(C515=0,Paths!$F$53,0),"n.a."))</f>
        <v>0</v>
      </c>
      <c r="P515" s="16">
        <f>IF(NOT(Paths!$C$53=1),0,IF(Paths!$P$53="Complete",O515+L515,"n.a."))</f>
        <v>0</v>
      </c>
      <c r="Q515" s="16">
        <f>IF(NOT(Paths!$C$53=1),0,IF(Paths!$P$53="Complete",N515*(1+'Operating costs'!$B$54)^-C515,"n.a."))</f>
        <v>0</v>
      </c>
      <c r="R515" s="16">
        <f>IF(NOT(Paths!$C$53=1),0,IF(Paths!$P$53="Complete",IF(AND(C515=0,Paths!$E$53=0),I515-J515-K515+VLOOKUP(A515,'Fleet register'!$A$7:$S$106,15,FALSE)+VLOOKUP(A515,'Fleet register'!$A$7:$S$106,16,FALSE),0),"n.a."))</f>
        <v>0</v>
      </c>
      <c r="S515" s="1">
        <f>IF(NOT(Paths!$C$53=1),0,IF(Paths!$P$53="Complete",IF(C515=0,0,Paths!$S$53*Paths!$R$53),"n.a."))</f>
        <v>0</v>
      </c>
      <c r="T515" s="1">
        <f>IF(NOT(Paths!$C$53=1),0,IF(Paths!$P$53="Complete",IF(C515=0,0,VLOOKUP(A515,'Fleet register'!$A$7:$S$106,9,FALSE)*Paths!$R$53),"n.a."))</f>
        <v>0</v>
      </c>
    </row>
    <row r="516" spans="1:20" ht="24" customHeight="1">
      <c r="A516" s="1" t="str">
        <f>Paths!$A$53</f>
        <v>T012</v>
      </c>
      <c r="B516" s="1">
        <f>Paths!$B$53</f>
        <v>2</v>
      </c>
      <c r="C516" s="1">
        <v>3</v>
      </c>
      <c r="D516" s="1">
        <v>53</v>
      </c>
      <c r="E516" s="1">
        <f>IF(OR(Paths!$C$53=0,C516=0),0,MAX(0,MIN(C516*12,Paths!$E$53)-(C516-1)*12))</f>
        <v>0</v>
      </c>
      <c r="F516" s="1">
        <f>IF(OR(Paths!$C$53=0,C516=0),0,12-E516)</f>
        <v>0</v>
      </c>
      <c r="G516" s="16">
        <f>IF(NOT(Paths!$C$53=1),0,IF(Paths!$P$53="Complete",E516/12*(Paths!$J$53*(1+'Operating costs'!$B$51)^MAX(0,C516-1)+Paths!$K$53*(1+'Operating costs'!$B$53)^MAX(0,C516-1)),"n.a."))</f>
        <v>0</v>
      </c>
      <c r="H516" s="16">
        <f>IF(NOT(Paths!$C$53=1),0,IF(Paths!$P$53="Complete",F516/12*(Paths!$L$53*(1+IF(Paths!$D$53="EV",'Operating costs'!$B$52,'Operating costs'!$B$51))^MAX(0,C516-1)+Paths!$M$53*(1+'Operating costs'!$B$53)^MAX(0,C516-1)),"n.a."))</f>
        <v>0</v>
      </c>
      <c r="I516" s="16">
        <f>IF(NOT(Paths!$C$53=1),0,IF(Paths!$P$53="Complete",IF(IF(Paths!$E$53=0,C516=0,AND(C516&gt;0,Paths!$E$53&gt;(C516-1)*12,Paths!$E$53&lt;=C516*12)),Paths!$G$53,0),"n.a."))</f>
        <v>0</v>
      </c>
      <c r="J516" s="16">
        <f>IF(NOT(Paths!$C$53=1),0,IF(Paths!$P$53="Complete",IF(IF(Paths!$E$53=0,C516=0,AND(C516&gt;0,Paths!$E$53&gt;(C516-1)*12,Paths!$E$53&lt;=C516*12)),Paths!$H$53,0),"n.a."))</f>
        <v>0</v>
      </c>
      <c r="K516" s="16">
        <f>IF(NOT(Paths!$C$53=1),0,IF(Paths!$P$53="Complete",IF(IF(Paths!$O$53=0,C516=0,AND(C516&gt;0,Paths!$O$53&gt;(C516-1)*12,Paths!$O$53&lt;=C516*12)),Paths!$N$53,0),"n.a."))</f>
        <v>0</v>
      </c>
      <c r="L516" s="16">
        <f>IF(NOT(Paths!$C$53=1),0,IF(Paths!$P$53="Complete",IF(C516=10,Paths!$I$53,0),"n.a."))</f>
        <v>0</v>
      </c>
      <c r="M516" s="16">
        <f>IF(NOT(Paths!$C$53=1),0,IF(Paths!$P$53="Complete",IF(AND(Paths!$D$53="EV",Paths!$E$53&lt;120,Paths!$E$53+'Operating costs'!$B$65&gt;Paths!$E$53,Paths!$E$53+'Operating costs'!$B$65&lt;=120,IF(Paths!$E$53+'Operating costs'!$B$65=0,C516=0,AND(C516&gt;0,Paths!$E$53+'Operating costs'!$B$65&gt;(C516-1)*12,Paths!$E$53+'Operating costs'!$B$65&lt;=C516*12))),'Operating costs'!$B$64,0)+IF(AND('Operating costs'!$B$67&gt;0,'Operating costs'!$B$67&lt;=120,OR(Paths!$D$53="ICE",'Operating costs'!$B$67&lt;=Paths!$E$53),IF('Operating costs'!$B$67=0,C516=0,AND(C516&gt;0,'Operating costs'!$B$67&gt;(C516-1)*12,'Operating costs'!$B$67&lt;=C516*12))),'Operating costs'!$B$66,0),"n.a."))</f>
        <v>0</v>
      </c>
      <c r="N516" s="16">
        <f>IF(NOT(Paths!$C$53=1),0,IF(Paths!$P$53="Complete",SUM(G516:I516)-J516-K516-L516+M516+IF(C516=0,Paths!$F$53,0)+IF(IF(Paths!$E$53=0,C516=0,AND(C516&gt;0,Paths!$E$53&gt;(C516-1)*12,Paths!$E$53&lt;=C516*12)),VLOOKUP(A516,'Fleet register'!$A$7:$S$106,16,FALSE),0),"n.a."))</f>
        <v>0</v>
      </c>
      <c r="O516" s="16">
        <f>IF(NOT(Paths!$C$53=1),0,IF(Paths!$P$53="Complete",N516-IF(C516=0,Paths!$F$53,0),"n.a."))</f>
        <v>0</v>
      </c>
      <c r="P516" s="16">
        <f>IF(NOT(Paths!$C$53=1),0,IF(Paths!$P$53="Complete",O516+L516,"n.a."))</f>
        <v>0</v>
      </c>
      <c r="Q516" s="16">
        <f>IF(NOT(Paths!$C$53=1),0,IF(Paths!$P$53="Complete",N516*(1+'Operating costs'!$B$54)^-C516,"n.a."))</f>
        <v>0</v>
      </c>
      <c r="R516" s="16">
        <f>IF(NOT(Paths!$C$53=1),0,IF(Paths!$P$53="Complete",IF(AND(C516=0,Paths!$E$53=0),I516-J516-K516+VLOOKUP(A516,'Fleet register'!$A$7:$S$106,15,FALSE)+VLOOKUP(A516,'Fleet register'!$A$7:$S$106,16,FALSE),0),"n.a."))</f>
        <v>0</v>
      </c>
      <c r="S516" s="1">
        <f>IF(NOT(Paths!$C$53=1),0,IF(Paths!$P$53="Complete",IF(C516=0,0,Paths!$S$53*Paths!$R$53),"n.a."))</f>
        <v>0</v>
      </c>
      <c r="T516" s="1">
        <f>IF(NOT(Paths!$C$53=1),0,IF(Paths!$P$53="Complete",IF(C516=0,0,VLOOKUP(A516,'Fleet register'!$A$7:$S$106,9,FALSE)*Paths!$R$53),"n.a."))</f>
        <v>0</v>
      </c>
    </row>
    <row r="517" spans="1:20" ht="24" customHeight="1">
      <c r="A517" s="1" t="str">
        <f>Paths!$A$53</f>
        <v>T012</v>
      </c>
      <c r="B517" s="1">
        <f>Paths!$B$53</f>
        <v>2</v>
      </c>
      <c r="C517" s="1">
        <v>4</v>
      </c>
      <c r="D517" s="1">
        <v>53</v>
      </c>
      <c r="E517" s="1">
        <f>IF(OR(Paths!$C$53=0,C517=0),0,MAX(0,MIN(C517*12,Paths!$E$53)-(C517-1)*12))</f>
        <v>0</v>
      </c>
      <c r="F517" s="1">
        <f>IF(OR(Paths!$C$53=0,C517=0),0,12-E517)</f>
        <v>0</v>
      </c>
      <c r="G517" s="16">
        <f>IF(NOT(Paths!$C$53=1),0,IF(Paths!$P$53="Complete",E517/12*(Paths!$J$53*(1+'Operating costs'!$B$51)^MAX(0,C517-1)+Paths!$K$53*(1+'Operating costs'!$B$53)^MAX(0,C517-1)),"n.a."))</f>
        <v>0</v>
      </c>
      <c r="H517" s="16">
        <f>IF(NOT(Paths!$C$53=1),0,IF(Paths!$P$53="Complete",F517/12*(Paths!$L$53*(1+IF(Paths!$D$53="EV",'Operating costs'!$B$52,'Operating costs'!$B$51))^MAX(0,C517-1)+Paths!$M$53*(1+'Operating costs'!$B$53)^MAX(0,C517-1)),"n.a."))</f>
        <v>0</v>
      </c>
      <c r="I517" s="16">
        <f>IF(NOT(Paths!$C$53=1),0,IF(Paths!$P$53="Complete",IF(IF(Paths!$E$53=0,C517=0,AND(C517&gt;0,Paths!$E$53&gt;(C517-1)*12,Paths!$E$53&lt;=C517*12)),Paths!$G$53,0),"n.a."))</f>
        <v>0</v>
      </c>
      <c r="J517" s="16">
        <f>IF(NOT(Paths!$C$53=1),0,IF(Paths!$P$53="Complete",IF(IF(Paths!$E$53=0,C517=0,AND(C517&gt;0,Paths!$E$53&gt;(C517-1)*12,Paths!$E$53&lt;=C517*12)),Paths!$H$53,0),"n.a."))</f>
        <v>0</v>
      </c>
      <c r="K517" s="16">
        <f>IF(NOT(Paths!$C$53=1),0,IF(Paths!$P$53="Complete",IF(IF(Paths!$O$53=0,C517=0,AND(C517&gt;0,Paths!$O$53&gt;(C517-1)*12,Paths!$O$53&lt;=C517*12)),Paths!$N$53,0),"n.a."))</f>
        <v>0</v>
      </c>
      <c r="L517" s="16">
        <f>IF(NOT(Paths!$C$53=1),0,IF(Paths!$P$53="Complete",IF(C517=10,Paths!$I$53,0),"n.a."))</f>
        <v>0</v>
      </c>
      <c r="M517" s="16">
        <f>IF(NOT(Paths!$C$53=1),0,IF(Paths!$P$53="Complete",IF(AND(Paths!$D$53="EV",Paths!$E$53&lt;120,Paths!$E$53+'Operating costs'!$B$65&gt;Paths!$E$53,Paths!$E$53+'Operating costs'!$B$65&lt;=120,IF(Paths!$E$53+'Operating costs'!$B$65=0,C517=0,AND(C517&gt;0,Paths!$E$53+'Operating costs'!$B$65&gt;(C517-1)*12,Paths!$E$53+'Operating costs'!$B$65&lt;=C517*12))),'Operating costs'!$B$64,0)+IF(AND('Operating costs'!$B$67&gt;0,'Operating costs'!$B$67&lt;=120,OR(Paths!$D$53="ICE",'Operating costs'!$B$67&lt;=Paths!$E$53),IF('Operating costs'!$B$67=0,C517=0,AND(C517&gt;0,'Operating costs'!$B$67&gt;(C517-1)*12,'Operating costs'!$B$67&lt;=C517*12))),'Operating costs'!$B$66,0),"n.a."))</f>
        <v>0</v>
      </c>
      <c r="N517" s="16">
        <f>IF(NOT(Paths!$C$53=1),0,IF(Paths!$P$53="Complete",SUM(G517:I517)-J517-K517-L517+M517+IF(C517=0,Paths!$F$53,0)+IF(IF(Paths!$E$53=0,C517=0,AND(C517&gt;0,Paths!$E$53&gt;(C517-1)*12,Paths!$E$53&lt;=C517*12)),VLOOKUP(A517,'Fleet register'!$A$7:$S$106,16,FALSE),0),"n.a."))</f>
        <v>0</v>
      </c>
      <c r="O517" s="16">
        <f>IF(NOT(Paths!$C$53=1),0,IF(Paths!$P$53="Complete",N517-IF(C517=0,Paths!$F$53,0),"n.a."))</f>
        <v>0</v>
      </c>
      <c r="P517" s="16">
        <f>IF(NOT(Paths!$C$53=1),0,IF(Paths!$P$53="Complete",O517+L517,"n.a."))</f>
        <v>0</v>
      </c>
      <c r="Q517" s="16">
        <f>IF(NOT(Paths!$C$53=1),0,IF(Paths!$P$53="Complete",N517*(1+'Operating costs'!$B$54)^-C517,"n.a."))</f>
        <v>0</v>
      </c>
      <c r="R517" s="16">
        <f>IF(NOT(Paths!$C$53=1),0,IF(Paths!$P$53="Complete",IF(AND(C517=0,Paths!$E$53=0),I517-J517-K517+VLOOKUP(A517,'Fleet register'!$A$7:$S$106,15,FALSE)+VLOOKUP(A517,'Fleet register'!$A$7:$S$106,16,FALSE),0),"n.a."))</f>
        <v>0</v>
      </c>
      <c r="S517" s="1">
        <f>IF(NOT(Paths!$C$53=1),0,IF(Paths!$P$53="Complete",IF(C517=0,0,Paths!$S$53*Paths!$R$53),"n.a."))</f>
        <v>0</v>
      </c>
      <c r="T517" s="1">
        <f>IF(NOT(Paths!$C$53=1),0,IF(Paths!$P$53="Complete",IF(C517=0,0,VLOOKUP(A517,'Fleet register'!$A$7:$S$106,9,FALSE)*Paths!$R$53),"n.a."))</f>
        <v>0</v>
      </c>
    </row>
    <row r="518" spans="1:20" ht="24" customHeight="1">
      <c r="A518" s="1" t="str">
        <f>Paths!$A$53</f>
        <v>T012</v>
      </c>
      <c r="B518" s="1">
        <f>Paths!$B$53</f>
        <v>2</v>
      </c>
      <c r="C518" s="1">
        <v>5</v>
      </c>
      <c r="D518" s="1">
        <v>53</v>
      </c>
      <c r="E518" s="1">
        <f>IF(OR(Paths!$C$53=0,C518=0),0,MAX(0,MIN(C518*12,Paths!$E$53)-(C518-1)*12))</f>
        <v>0</v>
      </c>
      <c r="F518" s="1">
        <f>IF(OR(Paths!$C$53=0,C518=0),0,12-E518)</f>
        <v>0</v>
      </c>
      <c r="G518" s="16">
        <f>IF(NOT(Paths!$C$53=1),0,IF(Paths!$P$53="Complete",E518/12*(Paths!$J$53*(1+'Operating costs'!$B$51)^MAX(0,C518-1)+Paths!$K$53*(1+'Operating costs'!$B$53)^MAX(0,C518-1)),"n.a."))</f>
        <v>0</v>
      </c>
      <c r="H518" s="16">
        <f>IF(NOT(Paths!$C$53=1),0,IF(Paths!$P$53="Complete",F518/12*(Paths!$L$53*(1+IF(Paths!$D$53="EV",'Operating costs'!$B$52,'Operating costs'!$B$51))^MAX(0,C518-1)+Paths!$M$53*(1+'Operating costs'!$B$53)^MAX(0,C518-1)),"n.a."))</f>
        <v>0</v>
      </c>
      <c r="I518" s="16">
        <f>IF(NOT(Paths!$C$53=1),0,IF(Paths!$P$53="Complete",IF(IF(Paths!$E$53=0,C518=0,AND(C518&gt;0,Paths!$E$53&gt;(C518-1)*12,Paths!$E$53&lt;=C518*12)),Paths!$G$53,0),"n.a."))</f>
        <v>0</v>
      </c>
      <c r="J518" s="16">
        <f>IF(NOT(Paths!$C$53=1),0,IF(Paths!$P$53="Complete",IF(IF(Paths!$E$53=0,C518=0,AND(C518&gt;0,Paths!$E$53&gt;(C518-1)*12,Paths!$E$53&lt;=C518*12)),Paths!$H$53,0),"n.a."))</f>
        <v>0</v>
      </c>
      <c r="K518" s="16">
        <f>IF(NOT(Paths!$C$53=1),0,IF(Paths!$P$53="Complete",IF(IF(Paths!$O$53=0,C518=0,AND(C518&gt;0,Paths!$O$53&gt;(C518-1)*12,Paths!$O$53&lt;=C518*12)),Paths!$N$53,0),"n.a."))</f>
        <v>0</v>
      </c>
      <c r="L518" s="16">
        <f>IF(NOT(Paths!$C$53=1),0,IF(Paths!$P$53="Complete",IF(C518=10,Paths!$I$53,0),"n.a."))</f>
        <v>0</v>
      </c>
      <c r="M518" s="16">
        <f>IF(NOT(Paths!$C$53=1),0,IF(Paths!$P$53="Complete",IF(AND(Paths!$D$53="EV",Paths!$E$53&lt;120,Paths!$E$53+'Operating costs'!$B$65&gt;Paths!$E$53,Paths!$E$53+'Operating costs'!$B$65&lt;=120,IF(Paths!$E$53+'Operating costs'!$B$65=0,C518=0,AND(C518&gt;0,Paths!$E$53+'Operating costs'!$B$65&gt;(C518-1)*12,Paths!$E$53+'Operating costs'!$B$65&lt;=C518*12))),'Operating costs'!$B$64,0)+IF(AND('Operating costs'!$B$67&gt;0,'Operating costs'!$B$67&lt;=120,OR(Paths!$D$53="ICE",'Operating costs'!$B$67&lt;=Paths!$E$53),IF('Operating costs'!$B$67=0,C518=0,AND(C518&gt;0,'Operating costs'!$B$67&gt;(C518-1)*12,'Operating costs'!$B$67&lt;=C518*12))),'Operating costs'!$B$66,0),"n.a."))</f>
        <v>0</v>
      </c>
      <c r="N518" s="16">
        <f>IF(NOT(Paths!$C$53=1),0,IF(Paths!$P$53="Complete",SUM(G518:I518)-J518-K518-L518+M518+IF(C518=0,Paths!$F$53,0)+IF(IF(Paths!$E$53=0,C518=0,AND(C518&gt;0,Paths!$E$53&gt;(C518-1)*12,Paths!$E$53&lt;=C518*12)),VLOOKUP(A518,'Fleet register'!$A$7:$S$106,16,FALSE),0),"n.a."))</f>
        <v>0</v>
      </c>
      <c r="O518" s="16">
        <f>IF(NOT(Paths!$C$53=1),0,IF(Paths!$P$53="Complete",N518-IF(C518=0,Paths!$F$53,0),"n.a."))</f>
        <v>0</v>
      </c>
      <c r="P518" s="16">
        <f>IF(NOT(Paths!$C$53=1),0,IF(Paths!$P$53="Complete",O518+L518,"n.a."))</f>
        <v>0</v>
      </c>
      <c r="Q518" s="16">
        <f>IF(NOT(Paths!$C$53=1),0,IF(Paths!$P$53="Complete",N518*(1+'Operating costs'!$B$54)^-C518,"n.a."))</f>
        <v>0</v>
      </c>
      <c r="R518" s="16">
        <f>IF(NOT(Paths!$C$53=1),0,IF(Paths!$P$53="Complete",IF(AND(C518=0,Paths!$E$53=0),I518-J518-K518+VLOOKUP(A518,'Fleet register'!$A$7:$S$106,15,FALSE)+VLOOKUP(A518,'Fleet register'!$A$7:$S$106,16,FALSE),0),"n.a."))</f>
        <v>0</v>
      </c>
      <c r="S518" s="1">
        <f>IF(NOT(Paths!$C$53=1),0,IF(Paths!$P$53="Complete",IF(C518=0,0,Paths!$S$53*Paths!$R$53),"n.a."))</f>
        <v>0</v>
      </c>
      <c r="T518" s="1">
        <f>IF(NOT(Paths!$C$53=1),0,IF(Paths!$P$53="Complete",IF(C518=0,0,VLOOKUP(A518,'Fleet register'!$A$7:$S$106,9,FALSE)*Paths!$R$53),"n.a."))</f>
        <v>0</v>
      </c>
    </row>
    <row r="519" spans="1:20" ht="24" customHeight="1">
      <c r="A519" s="1" t="str">
        <f>Paths!$A$53</f>
        <v>T012</v>
      </c>
      <c r="B519" s="1">
        <f>Paths!$B$53</f>
        <v>2</v>
      </c>
      <c r="C519" s="1">
        <v>6</v>
      </c>
      <c r="D519" s="1">
        <v>53</v>
      </c>
      <c r="E519" s="1">
        <f>IF(OR(Paths!$C$53=0,C519=0),0,MAX(0,MIN(C519*12,Paths!$E$53)-(C519-1)*12))</f>
        <v>0</v>
      </c>
      <c r="F519" s="1">
        <f>IF(OR(Paths!$C$53=0,C519=0),0,12-E519)</f>
        <v>0</v>
      </c>
      <c r="G519" s="16">
        <f>IF(NOT(Paths!$C$53=1),0,IF(Paths!$P$53="Complete",E519/12*(Paths!$J$53*(1+'Operating costs'!$B$51)^MAX(0,C519-1)+Paths!$K$53*(1+'Operating costs'!$B$53)^MAX(0,C519-1)),"n.a."))</f>
        <v>0</v>
      </c>
      <c r="H519" s="16">
        <f>IF(NOT(Paths!$C$53=1),0,IF(Paths!$P$53="Complete",F519/12*(Paths!$L$53*(1+IF(Paths!$D$53="EV",'Operating costs'!$B$52,'Operating costs'!$B$51))^MAX(0,C519-1)+Paths!$M$53*(1+'Operating costs'!$B$53)^MAX(0,C519-1)),"n.a."))</f>
        <v>0</v>
      </c>
      <c r="I519" s="16">
        <f>IF(NOT(Paths!$C$53=1),0,IF(Paths!$P$53="Complete",IF(IF(Paths!$E$53=0,C519=0,AND(C519&gt;0,Paths!$E$53&gt;(C519-1)*12,Paths!$E$53&lt;=C519*12)),Paths!$G$53,0),"n.a."))</f>
        <v>0</v>
      </c>
      <c r="J519" s="16">
        <f>IF(NOT(Paths!$C$53=1),0,IF(Paths!$P$53="Complete",IF(IF(Paths!$E$53=0,C519=0,AND(C519&gt;0,Paths!$E$53&gt;(C519-1)*12,Paths!$E$53&lt;=C519*12)),Paths!$H$53,0),"n.a."))</f>
        <v>0</v>
      </c>
      <c r="K519" s="16">
        <f>IF(NOT(Paths!$C$53=1),0,IF(Paths!$P$53="Complete",IF(IF(Paths!$O$53=0,C519=0,AND(C519&gt;0,Paths!$O$53&gt;(C519-1)*12,Paths!$O$53&lt;=C519*12)),Paths!$N$53,0),"n.a."))</f>
        <v>0</v>
      </c>
      <c r="L519" s="16">
        <f>IF(NOT(Paths!$C$53=1),0,IF(Paths!$P$53="Complete",IF(C519=10,Paths!$I$53,0),"n.a."))</f>
        <v>0</v>
      </c>
      <c r="M519" s="16">
        <f>IF(NOT(Paths!$C$53=1),0,IF(Paths!$P$53="Complete",IF(AND(Paths!$D$53="EV",Paths!$E$53&lt;120,Paths!$E$53+'Operating costs'!$B$65&gt;Paths!$E$53,Paths!$E$53+'Operating costs'!$B$65&lt;=120,IF(Paths!$E$53+'Operating costs'!$B$65=0,C519=0,AND(C519&gt;0,Paths!$E$53+'Operating costs'!$B$65&gt;(C519-1)*12,Paths!$E$53+'Operating costs'!$B$65&lt;=C519*12))),'Operating costs'!$B$64,0)+IF(AND('Operating costs'!$B$67&gt;0,'Operating costs'!$B$67&lt;=120,OR(Paths!$D$53="ICE",'Operating costs'!$B$67&lt;=Paths!$E$53),IF('Operating costs'!$B$67=0,C519=0,AND(C519&gt;0,'Operating costs'!$B$67&gt;(C519-1)*12,'Operating costs'!$B$67&lt;=C519*12))),'Operating costs'!$B$66,0),"n.a."))</f>
        <v>0</v>
      </c>
      <c r="N519" s="16">
        <f>IF(NOT(Paths!$C$53=1),0,IF(Paths!$P$53="Complete",SUM(G519:I519)-J519-K519-L519+M519+IF(C519=0,Paths!$F$53,0)+IF(IF(Paths!$E$53=0,C519=0,AND(C519&gt;0,Paths!$E$53&gt;(C519-1)*12,Paths!$E$53&lt;=C519*12)),VLOOKUP(A519,'Fleet register'!$A$7:$S$106,16,FALSE),0),"n.a."))</f>
        <v>0</v>
      </c>
      <c r="O519" s="16">
        <f>IF(NOT(Paths!$C$53=1),0,IF(Paths!$P$53="Complete",N519-IF(C519=0,Paths!$F$53,0),"n.a."))</f>
        <v>0</v>
      </c>
      <c r="P519" s="16">
        <f>IF(NOT(Paths!$C$53=1),0,IF(Paths!$P$53="Complete",O519+L519,"n.a."))</f>
        <v>0</v>
      </c>
      <c r="Q519" s="16">
        <f>IF(NOT(Paths!$C$53=1),0,IF(Paths!$P$53="Complete",N519*(1+'Operating costs'!$B$54)^-C519,"n.a."))</f>
        <v>0</v>
      </c>
      <c r="R519" s="16">
        <f>IF(NOT(Paths!$C$53=1),0,IF(Paths!$P$53="Complete",IF(AND(C519=0,Paths!$E$53=0),I519-J519-K519+VLOOKUP(A519,'Fleet register'!$A$7:$S$106,15,FALSE)+VLOOKUP(A519,'Fleet register'!$A$7:$S$106,16,FALSE),0),"n.a."))</f>
        <v>0</v>
      </c>
      <c r="S519" s="1">
        <f>IF(NOT(Paths!$C$53=1),0,IF(Paths!$P$53="Complete",IF(C519=0,0,Paths!$S$53*Paths!$R$53),"n.a."))</f>
        <v>0</v>
      </c>
      <c r="T519" s="1">
        <f>IF(NOT(Paths!$C$53=1),0,IF(Paths!$P$53="Complete",IF(C519=0,0,VLOOKUP(A519,'Fleet register'!$A$7:$S$106,9,FALSE)*Paths!$R$53),"n.a."))</f>
        <v>0</v>
      </c>
    </row>
    <row r="520" spans="1:20" ht="24" customHeight="1">
      <c r="A520" s="1" t="str">
        <f>Paths!$A$53</f>
        <v>T012</v>
      </c>
      <c r="B520" s="1">
        <f>Paths!$B$53</f>
        <v>2</v>
      </c>
      <c r="C520" s="1">
        <v>7</v>
      </c>
      <c r="D520" s="1">
        <v>53</v>
      </c>
      <c r="E520" s="1">
        <f>IF(OR(Paths!$C$53=0,C520=0),0,MAX(0,MIN(C520*12,Paths!$E$53)-(C520-1)*12))</f>
        <v>0</v>
      </c>
      <c r="F520" s="1">
        <f>IF(OR(Paths!$C$53=0,C520=0),0,12-E520)</f>
        <v>0</v>
      </c>
      <c r="G520" s="16">
        <f>IF(NOT(Paths!$C$53=1),0,IF(Paths!$P$53="Complete",E520/12*(Paths!$J$53*(1+'Operating costs'!$B$51)^MAX(0,C520-1)+Paths!$K$53*(1+'Operating costs'!$B$53)^MAX(0,C520-1)),"n.a."))</f>
        <v>0</v>
      </c>
      <c r="H520" s="16">
        <f>IF(NOT(Paths!$C$53=1),0,IF(Paths!$P$53="Complete",F520/12*(Paths!$L$53*(1+IF(Paths!$D$53="EV",'Operating costs'!$B$52,'Operating costs'!$B$51))^MAX(0,C520-1)+Paths!$M$53*(1+'Operating costs'!$B$53)^MAX(0,C520-1)),"n.a."))</f>
        <v>0</v>
      </c>
      <c r="I520" s="16">
        <f>IF(NOT(Paths!$C$53=1),0,IF(Paths!$P$53="Complete",IF(IF(Paths!$E$53=0,C520=0,AND(C520&gt;0,Paths!$E$53&gt;(C520-1)*12,Paths!$E$53&lt;=C520*12)),Paths!$G$53,0),"n.a."))</f>
        <v>0</v>
      </c>
      <c r="J520" s="16">
        <f>IF(NOT(Paths!$C$53=1),0,IF(Paths!$P$53="Complete",IF(IF(Paths!$E$53=0,C520=0,AND(C520&gt;0,Paths!$E$53&gt;(C520-1)*12,Paths!$E$53&lt;=C520*12)),Paths!$H$53,0),"n.a."))</f>
        <v>0</v>
      </c>
      <c r="K520" s="16">
        <f>IF(NOT(Paths!$C$53=1),0,IF(Paths!$P$53="Complete",IF(IF(Paths!$O$53=0,C520=0,AND(C520&gt;0,Paths!$O$53&gt;(C520-1)*12,Paths!$O$53&lt;=C520*12)),Paths!$N$53,0),"n.a."))</f>
        <v>0</v>
      </c>
      <c r="L520" s="16">
        <f>IF(NOT(Paths!$C$53=1),0,IF(Paths!$P$53="Complete",IF(C520=10,Paths!$I$53,0),"n.a."))</f>
        <v>0</v>
      </c>
      <c r="M520" s="16">
        <f>IF(NOT(Paths!$C$53=1),0,IF(Paths!$P$53="Complete",IF(AND(Paths!$D$53="EV",Paths!$E$53&lt;120,Paths!$E$53+'Operating costs'!$B$65&gt;Paths!$E$53,Paths!$E$53+'Operating costs'!$B$65&lt;=120,IF(Paths!$E$53+'Operating costs'!$B$65=0,C520=0,AND(C520&gt;0,Paths!$E$53+'Operating costs'!$B$65&gt;(C520-1)*12,Paths!$E$53+'Operating costs'!$B$65&lt;=C520*12))),'Operating costs'!$B$64,0)+IF(AND('Operating costs'!$B$67&gt;0,'Operating costs'!$B$67&lt;=120,OR(Paths!$D$53="ICE",'Operating costs'!$B$67&lt;=Paths!$E$53),IF('Operating costs'!$B$67=0,C520=0,AND(C520&gt;0,'Operating costs'!$B$67&gt;(C520-1)*12,'Operating costs'!$B$67&lt;=C520*12))),'Operating costs'!$B$66,0),"n.a."))</f>
        <v>0</v>
      </c>
      <c r="N520" s="16">
        <f>IF(NOT(Paths!$C$53=1),0,IF(Paths!$P$53="Complete",SUM(G520:I520)-J520-K520-L520+M520+IF(C520=0,Paths!$F$53,0)+IF(IF(Paths!$E$53=0,C520=0,AND(C520&gt;0,Paths!$E$53&gt;(C520-1)*12,Paths!$E$53&lt;=C520*12)),VLOOKUP(A520,'Fleet register'!$A$7:$S$106,16,FALSE),0),"n.a."))</f>
        <v>0</v>
      </c>
      <c r="O520" s="16">
        <f>IF(NOT(Paths!$C$53=1),0,IF(Paths!$P$53="Complete",N520-IF(C520=0,Paths!$F$53,0),"n.a."))</f>
        <v>0</v>
      </c>
      <c r="P520" s="16">
        <f>IF(NOT(Paths!$C$53=1),0,IF(Paths!$P$53="Complete",O520+L520,"n.a."))</f>
        <v>0</v>
      </c>
      <c r="Q520" s="16">
        <f>IF(NOT(Paths!$C$53=1),0,IF(Paths!$P$53="Complete",N520*(1+'Operating costs'!$B$54)^-C520,"n.a."))</f>
        <v>0</v>
      </c>
      <c r="R520" s="16">
        <f>IF(NOT(Paths!$C$53=1),0,IF(Paths!$P$53="Complete",IF(AND(C520=0,Paths!$E$53=0),I520-J520-K520+VLOOKUP(A520,'Fleet register'!$A$7:$S$106,15,FALSE)+VLOOKUP(A520,'Fleet register'!$A$7:$S$106,16,FALSE),0),"n.a."))</f>
        <v>0</v>
      </c>
      <c r="S520" s="1">
        <f>IF(NOT(Paths!$C$53=1),0,IF(Paths!$P$53="Complete",IF(C520=0,0,Paths!$S$53*Paths!$R$53),"n.a."))</f>
        <v>0</v>
      </c>
      <c r="T520" s="1">
        <f>IF(NOT(Paths!$C$53=1),0,IF(Paths!$P$53="Complete",IF(C520=0,0,VLOOKUP(A520,'Fleet register'!$A$7:$S$106,9,FALSE)*Paths!$R$53),"n.a."))</f>
        <v>0</v>
      </c>
    </row>
    <row r="521" spans="1:20" ht="24" customHeight="1">
      <c r="A521" s="1" t="str">
        <f>Paths!$A$53</f>
        <v>T012</v>
      </c>
      <c r="B521" s="1">
        <f>Paths!$B$53</f>
        <v>2</v>
      </c>
      <c r="C521" s="1">
        <v>8</v>
      </c>
      <c r="D521" s="1">
        <v>53</v>
      </c>
      <c r="E521" s="1">
        <f>IF(OR(Paths!$C$53=0,C521=0),0,MAX(0,MIN(C521*12,Paths!$E$53)-(C521-1)*12))</f>
        <v>0</v>
      </c>
      <c r="F521" s="1">
        <f>IF(OR(Paths!$C$53=0,C521=0),0,12-E521)</f>
        <v>0</v>
      </c>
      <c r="G521" s="16">
        <f>IF(NOT(Paths!$C$53=1),0,IF(Paths!$P$53="Complete",E521/12*(Paths!$J$53*(1+'Operating costs'!$B$51)^MAX(0,C521-1)+Paths!$K$53*(1+'Operating costs'!$B$53)^MAX(0,C521-1)),"n.a."))</f>
        <v>0</v>
      </c>
      <c r="H521" s="16">
        <f>IF(NOT(Paths!$C$53=1),0,IF(Paths!$P$53="Complete",F521/12*(Paths!$L$53*(1+IF(Paths!$D$53="EV",'Operating costs'!$B$52,'Operating costs'!$B$51))^MAX(0,C521-1)+Paths!$M$53*(1+'Operating costs'!$B$53)^MAX(0,C521-1)),"n.a."))</f>
        <v>0</v>
      </c>
      <c r="I521" s="16">
        <f>IF(NOT(Paths!$C$53=1),0,IF(Paths!$P$53="Complete",IF(IF(Paths!$E$53=0,C521=0,AND(C521&gt;0,Paths!$E$53&gt;(C521-1)*12,Paths!$E$53&lt;=C521*12)),Paths!$G$53,0),"n.a."))</f>
        <v>0</v>
      </c>
      <c r="J521" s="16">
        <f>IF(NOT(Paths!$C$53=1),0,IF(Paths!$P$53="Complete",IF(IF(Paths!$E$53=0,C521=0,AND(C521&gt;0,Paths!$E$53&gt;(C521-1)*12,Paths!$E$53&lt;=C521*12)),Paths!$H$53,0),"n.a."))</f>
        <v>0</v>
      </c>
      <c r="K521" s="16">
        <f>IF(NOT(Paths!$C$53=1),0,IF(Paths!$P$53="Complete",IF(IF(Paths!$O$53=0,C521=0,AND(C521&gt;0,Paths!$O$53&gt;(C521-1)*12,Paths!$O$53&lt;=C521*12)),Paths!$N$53,0),"n.a."))</f>
        <v>0</v>
      </c>
      <c r="L521" s="16">
        <f>IF(NOT(Paths!$C$53=1),0,IF(Paths!$P$53="Complete",IF(C521=10,Paths!$I$53,0),"n.a."))</f>
        <v>0</v>
      </c>
      <c r="M521" s="16">
        <f>IF(NOT(Paths!$C$53=1),0,IF(Paths!$P$53="Complete",IF(AND(Paths!$D$53="EV",Paths!$E$53&lt;120,Paths!$E$53+'Operating costs'!$B$65&gt;Paths!$E$53,Paths!$E$53+'Operating costs'!$B$65&lt;=120,IF(Paths!$E$53+'Operating costs'!$B$65=0,C521=0,AND(C521&gt;0,Paths!$E$53+'Operating costs'!$B$65&gt;(C521-1)*12,Paths!$E$53+'Operating costs'!$B$65&lt;=C521*12))),'Operating costs'!$B$64,0)+IF(AND('Operating costs'!$B$67&gt;0,'Operating costs'!$B$67&lt;=120,OR(Paths!$D$53="ICE",'Operating costs'!$B$67&lt;=Paths!$E$53),IF('Operating costs'!$B$67=0,C521=0,AND(C521&gt;0,'Operating costs'!$B$67&gt;(C521-1)*12,'Operating costs'!$B$67&lt;=C521*12))),'Operating costs'!$B$66,0),"n.a."))</f>
        <v>0</v>
      </c>
      <c r="N521" s="16">
        <f>IF(NOT(Paths!$C$53=1),0,IF(Paths!$P$53="Complete",SUM(G521:I521)-J521-K521-L521+M521+IF(C521=0,Paths!$F$53,0)+IF(IF(Paths!$E$53=0,C521=0,AND(C521&gt;0,Paths!$E$53&gt;(C521-1)*12,Paths!$E$53&lt;=C521*12)),VLOOKUP(A521,'Fleet register'!$A$7:$S$106,16,FALSE),0),"n.a."))</f>
        <v>0</v>
      </c>
      <c r="O521" s="16">
        <f>IF(NOT(Paths!$C$53=1),0,IF(Paths!$P$53="Complete",N521-IF(C521=0,Paths!$F$53,0),"n.a."))</f>
        <v>0</v>
      </c>
      <c r="P521" s="16">
        <f>IF(NOT(Paths!$C$53=1),0,IF(Paths!$P$53="Complete",O521+L521,"n.a."))</f>
        <v>0</v>
      </c>
      <c r="Q521" s="16">
        <f>IF(NOT(Paths!$C$53=1),0,IF(Paths!$P$53="Complete",N521*(1+'Operating costs'!$B$54)^-C521,"n.a."))</f>
        <v>0</v>
      </c>
      <c r="R521" s="16">
        <f>IF(NOT(Paths!$C$53=1),0,IF(Paths!$P$53="Complete",IF(AND(C521=0,Paths!$E$53=0),I521-J521-K521+VLOOKUP(A521,'Fleet register'!$A$7:$S$106,15,FALSE)+VLOOKUP(A521,'Fleet register'!$A$7:$S$106,16,FALSE),0),"n.a."))</f>
        <v>0</v>
      </c>
      <c r="S521" s="1">
        <f>IF(NOT(Paths!$C$53=1),0,IF(Paths!$P$53="Complete",IF(C521=0,0,Paths!$S$53*Paths!$R$53),"n.a."))</f>
        <v>0</v>
      </c>
      <c r="T521" s="1">
        <f>IF(NOT(Paths!$C$53=1),0,IF(Paths!$P$53="Complete",IF(C521=0,0,VLOOKUP(A521,'Fleet register'!$A$7:$S$106,9,FALSE)*Paths!$R$53),"n.a."))</f>
        <v>0</v>
      </c>
    </row>
    <row r="522" spans="1:20" ht="24" customHeight="1">
      <c r="A522" s="1" t="str">
        <f>Paths!$A$53</f>
        <v>T012</v>
      </c>
      <c r="B522" s="1">
        <f>Paths!$B$53</f>
        <v>2</v>
      </c>
      <c r="C522" s="1">
        <v>9</v>
      </c>
      <c r="D522" s="1">
        <v>53</v>
      </c>
      <c r="E522" s="1">
        <f>IF(OR(Paths!$C$53=0,C522=0),0,MAX(0,MIN(C522*12,Paths!$E$53)-(C522-1)*12))</f>
        <v>0</v>
      </c>
      <c r="F522" s="1">
        <f>IF(OR(Paths!$C$53=0,C522=0),0,12-E522)</f>
        <v>0</v>
      </c>
      <c r="G522" s="16">
        <f>IF(NOT(Paths!$C$53=1),0,IF(Paths!$P$53="Complete",E522/12*(Paths!$J$53*(1+'Operating costs'!$B$51)^MAX(0,C522-1)+Paths!$K$53*(1+'Operating costs'!$B$53)^MAX(0,C522-1)),"n.a."))</f>
        <v>0</v>
      </c>
      <c r="H522" s="16">
        <f>IF(NOT(Paths!$C$53=1),0,IF(Paths!$P$53="Complete",F522/12*(Paths!$L$53*(1+IF(Paths!$D$53="EV",'Operating costs'!$B$52,'Operating costs'!$B$51))^MAX(0,C522-1)+Paths!$M$53*(1+'Operating costs'!$B$53)^MAX(0,C522-1)),"n.a."))</f>
        <v>0</v>
      </c>
      <c r="I522" s="16">
        <f>IF(NOT(Paths!$C$53=1),0,IF(Paths!$P$53="Complete",IF(IF(Paths!$E$53=0,C522=0,AND(C522&gt;0,Paths!$E$53&gt;(C522-1)*12,Paths!$E$53&lt;=C522*12)),Paths!$G$53,0),"n.a."))</f>
        <v>0</v>
      </c>
      <c r="J522" s="16">
        <f>IF(NOT(Paths!$C$53=1),0,IF(Paths!$P$53="Complete",IF(IF(Paths!$E$53=0,C522=0,AND(C522&gt;0,Paths!$E$53&gt;(C522-1)*12,Paths!$E$53&lt;=C522*12)),Paths!$H$53,0),"n.a."))</f>
        <v>0</v>
      </c>
      <c r="K522" s="16">
        <f>IF(NOT(Paths!$C$53=1),0,IF(Paths!$P$53="Complete",IF(IF(Paths!$O$53=0,C522=0,AND(C522&gt;0,Paths!$O$53&gt;(C522-1)*12,Paths!$O$53&lt;=C522*12)),Paths!$N$53,0),"n.a."))</f>
        <v>0</v>
      </c>
      <c r="L522" s="16">
        <f>IF(NOT(Paths!$C$53=1),0,IF(Paths!$P$53="Complete",IF(C522=10,Paths!$I$53,0),"n.a."))</f>
        <v>0</v>
      </c>
      <c r="M522" s="16">
        <f>IF(NOT(Paths!$C$53=1),0,IF(Paths!$P$53="Complete",IF(AND(Paths!$D$53="EV",Paths!$E$53&lt;120,Paths!$E$53+'Operating costs'!$B$65&gt;Paths!$E$53,Paths!$E$53+'Operating costs'!$B$65&lt;=120,IF(Paths!$E$53+'Operating costs'!$B$65=0,C522=0,AND(C522&gt;0,Paths!$E$53+'Operating costs'!$B$65&gt;(C522-1)*12,Paths!$E$53+'Operating costs'!$B$65&lt;=C522*12))),'Operating costs'!$B$64,0)+IF(AND('Operating costs'!$B$67&gt;0,'Operating costs'!$B$67&lt;=120,OR(Paths!$D$53="ICE",'Operating costs'!$B$67&lt;=Paths!$E$53),IF('Operating costs'!$B$67=0,C522=0,AND(C522&gt;0,'Operating costs'!$B$67&gt;(C522-1)*12,'Operating costs'!$B$67&lt;=C522*12))),'Operating costs'!$B$66,0),"n.a."))</f>
        <v>0</v>
      </c>
      <c r="N522" s="16">
        <f>IF(NOT(Paths!$C$53=1),0,IF(Paths!$P$53="Complete",SUM(G522:I522)-J522-K522-L522+M522+IF(C522=0,Paths!$F$53,0)+IF(IF(Paths!$E$53=0,C522=0,AND(C522&gt;0,Paths!$E$53&gt;(C522-1)*12,Paths!$E$53&lt;=C522*12)),VLOOKUP(A522,'Fleet register'!$A$7:$S$106,16,FALSE),0),"n.a."))</f>
        <v>0</v>
      </c>
      <c r="O522" s="16">
        <f>IF(NOT(Paths!$C$53=1),0,IF(Paths!$P$53="Complete",N522-IF(C522=0,Paths!$F$53,0),"n.a."))</f>
        <v>0</v>
      </c>
      <c r="P522" s="16">
        <f>IF(NOT(Paths!$C$53=1),0,IF(Paths!$P$53="Complete",O522+L522,"n.a."))</f>
        <v>0</v>
      </c>
      <c r="Q522" s="16">
        <f>IF(NOT(Paths!$C$53=1),0,IF(Paths!$P$53="Complete",N522*(1+'Operating costs'!$B$54)^-C522,"n.a."))</f>
        <v>0</v>
      </c>
      <c r="R522" s="16">
        <f>IF(NOT(Paths!$C$53=1),0,IF(Paths!$P$53="Complete",IF(AND(C522=0,Paths!$E$53=0),I522-J522-K522+VLOOKUP(A522,'Fleet register'!$A$7:$S$106,15,FALSE)+VLOOKUP(A522,'Fleet register'!$A$7:$S$106,16,FALSE),0),"n.a."))</f>
        <v>0</v>
      </c>
      <c r="S522" s="1">
        <f>IF(NOT(Paths!$C$53=1),0,IF(Paths!$P$53="Complete",IF(C522=0,0,Paths!$S$53*Paths!$R$53),"n.a."))</f>
        <v>0</v>
      </c>
      <c r="T522" s="1">
        <f>IF(NOT(Paths!$C$53=1),0,IF(Paths!$P$53="Complete",IF(C522=0,0,VLOOKUP(A522,'Fleet register'!$A$7:$S$106,9,FALSE)*Paths!$R$53),"n.a."))</f>
        <v>0</v>
      </c>
    </row>
    <row r="523" spans="1:20" ht="24" customHeight="1">
      <c r="A523" s="1" t="str">
        <f>Paths!$A$53</f>
        <v>T012</v>
      </c>
      <c r="B523" s="1">
        <f>Paths!$B$53</f>
        <v>2</v>
      </c>
      <c r="C523" s="1">
        <v>10</v>
      </c>
      <c r="D523" s="1">
        <v>53</v>
      </c>
      <c r="E523" s="1">
        <f>IF(OR(Paths!$C$53=0,C523=0),0,MAX(0,MIN(C523*12,Paths!$E$53)-(C523-1)*12))</f>
        <v>0</v>
      </c>
      <c r="F523" s="1">
        <f>IF(OR(Paths!$C$53=0,C523=0),0,12-E523)</f>
        <v>0</v>
      </c>
      <c r="G523" s="16">
        <f>IF(NOT(Paths!$C$53=1),0,IF(Paths!$P$53="Complete",E523/12*(Paths!$J$53*(1+'Operating costs'!$B$51)^MAX(0,C523-1)+Paths!$K$53*(1+'Operating costs'!$B$53)^MAX(0,C523-1)),"n.a."))</f>
        <v>0</v>
      </c>
      <c r="H523" s="16">
        <f>IF(NOT(Paths!$C$53=1),0,IF(Paths!$P$53="Complete",F523/12*(Paths!$L$53*(1+IF(Paths!$D$53="EV",'Operating costs'!$B$52,'Operating costs'!$B$51))^MAX(0,C523-1)+Paths!$M$53*(1+'Operating costs'!$B$53)^MAX(0,C523-1)),"n.a."))</f>
        <v>0</v>
      </c>
      <c r="I523" s="16">
        <f>IF(NOT(Paths!$C$53=1),0,IF(Paths!$P$53="Complete",IF(IF(Paths!$E$53=0,C523=0,AND(C523&gt;0,Paths!$E$53&gt;(C523-1)*12,Paths!$E$53&lt;=C523*12)),Paths!$G$53,0),"n.a."))</f>
        <v>0</v>
      </c>
      <c r="J523" s="16">
        <f>IF(NOT(Paths!$C$53=1),0,IF(Paths!$P$53="Complete",IF(IF(Paths!$E$53=0,C523=0,AND(C523&gt;0,Paths!$E$53&gt;(C523-1)*12,Paths!$E$53&lt;=C523*12)),Paths!$H$53,0),"n.a."))</f>
        <v>0</v>
      </c>
      <c r="K523" s="16">
        <f>IF(NOT(Paths!$C$53=1),0,IF(Paths!$P$53="Complete",IF(IF(Paths!$O$53=0,C523=0,AND(C523&gt;0,Paths!$O$53&gt;(C523-1)*12,Paths!$O$53&lt;=C523*12)),Paths!$N$53,0),"n.a."))</f>
        <v>0</v>
      </c>
      <c r="L523" s="16">
        <f>IF(NOT(Paths!$C$53=1),0,IF(Paths!$P$53="Complete",IF(C523=10,Paths!$I$53,0),"n.a."))</f>
        <v>0</v>
      </c>
      <c r="M523" s="16">
        <f>IF(NOT(Paths!$C$53=1),0,IF(Paths!$P$53="Complete",IF(AND(Paths!$D$53="EV",Paths!$E$53&lt;120,Paths!$E$53+'Operating costs'!$B$65&gt;Paths!$E$53,Paths!$E$53+'Operating costs'!$B$65&lt;=120,IF(Paths!$E$53+'Operating costs'!$B$65=0,C523=0,AND(C523&gt;0,Paths!$E$53+'Operating costs'!$B$65&gt;(C523-1)*12,Paths!$E$53+'Operating costs'!$B$65&lt;=C523*12))),'Operating costs'!$B$64,0)+IF(AND('Operating costs'!$B$67&gt;0,'Operating costs'!$B$67&lt;=120,OR(Paths!$D$53="ICE",'Operating costs'!$B$67&lt;=Paths!$E$53),IF('Operating costs'!$B$67=0,C523=0,AND(C523&gt;0,'Operating costs'!$B$67&gt;(C523-1)*12,'Operating costs'!$B$67&lt;=C523*12))),'Operating costs'!$B$66,0),"n.a."))</f>
        <v>0</v>
      </c>
      <c r="N523" s="16">
        <f>IF(NOT(Paths!$C$53=1),0,IF(Paths!$P$53="Complete",SUM(G523:I523)-J523-K523-L523+M523+IF(C523=0,Paths!$F$53,0)+IF(IF(Paths!$E$53=0,C523=0,AND(C523&gt;0,Paths!$E$53&gt;(C523-1)*12,Paths!$E$53&lt;=C523*12)),VLOOKUP(A523,'Fleet register'!$A$7:$S$106,16,FALSE),0),"n.a."))</f>
        <v>0</v>
      </c>
      <c r="O523" s="16">
        <f>IF(NOT(Paths!$C$53=1),0,IF(Paths!$P$53="Complete",N523-IF(C523=0,Paths!$F$53,0),"n.a."))</f>
        <v>0</v>
      </c>
      <c r="P523" s="16">
        <f>IF(NOT(Paths!$C$53=1),0,IF(Paths!$P$53="Complete",O523+L523,"n.a."))</f>
        <v>0</v>
      </c>
      <c r="Q523" s="16">
        <f>IF(NOT(Paths!$C$53=1),0,IF(Paths!$P$53="Complete",N523*(1+'Operating costs'!$B$54)^-C523,"n.a."))</f>
        <v>0</v>
      </c>
      <c r="R523" s="16">
        <f>IF(NOT(Paths!$C$53=1),0,IF(Paths!$P$53="Complete",IF(AND(C523=0,Paths!$E$53=0),I523-J523-K523+VLOOKUP(A523,'Fleet register'!$A$7:$S$106,15,FALSE)+VLOOKUP(A523,'Fleet register'!$A$7:$S$106,16,FALSE),0),"n.a."))</f>
        <v>0</v>
      </c>
      <c r="S523" s="1">
        <f>IF(NOT(Paths!$C$53=1),0,IF(Paths!$P$53="Complete",IF(C523=0,0,Paths!$S$53*Paths!$R$53),"n.a."))</f>
        <v>0</v>
      </c>
      <c r="T523" s="1">
        <f>IF(NOT(Paths!$C$53=1),0,IF(Paths!$P$53="Complete",IF(C523=0,0,VLOOKUP(A523,'Fleet register'!$A$7:$S$106,9,FALSE)*Paths!$R$53),"n.a."))</f>
        <v>0</v>
      </c>
    </row>
    <row r="524" spans="1:20" ht="24" customHeight="1">
      <c r="A524" s="1" t="str">
        <f>Paths!$A$54</f>
        <v>T012</v>
      </c>
      <c r="B524" s="1">
        <f>Paths!$B$54</f>
        <v>3</v>
      </c>
      <c r="C524" s="1">
        <v>0</v>
      </c>
      <c r="D524" s="1">
        <v>54</v>
      </c>
      <c r="E524" s="1">
        <f>IF(OR(Paths!$C$54=0,C524=0),0,MAX(0,MIN(C524*12,Paths!$E$54)-(C524-1)*12))</f>
        <v>0</v>
      </c>
      <c r="F524" s="1">
        <f>IF(OR(Paths!$C$54=0,C524=0),0,12-E524)</f>
        <v>0</v>
      </c>
      <c r="G524" s="16">
        <f>IF(NOT(Paths!$C$54=1),0,IF(Paths!$P$54="Complete",E524/12*(Paths!$J$54*(1+'Operating costs'!$B$51)^MAX(0,C524-1)+Paths!$K$54*(1+'Operating costs'!$B$53)^MAX(0,C524-1)),"n.a."))</f>
        <v>0</v>
      </c>
      <c r="H524" s="16">
        <f>IF(NOT(Paths!$C$54=1),0,IF(Paths!$P$54="Complete",F524/12*(Paths!$L$54*(1+IF(Paths!$D$54="EV",'Operating costs'!$B$52,'Operating costs'!$B$51))^MAX(0,C524-1)+Paths!$M$54*(1+'Operating costs'!$B$53)^MAX(0,C524-1)),"n.a."))</f>
        <v>0</v>
      </c>
      <c r="I524" s="16">
        <f>IF(NOT(Paths!$C$54=1),0,IF(Paths!$P$54="Complete",IF(IF(Paths!$E$54=0,C524=0,AND(C524&gt;0,Paths!$E$54&gt;(C524-1)*12,Paths!$E$54&lt;=C524*12)),Paths!$G$54,0),"n.a."))</f>
        <v>0</v>
      </c>
      <c r="J524" s="16">
        <f>IF(NOT(Paths!$C$54=1),0,IF(Paths!$P$54="Complete",IF(IF(Paths!$E$54=0,C524=0,AND(C524&gt;0,Paths!$E$54&gt;(C524-1)*12,Paths!$E$54&lt;=C524*12)),Paths!$H$54,0),"n.a."))</f>
        <v>0</v>
      </c>
      <c r="K524" s="16">
        <f>IF(NOT(Paths!$C$54=1),0,IF(Paths!$P$54="Complete",IF(IF(Paths!$O$54=0,C524=0,AND(C524&gt;0,Paths!$O$54&gt;(C524-1)*12,Paths!$O$54&lt;=C524*12)),Paths!$N$54,0),"n.a."))</f>
        <v>0</v>
      </c>
      <c r="L524" s="16">
        <f>IF(NOT(Paths!$C$54=1),0,IF(Paths!$P$54="Complete",IF(C524=10,Paths!$I$54,0),"n.a."))</f>
        <v>0</v>
      </c>
      <c r="M524" s="16">
        <f>IF(NOT(Paths!$C$54=1),0,IF(Paths!$P$54="Complete",IF(AND(Paths!$D$54="EV",Paths!$E$54&lt;120,Paths!$E$54+'Operating costs'!$B$65&gt;Paths!$E$54,Paths!$E$54+'Operating costs'!$B$65&lt;=120,IF(Paths!$E$54+'Operating costs'!$B$65=0,C524=0,AND(C524&gt;0,Paths!$E$54+'Operating costs'!$B$65&gt;(C524-1)*12,Paths!$E$54+'Operating costs'!$B$65&lt;=C524*12))),'Operating costs'!$B$64,0)+IF(AND('Operating costs'!$B$67&gt;0,'Operating costs'!$B$67&lt;=120,OR(Paths!$D$54="ICE",'Operating costs'!$B$67&lt;=Paths!$E$54),IF('Operating costs'!$B$67=0,C524=0,AND(C524&gt;0,'Operating costs'!$B$67&gt;(C524-1)*12,'Operating costs'!$B$67&lt;=C524*12))),'Operating costs'!$B$66,0),"n.a."))</f>
        <v>0</v>
      </c>
      <c r="N524" s="16">
        <f>IF(NOT(Paths!$C$54=1),0,IF(Paths!$P$54="Complete",SUM(G524:I524)-J524-K524-L524+M524+IF(C524=0,Paths!$F$54,0)+IF(IF(Paths!$E$54=0,C524=0,AND(C524&gt;0,Paths!$E$54&gt;(C524-1)*12,Paths!$E$54&lt;=C524*12)),VLOOKUP(A524,'Fleet register'!$A$7:$S$106,16,FALSE),0),"n.a."))</f>
        <v>0</v>
      </c>
      <c r="O524" s="16">
        <f>IF(NOT(Paths!$C$54=1),0,IF(Paths!$P$54="Complete",N524-IF(C524=0,Paths!$F$54,0),"n.a."))</f>
        <v>0</v>
      </c>
      <c r="P524" s="16">
        <f>IF(NOT(Paths!$C$54=1),0,IF(Paths!$P$54="Complete",O524+L524,"n.a."))</f>
        <v>0</v>
      </c>
      <c r="Q524" s="16">
        <f>IF(NOT(Paths!$C$54=1),0,IF(Paths!$P$54="Complete",N524*(1+'Operating costs'!$B$54)^-C524,"n.a."))</f>
        <v>0</v>
      </c>
      <c r="R524" s="16">
        <f>IF(NOT(Paths!$C$54=1),0,IF(Paths!$P$54="Complete",IF(AND(C524=0,Paths!$E$54=0),I524-J524-K524+VLOOKUP(A524,'Fleet register'!$A$7:$S$106,15,FALSE)+VLOOKUP(A524,'Fleet register'!$A$7:$S$106,16,FALSE),0),"n.a."))</f>
        <v>0</v>
      </c>
      <c r="S524" s="1">
        <f>IF(NOT(Paths!$C$54=1),0,IF(Paths!$P$54="Complete",IF(C524=0,0,Paths!$S$54*Paths!$R$54),"n.a."))</f>
        <v>0</v>
      </c>
      <c r="T524" s="1">
        <f>IF(NOT(Paths!$C$54=1),0,IF(Paths!$P$54="Complete",IF(C524=0,0,VLOOKUP(A524,'Fleet register'!$A$7:$S$106,9,FALSE)*Paths!$R$54),"n.a."))</f>
        <v>0</v>
      </c>
    </row>
    <row r="525" spans="1:20" ht="24" customHeight="1">
      <c r="A525" s="1" t="str">
        <f>Paths!$A$54</f>
        <v>T012</v>
      </c>
      <c r="B525" s="1">
        <f>Paths!$B$54</f>
        <v>3</v>
      </c>
      <c r="C525" s="1">
        <v>1</v>
      </c>
      <c r="D525" s="1">
        <v>54</v>
      </c>
      <c r="E525" s="1">
        <f>IF(OR(Paths!$C$54=0,C525=0),0,MAX(0,MIN(C525*12,Paths!$E$54)-(C525-1)*12))</f>
        <v>0</v>
      </c>
      <c r="F525" s="1">
        <f>IF(OR(Paths!$C$54=0,C525=0),0,12-E525)</f>
        <v>0</v>
      </c>
      <c r="G525" s="16">
        <f>IF(NOT(Paths!$C$54=1),0,IF(Paths!$P$54="Complete",E525/12*(Paths!$J$54*(1+'Operating costs'!$B$51)^MAX(0,C525-1)+Paths!$K$54*(1+'Operating costs'!$B$53)^MAX(0,C525-1)),"n.a."))</f>
        <v>0</v>
      </c>
      <c r="H525" s="16">
        <f>IF(NOT(Paths!$C$54=1),0,IF(Paths!$P$54="Complete",F525/12*(Paths!$L$54*(1+IF(Paths!$D$54="EV",'Operating costs'!$B$52,'Operating costs'!$B$51))^MAX(0,C525-1)+Paths!$M$54*(1+'Operating costs'!$B$53)^MAX(0,C525-1)),"n.a."))</f>
        <v>0</v>
      </c>
      <c r="I525" s="16">
        <f>IF(NOT(Paths!$C$54=1),0,IF(Paths!$P$54="Complete",IF(IF(Paths!$E$54=0,C525=0,AND(C525&gt;0,Paths!$E$54&gt;(C525-1)*12,Paths!$E$54&lt;=C525*12)),Paths!$G$54,0),"n.a."))</f>
        <v>0</v>
      </c>
      <c r="J525" s="16">
        <f>IF(NOT(Paths!$C$54=1),0,IF(Paths!$P$54="Complete",IF(IF(Paths!$E$54=0,C525=0,AND(C525&gt;0,Paths!$E$54&gt;(C525-1)*12,Paths!$E$54&lt;=C525*12)),Paths!$H$54,0),"n.a."))</f>
        <v>0</v>
      </c>
      <c r="K525" s="16">
        <f>IF(NOT(Paths!$C$54=1),0,IF(Paths!$P$54="Complete",IF(IF(Paths!$O$54=0,C525=0,AND(C525&gt;0,Paths!$O$54&gt;(C525-1)*12,Paths!$O$54&lt;=C525*12)),Paths!$N$54,0),"n.a."))</f>
        <v>0</v>
      </c>
      <c r="L525" s="16">
        <f>IF(NOT(Paths!$C$54=1),0,IF(Paths!$P$54="Complete",IF(C525=10,Paths!$I$54,0),"n.a."))</f>
        <v>0</v>
      </c>
      <c r="M525" s="16">
        <f>IF(NOT(Paths!$C$54=1),0,IF(Paths!$P$54="Complete",IF(AND(Paths!$D$54="EV",Paths!$E$54&lt;120,Paths!$E$54+'Operating costs'!$B$65&gt;Paths!$E$54,Paths!$E$54+'Operating costs'!$B$65&lt;=120,IF(Paths!$E$54+'Operating costs'!$B$65=0,C525=0,AND(C525&gt;0,Paths!$E$54+'Operating costs'!$B$65&gt;(C525-1)*12,Paths!$E$54+'Operating costs'!$B$65&lt;=C525*12))),'Operating costs'!$B$64,0)+IF(AND('Operating costs'!$B$67&gt;0,'Operating costs'!$B$67&lt;=120,OR(Paths!$D$54="ICE",'Operating costs'!$B$67&lt;=Paths!$E$54),IF('Operating costs'!$B$67=0,C525=0,AND(C525&gt;0,'Operating costs'!$B$67&gt;(C525-1)*12,'Operating costs'!$B$67&lt;=C525*12))),'Operating costs'!$B$66,0),"n.a."))</f>
        <v>0</v>
      </c>
      <c r="N525" s="16">
        <f>IF(NOT(Paths!$C$54=1),0,IF(Paths!$P$54="Complete",SUM(G525:I525)-J525-K525-L525+M525+IF(C525=0,Paths!$F$54,0)+IF(IF(Paths!$E$54=0,C525=0,AND(C525&gt;0,Paths!$E$54&gt;(C525-1)*12,Paths!$E$54&lt;=C525*12)),VLOOKUP(A525,'Fleet register'!$A$7:$S$106,16,FALSE),0),"n.a."))</f>
        <v>0</v>
      </c>
      <c r="O525" s="16">
        <f>IF(NOT(Paths!$C$54=1),0,IF(Paths!$P$54="Complete",N525-IF(C525=0,Paths!$F$54,0),"n.a."))</f>
        <v>0</v>
      </c>
      <c r="P525" s="16">
        <f>IF(NOT(Paths!$C$54=1),0,IF(Paths!$P$54="Complete",O525+L525,"n.a."))</f>
        <v>0</v>
      </c>
      <c r="Q525" s="16">
        <f>IF(NOT(Paths!$C$54=1),0,IF(Paths!$P$54="Complete",N525*(1+'Operating costs'!$B$54)^-C525,"n.a."))</f>
        <v>0</v>
      </c>
      <c r="R525" s="16">
        <f>IF(NOT(Paths!$C$54=1),0,IF(Paths!$P$54="Complete",IF(AND(C525=0,Paths!$E$54=0),I525-J525-K525+VLOOKUP(A525,'Fleet register'!$A$7:$S$106,15,FALSE)+VLOOKUP(A525,'Fleet register'!$A$7:$S$106,16,FALSE),0),"n.a."))</f>
        <v>0</v>
      </c>
      <c r="S525" s="1">
        <f>IF(NOT(Paths!$C$54=1),0,IF(Paths!$P$54="Complete",IF(C525=0,0,Paths!$S$54*Paths!$R$54),"n.a."))</f>
        <v>0</v>
      </c>
      <c r="T525" s="1">
        <f>IF(NOT(Paths!$C$54=1),0,IF(Paths!$P$54="Complete",IF(C525=0,0,VLOOKUP(A525,'Fleet register'!$A$7:$S$106,9,FALSE)*Paths!$R$54),"n.a."))</f>
        <v>0</v>
      </c>
    </row>
    <row r="526" spans="1:20" ht="24" customHeight="1">
      <c r="A526" s="1" t="str">
        <f>Paths!$A$54</f>
        <v>T012</v>
      </c>
      <c r="B526" s="1">
        <f>Paths!$B$54</f>
        <v>3</v>
      </c>
      <c r="C526" s="1">
        <v>2</v>
      </c>
      <c r="D526" s="1">
        <v>54</v>
      </c>
      <c r="E526" s="1">
        <f>IF(OR(Paths!$C$54=0,C526=0),0,MAX(0,MIN(C526*12,Paths!$E$54)-(C526-1)*12))</f>
        <v>0</v>
      </c>
      <c r="F526" s="1">
        <f>IF(OR(Paths!$C$54=0,C526=0),0,12-E526)</f>
        <v>0</v>
      </c>
      <c r="G526" s="16">
        <f>IF(NOT(Paths!$C$54=1),0,IF(Paths!$P$54="Complete",E526/12*(Paths!$J$54*(1+'Operating costs'!$B$51)^MAX(0,C526-1)+Paths!$K$54*(1+'Operating costs'!$B$53)^MAX(0,C526-1)),"n.a."))</f>
        <v>0</v>
      </c>
      <c r="H526" s="16">
        <f>IF(NOT(Paths!$C$54=1),0,IF(Paths!$P$54="Complete",F526/12*(Paths!$L$54*(1+IF(Paths!$D$54="EV",'Operating costs'!$B$52,'Operating costs'!$B$51))^MAX(0,C526-1)+Paths!$M$54*(1+'Operating costs'!$B$53)^MAX(0,C526-1)),"n.a."))</f>
        <v>0</v>
      </c>
      <c r="I526" s="16">
        <f>IF(NOT(Paths!$C$54=1),0,IF(Paths!$P$54="Complete",IF(IF(Paths!$E$54=0,C526=0,AND(C526&gt;0,Paths!$E$54&gt;(C526-1)*12,Paths!$E$54&lt;=C526*12)),Paths!$G$54,0),"n.a."))</f>
        <v>0</v>
      </c>
      <c r="J526" s="16">
        <f>IF(NOT(Paths!$C$54=1),0,IF(Paths!$P$54="Complete",IF(IF(Paths!$E$54=0,C526=0,AND(C526&gt;0,Paths!$E$54&gt;(C526-1)*12,Paths!$E$54&lt;=C526*12)),Paths!$H$54,0),"n.a."))</f>
        <v>0</v>
      </c>
      <c r="K526" s="16">
        <f>IF(NOT(Paths!$C$54=1),0,IF(Paths!$P$54="Complete",IF(IF(Paths!$O$54=0,C526=0,AND(C526&gt;0,Paths!$O$54&gt;(C526-1)*12,Paths!$O$54&lt;=C526*12)),Paths!$N$54,0),"n.a."))</f>
        <v>0</v>
      </c>
      <c r="L526" s="16">
        <f>IF(NOT(Paths!$C$54=1),0,IF(Paths!$P$54="Complete",IF(C526=10,Paths!$I$54,0),"n.a."))</f>
        <v>0</v>
      </c>
      <c r="M526" s="16">
        <f>IF(NOT(Paths!$C$54=1),0,IF(Paths!$P$54="Complete",IF(AND(Paths!$D$54="EV",Paths!$E$54&lt;120,Paths!$E$54+'Operating costs'!$B$65&gt;Paths!$E$54,Paths!$E$54+'Operating costs'!$B$65&lt;=120,IF(Paths!$E$54+'Operating costs'!$B$65=0,C526=0,AND(C526&gt;0,Paths!$E$54+'Operating costs'!$B$65&gt;(C526-1)*12,Paths!$E$54+'Operating costs'!$B$65&lt;=C526*12))),'Operating costs'!$B$64,0)+IF(AND('Operating costs'!$B$67&gt;0,'Operating costs'!$B$67&lt;=120,OR(Paths!$D$54="ICE",'Operating costs'!$B$67&lt;=Paths!$E$54),IF('Operating costs'!$B$67=0,C526=0,AND(C526&gt;0,'Operating costs'!$B$67&gt;(C526-1)*12,'Operating costs'!$B$67&lt;=C526*12))),'Operating costs'!$B$66,0),"n.a."))</f>
        <v>0</v>
      </c>
      <c r="N526" s="16">
        <f>IF(NOT(Paths!$C$54=1),0,IF(Paths!$P$54="Complete",SUM(G526:I526)-J526-K526-L526+M526+IF(C526=0,Paths!$F$54,0)+IF(IF(Paths!$E$54=0,C526=0,AND(C526&gt;0,Paths!$E$54&gt;(C526-1)*12,Paths!$E$54&lt;=C526*12)),VLOOKUP(A526,'Fleet register'!$A$7:$S$106,16,FALSE),0),"n.a."))</f>
        <v>0</v>
      </c>
      <c r="O526" s="16">
        <f>IF(NOT(Paths!$C$54=1),0,IF(Paths!$P$54="Complete",N526-IF(C526=0,Paths!$F$54,0),"n.a."))</f>
        <v>0</v>
      </c>
      <c r="P526" s="16">
        <f>IF(NOT(Paths!$C$54=1),0,IF(Paths!$P$54="Complete",O526+L526,"n.a."))</f>
        <v>0</v>
      </c>
      <c r="Q526" s="16">
        <f>IF(NOT(Paths!$C$54=1),0,IF(Paths!$P$54="Complete",N526*(1+'Operating costs'!$B$54)^-C526,"n.a."))</f>
        <v>0</v>
      </c>
      <c r="R526" s="16">
        <f>IF(NOT(Paths!$C$54=1),0,IF(Paths!$P$54="Complete",IF(AND(C526=0,Paths!$E$54=0),I526-J526-K526+VLOOKUP(A526,'Fleet register'!$A$7:$S$106,15,FALSE)+VLOOKUP(A526,'Fleet register'!$A$7:$S$106,16,FALSE),0),"n.a."))</f>
        <v>0</v>
      </c>
      <c r="S526" s="1">
        <f>IF(NOT(Paths!$C$54=1),0,IF(Paths!$P$54="Complete",IF(C526=0,0,Paths!$S$54*Paths!$R$54),"n.a."))</f>
        <v>0</v>
      </c>
      <c r="T526" s="1">
        <f>IF(NOT(Paths!$C$54=1),0,IF(Paths!$P$54="Complete",IF(C526=0,0,VLOOKUP(A526,'Fleet register'!$A$7:$S$106,9,FALSE)*Paths!$R$54),"n.a."))</f>
        <v>0</v>
      </c>
    </row>
    <row r="527" spans="1:20" ht="24" customHeight="1">
      <c r="A527" s="1" t="str">
        <f>Paths!$A$54</f>
        <v>T012</v>
      </c>
      <c r="B527" s="1">
        <f>Paths!$B$54</f>
        <v>3</v>
      </c>
      <c r="C527" s="1">
        <v>3</v>
      </c>
      <c r="D527" s="1">
        <v>54</v>
      </c>
      <c r="E527" s="1">
        <f>IF(OR(Paths!$C$54=0,C527=0),0,MAX(0,MIN(C527*12,Paths!$E$54)-(C527-1)*12))</f>
        <v>0</v>
      </c>
      <c r="F527" s="1">
        <f>IF(OR(Paths!$C$54=0,C527=0),0,12-E527)</f>
        <v>0</v>
      </c>
      <c r="G527" s="16">
        <f>IF(NOT(Paths!$C$54=1),0,IF(Paths!$P$54="Complete",E527/12*(Paths!$J$54*(1+'Operating costs'!$B$51)^MAX(0,C527-1)+Paths!$K$54*(1+'Operating costs'!$B$53)^MAX(0,C527-1)),"n.a."))</f>
        <v>0</v>
      </c>
      <c r="H527" s="16">
        <f>IF(NOT(Paths!$C$54=1),0,IF(Paths!$P$54="Complete",F527/12*(Paths!$L$54*(1+IF(Paths!$D$54="EV",'Operating costs'!$B$52,'Operating costs'!$B$51))^MAX(0,C527-1)+Paths!$M$54*(1+'Operating costs'!$B$53)^MAX(0,C527-1)),"n.a."))</f>
        <v>0</v>
      </c>
      <c r="I527" s="16">
        <f>IF(NOT(Paths!$C$54=1),0,IF(Paths!$P$54="Complete",IF(IF(Paths!$E$54=0,C527=0,AND(C527&gt;0,Paths!$E$54&gt;(C527-1)*12,Paths!$E$54&lt;=C527*12)),Paths!$G$54,0),"n.a."))</f>
        <v>0</v>
      </c>
      <c r="J527" s="16">
        <f>IF(NOT(Paths!$C$54=1),0,IF(Paths!$P$54="Complete",IF(IF(Paths!$E$54=0,C527=0,AND(C527&gt;0,Paths!$E$54&gt;(C527-1)*12,Paths!$E$54&lt;=C527*12)),Paths!$H$54,0),"n.a."))</f>
        <v>0</v>
      </c>
      <c r="K527" s="16">
        <f>IF(NOT(Paths!$C$54=1),0,IF(Paths!$P$54="Complete",IF(IF(Paths!$O$54=0,C527=0,AND(C527&gt;0,Paths!$O$54&gt;(C527-1)*12,Paths!$O$54&lt;=C527*12)),Paths!$N$54,0),"n.a."))</f>
        <v>0</v>
      </c>
      <c r="L527" s="16">
        <f>IF(NOT(Paths!$C$54=1),0,IF(Paths!$P$54="Complete",IF(C527=10,Paths!$I$54,0),"n.a."))</f>
        <v>0</v>
      </c>
      <c r="M527" s="16">
        <f>IF(NOT(Paths!$C$54=1),0,IF(Paths!$P$54="Complete",IF(AND(Paths!$D$54="EV",Paths!$E$54&lt;120,Paths!$E$54+'Operating costs'!$B$65&gt;Paths!$E$54,Paths!$E$54+'Operating costs'!$B$65&lt;=120,IF(Paths!$E$54+'Operating costs'!$B$65=0,C527=0,AND(C527&gt;0,Paths!$E$54+'Operating costs'!$B$65&gt;(C527-1)*12,Paths!$E$54+'Operating costs'!$B$65&lt;=C527*12))),'Operating costs'!$B$64,0)+IF(AND('Operating costs'!$B$67&gt;0,'Operating costs'!$B$67&lt;=120,OR(Paths!$D$54="ICE",'Operating costs'!$B$67&lt;=Paths!$E$54),IF('Operating costs'!$B$67=0,C527=0,AND(C527&gt;0,'Operating costs'!$B$67&gt;(C527-1)*12,'Operating costs'!$B$67&lt;=C527*12))),'Operating costs'!$B$66,0),"n.a."))</f>
        <v>0</v>
      </c>
      <c r="N527" s="16">
        <f>IF(NOT(Paths!$C$54=1),0,IF(Paths!$P$54="Complete",SUM(G527:I527)-J527-K527-L527+M527+IF(C527=0,Paths!$F$54,0)+IF(IF(Paths!$E$54=0,C527=0,AND(C527&gt;0,Paths!$E$54&gt;(C527-1)*12,Paths!$E$54&lt;=C527*12)),VLOOKUP(A527,'Fleet register'!$A$7:$S$106,16,FALSE),0),"n.a."))</f>
        <v>0</v>
      </c>
      <c r="O527" s="16">
        <f>IF(NOT(Paths!$C$54=1),0,IF(Paths!$P$54="Complete",N527-IF(C527=0,Paths!$F$54,0),"n.a."))</f>
        <v>0</v>
      </c>
      <c r="P527" s="16">
        <f>IF(NOT(Paths!$C$54=1),0,IF(Paths!$P$54="Complete",O527+L527,"n.a."))</f>
        <v>0</v>
      </c>
      <c r="Q527" s="16">
        <f>IF(NOT(Paths!$C$54=1),0,IF(Paths!$P$54="Complete",N527*(1+'Operating costs'!$B$54)^-C527,"n.a."))</f>
        <v>0</v>
      </c>
      <c r="R527" s="16">
        <f>IF(NOT(Paths!$C$54=1),0,IF(Paths!$P$54="Complete",IF(AND(C527=0,Paths!$E$54=0),I527-J527-K527+VLOOKUP(A527,'Fleet register'!$A$7:$S$106,15,FALSE)+VLOOKUP(A527,'Fleet register'!$A$7:$S$106,16,FALSE),0),"n.a."))</f>
        <v>0</v>
      </c>
      <c r="S527" s="1">
        <f>IF(NOT(Paths!$C$54=1),0,IF(Paths!$P$54="Complete",IF(C527=0,0,Paths!$S$54*Paths!$R$54),"n.a."))</f>
        <v>0</v>
      </c>
      <c r="T527" s="1">
        <f>IF(NOT(Paths!$C$54=1),0,IF(Paths!$P$54="Complete",IF(C527=0,0,VLOOKUP(A527,'Fleet register'!$A$7:$S$106,9,FALSE)*Paths!$R$54),"n.a."))</f>
        <v>0</v>
      </c>
    </row>
    <row r="528" spans="1:20" ht="24" customHeight="1">
      <c r="A528" s="1" t="str">
        <f>Paths!$A$54</f>
        <v>T012</v>
      </c>
      <c r="B528" s="1">
        <f>Paths!$B$54</f>
        <v>3</v>
      </c>
      <c r="C528" s="1">
        <v>4</v>
      </c>
      <c r="D528" s="1">
        <v>54</v>
      </c>
      <c r="E528" s="1">
        <f>IF(OR(Paths!$C$54=0,C528=0),0,MAX(0,MIN(C528*12,Paths!$E$54)-(C528-1)*12))</f>
        <v>0</v>
      </c>
      <c r="F528" s="1">
        <f>IF(OR(Paths!$C$54=0,C528=0),0,12-E528)</f>
        <v>0</v>
      </c>
      <c r="G528" s="16">
        <f>IF(NOT(Paths!$C$54=1),0,IF(Paths!$P$54="Complete",E528/12*(Paths!$J$54*(1+'Operating costs'!$B$51)^MAX(0,C528-1)+Paths!$K$54*(1+'Operating costs'!$B$53)^MAX(0,C528-1)),"n.a."))</f>
        <v>0</v>
      </c>
      <c r="H528" s="16">
        <f>IF(NOT(Paths!$C$54=1),0,IF(Paths!$P$54="Complete",F528/12*(Paths!$L$54*(1+IF(Paths!$D$54="EV",'Operating costs'!$B$52,'Operating costs'!$B$51))^MAX(0,C528-1)+Paths!$M$54*(1+'Operating costs'!$B$53)^MAX(0,C528-1)),"n.a."))</f>
        <v>0</v>
      </c>
      <c r="I528" s="16">
        <f>IF(NOT(Paths!$C$54=1),0,IF(Paths!$P$54="Complete",IF(IF(Paths!$E$54=0,C528=0,AND(C528&gt;0,Paths!$E$54&gt;(C528-1)*12,Paths!$E$54&lt;=C528*12)),Paths!$G$54,0),"n.a."))</f>
        <v>0</v>
      </c>
      <c r="J528" s="16">
        <f>IF(NOT(Paths!$C$54=1),0,IF(Paths!$P$54="Complete",IF(IF(Paths!$E$54=0,C528=0,AND(C528&gt;0,Paths!$E$54&gt;(C528-1)*12,Paths!$E$54&lt;=C528*12)),Paths!$H$54,0),"n.a."))</f>
        <v>0</v>
      </c>
      <c r="K528" s="16">
        <f>IF(NOT(Paths!$C$54=1),0,IF(Paths!$P$54="Complete",IF(IF(Paths!$O$54=0,C528=0,AND(C528&gt;0,Paths!$O$54&gt;(C528-1)*12,Paths!$O$54&lt;=C528*12)),Paths!$N$54,0),"n.a."))</f>
        <v>0</v>
      </c>
      <c r="L528" s="16">
        <f>IF(NOT(Paths!$C$54=1),0,IF(Paths!$P$54="Complete",IF(C528=10,Paths!$I$54,0),"n.a."))</f>
        <v>0</v>
      </c>
      <c r="M528" s="16">
        <f>IF(NOT(Paths!$C$54=1),0,IF(Paths!$P$54="Complete",IF(AND(Paths!$D$54="EV",Paths!$E$54&lt;120,Paths!$E$54+'Operating costs'!$B$65&gt;Paths!$E$54,Paths!$E$54+'Operating costs'!$B$65&lt;=120,IF(Paths!$E$54+'Operating costs'!$B$65=0,C528=0,AND(C528&gt;0,Paths!$E$54+'Operating costs'!$B$65&gt;(C528-1)*12,Paths!$E$54+'Operating costs'!$B$65&lt;=C528*12))),'Operating costs'!$B$64,0)+IF(AND('Operating costs'!$B$67&gt;0,'Operating costs'!$B$67&lt;=120,OR(Paths!$D$54="ICE",'Operating costs'!$B$67&lt;=Paths!$E$54),IF('Operating costs'!$B$67=0,C528=0,AND(C528&gt;0,'Operating costs'!$B$67&gt;(C528-1)*12,'Operating costs'!$B$67&lt;=C528*12))),'Operating costs'!$B$66,0),"n.a."))</f>
        <v>0</v>
      </c>
      <c r="N528" s="16">
        <f>IF(NOT(Paths!$C$54=1),0,IF(Paths!$P$54="Complete",SUM(G528:I528)-J528-K528-L528+M528+IF(C528=0,Paths!$F$54,0)+IF(IF(Paths!$E$54=0,C528=0,AND(C528&gt;0,Paths!$E$54&gt;(C528-1)*12,Paths!$E$54&lt;=C528*12)),VLOOKUP(A528,'Fleet register'!$A$7:$S$106,16,FALSE),0),"n.a."))</f>
        <v>0</v>
      </c>
      <c r="O528" s="16">
        <f>IF(NOT(Paths!$C$54=1),0,IF(Paths!$P$54="Complete",N528-IF(C528=0,Paths!$F$54,0),"n.a."))</f>
        <v>0</v>
      </c>
      <c r="P528" s="16">
        <f>IF(NOT(Paths!$C$54=1),0,IF(Paths!$P$54="Complete",O528+L528,"n.a."))</f>
        <v>0</v>
      </c>
      <c r="Q528" s="16">
        <f>IF(NOT(Paths!$C$54=1),0,IF(Paths!$P$54="Complete",N528*(1+'Operating costs'!$B$54)^-C528,"n.a."))</f>
        <v>0</v>
      </c>
      <c r="R528" s="16">
        <f>IF(NOT(Paths!$C$54=1),0,IF(Paths!$P$54="Complete",IF(AND(C528=0,Paths!$E$54=0),I528-J528-K528+VLOOKUP(A528,'Fleet register'!$A$7:$S$106,15,FALSE)+VLOOKUP(A528,'Fleet register'!$A$7:$S$106,16,FALSE),0),"n.a."))</f>
        <v>0</v>
      </c>
      <c r="S528" s="1">
        <f>IF(NOT(Paths!$C$54=1),0,IF(Paths!$P$54="Complete",IF(C528=0,0,Paths!$S$54*Paths!$R$54),"n.a."))</f>
        <v>0</v>
      </c>
      <c r="T528" s="1">
        <f>IF(NOT(Paths!$C$54=1),0,IF(Paths!$P$54="Complete",IF(C528=0,0,VLOOKUP(A528,'Fleet register'!$A$7:$S$106,9,FALSE)*Paths!$R$54),"n.a."))</f>
        <v>0</v>
      </c>
    </row>
    <row r="529" spans="1:20" ht="24" customHeight="1">
      <c r="A529" s="1" t="str">
        <f>Paths!$A$54</f>
        <v>T012</v>
      </c>
      <c r="B529" s="1">
        <f>Paths!$B$54</f>
        <v>3</v>
      </c>
      <c r="C529" s="1">
        <v>5</v>
      </c>
      <c r="D529" s="1">
        <v>54</v>
      </c>
      <c r="E529" s="1">
        <f>IF(OR(Paths!$C$54=0,C529=0),0,MAX(0,MIN(C529*12,Paths!$E$54)-(C529-1)*12))</f>
        <v>0</v>
      </c>
      <c r="F529" s="1">
        <f>IF(OR(Paths!$C$54=0,C529=0),0,12-E529)</f>
        <v>0</v>
      </c>
      <c r="G529" s="16">
        <f>IF(NOT(Paths!$C$54=1),0,IF(Paths!$P$54="Complete",E529/12*(Paths!$J$54*(1+'Operating costs'!$B$51)^MAX(0,C529-1)+Paths!$K$54*(1+'Operating costs'!$B$53)^MAX(0,C529-1)),"n.a."))</f>
        <v>0</v>
      </c>
      <c r="H529" s="16">
        <f>IF(NOT(Paths!$C$54=1),0,IF(Paths!$P$54="Complete",F529/12*(Paths!$L$54*(1+IF(Paths!$D$54="EV",'Operating costs'!$B$52,'Operating costs'!$B$51))^MAX(0,C529-1)+Paths!$M$54*(1+'Operating costs'!$B$53)^MAX(0,C529-1)),"n.a."))</f>
        <v>0</v>
      </c>
      <c r="I529" s="16">
        <f>IF(NOT(Paths!$C$54=1),0,IF(Paths!$P$54="Complete",IF(IF(Paths!$E$54=0,C529=0,AND(C529&gt;0,Paths!$E$54&gt;(C529-1)*12,Paths!$E$54&lt;=C529*12)),Paths!$G$54,0),"n.a."))</f>
        <v>0</v>
      </c>
      <c r="J529" s="16">
        <f>IF(NOT(Paths!$C$54=1),0,IF(Paths!$P$54="Complete",IF(IF(Paths!$E$54=0,C529=0,AND(C529&gt;0,Paths!$E$54&gt;(C529-1)*12,Paths!$E$54&lt;=C529*12)),Paths!$H$54,0),"n.a."))</f>
        <v>0</v>
      </c>
      <c r="K529" s="16">
        <f>IF(NOT(Paths!$C$54=1),0,IF(Paths!$P$54="Complete",IF(IF(Paths!$O$54=0,C529=0,AND(C529&gt;0,Paths!$O$54&gt;(C529-1)*12,Paths!$O$54&lt;=C529*12)),Paths!$N$54,0),"n.a."))</f>
        <v>0</v>
      </c>
      <c r="L529" s="16">
        <f>IF(NOT(Paths!$C$54=1),0,IF(Paths!$P$54="Complete",IF(C529=10,Paths!$I$54,0),"n.a."))</f>
        <v>0</v>
      </c>
      <c r="M529" s="16">
        <f>IF(NOT(Paths!$C$54=1),0,IF(Paths!$P$54="Complete",IF(AND(Paths!$D$54="EV",Paths!$E$54&lt;120,Paths!$E$54+'Operating costs'!$B$65&gt;Paths!$E$54,Paths!$E$54+'Operating costs'!$B$65&lt;=120,IF(Paths!$E$54+'Operating costs'!$B$65=0,C529=0,AND(C529&gt;0,Paths!$E$54+'Operating costs'!$B$65&gt;(C529-1)*12,Paths!$E$54+'Operating costs'!$B$65&lt;=C529*12))),'Operating costs'!$B$64,0)+IF(AND('Operating costs'!$B$67&gt;0,'Operating costs'!$B$67&lt;=120,OR(Paths!$D$54="ICE",'Operating costs'!$B$67&lt;=Paths!$E$54),IF('Operating costs'!$B$67=0,C529=0,AND(C529&gt;0,'Operating costs'!$B$67&gt;(C529-1)*12,'Operating costs'!$B$67&lt;=C529*12))),'Operating costs'!$B$66,0),"n.a."))</f>
        <v>0</v>
      </c>
      <c r="N529" s="16">
        <f>IF(NOT(Paths!$C$54=1),0,IF(Paths!$P$54="Complete",SUM(G529:I529)-J529-K529-L529+M529+IF(C529=0,Paths!$F$54,0)+IF(IF(Paths!$E$54=0,C529=0,AND(C529&gt;0,Paths!$E$54&gt;(C529-1)*12,Paths!$E$54&lt;=C529*12)),VLOOKUP(A529,'Fleet register'!$A$7:$S$106,16,FALSE),0),"n.a."))</f>
        <v>0</v>
      </c>
      <c r="O529" s="16">
        <f>IF(NOT(Paths!$C$54=1),0,IF(Paths!$P$54="Complete",N529-IF(C529=0,Paths!$F$54,0),"n.a."))</f>
        <v>0</v>
      </c>
      <c r="P529" s="16">
        <f>IF(NOT(Paths!$C$54=1),0,IF(Paths!$P$54="Complete",O529+L529,"n.a."))</f>
        <v>0</v>
      </c>
      <c r="Q529" s="16">
        <f>IF(NOT(Paths!$C$54=1),0,IF(Paths!$P$54="Complete",N529*(1+'Operating costs'!$B$54)^-C529,"n.a."))</f>
        <v>0</v>
      </c>
      <c r="R529" s="16">
        <f>IF(NOT(Paths!$C$54=1),0,IF(Paths!$P$54="Complete",IF(AND(C529=0,Paths!$E$54=0),I529-J529-K529+VLOOKUP(A529,'Fleet register'!$A$7:$S$106,15,FALSE)+VLOOKUP(A529,'Fleet register'!$A$7:$S$106,16,FALSE),0),"n.a."))</f>
        <v>0</v>
      </c>
      <c r="S529" s="1">
        <f>IF(NOT(Paths!$C$54=1),0,IF(Paths!$P$54="Complete",IF(C529=0,0,Paths!$S$54*Paths!$R$54),"n.a."))</f>
        <v>0</v>
      </c>
      <c r="T529" s="1">
        <f>IF(NOT(Paths!$C$54=1),0,IF(Paths!$P$54="Complete",IF(C529=0,0,VLOOKUP(A529,'Fleet register'!$A$7:$S$106,9,FALSE)*Paths!$R$54),"n.a."))</f>
        <v>0</v>
      </c>
    </row>
    <row r="530" spans="1:20" ht="24" customHeight="1">
      <c r="A530" s="1" t="str">
        <f>Paths!$A$54</f>
        <v>T012</v>
      </c>
      <c r="B530" s="1">
        <f>Paths!$B$54</f>
        <v>3</v>
      </c>
      <c r="C530" s="1">
        <v>6</v>
      </c>
      <c r="D530" s="1">
        <v>54</v>
      </c>
      <c r="E530" s="1">
        <f>IF(OR(Paths!$C$54=0,C530=0),0,MAX(0,MIN(C530*12,Paths!$E$54)-(C530-1)*12))</f>
        <v>0</v>
      </c>
      <c r="F530" s="1">
        <f>IF(OR(Paths!$C$54=0,C530=0),0,12-E530)</f>
        <v>0</v>
      </c>
      <c r="G530" s="16">
        <f>IF(NOT(Paths!$C$54=1),0,IF(Paths!$P$54="Complete",E530/12*(Paths!$J$54*(1+'Operating costs'!$B$51)^MAX(0,C530-1)+Paths!$K$54*(1+'Operating costs'!$B$53)^MAX(0,C530-1)),"n.a."))</f>
        <v>0</v>
      </c>
      <c r="H530" s="16">
        <f>IF(NOT(Paths!$C$54=1),0,IF(Paths!$P$54="Complete",F530/12*(Paths!$L$54*(1+IF(Paths!$D$54="EV",'Operating costs'!$B$52,'Operating costs'!$B$51))^MAX(0,C530-1)+Paths!$M$54*(1+'Operating costs'!$B$53)^MAX(0,C530-1)),"n.a."))</f>
        <v>0</v>
      </c>
      <c r="I530" s="16">
        <f>IF(NOT(Paths!$C$54=1),0,IF(Paths!$P$54="Complete",IF(IF(Paths!$E$54=0,C530=0,AND(C530&gt;0,Paths!$E$54&gt;(C530-1)*12,Paths!$E$54&lt;=C530*12)),Paths!$G$54,0),"n.a."))</f>
        <v>0</v>
      </c>
      <c r="J530" s="16">
        <f>IF(NOT(Paths!$C$54=1),0,IF(Paths!$P$54="Complete",IF(IF(Paths!$E$54=0,C530=0,AND(C530&gt;0,Paths!$E$54&gt;(C530-1)*12,Paths!$E$54&lt;=C530*12)),Paths!$H$54,0),"n.a."))</f>
        <v>0</v>
      </c>
      <c r="K530" s="16">
        <f>IF(NOT(Paths!$C$54=1),0,IF(Paths!$P$54="Complete",IF(IF(Paths!$O$54=0,C530=0,AND(C530&gt;0,Paths!$O$54&gt;(C530-1)*12,Paths!$O$54&lt;=C530*12)),Paths!$N$54,0),"n.a."))</f>
        <v>0</v>
      </c>
      <c r="L530" s="16">
        <f>IF(NOT(Paths!$C$54=1),0,IF(Paths!$P$54="Complete",IF(C530=10,Paths!$I$54,0),"n.a."))</f>
        <v>0</v>
      </c>
      <c r="M530" s="16">
        <f>IF(NOT(Paths!$C$54=1),0,IF(Paths!$P$54="Complete",IF(AND(Paths!$D$54="EV",Paths!$E$54&lt;120,Paths!$E$54+'Operating costs'!$B$65&gt;Paths!$E$54,Paths!$E$54+'Operating costs'!$B$65&lt;=120,IF(Paths!$E$54+'Operating costs'!$B$65=0,C530=0,AND(C530&gt;0,Paths!$E$54+'Operating costs'!$B$65&gt;(C530-1)*12,Paths!$E$54+'Operating costs'!$B$65&lt;=C530*12))),'Operating costs'!$B$64,0)+IF(AND('Operating costs'!$B$67&gt;0,'Operating costs'!$B$67&lt;=120,OR(Paths!$D$54="ICE",'Operating costs'!$B$67&lt;=Paths!$E$54),IF('Operating costs'!$B$67=0,C530=0,AND(C530&gt;0,'Operating costs'!$B$67&gt;(C530-1)*12,'Operating costs'!$B$67&lt;=C530*12))),'Operating costs'!$B$66,0),"n.a."))</f>
        <v>0</v>
      </c>
      <c r="N530" s="16">
        <f>IF(NOT(Paths!$C$54=1),0,IF(Paths!$P$54="Complete",SUM(G530:I530)-J530-K530-L530+M530+IF(C530=0,Paths!$F$54,0)+IF(IF(Paths!$E$54=0,C530=0,AND(C530&gt;0,Paths!$E$54&gt;(C530-1)*12,Paths!$E$54&lt;=C530*12)),VLOOKUP(A530,'Fleet register'!$A$7:$S$106,16,FALSE),0),"n.a."))</f>
        <v>0</v>
      </c>
      <c r="O530" s="16">
        <f>IF(NOT(Paths!$C$54=1),0,IF(Paths!$P$54="Complete",N530-IF(C530=0,Paths!$F$54,0),"n.a."))</f>
        <v>0</v>
      </c>
      <c r="P530" s="16">
        <f>IF(NOT(Paths!$C$54=1),0,IF(Paths!$P$54="Complete",O530+L530,"n.a."))</f>
        <v>0</v>
      </c>
      <c r="Q530" s="16">
        <f>IF(NOT(Paths!$C$54=1),0,IF(Paths!$P$54="Complete",N530*(1+'Operating costs'!$B$54)^-C530,"n.a."))</f>
        <v>0</v>
      </c>
      <c r="R530" s="16">
        <f>IF(NOT(Paths!$C$54=1),0,IF(Paths!$P$54="Complete",IF(AND(C530=0,Paths!$E$54=0),I530-J530-K530+VLOOKUP(A530,'Fleet register'!$A$7:$S$106,15,FALSE)+VLOOKUP(A530,'Fleet register'!$A$7:$S$106,16,FALSE),0),"n.a."))</f>
        <v>0</v>
      </c>
      <c r="S530" s="1">
        <f>IF(NOT(Paths!$C$54=1),0,IF(Paths!$P$54="Complete",IF(C530=0,0,Paths!$S$54*Paths!$R$54),"n.a."))</f>
        <v>0</v>
      </c>
      <c r="T530" s="1">
        <f>IF(NOT(Paths!$C$54=1),0,IF(Paths!$P$54="Complete",IF(C530=0,0,VLOOKUP(A530,'Fleet register'!$A$7:$S$106,9,FALSE)*Paths!$R$54),"n.a."))</f>
        <v>0</v>
      </c>
    </row>
    <row r="531" spans="1:20" ht="24" customHeight="1">
      <c r="A531" s="1" t="str">
        <f>Paths!$A$54</f>
        <v>T012</v>
      </c>
      <c r="B531" s="1">
        <f>Paths!$B$54</f>
        <v>3</v>
      </c>
      <c r="C531" s="1">
        <v>7</v>
      </c>
      <c r="D531" s="1">
        <v>54</v>
      </c>
      <c r="E531" s="1">
        <f>IF(OR(Paths!$C$54=0,C531=0),0,MAX(0,MIN(C531*12,Paths!$E$54)-(C531-1)*12))</f>
        <v>0</v>
      </c>
      <c r="F531" s="1">
        <f>IF(OR(Paths!$C$54=0,C531=0),0,12-E531)</f>
        <v>0</v>
      </c>
      <c r="G531" s="16">
        <f>IF(NOT(Paths!$C$54=1),0,IF(Paths!$P$54="Complete",E531/12*(Paths!$J$54*(1+'Operating costs'!$B$51)^MAX(0,C531-1)+Paths!$K$54*(1+'Operating costs'!$B$53)^MAX(0,C531-1)),"n.a."))</f>
        <v>0</v>
      </c>
      <c r="H531" s="16">
        <f>IF(NOT(Paths!$C$54=1),0,IF(Paths!$P$54="Complete",F531/12*(Paths!$L$54*(1+IF(Paths!$D$54="EV",'Operating costs'!$B$52,'Operating costs'!$B$51))^MAX(0,C531-1)+Paths!$M$54*(1+'Operating costs'!$B$53)^MAX(0,C531-1)),"n.a."))</f>
        <v>0</v>
      </c>
      <c r="I531" s="16">
        <f>IF(NOT(Paths!$C$54=1),0,IF(Paths!$P$54="Complete",IF(IF(Paths!$E$54=0,C531=0,AND(C531&gt;0,Paths!$E$54&gt;(C531-1)*12,Paths!$E$54&lt;=C531*12)),Paths!$G$54,0),"n.a."))</f>
        <v>0</v>
      </c>
      <c r="J531" s="16">
        <f>IF(NOT(Paths!$C$54=1),0,IF(Paths!$P$54="Complete",IF(IF(Paths!$E$54=0,C531=0,AND(C531&gt;0,Paths!$E$54&gt;(C531-1)*12,Paths!$E$54&lt;=C531*12)),Paths!$H$54,0),"n.a."))</f>
        <v>0</v>
      </c>
      <c r="K531" s="16">
        <f>IF(NOT(Paths!$C$54=1),0,IF(Paths!$P$54="Complete",IF(IF(Paths!$O$54=0,C531=0,AND(C531&gt;0,Paths!$O$54&gt;(C531-1)*12,Paths!$O$54&lt;=C531*12)),Paths!$N$54,0),"n.a."))</f>
        <v>0</v>
      </c>
      <c r="L531" s="16">
        <f>IF(NOT(Paths!$C$54=1),0,IF(Paths!$P$54="Complete",IF(C531=10,Paths!$I$54,0),"n.a."))</f>
        <v>0</v>
      </c>
      <c r="M531" s="16">
        <f>IF(NOT(Paths!$C$54=1),0,IF(Paths!$P$54="Complete",IF(AND(Paths!$D$54="EV",Paths!$E$54&lt;120,Paths!$E$54+'Operating costs'!$B$65&gt;Paths!$E$54,Paths!$E$54+'Operating costs'!$B$65&lt;=120,IF(Paths!$E$54+'Operating costs'!$B$65=0,C531=0,AND(C531&gt;0,Paths!$E$54+'Operating costs'!$B$65&gt;(C531-1)*12,Paths!$E$54+'Operating costs'!$B$65&lt;=C531*12))),'Operating costs'!$B$64,0)+IF(AND('Operating costs'!$B$67&gt;0,'Operating costs'!$B$67&lt;=120,OR(Paths!$D$54="ICE",'Operating costs'!$B$67&lt;=Paths!$E$54),IF('Operating costs'!$B$67=0,C531=0,AND(C531&gt;0,'Operating costs'!$B$67&gt;(C531-1)*12,'Operating costs'!$B$67&lt;=C531*12))),'Operating costs'!$B$66,0),"n.a."))</f>
        <v>0</v>
      </c>
      <c r="N531" s="16">
        <f>IF(NOT(Paths!$C$54=1),0,IF(Paths!$P$54="Complete",SUM(G531:I531)-J531-K531-L531+M531+IF(C531=0,Paths!$F$54,0)+IF(IF(Paths!$E$54=0,C531=0,AND(C531&gt;0,Paths!$E$54&gt;(C531-1)*12,Paths!$E$54&lt;=C531*12)),VLOOKUP(A531,'Fleet register'!$A$7:$S$106,16,FALSE),0),"n.a."))</f>
        <v>0</v>
      </c>
      <c r="O531" s="16">
        <f>IF(NOT(Paths!$C$54=1),0,IF(Paths!$P$54="Complete",N531-IF(C531=0,Paths!$F$54,0),"n.a."))</f>
        <v>0</v>
      </c>
      <c r="P531" s="16">
        <f>IF(NOT(Paths!$C$54=1),0,IF(Paths!$P$54="Complete",O531+L531,"n.a."))</f>
        <v>0</v>
      </c>
      <c r="Q531" s="16">
        <f>IF(NOT(Paths!$C$54=1),0,IF(Paths!$P$54="Complete",N531*(1+'Operating costs'!$B$54)^-C531,"n.a."))</f>
        <v>0</v>
      </c>
      <c r="R531" s="16">
        <f>IF(NOT(Paths!$C$54=1),0,IF(Paths!$P$54="Complete",IF(AND(C531=0,Paths!$E$54=0),I531-J531-K531+VLOOKUP(A531,'Fleet register'!$A$7:$S$106,15,FALSE)+VLOOKUP(A531,'Fleet register'!$A$7:$S$106,16,FALSE),0),"n.a."))</f>
        <v>0</v>
      </c>
      <c r="S531" s="1">
        <f>IF(NOT(Paths!$C$54=1),0,IF(Paths!$P$54="Complete",IF(C531=0,0,Paths!$S$54*Paths!$R$54),"n.a."))</f>
        <v>0</v>
      </c>
      <c r="T531" s="1">
        <f>IF(NOT(Paths!$C$54=1),0,IF(Paths!$P$54="Complete",IF(C531=0,0,VLOOKUP(A531,'Fleet register'!$A$7:$S$106,9,FALSE)*Paths!$R$54),"n.a."))</f>
        <v>0</v>
      </c>
    </row>
    <row r="532" spans="1:20" ht="24" customHeight="1">
      <c r="A532" s="1" t="str">
        <f>Paths!$A$54</f>
        <v>T012</v>
      </c>
      <c r="B532" s="1">
        <f>Paths!$B$54</f>
        <v>3</v>
      </c>
      <c r="C532" s="1">
        <v>8</v>
      </c>
      <c r="D532" s="1">
        <v>54</v>
      </c>
      <c r="E532" s="1">
        <f>IF(OR(Paths!$C$54=0,C532=0),0,MAX(0,MIN(C532*12,Paths!$E$54)-(C532-1)*12))</f>
        <v>0</v>
      </c>
      <c r="F532" s="1">
        <f>IF(OR(Paths!$C$54=0,C532=0),0,12-E532)</f>
        <v>0</v>
      </c>
      <c r="G532" s="16">
        <f>IF(NOT(Paths!$C$54=1),0,IF(Paths!$P$54="Complete",E532/12*(Paths!$J$54*(1+'Operating costs'!$B$51)^MAX(0,C532-1)+Paths!$K$54*(1+'Operating costs'!$B$53)^MAX(0,C532-1)),"n.a."))</f>
        <v>0</v>
      </c>
      <c r="H532" s="16">
        <f>IF(NOT(Paths!$C$54=1),0,IF(Paths!$P$54="Complete",F532/12*(Paths!$L$54*(1+IF(Paths!$D$54="EV",'Operating costs'!$B$52,'Operating costs'!$B$51))^MAX(0,C532-1)+Paths!$M$54*(1+'Operating costs'!$B$53)^MAX(0,C532-1)),"n.a."))</f>
        <v>0</v>
      </c>
      <c r="I532" s="16">
        <f>IF(NOT(Paths!$C$54=1),0,IF(Paths!$P$54="Complete",IF(IF(Paths!$E$54=0,C532=0,AND(C532&gt;0,Paths!$E$54&gt;(C532-1)*12,Paths!$E$54&lt;=C532*12)),Paths!$G$54,0),"n.a."))</f>
        <v>0</v>
      </c>
      <c r="J532" s="16">
        <f>IF(NOT(Paths!$C$54=1),0,IF(Paths!$P$54="Complete",IF(IF(Paths!$E$54=0,C532=0,AND(C532&gt;0,Paths!$E$54&gt;(C532-1)*12,Paths!$E$54&lt;=C532*12)),Paths!$H$54,0),"n.a."))</f>
        <v>0</v>
      </c>
      <c r="K532" s="16">
        <f>IF(NOT(Paths!$C$54=1),0,IF(Paths!$P$54="Complete",IF(IF(Paths!$O$54=0,C532=0,AND(C532&gt;0,Paths!$O$54&gt;(C532-1)*12,Paths!$O$54&lt;=C532*12)),Paths!$N$54,0),"n.a."))</f>
        <v>0</v>
      </c>
      <c r="L532" s="16">
        <f>IF(NOT(Paths!$C$54=1),0,IF(Paths!$P$54="Complete",IF(C532=10,Paths!$I$54,0),"n.a."))</f>
        <v>0</v>
      </c>
      <c r="M532" s="16">
        <f>IF(NOT(Paths!$C$54=1),0,IF(Paths!$P$54="Complete",IF(AND(Paths!$D$54="EV",Paths!$E$54&lt;120,Paths!$E$54+'Operating costs'!$B$65&gt;Paths!$E$54,Paths!$E$54+'Operating costs'!$B$65&lt;=120,IF(Paths!$E$54+'Operating costs'!$B$65=0,C532=0,AND(C532&gt;0,Paths!$E$54+'Operating costs'!$B$65&gt;(C532-1)*12,Paths!$E$54+'Operating costs'!$B$65&lt;=C532*12))),'Operating costs'!$B$64,0)+IF(AND('Operating costs'!$B$67&gt;0,'Operating costs'!$B$67&lt;=120,OR(Paths!$D$54="ICE",'Operating costs'!$B$67&lt;=Paths!$E$54),IF('Operating costs'!$B$67=0,C532=0,AND(C532&gt;0,'Operating costs'!$B$67&gt;(C532-1)*12,'Operating costs'!$B$67&lt;=C532*12))),'Operating costs'!$B$66,0),"n.a."))</f>
        <v>0</v>
      </c>
      <c r="N532" s="16">
        <f>IF(NOT(Paths!$C$54=1),0,IF(Paths!$P$54="Complete",SUM(G532:I532)-J532-K532-L532+M532+IF(C532=0,Paths!$F$54,0)+IF(IF(Paths!$E$54=0,C532=0,AND(C532&gt;0,Paths!$E$54&gt;(C532-1)*12,Paths!$E$54&lt;=C532*12)),VLOOKUP(A532,'Fleet register'!$A$7:$S$106,16,FALSE),0),"n.a."))</f>
        <v>0</v>
      </c>
      <c r="O532" s="16">
        <f>IF(NOT(Paths!$C$54=1),0,IF(Paths!$P$54="Complete",N532-IF(C532=0,Paths!$F$54,0),"n.a."))</f>
        <v>0</v>
      </c>
      <c r="P532" s="16">
        <f>IF(NOT(Paths!$C$54=1),0,IF(Paths!$P$54="Complete",O532+L532,"n.a."))</f>
        <v>0</v>
      </c>
      <c r="Q532" s="16">
        <f>IF(NOT(Paths!$C$54=1),0,IF(Paths!$P$54="Complete",N532*(1+'Operating costs'!$B$54)^-C532,"n.a."))</f>
        <v>0</v>
      </c>
      <c r="R532" s="16">
        <f>IF(NOT(Paths!$C$54=1),0,IF(Paths!$P$54="Complete",IF(AND(C532=0,Paths!$E$54=0),I532-J532-K532+VLOOKUP(A532,'Fleet register'!$A$7:$S$106,15,FALSE)+VLOOKUP(A532,'Fleet register'!$A$7:$S$106,16,FALSE),0),"n.a."))</f>
        <v>0</v>
      </c>
      <c r="S532" s="1">
        <f>IF(NOT(Paths!$C$54=1),0,IF(Paths!$P$54="Complete",IF(C532=0,0,Paths!$S$54*Paths!$R$54),"n.a."))</f>
        <v>0</v>
      </c>
      <c r="T532" s="1">
        <f>IF(NOT(Paths!$C$54=1),0,IF(Paths!$P$54="Complete",IF(C532=0,0,VLOOKUP(A532,'Fleet register'!$A$7:$S$106,9,FALSE)*Paths!$R$54),"n.a."))</f>
        <v>0</v>
      </c>
    </row>
    <row r="533" spans="1:20" ht="24" customHeight="1">
      <c r="A533" s="1" t="str">
        <f>Paths!$A$54</f>
        <v>T012</v>
      </c>
      <c r="B533" s="1">
        <f>Paths!$B$54</f>
        <v>3</v>
      </c>
      <c r="C533" s="1">
        <v>9</v>
      </c>
      <c r="D533" s="1">
        <v>54</v>
      </c>
      <c r="E533" s="1">
        <f>IF(OR(Paths!$C$54=0,C533=0),0,MAX(0,MIN(C533*12,Paths!$E$54)-(C533-1)*12))</f>
        <v>0</v>
      </c>
      <c r="F533" s="1">
        <f>IF(OR(Paths!$C$54=0,C533=0),0,12-E533)</f>
        <v>0</v>
      </c>
      <c r="G533" s="16">
        <f>IF(NOT(Paths!$C$54=1),0,IF(Paths!$P$54="Complete",E533/12*(Paths!$J$54*(1+'Operating costs'!$B$51)^MAX(0,C533-1)+Paths!$K$54*(1+'Operating costs'!$B$53)^MAX(0,C533-1)),"n.a."))</f>
        <v>0</v>
      </c>
      <c r="H533" s="16">
        <f>IF(NOT(Paths!$C$54=1),0,IF(Paths!$P$54="Complete",F533/12*(Paths!$L$54*(1+IF(Paths!$D$54="EV",'Operating costs'!$B$52,'Operating costs'!$B$51))^MAX(0,C533-1)+Paths!$M$54*(1+'Operating costs'!$B$53)^MAX(0,C533-1)),"n.a."))</f>
        <v>0</v>
      </c>
      <c r="I533" s="16">
        <f>IF(NOT(Paths!$C$54=1),0,IF(Paths!$P$54="Complete",IF(IF(Paths!$E$54=0,C533=0,AND(C533&gt;0,Paths!$E$54&gt;(C533-1)*12,Paths!$E$54&lt;=C533*12)),Paths!$G$54,0),"n.a."))</f>
        <v>0</v>
      </c>
      <c r="J533" s="16">
        <f>IF(NOT(Paths!$C$54=1),0,IF(Paths!$P$54="Complete",IF(IF(Paths!$E$54=0,C533=0,AND(C533&gt;0,Paths!$E$54&gt;(C533-1)*12,Paths!$E$54&lt;=C533*12)),Paths!$H$54,0),"n.a."))</f>
        <v>0</v>
      </c>
      <c r="K533" s="16">
        <f>IF(NOT(Paths!$C$54=1),0,IF(Paths!$P$54="Complete",IF(IF(Paths!$O$54=0,C533=0,AND(C533&gt;0,Paths!$O$54&gt;(C533-1)*12,Paths!$O$54&lt;=C533*12)),Paths!$N$54,0),"n.a."))</f>
        <v>0</v>
      </c>
      <c r="L533" s="16">
        <f>IF(NOT(Paths!$C$54=1),0,IF(Paths!$P$54="Complete",IF(C533=10,Paths!$I$54,0),"n.a."))</f>
        <v>0</v>
      </c>
      <c r="M533" s="16">
        <f>IF(NOT(Paths!$C$54=1),0,IF(Paths!$P$54="Complete",IF(AND(Paths!$D$54="EV",Paths!$E$54&lt;120,Paths!$E$54+'Operating costs'!$B$65&gt;Paths!$E$54,Paths!$E$54+'Operating costs'!$B$65&lt;=120,IF(Paths!$E$54+'Operating costs'!$B$65=0,C533=0,AND(C533&gt;0,Paths!$E$54+'Operating costs'!$B$65&gt;(C533-1)*12,Paths!$E$54+'Operating costs'!$B$65&lt;=C533*12))),'Operating costs'!$B$64,0)+IF(AND('Operating costs'!$B$67&gt;0,'Operating costs'!$B$67&lt;=120,OR(Paths!$D$54="ICE",'Operating costs'!$B$67&lt;=Paths!$E$54),IF('Operating costs'!$B$67=0,C533=0,AND(C533&gt;0,'Operating costs'!$B$67&gt;(C533-1)*12,'Operating costs'!$B$67&lt;=C533*12))),'Operating costs'!$B$66,0),"n.a."))</f>
        <v>0</v>
      </c>
      <c r="N533" s="16">
        <f>IF(NOT(Paths!$C$54=1),0,IF(Paths!$P$54="Complete",SUM(G533:I533)-J533-K533-L533+M533+IF(C533=0,Paths!$F$54,0)+IF(IF(Paths!$E$54=0,C533=0,AND(C533&gt;0,Paths!$E$54&gt;(C533-1)*12,Paths!$E$54&lt;=C533*12)),VLOOKUP(A533,'Fleet register'!$A$7:$S$106,16,FALSE),0),"n.a."))</f>
        <v>0</v>
      </c>
      <c r="O533" s="16">
        <f>IF(NOT(Paths!$C$54=1),0,IF(Paths!$P$54="Complete",N533-IF(C533=0,Paths!$F$54,0),"n.a."))</f>
        <v>0</v>
      </c>
      <c r="P533" s="16">
        <f>IF(NOT(Paths!$C$54=1),0,IF(Paths!$P$54="Complete",O533+L533,"n.a."))</f>
        <v>0</v>
      </c>
      <c r="Q533" s="16">
        <f>IF(NOT(Paths!$C$54=1),0,IF(Paths!$P$54="Complete",N533*(1+'Operating costs'!$B$54)^-C533,"n.a."))</f>
        <v>0</v>
      </c>
      <c r="R533" s="16">
        <f>IF(NOT(Paths!$C$54=1),0,IF(Paths!$P$54="Complete",IF(AND(C533=0,Paths!$E$54=0),I533-J533-K533+VLOOKUP(A533,'Fleet register'!$A$7:$S$106,15,FALSE)+VLOOKUP(A533,'Fleet register'!$A$7:$S$106,16,FALSE),0),"n.a."))</f>
        <v>0</v>
      </c>
      <c r="S533" s="1">
        <f>IF(NOT(Paths!$C$54=1),0,IF(Paths!$P$54="Complete",IF(C533=0,0,Paths!$S$54*Paths!$R$54),"n.a."))</f>
        <v>0</v>
      </c>
      <c r="T533" s="1">
        <f>IF(NOT(Paths!$C$54=1),0,IF(Paths!$P$54="Complete",IF(C533=0,0,VLOOKUP(A533,'Fleet register'!$A$7:$S$106,9,FALSE)*Paths!$R$54),"n.a."))</f>
        <v>0</v>
      </c>
    </row>
    <row r="534" spans="1:20" ht="24" customHeight="1">
      <c r="A534" s="1" t="str">
        <f>Paths!$A$54</f>
        <v>T012</v>
      </c>
      <c r="B534" s="1">
        <f>Paths!$B$54</f>
        <v>3</v>
      </c>
      <c r="C534" s="1">
        <v>10</v>
      </c>
      <c r="D534" s="1">
        <v>54</v>
      </c>
      <c r="E534" s="1">
        <f>IF(OR(Paths!$C$54=0,C534=0),0,MAX(0,MIN(C534*12,Paths!$E$54)-(C534-1)*12))</f>
        <v>0</v>
      </c>
      <c r="F534" s="1">
        <f>IF(OR(Paths!$C$54=0,C534=0),0,12-E534)</f>
        <v>0</v>
      </c>
      <c r="G534" s="16">
        <f>IF(NOT(Paths!$C$54=1),0,IF(Paths!$P$54="Complete",E534/12*(Paths!$J$54*(1+'Operating costs'!$B$51)^MAX(0,C534-1)+Paths!$K$54*(1+'Operating costs'!$B$53)^MAX(0,C534-1)),"n.a."))</f>
        <v>0</v>
      </c>
      <c r="H534" s="16">
        <f>IF(NOT(Paths!$C$54=1),0,IF(Paths!$P$54="Complete",F534/12*(Paths!$L$54*(1+IF(Paths!$D$54="EV",'Operating costs'!$B$52,'Operating costs'!$B$51))^MAX(0,C534-1)+Paths!$M$54*(1+'Operating costs'!$B$53)^MAX(0,C534-1)),"n.a."))</f>
        <v>0</v>
      </c>
      <c r="I534" s="16">
        <f>IF(NOT(Paths!$C$54=1),0,IF(Paths!$P$54="Complete",IF(IF(Paths!$E$54=0,C534=0,AND(C534&gt;0,Paths!$E$54&gt;(C534-1)*12,Paths!$E$54&lt;=C534*12)),Paths!$G$54,0),"n.a."))</f>
        <v>0</v>
      </c>
      <c r="J534" s="16">
        <f>IF(NOT(Paths!$C$54=1),0,IF(Paths!$P$54="Complete",IF(IF(Paths!$E$54=0,C534=0,AND(C534&gt;0,Paths!$E$54&gt;(C534-1)*12,Paths!$E$54&lt;=C534*12)),Paths!$H$54,0),"n.a."))</f>
        <v>0</v>
      </c>
      <c r="K534" s="16">
        <f>IF(NOT(Paths!$C$54=1),0,IF(Paths!$P$54="Complete",IF(IF(Paths!$O$54=0,C534=0,AND(C534&gt;0,Paths!$O$54&gt;(C534-1)*12,Paths!$O$54&lt;=C534*12)),Paths!$N$54,0),"n.a."))</f>
        <v>0</v>
      </c>
      <c r="L534" s="16">
        <f>IF(NOT(Paths!$C$54=1),0,IF(Paths!$P$54="Complete",IF(C534=10,Paths!$I$54,0),"n.a."))</f>
        <v>0</v>
      </c>
      <c r="M534" s="16">
        <f>IF(NOT(Paths!$C$54=1),0,IF(Paths!$P$54="Complete",IF(AND(Paths!$D$54="EV",Paths!$E$54&lt;120,Paths!$E$54+'Operating costs'!$B$65&gt;Paths!$E$54,Paths!$E$54+'Operating costs'!$B$65&lt;=120,IF(Paths!$E$54+'Operating costs'!$B$65=0,C534=0,AND(C534&gt;0,Paths!$E$54+'Operating costs'!$B$65&gt;(C534-1)*12,Paths!$E$54+'Operating costs'!$B$65&lt;=C534*12))),'Operating costs'!$B$64,0)+IF(AND('Operating costs'!$B$67&gt;0,'Operating costs'!$B$67&lt;=120,OR(Paths!$D$54="ICE",'Operating costs'!$B$67&lt;=Paths!$E$54),IF('Operating costs'!$B$67=0,C534=0,AND(C534&gt;0,'Operating costs'!$B$67&gt;(C534-1)*12,'Operating costs'!$B$67&lt;=C534*12))),'Operating costs'!$B$66,0),"n.a."))</f>
        <v>0</v>
      </c>
      <c r="N534" s="16">
        <f>IF(NOT(Paths!$C$54=1),0,IF(Paths!$P$54="Complete",SUM(G534:I534)-J534-K534-L534+M534+IF(C534=0,Paths!$F$54,0)+IF(IF(Paths!$E$54=0,C534=0,AND(C534&gt;0,Paths!$E$54&gt;(C534-1)*12,Paths!$E$54&lt;=C534*12)),VLOOKUP(A534,'Fleet register'!$A$7:$S$106,16,FALSE),0),"n.a."))</f>
        <v>0</v>
      </c>
      <c r="O534" s="16">
        <f>IF(NOT(Paths!$C$54=1),0,IF(Paths!$P$54="Complete",N534-IF(C534=0,Paths!$F$54,0),"n.a."))</f>
        <v>0</v>
      </c>
      <c r="P534" s="16">
        <f>IF(NOT(Paths!$C$54=1),0,IF(Paths!$P$54="Complete",O534+L534,"n.a."))</f>
        <v>0</v>
      </c>
      <c r="Q534" s="16">
        <f>IF(NOT(Paths!$C$54=1),0,IF(Paths!$P$54="Complete",N534*(1+'Operating costs'!$B$54)^-C534,"n.a."))</f>
        <v>0</v>
      </c>
      <c r="R534" s="16">
        <f>IF(NOT(Paths!$C$54=1),0,IF(Paths!$P$54="Complete",IF(AND(C534=0,Paths!$E$54=0),I534-J534-K534+VLOOKUP(A534,'Fleet register'!$A$7:$S$106,15,FALSE)+VLOOKUP(A534,'Fleet register'!$A$7:$S$106,16,FALSE),0),"n.a."))</f>
        <v>0</v>
      </c>
      <c r="S534" s="1">
        <f>IF(NOT(Paths!$C$54=1),0,IF(Paths!$P$54="Complete",IF(C534=0,0,Paths!$S$54*Paths!$R$54),"n.a."))</f>
        <v>0</v>
      </c>
      <c r="T534" s="1">
        <f>IF(NOT(Paths!$C$54=1),0,IF(Paths!$P$54="Complete",IF(C534=0,0,VLOOKUP(A534,'Fleet register'!$A$7:$S$106,9,FALSE)*Paths!$R$54),"n.a."))</f>
        <v>0</v>
      </c>
    </row>
    <row r="535" spans="1:20" ht="24" customHeight="1">
      <c r="A535" s="1" t="str">
        <f>Paths!$A$55</f>
        <v>T013</v>
      </c>
      <c r="B535" s="1">
        <f>Paths!$B$55</f>
        <v>0</v>
      </c>
      <c r="C535" s="1">
        <v>0</v>
      </c>
      <c r="D535" s="1">
        <v>55</v>
      </c>
      <c r="E535" s="1">
        <f>IF(OR(Paths!$C$55=0,C535=0),0,MAX(0,MIN(C535*12,Paths!$E$55)-(C535-1)*12))</f>
        <v>0</v>
      </c>
      <c r="F535" s="1">
        <f>IF(OR(Paths!$C$55=0,C535=0),0,12-E535)</f>
        <v>0</v>
      </c>
      <c r="G535" s="16">
        <f>IF(NOT(Paths!$C$55=1),0,IF(Paths!$P$55="Complete",E535/12*(Paths!$J$55*(1+'Operating costs'!$B$51)^MAX(0,C535-1)+Paths!$K$55*(1+'Operating costs'!$B$53)^MAX(0,C535-1)),"n.a."))</f>
        <v>0</v>
      </c>
      <c r="H535" s="16">
        <f>IF(NOT(Paths!$C$55=1),0,IF(Paths!$P$55="Complete",F535/12*(Paths!$L$55*(1+IF(Paths!$D$55="EV",'Operating costs'!$B$52,'Operating costs'!$B$51))^MAX(0,C535-1)+Paths!$M$55*(1+'Operating costs'!$B$53)^MAX(0,C535-1)),"n.a."))</f>
        <v>0</v>
      </c>
      <c r="I535" s="16">
        <f>IF(NOT(Paths!$C$55=1),0,IF(Paths!$P$55="Complete",IF(IF(Paths!$E$55=0,C535=0,AND(C535&gt;0,Paths!$E$55&gt;(C535-1)*12,Paths!$E$55&lt;=C535*12)),Paths!$G$55,0),"n.a."))</f>
        <v>0</v>
      </c>
      <c r="J535" s="16">
        <f>IF(NOT(Paths!$C$55=1),0,IF(Paths!$P$55="Complete",IF(IF(Paths!$E$55=0,C535=0,AND(C535&gt;0,Paths!$E$55&gt;(C535-1)*12,Paths!$E$55&lt;=C535*12)),Paths!$H$55,0),"n.a."))</f>
        <v>0</v>
      </c>
      <c r="K535" s="16">
        <f>IF(NOT(Paths!$C$55=1),0,IF(Paths!$P$55="Complete",IF(IF(Paths!$O$55=0,C535=0,AND(C535&gt;0,Paths!$O$55&gt;(C535-1)*12,Paths!$O$55&lt;=C535*12)),Paths!$N$55,0),"n.a."))</f>
        <v>0</v>
      </c>
      <c r="L535" s="16">
        <f>IF(NOT(Paths!$C$55=1),0,IF(Paths!$P$55="Complete",IF(C535=10,Paths!$I$55,0),"n.a."))</f>
        <v>0</v>
      </c>
      <c r="M535" s="16">
        <f>IF(NOT(Paths!$C$55=1),0,IF(Paths!$P$55="Complete",IF(AND(Paths!$D$55="EV",Paths!$E$55&lt;120,Paths!$E$55+'Operating costs'!$B$65&gt;Paths!$E$55,Paths!$E$55+'Operating costs'!$B$65&lt;=120,IF(Paths!$E$55+'Operating costs'!$B$65=0,C535=0,AND(C535&gt;0,Paths!$E$55+'Operating costs'!$B$65&gt;(C535-1)*12,Paths!$E$55+'Operating costs'!$B$65&lt;=C535*12))),'Operating costs'!$B$64,0)+IF(AND('Operating costs'!$B$67&gt;0,'Operating costs'!$B$67&lt;=120,OR(Paths!$D$55="ICE",'Operating costs'!$B$67&lt;=Paths!$E$55),IF('Operating costs'!$B$67=0,C535=0,AND(C535&gt;0,'Operating costs'!$B$67&gt;(C535-1)*12,'Operating costs'!$B$67&lt;=C535*12))),'Operating costs'!$B$66,0),"n.a."))</f>
        <v>0</v>
      </c>
      <c r="N535" s="16">
        <f>IF(NOT(Paths!$C$55=1),0,IF(Paths!$P$55="Complete",SUM(G535:I535)-J535-K535-L535+M535+IF(C535=0,Paths!$F$55,0)+IF(IF(Paths!$E$55=0,C535=0,AND(C535&gt;0,Paths!$E$55&gt;(C535-1)*12,Paths!$E$55&lt;=C535*12)),VLOOKUP(A535,'Fleet register'!$A$7:$S$106,16,FALSE),0),"n.a."))</f>
        <v>0</v>
      </c>
      <c r="O535" s="16">
        <f>IF(NOT(Paths!$C$55=1),0,IF(Paths!$P$55="Complete",N535-IF(C535=0,Paths!$F$55,0),"n.a."))</f>
        <v>0</v>
      </c>
      <c r="P535" s="16">
        <f>IF(NOT(Paths!$C$55=1),0,IF(Paths!$P$55="Complete",O535+L535,"n.a."))</f>
        <v>0</v>
      </c>
      <c r="Q535" s="16">
        <f>IF(NOT(Paths!$C$55=1),0,IF(Paths!$P$55="Complete",N535*(1+'Operating costs'!$B$54)^-C535,"n.a."))</f>
        <v>0</v>
      </c>
      <c r="R535" s="16">
        <f>IF(NOT(Paths!$C$55=1),0,IF(Paths!$P$55="Complete",IF(AND(C535=0,Paths!$E$55=0),I535-J535-K535+VLOOKUP(A535,'Fleet register'!$A$7:$S$106,15,FALSE)+VLOOKUP(A535,'Fleet register'!$A$7:$S$106,16,FALSE),0),"n.a."))</f>
        <v>0</v>
      </c>
      <c r="S535" s="1">
        <f>IF(NOT(Paths!$C$55=1),0,IF(Paths!$P$55="Complete",IF(C535=0,0,Paths!$S$55*Paths!$R$55),"n.a."))</f>
        <v>0</v>
      </c>
      <c r="T535" s="1">
        <f>IF(NOT(Paths!$C$55=1),0,IF(Paths!$P$55="Complete",IF(C535=0,0,VLOOKUP(A535,'Fleet register'!$A$7:$S$106,9,FALSE)*Paths!$R$55),"n.a."))</f>
        <v>0</v>
      </c>
    </row>
    <row r="536" spans="1:20" ht="24" customHeight="1">
      <c r="A536" s="1" t="str">
        <f>Paths!$A$55</f>
        <v>T013</v>
      </c>
      <c r="B536" s="1">
        <f>Paths!$B$55</f>
        <v>0</v>
      </c>
      <c r="C536" s="1">
        <v>1</v>
      </c>
      <c r="D536" s="1">
        <v>55</v>
      </c>
      <c r="E536" s="1">
        <f>IF(OR(Paths!$C$55=0,C536=0),0,MAX(0,MIN(C536*12,Paths!$E$55)-(C536-1)*12))</f>
        <v>0</v>
      </c>
      <c r="F536" s="1">
        <f>IF(OR(Paths!$C$55=0,C536=0),0,12-E536)</f>
        <v>0</v>
      </c>
      <c r="G536" s="16">
        <f>IF(NOT(Paths!$C$55=1),0,IF(Paths!$P$55="Complete",E536/12*(Paths!$J$55*(1+'Operating costs'!$B$51)^MAX(0,C536-1)+Paths!$K$55*(1+'Operating costs'!$B$53)^MAX(0,C536-1)),"n.a."))</f>
        <v>0</v>
      </c>
      <c r="H536" s="16">
        <f>IF(NOT(Paths!$C$55=1),0,IF(Paths!$P$55="Complete",F536/12*(Paths!$L$55*(1+IF(Paths!$D$55="EV",'Operating costs'!$B$52,'Operating costs'!$B$51))^MAX(0,C536-1)+Paths!$M$55*(1+'Operating costs'!$B$53)^MAX(0,C536-1)),"n.a."))</f>
        <v>0</v>
      </c>
      <c r="I536" s="16">
        <f>IF(NOT(Paths!$C$55=1),0,IF(Paths!$P$55="Complete",IF(IF(Paths!$E$55=0,C536=0,AND(C536&gt;0,Paths!$E$55&gt;(C536-1)*12,Paths!$E$55&lt;=C536*12)),Paths!$G$55,0),"n.a."))</f>
        <v>0</v>
      </c>
      <c r="J536" s="16">
        <f>IF(NOT(Paths!$C$55=1),0,IF(Paths!$P$55="Complete",IF(IF(Paths!$E$55=0,C536=0,AND(C536&gt;0,Paths!$E$55&gt;(C536-1)*12,Paths!$E$55&lt;=C536*12)),Paths!$H$55,0),"n.a."))</f>
        <v>0</v>
      </c>
      <c r="K536" s="16">
        <f>IF(NOT(Paths!$C$55=1),0,IF(Paths!$P$55="Complete",IF(IF(Paths!$O$55=0,C536=0,AND(C536&gt;0,Paths!$O$55&gt;(C536-1)*12,Paths!$O$55&lt;=C536*12)),Paths!$N$55,0),"n.a."))</f>
        <v>0</v>
      </c>
      <c r="L536" s="16">
        <f>IF(NOT(Paths!$C$55=1),0,IF(Paths!$P$55="Complete",IF(C536=10,Paths!$I$55,0),"n.a."))</f>
        <v>0</v>
      </c>
      <c r="M536" s="16">
        <f>IF(NOT(Paths!$C$55=1),0,IF(Paths!$P$55="Complete",IF(AND(Paths!$D$55="EV",Paths!$E$55&lt;120,Paths!$E$55+'Operating costs'!$B$65&gt;Paths!$E$55,Paths!$E$55+'Operating costs'!$B$65&lt;=120,IF(Paths!$E$55+'Operating costs'!$B$65=0,C536=0,AND(C536&gt;0,Paths!$E$55+'Operating costs'!$B$65&gt;(C536-1)*12,Paths!$E$55+'Operating costs'!$B$65&lt;=C536*12))),'Operating costs'!$B$64,0)+IF(AND('Operating costs'!$B$67&gt;0,'Operating costs'!$B$67&lt;=120,OR(Paths!$D$55="ICE",'Operating costs'!$B$67&lt;=Paths!$E$55),IF('Operating costs'!$B$67=0,C536=0,AND(C536&gt;0,'Operating costs'!$B$67&gt;(C536-1)*12,'Operating costs'!$B$67&lt;=C536*12))),'Operating costs'!$B$66,0),"n.a."))</f>
        <v>0</v>
      </c>
      <c r="N536" s="16">
        <f>IF(NOT(Paths!$C$55=1),0,IF(Paths!$P$55="Complete",SUM(G536:I536)-J536-K536-L536+M536+IF(C536=0,Paths!$F$55,0)+IF(IF(Paths!$E$55=0,C536=0,AND(C536&gt;0,Paths!$E$55&gt;(C536-1)*12,Paths!$E$55&lt;=C536*12)),VLOOKUP(A536,'Fleet register'!$A$7:$S$106,16,FALSE),0),"n.a."))</f>
        <v>0</v>
      </c>
      <c r="O536" s="16">
        <f>IF(NOT(Paths!$C$55=1),0,IF(Paths!$P$55="Complete",N536-IF(C536=0,Paths!$F$55,0),"n.a."))</f>
        <v>0</v>
      </c>
      <c r="P536" s="16">
        <f>IF(NOT(Paths!$C$55=1),0,IF(Paths!$P$55="Complete",O536+L536,"n.a."))</f>
        <v>0</v>
      </c>
      <c r="Q536" s="16">
        <f>IF(NOT(Paths!$C$55=1),0,IF(Paths!$P$55="Complete",N536*(1+'Operating costs'!$B$54)^-C536,"n.a."))</f>
        <v>0</v>
      </c>
      <c r="R536" s="16">
        <f>IF(NOT(Paths!$C$55=1),0,IF(Paths!$P$55="Complete",IF(AND(C536=0,Paths!$E$55=0),I536-J536-K536+VLOOKUP(A536,'Fleet register'!$A$7:$S$106,15,FALSE)+VLOOKUP(A536,'Fleet register'!$A$7:$S$106,16,FALSE),0),"n.a."))</f>
        <v>0</v>
      </c>
      <c r="S536" s="1">
        <f>IF(NOT(Paths!$C$55=1),0,IF(Paths!$P$55="Complete",IF(C536=0,0,Paths!$S$55*Paths!$R$55),"n.a."))</f>
        <v>0</v>
      </c>
      <c r="T536" s="1">
        <f>IF(NOT(Paths!$C$55=1),0,IF(Paths!$P$55="Complete",IF(C536=0,0,VLOOKUP(A536,'Fleet register'!$A$7:$S$106,9,FALSE)*Paths!$R$55),"n.a."))</f>
        <v>0</v>
      </c>
    </row>
    <row r="537" spans="1:20" ht="24" customHeight="1">
      <c r="A537" s="1" t="str">
        <f>Paths!$A$55</f>
        <v>T013</v>
      </c>
      <c r="B537" s="1">
        <f>Paths!$B$55</f>
        <v>0</v>
      </c>
      <c r="C537" s="1">
        <v>2</v>
      </c>
      <c r="D537" s="1">
        <v>55</v>
      </c>
      <c r="E537" s="1">
        <f>IF(OR(Paths!$C$55=0,C537=0),0,MAX(0,MIN(C537*12,Paths!$E$55)-(C537-1)*12))</f>
        <v>0</v>
      </c>
      <c r="F537" s="1">
        <f>IF(OR(Paths!$C$55=0,C537=0),0,12-E537)</f>
        <v>0</v>
      </c>
      <c r="G537" s="16">
        <f>IF(NOT(Paths!$C$55=1),0,IF(Paths!$P$55="Complete",E537/12*(Paths!$J$55*(1+'Operating costs'!$B$51)^MAX(0,C537-1)+Paths!$K$55*(1+'Operating costs'!$B$53)^MAX(0,C537-1)),"n.a."))</f>
        <v>0</v>
      </c>
      <c r="H537" s="16">
        <f>IF(NOT(Paths!$C$55=1),0,IF(Paths!$P$55="Complete",F537/12*(Paths!$L$55*(1+IF(Paths!$D$55="EV",'Operating costs'!$B$52,'Operating costs'!$B$51))^MAX(0,C537-1)+Paths!$M$55*(1+'Operating costs'!$B$53)^MAX(0,C537-1)),"n.a."))</f>
        <v>0</v>
      </c>
      <c r="I537" s="16">
        <f>IF(NOT(Paths!$C$55=1),0,IF(Paths!$P$55="Complete",IF(IF(Paths!$E$55=0,C537=0,AND(C537&gt;0,Paths!$E$55&gt;(C537-1)*12,Paths!$E$55&lt;=C537*12)),Paths!$G$55,0),"n.a."))</f>
        <v>0</v>
      </c>
      <c r="J537" s="16">
        <f>IF(NOT(Paths!$C$55=1),0,IF(Paths!$P$55="Complete",IF(IF(Paths!$E$55=0,C537=0,AND(C537&gt;0,Paths!$E$55&gt;(C537-1)*12,Paths!$E$55&lt;=C537*12)),Paths!$H$55,0),"n.a."))</f>
        <v>0</v>
      </c>
      <c r="K537" s="16">
        <f>IF(NOT(Paths!$C$55=1),0,IF(Paths!$P$55="Complete",IF(IF(Paths!$O$55=0,C537=0,AND(C537&gt;0,Paths!$O$55&gt;(C537-1)*12,Paths!$O$55&lt;=C537*12)),Paths!$N$55,0),"n.a."))</f>
        <v>0</v>
      </c>
      <c r="L537" s="16">
        <f>IF(NOT(Paths!$C$55=1),0,IF(Paths!$P$55="Complete",IF(C537=10,Paths!$I$55,0),"n.a."))</f>
        <v>0</v>
      </c>
      <c r="M537" s="16">
        <f>IF(NOT(Paths!$C$55=1),0,IF(Paths!$P$55="Complete",IF(AND(Paths!$D$55="EV",Paths!$E$55&lt;120,Paths!$E$55+'Operating costs'!$B$65&gt;Paths!$E$55,Paths!$E$55+'Operating costs'!$B$65&lt;=120,IF(Paths!$E$55+'Operating costs'!$B$65=0,C537=0,AND(C537&gt;0,Paths!$E$55+'Operating costs'!$B$65&gt;(C537-1)*12,Paths!$E$55+'Operating costs'!$B$65&lt;=C537*12))),'Operating costs'!$B$64,0)+IF(AND('Operating costs'!$B$67&gt;0,'Operating costs'!$B$67&lt;=120,OR(Paths!$D$55="ICE",'Operating costs'!$B$67&lt;=Paths!$E$55),IF('Operating costs'!$B$67=0,C537=0,AND(C537&gt;0,'Operating costs'!$B$67&gt;(C537-1)*12,'Operating costs'!$B$67&lt;=C537*12))),'Operating costs'!$B$66,0),"n.a."))</f>
        <v>0</v>
      </c>
      <c r="N537" s="16">
        <f>IF(NOT(Paths!$C$55=1),0,IF(Paths!$P$55="Complete",SUM(G537:I537)-J537-K537-L537+M537+IF(C537=0,Paths!$F$55,0)+IF(IF(Paths!$E$55=0,C537=0,AND(C537&gt;0,Paths!$E$55&gt;(C537-1)*12,Paths!$E$55&lt;=C537*12)),VLOOKUP(A537,'Fleet register'!$A$7:$S$106,16,FALSE),0),"n.a."))</f>
        <v>0</v>
      </c>
      <c r="O537" s="16">
        <f>IF(NOT(Paths!$C$55=1),0,IF(Paths!$P$55="Complete",N537-IF(C537=0,Paths!$F$55,0),"n.a."))</f>
        <v>0</v>
      </c>
      <c r="P537" s="16">
        <f>IF(NOT(Paths!$C$55=1),0,IF(Paths!$P$55="Complete",O537+L537,"n.a."))</f>
        <v>0</v>
      </c>
      <c r="Q537" s="16">
        <f>IF(NOT(Paths!$C$55=1),0,IF(Paths!$P$55="Complete",N537*(1+'Operating costs'!$B$54)^-C537,"n.a."))</f>
        <v>0</v>
      </c>
      <c r="R537" s="16">
        <f>IF(NOT(Paths!$C$55=1),0,IF(Paths!$P$55="Complete",IF(AND(C537=0,Paths!$E$55=0),I537-J537-K537+VLOOKUP(A537,'Fleet register'!$A$7:$S$106,15,FALSE)+VLOOKUP(A537,'Fleet register'!$A$7:$S$106,16,FALSE),0),"n.a."))</f>
        <v>0</v>
      </c>
      <c r="S537" s="1">
        <f>IF(NOT(Paths!$C$55=1),0,IF(Paths!$P$55="Complete",IF(C537=0,0,Paths!$S$55*Paths!$R$55),"n.a."))</f>
        <v>0</v>
      </c>
      <c r="T537" s="1">
        <f>IF(NOT(Paths!$C$55=1),0,IF(Paths!$P$55="Complete",IF(C537=0,0,VLOOKUP(A537,'Fleet register'!$A$7:$S$106,9,FALSE)*Paths!$R$55),"n.a."))</f>
        <v>0</v>
      </c>
    </row>
    <row r="538" spans="1:20" ht="24" customHeight="1">
      <c r="A538" s="1" t="str">
        <f>Paths!$A$55</f>
        <v>T013</v>
      </c>
      <c r="B538" s="1">
        <f>Paths!$B$55</f>
        <v>0</v>
      </c>
      <c r="C538" s="1">
        <v>3</v>
      </c>
      <c r="D538" s="1">
        <v>55</v>
      </c>
      <c r="E538" s="1">
        <f>IF(OR(Paths!$C$55=0,C538=0),0,MAX(0,MIN(C538*12,Paths!$E$55)-(C538-1)*12))</f>
        <v>0</v>
      </c>
      <c r="F538" s="1">
        <f>IF(OR(Paths!$C$55=0,C538=0),0,12-E538)</f>
        <v>0</v>
      </c>
      <c r="G538" s="16">
        <f>IF(NOT(Paths!$C$55=1),0,IF(Paths!$P$55="Complete",E538/12*(Paths!$J$55*(1+'Operating costs'!$B$51)^MAX(0,C538-1)+Paths!$K$55*(1+'Operating costs'!$B$53)^MAX(0,C538-1)),"n.a."))</f>
        <v>0</v>
      </c>
      <c r="H538" s="16">
        <f>IF(NOT(Paths!$C$55=1),0,IF(Paths!$P$55="Complete",F538/12*(Paths!$L$55*(1+IF(Paths!$D$55="EV",'Operating costs'!$B$52,'Operating costs'!$B$51))^MAX(0,C538-1)+Paths!$M$55*(1+'Operating costs'!$B$53)^MAX(0,C538-1)),"n.a."))</f>
        <v>0</v>
      </c>
      <c r="I538" s="16">
        <f>IF(NOT(Paths!$C$55=1),0,IF(Paths!$P$55="Complete",IF(IF(Paths!$E$55=0,C538=0,AND(C538&gt;0,Paths!$E$55&gt;(C538-1)*12,Paths!$E$55&lt;=C538*12)),Paths!$G$55,0),"n.a."))</f>
        <v>0</v>
      </c>
      <c r="J538" s="16">
        <f>IF(NOT(Paths!$C$55=1),0,IF(Paths!$P$55="Complete",IF(IF(Paths!$E$55=0,C538=0,AND(C538&gt;0,Paths!$E$55&gt;(C538-1)*12,Paths!$E$55&lt;=C538*12)),Paths!$H$55,0),"n.a."))</f>
        <v>0</v>
      </c>
      <c r="K538" s="16">
        <f>IF(NOT(Paths!$C$55=1),0,IF(Paths!$P$55="Complete",IF(IF(Paths!$O$55=0,C538=0,AND(C538&gt;0,Paths!$O$55&gt;(C538-1)*12,Paths!$O$55&lt;=C538*12)),Paths!$N$55,0),"n.a."))</f>
        <v>0</v>
      </c>
      <c r="L538" s="16">
        <f>IF(NOT(Paths!$C$55=1),0,IF(Paths!$P$55="Complete",IF(C538=10,Paths!$I$55,0),"n.a."))</f>
        <v>0</v>
      </c>
      <c r="M538" s="16">
        <f>IF(NOT(Paths!$C$55=1),0,IF(Paths!$P$55="Complete",IF(AND(Paths!$D$55="EV",Paths!$E$55&lt;120,Paths!$E$55+'Operating costs'!$B$65&gt;Paths!$E$55,Paths!$E$55+'Operating costs'!$B$65&lt;=120,IF(Paths!$E$55+'Operating costs'!$B$65=0,C538=0,AND(C538&gt;0,Paths!$E$55+'Operating costs'!$B$65&gt;(C538-1)*12,Paths!$E$55+'Operating costs'!$B$65&lt;=C538*12))),'Operating costs'!$B$64,0)+IF(AND('Operating costs'!$B$67&gt;0,'Operating costs'!$B$67&lt;=120,OR(Paths!$D$55="ICE",'Operating costs'!$B$67&lt;=Paths!$E$55),IF('Operating costs'!$B$67=0,C538=0,AND(C538&gt;0,'Operating costs'!$B$67&gt;(C538-1)*12,'Operating costs'!$B$67&lt;=C538*12))),'Operating costs'!$B$66,0),"n.a."))</f>
        <v>0</v>
      </c>
      <c r="N538" s="16">
        <f>IF(NOT(Paths!$C$55=1),0,IF(Paths!$P$55="Complete",SUM(G538:I538)-J538-K538-L538+M538+IF(C538=0,Paths!$F$55,0)+IF(IF(Paths!$E$55=0,C538=0,AND(C538&gt;0,Paths!$E$55&gt;(C538-1)*12,Paths!$E$55&lt;=C538*12)),VLOOKUP(A538,'Fleet register'!$A$7:$S$106,16,FALSE),0),"n.a."))</f>
        <v>0</v>
      </c>
      <c r="O538" s="16">
        <f>IF(NOT(Paths!$C$55=1),0,IF(Paths!$P$55="Complete",N538-IF(C538=0,Paths!$F$55,0),"n.a."))</f>
        <v>0</v>
      </c>
      <c r="P538" s="16">
        <f>IF(NOT(Paths!$C$55=1),0,IF(Paths!$P$55="Complete",O538+L538,"n.a."))</f>
        <v>0</v>
      </c>
      <c r="Q538" s="16">
        <f>IF(NOT(Paths!$C$55=1),0,IF(Paths!$P$55="Complete",N538*(1+'Operating costs'!$B$54)^-C538,"n.a."))</f>
        <v>0</v>
      </c>
      <c r="R538" s="16">
        <f>IF(NOT(Paths!$C$55=1),0,IF(Paths!$P$55="Complete",IF(AND(C538=0,Paths!$E$55=0),I538-J538-K538+VLOOKUP(A538,'Fleet register'!$A$7:$S$106,15,FALSE)+VLOOKUP(A538,'Fleet register'!$A$7:$S$106,16,FALSE),0),"n.a."))</f>
        <v>0</v>
      </c>
      <c r="S538" s="1">
        <f>IF(NOT(Paths!$C$55=1),0,IF(Paths!$P$55="Complete",IF(C538=0,0,Paths!$S$55*Paths!$R$55),"n.a."))</f>
        <v>0</v>
      </c>
      <c r="T538" s="1">
        <f>IF(NOT(Paths!$C$55=1),0,IF(Paths!$P$55="Complete",IF(C538=0,0,VLOOKUP(A538,'Fleet register'!$A$7:$S$106,9,FALSE)*Paths!$R$55),"n.a."))</f>
        <v>0</v>
      </c>
    </row>
    <row r="539" spans="1:20" ht="24" customHeight="1">
      <c r="A539" s="1" t="str">
        <f>Paths!$A$55</f>
        <v>T013</v>
      </c>
      <c r="B539" s="1">
        <f>Paths!$B$55</f>
        <v>0</v>
      </c>
      <c r="C539" s="1">
        <v>4</v>
      </c>
      <c r="D539" s="1">
        <v>55</v>
      </c>
      <c r="E539" s="1">
        <f>IF(OR(Paths!$C$55=0,C539=0),0,MAX(0,MIN(C539*12,Paths!$E$55)-(C539-1)*12))</f>
        <v>0</v>
      </c>
      <c r="F539" s="1">
        <f>IF(OR(Paths!$C$55=0,C539=0),0,12-E539)</f>
        <v>0</v>
      </c>
      <c r="G539" s="16">
        <f>IF(NOT(Paths!$C$55=1),0,IF(Paths!$P$55="Complete",E539/12*(Paths!$J$55*(1+'Operating costs'!$B$51)^MAX(0,C539-1)+Paths!$K$55*(1+'Operating costs'!$B$53)^MAX(0,C539-1)),"n.a."))</f>
        <v>0</v>
      </c>
      <c r="H539" s="16">
        <f>IF(NOT(Paths!$C$55=1),0,IF(Paths!$P$55="Complete",F539/12*(Paths!$L$55*(1+IF(Paths!$D$55="EV",'Operating costs'!$B$52,'Operating costs'!$B$51))^MAX(0,C539-1)+Paths!$M$55*(1+'Operating costs'!$B$53)^MAX(0,C539-1)),"n.a."))</f>
        <v>0</v>
      </c>
      <c r="I539" s="16">
        <f>IF(NOT(Paths!$C$55=1),0,IF(Paths!$P$55="Complete",IF(IF(Paths!$E$55=0,C539=0,AND(C539&gt;0,Paths!$E$55&gt;(C539-1)*12,Paths!$E$55&lt;=C539*12)),Paths!$G$55,0),"n.a."))</f>
        <v>0</v>
      </c>
      <c r="J539" s="16">
        <f>IF(NOT(Paths!$C$55=1),0,IF(Paths!$P$55="Complete",IF(IF(Paths!$E$55=0,C539=0,AND(C539&gt;0,Paths!$E$55&gt;(C539-1)*12,Paths!$E$55&lt;=C539*12)),Paths!$H$55,0),"n.a."))</f>
        <v>0</v>
      </c>
      <c r="K539" s="16">
        <f>IF(NOT(Paths!$C$55=1),0,IF(Paths!$P$55="Complete",IF(IF(Paths!$O$55=0,C539=0,AND(C539&gt;0,Paths!$O$55&gt;(C539-1)*12,Paths!$O$55&lt;=C539*12)),Paths!$N$55,0),"n.a."))</f>
        <v>0</v>
      </c>
      <c r="L539" s="16">
        <f>IF(NOT(Paths!$C$55=1),0,IF(Paths!$P$55="Complete",IF(C539=10,Paths!$I$55,0),"n.a."))</f>
        <v>0</v>
      </c>
      <c r="M539" s="16">
        <f>IF(NOT(Paths!$C$55=1),0,IF(Paths!$P$55="Complete",IF(AND(Paths!$D$55="EV",Paths!$E$55&lt;120,Paths!$E$55+'Operating costs'!$B$65&gt;Paths!$E$55,Paths!$E$55+'Operating costs'!$B$65&lt;=120,IF(Paths!$E$55+'Operating costs'!$B$65=0,C539=0,AND(C539&gt;0,Paths!$E$55+'Operating costs'!$B$65&gt;(C539-1)*12,Paths!$E$55+'Operating costs'!$B$65&lt;=C539*12))),'Operating costs'!$B$64,0)+IF(AND('Operating costs'!$B$67&gt;0,'Operating costs'!$B$67&lt;=120,OR(Paths!$D$55="ICE",'Operating costs'!$B$67&lt;=Paths!$E$55),IF('Operating costs'!$B$67=0,C539=0,AND(C539&gt;0,'Operating costs'!$B$67&gt;(C539-1)*12,'Operating costs'!$B$67&lt;=C539*12))),'Operating costs'!$B$66,0),"n.a."))</f>
        <v>0</v>
      </c>
      <c r="N539" s="16">
        <f>IF(NOT(Paths!$C$55=1),0,IF(Paths!$P$55="Complete",SUM(G539:I539)-J539-K539-L539+M539+IF(C539=0,Paths!$F$55,0)+IF(IF(Paths!$E$55=0,C539=0,AND(C539&gt;0,Paths!$E$55&gt;(C539-1)*12,Paths!$E$55&lt;=C539*12)),VLOOKUP(A539,'Fleet register'!$A$7:$S$106,16,FALSE),0),"n.a."))</f>
        <v>0</v>
      </c>
      <c r="O539" s="16">
        <f>IF(NOT(Paths!$C$55=1),0,IF(Paths!$P$55="Complete",N539-IF(C539=0,Paths!$F$55,0),"n.a."))</f>
        <v>0</v>
      </c>
      <c r="P539" s="16">
        <f>IF(NOT(Paths!$C$55=1),0,IF(Paths!$P$55="Complete",O539+L539,"n.a."))</f>
        <v>0</v>
      </c>
      <c r="Q539" s="16">
        <f>IF(NOT(Paths!$C$55=1),0,IF(Paths!$P$55="Complete",N539*(1+'Operating costs'!$B$54)^-C539,"n.a."))</f>
        <v>0</v>
      </c>
      <c r="R539" s="16">
        <f>IF(NOT(Paths!$C$55=1),0,IF(Paths!$P$55="Complete",IF(AND(C539=0,Paths!$E$55=0),I539-J539-K539+VLOOKUP(A539,'Fleet register'!$A$7:$S$106,15,FALSE)+VLOOKUP(A539,'Fleet register'!$A$7:$S$106,16,FALSE),0),"n.a."))</f>
        <v>0</v>
      </c>
      <c r="S539" s="1">
        <f>IF(NOT(Paths!$C$55=1),0,IF(Paths!$P$55="Complete",IF(C539=0,0,Paths!$S$55*Paths!$R$55),"n.a."))</f>
        <v>0</v>
      </c>
      <c r="T539" s="1">
        <f>IF(NOT(Paths!$C$55=1),0,IF(Paths!$P$55="Complete",IF(C539=0,0,VLOOKUP(A539,'Fleet register'!$A$7:$S$106,9,FALSE)*Paths!$R$55),"n.a."))</f>
        <v>0</v>
      </c>
    </row>
    <row r="540" spans="1:20" ht="24" customHeight="1">
      <c r="A540" s="1" t="str">
        <f>Paths!$A$55</f>
        <v>T013</v>
      </c>
      <c r="B540" s="1">
        <f>Paths!$B$55</f>
        <v>0</v>
      </c>
      <c r="C540" s="1">
        <v>5</v>
      </c>
      <c r="D540" s="1">
        <v>55</v>
      </c>
      <c r="E540" s="1">
        <f>IF(OR(Paths!$C$55=0,C540=0),0,MAX(0,MIN(C540*12,Paths!$E$55)-(C540-1)*12))</f>
        <v>0</v>
      </c>
      <c r="F540" s="1">
        <f>IF(OR(Paths!$C$55=0,C540=0),0,12-E540)</f>
        <v>0</v>
      </c>
      <c r="G540" s="16">
        <f>IF(NOT(Paths!$C$55=1),0,IF(Paths!$P$55="Complete",E540/12*(Paths!$J$55*(1+'Operating costs'!$B$51)^MAX(0,C540-1)+Paths!$K$55*(1+'Operating costs'!$B$53)^MAX(0,C540-1)),"n.a."))</f>
        <v>0</v>
      </c>
      <c r="H540" s="16">
        <f>IF(NOT(Paths!$C$55=1),0,IF(Paths!$P$55="Complete",F540/12*(Paths!$L$55*(1+IF(Paths!$D$55="EV",'Operating costs'!$B$52,'Operating costs'!$B$51))^MAX(0,C540-1)+Paths!$M$55*(1+'Operating costs'!$B$53)^MAX(0,C540-1)),"n.a."))</f>
        <v>0</v>
      </c>
      <c r="I540" s="16">
        <f>IF(NOT(Paths!$C$55=1),0,IF(Paths!$P$55="Complete",IF(IF(Paths!$E$55=0,C540=0,AND(C540&gt;0,Paths!$E$55&gt;(C540-1)*12,Paths!$E$55&lt;=C540*12)),Paths!$G$55,0),"n.a."))</f>
        <v>0</v>
      </c>
      <c r="J540" s="16">
        <f>IF(NOT(Paths!$C$55=1),0,IF(Paths!$P$55="Complete",IF(IF(Paths!$E$55=0,C540=0,AND(C540&gt;0,Paths!$E$55&gt;(C540-1)*12,Paths!$E$55&lt;=C540*12)),Paths!$H$55,0),"n.a."))</f>
        <v>0</v>
      </c>
      <c r="K540" s="16">
        <f>IF(NOT(Paths!$C$55=1),0,IF(Paths!$P$55="Complete",IF(IF(Paths!$O$55=0,C540=0,AND(C540&gt;0,Paths!$O$55&gt;(C540-1)*12,Paths!$O$55&lt;=C540*12)),Paths!$N$55,0),"n.a."))</f>
        <v>0</v>
      </c>
      <c r="L540" s="16">
        <f>IF(NOT(Paths!$C$55=1),0,IF(Paths!$P$55="Complete",IF(C540=10,Paths!$I$55,0),"n.a."))</f>
        <v>0</v>
      </c>
      <c r="M540" s="16">
        <f>IF(NOT(Paths!$C$55=1),0,IF(Paths!$P$55="Complete",IF(AND(Paths!$D$55="EV",Paths!$E$55&lt;120,Paths!$E$55+'Operating costs'!$B$65&gt;Paths!$E$55,Paths!$E$55+'Operating costs'!$B$65&lt;=120,IF(Paths!$E$55+'Operating costs'!$B$65=0,C540=0,AND(C540&gt;0,Paths!$E$55+'Operating costs'!$B$65&gt;(C540-1)*12,Paths!$E$55+'Operating costs'!$B$65&lt;=C540*12))),'Operating costs'!$B$64,0)+IF(AND('Operating costs'!$B$67&gt;0,'Operating costs'!$B$67&lt;=120,OR(Paths!$D$55="ICE",'Operating costs'!$B$67&lt;=Paths!$E$55),IF('Operating costs'!$B$67=0,C540=0,AND(C540&gt;0,'Operating costs'!$B$67&gt;(C540-1)*12,'Operating costs'!$B$67&lt;=C540*12))),'Operating costs'!$B$66,0),"n.a."))</f>
        <v>0</v>
      </c>
      <c r="N540" s="16">
        <f>IF(NOT(Paths!$C$55=1),0,IF(Paths!$P$55="Complete",SUM(G540:I540)-J540-K540-L540+M540+IF(C540=0,Paths!$F$55,0)+IF(IF(Paths!$E$55=0,C540=0,AND(C540&gt;0,Paths!$E$55&gt;(C540-1)*12,Paths!$E$55&lt;=C540*12)),VLOOKUP(A540,'Fleet register'!$A$7:$S$106,16,FALSE),0),"n.a."))</f>
        <v>0</v>
      </c>
      <c r="O540" s="16">
        <f>IF(NOT(Paths!$C$55=1),0,IF(Paths!$P$55="Complete",N540-IF(C540=0,Paths!$F$55,0),"n.a."))</f>
        <v>0</v>
      </c>
      <c r="P540" s="16">
        <f>IF(NOT(Paths!$C$55=1),0,IF(Paths!$P$55="Complete",O540+L540,"n.a."))</f>
        <v>0</v>
      </c>
      <c r="Q540" s="16">
        <f>IF(NOT(Paths!$C$55=1),0,IF(Paths!$P$55="Complete",N540*(1+'Operating costs'!$B$54)^-C540,"n.a."))</f>
        <v>0</v>
      </c>
      <c r="R540" s="16">
        <f>IF(NOT(Paths!$C$55=1),0,IF(Paths!$P$55="Complete",IF(AND(C540=0,Paths!$E$55=0),I540-J540-K540+VLOOKUP(A540,'Fleet register'!$A$7:$S$106,15,FALSE)+VLOOKUP(A540,'Fleet register'!$A$7:$S$106,16,FALSE),0),"n.a."))</f>
        <v>0</v>
      </c>
      <c r="S540" s="1">
        <f>IF(NOT(Paths!$C$55=1),0,IF(Paths!$P$55="Complete",IF(C540=0,0,Paths!$S$55*Paths!$R$55),"n.a."))</f>
        <v>0</v>
      </c>
      <c r="T540" s="1">
        <f>IF(NOT(Paths!$C$55=1),0,IF(Paths!$P$55="Complete",IF(C540=0,0,VLOOKUP(A540,'Fleet register'!$A$7:$S$106,9,FALSE)*Paths!$R$55),"n.a."))</f>
        <v>0</v>
      </c>
    </row>
    <row r="541" spans="1:20" ht="24" customHeight="1">
      <c r="A541" s="1" t="str">
        <f>Paths!$A$55</f>
        <v>T013</v>
      </c>
      <c r="B541" s="1">
        <f>Paths!$B$55</f>
        <v>0</v>
      </c>
      <c r="C541" s="1">
        <v>6</v>
      </c>
      <c r="D541" s="1">
        <v>55</v>
      </c>
      <c r="E541" s="1">
        <f>IF(OR(Paths!$C$55=0,C541=0),0,MAX(0,MIN(C541*12,Paths!$E$55)-(C541-1)*12))</f>
        <v>0</v>
      </c>
      <c r="F541" s="1">
        <f>IF(OR(Paths!$C$55=0,C541=0),0,12-E541)</f>
        <v>0</v>
      </c>
      <c r="G541" s="16">
        <f>IF(NOT(Paths!$C$55=1),0,IF(Paths!$P$55="Complete",E541/12*(Paths!$J$55*(1+'Operating costs'!$B$51)^MAX(0,C541-1)+Paths!$K$55*(1+'Operating costs'!$B$53)^MAX(0,C541-1)),"n.a."))</f>
        <v>0</v>
      </c>
      <c r="H541" s="16">
        <f>IF(NOT(Paths!$C$55=1),0,IF(Paths!$P$55="Complete",F541/12*(Paths!$L$55*(1+IF(Paths!$D$55="EV",'Operating costs'!$B$52,'Operating costs'!$B$51))^MAX(0,C541-1)+Paths!$M$55*(1+'Operating costs'!$B$53)^MAX(0,C541-1)),"n.a."))</f>
        <v>0</v>
      </c>
      <c r="I541" s="16">
        <f>IF(NOT(Paths!$C$55=1),0,IF(Paths!$P$55="Complete",IF(IF(Paths!$E$55=0,C541=0,AND(C541&gt;0,Paths!$E$55&gt;(C541-1)*12,Paths!$E$55&lt;=C541*12)),Paths!$G$55,0),"n.a."))</f>
        <v>0</v>
      </c>
      <c r="J541" s="16">
        <f>IF(NOT(Paths!$C$55=1),0,IF(Paths!$P$55="Complete",IF(IF(Paths!$E$55=0,C541=0,AND(C541&gt;0,Paths!$E$55&gt;(C541-1)*12,Paths!$E$55&lt;=C541*12)),Paths!$H$55,0),"n.a."))</f>
        <v>0</v>
      </c>
      <c r="K541" s="16">
        <f>IF(NOT(Paths!$C$55=1),0,IF(Paths!$P$55="Complete",IF(IF(Paths!$O$55=0,C541=0,AND(C541&gt;0,Paths!$O$55&gt;(C541-1)*12,Paths!$O$55&lt;=C541*12)),Paths!$N$55,0),"n.a."))</f>
        <v>0</v>
      </c>
      <c r="L541" s="16">
        <f>IF(NOT(Paths!$C$55=1),0,IF(Paths!$P$55="Complete",IF(C541=10,Paths!$I$55,0),"n.a."))</f>
        <v>0</v>
      </c>
      <c r="M541" s="16">
        <f>IF(NOT(Paths!$C$55=1),0,IF(Paths!$P$55="Complete",IF(AND(Paths!$D$55="EV",Paths!$E$55&lt;120,Paths!$E$55+'Operating costs'!$B$65&gt;Paths!$E$55,Paths!$E$55+'Operating costs'!$B$65&lt;=120,IF(Paths!$E$55+'Operating costs'!$B$65=0,C541=0,AND(C541&gt;0,Paths!$E$55+'Operating costs'!$B$65&gt;(C541-1)*12,Paths!$E$55+'Operating costs'!$B$65&lt;=C541*12))),'Operating costs'!$B$64,0)+IF(AND('Operating costs'!$B$67&gt;0,'Operating costs'!$B$67&lt;=120,OR(Paths!$D$55="ICE",'Operating costs'!$B$67&lt;=Paths!$E$55),IF('Operating costs'!$B$67=0,C541=0,AND(C541&gt;0,'Operating costs'!$B$67&gt;(C541-1)*12,'Operating costs'!$B$67&lt;=C541*12))),'Operating costs'!$B$66,0),"n.a."))</f>
        <v>0</v>
      </c>
      <c r="N541" s="16">
        <f>IF(NOT(Paths!$C$55=1),0,IF(Paths!$P$55="Complete",SUM(G541:I541)-J541-K541-L541+M541+IF(C541=0,Paths!$F$55,0)+IF(IF(Paths!$E$55=0,C541=0,AND(C541&gt;0,Paths!$E$55&gt;(C541-1)*12,Paths!$E$55&lt;=C541*12)),VLOOKUP(A541,'Fleet register'!$A$7:$S$106,16,FALSE),0),"n.a."))</f>
        <v>0</v>
      </c>
      <c r="O541" s="16">
        <f>IF(NOT(Paths!$C$55=1),0,IF(Paths!$P$55="Complete",N541-IF(C541=0,Paths!$F$55,0),"n.a."))</f>
        <v>0</v>
      </c>
      <c r="P541" s="16">
        <f>IF(NOT(Paths!$C$55=1),0,IF(Paths!$P$55="Complete",O541+L541,"n.a."))</f>
        <v>0</v>
      </c>
      <c r="Q541" s="16">
        <f>IF(NOT(Paths!$C$55=1),0,IF(Paths!$P$55="Complete",N541*(1+'Operating costs'!$B$54)^-C541,"n.a."))</f>
        <v>0</v>
      </c>
      <c r="R541" s="16">
        <f>IF(NOT(Paths!$C$55=1),0,IF(Paths!$P$55="Complete",IF(AND(C541=0,Paths!$E$55=0),I541-J541-K541+VLOOKUP(A541,'Fleet register'!$A$7:$S$106,15,FALSE)+VLOOKUP(A541,'Fleet register'!$A$7:$S$106,16,FALSE),0),"n.a."))</f>
        <v>0</v>
      </c>
      <c r="S541" s="1">
        <f>IF(NOT(Paths!$C$55=1),0,IF(Paths!$P$55="Complete",IF(C541=0,0,Paths!$S$55*Paths!$R$55),"n.a."))</f>
        <v>0</v>
      </c>
      <c r="T541" s="1">
        <f>IF(NOT(Paths!$C$55=1),0,IF(Paths!$P$55="Complete",IF(C541=0,0,VLOOKUP(A541,'Fleet register'!$A$7:$S$106,9,FALSE)*Paths!$R$55),"n.a."))</f>
        <v>0</v>
      </c>
    </row>
    <row r="542" spans="1:20" ht="24" customHeight="1">
      <c r="A542" s="1" t="str">
        <f>Paths!$A$55</f>
        <v>T013</v>
      </c>
      <c r="B542" s="1">
        <f>Paths!$B$55</f>
        <v>0</v>
      </c>
      <c r="C542" s="1">
        <v>7</v>
      </c>
      <c r="D542" s="1">
        <v>55</v>
      </c>
      <c r="E542" s="1">
        <f>IF(OR(Paths!$C$55=0,C542=0),0,MAX(0,MIN(C542*12,Paths!$E$55)-(C542-1)*12))</f>
        <v>0</v>
      </c>
      <c r="F542" s="1">
        <f>IF(OR(Paths!$C$55=0,C542=0),0,12-E542)</f>
        <v>0</v>
      </c>
      <c r="G542" s="16">
        <f>IF(NOT(Paths!$C$55=1),0,IF(Paths!$P$55="Complete",E542/12*(Paths!$J$55*(1+'Operating costs'!$B$51)^MAX(0,C542-1)+Paths!$K$55*(1+'Operating costs'!$B$53)^MAX(0,C542-1)),"n.a."))</f>
        <v>0</v>
      </c>
      <c r="H542" s="16">
        <f>IF(NOT(Paths!$C$55=1),0,IF(Paths!$P$55="Complete",F542/12*(Paths!$L$55*(1+IF(Paths!$D$55="EV",'Operating costs'!$B$52,'Operating costs'!$B$51))^MAX(0,C542-1)+Paths!$M$55*(1+'Operating costs'!$B$53)^MAX(0,C542-1)),"n.a."))</f>
        <v>0</v>
      </c>
      <c r="I542" s="16">
        <f>IF(NOT(Paths!$C$55=1),0,IF(Paths!$P$55="Complete",IF(IF(Paths!$E$55=0,C542=0,AND(C542&gt;0,Paths!$E$55&gt;(C542-1)*12,Paths!$E$55&lt;=C542*12)),Paths!$G$55,0),"n.a."))</f>
        <v>0</v>
      </c>
      <c r="J542" s="16">
        <f>IF(NOT(Paths!$C$55=1),0,IF(Paths!$P$55="Complete",IF(IF(Paths!$E$55=0,C542=0,AND(C542&gt;0,Paths!$E$55&gt;(C542-1)*12,Paths!$E$55&lt;=C542*12)),Paths!$H$55,0),"n.a."))</f>
        <v>0</v>
      </c>
      <c r="K542" s="16">
        <f>IF(NOT(Paths!$C$55=1),0,IF(Paths!$P$55="Complete",IF(IF(Paths!$O$55=0,C542=0,AND(C542&gt;0,Paths!$O$55&gt;(C542-1)*12,Paths!$O$55&lt;=C542*12)),Paths!$N$55,0),"n.a."))</f>
        <v>0</v>
      </c>
      <c r="L542" s="16">
        <f>IF(NOT(Paths!$C$55=1),0,IF(Paths!$P$55="Complete",IF(C542=10,Paths!$I$55,0),"n.a."))</f>
        <v>0</v>
      </c>
      <c r="M542" s="16">
        <f>IF(NOT(Paths!$C$55=1),0,IF(Paths!$P$55="Complete",IF(AND(Paths!$D$55="EV",Paths!$E$55&lt;120,Paths!$E$55+'Operating costs'!$B$65&gt;Paths!$E$55,Paths!$E$55+'Operating costs'!$B$65&lt;=120,IF(Paths!$E$55+'Operating costs'!$B$65=0,C542=0,AND(C542&gt;0,Paths!$E$55+'Operating costs'!$B$65&gt;(C542-1)*12,Paths!$E$55+'Operating costs'!$B$65&lt;=C542*12))),'Operating costs'!$B$64,0)+IF(AND('Operating costs'!$B$67&gt;0,'Operating costs'!$B$67&lt;=120,OR(Paths!$D$55="ICE",'Operating costs'!$B$67&lt;=Paths!$E$55),IF('Operating costs'!$B$67=0,C542=0,AND(C542&gt;0,'Operating costs'!$B$67&gt;(C542-1)*12,'Operating costs'!$B$67&lt;=C542*12))),'Operating costs'!$B$66,0),"n.a."))</f>
        <v>0</v>
      </c>
      <c r="N542" s="16">
        <f>IF(NOT(Paths!$C$55=1),0,IF(Paths!$P$55="Complete",SUM(G542:I542)-J542-K542-L542+M542+IF(C542=0,Paths!$F$55,0)+IF(IF(Paths!$E$55=0,C542=0,AND(C542&gt;0,Paths!$E$55&gt;(C542-1)*12,Paths!$E$55&lt;=C542*12)),VLOOKUP(A542,'Fleet register'!$A$7:$S$106,16,FALSE),0),"n.a."))</f>
        <v>0</v>
      </c>
      <c r="O542" s="16">
        <f>IF(NOT(Paths!$C$55=1),0,IF(Paths!$P$55="Complete",N542-IF(C542=0,Paths!$F$55,0),"n.a."))</f>
        <v>0</v>
      </c>
      <c r="P542" s="16">
        <f>IF(NOT(Paths!$C$55=1),0,IF(Paths!$P$55="Complete",O542+L542,"n.a."))</f>
        <v>0</v>
      </c>
      <c r="Q542" s="16">
        <f>IF(NOT(Paths!$C$55=1),0,IF(Paths!$P$55="Complete",N542*(1+'Operating costs'!$B$54)^-C542,"n.a."))</f>
        <v>0</v>
      </c>
      <c r="R542" s="16">
        <f>IF(NOT(Paths!$C$55=1),0,IF(Paths!$P$55="Complete",IF(AND(C542=0,Paths!$E$55=0),I542-J542-K542+VLOOKUP(A542,'Fleet register'!$A$7:$S$106,15,FALSE)+VLOOKUP(A542,'Fleet register'!$A$7:$S$106,16,FALSE),0),"n.a."))</f>
        <v>0</v>
      </c>
      <c r="S542" s="1">
        <f>IF(NOT(Paths!$C$55=1),0,IF(Paths!$P$55="Complete",IF(C542=0,0,Paths!$S$55*Paths!$R$55),"n.a."))</f>
        <v>0</v>
      </c>
      <c r="T542" s="1">
        <f>IF(NOT(Paths!$C$55=1),0,IF(Paths!$P$55="Complete",IF(C542=0,0,VLOOKUP(A542,'Fleet register'!$A$7:$S$106,9,FALSE)*Paths!$R$55),"n.a."))</f>
        <v>0</v>
      </c>
    </row>
    <row r="543" spans="1:20" ht="24" customHeight="1">
      <c r="A543" s="1" t="str">
        <f>Paths!$A$55</f>
        <v>T013</v>
      </c>
      <c r="B543" s="1">
        <f>Paths!$B$55</f>
        <v>0</v>
      </c>
      <c r="C543" s="1">
        <v>8</v>
      </c>
      <c r="D543" s="1">
        <v>55</v>
      </c>
      <c r="E543" s="1">
        <f>IF(OR(Paths!$C$55=0,C543=0),0,MAX(0,MIN(C543*12,Paths!$E$55)-(C543-1)*12))</f>
        <v>0</v>
      </c>
      <c r="F543" s="1">
        <f>IF(OR(Paths!$C$55=0,C543=0),0,12-E543)</f>
        <v>0</v>
      </c>
      <c r="G543" s="16">
        <f>IF(NOT(Paths!$C$55=1),0,IF(Paths!$P$55="Complete",E543/12*(Paths!$J$55*(1+'Operating costs'!$B$51)^MAX(0,C543-1)+Paths!$K$55*(1+'Operating costs'!$B$53)^MAX(0,C543-1)),"n.a."))</f>
        <v>0</v>
      </c>
      <c r="H543" s="16">
        <f>IF(NOT(Paths!$C$55=1),0,IF(Paths!$P$55="Complete",F543/12*(Paths!$L$55*(1+IF(Paths!$D$55="EV",'Operating costs'!$B$52,'Operating costs'!$B$51))^MAX(0,C543-1)+Paths!$M$55*(1+'Operating costs'!$B$53)^MAX(0,C543-1)),"n.a."))</f>
        <v>0</v>
      </c>
      <c r="I543" s="16">
        <f>IF(NOT(Paths!$C$55=1),0,IF(Paths!$P$55="Complete",IF(IF(Paths!$E$55=0,C543=0,AND(C543&gt;0,Paths!$E$55&gt;(C543-1)*12,Paths!$E$55&lt;=C543*12)),Paths!$G$55,0),"n.a."))</f>
        <v>0</v>
      </c>
      <c r="J543" s="16">
        <f>IF(NOT(Paths!$C$55=1),0,IF(Paths!$P$55="Complete",IF(IF(Paths!$E$55=0,C543=0,AND(C543&gt;0,Paths!$E$55&gt;(C543-1)*12,Paths!$E$55&lt;=C543*12)),Paths!$H$55,0),"n.a."))</f>
        <v>0</v>
      </c>
      <c r="K543" s="16">
        <f>IF(NOT(Paths!$C$55=1),0,IF(Paths!$P$55="Complete",IF(IF(Paths!$O$55=0,C543=0,AND(C543&gt;0,Paths!$O$55&gt;(C543-1)*12,Paths!$O$55&lt;=C543*12)),Paths!$N$55,0),"n.a."))</f>
        <v>0</v>
      </c>
      <c r="L543" s="16">
        <f>IF(NOT(Paths!$C$55=1),0,IF(Paths!$P$55="Complete",IF(C543=10,Paths!$I$55,0),"n.a."))</f>
        <v>0</v>
      </c>
      <c r="M543" s="16">
        <f>IF(NOT(Paths!$C$55=1),0,IF(Paths!$P$55="Complete",IF(AND(Paths!$D$55="EV",Paths!$E$55&lt;120,Paths!$E$55+'Operating costs'!$B$65&gt;Paths!$E$55,Paths!$E$55+'Operating costs'!$B$65&lt;=120,IF(Paths!$E$55+'Operating costs'!$B$65=0,C543=0,AND(C543&gt;0,Paths!$E$55+'Operating costs'!$B$65&gt;(C543-1)*12,Paths!$E$55+'Operating costs'!$B$65&lt;=C543*12))),'Operating costs'!$B$64,0)+IF(AND('Operating costs'!$B$67&gt;0,'Operating costs'!$B$67&lt;=120,OR(Paths!$D$55="ICE",'Operating costs'!$B$67&lt;=Paths!$E$55),IF('Operating costs'!$B$67=0,C543=0,AND(C543&gt;0,'Operating costs'!$B$67&gt;(C543-1)*12,'Operating costs'!$B$67&lt;=C543*12))),'Operating costs'!$B$66,0),"n.a."))</f>
        <v>0</v>
      </c>
      <c r="N543" s="16">
        <f>IF(NOT(Paths!$C$55=1),0,IF(Paths!$P$55="Complete",SUM(G543:I543)-J543-K543-L543+M543+IF(C543=0,Paths!$F$55,0)+IF(IF(Paths!$E$55=0,C543=0,AND(C543&gt;0,Paths!$E$55&gt;(C543-1)*12,Paths!$E$55&lt;=C543*12)),VLOOKUP(A543,'Fleet register'!$A$7:$S$106,16,FALSE),0),"n.a."))</f>
        <v>0</v>
      </c>
      <c r="O543" s="16">
        <f>IF(NOT(Paths!$C$55=1),0,IF(Paths!$P$55="Complete",N543-IF(C543=0,Paths!$F$55,0),"n.a."))</f>
        <v>0</v>
      </c>
      <c r="P543" s="16">
        <f>IF(NOT(Paths!$C$55=1),0,IF(Paths!$P$55="Complete",O543+L543,"n.a."))</f>
        <v>0</v>
      </c>
      <c r="Q543" s="16">
        <f>IF(NOT(Paths!$C$55=1),0,IF(Paths!$P$55="Complete",N543*(1+'Operating costs'!$B$54)^-C543,"n.a."))</f>
        <v>0</v>
      </c>
      <c r="R543" s="16">
        <f>IF(NOT(Paths!$C$55=1),0,IF(Paths!$P$55="Complete",IF(AND(C543=0,Paths!$E$55=0),I543-J543-K543+VLOOKUP(A543,'Fleet register'!$A$7:$S$106,15,FALSE)+VLOOKUP(A543,'Fleet register'!$A$7:$S$106,16,FALSE),0),"n.a."))</f>
        <v>0</v>
      </c>
      <c r="S543" s="1">
        <f>IF(NOT(Paths!$C$55=1),0,IF(Paths!$P$55="Complete",IF(C543=0,0,Paths!$S$55*Paths!$R$55),"n.a."))</f>
        <v>0</v>
      </c>
      <c r="T543" s="1">
        <f>IF(NOT(Paths!$C$55=1),0,IF(Paths!$P$55="Complete",IF(C543=0,0,VLOOKUP(A543,'Fleet register'!$A$7:$S$106,9,FALSE)*Paths!$R$55),"n.a."))</f>
        <v>0</v>
      </c>
    </row>
    <row r="544" spans="1:20" ht="24" customHeight="1">
      <c r="A544" s="1" t="str">
        <f>Paths!$A$55</f>
        <v>T013</v>
      </c>
      <c r="B544" s="1">
        <f>Paths!$B$55</f>
        <v>0</v>
      </c>
      <c r="C544" s="1">
        <v>9</v>
      </c>
      <c r="D544" s="1">
        <v>55</v>
      </c>
      <c r="E544" s="1">
        <f>IF(OR(Paths!$C$55=0,C544=0),0,MAX(0,MIN(C544*12,Paths!$E$55)-(C544-1)*12))</f>
        <v>0</v>
      </c>
      <c r="F544" s="1">
        <f>IF(OR(Paths!$C$55=0,C544=0),0,12-E544)</f>
        <v>0</v>
      </c>
      <c r="G544" s="16">
        <f>IF(NOT(Paths!$C$55=1),0,IF(Paths!$P$55="Complete",E544/12*(Paths!$J$55*(1+'Operating costs'!$B$51)^MAX(0,C544-1)+Paths!$K$55*(1+'Operating costs'!$B$53)^MAX(0,C544-1)),"n.a."))</f>
        <v>0</v>
      </c>
      <c r="H544" s="16">
        <f>IF(NOT(Paths!$C$55=1),0,IF(Paths!$P$55="Complete",F544/12*(Paths!$L$55*(1+IF(Paths!$D$55="EV",'Operating costs'!$B$52,'Operating costs'!$B$51))^MAX(0,C544-1)+Paths!$M$55*(1+'Operating costs'!$B$53)^MAX(0,C544-1)),"n.a."))</f>
        <v>0</v>
      </c>
      <c r="I544" s="16">
        <f>IF(NOT(Paths!$C$55=1),0,IF(Paths!$P$55="Complete",IF(IF(Paths!$E$55=0,C544=0,AND(C544&gt;0,Paths!$E$55&gt;(C544-1)*12,Paths!$E$55&lt;=C544*12)),Paths!$G$55,0),"n.a."))</f>
        <v>0</v>
      </c>
      <c r="J544" s="16">
        <f>IF(NOT(Paths!$C$55=1),0,IF(Paths!$P$55="Complete",IF(IF(Paths!$E$55=0,C544=0,AND(C544&gt;0,Paths!$E$55&gt;(C544-1)*12,Paths!$E$55&lt;=C544*12)),Paths!$H$55,0),"n.a."))</f>
        <v>0</v>
      </c>
      <c r="K544" s="16">
        <f>IF(NOT(Paths!$C$55=1),0,IF(Paths!$P$55="Complete",IF(IF(Paths!$O$55=0,C544=0,AND(C544&gt;0,Paths!$O$55&gt;(C544-1)*12,Paths!$O$55&lt;=C544*12)),Paths!$N$55,0),"n.a."))</f>
        <v>0</v>
      </c>
      <c r="L544" s="16">
        <f>IF(NOT(Paths!$C$55=1),0,IF(Paths!$P$55="Complete",IF(C544=10,Paths!$I$55,0),"n.a."))</f>
        <v>0</v>
      </c>
      <c r="M544" s="16">
        <f>IF(NOT(Paths!$C$55=1),0,IF(Paths!$P$55="Complete",IF(AND(Paths!$D$55="EV",Paths!$E$55&lt;120,Paths!$E$55+'Operating costs'!$B$65&gt;Paths!$E$55,Paths!$E$55+'Operating costs'!$B$65&lt;=120,IF(Paths!$E$55+'Operating costs'!$B$65=0,C544=0,AND(C544&gt;0,Paths!$E$55+'Operating costs'!$B$65&gt;(C544-1)*12,Paths!$E$55+'Operating costs'!$B$65&lt;=C544*12))),'Operating costs'!$B$64,0)+IF(AND('Operating costs'!$B$67&gt;0,'Operating costs'!$B$67&lt;=120,OR(Paths!$D$55="ICE",'Operating costs'!$B$67&lt;=Paths!$E$55),IF('Operating costs'!$B$67=0,C544=0,AND(C544&gt;0,'Operating costs'!$B$67&gt;(C544-1)*12,'Operating costs'!$B$67&lt;=C544*12))),'Operating costs'!$B$66,0),"n.a."))</f>
        <v>0</v>
      </c>
      <c r="N544" s="16">
        <f>IF(NOT(Paths!$C$55=1),0,IF(Paths!$P$55="Complete",SUM(G544:I544)-J544-K544-L544+M544+IF(C544=0,Paths!$F$55,0)+IF(IF(Paths!$E$55=0,C544=0,AND(C544&gt;0,Paths!$E$55&gt;(C544-1)*12,Paths!$E$55&lt;=C544*12)),VLOOKUP(A544,'Fleet register'!$A$7:$S$106,16,FALSE),0),"n.a."))</f>
        <v>0</v>
      </c>
      <c r="O544" s="16">
        <f>IF(NOT(Paths!$C$55=1),0,IF(Paths!$P$55="Complete",N544-IF(C544=0,Paths!$F$55,0),"n.a."))</f>
        <v>0</v>
      </c>
      <c r="P544" s="16">
        <f>IF(NOT(Paths!$C$55=1),0,IF(Paths!$P$55="Complete",O544+L544,"n.a."))</f>
        <v>0</v>
      </c>
      <c r="Q544" s="16">
        <f>IF(NOT(Paths!$C$55=1),0,IF(Paths!$P$55="Complete",N544*(1+'Operating costs'!$B$54)^-C544,"n.a."))</f>
        <v>0</v>
      </c>
      <c r="R544" s="16">
        <f>IF(NOT(Paths!$C$55=1),0,IF(Paths!$P$55="Complete",IF(AND(C544=0,Paths!$E$55=0),I544-J544-K544+VLOOKUP(A544,'Fleet register'!$A$7:$S$106,15,FALSE)+VLOOKUP(A544,'Fleet register'!$A$7:$S$106,16,FALSE),0),"n.a."))</f>
        <v>0</v>
      </c>
      <c r="S544" s="1">
        <f>IF(NOT(Paths!$C$55=1),0,IF(Paths!$P$55="Complete",IF(C544=0,0,Paths!$S$55*Paths!$R$55),"n.a."))</f>
        <v>0</v>
      </c>
      <c r="T544" s="1">
        <f>IF(NOT(Paths!$C$55=1),0,IF(Paths!$P$55="Complete",IF(C544=0,0,VLOOKUP(A544,'Fleet register'!$A$7:$S$106,9,FALSE)*Paths!$R$55),"n.a."))</f>
        <v>0</v>
      </c>
    </row>
    <row r="545" spans="1:20" ht="24" customHeight="1">
      <c r="A545" s="1" t="str">
        <f>Paths!$A$55</f>
        <v>T013</v>
      </c>
      <c r="B545" s="1">
        <f>Paths!$B$55</f>
        <v>0</v>
      </c>
      <c r="C545" s="1">
        <v>10</v>
      </c>
      <c r="D545" s="1">
        <v>55</v>
      </c>
      <c r="E545" s="1">
        <f>IF(OR(Paths!$C$55=0,C545=0),0,MAX(0,MIN(C545*12,Paths!$E$55)-(C545-1)*12))</f>
        <v>0</v>
      </c>
      <c r="F545" s="1">
        <f>IF(OR(Paths!$C$55=0,C545=0),0,12-E545)</f>
        <v>0</v>
      </c>
      <c r="G545" s="16">
        <f>IF(NOT(Paths!$C$55=1),0,IF(Paths!$P$55="Complete",E545/12*(Paths!$J$55*(1+'Operating costs'!$B$51)^MAX(0,C545-1)+Paths!$K$55*(1+'Operating costs'!$B$53)^MAX(0,C545-1)),"n.a."))</f>
        <v>0</v>
      </c>
      <c r="H545" s="16">
        <f>IF(NOT(Paths!$C$55=1),0,IF(Paths!$P$55="Complete",F545/12*(Paths!$L$55*(1+IF(Paths!$D$55="EV",'Operating costs'!$B$52,'Operating costs'!$B$51))^MAX(0,C545-1)+Paths!$M$55*(1+'Operating costs'!$B$53)^MAX(0,C545-1)),"n.a."))</f>
        <v>0</v>
      </c>
      <c r="I545" s="16">
        <f>IF(NOT(Paths!$C$55=1),0,IF(Paths!$P$55="Complete",IF(IF(Paths!$E$55=0,C545=0,AND(C545&gt;0,Paths!$E$55&gt;(C545-1)*12,Paths!$E$55&lt;=C545*12)),Paths!$G$55,0),"n.a."))</f>
        <v>0</v>
      </c>
      <c r="J545" s="16">
        <f>IF(NOT(Paths!$C$55=1),0,IF(Paths!$P$55="Complete",IF(IF(Paths!$E$55=0,C545=0,AND(C545&gt;0,Paths!$E$55&gt;(C545-1)*12,Paths!$E$55&lt;=C545*12)),Paths!$H$55,0),"n.a."))</f>
        <v>0</v>
      </c>
      <c r="K545" s="16">
        <f>IF(NOT(Paths!$C$55=1),0,IF(Paths!$P$55="Complete",IF(IF(Paths!$O$55=0,C545=0,AND(C545&gt;0,Paths!$O$55&gt;(C545-1)*12,Paths!$O$55&lt;=C545*12)),Paths!$N$55,0),"n.a."))</f>
        <v>0</v>
      </c>
      <c r="L545" s="16">
        <f>IF(NOT(Paths!$C$55=1),0,IF(Paths!$P$55="Complete",IF(C545=10,Paths!$I$55,0),"n.a."))</f>
        <v>0</v>
      </c>
      <c r="M545" s="16">
        <f>IF(NOT(Paths!$C$55=1),0,IF(Paths!$P$55="Complete",IF(AND(Paths!$D$55="EV",Paths!$E$55&lt;120,Paths!$E$55+'Operating costs'!$B$65&gt;Paths!$E$55,Paths!$E$55+'Operating costs'!$B$65&lt;=120,IF(Paths!$E$55+'Operating costs'!$B$65=0,C545=0,AND(C545&gt;0,Paths!$E$55+'Operating costs'!$B$65&gt;(C545-1)*12,Paths!$E$55+'Operating costs'!$B$65&lt;=C545*12))),'Operating costs'!$B$64,0)+IF(AND('Operating costs'!$B$67&gt;0,'Operating costs'!$B$67&lt;=120,OR(Paths!$D$55="ICE",'Operating costs'!$B$67&lt;=Paths!$E$55),IF('Operating costs'!$B$67=0,C545=0,AND(C545&gt;0,'Operating costs'!$B$67&gt;(C545-1)*12,'Operating costs'!$B$67&lt;=C545*12))),'Operating costs'!$B$66,0),"n.a."))</f>
        <v>0</v>
      </c>
      <c r="N545" s="16">
        <f>IF(NOT(Paths!$C$55=1),0,IF(Paths!$P$55="Complete",SUM(G545:I545)-J545-K545-L545+M545+IF(C545=0,Paths!$F$55,0)+IF(IF(Paths!$E$55=0,C545=0,AND(C545&gt;0,Paths!$E$55&gt;(C545-1)*12,Paths!$E$55&lt;=C545*12)),VLOOKUP(A545,'Fleet register'!$A$7:$S$106,16,FALSE),0),"n.a."))</f>
        <v>0</v>
      </c>
      <c r="O545" s="16">
        <f>IF(NOT(Paths!$C$55=1),0,IF(Paths!$P$55="Complete",N545-IF(C545=0,Paths!$F$55,0),"n.a."))</f>
        <v>0</v>
      </c>
      <c r="P545" s="16">
        <f>IF(NOT(Paths!$C$55=1),0,IF(Paths!$P$55="Complete",O545+L545,"n.a."))</f>
        <v>0</v>
      </c>
      <c r="Q545" s="16">
        <f>IF(NOT(Paths!$C$55=1),0,IF(Paths!$P$55="Complete",N545*(1+'Operating costs'!$B$54)^-C545,"n.a."))</f>
        <v>0</v>
      </c>
      <c r="R545" s="16">
        <f>IF(NOT(Paths!$C$55=1),0,IF(Paths!$P$55="Complete",IF(AND(C545=0,Paths!$E$55=0),I545-J545-K545+VLOOKUP(A545,'Fleet register'!$A$7:$S$106,15,FALSE)+VLOOKUP(A545,'Fleet register'!$A$7:$S$106,16,FALSE),0),"n.a."))</f>
        <v>0</v>
      </c>
      <c r="S545" s="1">
        <f>IF(NOT(Paths!$C$55=1),0,IF(Paths!$P$55="Complete",IF(C545=0,0,Paths!$S$55*Paths!$R$55),"n.a."))</f>
        <v>0</v>
      </c>
      <c r="T545" s="1">
        <f>IF(NOT(Paths!$C$55=1),0,IF(Paths!$P$55="Complete",IF(C545=0,0,VLOOKUP(A545,'Fleet register'!$A$7:$S$106,9,FALSE)*Paths!$R$55),"n.a."))</f>
        <v>0</v>
      </c>
    </row>
    <row r="546" spans="1:20" ht="24" customHeight="1">
      <c r="A546" s="1" t="str">
        <f>Paths!$A$56</f>
        <v>T013</v>
      </c>
      <c r="B546" s="1">
        <f>Paths!$B$56</f>
        <v>1</v>
      </c>
      <c r="C546" s="1">
        <v>0</v>
      </c>
      <c r="D546" s="1">
        <v>56</v>
      </c>
      <c r="E546" s="1">
        <f>IF(OR(Paths!$C$56=0,C546=0),0,MAX(0,MIN(C546*12,Paths!$E$56)-(C546-1)*12))</f>
        <v>0</v>
      </c>
      <c r="F546" s="1">
        <f>IF(OR(Paths!$C$56=0,C546=0),0,12-E546)</f>
        <v>0</v>
      </c>
      <c r="G546" s="16">
        <f>IF(NOT(Paths!$C$56=1),0,IF(Paths!$P$56="Complete",E546/12*(Paths!$J$56*(1+'Operating costs'!$B$51)^MAX(0,C546-1)+Paths!$K$56*(1+'Operating costs'!$B$53)^MAX(0,C546-1)),"n.a."))</f>
        <v>0</v>
      </c>
      <c r="H546" s="16">
        <f>IF(NOT(Paths!$C$56=1),0,IF(Paths!$P$56="Complete",F546/12*(Paths!$L$56*(1+IF(Paths!$D$56="EV",'Operating costs'!$B$52,'Operating costs'!$B$51))^MAX(0,C546-1)+Paths!$M$56*(1+'Operating costs'!$B$53)^MAX(0,C546-1)),"n.a."))</f>
        <v>0</v>
      </c>
      <c r="I546" s="16">
        <f>IF(NOT(Paths!$C$56=1),0,IF(Paths!$P$56="Complete",IF(IF(Paths!$E$56=0,C546=0,AND(C546&gt;0,Paths!$E$56&gt;(C546-1)*12,Paths!$E$56&lt;=C546*12)),Paths!$G$56,0),"n.a."))</f>
        <v>0</v>
      </c>
      <c r="J546" s="16">
        <f>IF(NOT(Paths!$C$56=1),0,IF(Paths!$P$56="Complete",IF(IF(Paths!$E$56=0,C546=0,AND(C546&gt;0,Paths!$E$56&gt;(C546-1)*12,Paths!$E$56&lt;=C546*12)),Paths!$H$56,0),"n.a."))</f>
        <v>0</v>
      </c>
      <c r="K546" s="16">
        <f>IF(NOT(Paths!$C$56=1),0,IF(Paths!$P$56="Complete",IF(IF(Paths!$O$56=0,C546=0,AND(C546&gt;0,Paths!$O$56&gt;(C546-1)*12,Paths!$O$56&lt;=C546*12)),Paths!$N$56,0),"n.a."))</f>
        <v>0</v>
      </c>
      <c r="L546" s="16">
        <f>IF(NOT(Paths!$C$56=1),0,IF(Paths!$P$56="Complete",IF(C546=10,Paths!$I$56,0),"n.a."))</f>
        <v>0</v>
      </c>
      <c r="M546" s="16">
        <f>IF(NOT(Paths!$C$56=1),0,IF(Paths!$P$56="Complete",IF(AND(Paths!$D$56="EV",Paths!$E$56&lt;120,Paths!$E$56+'Operating costs'!$B$65&gt;Paths!$E$56,Paths!$E$56+'Operating costs'!$B$65&lt;=120,IF(Paths!$E$56+'Operating costs'!$B$65=0,C546=0,AND(C546&gt;0,Paths!$E$56+'Operating costs'!$B$65&gt;(C546-1)*12,Paths!$E$56+'Operating costs'!$B$65&lt;=C546*12))),'Operating costs'!$B$64,0)+IF(AND('Operating costs'!$B$67&gt;0,'Operating costs'!$B$67&lt;=120,OR(Paths!$D$56="ICE",'Operating costs'!$B$67&lt;=Paths!$E$56),IF('Operating costs'!$B$67=0,C546=0,AND(C546&gt;0,'Operating costs'!$B$67&gt;(C546-1)*12,'Operating costs'!$B$67&lt;=C546*12))),'Operating costs'!$B$66,0),"n.a."))</f>
        <v>0</v>
      </c>
      <c r="N546" s="16">
        <f>IF(NOT(Paths!$C$56=1),0,IF(Paths!$P$56="Complete",SUM(G546:I546)-J546-K546-L546+M546+IF(C546=0,Paths!$F$56,0)+IF(IF(Paths!$E$56=0,C546=0,AND(C546&gt;0,Paths!$E$56&gt;(C546-1)*12,Paths!$E$56&lt;=C546*12)),VLOOKUP(A546,'Fleet register'!$A$7:$S$106,16,FALSE),0),"n.a."))</f>
        <v>0</v>
      </c>
      <c r="O546" s="16">
        <f>IF(NOT(Paths!$C$56=1),0,IF(Paths!$P$56="Complete",N546-IF(C546=0,Paths!$F$56,0),"n.a."))</f>
        <v>0</v>
      </c>
      <c r="P546" s="16">
        <f>IF(NOT(Paths!$C$56=1),0,IF(Paths!$P$56="Complete",O546+L546,"n.a."))</f>
        <v>0</v>
      </c>
      <c r="Q546" s="16">
        <f>IF(NOT(Paths!$C$56=1),0,IF(Paths!$P$56="Complete",N546*(1+'Operating costs'!$B$54)^-C546,"n.a."))</f>
        <v>0</v>
      </c>
      <c r="R546" s="16">
        <f>IF(NOT(Paths!$C$56=1),0,IF(Paths!$P$56="Complete",IF(AND(C546=0,Paths!$E$56=0),I546-J546-K546+VLOOKUP(A546,'Fleet register'!$A$7:$S$106,15,FALSE)+VLOOKUP(A546,'Fleet register'!$A$7:$S$106,16,FALSE),0),"n.a."))</f>
        <v>0</v>
      </c>
      <c r="S546" s="1">
        <f>IF(NOT(Paths!$C$56=1),0,IF(Paths!$P$56="Complete",IF(C546=0,0,Paths!$S$56*Paths!$R$56),"n.a."))</f>
        <v>0</v>
      </c>
      <c r="T546" s="1">
        <f>IF(NOT(Paths!$C$56=1),0,IF(Paths!$P$56="Complete",IF(C546=0,0,VLOOKUP(A546,'Fleet register'!$A$7:$S$106,9,FALSE)*Paths!$R$56),"n.a."))</f>
        <v>0</v>
      </c>
    </row>
    <row r="547" spans="1:20" ht="24" customHeight="1">
      <c r="A547" s="1" t="str">
        <f>Paths!$A$56</f>
        <v>T013</v>
      </c>
      <c r="B547" s="1">
        <f>Paths!$B$56</f>
        <v>1</v>
      </c>
      <c r="C547" s="1">
        <v>1</v>
      </c>
      <c r="D547" s="1">
        <v>56</v>
      </c>
      <c r="E547" s="1">
        <f>IF(OR(Paths!$C$56=0,C547=0),0,MAX(0,MIN(C547*12,Paths!$E$56)-(C547-1)*12))</f>
        <v>0</v>
      </c>
      <c r="F547" s="1">
        <f>IF(OR(Paths!$C$56=0,C547=0),0,12-E547)</f>
        <v>0</v>
      </c>
      <c r="G547" s="16">
        <f>IF(NOT(Paths!$C$56=1),0,IF(Paths!$P$56="Complete",E547/12*(Paths!$J$56*(1+'Operating costs'!$B$51)^MAX(0,C547-1)+Paths!$K$56*(1+'Operating costs'!$B$53)^MAX(0,C547-1)),"n.a."))</f>
        <v>0</v>
      </c>
      <c r="H547" s="16">
        <f>IF(NOT(Paths!$C$56=1),0,IF(Paths!$P$56="Complete",F547/12*(Paths!$L$56*(1+IF(Paths!$D$56="EV",'Operating costs'!$B$52,'Operating costs'!$B$51))^MAX(0,C547-1)+Paths!$M$56*(1+'Operating costs'!$B$53)^MAX(0,C547-1)),"n.a."))</f>
        <v>0</v>
      </c>
      <c r="I547" s="16">
        <f>IF(NOT(Paths!$C$56=1),0,IF(Paths!$P$56="Complete",IF(IF(Paths!$E$56=0,C547=0,AND(C547&gt;0,Paths!$E$56&gt;(C547-1)*12,Paths!$E$56&lt;=C547*12)),Paths!$G$56,0),"n.a."))</f>
        <v>0</v>
      </c>
      <c r="J547" s="16">
        <f>IF(NOT(Paths!$C$56=1),0,IF(Paths!$P$56="Complete",IF(IF(Paths!$E$56=0,C547=0,AND(C547&gt;0,Paths!$E$56&gt;(C547-1)*12,Paths!$E$56&lt;=C547*12)),Paths!$H$56,0),"n.a."))</f>
        <v>0</v>
      </c>
      <c r="K547" s="16">
        <f>IF(NOT(Paths!$C$56=1),0,IF(Paths!$P$56="Complete",IF(IF(Paths!$O$56=0,C547=0,AND(C547&gt;0,Paths!$O$56&gt;(C547-1)*12,Paths!$O$56&lt;=C547*12)),Paths!$N$56,0),"n.a."))</f>
        <v>0</v>
      </c>
      <c r="L547" s="16">
        <f>IF(NOT(Paths!$C$56=1),0,IF(Paths!$P$56="Complete",IF(C547=10,Paths!$I$56,0),"n.a."))</f>
        <v>0</v>
      </c>
      <c r="M547" s="16">
        <f>IF(NOT(Paths!$C$56=1),0,IF(Paths!$P$56="Complete",IF(AND(Paths!$D$56="EV",Paths!$E$56&lt;120,Paths!$E$56+'Operating costs'!$B$65&gt;Paths!$E$56,Paths!$E$56+'Operating costs'!$B$65&lt;=120,IF(Paths!$E$56+'Operating costs'!$B$65=0,C547=0,AND(C547&gt;0,Paths!$E$56+'Operating costs'!$B$65&gt;(C547-1)*12,Paths!$E$56+'Operating costs'!$B$65&lt;=C547*12))),'Operating costs'!$B$64,0)+IF(AND('Operating costs'!$B$67&gt;0,'Operating costs'!$B$67&lt;=120,OR(Paths!$D$56="ICE",'Operating costs'!$B$67&lt;=Paths!$E$56),IF('Operating costs'!$B$67=0,C547=0,AND(C547&gt;0,'Operating costs'!$B$67&gt;(C547-1)*12,'Operating costs'!$B$67&lt;=C547*12))),'Operating costs'!$B$66,0),"n.a."))</f>
        <v>0</v>
      </c>
      <c r="N547" s="16">
        <f>IF(NOT(Paths!$C$56=1),0,IF(Paths!$P$56="Complete",SUM(G547:I547)-J547-K547-L547+M547+IF(C547=0,Paths!$F$56,0)+IF(IF(Paths!$E$56=0,C547=0,AND(C547&gt;0,Paths!$E$56&gt;(C547-1)*12,Paths!$E$56&lt;=C547*12)),VLOOKUP(A547,'Fleet register'!$A$7:$S$106,16,FALSE),0),"n.a."))</f>
        <v>0</v>
      </c>
      <c r="O547" s="16">
        <f>IF(NOT(Paths!$C$56=1),0,IF(Paths!$P$56="Complete",N547-IF(C547=0,Paths!$F$56,0),"n.a."))</f>
        <v>0</v>
      </c>
      <c r="P547" s="16">
        <f>IF(NOT(Paths!$C$56=1),0,IF(Paths!$P$56="Complete",O547+L547,"n.a."))</f>
        <v>0</v>
      </c>
      <c r="Q547" s="16">
        <f>IF(NOT(Paths!$C$56=1),0,IF(Paths!$P$56="Complete",N547*(1+'Operating costs'!$B$54)^-C547,"n.a."))</f>
        <v>0</v>
      </c>
      <c r="R547" s="16">
        <f>IF(NOT(Paths!$C$56=1),0,IF(Paths!$P$56="Complete",IF(AND(C547=0,Paths!$E$56=0),I547-J547-K547+VLOOKUP(A547,'Fleet register'!$A$7:$S$106,15,FALSE)+VLOOKUP(A547,'Fleet register'!$A$7:$S$106,16,FALSE),0),"n.a."))</f>
        <v>0</v>
      </c>
      <c r="S547" s="1">
        <f>IF(NOT(Paths!$C$56=1),0,IF(Paths!$P$56="Complete",IF(C547=0,0,Paths!$S$56*Paths!$R$56),"n.a."))</f>
        <v>0</v>
      </c>
      <c r="T547" s="1">
        <f>IF(NOT(Paths!$C$56=1),0,IF(Paths!$P$56="Complete",IF(C547=0,0,VLOOKUP(A547,'Fleet register'!$A$7:$S$106,9,FALSE)*Paths!$R$56),"n.a."))</f>
        <v>0</v>
      </c>
    </row>
    <row r="548" spans="1:20" ht="24" customHeight="1">
      <c r="A548" s="1" t="str">
        <f>Paths!$A$56</f>
        <v>T013</v>
      </c>
      <c r="B548" s="1">
        <f>Paths!$B$56</f>
        <v>1</v>
      </c>
      <c r="C548" s="1">
        <v>2</v>
      </c>
      <c r="D548" s="1">
        <v>56</v>
      </c>
      <c r="E548" s="1">
        <f>IF(OR(Paths!$C$56=0,C548=0),0,MAX(0,MIN(C548*12,Paths!$E$56)-(C548-1)*12))</f>
        <v>0</v>
      </c>
      <c r="F548" s="1">
        <f>IF(OR(Paths!$C$56=0,C548=0),0,12-E548)</f>
        <v>0</v>
      </c>
      <c r="G548" s="16">
        <f>IF(NOT(Paths!$C$56=1),0,IF(Paths!$P$56="Complete",E548/12*(Paths!$J$56*(1+'Operating costs'!$B$51)^MAX(0,C548-1)+Paths!$K$56*(1+'Operating costs'!$B$53)^MAX(0,C548-1)),"n.a."))</f>
        <v>0</v>
      </c>
      <c r="H548" s="16">
        <f>IF(NOT(Paths!$C$56=1),0,IF(Paths!$P$56="Complete",F548/12*(Paths!$L$56*(1+IF(Paths!$D$56="EV",'Operating costs'!$B$52,'Operating costs'!$B$51))^MAX(0,C548-1)+Paths!$M$56*(1+'Operating costs'!$B$53)^MAX(0,C548-1)),"n.a."))</f>
        <v>0</v>
      </c>
      <c r="I548" s="16">
        <f>IF(NOT(Paths!$C$56=1),0,IF(Paths!$P$56="Complete",IF(IF(Paths!$E$56=0,C548=0,AND(C548&gt;0,Paths!$E$56&gt;(C548-1)*12,Paths!$E$56&lt;=C548*12)),Paths!$G$56,0),"n.a."))</f>
        <v>0</v>
      </c>
      <c r="J548" s="16">
        <f>IF(NOT(Paths!$C$56=1),0,IF(Paths!$P$56="Complete",IF(IF(Paths!$E$56=0,C548=0,AND(C548&gt;0,Paths!$E$56&gt;(C548-1)*12,Paths!$E$56&lt;=C548*12)),Paths!$H$56,0),"n.a."))</f>
        <v>0</v>
      </c>
      <c r="K548" s="16">
        <f>IF(NOT(Paths!$C$56=1),0,IF(Paths!$P$56="Complete",IF(IF(Paths!$O$56=0,C548=0,AND(C548&gt;0,Paths!$O$56&gt;(C548-1)*12,Paths!$O$56&lt;=C548*12)),Paths!$N$56,0),"n.a."))</f>
        <v>0</v>
      </c>
      <c r="L548" s="16">
        <f>IF(NOT(Paths!$C$56=1),0,IF(Paths!$P$56="Complete",IF(C548=10,Paths!$I$56,0),"n.a."))</f>
        <v>0</v>
      </c>
      <c r="M548" s="16">
        <f>IF(NOT(Paths!$C$56=1),0,IF(Paths!$P$56="Complete",IF(AND(Paths!$D$56="EV",Paths!$E$56&lt;120,Paths!$E$56+'Operating costs'!$B$65&gt;Paths!$E$56,Paths!$E$56+'Operating costs'!$B$65&lt;=120,IF(Paths!$E$56+'Operating costs'!$B$65=0,C548=0,AND(C548&gt;0,Paths!$E$56+'Operating costs'!$B$65&gt;(C548-1)*12,Paths!$E$56+'Operating costs'!$B$65&lt;=C548*12))),'Operating costs'!$B$64,0)+IF(AND('Operating costs'!$B$67&gt;0,'Operating costs'!$B$67&lt;=120,OR(Paths!$D$56="ICE",'Operating costs'!$B$67&lt;=Paths!$E$56),IF('Operating costs'!$B$67=0,C548=0,AND(C548&gt;0,'Operating costs'!$B$67&gt;(C548-1)*12,'Operating costs'!$B$67&lt;=C548*12))),'Operating costs'!$B$66,0),"n.a."))</f>
        <v>0</v>
      </c>
      <c r="N548" s="16">
        <f>IF(NOT(Paths!$C$56=1),0,IF(Paths!$P$56="Complete",SUM(G548:I548)-J548-K548-L548+M548+IF(C548=0,Paths!$F$56,0)+IF(IF(Paths!$E$56=0,C548=0,AND(C548&gt;0,Paths!$E$56&gt;(C548-1)*12,Paths!$E$56&lt;=C548*12)),VLOOKUP(A548,'Fleet register'!$A$7:$S$106,16,FALSE),0),"n.a."))</f>
        <v>0</v>
      </c>
      <c r="O548" s="16">
        <f>IF(NOT(Paths!$C$56=1),0,IF(Paths!$P$56="Complete",N548-IF(C548=0,Paths!$F$56,0),"n.a."))</f>
        <v>0</v>
      </c>
      <c r="P548" s="16">
        <f>IF(NOT(Paths!$C$56=1),0,IF(Paths!$P$56="Complete",O548+L548,"n.a."))</f>
        <v>0</v>
      </c>
      <c r="Q548" s="16">
        <f>IF(NOT(Paths!$C$56=1),0,IF(Paths!$P$56="Complete",N548*(1+'Operating costs'!$B$54)^-C548,"n.a."))</f>
        <v>0</v>
      </c>
      <c r="R548" s="16">
        <f>IF(NOT(Paths!$C$56=1),0,IF(Paths!$P$56="Complete",IF(AND(C548=0,Paths!$E$56=0),I548-J548-K548+VLOOKUP(A548,'Fleet register'!$A$7:$S$106,15,FALSE)+VLOOKUP(A548,'Fleet register'!$A$7:$S$106,16,FALSE),0),"n.a."))</f>
        <v>0</v>
      </c>
      <c r="S548" s="1">
        <f>IF(NOT(Paths!$C$56=1),0,IF(Paths!$P$56="Complete",IF(C548=0,0,Paths!$S$56*Paths!$R$56),"n.a."))</f>
        <v>0</v>
      </c>
      <c r="T548" s="1">
        <f>IF(NOT(Paths!$C$56=1),0,IF(Paths!$P$56="Complete",IF(C548=0,0,VLOOKUP(A548,'Fleet register'!$A$7:$S$106,9,FALSE)*Paths!$R$56),"n.a."))</f>
        <v>0</v>
      </c>
    </row>
    <row r="549" spans="1:20" ht="24" customHeight="1">
      <c r="A549" s="1" t="str">
        <f>Paths!$A$56</f>
        <v>T013</v>
      </c>
      <c r="B549" s="1">
        <f>Paths!$B$56</f>
        <v>1</v>
      </c>
      <c r="C549" s="1">
        <v>3</v>
      </c>
      <c r="D549" s="1">
        <v>56</v>
      </c>
      <c r="E549" s="1">
        <f>IF(OR(Paths!$C$56=0,C549=0),0,MAX(0,MIN(C549*12,Paths!$E$56)-(C549-1)*12))</f>
        <v>0</v>
      </c>
      <c r="F549" s="1">
        <f>IF(OR(Paths!$C$56=0,C549=0),0,12-E549)</f>
        <v>0</v>
      </c>
      <c r="G549" s="16">
        <f>IF(NOT(Paths!$C$56=1),0,IF(Paths!$P$56="Complete",E549/12*(Paths!$J$56*(1+'Operating costs'!$B$51)^MAX(0,C549-1)+Paths!$K$56*(1+'Operating costs'!$B$53)^MAX(0,C549-1)),"n.a."))</f>
        <v>0</v>
      </c>
      <c r="H549" s="16">
        <f>IF(NOT(Paths!$C$56=1),0,IF(Paths!$P$56="Complete",F549/12*(Paths!$L$56*(1+IF(Paths!$D$56="EV",'Operating costs'!$B$52,'Operating costs'!$B$51))^MAX(0,C549-1)+Paths!$M$56*(1+'Operating costs'!$B$53)^MAX(0,C549-1)),"n.a."))</f>
        <v>0</v>
      </c>
      <c r="I549" s="16">
        <f>IF(NOT(Paths!$C$56=1),0,IF(Paths!$P$56="Complete",IF(IF(Paths!$E$56=0,C549=0,AND(C549&gt;0,Paths!$E$56&gt;(C549-1)*12,Paths!$E$56&lt;=C549*12)),Paths!$G$56,0),"n.a."))</f>
        <v>0</v>
      </c>
      <c r="J549" s="16">
        <f>IF(NOT(Paths!$C$56=1),0,IF(Paths!$P$56="Complete",IF(IF(Paths!$E$56=0,C549=0,AND(C549&gt;0,Paths!$E$56&gt;(C549-1)*12,Paths!$E$56&lt;=C549*12)),Paths!$H$56,0),"n.a."))</f>
        <v>0</v>
      </c>
      <c r="K549" s="16">
        <f>IF(NOT(Paths!$C$56=1),0,IF(Paths!$P$56="Complete",IF(IF(Paths!$O$56=0,C549=0,AND(C549&gt;0,Paths!$O$56&gt;(C549-1)*12,Paths!$O$56&lt;=C549*12)),Paths!$N$56,0),"n.a."))</f>
        <v>0</v>
      </c>
      <c r="L549" s="16">
        <f>IF(NOT(Paths!$C$56=1),0,IF(Paths!$P$56="Complete",IF(C549=10,Paths!$I$56,0),"n.a."))</f>
        <v>0</v>
      </c>
      <c r="M549" s="16">
        <f>IF(NOT(Paths!$C$56=1),0,IF(Paths!$P$56="Complete",IF(AND(Paths!$D$56="EV",Paths!$E$56&lt;120,Paths!$E$56+'Operating costs'!$B$65&gt;Paths!$E$56,Paths!$E$56+'Operating costs'!$B$65&lt;=120,IF(Paths!$E$56+'Operating costs'!$B$65=0,C549=0,AND(C549&gt;0,Paths!$E$56+'Operating costs'!$B$65&gt;(C549-1)*12,Paths!$E$56+'Operating costs'!$B$65&lt;=C549*12))),'Operating costs'!$B$64,0)+IF(AND('Operating costs'!$B$67&gt;0,'Operating costs'!$B$67&lt;=120,OR(Paths!$D$56="ICE",'Operating costs'!$B$67&lt;=Paths!$E$56),IF('Operating costs'!$B$67=0,C549=0,AND(C549&gt;0,'Operating costs'!$B$67&gt;(C549-1)*12,'Operating costs'!$B$67&lt;=C549*12))),'Operating costs'!$B$66,0),"n.a."))</f>
        <v>0</v>
      </c>
      <c r="N549" s="16">
        <f>IF(NOT(Paths!$C$56=1),0,IF(Paths!$P$56="Complete",SUM(G549:I549)-J549-K549-L549+M549+IF(C549=0,Paths!$F$56,0)+IF(IF(Paths!$E$56=0,C549=0,AND(C549&gt;0,Paths!$E$56&gt;(C549-1)*12,Paths!$E$56&lt;=C549*12)),VLOOKUP(A549,'Fleet register'!$A$7:$S$106,16,FALSE),0),"n.a."))</f>
        <v>0</v>
      </c>
      <c r="O549" s="16">
        <f>IF(NOT(Paths!$C$56=1),0,IF(Paths!$P$56="Complete",N549-IF(C549=0,Paths!$F$56,0),"n.a."))</f>
        <v>0</v>
      </c>
      <c r="P549" s="16">
        <f>IF(NOT(Paths!$C$56=1),0,IF(Paths!$P$56="Complete",O549+L549,"n.a."))</f>
        <v>0</v>
      </c>
      <c r="Q549" s="16">
        <f>IF(NOT(Paths!$C$56=1),0,IF(Paths!$P$56="Complete",N549*(1+'Operating costs'!$B$54)^-C549,"n.a."))</f>
        <v>0</v>
      </c>
      <c r="R549" s="16">
        <f>IF(NOT(Paths!$C$56=1),0,IF(Paths!$P$56="Complete",IF(AND(C549=0,Paths!$E$56=0),I549-J549-K549+VLOOKUP(A549,'Fleet register'!$A$7:$S$106,15,FALSE)+VLOOKUP(A549,'Fleet register'!$A$7:$S$106,16,FALSE),0),"n.a."))</f>
        <v>0</v>
      </c>
      <c r="S549" s="1">
        <f>IF(NOT(Paths!$C$56=1),0,IF(Paths!$P$56="Complete",IF(C549=0,0,Paths!$S$56*Paths!$R$56),"n.a."))</f>
        <v>0</v>
      </c>
      <c r="T549" s="1">
        <f>IF(NOT(Paths!$C$56=1),0,IF(Paths!$P$56="Complete",IF(C549=0,0,VLOOKUP(A549,'Fleet register'!$A$7:$S$106,9,FALSE)*Paths!$R$56),"n.a."))</f>
        <v>0</v>
      </c>
    </row>
    <row r="550" spans="1:20" ht="24" customHeight="1">
      <c r="A550" s="1" t="str">
        <f>Paths!$A$56</f>
        <v>T013</v>
      </c>
      <c r="B550" s="1">
        <f>Paths!$B$56</f>
        <v>1</v>
      </c>
      <c r="C550" s="1">
        <v>4</v>
      </c>
      <c r="D550" s="1">
        <v>56</v>
      </c>
      <c r="E550" s="1">
        <f>IF(OR(Paths!$C$56=0,C550=0),0,MAX(0,MIN(C550*12,Paths!$E$56)-(C550-1)*12))</f>
        <v>0</v>
      </c>
      <c r="F550" s="1">
        <f>IF(OR(Paths!$C$56=0,C550=0),0,12-E550)</f>
        <v>0</v>
      </c>
      <c r="G550" s="16">
        <f>IF(NOT(Paths!$C$56=1),0,IF(Paths!$P$56="Complete",E550/12*(Paths!$J$56*(1+'Operating costs'!$B$51)^MAX(0,C550-1)+Paths!$K$56*(1+'Operating costs'!$B$53)^MAX(0,C550-1)),"n.a."))</f>
        <v>0</v>
      </c>
      <c r="H550" s="16">
        <f>IF(NOT(Paths!$C$56=1),0,IF(Paths!$P$56="Complete",F550/12*(Paths!$L$56*(1+IF(Paths!$D$56="EV",'Operating costs'!$B$52,'Operating costs'!$B$51))^MAX(0,C550-1)+Paths!$M$56*(1+'Operating costs'!$B$53)^MAX(0,C550-1)),"n.a."))</f>
        <v>0</v>
      </c>
      <c r="I550" s="16">
        <f>IF(NOT(Paths!$C$56=1),0,IF(Paths!$P$56="Complete",IF(IF(Paths!$E$56=0,C550=0,AND(C550&gt;0,Paths!$E$56&gt;(C550-1)*12,Paths!$E$56&lt;=C550*12)),Paths!$G$56,0),"n.a."))</f>
        <v>0</v>
      </c>
      <c r="J550" s="16">
        <f>IF(NOT(Paths!$C$56=1),0,IF(Paths!$P$56="Complete",IF(IF(Paths!$E$56=0,C550=0,AND(C550&gt;0,Paths!$E$56&gt;(C550-1)*12,Paths!$E$56&lt;=C550*12)),Paths!$H$56,0),"n.a."))</f>
        <v>0</v>
      </c>
      <c r="K550" s="16">
        <f>IF(NOT(Paths!$C$56=1),0,IF(Paths!$P$56="Complete",IF(IF(Paths!$O$56=0,C550=0,AND(C550&gt;0,Paths!$O$56&gt;(C550-1)*12,Paths!$O$56&lt;=C550*12)),Paths!$N$56,0),"n.a."))</f>
        <v>0</v>
      </c>
      <c r="L550" s="16">
        <f>IF(NOT(Paths!$C$56=1),0,IF(Paths!$P$56="Complete",IF(C550=10,Paths!$I$56,0),"n.a."))</f>
        <v>0</v>
      </c>
      <c r="M550" s="16">
        <f>IF(NOT(Paths!$C$56=1),0,IF(Paths!$P$56="Complete",IF(AND(Paths!$D$56="EV",Paths!$E$56&lt;120,Paths!$E$56+'Operating costs'!$B$65&gt;Paths!$E$56,Paths!$E$56+'Operating costs'!$B$65&lt;=120,IF(Paths!$E$56+'Operating costs'!$B$65=0,C550=0,AND(C550&gt;0,Paths!$E$56+'Operating costs'!$B$65&gt;(C550-1)*12,Paths!$E$56+'Operating costs'!$B$65&lt;=C550*12))),'Operating costs'!$B$64,0)+IF(AND('Operating costs'!$B$67&gt;0,'Operating costs'!$B$67&lt;=120,OR(Paths!$D$56="ICE",'Operating costs'!$B$67&lt;=Paths!$E$56),IF('Operating costs'!$B$67=0,C550=0,AND(C550&gt;0,'Operating costs'!$B$67&gt;(C550-1)*12,'Operating costs'!$B$67&lt;=C550*12))),'Operating costs'!$B$66,0),"n.a."))</f>
        <v>0</v>
      </c>
      <c r="N550" s="16">
        <f>IF(NOT(Paths!$C$56=1),0,IF(Paths!$P$56="Complete",SUM(G550:I550)-J550-K550-L550+M550+IF(C550=0,Paths!$F$56,0)+IF(IF(Paths!$E$56=0,C550=0,AND(C550&gt;0,Paths!$E$56&gt;(C550-1)*12,Paths!$E$56&lt;=C550*12)),VLOOKUP(A550,'Fleet register'!$A$7:$S$106,16,FALSE),0),"n.a."))</f>
        <v>0</v>
      </c>
      <c r="O550" s="16">
        <f>IF(NOT(Paths!$C$56=1),0,IF(Paths!$P$56="Complete",N550-IF(C550=0,Paths!$F$56,0),"n.a."))</f>
        <v>0</v>
      </c>
      <c r="P550" s="16">
        <f>IF(NOT(Paths!$C$56=1),0,IF(Paths!$P$56="Complete",O550+L550,"n.a."))</f>
        <v>0</v>
      </c>
      <c r="Q550" s="16">
        <f>IF(NOT(Paths!$C$56=1),0,IF(Paths!$P$56="Complete",N550*(1+'Operating costs'!$B$54)^-C550,"n.a."))</f>
        <v>0</v>
      </c>
      <c r="R550" s="16">
        <f>IF(NOT(Paths!$C$56=1),0,IF(Paths!$P$56="Complete",IF(AND(C550=0,Paths!$E$56=0),I550-J550-K550+VLOOKUP(A550,'Fleet register'!$A$7:$S$106,15,FALSE)+VLOOKUP(A550,'Fleet register'!$A$7:$S$106,16,FALSE),0),"n.a."))</f>
        <v>0</v>
      </c>
      <c r="S550" s="1">
        <f>IF(NOT(Paths!$C$56=1),0,IF(Paths!$P$56="Complete",IF(C550=0,0,Paths!$S$56*Paths!$R$56),"n.a."))</f>
        <v>0</v>
      </c>
      <c r="T550" s="1">
        <f>IF(NOT(Paths!$C$56=1),0,IF(Paths!$P$56="Complete",IF(C550=0,0,VLOOKUP(A550,'Fleet register'!$A$7:$S$106,9,FALSE)*Paths!$R$56),"n.a."))</f>
        <v>0</v>
      </c>
    </row>
    <row r="551" spans="1:20" ht="24" customHeight="1">
      <c r="A551" s="1" t="str">
        <f>Paths!$A$56</f>
        <v>T013</v>
      </c>
      <c r="B551" s="1">
        <f>Paths!$B$56</f>
        <v>1</v>
      </c>
      <c r="C551" s="1">
        <v>5</v>
      </c>
      <c r="D551" s="1">
        <v>56</v>
      </c>
      <c r="E551" s="1">
        <f>IF(OR(Paths!$C$56=0,C551=0),0,MAX(0,MIN(C551*12,Paths!$E$56)-(C551-1)*12))</f>
        <v>0</v>
      </c>
      <c r="F551" s="1">
        <f>IF(OR(Paths!$C$56=0,C551=0),0,12-E551)</f>
        <v>0</v>
      </c>
      <c r="G551" s="16">
        <f>IF(NOT(Paths!$C$56=1),0,IF(Paths!$P$56="Complete",E551/12*(Paths!$J$56*(1+'Operating costs'!$B$51)^MAX(0,C551-1)+Paths!$K$56*(1+'Operating costs'!$B$53)^MAX(0,C551-1)),"n.a."))</f>
        <v>0</v>
      </c>
      <c r="H551" s="16">
        <f>IF(NOT(Paths!$C$56=1),0,IF(Paths!$P$56="Complete",F551/12*(Paths!$L$56*(1+IF(Paths!$D$56="EV",'Operating costs'!$B$52,'Operating costs'!$B$51))^MAX(0,C551-1)+Paths!$M$56*(1+'Operating costs'!$B$53)^MAX(0,C551-1)),"n.a."))</f>
        <v>0</v>
      </c>
      <c r="I551" s="16">
        <f>IF(NOT(Paths!$C$56=1),0,IF(Paths!$P$56="Complete",IF(IF(Paths!$E$56=0,C551=0,AND(C551&gt;0,Paths!$E$56&gt;(C551-1)*12,Paths!$E$56&lt;=C551*12)),Paths!$G$56,0),"n.a."))</f>
        <v>0</v>
      </c>
      <c r="J551" s="16">
        <f>IF(NOT(Paths!$C$56=1),0,IF(Paths!$P$56="Complete",IF(IF(Paths!$E$56=0,C551=0,AND(C551&gt;0,Paths!$E$56&gt;(C551-1)*12,Paths!$E$56&lt;=C551*12)),Paths!$H$56,0),"n.a."))</f>
        <v>0</v>
      </c>
      <c r="K551" s="16">
        <f>IF(NOT(Paths!$C$56=1),0,IF(Paths!$P$56="Complete",IF(IF(Paths!$O$56=0,C551=0,AND(C551&gt;0,Paths!$O$56&gt;(C551-1)*12,Paths!$O$56&lt;=C551*12)),Paths!$N$56,0),"n.a."))</f>
        <v>0</v>
      </c>
      <c r="L551" s="16">
        <f>IF(NOT(Paths!$C$56=1),0,IF(Paths!$P$56="Complete",IF(C551=10,Paths!$I$56,0),"n.a."))</f>
        <v>0</v>
      </c>
      <c r="M551" s="16">
        <f>IF(NOT(Paths!$C$56=1),0,IF(Paths!$P$56="Complete",IF(AND(Paths!$D$56="EV",Paths!$E$56&lt;120,Paths!$E$56+'Operating costs'!$B$65&gt;Paths!$E$56,Paths!$E$56+'Operating costs'!$B$65&lt;=120,IF(Paths!$E$56+'Operating costs'!$B$65=0,C551=0,AND(C551&gt;0,Paths!$E$56+'Operating costs'!$B$65&gt;(C551-1)*12,Paths!$E$56+'Operating costs'!$B$65&lt;=C551*12))),'Operating costs'!$B$64,0)+IF(AND('Operating costs'!$B$67&gt;0,'Operating costs'!$B$67&lt;=120,OR(Paths!$D$56="ICE",'Operating costs'!$B$67&lt;=Paths!$E$56),IF('Operating costs'!$B$67=0,C551=0,AND(C551&gt;0,'Operating costs'!$B$67&gt;(C551-1)*12,'Operating costs'!$B$67&lt;=C551*12))),'Operating costs'!$B$66,0),"n.a."))</f>
        <v>0</v>
      </c>
      <c r="N551" s="16">
        <f>IF(NOT(Paths!$C$56=1),0,IF(Paths!$P$56="Complete",SUM(G551:I551)-J551-K551-L551+M551+IF(C551=0,Paths!$F$56,0)+IF(IF(Paths!$E$56=0,C551=0,AND(C551&gt;0,Paths!$E$56&gt;(C551-1)*12,Paths!$E$56&lt;=C551*12)),VLOOKUP(A551,'Fleet register'!$A$7:$S$106,16,FALSE),0),"n.a."))</f>
        <v>0</v>
      </c>
      <c r="O551" s="16">
        <f>IF(NOT(Paths!$C$56=1),0,IF(Paths!$P$56="Complete",N551-IF(C551=0,Paths!$F$56,0),"n.a."))</f>
        <v>0</v>
      </c>
      <c r="P551" s="16">
        <f>IF(NOT(Paths!$C$56=1),0,IF(Paths!$P$56="Complete",O551+L551,"n.a."))</f>
        <v>0</v>
      </c>
      <c r="Q551" s="16">
        <f>IF(NOT(Paths!$C$56=1),0,IF(Paths!$P$56="Complete",N551*(1+'Operating costs'!$B$54)^-C551,"n.a."))</f>
        <v>0</v>
      </c>
      <c r="R551" s="16">
        <f>IF(NOT(Paths!$C$56=1),0,IF(Paths!$P$56="Complete",IF(AND(C551=0,Paths!$E$56=0),I551-J551-K551+VLOOKUP(A551,'Fleet register'!$A$7:$S$106,15,FALSE)+VLOOKUP(A551,'Fleet register'!$A$7:$S$106,16,FALSE),0),"n.a."))</f>
        <v>0</v>
      </c>
      <c r="S551" s="1">
        <f>IF(NOT(Paths!$C$56=1),0,IF(Paths!$P$56="Complete",IF(C551=0,0,Paths!$S$56*Paths!$R$56),"n.a."))</f>
        <v>0</v>
      </c>
      <c r="T551" s="1">
        <f>IF(NOT(Paths!$C$56=1),0,IF(Paths!$P$56="Complete",IF(C551=0,0,VLOOKUP(A551,'Fleet register'!$A$7:$S$106,9,FALSE)*Paths!$R$56),"n.a."))</f>
        <v>0</v>
      </c>
    </row>
    <row r="552" spans="1:20" ht="24" customHeight="1">
      <c r="A552" s="1" t="str">
        <f>Paths!$A$56</f>
        <v>T013</v>
      </c>
      <c r="B552" s="1">
        <f>Paths!$B$56</f>
        <v>1</v>
      </c>
      <c r="C552" s="1">
        <v>6</v>
      </c>
      <c r="D552" s="1">
        <v>56</v>
      </c>
      <c r="E552" s="1">
        <f>IF(OR(Paths!$C$56=0,C552=0),0,MAX(0,MIN(C552*12,Paths!$E$56)-(C552-1)*12))</f>
        <v>0</v>
      </c>
      <c r="F552" s="1">
        <f>IF(OR(Paths!$C$56=0,C552=0),0,12-E552)</f>
        <v>0</v>
      </c>
      <c r="G552" s="16">
        <f>IF(NOT(Paths!$C$56=1),0,IF(Paths!$P$56="Complete",E552/12*(Paths!$J$56*(1+'Operating costs'!$B$51)^MAX(0,C552-1)+Paths!$K$56*(1+'Operating costs'!$B$53)^MAX(0,C552-1)),"n.a."))</f>
        <v>0</v>
      </c>
      <c r="H552" s="16">
        <f>IF(NOT(Paths!$C$56=1),0,IF(Paths!$P$56="Complete",F552/12*(Paths!$L$56*(1+IF(Paths!$D$56="EV",'Operating costs'!$B$52,'Operating costs'!$B$51))^MAX(0,C552-1)+Paths!$M$56*(1+'Operating costs'!$B$53)^MAX(0,C552-1)),"n.a."))</f>
        <v>0</v>
      </c>
      <c r="I552" s="16">
        <f>IF(NOT(Paths!$C$56=1),0,IF(Paths!$P$56="Complete",IF(IF(Paths!$E$56=0,C552=0,AND(C552&gt;0,Paths!$E$56&gt;(C552-1)*12,Paths!$E$56&lt;=C552*12)),Paths!$G$56,0),"n.a."))</f>
        <v>0</v>
      </c>
      <c r="J552" s="16">
        <f>IF(NOT(Paths!$C$56=1),0,IF(Paths!$P$56="Complete",IF(IF(Paths!$E$56=0,C552=0,AND(C552&gt;0,Paths!$E$56&gt;(C552-1)*12,Paths!$E$56&lt;=C552*12)),Paths!$H$56,0),"n.a."))</f>
        <v>0</v>
      </c>
      <c r="K552" s="16">
        <f>IF(NOT(Paths!$C$56=1),0,IF(Paths!$P$56="Complete",IF(IF(Paths!$O$56=0,C552=0,AND(C552&gt;0,Paths!$O$56&gt;(C552-1)*12,Paths!$O$56&lt;=C552*12)),Paths!$N$56,0),"n.a."))</f>
        <v>0</v>
      </c>
      <c r="L552" s="16">
        <f>IF(NOT(Paths!$C$56=1),0,IF(Paths!$P$56="Complete",IF(C552=10,Paths!$I$56,0),"n.a."))</f>
        <v>0</v>
      </c>
      <c r="M552" s="16">
        <f>IF(NOT(Paths!$C$56=1),0,IF(Paths!$P$56="Complete",IF(AND(Paths!$D$56="EV",Paths!$E$56&lt;120,Paths!$E$56+'Operating costs'!$B$65&gt;Paths!$E$56,Paths!$E$56+'Operating costs'!$B$65&lt;=120,IF(Paths!$E$56+'Operating costs'!$B$65=0,C552=0,AND(C552&gt;0,Paths!$E$56+'Operating costs'!$B$65&gt;(C552-1)*12,Paths!$E$56+'Operating costs'!$B$65&lt;=C552*12))),'Operating costs'!$B$64,0)+IF(AND('Operating costs'!$B$67&gt;0,'Operating costs'!$B$67&lt;=120,OR(Paths!$D$56="ICE",'Operating costs'!$B$67&lt;=Paths!$E$56),IF('Operating costs'!$B$67=0,C552=0,AND(C552&gt;0,'Operating costs'!$B$67&gt;(C552-1)*12,'Operating costs'!$B$67&lt;=C552*12))),'Operating costs'!$B$66,0),"n.a."))</f>
        <v>0</v>
      </c>
      <c r="N552" s="16">
        <f>IF(NOT(Paths!$C$56=1),0,IF(Paths!$P$56="Complete",SUM(G552:I552)-J552-K552-L552+M552+IF(C552=0,Paths!$F$56,0)+IF(IF(Paths!$E$56=0,C552=0,AND(C552&gt;0,Paths!$E$56&gt;(C552-1)*12,Paths!$E$56&lt;=C552*12)),VLOOKUP(A552,'Fleet register'!$A$7:$S$106,16,FALSE),0),"n.a."))</f>
        <v>0</v>
      </c>
      <c r="O552" s="16">
        <f>IF(NOT(Paths!$C$56=1),0,IF(Paths!$P$56="Complete",N552-IF(C552=0,Paths!$F$56,0),"n.a."))</f>
        <v>0</v>
      </c>
      <c r="P552" s="16">
        <f>IF(NOT(Paths!$C$56=1),0,IF(Paths!$P$56="Complete",O552+L552,"n.a."))</f>
        <v>0</v>
      </c>
      <c r="Q552" s="16">
        <f>IF(NOT(Paths!$C$56=1),0,IF(Paths!$P$56="Complete",N552*(1+'Operating costs'!$B$54)^-C552,"n.a."))</f>
        <v>0</v>
      </c>
      <c r="R552" s="16">
        <f>IF(NOT(Paths!$C$56=1),0,IF(Paths!$P$56="Complete",IF(AND(C552=0,Paths!$E$56=0),I552-J552-K552+VLOOKUP(A552,'Fleet register'!$A$7:$S$106,15,FALSE)+VLOOKUP(A552,'Fleet register'!$A$7:$S$106,16,FALSE),0),"n.a."))</f>
        <v>0</v>
      </c>
      <c r="S552" s="1">
        <f>IF(NOT(Paths!$C$56=1),0,IF(Paths!$P$56="Complete",IF(C552=0,0,Paths!$S$56*Paths!$R$56),"n.a."))</f>
        <v>0</v>
      </c>
      <c r="T552" s="1">
        <f>IF(NOT(Paths!$C$56=1),0,IF(Paths!$P$56="Complete",IF(C552=0,0,VLOOKUP(A552,'Fleet register'!$A$7:$S$106,9,FALSE)*Paths!$R$56),"n.a."))</f>
        <v>0</v>
      </c>
    </row>
    <row r="553" spans="1:20" ht="24" customHeight="1">
      <c r="A553" s="1" t="str">
        <f>Paths!$A$56</f>
        <v>T013</v>
      </c>
      <c r="B553" s="1">
        <f>Paths!$B$56</f>
        <v>1</v>
      </c>
      <c r="C553" s="1">
        <v>7</v>
      </c>
      <c r="D553" s="1">
        <v>56</v>
      </c>
      <c r="E553" s="1">
        <f>IF(OR(Paths!$C$56=0,C553=0),0,MAX(0,MIN(C553*12,Paths!$E$56)-(C553-1)*12))</f>
        <v>0</v>
      </c>
      <c r="F553" s="1">
        <f>IF(OR(Paths!$C$56=0,C553=0),0,12-E553)</f>
        <v>0</v>
      </c>
      <c r="G553" s="16">
        <f>IF(NOT(Paths!$C$56=1),0,IF(Paths!$P$56="Complete",E553/12*(Paths!$J$56*(1+'Operating costs'!$B$51)^MAX(0,C553-1)+Paths!$K$56*(1+'Operating costs'!$B$53)^MAX(0,C553-1)),"n.a."))</f>
        <v>0</v>
      </c>
      <c r="H553" s="16">
        <f>IF(NOT(Paths!$C$56=1),0,IF(Paths!$P$56="Complete",F553/12*(Paths!$L$56*(1+IF(Paths!$D$56="EV",'Operating costs'!$B$52,'Operating costs'!$B$51))^MAX(0,C553-1)+Paths!$M$56*(1+'Operating costs'!$B$53)^MAX(0,C553-1)),"n.a."))</f>
        <v>0</v>
      </c>
      <c r="I553" s="16">
        <f>IF(NOT(Paths!$C$56=1),0,IF(Paths!$P$56="Complete",IF(IF(Paths!$E$56=0,C553=0,AND(C553&gt;0,Paths!$E$56&gt;(C553-1)*12,Paths!$E$56&lt;=C553*12)),Paths!$G$56,0),"n.a."))</f>
        <v>0</v>
      </c>
      <c r="J553" s="16">
        <f>IF(NOT(Paths!$C$56=1),0,IF(Paths!$P$56="Complete",IF(IF(Paths!$E$56=0,C553=0,AND(C553&gt;0,Paths!$E$56&gt;(C553-1)*12,Paths!$E$56&lt;=C553*12)),Paths!$H$56,0),"n.a."))</f>
        <v>0</v>
      </c>
      <c r="K553" s="16">
        <f>IF(NOT(Paths!$C$56=1),0,IF(Paths!$P$56="Complete",IF(IF(Paths!$O$56=0,C553=0,AND(C553&gt;0,Paths!$O$56&gt;(C553-1)*12,Paths!$O$56&lt;=C553*12)),Paths!$N$56,0),"n.a."))</f>
        <v>0</v>
      </c>
      <c r="L553" s="16">
        <f>IF(NOT(Paths!$C$56=1),0,IF(Paths!$P$56="Complete",IF(C553=10,Paths!$I$56,0),"n.a."))</f>
        <v>0</v>
      </c>
      <c r="M553" s="16">
        <f>IF(NOT(Paths!$C$56=1),0,IF(Paths!$P$56="Complete",IF(AND(Paths!$D$56="EV",Paths!$E$56&lt;120,Paths!$E$56+'Operating costs'!$B$65&gt;Paths!$E$56,Paths!$E$56+'Operating costs'!$B$65&lt;=120,IF(Paths!$E$56+'Operating costs'!$B$65=0,C553=0,AND(C553&gt;0,Paths!$E$56+'Operating costs'!$B$65&gt;(C553-1)*12,Paths!$E$56+'Operating costs'!$B$65&lt;=C553*12))),'Operating costs'!$B$64,0)+IF(AND('Operating costs'!$B$67&gt;0,'Operating costs'!$B$67&lt;=120,OR(Paths!$D$56="ICE",'Operating costs'!$B$67&lt;=Paths!$E$56),IF('Operating costs'!$B$67=0,C553=0,AND(C553&gt;0,'Operating costs'!$B$67&gt;(C553-1)*12,'Operating costs'!$B$67&lt;=C553*12))),'Operating costs'!$B$66,0),"n.a."))</f>
        <v>0</v>
      </c>
      <c r="N553" s="16">
        <f>IF(NOT(Paths!$C$56=1),0,IF(Paths!$P$56="Complete",SUM(G553:I553)-J553-K553-L553+M553+IF(C553=0,Paths!$F$56,0)+IF(IF(Paths!$E$56=0,C553=0,AND(C553&gt;0,Paths!$E$56&gt;(C553-1)*12,Paths!$E$56&lt;=C553*12)),VLOOKUP(A553,'Fleet register'!$A$7:$S$106,16,FALSE),0),"n.a."))</f>
        <v>0</v>
      </c>
      <c r="O553" s="16">
        <f>IF(NOT(Paths!$C$56=1),0,IF(Paths!$P$56="Complete",N553-IF(C553=0,Paths!$F$56,0),"n.a."))</f>
        <v>0</v>
      </c>
      <c r="P553" s="16">
        <f>IF(NOT(Paths!$C$56=1),0,IF(Paths!$P$56="Complete",O553+L553,"n.a."))</f>
        <v>0</v>
      </c>
      <c r="Q553" s="16">
        <f>IF(NOT(Paths!$C$56=1),0,IF(Paths!$P$56="Complete",N553*(1+'Operating costs'!$B$54)^-C553,"n.a."))</f>
        <v>0</v>
      </c>
      <c r="R553" s="16">
        <f>IF(NOT(Paths!$C$56=1),0,IF(Paths!$P$56="Complete",IF(AND(C553=0,Paths!$E$56=0),I553-J553-K553+VLOOKUP(A553,'Fleet register'!$A$7:$S$106,15,FALSE)+VLOOKUP(A553,'Fleet register'!$A$7:$S$106,16,FALSE),0),"n.a."))</f>
        <v>0</v>
      </c>
      <c r="S553" s="1">
        <f>IF(NOT(Paths!$C$56=1),0,IF(Paths!$P$56="Complete",IF(C553=0,0,Paths!$S$56*Paths!$R$56),"n.a."))</f>
        <v>0</v>
      </c>
      <c r="T553" s="1">
        <f>IF(NOT(Paths!$C$56=1),0,IF(Paths!$P$56="Complete",IF(C553=0,0,VLOOKUP(A553,'Fleet register'!$A$7:$S$106,9,FALSE)*Paths!$R$56),"n.a."))</f>
        <v>0</v>
      </c>
    </row>
    <row r="554" spans="1:20" ht="24" customHeight="1">
      <c r="A554" s="1" t="str">
        <f>Paths!$A$56</f>
        <v>T013</v>
      </c>
      <c r="B554" s="1">
        <f>Paths!$B$56</f>
        <v>1</v>
      </c>
      <c r="C554" s="1">
        <v>8</v>
      </c>
      <c r="D554" s="1">
        <v>56</v>
      </c>
      <c r="E554" s="1">
        <f>IF(OR(Paths!$C$56=0,C554=0),0,MAX(0,MIN(C554*12,Paths!$E$56)-(C554-1)*12))</f>
        <v>0</v>
      </c>
      <c r="F554" s="1">
        <f>IF(OR(Paths!$C$56=0,C554=0),0,12-E554)</f>
        <v>0</v>
      </c>
      <c r="G554" s="16">
        <f>IF(NOT(Paths!$C$56=1),0,IF(Paths!$P$56="Complete",E554/12*(Paths!$J$56*(1+'Operating costs'!$B$51)^MAX(0,C554-1)+Paths!$K$56*(1+'Operating costs'!$B$53)^MAX(0,C554-1)),"n.a."))</f>
        <v>0</v>
      </c>
      <c r="H554" s="16">
        <f>IF(NOT(Paths!$C$56=1),0,IF(Paths!$P$56="Complete",F554/12*(Paths!$L$56*(1+IF(Paths!$D$56="EV",'Operating costs'!$B$52,'Operating costs'!$B$51))^MAX(0,C554-1)+Paths!$M$56*(1+'Operating costs'!$B$53)^MAX(0,C554-1)),"n.a."))</f>
        <v>0</v>
      </c>
      <c r="I554" s="16">
        <f>IF(NOT(Paths!$C$56=1),0,IF(Paths!$P$56="Complete",IF(IF(Paths!$E$56=0,C554=0,AND(C554&gt;0,Paths!$E$56&gt;(C554-1)*12,Paths!$E$56&lt;=C554*12)),Paths!$G$56,0),"n.a."))</f>
        <v>0</v>
      </c>
      <c r="J554" s="16">
        <f>IF(NOT(Paths!$C$56=1),0,IF(Paths!$P$56="Complete",IF(IF(Paths!$E$56=0,C554=0,AND(C554&gt;0,Paths!$E$56&gt;(C554-1)*12,Paths!$E$56&lt;=C554*12)),Paths!$H$56,0),"n.a."))</f>
        <v>0</v>
      </c>
      <c r="K554" s="16">
        <f>IF(NOT(Paths!$C$56=1),0,IF(Paths!$P$56="Complete",IF(IF(Paths!$O$56=0,C554=0,AND(C554&gt;0,Paths!$O$56&gt;(C554-1)*12,Paths!$O$56&lt;=C554*12)),Paths!$N$56,0),"n.a."))</f>
        <v>0</v>
      </c>
      <c r="L554" s="16">
        <f>IF(NOT(Paths!$C$56=1),0,IF(Paths!$P$56="Complete",IF(C554=10,Paths!$I$56,0),"n.a."))</f>
        <v>0</v>
      </c>
      <c r="M554" s="16">
        <f>IF(NOT(Paths!$C$56=1),0,IF(Paths!$P$56="Complete",IF(AND(Paths!$D$56="EV",Paths!$E$56&lt;120,Paths!$E$56+'Operating costs'!$B$65&gt;Paths!$E$56,Paths!$E$56+'Operating costs'!$B$65&lt;=120,IF(Paths!$E$56+'Operating costs'!$B$65=0,C554=0,AND(C554&gt;0,Paths!$E$56+'Operating costs'!$B$65&gt;(C554-1)*12,Paths!$E$56+'Operating costs'!$B$65&lt;=C554*12))),'Operating costs'!$B$64,0)+IF(AND('Operating costs'!$B$67&gt;0,'Operating costs'!$B$67&lt;=120,OR(Paths!$D$56="ICE",'Operating costs'!$B$67&lt;=Paths!$E$56),IF('Operating costs'!$B$67=0,C554=0,AND(C554&gt;0,'Operating costs'!$B$67&gt;(C554-1)*12,'Operating costs'!$B$67&lt;=C554*12))),'Operating costs'!$B$66,0),"n.a."))</f>
        <v>0</v>
      </c>
      <c r="N554" s="16">
        <f>IF(NOT(Paths!$C$56=1),0,IF(Paths!$P$56="Complete",SUM(G554:I554)-J554-K554-L554+M554+IF(C554=0,Paths!$F$56,0)+IF(IF(Paths!$E$56=0,C554=0,AND(C554&gt;0,Paths!$E$56&gt;(C554-1)*12,Paths!$E$56&lt;=C554*12)),VLOOKUP(A554,'Fleet register'!$A$7:$S$106,16,FALSE),0),"n.a."))</f>
        <v>0</v>
      </c>
      <c r="O554" s="16">
        <f>IF(NOT(Paths!$C$56=1),0,IF(Paths!$P$56="Complete",N554-IF(C554=0,Paths!$F$56,0),"n.a."))</f>
        <v>0</v>
      </c>
      <c r="P554" s="16">
        <f>IF(NOT(Paths!$C$56=1),0,IF(Paths!$P$56="Complete",O554+L554,"n.a."))</f>
        <v>0</v>
      </c>
      <c r="Q554" s="16">
        <f>IF(NOT(Paths!$C$56=1),0,IF(Paths!$P$56="Complete",N554*(1+'Operating costs'!$B$54)^-C554,"n.a."))</f>
        <v>0</v>
      </c>
      <c r="R554" s="16">
        <f>IF(NOT(Paths!$C$56=1),0,IF(Paths!$P$56="Complete",IF(AND(C554=0,Paths!$E$56=0),I554-J554-K554+VLOOKUP(A554,'Fleet register'!$A$7:$S$106,15,FALSE)+VLOOKUP(A554,'Fleet register'!$A$7:$S$106,16,FALSE),0),"n.a."))</f>
        <v>0</v>
      </c>
      <c r="S554" s="1">
        <f>IF(NOT(Paths!$C$56=1),0,IF(Paths!$P$56="Complete",IF(C554=0,0,Paths!$S$56*Paths!$R$56),"n.a."))</f>
        <v>0</v>
      </c>
      <c r="T554" s="1">
        <f>IF(NOT(Paths!$C$56=1),0,IF(Paths!$P$56="Complete",IF(C554=0,0,VLOOKUP(A554,'Fleet register'!$A$7:$S$106,9,FALSE)*Paths!$R$56),"n.a."))</f>
        <v>0</v>
      </c>
    </row>
    <row r="555" spans="1:20" ht="24" customHeight="1">
      <c r="A555" s="1" t="str">
        <f>Paths!$A$56</f>
        <v>T013</v>
      </c>
      <c r="B555" s="1">
        <f>Paths!$B$56</f>
        <v>1</v>
      </c>
      <c r="C555" s="1">
        <v>9</v>
      </c>
      <c r="D555" s="1">
        <v>56</v>
      </c>
      <c r="E555" s="1">
        <f>IF(OR(Paths!$C$56=0,C555=0),0,MAX(0,MIN(C555*12,Paths!$E$56)-(C555-1)*12))</f>
        <v>0</v>
      </c>
      <c r="F555" s="1">
        <f>IF(OR(Paths!$C$56=0,C555=0),0,12-E555)</f>
        <v>0</v>
      </c>
      <c r="G555" s="16">
        <f>IF(NOT(Paths!$C$56=1),0,IF(Paths!$P$56="Complete",E555/12*(Paths!$J$56*(1+'Operating costs'!$B$51)^MAX(0,C555-1)+Paths!$K$56*(1+'Operating costs'!$B$53)^MAX(0,C555-1)),"n.a."))</f>
        <v>0</v>
      </c>
      <c r="H555" s="16">
        <f>IF(NOT(Paths!$C$56=1),0,IF(Paths!$P$56="Complete",F555/12*(Paths!$L$56*(1+IF(Paths!$D$56="EV",'Operating costs'!$B$52,'Operating costs'!$B$51))^MAX(0,C555-1)+Paths!$M$56*(1+'Operating costs'!$B$53)^MAX(0,C555-1)),"n.a."))</f>
        <v>0</v>
      </c>
      <c r="I555" s="16">
        <f>IF(NOT(Paths!$C$56=1),0,IF(Paths!$P$56="Complete",IF(IF(Paths!$E$56=0,C555=0,AND(C555&gt;0,Paths!$E$56&gt;(C555-1)*12,Paths!$E$56&lt;=C555*12)),Paths!$G$56,0),"n.a."))</f>
        <v>0</v>
      </c>
      <c r="J555" s="16">
        <f>IF(NOT(Paths!$C$56=1),0,IF(Paths!$P$56="Complete",IF(IF(Paths!$E$56=0,C555=0,AND(C555&gt;0,Paths!$E$56&gt;(C555-1)*12,Paths!$E$56&lt;=C555*12)),Paths!$H$56,0),"n.a."))</f>
        <v>0</v>
      </c>
      <c r="K555" s="16">
        <f>IF(NOT(Paths!$C$56=1),0,IF(Paths!$P$56="Complete",IF(IF(Paths!$O$56=0,C555=0,AND(C555&gt;0,Paths!$O$56&gt;(C555-1)*12,Paths!$O$56&lt;=C555*12)),Paths!$N$56,0),"n.a."))</f>
        <v>0</v>
      </c>
      <c r="L555" s="16">
        <f>IF(NOT(Paths!$C$56=1),0,IF(Paths!$P$56="Complete",IF(C555=10,Paths!$I$56,0),"n.a."))</f>
        <v>0</v>
      </c>
      <c r="M555" s="16">
        <f>IF(NOT(Paths!$C$56=1),0,IF(Paths!$P$56="Complete",IF(AND(Paths!$D$56="EV",Paths!$E$56&lt;120,Paths!$E$56+'Operating costs'!$B$65&gt;Paths!$E$56,Paths!$E$56+'Operating costs'!$B$65&lt;=120,IF(Paths!$E$56+'Operating costs'!$B$65=0,C555=0,AND(C555&gt;0,Paths!$E$56+'Operating costs'!$B$65&gt;(C555-1)*12,Paths!$E$56+'Operating costs'!$B$65&lt;=C555*12))),'Operating costs'!$B$64,0)+IF(AND('Operating costs'!$B$67&gt;0,'Operating costs'!$B$67&lt;=120,OR(Paths!$D$56="ICE",'Operating costs'!$B$67&lt;=Paths!$E$56),IF('Operating costs'!$B$67=0,C555=0,AND(C555&gt;0,'Operating costs'!$B$67&gt;(C555-1)*12,'Operating costs'!$B$67&lt;=C555*12))),'Operating costs'!$B$66,0),"n.a."))</f>
        <v>0</v>
      </c>
      <c r="N555" s="16">
        <f>IF(NOT(Paths!$C$56=1),0,IF(Paths!$P$56="Complete",SUM(G555:I555)-J555-K555-L555+M555+IF(C555=0,Paths!$F$56,0)+IF(IF(Paths!$E$56=0,C555=0,AND(C555&gt;0,Paths!$E$56&gt;(C555-1)*12,Paths!$E$56&lt;=C555*12)),VLOOKUP(A555,'Fleet register'!$A$7:$S$106,16,FALSE),0),"n.a."))</f>
        <v>0</v>
      </c>
      <c r="O555" s="16">
        <f>IF(NOT(Paths!$C$56=1),0,IF(Paths!$P$56="Complete",N555-IF(C555=0,Paths!$F$56,0),"n.a."))</f>
        <v>0</v>
      </c>
      <c r="P555" s="16">
        <f>IF(NOT(Paths!$C$56=1),0,IF(Paths!$P$56="Complete",O555+L555,"n.a."))</f>
        <v>0</v>
      </c>
      <c r="Q555" s="16">
        <f>IF(NOT(Paths!$C$56=1),0,IF(Paths!$P$56="Complete",N555*(1+'Operating costs'!$B$54)^-C555,"n.a."))</f>
        <v>0</v>
      </c>
      <c r="R555" s="16">
        <f>IF(NOT(Paths!$C$56=1),0,IF(Paths!$P$56="Complete",IF(AND(C555=0,Paths!$E$56=0),I555-J555-K555+VLOOKUP(A555,'Fleet register'!$A$7:$S$106,15,FALSE)+VLOOKUP(A555,'Fleet register'!$A$7:$S$106,16,FALSE),0),"n.a."))</f>
        <v>0</v>
      </c>
      <c r="S555" s="1">
        <f>IF(NOT(Paths!$C$56=1),0,IF(Paths!$P$56="Complete",IF(C555=0,0,Paths!$S$56*Paths!$R$56),"n.a."))</f>
        <v>0</v>
      </c>
      <c r="T555" s="1">
        <f>IF(NOT(Paths!$C$56=1),0,IF(Paths!$P$56="Complete",IF(C555=0,0,VLOOKUP(A555,'Fleet register'!$A$7:$S$106,9,FALSE)*Paths!$R$56),"n.a."))</f>
        <v>0</v>
      </c>
    </row>
    <row r="556" spans="1:20" ht="24" customHeight="1">
      <c r="A556" s="1" t="str">
        <f>Paths!$A$56</f>
        <v>T013</v>
      </c>
      <c r="B556" s="1">
        <f>Paths!$B$56</f>
        <v>1</v>
      </c>
      <c r="C556" s="1">
        <v>10</v>
      </c>
      <c r="D556" s="1">
        <v>56</v>
      </c>
      <c r="E556" s="1">
        <f>IF(OR(Paths!$C$56=0,C556=0),0,MAX(0,MIN(C556*12,Paths!$E$56)-(C556-1)*12))</f>
        <v>0</v>
      </c>
      <c r="F556" s="1">
        <f>IF(OR(Paths!$C$56=0,C556=0),0,12-E556)</f>
        <v>0</v>
      </c>
      <c r="G556" s="16">
        <f>IF(NOT(Paths!$C$56=1),0,IF(Paths!$P$56="Complete",E556/12*(Paths!$J$56*(1+'Operating costs'!$B$51)^MAX(0,C556-1)+Paths!$K$56*(1+'Operating costs'!$B$53)^MAX(0,C556-1)),"n.a."))</f>
        <v>0</v>
      </c>
      <c r="H556" s="16">
        <f>IF(NOT(Paths!$C$56=1),0,IF(Paths!$P$56="Complete",F556/12*(Paths!$L$56*(1+IF(Paths!$D$56="EV",'Operating costs'!$B$52,'Operating costs'!$B$51))^MAX(0,C556-1)+Paths!$M$56*(1+'Operating costs'!$B$53)^MAX(0,C556-1)),"n.a."))</f>
        <v>0</v>
      </c>
      <c r="I556" s="16">
        <f>IF(NOT(Paths!$C$56=1),0,IF(Paths!$P$56="Complete",IF(IF(Paths!$E$56=0,C556=0,AND(C556&gt;0,Paths!$E$56&gt;(C556-1)*12,Paths!$E$56&lt;=C556*12)),Paths!$G$56,0),"n.a."))</f>
        <v>0</v>
      </c>
      <c r="J556" s="16">
        <f>IF(NOT(Paths!$C$56=1),0,IF(Paths!$P$56="Complete",IF(IF(Paths!$E$56=0,C556=0,AND(C556&gt;0,Paths!$E$56&gt;(C556-1)*12,Paths!$E$56&lt;=C556*12)),Paths!$H$56,0),"n.a."))</f>
        <v>0</v>
      </c>
      <c r="K556" s="16">
        <f>IF(NOT(Paths!$C$56=1),0,IF(Paths!$P$56="Complete",IF(IF(Paths!$O$56=0,C556=0,AND(C556&gt;0,Paths!$O$56&gt;(C556-1)*12,Paths!$O$56&lt;=C556*12)),Paths!$N$56,0),"n.a."))</f>
        <v>0</v>
      </c>
      <c r="L556" s="16">
        <f>IF(NOT(Paths!$C$56=1),0,IF(Paths!$P$56="Complete",IF(C556=10,Paths!$I$56,0),"n.a."))</f>
        <v>0</v>
      </c>
      <c r="M556" s="16">
        <f>IF(NOT(Paths!$C$56=1),0,IF(Paths!$P$56="Complete",IF(AND(Paths!$D$56="EV",Paths!$E$56&lt;120,Paths!$E$56+'Operating costs'!$B$65&gt;Paths!$E$56,Paths!$E$56+'Operating costs'!$B$65&lt;=120,IF(Paths!$E$56+'Operating costs'!$B$65=0,C556=0,AND(C556&gt;0,Paths!$E$56+'Operating costs'!$B$65&gt;(C556-1)*12,Paths!$E$56+'Operating costs'!$B$65&lt;=C556*12))),'Operating costs'!$B$64,0)+IF(AND('Operating costs'!$B$67&gt;0,'Operating costs'!$B$67&lt;=120,OR(Paths!$D$56="ICE",'Operating costs'!$B$67&lt;=Paths!$E$56),IF('Operating costs'!$B$67=0,C556=0,AND(C556&gt;0,'Operating costs'!$B$67&gt;(C556-1)*12,'Operating costs'!$B$67&lt;=C556*12))),'Operating costs'!$B$66,0),"n.a."))</f>
        <v>0</v>
      </c>
      <c r="N556" s="16">
        <f>IF(NOT(Paths!$C$56=1),0,IF(Paths!$P$56="Complete",SUM(G556:I556)-J556-K556-L556+M556+IF(C556=0,Paths!$F$56,0)+IF(IF(Paths!$E$56=0,C556=0,AND(C556&gt;0,Paths!$E$56&gt;(C556-1)*12,Paths!$E$56&lt;=C556*12)),VLOOKUP(A556,'Fleet register'!$A$7:$S$106,16,FALSE),0),"n.a."))</f>
        <v>0</v>
      </c>
      <c r="O556" s="16">
        <f>IF(NOT(Paths!$C$56=1),0,IF(Paths!$P$56="Complete",N556-IF(C556=0,Paths!$F$56,0),"n.a."))</f>
        <v>0</v>
      </c>
      <c r="P556" s="16">
        <f>IF(NOT(Paths!$C$56=1),0,IF(Paths!$P$56="Complete",O556+L556,"n.a."))</f>
        <v>0</v>
      </c>
      <c r="Q556" s="16">
        <f>IF(NOT(Paths!$C$56=1),0,IF(Paths!$P$56="Complete",N556*(1+'Operating costs'!$B$54)^-C556,"n.a."))</f>
        <v>0</v>
      </c>
      <c r="R556" s="16">
        <f>IF(NOT(Paths!$C$56=1),0,IF(Paths!$P$56="Complete",IF(AND(C556=0,Paths!$E$56=0),I556-J556-K556+VLOOKUP(A556,'Fleet register'!$A$7:$S$106,15,FALSE)+VLOOKUP(A556,'Fleet register'!$A$7:$S$106,16,FALSE),0),"n.a."))</f>
        <v>0</v>
      </c>
      <c r="S556" s="1">
        <f>IF(NOT(Paths!$C$56=1),0,IF(Paths!$P$56="Complete",IF(C556=0,0,Paths!$S$56*Paths!$R$56),"n.a."))</f>
        <v>0</v>
      </c>
      <c r="T556" s="1">
        <f>IF(NOT(Paths!$C$56=1),0,IF(Paths!$P$56="Complete",IF(C556=0,0,VLOOKUP(A556,'Fleet register'!$A$7:$S$106,9,FALSE)*Paths!$R$56),"n.a."))</f>
        <v>0</v>
      </c>
    </row>
    <row r="557" spans="1:20" ht="24" customHeight="1">
      <c r="A557" s="1" t="str">
        <f>Paths!$A$57</f>
        <v>T013</v>
      </c>
      <c r="B557" s="1">
        <f>Paths!$B$57</f>
        <v>2</v>
      </c>
      <c r="C557" s="1">
        <v>0</v>
      </c>
      <c r="D557" s="1">
        <v>57</v>
      </c>
      <c r="E557" s="1">
        <f>IF(OR(Paths!$C$57=0,C557=0),0,MAX(0,MIN(C557*12,Paths!$E$57)-(C557-1)*12))</f>
        <v>0</v>
      </c>
      <c r="F557" s="1">
        <f>IF(OR(Paths!$C$57=0,C557=0),0,12-E557)</f>
        <v>0</v>
      </c>
      <c r="G557" s="16">
        <f>IF(NOT(Paths!$C$57=1),0,IF(Paths!$P$57="Complete",E557/12*(Paths!$J$57*(1+'Operating costs'!$B$51)^MAX(0,C557-1)+Paths!$K$57*(1+'Operating costs'!$B$53)^MAX(0,C557-1)),"n.a."))</f>
        <v>0</v>
      </c>
      <c r="H557" s="16">
        <f>IF(NOT(Paths!$C$57=1),0,IF(Paths!$P$57="Complete",F557/12*(Paths!$L$57*(1+IF(Paths!$D$57="EV",'Operating costs'!$B$52,'Operating costs'!$B$51))^MAX(0,C557-1)+Paths!$M$57*(1+'Operating costs'!$B$53)^MAX(0,C557-1)),"n.a."))</f>
        <v>0</v>
      </c>
      <c r="I557" s="16">
        <f>IF(NOT(Paths!$C$57=1),0,IF(Paths!$P$57="Complete",IF(IF(Paths!$E$57=0,C557=0,AND(C557&gt;0,Paths!$E$57&gt;(C557-1)*12,Paths!$E$57&lt;=C557*12)),Paths!$G$57,0),"n.a."))</f>
        <v>0</v>
      </c>
      <c r="J557" s="16">
        <f>IF(NOT(Paths!$C$57=1),0,IF(Paths!$P$57="Complete",IF(IF(Paths!$E$57=0,C557=0,AND(C557&gt;0,Paths!$E$57&gt;(C557-1)*12,Paths!$E$57&lt;=C557*12)),Paths!$H$57,0),"n.a."))</f>
        <v>0</v>
      </c>
      <c r="K557" s="16">
        <f>IF(NOT(Paths!$C$57=1),0,IF(Paths!$P$57="Complete",IF(IF(Paths!$O$57=0,C557=0,AND(C557&gt;0,Paths!$O$57&gt;(C557-1)*12,Paths!$O$57&lt;=C557*12)),Paths!$N$57,0),"n.a."))</f>
        <v>0</v>
      </c>
      <c r="L557" s="16">
        <f>IF(NOT(Paths!$C$57=1),0,IF(Paths!$P$57="Complete",IF(C557=10,Paths!$I$57,0),"n.a."))</f>
        <v>0</v>
      </c>
      <c r="M557" s="16">
        <f>IF(NOT(Paths!$C$57=1),0,IF(Paths!$P$57="Complete",IF(AND(Paths!$D$57="EV",Paths!$E$57&lt;120,Paths!$E$57+'Operating costs'!$B$65&gt;Paths!$E$57,Paths!$E$57+'Operating costs'!$B$65&lt;=120,IF(Paths!$E$57+'Operating costs'!$B$65=0,C557=0,AND(C557&gt;0,Paths!$E$57+'Operating costs'!$B$65&gt;(C557-1)*12,Paths!$E$57+'Operating costs'!$B$65&lt;=C557*12))),'Operating costs'!$B$64,0)+IF(AND('Operating costs'!$B$67&gt;0,'Operating costs'!$B$67&lt;=120,OR(Paths!$D$57="ICE",'Operating costs'!$B$67&lt;=Paths!$E$57),IF('Operating costs'!$B$67=0,C557=0,AND(C557&gt;0,'Operating costs'!$B$67&gt;(C557-1)*12,'Operating costs'!$B$67&lt;=C557*12))),'Operating costs'!$B$66,0),"n.a."))</f>
        <v>0</v>
      </c>
      <c r="N557" s="16">
        <f>IF(NOT(Paths!$C$57=1),0,IF(Paths!$P$57="Complete",SUM(G557:I557)-J557-K557-L557+M557+IF(C557=0,Paths!$F$57,0)+IF(IF(Paths!$E$57=0,C557=0,AND(C557&gt;0,Paths!$E$57&gt;(C557-1)*12,Paths!$E$57&lt;=C557*12)),VLOOKUP(A557,'Fleet register'!$A$7:$S$106,16,FALSE),0),"n.a."))</f>
        <v>0</v>
      </c>
      <c r="O557" s="16">
        <f>IF(NOT(Paths!$C$57=1),0,IF(Paths!$P$57="Complete",N557-IF(C557=0,Paths!$F$57,0),"n.a."))</f>
        <v>0</v>
      </c>
      <c r="P557" s="16">
        <f>IF(NOT(Paths!$C$57=1),0,IF(Paths!$P$57="Complete",O557+L557,"n.a."))</f>
        <v>0</v>
      </c>
      <c r="Q557" s="16">
        <f>IF(NOT(Paths!$C$57=1),0,IF(Paths!$P$57="Complete",N557*(1+'Operating costs'!$B$54)^-C557,"n.a."))</f>
        <v>0</v>
      </c>
      <c r="R557" s="16">
        <f>IF(NOT(Paths!$C$57=1),0,IF(Paths!$P$57="Complete",IF(AND(C557=0,Paths!$E$57=0),I557-J557-K557+VLOOKUP(A557,'Fleet register'!$A$7:$S$106,15,FALSE)+VLOOKUP(A557,'Fleet register'!$A$7:$S$106,16,FALSE),0),"n.a."))</f>
        <v>0</v>
      </c>
      <c r="S557" s="1">
        <f>IF(NOT(Paths!$C$57=1),0,IF(Paths!$P$57="Complete",IF(C557=0,0,Paths!$S$57*Paths!$R$57),"n.a."))</f>
        <v>0</v>
      </c>
      <c r="T557" s="1">
        <f>IF(NOT(Paths!$C$57=1),0,IF(Paths!$P$57="Complete",IF(C557=0,0,VLOOKUP(A557,'Fleet register'!$A$7:$S$106,9,FALSE)*Paths!$R$57),"n.a."))</f>
        <v>0</v>
      </c>
    </row>
    <row r="558" spans="1:20" ht="24" customHeight="1">
      <c r="A558" s="1" t="str">
        <f>Paths!$A$57</f>
        <v>T013</v>
      </c>
      <c r="B558" s="1">
        <f>Paths!$B$57</f>
        <v>2</v>
      </c>
      <c r="C558" s="1">
        <v>1</v>
      </c>
      <c r="D558" s="1">
        <v>57</v>
      </c>
      <c r="E558" s="1">
        <f>IF(OR(Paths!$C$57=0,C558=0),0,MAX(0,MIN(C558*12,Paths!$E$57)-(C558-1)*12))</f>
        <v>0</v>
      </c>
      <c r="F558" s="1">
        <f>IF(OR(Paths!$C$57=0,C558=0),0,12-E558)</f>
        <v>0</v>
      </c>
      <c r="G558" s="16">
        <f>IF(NOT(Paths!$C$57=1),0,IF(Paths!$P$57="Complete",E558/12*(Paths!$J$57*(1+'Operating costs'!$B$51)^MAX(0,C558-1)+Paths!$K$57*(1+'Operating costs'!$B$53)^MAX(0,C558-1)),"n.a."))</f>
        <v>0</v>
      </c>
      <c r="H558" s="16">
        <f>IF(NOT(Paths!$C$57=1),0,IF(Paths!$P$57="Complete",F558/12*(Paths!$L$57*(1+IF(Paths!$D$57="EV",'Operating costs'!$B$52,'Operating costs'!$B$51))^MAX(0,C558-1)+Paths!$M$57*(1+'Operating costs'!$B$53)^MAX(0,C558-1)),"n.a."))</f>
        <v>0</v>
      </c>
      <c r="I558" s="16">
        <f>IF(NOT(Paths!$C$57=1),0,IF(Paths!$P$57="Complete",IF(IF(Paths!$E$57=0,C558=0,AND(C558&gt;0,Paths!$E$57&gt;(C558-1)*12,Paths!$E$57&lt;=C558*12)),Paths!$G$57,0),"n.a."))</f>
        <v>0</v>
      </c>
      <c r="J558" s="16">
        <f>IF(NOT(Paths!$C$57=1),0,IF(Paths!$P$57="Complete",IF(IF(Paths!$E$57=0,C558=0,AND(C558&gt;0,Paths!$E$57&gt;(C558-1)*12,Paths!$E$57&lt;=C558*12)),Paths!$H$57,0),"n.a."))</f>
        <v>0</v>
      </c>
      <c r="K558" s="16">
        <f>IF(NOT(Paths!$C$57=1),0,IF(Paths!$P$57="Complete",IF(IF(Paths!$O$57=0,C558=0,AND(C558&gt;0,Paths!$O$57&gt;(C558-1)*12,Paths!$O$57&lt;=C558*12)),Paths!$N$57,0),"n.a."))</f>
        <v>0</v>
      </c>
      <c r="L558" s="16">
        <f>IF(NOT(Paths!$C$57=1),0,IF(Paths!$P$57="Complete",IF(C558=10,Paths!$I$57,0),"n.a."))</f>
        <v>0</v>
      </c>
      <c r="M558" s="16">
        <f>IF(NOT(Paths!$C$57=1),0,IF(Paths!$P$57="Complete",IF(AND(Paths!$D$57="EV",Paths!$E$57&lt;120,Paths!$E$57+'Operating costs'!$B$65&gt;Paths!$E$57,Paths!$E$57+'Operating costs'!$B$65&lt;=120,IF(Paths!$E$57+'Operating costs'!$B$65=0,C558=0,AND(C558&gt;0,Paths!$E$57+'Operating costs'!$B$65&gt;(C558-1)*12,Paths!$E$57+'Operating costs'!$B$65&lt;=C558*12))),'Operating costs'!$B$64,0)+IF(AND('Operating costs'!$B$67&gt;0,'Operating costs'!$B$67&lt;=120,OR(Paths!$D$57="ICE",'Operating costs'!$B$67&lt;=Paths!$E$57),IF('Operating costs'!$B$67=0,C558=0,AND(C558&gt;0,'Operating costs'!$B$67&gt;(C558-1)*12,'Operating costs'!$B$67&lt;=C558*12))),'Operating costs'!$B$66,0),"n.a."))</f>
        <v>0</v>
      </c>
      <c r="N558" s="16">
        <f>IF(NOT(Paths!$C$57=1),0,IF(Paths!$P$57="Complete",SUM(G558:I558)-J558-K558-L558+M558+IF(C558=0,Paths!$F$57,0)+IF(IF(Paths!$E$57=0,C558=0,AND(C558&gt;0,Paths!$E$57&gt;(C558-1)*12,Paths!$E$57&lt;=C558*12)),VLOOKUP(A558,'Fleet register'!$A$7:$S$106,16,FALSE),0),"n.a."))</f>
        <v>0</v>
      </c>
      <c r="O558" s="16">
        <f>IF(NOT(Paths!$C$57=1),0,IF(Paths!$P$57="Complete",N558-IF(C558=0,Paths!$F$57,0),"n.a."))</f>
        <v>0</v>
      </c>
      <c r="P558" s="16">
        <f>IF(NOT(Paths!$C$57=1),0,IF(Paths!$P$57="Complete",O558+L558,"n.a."))</f>
        <v>0</v>
      </c>
      <c r="Q558" s="16">
        <f>IF(NOT(Paths!$C$57=1),0,IF(Paths!$P$57="Complete",N558*(1+'Operating costs'!$B$54)^-C558,"n.a."))</f>
        <v>0</v>
      </c>
      <c r="R558" s="16">
        <f>IF(NOT(Paths!$C$57=1),0,IF(Paths!$P$57="Complete",IF(AND(C558=0,Paths!$E$57=0),I558-J558-K558+VLOOKUP(A558,'Fleet register'!$A$7:$S$106,15,FALSE)+VLOOKUP(A558,'Fleet register'!$A$7:$S$106,16,FALSE),0),"n.a."))</f>
        <v>0</v>
      </c>
      <c r="S558" s="1">
        <f>IF(NOT(Paths!$C$57=1),0,IF(Paths!$P$57="Complete",IF(C558=0,0,Paths!$S$57*Paths!$R$57),"n.a."))</f>
        <v>0</v>
      </c>
      <c r="T558" s="1">
        <f>IF(NOT(Paths!$C$57=1),0,IF(Paths!$P$57="Complete",IF(C558=0,0,VLOOKUP(A558,'Fleet register'!$A$7:$S$106,9,FALSE)*Paths!$R$57),"n.a."))</f>
        <v>0</v>
      </c>
    </row>
    <row r="559" spans="1:20" ht="24" customHeight="1">
      <c r="A559" s="1" t="str">
        <f>Paths!$A$57</f>
        <v>T013</v>
      </c>
      <c r="B559" s="1">
        <f>Paths!$B$57</f>
        <v>2</v>
      </c>
      <c r="C559" s="1">
        <v>2</v>
      </c>
      <c r="D559" s="1">
        <v>57</v>
      </c>
      <c r="E559" s="1">
        <f>IF(OR(Paths!$C$57=0,C559=0),0,MAX(0,MIN(C559*12,Paths!$E$57)-(C559-1)*12))</f>
        <v>0</v>
      </c>
      <c r="F559" s="1">
        <f>IF(OR(Paths!$C$57=0,C559=0),0,12-E559)</f>
        <v>0</v>
      </c>
      <c r="G559" s="16">
        <f>IF(NOT(Paths!$C$57=1),0,IF(Paths!$P$57="Complete",E559/12*(Paths!$J$57*(1+'Operating costs'!$B$51)^MAX(0,C559-1)+Paths!$K$57*(1+'Operating costs'!$B$53)^MAX(0,C559-1)),"n.a."))</f>
        <v>0</v>
      </c>
      <c r="H559" s="16">
        <f>IF(NOT(Paths!$C$57=1),0,IF(Paths!$P$57="Complete",F559/12*(Paths!$L$57*(1+IF(Paths!$D$57="EV",'Operating costs'!$B$52,'Operating costs'!$B$51))^MAX(0,C559-1)+Paths!$M$57*(1+'Operating costs'!$B$53)^MAX(0,C559-1)),"n.a."))</f>
        <v>0</v>
      </c>
      <c r="I559" s="16">
        <f>IF(NOT(Paths!$C$57=1),0,IF(Paths!$P$57="Complete",IF(IF(Paths!$E$57=0,C559=0,AND(C559&gt;0,Paths!$E$57&gt;(C559-1)*12,Paths!$E$57&lt;=C559*12)),Paths!$G$57,0),"n.a."))</f>
        <v>0</v>
      </c>
      <c r="J559" s="16">
        <f>IF(NOT(Paths!$C$57=1),0,IF(Paths!$P$57="Complete",IF(IF(Paths!$E$57=0,C559=0,AND(C559&gt;0,Paths!$E$57&gt;(C559-1)*12,Paths!$E$57&lt;=C559*12)),Paths!$H$57,0),"n.a."))</f>
        <v>0</v>
      </c>
      <c r="K559" s="16">
        <f>IF(NOT(Paths!$C$57=1),0,IF(Paths!$P$57="Complete",IF(IF(Paths!$O$57=0,C559=0,AND(C559&gt;0,Paths!$O$57&gt;(C559-1)*12,Paths!$O$57&lt;=C559*12)),Paths!$N$57,0),"n.a."))</f>
        <v>0</v>
      </c>
      <c r="L559" s="16">
        <f>IF(NOT(Paths!$C$57=1),0,IF(Paths!$P$57="Complete",IF(C559=10,Paths!$I$57,0),"n.a."))</f>
        <v>0</v>
      </c>
      <c r="M559" s="16">
        <f>IF(NOT(Paths!$C$57=1),0,IF(Paths!$P$57="Complete",IF(AND(Paths!$D$57="EV",Paths!$E$57&lt;120,Paths!$E$57+'Operating costs'!$B$65&gt;Paths!$E$57,Paths!$E$57+'Operating costs'!$B$65&lt;=120,IF(Paths!$E$57+'Operating costs'!$B$65=0,C559=0,AND(C559&gt;0,Paths!$E$57+'Operating costs'!$B$65&gt;(C559-1)*12,Paths!$E$57+'Operating costs'!$B$65&lt;=C559*12))),'Operating costs'!$B$64,0)+IF(AND('Operating costs'!$B$67&gt;0,'Operating costs'!$B$67&lt;=120,OR(Paths!$D$57="ICE",'Operating costs'!$B$67&lt;=Paths!$E$57),IF('Operating costs'!$B$67=0,C559=0,AND(C559&gt;0,'Operating costs'!$B$67&gt;(C559-1)*12,'Operating costs'!$B$67&lt;=C559*12))),'Operating costs'!$B$66,0),"n.a."))</f>
        <v>0</v>
      </c>
      <c r="N559" s="16">
        <f>IF(NOT(Paths!$C$57=1),0,IF(Paths!$P$57="Complete",SUM(G559:I559)-J559-K559-L559+M559+IF(C559=0,Paths!$F$57,0)+IF(IF(Paths!$E$57=0,C559=0,AND(C559&gt;0,Paths!$E$57&gt;(C559-1)*12,Paths!$E$57&lt;=C559*12)),VLOOKUP(A559,'Fleet register'!$A$7:$S$106,16,FALSE),0),"n.a."))</f>
        <v>0</v>
      </c>
      <c r="O559" s="16">
        <f>IF(NOT(Paths!$C$57=1),0,IF(Paths!$P$57="Complete",N559-IF(C559=0,Paths!$F$57,0),"n.a."))</f>
        <v>0</v>
      </c>
      <c r="P559" s="16">
        <f>IF(NOT(Paths!$C$57=1),0,IF(Paths!$P$57="Complete",O559+L559,"n.a."))</f>
        <v>0</v>
      </c>
      <c r="Q559" s="16">
        <f>IF(NOT(Paths!$C$57=1),0,IF(Paths!$P$57="Complete",N559*(1+'Operating costs'!$B$54)^-C559,"n.a."))</f>
        <v>0</v>
      </c>
      <c r="R559" s="16">
        <f>IF(NOT(Paths!$C$57=1),0,IF(Paths!$P$57="Complete",IF(AND(C559=0,Paths!$E$57=0),I559-J559-K559+VLOOKUP(A559,'Fleet register'!$A$7:$S$106,15,FALSE)+VLOOKUP(A559,'Fleet register'!$A$7:$S$106,16,FALSE),0),"n.a."))</f>
        <v>0</v>
      </c>
      <c r="S559" s="1">
        <f>IF(NOT(Paths!$C$57=1),0,IF(Paths!$P$57="Complete",IF(C559=0,0,Paths!$S$57*Paths!$R$57),"n.a."))</f>
        <v>0</v>
      </c>
      <c r="T559" s="1">
        <f>IF(NOT(Paths!$C$57=1),0,IF(Paths!$P$57="Complete",IF(C559=0,0,VLOOKUP(A559,'Fleet register'!$A$7:$S$106,9,FALSE)*Paths!$R$57),"n.a."))</f>
        <v>0</v>
      </c>
    </row>
    <row r="560" spans="1:20" ht="24" customHeight="1">
      <c r="A560" s="1" t="str">
        <f>Paths!$A$57</f>
        <v>T013</v>
      </c>
      <c r="B560" s="1">
        <f>Paths!$B$57</f>
        <v>2</v>
      </c>
      <c r="C560" s="1">
        <v>3</v>
      </c>
      <c r="D560" s="1">
        <v>57</v>
      </c>
      <c r="E560" s="1">
        <f>IF(OR(Paths!$C$57=0,C560=0),0,MAX(0,MIN(C560*12,Paths!$E$57)-(C560-1)*12))</f>
        <v>0</v>
      </c>
      <c r="F560" s="1">
        <f>IF(OR(Paths!$C$57=0,C560=0),0,12-E560)</f>
        <v>0</v>
      </c>
      <c r="G560" s="16">
        <f>IF(NOT(Paths!$C$57=1),0,IF(Paths!$P$57="Complete",E560/12*(Paths!$J$57*(1+'Operating costs'!$B$51)^MAX(0,C560-1)+Paths!$K$57*(1+'Operating costs'!$B$53)^MAX(0,C560-1)),"n.a."))</f>
        <v>0</v>
      </c>
      <c r="H560" s="16">
        <f>IF(NOT(Paths!$C$57=1),0,IF(Paths!$P$57="Complete",F560/12*(Paths!$L$57*(1+IF(Paths!$D$57="EV",'Operating costs'!$B$52,'Operating costs'!$B$51))^MAX(0,C560-1)+Paths!$M$57*(1+'Operating costs'!$B$53)^MAX(0,C560-1)),"n.a."))</f>
        <v>0</v>
      </c>
      <c r="I560" s="16">
        <f>IF(NOT(Paths!$C$57=1),0,IF(Paths!$P$57="Complete",IF(IF(Paths!$E$57=0,C560=0,AND(C560&gt;0,Paths!$E$57&gt;(C560-1)*12,Paths!$E$57&lt;=C560*12)),Paths!$G$57,0),"n.a."))</f>
        <v>0</v>
      </c>
      <c r="J560" s="16">
        <f>IF(NOT(Paths!$C$57=1),0,IF(Paths!$P$57="Complete",IF(IF(Paths!$E$57=0,C560=0,AND(C560&gt;0,Paths!$E$57&gt;(C560-1)*12,Paths!$E$57&lt;=C560*12)),Paths!$H$57,0),"n.a."))</f>
        <v>0</v>
      </c>
      <c r="K560" s="16">
        <f>IF(NOT(Paths!$C$57=1),0,IF(Paths!$P$57="Complete",IF(IF(Paths!$O$57=0,C560=0,AND(C560&gt;0,Paths!$O$57&gt;(C560-1)*12,Paths!$O$57&lt;=C560*12)),Paths!$N$57,0),"n.a."))</f>
        <v>0</v>
      </c>
      <c r="L560" s="16">
        <f>IF(NOT(Paths!$C$57=1),0,IF(Paths!$P$57="Complete",IF(C560=10,Paths!$I$57,0),"n.a."))</f>
        <v>0</v>
      </c>
      <c r="M560" s="16">
        <f>IF(NOT(Paths!$C$57=1),0,IF(Paths!$P$57="Complete",IF(AND(Paths!$D$57="EV",Paths!$E$57&lt;120,Paths!$E$57+'Operating costs'!$B$65&gt;Paths!$E$57,Paths!$E$57+'Operating costs'!$B$65&lt;=120,IF(Paths!$E$57+'Operating costs'!$B$65=0,C560=0,AND(C560&gt;0,Paths!$E$57+'Operating costs'!$B$65&gt;(C560-1)*12,Paths!$E$57+'Operating costs'!$B$65&lt;=C560*12))),'Operating costs'!$B$64,0)+IF(AND('Operating costs'!$B$67&gt;0,'Operating costs'!$B$67&lt;=120,OR(Paths!$D$57="ICE",'Operating costs'!$B$67&lt;=Paths!$E$57),IF('Operating costs'!$B$67=0,C560=0,AND(C560&gt;0,'Operating costs'!$B$67&gt;(C560-1)*12,'Operating costs'!$B$67&lt;=C560*12))),'Operating costs'!$B$66,0),"n.a."))</f>
        <v>0</v>
      </c>
      <c r="N560" s="16">
        <f>IF(NOT(Paths!$C$57=1),0,IF(Paths!$P$57="Complete",SUM(G560:I560)-J560-K560-L560+M560+IF(C560=0,Paths!$F$57,0)+IF(IF(Paths!$E$57=0,C560=0,AND(C560&gt;0,Paths!$E$57&gt;(C560-1)*12,Paths!$E$57&lt;=C560*12)),VLOOKUP(A560,'Fleet register'!$A$7:$S$106,16,FALSE),0),"n.a."))</f>
        <v>0</v>
      </c>
      <c r="O560" s="16">
        <f>IF(NOT(Paths!$C$57=1),0,IF(Paths!$P$57="Complete",N560-IF(C560=0,Paths!$F$57,0),"n.a."))</f>
        <v>0</v>
      </c>
      <c r="P560" s="16">
        <f>IF(NOT(Paths!$C$57=1),0,IF(Paths!$P$57="Complete",O560+L560,"n.a."))</f>
        <v>0</v>
      </c>
      <c r="Q560" s="16">
        <f>IF(NOT(Paths!$C$57=1),0,IF(Paths!$P$57="Complete",N560*(1+'Operating costs'!$B$54)^-C560,"n.a."))</f>
        <v>0</v>
      </c>
      <c r="R560" s="16">
        <f>IF(NOT(Paths!$C$57=1),0,IF(Paths!$P$57="Complete",IF(AND(C560=0,Paths!$E$57=0),I560-J560-K560+VLOOKUP(A560,'Fleet register'!$A$7:$S$106,15,FALSE)+VLOOKUP(A560,'Fleet register'!$A$7:$S$106,16,FALSE),0),"n.a."))</f>
        <v>0</v>
      </c>
      <c r="S560" s="1">
        <f>IF(NOT(Paths!$C$57=1),0,IF(Paths!$P$57="Complete",IF(C560=0,0,Paths!$S$57*Paths!$R$57),"n.a."))</f>
        <v>0</v>
      </c>
      <c r="T560" s="1">
        <f>IF(NOT(Paths!$C$57=1),0,IF(Paths!$P$57="Complete",IF(C560=0,0,VLOOKUP(A560,'Fleet register'!$A$7:$S$106,9,FALSE)*Paths!$R$57),"n.a."))</f>
        <v>0</v>
      </c>
    </row>
    <row r="561" spans="1:20" ht="24" customHeight="1">
      <c r="A561" s="1" t="str">
        <f>Paths!$A$57</f>
        <v>T013</v>
      </c>
      <c r="B561" s="1">
        <f>Paths!$B$57</f>
        <v>2</v>
      </c>
      <c r="C561" s="1">
        <v>4</v>
      </c>
      <c r="D561" s="1">
        <v>57</v>
      </c>
      <c r="E561" s="1">
        <f>IF(OR(Paths!$C$57=0,C561=0),0,MAX(0,MIN(C561*12,Paths!$E$57)-(C561-1)*12))</f>
        <v>0</v>
      </c>
      <c r="F561" s="1">
        <f>IF(OR(Paths!$C$57=0,C561=0),0,12-E561)</f>
        <v>0</v>
      </c>
      <c r="G561" s="16">
        <f>IF(NOT(Paths!$C$57=1),0,IF(Paths!$P$57="Complete",E561/12*(Paths!$J$57*(1+'Operating costs'!$B$51)^MAX(0,C561-1)+Paths!$K$57*(1+'Operating costs'!$B$53)^MAX(0,C561-1)),"n.a."))</f>
        <v>0</v>
      </c>
      <c r="H561" s="16">
        <f>IF(NOT(Paths!$C$57=1),0,IF(Paths!$P$57="Complete",F561/12*(Paths!$L$57*(1+IF(Paths!$D$57="EV",'Operating costs'!$B$52,'Operating costs'!$B$51))^MAX(0,C561-1)+Paths!$M$57*(1+'Operating costs'!$B$53)^MAX(0,C561-1)),"n.a."))</f>
        <v>0</v>
      </c>
      <c r="I561" s="16">
        <f>IF(NOT(Paths!$C$57=1),0,IF(Paths!$P$57="Complete",IF(IF(Paths!$E$57=0,C561=0,AND(C561&gt;0,Paths!$E$57&gt;(C561-1)*12,Paths!$E$57&lt;=C561*12)),Paths!$G$57,0),"n.a."))</f>
        <v>0</v>
      </c>
      <c r="J561" s="16">
        <f>IF(NOT(Paths!$C$57=1),0,IF(Paths!$P$57="Complete",IF(IF(Paths!$E$57=0,C561=0,AND(C561&gt;0,Paths!$E$57&gt;(C561-1)*12,Paths!$E$57&lt;=C561*12)),Paths!$H$57,0),"n.a."))</f>
        <v>0</v>
      </c>
      <c r="K561" s="16">
        <f>IF(NOT(Paths!$C$57=1),0,IF(Paths!$P$57="Complete",IF(IF(Paths!$O$57=0,C561=0,AND(C561&gt;0,Paths!$O$57&gt;(C561-1)*12,Paths!$O$57&lt;=C561*12)),Paths!$N$57,0),"n.a."))</f>
        <v>0</v>
      </c>
      <c r="L561" s="16">
        <f>IF(NOT(Paths!$C$57=1),0,IF(Paths!$P$57="Complete",IF(C561=10,Paths!$I$57,0),"n.a."))</f>
        <v>0</v>
      </c>
      <c r="M561" s="16">
        <f>IF(NOT(Paths!$C$57=1),0,IF(Paths!$P$57="Complete",IF(AND(Paths!$D$57="EV",Paths!$E$57&lt;120,Paths!$E$57+'Operating costs'!$B$65&gt;Paths!$E$57,Paths!$E$57+'Operating costs'!$B$65&lt;=120,IF(Paths!$E$57+'Operating costs'!$B$65=0,C561=0,AND(C561&gt;0,Paths!$E$57+'Operating costs'!$B$65&gt;(C561-1)*12,Paths!$E$57+'Operating costs'!$B$65&lt;=C561*12))),'Operating costs'!$B$64,0)+IF(AND('Operating costs'!$B$67&gt;0,'Operating costs'!$B$67&lt;=120,OR(Paths!$D$57="ICE",'Operating costs'!$B$67&lt;=Paths!$E$57),IF('Operating costs'!$B$67=0,C561=0,AND(C561&gt;0,'Operating costs'!$B$67&gt;(C561-1)*12,'Operating costs'!$B$67&lt;=C561*12))),'Operating costs'!$B$66,0),"n.a."))</f>
        <v>0</v>
      </c>
      <c r="N561" s="16">
        <f>IF(NOT(Paths!$C$57=1),0,IF(Paths!$P$57="Complete",SUM(G561:I561)-J561-K561-L561+M561+IF(C561=0,Paths!$F$57,0)+IF(IF(Paths!$E$57=0,C561=0,AND(C561&gt;0,Paths!$E$57&gt;(C561-1)*12,Paths!$E$57&lt;=C561*12)),VLOOKUP(A561,'Fleet register'!$A$7:$S$106,16,FALSE),0),"n.a."))</f>
        <v>0</v>
      </c>
      <c r="O561" s="16">
        <f>IF(NOT(Paths!$C$57=1),0,IF(Paths!$P$57="Complete",N561-IF(C561=0,Paths!$F$57,0),"n.a."))</f>
        <v>0</v>
      </c>
      <c r="P561" s="16">
        <f>IF(NOT(Paths!$C$57=1),0,IF(Paths!$P$57="Complete",O561+L561,"n.a."))</f>
        <v>0</v>
      </c>
      <c r="Q561" s="16">
        <f>IF(NOT(Paths!$C$57=1),0,IF(Paths!$P$57="Complete",N561*(1+'Operating costs'!$B$54)^-C561,"n.a."))</f>
        <v>0</v>
      </c>
      <c r="R561" s="16">
        <f>IF(NOT(Paths!$C$57=1),0,IF(Paths!$P$57="Complete",IF(AND(C561=0,Paths!$E$57=0),I561-J561-K561+VLOOKUP(A561,'Fleet register'!$A$7:$S$106,15,FALSE)+VLOOKUP(A561,'Fleet register'!$A$7:$S$106,16,FALSE),0),"n.a."))</f>
        <v>0</v>
      </c>
      <c r="S561" s="1">
        <f>IF(NOT(Paths!$C$57=1),0,IF(Paths!$P$57="Complete",IF(C561=0,0,Paths!$S$57*Paths!$R$57),"n.a."))</f>
        <v>0</v>
      </c>
      <c r="T561" s="1">
        <f>IF(NOT(Paths!$C$57=1),0,IF(Paths!$P$57="Complete",IF(C561=0,0,VLOOKUP(A561,'Fleet register'!$A$7:$S$106,9,FALSE)*Paths!$R$57),"n.a."))</f>
        <v>0</v>
      </c>
    </row>
    <row r="562" spans="1:20" ht="24" customHeight="1">
      <c r="A562" s="1" t="str">
        <f>Paths!$A$57</f>
        <v>T013</v>
      </c>
      <c r="B562" s="1">
        <f>Paths!$B$57</f>
        <v>2</v>
      </c>
      <c r="C562" s="1">
        <v>5</v>
      </c>
      <c r="D562" s="1">
        <v>57</v>
      </c>
      <c r="E562" s="1">
        <f>IF(OR(Paths!$C$57=0,C562=0),0,MAX(0,MIN(C562*12,Paths!$E$57)-(C562-1)*12))</f>
        <v>0</v>
      </c>
      <c r="F562" s="1">
        <f>IF(OR(Paths!$C$57=0,C562=0),0,12-E562)</f>
        <v>0</v>
      </c>
      <c r="G562" s="16">
        <f>IF(NOT(Paths!$C$57=1),0,IF(Paths!$P$57="Complete",E562/12*(Paths!$J$57*(1+'Operating costs'!$B$51)^MAX(0,C562-1)+Paths!$K$57*(1+'Operating costs'!$B$53)^MAX(0,C562-1)),"n.a."))</f>
        <v>0</v>
      </c>
      <c r="H562" s="16">
        <f>IF(NOT(Paths!$C$57=1),0,IF(Paths!$P$57="Complete",F562/12*(Paths!$L$57*(1+IF(Paths!$D$57="EV",'Operating costs'!$B$52,'Operating costs'!$B$51))^MAX(0,C562-1)+Paths!$M$57*(1+'Operating costs'!$B$53)^MAX(0,C562-1)),"n.a."))</f>
        <v>0</v>
      </c>
      <c r="I562" s="16">
        <f>IF(NOT(Paths!$C$57=1),0,IF(Paths!$P$57="Complete",IF(IF(Paths!$E$57=0,C562=0,AND(C562&gt;0,Paths!$E$57&gt;(C562-1)*12,Paths!$E$57&lt;=C562*12)),Paths!$G$57,0),"n.a."))</f>
        <v>0</v>
      </c>
      <c r="J562" s="16">
        <f>IF(NOT(Paths!$C$57=1),0,IF(Paths!$P$57="Complete",IF(IF(Paths!$E$57=0,C562=0,AND(C562&gt;0,Paths!$E$57&gt;(C562-1)*12,Paths!$E$57&lt;=C562*12)),Paths!$H$57,0),"n.a."))</f>
        <v>0</v>
      </c>
      <c r="K562" s="16">
        <f>IF(NOT(Paths!$C$57=1),0,IF(Paths!$P$57="Complete",IF(IF(Paths!$O$57=0,C562=0,AND(C562&gt;0,Paths!$O$57&gt;(C562-1)*12,Paths!$O$57&lt;=C562*12)),Paths!$N$57,0),"n.a."))</f>
        <v>0</v>
      </c>
      <c r="L562" s="16">
        <f>IF(NOT(Paths!$C$57=1),0,IF(Paths!$P$57="Complete",IF(C562=10,Paths!$I$57,0),"n.a."))</f>
        <v>0</v>
      </c>
      <c r="M562" s="16">
        <f>IF(NOT(Paths!$C$57=1),0,IF(Paths!$P$57="Complete",IF(AND(Paths!$D$57="EV",Paths!$E$57&lt;120,Paths!$E$57+'Operating costs'!$B$65&gt;Paths!$E$57,Paths!$E$57+'Operating costs'!$B$65&lt;=120,IF(Paths!$E$57+'Operating costs'!$B$65=0,C562=0,AND(C562&gt;0,Paths!$E$57+'Operating costs'!$B$65&gt;(C562-1)*12,Paths!$E$57+'Operating costs'!$B$65&lt;=C562*12))),'Operating costs'!$B$64,0)+IF(AND('Operating costs'!$B$67&gt;0,'Operating costs'!$B$67&lt;=120,OR(Paths!$D$57="ICE",'Operating costs'!$B$67&lt;=Paths!$E$57),IF('Operating costs'!$B$67=0,C562=0,AND(C562&gt;0,'Operating costs'!$B$67&gt;(C562-1)*12,'Operating costs'!$B$67&lt;=C562*12))),'Operating costs'!$B$66,0),"n.a."))</f>
        <v>0</v>
      </c>
      <c r="N562" s="16">
        <f>IF(NOT(Paths!$C$57=1),0,IF(Paths!$P$57="Complete",SUM(G562:I562)-J562-K562-L562+M562+IF(C562=0,Paths!$F$57,0)+IF(IF(Paths!$E$57=0,C562=0,AND(C562&gt;0,Paths!$E$57&gt;(C562-1)*12,Paths!$E$57&lt;=C562*12)),VLOOKUP(A562,'Fleet register'!$A$7:$S$106,16,FALSE),0),"n.a."))</f>
        <v>0</v>
      </c>
      <c r="O562" s="16">
        <f>IF(NOT(Paths!$C$57=1),0,IF(Paths!$P$57="Complete",N562-IF(C562=0,Paths!$F$57,0),"n.a."))</f>
        <v>0</v>
      </c>
      <c r="P562" s="16">
        <f>IF(NOT(Paths!$C$57=1),0,IF(Paths!$P$57="Complete",O562+L562,"n.a."))</f>
        <v>0</v>
      </c>
      <c r="Q562" s="16">
        <f>IF(NOT(Paths!$C$57=1),0,IF(Paths!$P$57="Complete",N562*(1+'Operating costs'!$B$54)^-C562,"n.a."))</f>
        <v>0</v>
      </c>
      <c r="R562" s="16">
        <f>IF(NOT(Paths!$C$57=1),0,IF(Paths!$P$57="Complete",IF(AND(C562=0,Paths!$E$57=0),I562-J562-K562+VLOOKUP(A562,'Fleet register'!$A$7:$S$106,15,FALSE)+VLOOKUP(A562,'Fleet register'!$A$7:$S$106,16,FALSE),0),"n.a."))</f>
        <v>0</v>
      </c>
      <c r="S562" s="1">
        <f>IF(NOT(Paths!$C$57=1),0,IF(Paths!$P$57="Complete",IF(C562=0,0,Paths!$S$57*Paths!$R$57),"n.a."))</f>
        <v>0</v>
      </c>
      <c r="T562" s="1">
        <f>IF(NOT(Paths!$C$57=1),0,IF(Paths!$P$57="Complete",IF(C562=0,0,VLOOKUP(A562,'Fleet register'!$A$7:$S$106,9,FALSE)*Paths!$R$57),"n.a."))</f>
        <v>0</v>
      </c>
    </row>
    <row r="563" spans="1:20" ht="24" customHeight="1">
      <c r="A563" s="1" t="str">
        <f>Paths!$A$57</f>
        <v>T013</v>
      </c>
      <c r="B563" s="1">
        <f>Paths!$B$57</f>
        <v>2</v>
      </c>
      <c r="C563" s="1">
        <v>6</v>
      </c>
      <c r="D563" s="1">
        <v>57</v>
      </c>
      <c r="E563" s="1">
        <f>IF(OR(Paths!$C$57=0,C563=0),0,MAX(0,MIN(C563*12,Paths!$E$57)-(C563-1)*12))</f>
        <v>0</v>
      </c>
      <c r="F563" s="1">
        <f>IF(OR(Paths!$C$57=0,C563=0),0,12-E563)</f>
        <v>0</v>
      </c>
      <c r="G563" s="16">
        <f>IF(NOT(Paths!$C$57=1),0,IF(Paths!$P$57="Complete",E563/12*(Paths!$J$57*(1+'Operating costs'!$B$51)^MAX(0,C563-1)+Paths!$K$57*(1+'Operating costs'!$B$53)^MAX(0,C563-1)),"n.a."))</f>
        <v>0</v>
      </c>
      <c r="H563" s="16">
        <f>IF(NOT(Paths!$C$57=1),0,IF(Paths!$P$57="Complete",F563/12*(Paths!$L$57*(1+IF(Paths!$D$57="EV",'Operating costs'!$B$52,'Operating costs'!$B$51))^MAX(0,C563-1)+Paths!$M$57*(1+'Operating costs'!$B$53)^MAX(0,C563-1)),"n.a."))</f>
        <v>0</v>
      </c>
      <c r="I563" s="16">
        <f>IF(NOT(Paths!$C$57=1),0,IF(Paths!$P$57="Complete",IF(IF(Paths!$E$57=0,C563=0,AND(C563&gt;0,Paths!$E$57&gt;(C563-1)*12,Paths!$E$57&lt;=C563*12)),Paths!$G$57,0),"n.a."))</f>
        <v>0</v>
      </c>
      <c r="J563" s="16">
        <f>IF(NOT(Paths!$C$57=1),0,IF(Paths!$P$57="Complete",IF(IF(Paths!$E$57=0,C563=0,AND(C563&gt;0,Paths!$E$57&gt;(C563-1)*12,Paths!$E$57&lt;=C563*12)),Paths!$H$57,0),"n.a."))</f>
        <v>0</v>
      </c>
      <c r="K563" s="16">
        <f>IF(NOT(Paths!$C$57=1),0,IF(Paths!$P$57="Complete",IF(IF(Paths!$O$57=0,C563=0,AND(C563&gt;0,Paths!$O$57&gt;(C563-1)*12,Paths!$O$57&lt;=C563*12)),Paths!$N$57,0),"n.a."))</f>
        <v>0</v>
      </c>
      <c r="L563" s="16">
        <f>IF(NOT(Paths!$C$57=1),0,IF(Paths!$P$57="Complete",IF(C563=10,Paths!$I$57,0),"n.a."))</f>
        <v>0</v>
      </c>
      <c r="M563" s="16">
        <f>IF(NOT(Paths!$C$57=1),0,IF(Paths!$P$57="Complete",IF(AND(Paths!$D$57="EV",Paths!$E$57&lt;120,Paths!$E$57+'Operating costs'!$B$65&gt;Paths!$E$57,Paths!$E$57+'Operating costs'!$B$65&lt;=120,IF(Paths!$E$57+'Operating costs'!$B$65=0,C563=0,AND(C563&gt;0,Paths!$E$57+'Operating costs'!$B$65&gt;(C563-1)*12,Paths!$E$57+'Operating costs'!$B$65&lt;=C563*12))),'Operating costs'!$B$64,0)+IF(AND('Operating costs'!$B$67&gt;0,'Operating costs'!$B$67&lt;=120,OR(Paths!$D$57="ICE",'Operating costs'!$B$67&lt;=Paths!$E$57),IF('Operating costs'!$B$67=0,C563=0,AND(C563&gt;0,'Operating costs'!$B$67&gt;(C563-1)*12,'Operating costs'!$B$67&lt;=C563*12))),'Operating costs'!$B$66,0),"n.a."))</f>
        <v>0</v>
      </c>
      <c r="N563" s="16">
        <f>IF(NOT(Paths!$C$57=1),0,IF(Paths!$P$57="Complete",SUM(G563:I563)-J563-K563-L563+M563+IF(C563=0,Paths!$F$57,0)+IF(IF(Paths!$E$57=0,C563=0,AND(C563&gt;0,Paths!$E$57&gt;(C563-1)*12,Paths!$E$57&lt;=C563*12)),VLOOKUP(A563,'Fleet register'!$A$7:$S$106,16,FALSE),0),"n.a."))</f>
        <v>0</v>
      </c>
      <c r="O563" s="16">
        <f>IF(NOT(Paths!$C$57=1),0,IF(Paths!$P$57="Complete",N563-IF(C563=0,Paths!$F$57,0),"n.a."))</f>
        <v>0</v>
      </c>
      <c r="P563" s="16">
        <f>IF(NOT(Paths!$C$57=1),0,IF(Paths!$P$57="Complete",O563+L563,"n.a."))</f>
        <v>0</v>
      </c>
      <c r="Q563" s="16">
        <f>IF(NOT(Paths!$C$57=1),0,IF(Paths!$P$57="Complete",N563*(1+'Operating costs'!$B$54)^-C563,"n.a."))</f>
        <v>0</v>
      </c>
      <c r="R563" s="16">
        <f>IF(NOT(Paths!$C$57=1),0,IF(Paths!$P$57="Complete",IF(AND(C563=0,Paths!$E$57=0),I563-J563-K563+VLOOKUP(A563,'Fleet register'!$A$7:$S$106,15,FALSE)+VLOOKUP(A563,'Fleet register'!$A$7:$S$106,16,FALSE),0),"n.a."))</f>
        <v>0</v>
      </c>
      <c r="S563" s="1">
        <f>IF(NOT(Paths!$C$57=1),0,IF(Paths!$P$57="Complete",IF(C563=0,0,Paths!$S$57*Paths!$R$57),"n.a."))</f>
        <v>0</v>
      </c>
      <c r="T563" s="1">
        <f>IF(NOT(Paths!$C$57=1),0,IF(Paths!$P$57="Complete",IF(C563=0,0,VLOOKUP(A563,'Fleet register'!$A$7:$S$106,9,FALSE)*Paths!$R$57),"n.a."))</f>
        <v>0</v>
      </c>
    </row>
    <row r="564" spans="1:20" ht="24" customHeight="1">
      <c r="A564" s="1" t="str">
        <f>Paths!$A$57</f>
        <v>T013</v>
      </c>
      <c r="B564" s="1">
        <f>Paths!$B$57</f>
        <v>2</v>
      </c>
      <c r="C564" s="1">
        <v>7</v>
      </c>
      <c r="D564" s="1">
        <v>57</v>
      </c>
      <c r="E564" s="1">
        <f>IF(OR(Paths!$C$57=0,C564=0),0,MAX(0,MIN(C564*12,Paths!$E$57)-(C564-1)*12))</f>
        <v>0</v>
      </c>
      <c r="F564" s="1">
        <f>IF(OR(Paths!$C$57=0,C564=0),0,12-E564)</f>
        <v>0</v>
      </c>
      <c r="G564" s="16">
        <f>IF(NOT(Paths!$C$57=1),0,IF(Paths!$P$57="Complete",E564/12*(Paths!$J$57*(1+'Operating costs'!$B$51)^MAX(0,C564-1)+Paths!$K$57*(1+'Operating costs'!$B$53)^MAX(0,C564-1)),"n.a."))</f>
        <v>0</v>
      </c>
      <c r="H564" s="16">
        <f>IF(NOT(Paths!$C$57=1),0,IF(Paths!$P$57="Complete",F564/12*(Paths!$L$57*(1+IF(Paths!$D$57="EV",'Operating costs'!$B$52,'Operating costs'!$B$51))^MAX(0,C564-1)+Paths!$M$57*(1+'Operating costs'!$B$53)^MAX(0,C564-1)),"n.a."))</f>
        <v>0</v>
      </c>
      <c r="I564" s="16">
        <f>IF(NOT(Paths!$C$57=1),0,IF(Paths!$P$57="Complete",IF(IF(Paths!$E$57=0,C564=0,AND(C564&gt;0,Paths!$E$57&gt;(C564-1)*12,Paths!$E$57&lt;=C564*12)),Paths!$G$57,0),"n.a."))</f>
        <v>0</v>
      </c>
      <c r="J564" s="16">
        <f>IF(NOT(Paths!$C$57=1),0,IF(Paths!$P$57="Complete",IF(IF(Paths!$E$57=0,C564=0,AND(C564&gt;0,Paths!$E$57&gt;(C564-1)*12,Paths!$E$57&lt;=C564*12)),Paths!$H$57,0),"n.a."))</f>
        <v>0</v>
      </c>
      <c r="K564" s="16">
        <f>IF(NOT(Paths!$C$57=1),0,IF(Paths!$P$57="Complete",IF(IF(Paths!$O$57=0,C564=0,AND(C564&gt;0,Paths!$O$57&gt;(C564-1)*12,Paths!$O$57&lt;=C564*12)),Paths!$N$57,0),"n.a."))</f>
        <v>0</v>
      </c>
      <c r="L564" s="16">
        <f>IF(NOT(Paths!$C$57=1),0,IF(Paths!$P$57="Complete",IF(C564=10,Paths!$I$57,0),"n.a."))</f>
        <v>0</v>
      </c>
      <c r="M564" s="16">
        <f>IF(NOT(Paths!$C$57=1),0,IF(Paths!$P$57="Complete",IF(AND(Paths!$D$57="EV",Paths!$E$57&lt;120,Paths!$E$57+'Operating costs'!$B$65&gt;Paths!$E$57,Paths!$E$57+'Operating costs'!$B$65&lt;=120,IF(Paths!$E$57+'Operating costs'!$B$65=0,C564=0,AND(C564&gt;0,Paths!$E$57+'Operating costs'!$B$65&gt;(C564-1)*12,Paths!$E$57+'Operating costs'!$B$65&lt;=C564*12))),'Operating costs'!$B$64,0)+IF(AND('Operating costs'!$B$67&gt;0,'Operating costs'!$B$67&lt;=120,OR(Paths!$D$57="ICE",'Operating costs'!$B$67&lt;=Paths!$E$57),IF('Operating costs'!$B$67=0,C564=0,AND(C564&gt;0,'Operating costs'!$B$67&gt;(C564-1)*12,'Operating costs'!$B$67&lt;=C564*12))),'Operating costs'!$B$66,0),"n.a."))</f>
        <v>0</v>
      </c>
      <c r="N564" s="16">
        <f>IF(NOT(Paths!$C$57=1),0,IF(Paths!$P$57="Complete",SUM(G564:I564)-J564-K564-L564+M564+IF(C564=0,Paths!$F$57,0)+IF(IF(Paths!$E$57=0,C564=0,AND(C564&gt;0,Paths!$E$57&gt;(C564-1)*12,Paths!$E$57&lt;=C564*12)),VLOOKUP(A564,'Fleet register'!$A$7:$S$106,16,FALSE),0),"n.a."))</f>
        <v>0</v>
      </c>
      <c r="O564" s="16">
        <f>IF(NOT(Paths!$C$57=1),0,IF(Paths!$P$57="Complete",N564-IF(C564=0,Paths!$F$57,0),"n.a."))</f>
        <v>0</v>
      </c>
      <c r="P564" s="16">
        <f>IF(NOT(Paths!$C$57=1),0,IF(Paths!$P$57="Complete",O564+L564,"n.a."))</f>
        <v>0</v>
      </c>
      <c r="Q564" s="16">
        <f>IF(NOT(Paths!$C$57=1),0,IF(Paths!$P$57="Complete",N564*(1+'Operating costs'!$B$54)^-C564,"n.a."))</f>
        <v>0</v>
      </c>
      <c r="R564" s="16">
        <f>IF(NOT(Paths!$C$57=1),0,IF(Paths!$P$57="Complete",IF(AND(C564=0,Paths!$E$57=0),I564-J564-K564+VLOOKUP(A564,'Fleet register'!$A$7:$S$106,15,FALSE)+VLOOKUP(A564,'Fleet register'!$A$7:$S$106,16,FALSE),0),"n.a."))</f>
        <v>0</v>
      </c>
      <c r="S564" s="1">
        <f>IF(NOT(Paths!$C$57=1),0,IF(Paths!$P$57="Complete",IF(C564=0,0,Paths!$S$57*Paths!$R$57),"n.a."))</f>
        <v>0</v>
      </c>
      <c r="T564" s="1">
        <f>IF(NOT(Paths!$C$57=1),0,IF(Paths!$P$57="Complete",IF(C564=0,0,VLOOKUP(A564,'Fleet register'!$A$7:$S$106,9,FALSE)*Paths!$R$57),"n.a."))</f>
        <v>0</v>
      </c>
    </row>
    <row r="565" spans="1:20" ht="24" customHeight="1">
      <c r="A565" s="1" t="str">
        <f>Paths!$A$57</f>
        <v>T013</v>
      </c>
      <c r="B565" s="1">
        <f>Paths!$B$57</f>
        <v>2</v>
      </c>
      <c r="C565" s="1">
        <v>8</v>
      </c>
      <c r="D565" s="1">
        <v>57</v>
      </c>
      <c r="E565" s="1">
        <f>IF(OR(Paths!$C$57=0,C565=0),0,MAX(0,MIN(C565*12,Paths!$E$57)-(C565-1)*12))</f>
        <v>0</v>
      </c>
      <c r="F565" s="1">
        <f>IF(OR(Paths!$C$57=0,C565=0),0,12-E565)</f>
        <v>0</v>
      </c>
      <c r="G565" s="16">
        <f>IF(NOT(Paths!$C$57=1),0,IF(Paths!$P$57="Complete",E565/12*(Paths!$J$57*(1+'Operating costs'!$B$51)^MAX(0,C565-1)+Paths!$K$57*(1+'Operating costs'!$B$53)^MAX(0,C565-1)),"n.a."))</f>
        <v>0</v>
      </c>
      <c r="H565" s="16">
        <f>IF(NOT(Paths!$C$57=1),0,IF(Paths!$P$57="Complete",F565/12*(Paths!$L$57*(1+IF(Paths!$D$57="EV",'Operating costs'!$B$52,'Operating costs'!$B$51))^MAX(0,C565-1)+Paths!$M$57*(1+'Operating costs'!$B$53)^MAX(0,C565-1)),"n.a."))</f>
        <v>0</v>
      </c>
      <c r="I565" s="16">
        <f>IF(NOT(Paths!$C$57=1),0,IF(Paths!$P$57="Complete",IF(IF(Paths!$E$57=0,C565=0,AND(C565&gt;0,Paths!$E$57&gt;(C565-1)*12,Paths!$E$57&lt;=C565*12)),Paths!$G$57,0),"n.a."))</f>
        <v>0</v>
      </c>
      <c r="J565" s="16">
        <f>IF(NOT(Paths!$C$57=1),0,IF(Paths!$P$57="Complete",IF(IF(Paths!$E$57=0,C565=0,AND(C565&gt;0,Paths!$E$57&gt;(C565-1)*12,Paths!$E$57&lt;=C565*12)),Paths!$H$57,0),"n.a."))</f>
        <v>0</v>
      </c>
      <c r="K565" s="16">
        <f>IF(NOT(Paths!$C$57=1),0,IF(Paths!$P$57="Complete",IF(IF(Paths!$O$57=0,C565=0,AND(C565&gt;0,Paths!$O$57&gt;(C565-1)*12,Paths!$O$57&lt;=C565*12)),Paths!$N$57,0),"n.a."))</f>
        <v>0</v>
      </c>
      <c r="L565" s="16">
        <f>IF(NOT(Paths!$C$57=1),0,IF(Paths!$P$57="Complete",IF(C565=10,Paths!$I$57,0),"n.a."))</f>
        <v>0</v>
      </c>
      <c r="M565" s="16">
        <f>IF(NOT(Paths!$C$57=1),0,IF(Paths!$P$57="Complete",IF(AND(Paths!$D$57="EV",Paths!$E$57&lt;120,Paths!$E$57+'Operating costs'!$B$65&gt;Paths!$E$57,Paths!$E$57+'Operating costs'!$B$65&lt;=120,IF(Paths!$E$57+'Operating costs'!$B$65=0,C565=0,AND(C565&gt;0,Paths!$E$57+'Operating costs'!$B$65&gt;(C565-1)*12,Paths!$E$57+'Operating costs'!$B$65&lt;=C565*12))),'Operating costs'!$B$64,0)+IF(AND('Operating costs'!$B$67&gt;0,'Operating costs'!$B$67&lt;=120,OR(Paths!$D$57="ICE",'Operating costs'!$B$67&lt;=Paths!$E$57),IF('Operating costs'!$B$67=0,C565=0,AND(C565&gt;0,'Operating costs'!$B$67&gt;(C565-1)*12,'Operating costs'!$B$67&lt;=C565*12))),'Operating costs'!$B$66,0),"n.a."))</f>
        <v>0</v>
      </c>
      <c r="N565" s="16">
        <f>IF(NOT(Paths!$C$57=1),0,IF(Paths!$P$57="Complete",SUM(G565:I565)-J565-K565-L565+M565+IF(C565=0,Paths!$F$57,0)+IF(IF(Paths!$E$57=0,C565=0,AND(C565&gt;0,Paths!$E$57&gt;(C565-1)*12,Paths!$E$57&lt;=C565*12)),VLOOKUP(A565,'Fleet register'!$A$7:$S$106,16,FALSE),0),"n.a."))</f>
        <v>0</v>
      </c>
      <c r="O565" s="16">
        <f>IF(NOT(Paths!$C$57=1),0,IF(Paths!$P$57="Complete",N565-IF(C565=0,Paths!$F$57,0),"n.a."))</f>
        <v>0</v>
      </c>
      <c r="P565" s="16">
        <f>IF(NOT(Paths!$C$57=1),0,IF(Paths!$P$57="Complete",O565+L565,"n.a."))</f>
        <v>0</v>
      </c>
      <c r="Q565" s="16">
        <f>IF(NOT(Paths!$C$57=1),0,IF(Paths!$P$57="Complete",N565*(1+'Operating costs'!$B$54)^-C565,"n.a."))</f>
        <v>0</v>
      </c>
      <c r="R565" s="16">
        <f>IF(NOT(Paths!$C$57=1),0,IF(Paths!$P$57="Complete",IF(AND(C565=0,Paths!$E$57=0),I565-J565-K565+VLOOKUP(A565,'Fleet register'!$A$7:$S$106,15,FALSE)+VLOOKUP(A565,'Fleet register'!$A$7:$S$106,16,FALSE),0),"n.a."))</f>
        <v>0</v>
      </c>
      <c r="S565" s="1">
        <f>IF(NOT(Paths!$C$57=1),0,IF(Paths!$P$57="Complete",IF(C565=0,0,Paths!$S$57*Paths!$R$57),"n.a."))</f>
        <v>0</v>
      </c>
      <c r="T565" s="1">
        <f>IF(NOT(Paths!$C$57=1),0,IF(Paths!$P$57="Complete",IF(C565=0,0,VLOOKUP(A565,'Fleet register'!$A$7:$S$106,9,FALSE)*Paths!$R$57),"n.a."))</f>
        <v>0</v>
      </c>
    </row>
    <row r="566" spans="1:20" ht="24" customHeight="1">
      <c r="A566" s="1" t="str">
        <f>Paths!$A$57</f>
        <v>T013</v>
      </c>
      <c r="B566" s="1">
        <f>Paths!$B$57</f>
        <v>2</v>
      </c>
      <c r="C566" s="1">
        <v>9</v>
      </c>
      <c r="D566" s="1">
        <v>57</v>
      </c>
      <c r="E566" s="1">
        <f>IF(OR(Paths!$C$57=0,C566=0),0,MAX(0,MIN(C566*12,Paths!$E$57)-(C566-1)*12))</f>
        <v>0</v>
      </c>
      <c r="F566" s="1">
        <f>IF(OR(Paths!$C$57=0,C566=0),0,12-E566)</f>
        <v>0</v>
      </c>
      <c r="G566" s="16">
        <f>IF(NOT(Paths!$C$57=1),0,IF(Paths!$P$57="Complete",E566/12*(Paths!$J$57*(1+'Operating costs'!$B$51)^MAX(0,C566-1)+Paths!$K$57*(1+'Operating costs'!$B$53)^MAX(0,C566-1)),"n.a."))</f>
        <v>0</v>
      </c>
      <c r="H566" s="16">
        <f>IF(NOT(Paths!$C$57=1),0,IF(Paths!$P$57="Complete",F566/12*(Paths!$L$57*(1+IF(Paths!$D$57="EV",'Operating costs'!$B$52,'Operating costs'!$B$51))^MAX(0,C566-1)+Paths!$M$57*(1+'Operating costs'!$B$53)^MAX(0,C566-1)),"n.a."))</f>
        <v>0</v>
      </c>
      <c r="I566" s="16">
        <f>IF(NOT(Paths!$C$57=1),0,IF(Paths!$P$57="Complete",IF(IF(Paths!$E$57=0,C566=0,AND(C566&gt;0,Paths!$E$57&gt;(C566-1)*12,Paths!$E$57&lt;=C566*12)),Paths!$G$57,0),"n.a."))</f>
        <v>0</v>
      </c>
      <c r="J566" s="16">
        <f>IF(NOT(Paths!$C$57=1),0,IF(Paths!$P$57="Complete",IF(IF(Paths!$E$57=0,C566=0,AND(C566&gt;0,Paths!$E$57&gt;(C566-1)*12,Paths!$E$57&lt;=C566*12)),Paths!$H$57,0),"n.a."))</f>
        <v>0</v>
      </c>
      <c r="K566" s="16">
        <f>IF(NOT(Paths!$C$57=1),0,IF(Paths!$P$57="Complete",IF(IF(Paths!$O$57=0,C566=0,AND(C566&gt;0,Paths!$O$57&gt;(C566-1)*12,Paths!$O$57&lt;=C566*12)),Paths!$N$57,0),"n.a."))</f>
        <v>0</v>
      </c>
      <c r="L566" s="16">
        <f>IF(NOT(Paths!$C$57=1),0,IF(Paths!$P$57="Complete",IF(C566=10,Paths!$I$57,0),"n.a."))</f>
        <v>0</v>
      </c>
      <c r="M566" s="16">
        <f>IF(NOT(Paths!$C$57=1),0,IF(Paths!$P$57="Complete",IF(AND(Paths!$D$57="EV",Paths!$E$57&lt;120,Paths!$E$57+'Operating costs'!$B$65&gt;Paths!$E$57,Paths!$E$57+'Operating costs'!$B$65&lt;=120,IF(Paths!$E$57+'Operating costs'!$B$65=0,C566=0,AND(C566&gt;0,Paths!$E$57+'Operating costs'!$B$65&gt;(C566-1)*12,Paths!$E$57+'Operating costs'!$B$65&lt;=C566*12))),'Operating costs'!$B$64,0)+IF(AND('Operating costs'!$B$67&gt;0,'Operating costs'!$B$67&lt;=120,OR(Paths!$D$57="ICE",'Operating costs'!$B$67&lt;=Paths!$E$57),IF('Operating costs'!$B$67=0,C566=0,AND(C566&gt;0,'Operating costs'!$B$67&gt;(C566-1)*12,'Operating costs'!$B$67&lt;=C566*12))),'Operating costs'!$B$66,0),"n.a."))</f>
        <v>0</v>
      </c>
      <c r="N566" s="16">
        <f>IF(NOT(Paths!$C$57=1),0,IF(Paths!$P$57="Complete",SUM(G566:I566)-J566-K566-L566+M566+IF(C566=0,Paths!$F$57,0)+IF(IF(Paths!$E$57=0,C566=0,AND(C566&gt;0,Paths!$E$57&gt;(C566-1)*12,Paths!$E$57&lt;=C566*12)),VLOOKUP(A566,'Fleet register'!$A$7:$S$106,16,FALSE),0),"n.a."))</f>
        <v>0</v>
      </c>
      <c r="O566" s="16">
        <f>IF(NOT(Paths!$C$57=1),0,IF(Paths!$P$57="Complete",N566-IF(C566=0,Paths!$F$57,0),"n.a."))</f>
        <v>0</v>
      </c>
      <c r="P566" s="16">
        <f>IF(NOT(Paths!$C$57=1),0,IF(Paths!$P$57="Complete",O566+L566,"n.a."))</f>
        <v>0</v>
      </c>
      <c r="Q566" s="16">
        <f>IF(NOT(Paths!$C$57=1),0,IF(Paths!$P$57="Complete",N566*(1+'Operating costs'!$B$54)^-C566,"n.a."))</f>
        <v>0</v>
      </c>
      <c r="R566" s="16">
        <f>IF(NOT(Paths!$C$57=1),0,IF(Paths!$P$57="Complete",IF(AND(C566=0,Paths!$E$57=0),I566-J566-K566+VLOOKUP(A566,'Fleet register'!$A$7:$S$106,15,FALSE)+VLOOKUP(A566,'Fleet register'!$A$7:$S$106,16,FALSE),0),"n.a."))</f>
        <v>0</v>
      </c>
      <c r="S566" s="1">
        <f>IF(NOT(Paths!$C$57=1),0,IF(Paths!$P$57="Complete",IF(C566=0,0,Paths!$S$57*Paths!$R$57),"n.a."))</f>
        <v>0</v>
      </c>
      <c r="T566" s="1">
        <f>IF(NOT(Paths!$C$57=1),0,IF(Paths!$P$57="Complete",IF(C566=0,0,VLOOKUP(A566,'Fleet register'!$A$7:$S$106,9,FALSE)*Paths!$R$57),"n.a."))</f>
        <v>0</v>
      </c>
    </row>
    <row r="567" spans="1:20" ht="24" customHeight="1">
      <c r="A567" s="1" t="str">
        <f>Paths!$A$57</f>
        <v>T013</v>
      </c>
      <c r="B567" s="1">
        <f>Paths!$B$57</f>
        <v>2</v>
      </c>
      <c r="C567" s="1">
        <v>10</v>
      </c>
      <c r="D567" s="1">
        <v>57</v>
      </c>
      <c r="E567" s="1">
        <f>IF(OR(Paths!$C$57=0,C567=0),0,MAX(0,MIN(C567*12,Paths!$E$57)-(C567-1)*12))</f>
        <v>0</v>
      </c>
      <c r="F567" s="1">
        <f>IF(OR(Paths!$C$57=0,C567=0),0,12-E567)</f>
        <v>0</v>
      </c>
      <c r="G567" s="16">
        <f>IF(NOT(Paths!$C$57=1),0,IF(Paths!$P$57="Complete",E567/12*(Paths!$J$57*(1+'Operating costs'!$B$51)^MAX(0,C567-1)+Paths!$K$57*(1+'Operating costs'!$B$53)^MAX(0,C567-1)),"n.a."))</f>
        <v>0</v>
      </c>
      <c r="H567" s="16">
        <f>IF(NOT(Paths!$C$57=1),0,IF(Paths!$P$57="Complete",F567/12*(Paths!$L$57*(1+IF(Paths!$D$57="EV",'Operating costs'!$B$52,'Operating costs'!$B$51))^MAX(0,C567-1)+Paths!$M$57*(1+'Operating costs'!$B$53)^MAX(0,C567-1)),"n.a."))</f>
        <v>0</v>
      </c>
      <c r="I567" s="16">
        <f>IF(NOT(Paths!$C$57=1),0,IF(Paths!$P$57="Complete",IF(IF(Paths!$E$57=0,C567=0,AND(C567&gt;0,Paths!$E$57&gt;(C567-1)*12,Paths!$E$57&lt;=C567*12)),Paths!$G$57,0),"n.a."))</f>
        <v>0</v>
      </c>
      <c r="J567" s="16">
        <f>IF(NOT(Paths!$C$57=1),0,IF(Paths!$P$57="Complete",IF(IF(Paths!$E$57=0,C567=0,AND(C567&gt;0,Paths!$E$57&gt;(C567-1)*12,Paths!$E$57&lt;=C567*12)),Paths!$H$57,0),"n.a."))</f>
        <v>0</v>
      </c>
      <c r="K567" s="16">
        <f>IF(NOT(Paths!$C$57=1),0,IF(Paths!$P$57="Complete",IF(IF(Paths!$O$57=0,C567=0,AND(C567&gt;0,Paths!$O$57&gt;(C567-1)*12,Paths!$O$57&lt;=C567*12)),Paths!$N$57,0),"n.a."))</f>
        <v>0</v>
      </c>
      <c r="L567" s="16">
        <f>IF(NOT(Paths!$C$57=1),0,IF(Paths!$P$57="Complete",IF(C567=10,Paths!$I$57,0),"n.a."))</f>
        <v>0</v>
      </c>
      <c r="M567" s="16">
        <f>IF(NOT(Paths!$C$57=1),0,IF(Paths!$P$57="Complete",IF(AND(Paths!$D$57="EV",Paths!$E$57&lt;120,Paths!$E$57+'Operating costs'!$B$65&gt;Paths!$E$57,Paths!$E$57+'Operating costs'!$B$65&lt;=120,IF(Paths!$E$57+'Operating costs'!$B$65=0,C567=0,AND(C567&gt;0,Paths!$E$57+'Operating costs'!$B$65&gt;(C567-1)*12,Paths!$E$57+'Operating costs'!$B$65&lt;=C567*12))),'Operating costs'!$B$64,0)+IF(AND('Operating costs'!$B$67&gt;0,'Operating costs'!$B$67&lt;=120,OR(Paths!$D$57="ICE",'Operating costs'!$B$67&lt;=Paths!$E$57),IF('Operating costs'!$B$67=0,C567=0,AND(C567&gt;0,'Operating costs'!$B$67&gt;(C567-1)*12,'Operating costs'!$B$67&lt;=C567*12))),'Operating costs'!$B$66,0),"n.a."))</f>
        <v>0</v>
      </c>
      <c r="N567" s="16">
        <f>IF(NOT(Paths!$C$57=1),0,IF(Paths!$P$57="Complete",SUM(G567:I567)-J567-K567-L567+M567+IF(C567=0,Paths!$F$57,0)+IF(IF(Paths!$E$57=0,C567=0,AND(C567&gt;0,Paths!$E$57&gt;(C567-1)*12,Paths!$E$57&lt;=C567*12)),VLOOKUP(A567,'Fleet register'!$A$7:$S$106,16,FALSE),0),"n.a."))</f>
        <v>0</v>
      </c>
      <c r="O567" s="16">
        <f>IF(NOT(Paths!$C$57=1),0,IF(Paths!$P$57="Complete",N567-IF(C567=0,Paths!$F$57,0),"n.a."))</f>
        <v>0</v>
      </c>
      <c r="P567" s="16">
        <f>IF(NOT(Paths!$C$57=1),0,IF(Paths!$P$57="Complete",O567+L567,"n.a."))</f>
        <v>0</v>
      </c>
      <c r="Q567" s="16">
        <f>IF(NOT(Paths!$C$57=1),0,IF(Paths!$P$57="Complete",N567*(1+'Operating costs'!$B$54)^-C567,"n.a."))</f>
        <v>0</v>
      </c>
      <c r="R567" s="16">
        <f>IF(NOT(Paths!$C$57=1),0,IF(Paths!$P$57="Complete",IF(AND(C567=0,Paths!$E$57=0),I567-J567-K567+VLOOKUP(A567,'Fleet register'!$A$7:$S$106,15,FALSE)+VLOOKUP(A567,'Fleet register'!$A$7:$S$106,16,FALSE),0),"n.a."))</f>
        <v>0</v>
      </c>
      <c r="S567" s="1">
        <f>IF(NOT(Paths!$C$57=1),0,IF(Paths!$P$57="Complete",IF(C567=0,0,Paths!$S$57*Paths!$R$57),"n.a."))</f>
        <v>0</v>
      </c>
      <c r="T567" s="1">
        <f>IF(NOT(Paths!$C$57=1),0,IF(Paths!$P$57="Complete",IF(C567=0,0,VLOOKUP(A567,'Fleet register'!$A$7:$S$106,9,FALSE)*Paths!$R$57),"n.a."))</f>
        <v>0</v>
      </c>
    </row>
    <row r="568" spans="1:20" ht="24" customHeight="1">
      <c r="A568" s="1" t="str">
        <f>Paths!$A$58</f>
        <v>T013</v>
      </c>
      <c r="B568" s="1">
        <f>Paths!$B$58</f>
        <v>3</v>
      </c>
      <c r="C568" s="1">
        <v>0</v>
      </c>
      <c r="D568" s="1">
        <v>58</v>
      </c>
      <c r="E568" s="1">
        <f>IF(OR(Paths!$C$58=0,C568=0),0,MAX(0,MIN(C568*12,Paths!$E$58)-(C568-1)*12))</f>
        <v>0</v>
      </c>
      <c r="F568" s="1">
        <f>IF(OR(Paths!$C$58=0,C568=0),0,12-E568)</f>
        <v>0</v>
      </c>
      <c r="G568" s="16">
        <f>IF(NOT(Paths!$C$58=1),0,IF(Paths!$P$58="Complete",E568/12*(Paths!$J$58*(1+'Operating costs'!$B$51)^MAX(0,C568-1)+Paths!$K$58*(1+'Operating costs'!$B$53)^MAX(0,C568-1)),"n.a."))</f>
        <v>0</v>
      </c>
      <c r="H568" s="16">
        <f>IF(NOT(Paths!$C$58=1),0,IF(Paths!$P$58="Complete",F568/12*(Paths!$L$58*(1+IF(Paths!$D$58="EV",'Operating costs'!$B$52,'Operating costs'!$B$51))^MAX(0,C568-1)+Paths!$M$58*(1+'Operating costs'!$B$53)^MAX(0,C568-1)),"n.a."))</f>
        <v>0</v>
      </c>
      <c r="I568" s="16">
        <f>IF(NOT(Paths!$C$58=1),0,IF(Paths!$P$58="Complete",IF(IF(Paths!$E$58=0,C568=0,AND(C568&gt;0,Paths!$E$58&gt;(C568-1)*12,Paths!$E$58&lt;=C568*12)),Paths!$G$58,0),"n.a."))</f>
        <v>0</v>
      </c>
      <c r="J568" s="16">
        <f>IF(NOT(Paths!$C$58=1),0,IF(Paths!$P$58="Complete",IF(IF(Paths!$E$58=0,C568=0,AND(C568&gt;0,Paths!$E$58&gt;(C568-1)*12,Paths!$E$58&lt;=C568*12)),Paths!$H$58,0),"n.a."))</f>
        <v>0</v>
      </c>
      <c r="K568" s="16">
        <f>IF(NOT(Paths!$C$58=1),0,IF(Paths!$P$58="Complete",IF(IF(Paths!$O$58=0,C568=0,AND(C568&gt;0,Paths!$O$58&gt;(C568-1)*12,Paths!$O$58&lt;=C568*12)),Paths!$N$58,0),"n.a."))</f>
        <v>0</v>
      </c>
      <c r="L568" s="16">
        <f>IF(NOT(Paths!$C$58=1),0,IF(Paths!$P$58="Complete",IF(C568=10,Paths!$I$58,0),"n.a."))</f>
        <v>0</v>
      </c>
      <c r="M568" s="16">
        <f>IF(NOT(Paths!$C$58=1),0,IF(Paths!$P$58="Complete",IF(AND(Paths!$D$58="EV",Paths!$E$58&lt;120,Paths!$E$58+'Operating costs'!$B$65&gt;Paths!$E$58,Paths!$E$58+'Operating costs'!$B$65&lt;=120,IF(Paths!$E$58+'Operating costs'!$B$65=0,C568=0,AND(C568&gt;0,Paths!$E$58+'Operating costs'!$B$65&gt;(C568-1)*12,Paths!$E$58+'Operating costs'!$B$65&lt;=C568*12))),'Operating costs'!$B$64,0)+IF(AND('Operating costs'!$B$67&gt;0,'Operating costs'!$B$67&lt;=120,OR(Paths!$D$58="ICE",'Operating costs'!$B$67&lt;=Paths!$E$58),IF('Operating costs'!$B$67=0,C568=0,AND(C568&gt;0,'Operating costs'!$B$67&gt;(C568-1)*12,'Operating costs'!$B$67&lt;=C568*12))),'Operating costs'!$B$66,0),"n.a."))</f>
        <v>0</v>
      </c>
      <c r="N568" s="16">
        <f>IF(NOT(Paths!$C$58=1),0,IF(Paths!$P$58="Complete",SUM(G568:I568)-J568-K568-L568+M568+IF(C568=0,Paths!$F$58,0)+IF(IF(Paths!$E$58=0,C568=0,AND(C568&gt;0,Paths!$E$58&gt;(C568-1)*12,Paths!$E$58&lt;=C568*12)),VLOOKUP(A568,'Fleet register'!$A$7:$S$106,16,FALSE),0),"n.a."))</f>
        <v>0</v>
      </c>
      <c r="O568" s="16">
        <f>IF(NOT(Paths!$C$58=1),0,IF(Paths!$P$58="Complete",N568-IF(C568=0,Paths!$F$58,0),"n.a."))</f>
        <v>0</v>
      </c>
      <c r="P568" s="16">
        <f>IF(NOT(Paths!$C$58=1),0,IF(Paths!$P$58="Complete",O568+L568,"n.a."))</f>
        <v>0</v>
      </c>
      <c r="Q568" s="16">
        <f>IF(NOT(Paths!$C$58=1),0,IF(Paths!$P$58="Complete",N568*(1+'Operating costs'!$B$54)^-C568,"n.a."))</f>
        <v>0</v>
      </c>
      <c r="R568" s="16">
        <f>IF(NOT(Paths!$C$58=1),0,IF(Paths!$P$58="Complete",IF(AND(C568=0,Paths!$E$58=0),I568-J568-K568+VLOOKUP(A568,'Fleet register'!$A$7:$S$106,15,FALSE)+VLOOKUP(A568,'Fleet register'!$A$7:$S$106,16,FALSE),0),"n.a."))</f>
        <v>0</v>
      </c>
      <c r="S568" s="1">
        <f>IF(NOT(Paths!$C$58=1),0,IF(Paths!$P$58="Complete",IF(C568=0,0,Paths!$S$58*Paths!$R$58),"n.a."))</f>
        <v>0</v>
      </c>
      <c r="T568" s="1">
        <f>IF(NOT(Paths!$C$58=1),0,IF(Paths!$P$58="Complete",IF(C568=0,0,VLOOKUP(A568,'Fleet register'!$A$7:$S$106,9,FALSE)*Paths!$R$58),"n.a."))</f>
        <v>0</v>
      </c>
    </row>
    <row r="569" spans="1:20" ht="24" customHeight="1">
      <c r="A569" s="1" t="str">
        <f>Paths!$A$58</f>
        <v>T013</v>
      </c>
      <c r="B569" s="1">
        <f>Paths!$B$58</f>
        <v>3</v>
      </c>
      <c r="C569" s="1">
        <v>1</v>
      </c>
      <c r="D569" s="1">
        <v>58</v>
      </c>
      <c r="E569" s="1">
        <f>IF(OR(Paths!$C$58=0,C569=0),0,MAX(0,MIN(C569*12,Paths!$E$58)-(C569-1)*12))</f>
        <v>0</v>
      </c>
      <c r="F569" s="1">
        <f>IF(OR(Paths!$C$58=0,C569=0),0,12-E569)</f>
        <v>0</v>
      </c>
      <c r="G569" s="16">
        <f>IF(NOT(Paths!$C$58=1),0,IF(Paths!$P$58="Complete",E569/12*(Paths!$J$58*(1+'Operating costs'!$B$51)^MAX(0,C569-1)+Paths!$K$58*(1+'Operating costs'!$B$53)^MAX(0,C569-1)),"n.a."))</f>
        <v>0</v>
      </c>
      <c r="H569" s="16">
        <f>IF(NOT(Paths!$C$58=1),0,IF(Paths!$P$58="Complete",F569/12*(Paths!$L$58*(1+IF(Paths!$D$58="EV",'Operating costs'!$B$52,'Operating costs'!$B$51))^MAX(0,C569-1)+Paths!$M$58*(1+'Operating costs'!$B$53)^MAX(0,C569-1)),"n.a."))</f>
        <v>0</v>
      </c>
      <c r="I569" s="16">
        <f>IF(NOT(Paths!$C$58=1),0,IF(Paths!$P$58="Complete",IF(IF(Paths!$E$58=0,C569=0,AND(C569&gt;0,Paths!$E$58&gt;(C569-1)*12,Paths!$E$58&lt;=C569*12)),Paths!$G$58,0),"n.a."))</f>
        <v>0</v>
      </c>
      <c r="J569" s="16">
        <f>IF(NOT(Paths!$C$58=1),0,IF(Paths!$P$58="Complete",IF(IF(Paths!$E$58=0,C569=0,AND(C569&gt;0,Paths!$E$58&gt;(C569-1)*12,Paths!$E$58&lt;=C569*12)),Paths!$H$58,0),"n.a."))</f>
        <v>0</v>
      </c>
      <c r="K569" s="16">
        <f>IF(NOT(Paths!$C$58=1),0,IF(Paths!$P$58="Complete",IF(IF(Paths!$O$58=0,C569=0,AND(C569&gt;0,Paths!$O$58&gt;(C569-1)*12,Paths!$O$58&lt;=C569*12)),Paths!$N$58,0),"n.a."))</f>
        <v>0</v>
      </c>
      <c r="L569" s="16">
        <f>IF(NOT(Paths!$C$58=1),0,IF(Paths!$P$58="Complete",IF(C569=10,Paths!$I$58,0),"n.a."))</f>
        <v>0</v>
      </c>
      <c r="M569" s="16">
        <f>IF(NOT(Paths!$C$58=1),0,IF(Paths!$P$58="Complete",IF(AND(Paths!$D$58="EV",Paths!$E$58&lt;120,Paths!$E$58+'Operating costs'!$B$65&gt;Paths!$E$58,Paths!$E$58+'Operating costs'!$B$65&lt;=120,IF(Paths!$E$58+'Operating costs'!$B$65=0,C569=0,AND(C569&gt;0,Paths!$E$58+'Operating costs'!$B$65&gt;(C569-1)*12,Paths!$E$58+'Operating costs'!$B$65&lt;=C569*12))),'Operating costs'!$B$64,0)+IF(AND('Operating costs'!$B$67&gt;0,'Operating costs'!$B$67&lt;=120,OR(Paths!$D$58="ICE",'Operating costs'!$B$67&lt;=Paths!$E$58),IF('Operating costs'!$B$67=0,C569=0,AND(C569&gt;0,'Operating costs'!$B$67&gt;(C569-1)*12,'Operating costs'!$B$67&lt;=C569*12))),'Operating costs'!$B$66,0),"n.a."))</f>
        <v>0</v>
      </c>
      <c r="N569" s="16">
        <f>IF(NOT(Paths!$C$58=1),0,IF(Paths!$P$58="Complete",SUM(G569:I569)-J569-K569-L569+M569+IF(C569=0,Paths!$F$58,0)+IF(IF(Paths!$E$58=0,C569=0,AND(C569&gt;0,Paths!$E$58&gt;(C569-1)*12,Paths!$E$58&lt;=C569*12)),VLOOKUP(A569,'Fleet register'!$A$7:$S$106,16,FALSE),0),"n.a."))</f>
        <v>0</v>
      </c>
      <c r="O569" s="16">
        <f>IF(NOT(Paths!$C$58=1),0,IF(Paths!$P$58="Complete",N569-IF(C569=0,Paths!$F$58,0),"n.a."))</f>
        <v>0</v>
      </c>
      <c r="P569" s="16">
        <f>IF(NOT(Paths!$C$58=1),0,IF(Paths!$P$58="Complete",O569+L569,"n.a."))</f>
        <v>0</v>
      </c>
      <c r="Q569" s="16">
        <f>IF(NOT(Paths!$C$58=1),0,IF(Paths!$P$58="Complete",N569*(1+'Operating costs'!$B$54)^-C569,"n.a."))</f>
        <v>0</v>
      </c>
      <c r="R569" s="16">
        <f>IF(NOT(Paths!$C$58=1),0,IF(Paths!$P$58="Complete",IF(AND(C569=0,Paths!$E$58=0),I569-J569-K569+VLOOKUP(A569,'Fleet register'!$A$7:$S$106,15,FALSE)+VLOOKUP(A569,'Fleet register'!$A$7:$S$106,16,FALSE),0),"n.a."))</f>
        <v>0</v>
      </c>
      <c r="S569" s="1">
        <f>IF(NOT(Paths!$C$58=1),0,IF(Paths!$P$58="Complete",IF(C569=0,0,Paths!$S$58*Paths!$R$58),"n.a."))</f>
        <v>0</v>
      </c>
      <c r="T569" s="1">
        <f>IF(NOT(Paths!$C$58=1),0,IF(Paths!$P$58="Complete",IF(C569=0,0,VLOOKUP(A569,'Fleet register'!$A$7:$S$106,9,FALSE)*Paths!$R$58),"n.a."))</f>
        <v>0</v>
      </c>
    </row>
    <row r="570" spans="1:20" ht="24" customHeight="1">
      <c r="A570" s="1" t="str">
        <f>Paths!$A$58</f>
        <v>T013</v>
      </c>
      <c r="B570" s="1">
        <f>Paths!$B$58</f>
        <v>3</v>
      </c>
      <c r="C570" s="1">
        <v>2</v>
      </c>
      <c r="D570" s="1">
        <v>58</v>
      </c>
      <c r="E570" s="1">
        <f>IF(OR(Paths!$C$58=0,C570=0),0,MAX(0,MIN(C570*12,Paths!$E$58)-(C570-1)*12))</f>
        <v>0</v>
      </c>
      <c r="F570" s="1">
        <f>IF(OR(Paths!$C$58=0,C570=0),0,12-E570)</f>
        <v>0</v>
      </c>
      <c r="G570" s="16">
        <f>IF(NOT(Paths!$C$58=1),0,IF(Paths!$P$58="Complete",E570/12*(Paths!$J$58*(1+'Operating costs'!$B$51)^MAX(0,C570-1)+Paths!$K$58*(1+'Operating costs'!$B$53)^MAX(0,C570-1)),"n.a."))</f>
        <v>0</v>
      </c>
      <c r="H570" s="16">
        <f>IF(NOT(Paths!$C$58=1),0,IF(Paths!$P$58="Complete",F570/12*(Paths!$L$58*(1+IF(Paths!$D$58="EV",'Operating costs'!$B$52,'Operating costs'!$B$51))^MAX(0,C570-1)+Paths!$M$58*(1+'Operating costs'!$B$53)^MAX(0,C570-1)),"n.a."))</f>
        <v>0</v>
      </c>
      <c r="I570" s="16">
        <f>IF(NOT(Paths!$C$58=1),0,IF(Paths!$P$58="Complete",IF(IF(Paths!$E$58=0,C570=0,AND(C570&gt;0,Paths!$E$58&gt;(C570-1)*12,Paths!$E$58&lt;=C570*12)),Paths!$G$58,0),"n.a."))</f>
        <v>0</v>
      </c>
      <c r="J570" s="16">
        <f>IF(NOT(Paths!$C$58=1),0,IF(Paths!$P$58="Complete",IF(IF(Paths!$E$58=0,C570=0,AND(C570&gt;0,Paths!$E$58&gt;(C570-1)*12,Paths!$E$58&lt;=C570*12)),Paths!$H$58,0),"n.a."))</f>
        <v>0</v>
      </c>
      <c r="K570" s="16">
        <f>IF(NOT(Paths!$C$58=1),0,IF(Paths!$P$58="Complete",IF(IF(Paths!$O$58=0,C570=0,AND(C570&gt;0,Paths!$O$58&gt;(C570-1)*12,Paths!$O$58&lt;=C570*12)),Paths!$N$58,0),"n.a."))</f>
        <v>0</v>
      </c>
      <c r="L570" s="16">
        <f>IF(NOT(Paths!$C$58=1),0,IF(Paths!$P$58="Complete",IF(C570=10,Paths!$I$58,0),"n.a."))</f>
        <v>0</v>
      </c>
      <c r="M570" s="16">
        <f>IF(NOT(Paths!$C$58=1),0,IF(Paths!$P$58="Complete",IF(AND(Paths!$D$58="EV",Paths!$E$58&lt;120,Paths!$E$58+'Operating costs'!$B$65&gt;Paths!$E$58,Paths!$E$58+'Operating costs'!$B$65&lt;=120,IF(Paths!$E$58+'Operating costs'!$B$65=0,C570=0,AND(C570&gt;0,Paths!$E$58+'Operating costs'!$B$65&gt;(C570-1)*12,Paths!$E$58+'Operating costs'!$B$65&lt;=C570*12))),'Operating costs'!$B$64,0)+IF(AND('Operating costs'!$B$67&gt;0,'Operating costs'!$B$67&lt;=120,OR(Paths!$D$58="ICE",'Operating costs'!$B$67&lt;=Paths!$E$58),IF('Operating costs'!$B$67=0,C570=0,AND(C570&gt;0,'Operating costs'!$B$67&gt;(C570-1)*12,'Operating costs'!$B$67&lt;=C570*12))),'Operating costs'!$B$66,0),"n.a."))</f>
        <v>0</v>
      </c>
      <c r="N570" s="16">
        <f>IF(NOT(Paths!$C$58=1),0,IF(Paths!$P$58="Complete",SUM(G570:I570)-J570-K570-L570+M570+IF(C570=0,Paths!$F$58,0)+IF(IF(Paths!$E$58=0,C570=0,AND(C570&gt;0,Paths!$E$58&gt;(C570-1)*12,Paths!$E$58&lt;=C570*12)),VLOOKUP(A570,'Fleet register'!$A$7:$S$106,16,FALSE),0),"n.a."))</f>
        <v>0</v>
      </c>
      <c r="O570" s="16">
        <f>IF(NOT(Paths!$C$58=1),0,IF(Paths!$P$58="Complete",N570-IF(C570=0,Paths!$F$58,0),"n.a."))</f>
        <v>0</v>
      </c>
      <c r="P570" s="16">
        <f>IF(NOT(Paths!$C$58=1),0,IF(Paths!$P$58="Complete",O570+L570,"n.a."))</f>
        <v>0</v>
      </c>
      <c r="Q570" s="16">
        <f>IF(NOT(Paths!$C$58=1),0,IF(Paths!$P$58="Complete",N570*(1+'Operating costs'!$B$54)^-C570,"n.a."))</f>
        <v>0</v>
      </c>
      <c r="R570" s="16">
        <f>IF(NOT(Paths!$C$58=1),0,IF(Paths!$P$58="Complete",IF(AND(C570=0,Paths!$E$58=0),I570-J570-K570+VLOOKUP(A570,'Fleet register'!$A$7:$S$106,15,FALSE)+VLOOKUP(A570,'Fleet register'!$A$7:$S$106,16,FALSE),0),"n.a."))</f>
        <v>0</v>
      </c>
      <c r="S570" s="1">
        <f>IF(NOT(Paths!$C$58=1),0,IF(Paths!$P$58="Complete",IF(C570=0,0,Paths!$S$58*Paths!$R$58),"n.a."))</f>
        <v>0</v>
      </c>
      <c r="T570" s="1">
        <f>IF(NOT(Paths!$C$58=1),0,IF(Paths!$P$58="Complete",IF(C570=0,0,VLOOKUP(A570,'Fleet register'!$A$7:$S$106,9,FALSE)*Paths!$R$58),"n.a."))</f>
        <v>0</v>
      </c>
    </row>
    <row r="571" spans="1:20" ht="24" customHeight="1">
      <c r="A571" s="1" t="str">
        <f>Paths!$A$58</f>
        <v>T013</v>
      </c>
      <c r="B571" s="1">
        <f>Paths!$B$58</f>
        <v>3</v>
      </c>
      <c r="C571" s="1">
        <v>3</v>
      </c>
      <c r="D571" s="1">
        <v>58</v>
      </c>
      <c r="E571" s="1">
        <f>IF(OR(Paths!$C$58=0,C571=0),0,MAX(0,MIN(C571*12,Paths!$E$58)-(C571-1)*12))</f>
        <v>0</v>
      </c>
      <c r="F571" s="1">
        <f>IF(OR(Paths!$C$58=0,C571=0),0,12-E571)</f>
        <v>0</v>
      </c>
      <c r="G571" s="16">
        <f>IF(NOT(Paths!$C$58=1),0,IF(Paths!$P$58="Complete",E571/12*(Paths!$J$58*(1+'Operating costs'!$B$51)^MAX(0,C571-1)+Paths!$K$58*(1+'Operating costs'!$B$53)^MAX(0,C571-1)),"n.a."))</f>
        <v>0</v>
      </c>
      <c r="H571" s="16">
        <f>IF(NOT(Paths!$C$58=1),0,IF(Paths!$P$58="Complete",F571/12*(Paths!$L$58*(1+IF(Paths!$D$58="EV",'Operating costs'!$B$52,'Operating costs'!$B$51))^MAX(0,C571-1)+Paths!$M$58*(1+'Operating costs'!$B$53)^MAX(0,C571-1)),"n.a."))</f>
        <v>0</v>
      </c>
      <c r="I571" s="16">
        <f>IF(NOT(Paths!$C$58=1),0,IF(Paths!$P$58="Complete",IF(IF(Paths!$E$58=0,C571=0,AND(C571&gt;0,Paths!$E$58&gt;(C571-1)*12,Paths!$E$58&lt;=C571*12)),Paths!$G$58,0),"n.a."))</f>
        <v>0</v>
      </c>
      <c r="J571" s="16">
        <f>IF(NOT(Paths!$C$58=1),0,IF(Paths!$P$58="Complete",IF(IF(Paths!$E$58=0,C571=0,AND(C571&gt;0,Paths!$E$58&gt;(C571-1)*12,Paths!$E$58&lt;=C571*12)),Paths!$H$58,0),"n.a."))</f>
        <v>0</v>
      </c>
      <c r="K571" s="16">
        <f>IF(NOT(Paths!$C$58=1),0,IF(Paths!$P$58="Complete",IF(IF(Paths!$O$58=0,C571=0,AND(C571&gt;0,Paths!$O$58&gt;(C571-1)*12,Paths!$O$58&lt;=C571*12)),Paths!$N$58,0),"n.a."))</f>
        <v>0</v>
      </c>
      <c r="L571" s="16">
        <f>IF(NOT(Paths!$C$58=1),0,IF(Paths!$P$58="Complete",IF(C571=10,Paths!$I$58,0),"n.a."))</f>
        <v>0</v>
      </c>
      <c r="M571" s="16">
        <f>IF(NOT(Paths!$C$58=1),0,IF(Paths!$P$58="Complete",IF(AND(Paths!$D$58="EV",Paths!$E$58&lt;120,Paths!$E$58+'Operating costs'!$B$65&gt;Paths!$E$58,Paths!$E$58+'Operating costs'!$B$65&lt;=120,IF(Paths!$E$58+'Operating costs'!$B$65=0,C571=0,AND(C571&gt;0,Paths!$E$58+'Operating costs'!$B$65&gt;(C571-1)*12,Paths!$E$58+'Operating costs'!$B$65&lt;=C571*12))),'Operating costs'!$B$64,0)+IF(AND('Operating costs'!$B$67&gt;0,'Operating costs'!$B$67&lt;=120,OR(Paths!$D$58="ICE",'Operating costs'!$B$67&lt;=Paths!$E$58),IF('Operating costs'!$B$67=0,C571=0,AND(C571&gt;0,'Operating costs'!$B$67&gt;(C571-1)*12,'Operating costs'!$B$67&lt;=C571*12))),'Operating costs'!$B$66,0),"n.a."))</f>
        <v>0</v>
      </c>
      <c r="N571" s="16">
        <f>IF(NOT(Paths!$C$58=1),0,IF(Paths!$P$58="Complete",SUM(G571:I571)-J571-K571-L571+M571+IF(C571=0,Paths!$F$58,0)+IF(IF(Paths!$E$58=0,C571=0,AND(C571&gt;0,Paths!$E$58&gt;(C571-1)*12,Paths!$E$58&lt;=C571*12)),VLOOKUP(A571,'Fleet register'!$A$7:$S$106,16,FALSE),0),"n.a."))</f>
        <v>0</v>
      </c>
      <c r="O571" s="16">
        <f>IF(NOT(Paths!$C$58=1),0,IF(Paths!$P$58="Complete",N571-IF(C571=0,Paths!$F$58,0),"n.a."))</f>
        <v>0</v>
      </c>
      <c r="P571" s="16">
        <f>IF(NOT(Paths!$C$58=1),0,IF(Paths!$P$58="Complete",O571+L571,"n.a."))</f>
        <v>0</v>
      </c>
      <c r="Q571" s="16">
        <f>IF(NOT(Paths!$C$58=1),0,IF(Paths!$P$58="Complete",N571*(1+'Operating costs'!$B$54)^-C571,"n.a."))</f>
        <v>0</v>
      </c>
      <c r="R571" s="16">
        <f>IF(NOT(Paths!$C$58=1),0,IF(Paths!$P$58="Complete",IF(AND(C571=0,Paths!$E$58=0),I571-J571-K571+VLOOKUP(A571,'Fleet register'!$A$7:$S$106,15,FALSE)+VLOOKUP(A571,'Fleet register'!$A$7:$S$106,16,FALSE),0),"n.a."))</f>
        <v>0</v>
      </c>
      <c r="S571" s="1">
        <f>IF(NOT(Paths!$C$58=1),0,IF(Paths!$P$58="Complete",IF(C571=0,0,Paths!$S$58*Paths!$R$58),"n.a."))</f>
        <v>0</v>
      </c>
      <c r="T571" s="1">
        <f>IF(NOT(Paths!$C$58=1),0,IF(Paths!$P$58="Complete",IF(C571=0,0,VLOOKUP(A571,'Fleet register'!$A$7:$S$106,9,FALSE)*Paths!$R$58),"n.a."))</f>
        <v>0</v>
      </c>
    </row>
    <row r="572" spans="1:20" ht="24" customHeight="1">
      <c r="A572" s="1" t="str">
        <f>Paths!$A$58</f>
        <v>T013</v>
      </c>
      <c r="B572" s="1">
        <f>Paths!$B$58</f>
        <v>3</v>
      </c>
      <c r="C572" s="1">
        <v>4</v>
      </c>
      <c r="D572" s="1">
        <v>58</v>
      </c>
      <c r="E572" s="1">
        <f>IF(OR(Paths!$C$58=0,C572=0),0,MAX(0,MIN(C572*12,Paths!$E$58)-(C572-1)*12))</f>
        <v>0</v>
      </c>
      <c r="F572" s="1">
        <f>IF(OR(Paths!$C$58=0,C572=0),0,12-E572)</f>
        <v>0</v>
      </c>
      <c r="G572" s="16">
        <f>IF(NOT(Paths!$C$58=1),0,IF(Paths!$P$58="Complete",E572/12*(Paths!$J$58*(1+'Operating costs'!$B$51)^MAX(0,C572-1)+Paths!$K$58*(1+'Operating costs'!$B$53)^MAX(0,C572-1)),"n.a."))</f>
        <v>0</v>
      </c>
      <c r="H572" s="16">
        <f>IF(NOT(Paths!$C$58=1),0,IF(Paths!$P$58="Complete",F572/12*(Paths!$L$58*(1+IF(Paths!$D$58="EV",'Operating costs'!$B$52,'Operating costs'!$B$51))^MAX(0,C572-1)+Paths!$M$58*(1+'Operating costs'!$B$53)^MAX(0,C572-1)),"n.a."))</f>
        <v>0</v>
      </c>
      <c r="I572" s="16">
        <f>IF(NOT(Paths!$C$58=1),0,IF(Paths!$P$58="Complete",IF(IF(Paths!$E$58=0,C572=0,AND(C572&gt;0,Paths!$E$58&gt;(C572-1)*12,Paths!$E$58&lt;=C572*12)),Paths!$G$58,0),"n.a."))</f>
        <v>0</v>
      </c>
      <c r="J572" s="16">
        <f>IF(NOT(Paths!$C$58=1),0,IF(Paths!$P$58="Complete",IF(IF(Paths!$E$58=0,C572=0,AND(C572&gt;0,Paths!$E$58&gt;(C572-1)*12,Paths!$E$58&lt;=C572*12)),Paths!$H$58,0),"n.a."))</f>
        <v>0</v>
      </c>
      <c r="K572" s="16">
        <f>IF(NOT(Paths!$C$58=1),0,IF(Paths!$P$58="Complete",IF(IF(Paths!$O$58=0,C572=0,AND(C572&gt;0,Paths!$O$58&gt;(C572-1)*12,Paths!$O$58&lt;=C572*12)),Paths!$N$58,0),"n.a."))</f>
        <v>0</v>
      </c>
      <c r="L572" s="16">
        <f>IF(NOT(Paths!$C$58=1),0,IF(Paths!$P$58="Complete",IF(C572=10,Paths!$I$58,0),"n.a."))</f>
        <v>0</v>
      </c>
      <c r="M572" s="16">
        <f>IF(NOT(Paths!$C$58=1),0,IF(Paths!$P$58="Complete",IF(AND(Paths!$D$58="EV",Paths!$E$58&lt;120,Paths!$E$58+'Operating costs'!$B$65&gt;Paths!$E$58,Paths!$E$58+'Operating costs'!$B$65&lt;=120,IF(Paths!$E$58+'Operating costs'!$B$65=0,C572=0,AND(C572&gt;0,Paths!$E$58+'Operating costs'!$B$65&gt;(C572-1)*12,Paths!$E$58+'Operating costs'!$B$65&lt;=C572*12))),'Operating costs'!$B$64,0)+IF(AND('Operating costs'!$B$67&gt;0,'Operating costs'!$B$67&lt;=120,OR(Paths!$D$58="ICE",'Operating costs'!$B$67&lt;=Paths!$E$58),IF('Operating costs'!$B$67=0,C572=0,AND(C572&gt;0,'Operating costs'!$B$67&gt;(C572-1)*12,'Operating costs'!$B$67&lt;=C572*12))),'Operating costs'!$B$66,0),"n.a."))</f>
        <v>0</v>
      </c>
      <c r="N572" s="16">
        <f>IF(NOT(Paths!$C$58=1),0,IF(Paths!$P$58="Complete",SUM(G572:I572)-J572-K572-L572+M572+IF(C572=0,Paths!$F$58,0)+IF(IF(Paths!$E$58=0,C572=0,AND(C572&gt;0,Paths!$E$58&gt;(C572-1)*12,Paths!$E$58&lt;=C572*12)),VLOOKUP(A572,'Fleet register'!$A$7:$S$106,16,FALSE),0),"n.a."))</f>
        <v>0</v>
      </c>
      <c r="O572" s="16">
        <f>IF(NOT(Paths!$C$58=1),0,IF(Paths!$P$58="Complete",N572-IF(C572=0,Paths!$F$58,0),"n.a."))</f>
        <v>0</v>
      </c>
      <c r="P572" s="16">
        <f>IF(NOT(Paths!$C$58=1),0,IF(Paths!$P$58="Complete",O572+L572,"n.a."))</f>
        <v>0</v>
      </c>
      <c r="Q572" s="16">
        <f>IF(NOT(Paths!$C$58=1),0,IF(Paths!$P$58="Complete",N572*(1+'Operating costs'!$B$54)^-C572,"n.a."))</f>
        <v>0</v>
      </c>
      <c r="R572" s="16">
        <f>IF(NOT(Paths!$C$58=1),0,IF(Paths!$P$58="Complete",IF(AND(C572=0,Paths!$E$58=0),I572-J572-K572+VLOOKUP(A572,'Fleet register'!$A$7:$S$106,15,FALSE)+VLOOKUP(A572,'Fleet register'!$A$7:$S$106,16,FALSE),0),"n.a."))</f>
        <v>0</v>
      </c>
      <c r="S572" s="1">
        <f>IF(NOT(Paths!$C$58=1),0,IF(Paths!$P$58="Complete",IF(C572=0,0,Paths!$S$58*Paths!$R$58),"n.a."))</f>
        <v>0</v>
      </c>
      <c r="T572" s="1">
        <f>IF(NOT(Paths!$C$58=1),0,IF(Paths!$P$58="Complete",IF(C572=0,0,VLOOKUP(A572,'Fleet register'!$A$7:$S$106,9,FALSE)*Paths!$R$58),"n.a."))</f>
        <v>0</v>
      </c>
    </row>
    <row r="573" spans="1:20" ht="24" customHeight="1">
      <c r="A573" s="1" t="str">
        <f>Paths!$A$58</f>
        <v>T013</v>
      </c>
      <c r="B573" s="1">
        <f>Paths!$B$58</f>
        <v>3</v>
      </c>
      <c r="C573" s="1">
        <v>5</v>
      </c>
      <c r="D573" s="1">
        <v>58</v>
      </c>
      <c r="E573" s="1">
        <f>IF(OR(Paths!$C$58=0,C573=0),0,MAX(0,MIN(C573*12,Paths!$E$58)-(C573-1)*12))</f>
        <v>0</v>
      </c>
      <c r="F573" s="1">
        <f>IF(OR(Paths!$C$58=0,C573=0),0,12-E573)</f>
        <v>0</v>
      </c>
      <c r="G573" s="16">
        <f>IF(NOT(Paths!$C$58=1),0,IF(Paths!$P$58="Complete",E573/12*(Paths!$J$58*(1+'Operating costs'!$B$51)^MAX(0,C573-1)+Paths!$K$58*(1+'Operating costs'!$B$53)^MAX(0,C573-1)),"n.a."))</f>
        <v>0</v>
      </c>
      <c r="H573" s="16">
        <f>IF(NOT(Paths!$C$58=1),0,IF(Paths!$P$58="Complete",F573/12*(Paths!$L$58*(1+IF(Paths!$D$58="EV",'Operating costs'!$B$52,'Operating costs'!$B$51))^MAX(0,C573-1)+Paths!$M$58*(1+'Operating costs'!$B$53)^MAX(0,C573-1)),"n.a."))</f>
        <v>0</v>
      </c>
      <c r="I573" s="16">
        <f>IF(NOT(Paths!$C$58=1),0,IF(Paths!$P$58="Complete",IF(IF(Paths!$E$58=0,C573=0,AND(C573&gt;0,Paths!$E$58&gt;(C573-1)*12,Paths!$E$58&lt;=C573*12)),Paths!$G$58,0),"n.a."))</f>
        <v>0</v>
      </c>
      <c r="J573" s="16">
        <f>IF(NOT(Paths!$C$58=1),0,IF(Paths!$P$58="Complete",IF(IF(Paths!$E$58=0,C573=0,AND(C573&gt;0,Paths!$E$58&gt;(C573-1)*12,Paths!$E$58&lt;=C573*12)),Paths!$H$58,0),"n.a."))</f>
        <v>0</v>
      </c>
      <c r="K573" s="16">
        <f>IF(NOT(Paths!$C$58=1),0,IF(Paths!$P$58="Complete",IF(IF(Paths!$O$58=0,C573=0,AND(C573&gt;0,Paths!$O$58&gt;(C573-1)*12,Paths!$O$58&lt;=C573*12)),Paths!$N$58,0),"n.a."))</f>
        <v>0</v>
      </c>
      <c r="L573" s="16">
        <f>IF(NOT(Paths!$C$58=1),0,IF(Paths!$P$58="Complete",IF(C573=10,Paths!$I$58,0),"n.a."))</f>
        <v>0</v>
      </c>
      <c r="M573" s="16">
        <f>IF(NOT(Paths!$C$58=1),0,IF(Paths!$P$58="Complete",IF(AND(Paths!$D$58="EV",Paths!$E$58&lt;120,Paths!$E$58+'Operating costs'!$B$65&gt;Paths!$E$58,Paths!$E$58+'Operating costs'!$B$65&lt;=120,IF(Paths!$E$58+'Operating costs'!$B$65=0,C573=0,AND(C573&gt;0,Paths!$E$58+'Operating costs'!$B$65&gt;(C573-1)*12,Paths!$E$58+'Operating costs'!$B$65&lt;=C573*12))),'Operating costs'!$B$64,0)+IF(AND('Operating costs'!$B$67&gt;0,'Operating costs'!$B$67&lt;=120,OR(Paths!$D$58="ICE",'Operating costs'!$B$67&lt;=Paths!$E$58),IF('Operating costs'!$B$67=0,C573=0,AND(C573&gt;0,'Operating costs'!$B$67&gt;(C573-1)*12,'Operating costs'!$B$67&lt;=C573*12))),'Operating costs'!$B$66,0),"n.a."))</f>
        <v>0</v>
      </c>
      <c r="N573" s="16">
        <f>IF(NOT(Paths!$C$58=1),0,IF(Paths!$P$58="Complete",SUM(G573:I573)-J573-K573-L573+M573+IF(C573=0,Paths!$F$58,0)+IF(IF(Paths!$E$58=0,C573=0,AND(C573&gt;0,Paths!$E$58&gt;(C573-1)*12,Paths!$E$58&lt;=C573*12)),VLOOKUP(A573,'Fleet register'!$A$7:$S$106,16,FALSE),0),"n.a."))</f>
        <v>0</v>
      </c>
      <c r="O573" s="16">
        <f>IF(NOT(Paths!$C$58=1),0,IF(Paths!$P$58="Complete",N573-IF(C573=0,Paths!$F$58,0),"n.a."))</f>
        <v>0</v>
      </c>
      <c r="P573" s="16">
        <f>IF(NOT(Paths!$C$58=1),0,IF(Paths!$P$58="Complete",O573+L573,"n.a."))</f>
        <v>0</v>
      </c>
      <c r="Q573" s="16">
        <f>IF(NOT(Paths!$C$58=1),0,IF(Paths!$P$58="Complete",N573*(1+'Operating costs'!$B$54)^-C573,"n.a."))</f>
        <v>0</v>
      </c>
      <c r="R573" s="16">
        <f>IF(NOT(Paths!$C$58=1),0,IF(Paths!$P$58="Complete",IF(AND(C573=0,Paths!$E$58=0),I573-J573-K573+VLOOKUP(A573,'Fleet register'!$A$7:$S$106,15,FALSE)+VLOOKUP(A573,'Fleet register'!$A$7:$S$106,16,FALSE),0),"n.a."))</f>
        <v>0</v>
      </c>
      <c r="S573" s="1">
        <f>IF(NOT(Paths!$C$58=1),0,IF(Paths!$P$58="Complete",IF(C573=0,0,Paths!$S$58*Paths!$R$58),"n.a."))</f>
        <v>0</v>
      </c>
      <c r="T573" s="1">
        <f>IF(NOT(Paths!$C$58=1),0,IF(Paths!$P$58="Complete",IF(C573=0,0,VLOOKUP(A573,'Fleet register'!$A$7:$S$106,9,FALSE)*Paths!$R$58),"n.a."))</f>
        <v>0</v>
      </c>
    </row>
    <row r="574" spans="1:20" ht="24" customHeight="1">
      <c r="A574" s="1" t="str">
        <f>Paths!$A$58</f>
        <v>T013</v>
      </c>
      <c r="B574" s="1">
        <f>Paths!$B$58</f>
        <v>3</v>
      </c>
      <c r="C574" s="1">
        <v>6</v>
      </c>
      <c r="D574" s="1">
        <v>58</v>
      </c>
      <c r="E574" s="1">
        <f>IF(OR(Paths!$C$58=0,C574=0),0,MAX(0,MIN(C574*12,Paths!$E$58)-(C574-1)*12))</f>
        <v>0</v>
      </c>
      <c r="F574" s="1">
        <f>IF(OR(Paths!$C$58=0,C574=0),0,12-E574)</f>
        <v>0</v>
      </c>
      <c r="G574" s="16">
        <f>IF(NOT(Paths!$C$58=1),0,IF(Paths!$P$58="Complete",E574/12*(Paths!$J$58*(1+'Operating costs'!$B$51)^MAX(0,C574-1)+Paths!$K$58*(1+'Operating costs'!$B$53)^MAX(0,C574-1)),"n.a."))</f>
        <v>0</v>
      </c>
      <c r="H574" s="16">
        <f>IF(NOT(Paths!$C$58=1),0,IF(Paths!$P$58="Complete",F574/12*(Paths!$L$58*(1+IF(Paths!$D$58="EV",'Operating costs'!$B$52,'Operating costs'!$B$51))^MAX(0,C574-1)+Paths!$M$58*(1+'Operating costs'!$B$53)^MAX(0,C574-1)),"n.a."))</f>
        <v>0</v>
      </c>
      <c r="I574" s="16">
        <f>IF(NOT(Paths!$C$58=1),0,IF(Paths!$P$58="Complete",IF(IF(Paths!$E$58=0,C574=0,AND(C574&gt;0,Paths!$E$58&gt;(C574-1)*12,Paths!$E$58&lt;=C574*12)),Paths!$G$58,0),"n.a."))</f>
        <v>0</v>
      </c>
      <c r="J574" s="16">
        <f>IF(NOT(Paths!$C$58=1),0,IF(Paths!$P$58="Complete",IF(IF(Paths!$E$58=0,C574=0,AND(C574&gt;0,Paths!$E$58&gt;(C574-1)*12,Paths!$E$58&lt;=C574*12)),Paths!$H$58,0),"n.a."))</f>
        <v>0</v>
      </c>
      <c r="K574" s="16">
        <f>IF(NOT(Paths!$C$58=1),0,IF(Paths!$P$58="Complete",IF(IF(Paths!$O$58=0,C574=0,AND(C574&gt;0,Paths!$O$58&gt;(C574-1)*12,Paths!$O$58&lt;=C574*12)),Paths!$N$58,0),"n.a."))</f>
        <v>0</v>
      </c>
      <c r="L574" s="16">
        <f>IF(NOT(Paths!$C$58=1),0,IF(Paths!$P$58="Complete",IF(C574=10,Paths!$I$58,0),"n.a."))</f>
        <v>0</v>
      </c>
      <c r="M574" s="16">
        <f>IF(NOT(Paths!$C$58=1),0,IF(Paths!$P$58="Complete",IF(AND(Paths!$D$58="EV",Paths!$E$58&lt;120,Paths!$E$58+'Operating costs'!$B$65&gt;Paths!$E$58,Paths!$E$58+'Operating costs'!$B$65&lt;=120,IF(Paths!$E$58+'Operating costs'!$B$65=0,C574=0,AND(C574&gt;0,Paths!$E$58+'Operating costs'!$B$65&gt;(C574-1)*12,Paths!$E$58+'Operating costs'!$B$65&lt;=C574*12))),'Operating costs'!$B$64,0)+IF(AND('Operating costs'!$B$67&gt;0,'Operating costs'!$B$67&lt;=120,OR(Paths!$D$58="ICE",'Operating costs'!$B$67&lt;=Paths!$E$58),IF('Operating costs'!$B$67=0,C574=0,AND(C574&gt;0,'Operating costs'!$B$67&gt;(C574-1)*12,'Operating costs'!$B$67&lt;=C574*12))),'Operating costs'!$B$66,0),"n.a."))</f>
        <v>0</v>
      </c>
      <c r="N574" s="16">
        <f>IF(NOT(Paths!$C$58=1),0,IF(Paths!$P$58="Complete",SUM(G574:I574)-J574-K574-L574+M574+IF(C574=0,Paths!$F$58,0)+IF(IF(Paths!$E$58=0,C574=0,AND(C574&gt;0,Paths!$E$58&gt;(C574-1)*12,Paths!$E$58&lt;=C574*12)),VLOOKUP(A574,'Fleet register'!$A$7:$S$106,16,FALSE),0),"n.a."))</f>
        <v>0</v>
      </c>
      <c r="O574" s="16">
        <f>IF(NOT(Paths!$C$58=1),0,IF(Paths!$P$58="Complete",N574-IF(C574=0,Paths!$F$58,0),"n.a."))</f>
        <v>0</v>
      </c>
      <c r="P574" s="16">
        <f>IF(NOT(Paths!$C$58=1),0,IF(Paths!$P$58="Complete",O574+L574,"n.a."))</f>
        <v>0</v>
      </c>
      <c r="Q574" s="16">
        <f>IF(NOT(Paths!$C$58=1),0,IF(Paths!$P$58="Complete",N574*(1+'Operating costs'!$B$54)^-C574,"n.a."))</f>
        <v>0</v>
      </c>
      <c r="R574" s="16">
        <f>IF(NOT(Paths!$C$58=1),0,IF(Paths!$P$58="Complete",IF(AND(C574=0,Paths!$E$58=0),I574-J574-K574+VLOOKUP(A574,'Fleet register'!$A$7:$S$106,15,FALSE)+VLOOKUP(A574,'Fleet register'!$A$7:$S$106,16,FALSE),0),"n.a."))</f>
        <v>0</v>
      </c>
      <c r="S574" s="1">
        <f>IF(NOT(Paths!$C$58=1),0,IF(Paths!$P$58="Complete",IF(C574=0,0,Paths!$S$58*Paths!$R$58),"n.a."))</f>
        <v>0</v>
      </c>
      <c r="T574" s="1">
        <f>IF(NOT(Paths!$C$58=1),0,IF(Paths!$P$58="Complete",IF(C574=0,0,VLOOKUP(A574,'Fleet register'!$A$7:$S$106,9,FALSE)*Paths!$R$58),"n.a."))</f>
        <v>0</v>
      </c>
    </row>
    <row r="575" spans="1:20" ht="24" customHeight="1">
      <c r="A575" s="1" t="str">
        <f>Paths!$A$58</f>
        <v>T013</v>
      </c>
      <c r="B575" s="1">
        <f>Paths!$B$58</f>
        <v>3</v>
      </c>
      <c r="C575" s="1">
        <v>7</v>
      </c>
      <c r="D575" s="1">
        <v>58</v>
      </c>
      <c r="E575" s="1">
        <f>IF(OR(Paths!$C$58=0,C575=0),0,MAX(0,MIN(C575*12,Paths!$E$58)-(C575-1)*12))</f>
        <v>0</v>
      </c>
      <c r="F575" s="1">
        <f>IF(OR(Paths!$C$58=0,C575=0),0,12-E575)</f>
        <v>0</v>
      </c>
      <c r="G575" s="16">
        <f>IF(NOT(Paths!$C$58=1),0,IF(Paths!$P$58="Complete",E575/12*(Paths!$J$58*(1+'Operating costs'!$B$51)^MAX(0,C575-1)+Paths!$K$58*(1+'Operating costs'!$B$53)^MAX(0,C575-1)),"n.a."))</f>
        <v>0</v>
      </c>
      <c r="H575" s="16">
        <f>IF(NOT(Paths!$C$58=1),0,IF(Paths!$P$58="Complete",F575/12*(Paths!$L$58*(1+IF(Paths!$D$58="EV",'Operating costs'!$B$52,'Operating costs'!$B$51))^MAX(0,C575-1)+Paths!$M$58*(1+'Operating costs'!$B$53)^MAX(0,C575-1)),"n.a."))</f>
        <v>0</v>
      </c>
      <c r="I575" s="16">
        <f>IF(NOT(Paths!$C$58=1),0,IF(Paths!$P$58="Complete",IF(IF(Paths!$E$58=0,C575=0,AND(C575&gt;0,Paths!$E$58&gt;(C575-1)*12,Paths!$E$58&lt;=C575*12)),Paths!$G$58,0),"n.a."))</f>
        <v>0</v>
      </c>
      <c r="J575" s="16">
        <f>IF(NOT(Paths!$C$58=1),0,IF(Paths!$P$58="Complete",IF(IF(Paths!$E$58=0,C575=0,AND(C575&gt;0,Paths!$E$58&gt;(C575-1)*12,Paths!$E$58&lt;=C575*12)),Paths!$H$58,0),"n.a."))</f>
        <v>0</v>
      </c>
      <c r="K575" s="16">
        <f>IF(NOT(Paths!$C$58=1),0,IF(Paths!$P$58="Complete",IF(IF(Paths!$O$58=0,C575=0,AND(C575&gt;0,Paths!$O$58&gt;(C575-1)*12,Paths!$O$58&lt;=C575*12)),Paths!$N$58,0),"n.a."))</f>
        <v>0</v>
      </c>
      <c r="L575" s="16">
        <f>IF(NOT(Paths!$C$58=1),0,IF(Paths!$P$58="Complete",IF(C575=10,Paths!$I$58,0),"n.a."))</f>
        <v>0</v>
      </c>
      <c r="M575" s="16">
        <f>IF(NOT(Paths!$C$58=1),0,IF(Paths!$P$58="Complete",IF(AND(Paths!$D$58="EV",Paths!$E$58&lt;120,Paths!$E$58+'Operating costs'!$B$65&gt;Paths!$E$58,Paths!$E$58+'Operating costs'!$B$65&lt;=120,IF(Paths!$E$58+'Operating costs'!$B$65=0,C575=0,AND(C575&gt;0,Paths!$E$58+'Operating costs'!$B$65&gt;(C575-1)*12,Paths!$E$58+'Operating costs'!$B$65&lt;=C575*12))),'Operating costs'!$B$64,0)+IF(AND('Operating costs'!$B$67&gt;0,'Operating costs'!$B$67&lt;=120,OR(Paths!$D$58="ICE",'Operating costs'!$B$67&lt;=Paths!$E$58),IF('Operating costs'!$B$67=0,C575=0,AND(C575&gt;0,'Operating costs'!$B$67&gt;(C575-1)*12,'Operating costs'!$B$67&lt;=C575*12))),'Operating costs'!$B$66,0),"n.a."))</f>
        <v>0</v>
      </c>
      <c r="N575" s="16">
        <f>IF(NOT(Paths!$C$58=1),0,IF(Paths!$P$58="Complete",SUM(G575:I575)-J575-K575-L575+M575+IF(C575=0,Paths!$F$58,0)+IF(IF(Paths!$E$58=0,C575=0,AND(C575&gt;0,Paths!$E$58&gt;(C575-1)*12,Paths!$E$58&lt;=C575*12)),VLOOKUP(A575,'Fleet register'!$A$7:$S$106,16,FALSE),0),"n.a."))</f>
        <v>0</v>
      </c>
      <c r="O575" s="16">
        <f>IF(NOT(Paths!$C$58=1),0,IF(Paths!$P$58="Complete",N575-IF(C575=0,Paths!$F$58,0),"n.a."))</f>
        <v>0</v>
      </c>
      <c r="P575" s="16">
        <f>IF(NOT(Paths!$C$58=1),0,IF(Paths!$P$58="Complete",O575+L575,"n.a."))</f>
        <v>0</v>
      </c>
      <c r="Q575" s="16">
        <f>IF(NOT(Paths!$C$58=1),0,IF(Paths!$P$58="Complete",N575*(1+'Operating costs'!$B$54)^-C575,"n.a."))</f>
        <v>0</v>
      </c>
      <c r="R575" s="16">
        <f>IF(NOT(Paths!$C$58=1),0,IF(Paths!$P$58="Complete",IF(AND(C575=0,Paths!$E$58=0),I575-J575-K575+VLOOKUP(A575,'Fleet register'!$A$7:$S$106,15,FALSE)+VLOOKUP(A575,'Fleet register'!$A$7:$S$106,16,FALSE),0),"n.a."))</f>
        <v>0</v>
      </c>
      <c r="S575" s="1">
        <f>IF(NOT(Paths!$C$58=1),0,IF(Paths!$P$58="Complete",IF(C575=0,0,Paths!$S$58*Paths!$R$58),"n.a."))</f>
        <v>0</v>
      </c>
      <c r="T575" s="1">
        <f>IF(NOT(Paths!$C$58=1),0,IF(Paths!$P$58="Complete",IF(C575=0,0,VLOOKUP(A575,'Fleet register'!$A$7:$S$106,9,FALSE)*Paths!$R$58),"n.a."))</f>
        <v>0</v>
      </c>
    </row>
    <row r="576" spans="1:20" ht="24" customHeight="1">
      <c r="A576" s="1" t="str">
        <f>Paths!$A$58</f>
        <v>T013</v>
      </c>
      <c r="B576" s="1">
        <f>Paths!$B$58</f>
        <v>3</v>
      </c>
      <c r="C576" s="1">
        <v>8</v>
      </c>
      <c r="D576" s="1">
        <v>58</v>
      </c>
      <c r="E576" s="1">
        <f>IF(OR(Paths!$C$58=0,C576=0),0,MAX(0,MIN(C576*12,Paths!$E$58)-(C576-1)*12))</f>
        <v>0</v>
      </c>
      <c r="F576" s="1">
        <f>IF(OR(Paths!$C$58=0,C576=0),0,12-E576)</f>
        <v>0</v>
      </c>
      <c r="G576" s="16">
        <f>IF(NOT(Paths!$C$58=1),0,IF(Paths!$P$58="Complete",E576/12*(Paths!$J$58*(1+'Operating costs'!$B$51)^MAX(0,C576-1)+Paths!$K$58*(1+'Operating costs'!$B$53)^MAX(0,C576-1)),"n.a."))</f>
        <v>0</v>
      </c>
      <c r="H576" s="16">
        <f>IF(NOT(Paths!$C$58=1),0,IF(Paths!$P$58="Complete",F576/12*(Paths!$L$58*(1+IF(Paths!$D$58="EV",'Operating costs'!$B$52,'Operating costs'!$B$51))^MAX(0,C576-1)+Paths!$M$58*(1+'Operating costs'!$B$53)^MAX(0,C576-1)),"n.a."))</f>
        <v>0</v>
      </c>
      <c r="I576" s="16">
        <f>IF(NOT(Paths!$C$58=1),0,IF(Paths!$P$58="Complete",IF(IF(Paths!$E$58=0,C576=0,AND(C576&gt;0,Paths!$E$58&gt;(C576-1)*12,Paths!$E$58&lt;=C576*12)),Paths!$G$58,0),"n.a."))</f>
        <v>0</v>
      </c>
      <c r="J576" s="16">
        <f>IF(NOT(Paths!$C$58=1),0,IF(Paths!$P$58="Complete",IF(IF(Paths!$E$58=0,C576=0,AND(C576&gt;0,Paths!$E$58&gt;(C576-1)*12,Paths!$E$58&lt;=C576*12)),Paths!$H$58,0),"n.a."))</f>
        <v>0</v>
      </c>
      <c r="K576" s="16">
        <f>IF(NOT(Paths!$C$58=1),0,IF(Paths!$P$58="Complete",IF(IF(Paths!$O$58=0,C576=0,AND(C576&gt;0,Paths!$O$58&gt;(C576-1)*12,Paths!$O$58&lt;=C576*12)),Paths!$N$58,0),"n.a."))</f>
        <v>0</v>
      </c>
      <c r="L576" s="16">
        <f>IF(NOT(Paths!$C$58=1),0,IF(Paths!$P$58="Complete",IF(C576=10,Paths!$I$58,0),"n.a."))</f>
        <v>0</v>
      </c>
      <c r="M576" s="16">
        <f>IF(NOT(Paths!$C$58=1),0,IF(Paths!$P$58="Complete",IF(AND(Paths!$D$58="EV",Paths!$E$58&lt;120,Paths!$E$58+'Operating costs'!$B$65&gt;Paths!$E$58,Paths!$E$58+'Operating costs'!$B$65&lt;=120,IF(Paths!$E$58+'Operating costs'!$B$65=0,C576=0,AND(C576&gt;0,Paths!$E$58+'Operating costs'!$B$65&gt;(C576-1)*12,Paths!$E$58+'Operating costs'!$B$65&lt;=C576*12))),'Operating costs'!$B$64,0)+IF(AND('Operating costs'!$B$67&gt;0,'Operating costs'!$B$67&lt;=120,OR(Paths!$D$58="ICE",'Operating costs'!$B$67&lt;=Paths!$E$58),IF('Operating costs'!$B$67=0,C576=0,AND(C576&gt;0,'Operating costs'!$B$67&gt;(C576-1)*12,'Operating costs'!$B$67&lt;=C576*12))),'Operating costs'!$B$66,0),"n.a."))</f>
        <v>0</v>
      </c>
      <c r="N576" s="16">
        <f>IF(NOT(Paths!$C$58=1),0,IF(Paths!$P$58="Complete",SUM(G576:I576)-J576-K576-L576+M576+IF(C576=0,Paths!$F$58,0)+IF(IF(Paths!$E$58=0,C576=0,AND(C576&gt;0,Paths!$E$58&gt;(C576-1)*12,Paths!$E$58&lt;=C576*12)),VLOOKUP(A576,'Fleet register'!$A$7:$S$106,16,FALSE),0),"n.a."))</f>
        <v>0</v>
      </c>
      <c r="O576" s="16">
        <f>IF(NOT(Paths!$C$58=1),0,IF(Paths!$P$58="Complete",N576-IF(C576=0,Paths!$F$58,0),"n.a."))</f>
        <v>0</v>
      </c>
      <c r="P576" s="16">
        <f>IF(NOT(Paths!$C$58=1),0,IF(Paths!$P$58="Complete",O576+L576,"n.a."))</f>
        <v>0</v>
      </c>
      <c r="Q576" s="16">
        <f>IF(NOT(Paths!$C$58=1),0,IF(Paths!$P$58="Complete",N576*(1+'Operating costs'!$B$54)^-C576,"n.a."))</f>
        <v>0</v>
      </c>
      <c r="R576" s="16">
        <f>IF(NOT(Paths!$C$58=1),0,IF(Paths!$P$58="Complete",IF(AND(C576=0,Paths!$E$58=0),I576-J576-K576+VLOOKUP(A576,'Fleet register'!$A$7:$S$106,15,FALSE)+VLOOKUP(A576,'Fleet register'!$A$7:$S$106,16,FALSE),0),"n.a."))</f>
        <v>0</v>
      </c>
      <c r="S576" s="1">
        <f>IF(NOT(Paths!$C$58=1),0,IF(Paths!$P$58="Complete",IF(C576=0,0,Paths!$S$58*Paths!$R$58),"n.a."))</f>
        <v>0</v>
      </c>
      <c r="T576" s="1">
        <f>IF(NOT(Paths!$C$58=1),0,IF(Paths!$P$58="Complete",IF(C576=0,0,VLOOKUP(A576,'Fleet register'!$A$7:$S$106,9,FALSE)*Paths!$R$58),"n.a."))</f>
        <v>0</v>
      </c>
    </row>
    <row r="577" spans="1:20" ht="24" customHeight="1">
      <c r="A577" s="1" t="str">
        <f>Paths!$A$58</f>
        <v>T013</v>
      </c>
      <c r="B577" s="1">
        <f>Paths!$B$58</f>
        <v>3</v>
      </c>
      <c r="C577" s="1">
        <v>9</v>
      </c>
      <c r="D577" s="1">
        <v>58</v>
      </c>
      <c r="E577" s="1">
        <f>IF(OR(Paths!$C$58=0,C577=0),0,MAX(0,MIN(C577*12,Paths!$E$58)-(C577-1)*12))</f>
        <v>0</v>
      </c>
      <c r="F577" s="1">
        <f>IF(OR(Paths!$C$58=0,C577=0),0,12-E577)</f>
        <v>0</v>
      </c>
      <c r="G577" s="16">
        <f>IF(NOT(Paths!$C$58=1),0,IF(Paths!$P$58="Complete",E577/12*(Paths!$J$58*(1+'Operating costs'!$B$51)^MAX(0,C577-1)+Paths!$K$58*(1+'Operating costs'!$B$53)^MAX(0,C577-1)),"n.a."))</f>
        <v>0</v>
      </c>
      <c r="H577" s="16">
        <f>IF(NOT(Paths!$C$58=1),0,IF(Paths!$P$58="Complete",F577/12*(Paths!$L$58*(1+IF(Paths!$D$58="EV",'Operating costs'!$B$52,'Operating costs'!$B$51))^MAX(0,C577-1)+Paths!$M$58*(1+'Operating costs'!$B$53)^MAX(0,C577-1)),"n.a."))</f>
        <v>0</v>
      </c>
      <c r="I577" s="16">
        <f>IF(NOT(Paths!$C$58=1),0,IF(Paths!$P$58="Complete",IF(IF(Paths!$E$58=0,C577=0,AND(C577&gt;0,Paths!$E$58&gt;(C577-1)*12,Paths!$E$58&lt;=C577*12)),Paths!$G$58,0),"n.a."))</f>
        <v>0</v>
      </c>
      <c r="J577" s="16">
        <f>IF(NOT(Paths!$C$58=1),0,IF(Paths!$P$58="Complete",IF(IF(Paths!$E$58=0,C577=0,AND(C577&gt;0,Paths!$E$58&gt;(C577-1)*12,Paths!$E$58&lt;=C577*12)),Paths!$H$58,0),"n.a."))</f>
        <v>0</v>
      </c>
      <c r="K577" s="16">
        <f>IF(NOT(Paths!$C$58=1),0,IF(Paths!$P$58="Complete",IF(IF(Paths!$O$58=0,C577=0,AND(C577&gt;0,Paths!$O$58&gt;(C577-1)*12,Paths!$O$58&lt;=C577*12)),Paths!$N$58,0),"n.a."))</f>
        <v>0</v>
      </c>
      <c r="L577" s="16">
        <f>IF(NOT(Paths!$C$58=1),0,IF(Paths!$P$58="Complete",IF(C577=10,Paths!$I$58,0),"n.a."))</f>
        <v>0</v>
      </c>
      <c r="M577" s="16">
        <f>IF(NOT(Paths!$C$58=1),0,IF(Paths!$P$58="Complete",IF(AND(Paths!$D$58="EV",Paths!$E$58&lt;120,Paths!$E$58+'Operating costs'!$B$65&gt;Paths!$E$58,Paths!$E$58+'Operating costs'!$B$65&lt;=120,IF(Paths!$E$58+'Operating costs'!$B$65=0,C577=0,AND(C577&gt;0,Paths!$E$58+'Operating costs'!$B$65&gt;(C577-1)*12,Paths!$E$58+'Operating costs'!$B$65&lt;=C577*12))),'Operating costs'!$B$64,0)+IF(AND('Operating costs'!$B$67&gt;0,'Operating costs'!$B$67&lt;=120,OR(Paths!$D$58="ICE",'Operating costs'!$B$67&lt;=Paths!$E$58),IF('Operating costs'!$B$67=0,C577=0,AND(C577&gt;0,'Operating costs'!$B$67&gt;(C577-1)*12,'Operating costs'!$B$67&lt;=C577*12))),'Operating costs'!$B$66,0),"n.a."))</f>
        <v>0</v>
      </c>
      <c r="N577" s="16">
        <f>IF(NOT(Paths!$C$58=1),0,IF(Paths!$P$58="Complete",SUM(G577:I577)-J577-K577-L577+M577+IF(C577=0,Paths!$F$58,0)+IF(IF(Paths!$E$58=0,C577=0,AND(C577&gt;0,Paths!$E$58&gt;(C577-1)*12,Paths!$E$58&lt;=C577*12)),VLOOKUP(A577,'Fleet register'!$A$7:$S$106,16,FALSE),0),"n.a."))</f>
        <v>0</v>
      </c>
      <c r="O577" s="16">
        <f>IF(NOT(Paths!$C$58=1),0,IF(Paths!$P$58="Complete",N577-IF(C577=0,Paths!$F$58,0),"n.a."))</f>
        <v>0</v>
      </c>
      <c r="P577" s="16">
        <f>IF(NOT(Paths!$C$58=1),0,IF(Paths!$P$58="Complete",O577+L577,"n.a."))</f>
        <v>0</v>
      </c>
      <c r="Q577" s="16">
        <f>IF(NOT(Paths!$C$58=1),0,IF(Paths!$P$58="Complete",N577*(1+'Operating costs'!$B$54)^-C577,"n.a."))</f>
        <v>0</v>
      </c>
      <c r="R577" s="16">
        <f>IF(NOT(Paths!$C$58=1),0,IF(Paths!$P$58="Complete",IF(AND(C577=0,Paths!$E$58=0),I577-J577-K577+VLOOKUP(A577,'Fleet register'!$A$7:$S$106,15,FALSE)+VLOOKUP(A577,'Fleet register'!$A$7:$S$106,16,FALSE),0),"n.a."))</f>
        <v>0</v>
      </c>
      <c r="S577" s="1">
        <f>IF(NOT(Paths!$C$58=1),0,IF(Paths!$P$58="Complete",IF(C577=0,0,Paths!$S$58*Paths!$R$58),"n.a."))</f>
        <v>0</v>
      </c>
      <c r="T577" s="1">
        <f>IF(NOT(Paths!$C$58=1),0,IF(Paths!$P$58="Complete",IF(C577=0,0,VLOOKUP(A577,'Fleet register'!$A$7:$S$106,9,FALSE)*Paths!$R$58),"n.a."))</f>
        <v>0</v>
      </c>
    </row>
    <row r="578" spans="1:20" ht="24" customHeight="1">
      <c r="A578" s="1" t="str">
        <f>Paths!$A$58</f>
        <v>T013</v>
      </c>
      <c r="B578" s="1">
        <f>Paths!$B$58</f>
        <v>3</v>
      </c>
      <c r="C578" s="1">
        <v>10</v>
      </c>
      <c r="D578" s="1">
        <v>58</v>
      </c>
      <c r="E578" s="1">
        <f>IF(OR(Paths!$C$58=0,C578=0),0,MAX(0,MIN(C578*12,Paths!$E$58)-(C578-1)*12))</f>
        <v>0</v>
      </c>
      <c r="F578" s="1">
        <f>IF(OR(Paths!$C$58=0,C578=0),0,12-E578)</f>
        <v>0</v>
      </c>
      <c r="G578" s="16">
        <f>IF(NOT(Paths!$C$58=1),0,IF(Paths!$P$58="Complete",E578/12*(Paths!$J$58*(1+'Operating costs'!$B$51)^MAX(0,C578-1)+Paths!$K$58*(1+'Operating costs'!$B$53)^MAX(0,C578-1)),"n.a."))</f>
        <v>0</v>
      </c>
      <c r="H578" s="16">
        <f>IF(NOT(Paths!$C$58=1),0,IF(Paths!$P$58="Complete",F578/12*(Paths!$L$58*(1+IF(Paths!$D$58="EV",'Operating costs'!$B$52,'Operating costs'!$B$51))^MAX(0,C578-1)+Paths!$M$58*(1+'Operating costs'!$B$53)^MAX(0,C578-1)),"n.a."))</f>
        <v>0</v>
      </c>
      <c r="I578" s="16">
        <f>IF(NOT(Paths!$C$58=1),0,IF(Paths!$P$58="Complete",IF(IF(Paths!$E$58=0,C578=0,AND(C578&gt;0,Paths!$E$58&gt;(C578-1)*12,Paths!$E$58&lt;=C578*12)),Paths!$G$58,0),"n.a."))</f>
        <v>0</v>
      </c>
      <c r="J578" s="16">
        <f>IF(NOT(Paths!$C$58=1),0,IF(Paths!$P$58="Complete",IF(IF(Paths!$E$58=0,C578=0,AND(C578&gt;0,Paths!$E$58&gt;(C578-1)*12,Paths!$E$58&lt;=C578*12)),Paths!$H$58,0),"n.a."))</f>
        <v>0</v>
      </c>
      <c r="K578" s="16">
        <f>IF(NOT(Paths!$C$58=1),0,IF(Paths!$P$58="Complete",IF(IF(Paths!$O$58=0,C578=0,AND(C578&gt;0,Paths!$O$58&gt;(C578-1)*12,Paths!$O$58&lt;=C578*12)),Paths!$N$58,0),"n.a."))</f>
        <v>0</v>
      </c>
      <c r="L578" s="16">
        <f>IF(NOT(Paths!$C$58=1),0,IF(Paths!$P$58="Complete",IF(C578=10,Paths!$I$58,0),"n.a."))</f>
        <v>0</v>
      </c>
      <c r="M578" s="16">
        <f>IF(NOT(Paths!$C$58=1),0,IF(Paths!$P$58="Complete",IF(AND(Paths!$D$58="EV",Paths!$E$58&lt;120,Paths!$E$58+'Operating costs'!$B$65&gt;Paths!$E$58,Paths!$E$58+'Operating costs'!$B$65&lt;=120,IF(Paths!$E$58+'Operating costs'!$B$65=0,C578=0,AND(C578&gt;0,Paths!$E$58+'Operating costs'!$B$65&gt;(C578-1)*12,Paths!$E$58+'Operating costs'!$B$65&lt;=C578*12))),'Operating costs'!$B$64,0)+IF(AND('Operating costs'!$B$67&gt;0,'Operating costs'!$B$67&lt;=120,OR(Paths!$D$58="ICE",'Operating costs'!$B$67&lt;=Paths!$E$58),IF('Operating costs'!$B$67=0,C578=0,AND(C578&gt;0,'Operating costs'!$B$67&gt;(C578-1)*12,'Operating costs'!$B$67&lt;=C578*12))),'Operating costs'!$B$66,0),"n.a."))</f>
        <v>0</v>
      </c>
      <c r="N578" s="16">
        <f>IF(NOT(Paths!$C$58=1),0,IF(Paths!$P$58="Complete",SUM(G578:I578)-J578-K578-L578+M578+IF(C578=0,Paths!$F$58,0)+IF(IF(Paths!$E$58=0,C578=0,AND(C578&gt;0,Paths!$E$58&gt;(C578-1)*12,Paths!$E$58&lt;=C578*12)),VLOOKUP(A578,'Fleet register'!$A$7:$S$106,16,FALSE),0),"n.a."))</f>
        <v>0</v>
      </c>
      <c r="O578" s="16">
        <f>IF(NOT(Paths!$C$58=1),0,IF(Paths!$P$58="Complete",N578-IF(C578=0,Paths!$F$58,0),"n.a."))</f>
        <v>0</v>
      </c>
      <c r="P578" s="16">
        <f>IF(NOT(Paths!$C$58=1),0,IF(Paths!$P$58="Complete",O578+L578,"n.a."))</f>
        <v>0</v>
      </c>
      <c r="Q578" s="16">
        <f>IF(NOT(Paths!$C$58=1),0,IF(Paths!$P$58="Complete",N578*(1+'Operating costs'!$B$54)^-C578,"n.a."))</f>
        <v>0</v>
      </c>
      <c r="R578" s="16">
        <f>IF(NOT(Paths!$C$58=1),0,IF(Paths!$P$58="Complete",IF(AND(C578=0,Paths!$E$58=0),I578-J578-K578+VLOOKUP(A578,'Fleet register'!$A$7:$S$106,15,FALSE)+VLOOKUP(A578,'Fleet register'!$A$7:$S$106,16,FALSE),0),"n.a."))</f>
        <v>0</v>
      </c>
      <c r="S578" s="1">
        <f>IF(NOT(Paths!$C$58=1),0,IF(Paths!$P$58="Complete",IF(C578=0,0,Paths!$S$58*Paths!$R$58),"n.a."))</f>
        <v>0</v>
      </c>
      <c r="T578" s="1">
        <f>IF(NOT(Paths!$C$58=1),0,IF(Paths!$P$58="Complete",IF(C578=0,0,VLOOKUP(A578,'Fleet register'!$A$7:$S$106,9,FALSE)*Paths!$R$58),"n.a."))</f>
        <v>0</v>
      </c>
    </row>
    <row r="579" spans="1:20" ht="24" customHeight="1">
      <c r="A579" s="1" t="str">
        <f>Paths!$A$59</f>
        <v>T014</v>
      </c>
      <c r="B579" s="1">
        <f>Paths!$B$59</f>
        <v>0</v>
      </c>
      <c r="C579" s="1">
        <v>0</v>
      </c>
      <c r="D579" s="1">
        <v>59</v>
      </c>
      <c r="E579" s="1">
        <f>IF(OR(Paths!$C$59=0,C579=0),0,MAX(0,MIN(C579*12,Paths!$E$59)-(C579-1)*12))</f>
        <v>0</v>
      </c>
      <c r="F579" s="1">
        <f>IF(OR(Paths!$C$59=0,C579=0),0,12-E579)</f>
        <v>0</v>
      </c>
      <c r="G579" s="16">
        <f>IF(NOT(Paths!$C$59=1),0,IF(Paths!$P$59="Complete",E579/12*(Paths!$J$59*(1+'Operating costs'!$B$51)^MAX(0,C579-1)+Paths!$K$59*(1+'Operating costs'!$B$53)^MAX(0,C579-1)),"n.a."))</f>
        <v>0</v>
      </c>
      <c r="H579" s="16">
        <f>IF(NOT(Paths!$C$59=1),0,IF(Paths!$P$59="Complete",F579/12*(Paths!$L$59*(1+IF(Paths!$D$59="EV",'Operating costs'!$B$52,'Operating costs'!$B$51))^MAX(0,C579-1)+Paths!$M$59*(1+'Operating costs'!$B$53)^MAX(0,C579-1)),"n.a."))</f>
        <v>0</v>
      </c>
      <c r="I579" s="16">
        <f>IF(NOT(Paths!$C$59=1),0,IF(Paths!$P$59="Complete",IF(IF(Paths!$E$59=0,C579=0,AND(C579&gt;0,Paths!$E$59&gt;(C579-1)*12,Paths!$E$59&lt;=C579*12)),Paths!$G$59,0),"n.a."))</f>
        <v>0</v>
      </c>
      <c r="J579" s="16">
        <f>IF(NOT(Paths!$C$59=1),0,IF(Paths!$P$59="Complete",IF(IF(Paths!$E$59=0,C579=0,AND(C579&gt;0,Paths!$E$59&gt;(C579-1)*12,Paths!$E$59&lt;=C579*12)),Paths!$H$59,0),"n.a."))</f>
        <v>0</v>
      </c>
      <c r="K579" s="16">
        <f>IF(NOT(Paths!$C$59=1),0,IF(Paths!$P$59="Complete",IF(IF(Paths!$O$59=0,C579=0,AND(C579&gt;0,Paths!$O$59&gt;(C579-1)*12,Paths!$O$59&lt;=C579*12)),Paths!$N$59,0),"n.a."))</f>
        <v>0</v>
      </c>
      <c r="L579" s="16">
        <f>IF(NOT(Paths!$C$59=1),0,IF(Paths!$P$59="Complete",IF(C579=10,Paths!$I$59,0),"n.a."))</f>
        <v>0</v>
      </c>
      <c r="M579" s="16">
        <f>IF(NOT(Paths!$C$59=1),0,IF(Paths!$P$59="Complete",IF(AND(Paths!$D$59="EV",Paths!$E$59&lt;120,Paths!$E$59+'Operating costs'!$B$65&gt;Paths!$E$59,Paths!$E$59+'Operating costs'!$B$65&lt;=120,IF(Paths!$E$59+'Operating costs'!$B$65=0,C579=0,AND(C579&gt;0,Paths!$E$59+'Operating costs'!$B$65&gt;(C579-1)*12,Paths!$E$59+'Operating costs'!$B$65&lt;=C579*12))),'Operating costs'!$B$64,0)+IF(AND('Operating costs'!$B$67&gt;0,'Operating costs'!$B$67&lt;=120,OR(Paths!$D$59="ICE",'Operating costs'!$B$67&lt;=Paths!$E$59),IF('Operating costs'!$B$67=0,C579=0,AND(C579&gt;0,'Operating costs'!$B$67&gt;(C579-1)*12,'Operating costs'!$B$67&lt;=C579*12))),'Operating costs'!$B$66,0),"n.a."))</f>
        <v>0</v>
      </c>
      <c r="N579" s="16">
        <f>IF(NOT(Paths!$C$59=1),0,IF(Paths!$P$59="Complete",SUM(G579:I579)-J579-K579-L579+M579+IF(C579=0,Paths!$F$59,0)+IF(IF(Paths!$E$59=0,C579=0,AND(C579&gt;0,Paths!$E$59&gt;(C579-1)*12,Paths!$E$59&lt;=C579*12)),VLOOKUP(A579,'Fleet register'!$A$7:$S$106,16,FALSE),0),"n.a."))</f>
        <v>0</v>
      </c>
      <c r="O579" s="16">
        <f>IF(NOT(Paths!$C$59=1),0,IF(Paths!$P$59="Complete",N579-IF(C579=0,Paths!$F$59,0),"n.a."))</f>
        <v>0</v>
      </c>
      <c r="P579" s="16">
        <f>IF(NOT(Paths!$C$59=1),0,IF(Paths!$P$59="Complete",O579+L579,"n.a."))</f>
        <v>0</v>
      </c>
      <c r="Q579" s="16">
        <f>IF(NOT(Paths!$C$59=1),0,IF(Paths!$P$59="Complete",N579*(1+'Operating costs'!$B$54)^-C579,"n.a."))</f>
        <v>0</v>
      </c>
      <c r="R579" s="16">
        <f>IF(NOT(Paths!$C$59=1),0,IF(Paths!$P$59="Complete",IF(AND(C579=0,Paths!$E$59=0),I579-J579-K579+VLOOKUP(A579,'Fleet register'!$A$7:$S$106,15,FALSE)+VLOOKUP(A579,'Fleet register'!$A$7:$S$106,16,FALSE),0),"n.a."))</f>
        <v>0</v>
      </c>
      <c r="S579" s="1">
        <f>IF(NOT(Paths!$C$59=1),0,IF(Paths!$P$59="Complete",IF(C579=0,0,Paths!$S$59*Paths!$R$59),"n.a."))</f>
        <v>0</v>
      </c>
      <c r="T579" s="1">
        <f>IF(NOT(Paths!$C$59=1),0,IF(Paths!$P$59="Complete",IF(C579=0,0,VLOOKUP(A579,'Fleet register'!$A$7:$S$106,9,FALSE)*Paths!$R$59),"n.a."))</f>
        <v>0</v>
      </c>
    </row>
    <row r="580" spans="1:20" ht="24" customHeight="1">
      <c r="A580" s="1" t="str">
        <f>Paths!$A$59</f>
        <v>T014</v>
      </c>
      <c r="B580" s="1">
        <f>Paths!$B$59</f>
        <v>0</v>
      </c>
      <c r="C580" s="1">
        <v>1</v>
      </c>
      <c r="D580" s="1">
        <v>59</v>
      </c>
      <c r="E580" s="1">
        <f>IF(OR(Paths!$C$59=0,C580=0),0,MAX(0,MIN(C580*12,Paths!$E$59)-(C580-1)*12))</f>
        <v>0</v>
      </c>
      <c r="F580" s="1">
        <f>IF(OR(Paths!$C$59=0,C580=0),0,12-E580)</f>
        <v>0</v>
      </c>
      <c r="G580" s="16">
        <f>IF(NOT(Paths!$C$59=1),0,IF(Paths!$P$59="Complete",E580/12*(Paths!$J$59*(1+'Operating costs'!$B$51)^MAX(0,C580-1)+Paths!$K$59*(1+'Operating costs'!$B$53)^MAX(0,C580-1)),"n.a."))</f>
        <v>0</v>
      </c>
      <c r="H580" s="16">
        <f>IF(NOT(Paths!$C$59=1),0,IF(Paths!$P$59="Complete",F580/12*(Paths!$L$59*(1+IF(Paths!$D$59="EV",'Operating costs'!$B$52,'Operating costs'!$B$51))^MAX(0,C580-1)+Paths!$M$59*(1+'Operating costs'!$B$53)^MAX(0,C580-1)),"n.a."))</f>
        <v>0</v>
      </c>
      <c r="I580" s="16">
        <f>IF(NOT(Paths!$C$59=1),0,IF(Paths!$P$59="Complete",IF(IF(Paths!$E$59=0,C580=0,AND(C580&gt;0,Paths!$E$59&gt;(C580-1)*12,Paths!$E$59&lt;=C580*12)),Paths!$G$59,0),"n.a."))</f>
        <v>0</v>
      </c>
      <c r="J580" s="16">
        <f>IF(NOT(Paths!$C$59=1),0,IF(Paths!$P$59="Complete",IF(IF(Paths!$E$59=0,C580=0,AND(C580&gt;0,Paths!$E$59&gt;(C580-1)*12,Paths!$E$59&lt;=C580*12)),Paths!$H$59,0),"n.a."))</f>
        <v>0</v>
      </c>
      <c r="K580" s="16">
        <f>IF(NOT(Paths!$C$59=1),0,IF(Paths!$P$59="Complete",IF(IF(Paths!$O$59=0,C580=0,AND(C580&gt;0,Paths!$O$59&gt;(C580-1)*12,Paths!$O$59&lt;=C580*12)),Paths!$N$59,0),"n.a."))</f>
        <v>0</v>
      </c>
      <c r="L580" s="16">
        <f>IF(NOT(Paths!$C$59=1),0,IF(Paths!$P$59="Complete",IF(C580=10,Paths!$I$59,0),"n.a."))</f>
        <v>0</v>
      </c>
      <c r="M580" s="16">
        <f>IF(NOT(Paths!$C$59=1),0,IF(Paths!$P$59="Complete",IF(AND(Paths!$D$59="EV",Paths!$E$59&lt;120,Paths!$E$59+'Operating costs'!$B$65&gt;Paths!$E$59,Paths!$E$59+'Operating costs'!$B$65&lt;=120,IF(Paths!$E$59+'Operating costs'!$B$65=0,C580=0,AND(C580&gt;0,Paths!$E$59+'Operating costs'!$B$65&gt;(C580-1)*12,Paths!$E$59+'Operating costs'!$B$65&lt;=C580*12))),'Operating costs'!$B$64,0)+IF(AND('Operating costs'!$B$67&gt;0,'Operating costs'!$B$67&lt;=120,OR(Paths!$D$59="ICE",'Operating costs'!$B$67&lt;=Paths!$E$59),IF('Operating costs'!$B$67=0,C580=0,AND(C580&gt;0,'Operating costs'!$B$67&gt;(C580-1)*12,'Operating costs'!$B$67&lt;=C580*12))),'Operating costs'!$B$66,0),"n.a."))</f>
        <v>0</v>
      </c>
      <c r="N580" s="16">
        <f>IF(NOT(Paths!$C$59=1),0,IF(Paths!$P$59="Complete",SUM(G580:I580)-J580-K580-L580+M580+IF(C580=0,Paths!$F$59,0)+IF(IF(Paths!$E$59=0,C580=0,AND(C580&gt;0,Paths!$E$59&gt;(C580-1)*12,Paths!$E$59&lt;=C580*12)),VLOOKUP(A580,'Fleet register'!$A$7:$S$106,16,FALSE),0),"n.a."))</f>
        <v>0</v>
      </c>
      <c r="O580" s="16">
        <f>IF(NOT(Paths!$C$59=1),0,IF(Paths!$P$59="Complete",N580-IF(C580=0,Paths!$F$59,0),"n.a."))</f>
        <v>0</v>
      </c>
      <c r="P580" s="16">
        <f>IF(NOT(Paths!$C$59=1),0,IF(Paths!$P$59="Complete",O580+L580,"n.a."))</f>
        <v>0</v>
      </c>
      <c r="Q580" s="16">
        <f>IF(NOT(Paths!$C$59=1),0,IF(Paths!$P$59="Complete",N580*(1+'Operating costs'!$B$54)^-C580,"n.a."))</f>
        <v>0</v>
      </c>
      <c r="R580" s="16">
        <f>IF(NOT(Paths!$C$59=1),0,IF(Paths!$P$59="Complete",IF(AND(C580=0,Paths!$E$59=0),I580-J580-K580+VLOOKUP(A580,'Fleet register'!$A$7:$S$106,15,FALSE)+VLOOKUP(A580,'Fleet register'!$A$7:$S$106,16,FALSE),0),"n.a."))</f>
        <v>0</v>
      </c>
      <c r="S580" s="1">
        <f>IF(NOT(Paths!$C$59=1),0,IF(Paths!$P$59="Complete",IF(C580=0,0,Paths!$S$59*Paths!$R$59),"n.a."))</f>
        <v>0</v>
      </c>
      <c r="T580" s="1">
        <f>IF(NOT(Paths!$C$59=1),0,IF(Paths!$P$59="Complete",IF(C580=0,0,VLOOKUP(A580,'Fleet register'!$A$7:$S$106,9,FALSE)*Paths!$R$59),"n.a."))</f>
        <v>0</v>
      </c>
    </row>
    <row r="581" spans="1:20" ht="24" customHeight="1">
      <c r="A581" s="1" t="str">
        <f>Paths!$A$59</f>
        <v>T014</v>
      </c>
      <c r="B581" s="1">
        <f>Paths!$B$59</f>
        <v>0</v>
      </c>
      <c r="C581" s="1">
        <v>2</v>
      </c>
      <c r="D581" s="1">
        <v>59</v>
      </c>
      <c r="E581" s="1">
        <f>IF(OR(Paths!$C$59=0,C581=0),0,MAX(0,MIN(C581*12,Paths!$E$59)-(C581-1)*12))</f>
        <v>0</v>
      </c>
      <c r="F581" s="1">
        <f>IF(OR(Paths!$C$59=0,C581=0),0,12-E581)</f>
        <v>0</v>
      </c>
      <c r="G581" s="16">
        <f>IF(NOT(Paths!$C$59=1),0,IF(Paths!$P$59="Complete",E581/12*(Paths!$J$59*(1+'Operating costs'!$B$51)^MAX(0,C581-1)+Paths!$K$59*(1+'Operating costs'!$B$53)^MAX(0,C581-1)),"n.a."))</f>
        <v>0</v>
      </c>
      <c r="H581" s="16">
        <f>IF(NOT(Paths!$C$59=1),0,IF(Paths!$P$59="Complete",F581/12*(Paths!$L$59*(1+IF(Paths!$D$59="EV",'Operating costs'!$B$52,'Operating costs'!$B$51))^MAX(0,C581-1)+Paths!$M$59*(1+'Operating costs'!$B$53)^MAX(0,C581-1)),"n.a."))</f>
        <v>0</v>
      </c>
      <c r="I581" s="16">
        <f>IF(NOT(Paths!$C$59=1),0,IF(Paths!$P$59="Complete",IF(IF(Paths!$E$59=0,C581=0,AND(C581&gt;0,Paths!$E$59&gt;(C581-1)*12,Paths!$E$59&lt;=C581*12)),Paths!$G$59,0),"n.a."))</f>
        <v>0</v>
      </c>
      <c r="J581" s="16">
        <f>IF(NOT(Paths!$C$59=1),0,IF(Paths!$P$59="Complete",IF(IF(Paths!$E$59=0,C581=0,AND(C581&gt;0,Paths!$E$59&gt;(C581-1)*12,Paths!$E$59&lt;=C581*12)),Paths!$H$59,0),"n.a."))</f>
        <v>0</v>
      </c>
      <c r="K581" s="16">
        <f>IF(NOT(Paths!$C$59=1),0,IF(Paths!$P$59="Complete",IF(IF(Paths!$O$59=0,C581=0,AND(C581&gt;0,Paths!$O$59&gt;(C581-1)*12,Paths!$O$59&lt;=C581*12)),Paths!$N$59,0),"n.a."))</f>
        <v>0</v>
      </c>
      <c r="L581" s="16">
        <f>IF(NOT(Paths!$C$59=1),0,IF(Paths!$P$59="Complete",IF(C581=10,Paths!$I$59,0),"n.a."))</f>
        <v>0</v>
      </c>
      <c r="M581" s="16">
        <f>IF(NOT(Paths!$C$59=1),0,IF(Paths!$P$59="Complete",IF(AND(Paths!$D$59="EV",Paths!$E$59&lt;120,Paths!$E$59+'Operating costs'!$B$65&gt;Paths!$E$59,Paths!$E$59+'Operating costs'!$B$65&lt;=120,IF(Paths!$E$59+'Operating costs'!$B$65=0,C581=0,AND(C581&gt;0,Paths!$E$59+'Operating costs'!$B$65&gt;(C581-1)*12,Paths!$E$59+'Operating costs'!$B$65&lt;=C581*12))),'Operating costs'!$B$64,0)+IF(AND('Operating costs'!$B$67&gt;0,'Operating costs'!$B$67&lt;=120,OR(Paths!$D$59="ICE",'Operating costs'!$B$67&lt;=Paths!$E$59),IF('Operating costs'!$B$67=0,C581=0,AND(C581&gt;0,'Operating costs'!$B$67&gt;(C581-1)*12,'Operating costs'!$B$67&lt;=C581*12))),'Operating costs'!$B$66,0),"n.a."))</f>
        <v>0</v>
      </c>
      <c r="N581" s="16">
        <f>IF(NOT(Paths!$C$59=1),0,IF(Paths!$P$59="Complete",SUM(G581:I581)-J581-K581-L581+M581+IF(C581=0,Paths!$F$59,0)+IF(IF(Paths!$E$59=0,C581=0,AND(C581&gt;0,Paths!$E$59&gt;(C581-1)*12,Paths!$E$59&lt;=C581*12)),VLOOKUP(A581,'Fleet register'!$A$7:$S$106,16,FALSE),0),"n.a."))</f>
        <v>0</v>
      </c>
      <c r="O581" s="16">
        <f>IF(NOT(Paths!$C$59=1),0,IF(Paths!$P$59="Complete",N581-IF(C581=0,Paths!$F$59,0),"n.a."))</f>
        <v>0</v>
      </c>
      <c r="P581" s="16">
        <f>IF(NOT(Paths!$C$59=1),0,IF(Paths!$P$59="Complete",O581+L581,"n.a."))</f>
        <v>0</v>
      </c>
      <c r="Q581" s="16">
        <f>IF(NOT(Paths!$C$59=1),0,IF(Paths!$P$59="Complete",N581*(1+'Operating costs'!$B$54)^-C581,"n.a."))</f>
        <v>0</v>
      </c>
      <c r="R581" s="16">
        <f>IF(NOT(Paths!$C$59=1),0,IF(Paths!$P$59="Complete",IF(AND(C581=0,Paths!$E$59=0),I581-J581-K581+VLOOKUP(A581,'Fleet register'!$A$7:$S$106,15,FALSE)+VLOOKUP(A581,'Fleet register'!$A$7:$S$106,16,FALSE),0),"n.a."))</f>
        <v>0</v>
      </c>
      <c r="S581" s="1">
        <f>IF(NOT(Paths!$C$59=1),0,IF(Paths!$P$59="Complete",IF(C581=0,0,Paths!$S$59*Paths!$R$59),"n.a."))</f>
        <v>0</v>
      </c>
      <c r="T581" s="1">
        <f>IF(NOT(Paths!$C$59=1),0,IF(Paths!$P$59="Complete",IF(C581=0,0,VLOOKUP(A581,'Fleet register'!$A$7:$S$106,9,FALSE)*Paths!$R$59),"n.a."))</f>
        <v>0</v>
      </c>
    </row>
    <row r="582" spans="1:20" ht="24" customHeight="1">
      <c r="A582" s="1" t="str">
        <f>Paths!$A$59</f>
        <v>T014</v>
      </c>
      <c r="B582" s="1">
        <f>Paths!$B$59</f>
        <v>0</v>
      </c>
      <c r="C582" s="1">
        <v>3</v>
      </c>
      <c r="D582" s="1">
        <v>59</v>
      </c>
      <c r="E582" s="1">
        <f>IF(OR(Paths!$C$59=0,C582=0),0,MAX(0,MIN(C582*12,Paths!$E$59)-(C582-1)*12))</f>
        <v>0</v>
      </c>
      <c r="F582" s="1">
        <f>IF(OR(Paths!$C$59=0,C582=0),0,12-E582)</f>
        <v>0</v>
      </c>
      <c r="G582" s="16">
        <f>IF(NOT(Paths!$C$59=1),0,IF(Paths!$P$59="Complete",E582/12*(Paths!$J$59*(1+'Operating costs'!$B$51)^MAX(0,C582-1)+Paths!$K$59*(1+'Operating costs'!$B$53)^MAX(0,C582-1)),"n.a."))</f>
        <v>0</v>
      </c>
      <c r="H582" s="16">
        <f>IF(NOT(Paths!$C$59=1),0,IF(Paths!$P$59="Complete",F582/12*(Paths!$L$59*(1+IF(Paths!$D$59="EV",'Operating costs'!$B$52,'Operating costs'!$B$51))^MAX(0,C582-1)+Paths!$M$59*(1+'Operating costs'!$B$53)^MAX(0,C582-1)),"n.a."))</f>
        <v>0</v>
      </c>
      <c r="I582" s="16">
        <f>IF(NOT(Paths!$C$59=1),0,IF(Paths!$P$59="Complete",IF(IF(Paths!$E$59=0,C582=0,AND(C582&gt;0,Paths!$E$59&gt;(C582-1)*12,Paths!$E$59&lt;=C582*12)),Paths!$G$59,0),"n.a."))</f>
        <v>0</v>
      </c>
      <c r="J582" s="16">
        <f>IF(NOT(Paths!$C$59=1),0,IF(Paths!$P$59="Complete",IF(IF(Paths!$E$59=0,C582=0,AND(C582&gt;0,Paths!$E$59&gt;(C582-1)*12,Paths!$E$59&lt;=C582*12)),Paths!$H$59,0),"n.a."))</f>
        <v>0</v>
      </c>
      <c r="K582" s="16">
        <f>IF(NOT(Paths!$C$59=1),0,IF(Paths!$P$59="Complete",IF(IF(Paths!$O$59=0,C582=0,AND(C582&gt;0,Paths!$O$59&gt;(C582-1)*12,Paths!$O$59&lt;=C582*12)),Paths!$N$59,0),"n.a."))</f>
        <v>0</v>
      </c>
      <c r="L582" s="16">
        <f>IF(NOT(Paths!$C$59=1),0,IF(Paths!$P$59="Complete",IF(C582=10,Paths!$I$59,0),"n.a."))</f>
        <v>0</v>
      </c>
      <c r="M582" s="16">
        <f>IF(NOT(Paths!$C$59=1),0,IF(Paths!$P$59="Complete",IF(AND(Paths!$D$59="EV",Paths!$E$59&lt;120,Paths!$E$59+'Operating costs'!$B$65&gt;Paths!$E$59,Paths!$E$59+'Operating costs'!$B$65&lt;=120,IF(Paths!$E$59+'Operating costs'!$B$65=0,C582=0,AND(C582&gt;0,Paths!$E$59+'Operating costs'!$B$65&gt;(C582-1)*12,Paths!$E$59+'Operating costs'!$B$65&lt;=C582*12))),'Operating costs'!$B$64,0)+IF(AND('Operating costs'!$B$67&gt;0,'Operating costs'!$B$67&lt;=120,OR(Paths!$D$59="ICE",'Operating costs'!$B$67&lt;=Paths!$E$59),IF('Operating costs'!$B$67=0,C582=0,AND(C582&gt;0,'Operating costs'!$B$67&gt;(C582-1)*12,'Operating costs'!$B$67&lt;=C582*12))),'Operating costs'!$B$66,0),"n.a."))</f>
        <v>0</v>
      </c>
      <c r="N582" s="16">
        <f>IF(NOT(Paths!$C$59=1),0,IF(Paths!$P$59="Complete",SUM(G582:I582)-J582-K582-L582+M582+IF(C582=0,Paths!$F$59,0)+IF(IF(Paths!$E$59=0,C582=0,AND(C582&gt;0,Paths!$E$59&gt;(C582-1)*12,Paths!$E$59&lt;=C582*12)),VLOOKUP(A582,'Fleet register'!$A$7:$S$106,16,FALSE),0),"n.a."))</f>
        <v>0</v>
      </c>
      <c r="O582" s="16">
        <f>IF(NOT(Paths!$C$59=1),0,IF(Paths!$P$59="Complete",N582-IF(C582=0,Paths!$F$59,0),"n.a."))</f>
        <v>0</v>
      </c>
      <c r="P582" s="16">
        <f>IF(NOT(Paths!$C$59=1),0,IF(Paths!$P$59="Complete",O582+L582,"n.a."))</f>
        <v>0</v>
      </c>
      <c r="Q582" s="16">
        <f>IF(NOT(Paths!$C$59=1),0,IF(Paths!$P$59="Complete",N582*(1+'Operating costs'!$B$54)^-C582,"n.a."))</f>
        <v>0</v>
      </c>
      <c r="R582" s="16">
        <f>IF(NOT(Paths!$C$59=1),0,IF(Paths!$P$59="Complete",IF(AND(C582=0,Paths!$E$59=0),I582-J582-K582+VLOOKUP(A582,'Fleet register'!$A$7:$S$106,15,FALSE)+VLOOKUP(A582,'Fleet register'!$A$7:$S$106,16,FALSE),0),"n.a."))</f>
        <v>0</v>
      </c>
      <c r="S582" s="1">
        <f>IF(NOT(Paths!$C$59=1),0,IF(Paths!$P$59="Complete",IF(C582=0,0,Paths!$S$59*Paths!$R$59),"n.a."))</f>
        <v>0</v>
      </c>
      <c r="T582" s="1">
        <f>IF(NOT(Paths!$C$59=1),0,IF(Paths!$P$59="Complete",IF(C582=0,0,VLOOKUP(A582,'Fleet register'!$A$7:$S$106,9,FALSE)*Paths!$R$59),"n.a."))</f>
        <v>0</v>
      </c>
    </row>
    <row r="583" spans="1:20" ht="24" customHeight="1">
      <c r="A583" s="1" t="str">
        <f>Paths!$A$59</f>
        <v>T014</v>
      </c>
      <c r="B583" s="1">
        <f>Paths!$B$59</f>
        <v>0</v>
      </c>
      <c r="C583" s="1">
        <v>4</v>
      </c>
      <c r="D583" s="1">
        <v>59</v>
      </c>
      <c r="E583" s="1">
        <f>IF(OR(Paths!$C$59=0,C583=0),0,MAX(0,MIN(C583*12,Paths!$E$59)-(C583-1)*12))</f>
        <v>0</v>
      </c>
      <c r="F583" s="1">
        <f>IF(OR(Paths!$C$59=0,C583=0),0,12-E583)</f>
        <v>0</v>
      </c>
      <c r="G583" s="16">
        <f>IF(NOT(Paths!$C$59=1),0,IF(Paths!$P$59="Complete",E583/12*(Paths!$J$59*(1+'Operating costs'!$B$51)^MAX(0,C583-1)+Paths!$K$59*(1+'Operating costs'!$B$53)^MAX(0,C583-1)),"n.a."))</f>
        <v>0</v>
      </c>
      <c r="H583" s="16">
        <f>IF(NOT(Paths!$C$59=1),0,IF(Paths!$P$59="Complete",F583/12*(Paths!$L$59*(1+IF(Paths!$D$59="EV",'Operating costs'!$B$52,'Operating costs'!$B$51))^MAX(0,C583-1)+Paths!$M$59*(1+'Operating costs'!$B$53)^MAX(0,C583-1)),"n.a."))</f>
        <v>0</v>
      </c>
      <c r="I583" s="16">
        <f>IF(NOT(Paths!$C$59=1),0,IF(Paths!$P$59="Complete",IF(IF(Paths!$E$59=0,C583=0,AND(C583&gt;0,Paths!$E$59&gt;(C583-1)*12,Paths!$E$59&lt;=C583*12)),Paths!$G$59,0),"n.a."))</f>
        <v>0</v>
      </c>
      <c r="J583" s="16">
        <f>IF(NOT(Paths!$C$59=1),0,IF(Paths!$P$59="Complete",IF(IF(Paths!$E$59=0,C583=0,AND(C583&gt;0,Paths!$E$59&gt;(C583-1)*12,Paths!$E$59&lt;=C583*12)),Paths!$H$59,0),"n.a."))</f>
        <v>0</v>
      </c>
      <c r="K583" s="16">
        <f>IF(NOT(Paths!$C$59=1),0,IF(Paths!$P$59="Complete",IF(IF(Paths!$O$59=0,C583=0,AND(C583&gt;0,Paths!$O$59&gt;(C583-1)*12,Paths!$O$59&lt;=C583*12)),Paths!$N$59,0),"n.a."))</f>
        <v>0</v>
      </c>
      <c r="L583" s="16">
        <f>IF(NOT(Paths!$C$59=1),0,IF(Paths!$P$59="Complete",IF(C583=10,Paths!$I$59,0),"n.a."))</f>
        <v>0</v>
      </c>
      <c r="M583" s="16">
        <f>IF(NOT(Paths!$C$59=1),0,IF(Paths!$P$59="Complete",IF(AND(Paths!$D$59="EV",Paths!$E$59&lt;120,Paths!$E$59+'Operating costs'!$B$65&gt;Paths!$E$59,Paths!$E$59+'Operating costs'!$B$65&lt;=120,IF(Paths!$E$59+'Operating costs'!$B$65=0,C583=0,AND(C583&gt;0,Paths!$E$59+'Operating costs'!$B$65&gt;(C583-1)*12,Paths!$E$59+'Operating costs'!$B$65&lt;=C583*12))),'Operating costs'!$B$64,0)+IF(AND('Operating costs'!$B$67&gt;0,'Operating costs'!$B$67&lt;=120,OR(Paths!$D$59="ICE",'Operating costs'!$B$67&lt;=Paths!$E$59),IF('Operating costs'!$B$67=0,C583=0,AND(C583&gt;0,'Operating costs'!$B$67&gt;(C583-1)*12,'Operating costs'!$B$67&lt;=C583*12))),'Operating costs'!$B$66,0),"n.a."))</f>
        <v>0</v>
      </c>
      <c r="N583" s="16">
        <f>IF(NOT(Paths!$C$59=1),0,IF(Paths!$P$59="Complete",SUM(G583:I583)-J583-K583-L583+M583+IF(C583=0,Paths!$F$59,0)+IF(IF(Paths!$E$59=0,C583=0,AND(C583&gt;0,Paths!$E$59&gt;(C583-1)*12,Paths!$E$59&lt;=C583*12)),VLOOKUP(A583,'Fleet register'!$A$7:$S$106,16,FALSE),0),"n.a."))</f>
        <v>0</v>
      </c>
      <c r="O583" s="16">
        <f>IF(NOT(Paths!$C$59=1),0,IF(Paths!$P$59="Complete",N583-IF(C583=0,Paths!$F$59,0),"n.a."))</f>
        <v>0</v>
      </c>
      <c r="P583" s="16">
        <f>IF(NOT(Paths!$C$59=1),0,IF(Paths!$P$59="Complete",O583+L583,"n.a."))</f>
        <v>0</v>
      </c>
      <c r="Q583" s="16">
        <f>IF(NOT(Paths!$C$59=1),0,IF(Paths!$P$59="Complete",N583*(1+'Operating costs'!$B$54)^-C583,"n.a."))</f>
        <v>0</v>
      </c>
      <c r="R583" s="16">
        <f>IF(NOT(Paths!$C$59=1),0,IF(Paths!$P$59="Complete",IF(AND(C583=0,Paths!$E$59=0),I583-J583-K583+VLOOKUP(A583,'Fleet register'!$A$7:$S$106,15,FALSE)+VLOOKUP(A583,'Fleet register'!$A$7:$S$106,16,FALSE),0),"n.a."))</f>
        <v>0</v>
      </c>
      <c r="S583" s="1">
        <f>IF(NOT(Paths!$C$59=1),0,IF(Paths!$P$59="Complete",IF(C583=0,0,Paths!$S$59*Paths!$R$59),"n.a."))</f>
        <v>0</v>
      </c>
      <c r="T583" s="1">
        <f>IF(NOT(Paths!$C$59=1),0,IF(Paths!$P$59="Complete",IF(C583=0,0,VLOOKUP(A583,'Fleet register'!$A$7:$S$106,9,FALSE)*Paths!$R$59),"n.a."))</f>
        <v>0</v>
      </c>
    </row>
    <row r="584" spans="1:20" ht="24" customHeight="1">
      <c r="A584" s="1" t="str">
        <f>Paths!$A$59</f>
        <v>T014</v>
      </c>
      <c r="B584" s="1">
        <f>Paths!$B$59</f>
        <v>0</v>
      </c>
      <c r="C584" s="1">
        <v>5</v>
      </c>
      <c r="D584" s="1">
        <v>59</v>
      </c>
      <c r="E584" s="1">
        <f>IF(OR(Paths!$C$59=0,C584=0),0,MAX(0,MIN(C584*12,Paths!$E$59)-(C584-1)*12))</f>
        <v>0</v>
      </c>
      <c r="F584" s="1">
        <f>IF(OR(Paths!$C$59=0,C584=0),0,12-E584)</f>
        <v>0</v>
      </c>
      <c r="G584" s="16">
        <f>IF(NOT(Paths!$C$59=1),0,IF(Paths!$P$59="Complete",E584/12*(Paths!$J$59*(1+'Operating costs'!$B$51)^MAX(0,C584-1)+Paths!$K$59*(1+'Operating costs'!$B$53)^MAX(0,C584-1)),"n.a."))</f>
        <v>0</v>
      </c>
      <c r="H584" s="16">
        <f>IF(NOT(Paths!$C$59=1),0,IF(Paths!$P$59="Complete",F584/12*(Paths!$L$59*(1+IF(Paths!$D$59="EV",'Operating costs'!$B$52,'Operating costs'!$B$51))^MAX(0,C584-1)+Paths!$M$59*(1+'Operating costs'!$B$53)^MAX(0,C584-1)),"n.a."))</f>
        <v>0</v>
      </c>
      <c r="I584" s="16">
        <f>IF(NOT(Paths!$C$59=1),0,IF(Paths!$P$59="Complete",IF(IF(Paths!$E$59=0,C584=0,AND(C584&gt;0,Paths!$E$59&gt;(C584-1)*12,Paths!$E$59&lt;=C584*12)),Paths!$G$59,0),"n.a."))</f>
        <v>0</v>
      </c>
      <c r="J584" s="16">
        <f>IF(NOT(Paths!$C$59=1),0,IF(Paths!$P$59="Complete",IF(IF(Paths!$E$59=0,C584=0,AND(C584&gt;0,Paths!$E$59&gt;(C584-1)*12,Paths!$E$59&lt;=C584*12)),Paths!$H$59,0),"n.a."))</f>
        <v>0</v>
      </c>
      <c r="K584" s="16">
        <f>IF(NOT(Paths!$C$59=1),0,IF(Paths!$P$59="Complete",IF(IF(Paths!$O$59=0,C584=0,AND(C584&gt;0,Paths!$O$59&gt;(C584-1)*12,Paths!$O$59&lt;=C584*12)),Paths!$N$59,0),"n.a."))</f>
        <v>0</v>
      </c>
      <c r="L584" s="16">
        <f>IF(NOT(Paths!$C$59=1),0,IF(Paths!$P$59="Complete",IF(C584=10,Paths!$I$59,0),"n.a."))</f>
        <v>0</v>
      </c>
      <c r="M584" s="16">
        <f>IF(NOT(Paths!$C$59=1),0,IF(Paths!$P$59="Complete",IF(AND(Paths!$D$59="EV",Paths!$E$59&lt;120,Paths!$E$59+'Operating costs'!$B$65&gt;Paths!$E$59,Paths!$E$59+'Operating costs'!$B$65&lt;=120,IF(Paths!$E$59+'Operating costs'!$B$65=0,C584=0,AND(C584&gt;0,Paths!$E$59+'Operating costs'!$B$65&gt;(C584-1)*12,Paths!$E$59+'Operating costs'!$B$65&lt;=C584*12))),'Operating costs'!$B$64,0)+IF(AND('Operating costs'!$B$67&gt;0,'Operating costs'!$B$67&lt;=120,OR(Paths!$D$59="ICE",'Operating costs'!$B$67&lt;=Paths!$E$59),IF('Operating costs'!$B$67=0,C584=0,AND(C584&gt;0,'Operating costs'!$B$67&gt;(C584-1)*12,'Operating costs'!$B$67&lt;=C584*12))),'Operating costs'!$B$66,0),"n.a."))</f>
        <v>0</v>
      </c>
      <c r="N584" s="16">
        <f>IF(NOT(Paths!$C$59=1),0,IF(Paths!$P$59="Complete",SUM(G584:I584)-J584-K584-L584+M584+IF(C584=0,Paths!$F$59,0)+IF(IF(Paths!$E$59=0,C584=0,AND(C584&gt;0,Paths!$E$59&gt;(C584-1)*12,Paths!$E$59&lt;=C584*12)),VLOOKUP(A584,'Fleet register'!$A$7:$S$106,16,FALSE),0),"n.a."))</f>
        <v>0</v>
      </c>
      <c r="O584" s="16">
        <f>IF(NOT(Paths!$C$59=1),0,IF(Paths!$P$59="Complete",N584-IF(C584=0,Paths!$F$59,0),"n.a."))</f>
        <v>0</v>
      </c>
      <c r="P584" s="16">
        <f>IF(NOT(Paths!$C$59=1),0,IF(Paths!$P$59="Complete",O584+L584,"n.a."))</f>
        <v>0</v>
      </c>
      <c r="Q584" s="16">
        <f>IF(NOT(Paths!$C$59=1),0,IF(Paths!$P$59="Complete",N584*(1+'Operating costs'!$B$54)^-C584,"n.a."))</f>
        <v>0</v>
      </c>
      <c r="R584" s="16">
        <f>IF(NOT(Paths!$C$59=1),0,IF(Paths!$P$59="Complete",IF(AND(C584=0,Paths!$E$59=0),I584-J584-K584+VLOOKUP(A584,'Fleet register'!$A$7:$S$106,15,FALSE)+VLOOKUP(A584,'Fleet register'!$A$7:$S$106,16,FALSE),0),"n.a."))</f>
        <v>0</v>
      </c>
      <c r="S584" s="1">
        <f>IF(NOT(Paths!$C$59=1),0,IF(Paths!$P$59="Complete",IF(C584=0,0,Paths!$S$59*Paths!$R$59),"n.a."))</f>
        <v>0</v>
      </c>
      <c r="T584" s="1">
        <f>IF(NOT(Paths!$C$59=1),0,IF(Paths!$P$59="Complete",IF(C584=0,0,VLOOKUP(A584,'Fleet register'!$A$7:$S$106,9,FALSE)*Paths!$R$59),"n.a."))</f>
        <v>0</v>
      </c>
    </row>
    <row r="585" spans="1:20" ht="24" customHeight="1">
      <c r="A585" s="1" t="str">
        <f>Paths!$A$59</f>
        <v>T014</v>
      </c>
      <c r="B585" s="1">
        <f>Paths!$B$59</f>
        <v>0</v>
      </c>
      <c r="C585" s="1">
        <v>6</v>
      </c>
      <c r="D585" s="1">
        <v>59</v>
      </c>
      <c r="E585" s="1">
        <f>IF(OR(Paths!$C$59=0,C585=0),0,MAX(0,MIN(C585*12,Paths!$E$59)-(C585-1)*12))</f>
        <v>0</v>
      </c>
      <c r="F585" s="1">
        <f>IF(OR(Paths!$C$59=0,C585=0),0,12-E585)</f>
        <v>0</v>
      </c>
      <c r="G585" s="16">
        <f>IF(NOT(Paths!$C$59=1),0,IF(Paths!$P$59="Complete",E585/12*(Paths!$J$59*(1+'Operating costs'!$B$51)^MAX(0,C585-1)+Paths!$K$59*(1+'Operating costs'!$B$53)^MAX(0,C585-1)),"n.a."))</f>
        <v>0</v>
      </c>
      <c r="H585" s="16">
        <f>IF(NOT(Paths!$C$59=1),0,IF(Paths!$P$59="Complete",F585/12*(Paths!$L$59*(1+IF(Paths!$D$59="EV",'Operating costs'!$B$52,'Operating costs'!$B$51))^MAX(0,C585-1)+Paths!$M$59*(1+'Operating costs'!$B$53)^MAX(0,C585-1)),"n.a."))</f>
        <v>0</v>
      </c>
      <c r="I585" s="16">
        <f>IF(NOT(Paths!$C$59=1),0,IF(Paths!$P$59="Complete",IF(IF(Paths!$E$59=0,C585=0,AND(C585&gt;0,Paths!$E$59&gt;(C585-1)*12,Paths!$E$59&lt;=C585*12)),Paths!$G$59,0),"n.a."))</f>
        <v>0</v>
      </c>
      <c r="J585" s="16">
        <f>IF(NOT(Paths!$C$59=1),0,IF(Paths!$P$59="Complete",IF(IF(Paths!$E$59=0,C585=0,AND(C585&gt;0,Paths!$E$59&gt;(C585-1)*12,Paths!$E$59&lt;=C585*12)),Paths!$H$59,0),"n.a."))</f>
        <v>0</v>
      </c>
      <c r="K585" s="16">
        <f>IF(NOT(Paths!$C$59=1),0,IF(Paths!$P$59="Complete",IF(IF(Paths!$O$59=0,C585=0,AND(C585&gt;0,Paths!$O$59&gt;(C585-1)*12,Paths!$O$59&lt;=C585*12)),Paths!$N$59,0),"n.a."))</f>
        <v>0</v>
      </c>
      <c r="L585" s="16">
        <f>IF(NOT(Paths!$C$59=1),0,IF(Paths!$P$59="Complete",IF(C585=10,Paths!$I$59,0),"n.a."))</f>
        <v>0</v>
      </c>
      <c r="M585" s="16">
        <f>IF(NOT(Paths!$C$59=1),0,IF(Paths!$P$59="Complete",IF(AND(Paths!$D$59="EV",Paths!$E$59&lt;120,Paths!$E$59+'Operating costs'!$B$65&gt;Paths!$E$59,Paths!$E$59+'Operating costs'!$B$65&lt;=120,IF(Paths!$E$59+'Operating costs'!$B$65=0,C585=0,AND(C585&gt;0,Paths!$E$59+'Operating costs'!$B$65&gt;(C585-1)*12,Paths!$E$59+'Operating costs'!$B$65&lt;=C585*12))),'Operating costs'!$B$64,0)+IF(AND('Operating costs'!$B$67&gt;0,'Operating costs'!$B$67&lt;=120,OR(Paths!$D$59="ICE",'Operating costs'!$B$67&lt;=Paths!$E$59),IF('Operating costs'!$B$67=0,C585=0,AND(C585&gt;0,'Operating costs'!$B$67&gt;(C585-1)*12,'Operating costs'!$B$67&lt;=C585*12))),'Operating costs'!$B$66,0),"n.a."))</f>
        <v>0</v>
      </c>
      <c r="N585" s="16">
        <f>IF(NOT(Paths!$C$59=1),0,IF(Paths!$P$59="Complete",SUM(G585:I585)-J585-K585-L585+M585+IF(C585=0,Paths!$F$59,0)+IF(IF(Paths!$E$59=0,C585=0,AND(C585&gt;0,Paths!$E$59&gt;(C585-1)*12,Paths!$E$59&lt;=C585*12)),VLOOKUP(A585,'Fleet register'!$A$7:$S$106,16,FALSE),0),"n.a."))</f>
        <v>0</v>
      </c>
      <c r="O585" s="16">
        <f>IF(NOT(Paths!$C$59=1),0,IF(Paths!$P$59="Complete",N585-IF(C585=0,Paths!$F$59,0),"n.a."))</f>
        <v>0</v>
      </c>
      <c r="P585" s="16">
        <f>IF(NOT(Paths!$C$59=1),0,IF(Paths!$P$59="Complete",O585+L585,"n.a."))</f>
        <v>0</v>
      </c>
      <c r="Q585" s="16">
        <f>IF(NOT(Paths!$C$59=1),0,IF(Paths!$P$59="Complete",N585*(1+'Operating costs'!$B$54)^-C585,"n.a."))</f>
        <v>0</v>
      </c>
      <c r="R585" s="16">
        <f>IF(NOT(Paths!$C$59=1),0,IF(Paths!$P$59="Complete",IF(AND(C585=0,Paths!$E$59=0),I585-J585-K585+VLOOKUP(A585,'Fleet register'!$A$7:$S$106,15,FALSE)+VLOOKUP(A585,'Fleet register'!$A$7:$S$106,16,FALSE),0),"n.a."))</f>
        <v>0</v>
      </c>
      <c r="S585" s="1">
        <f>IF(NOT(Paths!$C$59=1),0,IF(Paths!$P$59="Complete",IF(C585=0,0,Paths!$S$59*Paths!$R$59),"n.a."))</f>
        <v>0</v>
      </c>
      <c r="T585" s="1">
        <f>IF(NOT(Paths!$C$59=1),0,IF(Paths!$P$59="Complete",IF(C585=0,0,VLOOKUP(A585,'Fleet register'!$A$7:$S$106,9,FALSE)*Paths!$R$59),"n.a."))</f>
        <v>0</v>
      </c>
    </row>
    <row r="586" spans="1:20" ht="24" customHeight="1">
      <c r="A586" s="1" t="str">
        <f>Paths!$A$59</f>
        <v>T014</v>
      </c>
      <c r="B586" s="1">
        <f>Paths!$B$59</f>
        <v>0</v>
      </c>
      <c r="C586" s="1">
        <v>7</v>
      </c>
      <c r="D586" s="1">
        <v>59</v>
      </c>
      <c r="E586" s="1">
        <f>IF(OR(Paths!$C$59=0,C586=0),0,MAX(0,MIN(C586*12,Paths!$E$59)-(C586-1)*12))</f>
        <v>0</v>
      </c>
      <c r="F586" s="1">
        <f>IF(OR(Paths!$C$59=0,C586=0),0,12-E586)</f>
        <v>0</v>
      </c>
      <c r="G586" s="16">
        <f>IF(NOT(Paths!$C$59=1),0,IF(Paths!$P$59="Complete",E586/12*(Paths!$J$59*(1+'Operating costs'!$B$51)^MAX(0,C586-1)+Paths!$K$59*(1+'Operating costs'!$B$53)^MAX(0,C586-1)),"n.a."))</f>
        <v>0</v>
      </c>
      <c r="H586" s="16">
        <f>IF(NOT(Paths!$C$59=1),0,IF(Paths!$P$59="Complete",F586/12*(Paths!$L$59*(1+IF(Paths!$D$59="EV",'Operating costs'!$B$52,'Operating costs'!$B$51))^MAX(0,C586-1)+Paths!$M$59*(1+'Operating costs'!$B$53)^MAX(0,C586-1)),"n.a."))</f>
        <v>0</v>
      </c>
      <c r="I586" s="16">
        <f>IF(NOT(Paths!$C$59=1),0,IF(Paths!$P$59="Complete",IF(IF(Paths!$E$59=0,C586=0,AND(C586&gt;0,Paths!$E$59&gt;(C586-1)*12,Paths!$E$59&lt;=C586*12)),Paths!$G$59,0),"n.a."))</f>
        <v>0</v>
      </c>
      <c r="J586" s="16">
        <f>IF(NOT(Paths!$C$59=1),0,IF(Paths!$P$59="Complete",IF(IF(Paths!$E$59=0,C586=0,AND(C586&gt;0,Paths!$E$59&gt;(C586-1)*12,Paths!$E$59&lt;=C586*12)),Paths!$H$59,0),"n.a."))</f>
        <v>0</v>
      </c>
      <c r="K586" s="16">
        <f>IF(NOT(Paths!$C$59=1),0,IF(Paths!$P$59="Complete",IF(IF(Paths!$O$59=0,C586=0,AND(C586&gt;0,Paths!$O$59&gt;(C586-1)*12,Paths!$O$59&lt;=C586*12)),Paths!$N$59,0),"n.a."))</f>
        <v>0</v>
      </c>
      <c r="L586" s="16">
        <f>IF(NOT(Paths!$C$59=1),0,IF(Paths!$P$59="Complete",IF(C586=10,Paths!$I$59,0),"n.a."))</f>
        <v>0</v>
      </c>
      <c r="M586" s="16">
        <f>IF(NOT(Paths!$C$59=1),0,IF(Paths!$P$59="Complete",IF(AND(Paths!$D$59="EV",Paths!$E$59&lt;120,Paths!$E$59+'Operating costs'!$B$65&gt;Paths!$E$59,Paths!$E$59+'Operating costs'!$B$65&lt;=120,IF(Paths!$E$59+'Operating costs'!$B$65=0,C586=0,AND(C586&gt;0,Paths!$E$59+'Operating costs'!$B$65&gt;(C586-1)*12,Paths!$E$59+'Operating costs'!$B$65&lt;=C586*12))),'Operating costs'!$B$64,0)+IF(AND('Operating costs'!$B$67&gt;0,'Operating costs'!$B$67&lt;=120,OR(Paths!$D$59="ICE",'Operating costs'!$B$67&lt;=Paths!$E$59),IF('Operating costs'!$B$67=0,C586=0,AND(C586&gt;0,'Operating costs'!$B$67&gt;(C586-1)*12,'Operating costs'!$B$67&lt;=C586*12))),'Operating costs'!$B$66,0),"n.a."))</f>
        <v>0</v>
      </c>
      <c r="N586" s="16">
        <f>IF(NOT(Paths!$C$59=1),0,IF(Paths!$P$59="Complete",SUM(G586:I586)-J586-K586-L586+M586+IF(C586=0,Paths!$F$59,0)+IF(IF(Paths!$E$59=0,C586=0,AND(C586&gt;0,Paths!$E$59&gt;(C586-1)*12,Paths!$E$59&lt;=C586*12)),VLOOKUP(A586,'Fleet register'!$A$7:$S$106,16,FALSE),0),"n.a."))</f>
        <v>0</v>
      </c>
      <c r="O586" s="16">
        <f>IF(NOT(Paths!$C$59=1),0,IF(Paths!$P$59="Complete",N586-IF(C586=0,Paths!$F$59,0),"n.a."))</f>
        <v>0</v>
      </c>
      <c r="P586" s="16">
        <f>IF(NOT(Paths!$C$59=1),0,IF(Paths!$P$59="Complete",O586+L586,"n.a."))</f>
        <v>0</v>
      </c>
      <c r="Q586" s="16">
        <f>IF(NOT(Paths!$C$59=1),0,IF(Paths!$P$59="Complete",N586*(1+'Operating costs'!$B$54)^-C586,"n.a."))</f>
        <v>0</v>
      </c>
      <c r="R586" s="16">
        <f>IF(NOT(Paths!$C$59=1),0,IF(Paths!$P$59="Complete",IF(AND(C586=0,Paths!$E$59=0),I586-J586-K586+VLOOKUP(A586,'Fleet register'!$A$7:$S$106,15,FALSE)+VLOOKUP(A586,'Fleet register'!$A$7:$S$106,16,FALSE),0),"n.a."))</f>
        <v>0</v>
      </c>
      <c r="S586" s="1">
        <f>IF(NOT(Paths!$C$59=1),0,IF(Paths!$P$59="Complete",IF(C586=0,0,Paths!$S$59*Paths!$R$59),"n.a."))</f>
        <v>0</v>
      </c>
      <c r="T586" s="1">
        <f>IF(NOT(Paths!$C$59=1),0,IF(Paths!$P$59="Complete",IF(C586=0,0,VLOOKUP(A586,'Fleet register'!$A$7:$S$106,9,FALSE)*Paths!$R$59),"n.a."))</f>
        <v>0</v>
      </c>
    </row>
    <row r="587" spans="1:20" ht="24" customHeight="1">
      <c r="A587" s="1" t="str">
        <f>Paths!$A$59</f>
        <v>T014</v>
      </c>
      <c r="B587" s="1">
        <f>Paths!$B$59</f>
        <v>0</v>
      </c>
      <c r="C587" s="1">
        <v>8</v>
      </c>
      <c r="D587" s="1">
        <v>59</v>
      </c>
      <c r="E587" s="1">
        <f>IF(OR(Paths!$C$59=0,C587=0),0,MAX(0,MIN(C587*12,Paths!$E$59)-(C587-1)*12))</f>
        <v>0</v>
      </c>
      <c r="F587" s="1">
        <f>IF(OR(Paths!$C$59=0,C587=0),0,12-E587)</f>
        <v>0</v>
      </c>
      <c r="G587" s="16">
        <f>IF(NOT(Paths!$C$59=1),0,IF(Paths!$P$59="Complete",E587/12*(Paths!$J$59*(1+'Operating costs'!$B$51)^MAX(0,C587-1)+Paths!$K$59*(1+'Operating costs'!$B$53)^MAX(0,C587-1)),"n.a."))</f>
        <v>0</v>
      </c>
      <c r="H587" s="16">
        <f>IF(NOT(Paths!$C$59=1),0,IF(Paths!$P$59="Complete",F587/12*(Paths!$L$59*(1+IF(Paths!$D$59="EV",'Operating costs'!$B$52,'Operating costs'!$B$51))^MAX(0,C587-1)+Paths!$M$59*(1+'Operating costs'!$B$53)^MAX(0,C587-1)),"n.a."))</f>
        <v>0</v>
      </c>
      <c r="I587" s="16">
        <f>IF(NOT(Paths!$C$59=1),0,IF(Paths!$P$59="Complete",IF(IF(Paths!$E$59=0,C587=0,AND(C587&gt;0,Paths!$E$59&gt;(C587-1)*12,Paths!$E$59&lt;=C587*12)),Paths!$G$59,0),"n.a."))</f>
        <v>0</v>
      </c>
      <c r="J587" s="16">
        <f>IF(NOT(Paths!$C$59=1),0,IF(Paths!$P$59="Complete",IF(IF(Paths!$E$59=0,C587=0,AND(C587&gt;0,Paths!$E$59&gt;(C587-1)*12,Paths!$E$59&lt;=C587*12)),Paths!$H$59,0),"n.a."))</f>
        <v>0</v>
      </c>
      <c r="K587" s="16">
        <f>IF(NOT(Paths!$C$59=1),0,IF(Paths!$P$59="Complete",IF(IF(Paths!$O$59=0,C587=0,AND(C587&gt;0,Paths!$O$59&gt;(C587-1)*12,Paths!$O$59&lt;=C587*12)),Paths!$N$59,0),"n.a."))</f>
        <v>0</v>
      </c>
      <c r="L587" s="16">
        <f>IF(NOT(Paths!$C$59=1),0,IF(Paths!$P$59="Complete",IF(C587=10,Paths!$I$59,0),"n.a."))</f>
        <v>0</v>
      </c>
      <c r="M587" s="16">
        <f>IF(NOT(Paths!$C$59=1),0,IF(Paths!$P$59="Complete",IF(AND(Paths!$D$59="EV",Paths!$E$59&lt;120,Paths!$E$59+'Operating costs'!$B$65&gt;Paths!$E$59,Paths!$E$59+'Operating costs'!$B$65&lt;=120,IF(Paths!$E$59+'Operating costs'!$B$65=0,C587=0,AND(C587&gt;0,Paths!$E$59+'Operating costs'!$B$65&gt;(C587-1)*12,Paths!$E$59+'Operating costs'!$B$65&lt;=C587*12))),'Operating costs'!$B$64,0)+IF(AND('Operating costs'!$B$67&gt;0,'Operating costs'!$B$67&lt;=120,OR(Paths!$D$59="ICE",'Operating costs'!$B$67&lt;=Paths!$E$59),IF('Operating costs'!$B$67=0,C587=0,AND(C587&gt;0,'Operating costs'!$B$67&gt;(C587-1)*12,'Operating costs'!$B$67&lt;=C587*12))),'Operating costs'!$B$66,0),"n.a."))</f>
        <v>0</v>
      </c>
      <c r="N587" s="16">
        <f>IF(NOT(Paths!$C$59=1),0,IF(Paths!$P$59="Complete",SUM(G587:I587)-J587-K587-L587+M587+IF(C587=0,Paths!$F$59,0)+IF(IF(Paths!$E$59=0,C587=0,AND(C587&gt;0,Paths!$E$59&gt;(C587-1)*12,Paths!$E$59&lt;=C587*12)),VLOOKUP(A587,'Fleet register'!$A$7:$S$106,16,FALSE),0),"n.a."))</f>
        <v>0</v>
      </c>
      <c r="O587" s="16">
        <f>IF(NOT(Paths!$C$59=1),0,IF(Paths!$P$59="Complete",N587-IF(C587=0,Paths!$F$59,0),"n.a."))</f>
        <v>0</v>
      </c>
      <c r="P587" s="16">
        <f>IF(NOT(Paths!$C$59=1),0,IF(Paths!$P$59="Complete",O587+L587,"n.a."))</f>
        <v>0</v>
      </c>
      <c r="Q587" s="16">
        <f>IF(NOT(Paths!$C$59=1),0,IF(Paths!$P$59="Complete",N587*(1+'Operating costs'!$B$54)^-C587,"n.a."))</f>
        <v>0</v>
      </c>
      <c r="R587" s="16">
        <f>IF(NOT(Paths!$C$59=1),0,IF(Paths!$P$59="Complete",IF(AND(C587=0,Paths!$E$59=0),I587-J587-K587+VLOOKUP(A587,'Fleet register'!$A$7:$S$106,15,FALSE)+VLOOKUP(A587,'Fleet register'!$A$7:$S$106,16,FALSE),0),"n.a."))</f>
        <v>0</v>
      </c>
      <c r="S587" s="1">
        <f>IF(NOT(Paths!$C$59=1),0,IF(Paths!$P$59="Complete",IF(C587=0,0,Paths!$S$59*Paths!$R$59),"n.a."))</f>
        <v>0</v>
      </c>
      <c r="T587" s="1">
        <f>IF(NOT(Paths!$C$59=1),0,IF(Paths!$P$59="Complete",IF(C587=0,0,VLOOKUP(A587,'Fleet register'!$A$7:$S$106,9,FALSE)*Paths!$R$59),"n.a."))</f>
        <v>0</v>
      </c>
    </row>
    <row r="588" spans="1:20" ht="24" customHeight="1">
      <c r="A588" s="1" t="str">
        <f>Paths!$A$59</f>
        <v>T014</v>
      </c>
      <c r="B588" s="1">
        <f>Paths!$B$59</f>
        <v>0</v>
      </c>
      <c r="C588" s="1">
        <v>9</v>
      </c>
      <c r="D588" s="1">
        <v>59</v>
      </c>
      <c r="E588" s="1">
        <f>IF(OR(Paths!$C$59=0,C588=0),0,MAX(0,MIN(C588*12,Paths!$E$59)-(C588-1)*12))</f>
        <v>0</v>
      </c>
      <c r="F588" s="1">
        <f>IF(OR(Paths!$C$59=0,C588=0),0,12-E588)</f>
        <v>0</v>
      </c>
      <c r="G588" s="16">
        <f>IF(NOT(Paths!$C$59=1),0,IF(Paths!$P$59="Complete",E588/12*(Paths!$J$59*(1+'Operating costs'!$B$51)^MAX(0,C588-1)+Paths!$K$59*(1+'Operating costs'!$B$53)^MAX(0,C588-1)),"n.a."))</f>
        <v>0</v>
      </c>
      <c r="H588" s="16">
        <f>IF(NOT(Paths!$C$59=1),0,IF(Paths!$P$59="Complete",F588/12*(Paths!$L$59*(1+IF(Paths!$D$59="EV",'Operating costs'!$B$52,'Operating costs'!$B$51))^MAX(0,C588-1)+Paths!$M$59*(1+'Operating costs'!$B$53)^MAX(0,C588-1)),"n.a."))</f>
        <v>0</v>
      </c>
      <c r="I588" s="16">
        <f>IF(NOT(Paths!$C$59=1),0,IF(Paths!$P$59="Complete",IF(IF(Paths!$E$59=0,C588=0,AND(C588&gt;0,Paths!$E$59&gt;(C588-1)*12,Paths!$E$59&lt;=C588*12)),Paths!$G$59,0),"n.a."))</f>
        <v>0</v>
      </c>
      <c r="J588" s="16">
        <f>IF(NOT(Paths!$C$59=1),0,IF(Paths!$P$59="Complete",IF(IF(Paths!$E$59=0,C588=0,AND(C588&gt;0,Paths!$E$59&gt;(C588-1)*12,Paths!$E$59&lt;=C588*12)),Paths!$H$59,0),"n.a."))</f>
        <v>0</v>
      </c>
      <c r="K588" s="16">
        <f>IF(NOT(Paths!$C$59=1),0,IF(Paths!$P$59="Complete",IF(IF(Paths!$O$59=0,C588=0,AND(C588&gt;0,Paths!$O$59&gt;(C588-1)*12,Paths!$O$59&lt;=C588*12)),Paths!$N$59,0),"n.a."))</f>
        <v>0</v>
      </c>
      <c r="L588" s="16">
        <f>IF(NOT(Paths!$C$59=1),0,IF(Paths!$P$59="Complete",IF(C588=10,Paths!$I$59,0),"n.a."))</f>
        <v>0</v>
      </c>
      <c r="M588" s="16">
        <f>IF(NOT(Paths!$C$59=1),0,IF(Paths!$P$59="Complete",IF(AND(Paths!$D$59="EV",Paths!$E$59&lt;120,Paths!$E$59+'Operating costs'!$B$65&gt;Paths!$E$59,Paths!$E$59+'Operating costs'!$B$65&lt;=120,IF(Paths!$E$59+'Operating costs'!$B$65=0,C588=0,AND(C588&gt;0,Paths!$E$59+'Operating costs'!$B$65&gt;(C588-1)*12,Paths!$E$59+'Operating costs'!$B$65&lt;=C588*12))),'Operating costs'!$B$64,0)+IF(AND('Operating costs'!$B$67&gt;0,'Operating costs'!$B$67&lt;=120,OR(Paths!$D$59="ICE",'Operating costs'!$B$67&lt;=Paths!$E$59),IF('Operating costs'!$B$67=0,C588=0,AND(C588&gt;0,'Operating costs'!$B$67&gt;(C588-1)*12,'Operating costs'!$B$67&lt;=C588*12))),'Operating costs'!$B$66,0),"n.a."))</f>
        <v>0</v>
      </c>
      <c r="N588" s="16">
        <f>IF(NOT(Paths!$C$59=1),0,IF(Paths!$P$59="Complete",SUM(G588:I588)-J588-K588-L588+M588+IF(C588=0,Paths!$F$59,0)+IF(IF(Paths!$E$59=0,C588=0,AND(C588&gt;0,Paths!$E$59&gt;(C588-1)*12,Paths!$E$59&lt;=C588*12)),VLOOKUP(A588,'Fleet register'!$A$7:$S$106,16,FALSE),0),"n.a."))</f>
        <v>0</v>
      </c>
      <c r="O588" s="16">
        <f>IF(NOT(Paths!$C$59=1),0,IF(Paths!$P$59="Complete",N588-IF(C588=0,Paths!$F$59,0),"n.a."))</f>
        <v>0</v>
      </c>
      <c r="P588" s="16">
        <f>IF(NOT(Paths!$C$59=1),0,IF(Paths!$P$59="Complete",O588+L588,"n.a."))</f>
        <v>0</v>
      </c>
      <c r="Q588" s="16">
        <f>IF(NOT(Paths!$C$59=1),0,IF(Paths!$P$59="Complete",N588*(1+'Operating costs'!$B$54)^-C588,"n.a."))</f>
        <v>0</v>
      </c>
      <c r="R588" s="16">
        <f>IF(NOT(Paths!$C$59=1),0,IF(Paths!$P$59="Complete",IF(AND(C588=0,Paths!$E$59=0),I588-J588-K588+VLOOKUP(A588,'Fleet register'!$A$7:$S$106,15,FALSE)+VLOOKUP(A588,'Fleet register'!$A$7:$S$106,16,FALSE),0),"n.a."))</f>
        <v>0</v>
      </c>
      <c r="S588" s="1">
        <f>IF(NOT(Paths!$C$59=1),0,IF(Paths!$P$59="Complete",IF(C588=0,0,Paths!$S$59*Paths!$R$59),"n.a."))</f>
        <v>0</v>
      </c>
      <c r="T588" s="1">
        <f>IF(NOT(Paths!$C$59=1),0,IF(Paths!$P$59="Complete",IF(C588=0,0,VLOOKUP(A588,'Fleet register'!$A$7:$S$106,9,FALSE)*Paths!$R$59),"n.a."))</f>
        <v>0</v>
      </c>
    </row>
    <row r="589" spans="1:20" ht="24" customHeight="1">
      <c r="A589" s="1" t="str">
        <f>Paths!$A$59</f>
        <v>T014</v>
      </c>
      <c r="B589" s="1">
        <f>Paths!$B$59</f>
        <v>0</v>
      </c>
      <c r="C589" s="1">
        <v>10</v>
      </c>
      <c r="D589" s="1">
        <v>59</v>
      </c>
      <c r="E589" s="1">
        <f>IF(OR(Paths!$C$59=0,C589=0),0,MAX(0,MIN(C589*12,Paths!$E$59)-(C589-1)*12))</f>
        <v>0</v>
      </c>
      <c r="F589" s="1">
        <f>IF(OR(Paths!$C$59=0,C589=0),0,12-E589)</f>
        <v>0</v>
      </c>
      <c r="G589" s="16">
        <f>IF(NOT(Paths!$C$59=1),0,IF(Paths!$P$59="Complete",E589/12*(Paths!$J$59*(1+'Operating costs'!$B$51)^MAX(0,C589-1)+Paths!$K$59*(1+'Operating costs'!$B$53)^MAX(0,C589-1)),"n.a."))</f>
        <v>0</v>
      </c>
      <c r="H589" s="16">
        <f>IF(NOT(Paths!$C$59=1),0,IF(Paths!$P$59="Complete",F589/12*(Paths!$L$59*(1+IF(Paths!$D$59="EV",'Operating costs'!$B$52,'Operating costs'!$B$51))^MAX(0,C589-1)+Paths!$M$59*(1+'Operating costs'!$B$53)^MAX(0,C589-1)),"n.a."))</f>
        <v>0</v>
      </c>
      <c r="I589" s="16">
        <f>IF(NOT(Paths!$C$59=1),0,IF(Paths!$P$59="Complete",IF(IF(Paths!$E$59=0,C589=0,AND(C589&gt;0,Paths!$E$59&gt;(C589-1)*12,Paths!$E$59&lt;=C589*12)),Paths!$G$59,0),"n.a."))</f>
        <v>0</v>
      </c>
      <c r="J589" s="16">
        <f>IF(NOT(Paths!$C$59=1),0,IF(Paths!$P$59="Complete",IF(IF(Paths!$E$59=0,C589=0,AND(C589&gt;0,Paths!$E$59&gt;(C589-1)*12,Paths!$E$59&lt;=C589*12)),Paths!$H$59,0),"n.a."))</f>
        <v>0</v>
      </c>
      <c r="K589" s="16">
        <f>IF(NOT(Paths!$C$59=1),0,IF(Paths!$P$59="Complete",IF(IF(Paths!$O$59=0,C589=0,AND(C589&gt;0,Paths!$O$59&gt;(C589-1)*12,Paths!$O$59&lt;=C589*12)),Paths!$N$59,0),"n.a."))</f>
        <v>0</v>
      </c>
      <c r="L589" s="16">
        <f>IF(NOT(Paths!$C$59=1),0,IF(Paths!$P$59="Complete",IF(C589=10,Paths!$I$59,0),"n.a."))</f>
        <v>0</v>
      </c>
      <c r="M589" s="16">
        <f>IF(NOT(Paths!$C$59=1),0,IF(Paths!$P$59="Complete",IF(AND(Paths!$D$59="EV",Paths!$E$59&lt;120,Paths!$E$59+'Operating costs'!$B$65&gt;Paths!$E$59,Paths!$E$59+'Operating costs'!$B$65&lt;=120,IF(Paths!$E$59+'Operating costs'!$B$65=0,C589=0,AND(C589&gt;0,Paths!$E$59+'Operating costs'!$B$65&gt;(C589-1)*12,Paths!$E$59+'Operating costs'!$B$65&lt;=C589*12))),'Operating costs'!$B$64,0)+IF(AND('Operating costs'!$B$67&gt;0,'Operating costs'!$B$67&lt;=120,OR(Paths!$D$59="ICE",'Operating costs'!$B$67&lt;=Paths!$E$59),IF('Operating costs'!$B$67=0,C589=0,AND(C589&gt;0,'Operating costs'!$B$67&gt;(C589-1)*12,'Operating costs'!$B$67&lt;=C589*12))),'Operating costs'!$B$66,0),"n.a."))</f>
        <v>0</v>
      </c>
      <c r="N589" s="16">
        <f>IF(NOT(Paths!$C$59=1),0,IF(Paths!$P$59="Complete",SUM(G589:I589)-J589-K589-L589+M589+IF(C589=0,Paths!$F$59,0)+IF(IF(Paths!$E$59=0,C589=0,AND(C589&gt;0,Paths!$E$59&gt;(C589-1)*12,Paths!$E$59&lt;=C589*12)),VLOOKUP(A589,'Fleet register'!$A$7:$S$106,16,FALSE),0),"n.a."))</f>
        <v>0</v>
      </c>
      <c r="O589" s="16">
        <f>IF(NOT(Paths!$C$59=1),0,IF(Paths!$P$59="Complete",N589-IF(C589=0,Paths!$F$59,0),"n.a."))</f>
        <v>0</v>
      </c>
      <c r="P589" s="16">
        <f>IF(NOT(Paths!$C$59=1),0,IF(Paths!$P$59="Complete",O589+L589,"n.a."))</f>
        <v>0</v>
      </c>
      <c r="Q589" s="16">
        <f>IF(NOT(Paths!$C$59=1),0,IF(Paths!$P$59="Complete",N589*(1+'Operating costs'!$B$54)^-C589,"n.a."))</f>
        <v>0</v>
      </c>
      <c r="R589" s="16">
        <f>IF(NOT(Paths!$C$59=1),0,IF(Paths!$P$59="Complete",IF(AND(C589=0,Paths!$E$59=0),I589-J589-K589+VLOOKUP(A589,'Fleet register'!$A$7:$S$106,15,FALSE)+VLOOKUP(A589,'Fleet register'!$A$7:$S$106,16,FALSE),0),"n.a."))</f>
        <v>0</v>
      </c>
      <c r="S589" s="1">
        <f>IF(NOT(Paths!$C$59=1),0,IF(Paths!$P$59="Complete",IF(C589=0,0,Paths!$S$59*Paths!$R$59),"n.a."))</f>
        <v>0</v>
      </c>
      <c r="T589" s="1">
        <f>IF(NOT(Paths!$C$59=1),0,IF(Paths!$P$59="Complete",IF(C589=0,0,VLOOKUP(A589,'Fleet register'!$A$7:$S$106,9,FALSE)*Paths!$R$59),"n.a."))</f>
        <v>0</v>
      </c>
    </row>
    <row r="590" spans="1:20" ht="24" customHeight="1">
      <c r="A590" s="1" t="str">
        <f>Paths!$A$60</f>
        <v>T014</v>
      </c>
      <c r="B590" s="1">
        <f>Paths!$B$60</f>
        <v>1</v>
      </c>
      <c r="C590" s="1">
        <v>0</v>
      </c>
      <c r="D590" s="1">
        <v>60</v>
      </c>
      <c r="E590" s="1">
        <f>IF(OR(Paths!$C$60=0,C590=0),0,MAX(0,MIN(C590*12,Paths!$E$60)-(C590-1)*12))</f>
        <v>0</v>
      </c>
      <c r="F590" s="1">
        <f>IF(OR(Paths!$C$60=0,C590=0),0,12-E590)</f>
        <v>0</v>
      </c>
      <c r="G590" s="16">
        <f>IF(NOT(Paths!$C$60=1),0,IF(Paths!$P$60="Complete",E590/12*(Paths!$J$60*(1+'Operating costs'!$B$51)^MAX(0,C590-1)+Paths!$K$60*(1+'Operating costs'!$B$53)^MAX(0,C590-1)),"n.a."))</f>
        <v>0</v>
      </c>
      <c r="H590" s="16">
        <f>IF(NOT(Paths!$C$60=1),0,IF(Paths!$P$60="Complete",F590/12*(Paths!$L$60*(1+IF(Paths!$D$60="EV",'Operating costs'!$B$52,'Operating costs'!$B$51))^MAX(0,C590-1)+Paths!$M$60*(1+'Operating costs'!$B$53)^MAX(0,C590-1)),"n.a."))</f>
        <v>0</v>
      </c>
      <c r="I590" s="16">
        <f>IF(NOT(Paths!$C$60=1),0,IF(Paths!$P$60="Complete",IF(IF(Paths!$E$60=0,C590=0,AND(C590&gt;0,Paths!$E$60&gt;(C590-1)*12,Paths!$E$60&lt;=C590*12)),Paths!$G$60,0),"n.a."))</f>
        <v>0</v>
      </c>
      <c r="J590" s="16">
        <f>IF(NOT(Paths!$C$60=1),0,IF(Paths!$P$60="Complete",IF(IF(Paths!$E$60=0,C590=0,AND(C590&gt;0,Paths!$E$60&gt;(C590-1)*12,Paths!$E$60&lt;=C590*12)),Paths!$H$60,0),"n.a."))</f>
        <v>0</v>
      </c>
      <c r="K590" s="16">
        <f>IF(NOT(Paths!$C$60=1),0,IF(Paths!$P$60="Complete",IF(IF(Paths!$O$60=0,C590=0,AND(C590&gt;0,Paths!$O$60&gt;(C590-1)*12,Paths!$O$60&lt;=C590*12)),Paths!$N$60,0),"n.a."))</f>
        <v>0</v>
      </c>
      <c r="L590" s="16">
        <f>IF(NOT(Paths!$C$60=1),0,IF(Paths!$P$60="Complete",IF(C590=10,Paths!$I$60,0),"n.a."))</f>
        <v>0</v>
      </c>
      <c r="M590" s="16">
        <f>IF(NOT(Paths!$C$60=1),0,IF(Paths!$P$60="Complete",IF(AND(Paths!$D$60="EV",Paths!$E$60&lt;120,Paths!$E$60+'Operating costs'!$B$65&gt;Paths!$E$60,Paths!$E$60+'Operating costs'!$B$65&lt;=120,IF(Paths!$E$60+'Operating costs'!$B$65=0,C590=0,AND(C590&gt;0,Paths!$E$60+'Operating costs'!$B$65&gt;(C590-1)*12,Paths!$E$60+'Operating costs'!$B$65&lt;=C590*12))),'Operating costs'!$B$64,0)+IF(AND('Operating costs'!$B$67&gt;0,'Operating costs'!$B$67&lt;=120,OR(Paths!$D$60="ICE",'Operating costs'!$B$67&lt;=Paths!$E$60),IF('Operating costs'!$B$67=0,C590=0,AND(C590&gt;0,'Operating costs'!$B$67&gt;(C590-1)*12,'Operating costs'!$B$67&lt;=C590*12))),'Operating costs'!$B$66,0),"n.a."))</f>
        <v>0</v>
      </c>
      <c r="N590" s="16">
        <f>IF(NOT(Paths!$C$60=1),0,IF(Paths!$P$60="Complete",SUM(G590:I590)-J590-K590-L590+M590+IF(C590=0,Paths!$F$60,0)+IF(IF(Paths!$E$60=0,C590=0,AND(C590&gt;0,Paths!$E$60&gt;(C590-1)*12,Paths!$E$60&lt;=C590*12)),VLOOKUP(A590,'Fleet register'!$A$7:$S$106,16,FALSE),0),"n.a."))</f>
        <v>0</v>
      </c>
      <c r="O590" s="16">
        <f>IF(NOT(Paths!$C$60=1),0,IF(Paths!$P$60="Complete",N590-IF(C590=0,Paths!$F$60,0),"n.a."))</f>
        <v>0</v>
      </c>
      <c r="P590" s="16">
        <f>IF(NOT(Paths!$C$60=1),0,IF(Paths!$P$60="Complete",O590+L590,"n.a."))</f>
        <v>0</v>
      </c>
      <c r="Q590" s="16">
        <f>IF(NOT(Paths!$C$60=1),0,IF(Paths!$P$60="Complete",N590*(1+'Operating costs'!$B$54)^-C590,"n.a."))</f>
        <v>0</v>
      </c>
      <c r="R590" s="16">
        <f>IF(NOT(Paths!$C$60=1),0,IF(Paths!$P$60="Complete",IF(AND(C590=0,Paths!$E$60=0),I590-J590-K590+VLOOKUP(A590,'Fleet register'!$A$7:$S$106,15,FALSE)+VLOOKUP(A590,'Fleet register'!$A$7:$S$106,16,FALSE),0),"n.a."))</f>
        <v>0</v>
      </c>
      <c r="S590" s="1">
        <f>IF(NOT(Paths!$C$60=1),0,IF(Paths!$P$60="Complete",IF(C590=0,0,Paths!$S$60*Paths!$R$60),"n.a."))</f>
        <v>0</v>
      </c>
      <c r="T590" s="1">
        <f>IF(NOT(Paths!$C$60=1),0,IF(Paths!$P$60="Complete",IF(C590=0,0,VLOOKUP(A590,'Fleet register'!$A$7:$S$106,9,FALSE)*Paths!$R$60),"n.a."))</f>
        <v>0</v>
      </c>
    </row>
    <row r="591" spans="1:20" ht="24" customHeight="1">
      <c r="A591" s="1" t="str">
        <f>Paths!$A$60</f>
        <v>T014</v>
      </c>
      <c r="B591" s="1">
        <f>Paths!$B$60</f>
        <v>1</v>
      </c>
      <c r="C591" s="1">
        <v>1</v>
      </c>
      <c r="D591" s="1">
        <v>60</v>
      </c>
      <c r="E591" s="1">
        <f>IF(OR(Paths!$C$60=0,C591=0),0,MAX(0,MIN(C591*12,Paths!$E$60)-(C591-1)*12))</f>
        <v>0</v>
      </c>
      <c r="F591" s="1">
        <f>IF(OR(Paths!$C$60=0,C591=0),0,12-E591)</f>
        <v>0</v>
      </c>
      <c r="G591" s="16">
        <f>IF(NOT(Paths!$C$60=1),0,IF(Paths!$P$60="Complete",E591/12*(Paths!$J$60*(1+'Operating costs'!$B$51)^MAX(0,C591-1)+Paths!$K$60*(1+'Operating costs'!$B$53)^MAX(0,C591-1)),"n.a."))</f>
        <v>0</v>
      </c>
      <c r="H591" s="16">
        <f>IF(NOT(Paths!$C$60=1),0,IF(Paths!$P$60="Complete",F591/12*(Paths!$L$60*(1+IF(Paths!$D$60="EV",'Operating costs'!$B$52,'Operating costs'!$B$51))^MAX(0,C591-1)+Paths!$M$60*(1+'Operating costs'!$B$53)^MAX(0,C591-1)),"n.a."))</f>
        <v>0</v>
      </c>
      <c r="I591" s="16">
        <f>IF(NOT(Paths!$C$60=1),0,IF(Paths!$P$60="Complete",IF(IF(Paths!$E$60=0,C591=0,AND(C591&gt;0,Paths!$E$60&gt;(C591-1)*12,Paths!$E$60&lt;=C591*12)),Paths!$G$60,0),"n.a."))</f>
        <v>0</v>
      </c>
      <c r="J591" s="16">
        <f>IF(NOT(Paths!$C$60=1),0,IF(Paths!$P$60="Complete",IF(IF(Paths!$E$60=0,C591=0,AND(C591&gt;0,Paths!$E$60&gt;(C591-1)*12,Paths!$E$60&lt;=C591*12)),Paths!$H$60,0),"n.a."))</f>
        <v>0</v>
      </c>
      <c r="K591" s="16">
        <f>IF(NOT(Paths!$C$60=1),0,IF(Paths!$P$60="Complete",IF(IF(Paths!$O$60=0,C591=0,AND(C591&gt;0,Paths!$O$60&gt;(C591-1)*12,Paths!$O$60&lt;=C591*12)),Paths!$N$60,0),"n.a."))</f>
        <v>0</v>
      </c>
      <c r="L591" s="16">
        <f>IF(NOT(Paths!$C$60=1),0,IF(Paths!$P$60="Complete",IF(C591=10,Paths!$I$60,0),"n.a."))</f>
        <v>0</v>
      </c>
      <c r="M591" s="16">
        <f>IF(NOT(Paths!$C$60=1),0,IF(Paths!$P$60="Complete",IF(AND(Paths!$D$60="EV",Paths!$E$60&lt;120,Paths!$E$60+'Operating costs'!$B$65&gt;Paths!$E$60,Paths!$E$60+'Operating costs'!$B$65&lt;=120,IF(Paths!$E$60+'Operating costs'!$B$65=0,C591=0,AND(C591&gt;0,Paths!$E$60+'Operating costs'!$B$65&gt;(C591-1)*12,Paths!$E$60+'Operating costs'!$B$65&lt;=C591*12))),'Operating costs'!$B$64,0)+IF(AND('Operating costs'!$B$67&gt;0,'Operating costs'!$B$67&lt;=120,OR(Paths!$D$60="ICE",'Operating costs'!$B$67&lt;=Paths!$E$60),IF('Operating costs'!$B$67=0,C591=0,AND(C591&gt;0,'Operating costs'!$B$67&gt;(C591-1)*12,'Operating costs'!$B$67&lt;=C591*12))),'Operating costs'!$B$66,0),"n.a."))</f>
        <v>0</v>
      </c>
      <c r="N591" s="16">
        <f>IF(NOT(Paths!$C$60=1),0,IF(Paths!$P$60="Complete",SUM(G591:I591)-J591-K591-L591+M591+IF(C591=0,Paths!$F$60,0)+IF(IF(Paths!$E$60=0,C591=0,AND(C591&gt;0,Paths!$E$60&gt;(C591-1)*12,Paths!$E$60&lt;=C591*12)),VLOOKUP(A591,'Fleet register'!$A$7:$S$106,16,FALSE),0),"n.a."))</f>
        <v>0</v>
      </c>
      <c r="O591" s="16">
        <f>IF(NOT(Paths!$C$60=1),0,IF(Paths!$P$60="Complete",N591-IF(C591=0,Paths!$F$60,0),"n.a."))</f>
        <v>0</v>
      </c>
      <c r="P591" s="16">
        <f>IF(NOT(Paths!$C$60=1),0,IF(Paths!$P$60="Complete",O591+L591,"n.a."))</f>
        <v>0</v>
      </c>
      <c r="Q591" s="16">
        <f>IF(NOT(Paths!$C$60=1),0,IF(Paths!$P$60="Complete",N591*(1+'Operating costs'!$B$54)^-C591,"n.a."))</f>
        <v>0</v>
      </c>
      <c r="R591" s="16">
        <f>IF(NOT(Paths!$C$60=1),0,IF(Paths!$P$60="Complete",IF(AND(C591=0,Paths!$E$60=0),I591-J591-K591+VLOOKUP(A591,'Fleet register'!$A$7:$S$106,15,FALSE)+VLOOKUP(A591,'Fleet register'!$A$7:$S$106,16,FALSE),0),"n.a."))</f>
        <v>0</v>
      </c>
      <c r="S591" s="1">
        <f>IF(NOT(Paths!$C$60=1),0,IF(Paths!$P$60="Complete",IF(C591=0,0,Paths!$S$60*Paths!$R$60),"n.a."))</f>
        <v>0</v>
      </c>
      <c r="T591" s="1">
        <f>IF(NOT(Paths!$C$60=1),0,IF(Paths!$P$60="Complete",IF(C591=0,0,VLOOKUP(A591,'Fleet register'!$A$7:$S$106,9,FALSE)*Paths!$R$60),"n.a."))</f>
        <v>0</v>
      </c>
    </row>
    <row r="592" spans="1:20" ht="24" customHeight="1">
      <c r="A592" s="1" t="str">
        <f>Paths!$A$60</f>
        <v>T014</v>
      </c>
      <c r="B592" s="1">
        <f>Paths!$B$60</f>
        <v>1</v>
      </c>
      <c r="C592" s="1">
        <v>2</v>
      </c>
      <c r="D592" s="1">
        <v>60</v>
      </c>
      <c r="E592" s="1">
        <f>IF(OR(Paths!$C$60=0,C592=0),0,MAX(0,MIN(C592*12,Paths!$E$60)-(C592-1)*12))</f>
        <v>0</v>
      </c>
      <c r="F592" s="1">
        <f>IF(OR(Paths!$C$60=0,C592=0),0,12-E592)</f>
        <v>0</v>
      </c>
      <c r="G592" s="16">
        <f>IF(NOT(Paths!$C$60=1),0,IF(Paths!$P$60="Complete",E592/12*(Paths!$J$60*(1+'Operating costs'!$B$51)^MAX(0,C592-1)+Paths!$K$60*(1+'Operating costs'!$B$53)^MAX(0,C592-1)),"n.a."))</f>
        <v>0</v>
      </c>
      <c r="H592" s="16">
        <f>IF(NOT(Paths!$C$60=1),0,IF(Paths!$P$60="Complete",F592/12*(Paths!$L$60*(1+IF(Paths!$D$60="EV",'Operating costs'!$B$52,'Operating costs'!$B$51))^MAX(0,C592-1)+Paths!$M$60*(1+'Operating costs'!$B$53)^MAX(0,C592-1)),"n.a."))</f>
        <v>0</v>
      </c>
      <c r="I592" s="16">
        <f>IF(NOT(Paths!$C$60=1),0,IF(Paths!$P$60="Complete",IF(IF(Paths!$E$60=0,C592=0,AND(C592&gt;0,Paths!$E$60&gt;(C592-1)*12,Paths!$E$60&lt;=C592*12)),Paths!$G$60,0),"n.a."))</f>
        <v>0</v>
      </c>
      <c r="J592" s="16">
        <f>IF(NOT(Paths!$C$60=1),0,IF(Paths!$P$60="Complete",IF(IF(Paths!$E$60=0,C592=0,AND(C592&gt;0,Paths!$E$60&gt;(C592-1)*12,Paths!$E$60&lt;=C592*12)),Paths!$H$60,0),"n.a."))</f>
        <v>0</v>
      </c>
      <c r="K592" s="16">
        <f>IF(NOT(Paths!$C$60=1),0,IF(Paths!$P$60="Complete",IF(IF(Paths!$O$60=0,C592=0,AND(C592&gt;0,Paths!$O$60&gt;(C592-1)*12,Paths!$O$60&lt;=C592*12)),Paths!$N$60,0),"n.a."))</f>
        <v>0</v>
      </c>
      <c r="L592" s="16">
        <f>IF(NOT(Paths!$C$60=1),0,IF(Paths!$P$60="Complete",IF(C592=10,Paths!$I$60,0),"n.a."))</f>
        <v>0</v>
      </c>
      <c r="M592" s="16">
        <f>IF(NOT(Paths!$C$60=1),0,IF(Paths!$P$60="Complete",IF(AND(Paths!$D$60="EV",Paths!$E$60&lt;120,Paths!$E$60+'Operating costs'!$B$65&gt;Paths!$E$60,Paths!$E$60+'Operating costs'!$B$65&lt;=120,IF(Paths!$E$60+'Operating costs'!$B$65=0,C592=0,AND(C592&gt;0,Paths!$E$60+'Operating costs'!$B$65&gt;(C592-1)*12,Paths!$E$60+'Operating costs'!$B$65&lt;=C592*12))),'Operating costs'!$B$64,0)+IF(AND('Operating costs'!$B$67&gt;0,'Operating costs'!$B$67&lt;=120,OR(Paths!$D$60="ICE",'Operating costs'!$B$67&lt;=Paths!$E$60),IF('Operating costs'!$B$67=0,C592=0,AND(C592&gt;0,'Operating costs'!$B$67&gt;(C592-1)*12,'Operating costs'!$B$67&lt;=C592*12))),'Operating costs'!$B$66,0),"n.a."))</f>
        <v>0</v>
      </c>
      <c r="N592" s="16">
        <f>IF(NOT(Paths!$C$60=1),0,IF(Paths!$P$60="Complete",SUM(G592:I592)-J592-K592-L592+M592+IF(C592=0,Paths!$F$60,0)+IF(IF(Paths!$E$60=0,C592=0,AND(C592&gt;0,Paths!$E$60&gt;(C592-1)*12,Paths!$E$60&lt;=C592*12)),VLOOKUP(A592,'Fleet register'!$A$7:$S$106,16,FALSE),0),"n.a."))</f>
        <v>0</v>
      </c>
      <c r="O592" s="16">
        <f>IF(NOT(Paths!$C$60=1),0,IF(Paths!$P$60="Complete",N592-IF(C592=0,Paths!$F$60,0),"n.a."))</f>
        <v>0</v>
      </c>
      <c r="P592" s="16">
        <f>IF(NOT(Paths!$C$60=1),0,IF(Paths!$P$60="Complete",O592+L592,"n.a."))</f>
        <v>0</v>
      </c>
      <c r="Q592" s="16">
        <f>IF(NOT(Paths!$C$60=1),0,IF(Paths!$P$60="Complete",N592*(1+'Operating costs'!$B$54)^-C592,"n.a."))</f>
        <v>0</v>
      </c>
      <c r="R592" s="16">
        <f>IF(NOT(Paths!$C$60=1),0,IF(Paths!$P$60="Complete",IF(AND(C592=0,Paths!$E$60=0),I592-J592-K592+VLOOKUP(A592,'Fleet register'!$A$7:$S$106,15,FALSE)+VLOOKUP(A592,'Fleet register'!$A$7:$S$106,16,FALSE),0),"n.a."))</f>
        <v>0</v>
      </c>
      <c r="S592" s="1">
        <f>IF(NOT(Paths!$C$60=1),0,IF(Paths!$P$60="Complete",IF(C592=0,0,Paths!$S$60*Paths!$R$60),"n.a."))</f>
        <v>0</v>
      </c>
      <c r="T592" s="1">
        <f>IF(NOT(Paths!$C$60=1),0,IF(Paths!$P$60="Complete",IF(C592=0,0,VLOOKUP(A592,'Fleet register'!$A$7:$S$106,9,FALSE)*Paths!$R$60),"n.a."))</f>
        <v>0</v>
      </c>
    </row>
    <row r="593" spans="1:20" ht="24" customHeight="1">
      <c r="A593" s="1" t="str">
        <f>Paths!$A$60</f>
        <v>T014</v>
      </c>
      <c r="B593" s="1">
        <f>Paths!$B$60</f>
        <v>1</v>
      </c>
      <c r="C593" s="1">
        <v>3</v>
      </c>
      <c r="D593" s="1">
        <v>60</v>
      </c>
      <c r="E593" s="1">
        <f>IF(OR(Paths!$C$60=0,C593=0),0,MAX(0,MIN(C593*12,Paths!$E$60)-(C593-1)*12))</f>
        <v>0</v>
      </c>
      <c r="F593" s="1">
        <f>IF(OR(Paths!$C$60=0,C593=0),0,12-E593)</f>
        <v>0</v>
      </c>
      <c r="G593" s="16">
        <f>IF(NOT(Paths!$C$60=1),0,IF(Paths!$P$60="Complete",E593/12*(Paths!$J$60*(1+'Operating costs'!$B$51)^MAX(0,C593-1)+Paths!$K$60*(1+'Operating costs'!$B$53)^MAX(0,C593-1)),"n.a."))</f>
        <v>0</v>
      </c>
      <c r="H593" s="16">
        <f>IF(NOT(Paths!$C$60=1),0,IF(Paths!$P$60="Complete",F593/12*(Paths!$L$60*(1+IF(Paths!$D$60="EV",'Operating costs'!$B$52,'Operating costs'!$B$51))^MAX(0,C593-1)+Paths!$M$60*(1+'Operating costs'!$B$53)^MAX(0,C593-1)),"n.a."))</f>
        <v>0</v>
      </c>
      <c r="I593" s="16">
        <f>IF(NOT(Paths!$C$60=1),0,IF(Paths!$P$60="Complete",IF(IF(Paths!$E$60=0,C593=0,AND(C593&gt;0,Paths!$E$60&gt;(C593-1)*12,Paths!$E$60&lt;=C593*12)),Paths!$G$60,0),"n.a."))</f>
        <v>0</v>
      </c>
      <c r="J593" s="16">
        <f>IF(NOT(Paths!$C$60=1),0,IF(Paths!$P$60="Complete",IF(IF(Paths!$E$60=0,C593=0,AND(C593&gt;0,Paths!$E$60&gt;(C593-1)*12,Paths!$E$60&lt;=C593*12)),Paths!$H$60,0),"n.a."))</f>
        <v>0</v>
      </c>
      <c r="K593" s="16">
        <f>IF(NOT(Paths!$C$60=1),0,IF(Paths!$P$60="Complete",IF(IF(Paths!$O$60=0,C593=0,AND(C593&gt;0,Paths!$O$60&gt;(C593-1)*12,Paths!$O$60&lt;=C593*12)),Paths!$N$60,0),"n.a."))</f>
        <v>0</v>
      </c>
      <c r="L593" s="16">
        <f>IF(NOT(Paths!$C$60=1),0,IF(Paths!$P$60="Complete",IF(C593=10,Paths!$I$60,0),"n.a."))</f>
        <v>0</v>
      </c>
      <c r="M593" s="16">
        <f>IF(NOT(Paths!$C$60=1),0,IF(Paths!$P$60="Complete",IF(AND(Paths!$D$60="EV",Paths!$E$60&lt;120,Paths!$E$60+'Operating costs'!$B$65&gt;Paths!$E$60,Paths!$E$60+'Operating costs'!$B$65&lt;=120,IF(Paths!$E$60+'Operating costs'!$B$65=0,C593=0,AND(C593&gt;0,Paths!$E$60+'Operating costs'!$B$65&gt;(C593-1)*12,Paths!$E$60+'Operating costs'!$B$65&lt;=C593*12))),'Operating costs'!$B$64,0)+IF(AND('Operating costs'!$B$67&gt;0,'Operating costs'!$B$67&lt;=120,OR(Paths!$D$60="ICE",'Operating costs'!$B$67&lt;=Paths!$E$60),IF('Operating costs'!$B$67=0,C593=0,AND(C593&gt;0,'Operating costs'!$B$67&gt;(C593-1)*12,'Operating costs'!$B$67&lt;=C593*12))),'Operating costs'!$B$66,0),"n.a."))</f>
        <v>0</v>
      </c>
      <c r="N593" s="16">
        <f>IF(NOT(Paths!$C$60=1),0,IF(Paths!$P$60="Complete",SUM(G593:I593)-J593-K593-L593+M593+IF(C593=0,Paths!$F$60,0)+IF(IF(Paths!$E$60=0,C593=0,AND(C593&gt;0,Paths!$E$60&gt;(C593-1)*12,Paths!$E$60&lt;=C593*12)),VLOOKUP(A593,'Fleet register'!$A$7:$S$106,16,FALSE),0),"n.a."))</f>
        <v>0</v>
      </c>
      <c r="O593" s="16">
        <f>IF(NOT(Paths!$C$60=1),0,IF(Paths!$P$60="Complete",N593-IF(C593=0,Paths!$F$60,0),"n.a."))</f>
        <v>0</v>
      </c>
      <c r="P593" s="16">
        <f>IF(NOT(Paths!$C$60=1),0,IF(Paths!$P$60="Complete",O593+L593,"n.a."))</f>
        <v>0</v>
      </c>
      <c r="Q593" s="16">
        <f>IF(NOT(Paths!$C$60=1),0,IF(Paths!$P$60="Complete",N593*(1+'Operating costs'!$B$54)^-C593,"n.a."))</f>
        <v>0</v>
      </c>
      <c r="R593" s="16">
        <f>IF(NOT(Paths!$C$60=1),0,IF(Paths!$P$60="Complete",IF(AND(C593=0,Paths!$E$60=0),I593-J593-K593+VLOOKUP(A593,'Fleet register'!$A$7:$S$106,15,FALSE)+VLOOKUP(A593,'Fleet register'!$A$7:$S$106,16,FALSE),0),"n.a."))</f>
        <v>0</v>
      </c>
      <c r="S593" s="1">
        <f>IF(NOT(Paths!$C$60=1),0,IF(Paths!$P$60="Complete",IF(C593=0,0,Paths!$S$60*Paths!$R$60),"n.a."))</f>
        <v>0</v>
      </c>
      <c r="T593" s="1">
        <f>IF(NOT(Paths!$C$60=1),0,IF(Paths!$P$60="Complete",IF(C593=0,0,VLOOKUP(A593,'Fleet register'!$A$7:$S$106,9,FALSE)*Paths!$R$60),"n.a."))</f>
        <v>0</v>
      </c>
    </row>
    <row r="594" spans="1:20" ht="24" customHeight="1">
      <c r="A594" s="1" t="str">
        <f>Paths!$A$60</f>
        <v>T014</v>
      </c>
      <c r="B594" s="1">
        <f>Paths!$B$60</f>
        <v>1</v>
      </c>
      <c r="C594" s="1">
        <v>4</v>
      </c>
      <c r="D594" s="1">
        <v>60</v>
      </c>
      <c r="E594" s="1">
        <f>IF(OR(Paths!$C$60=0,C594=0),0,MAX(0,MIN(C594*12,Paths!$E$60)-(C594-1)*12))</f>
        <v>0</v>
      </c>
      <c r="F594" s="1">
        <f>IF(OR(Paths!$C$60=0,C594=0),0,12-E594)</f>
        <v>0</v>
      </c>
      <c r="G594" s="16">
        <f>IF(NOT(Paths!$C$60=1),0,IF(Paths!$P$60="Complete",E594/12*(Paths!$J$60*(1+'Operating costs'!$B$51)^MAX(0,C594-1)+Paths!$K$60*(1+'Operating costs'!$B$53)^MAX(0,C594-1)),"n.a."))</f>
        <v>0</v>
      </c>
      <c r="H594" s="16">
        <f>IF(NOT(Paths!$C$60=1),0,IF(Paths!$P$60="Complete",F594/12*(Paths!$L$60*(1+IF(Paths!$D$60="EV",'Operating costs'!$B$52,'Operating costs'!$B$51))^MAX(0,C594-1)+Paths!$M$60*(1+'Operating costs'!$B$53)^MAX(0,C594-1)),"n.a."))</f>
        <v>0</v>
      </c>
      <c r="I594" s="16">
        <f>IF(NOT(Paths!$C$60=1),0,IF(Paths!$P$60="Complete",IF(IF(Paths!$E$60=0,C594=0,AND(C594&gt;0,Paths!$E$60&gt;(C594-1)*12,Paths!$E$60&lt;=C594*12)),Paths!$G$60,0),"n.a."))</f>
        <v>0</v>
      </c>
      <c r="J594" s="16">
        <f>IF(NOT(Paths!$C$60=1),0,IF(Paths!$P$60="Complete",IF(IF(Paths!$E$60=0,C594=0,AND(C594&gt;0,Paths!$E$60&gt;(C594-1)*12,Paths!$E$60&lt;=C594*12)),Paths!$H$60,0),"n.a."))</f>
        <v>0</v>
      </c>
      <c r="K594" s="16">
        <f>IF(NOT(Paths!$C$60=1),0,IF(Paths!$P$60="Complete",IF(IF(Paths!$O$60=0,C594=0,AND(C594&gt;0,Paths!$O$60&gt;(C594-1)*12,Paths!$O$60&lt;=C594*12)),Paths!$N$60,0),"n.a."))</f>
        <v>0</v>
      </c>
      <c r="L594" s="16">
        <f>IF(NOT(Paths!$C$60=1),0,IF(Paths!$P$60="Complete",IF(C594=10,Paths!$I$60,0),"n.a."))</f>
        <v>0</v>
      </c>
      <c r="M594" s="16">
        <f>IF(NOT(Paths!$C$60=1),0,IF(Paths!$P$60="Complete",IF(AND(Paths!$D$60="EV",Paths!$E$60&lt;120,Paths!$E$60+'Operating costs'!$B$65&gt;Paths!$E$60,Paths!$E$60+'Operating costs'!$B$65&lt;=120,IF(Paths!$E$60+'Operating costs'!$B$65=0,C594=0,AND(C594&gt;0,Paths!$E$60+'Operating costs'!$B$65&gt;(C594-1)*12,Paths!$E$60+'Operating costs'!$B$65&lt;=C594*12))),'Operating costs'!$B$64,0)+IF(AND('Operating costs'!$B$67&gt;0,'Operating costs'!$B$67&lt;=120,OR(Paths!$D$60="ICE",'Operating costs'!$B$67&lt;=Paths!$E$60),IF('Operating costs'!$B$67=0,C594=0,AND(C594&gt;0,'Operating costs'!$B$67&gt;(C594-1)*12,'Operating costs'!$B$67&lt;=C594*12))),'Operating costs'!$B$66,0),"n.a."))</f>
        <v>0</v>
      </c>
      <c r="N594" s="16">
        <f>IF(NOT(Paths!$C$60=1),0,IF(Paths!$P$60="Complete",SUM(G594:I594)-J594-K594-L594+M594+IF(C594=0,Paths!$F$60,0)+IF(IF(Paths!$E$60=0,C594=0,AND(C594&gt;0,Paths!$E$60&gt;(C594-1)*12,Paths!$E$60&lt;=C594*12)),VLOOKUP(A594,'Fleet register'!$A$7:$S$106,16,FALSE),0),"n.a."))</f>
        <v>0</v>
      </c>
      <c r="O594" s="16">
        <f>IF(NOT(Paths!$C$60=1),0,IF(Paths!$P$60="Complete",N594-IF(C594=0,Paths!$F$60,0),"n.a."))</f>
        <v>0</v>
      </c>
      <c r="P594" s="16">
        <f>IF(NOT(Paths!$C$60=1),0,IF(Paths!$P$60="Complete",O594+L594,"n.a."))</f>
        <v>0</v>
      </c>
      <c r="Q594" s="16">
        <f>IF(NOT(Paths!$C$60=1),0,IF(Paths!$P$60="Complete",N594*(1+'Operating costs'!$B$54)^-C594,"n.a."))</f>
        <v>0</v>
      </c>
      <c r="R594" s="16">
        <f>IF(NOT(Paths!$C$60=1),0,IF(Paths!$P$60="Complete",IF(AND(C594=0,Paths!$E$60=0),I594-J594-K594+VLOOKUP(A594,'Fleet register'!$A$7:$S$106,15,FALSE)+VLOOKUP(A594,'Fleet register'!$A$7:$S$106,16,FALSE),0),"n.a."))</f>
        <v>0</v>
      </c>
      <c r="S594" s="1">
        <f>IF(NOT(Paths!$C$60=1),0,IF(Paths!$P$60="Complete",IF(C594=0,0,Paths!$S$60*Paths!$R$60),"n.a."))</f>
        <v>0</v>
      </c>
      <c r="T594" s="1">
        <f>IF(NOT(Paths!$C$60=1),0,IF(Paths!$P$60="Complete",IF(C594=0,0,VLOOKUP(A594,'Fleet register'!$A$7:$S$106,9,FALSE)*Paths!$R$60),"n.a."))</f>
        <v>0</v>
      </c>
    </row>
    <row r="595" spans="1:20" ht="24" customHeight="1">
      <c r="A595" s="1" t="str">
        <f>Paths!$A$60</f>
        <v>T014</v>
      </c>
      <c r="B595" s="1">
        <f>Paths!$B$60</f>
        <v>1</v>
      </c>
      <c r="C595" s="1">
        <v>5</v>
      </c>
      <c r="D595" s="1">
        <v>60</v>
      </c>
      <c r="E595" s="1">
        <f>IF(OR(Paths!$C$60=0,C595=0),0,MAX(0,MIN(C595*12,Paths!$E$60)-(C595-1)*12))</f>
        <v>0</v>
      </c>
      <c r="F595" s="1">
        <f>IF(OR(Paths!$C$60=0,C595=0),0,12-E595)</f>
        <v>0</v>
      </c>
      <c r="G595" s="16">
        <f>IF(NOT(Paths!$C$60=1),0,IF(Paths!$P$60="Complete",E595/12*(Paths!$J$60*(1+'Operating costs'!$B$51)^MAX(0,C595-1)+Paths!$K$60*(1+'Operating costs'!$B$53)^MAX(0,C595-1)),"n.a."))</f>
        <v>0</v>
      </c>
      <c r="H595" s="16">
        <f>IF(NOT(Paths!$C$60=1),0,IF(Paths!$P$60="Complete",F595/12*(Paths!$L$60*(1+IF(Paths!$D$60="EV",'Operating costs'!$B$52,'Operating costs'!$B$51))^MAX(0,C595-1)+Paths!$M$60*(1+'Operating costs'!$B$53)^MAX(0,C595-1)),"n.a."))</f>
        <v>0</v>
      </c>
      <c r="I595" s="16">
        <f>IF(NOT(Paths!$C$60=1),0,IF(Paths!$P$60="Complete",IF(IF(Paths!$E$60=0,C595=0,AND(C595&gt;0,Paths!$E$60&gt;(C595-1)*12,Paths!$E$60&lt;=C595*12)),Paths!$G$60,0),"n.a."))</f>
        <v>0</v>
      </c>
      <c r="J595" s="16">
        <f>IF(NOT(Paths!$C$60=1),0,IF(Paths!$P$60="Complete",IF(IF(Paths!$E$60=0,C595=0,AND(C595&gt;0,Paths!$E$60&gt;(C595-1)*12,Paths!$E$60&lt;=C595*12)),Paths!$H$60,0),"n.a."))</f>
        <v>0</v>
      </c>
      <c r="K595" s="16">
        <f>IF(NOT(Paths!$C$60=1),0,IF(Paths!$P$60="Complete",IF(IF(Paths!$O$60=0,C595=0,AND(C595&gt;0,Paths!$O$60&gt;(C595-1)*12,Paths!$O$60&lt;=C595*12)),Paths!$N$60,0),"n.a."))</f>
        <v>0</v>
      </c>
      <c r="L595" s="16">
        <f>IF(NOT(Paths!$C$60=1),0,IF(Paths!$P$60="Complete",IF(C595=10,Paths!$I$60,0),"n.a."))</f>
        <v>0</v>
      </c>
      <c r="M595" s="16">
        <f>IF(NOT(Paths!$C$60=1),0,IF(Paths!$P$60="Complete",IF(AND(Paths!$D$60="EV",Paths!$E$60&lt;120,Paths!$E$60+'Operating costs'!$B$65&gt;Paths!$E$60,Paths!$E$60+'Operating costs'!$B$65&lt;=120,IF(Paths!$E$60+'Operating costs'!$B$65=0,C595=0,AND(C595&gt;0,Paths!$E$60+'Operating costs'!$B$65&gt;(C595-1)*12,Paths!$E$60+'Operating costs'!$B$65&lt;=C595*12))),'Operating costs'!$B$64,0)+IF(AND('Operating costs'!$B$67&gt;0,'Operating costs'!$B$67&lt;=120,OR(Paths!$D$60="ICE",'Operating costs'!$B$67&lt;=Paths!$E$60),IF('Operating costs'!$B$67=0,C595=0,AND(C595&gt;0,'Operating costs'!$B$67&gt;(C595-1)*12,'Operating costs'!$B$67&lt;=C595*12))),'Operating costs'!$B$66,0),"n.a."))</f>
        <v>0</v>
      </c>
      <c r="N595" s="16">
        <f>IF(NOT(Paths!$C$60=1),0,IF(Paths!$P$60="Complete",SUM(G595:I595)-J595-K595-L595+M595+IF(C595=0,Paths!$F$60,0)+IF(IF(Paths!$E$60=0,C595=0,AND(C595&gt;0,Paths!$E$60&gt;(C595-1)*12,Paths!$E$60&lt;=C595*12)),VLOOKUP(A595,'Fleet register'!$A$7:$S$106,16,FALSE),0),"n.a."))</f>
        <v>0</v>
      </c>
      <c r="O595" s="16">
        <f>IF(NOT(Paths!$C$60=1),0,IF(Paths!$P$60="Complete",N595-IF(C595=0,Paths!$F$60,0),"n.a."))</f>
        <v>0</v>
      </c>
      <c r="P595" s="16">
        <f>IF(NOT(Paths!$C$60=1),0,IF(Paths!$P$60="Complete",O595+L595,"n.a."))</f>
        <v>0</v>
      </c>
      <c r="Q595" s="16">
        <f>IF(NOT(Paths!$C$60=1),0,IF(Paths!$P$60="Complete",N595*(1+'Operating costs'!$B$54)^-C595,"n.a."))</f>
        <v>0</v>
      </c>
      <c r="R595" s="16">
        <f>IF(NOT(Paths!$C$60=1),0,IF(Paths!$P$60="Complete",IF(AND(C595=0,Paths!$E$60=0),I595-J595-K595+VLOOKUP(A595,'Fleet register'!$A$7:$S$106,15,FALSE)+VLOOKUP(A595,'Fleet register'!$A$7:$S$106,16,FALSE),0),"n.a."))</f>
        <v>0</v>
      </c>
      <c r="S595" s="1">
        <f>IF(NOT(Paths!$C$60=1),0,IF(Paths!$P$60="Complete",IF(C595=0,0,Paths!$S$60*Paths!$R$60),"n.a."))</f>
        <v>0</v>
      </c>
      <c r="T595" s="1">
        <f>IF(NOT(Paths!$C$60=1),0,IF(Paths!$P$60="Complete",IF(C595=0,0,VLOOKUP(A595,'Fleet register'!$A$7:$S$106,9,FALSE)*Paths!$R$60),"n.a."))</f>
        <v>0</v>
      </c>
    </row>
    <row r="596" spans="1:20" ht="24" customHeight="1">
      <c r="A596" s="1" t="str">
        <f>Paths!$A$60</f>
        <v>T014</v>
      </c>
      <c r="B596" s="1">
        <f>Paths!$B$60</f>
        <v>1</v>
      </c>
      <c r="C596" s="1">
        <v>6</v>
      </c>
      <c r="D596" s="1">
        <v>60</v>
      </c>
      <c r="E596" s="1">
        <f>IF(OR(Paths!$C$60=0,C596=0),0,MAX(0,MIN(C596*12,Paths!$E$60)-(C596-1)*12))</f>
        <v>0</v>
      </c>
      <c r="F596" s="1">
        <f>IF(OR(Paths!$C$60=0,C596=0),0,12-E596)</f>
        <v>0</v>
      </c>
      <c r="G596" s="16">
        <f>IF(NOT(Paths!$C$60=1),0,IF(Paths!$P$60="Complete",E596/12*(Paths!$J$60*(1+'Operating costs'!$B$51)^MAX(0,C596-1)+Paths!$K$60*(1+'Operating costs'!$B$53)^MAX(0,C596-1)),"n.a."))</f>
        <v>0</v>
      </c>
      <c r="H596" s="16">
        <f>IF(NOT(Paths!$C$60=1),0,IF(Paths!$P$60="Complete",F596/12*(Paths!$L$60*(1+IF(Paths!$D$60="EV",'Operating costs'!$B$52,'Operating costs'!$B$51))^MAX(0,C596-1)+Paths!$M$60*(1+'Operating costs'!$B$53)^MAX(0,C596-1)),"n.a."))</f>
        <v>0</v>
      </c>
      <c r="I596" s="16">
        <f>IF(NOT(Paths!$C$60=1),0,IF(Paths!$P$60="Complete",IF(IF(Paths!$E$60=0,C596=0,AND(C596&gt;0,Paths!$E$60&gt;(C596-1)*12,Paths!$E$60&lt;=C596*12)),Paths!$G$60,0),"n.a."))</f>
        <v>0</v>
      </c>
      <c r="J596" s="16">
        <f>IF(NOT(Paths!$C$60=1),0,IF(Paths!$P$60="Complete",IF(IF(Paths!$E$60=0,C596=0,AND(C596&gt;0,Paths!$E$60&gt;(C596-1)*12,Paths!$E$60&lt;=C596*12)),Paths!$H$60,0),"n.a."))</f>
        <v>0</v>
      </c>
      <c r="K596" s="16">
        <f>IF(NOT(Paths!$C$60=1),0,IF(Paths!$P$60="Complete",IF(IF(Paths!$O$60=0,C596=0,AND(C596&gt;0,Paths!$O$60&gt;(C596-1)*12,Paths!$O$60&lt;=C596*12)),Paths!$N$60,0),"n.a."))</f>
        <v>0</v>
      </c>
      <c r="L596" s="16">
        <f>IF(NOT(Paths!$C$60=1),0,IF(Paths!$P$60="Complete",IF(C596=10,Paths!$I$60,0),"n.a."))</f>
        <v>0</v>
      </c>
      <c r="M596" s="16">
        <f>IF(NOT(Paths!$C$60=1),0,IF(Paths!$P$60="Complete",IF(AND(Paths!$D$60="EV",Paths!$E$60&lt;120,Paths!$E$60+'Operating costs'!$B$65&gt;Paths!$E$60,Paths!$E$60+'Operating costs'!$B$65&lt;=120,IF(Paths!$E$60+'Operating costs'!$B$65=0,C596=0,AND(C596&gt;0,Paths!$E$60+'Operating costs'!$B$65&gt;(C596-1)*12,Paths!$E$60+'Operating costs'!$B$65&lt;=C596*12))),'Operating costs'!$B$64,0)+IF(AND('Operating costs'!$B$67&gt;0,'Operating costs'!$B$67&lt;=120,OR(Paths!$D$60="ICE",'Operating costs'!$B$67&lt;=Paths!$E$60),IF('Operating costs'!$B$67=0,C596=0,AND(C596&gt;0,'Operating costs'!$B$67&gt;(C596-1)*12,'Operating costs'!$B$67&lt;=C596*12))),'Operating costs'!$B$66,0),"n.a."))</f>
        <v>0</v>
      </c>
      <c r="N596" s="16">
        <f>IF(NOT(Paths!$C$60=1),0,IF(Paths!$P$60="Complete",SUM(G596:I596)-J596-K596-L596+M596+IF(C596=0,Paths!$F$60,0)+IF(IF(Paths!$E$60=0,C596=0,AND(C596&gt;0,Paths!$E$60&gt;(C596-1)*12,Paths!$E$60&lt;=C596*12)),VLOOKUP(A596,'Fleet register'!$A$7:$S$106,16,FALSE),0),"n.a."))</f>
        <v>0</v>
      </c>
      <c r="O596" s="16">
        <f>IF(NOT(Paths!$C$60=1),0,IF(Paths!$P$60="Complete",N596-IF(C596=0,Paths!$F$60,0),"n.a."))</f>
        <v>0</v>
      </c>
      <c r="P596" s="16">
        <f>IF(NOT(Paths!$C$60=1),0,IF(Paths!$P$60="Complete",O596+L596,"n.a."))</f>
        <v>0</v>
      </c>
      <c r="Q596" s="16">
        <f>IF(NOT(Paths!$C$60=1),0,IF(Paths!$P$60="Complete",N596*(1+'Operating costs'!$B$54)^-C596,"n.a."))</f>
        <v>0</v>
      </c>
      <c r="R596" s="16">
        <f>IF(NOT(Paths!$C$60=1),0,IF(Paths!$P$60="Complete",IF(AND(C596=0,Paths!$E$60=0),I596-J596-K596+VLOOKUP(A596,'Fleet register'!$A$7:$S$106,15,FALSE)+VLOOKUP(A596,'Fleet register'!$A$7:$S$106,16,FALSE),0),"n.a."))</f>
        <v>0</v>
      </c>
      <c r="S596" s="1">
        <f>IF(NOT(Paths!$C$60=1),0,IF(Paths!$P$60="Complete",IF(C596=0,0,Paths!$S$60*Paths!$R$60),"n.a."))</f>
        <v>0</v>
      </c>
      <c r="T596" s="1">
        <f>IF(NOT(Paths!$C$60=1),0,IF(Paths!$P$60="Complete",IF(C596=0,0,VLOOKUP(A596,'Fleet register'!$A$7:$S$106,9,FALSE)*Paths!$R$60),"n.a."))</f>
        <v>0</v>
      </c>
    </row>
    <row r="597" spans="1:20" ht="24" customHeight="1">
      <c r="A597" s="1" t="str">
        <f>Paths!$A$60</f>
        <v>T014</v>
      </c>
      <c r="B597" s="1">
        <f>Paths!$B$60</f>
        <v>1</v>
      </c>
      <c r="C597" s="1">
        <v>7</v>
      </c>
      <c r="D597" s="1">
        <v>60</v>
      </c>
      <c r="E597" s="1">
        <f>IF(OR(Paths!$C$60=0,C597=0),0,MAX(0,MIN(C597*12,Paths!$E$60)-(C597-1)*12))</f>
        <v>0</v>
      </c>
      <c r="F597" s="1">
        <f>IF(OR(Paths!$C$60=0,C597=0),0,12-E597)</f>
        <v>0</v>
      </c>
      <c r="G597" s="16">
        <f>IF(NOT(Paths!$C$60=1),0,IF(Paths!$P$60="Complete",E597/12*(Paths!$J$60*(1+'Operating costs'!$B$51)^MAX(0,C597-1)+Paths!$K$60*(1+'Operating costs'!$B$53)^MAX(0,C597-1)),"n.a."))</f>
        <v>0</v>
      </c>
      <c r="H597" s="16">
        <f>IF(NOT(Paths!$C$60=1),0,IF(Paths!$P$60="Complete",F597/12*(Paths!$L$60*(1+IF(Paths!$D$60="EV",'Operating costs'!$B$52,'Operating costs'!$B$51))^MAX(0,C597-1)+Paths!$M$60*(1+'Operating costs'!$B$53)^MAX(0,C597-1)),"n.a."))</f>
        <v>0</v>
      </c>
      <c r="I597" s="16">
        <f>IF(NOT(Paths!$C$60=1),0,IF(Paths!$P$60="Complete",IF(IF(Paths!$E$60=0,C597=0,AND(C597&gt;0,Paths!$E$60&gt;(C597-1)*12,Paths!$E$60&lt;=C597*12)),Paths!$G$60,0),"n.a."))</f>
        <v>0</v>
      </c>
      <c r="J597" s="16">
        <f>IF(NOT(Paths!$C$60=1),0,IF(Paths!$P$60="Complete",IF(IF(Paths!$E$60=0,C597=0,AND(C597&gt;0,Paths!$E$60&gt;(C597-1)*12,Paths!$E$60&lt;=C597*12)),Paths!$H$60,0),"n.a."))</f>
        <v>0</v>
      </c>
      <c r="K597" s="16">
        <f>IF(NOT(Paths!$C$60=1),0,IF(Paths!$P$60="Complete",IF(IF(Paths!$O$60=0,C597=0,AND(C597&gt;0,Paths!$O$60&gt;(C597-1)*12,Paths!$O$60&lt;=C597*12)),Paths!$N$60,0),"n.a."))</f>
        <v>0</v>
      </c>
      <c r="L597" s="16">
        <f>IF(NOT(Paths!$C$60=1),0,IF(Paths!$P$60="Complete",IF(C597=10,Paths!$I$60,0),"n.a."))</f>
        <v>0</v>
      </c>
      <c r="M597" s="16">
        <f>IF(NOT(Paths!$C$60=1),0,IF(Paths!$P$60="Complete",IF(AND(Paths!$D$60="EV",Paths!$E$60&lt;120,Paths!$E$60+'Operating costs'!$B$65&gt;Paths!$E$60,Paths!$E$60+'Operating costs'!$B$65&lt;=120,IF(Paths!$E$60+'Operating costs'!$B$65=0,C597=0,AND(C597&gt;0,Paths!$E$60+'Operating costs'!$B$65&gt;(C597-1)*12,Paths!$E$60+'Operating costs'!$B$65&lt;=C597*12))),'Operating costs'!$B$64,0)+IF(AND('Operating costs'!$B$67&gt;0,'Operating costs'!$B$67&lt;=120,OR(Paths!$D$60="ICE",'Operating costs'!$B$67&lt;=Paths!$E$60),IF('Operating costs'!$B$67=0,C597=0,AND(C597&gt;0,'Operating costs'!$B$67&gt;(C597-1)*12,'Operating costs'!$B$67&lt;=C597*12))),'Operating costs'!$B$66,0),"n.a."))</f>
        <v>0</v>
      </c>
      <c r="N597" s="16">
        <f>IF(NOT(Paths!$C$60=1),0,IF(Paths!$P$60="Complete",SUM(G597:I597)-J597-K597-L597+M597+IF(C597=0,Paths!$F$60,0)+IF(IF(Paths!$E$60=0,C597=0,AND(C597&gt;0,Paths!$E$60&gt;(C597-1)*12,Paths!$E$60&lt;=C597*12)),VLOOKUP(A597,'Fleet register'!$A$7:$S$106,16,FALSE),0),"n.a."))</f>
        <v>0</v>
      </c>
      <c r="O597" s="16">
        <f>IF(NOT(Paths!$C$60=1),0,IF(Paths!$P$60="Complete",N597-IF(C597=0,Paths!$F$60,0),"n.a."))</f>
        <v>0</v>
      </c>
      <c r="P597" s="16">
        <f>IF(NOT(Paths!$C$60=1),0,IF(Paths!$P$60="Complete",O597+L597,"n.a."))</f>
        <v>0</v>
      </c>
      <c r="Q597" s="16">
        <f>IF(NOT(Paths!$C$60=1),0,IF(Paths!$P$60="Complete",N597*(1+'Operating costs'!$B$54)^-C597,"n.a."))</f>
        <v>0</v>
      </c>
      <c r="R597" s="16">
        <f>IF(NOT(Paths!$C$60=1),0,IF(Paths!$P$60="Complete",IF(AND(C597=0,Paths!$E$60=0),I597-J597-K597+VLOOKUP(A597,'Fleet register'!$A$7:$S$106,15,FALSE)+VLOOKUP(A597,'Fleet register'!$A$7:$S$106,16,FALSE),0),"n.a."))</f>
        <v>0</v>
      </c>
      <c r="S597" s="1">
        <f>IF(NOT(Paths!$C$60=1),0,IF(Paths!$P$60="Complete",IF(C597=0,0,Paths!$S$60*Paths!$R$60),"n.a."))</f>
        <v>0</v>
      </c>
      <c r="T597" s="1">
        <f>IF(NOT(Paths!$C$60=1),0,IF(Paths!$P$60="Complete",IF(C597=0,0,VLOOKUP(A597,'Fleet register'!$A$7:$S$106,9,FALSE)*Paths!$R$60),"n.a."))</f>
        <v>0</v>
      </c>
    </row>
    <row r="598" spans="1:20" ht="24" customHeight="1">
      <c r="A598" s="1" t="str">
        <f>Paths!$A$60</f>
        <v>T014</v>
      </c>
      <c r="B598" s="1">
        <f>Paths!$B$60</f>
        <v>1</v>
      </c>
      <c r="C598" s="1">
        <v>8</v>
      </c>
      <c r="D598" s="1">
        <v>60</v>
      </c>
      <c r="E598" s="1">
        <f>IF(OR(Paths!$C$60=0,C598=0),0,MAX(0,MIN(C598*12,Paths!$E$60)-(C598-1)*12))</f>
        <v>0</v>
      </c>
      <c r="F598" s="1">
        <f>IF(OR(Paths!$C$60=0,C598=0),0,12-E598)</f>
        <v>0</v>
      </c>
      <c r="G598" s="16">
        <f>IF(NOT(Paths!$C$60=1),0,IF(Paths!$P$60="Complete",E598/12*(Paths!$J$60*(1+'Operating costs'!$B$51)^MAX(0,C598-1)+Paths!$K$60*(1+'Operating costs'!$B$53)^MAX(0,C598-1)),"n.a."))</f>
        <v>0</v>
      </c>
      <c r="H598" s="16">
        <f>IF(NOT(Paths!$C$60=1),0,IF(Paths!$P$60="Complete",F598/12*(Paths!$L$60*(1+IF(Paths!$D$60="EV",'Operating costs'!$B$52,'Operating costs'!$B$51))^MAX(0,C598-1)+Paths!$M$60*(1+'Operating costs'!$B$53)^MAX(0,C598-1)),"n.a."))</f>
        <v>0</v>
      </c>
      <c r="I598" s="16">
        <f>IF(NOT(Paths!$C$60=1),0,IF(Paths!$P$60="Complete",IF(IF(Paths!$E$60=0,C598=0,AND(C598&gt;0,Paths!$E$60&gt;(C598-1)*12,Paths!$E$60&lt;=C598*12)),Paths!$G$60,0),"n.a."))</f>
        <v>0</v>
      </c>
      <c r="J598" s="16">
        <f>IF(NOT(Paths!$C$60=1),0,IF(Paths!$P$60="Complete",IF(IF(Paths!$E$60=0,C598=0,AND(C598&gt;0,Paths!$E$60&gt;(C598-1)*12,Paths!$E$60&lt;=C598*12)),Paths!$H$60,0),"n.a."))</f>
        <v>0</v>
      </c>
      <c r="K598" s="16">
        <f>IF(NOT(Paths!$C$60=1),0,IF(Paths!$P$60="Complete",IF(IF(Paths!$O$60=0,C598=0,AND(C598&gt;0,Paths!$O$60&gt;(C598-1)*12,Paths!$O$60&lt;=C598*12)),Paths!$N$60,0),"n.a."))</f>
        <v>0</v>
      </c>
      <c r="L598" s="16">
        <f>IF(NOT(Paths!$C$60=1),0,IF(Paths!$P$60="Complete",IF(C598=10,Paths!$I$60,0),"n.a."))</f>
        <v>0</v>
      </c>
      <c r="M598" s="16">
        <f>IF(NOT(Paths!$C$60=1),0,IF(Paths!$P$60="Complete",IF(AND(Paths!$D$60="EV",Paths!$E$60&lt;120,Paths!$E$60+'Operating costs'!$B$65&gt;Paths!$E$60,Paths!$E$60+'Operating costs'!$B$65&lt;=120,IF(Paths!$E$60+'Operating costs'!$B$65=0,C598=0,AND(C598&gt;0,Paths!$E$60+'Operating costs'!$B$65&gt;(C598-1)*12,Paths!$E$60+'Operating costs'!$B$65&lt;=C598*12))),'Operating costs'!$B$64,0)+IF(AND('Operating costs'!$B$67&gt;0,'Operating costs'!$B$67&lt;=120,OR(Paths!$D$60="ICE",'Operating costs'!$B$67&lt;=Paths!$E$60),IF('Operating costs'!$B$67=0,C598=0,AND(C598&gt;0,'Operating costs'!$B$67&gt;(C598-1)*12,'Operating costs'!$B$67&lt;=C598*12))),'Operating costs'!$B$66,0),"n.a."))</f>
        <v>0</v>
      </c>
      <c r="N598" s="16">
        <f>IF(NOT(Paths!$C$60=1),0,IF(Paths!$P$60="Complete",SUM(G598:I598)-J598-K598-L598+M598+IF(C598=0,Paths!$F$60,0)+IF(IF(Paths!$E$60=0,C598=0,AND(C598&gt;0,Paths!$E$60&gt;(C598-1)*12,Paths!$E$60&lt;=C598*12)),VLOOKUP(A598,'Fleet register'!$A$7:$S$106,16,FALSE),0),"n.a."))</f>
        <v>0</v>
      </c>
      <c r="O598" s="16">
        <f>IF(NOT(Paths!$C$60=1),0,IF(Paths!$P$60="Complete",N598-IF(C598=0,Paths!$F$60,0),"n.a."))</f>
        <v>0</v>
      </c>
      <c r="P598" s="16">
        <f>IF(NOT(Paths!$C$60=1),0,IF(Paths!$P$60="Complete",O598+L598,"n.a."))</f>
        <v>0</v>
      </c>
      <c r="Q598" s="16">
        <f>IF(NOT(Paths!$C$60=1),0,IF(Paths!$P$60="Complete",N598*(1+'Operating costs'!$B$54)^-C598,"n.a."))</f>
        <v>0</v>
      </c>
      <c r="R598" s="16">
        <f>IF(NOT(Paths!$C$60=1),0,IF(Paths!$P$60="Complete",IF(AND(C598=0,Paths!$E$60=0),I598-J598-K598+VLOOKUP(A598,'Fleet register'!$A$7:$S$106,15,FALSE)+VLOOKUP(A598,'Fleet register'!$A$7:$S$106,16,FALSE),0),"n.a."))</f>
        <v>0</v>
      </c>
      <c r="S598" s="1">
        <f>IF(NOT(Paths!$C$60=1),0,IF(Paths!$P$60="Complete",IF(C598=0,0,Paths!$S$60*Paths!$R$60),"n.a."))</f>
        <v>0</v>
      </c>
      <c r="T598" s="1">
        <f>IF(NOT(Paths!$C$60=1),0,IF(Paths!$P$60="Complete",IF(C598=0,0,VLOOKUP(A598,'Fleet register'!$A$7:$S$106,9,FALSE)*Paths!$R$60),"n.a."))</f>
        <v>0</v>
      </c>
    </row>
    <row r="599" spans="1:20" ht="24" customHeight="1">
      <c r="A599" s="1" t="str">
        <f>Paths!$A$60</f>
        <v>T014</v>
      </c>
      <c r="B599" s="1">
        <f>Paths!$B$60</f>
        <v>1</v>
      </c>
      <c r="C599" s="1">
        <v>9</v>
      </c>
      <c r="D599" s="1">
        <v>60</v>
      </c>
      <c r="E599" s="1">
        <f>IF(OR(Paths!$C$60=0,C599=0),0,MAX(0,MIN(C599*12,Paths!$E$60)-(C599-1)*12))</f>
        <v>0</v>
      </c>
      <c r="F599" s="1">
        <f>IF(OR(Paths!$C$60=0,C599=0),0,12-E599)</f>
        <v>0</v>
      </c>
      <c r="G599" s="16">
        <f>IF(NOT(Paths!$C$60=1),0,IF(Paths!$P$60="Complete",E599/12*(Paths!$J$60*(1+'Operating costs'!$B$51)^MAX(0,C599-1)+Paths!$K$60*(1+'Operating costs'!$B$53)^MAX(0,C599-1)),"n.a."))</f>
        <v>0</v>
      </c>
      <c r="H599" s="16">
        <f>IF(NOT(Paths!$C$60=1),0,IF(Paths!$P$60="Complete",F599/12*(Paths!$L$60*(1+IF(Paths!$D$60="EV",'Operating costs'!$B$52,'Operating costs'!$B$51))^MAX(0,C599-1)+Paths!$M$60*(1+'Operating costs'!$B$53)^MAX(0,C599-1)),"n.a."))</f>
        <v>0</v>
      </c>
      <c r="I599" s="16">
        <f>IF(NOT(Paths!$C$60=1),0,IF(Paths!$P$60="Complete",IF(IF(Paths!$E$60=0,C599=0,AND(C599&gt;0,Paths!$E$60&gt;(C599-1)*12,Paths!$E$60&lt;=C599*12)),Paths!$G$60,0),"n.a."))</f>
        <v>0</v>
      </c>
      <c r="J599" s="16">
        <f>IF(NOT(Paths!$C$60=1),0,IF(Paths!$P$60="Complete",IF(IF(Paths!$E$60=0,C599=0,AND(C599&gt;0,Paths!$E$60&gt;(C599-1)*12,Paths!$E$60&lt;=C599*12)),Paths!$H$60,0),"n.a."))</f>
        <v>0</v>
      </c>
      <c r="K599" s="16">
        <f>IF(NOT(Paths!$C$60=1),0,IF(Paths!$P$60="Complete",IF(IF(Paths!$O$60=0,C599=0,AND(C599&gt;0,Paths!$O$60&gt;(C599-1)*12,Paths!$O$60&lt;=C599*12)),Paths!$N$60,0),"n.a."))</f>
        <v>0</v>
      </c>
      <c r="L599" s="16">
        <f>IF(NOT(Paths!$C$60=1),0,IF(Paths!$P$60="Complete",IF(C599=10,Paths!$I$60,0),"n.a."))</f>
        <v>0</v>
      </c>
      <c r="M599" s="16">
        <f>IF(NOT(Paths!$C$60=1),0,IF(Paths!$P$60="Complete",IF(AND(Paths!$D$60="EV",Paths!$E$60&lt;120,Paths!$E$60+'Operating costs'!$B$65&gt;Paths!$E$60,Paths!$E$60+'Operating costs'!$B$65&lt;=120,IF(Paths!$E$60+'Operating costs'!$B$65=0,C599=0,AND(C599&gt;0,Paths!$E$60+'Operating costs'!$B$65&gt;(C599-1)*12,Paths!$E$60+'Operating costs'!$B$65&lt;=C599*12))),'Operating costs'!$B$64,0)+IF(AND('Operating costs'!$B$67&gt;0,'Operating costs'!$B$67&lt;=120,OR(Paths!$D$60="ICE",'Operating costs'!$B$67&lt;=Paths!$E$60),IF('Operating costs'!$B$67=0,C599=0,AND(C599&gt;0,'Operating costs'!$B$67&gt;(C599-1)*12,'Operating costs'!$B$67&lt;=C599*12))),'Operating costs'!$B$66,0),"n.a."))</f>
        <v>0</v>
      </c>
      <c r="N599" s="16">
        <f>IF(NOT(Paths!$C$60=1),0,IF(Paths!$P$60="Complete",SUM(G599:I599)-J599-K599-L599+M599+IF(C599=0,Paths!$F$60,0)+IF(IF(Paths!$E$60=0,C599=0,AND(C599&gt;0,Paths!$E$60&gt;(C599-1)*12,Paths!$E$60&lt;=C599*12)),VLOOKUP(A599,'Fleet register'!$A$7:$S$106,16,FALSE),0),"n.a."))</f>
        <v>0</v>
      </c>
      <c r="O599" s="16">
        <f>IF(NOT(Paths!$C$60=1),0,IF(Paths!$P$60="Complete",N599-IF(C599=0,Paths!$F$60,0),"n.a."))</f>
        <v>0</v>
      </c>
      <c r="P599" s="16">
        <f>IF(NOT(Paths!$C$60=1),0,IF(Paths!$P$60="Complete",O599+L599,"n.a."))</f>
        <v>0</v>
      </c>
      <c r="Q599" s="16">
        <f>IF(NOT(Paths!$C$60=1),0,IF(Paths!$P$60="Complete",N599*(1+'Operating costs'!$B$54)^-C599,"n.a."))</f>
        <v>0</v>
      </c>
      <c r="R599" s="16">
        <f>IF(NOT(Paths!$C$60=1),0,IF(Paths!$P$60="Complete",IF(AND(C599=0,Paths!$E$60=0),I599-J599-K599+VLOOKUP(A599,'Fleet register'!$A$7:$S$106,15,FALSE)+VLOOKUP(A599,'Fleet register'!$A$7:$S$106,16,FALSE),0),"n.a."))</f>
        <v>0</v>
      </c>
      <c r="S599" s="1">
        <f>IF(NOT(Paths!$C$60=1),0,IF(Paths!$P$60="Complete",IF(C599=0,0,Paths!$S$60*Paths!$R$60),"n.a."))</f>
        <v>0</v>
      </c>
      <c r="T599" s="1">
        <f>IF(NOT(Paths!$C$60=1),0,IF(Paths!$P$60="Complete",IF(C599=0,0,VLOOKUP(A599,'Fleet register'!$A$7:$S$106,9,FALSE)*Paths!$R$60),"n.a."))</f>
        <v>0</v>
      </c>
    </row>
    <row r="600" spans="1:20" ht="24" customHeight="1">
      <c r="A600" s="1" t="str">
        <f>Paths!$A$60</f>
        <v>T014</v>
      </c>
      <c r="B600" s="1">
        <f>Paths!$B$60</f>
        <v>1</v>
      </c>
      <c r="C600" s="1">
        <v>10</v>
      </c>
      <c r="D600" s="1">
        <v>60</v>
      </c>
      <c r="E600" s="1">
        <f>IF(OR(Paths!$C$60=0,C600=0),0,MAX(0,MIN(C600*12,Paths!$E$60)-(C600-1)*12))</f>
        <v>0</v>
      </c>
      <c r="F600" s="1">
        <f>IF(OR(Paths!$C$60=0,C600=0),0,12-E600)</f>
        <v>0</v>
      </c>
      <c r="G600" s="16">
        <f>IF(NOT(Paths!$C$60=1),0,IF(Paths!$P$60="Complete",E600/12*(Paths!$J$60*(1+'Operating costs'!$B$51)^MAX(0,C600-1)+Paths!$K$60*(1+'Operating costs'!$B$53)^MAX(0,C600-1)),"n.a."))</f>
        <v>0</v>
      </c>
      <c r="H600" s="16">
        <f>IF(NOT(Paths!$C$60=1),0,IF(Paths!$P$60="Complete",F600/12*(Paths!$L$60*(1+IF(Paths!$D$60="EV",'Operating costs'!$B$52,'Operating costs'!$B$51))^MAX(0,C600-1)+Paths!$M$60*(1+'Operating costs'!$B$53)^MAX(0,C600-1)),"n.a."))</f>
        <v>0</v>
      </c>
      <c r="I600" s="16">
        <f>IF(NOT(Paths!$C$60=1),0,IF(Paths!$P$60="Complete",IF(IF(Paths!$E$60=0,C600=0,AND(C600&gt;0,Paths!$E$60&gt;(C600-1)*12,Paths!$E$60&lt;=C600*12)),Paths!$G$60,0),"n.a."))</f>
        <v>0</v>
      </c>
      <c r="J600" s="16">
        <f>IF(NOT(Paths!$C$60=1),0,IF(Paths!$P$60="Complete",IF(IF(Paths!$E$60=0,C600=0,AND(C600&gt;0,Paths!$E$60&gt;(C600-1)*12,Paths!$E$60&lt;=C600*12)),Paths!$H$60,0),"n.a."))</f>
        <v>0</v>
      </c>
      <c r="K600" s="16">
        <f>IF(NOT(Paths!$C$60=1),0,IF(Paths!$P$60="Complete",IF(IF(Paths!$O$60=0,C600=0,AND(C600&gt;0,Paths!$O$60&gt;(C600-1)*12,Paths!$O$60&lt;=C600*12)),Paths!$N$60,0),"n.a."))</f>
        <v>0</v>
      </c>
      <c r="L600" s="16">
        <f>IF(NOT(Paths!$C$60=1),0,IF(Paths!$P$60="Complete",IF(C600=10,Paths!$I$60,0),"n.a."))</f>
        <v>0</v>
      </c>
      <c r="M600" s="16">
        <f>IF(NOT(Paths!$C$60=1),0,IF(Paths!$P$60="Complete",IF(AND(Paths!$D$60="EV",Paths!$E$60&lt;120,Paths!$E$60+'Operating costs'!$B$65&gt;Paths!$E$60,Paths!$E$60+'Operating costs'!$B$65&lt;=120,IF(Paths!$E$60+'Operating costs'!$B$65=0,C600=0,AND(C600&gt;0,Paths!$E$60+'Operating costs'!$B$65&gt;(C600-1)*12,Paths!$E$60+'Operating costs'!$B$65&lt;=C600*12))),'Operating costs'!$B$64,0)+IF(AND('Operating costs'!$B$67&gt;0,'Operating costs'!$B$67&lt;=120,OR(Paths!$D$60="ICE",'Operating costs'!$B$67&lt;=Paths!$E$60),IF('Operating costs'!$B$67=0,C600=0,AND(C600&gt;0,'Operating costs'!$B$67&gt;(C600-1)*12,'Operating costs'!$B$67&lt;=C600*12))),'Operating costs'!$B$66,0),"n.a."))</f>
        <v>0</v>
      </c>
      <c r="N600" s="16">
        <f>IF(NOT(Paths!$C$60=1),0,IF(Paths!$P$60="Complete",SUM(G600:I600)-J600-K600-L600+M600+IF(C600=0,Paths!$F$60,0)+IF(IF(Paths!$E$60=0,C600=0,AND(C600&gt;0,Paths!$E$60&gt;(C600-1)*12,Paths!$E$60&lt;=C600*12)),VLOOKUP(A600,'Fleet register'!$A$7:$S$106,16,FALSE),0),"n.a."))</f>
        <v>0</v>
      </c>
      <c r="O600" s="16">
        <f>IF(NOT(Paths!$C$60=1),0,IF(Paths!$P$60="Complete",N600-IF(C600=0,Paths!$F$60,0),"n.a."))</f>
        <v>0</v>
      </c>
      <c r="P600" s="16">
        <f>IF(NOT(Paths!$C$60=1),0,IF(Paths!$P$60="Complete",O600+L600,"n.a."))</f>
        <v>0</v>
      </c>
      <c r="Q600" s="16">
        <f>IF(NOT(Paths!$C$60=1),0,IF(Paths!$P$60="Complete",N600*(1+'Operating costs'!$B$54)^-C600,"n.a."))</f>
        <v>0</v>
      </c>
      <c r="R600" s="16">
        <f>IF(NOT(Paths!$C$60=1),0,IF(Paths!$P$60="Complete",IF(AND(C600=0,Paths!$E$60=0),I600-J600-K600+VLOOKUP(A600,'Fleet register'!$A$7:$S$106,15,FALSE)+VLOOKUP(A600,'Fleet register'!$A$7:$S$106,16,FALSE),0),"n.a."))</f>
        <v>0</v>
      </c>
      <c r="S600" s="1">
        <f>IF(NOT(Paths!$C$60=1),0,IF(Paths!$P$60="Complete",IF(C600=0,0,Paths!$S$60*Paths!$R$60),"n.a."))</f>
        <v>0</v>
      </c>
      <c r="T600" s="1">
        <f>IF(NOT(Paths!$C$60=1),0,IF(Paths!$P$60="Complete",IF(C600=0,0,VLOOKUP(A600,'Fleet register'!$A$7:$S$106,9,FALSE)*Paths!$R$60),"n.a."))</f>
        <v>0</v>
      </c>
    </row>
    <row r="601" spans="1:20" ht="24" customHeight="1">
      <c r="A601" s="1" t="str">
        <f>Paths!$A$61</f>
        <v>T014</v>
      </c>
      <c r="B601" s="1">
        <f>Paths!$B$61</f>
        <v>2</v>
      </c>
      <c r="C601" s="1">
        <v>0</v>
      </c>
      <c r="D601" s="1">
        <v>61</v>
      </c>
      <c r="E601" s="1">
        <f>IF(OR(Paths!$C$61=0,C601=0),0,MAX(0,MIN(C601*12,Paths!$E$61)-(C601-1)*12))</f>
        <v>0</v>
      </c>
      <c r="F601" s="1">
        <f>IF(OR(Paths!$C$61=0,C601=0),0,12-E601)</f>
        <v>0</v>
      </c>
      <c r="G601" s="16">
        <f>IF(NOT(Paths!$C$61=1),0,IF(Paths!$P$61="Complete",E601/12*(Paths!$J$61*(1+'Operating costs'!$B$51)^MAX(0,C601-1)+Paths!$K$61*(1+'Operating costs'!$B$53)^MAX(0,C601-1)),"n.a."))</f>
        <v>0</v>
      </c>
      <c r="H601" s="16">
        <f>IF(NOT(Paths!$C$61=1),0,IF(Paths!$P$61="Complete",F601/12*(Paths!$L$61*(1+IF(Paths!$D$61="EV",'Operating costs'!$B$52,'Operating costs'!$B$51))^MAX(0,C601-1)+Paths!$M$61*(1+'Operating costs'!$B$53)^MAX(0,C601-1)),"n.a."))</f>
        <v>0</v>
      </c>
      <c r="I601" s="16">
        <f>IF(NOT(Paths!$C$61=1),0,IF(Paths!$P$61="Complete",IF(IF(Paths!$E$61=0,C601=0,AND(C601&gt;0,Paths!$E$61&gt;(C601-1)*12,Paths!$E$61&lt;=C601*12)),Paths!$G$61,0),"n.a."))</f>
        <v>0</v>
      </c>
      <c r="J601" s="16">
        <f>IF(NOT(Paths!$C$61=1),0,IF(Paths!$P$61="Complete",IF(IF(Paths!$E$61=0,C601=0,AND(C601&gt;0,Paths!$E$61&gt;(C601-1)*12,Paths!$E$61&lt;=C601*12)),Paths!$H$61,0),"n.a."))</f>
        <v>0</v>
      </c>
      <c r="K601" s="16">
        <f>IF(NOT(Paths!$C$61=1),0,IF(Paths!$P$61="Complete",IF(IF(Paths!$O$61=0,C601=0,AND(C601&gt;0,Paths!$O$61&gt;(C601-1)*12,Paths!$O$61&lt;=C601*12)),Paths!$N$61,0),"n.a."))</f>
        <v>0</v>
      </c>
      <c r="L601" s="16">
        <f>IF(NOT(Paths!$C$61=1),0,IF(Paths!$P$61="Complete",IF(C601=10,Paths!$I$61,0),"n.a."))</f>
        <v>0</v>
      </c>
      <c r="M601" s="16">
        <f>IF(NOT(Paths!$C$61=1),0,IF(Paths!$P$61="Complete",IF(AND(Paths!$D$61="EV",Paths!$E$61&lt;120,Paths!$E$61+'Operating costs'!$B$65&gt;Paths!$E$61,Paths!$E$61+'Operating costs'!$B$65&lt;=120,IF(Paths!$E$61+'Operating costs'!$B$65=0,C601=0,AND(C601&gt;0,Paths!$E$61+'Operating costs'!$B$65&gt;(C601-1)*12,Paths!$E$61+'Operating costs'!$B$65&lt;=C601*12))),'Operating costs'!$B$64,0)+IF(AND('Operating costs'!$B$67&gt;0,'Operating costs'!$B$67&lt;=120,OR(Paths!$D$61="ICE",'Operating costs'!$B$67&lt;=Paths!$E$61),IF('Operating costs'!$B$67=0,C601=0,AND(C601&gt;0,'Operating costs'!$B$67&gt;(C601-1)*12,'Operating costs'!$B$67&lt;=C601*12))),'Operating costs'!$B$66,0),"n.a."))</f>
        <v>0</v>
      </c>
      <c r="N601" s="16">
        <f>IF(NOT(Paths!$C$61=1),0,IF(Paths!$P$61="Complete",SUM(G601:I601)-J601-K601-L601+M601+IF(C601=0,Paths!$F$61,0)+IF(IF(Paths!$E$61=0,C601=0,AND(C601&gt;0,Paths!$E$61&gt;(C601-1)*12,Paths!$E$61&lt;=C601*12)),VLOOKUP(A601,'Fleet register'!$A$7:$S$106,16,FALSE),0),"n.a."))</f>
        <v>0</v>
      </c>
      <c r="O601" s="16">
        <f>IF(NOT(Paths!$C$61=1),0,IF(Paths!$P$61="Complete",N601-IF(C601=0,Paths!$F$61,0),"n.a."))</f>
        <v>0</v>
      </c>
      <c r="P601" s="16">
        <f>IF(NOT(Paths!$C$61=1),0,IF(Paths!$P$61="Complete",O601+L601,"n.a."))</f>
        <v>0</v>
      </c>
      <c r="Q601" s="16">
        <f>IF(NOT(Paths!$C$61=1),0,IF(Paths!$P$61="Complete",N601*(1+'Operating costs'!$B$54)^-C601,"n.a."))</f>
        <v>0</v>
      </c>
      <c r="R601" s="16">
        <f>IF(NOT(Paths!$C$61=1),0,IF(Paths!$P$61="Complete",IF(AND(C601=0,Paths!$E$61=0),I601-J601-K601+VLOOKUP(A601,'Fleet register'!$A$7:$S$106,15,FALSE)+VLOOKUP(A601,'Fleet register'!$A$7:$S$106,16,FALSE),0),"n.a."))</f>
        <v>0</v>
      </c>
      <c r="S601" s="1">
        <f>IF(NOT(Paths!$C$61=1),0,IF(Paths!$P$61="Complete",IF(C601=0,0,Paths!$S$61*Paths!$R$61),"n.a."))</f>
        <v>0</v>
      </c>
      <c r="T601" s="1">
        <f>IF(NOT(Paths!$C$61=1),0,IF(Paths!$P$61="Complete",IF(C601=0,0,VLOOKUP(A601,'Fleet register'!$A$7:$S$106,9,FALSE)*Paths!$R$61),"n.a."))</f>
        <v>0</v>
      </c>
    </row>
    <row r="602" spans="1:20" ht="24" customHeight="1">
      <c r="A602" s="1" t="str">
        <f>Paths!$A$61</f>
        <v>T014</v>
      </c>
      <c r="B602" s="1">
        <f>Paths!$B$61</f>
        <v>2</v>
      </c>
      <c r="C602" s="1">
        <v>1</v>
      </c>
      <c r="D602" s="1">
        <v>61</v>
      </c>
      <c r="E602" s="1">
        <f>IF(OR(Paths!$C$61=0,C602=0),0,MAX(0,MIN(C602*12,Paths!$E$61)-(C602-1)*12))</f>
        <v>0</v>
      </c>
      <c r="F602" s="1">
        <f>IF(OR(Paths!$C$61=0,C602=0),0,12-E602)</f>
        <v>0</v>
      </c>
      <c r="G602" s="16">
        <f>IF(NOT(Paths!$C$61=1),0,IF(Paths!$P$61="Complete",E602/12*(Paths!$J$61*(1+'Operating costs'!$B$51)^MAX(0,C602-1)+Paths!$K$61*(1+'Operating costs'!$B$53)^MAX(0,C602-1)),"n.a."))</f>
        <v>0</v>
      </c>
      <c r="H602" s="16">
        <f>IF(NOT(Paths!$C$61=1),0,IF(Paths!$P$61="Complete",F602/12*(Paths!$L$61*(1+IF(Paths!$D$61="EV",'Operating costs'!$B$52,'Operating costs'!$B$51))^MAX(0,C602-1)+Paths!$M$61*(1+'Operating costs'!$B$53)^MAX(0,C602-1)),"n.a."))</f>
        <v>0</v>
      </c>
      <c r="I602" s="16">
        <f>IF(NOT(Paths!$C$61=1),0,IF(Paths!$P$61="Complete",IF(IF(Paths!$E$61=0,C602=0,AND(C602&gt;0,Paths!$E$61&gt;(C602-1)*12,Paths!$E$61&lt;=C602*12)),Paths!$G$61,0),"n.a."))</f>
        <v>0</v>
      </c>
      <c r="J602" s="16">
        <f>IF(NOT(Paths!$C$61=1),0,IF(Paths!$P$61="Complete",IF(IF(Paths!$E$61=0,C602=0,AND(C602&gt;0,Paths!$E$61&gt;(C602-1)*12,Paths!$E$61&lt;=C602*12)),Paths!$H$61,0),"n.a."))</f>
        <v>0</v>
      </c>
      <c r="K602" s="16">
        <f>IF(NOT(Paths!$C$61=1),0,IF(Paths!$P$61="Complete",IF(IF(Paths!$O$61=0,C602=0,AND(C602&gt;0,Paths!$O$61&gt;(C602-1)*12,Paths!$O$61&lt;=C602*12)),Paths!$N$61,0),"n.a."))</f>
        <v>0</v>
      </c>
      <c r="L602" s="16">
        <f>IF(NOT(Paths!$C$61=1),0,IF(Paths!$P$61="Complete",IF(C602=10,Paths!$I$61,0),"n.a."))</f>
        <v>0</v>
      </c>
      <c r="M602" s="16">
        <f>IF(NOT(Paths!$C$61=1),0,IF(Paths!$P$61="Complete",IF(AND(Paths!$D$61="EV",Paths!$E$61&lt;120,Paths!$E$61+'Operating costs'!$B$65&gt;Paths!$E$61,Paths!$E$61+'Operating costs'!$B$65&lt;=120,IF(Paths!$E$61+'Operating costs'!$B$65=0,C602=0,AND(C602&gt;0,Paths!$E$61+'Operating costs'!$B$65&gt;(C602-1)*12,Paths!$E$61+'Operating costs'!$B$65&lt;=C602*12))),'Operating costs'!$B$64,0)+IF(AND('Operating costs'!$B$67&gt;0,'Operating costs'!$B$67&lt;=120,OR(Paths!$D$61="ICE",'Operating costs'!$B$67&lt;=Paths!$E$61),IF('Operating costs'!$B$67=0,C602=0,AND(C602&gt;0,'Operating costs'!$B$67&gt;(C602-1)*12,'Operating costs'!$B$67&lt;=C602*12))),'Operating costs'!$B$66,0),"n.a."))</f>
        <v>0</v>
      </c>
      <c r="N602" s="16">
        <f>IF(NOT(Paths!$C$61=1),0,IF(Paths!$P$61="Complete",SUM(G602:I602)-J602-K602-L602+M602+IF(C602=0,Paths!$F$61,0)+IF(IF(Paths!$E$61=0,C602=0,AND(C602&gt;0,Paths!$E$61&gt;(C602-1)*12,Paths!$E$61&lt;=C602*12)),VLOOKUP(A602,'Fleet register'!$A$7:$S$106,16,FALSE),0),"n.a."))</f>
        <v>0</v>
      </c>
      <c r="O602" s="16">
        <f>IF(NOT(Paths!$C$61=1),0,IF(Paths!$P$61="Complete",N602-IF(C602=0,Paths!$F$61,0),"n.a."))</f>
        <v>0</v>
      </c>
      <c r="P602" s="16">
        <f>IF(NOT(Paths!$C$61=1),0,IF(Paths!$P$61="Complete",O602+L602,"n.a."))</f>
        <v>0</v>
      </c>
      <c r="Q602" s="16">
        <f>IF(NOT(Paths!$C$61=1),0,IF(Paths!$P$61="Complete",N602*(1+'Operating costs'!$B$54)^-C602,"n.a."))</f>
        <v>0</v>
      </c>
      <c r="R602" s="16">
        <f>IF(NOT(Paths!$C$61=1),0,IF(Paths!$P$61="Complete",IF(AND(C602=0,Paths!$E$61=0),I602-J602-K602+VLOOKUP(A602,'Fleet register'!$A$7:$S$106,15,FALSE)+VLOOKUP(A602,'Fleet register'!$A$7:$S$106,16,FALSE),0),"n.a."))</f>
        <v>0</v>
      </c>
      <c r="S602" s="1">
        <f>IF(NOT(Paths!$C$61=1),0,IF(Paths!$P$61="Complete",IF(C602=0,0,Paths!$S$61*Paths!$R$61),"n.a."))</f>
        <v>0</v>
      </c>
      <c r="T602" s="1">
        <f>IF(NOT(Paths!$C$61=1),0,IF(Paths!$P$61="Complete",IF(C602=0,0,VLOOKUP(A602,'Fleet register'!$A$7:$S$106,9,FALSE)*Paths!$R$61),"n.a."))</f>
        <v>0</v>
      </c>
    </row>
    <row r="603" spans="1:20" ht="24" customHeight="1">
      <c r="A603" s="1" t="str">
        <f>Paths!$A$61</f>
        <v>T014</v>
      </c>
      <c r="B603" s="1">
        <f>Paths!$B$61</f>
        <v>2</v>
      </c>
      <c r="C603" s="1">
        <v>2</v>
      </c>
      <c r="D603" s="1">
        <v>61</v>
      </c>
      <c r="E603" s="1">
        <f>IF(OR(Paths!$C$61=0,C603=0),0,MAX(0,MIN(C603*12,Paths!$E$61)-(C603-1)*12))</f>
        <v>0</v>
      </c>
      <c r="F603" s="1">
        <f>IF(OR(Paths!$C$61=0,C603=0),0,12-E603)</f>
        <v>0</v>
      </c>
      <c r="G603" s="16">
        <f>IF(NOT(Paths!$C$61=1),0,IF(Paths!$P$61="Complete",E603/12*(Paths!$J$61*(1+'Operating costs'!$B$51)^MAX(0,C603-1)+Paths!$K$61*(1+'Operating costs'!$B$53)^MAX(0,C603-1)),"n.a."))</f>
        <v>0</v>
      </c>
      <c r="H603" s="16">
        <f>IF(NOT(Paths!$C$61=1),0,IF(Paths!$P$61="Complete",F603/12*(Paths!$L$61*(1+IF(Paths!$D$61="EV",'Operating costs'!$B$52,'Operating costs'!$B$51))^MAX(0,C603-1)+Paths!$M$61*(1+'Operating costs'!$B$53)^MAX(0,C603-1)),"n.a."))</f>
        <v>0</v>
      </c>
      <c r="I603" s="16">
        <f>IF(NOT(Paths!$C$61=1),0,IF(Paths!$P$61="Complete",IF(IF(Paths!$E$61=0,C603=0,AND(C603&gt;0,Paths!$E$61&gt;(C603-1)*12,Paths!$E$61&lt;=C603*12)),Paths!$G$61,0),"n.a."))</f>
        <v>0</v>
      </c>
      <c r="J603" s="16">
        <f>IF(NOT(Paths!$C$61=1),0,IF(Paths!$P$61="Complete",IF(IF(Paths!$E$61=0,C603=0,AND(C603&gt;0,Paths!$E$61&gt;(C603-1)*12,Paths!$E$61&lt;=C603*12)),Paths!$H$61,0),"n.a."))</f>
        <v>0</v>
      </c>
      <c r="K603" s="16">
        <f>IF(NOT(Paths!$C$61=1),0,IF(Paths!$P$61="Complete",IF(IF(Paths!$O$61=0,C603=0,AND(C603&gt;0,Paths!$O$61&gt;(C603-1)*12,Paths!$O$61&lt;=C603*12)),Paths!$N$61,0),"n.a."))</f>
        <v>0</v>
      </c>
      <c r="L603" s="16">
        <f>IF(NOT(Paths!$C$61=1),0,IF(Paths!$P$61="Complete",IF(C603=10,Paths!$I$61,0),"n.a."))</f>
        <v>0</v>
      </c>
      <c r="M603" s="16">
        <f>IF(NOT(Paths!$C$61=1),0,IF(Paths!$P$61="Complete",IF(AND(Paths!$D$61="EV",Paths!$E$61&lt;120,Paths!$E$61+'Operating costs'!$B$65&gt;Paths!$E$61,Paths!$E$61+'Operating costs'!$B$65&lt;=120,IF(Paths!$E$61+'Operating costs'!$B$65=0,C603=0,AND(C603&gt;0,Paths!$E$61+'Operating costs'!$B$65&gt;(C603-1)*12,Paths!$E$61+'Operating costs'!$B$65&lt;=C603*12))),'Operating costs'!$B$64,0)+IF(AND('Operating costs'!$B$67&gt;0,'Operating costs'!$B$67&lt;=120,OR(Paths!$D$61="ICE",'Operating costs'!$B$67&lt;=Paths!$E$61),IF('Operating costs'!$B$67=0,C603=0,AND(C603&gt;0,'Operating costs'!$B$67&gt;(C603-1)*12,'Operating costs'!$B$67&lt;=C603*12))),'Operating costs'!$B$66,0),"n.a."))</f>
        <v>0</v>
      </c>
      <c r="N603" s="16">
        <f>IF(NOT(Paths!$C$61=1),0,IF(Paths!$P$61="Complete",SUM(G603:I603)-J603-K603-L603+M603+IF(C603=0,Paths!$F$61,0)+IF(IF(Paths!$E$61=0,C603=0,AND(C603&gt;0,Paths!$E$61&gt;(C603-1)*12,Paths!$E$61&lt;=C603*12)),VLOOKUP(A603,'Fleet register'!$A$7:$S$106,16,FALSE),0),"n.a."))</f>
        <v>0</v>
      </c>
      <c r="O603" s="16">
        <f>IF(NOT(Paths!$C$61=1),0,IF(Paths!$P$61="Complete",N603-IF(C603=0,Paths!$F$61,0),"n.a."))</f>
        <v>0</v>
      </c>
      <c r="P603" s="16">
        <f>IF(NOT(Paths!$C$61=1),0,IF(Paths!$P$61="Complete",O603+L603,"n.a."))</f>
        <v>0</v>
      </c>
      <c r="Q603" s="16">
        <f>IF(NOT(Paths!$C$61=1),0,IF(Paths!$P$61="Complete",N603*(1+'Operating costs'!$B$54)^-C603,"n.a."))</f>
        <v>0</v>
      </c>
      <c r="R603" s="16">
        <f>IF(NOT(Paths!$C$61=1),0,IF(Paths!$P$61="Complete",IF(AND(C603=0,Paths!$E$61=0),I603-J603-K603+VLOOKUP(A603,'Fleet register'!$A$7:$S$106,15,FALSE)+VLOOKUP(A603,'Fleet register'!$A$7:$S$106,16,FALSE),0),"n.a."))</f>
        <v>0</v>
      </c>
      <c r="S603" s="1">
        <f>IF(NOT(Paths!$C$61=1),0,IF(Paths!$P$61="Complete",IF(C603=0,0,Paths!$S$61*Paths!$R$61),"n.a."))</f>
        <v>0</v>
      </c>
      <c r="T603" s="1">
        <f>IF(NOT(Paths!$C$61=1),0,IF(Paths!$P$61="Complete",IF(C603=0,0,VLOOKUP(A603,'Fleet register'!$A$7:$S$106,9,FALSE)*Paths!$R$61),"n.a."))</f>
        <v>0</v>
      </c>
    </row>
    <row r="604" spans="1:20" ht="24" customHeight="1">
      <c r="A604" s="1" t="str">
        <f>Paths!$A$61</f>
        <v>T014</v>
      </c>
      <c r="B604" s="1">
        <f>Paths!$B$61</f>
        <v>2</v>
      </c>
      <c r="C604" s="1">
        <v>3</v>
      </c>
      <c r="D604" s="1">
        <v>61</v>
      </c>
      <c r="E604" s="1">
        <f>IF(OR(Paths!$C$61=0,C604=0),0,MAX(0,MIN(C604*12,Paths!$E$61)-(C604-1)*12))</f>
        <v>0</v>
      </c>
      <c r="F604" s="1">
        <f>IF(OR(Paths!$C$61=0,C604=0),0,12-E604)</f>
        <v>0</v>
      </c>
      <c r="G604" s="16">
        <f>IF(NOT(Paths!$C$61=1),0,IF(Paths!$P$61="Complete",E604/12*(Paths!$J$61*(1+'Operating costs'!$B$51)^MAX(0,C604-1)+Paths!$K$61*(1+'Operating costs'!$B$53)^MAX(0,C604-1)),"n.a."))</f>
        <v>0</v>
      </c>
      <c r="H604" s="16">
        <f>IF(NOT(Paths!$C$61=1),0,IF(Paths!$P$61="Complete",F604/12*(Paths!$L$61*(1+IF(Paths!$D$61="EV",'Operating costs'!$B$52,'Operating costs'!$B$51))^MAX(0,C604-1)+Paths!$M$61*(1+'Operating costs'!$B$53)^MAX(0,C604-1)),"n.a."))</f>
        <v>0</v>
      </c>
      <c r="I604" s="16">
        <f>IF(NOT(Paths!$C$61=1),0,IF(Paths!$P$61="Complete",IF(IF(Paths!$E$61=0,C604=0,AND(C604&gt;0,Paths!$E$61&gt;(C604-1)*12,Paths!$E$61&lt;=C604*12)),Paths!$G$61,0),"n.a."))</f>
        <v>0</v>
      </c>
      <c r="J604" s="16">
        <f>IF(NOT(Paths!$C$61=1),0,IF(Paths!$P$61="Complete",IF(IF(Paths!$E$61=0,C604=0,AND(C604&gt;0,Paths!$E$61&gt;(C604-1)*12,Paths!$E$61&lt;=C604*12)),Paths!$H$61,0),"n.a."))</f>
        <v>0</v>
      </c>
      <c r="K604" s="16">
        <f>IF(NOT(Paths!$C$61=1),0,IF(Paths!$P$61="Complete",IF(IF(Paths!$O$61=0,C604=0,AND(C604&gt;0,Paths!$O$61&gt;(C604-1)*12,Paths!$O$61&lt;=C604*12)),Paths!$N$61,0),"n.a."))</f>
        <v>0</v>
      </c>
      <c r="L604" s="16">
        <f>IF(NOT(Paths!$C$61=1),0,IF(Paths!$P$61="Complete",IF(C604=10,Paths!$I$61,0),"n.a."))</f>
        <v>0</v>
      </c>
      <c r="M604" s="16">
        <f>IF(NOT(Paths!$C$61=1),0,IF(Paths!$P$61="Complete",IF(AND(Paths!$D$61="EV",Paths!$E$61&lt;120,Paths!$E$61+'Operating costs'!$B$65&gt;Paths!$E$61,Paths!$E$61+'Operating costs'!$B$65&lt;=120,IF(Paths!$E$61+'Operating costs'!$B$65=0,C604=0,AND(C604&gt;0,Paths!$E$61+'Operating costs'!$B$65&gt;(C604-1)*12,Paths!$E$61+'Operating costs'!$B$65&lt;=C604*12))),'Operating costs'!$B$64,0)+IF(AND('Operating costs'!$B$67&gt;0,'Operating costs'!$B$67&lt;=120,OR(Paths!$D$61="ICE",'Operating costs'!$B$67&lt;=Paths!$E$61),IF('Operating costs'!$B$67=0,C604=0,AND(C604&gt;0,'Operating costs'!$B$67&gt;(C604-1)*12,'Operating costs'!$B$67&lt;=C604*12))),'Operating costs'!$B$66,0),"n.a."))</f>
        <v>0</v>
      </c>
      <c r="N604" s="16">
        <f>IF(NOT(Paths!$C$61=1),0,IF(Paths!$P$61="Complete",SUM(G604:I604)-J604-K604-L604+M604+IF(C604=0,Paths!$F$61,0)+IF(IF(Paths!$E$61=0,C604=0,AND(C604&gt;0,Paths!$E$61&gt;(C604-1)*12,Paths!$E$61&lt;=C604*12)),VLOOKUP(A604,'Fleet register'!$A$7:$S$106,16,FALSE),0),"n.a."))</f>
        <v>0</v>
      </c>
      <c r="O604" s="16">
        <f>IF(NOT(Paths!$C$61=1),0,IF(Paths!$P$61="Complete",N604-IF(C604=0,Paths!$F$61,0),"n.a."))</f>
        <v>0</v>
      </c>
      <c r="P604" s="16">
        <f>IF(NOT(Paths!$C$61=1),0,IF(Paths!$P$61="Complete",O604+L604,"n.a."))</f>
        <v>0</v>
      </c>
      <c r="Q604" s="16">
        <f>IF(NOT(Paths!$C$61=1),0,IF(Paths!$P$61="Complete",N604*(1+'Operating costs'!$B$54)^-C604,"n.a."))</f>
        <v>0</v>
      </c>
      <c r="R604" s="16">
        <f>IF(NOT(Paths!$C$61=1),0,IF(Paths!$P$61="Complete",IF(AND(C604=0,Paths!$E$61=0),I604-J604-K604+VLOOKUP(A604,'Fleet register'!$A$7:$S$106,15,FALSE)+VLOOKUP(A604,'Fleet register'!$A$7:$S$106,16,FALSE),0),"n.a."))</f>
        <v>0</v>
      </c>
      <c r="S604" s="1">
        <f>IF(NOT(Paths!$C$61=1),0,IF(Paths!$P$61="Complete",IF(C604=0,0,Paths!$S$61*Paths!$R$61),"n.a."))</f>
        <v>0</v>
      </c>
      <c r="T604" s="1">
        <f>IF(NOT(Paths!$C$61=1),0,IF(Paths!$P$61="Complete",IF(C604=0,0,VLOOKUP(A604,'Fleet register'!$A$7:$S$106,9,FALSE)*Paths!$R$61),"n.a."))</f>
        <v>0</v>
      </c>
    </row>
    <row r="605" spans="1:20" ht="24" customHeight="1">
      <c r="A605" s="1" t="str">
        <f>Paths!$A$61</f>
        <v>T014</v>
      </c>
      <c r="B605" s="1">
        <f>Paths!$B$61</f>
        <v>2</v>
      </c>
      <c r="C605" s="1">
        <v>4</v>
      </c>
      <c r="D605" s="1">
        <v>61</v>
      </c>
      <c r="E605" s="1">
        <f>IF(OR(Paths!$C$61=0,C605=0),0,MAX(0,MIN(C605*12,Paths!$E$61)-(C605-1)*12))</f>
        <v>0</v>
      </c>
      <c r="F605" s="1">
        <f>IF(OR(Paths!$C$61=0,C605=0),0,12-E605)</f>
        <v>0</v>
      </c>
      <c r="G605" s="16">
        <f>IF(NOT(Paths!$C$61=1),0,IF(Paths!$P$61="Complete",E605/12*(Paths!$J$61*(1+'Operating costs'!$B$51)^MAX(0,C605-1)+Paths!$K$61*(1+'Operating costs'!$B$53)^MAX(0,C605-1)),"n.a."))</f>
        <v>0</v>
      </c>
      <c r="H605" s="16">
        <f>IF(NOT(Paths!$C$61=1),0,IF(Paths!$P$61="Complete",F605/12*(Paths!$L$61*(1+IF(Paths!$D$61="EV",'Operating costs'!$B$52,'Operating costs'!$B$51))^MAX(0,C605-1)+Paths!$M$61*(1+'Operating costs'!$B$53)^MAX(0,C605-1)),"n.a."))</f>
        <v>0</v>
      </c>
      <c r="I605" s="16">
        <f>IF(NOT(Paths!$C$61=1),0,IF(Paths!$P$61="Complete",IF(IF(Paths!$E$61=0,C605=0,AND(C605&gt;0,Paths!$E$61&gt;(C605-1)*12,Paths!$E$61&lt;=C605*12)),Paths!$G$61,0),"n.a."))</f>
        <v>0</v>
      </c>
      <c r="J605" s="16">
        <f>IF(NOT(Paths!$C$61=1),0,IF(Paths!$P$61="Complete",IF(IF(Paths!$E$61=0,C605=0,AND(C605&gt;0,Paths!$E$61&gt;(C605-1)*12,Paths!$E$61&lt;=C605*12)),Paths!$H$61,0),"n.a."))</f>
        <v>0</v>
      </c>
      <c r="K605" s="16">
        <f>IF(NOT(Paths!$C$61=1),0,IF(Paths!$P$61="Complete",IF(IF(Paths!$O$61=0,C605=0,AND(C605&gt;0,Paths!$O$61&gt;(C605-1)*12,Paths!$O$61&lt;=C605*12)),Paths!$N$61,0),"n.a."))</f>
        <v>0</v>
      </c>
      <c r="L605" s="16">
        <f>IF(NOT(Paths!$C$61=1),0,IF(Paths!$P$61="Complete",IF(C605=10,Paths!$I$61,0),"n.a."))</f>
        <v>0</v>
      </c>
      <c r="M605" s="16">
        <f>IF(NOT(Paths!$C$61=1),0,IF(Paths!$P$61="Complete",IF(AND(Paths!$D$61="EV",Paths!$E$61&lt;120,Paths!$E$61+'Operating costs'!$B$65&gt;Paths!$E$61,Paths!$E$61+'Operating costs'!$B$65&lt;=120,IF(Paths!$E$61+'Operating costs'!$B$65=0,C605=0,AND(C605&gt;0,Paths!$E$61+'Operating costs'!$B$65&gt;(C605-1)*12,Paths!$E$61+'Operating costs'!$B$65&lt;=C605*12))),'Operating costs'!$B$64,0)+IF(AND('Operating costs'!$B$67&gt;0,'Operating costs'!$B$67&lt;=120,OR(Paths!$D$61="ICE",'Operating costs'!$B$67&lt;=Paths!$E$61),IF('Operating costs'!$B$67=0,C605=0,AND(C605&gt;0,'Operating costs'!$B$67&gt;(C605-1)*12,'Operating costs'!$B$67&lt;=C605*12))),'Operating costs'!$B$66,0),"n.a."))</f>
        <v>0</v>
      </c>
      <c r="N605" s="16">
        <f>IF(NOT(Paths!$C$61=1),0,IF(Paths!$P$61="Complete",SUM(G605:I605)-J605-K605-L605+M605+IF(C605=0,Paths!$F$61,0)+IF(IF(Paths!$E$61=0,C605=0,AND(C605&gt;0,Paths!$E$61&gt;(C605-1)*12,Paths!$E$61&lt;=C605*12)),VLOOKUP(A605,'Fleet register'!$A$7:$S$106,16,FALSE),0),"n.a."))</f>
        <v>0</v>
      </c>
      <c r="O605" s="16">
        <f>IF(NOT(Paths!$C$61=1),0,IF(Paths!$P$61="Complete",N605-IF(C605=0,Paths!$F$61,0),"n.a."))</f>
        <v>0</v>
      </c>
      <c r="P605" s="16">
        <f>IF(NOT(Paths!$C$61=1),0,IF(Paths!$P$61="Complete",O605+L605,"n.a."))</f>
        <v>0</v>
      </c>
      <c r="Q605" s="16">
        <f>IF(NOT(Paths!$C$61=1),0,IF(Paths!$P$61="Complete",N605*(1+'Operating costs'!$B$54)^-C605,"n.a."))</f>
        <v>0</v>
      </c>
      <c r="R605" s="16">
        <f>IF(NOT(Paths!$C$61=1),0,IF(Paths!$P$61="Complete",IF(AND(C605=0,Paths!$E$61=0),I605-J605-K605+VLOOKUP(A605,'Fleet register'!$A$7:$S$106,15,FALSE)+VLOOKUP(A605,'Fleet register'!$A$7:$S$106,16,FALSE),0),"n.a."))</f>
        <v>0</v>
      </c>
      <c r="S605" s="1">
        <f>IF(NOT(Paths!$C$61=1),0,IF(Paths!$P$61="Complete",IF(C605=0,0,Paths!$S$61*Paths!$R$61),"n.a."))</f>
        <v>0</v>
      </c>
      <c r="T605" s="1">
        <f>IF(NOT(Paths!$C$61=1),0,IF(Paths!$P$61="Complete",IF(C605=0,0,VLOOKUP(A605,'Fleet register'!$A$7:$S$106,9,FALSE)*Paths!$R$61),"n.a."))</f>
        <v>0</v>
      </c>
    </row>
    <row r="606" spans="1:20" ht="24" customHeight="1">
      <c r="A606" s="1" t="str">
        <f>Paths!$A$61</f>
        <v>T014</v>
      </c>
      <c r="B606" s="1">
        <f>Paths!$B$61</f>
        <v>2</v>
      </c>
      <c r="C606" s="1">
        <v>5</v>
      </c>
      <c r="D606" s="1">
        <v>61</v>
      </c>
      <c r="E606" s="1">
        <f>IF(OR(Paths!$C$61=0,C606=0),0,MAX(0,MIN(C606*12,Paths!$E$61)-(C606-1)*12))</f>
        <v>0</v>
      </c>
      <c r="F606" s="1">
        <f>IF(OR(Paths!$C$61=0,C606=0),0,12-E606)</f>
        <v>0</v>
      </c>
      <c r="G606" s="16">
        <f>IF(NOT(Paths!$C$61=1),0,IF(Paths!$P$61="Complete",E606/12*(Paths!$J$61*(1+'Operating costs'!$B$51)^MAX(0,C606-1)+Paths!$K$61*(1+'Operating costs'!$B$53)^MAX(0,C606-1)),"n.a."))</f>
        <v>0</v>
      </c>
      <c r="H606" s="16">
        <f>IF(NOT(Paths!$C$61=1),0,IF(Paths!$P$61="Complete",F606/12*(Paths!$L$61*(1+IF(Paths!$D$61="EV",'Operating costs'!$B$52,'Operating costs'!$B$51))^MAX(0,C606-1)+Paths!$M$61*(1+'Operating costs'!$B$53)^MAX(0,C606-1)),"n.a."))</f>
        <v>0</v>
      </c>
      <c r="I606" s="16">
        <f>IF(NOT(Paths!$C$61=1),0,IF(Paths!$P$61="Complete",IF(IF(Paths!$E$61=0,C606=0,AND(C606&gt;0,Paths!$E$61&gt;(C606-1)*12,Paths!$E$61&lt;=C606*12)),Paths!$G$61,0),"n.a."))</f>
        <v>0</v>
      </c>
      <c r="J606" s="16">
        <f>IF(NOT(Paths!$C$61=1),0,IF(Paths!$P$61="Complete",IF(IF(Paths!$E$61=0,C606=0,AND(C606&gt;0,Paths!$E$61&gt;(C606-1)*12,Paths!$E$61&lt;=C606*12)),Paths!$H$61,0),"n.a."))</f>
        <v>0</v>
      </c>
      <c r="K606" s="16">
        <f>IF(NOT(Paths!$C$61=1),0,IF(Paths!$P$61="Complete",IF(IF(Paths!$O$61=0,C606=0,AND(C606&gt;0,Paths!$O$61&gt;(C606-1)*12,Paths!$O$61&lt;=C606*12)),Paths!$N$61,0),"n.a."))</f>
        <v>0</v>
      </c>
      <c r="L606" s="16">
        <f>IF(NOT(Paths!$C$61=1),0,IF(Paths!$P$61="Complete",IF(C606=10,Paths!$I$61,0),"n.a."))</f>
        <v>0</v>
      </c>
      <c r="M606" s="16">
        <f>IF(NOT(Paths!$C$61=1),0,IF(Paths!$P$61="Complete",IF(AND(Paths!$D$61="EV",Paths!$E$61&lt;120,Paths!$E$61+'Operating costs'!$B$65&gt;Paths!$E$61,Paths!$E$61+'Operating costs'!$B$65&lt;=120,IF(Paths!$E$61+'Operating costs'!$B$65=0,C606=0,AND(C606&gt;0,Paths!$E$61+'Operating costs'!$B$65&gt;(C606-1)*12,Paths!$E$61+'Operating costs'!$B$65&lt;=C606*12))),'Operating costs'!$B$64,0)+IF(AND('Operating costs'!$B$67&gt;0,'Operating costs'!$B$67&lt;=120,OR(Paths!$D$61="ICE",'Operating costs'!$B$67&lt;=Paths!$E$61),IF('Operating costs'!$B$67=0,C606=0,AND(C606&gt;0,'Operating costs'!$B$67&gt;(C606-1)*12,'Operating costs'!$B$67&lt;=C606*12))),'Operating costs'!$B$66,0),"n.a."))</f>
        <v>0</v>
      </c>
      <c r="N606" s="16">
        <f>IF(NOT(Paths!$C$61=1),0,IF(Paths!$P$61="Complete",SUM(G606:I606)-J606-K606-L606+M606+IF(C606=0,Paths!$F$61,0)+IF(IF(Paths!$E$61=0,C606=0,AND(C606&gt;0,Paths!$E$61&gt;(C606-1)*12,Paths!$E$61&lt;=C606*12)),VLOOKUP(A606,'Fleet register'!$A$7:$S$106,16,FALSE),0),"n.a."))</f>
        <v>0</v>
      </c>
      <c r="O606" s="16">
        <f>IF(NOT(Paths!$C$61=1),0,IF(Paths!$P$61="Complete",N606-IF(C606=0,Paths!$F$61,0),"n.a."))</f>
        <v>0</v>
      </c>
      <c r="P606" s="16">
        <f>IF(NOT(Paths!$C$61=1),0,IF(Paths!$P$61="Complete",O606+L606,"n.a."))</f>
        <v>0</v>
      </c>
      <c r="Q606" s="16">
        <f>IF(NOT(Paths!$C$61=1),0,IF(Paths!$P$61="Complete",N606*(1+'Operating costs'!$B$54)^-C606,"n.a."))</f>
        <v>0</v>
      </c>
      <c r="R606" s="16">
        <f>IF(NOT(Paths!$C$61=1),0,IF(Paths!$P$61="Complete",IF(AND(C606=0,Paths!$E$61=0),I606-J606-K606+VLOOKUP(A606,'Fleet register'!$A$7:$S$106,15,FALSE)+VLOOKUP(A606,'Fleet register'!$A$7:$S$106,16,FALSE),0),"n.a."))</f>
        <v>0</v>
      </c>
      <c r="S606" s="1">
        <f>IF(NOT(Paths!$C$61=1),0,IF(Paths!$P$61="Complete",IF(C606=0,0,Paths!$S$61*Paths!$R$61),"n.a."))</f>
        <v>0</v>
      </c>
      <c r="T606" s="1">
        <f>IF(NOT(Paths!$C$61=1),0,IF(Paths!$P$61="Complete",IF(C606=0,0,VLOOKUP(A606,'Fleet register'!$A$7:$S$106,9,FALSE)*Paths!$R$61),"n.a."))</f>
        <v>0</v>
      </c>
    </row>
    <row r="607" spans="1:20" ht="24" customHeight="1">
      <c r="A607" s="1" t="str">
        <f>Paths!$A$61</f>
        <v>T014</v>
      </c>
      <c r="B607" s="1">
        <f>Paths!$B$61</f>
        <v>2</v>
      </c>
      <c r="C607" s="1">
        <v>6</v>
      </c>
      <c r="D607" s="1">
        <v>61</v>
      </c>
      <c r="E607" s="1">
        <f>IF(OR(Paths!$C$61=0,C607=0),0,MAX(0,MIN(C607*12,Paths!$E$61)-(C607-1)*12))</f>
        <v>0</v>
      </c>
      <c r="F607" s="1">
        <f>IF(OR(Paths!$C$61=0,C607=0),0,12-E607)</f>
        <v>0</v>
      </c>
      <c r="G607" s="16">
        <f>IF(NOT(Paths!$C$61=1),0,IF(Paths!$P$61="Complete",E607/12*(Paths!$J$61*(1+'Operating costs'!$B$51)^MAX(0,C607-1)+Paths!$K$61*(1+'Operating costs'!$B$53)^MAX(0,C607-1)),"n.a."))</f>
        <v>0</v>
      </c>
      <c r="H607" s="16">
        <f>IF(NOT(Paths!$C$61=1),0,IF(Paths!$P$61="Complete",F607/12*(Paths!$L$61*(1+IF(Paths!$D$61="EV",'Operating costs'!$B$52,'Operating costs'!$B$51))^MAX(0,C607-1)+Paths!$M$61*(1+'Operating costs'!$B$53)^MAX(0,C607-1)),"n.a."))</f>
        <v>0</v>
      </c>
      <c r="I607" s="16">
        <f>IF(NOT(Paths!$C$61=1),0,IF(Paths!$P$61="Complete",IF(IF(Paths!$E$61=0,C607=0,AND(C607&gt;0,Paths!$E$61&gt;(C607-1)*12,Paths!$E$61&lt;=C607*12)),Paths!$G$61,0),"n.a."))</f>
        <v>0</v>
      </c>
      <c r="J607" s="16">
        <f>IF(NOT(Paths!$C$61=1),0,IF(Paths!$P$61="Complete",IF(IF(Paths!$E$61=0,C607=0,AND(C607&gt;0,Paths!$E$61&gt;(C607-1)*12,Paths!$E$61&lt;=C607*12)),Paths!$H$61,0),"n.a."))</f>
        <v>0</v>
      </c>
      <c r="K607" s="16">
        <f>IF(NOT(Paths!$C$61=1),0,IF(Paths!$P$61="Complete",IF(IF(Paths!$O$61=0,C607=0,AND(C607&gt;0,Paths!$O$61&gt;(C607-1)*12,Paths!$O$61&lt;=C607*12)),Paths!$N$61,0),"n.a."))</f>
        <v>0</v>
      </c>
      <c r="L607" s="16">
        <f>IF(NOT(Paths!$C$61=1),0,IF(Paths!$P$61="Complete",IF(C607=10,Paths!$I$61,0),"n.a."))</f>
        <v>0</v>
      </c>
      <c r="M607" s="16">
        <f>IF(NOT(Paths!$C$61=1),0,IF(Paths!$P$61="Complete",IF(AND(Paths!$D$61="EV",Paths!$E$61&lt;120,Paths!$E$61+'Operating costs'!$B$65&gt;Paths!$E$61,Paths!$E$61+'Operating costs'!$B$65&lt;=120,IF(Paths!$E$61+'Operating costs'!$B$65=0,C607=0,AND(C607&gt;0,Paths!$E$61+'Operating costs'!$B$65&gt;(C607-1)*12,Paths!$E$61+'Operating costs'!$B$65&lt;=C607*12))),'Operating costs'!$B$64,0)+IF(AND('Operating costs'!$B$67&gt;0,'Operating costs'!$B$67&lt;=120,OR(Paths!$D$61="ICE",'Operating costs'!$B$67&lt;=Paths!$E$61),IF('Operating costs'!$B$67=0,C607=0,AND(C607&gt;0,'Operating costs'!$B$67&gt;(C607-1)*12,'Operating costs'!$B$67&lt;=C607*12))),'Operating costs'!$B$66,0),"n.a."))</f>
        <v>0</v>
      </c>
      <c r="N607" s="16">
        <f>IF(NOT(Paths!$C$61=1),0,IF(Paths!$P$61="Complete",SUM(G607:I607)-J607-K607-L607+M607+IF(C607=0,Paths!$F$61,0)+IF(IF(Paths!$E$61=0,C607=0,AND(C607&gt;0,Paths!$E$61&gt;(C607-1)*12,Paths!$E$61&lt;=C607*12)),VLOOKUP(A607,'Fleet register'!$A$7:$S$106,16,FALSE),0),"n.a."))</f>
        <v>0</v>
      </c>
      <c r="O607" s="16">
        <f>IF(NOT(Paths!$C$61=1),0,IF(Paths!$P$61="Complete",N607-IF(C607=0,Paths!$F$61,0),"n.a."))</f>
        <v>0</v>
      </c>
      <c r="P607" s="16">
        <f>IF(NOT(Paths!$C$61=1),0,IF(Paths!$P$61="Complete",O607+L607,"n.a."))</f>
        <v>0</v>
      </c>
      <c r="Q607" s="16">
        <f>IF(NOT(Paths!$C$61=1),0,IF(Paths!$P$61="Complete",N607*(1+'Operating costs'!$B$54)^-C607,"n.a."))</f>
        <v>0</v>
      </c>
      <c r="R607" s="16">
        <f>IF(NOT(Paths!$C$61=1),0,IF(Paths!$P$61="Complete",IF(AND(C607=0,Paths!$E$61=0),I607-J607-K607+VLOOKUP(A607,'Fleet register'!$A$7:$S$106,15,FALSE)+VLOOKUP(A607,'Fleet register'!$A$7:$S$106,16,FALSE),0),"n.a."))</f>
        <v>0</v>
      </c>
      <c r="S607" s="1">
        <f>IF(NOT(Paths!$C$61=1),0,IF(Paths!$P$61="Complete",IF(C607=0,0,Paths!$S$61*Paths!$R$61),"n.a."))</f>
        <v>0</v>
      </c>
      <c r="T607" s="1">
        <f>IF(NOT(Paths!$C$61=1),0,IF(Paths!$P$61="Complete",IF(C607=0,0,VLOOKUP(A607,'Fleet register'!$A$7:$S$106,9,FALSE)*Paths!$R$61),"n.a."))</f>
        <v>0</v>
      </c>
    </row>
    <row r="608" spans="1:20" ht="24" customHeight="1">
      <c r="A608" s="1" t="str">
        <f>Paths!$A$61</f>
        <v>T014</v>
      </c>
      <c r="B608" s="1">
        <f>Paths!$B$61</f>
        <v>2</v>
      </c>
      <c r="C608" s="1">
        <v>7</v>
      </c>
      <c r="D608" s="1">
        <v>61</v>
      </c>
      <c r="E608" s="1">
        <f>IF(OR(Paths!$C$61=0,C608=0),0,MAX(0,MIN(C608*12,Paths!$E$61)-(C608-1)*12))</f>
        <v>0</v>
      </c>
      <c r="F608" s="1">
        <f>IF(OR(Paths!$C$61=0,C608=0),0,12-E608)</f>
        <v>0</v>
      </c>
      <c r="G608" s="16">
        <f>IF(NOT(Paths!$C$61=1),0,IF(Paths!$P$61="Complete",E608/12*(Paths!$J$61*(1+'Operating costs'!$B$51)^MAX(0,C608-1)+Paths!$K$61*(1+'Operating costs'!$B$53)^MAX(0,C608-1)),"n.a."))</f>
        <v>0</v>
      </c>
      <c r="H608" s="16">
        <f>IF(NOT(Paths!$C$61=1),0,IF(Paths!$P$61="Complete",F608/12*(Paths!$L$61*(1+IF(Paths!$D$61="EV",'Operating costs'!$B$52,'Operating costs'!$B$51))^MAX(0,C608-1)+Paths!$M$61*(1+'Operating costs'!$B$53)^MAX(0,C608-1)),"n.a."))</f>
        <v>0</v>
      </c>
      <c r="I608" s="16">
        <f>IF(NOT(Paths!$C$61=1),0,IF(Paths!$P$61="Complete",IF(IF(Paths!$E$61=0,C608=0,AND(C608&gt;0,Paths!$E$61&gt;(C608-1)*12,Paths!$E$61&lt;=C608*12)),Paths!$G$61,0),"n.a."))</f>
        <v>0</v>
      </c>
      <c r="J608" s="16">
        <f>IF(NOT(Paths!$C$61=1),0,IF(Paths!$P$61="Complete",IF(IF(Paths!$E$61=0,C608=0,AND(C608&gt;0,Paths!$E$61&gt;(C608-1)*12,Paths!$E$61&lt;=C608*12)),Paths!$H$61,0),"n.a."))</f>
        <v>0</v>
      </c>
      <c r="K608" s="16">
        <f>IF(NOT(Paths!$C$61=1),0,IF(Paths!$P$61="Complete",IF(IF(Paths!$O$61=0,C608=0,AND(C608&gt;0,Paths!$O$61&gt;(C608-1)*12,Paths!$O$61&lt;=C608*12)),Paths!$N$61,0),"n.a."))</f>
        <v>0</v>
      </c>
      <c r="L608" s="16">
        <f>IF(NOT(Paths!$C$61=1),0,IF(Paths!$P$61="Complete",IF(C608=10,Paths!$I$61,0),"n.a."))</f>
        <v>0</v>
      </c>
      <c r="M608" s="16">
        <f>IF(NOT(Paths!$C$61=1),0,IF(Paths!$P$61="Complete",IF(AND(Paths!$D$61="EV",Paths!$E$61&lt;120,Paths!$E$61+'Operating costs'!$B$65&gt;Paths!$E$61,Paths!$E$61+'Operating costs'!$B$65&lt;=120,IF(Paths!$E$61+'Operating costs'!$B$65=0,C608=0,AND(C608&gt;0,Paths!$E$61+'Operating costs'!$B$65&gt;(C608-1)*12,Paths!$E$61+'Operating costs'!$B$65&lt;=C608*12))),'Operating costs'!$B$64,0)+IF(AND('Operating costs'!$B$67&gt;0,'Operating costs'!$B$67&lt;=120,OR(Paths!$D$61="ICE",'Operating costs'!$B$67&lt;=Paths!$E$61),IF('Operating costs'!$B$67=0,C608=0,AND(C608&gt;0,'Operating costs'!$B$67&gt;(C608-1)*12,'Operating costs'!$B$67&lt;=C608*12))),'Operating costs'!$B$66,0),"n.a."))</f>
        <v>0</v>
      </c>
      <c r="N608" s="16">
        <f>IF(NOT(Paths!$C$61=1),0,IF(Paths!$P$61="Complete",SUM(G608:I608)-J608-K608-L608+M608+IF(C608=0,Paths!$F$61,0)+IF(IF(Paths!$E$61=0,C608=0,AND(C608&gt;0,Paths!$E$61&gt;(C608-1)*12,Paths!$E$61&lt;=C608*12)),VLOOKUP(A608,'Fleet register'!$A$7:$S$106,16,FALSE),0),"n.a."))</f>
        <v>0</v>
      </c>
      <c r="O608" s="16">
        <f>IF(NOT(Paths!$C$61=1),0,IF(Paths!$P$61="Complete",N608-IF(C608=0,Paths!$F$61,0),"n.a."))</f>
        <v>0</v>
      </c>
      <c r="P608" s="16">
        <f>IF(NOT(Paths!$C$61=1),0,IF(Paths!$P$61="Complete",O608+L608,"n.a."))</f>
        <v>0</v>
      </c>
      <c r="Q608" s="16">
        <f>IF(NOT(Paths!$C$61=1),0,IF(Paths!$P$61="Complete",N608*(1+'Operating costs'!$B$54)^-C608,"n.a."))</f>
        <v>0</v>
      </c>
      <c r="R608" s="16">
        <f>IF(NOT(Paths!$C$61=1),0,IF(Paths!$P$61="Complete",IF(AND(C608=0,Paths!$E$61=0),I608-J608-K608+VLOOKUP(A608,'Fleet register'!$A$7:$S$106,15,FALSE)+VLOOKUP(A608,'Fleet register'!$A$7:$S$106,16,FALSE),0),"n.a."))</f>
        <v>0</v>
      </c>
      <c r="S608" s="1">
        <f>IF(NOT(Paths!$C$61=1),0,IF(Paths!$P$61="Complete",IF(C608=0,0,Paths!$S$61*Paths!$R$61),"n.a."))</f>
        <v>0</v>
      </c>
      <c r="T608" s="1">
        <f>IF(NOT(Paths!$C$61=1),0,IF(Paths!$P$61="Complete",IF(C608=0,0,VLOOKUP(A608,'Fleet register'!$A$7:$S$106,9,FALSE)*Paths!$R$61),"n.a."))</f>
        <v>0</v>
      </c>
    </row>
    <row r="609" spans="1:20" ht="24" customHeight="1">
      <c r="A609" s="1" t="str">
        <f>Paths!$A$61</f>
        <v>T014</v>
      </c>
      <c r="B609" s="1">
        <f>Paths!$B$61</f>
        <v>2</v>
      </c>
      <c r="C609" s="1">
        <v>8</v>
      </c>
      <c r="D609" s="1">
        <v>61</v>
      </c>
      <c r="E609" s="1">
        <f>IF(OR(Paths!$C$61=0,C609=0),0,MAX(0,MIN(C609*12,Paths!$E$61)-(C609-1)*12))</f>
        <v>0</v>
      </c>
      <c r="F609" s="1">
        <f>IF(OR(Paths!$C$61=0,C609=0),0,12-E609)</f>
        <v>0</v>
      </c>
      <c r="G609" s="16">
        <f>IF(NOT(Paths!$C$61=1),0,IF(Paths!$P$61="Complete",E609/12*(Paths!$J$61*(1+'Operating costs'!$B$51)^MAX(0,C609-1)+Paths!$K$61*(1+'Operating costs'!$B$53)^MAX(0,C609-1)),"n.a."))</f>
        <v>0</v>
      </c>
      <c r="H609" s="16">
        <f>IF(NOT(Paths!$C$61=1),0,IF(Paths!$P$61="Complete",F609/12*(Paths!$L$61*(1+IF(Paths!$D$61="EV",'Operating costs'!$B$52,'Operating costs'!$B$51))^MAX(0,C609-1)+Paths!$M$61*(1+'Operating costs'!$B$53)^MAX(0,C609-1)),"n.a."))</f>
        <v>0</v>
      </c>
      <c r="I609" s="16">
        <f>IF(NOT(Paths!$C$61=1),0,IF(Paths!$P$61="Complete",IF(IF(Paths!$E$61=0,C609=0,AND(C609&gt;0,Paths!$E$61&gt;(C609-1)*12,Paths!$E$61&lt;=C609*12)),Paths!$G$61,0),"n.a."))</f>
        <v>0</v>
      </c>
      <c r="J609" s="16">
        <f>IF(NOT(Paths!$C$61=1),0,IF(Paths!$P$61="Complete",IF(IF(Paths!$E$61=0,C609=0,AND(C609&gt;0,Paths!$E$61&gt;(C609-1)*12,Paths!$E$61&lt;=C609*12)),Paths!$H$61,0),"n.a."))</f>
        <v>0</v>
      </c>
      <c r="K609" s="16">
        <f>IF(NOT(Paths!$C$61=1),0,IF(Paths!$P$61="Complete",IF(IF(Paths!$O$61=0,C609=0,AND(C609&gt;0,Paths!$O$61&gt;(C609-1)*12,Paths!$O$61&lt;=C609*12)),Paths!$N$61,0),"n.a."))</f>
        <v>0</v>
      </c>
      <c r="L609" s="16">
        <f>IF(NOT(Paths!$C$61=1),0,IF(Paths!$P$61="Complete",IF(C609=10,Paths!$I$61,0),"n.a."))</f>
        <v>0</v>
      </c>
      <c r="M609" s="16">
        <f>IF(NOT(Paths!$C$61=1),0,IF(Paths!$P$61="Complete",IF(AND(Paths!$D$61="EV",Paths!$E$61&lt;120,Paths!$E$61+'Operating costs'!$B$65&gt;Paths!$E$61,Paths!$E$61+'Operating costs'!$B$65&lt;=120,IF(Paths!$E$61+'Operating costs'!$B$65=0,C609=0,AND(C609&gt;0,Paths!$E$61+'Operating costs'!$B$65&gt;(C609-1)*12,Paths!$E$61+'Operating costs'!$B$65&lt;=C609*12))),'Operating costs'!$B$64,0)+IF(AND('Operating costs'!$B$67&gt;0,'Operating costs'!$B$67&lt;=120,OR(Paths!$D$61="ICE",'Operating costs'!$B$67&lt;=Paths!$E$61),IF('Operating costs'!$B$67=0,C609=0,AND(C609&gt;0,'Operating costs'!$B$67&gt;(C609-1)*12,'Operating costs'!$B$67&lt;=C609*12))),'Operating costs'!$B$66,0),"n.a."))</f>
        <v>0</v>
      </c>
      <c r="N609" s="16">
        <f>IF(NOT(Paths!$C$61=1),0,IF(Paths!$P$61="Complete",SUM(G609:I609)-J609-K609-L609+M609+IF(C609=0,Paths!$F$61,0)+IF(IF(Paths!$E$61=0,C609=0,AND(C609&gt;0,Paths!$E$61&gt;(C609-1)*12,Paths!$E$61&lt;=C609*12)),VLOOKUP(A609,'Fleet register'!$A$7:$S$106,16,FALSE),0),"n.a."))</f>
        <v>0</v>
      </c>
      <c r="O609" s="16">
        <f>IF(NOT(Paths!$C$61=1),0,IF(Paths!$P$61="Complete",N609-IF(C609=0,Paths!$F$61,0),"n.a."))</f>
        <v>0</v>
      </c>
      <c r="P609" s="16">
        <f>IF(NOT(Paths!$C$61=1),0,IF(Paths!$P$61="Complete",O609+L609,"n.a."))</f>
        <v>0</v>
      </c>
      <c r="Q609" s="16">
        <f>IF(NOT(Paths!$C$61=1),0,IF(Paths!$P$61="Complete",N609*(1+'Operating costs'!$B$54)^-C609,"n.a."))</f>
        <v>0</v>
      </c>
      <c r="R609" s="16">
        <f>IF(NOT(Paths!$C$61=1),0,IF(Paths!$P$61="Complete",IF(AND(C609=0,Paths!$E$61=0),I609-J609-K609+VLOOKUP(A609,'Fleet register'!$A$7:$S$106,15,FALSE)+VLOOKUP(A609,'Fleet register'!$A$7:$S$106,16,FALSE),0),"n.a."))</f>
        <v>0</v>
      </c>
      <c r="S609" s="1">
        <f>IF(NOT(Paths!$C$61=1),0,IF(Paths!$P$61="Complete",IF(C609=0,0,Paths!$S$61*Paths!$R$61),"n.a."))</f>
        <v>0</v>
      </c>
      <c r="T609" s="1">
        <f>IF(NOT(Paths!$C$61=1),0,IF(Paths!$P$61="Complete",IF(C609=0,0,VLOOKUP(A609,'Fleet register'!$A$7:$S$106,9,FALSE)*Paths!$R$61),"n.a."))</f>
        <v>0</v>
      </c>
    </row>
    <row r="610" spans="1:20" ht="24" customHeight="1">
      <c r="A610" s="1" t="str">
        <f>Paths!$A$61</f>
        <v>T014</v>
      </c>
      <c r="B610" s="1">
        <f>Paths!$B$61</f>
        <v>2</v>
      </c>
      <c r="C610" s="1">
        <v>9</v>
      </c>
      <c r="D610" s="1">
        <v>61</v>
      </c>
      <c r="E610" s="1">
        <f>IF(OR(Paths!$C$61=0,C610=0),0,MAX(0,MIN(C610*12,Paths!$E$61)-(C610-1)*12))</f>
        <v>0</v>
      </c>
      <c r="F610" s="1">
        <f>IF(OR(Paths!$C$61=0,C610=0),0,12-E610)</f>
        <v>0</v>
      </c>
      <c r="G610" s="16">
        <f>IF(NOT(Paths!$C$61=1),0,IF(Paths!$P$61="Complete",E610/12*(Paths!$J$61*(1+'Operating costs'!$B$51)^MAX(0,C610-1)+Paths!$K$61*(1+'Operating costs'!$B$53)^MAX(0,C610-1)),"n.a."))</f>
        <v>0</v>
      </c>
      <c r="H610" s="16">
        <f>IF(NOT(Paths!$C$61=1),0,IF(Paths!$P$61="Complete",F610/12*(Paths!$L$61*(1+IF(Paths!$D$61="EV",'Operating costs'!$B$52,'Operating costs'!$B$51))^MAX(0,C610-1)+Paths!$M$61*(1+'Operating costs'!$B$53)^MAX(0,C610-1)),"n.a."))</f>
        <v>0</v>
      </c>
      <c r="I610" s="16">
        <f>IF(NOT(Paths!$C$61=1),0,IF(Paths!$P$61="Complete",IF(IF(Paths!$E$61=0,C610=0,AND(C610&gt;0,Paths!$E$61&gt;(C610-1)*12,Paths!$E$61&lt;=C610*12)),Paths!$G$61,0),"n.a."))</f>
        <v>0</v>
      </c>
      <c r="J610" s="16">
        <f>IF(NOT(Paths!$C$61=1),0,IF(Paths!$P$61="Complete",IF(IF(Paths!$E$61=0,C610=0,AND(C610&gt;0,Paths!$E$61&gt;(C610-1)*12,Paths!$E$61&lt;=C610*12)),Paths!$H$61,0),"n.a."))</f>
        <v>0</v>
      </c>
      <c r="K610" s="16">
        <f>IF(NOT(Paths!$C$61=1),0,IF(Paths!$P$61="Complete",IF(IF(Paths!$O$61=0,C610=0,AND(C610&gt;0,Paths!$O$61&gt;(C610-1)*12,Paths!$O$61&lt;=C610*12)),Paths!$N$61,0),"n.a."))</f>
        <v>0</v>
      </c>
      <c r="L610" s="16">
        <f>IF(NOT(Paths!$C$61=1),0,IF(Paths!$P$61="Complete",IF(C610=10,Paths!$I$61,0),"n.a."))</f>
        <v>0</v>
      </c>
      <c r="M610" s="16">
        <f>IF(NOT(Paths!$C$61=1),0,IF(Paths!$P$61="Complete",IF(AND(Paths!$D$61="EV",Paths!$E$61&lt;120,Paths!$E$61+'Operating costs'!$B$65&gt;Paths!$E$61,Paths!$E$61+'Operating costs'!$B$65&lt;=120,IF(Paths!$E$61+'Operating costs'!$B$65=0,C610=0,AND(C610&gt;0,Paths!$E$61+'Operating costs'!$B$65&gt;(C610-1)*12,Paths!$E$61+'Operating costs'!$B$65&lt;=C610*12))),'Operating costs'!$B$64,0)+IF(AND('Operating costs'!$B$67&gt;0,'Operating costs'!$B$67&lt;=120,OR(Paths!$D$61="ICE",'Operating costs'!$B$67&lt;=Paths!$E$61),IF('Operating costs'!$B$67=0,C610=0,AND(C610&gt;0,'Operating costs'!$B$67&gt;(C610-1)*12,'Operating costs'!$B$67&lt;=C610*12))),'Operating costs'!$B$66,0),"n.a."))</f>
        <v>0</v>
      </c>
      <c r="N610" s="16">
        <f>IF(NOT(Paths!$C$61=1),0,IF(Paths!$P$61="Complete",SUM(G610:I610)-J610-K610-L610+M610+IF(C610=0,Paths!$F$61,0)+IF(IF(Paths!$E$61=0,C610=0,AND(C610&gt;0,Paths!$E$61&gt;(C610-1)*12,Paths!$E$61&lt;=C610*12)),VLOOKUP(A610,'Fleet register'!$A$7:$S$106,16,FALSE),0),"n.a."))</f>
        <v>0</v>
      </c>
      <c r="O610" s="16">
        <f>IF(NOT(Paths!$C$61=1),0,IF(Paths!$P$61="Complete",N610-IF(C610=0,Paths!$F$61,0),"n.a."))</f>
        <v>0</v>
      </c>
      <c r="P610" s="16">
        <f>IF(NOT(Paths!$C$61=1),0,IF(Paths!$P$61="Complete",O610+L610,"n.a."))</f>
        <v>0</v>
      </c>
      <c r="Q610" s="16">
        <f>IF(NOT(Paths!$C$61=1),0,IF(Paths!$P$61="Complete",N610*(1+'Operating costs'!$B$54)^-C610,"n.a."))</f>
        <v>0</v>
      </c>
      <c r="R610" s="16">
        <f>IF(NOT(Paths!$C$61=1),0,IF(Paths!$P$61="Complete",IF(AND(C610=0,Paths!$E$61=0),I610-J610-K610+VLOOKUP(A610,'Fleet register'!$A$7:$S$106,15,FALSE)+VLOOKUP(A610,'Fleet register'!$A$7:$S$106,16,FALSE),0),"n.a."))</f>
        <v>0</v>
      </c>
      <c r="S610" s="1">
        <f>IF(NOT(Paths!$C$61=1),0,IF(Paths!$P$61="Complete",IF(C610=0,0,Paths!$S$61*Paths!$R$61),"n.a."))</f>
        <v>0</v>
      </c>
      <c r="T610" s="1">
        <f>IF(NOT(Paths!$C$61=1),0,IF(Paths!$P$61="Complete",IF(C610=0,0,VLOOKUP(A610,'Fleet register'!$A$7:$S$106,9,FALSE)*Paths!$R$61),"n.a."))</f>
        <v>0</v>
      </c>
    </row>
    <row r="611" spans="1:20" ht="24" customHeight="1">
      <c r="A611" s="1" t="str">
        <f>Paths!$A$61</f>
        <v>T014</v>
      </c>
      <c r="B611" s="1">
        <f>Paths!$B$61</f>
        <v>2</v>
      </c>
      <c r="C611" s="1">
        <v>10</v>
      </c>
      <c r="D611" s="1">
        <v>61</v>
      </c>
      <c r="E611" s="1">
        <f>IF(OR(Paths!$C$61=0,C611=0),0,MAX(0,MIN(C611*12,Paths!$E$61)-(C611-1)*12))</f>
        <v>0</v>
      </c>
      <c r="F611" s="1">
        <f>IF(OR(Paths!$C$61=0,C611=0),0,12-E611)</f>
        <v>0</v>
      </c>
      <c r="G611" s="16">
        <f>IF(NOT(Paths!$C$61=1),0,IF(Paths!$P$61="Complete",E611/12*(Paths!$J$61*(1+'Operating costs'!$B$51)^MAX(0,C611-1)+Paths!$K$61*(1+'Operating costs'!$B$53)^MAX(0,C611-1)),"n.a."))</f>
        <v>0</v>
      </c>
      <c r="H611" s="16">
        <f>IF(NOT(Paths!$C$61=1),0,IF(Paths!$P$61="Complete",F611/12*(Paths!$L$61*(1+IF(Paths!$D$61="EV",'Operating costs'!$B$52,'Operating costs'!$B$51))^MAX(0,C611-1)+Paths!$M$61*(1+'Operating costs'!$B$53)^MAX(0,C611-1)),"n.a."))</f>
        <v>0</v>
      </c>
      <c r="I611" s="16">
        <f>IF(NOT(Paths!$C$61=1),0,IF(Paths!$P$61="Complete",IF(IF(Paths!$E$61=0,C611=0,AND(C611&gt;0,Paths!$E$61&gt;(C611-1)*12,Paths!$E$61&lt;=C611*12)),Paths!$G$61,0),"n.a."))</f>
        <v>0</v>
      </c>
      <c r="J611" s="16">
        <f>IF(NOT(Paths!$C$61=1),0,IF(Paths!$P$61="Complete",IF(IF(Paths!$E$61=0,C611=0,AND(C611&gt;0,Paths!$E$61&gt;(C611-1)*12,Paths!$E$61&lt;=C611*12)),Paths!$H$61,0),"n.a."))</f>
        <v>0</v>
      </c>
      <c r="K611" s="16">
        <f>IF(NOT(Paths!$C$61=1),0,IF(Paths!$P$61="Complete",IF(IF(Paths!$O$61=0,C611=0,AND(C611&gt;0,Paths!$O$61&gt;(C611-1)*12,Paths!$O$61&lt;=C611*12)),Paths!$N$61,0),"n.a."))</f>
        <v>0</v>
      </c>
      <c r="L611" s="16">
        <f>IF(NOT(Paths!$C$61=1),0,IF(Paths!$P$61="Complete",IF(C611=10,Paths!$I$61,0),"n.a."))</f>
        <v>0</v>
      </c>
      <c r="M611" s="16">
        <f>IF(NOT(Paths!$C$61=1),0,IF(Paths!$P$61="Complete",IF(AND(Paths!$D$61="EV",Paths!$E$61&lt;120,Paths!$E$61+'Operating costs'!$B$65&gt;Paths!$E$61,Paths!$E$61+'Operating costs'!$B$65&lt;=120,IF(Paths!$E$61+'Operating costs'!$B$65=0,C611=0,AND(C611&gt;0,Paths!$E$61+'Operating costs'!$B$65&gt;(C611-1)*12,Paths!$E$61+'Operating costs'!$B$65&lt;=C611*12))),'Operating costs'!$B$64,0)+IF(AND('Operating costs'!$B$67&gt;0,'Operating costs'!$B$67&lt;=120,OR(Paths!$D$61="ICE",'Operating costs'!$B$67&lt;=Paths!$E$61),IF('Operating costs'!$B$67=0,C611=0,AND(C611&gt;0,'Operating costs'!$B$67&gt;(C611-1)*12,'Operating costs'!$B$67&lt;=C611*12))),'Operating costs'!$B$66,0),"n.a."))</f>
        <v>0</v>
      </c>
      <c r="N611" s="16">
        <f>IF(NOT(Paths!$C$61=1),0,IF(Paths!$P$61="Complete",SUM(G611:I611)-J611-K611-L611+M611+IF(C611=0,Paths!$F$61,0)+IF(IF(Paths!$E$61=0,C611=0,AND(C611&gt;0,Paths!$E$61&gt;(C611-1)*12,Paths!$E$61&lt;=C611*12)),VLOOKUP(A611,'Fleet register'!$A$7:$S$106,16,FALSE),0),"n.a."))</f>
        <v>0</v>
      </c>
      <c r="O611" s="16">
        <f>IF(NOT(Paths!$C$61=1),0,IF(Paths!$P$61="Complete",N611-IF(C611=0,Paths!$F$61,0),"n.a."))</f>
        <v>0</v>
      </c>
      <c r="P611" s="16">
        <f>IF(NOT(Paths!$C$61=1),0,IF(Paths!$P$61="Complete",O611+L611,"n.a."))</f>
        <v>0</v>
      </c>
      <c r="Q611" s="16">
        <f>IF(NOT(Paths!$C$61=1),0,IF(Paths!$P$61="Complete",N611*(1+'Operating costs'!$B$54)^-C611,"n.a."))</f>
        <v>0</v>
      </c>
      <c r="R611" s="16">
        <f>IF(NOT(Paths!$C$61=1),0,IF(Paths!$P$61="Complete",IF(AND(C611=0,Paths!$E$61=0),I611-J611-K611+VLOOKUP(A611,'Fleet register'!$A$7:$S$106,15,FALSE)+VLOOKUP(A611,'Fleet register'!$A$7:$S$106,16,FALSE),0),"n.a."))</f>
        <v>0</v>
      </c>
      <c r="S611" s="1">
        <f>IF(NOT(Paths!$C$61=1),0,IF(Paths!$P$61="Complete",IF(C611=0,0,Paths!$S$61*Paths!$R$61),"n.a."))</f>
        <v>0</v>
      </c>
      <c r="T611" s="1">
        <f>IF(NOT(Paths!$C$61=1),0,IF(Paths!$P$61="Complete",IF(C611=0,0,VLOOKUP(A611,'Fleet register'!$A$7:$S$106,9,FALSE)*Paths!$R$61),"n.a."))</f>
        <v>0</v>
      </c>
    </row>
    <row r="612" spans="1:20" ht="24" customHeight="1">
      <c r="A612" s="1" t="str">
        <f>Paths!$A$62</f>
        <v>T014</v>
      </c>
      <c r="B612" s="1">
        <f>Paths!$B$62</f>
        <v>3</v>
      </c>
      <c r="C612" s="1">
        <v>0</v>
      </c>
      <c r="D612" s="1">
        <v>62</v>
      </c>
      <c r="E612" s="1">
        <f>IF(OR(Paths!$C$62=0,C612=0),0,MAX(0,MIN(C612*12,Paths!$E$62)-(C612-1)*12))</f>
        <v>0</v>
      </c>
      <c r="F612" s="1">
        <f>IF(OR(Paths!$C$62=0,C612=0),0,12-E612)</f>
        <v>0</v>
      </c>
      <c r="G612" s="16">
        <f>IF(NOT(Paths!$C$62=1),0,IF(Paths!$P$62="Complete",E612/12*(Paths!$J$62*(1+'Operating costs'!$B$51)^MAX(0,C612-1)+Paths!$K$62*(1+'Operating costs'!$B$53)^MAX(0,C612-1)),"n.a."))</f>
        <v>0</v>
      </c>
      <c r="H612" s="16">
        <f>IF(NOT(Paths!$C$62=1),0,IF(Paths!$P$62="Complete",F612/12*(Paths!$L$62*(1+IF(Paths!$D$62="EV",'Operating costs'!$B$52,'Operating costs'!$B$51))^MAX(0,C612-1)+Paths!$M$62*(1+'Operating costs'!$B$53)^MAX(0,C612-1)),"n.a."))</f>
        <v>0</v>
      </c>
      <c r="I612" s="16">
        <f>IF(NOT(Paths!$C$62=1),0,IF(Paths!$P$62="Complete",IF(IF(Paths!$E$62=0,C612=0,AND(C612&gt;0,Paths!$E$62&gt;(C612-1)*12,Paths!$E$62&lt;=C612*12)),Paths!$G$62,0),"n.a."))</f>
        <v>0</v>
      </c>
      <c r="J612" s="16">
        <f>IF(NOT(Paths!$C$62=1),0,IF(Paths!$P$62="Complete",IF(IF(Paths!$E$62=0,C612=0,AND(C612&gt;0,Paths!$E$62&gt;(C612-1)*12,Paths!$E$62&lt;=C612*12)),Paths!$H$62,0),"n.a."))</f>
        <v>0</v>
      </c>
      <c r="K612" s="16">
        <f>IF(NOT(Paths!$C$62=1),0,IF(Paths!$P$62="Complete",IF(IF(Paths!$O$62=0,C612=0,AND(C612&gt;0,Paths!$O$62&gt;(C612-1)*12,Paths!$O$62&lt;=C612*12)),Paths!$N$62,0),"n.a."))</f>
        <v>0</v>
      </c>
      <c r="L612" s="16">
        <f>IF(NOT(Paths!$C$62=1),0,IF(Paths!$P$62="Complete",IF(C612=10,Paths!$I$62,0),"n.a."))</f>
        <v>0</v>
      </c>
      <c r="M612" s="16">
        <f>IF(NOT(Paths!$C$62=1),0,IF(Paths!$P$62="Complete",IF(AND(Paths!$D$62="EV",Paths!$E$62&lt;120,Paths!$E$62+'Operating costs'!$B$65&gt;Paths!$E$62,Paths!$E$62+'Operating costs'!$B$65&lt;=120,IF(Paths!$E$62+'Operating costs'!$B$65=0,C612=0,AND(C612&gt;0,Paths!$E$62+'Operating costs'!$B$65&gt;(C612-1)*12,Paths!$E$62+'Operating costs'!$B$65&lt;=C612*12))),'Operating costs'!$B$64,0)+IF(AND('Operating costs'!$B$67&gt;0,'Operating costs'!$B$67&lt;=120,OR(Paths!$D$62="ICE",'Operating costs'!$B$67&lt;=Paths!$E$62),IF('Operating costs'!$B$67=0,C612=0,AND(C612&gt;0,'Operating costs'!$B$67&gt;(C612-1)*12,'Operating costs'!$B$67&lt;=C612*12))),'Operating costs'!$B$66,0),"n.a."))</f>
        <v>0</v>
      </c>
      <c r="N612" s="16">
        <f>IF(NOT(Paths!$C$62=1),0,IF(Paths!$P$62="Complete",SUM(G612:I612)-J612-K612-L612+M612+IF(C612=0,Paths!$F$62,0)+IF(IF(Paths!$E$62=0,C612=0,AND(C612&gt;0,Paths!$E$62&gt;(C612-1)*12,Paths!$E$62&lt;=C612*12)),VLOOKUP(A612,'Fleet register'!$A$7:$S$106,16,FALSE),0),"n.a."))</f>
        <v>0</v>
      </c>
      <c r="O612" s="16">
        <f>IF(NOT(Paths!$C$62=1),0,IF(Paths!$P$62="Complete",N612-IF(C612=0,Paths!$F$62,0),"n.a."))</f>
        <v>0</v>
      </c>
      <c r="P612" s="16">
        <f>IF(NOT(Paths!$C$62=1),0,IF(Paths!$P$62="Complete",O612+L612,"n.a."))</f>
        <v>0</v>
      </c>
      <c r="Q612" s="16">
        <f>IF(NOT(Paths!$C$62=1),0,IF(Paths!$P$62="Complete",N612*(1+'Operating costs'!$B$54)^-C612,"n.a."))</f>
        <v>0</v>
      </c>
      <c r="R612" s="16">
        <f>IF(NOT(Paths!$C$62=1),0,IF(Paths!$P$62="Complete",IF(AND(C612=0,Paths!$E$62=0),I612-J612-K612+VLOOKUP(A612,'Fleet register'!$A$7:$S$106,15,FALSE)+VLOOKUP(A612,'Fleet register'!$A$7:$S$106,16,FALSE),0),"n.a."))</f>
        <v>0</v>
      </c>
      <c r="S612" s="1">
        <f>IF(NOT(Paths!$C$62=1),0,IF(Paths!$P$62="Complete",IF(C612=0,0,Paths!$S$62*Paths!$R$62),"n.a."))</f>
        <v>0</v>
      </c>
      <c r="T612" s="1">
        <f>IF(NOT(Paths!$C$62=1),0,IF(Paths!$P$62="Complete",IF(C612=0,0,VLOOKUP(A612,'Fleet register'!$A$7:$S$106,9,FALSE)*Paths!$R$62),"n.a."))</f>
        <v>0</v>
      </c>
    </row>
    <row r="613" spans="1:20" ht="24" customHeight="1">
      <c r="A613" s="1" t="str">
        <f>Paths!$A$62</f>
        <v>T014</v>
      </c>
      <c r="B613" s="1">
        <f>Paths!$B$62</f>
        <v>3</v>
      </c>
      <c r="C613" s="1">
        <v>1</v>
      </c>
      <c r="D613" s="1">
        <v>62</v>
      </c>
      <c r="E613" s="1">
        <f>IF(OR(Paths!$C$62=0,C613=0),0,MAX(0,MIN(C613*12,Paths!$E$62)-(C613-1)*12))</f>
        <v>0</v>
      </c>
      <c r="F613" s="1">
        <f>IF(OR(Paths!$C$62=0,C613=0),0,12-E613)</f>
        <v>0</v>
      </c>
      <c r="G613" s="16">
        <f>IF(NOT(Paths!$C$62=1),0,IF(Paths!$P$62="Complete",E613/12*(Paths!$J$62*(1+'Operating costs'!$B$51)^MAX(0,C613-1)+Paths!$K$62*(1+'Operating costs'!$B$53)^MAX(0,C613-1)),"n.a."))</f>
        <v>0</v>
      </c>
      <c r="H613" s="16">
        <f>IF(NOT(Paths!$C$62=1),0,IF(Paths!$P$62="Complete",F613/12*(Paths!$L$62*(1+IF(Paths!$D$62="EV",'Operating costs'!$B$52,'Operating costs'!$B$51))^MAX(0,C613-1)+Paths!$M$62*(1+'Operating costs'!$B$53)^MAX(0,C613-1)),"n.a."))</f>
        <v>0</v>
      </c>
      <c r="I613" s="16">
        <f>IF(NOT(Paths!$C$62=1),0,IF(Paths!$P$62="Complete",IF(IF(Paths!$E$62=0,C613=0,AND(C613&gt;0,Paths!$E$62&gt;(C613-1)*12,Paths!$E$62&lt;=C613*12)),Paths!$G$62,0),"n.a."))</f>
        <v>0</v>
      </c>
      <c r="J613" s="16">
        <f>IF(NOT(Paths!$C$62=1),0,IF(Paths!$P$62="Complete",IF(IF(Paths!$E$62=0,C613=0,AND(C613&gt;0,Paths!$E$62&gt;(C613-1)*12,Paths!$E$62&lt;=C613*12)),Paths!$H$62,0),"n.a."))</f>
        <v>0</v>
      </c>
      <c r="K613" s="16">
        <f>IF(NOT(Paths!$C$62=1),0,IF(Paths!$P$62="Complete",IF(IF(Paths!$O$62=0,C613=0,AND(C613&gt;0,Paths!$O$62&gt;(C613-1)*12,Paths!$O$62&lt;=C613*12)),Paths!$N$62,0),"n.a."))</f>
        <v>0</v>
      </c>
      <c r="L613" s="16">
        <f>IF(NOT(Paths!$C$62=1),0,IF(Paths!$P$62="Complete",IF(C613=10,Paths!$I$62,0),"n.a."))</f>
        <v>0</v>
      </c>
      <c r="M613" s="16">
        <f>IF(NOT(Paths!$C$62=1),0,IF(Paths!$P$62="Complete",IF(AND(Paths!$D$62="EV",Paths!$E$62&lt;120,Paths!$E$62+'Operating costs'!$B$65&gt;Paths!$E$62,Paths!$E$62+'Operating costs'!$B$65&lt;=120,IF(Paths!$E$62+'Operating costs'!$B$65=0,C613=0,AND(C613&gt;0,Paths!$E$62+'Operating costs'!$B$65&gt;(C613-1)*12,Paths!$E$62+'Operating costs'!$B$65&lt;=C613*12))),'Operating costs'!$B$64,0)+IF(AND('Operating costs'!$B$67&gt;0,'Operating costs'!$B$67&lt;=120,OR(Paths!$D$62="ICE",'Operating costs'!$B$67&lt;=Paths!$E$62),IF('Operating costs'!$B$67=0,C613=0,AND(C613&gt;0,'Operating costs'!$B$67&gt;(C613-1)*12,'Operating costs'!$B$67&lt;=C613*12))),'Operating costs'!$B$66,0),"n.a."))</f>
        <v>0</v>
      </c>
      <c r="N613" s="16">
        <f>IF(NOT(Paths!$C$62=1),0,IF(Paths!$P$62="Complete",SUM(G613:I613)-J613-K613-L613+M613+IF(C613=0,Paths!$F$62,0)+IF(IF(Paths!$E$62=0,C613=0,AND(C613&gt;0,Paths!$E$62&gt;(C613-1)*12,Paths!$E$62&lt;=C613*12)),VLOOKUP(A613,'Fleet register'!$A$7:$S$106,16,FALSE),0),"n.a."))</f>
        <v>0</v>
      </c>
      <c r="O613" s="16">
        <f>IF(NOT(Paths!$C$62=1),0,IF(Paths!$P$62="Complete",N613-IF(C613=0,Paths!$F$62,0),"n.a."))</f>
        <v>0</v>
      </c>
      <c r="P613" s="16">
        <f>IF(NOT(Paths!$C$62=1),0,IF(Paths!$P$62="Complete",O613+L613,"n.a."))</f>
        <v>0</v>
      </c>
      <c r="Q613" s="16">
        <f>IF(NOT(Paths!$C$62=1),0,IF(Paths!$P$62="Complete",N613*(1+'Operating costs'!$B$54)^-C613,"n.a."))</f>
        <v>0</v>
      </c>
      <c r="R613" s="16">
        <f>IF(NOT(Paths!$C$62=1),0,IF(Paths!$P$62="Complete",IF(AND(C613=0,Paths!$E$62=0),I613-J613-K613+VLOOKUP(A613,'Fleet register'!$A$7:$S$106,15,FALSE)+VLOOKUP(A613,'Fleet register'!$A$7:$S$106,16,FALSE),0),"n.a."))</f>
        <v>0</v>
      </c>
      <c r="S613" s="1">
        <f>IF(NOT(Paths!$C$62=1),0,IF(Paths!$P$62="Complete",IF(C613=0,0,Paths!$S$62*Paths!$R$62),"n.a."))</f>
        <v>0</v>
      </c>
      <c r="T613" s="1">
        <f>IF(NOT(Paths!$C$62=1),0,IF(Paths!$P$62="Complete",IF(C613=0,0,VLOOKUP(A613,'Fleet register'!$A$7:$S$106,9,FALSE)*Paths!$R$62),"n.a."))</f>
        <v>0</v>
      </c>
    </row>
    <row r="614" spans="1:20" ht="24" customHeight="1">
      <c r="A614" s="1" t="str">
        <f>Paths!$A$62</f>
        <v>T014</v>
      </c>
      <c r="B614" s="1">
        <f>Paths!$B$62</f>
        <v>3</v>
      </c>
      <c r="C614" s="1">
        <v>2</v>
      </c>
      <c r="D614" s="1">
        <v>62</v>
      </c>
      <c r="E614" s="1">
        <f>IF(OR(Paths!$C$62=0,C614=0),0,MAX(0,MIN(C614*12,Paths!$E$62)-(C614-1)*12))</f>
        <v>0</v>
      </c>
      <c r="F614" s="1">
        <f>IF(OR(Paths!$C$62=0,C614=0),0,12-E614)</f>
        <v>0</v>
      </c>
      <c r="G614" s="16">
        <f>IF(NOT(Paths!$C$62=1),0,IF(Paths!$P$62="Complete",E614/12*(Paths!$J$62*(1+'Operating costs'!$B$51)^MAX(0,C614-1)+Paths!$K$62*(1+'Operating costs'!$B$53)^MAX(0,C614-1)),"n.a."))</f>
        <v>0</v>
      </c>
      <c r="H614" s="16">
        <f>IF(NOT(Paths!$C$62=1),0,IF(Paths!$P$62="Complete",F614/12*(Paths!$L$62*(1+IF(Paths!$D$62="EV",'Operating costs'!$B$52,'Operating costs'!$B$51))^MAX(0,C614-1)+Paths!$M$62*(1+'Operating costs'!$B$53)^MAX(0,C614-1)),"n.a."))</f>
        <v>0</v>
      </c>
      <c r="I614" s="16">
        <f>IF(NOT(Paths!$C$62=1),0,IF(Paths!$P$62="Complete",IF(IF(Paths!$E$62=0,C614=0,AND(C614&gt;0,Paths!$E$62&gt;(C614-1)*12,Paths!$E$62&lt;=C614*12)),Paths!$G$62,0),"n.a."))</f>
        <v>0</v>
      </c>
      <c r="J614" s="16">
        <f>IF(NOT(Paths!$C$62=1),0,IF(Paths!$P$62="Complete",IF(IF(Paths!$E$62=0,C614=0,AND(C614&gt;0,Paths!$E$62&gt;(C614-1)*12,Paths!$E$62&lt;=C614*12)),Paths!$H$62,0),"n.a."))</f>
        <v>0</v>
      </c>
      <c r="K614" s="16">
        <f>IF(NOT(Paths!$C$62=1),0,IF(Paths!$P$62="Complete",IF(IF(Paths!$O$62=0,C614=0,AND(C614&gt;0,Paths!$O$62&gt;(C614-1)*12,Paths!$O$62&lt;=C614*12)),Paths!$N$62,0),"n.a."))</f>
        <v>0</v>
      </c>
      <c r="L614" s="16">
        <f>IF(NOT(Paths!$C$62=1),0,IF(Paths!$P$62="Complete",IF(C614=10,Paths!$I$62,0),"n.a."))</f>
        <v>0</v>
      </c>
      <c r="M614" s="16">
        <f>IF(NOT(Paths!$C$62=1),0,IF(Paths!$P$62="Complete",IF(AND(Paths!$D$62="EV",Paths!$E$62&lt;120,Paths!$E$62+'Operating costs'!$B$65&gt;Paths!$E$62,Paths!$E$62+'Operating costs'!$B$65&lt;=120,IF(Paths!$E$62+'Operating costs'!$B$65=0,C614=0,AND(C614&gt;0,Paths!$E$62+'Operating costs'!$B$65&gt;(C614-1)*12,Paths!$E$62+'Operating costs'!$B$65&lt;=C614*12))),'Operating costs'!$B$64,0)+IF(AND('Operating costs'!$B$67&gt;0,'Operating costs'!$B$67&lt;=120,OR(Paths!$D$62="ICE",'Operating costs'!$B$67&lt;=Paths!$E$62),IF('Operating costs'!$B$67=0,C614=0,AND(C614&gt;0,'Operating costs'!$B$67&gt;(C614-1)*12,'Operating costs'!$B$67&lt;=C614*12))),'Operating costs'!$B$66,0),"n.a."))</f>
        <v>0</v>
      </c>
      <c r="N614" s="16">
        <f>IF(NOT(Paths!$C$62=1),0,IF(Paths!$P$62="Complete",SUM(G614:I614)-J614-K614-L614+M614+IF(C614=0,Paths!$F$62,0)+IF(IF(Paths!$E$62=0,C614=0,AND(C614&gt;0,Paths!$E$62&gt;(C614-1)*12,Paths!$E$62&lt;=C614*12)),VLOOKUP(A614,'Fleet register'!$A$7:$S$106,16,FALSE),0),"n.a."))</f>
        <v>0</v>
      </c>
      <c r="O614" s="16">
        <f>IF(NOT(Paths!$C$62=1),0,IF(Paths!$P$62="Complete",N614-IF(C614=0,Paths!$F$62,0),"n.a."))</f>
        <v>0</v>
      </c>
      <c r="P614" s="16">
        <f>IF(NOT(Paths!$C$62=1),0,IF(Paths!$P$62="Complete",O614+L614,"n.a."))</f>
        <v>0</v>
      </c>
      <c r="Q614" s="16">
        <f>IF(NOT(Paths!$C$62=1),0,IF(Paths!$P$62="Complete",N614*(1+'Operating costs'!$B$54)^-C614,"n.a."))</f>
        <v>0</v>
      </c>
      <c r="R614" s="16">
        <f>IF(NOT(Paths!$C$62=1),0,IF(Paths!$P$62="Complete",IF(AND(C614=0,Paths!$E$62=0),I614-J614-K614+VLOOKUP(A614,'Fleet register'!$A$7:$S$106,15,FALSE)+VLOOKUP(A614,'Fleet register'!$A$7:$S$106,16,FALSE),0),"n.a."))</f>
        <v>0</v>
      </c>
      <c r="S614" s="1">
        <f>IF(NOT(Paths!$C$62=1),0,IF(Paths!$P$62="Complete",IF(C614=0,0,Paths!$S$62*Paths!$R$62),"n.a."))</f>
        <v>0</v>
      </c>
      <c r="T614" s="1">
        <f>IF(NOT(Paths!$C$62=1),0,IF(Paths!$P$62="Complete",IF(C614=0,0,VLOOKUP(A614,'Fleet register'!$A$7:$S$106,9,FALSE)*Paths!$R$62),"n.a."))</f>
        <v>0</v>
      </c>
    </row>
    <row r="615" spans="1:20" ht="24" customHeight="1">
      <c r="A615" s="1" t="str">
        <f>Paths!$A$62</f>
        <v>T014</v>
      </c>
      <c r="B615" s="1">
        <f>Paths!$B$62</f>
        <v>3</v>
      </c>
      <c r="C615" s="1">
        <v>3</v>
      </c>
      <c r="D615" s="1">
        <v>62</v>
      </c>
      <c r="E615" s="1">
        <f>IF(OR(Paths!$C$62=0,C615=0),0,MAX(0,MIN(C615*12,Paths!$E$62)-(C615-1)*12))</f>
        <v>0</v>
      </c>
      <c r="F615" s="1">
        <f>IF(OR(Paths!$C$62=0,C615=0),0,12-E615)</f>
        <v>0</v>
      </c>
      <c r="G615" s="16">
        <f>IF(NOT(Paths!$C$62=1),0,IF(Paths!$P$62="Complete",E615/12*(Paths!$J$62*(1+'Operating costs'!$B$51)^MAX(0,C615-1)+Paths!$K$62*(1+'Operating costs'!$B$53)^MAX(0,C615-1)),"n.a."))</f>
        <v>0</v>
      </c>
      <c r="H615" s="16">
        <f>IF(NOT(Paths!$C$62=1),0,IF(Paths!$P$62="Complete",F615/12*(Paths!$L$62*(1+IF(Paths!$D$62="EV",'Operating costs'!$B$52,'Operating costs'!$B$51))^MAX(0,C615-1)+Paths!$M$62*(1+'Operating costs'!$B$53)^MAX(0,C615-1)),"n.a."))</f>
        <v>0</v>
      </c>
      <c r="I615" s="16">
        <f>IF(NOT(Paths!$C$62=1),0,IF(Paths!$P$62="Complete",IF(IF(Paths!$E$62=0,C615=0,AND(C615&gt;0,Paths!$E$62&gt;(C615-1)*12,Paths!$E$62&lt;=C615*12)),Paths!$G$62,0),"n.a."))</f>
        <v>0</v>
      </c>
      <c r="J615" s="16">
        <f>IF(NOT(Paths!$C$62=1),0,IF(Paths!$P$62="Complete",IF(IF(Paths!$E$62=0,C615=0,AND(C615&gt;0,Paths!$E$62&gt;(C615-1)*12,Paths!$E$62&lt;=C615*12)),Paths!$H$62,0),"n.a."))</f>
        <v>0</v>
      </c>
      <c r="K615" s="16">
        <f>IF(NOT(Paths!$C$62=1),0,IF(Paths!$P$62="Complete",IF(IF(Paths!$O$62=0,C615=0,AND(C615&gt;0,Paths!$O$62&gt;(C615-1)*12,Paths!$O$62&lt;=C615*12)),Paths!$N$62,0),"n.a."))</f>
        <v>0</v>
      </c>
      <c r="L615" s="16">
        <f>IF(NOT(Paths!$C$62=1),0,IF(Paths!$P$62="Complete",IF(C615=10,Paths!$I$62,0),"n.a."))</f>
        <v>0</v>
      </c>
      <c r="M615" s="16">
        <f>IF(NOT(Paths!$C$62=1),0,IF(Paths!$P$62="Complete",IF(AND(Paths!$D$62="EV",Paths!$E$62&lt;120,Paths!$E$62+'Operating costs'!$B$65&gt;Paths!$E$62,Paths!$E$62+'Operating costs'!$B$65&lt;=120,IF(Paths!$E$62+'Operating costs'!$B$65=0,C615=0,AND(C615&gt;0,Paths!$E$62+'Operating costs'!$B$65&gt;(C615-1)*12,Paths!$E$62+'Operating costs'!$B$65&lt;=C615*12))),'Operating costs'!$B$64,0)+IF(AND('Operating costs'!$B$67&gt;0,'Operating costs'!$B$67&lt;=120,OR(Paths!$D$62="ICE",'Operating costs'!$B$67&lt;=Paths!$E$62),IF('Operating costs'!$B$67=0,C615=0,AND(C615&gt;0,'Operating costs'!$B$67&gt;(C615-1)*12,'Operating costs'!$B$67&lt;=C615*12))),'Operating costs'!$B$66,0),"n.a."))</f>
        <v>0</v>
      </c>
      <c r="N615" s="16">
        <f>IF(NOT(Paths!$C$62=1),0,IF(Paths!$P$62="Complete",SUM(G615:I615)-J615-K615-L615+M615+IF(C615=0,Paths!$F$62,0)+IF(IF(Paths!$E$62=0,C615=0,AND(C615&gt;0,Paths!$E$62&gt;(C615-1)*12,Paths!$E$62&lt;=C615*12)),VLOOKUP(A615,'Fleet register'!$A$7:$S$106,16,FALSE),0),"n.a."))</f>
        <v>0</v>
      </c>
      <c r="O615" s="16">
        <f>IF(NOT(Paths!$C$62=1),0,IF(Paths!$P$62="Complete",N615-IF(C615=0,Paths!$F$62,0),"n.a."))</f>
        <v>0</v>
      </c>
      <c r="P615" s="16">
        <f>IF(NOT(Paths!$C$62=1),0,IF(Paths!$P$62="Complete",O615+L615,"n.a."))</f>
        <v>0</v>
      </c>
      <c r="Q615" s="16">
        <f>IF(NOT(Paths!$C$62=1),0,IF(Paths!$P$62="Complete",N615*(1+'Operating costs'!$B$54)^-C615,"n.a."))</f>
        <v>0</v>
      </c>
      <c r="R615" s="16">
        <f>IF(NOT(Paths!$C$62=1),0,IF(Paths!$P$62="Complete",IF(AND(C615=0,Paths!$E$62=0),I615-J615-K615+VLOOKUP(A615,'Fleet register'!$A$7:$S$106,15,FALSE)+VLOOKUP(A615,'Fleet register'!$A$7:$S$106,16,FALSE),0),"n.a."))</f>
        <v>0</v>
      </c>
      <c r="S615" s="1">
        <f>IF(NOT(Paths!$C$62=1),0,IF(Paths!$P$62="Complete",IF(C615=0,0,Paths!$S$62*Paths!$R$62),"n.a."))</f>
        <v>0</v>
      </c>
      <c r="T615" s="1">
        <f>IF(NOT(Paths!$C$62=1),0,IF(Paths!$P$62="Complete",IF(C615=0,0,VLOOKUP(A615,'Fleet register'!$A$7:$S$106,9,FALSE)*Paths!$R$62),"n.a."))</f>
        <v>0</v>
      </c>
    </row>
    <row r="616" spans="1:20" ht="24" customHeight="1">
      <c r="A616" s="1" t="str">
        <f>Paths!$A$62</f>
        <v>T014</v>
      </c>
      <c r="B616" s="1">
        <f>Paths!$B$62</f>
        <v>3</v>
      </c>
      <c r="C616" s="1">
        <v>4</v>
      </c>
      <c r="D616" s="1">
        <v>62</v>
      </c>
      <c r="E616" s="1">
        <f>IF(OR(Paths!$C$62=0,C616=0),0,MAX(0,MIN(C616*12,Paths!$E$62)-(C616-1)*12))</f>
        <v>0</v>
      </c>
      <c r="F616" s="1">
        <f>IF(OR(Paths!$C$62=0,C616=0),0,12-E616)</f>
        <v>0</v>
      </c>
      <c r="G616" s="16">
        <f>IF(NOT(Paths!$C$62=1),0,IF(Paths!$P$62="Complete",E616/12*(Paths!$J$62*(1+'Operating costs'!$B$51)^MAX(0,C616-1)+Paths!$K$62*(1+'Operating costs'!$B$53)^MAX(0,C616-1)),"n.a."))</f>
        <v>0</v>
      </c>
      <c r="H616" s="16">
        <f>IF(NOT(Paths!$C$62=1),0,IF(Paths!$P$62="Complete",F616/12*(Paths!$L$62*(1+IF(Paths!$D$62="EV",'Operating costs'!$B$52,'Operating costs'!$B$51))^MAX(0,C616-1)+Paths!$M$62*(1+'Operating costs'!$B$53)^MAX(0,C616-1)),"n.a."))</f>
        <v>0</v>
      </c>
      <c r="I616" s="16">
        <f>IF(NOT(Paths!$C$62=1),0,IF(Paths!$P$62="Complete",IF(IF(Paths!$E$62=0,C616=0,AND(C616&gt;0,Paths!$E$62&gt;(C616-1)*12,Paths!$E$62&lt;=C616*12)),Paths!$G$62,0),"n.a."))</f>
        <v>0</v>
      </c>
      <c r="J616" s="16">
        <f>IF(NOT(Paths!$C$62=1),0,IF(Paths!$P$62="Complete",IF(IF(Paths!$E$62=0,C616=0,AND(C616&gt;0,Paths!$E$62&gt;(C616-1)*12,Paths!$E$62&lt;=C616*12)),Paths!$H$62,0),"n.a."))</f>
        <v>0</v>
      </c>
      <c r="K616" s="16">
        <f>IF(NOT(Paths!$C$62=1),0,IF(Paths!$P$62="Complete",IF(IF(Paths!$O$62=0,C616=0,AND(C616&gt;0,Paths!$O$62&gt;(C616-1)*12,Paths!$O$62&lt;=C616*12)),Paths!$N$62,0),"n.a."))</f>
        <v>0</v>
      </c>
      <c r="L616" s="16">
        <f>IF(NOT(Paths!$C$62=1),0,IF(Paths!$P$62="Complete",IF(C616=10,Paths!$I$62,0),"n.a."))</f>
        <v>0</v>
      </c>
      <c r="M616" s="16">
        <f>IF(NOT(Paths!$C$62=1),0,IF(Paths!$P$62="Complete",IF(AND(Paths!$D$62="EV",Paths!$E$62&lt;120,Paths!$E$62+'Operating costs'!$B$65&gt;Paths!$E$62,Paths!$E$62+'Operating costs'!$B$65&lt;=120,IF(Paths!$E$62+'Operating costs'!$B$65=0,C616=0,AND(C616&gt;0,Paths!$E$62+'Operating costs'!$B$65&gt;(C616-1)*12,Paths!$E$62+'Operating costs'!$B$65&lt;=C616*12))),'Operating costs'!$B$64,0)+IF(AND('Operating costs'!$B$67&gt;0,'Operating costs'!$B$67&lt;=120,OR(Paths!$D$62="ICE",'Operating costs'!$B$67&lt;=Paths!$E$62),IF('Operating costs'!$B$67=0,C616=0,AND(C616&gt;0,'Operating costs'!$B$67&gt;(C616-1)*12,'Operating costs'!$B$67&lt;=C616*12))),'Operating costs'!$B$66,0),"n.a."))</f>
        <v>0</v>
      </c>
      <c r="N616" s="16">
        <f>IF(NOT(Paths!$C$62=1),0,IF(Paths!$P$62="Complete",SUM(G616:I616)-J616-K616-L616+M616+IF(C616=0,Paths!$F$62,0)+IF(IF(Paths!$E$62=0,C616=0,AND(C616&gt;0,Paths!$E$62&gt;(C616-1)*12,Paths!$E$62&lt;=C616*12)),VLOOKUP(A616,'Fleet register'!$A$7:$S$106,16,FALSE),0),"n.a."))</f>
        <v>0</v>
      </c>
      <c r="O616" s="16">
        <f>IF(NOT(Paths!$C$62=1),0,IF(Paths!$P$62="Complete",N616-IF(C616=0,Paths!$F$62,0),"n.a."))</f>
        <v>0</v>
      </c>
      <c r="P616" s="16">
        <f>IF(NOT(Paths!$C$62=1),0,IF(Paths!$P$62="Complete",O616+L616,"n.a."))</f>
        <v>0</v>
      </c>
      <c r="Q616" s="16">
        <f>IF(NOT(Paths!$C$62=1),0,IF(Paths!$P$62="Complete",N616*(1+'Operating costs'!$B$54)^-C616,"n.a."))</f>
        <v>0</v>
      </c>
      <c r="R616" s="16">
        <f>IF(NOT(Paths!$C$62=1),0,IF(Paths!$P$62="Complete",IF(AND(C616=0,Paths!$E$62=0),I616-J616-K616+VLOOKUP(A616,'Fleet register'!$A$7:$S$106,15,FALSE)+VLOOKUP(A616,'Fleet register'!$A$7:$S$106,16,FALSE),0),"n.a."))</f>
        <v>0</v>
      </c>
      <c r="S616" s="1">
        <f>IF(NOT(Paths!$C$62=1),0,IF(Paths!$P$62="Complete",IF(C616=0,0,Paths!$S$62*Paths!$R$62),"n.a."))</f>
        <v>0</v>
      </c>
      <c r="T616" s="1">
        <f>IF(NOT(Paths!$C$62=1),0,IF(Paths!$P$62="Complete",IF(C616=0,0,VLOOKUP(A616,'Fleet register'!$A$7:$S$106,9,FALSE)*Paths!$R$62),"n.a."))</f>
        <v>0</v>
      </c>
    </row>
    <row r="617" spans="1:20" ht="24" customHeight="1">
      <c r="A617" s="1" t="str">
        <f>Paths!$A$62</f>
        <v>T014</v>
      </c>
      <c r="B617" s="1">
        <f>Paths!$B$62</f>
        <v>3</v>
      </c>
      <c r="C617" s="1">
        <v>5</v>
      </c>
      <c r="D617" s="1">
        <v>62</v>
      </c>
      <c r="E617" s="1">
        <f>IF(OR(Paths!$C$62=0,C617=0),0,MAX(0,MIN(C617*12,Paths!$E$62)-(C617-1)*12))</f>
        <v>0</v>
      </c>
      <c r="F617" s="1">
        <f>IF(OR(Paths!$C$62=0,C617=0),0,12-E617)</f>
        <v>0</v>
      </c>
      <c r="G617" s="16">
        <f>IF(NOT(Paths!$C$62=1),0,IF(Paths!$P$62="Complete",E617/12*(Paths!$J$62*(1+'Operating costs'!$B$51)^MAX(0,C617-1)+Paths!$K$62*(1+'Operating costs'!$B$53)^MAX(0,C617-1)),"n.a."))</f>
        <v>0</v>
      </c>
      <c r="H617" s="16">
        <f>IF(NOT(Paths!$C$62=1),0,IF(Paths!$P$62="Complete",F617/12*(Paths!$L$62*(1+IF(Paths!$D$62="EV",'Operating costs'!$B$52,'Operating costs'!$B$51))^MAX(0,C617-1)+Paths!$M$62*(1+'Operating costs'!$B$53)^MAX(0,C617-1)),"n.a."))</f>
        <v>0</v>
      </c>
      <c r="I617" s="16">
        <f>IF(NOT(Paths!$C$62=1),0,IF(Paths!$P$62="Complete",IF(IF(Paths!$E$62=0,C617=0,AND(C617&gt;0,Paths!$E$62&gt;(C617-1)*12,Paths!$E$62&lt;=C617*12)),Paths!$G$62,0),"n.a."))</f>
        <v>0</v>
      </c>
      <c r="J617" s="16">
        <f>IF(NOT(Paths!$C$62=1),0,IF(Paths!$P$62="Complete",IF(IF(Paths!$E$62=0,C617=0,AND(C617&gt;0,Paths!$E$62&gt;(C617-1)*12,Paths!$E$62&lt;=C617*12)),Paths!$H$62,0),"n.a."))</f>
        <v>0</v>
      </c>
      <c r="K617" s="16">
        <f>IF(NOT(Paths!$C$62=1),0,IF(Paths!$P$62="Complete",IF(IF(Paths!$O$62=0,C617=0,AND(C617&gt;0,Paths!$O$62&gt;(C617-1)*12,Paths!$O$62&lt;=C617*12)),Paths!$N$62,0),"n.a."))</f>
        <v>0</v>
      </c>
      <c r="L617" s="16">
        <f>IF(NOT(Paths!$C$62=1),0,IF(Paths!$P$62="Complete",IF(C617=10,Paths!$I$62,0),"n.a."))</f>
        <v>0</v>
      </c>
      <c r="M617" s="16">
        <f>IF(NOT(Paths!$C$62=1),0,IF(Paths!$P$62="Complete",IF(AND(Paths!$D$62="EV",Paths!$E$62&lt;120,Paths!$E$62+'Operating costs'!$B$65&gt;Paths!$E$62,Paths!$E$62+'Operating costs'!$B$65&lt;=120,IF(Paths!$E$62+'Operating costs'!$B$65=0,C617=0,AND(C617&gt;0,Paths!$E$62+'Operating costs'!$B$65&gt;(C617-1)*12,Paths!$E$62+'Operating costs'!$B$65&lt;=C617*12))),'Operating costs'!$B$64,0)+IF(AND('Operating costs'!$B$67&gt;0,'Operating costs'!$B$67&lt;=120,OR(Paths!$D$62="ICE",'Operating costs'!$B$67&lt;=Paths!$E$62),IF('Operating costs'!$B$67=0,C617=0,AND(C617&gt;0,'Operating costs'!$B$67&gt;(C617-1)*12,'Operating costs'!$B$67&lt;=C617*12))),'Operating costs'!$B$66,0),"n.a."))</f>
        <v>0</v>
      </c>
      <c r="N617" s="16">
        <f>IF(NOT(Paths!$C$62=1),0,IF(Paths!$P$62="Complete",SUM(G617:I617)-J617-K617-L617+M617+IF(C617=0,Paths!$F$62,0)+IF(IF(Paths!$E$62=0,C617=0,AND(C617&gt;0,Paths!$E$62&gt;(C617-1)*12,Paths!$E$62&lt;=C617*12)),VLOOKUP(A617,'Fleet register'!$A$7:$S$106,16,FALSE),0),"n.a."))</f>
        <v>0</v>
      </c>
      <c r="O617" s="16">
        <f>IF(NOT(Paths!$C$62=1),0,IF(Paths!$P$62="Complete",N617-IF(C617=0,Paths!$F$62,0),"n.a."))</f>
        <v>0</v>
      </c>
      <c r="P617" s="16">
        <f>IF(NOT(Paths!$C$62=1),0,IF(Paths!$P$62="Complete",O617+L617,"n.a."))</f>
        <v>0</v>
      </c>
      <c r="Q617" s="16">
        <f>IF(NOT(Paths!$C$62=1),0,IF(Paths!$P$62="Complete",N617*(1+'Operating costs'!$B$54)^-C617,"n.a."))</f>
        <v>0</v>
      </c>
      <c r="R617" s="16">
        <f>IF(NOT(Paths!$C$62=1),0,IF(Paths!$P$62="Complete",IF(AND(C617=0,Paths!$E$62=0),I617-J617-K617+VLOOKUP(A617,'Fleet register'!$A$7:$S$106,15,FALSE)+VLOOKUP(A617,'Fleet register'!$A$7:$S$106,16,FALSE),0),"n.a."))</f>
        <v>0</v>
      </c>
      <c r="S617" s="1">
        <f>IF(NOT(Paths!$C$62=1),0,IF(Paths!$P$62="Complete",IF(C617=0,0,Paths!$S$62*Paths!$R$62),"n.a."))</f>
        <v>0</v>
      </c>
      <c r="T617" s="1">
        <f>IF(NOT(Paths!$C$62=1),0,IF(Paths!$P$62="Complete",IF(C617=0,0,VLOOKUP(A617,'Fleet register'!$A$7:$S$106,9,FALSE)*Paths!$R$62),"n.a."))</f>
        <v>0</v>
      </c>
    </row>
    <row r="618" spans="1:20" ht="24" customHeight="1">
      <c r="A618" s="1" t="str">
        <f>Paths!$A$62</f>
        <v>T014</v>
      </c>
      <c r="B618" s="1">
        <f>Paths!$B$62</f>
        <v>3</v>
      </c>
      <c r="C618" s="1">
        <v>6</v>
      </c>
      <c r="D618" s="1">
        <v>62</v>
      </c>
      <c r="E618" s="1">
        <f>IF(OR(Paths!$C$62=0,C618=0),0,MAX(0,MIN(C618*12,Paths!$E$62)-(C618-1)*12))</f>
        <v>0</v>
      </c>
      <c r="F618" s="1">
        <f>IF(OR(Paths!$C$62=0,C618=0),0,12-E618)</f>
        <v>0</v>
      </c>
      <c r="G618" s="16">
        <f>IF(NOT(Paths!$C$62=1),0,IF(Paths!$P$62="Complete",E618/12*(Paths!$J$62*(1+'Operating costs'!$B$51)^MAX(0,C618-1)+Paths!$K$62*(1+'Operating costs'!$B$53)^MAX(0,C618-1)),"n.a."))</f>
        <v>0</v>
      </c>
      <c r="H618" s="16">
        <f>IF(NOT(Paths!$C$62=1),0,IF(Paths!$P$62="Complete",F618/12*(Paths!$L$62*(1+IF(Paths!$D$62="EV",'Operating costs'!$B$52,'Operating costs'!$B$51))^MAX(0,C618-1)+Paths!$M$62*(1+'Operating costs'!$B$53)^MAX(0,C618-1)),"n.a."))</f>
        <v>0</v>
      </c>
      <c r="I618" s="16">
        <f>IF(NOT(Paths!$C$62=1),0,IF(Paths!$P$62="Complete",IF(IF(Paths!$E$62=0,C618=0,AND(C618&gt;0,Paths!$E$62&gt;(C618-1)*12,Paths!$E$62&lt;=C618*12)),Paths!$G$62,0),"n.a."))</f>
        <v>0</v>
      </c>
      <c r="J618" s="16">
        <f>IF(NOT(Paths!$C$62=1),0,IF(Paths!$P$62="Complete",IF(IF(Paths!$E$62=0,C618=0,AND(C618&gt;0,Paths!$E$62&gt;(C618-1)*12,Paths!$E$62&lt;=C618*12)),Paths!$H$62,0),"n.a."))</f>
        <v>0</v>
      </c>
      <c r="K618" s="16">
        <f>IF(NOT(Paths!$C$62=1),0,IF(Paths!$P$62="Complete",IF(IF(Paths!$O$62=0,C618=0,AND(C618&gt;0,Paths!$O$62&gt;(C618-1)*12,Paths!$O$62&lt;=C618*12)),Paths!$N$62,0),"n.a."))</f>
        <v>0</v>
      </c>
      <c r="L618" s="16">
        <f>IF(NOT(Paths!$C$62=1),0,IF(Paths!$P$62="Complete",IF(C618=10,Paths!$I$62,0),"n.a."))</f>
        <v>0</v>
      </c>
      <c r="M618" s="16">
        <f>IF(NOT(Paths!$C$62=1),0,IF(Paths!$P$62="Complete",IF(AND(Paths!$D$62="EV",Paths!$E$62&lt;120,Paths!$E$62+'Operating costs'!$B$65&gt;Paths!$E$62,Paths!$E$62+'Operating costs'!$B$65&lt;=120,IF(Paths!$E$62+'Operating costs'!$B$65=0,C618=0,AND(C618&gt;0,Paths!$E$62+'Operating costs'!$B$65&gt;(C618-1)*12,Paths!$E$62+'Operating costs'!$B$65&lt;=C618*12))),'Operating costs'!$B$64,0)+IF(AND('Operating costs'!$B$67&gt;0,'Operating costs'!$B$67&lt;=120,OR(Paths!$D$62="ICE",'Operating costs'!$B$67&lt;=Paths!$E$62),IF('Operating costs'!$B$67=0,C618=0,AND(C618&gt;0,'Operating costs'!$B$67&gt;(C618-1)*12,'Operating costs'!$B$67&lt;=C618*12))),'Operating costs'!$B$66,0),"n.a."))</f>
        <v>0</v>
      </c>
      <c r="N618" s="16">
        <f>IF(NOT(Paths!$C$62=1),0,IF(Paths!$P$62="Complete",SUM(G618:I618)-J618-K618-L618+M618+IF(C618=0,Paths!$F$62,0)+IF(IF(Paths!$E$62=0,C618=0,AND(C618&gt;0,Paths!$E$62&gt;(C618-1)*12,Paths!$E$62&lt;=C618*12)),VLOOKUP(A618,'Fleet register'!$A$7:$S$106,16,FALSE),0),"n.a."))</f>
        <v>0</v>
      </c>
      <c r="O618" s="16">
        <f>IF(NOT(Paths!$C$62=1),0,IF(Paths!$P$62="Complete",N618-IF(C618=0,Paths!$F$62,0),"n.a."))</f>
        <v>0</v>
      </c>
      <c r="P618" s="16">
        <f>IF(NOT(Paths!$C$62=1),0,IF(Paths!$P$62="Complete",O618+L618,"n.a."))</f>
        <v>0</v>
      </c>
      <c r="Q618" s="16">
        <f>IF(NOT(Paths!$C$62=1),0,IF(Paths!$P$62="Complete",N618*(1+'Operating costs'!$B$54)^-C618,"n.a."))</f>
        <v>0</v>
      </c>
      <c r="R618" s="16">
        <f>IF(NOT(Paths!$C$62=1),0,IF(Paths!$P$62="Complete",IF(AND(C618=0,Paths!$E$62=0),I618-J618-K618+VLOOKUP(A618,'Fleet register'!$A$7:$S$106,15,FALSE)+VLOOKUP(A618,'Fleet register'!$A$7:$S$106,16,FALSE),0),"n.a."))</f>
        <v>0</v>
      </c>
      <c r="S618" s="1">
        <f>IF(NOT(Paths!$C$62=1),0,IF(Paths!$P$62="Complete",IF(C618=0,0,Paths!$S$62*Paths!$R$62),"n.a."))</f>
        <v>0</v>
      </c>
      <c r="T618" s="1">
        <f>IF(NOT(Paths!$C$62=1),0,IF(Paths!$P$62="Complete",IF(C618=0,0,VLOOKUP(A618,'Fleet register'!$A$7:$S$106,9,FALSE)*Paths!$R$62),"n.a."))</f>
        <v>0</v>
      </c>
    </row>
    <row r="619" spans="1:20" ht="24" customHeight="1">
      <c r="A619" s="1" t="str">
        <f>Paths!$A$62</f>
        <v>T014</v>
      </c>
      <c r="B619" s="1">
        <f>Paths!$B$62</f>
        <v>3</v>
      </c>
      <c r="C619" s="1">
        <v>7</v>
      </c>
      <c r="D619" s="1">
        <v>62</v>
      </c>
      <c r="E619" s="1">
        <f>IF(OR(Paths!$C$62=0,C619=0),0,MAX(0,MIN(C619*12,Paths!$E$62)-(C619-1)*12))</f>
        <v>0</v>
      </c>
      <c r="F619" s="1">
        <f>IF(OR(Paths!$C$62=0,C619=0),0,12-E619)</f>
        <v>0</v>
      </c>
      <c r="G619" s="16">
        <f>IF(NOT(Paths!$C$62=1),0,IF(Paths!$P$62="Complete",E619/12*(Paths!$J$62*(1+'Operating costs'!$B$51)^MAX(0,C619-1)+Paths!$K$62*(1+'Operating costs'!$B$53)^MAX(0,C619-1)),"n.a."))</f>
        <v>0</v>
      </c>
      <c r="H619" s="16">
        <f>IF(NOT(Paths!$C$62=1),0,IF(Paths!$P$62="Complete",F619/12*(Paths!$L$62*(1+IF(Paths!$D$62="EV",'Operating costs'!$B$52,'Operating costs'!$B$51))^MAX(0,C619-1)+Paths!$M$62*(1+'Operating costs'!$B$53)^MAX(0,C619-1)),"n.a."))</f>
        <v>0</v>
      </c>
      <c r="I619" s="16">
        <f>IF(NOT(Paths!$C$62=1),0,IF(Paths!$P$62="Complete",IF(IF(Paths!$E$62=0,C619=0,AND(C619&gt;0,Paths!$E$62&gt;(C619-1)*12,Paths!$E$62&lt;=C619*12)),Paths!$G$62,0),"n.a."))</f>
        <v>0</v>
      </c>
      <c r="J619" s="16">
        <f>IF(NOT(Paths!$C$62=1),0,IF(Paths!$P$62="Complete",IF(IF(Paths!$E$62=0,C619=0,AND(C619&gt;0,Paths!$E$62&gt;(C619-1)*12,Paths!$E$62&lt;=C619*12)),Paths!$H$62,0),"n.a."))</f>
        <v>0</v>
      </c>
      <c r="K619" s="16">
        <f>IF(NOT(Paths!$C$62=1),0,IF(Paths!$P$62="Complete",IF(IF(Paths!$O$62=0,C619=0,AND(C619&gt;0,Paths!$O$62&gt;(C619-1)*12,Paths!$O$62&lt;=C619*12)),Paths!$N$62,0),"n.a."))</f>
        <v>0</v>
      </c>
      <c r="L619" s="16">
        <f>IF(NOT(Paths!$C$62=1),0,IF(Paths!$P$62="Complete",IF(C619=10,Paths!$I$62,0),"n.a."))</f>
        <v>0</v>
      </c>
      <c r="M619" s="16">
        <f>IF(NOT(Paths!$C$62=1),0,IF(Paths!$P$62="Complete",IF(AND(Paths!$D$62="EV",Paths!$E$62&lt;120,Paths!$E$62+'Operating costs'!$B$65&gt;Paths!$E$62,Paths!$E$62+'Operating costs'!$B$65&lt;=120,IF(Paths!$E$62+'Operating costs'!$B$65=0,C619=0,AND(C619&gt;0,Paths!$E$62+'Operating costs'!$B$65&gt;(C619-1)*12,Paths!$E$62+'Operating costs'!$B$65&lt;=C619*12))),'Operating costs'!$B$64,0)+IF(AND('Operating costs'!$B$67&gt;0,'Operating costs'!$B$67&lt;=120,OR(Paths!$D$62="ICE",'Operating costs'!$B$67&lt;=Paths!$E$62),IF('Operating costs'!$B$67=0,C619=0,AND(C619&gt;0,'Operating costs'!$B$67&gt;(C619-1)*12,'Operating costs'!$B$67&lt;=C619*12))),'Operating costs'!$B$66,0),"n.a."))</f>
        <v>0</v>
      </c>
      <c r="N619" s="16">
        <f>IF(NOT(Paths!$C$62=1),0,IF(Paths!$P$62="Complete",SUM(G619:I619)-J619-K619-L619+M619+IF(C619=0,Paths!$F$62,0)+IF(IF(Paths!$E$62=0,C619=0,AND(C619&gt;0,Paths!$E$62&gt;(C619-1)*12,Paths!$E$62&lt;=C619*12)),VLOOKUP(A619,'Fleet register'!$A$7:$S$106,16,FALSE),0),"n.a."))</f>
        <v>0</v>
      </c>
      <c r="O619" s="16">
        <f>IF(NOT(Paths!$C$62=1),0,IF(Paths!$P$62="Complete",N619-IF(C619=0,Paths!$F$62,0),"n.a."))</f>
        <v>0</v>
      </c>
      <c r="P619" s="16">
        <f>IF(NOT(Paths!$C$62=1),0,IF(Paths!$P$62="Complete",O619+L619,"n.a."))</f>
        <v>0</v>
      </c>
      <c r="Q619" s="16">
        <f>IF(NOT(Paths!$C$62=1),0,IF(Paths!$P$62="Complete",N619*(1+'Operating costs'!$B$54)^-C619,"n.a."))</f>
        <v>0</v>
      </c>
      <c r="R619" s="16">
        <f>IF(NOT(Paths!$C$62=1),0,IF(Paths!$P$62="Complete",IF(AND(C619=0,Paths!$E$62=0),I619-J619-K619+VLOOKUP(A619,'Fleet register'!$A$7:$S$106,15,FALSE)+VLOOKUP(A619,'Fleet register'!$A$7:$S$106,16,FALSE),0),"n.a."))</f>
        <v>0</v>
      </c>
      <c r="S619" s="1">
        <f>IF(NOT(Paths!$C$62=1),0,IF(Paths!$P$62="Complete",IF(C619=0,0,Paths!$S$62*Paths!$R$62),"n.a."))</f>
        <v>0</v>
      </c>
      <c r="T619" s="1">
        <f>IF(NOT(Paths!$C$62=1),0,IF(Paths!$P$62="Complete",IF(C619=0,0,VLOOKUP(A619,'Fleet register'!$A$7:$S$106,9,FALSE)*Paths!$R$62),"n.a."))</f>
        <v>0</v>
      </c>
    </row>
    <row r="620" spans="1:20" ht="24" customHeight="1">
      <c r="A620" s="1" t="str">
        <f>Paths!$A$62</f>
        <v>T014</v>
      </c>
      <c r="B620" s="1">
        <f>Paths!$B$62</f>
        <v>3</v>
      </c>
      <c r="C620" s="1">
        <v>8</v>
      </c>
      <c r="D620" s="1">
        <v>62</v>
      </c>
      <c r="E620" s="1">
        <f>IF(OR(Paths!$C$62=0,C620=0),0,MAX(0,MIN(C620*12,Paths!$E$62)-(C620-1)*12))</f>
        <v>0</v>
      </c>
      <c r="F620" s="1">
        <f>IF(OR(Paths!$C$62=0,C620=0),0,12-E620)</f>
        <v>0</v>
      </c>
      <c r="G620" s="16">
        <f>IF(NOT(Paths!$C$62=1),0,IF(Paths!$P$62="Complete",E620/12*(Paths!$J$62*(1+'Operating costs'!$B$51)^MAX(0,C620-1)+Paths!$K$62*(1+'Operating costs'!$B$53)^MAX(0,C620-1)),"n.a."))</f>
        <v>0</v>
      </c>
      <c r="H620" s="16">
        <f>IF(NOT(Paths!$C$62=1),0,IF(Paths!$P$62="Complete",F620/12*(Paths!$L$62*(1+IF(Paths!$D$62="EV",'Operating costs'!$B$52,'Operating costs'!$B$51))^MAX(0,C620-1)+Paths!$M$62*(1+'Operating costs'!$B$53)^MAX(0,C620-1)),"n.a."))</f>
        <v>0</v>
      </c>
      <c r="I620" s="16">
        <f>IF(NOT(Paths!$C$62=1),0,IF(Paths!$P$62="Complete",IF(IF(Paths!$E$62=0,C620=0,AND(C620&gt;0,Paths!$E$62&gt;(C620-1)*12,Paths!$E$62&lt;=C620*12)),Paths!$G$62,0),"n.a."))</f>
        <v>0</v>
      </c>
      <c r="J620" s="16">
        <f>IF(NOT(Paths!$C$62=1),0,IF(Paths!$P$62="Complete",IF(IF(Paths!$E$62=0,C620=0,AND(C620&gt;0,Paths!$E$62&gt;(C620-1)*12,Paths!$E$62&lt;=C620*12)),Paths!$H$62,0),"n.a."))</f>
        <v>0</v>
      </c>
      <c r="K620" s="16">
        <f>IF(NOT(Paths!$C$62=1),0,IF(Paths!$P$62="Complete",IF(IF(Paths!$O$62=0,C620=0,AND(C620&gt;0,Paths!$O$62&gt;(C620-1)*12,Paths!$O$62&lt;=C620*12)),Paths!$N$62,0),"n.a."))</f>
        <v>0</v>
      </c>
      <c r="L620" s="16">
        <f>IF(NOT(Paths!$C$62=1),0,IF(Paths!$P$62="Complete",IF(C620=10,Paths!$I$62,0),"n.a."))</f>
        <v>0</v>
      </c>
      <c r="M620" s="16">
        <f>IF(NOT(Paths!$C$62=1),0,IF(Paths!$P$62="Complete",IF(AND(Paths!$D$62="EV",Paths!$E$62&lt;120,Paths!$E$62+'Operating costs'!$B$65&gt;Paths!$E$62,Paths!$E$62+'Operating costs'!$B$65&lt;=120,IF(Paths!$E$62+'Operating costs'!$B$65=0,C620=0,AND(C620&gt;0,Paths!$E$62+'Operating costs'!$B$65&gt;(C620-1)*12,Paths!$E$62+'Operating costs'!$B$65&lt;=C620*12))),'Operating costs'!$B$64,0)+IF(AND('Operating costs'!$B$67&gt;0,'Operating costs'!$B$67&lt;=120,OR(Paths!$D$62="ICE",'Operating costs'!$B$67&lt;=Paths!$E$62),IF('Operating costs'!$B$67=0,C620=0,AND(C620&gt;0,'Operating costs'!$B$67&gt;(C620-1)*12,'Operating costs'!$B$67&lt;=C620*12))),'Operating costs'!$B$66,0),"n.a."))</f>
        <v>0</v>
      </c>
      <c r="N620" s="16">
        <f>IF(NOT(Paths!$C$62=1),0,IF(Paths!$P$62="Complete",SUM(G620:I620)-J620-K620-L620+M620+IF(C620=0,Paths!$F$62,0)+IF(IF(Paths!$E$62=0,C620=0,AND(C620&gt;0,Paths!$E$62&gt;(C620-1)*12,Paths!$E$62&lt;=C620*12)),VLOOKUP(A620,'Fleet register'!$A$7:$S$106,16,FALSE),0),"n.a."))</f>
        <v>0</v>
      </c>
      <c r="O620" s="16">
        <f>IF(NOT(Paths!$C$62=1),0,IF(Paths!$P$62="Complete",N620-IF(C620=0,Paths!$F$62,0),"n.a."))</f>
        <v>0</v>
      </c>
      <c r="P620" s="16">
        <f>IF(NOT(Paths!$C$62=1),0,IF(Paths!$P$62="Complete",O620+L620,"n.a."))</f>
        <v>0</v>
      </c>
      <c r="Q620" s="16">
        <f>IF(NOT(Paths!$C$62=1),0,IF(Paths!$P$62="Complete",N620*(1+'Operating costs'!$B$54)^-C620,"n.a."))</f>
        <v>0</v>
      </c>
      <c r="R620" s="16">
        <f>IF(NOT(Paths!$C$62=1),0,IF(Paths!$P$62="Complete",IF(AND(C620=0,Paths!$E$62=0),I620-J620-K620+VLOOKUP(A620,'Fleet register'!$A$7:$S$106,15,FALSE)+VLOOKUP(A620,'Fleet register'!$A$7:$S$106,16,FALSE),0),"n.a."))</f>
        <v>0</v>
      </c>
      <c r="S620" s="1">
        <f>IF(NOT(Paths!$C$62=1),0,IF(Paths!$P$62="Complete",IF(C620=0,0,Paths!$S$62*Paths!$R$62),"n.a."))</f>
        <v>0</v>
      </c>
      <c r="T620" s="1">
        <f>IF(NOT(Paths!$C$62=1),0,IF(Paths!$P$62="Complete",IF(C620=0,0,VLOOKUP(A620,'Fleet register'!$A$7:$S$106,9,FALSE)*Paths!$R$62),"n.a."))</f>
        <v>0</v>
      </c>
    </row>
    <row r="621" spans="1:20" ht="24" customHeight="1">
      <c r="A621" s="1" t="str">
        <f>Paths!$A$62</f>
        <v>T014</v>
      </c>
      <c r="B621" s="1">
        <f>Paths!$B$62</f>
        <v>3</v>
      </c>
      <c r="C621" s="1">
        <v>9</v>
      </c>
      <c r="D621" s="1">
        <v>62</v>
      </c>
      <c r="E621" s="1">
        <f>IF(OR(Paths!$C$62=0,C621=0),0,MAX(0,MIN(C621*12,Paths!$E$62)-(C621-1)*12))</f>
        <v>0</v>
      </c>
      <c r="F621" s="1">
        <f>IF(OR(Paths!$C$62=0,C621=0),0,12-E621)</f>
        <v>0</v>
      </c>
      <c r="G621" s="16">
        <f>IF(NOT(Paths!$C$62=1),0,IF(Paths!$P$62="Complete",E621/12*(Paths!$J$62*(1+'Operating costs'!$B$51)^MAX(0,C621-1)+Paths!$K$62*(1+'Operating costs'!$B$53)^MAX(0,C621-1)),"n.a."))</f>
        <v>0</v>
      </c>
      <c r="H621" s="16">
        <f>IF(NOT(Paths!$C$62=1),0,IF(Paths!$P$62="Complete",F621/12*(Paths!$L$62*(1+IF(Paths!$D$62="EV",'Operating costs'!$B$52,'Operating costs'!$B$51))^MAX(0,C621-1)+Paths!$M$62*(1+'Operating costs'!$B$53)^MAX(0,C621-1)),"n.a."))</f>
        <v>0</v>
      </c>
      <c r="I621" s="16">
        <f>IF(NOT(Paths!$C$62=1),0,IF(Paths!$P$62="Complete",IF(IF(Paths!$E$62=0,C621=0,AND(C621&gt;0,Paths!$E$62&gt;(C621-1)*12,Paths!$E$62&lt;=C621*12)),Paths!$G$62,0),"n.a."))</f>
        <v>0</v>
      </c>
      <c r="J621" s="16">
        <f>IF(NOT(Paths!$C$62=1),0,IF(Paths!$P$62="Complete",IF(IF(Paths!$E$62=0,C621=0,AND(C621&gt;0,Paths!$E$62&gt;(C621-1)*12,Paths!$E$62&lt;=C621*12)),Paths!$H$62,0),"n.a."))</f>
        <v>0</v>
      </c>
      <c r="K621" s="16">
        <f>IF(NOT(Paths!$C$62=1),0,IF(Paths!$P$62="Complete",IF(IF(Paths!$O$62=0,C621=0,AND(C621&gt;0,Paths!$O$62&gt;(C621-1)*12,Paths!$O$62&lt;=C621*12)),Paths!$N$62,0),"n.a."))</f>
        <v>0</v>
      </c>
      <c r="L621" s="16">
        <f>IF(NOT(Paths!$C$62=1),0,IF(Paths!$P$62="Complete",IF(C621=10,Paths!$I$62,0),"n.a."))</f>
        <v>0</v>
      </c>
      <c r="M621" s="16">
        <f>IF(NOT(Paths!$C$62=1),0,IF(Paths!$P$62="Complete",IF(AND(Paths!$D$62="EV",Paths!$E$62&lt;120,Paths!$E$62+'Operating costs'!$B$65&gt;Paths!$E$62,Paths!$E$62+'Operating costs'!$B$65&lt;=120,IF(Paths!$E$62+'Operating costs'!$B$65=0,C621=0,AND(C621&gt;0,Paths!$E$62+'Operating costs'!$B$65&gt;(C621-1)*12,Paths!$E$62+'Operating costs'!$B$65&lt;=C621*12))),'Operating costs'!$B$64,0)+IF(AND('Operating costs'!$B$67&gt;0,'Operating costs'!$B$67&lt;=120,OR(Paths!$D$62="ICE",'Operating costs'!$B$67&lt;=Paths!$E$62),IF('Operating costs'!$B$67=0,C621=0,AND(C621&gt;0,'Operating costs'!$B$67&gt;(C621-1)*12,'Operating costs'!$B$67&lt;=C621*12))),'Operating costs'!$B$66,0),"n.a."))</f>
        <v>0</v>
      </c>
      <c r="N621" s="16">
        <f>IF(NOT(Paths!$C$62=1),0,IF(Paths!$P$62="Complete",SUM(G621:I621)-J621-K621-L621+M621+IF(C621=0,Paths!$F$62,0)+IF(IF(Paths!$E$62=0,C621=0,AND(C621&gt;0,Paths!$E$62&gt;(C621-1)*12,Paths!$E$62&lt;=C621*12)),VLOOKUP(A621,'Fleet register'!$A$7:$S$106,16,FALSE),0),"n.a."))</f>
        <v>0</v>
      </c>
      <c r="O621" s="16">
        <f>IF(NOT(Paths!$C$62=1),0,IF(Paths!$P$62="Complete",N621-IF(C621=0,Paths!$F$62,0),"n.a."))</f>
        <v>0</v>
      </c>
      <c r="P621" s="16">
        <f>IF(NOT(Paths!$C$62=1),0,IF(Paths!$P$62="Complete",O621+L621,"n.a."))</f>
        <v>0</v>
      </c>
      <c r="Q621" s="16">
        <f>IF(NOT(Paths!$C$62=1),0,IF(Paths!$P$62="Complete",N621*(1+'Operating costs'!$B$54)^-C621,"n.a."))</f>
        <v>0</v>
      </c>
      <c r="R621" s="16">
        <f>IF(NOT(Paths!$C$62=1),0,IF(Paths!$P$62="Complete",IF(AND(C621=0,Paths!$E$62=0),I621-J621-K621+VLOOKUP(A621,'Fleet register'!$A$7:$S$106,15,FALSE)+VLOOKUP(A621,'Fleet register'!$A$7:$S$106,16,FALSE),0),"n.a."))</f>
        <v>0</v>
      </c>
      <c r="S621" s="1">
        <f>IF(NOT(Paths!$C$62=1),0,IF(Paths!$P$62="Complete",IF(C621=0,0,Paths!$S$62*Paths!$R$62),"n.a."))</f>
        <v>0</v>
      </c>
      <c r="T621" s="1">
        <f>IF(NOT(Paths!$C$62=1),0,IF(Paths!$P$62="Complete",IF(C621=0,0,VLOOKUP(A621,'Fleet register'!$A$7:$S$106,9,FALSE)*Paths!$R$62),"n.a."))</f>
        <v>0</v>
      </c>
    </row>
    <row r="622" spans="1:20" ht="24" customHeight="1">
      <c r="A622" s="1" t="str">
        <f>Paths!$A$62</f>
        <v>T014</v>
      </c>
      <c r="B622" s="1">
        <f>Paths!$B$62</f>
        <v>3</v>
      </c>
      <c r="C622" s="1">
        <v>10</v>
      </c>
      <c r="D622" s="1">
        <v>62</v>
      </c>
      <c r="E622" s="1">
        <f>IF(OR(Paths!$C$62=0,C622=0),0,MAX(0,MIN(C622*12,Paths!$E$62)-(C622-1)*12))</f>
        <v>0</v>
      </c>
      <c r="F622" s="1">
        <f>IF(OR(Paths!$C$62=0,C622=0),0,12-E622)</f>
        <v>0</v>
      </c>
      <c r="G622" s="16">
        <f>IF(NOT(Paths!$C$62=1),0,IF(Paths!$P$62="Complete",E622/12*(Paths!$J$62*(1+'Operating costs'!$B$51)^MAX(0,C622-1)+Paths!$K$62*(1+'Operating costs'!$B$53)^MAX(0,C622-1)),"n.a."))</f>
        <v>0</v>
      </c>
      <c r="H622" s="16">
        <f>IF(NOT(Paths!$C$62=1),0,IF(Paths!$P$62="Complete",F622/12*(Paths!$L$62*(1+IF(Paths!$D$62="EV",'Operating costs'!$B$52,'Operating costs'!$B$51))^MAX(0,C622-1)+Paths!$M$62*(1+'Operating costs'!$B$53)^MAX(0,C622-1)),"n.a."))</f>
        <v>0</v>
      </c>
      <c r="I622" s="16">
        <f>IF(NOT(Paths!$C$62=1),0,IF(Paths!$P$62="Complete",IF(IF(Paths!$E$62=0,C622=0,AND(C622&gt;0,Paths!$E$62&gt;(C622-1)*12,Paths!$E$62&lt;=C622*12)),Paths!$G$62,0),"n.a."))</f>
        <v>0</v>
      </c>
      <c r="J622" s="16">
        <f>IF(NOT(Paths!$C$62=1),0,IF(Paths!$P$62="Complete",IF(IF(Paths!$E$62=0,C622=0,AND(C622&gt;0,Paths!$E$62&gt;(C622-1)*12,Paths!$E$62&lt;=C622*12)),Paths!$H$62,0),"n.a."))</f>
        <v>0</v>
      </c>
      <c r="K622" s="16">
        <f>IF(NOT(Paths!$C$62=1),0,IF(Paths!$P$62="Complete",IF(IF(Paths!$O$62=0,C622=0,AND(C622&gt;0,Paths!$O$62&gt;(C622-1)*12,Paths!$O$62&lt;=C622*12)),Paths!$N$62,0),"n.a."))</f>
        <v>0</v>
      </c>
      <c r="L622" s="16">
        <f>IF(NOT(Paths!$C$62=1),0,IF(Paths!$P$62="Complete",IF(C622=10,Paths!$I$62,0),"n.a."))</f>
        <v>0</v>
      </c>
      <c r="M622" s="16">
        <f>IF(NOT(Paths!$C$62=1),0,IF(Paths!$P$62="Complete",IF(AND(Paths!$D$62="EV",Paths!$E$62&lt;120,Paths!$E$62+'Operating costs'!$B$65&gt;Paths!$E$62,Paths!$E$62+'Operating costs'!$B$65&lt;=120,IF(Paths!$E$62+'Operating costs'!$B$65=0,C622=0,AND(C622&gt;0,Paths!$E$62+'Operating costs'!$B$65&gt;(C622-1)*12,Paths!$E$62+'Operating costs'!$B$65&lt;=C622*12))),'Operating costs'!$B$64,0)+IF(AND('Operating costs'!$B$67&gt;0,'Operating costs'!$B$67&lt;=120,OR(Paths!$D$62="ICE",'Operating costs'!$B$67&lt;=Paths!$E$62),IF('Operating costs'!$B$67=0,C622=0,AND(C622&gt;0,'Operating costs'!$B$67&gt;(C622-1)*12,'Operating costs'!$B$67&lt;=C622*12))),'Operating costs'!$B$66,0),"n.a."))</f>
        <v>0</v>
      </c>
      <c r="N622" s="16">
        <f>IF(NOT(Paths!$C$62=1),0,IF(Paths!$P$62="Complete",SUM(G622:I622)-J622-K622-L622+M622+IF(C622=0,Paths!$F$62,0)+IF(IF(Paths!$E$62=0,C622=0,AND(C622&gt;0,Paths!$E$62&gt;(C622-1)*12,Paths!$E$62&lt;=C622*12)),VLOOKUP(A622,'Fleet register'!$A$7:$S$106,16,FALSE),0),"n.a."))</f>
        <v>0</v>
      </c>
      <c r="O622" s="16">
        <f>IF(NOT(Paths!$C$62=1),0,IF(Paths!$P$62="Complete",N622-IF(C622=0,Paths!$F$62,0),"n.a."))</f>
        <v>0</v>
      </c>
      <c r="P622" s="16">
        <f>IF(NOT(Paths!$C$62=1),0,IF(Paths!$P$62="Complete",O622+L622,"n.a."))</f>
        <v>0</v>
      </c>
      <c r="Q622" s="16">
        <f>IF(NOT(Paths!$C$62=1),0,IF(Paths!$P$62="Complete",N622*(1+'Operating costs'!$B$54)^-C622,"n.a."))</f>
        <v>0</v>
      </c>
      <c r="R622" s="16">
        <f>IF(NOT(Paths!$C$62=1),0,IF(Paths!$P$62="Complete",IF(AND(C622=0,Paths!$E$62=0),I622-J622-K622+VLOOKUP(A622,'Fleet register'!$A$7:$S$106,15,FALSE)+VLOOKUP(A622,'Fleet register'!$A$7:$S$106,16,FALSE),0),"n.a."))</f>
        <v>0</v>
      </c>
      <c r="S622" s="1">
        <f>IF(NOT(Paths!$C$62=1),0,IF(Paths!$P$62="Complete",IF(C622=0,0,Paths!$S$62*Paths!$R$62),"n.a."))</f>
        <v>0</v>
      </c>
      <c r="T622" s="1">
        <f>IF(NOT(Paths!$C$62=1),0,IF(Paths!$P$62="Complete",IF(C622=0,0,VLOOKUP(A622,'Fleet register'!$A$7:$S$106,9,FALSE)*Paths!$R$62),"n.a."))</f>
        <v>0</v>
      </c>
    </row>
    <row r="623" spans="1:20" ht="24" customHeight="1">
      <c r="A623" s="1" t="str">
        <f>Paths!$A$63</f>
        <v>T015</v>
      </c>
      <c r="B623" s="1">
        <f>Paths!$B$63</f>
        <v>0</v>
      </c>
      <c r="C623" s="1">
        <v>0</v>
      </c>
      <c r="D623" s="1">
        <v>63</v>
      </c>
      <c r="E623" s="1">
        <f>IF(OR(Paths!$C$63=0,C623=0),0,MAX(0,MIN(C623*12,Paths!$E$63)-(C623-1)*12))</f>
        <v>0</v>
      </c>
      <c r="F623" s="1">
        <f>IF(OR(Paths!$C$63=0,C623=0),0,12-E623)</f>
        <v>0</v>
      </c>
      <c r="G623" s="16">
        <f>IF(NOT(Paths!$C$63=1),0,IF(Paths!$P$63="Complete",E623/12*(Paths!$J$63*(1+'Operating costs'!$B$51)^MAX(0,C623-1)+Paths!$K$63*(1+'Operating costs'!$B$53)^MAX(0,C623-1)),"n.a."))</f>
        <v>0</v>
      </c>
      <c r="H623" s="16">
        <f>IF(NOT(Paths!$C$63=1),0,IF(Paths!$P$63="Complete",F623/12*(Paths!$L$63*(1+IF(Paths!$D$63="EV",'Operating costs'!$B$52,'Operating costs'!$B$51))^MAX(0,C623-1)+Paths!$M$63*(1+'Operating costs'!$B$53)^MAX(0,C623-1)),"n.a."))</f>
        <v>0</v>
      </c>
      <c r="I623" s="16">
        <f>IF(NOT(Paths!$C$63=1),0,IF(Paths!$P$63="Complete",IF(IF(Paths!$E$63=0,C623=0,AND(C623&gt;0,Paths!$E$63&gt;(C623-1)*12,Paths!$E$63&lt;=C623*12)),Paths!$G$63,0),"n.a."))</f>
        <v>0</v>
      </c>
      <c r="J623" s="16">
        <f>IF(NOT(Paths!$C$63=1),0,IF(Paths!$P$63="Complete",IF(IF(Paths!$E$63=0,C623=0,AND(C623&gt;0,Paths!$E$63&gt;(C623-1)*12,Paths!$E$63&lt;=C623*12)),Paths!$H$63,0),"n.a."))</f>
        <v>0</v>
      </c>
      <c r="K623" s="16">
        <f>IF(NOT(Paths!$C$63=1),0,IF(Paths!$P$63="Complete",IF(IF(Paths!$O$63=0,C623=0,AND(C623&gt;0,Paths!$O$63&gt;(C623-1)*12,Paths!$O$63&lt;=C623*12)),Paths!$N$63,0),"n.a."))</f>
        <v>0</v>
      </c>
      <c r="L623" s="16">
        <f>IF(NOT(Paths!$C$63=1),0,IF(Paths!$P$63="Complete",IF(C623=10,Paths!$I$63,0),"n.a."))</f>
        <v>0</v>
      </c>
      <c r="M623" s="16">
        <f>IF(NOT(Paths!$C$63=1),0,IF(Paths!$P$63="Complete",IF(AND(Paths!$D$63="EV",Paths!$E$63&lt;120,Paths!$E$63+'Operating costs'!$B$65&gt;Paths!$E$63,Paths!$E$63+'Operating costs'!$B$65&lt;=120,IF(Paths!$E$63+'Operating costs'!$B$65=0,C623=0,AND(C623&gt;0,Paths!$E$63+'Operating costs'!$B$65&gt;(C623-1)*12,Paths!$E$63+'Operating costs'!$B$65&lt;=C623*12))),'Operating costs'!$B$64,0)+IF(AND('Operating costs'!$B$67&gt;0,'Operating costs'!$B$67&lt;=120,OR(Paths!$D$63="ICE",'Operating costs'!$B$67&lt;=Paths!$E$63),IF('Operating costs'!$B$67=0,C623=0,AND(C623&gt;0,'Operating costs'!$B$67&gt;(C623-1)*12,'Operating costs'!$B$67&lt;=C623*12))),'Operating costs'!$B$66,0),"n.a."))</f>
        <v>0</v>
      </c>
      <c r="N623" s="16">
        <f>IF(NOT(Paths!$C$63=1),0,IF(Paths!$P$63="Complete",SUM(G623:I623)-J623-K623-L623+M623+IF(C623=0,Paths!$F$63,0)+IF(IF(Paths!$E$63=0,C623=0,AND(C623&gt;0,Paths!$E$63&gt;(C623-1)*12,Paths!$E$63&lt;=C623*12)),VLOOKUP(A623,'Fleet register'!$A$7:$S$106,16,FALSE),0),"n.a."))</f>
        <v>0</v>
      </c>
      <c r="O623" s="16">
        <f>IF(NOT(Paths!$C$63=1),0,IF(Paths!$P$63="Complete",N623-IF(C623=0,Paths!$F$63,0),"n.a."))</f>
        <v>0</v>
      </c>
      <c r="P623" s="16">
        <f>IF(NOT(Paths!$C$63=1),0,IF(Paths!$P$63="Complete",O623+L623,"n.a."))</f>
        <v>0</v>
      </c>
      <c r="Q623" s="16">
        <f>IF(NOT(Paths!$C$63=1),0,IF(Paths!$P$63="Complete",N623*(1+'Operating costs'!$B$54)^-C623,"n.a."))</f>
        <v>0</v>
      </c>
      <c r="R623" s="16">
        <f>IF(NOT(Paths!$C$63=1),0,IF(Paths!$P$63="Complete",IF(AND(C623=0,Paths!$E$63=0),I623-J623-K623+VLOOKUP(A623,'Fleet register'!$A$7:$S$106,15,FALSE)+VLOOKUP(A623,'Fleet register'!$A$7:$S$106,16,FALSE),0),"n.a."))</f>
        <v>0</v>
      </c>
      <c r="S623" s="1">
        <f>IF(NOT(Paths!$C$63=1),0,IF(Paths!$P$63="Complete",IF(C623=0,0,Paths!$S$63*Paths!$R$63),"n.a."))</f>
        <v>0</v>
      </c>
      <c r="T623" s="1">
        <f>IF(NOT(Paths!$C$63=1),0,IF(Paths!$P$63="Complete",IF(C623=0,0,VLOOKUP(A623,'Fleet register'!$A$7:$S$106,9,FALSE)*Paths!$R$63),"n.a."))</f>
        <v>0</v>
      </c>
    </row>
    <row r="624" spans="1:20" ht="24" customHeight="1">
      <c r="A624" s="1" t="str">
        <f>Paths!$A$63</f>
        <v>T015</v>
      </c>
      <c r="B624" s="1">
        <f>Paths!$B$63</f>
        <v>0</v>
      </c>
      <c r="C624" s="1">
        <v>1</v>
      </c>
      <c r="D624" s="1">
        <v>63</v>
      </c>
      <c r="E624" s="1">
        <f>IF(OR(Paths!$C$63=0,C624=0),0,MAX(0,MIN(C624*12,Paths!$E$63)-(C624-1)*12))</f>
        <v>0</v>
      </c>
      <c r="F624" s="1">
        <f>IF(OR(Paths!$C$63=0,C624=0),0,12-E624)</f>
        <v>0</v>
      </c>
      <c r="G624" s="16">
        <f>IF(NOT(Paths!$C$63=1),0,IF(Paths!$P$63="Complete",E624/12*(Paths!$J$63*(1+'Operating costs'!$B$51)^MAX(0,C624-1)+Paths!$K$63*(1+'Operating costs'!$B$53)^MAX(0,C624-1)),"n.a."))</f>
        <v>0</v>
      </c>
      <c r="H624" s="16">
        <f>IF(NOT(Paths!$C$63=1),0,IF(Paths!$P$63="Complete",F624/12*(Paths!$L$63*(1+IF(Paths!$D$63="EV",'Operating costs'!$B$52,'Operating costs'!$B$51))^MAX(0,C624-1)+Paths!$M$63*(1+'Operating costs'!$B$53)^MAX(0,C624-1)),"n.a."))</f>
        <v>0</v>
      </c>
      <c r="I624" s="16">
        <f>IF(NOT(Paths!$C$63=1),0,IF(Paths!$P$63="Complete",IF(IF(Paths!$E$63=0,C624=0,AND(C624&gt;0,Paths!$E$63&gt;(C624-1)*12,Paths!$E$63&lt;=C624*12)),Paths!$G$63,0),"n.a."))</f>
        <v>0</v>
      </c>
      <c r="J624" s="16">
        <f>IF(NOT(Paths!$C$63=1),0,IF(Paths!$P$63="Complete",IF(IF(Paths!$E$63=0,C624=0,AND(C624&gt;0,Paths!$E$63&gt;(C624-1)*12,Paths!$E$63&lt;=C624*12)),Paths!$H$63,0),"n.a."))</f>
        <v>0</v>
      </c>
      <c r="K624" s="16">
        <f>IF(NOT(Paths!$C$63=1),0,IF(Paths!$P$63="Complete",IF(IF(Paths!$O$63=0,C624=0,AND(C624&gt;0,Paths!$O$63&gt;(C624-1)*12,Paths!$O$63&lt;=C624*12)),Paths!$N$63,0),"n.a."))</f>
        <v>0</v>
      </c>
      <c r="L624" s="16">
        <f>IF(NOT(Paths!$C$63=1),0,IF(Paths!$P$63="Complete",IF(C624=10,Paths!$I$63,0),"n.a."))</f>
        <v>0</v>
      </c>
      <c r="M624" s="16">
        <f>IF(NOT(Paths!$C$63=1),0,IF(Paths!$P$63="Complete",IF(AND(Paths!$D$63="EV",Paths!$E$63&lt;120,Paths!$E$63+'Operating costs'!$B$65&gt;Paths!$E$63,Paths!$E$63+'Operating costs'!$B$65&lt;=120,IF(Paths!$E$63+'Operating costs'!$B$65=0,C624=0,AND(C624&gt;0,Paths!$E$63+'Operating costs'!$B$65&gt;(C624-1)*12,Paths!$E$63+'Operating costs'!$B$65&lt;=C624*12))),'Operating costs'!$B$64,0)+IF(AND('Operating costs'!$B$67&gt;0,'Operating costs'!$B$67&lt;=120,OR(Paths!$D$63="ICE",'Operating costs'!$B$67&lt;=Paths!$E$63),IF('Operating costs'!$B$67=0,C624=0,AND(C624&gt;0,'Operating costs'!$B$67&gt;(C624-1)*12,'Operating costs'!$B$67&lt;=C624*12))),'Operating costs'!$B$66,0),"n.a."))</f>
        <v>0</v>
      </c>
      <c r="N624" s="16">
        <f>IF(NOT(Paths!$C$63=1),0,IF(Paths!$P$63="Complete",SUM(G624:I624)-J624-K624-L624+M624+IF(C624=0,Paths!$F$63,0)+IF(IF(Paths!$E$63=0,C624=0,AND(C624&gt;0,Paths!$E$63&gt;(C624-1)*12,Paths!$E$63&lt;=C624*12)),VLOOKUP(A624,'Fleet register'!$A$7:$S$106,16,FALSE),0),"n.a."))</f>
        <v>0</v>
      </c>
      <c r="O624" s="16">
        <f>IF(NOT(Paths!$C$63=1),0,IF(Paths!$P$63="Complete",N624-IF(C624=0,Paths!$F$63,0),"n.a."))</f>
        <v>0</v>
      </c>
      <c r="P624" s="16">
        <f>IF(NOT(Paths!$C$63=1),0,IF(Paths!$P$63="Complete",O624+L624,"n.a."))</f>
        <v>0</v>
      </c>
      <c r="Q624" s="16">
        <f>IF(NOT(Paths!$C$63=1),0,IF(Paths!$P$63="Complete",N624*(1+'Operating costs'!$B$54)^-C624,"n.a."))</f>
        <v>0</v>
      </c>
      <c r="R624" s="16">
        <f>IF(NOT(Paths!$C$63=1),0,IF(Paths!$P$63="Complete",IF(AND(C624=0,Paths!$E$63=0),I624-J624-K624+VLOOKUP(A624,'Fleet register'!$A$7:$S$106,15,FALSE)+VLOOKUP(A624,'Fleet register'!$A$7:$S$106,16,FALSE),0),"n.a."))</f>
        <v>0</v>
      </c>
      <c r="S624" s="1">
        <f>IF(NOT(Paths!$C$63=1),0,IF(Paths!$P$63="Complete",IF(C624=0,0,Paths!$S$63*Paths!$R$63),"n.a."))</f>
        <v>0</v>
      </c>
      <c r="T624" s="1">
        <f>IF(NOT(Paths!$C$63=1),0,IF(Paths!$P$63="Complete",IF(C624=0,0,VLOOKUP(A624,'Fleet register'!$A$7:$S$106,9,FALSE)*Paths!$R$63),"n.a."))</f>
        <v>0</v>
      </c>
    </row>
    <row r="625" spans="1:20" ht="24" customHeight="1">
      <c r="A625" s="1" t="str">
        <f>Paths!$A$63</f>
        <v>T015</v>
      </c>
      <c r="B625" s="1">
        <f>Paths!$B$63</f>
        <v>0</v>
      </c>
      <c r="C625" s="1">
        <v>2</v>
      </c>
      <c r="D625" s="1">
        <v>63</v>
      </c>
      <c r="E625" s="1">
        <f>IF(OR(Paths!$C$63=0,C625=0),0,MAX(0,MIN(C625*12,Paths!$E$63)-(C625-1)*12))</f>
        <v>0</v>
      </c>
      <c r="F625" s="1">
        <f>IF(OR(Paths!$C$63=0,C625=0),0,12-E625)</f>
        <v>0</v>
      </c>
      <c r="G625" s="16">
        <f>IF(NOT(Paths!$C$63=1),0,IF(Paths!$P$63="Complete",E625/12*(Paths!$J$63*(1+'Operating costs'!$B$51)^MAX(0,C625-1)+Paths!$K$63*(1+'Operating costs'!$B$53)^MAX(0,C625-1)),"n.a."))</f>
        <v>0</v>
      </c>
      <c r="H625" s="16">
        <f>IF(NOT(Paths!$C$63=1),0,IF(Paths!$P$63="Complete",F625/12*(Paths!$L$63*(1+IF(Paths!$D$63="EV",'Operating costs'!$B$52,'Operating costs'!$B$51))^MAX(0,C625-1)+Paths!$M$63*(1+'Operating costs'!$B$53)^MAX(0,C625-1)),"n.a."))</f>
        <v>0</v>
      </c>
      <c r="I625" s="16">
        <f>IF(NOT(Paths!$C$63=1),0,IF(Paths!$P$63="Complete",IF(IF(Paths!$E$63=0,C625=0,AND(C625&gt;0,Paths!$E$63&gt;(C625-1)*12,Paths!$E$63&lt;=C625*12)),Paths!$G$63,0),"n.a."))</f>
        <v>0</v>
      </c>
      <c r="J625" s="16">
        <f>IF(NOT(Paths!$C$63=1),0,IF(Paths!$P$63="Complete",IF(IF(Paths!$E$63=0,C625=0,AND(C625&gt;0,Paths!$E$63&gt;(C625-1)*12,Paths!$E$63&lt;=C625*12)),Paths!$H$63,0),"n.a."))</f>
        <v>0</v>
      </c>
      <c r="K625" s="16">
        <f>IF(NOT(Paths!$C$63=1),0,IF(Paths!$P$63="Complete",IF(IF(Paths!$O$63=0,C625=0,AND(C625&gt;0,Paths!$O$63&gt;(C625-1)*12,Paths!$O$63&lt;=C625*12)),Paths!$N$63,0),"n.a."))</f>
        <v>0</v>
      </c>
      <c r="L625" s="16">
        <f>IF(NOT(Paths!$C$63=1),0,IF(Paths!$P$63="Complete",IF(C625=10,Paths!$I$63,0),"n.a."))</f>
        <v>0</v>
      </c>
      <c r="M625" s="16">
        <f>IF(NOT(Paths!$C$63=1),0,IF(Paths!$P$63="Complete",IF(AND(Paths!$D$63="EV",Paths!$E$63&lt;120,Paths!$E$63+'Operating costs'!$B$65&gt;Paths!$E$63,Paths!$E$63+'Operating costs'!$B$65&lt;=120,IF(Paths!$E$63+'Operating costs'!$B$65=0,C625=0,AND(C625&gt;0,Paths!$E$63+'Operating costs'!$B$65&gt;(C625-1)*12,Paths!$E$63+'Operating costs'!$B$65&lt;=C625*12))),'Operating costs'!$B$64,0)+IF(AND('Operating costs'!$B$67&gt;0,'Operating costs'!$B$67&lt;=120,OR(Paths!$D$63="ICE",'Operating costs'!$B$67&lt;=Paths!$E$63),IF('Operating costs'!$B$67=0,C625=0,AND(C625&gt;0,'Operating costs'!$B$67&gt;(C625-1)*12,'Operating costs'!$B$67&lt;=C625*12))),'Operating costs'!$B$66,0),"n.a."))</f>
        <v>0</v>
      </c>
      <c r="N625" s="16">
        <f>IF(NOT(Paths!$C$63=1),0,IF(Paths!$P$63="Complete",SUM(G625:I625)-J625-K625-L625+M625+IF(C625=0,Paths!$F$63,0)+IF(IF(Paths!$E$63=0,C625=0,AND(C625&gt;0,Paths!$E$63&gt;(C625-1)*12,Paths!$E$63&lt;=C625*12)),VLOOKUP(A625,'Fleet register'!$A$7:$S$106,16,FALSE),0),"n.a."))</f>
        <v>0</v>
      </c>
      <c r="O625" s="16">
        <f>IF(NOT(Paths!$C$63=1),0,IF(Paths!$P$63="Complete",N625-IF(C625=0,Paths!$F$63,0),"n.a."))</f>
        <v>0</v>
      </c>
      <c r="P625" s="16">
        <f>IF(NOT(Paths!$C$63=1),0,IF(Paths!$P$63="Complete",O625+L625,"n.a."))</f>
        <v>0</v>
      </c>
      <c r="Q625" s="16">
        <f>IF(NOT(Paths!$C$63=1),0,IF(Paths!$P$63="Complete",N625*(1+'Operating costs'!$B$54)^-C625,"n.a."))</f>
        <v>0</v>
      </c>
      <c r="R625" s="16">
        <f>IF(NOT(Paths!$C$63=1),0,IF(Paths!$P$63="Complete",IF(AND(C625=0,Paths!$E$63=0),I625-J625-K625+VLOOKUP(A625,'Fleet register'!$A$7:$S$106,15,FALSE)+VLOOKUP(A625,'Fleet register'!$A$7:$S$106,16,FALSE),0),"n.a."))</f>
        <v>0</v>
      </c>
      <c r="S625" s="1">
        <f>IF(NOT(Paths!$C$63=1),0,IF(Paths!$P$63="Complete",IF(C625=0,0,Paths!$S$63*Paths!$R$63),"n.a."))</f>
        <v>0</v>
      </c>
      <c r="T625" s="1">
        <f>IF(NOT(Paths!$C$63=1),0,IF(Paths!$P$63="Complete",IF(C625=0,0,VLOOKUP(A625,'Fleet register'!$A$7:$S$106,9,FALSE)*Paths!$R$63),"n.a."))</f>
        <v>0</v>
      </c>
    </row>
    <row r="626" spans="1:20" ht="24" customHeight="1">
      <c r="A626" s="1" t="str">
        <f>Paths!$A$63</f>
        <v>T015</v>
      </c>
      <c r="B626" s="1">
        <f>Paths!$B$63</f>
        <v>0</v>
      </c>
      <c r="C626" s="1">
        <v>3</v>
      </c>
      <c r="D626" s="1">
        <v>63</v>
      </c>
      <c r="E626" s="1">
        <f>IF(OR(Paths!$C$63=0,C626=0),0,MAX(0,MIN(C626*12,Paths!$E$63)-(C626-1)*12))</f>
        <v>0</v>
      </c>
      <c r="F626" s="1">
        <f>IF(OR(Paths!$C$63=0,C626=0),0,12-E626)</f>
        <v>0</v>
      </c>
      <c r="G626" s="16">
        <f>IF(NOT(Paths!$C$63=1),0,IF(Paths!$P$63="Complete",E626/12*(Paths!$J$63*(1+'Operating costs'!$B$51)^MAX(0,C626-1)+Paths!$K$63*(1+'Operating costs'!$B$53)^MAX(0,C626-1)),"n.a."))</f>
        <v>0</v>
      </c>
      <c r="H626" s="16">
        <f>IF(NOT(Paths!$C$63=1),0,IF(Paths!$P$63="Complete",F626/12*(Paths!$L$63*(1+IF(Paths!$D$63="EV",'Operating costs'!$B$52,'Operating costs'!$B$51))^MAX(0,C626-1)+Paths!$M$63*(1+'Operating costs'!$B$53)^MAX(0,C626-1)),"n.a."))</f>
        <v>0</v>
      </c>
      <c r="I626" s="16">
        <f>IF(NOT(Paths!$C$63=1),0,IF(Paths!$P$63="Complete",IF(IF(Paths!$E$63=0,C626=0,AND(C626&gt;0,Paths!$E$63&gt;(C626-1)*12,Paths!$E$63&lt;=C626*12)),Paths!$G$63,0),"n.a."))</f>
        <v>0</v>
      </c>
      <c r="J626" s="16">
        <f>IF(NOT(Paths!$C$63=1),0,IF(Paths!$P$63="Complete",IF(IF(Paths!$E$63=0,C626=0,AND(C626&gt;0,Paths!$E$63&gt;(C626-1)*12,Paths!$E$63&lt;=C626*12)),Paths!$H$63,0),"n.a."))</f>
        <v>0</v>
      </c>
      <c r="K626" s="16">
        <f>IF(NOT(Paths!$C$63=1),0,IF(Paths!$P$63="Complete",IF(IF(Paths!$O$63=0,C626=0,AND(C626&gt;0,Paths!$O$63&gt;(C626-1)*12,Paths!$O$63&lt;=C626*12)),Paths!$N$63,0),"n.a."))</f>
        <v>0</v>
      </c>
      <c r="L626" s="16">
        <f>IF(NOT(Paths!$C$63=1),0,IF(Paths!$P$63="Complete",IF(C626=10,Paths!$I$63,0),"n.a."))</f>
        <v>0</v>
      </c>
      <c r="M626" s="16">
        <f>IF(NOT(Paths!$C$63=1),0,IF(Paths!$P$63="Complete",IF(AND(Paths!$D$63="EV",Paths!$E$63&lt;120,Paths!$E$63+'Operating costs'!$B$65&gt;Paths!$E$63,Paths!$E$63+'Operating costs'!$B$65&lt;=120,IF(Paths!$E$63+'Operating costs'!$B$65=0,C626=0,AND(C626&gt;0,Paths!$E$63+'Operating costs'!$B$65&gt;(C626-1)*12,Paths!$E$63+'Operating costs'!$B$65&lt;=C626*12))),'Operating costs'!$B$64,0)+IF(AND('Operating costs'!$B$67&gt;0,'Operating costs'!$B$67&lt;=120,OR(Paths!$D$63="ICE",'Operating costs'!$B$67&lt;=Paths!$E$63),IF('Operating costs'!$B$67=0,C626=0,AND(C626&gt;0,'Operating costs'!$B$67&gt;(C626-1)*12,'Operating costs'!$B$67&lt;=C626*12))),'Operating costs'!$B$66,0),"n.a."))</f>
        <v>0</v>
      </c>
      <c r="N626" s="16">
        <f>IF(NOT(Paths!$C$63=1),0,IF(Paths!$P$63="Complete",SUM(G626:I626)-J626-K626-L626+M626+IF(C626=0,Paths!$F$63,0)+IF(IF(Paths!$E$63=0,C626=0,AND(C626&gt;0,Paths!$E$63&gt;(C626-1)*12,Paths!$E$63&lt;=C626*12)),VLOOKUP(A626,'Fleet register'!$A$7:$S$106,16,FALSE),0),"n.a."))</f>
        <v>0</v>
      </c>
      <c r="O626" s="16">
        <f>IF(NOT(Paths!$C$63=1),0,IF(Paths!$P$63="Complete",N626-IF(C626=0,Paths!$F$63,0),"n.a."))</f>
        <v>0</v>
      </c>
      <c r="P626" s="16">
        <f>IF(NOT(Paths!$C$63=1),0,IF(Paths!$P$63="Complete",O626+L626,"n.a."))</f>
        <v>0</v>
      </c>
      <c r="Q626" s="16">
        <f>IF(NOT(Paths!$C$63=1),0,IF(Paths!$P$63="Complete",N626*(1+'Operating costs'!$B$54)^-C626,"n.a."))</f>
        <v>0</v>
      </c>
      <c r="R626" s="16">
        <f>IF(NOT(Paths!$C$63=1),0,IF(Paths!$P$63="Complete",IF(AND(C626=0,Paths!$E$63=0),I626-J626-K626+VLOOKUP(A626,'Fleet register'!$A$7:$S$106,15,FALSE)+VLOOKUP(A626,'Fleet register'!$A$7:$S$106,16,FALSE),0),"n.a."))</f>
        <v>0</v>
      </c>
      <c r="S626" s="1">
        <f>IF(NOT(Paths!$C$63=1),0,IF(Paths!$P$63="Complete",IF(C626=0,0,Paths!$S$63*Paths!$R$63),"n.a."))</f>
        <v>0</v>
      </c>
      <c r="T626" s="1">
        <f>IF(NOT(Paths!$C$63=1),0,IF(Paths!$P$63="Complete",IF(C626=0,0,VLOOKUP(A626,'Fleet register'!$A$7:$S$106,9,FALSE)*Paths!$R$63),"n.a."))</f>
        <v>0</v>
      </c>
    </row>
    <row r="627" spans="1:20" ht="24" customHeight="1">
      <c r="A627" s="1" t="str">
        <f>Paths!$A$63</f>
        <v>T015</v>
      </c>
      <c r="B627" s="1">
        <f>Paths!$B$63</f>
        <v>0</v>
      </c>
      <c r="C627" s="1">
        <v>4</v>
      </c>
      <c r="D627" s="1">
        <v>63</v>
      </c>
      <c r="E627" s="1">
        <f>IF(OR(Paths!$C$63=0,C627=0),0,MAX(0,MIN(C627*12,Paths!$E$63)-(C627-1)*12))</f>
        <v>0</v>
      </c>
      <c r="F627" s="1">
        <f>IF(OR(Paths!$C$63=0,C627=0),0,12-E627)</f>
        <v>0</v>
      </c>
      <c r="G627" s="16">
        <f>IF(NOT(Paths!$C$63=1),0,IF(Paths!$P$63="Complete",E627/12*(Paths!$J$63*(1+'Operating costs'!$B$51)^MAX(0,C627-1)+Paths!$K$63*(1+'Operating costs'!$B$53)^MAX(0,C627-1)),"n.a."))</f>
        <v>0</v>
      </c>
      <c r="H627" s="16">
        <f>IF(NOT(Paths!$C$63=1),0,IF(Paths!$P$63="Complete",F627/12*(Paths!$L$63*(1+IF(Paths!$D$63="EV",'Operating costs'!$B$52,'Operating costs'!$B$51))^MAX(0,C627-1)+Paths!$M$63*(1+'Operating costs'!$B$53)^MAX(0,C627-1)),"n.a."))</f>
        <v>0</v>
      </c>
      <c r="I627" s="16">
        <f>IF(NOT(Paths!$C$63=1),0,IF(Paths!$P$63="Complete",IF(IF(Paths!$E$63=0,C627=0,AND(C627&gt;0,Paths!$E$63&gt;(C627-1)*12,Paths!$E$63&lt;=C627*12)),Paths!$G$63,0),"n.a."))</f>
        <v>0</v>
      </c>
      <c r="J627" s="16">
        <f>IF(NOT(Paths!$C$63=1),0,IF(Paths!$P$63="Complete",IF(IF(Paths!$E$63=0,C627=0,AND(C627&gt;0,Paths!$E$63&gt;(C627-1)*12,Paths!$E$63&lt;=C627*12)),Paths!$H$63,0),"n.a."))</f>
        <v>0</v>
      </c>
      <c r="K627" s="16">
        <f>IF(NOT(Paths!$C$63=1),0,IF(Paths!$P$63="Complete",IF(IF(Paths!$O$63=0,C627=0,AND(C627&gt;0,Paths!$O$63&gt;(C627-1)*12,Paths!$O$63&lt;=C627*12)),Paths!$N$63,0),"n.a."))</f>
        <v>0</v>
      </c>
      <c r="L627" s="16">
        <f>IF(NOT(Paths!$C$63=1),0,IF(Paths!$P$63="Complete",IF(C627=10,Paths!$I$63,0),"n.a."))</f>
        <v>0</v>
      </c>
      <c r="M627" s="16">
        <f>IF(NOT(Paths!$C$63=1),0,IF(Paths!$P$63="Complete",IF(AND(Paths!$D$63="EV",Paths!$E$63&lt;120,Paths!$E$63+'Operating costs'!$B$65&gt;Paths!$E$63,Paths!$E$63+'Operating costs'!$B$65&lt;=120,IF(Paths!$E$63+'Operating costs'!$B$65=0,C627=0,AND(C627&gt;0,Paths!$E$63+'Operating costs'!$B$65&gt;(C627-1)*12,Paths!$E$63+'Operating costs'!$B$65&lt;=C627*12))),'Operating costs'!$B$64,0)+IF(AND('Operating costs'!$B$67&gt;0,'Operating costs'!$B$67&lt;=120,OR(Paths!$D$63="ICE",'Operating costs'!$B$67&lt;=Paths!$E$63),IF('Operating costs'!$B$67=0,C627=0,AND(C627&gt;0,'Operating costs'!$B$67&gt;(C627-1)*12,'Operating costs'!$B$67&lt;=C627*12))),'Operating costs'!$B$66,0),"n.a."))</f>
        <v>0</v>
      </c>
      <c r="N627" s="16">
        <f>IF(NOT(Paths!$C$63=1),0,IF(Paths!$P$63="Complete",SUM(G627:I627)-J627-K627-L627+M627+IF(C627=0,Paths!$F$63,0)+IF(IF(Paths!$E$63=0,C627=0,AND(C627&gt;0,Paths!$E$63&gt;(C627-1)*12,Paths!$E$63&lt;=C627*12)),VLOOKUP(A627,'Fleet register'!$A$7:$S$106,16,FALSE),0),"n.a."))</f>
        <v>0</v>
      </c>
      <c r="O627" s="16">
        <f>IF(NOT(Paths!$C$63=1),0,IF(Paths!$P$63="Complete",N627-IF(C627=0,Paths!$F$63,0),"n.a."))</f>
        <v>0</v>
      </c>
      <c r="P627" s="16">
        <f>IF(NOT(Paths!$C$63=1),0,IF(Paths!$P$63="Complete",O627+L627,"n.a."))</f>
        <v>0</v>
      </c>
      <c r="Q627" s="16">
        <f>IF(NOT(Paths!$C$63=1),0,IF(Paths!$P$63="Complete",N627*(1+'Operating costs'!$B$54)^-C627,"n.a."))</f>
        <v>0</v>
      </c>
      <c r="R627" s="16">
        <f>IF(NOT(Paths!$C$63=1),0,IF(Paths!$P$63="Complete",IF(AND(C627=0,Paths!$E$63=0),I627-J627-K627+VLOOKUP(A627,'Fleet register'!$A$7:$S$106,15,FALSE)+VLOOKUP(A627,'Fleet register'!$A$7:$S$106,16,FALSE),0),"n.a."))</f>
        <v>0</v>
      </c>
      <c r="S627" s="1">
        <f>IF(NOT(Paths!$C$63=1),0,IF(Paths!$P$63="Complete",IF(C627=0,0,Paths!$S$63*Paths!$R$63),"n.a."))</f>
        <v>0</v>
      </c>
      <c r="T627" s="1">
        <f>IF(NOT(Paths!$C$63=1),0,IF(Paths!$P$63="Complete",IF(C627=0,0,VLOOKUP(A627,'Fleet register'!$A$7:$S$106,9,FALSE)*Paths!$R$63),"n.a."))</f>
        <v>0</v>
      </c>
    </row>
    <row r="628" spans="1:20" ht="24" customHeight="1">
      <c r="A628" s="1" t="str">
        <f>Paths!$A$63</f>
        <v>T015</v>
      </c>
      <c r="B628" s="1">
        <f>Paths!$B$63</f>
        <v>0</v>
      </c>
      <c r="C628" s="1">
        <v>5</v>
      </c>
      <c r="D628" s="1">
        <v>63</v>
      </c>
      <c r="E628" s="1">
        <f>IF(OR(Paths!$C$63=0,C628=0),0,MAX(0,MIN(C628*12,Paths!$E$63)-(C628-1)*12))</f>
        <v>0</v>
      </c>
      <c r="F628" s="1">
        <f>IF(OR(Paths!$C$63=0,C628=0),0,12-E628)</f>
        <v>0</v>
      </c>
      <c r="G628" s="16">
        <f>IF(NOT(Paths!$C$63=1),0,IF(Paths!$P$63="Complete",E628/12*(Paths!$J$63*(1+'Operating costs'!$B$51)^MAX(0,C628-1)+Paths!$K$63*(1+'Operating costs'!$B$53)^MAX(0,C628-1)),"n.a."))</f>
        <v>0</v>
      </c>
      <c r="H628" s="16">
        <f>IF(NOT(Paths!$C$63=1),0,IF(Paths!$P$63="Complete",F628/12*(Paths!$L$63*(1+IF(Paths!$D$63="EV",'Operating costs'!$B$52,'Operating costs'!$B$51))^MAX(0,C628-1)+Paths!$M$63*(1+'Operating costs'!$B$53)^MAX(0,C628-1)),"n.a."))</f>
        <v>0</v>
      </c>
      <c r="I628" s="16">
        <f>IF(NOT(Paths!$C$63=1),0,IF(Paths!$P$63="Complete",IF(IF(Paths!$E$63=0,C628=0,AND(C628&gt;0,Paths!$E$63&gt;(C628-1)*12,Paths!$E$63&lt;=C628*12)),Paths!$G$63,0),"n.a."))</f>
        <v>0</v>
      </c>
      <c r="J628" s="16">
        <f>IF(NOT(Paths!$C$63=1),0,IF(Paths!$P$63="Complete",IF(IF(Paths!$E$63=0,C628=0,AND(C628&gt;0,Paths!$E$63&gt;(C628-1)*12,Paths!$E$63&lt;=C628*12)),Paths!$H$63,0),"n.a."))</f>
        <v>0</v>
      </c>
      <c r="K628" s="16">
        <f>IF(NOT(Paths!$C$63=1),0,IF(Paths!$P$63="Complete",IF(IF(Paths!$O$63=0,C628=0,AND(C628&gt;0,Paths!$O$63&gt;(C628-1)*12,Paths!$O$63&lt;=C628*12)),Paths!$N$63,0),"n.a."))</f>
        <v>0</v>
      </c>
      <c r="L628" s="16">
        <f>IF(NOT(Paths!$C$63=1),0,IF(Paths!$P$63="Complete",IF(C628=10,Paths!$I$63,0),"n.a."))</f>
        <v>0</v>
      </c>
      <c r="M628" s="16">
        <f>IF(NOT(Paths!$C$63=1),0,IF(Paths!$P$63="Complete",IF(AND(Paths!$D$63="EV",Paths!$E$63&lt;120,Paths!$E$63+'Operating costs'!$B$65&gt;Paths!$E$63,Paths!$E$63+'Operating costs'!$B$65&lt;=120,IF(Paths!$E$63+'Operating costs'!$B$65=0,C628=0,AND(C628&gt;0,Paths!$E$63+'Operating costs'!$B$65&gt;(C628-1)*12,Paths!$E$63+'Operating costs'!$B$65&lt;=C628*12))),'Operating costs'!$B$64,0)+IF(AND('Operating costs'!$B$67&gt;0,'Operating costs'!$B$67&lt;=120,OR(Paths!$D$63="ICE",'Operating costs'!$B$67&lt;=Paths!$E$63),IF('Operating costs'!$B$67=0,C628=0,AND(C628&gt;0,'Operating costs'!$B$67&gt;(C628-1)*12,'Operating costs'!$B$67&lt;=C628*12))),'Operating costs'!$B$66,0),"n.a."))</f>
        <v>0</v>
      </c>
      <c r="N628" s="16">
        <f>IF(NOT(Paths!$C$63=1),0,IF(Paths!$P$63="Complete",SUM(G628:I628)-J628-K628-L628+M628+IF(C628=0,Paths!$F$63,0)+IF(IF(Paths!$E$63=0,C628=0,AND(C628&gt;0,Paths!$E$63&gt;(C628-1)*12,Paths!$E$63&lt;=C628*12)),VLOOKUP(A628,'Fleet register'!$A$7:$S$106,16,FALSE),0),"n.a."))</f>
        <v>0</v>
      </c>
      <c r="O628" s="16">
        <f>IF(NOT(Paths!$C$63=1),0,IF(Paths!$P$63="Complete",N628-IF(C628=0,Paths!$F$63,0),"n.a."))</f>
        <v>0</v>
      </c>
      <c r="P628" s="16">
        <f>IF(NOT(Paths!$C$63=1),0,IF(Paths!$P$63="Complete",O628+L628,"n.a."))</f>
        <v>0</v>
      </c>
      <c r="Q628" s="16">
        <f>IF(NOT(Paths!$C$63=1),0,IF(Paths!$P$63="Complete",N628*(1+'Operating costs'!$B$54)^-C628,"n.a."))</f>
        <v>0</v>
      </c>
      <c r="R628" s="16">
        <f>IF(NOT(Paths!$C$63=1),0,IF(Paths!$P$63="Complete",IF(AND(C628=0,Paths!$E$63=0),I628-J628-K628+VLOOKUP(A628,'Fleet register'!$A$7:$S$106,15,FALSE)+VLOOKUP(A628,'Fleet register'!$A$7:$S$106,16,FALSE),0),"n.a."))</f>
        <v>0</v>
      </c>
      <c r="S628" s="1">
        <f>IF(NOT(Paths!$C$63=1),0,IF(Paths!$P$63="Complete",IF(C628=0,0,Paths!$S$63*Paths!$R$63),"n.a."))</f>
        <v>0</v>
      </c>
      <c r="T628" s="1">
        <f>IF(NOT(Paths!$C$63=1),0,IF(Paths!$P$63="Complete",IF(C628=0,0,VLOOKUP(A628,'Fleet register'!$A$7:$S$106,9,FALSE)*Paths!$R$63),"n.a."))</f>
        <v>0</v>
      </c>
    </row>
    <row r="629" spans="1:20" ht="24" customHeight="1">
      <c r="A629" s="1" t="str">
        <f>Paths!$A$63</f>
        <v>T015</v>
      </c>
      <c r="B629" s="1">
        <f>Paths!$B$63</f>
        <v>0</v>
      </c>
      <c r="C629" s="1">
        <v>6</v>
      </c>
      <c r="D629" s="1">
        <v>63</v>
      </c>
      <c r="E629" s="1">
        <f>IF(OR(Paths!$C$63=0,C629=0),0,MAX(0,MIN(C629*12,Paths!$E$63)-(C629-1)*12))</f>
        <v>0</v>
      </c>
      <c r="F629" s="1">
        <f>IF(OR(Paths!$C$63=0,C629=0),0,12-E629)</f>
        <v>0</v>
      </c>
      <c r="G629" s="16">
        <f>IF(NOT(Paths!$C$63=1),0,IF(Paths!$P$63="Complete",E629/12*(Paths!$J$63*(1+'Operating costs'!$B$51)^MAX(0,C629-1)+Paths!$K$63*(1+'Operating costs'!$B$53)^MAX(0,C629-1)),"n.a."))</f>
        <v>0</v>
      </c>
      <c r="H629" s="16">
        <f>IF(NOT(Paths!$C$63=1),0,IF(Paths!$P$63="Complete",F629/12*(Paths!$L$63*(1+IF(Paths!$D$63="EV",'Operating costs'!$B$52,'Operating costs'!$B$51))^MAX(0,C629-1)+Paths!$M$63*(1+'Operating costs'!$B$53)^MAX(0,C629-1)),"n.a."))</f>
        <v>0</v>
      </c>
      <c r="I629" s="16">
        <f>IF(NOT(Paths!$C$63=1),0,IF(Paths!$P$63="Complete",IF(IF(Paths!$E$63=0,C629=0,AND(C629&gt;0,Paths!$E$63&gt;(C629-1)*12,Paths!$E$63&lt;=C629*12)),Paths!$G$63,0),"n.a."))</f>
        <v>0</v>
      </c>
      <c r="J629" s="16">
        <f>IF(NOT(Paths!$C$63=1),0,IF(Paths!$P$63="Complete",IF(IF(Paths!$E$63=0,C629=0,AND(C629&gt;0,Paths!$E$63&gt;(C629-1)*12,Paths!$E$63&lt;=C629*12)),Paths!$H$63,0),"n.a."))</f>
        <v>0</v>
      </c>
      <c r="K629" s="16">
        <f>IF(NOT(Paths!$C$63=1),0,IF(Paths!$P$63="Complete",IF(IF(Paths!$O$63=0,C629=0,AND(C629&gt;0,Paths!$O$63&gt;(C629-1)*12,Paths!$O$63&lt;=C629*12)),Paths!$N$63,0),"n.a."))</f>
        <v>0</v>
      </c>
      <c r="L629" s="16">
        <f>IF(NOT(Paths!$C$63=1),0,IF(Paths!$P$63="Complete",IF(C629=10,Paths!$I$63,0),"n.a."))</f>
        <v>0</v>
      </c>
      <c r="M629" s="16">
        <f>IF(NOT(Paths!$C$63=1),0,IF(Paths!$P$63="Complete",IF(AND(Paths!$D$63="EV",Paths!$E$63&lt;120,Paths!$E$63+'Operating costs'!$B$65&gt;Paths!$E$63,Paths!$E$63+'Operating costs'!$B$65&lt;=120,IF(Paths!$E$63+'Operating costs'!$B$65=0,C629=0,AND(C629&gt;0,Paths!$E$63+'Operating costs'!$B$65&gt;(C629-1)*12,Paths!$E$63+'Operating costs'!$B$65&lt;=C629*12))),'Operating costs'!$B$64,0)+IF(AND('Operating costs'!$B$67&gt;0,'Operating costs'!$B$67&lt;=120,OR(Paths!$D$63="ICE",'Operating costs'!$B$67&lt;=Paths!$E$63),IF('Operating costs'!$B$67=0,C629=0,AND(C629&gt;0,'Operating costs'!$B$67&gt;(C629-1)*12,'Operating costs'!$B$67&lt;=C629*12))),'Operating costs'!$B$66,0),"n.a."))</f>
        <v>0</v>
      </c>
      <c r="N629" s="16">
        <f>IF(NOT(Paths!$C$63=1),0,IF(Paths!$P$63="Complete",SUM(G629:I629)-J629-K629-L629+M629+IF(C629=0,Paths!$F$63,0)+IF(IF(Paths!$E$63=0,C629=0,AND(C629&gt;0,Paths!$E$63&gt;(C629-1)*12,Paths!$E$63&lt;=C629*12)),VLOOKUP(A629,'Fleet register'!$A$7:$S$106,16,FALSE),0),"n.a."))</f>
        <v>0</v>
      </c>
      <c r="O629" s="16">
        <f>IF(NOT(Paths!$C$63=1),0,IF(Paths!$P$63="Complete",N629-IF(C629=0,Paths!$F$63,0),"n.a."))</f>
        <v>0</v>
      </c>
      <c r="P629" s="16">
        <f>IF(NOT(Paths!$C$63=1),0,IF(Paths!$P$63="Complete",O629+L629,"n.a."))</f>
        <v>0</v>
      </c>
      <c r="Q629" s="16">
        <f>IF(NOT(Paths!$C$63=1),0,IF(Paths!$P$63="Complete",N629*(1+'Operating costs'!$B$54)^-C629,"n.a."))</f>
        <v>0</v>
      </c>
      <c r="R629" s="16">
        <f>IF(NOT(Paths!$C$63=1),0,IF(Paths!$P$63="Complete",IF(AND(C629=0,Paths!$E$63=0),I629-J629-K629+VLOOKUP(A629,'Fleet register'!$A$7:$S$106,15,FALSE)+VLOOKUP(A629,'Fleet register'!$A$7:$S$106,16,FALSE),0),"n.a."))</f>
        <v>0</v>
      </c>
      <c r="S629" s="1">
        <f>IF(NOT(Paths!$C$63=1),0,IF(Paths!$P$63="Complete",IF(C629=0,0,Paths!$S$63*Paths!$R$63),"n.a."))</f>
        <v>0</v>
      </c>
      <c r="T629" s="1">
        <f>IF(NOT(Paths!$C$63=1),0,IF(Paths!$P$63="Complete",IF(C629=0,0,VLOOKUP(A629,'Fleet register'!$A$7:$S$106,9,FALSE)*Paths!$R$63),"n.a."))</f>
        <v>0</v>
      </c>
    </row>
    <row r="630" spans="1:20" ht="24" customHeight="1">
      <c r="A630" s="1" t="str">
        <f>Paths!$A$63</f>
        <v>T015</v>
      </c>
      <c r="B630" s="1">
        <f>Paths!$B$63</f>
        <v>0</v>
      </c>
      <c r="C630" s="1">
        <v>7</v>
      </c>
      <c r="D630" s="1">
        <v>63</v>
      </c>
      <c r="E630" s="1">
        <f>IF(OR(Paths!$C$63=0,C630=0),0,MAX(0,MIN(C630*12,Paths!$E$63)-(C630-1)*12))</f>
        <v>0</v>
      </c>
      <c r="F630" s="1">
        <f>IF(OR(Paths!$C$63=0,C630=0),0,12-E630)</f>
        <v>0</v>
      </c>
      <c r="G630" s="16">
        <f>IF(NOT(Paths!$C$63=1),0,IF(Paths!$P$63="Complete",E630/12*(Paths!$J$63*(1+'Operating costs'!$B$51)^MAX(0,C630-1)+Paths!$K$63*(1+'Operating costs'!$B$53)^MAX(0,C630-1)),"n.a."))</f>
        <v>0</v>
      </c>
      <c r="H630" s="16">
        <f>IF(NOT(Paths!$C$63=1),0,IF(Paths!$P$63="Complete",F630/12*(Paths!$L$63*(1+IF(Paths!$D$63="EV",'Operating costs'!$B$52,'Operating costs'!$B$51))^MAX(0,C630-1)+Paths!$M$63*(1+'Operating costs'!$B$53)^MAX(0,C630-1)),"n.a."))</f>
        <v>0</v>
      </c>
      <c r="I630" s="16">
        <f>IF(NOT(Paths!$C$63=1),0,IF(Paths!$P$63="Complete",IF(IF(Paths!$E$63=0,C630=0,AND(C630&gt;0,Paths!$E$63&gt;(C630-1)*12,Paths!$E$63&lt;=C630*12)),Paths!$G$63,0),"n.a."))</f>
        <v>0</v>
      </c>
      <c r="J630" s="16">
        <f>IF(NOT(Paths!$C$63=1),0,IF(Paths!$P$63="Complete",IF(IF(Paths!$E$63=0,C630=0,AND(C630&gt;0,Paths!$E$63&gt;(C630-1)*12,Paths!$E$63&lt;=C630*12)),Paths!$H$63,0),"n.a."))</f>
        <v>0</v>
      </c>
      <c r="K630" s="16">
        <f>IF(NOT(Paths!$C$63=1),0,IF(Paths!$P$63="Complete",IF(IF(Paths!$O$63=0,C630=0,AND(C630&gt;0,Paths!$O$63&gt;(C630-1)*12,Paths!$O$63&lt;=C630*12)),Paths!$N$63,0),"n.a."))</f>
        <v>0</v>
      </c>
      <c r="L630" s="16">
        <f>IF(NOT(Paths!$C$63=1),0,IF(Paths!$P$63="Complete",IF(C630=10,Paths!$I$63,0),"n.a."))</f>
        <v>0</v>
      </c>
      <c r="M630" s="16">
        <f>IF(NOT(Paths!$C$63=1),0,IF(Paths!$P$63="Complete",IF(AND(Paths!$D$63="EV",Paths!$E$63&lt;120,Paths!$E$63+'Operating costs'!$B$65&gt;Paths!$E$63,Paths!$E$63+'Operating costs'!$B$65&lt;=120,IF(Paths!$E$63+'Operating costs'!$B$65=0,C630=0,AND(C630&gt;0,Paths!$E$63+'Operating costs'!$B$65&gt;(C630-1)*12,Paths!$E$63+'Operating costs'!$B$65&lt;=C630*12))),'Operating costs'!$B$64,0)+IF(AND('Operating costs'!$B$67&gt;0,'Operating costs'!$B$67&lt;=120,OR(Paths!$D$63="ICE",'Operating costs'!$B$67&lt;=Paths!$E$63),IF('Operating costs'!$B$67=0,C630=0,AND(C630&gt;0,'Operating costs'!$B$67&gt;(C630-1)*12,'Operating costs'!$B$67&lt;=C630*12))),'Operating costs'!$B$66,0),"n.a."))</f>
        <v>0</v>
      </c>
      <c r="N630" s="16">
        <f>IF(NOT(Paths!$C$63=1),0,IF(Paths!$P$63="Complete",SUM(G630:I630)-J630-K630-L630+M630+IF(C630=0,Paths!$F$63,0)+IF(IF(Paths!$E$63=0,C630=0,AND(C630&gt;0,Paths!$E$63&gt;(C630-1)*12,Paths!$E$63&lt;=C630*12)),VLOOKUP(A630,'Fleet register'!$A$7:$S$106,16,FALSE),0),"n.a."))</f>
        <v>0</v>
      </c>
      <c r="O630" s="16">
        <f>IF(NOT(Paths!$C$63=1),0,IF(Paths!$P$63="Complete",N630-IF(C630=0,Paths!$F$63,0),"n.a."))</f>
        <v>0</v>
      </c>
      <c r="P630" s="16">
        <f>IF(NOT(Paths!$C$63=1),0,IF(Paths!$P$63="Complete",O630+L630,"n.a."))</f>
        <v>0</v>
      </c>
      <c r="Q630" s="16">
        <f>IF(NOT(Paths!$C$63=1),0,IF(Paths!$P$63="Complete",N630*(1+'Operating costs'!$B$54)^-C630,"n.a."))</f>
        <v>0</v>
      </c>
      <c r="R630" s="16">
        <f>IF(NOT(Paths!$C$63=1),0,IF(Paths!$P$63="Complete",IF(AND(C630=0,Paths!$E$63=0),I630-J630-K630+VLOOKUP(A630,'Fleet register'!$A$7:$S$106,15,FALSE)+VLOOKUP(A630,'Fleet register'!$A$7:$S$106,16,FALSE),0),"n.a."))</f>
        <v>0</v>
      </c>
      <c r="S630" s="1">
        <f>IF(NOT(Paths!$C$63=1),0,IF(Paths!$P$63="Complete",IF(C630=0,0,Paths!$S$63*Paths!$R$63),"n.a."))</f>
        <v>0</v>
      </c>
      <c r="T630" s="1">
        <f>IF(NOT(Paths!$C$63=1),0,IF(Paths!$P$63="Complete",IF(C630=0,0,VLOOKUP(A630,'Fleet register'!$A$7:$S$106,9,FALSE)*Paths!$R$63),"n.a."))</f>
        <v>0</v>
      </c>
    </row>
    <row r="631" spans="1:20" ht="24" customHeight="1">
      <c r="A631" s="1" t="str">
        <f>Paths!$A$63</f>
        <v>T015</v>
      </c>
      <c r="B631" s="1">
        <f>Paths!$B$63</f>
        <v>0</v>
      </c>
      <c r="C631" s="1">
        <v>8</v>
      </c>
      <c r="D631" s="1">
        <v>63</v>
      </c>
      <c r="E631" s="1">
        <f>IF(OR(Paths!$C$63=0,C631=0),0,MAX(0,MIN(C631*12,Paths!$E$63)-(C631-1)*12))</f>
        <v>0</v>
      </c>
      <c r="F631" s="1">
        <f>IF(OR(Paths!$C$63=0,C631=0),0,12-E631)</f>
        <v>0</v>
      </c>
      <c r="G631" s="16">
        <f>IF(NOT(Paths!$C$63=1),0,IF(Paths!$P$63="Complete",E631/12*(Paths!$J$63*(1+'Operating costs'!$B$51)^MAX(0,C631-1)+Paths!$K$63*(1+'Operating costs'!$B$53)^MAX(0,C631-1)),"n.a."))</f>
        <v>0</v>
      </c>
      <c r="H631" s="16">
        <f>IF(NOT(Paths!$C$63=1),0,IF(Paths!$P$63="Complete",F631/12*(Paths!$L$63*(1+IF(Paths!$D$63="EV",'Operating costs'!$B$52,'Operating costs'!$B$51))^MAX(0,C631-1)+Paths!$M$63*(1+'Operating costs'!$B$53)^MAX(0,C631-1)),"n.a."))</f>
        <v>0</v>
      </c>
      <c r="I631" s="16">
        <f>IF(NOT(Paths!$C$63=1),0,IF(Paths!$P$63="Complete",IF(IF(Paths!$E$63=0,C631=0,AND(C631&gt;0,Paths!$E$63&gt;(C631-1)*12,Paths!$E$63&lt;=C631*12)),Paths!$G$63,0),"n.a."))</f>
        <v>0</v>
      </c>
      <c r="J631" s="16">
        <f>IF(NOT(Paths!$C$63=1),0,IF(Paths!$P$63="Complete",IF(IF(Paths!$E$63=0,C631=0,AND(C631&gt;0,Paths!$E$63&gt;(C631-1)*12,Paths!$E$63&lt;=C631*12)),Paths!$H$63,0),"n.a."))</f>
        <v>0</v>
      </c>
      <c r="K631" s="16">
        <f>IF(NOT(Paths!$C$63=1),0,IF(Paths!$P$63="Complete",IF(IF(Paths!$O$63=0,C631=0,AND(C631&gt;0,Paths!$O$63&gt;(C631-1)*12,Paths!$O$63&lt;=C631*12)),Paths!$N$63,0),"n.a."))</f>
        <v>0</v>
      </c>
      <c r="L631" s="16">
        <f>IF(NOT(Paths!$C$63=1),0,IF(Paths!$P$63="Complete",IF(C631=10,Paths!$I$63,0),"n.a."))</f>
        <v>0</v>
      </c>
      <c r="M631" s="16">
        <f>IF(NOT(Paths!$C$63=1),0,IF(Paths!$P$63="Complete",IF(AND(Paths!$D$63="EV",Paths!$E$63&lt;120,Paths!$E$63+'Operating costs'!$B$65&gt;Paths!$E$63,Paths!$E$63+'Operating costs'!$B$65&lt;=120,IF(Paths!$E$63+'Operating costs'!$B$65=0,C631=0,AND(C631&gt;0,Paths!$E$63+'Operating costs'!$B$65&gt;(C631-1)*12,Paths!$E$63+'Operating costs'!$B$65&lt;=C631*12))),'Operating costs'!$B$64,0)+IF(AND('Operating costs'!$B$67&gt;0,'Operating costs'!$B$67&lt;=120,OR(Paths!$D$63="ICE",'Operating costs'!$B$67&lt;=Paths!$E$63),IF('Operating costs'!$B$67=0,C631=0,AND(C631&gt;0,'Operating costs'!$B$67&gt;(C631-1)*12,'Operating costs'!$B$67&lt;=C631*12))),'Operating costs'!$B$66,0),"n.a."))</f>
        <v>0</v>
      </c>
      <c r="N631" s="16">
        <f>IF(NOT(Paths!$C$63=1),0,IF(Paths!$P$63="Complete",SUM(G631:I631)-J631-K631-L631+M631+IF(C631=0,Paths!$F$63,0)+IF(IF(Paths!$E$63=0,C631=0,AND(C631&gt;0,Paths!$E$63&gt;(C631-1)*12,Paths!$E$63&lt;=C631*12)),VLOOKUP(A631,'Fleet register'!$A$7:$S$106,16,FALSE),0),"n.a."))</f>
        <v>0</v>
      </c>
      <c r="O631" s="16">
        <f>IF(NOT(Paths!$C$63=1),0,IF(Paths!$P$63="Complete",N631-IF(C631=0,Paths!$F$63,0),"n.a."))</f>
        <v>0</v>
      </c>
      <c r="P631" s="16">
        <f>IF(NOT(Paths!$C$63=1),0,IF(Paths!$P$63="Complete",O631+L631,"n.a."))</f>
        <v>0</v>
      </c>
      <c r="Q631" s="16">
        <f>IF(NOT(Paths!$C$63=1),0,IF(Paths!$P$63="Complete",N631*(1+'Operating costs'!$B$54)^-C631,"n.a."))</f>
        <v>0</v>
      </c>
      <c r="R631" s="16">
        <f>IF(NOT(Paths!$C$63=1),0,IF(Paths!$P$63="Complete",IF(AND(C631=0,Paths!$E$63=0),I631-J631-K631+VLOOKUP(A631,'Fleet register'!$A$7:$S$106,15,FALSE)+VLOOKUP(A631,'Fleet register'!$A$7:$S$106,16,FALSE),0),"n.a."))</f>
        <v>0</v>
      </c>
      <c r="S631" s="1">
        <f>IF(NOT(Paths!$C$63=1),0,IF(Paths!$P$63="Complete",IF(C631=0,0,Paths!$S$63*Paths!$R$63),"n.a."))</f>
        <v>0</v>
      </c>
      <c r="T631" s="1">
        <f>IF(NOT(Paths!$C$63=1),0,IF(Paths!$P$63="Complete",IF(C631=0,0,VLOOKUP(A631,'Fleet register'!$A$7:$S$106,9,FALSE)*Paths!$R$63),"n.a."))</f>
        <v>0</v>
      </c>
    </row>
    <row r="632" spans="1:20" ht="24" customHeight="1">
      <c r="A632" s="1" t="str">
        <f>Paths!$A$63</f>
        <v>T015</v>
      </c>
      <c r="B632" s="1">
        <f>Paths!$B$63</f>
        <v>0</v>
      </c>
      <c r="C632" s="1">
        <v>9</v>
      </c>
      <c r="D632" s="1">
        <v>63</v>
      </c>
      <c r="E632" s="1">
        <f>IF(OR(Paths!$C$63=0,C632=0),0,MAX(0,MIN(C632*12,Paths!$E$63)-(C632-1)*12))</f>
        <v>0</v>
      </c>
      <c r="F632" s="1">
        <f>IF(OR(Paths!$C$63=0,C632=0),0,12-E632)</f>
        <v>0</v>
      </c>
      <c r="G632" s="16">
        <f>IF(NOT(Paths!$C$63=1),0,IF(Paths!$P$63="Complete",E632/12*(Paths!$J$63*(1+'Operating costs'!$B$51)^MAX(0,C632-1)+Paths!$K$63*(1+'Operating costs'!$B$53)^MAX(0,C632-1)),"n.a."))</f>
        <v>0</v>
      </c>
      <c r="H632" s="16">
        <f>IF(NOT(Paths!$C$63=1),0,IF(Paths!$P$63="Complete",F632/12*(Paths!$L$63*(1+IF(Paths!$D$63="EV",'Operating costs'!$B$52,'Operating costs'!$B$51))^MAX(0,C632-1)+Paths!$M$63*(1+'Operating costs'!$B$53)^MAX(0,C632-1)),"n.a."))</f>
        <v>0</v>
      </c>
      <c r="I632" s="16">
        <f>IF(NOT(Paths!$C$63=1),0,IF(Paths!$P$63="Complete",IF(IF(Paths!$E$63=0,C632=0,AND(C632&gt;0,Paths!$E$63&gt;(C632-1)*12,Paths!$E$63&lt;=C632*12)),Paths!$G$63,0),"n.a."))</f>
        <v>0</v>
      </c>
      <c r="J632" s="16">
        <f>IF(NOT(Paths!$C$63=1),0,IF(Paths!$P$63="Complete",IF(IF(Paths!$E$63=0,C632=0,AND(C632&gt;0,Paths!$E$63&gt;(C632-1)*12,Paths!$E$63&lt;=C632*12)),Paths!$H$63,0),"n.a."))</f>
        <v>0</v>
      </c>
      <c r="K632" s="16">
        <f>IF(NOT(Paths!$C$63=1),0,IF(Paths!$P$63="Complete",IF(IF(Paths!$O$63=0,C632=0,AND(C632&gt;0,Paths!$O$63&gt;(C632-1)*12,Paths!$O$63&lt;=C632*12)),Paths!$N$63,0),"n.a."))</f>
        <v>0</v>
      </c>
      <c r="L632" s="16">
        <f>IF(NOT(Paths!$C$63=1),0,IF(Paths!$P$63="Complete",IF(C632=10,Paths!$I$63,0),"n.a."))</f>
        <v>0</v>
      </c>
      <c r="M632" s="16">
        <f>IF(NOT(Paths!$C$63=1),0,IF(Paths!$P$63="Complete",IF(AND(Paths!$D$63="EV",Paths!$E$63&lt;120,Paths!$E$63+'Operating costs'!$B$65&gt;Paths!$E$63,Paths!$E$63+'Operating costs'!$B$65&lt;=120,IF(Paths!$E$63+'Operating costs'!$B$65=0,C632=0,AND(C632&gt;0,Paths!$E$63+'Operating costs'!$B$65&gt;(C632-1)*12,Paths!$E$63+'Operating costs'!$B$65&lt;=C632*12))),'Operating costs'!$B$64,0)+IF(AND('Operating costs'!$B$67&gt;0,'Operating costs'!$B$67&lt;=120,OR(Paths!$D$63="ICE",'Operating costs'!$B$67&lt;=Paths!$E$63),IF('Operating costs'!$B$67=0,C632=0,AND(C632&gt;0,'Operating costs'!$B$67&gt;(C632-1)*12,'Operating costs'!$B$67&lt;=C632*12))),'Operating costs'!$B$66,0),"n.a."))</f>
        <v>0</v>
      </c>
      <c r="N632" s="16">
        <f>IF(NOT(Paths!$C$63=1),0,IF(Paths!$P$63="Complete",SUM(G632:I632)-J632-K632-L632+M632+IF(C632=0,Paths!$F$63,0)+IF(IF(Paths!$E$63=0,C632=0,AND(C632&gt;0,Paths!$E$63&gt;(C632-1)*12,Paths!$E$63&lt;=C632*12)),VLOOKUP(A632,'Fleet register'!$A$7:$S$106,16,FALSE),0),"n.a."))</f>
        <v>0</v>
      </c>
      <c r="O632" s="16">
        <f>IF(NOT(Paths!$C$63=1),0,IF(Paths!$P$63="Complete",N632-IF(C632=0,Paths!$F$63,0),"n.a."))</f>
        <v>0</v>
      </c>
      <c r="P632" s="16">
        <f>IF(NOT(Paths!$C$63=1),0,IF(Paths!$P$63="Complete",O632+L632,"n.a."))</f>
        <v>0</v>
      </c>
      <c r="Q632" s="16">
        <f>IF(NOT(Paths!$C$63=1),0,IF(Paths!$P$63="Complete",N632*(1+'Operating costs'!$B$54)^-C632,"n.a."))</f>
        <v>0</v>
      </c>
      <c r="R632" s="16">
        <f>IF(NOT(Paths!$C$63=1),0,IF(Paths!$P$63="Complete",IF(AND(C632=0,Paths!$E$63=0),I632-J632-K632+VLOOKUP(A632,'Fleet register'!$A$7:$S$106,15,FALSE)+VLOOKUP(A632,'Fleet register'!$A$7:$S$106,16,FALSE),0),"n.a."))</f>
        <v>0</v>
      </c>
      <c r="S632" s="1">
        <f>IF(NOT(Paths!$C$63=1),0,IF(Paths!$P$63="Complete",IF(C632=0,0,Paths!$S$63*Paths!$R$63),"n.a."))</f>
        <v>0</v>
      </c>
      <c r="T632" s="1">
        <f>IF(NOT(Paths!$C$63=1),0,IF(Paths!$P$63="Complete",IF(C632=0,0,VLOOKUP(A632,'Fleet register'!$A$7:$S$106,9,FALSE)*Paths!$R$63),"n.a."))</f>
        <v>0</v>
      </c>
    </row>
    <row r="633" spans="1:20" ht="24" customHeight="1">
      <c r="A633" s="1" t="str">
        <f>Paths!$A$63</f>
        <v>T015</v>
      </c>
      <c r="B633" s="1">
        <f>Paths!$B$63</f>
        <v>0</v>
      </c>
      <c r="C633" s="1">
        <v>10</v>
      </c>
      <c r="D633" s="1">
        <v>63</v>
      </c>
      <c r="E633" s="1">
        <f>IF(OR(Paths!$C$63=0,C633=0),0,MAX(0,MIN(C633*12,Paths!$E$63)-(C633-1)*12))</f>
        <v>0</v>
      </c>
      <c r="F633" s="1">
        <f>IF(OR(Paths!$C$63=0,C633=0),0,12-E633)</f>
        <v>0</v>
      </c>
      <c r="G633" s="16">
        <f>IF(NOT(Paths!$C$63=1),0,IF(Paths!$P$63="Complete",E633/12*(Paths!$J$63*(1+'Operating costs'!$B$51)^MAX(0,C633-1)+Paths!$K$63*(1+'Operating costs'!$B$53)^MAX(0,C633-1)),"n.a."))</f>
        <v>0</v>
      </c>
      <c r="H633" s="16">
        <f>IF(NOT(Paths!$C$63=1),0,IF(Paths!$P$63="Complete",F633/12*(Paths!$L$63*(1+IF(Paths!$D$63="EV",'Operating costs'!$B$52,'Operating costs'!$B$51))^MAX(0,C633-1)+Paths!$M$63*(1+'Operating costs'!$B$53)^MAX(0,C633-1)),"n.a."))</f>
        <v>0</v>
      </c>
      <c r="I633" s="16">
        <f>IF(NOT(Paths!$C$63=1),0,IF(Paths!$P$63="Complete",IF(IF(Paths!$E$63=0,C633=0,AND(C633&gt;0,Paths!$E$63&gt;(C633-1)*12,Paths!$E$63&lt;=C633*12)),Paths!$G$63,0),"n.a."))</f>
        <v>0</v>
      </c>
      <c r="J633" s="16">
        <f>IF(NOT(Paths!$C$63=1),0,IF(Paths!$P$63="Complete",IF(IF(Paths!$E$63=0,C633=0,AND(C633&gt;0,Paths!$E$63&gt;(C633-1)*12,Paths!$E$63&lt;=C633*12)),Paths!$H$63,0),"n.a."))</f>
        <v>0</v>
      </c>
      <c r="K633" s="16">
        <f>IF(NOT(Paths!$C$63=1),0,IF(Paths!$P$63="Complete",IF(IF(Paths!$O$63=0,C633=0,AND(C633&gt;0,Paths!$O$63&gt;(C633-1)*12,Paths!$O$63&lt;=C633*12)),Paths!$N$63,0),"n.a."))</f>
        <v>0</v>
      </c>
      <c r="L633" s="16">
        <f>IF(NOT(Paths!$C$63=1),0,IF(Paths!$P$63="Complete",IF(C633=10,Paths!$I$63,0),"n.a."))</f>
        <v>0</v>
      </c>
      <c r="M633" s="16">
        <f>IF(NOT(Paths!$C$63=1),0,IF(Paths!$P$63="Complete",IF(AND(Paths!$D$63="EV",Paths!$E$63&lt;120,Paths!$E$63+'Operating costs'!$B$65&gt;Paths!$E$63,Paths!$E$63+'Operating costs'!$B$65&lt;=120,IF(Paths!$E$63+'Operating costs'!$B$65=0,C633=0,AND(C633&gt;0,Paths!$E$63+'Operating costs'!$B$65&gt;(C633-1)*12,Paths!$E$63+'Operating costs'!$B$65&lt;=C633*12))),'Operating costs'!$B$64,0)+IF(AND('Operating costs'!$B$67&gt;0,'Operating costs'!$B$67&lt;=120,OR(Paths!$D$63="ICE",'Operating costs'!$B$67&lt;=Paths!$E$63),IF('Operating costs'!$B$67=0,C633=0,AND(C633&gt;0,'Operating costs'!$B$67&gt;(C633-1)*12,'Operating costs'!$B$67&lt;=C633*12))),'Operating costs'!$B$66,0),"n.a."))</f>
        <v>0</v>
      </c>
      <c r="N633" s="16">
        <f>IF(NOT(Paths!$C$63=1),0,IF(Paths!$P$63="Complete",SUM(G633:I633)-J633-K633-L633+M633+IF(C633=0,Paths!$F$63,0)+IF(IF(Paths!$E$63=0,C633=0,AND(C633&gt;0,Paths!$E$63&gt;(C633-1)*12,Paths!$E$63&lt;=C633*12)),VLOOKUP(A633,'Fleet register'!$A$7:$S$106,16,FALSE),0),"n.a."))</f>
        <v>0</v>
      </c>
      <c r="O633" s="16">
        <f>IF(NOT(Paths!$C$63=1),0,IF(Paths!$P$63="Complete",N633-IF(C633=0,Paths!$F$63,0),"n.a."))</f>
        <v>0</v>
      </c>
      <c r="P633" s="16">
        <f>IF(NOT(Paths!$C$63=1),0,IF(Paths!$P$63="Complete",O633+L633,"n.a."))</f>
        <v>0</v>
      </c>
      <c r="Q633" s="16">
        <f>IF(NOT(Paths!$C$63=1),0,IF(Paths!$P$63="Complete",N633*(1+'Operating costs'!$B$54)^-C633,"n.a."))</f>
        <v>0</v>
      </c>
      <c r="R633" s="16">
        <f>IF(NOT(Paths!$C$63=1),0,IF(Paths!$P$63="Complete",IF(AND(C633=0,Paths!$E$63=0),I633-J633-K633+VLOOKUP(A633,'Fleet register'!$A$7:$S$106,15,FALSE)+VLOOKUP(A633,'Fleet register'!$A$7:$S$106,16,FALSE),0),"n.a."))</f>
        <v>0</v>
      </c>
      <c r="S633" s="1">
        <f>IF(NOT(Paths!$C$63=1),0,IF(Paths!$P$63="Complete",IF(C633=0,0,Paths!$S$63*Paths!$R$63),"n.a."))</f>
        <v>0</v>
      </c>
      <c r="T633" s="1">
        <f>IF(NOT(Paths!$C$63=1),0,IF(Paths!$P$63="Complete",IF(C633=0,0,VLOOKUP(A633,'Fleet register'!$A$7:$S$106,9,FALSE)*Paths!$R$63),"n.a."))</f>
        <v>0</v>
      </c>
    </row>
    <row r="634" spans="1:20" ht="24" customHeight="1">
      <c r="A634" s="1" t="str">
        <f>Paths!$A$64</f>
        <v>T015</v>
      </c>
      <c r="B634" s="1">
        <f>Paths!$B$64</f>
        <v>1</v>
      </c>
      <c r="C634" s="1">
        <v>0</v>
      </c>
      <c r="D634" s="1">
        <v>64</v>
      </c>
      <c r="E634" s="1">
        <f>IF(OR(Paths!$C$64=0,C634=0),0,MAX(0,MIN(C634*12,Paths!$E$64)-(C634-1)*12))</f>
        <v>0</v>
      </c>
      <c r="F634" s="1">
        <f>IF(OR(Paths!$C$64=0,C634=0),0,12-E634)</f>
        <v>0</v>
      </c>
      <c r="G634" s="16">
        <f>IF(NOT(Paths!$C$64=1),0,IF(Paths!$P$64="Complete",E634/12*(Paths!$J$64*(1+'Operating costs'!$B$51)^MAX(0,C634-1)+Paths!$K$64*(1+'Operating costs'!$B$53)^MAX(0,C634-1)),"n.a."))</f>
        <v>0</v>
      </c>
      <c r="H634" s="16">
        <f>IF(NOT(Paths!$C$64=1),0,IF(Paths!$P$64="Complete",F634/12*(Paths!$L$64*(1+IF(Paths!$D$64="EV",'Operating costs'!$B$52,'Operating costs'!$B$51))^MAX(0,C634-1)+Paths!$M$64*(1+'Operating costs'!$B$53)^MAX(0,C634-1)),"n.a."))</f>
        <v>0</v>
      </c>
      <c r="I634" s="16">
        <f>IF(NOT(Paths!$C$64=1),0,IF(Paths!$P$64="Complete",IF(IF(Paths!$E$64=0,C634=0,AND(C634&gt;0,Paths!$E$64&gt;(C634-1)*12,Paths!$E$64&lt;=C634*12)),Paths!$G$64,0),"n.a."))</f>
        <v>0</v>
      </c>
      <c r="J634" s="16">
        <f>IF(NOT(Paths!$C$64=1),0,IF(Paths!$P$64="Complete",IF(IF(Paths!$E$64=0,C634=0,AND(C634&gt;0,Paths!$E$64&gt;(C634-1)*12,Paths!$E$64&lt;=C634*12)),Paths!$H$64,0),"n.a."))</f>
        <v>0</v>
      </c>
      <c r="K634" s="16">
        <f>IF(NOT(Paths!$C$64=1),0,IF(Paths!$P$64="Complete",IF(IF(Paths!$O$64=0,C634=0,AND(C634&gt;0,Paths!$O$64&gt;(C634-1)*12,Paths!$O$64&lt;=C634*12)),Paths!$N$64,0),"n.a."))</f>
        <v>0</v>
      </c>
      <c r="L634" s="16">
        <f>IF(NOT(Paths!$C$64=1),0,IF(Paths!$P$64="Complete",IF(C634=10,Paths!$I$64,0),"n.a."))</f>
        <v>0</v>
      </c>
      <c r="M634" s="16">
        <f>IF(NOT(Paths!$C$64=1),0,IF(Paths!$P$64="Complete",IF(AND(Paths!$D$64="EV",Paths!$E$64&lt;120,Paths!$E$64+'Operating costs'!$B$65&gt;Paths!$E$64,Paths!$E$64+'Operating costs'!$B$65&lt;=120,IF(Paths!$E$64+'Operating costs'!$B$65=0,C634=0,AND(C634&gt;0,Paths!$E$64+'Operating costs'!$B$65&gt;(C634-1)*12,Paths!$E$64+'Operating costs'!$B$65&lt;=C634*12))),'Operating costs'!$B$64,0)+IF(AND('Operating costs'!$B$67&gt;0,'Operating costs'!$B$67&lt;=120,OR(Paths!$D$64="ICE",'Operating costs'!$B$67&lt;=Paths!$E$64),IF('Operating costs'!$B$67=0,C634=0,AND(C634&gt;0,'Operating costs'!$B$67&gt;(C634-1)*12,'Operating costs'!$B$67&lt;=C634*12))),'Operating costs'!$B$66,0),"n.a."))</f>
        <v>0</v>
      </c>
      <c r="N634" s="16">
        <f>IF(NOT(Paths!$C$64=1),0,IF(Paths!$P$64="Complete",SUM(G634:I634)-J634-K634-L634+M634+IF(C634=0,Paths!$F$64,0)+IF(IF(Paths!$E$64=0,C634=0,AND(C634&gt;0,Paths!$E$64&gt;(C634-1)*12,Paths!$E$64&lt;=C634*12)),VLOOKUP(A634,'Fleet register'!$A$7:$S$106,16,FALSE),0),"n.a."))</f>
        <v>0</v>
      </c>
      <c r="O634" s="16">
        <f>IF(NOT(Paths!$C$64=1),0,IF(Paths!$P$64="Complete",N634-IF(C634=0,Paths!$F$64,0),"n.a."))</f>
        <v>0</v>
      </c>
      <c r="P634" s="16">
        <f>IF(NOT(Paths!$C$64=1),0,IF(Paths!$P$64="Complete",O634+L634,"n.a."))</f>
        <v>0</v>
      </c>
      <c r="Q634" s="16">
        <f>IF(NOT(Paths!$C$64=1),0,IF(Paths!$P$64="Complete",N634*(1+'Operating costs'!$B$54)^-C634,"n.a."))</f>
        <v>0</v>
      </c>
      <c r="R634" s="16">
        <f>IF(NOT(Paths!$C$64=1),0,IF(Paths!$P$64="Complete",IF(AND(C634=0,Paths!$E$64=0),I634-J634-K634+VLOOKUP(A634,'Fleet register'!$A$7:$S$106,15,FALSE)+VLOOKUP(A634,'Fleet register'!$A$7:$S$106,16,FALSE),0),"n.a."))</f>
        <v>0</v>
      </c>
      <c r="S634" s="1">
        <f>IF(NOT(Paths!$C$64=1),0,IF(Paths!$P$64="Complete",IF(C634=0,0,Paths!$S$64*Paths!$R$64),"n.a."))</f>
        <v>0</v>
      </c>
      <c r="T634" s="1">
        <f>IF(NOT(Paths!$C$64=1),0,IF(Paths!$P$64="Complete",IF(C634=0,0,VLOOKUP(A634,'Fleet register'!$A$7:$S$106,9,FALSE)*Paths!$R$64),"n.a."))</f>
        <v>0</v>
      </c>
    </row>
    <row r="635" spans="1:20" ht="24" customHeight="1">
      <c r="A635" s="1" t="str">
        <f>Paths!$A$64</f>
        <v>T015</v>
      </c>
      <c r="B635" s="1">
        <f>Paths!$B$64</f>
        <v>1</v>
      </c>
      <c r="C635" s="1">
        <v>1</v>
      </c>
      <c r="D635" s="1">
        <v>64</v>
      </c>
      <c r="E635" s="1">
        <f>IF(OR(Paths!$C$64=0,C635=0),0,MAX(0,MIN(C635*12,Paths!$E$64)-(C635-1)*12))</f>
        <v>0</v>
      </c>
      <c r="F635" s="1">
        <f>IF(OR(Paths!$C$64=0,C635=0),0,12-E635)</f>
        <v>0</v>
      </c>
      <c r="G635" s="16">
        <f>IF(NOT(Paths!$C$64=1),0,IF(Paths!$P$64="Complete",E635/12*(Paths!$J$64*(1+'Operating costs'!$B$51)^MAX(0,C635-1)+Paths!$K$64*(1+'Operating costs'!$B$53)^MAX(0,C635-1)),"n.a."))</f>
        <v>0</v>
      </c>
      <c r="H635" s="16">
        <f>IF(NOT(Paths!$C$64=1),0,IF(Paths!$P$64="Complete",F635/12*(Paths!$L$64*(1+IF(Paths!$D$64="EV",'Operating costs'!$B$52,'Operating costs'!$B$51))^MAX(0,C635-1)+Paths!$M$64*(1+'Operating costs'!$B$53)^MAX(0,C635-1)),"n.a."))</f>
        <v>0</v>
      </c>
      <c r="I635" s="16">
        <f>IF(NOT(Paths!$C$64=1),0,IF(Paths!$P$64="Complete",IF(IF(Paths!$E$64=0,C635=0,AND(C635&gt;0,Paths!$E$64&gt;(C635-1)*12,Paths!$E$64&lt;=C635*12)),Paths!$G$64,0),"n.a."))</f>
        <v>0</v>
      </c>
      <c r="J635" s="16">
        <f>IF(NOT(Paths!$C$64=1),0,IF(Paths!$P$64="Complete",IF(IF(Paths!$E$64=0,C635=0,AND(C635&gt;0,Paths!$E$64&gt;(C635-1)*12,Paths!$E$64&lt;=C635*12)),Paths!$H$64,0),"n.a."))</f>
        <v>0</v>
      </c>
      <c r="K635" s="16">
        <f>IF(NOT(Paths!$C$64=1),0,IF(Paths!$P$64="Complete",IF(IF(Paths!$O$64=0,C635=0,AND(C635&gt;0,Paths!$O$64&gt;(C635-1)*12,Paths!$O$64&lt;=C635*12)),Paths!$N$64,0),"n.a."))</f>
        <v>0</v>
      </c>
      <c r="L635" s="16">
        <f>IF(NOT(Paths!$C$64=1),0,IF(Paths!$P$64="Complete",IF(C635=10,Paths!$I$64,0),"n.a."))</f>
        <v>0</v>
      </c>
      <c r="M635" s="16">
        <f>IF(NOT(Paths!$C$64=1),0,IF(Paths!$P$64="Complete",IF(AND(Paths!$D$64="EV",Paths!$E$64&lt;120,Paths!$E$64+'Operating costs'!$B$65&gt;Paths!$E$64,Paths!$E$64+'Operating costs'!$B$65&lt;=120,IF(Paths!$E$64+'Operating costs'!$B$65=0,C635=0,AND(C635&gt;0,Paths!$E$64+'Operating costs'!$B$65&gt;(C635-1)*12,Paths!$E$64+'Operating costs'!$B$65&lt;=C635*12))),'Operating costs'!$B$64,0)+IF(AND('Operating costs'!$B$67&gt;0,'Operating costs'!$B$67&lt;=120,OR(Paths!$D$64="ICE",'Operating costs'!$B$67&lt;=Paths!$E$64),IF('Operating costs'!$B$67=0,C635=0,AND(C635&gt;0,'Operating costs'!$B$67&gt;(C635-1)*12,'Operating costs'!$B$67&lt;=C635*12))),'Operating costs'!$B$66,0),"n.a."))</f>
        <v>0</v>
      </c>
      <c r="N635" s="16">
        <f>IF(NOT(Paths!$C$64=1),0,IF(Paths!$P$64="Complete",SUM(G635:I635)-J635-K635-L635+M635+IF(C635=0,Paths!$F$64,0)+IF(IF(Paths!$E$64=0,C635=0,AND(C635&gt;0,Paths!$E$64&gt;(C635-1)*12,Paths!$E$64&lt;=C635*12)),VLOOKUP(A635,'Fleet register'!$A$7:$S$106,16,FALSE),0),"n.a."))</f>
        <v>0</v>
      </c>
      <c r="O635" s="16">
        <f>IF(NOT(Paths!$C$64=1),0,IF(Paths!$P$64="Complete",N635-IF(C635=0,Paths!$F$64,0),"n.a."))</f>
        <v>0</v>
      </c>
      <c r="P635" s="16">
        <f>IF(NOT(Paths!$C$64=1),0,IF(Paths!$P$64="Complete",O635+L635,"n.a."))</f>
        <v>0</v>
      </c>
      <c r="Q635" s="16">
        <f>IF(NOT(Paths!$C$64=1),0,IF(Paths!$P$64="Complete",N635*(1+'Operating costs'!$B$54)^-C635,"n.a."))</f>
        <v>0</v>
      </c>
      <c r="R635" s="16">
        <f>IF(NOT(Paths!$C$64=1),0,IF(Paths!$P$64="Complete",IF(AND(C635=0,Paths!$E$64=0),I635-J635-K635+VLOOKUP(A635,'Fleet register'!$A$7:$S$106,15,FALSE)+VLOOKUP(A635,'Fleet register'!$A$7:$S$106,16,FALSE),0),"n.a."))</f>
        <v>0</v>
      </c>
      <c r="S635" s="1">
        <f>IF(NOT(Paths!$C$64=1),0,IF(Paths!$P$64="Complete",IF(C635=0,0,Paths!$S$64*Paths!$R$64),"n.a."))</f>
        <v>0</v>
      </c>
      <c r="T635" s="1">
        <f>IF(NOT(Paths!$C$64=1),0,IF(Paths!$P$64="Complete",IF(C635=0,0,VLOOKUP(A635,'Fleet register'!$A$7:$S$106,9,FALSE)*Paths!$R$64),"n.a."))</f>
        <v>0</v>
      </c>
    </row>
    <row r="636" spans="1:20" ht="24" customHeight="1">
      <c r="A636" s="1" t="str">
        <f>Paths!$A$64</f>
        <v>T015</v>
      </c>
      <c r="B636" s="1">
        <f>Paths!$B$64</f>
        <v>1</v>
      </c>
      <c r="C636" s="1">
        <v>2</v>
      </c>
      <c r="D636" s="1">
        <v>64</v>
      </c>
      <c r="E636" s="1">
        <f>IF(OR(Paths!$C$64=0,C636=0),0,MAX(0,MIN(C636*12,Paths!$E$64)-(C636-1)*12))</f>
        <v>0</v>
      </c>
      <c r="F636" s="1">
        <f>IF(OR(Paths!$C$64=0,C636=0),0,12-E636)</f>
        <v>0</v>
      </c>
      <c r="G636" s="16">
        <f>IF(NOT(Paths!$C$64=1),0,IF(Paths!$P$64="Complete",E636/12*(Paths!$J$64*(1+'Operating costs'!$B$51)^MAX(0,C636-1)+Paths!$K$64*(1+'Operating costs'!$B$53)^MAX(0,C636-1)),"n.a."))</f>
        <v>0</v>
      </c>
      <c r="H636" s="16">
        <f>IF(NOT(Paths!$C$64=1),0,IF(Paths!$P$64="Complete",F636/12*(Paths!$L$64*(1+IF(Paths!$D$64="EV",'Operating costs'!$B$52,'Operating costs'!$B$51))^MAX(0,C636-1)+Paths!$M$64*(1+'Operating costs'!$B$53)^MAX(0,C636-1)),"n.a."))</f>
        <v>0</v>
      </c>
      <c r="I636" s="16">
        <f>IF(NOT(Paths!$C$64=1),0,IF(Paths!$P$64="Complete",IF(IF(Paths!$E$64=0,C636=0,AND(C636&gt;0,Paths!$E$64&gt;(C636-1)*12,Paths!$E$64&lt;=C636*12)),Paths!$G$64,0),"n.a."))</f>
        <v>0</v>
      </c>
      <c r="J636" s="16">
        <f>IF(NOT(Paths!$C$64=1),0,IF(Paths!$P$64="Complete",IF(IF(Paths!$E$64=0,C636=0,AND(C636&gt;0,Paths!$E$64&gt;(C636-1)*12,Paths!$E$64&lt;=C636*12)),Paths!$H$64,0),"n.a."))</f>
        <v>0</v>
      </c>
      <c r="K636" s="16">
        <f>IF(NOT(Paths!$C$64=1),0,IF(Paths!$P$64="Complete",IF(IF(Paths!$O$64=0,C636=0,AND(C636&gt;0,Paths!$O$64&gt;(C636-1)*12,Paths!$O$64&lt;=C636*12)),Paths!$N$64,0),"n.a."))</f>
        <v>0</v>
      </c>
      <c r="L636" s="16">
        <f>IF(NOT(Paths!$C$64=1),0,IF(Paths!$P$64="Complete",IF(C636=10,Paths!$I$64,0),"n.a."))</f>
        <v>0</v>
      </c>
      <c r="M636" s="16">
        <f>IF(NOT(Paths!$C$64=1),0,IF(Paths!$P$64="Complete",IF(AND(Paths!$D$64="EV",Paths!$E$64&lt;120,Paths!$E$64+'Operating costs'!$B$65&gt;Paths!$E$64,Paths!$E$64+'Operating costs'!$B$65&lt;=120,IF(Paths!$E$64+'Operating costs'!$B$65=0,C636=0,AND(C636&gt;0,Paths!$E$64+'Operating costs'!$B$65&gt;(C636-1)*12,Paths!$E$64+'Operating costs'!$B$65&lt;=C636*12))),'Operating costs'!$B$64,0)+IF(AND('Operating costs'!$B$67&gt;0,'Operating costs'!$B$67&lt;=120,OR(Paths!$D$64="ICE",'Operating costs'!$B$67&lt;=Paths!$E$64),IF('Operating costs'!$B$67=0,C636=0,AND(C636&gt;0,'Operating costs'!$B$67&gt;(C636-1)*12,'Operating costs'!$B$67&lt;=C636*12))),'Operating costs'!$B$66,0),"n.a."))</f>
        <v>0</v>
      </c>
      <c r="N636" s="16">
        <f>IF(NOT(Paths!$C$64=1),0,IF(Paths!$P$64="Complete",SUM(G636:I636)-J636-K636-L636+M636+IF(C636=0,Paths!$F$64,0)+IF(IF(Paths!$E$64=0,C636=0,AND(C636&gt;0,Paths!$E$64&gt;(C636-1)*12,Paths!$E$64&lt;=C636*12)),VLOOKUP(A636,'Fleet register'!$A$7:$S$106,16,FALSE),0),"n.a."))</f>
        <v>0</v>
      </c>
      <c r="O636" s="16">
        <f>IF(NOT(Paths!$C$64=1),0,IF(Paths!$P$64="Complete",N636-IF(C636=0,Paths!$F$64,0),"n.a."))</f>
        <v>0</v>
      </c>
      <c r="P636" s="16">
        <f>IF(NOT(Paths!$C$64=1),0,IF(Paths!$P$64="Complete",O636+L636,"n.a."))</f>
        <v>0</v>
      </c>
      <c r="Q636" s="16">
        <f>IF(NOT(Paths!$C$64=1),0,IF(Paths!$P$64="Complete",N636*(1+'Operating costs'!$B$54)^-C636,"n.a."))</f>
        <v>0</v>
      </c>
      <c r="R636" s="16">
        <f>IF(NOT(Paths!$C$64=1),0,IF(Paths!$P$64="Complete",IF(AND(C636=0,Paths!$E$64=0),I636-J636-K636+VLOOKUP(A636,'Fleet register'!$A$7:$S$106,15,FALSE)+VLOOKUP(A636,'Fleet register'!$A$7:$S$106,16,FALSE),0),"n.a."))</f>
        <v>0</v>
      </c>
      <c r="S636" s="1">
        <f>IF(NOT(Paths!$C$64=1),0,IF(Paths!$P$64="Complete",IF(C636=0,0,Paths!$S$64*Paths!$R$64),"n.a."))</f>
        <v>0</v>
      </c>
      <c r="T636" s="1">
        <f>IF(NOT(Paths!$C$64=1),0,IF(Paths!$P$64="Complete",IF(C636=0,0,VLOOKUP(A636,'Fleet register'!$A$7:$S$106,9,FALSE)*Paths!$R$64),"n.a."))</f>
        <v>0</v>
      </c>
    </row>
    <row r="637" spans="1:20" ht="24" customHeight="1">
      <c r="A637" s="1" t="str">
        <f>Paths!$A$64</f>
        <v>T015</v>
      </c>
      <c r="B637" s="1">
        <f>Paths!$B$64</f>
        <v>1</v>
      </c>
      <c r="C637" s="1">
        <v>3</v>
      </c>
      <c r="D637" s="1">
        <v>64</v>
      </c>
      <c r="E637" s="1">
        <f>IF(OR(Paths!$C$64=0,C637=0),0,MAX(0,MIN(C637*12,Paths!$E$64)-(C637-1)*12))</f>
        <v>0</v>
      </c>
      <c r="F637" s="1">
        <f>IF(OR(Paths!$C$64=0,C637=0),0,12-E637)</f>
        <v>0</v>
      </c>
      <c r="G637" s="16">
        <f>IF(NOT(Paths!$C$64=1),0,IF(Paths!$P$64="Complete",E637/12*(Paths!$J$64*(1+'Operating costs'!$B$51)^MAX(0,C637-1)+Paths!$K$64*(1+'Operating costs'!$B$53)^MAX(0,C637-1)),"n.a."))</f>
        <v>0</v>
      </c>
      <c r="H637" s="16">
        <f>IF(NOT(Paths!$C$64=1),0,IF(Paths!$P$64="Complete",F637/12*(Paths!$L$64*(1+IF(Paths!$D$64="EV",'Operating costs'!$B$52,'Operating costs'!$B$51))^MAX(0,C637-1)+Paths!$M$64*(1+'Operating costs'!$B$53)^MAX(0,C637-1)),"n.a."))</f>
        <v>0</v>
      </c>
      <c r="I637" s="16">
        <f>IF(NOT(Paths!$C$64=1),0,IF(Paths!$P$64="Complete",IF(IF(Paths!$E$64=0,C637=0,AND(C637&gt;0,Paths!$E$64&gt;(C637-1)*12,Paths!$E$64&lt;=C637*12)),Paths!$G$64,0),"n.a."))</f>
        <v>0</v>
      </c>
      <c r="J637" s="16">
        <f>IF(NOT(Paths!$C$64=1),0,IF(Paths!$P$64="Complete",IF(IF(Paths!$E$64=0,C637=0,AND(C637&gt;0,Paths!$E$64&gt;(C637-1)*12,Paths!$E$64&lt;=C637*12)),Paths!$H$64,0),"n.a."))</f>
        <v>0</v>
      </c>
      <c r="K637" s="16">
        <f>IF(NOT(Paths!$C$64=1),0,IF(Paths!$P$64="Complete",IF(IF(Paths!$O$64=0,C637=0,AND(C637&gt;0,Paths!$O$64&gt;(C637-1)*12,Paths!$O$64&lt;=C637*12)),Paths!$N$64,0),"n.a."))</f>
        <v>0</v>
      </c>
      <c r="L637" s="16">
        <f>IF(NOT(Paths!$C$64=1),0,IF(Paths!$P$64="Complete",IF(C637=10,Paths!$I$64,0),"n.a."))</f>
        <v>0</v>
      </c>
      <c r="M637" s="16">
        <f>IF(NOT(Paths!$C$64=1),0,IF(Paths!$P$64="Complete",IF(AND(Paths!$D$64="EV",Paths!$E$64&lt;120,Paths!$E$64+'Operating costs'!$B$65&gt;Paths!$E$64,Paths!$E$64+'Operating costs'!$B$65&lt;=120,IF(Paths!$E$64+'Operating costs'!$B$65=0,C637=0,AND(C637&gt;0,Paths!$E$64+'Operating costs'!$B$65&gt;(C637-1)*12,Paths!$E$64+'Operating costs'!$B$65&lt;=C637*12))),'Operating costs'!$B$64,0)+IF(AND('Operating costs'!$B$67&gt;0,'Operating costs'!$B$67&lt;=120,OR(Paths!$D$64="ICE",'Operating costs'!$B$67&lt;=Paths!$E$64),IF('Operating costs'!$B$67=0,C637=0,AND(C637&gt;0,'Operating costs'!$B$67&gt;(C637-1)*12,'Operating costs'!$B$67&lt;=C637*12))),'Operating costs'!$B$66,0),"n.a."))</f>
        <v>0</v>
      </c>
      <c r="N637" s="16">
        <f>IF(NOT(Paths!$C$64=1),0,IF(Paths!$P$64="Complete",SUM(G637:I637)-J637-K637-L637+M637+IF(C637=0,Paths!$F$64,0)+IF(IF(Paths!$E$64=0,C637=0,AND(C637&gt;0,Paths!$E$64&gt;(C637-1)*12,Paths!$E$64&lt;=C637*12)),VLOOKUP(A637,'Fleet register'!$A$7:$S$106,16,FALSE),0),"n.a."))</f>
        <v>0</v>
      </c>
      <c r="O637" s="16">
        <f>IF(NOT(Paths!$C$64=1),0,IF(Paths!$P$64="Complete",N637-IF(C637=0,Paths!$F$64,0),"n.a."))</f>
        <v>0</v>
      </c>
      <c r="P637" s="16">
        <f>IF(NOT(Paths!$C$64=1),0,IF(Paths!$P$64="Complete",O637+L637,"n.a."))</f>
        <v>0</v>
      </c>
      <c r="Q637" s="16">
        <f>IF(NOT(Paths!$C$64=1),0,IF(Paths!$P$64="Complete",N637*(1+'Operating costs'!$B$54)^-C637,"n.a."))</f>
        <v>0</v>
      </c>
      <c r="R637" s="16">
        <f>IF(NOT(Paths!$C$64=1),0,IF(Paths!$P$64="Complete",IF(AND(C637=0,Paths!$E$64=0),I637-J637-K637+VLOOKUP(A637,'Fleet register'!$A$7:$S$106,15,FALSE)+VLOOKUP(A637,'Fleet register'!$A$7:$S$106,16,FALSE),0),"n.a."))</f>
        <v>0</v>
      </c>
      <c r="S637" s="1">
        <f>IF(NOT(Paths!$C$64=1),0,IF(Paths!$P$64="Complete",IF(C637=0,0,Paths!$S$64*Paths!$R$64),"n.a."))</f>
        <v>0</v>
      </c>
      <c r="T637" s="1">
        <f>IF(NOT(Paths!$C$64=1),0,IF(Paths!$P$64="Complete",IF(C637=0,0,VLOOKUP(A637,'Fleet register'!$A$7:$S$106,9,FALSE)*Paths!$R$64),"n.a."))</f>
        <v>0</v>
      </c>
    </row>
    <row r="638" spans="1:20" ht="24" customHeight="1">
      <c r="A638" s="1" t="str">
        <f>Paths!$A$64</f>
        <v>T015</v>
      </c>
      <c r="B638" s="1">
        <f>Paths!$B$64</f>
        <v>1</v>
      </c>
      <c r="C638" s="1">
        <v>4</v>
      </c>
      <c r="D638" s="1">
        <v>64</v>
      </c>
      <c r="E638" s="1">
        <f>IF(OR(Paths!$C$64=0,C638=0),0,MAX(0,MIN(C638*12,Paths!$E$64)-(C638-1)*12))</f>
        <v>0</v>
      </c>
      <c r="F638" s="1">
        <f>IF(OR(Paths!$C$64=0,C638=0),0,12-E638)</f>
        <v>0</v>
      </c>
      <c r="G638" s="16">
        <f>IF(NOT(Paths!$C$64=1),0,IF(Paths!$P$64="Complete",E638/12*(Paths!$J$64*(1+'Operating costs'!$B$51)^MAX(0,C638-1)+Paths!$K$64*(1+'Operating costs'!$B$53)^MAX(0,C638-1)),"n.a."))</f>
        <v>0</v>
      </c>
      <c r="H638" s="16">
        <f>IF(NOT(Paths!$C$64=1),0,IF(Paths!$P$64="Complete",F638/12*(Paths!$L$64*(1+IF(Paths!$D$64="EV",'Operating costs'!$B$52,'Operating costs'!$B$51))^MAX(0,C638-1)+Paths!$M$64*(1+'Operating costs'!$B$53)^MAX(0,C638-1)),"n.a."))</f>
        <v>0</v>
      </c>
      <c r="I638" s="16">
        <f>IF(NOT(Paths!$C$64=1),0,IF(Paths!$P$64="Complete",IF(IF(Paths!$E$64=0,C638=0,AND(C638&gt;0,Paths!$E$64&gt;(C638-1)*12,Paths!$E$64&lt;=C638*12)),Paths!$G$64,0),"n.a."))</f>
        <v>0</v>
      </c>
      <c r="J638" s="16">
        <f>IF(NOT(Paths!$C$64=1),0,IF(Paths!$P$64="Complete",IF(IF(Paths!$E$64=0,C638=0,AND(C638&gt;0,Paths!$E$64&gt;(C638-1)*12,Paths!$E$64&lt;=C638*12)),Paths!$H$64,0),"n.a."))</f>
        <v>0</v>
      </c>
      <c r="K638" s="16">
        <f>IF(NOT(Paths!$C$64=1),0,IF(Paths!$P$64="Complete",IF(IF(Paths!$O$64=0,C638=0,AND(C638&gt;0,Paths!$O$64&gt;(C638-1)*12,Paths!$O$64&lt;=C638*12)),Paths!$N$64,0),"n.a."))</f>
        <v>0</v>
      </c>
      <c r="L638" s="16">
        <f>IF(NOT(Paths!$C$64=1),0,IF(Paths!$P$64="Complete",IF(C638=10,Paths!$I$64,0),"n.a."))</f>
        <v>0</v>
      </c>
      <c r="M638" s="16">
        <f>IF(NOT(Paths!$C$64=1),0,IF(Paths!$P$64="Complete",IF(AND(Paths!$D$64="EV",Paths!$E$64&lt;120,Paths!$E$64+'Operating costs'!$B$65&gt;Paths!$E$64,Paths!$E$64+'Operating costs'!$B$65&lt;=120,IF(Paths!$E$64+'Operating costs'!$B$65=0,C638=0,AND(C638&gt;0,Paths!$E$64+'Operating costs'!$B$65&gt;(C638-1)*12,Paths!$E$64+'Operating costs'!$B$65&lt;=C638*12))),'Operating costs'!$B$64,0)+IF(AND('Operating costs'!$B$67&gt;0,'Operating costs'!$B$67&lt;=120,OR(Paths!$D$64="ICE",'Operating costs'!$B$67&lt;=Paths!$E$64),IF('Operating costs'!$B$67=0,C638=0,AND(C638&gt;0,'Operating costs'!$B$67&gt;(C638-1)*12,'Operating costs'!$B$67&lt;=C638*12))),'Operating costs'!$B$66,0),"n.a."))</f>
        <v>0</v>
      </c>
      <c r="N638" s="16">
        <f>IF(NOT(Paths!$C$64=1),0,IF(Paths!$P$64="Complete",SUM(G638:I638)-J638-K638-L638+M638+IF(C638=0,Paths!$F$64,0)+IF(IF(Paths!$E$64=0,C638=0,AND(C638&gt;0,Paths!$E$64&gt;(C638-1)*12,Paths!$E$64&lt;=C638*12)),VLOOKUP(A638,'Fleet register'!$A$7:$S$106,16,FALSE),0),"n.a."))</f>
        <v>0</v>
      </c>
      <c r="O638" s="16">
        <f>IF(NOT(Paths!$C$64=1),0,IF(Paths!$P$64="Complete",N638-IF(C638=0,Paths!$F$64,0),"n.a."))</f>
        <v>0</v>
      </c>
      <c r="P638" s="16">
        <f>IF(NOT(Paths!$C$64=1),0,IF(Paths!$P$64="Complete",O638+L638,"n.a."))</f>
        <v>0</v>
      </c>
      <c r="Q638" s="16">
        <f>IF(NOT(Paths!$C$64=1),0,IF(Paths!$P$64="Complete",N638*(1+'Operating costs'!$B$54)^-C638,"n.a."))</f>
        <v>0</v>
      </c>
      <c r="R638" s="16">
        <f>IF(NOT(Paths!$C$64=1),0,IF(Paths!$P$64="Complete",IF(AND(C638=0,Paths!$E$64=0),I638-J638-K638+VLOOKUP(A638,'Fleet register'!$A$7:$S$106,15,FALSE)+VLOOKUP(A638,'Fleet register'!$A$7:$S$106,16,FALSE),0),"n.a."))</f>
        <v>0</v>
      </c>
      <c r="S638" s="1">
        <f>IF(NOT(Paths!$C$64=1),0,IF(Paths!$P$64="Complete",IF(C638=0,0,Paths!$S$64*Paths!$R$64),"n.a."))</f>
        <v>0</v>
      </c>
      <c r="T638" s="1">
        <f>IF(NOT(Paths!$C$64=1),0,IF(Paths!$P$64="Complete",IF(C638=0,0,VLOOKUP(A638,'Fleet register'!$A$7:$S$106,9,FALSE)*Paths!$R$64),"n.a."))</f>
        <v>0</v>
      </c>
    </row>
    <row r="639" spans="1:20" ht="24" customHeight="1">
      <c r="A639" s="1" t="str">
        <f>Paths!$A$64</f>
        <v>T015</v>
      </c>
      <c r="B639" s="1">
        <f>Paths!$B$64</f>
        <v>1</v>
      </c>
      <c r="C639" s="1">
        <v>5</v>
      </c>
      <c r="D639" s="1">
        <v>64</v>
      </c>
      <c r="E639" s="1">
        <f>IF(OR(Paths!$C$64=0,C639=0),0,MAX(0,MIN(C639*12,Paths!$E$64)-(C639-1)*12))</f>
        <v>0</v>
      </c>
      <c r="F639" s="1">
        <f>IF(OR(Paths!$C$64=0,C639=0),0,12-E639)</f>
        <v>0</v>
      </c>
      <c r="G639" s="16">
        <f>IF(NOT(Paths!$C$64=1),0,IF(Paths!$P$64="Complete",E639/12*(Paths!$J$64*(1+'Operating costs'!$B$51)^MAX(0,C639-1)+Paths!$K$64*(1+'Operating costs'!$B$53)^MAX(0,C639-1)),"n.a."))</f>
        <v>0</v>
      </c>
      <c r="H639" s="16">
        <f>IF(NOT(Paths!$C$64=1),0,IF(Paths!$P$64="Complete",F639/12*(Paths!$L$64*(1+IF(Paths!$D$64="EV",'Operating costs'!$B$52,'Operating costs'!$B$51))^MAX(0,C639-1)+Paths!$M$64*(1+'Operating costs'!$B$53)^MAX(0,C639-1)),"n.a."))</f>
        <v>0</v>
      </c>
      <c r="I639" s="16">
        <f>IF(NOT(Paths!$C$64=1),0,IF(Paths!$P$64="Complete",IF(IF(Paths!$E$64=0,C639=0,AND(C639&gt;0,Paths!$E$64&gt;(C639-1)*12,Paths!$E$64&lt;=C639*12)),Paths!$G$64,0),"n.a."))</f>
        <v>0</v>
      </c>
      <c r="J639" s="16">
        <f>IF(NOT(Paths!$C$64=1),0,IF(Paths!$P$64="Complete",IF(IF(Paths!$E$64=0,C639=0,AND(C639&gt;0,Paths!$E$64&gt;(C639-1)*12,Paths!$E$64&lt;=C639*12)),Paths!$H$64,0),"n.a."))</f>
        <v>0</v>
      </c>
      <c r="K639" s="16">
        <f>IF(NOT(Paths!$C$64=1),0,IF(Paths!$P$64="Complete",IF(IF(Paths!$O$64=0,C639=0,AND(C639&gt;0,Paths!$O$64&gt;(C639-1)*12,Paths!$O$64&lt;=C639*12)),Paths!$N$64,0),"n.a."))</f>
        <v>0</v>
      </c>
      <c r="L639" s="16">
        <f>IF(NOT(Paths!$C$64=1),0,IF(Paths!$P$64="Complete",IF(C639=10,Paths!$I$64,0),"n.a."))</f>
        <v>0</v>
      </c>
      <c r="M639" s="16">
        <f>IF(NOT(Paths!$C$64=1),0,IF(Paths!$P$64="Complete",IF(AND(Paths!$D$64="EV",Paths!$E$64&lt;120,Paths!$E$64+'Operating costs'!$B$65&gt;Paths!$E$64,Paths!$E$64+'Operating costs'!$B$65&lt;=120,IF(Paths!$E$64+'Operating costs'!$B$65=0,C639=0,AND(C639&gt;0,Paths!$E$64+'Operating costs'!$B$65&gt;(C639-1)*12,Paths!$E$64+'Operating costs'!$B$65&lt;=C639*12))),'Operating costs'!$B$64,0)+IF(AND('Operating costs'!$B$67&gt;0,'Operating costs'!$B$67&lt;=120,OR(Paths!$D$64="ICE",'Operating costs'!$B$67&lt;=Paths!$E$64),IF('Operating costs'!$B$67=0,C639=0,AND(C639&gt;0,'Operating costs'!$B$67&gt;(C639-1)*12,'Operating costs'!$B$67&lt;=C639*12))),'Operating costs'!$B$66,0),"n.a."))</f>
        <v>0</v>
      </c>
      <c r="N639" s="16">
        <f>IF(NOT(Paths!$C$64=1),0,IF(Paths!$P$64="Complete",SUM(G639:I639)-J639-K639-L639+M639+IF(C639=0,Paths!$F$64,0)+IF(IF(Paths!$E$64=0,C639=0,AND(C639&gt;0,Paths!$E$64&gt;(C639-1)*12,Paths!$E$64&lt;=C639*12)),VLOOKUP(A639,'Fleet register'!$A$7:$S$106,16,FALSE),0),"n.a."))</f>
        <v>0</v>
      </c>
      <c r="O639" s="16">
        <f>IF(NOT(Paths!$C$64=1),0,IF(Paths!$P$64="Complete",N639-IF(C639=0,Paths!$F$64,0),"n.a."))</f>
        <v>0</v>
      </c>
      <c r="P639" s="16">
        <f>IF(NOT(Paths!$C$64=1),0,IF(Paths!$P$64="Complete",O639+L639,"n.a."))</f>
        <v>0</v>
      </c>
      <c r="Q639" s="16">
        <f>IF(NOT(Paths!$C$64=1),0,IF(Paths!$P$64="Complete",N639*(1+'Operating costs'!$B$54)^-C639,"n.a."))</f>
        <v>0</v>
      </c>
      <c r="R639" s="16">
        <f>IF(NOT(Paths!$C$64=1),0,IF(Paths!$P$64="Complete",IF(AND(C639=0,Paths!$E$64=0),I639-J639-K639+VLOOKUP(A639,'Fleet register'!$A$7:$S$106,15,FALSE)+VLOOKUP(A639,'Fleet register'!$A$7:$S$106,16,FALSE),0),"n.a."))</f>
        <v>0</v>
      </c>
      <c r="S639" s="1">
        <f>IF(NOT(Paths!$C$64=1),0,IF(Paths!$P$64="Complete",IF(C639=0,0,Paths!$S$64*Paths!$R$64),"n.a."))</f>
        <v>0</v>
      </c>
      <c r="T639" s="1">
        <f>IF(NOT(Paths!$C$64=1),0,IF(Paths!$P$64="Complete",IF(C639=0,0,VLOOKUP(A639,'Fleet register'!$A$7:$S$106,9,FALSE)*Paths!$R$64),"n.a."))</f>
        <v>0</v>
      </c>
    </row>
    <row r="640" spans="1:20" ht="24" customHeight="1">
      <c r="A640" s="1" t="str">
        <f>Paths!$A$64</f>
        <v>T015</v>
      </c>
      <c r="B640" s="1">
        <f>Paths!$B$64</f>
        <v>1</v>
      </c>
      <c r="C640" s="1">
        <v>6</v>
      </c>
      <c r="D640" s="1">
        <v>64</v>
      </c>
      <c r="E640" s="1">
        <f>IF(OR(Paths!$C$64=0,C640=0),0,MAX(0,MIN(C640*12,Paths!$E$64)-(C640-1)*12))</f>
        <v>0</v>
      </c>
      <c r="F640" s="1">
        <f>IF(OR(Paths!$C$64=0,C640=0),0,12-E640)</f>
        <v>0</v>
      </c>
      <c r="G640" s="16">
        <f>IF(NOT(Paths!$C$64=1),0,IF(Paths!$P$64="Complete",E640/12*(Paths!$J$64*(1+'Operating costs'!$B$51)^MAX(0,C640-1)+Paths!$K$64*(1+'Operating costs'!$B$53)^MAX(0,C640-1)),"n.a."))</f>
        <v>0</v>
      </c>
      <c r="H640" s="16">
        <f>IF(NOT(Paths!$C$64=1),0,IF(Paths!$P$64="Complete",F640/12*(Paths!$L$64*(1+IF(Paths!$D$64="EV",'Operating costs'!$B$52,'Operating costs'!$B$51))^MAX(0,C640-1)+Paths!$M$64*(1+'Operating costs'!$B$53)^MAX(0,C640-1)),"n.a."))</f>
        <v>0</v>
      </c>
      <c r="I640" s="16">
        <f>IF(NOT(Paths!$C$64=1),0,IF(Paths!$P$64="Complete",IF(IF(Paths!$E$64=0,C640=0,AND(C640&gt;0,Paths!$E$64&gt;(C640-1)*12,Paths!$E$64&lt;=C640*12)),Paths!$G$64,0),"n.a."))</f>
        <v>0</v>
      </c>
      <c r="J640" s="16">
        <f>IF(NOT(Paths!$C$64=1),0,IF(Paths!$P$64="Complete",IF(IF(Paths!$E$64=0,C640=0,AND(C640&gt;0,Paths!$E$64&gt;(C640-1)*12,Paths!$E$64&lt;=C640*12)),Paths!$H$64,0),"n.a."))</f>
        <v>0</v>
      </c>
      <c r="K640" s="16">
        <f>IF(NOT(Paths!$C$64=1),0,IF(Paths!$P$64="Complete",IF(IF(Paths!$O$64=0,C640=0,AND(C640&gt;0,Paths!$O$64&gt;(C640-1)*12,Paths!$O$64&lt;=C640*12)),Paths!$N$64,0),"n.a."))</f>
        <v>0</v>
      </c>
      <c r="L640" s="16">
        <f>IF(NOT(Paths!$C$64=1),0,IF(Paths!$P$64="Complete",IF(C640=10,Paths!$I$64,0),"n.a."))</f>
        <v>0</v>
      </c>
      <c r="M640" s="16">
        <f>IF(NOT(Paths!$C$64=1),0,IF(Paths!$P$64="Complete",IF(AND(Paths!$D$64="EV",Paths!$E$64&lt;120,Paths!$E$64+'Operating costs'!$B$65&gt;Paths!$E$64,Paths!$E$64+'Operating costs'!$B$65&lt;=120,IF(Paths!$E$64+'Operating costs'!$B$65=0,C640=0,AND(C640&gt;0,Paths!$E$64+'Operating costs'!$B$65&gt;(C640-1)*12,Paths!$E$64+'Operating costs'!$B$65&lt;=C640*12))),'Operating costs'!$B$64,0)+IF(AND('Operating costs'!$B$67&gt;0,'Operating costs'!$B$67&lt;=120,OR(Paths!$D$64="ICE",'Operating costs'!$B$67&lt;=Paths!$E$64),IF('Operating costs'!$B$67=0,C640=0,AND(C640&gt;0,'Operating costs'!$B$67&gt;(C640-1)*12,'Operating costs'!$B$67&lt;=C640*12))),'Operating costs'!$B$66,0),"n.a."))</f>
        <v>0</v>
      </c>
      <c r="N640" s="16">
        <f>IF(NOT(Paths!$C$64=1),0,IF(Paths!$P$64="Complete",SUM(G640:I640)-J640-K640-L640+M640+IF(C640=0,Paths!$F$64,0)+IF(IF(Paths!$E$64=0,C640=0,AND(C640&gt;0,Paths!$E$64&gt;(C640-1)*12,Paths!$E$64&lt;=C640*12)),VLOOKUP(A640,'Fleet register'!$A$7:$S$106,16,FALSE),0),"n.a."))</f>
        <v>0</v>
      </c>
      <c r="O640" s="16">
        <f>IF(NOT(Paths!$C$64=1),0,IF(Paths!$P$64="Complete",N640-IF(C640=0,Paths!$F$64,0),"n.a."))</f>
        <v>0</v>
      </c>
      <c r="P640" s="16">
        <f>IF(NOT(Paths!$C$64=1),0,IF(Paths!$P$64="Complete",O640+L640,"n.a."))</f>
        <v>0</v>
      </c>
      <c r="Q640" s="16">
        <f>IF(NOT(Paths!$C$64=1),0,IF(Paths!$P$64="Complete",N640*(1+'Operating costs'!$B$54)^-C640,"n.a."))</f>
        <v>0</v>
      </c>
      <c r="R640" s="16">
        <f>IF(NOT(Paths!$C$64=1),0,IF(Paths!$P$64="Complete",IF(AND(C640=0,Paths!$E$64=0),I640-J640-K640+VLOOKUP(A640,'Fleet register'!$A$7:$S$106,15,FALSE)+VLOOKUP(A640,'Fleet register'!$A$7:$S$106,16,FALSE),0),"n.a."))</f>
        <v>0</v>
      </c>
      <c r="S640" s="1">
        <f>IF(NOT(Paths!$C$64=1),0,IF(Paths!$P$64="Complete",IF(C640=0,0,Paths!$S$64*Paths!$R$64),"n.a."))</f>
        <v>0</v>
      </c>
      <c r="T640" s="1">
        <f>IF(NOT(Paths!$C$64=1),0,IF(Paths!$P$64="Complete",IF(C640=0,0,VLOOKUP(A640,'Fleet register'!$A$7:$S$106,9,FALSE)*Paths!$R$64),"n.a."))</f>
        <v>0</v>
      </c>
    </row>
    <row r="641" spans="1:20" ht="24" customHeight="1">
      <c r="A641" s="1" t="str">
        <f>Paths!$A$64</f>
        <v>T015</v>
      </c>
      <c r="B641" s="1">
        <f>Paths!$B$64</f>
        <v>1</v>
      </c>
      <c r="C641" s="1">
        <v>7</v>
      </c>
      <c r="D641" s="1">
        <v>64</v>
      </c>
      <c r="E641" s="1">
        <f>IF(OR(Paths!$C$64=0,C641=0),0,MAX(0,MIN(C641*12,Paths!$E$64)-(C641-1)*12))</f>
        <v>0</v>
      </c>
      <c r="F641" s="1">
        <f>IF(OR(Paths!$C$64=0,C641=0),0,12-E641)</f>
        <v>0</v>
      </c>
      <c r="G641" s="16">
        <f>IF(NOT(Paths!$C$64=1),0,IF(Paths!$P$64="Complete",E641/12*(Paths!$J$64*(1+'Operating costs'!$B$51)^MAX(0,C641-1)+Paths!$K$64*(1+'Operating costs'!$B$53)^MAX(0,C641-1)),"n.a."))</f>
        <v>0</v>
      </c>
      <c r="H641" s="16">
        <f>IF(NOT(Paths!$C$64=1),0,IF(Paths!$P$64="Complete",F641/12*(Paths!$L$64*(1+IF(Paths!$D$64="EV",'Operating costs'!$B$52,'Operating costs'!$B$51))^MAX(0,C641-1)+Paths!$M$64*(1+'Operating costs'!$B$53)^MAX(0,C641-1)),"n.a."))</f>
        <v>0</v>
      </c>
      <c r="I641" s="16">
        <f>IF(NOT(Paths!$C$64=1),0,IF(Paths!$P$64="Complete",IF(IF(Paths!$E$64=0,C641=0,AND(C641&gt;0,Paths!$E$64&gt;(C641-1)*12,Paths!$E$64&lt;=C641*12)),Paths!$G$64,0),"n.a."))</f>
        <v>0</v>
      </c>
      <c r="J641" s="16">
        <f>IF(NOT(Paths!$C$64=1),0,IF(Paths!$P$64="Complete",IF(IF(Paths!$E$64=0,C641=0,AND(C641&gt;0,Paths!$E$64&gt;(C641-1)*12,Paths!$E$64&lt;=C641*12)),Paths!$H$64,0),"n.a."))</f>
        <v>0</v>
      </c>
      <c r="K641" s="16">
        <f>IF(NOT(Paths!$C$64=1),0,IF(Paths!$P$64="Complete",IF(IF(Paths!$O$64=0,C641=0,AND(C641&gt;0,Paths!$O$64&gt;(C641-1)*12,Paths!$O$64&lt;=C641*12)),Paths!$N$64,0),"n.a."))</f>
        <v>0</v>
      </c>
      <c r="L641" s="16">
        <f>IF(NOT(Paths!$C$64=1),0,IF(Paths!$P$64="Complete",IF(C641=10,Paths!$I$64,0),"n.a."))</f>
        <v>0</v>
      </c>
      <c r="M641" s="16">
        <f>IF(NOT(Paths!$C$64=1),0,IF(Paths!$P$64="Complete",IF(AND(Paths!$D$64="EV",Paths!$E$64&lt;120,Paths!$E$64+'Operating costs'!$B$65&gt;Paths!$E$64,Paths!$E$64+'Operating costs'!$B$65&lt;=120,IF(Paths!$E$64+'Operating costs'!$B$65=0,C641=0,AND(C641&gt;0,Paths!$E$64+'Operating costs'!$B$65&gt;(C641-1)*12,Paths!$E$64+'Operating costs'!$B$65&lt;=C641*12))),'Operating costs'!$B$64,0)+IF(AND('Operating costs'!$B$67&gt;0,'Operating costs'!$B$67&lt;=120,OR(Paths!$D$64="ICE",'Operating costs'!$B$67&lt;=Paths!$E$64),IF('Operating costs'!$B$67=0,C641=0,AND(C641&gt;0,'Operating costs'!$B$67&gt;(C641-1)*12,'Operating costs'!$B$67&lt;=C641*12))),'Operating costs'!$B$66,0),"n.a."))</f>
        <v>0</v>
      </c>
      <c r="N641" s="16">
        <f>IF(NOT(Paths!$C$64=1),0,IF(Paths!$P$64="Complete",SUM(G641:I641)-J641-K641-L641+M641+IF(C641=0,Paths!$F$64,0)+IF(IF(Paths!$E$64=0,C641=0,AND(C641&gt;0,Paths!$E$64&gt;(C641-1)*12,Paths!$E$64&lt;=C641*12)),VLOOKUP(A641,'Fleet register'!$A$7:$S$106,16,FALSE),0),"n.a."))</f>
        <v>0</v>
      </c>
      <c r="O641" s="16">
        <f>IF(NOT(Paths!$C$64=1),0,IF(Paths!$P$64="Complete",N641-IF(C641=0,Paths!$F$64,0),"n.a."))</f>
        <v>0</v>
      </c>
      <c r="P641" s="16">
        <f>IF(NOT(Paths!$C$64=1),0,IF(Paths!$P$64="Complete",O641+L641,"n.a."))</f>
        <v>0</v>
      </c>
      <c r="Q641" s="16">
        <f>IF(NOT(Paths!$C$64=1),0,IF(Paths!$P$64="Complete",N641*(1+'Operating costs'!$B$54)^-C641,"n.a."))</f>
        <v>0</v>
      </c>
      <c r="R641" s="16">
        <f>IF(NOT(Paths!$C$64=1),0,IF(Paths!$P$64="Complete",IF(AND(C641=0,Paths!$E$64=0),I641-J641-K641+VLOOKUP(A641,'Fleet register'!$A$7:$S$106,15,FALSE)+VLOOKUP(A641,'Fleet register'!$A$7:$S$106,16,FALSE),0),"n.a."))</f>
        <v>0</v>
      </c>
      <c r="S641" s="1">
        <f>IF(NOT(Paths!$C$64=1),0,IF(Paths!$P$64="Complete",IF(C641=0,0,Paths!$S$64*Paths!$R$64),"n.a."))</f>
        <v>0</v>
      </c>
      <c r="T641" s="1">
        <f>IF(NOT(Paths!$C$64=1),0,IF(Paths!$P$64="Complete",IF(C641=0,0,VLOOKUP(A641,'Fleet register'!$A$7:$S$106,9,FALSE)*Paths!$R$64),"n.a."))</f>
        <v>0</v>
      </c>
    </row>
    <row r="642" spans="1:20" ht="24" customHeight="1">
      <c r="A642" s="1" t="str">
        <f>Paths!$A$64</f>
        <v>T015</v>
      </c>
      <c r="B642" s="1">
        <f>Paths!$B$64</f>
        <v>1</v>
      </c>
      <c r="C642" s="1">
        <v>8</v>
      </c>
      <c r="D642" s="1">
        <v>64</v>
      </c>
      <c r="E642" s="1">
        <f>IF(OR(Paths!$C$64=0,C642=0),0,MAX(0,MIN(C642*12,Paths!$E$64)-(C642-1)*12))</f>
        <v>0</v>
      </c>
      <c r="F642" s="1">
        <f>IF(OR(Paths!$C$64=0,C642=0),0,12-E642)</f>
        <v>0</v>
      </c>
      <c r="G642" s="16">
        <f>IF(NOT(Paths!$C$64=1),0,IF(Paths!$P$64="Complete",E642/12*(Paths!$J$64*(1+'Operating costs'!$B$51)^MAX(0,C642-1)+Paths!$K$64*(1+'Operating costs'!$B$53)^MAX(0,C642-1)),"n.a."))</f>
        <v>0</v>
      </c>
      <c r="H642" s="16">
        <f>IF(NOT(Paths!$C$64=1),0,IF(Paths!$P$64="Complete",F642/12*(Paths!$L$64*(1+IF(Paths!$D$64="EV",'Operating costs'!$B$52,'Operating costs'!$B$51))^MAX(0,C642-1)+Paths!$M$64*(1+'Operating costs'!$B$53)^MAX(0,C642-1)),"n.a."))</f>
        <v>0</v>
      </c>
      <c r="I642" s="16">
        <f>IF(NOT(Paths!$C$64=1),0,IF(Paths!$P$64="Complete",IF(IF(Paths!$E$64=0,C642=0,AND(C642&gt;0,Paths!$E$64&gt;(C642-1)*12,Paths!$E$64&lt;=C642*12)),Paths!$G$64,0),"n.a."))</f>
        <v>0</v>
      </c>
      <c r="J642" s="16">
        <f>IF(NOT(Paths!$C$64=1),0,IF(Paths!$P$64="Complete",IF(IF(Paths!$E$64=0,C642=0,AND(C642&gt;0,Paths!$E$64&gt;(C642-1)*12,Paths!$E$64&lt;=C642*12)),Paths!$H$64,0),"n.a."))</f>
        <v>0</v>
      </c>
      <c r="K642" s="16">
        <f>IF(NOT(Paths!$C$64=1),0,IF(Paths!$P$64="Complete",IF(IF(Paths!$O$64=0,C642=0,AND(C642&gt;0,Paths!$O$64&gt;(C642-1)*12,Paths!$O$64&lt;=C642*12)),Paths!$N$64,0),"n.a."))</f>
        <v>0</v>
      </c>
      <c r="L642" s="16">
        <f>IF(NOT(Paths!$C$64=1),0,IF(Paths!$P$64="Complete",IF(C642=10,Paths!$I$64,0),"n.a."))</f>
        <v>0</v>
      </c>
      <c r="M642" s="16">
        <f>IF(NOT(Paths!$C$64=1),0,IF(Paths!$P$64="Complete",IF(AND(Paths!$D$64="EV",Paths!$E$64&lt;120,Paths!$E$64+'Operating costs'!$B$65&gt;Paths!$E$64,Paths!$E$64+'Operating costs'!$B$65&lt;=120,IF(Paths!$E$64+'Operating costs'!$B$65=0,C642=0,AND(C642&gt;0,Paths!$E$64+'Operating costs'!$B$65&gt;(C642-1)*12,Paths!$E$64+'Operating costs'!$B$65&lt;=C642*12))),'Operating costs'!$B$64,0)+IF(AND('Operating costs'!$B$67&gt;0,'Operating costs'!$B$67&lt;=120,OR(Paths!$D$64="ICE",'Operating costs'!$B$67&lt;=Paths!$E$64),IF('Operating costs'!$B$67=0,C642=0,AND(C642&gt;0,'Operating costs'!$B$67&gt;(C642-1)*12,'Operating costs'!$B$67&lt;=C642*12))),'Operating costs'!$B$66,0),"n.a."))</f>
        <v>0</v>
      </c>
      <c r="N642" s="16">
        <f>IF(NOT(Paths!$C$64=1),0,IF(Paths!$P$64="Complete",SUM(G642:I642)-J642-K642-L642+M642+IF(C642=0,Paths!$F$64,0)+IF(IF(Paths!$E$64=0,C642=0,AND(C642&gt;0,Paths!$E$64&gt;(C642-1)*12,Paths!$E$64&lt;=C642*12)),VLOOKUP(A642,'Fleet register'!$A$7:$S$106,16,FALSE),0),"n.a."))</f>
        <v>0</v>
      </c>
      <c r="O642" s="16">
        <f>IF(NOT(Paths!$C$64=1),0,IF(Paths!$P$64="Complete",N642-IF(C642=0,Paths!$F$64,0),"n.a."))</f>
        <v>0</v>
      </c>
      <c r="P642" s="16">
        <f>IF(NOT(Paths!$C$64=1),0,IF(Paths!$P$64="Complete",O642+L642,"n.a."))</f>
        <v>0</v>
      </c>
      <c r="Q642" s="16">
        <f>IF(NOT(Paths!$C$64=1),0,IF(Paths!$P$64="Complete",N642*(1+'Operating costs'!$B$54)^-C642,"n.a."))</f>
        <v>0</v>
      </c>
      <c r="R642" s="16">
        <f>IF(NOT(Paths!$C$64=1),0,IF(Paths!$P$64="Complete",IF(AND(C642=0,Paths!$E$64=0),I642-J642-K642+VLOOKUP(A642,'Fleet register'!$A$7:$S$106,15,FALSE)+VLOOKUP(A642,'Fleet register'!$A$7:$S$106,16,FALSE),0),"n.a."))</f>
        <v>0</v>
      </c>
      <c r="S642" s="1">
        <f>IF(NOT(Paths!$C$64=1),0,IF(Paths!$P$64="Complete",IF(C642=0,0,Paths!$S$64*Paths!$R$64),"n.a."))</f>
        <v>0</v>
      </c>
      <c r="T642" s="1">
        <f>IF(NOT(Paths!$C$64=1),0,IF(Paths!$P$64="Complete",IF(C642=0,0,VLOOKUP(A642,'Fleet register'!$A$7:$S$106,9,FALSE)*Paths!$R$64),"n.a."))</f>
        <v>0</v>
      </c>
    </row>
    <row r="643" spans="1:20" ht="24" customHeight="1">
      <c r="A643" s="1" t="str">
        <f>Paths!$A$64</f>
        <v>T015</v>
      </c>
      <c r="B643" s="1">
        <f>Paths!$B$64</f>
        <v>1</v>
      </c>
      <c r="C643" s="1">
        <v>9</v>
      </c>
      <c r="D643" s="1">
        <v>64</v>
      </c>
      <c r="E643" s="1">
        <f>IF(OR(Paths!$C$64=0,C643=0),0,MAX(0,MIN(C643*12,Paths!$E$64)-(C643-1)*12))</f>
        <v>0</v>
      </c>
      <c r="F643" s="1">
        <f>IF(OR(Paths!$C$64=0,C643=0),0,12-E643)</f>
        <v>0</v>
      </c>
      <c r="G643" s="16">
        <f>IF(NOT(Paths!$C$64=1),0,IF(Paths!$P$64="Complete",E643/12*(Paths!$J$64*(1+'Operating costs'!$B$51)^MAX(0,C643-1)+Paths!$K$64*(1+'Operating costs'!$B$53)^MAX(0,C643-1)),"n.a."))</f>
        <v>0</v>
      </c>
      <c r="H643" s="16">
        <f>IF(NOT(Paths!$C$64=1),0,IF(Paths!$P$64="Complete",F643/12*(Paths!$L$64*(1+IF(Paths!$D$64="EV",'Operating costs'!$B$52,'Operating costs'!$B$51))^MAX(0,C643-1)+Paths!$M$64*(1+'Operating costs'!$B$53)^MAX(0,C643-1)),"n.a."))</f>
        <v>0</v>
      </c>
      <c r="I643" s="16">
        <f>IF(NOT(Paths!$C$64=1),0,IF(Paths!$P$64="Complete",IF(IF(Paths!$E$64=0,C643=0,AND(C643&gt;0,Paths!$E$64&gt;(C643-1)*12,Paths!$E$64&lt;=C643*12)),Paths!$G$64,0),"n.a."))</f>
        <v>0</v>
      </c>
      <c r="J643" s="16">
        <f>IF(NOT(Paths!$C$64=1),0,IF(Paths!$P$64="Complete",IF(IF(Paths!$E$64=0,C643=0,AND(C643&gt;0,Paths!$E$64&gt;(C643-1)*12,Paths!$E$64&lt;=C643*12)),Paths!$H$64,0),"n.a."))</f>
        <v>0</v>
      </c>
      <c r="K643" s="16">
        <f>IF(NOT(Paths!$C$64=1),0,IF(Paths!$P$64="Complete",IF(IF(Paths!$O$64=0,C643=0,AND(C643&gt;0,Paths!$O$64&gt;(C643-1)*12,Paths!$O$64&lt;=C643*12)),Paths!$N$64,0),"n.a."))</f>
        <v>0</v>
      </c>
      <c r="L643" s="16">
        <f>IF(NOT(Paths!$C$64=1),0,IF(Paths!$P$64="Complete",IF(C643=10,Paths!$I$64,0),"n.a."))</f>
        <v>0</v>
      </c>
      <c r="M643" s="16">
        <f>IF(NOT(Paths!$C$64=1),0,IF(Paths!$P$64="Complete",IF(AND(Paths!$D$64="EV",Paths!$E$64&lt;120,Paths!$E$64+'Operating costs'!$B$65&gt;Paths!$E$64,Paths!$E$64+'Operating costs'!$B$65&lt;=120,IF(Paths!$E$64+'Operating costs'!$B$65=0,C643=0,AND(C643&gt;0,Paths!$E$64+'Operating costs'!$B$65&gt;(C643-1)*12,Paths!$E$64+'Operating costs'!$B$65&lt;=C643*12))),'Operating costs'!$B$64,0)+IF(AND('Operating costs'!$B$67&gt;0,'Operating costs'!$B$67&lt;=120,OR(Paths!$D$64="ICE",'Operating costs'!$B$67&lt;=Paths!$E$64),IF('Operating costs'!$B$67=0,C643=0,AND(C643&gt;0,'Operating costs'!$B$67&gt;(C643-1)*12,'Operating costs'!$B$67&lt;=C643*12))),'Operating costs'!$B$66,0),"n.a."))</f>
        <v>0</v>
      </c>
      <c r="N643" s="16">
        <f>IF(NOT(Paths!$C$64=1),0,IF(Paths!$P$64="Complete",SUM(G643:I643)-J643-K643-L643+M643+IF(C643=0,Paths!$F$64,0)+IF(IF(Paths!$E$64=0,C643=0,AND(C643&gt;0,Paths!$E$64&gt;(C643-1)*12,Paths!$E$64&lt;=C643*12)),VLOOKUP(A643,'Fleet register'!$A$7:$S$106,16,FALSE),0),"n.a."))</f>
        <v>0</v>
      </c>
      <c r="O643" s="16">
        <f>IF(NOT(Paths!$C$64=1),0,IF(Paths!$P$64="Complete",N643-IF(C643=0,Paths!$F$64,0),"n.a."))</f>
        <v>0</v>
      </c>
      <c r="P643" s="16">
        <f>IF(NOT(Paths!$C$64=1),0,IF(Paths!$P$64="Complete",O643+L643,"n.a."))</f>
        <v>0</v>
      </c>
      <c r="Q643" s="16">
        <f>IF(NOT(Paths!$C$64=1),0,IF(Paths!$P$64="Complete",N643*(1+'Operating costs'!$B$54)^-C643,"n.a."))</f>
        <v>0</v>
      </c>
      <c r="R643" s="16">
        <f>IF(NOT(Paths!$C$64=1),0,IF(Paths!$P$64="Complete",IF(AND(C643=0,Paths!$E$64=0),I643-J643-K643+VLOOKUP(A643,'Fleet register'!$A$7:$S$106,15,FALSE)+VLOOKUP(A643,'Fleet register'!$A$7:$S$106,16,FALSE),0),"n.a."))</f>
        <v>0</v>
      </c>
      <c r="S643" s="1">
        <f>IF(NOT(Paths!$C$64=1),0,IF(Paths!$P$64="Complete",IF(C643=0,0,Paths!$S$64*Paths!$R$64),"n.a."))</f>
        <v>0</v>
      </c>
      <c r="T643" s="1">
        <f>IF(NOT(Paths!$C$64=1),0,IF(Paths!$P$64="Complete",IF(C643=0,0,VLOOKUP(A643,'Fleet register'!$A$7:$S$106,9,FALSE)*Paths!$R$64),"n.a."))</f>
        <v>0</v>
      </c>
    </row>
    <row r="644" spans="1:20" ht="24" customHeight="1">
      <c r="A644" s="1" t="str">
        <f>Paths!$A$64</f>
        <v>T015</v>
      </c>
      <c r="B644" s="1">
        <f>Paths!$B$64</f>
        <v>1</v>
      </c>
      <c r="C644" s="1">
        <v>10</v>
      </c>
      <c r="D644" s="1">
        <v>64</v>
      </c>
      <c r="E644" s="1">
        <f>IF(OR(Paths!$C$64=0,C644=0),0,MAX(0,MIN(C644*12,Paths!$E$64)-(C644-1)*12))</f>
        <v>0</v>
      </c>
      <c r="F644" s="1">
        <f>IF(OR(Paths!$C$64=0,C644=0),0,12-E644)</f>
        <v>0</v>
      </c>
      <c r="G644" s="16">
        <f>IF(NOT(Paths!$C$64=1),0,IF(Paths!$P$64="Complete",E644/12*(Paths!$J$64*(1+'Operating costs'!$B$51)^MAX(0,C644-1)+Paths!$K$64*(1+'Operating costs'!$B$53)^MAX(0,C644-1)),"n.a."))</f>
        <v>0</v>
      </c>
      <c r="H644" s="16">
        <f>IF(NOT(Paths!$C$64=1),0,IF(Paths!$P$64="Complete",F644/12*(Paths!$L$64*(1+IF(Paths!$D$64="EV",'Operating costs'!$B$52,'Operating costs'!$B$51))^MAX(0,C644-1)+Paths!$M$64*(1+'Operating costs'!$B$53)^MAX(0,C644-1)),"n.a."))</f>
        <v>0</v>
      </c>
      <c r="I644" s="16">
        <f>IF(NOT(Paths!$C$64=1),0,IF(Paths!$P$64="Complete",IF(IF(Paths!$E$64=0,C644=0,AND(C644&gt;0,Paths!$E$64&gt;(C644-1)*12,Paths!$E$64&lt;=C644*12)),Paths!$G$64,0),"n.a."))</f>
        <v>0</v>
      </c>
      <c r="J644" s="16">
        <f>IF(NOT(Paths!$C$64=1),0,IF(Paths!$P$64="Complete",IF(IF(Paths!$E$64=0,C644=0,AND(C644&gt;0,Paths!$E$64&gt;(C644-1)*12,Paths!$E$64&lt;=C644*12)),Paths!$H$64,0),"n.a."))</f>
        <v>0</v>
      </c>
      <c r="K644" s="16">
        <f>IF(NOT(Paths!$C$64=1),0,IF(Paths!$P$64="Complete",IF(IF(Paths!$O$64=0,C644=0,AND(C644&gt;0,Paths!$O$64&gt;(C644-1)*12,Paths!$O$64&lt;=C644*12)),Paths!$N$64,0),"n.a."))</f>
        <v>0</v>
      </c>
      <c r="L644" s="16">
        <f>IF(NOT(Paths!$C$64=1),0,IF(Paths!$P$64="Complete",IF(C644=10,Paths!$I$64,0),"n.a."))</f>
        <v>0</v>
      </c>
      <c r="M644" s="16">
        <f>IF(NOT(Paths!$C$64=1),0,IF(Paths!$P$64="Complete",IF(AND(Paths!$D$64="EV",Paths!$E$64&lt;120,Paths!$E$64+'Operating costs'!$B$65&gt;Paths!$E$64,Paths!$E$64+'Operating costs'!$B$65&lt;=120,IF(Paths!$E$64+'Operating costs'!$B$65=0,C644=0,AND(C644&gt;0,Paths!$E$64+'Operating costs'!$B$65&gt;(C644-1)*12,Paths!$E$64+'Operating costs'!$B$65&lt;=C644*12))),'Operating costs'!$B$64,0)+IF(AND('Operating costs'!$B$67&gt;0,'Operating costs'!$B$67&lt;=120,OR(Paths!$D$64="ICE",'Operating costs'!$B$67&lt;=Paths!$E$64),IF('Operating costs'!$B$67=0,C644=0,AND(C644&gt;0,'Operating costs'!$B$67&gt;(C644-1)*12,'Operating costs'!$B$67&lt;=C644*12))),'Operating costs'!$B$66,0),"n.a."))</f>
        <v>0</v>
      </c>
      <c r="N644" s="16">
        <f>IF(NOT(Paths!$C$64=1),0,IF(Paths!$P$64="Complete",SUM(G644:I644)-J644-K644-L644+M644+IF(C644=0,Paths!$F$64,0)+IF(IF(Paths!$E$64=0,C644=0,AND(C644&gt;0,Paths!$E$64&gt;(C644-1)*12,Paths!$E$64&lt;=C644*12)),VLOOKUP(A644,'Fleet register'!$A$7:$S$106,16,FALSE),0),"n.a."))</f>
        <v>0</v>
      </c>
      <c r="O644" s="16">
        <f>IF(NOT(Paths!$C$64=1),0,IF(Paths!$P$64="Complete",N644-IF(C644=0,Paths!$F$64,0),"n.a."))</f>
        <v>0</v>
      </c>
      <c r="P644" s="16">
        <f>IF(NOT(Paths!$C$64=1),0,IF(Paths!$P$64="Complete",O644+L644,"n.a."))</f>
        <v>0</v>
      </c>
      <c r="Q644" s="16">
        <f>IF(NOT(Paths!$C$64=1),0,IF(Paths!$P$64="Complete",N644*(1+'Operating costs'!$B$54)^-C644,"n.a."))</f>
        <v>0</v>
      </c>
      <c r="R644" s="16">
        <f>IF(NOT(Paths!$C$64=1),0,IF(Paths!$P$64="Complete",IF(AND(C644=0,Paths!$E$64=0),I644-J644-K644+VLOOKUP(A644,'Fleet register'!$A$7:$S$106,15,FALSE)+VLOOKUP(A644,'Fleet register'!$A$7:$S$106,16,FALSE),0),"n.a."))</f>
        <v>0</v>
      </c>
      <c r="S644" s="1">
        <f>IF(NOT(Paths!$C$64=1),0,IF(Paths!$P$64="Complete",IF(C644=0,0,Paths!$S$64*Paths!$R$64),"n.a."))</f>
        <v>0</v>
      </c>
      <c r="T644" s="1">
        <f>IF(NOT(Paths!$C$64=1),0,IF(Paths!$P$64="Complete",IF(C644=0,0,VLOOKUP(A644,'Fleet register'!$A$7:$S$106,9,FALSE)*Paths!$R$64),"n.a."))</f>
        <v>0</v>
      </c>
    </row>
    <row r="645" spans="1:20" ht="24" customHeight="1">
      <c r="A645" s="1" t="str">
        <f>Paths!$A$65</f>
        <v>T015</v>
      </c>
      <c r="B645" s="1">
        <f>Paths!$B$65</f>
        <v>2</v>
      </c>
      <c r="C645" s="1">
        <v>0</v>
      </c>
      <c r="D645" s="1">
        <v>65</v>
      </c>
      <c r="E645" s="1">
        <f>IF(OR(Paths!$C$65=0,C645=0),0,MAX(0,MIN(C645*12,Paths!$E$65)-(C645-1)*12))</f>
        <v>0</v>
      </c>
      <c r="F645" s="1">
        <f>IF(OR(Paths!$C$65=0,C645=0),0,12-E645)</f>
        <v>0</v>
      </c>
      <c r="G645" s="16">
        <f>IF(NOT(Paths!$C$65=1),0,IF(Paths!$P$65="Complete",E645/12*(Paths!$J$65*(1+'Operating costs'!$B$51)^MAX(0,C645-1)+Paths!$K$65*(1+'Operating costs'!$B$53)^MAX(0,C645-1)),"n.a."))</f>
        <v>0</v>
      </c>
      <c r="H645" s="16">
        <f>IF(NOT(Paths!$C$65=1),0,IF(Paths!$P$65="Complete",F645/12*(Paths!$L$65*(1+IF(Paths!$D$65="EV",'Operating costs'!$B$52,'Operating costs'!$B$51))^MAX(0,C645-1)+Paths!$M$65*(1+'Operating costs'!$B$53)^MAX(0,C645-1)),"n.a."))</f>
        <v>0</v>
      </c>
      <c r="I645" s="16">
        <f>IF(NOT(Paths!$C$65=1),0,IF(Paths!$P$65="Complete",IF(IF(Paths!$E$65=0,C645=0,AND(C645&gt;0,Paths!$E$65&gt;(C645-1)*12,Paths!$E$65&lt;=C645*12)),Paths!$G$65,0),"n.a."))</f>
        <v>0</v>
      </c>
      <c r="J645" s="16">
        <f>IF(NOT(Paths!$C$65=1),0,IF(Paths!$P$65="Complete",IF(IF(Paths!$E$65=0,C645=0,AND(C645&gt;0,Paths!$E$65&gt;(C645-1)*12,Paths!$E$65&lt;=C645*12)),Paths!$H$65,0),"n.a."))</f>
        <v>0</v>
      </c>
      <c r="K645" s="16">
        <f>IF(NOT(Paths!$C$65=1),0,IF(Paths!$P$65="Complete",IF(IF(Paths!$O$65=0,C645=0,AND(C645&gt;0,Paths!$O$65&gt;(C645-1)*12,Paths!$O$65&lt;=C645*12)),Paths!$N$65,0),"n.a."))</f>
        <v>0</v>
      </c>
      <c r="L645" s="16">
        <f>IF(NOT(Paths!$C$65=1),0,IF(Paths!$P$65="Complete",IF(C645=10,Paths!$I$65,0),"n.a."))</f>
        <v>0</v>
      </c>
      <c r="M645" s="16">
        <f>IF(NOT(Paths!$C$65=1),0,IF(Paths!$P$65="Complete",IF(AND(Paths!$D$65="EV",Paths!$E$65&lt;120,Paths!$E$65+'Operating costs'!$B$65&gt;Paths!$E$65,Paths!$E$65+'Operating costs'!$B$65&lt;=120,IF(Paths!$E$65+'Operating costs'!$B$65=0,C645=0,AND(C645&gt;0,Paths!$E$65+'Operating costs'!$B$65&gt;(C645-1)*12,Paths!$E$65+'Operating costs'!$B$65&lt;=C645*12))),'Operating costs'!$B$64,0)+IF(AND('Operating costs'!$B$67&gt;0,'Operating costs'!$B$67&lt;=120,OR(Paths!$D$65="ICE",'Operating costs'!$B$67&lt;=Paths!$E$65),IF('Operating costs'!$B$67=0,C645=0,AND(C645&gt;0,'Operating costs'!$B$67&gt;(C645-1)*12,'Operating costs'!$B$67&lt;=C645*12))),'Operating costs'!$B$66,0),"n.a."))</f>
        <v>0</v>
      </c>
      <c r="N645" s="16">
        <f>IF(NOT(Paths!$C$65=1),0,IF(Paths!$P$65="Complete",SUM(G645:I645)-J645-K645-L645+M645+IF(C645=0,Paths!$F$65,0)+IF(IF(Paths!$E$65=0,C645=0,AND(C645&gt;0,Paths!$E$65&gt;(C645-1)*12,Paths!$E$65&lt;=C645*12)),VLOOKUP(A645,'Fleet register'!$A$7:$S$106,16,FALSE),0),"n.a."))</f>
        <v>0</v>
      </c>
      <c r="O645" s="16">
        <f>IF(NOT(Paths!$C$65=1),0,IF(Paths!$P$65="Complete",N645-IF(C645=0,Paths!$F$65,0),"n.a."))</f>
        <v>0</v>
      </c>
      <c r="P645" s="16">
        <f>IF(NOT(Paths!$C$65=1),0,IF(Paths!$P$65="Complete",O645+L645,"n.a."))</f>
        <v>0</v>
      </c>
      <c r="Q645" s="16">
        <f>IF(NOT(Paths!$C$65=1),0,IF(Paths!$P$65="Complete",N645*(1+'Operating costs'!$B$54)^-C645,"n.a."))</f>
        <v>0</v>
      </c>
      <c r="R645" s="16">
        <f>IF(NOT(Paths!$C$65=1),0,IF(Paths!$P$65="Complete",IF(AND(C645=0,Paths!$E$65=0),I645-J645-K645+VLOOKUP(A645,'Fleet register'!$A$7:$S$106,15,FALSE)+VLOOKUP(A645,'Fleet register'!$A$7:$S$106,16,FALSE),0),"n.a."))</f>
        <v>0</v>
      </c>
      <c r="S645" s="1">
        <f>IF(NOT(Paths!$C$65=1),0,IF(Paths!$P$65="Complete",IF(C645=0,0,Paths!$S$65*Paths!$R$65),"n.a."))</f>
        <v>0</v>
      </c>
      <c r="T645" s="1">
        <f>IF(NOT(Paths!$C$65=1),0,IF(Paths!$P$65="Complete",IF(C645=0,0,VLOOKUP(A645,'Fleet register'!$A$7:$S$106,9,FALSE)*Paths!$R$65),"n.a."))</f>
        <v>0</v>
      </c>
    </row>
    <row r="646" spans="1:20" ht="24" customHeight="1">
      <c r="A646" s="1" t="str">
        <f>Paths!$A$65</f>
        <v>T015</v>
      </c>
      <c r="B646" s="1">
        <f>Paths!$B$65</f>
        <v>2</v>
      </c>
      <c r="C646" s="1">
        <v>1</v>
      </c>
      <c r="D646" s="1">
        <v>65</v>
      </c>
      <c r="E646" s="1">
        <f>IF(OR(Paths!$C$65=0,C646=0),0,MAX(0,MIN(C646*12,Paths!$E$65)-(C646-1)*12))</f>
        <v>0</v>
      </c>
      <c r="F646" s="1">
        <f>IF(OR(Paths!$C$65=0,C646=0),0,12-E646)</f>
        <v>0</v>
      </c>
      <c r="G646" s="16">
        <f>IF(NOT(Paths!$C$65=1),0,IF(Paths!$P$65="Complete",E646/12*(Paths!$J$65*(1+'Operating costs'!$B$51)^MAX(0,C646-1)+Paths!$K$65*(1+'Operating costs'!$B$53)^MAX(0,C646-1)),"n.a."))</f>
        <v>0</v>
      </c>
      <c r="H646" s="16">
        <f>IF(NOT(Paths!$C$65=1),0,IF(Paths!$P$65="Complete",F646/12*(Paths!$L$65*(1+IF(Paths!$D$65="EV",'Operating costs'!$B$52,'Operating costs'!$B$51))^MAX(0,C646-1)+Paths!$M$65*(1+'Operating costs'!$B$53)^MAX(0,C646-1)),"n.a."))</f>
        <v>0</v>
      </c>
      <c r="I646" s="16">
        <f>IF(NOT(Paths!$C$65=1),0,IF(Paths!$P$65="Complete",IF(IF(Paths!$E$65=0,C646=0,AND(C646&gt;0,Paths!$E$65&gt;(C646-1)*12,Paths!$E$65&lt;=C646*12)),Paths!$G$65,0),"n.a."))</f>
        <v>0</v>
      </c>
      <c r="J646" s="16">
        <f>IF(NOT(Paths!$C$65=1),0,IF(Paths!$P$65="Complete",IF(IF(Paths!$E$65=0,C646=0,AND(C646&gt;0,Paths!$E$65&gt;(C646-1)*12,Paths!$E$65&lt;=C646*12)),Paths!$H$65,0),"n.a."))</f>
        <v>0</v>
      </c>
      <c r="K646" s="16">
        <f>IF(NOT(Paths!$C$65=1),0,IF(Paths!$P$65="Complete",IF(IF(Paths!$O$65=0,C646=0,AND(C646&gt;0,Paths!$O$65&gt;(C646-1)*12,Paths!$O$65&lt;=C646*12)),Paths!$N$65,0),"n.a."))</f>
        <v>0</v>
      </c>
      <c r="L646" s="16">
        <f>IF(NOT(Paths!$C$65=1),0,IF(Paths!$P$65="Complete",IF(C646=10,Paths!$I$65,0),"n.a."))</f>
        <v>0</v>
      </c>
      <c r="M646" s="16">
        <f>IF(NOT(Paths!$C$65=1),0,IF(Paths!$P$65="Complete",IF(AND(Paths!$D$65="EV",Paths!$E$65&lt;120,Paths!$E$65+'Operating costs'!$B$65&gt;Paths!$E$65,Paths!$E$65+'Operating costs'!$B$65&lt;=120,IF(Paths!$E$65+'Operating costs'!$B$65=0,C646=0,AND(C646&gt;0,Paths!$E$65+'Operating costs'!$B$65&gt;(C646-1)*12,Paths!$E$65+'Operating costs'!$B$65&lt;=C646*12))),'Operating costs'!$B$64,0)+IF(AND('Operating costs'!$B$67&gt;0,'Operating costs'!$B$67&lt;=120,OR(Paths!$D$65="ICE",'Operating costs'!$B$67&lt;=Paths!$E$65),IF('Operating costs'!$B$67=0,C646=0,AND(C646&gt;0,'Operating costs'!$B$67&gt;(C646-1)*12,'Operating costs'!$B$67&lt;=C646*12))),'Operating costs'!$B$66,0),"n.a."))</f>
        <v>0</v>
      </c>
      <c r="N646" s="16">
        <f>IF(NOT(Paths!$C$65=1),0,IF(Paths!$P$65="Complete",SUM(G646:I646)-J646-K646-L646+M646+IF(C646=0,Paths!$F$65,0)+IF(IF(Paths!$E$65=0,C646=0,AND(C646&gt;0,Paths!$E$65&gt;(C646-1)*12,Paths!$E$65&lt;=C646*12)),VLOOKUP(A646,'Fleet register'!$A$7:$S$106,16,FALSE),0),"n.a."))</f>
        <v>0</v>
      </c>
      <c r="O646" s="16">
        <f>IF(NOT(Paths!$C$65=1),0,IF(Paths!$P$65="Complete",N646-IF(C646=0,Paths!$F$65,0),"n.a."))</f>
        <v>0</v>
      </c>
      <c r="P646" s="16">
        <f>IF(NOT(Paths!$C$65=1),0,IF(Paths!$P$65="Complete",O646+L646,"n.a."))</f>
        <v>0</v>
      </c>
      <c r="Q646" s="16">
        <f>IF(NOT(Paths!$C$65=1),0,IF(Paths!$P$65="Complete",N646*(1+'Operating costs'!$B$54)^-C646,"n.a."))</f>
        <v>0</v>
      </c>
      <c r="R646" s="16">
        <f>IF(NOT(Paths!$C$65=1),0,IF(Paths!$P$65="Complete",IF(AND(C646=0,Paths!$E$65=0),I646-J646-K646+VLOOKUP(A646,'Fleet register'!$A$7:$S$106,15,FALSE)+VLOOKUP(A646,'Fleet register'!$A$7:$S$106,16,FALSE),0),"n.a."))</f>
        <v>0</v>
      </c>
      <c r="S646" s="1">
        <f>IF(NOT(Paths!$C$65=1),0,IF(Paths!$P$65="Complete",IF(C646=0,0,Paths!$S$65*Paths!$R$65),"n.a."))</f>
        <v>0</v>
      </c>
      <c r="T646" s="1">
        <f>IF(NOT(Paths!$C$65=1),0,IF(Paths!$P$65="Complete",IF(C646=0,0,VLOOKUP(A646,'Fleet register'!$A$7:$S$106,9,FALSE)*Paths!$R$65),"n.a."))</f>
        <v>0</v>
      </c>
    </row>
    <row r="647" spans="1:20" ht="24" customHeight="1">
      <c r="A647" s="1" t="str">
        <f>Paths!$A$65</f>
        <v>T015</v>
      </c>
      <c r="B647" s="1">
        <f>Paths!$B$65</f>
        <v>2</v>
      </c>
      <c r="C647" s="1">
        <v>2</v>
      </c>
      <c r="D647" s="1">
        <v>65</v>
      </c>
      <c r="E647" s="1">
        <f>IF(OR(Paths!$C$65=0,C647=0),0,MAX(0,MIN(C647*12,Paths!$E$65)-(C647-1)*12))</f>
        <v>0</v>
      </c>
      <c r="F647" s="1">
        <f>IF(OR(Paths!$C$65=0,C647=0),0,12-E647)</f>
        <v>0</v>
      </c>
      <c r="G647" s="16">
        <f>IF(NOT(Paths!$C$65=1),0,IF(Paths!$P$65="Complete",E647/12*(Paths!$J$65*(1+'Operating costs'!$B$51)^MAX(0,C647-1)+Paths!$K$65*(1+'Operating costs'!$B$53)^MAX(0,C647-1)),"n.a."))</f>
        <v>0</v>
      </c>
      <c r="H647" s="16">
        <f>IF(NOT(Paths!$C$65=1),0,IF(Paths!$P$65="Complete",F647/12*(Paths!$L$65*(1+IF(Paths!$D$65="EV",'Operating costs'!$B$52,'Operating costs'!$B$51))^MAX(0,C647-1)+Paths!$M$65*(1+'Operating costs'!$B$53)^MAX(0,C647-1)),"n.a."))</f>
        <v>0</v>
      </c>
      <c r="I647" s="16">
        <f>IF(NOT(Paths!$C$65=1),0,IF(Paths!$P$65="Complete",IF(IF(Paths!$E$65=0,C647=0,AND(C647&gt;0,Paths!$E$65&gt;(C647-1)*12,Paths!$E$65&lt;=C647*12)),Paths!$G$65,0),"n.a."))</f>
        <v>0</v>
      </c>
      <c r="J647" s="16">
        <f>IF(NOT(Paths!$C$65=1),0,IF(Paths!$P$65="Complete",IF(IF(Paths!$E$65=0,C647=0,AND(C647&gt;0,Paths!$E$65&gt;(C647-1)*12,Paths!$E$65&lt;=C647*12)),Paths!$H$65,0),"n.a."))</f>
        <v>0</v>
      </c>
      <c r="K647" s="16">
        <f>IF(NOT(Paths!$C$65=1),0,IF(Paths!$P$65="Complete",IF(IF(Paths!$O$65=0,C647=0,AND(C647&gt;0,Paths!$O$65&gt;(C647-1)*12,Paths!$O$65&lt;=C647*12)),Paths!$N$65,0),"n.a."))</f>
        <v>0</v>
      </c>
      <c r="L647" s="16">
        <f>IF(NOT(Paths!$C$65=1),0,IF(Paths!$P$65="Complete",IF(C647=10,Paths!$I$65,0),"n.a."))</f>
        <v>0</v>
      </c>
      <c r="M647" s="16">
        <f>IF(NOT(Paths!$C$65=1),0,IF(Paths!$P$65="Complete",IF(AND(Paths!$D$65="EV",Paths!$E$65&lt;120,Paths!$E$65+'Operating costs'!$B$65&gt;Paths!$E$65,Paths!$E$65+'Operating costs'!$B$65&lt;=120,IF(Paths!$E$65+'Operating costs'!$B$65=0,C647=0,AND(C647&gt;0,Paths!$E$65+'Operating costs'!$B$65&gt;(C647-1)*12,Paths!$E$65+'Operating costs'!$B$65&lt;=C647*12))),'Operating costs'!$B$64,0)+IF(AND('Operating costs'!$B$67&gt;0,'Operating costs'!$B$67&lt;=120,OR(Paths!$D$65="ICE",'Operating costs'!$B$67&lt;=Paths!$E$65),IF('Operating costs'!$B$67=0,C647=0,AND(C647&gt;0,'Operating costs'!$B$67&gt;(C647-1)*12,'Operating costs'!$B$67&lt;=C647*12))),'Operating costs'!$B$66,0),"n.a."))</f>
        <v>0</v>
      </c>
      <c r="N647" s="16">
        <f>IF(NOT(Paths!$C$65=1),0,IF(Paths!$P$65="Complete",SUM(G647:I647)-J647-K647-L647+M647+IF(C647=0,Paths!$F$65,0)+IF(IF(Paths!$E$65=0,C647=0,AND(C647&gt;0,Paths!$E$65&gt;(C647-1)*12,Paths!$E$65&lt;=C647*12)),VLOOKUP(A647,'Fleet register'!$A$7:$S$106,16,FALSE),0),"n.a."))</f>
        <v>0</v>
      </c>
      <c r="O647" s="16">
        <f>IF(NOT(Paths!$C$65=1),0,IF(Paths!$P$65="Complete",N647-IF(C647=0,Paths!$F$65,0),"n.a."))</f>
        <v>0</v>
      </c>
      <c r="P647" s="16">
        <f>IF(NOT(Paths!$C$65=1),0,IF(Paths!$P$65="Complete",O647+L647,"n.a."))</f>
        <v>0</v>
      </c>
      <c r="Q647" s="16">
        <f>IF(NOT(Paths!$C$65=1),0,IF(Paths!$P$65="Complete",N647*(1+'Operating costs'!$B$54)^-C647,"n.a."))</f>
        <v>0</v>
      </c>
      <c r="R647" s="16">
        <f>IF(NOT(Paths!$C$65=1),0,IF(Paths!$P$65="Complete",IF(AND(C647=0,Paths!$E$65=0),I647-J647-K647+VLOOKUP(A647,'Fleet register'!$A$7:$S$106,15,FALSE)+VLOOKUP(A647,'Fleet register'!$A$7:$S$106,16,FALSE),0),"n.a."))</f>
        <v>0</v>
      </c>
      <c r="S647" s="1">
        <f>IF(NOT(Paths!$C$65=1),0,IF(Paths!$P$65="Complete",IF(C647=0,0,Paths!$S$65*Paths!$R$65),"n.a."))</f>
        <v>0</v>
      </c>
      <c r="T647" s="1">
        <f>IF(NOT(Paths!$C$65=1),0,IF(Paths!$P$65="Complete",IF(C647=0,0,VLOOKUP(A647,'Fleet register'!$A$7:$S$106,9,FALSE)*Paths!$R$65),"n.a."))</f>
        <v>0</v>
      </c>
    </row>
    <row r="648" spans="1:20" ht="24" customHeight="1">
      <c r="A648" s="1" t="str">
        <f>Paths!$A$65</f>
        <v>T015</v>
      </c>
      <c r="B648" s="1">
        <f>Paths!$B$65</f>
        <v>2</v>
      </c>
      <c r="C648" s="1">
        <v>3</v>
      </c>
      <c r="D648" s="1">
        <v>65</v>
      </c>
      <c r="E648" s="1">
        <f>IF(OR(Paths!$C$65=0,C648=0),0,MAX(0,MIN(C648*12,Paths!$E$65)-(C648-1)*12))</f>
        <v>0</v>
      </c>
      <c r="F648" s="1">
        <f>IF(OR(Paths!$C$65=0,C648=0),0,12-E648)</f>
        <v>0</v>
      </c>
      <c r="G648" s="16">
        <f>IF(NOT(Paths!$C$65=1),0,IF(Paths!$P$65="Complete",E648/12*(Paths!$J$65*(1+'Operating costs'!$B$51)^MAX(0,C648-1)+Paths!$K$65*(1+'Operating costs'!$B$53)^MAX(0,C648-1)),"n.a."))</f>
        <v>0</v>
      </c>
      <c r="H648" s="16">
        <f>IF(NOT(Paths!$C$65=1),0,IF(Paths!$P$65="Complete",F648/12*(Paths!$L$65*(1+IF(Paths!$D$65="EV",'Operating costs'!$B$52,'Operating costs'!$B$51))^MAX(0,C648-1)+Paths!$M$65*(1+'Operating costs'!$B$53)^MAX(0,C648-1)),"n.a."))</f>
        <v>0</v>
      </c>
      <c r="I648" s="16">
        <f>IF(NOT(Paths!$C$65=1),0,IF(Paths!$P$65="Complete",IF(IF(Paths!$E$65=0,C648=0,AND(C648&gt;0,Paths!$E$65&gt;(C648-1)*12,Paths!$E$65&lt;=C648*12)),Paths!$G$65,0),"n.a."))</f>
        <v>0</v>
      </c>
      <c r="J648" s="16">
        <f>IF(NOT(Paths!$C$65=1),0,IF(Paths!$P$65="Complete",IF(IF(Paths!$E$65=0,C648=0,AND(C648&gt;0,Paths!$E$65&gt;(C648-1)*12,Paths!$E$65&lt;=C648*12)),Paths!$H$65,0),"n.a."))</f>
        <v>0</v>
      </c>
      <c r="K648" s="16">
        <f>IF(NOT(Paths!$C$65=1),0,IF(Paths!$P$65="Complete",IF(IF(Paths!$O$65=0,C648=0,AND(C648&gt;0,Paths!$O$65&gt;(C648-1)*12,Paths!$O$65&lt;=C648*12)),Paths!$N$65,0),"n.a."))</f>
        <v>0</v>
      </c>
      <c r="L648" s="16">
        <f>IF(NOT(Paths!$C$65=1),0,IF(Paths!$P$65="Complete",IF(C648=10,Paths!$I$65,0),"n.a."))</f>
        <v>0</v>
      </c>
      <c r="M648" s="16">
        <f>IF(NOT(Paths!$C$65=1),0,IF(Paths!$P$65="Complete",IF(AND(Paths!$D$65="EV",Paths!$E$65&lt;120,Paths!$E$65+'Operating costs'!$B$65&gt;Paths!$E$65,Paths!$E$65+'Operating costs'!$B$65&lt;=120,IF(Paths!$E$65+'Operating costs'!$B$65=0,C648=0,AND(C648&gt;0,Paths!$E$65+'Operating costs'!$B$65&gt;(C648-1)*12,Paths!$E$65+'Operating costs'!$B$65&lt;=C648*12))),'Operating costs'!$B$64,0)+IF(AND('Operating costs'!$B$67&gt;0,'Operating costs'!$B$67&lt;=120,OR(Paths!$D$65="ICE",'Operating costs'!$B$67&lt;=Paths!$E$65),IF('Operating costs'!$B$67=0,C648=0,AND(C648&gt;0,'Operating costs'!$B$67&gt;(C648-1)*12,'Operating costs'!$B$67&lt;=C648*12))),'Operating costs'!$B$66,0),"n.a."))</f>
        <v>0</v>
      </c>
      <c r="N648" s="16">
        <f>IF(NOT(Paths!$C$65=1),0,IF(Paths!$P$65="Complete",SUM(G648:I648)-J648-K648-L648+M648+IF(C648=0,Paths!$F$65,0)+IF(IF(Paths!$E$65=0,C648=0,AND(C648&gt;0,Paths!$E$65&gt;(C648-1)*12,Paths!$E$65&lt;=C648*12)),VLOOKUP(A648,'Fleet register'!$A$7:$S$106,16,FALSE),0),"n.a."))</f>
        <v>0</v>
      </c>
      <c r="O648" s="16">
        <f>IF(NOT(Paths!$C$65=1),0,IF(Paths!$P$65="Complete",N648-IF(C648=0,Paths!$F$65,0),"n.a."))</f>
        <v>0</v>
      </c>
      <c r="P648" s="16">
        <f>IF(NOT(Paths!$C$65=1),0,IF(Paths!$P$65="Complete",O648+L648,"n.a."))</f>
        <v>0</v>
      </c>
      <c r="Q648" s="16">
        <f>IF(NOT(Paths!$C$65=1),0,IF(Paths!$P$65="Complete",N648*(1+'Operating costs'!$B$54)^-C648,"n.a."))</f>
        <v>0</v>
      </c>
      <c r="R648" s="16">
        <f>IF(NOT(Paths!$C$65=1),0,IF(Paths!$P$65="Complete",IF(AND(C648=0,Paths!$E$65=0),I648-J648-K648+VLOOKUP(A648,'Fleet register'!$A$7:$S$106,15,FALSE)+VLOOKUP(A648,'Fleet register'!$A$7:$S$106,16,FALSE),0),"n.a."))</f>
        <v>0</v>
      </c>
      <c r="S648" s="1">
        <f>IF(NOT(Paths!$C$65=1),0,IF(Paths!$P$65="Complete",IF(C648=0,0,Paths!$S$65*Paths!$R$65),"n.a."))</f>
        <v>0</v>
      </c>
      <c r="T648" s="1">
        <f>IF(NOT(Paths!$C$65=1),0,IF(Paths!$P$65="Complete",IF(C648=0,0,VLOOKUP(A648,'Fleet register'!$A$7:$S$106,9,FALSE)*Paths!$R$65),"n.a."))</f>
        <v>0</v>
      </c>
    </row>
    <row r="649" spans="1:20" ht="24" customHeight="1">
      <c r="A649" s="1" t="str">
        <f>Paths!$A$65</f>
        <v>T015</v>
      </c>
      <c r="B649" s="1">
        <f>Paths!$B$65</f>
        <v>2</v>
      </c>
      <c r="C649" s="1">
        <v>4</v>
      </c>
      <c r="D649" s="1">
        <v>65</v>
      </c>
      <c r="E649" s="1">
        <f>IF(OR(Paths!$C$65=0,C649=0),0,MAX(0,MIN(C649*12,Paths!$E$65)-(C649-1)*12))</f>
        <v>0</v>
      </c>
      <c r="F649" s="1">
        <f>IF(OR(Paths!$C$65=0,C649=0),0,12-E649)</f>
        <v>0</v>
      </c>
      <c r="G649" s="16">
        <f>IF(NOT(Paths!$C$65=1),0,IF(Paths!$P$65="Complete",E649/12*(Paths!$J$65*(1+'Operating costs'!$B$51)^MAX(0,C649-1)+Paths!$K$65*(1+'Operating costs'!$B$53)^MAX(0,C649-1)),"n.a."))</f>
        <v>0</v>
      </c>
      <c r="H649" s="16">
        <f>IF(NOT(Paths!$C$65=1),0,IF(Paths!$P$65="Complete",F649/12*(Paths!$L$65*(1+IF(Paths!$D$65="EV",'Operating costs'!$B$52,'Operating costs'!$B$51))^MAX(0,C649-1)+Paths!$M$65*(1+'Operating costs'!$B$53)^MAX(0,C649-1)),"n.a."))</f>
        <v>0</v>
      </c>
      <c r="I649" s="16">
        <f>IF(NOT(Paths!$C$65=1),0,IF(Paths!$P$65="Complete",IF(IF(Paths!$E$65=0,C649=0,AND(C649&gt;0,Paths!$E$65&gt;(C649-1)*12,Paths!$E$65&lt;=C649*12)),Paths!$G$65,0),"n.a."))</f>
        <v>0</v>
      </c>
      <c r="J649" s="16">
        <f>IF(NOT(Paths!$C$65=1),0,IF(Paths!$P$65="Complete",IF(IF(Paths!$E$65=0,C649=0,AND(C649&gt;0,Paths!$E$65&gt;(C649-1)*12,Paths!$E$65&lt;=C649*12)),Paths!$H$65,0),"n.a."))</f>
        <v>0</v>
      </c>
      <c r="K649" s="16">
        <f>IF(NOT(Paths!$C$65=1),0,IF(Paths!$P$65="Complete",IF(IF(Paths!$O$65=0,C649=0,AND(C649&gt;0,Paths!$O$65&gt;(C649-1)*12,Paths!$O$65&lt;=C649*12)),Paths!$N$65,0),"n.a."))</f>
        <v>0</v>
      </c>
      <c r="L649" s="16">
        <f>IF(NOT(Paths!$C$65=1),0,IF(Paths!$P$65="Complete",IF(C649=10,Paths!$I$65,0),"n.a."))</f>
        <v>0</v>
      </c>
      <c r="M649" s="16">
        <f>IF(NOT(Paths!$C$65=1),0,IF(Paths!$P$65="Complete",IF(AND(Paths!$D$65="EV",Paths!$E$65&lt;120,Paths!$E$65+'Operating costs'!$B$65&gt;Paths!$E$65,Paths!$E$65+'Operating costs'!$B$65&lt;=120,IF(Paths!$E$65+'Operating costs'!$B$65=0,C649=0,AND(C649&gt;0,Paths!$E$65+'Operating costs'!$B$65&gt;(C649-1)*12,Paths!$E$65+'Operating costs'!$B$65&lt;=C649*12))),'Operating costs'!$B$64,0)+IF(AND('Operating costs'!$B$67&gt;0,'Operating costs'!$B$67&lt;=120,OR(Paths!$D$65="ICE",'Operating costs'!$B$67&lt;=Paths!$E$65),IF('Operating costs'!$B$67=0,C649=0,AND(C649&gt;0,'Operating costs'!$B$67&gt;(C649-1)*12,'Operating costs'!$B$67&lt;=C649*12))),'Operating costs'!$B$66,0),"n.a."))</f>
        <v>0</v>
      </c>
      <c r="N649" s="16">
        <f>IF(NOT(Paths!$C$65=1),0,IF(Paths!$P$65="Complete",SUM(G649:I649)-J649-K649-L649+M649+IF(C649=0,Paths!$F$65,0)+IF(IF(Paths!$E$65=0,C649=0,AND(C649&gt;0,Paths!$E$65&gt;(C649-1)*12,Paths!$E$65&lt;=C649*12)),VLOOKUP(A649,'Fleet register'!$A$7:$S$106,16,FALSE),0),"n.a."))</f>
        <v>0</v>
      </c>
      <c r="O649" s="16">
        <f>IF(NOT(Paths!$C$65=1),0,IF(Paths!$P$65="Complete",N649-IF(C649=0,Paths!$F$65,0),"n.a."))</f>
        <v>0</v>
      </c>
      <c r="P649" s="16">
        <f>IF(NOT(Paths!$C$65=1),0,IF(Paths!$P$65="Complete",O649+L649,"n.a."))</f>
        <v>0</v>
      </c>
      <c r="Q649" s="16">
        <f>IF(NOT(Paths!$C$65=1),0,IF(Paths!$P$65="Complete",N649*(1+'Operating costs'!$B$54)^-C649,"n.a."))</f>
        <v>0</v>
      </c>
      <c r="R649" s="16">
        <f>IF(NOT(Paths!$C$65=1),0,IF(Paths!$P$65="Complete",IF(AND(C649=0,Paths!$E$65=0),I649-J649-K649+VLOOKUP(A649,'Fleet register'!$A$7:$S$106,15,FALSE)+VLOOKUP(A649,'Fleet register'!$A$7:$S$106,16,FALSE),0),"n.a."))</f>
        <v>0</v>
      </c>
      <c r="S649" s="1">
        <f>IF(NOT(Paths!$C$65=1),0,IF(Paths!$P$65="Complete",IF(C649=0,0,Paths!$S$65*Paths!$R$65),"n.a."))</f>
        <v>0</v>
      </c>
      <c r="T649" s="1">
        <f>IF(NOT(Paths!$C$65=1),0,IF(Paths!$P$65="Complete",IF(C649=0,0,VLOOKUP(A649,'Fleet register'!$A$7:$S$106,9,FALSE)*Paths!$R$65),"n.a."))</f>
        <v>0</v>
      </c>
    </row>
    <row r="650" spans="1:20" ht="24" customHeight="1">
      <c r="A650" s="1" t="str">
        <f>Paths!$A$65</f>
        <v>T015</v>
      </c>
      <c r="B650" s="1">
        <f>Paths!$B$65</f>
        <v>2</v>
      </c>
      <c r="C650" s="1">
        <v>5</v>
      </c>
      <c r="D650" s="1">
        <v>65</v>
      </c>
      <c r="E650" s="1">
        <f>IF(OR(Paths!$C$65=0,C650=0),0,MAX(0,MIN(C650*12,Paths!$E$65)-(C650-1)*12))</f>
        <v>0</v>
      </c>
      <c r="F650" s="1">
        <f>IF(OR(Paths!$C$65=0,C650=0),0,12-E650)</f>
        <v>0</v>
      </c>
      <c r="G650" s="16">
        <f>IF(NOT(Paths!$C$65=1),0,IF(Paths!$P$65="Complete",E650/12*(Paths!$J$65*(1+'Operating costs'!$B$51)^MAX(0,C650-1)+Paths!$K$65*(1+'Operating costs'!$B$53)^MAX(0,C650-1)),"n.a."))</f>
        <v>0</v>
      </c>
      <c r="H650" s="16">
        <f>IF(NOT(Paths!$C$65=1),0,IF(Paths!$P$65="Complete",F650/12*(Paths!$L$65*(1+IF(Paths!$D$65="EV",'Operating costs'!$B$52,'Operating costs'!$B$51))^MAX(0,C650-1)+Paths!$M$65*(1+'Operating costs'!$B$53)^MAX(0,C650-1)),"n.a."))</f>
        <v>0</v>
      </c>
      <c r="I650" s="16">
        <f>IF(NOT(Paths!$C$65=1),0,IF(Paths!$P$65="Complete",IF(IF(Paths!$E$65=0,C650=0,AND(C650&gt;0,Paths!$E$65&gt;(C650-1)*12,Paths!$E$65&lt;=C650*12)),Paths!$G$65,0),"n.a."))</f>
        <v>0</v>
      </c>
      <c r="J650" s="16">
        <f>IF(NOT(Paths!$C$65=1),0,IF(Paths!$P$65="Complete",IF(IF(Paths!$E$65=0,C650=0,AND(C650&gt;0,Paths!$E$65&gt;(C650-1)*12,Paths!$E$65&lt;=C650*12)),Paths!$H$65,0),"n.a."))</f>
        <v>0</v>
      </c>
      <c r="K650" s="16">
        <f>IF(NOT(Paths!$C$65=1),0,IF(Paths!$P$65="Complete",IF(IF(Paths!$O$65=0,C650=0,AND(C650&gt;0,Paths!$O$65&gt;(C650-1)*12,Paths!$O$65&lt;=C650*12)),Paths!$N$65,0),"n.a."))</f>
        <v>0</v>
      </c>
      <c r="L650" s="16">
        <f>IF(NOT(Paths!$C$65=1),0,IF(Paths!$P$65="Complete",IF(C650=10,Paths!$I$65,0),"n.a."))</f>
        <v>0</v>
      </c>
      <c r="M650" s="16">
        <f>IF(NOT(Paths!$C$65=1),0,IF(Paths!$P$65="Complete",IF(AND(Paths!$D$65="EV",Paths!$E$65&lt;120,Paths!$E$65+'Operating costs'!$B$65&gt;Paths!$E$65,Paths!$E$65+'Operating costs'!$B$65&lt;=120,IF(Paths!$E$65+'Operating costs'!$B$65=0,C650=0,AND(C650&gt;0,Paths!$E$65+'Operating costs'!$B$65&gt;(C650-1)*12,Paths!$E$65+'Operating costs'!$B$65&lt;=C650*12))),'Operating costs'!$B$64,0)+IF(AND('Operating costs'!$B$67&gt;0,'Operating costs'!$B$67&lt;=120,OR(Paths!$D$65="ICE",'Operating costs'!$B$67&lt;=Paths!$E$65),IF('Operating costs'!$B$67=0,C650=0,AND(C650&gt;0,'Operating costs'!$B$67&gt;(C650-1)*12,'Operating costs'!$B$67&lt;=C650*12))),'Operating costs'!$B$66,0),"n.a."))</f>
        <v>0</v>
      </c>
      <c r="N650" s="16">
        <f>IF(NOT(Paths!$C$65=1),0,IF(Paths!$P$65="Complete",SUM(G650:I650)-J650-K650-L650+M650+IF(C650=0,Paths!$F$65,0)+IF(IF(Paths!$E$65=0,C650=0,AND(C650&gt;0,Paths!$E$65&gt;(C650-1)*12,Paths!$E$65&lt;=C650*12)),VLOOKUP(A650,'Fleet register'!$A$7:$S$106,16,FALSE),0),"n.a."))</f>
        <v>0</v>
      </c>
      <c r="O650" s="16">
        <f>IF(NOT(Paths!$C$65=1),0,IF(Paths!$P$65="Complete",N650-IF(C650=0,Paths!$F$65,0),"n.a."))</f>
        <v>0</v>
      </c>
      <c r="P650" s="16">
        <f>IF(NOT(Paths!$C$65=1),0,IF(Paths!$P$65="Complete",O650+L650,"n.a."))</f>
        <v>0</v>
      </c>
      <c r="Q650" s="16">
        <f>IF(NOT(Paths!$C$65=1),0,IF(Paths!$P$65="Complete",N650*(1+'Operating costs'!$B$54)^-C650,"n.a."))</f>
        <v>0</v>
      </c>
      <c r="R650" s="16">
        <f>IF(NOT(Paths!$C$65=1),0,IF(Paths!$P$65="Complete",IF(AND(C650=0,Paths!$E$65=0),I650-J650-K650+VLOOKUP(A650,'Fleet register'!$A$7:$S$106,15,FALSE)+VLOOKUP(A650,'Fleet register'!$A$7:$S$106,16,FALSE),0),"n.a."))</f>
        <v>0</v>
      </c>
      <c r="S650" s="1">
        <f>IF(NOT(Paths!$C$65=1),0,IF(Paths!$P$65="Complete",IF(C650=0,0,Paths!$S$65*Paths!$R$65),"n.a."))</f>
        <v>0</v>
      </c>
      <c r="T650" s="1">
        <f>IF(NOT(Paths!$C$65=1),0,IF(Paths!$P$65="Complete",IF(C650=0,0,VLOOKUP(A650,'Fleet register'!$A$7:$S$106,9,FALSE)*Paths!$R$65),"n.a."))</f>
        <v>0</v>
      </c>
    </row>
    <row r="651" spans="1:20" ht="24" customHeight="1">
      <c r="A651" s="1" t="str">
        <f>Paths!$A$65</f>
        <v>T015</v>
      </c>
      <c r="B651" s="1">
        <f>Paths!$B$65</f>
        <v>2</v>
      </c>
      <c r="C651" s="1">
        <v>6</v>
      </c>
      <c r="D651" s="1">
        <v>65</v>
      </c>
      <c r="E651" s="1">
        <f>IF(OR(Paths!$C$65=0,C651=0),0,MAX(0,MIN(C651*12,Paths!$E$65)-(C651-1)*12))</f>
        <v>0</v>
      </c>
      <c r="F651" s="1">
        <f>IF(OR(Paths!$C$65=0,C651=0),0,12-E651)</f>
        <v>0</v>
      </c>
      <c r="G651" s="16">
        <f>IF(NOT(Paths!$C$65=1),0,IF(Paths!$P$65="Complete",E651/12*(Paths!$J$65*(1+'Operating costs'!$B$51)^MAX(0,C651-1)+Paths!$K$65*(1+'Operating costs'!$B$53)^MAX(0,C651-1)),"n.a."))</f>
        <v>0</v>
      </c>
      <c r="H651" s="16">
        <f>IF(NOT(Paths!$C$65=1),0,IF(Paths!$P$65="Complete",F651/12*(Paths!$L$65*(1+IF(Paths!$D$65="EV",'Operating costs'!$B$52,'Operating costs'!$B$51))^MAX(0,C651-1)+Paths!$M$65*(1+'Operating costs'!$B$53)^MAX(0,C651-1)),"n.a."))</f>
        <v>0</v>
      </c>
      <c r="I651" s="16">
        <f>IF(NOT(Paths!$C$65=1),0,IF(Paths!$P$65="Complete",IF(IF(Paths!$E$65=0,C651=0,AND(C651&gt;0,Paths!$E$65&gt;(C651-1)*12,Paths!$E$65&lt;=C651*12)),Paths!$G$65,0),"n.a."))</f>
        <v>0</v>
      </c>
      <c r="J651" s="16">
        <f>IF(NOT(Paths!$C$65=1),0,IF(Paths!$P$65="Complete",IF(IF(Paths!$E$65=0,C651=0,AND(C651&gt;0,Paths!$E$65&gt;(C651-1)*12,Paths!$E$65&lt;=C651*12)),Paths!$H$65,0),"n.a."))</f>
        <v>0</v>
      </c>
      <c r="K651" s="16">
        <f>IF(NOT(Paths!$C$65=1),0,IF(Paths!$P$65="Complete",IF(IF(Paths!$O$65=0,C651=0,AND(C651&gt;0,Paths!$O$65&gt;(C651-1)*12,Paths!$O$65&lt;=C651*12)),Paths!$N$65,0),"n.a."))</f>
        <v>0</v>
      </c>
      <c r="L651" s="16">
        <f>IF(NOT(Paths!$C$65=1),0,IF(Paths!$P$65="Complete",IF(C651=10,Paths!$I$65,0),"n.a."))</f>
        <v>0</v>
      </c>
      <c r="M651" s="16">
        <f>IF(NOT(Paths!$C$65=1),0,IF(Paths!$P$65="Complete",IF(AND(Paths!$D$65="EV",Paths!$E$65&lt;120,Paths!$E$65+'Operating costs'!$B$65&gt;Paths!$E$65,Paths!$E$65+'Operating costs'!$B$65&lt;=120,IF(Paths!$E$65+'Operating costs'!$B$65=0,C651=0,AND(C651&gt;0,Paths!$E$65+'Operating costs'!$B$65&gt;(C651-1)*12,Paths!$E$65+'Operating costs'!$B$65&lt;=C651*12))),'Operating costs'!$B$64,0)+IF(AND('Operating costs'!$B$67&gt;0,'Operating costs'!$B$67&lt;=120,OR(Paths!$D$65="ICE",'Operating costs'!$B$67&lt;=Paths!$E$65),IF('Operating costs'!$B$67=0,C651=0,AND(C651&gt;0,'Operating costs'!$B$67&gt;(C651-1)*12,'Operating costs'!$B$67&lt;=C651*12))),'Operating costs'!$B$66,0),"n.a."))</f>
        <v>0</v>
      </c>
      <c r="N651" s="16">
        <f>IF(NOT(Paths!$C$65=1),0,IF(Paths!$P$65="Complete",SUM(G651:I651)-J651-K651-L651+M651+IF(C651=0,Paths!$F$65,0)+IF(IF(Paths!$E$65=0,C651=0,AND(C651&gt;0,Paths!$E$65&gt;(C651-1)*12,Paths!$E$65&lt;=C651*12)),VLOOKUP(A651,'Fleet register'!$A$7:$S$106,16,FALSE),0),"n.a."))</f>
        <v>0</v>
      </c>
      <c r="O651" s="16">
        <f>IF(NOT(Paths!$C$65=1),0,IF(Paths!$P$65="Complete",N651-IF(C651=0,Paths!$F$65,0),"n.a."))</f>
        <v>0</v>
      </c>
      <c r="P651" s="16">
        <f>IF(NOT(Paths!$C$65=1),0,IF(Paths!$P$65="Complete",O651+L651,"n.a."))</f>
        <v>0</v>
      </c>
      <c r="Q651" s="16">
        <f>IF(NOT(Paths!$C$65=1),0,IF(Paths!$P$65="Complete",N651*(1+'Operating costs'!$B$54)^-C651,"n.a."))</f>
        <v>0</v>
      </c>
      <c r="R651" s="16">
        <f>IF(NOT(Paths!$C$65=1),0,IF(Paths!$P$65="Complete",IF(AND(C651=0,Paths!$E$65=0),I651-J651-K651+VLOOKUP(A651,'Fleet register'!$A$7:$S$106,15,FALSE)+VLOOKUP(A651,'Fleet register'!$A$7:$S$106,16,FALSE),0),"n.a."))</f>
        <v>0</v>
      </c>
      <c r="S651" s="1">
        <f>IF(NOT(Paths!$C$65=1),0,IF(Paths!$P$65="Complete",IF(C651=0,0,Paths!$S$65*Paths!$R$65),"n.a."))</f>
        <v>0</v>
      </c>
      <c r="T651" s="1">
        <f>IF(NOT(Paths!$C$65=1),0,IF(Paths!$P$65="Complete",IF(C651=0,0,VLOOKUP(A651,'Fleet register'!$A$7:$S$106,9,FALSE)*Paths!$R$65),"n.a."))</f>
        <v>0</v>
      </c>
    </row>
    <row r="652" spans="1:20" ht="24" customHeight="1">
      <c r="A652" s="1" t="str">
        <f>Paths!$A$65</f>
        <v>T015</v>
      </c>
      <c r="B652" s="1">
        <f>Paths!$B$65</f>
        <v>2</v>
      </c>
      <c r="C652" s="1">
        <v>7</v>
      </c>
      <c r="D652" s="1">
        <v>65</v>
      </c>
      <c r="E652" s="1">
        <f>IF(OR(Paths!$C$65=0,C652=0),0,MAX(0,MIN(C652*12,Paths!$E$65)-(C652-1)*12))</f>
        <v>0</v>
      </c>
      <c r="F652" s="1">
        <f>IF(OR(Paths!$C$65=0,C652=0),0,12-E652)</f>
        <v>0</v>
      </c>
      <c r="G652" s="16">
        <f>IF(NOT(Paths!$C$65=1),0,IF(Paths!$P$65="Complete",E652/12*(Paths!$J$65*(1+'Operating costs'!$B$51)^MAX(0,C652-1)+Paths!$K$65*(1+'Operating costs'!$B$53)^MAX(0,C652-1)),"n.a."))</f>
        <v>0</v>
      </c>
      <c r="H652" s="16">
        <f>IF(NOT(Paths!$C$65=1),0,IF(Paths!$P$65="Complete",F652/12*(Paths!$L$65*(1+IF(Paths!$D$65="EV",'Operating costs'!$B$52,'Operating costs'!$B$51))^MAX(0,C652-1)+Paths!$M$65*(1+'Operating costs'!$B$53)^MAX(0,C652-1)),"n.a."))</f>
        <v>0</v>
      </c>
      <c r="I652" s="16">
        <f>IF(NOT(Paths!$C$65=1),0,IF(Paths!$P$65="Complete",IF(IF(Paths!$E$65=0,C652=0,AND(C652&gt;0,Paths!$E$65&gt;(C652-1)*12,Paths!$E$65&lt;=C652*12)),Paths!$G$65,0),"n.a."))</f>
        <v>0</v>
      </c>
      <c r="J652" s="16">
        <f>IF(NOT(Paths!$C$65=1),0,IF(Paths!$P$65="Complete",IF(IF(Paths!$E$65=0,C652=0,AND(C652&gt;0,Paths!$E$65&gt;(C652-1)*12,Paths!$E$65&lt;=C652*12)),Paths!$H$65,0),"n.a."))</f>
        <v>0</v>
      </c>
      <c r="K652" s="16">
        <f>IF(NOT(Paths!$C$65=1),0,IF(Paths!$P$65="Complete",IF(IF(Paths!$O$65=0,C652=0,AND(C652&gt;0,Paths!$O$65&gt;(C652-1)*12,Paths!$O$65&lt;=C652*12)),Paths!$N$65,0),"n.a."))</f>
        <v>0</v>
      </c>
      <c r="L652" s="16">
        <f>IF(NOT(Paths!$C$65=1),0,IF(Paths!$P$65="Complete",IF(C652=10,Paths!$I$65,0),"n.a."))</f>
        <v>0</v>
      </c>
      <c r="M652" s="16">
        <f>IF(NOT(Paths!$C$65=1),0,IF(Paths!$P$65="Complete",IF(AND(Paths!$D$65="EV",Paths!$E$65&lt;120,Paths!$E$65+'Operating costs'!$B$65&gt;Paths!$E$65,Paths!$E$65+'Operating costs'!$B$65&lt;=120,IF(Paths!$E$65+'Operating costs'!$B$65=0,C652=0,AND(C652&gt;0,Paths!$E$65+'Operating costs'!$B$65&gt;(C652-1)*12,Paths!$E$65+'Operating costs'!$B$65&lt;=C652*12))),'Operating costs'!$B$64,0)+IF(AND('Operating costs'!$B$67&gt;0,'Operating costs'!$B$67&lt;=120,OR(Paths!$D$65="ICE",'Operating costs'!$B$67&lt;=Paths!$E$65),IF('Operating costs'!$B$67=0,C652=0,AND(C652&gt;0,'Operating costs'!$B$67&gt;(C652-1)*12,'Operating costs'!$B$67&lt;=C652*12))),'Operating costs'!$B$66,0),"n.a."))</f>
        <v>0</v>
      </c>
      <c r="N652" s="16">
        <f>IF(NOT(Paths!$C$65=1),0,IF(Paths!$P$65="Complete",SUM(G652:I652)-J652-K652-L652+M652+IF(C652=0,Paths!$F$65,0)+IF(IF(Paths!$E$65=0,C652=0,AND(C652&gt;0,Paths!$E$65&gt;(C652-1)*12,Paths!$E$65&lt;=C652*12)),VLOOKUP(A652,'Fleet register'!$A$7:$S$106,16,FALSE),0),"n.a."))</f>
        <v>0</v>
      </c>
      <c r="O652" s="16">
        <f>IF(NOT(Paths!$C$65=1),0,IF(Paths!$P$65="Complete",N652-IF(C652=0,Paths!$F$65,0),"n.a."))</f>
        <v>0</v>
      </c>
      <c r="P652" s="16">
        <f>IF(NOT(Paths!$C$65=1),0,IF(Paths!$P$65="Complete",O652+L652,"n.a."))</f>
        <v>0</v>
      </c>
      <c r="Q652" s="16">
        <f>IF(NOT(Paths!$C$65=1),0,IF(Paths!$P$65="Complete",N652*(1+'Operating costs'!$B$54)^-C652,"n.a."))</f>
        <v>0</v>
      </c>
      <c r="R652" s="16">
        <f>IF(NOT(Paths!$C$65=1),0,IF(Paths!$P$65="Complete",IF(AND(C652=0,Paths!$E$65=0),I652-J652-K652+VLOOKUP(A652,'Fleet register'!$A$7:$S$106,15,FALSE)+VLOOKUP(A652,'Fleet register'!$A$7:$S$106,16,FALSE),0),"n.a."))</f>
        <v>0</v>
      </c>
      <c r="S652" s="1">
        <f>IF(NOT(Paths!$C$65=1),0,IF(Paths!$P$65="Complete",IF(C652=0,0,Paths!$S$65*Paths!$R$65),"n.a."))</f>
        <v>0</v>
      </c>
      <c r="T652" s="1">
        <f>IF(NOT(Paths!$C$65=1),0,IF(Paths!$P$65="Complete",IF(C652=0,0,VLOOKUP(A652,'Fleet register'!$A$7:$S$106,9,FALSE)*Paths!$R$65),"n.a."))</f>
        <v>0</v>
      </c>
    </row>
    <row r="653" spans="1:20" ht="24" customHeight="1">
      <c r="A653" s="1" t="str">
        <f>Paths!$A$65</f>
        <v>T015</v>
      </c>
      <c r="B653" s="1">
        <f>Paths!$B$65</f>
        <v>2</v>
      </c>
      <c r="C653" s="1">
        <v>8</v>
      </c>
      <c r="D653" s="1">
        <v>65</v>
      </c>
      <c r="E653" s="1">
        <f>IF(OR(Paths!$C$65=0,C653=0),0,MAX(0,MIN(C653*12,Paths!$E$65)-(C653-1)*12))</f>
        <v>0</v>
      </c>
      <c r="F653" s="1">
        <f>IF(OR(Paths!$C$65=0,C653=0),0,12-E653)</f>
        <v>0</v>
      </c>
      <c r="G653" s="16">
        <f>IF(NOT(Paths!$C$65=1),0,IF(Paths!$P$65="Complete",E653/12*(Paths!$J$65*(1+'Operating costs'!$B$51)^MAX(0,C653-1)+Paths!$K$65*(1+'Operating costs'!$B$53)^MAX(0,C653-1)),"n.a."))</f>
        <v>0</v>
      </c>
      <c r="H653" s="16">
        <f>IF(NOT(Paths!$C$65=1),0,IF(Paths!$P$65="Complete",F653/12*(Paths!$L$65*(1+IF(Paths!$D$65="EV",'Operating costs'!$B$52,'Operating costs'!$B$51))^MAX(0,C653-1)+Paths!$M$65*(1+'Operating costs'!$B$53)^MAX(0,C653-1)),"n.a."))</f>
        <v>0</v>
      </c>
      <c r="I653" s="16">
        <f>IF(NOT(Paths!$C$65=1),0,IF(Paths!$P$65="Complete",IF(IF(Paths!$E$65=0,C653=0,AND(C653&gt;0,Paths!$E$65&gt;(C653-1)*12,Paths!$E$65&lt;=C653*12)),Paths!$G$65,0),"n.a."))</f>
        <v>0</v>
      </c>
      <c r="J653" s="16">
        <f>IF(NOT(Paths!$C$65=1),0,IF(Paths!$P$65="Complete",IF(IF(Paths!$E$65=0,C653=0,AND(C653&gt;0,Paths!$E$65&gt;(C653-1)*12,Paths!$E$65&lt;=C653*12)),Paths!$H$65,0),"n.a."))</f>
        <v>0</v>
      </c>
      <c r="K653" s="16">
        <f>IF(NOT(Paths!$C$65=1),0,IF(Paths!$P$65="Complete",IF(IF(Paths!$O$65=0,C653=0,AND(C653&gt;0,Paths!$O$65&gt;(C653-1)*12,Paths!$O$65&lt;=C653*12)),Paths!$N$65,0),"n.a."))</f>
        <v>0</v>
      </c>
      <c r="L653" s="16">
        <f>IF(NOT(Paths!$C$65=1),0,IF(Paths!$P$65="Complete",IF(C653=10,Paths!$I$65,0),"n.a."))</f>
        <v>0</v>
      </c>
      <c r="M653" s="16">
        <f>IF(NOT(Paths!$C$65=1),0,IF(Paths!$P$65="Complete",IF(AND(Paths!$D$65="EV",Paths!$E$65&lt;120,Paths!$E$65+'Operating costs'!$B$65&gt;Paths!$E$65,Paths!$E$65+'Operating costs'!$B$65&lt;=120,IF(Paths!$E$65+'Operating costs'!$B$65=0,C653=0,AND(C653&gt;0,Paths!$E$65+'Operating costs'!$B$65&gt;(C653-1)*12,Paths!$E$65+'Operating costs'!$B$65&lt;=C653*12))),'Operating costs'!$B$64,0)+IF(AND('Operating costs'!$B$67&gt;0,'Operating costs'!$B$67&lt;=120,OR(Paths!$D$65="ICE",'Operating costs'!$B$67&lt;=Paths!$E$65),IF('Operating costs'!$B$67=0,C653=0,AND(C653&gt;0,'Operating costs'!$B$67&gt;(C653-1)*12,'Operating costs'!$B$67&lt;=C653*12))),'Operating costs'!$B$66,0),"n.a."))</f>
        <v>0</v>
      </c>
      <c r="N653" s="16">
        <f>IF(NOT(Paths!$C$65=1),0,IF(Paths!$P$65="Complete",SUM(G653:I653)-J653-K653-L653+M653+IF(C653=0,Paths!$F$65,0)+IF(IF(Paths!$E$65=0,C653=0,AND(C653&gt;0,Paths!$E$65&gt;(C653-1)*12,Paths!$E$65&lt;=C653*12)),VLOOKUP(A653,'Fleet register'!$A$7:$S$106,16,FALSE),0),"n.a."))</f>
        <v>0</v>
      </c>
      <c r="O653" s="16">
        <f>IF(NOT(Paths!$C$65=1),0,IF(Paths!$P$65="Complete",N653-IF(C653=0,Paths!$F$65,0),"n.a."))</f>
        <v>0</v>
      </c>
      <c r="P653" s="16">
        <f>IF(NOT(Paths!$C$65=1),0,IF(Paths!$P$65="Complete",O653+L653,"n.a."))</f>
        <v>0</v>
      </c>
      <c r="Q653" s="16">
        <f>IF(NOT(Paths!$C$65=1),0,IF(Paths!$P$65="Complete",N653*(1+'Operating costs'!$B$54)^-C653,"n.a."))</f>
        <v>0</v>
      </c>
      <c r="R653" s="16">
        <f>IF(NOT(Paths!$C$65=1),0,IF(Paths!$P$65="Complete",IF(AND(C653=0,Paths!$E$65=0),I653-J653-K653+VLOOKUP(A653,'Fleet register'!$A$7:$S$106,15,FALSE)+VLOOKUP(A653,'Fleet register'!$A$7:$S$106,16,FALSE),0),"n.a."))</f>
        <v>0</v>
      </c>
      <c r="S653" s="1">
        <f>IF(NOT(Paths!$C$65=1),0,IF(Paths!$P$65="Complete",IF(C653=0,0,Paths!$S$65*Paths!$R$65),"n.a."))</f>
        <v>0</v>
      </c>
      <c r="T653" s="1">
        <f>IF(NOT(Paths!$C$65=1),0,IF(Paths!$P$65="Complete",IF(C653=0,0,VLOOKUP(A653,'Fleet register'!$A$7:$S$106,9,FALSE)*Paths!$R$65),"n.a."))</f>
        <v>0</v>
      </c>
    </row>
    <row r="654" spans="1:20" ht="24" customHeight="1">
      <c r="A654" s="1" t="str">
        <f>Paths!$A$65</f>
        <v>T015</v>
      </c>
      <c r="B654" s="1">
        <f>Paths!$B$65</f>
        <v>2</v>
      </c>
      <c r="C654" s="1">
        <v>9</v>
      </c>
      <c r="D654" s="1">
        <v>65</v>
      </c>
      <c r="E654" s="1">
        <f>IF(OR(Paths!$C$65=0,C654=0),0,MAX(0,MIN(C654*12,Paths!$E$65)-(C654-1)*12))</f>
        <v>0</v>
      </c>
      <c r="F654" s="1">
        <f>IF(OR(Paths!$C$65=0,C654=0),0,12-E654)</f>
        <v>0</v>
      </c>
      <c r="G654" s="16">
        <f>IF(NOT(Paths!$C$65=1),0,IF(Paths!$P$65="Complete",E654/12*(Paths!$J$65*(1+'Operating costs'!$B$51)^MAX(0,C654-1)+Paths!$K$65*(1+'Operating costs'!$B$53)^MAX(0,C654-1)),"n.a."))</f>
        <v>0</v>
      </c>
      <c r="H654" s="16">
        <f>IF(NOT(Paths!$C$65=1),0,IF(Paths!$P$65="Complete",F654/12*(Paths!$L$65*(1+IF(Paths!$D$65="EV",'Operating costs'!$B$52,'Operating costs'!$B$51))^MAX(0,C654-1)+Paths!$M$65*(1+'Operating costs'!$B$53)^MAX(0,C654-1)),"n.a."))</f>
        <v>0</v>
      </c>
      <c r="I654" s="16">
        <f>IF(NOT(Paths!$C$65=1),0,IF(Paths!$P$65="Complete",IF(IF(Paths!$E$65=0,C654=0,AND(C654&gt;0,Paths!$E$65&gt;(C654-1)*12,Paths!$E$65&lt;=C654*12)),Paths!$G$65,0),"n.a."))</f>
        <v>0</v>
      </c>
      <c r="J654" s="16">
        <f>IF(NOT(Paths!$C$65=1),0,IF(Paths!$P$65="Complete",IF(IF(Paths!$E$65=0,C654=0,AND(C654&gt;0,Paths!$E$65&gt;(C654-1)*12,Paths!$E$65&lt;=C654*12)),Paths!$H$65,0),"n.a."))</f>
        <v>0</v>
      </c>
      <c r="K654" s="16">
        <f>IF(NOT(Paths!$C$65=1),0,IF(Paths!$P$65="Complete",IF(IF(Paths!$O$65=0,C654=0,AND(C654&gt;0,Paths!$O$65&gt;(C654-1)*12,Paths!$O$65&lt;=C654*12)),Paths!$N$65,0),"n.a."))</f>
        <v>0</v>
      </c>
      <c r="L654" s="16">
        <f>IF(NOT(Paths!$C$65=1),0,IF(Paths!$P$65="Complete",IF(C654=10,Paths!$I$65,0),"n.a."))</f>
        <v>0</v>
      </c>
      <c r="M654" s="16">
        <f>IF(NOT(Paths!$C$65=1),0,IF(Paths!$P$65="Complete",IF(AND(Paths!$D$65="EV",Paths!$E$65&lt;120,Paths!$E$65+'Operating costs'!$B$65&gt;Paths!$E$65,Paths!$E$65+'Operating costs'!$B$65&lt;=120,IF(Paths!$E$65+'Operating costs'!$B$65=0,C654=0,AND(C654&gt;0,Paths!$E$65+'Operating costs'!$B$65&gt;(C654-1)*12,Paths!$E$65+'Operating costs'!$B$65&lt;=C654*12))),'Operating costs'!$B$64,0)+IF(AND('Operating costs'!$B$67&gt;0,'Operating costs'!$B$67&lt;=120,OR(Paths!$D$65="ICE",'Operating costs'!$B$67&lt;=Paths!$E$65),IF('Operating costs'!$B$67=0,C654=0,AND(C654&gt;0,'Operating costs'!$B$67&gt;(C654-1)*12,'Operating costs'!$B$67&lt;=C654*12))),'Operating costs'!$B$66,0),"n.a."))</f>
        <v>0</v>
      </c>
      <c r="N654" s="16">
        <f>IF(NOT(Paths!$C$65=1),0,IF(Paths!$P$65="Complete",SUM(G654:I654)-J654-K654-L654+M654+IF(C654=0,Paths!$F$65,0)+IF(IF(Paths!$E$65=0,C654=0,AND(C654&gt;0,Paths!$E$65&gt;(C654-1)*12,Paths!$E$65&lt;=C654*12)),VLOOKUP(A654,'Fleet register'!$A$7:$S$106,16,FALSE),0),"n.a."))</f>
        <v>0</v>
      </c>
      <c r="O654" s="16">
        <f>IF(NOT(Paths!$C$65=1),0,IF(Paths!$P$65="Complete",N654-IF(C654=0,Paths!$F$65,0),"n.a."))</f>
        <v>0</v>
      </c>
      <c r="P654" s="16">
        <f>IF(NOT(Paths!$C$65=1),0,IF(Paths!$P$65="Complete",O654+L654,"n.a."))</f>
        <v>0</v>
      </c>
      <c r="Q654" s="16">
        <f>IF(NOT(Paths!$C$65=1),0,IF(Paths!$P$65="Complete",N654*(1+'Operating costs'!$B$54)^-C654,"n.a."))</f>
        <v>0</v>
      </c>
      <c r="R654" s="16">
        <f>IF(NOT(Paths!$C$65=1),0,IF(Paths!$P$65="Complete",IF(AND(C654=0,Paths!$E$65=0),I654-J654-K654+VLOOKUP(A654,'Fleet register'!$A$7:$S$106,15,FALSE)+VLOOKUP(A654,'Fleet register'!$A$7:$S$106,16,FALSE),0),"n.a."))</f>
        <v>0</v>
      </c>
      <c r="S654" s="1">
        <f>IF(NOT(Paths!$C$65=1),0,IF(Paths!$P$65="Complete",IF(C654=0,0,Paths!$S$65*Paths!$R$65),"n.a."))</f>
        <v>0</v>
      </c>
      <c r="T654" s="1">
        <f>IF(NOT(Paths!$C$65=1),0,IF(Paths!$P$65="Complete",IF(C654=0,0,VLOOKUP(A654,'Fleet register'!$A$7:$S$106,9,FALSE)*Paths!$R$65),"n.a."))</f>
        <v>0</v>
      </c>
    </row>
    <row r="655" spans="1:20" ht="24" customHeight="1">
      <c r="A655" s="1" t="str">
        <f>Paths!$A$65</f>
        <v>T015</v>
      </c>
      <c r="B655" s="1">
        <f>Paths!$B$65</f>
        <v>2</v>
      </c>
      <c r="C655" s="1">
        <v>10</v>
      </c>
      <c r="D655" s="1">
        <v>65</v>
      </c>
      <c r="E655" s="1">
        <f>IF(OR(Paths!$C$65=0,C655=0),0,MAX(0,MIN(C655*12,Paths!$E$65)-(C655-1)*12))</f>
        <v>0</v>
      </c>
      <c r="F655" s="1">
        <f>IF(OR(Paths!$C$65=0,C655=0),0,12-E655)</f>
        <v>0</v>
      </c>
      <c r="G655" s="16">
        <f>IF(NOT(Paths!$C$65=1),0,IF(Paths!$P$65="Complete",E655/12*(Paths!$J$65*(1+'Operating costs'!$B$51)^MAX(0,C655-1)+Paths!$K$65*(1+'Operating costs'!$B$53)^MAX(0,C655-1)),"n.a."))</f>
        <v>0</v>
      </c>
      <c r="H655" s="16">
        <f>IF(NOT(Paths!$C$65=1),0,IF(Paths!$P$65="Complete",F655/12*(Paths!$L$65*(1+IF(Paths!$D$65="EV",'Operating costs'!$B$52,'Operating costs'!$B$51))^MAX(0,C655-1)+Paths!$M$65*(1+'Operating costs'!$B$53)^MAX(0,C655-1)),"n.a."))</f>
        <v>0</v>
      </c>
      <c r="I655" s="16">
        <f>IF(NOT(Paths!$C$65=1),0,IF(Paths!$P$65="Complete",IF(IF(Paths!$E$65=0,C655=0,AND(C655&gt;0,Paths!$E$65&gt;(C655-1)*12,Paths!$E$65&lt;=C655*12)),Paths!$G$65,0),"n.a."))</f>
        <v>0</v>
      </c>
      <c r="J655" s="16">
        <f>IF(NOT(Paths!$C$65=1),0,IF(Paths!$P$65="Complete",IF(IF(Paths!$E$65=0,C655=0,AND(C655&gt;0,Paths!$E$65&gt;(C655-1)*12,Paths!$E$65&lt;=C655*12)),Paths!$H$65,0),"n.a."))</f>
        <v>0</v>
      </c>
      <c r="K655" s="16">
        <f>IF(NOT(Paths!$C$65=1),0,IF(Paths!$P$65="Complete",IF(IF(Paths!$O$65=0,C655=0,AND(C655&gt;0,Paths!$O$65&gt;(C655-1)*12,Paths!$O$65&lt;=C655*12)),Paths!$N$65,0),"n.a."))</f>
        <v>0</v>
      </c>
      <c r="L655" s="16">
        <f>IF(NOT(Paths!$C$65=1),0,IF(Paths!$P$65="Complete",IF(C655=10,Paths!$I$65,0),"n.a."))</f>
        <v>0</v>
      </c>
      <c r="M655" s="16">
        <f>IF(NOT(Paths!$C$65=1),0,IF(Paths!$P$65="Complete",IF(AND(Paths!$D$65="EV",Paths!$E$65&lt;120,Paths!$E$65+'Operating costs'!$B$65&gt;Paths!$E$65,Paths!$E$65+'Operating costs'!$B$65&lt;=120,IF(Paths!$E$65+'Operating costs'!$B$65=0,C655=0,AND(C655&gt;0,Paths!$E$65+'Operating costs'!$B$65&gt;(C655-1)*12,Paths!$E$65+'Operating costs'!$B$65&lt;=C655*12))),'Operating costs'!$B$64,0)+IF(AND('Operating costs'!$B$67&gt;0,'Operating costs'!$B$67&lt;=120,OR(Paths!$D$65="ICE",'Operating costs'!$B$67&lt;=Paths!$E$65),IF('Operating costs'!$B$67=0,C655=0,AND(C655&gt;0,'Operating costs'!$B$67&gt;(C655-1)*12,'Operating costs'!$B$67&lt;=C655*12))),'Operating costs'!$B$66,0),"n.a."))</f>
        <v>0</v>
      </c>
      <c r="N655" s="16">
        <f>IF(NOT(Paths!$C$65=1),0,IF(Paths!$P$65="Complete",SUM(G655:I655)-J655-K655-L655+M655+IF(C655=0,Paths!$F$65,0)+IF(IF(Paths!$E$65=0,C655=0,AND(C655&gt;0,Paths!$E$65&gt;(C655-1)*12,Paths!$E$65&lt;=C655*12)),VLOOKUP(A655,'Fleet register'!$A$7:$S$106,16,FALSE),0),"n.a."))</f>
        <v>0</v>
      </c>
      <c r="O655" s="16">
        <f>IF(NOT(Paths!$C$65=1),0,IF(Paths!$P$65="Complete",N655-IF(C655=0,Paths!$F$65,0),"n.a."))</f>
        <v>0</v>
      </c>
      <c r="P655" s="16">
        <f>IF(NOT(Paths!$C$65=1),0,IF(Paths!$P$65="Complete",O655+L655,"n.a."))</f>
        <v>0</v>
      </c>
      <c r="Q655" s="16">
        <f>IF(NOT(Paths!$C$65=1),0,IF(Paths!$P$65="Complete",N655*(1+'Operating costs'!$B$54)^-C655,"n.a."))</f>
        <v>0</v>
      </c>
      <c r="R655" s="16">
        <f>IF(NOT(Paths!$C$65=1),0,IF(Paths!$P$65="Complete",IF(AND(C655=0,Paths!$E$65=0),I655-J655-K655+VLOOKUP(A655,'Fleet register'!$A$7:$S$106,15,FALSE)+VLOOKUP(A655,'Fleet register'!$A$7:$S$106,16,FALSE),0),"n.a."))</f>
        <v>0</v>
      </c>
      <c r="S655" s="1">
        <f>IF(NOT(Paths!$C$65=1),0,IF(Paths!$P$65="Complete",IF(C655=0,0,Paths!$S$65*Paths!$R$65),"n.a."))</f>
        <v>0</v>
      </c>
      <c r="T655" s="1">
        <f>IF(NOT(Paths!$C$65=1),0,IF(Paths!$P$65="Complete",IF(C655=0,0,VLOOKUP(A655,'Fleet register'!$A$7:$S$106,9,FALSE)*Paths!$R$65),"n.a."))</f>
        <v>0</v>
      </c>
    </row>
    <row r="656" spans="1:20" ht="24" customHeight="1">
      <c r="A656" s="1" t="str">
        <f>Paths!$A$66</f>
        <v>T015</v>
      </c>
      <c r="B656" s="1">
        <f>Paths!$B$66</f>
        <v>3</v>
      </c>
      <c r="C656" s="1">
        <v>0</v>
      </c>
      <c r="D656" s="1">
        <v>66</v>
      </c>
      <c r="E656" s="1">
        <f>IF(OR(Paths!$C$66=0,C656=0),0,MAX(0,MIN(C656*12,Paths!$E$66)-(C656-1)*12))</f>
        <v>0</v>
      </c>
      <c r="F656" s="1">
        <f>IF(OR(Paths!$C$66=0,C656=0),0,12-E656)</f>
        <v>0</v>
      </c>
      <c r="G656" s="16">
        <f>IF(NOT(Paths!$C$66=1),0,IF(Paths!$P$66="Complete",E656/12*(Paths!$J$66*(1+'Operating costs'!$B$51)^MAX(0,C656-1)+Paths!$K$66*(1+'Operating costs'!$B$53)^MAX(0,C656-1)),"n.a."))</f>
        <v>0</v>
      </c>
      <c r="H656" s="16">
        <f>IF(NOT(Paths!$C$66=1),0,IF(Paths!$P$66="Complete",F656/12*(Paths!$L$66*(1+IF(Paths!$D$66="EV",'Operating costs'!$B$52,'Operating costs'!$B$51))^MAX(0,C656-1)+Paths!$M$66*(1+'Operating costs'!$B$53)^MAX(0,C656-1)),"n.a."))</f>
        <v>0</v>
      </c>
      <c r="I656" s="16">
        <f>IF(NOT(Paths!$C$66=1),0,IF(Paths!$P$66="Complete",IF(IF(Paths!$E$66=0,C656=0,AND(C656&gt;0,Paths!$E$66&gt;(C656-1)*12,Paths!$E$66&lt;=C656*12)),Paths!$G$66,0),"n.a."))</f>
        <v>0</v>
      </c>
      <c r="J656" s="16">
        <f>IF(NOT(Paths!$C$66=1),0,IF(Paths!$P$66="Complete",IF(IF(Paths!$E$66=0,C656=0,AND(C656&gt;0,Paths!$E$66&gt;(C656-1)*12,Paths!$E$66&lt;=C656*12)),Paths!$H$66,0),"n.a."))</f>
        <v>0</v>
      </c>
      <c r="K656" s="16">
        <f>IF(NOT(Paths!$C$66=1),0,IF(Paths!$P$66="Complete",IF(IF(Paths!$O$66=0,C656=0,AND(C656&gt;0,Paths!$O$66&gt;(C656-1)*12,Paths!$O$66&lt;=C656*12)),Paths!$N$66,0),"n.a."))</f>
        <v>0</v>
      </c>
      <c r="L656" s="16">
        <f>IF(NOT(Paths!$C$66=1),0,IF(Paths!$P$66="Complete",IF(C656=10,Paths!$I$66,0),"n.a."))</f>
        <v>0</v>
      </c>
      <c r="M656" s="16">
        <f>IF(NOT(Paths!$C$66=1),0,IF(Paths!$P$66="Complete",IF(AND(Paths!$D$66="EV",Paths!$E$66&lt;120,Paths!$E$66+'Operating costs'!$B$65&gt;Paths!$E$66,Paths!$E$66+'Operating costs'!$B$65&lt;=120,IF(Paths!$E$66+'Operating costs'!$B$65=0,C656=0,AND(C656&gt;0,Paths!$E$66+'Operating costs'!$B$65&gt;(C656-1)*12,Paths!$E$66+'Operating costs'!$B$65&lt;=C656*12))),'Operating costs'!$B$64,0)+IF(AND('Operating costs'!$B$67&gt;0,'Operating costs'!$B$67&lt;=120,OR(Paths!$D$66="ICE",'Operating costs'!$B$67&lt;=Paths!$E$66),IF('Operating costs'!$B$67=0,C656=0,AND(C656&gt;0,'Operating costs'!$B$67&gt;(C656-1)*12,'Operating costs'!$B$67&lt;=C656*12))),'Operating costs'!$B$66,0),"n.a."))</f>
        <v>0</v>
      </c>
      <c r="N656" s="16">
        <f>IF(NOT(Paths!$C$66=1),0,IF(Paths!$P$66="Complete",SUM(G656:I656)-J656-K656-L656+M656+IF(C656=0,Paths!$F$66,0)+IF(IF(Paths!$E$66=0,C656=0,AND(C656&gt;0,Paths!$E$66&gt;(C656-1)*12,Paths!$E$66&lt;=C656*12)),VLOOKUP(A656,'Fleet register'!$A$7:$S$106,16,FALSE),0),"n.a."))</f>
        <v>0</v>
      </c>
      <c r="O656" s="16">
        <f>IF(NOT(Paths!$C$66=1),0,IF(Paths!$P$66="Complete",N656-IF(C656=0,Paths!$F$66,0),"n.a."))</f>
        <v>0</v>
      </c>
      <c r="P656" s="16">
        <f>IF(NOT(Paths!$C$66=1),0,IF(Paths!$P$66="Complete",O656+L656,"n.a."))</f>
        <v>0</v>
      </c>
      <c r="Q656" s="16">
        <f>IF(NOT(Paths!$C$66=1),0,IF(Paths!$P$66="Complete",N656*(1+'Operating costs'!$B$54)^-C656,"n.a."))</f>
        <v>0</v>
      </c>
      <c r="R656" s="16">
        <f>IF(NOT(Paths!$C$66=1),0,IF(Paths!$P$66="Complete",IF(AND(C656=0,Paths!$E$66=0),I656-J656-K656+VLOOKUP(A656,'Fleet register'!$A$7:$S$106,15,FALSE)+VLOOKUP(A656,'Fleet register'!$A$7:$S$106,16,FALSE),0),"n.a."))</f>
        <v>0</v>
      </c>
      <c r="S656" s="1">
        <f>IF(NOT(Paths!$C$66=1),0,IF(Paths!$P$66="Complete",IF(C656=0,0,Paths!$S$66*Paths!$R$66),"n.a."))</f>
        <v>0</v>
      </c>
      <c r="T656" s="1">
        <f>IF(NOT(Paths!$C$66=1),0,IF(Paths!$P$66="Complete",IF(C656=0,0,VLOOKUP(A656,'Fleet register'!$A$7:$S$106,9,FALSE)*Paths!$R$66),"n.a."))</f>
        <v>0</v>
      </c>
    </row>
    <row r="657" spans="1:20" ht="24" customHeight="1">
      <c r="A657" s="1" t="str">
        <f>Paths!$A$66</f>
        <v>T015</v>
      </c>
      <c r="B657" s="1">
        <f>Paths!$B$66</f>
        <v>3</v>
      </c>
      <c r="C657" s="1">
        <v>1</v>
      </c>
      <c r="D657" s="1">
        <v>66</v>
      </c>
      <c r="E657" s="1">
        <f>IF(OR(Paths!$C$66=0,C657=0),0,MAX(0,MIN(C657*12,Paths!$E$66)-(C657-1)*12))</f>
        <v>0</v>
      </c>
      <c r="F657" s="1">
        <f>IF(OR(Paths!$C$66=0,C657=0),0,12-E657)</f>
        <v>0</v>
      </c>
      <c r="G657" s="16">
        <f>IF(NOT(Paths!$C$66=1),0,IF(Paths!$P$66="Complete",E657/12*(Paths!$J$66*(1+'Operating costs'!$B$51)^MAX(0,C657-1)+Paths!$K$66*(1+'Operating costs'!$B$53)^MAX(0,C657-1)),"n.a."))</f>
        <v>0</v>
      </c>
      <c r="H657" s="16">
        <f>IF(NOT(Paths!$C$66=1),0,IF(Paths!$P$66="Complete",F657/12*(Paths!$L$66*(1+IF(Paths!$D$66="EV",'Operating costs'!$B$52,'Operating costs'!$B$51))^MAX(0,C657-1)+Paths!$M$66*(1+'Operating costs'!$B$53)^MAX(0,C657-1)),"n.a."))</f>
        <v>0</v>
      </c>
      <c r="I657" s="16">
        <f>IF(NOT(Paths!$C$66=1),0,IF(Paths!$P$66="Complete",IF(IF(Paths!$E$66=0,C657=0,AND(C657&gt;0,Paths!$E$66&gt;(C657-1)*12,Paths!$E$66&lt;=C657*12)),Paths!$G$66,0),"n.a."))</f>
        <v>0</v>
      </c>
      <c r="J657" s="16">
        <f>IF(NOT(Paths!$C$66=1),0,IF(Paths!$P$66="Complete",IF(IF(Paths!$E$66=0,C657=0,AND(C657&gt;0,Paths!$E$66&gt;(C657-1)*12,Paths!$E$66&lt;=C657*12)),Paths!$H$66,0),"n.a."))</f>
        <v>0</v>
      </c>
      <c r="K657" s="16">
        <f>IF(NOT(Paths!$C$66=1),0,IF(Paths!$P$66="Complete",IF(IF(Paths!$O$66=0,C657=0,AND(C657&gt;0,Paths!$O$66&gt;(C657-1)*12,Paths!$O$66&lt;=C657*12)),Paths!$N$66,0),"n.a."))</f>
        <v>0</v>
      </c>
      <c r="L657" s="16">
        <f>IF(NOT(Paths!$C$66=1),0,IF(Paths!$P$66="Complete",IF(C657=10,Paths!$I$66,0),"n.a."))</f>
        <v>0</v>
      </c>
      <c r="M657" s="16">
        <f>IF(NOT(Paths!$C$66=1),0,IF(Paths!$P$66="Complete",IF(AND(Paths!$D$66="EV",Paths!$E$66&lt;120,Paths!$E$66+'Operating costs'!$B$65&gt;Paths!$E$66,Paths!$E$66+'Operating costs'!$B$65&lt;=120,IF(Paths!$E$66+'Operating costs'!$B$65=0,C657=0,AND(C657&gt;0,Paths!$E$66+'Operating costs'!$B$65&gt;(C657-1)*12,Paths!$E$66+'Operating costs'!$B$65&lt;=C657*12))),'Operating costs'!$B$64,0)+IF(AND('Operating costs'!$B$67&gt;0,'Operating costs'!$B$67&lt;=120,OR(Paths!$D$66="ICE",'Operating costs'!$B$67&lt;=Paths!$E$66),IF('Operating costs'!$B$67=0,C657=0,AND(C657&gt;0,'Operating costs'!$B$67&gt;(C657-1)*12,'Operating costs'!$B$67&lt;=C657*12))),'Operating costs'!$B$66,0),"n.a."))</f>
        <v>0</v>
      </c>
      <c r="N657" s="16">
        <f>IF(NOT(Paths!$C$66=1),0,IF(Paths!$P$66="Complete",SUM(G657:I657)-J657-K657-L657+M657+IF(C657=0,Paths!$F$66,0)+IF(IF(Paths!$E$66=0,C657=0,AND(C657&gt;0,Paths!$E$66&gt;(C657-1)*12,Paths!$E$66&lt;=C657*12)),VLOOKUP(A657,'Fleet register'!$A$7:$S$106,16,FALSE),0),"n.a."))</f>
        <v>0</v>
      </c>
      <c r="O657" s="16">
        <f>IF(NOT(Paths!$C$66=1),0,IF(Paths!$P$66="Complete",N657-IF(C657=0,Paths!$F$66,0),"n.a."))</f>
        <v>0</v>
      </c>
      <c r="P657" s="16">
        <f>IF(NOT(Paths!$C$66=1),0,IF(Paths!$P$66="Complete",O657+L657,"n.a."))</f>
        <v>0</v>
      </c>
      <c r="Q657" s="16">
        <f>IF(NOT(Paths!$C$66=1),0,IF(Paths!$P$66="Complete",N657*(1+'Operating costs'!$B$54)^-C657,"n.a."))</f>
        <v>0</v>
      </c>
      <c r="R657" s="16">
        <f>IF(NOT(Paths!$C$66=1),0,IF(Paths!$P$66="Complete",IF(AND(C657=0,Paths!$E$66=0),I657-J657-K657+VLOOKUP(A657,'Fleet register'!$A$7:$S$106,15,FALSE)+VLOOKUP(A657,'Fleet register'!$A$7:$S$106,16,FALSE),0),"n.a."))</f>
        <v>0</v>
      </c>
      <c r="S657" s="1">
        <f>IF(NOT(Paths!$C$66=1),0,IF(Paths!$P$66="Complete",IF(C657=0,0,Paths!$S$66*Paths!$R$66),"n.a."))</f>
        <v>0</v>
      </c>
      <c r="T657" s="1">
        <f>IF(NOT(Paths!$C$66=1),0,IF(Paths!$P$66="Complete",IF(C657=0,0,VLOOKUP(A657,'Fleet register'!$A$7:$S$106,9,FALSE)*Paths!$R$66),"n.a."))</f>
        <v>0</v>
      </c>
    </row>
    <row r="658" spans="1:20" ht="24" customHeight="1">
      <c r="A658" s="1" t="str">
        <f>Paths!$A$66</f>
        <v>T015</v>
      </c>
      <c r="B658" s="1">
        <f>Paths!$B$66</f>
        <v>3</v>
      </c>
      <c r="C658" s="1">
        <v>2</v>
      </c>
      <c r="D658" s="1">
        <v>66</v>
      </c>
      <c r="E658" s="1">
        <f>IF(OR(Paths!$C$66=0,C658=0),0,MAX(0,MIN(C658*12,Paths!$E$66)-(C658-1)*12))</f>
        <v>0</v>
      </c>
      <c r="F658" s="1">
        <f>IF(OR(Paths!$C$66=0,C658=0),0,12-E658)</f>
        <v>0</v>
      </c>
      <c r="G658" s="16">
        <f>IF(NOT(Paths!$C$66=1),0,IF(Paths!$P$66="Complete",E658/12*(Paths!$J$66*(1+'Operating costs'!$B$51)^MAX(0,C658-1)+Paths!$K$66*(1+'Operating costs'!$B$53)^MAX(0,C658-1)),"n.a."))</f>
        <v>0</v>
      </c>
      <c r="H658" s="16">
        <f>IF(NOT(Paths!$C$66=1),0,IF(Paths!$P$66="Complete",F658/12*(Paths!$L$66*(1+IF(Paths!$D$66="EV",'Operating costs'!$B$52,'Operating costs'!$B$51))^MAX(0,C658-1)+Paths!$M$66*(1+'Operating costs'!$B$53)^MAX(0,C658-1)),"n.a."))</f>
        <v>0</v>
      </c>
      <c r="I658" s="16">
        <f>IF(NOT(Paths!$C$66=1),0,IF(Paths!$P$66="Complete",IF(IF(Paths!$E$66=0,C658=0,AND(C658&gt;0,Paths!$E$66&gt;(C658-1)*12,Paths!$E$66&lt;=C658*12)),Paths!$G$66,0),"n.a."))</f>
        <v>0</v>
      </c>
      <c r="J658" s="16">
        <f>IF(NOT(Paths!$C$66=1),0,IF(Paths!$P$66="Complete",IF(IF(Paths!$E$66=0,C658=0,AND(C658&gt;0,Paths!$E$66&gt;(C658-1)*12,Paths!$E$66&lt;=C658*12)),Paths!$H$66,0),"n.a."))</f>
        <v>0</v>
      </c>
      <c r="K658" s="16">
        <f>IF(NOT(Paths!$C$66=1),0,IF(Paths!$P$66="Complete",IF(IF(Paths!$O$66=0,C658=0,AND(C658&gt;0,Paths!$O$66&gt;(C658-1)*12,Paths!$O$66&lt;=C658*12)),Paths!$N$66,0),"n.a."))</f>
        <v>0</v>
      </c>
      <c r="L658" s="16">
        <f>IF(NOT(Paths!$C$66=1),0,IF(Paths!$P$66="Complete",IF(C658=10,Paths!$I$66,0),"n.a."))</f>
        <v>0</v>
      </c>
      <c r="M658" s="16">
        <f>IF(NOT(Paths!$C$66=1),0,IF(Paths!$P$66="Complete",IF(AND(Paths!$D$66="EV",Paths!$E$66&lt;120,Paths!$E$66+'Operating costs'!$B$65&gt;Paths!$E$66,Paths!$E$66+'Operating costs'!$B$65&lt;=120,IF(Paths!$E$66+'Operating costs'!$B$65=0,C658=0,AND(C658&gt;0,Paths!$E$66+'Operating costs'!$B$65&gt;(C658-1)*12,Paths!$E$66+'Operating costs'!$B$65&lt;=C658*12))),'Operating costs'!$B$64,0)+IF(AND('Operating costs'!$B$67&gt;0,'Operating costs'!$B$67&lt;=120,OR(Paths!$D$66="ICE",'Operating costs'!$B$67&lt;=Paths!$E$66),IF('Operating costs'!$B$67=0,C658=0,AND(C658&gt;0,'Operating costs'!$B$67&gt;(C658-1)*12,'Operating costs'!$B$67&lt;=C658*12))),'Operating costs'!$B$66,0),"n.a."))</f>
        <v>0</v>
      </c>
      <c r="N658" s="16">
        <f>IF(NOT(Paths!$C$66=1),0,IF(Paths!$P$66="Complete",SUM(G658:I658)-J658-K658-L658+M658+IF(C658=0,Paths!$F$66,0)+IF(IF(Paths!$E$66=0,C658=0,AND(C658&gt;0,Paths!$E$66&gt;(C658-1)*12,Paths!$E$66&lt;=C658*12)),VLOOKUP(A658,'Fleet register'!$A$7:$S$106,16,FALSE),0),"n.a."))</f>
        <v>0</v>
      </c>
      <c r="O658" s="16">
        <f>IF(NOT(Paths!$C$66=1),0,IF(Paths!$P$66="Complete",N658-IF(C658=0,Paths!$F$66,0),"n.a."))</f>
        <v>0</v>
      </c>
      <c r="P658" s="16">
        <f>IF(NOT(Paths!$C$66=1),0,IF(Paths!$P$66="Complete",O658+L658,"n.a."))</f>
        <v>0</v>
      </c>
      <c r="Q658" s="16">
        <f>IF(NOT(Paths!$C$66=1),0,IF(Paths!$P$66="Complete",N658*(1+'Operating costs'!$B$54)^-C658,"n.a."))</f>
        <v>0</v>
      </c>
      <c r="R658" s="16">
        <f>IF(NOT(Paths!$C$66=1),0,IF(Paths!$P$66="Complete",IF(AND(C658=0,Paths!$E$66=0),I658-J658-K658+VLOOKUP(A658,'Fleet register'!$A$7:$S$106,15,FALSE)+VLOOKUP(A658,'Fleet register'!$A$7:$S$106,16,FALSE),0),"n.a."))</f>
        <v>0</v>
      </c>
      <c r="S658" s="1">
        <f>IF(NOT(Paths!$C$66=1),0,IF(Paths!$P$66="Complete",IF(C658=0,0,Paths!$S$66*Paths!$R$66),"n.a."))</f>
        <v>0</v>
      </c>
      <c r="T658" s="1">
        <f>IF(NOT(Paths!$C$66=1),0,IF(Paths!$P$66="Complete",IF(C658=0,0,VLOOKUP(A658,'Fleet register'!$A$7:$S$106,9,FALSE)*Paths!$R$66),"n.a."))</f>
        <v>0</v>
      </c>
    </row>
    <row r="659" spans="1:20" ht="24" customHeight="1">
      <c r="A659" s="1" t="str">
        <f>Paths!$A$66</f>
        <v>T015</v>
      </c>
      <c r="B659" s="1">
        <f>Paths!$B$66</f>
        <v>3</v>
      </c>
      <c r="C659" s="1">
        <v>3</v>
      </c>
      <c r="D659" s="1">
        <v>66</v>
      </c>
      <c r="E659" s="1">
        <f>IF(OR(Paths!$C$66=0,C659=0),0,MAX(0,MIN(C659*12,Paths!$E$66)-(C659-1)*12))</f>
        <v>0</v>
      </c>
      <c r="F659" s="1">
        <f>IF(OR(Paths!$C$66=0,C659=0),0,12-E659)</f>
        <v>0</v>
      </c>
      <c r="G659" s="16">
        <f>IF(NOT(Paths!$C$66=1),0,IF(Paths!$P$66="Complete",E659/12*(Paths!$J$66*(1+'Operating costs'!$B$51)^MAX(0,C659-1)+Paths!$K$66*(1+'Operating costs'!$B$53)^MAX(0,C659-1)),"n.a."))</f>
        <v>0</v>
      </c>
      <c r="H659" s="16">
        <f>IF(NOT(Paths!$C$66=1),0,IF(Paths!$P$66="Complete",F659/12*(Paths!$L$66*(1+IF(Paths!$D$66="EV",'Operating costs'!$B$52,'Operating costs'!$B$51))^MAX(0,C659-1)+Paths!$M$66*(1+'Operating costs'!$B$53)^MAX(0,C659-1)),"n.a."))</f>
        <v>0</v>
      </c>
      <c r="I659" s="16">
        <f>IF(NOT(Paths!$C$66=1),0,IF(Paths!$P$66="Complete",IF(IF(Paths!$E$66=0,C659=0,AND(C659&gt;0,Paths!$E$66&gt;(C659-1)*12,Paths!$E$66&lt;=C659*12)),Paths!$G$66,0),"n.a."))</f>
        <v>0</v>
      </c>
      <c r="J659" s="16">
        <f>IF(NOT(Paths!$C$66=1),0,IF(Paths!$P$66="Complete",IF(IF(Paths!$E$66=0,C659=0,AND(C659&gt;0,Paths!$E$66&gt;(C659-1)*12,Paths!$E$66&lt;=C659*12)),Paths!$H$66,0),"n.a."))</f>
        <v>0</v>
      </c>
      <c r="K659" s="16">
        <f>IF(NOT(Paths!$C$66=1),0,IF(Paths!$P$66="Complete",IF(IF(Paths!$O$66=0,C659=0,AND(C659&gt;0,Paths!$O$66&gt;(C659-1)*12,Paths!$O$66&lt;=C659*12)),Paths!$N$66,0),"n.a."))</f>
        <v>0</v>
      </c>
      <c r="L659" s="16">
        <f>IF(NOT(Paths!$C$66=1),0,IF(Paths!$P$66="Complete",IF(C659=10,Paths!$I$66,0),"n.a."))</f>
        <v>0</v>
      </c>
      <c r="M659" s="16">
        <f>IF(NOT(Paths!$C$66=1),0,IF(Paths!$P$66="Complete",IF(AND(Paths!$D$66="EV",Paths!$E$66&lt;120,Paths!$E$66+'Operating costs'!$B$65&gt;Paths!$E$66,Paths!$E$66+'Operating costs'!$B$65&lt;=120,IF(Paths!$E$66+'Operating costs'!$B$65=0,C659=0,AND(C659&gt;0,Paths!$E$66+'Operating costs'!$B$65&gt;(C659-1)*12,Paths!$E$66+'Operating costs'!$B$65&lt;=C659*12))),'Operating costs'!$B$64,0)+IF(AND('Operating costs'!$B$67&gt;0,'Operating costs'!$B$67&lt;=120,OR(Paths!$D$66="ICE",'Operating costs'!$B$67&lt;=Paths!$E$66),IF('Operating costs'!$B$67=0,C659=0,AND(C659&gt;0,'Operating costs'!$B$67&gt;(C659-1)*12,'Operating costs'!$B$67&lt;=C659*12))),'Operating costs'!$B$66,0),"n.a."))</f>
        <v>0</v>
      </c>
      <c r="N659" s="16">
        <f>IF(NOT(Paths!$C$66=1),0,IF(Paths!$P$66="Complete",SUM(G659:I659)-J659-K659-L659+M659+IF(C659=0,Paths!$F$66,0)+IF(IF(Paths!$E$66=0,C659=0,AND(C659&gt;0,Paths!$E$66&gt;(C659-1)*12,Paths!$E$66&lt;=C659*12)),VLOOKUP(A659,'Fleet register'!$A$7:$S$106,16,FALSE),0),"n.a."))</f>
        <v>0</v>
      </c>
      <c r="O659" s="16">
        <f>IF(NOT(Paths!$C$66=1),0,IF(Paths!$P$66="Complete",N659-IF(C659=0,Paths!$F$66,0),"n.a."))</f>
        <v>0</v>
      </c>
      <c r="P659" s="16">
        <f>IF(NOT(Paths!$C$66=1),0,IF(Paths!$P$66="Complete",O659+L659,"n.a."))</f>
        <v>0</v>
      </c>
      <c r="Q659" s="16">
        <f>IF(NOT(Paths!$C$66=1),0,IF(Paths!$P$66="Complete",N659*(1+'Operating costs'!$B$54)^-C659,"n.a."))</f>
        <v>0</v>
      </c>
      <c r="R659" s="16">
        <f>IF(NOT(Paths!$C$66=1),0,IF(Paths!$P$66="Complete",IF(AND(C659=0,Paths!$E$66=0),I659-J659-K659+VLOOKUP(A659,'Fleet register'!$A$7:$S$106,15,FALSE)+VLOOKUP(A659,'Fleet register'!$A$7:$S$106,16,FALSE),0),"n.a."))</f>
        <v>0</v>
      </c>
      <c r="S659" s="1">
        <f>IF(NOT(Paths!$C$66=1),0,IF(Paths!$P$66="Complete",IF(C659=0,0,Paths!$S$66*Paths!$R$66),"n.a."))</f>
        <v>0</v>
      </c>
      <c r="T659" s="1">
        <f>IF(NOT(Paths!$C$66=1),0,IF(Paths!$P$66="Complete",IF(C659=0,0,VLOOKUP(A659,'Fleet register'!$A$7:$S$106,9,FALSE)*Paths!$R$66),"n.a."))</f>
        <v>0</v>
      </c>
    </row>
    <row r="660" spans="1:20" ht="24" customHeight="1">
      <c r="A660" s="1" t="str">
        <f>Paths!$A$66</f>
        <v>T015</v>
      </c>
      <c r="B660" s="1">
        <f>Paths!$B$66</f>
        <v>3</v>
      </c>
      <c r="C660" s="1">
        <v>4</v>
      </c>
      <c r="D660" s="1">
        <v>66</v>
      </c>
      <c r="E660" s="1">
        <f>IF(OR(Paths!$C$66=0,C660=0),0,MAX(0,MIN(C660*12,Paths!$E$66)-(C660-1)*12))</f>
        <v>0</v>
      </c>
      <c r="F660" s="1">
        <f>IF(OR(Paths!$C$66=0,C660=0),0,12-E660)</f>
        <v>0</v>
      </c>
      <c r="G660" s="16">
        <f>IF(NOT(Paths!$C$66=1),0,IF(Paths!$P$66="Complete",E660/12*(Paths!$J$66*(1+'Operating costs'!$B$51)^MAX(0,C660-1)+Paths!$K$66*(1+'Operating costs'!$B$53)^MAX(0,C660-1)),"n.a."))</f>
        <v>0</v>
      </c>
      <c r="H660" s="16">
        <f>IF(NOT(Paths!$C$66=1),0,IF(Paths!$P$66="Complete",F660/12*(Paths!$L$66*(1+IF(Paths!$D$66="EV",'Operating costs'!$B$52,'Operating costs'!$B$51))^MAX(0,C660-1)+Paths!$M$66*(1+'Operating costs'!$B$53)^MAX(0,C660-1)),"n.a."))</f>
        <v>0</v>
      </c>
      <c r="I660" s="16">
        <f>IF(NOT(Paths!$C$66=1),0,IF(Paths!$P$66="Complete",IF(IF(Paths!$E$66=0,C660=0,AND(C660&gt;0,Paths!$E$66&gt;(C660-1)*12,Paths!$E$66&lt;=C660*12)),Paths!$G$66,0),"n.a."))</f>
        <v>0</v>
      </c>
      <c r="J660" s="16">
        <f>IF(NOT(Paths!$C$66=1),0,IF(Paths!$P$66="Complete",IF(IF(Paths!$E$66=0,C660=0,AND(C660&gt;0,Paths!$E$66&gt;(C660-1)*12,Paths!$E$66&lt;=C660*12)),Paths!$H$66,0),"n.a."))</f>
        <v>0</v>
      </c>
      <c r="K660" s="16">
        <f>IF(NOT(Paths!$C$66=1),0,IF(Paths!$P$66="Complete",IF(IF(Paths!$O$66=0,C660=0,AND(C660&gt;0,Paths!$O$66&gt;(C660-1)*12,Paths!$O$66&lt;=C660*12)),Paths!$N$66,0),"n.a."))</f>
        <v>0</v>
      </c>
      <c r="L660" s="16">
        <f>IF(NOT(Paths!$C$66=1),0,IF(Paths!$P$66="Complete",IF(C660=10,Paths!$I$66,0),"n.a."))</f>
        <v>0</v>
      </c>
      <c r="M660" s="16">
        <f>IF(NOT(Paths!$C$66=1),0,IF(Paths!$P$66="Complete",IF(AND(Paths!$D$66="EV",Paths!$E$66&lt;120,Paths!$E$66+'Operating costs'!$B$65&gt;Paths!$E$66,Paths!$E$66+'Operating costs'!$B$65&lt;=120,IF(Paths!$E$66+'Operating costs'!$B$65=0,C660=0,AND(C660&gt;0,Paths!$E$66+'Operating costs'!$B$65&gt;(C660-1)*12,Paths!$E$66+'Operating costs'!$B$65&lt;=C660*12))),'Operating costs'!$B$64,0)+IF(AND('Operating costs'!$B$67&gt;0,'Operating costs'!$B$67&lt;=120,OR(Paths!$D$66="ICE",'Operating costs'!$B$67&lt;=Paths!$E$66),IF('Operating costs'!$B$67=0,C660=0,AND(C660&gt;0,'Operating costs'!$B$67&gt;(C660-1)*12,'Operating costs'!$B$67&lt;=C660*12))),'Operating costs'!$B$66,0),"n.a."))</f>
        <v>0</v>
      </c>
      <c r="N660" s="16">
        <f>IF(NOT(Paths!$C$66=1),0,IF(Paths!$P$66="Complete",SUM(G660:I660)-J660-K660-L660+M660+IF(C660=0,Paths!$F$66,0)+IF(IF(Paths!$E$66=0,C660=0,AND(C660&gt;0,Paths!$E$66&gt;(C660-1)*12,Paths!$E$66&lt;=C660*12)),VLOOKUP(A660,'Fleet register'!$A$7:$S$106,16,FALSE),0),"n.a."))</f>
        <v>0</v>
      </c>
      <c r="O660" s="16">
        <f>IF(NOT(Paths!$C$66=1),0,IF(Paths!$P$66="Complete",N660-IF(C660=0,Paths!$F$66,0),"n.a."))</f>
        <v>0</v>
      </c>
      <c r="P660" s="16">
        <f>IF(NOT(Paths!$C$66=1),0,IF(Paths!$P$66="Complete",O660+L660,"n.a."))</f>
        <v>0</v>
      </c>
      <c r="Q660" s="16">
        <f>IF(NOT(Paths!$C$66=1),0,IF(Paths!$P$66="Complete",N660*(1+'Operating costs'!$B$54)^-C660,"n.a."))</f>
        <v>0</v>
      </c>
      <c r="R660" s="16">
        <f>IF(NOT(Paths!$C$66=1),0,IF(Paths!$P$66="Complete",IF(AND(C660=0,Paths!$E$66=0),I660-J660-K660+VLOOKUP(A660,'Fleet register'!$A$7:$S$106,15,FALSE)+VLOOKUP(A660,'Fleet register'!$A$7:$S$106,16,FALSE),0),"n.a."))</f>
        <v>0</v>
      </c>
      <c r="S660" s="1">
        <f>IF(NOT(Paths!$C$66=1),0,IF(Paths!$P$66="Complete",IF(C660=0,0,Paths!$S$66*Paths!$R$66),"n.a."))</f>
        <v>0</v>
      </c>
      <c r="T660" s="1">
        <f>IF(NOT(Paths!$C$66=1),0,IF(Paths!$P$66="Complete",IF(C660=0,0,VLOOKUP(A660,'Fleet register'!$A$7:$S$106,9,FALSE)*Paths!$R$66),"n.a."))</f>
        <v>0</v>
      </c>
    </row>
    <row r="661" spans="1:20" ht="24" customHeight="1">
      <c r="A661" s="1" t="str">
        <f>Paths!$A$66</f>
        <v>T015</v>
      </c>
      <c r="B661" s="1">
        <f>Paths!$B$66</f>
        <v>3</v>
      </c>
      <c r="C661" s="1">
        <v>5</v>
      </c>
      <c r="D661" s="1">
        <v>66</v>
      </c>
      <c r="E661" s="1">
        <f>IF(OR(Paths!$C$66=0,C661=0),0,MAX(0,MIN(C661*12,Paths!$E$66)-(C661-1)*12))</f>
        <v>0</v>
      </c>
      <c r="F661" s="1">
        <f>IF(OR(Paths!$C$66=0,C661=0),0,12-E661)</f>
        <v>0</v>
      </c>
      <c r="G661" s="16">
        <f>IF(NOT(Paths!$C$66=1),0,IF(Paths!$P$66="Complete",E661/12*(Paths!$J$66*(1+'Operating costs'!$B$51)^MAX(0,C661-1)+Paths!$K$66*(1+'Operating costs'!$B$53)^MAX(0,C661-1)),"n.a."))</f>
        <v>0</v>
      </c>
      <c r="H661" s="16">
        <f>IF(NOT(Paths!$C$66=1),0,IF(Paths!$P$66="Complete",F661/12*(Paths!$L$66*(1+IF(Paths!$D$66="EV",'Operating costs'!$B$52,'Operating costs'!$B$51))^MAX(0,C661-1)+Paths!$M$66*(1+'Operating costs'!$B$53)^MAX(0,C661-1)),"n.a."))</f>
        <v>0</v>
      </c>
      <c r="I661" s="16">
        <f>IF(NOT(Paths!$C$66=1),0,IF(Paths!$P$66="Complete",IF(IF(Paths!$E$66=0,C661=0,AND(C661&gt;0,Paths!$E$66&gt;(C661-1)*12,Paths!$E$66&lt;=C661*12)),Paths!$G$66,0),"n.a."))</f>
        <v>0</v>
      </c>
      <c r="J661" s="16">
        <f>IF(NOT(Paths!$C$66=1),0,IF(Paths!$P$66="Complete",IF(IF(Paths!$E$66=0,C661=0,AND(C661&gt;0,Paths!$E$66&gt;(C661-1)*12,Paths!$E$66&lt;=C661*12)),Paths!$H$66,0),"n.a."))</f>
        <v>0</v>
      </c>
      <c r="K661" s="16">
        <f>IF(NOT(Paths!$C$66=1),0,IF(Paths!$P$66="Complete",IF(IF(Paths!$O$66=0,C661=0,AND(C661&gt;0,Paths!$O$66&gt;(C661-1)*12,Paths!$O$66&lt;=C661*12)),Paths!$N$66,0),"n.a."))</f>
        <v>0</v>
      </c>
      <c r="L661" s="16">
        <f>IF(NOT(Paths!$C$66=1),0,IF(Paths!$P$66="Complete",IF(C661=10,Paths!$I$66,0),"n.a."))</f>
        <v>0</v>
      </c>
      <c r="M661" s="16">
        <f>IF(NOT(Paths!$C$66=1),0,IF(Paths!$P$66="Complete",IF(AND(Paths!$D$66="EV",Paths!$E$66&lt;120,Paths!$E$66+'Operating costs'!$B$65&gt;Paths!$E$66,Paths!$E$66+'Operating costs'!$B$65&lt;=120,IF(Paths!$E$66+'Operating costs'!$B$65=0,C661=0,AND(C661&gt;0,Paths!$E$66+'Operating costs'!$B$65&gt;(C661-1)*12,Paths!$E$66+'Operating costs'!$B$65&lt;=C661*12))),'Operating costs'!$B$64,0)+IF(AND('Operating costs'!$B$67&gt;0,'Operating costs'!$B$67&lt;=120,OR(Paths!$D$66="ICE",'Operating costs'!$B$67&lt;=Paths!$E$66),IF('Operating costs'!$B$67=0,C661=0,AND(C661&gt;0,'Operating costs'!$B$67&gt;(C661-1)*12,'Operating costs'!$B$67&lt;=C661*12))),'Operating costs'!$B$66,0),"n.a."))</f>
        <v>0</v>
      </c>
      <c r="N661" s="16">
        <f>IF(NOT(Paths!$C$66=1),0,IF(Paths!$P$66="Complete",SUM(G661:I661)-J661-K661-L661+M661+IF(C661=0,Paths!$F$66,0)+IF(IF(Paths!$E$66=0,C661=0,AND(C661&gt;0,Paths!$E$66&gt;(C661-1)*12,Paths!$E$66&lt;=C661*12)),VLOOKUP(A661,'Fleet register'!$A$7:$S$106,16,FALSE),0),"n.a."))</f>
        <v>0</v>
      </c>
      <c r="O661" s="16">
        <f>IF(NOT(Paths!$C$66=1),0,IF(Paths!$P$66="Complete",N661-IF(C661=0,Paths!$F$66,0),"n.a."))</f>
        <v>0</v>
      </c>
      <c r="P661" s="16">
        <f>IF(NOT(Paths!$C$66=1),0,IF(Paths!$P$66="Complete",O661+L661,"n.a."))</f>
        <v>0</v>
      </c>
      <c r="Q661" s="16">
        <f>IF(NOT(Paths!$C$66=1),0,IF(Paths!$P$66="Complete",N661*(1+'Operating costs'!$B$54)^-C661,"n.a."))</f>
        <v>0</v>
      </c>
      <c r="R661" s="16">
        <f>IF(NOT(Paths!$C$66=1),0,IF(Paths!$P$66="Complete",IF(AND(C661=0,Paths!$E$66=0),I661-J661-K661+VLOOKUP(A661,'Fleet register'!$A$7:$S$106,15,FALSE)+VLOOKUP(A661,'Fleet register'!$A$7:$S$106,16,FALSE),0),"n.a."))</f>
        <v>0</v>
      </c>
      <c r="S661" s="1">
        <f>IF(NOT(Paths!$C$66=1),0,IF(Paths!$P$66="Complete",IF(C661=0,0,Paths!$S$66*Paths!$R$66),"n.a."))</f>
        <v>0</v>
      </c>
      <c r="T661" s="1">
        <f>IF(NOT(Paths!$C$66=1),0,IF(Paths!$P$66="Complete",IF(C661=0,0,VLOOKUP(A661,'Fleet register'!$A$7:$S$106,9,FALSE)*Paths!$R$66),"n.a."))</f>
        <v>0</v>
      </c>
    </row>
    <row r="662" spans="1:20" ht="24" customHeight="1">
      <c r="A662" s="1" t="str">
        <f>Paths!$A$66</f>
        <v>T015</v>
      </c>
      <c r="B662" s="1">
        <f>Paths!$B$66</f>
        <v>3</v>
      </c>
      <c r="C662" s="1">
        <v>6</v>
      </c>
      <c r="D662" s="1">
        <v>66</v>
      </c>
      <c r="E662" s="1">
        <f>IF(OR(Paths!$C$66=0,C662=0),0,MAX(0,MIN(C662*12,Paths!$E$66)-(C662-1)*12))</f>
        <v>0</v>
      </c>
      <c r="F662" s="1">
        <f>IF(OR(Paths!$C$66=0,C662=0),0,12-E662)</f>
        <v>0</v>
      </c>
      <c r="G662" s="16">
        <f>IF(NOT(Paths!$C$66=1),0,IF(Paths!$P$66="Complete",E662/12*(Paths!$J$66*(1+'Operating costs'!$B$51)^MAX(0,C662-1)+Paths!$K$66*(1+'Operating costs'!$B$53)^MAX(0,C662-1)),"n.a."))</f>
        <v>0</v>
      </c>
      <c r="H662" s="16">
        <f>IF(NOT(Paths!$C$66=1),0,IF(Paths!$P$66="Complete",F662/12*(Paths!$L$66*(1+IF(Paths!$D$66="EV",'Operating costs'!$B$52,'Operating costs'!$B$51))^MAX(0,C662-1)+Paths!$M$66*(1+'Operating costs'!$B$53)^MAX(0,C662-1)),"n.a."))</f>
        <v>0</v>
      </c>
      <c r="I662" s="16">
        <f>IF(NOT(Paths!$C$66=1),0,IF(Paths!$P$66="Complete",IF(IF(Paths!$E$66=0,C662=0,AND(C662&gt;0,Paths!$E$66&gt;(C662-1)*12,Paths!$E$66&lt;=C662*12)),Paths!$G$66,0),"n.a."))</f>
        <v>0</v>
      </c>
      <c r="J662" s="16">
        <f>IF(NOT(Paths!$C$66=1),0,IF(Paths!$P$66="Complete",IF(IF(Paths!$E$66=0,C662=0,AND(C662&gt;0,Paths!$E$66&gt;(C662-1)*12,Paths!$E$66&lt;=C662*12)),Paths!$H$66,0),"n.a."))</f>
        <v>0</v>
      </c>
      <c r="K662" s="16">
        <f>IF(NOT(Paths!$C$66=1),0,IF(Paths!$P$66="Complete",IF(IF(Paths!$O$66=0,C662=0,AND(C662&gt;0,Paths!$O$66&gt;(C662-1)*12,Paths!$O$66&lt;=C662*12)),Paths!$N$66,0),"n.a."))</f>
        <v>0</v>
      </c>
      <c r="L662" s="16">
        <f>IF(NOT(Paths!$C$66=1),0,IF(Paths!$P$66="Complete",IF(C662=10,Paths!$I$66,0),"n.a."))</f>
        <v>0</v>
      </c>
      <c r="M662" s="16">
        <f>IF(NOT(Paths!$C$66=1),0,IF(Paths!$P$66="Complete",IF(AND(Paths!$D$66="EV",Paths!$E$66&lt;120,Paths!$E$66+'Operating costs'!$B$65&gt;Paths!$E$66,Paths!$E$66+'Operating costs'!$B$65&lt;=120,IF(Paths!$E$66+'Operating costs'!$B$65=0,C662=0,AND(C662&gt;0,Paths!$E$66+'Operating costs'!$B$65&gt;(C662-1)*12,Paths!$E$66+'Operating costs'!$B$65&lt;=C662*12))),'Operating costs'!$B$64,0)+IF(AND('Operating costs'!$B$67&gt;0,'Operating costs'!$B$67&lt;=120,OR(Paths!$D$66="ICE",'Operating costs'!$B$67&lt;=Paths!$E$66),IF('Operating costs'!$B$67=0,C662=0,AND(C662&gt;0,'Operating costs'!$B$67&gt;(C662-1)*12,'Operating costs'!$B$67&lt;=C662*12))),'Operating costs'!$B$66,0),"n.a."))</f>
        <v>0</v>
      </c>
      <c r="N662" s="16">
        <f>IF(NOT(Paths!$C$66=1),0,IF(Paths!$P$66="Complete",SUM(G662:I662)-J662-K662-L662+M662+IF(C662=0,Paths!$F$66,0)+IF(IF(Paths!$E$66=0,C662=0,AND(C662&gt;0,Paths!$E$66&gt;(C662-1)*12,Paths!$E$66&lt;=C662*12)),VLOOKUP(A662,'Fleet register'!$A$7:$S$106,16,FALSE),0),"n.a."))</f>
        <v>0</v>
      </c>
      <c r="O662" s="16">
        <f>IF(NOT(Paths!$C$66=1),0,IF(Paths!$P$66="Complete",N662-IF(C662=0,Paths!$F$66,0),"n.a."))</f>
        <v>0</v>
      </c>
      <c r="P662" s="16">
        <f>IF(NOT(Paths!$C$66=1),0,IF(Paths!$P$66="Complete",O662+L662,"n.a."))</f>
        <v>0</v>
      </c>
      <c r="Q662" s="16">
        <f>IF(NOT(Paths!$C$66=1),0,IF(Paths!$P$66="Complete",N662*(1+'Operating costs'!$B$54)^-C662,"n.a."))</f>
        <v>0</v>
      </c>
      <c r="R662" s="16">
        <f>IF(NOT(Paths!$C$66=1),0,IF(Paths!$P$66="Complete",IF(AND(C662=0,Paths!$E$66=0),I662-J662-K662+VLOOKUP(A662,'Fleet register'!$A$7:$S$106,15,FALSE)+VLOOKUP(A662,'Fleet register'!$A$7:$S$106,16,FALSE),0),"n.a."))</f>
        <v>0</v>
      </c>
      <c r="S662" s="1">
        <f>IF(NOT(Paths!$C$66=1),0,IF(Paths!$P$66="Complete",IF(C662=0,0,Paths!$S$66*Paths!$R$66),"n.a."))</f>
        <v>0</v>
      </c>
      <c r="T662" s="1">
        <f>IF(NOT(Paths!$C$66=1),0,IF(Paths!$P$66="Complete",IF(C662=0,0,VLOOKUP(A662,'Fleet register'!$A$7:$S$106,9,FALSE)*Paths!$R$66),"n.a."))</f>
        <v>0</v>
      </c>
    </row>
    <row r="663" spans="1:20" ht="24" customHeight="1">
      <c r="A663" s="1" t="str">
        <f>Paths!$A$66</f>
        <v>T015</v>
      </c>
      <c r="B663" s="1">
        <f>Paths!$B$66</f>
        <v>3</v>
      </c>
      <c r="C663" s="1">
        <v>7</v>
      </c>
      <c r="D663" s="1">
        <v>66</v>
      </c>
      <c r="E663" s="1">
        <f>IF(OR(Paths!$C$66=0,C663=0),0,MAX(0,MIN(C663*12,Paths!$E$66)-(C663-1)*12))</f>
        <v>0</v>
      </c>
      <c r="F663" s="1">
        <f>IF(OR(Paths!$C$66=0,C663=0),0,12-E663)</f>
        <v>0</v>
      </c>
      <c r="G663" s="16">
        <f>IF(NOT(Paths!$C$66=1),0,IF(Paths!$P$66="Complete",E663/12*(Paths!$J$66*(1+'Operating costs'!$B$51)^MAX(0,C663-1)+Paths!$K$66*(1+'Operating costs'!$B$53)^MAX(0,C663-1)),"n.a."))</f>
        <v>0</v>
      </c>
      <c r="H663" s="16">
        <f>IF(NOT(Paths!$C$66=1),0,IF(Paths!$P$66="Complete",F663/12*(Paths!$L$66*(1+IF(Paths!$D$66="EV",'Operating costs'!$B$52,'Operating costs'!$B$51))^MAX(0,C663-1)+Paths!$M$66*(1+'Operating costs'!$B$53)^MAX(0,C663-1)),"n.a."))</f>
        <v>0</v>
      </c>
      <c r="I663" s="16">
        <f>IF(NOT(Paths!$C$66=1),0,IF(Paths!$P$66="Complete",IF(IF(Paths!$E$66=0,C663=0,AND(C663&gt;0,Paths!$E$66&gt;(C663-1)*12,Paths!$E$66&lt;=C663*12)),Paths!$G$66,0),"n.a."))</f>
        <v>0</v>
      </c>
      <c r="J663" s="16">
        <f>IF(NOT(Paths!$C$66=1),0,IF(Paths!$P$66="Complete",IF(IF(Paths!$E$66=0,C663=0,AND(C663&gt;0,Paths!$E$66&gt;(C663-1)*12,Paths!$E$66&lt;=C663*12)),Paths!$H$66,0),"n.a."))</f>
        <v>0</v>
      </c>
      <c r="K663" s="16">
        <f>IF(NOT(Paths!$C$66=1),0,IF(Paths!$P$66="Complete",IF(IF(Paths!$O$66=0,C663=0,AND(C663&gt;0,Paths!$O$66&gt;(C663-1)*12,Paths!$O$66&lt;=C663*12)),Paths!$N$66,0),"n.a."))</f>
        <v>0</v>
      </c>
      <c r="L663" s="16">
        <f>IF(NOT(Paths!$C$66=1),0,IF(Paths!$P$66="Complete",IF(C663=10,Paths!$I$66,0),"n.a."))</f>
        <v>0</v>
      </c>
      <c r="M663" s="16">
        <f>IF(NOT(Paths!$C$66=1),0,IF(Paths!$P$66="Complete",IF(AND(Paths!$D$66="EV",Paths!$E$66&lt;120,Paths!$E$66+'Operating costs'!$B$65&gt;Paths!$E$66,Paths!$E$66+'Operating costs'!$B$65&lt;=120,IF(Paths!$E$66+'Operating costs'!$B$65=0,C663=0,AND(C663&gt;0,Paths!$E$66+'Operating costs'!$B$65&gt;(C663-1)*12,Paths!$E$66+'Operating costs'!$B$65&lt;=C663*12))),'Operating costs'!$B$64,0)+IF(AND('Operating costs'!$B$67&gt;0,'Operating costs'!$B$67&lt;=120,OR(Paths!$D$66="ICE",'Operating costs'!$B$67&lt;=Paths!$E$66),IF('Operating costs'!$B$67=0,C663=0,AND(C663&gt;0,'Operating costs'!$B$67&gt;(C663-1)*12,'Operating costs'!$B$67&lt;=C663*12))),'Operating costs'!$B$66,0),"n.a."))</f>
        <v>0</v>
      </c>
      <c r="N663" s="16">
        <f>IF(NOT(Paths!$C$66=1),0,IF(Paths!$P$66="Complete",SUM(G663:I663)-J663-K663-L663+M663+IF(C663=0,Paths!$F$66,0)+IF(IF(Paths!$E$66=0,C663=0,AND(C663&gt;0,Paths!$E$66&gt;(C663-1)*12,Paths!$E$66&lt;=C663*12)),VLOOKUP(A663,'Fleet register'!$A$7:$S$106,16,FALSE),0),"n.a."))</f>
        <v>0</v>
      </c>
      <c r="O663" s="16">
        <f>IF(NOT(Paths!$C$66=1),0,IF(Paths!$P$66="Complete",N663-IF(C663=0,Paths!$F$66,0),"n.a."))</f>
        <v>0</v>
      </c>
      <c r="P663" s="16">
        <f>IF(NOT(Paths!$C$66=1),0,IF(Paths!$P$66="Complete",O663+L663,"n.a."))</f>
        <v>0</v>
      </c>
      <c r="Q663" s="16">
        <f>IF(NOT(Paths!$C$66=1),0,IF(Paths!$P$66="Complete",N663*(1+'Operating costs'!$B$54)^-C663,"n.a."))</f>
        <v>0</v>
      </c>
      <c r="R663" s="16">
        <f>IF(NOT(Paths!$C$66=1),0,IF(Paths!$P$66="Complete",IF(AND(C663=0,Paths!$E$66=0),I663-J663-K663+VLOOKUP(A663,'Fleet register'!$A$7:$S$106,15,FALSE)+VLOOKUP(A663,'Fleet register'!$A$7:$S$106,16,FALSE),0),"n.a."))</f>
        <v>0</v>
      </c>
      <c r="S663" s="1">
        <f>IF(NOT(Paths!$C$66=1),0,IF(Paths!$P$66="Complete",IF(C663=0,0,Paths!$S$66*Paths!$R$66),"n.a."))</f>
        <v>0</v>
      </c>
      <c r="T663" s="1">
        <f>IF(NOT(Paths!$C$66=1),0,IF(Paths!$P$66="Complete",IF(C663=0,0,VLOOKUP(A663,'Fleet register'!$A$7:$S$106,9,FALSE)*Paths!$R$66),"n.a."))</f>
        <v>0</v>
      </c>
    </row>
    <row r="664" spans="1:20" ht="24" customHeight="1">
      <c r="A664" s="1" t="str">
        <f>Paths!$A$66</f>
        <v>T015</v>
      </c>
      <c r="B664" s="1">
        <f>Paths!$B$66</f>
        <v>3</v>
      </c>
      <c r="C664" s="1">
        <v>8</v>
      </c>
      <c r="D664" s="1">
        <v>66</v>
      </c>
      <c r="E664" s="1">
        <f>IF(OR(Paths!$C$66=0,C664=0),0,MAX(0,MIN(C664*12,Paths!$E$66)-(C664-1)*12))</f>
        <v>0</v>
      </c>
      <c r="F664" s="1">
        <f>IF(OR(Paths!$C$66=0,C664=0),0,12-E664)</f>
        <v>0</v>
      </c>
      <c r="G664" s="16">
        <f>IF(NOT(Paths!$C$66=1),0,IF(Paths!$P$66="Complete",E664/12*(Paths!$J$66*(1+'Operating costs'!$B$51)^MAX(0,C664-1)+Paths!$K$66*(1+'Operating costs'!$B$53)^MAX(0,C664-1)),"n.a."))</f>
        <v>0</v>
      </c>
      <c r="H664" s="16">
        <f>IF(NOT(Paths!$C$66=1),0,IF(Paths!$P$66="Complete",F664/12*(Paths!$L$66*(1+IF(Paths!$D$66="EV",'Operating costs'!$B$52,'Operating costs'!$B$51))^MAX(0,C664-1)+Paths!$M$66*(1+'Operating costs'!$B$53)^MAX(0,C664-1)),"n.a."))</f>
        <v>0</v>
      </c>
      <c r="I664" s="16">
        <f>IF(NOT(Paths!$C$66=1),0,IF(Paths!$P$66="Complete",IF(IF(Paths!$E$66=0,C664=0,AND(C664&gt;0,Paths!$E$66&gt;(C664-1)*12,Paths!$E$66&lt;=C664*12)),Paths!$G$66,0),"n.a."))</f>
        <v>0</v>
      </c>
      <c r="J664" s="16">
        <f>IF(NOT(Paths!$C$66=1),0,IF(Paths!$P$66="Complete",IF(IF(Paths!$E$66=0,C664=0,AND(C664&gt;0,Paths!$E$66&gt;(C664-1)*12,Paths!$E$66&lt;=C664*12)),Paths!$H$66,0),"n.a."))</f>
        <v>0</v>
      </c>
      <c r="K664" s="16">
        <f>IF(NOT(Paths!$C$66=1),0,IF(Paths!$P$66="Complete",IF(IF(Paths!$O$66=0,C664=0,AND(C664&gt;0,Paths!$O$66&gt;(C664-1)*12,Paths!$O$66&lt;=C664*12)),Paths!$N$66,0),"n.a."))</f>
        <v>0</v>
      </c>
      <c r="L664" s="16">
        <f>IF(NOT(Paths!$C$66=1),0,IF(Paths!$P$66="Complete",IF(C664=10,Paths!$I$66,0),"n.a."))</f>
        <v>0</v>
      </c>
      <c r="M664" s="16">
        <f>IF(NOT(Paths!$C$66=1),0,IF(Paths!$P$66="Complete",IF(AND(Paths!$D$66="EV",Paths!$E$66&lt;120,Paths!$E$66+'Operating costs'!$B$65&gt;Paths!$E$66,Paths!$E$66+'Operating costs'!$B$65&lt;=120,IF(Paths!$E$66+'Operating costs'!$B$65=0,C664=0,AND(C664&gt;0,Paths!$E$66+'Operating costs'!$B$65&gt;(C664-1)*12,Paths!$E$66+'Operating costs'!$B$65&lt;=C664*12))),'Operating costs'!$B$64,0)+IF(AND('Operating costs'!$B$67&gt;0,'Operating costs'!$B$67&lt;=120,OR(Paths!$D$66="ICE",'Operating costs'!$B$67&lt;=Paths!$E$66),IF('Operating costs'!$B$67=0,C664=0,AND(C664&gt;0,'Operating costs'!$B$67&gt;(C664-1)*12,'Operating costs'!$B$67&lt;=C664*12))),'Operating costs'!$B$66,0),"n.a."))</f>
        <v>0</v>
      </c>
      <c r="N664" s="16">
        <f>IF(NOT(Paths!$C$66=1),0,IF(Paths!$P$66="Complete",SUM(G664:I664)-J664-K664-L664+M664+IF(C664=0,Paths!$F$66,0)+IF(IF(Paths!$E$66=0,C664=0,AND(C664&gt;0,Paths!$E$66&gt;(C664-1)*12,Paths!$E$66&lt;=C664*12)),VLOOKUP(A664,'Fleet register'!$A$7:$S$106,16,FALSE),0),"n.a."))</f>
        <v>0</v>
      </c>
      <c r="O664" s="16">
        <f>IF(NOT(Paths!$C$66=1),0,IF(Paths!$P$66="Complete",N664-IF(C664=0,Paths!$F$66,0),"n.a."))</f>
        <v>0</v>
      </c>
      <c r="P664" s="16">
        <f>IF(NOT(Paths!$C$66=1),0,IF(Paths!$P$66="Complete",O664+L664,"n.a."))</f>
        <v>0</v>
      </c>
      <c r="Q664" s="16">
        <f>IF(NOT(Paths!$C$66=1),0,IF(Paths!$P$66="Complete",N664*(1+'Operating costs'!$B$54)^-C664,"n.a."))</f>
        <v>0</v>
      </c>
      <c r="R664" s="16">
        <f>IF(NOT(Paths!$C$66=1),0,IF(Paths!$P$66="Complete",IF(AND(C664=0,Paths!$E$66=0),I664-J664-K664+VLOOKUP(A664,'Fleet register'!$A$7:$S$106,15,FALSE)+VLOOKUP(A664,'Fleet register'!$A$7:$S$106,16,FALSE),0),"n.a."))</f>
        <v>0</v>
      </c>
      <c r="S664" s="1">
        <f>IF(NOT(Paths!$C$66=1),0,IF(Paths!$P$66="Complete",IF(C664=0,0,Paths!$S$66*Paths!$R$66),"n.a."))</f>
        <v>0</v>
      </c>
      <c r="T664" s="1">
        <f>IF(NOT(Paths!$C$66=1),0,IF(Paths!$P$66="Complete",IF(C664=0,0,VLOOKUP(A664,'Fleet register'!$A$7:$S$106,9,FALSE)*Paths!$R$66),"n.a."))</f>
        <v>0</v>
      </c>
    </row>
    <row r="665" spans="1:20" ht="24" customHeight="1">
      <c r="A665" s="1" t="str">
        <f>Paths!$A$66</f>
        <v>T015</v>
      </c>
      <c r="B665" s="1">
        <f>Paths!$B$66</f>
        <v>3</v>
      </c>
      <c r="C665" s="1">
        <v>9</v>
      </c>
      <c r="D665" s="1">
        <v>66</v>
      </c>
      <c r="E665" s="1">
        <f>IF(OR(Paths!$C$66=0,C665=0),0,MAX(0,MIN(C665*12,Paths!$E$66)-(C665-1)*12))</f>
        <v>0</v>
      </c>
      <c r="F665" s="1">
        <f>IF(OR(Paths!$C$66=0,C665=0),0,12-E665)</f>
        <v>0</v>
      </c>
      <c r="G665" s="16">
        <f>IF(NOT(Paths!$C$66=1),0,IF(Paths!$P$66="Complete",E665/12*(Paths!$J$66*(1+'Operating costs'!$B$51)^MAX(0,C665-1)+Paths!$K$66*(1+'Operating costs'!$B$53)^MAX(0,C665-1)),"n.a."))</f>
        <v>0</v>
      </c>
      <c r="H665" s="16">
        <f>IF(NOT(Paths!$C$66=1),0,IF(Paths!$P$66="Complete",F665/12*(Paths!$L$66*(1+IF(Paths!$D$66="EV",'Operating costs'!$B$52,'Operating costs'!$B$51))^MAX(0,C665-1)+Paths!$M$66*(1+'Operating costs'!$B$53)^MAX(0,C665-1)),"n.a."))</f>
        <v>0</v>
      </c>
      <c r="I665" s="16">
        <f>IF(NOT(Paths!$C$66=1),0,IF(Paths!$P$66="Complete",IF(IF(Paths!$E$66=0,C665=0,AND(C665&gt;0,Paths!$E$66&gt;(C665-1)*12,Paths!$E$66&lt;=C665*12)),Paths!$G$66,0),"n.a."))</f>
        <v>0</v>
      </c>
      <c r="J665" s="16">
        <f>IF(NOT(Paths!$C$66=1),0,IF(Paths!$P$66="Complete",IF(IF(Paths!$E$66=0,C665=0,AND(C665&gt;0,Paths!$E$66&gt;(C665-1)*12,Paths!$E$66&lt;=C665*12)),Paths!$H$66,0),"n.a."))</f>
        <v>0</v>
      </c>
      <c r="K665" s="16">
        <f>IF(NOT(Paths!$C$66=1),0,IF(Paths!$P$66="Complete",IF(IF(Paths!$O$66=0,C665=0,AND(C665&gt;0,Paths!$O$66&gt;(C665-1)*12,Paths!$O$66&lt;=C665*12)),Paths!$N$66,0),"n.a."))</f>
        <v>0</v>
      </c>
      <c r="L665" s="16">
        <f>IF(NOT(Paths!$C$66=1),0,IF(Paths!$P$66="Complete",IF(C665=10,Paths!$I$66,0),"n.a."))</f>
        <v>0</v>
      </c>
      <c r="M665" s="16">
        <f>IF(NOT(Paths!$C$66=1),0,IF(Paths!$P$66="Complete",IF(AND(Paths!$D$66="EV",Paths!$E$66&lt;120,Paths!$E$66+'Operating costs'!$B$65&gt;Paths!$E$66,Paths!$E$66+'Operating costs'!$B$65&lt;=120,IF(Paths!$E$66+'Operating costs'!$B$65=0,C665=0,AND(C665&gt;0,Paths!$E$66+'Operating costs'!$B$65&gt;(C665-1)*12,Paths!$E$66+'Operating costs'!$B$65&lt;=C665*12))),'Operating costs'!$B$64,0)+IF(AND('Operating costs'!$B$67&gt;0,'Operating costs'!$B$67&lt;=120,OR(Paths!$D$66="ICE",'Operating costs'!$B$67&lt;=Paths!$E$66),IF('Operating costs'!$B$67=0,C665=0,AND(C665&gt;0,'Operating costs'!$B$67&gt;(C665-1)*12,'Operating costs'!$B$67&lt;=C665*12))),'Operating costs'!$B$66,0),"n.a."))</f>
        <v>0</v>
      </c>
      <c r="N665" s="16">
        <f>IF(NOT(Paths!$C$66=1),0,IF(Paths!$P$66="Complete",SUM(G665:I665)-J665-K665-L665+M665+IF(C665=0,Paths!$F$66,0)+IF(IF(Paths!$E$66=0,C665=0,AND(C665&gt;0,Paths!$E$66&gt;(C665-1)*12,Paths!$E$66&lt;=C665*12)),VLOOKUP(A665,'Fleet register'!$A$7:$S$106,16,FALSE),0),"n.a."))</f>
        <v>0</v>
      </c>
      <c r="O665" s="16">
        <f>IF(NOT(Paths!$C$66=1),0,IF(Paths!$P$66="Complete",N665-IF(C665=0,Paths!$F$66,0),"n.a."))</f>
        <v>0</v>
      </c>
      <c r="P665" s="16">
        <f>IF(NOT(Paths!$C$66=1),0,IF(Paths!$P$66="Complete",O665+L665,"n.a."))</f>
        <v>0</v>
      </c>
      <c r="Q665" s="16">
        <f>IF(NOT(Paths!$C$66=1),0,IF(Paths!$P$66="Complete",N665*(1+'Operating costs'!$B$54)^-C665,"n.a."))</f>
        <v>0</v>
      </c>
      <c r="R665" s="16">
        <f>IF(NOT(Paths!$C$66=1),0,IF(Paths!$P$66="Complete",IF(AND(C665=0,Paths!$E$66=0),I665-J665-K665+VLOOKUP(A665,'Fleet register'!$A$7:$S$106,15,FALSE)+VLOOKUP(A665,'Fleet register'!$A$7:$S$106,16,FALSE),0),"n.a."))</f>
        <v>0</v>
      </c>
      <c r="S665" s="1">
        <f>IF(NOT(Paths!$C$66=1),0,IF(Paths!$P$66="Complete",IF(C665=0,0,Paths!$S$66*Paths!$R$66),"n.a."))</f>
        <v>0</v>
      </c>
      <c r="T665" s="1">
        <f>IF(NOT(Paths!$C$66=1),0,IF(Paths!$P$66="Complete",IF(C665=0,0,VLOOKUP(A665,'Fleet register'!$A$7:$S$106,9,FALSE)*Paths!$R$66),"n.a."))</f>
        <v>0</v>
      </c>
    </row>
    <row r="666" spans="1:20" ht="24" customHeight="1">
      <c r="A666" s="1" t="str">
        <f>Paths!$A$66</f>
        <v>T015</v>
      </c>
      <c r="B666" s="1">
        <f>Paths!$B$66</f>
        <v>3</v>
      </c>
      <c r="C666" s="1">
        <v>10</v>
      </c>
      <c r="D666" s="1">
        <v>66</v>
      </c>
      <c r="E666" s="1">
        <f>IF(OR(Paths!$C$66=0,C666=0),0,MAX(0,MIN(C666*12,Paths!$E$66)-(C666-1)*12))</f>
        <v>0</v>
      </c>
      <c r="F666" s="1">
        <f>IF(OR(Paths!$C$66=0,C666=0),0,12-E666)</f>
        <v>0</v>
      </c>
      <c r="G666" s="16">
        <f>IF(NOT(Paths!$C$66=1),0,IF(Paths!$P$66="Complete",E666/12*(Paths!$J$66*(1+'Operating costs'!$B$51)^MAX(0,C666-1)+Paths!$K$66*(1+'Operating costs'!$B$53)^MAX(0,C666-1)),"n.a."))</f>
        <v>0</v>
      </c>
      <c r="H666" s="16">
        <f>IF(NOT(Paths!$C$66=1),0,IF(Paths!$P$66="Complete",F666/12*(Paths!$L$66*(1+IF(Paths!$D$66="EV",'Operating costs'!$B$52,'Operating costs'!$B$51))^MAX(0,C666-1)+Paths!$M$66*(1+'Operating costs'!$B$53)^MAX(0,C666-1)),"n.a."))</f>
        <v>0</v>
      </c>
      <c r="I666" s="16">
        <f>IF(NOT(Paths!$C$66=1),0,IF(Paths!$P$66="Complete",IF(IF(Paths!$E$66=0,C666=0,AND(C666&gt;0,Paths!$E$66&gt;(C666-1)*12,Paths!$E$66&lt;=C666*12)),Paths!$G$66,0),"n.a."))</f>
        <v>0</v>
      </c>
      <c r="J666" s="16">
        <f>IF(NOT(Paths!$C$66=1),0,IF(Paths!$P$66="Complete",IF(IF(Paths!$E$66=0,C666=0,AND(C666&gt;0,Paths!$E$66&gt;(C666-1)*12,Paths!$E$66&lt;=C666*12)),Paths!$H$66,0),"n.a."))</f>
        <v>0</v>
      </c>
      <c r="K666" s="16">
        <f>IF(NOT(Paths!$C$66=1),0,IF(Paths!$P$66="Complete",IF(IF(Paths!$O$66=0,C666=0,AND(C666&gt;0,Paths!$O$66&gt;(C666-1)*12,Paths!$O$66&lt;=C666*12)),Paths!$N$66,0),"n.a."))</f>
        <v>0</v>
      </c>
      <c r="L666" s="16">
        <f>IF(NOT(Paths!$C$66=1),0,IF(Paths!$P$66="Complete",IF(C666=10,Paths!$I$66,0),"n.a."))</f>
        <v>0</v>
      </c>
      <c r="M666" s="16">
        <f>IF(NOT(Paths!$C$66=1),0,IF(Paths!$P$66="Complete",IF(AND(Paths!$D$66="EV",Paths!$E$66&lt;120,Paths!$E$66+'Operating costs'!$B$65&gt;Paths!$E$66,Paths!$E$66+'Operating costs'!$B$65&lt;=120,IF(Paths!$E$66+'Operating costs'!$B$65=0,C666=0,AND(C666&gt;0,Paths!$E$66+'Operating costs'!$B$65&gt;(C666-1)*12,Paths!$E$66+'Operating costs'!$B$65&lt;=C666*12))),'Operating costs'!$B$64,0)+IF(AND('Operating costs'!$B$67&gt;0,'Operating costs'!$B$67&lt;=120,OR(Paths!$D$66="ICE",'Operating costs'!$B$67&lt;=Paths!$E$66),IF('Operating costs'!$B$67=0,C666=0,AND(C666&gt;0,'Operating costs'!$B$67&gt;(C666-1)*12,'Operating costs'!$B$67&lt;=C666*12))),'Operating costs'!$B$66,0),"n.a."))</f>
        <v>0</v>
      </c>
      <c r="N666" s="16">
        <f>IF(NOT(Paths!$C$66=1),0,IF(Paths!$P$66="Complete",SUM(G666:I666)-J666-K666-L666+M666+IF(C666=0,Paths!$F$66,0)+IF(IF(Paths!$E$66=0,C666=0,AND(C666&gt;0,Paths!$E$66&gt;(C666-1)*12,Paths!$E$66&lt;=C666*12)),VLOOKUP(A666,'Fleet register'!$A$7:$S$106,16,FALSE),0),"n.a."))</f>
        <v>0</v>
      </c>
      <c r="O666" s="16">
        <f>IF(NOT(Paths!$C$66=1),0,IF(Paths!$P$66="Complete",N666-IF(C666=0,Paths!$F$66,0),"n.a."))</f>
        <v>0</v>
      </c>
      <c r="P666" s="16">
        <f>IF(NOT(Paths!$C$66=1),0,IF(Paths!$P$66="Complete",O666+L666,"n.a."))</f>
        <v>0</v>
      </c>
      <c r="Q666" s="16">
        <f>IF(NOT(Paths!$C$66=1),0,IF(Paths!$P$66="Complete",N666*(1+'Operating costs'!$B$54)^-C666,"n.a."))</f>
        <v>0</v>
      </c>
      <c r="R666" s="16">
        <f>IF(NOT(Paths!$C$66=1),0,IF(Paths!$P$66="Complete",IF(AND(C666=0,Paths!$E$66=0),I666-J666-K666+VLOOKUP(A666,'Fleet register'!$A$7:$S$106,15,FALSE)+VLOOKUP(A666,'Fleet register'!$A$7:$S$106,16,FALSE),0),"n.a."))</f>
        <v>0</v>
      </c>
      <c r="S666" s="1">
        <f>IF(NOT(Paths!$C$66=1),0,IF(Paths!$P$66="Complete",IF(C666=0,0,Paths!$S$66*Paths!$R$66),"n.a."))</f>
        <v>0</v>
      </c>
      <c r="T666" s="1">
        <f>IF(NOT(Paths!$C$66=1),0,IF(Paths!$P$66="Complete",IF(C666=0,0,VLOOKUP(A666,'Fleet register'!$A$7:$S$106,9,FALSE)*Paths!$R$66),"n.a."))</f>
        <v>0</v>
      </c>
    </row>
    <row r="667" spans="1:20" ht="24" customHeight="1">
      <c r="A667" s="1" t="str">
        <f>Paths!$A$67</f>
        <v>T016</v>
      </c>
      <c r="B667" s="1">
        <f>Paths!$B$67</f>
        <v>0</v>
      </c>
      <c r="C667" s="1">
        <v>0</v>
      </c>
      <c r="D667" s="1">
        <v>67</v>
      </c>
      <c r="E667" s="1">
        <f>IF(OR(Paths!$C$67=0,C667=0),0,MAX(0,MIN(C667*12,Paths!$E$67)-(C667-1)*12))</f>
        <v>0</v>
      </c>
      <c r="F667" s="1">
        <f>IF(OR(Paths!$C$67=0,C667=0),0,12-E667)</f>
        <v>0</v>
      </c>
      <c r="G667" s="16">
        <f>IF(NOT(Paths!$C$67=1),0,IF(Paths!$P$67="Complete",E667/12*(Paths!$J$67*(1+'Operating costs'!$B$51)^MAX(0,C667-1)+Paths!$K$67*(1+'Operating costs'!$B$53)^MAX(0,C667-1)),"n.a."))</f>
        <v>0</v>
      </c>
      <c r="H667" s="16">
        <f>IF(NOT(Paths!$C$67=1),0,IF(Paths!$P$67="Complete",F667/12*(Paths!$L$67*(1+IF(Paths!$D$67="EV",'Operating costs'!$B$52,'Operating costs'!$B$51))^MAX(0,C667-1)+Paths!$M$67*(1+'Operating costs'!$B$53)^MAX(0,C667-1)),"n.a."))</f>
        <v>0</v>
      </c>
      <c r="I667" s="16">
        <f>IF(NOT(Paths!$C$67=1),0,IF(Paths!$P$67="Complete",IF(IF(Paths!$E$67=0,C667=0,AND(C667&gt;0,Paths!$E$67&gt;(C667-1)*12,Paths!$E$67&lt;=C667*12)),Paths!$G$67,0),"n.a."))</f>
        <v>0</v>
      </c>
      <c r="J667" s="16">
        <f>IF(NOT(Paths!$C$67=1),0,IF(Paths!$P$67="Complete",IF(IF(Paths!$E$67=0,C667=0,AND(C667&gt;0,Paths!$E$67&gt;(C667-1)*12,Paths!$E$67&lt;=C667*12)),Paths!$H$67,0),"n.a."))</f>
        <v>0</v>
      </c>
      <c r="K667" s="16">
        <f>IF(NOT(Paths!$C$67=1),0,IF(Paths!$P$67="Complete",IF(IF(Paths!$O$67=0,C667=0,AND(C667&gt;0,Paths!$O$67&gt;(C667-1)*12,Paths!$O$67&lt;=C667*12)),Paths!$N$67,0),"n.a."))</f>
        <v>0</v>
      </c>
      <c r="L667" s="16">
        <f>IF(NOT(Paths!$C$67=1),0,IF(Paths!$P$67="Complete",IF(C667=10,Paths!$I$67,0),"n.a."))</f>
        <v>0</v>
      </c>
      <c r="M667" s="16">
        <f>IF(NOT(Paths!$C$67=1),0,IF(Paths!$P$67="Complete",IF(AND(Paths!$D$67="EV",Paths!$E$67&lt;120,Paths!$E$67+'Operating costs'!$B$65&gt;Paths!$E$67,Paths!$E$67+'Operating costs'!$B$65&lt;=120,IF(Paths!$E$67+'Operating costs'!$B$65=0,C667=0,AND(C667&gt;0,Paths!$E$67+'Operating costs'!$B$65&gt;(C667-1)*12,Paths!$E$67+'Operating costs'!$B$65&lt;=C667*12))),'Operating costs'!$B$64,0)+IF(AND('Operating costs'!$B$67&gt;0,'Operating costs'!$B$67&lt;=120,OR(Paths!$D$67="ICE",'Operating costs'!$B$67&lt;=Paths!$E$67),IF('Operating costs'!$B$67=0,C667=0,AND(C667&gt;0,'Operating costs'!$B$67&gt;(C667-1)*12,'Operating costs'!$B$67&lt;=C667*12))),'Operating costs'!$B$66,0),"n.a."))</f>
        <v>0</v>
      </c>
      <c r="N667" s="16">
        <f>IF(NOT(Paths!$C$67=1),0,IF(Paths!$P$67="Complete",SUM(G667:I667)-J667-K667-L667+M667+IF(C667=0,Paths!$F$67,0)+IF(IF(Paths!$E$67=0,C667=0,AND(C667&gt;0,Paths!$E$67&gt;(C667-1)*12,Paths!$E$67&lt;=C667*12)),VLOOKUP(A667,'Fleet register'!$A$7:$S$106,16,FALSE),0),"n.a."))</f>
        <v>0</v>
      </c>
      <c r="O667" s="16">
        <f>IF(NOT(Paths!$C$67=1),0,IF(Paths!$P$67="Complete",N667-IF(C667=0,Paths!$F$67,0),"n.a."))</f>
        <v>0</v>
      </c>
      <c r="P667" s="16">
        <f>IF(NOT(Paths!$C$67=1),0,IF(Paths!$P$67="Complete",O667+L667,"n.a."))</f>
        <v>0</v>
      </c>
      <c r="Q667" s="16">
        <f>IF(NOT(Paths!$C$67=1),0,IF(Paths!$P$67="Complete",N667*(1+'Operating costs'!$B$54)^-C667,"n.a."))</f>
        <v>0</v>
      </c>
      <c r="R667" s="16">
        <f>IF(NOT(Paths!$C$67=1),0,IF(Paths!$P$67="Complete",IF(AND(C667=0,Paths!$E$67=0),I667-J667-K667+VLOOKUP(A667,'Fleet register'!$A$7:$S$106,15,FALSE)+VLOOKUP(A667,'Fleet register'!$A$7:$S$106,16,FALSE),0),"n.a."))</f>
        <v>0</v>
      </c>
      <c r="S667" s="1">
        <f>IF(NOT(Paths!$C$67=1),0,IF(Paths!$P$67="Complete",IF(C667=0,0,Paths!$S$67*Paths!$R$67),"n.a."))</f>
        <v>0</v>
      </c>
      <c r="T667" s="1">
        <f>IF(NOT(Paths!$C$67=1),0,IF(Paths!$P$67="Complete",IF(C667=0,0,VLOOKUP(A667,'Fleet register'!$A$7:$S$106,9,FALSE)*Paths!$R$67),"n.a."))</f>
        <v>0</v>
      </c>
    </row>
    <row r="668" spans="1:20" ht="24" customHeight="1">
      <c r="A668" s="1" t="str">
        <f>Paths!$A$67</f>
        <v>T016</v>
      </c>
      <c r="B668" s="1">
        <f>Paths!$B$67</f>
        <v>0</v>
      </c>
      <c r="C668" s="1">
        <v>1</v>
      </c>
      <c r="D668" s="1">
        <v>67</v>
      </c>
      <c r="E668" s="1">
        <f>IF(OR(Paths!$C$67=0,C668=0),0,MAX(0,MIN(C668*12,Paths!$E$67)-(C668-1)*12))</f>
        <v>0</v>
      </c>
      <c r="F668" s="1">
        <f>IF(OR(Paths!$C$67=0,C668=0),0,12-E668)</f>
        <v>0</v>
      </c>
      <c r="G668" s="16">
        <f>IF(NOT(Paths!$C$67=1),0,IF(Paths!$P$67="Complete",E668/12*(Paths!$J$67*(1+'Operating costs'!$B$51)^MAX(0,C668-1)+Paths!$K$67*(1+'Operating costs'!$B$53)^MAX(0,C668-1)),"n.a."))</f>
        <v>0</v>
      </c>
      <c r="H668" s="16">
        <f>IF(NOT(Paths!$C$67=1),0,IF(Paths!$P$67="Complete",F668/12*(Paths!$L$67*(1+IF(Paths!$D$67="EV",'Operating costs'!$B$52,'Operating costs'!$B$51))^MAX(0,C668-1)+Paths!$M$67*(1+'Operating costs'!$B$53)^MAX(0,C668-1)),"n.a."))</f>
        <v>0</v>
      </c>
      <c r="I668" s="16">
        <f>IF(NOT(Paths!$C$67=1),0,IF(Paths!$P$67="Complete",IF(IF(Paths!$E$67=0,C668=0,AND(C668&gt;0,Paths!$E$67&gt;(C668-1)*12,Paths!$E$67&lt;=C668*12)),Paths!$G$67,0),"n.a."))</f>
        <v>0</v>
      </c>
      <c r="J668" s="16">
        <f>IF(NOT(Paths!$C$67=1),0,IF(Paths!$P$67="Complete",IF(IF(Paths!$E$67=0,C668=0,AND(C668&gt;0,Paths!$E$67&gt;(C668-1)*12,Paths!$E$67&lt;=C668*12)),Paths!$H$67,0),"n.a."))</f>
        <v>0</v>
      </c>
      <c r="K668" s="16">
        <f>IF(NOT(Paths!$C$67=1),0,IF(Paths!$P$67="Complete",IF(IF(Paths!$O$67=0,C668=0,AND(C668&gt;0,Paths!$O$67&gt;(C668-1)*12,Paths!$O$67&lt;=C668*12)),Paths!$N$67,0),"n.a."))</f>
        <v>0</v>
      </c>
      <c r="L668" s="16">
        <f>IF(NOT(Paths!$C$67=1),0,IF(Paths!$P$67="Complete",IF(C668=10,Paths!$I$67,0),"n.a."))</f>
        <v>0</v>
      </c>
      <c r="M668" s="16">
        <f>IF(NOT(Paths!$C$67=1),0,IF(Paths!$P$67="Complete",IF(AND(Paths!$D$67="EV",Paths!$E$67&lt;120,Paths!$E$67+'Operating costs'!$B$65&gt;Paths!$E$67,Paths!$E$67+'Operating costs'!$B$65&lt;=120,IF(Paths!$E$67+'Operating costs'!$B$65=0,C668=0,AND(C668&gt;0,Paths!$E$67+'Operating costs'!$B$65&gt;(C668-1)*12,Paths!$E$67+'Operating costs'!$B$65&lt;=C668*12))),'Operating costs'!$B$64,0)+IF(AND('Operating costs'!$B$67&gt;0,'Operating costs'!$B$67&lt;=120,OR(Paths!$D$67="ICE",'Operating costs'!$B$67&lt;=Paths!$E$67),IF('Operating costs'!$B$67=0,C668=0,AND(C668&gt;0,'Operating costs'!$B$67&gt;(C668-1)*12,'Operating costs'!$B$67&lt;=C668*12))),'Operating costs'!$B$66,0),"n.a."))</f>
        <v>0</v>
      </c>
      <c r="N668" s="16">
        <f>IF(NOT(Paths!$C$67=1),0,IF(Paths!$P$67="Complete",SUM(G668:I668)-J668-K668-L668+M668+IF(C668=0,Paths!$F$67,0)+IF(IF(Paths!$E$67=0,C668=0,AND(C668&gt;0,Paths!$E$67&gt;(C668-1)*12,Paths!$E$67&lt;=C668*12)),VLOOKUP(A668,'Fleet register'!$A$7:$S$106,16,FALSE),0),"n.a."))</f>
        <v>0</v>
      </c>
      <c r="O668" s="16">
        <f>IF(NOT(Paths!$C$67=1),0,IF(Paths!$P$67="Complete",N668-IF(C668=0,Paths!$F$67,0),"n.a."))</f>
        <v>0</v>
      </c>
      <c r="P668" s="16">
        <f>IF(NOT(Paths!$C$67=1),0,IF(Paths!$P$67="Complete",O668+L668,"n.a."))</f>
        <v>0</v>
      </c>
      <c r="Q668" s="16">
        <f>IF(NOT(Paths!$C$67=1),0,IF(Paths!$P$67="Complete",N668*(1+'Operating costs'!$B$54)^-C668,"n.a."))</f>
        <v>0</v>
      </c>
      <c r="R668" s="16">
        <f>IF(NOT(Paths!$C$67=1),0,IF(Paths!$P$67="Complete",IF(AND(C668=0,Paths!$E$67=0),I668-J668-K668+VLOOKUP(A668,'Fleet register'!$A$7:$S$106,15,FALSE)+VLOOKUP(A668,'Fleet register'!$A$7:$S$106,16,FALSE),0),"n.a."))</f>
        <v>0</v>
      </c>
      <c r="S668" s="1">
        <f>IF(NOT(Paths!$C$67=1),0,IF(Paths!$P$67="Complete",IF(C668=0,0,Paths!$S$67*Paths!$R$67),"n.a."))</f>
        <v>0</v>
      </c>
      <c r="T668" s="1">
        <f>IF(NOT(Paths!$C$67=1),0,IF(Paths!$P$67="Complete",IF(C668=0,0,VLOOKUP(A668,'Fleet register'!$A$7:$S$106,9,FALSE)*Paths!$R$67),"n.a."))</f>
        <v>0</v>
      </c>
    </row>
    <row r="669" spans="1:20" ht="24" customHeight="1">
      <c r="A669" s="1" t="str">
        <f>Paths!$A$67</f>
        <v>T016</v>
      </c>
      <c r="B669" s="1">
        <f>Paths!$B$67</f>
        <v>0</v>
      </c>
      <c r="C669" s="1">
        <v>2</v>
      </c>
      <c r="D669" s="1">
        <v>67</v>
      </c>
      <c r="E669" s="1">
        <f>IF(OR(Paths!$C$67=0,C669=0),0,MAX(0,MIN(C669*12,Paths!$E$67)-(C669-1)*12))</f>
        <v>0</v>
      </c>
      <c r="F669" s="1">
        <f>IF(OR(Paths!$C$67=0,C669=0),0,12-E669)</f>
        <v>0</v>
      </c>
      <c r="G669" s="16">
        <f>IF(NOT(Paths!$C$67=1),0,IF(Paths!$P$67="Complete",E669/12*(Paths!$J$67*(1+'Operating costs'!$B$51)^MAX(0,C669-1)+Paths!$K$67*(1+'Operating costs'!$B$53)^MAX(0,C669-1)),"n.a."))</f>
        <v>0</v>
      </c>
      <c r="H669" s="16">
        <f>IF(NOT(Paths!$C$67=1),0,IF(Paths!$P$67="Complete",F669/12*(Paths!$L$67*(1+IF(Paths!$D$67="EV",'Operating costs'!$B$52,'Operating costs'!$B$51))^MAX(0,C669-1)+Paths!$M$67*(1+'Operating costs'!$B$53)^MAX(0,C669-1)),"n.a."))</f>
        <v>0</v>
      </c>
      <c r="I669" s="16">
        <f>IF(NOT(Paths!$C$67=1),0,IF(Paths!$P$67="Complete",IF(IF(Paths!$E$67=0,C669=0,AND(C669&gt;0,Paths!$E$67&gt;(C669-1)*12,Paths!$E$67&lt;=C669*12)),Paths!$G$67,0),"n.a."))</f>
        <v>0</v>
      </c>
      <c r="J669" s="16">
        <f>IF(NOT(Paths!$C$67=1),0,IF(Paths!$P$67="Complete",IF(IF(Paths!$E$67=0,C669=0,AND(C669&gt;0,Paths!$E$67&gt;(C669-1)*12,Paths!$E$67&lt;=C669*12)),Paths!$H$67,0),"n.a."))</f>
        <v>0</v>
      </c>
      <c r="K669" s="16">
        <f>IF(NOT(Paths!$C$67=1),0,IF(Paths!$P$67="Complete",IF(IF(Paths!$O$67=0,C669=0,AND(C669&gt;0,Paths!$O$67&gt;(C669-1)*12,Paths!$O$67&lt;=C669*12)),Paths!$N$67,0),"n.a."))</f>
        <v>0</v>
      </c>
      <c r="L669" s="16">
        <f>IF(NOT(Paths!$C$67=1),0,IF(Paths!$P$67="Complete",IF(C669=10,Paths!$I$67,0),"n.a."))</f>
        <v>0</v>
      </c>
      <c r="M669" s="16">
        <f>IF(NOT(Paths!$C$67=1),0,IF(Paths!$P$67="Complete",IF(AND(Paths!$D$67="EV",Paths!$E$67&lt;120,Paths!$E$67+'Operating costs'!$B$65&gt;Paths!$E$67,Paths!$E$67+'Operating costs'!$B$65&lt;=120,IF(Paths!$E$67+'Operating costs'!$B$65=0,C669=0,AND(C669&gt;0,Paths!$E$67+'Operating costs'!$B$65&gt;(C669-1)*12,Paths!$E$67+'Operating costs'!$B$65&lt;=C669*12))),'Operating costs'!$B$64,0)+IF(AND('Operating costs'!$B$67&gt;0,'Operating costs'!$B$67&lt;=120,OR(Paths!$D$67="ICE",'Operating costs'!$B$67&lt;=Paths!$E$67),IF('Operating costs'!$B$67=0,C669=0,AND(C669&gt;0,'Operating costs'!$B$67&gt;(C669-1)*12,'Operating costs'!$B$67&lt;=C669*12))),'Operating costs'!$B$66,0),"n.a."))</f>
        <v>0</v>
      </c>
      <c r="N669" s="16">
        <f>IF(NOT(Paths!$C$67=1),0,IF(Paths!$P$67="Complete",SUM(G669:I669)-J669-K669-L669+M669+IF(C669=0,Paths!$F$67,0)+IF(IF(Paths!$E$67=0,C669=0,AND(C669&gt;0,Paths!$E$67&gt;(C669-1)*12,Paths!$E$67&lt;=C669*12)),VLOOKUP(A669,'Fleet register'!$A$7:$S$106,16,FALSE),0),"n.a."))</f>
        <v>0</v>
      </c>
      <c r="O669" s="16">
        <f>IF(NOT(Paths!$C$67=1),0,IF(Paths!$P$67="Complete",N669-IF(C669=0,Paths!$F$67,0),"n.a."))</f>
        <v>0</v>
      </c>
      <c r="P669" s="16">
        <f>IF(NOT(Paths!$C$67=1),0,IF(Paths!$P$67="Complete",O669+L669,"n.a."))</f>
        <v>0</v>
      </c>
      <c r="Q669" s="16">
        <f>IF(NOT(Paths!$C$67=1),0,IF(Paths!$P$67="Complete",N669*(1+'Operating costs'!$B$54)^-C669,"n.a."))</f>
        <v>0</v>
      </c>
      <c r="R669" s="16">
        <f>IF(NOT(Paths!$C$67=1),0,IF(Paths!$P$67="Complete",IF(AND(C669=0,Paths!$E$67=0),I669-J669-K669+VLOOKUP(A669,'Fleet register'!$A$7:$S$106,15,FALSE)+VLOOKUP(A669,'Fleet register'!$A$7:$S$106,16,FALSE),0),"n.a."))</f>
        <v>0</v>
      </c>
      <c r="S669" s="1">
        <f>IF(NOT(Paths!$C$67=1),0,IF(Paths!$P$67="Complete",IF(C669=0,0,Paths!$S$67*Paths!$R$67),"n.a."))</f>
        <v>0</v>
      </c>
      <c r="T669" s="1">
        <f>IF(NOT(Paths!$C$67=1),0,IF(Paths!$P$67="Complete",IF(C669=0,0,VLOOKUP(A669,'Fleet register'!$A$7:$S$106,9,FALSE)*Paths!$R$67),"n.a."))</f>
        <v>0</v>
      </c>
    </row>
    <row r="670" spans="1:20" ht="24" customHeight="1">
      <c r="A670" s="1" t="str">
        <f>Paths!$A$67</f>
        <v>T016</v>
      </c>
      <c r="B670" s="1">
        <f>Paths!$B$67</f>
        <v>0</v>
      </c>
      <c r="C670" s="1">
        <v>3</v>
      </c>
      <c r="D670" s="1">
        <v>67</v>
      </c>
      <c r="E670" s="1">
        <f>IF(OR(Paths!$C$67=0,C670=0),0,MAX(0,MIN(C670*12,Paths!$E$67)-(C670-1)*12))</f>
        <v>0</v>
      </c>
      <c r="F670" s="1">
        <f>IF(OR(Paths!$C$67=0,C670=0),0,12-E670)</f>
        <v>0</v>
      </c>
      <c r="G670" s="16">
        <f>IF(NOT(Paths!$C$67=1),0,IF(Paths!$P$67="Complete",E670/12*(Paths!$J$67*(1+'Operating costs'!$B$51)^MAX(0,C670-1)+Paths!$K$67*(1+'Operating costs'!$B$53)^MAX(0,C670-1)),"n.a."))</f>
        <v>0</v>
      </c>
      <c r="H670" s="16">
        <f>IF(NOT(Paths!$C$67=1),0,IF(Paths!$P$67="Complete",F670/12*(Paths!$L$67*(1+IF(Paths!$D$67="EV",'Operating costs'!$B$52,'Operating costs'!$B$51))^MAX(0,C670-1)+Paths!$M$67*(1+'Operating costs'!$B$53)^MAX(0,C670-1)),"n.a."))</f>
        <v>0</v>
      </c>
      <c r="I670" s="16">
        <f>IF(NOT(Paths!$C$67=1),0,IF(Paths!$P$67="Complete",IF(IF(Paths!$E$67=0,C670=0,AND(C670&gt;0,Paths!$E$67&gt;(C670-1)*12,Paths!$E$67&lt;=C670*12)),Paths!$G$67,0),"n.a."))</f>
        <v>0</v>
      </c>
      <c r="J670" s="16">
        <f>IF(NOT(Paths!$C$67=1),0,IF(Paths!$P$67="Complete",IF(IF(Paths!$E$67=0,C670=0,AND(C670&gt;0,Paths!$E$67&gt;(C670-1)*12,Paths!$E$67&lt;=C670*12)),Paths!$H$67,0),"n.a."))</f>
        <v>0</v>
      </c>
      <c r="K670" s="16">
        <f>IF(NOT(Paths!$C$67=1),0,IF(Paths!$P$67="Complete",IF(IF(Paths!$O$67=0,C670=0,AND(C670&gt;0,Paths!$O$67&gt;(C670-1)*12,Paths!$O$67&lt;=C670*12)),Paths!$N$67,0),"n.a."))</f>
        <v>0</v>
      </c>
      <c r="L670" s="16">
        <f>IF(NOT(Paths!$C$67=1),0,IF(Paths!$P$67="Complete",IF(C670=10,Paths!$I$67,0),"n.a."))</f>
        <v>0</v>
      </c>
      <c r="M670" s="16">
        <f>IF(NOT(Paths!$C$67=1),0,IF(Paths!$P$67="Complete",IF(AND(Paths!$D$67="EV",Paths!$E$67&lt;120,Paths!$E$67+'Operating costs'!$B$65&gt;Paths!$E$67,Paths!$E$67+'Operating costs'!$B$65&lt;=120,IF(Paths!$E$67+'Operating costs'!$B$65=0,C670=0,AND(C670&gt;0,Paths!$E$67+'Operating costs'!$B$65&gt;(C670-1)*12,Paths!$E$67+'Operating costs'!$B$65&lt;=C670*12))),'Operating costs'!$B$64,0)+IF(AND('Operating costs'!$B$67&gt;0,'Operating costs'!$B$67&lt;=120,OR(Paths!$D$67="ICE",'Operating costs'!$B$67&lt;=Paths!$E$67),IF('Operating costs'!$B$67=0,C670=0,AND(C670&gt;0,'Operating costs'!$B$67&gt;(C670-1)*12,'Operating costs'!$B$67&lt;=C670*12))),'Operating costs'!$B$66,0),"n.a."))</f>
        <v>0</v>
      </c>
      <c r="N670" s="16">
        <f>IF(NOT(Paths!$C$67=1),0,IF(Paths!$P$67="Complete",SUM(G670:I670)-J670-K670-L670+M670+IF(C670=0,Paths!$F$67,0)+IF(IF(Paths!$E$67=0,C670=0,AND(C670&gt;0,Paths!$E$67&gt;(C670-1)*12,Paths!$E$67&lt;=C670*12)),VLOOKUP(A670,'Fleet register'!$A$7:$S$106,16,FALSE),0),"n.a."))</f>
        <v>0</v>
      </c>
      <c r="O670" s="16">
        <f>IF(NOT(Paths!$C$67=1),0,IF(Paths!$P$67="Complete",N670-IF(C670=0,Paths!$F$67,0),"n.a."))</f>
        <v>0</v>
      </c>
      <c r="P670" s="16">
        <f>IF(NOT(Paths!$C$67=1),0,IF(Paths!$P$67="Complete",O670+L670,"n.a."))</f>
        <v>0</v>
      </c>
      <c r="Q670" s="16">
        <f>IF(NOT(Paths!$C$67=1),0,IF(Paths!$P$67="Complete",N670*(1+'Operating costs'!$B$54)^-C670,"n.a."))</f>
        <v>0</v>
      </c>
      <c r="R670" s="16">
        <f>IF(NOT(Paths!$C$67=1),0,IF(Paths!$P$67="Complete",IF(AND(C670=0,Paths!$E$67=0),I670-J670-K670+VLOOKUP(A670,'Fleet register'!$A$7:$S$106,15,FALSE)+VLOOKUP(A670,'Fleet register'!$A$7:$S$106,16,FALSE),0),"n.a."))</f>
        <v>0</v>
      </c>
      <c r="S670" s="1">
        <f>IF(NOT(Paths!$C$67=1),0,IF(Paths!$P$67="Complete",IF(C670=0,0,Paths!$S$67*Paths!$R$67),"n.a."))</f>
        <v>0</v>
      </c>
      <c r="T670" s="1">
        <f>IF(NOT(Paths!$C$67=1),0,IF(Paths!$P$67="Complete",IF(C670=0,0,VLOOKUP(A670,'Fleet register'!$A$7:$S$106,9,FALSE)*Paths!$R$67),"n.a."))</f>
        <v>0</v>
      </c>
    </row>
    <row r="671" spans="1:20" ht="24" customHeight="1">
      <c r="A671" s="1" t="str">
        <f>Paths!$A$67</f>
        <v>T016</v>
      </c>
      <c r="B671" s="1">
        <f>Paths!$B$67</f>
        <v>0</v>
      </c>
      <c r="C671" s="1">
        <v>4</v>
      </c>
      <c r="D671" s="1">
        <v>67</v>
      </c>
      <c r="E671" s="1">
        <f>IF(OR(Paths!$C$67=0,C671=0),0,MAX(0,MIN(C671*12,Paths!$E$67)-(C671-1)*12))</f>
        <v>0</v>
      </c>
      <c r="F671" s="1">
        <f>IF(OR(Paths!$C$67=0,C671=0),0,12-E671)</f>
        <v>0</v>
      </c>
      <c r="G671" s="16">
        <f>IF(NOT(Paths!$C$67=1),0,IF(Paths!$P$67="Complete",E671/12*(Paths!$J$67*(1+'Operating costs'!$B$51)^MAX(0,C671-1)+Paths!$K$67*(1+'Operating costs'!$B$53)^MAX(0,C671-1)),"n.a."))</f>
        <v>0</v>
      </c>
      <c r="H671" s="16">
        <f>IF(NOT(Paths!$C$67=1),0,IF(Paths!$P$67="Complete",F671/12*(Paths!$L$67*(1+IF(Paths!$D$67="EV",'Operating costs'!$B$52,'Operating costs'!$B$51))^MAX(0,C671-1)+Paths!$M$67*(1+'Operating costs'!$B$53)^MAX(0,C671-1)),"n.a."))</f>
        <v>0</v>
      </c>
      <c r="I671" s="16">
        <f>IF(NOT(Paths!$C$67=1),0,IF(Paths!$P$67="Complete",IF(IF(Paths!$E$67=0,C671=0,AND(C671&gt;0,Paths!$E$67&gt;(C671-1)*12,Paths!$E$67&lt;=C671*12)),Paths!$G$67,0),"n.a."))</f>
        <v>0</v>
      </c>
      <c r="J671" s="16">
        <f>IF(NOT(Paths!$C$67=1),0,IF(Paths!$P$67="Complete",IF(IF(Paths!$E$67=0,C671=0,AND(C671&gt;0,Paths!$E$67&gt;(C671-1)*12,Paths!$E$67&lt;=C671*12)),Paths!$H$67,0),"n.a."))</f>
        <v>0</v>
      </c>
      <c r="K671" s="16">
        <f>IF(NOT(Paths!$C$67=1),0,IF(Paths!$P$67="Complete",IF(IF(Paths!$O$67=0,C671=0,AND(C671&gt;0,Paths!$O$67&gt;(C671-1)*12,Paths!$O$67&lt;=C671*12)),Paths!$N$67,0),"n.a."))</f>
        <v>0</v>
      </c>
      <c r="L671" s="16">
        <f>IF(NOT(Paths!$C$67=1),0,IF(Paths!$P$67="Complete",IF(C671=10,Paths!$I$67,0),"n.a."))</f>
        <v>0</v>
      </c>
      <c r="M671" s="16">
        <f>IF(NOT(Paths!$C$67=1),0,IF(Paths!$P$67="Complete",IF(AND(Paths!$D$67="EV",Paths!$E$67&lt;120,Paths!$E$67+'Operating costs'!$B$65&gt;Paths!$E$67,Paths!$E$67+'Operating costs'!$B$65&lt;=120,IF(Paths!$E$67+'Operating costs'!$B$65=0,C671=0,AND(C671&gt;0,Paths!$E$67+'Operating costs'!$B$65&gt;(C671-1)*12,Paths!$E$67+'Operating costs'!$B$65&lt;=C671*12))),'Operating costs'!$B$64,0)+IF(AND('Operating costs'!$B$67&gt;0,'Operating costs'!$B$67&lt;=120,OR(Paths!$D$67="ICE",'Operating costs'!$B$67&lt;=Paths!$E$67),IF('Operating costs'!$B$67=0,C671=0,AND(C671&gt;0,'Operating costs'!$B$67&gt;(C671-1)*12,'Operating costs'!$B$67&lt;=C671*12))),'Operating costs'!$B$66,0),"n.a."))</f>
        <v>0</v>
      </c>
      <c r="N671" s="16">
        <f>IF(NOT(Paths!$C$67=1),0,IF(Paths!$P$67="Complete",SUM(G671:I671)-J671-K671-L671+M671+IF(C671=0,Paths!$F$67,0)+IF(IF(Paths!$E$67=0,C671=0,AND(C671&gt;0,Paths!$E$67&gt;(C671-1)*12,Paths!$E$67&lt;=C671*12)),VLOOKUP(A671,'Fleet register'!$A$7:$S$106,16,FALSE),0),"n.a."))</f>
        <v>0</v>
      </c>
      <c r="O671" s="16">
        <f>IF(NOT(Paths!$C$67=1),0,IF(Paths!$P$67="Complete",N671-IF(C671=0,Paths!$F$67,0),"n.a."))</f>
        <v>0</v>
      </c>
      <c r="P671" s="16">
        <f>IF(NOT(Paths!$C$67=1),0,IF(Paths!$P$67="Complete",O671+L671,"n.a."))</f>
        <v>0</v>
      </c>
      <c r="Q671" s="16">
        <f>IF(NOT(Paths!$C$67=1),0,IF(Paths!$P$67="Complete",N671*(1+'Operating costs'!$B$54)^-C671,"n.a."))</f>
        <v>0</v>
      </c>
      <c r="R671" s="16">
        <f>IF(NOT(Paths!$C$67=1),0,IF(Paths!$P$67="Complete",IF(AND(C671=0,Paths!$E$67=0),I671-J671-K671+VLOOKUP(A671,'Fleet register'!$A$7:$S$106,15,FALSE)+VLOOKUP(A671,'Fleet register'!$A$7:$S$106,16,FALSE),0),"n.a."))</f>
        <v>0</v>
      </c>
      <c r="S671" s="1">
        <f>IF(NOT(Paths!$C$67=1),0,IF(Paths!$P$67="Complete",IF(C671=0,0,Paths!$S$67*Paths!$R$67),"n.a."))</f>
        <v>0</v>
      </c>
      <c r="T671" s="1">
        <f>IF(NOT(Paths!$C$67=1),0,IF(Paths!$P$67="Complete",IF(C671=0,0,VLOOKUP(A671,'Fleet register'!$A$7:$S$106,9,FALSE)*Paths!$R$67),"n.a."))</f>
        <v>0</v>
      </c>
    </row>
    <row r="672" spans="1:20" ht="24" customHeight="1">
      <c r="A672" s="1" t="str">
        <f>Paths!$A$67</f>
        <v>T016</v>
      </c>
      <c r="B672" s="1">
        <f>Paths!$B$67</f>
        <v>0</v>
      </c>
      <c r="C672" s="1">
        <v>5</v>
      </c>
      <c r="D672" s="1">
        <v>67</v>
      </c>
      <c r="E672" s="1">
        <f>IF(OR(Paths!$C$67=0,C672=0),0,MAX(0,MIN(C672*12,Paths!$E$67)-(C672-1)*12))</f>
        <v>0</v>
      </c>
      <c r="F672" s="1">
        <f>IF(OR(Paths!$C$67=0,C672=0),0,12-E672)</f>
        <v>0</v>
      </c>
      <c r="G672" s="16">
        <f>IF(NOT(Paths!$C$67=1),0,IF(Paths!$P$67="Complete",E672/12*(Paths!$J$67*(1+'Operating costs'!$B$51)^MAX(0,C672-1)+Paths!$K$67*(1+'Operating costs'!$B$53)^MAX(0,C672-1)),"n.a."))</f>
        <v>0</v>
      </c>
      <c r="H672" s="16">
        <f>IF(NOT(Paths!$C$67=1),0,IF(Paths!$P$67="Complete",F672/12*(Paths!$L$67*(1+IF(Paths!$D$67="EV",'Operating costs'!$B$52,'Operating costs'!$B$51))^MAX(0,C672-1)+Paths!$M$67*(1+'Operating costs'!$B$53)^MAX(0,C672-1)),"n.a."))</f>
        <v>0</v>
      </c>
      <c r="I672" s="16">
        <f>IF(NOT(Paths!$C$67=1),0,IF(Paths!$P$67="Complete",IF(IF(Paths!$E$67=0,C672=0,AND(C672&gt;0,Paths!$E$67&gt;(C672-1)*12,Paths!$E$67&lt;=C672*12)),Paths!$G$67,0),"n.a."))</f>
        <v>0</v>
      </c>
      <c r="J672" s="16">
        <f>IF(NOT(Paths!$C$67=1),0,IF(Paths!$P$67="Complete",IF(IF(Paths!$E$67=0,C672=0,AND(C672&gt;0,Paths!$E$67&gt;(C672-1)*12,Paths!$E$67&lt;=C672*12)),Paths!$H$67,0),"n.a."))</f>
        <v>0</v>
      </c>
      <c r="K672" s="16">
        <f>IF(NOT(Paths!$C$67=1),0,IF(Paths!$P$67="Complete",IF(IF(Paths!$O$67=0,C672=0,AND(C672&gt;0,Paths!$O$67&gt;(C672-1)*12,Paths!$O$67&lt;=C672*12)),Paths!$N$67,0),"n.a."))</f>
        <v>0</v>
      </c>
      <c r="L672" s="16">
        <f>IF(NOT(Paths!$C$67=1),0,IF(Paths!$P$67="Complete",IF(C672=10,Paths!$I$67,0),"n.a."))</f>
        <v>0</v>
      </c>
      <c r="M672" s="16">
        <f>IF(NOT(Paths!$C$67=1),0,IF(Paths!$P$67="Complete",IF(AND(Paths!$D$67="EV",Paths!$E$67&lt;120,Paths!$E$67+'Operating costs'!$B$65&gt;Paths!$E$67,Paths!$E$67+'Operating costs'!$B$65&lt;=120,IF(Paths!$E$67+'Operating costs'!$B$65=0,C672=0,AND(C672&gt;0,Paths!$E$67+'Operating costs'!$B$65&gt;(C672-1)*12,Paths!$E$67+'Operating costs'!$B$65&lt;=C672*12))),'Operating costs'!$B$64,0)+IF(AND('Operating costs'!$B$67&gt;0,'Operating costs'!$B$67&lt;=120,OR(Paths!$D$67="ICE",'Operating costs'!$B$67&lt;=Paths!$E$67),IF('Operating costs'!$B$67=0,C672=0,AND(C672&gt;0,'Operating costs'!$B$67&gt;(C672-1)*12,'Operating costs'!$B$67&lt;=C672*12))),'Operating costs'!$B$66,0),"n.a."))</f>
        <v>0</v>
      </c>
      <c r="N672" s="16">
        <f>IF(NOT(Paths!$C$67=1),0,IF(Paths!$P$67="Complete",SUM(G672:I672)-J672-K672-L672+M672+IF(C672=0,Paths!$F$67,0)+IF(IF(Paths!$E$67=0,C672=0,AND(C672&gt;0,Paths!$E$67&gt;(C672-1)*12,Paths!$E$67&lt;=C672*12)),VLOOKUP(A672,'Fleet register'!$A$7:$S$106,16,FALSE),0),"n.a."))</f>
        <v>0</v>
      </c>
      <c r="O672" s="16">
        <f>IF(NOT(Paths!$C$67=1),0,IF(Paths!$P$67="Complete",N672-IF(C672=0,Paths!$F$67,0),"n.a."))</f>
        <v>0</v>
      </c>
      <c r="P672" s="16">
        <f>IF(NOT(Paths!$C$67=1),0,IF(Paths!$P$67="Complete",O672+L672,"n.a."))</f>
        <v>0</v>
      </c>
      <c r="Q672" s="16">
        <f>IF(NOT(Paths!$C$67=1),0,IF(Paths!$P$67="Complete",N672*(1+'Operating costs'!$B$54)^-C672,"n.a."))</f>
        <v>0</v>
      </c>
      <c r="R672" s="16">
        <f>IF(NOT(Paths!$C$67=1),0,IF(Paths!$P$67="Complete",IF(AND(C672=0,Paths!$E$67=0),I672-J672-K672+VLOOKUP(A672,'Fleet register'!$A$7:$S$106,15,FALSE)+VLOOKUP(A672,'Fleet register'!$A$7:$S$106,16,FALSE),0),"n.a."))</f>
        <v>0</v>
      </c>
      <c r="S672" s="1">
        <f>IF(NOT(Paths!$C$67=1),0,IF(Paths!$P$67="Complete",IF(C672=0,0,Paths!$S$67*Paths!$R$67),"n.a."))</f>
        <v>0</v>
      </c>
      <c r="T672" s="1">
        <f>IF(NOT(Paths!$C$67=1),0,IF(Paths!$P$67="Complete",IF(C672=0,0,VLOOKUP(A672,'Fleet register'!$A$7:$S$106,9,FALSE)*Paths!$R$67),"n.a."))</f>
        <v>0</v>
      </c>
    </row>
    <row r="673" spans="1:20" ht="24" customHeight="1">
      <c r="A673" s="1" t="str">
        <f>Paths!$A$67</f>
        <v>T016</v>
      </c>
      <c r="B673" s="1">
        <f>Paths!$B$67</f>
        <v>0</v>
      </c>
      <c r="C673" s="1">
        <v>6</v>
      </c>
      <c r="D673" s="1">
        <v>67</v>
      </c>
      <c r="E673" s="1">
        <f>IF(OR(Paths!$C$67=0,C673=0),0,MAX(0,MIN(C673*12,Paths!$E$67)-(C673-1)*12))</f>
        <v>0</v>
      </c>
      <c r="F673" s="1">
        <f>IF(OR(Paths!$C$67=0,C673=0),0,12-E673)</f>
        <v>0</v>
      </c>
      <c r="G673" s="16">
        <f>IF(NOT(Paths!$C$67=1),0,IF(Paths!$P$67="Complete",E673/12*(Paths!$J$67*(1+'Operating costs'!$B$51)^MAX(0,C673-1)+Paths!$K$67*(1+'Operating costs'!$B$53)^MAX(0,C673-1)),"n.a."))</f>
        <v>0</v>
      </c>
      <c r="H673" s="16">
        <f>IF(NOT(Paths!$C$67=1),0,IF(Paths!$P$67="Complete",F673/12*(Paths!$L$67*(1+IF(Paths!$D$67="EV",'Operating costs'!$B$52,'Operating costs'!$B$51))^MAX(0,C673-1)+Paths!$M$67*(1+'Operating costs'!$B$53)^MAX(0,C673-1)),"n.a."))</f>
        <v>0</v>
      </c>
      <c r="I673" s="16">
        <f>IF(NOT(Paths!$C$67=1),0,IF(Paths!$P$67="Complete",IF(IF(Paths!$E$67=0,C673=0,AND(C673&gt;0,Paths!$E$67&gt;(C673-1)*12,Paths!$E$67&lt;=C673*12)),Paths!$G$67,0),"n.a."))</f>
        <v>0</v>
      </c>
      <c r="J673" s="16">
        <f>IF(NOT(Paths!$C$67=1),0,IF(Paths!$P$67="Complete",IF(IF(Paths!$E$67=0,C673=0,AND(C673&gt;0,Paths!$E$67&gt;(C673-1)*12,Paths!$E$67&lt;=C673*12)),Paths!$H$67,0),"n.a."))</f>
        <v>0</v>
      </c>
      <c r="K673" s="16">
        <f>IF(NOT(Paths!$C$67=1),0,IF(Paths!$P$67="Complete",IF(IF(Paths!$O$67=0,C673=0,AND(C673&gt;0,Paths!$O$67&gt;(C673-1)*12,Paths!$O$67&lt;=C673*12)),Paths!$N$67,0),"n.a."))</f>
        <v>0</v>
      </c>
      <c r="L673" s="16">
        <f>IF(NOT(Paths!$C$67=1),0,IF(Paths!$P$67="Complete",IF(C673=10,Paths!$I$67,0),"n.a."))</f>
        <v>0</v>
      </c>
      <c r="M673" s="16">
        <f>IF(NOT(Paths!$C$67=1),0,IF(Paths!$P$67="Complete",IF(AND(Paths!$D$67="EV",Paths!$E$67&lt;120,Paths!$E$67+'Operating costs'!$B$65&gt;Paths!$E$67,Paths!$E$67+'Operating costs'!$B$65&lt;=120,IF(Paths!$E$67+'Operating costs'!$B$65=0,C673=0,AND(C673&gt;0,Paths!$E$67+'Operating costs'!$B$65&gt;(C673-1)*12,Paths!$E$67+'Operating costs'!$B$65&lt;=C673*12))),'Operating costs'!$B$64,0)+IF(AND('Operating costs'!$B$67&gt;0,'Operating costs'!$B$67&lt;=120,OR(Paths!$D$67="ICE",'Operating costs'!$B$67&lt;=Paths!$E$67),IF('Operating costs'!$B$67=0,C673=0,AND(C673&gt;0,'Operating costs'!$B$67&gt;(C673-1)*12,'Operating costs'!$B$67&lt;=C673*12))),'Operating costs'!$B$66,0),"n.a."))</f>
        <v>0</v>
      </c>
      <c r="N673" s="16">
        <f>IF(NOT(Paths!$C$67=1),0,IF(Paths!$P$67="Complete",SUM(G673:I673)-J673-K673-L673+M673+IF(C673=0,Paths!$F$67,0)+IF(IF(Paths!$E$67=0,C673=0,AND(C673&gt;0,Paths!$E$67&gt;(C673-1)*12,Paths!$E$67&lt;=C673*12)),VLOOKUP(A673,'Fleet register'!$A$7:$S$106,16,FALSE),0),"n.a."))</f>
        <v>0</v>
      </c>
      <c r="O673" s="16">
        <f>IF(NOT(Paths!$C$67=1),0,IF(Paths!$P$67="Complete",N673-IF(C673=0,Paths!$F$67,0),"n.a."))</f>
        <v>0</v>
      </c>
      <c r="P673" s="16">
        <f>IF(NOT(Paths!$C$67=1),0,IF(Paths!$P$67="Complete",O673+L673,"n.a."))</f>
        <v>0</v>
      </c>
      <c r="Q673" s="16">
        <f>IF(NOT(Paths!$C$67=1),0,IF(Paths!$P$67="Complete",N673*(1+'Operating costs'!$B$54)^-C673,"n.a."))</f>
        <v>0</v>
      </c>
      <c r="R673" s="16">
        <f>IF(NOT(Paths!$C$67=1),0,IF(Paths!$P$67="Complete",IF(AND(C673=0,Paths!$E$67=0),I673-J673-K673+VLOOKUP(A673,'Fleet register'!$A$7:$S$106,15,FALSE)+VLOOKUP(A673,'Fleet register'!$A$7:$S$106,16,FALSE),0),"n.a."))</f>
        <v>0</v>
      </c>
      <c r="S673" s="1">
        <f>IF(NOT(Paths!$C$67=1),0,IF(Paths!$P$67="Complete",IF(C673=0,0,Paths!$S$67*Paths!$R$67),"n.a."))</f>
        <v>0</v>
      </c>
      <c r="T673" s="1">
        <f>IF(NOT(Paths!$C$67=1),0,IF(Paths!$P$67="Complete",IF(C673=0,0,VLOOKUP(A673,'Fleet register'!$A$7:$S$106,9,FALSE)*Paths!$R$67),"n.a."))</f>
        <v>0</v>
      </c>
    </row>
    <row r="674" spans="1:20" ht="24" customHeight="1">
      <c r="A674" s="1" t="str">
        <f>Paths!$A$67</f>
        <v>T016</v>
      </c>
      <c r="B674" s="1">
        <f>Paths!$B$67</f>
        <v>0</v>
      </c>
      <c r="C674" s="1">
        <v>7</v>
      </c>
      <c r="D674" s="1">
        <v>67</v>
      </c>
      <c r="E674" s="1">
        <f>IF(OR(Paths!$C$67=0,C674=0),0,MAX(0,MIN(C674*12,Paths!$E$67)-(C674-1)*12))</f>
        <v>0</v>
      </c>
      <c r="F674" s="1">
        <f>IF(OR(Paths!$C$67=0,C674=0),0,12-E674)</f>
        <v>0</v>
      </c>
      <c r="G674" s="16">
        <f>IF(NOT(Paths!$C$67=1),0,IF(Paths!$P$67="Complete",E674/12*(Paths!$J$67*(1+'Operating costs'!$B$51)^MAX(0,C674-1)+Paths!$K$67*(1+'Operating costs'!$B$53)^MAX(0,C674-1)),"n.a."))</f>
        <v>0</v>
      </c>
      <c r="H674" s="16">
        <f>IF(NOT(Paths!$C$67=1),0,IF(Paths!$P$67="Complete",F674/12*(Paths!$L$67*(1+IF(Paths!$D$67="EV",'Operating costs'!$B$52,'Operating costs'!$B$51))^MAX(0,C674-1)+Paths!$M$67*(1+'Operating costs'!$B$53)^MAX(0,C674-1)),"n.a."))</f>
        <v>0</v>
      </c>
      <c r="I674" s="16">
        <f>IF(NOT(Paths!$C$67=1),0,IF(Paths!$P$67="Complete",IF(IF(Paths!$E$67=0,C674=0,AND(C674&gt;0,Paths!$E$67&gt;(C674-1)*12,Paths!$E$67&lt;=C674*12)),Paths!$G$67,0),"n.a."))</f>
        <v>0</v>
      </c>
      <c r="J674" s="16">
        <f>IF(NOT(Paths!$C$67=1),0,IF(Paths!$P$67="Complete",IF(IF(Paths!$E$67=0,C674=0,AND(C674&gt;0,Paths!$E$67&gt;(C674-1)*12,Paths!$E$67&lt;=C674*12)),Paths!$H$67,0),"n.a."))</f>
        <v>0</v>
      </c>
      <c r="K674" s="16">
        <f>IF(NOT(Paths!$C$67=1),0,IF(Paths!$P$67="Complete",IF(IF(Paths!$O$67=0,C674=0,AND(C674&gt;0,Paths!$O$67&gt;(C674-1)*12,Paths!$O$67&lt;=C674*12)),Paths!$N$67,0),"n.a."))</f>
        <v>0</v>
      </c>
      <c r="L674" s="16">
        <f>IF(NOT(Paths!$C$67=1),0,IF(Paths!$P$67="Complete",IF(C674=10,Paths!$I$67,0),"n.a."))</f>
        <v>0</v>
      </c>
      <c r="M674" s="16">
        <f>IF(NOT(Paths!$C$67=1),0,IF(Paths!$P$67="Complete",IF(AND(Paths!$D$67="EV",Paths!$E$67&lt;120,Paths!$E$67+'Operating costs'!$B$65&gt;Paths!$E$67,Paths!$E$67+'Operating costs'!$B$65&lt;=120,IF(Paths!$E$67+'Operating costs'!$B$65=0,C674=0,AND(C674&gt;0,Paths!$E$67+'Operating costs'!$B$65&gt;(C674-1)*12,Paths!$E$67+'Operating costs'!$B$65&lt;=C674*12))),'Operating costs'!$B$64,0)+IF(AND('Operating costs'!$B$67&gt;0,'Operating costs'!$B$67&lt;=120,OR(Paths!$D$67="ICE",'Operating costs'!$B$67&lt;=Paths!$E$67),IF('Operating costs'!$B$67=0,C674=0,AND(C674&gt;0,'Operating costs'!$B$67&gt;(C674-1)*12,'Operating costs'!$B$67&lt;=C674*12))),'Operating costs'!$B$66,0),"n.a."))</f>
        <v>0</v>
      </c>
      <c r="N674" s="16">
        <f>IF(NOT(Paths!$C$67=1),0,IF(Paths!$P$67="Complete",SUM(G674:I674)-J674-K674-L674+M674+IF(C674=0,Paths!$F$67,0)+IF(IF(Paths!$E$67=0,C674=0,AND(C674&gt;0,Paths!$E$67&gt;(C674-1)*12,Paths!$E$67&lt;=C674*12)),VLOOKUP(A674,'Fleet register'!$A$7:$S$106,16,FALSE),0),"n.a."))</f>
        <v>0</v>
      </c>
      <c r="O674" s="16">
        <f>IF(NOT(Paths!$C$67=1),0,IF(Paths!$P$67="Complete",N674-IF(C674=0,Paths!$F$67,0),"n.a."))</f>
        <v>0</v>
      </c>
      <c r="P674" s="16">
        <f>IF(NOT(Paths!$C$67=1),0,IF(Paths!$P$67="Complete",O674+L674,"n.a."))</f>
        <v>0</v>
      </c>
      <c r="Q674" s="16">
        <f>IF(NOT(Paths!$C$67=1),0,IF(Paths!$P$67="Complete",N674*(1+'Operating costs'!$B$54)^-C674,"n.a."))</f>
        <v>0</v>
      </c>
      <c r="R674" s="16">
        <f>IF(NOT(Paths!$C$67=1),0,IF(Paths!$P$67="Complete",IF(AND(C674=0,Paths!$E$67=0),I674-J674-K674+VLOOKUP(A674,'Fleet register'!$A$7:$S$106,15,FALSE)+VLOOKUP(A674,'Fleet register'!$A$7:$S$106,16,FALSE),0),"n.a."))</f>
        <v>0</v>
      </c>
      <c r="S674" s="1">
        <f>IF(NOT(Paths!$C$67=1),0,IF(Paths!$P$67="Complete",IF(C674=0,0,Paths!$S$67*Paths!$R$67),"n.a."))</f>
        <v>0</v>
      </c>
      <c r="T674" s="1">
        <f>IF(NOT(Paths!$C$67=1),0,IF(Paths!$P$67="Complete",IF(C674=0,0,VLOOKUP(A674,'Fleet register'!$A$7:$S$106,9,FALSE)*Paths!$R$67),"n.a."))</f>
        <v>0</v>
      </c>
    </row>
    <row r="675" spans="1:20" ht="24" customHeight="1">
      <c r="A675" s="1" t="str">
        <f>Paths!$A$67</f>
        <v>T016</v>
      </c>
      <c r="B675" s="1">
        <f>Paths!$B$67</f>
        <v>0</v>
      </c>
      <c r="C675" s="1">
        <v>8</v>
      </c>
      <c r="D675" s="1">
        <v>67</v>
      </c>
      <c r="E675" s="1">
        <f>IF(OR(Paths!$C$67=0,C675=0),0,MAX(0,MIN(C675*12,Paths!$E$67)-(C675-1)*12))</f>
        <v>0</v>
      </c>
      <c r="F675" s="1">
        <f>IF(OR(Paths!$C$67=0,C675=0),0,12-E675)</f>
        <v>0</v>
      </c>
      <c r="G675" s="16">
        <f>IF(NOT(Paths!$C$67=1),0,IF(Paths!$P$67="Complete",E675/12*(Paths!$J$67*(1+'Operating costs'!$B$51)^MAX(0,C675-1)+Paths!$K$67*(1+'Operating costs'!$B$53)^MAX(0,C675-1)),"n.a."))</f>
        <v>0</v>
      </c>
      <c r="H675" s="16">
        <f>IF(NOT(Paths!$C$67=1),0,IF(Paths!$P$67="Complete",F675/12*(Paths!$L$67*(1+IF(Paths!$D$67="EV",'Operating costs'!$B$52,'Operating costs'!$B$51))^MAX(0,C675-1)+Paths!$M$67*(1+'Operating costs'!$B$53)^MAX(0,C675-1)),"n.a."))</f>
        <v>0</v>
      </c>
      <c r="I675" s="16">
        <f>IF(NOT(Paths!$C$67=1),0,IF(Paths!$P$67="Complete",IF(IF(Paths!$E$67=0,C675=0,AND(C675&gt;0,Paths!$E$67&gt;(C675-1)*12,Paths!$E$67&lt;=C675*12)),Paths!$G$67,0),"n.a."))</f>
        <v>0</v>
      </c>
      <c r="J675" s="16">
        <f>IF(NOT(Paths!$C$67=1),0,IF(Paths!$P$67="Complete",IF(IF(Paths!$E$67=0,C675=0,AND(C675&gt;0,Paths!$E$67&gt;(C675-1)*12,Paths!$E$67&lt;=C675*12)),Paths!$H$67,0),"n.a."))</f>
        <v>0</v>
      </c>
      <c r="K675" s="16">
        <f>IF(NOT(Paths!$C$67=1),0,IF(Paths!$P$67="Complete",IF(IF(Paths!$O$67=0,C675=0,AND(C675&gt;0,Paths!$O$67&gt;(C675-1)*12,Paths!$O$67&lt;=C675*12)),Paths!$N$67,0),"n.a."))</f>
        <v>0</v>
      </c>
      <c r="L675" s="16">
        <f>IF(NOT(Paths!$C$67=1),0,IF(Paths!$P$67="Complete",IF(C675=10,Paths!$I$67,0),"n.a."))</f>
        <v>0</v>
      </c>
      <c r="M675" s="16">
        <f>IF(NOT(Paths!$C$67=1),0,IF(Paths!$P$67="Complete",IF(AND(Paths!$D$67="EV",Paths!$E$67&lt;120,Paths!$E$67+'Operating costs'!$B$65&gt;Paths!$E$67,Paths!$E$67+'Operating costs'!$B$65&lt;=120,IF(Paths!$E$67+'Operating costs'!$B$65=0,C675=0,AND(C675&gt;0,Paths!$E$67+'Operating costs'!$B$65&gt;(C675-1)*12,Paths!$E$67+'Operating costs'!$B$65&lt;=C675*12))),'Operating costs'!$B$64,0)+IF(AND('Operating costs'!$B$67&gt;0,'Operating costs'!$B$67&lt;=120,OR(Paths!$D$67="ICE",'Operating costs'!$B$67&lt;=Paths!$E$67),IF('Operating costs'!$B$67=0,C675=0,AND(C675&gt;0,'Operating costs'!$B$67&gt;(C675-1)*12,'Operating costs'!$B$67&lt;=C675*12))),'Operating costs'!$B$66,0),"n.a."))</f>
        <v>0</v>
      </c>
      <c r="N675" s="16">
        <f>IF(NOT(Paths!$C$67=1),0,IF(Paths!$P$67="Complete",SUM(G675:I675)-J675-K675-L675+M675+IF(C675=0,Paths!$F$67,0)+IF(IF(Paths!$E$67=0,C675=0,AND(C675&gt;0,Paths!$E$67&gt;(C675-1)*12,Paths!$E$67&lt;=C675*12)),VLOOKUP(A675,'Fleet register'!$A$7:$S$106,16,FALSE),0),"n.a."))</f>
        <v>0</v>
      </c>
      <c r="O675" s="16">
        <f>IF(NOT(Paths!$C$67=1),0,IF(Paths!$P$67="Complete",N675-IF(C675=0,Paths!$F$67,0),"n.a."))</f>
        <v>0</v>
      </c>
      <c r="P675" s="16">
        <f>IF(NOT(Paths!$C$67=1),0,IF(Paths!$P$67="Complete",O675+L675,"n.a."))</f>
        <v>0</v>
      </c>
      <c r="Q675" s="16">
        <f>IF(NOT(Paths!$C$67=1),0,IF(Paths!$P$67="Complete",N675*(1+'Operating costs'!$B$54)^-C675,"n.a."))</f>
        <v>0</v>
      </c>
      <c r="R675" s="16">
        <f>IF(NOT(Paths!$C$67=1),0,IF(Paths!$P$67="Complete",IF(AND(C675=0,Paths!$E$67=0),I675-J675-K675+VLOOKUP(A675,'Fleet register'!$A$7:$S$106,15,FALSE)+VLOOKUP(A675,'Fleet register'!$A$7:$S$106,16,FALSE),0),"n.a."))</f>
        <v>0</v>
      </c>
      <c r="S675" s="1">
        <f>IF(NOT(Paths!$C$67=1),0,IF(Paths!$P$67="Complete",IF(C675=0,0,Paths!$S$67*Paths!$R$67),"n.a."))</f>
        <v>0</v>
      </c>
      <c r="T675" s="1">
        <f>IF(NOT(Paths!$C$67=1),0,IF(Paths!$P$67="Complete",IF(C675=0,0,VLOOKUP(A675,'Fleet register'!$A$7:$S$106,9,FALSE)*Paths!$R$67),"n.a."))</f>
        <v>0</v>
      </c>
    </row>
    <row r="676" spans="1:20" ht="24" customHeight="1">
      <c r="A676" s="1" t="str">
        <f>Paths!$A$67</f>
        <v>T016</v>
      </c>
      <c r="B676" s="1">
        <f>Paths!$B$67</f>
        <v>0</v>
      </c>
      <c r="C676" s="1">
        <v>9</v>
      </c>
      <c r="D676" s="1">
        <v>67</v>
      </c>
      <c r="E676" s="1">
        <f>IF(OR(Paths!$C$67=0,C676=0),0,MAX(0,MIN(C676*12,Paths!$E$67)-(C676-1)*12))</f>
        <v>0</v>
      </c>
      <c r="F676" s="1">
        <f>IF(OR(Paths!$C$67=0,C676=0),0,12-E676)</f>
        <v>0</v>
      </c>
      <c r="G676" s="16">
        <f>IF(NOT(Paths!$C$67=1),0,IF(Paths!$P$67="Complete",E676/12*(Paths!$J$67*(1+'Operating costs'!$B$51)^MAX(0,C676-1)+Paths!$K$67*(1+'Operating costs'!$B$53)^MAX(0,C676-1)),"n.a."))</f>
        <v>0</v>
      </c>
      <c r="H676" s="16">
        <f>IF(NOT(Paths!$C$67=1),0,IF(Paths!$P$67="Complete",F676/12*(Paths!$L$67*(1+IF(Paths!$D$67="EV",'Operating costs'!$B$52,'Operating costs'!$B$51))^MAX(0,C676-1)+Paths!$M$67*(1+'Operating costs'!$B$53)^MAX(0,C676-1)),"n.a."))</f>
        <v>0</v>
      </c>
      <c r="I676" s="16">
        <f>IF(NOT(Paths!$C$67=1),0,IF(Paths!$P$67="Complete",IF(IF(Paths!$E$67=0,C676=0,AND(C676&gt;0,Paths!$E$67&gt;(C676-1)*12,Paths!$E$67&lt;=C676*12)),Paths!$G$67,0),"n.a."))</f>
        <v>0</v>
      </c>
      <c r="J676" s="16">
        <f>IF(NOT(Paths!$C$67=1),0,IF(Paths!$P$67="Complete",IF(IF(Paths!$E$67=0,C676=0,AND(C676&gt;0,Paths!$E$67&gt;(C676-1)*12,Paths!$E$67&lt;=C676*12)),Paths!$H$67,0),"n.a."))</f>
        <v>0</v>
      </c>
      <c r="K676" s="16">
        <f>IF(NOT(Paths!$C$67=1),0,IF(Paths!$P$67="Complete",IF(IF(Paths!$O$67=0,C676=0,AND(C676&gt;0,Paths!$O$67&gt;(C676-1)*12,Paths!$O$67&lt;=C676*12)),Paths!$N$67,0),"n.a."))</f>
        <v>0</v>
      </c>
      <c r="L676" s="16">
        <f>IF(NOT(Paths!$C$67=1),0,IF(Paths!$P$67="Complete",IF(C676=10,Paths!$I$67,0),"n.a."))</f>
        <v>0</v>
      </c>
      <c r="M676" s="16">
        <f>IF(NOT(Paths!$C$67=1),0,IF(Paths!$P$67="Complete",IF(AND(Paths!$D$67="EV",Paths!$E$67&lt;120,Paths!$E$67+'Operating costs'!$B$65&gt;Paths!$E$67,Paths!$E$67+'Operating costs'!$B$65&lt;=120,IF(Paths!$E$67+'Operating costs'!$B$65=0,C676=0,AND(C676&gt;0,Paths!$E$67+'Operating costs'!$B$65&gt;(C676-1)*12,Paths!$E$67+'Operating costs'!$B$65&lt;=C676*12))),'Operating costs'!$B$64,0)+IF(AND('Operating costs'!$B$67&gt;0,'Operating costs'!$B$67&lt;=120,OR(Paths!$D$67="ICE",'Operating costs'!$B$67&lt;=Paths!$E$67),IF('Operating costs'!$B$67=0,C676=0,AND(C676&gt;0,'Operating costs'!$B$67&gt;(C676-1)*12,'Operating costs'!$B$67&lt;=C676*12))),'Operating costs'!$B$66,0),"n.a."))</f>
        <v>0</v>
      </c>
      <c r="N676" s="16">
        <f>IF(NOT(Paths!$C$67=1),0,IF(Paths!$P$67="Complete",SUM(G676:I676)-J676-K676-L676+M676+IF(C676=0,Paths!$F$67,0)+IF(IF(Paths!$E$67=0,C676=0,AND(C676&gt;0,Paths!$E$67&gt;(C676-1)*12,Paths!$E$67&lt;=C676*12)),VLOOKUP(A676,'Fleet register'!$A$7:$S$106,16,FALSE),0),"n.a."))</f>
        <v>0</v>
      </c>
      <c r="O676" s="16">
        <f>IF(NOT(Paths!$C$67=1),0,IF(Paths!$P$67="Complete",N676-IF(C676=0,Paths!$F$67,0),"n.a."))</f>
        <v>0</v>
      </c>
      <c r="P676" s="16">
        <f>IF(NOT(Paths!$C$67=1),0,IF(Paths!$P$67="Complete",O676+L676,"n.a."))</f>
        <v>0</v>
      </c>
      <c r="Q676" s="16">
        <f>IF(NOT(Paths!$C$67=1),0,IF(Paths!$P$67="Complete",N676*(1+'Operating costs'!$B$54)^-C676,"n.a."))</f>
        <v>0</v>
      </c>
      <c r="R676" s="16">
        <f>IF(NOT(Paths!$C$67=1),0,IF(Paths!$P$67="Complete",IF(AND(C676=0,Paths!$E$67=0),I676-J676-K676+VLOOKUP(A676,'Fleet register'!$A$7:$S$106,15,FALSE)+VLOOKUP(A676,'Fleet register'!$A$7:$S$106,16,FALSE),0),"n.a."))</f>
        <v>0</v>
      </c>
      <c r="S676" s="1">
        <f>IF(NOT(Paths!$C$67=1),0,IF(Paths!$P$67="Complete",IF(C676=0,0,Paths!$S$67*Paths!$R$67),"n.a."))</f>
        <v>0</v>
      </c>
      <c r="T676" s="1">
        <f>IF(NOT(Paths!$C$67=1),0,IF(Paths!$P$67="Complete",IF(C676=0,0,VLOOKUP(A676,'Fleet register'!$A$7:$S$106,9,FALSE)*Paths!$R$67),"n.a."))</f>
        <v>0</v>
      </c>
    </row>
    <row r="677" spans="1:20" ht="24" customHeight="1">
      <c r="A677" s="1" t="str">
        <f>Paths!$A$67</f>
        <v>T016</v>
      </c>
      <c r="B677" s="1">
        <f>Paths!$B$67</f>
        <v>0</v>
      </c>
      <c r="C677" s="1">
        <v>10</v>
      </c>
      <c r="D677" s="1">
        <v>67</v>
      </c>
      <c r="E677" s="1">
        <f>IF(OR(Paths!$C$67=0,C677=0),0,MAX(0,MIN(C677*12,Paths!$E$67)-(C677-1)*12))</f>
        <v>0</v>
      </c>
      <c r="F677" s="1">
        <f>IF(OR(Paths!$C$67=0,C677=0),0,12-E677)</f>
        <v>0</v>
      </c>
      <c r="G677" s="16">
        <f>IF(NOT(Paths!$C$67=1),0,IF(Paths!$P$67="Complete",E677/12*(Paths!$J$67*(1+'Operating costs'!$B$51)^MAX(0,C677-1)+Paths!$K$67*(1+'Operating costs'!$B$53)^MAX(0,C677-1)),"n.a."))</f>
        <v>0</v>
      </c>
      <c r="H677" s="16">
        <f>IF(NOT(Paths!$C$67=1),0,IF(Paths!$P$67="Complete",F677/12*(Paths!$L$67*(1+IF(Paths!$D$67="EV",'Operating costs'!$B$52,'Operating costs'!$B$51))^MAX(0,C677-1)+Paths!$M$67*(1+'Operating costs'!$B$53)^MAX(0,C677-1)),"n.a."))</f>
        <v>0</v>
      </c>
      <c r="I677" s="16">
        <f>IF(NOT(Paths!$C$67=1),0,IF(Paths!$P$67="Complete",IF(IF(Paths!$E$67=0,C677=0,AND(C677&gt;0,Paths!$E$67&gt;(C677-1)*12,Paths!$E$67&lt;=C677*12)),Paths!$G$67,0),"n.a."))</f>
        <v>0</v>
      </c>
      <c r="J677" s="16">
        <f>IF(NOT(Paths!$C$67=1),0,IF(Paths!$P$67="Complete",IF(IF(Paths!$E$67=0,C677=0,AND(C677&gt;0,Paths!$E$67&gt;(C677-1)*12,Paths!$E$67&lt;=C677*12)),Paths!$H$67,0),"n.a."))</f>
        <v>0</v>
      </c>
      <c r="K677" s="16">
        <f>IF(NOT(Paths!$C$67=1),0,IF(Paths!$P$67="Complete",IF(IF(Paths!$O$67=0,C677=0,AND(C677&gt;0,Paths!$O$67&gt;(C677-1)*12,Paths!$O$67&lt;=C677*12)),Paths!$N$67,0),"n.a."))</f>
        <v>0</v>
      </c>
      <c r="L677" s="16">
        <f>IF(NOT(Paths!$C$67=1),0,IF(Paths!$P$67="Complete",IF(C677=10,Paths!$I$67,0),"n.a."))</f>
        <v>0</v>
      </c>
      <c r="M677" s="16">
        <f>IF(NOT(Paths!$C$67=1),0,IF(Paths!$P$67="Complete",IF(AND(Paths!$D$67="EV",Paths!$E$67&lt;120,Paths!$E$67+'Operating costs'!$B$65&gt;Paths!$E$67,Paths!$E$67+'Operating costs'!$B$65&lt;=120,IF(Paths!$E$67+'Operating costs'!$B$65=0,C677=0,AND(C677&gt;0,Paths!$E$67+'Operating costs'!$B$65&gt;(C677-1)*12,Paths!$E$67+'Operating costs'!$B$65&lt;=C677*12))),'Operating costs'!$B$64,0)+IF(AND('Operating costs'!$B$67&gt;0,'Operating costs'!$B$67&lt;=120,OR(Paths!$D$67="ICE",'Operating costs'!$B$67&lt;=Paths!$E$67),IF('Operating costs'!$B$67=0,C677=0,AND(C677&gt;0,'Operating costs'!$B$67&gt;(C677-1)*12,'Operating costs'!$B$67&lt;=C677*12))),'Operating costs'!$B$66,0),"n.a."))</f>
        <v>0</v>
      </c>
      <c r="N677" s="16">
        <f>IF(NOT(Paths!$C$67=1),0,IF(Paths!$P$67="Complete",SUM(G677:I677)-J677-K677-L677+M677+IF(C677=0,Paths!$F$67,0)+IF(IF(Paths!$E$67=0,C677=0,AND(C677&gt;0,Paths!$E$67&gt;(C677-1)*12,Paths!$E$67&lt;=C677*12)),VLOOKUP(A677,'Fleet register'!$A$7:$S$106,16,FALSE),0),"n.a."))</f>
        <v>0</v>
      </c>
      <c r="O677" s="16">
        <f>IF(NOT(Paths!$C$67=1),0,IF(Paths!$P$67="Complete",N677-IF(C677=0,Paths!$F$67,0),"n.a."))</f>
        <v>0</v>
      </c>
      <c r="P677" s="16">
        <f>IF(NOT(Paths!$C$67=1),0,IF(Paths!$P$67="Complete",O677+L677,"n.a."))</f>
        <v>0</v>
      </c>
      <c r="Q677" s="16">
        <f>IF(NOT(Paths!$C$67=1),0,IF(Paths!$P$67="Complete",N677*(1+'Operating costs'!$B$54)^-C677,"n.a."))</f>
        <v>0</v>
      </c>
      <c r="R677" s="16">
        <f>IF(NOT(Paths!$C$67=1),0,IF(Paths!$P$67="Complete",IF(AND(C677=0,Paths!$E$67=0),I677-J677-K677+VLOOKUP(A677,'Fleet register'!$A$7:$S$106,15,FALSE)+VLOOKUP(A677,'Fleet register'!$A$7:$S$106,16,FALSE),0),"n.a."))</f>
        <v>0</v>
      </c>
      <c r="S677" s="1">
        <f>IF(NOT(Paths!$C$67=1),0,IF(Paths!$P$67="Complete",IF(C677=0,0,Paths!$S$67*Paths!$R$67),"n.a."))</f>
        <v>0</v>
      </c>
      <c r="T677" s="1">
        <f>IF(NOT(Paths!$C$67=1),0,IF(Paths!$P$67="Complete",IF(C677=0,0,VLOOKUP(A677,'Fleet register'!$A$7:$S$106,9,FALSE)*Paths!$R$67),"n.a."))</f>
        <v>0</v>
      </c>
    </row>
    <row r="678" spans="1:20" ht="24" customHeight="1">
      <c r="A678" s="1" t="str">
        <f>Paths!$A$68</f>
        <v>T016</v>
      </c>
      <c r="B678" s="1">
        <f>Paths!$B$68</f>
        <v>1</v>
      </c>
      <c r="C678" s="1">
        <v>0</v>
      </c>
      <c r="D678" s="1">
        <v>68</v>
      </c>
      <c r="E678" s="1">
        <f>IF(OR(Paths!$C$68=0,C678=0),0,MAX(0,MIN(C678*12,Paths!$E$68)-(C678-1)*12))</f>
        <v>0</v>
      </c>
      <c r="F678" s="1">
        <f>IF(OR(Paths!$C$68=0,C678=0),0,12-E678)</f>
        <v>0</v>
      </c>
      <c r="G678" s="16">
        <f>IF(NOT(Paths!$C$68=1),0,IF(Paths!$P$68="Complete",E678/12*(Paths!$J$68*(1+'Operating costs'!$B$51)^MAX(0,C678-1)+Paths!$K$68*(1+'Operating costs'!$B$53)^MAX(0,C678-1)),"n.a."))</f>
        <v>0</v>
      </c>
      <c r="H678" s="16">
        <f>IF(NOT(Paths!$C$68=1),0,IF(Paths!$P$68="Complete",F678/12*(Paths!$L$68*(1+IF(Paths!$D$68="EV",'Operating costs'!$B$52,'Operating costs'!$B$51))^MAX(0,C678-1)+Paths!$M$68*(1+'Operating costs'!$B$53)^MAX(0,C678-1)),"n.a."))</f>
        <v>0</v>
      </c>
      <c r="I678" s="16">
        <f>IF(NOT(Paths!$C$68=1),0,IF(Paths!$P$68="Complete",IF(IF(Paths!$E$68=0,C678=0,AND(C678&gt;0,Paths!$E$68&gt;(C678-1)*12,Paths!$E$68&lt;=C678*12)),Paths!$G$68,0),"n.a."))</f>
        <v>0</v>
      </c>
      <c r="J678" s="16">
        <f>IF(NOT(Paths!$C$68=1),0,IF(Paths!$P$68="Complete",IF(IF(Paths!$E$68=0,C678=0,AND(C678&gt;0,Paths!$E$68&gt;(C678-1)*12,Paths!$E$68&lt;=C678*12)),Paths!$H$68,0),"n.a."))</f>
        <v>0</v>
      </c>
      <c r="K678" s="16">
        <f>IF(NOT(Paths!$C$68=1),0,IF(Paths!$P$68="Complete",IF(IF(Paths!$O$68=0,C678=0,AND(C678&gt;0,Paths!$O$68&gt;(C678-1)*12,Paths!$O$68&lt;=C678*12)),Paths!$N$68,0),"n.a."))</f>
        <v>0</v>
      </c>
      <c r="L678" s="16">
        <f>IF(NOT(Paths!$C$68=1),0,IF(Paths!$P$68="Complete",IF(C678=10,Paths!$I$68,0),"n.a."))</f>
        <v>0</v>
      </c>
      <c r="M678" s="16">
        <f>IF(NOT(Paths!$C$68=1),0,IF(Paths!$P$68="Complete",IF(AND(Paths!$D$68="EV",Paths!$E$68&lt;120,Paths!$E$68+'Operating costs'!$B$65&gt;Paths!$E$68,Paths!$E$68+'Operating costs'!$B$65&lt;=120,IF(Paths!$E$68+'Operating costs'!$B$65=0,C678=0,AND(C678&gt;0,Paths!$E$68+'Operating costs'!$B$65&gt;(C678-1)*12,Paths!$E$68+'Operating costs'!$B$65&lt;=C678*12))),'Operating costs'!$B$64,0)+IF(AND('Operating costs'!$B$67&gt;0,'Operating costs'!$B$67&lt;=120,OR(Paths!$D$68="ICE",'Operating costs'!$B$67&lt;=Paths!$E$68),IF('Operating costs'!$B$67=0,C678=0,AND(C678&gt;0,'Operating costs'!$B$67&gt;(C678-1)*12,'Operating costs'!$B$67&lt;=C678*12))),'Operating costs'!$B$66,0),"n.a."))</f>
        <v>0</v>
      </c>
      <c r="N678" s="16">
        <f>IF(NOT(Paths!$C$68=1),0,IF(Paths!$P$68="Complete",SUM(G678:I678)-J678-K678-L678+M678+IF(C678=0,Paths!$F$68,0)+IF(IF(Paths!$E$68=0,C678=0,AND(C678&gt;0,Paths!$E$68&gt;(C678-1)*12,Paths!$E$68&lt;=C678*12)),VLOOKUP(A678,'Fleet register'!$A$7:$S$106,16,FALSE),0),"n.a."))</f>
        <v>0</v>
      </c>
      <c r="O678" s="16">
        <f>IF(NOT(Paths!$C$68=1),0,IF(Paths!$P$68="Complete",N678-IF(C678=0,Paths!$F$68,0),"n.a."))</f>
        <v>0</v>
      </c>
      <c r="P678" s="16">
        <f>IF(NOT(Paths!$C$68=1),0,IF(Paths!$P$68="Complete",O678+L678,"n.a."))</f>
        <v>0</v>
      </c>
      <c r="Q678" s="16">
        <f>IF(NOT(Paths!$C$68=1),0,IF(Paths!$P$68="Complete",N678*(1+'Operating costs'!$B$54)^-C678,"n.a."))</f>
        <v>0</v>
      </c>
      <c r="R678" s="16">
        <f>IF(NOT(Paths!$C$68=1),0,IF(Paths!$P$68="Complete",IF(AND(C678=0,Paths!$E$68=0),I678-J678-K678+VLOOKUP(A678,'Fleet register'!$A$7:$S$106,15,FALSE)+VLOOKUP(A678,'Fleet register'!$A$7:$S$106,16,FALSE),0),"n.a."))</f>
        <v>0</v>
      </c>
      <c r="S678" s="1">
        <f>IF(NOT(Paths!$C$68=1),0,IF(Paths!$P$68="Complete",IF(C678=0,0,Paths!$S$68*Paths!$R$68),"n.a."))</f>
        <v>0</v>
      </c>
      <c r="T678" s="1">
        <f>IF(NOT(Paths!$C$68=1),0,IF(Paths!$P$68="Complete",IF(C678=0,0,VLOOKUP(A678,'Fleet register'!$A$7:$S$106,9,FALSE)*Paths!$R$68),"n.a."))</f>
        <v>0</v>
      </c>
    </row>
    <row r="679" spans="1:20" ht="24" customHeight="1">
      <c r="A679" s="1" t="str">
        <f>Paths!$A$68</f>
        <v>T016</v>
      </c>
      <c r="B679" s="1">
        <f>Paths!$B$68</f>
        <v>1</v>
      </c>
      <c r="C679" s="1">
        <v>1</v>
      </c>
      <c r="D679" s="1">
        <v>68</v>
      </c>
      <c r="E679" s="1">
        <f>IF(OR(Paths!$C$68=0,C679=0),0,MAX(0,MIN(C679*12,Paths!$E$68)-(C679-1)*12))</f>
        <v>0</v>
      </c>
      <c r="F679" s="1">
        <f>IF(OR(Paths!$C$68=0,C679=0),0,12-E679)</f>
        <v>0</v>
      </c>
      <c r="G679" s="16">
        <f>IF(NOT(Paths!$C$68=1),0,IF(Paths!$P$68="Complete",E679/12*(Paths!$J$68*(1+'Operating costs'!$B$51)^MAX(0,C679-1)+Paths!$K$68*(1+'Operating costs'!$B$53)^MAX(0,C679-1)),"n.a."))</f>
        <v>0</v>
      </c>
      <c r="H679" s="16">
        <f>IF(NOT(Paths!$C$68=1),0,IF(Paths!$P$68="Complete",F679/12*(Paths!$L$68*(1+IF(Paths!$D$68="EV",'Operating costs'!$B$52,'Operating costs'!$B$51))^MAX(0,C679-1)+Paths!$M$68*(1+'Operating costs'!$B$53)^MAX(0,C679-1)),"n.a."))</f>
        <v>0</v>
      </c>
      <c r="I679" s="16">
        <f>IF(NOT(Paths!$C$68=1),0,IF(Paths!$P$68="Complete",IF(IF(Paths!$E$68=0,C679=0,AND(C679&gt;0,Paths!$E$68&gt;(C679-1)*12,Paths!$E$68&lt;=C679*12)),Paths!$G$68,0),"n.a."))</f>
        <v>0</v>
      </c>
      <c r="J679" s="16">
        <f>IF(NOT(Paths!$C$68=1),0,IF(Paths!$P$68="Complete",IF(IF(Paths!$E$68=0,C679=0,AND(C679&gt;0,Paths!$E$68&gt;(C679-1)*12,Paths!$E$68&lt;=C679*12)),Paths!$H$68,0),"n.a."))</f>
        <v>0</v>
      </c>
      <c r="K679" s="16">
        <f>IF(NOT(Paths!$C$68=1),0,IF(Paths!$P$68="Complete",IF(IF(Paths!$O$68=0,C679=0,AND(C679&gt;0,Paths!$O$68&gt;(C679-1)*12,Paths!$O$68&lt;=C679*12)),Paths!$N$68,0),"n.a."))</f>
        <v>0</v>
      </c>
      <c r="L679" s="16">
        <f>IF(NOT(Paths!$C$68=1),0,IF(Paths!$P$68="Complete",IF(C679=10,Paths!$I$68,0),"n.a."))</f>
        <v>0</v>
      </c>
      <c r="M679" s="16">
        <f>IF(NOT(Paths!$C$68=1),0,IF(Paths!$P$68="Complete",IF(AND(Paths!$D$68="EV",Paths!$E$68&lt;120,Paths!$E$68+'Operating costs'!$B$65&gt;Paths!$E$68,Paths!$E$68+'Operating costs'!$B$65&lt;=120,IF(Paths!$E$68+'Operating costs'!$B$65=0,C679=0,AND(C679&gt;0,Paths!$E$68+'Operating costs'!$B$65&gt;(C679-1)*12,Paths!$E$68+'Operating costs'!$B$65&lt;=C679*12))),'Operating costs'!$B$64,0)+IF(AND('Operating costs'!$B$67&gt;0,'Operating costs'!$B$67&lt;=120,OR(Paths!$D$68="ICE",'Operating costs'!$B$67&lt;=Paths!$E$68),IF('Operating costs'!$B$67=0,C679=0,AND(C679&gt;0,'Operating costs'!$B$67&gt;(C679-1)*12,'Operating costs'!$B$67&lt;=C679*12))),'Operating costs'!$B$66,0),"n.a."))</f>
        <v>0</v>
      </c>
      <c r="N679" s="16">
        <f>IF(NOT(Paths!$C$68=1),0,IF(Paths!$P$68="Complete",SUM(G679:I679)-J679-K679-L679+M679+IF(C679=0,Paths!$F$68,0)+IF(IF(Paths!$E$68=0,C679=0,AND(C679&gt;0,Paths!$E$68&gt;(C679-1)*12,Paths!$E$68&lt;=C679*12)),VLOOKUP(A679,'Fleet register'!$A$7:$S$106,16,FALSE),0),"n.a."))</f>
        <v>0</v>
      </c>
      <c r="O679" s="16">
        <f>IF(NOT(Paths!$C$68=1),0,IF(Paths!$P$68="Complete",N679-IF(C679=0,Paths!$F$68,0),"n.a."))</f>
        <v>0</v>
      </c>
      <c r="P679" s="16">
        <f>IF(NOT(Paths!$C$68=1),0,IF(Paths!$P$68="Complete",O679+L679,"n.a."))</f>
        <v>0</v>
      </c>
      <c r="Q679" s="16">
        <f>IF(NOT(Paths!$C$68=1),0,IF(Paths!$P$68="Complete",N679*(1+'Operating costs'!$B$54)^-C679,"n.a."))</f>
        <v>0</v>
      </c>
      <c r="R679" s="16">
        <f>IF(NOT(Paths!$C$68=1),0,IF(Paths!$P$68="Complete",IF(AND(C679=0,Paths!$E$68=0),I679-J679-K679+VLOOKUP(A679,'Fleet register'!$A$7:$S$106,15,FALSE)+VLOOKUP(A679,'Fleet register'!$A$7:$S$106,16,FALSE),0),"n.a."))</f>
        <v>0</v>
      </c>
      <c r="S679" s="1">
        <f>IF(NOT(Paths!$C$68=1),0,IF(Paths!$P$68="Complete",IF(C679=0,0,Paths!$S$68*Paths!$R$68),"n.a."))</f>
        <v>0</v>
      </c>
      <c r="T679" s="1">
        <f>IF(NOT(Paths!$C$68=1),0,IF(Paths!$P$68="Complete",IF(C679=0,0,VLOOKUP(A679,'Fleet register'!$A$7:$S$106,9,FALSE)*Paths!$R$68),"n.a."))</f>
        <v>0</v>
      </c>
    </row>
    <row r="680" spans="1:20" ht="24" customHeight="1">
      <c r="A680" s="1" t="str">
        <f>Paths!$A$68</f>
        <v>T016</v>
      </c>
      <c r="B680" s="1">
        <f>Paths!$B$68</f>
        <v>1</v>
      </c>
      <c r="C680" s="1">
        <v>2</v>
      </c>
      <c r="D680" s="1">
        <v>68</v>
      </c>
      <c r="E680" s="1">
        <f>IF(OR(Paths!$C$68=0,C680=0),0,MAX(0,MIN(C680*12,Paths!$E$68)-(C680-1)*12))</f>
        <v>0</v>
      </c>
      <c r="F680" s="1">
        <f>IF(OR(Paths!$C$68=0,C680=0),0,12-E680)</f>
        <v>0</v>
      </c>
      <c r="G680" s="16">
        <f>IF(NOT(Paths!$C$68=1),0,IF(Paths!$P$68="Complete",E680/12*(Paths!$J$68*(1+'Operating costs'!$B$51)^MAX(0,C680-1)+Paths!$K$68*(1+'Operating costs'!$B$53)^MAX(0,C680-1)),"n.a."))</f>
        <v>0</v>
      </c>
      <c r="H680" s="16">
        <f>IF(NOT(Paths!$C$68=1),0,IF(Paths!$P$68="Complete",F680/12*(Paths!$L$68*(1+IF(Paths!$D$68="EV",'Operating costs'!$B$52,'Operating costs'!$B$51))^MAX(0,C680-1)+Paths!$M$68*(1+'Operating costs'!$B$53)^MAX(0,C680-1)),"n.a."))</f>
        <v>0</v>
      </c>
      <c r="I680" s="16">
        <f>IF(NOT(Paths!$C$68=1),0,IF(Paths!$P$68="Complete",IF(IF(Paths!$E$68=0,C680=0,AND(C680&gt;0,Paths!$E$68&gt;(C680-1)*12,Paths!$E$68&lt;=C680*12)),Paths!$G$68,0),"n.a."))</f>
        <v>0</v>
      </c>
      <c r="J680" s="16">
        <f>IF(NOT(Paths!$C$68=1),0,IF(Paths!$P$68="Complete",IF(IF(Paths!$E$68=0,C680=0,AND(C680&gt;0,Paths!$E$68&gt;(C680-1)*12,Paths!$E$68&lt;=C680*12)),Paths!$H$68,0),"n.a."))</f>
        <v>0</v>
      </c>
      <c r="K680" s="16">
        <f>IF(NOT(Paths!$C$68=1),0,IF(Paths!$P$68="Complete",IF(IF(Paths!$O$68=0,C680=0,AND(C680&gt;0,Paths!$O$68&gt;(C680-1)*12,Paths!$O$68&lt;=C680*12)),Paths!$N$68,0),"n.a."))</f>
        <v>0</v>
      </c>
      <c r="L680" s="16">
        <f>IF(NOT(Paths!$C$68=1),0,IF(Paths!$P$68="Complete",IF(C680=10,Paths!$I$68,0),"n.a."))</f>
        <v>0</v>
      </c>
      <c r="M680" s="16">
        <f>IF(NOT(Paths!$C$68=1),0,IF(Paths!$P$68="Complete",IF(AND(Paths!$D$68="EV",Paths!$E$68&lt;120,Paths!$E$68+'Operating costs'!$B$65&gt;Paths!$E$68,Paths!$E$68+'Operating costs'!$B$65&lt;=120,IF(Paths!$E$68+'Operating costs'!$B$65=0,C680=0,AND(C680&gt;0,Paths!$E$68+'Operating costs'!$B$65&gt;(C680-1)*12,Paths!$E$68+'Operating costs'!$B$65&lt;=C680*12))),'Operating costs'!$B$64,0)+IF(AND('Operating costs'!$B$67&gt;0,'Operating costs'!$B$67&lt;=120,OR(Paths!$D$68="ICE",'Operating costs'!$B$67&lt;=Paths!$E$68),IF('Operating costs'!$B$67=0,C680=0,AND(C680&gt;0,'Operating costs'!$B$67&gt;(C680-1)*12,'Operating costs'!$B$67&lt;=C680*12))),'Operating costs'!$B$66,0),"n.a."))</f>
        <v>0</v>
      </c>
      <c r="N680" s="16">
        <f>IF(NOT(Paths!$C$68=1),0,IF(Paths!$P$68="Complete",SUM(G680:I680)-J680-K680-L680+M680+IF(C680=0,Paths!$F$68,0)+IF(IF(Paths!$E$68=0,C680=0,AND(C680&gt;0,Paths!$E$68&gt;(C680-1)*12,Paths!$E$68&lt;=C680*12)),VLOOKUP(A680,'Fleet register'!$A$7:$S$106,16,FALSE),0),"n.a."))</f>
        <v>0</v>
      </c>
      <c r="O680" s="16">
        <f>IF(NOT(Paths!$C$68=1),0,IF(Paths!$P$68="Complete",N680-IF(C680=0,Paths!$F$68,0),"n.a."))</f>
        <v>0</v>
      </c>
      <c r="P680" s="16">
        <f>IF(NOT(Paths!$C$68=1),0,IF(Paths!$P$68="Complete",O680+L680,"n.a."))</f>
        <v>0</v>
      </c>
      <c r="Q680" s="16">
        <f>IF(NOT(Paths!$C$68=1),0,IF(Paths!$P$68="Complete",N680*(1+'Operating costs'!$B$54)^-C680,"n.a."))</f>
        <v>0</v>
      </c>
      <c r="R680" s="16">
        <f>IF(NOT(Paths!$C$68=1),0,IF(Paths!$P$68="Complete",IF(AND(C680=0,Paths!$E$68=0),I680-J680-K680+VLOOKUP(A680,'Fleet register'!$A$7:$S$106,15,FALSE)+VLOOKUP(A680,'Fleet register'!$A$7:$S$106,16,FALSE),0),"n.a."))</f>
        <v>0</v>
      </c>
      <c r="S680" s="1">
        <f>IF(NOT(Paths!$C$68=1),0,IF(Paths!$P$68="Complete",IF(C680=0,0,Paths!$S$68*Paths!$R$68),"n.a."))</f>
        <v>0</v>
      </c>
      <c r="T680" s="1">
        <f>IF(NOT(Paths!$C$68=1),0,IF(Paths!$P$68="Complete",IF(C680=0,0,VLOOKUP(A680,'Fleet register'!$A$7:$S$106,9,FALSE)*Paths!$R$68),"n.a."))</f>
        <v>0</v>
      </c>
    </row>
    <row r="681" spans="1:20" ht="24" customHeight="1">
      <c r="A681" s="1" t="str">
        <f>Paths!$A$68</f>
        <v>T016</v>
      </c>
      <c r="B681" s="1">
        <f>Paths!$B$68</f>
        <v>1</v>
      </c>
      <c r="C681" s="1">
        <v>3</v>
      </c>
      <c r="D681" s="1">
        <v>68</v>
      </c>
      <c r="E681" s="1">
        <f>IF(OR(Paths!$C$68=0,C681=0),0,MAX(0,MIN(C681*12,Paths!$E$68)-(C681-1)*12))</f>
        <v>0</v>
      </c>
      <c r="F681" s="1">
        <f>IF(OR(Paths!$C$68=0,C681=0),0,12-E681)</f>
        <v>0</v>
      </c>
      <c r="G681" s="16">
        <f>IF(NOT(Paths!$C$68=1),0,IF(Paths!$P$68="Complete",E681/12*(Paths!$J$68*(1+'Operating costs'!$B$51)^MAX(0,C681-1)+Paths!$K$68*(1+'Operating costs'!$B$53)^MAX(0,C681-1)),"n.a."))</f>
        <v>0</v>
      </c>
      <c r="H681" s="16">
        <f>IF(NOT(Paths!$C$68=1),0,IF(Paths!$P$68="Complete",F681/12*(Paths!$L$68*(1+IF(Paths!$D$68="EV",'Operating costs'!$B$52,'Operating costs'!$B$51))^MAX(0,C681-1)+Paths!$M$68*(1+'Operating costs'!$B$53)^MAX(0,C681-1)),"n.a."))</f>
        <v>0</v>
      </c>
      <c r="I681" s="16">
        <f>IF(NOT(Paths!$C$68=1),0,IF(Paths!$P$68="Complete",IF(IF(Paths!$E$68=0,C681=0,AND(C681&gt;0,Paths!$E$68&gt;(C681-1)*12,Paths!$E$68&lt;=C681*12)),Paths!$G$68,0),"n.a."))</f>
        <v>0</v>
      </c>
      <c r="J681" s="16">
        <f>IF(NOT(Paths!$C$68=1),0,IF(Paths!$P$68="Complete",IF(IF(Paths!$E$68=0,C681=0,AND(C681&gt;0,Paths!$E$68&gt;(C681-1)*12,Paths!$E$68&lt;=C681*12)),Paths!$H$68,0),"n.a."))</f>
        <v>0</v>
      </c>
      <c r="K681" s="16">
        <f>IF(NOT(Paths!$C$68=1),0,IF(Paths!$P$68="Complete",IF(IF(Paths!$O$68=0,C681=0,AND(C681&gt;0,Paths!$O$68&gt;(C681-1)*12,Paths!$O$68&lt;=C681*12)),Paths!$N$68,0),"n.a."))</f>
        <v>0</v>
      </c>
      <c r="L681" s="16">
        <f>IF(NOT(Paths!$C$68=1),0,IF(Paths!$P$68="Complete",IF(C681=10,Paths!$I$68,0),"n.a."))</f>
        <v>0</v>
      </c>
      <c r="M681" s="16">
        <f>IF(NOT(Paths!$C$68=1),0,IF(Paths!$P$68="Complete",IF(AND(Paths!$D$68="EV",Paths!$E$68&lt;120,Paths!$E$68+'Operating costs'!$B$65&gt;Paths!$E$68,Paths!$E$68+'Operating costs'!$B$65&lt;=120,IF(Paths!$E$68+'Operating costs'!$B$65=0,C681=0,AND(C681&gt;0,Paths!$E$68+'Operating costs'!$B$65&gt;(C681-1)*12,Paths!$E$68+'Operating costs'!$B$65&lt;=C681*12))),'Operating costs'!$B$64,0)+IF(AND('Operating costs'!$B$67&gt;0,'Operating costs'!$B$67&lt;=120,OR(Paths!$D$68="ICE",'Operating costs'!$B$67&lt;=Paths!$E$68),IF('Operating costs'!$B$67=0,C681=0,AND(C681&gt;0,'Operating costs'!$B$67&gt;(C681-1)*12,'Operating costs'!$B$67&lt;=C681*12))),'Operating costs'!$B$66,0),"n.a."))</f>
        <v>0</v>
      </c>
      <c r="N681" s="16">
        <f>IF(NOT(Paths!$C$68=1),0,IF(Paths!$P$68="Complete",SUM(G681:I681)-J681-K681-L681+M681+IF(C681=0,Paths!$F$68,0)+IF(IF(Paths!$E$68=0,C681=0,AND(C681&gt;0,Paths!$E$68&gt;(C681-1)*12,Paths!$E$68&lt;=C681*12)),VLOOKUP(A681,'Fleet register'!$A$7:$S$106,16,FALSE),0),"n.a."))</f>
        <v>0</v>
      </c>
      <c r="O681" s="16">
        <f>IF(NOT(Paths!$C$68=1),0,IF(Paths!$P$68="Complete",N681-IF(C681=0,Paths!$F$68,0),"n.a."))</f>
        <v>0</v>
      </c>
      <c r="P681" s="16">
        <f>IF(NOT(Paths!$C$68=1),0,IF(Paths!$P$68="Complete",O681+L681,"n.a."))</f>
        <v>0</v>
      </c>
      <c r="Q681" s="16">
        <f>IF(NOT(Paths!$C$68=1),0,IF(Paths!$P$68="Complete",N681*(1+'Operating costs'!$B$54)^-C681,"n.a."))</f>
        <v>0</v>
      </c>
      <c r="R681" s="16">
        <f>IF(NOT(Paths!$C$68=1),0,IF(Paths!$P$68="Complete",IF(AND(C681=0,Paths!$E$68=0),I681-J681-K681+VLOOKUP(A681,'Fleet register'!$A$7:$S$106,15,FALSE)+VLOOKUP(A681,'Fleet register'!$A$7:$S$106,16,FALSE),0),"n.a."))</f>
        <v>0</v>
      </c>
      <c r="S681" s="1">
        <f>IF(NOT(Paths!$C$68=1),0,IF(Paths!$P$68="Complete",IF(C681=0,0,Paths!$S$68*Paths!$R$68),"n.a."))</f>
        <v>0</v>
      </c>
      <c r="T681" s="1">
        <f>IF(NOT(Paths!$C$68=1),0,IF(Paths!$P$68="Complete",IF(C681=0,0,VLOOKUP(A681,'Fleet register'!$A$7:$S$106,9,FALSE)*Paths!$R$68),"n.a."))</f>
        <v>0</v>
      </c>
    </row>
    <row r="682" spans="1:20" ht="24" customHeight="1">
      <c r="A682" s="1" t="str">
        <f>Paths!$A$68</f>
        <v>T016</v>
      </c>
      <c r="B682" s="1">
        <f>Paths!$B$68</f>
        <v>1</v>
      </c>
      <c r="C682" s="1">
        <v>4</v>
      </c>
      <c r="D682" s="1">
        <v>68</v>
      </c>
      <c r="E682" s="1">
        <f>IF(OR(Paths!$C$68=0,C682=0),0,MAX(0,MIN(C682*12,Paths!$E$68)-(C682-1)*12))</f>
        <v>0</v>
      </c>
      <c r="F682" s="1">
        <f>IF(OR(Paths!$C$68=0,C682=0),0,12-E682)</f>
        <v>0</v>
      </c>
      <c r="G682" s="16">
        <f>IF(NOT(Paths!$C$68=1),0,IF(Paths!$P$68="Complete",E682/12*(Paths!$J$68*(1+'Operating costs'!$B$51)^MAX(0,C682-1)+Paths!$K$68*(1+'Operating costs'!$B$53)^MAX(0,C682-1)),"n.a."))</f>
        <v>0</v>
      </c>
      <c r="H682" s="16">
        <f>IF(NOT(Paths!$C$68=1),0,IF(Paths!$P$68="Complete",F682/12*(Paths!$L$68*(1+IF(Paths!$D$68="EV",'Operating costs'!$B$52,'Operating costs'!$B$51))^MAX(0,C682-1)+Paths!$M$68*(1+'Operating costs'!$B$53)^MAX(0,C682-1)),"n.a."))</f>
        <v>0</v>
      </c>
      <c r="I682" s="16">
        <f>IF(NOT(Paths!$C$68=1),0,IF(Paths!$P$68="Complete",IF(IF(Paths!$E$68=0,C682=0,AND(C682&gt;0,Paths!$E$68&gt;(C682-1)*12,Paths!$E$68&lt;=C682*12)),Paths!$G$68,0),"n.a."))</f>
        <v>0</v>
      </c>
      <c r="J682" s="16">
        <f>IF(NOT(Paths!$C$68=1),0,IF(Paths!$P$68="Complete",IF(IF(Paths!$E$68=0,C682=0,AND(C682&gt;0,Paths!$E$68&gt;(C682-1)*12,Paths!$E$68&lt;=C682*12)),Paths!$H$68,0),"n.a."))</f>
        <v>0</v>
      </c>
      <c r="K682" s="16">
        <f>IF(NOT(Paths!$C$68=1),0,IF(Paths!$P$68="Complete",IF(IF(Paths!$O$68=0,C682=0,AND(C682&gt;0,Paths!$O$68&gt;(C682-1)*12,Paths!$O$68&lt;=C682*12)),Paths!$N$68,0),"n.a."))</f>
        <v>0</v>
      </c>
      <c r="L682" s="16">
        <f>IF(NOT(Paths!$C$68=1),0,IF(Paths!$P$68="Complete",IF(C682=10,Paths!$I$68,0),"n.a."))</f>
        <v>0</v>
      </c>
      <c r="M682" s="16">
        <f>IF(NOT(Paths!$C$68=1),0,IF(Paths!$P$68="Complete",IF(AND(Paths!$D$68="EV",Paths!$E$68&lt;120,Paths!$E$68+'Operating costs'!$B$65&gt;Paths!$E$68,Paths!$E$68+'Operating costs'!$B$65&lt;=120,IF(Paths!$E$68+'Operating costs'!$B$65=0,C682=0,AND(C682&gt;0,Paths!$E$68+'Operating costs'!$B$65&gt;(C682-1)*12,Paths!$E$68+'Operating costs'!$B$65&lt;=C682*12))),'Operating costs'!$B$64,0)+IF(AND('Operating costs'!$B$67&gt;0,'Operating costs'!$B$67&lt;=120,OR(Paths!$D$68="ICE",'Operating costs'!$B$67&lt;=Paths!$E$68),IF('Operating costs'!$B$67=0,C682=0,AND(C682&gt;0,'Operating costs'!$B$67&gt;(C682-1)*12,'Operating costs'!$B$67&lt;=C682*12))),'Operating costs'!$B$66,0),"n.a."))</f>
        <v>0</v>
      </c>
      <c r="N682" s="16">
        <f>IF(NOT(Paths!$C$68=1),0,IF(Paths!$P$68="Complete",SUM(G682:I682)-J682-K682-L682+M682+IF(C682=0,Paths!$F$68,0)+IF(IF(Paths!$E$68=0,C682=0,AND(C682&gt;0,Paths!$E$68&gt;(C682-1)*12,Paths!$E$68&lt;=C682*12)),VLOOKUP(A682,'Fleet register'!$A$7:$S$106,16,FALSE),0),"n.a."))</f>
        <v>0</v>
      </c>
      <c r="O682" s="16">
        <f>IF(NOT(Paths!$C$68=1),0,IF(Paths!$P$68="Complete",N682-IF(C682=0,Paths!$F$68,0),"n.a."))</f>
        <v>0</v>
      </c>
      <c r="P682" s="16">
        <f>IF(NOT(Paths!$C$68=1),0,IF(Paths!$P$68="Complete",O682+L682,"n.a."))</f>
        <v>0</v>
      </c>
      <c r="Q682" s="16">
        <f>IF(NOT(Paths!$C$68=1),0,IF(Paths!$P$68="Complete",N682*(1+'Operating costs'!$B$54)^-C682,"n.a."))</f>
        <v>0</v>
      </c>
      <c r="R682" s="16">
        <f>IF(NOT(Paths!$C$68=1),0,IF(Paths!$P$68="Complete",IF(AND(C682=0,Paths!$E$68=0),I682-J682-K682+VLOOKUP(A682,'Fleet register'!$A$7:$S$106,15,FALSE)+VLOOKUP(A682,'Fleet register'!$A$7:$S$106,16,FALSE),0),"n.a."))</f>
        <v>0</v>
      </c>
      <c r="S682" s="1">
        <f>IF(NOT(Paths!$C$68=1),0,IF(Paths!$P$68="Complete",IF(C682=0,0,Paths!$S$68*Paths!$R$68),"n.a."))</f>
        <v>0</v>
      </c>
      <c r="T682" s="1">
        <f>IF(NOT(Paths!$C$68=1),0,IF(Paths!$P$68="Complete",IF(C682=0,0,VLOOKUP(A682,'Fleet register'!$A$7:$S$106,9,FALSE)*Paths!$R$68),"n.a."))</f>
        <v>0</v>
      </c>
    </row>
    <row r="683" spans="1:20" ht="24" customHeight="1">
      <c r="A683" s="1" t="str">
        <f>Paths!$A$68</f>
        <v>T016</v>
      </c>
      <c r="B683" s="1">
        <f>Paths!$B$68</f>
        <v>1</v>
      </c>
      <c r="C683" s="1">
        <v>5</v>
      </c>
      <c r="D683" s="1">
        <v>68</v>
      </c>
      <c r="E683" s="1">
        <f>IF(OR(Paths!$C$68=0,C683=0),0,MAX(0,MIN(C683*12,Paths!$E$68)-(C683-1)*12))</f>
        <v>0</v>
      </c>
      <c r="F683" s="1">
        <f>IF(OR(Paths!$C$68=0,C683=0),0,12-E683)</f>
        <v>0</v>
      </c>
      <c r="G683" s="16">
        <f>IF(NOT(Paths!$C$68=1),0,IF(Paths!$P$68="Complete",E683/12*(Paths!$J$68*(1+'Operating costs'!$B$51)^MAX(0,C683-1)+Paths!$K$68*(1+'Operating costs'!$B$53)^MAX(0,C683-1)),"n.a."))</f>
        <v>0</v>
      </c>
      <c r="H683" s="16">
        <f>IF(NOT(Paths!$C$68=1),0,IF(Paths!$P$68="Complete",F683/12*(Paths!$L$68*(1+IF(Paths!$D$68="EV",'Operating costs'!$B$52,'Operating costs'!$B$51))^MAX(0,C683-1)+Paths!$M$68*(1+'Operating costs'!$B$53)^MAX(0,C683-1)),"n.a."))</f>
        <v>0</v>
      </c>
      <c r="I683" s="16">
        <f>IF(NOT(Paths!$C$68=1),0,IF(Paths!$P$68="Complete",IF(IF(Paths!$E$68=0,C683=0,AND(C683&gt;0,Paths!$E$68&gt;(C683-1)*12,Paths!$E$68&lt;=C683*12)),Paths!$G$68,0),"n.a."))</f>
        <v>0</v>
      </c>
      <c r="J683" s="16">
        <f>IF(NOT(Paths!$C$68=1),0,IF(Paths!$P$68="Complete",IF(IF(Paths!$E$68=0,C683=0,AND(C683&gt;0,Paths!$E$68&gt;(C683-1)*12,Paths!$E$68&lt;=C683*12)),Paths!$H$68,0),"n.a."))</f>
        <v>0</v>
      </c>
      <c r="K683" s="16">
        <f>IF(NOT(Paths!$C$68=1),0,IF(Paths!$P$68="Complete",IF(IF(Paths!$O$68=0,C683=0,AND(C683&gt;0,Paths!$O$68&gt;(C683-1)*12,Paths!$O$68&lt;=C683*12)),Paths!$N$68,0),"n.a."))</f>
        <v>0</v>
      </c>
      <c r="L683" s="16">
        <f>IF(NOT(Paths!$C$68=1),0,IF(Paths!$P$68="Complete",IF(C683=10,Paths!$I$68,0),"n.a."))</f>
        <v>0</v>
      </c>
      <c r="M683" s="16">
        <f>IF(NOT(Paths!$C$68=1),0,IF(Paths!$P$68="Complete",IF(AND(Paths!$D$68="EV",Paths!$E$68&lt;120,Paths!$E$68+'Operating costs'!$B$65&gt;Paths!$E$68,Paths!$E$68+'Operating costs'!$B$65&lt;=120,IF(Paths!$E$68+'Operating costs'!$B$65=0,C683=0,AND(C683&gt;0,Paths!$E$68+'Operating costs'!$B$65&gt;(C683-1)*12,Paths!$E$68+'Operating costs'!$B$65&lt;=C683*12))),'Operating costs'!$B$64,0)+IF(AND('Operating costs'!$B$67&gt;0,'Operating costs'!$B$67&lt;=120,OR(Paths!$D$68="ICE",'Operating costs'!$B$67&lt;=Paths!$E$68),IF('Operating costs'!$B$67=0,C683=0,AND(C683&gt;0,'Operating costs'!$B$67&gt;(C683-1)*12,'Operating costs'!$B$67&lt;=C683*12))),'Operating costs'!$B$66,0),"n.a."))</f>
        <v>0</v>
      </c>
      <c r="N683" s="16">
        <f>IF(NOT(Paths!$C$68=1),0,IF(Paths!$P$68="Complete",SUM(G683:I683)-J683-K683-L683+M683+IF(C683=0,Paths!$F$68,0)+IF(IF(Paths!$E$68=0,C683=0,AND(C683&gt;0,Paths!$E$68&gt;(C683-1)*12,Paths!$E$68&lt;=C683*12)),VLOOKUP(A683,'Fleet register'!$A$7:$S$106,16,FALSE),0),"n.a."))</f>
        <v>0</v>
      </c>
      <c r="O683" s="16">
        <f>IF(NOT(Paths!$C$68=1),0,IF(Paths!$P$68="Complete",N683-IF(C683=0,Paths!$F$68,0),"n.a."))</f>
        <v>0</v>
      </c>
      <c r="P683" s="16">
        <f>IF(NOT(Paths!$C$68=1),0,IF(Paths!$P$68="Complete",O683+L683,"n.a."))</f>
        <v>0</v>
      </c>
      <c r="Q683" s="16">
        <f>IF(NOT(Paths!$C$68=1),0,IF(Paths!$P$68="Complete",N683*(1+'Operating costs'!$B$54)^-C683,"n.a."))</f>
        <v>0</v>
      </c>
      <c r="R683" s="16">
        <f>IF(NOT(Paths!$C$68=1),0,IF(Paths!$P$68="Complete",IF(AND(C683=0,Paths!$E$68=0),I683-J683-K683+VLOOKUP(A683,'Fleet register'!$A$7:$S$106,15,FALSE)+VLOOKUP(A683,'Fleet register'!$A$7:$S$106,16,FALSE),0),"n.a."))</f>
        <v>0</v>
      </c>
      <c r="S683" s="1">
        <f>IF(NOT(Paths!$C$68=1),0,IF(Paths!$P$68="Complete",IF(C683=0,0,Paths!$S$68*Paths!$R$68),"n.a."))</f>
        <v>0</v>
      </c>
      <c r="T683" s="1">
        <f>IF(NOT(Paths!$C$68=1),0,IF(Paths!$P$68="Complete",IF(C683=0,0,VLOOKUP(A683,'Fleet register'!$A$7:$S$106,9,FALSE)*Paths!$R$68),"n.a."))</f>
        <v>0</v>
      </c>
    </row>
    <row r="684" spans="1:20" ht="24" customHeight="1">
      <c r="A684" s="1" t="str">
        <f>Paths!$A$68</f>
        <v>T016</v>
      </c>
      <c r="B684" s="1">
        <f>Paths!$B$68</f>
        <v>1</v>
      </c>
      <c r="C684" s="1">
        <v>6</v>
      </c>
      <c r="D684" s="1">
        <v>68</v>
      </c>
      <c r="E684" s="1">
        <f>IF(OR(Paths!$C$68=0,C684=0),0,MAX(0,MIN(C684*12,Paths!$E$68)-(C684-1)*12))</f>
        <v>0</v>
      </c>
      <c r="F684" s="1">
        <f>IF(OR(Paths!$C$68=0,C684=0),0,12-E684)</f>
        <v>0</v>
      </c>
      <c r="G684" s="16">
        <f>IF(NOT(Paths!$C$68=1),0,IF(Paths!$P$68="Complete",E684/12*(Paths!$J$68*(1+'Operating costs'!$B$51)^MAX(0,C684-1)+Paths!$K$68*(1+'Operating costs'!$B$53)^MAX(0,C684-1)),"n.a."))</f>
        <v>0</v>
      </c>
      <c r="H684" s="16">
        <f>IF(NOT(Paths!$C$68=1),0,IF(Paths!$P$68="Complete",F684/12*(Paths!$L$68*(1+IF(Paths!$D$68="EV",'Operating costs'!$B$52,'Operating costs'!$B$51))^MAX(0,C684-1)+Paths!$M$68*(1+'Operating costs'!$B$53)^MAX(0,C684-1)),"n.a."))</f>
        <v>0</v>
      </c>
      <c r="I684" s="16">
        <f>IF(NOT(Paths!$C$68=1),0,IF(Paths!$P$68="Complete",IF(IF(Paths!$E$68=0,C684=0,AND(C684&gt;0,Paths!$E$68&gt;(C684-1)*12,Paths!$E$68&lt;=C684*12)),Paths!$G$68,0),"n.a."))</f>
        <v>0</v>
      </c>
      <c r="J684" s="16">
        <f>IF(NOT(Paths!$C$68=1),0,IF(Paths!$P$68="Complete",IF(IF(Paths!$E$68=0,C684=0,AND(C684&gt;0,Paths!$E$68&gt;(C684-1)*12,Paths!$E$68&lt;=C684*12)),Paths!$H$68,0),"n.a."))</f>
        <v>0</v>
      </c>
      <c r="K684" s="16">
        <f>IF(NOT(Paths!$C$68=1),0,IF(Paths!$P$68="Complete",IF(IF(Paths!$O$68=0,C684=0,AND(C684&gt;0,Paths!$O$68&gt;(C684-1)*12,Paths!$O$68&lt;=C684*12)),Paths!$N$68,0),"n.a."))</f>
        <v>0</v>
      </c>
      <c r="L684" s="16">
        <f>IF(NOT(Paths!$C$68=1),0,IF(Paths!$P$68="Complete",IF(C684=10,Paths!$I$68,0),"n.a."))</f>
        <v>0</v>
      </c>
      <c r="M684" s="16">
        <f>IF(NOT(Paths!$C$68=1),0,IF(Paths!$P$68="Complete",IF(AND(Paths!$D$68="EV",Paths!$E$68&lt;120,Paths!$E$68+'Operating costs'!$B$65&gt;Paths!$E$68,Paths!$E$68+'Operating costs'!$B$65&lt;=120,IF(Paths!$E$68+'Operating costs'!$B$65=0,C684=0,AND(C684&gt;0,Paths!$E$68+'Operating costs'!$B$65&gt;(C684-1)*12,Paths!$E$68+'Operating costs'!$B$65&lt;=C684*12))),'Operating costs'!$B$64,0)+IF(AND('Operating costs'!$B$67&gt;0,'Operating costs'!$B$67&lt;=120,OR(Paths!$D$68="ICE",'Operating costs'!$B$67&lt;=Paths!$E$68),IF('Operating costs'!$B$67=0,C684=0,AND(C684&gt;0,'Operating costs'!$B$67&gt;(C684-1)*12,'Operating costs'!$B$67&lt;=C684*12))),'Operating costs'!$B$66,0),"n.a."))</f>
        <v>0</v>
      </c>
      <c r="N684" s="16">
        <f>IF(NOT(Paths!$C$68=1),0,IF(Paths!$P$68="Complete",SUM(G684:I684)-J684-K684-L684+M684+IF(C684=0,Paths!$F$68,0)+IF(IF(Paths!$E$68=0,C684=0,AND(C684&gt;0,Paths!$E$68&gt;(C684-1)*12,Paths!$E$68&lt;=C684*12)),VLOOKUP(A684,'Fleet register'!$A$7:$S$106,16,FALSE),0),"n.a."))</f>
        <v>0</v>
      </c>
      <c r="O684" s="16">
        <f>IF(NOT(Paths!$C$68=1),0,IF(Paths!$P$68="Complete",N684-IF(C684=0,Paths!$F$68,0),"n.a."))</f>
        <v>0</v>
      </c>
      <c r="P684" s="16">
        <f>IF(NOT(Paths!$C$68=1),0,IF(Paths!$P$68="Complete",O684+L684,"n.a."))</f>
        <v>0</v>
      </c>
      <c r="Q684" s="16">
        <f>IF(NOT(Paths!$C$68=1),0,IF(Paths!$P$68="Complete",N684*(1+'Operating costs'!$B$54)^-C684,"n.a."))</f>
        <v>0</v>
      </c>
      <c r="R684" s="16">
        <f>IF(NOT(Paths!$C$68=1),0,IF(Paths!$P$68="Complete",IF(AND(C684=0,Paths!$E$68=0),I684-J684-K684+VLOOKUP(A684,'Fleet register'!$A$7:$S$106,15,FALSE)+VLOOKUP(A684,'Fleet register'!$A$7:$S$106,16,FALSE),0),"n.a."))</f>
        <v>0</v>
      </c>
      <c r="S684" s="1">
        <f>IF(NOT(Paths!$C$68=1),0,IF(Paths!$P$68="Complete",IF(C684=0,0,Paths!$S$68*Paths!$R$68),"n.a."))</f>
        <v>0</v>
      </c>
      <c r="T684" s="1">
        <f>IF(NOT(Paths!$C$68=1),0,IF(Paths!$P$68="Complete",IF(C684=0,0,VLOOKUP(A684,'Fleet register'!$A$7:$S$106,9,FALSE)*Paths!$R$68),"n.a."))</f>
        <v>0</v>
      </c>
    </row>
    <row r="685" spans="1:20" ht="24" customHeight="1">
      <c r="A685" s="1" t="str">
        <f>Paths!$A$68</f>
        <v>T016</v>
      </c>
      <c r="B685" s="1">
        <f>Paths!$B$68</f>
        <v>1</v>
      </c>
      <c r="C685" s="1">
        <v>7</v>
      </c>
      <c r="D685" s="1">
        <v>68</v>
      </c>
      <c r="E685" s="1">
        <f>IF(OR(Paths!$C$68=0,C685=0),0,MAX(0,MIN(C685*12,Paths!$E$68)-(C685-1)*12))</f>
        <v>0</v>
      </c>
      <c r="F685" s="1">
        <f>IF(OR(Paths!$C$68=0,C685=0),0,12-E685)</f>
        <v>0</v>
      </c>
      <c r="G685" s="16">
        <f>IF(NOT(Paths!$C$68=1),0,IF(Paths!$P$68="Complete",E685/12*(Paths!$J$68*(1+'Operating costs'!$B$51)^MAX(0,C685-1)+Paths!$K$68*(1+'Operating costs'!$B$53)^MAX(0,C685-1)),"n.a."))</f>
        <v>0</v>
      </c>
      <c r="H685" s="16">
        <f>IF(NOT(Paths!$C$68=1),0,IF(Paths!$P$68="Complete",F685/12*(Paths!$L$68*(1+IF(Paths!$D$68="EV",'Operating costs'!$B$52,'Operating costs'!$B$51))^MAX(0,C685-1)+Paths!$M$68*(1+'Operating costs'!$B$53)^MAX(0,C685-1)),"n.a."))</f>
        <v>0</v>
      </c>
      <c r="I685" s="16">
        <f>IF(NOT(Paths!$C$68=1),0,IF(Paths!$P$68="Complete",IF(IF(Paths!$E$68=0,C685=0,AND(C685&gt;0,Paths!$E$68&gt;(C685-1)*12,Paths!$E$68&lt;=C685*12)),Paths!$G$68,0),"n.a."))</f>
        <v>0</v>
      </c>
      <c r="J685" s="16">
        <f>IF(NOT(Paths!$C$68=1),0,IF(Paths!$P$68="Complete",IF(IF(Paths!$E$68=0,C685=0,AND(C685&gt;0,Paths!$E$68&gt;(C685-1)*12,Paths!$E$68&lt;=C685*12)),Paths!$H$68,0),"n.a."))</f>
        <v>0</v>
      </c>
      <c r="K685" s="16">
        <f>IF(NOT(Paths!$C$68=1),0,IF(Paths!$P$68="Complete",IF(IF(Paths!$O$68=0,C685=0,AND(C685&gt;0,Paths!$O$68&gt;(C685-1)*12,Paths!$O$68&lt;=C685*12)),Paths!$N$68,0),"n.a."))</f>
        <v>0</v>
      </c>
      <c r="L685" s="16">
        <f>IF(NOT(Paths!$C$68=1),0,IF(Paths!$P$68="Complete",IF(C685=10,Paths!$I$68,0),"n.a."))</f>
        <v>0</v>
      </c>
      <c r="M685" s="16">
        <f>IF(NOT(Paths!$C$68=1),0,IF(Paths!$P$68="Complete",IF(AND(Paths!$D$68="EV",Paths!$E$68&lt;120,Paths!$E$68+'Operating costs'!$B$65&gt;Paths!$E$68,Paths!$E$68+'Operating costs'!$B$65&lt;=120,IF(Paths!$E$68+'Operating costs'!$B$65=0,C685=0,AND(C685&gt;0,Paths!$E$68+'Operating costs'!$B$65&gt;(C685-1)*12,Paths!$E$68+'Operating costs'!$B$65&lt;=C685*12))),'Operating costs'!$B$64,0)+IF(AND('Operating costs'!$B$67&gt;0,'Operating costs'!$B$67&lt;=120,OR(Paths!$D$68="ICE",'Operating costs'!$B$67&lt;=Paths!$E$68),IF('Operating costs'!$B$67=0,C685=0,AND(C685&gt;0,'Operating costs'!$B$67&gt;(C685-1)*12,'Operating costs'!$B$67&lt;=C685*12))),'Operating costs'!$B$66,0),"n.a."))</f>
        <v>0</v>
      </c>
      <c r="N685" s="16">
        <f>IF(NOT(Paths!$C$68=1),0,IF(Paths!$P$68="Complete",SUM(G685:I685)-J685-K685-L685+M685+IF(C685=0,Paths!$F$68,0)+IF(IF(Paths!$E$68=0,C685=0,AND(C685&gt;0,Paths!$E$68&gt;(C685-1)*12,Paths!$E$68&lt;=C685*12)),VLOOKUP(A685,'Fleet register'!$A$7:$S$106,16,FALSE),0),"n.a."))</f>
        <v>0</v>
      </c>
      <c r="O685" s="16">
        <f>IF(NOT(Paths!$C$68=1),0,IF(Paths!$P$68="Complete",N685-IF(C685=0,Paths!$F$68,0),"n.a."))</f>
        <v>0</v>
      </c>
      <c r="P685" s="16">
        <f>IF(NOT(Paths!$C$68=1),0,IF(Paths!$P$68="Complete",O685+L685,"n.a."))</f>
        <v>0</v>
      </c>
      <c r="Q685" s="16">
        <f>IF(NOT(Paths!$C$68=1),0,IF(Paths!$P$68="Complete",N685*(1+'Operating costs'!$B$54)^-C685,"n.a."))</f>
        <v>0</v>
      </c>
      <c r="R685" s="16">
        <f>IF(NOT(Paths!$C$68=1),0,IF(Paths!$P$68="Complete",IF(AND(C685=0,Paths!$E$68=0),I685-J685-K685+VLOOKUP(A685,'Fleet register'!$A$7:$S$106,15,FALSE)+VLOOKUP(A685,'Fleet register'!$A$7:$S$106,16,FALSE),0),"n.a."))</f>
        <v>0</v>
      </c>
      <c r="S685" s="1">
        <f>IF(NOT(Paths!$C$68=1),0,IF(Paths!$P$68="Complete",IF(C685=0,0,Paths!$S$68*Paths!$R$68),"n.a."))</f>
        <v>0</v>
      </c>
      <c r="T685" s="1">
        <f>IF(NOT(Paths!$C$68=1),0,IF(Paths!$P$68="Complete",IF(C685=0,0,VLOOKUP(A685,'Fleet register'!$A$7:$S$106,9,FALSE)*Paths!$R$68),"n.a."))</f>
        <v>0</v>
      </c>
    </row>
    <row r="686" spans="1:20" ht="24" customHeight="1">
      <c r="A686" s="1" t="str">
        <f>Paths!$A$68</f>
        <v>T016</v>
      </c>
      <c r="B686" s="1">
        <f>Paths!$B$68</f>
        <v>1</v>
      </c>
      <c r="C686" s="1">
        <v>8</v>
      </c>
      <c r="D686" s="1">
        <v>68</v>
      </c>
      <c r="E686" s="1">
        <f>IF(OR(Paths!$C$68=0,C686=0),0,MAX(0,MIN(C686*12,Paths!$E$68)-(C686-1)*12))</f>
        <v>0</v>
      </c>
      <c r="F686" s="1">
        <f>IF(OR(Paths!$C$68=0,C686=0),0,12-E686)</f>
        <v>0</v>
      </c>
      <c r="G686" s="16">
        <f>IF(NOT(Paths!$C$68=1),0,IF(Paths!$P$68="Complete",E686/12*(Paths!$J$68*(1+'Operating costs'!$B$51)^MAX(0,C686-1)+Paths!$K$68*(1+'Operating costs'!$B$53)^MAX(0,C686-1)),"n.a."))</f>
        <v>0</v>
      </c>
      <c r="H686" s="16">
        <f>IF(NOT(Paths!$C$68=1),0,IF(Paths!$P$68="Complete",F686/12*(Paths!$L$68*(1+IF(Paths!$D$68="EV",'Operating costs'!$B$52,'Operating costs'!$B$51))^MAX(0,C686-1)+Paths!$M$68*(1+'Operating costs'!$B$53)^MAX(0,C686-1)),"n.a."))</f>
        <v>0</v>
      </c>
      <c r="I686" s="16">
        <f>IF(NOT(Paths!$C$68=1),0,IF(Paths!$P$68="Complete",IF(IF(Paths!$E$68=0,C686=0,AND(C686&gt;0,Paths!$E$68&gt;(C686-1)*12,Paths!$E$68&lt;=C686*12)),Paths!$G$68,0),"n.a."))</f>
        <v>0</v>
      </c>
      <c r="J686" s="16">
        <f>IF(NOT(Paths!$C$68=1),0,IF(Paths!$P$68="Complete",IF(IF(Paths!$E$68=0,C686=0,AND(C686&gt;0,Paths!$E$68&gt;(C686-1)*12,Paths!$E$68&lt;=C686*12)),Paths!$H$68,0),"n.a."))</f>
        <v>0</v>
      </c>
      <c r="K686" s="16">
        <f>IF(NOT(Paths!$C$68=1),0,IF(Paths!$P$68="Complete",IF(IF(Paths!$O$68=0,C686=0,AND(C686&gt;0,Paths!$O$68&gt;(C686-1)*12,Paths!$O$68&lt;=C686*12)),Paths!$N$68,0),"n.a."))</f>
        <v>0</v>
      </c>
      <c r="L686" s="16">
        <f>IF(NOT(Paths!$C$68=1),0,IF(Paths!$P$68="Complete",IF(C686=10,Paths!$I$68,0),"n.a."))</f>
        <v>0</v>
      </c>
      <c r="M686" s="16">
        <f>IF(NOT(Paths!$C$68=1),0,IF(Paths!$P$68="Complete",IF(AND(Paths!$D$68="EV",Paths!$E$68&lt;120,Paths!$E$68+'Operating costs'!$B$65&gt;Paths!$E$68,Paths!$E$68+'Operating costs'!$B$65&lt;=120,IF(Paths!$E$68+'Operating costs'!$B$65=0,C686=0,AND(C686&gt;0,Paths!$E$68+'Operating costs'!$B$65&gt;(C686-1)*12,Paths!$E$68+'Operating costs'!$B$65&lt;=C686*12))),'Operating costs'!$B$64,0)+IF(AND('Operating costs'!$B$67&gt;0,'Operating costs'!$B$67&lt;=120,OR(Paths!$D$68="ICE",'Operating costs'!$B$67&lt;=Paths!$E$68),IF('Operating costs'!$B$67=0,C686=0,AND(C686&gt;0,'Operating costs'!$B$67&gt;(C686-1)*12,'Operating costs'!$B$67&lt;=C686*12))),'Operating costs'!$B$66,0),"n.a."))</f>
        <v>0</v>
      </c>
      <c r="N686" s="16">
        <f>IF(NOT(Paths!$C$68=1),0,IF(Paths!$P$68="Complete",SUM(G686:I686)-J686-K686-L686+M686+IF(C686=0,Paths!$F$68,0)+IF(IF(Paths!$E$68=0,C686=0,AND(C686&gt;0,Paths!$E$68&gt;(C686-1)*12,Paths!$E$68&lt;=C686*12)),VLOOKUP(A686,'Fleet register'!$A$7:$S$106,16,FALSE),0),"n.a."))</f>
        <v>0</v>
      </c>
      <c r="O686" s="16">
        <f>IF(NOT(Paths!$C$68=1),0,IF(Paths!$P$68="Complete",N686-IF(C686=0,Paths!$F$68,0),"n.a."))</f>
        <v>0</v>
      </c>
      <c r="P686" s="16">
        <f>IF(NOT(Paths!$C$68=1),0,IF(Paths!$P$68="Complete",O686+L686,"n.a."))</f>
        <v>0</v>
      </c>
      <c r="Q686" s="16">
        <f>IF(NOT(Paths!$C$68=1),0,IF(Paths!$P$68="Complete",N686*(1+'Operating costs'!$B$54)^-C686,"n.a."))</f>
        <v>0</v>
      </c>
      <c r="R686" s="16">
        <f>IF(NOT(Paths!$C$68=1),0,IF(Paths!$P$68="Complete",IF(AND(C686=0,Paths!$E$68=0),I686-J686-K686+VLOOKUP(A686,'Fleet register'!$A$7:$S$106,15,FALSE)+VLOOKUP(A686,'Fleet register'!$A$7:$S$106,16,FALSE),0),"n.a."))</f>
        <v>0</v>
      </c>
      <c r="S686" s="1">
        <f>IF(NOT(Paths!$C$68=1),0,IF(Paths!$P$68="Complete",IF(C686=0,0,Paths!$S$68*Paths!$R$68),"n.a."))</f>
        <v>0</v>
      </c>
      <c r="T686" s="1">
        <f>IF(NOT(Paths!$C$68=1),0,IF(Paths!$P$68="Complete",IF(C686=0,0,VLOOKUP(A686,'Fleet register'!$A$7:$S$106,9,FALSE)*Paths!$R$68),"n.a."))</f>
        <v>0</v>
      </c>
    </row>
    <row r="687" spans="1:20" ht="24" customHeight="1">
      <c r="A687" s="1" t="str">
        <f>Paths!$A$68</f>
        <v>T016</v>
      </c>
      <c r="B687" s="1">
        <f>Paths!$B$68</f>
        <v>1</v>
      </c>
      <c r="C687" s="1">
        <v>9</v>
      </c>
      <c r="D687" s="1">
        <v>68</v>
      </c>
      <c r="E687" s="1">
        <f>IF(OR(Paths!$C$68=0,C687=0),0,MAX(0,MIN(C687*12,Paths!$E$68)-(C687-1)*12))</f>
        <v>0</v>
      </c>
      <c r="F687" s="1">
        <f>IF(OR(Paths!$C$68=0,C687=0),0,12-E687)</f>
        <v>0</v>
      </c>
      <c r="G687" s="16">
        <f>IF(NOT(Paths!$C$68=1),0,IF(Paths!$P$68="Complete",E687/12*(Paths!$J$68*(1+'Operating costs'!$B$51)^MAX(0,C687-1)+Paths!$K$68*(1+'Operating costs'!$B$53)^MAX(0,C687-1)),"n.a."))</f>
        <v>0</v>
      </c>
      <c r="H687" s="16">
        <f>IF(NOT(Paths!$C$68=1),0,IF(Paths!$P$68="Complete",F687/12*(Paths!$L$68*(1+IF(Paths!$D$68="EV",'Operating costs'!$B$52,'Operating costs'!$B$51))^MAX(0,C687-1)+Paths!$M$68*(1+'Operating costs'!$B$53)^MAX(0,C687-1)),"n.a."))</f>
        <v>0</v>
      </c>
      <c r="I687" s="16">
        <f>IF(NOT(Paths!$C$68=1),0,IF(Paths!$P$68="Complete",IF(IF(Paths!$E$68=0,C687=0,AND(C687&gt;0,Paths!$E$68&gt;(C687-1)*12,Paths!$E$68&lt;=C687*12)),Paths!$G$68,0),"n.a."))</f>
        <v>0</v>
      </c>
      <c r="J687" s="16">
        <f>IF(NOT(Paths!$C$68=1),0,IF(Paths!$P$68="Complete",IF(IF(Paths!$E$68=0,C687=0,AND(C687&gt;0,Paths!$E$68&gt;(C687-1)*12,Paths!$E$68&lt;=C687*12)),Paths!$H$68,0),"n.a."))</f>
        <v>0</v>
      </c>
      <c r="K687" s="16">
        <f>IF(NOT(Paths!$C$68=1),0,IF(Paths!$P$68="Complete",IF(IF(Paths!$O$68=0,C687=0,AND(C687&gt;0,Paths!$O$68&gt;(C687-1)*12,Paths!$O$68&lt;=C687*12)),Paths!$N$68,0),"n.a."))</f>
        <v>0</v>
      </c>
      <c r="L687" s="16">
        <f>IF(NOT(Paths!$C$68=1),0,IF(Paths!$P$68="Complete",IF(C687=10,Paths!$I$68,0),"n.a."))</f>
        <v>0</v>
      </c>
      <c r="M687" s="16">
        <f>IF(NOT(Paths!$C$68=1),0,IF(Paths!$P$68="Complete",IF(AND(Paths!$D$68="EV",Paths!$E$68&lt;120,Paths!$E$68+'Operating costs'!$B$65&gt;Paths!$E$68,Paths!$E$68+'Operating costs'!$B$65&lt;=120,IF(Paths!$E$68+'Operating costs'!$B$65=0,C687=0,AND(C687&gt;0,Paths!$E$68+'Operating costs'!$B$65&gt;(C687-1)*12,Paths!$E$68+'Operating costs'!$B$65&lt;=C687*12))),'Operating costs'!$B$64,0)+IF(AND('Operating costs'!$B$67&gt;0,'Operating costs'!$B$67&lt;=120,OR(Paths!$D$68="ICE",'Operating costs'!$B$67&lt;=Paths!$E$68),IF('Operating costs'!$B$67=0,C687=0,AND(C687&gt;0,'Operating costs'!$B$67&gt;(C687-1)*12,'Operating costs'!$B$67&lt;=C687*12))),'Operating costs'!$B$66,0),"n.a."))</f>
        <v>0</v>
      </c>
      <c r="N687" s="16">
        <f>IF(NOT(Paths!$C$68=1),0,IF(Paths!$P$68="Complete",SUM(G687:I687)-J687-K687-L687+M687+IF(C687=0,Paths!$F$68,0)+IF(IF(Paths!$E$68=0,C687=0,AND(C687&gt;0,Paths!$E$68&gt;(C687-1)*12,Paths!$E$68&lt;=C687*12)),VLOOKUP(A687,'Fleet register'!$A$7:$S$106,16,FALSE),0),"n.a."))</f>
        <v>0</v>
      </c>
      <c r="O687" s="16">
        <f>IF(NOT(Paths!$C$68=1),0,IF(Paths!$P$68="Complete",N687-IF(C687=0,Paths!$F$68,0),"n.a."))</f>
        <v>0</v>
      </c>
      <c r="P687" s="16">
        <f>IF(NOT(Paths!$C$68=1),0,IF(Paths!$P$68="Complete",O687+L687,"n.a."))</f>
        <v>0</v>
      </c>
      <c r="Q687" s="16">
        <f>IF(NOT(Paths!$C$68=1),0,IF(Paths!$P$68="Complete",N687*(1+'Operating costs'!$B$54)^-C687,"n.a."))</f>
        <v>0</v>
      </c>
      <c r="R687" s="16">
        <f>IF(NOT(Paths!$C$68=1),0,IF(Paths!$P$68="Complete",IF(AND(C687=0,Paths!$E$68=0),I687-J687-K687+VLOOKUP(A687,'Fleet register'!$A$7:$S$106,15,FALSE)+VLOOKUP(A687,'Fleet register'!$A$7:$S$106,16,FALSE),0),"n.a."))</f>
        <v>0</v>
      </c>
      <c r="S687" s="1">
        <f>IF(NOT(Paths!$C$68=1),0,IF(Paths!$P$68="Complete",IF(C687=0,0,Paths!$S$68*Paths!$R$68),"n.a."))</f>
        <v>0</v>
      </c>
      <c r="T687" s="1">
        <f>IF(NOT(Paths!$C$68=1),0,IF(Paths!$P$68="Complete",IF(C687=0,0,VLOOKUP(A687,'Fleet register'!$A$7:$S$106,9,FALSE)*Paths!$R$68),"n.a."))</f>
        <v>0</v>
      </c>
    </row>
    <row r="688" spans="1:20" ht="24" customHeight="1">
      <c r="A688" s="1" t="str">
        <f>Paths!$A$68</f>
        <v>T016</v>
      </c>
      <c r="B688" s="1">
        <f>Paths!$B$68</f>
        <v>1</v>
      </c>
      <c r="C688" s="1">
        <v>10</v>
      </c>
      <c r="D688" s="1">
        <v>68</v>
      </c>
      <c r="E688" s="1">
        <f>IF(OR(Paths!$C$68=0,C688=0),0,MAX(0,MIN(C688*12,Paths!$E$68)-(C688-1)*12))</f>
        <v>0</v>
      </c>
      <c r="F688" s="1">
        <f>IF(OR(Paths!$C$68=0,C688=0),0,12-E688)</f>
        <v>0</v>
      </c>
      <c r="G688" s="16">
        <f>IF(NOT(Paths!$C$68=1),0,IF(Paths!$P$68="Complete",E688/12*(Paths!$J$68*(1+'Operating costs'!$B$51)^MAX(0,C688-1)+Paths!$K$68*(1+'Operating costs'!$B$53)^MAX(0,C688-1)),"n.a."))</f>
        <v>0</v>
      </c>
      <c r="H688" s="16">
        <f>IF(NOT(Paths!$C$68=1),0,IF(Paths!$P$68="Complete",F688/12*(Paths!$L$68*(1+IF(Paths!$D$68="EV",'Operating costs'!$B$52,'Operating costs'!$B$51))^MAX(0,C688-1)+Paths!$M$68*(1+'Operating costs'!$B$53)^MAX(0,C688-1)),"n.a."))</f>
        <v>0</v>
      </c>
      <c r="I688" s="16">
        <f>IF(NOT(Paths!$C$68=1),0,IF(Paths!$P$68="Complete",IF(IF(Paths!$E$68=0,C688=0,AND(C688&gt;0,Paths!$E$68&gt;(C688-1)*12,Paths!$E$68&lt;=C688*12)),Paths!$G$68,0),"n.a."))</f>
        <v>0</v>
      </c>
      <c r="J688" s="16">
        <f>IF(NOT(Paths!$C$68=1),0,IF(Paths!$P$68="Complete",IF(IF(Paths!$E$68=0,C688=0,AND(C688&gt;0,Paths!$E$68&gt;(C688-1)*12,Paths!$E$68&lt;=C688*12)),Paths!$H$68,0),"n.a."))</f>
        <v>0</v>
      </c>
      <c r="K688" s="16">
        <f>IF(NOT(Paths!$C$68=1),0,IF(Paths!$P$68="Complete",IF(IF(Paths!$O$68=0,C688=0,AND(C688&gt;0,Paths!$O$68&gt;(C688-1)*12,Paths!$O$68&lt;=C688*12)),Paths!$N$68,0),"n.a."))</f>
        <v>0</v>
      </c>
      <c r="L688" s="16">
        <f>IF(NOT(Paths!$C$68=1),0,IF(Paths!$P$68="Complete",IF(C688=10,Paths!$I$68,0),"n.a."))</f>
        <v>0</v>
      </c>
      <c r="M688" s="16">
        <f>IF(NOT(Paths!$C$68=1),0,IF(Paths!$P$68="Complete",IF(AND(Paths!$D$68="EV",Paths!$E$68&lt;120,Paths!$E$68+'Operating costs'!$B$65&gt;Paths!$E$68,Paths!$E$68+'Operating costs'!$B$65&lt;=120,IF(Paths!$E$68+'Operating costs'!$B$65=0,C688=0,AND(C688&gt;0,Paths!$E$68+'Operating costs'!$B$65&gt;(C688-1)*12,Paths!$E$68+'Operating costs'!$B$65&lt;=C688*12))),'Operating costs'!$B$64,0)+IF(AND('Operating costs'!$B$67&gt;0,'Operating costs'!$B$67&lt;=120,OR(Paths!$D$68="ICE",'Operating costs'!$B$67&lt;=Paths!$E$68),IF('Operating costs'!$B$67=0,C688=0,AND(C688&gt;0,'Operating costs'!$B$67&gt;(C688-1)*12,'Operating costs'!$B$67&lt;=C688*12))),'Operating costs'!$B$66,0),"n.a."))</f>
        <v>0</v>
      </c>
      <c r="N688" s="16">
        <f>IF(NOT(Paths!$C$68=1),0,IF(Paths!$P$68="Complete",SUM(G688:I688)-J688-K688-L688+M688+IF(C688=0,Paths!$F$68,0)+IF(IF(Paths!$E$68=0,C688=0,AND(C688&gt;0,Paths!$E$68&gt;(C688-1)*12,Paths!$E$68&lt;=C688*12)),VLOOKUP(A688,'Fleet register'!$A$7:$S$106,16,FALSE),0),"n.a."))</f>
        <v>0</v>
      </c>
      <c r="O688" s="16">
        <f>IF(NOT(Paths!$C$68=1),0,IF(Paths!$P$68="Complete",N688-IF(C688=0,Paths!$F$68,0),"n.a."))</f>
        <v>0</v>
      </c>
      <c r="P688" s="16">
        <f>IF(NOT(Paths!$C$68=1),0,IF(Paths!$P$68="Complete",O688+L688,"n.a."))</f>
        <v>0</v>
      </c>
      <c r="Q688" s="16">
        <f>IF(NOT(Paths!$C$68=1),0,IF(Paths!$P$68="Complete",N688*(1+'Operating costs'!$B$54)^-C688,"n.a."))</f>
        <v>0</v>
      </c>
      <c r="R688" s="16">
        <f>IF(NOT(Paths!$C$68=1),0,IF(Paths!$P$68="Complete",IF(AND(C688=0,Paths!$E$68=0),I688-J688-K688+VLOOKUP(A688,'Fleet register'!$A$7:$S$106,15,FALSE)+VLOOKUP(A688,'Fleet register'!$A$7:$S$106,16,FALSE),0),"n.a."))</f>
        <v>0</v>
      </c>
      <c r="S688" s="1">
        <f>IF(NOT(Paths!$C$68=1),0,IF(Paths!$P$68="Complete",IF(C688=0,0,Paths!$S$68*Paths!$R$68),"n.a."))</f>
        <v>0</v>
      </c>
      <c r="T688" s="1">
        <f>IF(NOT(Paths!$C$68=1),0,IF(Paths!$P$68="Complete",IF(C688=0,0,VLOOKUP(A688,'Fleet register'!$A$7:$S$106,9,FALSE)*Paths!$R$68),"n.a."))</f>
        <v>0</v>
      </c>
    </row>
    <row r="689" spans="1:20" ht="24" customHeight="1">
      <c r="A689" s="1" t="str">
        <f>Paths!$A$69</f>
        <v>T016</v>
      </c>
      <c r="B689" s="1">
        <f>Paths!$B$69</f>
        <v>2</v>
      </c>
      <c r="C689" s="1">
        <v>0</v>
      </c>
      <c r="D689" s="1">
        <v>69</v>
      </c>
      <c r="E689" s="1">
        <f>IF(OR(Paths!$C$69=0,C689=0),0,MAX(0,MIN(C689*12,Paths!$E$69)-(C689-1)*12))</f>
        <v>0</v>
      </c>
      <c r="F689" s="1">
        <f>IF(OR(Paths!$C$69=0,C689=0),0,12-E689)</f>
        <v>0</v>
      </c>
      <c r="G689" s="16">
        <f>IF(NOT(Paths!$C$69=1),0,IF(Paths!$P$69="Complete",E689/12*(Paths!$J$69*(1+'Operating costs'!$B$51)^MAX(0,C689-1)+Paths!$K$69*(1+'Operating costs'!$B$53)^MAX(0,C689-1)),"n.a."))</f>
        <v>0</v>
      </c>
      <c r="H689" s="16">
        <f>IF(NOT(Paths!$C$69=1),0,IF(Paths!$P$69="Complete",F689/12*(Paths!$L$69*(1+IF(Paths!$D$69="EV",'Operating costs'!$B$52,'Operating costs'!$B$51))^MAX(0,C689-1)+Paths!$M$69*(1+'Operating costs'!$B$53)^MAX(0,C689-1)),"n.a."))</f>
        <v>0</v>
      </c>
      <c r="I689" s="16">
        <f>IF(NOT(Paths!$C$69=1),0,IF(Paths!$P$69="Complete",IF(IF(Paths!$E$69=0,C689=0,AND(C689&gt;0,Paths!$E$69&gt;(C689-1)*12,Paths!$E$69&lt;=C689*12)),Paths!$G$69,0),"n.a."))</f>
        <v>0</v>
      </c>
      <c r="J689" s="16">
        <f>IF(NOT(Paths!$C$69=1),0,IF(Paths!$P$69="Complete",IF(IF(Paths!$E$69=0,C689=0,AND(C689&gt;0,Paths!$E$69&gt;(C689-1)*12,Paths!$E$69&lt;=C689*12)),Paths!$H$69,0),"n.a."))</f>
        <v>0</v>
      </c>
      <c r="K689" s="16">
        <f>IF(NOT(Paths!$C$69=1),0,IF(Paths!$P$69="Complete",IF(IF(Paths!$O$69=0,C689=0,AND(C689&gt;0,Paths!$O$69&gt;(C689-1)*12,Paths!$O$69&lt;=C689*12)),Paths!$N$69,0),"n.a."))</f>
        <v>0</v>
      </c>
      <c r="L689" s="16">
        <f>IF(NOT(Paths!$C$69=1),0,IF(Paths!$P$69="Complete",IF(C689=10,Paths!$I$69,0),"n.a."))</f>
        <v>0</v>
      </c>
      <c r="M689" s="16">
        <f>IF(NOT(Paths!$C$69=1),0,IF(Paths!$P$69="Complete",IF(AND(Paths!$D$69="EV",Paths!$E$69&lt;120,Paths!$E$69+'Operating costs'!$B$65&gt;Paths!$E$69,Paths!$E$69+'Operating costs'!$B$65&lt;=120,IF(Paths!$E$69+'Operating costs'!$B$65=0,C689=0,AND(C689&gt;0,Paths!$E$69+'Operating costs'!$B$65&gt;(C689-1)*12,Paths!$E$69+'Operating costs'!$B$65&lt;=C689*12))),'Operating costs'!$B$64,0)+IF(AND('Operating costs'!$B$67&gt;0,'Operating costs'!$B$67&lt;=120,OR(Paths!$D$69="ICE",'Operating costs'!$B$67&lt;=Paths!$E$69),IF('Operating costs'!$B$67=0,C689=0,AND(C689&gt;0,'Operating costs'!$B$67&gt;(C689-1)*12,'Operating costs'!$B$67&lt;=C689*12))),'Operating costs'!$B$66,0),"n.a."))</f>
        <v>0</v>
      </c>
      <c r="N689" s="16">
        <f>IF(NOT(Paths!$C$69=1),0,IF(Paths!$P$69="Complete",SUM(G689:I689)-J689-K689-L689+M689+IF(C689=0,Paths!$F$69,0)+IF(IF(Paths!$E$69=0,C689=0,AND(C689&gt;0,Paths!$E$69&gt;(C689-1)*12,Paths!$E$69&lt;=C689*12)),VLOOKUP(A689,'Fleet register'!$A$7:$S$106,16,FALSE),0),"n.a."))</f>
        <v>0</v>
      </c>
      <c r="O689" s="16">
        <f>IF(NOT(Paths!$C$69=1),0,IF(Paths!$P$69="Complete",N689-IF(C689=0,Paths!$F$69,0),"n.a."))</f>
        <v>0</v>
      </c>
      <c r="P689" s="16">
        <f>IF(NOT(Paths!$C$69=1),0,IF(Paths!$P$69="Complete",O689+L689,"n.a."))</f>
        <v>0</v>
      </c>
      <c r="Q689" s="16">
        <f>IF(NOT(Paths!$C$69=1),0,IF(Paths!$P$69="Complete",N689*(1+'Operating costs'!$B$54)^-C689,"n.a."))</f>
        <v>0</v>
      </c>
      <c r="R689" s="16">
        <f>IF(NOT(Paths!$C$69=1),0,IF(Paths!$P$69="Complete",IF(AND(C689=0,Paths!$E$69=0),I689-J689-K689+VLOOKUP(A689,'Fleet register'!$A$7:$S$106,15,FALSE)+VLOOKUP(A689,'Fleet register'!$A$7:$S$106,16,FALSE),0),"n.a."))</f>
        <v>0</v>
      </c>
      <c r="S689" s="1">
        <f>IF(NOT(Paths!$C$69=1),0,IF(Paths!$P$69="Complete",IF(C689=0,0,Paths!$S$69*Paths!$R$69),"n.a."))</f>
        <v>0</v>
      </c>
      <c r="T689" s="1">
        <f>IF(NOT(Paths!$C$69=1),0,IF(Paths!$P$69="Complete",IF(C689=0,0,VLOOKUP(A689,'Fleet register'!$A$7:$S$106,9,FALSE)*Paths!$R$69),"n.a."))</f>
        <v>0</v>
      </c>
    </row>
    <row r="690" spans="1:20" ht="24" customHeight="1">
      <c r="A690" s="1" t="str">
        <f>Paths!$A$69</f>
        <v>T016</v>
      </c>
      <c r="B690" s="1">
        <f>Paths!$B$69</f>
        <v>2</v>
      </c>
      <c r="C690" s="1">
        <v>1</v>
      </c>
      <c r="D690" s="1">
        <v>69</v>
      </c>
      <c r="E690" s="1">
        <f>IF(OR(Paths!$C$69=0,C690=0),0,MAX(0,MIN(C690*12,Paths!$E$69)-(C690-1)*12))</f>
        <v>0</v>
      </c>
      <c r="F690" s="1">
        <f>IF(OR(Paths!$C$69=0,C690=0),0,12-E690)</f>
        <v>0</v>
      </c>
      <c r="G690" s="16">
        <f>IF(NOT(Paths!$C$69=1),0,IF(Paths!$P$69="Complete",E690/12*(Paths!$J$69*(1+'Operating costs'!$B$51)^MAX(0,C690-1)+Paths!$K$69*(1+'Operating costs'!$B$53)^MAX(0,C690-1)),"n.a."))</f>
        <v>0</v>
      </c>
      <c r="H690" s="16">
        <f>IF(NOT(Paths!$C$69=1),0,IF(Paths!$P$69="Complete",F690/12*(Paths!$L$69*(1+IF(Paths!$D$69="EV",'Operating costs'!$B$52,'Operating costs'!$B$51))^MAX(0,C690-1)+Paths!$M$69*(1+'Operating costs'!$B$53)^MAX(0,C690-1)),"n.a."))</f>
        <v>0</v>
      </c>
      <c r="I690" s="16">
        <f>IF(NOT(Paths!$C$69=1),0,IF(Paths!$P$69="Complete",IF(IF(Paths!$E$69=0,C690=0,AND(C690&gt;0,Paths!$E$69&gt;(C690-1)*12,Paths!$E$69&lt;=C690*12)),Paths!$G$69,0),"n.a."))</f>
        <v>0</v>
      </c>
      <c r="J690" s="16">
        <f>IF(NOT(Paths!$C$69=1),0,IF(Paths!$P$69="Complete",IF(IF(Paths!$E$69=0,C690=0,AND(C690&gt;0,Paths!$E$69&gt;(C690-1)*12,Paths!$E$69&lt;=C690*12)),Paths!$H$69,0),"n.a."))</f>
        <v>0</v>
      </c>
      <c r="K690" s="16">
        <f>IF(NOT(Paths!$C$69=1),0,IF(Paths!$P$69="Complete",IF(IF(Paths!$O$69=0,C690=0,AND(C690&gt;0,Paths!$O$69&gt;(C690-1)*12,Paths!$O$69&lt;=C690*12)),Paths!$N$69,0),"n.a."))</f>
        <v>0</v>
      </c>
      <c r="L690" s="16">
        <f>IF(NOT(Paths!$C$69=1),0,IF(Paths!$P$69="Complete",IF(C690=10,Paths!$I$69,0),"n.a."))</f>
        <v>0</v>
      </c>
      <c r="M690" s="16">
        <f>IF(NOT(Paths!$C$69=1),0,IF(Paths!$P$69="Complete",IF(AND(Paths!$D$69="EV",Paths!$E$69&lt;120,Paths!$E$69+'Operating costs'!$B$65&gt;Paths!$E$69,Paths!$E$69+'Operating costs'!$B$65&lt;=120,IF(Paths!$E$69+'Operating costs'!$B$65=0,C690=0,AND(C690&gt;0,Paths!$E$69+'Operating costs'!$B$65&gt;(C690-1)*12,Paths!$E$69+'Operating costs'!$B$65&lt;=C690*12))),'Operating costs'!$B$64,0)+IF(AND('Operating costs'!$B$67&gt;0,'Operating costs'!$B$67&lt;=120,OR(Paths!$D$69="ICE",'Operating costs'!$B$67&lt;=Paths!$E$69),IF('Operating costs'!$B$67=0,C690=0,AND(C690&gt;0,'Operating costs'!$B$67&gt;(C690-1)*12,'Operating costs'!$B$67&lt;=C690*12))),'Operating costs'!$B$66,0),"n.a."))</f>
        <v>0</v>
      </c>
      <c r="N690" s="16">
        <f>IF(NOT(Paths!$C$69=1),0,IF(Paths!$P$69="Complete",SUM(G690:I690)-J690-K690-L690+M690+IF(C690=0,Paths!$F$69,0)+IF(IF(Paths!$E$69=0,C690=0,AND(C690&gt;0,Paths!$E$69&gt;(C690-1)*12,Paths!$E$69&lt;=C690*12)),VLOOKUP(A690,'Fleet register'!$A$7:$S$106,16,FALSE),0),"n.a."))</f>
        <v>0</v>
      </c>
      <c r="O690" s="16">
        <f>IF(NOT(Paths!$C$69=1),0,IF(Paths!$P$69="Complete",N690-IF(C690=0,Paths!$F$69,0),"n.a."))</f>
        <v>0</v>
      </c>
      <c r="P690" s="16">
        <f>IF(NOT(Paths!$C$69=1),0,IF(Paths!$P$69="Complete",O690+L690,"n.a."))</f>
        <v>0</v>
      </c>
      <c r="Q690" s="16">
        <f>IF(NOT(Paths!$C$69=1),0,IF(Paths!$P$69="Complete",N690*(1+'Operating costs'!$B$54)^-C690,"n.a."))</f>
        <v>0</v>
      </c>
      <c r="R690" s="16">
        <f>IF(NOT(Paths!$C$69=1),0,IF(Paths!$P$69="Complete",IF(AND(C690=0,Paths!$E$69=0),I690-J690-K690+VLOOKUP(A690,'Fleet register'!$A$7:$S$106,15,FALSE)+VLOOKUP(A690,'Fleet register'!$A$7:$S$106,16,FALSE),0),"n.a."))</f>
        <v>0</v>
      </c>
      <c r="S690" s="1">
        <f>IF(NOT(Paths!$C$69=1),0,IF(Paths!$P$69="Complete",IF(C690=0,0,Paths!$S$69*Paths!$R$69),"n.a."))</f>
        <v>0</v>
      </c>
      <c r="T690" s="1">
        <f>IF(NOT(Paths!$C$69=1),0,IF(Paths!$P$69="Complete",IF(C690=0,0,VLOOKUP(A690,'Fleet register'!$A$7:$S$106,9,FALSE)*Paths!$R$69),"n.a."))</f>
        <v>0</v>
      </c>
    </row>
    <row r="691" spans="1:20" ht="24" customHeight="1">
      <c r="A691" s="1" t="str">
        <f>Paths!$A$69</f>
        <v>T016</v>
      </c>
      <c r="B691" s="1">
        <f>Paths!$B$69</f>
        <v>2</v>
      </c>
      <c r="C691" s="1">
        <v>2</v>
      </c>
      <c r="D691" s="1">
        <v>69</v>
      </c>
      <c r="E691" s="1">
        <f>IF(OR(Paths!$C$69=0,C691=0),0,MAX(0,MIN(C691*12,Paths!$E$69)-(C691-1)*12))</f>
        <v>0</v>
      </c>
      <c r="F691" s="1">
        <f>IF(OR(Paths!$C$69=0,C691=0),0,12-E691)</f>
        <v>0</v>
      </c>
      <c r="G691" s="16">
        <f>IF(NOT(Paths!$C$69=1),0,IF(Paths!$P$69="Complete",E691/12*(Paths!$J$69*(1+'Operating costs'!$B$51)^MAX(0,C691-1)+Paths!$K$69*(1+'Operating costs'!$B$53)^MAX(0,C691-1)),"n.a."))</f>
        <v>0</v>
      </c>
      <c r="H691" s="16">
        <f>IF(NOT(Paths!$C$69=1),0,IF(Paths!$P$69="Complete",F691/12*(Paths!$L$69*(1+IF(Paths!$D$69="EV",'Operating costs'!$B$52,'Operating costs'!$B$51))^MAX(0,C691-1)+Paths!$M$69*(1+'Operating costs'!$B$53)^MAX(0,C691-1)),"n.a."))</f>
        <v>0</v>
      </c>
      <c r="I691" s="16">
        <f>IF(NOT(Paths!$C$69=1),0,IF(Paths!$P$69="Complete",IF(IF(Paths!$E$69=0,C691=0,AND(C691&gt;0,Paths!$E$69&gt;(C691-1)*12,Paths!$E$69&lt;=C691*12)),Paths!$G$69,0),"n.a."))</f>
        <v>0</v>
      </c>
      <c r="J691" s="16">
        <f>IF(NOT(Paths!$C$69=1),0,IF(Paths!$P$69="Complete",IF(IF(Paths!$E$69=0,C691=0,AND(C691&gt;0,Paths!$E$69&gt;(C691-1)*12,Paths!$E$69&lt;=C691*12)),Paths!$H$69,0),"n.a."))</f>
        <v>0</v>
      </c>
      <c r="K691" s="16">
        <f>IF(NOT(Paths!$C$69=1),0,IF(Paths!$P$69="Complete",IF(IF(Paths!$O$69=0,C691=0,AND(C691&gt;0,Paths!$O$69&gt;(C691-1)*12,Paths!$O$69&lt;=C691*12)),Paths!$N$69,0),"n.a."))</f>
        <v>0</v>
      </c>
      <c r="L691" s="16">
        <f>IF(NOT(Paths!$C$69=1),0,IF(Paths!$P$69="Complete",IF(C691=10,Paths!$I$69,0),"n.a."))</f>
        <v>0</v>
      </c>
      <c r="M691" s="16">
        <f>IF(NOT(Paths!$C$69=1),0,IF(Paths!$P$69="Complete",IF(AND(Paths!$D$69="EV",Paths!$E$69&lt;120,Paths!$E$69+'Operating costs'!$B$65&gt;Paths!$E$69,Paths!$E$69+'Operating costs'!$B$65&lt;=120,IF(Paths!$E$69+'Operating costs'!$B$65=0,C691=0,AND(C691&gt;0,Paths!$E$69+'Operating costs'!$B$65&gt;(C691-1)*12,Paths!$E$69+'Operating costs'!$B$65&lt;=C691*12))),'Operating costs'!$B$64,0)+IF(AND('Operating costs'!$B$67&gt;0,'Operating costs'!$B$67&lt;=120,OR(Paths!$D$69="ICE",'Operating costs'!$B$67&lt;=Paths!$E$69),IF('Operating costs'!$B$67=0,C691=0,AND(C691&gt;0,'Operating costs'!$B$67&gt;(C691-1)*12,'Operating costs'!$B$67&lt;=C691*12))),'Operating costs'!$B$66,0),"n.a."))</f>
        <v>0</v>
      </c>
      <c r="N691" s="16">
        <f>IF(NOT(Paths!$C$69=1),0,IF(Paths!$P$69="Complete",SUM(G691:I691)-J691-K691-L691+M691+IF(C691=0,Paths!$F$69,0)+IF(IF(Paths!$E$69=0,C691=0,AND(C691&gt;0,Paths!$E$69&gt;(C691-1)*12,Paths!$E$69&lt;=C691*12)),VLOOKUP(A691,'Fleet register'!$A$7:$S$106,16,FALSE),0),"n.a."))</f>
        <v>0</v>
      </c>
      <c r="O691" s="16">
        <f>IF(NOT(Paths!$C$69=1),0,IF(Paths!$P$69="Complete",N691-IF(C691=0,Paths!$F$69,0),"n.a."))</f>
        <v>0</v>
      </c>
      <c r="P691" s="16">
        <f>IF(NOT(Paths!$C$69=1),0,IF(Paths!$P$69="Complete",O691+L691,"n.a."))</f>
        <v>0</v>
      </c>
      <c r="Q691" s="16">
        <f>IF(NOT(Paths!$C$69=1),0,IF(Paths!$P$69="Complete",N691*(1+'Operating costs'!$B$54)^-C691,"n.a."))</f>
        <v>0</v>
      </c>
      <c r="R691" s="16">
        <f>IF(NOT(Paths!$C$69=1),0,IF(Paths!$P$69="Complete",IF(AND(C691=0,Paths!$E$69=0),I691-J691-K691+VLOOKUP(A691,'Fleet register'!$A$7:$S$106,15,FALSE)+VLOOKUP(A691,'Fleet register'!$A$7:$S$106,16,FALSE),0),"n.a."))</f>
        <v>0</v>
      </c>
      <c r="S691" s="1">
        <f>IF(NOT(Paths!$C$69=1),0,IF(Paths!$P$69="Complete",IF(C691=0,0,Paths!$S$69*Paths!$R$69),"n.a."))</f>
        <v>0</v>
      </c>
      <c r="T691" s="1">
        <f>IF(NOT(Paths!$C$69=1),0,IF(Paths!$P$69="Complete",IF(C691=0,0,VLOOKUP(A691,'Fleet register'!$A$7:$S$106,9,FALSE)*Paths!$R$69),"n.a."))</f>
        <v>0</v>
      </c>
    </row>
    <row r="692" spans="1:20" ht="24" customHeight="1">
      <c r="A692" s="1" t="str">
        <f>Paths!$A$69</f>
        <v>T016</v>
      </c>
      <c r="B692" s="1">
        <f>Paths!$B$69</f>
        <v>2</v>
      </c>
      <c r="C692" s="1">
        <v>3</v>
      </c>
      <c r="D692" s="1">
        <v>69</v>
      </c>
      <c r="E692" s="1">
        <f>IF(OR(Paths!$C$69=0,C692=0),0,MAX(0,MIN(C692*12,Paths!$E$69)-(C692-1)*12))</f>
        <v>0</v>
      </c>
      <c r="F692" s="1">
        <f>IF(OR(Paths!$C$69=0,C692=0),0,12-E692)</f>
        <v>0</v>
      </c>
      <c r="G692" s="16">
        <f>IF(NOT(Paths!$C$69=1),0,IF(Paths!$P$69="Complete",E692/12*(Paths!$J$69*(1+'Operating costs'!$B$51)^MAX(0,C692-1)+Paths!$K$69*(1+'Operating costs'!$B$53)^MAX(0,C692-1)),"n.a."))</f>
        <v>0</v>
      </c>
      <c r="H692" s="16">
        <f>IF(NOT(Paths!$C$69=1),0,IF(Paths!$P$69="Complete",F692/12*(Paths!$L$69*(1+IF(Paths!$D$69="EV",'Operating costs'!$B$52,'Operating costs'!$B$51))^MAX(0,C692-1)+Paths!$M$69*(1+'Operating costs'!$B$53)^MAX(0,C692-1)),"n.a."))</f>
        <v>0</v>
      </c>
      <c r="I692" s="16">
        <f>IF(NOT(Paths!$C$69=1),0,IF(Paths!$P$69="Complete",IF(IF(Paths!$E$69=0,C692=0,AND(C692&gt;0,Paths!$E$69&gt;(C692-1)*12,Paths!$E$69&lt;=C692*12)),Paths!$G$69,0),"n.a."))</f>
        <v>0</v>
      </c>
      <c r="J692" s="16">
        <f>IF(NOT(Paths!$C$69=1),0,IF(Paths!$P$69="Complete",IF(IF(Paths!$E$69=0,C692=0,AND(C692&gt;0,Paths!$E$69&gt;(C692-1)*12,Paths!$E$69&lt;=C692*12)),Paths!$H$69,0),"n.a."))</f>
        <v>0</v>
      </c>
      <c r="K692" s="16">
        <f>IF(NOT(Paths!$C$69=1),0,IF(Paths!$P$69="Complete",IF(IF(Paths!$O$69=0,C692=0,AND(C692&gt;0,Paths!$O$69&gt;(C692-1)*12,Paths!$O$69&lt;=C692*12)),Paths!$N$69,0),"n.a."))</f>
        <v>0</v>
      </c>
      <c r="L692" s="16">
        <f>IF(NOT(Paths!$C$69=1),0,IF(Paths!$P$69="Complete",IF(C692=10,Paths!$I$69,0),"n.a."))</f>
        <v>0</v>
      </c>
      <c r="M692" s="16">
        <f>IF(NOT(Paths!$C$69=1),0,IF(Paths!$P$69="Complete",IF(AND(Paths!$D$69="EV",Paths!$E$69&lt;120,Paths!$E$69+'Operating costs'!$B$65&gt;Paths!$E$69,Paths!$E$69+'Operating costs'!$B$65&lt;=120,IF(Paths!$E$69+'Operating costs'!$B$65=0,C692=0,AND(C692&gt;0,Paths!$E$69+'Operating costs'!$B$65&gt;(C692-1)*12,Paths!$E$69+'Operating costs'!$B$65&lt;=C692*12))),'Operating costs'!$B$64,0)+IF(AND('Operating costs'!$B$67&gt;0,'Operating costs'!$B$67&lt;=120,OR(Paths!$D$69="ICE",'Operating costs'!$B$67&lt;=Paths!$E$69),IF('Operating costs'!$B$67=0,C692=0,AND(C692&gt;0,'Operating costs'!$B$67&gt;(C692-1)*12,'Operating costs'!$B$67&lt;=C692*12))),'Operating costs'!$B$66,0),"n.a."))</f>
        <v>0</v>
      </c>
      <c r="N692" s="16">
        <f>IF(NOT(Paths!$C$69=1),0,IF(Paths!$P$69="Complete",SUM(G692:I692)-J692-K692-L692+M692+IF(C692=0,Paths!$F$69,0)+IF(IF(Paths!$E$69=0,C692=0,AND(C692&gt;0,Paths!$E$69&gt;(C692-1)*12,Paths!$E$69&lt;=C692*12)),VLOOKUP(A692,'Fleet register'!$A$7:$S$106,16,FALSE),0),"n.a."))</f>
        <v>0</v>
      </c>
      <c r="O692" s="16">
        <f>IF(NOT(Paths!$C$69=1),0,IF(Paths!$P$69="Complete",N692-IF(C692=0,Paths!$F$69,0),"n.a."))</f>
        <v>0</v>
      </c>
      <c r="P692" s="16">
        <f>IF(NOT(Paths!$C$69=1),0,IF(Paths!$P$69="Complete",O692+L692,"n.a."))</f>
        <v>0</v>
      </c>
      <c r="Q692" s="16">
        <f>IF(NOT(Paths!$C$69=1),0,IF(Paths!$P$69="Complete",N692*(1+'Operating costs'!$B$54)^-C692,"n.a."))</f>
        <v>0</v>
      </c>
      <c r="R692" s="16">
        <f>IF(NOT(Paths!$C$69=1),0,IF(Paths!$P$69="Complete",IF(AND(C692=0,Paths!$E$69=0),I692-J692-K692+VLOOKUP(A692,'Fleet register'!$A$7:$S$106,15,FALSE)+VLOOKUP(A692,'Fleet register'!$A$7:$S$106,16,FALSE),0),"n.a."))</f>
        <v>0</v>
      </c>
      <c r="S692" s="1">
        <f>IF(NOT(Paths!$C$69=1),0,IF(Paths!$P$69="Complete",IF(C692=0,0,Paths!$S$69*Paths!$R$69),"n.a."))</f>
        <v>0</v>
      </c>
      <c r="T692" s="1">
        <f>IF(NOT(Paths!$C$69=1),0,IF(Paths!$P$69="Complete",IF(C692=0,0,VLOOKUP(A692,'Fleet register'!$A$7:$S$106,9,FALSE)*Paths!$R$69),"n.a."))</f>
        <v>0</v>
      </c>
    </row>
    <row r="693" spans="1:20" ht="24" customHeight="1">
      <c r="A693" s="1" t="str">
        <f>Paths!$A$69</f>
        <v>T016</v>
      </c>
      <c r="B693" s="1">
        <f>Paths!$B$69</f>
        <v>2</v>
      </c>
      <c r="C693" s="1">
        <v>4</v>
      </c>
      <c r="D693" s="1">
        <v>69</v>
      </c>
      <c r="E693" s="1">
        <f>IF(OR(Paths!$C$69=0,C693=0),0,MAX(0,MIN(C693*12,Paths!$E$69)-(C693-1)*12))</f>
        <v>0</v>
      </c>
      <c r="F693" s="1">
        <f>IF(OR(Paths!$C$69=0,C693=0),0,12-E693)</f>
        <v>0</v>
      </c>
      <c r="G693" s="16">
        <f>IF(NOT(Paths!$C$69=1),0,IF(Paths!$P$69="Complete",E693/12*(Paths!$J$69*(1+'Operating costs'!$B$51)^MAX(0,C693-1)+Paths!$K$69*(1+'Operating costs'!$B$53)^MAX(0,C693-1)),"n.a."))</f>
        <v>0</v>
      </c>
      <c r="H693" s="16">
        <f>IF(NOT(Paths!$C$69=1),0,IF(Paths!$P$69="Complete",F693/12*(Paths!$L$69*(1+IF(Paths!$D$69="EV",'Operating costs'!$B$52,'Operating costs'!$B$51))^MAX(0,C693-1)+Paths!$M$69*(1+'Operating costs'!$B$53)^MAX(0,C693-1)),"n.a."))</f>
        <v>0</v>
      </c>
      <c r="I693" s="16">
        <f>IF(NOT(Paths!$C$69=1),0,IF(Paths!$P$69="Complete",IF(IF(Paths!$E$69=0,C693=0,AND(C693&gt;0,Paths!$E$69&gt;(C693-1)*12,Paths!$E$69&lt;=C693*12)),Paths!$G$69,0),"n.a."))</f>
        <v>0</v>
      </c>
      <c r="J693" s="16">
        <f>IF(NOT(Paths!$C$69=1),0,IF(Paths!$P$69="Complete",IF(IF(Paths!$E$69=0,C693=0,AND(C693&gt;0,Paths!$E$69&gt;(C693-1)*12,Paths!$E$69&lt;=C693*12)),Paths!$H$69,0),"n.a."))</f>
        <v>0</v>
      </c>
      <c r="K693" s="16">
        <f>IF(NOT(Paths!$C$69=1),0,IF(Paths!$P$69="Complete",IF(IF(Paths!$O$69=0,C693=0,AND(C693&gt;0,Paths!$O$69&gt;(C693-1)*12,Paths!$O$69&lt;=C693*12)),Paths!$N$69,0),"n.a."))</f>
        <v>0</v>
      </c>
      <c r="L693" s="16">
        <f>IF(NOT(Paths!$C$69=1),0,IF(Paths!$P$69="Complete",IF(C693=10,Paths!$I$69,0),"n.a."))</f>
        <v>0</v>
      </c>
      <c r="M693" s="16">
        <f>IF(NOT(Paths!$C$69=1),0,IF(Paths!$P$69="Complete",IF(AND(Paths!$D$69="EV",Paths!$E$69&lt;120,Paths!$E$69+'Operating costs'!$B$65&gt;Paths!$E$69,Paths!$E$69+'Operating costs'!$B$65&lt;=120,IF(Paths!$E$69+'Operating costs'!$B$65=0,C693=0,AND(C693&gt;0,Paths!$E$69+'Operating costs'!$B$65&gt;(C693-1)*12,Paths!$E$69+'Operating costs'!$B$65&lt;=C693*12))),'Operating costs'!$B$64,0)+IF(AND('Operating costs'!$B$67&gt;0,'Operating costs'!$B$67&lt;=120,OR(Paths!$D$69="ICE",'Operating costs'!$B$67&lt;=Paths!$E$69),IF('Operating costs'!$B$67=0,C693=0,AND(C693&gt;0,'Operating costs'!$B$67&gt;(C693-1)*12,'Operating costs'!$B$67&lt;=C693*12))),'Operating costs'!$B$66,0),"n.a."))</f>
        <v>0</v>
      </c>
      <c r="N693" s="16">
        <f>IF(NOT(Paths!$C$69=1),0,IF(Paths!$P$69="Complete",SUM(G693:I693)-J693-K693-L693+M693+IF(C693=0,Paths!$F$69,0)+IF(IF(Paths!$E$69=0,C693=0,AND(C693&gt;0,Paths!$E$69&gt;(C693-1)*12,Paths!$E$69&lt;=C693*12)),VLOOKUP(A693,'Fleet register'!$A$7:$S$106,16,FALSE),0),"n.a."))</f>
        <v>0</v>
      </c>
      <c r="O693" s="16">
        <f>IF(NOT(Paths!$C$69=1),0,IF(Paths!$P$69="Complete",N693-IF(C693=0,Paths!$F$69,0),"n.a."))</f>
        <v>0</v>
      </c>
      <c r="P693" s="16">
        <f>IF(NOT(Paths!$C$69=1),0,IF(Paths!$P$69="Complete",O693+L693,"n.a."))</f>
        <v>0</v>
      </c>
      <c r="Q693" s="16">
        <f>IF(NOT(Paths!$C$69=1),0,IF(Paths!$P$69="Complete",N693*(1+'Operating costs'!$B$54)^-C693,"n.a."))</f>
        <v>0</v>
      </c>
      <c r="R693" s="16">
        <f>IF(NOT(Paths!$C$69=1),0,IF(Paths!$P$69="Complete",IF(AND(C693=0,Paths!$E$69=0),I693-J693-K693+VLOOKUP(A693,'Fleet register'!$A$7:$S$106,15,FALSE)+VLOOKUP(A693,'Fleet register'!$A$7:$S$106,16,FALSE),0),"n.a."))</f>
        <v>0</v>
      </c>
      <c r="S693" s="1">
        <f>IF(NOT(Paths!$C$69=1),0,IF(Paths!$P$69="Complete",IF(C693=0,0,Paths!$S$69*Paths!$R$69),"n.a."))</f>
        <v>0</v>
      </c>
      <c r="T693" s="1">
        <f>IF(NOT(Paths!$C$69=1),0,IF(Paths!$P$69="Complete",IF(C693=0,0,VLOOKUP(A693,'Fleet register'!$A$7:$S$106,9,FALSE)*Paths!$R$69),"n.a."))</f>
        <v>0</v>
      </c>
    </row>
    <row r="694" spans="1:20" ht="24" customHeight="1">
      <c r="A694" s="1" t="str">
        <f>Paths!$A$69</f>
        <v>T016</v>
      </c>
      <c r="B694" s="1">
        <f>Paths!$B$69</f>
        <v>2</v>
      </c>
      <c r="C694" s="1">
        <v>5</v>
      </c>
      <c r="D694" s="1">
        <v>69</v>
      </c>
      <c r="E694" s="1">
        <f>IF(OR(Paths!$C$69=0,C694=0),0,MAX(0,MIN(C694*12,Paths!$E$69)-(C694-1)*12))</f>
        <v>0</v>
      </c>
      <c r="F694" s="1">
        <f>IF(OR(Paths!$C$69=0,C694=0),0,12-E694)</f>
        <v>0</v>
      </c>
      <c r="G694" s="16">
        <f>IF(NOT(Paths!$C$69=1),0,IF(Paths!$P$69="Complete",E694/12*(Paths!$J$69*(1+'Operating costs'!$B$51)^MAX(0,C694-1)+Paths!$K$69*(1+'Operating costs'!$B$53)^MAX(0,C694-1)),"n.a."))</f>
        <v>0</v>
      </c>
      <c r="H694" s="16">
        <f>IF(NOT(Paths!$C$69=1),0,IF(Paths!$P$69="Complete",F694/12*(Paths!$L$69*(1+IF(Paths!$D$69="EV",'Operating costs'!$B$52,'Operating costs'!$B$51))^MAX(0,C694-1)+Paths!$M$69*(1+'Operating costs'!$B$53)^MAX(0,C694-1)),"n.a."))</f>
        <v>0</v>
      </c>
      <c r="I694" s="16">
        <f>IF(NOT(Paths!$C$69=1),0,IF(Paths!$P$69="Complete",IF(IF(Paths!$E$69=0,C694=0,AND(C694&gt;0,Paths!$E$69&gt;(C694-1)*12,Paths!$E$69&lt;=C694*12)),Paths!$G$69,0),"n.a."))</f>
        <v>0</v>
      </c>
      <c r="J694" s="16">
        <f>IF(NOT(Paths!$C$69=1),0,IF(Paths!$P$69="Complete",IF(IF(Paths!$E$69=0,C694=0,AND(C694&gt;0,Paths!$E$69&gt;(C694-1)*12,Paths!$E$69&lt;=C694*12)),Paths!$H$69,0),"n.a."))</f>
        <v>0</v>
      </c>
      <c r="K694" s="16">
        <f>IF(NOT(Paths!$C$69=1),0,IF(Paths!$P$69="Complete",IF(IF(Paths!$O$69=0,C694=0,AND(C694&gt;0,Paths!$O$69&gt;(C694-1)*12,Paths!$O$69&lt;=C694*12)),Paths!$N$69,0),"n.a."))</f>
        <v>0</v>
      </c>
      <c r="L694" s="16">
        <f>IF(NOT(Paths!$C$69=1),0,IF(Paths!$P$69="Complete",IF(C694=10,Paths!$I$69,0),"n.a."))</f>
        <v>0</v>
      </c>
      <c r="M694" s="16">
        <f>IF(NOT(Paths!$C$69=1),0,IF(Paths!$P$69="Complete",IF(AND(Paths!$D$69="EV",Paths!$E$69&lt;120,Paths!$E$69+'Operating costs'!$B$65&gt;Paths!$E$69,Paths!$E$69+'Operating costs'!$B$65&lt;=120,IF(Paths!$E$69+'Operating costs'!$B$65=0,C694=0,AND(C694&gt;0,Paths!$E$69+'Operating costs'!$B$65&gt;(C694-1)*12,Paths!$E$69+'Operating costs'!$B$65&lt;=C694*12))),'Operating costs'!$B$64,0)+IF(AND('Operating costs'!$B$67&gt;0,'Operating costs'!$B$67&lt;=120,OR(Paths!$D$69="ICE",'Operating costs'!$B$67&lt;=Paths!$E$69),IF('Operating costs'!$B$67=0,C694=0,AND(C694&gt;0,'Operating costs'!$B$67&gt;(C694-1)*12,'Operating costs'!$B$67&lt;=C694*12))),'Operating costs'!$B$66,0),"n.a."))</f>
        <v>0</v>
      </c>
      <c r="N694" s="16">
        <f>IF(NOT(Paths!$C$69=1),0,IF(Paths!$P$69="Complete",SUM(G694:I694)-J694-K694-L694+M694+IF(C694=0,Paths!$F$69,0)+IF(IF(Paths!$E$69=0,C694=0,AND(C694&gt;0,Paths!$E$69&gt;(C694-1)*12,Paths!$E$69&lt;=C694*12)),VLOOKUP(A694,'Fleet register'!$A$7:$S$106,16,FALSE),0),"n.a."))</f>
        <v>0</v>
      </c>
      <c r="O694" s="16">
        <f>IF(NOT(Paths!$C$69=1),0,IF(Paths!$P$69="Complete",N694-IF(C694=0,Paths!$F$69,0),"n.a."))</f>
        <v>0</v>
      </c>
      <c r="P694" s="16">
        <f>IF(NOT(Paths!$C$69=1),0,IF(Paths!$P$69="Complete",O694+L694,"n.a."))</f>
        <v>0</v>
      </c>
      <c r="Q694" s="16">
        <f>IF(NOT(Paths!$C$69=1),0,IF(Paths!$P$69="Complete",N694*(1+'Operating costs'!$B$54)^-C694,"n.a."))</f>
        <v>0</v>
      </c>
      <c r="R694" s="16">
        <f>IF(NOT(Paths!$C$69=1),0,IF(Paths!$P$69="Complete",IF(AND(C694=0,Paths!$E$69=0),I694-J694-K694+VLOOKUP(A694,'Fleet register'!$A$7:$S$106,15,FALSE)+VLOOKUP(A694,'Fleet register'!$A$7:$S$106,16,FALSE),0),"n.a."))</f>
        <v>0</v>
      </c>
      <c r="S694" s="1">
        <f>IF(NOT(Paths!$C$69=1),0,IF(Paths!$P$69="Complete",IF(C694=0,0,Paths!$S$69*Paths!$R$69),"n.a."))</f>
        <v>0</v>
      </c>
      <c r="T694" s="1">
        <f>IF(NOT(Paths!$C$69=1),0,IF(Paths!$P$69="Complete",IF(C694=0,0,VLOOKUP(A694,'Fleet register'!$A$7:$S$106,9,FALSE)*Paths!$R$69),"n.a."))</f>
        <v>0</v>
      </c>
    </row>
    <row r="695" spans="1:20" ht="24" customHeight="1">
      <c r="A695" s="1" t="str">
        <f>Paths!$A$69</f>
        <v>T016</v>
      </c>
      <c r="B695" s="1">
        <f>Paths!$B$69</f>
        <v>2</v>
      </c>
      <c r="C695" s="1">
        <v>6</v>
      </c>
      <c r="D695" s="1">
        <v>69</v>
      </c>
      <c r="E695" s="1">
        <f>IF(OR(Paths!$C$69=0,C695=0),0,MAX(0,MIN(C695*12,Paths!$E$69)-(C695-1)*12))</f>
        <v>0</v>
      </c>
      <c r="F695" s="1">
        <f>IF(OR(Paths!$C$69=0,C695=0),0,12-E695)</f>
        <v>0</v>
      </c>
      <c r="G695" s="16">
        <f>IF(NOT(Paths!$C$69=1),0,IF(Paths!$P$69="Complete",E695/12*(Paths!$J$69*(1+'Operating costs'!$B$51)^MAX(0,C695-1)+Paths!$K$69*(1+'Operating costs'!$B$53)^MAX(0,C695-1)),"n.a."))</f>
        <v>0</v>
      </c>
      <c r="H695" s="16">
        <f>IF(NOT(Paths!$C$69=1),0,IF(Paths!$P$69="Complete",F695/12*(Paths!$L$69*(1+IF(Paths!$D$69="EV",'Operating costs'!$B$52,'Operating costs'!$B$51))^MAX(0,C695-1)+Paths!$M$69*(1+'Operating costs'!$B$53)^MAX(0,C695-1)),"n.a."))</f>
        <v>0</v>
      </c>
      <c r="I695" s="16">
        <f>IF(NOT(Paths!$C$69=1),0,IF(Paths!$P$69="Complete",IF(IF(Paths!$E$69=0,C695=0,AND(C695&gt;0,Paths!$E$69&gt;(C695-1)*12,Paths!$E$69&lt;=C695*12)),Paths!$G$69,0),"n.a."))</f>
        <v>0</v>
      </c>
      <c r="J695" s="16">
        <f>IF(NOT(Paths!$C$69=1),0,IF(Paths!$P$69="Complete",IF(IF(Paths!$E$69=0,C695=0,AND(C695&gt;0,Paths!$E$69&gt;(C695-1)*12,Paths!$E$69&lt;=C695*12)),Paths!$H$69,0),"n.a."))</f>
        <v>0</v>
      </c>
      <c r="K695" s="16">
        <f>IF(NOT(Paths!$C$69=1),0,IF(Paths!$P$69="Complete",IF(IF(Paths!$O$69=0,C695=0,AND(C695&gt;0,Paths!$O$69&gt;(C695-1)*12,Paths!$O$69&lt;=C695*12)),Paths!$N$69,0),"n.a."))</f>
        <v>0</v>
      </c>
      <c r="L695" s="16">
        <f>IF(NOT(Paths!$C$69=1),0,IF(Paths!$P$69="Complete",IF(C695=10,Paths!$I$69,0),"n.a."))</f>
        <v>0</v>
      </c>
      <c r="M695" s="16">
        <f>IF(NOT(Paths!$C$69=1),0,IF(Paths!$P$69="Complete",IF(AND(Paths!$D$69="EV",Paths!$E$69&lt;120,Paths!$E$69+'Operating costs'!$B$65&gt;Paths!$E$69,Paths!$E$69+'Operating costs'!$B$65&lt;=120,IF(Paths!$E$69+'Operating costs'!$B$65=0,C695=0,AND(C695&gt;0,Paths!$E$69+'Operating costs'!$B$65&gt;(C695-1)*12,Paths!$E$69+'Operating costs'!$B$65&lt;=C695*12))),'Operating costs'!$B$64,0)+IF(AND('Operating costs'!$B$67&gt;0,'Operating costs'!$B$67&lt;=120,OR(Paths!$D$69="ICE",'Operating costs'!$B$67&lt;=Paths!$E$69),IF('Operating costs'!$B$67=0,C695=0,AND(C695&gt;0,'Operating costs'!$B$67&gt;(C695-1)*12,'Operating costs'!$B$67&lt;=C695*12))),'Operating costs'!$B$66,0),"n.a."))</f>
        <v>0</v>
      </c>
      <c r="N695" s="16">
        <f>IF(NOT(Paths!$C$69=1),0,IF(Paths!$P$69="Complete",SUM(G695:I695)-J695-K695-L695+M695+IF(C695=0,Paths!$F$69,0)+IF(IF(Paths!$E$69=0,C695=0,AND(C695&gt;0,Paths!$E$69&gt;(C695-1)*12,Paths!$E$69&lt;=C695*12)),VLOOKUP(A695,'Fleet register'!$A$7:$S$106,16,FALSE),0),"n.a."))</f>
        <v>0</v>
      </c>
      <c r="O695" s="16">
        <f>IF(NOT(Paths!$C$69=1),0,IF(Paths!$P$69="Complete",N695-IF(C695=0,Paths!$F$69,0),"n.a."))</f>
        <v>0</v>
      </c>
      <c r="P695" s="16">
        <f>IF(NOT(Paths!$C$69=1),0,IF(Paths!$P$69="Complete",O695+L695,"n.a."))</f>
        <v>0</v>
      </c>
      <c r="Q695" s="16">
        <f>IF(NOT(Paths!$C$69=1),0,IF(Paths!$P$69="Complete",N695*(1+'Operating costs'!$B$54)^-C695,"n.a."))</f>
        <v>0</v>
      </c>
      <c r="R695" s="16">
        <f>IF(NOT(Paths!$C$69=1),0,IF(Paths!$P$69="Complete",IF(AND(C695=0,Paths!$E$69=0),I695-J695-K695+VLOOKUP(A695,'Fleet register'!$A$7:$S$106,15,FALSE)+VLOOKUP(A695,'Fleet register'!$A$7:$S$106,16,FALSE),0),"n.a."))</f>
        <v>0</v>
      </c>
      <c r="S695" s="1">
        <f>IF(NOT(Paths!$C$69=1),0,IF(Paths!$P$69="Complete",IF(C695=0,0,Paths!$S$69*Paths!$R$69),"n.a."))</f>
        <v>0</v>
      </c>
      <c r="T695" s="1">
        <f>IF(NOT(Paths!$C$69=1),0,IF(Paths!$P$69="Complete",IF(C695=0,0,VLOOKUP(A695,'Fleet register'!$A$7:$S$106,9,FALSE)*Paths!$R$69),"n.a."))</f>
        <v>0</v>
      </c>
    </row>
    <row r="696" spans="1:20" ht="24" customHeight="1">
      <c r="A696" s="1" t="str">
        <f>Paths!$A$69</f>
        <v>T016</v>
      </c>
      <c r="B696" s="1">
        <f>Paths!$B$69</f>
        <v>2</v>
      </c>
      <c r="C696" s="1">
        <v>7</v>
      </c>
      <c r="D696" s="1">
        <v>69</v>
      </c>
      <c r="E696" s="1">
        <f>IF(OR(Paths!$C$69=0,C696=0),0,MAX(0,MIN(C696*12,Paths!$E$69)-(C696-1)*12))</f>
        <v>0</v>
      </c>
      <c r="F696" s="1">
        <f>IF(OR(Paths!$C$69=0,C696=0),0,12-E696)</f>
        <v>0</v>
      </c>
      <c r="G696" s="16">
        <f>IF(NOT(Paths!$C$69=1),0,IF(Paths!$P$69="Complete",E696/12*(Paths!$J$69*(1+'Operating costs'!$B$51)^MAX(0,C696-1)+Paths!$K$69*(1+'Operating costs'!$B$53)^MAX(0,C696-1)),"n.a."))</f>
        <v>0</v>
      </c>
      <c r="H696" s="16">
        <f>IF(NOT(Paths!$C$69=1),0,IF(Paths!$P$69="Complete",F696/12*(Paths!$L$69*(1+IF(Paths!$D$69="EV",'Operating costs'!$B$52,'Operating costs'!$B$51))^MAX(0,C696-1)+Paths!$M$69*(1+'Operating costs'!$B$53)^MAX(0,C696-1)),"n.a."))</f>
        <v>0</v>
      </c>
      <c r="I696" s="16">
        <f>IF(NOT(Paths!$C$69=1),0,IF(Paths!$P$69="Complete",IF(IF(Paths!$E$69=0,C696=0,AND(C696&gt;0,Paths!$E$69&gt;(C696-1)*12,Paths!$E$69&lt;=C696*12)),Paths!$G$69,0),"n.a."))</f>
        <v>0</v>
      </c>
      <c r="J696" s="16">
        <f>IF(NOT(Paths!$C$69=1),0,IF(Paths!$P$69="Complete",IF(IF(Paths!$E$69=0,C696=0,AND(C696&gt;0,Paths!$E$69&gt;(C696-1)*12,Paths!$E$69&lt;=C696*12)),Paths!$H$69,0),"n.a."))</f>
        <v>0</v>
      </c>
      <c r="K696" s="16">
        <f>IF(NOT(Paths!$C$69=1),0,IF(Paths!$P$69="Complete",IF(IF(Paths!$O$69=0,C696=0,AND(C696&gt;0,Paths!$O$69&gt;(C696-1)*12,Paths!$O$69&lt;=C696*12)),Paths!$N$69,0),"n.a."))</f>
        <v>0</v>
      </c>
      <c r="L696" s="16">
        <f>IF(NOT(Paths!$C$69=1),0,IF(Paths!$P$69="Complete",IF(C696=10,Paths!$I$69,0),"n.a."))</f>
        <v>0</v>
      </c>
      <c r="M696" s="16">
        <f>IF(NOT(Paths!$C$69=1),0,IF(Paths!$P$69="Complete",IF(AND(Paths!$D$69="EV",Paths!$E$69&lt;120,Paths!$E$69+'Operating costs'!$B$65&gt;Paths!$E$69,Paths!$E$69+'Operating costs'!$B$65&lt;=120,IF(Paths!$E$69+'Operating costs'!$B$65=0,C696=0,AND(C696&gt;0,Paths!$E$69+'Operating costs'!$B$65&gt;(C696-1)*12,Paths!$E$69+'Operating costs'!$B$65&lt;=C696*12))),'Operating costs'!$B$64,0)+IF(AND('Operating costs'!$B$67&gt;0,'Operating costs'!$B$67&lt;=120,OR(Paths!$D$69="ICE",'Operating costs'!$B$67&lt;=Paths!$E$69),IF('Operating costs'!$B$67=0,C696=0,AND(C696&gt;0,'Operating costs'!$B$67&gt;(C696-1)*12,'Operating costs'!$B$67&lt;=C696*12))),'Operating costs'!$B$66,0),"n.a."))</f>
        <v>0</v>
      </c>
      <c r="N696" s="16">
        <f>IF(NOT(Paths!$C$69=1),0,IF(Paths!$P$69="Complete",SUM(G696:I696)-J696-K696-L696+M696+IF(C696=0,Paths!$F$69,0)+IF(IF(Paths!$E$69=0,C696=0,AND(C696&gt;0,Paths!$E$69&gt;(C696-1)*12,Paths!$E$69&lt;=C696*12)),VLOOKUP(A696,'Fleet register'!$A$7:$S$106,16,FALSE),0),"n.a."))</f>
        <v>0</v>
      </c>
      <c r="O696" s="16">
        <f>IF(NOT(Paths!$C$69=1),0,IF(Paths!$P$69="Complete",N696-IF(C696=0,Paths!$F$69,0),"n.a."))</f>
        <v>0</v>
      </c>
      <c r="P696" s="16">
        <f>IF(NOT(Paths!$C$69=1),0,IF(Paths!$P$69="Complete",O696+L696,"n.a."))</f>
        <v>0</v>
      </c>
      <c r="Q696" s="16">
        <f>IF(NOT(Paths!$C$69=1),0,IF(Paths!$P$69="Complete",N696*(1+'Operating costs'!$B$54)^-C696,"n.a."))</f>
        <v>0</v>
      </c>
      <c r="R696" s="16">
        <f>IF(NOT(Paths!$C$69=1),0,IF(Paths!$P$69="Complete",IF(AND(C696=0,Paths!$E$69=0),I696-J696-K696+VLOOKUP(A696,'Fleet register'!$A$7:$S$106,15,FALSE)+VLOOKUP(A696,'Fleet register'!$A$7:$S$106,16,FALSE),0),"n.a."))</f>
        <v>0</v>
      </c>
      <c r="S696" s="1">
        <f>IF(NOT(Paths!$C$69=1),0,IF(Paths!$P$69="Complete",IF(C696=0,0,Paths!$S$69*Paths!$R$69),"n.a."))</f>
        <v>0</v>
      </c>
      <c r="T696" s="1">
        <f>IF(NOT(Paths!$C$69=1),0,IF(Paths!$P$69="Complete",IF(C696=0,0,VLOOKUP(A696,'Fleet register'!$A$7:$S$106,9,FALSE)*Paths!$R$69),"n.a."))</f>
        <v>0</v>
      </c>
    </row>
    <row r="697" spans="1:20" ht="24" customHeight="1">
      <c r="A697" s="1" t="str">
        <f>Paths!$A$69</f>
        <v>T016</v>
      </c>
      <c r="B697" s="1">
        <f>Paths!$B$69</f>
        <v>2</v>
      </c>
      <c r="C697" s="1">
        <v>8</v>
      </c>
      <c r="D697" s="1">
        <v>69</v>
      </c>
      <c r="E697" s="1">
        <f>IF(OR(Paths!$C$69=0,C697=0),0,MAX(0,MIN(C697*12,Paths!$E$69)-(C697-1)*12))</f>
        <v>0</v>
      </c>
      <c r="F697" s="1">
        <f>IF(OR(Paths!$C$69=0,C697=0),0,12-E697)</f>
        <v>0</v>
      </c>
      <c r="G697" s="16">
        <f>IF(NOT(Paths!$C$69=1),0,IF(Paths!$P$69="Complete",E697/12*(Paths!$J$69*(1+'Operating costs'!$B$51)^MAX(0,C697-1)+Paths!$K$69*(1+'Operating costs'!$B$53)^MAX(0,C697-1)),"n.a."))</f>
        <v>0</v>
      </c>
      <c r="H697" s="16">
        <f>IF(NOT(Paths!$C$69=1),0,IF(Paths!$P$69="Complete",F697/12*(Paths!$L$69*(1+IF(Paths!$D$69="EV",'Operating costs'!$B$52,'Operating costs'!$B$51))^MAX(0,C697-1)+Paths!$M$69*(1+'Operating costs'!$B$53)^MAX(0,C697-1)),"n.a."))</f>
        <v>0</v>
      </c>
      <c r="I697" s="16">
        <f>IF(NOT(Paths!$C$69=1),0,IF(Paths!$P$69="Complete",IF(IF(Paths!$E$69=0,C697=0,AND(C697&gt;0,Paths!$E$69&gt;(C697-1)*12,Paths!$E$69&lt;=C697*12)),Paths!$G$69,0),"n.a."))</f>
        <v>0</v>
      </c>
      <c r="J697" s="16">
        <f>IF(NOT(Paths!$C$69=1),0,IF(Paths!$P$69="Complete",IF(IF(Paths!$E$69=0,C697=0,AND(C697&gt;0,Paths!$E$69&gt;(C697-1)*12,Paths!$E$69&lt;=C697*12)),Paths!$H$69,0),"n.a."))</f>
        <v>0</v>
      </c>
      <c r="K697" s="16">
        <f>IF(NOT(Paths!$C$69=1),0,IF(Paths!$P$69="Complete",IF(IF(Paths!$O$69=0,C697=0,AND(C697&gt;0,Paths!$O$69&gt;(C697-1)*12,Paths!$O$69&lt;=C697*12)),Paths!$N$69,0),"n.a."))</f>
        <v>0</v>
      </c>
      <c r="L697" s="16">
        <f>IF(NOT(Paths!$C$69=1),0,IF(Paths!$P$69="Complete",IF(C697=10,Paths!$I$69,0),"n.a."))</f>
        <v>0</v>
      </c>
      <c r="M697" s="16">
        <f>IF(NOT(Paths!$C$69=1),0,IF(Paths!$P$69="Complete",IF(AND(Paths!$D$69="EV",Paths!$E$69&lt;120,Paths!$E$69+'Operating costs'!$B$65&gt;Paths!$E$69,Paths!$E$69+'Operating costs'!$B$65&lt;=120,IF(Paths!$E$69+'Operating costs'!$B$65=0,C697=0,AND(C697&gt;0,Paths!$E$69+'Operating costs'!$B$65&gt;(C697-1)*12,Paths!$E$69+'Operating costs'!$B$65&lt;=C697*12))),'Operating costs'!$B$64,0)+IF(AND('Operating costs'!$B$67&gt;0,'Operating costs'!$B$67&lt;=120,OR(Paths!$D$69="ICE",'Operating costs'!$B$67&lt;=Paths!$E$69),IF('Operating costs'!$B$67=0,C697=0,AND(C697&gt;0,'Operating costs'!$B$67&gt;(C697-1)*12,'Operating costs'!$B$67&lt;=C697*12))),'Operating costs'!$B$66,0),"n.a."))</f>
        <v>0</v>
      </c>
      <c r="N697" s="16">
        <f>IF(NOT(Paths!$C$69=1),0,IF(Paths!$P$69="Complete",SUM(G697:I697)-J697-K697-L697+M697+IF(C697=0,Paths!$F$69,0)+IF(IF(Paths!$E$69=0,C697=0,AND(C697&gt;0,Paths!$E$69&gt;(C697-1)*12,Paths!$E$69&lt;=C697*12)),VLOOKUP(A697,'Fleet register'!$A$7:$S$106,16,FALSE),0),"n.a."))</f>
        <v>0</v>
      </c>
      <c r="O697" s="16">
        <f>IF(NOT(Paths!$C$69=1),0,IF(Paths!$P$69="Complete",N697-IF(C697=0,Paths!$F$69,0),"n.a."))</f>
        <v>0</v>
      </c>
      <c r="P697" s="16">
        <f>IF(NOT(Paths!$C$69=1),0,IF(Paths!$P$69="Complete",O697+L697,"n.a."))</f>
        <v>0</v>
      </c>
      <c r="Q697" s="16">
        <f>IF(NOT(Paths!$C$69=1),0,IF(Paths!$P$69="Complete",N697*(1+'Operating costs'!$B$54)^-C697,"n.a."))</f>
        <v>0</v>
      </c>
      <c r="R697" s="16">
        <f>IF(NOT(Paths!$C$69=1),0,IF(Paths!$P$69="Complete",IF(AND(C697=0,Paths!$E$69=0),I697-J697-K697+VLOOKUP(A697,'Fleet register'!$A$7:$S$106,15,FALSE)+VLOOKUP(A697,'Fleet register'!$A$7:$S$106,16,FALSE),0),"n.a."))</f>
        <v>0</v>
      </c>
      <c r="S697" s="1">
        <f>IF(NOT(Paths!$C$69=1),0,IF(Paths!$P$69="Complete",IF(C697=0,0,Paths!$S$69*Paths!$R$69),"n.a."))</f>
        <v>0</v>
      </c>
      <c r="T697" s="1">
        <f>IF(NOT(Paths!$C$69=1),0,IF(Paths!$P$69="Complete",IF(C697=0,0,VLOOKUP(A697,'Fleet register'!$A$7:$S$106,9,FALSE)*Paths!$R$69),"n.a."))</f>
        <v>0</v>
      </c>
    </row>
    <row r="698" spans="1:20" ht="24" customHeight="1">
      <c r="A698" s="1" t="str">
        <f>Paths!$A$69</f>
        <v>T016</v>
      </c>
      <c r="B698" s="1">
        <f>Paths!$B$69</f>
        <v>2</v>
      </c>
      <c r="C698" s="1">
        <v>9</v>
      </c>
      <c r="D698" s="1">
        <v>69</v>
      </c>
      <c r="E698" s="1">
        <f>IF(OR(Paths!$C$69=0,C698=0),0,MAX(0,MIN(C698*12,Paths!$E$69)-(C698-1)*12))</f>
        <v>0</v>
      </c>
      <c r="F698" s="1">
        <f>IF(OR(Paths!$C$69=0,C698=0),0,12-E698)</f>
        <v>0</v>
      </c>
      <c r="G698" s="16">
        <f>IF(NOT(Paths!$C$69=1),0,IF(Paths!$P$69="Complete",E698/12*(Paths!$J$69*(1+'Operating costs'!$B$51)^MAX(0,C698-1)+Paths!$K$69*(1+'Operating costs'!$B$53)^MAX(0,C698-1)),"n.a."))</f>
        <v>0</v>
      </c>
      <c r="H698" s="16">
        <f>IF(NOT(Paths!$C$69=1),0,IF(Paths!$P$69="Complete",F698/12*(Paths!$L$69*(1+IF(Paths!$D$69="EV",'Operating costs'!$B$52,'Operating costs'!$B$51))^MAX(0,C698-1)+Paths!$M$69*(1+'Operating costs'!$B$53)^MAX(0,C698-1)),"n.a."))</f>
        <v>0</v>
      </c>
      <c r="I698" s="16">
        <f>IF(NOT(Paths!$C$69=1),0,IF(Paths!$P$69="Complete",IF(IF(Paths!$E$69=0,C698=0,AND(C698&gt;0,Paths!$E$69&gt;(C698-1)*12,Paths!$E$69&lt;=C698*12)),Paths!$G$69,0),"n.a."))</f>
        <v>0</v>
      </c>
      <c r="J698" s="16">
        <f>IF(NOT(Paths!$C$69=1),0,IF(Paths!$P$69="Complete",IF(IF(Paths!$E$69=0,C698=0,AND(C698&gt;0,Paths!$E$69&gt;(C698-1)*12,Paths!$E$69&lt;=C698*12)),Paths!$H$69,0),"n.a."))</f>
        <v>0</v>
      </c>
      <c r="K698" s="16">
        <f>IF(NOT(Paths!$C$69=1),0,IF(Paths!$P$69="Complete",IF(IF(Paths!$O$69=0,C698=0,AND(C698&gt;0,Paths!$O$69&gt;(C698-1)*12,Paths!$O$69&lt;=C698*12)),Paths!$N$69,0),"n.a."))</f>
        <v>0</v>
      </c>
      <c r="L698" s="16">
        <f>IF(NOT(Paths!$C$69=1),0,IF(Paths!$P$69="Complete",IF(C698=10,Paths!$I$69,0),"n.a."))</f>
        <v>0</v>
      </c>
      <c r="M698" s="16">
        <f>IF(NOT(Paths!$C$69=1),0,IF(Paths!$P$69="Complete",IF(AND(Paths!$D$69="EV",Paths!$E$69&lt;120,Paths!$E$69+'Operating costs'!$B$65&gt;Paths!$E$69,Paths!$E$69+'Operating costs'!$B$65&lt;=120,IF(Paths!$E$69+'Operating costs'!$B$65=0,C698=0,AND(C698&gt;0,Paths!$E$69+'Operating costs'!$B$65&gt;(C698-1)*12,Paths!$E$69+'Operating costs'!$B$65&lt;=C698*12))),'Operating costs'!$B$64,0)+IF(AND('Operating costs'!$B$67&gt;0,'Operating costs'!$B$67&lt;=120,OR(Paths!$D$69="ICE",'Operating costs'!$B$67&lt;=Paths!$E$69),IF('Operating costs'!$B$67=0,C698=0,AND(C698&gt;0,'Operating costs'!$B$67&gt;(C698-1)*12,'Operating costs'!$B$67&lt;=C698*12))),'Operating costs'!$B$66,0),"n.a."))</f>
        <v>0</v>
      </c>
      <c r="N698" s="16">
        <f>IF(NOT(Paths!$C$69=1),0,IF(Paths!$P$69="Complete",SUM(G698:I698)-J698-K698-L698+M698+IF(C698=0,Paths!$F$69,0)+IF(IF(Paths!$E$69=0,C698=0,AND(C698&gt;0,Paths!$E$69&gt;(C698-1)*12,Paths!$E$69&lt;=C698*12)),VLOOKUP(A698,'Fleet register'!$A$7:$S$106,16,FALSE),0),"n.a."))</f>
        <v>0</v>
      </c>
      <c r="O698" s="16">
        <f>IF(NOT(Paths!$C$69=1),0,IF(Paths!$P$69="Complete",N698-IF(C698=0,Paths!$F$69,0),"n.a."))</f>
        <v>0</v>
      </c>
      <c r="P698" s="16">
        <f>IF(NOT(Paths!$C$69=1),0,IF(Paths!$P$69="Complete",O698+L698,"n.a."))</f>
        <v>0</v>
      </c>
      <c r="Q698" s="16">
        <f>IF(NOT(Paths!$C$69=1),0,IF(Paths!$P$69="Complete",N698*(1+'Operating costs'!$B$54)^-C698,"n.a."))</f>
        <v>0</v>
      </c>
      <c r="R698" s="16">
        <f>IF(NOT(Paths!$C$69=1),0,IF(Paths!$P$69="Complete",IF(AND(C698=0,Paths!$E$69=0),I698-J698-K698+VLOOKUP(A698,'Fleet register'!$A$7:$S$106,15,FALSE)+VLOOKUP(A698,'Fleet register'!$A$7:$S$106,16,FALSE),0),"n.a."))</f>
        <v>0</v>
      </c>
      <c r="S698" s="1">
        <f>IF(NOT(Paths!$C$69=1),0,IF(Paths!$P$69="Complete",IF(C698=0,0,Paths!$S$69*Paths!$R$69),"n.a."))</f>
        <v>0</v>
      </c>
      <c r="T698" s="1">
        <f>IF(NOT(Paths!$C$69=1),0,IF(Paths!$P$69="Complete",IF(C698=0,0,VLOOKUP(A698,'Fleet register'!$A$7:$S$106,9,FALSE)*Paths!$R$69),"n.a."))</f>
        <v>0</v>
      </c>
    </row>
    <row r="699" spans="1:20" ht="24" customHeight="1">
      <c r="A699" s="1" t="str">
        <f>Paths!$A$69</f>
        <v>T016</v>
      </c>
      <c r="B699" s="1">
        <f>Paths!$B$69</f>
        <v>2</v>
      </c>
      <c r="C699" s="1">
        <v>10</v>
      </c>
      <c r="D699" s="1">
        <v>69</v>
      </c>
      <c r="E699" s="1">
        <f>IF(OR(Paths!$C$69=0,C699=0),0,MAX(0,MIN(C699*12,Paths!$E$69)-(C699-1)*12))</f>
        <v>0</v>
      </c>
      <c r="F699" s="1">
        <f>IF(OR(Paths!$C$69=0,C699=0),0,12-E699)</f>
        <v>0</v>
      </c>
      <c r="G699" s="16">
        <f>IF(NOT(Paths!$C$69=1),0,IF(Paths!$P$69="Complete",E699/12*(Paths!$J$69*(1+'Operating costs'!$B$51)^MAX(0,C699-1)+Paths!$K$69*(1+'Operating costs'!$B$53)^MAX(0,C699-1)),"n.a."))</f>
        <v>0</v>
      </c>
      <c r="H699" s="16">
        <f>IF(NOT(Paths!$C$69=1),0,IF(Paths!$P$69="Complete",F699/12*(Paths!$L$69*(1+IF(Paths!$D$69="EV",'Operating costs'!$B$52,'Operating costs'!$B$51))^MAX(0,C699-1)+Paths!$M$69*(1+'Operating costs'!$B$53)^MAX(0,C699-1)),"n.a."))</f>
        <v>0</v>
      </c>
      <c r="I699" s="16">
        <f>IF(NOT(Paths!$C$69=1),0,IF(Paths!$P$69="Complete",IF(IF(Paths!$E$69=0,C699=0,AND(C699&gt;0,Paths!$E$69&gt;(C699-1)*12,Paths!$E$69&lt;=C699*12)),Paths!$G$69,0),"n.a."))</f>
        <v>0</v>
      </c>
      <c r="J699" s="16">
        <f>IF(NOT(Paths!$C$69=1),0,IF(Paths!$P$69="Complete",IF(IF(Paths!$E$69=0,C699=0,AND(C699&gt;0,Paths!$E$69&gt;(C699-1)*12,Paths!$E$69&lt;=C699*12)),Paths!$H$69,0),"n.a."))</f>
        <v>0</v>
      </c>
      <c r="K699" s="16">
        <f>IF(NOT(Paths!$C$69=1),0,IF(Paths!$P$69="Complete",IF(IF(Paths!$O$69=0,C699=0,AND(C699&gt;0,Paths!$O$69&gt;(C699-1)*12,Paths!$O$69&lt;=C699*12)),Paths!$N$69,0),"n.a."))</f>
        <v>0</v>
      </c>
      <c r="L699" s="16">
        <f>IF(NOT(Paths!$C$69=1),0,IF(Paths!$P$69="Complete",IF(C699=10,Paths!$I$69,0),"n.a."))</f>
        <v>0</v>
      </c>
      <c r="M699" s="16">
        <f>IF(NOT(Paths!$C$69=1),0,IF(Paths!$P$69="Complete",IF(AND(Paths!$D$69="EV",Paths!$E$69&lt;120,Paths!$E$69+'Operating costs'!$B$65&gt;Paths!$E$69,Paths!$E$69+'Operating costs'!$B$65&lt;=120,IF(Paths!$E$69+'Operating costs'!$B$65=0,C699=0,AND(C699&gt;0,Paths!$E$69+'Operating costs'!$B$65&gt;(C699-1)*12,Paths!$E$69+'Operating costs'!$B$65&lt;=C699*12))),'Operating costs'!$B$64,0)+IF(AND('Operating costs'!$B$67&gt;0,'Operating costs'!$B$67&lt;=120,OR(Paths!$D$69="ICE",'Operating costs'!$B$67&lt;=Paths!$E$69),IF('Operating costs'!$B$67=0,C699=0,AND(C699&gt;0,'Operating costs'!$B$67&gt;(C699-1)*12,'Operating costs'!$B$67&lt;=C699*12))),'Operating costs'!$B$66,0),"n.a."))</f>
        <v>0</v>
      </c>
      <c r="N699" s="16">
        <f>IF(NOT(Paths!$C$69=1),0,IF(Paths!$P$69="Complete",SUM(G699:I699)-J699-K699-L699+M699+IF(C699=0,Paths!$F$69,0)+IF(IF(Paths!$E$69=0,C699=0,AND(C699&gt;0,Paths!$E$69&gt;(C699-1)*12,Paths!$E$69&lt;=C699*12)),VLOOKUP(A699,'Fleet register'!$A$7:$S$106,16,FALSE),0),"n.a."))</f>
        <v>0</v>
      </c>
      <c r="O699" s="16">
        <f>IF(NOT(Paths!$C$69=1),0,IF(Paths!$P$69="Complete",N699-IF(C699=0,Paths!$F$69,0),"n.a."))</f>
        <v>0</v>
      </c>
      <c r="P699" s="16">
        <f>IF(NOT(Paths!$C$69=1),0,IF(Paths!$P$69="Complete",O699+L699,"n.a."))</f>
        <v>0</v>
      </c>
      <c r="Q699" s="16">
        <f>IF(NOT(Paths!$C$69=1),0,IF(Paths!$P$69="Complete",N699*(1+'Operating costs'!$B$54)^-C699,"n.a."))</f>
        <v>0</v>
      </c>
      <c r="R699" s="16">
        <f>IF(NOT(Paths!$C$69=1),0,IF(Paths!$P$69="Complete",IF(AND(C699=0,Paths!$E$69=0),I699-J699-K699+VLOOKUP(A699,'Fleet register'!$A$7:$S$106,15,FALSE)+VLOOKUP(A699,'Fleet register'!$A$7:$S$106,16,FALSE),0),"n.a."))</f>
        <v>0</v>
      </c>
      <c r="S699" s="1">
        <f>IF(NOT(Paths!$C$69=1),0,IF(Paths!$P$69="Complete",IF(C699=0,0,Paths!$S$69*Paths!$R$69),"n.a."))</f>
        <v>0</v>
      </c>
      <c r="T699" s="1">
        <f>IF(NOT(Paths!$C$69=1),0,IF(Paths!$P$69="Complete",IF(C699=0,0,VLOOKUP(A699,'Fleet register'!$A$7:$S$106,9,FALSE)*Paths!$R$69),"n.a."))</f>
        <v>0</v>
      </c>
    </row>
    <row r="700" spans="1:20" ht="24" customHeight="1">
      <c r="A700" s="1" t="str">
        <f>Paths!$A$70</f>
        <v>T016</v>
      </c>
      <c r="B700" s="1">
        <f>Paths!$B$70</f>
        <v>3</v>
      </c>
      <c r="C700" s="1">
        <v>0</v>
      </c>
      <c r="D700" s="1">
        <v>70</v>
      </c>
      <c r="E700" s="1">
        <f>IF(OR(Paths!$C$70=0,C700=0),0,MAX(0,MIN(C700*12,Paths!$E$70)-(C700-1)*12))</f>
        <v>0</v>
      </c>
      <c r="F700" s="1">
        <f>IF(OR(Paths!$C$70=0,C700=0),0,12-E700)</f>
        <v>0</v>
      </c>
      <c r="G700" s="16">
        <f>IF(NOT(Paths!$C$70=1),0,IF(Paths!$P$70="Complete",E700/12*(Paths!$J$70*(1+'Operating costs'!$B$51)^MAX(0,C700-1)+Paths!$K$70*(1+'Operating costs'!$B$53)^MAX(0,C700-1)),"n.a."))</f>
        <v>0</v>
      </c>
      <c r="H700" s="16">
        <f>IF(NOT(Paths!$C$70=1),0,IF(Paths!$P$70="Complete",F700/12*(Paths!$L$70*(1+IF(Paths!$D$70="EV",'Operating costs'!$B$52,'Operating costs'!$B$51))^MAX(0,C700-1)+Paths!$M$70*(1+'Operating costs'!$B$53)^MAX(0,C700-1)),"n.a."))</f>
        <v>0</v>
      </c>
      <c r="I700" s="16">
        <f>IF(NOT(Paths!$C$70=1),0,IF(Paths!$P$70="Complete",IF(IF(Paths!$E$70=0,C700=0,AND(C700&gt;0,Paths!$E$70&gt;(C700-1)*12,Paths!$E$70&lt;=C700*12)),Paths!$G$70,0),"n.a."))</f>
        <v>0</v>
      </c>
      <c r="J700" s="16">
        <f>IF(NOT(Paths!$C$70=1),0,IF(Paths!$P$70="Complete",IF(IF(Paths!$E$70=0,C700=0,AND(C700&gt;0,Paths!$E$70&gt;(C700-1)*12,Paths!$E$70&lt;=C700*12)),Paths!$H$70,0),"n.a."))</f>
        <v>0</v>
      </c>
      <c r="K700" s="16">
        <f>IF(NOT(Paths!$C$70=1),0,IF(Paths!$P$70="Complete",IF(IF(Paths!$O$70=0,C700=0,AND(C700&gt;0,Paths!$O$70&gt;(C700-1)*12,Paths!$O$70&lt;=C700*12)),Paths!$N$70,0),"n.a."))</f>
        <v>0</v>
      </c>
      <c r="L700" s="16">
        <f>IF(NOT(Paths!$C$70=1),0,IF(Paths!$P$70="Complete",IF(C700=10,Paths!$I$70,0),"n.a."))</f>
        <v>0</v>
      </c>
      <c r="M700" s="16">
        <f>IF(NOT(Paths!$C$70=1),0,IF(Paths!$P$70="Complete",IF(AND(Paths!$D$70="EV",Paths!$E$70&lt;120,Paths!$E$70+'Operating costs'!$B$65&gt;Paths!$E$70,Paths!$E$70+'Operating costs'!$B$65&lt;=120,IF(Paths!$E$70+'Operating costs'!$B$65=0,C700=0,AND(C700&gt;0,Paths!$E$70+'Operating costs'!$B$65&gt;(C700-1)*12,Paths!$E$70+'Operating costs'!$B$65&lt;=C700*12))),'Operating costs'!$B$64,0)+IF(AND('Operating costs'!$B$67&gt;0,'Operating costs'!$B$67&lt;=120,OR(Paths!$D$70="ICE",'Operating costs'!$B$67&lt;=Paths!$E$70),IF('Operating costs'!$B$67=0,C700=0,AND(C700&gt;0,'Operating costs'!$B$67&gt;(C700-1)*12,'Operating costs'!$B$67&lt;=C700*12))),'Operating costs'!$B$66,0),"n.a."))</f>
        <v>0</v>
      </c>
      <c r="N700" s="16">
        <f>IF(NOT(Paths!$C$70=1),0,IF(Paths!$P$70="Complete",SUM(G700:I700)-J700-K700-L700+M700+IF(C700=0,Paths!$F$70,0)+IF(IF(Paths!$E$70=0,C700=0,AND(C700&gt;0,Paths!$E$70&gt;(C700-1)*12,Paths!$E$70&lt;=C700*12)),VLOOKUP(A700,'Fleet register'!$A$7:$S$106,16,FALSE),0),"n.a."))</f>
        <v>0</v>
      </c>
      <c r="O700" s="16">
        <f>IF(NOT(Paths!$C$70=1),0,IF(Paths!$P$70="Complete",N700-IF(C700=0,Paths!$F$70,0),"n.a."))</f>
        <v>0</v>
      </c>
      <c r="P700" s="16">
        <f>IF(NOT(Paths!$C$70=1),0,IF(Paths!$P$70="Complete",O700+L700,"n.a."))</f>
        <v>0</v>
      </c>
      <c r="Q700" s="16">
        <f>IF(NOT(Paths!$C$70=1),0,IF(Paths!$P$70="Complete",N700*(1+'Operating costs'!$B$54)^-C700,"n.a."))</f>
        <v>0</v>
      </c>
      <c r="R700" s="16">
        <f>IF(NOT(Paths!$C$70=1),0,IF(Paths!$P$70="Complete",IF(AND(C700=0,Paths!$E$70=0),I700-J700-K700+VLOOKUP(A700,'Fleet register'!$A$7:$S$106,15,FALSE)+VLOOKUP(A700,'Fleet register'!$A$7:$S$106,16,FALSE),0),"n.a."))</f>
        <v>0</v>
      </c>
      <c r="S700" s="1">
        <f>IF(NOT(Paths!$C$70=1),0,IF(Paths!$P$70="Complete",IF(C700=0,0,Paths!$S$70*Paths!$R$70),"n.a."))</f>
        <v>0</v>
      </c>
      <c r="T700" s="1">
        <f>IF(NOT(Paths!$C$70=1),0,IF(Paths!$P$70="Complete",IF(C700=0,0,VLOOKUP(A700,'Fleet register'!$A$7:$S$106,9,FALSE)*Paths!$R$70),"n.a."))</f>
        <v>0</v>
      </c>
    </row>
    <row r="701" spans="1:20" ht="24" customHeight="1">
      <c r="A701" s="1" t="str">
        <f>Paths!$A$70</f>
        <v>T016</v>
      </c>
      <c r="B701" s="1">
        <f>Paths!$B$70</f>
        <v>3</v>
      </c>
      <c r="C701" s="1">
        <v>1</v>
      </c>
      <c r="D701" s="1">
        <v>70</v>
      </c>
      <c r="E701" s="1">
        <f>IF(OR(Paths!$C$70=0,C701=0),0,MAX(0,MIN(C701*12,Paths!$E$70)-(C701-1)*12))</f>
        <v>0</v>
      </c>
      <c r="F701" s="1">
        <f>IF(OR(Paths!$C$70=0,C701=0),0,12-E701)</f>
        <v>0</v>
      </c>
      <c r="G701" s="16">
        <f>IF(NOT(Paths!$C$70=1),0,IF(Paths!$P$70="Complete",E701/12*(Paths!$J$70*(1+'Operating costs'!$B$51)^MAX(0,C701-1)+Paths!$K$70*(1+'Operating costs'!$B$53)^MAX(0,C701-1)),"n.a."))</f>
        <v>0</v>
      </c>
      <c r="H701" s="16">
        <f>IF(NOT(Paths!$C$70=1),0,IF(Paths!$P$70="Complete",F701/12*(Paths!$L$70*(1+IF(Paths!$D$70="EV",'Operating costs'!$B$52,'Operating costs'!$B$51))^MAX(0,C701-1)+Paths!$M$70*(1+'Operating costs'!$B$53)^MAX(0,C701-1)),"n.a."))</f>
        <v>0</v>
      </c>
      <c r="I701" s="16">
        <f>IF(NOT(Paths!$C$70=1),0,IF(Paths!$P$70="Complete",IF(IF(Paths!$E$70=0,C701=0,AND(C701&gt;0,Paths!$E$70&gt;(C701-1)*12,Paths!$E$70&lt;=C701*12)),Paths!$G$70,0),"n.a."))</f>
        <v>0</v>
      </c>
      <c r="J701" s="16">
        <f>IF(NOT(Paths!$C$70=1),0,IF(Paths!$P$70="Complete",IF(IF(Paths!$E$70=0,C701=0,AND(C701&gt;0,Paths!$E$70&gt;(C701-1)*12,Paths!$E$70&lt;=C701*12)),Paths!$H$70,0),"n.a."))</f>
        <v>0</v>
      </c>
      <c r="K701" s="16">
        <f>IF(NOT(Paths!$C$70=1),0,IF(Paths!$P$70="Complete",IF(IF(Paths!$O$70=0,C701=0,AND(C701&gt;0,Paths!$O$70&gt;(C701-1)*12,Paths!$O$70&lt;=C701*12)),Paths!$N$70,0),"n.a."))</f>
        <v>0</v>
      </c>
      <c r="L701" s="16">
        <f>IF(NOT(Paths!$C$70=1),0,IF(Paths!$P$70="Complete",IF(C701=10,Paths!$I$70,0),"n.a."))</f>
        <v>0</v>
      </c>
      <c r="M701" s="16">
        <f>IF(NOT(Paths!$C$70=1),0,IF(Paths!$P$70="Complete",IF(AND(Paths!$D$70="EV",Paths!$E$70&lt;120,Paths!$E$70+'Operating costs'!$B$65&gt;Paths!$E$70,Paths!$E$70+'Operating costs'!$B$65&lt;=120,IF(Paths!$E$70+'Operating costs'!$B$65=0,C701=0,AND(C701&gt;0,Paths!$E$70+'Operating costs'!$B$65&gt;(C701-1)*12,Paths!$E$70+'Operating costs'!$B$65&lt;=C701*12))),'Operating costs'!$B$64,0)+IF(AND('Operating costs'!$B$67&gt;0,'Operating costs'!$B$67&lt;=120,OR(Paths!$D$70="ICE",'Operating costs'!$B$67&lt;=Paths!$E$70),IF('Operating costs'!$B$67=0,C701=0,AND(C701&gt;0,'Operating costs'!$B$67&gt;(C701-1)*12,'Operating costs'!$B$67&lt;=C701*12))),'Operating costs'!$B$66,0),"n.a."))</f>
        <v>0</v>
      </c>
      <c r="N701" s="16">
        <f>IF(NOT(Paths!$C$70=1),0,IF(Paths!$P$70="Complete",SUM(G701:I701)-J701-K701-L701+M701+IF(C701=0,Paths!$F$70,0)+IF(IF(Paths!$E$70=0,C701=0,AND(C701&gt;0,Paths!$E$70&gt;(C701-1)*12,Paths!$E$70&lt;=C701*12)),VLOOKUP(A701,'Fleet register'!$A$7:$S$106,16,FALSE),0),"n.a."))</f>
        <v>0</v>
      </c>
      <c r="O701" s="16">
        <f>IF(NOT(Paths!$C$70=1),0,IF(Paths!$P$70="Complete",N701-IF(C701=0,Paths!$F$70,0),"n.a."))</f>
        <v>0</v>
      </c>
      <c r="P701" s="16">
        <f>IF(NOT(Paths!$C$70=1),0,IF(Paths!$P$70="Complete",O701+L701,"n.a."))</f>
        <v>0</v>
      </c>
      <c r="Q701" s="16">
        <f>IF(NOT(Paths!$C$70=1),0,IF(Paths!$P$70="Complete",N701*(1+'Operating costs'!$B$54)^-C701,"n.a."))</f>
        <v>0</v>
      </c>
      <c r="R701" s="16">
        <f>IF(NOT(Paths!$C$70=1),0,IF(Paths!$P$70="Complete",IF(AND(C701=0,Paths!$E$70=0),I701-J701-K701+VLOOKUP(A701,'Fleet register'!$A$7:$S$106,15,FALSE)+VLOOKUP(A701,'Fleet register'!$A$7:$S$106,16,FALSE),0),"n.a."))</f>
        <v>0</v>
      </c>
      <c r="S701" s="1">
        <f>IF(NOT(Paths!$C$70=1),0,IF(Paths!$P$70="Complete",IF(C701=0,0,Paths!$S$70*Paths!$R$70),"n.a."))</f>
        <v>0</v>
      </c>
      <c r="T701" s="1">
        <f>IF(NOT(Paths!$C$70=1),0,IF(Paths!$P$70="Complete",IF(C701=0,0,VLOOKUP(A701,'Fleet register'!$A$7:$S$106,9,FALSE)*Paths!$R$70),"n.a."))</f>
        <v>0</v>
      </c>
    </row>
    <row r="702" spans="1:20" ht="24" customHeight="1">
      <c r="A702" s="1" t="str">
        <f>Paths!$A$70</f>
        <v>T016</v>
      </c>
      <c r="B702" s="1">
        <f>Paths!$B$70</f>
        <v>3</v>
      </c>
      <c r="C702" s="1">
        <v>2</v>
      </c>
      <c r="D702" s="1">
        <v>70</v>
      </c>
      <c r="E702" s="1">
        <f>IF(OR(Paths!$C$70=0,C702=0),0,MAX(0,MIN(C702*12,Paths!$E$70)-(C702-1)*12))</f>
        <v>0</v>
      </c>
      <c r="F702" s="1">
        <f>IF(OR(Paths!$C$70=0,C702=0),0,12-E702)</f>
        <v>0</v>
      </c>
      <c r="G702" s="16">
        <f>IF(NOT(Paths!$C$70=1),0,IF(Paths!$P$70="Complete",E702/12*(Paths!$J$70*(1+'Operating costs'!$B$51)^MAX(0,C702-1)+Paths!$K$70*(1+'Operating costs'!$B$53)^MAX(0,C702-1)),"n.a."))</f>
        <v>0</v>
      </c>
      <c r="H702" s="16">
        <f>IF(NOT(Paths!$C$70=1),0,IF(Paths!$P$70="Complete",F702/12*(Paths!$L$70*(1+IF(Paths!$D$70="EV",'Operating costs'!$B$52,'Operating costs'!$B$51))^MAX(0,C702-1)+Paths!$M$70*(1+'Operating costs'!$B$53)^MAX(0,C702-1)),"n.a."))</f>
        <v>0</v>
      </c>
      <c r="I702" s="16">
        <f>IF(NOT(Paths!$C$70=1),0,IF(Paths!$P$70="Complete",IF(IF(Paths!$E$70=0,C702=0,AND(C702&gt;0,Paths!$E$70&gt;(C702-1)*12,Paths!$E$70&lt;=C702*12)),Paths!$G$70,0),"n.a."))</f>
        <v>0</v>
      </c>
      <c r="J702" s="16">
        <f>IF(NOT(Paths!$C$70=1),0,IF(Paths!$P$70="Complete",IF(IF(Paths!$E$70=0,C702=0,AND(C702&gt;0,Paths!$E$70&gt;(C702-1)*12,Paths!$E$70&lt;=C702*12)),Paths!$H$70,0),"n.a."))</f>
        <v>0</v>
      </c>
      <c r="K702" s="16">
        <f>IF(NOT(Paths!$C$70=1),0,IF(Paths!$P$70="Complete",IF(IF(Paths!$O$70=0,C702=0,AND(C702&gt;0,Paths!$O$70&gt;(C702-1)*12,Paths!$O$70&lt;=C702*12)),Paths!$N$70,0),"n.a."))</f>
        <v>0</v>
      </c>
      <c r="L702" s="16">
        <f>IF(NOT(Paths!$C$70=1),0,IF(Paths!$P$70="Complete",IF(C702=10,Paths!$I$70,0),"n.a."))</f>
        <v>0</v>
      </c>
      <c r="M702" s="16">
        <f>IF(NOT(Paths!$C$70=1),0,IF(Paths!$P$70="Complete",IF(AND(Paths!$D$70="EV",Paths!$E$70&lt;120,Paths!$E$70+'Operating costs'!$B$65&gt;Paths!$E$70,Paths!$E$70+'Operating costs'!$B$65&lt;=120,IF(Paths!$E$70+'Operating costs'!$B$65=0,C702=0,AND(C702&gt;0,Paths!$E$70+'Operating costs'!$B$65&gt;(C702-1)*12,Paths!$E$70+'Operating costs'!$B$65&lt;=C702*12))),'Operating costs'!$B$64,0)+IF(AND('Operating costs'!$B$67&gt;0,'Operating costs'!$B$67&lt;=120,OR(Paths!$D$70="ICE",'Operating costs'!$B$67&lt;=Paths!$E$70),IF('Operating costs'!$B$67=0,C702=0,AND(C702&gt;0,'Operating costs'!$B$67&gt;(C702-1)*12,'Operating costs'!$B$67&lt;=C702*12))),'Operating costs'!$B$66,0),"n.a."))</f>
        <v>0</v>
      </c>
      <c r="N702" s="16">
        <f>IF(NOT(Paths!$C$70=1),0,IF(Paths!$P$70="Complete",SUM(G702:I702)-J702-K702-L702+M702+IF(C702=0,Paths!$F$70,0)+IF(IF(Paths!$E$70=0,C702=0,AND(C702&gt;0,Paths!$E$70&gt;(C702-1)*12,Paths!$E$70&lt;=C702*12)),VLOOKUP(A702,'Fleet register'!$A$7:$S$106,16,FALSE),0),"n.a."))</f>
        <v>0</v>
      </c>
      <c r="O702" s="16">
        <f>IF(NOT(Paths!$C$70=1),0,IF(Paths!$P$70="Complete",N702-IF(C702=0,Paths!$F$70,0),"n.a."))</f>
        <v>0</v>
      </c>
      <c r="P702" s="16">
        <f>IF(NOT(Paths!$C$70=1),0,IF(Paths!$P$70="Complete",O702+L702,"n.a."))</f>
        <v>0</v>
      </c>
      <c r="Q702" s="16">
        <f>IF(NOT(Paths!$C$70=1),0,IF(Paths!$P$70="Complete",N702*(1+'Operating costs'!$B$54)^-C702,"n.a."))</f>
        <v>0</v>
      </c>
      <c r="R702" s="16">
        <f>IF(NOT(Paths!$C$70=1),0,IF(Paths!$P$70="Complete",IF(AND(C702=0,Paths!$E$70=0),I702-J702-K702+VLOOKUP(A702,'Fleet register'!$A$7:$S$106,15,FALSE)+VLOOKUP(A702,'Fleet register'!$A$7:$S$106,16,FALSE),0),"n.a."))</f>
        <v>0</v>
      </c>
      <c r="S702" s="1">
        <f>IF(NOT(Paths!$C$70=1),0,IF(Paths!$P$70="Complete",IF(C702=0,0,Paths!$S$70*Paths!$R$70),"n.a."))</f>
        <v>0</v>
      </c>
      <c r="T702" s="1">
        <f>IF(NOT(Paths!$C$70=1),0,IF(Paths!$P$70="Complete",IF(C702=0,0,VLOOKUP(A702,'Fleet register'!$A$7:$S$106,9,FALSE)*Paths!$R$70),"n.a."))</f>
        <v>0</v>
      </c>
    </row>
    <row r="703" spans="1:20" ht="24" customHeight="1">
      <c r="A703" s="1" t="str">
        <f>Paths!$A$70</f>
        <v>T016</v>
      </c>
      <c r="B703" s="1">
        <f>Paths!$B$70</f>
        <v>3</v>
      </c>
      <c r="C703" s="1">
        <v>3</v>
      </c>
      <c r="D703" s="1">
        <v>70</v>
      </c>
      <c r="E703" s="1">
        <f>IF(OR(Paths!$C$70=0,C703=0),0,MAX(0,MIN(C703*12,Paths!$E$70)-(C703-1)*12))</f>
        <v>0</v>
      </c>
      <c r="F703" s="1">
        <f>IF(OR(Paths!$C$70=0,C703=0),0,12-E703)</f>
        <v>0</v>
      </c>
      <c r="G703" s="16">
        <f>IF(NOT(Paths!$C$70=1),0,IF(Paths!$P$70="Complete",E703/12*(Paths!$J$70*(1+'Operating costs'!$B$51)^MAX(0,C703-1)+Paths!$K$70*(1+'Operating costs'!$B$53)^MAX(0,C703-1)),"n.a."))</f>
        <v>0</v>
      </c>
      <c r="H703" s="16">
        <f>IF(NOT(Paths!$C$70=1),0,IF(Paths!$P$70="Complete",F703/12*(Paths!$L$70*(1+IF(Paths!$D$70="EV",'Operating costs'!$B$52,'Operating costs'!$B$51))^MAX(0,C703-1)+Paths!$M$70*(1+'Operating costs'!$B$53)^MAX(0,C703-1)),"n.a."))</f>
        <v>0</v>
      </c>
      <c r="I703" s="16">
        <f>IF(NOT(Paths!$C$70=1),0,IF(Paths!$P$70="Complete",IF(IF(Paths!$E$70=0,C703=0,AND(C703&gt;0,Paths!$E$70&gt;(C703-1)*12,Paths!$E$70&lt;=C703*12)),Paths!$G$70,0),"n.a."))</f>
        <v>0</v>
      </c>
      <c r="J703" s="16">
        <f>IF(NOT(Paths!$C$70=1),0,IF(Paths!$P$70="Complete",IF(IF(Paths!$E$70=0,C703=0,AND(C703&gt;0,Paths!$E$70&gt;(C703-1)*12,Paths!$E$70&lt;=C703*12)),Paths!$H$70,0),"n.a."))</f>
        <v>0</v>
      </c>
      <c r="K703" s="16">
        <f>IF(NOT(Paths!$C$70=1),0,IF(Paths!$P$70="Complete",IF(IF(Paths!$O$70=0,C703=0,AND(C703&gt;0,Paths!$O$70&gt;(C703-1)*12,Paths!$O$70&lt;=C703*12)),Paths!$N$70,0),"n.a."))</f>
        <v>0</v>
      </c>
      <c r="L703" s="16">
        <f>IF(NOT(Paths!$C$70=1),0,IF(Paths!$P$70="Complete",IF(C703=10,Paths!$I$70,0),"n.a."))</f>
        <v>0</v>
      </c>
      <c r="M703" s="16">
        <f>IF(NOT(Paths!$C$70=1),0,IF(Paths!$P$70="Complete",IF(AND(Paths!$D$70="EV",Paths!$E$70&lt;120,Paths!$E$70+'Operating costs'!$B$65&gt;Paths!$E$70,Paths!$E$70+'Operating costs'!$B$65&lt;=120,IF(Paths!$E$70+'Operating costs'!$B$65=0,C703=0,AND(C703&gt;0,Paths!$E$70+'Operating costs'!$B$65&gt;(C703-1)*12,Paths!$E$70+'Operating costs'!$B$65&lt;=C703*12))),'Operating costs'!$B$64,0)+IF(AND('Operating costs'!$B$67&gt;0,'Operating costs'!$B$67&lt;=120,OR(Paths!$D$70="ICE",'Operating costs'!$B$67&lt;=Paths!$E$70),IF('Operating costs'!$B$67=0,C703=0,AND(C703&gt;0,'Operating costs'!$B$67&gt;(C703-1)*12,'Operating costs'!$B$67&lt;=C703*12))),'Operating costs'!$B$66,0),"n.a."))</f>
        <v>0</v>
      </c>
      <c r="N703" s="16">
        <f>IF(NOT(Paths!$C$70=1),0,IF(Paths!$P$70="Complete",SUM(G703:I703)-J703-K703-L703+M703+IF(C703=0,Paths!$F$70,0)+IF(IF(Paths!$E$70=0,C703=0,AND(C703&gt;0,Paths!$E$70&gt;(C703-1)*12,Paths!$E$70&lt;=C703*12)),VLOOKUP(A703,'Fleet register'!$A$7:$S$106,16,FALSE),0),"n.a."))</f>
        <v>0</v>
      </c>
      <c r="O703" s="16">
        <f>IF(NOT(Paths!$C$70=1),0,IF(Paths!$P$70="Complete",N703-IF(C703=0,Paths!$F$70,0),"n.a."))</f>
        <v>0</v>
      </c>
      <c r="P703" s="16">
        <f>IF(NOT(Paths!$C$70=1),0,IF(Paths!$P$70="Complete",O703+L703,"n.a."))</f>
        <v>0</v>
      </c>
      <c r="Q703" s="16">
        <f>IF(NOT(Paths!$C$70=1),0,IF(Paths!$P$70="Complete",N703*(1+'Operating costs'!$B$54)^-C703,"n.a."))</f>
        <v>0</v>
      </c>
      <c r="R703" s="16">
        <f>IF(NOT(Paths!$C$70=1),0,IF(Paths!$P$70="Complete",IF(AND(C703=0,Paths!$E$70=0),I703-J703-K703+VLOOKUP(A703,'Fleet register'!$A$7:$S$106,15,FALSE)+VLOOKUP(A703,'Fleet register'!$A$7:$S$106,16,FALSE),0),"n.a."))</f>
        <v>0</v>
      </c>
      <c r="S703" s="1">
        <f>IF(NOT(Paths!$C$70=1),0,IF(Paths!$P$70="Complete",IF(C703=0,0,Paths!$S$70*Paths!$R$70),"n.a."))</f>
        <v>0</v>
      </c>
      <c r="T703" s="1">
        <f>IF(NOT(Paths!$C$70=1),0,IF(Paths!$P$70="Complete",IF(C703=0,0,VLOOKUP(A703,'Fleet register'!$A$7:$S$106,9,FALSE)*Paths!$R$70),"n.a."))</f>
        <v>0</v>
      </c>
    </row>
    <row r="704" spans="1:20" ht="24" customHeight="1">
      <c r="A704" s="1" t="str">
        <f>Paths!$A$70</f>
        <v>T016</v>
      </c>
      <c r="B704" s="1">
        <f>Paths!$B$70</f>
        <v>3</v>
      </c>
      <c r="C704" s="1">
        <v>4</v>
      </c>
      <c r="D704" s="1">
        <v>70</v>
      </c>
      <c r="E704" s="1">
        <f>IF(OR(Paths!$C$70=0,C704=0),0,MAX(0,MIN(C704*12,Paths!$E$70)-(C704-1)*12))</f>
        <v>0</v>
      </c>
      <c r="F704" s="1">
        <f>IF(OR(Paths!$C$70=0,C704=0),0,12-E704)</f>
        <v>0</v>
      </c>
      <c r="G704" s="16">
        <f>IF(NOT(Paths!$C$70=1),0,IF(Paths!$P$70="Complete",E704/12*(Paths!$J$70*(1+'Operating costs'!$B$51)^MAX(0,C704-1)+Paths!$K$70*(1+'Operating costs'!$B$53)^MAX(0,C704-1)),"n.a."))</f>
        <v>0</v>
      </c>
      <c r="H704" s="16">
        <f>IF(NOT(Paths!$C$70=1),0,IF(Paths!$P$70="Complete",F704/12*(Paths!$L$70*(1+IF(Paths!$D$70="EV",'Operating costs'!$B$52,'Operating costs'!$B$51))^MAX(0,C704-1)+Paths!$M$70*(1+'Operating costs'!$B$53)^MAX(0,C704-1)),"n.a."))</f>
        <v>0</v>
      </c>
      <c r="I704" s="16">
        <f>IF(NOT(Paths!$C$70=1),0,IF(Paths!$P$70="Complete",IF(IF(Paths!$E$70=0,C704=0,AND(C704&gt;0,Paths!$E$70&gt;(C704-1)*12,Paths!$E$70&lt;=C704*12)),Paths!$G$70,0),"n.a."))</f>
        <v>0</v>
      </c>
      <c r="J704" s="16">
        <f>IF(NOT(Paths!$C$70=1),0,IF(Paths!$P$70="Complete",IF(IF(Paths!$E$70=0,C704=0,AND(C704&gt;0,Paths!$E$70&gt;(C704-1)*12,Paths!$E$70&lt;=C704*12)),Paths!$H$70,0),"n.a."))</f>
        <v>0</v>
      </c>
      <c r="K704" s="16">
        <f>IF(NOT(Paths!$C$70=1),0,IF(Paths!$P$70="Complete",IF(IF(Paths!$O$70=0,C704=0,AND(C704&gt;0,Paths!$O$70&gt;(C704-1)*12,Paths!$O$70&lt;=C704*12)),Paths!$N$70,0),"n.a."))</f>
        <v>0</v>
      </c>
      <c r="L704" s="16">
        <f>IF(NOT(Paths!$C$70=1),0,IF(Paths!$P$70="Complete",IF(C704=10,Paths!$I$70,0),"n.a."))</f>
        <v>0</v>
      </c>
      <c r="M704" s="16">
        <f>IF(NOT(Paths!$C$70=1),0,IF(Paths!$P$70="Complete",IF(AND(Paths!$D$70="EV",Paths!$E$70&lt;120,Paths!$E$70+'Operating costs'!$B$65&gt;Paths!$E$70,Paths!$E$70+'Operating costs'!$B$65&lt;=120,IF(Paths!$E$70+'Operating costs'!$B$65=0,C704=0,AND(C704&gt;0,Paths!$E$70+'Operating costs'!$B$65&gt;(C704-1)*12,Paths!$E$70+'Operating costs'!$B$65&lt;=C704*12))),'Operating costs'!$B$64,0)+IF(AND('Operating costs'!$B$67&gt;0,'Operating costs'!$B$67&lt;=120,OR(Paths!$D$70="ICE",'Operating costs'!$B$67&lt;=Paths!$E$70),IF('Operating costs'!$B$67=0,C704=0,AND(C704&gt;0,'Operating costs'!$B$67&gt;(C704-1)*12,'Operating costs'!$B$67&lt;=C704*12))),'Operating costs'!$B$66,0),"n.a."))</f>
        <v>0</v>
      </c>
      <c r="N704" s="16">
        <f>IF(NOT(Paths!$C$70=1),0,IF(Paths!$P$70="Complete",SUM(G704:I704)-J704-K704-L704+M704+IF(C704=0,Paths!$F$70,0)+IF(IF(Paths!$E$70=0,C704=0,AND(C704&gt;0,Paths!$E$70&gt;(C704-1)*12,Paths!$E$70&lt;=C704*12)),VLOOKUP(A704,'Fleet register'!$A$7:$S$106,16,FALSE),0),"n.a."))</f>
        <v>0</v>
      </c>
      <c r="O704" s="16">
        <f>IF(NOT(Paths!$C$70=1),0,IF(Paths!$P$70="Complete",N704-IF(C704=0,Paths!$F$70,0),"n.a."))</f>
        <v>0</v>
      </c>
      <c r="P704" s="16">
        <f>IF(NOT(Paths!$C$70=1),0,IF(Paths!$P$70="Complete",O704+L704,"n.a."))</f>
        <v>0</v>
      </c>
      <c r="Q704" s="16">
        <f>IF(NOT(Paths!$C$70=1),0,IF(Paths!$P$70="Complete",N704*(1+'Operating costs'!$B$54)^-C704,"n.a."))</f>
        <v>0</v>
      </c>
      <c r="R704" s="16">
        <f>IF(NOT(Paths!$C$70=1),0,IF(Paths!$P$70="Complete",IF(AND(C704=0,Paths!$E$70=0),I704-J704-K704+VLOOKUP(A704,'Fleet register'!$A$7:$S$106,15,FALSE)+VLOOKUP(A704,'Fleet register'!$A$7:$S$106,16,FALSE),0),"n.a."))</f>
        <v>0</v>
      </c>
      <c r="S704" s="1">
        <f>IF(NOT(Paths!$C$70=1),0,IF(Paths!$P$70="Complete",IF(C704=0,0,Paths!$S$70*Paths!$R$70),"n.a."))</f>
        <v>0</v>
      </c>
      <c r="T704" s="1">
        <f>IF(NOT(Paths!$C$70=1),0,IF(Paths!$P$70="Complete",IF(C704=0,0,VLOOKUP(A704,'Fleet register'!$A$7:$S$106,9,FALSE)*Paths!$R$70),"n.a."))</f>
        <v>0</v>
      </c>
    </row>
    <row r="705" spans="1:20" ht="24" customHeight="1">
      <c r="A705" s="1" t="str">
        <f>Paths!$A$70</f>
        <v>T016</v>
      </c>
      <c r="B705" s="1">
        <f>Paths!$B$70</f>
        <v>3</v>
      </c>
      <c r="C705" s="1">
        <v>5</v>
      </c>
      <c r="D705" s="1">
        <v>70</v>
      </c>
      <c r="E705" s="1">
        <f>IF(OR(Paths!$C$70=0,C705=0),0,MAX(0,MIN(C705*12,Paths!$E$70)-(C705-1)*12))</f>
        <v>0</v>
      </c>
      <c r="F705" s="1">
        <f>IF(OR(Paths!$C$70=0,C705=0),0,12-E705)</f>
        <v>0</v>
      </c>
      <c r="G705" s="16">
        <f>IF(NOT(Paths!$C$70=1),0,IF(Paths!$P$70="Complete",E705/12*(Paths!$J$70*(1+'Operating costs'!$B$51)^MAX(0,C705-1)+Paths!$K$70*(1+'Operating costs'!$B$53)^MAX(0,C705-1)),"n.a."))</f>
        <v>0</v>
      </c>
      <c r="H705" s="16">
        <f>IF(NOT(Paths!$C$70=1),0,IF(Paths!$P$70="Complete",F705/12*(Paths!$L$70*(1+IF(Paths!$D$70="EV",'Operating costs'!$B$52,'Operating costs'!$B$51))^MAX(0,C705-1)+Paths!$M$70*(1+'Operating costs'!$B$53)^MAX(0,C705-1)),"n.a."))</f>
        <v>0</v>
      </c>
      <c r="I705" s="16">
        <f>IF(NOT(Paths!$C$70=1),0,IF(Paths!$P$70="Complete",IF(IF(Paths!$E$70=0,C705=0,AND(C705&gt;0,Paths!$E$70&gt;(C705-1)*12,Paths!$E$70&lt;=C705*12)),Paths!$G$70,0),"n.a."))</f>
        <v>0</v>
      </c>
      <c r="J705" s="16">
        <f>IF(NOT(Paths!$C$70=1),0,IF(Paths!$P$70="Complete",IF(IF(Paths!$E$70=0,C705=0,AND(C705&gt;0,Paths!$E$70&gt;(C705-1)*12,Paths!$E$70&lt;=C705*12)),Paths!$H$70,0),"n.a."))</f>
        <v>0</v>
      </c>
      <c r="K705" s="16">
        <f>IF(NOT(Paths!$C$70=1),0,IF(Paths!$P$70="Complete",IF(IF(Paths!$O$70=0,C705=0,AND(C705&gt;0,Paths!$O$70&gt;(C705-1)*12,Paths!$O$70&lt;=C705*12)),Paths!$N$70,0),"n.a."))</f>
        <v>0</v>
      </c>
      <c r="L705" s="16">
        <f>IF(NOT(Paths!$C$70=1),0,IF(Paths!$P$70="Complete",IF(C705=10,Paths!$I$70,0),"n.a."))</f>
        <v>0</v>
      </c>
      <c r="M705" s="16">
        <f>IF(NOT(Paths!$C$70=1),0,IF(Paths!$P$70="Complete",IF(AND(Paths!$D$70="EV",Paths!$E$70&lt;120,Paths!$E$70+'Operating costs'!$B$65&gt;Paths!$E$70,Paths!$E$70+'Operating costs'!$B$65&lt;=120,IF(Paths!$E$70+'Operating costs'!$B$65=0,C705=0,AND(C705&gt;0,Paths!$E$70+'Operating costs'!$B$65&gt;(C705-1)*12,Paths!$E$70+'Operating costs'!$B$65&lt;=C705*12))),'Operating costs'!$B$64,0)+IF(AND('Operating costs'!$B$67&gt;0,'Operating costs'!$B$67&lt;=120,OR(Paths!$D$70="ICE",'Operating costs'!$B$67&lt;=Paths!$E$70),IF('Operating costs'!$B$67=0,C705=0,AND(C705&gt;0,'Operating costs'!$B$67&gt;(C705-1)*12,'Operating costs'!$B$67&lt;=C705*12))),'Operating costs'!$B$66,0),"n.a."))</f>
        <v>0</v>
      </c>
      <c r="N705" s="16">
        <f>IF(NOT(Paths!$C$70=1),0,IF(Paths!$P$70="Complete",SUM(G705:I705)-J705-K705-L705+M705+IF(C705=0,Paths!$F$70,0)+IF(IF(Paths!$E$70=0,C705=0,AND(C705&gt;0,Paths!$E$70&gt;(C705-1)*12,Paths!$E$70&lt;=C705*12)),VLOOKUP(A705,'Fleet register'!$A$7:$S$106,16,FALSE),0),"n.a."))</f>
        <v>0</v>
      </c>
      <c r="O705" s="16">
        <f>IF(NOT(Paths!$C$70=1),0,IF(Paths!$P$70="Complete",N705-IF(C705=0,Paths!$F$70,0),"n.a."))</f>
        <v>0</v>
      </c>
      <c r="P705" s="16">
        <f>IF(NOT(Paths!$C$70=1),0,IF(Paths!$P$70="Complete",O705+L705,"n.a."))</f>
        <v>0</v>
      </c>
      <c r="Q705" s="16">
        <f>IF(NOT(Paths!$C$70=1),0,IF(Paths!$P$70="Complete",N705*(1+'Operating costs'!$B$54)^-C705,"n.a."))</f>
        <v>0</v>
      </c>
      <c r="R705" s="16">
        <f>IF(NOT(Paths!$C$70=1),0,IF(Paths!$P$70="Complete",IF(AND(C705=0,Paths!$E$70=0),I705-J705-K705+VLOOKUP(A705,'Fleet register'!$A$7:$S$106,15,FALSE)+VLOOKUP(A705,'Fleet register'!$A$7:$S$106,16,FALSE),0),"n.a."))</f>
        <v>0</v>
      </c>
      <c r="S705" s="1">
        <f>IF(NOT(Paths!$C$70=1),0,IF(Paths!$P$70="Complete",IF(C705=0,0,Paths!$S$70*Paths!$R$70),"n.a."))</f>
        <v>0</v>
      </c>
      <c r="T705" s="1">
        <f>IF(NOT(Paths!$C$70=1),0,IF(Paths!$P$70="Complete",IF(C705=0,0,VLOOKUP(A705,'Fleet register'!$A$7:$S$106,9,FALSE)*Paths!$R$70),"n.a."))</f>
        <v>0</v>
      </c>
    </row>
    <row r="706" spans="1:20" ht="24" customHeight="1">
      <c r="A706" s="1" t="str">
        <f>Paths!$A$70</f>
        <v>T016</v>
      </c>
      <c r="B706" s="1">
        <f>Paths!$B$70</f>
        <v>3</v>
      </c>
      <c r="C706" s="1">
        <v>6</v>
      </c>
      <c r="D706" s="1">
        <v>70</v>
      </c>
      <c r="E706" s="1">
        <f>IF(OR(Paths!$C$70=0,C706=0),0,MAX(0,MIN(C706*12,Paths!$E$70)-(C706-1)*12))</f>
        <v>0</v>
      </c>
      <c r="F706" s="1">
        <f>IF(OR(Paths!$C$70=0,C706=0),0,12-E706)</f>
        <v>0</v>
      </c>
      <c r="G706" s="16">
        <f>IF(NOT(Paths!$C$70=1),0,IF(Paths!$P$70="Complete",E706/12*(Paths!$J$70*(1+'Operating costs'!$B$51)^MAX(0,C706-1)+Paths!$K$70*(1+'Operating costs'!$B$53)^MAX(0,C706-1)),"n.a."))</f>
        <v>0</v>
      </c>
      <c r="H706" s="16">
        <f>IF(NOT(Paths!$C$70=1),0,IF(Paths!$P$70="Complete",F706/12*(Paths!$L$70*(1+IF(Paths!$D$70="EV",'Operating costs'!$B$52,'Operating costs'!$B$51))^MAX(0,C706-1)+Paths!$M$70*(1+'Operating costs'!$B$53)^MAX(0,C706-1)),"n.a."))</f>
        <v>0</v>
      </c>
      <c r="I706" s="16">
        <f>IF(NOT(Paths!$C$70=1),0,IF(Paths!$P$70="Complete",IF(IF(Paths!$E$70=0,C706=0,AND(C706&gt;0,Paths!$E$70&gt;(C706-1)*12,Paths!$E$70&lt;=C706*12)),Paths!$G$70,0),"n.a."))</f>
        <v>0</v>
      </c>
      <c r="J706" s="16">
        <f>IF(NOT(Paths!$C$70=1),0,IF(Paths!$P$70="Complete",IF(IF(Paths!$E$70=0,C706=0,AND(C706&gt;0,Paths!$E$70&gt;(C706-1)*12,Paths!$E$70&lt;=C706*12)),Paths!$H$70,0),"n.a."))</f>
        <v>0</v>
      </c>
      <c r="K706" s="16">
        <f>IF(NOT(Paths!$C$70=1),0,IF(Paths!$P$70="Complete",IF(IF(Paths!$O$70=0,C706=0,AND(C706&gt;0,Paths!$O$70&gt;(C706-1)*12,Paths!$O$70&lt;=C706*12)),Paths!$N$70,0),"n.a."))</f>
        <v>0</v>
      </c>
      <c r="L706" s="16">
        <f>IF(NOT(Paths!$C$70=1),0,IF(Paths!$P$70="Complete",IF(C706=10,Paths!$I$70,0),"n.a."))</f>
        <v>0</v>
      </c>
      <c r="M706" s="16">
        <f>IF(NOT(Paths!$C$70=1),0,IF(Paths!$P$70="Complete",IF(AND(Paths!$D$70="EV",Paths!$E$70&lt;120,Paths!$E$70+'Operating costs'!$B$65&gt;Paths!$E$70,Paths!$E$70+'Operating costs'!$B$65&lt;=120,IF(Paths!$E$70+'Operating costs'!$B$65=0,C706=0,AND(C706&gt;0,Paths!$E$70+'Operating costs'!$B$65&gt;(C706-1)*12,Paths!$E$70+'Operating costs'!$B$65&lt;=C706*12))),'Operating costs'!$B$64,0)+IF(AND('Operating costs'!$B$67&gt;0,'Operating costs'!$B$67&lt;=120,OR(Paths!$D$70="ICE",'Operating costs'!$B$67&lt;=Paths!$E$70),IF('Operating costs'!$B$67=0,C706=0,AND(C706&gt;0,'Operating costs'!$B$67&gt;(C706-1)*12,'Operating costs'!$B$67&lt;=C706*12))),'Operating costs'!$B$66,0),"n.a."))</f>
        <v>0</v>
      </c>
      <c r="N706" s="16">
        <f>IF(NOT(Paths!$C$70=1),0,IF(Paths!$P$70="Complete",SUM(G706:I706)-J706-K706-L706+M706+IF(C706=0,Paths!$F$70,0)+IF(IF(Paths!$E$70=0,C706=0,AND(C706&gt;0,Paths!$E$70&gt;(C706-1)*12,Paths!$E$70&lt;=C706*12)),VLOOKUP(A706,'Fleet register'!$A$7:$S$106,16,FALSE),0),"n.a."))</f>
        <v>0</v>
      </c>
      <c r="O706" s="16">
        <f>IF(NOT(Paths!$C$70=1),0,IF(Paths!$P$70="Complete",N706-IF(C706=0,Paths!$F$70,0),"n.a."))</f>
        <v>0</v>
      </c>
      <c r="P706" s="16">
        <f>IF(NOT(Paths!$C$70=1),0,IF(Paths!$P$70="Complete",O706+L706,"n.a."))</f>
        <v>0</v>
      </c>
      <c r="Q706" s="16">
        <f>IF(NOT(Paths!$C$70=1),0,IF(Paths!$P$70="Complete",N706*(1+'Operating costs'!$B$54)^-C706,"n.a."))</f>
        <v>0</v>
      </c>
      <c r="R706" s="16">
        <f>IF(NOT(Paths!$C$70=1),0,IF(Paths!$P$70="Complete",IF(AND(C706=0,Paths!$E$70=0),I706-J706-K706+VLOOKUP(A706,'Fleet register'!$A$7:$S$106,15,FALSE)+VLOOKUP(A706,'Fleet register'!$A$7:$S$106,16,FALSE),0),"n.a."))</f>
        <v>0</v>
      </c>
      <c r="S706" s="1">
        <f>IF(NOT(Paths!$C$70=1),0,IF(Paths!$P$70="Complete",IF(C706=0,0,Paths!$S$70*Paths!$R$70),"n.a."))</f>
        <v>0</v>
      </c>
      <c r="T706" s="1">
        <f>IF(NOT(Paths!$C$70=1),0,IF(Paths!$P$70="Complete",IF(C706=0,0,VLOOKUP(A706,'Fleet register'!$A$7:$S$106,9,FALSE)*Paths!$R$70),"n.a."))</f>
        <v>0</v>
      </c>
    </row>
    <row r="707" spans="1:20" ht="24" customHeight="1">
      <c r="A707" s="1" t="str">
        <f>Paths!$A$70</f>
        <v>T016</v>
      </c>
      <c r="B707" s="1">
        <f>Paths!$B$70</f>
        <v>3</v>
      </c>
      <c r="C707" s="1">
        <v>7</v>
      </c>
      <c r="D707" s="1">
        <v>70</v>
      </c>
      <c r="E707" s="1">
        <f>IF(OR(Paths!$C$70=0,C707=0),0,MAX(0,MIN(C707*12,Paths!$E$70)-(C707-1)*12))</f>
        <v>0</v>
      </c>
      <c r="F707" s="1">
        <f>IF(OR(Paths!$C$70=0,C707=0),0,12-E707)</f>
        <v>0</v>
      </c>
      <c r="G707" s="16">
        <f>IF(NOT(Paths!$C$70=1),0,IF(Paths!$P$70="Complete",E707/12*(Paths!$J$70*(1+'Operating costs'!$B$51)^MAX(0,C707-1)+Paths!$K$70*(1+'Operating costs'!$B$53)^MAX(0,C707-1)),"n.a."))</f>
        <v>0</v>
      </c>
      <c r="H707" s="16">
        <f>IF(NOT(Paths!$C$70=1),0,IF(Paths!$P$70="Complete",F707/12*(Paths!$L$70*(1+IF(Paths!$D$70="EV",'Operating costs'!$B$52,'Operating costs'!$B$51))^MAX(0,C707-1)+Paths!$M$70*(1+'Operating costs'!$B$53)^MAX(0,C707-1)),"n.a."))</f>
        <v>0</v>
      </c>
      <c r="I707" s="16">
        <f>IF(NOT(Paths!$C$70=1),0,IF(Paths!$P$70="Complete",IF(IF(Paths!$E$70=0,C707=0,AND(C707&gt;0,Paths!$E$70&gt;(C707-1)*12,Paths!$E$70&lt;=C707*12)),Paths!$G$70,0),"n.a."))</f>
        <v>0</v>
      </c>
      <c r="J707" s="16">
        <f>IF(NOT(Paths!$C$70=1),0,IF(Paths!$P$70="Complete",IF(IF(Paths!$E$70=0,C707=0,AND(C707&gt;0,Paths!$E$70&gt;(C707-1)*12,Paths!$E$70&lt;=C707*12)),Paths!$H$70,0),"n.a."))</f>
        <v>0</v>
      </c>
      <c r="K707" s="16">
        <f>IF(NOT(Paths!$C$70=1),0,IF(Paths!$P$70="Complete",IF(IF(Paths!$O$70=0,C707=0,AND(C707&gt;0,Paths!$O$70&gt;(C707-1)*12,Paths!$O$70&lt;=C707*12)),Paths!$N$70,0),"n.a."))</f>
        <v>0</v>
      </c>
      <c r="L707" s="16">
        <f>IF(NOT(Paths!$C$70=1),0,IF(Paths!$P$70="Complete",IF(C707=10,Paths!$I$70,0),"n.a."))</f>
        <v>0</v>
      </c>
      <c r="M707" s="16">
        <f>IF(NOT(Paths!$C$70=1),0,IF(Paths!$P$70="Complete",IF(AND(Paths!$D$70="EV",Paths!$E$70&lt;120,Paths!$E$70+'Operating costs'!$B$65&gt;Paths!$E$70,Paths!$E$70+'Operating costs'!$B$65&lt;=120,IF(Paths!$E$70+'Operating costs'!$B$65=0,C707=0,AND(C707&gt;0,Paths!$E$70+'Operating costs'!$B$65&gt;(C707-1)*12,Paths!$E$70+'Operating costs'!$B$65&lt;=C707*12))),'Operating costs'!$B$64,0)+IF(AND('Operating costs'!$B$67&gt;0,'Operating costs'!$B$67&lt;=120,OR(Paths!$D$70="ICE",'Operating costs'!$B$67&lt;=Paths!$E$70),IF('Operating costs'!$B$67=0,C707=0,AND(C707&gt;0,'Operating costs'!$B$67&gt;(C707-1)*12,'Operating costs'!$B$67&lt;=C707*12))),'Operating costs'!$B$66,0),"n.a."))</f>
        <v>0</v>
      </c>
      <c r="N707" s="16">
        <f>IF(NOT(Paths!$C$70=1),0,IF(Paths!$P$70="Complete",SUM(G707:I707)-J707-K707-L707+M707+IF(C707=0,Paths!$F$70,0)+IF(IF(Paths!$E$70=0,C707=0,AND(C707&gt;0,Paths!$E$70&gt;(C707-1)*12,Paths!$E$70&lt;=C707*12)),VLOOKUP(A707,'Fleet register'!$A$7:$S$106,16,FALSE),0),"n.a."))</f>
        <v>0</v>
      </c>
      <c r="O707" s="16">
        <f>IF(NOT(Paths!$C$70=1),0,IF(Paths!$P$70="Complete",N707-IF(C707=0,Paths!$F$70,0),"n.a."))</f>
        <v>0</v>
      </c>
      <c r="P707" s="16">
        <f>IF(NOT(Paths!$C$70=1),0,IF(Paths!$P$70="Complete",O707+L707,"n.a."))</f>
        <v>0</v>
      </c>
      <c r="Q707" s="16">
        <f>IF(NOT(Paths!$C$70=1),0,IF(Paths!$P$70="Complete",N707*(1+'Operating costs'!$B$54)^-C707,"n.a."))</f>
        <v>0</v>
      </c>
      <c r="R707" s="16">
        <f>IF(NOT(Paths!$C$70=1),0,IF(Paths!$P$70="Complete",IF(AND(C707=0,Paths!$E$70=0),I707-J707-K707+VLOOKUP(A707,'Fleet register'!$A$7:$S$106,15,FALSE)+VLOOKUP(A707,'Fleet register'!$A$7:$S$106,16,FALSE),0),"n.a."))</f>
        <v>0</v>
      </c>
      <c r="S707" s="1">
        <f>IF(NOT(Paths!$C$70=1),0,IF(Paths!$P$70="Complete",IF(C707=0,0,Paths!$S$70*Paths!$R$70),"n.a."))</f>
        <v>0</v>
      </c>
      <c r="T707" s="1">
        <f>IF(NOT(Paths!$C$70=1),0,IF(Paths!$P$70="Complete",IF(C707=0,0,VLOOKUP(A707,'Fleet register'!$A$7:$S$106,9,FALSE)*Paths!$R$70),"n.a."))</f>
        <v>0</v>
      </c>
    </row>
    <row r="708" spans="1:20" ht="24" customHeight="1">
      <c r="A708" s="1" t="str">
        <f>Paths!$A$70</f>
        <v>T016</v>
      </c>
      <c r="B708" s="1">
        <f>Paths!$B$70</f>
        <v>3</v>
      </c>
      <c r="C708" s="1">
        <v>8</v>
      </c>
      <c r="D708" s="1">
        <v>70</v>
      </c>
      <c r="E708" s="1">
        <f>IF(OR(Paths!$C$70=0,C708=0),0,MAX(0,MIN(C708*12,Paths!$E$70)-(C708-1)*12))</f>
        <v>0</v>
      </c>
      <c r="F708" s="1">
        <f>IF(OR(Paths!$C$70=0,C708=0),0,12-E708)</f>
        <v>0</v>
      </c>
      <c r="G708" s="16">
        <f>IF(NOT(Paths!$C$70=1),0,IF(Paths!$P$70="Complete",E708/12*(Paths!$J$70*(1+'Operating costs'!$B$51)^MAX(0,C708-1)+Paths!$K$70*(1+'Operating costs'!$B$53)^MAX(0,C708-1)),"n.a."))</f>
        <v>0</v>
      </c>
      <c r="H708" s="16">
        <f>IF(NOT(Paths!$C$70=1),0,IF(Paths!$P$70="Complete",F708/12*(Paths!$L$70*(1+IF(Paths!$D$70="EV",'Operating costs'!$B$52,'Operating costs'!$B$51))^MAX(0,C708-1)+Paths!$M$70*(1+'Operating costs'!$B$53)^MAX(0,C708-1)),"n.a."))</f>
        <v>0</v>
      </c>
      <c r="I708" s="16">
        <f>IF(NOT(Paths!$C$70=1),0,IF(Paths!$P$70="Complete",IF(IF(Paths!$E$70=0,C708=0,AND(C708&gt;0,Paths!$E$70&gt;(C708-1)*12,Paths!$E$70&lt;=C708*12)),Paths!$G$70,0),"n.a."))</f>
        <v>0</v>
      </c>
      <c r="J708" s="16">
        <f>IF(NOT(Paths!$C$70=1),0,IF(Paths!$P$70="Complete",IF(IF(Paths!$E$70=0,C708=0,AND(C708&gt;0,Paths!$E$70&gt;(C708-1)*12,Paths!$E$70&lt;=C708*12)),Paths!$H$70,0),"n.a."))</f>
        <v>0</v>
      </c>
      <c r="K708" s="16">
        <f>IF(NOT(Paths!$C$70=1),0,IF(Paths!$P$70="Complete",IF(IF(Paths!$O$70=0,C708=0,AND(C708&gt;0,Paths!$O$70&gt;(C708-1)*12,Paths!$O$70&lt;=C708*12)),Paths!$N$70,0),"n.a."))</f>
        <v>0</v>
      </c>
      <c r="L708" s="16">
        <f>IF(NOT(Paths!$C$70=1),0,IF(Paths!$P$70="Complete",IF(C708=10,Paths!$I$70,0),"n.a."))</f>
        <v>0</v>
      </c>
      <c r="M708" s="16">
        <f>IF(NOT(Paths!$C$70=1),0,IF(Paths!$P$70="Complete",IF(AND(Paths!$D$70="EV",Paths!$E$70&lt;120,Paths!$E$70+'Operating costs'!$B$65&gt;Paths!$E$70,Paths!$E$70+'Operating costs'!$B$65&lt;=120,IF(Paths!$E$70+'Operating costs'!$B$65=0,C708=0,AND(C708&gt;0,Paths!$E$70+'Operating costs'!$B$65&gt;(C708-1)*12,Paths!$E$70+'Operating costs'!$B$65&lt;=C708*12))),'Operating costs'!$B$64,0)+IF(AND('Operating costs'!$B$67&gt;0,'Operating costs'!$B$67&lt;=120,OR(Paths!$D$70="ICE",'Operating costs'!$B$67&lt;=Paths!$E$70),IF('Operating costs'!$B$67=0,C708=0,AND(C708&gt;0,'Operating costs'!$B$67&gt;(C708-1)*12,'Operating costs'!$B$67&lt;=C708*12))),'Operating costs'!$B$66,0),"n.a."))</f>
        <v>0</v>
      </c>
      <c r="N708" s="16">
        <f>IF(NOT(Paths!$C$70=1),0,IF(Paths!$P$70="Complete",SUM(G708:I708)-J708-K708-L708+M708+IF(C708=0,Paths!$F$70,0)+IF(IF(Paths!$E$70=0,C708=0,AND(C708&gt;0,Paths!$E$70&gt;(C708-1)*12,Paths!$E$70&lt;=C708*12)),VLOOKUP(A708,'Fleet register'!$A$7:$S$106,16,FALSE),0),"n.a."))</f>
        <v>0</v>
      </c>
      <c r="O708" s="16">
        <f>IF(NOT(Paths!$C$70=1),0,IF(Paths!$P$70="Complete",N708-IF(C708=0,Paths!$F$70,0),"n.a."))</f>
        <v>0</v>
      </c>
      <c r="P708" s="16">
        <f>IF(NOT(Paths!$C$70=1),0,IF(Paths!$P$70="Complete",O708+L708,"n.a."))</f>
        <v>0</v>
      </c>
      <c r="Q708" s="16">
        <f>IF(NOT(Paths!$C$70=1),0,IF(Paths!$P$70="Complete",N708*(1+'Operating costs'!$B$54)^-C708,"n.a."))</f>
        <v>0</v>
      </c>
      <c r="R708" s="16">
        <f>IF(NOT(Paths!$C$70=1),0,IF(Paths!$P$70="Complete",IF(AND(C708=0,Paths!$E$70=0),I708-J708-K708+VLOOKUP(A708,'Fleet register'!$A$7:$S$106,15,FALSE)+VLOOKUP(A708,'Fleet register'!$A$7:$S$106,16,FALSE),0),"n.a."))</f>
        <v>0</v>
      </c>
      <c r="S708" s="1">
        <f>IF(NOT(Paths!$C$70=1),0,IF(Paths!$P$70="Complete",IF(C708=0,0,Paths!$S$70*Paths!$R$70),"n.a."))</f>
        <v>0</v>
      </c>
      <c r="T708" s="1">
        <f>IF(NOT(Paths!$C$70=1),0,IF(Paths!$P$70="Complete",IF(C708=0,0,VLOOKUP(A708,'Fleet register'!$A$7:$S$106,9,FALSE)*Paths!$R$70),"n.a."))</f>
        <v>0</v>
      </c>
    </row>
    <row r="709" spans="1:20" ht="24" customHeight="1">
      <c r="A709" s="1" t="str">
        <f>Paths!$A$70</f>
        <v>T016</v>
      </c>
      <c r="B709" s="1">
        <f>Paths!$B$70</f>
        <v>3</v>
      </c>
      <c r="C709" s="1">
        <v>9</v>
      </c>
      <c r="D709" s="1">
        <v>70</v>
      </c>
      <c r="E709" s="1">
        <f>IF(OR(Paths!$C$70=0,C709=0),0,MAX(0,MIN(C709*12,Paths!$E$70)-(C709-1)*12))</f>
        <v>0</v>
      </c>
      <c r="F709" s="1">
        <f>IF(OR(Paths!$C$70=0,C709=0),0,12-E709)</f>
        <v>0</v>
      </c>
      <c r="G709" s="16">
        <f>IF(NOT(Paths!$C$70=1),0,IF(Paths!$P$70="Complete",E709/12*(Paths!$J$70*(1+'Operating costs'!$B$51)^MAX(0,C709-1)+Paths!$K$70*(1+'Operating costs'!$B$53)^MAX(0,C709-1)),"n.a."))</f>
        <v>0</v>
      </c>
      <c r="H709" s="16">
        <f>IF(NOT(Paths!$C$70=1),0,IF(Paths!$P$70="Complete",F709/12*(Paths!$L$70*(1+IF(Paths!$D$70="EV",'Operating costs'!$B$52,'Operating costs'!$B$51))^MAX(0,C709-1)+Paths!$M$70*(1+'Operating costs'!$B$53)^MAX(0,C709-1)),"n.a."))</f>
        <v>0</v>
      </c>
      <c r="I709" s="16">
        <f>IF(NOT(Paths!$C$70=1),0,IF(Paths!$P$70="Complete",IF(IF(Paths!$E$70=0,C709=0,AND(C709&gt;0,Paths!$E$70&gt;(C709-1)*12,Paths!$E$70&lt;=C709*12)),Paths!$G$70,0),"n.a."))</f>
        <v>0</v>
      </c>
      <c r="J709" s="16">
        <f>IF(NOT(Paths!$C$70=1),0,IF(Paths!$P$70="Complete",IF(IF(Paths!$E$70=0,C709=0,AND(C709&gt;0,Paths!$E$70&gt;(C709-1)*12,Paths!$E$70&lt;=C709*12)),Paths!$H$70,0),"n.a."))</f>
        <v>0</v>
      </c>
      <c r="K709" s="16">
        <f>IF(NOT(Paths!$C$70=1),0,IF(Paths!$P$70="Complete",IF(IF(Paths!$O$70=0,C709=0,AND(C709&gt;0,Paths!$O$70&gt;(C709-1)*12,Paths!$O$70&lt;=C709*12)),Paths!$N$70,0),"n.a."))</f>
        <v>0</v>
      </c>
      <c r="L709" s="16">
        <f>IF(NOT(Paths!$C$70=1),0,IF(Paths!$P$70="Complete",IF(C709=10,Paths!$I$70,0),"n.a."))</f>
        <v>0</v>
      </c>
      <c r="M709" s="16">
        <f>IF(NOT(Paths!$C$70=1),0,IF(Paths!$P$70="Complete",IF(AND(Paths!$D$70="EV",Paths!$E$70&lt;120,Paths!$E$70+'Operating costs'!$B$65&gt;Paths!$E$70,Paths!$E$70+'Operating costs'!$B$65&lt;=120,IF(Paths!$E$70+'Operating costs'!$B$65=0,C709=0,AND(C709&gt;0,Paths!$E$70+'Operating costs'!$B$65&gt;(C709-1)*12,Paths!$E$70+'Operating costs'!$B$65&lt;=C709*12))),'Operating costs'!$B$64,0)+IF(AND('Operating costs'!$B$67&gt;0,'Operating costs'!$B$67&lt;=120,OR(Paths!$D$70="ICE",'Operating costs'!$B$67&lt;=Paths!$E$70),IF('Operating costs'!$B$67=0,C709=0,AND(C709&gt;0,'Operating costs'!$B$67&gt;(C709-1)*12,'Operating costs'!$B$67&lt;=C709*12))),'Operating costs'!$B$66,0),"n.a."))</f>
        <v>0</v>
      </c>
      <c r="N709" s="16">
        <f>IF(NOT(Paths!$C$70=1),0,IF(Paths!$P$70="Complete",SUM(G709:I709)-J709-K709-L709+M709+IF(C709=0,Paths!$F$70,0)+IF(IF(Paths!$E$70=0,C709=0,AND(C709&gt;0,Paths!$E$70&gt;(C709-1)*12,Paths!$E$70&lt;=C709*12)),VLOOKUP(A709,'Fleet register'!$A$7:$S$106,16,FALSE),0),"n.a."))</f>
        <v>0</v>
      </c>
      <c r="O709" s="16">
        <f>IF(NOT(Paths!$C$70=1),0,IF(Paths!$P$70="Complete",N709-IF(C709=0,Paths!$F$70,0),"n.a."))</f>
        <v>0</v>
      </c>
      <c r="P709" s="16">
        <f>IF(NOT(Paths!$C$70=1),0,IF(Paths!$P$70="Complete",O709+L709,"n.a."))</f>
        <v>0</v>
      </c>
      <c r="Q709" s="16">
        <f>IF(NOT(Paths!$C$70=1),0,IF(Paths!$P$70="Complete",N709*(1+'Operating costs'!$B$54)^-C709,"n.a."))</f>
        <v>0</v>
      </c>
      <c r="R709" s="16">
        <f>IF(NOT(Paths!$C$70=1),0,IF(Paths!$P$70="Complete",IF(AND(C709=0,Paths!$E$70=0),I709-J709-K709+VLOOKUP(A709,'Fleet register'!$A$7:$S$106,15,FALSE)+VLOOKUP(A709,'Fleet register'!$A$7:$S$106,16,FALSE),0),"n.a."))</f>
        <v>0</v>
      </c>
      <c r="S709" s="1">
        <f>IF(NOT(Paths!$C$70=1),0,IF(Paths!$P$70="Complete",IF(C709=0,0,Paths!$S$70*Paths!$R$70),"n.a."))</f>
        <v>0</v>
      </c>
      <c r="T709" s="1">
        <f>IF(NOT(Paths!$C$70=1),0,IF(Paths!$P$70="Complete",IF(C709=0,0,VLOOKUP(A709,'Fleet register'!$A$7:$S$106,9,FALSE)*Paths!$R$70),"n.a."))</f>
        <v>0</v>
      </c>
    </row>
    <row r="710" spans="1:20" ht="24" customHeight="1">
      <c r="A710" s="1" t="str">
        <f>Paths!$A$70</f>
        <v>T016</v>
      </c>
      <c r="B710" s="1">
        <f>Paths!$B$70</f>
        <v>3</v>
      </c>
      <c r="C710" s="1">
        <v>10</v>
      </c>
      <c r="D710" s="1">
        <v>70</v>
      </c>
      <c r="E710" s="1">
        <f>IF(OR(Paths!$C$70=0,C710=0),0,MAX(0,MIN(C710*12,Paths!$E$70)-(C710-1)*12))</f>
        <v>0</v>
      </c>
      <c r="F710" s="1">
        <f>IF(OR(Paths!$C$70=0,C710=0),0,12-E710)</f>
        <v>0</v>
      </c>
      <c r="G710" s="16">
        <f>IF(NOT(Paths!$C$70=1),0,IF(Paths!$P$70="Complete",E710/12*(Paths!$J$70*(1+'Operating costs'!$B$51)^MAX(0,C710-1)+Paths!$K$70*(1+'Operating costs'!$B$53)^MAX(0,C710-1)),"n.a."))</f>
        <v>0</v>
      </c>
      <c r="H710" s="16">
        <f>IF(NOT(Paths!$C$70=1),0,IF(Paths!$P$70="Complete",F710/12*(Paths!$L$70*(1+IF(Paths!$D$70="EV",'Operating costs'!$B$52,'Operating costs'!$B$51))^MAX(0,C710-1)+Paths!$M$70*(1+'Operating costs'!$B$53)^MAX(0,C710-1)),"n.a."))</f>
        <v>0</v>
      </c>
      <c r="I710" s="16">
        <f>IF(NOT(Paths!$C$70=1),0,IF(Paths!$P$70="Complete",IF(IF(Paths!$E$70=0,C710=0,AND(C710&gt;0,Paths!$E$70&gt;(C710-1)*12,Paths!$E$70&lt;=C710*12)),Paths!$G$70,0),"n.a."))</f>
        <v>0</v>
      </c>
      <c r="J710" s="16">
        <f>IF(NOT(Paths!$C$70=1),0,IF(Paths!$P$70="Complete",IF(IF(Paths!$E$70=0,C710=0,AND(C710&gt;0,Paths!$E$70&gt;(C710-1)*12,Paths!$E$70&lt;=C710*12)),Paths!$H$70,0),"n.a."))</f>
        <v>0</v>
      </c>
      <c r="K710" s="16">
        <f>IF(NOT(Paths!$C$70=1),0,IF(Paths!$P$70="Complete",IF(IF(Paths!$O$70=0,C710=0,AND(C710&gt;0,Paths!$O$70&gt;(C710-1)*12,Paths!$O$70&lt;=C710*12)),Paths!$N$70,0),"n.a."))</f>
        <v>0</v>
      </c>
      <c r="L710" s="16">
        <f>IF(NOT(Paths!$C$70=1),0,IF(Paths!$P$70="Complete",IF(C710=10,Paths!$I$70,0),"n.a."))</f>
        <v>0</v>
      </c>
      <c r="M710" s="16">
        <f>IF(NOT(Paths!$C$70=1),0,IF(Paths!$P$70="Complete",IF(AND(Paths!$D$70="EV",Paths!$E$70&lt;120,Paths!$E$70+'Operating costs'!$B$65&gt;Paths!$E$70,Paths!$E$70+'Operating costs'!$B$65&lt;=120,IF(Paths!$E$70+'Operating costs'!$B$65=0,C710=0,AND(C710&gt;0,Paths!$E$70+'Operating costs'!$B$65&gt;(C710-1)*12,Paths!$E$70+'Operating costs'!$B$65&lt;=C710*12))),'Operating costs'!$B$64,0)+IF(AND('Operating costs'!$B$67&gt;0,'Operating costs'!$B$67&lt;=120,OR(Paths!$D$70="ICE",'Operating costs'!$B$67&lt;=Paths!$E$70),IF('Operating costs'!$B$67=0,C710=0,AND(C710&gt;0,'Operating costs'!$B$67&gt;(C710-1)*12,'Operating costs'!$B$67&lt;=C710*12))),'Operating costs'!$B$66,0),"n.a."))</f>
        <v>0</v>
      </c>
      <c r="N710" s="16">
        <f>IF(NOT(Paths!$C$70=1),0,IF(Paths!$P$70="Complete",SUM(G710:I710)-J710-K710-L710+M710+IF(C710=0,Paths!$F$70,0)+IF(IF(Paths!$E$70=0,C710=0,AND(C710&gt;0,Paths!$E$70&gt;(C710-1)*12,Paths!$E$70&lt;=C710*12)),VLOOKUP(A710,'Fleet register'!$A$7:$S$106,16,FALSE),0),"n.a."))</f>
        <v>0</v>
      </c>
      <c r="O710" s="16">
        <f>IF(NOT(Paths!$C$70=1),0,IF(Paths!$P$70="Complete",N710-IF(C710=0,Paths!$F$70,0),"n.a."))</f>
        <v>0</v>
      </c>
      <c r="P710" s="16">
        <f>IF(NOT(Paths!$C$70=1),0,IF(Paths!$P$70="Complete",O710+L710,"n.a."))</f>
        <v>0</v>
      </c>
      <c r="Q710" s="16">
        <f>IF(NOT(Paths!$C$70=1),0,IF(Paths!$P$70="Complete",N710*(1+'Operating costs'!$B$54)^-C710,"n.a."))</f>
        <v>0</v>
      </c>
      <c r="R710" s="16">
        <f>IF(NOT(Paths!$C$70=1),0,IF(Paths!$P$70="Complete",IF(AND(C710=0,Paths!$E$70=0),I710-J710-K710+VLOOKUP(A710,'Fleet register'!$A$7:$S$106,15,FALSE)+VLOOKUP(A710,'Fleet register'!$A$7:$S$106,16,FALSE),0),"n.a."))</f>
        <v>0</v>
      </c>
      <c r="S710" s="1">
        <f>IF(NOT(Paths!$C$70=1),0,IF(Paths!$P$70="Complete",IF(C710=0,0,Paths!$S$70*Paths!$R$70),"n.a."))</f>
        <v>0</v>
      </c>
      <c r="T710" s="1">
        <f>IF(NOT(Paths!$C$70=1),0,IF(Paths!$P$70="Complete",IF(C710=0,0,VLOOKUP(A710,'Fleet register'!$A$7:$S$106,9,FALSE)*Paths!$R$70),"n.a."))</f>
        <v>0</v>
      </c>
    </row>
    <row r="711" spans="1:20" ht="24" customHeight="1">
      <c r="A711" s="1" t="str">
        <f>Paths!$A$71</f>
        <v>T017</v>
      </c>
      <c r="B711" s="1">
        <f>Paths!$B$71</f>
        <v>0</v>
      </c>
      <c r="C711" s="1">
        <v>0</v>
      </c>
      <c r="D711" s="1">
        <v>71</v>
      </c>
      <c r="E711" s="1">
        <f>IF(OR(Paths!$C$71=0,C711=0),0,MAX(0,MIN(C711*12,Paths!$E$71)-(C711-1)*12))</f>
        <v>0</v>
      </c>
      <c r="F711" s="1">
        <f>IF(OR(Paths!$C$71=0,C711=0),0,12-E711)</f>
        <v>0</v>
      </c>
      <c r="G711" s="16">
        <f>IF(NOT(Paths!$C$71=1),0,IF(Paths!$P$71="Complete",E711/12*(Paths!$J$71*(1+'Operating costs'!$B$51)^MAX(0,C711-1)+Paths!$K$71*(1+'Operating costs'!$B$53)^MAX(0,C711-1)),"n.a."))</f>
        <v>0</v>
      </c>
      <c r="H711" s="16">
        <f>IF(NOT(Paths!$C$71=1),0,IF(Paths!$P$71="Complete",F711/12*(Paths!$L$71*(1+IF(Paths!$D$71="EV",'Operating costs'!$B$52,'Operating costs'!$B$51))^MAX(0,C711-1)+Paths!$M$71*(1+'Operating costs'!$B$53)^MAX(0,C711-1)),"n.a."))</f>
        <v>0</v>
      </c>
      <c r="I711" s="16">
        <f>IF(NOT(Paths!$C$71=1),0,IF(Paths!$P$71="Complete",IF(IF(Paths!$E$71=0,C711=0,AND(C711&gt;0,Paths!$E$71&gt;(C711-1)*12,Paths!$E$71&lt;=C711*12)),Paths!$G$71,0),"n.a."))</f>
        <v>0</v>
      </c>
      <c r="J711" s="16">
        <f>IF(NOT(Paths!$C$71=1),0,IF(Paths!$P$71="Complete",IF(IF(Paths!$E$71=0,C711=0,AND(C711&gt;0,Paths!$E$71&gt;(C711-1)*12,Paths!$E$71&lt;=C711*12)),Paths!$H$71,0),"n.a."))</f>
        <v>0</v>
      </c>
      <c r="K711" s="16">
        <f>IF(NOT(Paths!$C$71=1),0,IF(Paths!$P$71="Complete",IF(IF(Paths!$O$71=0,C711=0,AND(C711&gt;0,Paths!$O$71&gt;(C711-1)*12,Paths!$O$71&lt;=C711*12)),Paths!$N$71,0),"n.a."))</f>
        <v>0</v>
      </c>
      <c r="L711" s="16">
        <f>IF(NOT(Paths!$C$71=1),0,IF(Paths!$P$71="Complete",IF(C711=10,Paths!$I$71,0),"n.a."))</f>
        <v>0</v>
      </c>
      <c r="M711" s="16">
        <f>IF(NOT(Paths!$C$71=1),0,IF(Paths!$P$71="Complete",IF(AND(Paths!$D$71="EV",Paths!$E$71&lt;120,Paths!$E$71+'Operating costs'!$B$65&gt;Paths!$E$71,Paths!$E$71+'Operating costs'!$B$65&lt;=120,IF(Paths!$E$71+'Operating costs'!$B$65=0,C711=0,AND(C711&gt;0,Paths!$E$71+'Operating costs'!$B$65&gt;(C711-1)*12,Paths!$E$71+'Operating costs'!$B$65&lt;=C711*12))),'Operating costs'!$B$64,0)+IF(AND('Operating costs'!$B$67&gt;0,'Operating costs'!$B$67&lt;=120,OR(Paths!$D$71="ICE",'Operating costs'!$B$67&lt;=Paths!$E$71),IF('Operating costs'!$B$67=0,C711=0,AND(C711&gt;0,'Operating costs'!$B$67&gt;(C711-1)*12,'Operating costs'!$B$67&lt;=C711*12))),'Operating costs'!$B$66,0),"n.a."))</f>
        <v>0</v>
      </c>
      <c r="N711" s="16">
        <f>IF(NOT(Paths!$C$71=1),0,IF(Paths!$P$71="Complete",SUM(G711:I711)-J711-K711-L711+M711+IF(C711=0,Paths!$F$71,0)+IF(IF(Paths!$E$71=0,C711=0,AND(C711&gt;0,Paths!$E$71&gt;(C711-1)*12,Paths!$E$71&lt;=C711*12)),VLOOKUP(A711,'Fleet register'!$A$7:$S$106,16,FALSE),0),"n.a."))</f>
        <v>0</v>
      </c>
      <c r="O711" s="16">
        <f>IF(NOT(Paths!$C$71=1),0,IF(Paths!$P$71="Complete",N711-IF(C711=0,Paths!$F$71,0),"n.a."))</f>
        <v>0</v>
      </c>
      <c r="P711" s="16">
        <f>IF(NOT(Paths!$C$71=1),0,IF(Paths!$P$71="Complete",O711+L711,"n.a."))</f>
        <v>0</v>
      </c>
      <c r="Q711" s="16">
        <f>IF(NOT(Paths!$C$71=1),0,IF(Paths!$P$71="Complete",N711*(1+'Operating costs'!$B$54)^-C711,"n.a."))</f>
        <v>0</v>
      </c>
      <c r="R711" s="16">
        <f>IF(NOT(Paths!$C$71=1),0,IF(Paths!$P$71="Complete",IF(AND(C711=0,Paths!$E$71=0),I711-J711-K711+VLOOKUP(A711,'Fleet register'!$A$7:$S$106,15,FALSE)+VLOOKUP(A711,'Fleet register'!$A$7:$S$106,16,FALSE),0),"n.a."))</f>
        <v>0</v>
      </c>
      <c r="S711" s="1">
        <f>IF(NOT(Paths!$C$71=1),0,IF(Paths!$P$71="Complete",IF(C711=0,0,Paths!$S$71*Paths!$R$71),"n.a."))</f>
        <v>0</v>
      </c>
      <c r="T711" s="1">
        <f>IF(NOT(Paths!$C$71=1),0,IF(Paths!$P$71="Complete",IF(C711=0,0,VLOOKUP(A711,'Fleet register'!$A$7:$S$106,9,FALSE)*Paths!$R$71),"n.a."))</f>
        <v>0</v>
      </c>
    </row>
    <row r="712" spans="1:20" ht="24" customHeight="1">
      <c r="A712" s="1" t="str">
        <f>Paths!$A$71</f>
        <v>T017</v>
      </c>
      <c r="B712" s="1">
        <f>Paths!$B$71</f>
        <v>0</v>
      </c>
      <c r="C712" s="1">
        <v>1</v>
      </c>
      <c r="D712" s="1">
        <v>71</v>
      </c>
      <c r="E712" s="1">
        <f>IF(OR(Paths!$C$71=0,C712=0),0,MAX(0,MIN(C712*12,Paths!$E$71)-(C712-1)*12))</f>
        <v>0</v>
      </c>
      <c r="F712" s="1">
        <f>IF(OR(Paths!$C$71=0,C712=0),0,12-E712)</f>
        <v>0</v>
      </c>
      <c r="G712" s="16">
        <f>IF(NOT(Paths!$C$71=1),0,IF(Paths!$P$71="Complete",E712/12*(Paths!$J$71*(1+'Operating costs'!$B$51)^MAX(0,C712-1)+Paths!$K$71*(1+'Operating costs'!$B$53)^MAX(0,C712-1)),"n.a."))</f>
        <v>0</v>
      </c>
      <c r="H712" s="16">
        <f>IF(NOT(Paths!$C$71=1),0,IF(Paths!$P$71="Complete",F712/12*(Paths!$L$71*(1+IF(Paths!$D$71="EV",'Operating costs'!$B$52,'Operating costs'!$B$51))^MAX(0,C712-1)+Paths!$M$71*(1+'Operating costs'!$B$53)^MAX(0,C712-1)),"n.a."))</f>
        <v>0</v>
      </c>
      <c r="I712" s="16">
        <f>IF(NOT(Paths!$C$71=1),0,IF(Paths!$P$71="Complete",IF(IF(Paths!$E$71=0,C712=0,AND(C712&gt;0,Paths!$E$71&gt;(C712-1)*12,Paths!$E$71&lt;=C712*12)),Paths!$G$71,0),"n.a."))</f>
        <v>0</v>
      </c>
      <c r="J712" s="16">
        <f>IF(NOT(Paths!$C$71=1),0,IF(Paths!$P$71="Complete",IF(IF(Paths!$E$71=0,C712=0,AND(C712&gt;0,Paths!$E$71&gt;(C712-1)*12,Paths!$E$71&lt;=C712*12)),Paths!$H$71,0),"n.a."))</f>
        <v>0</v>
      </c>
      <c r="K712" s="16">
        <f>IF(NOT(Paths!$C$71=1),0,IF(Paths!$P$71="Complete",IF(IF(Paths!$O$71=0,C712=0,AND(C712&gt;0,Paths!$O$71&gt;(C712-1)*12,Paths!$O$71&lt;=C712*12)),Paths!$N$71,0),"n.a."))</f>
        <v>0</v>
      </c>
      <c r="L712" s="16">
        <f>IF(NOT(Paths!$C$71=1),0,IF(Paths!$P$71="Complete",IF(C712=10,Paths!$I$71,0),"n.a."))</f>
        <v>0</v>
      </c>
      <c r="M712" s="16">
        <f>IF(NOT(Paths!$C$71=1),0,IF(Paths!$P$71="Complete",IF(AND(Paths!$D$71="EV",Paths!$E$71&lt;120,Paths!$E$71+'Operating costs'!$B$65&gt;Paths!$E$71,Paths!$E$71+'Operating costs'!$B$65&lt;=120,IF(Paths!$E$71+'Operating costs'!$B$65=0,C712=0,AND(C712&gt;0,Paths!$E$71+'Operating costs'!$B$65&gt;(C712-1)*12,Paths!$E$71+'Operating costs'!$B$65&lt;=C712*12))),'Operating costs'!$B$64,0)+IF(AND('Operating costs'!$B$67&gt;0,'Operating costs'!$B$67&lt;=120,OR(Paths!$D$71="ICE",'Operating costs'!$B$67&lt;=Paths!$E$71),IF('Operating costs'!$B$67=0,C712=0,AND(C712&gt;0,'Operating costs'!$B$67&gt;(C712-1)*12,'Operating costs'!$B$67&lt;=C712*12))),'Operating costs'!$B$66,0),"n.a."))</f>
        <v>0</v>
      </c>
      <c r="N712" s="16">
        <f>IF(NOT(Paths!$C$71=1),0,IF(Paths!$P$71="Complete",SUM(G712:I712)-J712-K712-L712+M712+IF(C712=0,Paths!$F$71,0)+IF(IF(Paths!$E$71=0,C712=0,AND(C712&gt;0,Paths!$E$71&gt;(C712-1)*12,Paths!$E$71&lt;=C712*12)),VLOOKUP(A712,'Fleet register'!$A$7:$S$106,16,FALSE),0),"n.a."))</f>
        <v>0</v>
      </c>
      <c r="O712" s="16">
        <f>IF(NOT(Paths!$C$71=1),0,IF(Paths!$P$71="Complete",N712-IF(C712=0,Paths!$F$71,0),"n.a."))</f>
        <v>0</v>
      </c>
      <c r="P712" s="16">
        <f>IF(NOT(Paths!$C$71=1),0,IF(Paths!$P$71="Complete",O712+L712,"n.a."))</f>
        <v>0</v>
      </c>
      <c r="Q712" s="16">
        <f>IF(NOT(Paths!$C$71=1),0,IF(Paths!$P$71="Complete",N712*(1+'Operating costs'!$B$54)^-C712,"n.a."))</f>
        <v>0</v>
      </c>
      <c r="R712" s="16">
        <f>IF(NOT(Paths!$C$71=1),0,IF(Paths!$P$71="Complete",IF(AND(C712=0,Paths!$E$71=0),I712-J712-K712+VLOOKUP(A712,'Fleet register'!$A$7:$S$106,15,FALSE)+VLOOKUP(A712,'Fleet register'!$A$7:$S$106,16,FALSE),0),"n.a."))</f>
        <v>0</v>
      </c>
      <c r="S712" s="1">
        <f>IF(NOT(Paths!$C$71=1),0,IF(Paths!$P$71="Complete",IF(C712=0,0,Paths!$S$71*Paths!$R$71),"n.a."))</f>
        <v>0</v>
      </c>
      <c r="T712" s="1">
        <f>IF(NOT(Paths!$C$71=1),0,IF(Paths!$P$71="Complete",IF(C712=0,0,VLOOKUP(A712,'Fleet register'!$A$7:$S$106,9,FALSE)*Paths!$R$71),"n.a."))</f>
        <v>0</v>
      </c>
    </row>
    <row r="713" spans="1:20" ht="24" customHeight="1">
      <c r="A713" s="1" t="str">
        <f>Paths!$A$71</f>
        <v>T017</v>
      </c>
      <c r="B713" s="1">
        <f>Paths!$B$71</f>
        <v>0</v>
      </c>
      <c r="C713" s="1">
        <v>2</v>
      </c>
      <c r="D713" s="1">
        <v>71</v>
      </c>
      <c r="E713" s="1">
        <f>IF(OR(Paths!$C$71=0,C713=0),0,MAX(0,MIN(C713*12,Paths!$E$71)-(C713-1)*12))</f>
        <v>0</v>
      </c>
      <c r="F713" s="1">
        <f>IF(OR(Paths!$C$71=0,C713=0),0,12-E713)</f>
        <v>0</v>
      </c>
      <c r="G713" s="16">
        <f>IF(NOT(Paths!$C$71=1),0,IF(Paths!$P$71="Complete",E713/12*(Paths!$J$71*(1+'Operating costs'!$B$51)^MAX(0,C713-1)+Paths!$K$71*(1+'Operating costs'!$B$53)^MAX(0,C713-1)),"n.a."))</f>
        <v>0</v>
      </c>
      <c r="H713" s="16">
        <f>IF(NOT(Paths!$C$71=1),0,IF(Paths!$P$71="Complete",F713/12*(Paths!$L$71*(1+IF(Paths!$D$71="EV",'Operating costs'!$B$52,'Operating costs'!$B$51))^MAX(0,C713-1)+Paths!$M$71*(1+'Operating costs'!$B$53)^MAX(0,C713-1)),"n.a."))</f>
        <v>0</v>
      </c>
      <c r="I713" s="16">
        <f>IF(NOT(Paths!$C$71=1),0,IF(Paths!$P$71="Complete",IF(IF(Paths!$E$71=0,C713=0,AND(C713&gt;0,Paths!$E$71&gt;(C713-1)*12,Paths!$E$71&lt;=C713*12)),Paths!$G$71,0),"n.a."))</f>
        <v>0</v>
      </c>
      <c r="J713" s="16">
        <f>IF(NOT(Paths!$C$71=1),0,IF(Paths!$P$71="Complete",IF(IF(Paths!$E$71=0,C713=0,AND(C713&gt;0,Paths!$E$71&gt;(C713-1)*12,Paths!$E$71&lt;=C713*12)),Paths!$H$71,0),"n.a."))</f>
        <v>0</v>
      </c>
      <c r="K713" s="16">
        <f>IF(NOT(Paths!$C$71=1),0,IF(Paths!$P$71="Complete",IF(IF(Paths!$O$71=0,C713=0,AND(C713&gt;0,Paths!$O$71&gt;(C713-1)*12,Paths!$O$71&lt;=C713*12)),Paths!$N$71,0),"n.a."))</f>
        <v>0</v>
      </c>
      <c r="L713" s="16">
        <f>IF(NOT(Paths!$C$71=1),0,IF(Paths!$P$71="Complete",IF(C713=10,Paths!$I$71,0),"n.a."))</f>
        <v>0</v>
      </c>
      <c r="M713" s="16">
        <f>IF(NOT(Paths!$C$71=1),0,IF(Paths!$P$71="Complete",IF(AND(Paths!$D$71="EV",Paths!$E$71&lt;120,Paths!$E$71+'Operating costs'!$B$65&gt;Paths!$E$71,Paths!$E$71+'Operating costs'!$B$65&lt;=120,IF(Paths!$E$71+'Operating costs'!$B$65=0,C713=0,AND(C713&gt;0,Paths!$E$71+'Operating costs'!$B$65&gt;(C713-1)*12,Paths!$E$71+'Operating costs'!$B$65&lt;=C713*12))),'Operating costs'!$B$64,0)+IF(AND('Operating costs'!$B$67&gt;0,'Operating costs'!$B$67&lt;=120,OR(Paths!$D$71="ICE",'Operating costs'!$B$67&lt;=Paths!$E$71),IF('Operating costs'!$B$67=0,C713=0,AND(C713&gt;0,'Operating costs'!$B$67&gt;(C713-1)*12,'Operating costs'!$B$67&lt;=C713*12))),'Operating costs'!$B$66,0),"n.a."))</f>
        <v>0</v>
      </c>
      <c r="N713" s="16">
        <f>IF(NOT(Paths!$C$71=1),0,IF(Paths!$P$71="Complete",SUM(G713:I713)-J713-K713-L713+M713+IF(C713=0,Paths!$F$71,0)+IF(IF(Paths!$E$71=0,C713=0,AND(C713&gt;0,Paths!$E$71&gt;(C713-1)*12,Paths!$E$71&lt;=C713*12)),VLOOKUP(A713,'Fleet register'!$A$7:$S$106,16,FALSE),0),"n.a."))</f>
        <v>0</v>
      </c>
      <c r="O713" s="16">
        <f>IF(NOT(Paths!$C$71=1),0,IF(Paths!$P$71="Complete",N713-IF(C713=0,Paths!$F$71,0),"n.a."))</f>
        <v>0</v>
      </c>
      <c r="P713" s="16">
        <f>IF(NOT(Paths!$C$71=1),0,IF(Paths!$P$71="Complete",O713+L713,"n.a."))</f>
        <v>0</v>
      </c>
      <c r="Q713" s="16">
        <f>IF(NOT(Paths!$C$71=1),0,IF(Paths!$P$71="Complete",N713*(1+'Operating costs'!$B$54)^-C713,"n.a."))</f>
        <v>0</v>
      </c>
      <c r="R713" s="16">
        <f>IF(NOT(Paths!$C$71=1),0,IF(Paths!$P$71="Complete",IF(AND(C713=0,Paths!$E$71=0),I713-J713-K713+VLOOKUP(A713,'Fleet register'!$A$7:$S$106,15,FALSE)+VLOOKUP(A713,'Fleet register'!$A$7:$S$106,16,FALSE),0),"n.a."))</f>
        <v>0</v>
      </c>
      <c r="S713" s="1">
        <f>IF(NOT(Paths!$C$71=1),0,IF(Paths!$P$71="Complete",IF(C713=0,0,Paths!$S$71*Paths!$R$71),"n.a."))</f>
        <v>0</v>
      </c>
      <c r="T713" s="1">
        <f>IF(NOT(Paths!$C$71=1),0,IF(Paths!$P$71="Complete",IF(C713=0,0,VLOOKUP(A713,'Fleet register'!$A$7:$S$106,9,FALSE)*Paths!$R$71),"n.a."))</f>
        <v>0</v>
      </c>
    </row>
    <row r="714" spans="1:20" ht="24" customHeight="1">
      <c r="A714" s="1" t="str">
        <f>Paths!$A$71</f>
        <v>T017</v>
      </c>
      <c r="B714" s="1">
        <f>Paths!$B$71</f>
        <v>0</v>
      </c>
      <c r="C714" s="1">
        <v>3</v>
      </c>
      <c r="D714" s="1">
        <v>71</v>
      </c>
      <c r="E714" s="1">
        <f>IF(OR(Paths!$C$71=0,C714=0),0,MAX(0,MIN(C714*12,Paths!$E$71)-(C714-1)*12))</f>
        <v>0</v>
      </c>
      <c r="F714" s="1">
        <f>IF(OR(Paths!$C$71=0,C714=0),0,12-E714)</f>
        <v>0</v>
      </c>
      <c r="G714" s="16">
        <f>IF(NOT(Paths!$C$71=1),0,IF(Paths!$P$71="Complete",E714/12*(Paths!$J$71*(1+'Operating costs'!$B$51)^MAX(0,C714-1)+Paths!$K$71*(1+'Operating costs'!$B$53)^MAX(0,C714-1)),"n.a."))</f>
        <v>0</v>
      </c>
      <c r="H714" s="16">
        <f>IF(NOT(Paths!$C$71=1),0,IF(Paths!$P$71="Complete",F714/12*(Paths!$L$71*(1+IF(Paths!$D$71="EV",'Operating costs'!$B$52,'Operating costs'!$B$51))^MAX(0,C714-1)+Paths!$M$71*(1+'Operating costs'!$B$53)^MAX(0,C714-1)),"n.a."))</f>
        <v>0</v>
      </c>
      <c r="I714" s="16">
        <f>IF(NOT(Paths!$C$71=1),0,IF(Paths!$P$71="Complete",IF(IF(Paths!$E$71=0,C714=0,AND(C714&gt;0,Paths!$E$71&gt;(C714-1)*12,Paths!$E$71&lt;=C714*12)),Paths!$G$71,0),"n.a."))</f>
        <v>0</v>
      </c>
      <c r="J714" s="16">
        <f>IF(NOT(Paths!$C$71=1),0,IF(Paths!$P$71="Complete",IF(IF(Paths!$E$71=0,C714=0,AND(C714&gt;0,Paths!$E$71&gt;(C714-1)*12,Paths!$E$71&lt;=C714*12)),Paths!$H$71,0),"n.a."))</f>
        <v>0</v>
      </c>
      <c r="K714" s="16">
        <f>IF(NOT(Paths!$C$71=1),0,IF(Paths!$P$71="Complete",IF(IF(Paths!$O$71=0,C714=0,AND(C714&gt;0,Paths!$O$71&gt;(C714-1)*12,Paths!$O$71&lt;=C714*12)),Paths!$N$71,0),"n.a."))</f>
        <v>0</v>
      </c>
      <c r="L714" s="16">
        <f>IF(NOT(Paths!$C$71=1),0,IF(Paths!$P$71="Complete",IF(C714=10,Paths!$I$71,0),"n.a."))</f>
        <v>0</v>
      </c>
      <c r="M714" s="16">
        <f>IF(NOT(Paths!$C$71=1),0,IF(Paths!$P$71="Complete",IF(AND(Paths!$D$71="EV",Paths!$E$71&lt;120,Paths!$E$71+'Operating costs'!$B$65&gt;Paths!$E$71,Paths!$E$71+'Operating costs'!$B$65&lt;=120,IF(Paths!$E$71+'Operating costs'!$B$65=0,C714=0,AND(C714&gt;0,Paths!$E$71+'Operating costs'!$B$65&gt;(C714-1)*12,Paths!$E$71+'Operating costs'!$B$65&lt;=C714*12))),'Operating costs'!$B$64,0)+IF(AND('Operating costs'!$B$67&gt;0,'Operating costs'!$B$67&lt;=120,OR(Paths!$D$71="ICE",'Operating costs'!$B$67&lt;=Paths!$E$71),IF('Operating costs'!$B$67=0,C714=0,AND(C714&gt;0,'Operating costs'!$B$67&gt;(C714-1)*12,'Operating costs'!$B$67&lt;=C714*12))),'Operating costs'!$B$66,0),"n.a."))</f>
        <v>0</v>
      </c>
      <c r="N714" s="16">
        <f>IF(NOT(Paths!$C$71=1),0,IF(Paths!$P$71="Complete",SUM(G714:I714)-J714-K714-L714+M714+IF(C714=0,Paths!$F$71,0)+IF(IF(Paths!$E$71=0,C714=0,AND(C714&gt;0,Paths!$E$71&gt;(C714-1)*12,Paths!$E$71&lt;=C714*12)),VLOOKUP(A714,'Fleet register'!$A$7:$S$106,16,FALSE),0),"n.a."))</f>
        <v>0</v>
      </c>
      <c r="O714" s="16">
        <f>IF(NOT(Paths!$C$71=1),0,IF(Paths!$P$71="Complete",N714-IF(C714=0,Paths!$F$71,0),"n.a."))</f>
        <v>0</v>
      </c>
      <c r="P714" s="16">
        <f>IF(NOT(Paths!$C$71=1),0,IF(Paths!$P$71="Complete",O714+L714,"n.a."))</f>
        <v>0</v>
      </c>
      <c r="Q714" s="16">
        <f>IF(NOT(Paths!$C$71=1),0,IF(Paths!$P$71="Complete",N714*(1+'Operating costs'!$B$54)^-C714,"n.a."))</f>
        <v>0</v>
      </c>
      <c r="R714" s="16">
        <f>IF(NOT(Paths!$C$71=1),0,IF(Paths!$P$71="Complete",IF(AND(C714=0,Paths!$E$71=0),I714-J714-K714+VLOOKUP(A714,'Fleet register'!$A$7:$S$106,15,FALSE)+VLOOKUP(A714,'Fleet register'!$A$7:$S$106,16,FALSE),0),"n.a."))</f>
        <v>0</v>
      </c>
      <c r="S714" s="1">
        <f>IF(NOT(Paths!$C$71=1),0,IF(Paths!$P$71="Complete",IF(C714=0,0,Paths!$S$71*Paths!$R$71),"n.a."))</f>
        <v>0</v>
      </c>
      <c r="T714" s="1">
        <f>IF(NOT(Paths!$C$71=1),0,IF(Paths!$P$71="Complete",IF(C714=0,0,VLOOKUP(A714,'Fleet register'!$A$7:$S$106,9,FALSE)*Paths!$R$71),"n.a."))</f>
        <v>0</v>
      </c>
    </row>
    <row r="715" spans="1:20" ht="24" customHeight="1">
      <c r="A715" s="1" t="str">
        <f>Paths!$A$71</f>
        <v>T017</v>
      </c>
      <c r="B715" s="1">
        <f>Paths!$B$71</f>
        <v>0</v>
      </c>
      <c r="C715" s="1">
        <v>4</v>
      </c>
      <c r="D715" s="1">
        <v>71</v>
      </c>
      <c r="E715" s="1">
        <f>IF(OR(Paths!$C$71=0,C715=0),0,MAX(0,MIN(C715*12,Paths!$E$71)-(C715-1)*12))</f>
        <v>0</v>
      </c>
      <c r="F715" s="1">
        <f>IF(OR(Paths!$C$71=0,C715=0),0,12-E715)</f>
        <v>0</v>
      </c>
      <c r="G715" s="16">
        <f>IF(NOT(Paths!$C$71=1),0,IF(Paths!$P$71="Complete",E715/12*(Paths!$J$71*(1+'Operating costs'!$B$51)^MAX(0,C715-1)+Paths!$K$71*(1+'Operating costs'!$B$53)^MAX(0,C715-1)),"n.a."))</f>
        <v>0</v>
      </c>
      <c r="H715" s="16">
        <f>IF(NOT(Paths!$C$71=1),0,IF(Paths!$P$71="Complete",F715/12*(Paths!$L$71*(1+IF(Paths!$D$71="EV",'Operating costs'!$B$52,'Operating costs'!$B$51))^MAX(0,C715-1)+Paths!$M$71*(1+'Operating costs'!$B$53)^MAX(0,C715-1)),"n.a."))</f>
        <v>0</v>
      </c>
      <c r="I715" s="16">
        <f>IF(NOT(Paths!$C$71=1),0,IF(Paths!$P$71="Complete",IF(IF(Paths!$E$71=0,C715=0,AND(C715&gt;0,Paths!$E$71&gt;(C715-1)*12,Paths!$E$71&lt;=C715*12)),Paths!$G$71,0),"n.a."))</f>
        <v>0</v>
      </c>
      <c r="J715" s="16">
        <f>IF(NOT(Paths!$C$71=1),0,IF(Paths!$P$71="Complete",IF(IF(Paths!$E$71=0,C715=0,AND(C715&gt;0,Paths!$E$71&gt;(C715-1)*12,Paths!$E$71&lt;=C715*12)),Paths!$H$71,0),"n.a."))</f>
        <v>0</v>
      </c>
      <c r="K715" s="16">
        <f>IF(NOT(Paths!$C$71=1),0,IF(Paths!$P$71="Complete",IF(IF(Paths!$O$71=0,C715=0,AND(C715&gt;0,Paths!$O$71&gt;(C715-1)*12,Paths!$O$71&lt;=C715*12)),Paths!$N$71,0),"n.a."))</f>
        <v>0</v>
      </c>
      <c r="L715" s="16">
        <f>IF(NOT(Paths!$C$71=1),0,IF(Paths!$P$71="Complete",IF(C715=10,Paths!$I$71,0),"n.a."))</f>
        <v>0</v>
      </c>
      <c r="M715" s="16">
        <f>IF(NOT(Paths!$C$71=1),0,IF(Paths!$P$71="Complete",IF(AND(Paths!$D$71="EV",Paths!$E$71&lt;120,Paths!$E$71+'Operating costs'!$B$65&gt;Paths!$E$71,Paths!$E$71+'Operating costs'!$B$65&lt;=120,IF(Paths!$E$71+'Operating costs'!$B$65=0,C715=0,AND(C715&gt;0,Paths!$E$71+'Operating costs'!$B$65&gt;(C715-1)*12,Paths!$E$71+'Operating costs'!$B$65&lt;=C715*12))),'Operating costs'!$B$64,0)+IF(AND('Operating costs'!$B$67&gt;0,'Operating costs'!$B$67&lt;=120,OR(Paths!$D$71="ICE",'Operating costs'!$B$67&lt;=Paths!$E$71),IF('Operating costs'!$B$67=0,C715=0,AND(C715&gt;0,'Operating costs'!$B$67&gt;(C715-1)*12,'Operating costs'!$B$67&lt;=C715*12))),'Operating costs'!$B$66,0),"n.a."))</f>
        <v>0</v>
      </c>
      <c r="N715" s="16">
        <f>IF(NOT(Paths!$C$71=1),0,IF(Paths!$P$71="Complete",SUM(G715:I715)-J715-K715-L715+M715+IF(C715=0,Paths!$F$71,0)+IF(IF(Paths!$E$71=0,C715=0,AND(C715&gt;0,Paths!$E$71&gt;(C715-1)*12,Paths!$E$71&lt;=C715*12)),VLOOKUP(A715,'Fleet register'!$A$7:$S$106,16,FALSE),0),"n.a."))</f>
        <v>0</v>
      </c>
      <c r="O715" s="16">
        <f>IF(NOT(Paths!$C$71=1),0,IF(Paths!$P$71="Complete",N715-IF(C715=0,Paths!$F$71,0),"n.a."))</f>
        <v>0</v>
      </c>
      <c r="P715" s="16">
        <f>IF(NOT(Paths!$C$71=1),0,IF(Paths!$P$71="Complete",O715+L715,"n.a."))</f>
        <v>0</v>
      </c>
      <c r="Q715" s="16">
        <f>IF(NOT(Paths!$C$71=1),0,IF(Paths!$P$71="Complete",N715*(1+'Operating costs'!$B$54)^-C715,"n.a."))</f>
        <v>0</v>
      </c>
      <c r="R715" s="16">
        <f>IF(NOT(Paths!$C$71=1),0,IF(Paths!$P$71="Complete",IF(AND(C715=0,Paths!$E$71=0),I715-J715-K715+VLOOKUP(A715,'Fleet register'!$A$7:$S$106,15,FALSE)+VLOOKUP(A715,'Fleet register'!$A$7:$S$106,16,FALSE),0),"n.a."))</f>
        <v>0</v>
      </c>
      <c r="S715" s="1">
        <f>IF(NOT(Paths!$C$71=1),0,IF(Paths!$P$71="Complete",IF(C715=0,0,Paths!$S$71*Paths!$R$71),"n.a."))</f>
        <v>0</v>
      </c>
      <c r="T715" s="1">
        <f>IF(NOT(Paths!$C$71=1),0,IF(Paths!$P$71="Complete",IF(C715=0,0,VLOOKUP(A715,'Fleet register'!$A$7:$S$106,9,FALSE)*Paths!$R$71),"n.a."))</f>
        <v>0</v>
      </c>
    </row>
    <row r="716" spans="1:20" ht="24" customHeight="1">
      <c r="A716" s="1" t="str">
        <f>Paths!$A$71</f>
        <v>T017</v>
      </c>
      <c r="B716" s="1">
        <f>Paths!$B$71</f>
        <v>0</v>
      </c>
      <c r="C716" s="1">
        <v>5</v>
      </c>
      <c r="D716" s="1">
        <v>71</v>
      </c>
      <c r="E716" s="1">
        <f>IF(OR(Paths!$C$71=0,C716=0),0,MAX(0,MIN(C716*12,Paths!$E$71)-(C716-1)*12))</f>
        <v>0</v>
      </c>
      <c r="F716" s="1">
        <f>IF(OR(Paths!$C$71=0,C716=0),0,12-E716)</f>
        <v>0</v>
      </c>
      <c r="G716" s="16">
        <f>IF(NOT(Paths!$C$71=1),0,IF(Paths!$P$71="Complete",E716/12*(Paths!$J$71*(1+'Operating costs'!$B$51)^MAX(0,C716-1)+Paths!$K$71*(1+'Operating costs'!$B$53)^MAX(0,C716-1)),"n.a."))</f>
        <v>0</v>
      </c>
      <c r="H716" s="16">
        <f>IF(NOT(Paths!$C$71=1),0,IF(Paths!$P$71="Complete",F716/12*(Paths!$L$71*(1+IF(Paths!$D$71="EV",'Operating costs'!$B$52,'Operating costs'!$B$51))^MAX(0,C716-1)+Paths!$M$71*(1+'Operating costs'!$B$53)^MAX(0,C716-1)),"n.a."))</f>
        <v>0</v>
      </c>
      <c r="I716" s="16">
        <f>IF(NOT(Paths!$C$71=1),0,IF(Paths!$P$71="Complete",IF(IF(Paths!$E$71=0,C716=0,AND(C716&gt;0,Paths!$E$71&gt;(C716-1)*12,Paths!$E$71&lt;=C716*12)),Paths!$G$71,0),"n.a."))</f>
        <v>0</v>
      </c>
      <c r="J716" s="16">
        <f>IF(NOT(Paths!$C$71=1),0,IF(Paths!$P$71="Complete",IF(IF(Paths!$E$71=0,C716=0,AND(C716&gt;0,Paths!$E$71&gt;(C716-1)*12,Paths!$E$71&lt;=C716*12)),Paths!$H$71,0),"n.a."))</f>
        <v>0</v>
      </c>
      <c r="K716" s="16">
        <f>IF(NOT(Paths!$C$71=1),0,IF(Paths!$P$71="Complete",IF(IF(Paths!$O$71=0,C716=0,AND(C716&gt;0,Paths!$O$71&gt;(C716-1)*12,Paths!$O$71&lt;=C716*12)),Paths!$N$71,0),"n.a."))</f>
        <v>0</v>
      </c>
      <c r="L716" s="16">
        <f>IF(NOT(Paths!$C$71=1),0,IF(Paths!$P$71="Complete",IF(C716=10,Paths!$I$71,0),"n.a."))</f>
        <v>0</v>
      </c>
      <c r="M716" s="16">
        <f>IF(NOT(Paths!$C$71=1),0,IF(Paths!$P$71="Complete",IF(AND(Paths!$D$71="EV",Paths!$E$71&lt;120,Paths!$E$71+'Operating costs'!$B$65&gt;Paths!$E$71,Paths!$E$71+'Operating costs'!$B$65&lt;=120,IF(Paths!$E$71+'Operating costs'!$B$65=0,C716=0,AND(C716&gt;0,Paths!$E$71+'Operating costs'!$B$65&gt;(C716-1)*12,Paths!$E$71+'Operating costs'!$B$65&lt;=C716*12))),'Operating costs'!$B$64,0)+IF(AND('Operating costs'!$B$67&gt;0,'Operating costs'!$B$67&lt;=120,OR(Paths!$D$71="ICE",'Operating costs'!$B$67&lt;=Paths!$E$71),IF('Operating costs'!$B$67=0,C716=0,AND(C716&gt;0,'Operating costs'!$B$67&gt;(C716-1)*12,'Operating costs'!$B$67&lt;=C716*12))),'Operating costs'!$B$66,0),"n.a."))</f>
        <v>0</v>
      </c>
      <c r="N716" s="16">
        <f>IF(NOT(Paths!$C$71=1),0,IF(Paths!$P$71="Complete",SUM(G716:I716)-J716-K716-L716+M716+IF(C716=0,Paths!$F$71,0)+IF(IF(Paths!$E$71=0,C716=0,AND(C716&gt;0,Paths!$E$71&gt;(C716-1)*12,Paths!$E$71&lt;=C716*12)),VLOOKUP(A716,'Fleet register'!$A$7:$S$106,16,FALSE),0),"n.a."))</f>
        <v>0</v>
      </c>
      <c r="O716" s="16">
        <f>IF(NOT(Paths!$C$71=1),0,IF(Paths!$P$71="Complete",N716-IF(C716=0,Paths!$F$71,0),"n.a."))</f>
        <v>0</v>
      </c>
      <c r="P716" s="16">
        <f>IF(NOT(Paths!$C$71=1),0,IF(Paths!$P$71="Complete",O716+L716,"n.a."))</f>
        <v>0</v>
      </c>
      <c r="Q716" s="16">
        <f>IF(NOT(Paths!$C$71=1),0,IF(Paths!$P$71="Complete",N716*(1+'Operating costs'!$B$54)^-C716,"n.a."))</f>
        <v>0</v>
      </c>
      <c r="R716" s="16">
        <f>IF(NOT(Paths!$C$71=1),0,IF(Paths!$P$71="Complete",IF(AND(C716=0,Paths!$E$71=0),I716-J716-K716+VLOOKUP(A716,'Fleet register'!$A$7:$S$106,15,FALSE)+VLOOKUP(A716,'Fleet register'!$A$7:$S$106,16,FALSE),0),"n.a."))</f>
        <v>0</v>
      </c>
      <c r="S716" s="1">
        <f>IF(NOT(Paths!$C$71=1),0,IF(Paths!$P$71="Complete",IF(C716=0,0,Paths!$S$71*Paths!$R$71),"n.a."))</f>
        <v>0</v>
      </c>
      <c r="T716" s="1">
        <f>IF(NOT(Paths!$C$71=1),0,IF(Paths!$P$71="Complete",IF(C716=0,0,VLOOKUP(A716,'Fleet register'!$A$7:$S$106,9,FALSE)*Paths!$R$71),"n.a."))</f>
        <v>0</v>
      </c>
    </row>
    <row r="717" spans="1:20" ht="24" customHeight="1">
      <c r="A717" s="1" t="str">
        <f>Paths!$A$71</f>
        <v>T017</v>
      </c>
      <c r="B717" s="1">
        <f>Paths!$B$71</f>
        <v>0</v>
      </c>
      <c r="C717" s="1">
        <v>6</v>
      </c>
      <c r="D717" s="1">
        <v>71</v>
      </c>
      <c r="E717" s="1">
        <f>IF(OR(Paths!$C$71=0,C717=0),0,MAX(0,MIN(C717*12,Paths!$E$71)-(C717-1)*12))</f>
        <v>0</v>
      </c>
      <c r="F717" s="1">
        <f>IF(OR(Paths!$C$71=0,C717=0),0,12-E717)</f>
        <v>0</v>
      </c>
      <c r="G717" s="16">
        <f>IF(NOT(Paths!$C$71=1),0,IF(Paths!$P$71="Complete",E717/12*(Paths!$J$71*(1+'Operating costs'!$B$51)^MAX(0,C717-1)+Paths!$K$71*(1+'Operating costs'!$B$53)^MAX(0,C717-1)),"n.a."))</f>
        <v>0</v>
      </c>
      <c r="H717" s="16">
        <f>IF(NOT(Paths!$C$71=1),0,IF(Paths!$P$71="Complete",F717/12*(Paths!$L$71*(1+IF(Paths!$D$71="EV",'Operating costs'!$B$52,'Operating costs'!$B$51))^MAX(0,C717-1)+Paths!$M$71*(1+'Operating costs'!$B$53)^MAX(0,C717-1)),"n.a."))</f>
        <v>0</v>
      </c>
      <c r="I717" s="16">
        <f>IF(NOT(Paths!$C$71=1),0,IF(Paths!$P$71="Complete",IF(IF(Paths!$E$71=0,C717=0,AND(C717&gt;0,Paths!$E$71&gt;(C717-1)*12,Paths!$E$71&lt;=C717*12)),Paths!$G$71,0),"n.a."))</f>
        <v>0</v>
      </c>
      <c r="J717" s="16">
        <f>IF(NOT(Paths!$C$71=1),0,IF(Paths!$P$71="Complete",IF(IF(Paths!$E$71=0,C717=0,AND(C717&gt;0,Paths!$E$71&gt;(C717-1)*12,Paths!$E$71&lt;=C717*12)),Paths!$H$71,0),"n.a."))</f>
        <v>0</v>
      </c>
      <c r="K717" s="16">
        <f>IF(NOT(Paths!$C$71=1),0,IF(Paths!$P$71="Complete",IF(IF(Paths!$O$71=0,C717=0,AND(C717&gt;0,Paths!$O$71&gt;(C717-1)*12,Paths!$O$71&lt;=C717*12)),Paths!$N$71,0),"n.a."))</f>
        <v>0</v>
      </c>
      <c r="L717" s="16">
        <f>IF(NOT(Paths!$C$71=1),0,IF(Paths!$P$71="Complete",IF(C717=10,Paths!$I$71,0),"n.a."))</f>
        <v>0</v>
      </c>
      <c r="M717" s="16">
        <f>IF(NOT(Paths!$C$71=1),0,IF(Paths!$P$71="Complete",IF(AND(Paths!$D$71="EV",Paths!$E$71&lt;120,Paths!$E$71+'Operating costs'!$B$65&gt;Paths!$E$71,Paths!$E$71+'Operating costs'!$B$65&lt;=120,IF(Paths!$E$71+'Operating costs'!$B$65=0,C717=0,AND(C717&gt;0,Paths!$E$71+'Operating costs'!$B$65&gt;(C717-1)*12,Paths!$E$71+'Operating costs'!$B$65&lt;=C717*12))),'Operating costs'!$B$64,0)+IF(AND('Operating costs'!$B$67&gt;0,'Operating costs'!$B$67&lt;=120,OR(Paths!$D$71="ICE",'Operating costs'!$B$67&lt;=Paths!$E$71),IF('Operating costs'!$B$67=0,C717=0,AND(C717&gt;0,'Operating costs'!$B$67&gt;(C717-1)*12,'Operating costs'!$B$67&lt;=C717*12))),'Operating costs'!$B$66,0),"n.a."))</f>
        <v>0</v>
      </c>
      <c r="N717" s="16">
        <f>IF(NOT(Paths!$C$71=1),0,IF(Paths!$P$71="Complete",SUM(G717:I717)-J717-K717-L717+M717+IF(C717=0,Paths!$F$71,0)+IF(IF(Paths!$E$71=0,C717=0,AND(C717&gt;0,Paths!$E$71&gt;(C717-1)*12,Paths!$E$71&lt;=C717*12)),VLOOKUP(A717,'Fleet register'!$A$7:$S$106,16,FALSE),0),"n.a."))</f>
        <v>0</v>
      </c>
      <c r="O717" s="16">
        <f>IF(NOT(Paths!$C$71=1),0,IF(Paths!$P$71="Complete",N717-IF(C717=0,Paths!$F$71,0),"n.a."))</f>
        <v>0</v>
      </c>
      <c r="P717" s="16">
        <f>IF(NOT(Paths!$C$71=1),0,IF(Paths!$P$71="Complete",O717+L717,"n.a."))</f>
        <v>0</v>
      </c>
      <c r="Q717" s="16">
        <f>IF(NOT(Paths!$C$71=1),0,IF(Paths!$P$71="Complete",N717*(1+'Operating costs'!$B$54)^-C717,"n.a."))</f>
        <v>0</v>
      </c>
      <c r="R717" s="16">
        <f>IF(NOT(Paths!$C$71=1),0,IF(Paths!$P$71="Complete",IF(AND(C717=0,Paths!$E$71=0),I717-J717-K717+VLOOKUP(A717,'Fleet register'!$A$7:$S$106,15,FALSE)+VLOOKUP(A717,'Fleet register'!$A$7:$S$106,16,FALSE),0),"n.a."))</f>
        <v>0</v>
      </c>
      <c r="S717" s="1">
        <f>IF(NOT(Paths!$C$71=1),0,IF(Paths!$P$71="Complete",IF(C717=0,0,Paths!$S$71*Paths!$R$71),"n.a."))</f>
        <v>0</v>
      </c>
      <c r="T717" s="1">
        <f>IF(NOT(Paths!$C$71=1),0,IF(Paths!$P$71="Complete",IF(C717=0,0,VLOOKUP(A717,'Fleet register'!$A$7:$S$106,9,FALSE)*Paths!$R$71),"n.a."))</f>
        <v>0</v>
      </c>
    </row>
    <row r="718" spans="1:20" ht="24" customHeight="1">
      <c r="A718" s="1" t="str">
        <f>Paths!$A$71</f>
        <v>T017</v>
      </c>
      <c r="B718" s="1">
        <f>Paths!$B$71</f>
        <v>0</v>
      </c>
      <c r="C718" s="1">
        <v>7</v>
      </c>
      <c r="D718" s="1">
        <v>71</v>
      </c>
      <c r="E718" s="1">
        <f>IF(OR(Paths!$C$71=0,C718=0),0,MAX(0,MIN(C718*12,Paths!$E$71)-(C718-1)*12))</f>
        <v>0</v>
      </c>
      <c r="F718" s="1">
        <f>IF(OR(Paths!$C$71=0,C718=0),0,12-E718)</f>
        <v>0</v>
      </c>
      <c r="G718" s="16">
        <f>IF(NOT(Paths!$C$71=1),0,IF(Paths!$P$71="Complete",E718/12*(Paths!$J$71*(1+'Operating costs'!$B$51)^MAX(0,C718-1)+Paths!$K$71*(1+'Operating costs'!$B$53)^MAX(0,C718-1)),"n.a."))</f>
        <v>0</v>
      </c>
      <c r="H718" s="16">
        <f>IF(NOT(Paths!$C$71=1),0,IF(Paths!$P$71="Complete",F718/12*(Paths!$L$71*(1+IF(Paths!$D$71="EV",'Operating costs'!$B$52,'Operating costs'!$B$51))^MAX(0,C718-1)+Paths!$M$71*(1+'Operating costs'!$B$53)^MAX(0,C718-1)),"n.a."))</f>
        <v>0</v>
      </c>
      <c r="I718" s="16">
        <f>IF(NOT(Paths!$C$71=1),0,IF(Paths!$P$71="Complete",IF(IF(Paths!$E$71=0,C718=0,AND(C718&gt;0,Paths!$E$71&gt;(C718-1)*12,Paths!$E$71&lt;=C718*12)),Paths!$G$71,0),"n.a."))</f>
        <v>0</v>
      </c>
      <c r="J718" s="16">
        <f>IF(NOT(Paths!$C$71=1),0,IF(Paths!$P$71="Complete",IF(IF(Paths!$E$71=0,C718=0,AND(C718&gt;0,Paths!$E$71&gt;(C718-1)*12,Paths!$E$71&lt;=C718*12)),Paths!$H$71,0),"n.a."))</f>
        <v>0</v>
      </c>
      <c r="K718" s="16">
        <f>IF(NOT(Paths!$C$71=1),0,IF(Paths!$P$71="Complete",IF(IF(Paths!$O$71=0,C718=0,AND(C718&gt;0,Paths!$O$71&gt;(C718-1)*12,Paths!$O$71&lt;=C718*12)),Paths!$N$71,0),"n.a."))</f>
        <v>0</v>
      </c>
      <c r="L718" s="16">
        <f>IF(NOT(Paths!$C$71=1),0,IF(Paths!$P$71="Complete",IF(C718=10,Paths!$I$71,0),"n.a."))</f>
        <v>0</v>
      </c>
      <c r="M718" s="16">
        <f>IF(NOT(Paths!$C$71=1),0,IF(Paths!$P$71="Complete",IF(AND(Paths!$D$71="EV",Paths!$E$71&lt;120,Paths!$E$71+'Operating costs'!$B$65&gt;Paths!$E$71,Paths!$E$71+'Operating costs'!$B$65&lt;=120,IF(Paths!$E$71+'Operating costs'!$B$65=0,C718=0,AND(C718&gt;0,Paths!$E$71+'Operating costs'!$B$65&gt;(C718-1)*12,Paths!$E$71+'Operating costs'!$B$65&lt;=C718*12))),'Operating costs'!$B$64,0)+IF(AND('Operating costs'!$B$67&gt;0,'Operating costs'!$B$67&lt;=120,OR(Paths!$D$71="ICE",'Operating costs'!$B$67&lt;=Paths!$E$71),IF('Operating costs'!$B$67=0,C718=0,AND(C718&gt;0,'Operating costs'!$B$67&gt;(C718-1)*12,'Operating costs'!$B$67&lt;=C718*12))),'Operating costs'!$B$66,0),"n.a."))</f>
        <v>0</v>
      </c>
      <c r="N718" s="16">
        <f>IF(NOT(Paths!$C$71=1),0,IF(Paths!$P$71="Complete",SUM(G718:I718)-J718-K718-L718+M718+IF(C718=0,Paths!$F$71,0)+IF(IF(Paths!$E$71=0,C718=0,AND(C718&gt;0,Paths!$E$71&gt;(C718-1)*12,Paths!$E$71&lt;=C718*12)),VLOOKUP(A718,'Fleet register'!$A$7:$S$106,16,FALSE),0),"n.a."))</f>
        <v>0</v>
      </c>
      <c r="O718" s="16">
        <f>IF(NOT(Paths!$C$71=1),0,IF(Paths!$P$71="Complete",N718-IF(C718=0,Paths!$F$71,0),"n.a."))</f>
        <v>0</v>
      </c>
      <c r="P718" s="16">
        <f>IF(NOT(Paths!$C$71=1),0,IF(Paths!$P$71="Complete",O718+L718,"n.a."))</f>
        <v>0</v>
      </c>
      <c r="Q718" s="16">
        <f>IF(NOT(Paths!$C$71=1),0,IF(Paths!$P$71="Complete",N718*(1+'Operating costs'!$B$54)^-C718,"n.a."))</f>
        <v>0</v>
      </c>
      <c r="R718" s="16">
        <f>IF(NOT(Paths!$C$71=1),0,IF(Paths!$P$71="Complete",IF(AND(C718=0,Paths!$E$71=0),I718-J718-K718+VLOOKUP(A718,'Fleet register'!$A$7:$S$106,15,FALSE)+VLOOKUP(A718,'Fleet register'!$A$7:$S$106,16,FALSE),0),"n.a."))</f>
        <v>0</v>
      </c>
      <c r="S718" s="1">
        <f>IF(NOT(Paths!$C$71=1),0,IF(Paths!$P$71="Complete",IF(C718=0,0,Paths!$S$71*Paths!$R$71),"n.a."))</f>
        <v>0</v>
      </c>
      <c r="T718" s="1">
        <f>IF(NOT(Paths!$C$71=1),0,IF(Paths!$P$71="Complete",IF(C718=0,0,VLOOKUP(A718,'Fleet register'!$A$7:$S$106,9,FALSE)*Paths!$R$71),"n.a."))</f>
        <v>0</v>
      </c>
    </row>
    <row r="719" spans="1:20" ht="24" customHeight="1">
      <c r="A719" s="1" t="str">
        <f>Paths!$A$71</f>
        <v>T017</v>
      </c>
      <c r="B719" s="1">
        <f>Paths!$B$71</f>
        <v>0</v>
      </c>
      <c r="C719" s="1">
        <v>8</v>
      </c>
      <c r="D719" s="1">
        <v>71</v>
      </c>
      <c r="E719" s="1">
        <f>IF(OR(Paths!$C$71=0,C719=0),0,MAX(0,MIN(C719*12,Paths!$E$71)-(C719-1)*12))</f>
        <v>0</v>
      </c>
      <c r="F719" s="1">
        <f>IF(OR(Paths!$C$71=0,C719=0),0,12-E719)</f>
        <v>0</v>
      </c>
      <c r="G719" s="16">
        <f>IF(NOT(Paths!$C$71=1),0,IF(Paths!$P$71="Complete",E719/12*(Paths!$J$71*(1+'Operating costs'!$B$51)^MAX(0,C719-1)+Paths!$K$71*(1+'Operating costs'!$B$53)^MAX(0,C719-1)),"n.a."))</f>
        <v>0</v>
      </c>
      <c r="H719" s="16">
        <f>IF(NOT(Paths!$C$71=1),0,IF(Paths!$P$71="Complete",F719/12*(Paths!$L$71*(1+IF(Paths!$D$71="EV",'Operating costs'!$B$52,'Operating costs'!$B$51))^MAX(0,C719-1)+Paths!$M$71*(1+'Operating costs'!$B$53)^MAX(0,C719-1)),"n.a."))</f>
        <v>0</v>
      </c>
      <c r="I719" s="16">
        <f>IF(NOT(Paths!$C$71=1),0,IF(Paths!$P$71="Complete",IF(IF(Paths!$E$71=0,C719=0,AND(C719&gt;0,Paths!$E$71&gt;(C719-1)*12,Paths!$E$71&lt;=C719*12)),Paths!$G$71,0),"n.a."))</f>
        <v>0</v>
      </c>
      <c r="J719" s="16">
        <f>IF(NOT(Paths!$C$71=1),0,IF(Paths!$P$71="Complete",IF(IF(Paths!$E$71=0,C719=0,AND(C719&gt;0,Paths!$E$71&gt;(C719-1)*12,Paths!$E$71&lt;=C719*12)),Paths!$H$71,0),"n.a."))</f>
        <v>0</v>
      </c>
      <c r="K719" s="16">
        <f>IF(NOT(Paths!$C$71=1),0,IF(Paths!$P$71="Complete",IF(IF(Paths!$O$71=0,C719=0,AND(C719&gt;0,Paths!$O$71&gt;(C719-1)*12,Paths!$O$71&lt;=C719*12)),Paths!$N$71,0),"n.a."))</f>
        <v>0</v>
      </c>
      <c r="L719" s="16">
        <f>IF(NOT(Paths!$C$71=1),0,IF(Paths!$P$71="Complete",IF(C719=10,Paths!$I$71,0),"n.a."))</f>
        <v>0</v>
      </c>
      <c r="M719" s="16">
        <f>IF(NOT(Paths!$C$71=1),0,IF(Paths!$P$71="Complete",IF(AND(Paths!$D$71="EV",Paths!$E$71&lt;120,Paths!$E$71+'Operating costs'!$B$65&gt;Paths!$E$71,Paths!$E$71+'Operating costs'!$B$65&lt;=120,IF(Paths!$E$71+'Operating costs'!$B$65=0,C719=0,AND(C719&gt;0,Paths!$E$71+'Operating costs'!$B$65&gt;(C719-1)*12,Paths!$E$71+'Operating costs'!$B$65&lt;=C719*12))),'Operating costs'!$B$64,0)+IF(AND('Operating costs'!$B$67&gt;0,'Operating costs'!$B$67&lt;=120,OR(Paths!$D$71="ICE",'Operating costs'!$B$67&lt;=Paths!$E$71),IF('Operating costs'!$B$67=0,C719=0,AND(C719&gt;0,'Operating costs'!$B$67&gt;(C719-1)*12,'Operating costs'!$B$67&lt;=C719*12))),'Operating costs'!$B$66,0),"n.a."))</f>
        <v>0</v>
      </c>
      <c r="N719" s="16">
        <f>IF(NOT(Paths!$C$71=1),0,IF(Paths!$P$71="Complete",SUM(G719:I719)-J719-K719-L719+M719+IF(C719=0,Paths!$F$71,0)+IF(IF(Paths!$E$71=0,C719=0,AND(C719&gt;0,Paths!$E$71&gt;(C719-1)*12,Paths!$E$71&lt;=C719*12)),VLOOKUP(A719,'Fleet register'!$A$7:$S$106,16,FALSE),0),"n.a."))</f>
        <v>0</v>
      </c>
      <c r="O719" s="16">
        <f>IF(NOT(Paths!$C$71=1),0,IF(Paths!$P$71="Complete",N719-IF(C719=0,Paths!$F$71,0),"n.a."))</f>
        <v>0</v>
      </c>
      <c r="P719" s="16">
        <f>IF(NOT(Paths!$C$71=1),0,IF(Paths!$P$71="Complete",O719+L719,"n.a."))</f>
        <v>0</v>
      </c>
      <c r="Q719" s="16">
        <f>IF(NOT(Paths!$C$71=1),0,IF(Paths!$P$71="Complete",N719*(1+'Operating costs'!$B$54)^-C719,"n.a."))</f>
        <v>0</v>
      </c>
      <c r="R719" s="16">
        <f>IF(NOT(Paths!$C$71=1),0,IF(Paths!$P$71="Complete",IF(AND(C719=0,Paths!$E$71=0),I719-J719-K719+VLOOKUP(A719,'Fleet register'!$A$7:$S$106,15,FALSE)+VLOOKUP(A719,'Fleet register'!$A$7:$S$106,16,FALSE),0),"n.a."))</f>
        <v>0</v>
      </c>
      <c r="S719" s="1">
        <f>IF(NOT(Paths!$C$71=1),0,IF(Paths!$P$71="Complete",IF(C719=0,0,Paths!$S$71*Paths!$R$71),"n.a."))</f>
        <v>0</v>
      </c>
      <c r="T719" s="1">
        <f>IF(NOT(Paths!$C$71=1),0,IF(Paths!$P$71="Complete",IF(C719=0,0,VLOOKUP(A719,'Fleet register'!$A$7:$S$106,9,FALSE)*Paths!$R$71),"n.a."))</f>
        <v>0</v>
      </c>
    </row>
    <row r="720" spans="1:20" ht="24" customHeight="1">
      <c r="A720" s="1" t="str">
        <f>Paths!$A$71</f>
        <v>T017</v>
      </c>
      <c r="B720" s="1">
        <f>Paths!$B$71</f>
        <v>0</v>
      </c>
      <c r="C720" s="1">
        <v>9</v>
      </c>
      <c r="D720" s="1">
        <v>71</v>
      </c>
      <c r="E720" s="1">
        <f>IF(OR(Paths!$C$71=0,C720=0),0,MAX(0,MIN(C720*12,Paths!$E$71)-(C720-1)*12))</f>
        <v>0</v>
      </c>
      <c r="F720" s="1">
        <f>IF(OR(Paths!$C$71=0,C720=0),0,12-E720)</f>
        <v>0</v>
      </c>
      <c r="G720" s="16">
        <f>IF(NOT(Paths!$C$71=1),0,IF(Paths!$P$71="Complete",E720/12*(Paths!$J$71*(1+'Operating costs'!$B$51)^MAX(0,C720-1)+Paths!$K$71*(1+'Operating costs'!$B$53)^MAX(0,C720-1)),"n.a."))</f>
        <v>0</v>
      </c>
      <c r="H720" s="16">
        <f>IF(NOT(Paths!$C$71=1),0,IF(Paths!$P$71="Complete",F720/12*(Paths!$L$71*(1+IF(Paths!$D$71="EV",'Operating costs'!$B$52,'Operating costs'!$B$51))^MAX(0,C720-1)+Paths!$M$71*(1+'Operating costs'!$B$53)^MAX(0,C720-1)),"n.a."))</f>
        <v>0</v>
      </c>
      <c r="I720" s="16">
        <f>IF(NOT(Paths!$C$71=1),0,IF(Paths!$P$71="Complete",IF(IF(Paths!$E$71=0,C720=0,AND(C720&gt;0,Paths!$E$71&gt;(C720-1)*12,Paths!$E$71&lt;=C720*12)),Paths!$G$71,0),"n.a."))</f>
        <v>0</v>
      </c>
      <c r="J720" s="16">
        <f>IF(NOT(Paths!$C$71=1),0,IF(Paths!$P$71="Complete",IF(IF(Paths!$E$71=0,C720=0,AND(C720&gt;0,Paths!$E$71&gt;(C720-1)*12,Paths!$E$71&lt;=C720*12)),Paths!$H$71,0),"n.a."))</f>
        <v>0</v>
      </c>
      <c r="K720" s="16">
        <f>IF(NOT(Paths!$C$71=1),0,IF(Paths!$P$71="Complete",IF(IF(Paths!$O$71=0,C720=0,AND(C720&gt;0,Paths!$O$71&gt;(C720-1)*12,Paths!$O$71&lt;=C720*12)),Paths!$N$71,0),"n.a."))</f>
        <v>0</v>
      </c>
      <c r="L720" s="16">
        <f>IF(NOT(Paths!$C$71=1),0,IF(Paths!$P$71="Complete",IF(C720=10,Paths!$I$71,0),"n.a."))</f>
        <v>0</v>
      </c>
      <c r="M720" s="16">
        <f>IF(NOT(Paths!$C$71=1),0,IF(Paths!$P$71="Complete",IF(AND(Paths!$D$71="EV",Paths!$E$71&lt;120,Paths!$E$71+'Operating costs'!$B$65&gt;Paths!$E$71,Paths!$E$71+'Operating costs'!$B$65&lt;=120,IF(Paths!$E$71+'Operating costs'!$B$65=0,C720=0,AND(C720&gt;0,Paths!$E$71+'Operating costs'!$B$65&gt;(C720-1)*12,Paths!$E$71+'Operating costs'!$B$65&lt;=C720*12))),'Operating costs'!$B$64,0)+IF(AND('Operating costs'!$B$67&gt;0,'Operating costs'!$B$67&lt;=120,OR(Paths!$D$71="ICE",'Operating costs'!$B$67&lt;=Paths!$E$71),IF('Operating costs'!$B$67=0,C720=0,AND(C720&gt;0,'Operating costs'!$B$67&gt;(C720-1)*12,'Operating costs'!$B$67&lt;=C720*12))),'Operating costs'!$B$66,0),"n.a."))</f>
        <v>0</v>
      </c>
      <c r="N720" s="16">
        <f>IF(NOT(Paths!$C$71=1),0,IF(Paths!$P$71="Complete",SUM(G720:I720)-J720-K720-L720+M720+IF(C720=0,Paths!$F$71,0)+IF(IF(Paths!$E$71=0,C720=0,AND(C720&gt;0,Paths!$E$71&gt;(C720-1)*12,Paths!$E$71&lt;=C720*12)),VLOOKUP(A720,'Fleet register'!$A$7:$S$106,16,FALSE),0),"n.a."))</f>
        <v>0</v>
      </c>
      <c r="O720" s="16">
        <f>IF(NOT(Paths!$C$71=1),0,IF(Paths!$P$71="Complete",N720-IF(C720=0,Paths!$F$71,0),"n.a."))</f>
        <v>0</v>
      </c>
      <c r="P720" s="16">
        <f>IF(NOT(Paths!$C$71=1),0,IF(Paths!$P$71="Complete",O720+L720,"n.a."))</f>
        <v>0</v>
      </c>
      <c r="Q720" s="16">
        <f>IF(NOT(Paths!$C$71=1),0,IF(Paths!$P$71="Complete",N720*(1+'Operating costs'!$B$54)^-C720,"n.a."))</f>
        <v>0</v>
      </c>
      <c r="R720" s="16">
        <f>IF(NOT(Paths!$C$71=1),0,IF(Paths!$P$71="Complete",IF(AND(C720=0,Paths!$E$71=0),I720-J720-K720+VLOOKUP(A720,'Fleet register'!$A$7:$S$106,15,FALSE)+VLOOKUP(A720,'Fleet register'!$A$7:$S$106,16,FALSE),0),"n.a."))</f>
        <v>0</v>
      </c>
      <c r="S720" s="1">
        <f>IF(NOT(Paths!$C$71=1),0,IF(Paths!$P$71="Complete",IF(C720=0,0,Paths!$S$71*Paths!$R$71),"n.a."))</f>
        <v>0</v>
      </c>
      <c r="T720" s="1">
        <f>IF(NOT(Paths!$C$71=1),0,IF(Paths!$P$71="Complete",IF(C720=0,0,VLOOKUP(A720,'Fleet register'!$A$7:$S$106,9,FALSE)*Paths!$R$71),"n.a."))</f>
        <v>0</v>
      </c>
    </row>
    <row r="721" spans="1:20" ht="24" customHeight="1">
      <c r="A721" s="1" t="str">
        <f>Paths!$A$71</f>
        <v>T017</v>
      </c>
      <c r="B721" s="1">
        <f>Paths!$B$71</f>
        <v>0</v>
      </c>
      <c r="C721" s="1">
        <v>10</v>
      </c>
      <c r="D721" s="1">
        <v>71</v>
      </c>
      <c r="E721" s="1">
        <f>IF(OR(Paths!$C$71=0,C721=0),0,MAX(0,MIN(C721*12,Paths!$E$71)-(C721-1)*12))</f>
        <v>0</v>
      </c>
      <c r="F721" s="1">
        <f>IF(OR(Paths!$C$71=0,C721=0),0,12-E721)</f>
        <v>0</v>
      </c>
      <c r="G721" s="16">
        <f>IF(NOT(Paths!$C$71=1),0,IF(Paths!$P$71="Complete",E721/12*(Paths!$J$71*(1+'Operating costs'!$B$51)^MAX(0,C721-1)+Paths!$K$71*(1+'Operating costs'!$B$53)^MAX(0,C721-1)),"n.a."))</f>
        <v>0</v>
      </c>
      <c r="H721" s="16">
        <f>IF(NOT(Paths!$C$71=1),0,IF(Paths!$P$71="Complete",F721/12*(Paths!$L$71*(1+IF(Paths!$D$71="EV",'Operating costs'!$B$52,'Operating costs'!$B$51))^MAX(0,C721-1)+Paths!$M$71*(1+'Operating costs'!$B$53)^MAX(0,C721-1)),"n.a."))</f>
        <v>0</v>
      </c>
      <c r="I721" s="16">
        <f>IF(NOT(Paths!$C$71=1),0,IF(Paths!$P$71="Complete",IF(IF(Paths!$E$71=0,C721=0,AND(C721&gt;0,Paths!$E$71&gt;(C721-1)*12,Paths!$E$71&lt;=C721*12)),Paths!$G$71,0),"n.a."))</f>
        <v>0</v>
      </c>
      <c r="J721" s="16">
        <f>IF(NOT(Paths!$C$71=1),0,IF(Paths!$P$71="Complete",IF(IF(Paths!$E$71=0,C721=0,AND(C721&gt;0,Paths!$E$71&gt;(C721-1)*12,Paths!$E$71&lt;=C721*12)),Paths!$H$71,0),"n.a."))</f>
        <v>0</v>
      </c>
      <c r="K721" s="16">
        <f>IF(NOT(Paths!$C$71=1),0,IF(Paths!$P$71="Complete",IF(IF(Paths!$O$71=0,C721=0,AND(C721&gt;0,Paths!$O$71&gt;(C721-1)*12,Paths!$O$71&lt;=C721*12)),Paths!$N$71,0),"n.a."))</f>
        <v>0</v>
      </c>
      <c r="L721" s="16">
        <f>IF(NOT(Paths!$C$71=1),0,IF(Paths!$P$71="Complete",IF(C721=10,Paths!$I$71,0),"n.a."))</f>
        <v>0</v>
      </c>
      <c r="M721" s="16">
        <f>IF(NOT(Paths!$C$71=1),0,IF(Paths!$P$71="Complete",IF(AND(Paths!$D$71="EV",Paths!$E$71&lt;120,Paths!$E$71+'Operating costs'!$B$65&gt;Paths!$E$71,Paths!$E$71+'Operating costs'!$B$65&lt;=120,IF(Paths!$E$71+'Operating costs'!$B$65=0,C721=0,AND(C721&gt;0,Paths!$E$71+'Operating costs'!$B$65&gt;(C721-1)*12,Paths!$E$71+'Operating costs'!$B$65&lt;=C721*12))),'Operating costs'!$B$64,0)+IF(AND('Operating costs'!$B$67&gt;0,'Operating costs'!$B$67&lt;=120,OR(Paths!$D$71="ICE",'Operating costs'!$B$67&lt;=Paths!$E$71),IF('Operating costs'!$B$67=0,C721=0,AND(C721&gt;0,'Operating costs'!$B$67&gt;(C721-1)*12,'Operating costs'!$B$67&lt;=C721*12))),'Operating costs'!$B$66,0),"n.a."))</f>
        <v>0</v>
      </c>
      <c r="N721" s="16">
        <f>IF(NOT(Paths!$C$71=1),0,IF(Paths!$P$71="Complete",SUM(G721:I721)-J721-K721-L721+M721+IF(C721=0,Paths!$F$71,0)+IF(IF(Paths!$E$71=0,C721=0,AND(C721&gt;0,Paths!$E$71&gt;(C721-1)*12,Paths!$E$71&lt;=C721*12)),VLOOKUP(A721,'Fleet register'!$A$7:$S$106,16,FALSE),0),"n.a."))</f>
        <v>0</v>
      </c>
      <c r="O721" s="16">
        <f>IF(NOT(Paths!$C$71=1),0,IF(Paths!$P$71="Complete",N721-IF(C721=0,Paths!$F$71,0),"n.a."))</f>
        <v>0</v>
      </c>
      <c r="P721" s="16">
        <f>IF(NOT(Paths!$C$71=1),0,IF(Paths!$P$71="Complete",O721+L721,"n.a."))</f>
        <v>0</v>
      </c>
      <c r="Q721" s="16">
        <f>IF(NOT(Paths!$C$71=1),0,IF(Paths!$P$71="Complete",N721*(1+'Operating costs'!$B$54)^-C721,"n.a."))</f>
        <v>0</v>
      </c>
      <c r="R721" s="16">
        <f>IF(NOT(Paths!$C$71=1),0,IF(Paths!$P$71="Complete",IF(AND(C721=0,Paths!$E$71=0),I721-J721-K721+VLOOKUP(A721,'Fleet register'!$A$7:$S$106,15,FALSE)+VLOOKUP(A721,'Fleet register'!$A$7:$S$106,16,FALSE),0),"n.a."))</f>
        <v>0</v>
      </c>
      <c r="S721" s="1">
        <f>IF(NOT(Paths!$C$71=1),0,IF(Paths!$P$71="Complete",IF(C721=0,0,Paths!$S$71*Paths!$R$71),"n.a."))</f>
        <v>0</v>
      </c>
      <c r="T721" s="1">
        <f>IF(NOT(Paths!$C$71=1),0,IF(Paths!$P$71="Complete",IF(C721=0,0,VLOOKUP(A721,'Fleet register'!$A$7:$S$106,9,FALSE)*Paths!$R$71),"n.a."))</f>
        <v>0</v>
      </c>
    </row>
    <row r="722" spans="1:20" ht="24" customHeight="1">
      <c r="A722" s="1" t="str">
        <f>Paths!$A$72</f>
        <v>T017</v>
      </c>
      <c r="B722" s="1">
        <f>Paths!$B$72</f>
        <v>1</v>
      </c>
      <c r="C722" s="1">
        <v>0</v>
      </c>
      <c r="D722" s="1">
        <v>72</v>
      </c>
      <c r="E722" s="1">
        <f>IF(OR(Paths!$C$72=0,C722=0),0,MAX(0,MIN(C722*12,Paths!$E$72)-(C722-1)*12))</f>
        <v>0</v>
      </c>
      <c r="F722" s="1">
        <f>IF(OR(Paths!$C$72=0,C722=0),0,12-E722)</f>
        <v>0</v>
      </c>
      <c r="G722" s="16">
        <f>IF(NOT(Paths!$C$72=1),0,IF(Paths!$P$72="Complete",E722/12*(Paths!$J$72*(1+'Operating costs'!$B$51)^MAX(0,C722-1)+Paths!$K$72*(1+'Operating costs'!$B$53)^MAX(0,C722-1)),"n.a."))</f>
        <v>0</v>
      </c>
      <c r="H722" s="16">
        <f>IF(NOT(Paths!$C$72=1),0,IF(Paths!$P$72="Complete",F722/12*(Paths!$L$72*(1+IF(Paths!$D$72="EV",'Operating costs'!$B$52,'Operating costs'!$B$51))^MAX(0,C722-1)+Paths!$M$72*(1+'Operating costs'!$B$53)^MAX(0,C722-1)),"n.a."))</f>
        <v>0</v>
      </c>
      <c r="I722" s="16">
        <f>IF(NOT(Paths!$C$72=1),0,IF(Paths!$P$72="Complete",IF(IF(Paths!$E$72=0,C722=0,AND(C722&gt;0,Paths!$E$72&gt;(C722-1)*12,Paths!$E$72&lt;=C722*12)),Paths!$G$72,0),"n.a."))</f>
        <v>0</v>
      </c>
      <c r="J722" s="16">
        <f>IF(NOT(Paths!$C$72=1),0,IF(Paths!$P$72="Complete",IF(IF(Paths!$E$72=0,C722=0,AND(C722&gt;0,Paths!$E$72&gt;(C722-1)*12,Paths!$E$72&lt;=C722*12)),Paths!$H$72,0),"n.a."))</f>
        <v>0</v>
      </c>
      <c r="K722" s="16">
        <f>IF(NOT(Paths!$C$72=1),0,IF(Paths!$P$72="Complete",IF(IF(Paths!$O$72=0,C722=0,AND(C722&gt;0,Paths!$O$72&gt;(C722-1)*12,Paths!$O$72&lt;=C722*12)),Paths!$N$72,0),"n.a."))</f>
        <v>0</v>
      </c>
      <c r="L722" s="16">
        <f>IF(NOT(Paths!$C$72=1),0,IF(Paths!$P$72="Complete",IF(C722=10,Paths!$I$72,0),"n.a."))</f>
        <v>0</v>
      </c>
      <c r="M722" s="16">
        <f>IF(NOT(Paths!$C$72=1),0,IF(Paths!$P$72="Complete",IF(AND(Paths!$D$72="EV",Paths!$E$72&lt;120,Paths!$E$72+'Operating costs'!$B$65&gt;Paths!$E$72,Paths!$E$72+'Operating costs'!$B$65&lt;=120,IF(Paths!$E$72+'Operating costs'!$B$65=0,C722=0,AND(C722&gt;0,Paths!$E$72+'Operating costs'!$B$65&gt;(C722-1)*12,Paths!$E$72+'Operating costs'!$B$65&lt;=C722*12))),'Operating costs'!$B$64,0)+IF(AND('Operating costs'!$B$67&gt;0,'Operating costs'!$B$67&lt;=120,OR(Paths!$D$72="ICE",'Operating costs'!$B$67&lt;=Paths!$E$72),IF('Operating costs'!$B$67=0,C722=0,AND(C722&gt;0,'Operating costs'!$B$67&gt;(C722-1)*12,'Operating costs'!$B$67&lt;=C722*12))),'Operating costs'!$B$66,0),"n.a."))</f>
        <v>0</v>
      </c>
      <c r="N722" s="16">
        <f>IF(NOT(Paths!$C$72=1),0,IF(Paths!$P$72="Complete",SUM(G722:I722)-J722-K722-L722+M722+IF(C722=0,Paths!$F$72,0)+IF(IF(Paths!$E$72=0,C722=0,AND(C722&gt;0,Paths!$E$72&gt;(C722-1)*12,Paths!$E$72&lt;=C722*12)),VLOOKUP(A722,'Fleet register'!$A$7:$S$106,16,FALSE),0),"n.a."))</f>
        <v>0</v>
      </c>
      <c r="O722" s="16">
        <f>IF(NOT(Paths!$C$72=1),0,IF(Paths!$P$72="Complete",N722-IF(C722=0,Paths!$F$72,0),"n.a."))</f>
        <v>0</v>
      </c>
      <c r="P722" s="16">
        <f>IF(NOT(Paths!$C$72=1),0,IF(Paths!$P$72="Complete",O722+L722,"n.a."))</f>
        <v>0</v>
      </c>
      <c r="Q722" s="16">
        <f>IF(NOT(Paths!$C$72=1),0,IF(Paths!$P$72="Complete",N722*(1+'Operating costs'!$B$54)^-C722,"n.a."))</f>
        <v>0</v>
      </c>
      <c r="R722" s="16">
        <f>IF(NOT(Paths!$C$72=1),0,IF(Paths!$P$72="Complete",IF(AND(C722=0,Paths!$E$72=0),I722-J722-K722+VLOOKUP(A722,'Fleet register'!$A$7:$S$106,15,FALSE)+VLOOKUP(A722,'Fleet register'!$A$7:$S$106,16,FALSE),0),"n.a."))</f>
        <v>0</v>
      </c>
      <c r="S722" s="1">
        <f>IF(NOT(Paths!$C$72=1),0,IF(Paths!$P$72="Complete",IF(C722=0,0,Paths!$S$72*Paths!$R$72),"n.a."))</f>
        <v>0</v>
      </c>
      <c r="T722" s="1">
        <f>IF(NOT(Paths!$C$72=1),0,IF(Paths!$P$72="Complete",IF(C722=0,0,VLOOKUP(A722,'Fleet register'!$A$7:$S$106,9,FALSE)*Paths!$R$72),"n.a."))</f>
        <v>0</v>
      </c>
    </row>
    <row r="723" spans="1:20" ht="24" customHeight="1">
      <c r="A723" s="1" t="str">
        <f>Paths!$A$72</f>
        <v>T017</v>
      </c>
      <c r="B723" s="1">
        <f>Paths!$B$72</f>
        <v>1</v>
      </c>
      <c r="C723" s="1">
        <v>1</v>
      </c>
      <c r="D723" s="1">
        <v>72</v>
      </c>
      <c r="E723" s="1">
        <f>IF(OR(Paths!$C$72=0,C723=0),0,MAX(0,MIN(C723*12,Paths!$E$72)-(C723-1)*12))</f>
        <v>0</v>
      </c>
      <c r="F723" s="1">
        <f>IF(OR(Paths!$C$72=0,C723=0),0,12-E723)</f>
        <v>0</v>
      </c>
      <c r="G723" s="16">
        <f>IF(NOT(Paths!$C$72=1),0,IF(Paths!$P$72="Complete",E723/12*(Paths!$J$72*(1+'Operating costs'!$B$51)^MAX(0,C723-1)+Paths!$K$72*(1+'Operating costs'!$B$53)^MAX(0,C723-1)),"n.a."))</f>
        <v>0</v>
      </c>
      <c r="H723" s="16">
        <f>IF(NOT(Paths!$C$72=1),0,IF(Paths!$P$72="Complete",F723/12*(Paths!$L$72*(1+IF(Paths!$D$72="EV",'Operating costs'!$B$52,'Operating costs'!$B$51))^MAX(0,C723-1)+Paths!$M$72*(1+'Operating costs'!$B$53)^MAX(0,C723-1)),"n.a."))</f>
        <v>0</v>
      </c>
      <c r="I723" s="16">
        <f>IF(NOT(Paths!$C$72=1),0,IF(Paths!$P$72="Complete",IF(IF(Paths!$E$72=0,C723=0,AND(C723&gt;0,Paths!$E$72&gt;(C723-1)*12,Paths!$E$72&lt;=C723*12)),Paths!$G$72,0),"n.a."))</f>
        <v>0</v>
      </c>
      <c r="J723" s="16">
        <f>IF(NOT(Paths!$C$72=1),0,IF(Paths!$P$72="Complete",IF(IF(Paths!$E$72=0,C723=0,AND(C723&gt;0,Paths!$E$72&gt;(C723-1)*12,Paths!$E$72&lt;=C723*12)),Paths!$H$72,0),"n.a."))</f>
        <v>0</v>
      </c>
      <c r="K723" s="16">
        <f>IF(NOT(Paths!$C$72=1),0,IF(Paths!$P$72="Complete",IF(IF(Paths!$O$72=0,C723=0,AND(C723&gt;0,Paths!$O$72&gt;(C723-1)*12,Paths!$O$72&lt;=C723*12)),Paths!$N$72,0),"n.a."))</f>
        <v>0</v>
      </c>
      <c r="L723" s="16">
        <f>IF(NOT(Paths!$C$72=1),0,IF(Paths!$P$72="Complete",IF(C723=10,Paths!$I$72,0),"n.a."))</f>
        <v>0</v>
      </c>
      <c r="M723" s="16">
        <f>IF(NOT(Paths!$C$72=1),0,IF(Paths!$P$72="Complete",IF(AND(Paths!$D$72="EV",Paths!$E$72&lt;120,Paths!$E$72+'Operating costs'!$B$65&gt;Paths!$E$72,Paths!$E$72+'Operating costs'!$B$65&lt;=120,IF(Paths!$E$72+'Operating costs'!$B$65=0,C723=0,AND(C723&gt;0,Paths!$E$72+'Operating costs'!$B$65&gt;(C723-1)*12,Paths!$E$72+'Operating costs'!$B$65&lt;=C723*12))),'Operating costs'!$B$64,0)+IF(AND('Operating costs'!$B$67&gt;0,'Operating costs'!$B$67&lt;=120,OR(Paths!$D$72="ICE",'Operating costs'!$B$67&lt;=Paths!$E$72),IF('Operating costs'!$B$67=0,C723=0,AND(C723&gt;0,'Operating costs'!$B$67&gt;(C723-1)*12,'Operating costs'!$B$67&lt;=C723*12))),'Operating costs'!$B$66,0),"n.a."))</f>
        <v>0</v>
      </c>
      <c r="N723" s="16">
        <f>IF(NOT(Paths!$C$72=1),0,IF(Paths!$P$72="Complete",SUM(G723:I723)-J723-K723-L723+M723+IF(C723=0,Paths!$F$72,0)+IF(IF(Paths!$E$72=0,C723=0,AND(C723&gt;0,Paths!$E$72&gt;(C723-1)*12,Paths!$E$72&lt;=C723*12)),VLOOKUP(A723,'Fleet register'!$A$7:$S$106,16,FALSE),0),"n.a."))</f>
        <v>0</v>
      </c>
      <c r="O723" s="16">
        <f>IF(NOT(Paths!$C$72=1),0,IF(Paths!$P$72="Complete",N723-IF(C723=0,Paths!$F$72,0),"n.a."))</f>
        <v>0</v>
      </c>
      <c r="P723" s="16">
        <f>IF(NOT(Paths!$C$72=1),0,IF(Paths!$P$72="Complete",O723+L723,"n.a."))</f>
        <v>0</v>
      </c>
      <c r="Q723" s="16">
        <f>IF(NOT(Paths!$C$72=1),0,IF(Paths!$P$72="Complete",N723*(1+'Operating costs'!$B$54)^-C723,"n.a."))</f>
        <v>0</v>
      </c>
      <c r="R723" s="16">
        <f>IF(NOT(Paths!$C$72=1),0,IF(Paths!$P$72="Complete",IF(AND(C723=0,Paths!$E$72=0),I723-J723-K723+VLOOKUP(A723,'Fleet register'!$A$7:$S$106,15,FALSE)+VLOOKUP(A723,'Fleet register'!$A$7:$S$106,16,FALSE),0),"n.a."))</f>
        <v>0</v>
      </c>
      <c r="S723" s="1">
        <f>IF(NOT(Paths!$C$72=1),0,IF(Paths!$P$72="Complete",IF(C723=0,0,Paths!$S$72*Paths!$R$72),"n.a."))</f>
        <v>0</v>
      </c>
      <c r="T723" s="1">
        <f>IF(NOT(Paths!$C$72=1),0,IF(Paths!$P$72="Complete",IF(C723=0,0,VLOOKUP(A723,'Fleet register'!$A$7:$S$106,9,FALSE)*Paths!$R$72),"n.a."))</f>
        <v>0</v>
      </c>
    </row>
    <row r="724" spans="1:20" ht="24" customHeight="1">
      <c r="A724" s="1" t="str">
        <f>Paths!$A$72</f>
        <v>T017</v>
      </c>
      <c r="B724" s="1">
        <f>Paths!$B$72</f>
        <v>1</v>
      </c>
      <c r="C724" s="1">
        <v>2</v>
      </c>
      <c r="D724" s="1">
        <v>72</v>
      </c>
      <c r="E724" s="1">
        <f>IF(OR(Paths!$C$72=0,C724=0),0,MAX(0,MIN(C724*12,Paths!$E$72)-(C724-1)*12))</f>
        <v>0</v>
      </c>
      <c r="F724" s="1">
        <f>IF(OR(Paths!$C$72=0,C724=0),0,12-E724)</f>
        <v>0</v>
      </c>
      <c r="G724" s="16">
        <f>IF(NOT(Paths!$C$72=1),0,IF(Paths!$P$72="Complete",E724/12*(Paths!$J$72*(1+'Operating costs'!$B$51)^MAX(0,C724-1)+Paths!$K$72*(1+'Operating costs'!$B$53)^MAX(0,C724-1)),"n.a."))</f>
        <v>0</v>
      </c>
      <c r="H724" s="16">
        <f>IF(NOT(Paths!$C$72=1),0,IF(Paths!$P$72="Complete",F724/12*(Paths!$L$72*(1+IF(Paths!$D$72="EV",'Operating costs'!$B$52,'Operating costs'!$B$51))^MAX(0,C724-1)+Paths!$M$72*(1+'Operating costs'!$B$53)^MAX(0,C724-1)),"n.a."))</f>
        <v>0</v>
      </c>
      <c r="I724" s="16">
        <f>IF(NOT(Paths!$C$72=1),0,IF(Paths!$P$72="Complete",IF(IF(Paths!$E$72=0,C724=0,AND(C724&gt;0,Paths!$E$72&gt;(C724-1)*12,Paths!$E$72&lt;=C724*12)),Paths!$G$72,0),"n.a."))</f>
        <v>0</v>
      </c>
      <c r="J724" s="16">
        <f>IF(NOT(Paths!$C$72=1),0,IF(Paths!$P$72="Complete",IF(IF(Paths!$E$72=0,C724=0,AND(C724&gt;0,Paths!$E$72&gt;(C724-1)*12,Paths!$E$72&lt;=C724*12)),Paths!$H$72,0),"n.a."))</f>
        <v>0</v>
      </c>
      <c r="K724" s="16">
        <f>IF(NOT(Paths!$C$72=1),0,IF(Paths!$P$72="Complete",IF(IF(Paths!$O$72=0,C724=0,AND(C724&gt;0,Paths!$O$72&gt;(C724-1)*12,Paths!$O$72&lt;=C724*12)),Paths!$N$72,0),"n.a."))</f>
        <v>0</v>
      </c>
      <c r="L724" s="16">
        <f>IF(NOT(Paths!$C$72=1),0,IF(Paths!$P$72="Complete",IF(C724=10,Paths!$I$72,0),"n.a."))</f>
        <v>0</v>
      </c>
      <c r="M724" s="16">
        <f>IF(NOT(Paths!$C$72=1),0,IF(Paths!$P$72="Complete",IF(AND(Paths!$D$72="EV",Paths!$E$72&lt;120,Paths!$E$72+'Operating costs'!$B$65&gt;Paths!$E$72,Paths!$E$72+'Operating costs'!$B$65&lt;=120,IF(Paths!$E$72+'Operating costs'!$B$65=0,C724=0,AND(C724&gt;0,Paths!$E$72+'Operating costs'!$B$65&gt;(C724-1)*12,Paths!$E$72+'Operating costs'!$B$65&lt;=C724*12))),'Operating costs'!$B$64,0)+IF(AND('Operating costs'!$B$67&gt;0,'Operating costs'!$B$67&lt;=120,OR(Paths!$D$72="ICE",'Operating costs'!$B$67&lt;=Paths!$E$72),IF('Operating costs'!$B$67=0,C724=0,AND(C724&gt;0,'Operating costs'!$B$67&gt;(C724-1)*12,'Operating costs'!$B$67&lt;=C724*12))),'Operating costs'!$B$66,0),"n.a."))</f>
        <v>0</v>
      </c>
      <c r="N724" s="16">
        <f>IF(NOT(Paths!$C$72=1),0,IF(Paths!$P$72="Complete",SUM(G724:I724)-J724-K724-L724+M724+IF(C724=0,Paths!$F$72,0)+IF(IF(Paths!$E$72=0,C724=0,AND(C724&gt;0,Paths!$E$72&gt;(C724-1)*12,Paths!$E$72&lt;=C724*12)),VLOOKUP(A724,'Fleet register'!$A$7:$S$106,16,FALSE),0),"n.a."))</f>
        <v>0</v>
      </c>
      <c r="O724" s="16">
        <f>IF(NOT(Paths!$C$72=1),0,IF(Paths!$P$72="Complete",N724-IF(C724=0,Paths!$F$72,0),"n.a."))</f>
        <v>0</v>
      </c>
      <c r="P724" s="16">
        <f>IF(NOT(Paths!$C$72=1),0,IF(Paths!$P$72="Complete",O724+L724,"n.a."))</f>
        <v>0</v>
      </c>
      <c r="Q724" s="16">
        <f>IF(NOT(Paths!$C$72=1),0,IF(Paths!$P$72="Complete",N724*(1+'Operating costs'!$B$54)^-C724,"n.a."))</f>
        <v>0</v>
      </c>
      <c r="R724" s="16">
        <f>IF(NOT(Paths!$C$72=1),0,IF(Paths!$P$72="Complete",IF(AND(C724=0,Paths!$E$72=0),I724-J724-K724+VLOOKUP(A724,'Fleet register'!$A$7:$S$106,15,FALSE)+VLOOKUP(A724,'Fleet register'!$A$7:$S$106,16,FALSE),0),"n.a."))</f>
        <v>0</v>
      </c>
      <c r="S724" s="1">
        <f>IF(NOT(Paths!$C$72=1),0,IF(Paths!$P$72="Complete",IF(C724=0,0,Paths!$S$72*Paths!$R$72),"n.a."))</f>
        <v>0</v>
      </c>
      <c r="T724" s="1">
        <f>IF(NOT(Paths!$C$72=1),0,IF(Paths!$P$72="Complete",IF(C724=0,0,VLOOKUP(A724,'Fleet register'!$A$7:$S$106,9,FALSE)*Paths!$R$72),"n.a."))</f>
        <v>0</v>
      </c>
    </row>
    <row r="725" spans="1:20" ht="24" customHeight="1">
      <c r="A725" s="1" t="str">
        <f>Paths!$A$72</f>
        <v>T017</v>
      </c>
      <c r="B725" s="1">
        <f>Paths!$B$72</f>
        <v>1</v>
      </c>
      <c r="C725" s="1">
        <v>3</v>
      </c>
      <c r="D725" s="1">
        <v>72</v>
      </c>
      <c r="E725" s="1">
        <f>IF(OR(Paths!$C$72=0,C725=0),0,MAX(0,MIN(C725*12,Paths!$E$72)-(C725-1)*12))</f>
        <v>0</v>
      </c>
      <c r="F725" s="1">
        <f>IF(OR(Paths!$C$72=0,C725=0),0,12-E725)</f>
        <v>0</v>
      </c>
      <c r="G725" s="16">
        <f>IF(NOT(Paths!$C$72=1),0,IF(Paths!$P$72="Complete",E725/12*(Paths!$J$72*(1+'Operating costs'!$B$51)^MAX(0,C725-1)+Paths!$K$72*(1+'Operating costs'!$B$53)^MAX(0,C725-1)),"n.a."))</f>
        <v>0</v>
      </c>
      <c r="H725" s="16">
        <f>IF(NOT(Paths!$C$72=1),0,IF(Paths!$P$72="Complete",F725/12*(Paths!$L$72*(1+IF(Paths!$D$72="EV",'Operating costs'!$B$52,'Operating costs'!$B$51))^MAX(0,C725-1)+Paths!$M$72*(1+'Operating costs'!$B$53)^MAX(0,C725-1)),"n.a."))</f>
        <v>0</v>
      </c>
      <c r="I725" s="16">
        <f>IF(NOT(Paths!$C$72=1),0,IF(Paths!$P$72="Complete",IF(IF(Paths!$E$72=0,C725=0,AND(C725&gt;0,Paths!$E$72&gt;(C725-1)*12,Paths!$E$72&lt;=C725*12)),Paths!$G$72,0),"n.a."))</f>
        <v>0</v>
      </c>
      <c r="J725" s="16">
        <f>IF(NOT(Paths!$C$72=1),0,IF(Paths!$P$72="Complete",IF(IF(Paths!$E$72=0,C725=0,AND(C725&gt;0,Paths!$E$72&gt;(C725-1)*12,Paths!$E$72&lt;=C725*12)),Paths!$H$72,0),"n.a."))</f>
        <v>0</v>
      </c>
      <c r="K725" s="16">
        <f>IF(NOT(Paths!$C$72=1),0,IF(Paths!$P$72="Complete",IF(IF(Paths!$O$72=0,C725=0,AND(C725&gt;0,Paths!$O$72&gt;(C725-1)*12,Paths!$O$72&lt;=C725*12)),Paths!$N$72,0),"n.a."))</f>
        <v>0</v>
      </c>
      <c r="L725" s="16">
        <f>IF(NOT(Paths!$C$72=1),0,IF(Paths!$P$72="Complete",IF(C725=10,Paths!$I$72,0),"n.a."))</f>
        <v>0</v>
      </c>
      <c r="M725" s="16">
        <f>IF(NOT(Paths!$C$72=1),0,IF(Paths!$P$72="Complete",IF(AND(Paths!$D$72="EV",Paths!$E$72&lt;120,Paths!$E$72+'Operating costs'!$B$65&gt;Paths!$E$72,Paths!$E$72+'Operating costs'!$B$65&lt;=120,IF(Paths!$E$72+'Operating costs'!$B$65=0,C725=0,AND(C725&gt;0,Paths!$E$72+'Operating costs'!$B$65&gt;(C725-1)*12,Paths!$E$72+'Operating costs'!$B$65&lt;=C725*12))),'Operating costs'!$B$64,0)+IF(AND('Operating costs'!$B$67&gt;0,'Operating costs'!$B$67&lt;=120,OR(Paths!$D$72="ICE",'Operating costs'!$B$67&lt;=Paths!$E$72),IF('Operating costs'!$B$67=0,C725=0,AND(C725&gt;0,'Operating costs'!$B$67&gt;(C725-1)*12,'Operating costs'!$B$67&lt;=C725*12))),'Operating costs'!$B$66,0),"n.a."))</f>
        <v>0</v>
      </c>
      <c r="N725" s="16">
        <f>IF(NOT(Paths!$C$72=1),0,IF(Paths!$P$72="Complete",SUM(G725:I725)-J725-K725-L725+M725+IF(C725=0,Paths!$F$72,0)+IF(IF(Paths!$E$72=0,C725=0,AND(C725&gt;0,Paths!$E$72&gt;(C725-1)*12,Paths!$E$72&lt;=C725*12)),VLOOKUP(A725,'Fleet register'!$A$7:$S$106,16,FALSE),0),"n.a."))</f>
        <v>0</v>
      </c>
      <c r="O725" s="16">
        <f>IF(NOT(Paths!$C$72=1),0,IF(Paths!$P$72="Complete",N725-IF(C725=0,Paths!$F$72,0),"n.a."))</f>
        <v>0</v>
      </c>
      <c r="P725" s="16">
        <f>IF(NOT(Paths!$C$72=1),0,IF(Paths!$P$72="Complete",O725+L725,"n.a."))</f>
        <v>0</v>
      </c>
      <c r="Q725" s="16">
        <f>IF(NOT(Paths!$C$72=1),0,IF(Paths!$P$72="Complete",N725*(1+'Operating costs'!$B$54)^-C725,"n.a."))</f>
        <v>0</v>
      </c>
      <c r="R725" s="16">
        <f>IF(NOT(Paths!$C$72=1),0,IF(Paths!$P$72="Complete",IF(AND(C725=0,Paths!$E$72=0),I725-J725-K725+VLOOKUP(A725,'Fleet register'!$A$7:$S$106,15,FALSE)+VLOOKUP(A725,'Fleet register'!$A$7:$S$106,16,FALSE),0),"n.a."))</f>
        <v>0</v>
      </c>
      <c r="S725" s="1">
        <f>IF(NOT(Paths!$C$72=1),0,IF(Paths!$P$72="Complete",IF(C725=0,0,Paths!$S$72*Paths!$R$72),"n.a."))</f>
        <v>0</v>
      </c>
      <c r="T725" s="1">
        <f>IF(NOT(Paths!$C$72=1),0,IF(Paths!$P$72="Complete",IF(C725=0,0,VLOOKUP(A725,'Fleet register'!$A$7:$S$106,9,FALSE)*Paths!$R$72),"n.a."))</f>
        <v>0</v>
      </c>
    </row>
    <row r="726" spans="1:20" ht="24" customHeight="1">
      <c r="A726" s="1" t="str">
        <f>Paths!$A$72</f>
        <v>T017</v>
      </c>
      <c r="B726" s="1">
        <f>Paths!$B$72</f>
        <v>1</v>
      </c>
      <c r="C726" s="1">
        <v>4</v>
      </c>
      <c r="D726" s="1">
        <v>72</v>
      </c>
      <c r="E726" s="1">
        <f>IF(OR(Paths!$C$72=0,C726=0),0,MAX(0,MIN(C726*12,Paths!$E$72)-(C726-1)*12))</f>
        <v>0</v>
      </c>
      <c r="F726" s="1">
        <f>IF(OR(Paths!$C$72=0,C726=0),0,12-E726)</f>
        <v>0</v>
      </c>
      <c r="G726" s="16">
        <f>IF(NOT(Paths!$C$72=1),0,IF(Paths!$P$72="Complete",E726/12*(Paths!$J$72*(1+'Operating costs'!$B$51)^MAX(0,C726-1)+Paths!$K$72*(1+'Operating costs'!$B$53)^MAX(0,C726-1)),"n.a."))</f>
        <v>0</v>
      </c>
      <c r="H726" s="16">
        <f>IF(NOT(Paths!$C$72=1),0,IF(Paths!$P$72="Complete",F726/12*(Paths!$L$72*(1+IF(Paths!$D$72="EV",'Operating costs'!$B$52,'Operating costs'!$B$51))^MAX(0,C726-1)+Paths!$M$72*(1+'Operating costs'!$B$53)^MAX(0,C726-1)),"n.a."))</f>
        <v>0</v>
      </c>
      <c r="I726" s="16">
        <f>IF(NOT(Paths!$C$72=1),0,IF(Paths!$P$72="Complete",IF(IF(Paths!$E$72=0,C726=0,AND(C726&gt;0,Paths!$E$72&gt;(C726-1)*12,Paths!$E$72&lt;=C726*12)),Paths!$G$72,0),"n.a."))</f>
        <v>0</v>
      </c>
      <c r="J726" s="16">
        <f>IF(NOT(Paths!$C$72=1),0,IF(Paths!$P$72="Complete",IF(IF(Paths!$E$72=0,C726=0,AND(C726&gt;0,Paths!$E$72&gt;(C726-1)*12,Paths!$E$72&lt;=C726*12)),Paths!$H$72,0),"n.a."))</f>
        <v>0</v>
      </c>
      <c r="K726" s="16">
        <f>IF(NOT(Paths!$C$72=1),0,IF(Paths!$P$72="Complete",IF(IF(Paths!$O$72=0,C726=0,AND(C726&gt;0,Paths!$O$72&gt;(C726-1)*12,Paths!$O$72&lt;=C726*12)),Paths!$N$72,0),"n.a."))</f>
        <v>0</v>
      </c>
      <c r="L726" s="16">
        <f>IF(NOT(Paths!$C$72=1),0,IF(Paths!$P$72="Complete",IF(C726=10,Paths!$I$72,0),"n.a."))</f>
        <v>0</v>
      </c>
      <c r="M726" s="16">
        <f>IF(NOT(Paths!$C$72=1),0,IF(Paths!$P$72="Complete",IF(AND(Paths!$D$72="EV",Paths!$E$72&lt;120,Paths!$E$72+'Operating costs'!$B$65&gt;Paths!$E$72,Paths!$E$72+'Operating costs'!$B$65&lt;=120,IF(Paths!$E$72+'Operating costs'!$B$65=0,C726=0,AND(C726&gt;0,Paths!$E$72+'Operating costs'!$B$65&gt;(C726-1)*12,Paths!$E$72+'Operating costs'!$B$65&lt;=C726*12))),'Operating costs'!$B$64,0)+IF(AND('Operating costs'!$B$67&gt;0,'Operating costs'!$B$67&lt;=120,OR(Paths!$D$72="ICE",'Operating costs'!$B$67&lt;=Paths!$E$72),IF('Operating costs'!$B$67=0,C726=0,AND(C726&gt;0,'Operating costs'!$B$67&gt;(C726-1)*12,'Operating costs'!$B$67&lt;=C726*12))),'Operating costs'!$B$66,0),"n.a."))</f>
        <v>0</v>
      </c>
      <c r="N726" s="16">
        <f>IF(NOT(Paths!$C$72=1),0,IF(Paths!$P$72="Complete",SUM(G726:I726)-J726-K726-L726+M726+IF(C726=0,Paths!$F$72,0)+IF(IF(Paths!$E$72=0,C726=0,AND(C726&gt;0,Paths!$E$72&gt;(C726-1)*12,Paths!$E$72&lt;=C726*12)),VLOOKUP(A726,'Fleet register'!$A$7:$S$106,16,FALSE),0),"n.a."))</f>
        <v>0</v>
      </c>
      <c r="O726" s="16">
        <f>IF(NOT(Paths!$C$72=1),0,IF(Paths!$P$72="Complete",N726-IF(C726=0,Paths!$F$72,0),"n.a."))</f>
        <v>0</v>
      </c>
      <c r="P726" s="16">
        <f>IF(NOT(Paths!$C$72=1),0,IF(Paths!$P$72="Complete",O726+L726,"n.a."))</f>
        <v>0</v>
      </c>
      <c r="Q726" s="16">
        <f>IF(NOT(Paths!$C$72=1),0,IF(Paths!$P$72="Complete",N726*(1+'Operating costs'!$B$54)^-C726,"n.a."))</f>
        <v>0</v>
      </c>
      <c r="R726" s="16">
        <f>IF(NOT(Paths!$C$72=1),0,IF(Paths!$P$72="Complete",IF(AND(C726=0,Paths!$E$72=0),I726-J726-K726+VLOOKUP(A726,'Fleet register'!$A$7:$S$106,15,FALSE)+VLOOKUP(A726,'Fleet register'!$A$7:$S$106,16,FALSE),0),"n.a."))</f>
        <v>0</v>
      </c>
      <c r="S726" s="1">
        <f>IF(NOT(Paths!$C$72=1),0,IF(Paths!$P$72="Complete",IF(C726=0,0,Paths!$S$72*Paths!$R$72),"n.a."))</f>
        <v>0</v>
      </c>
      <c r="T726" s="1">
        <f>IF(NOT(Paths!$C$72=1),0,IF(Paths!$P$72="Complete",IF(C726=0,0,VLOOKUP(A726,'Fleet register'!$A$7:$S$106,9,FALSE)*Paths!$R$72),"n.a."))</f>
        <v>0</v>
      </c>
    </row>
    <row r="727" spans="1:20" ht="24" customHeight="1">
      <c r="A727" s="1" t="str">
        <f>Paths!$A$72</f>
        <v>T017</v>
      </c>
      <c r="B727" s="1">
        <f>Paths!$B$72</f>
        <v>1</v>
      </c>
      <c r="C727" s="1">
        <v>5</v>
      </c>
      <c r="D727" s="1">
        <v>72</v>
      </c>
      <c r="E727" s="1">
        <f>IF(OR(Paths!$C$72=0,C727=0),0,MAX(0,MIN(C727*12,Paths!$E$72)-(C727-1)*12))</f>
        <v>0</v>
      </c>
      <c r="F727" s="1">
        <f>IF(OR(Paths!$C$72=0,C727=0),0,12-E727)</f>
        <v>0</v>
      </c>
      <c r="G727" s="16">
        <f>IF(NOT(Paths!$C$72=1),0,IF(Paths!$P$72="Complete",E727/12*(Paths!$J$72*(1+'Operating costs'!$B$51)^MAX(0,C727-1)+Paths!$K$72*(1+'Operating costs'!$B$53)^MAX(0,C727-1)),"n.a."))</f>
        <v>0</v>
      </c>
      <c r="H727" s="16">
        <f>IF(NOT(Paths!$C$72=1),0,IF(Paths!$P$72="Complete",F727/12*(Paths!$L$72*(1+IF(Paths!$D$72="EV",'Operating costs'!$B$52,'Operating costs'!$B$51))^MAX(0,C727-1)+Paths!$M$72*(1+'Operating costs'!$B$53)^MAX(0,C727-1)),"n.a."))</f>
        <v>0</v>
      </c>
      <c r="I727" s="16">
        <f>IF(NOT(Paths!$C$72=1),0,IF(Paths!$P$72="Complete",IF(IF(Paths!$E$72=0,C727=0,AND(C727&gt;0,Paths!$E$72&gt;(C727-1)*12,Paths!$E$72&lt;=C727*12)),Paths!$G$72,0),"n.a."))</f>
        <v>0</v>
      </c>
      <c r="J727" s="16">
        <f>IF(NOT(Paths!$C$72=1),0,IF(Paths!$P$72="Complete",IF(IF(Paths!$E$72=0,C727=0,AND(C727&gt;0,Paths!$E$72&gt;(C727-1)*12,Paths!$E$72&lt;=C727*12)),Paths!$H$72,0),"n.a."))</f>
        <v>0</v>
      </c>
      <c r="K727" s="16">
        <f>IF(NOT(Paths!$C$72=1),0,IF(Paths!$P$72="Complete",IF(IF(Paths!$O$72=0,C727=0,AND(C727&gt;0,Paths!$O$72&gt;(C727-1)*12,Paths!$O$72&lt;=C727*12)),Paths!$N$72,0),"n.a."))</f>
        <v>0</v>
      </c>
      <c r="L727" s="16">
        <f>IF(NOT(Paths!$C$72=1),0,IF(Paths!$P$72="Complete",IF(C727=10,Paths!$I$72,0),"n.a."))</f>
        <v>0</v>
      </c>
      <c r="M727" s="16">
        <f>IF(NOT(Paths!$C$72=1),0,IF(Paths!$P$72="Complete",IF(AND(Paths!$D$72="EV",Paths!$E$72&lt;120,Paths!$E$72+'Operating costs'!$B$65&gt;Paths!$E$72,Paths!$E$72+'Operating costs'!$B$65&lt;=120,IF(Paths!$E$72+'Operating costs'!$B$65=0,C727=0,AND(C727&gt;0,Paths!$E$72+'Operating costs'!$B$65&gt;(C727-1)*12,Paths!$E$72+'Operating costs'!$B$65&lt;=C727*12))),'Operating costs'!$B$64,0)+IF(AND('Operating costs'!$B$67&gt;0,'Operating costs'!$B$67&lt;=120,OR(Paths!$D$72="ICE",'Operating costs'!$B$67&lt;=Paths!$E$72),IF('Operating costs'!$B$67=0,C727=0,AND(C727&gt;0,'Operating costs'!$B$67&gt;(C727-1)*12,'Operating costs'!$B$67&lt;=C727*12))),'Operating costs'!$B$66,0),"n.a."))</f>
        <v>0</v>
      </c>
      <c r="N727" s="16">
        <f>IF(NOT(Paths!$C$72=1),0,IF(Paths!$P$72="Complete",SUM(G727:I727)-J727-K727-L727+M727+IF(C727=0,Paths!$F$72,0)+IF(IF(Paths!$E$72=0,C727=0,AND(C727&gt;0,Paths!$E$72&gt;(C727-1)*12,Paths!$E$72&lt;=C727*12)),VLOOKUP(A727,'Fleet register'!$A$7:$S$106,16,FALSE),0),"n.a."))</f>
        <v>0</v>
      </c>
      <c r="O727" s="16">
        <f>IF(NOT(Paths!$C$72=1),0,IF(Paths!$P$72="Complete",N727-IF(C727=0,Paths!$F$72,0),"n.a."))</f>
        <v>0</v>
      </c>
      <c r="P727" s="16">
        <f>IF(NOT(Paths!$C$72=1),0,IF(Paths!$P$72="Complete",O727+L727,"n.a."))</f>
        <v>0</v>
      </c>
      <c r="Q727" s="16">
        <f>IF(NOT(Paths!$C$72=1),0,IF(Paths!$P$72="Complete",N727*(1+'Operating costs'!$B$54)^-C727,"n.a."))</f>
        <v>0</v>
      </c>
      <c r="R727" s="16">
        <f>IF(NOT(Paths!$C$72=1),0,IF(Paths!$P$72="Complete",IF(AND(C727=0,Paths!$E$72=0),I727-J727-K727+VLOOKUP(A727,'Fleet register'!$A$7:$S$106,15,FALSE)+VLOOKUP(A727,'Fleet register'!$A$7:$S$106,16,FALSE),0),"n.a."))</f>
        <v>0</v>
      </c>
      <c r="S727" s="1">
        <f>IF(NOT(Paths!$C$72=1),0,IF(Paths!$P$72="Complete",IF(C727=0,0,Paths!$S$72*Paths!$R$72),"n.a."))</f>
        <v>0</v>
      </c>
      <c r="T727" s="1">
        <f>IF(NOT(Paths!$C$72=1),0,IF(Paths!$P$72="Complete",IF(C727=0,0,VLOOKUP(A727,'Fleet register'!$A$7:$S$106,9,FALSE)*Paths!$R$72),"n.a."))</f>
        <v>0</v>
      </c>
    </row>
    <row r="728" spans="1:20" ht="24" customHeight="1">
      <c r="A728" s="1" t="str">
        <f>Paths!$A$72</f>
        <v>T017</v>
      </c>
      <c r="B728" s="1">
        <f>Paths!$B$72</f>
        <v>1</v>
      </c>
      <c r="C728" s="1">
        <v>6</v>
      </c>
      <c r="D728" s="1">
        <v>72</v>
      </c>
      <c r="E728" s="1">
        <f>IF(OR(Paths!$C$72=0,C728=0),0,MAX(0,MIN(C728*12,Paths!$E$72)-(C728-1)*12))</f>
        <v>0</v>
      </c>
      <c r="F728" s="1">
        <f>IF(OR(Paths!$C$72=0,C728=0),0,12-E728)</f>
        <v>0</v>
      </c>
      <c r="G728" s="16">
        <f>IF(NOT(Paths!$C$72=1),0,IF(Paths!$P$72="Complete",E728/12*(Paths!$J$72*(1+'Operating costs'!$B$51)^MAX(0,C728-1)+Paths!$K$72*(1+'Operating costs'!$B$53)^MAX(0,C728-1)),"n.a."))</f>
        <v>0</v>
      </c>
      <c r="H728" s="16">
        <f>IF(NOT(Paths!$C$72=1),0,IF(Paths!$P$72="Complete",F728/12*(Paths!$L$72*(1+IF(Paths!$D$72="EV",'Operating costs'!$B$52,'Operating costs'!$B$51))^MAX(0,C728-1)+Paths!$M$72*(1+'Operating costs'!$B$53)^MAX(0,C728-1)),"n.a."))</f>
        <v>0</v>
      </c>
      <c r="I728" s="16">
        <f>IF(NOT(Paths!$C$72=1),0,IF(Paths!$P$72="Complete",IF(IF(Paths!$E$72=0,C728=0,AND(C728&gt;0,Paths!$E$72&gt;(C728-1)*12,Paths!$E$72&lt;=C728*12)),Paths!$G$72,0),"n.a."))</f>
        <v>0</v>
      </c>
      <c r="J728" s="16">
        <f>IF(NOT(Paths!$C$72=1),0,IF(Paths!$P$72="Complete",IF(IF(Paths!$E$72=0,C728=0,AND(C728&gt;0,Paths!$E$72&gt;(C728-1)*12,Paths!$E$72&lt;=C728*12)),Paths!$H$72,0),"n.a."))</f>
        <v>0</v>
      </c>
      <c r="K728" s="16">
        <f>IF(NOT(Paths!$C$72=1),0,IF(Paths!$P$72="Complete",IF(IF(Paths!$O$72=0,C728=0,AND(C728&gt;0,Paths!$O$72&gt;(C728-1)*12,Paths!$O$72&lt;=C728*12)),Paths!$N$72,0),"n.a."))</f>
        <v>0</v>
      </c>
      <c r="L728" s="16">
        <f>IF(NOT(Paths!$C$72=1),0,IF(Paths!$P$72="Complete",IF(C728=10,Paths!$I$72,0),"n.a."))</f>
        <v>0</v>
      </c>
      <c r="M728" s="16">
        <f>IF(NOT(Paths!$C$72=1),0,IF(Paths!$P$72="Complete",IF(AND(Paths!$D$72="EV",Paths!$E$72&lt;120,Paths!$E$72+'Operating costs'!$B$65&gt;Paths!$E$72,Paths!$E$72+'Operating costs'!$B$65&lt;=120,IF(Paths!$E$72+'Operating costs'!$B$65=0,C728=0,AND(C728&gt;0,Paths!$E$72+'Operating costs'!$B$65&gt;(C728-1)*12,Paths!$E$72+'Operating costs'!$B$65&lt;=C728*12))),'Operating costs'!$B$64,0)+IF(AND('Operating costs'!$B$67&gt;0,'Operating costs'!$B$67&lt;=120,OR(Paths!$D$72="ICE",'Operating costs'!$B$67&lt;=Paths!$E$72),IF('Operating costs'!$B$67=0,C728=0,AND(C728&gt;0,'Operating costs'!$B$67&gt;(C728-1)*12,'Operating costs'!$B$67&lt;=C728*12))),'Operating costs'!$B$66,0),"n.a."))</f>
        <v>0</v>
      </c>
      <c r="N728" s="16">
        <f>IF(NOT(Paths!$C$72=1),0,IF(Paths!$P$72="Complete",SUM(G728:I728)-J728-K728-L728+M728+IF(C728=0,Paths!$F$72,0)+IF(IF(Paths!$E$72=0,C728=0,AND(C728&gt;0,Paths!$E$72&gt;(C728-1)*12,Paths!$E$72&lt;=C728*12)),VLOOKUP(A728,'Fleet register'!$A$7:$S$106,16,FALSE),0),"n.a."))</f>
        <v>0</v>
      </c>
      <c r="O728" s="16">
        <f>IF(NOT(Paths!$C$72=1),0,IF(Paths!$P$72="Complete",N728-IF(C728=0,Paths!$F$72,0),"n.a."))</f>
        <v>0</v>
      </c>
      <c r="P728" s="16">
        <f>IF(NOT(Paths!$C$72=1),0,IF(Paths!$P$72="Complete",O728+L728,"n.a."))</f>
        <v>0</v>
      </c>
      <c r="Q728" s="16">
        <f>IF(NOT(Paths!$C$72=1),0,IF(Paths!$P$72="Complete",N728*(1+'Operating costs'!$B$54)^-C728,"n.a."))</f>
        <v>0</v>
      </c>
      <c r="R728" s="16">
        <f>IF(NOT(Paths!$C$72=1),0,IF(Paths!$P$72="Complete",IF(AND(C728=0,Paths!$E$72=0),I728-J728-K728+VLOOKUP(A728,'Fleet register'!$A$7:$S$106,15,FALSE)+VLOOKUP(A728,'Fleet register'!$A$7:$S$106,16,FALSE),0),"n.a."))</f>
        <v>0</v>
      </c>
      <c r="S728" s="1">
        <f>IF(NOT(Paths!$C$72=1),0,IF(Paths!$P$72="Complete",IF(C728=0,0,Paths!$S$72*Paths!$R$72),"n.a."))</f>
        <v>0</v>
      </c>
      <c r="T728" s="1">
        <f>IF(NOT(Paths!$C$72=1),0,IF(Paths!$P$72="Complete",IF(C728=0,0,VLOOKUP(A728,'Fleet register'!$A$7:$S$106,9,FALSE)*Paths!$R$72),"n.a."))</f>
        <v>0</v>
      </c>
    </row>
    <row r="729" spans="1:20" ht="24" customHeight="1">
      <c r="A729" s="1" t="str">
        <f>Paths!$A$72</f>
        <v>T017</v>
      </c>
      <c r="B729" s="1">
        <f>Paths!$B$72</f>
        <v>1</v>
      </c>
      <c r="C729" s="1">
        <v>7</v>
      </c>
      <c r="D729" s="1">
        <v>72</v>
      </c>
      <c r="E729" s="1">
        <f>IF(OR(Paths!$C$72=0,C729=0),0,MAX(0,MIN(C729*12,Paths!$E$72)-(C729-1)*12))</f>
        <v>0</v>
      </c>
      <c r="F729" s="1">
        <f>IF(OR(Paths!$C$72=0,C729=0),0,12-E729)</f>
        <v>0</v>
      </c>
      <c r="G729" s="16">
        <f>IF(NOT(Paths!$C$72=1),0,IF(Paths!$P$72="Complete",E729/12*(Paths!$J$72*(1+'Operating costs'!$B$51)^MAX(0,C729-1)+Paths!$K$72*(1+'Operating costs'!$B$53)^MAX(0,C729-1)),"n.a."))</f>
        <v>0</v>
      </c>
      <c r="H729" s="16">
        <f>IF(NOT(Paths!$C$72=1),0,IF(Paths!$P$72="Complete",F729/12*(Paths!$L$72*(1+IF(Paths!$D$72="EV",'Operating costs'!$B$52,'Operating costs'!$B$51))^MAX(0,C729-1)+Paths!$M$72*(1+'Operating costs'!$B$53)^MAX(0,C729-1)),"n.a."))</f>
        <v>0</v>
      </c>
      <c r="I729" s="16">
        <f>IF(NOT(Paths!$C$72=1),0,IF(Paths!$P$72="Complete",IF(IF(Paths!$E$72=0,C729=0,AND(C729&gt;0,Paths!$E$72&gt;(C729-1)*12,Paths!$E$72&lt;=C729*12)),Paths!$G$72,0),"n.a."))</f>
        <v>0</v>
      </c>
      <c r="J729" s="16">
        <f>IF(NOT(Paths!$C$72=1),0,IF(Paths!$P$72="Complete",IF(IF(Paths!$E$72=0,C729=0,AND(C729&gt;0,Paths!$E$72&gt;(C729-1)*12,Paths!$E$72&lt;=C729*12)),Paths!$H$72,0),"n.a."))</f>
        <v>0</v>
      </c>
      <c r="K729" s="16">
        <f>IF(NOT(Paths!$C$72=1),0,IF(Paths!$P$72="Complete",IF(IF(Paths!$O$72=0,C729=0,AND(C729&gt;0,Paths!$O$72&gt;(C729-1)*12,Paths!$O$72&lt;=C729*12)),Paths!$N$72,0),"n.a."))</f>
        <v>0</v>
      </c>
      <c r="L729" s="16">
        <f>IF(NOT(Paths!$C$72=1),0,IF(Paths!$P$72="Complete",IF(C729=10,Paths!$I$72,0),"n.a."))</f>
        <v>0</v>
      </c>
      <c r="M729" s="16">
        <f>IF(NOT(Paths!$C$72=1),0,IF(Paths!$P$72="Complete",IF(AND(Paths!$D$72="EV",Paths!$E$72&lt;120,Paths!$E$72+'Operating costs'!$B$65&gt;Paths!$E$72,Paths!$E$72+'Operating costs'!$B$65&lt;=120,IF(Paths!$E$72+'Operating costs'!$B$65=0,C729=0,AND(C729&gt;0,Paths!$E$72+'Operating costs'!$B$65&gt;(C729-1)*12,Paths!$E$72+'Operating costs'!$B$65&lt;=C729*12))),'Operating costs'!$B$64,0)+IF(AND('Operating costs'!$B$67&gt;0,'Operating costs'!$B$67&lt;=120,OR(Paths!$D$72="ICE",'Operating costs'!$B$67&lt;=Paths!$E$72),IF('Operating costs'!$B$67=0,C729=0,AND(C729&gt;0,'Operating costs'!$B$67&gt;(C729-1)*12,'Operating costs'!$B$67&lt;=C729*12))),'Operating costs'!$B$66,0),"n.a."))</f>
        <v>0</v>
      </c>
      <c r="N729" s="16">
        <f>IF(NOT(Paths!$C$72=1),0,IF(Paths!$P$72="Complete",SUM(G729:I729)-J729-K729-L729+M729+IF(C729=0,Paths!$F$72,0)+IF(IF(Paths!$E$72=0,C729=0,AND(C729&gt;0,Paths!$E$72&gt;(C729-1)*12,Paths!$E$72&lt;=C729*12)),VLOOKUP(A729,'Fleet register'!$A$7:$S$106,16,FALSE),0),"n.a."))</f>
        <v>0</v>
      </c>
      <c r="O729" s="16">
        <f>IF(NOT(Paths!$C$72=1),0,IF(Paths!$P$72="Complete",N729-IF(C729=0,Paths!$F$72,0),"n.a."))</f>
        <v>0</v>
      </c>
      <c r="P729" s="16">
        <f>IF(NOT(Paths!$C$72=1),0,IF(Paths!$P$72="Complete",O729+L729,"n.a."))</f>
        <v>0</v>
      </c>
      <c r="Q729" s="16">
        <f>IF(NOT(Paths!$C$72=1),0,IF(Paths!$P$72="Complete",N729*(1+'Operating costs'!$B$54)^-C729,"n.a."))</f>
        <v>0</v>
      </c>
      <c r="R729" s="16">
        <f>IF(NOT(Paths!$C$72=1),0,IF(Paths!$P$72="Complete",IF(AND(C729=0,Paths!$E$72=0),I729-J729-K729+VLOOKUP(A729,'Fleet register'!$A$7:$S$106,15,FALSE)+VLOOKUP(A729,'Fleet register'!$A$7:$S$106,16,FALSE),0),"n.a."))</f>
        <v>0</v>
      </c>
      <c r="S729" s="1">
        <f>IF(NOT(Paths!$C$72=1),0,IF(Paths!$P$72="Complete",IF(C729=0,0,Paths!$S$72*Paths!$R$72),"n.a."))</f>
        <v>0</v>
      </c>
      <c r="T729" s="1">
        <f>IF(NOT(Paths!$C$72=1),0,IF(Paths!$P$72="Complete",IF(C729=0,0,VLOOKUP(A729,'Fleet register'!$A$7:$S$106,9,FALSE)*Paths!$R$72),"n.a."))</f>
        <v>0</v>
      </c>
    </row>
    <row r="730" spans="1:20" ht="24" customHeight="1">
      <c r="A730" s="1" t="str">
        <f>Paths!$A$72</f>
        <v>T017</v>
      </c>
      <c r="B730" s="1">
        <f>Paths!$B$72</f>
        <v>1</v>
      </c>
      <c r="C730" s="1">
        <v>8</v>
      </c>
      <c r="D730" s="1">
        <v>72</v>
      </c>
      <c r="E730" s="1">
        <f>IF(OR(Paths!$C$72=0,C730=0),0,MAX(0,MIN(C730*12,Paths!$E$72)-(C730-1)*12))</f>
        <v>0</v>
      </c>
      <c r="F730" s="1">
        <f>IF(OR(Paths!$C$72=0,C730=0),0,12-E730)</f>
        <v>0</v>
      </c>
      <c r="G730" s="16">
        <f>IF(NOT(Paths!$C$72=1),0,IF(Paths!$P$72="Complete",E730/12*(Paths!$J$72*(1+'Operating costs'!$B$51)^MAX(0,C730-1)+Paths!$K$72*(1+'Operating costs'!$B$53)^MAX(0,C730-1)),"n.a."))</f>
        <v>0</v>
      </c>
      <c r="H730" s="16">
        <f>IF(NOT(Paths!$C$72=1),0,IF(Paths!$P$72="Complete",F730/12*(Paths!$L$72*(1+IF(Paths!$D$72="EV",'Operating costs'!$B$52,'Operating costs'!$B$51))^MAX(0,C730-1)+Paths!$M$72*(1+'Operating costs'!$B$53)^MAX(0,C730-1)),"n.a."))</f>
        <v>0</v>
      </c>
      <c r="I730" s="16">
        <f>IF(NOT(Paths!$C$72=1),0,IF(Paths!$P$72="Complete",IF(IF(Paths!$E$72=0,C730=0,AND(C730&gt;0,Paths!$E$72&gt;(C730-1)*12,Paths!$E$72&lt;=C730*12)),Paths!$G$72,0),"n.a."))</f>
        <v>0</v>
      </c>
      <c r="J730" s="16">
        <f>IF(NOT(Paths!$C$72=1),0,IF(Paths!$P$72="Complete",IF(IF(Paths!$E$72=0,C730=0,AND(C730&gt;0,Paths!$E$72&gt;(C730-1)*12,Paths!$E$72&lt;=C730*12)),Paths!$H$72,0),"n.a."))</f>
        <v>0</v>
      </c>
      <c r="K730" s="16">
        <f>IF(NOT(Paths!$C$72=1),0,IF(Paths!$P$72="Complete",IF(IF(Paths!$O$72=0,C730=0,AND(C730&gt;0,Paths!$O$72&gt;(C730-1)*12,Paths!$O$72&lt;=C730*12)),Paths!$N$72,0),"n.a."))</f>
        <v>0</v>
      </c>
      <c r="L730" s="16">
        <f>IF(NOT(Paths!$C$72=1),0,IF(Paths!$P$72="Complete",IF(C730=10,Paths!$I$72,0),"n.a."))</f>
        <v>0</v>
      </c>
      <c r="M730" s="16">
        <f>IF(NOT(Paths!$C$72=1),0,IF(Paths!$P$72="Complete",IF(AND(Paths!$D$72="EV",Paths!$E$72&lt;120,Paths!$E$72+'Operating costs'!$B$65&gt;Paths!$E$72,Paths!$E$72+'Operating costs'!$B$65&lt;=120,IF(Paths!$E$72+'Operating costs'!$B$65=0,C730=0,AND(C730&gt;0,Paths!$E$72+'Operating costs'!$B$65&gt;(C730-1)*12,Paths!$E$72+'Operating costs'!$B$65&lt;=C730*12))),'Operating costs'!$B$64,0)+IF(AND('Operating costs'!$B$67&gt;0,'Operating costs'!$B$67&lt;=120,OR(Paths!$D$72="ICE",'Operating costs'!$B$67&lt;=Paths!$E$72),IF('Operating costs'!$B$67=0,C730=0,AND(C730&gt;0,'Operating costs'!$B$67&gt;(C730-1)*12,'Operating costs'!$B$67&lt;=C730*12))),'Operating costs'!$B$66,0),"n.a."))</f>
        <v>0</v>
      </c>
      <c r="N730" s="16">
        <f>IF(NOT(Paths!$C$72=1),0,IF(Paths!$P$72="Complete",SUM(G730:I730)-J730-K730-L730+M730+IF(C730=0,Paths!$F$72,0)+IF(IF(Paths!$E$72=0,C730=0,AND(C730&gt;0,Paths!$E$72&gt;(C730-1)*12,Paths!$E$72&lt;=C730*12)),VLOOKUP(A730,'Fleet register'!$A$7:$S$106,16,FALSE),0),"n.a."))</f>
        <v>0</v>
      </c>
      <c r="O730" s="16">
        <f>IF(NOT(Paths!$C$72=1),0,IF(Paths!$P$72="Complete",N730-IF(C730=0,Paths!$F$72,0),"n.a."))</f>
        <v>0</v>
      </c>
      <c r="P730" s="16">
        <f>IF(NOT(Paths!$C$72=1),0,IF(Paths!$P$72="Complete",O730+L730,"n.a."))</f>
        <v>0</v>
      </c>
      <c r="Q730" s="16">
        <f>IF(NOT(Paths!$C$72=1),0,IF(Paths!$P$72="Complete",N730*(1+'Operating costs'!$B$54)^-C730,"n.a."))</f>
        <v>0</v>
      </c>
      <c r="R730" s="16">
        <f>IF(NOT(Paths!$C$72=1),0,IF(Paths!$P$72="Complete",IF(AND(C730=0,Paths!$E$72=0),I730-J730-K730+VLOOKUP(A730,'Fleet register'!$A$7:$S$106,15,FALSE)+VLOOKUP(A730,'Fleet register'!$A$7:$S$106,16,FALSE),0),"n.a."))</f>
        <v>0</v>
      </c>
      <c r="S730" s="1">
        <f>IF(NOT(Paths!$C$72=1),0,IF(Paths!$P$72="Complete",IF(C730=0,0,Paths!$S$72*Paths!$R$72),"n.a."))</f>
        <v>0</v>
      </c>
      <c r="T730" s="1">
        <f>IF(NOT(Paths!$C$72=1),0,IF(Paths!$P$72="Complete",IF(C730=0,0,VLOOKUP(A730,'Fleet register'!$A$7:$S$106,9,FALSE)*Paths!$R$72),"n.a."))</f>
        <v>0</v>
      </c>
    </row>
    <row r="731" spans="1:20" ht="24" customHeight="1">
      <c r="A731" s="1" t="str">
        <f>Paths!$A$72</f>
        <v>T017</v>
      </c>
      <c r="B731" s="1">
        <f>Paths!$B$72</f>
        <v>1</v>
      </c>
      <c r="C731" s="1">
        <v>9</v>
      </c>
      <c r="D731" s="1">
        <v>72</v>
      </c>
      <c r="E731" s="1">
        <f>IF(OR(Paths!$C$72=0,C731=0),0,MAX(0,MIN(C731*12,Paths!$E$72)-(C731-1)*12))</f>
        <v>0</v>
      </c>
      <c r="F731" s="1">
        <f>IF(OR(Paths!$C$72=0,C731=0),0,12-E731)</f>
        <v>0</v>
      </c>
      <c r="G731" s="16">
        <f>IF(NOT(Paths!$C$72=1),0,IF(Paths!$P$72="Complete",E731/12*(Paths!$J$72*(1+'Operating costs'!$B$51)^MAX(0,C731-1)+Paths!$K$72*(1+'Operating costs'!$B$53)^MAX(0,C731-1)),"n.a."))</f>
        <v>0</v>
      </c>
      <c r="H731" s="16">
        <f>IF(NOT(Paths!$C$72=1),0,IF(Paths!$P$72="Complete",F731/12*(Paths!$L$72*(1+IF(Paths!$D$72="EV",'Operating costs'!$B$52,'Operating costs'!$B$51))^MAX(0,C731-1)+Paths!$M$72*(1+'Operating costs'!$B$53)^MAX(0,C731-1)),"n.a."))</f>
        <v>0</v>
      </c>
      <c r="I731" s="16">
        <f>IF(NOT(Paths!$C$72=1),0,IF(Paths!$P$72="Complete",IF(IF(Paths!$E$72=0,C731=0,AND(C731&gt;0,Paths!$E$72&gt;(C731-1)*12,Paths!$E$72&lt;=C731*12)),Paths!$G$72,0),"n.a."))</f>
        <v>0</v>
      </c>
      <c r="J731" s="16">
        <f>IF(NOT(Paths!$C$72=1),0,IF(Paths!$P$72="Complete",IF(IF(Paths!$E$72=0,C731=0,AND(C731&gt;0,Paths!$E$72&gt;(C731-1)*12,Paths!$E$72&lt;=C731*12)),Paths!$H$72,0),"n.a."))</f>
        <v>0</v>
      </c>
      <c r="K731" s="16">
        <f>IF(NOT(Paths!$C$72=1),0,IF(Paths!$P$72="Complete",IF(IF(Paths!$O$72=0,C731=0,AND(C731&gt;0,Paths!$O$72&gt;(C731-1)*12,Paths!$O$72&lt;=C731*12)),Paths!$N$72,0),"n.a."))</f>
        <v>0</v>
      </c>
      <c r="L731" s="16">
        <f>IF(NOT(Paths!$C$72=1),0,IF(Paths!$P$72="Complete",IF(C731=10,Paths!$I$72,0),"n.a."))</f>
        <v>0</v>
      </c>
      <c r="M731" s="16">
        <f>IF(NOT(Paths!$C$72=1),0,IF(Paths!$P$72="Complete",IF(AND(Paths!$D$72="EV",Paths!$E$72&lt;120,Paths!$E$72+'Operating costs'!$B$65&gt;Paths!$E$72,Paths!$E$72+'Operating costs'!$B$65&lt;=120,IF(Paths!$E$72+'Operating costs'!$B$65=0,C731=0,AND(C731&gt;0,Paths!$E$72+'Operating costs'!$B$65&gt;(C731-1)*12,Paths!$E$72+'Operating costs'!$B$65&lt;=C731*12))),'Operating costs'!$B$64,0)+IF(AND('Operating costs'!$B$67&gt;0,'Operating costs'!$B$67&lt;=120,OR(Paths!$D$72="ICE",'Operating costs'!$B$67&lt;=Paths!$E$72),IF('Operating costs'!$B$67=0,C731=0,AND(C731&gt;0,'Operating costs'!$B$67&gt;(C731-1)*12,'Operating costs'!$B$67&lt;=C731*12))),'Operating costs'!$B$66,0),"n.a."))</f>
        <v>0</v>
      </c>
      <c r="N731" s="16">
        <f>IF(NOT(Paths!$C$72=1),0,IF(Paths!$P$72="Complete",SUM(G731:I731)-J731-K731-L731+M731+IF(C731=0,Paths!$F$72,0)+IF(IF(Paths!$E$72=0,C731=0,AND(C731&gt;0,Paths!$E$72&gt;(C731-1)*12,Paths!$E$72&lt;=C731*12)),VLOOKUP(A731,'Fleet register'!$A$7:$S$106,16,FALSE),0),"n.a."))</f>
        <v>0</v>
      </c>
      <c r="O731" s="16">
        <f>IF(NOT(Paths!$C$72=1),0,IF(Paths!$P$72="Complete",N731-IF(C731=0,Paths!$F$72,0),"n.a."))</f>
        <v>0</v>
      </c>
      <c r="P731" s="16">
        <f>IF(NOT(Paths!$C$72=1),0,IF(Paths!$P$72="Complete",O731+L731,"n.a."))</f>
        <v>0</v>
      </c>
      <c r="Q731" s="16">
        <f>IF(NOT(Paths!$C$72=1),0,IF(Paths!$P$72="Complete",N731*(1+'Operating costs'!$B$54)^-C731,"n.a."))</f>
        <v>0</v>
      </c>
      <c r="R731" s="16">
        <f>IF(NOT(Paths!$C$72=1),0,IF(Paths!$P$72="Complete",IF(AND(C731=0,Paths!$E$72=0),I731-J731-K731+VLOOKUP(A731,'Fleet register'!$A$7:$S$106,15,FALSE)+VLOOKUP(A731,'Fleet register'!$A$7:$S$106,16,FALSE),0),"n.a."))</f>
        <v>0</v>
      </c>
      <c r="S731" s="1">
        <f>IF(NOT(Paths!$C$72=1),0,IF(Paths!$P$72="Complete",IF(C731=0,0,Paths!$S$72*Paths!$R$72),"n.a."))</f>
        <v>0</v>
      </c>
      <c r="T731" s="1">
        <f>IF(NOT(Paths!$C$72=1),0,IF(Paths!$P$72="Complete",IF(C731=0,0,VLOOKUP(A731,'Fleet register'!$A$7:$S$106,9,FALSE)*Paths!$R$72),"n.a."))</f>
        <v>0</v>
      </c>
    </row>
    <row r="732" spans="1:20" ht="24" customHeight="1">
      <c r="A732" s="1" t="str">
        <f>Paths!$A$72</f>
        <v>T017</v>
      </c>
      <c r="B732" s="1">
        <f>Paths!$B$72</f>
        <v>1</v>
      </c>
      <c r="C732" s="1">
        <v>10</v>
      </c>
      <c r="D732" s="1">
        <v>72</v>
      </c>
      <c r="E732" s="1">
        <f>IF(OR(Paths!$C$72=0,C732=0),0,MAX(0,MIN(C732*12,Paths!$E$72)-(C732-1)*12))</f>
        <v>0</v>
      </c>
      <c r="F732" s="1">
        <f>IF(OR(Paths!$C$72=0,C732=0),0,12-E732)</f>
        <v>0</v>
      </c>
      <c r="G732" s="16">
        <f>IF(NOT(Paths!$C$72=1),0,IF(Paths!$P$72="Complete",E732/12*(Paths!$J$72*(1+'Operating costs'!$B$51)^MAX(0,C732-1)+Paths!$K$72*(1+'Operating costs'!$B$53)^MAX(0,C732-1)),"n.a."))</f>
        <v>0</v>
      </c>
      <c r="H732" s="16">
        <f>IF(NOT(Paths!$C$72=1),0,IF(Paths!$P$72="Complete",F732/12*(Paths!$L$72*(1+IF(Paths!$D$72="EV",'Operating costs'!$B$52,'Operating costs'!$B$51))^MAX(0,C732-1)+Paths!$M$72*(1+'Operating costs'!$B$53)^MAX(0,C732-1)),"n.a."))</f>
        <v>0</v>
      </c>
      <c r="I732" s="16">
        <f>IF(NOT(Paths!$C$72=1),0,IF(Paths!$P$72="Complete",IF(IF(Paths!$E$72=0,C732=0,AND(C732&gt;0,Paths!$E$72&gt;(C732-1)*12,Paths!$E$72&lt;=C732*12)),Paths!$G$72,0),"n.a."))</f>
        <v>0</v>
      </c>
      <c r="J732" s="16">
        <f>IF(NOT(Paths!$C$72=1),0,IF(Paths!$P$72="Complete",IF(IF(Paths!$E$72=0,C732=0,AND(C732&gt;0,Paths!$E$72&gt;(C732-1)*12,Paths!$E$72&lt;=C732*12)),Paths!$H$72,0),"n.a."))</f>
        <v>0</v>
      </c>
      <c r="K732" s="16">
        <f>IF(NOT(Paths!$C$72=1),0,IF(Paths!$P$72="Complete",IF(IF(Paths!$O$72=0,C732=0,AND(C732&gt;0,Paths!$O$72&gt;(C732-1)*12,Paths!$O$72&lt;=C732*12)),Paths!$N$72,0),"n.a."))</f>
        <v>0</v>
      </c>
      <c r="L732" s="16">
        <f>IF(NOT(Paths!$C$72=1),0,IF(Paths!$P$72="Complete",IF(C732=10,Paths!$I$72,0),"n.a."))</f>
        <v>0</v>
      </c>
      <c r="M732" s="16">
        <f>IF(NOT(Paths!$C$72=1),0,IF(Paths!$P$72="Complete",IF(AND(Paths!$D$72="EV",Paths!$E$72&lt;120,Paths!$E$72+'Operating costs'!$B$65&gt;Paths!$E$72,Paths!$E$72+'Operating costs'!$B$65&lt;=120,IF(Paths!$E$72+'Operating costs'!$B$65=0,C732=0,AND(C732&gt;0,Paths!$E$72+'Operating costs'!$B$65&gt;(C732-1)*12,Paths!$E$72+'Operating costs'!$B$65&lt;=C732*12))),'Operating costs'!$B$64,0)+IF(AND('Operating costs'!$B$67&gt;0,'Operating costs'!$B$67&lt;=120,OR(Paths!$D$72="ICE",'Operating costs'!$B$67&lt;=Paths!$E$72),IF('Operating costs'!$B$67=0,C732=0,AND(C732&gt;0,'Operating costs'!$B$67&gt;(C732-1)*12,'Operating costs'!$B$67&lt;=C732*12))),'Operating costs'!$B$66,0),"n.a."))</f>
        <v>0</v>
      </c>
      <c r="N732" s="16">
        <f>IF(NOT(Paths!$C$72=1),0,IF(Paths!$P$72="Complete",SUM(G732:I732)-J732-K732-L732+M732+IF(C732=0,Paths!$F$72,0)+IF(IF(Paths!$E$72=0,C732=0,AND(C732&gt;0,Paths!$E$72&gt;(C732-1)*12,Paths!$E$72&lt;=C732*12)),VLOOKUP(A732,'Fleet register'!$A$7:$S$106,16,FALSE),0),"n.a."))</f>
        <v>0</v>
      </c>
      <c r="O732" s="16">
        <f>IF(NOT(Paths!$C$72=1),0,IF(Paths!$P$72="Complete",N732-IF(C732=0,Paths!$F$72,0),"n.a."))</f>
        <v>0</v>
      </c>
      <c r="P732" s="16">
        <f>IF(NOT(Paths!$C$72=1),0,IF(Paths!$P$72="Complete",O732+L732,"n.a."))</f>
        <v>0</v>
      </c>
      <c r="Q732" s="16">
        <f>IF(NOT(Paths!$C$72=1),0,IF(Paths!$P$72="Complete",N732*(1+'Operating costs'!$B$54)^-C732,"n.a."))</f>
        <v>0</v>
      </c>
      <c r="R732" s="16">
        <f>IF(NOT(Paths!$C$72=1),0,IF(Paths!$P$72="Complete",IF(AND(C732=0,Paths!$E$72=0),I732-J732-K732+VLOOKUP(A732,'Fleet register'!$A$7:$S$106,15,FALSE)+VLOOKUP(A732,'Fleet register'!$A$7:$S$106,16,FALSE),0),"n.a."))</f>
        <v>0</v>
      </c>
      <c r="S732" s="1">
        <f>IF(NOT(Paths!$C$72=1),0,IF(Paths!$P$72="Complete",IF(C732=0,0,Paths!$S$72*Paths!$R$72),"n.a."))</f>
        <v>0</v>
      </c>
      <c r="T732" s="1">
        <f>IF(NOT(Paths!$C$72=1),0,IF(Paths!$P$72="Complete",IF(C732=0,0,VLOOKUP(A732,'Fleet register'!$A$7:$S$106,9,FALSE)*Paths!$R$72),"n.a."))</f>
        <v>0</v>
      </c>
    </row>
    <row r="733" spans="1:20" ht="24" customHeight="1">
      <c r="A733" s="1" t="str">
        <f>Paths!$A$73</f>
        <v>T017</v>
      </c>
      <c r="B733" s="1">
        <f>Paths!$B$73</f>
        <v>2</v>
      </c>
      <c r="C733" s="1">
        <v>0</v>
      </c>
      <c r="D733" s="1">
        <v>73</v>
      </c>
      <c r="E733" s="1">
        <f>IF(OR(Paths!$C$73=0,C733=0),0,MAX(0,MIN(C733*12,Paths!$E$73)-(C733-1)*12))</f>
        <v>0</v>
      </c>
      <c r="F733" s="1">
        <f>IF(OR(Paths!$C$73=0,C733=0),0,12-E733)</f>
        <v>0</v>
      </c>
      <c r="G733" s="16">
        <f>IF(NOT(Paths!$C$73=1),0,IF(Paths!$P$73="Complete",E733/12*(Paths!$J$73*(1+'Operating costs'!$B$51)^MAX(0,C733-1)+Paths!$K$73*(1+'Operating costs'!$B$53)^MAX(0,C733-1)),"n.a."))</f>
        <v>0</v>
      </c>
      <c r="H733" s="16">
        <f>IF(NOT(Paths!$C$73=1),0,IF(Paths!$P$73="Complete",F733/12*(Paths!$L$73*(1+IF(Paths!$D$73="EV",'Operating costs'!$B$52,'Operating costs'!$B$51))^MAX(0,C733-1)+Paths!$M$73*(1+'Operating costs'!$B$53)^MAX(0,C733-1)),"n.a."))</f>
        <v>0</v>
      </c>
      <c r="I733" s="16">
        <f>IF(NOT(Paths!$C$73=1),0,IF(Paths!$P$73="Complete",IF(IF(Paths!$E$73=0,C733=0,AND(C733&gt;0,Paths!$E$73&gt;(C733-1)*12,Paths!$E$73&lt;=C733*12)),Paths!$G$73,0),"n.a."))</f>
        <v>0</v>
      </c>
      <c r="J733" s="16">
        <f>IF(NOT(Paths!$C$73=1),0,IF(Paths!$P$73="Complete",IF(IF(Paths!$E$73=0,C733=0,AND(C733&gt;0,Paths!$E$73&gt;(C733-1)*12,Paths!$E$73&lt;=C733*12)),Paths!$H$73,0),"n.a."))</f>
        <v>0</v>
      </c>
      <c r="K733" s="16">
        <f>IF(NOT(Paths!$C$73=1),0,IF(Paths!$P$73="Complete",IF(IF(Paths!$O$73=0,C733=0,AND(C733&gt;0,Paths!$O$73&gt;(C733-1)*12,Paths!$O$73&lt;=C733*12)),Paths!$N$73,0),"n.a."))</f>
        <v>0</v>
      </c>
      <c r="L733" s="16">
        <f>IF(NOT(Paths!$C$73=1),0,IF(Paths!$P$73="Complete",IF(C733=10,Paths!$I$73,0),"n.a."))</f>
        <v>0</v>
      </c>
      <c r="M733" s="16">
        <f>IF(NOT(Paths!$C$73=1),0,IF(Paths!$P$73="Complete",IF(AND(Paths!$D$73="EV",Paths!$E$73&lt;120,Paths!$E$73+'Operating costs'!$B$65&gt;Paths!$E$73,Paths!$E$73+'Operating costs'!$B$65&lt;=120,IF(Paths!$E$73+'Operating costs'!$B$65=0,C733=0,AND(C733&gt;0,Paths!$E$73+'Operating costs'!$B$65&gt;(C733-1)*12,Paths!$E$73+'Operating costs'!$B$65&lt;=C733*12))),'Operating costs'!$B$64,0)+IF(AND('Operating costs'!$B$67&gt;0,'Operating costs'!$B$67&lt;=120,OR(Paths!$D$73="ICE",'Operating costs'!$B$67&lt;=Paths!$E$73),IF('Operating costs'!$B$67=0,C733=0,AND(C733&gt;0,'Operating costs'!$B$67&gt;(C733-1)*12,'Operating costs'!$B$67&lt;=C733*12))),'Operating costs'!$B$66,0),"n.a."))</f>
        <v>0</v>
      </c>
      <c r="N733" s="16">
        <f>IF(NOT(Paths!$C$73=1),0,IF(Paths!$P$73="Complete",SUM(G733:I733)-J733-K733-L733+M733+IF(C733=0,Paths!$F$73,0)+IF(IF(Paths!$E$73=0,C733=0,AND(C733&gt;0,Paths!$E$73&gt;(C733-1)*12,Paths!$E$73&lt;=C733*12)),VLOOKUP(A733,'Fleet register'!$A$7:$S$106,16,FALSE),0),"n.a."))</f>
        <v>0</v>
      </c>
      <c r="O733" s="16">
        <f>IF(NOT(Paths!$C$73=1),0,IF(Paths!$P$73="Complete",N733-IF(C733=0,Paths!$F$73,0),"n.a."))</f>
        <v>0</v>
      </c>
      <c r="P733" s="16">
        <f>IF(NOT(Paths!$C$73=1),0,IF(Paths!$P$73="Complete",O733+L733,"n.a."))</f>
        <v>0</v>
      </c>
      <c r="Q733" s="16">
        <f>IF(NOT(Paths!$C$73=1),0,IF(Paths!$P$73="Complete",N733*(1+'Operating costs'!$B$54)^-C733,"n.a."))</f>
        <v>0</v>
      </c>
      <c r="R733" s="16">
        <f>IF(NOT(Paths!$C$73=1),0,IF(Paths!$P$73="Complete",IF(AND(C733=0,Paths!$E$73=0),I733-J733-K733+VLOOKUP(A733,'Fleet register'!$A$7:$S$106,15,FALSE)+VLOOKUP(A733,'Fleet register'!$A$7:$S$106,16,FALSE),0),"n.a."))</f>
        <v>0</v>
      </c>
      <c r="S733" s="1">
        <f>IF(NOT(Paths!$C$73=1),0,IF(Paths!$P$73="Complete",IF(C733=0,0,Paths!$S$73*Paths!$R$73),"n.a."))</f>
        <v>0</v>
      </c>
      <c r="T733" s="1">
        <f>IF(NOT(Paths!$C$73=1),0,IF(Paths!$P$73="Complete",IF(C733=0,0,VLOOKUP(A733,'Fleet register'!$A$7:$S$106,9,FALSE)*Paths!$R$73),"n.a."))</f>
        <v>0</v>
      </c>
    </row>
    <row r="734" spans="1:20" ht="24" customHeight="1">
      <c r="A734" s="1" t="str">
        <f>Paths!$A$73</f>
        <v>T017</v>
      </c>
      <c r="B734" s="1">
        <f>Paths!$B$73</f>
        <v>2</v>
      </c>
      <c r="C734" s="1">
        <v>1</v>
      </c>
      <c r="D734" s="1">
        <v>73</v>
      </c>
      <c r="E734" s="1">
        <f>IF(OR(Paths!$C$73=0,C734=0),0,MAX(0,MIN(C734*12,Paths!$E$73)-(C734-1)*12))</f>
        <v>0</v>
      </c>
      <c r="F734" s="1">
        <f>IF(OR(Paths!$C$73=0,C734=0),0,12-E734)</f>
        <v>0</v>
      </c>
      <c r="G734" s="16">
        <f>IF(NOT(Paths!$C$73=1),0,IF(Paths!$P$73="Complete",E734/12*(Paths!$J$73*(1+'Operating costs'!$B$51)^MAX(0,C734-1)+Paths!$K$73*(1+'Operating costs'!$B$53)^MAX(0,C734-1)),"n.a."))</f>
        <v>0</v>
      </c>
      <c r="H734" s="16">
        <f>IF(NOT(Paths!$C$73=1),0,IF(Paths!$P$73="Complete",F734/12*(Paths!$L$73*(1+IF(Paths!$D$73="EV",'Operating costs'!$B$52,'Operating costs'!$B$51))^MAX(0,C734-1)+Paths!$M$73*(1+'Operating costs'!$B$53)^MAX(0,C734-1)),"n.a."))</f>
        <v>0</v>
      </c>
      <c r="I734" s="16">
        <f>IF(NOT(Paths!$C$73=1),0,IF(Paths!$P$73="Complete",IF(IF(Paths!$E$73=0,C734=0,AND(C734&gt;0,Paths!$E$73&gt;(C734-1)*12,Paths!$E$73&lt;=C734*12)),Paths!$G$73,0),"n.a."))</f>
        <v>0</v>
      </c>
      <c r="J734" s="16">
        <f>IF(NOT(Paths!$C$73=1),0,IF(Paths!$P$73="Complete",IF(IF(Paths!$E$73=0,C734=0,AND(C734&gt;0,Paths!$E$73&gt;(C734-1)*12,Paths!$E$73&lt;=C734*12)),Paths!$H$73,0),"n.a."))</f>
        <v>0</v>
      </c>
      <c r="K734" s="16">
        <f>IF(NOT(Paths!$C$73=1),0,IF(Paths!$P$73="Complete",IF(IF(Paths!$O$73=0,C734=0,AND(C734&gt;0,Paths!$O$73&gt;(C734-1)*12,Paths!$O$73&lt;=C734*12)),Paths!$N$73,0),"n.a."))</f>
        <v>0</v>
      </c>
      <c r="L734" s="16">
        <f>IF(NOT(Paths!$C$73=1),0,IF(Paths!$P$73="Complete",IF(C734=10,Paths!$I$73,0),"n.a."))</f>
        <v>0</v>
      </c>
      <c r="M734" s="16">
        <f>IF(NOT(Paths!$C$73=1),0,IF(Paths!$P$73="Complete",IF(AND(Paths!$D$73="EV",Paths!$E$73&lt;120,Paths!$E$73+'Operating costs'!$B$65&gt;Paths!$E$73,Paths!$E$73+'Operating costs'!$B$65&lt;=120,IF(Paths!$E$73+'Operating costs'!$B$65=0,C734=0,AND(C734&gt;0,Paths!$E$73+'Operating costs'!$B$65&gt;(C734-1)*12,Paths!$E$73+'Operating costs'!$B$65&lt;=C734*12))),'Operating costs'!$B$64,0)+IF(AND('Operating costs'!$B$67&gt;0,'Operating costs'!$B$67&lt;=120,OR(Paths!$D$73="ICE",'Operating costs'!$B$67&lt;=Paths!$E$73),IF('Operating costs'!$B$67=0,C734=0,AND(C734&gt;0,'Operating costs'!$B$67&gt;(C734-1)*12,'Operating costs'!$B$67&lt;=C734*12))),'Operating costs'!$B$66,0),"n.a."))</f>
        <v>0</v>
      </c>
      <c r="N734" s="16">
        <f>IF(NOT(Paths!$C$73=1),0,IF(Paths!$P$73="Complete",SUM(G734:I734)-J734-K734-L734+M734+IF(C734=0,Paths!$F$73,0)+IF(IF(Paths!$E$73=0,C734=0,AND(C734&gt;0,Paths!$E$73&gt;(C734-1)*12,Paths!$E$73&lt;=C734*12)),VLOOKUP(A734,'Fleet register'!$A$7:$S$106,16,FALSE),0),"n.a."))</f>
        <v>0</v>
      </c>
      <c r="O734" s="16">
        <f>IF(NOT(Paths!$C$73=1),0,IF(Paths!$P$73="Complete",N734-IF(C734=0,Paths!$F$73,0),"n.a."))</f>
        <v>0</v>
      </c>
      <c r="P734" s="16">
        <f>IF(NOT(Paths!$C$73=1),0,IF(Paths!$P$73="Complete",O734+L734,"n.a."))</f>
        <v>0</v>
      </c>
      <c r="Q734" s="16">
        <f>IF(NOT(Paths!$C$73=1),0,IF(Paths!$P$73="Complete",N734*(1+'Operating costs'!$B$54)^-C734,"n.a."))</f>
        <v>0</v>
      </c>
      <c r="R734" s="16">
        <f>IF(NOT(Paths!$C$73=1),0,IF(Paths!$P$73="Complete",IF(AND(C734=0,Paths!$E$73=0),I734-J734-K734+VLOOKUP(A734,'Fleet register'!$A$7:$S$106,15,FALSE)+VLOOKUP(A734,'Fleet register'!$A$7:$S$106,16,FALSE),0),"n.a."))</f>
        <v>0</v>
      </c>
      <c r="S734" s="1">
        <f>IF(NOT(Paths!$C$73=1),0,IF(Paths!$P$73="Complete",IF(C734=0,0,Paths!$S$73*Paths!$R$73),"n.a."))</f>
        <v>0</v>
      </c>
      <c r="T734" s="1">
        <f>IF(NOT(Paths!$C$73=1),0,IF(Paths!$P$73="Complete",IF(C734=0,0,VLOOKUP(A734,'Fleet register'!$A$7:$S$106,9,FALSE)*Paths!$R$73),"n.a."))</f>
        <v>0</v>
      </c>
    </row>
    <row r="735" spans="1:20" ht="24" customHeight="1">
      <c r="A735" s="1" t="str">
        <f>Paths!$A$73</f>
        <v>T017</v>
      </c>
      <c r="B735" s="1">
        <f>Paths!$B$73</f>
        <v>2</v>
      </c>
      <c r="C735" s="1">
        <v>2</v>
      </c>
      <c r="D735" s="1">
        <v>73</v>
      </c>
      <c r="E735" s="1">
        <f>IF(OR(Paths!$C$73=0,C735=0),0,MAX(0,MIN(C735*12,Paths!$E$73)-(C735-1)*12))</f>
        <v>0</v>
      </c>
      <c r="F735" s="1">
        <f>IF(OR(Paths!$C$73=0,C735=0),0,12-E735)</f>
        <v>0</v>
      </c>
      <c r="G735" s="16">
        <f>IF(NOT(Paths!$C$73=1),0,IF(Paths!$P$73="Complete",E735/12*(Paths!$J$73*(1+'Operating costs'!$B$51)^MAX(0,C735-1)+Paths!$K$73*(1+'Operating costs'!$B$53)^MAX(0,C735-1)),"n.a."))</f>
        <v>0</v>
      </c>
      <c r="H735" s="16">
        <f>IF(NOT(Paths!$C$73=1),0,IF(Paths!$P$73="Complete",F735/12*(Paths!$L$73*(1+IF(Paths!$D$73="EV",'Operating costs'!$B$52,'Operating costs'!$B$51))^MAX(0,C735-1)+Paths!$M$73*(1+'Operating costs'!$B$53)^MAX(0,C735-1)),"n.a."))</f>
        <v>0</v>
      </c>
      <c r="I735" s="16">
        <f>IF(NOT(Paths!$C$73=1),0,IF(Paths!$P$73="Complete",IF(IF(Paths!$E$73=0,C735=0,AND(C735&gt;0,Paths!$E$73&gt;(C735-1)*12,Paths!$E$73&lt;=C735*12)),Paths!$G$73,0),"n.a."))</f>
        <v>0</v>
      </c>
      <c r="J735" s="16">
        <f>IF(NOT(Paths!$C$73=1),0,IF(Paths!$P$73="Complete",IF(IF(Paths!$E$73=0,C735=0,AND(C735&gt;0,Paths!$E$73&gt;(C735-1)*12,Paths!$E$73&lt;=C735*12)),Paths!$H$73,0),"n.a."))</f>
        <v>0</v>
      </c>
      <c r="K735" s="16">
        <f>IF(NOT(Paths!$C$73=1),0,IF(Paths!$P$73="Complete",IF(IF(Paths!$O$73=0,C735=0,AND(C735&gt;0,Paths!$O$73&gt;(C735-1)*12,Paths!$O$73&lt;=C735*12)),Paths!$N$73,0),"n.a."))</f>
        <v>0</v>
      </c>
      <c r="L735" s="16">
        <f>IF(NOT(Paths!$C$73=1),0,IF(Paths!$P$73="Complete",IF(C735=10,Paths!$I$73,0),"n.a."))</f>
        <v>0</v>
      </c>
      <c r="M735" s="16">
        <f>IF(NOT(Paths!$C$73=1),0,IF(Paths!$P$73="Complete",IF(AND(Paths!$D$73="EV",Paths!$E$73&lt;120,Paths!$E$73+'Operating costs'!$B$65&gt;Paths!$E$73,Paths!$E$73+'Operating costs'!$B$65&lt;=120,IF(Paths!$E$73+'Operating costs'!$B$65=0,C735=0,AND(C735&gt;0,Paths!$E$73+'Operating costs'!$B$65&gt;(C735-1)*12,Paths!$E$73+'Operating costs'!$B$65&lt;=C735*12))),'Operating costs'!$B$64,0)+IF(AND('Operating costs'!$B$67&gt;0,'Operating costs'!$B$67&lt;=120,OR(Paths!$D$73="ICE",'Operating costs'!$B$67&lt;=Paths!$E$73),IF('Operating costs'!$B$67=0,C735=0,AND(C735&gt;0,'Operating costs'!$B$67&gt;(C735-1)*12,'Operating costs'!$B$67&lt;=C735*12))),'Operating costs'!$B$66,0),"n.a."))</f>
        <v>0</v>
      </c>
      <c r="N735" s="16">
        <f>IF(NOT(Paths!$C$73=1),0,IF(Paths!$P$73="Complete",SUM(G735:I735)-J735-K735-L735+M735+IF(C735=0,Paths!$F$73,0)+IF(IF(Paths!$E$73=0,C735=0,AND(C735&gt;0,Paths!$E$73&gt;(C735-1)*12,Paths!$E$73&lt;=C735*12)),VLOOKUP(A735,'Fleet register'!$A$7:$S$106,16,FALSE),0),"n.a."))</f>
        <v>0</v>
      </c>
      <c r="O735" s="16">
        <f>IF(NOT(Paths!$C$73=1),0,IF(Paths!$P$73="Complete",N735-IF(C735=0,Paths!$F$73,0),"n.a."))</f>
        <v>0</v>
      </c>
      <c r="P735" s="16">
        <f>IF(NOT(Paths!$C$73=1),0,IF(Paths!$P$73="Complete",O735+L735,"n.a."))</f>
        <v>0</v>
      </c>
      <c r="Q735" s="16">
        <f>IF(NOT(Paths!$C$73=1),0,IF(Paths!$P$73="Complete",N735*(1+'Operating costs'!$B$54)^-C735,"n.a."))</f>
        <v>0</v>
      </c>
      <c r="R735" s="16">
        <f>IF(NOT(Paths!$C$73=1),0,IF(Paths!$P$73="Complete",IF(AND(C735=0,Paths!$E$73=0),I735-J735-K735+VLOOKUP(A735,'Fleet register'!$A$7:$S$106,15,FALSE)+VLOOKUP(A735,'Fleet register'!$A$7:$S$106,16,FALSE),0),"n.a."))</f>
        <v>0</v>
      </c>
      <c r="S735" s="1">
        <f>IF(NOT(Paths!$C$73=1),0,IF(Paths!$P$73="Complete",IF(C735=0,0,Paths!$S$73*Paths!$R$73),"n.a."))</f>
        <v>0</v>
      </c>
      <c r="T735" s="1">
        <f>IF(NOT(Paths!$C$73=1),0,IF(Paths!$P$73="Complete",IF(C735=0,0,VLOOKUP(A735,'Fleet register'!$A$7:$S$106,9,FALSE)*Paths!$R$73),"n.a."))</f>
        <v>0</v>
      </c>
    </row>
    <row r="736" spans="1:20" ht="24" customHeight="1">
      <c r="A736" s="1" t="str">
        <f>Paths!$A$73</f>
        <v>T017</v>
      </c>
      <c r="B736" s="1">
        <f>Paths!$B$73</f>
        <v>2</v>
      </c>
      <c r="C736" s="1">
        <v>3</v>
      </c>
      <c r="D736" s="1">
        <v>73</v>
      </c>
      <c r="E736" s="1">
        <f>IF(OR(Paths!$C$73=0,C736=0),0,MAX(0,MIN(C736*12,Paths!$E$73)-(C736-1)*12))</f>
        <v>0</v>
      </c>
      <c r="F736" s="1">
        <f>IF(OR(Paths!$C$73=0,C736=0),0,12-E736)</f>
        <v>0</v>
      </c>
      <c r="G736" s="16">
        <f>IF(NOT(Paths!$C$73=1),0,IF(Paths!$P$73="Complete",E736/12*(Paths!$J$73*(1+'Operating costs'!$B$51)^MAX(0,C736-1)+Paths!$K$73*(1+'Operating costs'!$B$53)^MAX(0,C736-1)),"n.a."))</f>
        <v>0</v>
      </c>
      <c r="H736" s="16">
        <f>IF(NOT(Paths!$C$73=1),0,IF(Paths!$P$73="Complete",F736/12*(Paths!$L$73*(1+IF(Paths!$D$73="EV",'Operating costs'!$B$52,'Operating costs'!$B$51))^MAX(0,C736-1)+Paths!$M$73*(1+'Operating costs'!$B$53)^MAX(0,C736-1)),"n.a."))</f>
        <v>0</v>
      </c>
      <c r="I736" s="16">
        <f>IF(NOT(Paths!$C$73=1),0,IF(Paths!$P$73="Complete",IF(IF(Paths!$E$73=0,C736=0,AND(C736&gt;0,Paths!$E$73&gt;(C736-1)*12,Paths!$E$73&lt;=C736*12)),Paths!$G$73,0),"n.a."))</f>
        <v>0</v>
      </c>
      <c r="J736" s="16">
        <f>IF(NOT(Paths!$C$73=1),0,IF(Paths!$P$73="Complete",IF(IF(Paths!$E$73=0,C736=0,AND(C736&gt;0,Paths!$E$73&gt;(C736-1)*12,Paths!$E$73&lt;=C736*12)),Paths!$H$73,0),"n.a."))</f>
        <v>0</v>
      </c>
      <c r="K736" s="16">
        <f>IF(NOT(Paths!$C$73=1),0,IF(Paths!$P$73="Complete",IF(IF(Paths!$O$73=0,C736=0,AND(C736&gt;0,Paths!$O$73&gt;(C736-1)*12,Paths!$O$73&lt;=C736*12)),Paths!$N$73,0),"n.a."))</f>
        <v>0</v>
      </c>
      <c r="L736" s="16">
        <f>IF(NOT(Paths!$C$73=1),0,IF(Paths!$P$73="Complete",IF(C736=10,Paths!$I$73,0),"n.a."))</f>
        <v>0</v>
      </c>
      <c r="M736" s="16">
        <f>IF(NOT(Paths!$C$73=1),0,IF(Paths!$P$73="Complete",IF(AND(Paths!$D$73="EV",Paths!$E$73&lt;120,Paths!$E$73+'Operating costs'!$B$65&gt;Paths!$E$73,Paths!$E$73+'Operating costs'!$B$65&lt;=120,IF(Paths!$E$73+'Operating costs'!$B$65=0,C736=0,AND(C736&gt;0,Paths!$E$73+'Operating costs'!$B$65&gt;(C736-1)*12,Paths!$E$73+'Operating costs'!$B$65&lt;=C736*12))),'Operating costs'!$B$64,0)+IF(AND('Operating costs'!$B$67&gt;0,'Operating costs'!$B$67&lt;=120,OR(Paths!$D$73="ICE",'Operating costs'!$B$67&lt;=Paths!$E$73),IF('Operating costs'!$B$67=0,C736=0,AND(C736&gt;0,'Operating costs'!$B$67&gt;(C736-1)*12,'Operating costs'!$B$67&lt;=C736*12))),'Operating costs'!$B$66,0),"n.a."))</f>
        <v>0</v>
      </c>
      <c r="N736" s="16">
        <f>IF(NOT(Paths!$C$73=1),0,IF(Paths!$P$73="Complete",SUM(G736:I736)-J736-K736-L736+M736+IF(C736=0,Paths!$F$73,0)+IF(IF(Paths!$E$73=0,C736=0,AND(C736&gt;0,Paths!$E$73&gt;(C736-1)*12,Paths!$E$73&lt;=C736*12)),VLOOKUP(A736,'Fleet register'!$A$7:$S$106,16,FALSE),0),"n.a."))</f>
        <v>0</v>
      </c>
      <c r="O736" s="16">
        <f>IF(NOT(Paths!$C$73=1),0,IF(Paths!$P$73="Complete",N736-IF(C736=0,Paths!$F$73,0),"n.a."))</f>
        <v>0</v>
      </c>
      <c r="P736" s="16">
        <f>IF(NOT(Paths!$C$73=1),0,IF(Paths!$P$73="Complete",O736+L736,"n.a."))</f>
        <v>0</v>
      </c>
      <c r="Q736" s="16">
        <f>IF(NOT(Paths!$C$73=1),0,IF(Paths!$P$73="Complete",N736*(1+'Operating costs'!$B$54)^-C736,"n.a."))</f>
        <v>0</v>
      </c>
      <c r="R736" s="16">
        <f>IF(NOT(Paths!$C$73=1),0,IF(Paths!$P$73="Complete",IF(AND(C736=0,Paths!$E$73=0),I736-J736-K736+VLOOKUP(A736,'Fleet register'!$A$7:$S$106,15,FALSE)+VLOOKUP(A736,'Fleet register'!$A$7:$S$106,16,FALSE),0),"n.a."))</f>
        <v>0</v>
      </c>
      <c r="S736" s="1">
        <f>IF(NOT(Paths!$C$73=1),0,IF(Paths!$P$73="Complete",IF(C736=0,0,Paths!$S$73*Paths!$R$73),"n.a."))</f>
        <v>0</v>
      </c>
      <c r="T736" s="1">
        <f>IF(NOT(Paths!$C$73=1),0,IF(Paths!$P$73="Complete",IF(C736=0,0,VLOOKUP(A736,'Fleet register'!$A$7:$S$106,9,FALSE)*Paths!$R$73),"n.a."))</f>
        <v>0</v>
      </c>
    </row>
    <row r="737" spans="1:20" ht="24" customHeight="1">
      <c r="A737" s="1" t="str">
        <f>Paths!$A$73</f>
        <v>T017</v>
      </c>
      <c r="B737" s="1">
        <f>Paths!$B$73</f>
        <v>2</v>
      </c>
      <c r="C737" s="1">
        <v>4</v>
      </c>
      <c r="D737" s="1">
        <v>73</v>
      </c>
      <c r="E737" s="1">
        <f>IF(OR(Paths!$C$73=0,C737=0),0,MAX(0,MIN(C737*12,Paths!$E$73)-(C737-1)*12))</f>
        <v>0</v>
      </c>
      <c r="F737" s="1">
        <f>IF(OR(Paths!$C$73=0,C737=0),0,12-E737)</f>
        <v>0</v>
      </c>
      <c r="G737" s="16">
        <f>IF(NOT(Paths!$C$73=1),0,IF(Paths!$P$73="Complete",E737/12*(Paths!$J$73*(1+'Operating costs'!$B$51)^MAX(0,C737-1)+Paths!$K$73*(1+'Operating costs'!$B$53)^MAX(0,C737-1)),"n.a."))</f>
        <v>0</v>
      </c>
      <c r="H737" s="16">
        <f>IF(NOT(Paths!$C$73=1),0,IF(Paths!$P$73="Complete",F737/12*(Paths!$L$73*(1+IF(Paths!$D$73="EV",'Operating costs'!$B$52,'Operating costs'!$B$51))^MAX(0,C737-1)+Paths!$M$73*(1+'Operating costs'!$B$53)^MAX(0,C737-1)),"n.a."))</f>
        <v>0</v>
      </c>
      <c r="I737" s="16">
        <f>IF(NOT(Paths!$C$73=1),0,IF(Paths!$P$73="Complete",IF(IF(Paths!$E$73=0,C737=0,AND(C737&gt;0,Paths!$E$73&gt;(C737-1)*12,Paths!$E$73&lt;=C737*12)),Paths!$G$73,0),"n.a."))</f>
        <v>0</v>
      </c>
      <c r="J737" s="16">
        <f>IF(NOT(Paths!$C$73=1),0,IF(Paths!$P$73="Complete",IF(IF(Paths!$E$73=0,C737=0,AND(C737&gt;0,Paths!$E$73&gt;(C737-1)*12,Paths!$E$73&lt;=C737*12)),Paths!$H$73,0),"n.a."))</f>
        <v>0</v>
      </c>
      <c r="K737" s="16">
        <f>IF(NOT(Paths!$C$73=1),0,IF(Paths!$P$73="Complete",IF(IF(Paths!$O$73=0,C737=0,AND(C737&gt;0,Paths!$O$73&gt;(C737-1)*12,Paths!$O$73&lt;=C737*12)),Paths!$N$73,0),"n.a."))</f>
        <v>0</v>
      </c>
      <c r="L737" s="16">
        <f>IF(NOT(Paths!$C$73=1),0,IF(Paths!$P$73="Complete",IF(C737=10,Paths!$I$73,0),"n.a."))</f>
        <v>0</v>
      </c>
      <c r="M737" s="16">
        <f>IF(NOT(Paths!$C$73=1),0,IF(Paths!$P$73="Complete",IF(AND(Paths!$D$73="EV",Paths!$E$73&lt;120,Paths!$E$73+'Operating costs'!$B$65&gt;Paths!$E$73,Paths!$E$73+'Operating costs'!$B$65&lt;=120,IF(Paths!$E$73+'Operating costs'!$B$65=0,C737=0,AND(C737&gt;0,Paths!$E$73+'Operating costs'!$B$65&gt;(C737-1)*12,Paths!$E$73+'Operating costs'!$B$65&lt;=C737*12))),'Operating costs'!$B$64,0)+IF(AND('Operating costs'!$B$67&gt;0,'Operating costs'!$B$67&lt;=120,OR(Paths!$D$73="ICE",'Operating costs'!$B$67&lt;=Paths!$E$73),IF('Operating costs'!$B$67=0,C737=0,AND(C737&gt;0,'Operating costs'!$B$67&gt;(C737-1)*12,'Operating costs'!$B$67&lt;=C737*12))),'Operating costs'!$B$66,0),"n.a."))</f>
        <v>0</v>
      </c>
      <c r="N737" s="16">
        <f>IF(NOT(Paths!$C$73=1),0,IF(Paths!$P$73="Complete",SUM(G737:I737)-J737-K737-L737+M737+IF(C737=0,Paths!$F$73,0)+IF(IF(Paths!$E$73=0,C737=0,AND(C737&gt;0,Paths!$E$73&gt;(C737-1)*12,Paths!$E$73&lt;=C737*12)),VLOOKUP(A737,'Fleet register'!$A$7:$S$106,16,FALSE),0),"n.a."))</f>
        <v>0</v>
      </c>
      <c r="O737" s="16">
        <f>IF(NOT(Paths!$C$73=1),0,IF(Paths!$P$73="Complete",N737-IF(C737=0,Paths!$F$73,0),"n.a."))</f>
        <v>0</v>
      </c>
      <c r="P737" s="16">
        <f>IF(NOT(Paths!$C$73=1),0,IF(Paths!$P$73="Complete",O737+L737,"n.a."))</f>
        <v>0</v>
      </c>
      <c r="Q737" s="16">
        <f>IF(NOT(Paths!$C$73=1),0,IF(Paths!$P$73="Complete",N737*(1+'Operating costs'!$B$54)^-C737,"n.a."))</f>
        <v>0</v>
      </c>
      <c r="R737" s="16">
        <f>IF(NOT(Paths!$C$73=1),0,IF(Paths!$P$73="Complete",IF(AND(C737=0,Paths!$E$73=0),I737-J737-K737+VLOOKUP(A737,'Fleet register'!$A$7:$S$106,15,FALSE)+VLOOKUP(A737,'Fleet register'!$A$7:$S$106,16,FALSE),0),"n.a."))</f>
        <v>0</v>
      </c>
      <c r="S737" s="1">
        <f>IF(NOT(Paths!$C$73=1),0,IF(Paths!$P$73="Complete",IF(C737=0,0,Paths!$S$73*Paths!$R$73),"n.a."))</f>
        <v>0</v>
      </c>
      <c r="T737" s="1">
        <f>IF(NOT(Paths!$C$73=1),0,IF(Paths!$P$73="Complete",IF(C737=0,0,VLOOKUP(A737,'Fleet register'!$A$7:$S$106,9,FALSE)*Paths!$R$73),"n.a."))</f>
        <v>0</v>
      </c>
    </row>
    <row r="738" spans="1:20" ht="24" customHeight="1">
      <c r="A738" s="1" t="str">
        <f>Paths!$A$73</f>
        <v>T017</v>
      </c>
      <c r="B738" s="1">
        <f>Paths!$B$73</f>
        <v>2</v>
      </c>
      <c r="C738" s="1">
        <v>5</v>
      </c>
      <c r="D738" s="1">
        <v>73</v>
      </c>
      <c r="E738" s="1">
        <f>IF(OR(Paths!$C$73=0,C738=0),0,MAX(0,MIN(C738*12,Paths!$E$73)-(C738-1)*12))</f>
        <v>0</v>
      </c>
      <c r="F738" s="1">
        <f>IF(OR(Paths!$C$73=0,C738=0),0,12-E738)</f>
        <v>0</v>
      </c>
      <c r="G738" s="16">
        <f>IF(NOT(Paths!$C$73=1),0,IF(Paths!$P$73="Complete",E738/12*(Paths!$J$73*(1+'Operating costs'!$B$51)^MAX(0,C738-1)+Paths!$K$73*(1+'Operating costs'!$B$53)^MAX(0,C738-1)),"n.a."))</f>
        <v>0</v>
      </c>
      <c r="H738" s="16">
        <f>IF(NOT(Paths!$C$73=1),0,IF(Paths!$P$73="Complete",F738/12*(Paths!$L$73*(1+IF(Paths!$D$73="EV",'Operating costs'!$B$52,'Operating costs'!$B$51))^MAX(0,C738-1)+Paths!$M$73*(1+'Operating costs'!$B$53)^MAX(0,C738-1)),"n.a."))</f>
        <v>0</v>
      </c>
      <c r="I738" s="16">
        <f>IF(NOT(Paths!$C$73=1),0,IF(Paths!$P$73="Complete",IF(IF(Paths!$E$73=0,C738=0,AND(C738&gt;0,Paths!$E$73&gt;(C738-1)*12,Paths!$E$73&lt;=C738*12)),Paths!$G$73,0),"n.a."))</f>
        <v>0</v>
      </c>
      <c r="J738" s="16">
        <f>IF(NOT(Paths!$C$73=1),0,IF(Paths!$P$73="Complete",IF(IF(Paths!$E$73=0,C738=0,AND(C738&gt;0,Paths!$E$73&gt;(C738-1)*12,Paths!$E$73&lt;=C738*12)),Paths!$H$73,0),"n.a."))</f>
        <v>0</v>
      </c>
      <c r="K738" s="16">
        <f>IF(NOT(Paths!$C$73=1),0,IF(Paths!$P$73="Complete",IF(IF(Paths!$O$73=0,C738=0,AND(C738&gt;0,Paths!$O$73&gt;(C738-1)*12,Paths!$O$73&lt;=C738*12)),Paths!$N$73,0),"n.a."))</f>
        <v>0</v>
      </c>
      <c r="L738" s="16">
        <f>IF(NOT(Paths!$C$73=1),0,IF(Paths!$P$73="Complete",IF(C738=10,Paths!$I$73,0),"n.a."))</f>
        <v>0</v>
      </c>
      <c r="M738" s="16">
        <f>IF(NOT(Paths!$C$73=1),0,IF(Paths!$P$73="Complete",IF(AND(Paths!$D$73="EV",Paths!$E$73&lt;120,Paths!$E$73+'Operating costs'!$B$65&gt;Paths!$E$73,Paths!$E$73+'Operating costs'!$B$65&lt;=120,IF(Paths!$E$73+'Operating costs'!$B$65=0,C738=0,AND(C738&gt;0,Paths!$E$73+'Operating costs'!$B$65&gt;(C738-1)*12,Paths!$E$73+'Operating costs'!$B$65&lt;=C738*12))),'Operating costs'!$B$64,0)+IF(AND('Operating costs'!$B$67&gt;0,'Operating costs'!$B$67&lt;=120,OR(Paths!$D$73="ICE",'Operating costs'!$B$67&lt;=Paths!$E$73),IF('Operating costs'!$B$67=0,C738=0,AND(C738&gt;0,'Operating costs'!$B$67&gt;(C738-1)*12,'Operating costs'!$B$67&lt;=C738*12))),'Operating costs'!$B$66,0),"n.a."))</f>
        <v>0</v>
      </c>
      <c r="N738" s="16">
        <f>IF(NOT(Paths!$C$73=1),0,IF(Paths!$P$73="Complete",SUM(G738:I738)-J738-K738-L738+M738+IF(C738=0,Paths!$F$73,0)+IF(IF(Paths!$E$73=0,C738=0,AND(C738&gt;0,Paths!$E$73&gt;(C738-1)*12,Paths!$E$73&lt;=C738*12)),VLOOKUP(A738,'Fleet register'!$A$7:$S$106,16,FALSE),0),"n.a."))</f>
        <v>0</v>
      </c>
      <c r="O738" s="16">
        <f>IF(NOT(Paths!$C$73=1),0,IF(Paths!$P$73="Complete",N738-IF(C738=0,Paths!$F$73,0),"n.a."))</f>
        <v>0</v>
      </c>
      <c r="P738" s="16">
        <f>IF(NOT(Paths!$C$73=1),0,IF(Paths!$P$73="Complete",O738+L738,"n.a."))</f>
        <v>0</v>
      </c>
      <c r="Q738" s="16">
        <f>IF(NOT(Paths!$C$73=1),0,IF(Paths!$P$73="Complete",N738*(1+'Operating costs'!$B$54)^-C738,"n.a."))</f>
        <v>0</v>
      </c>
      <c r="R738" s="16">
        <f>IF(NOT(Paths!$C$73=1),0,IF(Paths!$P$73="Complete",IF(AND(C738=0,Paths!$E$73=0),I738-J738-K738+VLOOKUP(A738,'Fleet register'!$A$7:$S$106,15,FALSE)+VLOOKUP(A738,'Fleet register'!$A$7:$S$106,16,FALSE),0),"n.a."))</f>
        <v>0</v>
      </c>
      <c r="S738" s="1">
        <f>IF(NOT(Paths!$C$73=1),0,IF(Paths!$P$73="Complete",IF(C738=0,0,Paths!$S$73*Paths!$R$73),"n.a."))</f>
        <v>0</v>
      </c>
      <c r="T738" s="1">
        <f>IF(NOT(Paths!$C$73=1),0,IF(Paths!$P$73="Complete",IF(C738=0,0,VLOOKUP(A738,'Fleet register'!$A$7:$S$106,9,FALSE)*Paths!$R$73),"n.a."))</f>
        <v>0</v>
      </c>
    </row>
    <row r="739" spans="1:20" ht="24" customHeight="1">
      <c r="A739" s="1" t="str">
        <f>Paths!$A$73</f>
        <v>T017</v>
      </c>
      <c r="B739" s="1">
        <f>Paths!$B$73</f>
        <v>2</v>
      </c>
      <c r="C739" s="1">
        <v>6</v>
      </c>
      <c r="D739" s="1">
        <v>73</v>
      </c>
      <c r="E739" s="1">
        <f>IF(OR(Paths!$C$73=0,C739=0),0,MAX(0,MIN(C739*12,Paths!$E$73)-(C739-1)*12))</f>
        <v>0</v>
      </c>
      <c r="F739" s="1">
        <f>IF(OR(Paths!$C$73=0,C739=0),0,12-E739)</f>
        <v>0</v>
      </c>
      <c r="G739" s="16">
        <f>IF(NOT(Paths!$C$73=1),0,IF(Paths!$P$73="Complete",E739/12*(Paths!$J$73*(1+'Operating costs'!$B$51)^MAX(0,C739-1)+Paths!$K$73*(1+'Operating costs'!$B$53)^MAX(0,C739-1)),"n.a."))</f>
        <v>0</v>
      </c>
      <c r="H739" s="16">
        <f>IF(NOT(Paths!$C$73=1),0,IF(Paths!$P$73="Complete",F739/12*(Paths!$L$73*(1+IF(Paths!$D$73="EV",'Operating costs'!$B$52,'Operating costs'!$B$51))^MAX(0,C739-1)+Paths!$M$73*(1+'Operating costs'!$B$53)^MAX(0,C739-1)),"n.a."))</f>
        <v>0</v>
      </c>
      <c r="I739" s="16">
        <f>IF(NOT(Paths!$C$73=1),0,IF(Paths!$P$73="Complete",IF(IF(Paths!$E$73=0,C739=0,AND(C739&gt;0,Paths!$E$73&gt;(C739-1)*12,Paths!$E$73&lt;=C739*12)),Paths!$G$73,0),"n.a."))</f>
        <v>0</v>
      </c>
      <c r="J739" s="16">
        <f>IF(NOT(Paths!$C$73=1),0,IF(Paths!$P$73="Complete",IF(IF(Paths!$E$73=0,C739=0,AND(C739&gt;0,Paths!$E$73&gt;(C739-1)*12,Paths!$E$73&lt;=C739*12)),Paths!$H$73,0),"n.a."))</f>
        <v>0</v>
      </c>
      <c r="K739" s="16">
        <f>IF(NOT(Paths!$C$73=1),0,IF(Paths!$P$73="Complete",IF(IF(Paths!$O$73=0,C739=0,AND(C739&gt;0,Paths!$O$73&gt;(C739-1)*12,Paths!$O$73&lt;=C739*12)),Paths!$N$73,0),"n.a."))</f>
        <v>0</v>
      </c>
      <c r="L739" s="16">
        <f>IF(NOT(Paths!$C$73=1),0,IF(Paths!$P$73="Complete",IF(C739=10,Paths!$I$73,0),"n.a."))</f>
        <v>0</v>
      </c>
      <c r="M739" s="16">
        <f>IF(NOT(Paths!$C$73=1),0,IF(Paths!$P$73="Complete",IF(AND(Paths!$D$73="EV",Paths!$E$73&lt;120,Paths!$E$73+'Operating costs'!$B$65&gt;Paths!$E$73,Paths!$E$73+'Operating costs'!$B$65&lt;=120,IF(Paths!$E$73+'Operating costs'!$B$65=0,C739=0,AND(C739&gt;0,Paths!$E$73+'Operating costs'!$B$65&gt;(C739-1)*12,Paths!$E$73+'Operating costs'!$B$65&lt;=C739*12))),'Operating costs'!$B$64,0)+IF(AND('Operating costs'!$B$67&gt;0,'Operating costs'!$B$67&lt;=120,OR(Paths!$D$73="ICE",'Operating costs'!$B$67&lt;=Paths!$E$73),IF('Operating costs'!$B$67=0,C739=0,AND(C739&gt;0,'Operating costs'!$B$67&gt;(C739-1)*12,'Operating costs'!$B$67&lt;=C739*12))),'Operating costs'!$B$66,0),"n.a."))</f>
        <v>0</v>
      </c>
      <c r="N739" s="16">
        <f>IF(NOT(Paths!$C$73=1),0,IF(Paths!$P$73="Complete",SUM(G739:I739)-J739-K739-L739+M739+IF(C739=0,Paths!$F$73,0)+IF(IF(Paths!$E$73=0,C739=0,AND(C739&gt;0,Paths!$E$73&gt;(C739-1)*12,Paths!$E$73&lt;=C739*12)),VLOOKUP(A739,'Fleet register'!$A$7:$S$106,16,FALSE),0),"n.a."))</f>
        <v>0</v>
      </c>
      <c r="O739" s="16">
        <f>IF(NOT(Paths!$C$73=1),0,IF(Paths!$P$73="Complete",N739-IF(C739=0,Paths!$F$73,0),"n.a."))</f>
        <v>0</v>
      </c>
      <c r="P739" s="16">
        <f>IF(NOT(Paths!$C$73=1),0,IF(Paths!$P$73="Complete",O739+L739,"n.a."))</f>
        <v>0</v>
      </c>
      <c r="Q739" s="16">
        <f>IF(NOT(Paths!$C$73=1),0,IF(Paths!$P$73="Complete",N739*(1+'Operating costs'!$B$54)^-C739,"n.a."))</f>
        <v>0</v>
      </c>
      <c r="R739" s="16">
        <f>IF(NOT(Paths!$C$73=1),0,IF(Paths!$P$73="Complete",IF(AND(C739=0,Paths!$E$73=0),I739-J739-K739+VLOOKUP(A739,'Fleet register'!$A$7:$S$106,15,FALSE)+VLOOKUP(A739,'Fleet register'!$A$7:$S$106,16,FALSE),0),"n.a."))</f>
        <v>0</v>
      </c>
      <c r="S739" s="1">
        <f>IF(NOT(Paths!$C$73=1),0,IF(Paths!$P$73="Complete",IF(C739=0,0,Paths!$S$73*Paths!$R$73),"n.a."))</f>
        <v>0</v>
      </c>
      <c r="T739" s="1">
        <f>IF(NOT(Paths!$C$73=1),0,IF(Paths!$P$73="Complete",IF(C739=0,0,VLOOKUP(A739,'Fleet register'!$A$7:$S$106,9,FALSE)*Paths!$R$73),"n.a."))</f>
        <v>0</v>
      </c>
    </row>
    <row r="740" spans="1:20" ht="24" customHeight="1">
      <c r="A740" s="1" t="str">
        <f>Paths!$A$73</f>
        <v>T017</v>
      </c>
      <c r="B740" s="1">
        <f>Paths!$B$73</f>
        <v>2</v>
      </c>
      <c r="C740" s="1">
        <v>7</v>
      </c>
      <c r="D740" s="1">
        <v>73</v>
      </c>
      <c r="E740" s="1">
        <f>IF(OR(Paths!$C$73=0,C740=0),0,MAX(0,MIN(C740*12,Paths!$E$73)-(C740-1)*12))</f>
        <v>0</v>
      </c>
      <c r="F740" s="1">
        <f>IF(OR(Paths!$C$73=0,C740=0),0,12-E740)</f>
        <v>0</v>
      </c>
      <c r="G740" s="16">
        <f>IF(NOT(Paths!$C$73=1),0,IF(Paths!$P$73="Complete",E740/12*(Paths!$J$73*(1+'Operating costs'!$B$51)^MAX(0,C740-1)+Paths!$K$73*(1+'Operating costs'!$B$53)^MAX(0,C740-1)),"n.a."))</f>
        <v>0</v>
      </c>
      <c r="H740" s="16">
        <f>IF(NOT(Paths!$C$73=1),0,IF(Paths!$P$73="Complete",F740/12*(Paths!$L$73*(1+IF(Paths!$D$73="EV",'Operating costs'!$B$52,'Operating costs'!$B$51))^MAX(0,C740-1)+Paths!$M$73*(1+'Operating costs'!$B$53)^MAX(0,C740-1)),"n.a."))</f>
        <v>0</v>
      </c>
      <c r="I740" s="16">
        <f>IF(NOT(Paths!$C$73=1),0,IF(Paths!$P$73="Complete",IF(IF(Paths!$E$73=0,C740=0,AND(C740&gt;0,Paths!$E$73&gt;(C740-1)*12,Paths!$E$73&lt;=C740*12)),Paths!$G$73,0),"n.a."))</f>
        <v>0</v>
      </c>
      <c r="J740" s="16">
        <f>IF(NOT(Paths!$C$73=1),0,IF(Paths!$P$73="Complete",IF(IF(Paths!$E$73=0,C740=0,AND(C740&gt;0,Paths!$E$73&gt;(C740-1)*12,Paths!$E$73&lt;=C740*12)),Paths!$H$73,0),"n.a."))</f>
        <v>0</v>
      </c>
      <c r="K740" s="16">
        <f>IF(NOT(Paths!$C$73=1),0,IF(Paths!$P$73="Complete",IF(IF(Paths!$O$73=0,C740=0,AND(C740&gt;0,Paths!$O$73&gt;(C740-1)*12,Paths!$O$73&lt;=C740*12)),Paths!$N$73,0),"n.a."))</f>
        <v>0</v>
      </c>
      <c r="L740" s="16">
        <f>IF(NOT(Paths!$C$73=1),0,IF(Paths!$P$73="Complete",IF(C740=10,Paths!$I$73,0),"n.a."))</f>
        <v>0</v>
      </c>
      <c r="M740" s="16">
        <f>IF(NOT(Paths!$C$73=1),0,IF(Paths!$P$73="Complete",IF(AND(Paths!$D$73="EV",Paths!$E$73&lt;120,Paths!$E$73+'Operating costs'!$B$65&gt;Paths!$E$73,Paths!$E$73+'Operating costs'!$B$65&lt;=120,IF(Paths!$E$73+'Operating costs'!$B$65=0,C740=0,AND(C740&gt;0,Paths!$E$73+'Operating costs'!$B$65&gt;(C740-1)*12,Paths!$E$73+'Operating costs'!$B$65&lt;=C740*12))),'Operating costs'!$B$64,0)+IF(AND('Operating costs'!$B$67&gt;0,'Operating costs'!$B$67&lt;=120,OR(Paths!$D$73="ICE",'Operating costs'!$B$67&lt;=Paths!$E$73),IF('Operating costs'!$B$67=0,C740=0,AND(C740&gt;0,'Operating costs'!$B$67&gt;(C740-1)*12,'Operating costs'!$B$67&lt;=C740*12))),'Operating costs'!$B$66,0),"n.a."))</f>
        <v>0</v>
      </c>
      <c r="N740" s="16">
        <f>IF(NOT(Paths!$C$73=1),0,IF(Paths!$P$73="Complete",SUM(G740:I740)-J740-K740-L740+M740+IF(C740=0,Paths!$F$73,0)+IF(IF(Paths!$E$73=0,C740=0,AND(C740&gt;0,Paths!$E$73&gt;(C740-1)*12,Paths!$E$73&lt;=C740*12)),VLOOKUP(A740,'Fleet register'!$A$7:$S$106,16,FALSE),0),"n.a."))</f>
        <v>0</v>
      </c>
      <c r="O740" s="16">
        <f>IF(NOT(Paths!$C$73=1),0,IF(Paths!$P$73="Complete",N740-IF(C740=0,Paths!$F$73,0),"n.a."))</f>
        <v>0</v>
      </c>
      <c r="P740" s="16">
        <f>IF(NOT(Paths!$C$73=1),0,IF(Paths!$P$73="Complete",O740+L740,"n.a."))</f>
        <v>0</v>
      </c>
      <c r="Q740" s="16">
        <f>IF(NOT(Paths!$C$73=1),0,IF(Paths!$P$73="Complete",N740*(1+'Operating costs'!$B$54)^-C740,"n.a."))</f>
        <v>0</v>
      </c>
      <c r="R740" s="16">
        <f>IF(NOT(Paths!$C$73=1),0,IF(Paths!$P$73="Complete",IF(AND(C740=0,Paths!$E$73=0),I740-J740-K740+VLOOKUP(A740,'Fleet register'!$A$7:$S$106,15,FALSE)+VLOOKUP(A740,'Fleet register'!$A$7:$S$106,16,FALSE),0),"n.a."))</f>
        <v>0</v>
      </c>
      <c r="S740" s="1">
        <f>IF(NOT(Paths!$C$73=1),0,IF(Paths!$P$73="Complete",IF(C740=0,0,Paths!$S$73*Paths!$R$73),"n.a."))</f>
        <v>0</v>
      </c>
      <c r="T740" s="1">
        <f>IF(NOT(Paths!$C$73=1),0,IF(Paths!$P$73="Complete",IF(C740=0,0,VLOOKUP(A740,'Fleet register'!$A$7:$S$106,9,FALSE)*Paths!$R$73),"n.a."))</f>
        <v>0</v>
      </c>
    </row>
    <row r="741" spans="1:20" ht="24" customHeight="1">
      <c r="A741" s="1" t="str">
        <f>Paths!$A$73</f>
        <v>T017</v>
      </c>
      <c r="B741" s="1">
        <f>Paths!$B$73</f>
        <v>2</v>
      </c>
      <c r="C741" s="1">
        <v>8</v>
      </c>
      <c r="D741" s="1">
        <v>73</v>
      </c>
      <c r="E741" s="1">
        <f>IF(OR(Paths!$C$73=0,C741=0),0,MAX(0,MIN(C741*12,Paths!$E$73)-(C741-1)*12))</f>
        <v>0</v>
      </c>
      <c r="F741" s="1">
        <f>IF(OR(Paths!$C$73=0,C741=0),0,12-E741)</f>
        <v>0</v>
      </c>
      <c r="G741" s="16">
        <f>IF(NOT(Paths!$C$73=1),0,IF(Paths!$P$73="Complete",E741/12*(Paths!$J$73*(1+'Operating costs'!$B$51)^MAX(0,C741-1)+Paths!$K$73*(1+'Operating costs'!$B$53)^MAX(0,C741-1)),"n.a."))</f>
        <v>0</v>
      </c>
      <c r="H741" s="16">
        <f>IF(NOT(Paths!$C$73=1),0,IF(Paths!$P$73="Complete",F741/12*(Paths!$L$73*(1+IF(Paths!$D$73="EV",'Operating costs'!$B$52,'Operating costs'!$B$51))^MAX(0,C741-1)+Paths!$M$73*(1+'Operating costs'!$B$53)^MAX(0,C741-1)),"n.a."))</f>
        <v>0</v>
      </c>
      <c r="I741" s="16">
        <f>IF(NOT(Paths!$C$73=1),0,IF(Paths!$P$73="Complete",IF(IF(Paths!$E$73=0,C741=0,AND(C741&gt;0,Paths!$E$73&gt;(C741-1)*12,Paths!$E$73&lt;=C741*12)),Paths!$G$73,0),"n.a."))</f>
        <v>0</v>
      </c>
      <c r="J741" s="16">
        <f>IF(NOT(Paths!$C$73=1),0,IF(Paths!$P$73="Complete",IF(IF(Paths!$E$73=0,C741=0,AND(C741&gt;0,Paths!$E$73&gt;(C741-1)*12,Paths!$E$73&lt;=C741*12)),Paths!$H$73,0),"n.a."))</f>
        <v>0</v>
      </c>
      <c r="K741" s="16">
        <f>IF(NOT(Paths!$C$73=1),0,IF(Paths!$P$73="Complete",IF(IF(Paths!$O$73=0,C741=0,AND(C741&gt;0,Paths!$O$73&gt;(C741-1)*12,Paths!$O$73&lt;=C741*12)),Paths!$N$73,0),"n.a."))</f>
        <v>0</v>
      </c>
      <c r="L741" s="16">
        <f>IF(NOT(Paths!$C$73=1),0,IF(Paths!$P$73="Complete",IF(C741=10,Paths!$I$73,0),"n.a."))</f>
        <v>0</v>
      </c>
      <c r="M741" s="16">
        <f>IF(NOT(Paths!$C$73=1),0,IF(Paths!$P$73="Complete",IF(AND(Paths!$D$73="EV",Paths!$E$73&lt;120,Paths!$E$73+'Operating costs'!$B$65&gt;Paths!$E$73,Paths!$E$73+'Operating costs'!$B$65&lt;=120,IF(Paths!$E$73+'Operating costs'!$B$65=0,C741=0,AND(C741&gt;0,Paths!$E$73+'Operating costs'!$B$65&gt;(C741-1)*12,Paths!$E$73+'Operating costs'!$B$65&lt;=C741*12))),'Operating costs'!$B$64,0)+IF(AND('Operating costs'!$B$67&gt;0,'Operating costs'!$B$67&lt;=120,OR(Paths!$D$73="ICE",'Operating costs'!$B$67&lt;=Paths!$E$73),IF('Operating costs'!$B$67=0,C741=0,AND(C741&gt;0,'Operating costs'!$B$67&gt;(C741-1)*12,'Operating costs'!$B$67&lt;=C741*12))),'Operating costs'!$B$66,0),"n.a."))</f>
        <v>0</v>
      </c>
      <c r="N741" s="16">
        <f>IF(NOT(Paths!$C$73=1),0,IF(Paths!$P$73="Complete",SUM(G741:I741)-J741-K741-L741+M741+IF(C741=0,Paths!$F$73,0)+IF(IF(Paths!$E$73=0,C741=0,AND(C741&gt;0,Paths!$E$73&gt;(C741-1)*12,Paths!$E$73&lt;=C741*12)),VLOOKUP(A741,'Fleet register'!$A$7:$S$106,16,FALSE),0),"n.a."))</f>
        <v>0</v>
      </c>
      <c r="O741" s="16">
        <f>IF(NOT(Paths!$C$73=1),0,IF(Paths!$P$73="Complete",N741-IF(C741=0,Paths!$F$73,0),"n.a."))</f>
        <v>0</v>
      </c>
      <c r="P741" s="16">
        <f>IF(NOT(Paths!$C$73=1),0,IF(Paths!$P$73="Complete",O741+L741,"n.a."))</f>
        <v>0</v>
      </c>
      <c r="Q741" s="16">
        <f>IF(NOT(Paths!$C$73=1),0,IF(Paths!$P$73="Complete",N741*(1+'Operating costs'!$B$54)^-C741,"n.a."))</f>
        <v>0</v>
      </c>
      <c r="R741" s="16">
        <f>IF(NOT(Paths!$C$73=1),0,IF(Paths!$P$73="Complete",IF(AND(C741=0,Paths!$E$73=0),I741-J741-K741+VLOOKUP(A741,'Fleet register'!$A$7:$S$106,15,FALSE)+VLOOKUP(A741,'Fleet register'!$A$7:$S$106,16,FALSE),0),"n.a."))</f>
        <v>0</v>
      </c>
      <c r="S741" s="1">
        <f>IF(NOT(Paths!$C$73=1),0,IF(Paths!$P$73="Complete",IF(C741=0,0,Paths!$S$73*Paths!$R$73),"n.a."))</f>
        <v>0</v>
      </c>
      <c r="T741" s="1">
        <f>IF(NOT(Paths!$C$73=1),0,IF(Paths!$P$73="Complete",IF(C741=0,0,VLOOKUP(A741,'Fleet register'!$A$7:$S$106,9,FALSE)*Paths!$R$73),"n.a."))</f>
        <v>0</v>
      </c>
    </row>
    <row r="742" spans="1:20" ht="24" customHeight="1">
      <c r="A742" s="1" t="str">
        <f>Paths!$A$73</f>
        <v>T017</v>
      </c>
      <c r="B742" s="1">
        <f>Paths!$B$73</f>
        <v>2</v>
      </c>
      <c r="C742" s="1">
        <v>9</v>
      </c>
      <c r="D742" s="1">
        <v>73</v>
      </c>
      <c r="E742" s="1">
        <f>IF(OR(Paths!$C$73=0,C742=0),0,MAX(0,MIN(C742*12,Paths!$E$73)-(C742-1)*12))</f>
        <v>0</v>
      </c>
      <c r="F742" s="1">
        <f>IF(OR(Paths!$C$73=0,C742=0),0,12-E742)</f>
        <v>0</v>
      </c>
      <c r="G742" s="16">
        <f>IF(NOT(Paths!$C$73=1),0,IF(Paths!$P$73="Complete",E742/12*(Paths!$J$73*(1+'Operating costs'!$B$51)^MAX(0,C742-1)+Paths!$K$73*(1+'Operating costs'!$B$53)^MAX(0,C742-1)),"n.a."))</f>
        <v>0</v>
      </c>
      <c r="H742" s="16">
        <f>IF(NOT(Paths!$C$73=1),0,IF(Paths!$P$73="Complete",F742/12*(Paths!$L$73*(1+IF(Paths!$D$73="EV",'Operating costs'!$B$52,'Operating costs'!$B$51))^MAX(0,C742-1)+Paths!$M$73*(1+'Operating costs'!$B$53)^MAX(0,C742-1)),"n.a."))</f>
        <v>0</v>
      </c>
      <c r="I742" s="16">
        <f>IF(NOT(Paths!$C$73=1),0,IF(Paths!$P$73="Complete",IF(IF(Paths!$E$73=0,C742=0,AND(C742&gt;0,Paths!$E$73&gt;(C742-1)*12,Paths!$E$73&lt;=C742*12)),Paths!$G$73,0),"n.a."))</f>
        <v>0</v>
      </c>
      <c r="J742" s="16">
        <f>IF(NOT(Paths!$C$73=1),0,IF(Paths!$P$73="Complete",IF(IF(Paths!$E$73=0,C742=0,AND(C742&gt;0,Paths!$E$73&gt;(C742-1)*12,Paths!$E$73&lt;=C742*12)),Paths!$H$73,0),"n.a."))</f>
        <v>0</v>
      </c>
      <c r="K742" s="16">
        <f>IF(NOT(Paths!$C$73=1),0,IF(Paths!$P$73="Complete",IF(IF(Paths!$O$73=0,C742=0,AND(C742&gt;0,Paths!$O$73&gt;(C742-1)*12,Paths!$O$73&lt;=C742*12)),Paths!$N$73,0),"n.a."))</f>
        <v>0</v>
      </c>
      <c r="L742" s="16">
        <f>IF(NOT(Paths!$C$73=1),0,IF(Paths!$P$73="Complete",IF(C742=10,Paths!$I$73,0),"n.a."))</f>
        <v>0</v>
      </c>
      <c r="M742" s="16">
        <f>IF(NOT(Paths!$C$73=1),0,IF(Paths!$P$73="Complete",IF(AND(Paths!$D$73="EV",Paths!$E$73&lt;120,Paths!$E$73+'Operating costs'!$B$65&gt;Paths!$E$73,Paths!$E$73+'Operating costs'!$B$65&lt;=120,IF(Paths!$E$73+'Operating costs'!$B$65=0,C742=0,AND(C742&gt;0,Paths!$E$73+'Operating costs'!$B$65&gt;(C742-1)*12,Paths!$E$73+'Operating costs'!$B$65&lt;=C742*12))),'Operating costs'!$B$64,0)+IF(AND('Operating costs'!$B$67&gt;0,'Operating costs'!$B$67&lt;=120,OR(Paths!$D$73="ICE",'Operating costs'!$B$67&lt;=Paths!$E$73),IF('Operating costs'!$B$67=0,C742=0,AND(C742&gt;0,'Operating costs'!$B$67&gt;(C742-1)*12,'Operating costs'!$B$67&lt;=C742*12))),'Operating costs'!$B$66,0),"n.a."))</f>
        <v>0</v>
      </c>
      <c r="N742" s="16">
        <f>IF(NOT(Paths!$C$73=1),0,IF(Paths!$P$73="Complete",SUM(G742:I742)-J742-K742-L742+M742+IF(C742=0,Paths!$F$73,0)+IF(IF(Paths!$E$73=0,C742=0,AND(C742&gt;0,Paths!$E$73&gt;(C742-1)*12,Paths!$E$73&lt;=C742*12)),VLOOKUP(A742,'Fleet register'!$A$7:$S$106,16,FALSE),0),"n.a."))</f>
        <v>0</v>
      </c>
      <c r="O742" s="16">
        <f>IF(NOT(Paths!$C$73=1),0,IF(Paths!$P$73="Complete",N742-IF(C742=0,Paths!$F$73,0),"n.a."))</f>
        <v>0</v>
      </c>
      <c r="P742" s="16">
        <f>IF(NOT(Paths!$C$73=1),0,IF(Paths!$P$73="Complete",O742+L742,"n.a."))</f>
        <v>0</v>
      </c>
      <c r="Q742" s="16">
        <f>IF(NOT(Paths!$C$73=1),0,IF(Paths!$P$73="Complete",N742*(1+'Operating costs'!$B$54)^-C742,"n.a."))</f>
        <v>0</v>
      </c>
      <c r="R742" s="16">
        <f>IF(NOT(Paths!$C$73=1),0,IF(Paths!$P$73="Complete",IF(AND(C742=0,Paths!$E$73=0),I742-J742-K742+VLOOKUP(A742,'Fleet register'!$A$7:$S$106,15,FALSE)+VLOOKUP(A742,'Fleet register'!$A$7:$S$106,16,FALSE),0),"n.a."))</f>
        <v>0</v>
      </c>
      <c r="S742" s="1">
        <f>IF(NOT(Paths!$C$73=1),0,IF(Paths!$P$73="Complete",IF(C742=0,0,Paths!$S$73*Paths!$R$73),"n.a."))</f>
        <v>0</v>
      </c>
      <c r="T742" s="1">
        <f>IF(NOT(Paths!$C$73=1),0,IF(Paths!$P$73="Complete",IF(C742=0,0,VLOOKUP(A742,'Fleet register'!$A$7:$S$106,9,FALSE)*Paths!$R$73),"n.a."))</f>
        <v>0</v>
      </c>
    </row>
    <row r="743" spans="1:20" ht="24" customHeight="1">
      <c r="A743" s="1" t="str">
        <f>Paths!$A$73</f>
        <v>T017</v>
      </c>
      <c r="B743" s="1">
        <f>Paths!$B$73</f>
        <v>2</v>
      </c>
      <c r="C743" s="1">
        <v>10</v>
      </c>
      <c r="D743" s="1">
        <v>73</v>
      </c>
      <c r="E743" s="1">
        <f>IF(OR(Paths!$C$73=0,C743=0),0,MAX(0,MIN(C743*12,Paths!$E$73)-(C743-1)*12))</f>
        <v>0</v>
      </c>
      <c r="F743" s="1">
        <f>IF(OR(Paths!$C$73=0,C743=0),0,12-E743)</f>
        <v>0</v>
      </c>
      <c r="G743" s="16">
        <f>IF(NOT(Paths!$C$73=1),0,IF(Paths!$P$73="Complete",E743/12*(Paths!$J$73*(1+'Operating costs'!$B$51)^MAX(0,C743-1)+Paths!$K$73*(1+'Operating costs'!$B$53)^MAX(0,C743-1)),"n.a."))</f>
        <v>0</v>
      </c>
      <c r="H743" s="16">
        <f>IF(NOT(Paths!$C$73=1),0,IF(Paths!$P$73="Complete",F743/12*(Paths!$L$73*(1+IF(Paths!$D$73="EV",'Operating costs'!$B$52,'Operating costs'!$B$51))^MAX(0,C743-1)+Paths!$M$73*(1+'Operating costs'!$B$53)^MAX(0,C743-1)),"n.a."))</f>
        <v>0</v>
      </c>
      <c r="I743" s="16">
        <f>IF(NOT(Paths!$C$73=1),0,IF(Paths!$P$73="Complete",IF(IF(Paths!$E$73=0,C743=0,AND(C743&gt;0,Paths!$E$73&gt;(C743-1)*12,Paths!$E$73&lt;=C743*12)),Paths!$G$73,0),"n.a."))</f>
        <v>0</v>
      </c>
      <c r="J743" s="16">
        <f>IF(NOT(Paths!$C$73=1),0,IF(Paths!$P$73="Complete",IF(IF(Paths!$E$73=0,C743=0,AND(C743&gt;0,Paths!$E$73&gt;(C743-1)*12,Paths!$E$73&lt;=C743*12)),Paths!$H$73,0),"n.a."))</f>
        <v>0</v>
      </c>
      <c r="K743" s="16">
        <f>IF(NOT(Paths!$C$73=1),0,IF(Paths!$P$73="Complete",IF(IF(Paths!$O$73=0,C743=0,AND(C743&gt;0,Paths!$O$73&gt;(C743-1)*12,Paths!$O$73&lt;=C743*12)),Paths!$N$73,0),"n.a."))</f>
        <v>0</v>
      </c>
      <c r="L743" s="16">
        <f>IF(NOT(Paths!$C$73=1),0,IF(Paths!$P$73="Complete",IF(C743=10,Paths!$I$73,0),"n.a."))</f>
        <v>0</v>
      </c>
      <c r="M743" s="16">
        <f>IF(NOT(Paths!$C$73=1),0,IF(Paths!$P$73="Complete",IF(AND(Paths!$D$73="EV",Paths!$E$73&lt;120,Paths!$E$73+'Operating costs'!$B$65&gt;Paths!$E$73,Paths!$E$73+'Operating costs'!$B$65&lt;=120,IF(Paths!$E$73+'Operating costs'!$B$65=0,C743=0,AND(C743&gt;0,Paths!$E$73+'Operating costs'!$B$65&gt;(C743-1)*12,Paths!$E$73+'Operating costs'!$B$65&lt;=C743*12))),'Operating costs'!$B$64,0)+IF(AND('Operating costs'!$B$67&gt;0,'Operating costs'!$B$67&lt;=120,OR(Paths!$D$73="ICE",'Operating costs'!$B$67&lt;=Paths!$E$73),IF('Operating costs'!$B$67=0,C743=0,AND(C743&gt;0,'Operating costs'!$B$67&gt;(C743-1)*12,'Operating costs'!$B$67&lt;=C743*12))),'Operating costs'!$B$66,0),"n.a."))</f>
        <v>0</v>
      </c>
      <c r="N743" s="16">
        <f>IF(NOT(Paths!$C$73=1),0,IF(Paths!$P$73="Complete",SUM(G743:I743)-J743-K743-L743+M743+IF(C743=0,Paths!$F$73,0)+IF(IF(Paths!$E$73=0,C743=0,AND(C743&gt;0,Paths!$E$73&gt;(C743-1)*12,Paths!$E$73&lt;=C743*12)),VLOOKUP(A743,'Fleet register'!$A$7:$S$106,16,FALSE),0),"n.a."))</f>
        <v>0</v>
      </c>
      <c r="O743" s="16">
        <f>IF(NOT(Paths!$C$73=1),0,IF(Paths!$P$73="Complete",N743-IF(C743=0,Paths!$F$73,0),"n.a."))</f>
        <v>0</v>
      </c>
      <c r="P743" s="16">
        <f>IF(NOT(Paths!$C$73=1),0,IF(Paths!$P$73="Complete",O743+L743,"n.a."))</f>
        <v>0</v>
      </c>
      <c r="Q743" s="16">
        <f>IF(NOT(Paths!$C$73=1),0,IF(Paths!$P$73="Complete",N743*(1+'Operating costs'!$B$54)^-C743,"n.a."))</f>
        <v>0</v>
      </c>
      <c r="R743" s="16">
        <f>IF(NOT(Paths!$C$73=1),0,IF(Paths!$P$73="Complete",IF(AND(C743=0,Paths!$E$73=0),I743-J743-K743+VLOOKUP(A743,'Fleet register'!$A$7:$S$106,15,FALSE)+VLOOKUP(A743,'Fleet register'!$A$7:$S$106,16,FALSE),0),"n.a."))</f>
        <v>0</v>
      </c>
      <c r="S743" s="1">
        <f>IF(NOT(Paths!$C$73=1),0,IF(Paths!$P$73="Complete",IF(C743=0,0,Paths!$S$73*Paths!$R$73),"n.a."))</f>
        <v>0</v>
      </c>
      <c r="T743" s="1">
        <f>IF(NOT(Paths!$C$73=1),0,IF(Paths!$P$73="Complete",IF(C743=0,0,VLOOKUP(A743,'Fleet register'!$A$7:$S$106,9,FALSE)*Paths!$R$73),"n.a."))</f>
        <v>0</v>
      </c>
    </row>
    <row r="744" spans="1:20" ht="24" customHeight="1">
      <c r="A744" s="1" t="str">
        <f>Paths!$A$74</f>
        <v>T017</v>
      </c>
      <c r="B744" s="1">
        <f>Paths!$B$74</f>
        <v>3</v>
      </c>
      <c r="C744" s="1">
        <v>0</v>
      </c>
      <c r="D744" s="1">
        <v>74</v>
      </c>
      <c r="E744" s="1">
        <f>IF(OR(Paths!$C$74=0,C744=0),0,MAX(0,MIN(C744*12,Paths!$E$74)-(C744-1)*12))</f>
        <v>0</v>
      </c>
      <c r="F744" s="1">
        <f>IF(OR(Paths!$C$74=0,C744=0),0,12-E744)</f>
        <v>0</v>
      </c>
      <c r="G744" s="16">
        <f>IF(NOT(Paths!$C$74=1),0,IF(Paths!$P$74="Complete",E744/12*(Paths!$J$74*(1+'Operating costs'!$B$51)^MAX(0,C744-1)+Paths!$K$74*(1+'Operating costs'!$B$53)^MAX(0,C744-1)),"n.a."))</f>
        <v>0</v>
      </c>
      <c r="H744" s="16">
        <f>IF(NOT(Paths!$C$74=1),0,IF(Paths!$P$74="Complete",F744/12*(Paths!$L$74*(1+IF(Paths!$D$74="EV",'Operating costs'!$B$52,'Operating costs'!$B$51))^MAX(0,C744-1)+Paths!$M$74*(1+'Operating costs'!$B$53)^MAX(0,C744-1)),"n.a."))</f>
        <v>0</v>
      </c>
      <c r="I744" s="16">
        <f>IF(NOT(Paths!$C$74=1),0,IF(Paths!$P$74="Complete",IF(IF(Paths!$E$74=0,C744=0,AND(C744&gt;0,Paths!$E$74&gt;(C744-1)*12,Paths!$E$74&lt;=C744*12)),Paths!$G$74,0),"n.a."))</f>
        <v>0</v>
      </c>
      <c r="J744" s="16">
        <f>IF(NOT(Paths!$C$74=1),0,IF(Paths!$P$74="Complete",IF(IF(Paths!$E$74=0,C744=0,AND(C744&gt;0,Paths!$E$74&gt;(C744-1)*12,Paths!$E$74&lt;=C744*12)),Paths!$H$74,0),"n.a."))</f>
        <v>0</v>
      </c>
      <c r="K744" s="16">
        <f>IF(NOT(Paths!$C$74=1),0,IF(Paths!$P$74="Complete",IF(IF(Paths!$O$74=0,C744=0,AND(C744&gt;0,Paths!$O$74&gt;(C744-1)*12,Paths!$O$74&lt;=C744*12)),Paths!$N$74,0),"n.a."))</f>
        <v>0</v>
      </c>
      <c r="L744" s="16">
        <f>IF(NOT(Paths!$C$74=1),0,IF(Paths!$P$74="Complete",IF(C744=10,Paths!$I$74,0),"n.a."))</f>
        <v>0</v>
      </c>
      <c r="M744" s="16">
        <f>IF(NOT(Paths!$C$74=1),0,IF(Paths!$P$74="Complete",IF(AND(Paths!$D$74="EV",Paths!$E$74&lt;120,Paths!$E$74+'Operating costs'!$B$65&gt;Paths!$E$74,Paths!$E$74+'Operating costs'!$B$65&lt;=120,IF(Paths!$E$74+'Operating costs'!$B$65=0,C744=0,AND(C744&gt;0,Paths!$E$74+'Operating costs'!$B$65&gt;(C744-1)*12,Paths!$E$74+'Operating costs'!$B$65&lt;=C744*12))),'Operating costs'!$B$64,0)+IF(AND('Operating costs'!$B$67&gt;0,'Operating costs'!$B$67&lt;=120,OR(Paths!$D$74="ICE",'Operating costs'!$B$67&lt;=Paths!$E$74),IF('Operating costs'!$B$67=0,C744=0,AND(C744&gt;0,'Operating costs'!$B$67&gt;(C744-1)*12,'Operating costs'!$B$67&lt;=C744*12))),'Operating costs'!$B$66,0),"n.a."))</f>
        <v>0</v>
      </c>
      <c r="N744" s="16">
        <f>IF(NOT(Paths!$C$74=1),0,IF(Paths!$P$74="Complete",SUM(G744:I744)-J744-K744-L744+M744+IF(C744=0,Paths!$F$74,0)+IF(IF(Paths!$E$74=0,C744=0,AND(C744&gt;0,Paths!$E$74&gt;(C744-1)*12,Paths!$E$74&lt;=C744*12)),VLOOKUP(A744,'Fleet register'!$A$7:$S$106,16,FALSE),0),"n.a."))</f>
        <v>0</v>
      </c>
      <c r="O744" s="16">
        <f>IF(NOT(Paths!$C$74=1),0,IF(Paths!$P$74="Complete",N744-IF(C744=0,Paths!$F$74,0),"n.a."))</f>
        <v>0</v>
      </c>
      <c r="P744" s="16">
        <f>IF(NOT(Paths!$C$74=1),0,IF(Paths!$P$74="Complete",O744+L744,"n.a."))</f>
        <v>0</v>
      </c>
      <c r="Q744" s="16">
        <f>IF(NOT(Paths!$C$74=1),0,IF(Paths!$P$74="Complete",N744*(1+'Operating costs'!$B$54)^-C744,"n.a."))</f>
        <v>0</v>
      </c>
      <c r="R744" s="16">
        <f>IF(NOT(Paths!$C$74=1),0,IF(Paths!$P$74="Complete",IF(AND(C744=0,Paths!$E$74=0),I744-J744-K744+VLOOKUP(A744,'Fleet register'!$A$7:$S$106,15,FALSE)+VLOOKUP(A744,'Fleet register'!$A$7:$S$106,16,FALSE),0),"n.a."))</f>
        <v>0</v>
      </c>
      <c r="S744" s="1">
        <f>IF(NOT(Paths!$C$74=1),0,IF(Paths!$P$74="Complete",IF(C744=0,0,Paths!$S$74*Paths!$R$74),"n.a."))</f>
        <v>0</v>
      </c>
      <c r="T744" s="1">
        <f>IF(NOT(Paths!$C$74=1),0,IF(Paths!$P$74="Complete",IF(C744=0,0,VLOOKUP(A744,'Fleet register'!$A$7:$S$106,9,FALSE)*Paths!$R$74),"n.a."))</f>
        <v>0</v>
      </c>
    </row>
    <row r="745" spans="1:20" ht="24" customHeight="1">
      <c r="A745" s="1" t="str">
        <f>Paths!$A$74</f>
        <v>T017</v>
      </c>
      <c r="B745" s="1">
        <f>Paths!$B$74</f>
        <v>3</v>
      </c>
      <c r="C745" s="1">
        <v>1</v>
      </c>
      <c r="D745" s="1">
        <v>74</v>
      </c>
      <c r="E745" s="1">
        <f>IF(OR(Paths!$C$74=0,C745=0),0,MAX(0,MIN(C745*12,Paths!$E$74)-(C745-1)*12))</f>
        <v>0</v>
      </c>
      <c r="F745" s="1">
        <f>IF(OR(Paths!$C$74=0,C745=0),0,12-E745)</f>
        <v>0</v>
      </c>
      <c r="G745" s="16">
        <f>IF(NOT(Paths!$C$74=1),0,IF(Paths!$P$74="Complete",E745/12*(Paths!$J$74*(1+'Operating costs'!$B$51)^MAX(0,C745-1)+Paths!$K$74*(1+'Operating costs'!$B$53)^MAX(0,C745-1)),"n.a."))</f>
        <v>0</v>
      </c>
      <c r="H745" s="16">
        <f>IF(NOT(Paths!$C$74=1),0,IF(Paths!$P$74="Complete",F745/12*(Paths!$L$74*(1+IF(Paths!$D$74="EV",'Operating costs'!$B$52,'Operating costs'!$B$51))^MAX(0,C745-1)+Paths!$M$74*(1+'Operating costs'!$B$53)^MAX(0,C745-1)),"n.a."))</f>
        <v>0</v>
      </c>
      <c r="I745" s="16">
        <f>IF(NOT(Paths!$C$74=1),0,IF(Paths!$P$74="Complete",IF(IF(Paths!$E$74=0,C745=0,AND(C745&gt;0,Paths!$E$74&gt;(C745-1)*12,Paths!$E$74&lt;=C745*12)),Paths!$G$74,0),"n.a."))</f>
        <v>0</v>
      </c>
      <c r="J745" s="16">
        <f>IF(NOT(Paths!$C$74=1),0,IF(Paths!$P$74="Complete",IF(IF(Paths!$E$74=0,C745=0,AND(C745&gt;0,Paths!$E$74&gt;(C745-1)*12,Paths!$E$74&lt;=C745*12)),Paths!$H$74,0),"n.a."))</f>
        <v>0</v>
      </c>
      <c r="K745" s="16">
        <f>IF(NOT(Paths!$C$74=1),0,IF(Paths!$P$74="Complete",IF(IF(Paths!$O$74=0,C745=0,AND(C745&gt;0,Paths!$O$74&gt;(C745-1)*12,Paths!$O$74&lt;=C745*12)),Paths!$N$74,0),"n.a."))</f>
        <v>0</v>
      </c>
      <c r="L745" s="16">
        <f>IF(NOT(Paths!$C$74=1),0,IF(Paths!$P$74="Complete",IF(C745=10,Paths!$I$74,0),"n.a."))</f>
        <v>0</v>
      </c>
      <c r="M745" s="16">
        <f>IF(NOT(Paths!$C$74=1),0,IF(Paths!$P$74="Complete",IF(AND(Paths!$D$74="EV",Paths!$E$74&lt;120,Paths!$E$74+'Operating costs'!$B$65&gt;Paths!$E$74,Paths!$E$74+'Operating costs'!$B$65&lt;=120,IF(Paths!$E$74+'Operating costs'!$B$65=0,C745=0,AND(C745&gt;0,Paths!$E$74+'Operating costs'!$B$65&gt;(C745-1)*12,Paths!$E$74+'Operating costs'!$B$65&lt;=C745*12))),'Operating costs'!$B$64,0)+IF(AND('Operating costs'!$B$67&gt;0,'Operating costs'!$B$67&lt;=120,OR(Paths!$D$74="ICE",'Operating costs'!$B$67&lt;=Paths!$E$74),IF('Operating costs'!$B$67=0,C745=0,AND(C745&gt;0,'Operating costs'!$B$67&gt;(C745-1)*12,'Operating costs'!$B$67&lt;=C745*12))),'Operating costs'!$B$66,0),"n.a."))</f>
        <v>0</v>
      </c>
      <c r="N745" s="16">
        <f>IF(NOT(Paths!$C$74=1),0,IF(Paths!$P$74="Complete",SUM(G745:I745)-J745-K745-L745+M745+IF(C745=0,Paths!$F$74,0)+IF(IF(Paths!$E$74=0,C745=0,AND(C745&gt;0,Paths!$E$74&gt;(C745-1)*12,Paths!$E$74&lt;=C745*12)),VLOOKUP(A745,'Fleet register'!$A$7:$S$106,16,FALSE),0),"n.a."))</f>
        <v>0</v>
      </c>
      <c r="O745" s="16">
        <f>IF(NOT(Paths!$C$74=1),0,IF(Paths!$P$74="Complete",N745-IF(C745=0,Paths!$F$74,0),"n.a."))</f>
        <v>0</v>
      </c>
      <c r="P745" s="16">
        <f>IF(NOT(Paths!$C$74=1),0,IF(Paths!$P$74="Complete",O745+L745,"n.a."))</f>
        <v>0</v>
      </c>
      <c r="Q745" s="16">
        <f>IF(NOT(Paths!$C$74=1),0,IF(Paths!$P$74="Complete",N745*(1+'Operating costs'!$B$54)^-C745,"n.a."))</f>
        <v>0</v>
      </c>
      <c r="R745" s="16">
        <f>IF(NOT(Paths!$C$74=1),0,IF(Paths!$P$74="Complete",IF(AND(C745=0,Paths!$E$74=0),I745-J745-K745+VLOOKUP(A745,'Fleet register'!$A$7:$S$106,15,FALSE)+VLOOKUP(A745,'Fleet register'!$A$7:$S$106,16,FALSE),0),"n.a."))</f>
        <v>0</v>
      </c>
      <c r="S745" s="1">
        <f>IF(NOT(Paths!$C$74=1),0,IF(Paths!$P$74="Complete",IF(C745=0,0,Paths!$S$74*Paths!$R$74),"n.a."))</f>
        <v>0</v>
      </c>
      <c r="T745" s="1">
        <f>IF(NOT(Paths!$C$74=1),0,IF(Paths!$P$74="Complete",IF(C745=0,0,VLOOKUP(A745,'Fleet register'!$A$7:$S$106,9,FALSE)*Paths!$R$74),"n.a."))</f>
        <v>0</v>
      </c>
    </row>
    <row r="746" spans="1:20" ht="24" customHeight="1">
      <c r="A746" s="1" t="str">
        <f>Paths!$A$74</f>
        <v>T017</v>
      </c>
      <c r="B746" s="1">
        <f>Paths!$B$74</f>
        <v>3</v>
      </c>
      <c r="C746" s="1">
        <v>2</v>
      </c>
      <c r="D746" s="1">
        <v>74</v>
      </c>
      <c r="E746" s="1">
        <f>IF(OR(Paths!$C$74=0,C746=0),0,MAX(0,MIN(C746*12,Paths!$E$74)-(C746-1)*12))</f>
        <v>0</v>
      </c>
      <c r="F746" s="1">
        <f>IF(OR(Paths!$C$74=0,C746=0),0,12-E746)</f>
        <v>0</v>
      </c>
      <c r="G746" s="16">
        <f>IF(NOT(Paths!$C$74=1),0,IF(Paths!$P$74="Complete",E746/12*(Paths!$J$74*(1+'Operating costs'!$B$51)^MAX(0,C746-1)+Paths!$K$74*(1+'Operating costs'!$B$53)^MAX(0,C746-1)),"n.a."))</f>
        <v>0</v>
      </c>
      <c r="H746" s="16">
        <f>IF(NOT(Paths!$C$74=1),0,IF(Paths!$P$74="Complete",F746/12*(Paths!$L$74*(1+IF(Paths!$D$74="EV",'Operating costs'!$B$52,'Operating costs'!$B$51))^MAX(0,C746-1)+Paths!$M$74*(1+'Operating costs'!$B$53)^MAX(0,C746-1)),"n.a."))</f>
        <v>0</v>
      </c>
      <c r="I746" s="16">
        <f>IF(NOT(Paths!$C$74=1),0,IF(Paths!$P$74="Complete",IF(IF(Paths!$E$74=0,C746=0,AND(C746&gt;0,Paths!$E$74&gt;(C746-1)*12,Paths!$E$74&lt;=C746*12)),Paths!$G$74,0),"n.a."))</f>
        <v>0</v>
      </c>
      <c r="J746" s="16">
        <f>IF(NOT(Paths!$C$74=1),0,IF(Paths!$P$74="Complete",IF(IF(Paths!$E$74=0,C746=0,AND(C746&gt;0,Paths!$E$74&gt;(C746-1)*12,Paths!$E$74&lt;=C746*12)),Paths!$H$74,0),"n.a."))</f>
        <v>0</v>
      </c>
      <c r="K746" s="16">
        <f>IF(NOT(Paths!$C$74=1),0,IF(Paths!$P$74="Complete",IF(IF(Paths!$O$74=0,C746=0,AND(C746&gt;0,Paths!$O$74&gt;(C746-1)*12,Paths!$O$74&lt;=C746*12)),Paths!$N$74,0),"n.a."))</f>
        <v>0</v>
      </c>
      <c r="L746" s="16">
        <f>IF(NOT(Paths!$C$74=1),0,IF(Paths!$P$74="Complete",IF(C746=10,Paths!$I$74,0),"n.a."))</f>
        <v>0</v>
      </c>
      <c r="M746" s="16">
        <f>IF(NOT(Paths!$C$74=1),0,IF(Paths!$P$74="Complete",IF(AND(Paths!$D$74="EV",Paths!$E$74&lt;120,Paths!$E$74+'Operating costs'!$B$65&gt;Paths!$E$74,Paths!$E$74+'Operating costs'!$B$65&lt;=120,IF(Paths!$E$74+'Operating costs'!$B$65=0,C746=0,AND(C746&gt;0,Paths!$E$74+'Operating costs'!$B$65&gt;(C746-1)*12,Paths!$E$74+'Operating costs'!$B$65&lt;=C746*12))),'Operating costs'!$B$64,0)+IF(AND('Operating costs'!$B$67&gt;0,'Operating costs'!$B$67&lt;=120,OR(Paths!$D$74="ICE",'Operating costs'!$B$67&lt;=Paths!$E$74),IF('Operating costs'!$B$67=0,C746=0,AND(C746&gt;0,'Operating costs'!$B$67&gt;(C746-1)*12,'Operating costs'!$B$67&lt;=C746*12))),'Operating costs'!$B$66,0),"n.a."))</f>
        <v>0</v>
      </c>
      <c r="N746" s="16">
        <f>IF(NOT(Paths!$C$74=1),0,IF(Paths!$P$74="Complete",SUM(G746:I746)-J746-K746-L746+M746+IF(C746=0,Paths!$F$74,0)+IF(IF(Paths!$E$74=0,C746=0,AND(C746&gt;0,Paths!$E$74&gt;(C746-1)*12,Paths!$E$74&lt;=C746*12)),VLOOKUP(A746,'Fleet register'!$A$7:$S$106,16,FALSE),0),"n.a."))</f>
        <v>0</v>
      </c>
      <c r="O746" s="16">
        <f>IF(NOT(Paths!$C$74=1),0,IF(Paths!$P$74="Complete",N746-IF(C746=0,Paths!$F$74,0),"n.a."))</f>
        <v>0</v>
      </c>
      <c r="P746" s="16">
        <f>IF(NOT(Paths!$C$74=1),0,IF(Paths!$P$74="Complete",O746+L746,"n.a."))</f>
        <v>0</v>
      </c>
      <c r="Q746" s="16">
        <f>IF(NOT(Paths!$C$74=1),0,IF(Paths!$P$74="Complete",N746*(1+'Operating costs'!$B$54)^-C746,"n.a."))</f>
        <v>0</v>
      </c>
      <c r="R746" s="16">
        <f>IF(NOT(Paths!$C$74=1),0,IF(Paths!$P$74="Complete",IF(AND(C746=0,Paths!$E$74=0),I746-J746-K746+VLOOKUP(A746,'Fleet register'!$A$7:$S$106,15,FALSE)+VLOOKUP(A746,'Fleet register'!$A$7:$S$106,16,FALSE),0),"n.a."))</f>
        <v>0</v>
      </c>
      <c r="S746" s="1">
        <f>IF(NOT(Paths!$C$74=1),0,IF(Paths!$P$74="Complete",IF(C746=0,0,Paths!$S$74*Paths!$R$74),"n.a."))</f>
        <v>0</v>
      </c>
      <c r="T746" s="1">
        <f>IF(NOT(Paths!$C$74=1),0,IF(Paths!$P$74="Complete",IF(C746=0,0,VLOOKUP(A746,'Fleet register'!$A$7:$S$106,9,FALSE)*Paths!$R$74),"n.a."))</f>
        <v>0</v>
      </c>
    </row>
    <row r="747" spans="1:20" ht="24" customHeight="1">
      <c r="A747" s="1" t="str">
        <f>Paths!$A$74</f>
        <v>T017</v>
      </c>
      <c r="B747" s="1">
        <f>Paths!$B$74</f>
        <v>3</v>
      </c>
      <c r="C747" s="1">
        <v>3</v>
      </c>
      <c r="D747" s="1">
        <v>74</v>
      </c>
      <c r="E747" s="1">
        <f>IF(OR(Paths!$C$74=0,C747=0),0,MAX(0,MIN(C747*12,Paths!$E$74)-(C747-1)*12))</f>
        <v>0</v>
      </c>
      <c r="F747" s="1">
        <f>IF(OR(Paths!$C$74=0,C747=0),0,12-E747)</f>
        <v>0</v>
      </c>
      <c r="G747" s="16">
        <f>IF(NOT(Paths!$C$74=1),0,IF(Paths!$P$74="Complete",E747/12*(Paths!$J$74*(1+'Operating costs'!$B$51)^MAX(0,C747-1)+Paths!$K$74*(1+'Operating costs'!$B$53)^MAX(0,C747-1)),"n.a."))</f>
        <v>0</v>
      </c>
      <c r="H747" s="16">
        <f>IF(NOT(Paths!$C$74=1),0,IF(Paths!$P$74="Complete",F747/12*(Paths!$L$74*(1+IF(Paths!$D$74="EV",'Operating costs'!$B$52,'Operating costs'!$B$51))^MAX(0,C747-1)+Paths!$M$74*(1+'Operating costs'!$B$53)^MAX(0,C747-1)),"n.a."))</f>
        <v>0</v>
      </c>
      <c r="I747" s="16">
        <f>IF(NOT(Paths!$C$74=1),0,IF(Paths!$P$74="Complete",IF(IF(Paths!$E$74=0,C747=0,AND(C747&gt;0,Paths!$E$74&gt;(C747-1)*12,Paths!$E$74&lt;=C747*12)),Paths!$G$74,0),"n.a."))</f>
        <v>0</v>
      </c>
      <c r="J747" s="16">
        <f>IF(NOT(Paths!$C$74=1),0,IF(Paths!$P$74="Complete",IF(IF(Paths!$E$74=0,C747=0,AND(C747&gt;0,Paths!$E$74&gt;(C747-1)*12,Paths!$E$74&lt;=C747*12)),Paths!$H$74,0),"n.a."))</f>
        <v>0</v>
      </c>
      <c r="K747" s="16">
        <f>IF(NOT(Paths!$C$74=1),0,IF(Paths!$P$74="Complete",IF(IF(Paths!$O$74=0,C747=0,AND(C747&gt;0,Paths!$O$74&gt;(C747-1)*12,Paths!$O$74&lt;=C747*12)),Paths!$N$74,0),"n.a."))</f>
        <v>0</v>
      </c>
      <c r="L747" s="16">
        <f>IF(NOT(Paths!$C$74=1),0,IF(Paths!$P$74="Complete",IF(C747=10,Paths!$I$74,0),"n.a."))</f>
        <v>0</v>
      </c>
      <c r="M747" s="16">
        <f>IF(NOT(Paths!$C$74=1),0,IF(Paths!$P$74="Complete",IF(AND(Paths!$D$74="EV",Paths!$E$74&lt;120,Paths!$E$74+'Operating costs'!$B$65&gt;Paths!$E$74,Paths!$E$74+'Operating costs'!$B$65&lt;=120,IF(Paths!$E$74+'Operating costs'!$B$65=0,C747=0,AND(C747&gt;0,Paths!$E$74+'Operating costs'!$B$65&gt;(C747-1)*12,Paths!$E$74+'Operating costs'!$B$65&lt;=C747*12))),'Operating costs'!$B$64,0)+IF(AND('Operating costs'!$B$67&gt;0,'Operating costs'!$B$67&lt;=120,OR(Paths!$D$74="ICE",'Operating costs'!$B$67&lt;=Paths!$E$74),IF('Operating costs'!$B$67=0,C747=0,AND(C747&gt;0,'Operating costs'!$B$67&gt;(C747-1)*12,'Operating costs'!$B$67&lt;=C747*12))),'Operating costs'!$B$66,0),"n.a."))</f>
        <v>0</v>
      </c>
      <c r="N747" s="16">
        <f>IF(NOT(Paths!$C$74=1),0,IF(Paths!$P$74="Complete",SUM(G747:I747)-J747-K747-L747+M747+IF(C747=0,Paths!$F$74,0)+IF(IF(Paths!$E$74=0,C747=0,AND(C747&gt;0,Paths!$E$74&gt;(C747-1)*12,Paths!$E$74&lt;=C747*12)),VLOOKUP(A747,'Fleet register'!$A$7:$S$106,16,FALSE),0),"n.a."))</f>
        <v>0</v>
      </c>
      <c r="O747" s="16">
        <f>IF(NOT(Paths!$C$74=1),0,IF(Paths!$P$74="Complete",N747-IF(C747=0,Paths!$F$74,0),"n.a."))</f>
        <v>0</v>
      </c>
      <c r="P747" s="16">
        <f>IF(NOT(Paths!$C$74=1),0,IF(Paths!$P$74="Complete",O747+L747,"n.a."))</f>
        <v>0</v>
      </c>
      <c r="Q747" s="16">
        <f>IF(NOT(Paths!$C$74=1),0,IF(Paths!$P$74="Complete",N747*(1+'Operating costs'!$B$54)^-C747,"n.a."))</f>
        <v>0</v>
      </c>
      <c r="R747" s="16">
        <f>IF(NOT(Paths!$C$74=1),0,IF(Paths!$P$74="Complete",IF(AND(C747=0,Paths!$E$74=0),I747-J747-K747+VLOOKUP(A747,'Fleet register'!$A$7:$S$106,15,FALSE)+VLOOKUP(A747,'Fleet register'!$A$7:$S$106,16,FALSE),0),"n.a."))</f>
        <v>0</v>
      </c>
      <c r="S747" s="1">
        <f>IF(NOT(Paths!$C$74=1),0,IF(Paths!$P$74="Complete",IF(C747=0,0,Paths!$S$74*Paths!$R$74),"n.a."))</f>
        <v>0</v>
      </c>
      <c r="T747" s="1">
        <f>IF(NOT(Paths!$C$74=1),0,IF(Paths!$P$74="Complete",IF(C747=0,0,VLOOKUP(A747,'Fleet register'!$A$7:$S$106,9,FALSE)*Paths!$R$74),"n.a."))</f>
        <v>0</v>
      </c>
    </row>
    <row r="748" spans="1:20" ht="24" customHeight="1">
      <c r="A748" s="1" t="str">
        <f>Paths!$A$74</f>
        <v>T017</v>
      </c>
      <c r="B748" s="1">
        <f>Paths!$B$74</f>
        <v>3</v>
      </c>
      <c r="C748" s="1">
        <v>4</v>
      </c>
      <c r="D748" s="1">
        <v>74</v>
      </c>
      <c r="E748" s="1">
        <f>IF(OR(Paths!$C$74=0,C748=0),0,MAX(0,MIN(C748*12,Paths!$E$74)-(C748-1)*12))</f>
        <v>0</v>
      </c>
      <c r="F748" s="1">
        <f>IF(OR(Paths!$C$74=0,C748=0),0,12-E748)</f>
        <v>0</v>
      </c>
      <c r="G748" s="16">
        <f>IF(NOT(Paths!$C$74=1),0,IF(Paths!$P$74="Complete",E748/12*(Paths!$J$74*(1+'Operating costs'!$B$51)^MAX(0,C748-1)+Paths!$K$74*(1+'Operating costs'!$B$53)^MAX(0,C748-1)),"n.a."))</f>
        <v>0</v>
      </c>
      <c r="H748" s="16">
        <f>IF(NOT(Paths!$C$74=1),0,IF(Paths!$P$74="Complete",F748/12*(Paths!$L$74*(1+IF(Paths!$D$74="EV",'Operating costs'!$B$52,'Operating costs'!$B$51))^MAX(0,C748-1)+Paths!$M$74*(1+'Operating costs'!$B$53)^MAX(0,C748-1)),"n.a."))</f>
        <v>0</v>
      </c>
      <c r="I748" s="16">
        <f>IF(NOT(Paths!$C$74=1),0,IF(Paths!$P$74="Complete",IF(IF(Paths!$E$74=0,C748=0,AND(C748&gt;0,Paths!$E$74&gt;(C748-1)*12,Paths!$E$74&lt;=C748*12)),Paths!$G$74,0),"n.a."))</f>
        <v>0</v>
      </c>
      <c r="J748" s="16">
        <f>IF(NOT(Paths!$C$74=1),0,IF(Paths!$P$74="Complete",IF(IF(Paths!$E$74=0,C748=0,AND(C748&gt;0,Paths!$E$74&gt;(C748-1)*12,Paths!$E$74&lt;=C748*12)),Paths!$H$74,0),"n.a."))</f>
        <v>0</v>
      </c>
      <c r="K748" s="16">
        <f>IF(NOT(Paths!$C$74=1),0,IF(Paths!$P$74="Complete",IF(IF(Paths!$O$74=0,C748=0,AND(C748&gt;0,Paths!$O$74&gt;(C748-1)*12,Paths!$O$74&lt;=C748*12)),Paths!$N$74,0),"n.a."))</f>
        <v>0</v>
      </c>
      <c r="L748" s="16">
        <f>IF(NOT(Paths!$C$74=1),0,IF(Paths!$P$74="Complete",IF(C748=10,Paths!$I$74,0),"n.a."))</f>
        <v>0</v>
      </c>
      <c r="M748" s="16">
        <f>IF(NOT(Paths!$C$74=1),0,IF(Paths!$P$74="Complete",IF(AND(Paths!$D$74="EV",Paths!$E$74&lt;120,Paths!$E$74+'Operating costs'!$B$65&gt;Paths!$E$74,Paths!$E$74+'Operating costs'!$B$65&lt;=120,IF(Paths!$E$74+'Operating costs'!$B$65=0,C748=0,AND(C748&gt;0,Paths!$E$74+'Operating costs'!$B$65&gt;(C748-1)*12,Paths!$E$74+'Operating costs'!$B$65&lt;=C748*12))),'Operating costs'!$B$64,0)+IF(AND('Operating costs'!$B$67&gt;0,'Operating costs'!$B$67&lt;=120,OR(Paths!$D$74="ICE",'Operating costs'!$B$67&lt;=Paths!$E$74),IF('Operating costs'!$B$67=0,C748=0,AND(C748&gt;0,'Operating costs'!$B$67&gt;(C748-1)*12,'Operating costs'!$B$67&lt;=C748*12))),'Operating costs'!$B$66,0),"n.a."))</f>
        <v>0</v>
      </c>
      <c r="N748" s="16">
        <f>IF(NOT(Paths!$C$74=1),0,IF(Paths!$P$74="Complete",SUM(G748:I748)-J748-K748-L748+M748+IF(C748=0,Paths!$F$74,0)+IF(IF(Paths!$E$74=0,C748=0,AND(C748&gt;0,Paths!$E$74&gt;(C748-1)*12,Paths!$E$74&lt;=C748*12)),VLOOKUP(A748,'Fleet register'!$A$7:$S$106,16,FALSE),0),"n.a."))</f>
        <v>0</v>
      </c>
      <c r="O748" s="16">
        <f>IF(NOT(Paths!$C$74=1),0,IF(Paths!$P$74="Complete",N748-IF(C748=0,Paths!$F$74,0),"n.a."))</f>
        <v>0</v>
      </c>
      <c r="P748" s="16">
        <f>IF(NOT(Paths!$C$74=1),0,IF(Paths!$P$74="Complete",O748+L748,"n.a."))</f>
        <v>0</v>
      </c>
      <c r="Q748" s="16">
        <f>IF(NOT(Paths!$C$74=1),0,IF(Paths!$P$74="Complete",N748*(1+'Operating costs'!$B$54)^-C748,"n.a."))</f>
        <v>0</v>
      </c>
      <c r="R748" s="16">
        <f>IF(NOT(Paths!$C$74=1),0,IF(Paths!$P$74="Complete",IF(AND(C748=0,Paths!$E$74=0),I748-J748-K748+VLOOKUP(A748,'Fleet register'!$A$7:$S$106,15,FALSE)+VLOOKUP(A748,'Fleet register'!$A$7:$S$106,16,FALSE),0),"n.a."))</f>
        <v>0</v>
      </c>
      <c r="S748" s="1">
        <f>IF(NOT(Paths!$C$74=1),0,IF(Paths!$P$74="Complete",IF(C748=0,0,Paths!$S$74*Paths!$R$74),"n.a."))</f>
        <v>0</v>
      </c>
      <c r="T748" s="1">
        <f>IF(NOT(Paths!$C$74=1),0,IF(Paths!$P$74="Complete",IF(C748=0,0,VLOOKUP(A748,'Fleet register'!$A$7:$S$106,9,FALSE)*Paths!$R$74),"n.a."))</f>
        <v>0</v>
      </c>
    </row>
    <row r="749" spans="1:20" ht="24" customHeight="1">
      <c r="A749" s="1" t="str">
        <f>Paths!$A$74</f>
        <v>T017</v>
      </c>
      <c r="B749" s="1">
        <f>Paths!$B$74</f>
        <v>3</v>
      </c>
      <c r="C749" s="1">
        <v>5</v>
      </c>
      <c r="D749" s="1">
        <v>74</v>
      </c>
      <c r="E749" s="1">
        <f>IF(OR(Paths!$C$74=0,C749=0),0,MAX(0,MIN(C749*12,Paths!$E$74)-(C749-1)*12))</f>
        <v>0</v>
      </c>
      <c r="F749" s="1">
        <f>IF(OR(Paths!$C$74=0,C749=0),0,12-E749)</f>
        <v>0</v>
      </c>
      <c r="G749" s="16">
        <f>IF(NOT(Paths!$C$74=1),0,IF(Paths!$P$74="Complete",E749/12*(Paths!$J$74*(1+'Operating costs'!$B$51)^MAX(0,C749-1)+Paths!$K$74*(1+'Operating costs'!$B$53)^MAX(0,C749-1)),"n.a."))</f>
        <v>0</v>
      </c>
      <c r="H749" s="16">
        <f>IF(NOT(Paths!$C$74=1),0,IF(Paths!$P$74="Complete",F749/12*(Paths!$L$74*(1+IF(Paths!$D$74="EV",'Operating costs'!$B$52,'Operating costs'!$B$51))^MAX(0,C749-1)+Paths!$M$74*(1+'Operating costs'!$B$53)^MAX(0,C749-1)),"n.a."))</f>
        <v>0</v>
      </c>
      <c r="I749" s="16">
        <f>IF(NOT(Paths!$C$74=1),0,IF(Paths!$P$74="Complete",IF(IF(Paths!$E$74=0,C749=0,AND(C749&gt;0,Paths!$E$74&gt;(C749-1)*12,Paths!$E$74&lt;=C749*12)),Paths!$G$74,0),"n.a."))</f>
        <v>0</v>
      </c>
      <c r="J749" s="16">
        <f>IF(NOT(Paths!$C$74=1),0,IF(Paths!$P$74="Complete",IF(IF(Paths!$E$74=0,C749=0,AND(C749&gt;0,Paths!$E$74&gt;(C749-1)*12,Paths!$E$74&lt;=C749*12)),Paths!$H$74,0),"n.a."))</f>
        <v>0</v>
      </c>
      <c r="K749" s="16">
        <f>IF(NOT(Paths!$C$74=1),0,IF(Paths!$P$74="Complete",IF(IF(Paths!$O$74=0,C749=0,AND(C749&gt;0,Paths!$O$74&gt;(C749-1)*12,Paths!$O$74&lt;=C749*12)),Paths!$N$74,0),"n.a."))</f>
        <v>0</v>
      </c>
      <c r="L749" s="16">
        <f>IF(NOT(Paths!$C$74=1),0,IF(Paths!$P$74="Complete",IF(C749=10,Paths!$I$74,0),"n.a."))</f>
        <v>0</v>
      </c>
      <c r="M749" s="16">
        <f>IF(NOT(Paths!$C$74=1),0,IF(Paths!$P$74="Complete",IF(AND(Paths!$D$74="EV",Paths!$E$74&lt;120,Paths!$E$74+'Operating costs'!$B$65&gt;Paths!$E$74,Paths!$E$74+'Operating costs'!$B$65&lt;=120,IF(Paths!$E$74+'Operating costs'!$B$65=0,C749=0,AND(C749&gt;0,Paths!$E$74+'Operating costs'!$B$65&gt;(C749-1)*12,Paths!$E$74+'Operating costs'!$B$65&lt;=C749*12))),'Operating costs'!$B$64,0)+IF(AND('Operating costs'!$B$67&gt;0,'Operating costs'!$B$67&lt;=120,OR(Paths!$D$74="ICE",'Operating costs'!$B$67&lt;=Paths!$E$74),IF('Operating costs'!$B$67=0,C749=0,AND(C749&gt;0,'Operating costs'!$B$67&gt;(C749-1)*12,'Operating costs'!$B$67&lt;=C749*12))),'Operating costs'!$B$66,0),"n.a."))</f>
        <v>0</v>
      </c>
      <c r="N749" s="16">
        <f>IF(NOT(Paths!$C$74=1),0,IF(Paths!$P$74="Complete",SUM(G749:I749)-J749-K749-L749+M749+IF(C749=0,Paths!$F$74,0)+IF(IF(Paths!$E$74=0,C749=0,AND(C749&gt;0,Paths!$E$74&gt;(C749-1)*12,Paths!$E$74&lt;=C749*12)),VLOOKUP(A749,'Fleet register'!$A$7:$S$106,16,FALSE),0),"n.a."))</f>
        <v>0</v>
      </c>
      <c r="O749" s="16">
        <f>IF(NOT(Paths!$C$74=1),0,IF(Paths!$P$74="Complete",N749-IF(C749=0,Paths!$F$74,0),"n.a."))</f>
        <v>0</v>
      </c>
      <c r="P749" s="16">
        <f>IF(NOT(Paths!$C$74=1),0,IF(Paths!$P$74="Complete",O749+L749,"n.a."))</f>
        <v>0</v>
      </c>
      <c r="Q749" s="16">
        <f>IF(NOT(Paths!$C$74=1),0,IF(Paths!$P$74="Complete",N749*(1+'Operating costs'!$B$54)^-C749,"n.a."))</f>
        <v>0</v>
      </c>
      <c r="R749" s="16">
        <f>IF(NOT(Paths!$C$74=1),0,IF(Paths!$P$74="Complete",IF(AND(C749=0,Paths!$E$74=0),I749-J749-K749+VLOOKUP(A749,'Fleet register'!$A$7:$S$106,15,FALSE)+VLOOKUP(A749,'Fleet register'!$A$7:$S$106,16,FALSE),0),"n.a."))</f>
        <v>0</v>
      </c>
      <c r="S749" s="1">
        <f>IF(NOT(Paths!$C$74=1),0,IF(Paths!$P$74="Complete",IF(C749=0,0,Paths!$S$74*Paths!$R$74),"n.a."))</f>
        <v>0</v>
      </c>
      <c r="T749" s="1">
        <f>IF(NOT(Paths!$C$74=1),0,IF(Paths!$P$74="Complete",IF(C749=0,0,VLOOKUP(A749,'Fleet register'!$A$7:$S$106,9,FALSE)*Paths!$R$74),"n.a."))</f>
        <v>0</v>
      </c>
    </row>
    <row r="750" spans="1:20" ht="24" customHeight="1">
      <c r="A750" s="1" t="str">
        <f>Paths!$A$74</f>
        <v>T017</v>
      </c>
      <c r="B750" s="1">
        <f>Paths!$B$74</f>
        <v>3</v>
      </c>
      <c r="C750" s="1">
        <v>6</v>
      </c>
      <c r="D750" s="1">
        <v>74</v>
      </c>
      <c r="E750" s="1">
        <f>IF(OR(Paths!$C$74=0,C750=0),0,MAX(0,MIN(C750*12,Paths!$E$74)-(C750-1)*12))</f>
        <v>0</v>
      </c>
      <c r="F750" s="1">
        <f>IF(OR(Paths!$C$74=0,C750=0),0,12-E750)</f>
        <v>0</v>
      </c>
      <c r="G750" s="16">
        <f>IF(NOT(Paths!$C$74=1),0,IF(Paths!$P$74="Complete",E750/12*(Paths!$J$74*(1+'Operating costs'!$B$51)^MAX(0,C750-1)+Paths!$K$74*(1+'Operating costs'!$B$53)^MAX(0,C750-1)),"n.a."))</f>
        <v>0</v>
      </c>
      <c r="H750" s="16">
        <f>IF(NOT(Paths!$C$74=1),0,IF(Paths!$P$74="Complete",F750/12*(Paths!$L$74*(1+IF(Paths!$D$74="EV",'Operating costs'!$B$52,'Operating costs'!$B$51))^MAX(0,C750-1)+Paths!$M$74*(1+'Operating costs'!$B$53)^MAX(0,C750-1)),"n.a."))</f>
        <v>0</v>
      </c>
      <c r="I750" s="16">
        <f>IF(NOT(Paths!$C$74=1),0,IF(Paths!$P$74="Complete",IF(IF(Paths!$E$74=0,C750=0,AND(C750&gt;0,Paths!$E$74&gt;(C750-1)*12,Paths!$E$74&lt;=C750*12)),Paths!$G$74,0),"n.a."))</f>
        <v>0</v>
      </c>
      <c r="J750" s="16">
        <f>IF(NOT(Paths!$C$74=1),0,IF(Paths!$P$74="Complete",IF(IF(Paths!$E$74=0,C750=0,AND(C750&gt;0,Paths!$E$74&gt;(C750-1)*12,Paths!$E$74&lt;=C750*12)),Paths!$H$74,0),"n.a."))</f>
        <v>0</v>
      </c>
      <c r="K750" s="16">
        <f>IF(NOT(Paths!$C$74=1),0,IF(Paths!$P$74="Complete",IF(IF(Paths!$O$74=0,C750=0,AND(C750&gt;0,Paths!$O$74&gt;(C750-1)*12,Paths!$O$74&lt;=C750*12)),Paths!$N$74,0),"n.a."))</f>
        <v>0</v>
      </c>
      <c r="L750" s="16">
        <f>IF(NOT(Paths!$C$74=1),0,IF(Paths!$P$74="Complete",IF(C750=10,Paths!$I$74,0),"n.a."))</f>
        <v>0</v>
      </c>
      <c r="M750" s="16">
        <f>IF(NOT(Paths!$C$74=1),0,IF(Paths!$P$74="Complete",IF(AND(Paths!$D$74="EV",Paths!$E$74&lt;120,Paths!$E$74+'Operating costs'!$B$65&gt;Paths!$E$74,Paths!$E$74+'Operating costs'!$B$65&lt;=120,IF(Paths!$E$74+'Operating costs'!$B$65=0,C750=0,AND(C750&gt;0,Paths!$E$74+'Operating costs'!$B$65&gt;(C750-1)*12,Paths!$E$74+'Operating costs'!$B$65&lt;=C750*12))),'Operating costs'!$B$64,0)+IF(AND('Operating costs'!$B$67&gt;0,'Operating costs'!$B$67&lt;=120,OR(Paths!$D$74="ICE",'Operating costs'!$B$67&lt;=Paths!$E$74),IF('Operating costs'!$B$67=0,C750=0,AND(C750&gt;0,'Operating costs'!$B$67&gt;(C750-1)*12,'Operating costs'!$B$67&lt;=C750*12))),'Operating costs'!$B$66,0),"n.a."))</f>
        <v>0</v>
      </c>
      <c r="N750" s="16">
        <f>IF(NOT(Paths!$C$74=1),0,IF(Paths!$P$74="Complete",SUM(G750:I750)-J750-K750-L750+M750+IF(C750=0,Paths!$F$74,0)+IF(IF(Paths!$E$74=0,C750=0,AND(C750&gt;0,Paths!$E$74&gt;(C750-1)*12,Paths!$E$74&lt;=C750*12)),VLOOKUP(A750,'Fleet register'!$A$7:$S$106,16,FALSE),0),"n.a."))</f>
        <v>0</v>
      </c>
      <c r="O750" s="16">
        <f>IF(NOT(Paths!$C$74=1),0,IF(Paths!$P$74="Complete",N750-IF(C750=0,Paths!$F$74,0),"n.a."))</f>
        <v>0</v>
      </c>
      <c r="P750" s="16">
        <f>IF(NOT(Paths!$C$74=1),0,IF(Paths!$P$74="Complete",O750+L750,"n.a."))</f>
        <v>0</v>
      </c>
      <c r="Q750" s="16">
        <f>IF(NOT(Paths!$C$74=1),0,IF(Paths!$P$74="Complete",N750*(1+'Operating costs'!$B$54)^-C750,"n.a."))</f>
        <v>0</v>
      </c>
      <c r="R750" s="16">
        <f>IF(NOT(Paths!$C$74=1),0,IF(Paths!$P$74="Complete",IF(AND(C750=0,Paths!$E$74=0),I750-J750-K750+VLOOKUP(A750,'Fleet register'!$A$7:$S$106,15,FALSE)+VLOOKUP(A750,'Fleet register'!$A$7:$S$106,16,FALSE),0),"n.a."))</f>
        <v>0</v>
      </c>
      <c r="S750" s="1">
        <f>IF(NOT(Paths!$C$74=1),0,IF(Paths!$P$74="Complete",IF(C750=0,0,Paths!$S$74*Paths!$R$74),"n.a."))</f>
        <v>0</v>
      </c>
      <c r="T750" s="1">
        <f>IF(NOT(Paths!$C$74=1),0,IF(Paths!$P$74="Complete",IF(C750=0,0,VLOOKUP(A750,'Fleet register'!$A$7:$S$106,9,FALSE)*Paths!$R$74),"n.a."))</f>
        <v>0</v>
      </c>
    </row>
    <row r="751" spans="1:20" ht="24" customHeight="1">
      <c r="A751" s="1" t="str">
        <f>Paths!$A$74</f>
        <v>T017</v>
      </c>
      <c r="B751" s="1">
        <f>Paths!$B$74</f>
        <v>3</v>
      </c>
      <c r="C751" s="1">
        <v>7</v>
      </c>
      <c r="D751" s="1">
        <v>74</v>
      </c>
      <c r="E751" s="1">
        <f>IF(OR(Paths!$C$74=0,C751=0),0,MAX(0,MIN(C751*12,Paths!$E$74)-(C751-1)*12))</f>
        <v>0</v>
      </c>
      <c r="F751" s="1">
        <f>IF(OR(Paths!$C$74=0,C751=0),0,12-E751)</f>
        <v>0</v>
      </c>
      <c r="G751" s="16">
        <f>IF(NOT(Paths!$C$74=1),0,IF(Paths!$P$74="Complete",E751/12*(Paths!$J$74*(1+'Operating costs'!$B$51)^MAX(0,C751-1)+Paths!$K$74*(1+'Operating costs'!$B$53)^MAX(0,C751-1)),"n.a."))</f>
        <v>0</v>
      </c>
      <c r="H751" s="16">
        <f>IF(NOT(Paths!$C$74=1),0,IF(Paths!$P$74="Complete",F751/12*(Paths!$L$74*(1+IF(Paths!$D$74="EV",'Operating costs'!$B$52,'Operating costs'!$B$51))^MAX(0,C751-1)+Paths!$M$74*(1+'Operating costs'!$B$53)^MAX(0,C751-1)),"n.a."))</f>
        <v>0</v>
      </c>
      <c r="I751" s="16">
        <f>IF(NOT(Paths!$C$74=1),0,IF(Paths!$P$74="Complete",IF(IF(Paths!$E$74=0,C751=0,AND(C751&gt;0,Paths!$E$74&gt;(C751-1)*12,Paths!$E$74&lt;=C751*12)),Paths!$G$74,0),"n.a."))</f>
        <v>0</v>
      </c>
      <c r="J751" s="16">
        <f>IF(NOT(Paths!$C$74=1),0,IF(Paths!$P$74="Complete",IF(IF(Paths!$E$74=0,C751=0,AND(C751&gt;0,Paths!$E$74&gt;(C751-1)*12,Paths!$E$74&lt;=C751*12)),Paths!$H$74,0),"n.a."))</f>
        <v>0</v>
      </c>
      <c r="K751" s="16">
        <f>IF(NOT(Paths!$C$74=1),0,IF(Paths!$P$74="Complete",IF(IF(Paths!$O$74=0,C751=0,AND(C751&gt;0,Paths!$O$74&gt;(C751-1)*12,Paths!$O$74&lt;=C751*12)),Paths!$N$74,0),"n.a."))</f>
        <v>0</v>
      </c>
      <c r="L751" s="16">
        <f>IF(NOT(Paths!$C$74=1),0,IF(Paths!$P$74="Complete",IF(C751=10,Paths!$I$74,0),"n.a."))</f>
        <v>0</v>
      </c>
      <c r="M751" s="16">
        <f>IF(NOT(Paths!$C$74=1),0,IF(Paths!$P$74="Complete",IF(AND(Paths!$D$74="EV",Paths!$E$74&lt;120,Paths!$E$74+'Operating costs'!$B$65&gt;Paths!$E$74,Paths!$E$74+'Operating costs'!$B$65&lt;=120,IF(Paths!$E$74+'Operating costs'!$B$65=0,C751=0,AND(C751&gt;0,Paths!$E$74+'Operating costs'!$B$65&gt;(C751-1)*12,Paths!$E$74+'Operating costs'!$B$65&lt;=C751*12))),'Operating costs'!$B$64,0)+IF(AND('Operating costs'!$B$67&gt;0,'Operating costs'!$B$67&lt;=120,OR(Paths!$D$74="ICE",'Operating costs'!$B$67&lt;=Paths!$E$74),IF('Operating costs'!$B$67=0,C751=0,AND(C751&gt;0,'Operating costs'!$B$67&gt;(C751-1)*12,'Operating costs'!$B$67&lt;=C751*12))),'Operating costs'!$B$66,0),"n.a."))</f>
        <v>0</v>
      </c>
      <c r="N751" s="16">
        <f>IF(NOT(Paths!$C$74=1),0,IF(Paths!$P$74="Complete",SUM(G751:I751)-J751-K751-L751+M751+IF(C751=0,Paths!$F$74,0)+IF(IF(Paths!$E$74=0,C751=0,AND(C751&gt;0,Paths!$E$74&gt;(C751-1)*12,Paths!$E$74&lt;=C751*12)),VLOOKUP(A751,'Fleet register'!$A$7:$S$106,16,FALSE),0),"n.a."))</f>
        <v>0</v>
      </c>
      <c r="O751" s="16">
        <f>IF(NOT(Paths!$C$74=1),0,IF(Paths!$P$74="Complete",N751-IF(C751=0,Paths!$F$74,0),"n.a."))</f>
        <v>0</v>
      </c>
      <c r="P751" s="16">
        <f>IF(NOT(Paths!$C$74=1),0,IF(Paths!$P$74="Complete",O751+L751,"n.a."))</f>
        <v>0</v>
      </c>
      <c r="Q751" s="16">
        <f>IF(NOT(Paths!$C$74=1),0,IF(Paths!$P$74="Complete",N751*(1+'Operating costs'!$B$54)^-C751,"n.a."))</f>
        <v>0</v>
      </c>
      <c r="R751" s="16">
        <f>IF(NOT(Paths!$C$74=1),0,IF(Paths!$P$74="Complete",IF(AND(C751=0,Paths!$E$74=0),I751-J751-K751+VLOOKUP(A751,'Fleet register'!$A$7:$S$106,15,FALSE)+VLOOKUP(A751,'Fleet register'!$A$7:$S$106,16,FALSE),0),"n.a."))</f>
        <v>0</v>
      </c>
      <c r="S751" s="1">
        <f>IF(NOT(Paths!$C$74=1),0,IF(Paths!$P$74="Complete",IF(C751=0,0,Paths!$S$74*Paths!$R$74),"n.a."))</f>
        <v>0</v>
      </c>
      <c r="T751" s="1">
        <f>IF(NOT(Paths!$C$74=1),0,IF(Paths!$P$74="Complete",IF(C751=0,0,VLOOKUP(A751,'Fleet register'!$A$7:$S$106,9,FALSE)*Paths!$R$74),"n.a."))</f>
        <v>0</v>
      </c>
    </row>
    <row r="752" spans="1:20" ht="24" customHeight="1">
      <c r="A752" s="1" t="str">
        <f>Paths!$A$74</f>
        <v>T017</v>
      </c>
      <c r="B752" s="1">
        <f>Paths!$B$74</f>
        <v>3</v>
      </c>
      <c r="C752" s="1">
        <v>8</v>
      </c>
      <c r="D752" s="1">
        <v>74</v>
      </c>
      <c r="E752" s="1">
        <f>IF(OR(Paths!$C$74=0,C752=0),0,MAX(0,MIN(C752*12,Paths!$E$74)-(C752-1)*12))</f>
        <v>0</v>
      </c>
      <c r="F752" s="1">
        <f>IF(OR(Paths!$C$74=0,C752=0),0,12-E752)</f>
        <v>0</v>
      </c>
      <c r="G752" s="16">
        <f>IF(NOT(Paths!$C$74=1),0,IF(Paths!$P$74="Complete",E752/12*(Paths!$J$74*(1+'Operating costs'!$B$51)^MAX(0,C752-1)+Paths!$K$74*(1+'Operating costs'!$B$53)^MAX(0,C752-1)),"n.a."))</f>
        <v>0</v>
      </c>
      <c r="H752" s="16">
        <f>IF(NOT(Paths!$C$74=1),0,IF(Paths!$P$74="Complete",F752/12*(Paths!$L$74*(1+IF(Paths!$D$74="EV",'Operating costs'!$B$52,'Operating costs'!$B$51))^MAX(0,C752-1)+Paths!$M$74*(1+'Operating costs'!$B$53)^MAX(0,C752-1)),"n.a."))</f>
        <v>0</v>
      </c>
      <c r="I752" s="16">
        <f>IF(NOT(Paths!$C$74=1),0,IF(Paths!$P$74="Complete",IF(IF(Paths!$E$74=0,C752=0,AND(C752&gt;0,Paths!$E$74&gt;(C752-1)*12,Paths!$E$74&lt;=C752*12)),Paths!$G$74,0),"n.a."))</f>
        <v>0</v>
      </c>
      <c r="J752" s="16">
        <f>IF(NOT(Paths!$C$74=1),0,IF(Paths!$P$74="Complete",IF(IF(Paths!$E$74=0,C752=0,AND(C752&gt;0,Paths!$E$74&gt;(C752-1)*12,Paths!$E$74&lt;=C752*12)),Paths!$H$74,0),"n.a."))</f>
        <v>0</v>
      </c>
      <c r="K752" s="16">
        <f>IF(NOT(Paths!$C$74=1),0,IF(Paths!$P$74="Complete",IF(IF(Paths!$O$74=0,C752=0,AND(C752&gt;0,Paths!$O$74&gt;(C752-1)*12,Paths!$O$74&lt;=C752*12)),Paths!$N$74,0),"n.a."))</f>
        <v>0</v>
      </c>
      <c r="L752" s="16">
        <f>IF(NOT(Paths!$C$74=1),0,IF(Paths!$P$74="Complete",IF(C752=10,Paths!$I$74,0),"n.a."))</f>
        <v>0</v>
      </c>
      <c r="M752" s="16">
        <f>IF(NOT(Paths!$C$74=1),0,IF(Paths!$P$74="Complete",IF(AND(Paths!$D$74="EV",Paths!$E$74&lt;120,Paths!$E$74+'Operating costs'!$B$65&gt;Paths!$E$74,Paths!$E$74+'Operating costs'!$B$65&lt;=120,IF(Paths!$E$74+'Operating costs'!$B$65=0,C752=0,AND(C752&gt;0,Paths!$E$74+'Operating costs'!$B$65&gt;(C752-1)*12,Paths!$E$74+'Operating costs'!$B$65&lt;=C752*12))),'Operating costs'!$B$64,0)+IF(AND('Operating costs'!$B$67&gt;0,'Operating costs'!$B$67&lt;=120,OR(Paths!$D$74="ICE",'Operating costs'!$B$67&lt;=Paths!$E$74),IF('Operating costs'!$B$67=0,C752=0,AND(C752&gt;0,'Operating costs'!$B$67&gt;(C752-1)*12,'Operating costs'!$B$67&lt;=C752*12))),'Operating costs'!$B$66,0),"n.a."))</f>
        <v>0</v>
      </c>
      <c r="N752" s="16">
        <f>IF(NOT(Paths!$C$74=1),0,IF(Paths!$P$74="Complete",SUM(G752:I752)-J752-K752-L752+M752+IF(C752=0,Paths!$F$74,0)+IF(IF(Paths!$E$74=0,C752=0,AND(C752&gt;0,Paths!$E$74&gt;(C752-1)*12,Paths!$E$74&lt;=C752*12)),VLOOKUP(A752,'Fleet register'!$A$7:$S$106,16,FALSE),0),"n.a."))</f>
        <v>0</v>
      </c>
      <c r="O752" s="16">
        <f>IF(NOT(Paths!$C$74=1),0,IF(Paths!$P$74="Complete",N752-IF(C752=0,Paths!$F$74,0),"n.a."))</f>
        <v>0</v>
      </c>
      <c r="P752" s="16">
        <f>IF(NOT(Paths!$C$74=1),0,IF(Paths!$P$74="Complete",O752+L752,"n.a."))</f>
        <v>0</v>
      </c>
      <c r="Q752" s="16">
        <f>IF(NOT(Paths!$C$74=1),0,IF(Paths!$P$74="Complete",N752*(1+'Operating costs'!$B$54)^-C752,"n.a."))</f>
        <v>0</v>
      </c>
      <c r="R752" s="16">
        <f>IF(NOT(Paths!$C$74=1),0,IF(Paths!$P$74="Complete",IF(AND(C752=0,Paths!$E$74=0),I752-J752-K752+VLOOKUP(A752,'Fleet register'!$A$7:$S$106,15,FALSE)+VLOOKUP(A752,'Fleet register'!$A$7:$S$106,16,FALSE),0),"n.a."))</f>
        <v>0</v>
      </c>
      <c r="S752" s="1">
        <f>IF(NOT(Paths!$C$74=1),0,IF(Paths!$P$74="Complete",IF(C752=0,0,Paths!$S$74*Paths!$R$74),"n.a."))</f>
        <v>0</v>
      </c>
      <c r="T752" s="1">
        <f>IF(NOT(Paths!$C$74=1),0,IF(Paths!$P$74="Complete",IF(C752=0,0,VLOOKUP(A752,'Fleet register'!$A$7:$S$106,9,FALSE)*Paths!$R$74),"n.a."))</f>
        <v>0</v>
      </c>
    </row>
    <row r="753" spans="1:20" ht="24" customHeight="1">
      <c r="A753" s="1" t="str">
        <f>Paths!$A$74</f>
        <v>T017</v>
      </c>
      <c r="B753" s="1">
        <f>Paths!$B$74</f>
        <v>3</v>
      </c>
      <c r="C753" s="1">
        <v>9</v>
      </c>
      <c r="D753" s="1">
        <v>74</v>
      </c>
      <c r="E753" s="1">
        <f>IF(OR(Paths!$C$74=0,C753=0),0,MAX(0,MIN(C753*12,Paths!$E$74)-(C753-1)*12))</f>
        <v>0</v>
      </c>
      <c r="F753" s="1">
        <f>IF(OR(Paths!$C$74=0,C753=0),0,12-E753)</f>
        <v>0</v>
      </c>
      <c r="G753" s="16">
        <f>IF(NOT(Paths!$C$74=1),0,IF(Paths!$P$74="Complete",E753/12*(Paths!$J$74*(1+'Operating costs'!$B$51)^MAX(0,C753-1)+Paths!$K$74*(1+'Operating costs'!$B$53)^MAX(0,C753-1)),"n.a."))</f>
        <v>0</v>
      </c>
      <c r="H753" s="16">
        <f>IF(NOT(Paths!$C$74=1),0,IF(Paths!$P$74="Complete",F753/12*(Paths!$L$74*(1+IF(Paths!$D$74="EV",'Operating costs'!$B$52,'Operating costs'!$B$51))^MAX(0,C753-1)+Paths!$M$74*(1+'Operating costs'!$B$53)^MAX(0,C753-1)),"n.a."))</f>
        <v>0</v>
      </c>
      <c r="I753" s="16">
        <f>IF(NOT(Paths!$C$74=1),0,IF(Paths!$P$74="Complete",IF(IF(Paths!$E$74=0,C753=0,AND(C753&gt;0,Paths!$E$74&gt;(C753-1)*12,Paths!$E$74&lt;=C753*12)),Paths!$G$74,0),"n.a."))</f>
        <v>0</v>
      </c>
      <c r="J753" s="16">
        <f>IF(NOT(Paths!$C$74=1),0,IF(Paths!$P$74="Complete",IF(IF(Paths!$E$74=0,C753=0,AND(C753&gt;0,Paths!$E$74&gt;(C753-1)*12,Paths!$E$74&lt;=C753*12)),Paths!$H$74,0),"n.a."))</f>
        <v>0</v>
      </c>
      <c r="K753" s="16">
        <f>IF(NOT(Paths!$C$74=1),0,IF(Paths!$P$74="Complete",IF(IF(Paths!$O$74=0,C753=0,AND(C753&gt;0,Paths!$O$74&gt;(C753-1)*12,Paths!$O$74&lt;=C753*12)),Paths!$N$74,0),"n.a."))</f>
        <v>0</v>
      </c>
      <c r="L753" s="16">
        <f>IF(NOT(Paths!$C$74=1),0,IF(Paths!$P$74="Complete",IF(C753=10,Paths!$I$74,0),"n.a."))</f>
        <v>0</v>
      </c>
      <c r="M753" s="16">
        <f>IF(NOT(Paths!$C$74=1),0,IF(Paths!$P$74="Complete",IF(AND(Paths!$D$74="EV",Paths!$E$74&lt;120,Paths!$E$74+'Operating costs'!$B$65&gt;Paths!$E$74,Paths!$E$74+'Operating costs'!$B$65&lt;=120,IF(Paths!$E$74+'Operating costs'!$B$65=0,C753=0,AND(C753&gt;0,Paths!$E$74+'Operating costs'!$B$65&gt;(C753-1)*12,Paths!$E$74+'Operating costs'!$B$65&lt;=C753*12))),'Operating costs'!$B$64,0)+IF(AND('Operating costs'!$B$67&gt;0,'Operating costs'!$B$67&lt;=120,OR(Paths!$D$74="ICE",'Operating costs'!$B$67&lt;=Paths!$E$74),IF('Operating costs'!$B$67=0,C753=0,AND(C753&gt;0,'Operating costs'!$B$67&gt;(C753-1)*12,'Operating costs'!$B$67&lt;=C753*12))),'Operating costs'!$B$66,0),"n.a."))</f>
        <v>0</v>
      </c>
      <c r="N753" s="16">
        <f>IF(NOT(Paths!$C$74=1),0,IF(Paths!$P$74="Complete",SUM(G753:I753)-J753-K753-L753+M753+IF(C753=0,Paths!$F$74,0)+IF(IF(Paths!$E$74=0,C753=0,AND(C753&gt;0,Paths!$E$74&gt;(C753-1)*12,Paths!$E$74&lt;=C753*12)),VLOOKUP(A753,'Fleet register'!$A$7:$S$106,16,FALSE),0),"n.a."))</f>
        <v>0</v>
      </c>
      <c r="O753" s="16">
        <f>IF(NOT(Paths!$C$74=1),0,IF(Paths!$P$74="Complete",N753-IF(C753=0,Paths!$F$74,0),"n.a."))</f>
        <v>0</v>
      </c>
      <c r="P753" s="16">
        <f>IF(NOT(Paths!$C$74=1),0,IF(Paths!$P$74="Complete",O753+L753,"n.a."))</f>
        <v>0</v>
      </c>
      <c r="Q753" s="16">
        <f>IF(NOT(Paths!$C$74=1),0,IF(Paths!$P$74="Complete",N753*(1+'Operating costs'!$B$54)^-C753,"n.a."))</f>
        <v>0</v>
      </c>
      <c r="R753" s="16">
        <f>IF(NOT(Paths!$C$74=1),0,IF(Paths!$P$74="Complete",IF(AND(C753=0,Paths!$E$74=0),I753-J753-K753+VLOOKUP(A753,'Fleet register'!$A$7:$S$106,15,FALSE)+VLOOKUP(A753,'Fleet register'!$A$7:$S$106,16,FALSE),0),"n.a."))</f>
        <v>0</v>
      </c>
      <c r="S753" s="1">
        <f>IF(NOT(Paths!$C$74=1),0,IF(Paths!$P$74="Complete",IF(C753=0,0,Paths!$S$74*Paths!$R$74),"n.a."))</f>
        <v>0</v>
      </c>
      <c r="T753" s="1">
        <f>IF(NOT(Paths!$C$74=1),0,IF(Paths!$P$74="Complete",IF(C753=0,0,VLOOKUP(A753,'Fleet register'!$A$7:$S$106,9,FALSE)*Paths!$R$74),"n.a."))</f>
        <v>0</v>
      </c>
    </row>
    <row r="754" spans="1:20" ht="24" customHeight="1">
      <c r="A754" s="1" t="str">
        <f>Paths!$A$74</f>
        <v>T017</v>
      </c>
      <c r="B754" s="1">
        <f>Paths!$B$74</f>
        <v>3</v>
      </c>
      <c r="C754" s="1">
        <v>10</v>
      </c>
      <c r="D754" s="1">
        <v>74</v>
      </c>
      <c r="E754" s="1">
        <f>IF(OR(Paths!$C$74=0,C754=0),0,MAX(0,MIN(C754*12,Paths!$E$74)-(C754-1)*12))</f>
        <v>0</v>
      </c>
      <c r="F754" s="1">
        <f>IF(OR(Paths!$C$74=0,C754=0),0,12-E754)</f>
        <v>0</v>
      </c>
      <c r="G754" s="16">
        <f>IF(NOT(Paths!$C$74=1),0,IF(Paths!$P$74="Complete",E754/12*(Paths!$J$74*(1+'Operating costs'!$B$51)^MAX(0,C754-1)+Paths!$K$74*(1+'Operating costs'!$B$53)^MAX(0,C754-1)),"n.a."))</f>
        <v>0</v>
      </c>
      <c r="H754" s="16">
        <f>IF(NOT(Paths!$C$74=1),0,IF(Paths!$P$74="Complete",F754/12*(Paths!$L$74*(1+IF(Paths!$D$74="EV",'Operating costs'!$B$52,'Operating costs'!$B$51))^MAX(0,C754-1)+Paths!$M$74*(1+'Operating costs'!$B$53)^MAX(0,C754-1)),"n.a."))</f>
        <v>0</v>
      </c>
      <c r="I754" s="16">
        <f>IF(NOT(Paths!$C$74=1),0,IF(Paths!$P$74="Complete",IF(IF(Paths!$E$74=0,C754=0,AND(C754&gt;0,Paths!$E$74&gt;(C754-1)*12,Paths!$E$74&lt;=C754*12)),Paths!$G$74,0),"n.a."))</f>
        <v>0</v>
      </c>
      <c r="J754" s="16">
        <f>IF(NOT(Paths!$C$74=1),0,IF(Paths!$P$74="Complete",IF(IF(Paths!$E$74=0,C754=0,AND(C754&gt;0,Paths!$E$74&gt;(C754-1)*12,Paths!$E$74&lt;=C754*12)),Paths!$H$74,0),"n.a."))</f>
        <v>0</v>
      </c>
      <c r="K754" s="16">
        <f>IF(NOT(Paths!$C$74=1),0,IF(Paths!$P$74="Complete",IF(IF(Paths!$O$74=0,C754=0,AND(C754&gt;0,Paths!$O$74&gt;(C754-1)*12,Paths!$O$74&lt;=C754*12)),Paths!$N$74,0),"n.a."))</f>
        <v>0</v>
      </c>
      <c r="L754" s="16">
        <f>IF(NOT(Paths!$C$74=1),0,IF(Paths!$P$74="Complete",IF(C754=10,Paths!$I$74,0),"n.a."))</f>
        <v>0</v>
      </c>
      <c r="M754" s="16">
        <f>IF(NOT(Paths!$C$74=1),0,IF(Paths!$P$74="Complete",IF(AND(Paths!$D$74="EV",Paths!$E$74&lt;120,Paths!$E$74+'Operating costs'!$B$65&gt;Paths!$E$74,Paths!$E$74+'Operating costs'!$B$65&lt;=120,IF(Paths!$E$74+'Operating costs'!$B$65=0,C754=0,AND(C754&gt;0,Paths!$E$74+'Operating costs'!$B$65&gt;(C754-1)*12,Paths!$E$74+'Operating costs'!$B$65&lt;=C754*12))),'Operating costs'!$B$64,0)+IF(AND('Operating costs'!$B$67&gt;0,'Operating costs'!$B$67&lt;=120,OR(Paths!$D$74="ICE",'Operating costs'!$B$67&lt;=Paths!$E$74),IF('Operating costs'!$B$67=0,C754=0,AND(C754&gt;0,'Operating costs'!$B$67&gt;(C754-1)*12,'Operating costs'!$B$67&lt;=C754*12))),'Operating costs'!$B$66,0),"n.a."))</f>
        <v>0</v>
      </c>
      <c r="N754" s="16">
        <f>IF(NOT(Paths!$C$74=1),0,IF(Paths!$P$74="Complete",SUM(G754:I754)-J754-K754-L754+M754+IF(C754=0,Paths!$F$74,0)+IF(IF(Paths!$E$74=0,C754=0,AND(C754&gt;0,Paths!$E$74&gt;(C754-1)*12,Paths!$E$74&lt;=C754*12)),VLOOKUP(A754,'Fleet register'!$A$7:$S$106,16,FALSE),0),"n.a."))</f>
        <v>0</v>
      </c>
      <c r="O754" s="16">
        <f>IF(NOT(Paths!$C$74=1),0,IF(Paths!$P$74="Complete",N754-IF(C754=0,Paths!$F$74,0),"n.a."))</f>
        <v>0</v>
      </c>
      <c r="P754" s="16">
        <f>IF(NOT(Paths!$C$74=1),0,IF(Paths!$P$74="Complete",O754+L754,"n.a."))</f>
        <v>0</v>
      </c>
      <c r="Q754" s="16">
        <f>IF(NOT(Paths!$C$74=1),0,IF(Paths!$P$74="Complete",N754*(1+'Operating costs'!$B$54)^-C754,"n.a."))</f>
        <v>0</v>
      </c>
      <c r="R754" s="16">
        <f>IF(NOT(Paths!$C$74=1),0,IF(Paths!$P$74="Complete",IF(AND(C754=0,Paths!$E$74=0),I754-J754-K754+VLOOKUP(A754,'Fleet register'!$A$7:$S$106,15,FALSE)+VLOOKUP(A754,'Fleet register'!$A$7:$S$106,16,FALSE),0),"n.a."))</f>
        <v>0</v>
      </c>
      <c r="S754" s="1">
        <f>IF(NOT(Paths!$C$74=1),0,IF(Paths!$P$74="Complete",IF(C754=0,0,Paths!$S$74*Paths!$R$74),"n.a."))</f>
        <v>0</v>
      </c>
      <c r="T754" s="1">
        <f>IF(NOT(Paths!$C$74=1),0,IF(Paths!$P$74="Complete",IF(C754=0,0,VLOOKUP(A754,'Fleet register'!$A$7:$S$106,9,FALSE)*Paths!$R$74),"n.a."))</f>
        <v>0</v>
      </c>
    </row>
    <row r="755" spans="1:20" ht="24" customHeight="1">
      <c r="A755" s="1" t="str">
        <f>Paths!$A$75</f>
        <v>T018</v>
      </c>
      <c r="B755" s="1">
        <f>Paths!$B$75</f>
        <v>0</v>
      </c>
      <c r="C755" s="1">
        <v>0</v>
      </c>
      <c r="D755" s="1">
        <v>75</v>
      </c>
      <c r="E755" s="1">
        <f>IF(OR(Paths!$C$75=0,C755=0),0,MAX(0,MIN(C755*12,Paths!$E$75)-(C755-1)*12))</f>
        <v>0</v>
      </c>
      <c r="F755" s="1">
        <f>IF(OR(Paths!$C$75=0,C755=0),0,12-E755)</f>
        <v>0</v>
      </c>
      <c r="G755" s="16">
        <f>IF(NOT(Paths!$C$75=1),0,IF(Paths!$P$75="Complete",E755/12*(Paths!$J$75*(1+'Operating costs'!$B$51)^MAX(0,C755-1)+Paths!$K$75*(1+'Operating costs'!$B$53)^MAX(0,C755-1)),"n.a."))</f>
        <v>0</v>
      </c>
      <c r="H755" s="16">
        <f>IF(NOT(Paths!$C$75=1),0,IF(Paths!$P$75="Complete",F755/12*(Paths!$L$75*(1+IF(Paths!$D$75="EV",'Operating costs'!$B$52,'Operating costs'!$B$51))^MAX(0,C755-1)+Paths!$M$75*(1+'Operating costs'!$B$53)^MAX(0,C755-1)),"n.a."))</f>
        <v>0</v>
      </c>
      <c r="I755" s="16">
        <f>IF(NOT(Paths!$C$75=1),0,IF(Paths!$P$75="Complete",IF(IF(Paths!$E$75=0,C755=0,AND(C755&gt;0,Paths!$E$75&gt;(C755-1)*12,Paths!$E$75&lt;=C755*12)),Paths!$G$75,0),"n.a."))</f>
        <v>0</v>
      </c>
      <c r="J755" s="16">
        <f>IF(NOT(Paths!$C$75=1),0,IF(Paths!$P$75="Complete",IF(IF(Paths!$E$75=0,C755=0,AND(C755&gt;0,Paths!$E$75&gt;(C755-1)*12,Paths!$E$75&lt;=C755*12)),Paths!$H$75,0),"n.a."))</f>
        <v>0</v>
      </c>
      <c r="K755" s="16">
        <f>IF(NOT(Paths!$C$75=1),0,IF(Paths!$P$75="Complete",IF(IF(Paths!$O$75=0,C755=0,AND(C755&gt;0,Paths!$O$75&gt;(C755-1)*12,Paths!$O$75&lt;=C755*12)),Paths!$N$75,0),"n.a."))</f>
        <v>0</v>
      </c>
      <c r="L755" s="16">
        <f>IF(NOT(Paths!$C$75=1),0,IF(Paths!$P$75="Complete",IF(C755=10,Paths!$I$75,0),"n.a."))</f>
        <v>0</v>
      </c>
      <c r="M755" s="16">
        <f>IF(NOT(Paths!$C$75=1),0,IF(Paths!$P$75="Complete",IF(AND(Paths!$D$75="EV",Paths!$E$75&lt;120,Paths!$E$75+'Operating costs'!$B$65&gt;Paths!$E$75,Paths!$E$75+'Operating costs'!$B$65&lt;=120,IF(Paths!$E$75+'Operating costs'!$B$65=0,C755=0,AND(C755&gt;0,Paths!$E$75+'Operating costs'!$B$65&gt;(C755-1)*12,Paths!$E$75+'Operating costs'!$B$65&lt;=C755*12))),'Operating costs'!$B$64,0)+IF(AND('Operating costs'!$B$67&gt;0,'Operating costs'!$B$67&lt;=120,OR(Paths!$D$75="ICE",'Operating costs'!$B$67&lt;=Paths!$E$75),IF('Operating costs'!$B$67=0,C755=0,AND(C755&gt;0,'Operating costs'!$B$67&gt;(C755-1)*12,'Operating costs'!$B$67&lt;=C755*12))),'Operating costs'!$B$66,0),"n.a."))</f>
        <v>0</v>
      </c>
      <c r="N755" s="16">
        <f>IF(NOT(Paths!$C$75=1),0,IF(Paths!$P$75="Complete",SUM(G755:I755)-J755-K755-L755+M755+IF(C755=0,Paths!$F$75,0)+IF(IF(Paths!$E$75=0,C755=0,AND(C755&gt;0,Paths!$E$75&gt;(C755-1)*12,Paths!$E$75&lt;=C755*12)),VLOOKUP(A755,'Fleet register'!$A$7:$S$106,16,FALSE),0),"n.a."))</f>
        <v>0</v>
      </c>
      <c r="O755" s="16">
        <f>IF(NOT(Paths!$C$75=1),0,IF(Paths!$P$75="Complete",N755-IF(C755=0,Paths!$F$75,0),"n.a."))</f>
        <v>0</v>
      </c>
      <c r="P755" s="16">
        <f>IF(NOT(Paths!$C$75=1),0,IF(Paths!$P$75="Complete",O755+L755,"n.a."))</f>
        <v>0</v>
      </c>
      <c r="Q755" s="16">
        <f>IF(NOT(Paths!$C$75=1),0,IF(Paths!$P$75="Complete",N755*(1+'Operating costs'!$B$54)^-C755,"n.a."))</f>
        <v>0</v>
      </c>
      <c r="R755" s="16">
        <f>IF(NOT(Paths!$C$75=1),0,IF(Paths!$P$75="Complete",IF(AND(C755=0,Paths!$E$75=0),I755-J755-K755+VLOOKUP(A755,'Fleet register'!$A$7:$S$106,15,FALSE)+VLOOKUP(A755,'Fleet register'!$A$7:$S$106,16,FALSE),0),"n.a."))</f>
        <v>0</v>
      </c>
      <c r="S755" s="1">
        <f>IF(NOT(Paths!$C$75=1),0,IF(Paths!$P$75="Complete",IF(C755=0,0,Paths!$S$75*Paths!$R$75),"n.a."))</f>
        <v>0</v>
      </c>
      <c r="T755" s="1">
        <f>IF(NOT(Paths!$C$75=1),0,IF(Paths!$P$75="Complete",IF(C755=0,0,VLOOKUP(A755,'Fleet register'!$A$7:$S$106,9,FALSE)*Paths!$R$75),"n.a."))</f>
        <v>0</v>
      </c>
    </row>
    <row r="756" spans="1:20" ht="24" customHeight="1">
      <c r="A756" s="1" t="str">
        <f>Paths!$A$75</f>
        <v>T018</v>
      </c>
      <c r="B756" s="1">
        <f>Paths!$B$75</f>
        <v>0</v>
      </c>
      <c r="C756" s="1">
        <v>1</v>
      </c>
      <c r="D756" s="1">
        <v>75</v>
      </c>
      <c r="E756" s="1">
        <f>IF(OR(Paths!$C$75=0,C756=0),0,MAX(0,MIN(C756*12,Paths!$E$75)-(C756-1)*12))</f>
        <v>0</v>
      </c>
      <c r="F756" s="1">
        <f>IF(OR(Paths!$C$75=0,C756=0),0,12-E756)</f>
        <v>0</v>
      </c>
      <c r="G756" s="16">
        <f>IF(NOT(Paths!$C$75=1),0,IF(Paths!$P$75="Complete",E756/12*(Paths!$J$75*(1+'Operating costs'!$B$51)^MAX(0,C756-1)+Paths!$K$75*(1+'Operating costs'!$B$53)^MAX(0,C756-1)),"n.a."))</f>
        <v>0</v>
      </c>
      <c r="H756" s="16">
        <f>IF(NOT(Paths!$C$75=1),0,IF(Paths!$P$75="Complete",F756/12*(Paths!$L$75*(1+IF(Paths!$D$75="EV",'Operating costs'!$B$52,'Operating costs'!$B$51))^MAX(0,C756-1)+Paths!$M$75*(1+'Operating costs'!$B$53)^MAX(0,C756-1)),"n.a."))</f>
        <v>0</v>
      </c>
      <c r="I756" s="16">
        <f>IF(NOT(Paths!$C$75=1),0,IF(Paths!$P$75="Complete",IF(IF(Paths!$E$75=0,C756=0,AND(C756&gt;0,Paths!$E$75&gt;(C756-1)*12,Paths!$E$75&lt;=C756*12)),Paths!$G$75,0),"n.a."))</f>
        <v>0</v>
      </c>
      <c r="J756" s="16">
        <f>IF(NOT(Paths!$C$75=1),0,IF(Paths!$P$75="Complete",IF(IF(Paths!$E$75=0,C756=0,AND(C756&gt;0,Paths!$E$75&gt;(C756-1)*12,Paths!$E$75&lt;=C756*12)),Paths!$H$75,0),"n.a."))</f>
        <v>0</v>
      </c>
      <c r="K756" s="16">
        <f>IF(NOT(Paths!$C$75=1),0,IF(Paths!$P$75="Complete",IF(IF(Paths!$O$75=0,C756=0,AND(C756&gt;0,Paths!$O$75&gt;(C756-1)*12,Paths!$O$75&lt;=C756*12)),Paths!$N$75,0),"n.a."))</f>
        <v>0</v>
      </c>
      <c r="L756" s="16">
        <f>IF(NOT(Paths!$C$75=1),0,IF(Paths!$P$75="Complete",IF(C756=10,Paths!$I$75,0),"n.a."))</f>
        <v>0</v>
      </c>
      <c r="M756" s="16">
        <f>IF(NOT(Paths!$C$75=1),0,IF(Paths!$P$75="Complete",IF(AND(Paths!$D$75="EV",Paths!$E$75&lt;120,Paths!$E$75+'Operating costs'!$B$65&gt;Paths!$E$75,Paths!$E$75+'Operating costs'!$B$65&lt;=120,IF(Paths!$E$75+'Operating costs'!$B$65=0,C756=0,AND(C756&gt;0,Paths!$E$75+'Operating costs'!$B$65&gt;(C756-1)*12,Paths!$E$75+'Operating costs'!$B$65&lt;=C756*12))),'Operating costs'!$B$64,0)+IF(AND('Operating costs'!$B$67&gt;0,'Operating costs'!$B$67&lt;=120,OR(Paths!$D$75="ICE",'Operating costs'!$B$67&lt;=Paths!$E$75),IF('Operating costs'!$B$67=0,C756=0,AND(C756&gt;0,'Operating costs'!$B$67&gt;(C756-1)*12,'Operating costs'!$B$67&lt;=C756*12))),'Operating costs'!$B$66,0),"n.a."))</f>
        <v>0</v>
      </c>
      <c r="N756" s="16">
        <f>IF(NOT(Paths!$C$75=1),0,IF(Paths!$P$75="Complete",SUM(G756:I756)-J756-K756-L756+M756+IF(C756=0,Paths!$F$75,0)+IF(IF(Paths!$E$75=0,C756=0,AND(C756&gt;0,Paths!$E$75&gt;(C756-1)*12,Paths!$E$75&lt;=C756*12)),VLOOKUP(A756,'Fleet register'!$A$7:$S$106,16,FALSE),0),"n.a."))</f>
        <v>0</v>
      </c>
      <c r="O756" s="16">
        <f>IF(NOT(Paths!$C$75=1),0,IF(Paths!$P$75="Complete",N756-IF(C756=0,Paths!$F$75,0),"n.a."))</f>
        <v>0</v>
      </c>
      <c r="P756" s="16">
        <f>IF(NOT(Paths!$C$75=1),0,IF(Paths!$P$75="Complete",O756+L756,"n.a."))</f>
        <v>0</v>
      </c>
      <c r="Q756" s="16">
        <f>IF(NOT(Paths!$C$75=1),0,IF(Paths!$P$75="Complete",N756*(1+'Operating costs'!$B$54)^-C756,"n.a."))</f>
        <v>0</v>
      </c>
      <c r="R756" s="16">
        <f>IF(NOT(Paths!$C$75=1),0,IF(Paths!$P$75="Complete",IF(AND(C756=0,Paths!$E$75=0),I756-J756-K756+VLOOKUP(A756,'Fleet register'!$A$7:$S$106,15,FALSE)+VLOOKUP(A756,'Fleet register'!$A$7:$S$106,16,FALSE),0),"n.a."))</f>
        <v>0</v>
      </c>
      <c r="S756" s="1">
        <f>IF(NOT(Paths!$C$75=1),0,IF(Paths!$P$75="Complete",IF(C756=0,0,Paths!$S$75*Paths!$R$75),"n.a."))</f>
        <v>0</v>
      </c>
      <c r="T756" s="1">
        <f>IF(NOT(Paths!$C$75=1),0,IF(Paths!$P$75="Complete",IF(C756=0,0,VLOOKUP(A756,'Fleet register'!$A$7:$S$106,9,FALSE)*Paths!$R$75),"n.a."))</f>
        <v>0</v>
      </c>
    </row>
    <row r="757" spans="1:20" ht="24" customHeight="1">
      <c r="A757" s="1" t="str">
        <f>Paths!$A$75</f>
        <v>T018</v>
      </c>
      <c r="B757" s="1">
        <f>Paths!$B$75</f>
        <v>0</v>
      </c>
      <c r="C757" s="1">
        <v>2</v>
      </c>
      <c r="D757" s="1">
        <v>75</v>
      </c>
      <c r="E757" s="1">
        <f>IF(OR(Paths!$C$75=0,C757=0),0,MAX(0,MIN(C757*12,Paths!$E$75)-(C757-1)*12))</f>
        <v>0</v>
      </c>
      <c r="F757" s="1">
        <f>IF(OR(Paths!$C$75=0,C757=0),0,12-E757)</f>
        <v>0</v>
      </c>
      <c r="G757" s="16">
        <f>IF(NOT(Paths!$C$75=1),0,IF(Paths!$P$75="Complete",E757/12*(Paths!$J$75*(1+'Operating costs'!$B$51)^MAX(0,C757-1)+Paths!$K$75*(1+'Operating costs'!$B$53)^MAX(0,C757-1)),"n.a."))</f>
        <v>0</v>
      </c>
      <c r="H757" s="16">
        <f>IF(NOT(Paths!$C$75=1),0,IF(Paths!$P$75="Complete",F757/12*(Paths!$L$75*(1+IF(Paths!$D$75="EV",'Operating costs'!$B$52,'Operating costs'!$B$51))^MAX(0,C757-1)+Paths!$M$75*(1+'Operating costs'!$B$53)^MAX(0,C757-1)),"n.a."))</f>
        <v>0</v>
      </c>
      <c r="I757" s="16">
        <f>IF(NOT(Paths!$C$75=1),0,IF(Paths!$P$75="Complete",IF(IF(Paths!$E$75=0,C757=0,AND(C757&gt;0,Paths!$E$75&gt;(C757-1)*12,Paths!$E$75&lt;=C757*12)),Paths!$G$75,0),"n.a."))</f>
        <v>0</v>
      </c>
      <c r="J757" s="16">
        <f>IF(NOT(Paths!$C$75=1),0,IF(Paths!$P$75="Complete",IF(IF(Paths!$E$75=0,C757=0,AND(C757&gt;0,Paths!$E$75&gt;(C757-1)*12,Paths!$E$75&lt;=C757*12)),Paths!$H$75,0),"n.a."))</f>
        <v>0</v>
      </c>
      <c r="K757" s="16">
        <f>IF(NOT(Paths!$C$75=1),0,IF(Paths!$P$75="Complete",IF(IF(Paths!$O$75=0,C757=0,AND(C757&gt;0,Paths!$O$75&gt;(C757-1)*12,Paths!$O$75&lt;=C757*12)),Paths!$N$75,0),"n.a."))</f>
        <v>0</v>
      </c>
      <c r="L757" s="16">
        <f>IF(NOT(Paths!$C$75=1),0,IF(Paths!$P$75="Complete",IF(C757=10,Paths!$I$75,0),"n.a."))</f>
        <v>0</v>
      </c>
      <c r="M757" s="16">
        <f>IF(NOT(Paths!$C$75=1),0,IF(Paths!$P$75="Complete",IF(AND(Paths!$D$75="EV",Paths!$E$75&lt;120,Paths!$E$75+'Operating costs'!$B$65&gt;Paths!$E$75,Paths!$E$75+'Operating costs'!$B$65&lt;=120,IF(Paths!$E$75+'Operating costs'!$B$65=0,C757=0,AND(C757&gt;0,Paths!$E$75+'Operating costs'!$B$65&gt;(C757-1)*12,Paths!$E$75+'Operating costs'!$B$65&lt;=C757*12))),'Operating costs'!$B$64,0)+IF(AND('Operating costs'!$B$67&gt;0,'Operating costs'!$B$67&lt;=120,OR(Paths!$D$75="ICE",'Operating costs'!$B$67&lt;=Paths!$E$75),IF('Operating costs'!$B$67=0,C757=0,AND(C757&gt;0,'Operating costs'!$B$67&gt;(C757-1)*12,'Operating costs'!$B$67&lt;=C757*12))),'Operating costs'!$B$66,0),"n.a."))</f>
        <v>0</v>
      </c>
      <c r="N757" s="16">
        <f>IF(NOT(Paths!$C$75=1),0,IF(Paths!$P$75="Complete",SUM(G757:I757)-J757-K757-L757+M757+IF(C757=0,Paths!$F$75,0)+IF(IF(Paths!$E$75=0,C757=0,AND(C757&gt;0,Paths!$E$75&gt;(C757-1)*12,Paths!$E$75&lt;=C757*12)),VLOOKUP(A757,'Fleet register'!$A$7:$S$106,16,FALSE),0),"n.a."))</f>
        <v>0</v>
      </c>
      <c r="O757" s="16">
        <f>IF(NOT(Paths!$C$75=1),0,IF(Paths!$P$75="Complete",N757-IF(C757=0,Paths!$F$75,0),"n.a."))</f>
        <v>0</v>
      </c>
      <c r="P757" s="16">
        <f>IF(NOT(Paths!$C$75=1),0,IF(Paths!$P$75="Complete",O757+L757,"n.a."))</f>
        <v>0</v>
      </c>
      <c r="Q757" s="16">
        <f>IF(NOT(Paths!$C$75=1),0,IF(Paths!$P$75="Complete",N757*(1+'Operating costs'!$B$54)^-C757,"n.a."))</f>
        <v>0</v>
      </c>
      <c r="R757" s="16">
        <f>IF(NOT(Paths!$C$75=1),0,IF(Paths!$P$75="Complete",IF(AND(C757=0,Paths!$E$75=0),I757-J757-K757+VLOOKUP(A757,'Fleet register'!$A$7:$S$106,15,FALSE)+VLOOKUP(A757,'Fleet register'!$A$7:$S$106,16,FALSE),0),"n.a."))</f>
        <v>0</v>
      </c>
      <c r="S757" s="1">
        <f>IF(NOT(Paths!$C$75=1),0,IF(Paths!$P$75="Complete",IF(C757=0,0,Paths!$S$75*Paths!$R$75),"n.a."))</f>
        <v>0</v>
      </c>
      <c r="T757" s="1">
        <f>IF(NOT(Paths!$C$75=1),0,IF(Paths!$P$75="Complete",IF(C757=0,0,VLOOKUP(A757,'Fleet register'!$A$7:$S$106,9,FALSE)*Paths!$R$75),"n.a."))</f>
        <v>0</v>
      </c>
    </row>
    <row r="758" spans="1:20" ht="24" customHeight="1">
      <c r="A758" s="1" t="str">
        <f>Paths!$A$75</f>
        <v>T018</v>
      </c>
      <c r="B758" s="1">
        <f>Paths!$B$75</f>
        <v>0</v>
      </c>
      <c r="C758" s="1">
        <v>3</v>
      </c>
      <c r="D758" s="1">
        <v>75</v>
      </c>
      <c r="E758" s="1">
        <f>IF(OR(Paths!$C$75=0,C758=0),0,MAX(0,MIN(C758*12,Paths!$E$75)-(C758-1)*12))</f>
        <v>0</v>
      </c>
      <c r="F758" s="1">
        <f>IF(OR(Paths!$C$75=0,C758=0),0,12-E758)</f>
        <v>0</v>
      </c>
      <c r="G758" s="16">
        <f>IF(NOT(Paths!$C$75=1),0,IF(Paths!$P$75="Complete",E758/12*(Paths!$J$75*(1+'Operating costs'!$B$51)^MAX(0,C758-1)+Paths!$K$75*(1+'Operating costs'!$B$53)^MAX(0,C758-1)),"n.a."))</f>
        <v>0</v>
      </c>
      <c r="H758" s="16">
        <f>IF(NOT(Paths!$C$75=1),0,IF(Paths!$P$75="Complete",F758/12*(Paths!$L$75*(1+IF(Paths!$D$75="EV",'Operating costs'!$B$52,'Operating costs'!$B$51))^MAX(0,C758-1)+Paths!$M$75*(1+'Operating costs'!$B$53)^MAX(0,C758-1)),"n.a."))</f>
        <v>0</v>
      </c>
      <c r="I758" s="16">
        <f>IF(NOT(Paths!$C$75=1),0,IF(Paths!$P$75="Complete",IF(IF(Paths!$E$75=0,C758=0,AND(C758&gt;0,Paths!$E$75&gt;(C758-1)*12,Paths!$E$75&lt;=C758*12)),Paths!$G$75,0),"n.a."))</f>
        <v>0</v>
      </c>
      <c r="J758" s="16">
        <f>IF(NOT(Paths!$C$75=1),0,IF(Paths!$P$75="Complete",IF(IF(Paths!$E$75=0,C758=0,AND(C758&gt;0,Paths!$E$75&gt;(C758-1)*12,Paths!$E$75&lt;=C758*12)),Paths!$H$75,0),"n.a."))</f>
        <v>0</v>
      </c>
      <c r="K758" s="16">
        <f>IF(NOT(Paths!$C$75=1),0,IF(Paths!$P$75="Complete",IF(IF(Paths!$O$75=0,C758=0,AND(C758&gt;0,Paths!$O$75&gt;(C758-1)*12,Paths!$O$75&lt;=C758*12)),Paths!$N$75,0),"n.a."))</f>
        <v>0</v>
      </c>
      <c r="L758" s="16">
        <f>IF(NOT(Paths!$C$75=1),0,IF(Paths!$P$75="Complete",IF(C758=10,Paths!$I$75,0),"n.a."))</f>
        <v>0</v>
      </c>
      <c r="M758" s="16">
        <f>IF(NOT(Paths!$C$75=1),0,IF(Paths!$P$75="Complete",IF(AND(Paths!$D$75="EV",Paths!$E$75&lt;120,Paths!$E$75+'Operating costs'!$B$65&gt;Paths!$E$75,Paths!$E$75+'Operating costs'!$B$65&lt;=120,IF(Paths!$E$75+'Operating costs'!$B$65=0,C758=0,AND(C758&gt;0,Paths!$E$75+'Operating costs'!$B$65&gt;(C758-1)*12,Paths!$E$75+'Operating costs'!$B$65&lt;=C758*12))),'Operating costs'!$B$64,0)+IF(AND('Operating costs'!$B$67&gt;0,'Operating costs'!$B$67&lt;=120,OR(Paths!$D$75="ICE",'Operating costs'!$B$67&lt;=Paths!$E$75),IF('Operating costs'!$B$67=0,C758=0,AND(C758&gt;0,'Operating costs'!$B$67&gt;(C758-1)*12,'Operating costs'!$B$67&lt;=C758*12))),'Operating costs'!$B$66,0),"n.a."))</f>
        <v>0</v>
      </c>
      <c r="N758" s="16">
        <f>IF(NOT(Paths!$C$75=1),0,IF(Paths!$P$75="Complete",SUM(G758:I758)-J758-K758-L758+M758+IF(C758=0,Paths!$F$75,0)+IF(IF(Paths!$E$75=0,C758=0,AND(C758&gt;0,Paths!$E$75&gt;(C758-1)*12,Paths!$E$75&lt;=C758*12)),VLOOKUP(A758,'Fleet register'!$A$7:$S$106,16,FALSE),0),"n.a."))</f>
        <v>0</v>
      </c>
      <c r="O758" s="16">
        <f>IF(NOT(Paths!$C$75=1),0,IF(Paths!$P$75="Complete",N758-IF(C758=0,Paths!$F$75,0),"n.a."))</f>
        <v>0</v>
      </c>
      <c r="P758" s="16">
        <f>IF(NOT(Paths!$C$75=1),0,IF(Paths!$P$75="Complete",O758+L758,"n.a."))</f>
        <v>0</v>
      </c>
      <c r="Q758" s="16">
        <f>IF(NOT(Paths!$C$75=1),0,IF(Paths!$P$75="Complete",N758*(1+'Operating costs'!$B$54)^-C758,"n.a."))</f>
        <v>0</v>
      </c>
      <c r="R758" s="16">
        <f>IF(NOT(Paths!$C$75=1),0,IF(Paths!$P$75="Complete",IF(AND(C758=0,Paths!$E$75=0),I758-J758-K758+VLOOKUP(A758,'Fleet register'!$A$7:$S$106,15,FALSE)+VLOOKUP(A758,'Fleet register'!$A$7:$S$106,16,FALSE),0),"n.a."))</f>
        <v>0</v>
      </c>
      <c r="S758" s="1">
        <f>IF(NOT(Paths!$C$75=1),0,IF(Paths!$P$75="Complete",IF(C758=0,0,Paths!$S$75*Paths!$R$75),"n.a."))</f>
        <v>0</v>
      </c>
      <c r="T758" s="1">
        <f>IF(NOT(Paths!$C$75=1),0,IF(Paths!$P$75="Complete",IF(C758=0,0,VLOOKUP(A758,'Fleet register'!$A$7:$S$106,9,FALSE)*Paths!$R$75),"n.a."))</f>
        <v>0</v>
      </c>
    </row>
    <row r="759" spans="1:20" ht="24" customHeight="1">
      <c r="A759" s="1" t="str">
        <f>Paths!$A$75</f>
        <v>T018</v>
      </c>
      <c r="B759" s="1">
        <f>Paths!$B$75</f>
        <v>0</v>
      </c>
      <c r="C759" s="1">
        <v>4</v>
      </c>
      <c r="D759" s="1">
        <v>75</v>
      </c>
      <c r="E759" s="1">
        <f>IF(OR(Paths!$C$75=0,C759=0),0,MAX(0,MIN(C759*12,Paths!$E$75)-(C759-1)*12))</f>
        <v>0</v>
      </c>
      <c r="F759" s="1">
        <f>IF(OR(Paths!$C$75=0,C759=0),0,12-E759)</f>
        <v>0</v>
      </c>
      <c r="G759" s="16">
        <f>IF(NOT(Paths!$C$75=1),0,IF(Paths!$P$75="Complete",E759/12*(Paths!$J$75*(1+'Operating costs'!$B$51)^MAX(0,C759-1)+Paths!$K$75*(1+'Operating costs'!$B$53)^MAX(0,C759-1)),"n.a."))</f>
        <v>0</v>
      </c>
      <c r="H759" s="16">
        <f>IF(NOT(Paths!$C$75=1),0,IF(Paths!$P$75="Complete",F759/12*(Paths!$L$75*(1+IF(Paths!$D$75="EV",'Operating costs'!$B$52,'Operating costs'!$B$51))^MAX(0,C759-1)+Paths!$M$75*(1+'Operating costs'!$B$53)^MAX(0,C759-1)),"n.a."))</f>
        <v>0</v>
      </c>
      <c r="I759" s="16">
        <f>IF(NOT(Paths!$C$75=1),0,IF(Paths!$P$75="Complete",IF(IF(Paths!$E$75=0,C759=0,AND(C759&gt;0,Paths!$E$75&gt;(C759-1)*12,Paths!$E$75&lt;=C759*12)),Paths!$G$75,0),"n.a."))</f>
        <v>0</v>
      </c>
      <c r="J759" s="16">
        <f>IF(NOT(Paths!$C$75=1),0,IF(Paths!$P$75="Complete",IF(IF(Paths!$E$75=0,C759=0,AND(C759&gt;0,Paths!$E$75&gt;(C759-1)*12,Paths!$E$75&lt;=C759*12)),Paths!$H$75,0),"n.a."))</f>
        <v>0</v>
      </c>
      <c r="K759" s="16">
        <f>IF(NOT(Paths!$C$75=1),0,IF(Paths!$P$75="Complete",IF(IF(Paths!$O$75=0,C759=0,AND(C759&gt;0,Paths!$O$75&gt;(C759-1)*12,Paths!$O$75&lt;=C759*12)),Paths!$N$75,0),"n.a."))</f>
        <v>0</v>
      </c>
      <c r="L759" s="16">
        <f>IF(NOT(Paths!$C$75=1),0,IF(Paths!$P$75="Complete",IF(C759=10,Paths!$I$75,0),"n.a."))</f>
        <v>0</v>
      </c>
      <c r="M759" s="16">
        <f>IF(NOT(Paths!$C$75=1),0,IF(Paths!$P$75="Complete",IF(AND(Paths!$D$75="EV",Paths!$E$75&lt;120,Paths!$E$75+'Operating costs'!$B$65&gt;Paths!$E$75,Paths!$E$75+'Operating costs'!$B$65&lt;=120,IF(Paths!$E$75+'Operating costs'!$B$65=0,C759=0,AND(C759&gt;0,Paths!$E$75+'Operating costs'!$B$65&gt;(C759-1)*12,Paths!$E$75+'Operating costs'!$B$65&lt;=C759*12))),'Operating costs'!$B$64,0)+IF(AND('Operating costs'!$B$67&gt;0,'Operating costs'!$B$67&lt;=120,OR(Paths!$D$75="ICE",'Operating costs'!$B$67&lt;=Paths!$E$75),IF('Operating costs'!$B$67=0,C759=0,AND(C759&gt;0,'Operating costs'!$B$67&gt;(C759-1)*12,'Operating costs'!$B$67&lt;=C759*12))),'Operating costs'!$B$66,0),"n.a."))</f>
        <v>0</v>
      </c>
      <c r="N759" s="16">
        <f>IF(NOT(Paths!$C$75=1),0,IF(Paths!$P$75="Complete",SUM(G759:I759)-J759-K759-L759+M759+IF(C759=0,Paths!$F$75,0)+IF(IF(Paths!$E$75=0,C759=0,AND(C759&gt;0,Paths!$E$75&gt;(C759-1)*12,Paths!$E$75&lt;=C759*12)),VLOOKUP(A759,'Fleet register'!$A$7:$S$106,16,FALSE),0),"n.a."))</f>
        <v>0</v>
      </c>
      <c r="O759" s="16">
        <f>IF(NOT(Paths!$C$75=1),0,IF(Paths!$P$75="Complete",N759-IF(C759=0,Paths!$F$75,0),"n.a."))</f>
        <v>0</v>
      </c>
      <c r="P759" s="16">
        <f>IF(NOT(Paths!$C$75=1),0,IF(Paths!$P$75="Complete",O759+L759,"n.a."))</f>
        <v>0</v>
      </c>
      <c r="Q759" s="16">
        <f>IF(NOT(Paths!$C$75=1),0,IF(Paths!$P$75="Complete",N759*(1+'Operating costs'!$B$54)^-C759,"n.a."))</f>
        <v>0</v>
      </c>
      <c r="R759" s="16">
        <f>IF(NOT(Paths!$C$75=1),0,IF(Paths!$P$75="Complete",IF(AND(C759=0,Paths!$E$75=0),I759-J759-K759+VLOOKUP(A759,'Fleet register'!$A$7:$S$106,15,FALSE)+VLOOKUP(A759,'Fleet register'!$A$7:$S$106,16,FALSE),0),"n.a."))</f>
        <v>0</v>
      </c>
      <c r="S759" s="1">
        <f>IF(NOT(Paths!$C$75=1),0,IF(Paths!$P$75="Complete",IF(C759=0,0,Paths!$S$75*Paths!$R$75),"n.a."))</f>
        <v>0</v>
      </c>
      <c r="T759" s="1">
        <f>IF(NOT(Paths!$C$75=1),0,IF(Paths!$P$75="Complete",IF(C759=0,0,VLOOKUP(A759,'Fleet register'!$A$7:$S$106,9,FALSE)*Paths!$R$75),"n.a."))</f>
        <v>0</v>
      </c>
    </row>
    <row r="760" spans="1:20" ht="24" customHeight="1">
      <c r="A760" s="1" t="str">
        <f>Paths!$A$75</f>
        <v>T018</v>
      </c>
      <c r="B760" s="1">
        <f>Paths!$B$75</f>
        <v>0</v>
      </c>
      <c r="C760" s="1">
        <v>5</v>
      </c>
      <c r="D760" s="1">
        <v>75</v>
      </c>
      <c r="E760" s="1">
        <f>IF(OR(Paths!$C$75=0,C760=0),0,MAX(0,MIN(C760*12,Paths!$E$75)-(C760-1)*12))</f>
        <v>0</v>
      </c>
      <c r="F760" s="1">
        <f>IF(OR(Paths!$C$75=0,C760=0),0,12-E760)</f>
        <v>0</v>
      </c>
      <c r="G760" s="16">
        <f>IF(NOT(Paths!$C$75=1),0,IF(Paths!$P$75="Complete",E760/12*(Paths!$J$75*(1+'Operating costs'!$B$51)^MAX(0,C760-1)+Paths!$K$75*(1+'Operating costs'!$B$53)^MAX(0,C760-1)),"n.a."))</f>
        <v>0</v>
      </c>
      <c r="H760" s="16">
        <f>IF(NOT(Paths!$C$75=1),0,IF(Paths!$P$75="Complete",F760/12*(Paths!$L$75*(1+IF(Paths!$D$75="EV",'Operating costs'!$B$52,'Operating costs'!$B$51))^MAX(0,C760-1)+Paths!$M$75*(1+'Operating costs'!$B$53)^MAX(0,C760-1)),"n.a."))</f>
        <v>0</v>
      </c>
      <c r="I760" s="16">
        <f>IF(NOT(Paths!$C$75=1),0,IF(Paths!$P$75="Complete",IF(IF(Paths!$E$75=0,C760=0,AND(C760&gt;0,Paths!$E$75&gt;(C760-1)*12,Paths!$E$75&lt;=C760*12)),Paths!$G$75,0),"n.a."))</f>
        <v>0</v>
      </c>
      <c r="J760" s="16">
        <f>IF(NOT(Paths!$C$75=1),0,IF(Paths!$P$75="Complete",IF(IF(Paths!$E$75=0,C760=0,AND(C760&gt;0,Paths!$E$75&gt;(C760-1)*12,Paths!$E$75&lt;=C760*12)),Paths!$H$75,0),"n.a."))</f>
        <v>0</v>
      </c>
      <c r="K760" s="16">
        <f>IF(NOT(Paths!$C$75=1),0,IF(Paths!$P$75="Complete",IF(IF(Paths!$O$75=0,C760=0,AND(C760&gt;0,Paths!$O$75&gt;(C760-1)*12,Paths!$O$75&lt;=C760*12)),Paths!$N$75,0),"n.a."))</f>
        <v>0</v>
      </c>
      <c r="L760" s="16">
        <f>IF(NOT(Paths!$C$75=1),0,IF(Paths!$P$75="Complete",IF(C760=10,Paths!$I$75,0),"n.a."))</f>
        <v>0</v>
      </c>
      <c r="M760" s="16">
        <f>IF(NOT(Paths!$C$75=1),0,IF(Paths!$P$75="Complete",IF(AND(Paths!$D$75="EV",Paths!$E$75&lt;120,Paths!$E$75+'Operating costs'!$B$65&gt;Paths!$E$75,Paths!$E$75+'Operating costs'!$B$65&lt;=120,IF(Paths!$E$75+'Operating costs'!$B$65=0,C760=0,AND(C760&gt;0,Paths!$E$75+'Operating costs'!$B$65&gt;(C760-1)*12,Paths!$E$75+'Operating costs'!$B$65&lt;=C760*12))),'Operating costs'!$B$64,0)+IF(AND('Operating costs'!$B$67&gt;0,'Operating costs'!$B$67&lt;=120,OR(Paths!$D$75="ICE",'Operating costs'!$B$67&lt;=Paths!$E$75),IF('Operating costs'!$B$67=0,C760=0,AND(C760&gt;0,'Operating costs'!$B$67&gt;(C760-1)*12,'Operating costs'!$B$67&lt;=C760*12))),'Operating costs'!$B$66,0),"n.a."))</f>
        <v>0</v>
      </c>
      <c r="N760" s="16">
        <f>IF(NOT(Paths!$C$75=1),0,IF(Paths!$P$75="Complete",SUM(G760:I760)-J760-K760-L760+M760+IF(C760=0,Paths!$F$75,0)+IF(IF(Paths!$E$75=0,C760=0,AND(C760&gt;0,Paths!$E$75&gt;(C760-1)*12,Paths!$E$75&lt;=C760*12)),VLOOKUP(A760,'Fleet register'!$A$7:$S$106,16,FALSE),0),"n.a."))</f>
        <v>0</v>
      </c>
      <c r="O760" s="16">
        <f>IF(NOT(Paths!$C$75=1),0,IF(Paths!$P$75="Complete",N760-IF(C760=0,Paths!$F$75,0),"n.a."))</f>
        <v>0</v>
      </c>
      <c r="P760" s="16">
        <f>IF(NOT(Paths!$C$75=1),0,IF(Paths!$P$75="Complete",O760+L760,"n.a."))</f>
        <v>0</v>
      </c>
      <c r="Q760" s="16">
        <f>IF(NOT(Paths!$C$75=1),0,IF(Paths!$P$75="Complete",N760*(1+'Operating costs'!$B$54)^-C760,"n.a."))</f>
        <v>0</v>
      </c>
      <c r="R760" s="16">
        <f>IF(NOT(Paths!$C$75=1),0,IF(Paths!$P$75="Complete",IF(AND(C760=0,Paths!$E$75=0),I760-J760-K760+VLOOKUP(A760,'Fleet register'!$A$7:$S$106,15,FALSE)+VLOOKUP(A760,'Fleet register'!$A$7:$S$106,16,FALSE),0),"n.a."))</f>
        <v>0</v>
      </c>
      <c r="S760" s="1">
        <f>IF(NOT(Paths!$C$75=1),0,IF(Paths!$P$75="Complete",IF(C760=0,0,Paths!$S$75*Paths!$R$75),"n.a."))</f>
        <v>0</v>
      </c>
      <c r="T760" s="1">
        <f>IF(NOT(Paths!$C$75=1),0,IF(Paths!$P$75="Complete",IF(C760=0,0,VLOOKUP(A760,'Fleet register'!$A$7:$S$106,9,FALSE)*Paths!$R$75),"n.a."))</f>
        <v>0</v>
      </c>
    </row>
    <row r="761" spans="1:20" ht="24" customHeight="1">
      <c r="A761" s="1" t="str">
        <f>Paths!$A$75</f>
        <v>T018</v>
      </c>
      <c r="B761" s="1">
        <f>Paths!$B$75</f>
        <v>0</v>
      </c>
      <c r="C761" s="1">
        <v>6</v>
      </c>
      <c r="D761" s="1">
        <v>75</v>
      </c>
      <c r="E761" s="1">
        <f>IF(OR(Paths!$C$75=0,C761=0),0,MAX(0,MIN(C761*12,Paths!$E$75)-(C761-1)*12))</f>
        <v>0</v>
      </c>
      <c r="F761" s="1">
        <f>IF(OR(Paths!$C$75=0,C761=0),0,12-E761)</f>
        <v>0</v>
      </c>
      <c r="G761" s="16">
        <f>IF(NOT(Paths!$C$75=1),0,IF(Paths!$P$75="Complete",E761/12*(Paths!$J$75*(1+'Operating costs'!$B$51)^MAX(0,C761-1)+Paths!$K$75*(1+'Operating costs'!$B$53)^MAX(0,C761-1)),"n.a."))</f>
        <v>0</v>
      </c>
      <c r="H761" s="16">
        <f>IF(NOT(Paths!$C$75=1),0,IF(Paths!$P$75="Complete",F761/12*(Paths!$L$75*(1+IF(Paths!$D$75="EV",'Operating costs'!$B$52,'Operating costs'!$B$51))^MAX(0,C761-1)+Paths!$M$75*(1+'Operating costs'!$B$53)^MAX(0,C761-1)),"n.a."))</f>
        <v>0</v>
      </c>
      <c r="I761" s="16">
        <f>IF(NOT(Paths!$C$75=1),0,IF(Paths!$P$75="Complete",IF(IF(Paths!$E$75=0,C761=0,AND(C761&gt;0,Paths!$E$75&gt;(C761-1)*12,Paths!$E$75&lt;=C761*12)),Paths!$G$75,0),"n.a."))</f>
        <v>0</v>
      </c>
      <c r="J761" s="16">
        <f>IF(NOT(Paths!$C$75=1),0,IF(Paths!$P$75="Complete",IF(IF(Paths!$E$75=0,C761=0,AND(C761&gt;0,Paths!$E$75&gt;(C761-1)*12,Paths!$E$75&lt;=C761*12)),Paths!$H$75,0),"n.a."))</f>
        <v>0</v>
      </c>
      <c r="K761" s="16">
        <f>IF(NOT(Paths!$C$75=1),0,IF(Paths!$P$75="Complete",IF(IF(Paths!$O$75=0,C761=0,AND(C761&gt;0,Paths!$O$75&gt;(C761-1)*12,Paths!$O$75&lt;=C761*12)),Paths!$N$75,0),"n.a."))</f>
        <v>0</v>
      </c>
      <c r="L761" s="16">
        <f>IF(NOT(Paths!$C$75=1),0,IF(Paths!$P$75="Complete",IF(C761=10,Paths!$I$75,0),"n.a."))</f>
        <v>0</v>
      </c>
      <c r="M761" s="16">
        <f>IF(NOT(Paths!$C$75=1),0,IF(Paths!$P$75="Complete",IF(AND(Paths!$D$75="EV",Paths!$E$75&lt;120,Paths!$E$75+'Operating costs'!$B$65&gt;Paths!$E$75,Paths!$E$75+'Operating costs'!$B$65&lt;=120,IF(Paths!$E$75+'Operating costs'!$B$65=0,C761=0,AND(C761&gt;0,Paths!$E$75+'Operating costs'!$B$65&gt;(C761-1)*12,Paths!$E$75+'Operating costs'!$B$65&lt;=C761*12))),'Operating costs'!$B$64,0)+IF(AND('Operating costs'!$B$67&gt;0,'Operating costs'!$B$67&lt;=120,OR(Paths!$D$75="ICE",'Operating costs'!$B$67&lt;=Paths!$E$75),IF('Operating costs'!$B$67=0,C761=0,AND(C761&gt;0,'Operating costs'!$B$67&gt;(C761-1)*12,'Operating costs'!$B$67&lt;=C761*12))),'Operating costs'!$B$66,0),"n.a."))</f>
        <v>0</v>
      </c>
      <c r="N761" s="16">
        <f>IF(NOT(Paths!$C$75=1),0,IF(Paths!$P$75="Complete",SUM(G761:I761)-J761-K761-L761+M761+IF(C761=0,Paths!$F$75,0)+IF(IF(Paths!$E$75=0,C761=0,AND(C761&gt;0,Paths!$E$75&gt;(C761-1)*12,Paths!$E$75&lt;=C761*12)),VLOOKUP(A761,'Fleet register'!$A$7:$S$106,16,FALSE),0),"n.a."))</f>
        <v>0</v>
      </c>
      <c r="O761" s="16">
        <f>IF(NOT(Paths!$C$75=1),0,IF(Paths!$P$75="Complete",N761-IF(C761=0,Paths!$F$75,0),"n.a."))</f>
        <v>0</v>
      </c>
      <c r="P761" s="16">
        <f>IF(NOT(Paths!$C$75=1),0,IF(Paths!$P$75="Complete",O761+L761,"n.a."))</f>
        <v>0</v>
      </c>
      <c r="Q761" s="16">
        <f>IF(NOT(Paths!$C$75=1),0,IF(Paths!$P$75="Complete",N761*(1+'Operating costs'!$B$54)^-C761,"n.a."))</f>
        <v>0</v>
      </c>
      <c r="R761" s="16">
        <f>IF(NOT(Paths!$C$75=1),0,IF(Paths!$P$75="Complete",IF(AND(C761=0,Paths!$E$75=0),I761-J761-K761+VLOOKUP(A761,'Fleet register'!$A$7:$S$106,15,FALSE)+VLOOKUP(A761,'Fleet register'!$A$7:$S$106,16,FALSE),0),"n.a."))</f>
        <v>0</v>
      </c>
      <c r="S761" s="1">
        <f>IF(NOT(Paths!$C$75=1),0,IF(Paths!$P$75="Complete",IF(C761=0,0,Paths!$S$75*Paths!$R$75),"n.a."))</f>
        <v>0</v>
      </c>
      <c r="T761" s="1">
        <f>IF(NOT(Paths!$C$75=1),0,IF(Paths!$P$75="Complete",IF(C761=0,0,VLOOKUP(A761,'Fleet register'!$A$7:$S$106,9,FALSE)*Paths!$R$75),"n.a."))</f>
        <v>0</v>
      </c>
    </row>
    <row r="762" spans="1:20" ht="24" customHeight="1">
      <c r="A762" s="1" t="str">
        <f>Paths!$A$75</f>
        <v>T018</v>
      </c>
      <c r="B762" s="1">
        <f>Paths!$B$75</f>
        <v>0</v>
      </c>
      <c r="C762" s="1">
        <v>7</v>
      </c>
      <c r="D762" s="1">
        <v>75</v>
      </c>
      <c r="E762" s="1">
        <f>IF(OR(Paths!$C$75=0,C762=0),0,MAX(0,MIN(C762*12,Paths!$E$75)-(C762-1)*12))</f>
        <v>0</v>
      </c>
      <c r="F762" s="1">
        <f>IF(OR(Paths!$C$75=0,C762=0),0,12-E762)</f>
        <v>0</v>
      </c>
      <c r="G762" s="16">
        <f>IF(NOT(Paths!$C$75=1),0,IF(Paths!$P$75="Complete",E762/12*(Paths!$J$75*(1+'Operating costs'!$B$51)^MAX(0,C762-1)+Paths!$K$75*(1+'Operating costs'!$B$53)^MAX(0,C762-1)),"n.a."))</f>
        <v>0</v>
      </c>
      <c r="H762" s="16">
        <f>IF(NOT(Paths!$C$75=1),0,IF(Paths!$P$75="Complete",F762/12*(Paths!$L$75*(1+IF(Paths!$D$75="EV",'Operating costs'!$B$52,'Operating costs'!$B$51))^MAX(0,C762-1)+Paths!$M$75*(1+'Operating costs'!$B$53)^MAX(0,C762-1)),"n.a."))</f>
        <v>0</v>
      </c>
      <c r="I762" s="16">
        <f>IF(NOT(Paths!$C$75=1),0,IF(Paths!$P$75="Complete",IF(IF(Paths!$E$75=0,C762=0,AND(C762&gt;0,Paths!$E$75&gt;(C762-1)*12,Paths!$E$75&lt;=C762*12)),Paths!$G$75,0),"n.a."))</f>
        <v>0</v>
      </c>
      <c r="J762" s="16">
        <f>IF(NOT(Paths!$C$75=1),0,IF(Paths!$P$75="Complete",IF(IF(Paths!$E$75=0,C762=0,AND(C762&gt;0,Paths!$E$75&gt;(C762-1)*12,Paths!$E$75&lt;=C762*12)),Paths!$H$75,0),"n.a."))</f>
        <v>0</v>
      </c>
      <c r="K762" s="16">
        <f>IF(NOT(Paths!$C$75=1),0,IF(Paths!$P$75="Complete",IF(IF(Paths!$O$75=0,C762=0,AND(C762&gt;0,Paths!$O$75&gt;(C762-1)*12,Paths!$O$75&lt;=C762*12)),Paths!$N$75,0),"n.a."))</f>
        <v>0</v>
      </c>
      <c r="L762" s="16">
        <f>IF(NOT(Paths!$C$75=1),0,IF(Paths!$P$75="Complete",IF(C762=10,Paths!$I$75,0),"n.a."))</f>
        <v>0</v>
      </c>
      <c r="M762" s="16">
        <f>IF(NOT(Paths!$C$75=1),0,IF(Paths!$P$75="Complete",IF(AND(Paths!$D$75="EV",Paths!$E$75&lt;120,Paths!$E$75+'Operating costs'!$B$65&gt;Paths!$E$75,Paths!$E$75+'Operating costs'!$B$65&lt;=120,IF(Paths!$E$75+'Operating costs'!$B$65=0,C762=0,AND(C762&gt;0,Paths!$E$75+'Operating costs'!$B$65&gt;(C762-1)*12,Paths!$E$75+'Operating costs'!$B$65&lt;=C762*12))),'Operating costs'!$B$64,0)+IF(AND('Operating costs'!$B$67&gt;0,'Operating costs'!$B$67&lt;=120,OR(Paths!$D$75="ICE",'Operating costs'!$B$67&lt;=Paths!$E$75),IF('Operating costs'!$B$67=0,C762=0,AND(C762&gt;0,'Operating costs'!$B$67&gt;(C762-1)*12,'Operating costs'!$B$67&lt;=C762*12))),'Operating costs'!$B$66,0),"n.a."))</f>
        <v>0</v>
      </c>
      <c r="N762" s="16">
        <f>IF(NOT(Paths!$C$75=1),0,IF(Paths!$P$75="Complete",SUM(G762:I762)-J762-K762-L762+M762+IF(C762=0,Paths!$F$75,0)+IF(IF(Paths!$E$75=0,C762=0,AND(C762&gt;0,Paths!$E$75&gt;(C762-1)*12,Paths!$E$75&lt;=C762*12)),VLOOKUP(A762,'Fleet register'!$A$7:$S$106,16,FALSE),0),"n.a."))</f>
        <v>0</v>
      </c>
      <c r="O762" s="16">
        <f>IF(NOT(Paths!$C$75=1),0,IF(Paths!$P$75="Complete",N762-IF(C762=0,Paths!$F$75,0),"n.a."))</f>
        <v>0</v>
      </c>
      <c r="P762" s="16">
        <f>IF(NOT(Paths!$C$75=1),0,IF(Paths!$P$75="Complete",O762+L762,"n.a."))</f>
        <v>0</v>
      </c>
      <c r="Q762" s="16">
        <f>IF(NOT(Paths!$C$75=1),0,IF(Paths!$P$75="Complete",N762*(1+'Operating costs'!$B$54)^-C762,"n.a."))</f>
        <v>0</v>
      </c>
      <c r="R762" s="16">
        <f>IF(NOT(Paths!$C$75=1),0,IF(Paths!$P$75="Complete",IF(AND(C762=0,Paths!$E$75=0),I762-J762-K762+VLOOKUP(A762,'Fleet register'!$A$7:$S$106,15,FALSE)+VLOOKUP(A762,'Fleet register'!$A$7:$S$106,16,FALSE),0),"n.a."))</f>
        <v>0</v>
      </c>
      <c r="S762" s="1">
        <f>IF(NOT(Paths!$C$75=1),0,IF(Paths!$P$75="Complete",IF(C762=0,0,Paths!$S$75*Paths!$R$75),"n.a."))</f>
        <v>0</v>
      </c>
      <c r="T762" s="1">
        <f>IF(NOT(Paths!$C$75=1),0,IF(Paths!$P$75="Complete",IF(C762=0,0,VLOOKUP(A762,'Fleet register'!$A$7:$S$106,9,FALSE)*Paths!$R$75),"n.a."))</f>
        <v>0</v>
      </c>
    </row>
    <row r="763" spans="1:20" ht="24" customHeight="1">
      <c r="A763" s="1" t="str">
        <f>Paths!$A$75</f>
        <v>T018</v>
      </c>
      <c r="B763" s="1">
        <f>Paths!$B$75</f>
        <v>0</v>
      </c>
      <c r="C763" s="1">
        <v>8</v>
      </c>
      <c r="D763" s="1">
        <v>75</v>
      </c>
      <c r="E763" s="1">
        <f>IF(OR(Paths!$C$75=0,C763=0),0,MAX(0,MIN(C763*12,Paths!$E$75)-(C763-1)*12))</f>
        <v>0</v>
      </c>
      <c r="F763" s="1">
        <f>IF(OR(Paths!$C$75=0,C763=0),0,12-E763)</f>
        <v>0</v>
      </c>
      <c r="G763" s="16">
        <f>IF(NOT(Paths!$C$75=1),0,IF(Paths!$P$75="Complete",E763/12*(Paths!$J$75*(1+'Operating costs'!$B$51)^MAX(0,C763-1)+Paths!$K$75*(1+'Operating costs'!$B$53)^MAX(0,C763-1)),"n.a."))</f>
        <v>0</v>
      </c>
      <c r="H763" s="16">
        <f>IF(NOT(Paths!$C$75=1),0,IF(Paths!$P$75="Complete",F763/12*(Paths!$L$75*(1+IF(Paths!$D$75="EV",'Operating costs'!$B$52,'Operating costs'!$B$51))^MAX(0,C763-1)+Paths!$M$75*(1+'Operating costs'!$B$53)^MAX(0,C763-1)),"n.a."))</f>
        <v>0</v>
      </c>
      <c r="I763" s="16">
        <f>IF(NOT(Paths!$C$75=1),0,IF(Paths!$P$75="Complete",IF(IF(Paths!$E$75=0,C763=0,AND(C763&gt;0,Paths!$E$75&gt;(C763-1)*12,Paths!$E$75&lt;=C763*12)),Paths!$G$75,0),"n.a."))</f>
        <v>0</v>
      </c>
      <c r="J763" s="16">
        <f>IF(NOT(Paths!$C$75=1),0,IF(Paths!$P$75="Complete",IF(IF(Paths!$E$75=0,C763=0,AND(C763&gt;0,Paths!$E$75&gt;(C763-1)*12,Paths!$E$75&lt;=C763*12)),Paths!$H$75,0),"n.a."))</f>
        <v>0</v>
      </c>
      <c r="K763" s="16">
        <f>IF(NOT(Paths!$C$75=1),0,IF(Paths!$P$75="Complete",IF(IF(Paths!$O$75=0,C763=0,AND(C763&gt;0,Paths!$O$75&gt;(C763-1)*12,Paths!$O$75&lt;=C763*12)),Paths!$N$75,0),"n.a."))</f>
        <v>0</v>
      </c>
      <c r="L763" s="16">
        <f>IF(NOT(Paths!$C$75=1),0,IF(Paths!$P$75="Complete",IF(C763=10,Paths!$I$75,0),"n.a."))</f>
        <v>0</v>
      </c>
      <c r="M763" s="16">
        <f>IF(NOT(Paths!$C$75=1),0,IF(Paths!$P$75="Complete",IF(AND(Paths!$D$75="EV",Paths!$E$75&lt;120,Paths!$E$75+'Operating costs'!$B$65&gt;Paths!$E$75,Paths!$E$75+'Operating costs'!$B$65&lt;=120,IF(Paths!$E$75+'Operating costs'!$B$65=0,C763=0,AND(C763&gt;0,Paths!$E$75+'Operating costs'!$B$65&gt;(C763-1)*12,Paths!$E$75+'Operating costs'!$B$65&lt;=C763*12))),'Operating costs'!$B$64,0)+IF(AND('Operating costs'!$B$67&gt;0,'Operating costs'!$B$67&lt;=120,OR(Paths!$D$75="ICE",'Operating costs'!$B$67&lt;=Paths!$E$75),IF('Operating costs'!$B$67=0,C763=0,AND(C763&gt;0,'Operating costs'!$B$67&gt;(C763-1)*12,'Operating costs'!$B$67&lt;=C763*12))),'Operating costs'!$B$66,0),"n.a."))</f>
        <v>0</v>
      </c>
      <c r="N763" s="16">
        <f>IF(NOT(Paths!$C$75=1),0,IF(Paths!$P$75="Complete",SUM(G763:I763)-J763-K763-L763+M763+IF(C763=0,Paths!$F$75,0)+IF(IF(Paths!$E$75=0,C763=0,AND(C763&gt;0,Paths!$E$75&gt;(C763-1)*12,Paths!$E$75&lt;=C763*12)),VLOOKUP(A763,'Fleet register'!$A$7:$S$106,16,FALSE),0),"n.a."))</f>
        <v>0</v>
      </c>
      <c r="O763" s="16">
        <f>IF(NOT(Paths!$C$75=1),0,IF(Paths!$P$75="Complete",N763-IF(C763=0,Paths!$F$75,0),"n.a."))</f>
        <v>0</v>
      </c>
      <c r="P763" s="16">
        <f>IF(NOT(Paths!$C$75=1),0,IF(Paths!$P$75="Complete",O763+L763,"n.a."))</f>
        <v>0</v>
      </c>
      <c r="Q763" s="16">
        <f>IF(NOT(Paths!$C$75=1),0,IF(Paths!$P$75="Complete",N763*(1+'Operating costs'!$B$54)^-C763,"n.a."))</f>
        <v>0</v>
      </c>
      <c r="R763" s="16">
        <f>IF(NOT(Paths!$C$75=1),0,IF(Paths!$P$75="Complete",IF(AND(C763=0,Paths!$E$75=0),I763-J763-K763+VLOOKUP(A763,'Fleet register'!$A$7:$S$106,15,FALSE)+VLOOKUP(A763,'Fleet register'!$A$7:$S$106,16,FALSE),0),"n.a."))</f>
        <v>0</v>
      </c>
      <c r="S763" s="1">
        <f>IF(NOT(Paths!$C$75=1),0,IF(Paths!$P$75="Complete",IF(C763=0,0,Paths!$S$75*Paths!$R$75),"n.a."))</f>
        <v>0</v>
      </c>
      <c r="T763" s="1">
        <f>IF(NOT(Paths!$C$75=1),0,IF(Paths!$P$75="Complete",IF(C763=0,0,VLOOKUP(A763,'Fleet register'!$A$7:$S$106,9,FALSE)*Paths!$R$75),"n.a."))</f>
        <v>0</v>
      </c>
    </row>
    <row r="764" spans="1:20" ht="24" customHeight="1">
      <c r="A764" s="1" t="str">
        <f>Paths!$A$75</f>
        <v>T018</v>
      </c>
      <c r="B764" s="1">
        <f>Paths!$B$75</f>
        <v>0</v>
      </c>
      <c r="C764" s="1">
        <v>9</v>
      </c>
      <c r="D764" s="1">
        <v>75</v>
      </c>
      <c r="E764" s="1">
        <f>IF(OR(Paths!$C$75=0,C764=0),0,MAX(0,MIN(C764*12,Paths!$E$75)-(C764-1)*12))</f>
        <v>0</v>
      </c>
      <c r="F764" s="1">
        <f>IF(OR(Paths!$C$75=0,C764=0),0,12-E764)</f>
        <v>0</v>
      </c>
      <c r="G764" s="16">
        <f>IF(NOT(Paths!$C$75=1),0,IF(Paths!$P$75="Complete",E764/12*(Paths!$J$75*(1+'Operating costs'!$B$51)^MAX(0,C764-1)+Paths!$K$75*(1+'Operating costs'!$B$53)^MAX(0,C764-1)),"n.a."))</f>
        <v>0</v>
      </c>
      <c r="H764" s="16">
        <f>IF(NOT(Paths!$C$75=1),0,IF(Paths!$P$75="Complete",F764/12*(Paths!$L$75*(1+IF(Paths!$D$75="EV",'Operating costs'!$B$52,'Operating costs'!$B$51))^MAX(0,C764-1)+Paths!$M$75*(1+'Operating costs'!$B$53)^MAX(0,C764-1)),"n.a."))</f>
        <v>0</v>
      </c>
      <c r="I764" s="16">
        <f>IF(NOT(Paths!$C$75=1),0,IF(Paths!$P$75="Complete",IF(IF(Paths!$E$75=0,C764=0,AND(C764&gt;0,Paths!$E$75&gt;(C764-1)*12,Paths!$E$75&lt;=C764*12)),Paths!$G$75,0),"n.a."))</f>
        <v>0</v>
      </c>
      <c r="J764" s="16">
        <f>IF(NOT(Paths!$C$75=1),0,IF(Paths!$P$75="Complete",IF(IF(Paths!$E$75=0,C764=0,AND(C764&gt;0,Paths!$E$75&gt;(C764-1)*12,Paths!$E$75&lt;=C764*12)),Paths!$H$75,0),"n.a."))</f>
        <v>0</v>
      </c>
      <c r="K764" s="16">
        <f>IF(NOT(Paths!$C$75=1),0,IF(Paths!$P$75="Complete",IF(IF(Paths!$O$75=0,C764=0,AND(C764&gt;0,Paths!$O$75&gt;(C764-1)*12,Paths!$O$75&lt;=C764*12)),Paths!$N$75,0),"n.a."))</f>
        <v>0</v>
      </c>
      <c r="L764" s="16">
        <f>IF(NOT(Paths!$C$75=1),0,IF(Paths!$P$75="Complete",IF(C764=10,Paths!$I$75,0),"n.a."))</f>
        <v>0</v>
      </c>
      <c r="M764" s="16">
        <f>IF(NOT(Paths!$C$75=1),0,IF(Paths!$P$75="Complete",IF(AND(Paths!$D$75="EV",Paths!$E$75&lt;120,Paths!$E$75+'Operating costs'!$B$65&gt;Paths!$E$75,Paths!$E$75+'Operating costs'!$B$65&lt;=120,IF(Paths!$E$75+'Operating costs'!$B$65=0,C764=0,AND(C764&gt;0,Paths!$E$75+'Operating costs'!$B$65&gt;(C764-1)*12,Paths!$E$75+'Operating costs'!$B$65&lt;=C764*12))),'Operating costs'!$B$64,0)+IF(AND('Operating costs'!$B$67&gt;0,'Operating costs'!$B$67&lt;=120,OR(Paths!$D$75="ICE",'Operating costs'!$B$67&lt;=Paths!$E$75),IF('Operating costs'!$B$67=0,C764=0,AND(C764&gt;0,'Operating costs'!$B$67&gt;(C764-1)*12,'Operating costs'!$B$67&lt;=C764*12))),'Operating costs'!$B$66,0),"n.a."))</f>
        <v>0</v>
      </c>
      <c r="N764" s="16">
        <f>IF(NOT(Paths!$C$75=1),0,IF(Paths!$P$75="Complete",SUM(G764:I764)-J764-K764-L764+M764+IF(C764=0,Paths!$F$75,0)+IF(IF(Paths!$E$75=0,C764=0,AND(C764&gt;0,Paths!$E$75&gt;(C764-1)*12,Paths!$E$75&lt;=C764*12)),VLOOKUP(A764,'Fleet register'!$A$7:$S$106,16,FALSE),0),"n.a."))</f>
        <v>0</v>
      </c>
      <c r="O764" s="16">
        <f>IF(NOT(Paths!$C$75=1),0,IF(Paths!$P$75="Complete",N764-IF(C764=0,Paths!$F$75,0),"n.a."))</f>
        <v>0</v>
      </c>
      <c r="P764" s="16">
        <f>IF(NOT(Paths!$C$75=1),0,IF(Paths!$P$75="Complete",O764+L764,"n.a."))</f>
        <v>0</v>
      </c>
      <c r="Q764" s="16">
        <f>IF(NOT(Paths!$C$75=1),0,IF(Paths!$P$75="Complete",N764*(1+'Operating costs'!$B$54)^-C764,"n.a."))</f>
        <v>0</v>
      </c>
      <c r="R764" s="16">
        <f>IF(NOT(Paths!$C$75=1),0,IF(Paths!$P$75="Complete",IF(AND(C764=0,Paths!$E$75=0),I764-J764-K764+VLOOKUP(A764,'Fleet register'!$A$7:$S$106,15,FALSE)+VLOOKUP(A764,'Fleet register'!$A$7:$S$106,16,FALSE),0),"n.a."))</f>
        <v>0</v>
      </c>
      <c r="S764" s="1">
        <f>IF(NOT(Paths!$C$75=1),0,IF(Paths!$P$75="Complete",IF(C764=0,0,Paths!$S$75*Paths!$R$75),"n.a."))</f>
        <v>0</v>
      </c>
      <c r="T764" s="1">
        <f>IF(NOT(Paths!$C$75=1),0,IF(Paths!$P$75="Complete",IF(C764=0,0,VLOOKUP(A764,'Fleet register'!$A$7:$S$106,9,FALSE)*Paths!$R$75),"n.a."))</f>
        <v>0</v>
      </c>
    </row>
    <row r="765" spans="1:20" ht="24" customHeight="1">
      <c r="A765" s="1" t="str">
        <f>Paths!$A$75</f>
        <v>T018</v>
      </c>
      <c r="B765" s="1">
        <f>Paths!$B$75</f>
        <v>0</v>
      </c>
      <c r="C765" s="1">
        <v>10</v>
      </c>
      <c r="D765" s="1">
        <v>75</v>
      </c>
      <c r="E765" s="1">
        <f>IF(OR(Paths!$C$75=0,C765=0),0,MAX(0,MIN(C765*12,Paths!$E$75)-(C765-1)*12))</f>
        <v>0</v>
      </c>
      <c r="F765" s="1">
        <f>IF(OR(Paths!$C$75=0,C765=0),0,12-E765)</f>
        <v>0</v>
      </c>
      <c r="G765" s="16">
        <f>IF(NOT(Paths!$C$75=1),0,IF(Paths!$P$75="Complete",E765/12*(Paths!$J$75*(1+'Operating costs'!$B$51)^MAX(0,C765-1)+Paths!$K$75*(1+'Operating costs'!$B$53)^MAX(0,C765-1)),"n.a."))</f>
        <v>0</v>
      </c>
      <c r="H765" s="16">
        <f>IF(NOT(Paths!$C$75=1),0,IF(Paths!$P$75="Complete",F765/12*(Paths!$L$75*(1+IF(Paths!$D$75="EV",'Operating costs'!$B$52,'Operating costs'!$B$51))^MAX(0,C765-1)+Paths!$M$75*(1+'Operating costs'!$B$53)^MAX(0,C765-1)),"n.a."))</f>
        <v>0</v>
      </c>
      <c r="I765" s="16">
        <f>IF(NOT(Paths!$C$75=1),0,IF(Paths!$P$75="Complete",IF(IF(Paths!$E$75=0,C765=0,AND(C765&gt;0,Paths!$E$75&gt;(C765-1)*12,Paths!$E$75&lt;=C765*12)),Paths!$G$75,0),"n.a."))</f>
        <v>0</v>
      </c>
      <c r="J765" s="16">
        <f>IF(NOT(Paths!$C$75=1),0,IF(Paths!$P$75="Complete",IF(IF(Paths!$E$75=0,C765=0,AND(C765&gt;0,Paths!$E$75&gt;(C765-1)*12,Paths!$E$75&lt;=C765*12)),Paths!$H$75,0),"n.a."))</f>
        <v>0</v>
      </c>
      <c r="K765" s="16">
        <f>IF(NOT(Paths!$C$75=1),0,IF(Paths!$P$75="Complete",IF(IF(Paths!$O$75=0,C765=0,AND(C765&gt;0,Paths!$O$75&gt;(C765-1)*12,Paths!$O$75&lt;=C765*12)),Paths!$N$75,0),"n.a."))</f>
        <v>0</v>
      </c>
      <c r="L765" s="16">
        <f>IF(NOT(Paths!$C$75=1),0,IF(Paths!$P$75="Complete",IF(C765=10,Paths!$I$75,0),"n.a."))</f>
        <v>0</v>
      </c>
      <c r="M765" s="16">
        <f>IF(NOT(Paths!$C$75=1),0,IF(Paths!$P$75="Complete",IF(AND(Paths!$D$75="EV",Paths!$E$75&lt;120,Paths!$E$75+'Operating costs'!$B$65&gt;Paths!$E$75,Paths!$E$75+'Operating costs'!$B$65&lt;=120,IF(Paths!$E$75+'Operating costs'!$B$65=0,C765=0,AND(C765&gt;0,Paths!$E$75+'Operating costs'!$B$65&gt;(C765-1)*12,Paths!$E$75+'Operating costs'!$B$65&lt;=C765*12))),'Operating costs'!$B$64,0)+IF(AND('Operating costs'!$B$67&gt;0,'Operating costs'!$B$67&lt;=120,OR(Paths!$D$75="ICE",'Operating costs'!$B$67&lt;=Paths!$E$75),IF('Operating costs'!$B$67=0,C765=0,AND(C765&gt;0,'Operating costs'!$B$67&gt;(C765-1)*12,'Operating costs'!$B$67&lt;=C765*12))),'Operating costs'!$B$66,0),"n.a."))</f>
        <v>0</v>
      </c>
      <c r="N765" s="16">
        <f>IF(NOT(Paths!$C$75=1),0,IF(Paths!$P$75="Complete",SUM(G765:I765)-J765-K765-L765+M765+IF(C765=0,Paths!$F$75,0)+IF(IF(Paths!$E$75=0,C765=0,AND(C765&gt;0,Paths!$E$75&gt;(C765-1)*12,Paths!$E$75&lt;=C765*12)),VLOOKUP(A765,'Fleet register'!$A$7:$S$106,16,FALSE),0),"n.a."))</f>
        <v>0</v>
      </c>
      <c r="O765" s="16">
        <f>IF(NOT(Paths!$C$75=1),0,IF(Paths!$P$75="Complete",N765-IF(C765=0,Paths!$F$75,0),"n.a."))</f>
        <v>0</v>
      </c>
      <c r="P765" s="16">
        <f>IF(NOT(Paths!$C$75=1),0,IF(Paths!$P$75="Complete",O765+L765,"n.a."))</f>
        <v>0</v>
      </c>
      <c r="Q765" s="16">
        <f>IF(NOT(Paths!$C$75=1),0,IF(Paths!$P$75="Complete",N765*(1+'Operating costs'!$B$54)^-C765,"n.a."))</f>
        <v>0</v>
      </c>
      <c r="R765" s="16">
        <f>IF(NOT(Paths!$C$75=1),0,IF(Paths!$P$75="Complete",IF(AND(C765=0,Paths!$E$75=0),I765-J765-K765+VLOOKUP(A765,'Fleet register'!$A$7:$S$106,15,FALSE)+VLOOKUP(A765,'Fleet register'!$A$7:$S$106,16,FALSE),0),"n.a."))</f>
        <v>0</v>
      </c>
      <c r="S765" s="1">
        <f>IF(NOT(Paths!$C$75=1),0,IF(Paths!$P$75="Complete",IF(C765=0,0,Paths!$S$75*Paths!$R$75),"n.a."))</f>
        <v>0</v>
      </c>
      <c r="T765" s="1">
        <f>IF(NOT(Paths!$C$75=1),0,IF(Paths!$P$75="Complete",IF(C765=0,0,VLOOKUP(A765,'Fleet register'!$A$7:$S$106,9,FALSE)*Paths!$R$75),"n.a."))</f>
        <v>0</v>
      </c>
    </row>
    <row r="766" spans="1:20" ht="24" customHeight="1">
      <c r="A766" s="1" t="str">
        <f>Paths!$A$76</f>
        <v>T018</v>
      </c>
      <c r="B766" s="1">
        <f>Paths!$B$76</f>
        <v>1</v>
      </c>
      <c r="C766" s="1">
        <v>0</v>
      </c>
      <c r="D766" s="1">
        <v>76</v>
      </c>
      <c r="E766" s="1">
        <f>IF(OR(Paths!$C$76=0,C766=0),0,MAX(0,MIN(C766*12,Paths!$E$76)-(C766-1)*12))</f>
        <v>0</v>
      </c>
      <c r="F766" s="1">
        <f>IF(OR(Paths!$C$76=0,C766=0),0,12-E766)</f>
        <v>0</v>
      </c>
      <c r="G766" s="16">
        <f>IF(NOT(Paths!$C$76=1),0,IF(Paths!$P$76="Complete",E766/12*(Paths!$J$76*(1+'Operating costs'!$B$51)^MAX(0,C766-1)+Paths!$K$76*(1+'Operating costs'!$B$53)^MAX(0,C766-1)),"n.a."))</f>
        <v>0</v>
      </c>
      <c r="H766" s="16">
        <f>IF(NOT(Paths!$C$76=1),0,IF(Paths!$P$76="Complete",F766/12*(Paths!$L$76*(1+IF(Paths!$D$76="EV",'Operating costs'!$B$52,'Operating costs'!$B$51))^MAX(0,C766-1)+Paths!$M$76*(1+'Operating costs'!$B$53)^MAX(0,C766-1)),"n.a."))</f>
        <v>0</v>
      </c>
      <c r="I766" s="16">
        <f>IF(NOT(Paths!$C$76=1),0,IF(Paths!$P$76="Complete",IF(IF(Paths!$E$76=0,C766=0,AND(C766&gt;0,Paths!$E$76&gt;(C766-1)*12,Paths!$E$76&lt;=C766*12)),Paths!$G$76,0),"n.a."))</f>
        <v>0</v>
      </c>
      <c r="J766" s="16">
        <f>IF(NOT(Paths!$C$76=1),0,IF(Paths!$P$76="Complete",IF(IF(Paths!$E$76=0,C766=0,AND(C766&gt;0,Paths!$E$76&gt;(C766-1)*12,Paths!$E$76&lt;=C766*12)),Paths!$H$76,0),"n.a."))</f>
        <v>0</v>
      </c>
      <c r="K766" s="16">
        <f>IF(NOT(Paths!$C$76=1),0,IF(Paths!$P$76="Complete",IF(IF(Paths!$O$76=0,C766=0,AND(C766&gt;0,Paths!$O$76&gt;(C766-1)*12,Paths!$O$76&lt;=C766*12)),Paths!$N$76,0),"n.a."))</f>
        <v>0</v>
      </c>
      <c r="L766" s="16">
        <f>IF(NOT(Paths!$C$76=1),0,IF(Paths!$P$76="Complete",IF(C766=10,Paths!$I$76,0),"n.a."))</f>
        <v>0</v>
      </c>
      <c r="M766" s="16">
        <f>IF(NOT(Paths!$C$76=1),0,IF(Paths!$P$76="Complete",IF(AND(Paths!$D$76="EV",Paths!$E$76&lt;120,Paths!$E$76+'Operating costs'!$B$65&gt;Paths!$E$76,Paths!$E$76+'Operating costs'!$B$65&lt;=120,IF(Paths!$E$76+'Operating costs'!$B$65=0,C766=0,AND(C766&gt;0,Paths!$E$76+'Operating costs'!$B$65&gt;(C766-1)*12,Paths!$E$76+'Operating costs'!$B$65&lt;=C766*12))),'Operating costs'!$B$64,0)+IF(AND('Operating costs'!$B$67&gt;0,'Operating costs'!$B$67&lt;=120,OR(Paths!$D$76="ICE",'Operating costs'!$B$67&lt;=Paths!$E$76),IF('Operating costs'!$B$67=0,C766=0,AND(C766&gt;0,'Operating costs'!$B$67&gt;(C766-1)*12,'Operating costs'!$B$67&lt;=C766*12))),'Operating costs'!$B$66,0),"n.a."))</f>
        <v>0</v>
      </c>
      <c r="N766" s="16">
        <f>IF(NOT(Paths!$C$76=1),0,IF(Paths!$P$76="Complete",SUM(G766:I766)-J766-K766-L766+M766+IF(C766=0,Paths!$F$76,0)+IF(IF(Paths!$E$76=0,C766=0,AND(C766&gt;0,Paths!$E$76&gt;(C766-1)*12,Paths!$E$76&lt;=C766*12)),VLOOKUP(A766,'Fleet register'!$A$7:$S$106,16,FALSE),0),"n.a."))</f>
        <v>0</v>
      </c>
      <c r="O766" s="16">
        <f>IF(NOT(Paths!$C$76=1),0,IF(Paths!$P$76="Complete",N766-IF(C766=0,Paths!$F$76,0),"n.a."))</f>
        <v>0</v>
      </c>
      <c r="P766" s="16">
        <f>IF(NOT(Paths!$C$76=1),0,IF(Paths!$P$76="Complete",O766+L766,"n.a."))</f>
        <v>0</v>
      </c>
      <c r="Q766" s="16">
        <f>IF(NOT(Paths!$C$76=1),0,IF(Paths!$P$76="Complete",N766*(1+'Operating costs'!$B$54)^-C766,"n.a."))</f>
        <v>0</v>
      </c>
      <c r="R766" s="16">
        <f>IF(NOT(Paths!$C$76=1),0,IF(Paths!$P$76="Complete",IF(AND(C766=0,Paths!$E$76=0),I766-J766-K766+VLOOKUP(A766,'Fleet register'!$A$7:$S$106,15,FALSE)+VLOOKUP(A766,'Fleet register'!$A$7:$S$106,16,FALSE),0),"n.a."))</f>
        <v>0</v>
      </c>
      <c r="S766" s="1">
        <f>IF(NOT(Paths!$C$76=1),0,IF(Paths!$P$76="Complete",IF(C766=0,0,Paths!$S$76*Paths!$R$76),"n.a."))</f>
        <v>0</v>
      </c>
      <c r="T766" s="1">
        <f>IF(NOT(Paths!$C$76=1),0,IF(Paths!$P$76="Complete",IF(C766=0,0,VLOOKUP(A766,'Fleet register'!$A$7:$S$106,9,FALSE)*Paths!$R$76),"n.a."))</f>
        <v>0</v>
      </c>
    </row>
    <row r="767" spans="1:20" ht="24" customHeight="1">
      <c r="A767" s="1" t="str">
        <f>Paths!$A$76</f>
        <v>T018</v>
      </c>
      <c r="B767" s="1">
        <f>Paths!$B$76</f>
        <v>1</v>
      </c>
      <c r="C767" s="1">
        <v>1</v>
      </c>
      <c r="D767" s="1">
        <v>76</v>
      </c>
      <c r="E767" s="1">
        <f>IF(OR(Paths!$C$76=0,C767=0),0,MAX(0,MIN(C767*12,Paths!$E$76)-(C767-1)*12))</f>
        <v>0</v>
      </c>
      <c r="F767" s="1">
        <f>IF(OR(Paths!$C$76=0,C767=0),0,12-E767)</f>
        <v>0</v>
      </c>
      <c r="G767" s="16">
        <f>IF(NOT(Paths!$C$76=1),0,IF(Paths!$P$76="Complete",E767/12*(Paths!$J$76*(1+'Operating costs'!$B$51)^MAX(0,C767-1)+Paths!$K$76*(1+'Operating costs'!$B$53)^MAX(0,C767-1)),"n.a."))</f>
        <v>0</v>
      </c>
      <c r="H767" s="16">
        <f>IF(NOT(Paths!$C$76=1),0,IF(Paths!$P$76="Complete",F767/12*(Paths!$L$76*(1+IF(Paths!$D$76="EV",'Operating costs'!$B$52,'Operating costs'!$B$51))^MAX(0,C767-1)+Paths!$M$76*(1+'Operating costs'!$B$53)^MAX(0,C767-1)),"n.a."))</f>
        <v>0</v>
      </c>
      <c r="I767" s="16">
        <f>IF(NOT(Paths!$C$76=1),0,IF(Paths!$P$76="Complete",IF(IF(Paths!$E$76=0,C767=0,AND(C767&gt;0,Paths!$E$76&gt;(C767-1)*12,Paths!$E$76&lt;=C767*12)),Paths!$G$76,0),"n.a."))</f>
        <v>0</v>
      </c>
      <c r="J767" s="16">
        <f>IF(NOT(Paths!$C$76=1),0,IF(Paths!$P$76="Complete",IF(IF(Paths!$E$76=0,C767=0,AND(C767&gt;0,Paths!$E$76&gt;(C767-1)*12,Paths!$E$76&lt;=C767*12)),Paths!$H$76,0),"n.a."))</f>
        <v>0</v>
      </c>
      <c r="K767" s="16">
        <f>IF(NOT(Paths!$C$76=1),0,IF(Paths!$P$76="Complete",IF(IF(Paths!$O$76=0,C767=0,AND(C767&gt;0,Paths!$O$76&gt;(C767-1)*12,Paths!$O$76&lt;=C767*12)),Paths!$N$76,0),"n.a."))</f>
        <v>0</v>
      </c>
      <c r="L767" s="16">
        <f>IF(NOT(Paths!$C$76=1),0,IF(Paths!$P$76="Complete",IF(C767=10,Paths!$I$76,0),"n.a."))</f>
        <v>0</v>
      </c>
      <c r="M767" s="16">
        <f>IF(NOT(Paths!$C$76=1),0,IF(Paths!$P$76="Complete",IF(AND(Paths!$D$76="EV",Paths!$E$76&lt;120,Paths!$E$76+'Operating costs'!$B$65&gt;Paths!$E$76,Paths!$E$76+'Operating costs'!$B$65&lt;=120,IF(Paths!$E$76+'Operating costs'!$B$65=0,C767=0,AND(C767&gt;0,Paths!$E$76+'Operating costs'!$B$65&gt;(C767-1)*12,Paths!$E$76+'Operating costs'!$B$65&lt;=C767*12))),'Operating costs'!$B$64,0)+IF(AND('Operating costs'!$B$67&gt;0,'Operating costs'!$B$67&lt;=120,OR(Paths!$D$76="ICE",'Operating costs'!$B$67&lt;=Paths!$E$76),IF('Operating costs'!$B$67=0,C767=0,AND(C767&gt;0,'Operating costs'!$B$67&gt;(C767-1)*12,'Operating costs'!$B$67&lt;=C767*12))),'Operating costs'!$B$66,0),"n.a."))</f>
        <v>0</v>
      </c>
      <c r="N767" s="16">
        <f>IF(NOT(Paths!$C$76=1),0,IF(Paths!$P$76="Complete",SUM(G767:I767)-J767-K767-L767+M767+IF(C767=0,Paths!$F$76,0)+IF(IF(Paths!$E$76=0,C767=0,AND(C767&gt;0,Paths!$E$76&gt;(C767-1)*12,Paths!$E$76&lt;=C767*12)),VLOOKUP(A767,'Fleet register'!$A$7:$S$106,16,FALSE),0),"n.a."))</f>
        <v>0</v>
      </c>
      <c r="O767" s="16">
        <f>IF(NOT(Paths!$C$76=1),0,IF(Paths!$P$76="Complete",N767-IF(C767=0,Paths!$F$76,0),"n.a."))</f>
        <v>0</v>
      </c>
      <c r="P767" s="16">
        <f>IF(NOT(Paths!$C$76=1),0,IF(Paths!$P$76="Complete",O767+L767,"n.a."))</f>
        <v>0</v>
      </c>
      <c r="Q767" s="16">
        <f>IF(NOT(Paths!$C$76=1),0,IF(Paths!$P$76="Complete",N767*(1+'Operating costs'!$B$54)^-C767,"n.a."))</f>
        <v>0</v>
      </c>
      <c r="R767" s="16">
        <f>IF(NOT(Paths!$C$76=1),0,IF(Paths!$P$76="Complete",IF(AND(C767=0,Paths!$E$76=0),I767-J767-K767+VLOOKUP(A767,'Fleet register'!$A$7:$S$106,15,FALSE)+VLOOKUP(A767,'Fleet register'!$A$7:$S$106,16,FALSE),0),"n.a."))</f>
        <v>0</v>
      </c>
      <c r="S767" s="1">
        <f>IF(NOT(Paths!$C$76=1),0,IF(Paths!$P$76="Complete",IF(C767=0,0,Paths!$S$76*Paths!$R$76),"n.a."))</f>
        <v>0</v>
      </c>
      <c r="T767" s="1">
        <f>IF(NOT(Paths!$C$76=1),0,IF(Paths!$P$76="Complete",IF(C767=0,0,VLOOKUP(A767,'Fleet register'!$A$7:$S$106,9,FALSE)*Paths!$R$76),"n.a."))</f>
        <v>0</v>
      </c>
    </row>
    <row r="768" spans="1:20" ht="24" customHeight="1">
      <c r="A768" s="1" t="str">
        <f>Paths!$A$76</f>
        <v>T018</v>
      </c>
      <c r="B768" s="1">
        <f>Paths!$B$76</f>
        <v>1</v>
      </c>
      <c r="C768" s="1">
        <v>2</v>
      </c>
      <c r="D768" s="1">
        <v>76</v>
      </c>
      <c r="E768" s="1">
        <f>IF(OR(Paths!$C$76=0,C768=0),0,MAX(0,MIN(C768*12,Paths!$E$76)-(C768-1)*12))</f>
        <v>0</v>
      </c>
      <c r="F768" s="1">
        <f>IF(OR(Paths!$C$76=0,C768=0),0,12-E768)</f>
        <v>0</v>
      </c>
      <c r="G768" s="16">
        <f>IF(NOT(Paths!$C$76=1),0,IF(Paths!$P$76="Complete",E768/12*(Paths!$J$76*(1+'Operating costs'!$B$51)^MAX(0,C768-1)+Paths!$K$76*(1+'Operating costs'!$B$53)^MAX(0,C768-1)),"n.a."))</f>
        <v>0</v>
      </c>
      <c r="H768" s="16">
        <f>IF(NOT(Paths!$C$76=1),0,IF(Paths!$P$76="Complete",F768/12*(Paths!$L$76*(1+IF(Paths!$D$76="EV",'Operating costs'!$B$52,'Operating costs'!$B$51))^MAX(0,C768-1)+Paths!$M$76*(1+'Operating costs'!$B$53)^MAX(0,C768-1)),"n.a."))</f>
        <v>0</v>
      </c>
      <c r="I768" s="16">
        <f>IF(NOT(Paths!$C$76=1),0,IF(Paths!$P$76="Complete",IF(IF(Paths!$E$76=0,C768=0,AND(C768&gt;0,Paths!$E$76&gt;(C768-1)*12,Paths!$E$76&lt;=C768*12)),Paths!$G$76,0),"n.a."))</f>
        <v>0</v>
      </c>
      <c r="J768" s="16">
        <f>IF(NOT(Paths!$C$76=1),0,IF(Paths!$P$76="Complete",IF(IF(Paths!$E$76=0,C768=0,AND(C768&gt;0,Paths!$E$76&gt;(C768-1)*12,Paths!$E$76&lt;=C768*12)),Paths!$H$76,0),"n.a."))</f>
        <v>0</v>
      </c>
      <c r="K768" s="16">
        <f>IF(NOT(Paths!$C$76=1),0,IF(Paths!$P$76="Complete",IF(IF(Paths!$O$76=0,C768=0,AND(C768&gt;0,Paths!$O$76&gt;(C768-1)*12,Paths!$O$76&lt;=C768*12)),Paths!$N$76,0),"n.a."))</f>
        <v>0</v>
      </c>
      <c r="L768" s="16">
        <f>IF(NOT(Paths!$C$76=1),0,IF(Paths!$P$76="Complete",IF(C768=10,Paths!$I$76,0),"n.a."))</f>
        <v>0</v>
      </c>
      <c r="M768" s="16">
        <f>IF(NOT(Paths!$C$76=1),0,IF(Paths!$P$76="Complete",IF(AND(Paths!$D$76="EV",Paths!$E$76&lt;120,Paths!$E$76+'Operating costs'!$B$65&gt;Paths!$E$76,Paths!$E$76+'Operating costs'!$B$65&lt;=120,IF(Paths!$E$76+'Operating costs'!$B$65=0,C768=0,AND(C768&gt;0,Paths!$E$76+'Operating costs'!$B$65&gt;(C768-1)*12,Paths!$E$76+'Operating costs'!$B$65&lt;=C768*12))),'Operating costs'!$B$64,0)+IF(AND('Operating costs'!$B$67&gt;0,'Operating costs'!$B$67&lt;=120,OR(Paths!$D$76="ICE",'Operating costs'!$B$67&lt;=Paths!$E$76),IF('Operating costs'!$B$67=0,C768=0,AND(C768&gt;0,'Operating costs'!$B$67&gt;(C768-1)*12,'Operating costs'!$B$67&lt;=C768*12))),'Operating costs'!$B$66,0),"n.a."))</f>
        <v>0</v>
      </c>
      <c r="N768" s="16">
        <f>IF(NOT(Paths!$C$76=1),0,IF(Paths!$P$76="Complete",SUM(G768:I768)-J768-K768-L768+M768+IF(C768=0,Paths!$F$76,0)+IF(IF(Paths!$E$76=0,C768=0,AND(C768&gt;0,Paths!$E$76&gt;(C768-1)*12,Paths!$E$76&lt;=C768*12)),VLOOKUP(A768,'Fleet register'!$A$7:$S$106,16,FALSE),0),"n.a."))</f>
        <v>0</v>
      </c>
      <c r="O768" s="16">
        <f>IF(NOT(Paths!$C$76=1),0,IF(Paths!$P$76="Complete",N768-IF(C768=0,Paths!$F$76,0),"n.a."))</f>
        <v>0</v>
      </c>
      <c r="P768" s="16">
        <f>IF(NOT(Paths!$C$76=1),0,IF(Paths!$P$76="Complete",O768+L768,"n.a."))</f>
        <v>0</v>
      </c>
      <c r="Q768" s="16">
        <f>IF(NOT(Paths!$C$76=1),0,IF(Paths!$P$76="Complete",N768*(1+'Operating costs'!$B$54)^-C768,"n.a."))</f>
        <v>0</v>
      </c>
      <c r="R768" s="16">
        <f>IF(NOT(Paths!$C$76=1),0,IF(Paths!$P$76="Complete",IF(AND(C768=0,Paths!$E$76=0),I768-J768-K768+VLOOKUP(A768,'Fleet register'!$A$7:$S$106,15,FALSE)+VLOOKUP(A768,'Fleet register'!$A$7:$S$106,16,FALSE),0),"n.a."))</f>
        <v>0</v>
      </c>
      <c r="S768" s="1">
        <f>IF(NOT(Paths!$C$76=1),0,IF(Paths!$P$76="Complete",IF(C768=0,0,Paths!$S$76*Paths!$R$76),"n.a."))</f>
        <v>0</v>
      </c>
      <c r="T768" s="1">
        <f>IF(NOT(Paths!$C$76=1),0,IF(Paths!$P$76="Complete",IF(C768=0,0,VLOOKUP(A768,'Fleet register'!$A$7:$S$106,9,FALSE)*Paths!$R$76),"n.a."))</f>
        <v>0</v>
      </c>
    </row>
    <row r="769" spans="1:20" ht="24" customHeight="1">
      <c r="A769" s="1" t="str">
        <f>Paths!$A$76</f>
        <v>T018</v>
      </c>
      <c r="B769" s="1">
        <f>Paths!$B$76</f>
        <v>1</v>
      </c>
      <c r="C769" s="1">
        <v>3</v>
      </c>
      <c r="D769" s="1">
        <v>76</v>
      </c>
      <c r="E769" s="1">
        <f>IF(OR(Paths!$C$76=0,C769=0),0,MAX(0,MIN(C769*12,Paths!$E$76)-(C769-1)*12))</f>
        <v>0</v>
      </c>
      <c r="F769" s="1">
        <f>IF(OR(Paths!$C$76=0,C769=0),0,12-E769)</f>
        <v>0</v>
      </c>
      <c r="G769" s="16">
        <f>IF(NOT(Paths!$C$76=1),0,IF(Paths!$P$76="Complete",E769/12*(Paths!$J$76*(1+'Operating costs'!$B$51)^MAX(0,C769-1)+Paths!$K$76*(1+'Operating costs'!$B$53)^MAX(0,C769-1)),"n.a."))</f>
        <v>0</v>
      </c>
      <c r="H769" s="16">
        <f>IF(NOT(Paths!$C$76=1),0,IF(Paths!$P$76="Complete",F769/12*(Paths!$L$76*(1+IF(Paths!$D$76="EV",'Operating costs'!$B$52,'Operating costs'!$B$51))^MAX(0,C769-1)+Paths!$M$76*(1+'Operating costs'!$B$53)^MAX(0,C769-1)),"n.a."))</f>
        <v>0</v>
      </c>
      <c r="I769" s="16">
        <f>IF(NOT(Paths!$C$76=1),0,IF(Paths!$P$76="Complete",IF(IF(Paths!$E$76=0,C769=0,AND(C769&gt;0,Paths!$E$76&gt;(C769-1)*12,Paths!$E$76&lt;=C769*12)),Paths!$G$76,0),"n.a."))</f>
        <v>0</v>
      </c>
      <c r="J769" s="16">
        <f>IF(NOT(Paths!$C$76=1),0,IF(Paths!$P$76="Complete",IF(IF(Paths!$E$76=0,C769=0,AND(C769&gt;0,Paths!$E$76&gt;(C769-1)*12,Paths!$E$76&lt;=C769*12)),Paths!$H$76,0),"n.a."))</f>
        <v>0</v>
      </c>
      <c r="K769" s="16">
        <f>IF(NOT(Paths!$C$76=1),0,IF(Paths!$P$76="Complete",IF(IF(Paths!$O$76=0,C769=0,AND(C769&gt;0,Paths!$O$76&gt;(C769-1)*12,Paths!$O$76&lt;=C769*12)),Paths!$N$76,0),"n.a."))</f>
        <v>0</v>
      </c>
      <c r="L769" s="16">
        <f>IF(NOT(Paths!$C$76=1),0,IF(Paths!$P$76="Complete",IF(C769=10,Paths!$I$76,0),"n.a."))</f>
        <v>0</v>
      </c>
      <c r="M769" s="16">
        <f>IF(NOT(Paths!$C$76=1),0,IF(Paths!$P$76="Complete",IF(AND(Paths!$D$76="EV",Paths!$E$76&lt;120,Paths!$E$76+'Operating costs'!$B$65&gt;Paths!$E$76,Paths!$E$76+'Operating costs'!$B$65&lt;=120,IF(Paths!$E$76+'Operating costs'!$B$65=0,C769=0,AND(C769&gt;0,Paths!$E$76+'Operating costs'!$B$65&gt;(C769-1)*12,Paths!$E$76+'Operating costs'!$B$65&lt;=C769*12))),'Operating costs'!$B$64,0)+IF(AND('Operating costs'!$B$67&gt;0,'Operating costs'!$B$67&lt;=120,OR(Paths!$D$76="ICE",'Operating costs'!$B$67&lt;=Paths!$E$76),IF('Operating costs'!$B$67=0,C769=0,AND(C769&gt;0,'Operating costs'!$B$67&gt;(C769-1)*12,'Operating costs'!$B$67&lt;=C769*12))),'Operating costs'!$B$66,0),"n.a."))</f>
        <v>0</v>
      </c>
      <c r="N769" s="16">
        <f>IF(NOT(Paths!$C$76=1),0,IF(Paths!$P$76="Complete",SUM(G769:I769)-J769-K769-L769+M769+IF(C769=0,Paths!$F$76,0)+IF(IF(Paths!$E$76=0,C769=0,AND(C769&gt;0,Paths!$E$76&gt;(C769-1)*12,Paths!$E$76&lt;=C769*12)),VLOOKUP(A769,'Fleet register'!$A$7:$S$106,16,FALSE),0),"n.a."))</f>
        <v>0</v>
      </c>
      <c r="O769" s="16">
        <f>IF(NOT(Paths!$C$76=1),0,IF(Paths!$P$76="Complete",N769-IF(C769=0,Paths!$F$76,0),"n.a."))</f>
        <v>0</v>
      </c>
      <c r="P769" s="16">
        <f>IF(NOT(Paths!$C$76=1),0,IF(Paths!$P$76="Complete",O769+L769,"n.a."))</f>
        <v>0</v>
      </c>
      <c r="Q769" s="16">
        <f>IF(NOT(Paths!$C$76=1),0,IF(Paths!$P$76="Complete",N769*(1+'Operating costs'!$B$54)^-C769,"n.a."))</f>
        <v>0</v>
      </c>
      <c r="R769" s="16">
        <f>IF(NOT(Paths!$C$76=1),0,IF(Paths!$P$76="Complete",IF(AND(C769=0,Paths!$E$76=0),I769-J769-K769+VLOOKUP(A769,'Fleet register'!$A$7:$S$106,15,FALSE)+VLOOKUP(A769,'Fleet register'!$A$7:$S$106,16,FALSE),0),"n.a."))</f>
        <v>0</v>
      </c>
      <c r="S769" s="1">
        <f>IF(NOT(Paths!$C$76=1),0,IF(Paths!$P$76="Complete",IF(C769=0,0,Paths!$S$76*Paths!$R$76),"n.a."))</f>
        <v>0</v>
      </c>
      <c r="T769" s="1">
        <f>IF(NOT(Paths!$C$76=1),0,IF(Paths!$P$76="Complete",IF(C769=0,0,VLOOKUP(A769,'Fleet register'!$A$7:$S$106,9,FALSE)*Paths!$R$76),"n.a."))</f>
        <v>0</v>
      </c>
    </row>
    <row r="770" spans="1:20" ht="24" customHeight="1">
      <c r="A770" s="1" t="str">
        <f>Paths!$A$76</f>
        <v>T018</v>
      </c>
      <c r="B770" s="1">
        <f>Paths!$B$76</f>
        <v>1</v>
      </c>
      <c r="C770" s="1">
        <v>4</v>
      </c>
      <c r="D770" s="1">
        <v>76</v>
      </c>
      <c r="E770" s="1">
        <f>IF(OR(Paths!$C$76=0,C770=0),0,MAX(0,MIN(C770*12,Paths!$E$76)-(C770-1)*12))</f>
        <v>0</v>
      </c>
      <c r="F770" s="1">
        <f>IF(OR(Paths!$C$76=0,C770=0),0,12-E770)</f>
        <v>0</v>
      </c>
      <c r="G770" s="16">
        <f>IF(NOT(Paths!$C$76=1),0,IF(Paths!$P$76="Complete",E770/12*(Paths!$J$76*(1+'Operating costs'!$B$51)^MAX(0,C770-1)+Paths!$K$76*(1+'Operating costs'!$B$53)^MAX(0,C770-1)),"n.a."))</f>
        <v>0</v>
      </c>
      <c r="H770" s="16">
        <f>IF(NOT(Paths!$C$76=1),0,IF(Paths!$P$76="Complete",F770/12*(Paths!$L$76*(1+IF(Paths!$D$76="EV",'Operating costs'!$B$52,'Operating costs'!$B$51))^MAX(0,C770-1)+Paths!$M$76*(1+'Operating costs'!$B$53)^MAX(0,C770-1)),"n.a."))</f>
        <v>0</v>
      </c>
      <c r="I770" s="16">
        <f>IF(NOT(Paths!$C$76=1),0,IF(Paths!$P$76="Complete",IF(IF(Paths!$E$76=0,C770=0,AND(C770&gt;0,Paths!$E$76&gt;(C770-1)*12,Paths!$E$76&lt;=C770*12)),Paths!$G$76,0),"n.a."))</f>
        <v>0</v>
      </c>
      <c r="J770" s="16">
        <f>IF(NOT(Paths!$C$76=1),0,IF(Paths!$P$76="Complete",IF(IF(Paths!$E$76=0,C770=0,AND(C770&gt;0,Paths!$E$76&gt;(C770-1)*12,Paths!$E$76&lt;=C770*12)),Paths!$H$76,0),"n.a."))</f>
        <v>0</v>
      </c>
      <c r="K770" s="16">
        <f>IF(NOT(Paths!$C$76=1),0,IF(Paths!$P$76="Complete",IF(IF(Paths!$O$76=0,C770=0,AND(C770&gt;0,Paths!$O$76&gt;(C770-1)*12,Paths!$O$76&lt;=C770*12)),Paths!$N$76,0),"n.a."))</f>
        <v>0</v>
      </c>
      <c r="L770" s="16">
        <f>IF(NOT(Paths!$C$76=1),0,IF(Paths!$P$76="Complete",IF(C770=10,Paths!$I$76,0),"n.a."))</f>
        <v>0</v>
      </c>
      <c r="M770" s="16">
        <f>IF(NOT(Paths!$C$76=1),0,IF(Paths!$P$76="Complete",IF(AND(Paths!$D$76="EV",Paths!$E$76&lt;120,Paths!$E$76+'Operating costs'!$B$65&gt;Paths!$E$76,Paths!$E$76+'Operating costs'!$B$65&lt;=120,IF(Paths!$E$76+'Operating costs'!$B$65=0,C770=0,AND(C770&gt;0,Paths!$E$76+'Operating costs'!$B$65&gt;(C770-1)*12,Paths!$E$76+'Operating costs'!$B$65&lt;=C770*12))),'Operating costs'!$B$64,0)+IF(AND('Operating costs'!$B$67&gt;0,'Operating costs'!$B$67&lt;=120,OR(Paths!$D$76="ICE",'Operating costs'!$B$67&lt;=Paths!$E$76),IF('Operating costs'!$B$67=0,C770=0,AND(C770&gt;0,'Operating costs'!$B$67&gt;(C770-1)*12,'Operating costs'!$B$67&lt;=C770*12))),'Operating costs'!$B$66,0),"n.a."))</f>
        <v>0</v>
      </c>
      <c r="N770" s="16">
        <f>IF(NOT(Paths!$C$76=1),0,IF(Paths!$P$76="Complete",SUM(G770:I770)-J770-K770-L770+M770+IF(C770=0,Paths!$F$76,0)+IF(IF(Paths!$E$76=0,C770=0,AND(C770&gt;0,Paths!$E$76&gt;(C770-1)*12,Paths!$E$76&lt;=C770*12)),VLOOKUP(A770,'Fleet register'!$A$7:$S$106,16,FALSE),0),"n.a."))</f>
        <v>0</v>
      </c>
      <c r="O770" s="16">
        <f>IF(NOT(Paths!$C$76=1),0,IF(Paths!$P$76="Complete",N770-IF(C770=0,Paths!$F$76,0),"n.a."))</f>
        <v>0</v>
      </c>
      <c r="P770" s="16">
        <f>IF(NOT(Paths!$C$76=1),0,IF(Paths!$P$76="Complete",O770+L770,"n.a."))</f>
        <v>0</v>
      </c>
      <c r="Q770" s="16">
        <f>IF(NOT(Paths!$C$76=1),0,IF(Paths!$P$76="Complete",N770*(1+'Operating costs'!$B$54)^-C770,"n.a."))</f>
        <v>0</v>
      </c>
      <c r="R770" s="16">
        <f>IF(NOT(Paths!$C$76=1),0,IF(Paths!$P$76="Complete",IF(AND(C770=0,Paths!$E$76=0),I770-J770-K770+VLOOKUP(A770,'Fleet register'!$A$7:$S$106,15,FALSE)+VLOOKUP(A770,'Fleet register'!$A$7:$S$106,16,FALSE),0),"n.a."))</f>
        <v>0</v>
      </c>
      <c r="S770" s="1">
        <f>IF(NOT(Paths!$C$76=1),0,IF(Paths!$P$76="Complete",IF(C770=0,0,Paths!$S$76*Paths!$R$76),"n.a."))</f>
        <v>0</v>
      </c>
      <c r="T770" s="1">
        <f>IF(NOT(Paths!$C$76=1),0,IF(Paths!$P$76="Complete",IF(C770=0,0,VLOOKUP(A770,'Fleet register'!$A$7:$S$106,9,FALSE)*Paths!$R$76),"n.a."))</f>
        <v>0</v>
      </c>
    </row>
    <row r="771" spans="1:20" ht="24" customHeight="1">
      <c r="A771" s="1" t="str">
        <f>Paths!$A$76</f>
        <v>T018</v>
      </c>
      <c r="B771" s="1">
        <f>Paths!$B$76</f>
        <v>1</v>
      </c>
      <c r="C771" s="1">
        <v>5</v>
      </c>
      <c r="D771" s="1">
        <v>76</v>
      </c>
      <c r="E771" s="1">
        <f>IF(OR(Paths!$C$76=0,C771=0),0,MAX(0,MIN(C771*12,Paths!$E$76)-(C771-1)*12))</f>
        <v>0</v>
      </c>
      <c r="F771" s="1">
        <f>IF(OR(Paths!$C$76=0,C771=0),0,12-E771)</f>
        <v>0</v>
      </c>
      <c r="G771" s="16">
        <f>IF(NOT(Paths!$C$76=1),0,IF(Paths!$P$76="Complete",E771/12*(Paths!$J$76*(1+'Operating costs'!$B$51)^MAX(0,C771-1)+Paths!$K$76*(1+'Operating costs'!$B$53)^MAX(0,C771-1)),"n.a."))</f>
        <v>0</v>
      </c>
      <c r="H771" s="16">
        <f>IF(NOT(Paths!$C$76=1),0,IF(Paths!$P$76="Complete",F771/12*(Paths!$L$76*(1+IF(Paths!$D$76="EV",'Operating costs'!$B$52,'Operating costs'!$B$51))^MAX(0,C771-1)+Paths!$M$76*(1+'Operating costs'!$B$53)^MAX(0,C771-1)),"n.a."))</f>
        <v>0</v>
      </c>
      <c r="I771" s="16">
        <f>IF(NOT(Paths!$C$76=1),0,IF(Paths!$P$76="Complete",IF(IF(Paths!$E$76=0,C771=0,AND(C771&gt;0,Paths!$E$76&gt;(C771-1)*12,Paths!$E$76&lt;=C771*12)),Paths!$G$76,0),"n.a."))</f>
        <v>0</v>
      </c>
      <c r="J771" s="16">
        <f>IF(NOT(Paths!$C$76=1),0,IF(Paths!$P$76="Complete",IF(IF(Paths!$E$76=0,C771=0,AND(C771&gt;0,Paths!$E$76&gt;(C771-1)*12,Paths!$E$76&lt;=C771*12)),Paths!$H$76,0),"n.a."))</f>
        <v>0</v>
      </c>
      <c r="K771" s="16">
        <f>IF(NOT(Paths!$C$76=1),0,IF(Paths!$P$76="Complete",IF(IF(Paths!$O$76=0,C771=0,AND(C771&gt;0,Paths!$O$76&gt;(C771-1)*12,Paths!$O$76&lt;=C771*12)),Paths!$N$76,0),"n.a."))</f>
        <v>0</v>
      </c>
      <c r="L771" s="16">
        <f>IF(NOT(Paths!$C$76=1),0,IF(Paths!$P$76="Complete",IF(C771=10,Paths!$I$76,0),"n.a."))</f>
        <v>0</v>
      </c>
      <c r="M771" s="16">
        <f>IF(NOT(Paths!$C$76=1),0,IF(Paths!$P$76="Complete",IF(AND(Paths!$D$76="EV",Paths!$E$76&lt;120,Paths!$E$76+'Operating costs'!$B$65&gt;Paths!$E$76,Paths!$E$76+'Operating costs'!$B$65&lt;=120,IF(Paths!$E$76+'Operating costs'!$B$65=0,C771=0,AND(C771&gt;0,Paths!$E$76+'Operating costs'!$B$65&gt;(C771-1)*12,Paths!$E$76+'Operating costs'!$B$65&lt;=C771*12))),'Operating costs'!$B$64,0)+IF(AND('Operating costs'!$B$67&gt;0,'Operating costs'!$B$67&lt;=120,OR(Paths!$D$76="ICE",'Operating costs'!$B$67&lt;=Paths!$E$76),IF('Operating costs'!$B$67=0,C771=0,AND(C771&gt;0,'Operating costs'!$B$67&gt;(C771-1)*12,'Operating costs'!$B$67&lt;=C771*12))),'Operating costs'!$B$66,0),"n.a."))</f>
        <v>0</v>
      </c>
      <c r="N771" s="16">
        <f>IF(NOT(Paths!$C$76=1),0,IF(Paths!$P$76="Complete",SUM(G771:I771)-J771-K771-L771+M771+IF(C771=0,Paths!$F$76,0)+IF(IF(Paths!$E$76=0,C771=0,AND(C771&gt;0,Paths!$E$76&gt;(C771-1)*12,Paths!$E$76&lt;=C771*12)),VLOOKUP(A771,'Fleet register'!$A$7:$S$106,16,FALSE),0),"n.a."))</f>
        <v>0</v>
      </c>
      <c r="O771" s="16">
        <f>IF(NOT(Paths!$C$76=1),0,IF(Paths!$P$76="Complete",N771-IF(C771=0,Paths!$F$76,0),"n.a."))</f>
        <v>0</v>
      </c>
      <c r="P771" s="16">
        <f>IF(NOT(Paths!$C$76=1),0,IF(Paths!$P$76="Complete",O771+L771,"n.a."))</f>
        <v>0</v>
      </c>
      <c r="Q771" s="16">
        <f>IF(NOT(Paths!$C$76=1),0,IF(Paths!$P$76="Complete",N771*(1+'Operating costs'!$B$54)^-C771,"n.a."))</f>
        <v>0</v>
      </c>
      <c r="R771" s="16">
        <f>IF(NOT(Paths!$C$76=1),0,IF(Paths!$P$76="Complete",IF(AND(C771=0,Paths!$E$76=0),I771-J771-K771+VLOOKUP(A771,'Fleet register'!$A$7:$S$106,15,FALSE)+VLOOKUP(A771,'Fleet register'!$A$7:$S$106,16,FALSE),0),"n.a."))</f>
        <v>0</v>
      </c>
      <c r="S771" s="1">
        <f>IF(NOT(Paths!$C$76=1),0,IF(Paths!$P$76="Complete",IF(C771=0,0,Paths!$S$76*Paths!$R$76),"n.a."))</f>
        <v>0</v>
      </c>
      <c r="T771" s="1">
        <f>IF(NOT(Paths!$C$76=1),0,IF(Paths!$P$76="Complete",IF(C771=0,0,VLOOKUP(A771,'Fleet register'!$A$7:$S$106,9,FALSE)*Paths!$R$76),"n.a."))</f>
        <v>0</v>
      </c>
    </row>
    <row r="772" spans="1:20" ht="24" customHeight="1">
      <c r="A772" s="1" t="str">
        <f>Paths!$A$76</f>
        <v>T018</v>
      </c>
      <c r="B772" s="1">
        <f>Paths!$B$76</f>
        <v>1</v>
      </c>
      <c r="C772" s="1">
        <v>6</v>
      </c>
      <c r="D772" s="1">
        <v>76</v>
      </c>
      <c r="E772" s="1">
        <f>IF(OR(Paths!$C$76=0,C772=0),0,MAX(0,MIN(C772*12,Paths!$E$76)-(C772-1)*12))</f>
        <v>0</v>
      </c>
      <c r="F772" s="1">
        <f>IF(OR(Paths!$C$76=0,C772=0),0,12-E772)</f>
        <v>0</v>
      </c>
      <c r="G772" s="16">
        <f>IF(NOT(Paths!$C$76=1),0,IF(Paths!$P$76="Complete",E772/12*(Paths!$J$76*(1+'Operating costs'!$B$51)^MAX(0,C772-1)+Paths!$K$76*(1+'Operating costs'!$B$53)^MAX(0,C772-1)),"n.a."))</f>
        <v>0</v>
      </c>
      <c r="H772" s="16">
        <f>IF(NOT(Paths!$C$76=1),0,IF(Paths!$P$76="Complete",F772/12*(Paths!$L$76*(1+IF(Paths!$D$76="EV",'Operating costs'!$B$52,'Operating costs'!$B$51))^MAX(0,C772-1)+Paths!$M$76*(1+'Operating costs'!$B$53)^MAX(0,C772-1)),"n.a."))</f>
        <v>0</v>
      </c>
      <c r="I772" s="16">
        <f>IF(NOT(Paths!$C$76=1),0,IF(Paths!$P$76="Complete",IF(IF(Paths!$E$76=0,C772=0,AND(C772&gt;0,Paths!$E$76&gt;(C772-1)*12,Paths!$E$76&lt;=C772*12)),Paths!$G$76,0),"n.a."))</f>
        <v>0</v>
      </c>
      <c r="J772" s="16">
        <f>IF(NOT(Paths!$C$76=1),0,IF(Paths!$P$76="Complete",IF(IF(Paths!$E$76=0,C772=0,AND(C772&gt;0,Paths!$E$76&gt;(C772-1)*12,Paths!$E$76&lt;=C772*12)),Paths!$H$76,0),"n.a."))</f>
        <v>0</v>
      </c>
      <c r="K772" s="16">
        <f>IF(NOT(Paths!$C$76=1),0,IF(Paths!$P$76="Complete",IF(IF(Paths!$O$76=0,C772=0,AND(C772&gt;0,Paths!$O$76&gt;(C772-1)*12,Paths!$O$76&lt;=C772*12)),Paths!$N$76,0),"n.a."))</f>
        <v>0</v>
      </c>
      <c r="L772" s="16">
        <f>IF(NOT(Paths!$C$76=1),0,IF(Paths!$P$76="Complete",IF(C772=10,Paths!$I$76,0),"n.a."))</f>
        <v>0</v>
      </c>
      <c r="M772" s="16">
        <f>IF(NOT(Paths!$C$76=1),0,IF(Paths!$P$76="Complete",IF(AND(Paths!$D$76="EV",Paths!$E$76&lt;120,Paths!$E$76+'Operating costs'!$B$65&gt;Paths!$E$76,Paths!$E$76+'Operating costs'!$B$65&lt;=120,IF(Paths!$E$76+'Operating costs'!$B$65=0,C772=0,AND(C772&gt;0,Paths!$E$76+'Operating costs'!$B$65&gt;(C772-1)*12,Paths!$E$76+'Operating costs'!$B$65&lt;=C772*12))),'Operating costs'!$B$64,0)+IF(AND('Operating costs'!$B$67&gt;0,'Operating costs'!$B$67&lt;=120,OR(Paths!$D$76="ICE",'Operating costs'!$B$67&lt;=Paths!$E$76),IF('Operating costs'!$B$67=0,C772=0,AND(C772&gt;0,'Operating costs'!$B$67&gt;(C772-1)*12,'Operating costs'!$B$67&lt;=C772*12))),'Operating costs'!$B$66,0),"n.a."))</f>
        <v>0</v>
      </c>
      <c r="N772" s="16">
        <f>IF(NOT(Paths!$C$76=1),0,IF(Paths!$P$76="Complete",SUM(G772:I772)-J772-K772-L772+M772+IF(C772=0,Paths!$F$76,0)+IF(IF(Paths!$E$76=0,C772=0,AND(C772&gt;0,Paths!$E$76&gt;(C772-1)*12,Paths!$E$76&lt;=C772*12)),VLOOKUP(A772,'Fleet register'!$A$7:$S$106,16,FALSE),0),"n.a."))</f>
        <v>0</v>
      </c>
      <c r="O772" s="16">
        <f>IF(NOT(Paths!$C$76=1),0,IF(Paths!$P$76="Complete",N772-IF(C772=0,Paths!$F$76,0),"n.a."))</f>
        <v>0</v>
      </c>
      <c r="P772" s="16">
        <f>IF(NOT(Paths!$C$76=1),0,IF(Paths!$P$76="Complete",O772+L772,"n.a."))</f>
        <v>0</v>
      </c>
      <c r="Q772" s="16">
        <f>IF(NOT(Paths!$C$76=1),0,IF(Paths!$P$76="Complete",N772*(1+'Operating costs'!$B$54)^-C772,"n.a."))</f>
        <v>0</v>
      </c>
      <c r="R772" s="16">
        <f>IF(NOT(Paths!$C$76=1),0,IF(Paths!$P$76="Complete",IF(AND(C772=0,Paths!$E$76=0),I772-J772-K772+VLOOKUP(A772,'Fleet register'!$A$7:$S$106,15,FALSE)+VLOOKUP(A772,'Fleet register'!$A$7:$S$106,16,FALSE),0),"n.a."))</f>
        <v>0</v>
      </c>
      <c r="S772" s="1">
        <f>IF(NOT(Paths!$C$76=1),0,IF(Paths!$P$76="Complete",IF(C772=0,0,Paths!$S$76*Paths!$R$76),"n.a."))</f>
        <v>0</v>
      </c>
      <c r="T772" s="1">
        <f>IF(NOT(Paths!$C$76=1),0,IF(Paths!$P$76="Complete",IF(C772=0,0,VLOOKUP(A772,'Fleet register'!$A$7:$S$106,9,FALSE)*Paths!$R$76),"n.a."))</f>
        <v>0</v>
      </c>
    </row>
    <row r="773" spans="1:20" ht="24" customHeight="1">
      <c r="A773" s="1" t="str">
        <f>Paths!$A$76</f>
        <v>T018</v>
      </c>
      <c r="B773" s="1">
        <f>Paths!$B$76</f>
        <v>1</v>
      </c>
      <c r="C773" s="1">
        <v>7</v>
      </c>
      <c r="D773" s="1">
        <v>76</v>
      </c>
      <c r="E773" s="1">
        <f>IF(OR(Paths!$C$76=0,C773=0),0,MAX(0,MIN(C773*12,Paths!$E$76)-(C773-1)*12))</f>
        <v>0</v>
      </c>
      <c r="F773" s="1">
        <f>IF(OR(Paths!$C$76=0,C773=0),0,12-E773)</f>
        <v>0</v>
      </c>
      <c r="G773" s="16">
        <f>IF(NOT(Paths!$C$76=1),0,IF(Paths!$P$76="Complete",E773/12*(Paths!$J$76*(1+'Operating costs'!$B$51)^MAX(0,C773-1)+Paths!$K$76*(1+'Operating costs'!$B$53)^MAX(0,C773-1)),"n.a."))</f>
        <v>0</v>
      </c>
      <c r="H773" s="16">
        <f>IF(NOT(Paths!$C$76=1),0,IF(Paths!$P$76="Complete",F773/12*(Paths!$L$76*(1+IF(Paths!$D$76="EV",'Operating costs'!$B$52,'Operating costs'!$B$51))^MAX(0,C773-1)+Paths!$M$76*(1+'Operating costs'!$B$53)^MAX(0,C773-1)),"n.a."))</f>
        <v>0</v>
      </c>
      <c r="I773" s="16">
        <f>IF(NOT(Paths!$C$76=1),0,IF(Paths!$P$76="Complete",IF(IF(Paths!$E$76=0,C773=0,AND(C773&gt;0,Paths!$E$76&gt;(C773-1)*12,Paths!$E$76&lt;=C773*12)),Paths!$G$76,0),"n.a."))</f>
        <v>0</v>
      </c>
      <c r="J773" s="16">
        <f>IF(NOT(Paths!$C$76=1),0,IF(Paths!$P$76="Complete",IF(IF(Paths!$E$76=0,C773=0,AND(C773&gt;0,Paths!$E$76&gt;(C773-1)*12,Paths!$E$76&lt;=C773*12)),Paths!$H$76,0),"n.a."))</f>
        <v>0</v>
      </c>
      <c r="K773" s="16">
        <f>IF(NOT(Paths!$C$76=1),0,IF(Paths!$P$76="Complete",IF(IF(Paths!$O$76=0,C773=0,AND(C773&gt;0,Paths!$O$76&gt;(C773-1)*12,Paths!$O$76&lt;=C773*12)),Paths!$N$76,0),"n.a."))</f>
        <v>0</v>
      </c>
      <c r="L773" s="16">
        <f>IF(NOT(Paths!$C$76=1),0,IF(Paths!$P$76="Complete",IF(C773=10,Paths!$I$76,0),"n.a."))</f>
        <v>0</v>
      </c>
      <c r="M773" s="16">
        <f>IF(NOT(Paths!$C$76=1),0,IF(Paths!$P$76="Complete",IF(AND(Paths!$D$76="EV",Paths!$E$76&lt;120,Paths!$E$76+'Operating costs'!$B$65&gt;Paths!$E$76,Paths!$E$76+'Operating costs'!$B$65&lt;=120,IF(Paths!$E$76+'Operating costs'!$B$65=0,C773=0,AND(C773&gt;0,Paths!$E$76+'Operating costs'!$B$65&gt;(C773-1)*12,Paths!$E$76+'Operating costs'!$B$65&lt;=C773*12))),'Operating costs'!$B$64,0)+IF(AND('Operating costs'!$B$67&gt;0,'Operating costs'!$B$67&lt;=120,OR(Paths!$D$76="ICE",'Operating costs'!$B$67&lt;=Paths!$E$76),IF('Operating costs'!$B$67=0,C773=0,AND(C773&gt;0,'Operating costs'!$B$67&gt;(C773-1)*12,'Operating costs'!$B$67&lt;=C773*12))),'Operating costs'!$B$66,0),"n.a."))</f>
        <v>0</v>
      </c>
      <c r="N773" s="16">
        <f>IF(NOT(Paths!$C$76=1),0,IF(Paths!$P$76="Complete",SUM(G773:I773)-J773-K773-L773+M773+IF(C773=0,Paths!$F$76,0)+IF(IF(Paths!$E$76=0,C773=0,AND(C773&gt;0,Paths!$E$76&gt;(C773-1)*12,Paths!$E$76&lt;=C773*12)),VLOOKUP(A773,'Fleet register'!$A$7:$S$106,16,FALSE),0),"n.a."))</f>
        <v>0</v>
      </c>
      <c r="O773" s="16">
        <f>IF(NOT(Paths!$C$76=1),0,IF(Paths!$P$76="Complete",N773-IF(C773=0,Paths!$F$76,0),"n.a."))</f>
        <v>0</v>
      </c>
      <c r="P773" s="16">
        <f>IF(NOT(Paths!$C$76=1),0,IF(Paths!$P$76="Complete",O773+L773,"n.a."))</f>
        <v>0</v>
      </c>
      <c r="Q773" s="16">
        <f>IF(NOT(Paths!$C$76=1),0,IF(Paths!$P$76="Complete",N773*(1+'Operating costs'!$B$54)^-C773,"n.a."))</f>
        <v>0</v>
      </c>
      <c r="R773" s="16">
        <f>IF(NOT(Paths!$C$76=1),0,IF(Paths!$P$76="Complete",IF(AND(C773=0,Paths!$E$76=0),I773-J773-K773+VLOOKUP(A773,'Fleet register'!$A$7:$S$106,15,FALSE)+VLOOKUP(A773,'Fleet register'!$A$7:$S$106,16,FALSE),0),"n.a."))</f>
        <v>0</v>
      </c>
      <c r="S773" s="1">
        <f>IF(NOT(Paths!$C$76=1),0,IF(Paths!$P$76="Complete",IF(C773=0,0,Paths!$S$76*Paths!$R$76),"n.a."))</f>
        <v>0</v>
      </c>
      <c r="T773" s="1">
        <f>IF(NOT(Paths!$C$76=1),0,IF(Paths!$P$76="Complete",IF(C773=0,0,VLOOKUP(A773,'Fleet register'!$A$7:$S$106,9,FALSE)*Paths!$R$76),"n.a."))</f>
        <v>0</v>
      </c>
    </row>
    <row r="774" spans="1:20" ht="24" customHeight="1">
      <c r="A774" s="1" t="str">
        <f>Paths!$A$76</f>
        <v>T018</v>
      </c>
      <c r="B774" s="1">
        <f>Paths!$B$76</f>
        <v>1</v>
      </c>
      <c r="C774" s="1">
        <v>8</v>
      </c>
      <c r="D774" s="1">
        <v>76</v>
      </c>
      <c r="E774" s="1">
        <f>IF(OR(Paths!$C$76=0,C774=0),0,MAX(0,MIN(C774*12,Paths!$E$76)-(C774-1)*12))</f>
        <v>0</v>
      </c>
      <c r="F774" s="1">
        <f>IF(OR(Paths!$C$76=0,C774=0),0,12-E774)</f>
        <v>0</v>
      </c>
      <c r="G774" s="16">
        <f>IF(NOT(Paths!$C$76=1),0,IF(Paths!$P$76="Complete",E774/12*(Paths!$J$76*(1+'Operating costs'!$B$51)^MAX(0,C774-1)+Paths!$K$76*(1+'Operating costs'!$B$53)^MAX(0,C774-1)),"n.a."))</f>
        <v>0</v>
      </c>
      <c r="H774" s="16">
        <f>IF(NOT(Paths!$C$76=1),0,IF(Paths!$P$76="Complete",F774/12*(Paths!$L$76*(1+IF(Paths!$D$76="EV",'Operating costs'!$B$52,'Operating costs'!$B$51))^MAX(0,C774-1)+Paths!$M$76*(1+'Operating costs'!$B$53)^MAX(0,C774-1)),"n.a."))</f>
        <v>0</v>
      </c>
      <c r="I774" s="16">
        <f>IF(NOT(Paths!$C$76=1),0,IF(Paths!$P$76="Complete",IF(IF(Paths!$E$76=0,C774=0,AND(C774&gt;0,Paths!$E$76&gt;(C774-1)*12,Paths!$E$76&lt;=C774*12)),Paths!$G$76,0),"n.a."))</f>
        <v>0</v>
      </c>
      <c r="J774" s="16">
        <f>IF(NOT(Paths!$C$76=1),0,IF(Paths!$P$76="Complete",IF(IF(Paths!$E$76=0,C774=0,AND(C774&gt;0,Paths!$E$76&gt;(C774-1)*12,Paths!$E$76&lt;=C774*12)),Paths!$H$76,0),"n.a."))</f>
        <v>0</v>
      </c>
      <c r="K774" s="16">
        <f>IF(NOT(Paths!$C$76=1),0,IF(Paths!$P$76="Complete",IF(IF(Paths!$O$76=0,C774=0,AND(C774&gt;0,Paths!$O$76&gt;(C774-1)*12,Paths!$O$76&lt;=C774*12)),Paths!$N$76,0),"n.a."))</f>
        <v>0</v>
      </c>
      <c r="L774" s="16">
        <f>IF(NOT(Paths!$C$76=1),0,IF(Paths!$P$76="Complete",IF(C774=10,Paths!$I$76,0),"n.a."))</f>
        <v>0</v>
      </c>
      <c r="M774" s="16">
        <f>IF(NOT(Paths!$C$76=1),0,IF(Paths!$P$76="Complete",IF(AND(Paths!$D$76="EV",Paths!$E$76&lt;120,Paths!$E$76+'Operating costs'!$B$65&gt;Paths!$E$76,Paths!$E$76+'Operating costs'!$B$65&lt;=120,IF(Paths!$E$76+'Operating costs'!$B$65=0,C774=0,AND(C774&gt;0,Paths!$E$76+'Operating costs'!$B$65&gt;(C774-1)*12,Paths!$E$76+'Operating costs'!$B$65&lt;=C774*12))),'Operating costs'!$B$64,0)+IF(AND('Operating costs'!$B$67&gt;0,'Operating costs'!$B$67&lt;=120,OR(Paths!$D$76="ICE",'Operating costs'!$B$67&lt;=Paths!$E$76),IF('Operating costs'!$B$67=0,C774=0,AND(C774&gt;0,'Operating costs'!$B$67&gt;(C774-1)*12,'Operating costs'!$B$67&lt;=C774*12))),'Operating costs'!$B$66,0),"n.a."))</f>
        <v>0</v>
      </c>
      <c r="N774" s="16">
        <f>IF(NOT(Paths!$C$76=1),0,IF(Paths!$P$76="Complete",SUM(G774:I774)-J774-K774-L774+M774+IF(C774=0,Paths!$F$76,0)+IF(IF(Paths!$E$76=0,C774=0,AND(C774&gt;0,Paths!$E$76&gt;(C774-1)*12,Paths!$E$76&lt;=C774*12)),VLOOKUP(A774,'Fleet register'!$A$7:$S$106,16,FALSE),0),"n.a."))</f>
        <v>0</v>
      </c>
      <c r="O774" s="16">
        <f>IF(NOT(Paths!$C$76=1),0,IF(Paths!$P$76="Complete",N774-IF(C774=0,Paths!$F$76,0),"n.a."))</f>
        <v>0</v>
      </c>
      <c r="P774" s="16">
        <f>IF(NOT(Paths!$C$76=1),0,IF(Paths!$P$76="Complete",O774+L774,"n.a."))</f>
        <v>0</v>
      </c>
      <c r="Q774" s="16">
        <f>IF(NOT(Paths!$C$76=1),0,IF(Paths!$P$76="Complete",N774*(1+'Operating costs'!$B$54)^-C774,"n.a."))</f>
        <v>0</v>
      </c>
      <c r="R774" s="16">
        <f>IF(NOT(Paths!$C$76=1),0,IF(Paths!$P$76="Complete",IF(AND(C774=0,Paths!$E$76=0),I774-J774-K774+VLOOKUP(A774,'Fleet register'!$A$7:$S$106,15,FALSE)+VLOOKUP(A774,'Fleet register'!$A$7:$S$106,16,FALSE),0),"n.a."))</f>
        <v>0</v>
      </c>
      <c r="S774" s="1">
        <f>IF(NOT(Paths!$C$76=1),0,IF(Paths!$P$76="Complete",IF(C774=0,0,Paths!$S$76*Paths!$R$76),"n.a."))</f>
        <v>0</v>
      </c>
      <c r="T774" s="1">
        <f>IF(NOT(Paths!$C$76=1),0,IF(Paths!$P$76="Complete",IF(C774=0,0,VLOOKUP(A774,'Fleet register'!$A$7:$S$106,9,FALSE)*Paths!$R$76),"n.a."))</f>
        <v>0</v>
      </c>
    </row>
    <row r="775" spans="1:20" ht="24" customHeight="1">
      <c r="A775" s="1" t="str">
        <f>Paths!$A$76</f>
        <v>T018</v>
      </c>
      <c r="B775" s="1">
        <f>Paths!$B$76</f>
        <v>1</v>
      </c>
      <c r="C775" s="1">
        <v>9</v>
      </c>
      <c r="D775" s="1">
        <v>76</v>
      </c>
      <c r="E775" s="1">
        <f>IF(OR(Paths!$C$76=0,C775=0),0,MAX(0,MIN(C775*12,Paths!$E$76)-(C775-1)*12))</f>
        <v>0</v>
      </c>
      <c r="F775" s="1">
        <f>IF(OR(Paths!$C$76=0,C775=0),0,12-E775)</f>
        <v>0</v>
      </c>
      <c r="G775" s="16">
        <f>IF(NOT(Paths!$C$76=1),0,IF(Paths!$P$76="Complete",E775/12*(Paths!$J$76*(1+'Operating costs'!$B$51)^MAX(0,C775-1)+Paths!$K$76*(1+'Operating costs'!$B$53)^MAX(0,C775-1)),"n.a."))</f>
        <v>0</v>
      </c>
      <c r="H775" s="16">
        <f>IF(NOT(Paths!$C$76=1),0,IF(Paths!$P$76="Complete",F775/12*(Paths!$L$76*(1+IF(Paths!$D$76="EV",'Operating costs'!$B$52,'Operating costs'!$B$51))^MAX(0,C775-1)+Paths!$M$76*(1+'Operating costs'!$B$53)^MAX(0,C775-1)),"n.a."))</f>
        <v>0</v>
      </c>
      <c r="I775" s="16">
        <f>IF(NOT(Paths!$C$76=1),0,IF(Paths!$P$76="Complete",IF(IF(Paths!$E$76=0,C775=0,AND(C775&gt;0,Paths!$E$76&gt;(C775-1)*12,Paths!$E$76&lt;=C775*12)),Paths!$G$76,0),"n.a."))</f>
        <v>0</v>
      </c>
      <c r="J775" s="16">
        <f>IF(NOT(Paths!$C$76=1),0,IF(Paths!$P$76="Complete",IF(IF(Paths!$E$76=0,C775=0,AND(C775&gt;0,Paths!$E$76&gt;(C775-1)*12,Paths!$E$76&lt;=C775*12)),Paths!$H$76,0),"n.a."))</f>
        <v>0</v>
      </c>
      <c r="K775" s="16">
        <f>IF(NOT(Paths!$C$76=1),0,IF(Paths!$P$76="Complete",IF(IF(Paths!$O$76=0,C775=0,AND(C775&gt;0,Paths!$O$76&gt;(C775-1)*12,Paths!$O$76&lt;=C775*12)),Paths!$N$76,0),"n.a."))</f>
        <v>0</v>
      </c>
      <c r="L775" s="16">
        <f>IF(NOT(Paths!$C$76=1),0,IF(Paths!$P$76="Complete",IF(C775=10,Paths!$I$76,0),"n.a."))</f>
        <v>0</v>
      </c>
      <c r="M775" s="16">
        <f>IF(NOT(Paths!$C$76=1),0,IF(Paths!$P$76="Complete",IF(AND(Paths!$D$76="EV",Paths!$E$76&lt;120,Paths!$E$76+'Operating costs'!$B$65&gt;Paths!$E$76,Paths!$E$76+'Operating costs'!$B$65&lt;=120,IF(Paths!$E$76+'Operating costs'!$B$65=0,C775=0,AND(C775&gt;0,Paths!$E$76+'Operating costs'!$B$65&gt;(C775-1)*12,Paths!$E$76+'Operating costs'!$B$65&lt;=C775*12))),'Operating costs'!$B$64,0)+IF(AND('Operating costs'!$B$67&gt;0,'Operating costs'!$B$67&lt;=120,OR(Paths!$D$76="ICE",'Operating costs'!$B$67&lt;=Paths!$E$76),IF('Operating costs'!$B$67=0,C775=0,AND(C775&gt;0,'Operating costs'!$B$67&gt;(C775-1)*12,'Operating costs'!$B$67&lt;=C775*12))),'Operating costs'!$B$66,0),"n.a."))</f>
        <v>0</v>
      </c>
      <c r="N775" s="16">
        <f>IF(NOT(Paths!$C$76=1),0,IF(Paths!$P$76="Complete",SUM(G775:I775)-J775-K775-L775+M775+IF(C775=0,Paths!$F$76,0)+IF(IF(Paths!$E$76=0,C775=0,AND(C775&gt;0,Paths!$E$76&gt;(C775-1)*12,Paths!$E$76&lt;=C775*12)),VLOOKUP(A775,'Fleet register'!$A$7:$S$106,16,FALSE),0),"n.a."))</f>
        <v>0</v>
      </c>
      <c r="O775" s="16">
        <f>IF(NOT(Paths!$C$76=1),0,IF(Paths!$P$76="Complete",N775-IF(C775=0,Paths!$F$76,0),"n.a."))</f>
        <v>0</v>
      </c>
      <c r="P775" s="16">
        <f>IF(NOT(Paths!$C$76=1),0,IF(Paths!$P$76="Complete",O775+L775,"n.a."))</f>
        <v>0</v>
      </c>
      <c r="Q775" s="16">
        <f>IF(NOT(Paths!$C$76=1),0,IF(Paths!$P$76="Complete",N775*(1+'Operating costs'!$B$54)^-C775,"n.a."))</f>
        <v>0</v>
      </c>
      <c r="R775" s="16">
        <f>IF(NOT(Paths!$C$76=1),0,IF(Paths!$P$76="Complete",IF(AND(C775=0,Paths!$E$76=0),I775-J775-K775+VLOOKUP(A775,'Fleet register'!$A$7:$S$106,15,FALSE)+VLOOKUP(A775,'Fleet register'!$A$7:$S$106,16,FALSE),0),"n.a."))</f>
        <v>0</v>
      </c>
      <c r="S775" s="1">
        <f>IF(NOT(Paths!$C$76=1),0,IF(Paths!$P$76="Complete",IF(C775=0,0,Paths!$S$76*Paths!$R$76),"n.a."))</f>
        <v>0</v>
      </c>
      <c r="T775" s="1">
        <f>IF(NOT(Paths!$C$76=1),0,IF(Paths!$P$76="Complete",IF(C775=0,0,VLOOKUP(A775,'Fleet register'!$A$7:$S$106,9,FALSE)*Paths!$R$76),"n.a."))</f>
        <v>0</v>
      </c>
    </row>
    <row r="776" spans="1:20" ht="24" customHeight="1">
      <c r="A776" s="1" t="str">
        <f>Paths!$A$76</f>
        <v>T018</v>
      </c>
      <c r="B776" s="1">
        <f>Paths!$B$76</f>
        <v>1</v>
      </c>
      <c r="C776" s="1">
        <v>10</v>
      </c>
      <c r="D776" s="1">
        <v>76</v>
      </c>
      <c r="E776" s="1">
        <f>IF(OR(Paths!$C$76=0,C776=0),0,MAX(0,MIN(C776*12,Paths!$E$76)-(C776-1)*12))</f>
        <v>0</v>
      </c>
      <c r="F776" s="1">
        <f>IF(OR(Paths!$C$76=0,C776=0),0,12-E776)</f>
        <v>0</v>
      </c>
      <c r="G776" s="16">
        <f>IF(NOT(Paths!$C$76=1),0,IF(Paths!$P$76="Complete",E776/12*(Paths!$J$76*(1+'Operating costs'!$B$51)^MAX(0,C776-1)+Paths!$K$76*(1+'Operating costs'!$B$53)^MAX(0,C776-1)),"n.a."))</f>
        <v>0</v>
      </c>
      <c r="H776" s="16">
        <f>IF(NOT(Paths!$C$76=1),0,IF(Paths!$P$76="Complete",F776/12*(Paths!$L$76*(1+IF(Paths!$D$76="EV",'Operating costs'!$B$52,'Operating costs'!$B$51))^MAX(0,C776-1)+Paths!$M$76*(1+'Operating costs'!$B$53)^MAX(0,C776-1)),"n.a."))</f>
        <v>0</v>
      </c>
      <c r="I776" s="16">
        <f>IF(NOT(Paths!$C$76=1),0,IF(Paths!$P$76="Complete",IF(IF(Paths!$E$76=0,C776=0,AND(C776&gt;0,Paths!$E$76&gt;(C776-1)*12,Paths!$E$76&lt;=C776*12)),Paths!$G$76,0),"n.a."))</f>
        <v>0</v>
      </c>
      <c r="J776" s="16">
        <f>IF(NOT(Paths!$C$76=1),0,IF(Paths!$P$76="Complete",IF(IF(Paths!$E$76=0,C776=0,AND(C776&gt;0,Paths!$E$76&gt;(C776-1)*12,Paths!$E$76&lt;=C776*12)),Paths!$H$76,0),"n.a."))</f>
        <v>0</v>
      </c>
      <c r="K776" s="16">
        <f>IF(NOT(Paths!$C$76=1),0,IF(Paths!$P$76="Complete",IF(IF(Paths!$O$76=0,C776=0,AND(C776&gt;0,Paths!$O$76&gt;(C776-1)*12,Paths!$O$76&lt;=C776*12)),Paths!$N$76,0),"n.a."))</f>
        <v>0</v>
      </c>
      <c r="L776" s="16">
        <f>IF(NOT(Paths!$C$76=1),0,IF(Paths!$P$76="Complete",IF(C776=10,Paths!$I$76,0),"n.a."))</f>
        <v>0</v>
      </c>
      <c r="M776" s="16">
        <f>IF(NOT(Paths!$C$76=1),0,IF(Paths!$P$76="Complete",IF(AND(Paths!$D$76="EV",Paths!$E$76&lt;120,Paths!$E$76+'Operating costs'!$B$65&gt;Paths!$E$76,Paths!$E$76+'Operating costs'!$B$65&lt;=120,IF(Paths!$E$76+'Operating costs'!$B$65=0,C776=0,AND(C776&gt;0,Paths!$E$76+'Operating costs'!$B$65&gt;(C776-1)*12,Paths!$E$76+'Operating costs'!$B$65&lt;=C776*12))),'Operating costs'!$B$64,0)+IF(AND('Operating costs'!$B$67&gt;0,'Operating costs'!$B$67&lt;=120,OR(Paths!$D$76="ICE",'Operating costs'!$B$67&lt;=Paths!$E$76),IF('Operating costs'!$B$67=0,C776=0,AND(C776&gt;0,'Operating costs'!$B$67&gt;(C776-1)*12,'Operating costs'!$B$67&lt;=C776*12))),'Operating costs'!$B$66,0),"n.a."))</f>
        <v>0</v>
      </c>
      <c r="N776" s="16">
        <f>IF(NOT(Paths!$C$76=1),0,IF(Paths!$P$76="Complete",SUM(G776:I776)-J776-K776-L776+M776+IF(C776=0,Paths!$F$76,0)+IF(IF(Paths!$E$76=0,C776=0,AND(C776&gt;0,Paths!$E$76&gt;(C776-1)*12,Paths!$E$76&lt;=C776*12)),VLOOKUP(A776,'Fleet register'!$A$7:$S$106,16,FALSE),0),"n.a."))</f>
        <v>0</v>
      </c>
      <c r="O776" s="16">
        <f>IF(NOT(Paths!$C$76=1),0,IF(Paths!$P$76="Complete",N776-IF(C776=0,Paths!$F$76,0),"n.a."))</f>
        <v>0</v>
      </c>
      <c r="P776" s="16">
        <f>IF(NOT(Paths!$C$76=1),0,IF(Paths!$P$76="Complete",O776+L776,"n.a."))</f>
        <v>0</v>
      </c>
      <c r="Q776" s="16">
        <f>IF(NOT(Paths!$C$76=1),0,IF(Paths!$P$76="Complete",N776*(1+'Operating costs'!$B$54)^-C776,"n.a."))</f>
        <v>0</v>
      </c>
      <c r="R776" s="16">
        <f>IF(NOT(Paths!$C$76=1),0,IF(Paths!$P$76="Complete",IF(AND(C776=0,Paths!$E$76=0),I776-J776-K776+VLOOKUP(A776,'Fleet register'!$A$7:$S$106,15,FALSE)+VLOOKUP(A776,'Fleet register'!$A$7:$S$106,16,FALSE),0),"n.a."))</f>
        <v>0</v>
      </c>
      <c r="S776" s="1">
        <f>IF(NOT(Paths!$C$76=1),0,IF(Paths!$P$76="Complete",IF(C776=0,0,Paths!$S$76*Paths!$R$76),"n.a."))</f>
        <v>0</v>
      </c>
      <c r="T776" s="1">
        <f>IF(NOT(Paths!$C$76=1),0,IF(Paths!$P$76="Complete",IF(C776=0,0,VLOOKUP(A776,'Fleet register'!$A$7:$S$106,9,FALSE)*Paths!$R$76),"n.a."))</f>
        <v>0</v>
      </c>
    </row>
    <row r="777" spans="1:20" ht="24" customHeight="1">
      <c r="A777" s="1" t="str">
        <f>Paths!$A$77</f>
        <v>T018</v>
      </c>
      <c r="B777" s="1">
        <f>Paths!$B$77</f>
        <v>2</v>
      </c>
      <c r="C777" s="1">
        <v>0</v>
      </c>
      <c r="D777" s="1">
        <v>77</v>
      </c>
      <c r="E777" s="1">
        <f>IF(OR(Paths!$C$77=0,C777=0),0,MAX(0,MIN(C777*12,Paths!$E$77)-(C777-1)*12))</f>
        <v>0</v>
      </c>
      <c r="F777" s="1">
        <f>IF(OR(Paths!$C$77=0,C777=0),0,12-E777)</f>
        <v>0</v>
      </c>
      <c r="G777" s="16">
        <f>IF(NOT(Paths!$C$77=1),0,IF(Paths!$P$77="Complete",E777/12*(Paths!$J$77*(1+'Operating costs'!$B$51)^MAX(0,C777-1)+Paths!$K$77*(1+'Operating costs'!$B$53)^MAX(0,C777-1)),"n.a."))</f>
        <v>0</v>
      </c>
      <c r="H777" s="16">
        <f>IF(NOT(Paths!$C$77=1),0,IF(Paths!$P$77="Complete",F777/12*(Paths!$L$77*(1+IF(Paths!$D$77="EV",'Operating costs'!$B$52,'Operating costs'!$B$51))^MAX(0,C777-1)+Paths!$M$77*(1+'Operating costs'!$B$53)^MAX(0,C777-1)),"n.a."))</f>
        <v>0</v>
      </c>
      <c r="I777" s="16">
        <f>IF(NOT(Paths!$C$77=1),0,IF(Paths!$P$77="Complete",IF(IF(Paths!$E$77=0,C777=0,AND(C777&gt;0,Paths!$E$77&gt;(C777-1)*12,Paths!$E$77&lt;=C777*12)),Paths!$G$77,0),"n.a."))</f>
        <v>0</v>
      </c>
      <c r="J777" s="16">
        <f>IF(NOT(Paths!$C$77=1),0,IF(Paths!$P$77="Complete",IF(IF(Paths!$E$77=0,C777=0,AND(C777&gt;0,Paths!$E$77&gt;(C777-1)*12,Paths!$E$77&lt;=C777*12)),Paths!$H$77,0),"n.a."))</f>
        <v>0</v>
      </c>
      <c r="K777" s="16">
        <f>IF(NOT(Paths!$C$77=1),0,IF(Paths!$P$77="Complete",IF(IF(Paths!$O$77=0,C777=0,AND(C777&gt;0,Paths!$O$77&gt;(C777-1)*12,Paths!$O$77&lt;=C777*12)),Paths!$N$77,0),"n.a."))</f>
        <v>0</v>
      </c>
      <c r="L777" s="16">
        <f>IF(NOT(Paths!$C$77=1),0,IF(Paths!$P$77="Complete",IF(C777=10,Paths!$I$77,0),"n.a."))</f>
        <v>0</v>
      </c>
      <c r="M777" s="16">
        <f>IF(NOT(Paths!$C$77=1),0,IF(Paths!$P$77="Complete",IF(AND(Paths!$D$77="EV",Paths!$E$77&lt;120,Paths!$E$77+'Operating costs'!$B$65&gt;Paths!$E$77,Paths!$E$77+'Operating costs'!$B$65&lt;=120,IF(Paths!$E$77+'Operating costs'!$B$65=0,C777=0,AND(C777&gt;0,Paths!$E$77+'Operating costs'!$B$65&gt;(C777-1)*12,Paths!$E$77+'Operating costs'!$B$65&lt;=C777*12))),'Operating costs'!$B$64,0)+IF(AND('Operating costs'!$B$67&gt;0,'Operating costs'!$B$67&lt;=120,OR(Paths!$D$77="ICE",'Operating costs'!$B$67&lt;=Paths!$E$77),IF('Operating costs'!$B$67=0,C777=0,AND(C777&gt;0,'Operating costs'!$B$67&gt;(C777-1)*12,'Operating costs'!$B$67&lt;=C777*12))),'Operating costs'!$B$66,0),"n.a."))</f>
        <v>0</v>
      </c>
      <c r="N777" s="16">
        <f>IF(NOT(Paths!$C$77=1),0,IF(Paths!$P$77="Complete",SUM(G777:I777)-J777-K777-L777+M777+IF(C777=0,Paths!$F$77,0)+IF(IF(Paths!$E$77=0,C777=0,AND(C777&gt;0,Paths!$E$77&gt;(C777-1)*12,Paths!$E$77&lt;=C777*12)),VLOOKUP(A777,'Fleet register'!$A$7:$S$106,16,FALSE),0),"n.a."))</f>
        <v>0</v>
      </c>
      <c r="O777" s="16">
        <f>IF(NOT(Paths!$C$77=1),0,IF(Paths!$P$77="Complete",N777-IF(C777=0,Paths!$F$77,0),"n.a."))</f>
        <v>0</v>
      </c>
      <c r="P777" s="16">
        <f>IF(NOT(Paths!$C$77=1),0,IF(Paths!$P$77="Complete",O777+L777,"n.a."))</f>
        <v>0</v>
      </c>
      <c r="Q777" s="16">
        <f>IF(NOT(Paths!$C$77=1),0,IF(Paths!$P$77="Complete",N777*(1+'Operating costs'!$B$54)^-C777,"n.a."))</f>
        <v>0</v>
      </c>
      <c r="R777" s="16">
        <f>IF(NOT(Paths!$C$77=1),0,IF(Paths!$P$77="Complete",IF(AND(C777=0,Paths!$E$77=0),I777-J777-K777+VLOOKUP(A777,'Fleet register'!$A$7:$S$106,15,FALSE)+VLOOKUP(A777,'Fleet register'!$A$7:$S$106,16,FALSE),0),"n.a."))</f>
        <v>0</v>
      </c>
      <c r="S777" s="1">
        <f>IF(NOT(Paths!$C$77=1),0,IF(Paths!$P$77="Complete",IF(C777=0,0,Paths!$S$77*Paths!$R$77),"n.a."))</f>
        <v>0</v>
      </c>
      <c r="T777" s="1">
        <f>IF(NOT(Paths!$C$77=1),0,IF(Paths!$P$77="Complete",IF(C777=0,0,VLOOKUP(A777,'Fleet register'!$A$7:$S$106,9,FALSE)*Paths!$R$77),"n.a."))</f>
        <v>0</v>
      </c>
    </row>
    <row r="778" spans="1:20" ht="24" customHeight="1">
      <c r="A778" s="1" t="str">
        <f>Paths!$A$77</f>
        <v>T018</v>
      </c>
      <c r="B778" s="1">
        <f>Paths!$B$77</f>
        <v>2</v>
      </c>
      <c r="C778" s="1">
        <v>1</v>
      </c>
      <c r="D778" s="1">
        <v>77</v>
      </c>
      <c r="E778" s="1">
        <f>IF(OR(Paths!$C$77=0,C778=0),0,MAX(0,MIN(C778*12,Paths!$E$77)-(C778-1)*12))</f>
        <v>0</v>
      </c>
      <c r="F778" s="1">
        <f>IF(OR(Paths!$C$77=0,C778=0),0,12-E778)</f>
        <v>0</v>
      </c>
      <c r="G778" s="16">
        <f>IF(NOT(Paths!$C$77=1),0,IF(Paths!$P$77="Complete",E778/12*(Paths!$J$77*(1+'Operating costs'!$B$51)^MAX(0,C778-1)+Paths!$K$77*(1+'Operating costs'!$B$53)^MAX(0,C778-1)),"n.a."))</f>
        <v>0</v>
      </c>
      <c r="H778" s="16">
        <f>IF(NOT(Paths!$C$77=1),0,IF(Paths!$P$77="Complete",F778/12*(Paths!$L$77*(1+IF(Paths!$D$77="EV",'Operating costs'!$B$52,'Operating costs'!$B$51))^MAX(0,C778-1)+Paths!$M$77*(1+'Operating costs'!$B$53)^MAX(0,C778-1)),"n.a."))</f>
        <v>0</v>
      </c>
      <c r="I778" s="16">
        <f>IF(NOT(Paths!$C$77=1),0,IF(Paths!$P$77="Complete",IF(IF(Paths!$E$77=0,C778=0,AND(C778&gt;0,Paths!$E$77&gt;(C778-1)*12,Paths!$E$77&lt;=C778*12)),Paths!$G$77,0),"n.a."))</f>
        <v>0</v>
      </c>
      <c r="J778" s="16">
        <f>IF(NOT(Paths!$C$77=1),0,IF(Paths!$P$77="Complete",IF(IF(Paths!$E$77=0,C778=0,AND(C778&gt;0,Paths!$E$77&gt;(C778-1)*12,Paths!$E$77&lt;=C778*12)),Paths!$H$77,0),"n.a."))</f>
        <v>0</v>
      </c>
      <c r="K778" s="16">
        <f>IF(NOT(Paths!$C$77=1),0,IF(Paths!$P$77="Complete",IF(IF(Paths!$O$77=0,C778=0,AND(C778&gt;0,Paths!$O$77&gt;(C778-1)*12,Paths!$O$77&lt;=C778*12)),Paths!$N$77,0),"n.a."))</f>
        <v>0</v>
      </c>
      <c r="L778" s="16">
        <f>IF(NOT(Paths!$C$77=1),0,IF(Paths!$P$77="Complete",IF(C778=10,Paths!$I$77,0),"n.a."))</f>
        <v>0</v>
      </c>
      <c r="M778" s="16">
        <f>IF(NOT(Paths!$C$77=1),0,IF(Paths!$P$77="Complete",IF(AND(Paths!$D$77="EV",Paths!$E$77&lt;120,Paths!$E$77+'Operating costs'!$B$65&gt;Paths!$E$77,Paths!$E$77+'Operating costs'!$B$65&lt;=120,IF(Paths!$E$77+'Operating costs'!$B$65=0,C778=0,AND(C778&gt;0,Paths!$E$77+'Operating costs'!$B$65&gt;(C778-1)*12,Paths!$E$77+'Operating costs'!$B$65&lt;=C778*12))),'Operating costs'!$B$64,0)+IF(AND('Operating costs'!$B$67&gt;0,'Operating costs'!$B$67&lt;=120,OR(Paths!$D$77="ICE",'Operating costs'!$B$67&lt;=Paths!$E$77),IF('Operating costs'!$B$67=0,C778=0,AND(C778&gt;0,'Operating costs'!$B$67&gt;(C778-1)*12,'Operating costs'!$B$67&lt;=C778*12))),'Operating costs'!$B$66,0),"n.a."))</f>
        <v>0</v>
      </c>
      <c r="N778" s="16">
        <f>IF(NOT(Paths!$C$77=1),0,IF(Paths!$P$77="Complete",SUM(G778:I778)-J778-K778-L778+M778+IF(C778=0,Paths!$F$77,0)+IF(IF(Paths!$E$77=0,C778=0,AND(C778&gt;0,Paths!$E$77&gt;(C778-1)*12,Paths!$E$77&lt;=C778*12)),VLOOKUP(A778,'Fleet register'!$A$7:$S$106,16,FALSE),0),"n.a."))</f>
        <v>0</v>
      </c>
      <c r="O778" s="16">
        <f>IF(NOT(Paths!$C$77=1),0,IF(Paths!$P$77="Complete",N778-IF(C778=0,Paths!$F$77,0),"n.a."))</f>
        <v>0</v>
      </c>
      <c r="P778" s="16">
        <f>IF(NOT(Paths!$C$77=1),0,IF(Paths!$P$77="Complete",O778+L778,"n.a."))</f>
        <v>0</v>
      </c>
      <c r="Q778" s="16">
        <f>IF(NOT(Paths!$C$77=1),0,IF(Paths!$P$77="Complete",N778*(1+'Operating costs'!$B$54)^-C778,"n.a."))</f>
        <v>0</v>
      </c>
      <c r="R778" s="16">
        <f>IF(NOT(Paths!$C$77=1),0,IF(Paths!$P$77="Complete",IF(AND(C778=0,Paths!$E$77=0),I778-J778-K778+VLOOKUP(A778,'Fleet register'!$A$7:$S$106,15,FALSE)+VLOOKUP(A778,'Fleet register'!$A$7:$S$106,16,FALSE),0),"n.a."))</f>
        <v>0</v>
      </c>
      <c r="S778" s="1">
        <f>IF(NOT(Paths!$C$77=1),0,IF(Paths!$P$77="Complete",IF(C778=0,0,Paths!$S$77*Paths!$R$77),"n.a."))</f>
        <v>0</v>
      </c>
      <c r="T778" s="1">
        <f>IF(NOT(Paths!$C$77=1),0,IF(Paths!$P$77="Complete",IF(C778=0,0,VLOOKUP(A778,'Fleet register'!$A$7:$S$106,9,FALSE)*Paths!$R$77),"n.a."))</f>
        <v>0</v>
      </c>
    </row>
    <row r="779" spans="1:20" ht="24" customHeight="1">
      <c r="A779" s="1" t="str">
        <f>Paths!$A$77</f>
        <v>T018</v>
      </c>
      <c r="B779" s="1">
        <f>Paths!$B$77</f>
        <v>2</v>
      </c>
      <c r="C779" s="1">
        <v>2</v>
      </c>
      <c r="D779" s="1">
        <v>77</v>
      </c>
      <c r="E779" s="1">
        <f>IF(OR(Paths!$C$77=0,C779=0),0,MAX(0,MIN(C779*12,Paths!$E$77)-(C779-1)*12))</f>
        <v>0</v>
      </c>
      <c r="F779" s="1">
        <f>IF(OR(Paths!$C$77=0,C779=0),0,12-E779)</f>
        <v>0</v>
      </c>
      <c r="G779" s="16">
        <f>IF(NOT(Paths!$C$77=1),0,IF(Paths!$P$77="Complete",E779/12*(Paths!$J$77*(1+'Operating costs'!$B$51)^MAX(0,C779-1)+Paths!$K$77*(1+'Operating costs'!$B$53)^MAX(0,C779-1)),"n.a."))</f>
        <v>0</v>
      </c>
      <c r="H779" s="16">
        <f>IF(NOT(Paths!$C$77=1),0,IF(Paths!$P$77="Complete",F779/12*(Paths!$L$77*(1+IF(Paths!$D$77="EV",'Operating costs'!$B$52,'Operating costs'!$B$51))^MAX(0,C779-1)+Paths!$M$77*(1+'Operating costs'!$B$53)^MAX(0,C779-1)),"n.a."))</f>
        <v>0</v>
      </c>
      <c r="I779" s="16">
        <f>IF(NOT(Paths!$C$77=1),0,IF(Paths!$P$77="Complete",IF(IF(Paths!$E$77=0,C779=0,AND(C779&gt;0,Paths!$E$77&gt;(C779-1)*12,Paths!$E$77&lt;=C779*12)),Paths!$G$77,0),"n.a."))</f>
        <v>0</v>
      </c>
      <c r="J779" s="16">
        <f>IF(NOT(Paths!$C$77=1),0,IF(Paths!$P$77="Complete",IF(IF(Paths!$E$77=0,C779=0,AND(C779&gt;0,Paths!$E$77&gt;(C779-1)*12,Paths!$E$77&lt;=C779*12)),Paths!$H$77,0),"n.a."))</f>
        <v>0</v>
      </c>
      <c r="K779" s="16">
        <f>IF(NOT(Paths!$C$77=1),0,IF(Paths!$P$77="Complete",IF(IF(Paths!$O$77=0,C779=0,AND(C779&gt;0,Paths!$O$77&gt;(C779-1)*12,Paths!$O$77&lt;=C779*12)),Paths!$N$77,0),"n.a."))</f>
        <v>0</v>
      </c>
      <c r="L779" s="16">
        <f>IF(NOT(Paths!$C$77=1),0,IF(Paths!$P$77="Complete",IF(C779=10,Paths!$I$77,0),"n.a."))</f>
        <v>0</v>
      </c>
      <c r="M779" s="16">
        <f>IF(NOT(Paths!$C$77=1),0,IF(Paths!$P$77="Complete",IF(AND(Paths!$D$77="EV",Paths!$E$77&lt;120,Paths!$E$77+'Operating costs'!$B$65&gt;Paths!$E$77,Paths!$E$77+'Operating costs'!$B$65&lt;=120,IF(Paths!$E$77+'Operating costs'!$B$65=0,C779=0,AND(C779&gt;0,Paths!$E$77+'Operating costs'!$B$65&gt;(C779-1)*12,Paths!$E$77+'Operating costs'!$B$65&lt;=C779*12))),'Operating costs'!$B$64,0)+IF(AND('Operating costs'!$B$67&gt;0,'Operating costs'!$B$67&lt;=120,OR(Paths!$D$77="ICE",'Operating costs'!$B$67&lt;=Paths!$E$77),IF('Operating costs'!$B$67=0,C779=0,AND(C779&gt;0,'Operating costs'!$B$67&gt;(C779-1)*12,'Operating costs'!$B$67&lt;=C779*12))),'Operating costs'!$B$66,0),"n.a."))</f>
        <v>0</v>
      </c>
      <c r="N779" s="16">
        <f>IF(NOT(Paths!$C$77=1),0,IF(Paths!$P$77="Complete",SUM(G779:I779)-J779-K779-L779+M779+IF(C779=0,Paths!$F$77,0)+IF(IF(Paths!$E$77=0,C779=0,AND(C779&gt;0,Paths!$E$77&gt;(C779-1)*12,Paths!$E$77&lt;=C779*12)),VLOOKUP(A779,'Fleet register'!$A$7:$S$106,16,FALSE),0),"n.a."))</f>
        <v>0</v>
      </c>
      <c r="O779" s="16">
        <f>IF(NOT(Paths!$C$77=1),0,IF(Paths!$P$77="Complete",N779-IF(C779=0,Paths!$F$77,0),"n.a."))</f>
        <v>0</v>
      </c>
      <c r="P779" s="16">
        <f>IF(NOT(Paths!$C$77=1),0,IF(Paths!$P$77="Complete",O779+L779,"n.a."))</f>
        <v>0</v>
      </c>
      <c r="Q779" s="16">
        <f>IF(NOT(Paths!$C$77=1),0,IF(Paths!$P$77="Complete",N779*(1+'Operating costs'!$B$54)^-C779,"n.a."))</f>
        <v>0</v>
      </c>
      <c r="R779" s="16">
        <f>IF(NOT(Paths!$C$77=1),0,IF(Paths!$P$77="Complete",IF(AND(C779=0,Paths!$E$77=0),I779-J779-K779+VLOOKUP(A779,'Fleet register'!$A$7:$S$106,15,FALSE)+VLOOKUP(A779,'Fleet register'!$A$7:$S$106,16,FALSE),0),"n.a."))</f>
        <v>0</v>
      </c>
      <c r="S779" s="1">
        <f>IF(NOT(Paths!$C$77=1),0,IF(Paths!$P$77="Complete",IF(C779=0,0,Paths!$S$77*Paths!$R$77),"n.a."))</f>
        <v>0</v>
      </c>
      <c r="T779" s="1">
        <f>IF(NOT(Paths!$C$77=1),0,IF(Paths!$P$77="Complete",IF(C779=0,0,VLOOKUP(A779,'Fleet register'!$A$7:$S$106,9,FALSE)*Paths!$R$77),"n.a."))</f>
        <v>0</v>
      </c>
    </row>
    <row r="780" spans="1:20" ht="24" customHeight="1">
      <c r="A780" s="1" t="str">
        <f>Paths!$A$77</f>
        <v>T018</v>
      </c>
      <c r="B780" s="1">
        <f>Paths!$B$77</f>
        <v>2</v>
      </c>
      <c r="C780" s="1">
        <v>3</v>
      </c>
      <c r="D780" s="1">
        <v>77</v>
      </c>
      <c r="E780" s="1">
        <f>IF(OR(Paths!$C$77=0,C780=0),0,MAX(0,MIN(C780*12,Paths!$E$77)-(C780-1)*12))</f>
        <v>0</v>
      </c>
      <c r="F780" s="1">
        <f>IF(OR(Paths!$C$77=0,C780=0),0,12-E780)</f>
        <v>0</v>
      </c>
      <c r="G780" s="16">
        <f>IF(NOT(Paths!$C$77=1),0,IF(Paths!$P$77="Complete",E780/12*(Paths!$J$77*(1+'Operating costs'!$B$51)^MAX(0,C780-1)+Paths!$K$77*(1+'Operating costs'!$B$53)^MAX(0,C780-1)),"n.a."))</f>
        <v>0</v>
      </c>
      <c r="H780" s="16">
        <f>IF(NOT(Paths!$C$77=1),0,IF(Paths!$P$77="Complete",F780/12*(Paths!$L$77*(1+IF(Paths!$D$77="EV",'Operating costs'!$B$52,'Operating costs'!$B$51))^MAX(0,C780-1)+Paths!$M$77*(1+'Operating costs'!$B$53)^MAX(0,C780-1)),"n.a."))</f>
        <v>0</v>
      </c>
      <c r="I780" s="16">
        <f>IF(NOT(Paths!$C$77=1),0,IF(Paths!$P$77="Complete",IF(IF(Paths!$E$77=0,C780=0,AND(C780&gt;0,Paths!$E$77&gt;(C780-1)*12,Paths!$E$77&lt;=C780*12)),Paths!$G$77,0),"n.a."))</f>
        <v>0</v>
      </c>
      <c r="J780" s="16">
        <f>IF(NOT(Paths!$C$77=1),0,IF(Paths!$P$77="Complete",IF(IF(Paths!$E$77=0,C780=0,AND(C780&gt;0,Paths!$E$77&gt;(C780-1)*12,Paths!$E$77&lt;=C780*12)),Paths!$H$77,0),"n.a."))</f>
        <v>0</v>
      </c>
      <c r="K780" s="16">
        <f>IF(NOT(Paths!$C$77=1),0,IF(Paths!$P$77="Complete",IF(IF(Paths!$O$77=0,C780=0,AND(C780&gt;0,Paths!$O$77&gt;(C780-1)*12,Paths!$O$77&lt;=C780*12)),Paths!$N$77,0),"n.a."))</f>
        <v>0</v>
      </c>
      <c r="L780" s="16">
        <f>IF(NOT(Paths!$C$77=1),0,IF(Paths!$P$77="Complete",IF(C780=10,Paths!$I$77,0),"n.a."))</f>
        <v>0</v>
      </c>
      <c r="M780" s="16">
        <f>IF(NOT(Paths!$C$77=1),0,IF(Paths!$P$77="Complete",IF(AND(Paths!$D$77="EV",Paths!$E$77&lt;120,Paths!$E$77+'Operating costs'!$B$65&gt;Paths!$E$77,Paths!$E$77+'Operating costs'!$B$65&lt;=120,IF(Paths!$E$77+'Operating costs'!$B$65=0,C780=0,AND(C780&gt;0,Paths!$E$77+'Operating costs'!$B$65&gt;(C780-1)*12,Paths!$E$77+'Operating costs'!$B$65&lt;=C780*12))),'Operating costs'!$B$64,0)+IF(AND('Operating costs'!$B$67&gt;0,'Operating costs'!$B$67&lt;=120,OR(Paths!$D$77="ICE",'Operating costs'!$B$67&lt;=Paths!$E$77),IF('Operating costs'!$B$67=0,C780=0,AND(C780&gt;0,'Operating costs'!$B$67&gt;(C780-1)*12,'Operating costs'!$B$67&lt;=C780*12))),'Operating costs'!$B$66,0),"n.a."))</f>
        <v>0</v>
      </c>
      <c r="N780" s="16">
        <f>IF(NOT(Paths!$C$77=1),0,IF(Paths!$P$77="Complete",SUM(G780:I780)-J780-K780-L780+M780+IF(C780=0,Paths!$F$77,0)+IF(IF(Paths!$E$77=0,C780=0,AND(C780&gt;0,Paths!$E$77&gt;(C780-1)*12,Paths!$E$77&lt;=C780*12)),VLOOKUP(A780,'Fleet register'!$A$7:$S$106,16,FALSE),0),"n.a."))</f>
        <v>0</v>
      </c>
      <c r="O780" s="16">
        <f>IF(NOT(Paths!$C$77=1),0,IF(Paths!$P$77="Complete",N780-IF(C780=0,Paths!$F$77,0),"n.a."))</f>
        <v>0</v>
      </c>
      <c r="P780" s="16">
        <f>IF(NOT(Paths!$C$77=1),0,IF(Paths!$P$77="Complete",O780+L780,"n.a."))</f>
        <v>0</v>
      </c>
      <c r="Q780" s="16">
        <f>IF(NOT(Paths!$C$77=1),0,IF(Paths!$P$77="Complete",N780*(1+'Operating costs'!$B$54)^-C780,"n.a."))</f>
        <v>0</v>
      </c>
      <c r="R780" s="16">
        <f>IF(NOT(Paths!$C$77=1),0,IF(Paths!$P$77="Complete",IF(AND(C780=0,Paths!$E$77=0),I780-J780-K780+VLOOKUP(A780,'Fleet register'!$A$7:$S$106,15,FALSE)+VLOOKUP(A780,'Fleet register'!$A$7:$S$106,16,FALSE),0),"n.a."))</f>
        <v>0</v>
      </c>
      <c r="S780" s="1">
        <f>IF(NOT(Paths!$C$77=1),0,IF(Paths!$P$77="Complete",IF(C780=0,0,Paths!$S$77*Paths!$R$77),"n.a."))</f>
        <v>0</v>
      </c>
      <c r="T780" s="1">
        <f>IF(NOT(Paths!$C$77=1),0,IF(Paths!$P$77="Complete",IF(C780=0,0,VLOOKUP(A780,'Fleet register'!$A$7:$S$106,9,FALSE)*Paths!$R$77),"n.a."))</f>
        <v>0</v>
      </c>
    </row>
    <row r="781" spans="1:20" ht="24" customHeight="1">
      <c r="A781" s="1" t="str">
        <f>Paths!$A$77</f>
        <v>T018</v>
      </c>
      <c r="B781" s="1">
        <f>Paths!$B$77</f>
        <v>2</v>
      </c>
      <c r="C781" s="1">
        <v>4</v>
      </c>
      <c r="D781" s="1">
        <v>77</v>
      </c>
      <c r="E781" s="1">
        <f>IF(OR(Paths!$C$77=0,C781=0),0,MAX(0,MIN(C781*12,Paths!$E$77)-(C781-1)*12))</f>
        <v>0</v>
      </c>
      <c r="F781" s="1">
        <f>IF(OR(Paths!$C$77=0,C781=0),0,12-E781)</f>
        <v>0</v>
      </c>
      <c r="G781" s="16">
        <f>IF(NOT(Paths!$C$77=1),0,IF(Paths!$P$77="Complete",E781/12*(Paths!$J$77*(1+'Operating costs'!$B$51)^MAX(0,C781-1)+Paths!$K$77*(1+'Operating costs'!$B$53)^MAX(0,C781-1)),"n.a."))</f>
        <v>0</v>
      </c>
      <c r="H781" s="16">
        <f>IF(NOT(Paths!$C$77=1),0,IF(Paths!$P$77="Complete",F781/12*(Paths!$L$77*(1+IF(Paths!$D$77="EV",'Operating costs'!$B$52,'Operating costs'!$B$51))^MAX(0,C781-1)+Paths!$M$77*(1+'Operating costs'!$B$53)^MAX(0,C781-1)),"n.a."))</f>
        <v>0</v>
      </c>
      <c r="I781" s="16">
        <f>IF(NOT(Paths!$C$77=1),0,IF(Paths!$P$77="Complete",IF(IF(Paths!$E$77=0,C781=0,AND(C781&gt;0,Paths!$E$77&gt;(C781-1)*12,Paths!$E$77&lt;=C781*12)),Paths!$G$77,0),"n.a."))</f>
        <v>0</v>
      </c>
      <c r="J781" s="16">
        <f>IF(NOT(Paths!$C$77=1),0,IF(Paths!$P$77="Complete",IF(IF(Paths!$E$77=0,C781=0,AND(C781&gt;0,Paths!$E$77&gt;(C781-1)*12,Paths!$E$77&lt;=C781*12)),Paths!$H$77,0),"n.a."))</f>
        <v>0</v>
      </c>
      <c r="K781" s="16">
        <f>IF(NOT(Paths!$C$77=1),0,IF(Paths!$P$77="Complete",IF(IF(Paths!$O$77=0,C781=0,AND(C781&gt;0,Paths!$O$77&gt;(C781-1)*12,Paths!$O$77&lt;=C781*12)),Paths!$N$77,0),"n.a."))</f>
        <v>0</v>
      </c>
      <c r="L781" s="16">
        <f>IF(NOT(Paths!$C$77=1),0,IF(Paths!$P$77="Complete",IF(C781=10,Paths!$I$77,0),"n.a."))</f>
        <v>0</v>
      </c>
      <c r="M781" s="16">
        <f>IF(NOT(Paths!$C$77=1),0,IF(Paths!$P$77="Complete",IF(AND(Paths!$D$77="EV",Paths!$E$77&lt;120,Paths!$E$77+'Operating costs'!$B$65&gt;Paths!$E$77,Paths!$E$77+'Operating costs'!$B$65&lt;=120,IF(Paths!$E$77+'Operating costs'!$B$65=0,C781=0,AND(C781&gt;0,Paths!$E$77+'Operating costs'!$B$65&gt;(C781-1)*12,Paths!$E$77+'Operating costs'!$B$65&lt;=C781*12))),'Operating costs'!$B$64,0)+IF(AND('Operating costs'!$B$67&gt;0,'Operating costs'!$B$67&lt;=120,OR(Paths!$D$77="ICE",'Operating costs'!$B$67&lt;=Paths!$E$77),IF('Operating costs'!$B$67=0,C781=0,AND(C781&gt;0,'Operating costs'!$B$67&gt;(C781-1)*12,'Operating costs'!$B$67&lt;=C781*12))),'Operating costs'!$B$66,0),"n.a."))</f>
        <v>0</v>
      </c>
      <c r="N781" s="16">
        <f>IF(NOT(Paths!$C$77=1),0,IF(Paths!$P$77="Complete",SUM(G781:I781)-J781-K781-L781+M781+IF(C781=0,Paths!$F$77,0)+IF(IF(Paths!$E$77=0,C781=0,AND(C781&gt;0,Paths!$E$77&gt;(C781-1)*12,Paths!$E$77&lt;=C781*12)),VLOOKUP(A781,'Fleet register'!$A$7:$S$106,16,FALSE),0),"n.a."))</f>
        <v>0</v>
      </c>
      <c r="O781" s="16">
        <f>IF(NOT(Paths!$C$77=1),0,IF(Paths!$P$77="Complete",N781-IF(C781=0,Paths!$F$77,0),"n.a."))</f>
        <v>0</v>
      </c>
      <c r="P781" s="16">
        <f>IF(NOT(Paths!$C$77=1),0,IF(Paths!$P$77="Complete",O781+L781,"n.a."))</f>
        <v>0</v>
      </c>
      <c r="Q781" s="16">
        <f>IF(NOT(Paths!$C$77=1),0,IF(Paths!$P$77="Complete",N781*(1+'Operating costs'!$B$54)^-C781,"n.a."))</f>
        <v>0</v>
      </c>
      <c r="R781" s="16">
        <f>IF(NOT(Paths!$C$77=1),0,IF(Paths!$P$77="Complete",IF(AND(C781=0,Paths!$E$77=0),I781-J781-K781+VLOOKUP(A781,'Fleet register'!$A$7:$S$106,15,FALSE)+VLOOKUP(A781,'Fleet register'!$A$7:$S$106,16,FALSE),0),"n.a."))</f>
        <v>0</v>
      </c>
      <c r="S781" s="1">
        <f>IF(NOT(Paths!$C$77=1),0,IF(Paths!$P$77="Complete",IF(C781=0,0,Paths!$S$77*Paths!$R$77),"n.a."))</f>
        <v>0</v>
      </c>
      <c r="T781" s="1">
        <f>IF(NOT(Paths!$C$77=1),0,IF(Paths!$P$77="Complete",IF(C781=0,0,VLOOKUP(A781,'Fleet register'!$A$7:$S$106,9,FALSE)*Paths!$R$77),"n.a."))</f>
        <v>0</v>
      </c>
    </row>
    <row r="782" spans="1:20" ht="24" customHeight="1">
      <c r="A782" s="1" t="str">
        <f>Paths!$A$77</f>
        <v>T018</v>
      </c>
      <c r="B782" s="1">
        <f>Paths!$B$77</f>
        <v>2</v>
      </c>
      <c r="C782" s="1">
        <v>5</v>
      </c>
      <c r="D782" s="1">
        <v>77</v>
      </c>
      <c r="E782" s="1">
        <f>IF(OR(Paths!$C$77=0,C782=0),0,MAX(0,MIN(C782*12,Paths!$E$77)-(C782-1)*12))</f>
        <v>0</v>
      </c>
      <c r="F782" s="1">
        <f>IF(OR(Paths!$C$77=0,C782=0),0,12-E782)</f>
        <v>0</v>
      </c>
      <c r="G782" s="16">
        <f>IF(NOT(Paths!$C$77=1),0,IF(Paths!$P$77="Complete",E782/12*(Paths!$J$77*(1+'Operating costs'!$B$51)^MAX(0,C782-1)+Paths!$K$77*(1+'Operating costs'!$B$53)^MAX(0,C782-1)),"n.a."))</f>
        <v>0</v>
      </c>
      <c r="H782" s="16">
        <f>IF(NOT(Paths!$C$77=1),0,IF(Paths!$P$77="Complete",F782/12*(Paths!$L$77*(1+IF(Paths!$D$77="EV",'Operating costs'!$B$52,'Operating costs'!$B$51))^MAX(0,C782-1)+Paths!$M$77*(1+'Operating costs'!$B$53)^MAX(0,C782-1)),"n.a."))</f>
        <v>0</v>
      </c>
      <c r="I782" s="16">
        <f>IF(NOT(Paths!$C$77=1),0,IF(Paths!$P$77="Complete",IF(IF(Paths!$E$77=0,C782=0,AND(C782&gt;0,Paths!$E$77&gt;(C782-1)*12,Paths!$E$77&lt;=C782*12)),Paths!$G$77,0),"n.a."))</f>
        <v>0</v>
      </c>
      <c r="J782" s="16">
        <f>IF(NOT(Paths!$C$77=1),0,IF(Paths!$P$77="Complete",IF(IF(Paths!$E$77=0,C782=0,AND(C782&gt;0,Paths!$E$77&gt;(C782-1)*12,Paths!$E$77&lt;=C782*12)),Paths!$H$77,0),"n.a."))</f>
        <v>0</v>
      </c>
      <c r="K782" s="16">
        <f>IF(NOT(Paths!$C$77=1),0,IF(Paths!$P$77="Complete",IF(IF(Paths!$O$77=0,C782=0,AND(C782&gt;0,Paths!$O$77&gt;(C782-1)*12,Paths!$O$77&lt;=C782*12)),Paths!$N$77,0),"n.a."))</f>
        <v>0</v>
      </c>
      <c r="L782" s="16">
        <f>IF(NOT(Paths!$C$77=1),0,IF(Paths!$P$77="Complete",IF(C782=10,Paths!$I$77,0),"n.a."))</f>
        <v>0</v>
      </c>
      <c r="M782" s="16">
        <f>IF(NOT(Paths!$C$77=1),0,IF(Paths!$P$77="Complete",IF(AND(Paths!$D$77="EV",Paths!$E$77&lt;120,Paths!$E$77+'Operating costs'!$B$65&gt;Paths!$E$77,Paths!$E$77+'Operating costs'!$B$65&lt;=120,IF(Paths!$E$77+'Operating costs'!$B$65=0,C782=0,AND(C782&gt;0,Paths!$E$77+'Operating costs'!$B$65&gt;(C782-1)*12,Paths!$E$77+'Operating costs'!$B$65&lt;=C782*12))),'Operating costs'!$B$64,0)+IF(AND('Operating costs'!$B$67&gt;0,'Operating costs'!$B$67&lt;=120,OR(Paths!$D$77="ICE",'Operating costs'!$B$67&lt;=Paths!$E$77),IF('Operating costs'!$B$67=0,C782=0,AND(C782&gt;0,'Operating costs'!$B$67&gt;(C782-1)*12,'Operating costs'!$B$67&lt;=C782*12))),'Operating costs'!$B$66,0),"n.a."))</f>
        <v>0</v>
      </c>
      <c r="N782" s="16">
        <f>IF(NOT(Paths!$C$77=1),0,IF(Paths!$P$77="Complete",SUM(G782:I782)-J782-K782-L782+M782+IF(C782=0,Paths!$F$77,0)+IF(IF(Paths!$E$77=0,C782=0,AND(C782&gt;0,Paths!$E$77&gt;(C782-1)*12,Paths!$E$77&lt;=C782*12)),VLOOKUP(A782,'Fleet register'!$A$7:$S$106,16,FALSE),0),"n.a."))</f>
        <v>0</v>
      </c>
      <c r="O782" s="16">
        <f>IF(NOT(Paths!$C$77=1),0,IF(Paths!$P$77="Complete",N782-IF(C782=0,Paths!$F$77,0),"n.a."))</f>
        <v>0</v>
      </c>
      <c r="P782" s="16">
        <f>IF(NOT(Paths!$C$77=1),0,IF(Paths!$P$77="Complete",O782+L782,"n.a."))</f>
        <v>0</v>
      </c>
      <c r="Q782" s="16">
        <f>IF(NOT(Paths!$C$77=1),0,IF(Paths!$P$77="Complete",N782*(1+'Operating costs'!$B$54)^-C782,"n.a."))</f>
        <v>0</v>
      </c>
      <c r="R782" s="16">
        <f>IF(NOT(Paths!$C$77=1),0,IF(Paths!$P$77="Complete",IF(AND(C782=0,Paths!$E$77=0),I782-J782-K782+VLOOKUP(A782,'Fleet register'!$A$7:$S$106,15,FALSE)+VLOOKUP(A782,'Fleet register'!$A$7:$S$106,16,FALSE),0),"n.a."))</f>
        <v>0</v>
      </c>
      <c r="S782" s="1">
        <f>IF(NOT(Paths!$C$77=1),0,IF(Paths!$P$77="Complete",IF(C782=0,0,Paths!$S$77*Paths!$R$77),"n.a."))</f>
        <v>0</v>
      </c>
      <c r="T782" s="1">
        <f>IF(NOT(Paths!$C$77=1),0,IF(Paths!$P$77="Complete",IF(C782=0,0,VLOOKUP(A782,'Fleet register'!$A$7:$S$106,9,FALSE)*Paths!$R$77),"n.a."))</f>
        <v>0</v>
      </c>
    </row>
    <row r="783" spans="1:20" ht="24" customHeight="1">
      <c r="A783" s="1" t="str">
        <f>Paths!$A$77</f>
        <v>T018</v>
      </c>
      <c r="B783" s="1">
        <f>Paths!$B$77</f>
        <v>2</v>
      </c>
      <c r="C783" s="1">
        <v>6</v>
      </c>
      <c r="D783" s="1">
        <v>77</v>
      </c>
      <c r="E783" s="1">
        <f>IF(OR(Paths!$C$77=0,C783=0),0,MAX(0,MIN(C783*12,Paths!$E$77)-(C783-1)*12))</f>
        <v>0</v>
      </c>
      <c r="F783" s="1">
        <f>IF(OR(Paths!$C$77=0,C783=0),0,12-E783)</f>
        <v>0</v>
      </c>
      <c r="G783" s="16">
        <f>IF(NOT(Paths!$C$77=1),0,IF(Paths!$P$77="Complete",E783/12*(Paths!$J$77*(1+'Operating costs'!$B$51)^MAX(0,C783-1)+Paths!$K$77*(1+'Operating costs'!$B$53)^MAX(0,C783-1)),"n.a."))</f>
        <v>0</v>
      </c>
      <c r="H783" s="16">
        <f>IF(NOT(Paths!$C$77=1),0,IF(Paths!$P$77="Complete",F783/12*(Paths!$L$77*(1+IF(Paths!$D$77="EV",'Operating costs'!$B$52,'Operating costs'!$B$51))^MAX(0,C783-1)+Paths!$M$77*(1+'Operating costs'!$B$53)^MAX(0,C783-1)),"n.a."))</f>
        <v>0</v>
      </c>
      <c r="I783" s="16">
        <f>IF(NOT(Paths!$C$77=1),0,IF(Paths!$P$77="Complete",IF(IF(Paths!$E$77=0,C783=0,AND(C783&gt;0,Paths!$E$77&gt;(C783-1)*12,Paths!$E$77&lt;=C783*12)),Paths!$G$77,0),"n.a."))</f>
        <v>0</v>
      </c>
      <c r="J783" s="16">
        <f>IF(NOT(Paths!$C$77=1),0,IF(Paths!$P$77="Complete",IF(IF(Paths!$E$77=0,C783=0,AND(C783&gt;0,Paths!$E$77&gt;(C783-1)*12,Paths!$E$77&lt;=C783*12)),Paths!$H$77,0),"n.a."))</f>
        <v>0</v>
      </c>
      <c r="K783" s="16">
        <f>IF(NOT(Paths!$C$77=1),0,IF(Paths!$P$77="Complete",IF(IF(Paths!$O$77=0,C783=0,AND(C783&gt;0,Paths!$O$77&gt;(C783-1)*12,Paths!$O$77&lt;=C783*12)),Paths!$N$77,0),"n.a."))</f>
        <v>0</v>
      </c>
      <c r="L783" s="16">
        <f>IF(NOT(Paths!$C$77=1),0,IF(Paths!$P$77="Complete",IF(C783=10,Paths!$I$77,0),"n.a."))</f>
        <v>0</v>
      </c>
      <c r="M783" s="16">
        <f>IF(NOT(Paths!$C$77=1),0,IF(Paths!$P$77="Complete",IF(AND(Paths!$D$77="EV",Paths!$E$77&lt;120,Paths!$E$77+'Operating costs'!$B$65&gt;Paths!$E$77,Paths!$E$77+'Operating costs'!$B$65&lt;=120,IF(Paths!$E$77+'Operating costs'!$B$65=0,C783=0,AND(C783&gt;0,Paths!$E$77+'Operating costs'!$B$65&gt;(C783-1)*12,Paths!$E$77+'Operating costs'!$B$65&lt;=C783*12))),'Operating costs'!$B$64,0)+IF(AND('Operating costs'!$B$67&gt;0,'Operating costs'!$B$67&lt;=120,OR(Paths!$D$77="ICE",'Operating costs'!$B$67&lt;=Paths!$E$77),IF('Operating costs'!$B$67=0,C783=0,AND(C783&gt;0,'Operating costs'!$B$67&gt;(C783-1)*12,'Operating costs'!$B$67&lt;=C783*12))),'Operating costs'!$B$66,0),"n.a."))</f>
        <v>0</v>
      </c>
      <c r="N783" s="16">
        <f>IF(NOT(Paths!$C$77=1),0,IF(Paths!$P$77="Complete",SUM(G783:I783)-J783-K783-L783+M783+IF(C783=0,Paths!$F$77,0)+IF(IF(Paths!$E$77=0,C783=0,AND(C783&gt;0,Paths!$E$77&gt;(C783-1)*12,Paths!$E$77&lt;=C783*12)),VLOOKUP(A783,'Fleet register'!$A$7:$S$106,16,FALSE),0),"n.a."))</f>
        <v>0</v>
      </c>
      <c r="O783" s="16">
        <f>IF(NOT(Paths!$C$77=1),0,IF(Paths!$P$77="Complete",N783-IF(C783=0,Paths!$F$77,0),"n.a."))</f>
        <v>0</v>
      </c>
      <c r="P783" s="16">
        <f>IF(NOT(Paths!$C$77=1),0,IF(Paths!$P$77="Complete",O783+L783,"n.a."))</f>
        <v>0</v>
      </c>
      <c r="Q783" s="16">
        <f>IF(NOT(Paths!$C$77=1),0,IF(Paths!$P$77="Complete",N783*(1+'Operating costs'!$B$54)^-C783,"n.a."))</f>
        <v>0</v>
      </c>
      <c r="R783" s="16">
        <f>IF(NOT(Paths!$C$77=1),0,IF(Paths!$P$77="Complete",IF(AND(C783=0,Paths!$E$77=0),I783-J783-K783+VLOOKUP(A783,'Fleet register'!$A$7:$S$106,15,FALSE)+VLOOKUP(A783,'Fleet register'!$A$7:$S$106,16,FALSE),0),"n.a."))</f>
        <v>0</v>
      </c>
      <c r="S783" s="1">
        <f>IF(NOT(Paths!$C$77=1),0,IF(Paths!$P$77="Complete",IF(C783=0,0,Paths!$S$77*Paths!$R$77),"n.a."))</f>
        <v>0</v>
      </c>
      <c r="T783" s="1">
        <f>IF(NOT(Paths!$C$77=1),0,IF(Paths!$P$77="Complete",IF(C783=0,0,VLOOKUP(A783,'Fleet register'!$A$7:$S$106,9,FALSE)*Paths!$R$77),"n.a."))</f>
        <v>0</v>
      </c>
    </row>
    <row r="784" spans="1:20" ht="24" customHeight="1">
      <c r="A784" s="1" t="str">
        <f>Paths!$A$77</f>
        <v>T018</v>
      </c>
      <c r="B784" s="1">
        <f>Paths!$B$77</f>
        <v>2</v>
      </c>
      <c r="C784" s="1">
        <v>7</v>
      </c>
      <c r="D784" s="1">
        <v>77</v>
      </c>
      <c r="E784" s="1">
        <f>IF(OR(Paths!$C$77=0,C784=0),0,MAX(0,MIN(C784*12,Paths!$E$77)-(C784-1)*12))</f>
        <v>0</v>
      </c>
      <c r="F784" s="1">
        <f>IF(OR(Paths!$C$77=0,C784=0),0,12-E784)</f>
        <v>0</v>
      </c>
      <c r="G784" s="16">
        <f>IF(NOT(Paths!$C$77=1),0,IF(Paths!$P$77="Complete",E784/12*(Paths!$J$77*(1+'Operating costs'!$B$51)^MAX(0,C784-1)+Paths!$K$77*(1+'Operating costs'!$B$53)^MAX(0,C784-1)),"n.a."))</f>
        <v>0</v>
      </c>
      <c r="H784" s="16">
        <f>IF(NOT(Paths!$C$77=1),0,IF(Paths!$P$77="Complete",F784/12*(Paths!$L$77*(1+IF(Paths!$D$77="EV",'Operating costs'!$B$52,'Operating costs'!$B$51))^MAX(0,C784-1)+Paths!$M$77*(1+'Operating costs'!$B$53)^MAX(0,C784-1)),"n.a."))</f>
        <v>0</v>
      </c>
      <c r="I784" s="16">
        <f>IF(NOT(Paths!$C$77=1),0,IF(Paths!$P$77="Complete",IF(IF(Paths!$E$77=0,C784=0,AND(C784&gt;0,Paths!$E$77&gt;(C784-1)*12,Paths!$E$77&lt;=C784*12)),Paths!$G$77,0),"n.a."))</f>
        <v>0</v>
      </c>
      <c r="J784" s="16">
        <f>IF(NOT(Paths!$C$77=1),0,IF(Paths!$P$77="Complete",IF(IF(Paths!$E$77=0,C784=0,AND(C784&gt;0,Paths!$E$77&gt;(C784-1)*12,Paths!$E$77&lt;=C784*12)),Paths!$H$77,0),"n.a."))</f>
        <v>0</v>
      </c>
      <c r="K784" s="16">
        <f>IF(NOT(Paths!$C$77=1),0,IF(Paths!$P$77="Complete",IF(IF(Paths!$O$77=0,C784=0,AND(C784&gt;0,Paths!$O$77&gt;(C784-1)*12,Paths!$O$77&lt;=C784*12)),Paths!$N$77,0),"n.a."))</f>
        <v>0</v>
      </c>
      <c r="L784" s="16">
        <f>IF(NOT(Paths!$C$77=1),0,IF(Paths!$P$77="Complete",IF(C784=10,Paths!$I$77,0),"n.a."))</f>
        <v>0</v>
      </c>
      <c r="M784" s="16">
        <f>IF(NOT(Paths!$C$77=1),0,IF(Paths!$P$77="Complete",IF(AND(Paths!$D$77="EV",Paths!$E$77&lt;120,Paths!$E$77+'Operating costs'!$B$65&gt;Paths!$E$77,Paths!$E$77+'Operating costs'!$B$65&lt;=120,IF(Paths!$E$77+'Operating costs'!$B$65=0,C784=0,AND(C784&gt;0,Paths!$E$77+'Operating costs'!$B$65&gt;(C784-1)*12,Paths!$E$77+'Operating costs'!$B$65&lt;=C784*12))),'Operating costs'!$B$64,0)+IF(AND('Operating costs'!$B$67&gt;0,'Operating costs'!$B$67&lt;=120,OR(Paths!$D$77="ICE",'Operating costs'!$B$67&lt;=Paths!$E$77),IF('Operating costs'!$B$67=0,C784=0,AND(C784&gt;0,'Operating costs'!$B$67&gt;(C784-1)*12,'Operating costs'!$B$67&lt;=C784*12))),'Operating costs'!$B$66,0),"n.a."))</f>
        <v>0</v>
      </c>
      <c r="N784" s="16">
        <f>IF(NOT(Paths!$C$77=1),0,IF(Paths!$P$77="Complete",SUM(G784:I784)-J784-K784-L784+M784+IF(C784=0,Paths!$F$77,0)+IF(IF(Paths!$E$77=0,C784=0,AND(C784&gt;0,Paths!$E$77&gt;(C784-1)*12,Paths!$E$77&lt;=C784*12)),VLOOKUP(A784,'Fleet register'!$A$7:$S$106,16,FALSE),0),"n.a."))</f>
        <v>0</v>
      </c>
      <c r="O784" s="16">
        <f>IF(NOT(Paths!$C$77=1),0,IF(Paths!$P$77="Complete",N784-IF(C784=0,Paths!$F$77,0),"n.a."))</f>
        <v>0</v>
      </c>
      <c r="P784" s="16">
        <f>IF(NOT(Paths!$C$77=1),0,IF(Paths!$P$77="Complete",O784+L784,"n.a."))</f>
        <v>0</v>
      </c>
      <c r="Q784" s="16">
        <f>IF(NOT(Paths!$C$77=1),0,IF(Paths!$P$77="Complete",N784*(1+'Operating costs'!$B$54)^-C784,"n.a."))</f>
        <v>0</v>
      </c>
      <c r="R784" s="16">
        <f>IF(NOT(Paths!$C$77=1),0,IF(Paths!$P$77="Complete",IF(AND(C784=0,Paths!$E$77=0),I784-J784-K784+VLOOKUP(A784,'Fleet register'!$A$7:$S$106,15,FALSE)+VLOOKUP(A784,'Fleet register'!$A$7:$S$106,16,FALSE),0),"n.a."))</f>
        <v>0</v>
      </c>
      <c r="S784" s="1">
        <f>IF(NOT(Paths!$C$77=1),0,IF(Paths!$P$77="Complete",IF(C784=0,0,Paths!$S$77*Paths!$R$77),"n.a."))</f>
        <v>0</v>
      </c>
      <c r="T784" s="1">
        <f>IF(NOT(Paths!$C$77=1),0,IF(Paths!$P$77="Complete",IF(C784=0,0,VLOOKUP(A784,'Fleet register'!$A$7:$S$106,9,FALSE)*Paths!$R$77),"n.a."))</f>
        <v>0</v>
      </c>
    </row>
    <row r="785" spans="1:20" ht="24" customHeight="1">
      <c r="A785" s="1" t="str">
        <f>Paths!$A$77</f>
        <v>T018</v>
      </c>
      <c r="B785" s="1">
        <f>Paths!$B$77</f>
        <v>2</v>
      </c>
      <c r="C785" s="1">
        <v>8</v>
      </c>
      <c r="D785" s="1">
        <v>77</v>
      </c>
      <c r="E785" s="1">
        <f>IF(OR(Paths!$C$77=0,C785=0),0,MAX(0,MIN(C785*12,Paths!$E$77)-(C785-1)*12))</f>
        <v>0</v>
      </c>
      <c r="F785" s="1">
        <f>IF(OR(Paths!$C$77=0,C785=0),0,12-E785)</f>
        <v>0</v>
      </c>
      <c r="G785" s="16">
        <f>IF(NOT(Paths!$C$77=1),0,IF(Paths!$P$77="Complete",E785/12*(Paths!$J$77*(1+'Operating costs'!$B$51)^MAX(0,C785-1)+Paths!$K$77*(1+'Operating costs'!$B$53)^MAX(0,C785-1)),"n.a."))</f>
        <v>0</v>
      </c>
      <c r="H785" s="16">
        <f>IF(NOT(Paths!$C$77=1),0,IF(Paths!$P$77="Complete",F785/12*(Paths!$L$77*(1+IF(Paths!$D$77="EV",'Operating costs'!$B$52,'Operating costs'!$B$51))^MAX(0,C785-1)+Paths!$M$77*(1+'Operating costs'!$B$53)^MAX(0,C785-1)),"n.a."))</f>
        <v>0</v>
      </c>
      <c r="I785" s="16">
        <f>IF(NOT(Paths!$C$77=1),0,IF(Paths!$P$77="Complete",IF(IF(Paths!$E$77=0,C785=0,AND(C785&gt;0,Paths!$E$77&gt;(C785-1)*12,Paths!$E$77&lt;=C785*12)),Paths!$G$77,0),"n.a."))</f>
        <v>0</v>
      </c>
      <c r="J785" s="16">
        <f>IF(NOT(Paths!$C$77=1),0,IF(Paths!$P$77="Complete",IF(IF(Paths!$E$77=0,C785=0,AND(C785&gt;0,Paths!$E$77&gt;(C785-1)*12,Paths!$E$77&lt;=C785*12)),Paths!$H$77,0),"n.a."))</f>
        <v>0</v>
      </c>
      <c r="K785" s="16">
        <f>IF(NOT(Paths!$C$77=1),0,IF(Paths!$P$77="Complete",IF(IF(Paths!$O$77=0,C785=0,AND(C785&gt;0,Paths!$O$77&gt;(C785-1)*12,Paths!$O$77&lt;=C785*12)),Paths!$N$77,0),"n.a."))</f>
        <v>0</v>
      </c>
      <c r="L785" s="16">
        <f>IF(NOT(Paths!$C$77=1),0,IF(Paths!$P$77="Complete",IF(C785=10,Paths!$I$77,0),"n.a."))</f>
        <v>0</v>
      </c>
      <c r="M785" s="16">
        <f>IF(NOT(Paths!$C$77=1),0,IF(Paths!$P$77="Complete",IF(AND(Paths!$D$77="EV",Paths!$E$77&lt;120,Paths!$E$77+'Operating costs'!$B$65&gt;Paths!$E$77,Paths!$E$77+'Operating costs'!$B$65&lt;=120,IF(Paths!$E$77+'Operating costs'!$B$65=0,C785=0,AND(C785&gt;0,Paths!$E$77+'Operating costs'!$B$65&gt;(C785-1)*12,Paths!$E$77+'Operating costs'!$B$65&lt;=C785*12))),'Operating costs'!$B$64,0)+IF(AND('Operating costs'!$B$67&gt;0,'Operating costs'!$B$67&lt;=120,OR(Paths!$D$77="ICE",'Operating costs'!$B$67&lt;=Paths!$E$77),IF('Operating costs'!$B$67=0,C785=0,AND(C785&gt;0,'Operating costs'!$B$67&gt;(C785-1)*12,'Operating costs'!$B$67&lt;=C785*12))),'Operating costs'!$B$66,0),"n.a."))</f>
        <v>0</v>
      </c>
      <c r="N785" s="16">
        <f>IF(NOT(Paths!$C$77=1),0,IF(Paths!$P$77="Complete",SUM(G785:I785)-J785-K785-L785+M785+IF(C785=0,Paths!$F$77,0)+IF(IF(Paths!$E$77=0,C785=0,AND(C785&gt;0,Paths!$E$77&gt;(C785-1)*12,Paths!$E$77&lt;=C785*12)),VLOOKUP(A785,'Fleet register'!$A$7:$S$106,16,FALSE),0),"n.a."))</f>
        <v>0</v>
      </c>
      <c r="O785" s="16">
        <f>IF(NOT(Paths!$C$77=1),0,IF(Paths!$P$77="Complete",N785-IF(C785=0,Paths!$F$77,0),"n.a."))</f>
        <v>0</v>
      </c>
      <c r="P785" s="16">
        <f>IF(NOT(Paths!$C$77=1),0,IF(Paths!$P$77="Complete",O785+L785,"n.a."))</f>
        <v>0</v>
      </c>
      <c r="Q785" s="16">
        <f>IF(NOT(Paths!$C$77=1),0,IF(Paths!$P$77="Complete",N785*(1+'Operating costs'!$B$54)^-C785,"n.a."))</f>
        <v>0</v>
      </c>
      <c r="R785" s="16">
        <f>IF(NOT(Paths!$C$77=1),0,IF(Paths!$P$77="Complete",IF(AND(C785=0,Paths!$E$77=0),I785-J785-K785+VLOOKUP(A785,'Fleet register'!$A$7:$S$106,15,FALSE)+VLOOKUP(A785,'Fleet register'!$A$7:$S$106,16,FALSE),0),"n.a."))</f>
        <v>0</v>
      </c>
      <c r="S785" s="1">
        <f>IF(NOT(Paths!$C$77=1),0,IF(Paths!$P$77="Complete",IF(C785=0,0,Paths!$S$77*Paths!$R$77),"n.a."))</f>
        <v>0</v>
      </c>
      <c r="T785" s="1">
        <f>IF(NOT(Paths!$C$77=1),0,IF(Paths!$P$77="Complete",IF(C785=0,0,VLOOKUP(A785,'Fleet register'!$A$7:$S$106,9,FALSE)*Paths!$R$77),"n.a."))</f>
        <v>0</v>
      </c>
    </row>
    <row r="786" spans="1:20" ht="24" customHeight="1">
      <c r="A786" s="1" t="str">
        <f>Paths!$A$77</f>
        <v>T018</v>
      </c>
      <c r="B786" s="1">
        <f>Paths!$B$77</f>
        <v>2</v>
      </c>
      <c r="C786" s="1">
        <v>9</v>
      </c>
      <c r="D786" s="1">
        <v>77</v>
      </c>
      <c r="E786" s="1">
        <f>IF(OR(Paths!$C$77=0,C786=0),0,MAX(0,MIN(C786*12,Paths!$E$77)-(C786-1)*12))</f>
        <v>0</v>
      </c>
      <c r="F786" s="1">
        <f>IF(OR(Paths!$C$77=0,C786=0),0,12-E786)</f>
        <v>0</v>
      </c>
      <c r="G786" s="16">
        <f>IF(NOT(Paths!$C$77=1),0,IF(Paths!$P$77="Complete",E786/12*(Paths!$J$77*(1+'Operating costs'!$B$51)^MAX(0,C786-1)+Paths!$K$77*(1+'Operating costs'!$B$53)^MAX(0,C786-1)),"n.a."))</f>
        <v>0</v>
      </c>
      <c r="H786" s="16">
        <f>IF(NOT(Paths!$C$77=1),0,IF(Paths!$P$77="Complete",F786/12*(Paths!$L$77*(1+IF(Paths!$D$77="EV",'Operating costs'!$B$52,'Operating costs'!$B$51))^MAX(0,C786-1)+Paths!$M$77*(1+'Operating costs'!$B$53)^MAX(0,C786-1)),"n.a."))</f>
        <v>0</v>
      </c>
      <c r="I786" s="16">
        <f>IF(NOT(Paths!$C$77=1),0,IF(Paths!$P$77="Complete",IF(IF(Paths!$E$77=0,C786=0,AND(C786&gt;0,Paths!$E$77&gt;(C786-1)*12,Paths!$E$77&lt;=C786*12)),Paths!$G$77,0),"n.a."))</f>
        <v>0</v>
      </c>
      <c r="J786" s="16">
        <f>IF(NOT(Paths!$C$77=1),0,IF(Paths!$P$77="Complete",IF(IF(Paths!$E$77=0,C786=0,AND(C786&gt;0,Paths!$E$77&gt;(C786-1)*12,Paths!$E$77&lt;=C786*12)),Paths!$H$77,0),"n.a."))</f>
        <v>0</v>
      </c>
      <c r="K786" s="16">
        <f>IF(NOT(Paths!$C$77=1),0,IF(Paths!$P$77="Complete",IF(IF(Paths!$O$77=0,C786=0,AND(C786&gt;0,Paths!$O$77&gt;(C786-1)*12,Paths!$O$77&lt;=C786*12)),Paths!$N$77,0),"n.a."))</f>
        <v>0</v>
      </c>
      <c r="L786" s="16">
        <f>IF(NOT(Paths!$C$77=1),0,IF(Paths!$P$77="Complete",IF(C786=10,Paths!$I$77,0),"n.a."))</f>
        <v>0</v>
      </c>
      <c r="M786" s="16">
        <f>IF(NOT(Paths!$C$77=1),0,IF(Paths!$P$77="Complete",IF(AND(Paths!$D$77="EV",Paths!$E$77&lt;120,Paths!$E$77+'Operating costs'!$B$65&gt;Paths!$E$77,Paths!$E$77+'Operating costs'!$B$65&lt;=120,IF(Paths!$E$77+'Operating costs'!$B$65=0,C786=0,AND(C786&gt;0,Paths!$E$77+'Operating costs'!$B$65&gt;(C786-1)*12,Paths!$E$77+'Operating costs'!$B$65&lt;=C786*12))),'Operating costs'!$B$64,0)+IF(AND('Operating costs'!$B$67&gt;0,'Operating costs'!$B$67&lt;=120,OR(Paths!$D$77="ICE",'Operating costs'!$B$67&lt;=Paths!$E$77),IF('Operating costs'!$B$67=0,C786=0,AND(C786&gt;0,'Operating costs'!$B$67&gt;(C786-1)*12,'Operating costs'!$B$67&lt;=C786*12))),'Operating costs'!$B$66,0),"n.a."))</f>
        <v>0</v>
      </c>
      <c r="N786" s="16">
        <f>IF(NOT(Paths!$C$77=1),0,IF(Paths!$P$77="Complete",SUM(G786:I786)-J786-K786-L786+M786+IF(C786=0,Paths!$F$77,0)+IF(IF(Paths!$E$77=0,C786=0,AND(C786&gt;0,Paths!$E$77&gt;(C786-1)*12,Paths!$E$77&lt;=C786*12)),VLOOKUP(A786,'Fleet register'!$A$7:$S$106,16,FALSE),0),"n.a."))</f>
        <v>0</v>
      </c>
      <c r="O786" s="16">
        <f>IF(NOT(Paths!$C$77=1),0,IF(Paths!$P$77="Complete",N786-IF(C786=0,Paths!$F$77,0),"n.a."))</f>
        <v>0</v>
      </c>
      <c r="P786" s="16">
        <f>IF(NOT(Paths!$C$77=1),0,IF(Paths!$P$77="Complete",O786+L786,"n.a."))</f>
        <v>0</v>
      </c>
      <c r="Q786" s="16">
        <f>IF(NOT(Paths!$C$77=1),0,IF(Paths!$P$77="Complete",N786*(1+'Operating costs'!$B$54)^-C786,"n.a."))</f>
        <v>0</v>
      </c>
      <c r="R786" s="16">
        <f>IF(NOT(Paths!$C$77=1),0,IF(Paths!$P$77="Complete",IF(AND(C786=0,Paths!$E$77=0),I786-J786-K786+VLOOKUP(A786,'Fleet register'!$A$7:$S$106,15,FALSE)+VLOOKUP(A786,'Fleet register'!$A$7:$S$106,16,FALSE),0),"n.a."))</f>
        <v>0</v>
      </c>
      <c r="S786" s="1">
        <f>IF(NOT(Paths!$C$77=1),0,IF(Paths!$P$77="Complete",IF(C786=0,0,Paths!$S$77*Paths!$R$77),"n.a."))</f>
        <v>0</v>
      </c>
      <c r="T786" s="1">
        <f>IF(NOT(Paths!$C$77=1),0,IF(Paths!$P$77="Complete",IF(C786=0,0,VLOOKUP(A786,'Fleet register'!$A$7:$S$106,9,FALSE)*Paths!$R$77),"n.a."))</f>
        <v>0</v>
      </c>
    </row>
    <row r="787" spans="1:20" ht="24" customHeight="1">
      <c r="A787" s="1" t="str">
        <f>Paths!$A$77</f>
        <v>T018</v>
      </c>
      <c r="B787" s="1">
        <f>Paths!$B$77</f>
        <v>2</v>
      </c>
      <c r="C787" s="1">
        <v>10</v>
      </c>
      <c r="D787" s="1">
        <v>77</v>
      </c>
      <c r="E787" s="1">
        <f>IF(OR(Paths!$C$77=0,C787=0),0,MAX(0,MIN(C787*12,Paths!$E$77)-(C787-1)*12))</f>
        <v>0</v>
      </c>
      <c r="F787" s="1">
        <f>IF(OR(Paths!$C$77=0,C787=0),0,12-E787)</f>
        <v>0</v>
      </c>
      <c r="G787" s="16">
        <f>IF(NOT(Paths!$C$77=1),0,IF(Paths!$P$77="Complete",E787/12*(Paths!$J$77*(1+'Operating costs'!$B$51)^MAX(0,C787-1)+Paths!$K$77*(1+'Operating costs'!$B$53)^MAX(0,C787-1)),"n.a."))</f>
        <v>0</v>
      </c>
      <c r="H787" s="16">
        <f>IF(NOT(Paths!$C$77=1),0,IF(Paths!$P$77="Complete",F787/12*(Paths!$L$77*(1+IF(Paths!$D$77="EV",'Operating costs'!$B$52,'Operating costs'!$B$51))^MAX(0,C787-1)+Paths!$M$77*(1+'Operating costs'!$B$53)^MAX(0,C787-1)),"n.a."))</f>
        <v>0</v>
      </c>
      <c r="I787" s="16">
        <f>IF(NOT(Paths!$C$77=1),0,IF(Paths!$P$77="Complete",IF(IF(Paths!$E$77=0,C787=0,AND(C787&gt;0,Paths!$E$77&gt;(C787-1)*12,Paths!$E$77&lt;=C787*12)),Paths!$G$77,0),"n.a."))</f>
        <v>0</v>
      </c>
      <c r="J787" s="16">
        <f>IF(NOT(Paths!$C$77=1),0,IF(Paths!$P$77="Complete",IF(IF(Paths!$E$77=0,C787=0,AND(C787&gt;0,Paths!$E$77&gt;(C787-1)*12,Paths!$E$77&lt;=C787*12)),Paths!$H$77,0),"n.a."))</f>
        <v>0</v>
      </c>
      <c r="K787" s="16">
        <f>IF(NOT(Paths!$C$77=1),0,IF(Paths!$P$77="Complete",IF(IF(Paths!$O$77=0,C787=0,AND(C787&gt;0,Paths!$O$77&gt;(C787-1)*12,Paths!$O$77&lt;=C787*12)),Paths!$N$77,0),"n.a."))</f>
        <v>0</v>
      </c>
      <c r="L787" s="16">
        <f>IF(NOT(Paths!$C$77=1),0,IF(Paths!$P$77="Complete",IF(C787=10,Paths!$I$77,0),"n.a."))</f>
        <v>0</v>
      </c>
      <c r="M787" s="16">
        <f>IF(NOT(Paths!$C$77=1),0,IF(Paths!$P$77="Complete",IF(AND(Paths!$D$77="EV",Paths!$E$77&lt;120,Paths!$E$77+'Operating costs'!$B$65&gt;Paths!$E$77,Paths!$E$77+'Operating costs'!$B$65&lt;=120,IF(Paths!$E$77+'Operating costs'!$B$65=0,C787=0,AND(C787&gt;0,Paths!$E$77+'Operating costs'!$B$65&gt;(C787-1)*12,Paths!$E$77+'Operating costs'!$B$65&lt;=C787*12))),'Operating costs'!$B$64,0)+IF(AND('Operating costs'!$B$67&gt;0,'Operating costs'!$B$67&lt;=120,OR(Paths!$D$77="ICE",'Operating costs'!$B$67&lt;=Paths!$E$77),IF('Operating costs'!$B$67=0,C787=0,AND(C787&gt;0,'Operating costs'!$B$67&gt;(C787-1)*12,'Operating costs'!$B$67&lt;=C787*12))),'Operating costs'!$B$66,0),"n.a."))</f>
        <v>0</v>
      </c>
      <c r="N787" s="16">
        <f>IF(NOT(Paths!$C$77=1),0,IF(Paths!$P$77="Complete",SUM(G787:I787)-J787-K787-L787+M787+IF(C787=0,Paths!$F$77,0)+IF(IF(Paths!$E$77=0,C787=0,AND(C787&gt;0,Paths!$E$77&gt;(C787-1)*12,Paths!$E$77&lt;=C787*12)),VLOOKUP(A787,'Fleet register'!$A$7:$S$106,16,FALSE),0),"n.a."))</f>
        <v>0</v>
      </c>
      <c r="O787" s="16">
        <f>IF(NOT(Paths!$C$77=1),0,IF(Paths!$P$77="Complete",N787-IF(C787=0,Paths!$F$77,0),"n.a."))</f>
        <v>0</v>
      </c>
      <c r="P787" s="16">
        <f>IF(NOT(Paths!$C$77=1),0,IF(Paths!$P$77="Complete",O787+L787,"n.a."))</f>
        <v>0</v>
      </c>
      <c r="Q787" s="16">
        <f>IF(NOT(Paths!$C$77=1),0,IF(Paths!$P$77="Complete",N787*(1+'Operating costs'!$B$54)^-C787,"n.a."))</f>
        <v>0</v>
      </c>
      <c r="R787" s="16">
        <f>IF(NOT(Paths!$C$77=1),0,IF(Paths!$P$77="Complete",IF(AND(C787=0,Paths!$E$77=0),I787-J787-K787+VLOOKUP(A787,'Fleet register'!$A$7:$S$106,15,FALSE)+VLOOKUP(A787,'Fleet register'!$A$7:$S$106,16,FALSE),0),"n.a."))</f>
        <v>0</v>
      </c>
      <c r="S787" s="1">
        <f>IF(NOT(Paths!$C$77=1),0,IF(Paths!$P$77="Complete",IF(C787=0,0,Paths!$S$77*Paths!$R$77),"n.a."))</f>
        <v>0</v>
      </c>
      <c r="T787" s="1">
        <f>IF(NOT(Paths!$C$77=1),0,IF(Paths!$P$77="Complete",IF(C787=0,0,VLOOKUP(A787,'Fleet register'!$A$7:$S$106,9,FALSE)*Paths!$R$77),"n.a."))</f>
        <v>0</v>
      </c>
    </row>
    <row r="788" spans="1:20" ht="24" customHeight="1">
      <c r="A788" s="1" t="str">
        <f>Paths!$A$78</f>
        <v>T018</v>
      </c>
      <c r="B788" s="1">
        <f>Paths!$B$78</f>
        <v>3</v>
      </c>
      <c r="C788" s="1">
        <v>0</v>
      </c>
      <c r="D788" s="1">
        <v>78</v>
      </c>
      <c r="E788" s="1">
        <f>IF(OR(Paths!$C$78=0,C788=0),0,MAX(0,MIN(C788*12,Paths!$E$78)-(C788-1)*12))</f>
        <v>0</v>
      </c>
      <c r="F788" s="1">
        <f>IF(OR(Paths!$C$78=0,C788=0),0,12-E788)</f>
        <v>0</v>
      </c>
      <c r="G788" s="16">
        <f>IF(NOT(Paths!$C$78=1),0,IF(Paths!$P$78="Complete",E788/12*(Paths!$J$78*(1+'Operating costs'!$B$51)^MAX(0,C788-1)+Paths!$K$78*(1+'Operating costs'!$B$53)^MAX(0,C788-1)),"n.a."))</f>
        <v>0</v>
      </c>
      <c r="H788" s="16">
        <f>IF(NOT(Paths!$C$78=1),0,IF(Paths!$P$78="Complete",F788/12*(Paths!$L$78*(1+IF(Paths!$D$78="EV",'Operating costs'!$B$52,'Operating costs'!$B$51))^MAX(0,C788-1)+Paths!$M$78*(1+'Operating costs'!$B$53)^MAX(0,C788-1)),"n.a."))</f>
        <v>0</v>
      </c>
      <c r="I788" s="16">
        <f>IF(NOT(Paths!$C$78=1),0,IF(Paths!$P$78="Complete",IF(IF(Paths!$E$78=0,C788=0,AND(C788&gt;0,Paths!$E$78&gt;(C788-1)*12,Paths!$E$78&lt;=C788*12)),Paths!$G$78,0),"n.a."))</f>
        <v>0</v>
      </c>
      <c r="J788" s="16">
        <f>IF(NOT(Paths!$C$78=1),0,IF(Paths!$P$78="Complete",IF(IF(Paths!$E$78=0,C788=0,AND(C788&gt;0,Paths!$E$78&gt;(C788-1)*12,Paths!$E$78&lt;=C788*12)),Paths!$H$78,0),"n.a."))</f>
        <v>0</v>
      </c>
      <c r="K788" s="16">
        <f>IF(NOT(Paths!$C$78=1),0,IF(Paths!$P$78="Complete",IF(IF(Paths!$O$78=0,C788=0,AND(C788&gt;0,Paths!$O$78&gt;(C788-1)*12,Paths!$O$78&lt;=C788*12)),Paths!$N$78,0),"n.a."))</f>
        <v>0</v>
      </c>
      <c r="L788" s="16">
        <f>IF(NOT(Paths!$C$78=1),0,IF(Paths!$P$78="Complete",IF(C788=10,Paths!$I$78,0),"n.a."))</f>
        <v>0</v>
      </c>
      <c r="M788" s="16">
        <f>IF(NOT(Paths!$C$78=1),0,IF(Paths!$P$78="Complete",IF(AND(Paths!$D$78="EV",Paths!$E$78&lt;120,Paths!$E$78+'Operating costs'!$B$65&gt;Paths!$E$78,Paths!$E$78+'Operating costs'!$B$65&lt;=120,IF(Paths!$E$78+'Operating costs'!$B$65=0,C788=0,AND(C788&gt;0,Paths!$E$78+'Operating costs'!$B$65&gt;(C788-1)*12,Paths!$E$78+'Operating costs'!$B$65&lt;=C788*12))),'Operating costs'!$B$64,0)+IF(AND('Operating costs'!$B$67&gt;0,'Operating costs'!$B$67&lt;=120,OR(Paths!$D$78="ICE",'Operating costs'!$B$67&lt;=Paths!$E$78),IF('Operating costs'!$B$67=0,C788=0,AND(C788&gt;0,'Operating costs'!$B$67&gt;(C788-1)*12,'Operating costs'!$B$67&lt;=C788*12))),'Operating costs'!$B$66,0),"n.a."))</f>
        <v>0</v>
      </c>
      <c r="N788" s="16">
        <f>IF(NOT(Paths!$C$78=1),0,IF(Paths!$P$78="Complete",SUM(G788:I788)-J788-K788-L788+M788+IF(C788=0,Paths!$F$78,0)+IF(IF(Paths!$E$78=0,C788=0,AND(C788&gt;0,Paths!$E$78&gt;(C788-1)*12,Paths!$E$78&lt;=C788*12)),VLOOKUP(A788,'Fleet register'!$A$7:$S$106,16,FALSE),0),"n.a."))</f>
        <v>0</v>
      </c>
      <c r="O788" s="16">
        <f>IF(NOT(Paths!$C$78=1),0,IF(Paths!$P$78="Complete",N788-IF(C788=0,Paths!$F$78,0),"n.a."))</f>
        <v>0</v>
      </c>
      <c r="P788" s="16">
        <f>IF(NOT(Paths!$C$78=1),0,IF(Paths!$P$78="Complete",O788+L788,"n.a."))</f>
        <v>0</v>
      </c>
      <c r="Q788" s="16">
        <f>IF(NOT(Paths!$C$78=1),0,IF(Paths!$P$78="Complete",N788*(1+'Operating costs'!$B$54)^-C788,"n.a."))</f>
        <v>0</v>
      </c>
      <c r="R788" s="16">
        <f>IF(NOT(Paths!$C$78=1),0,IF(Paths!$P$78="Complete",IF(AND(C788=0,Paths!$E$78=0),I788-J788-K788+VLOOKUP(A788,'Fleet register'!$A$7:$S$106,15,FALSE)+VLOOKUP(A788,'Fleet register'!$A$7:$S$106,16,FALSE),0),"n.a."))</f>
        <v>0</v>
      </c>
      <c r="S788" s="1">
        <f>IF(NOT(Paths!$C$78=1),0,IF(Paths!$P$78="Complete",IF(C788=0,0,Paths!$S$78*Paths!$R$78),"n.a."))</f>
        <v>0</v>
      </c>
      <c r="T788" s="1">
        <f>IF(NOT(Paths!$C$78=1),0,IF(Paths!$P$78="Complete",IF(C788=0,0,VLOOKUP(A788,'Fleet register'!$A$7:$S$106,9,FALSE)*Paths!$R$78),"n.a."))</f>
        <v>0</v>
      </c>
    </row>
    <row r="789" spans="1:20" ht="24" customHeight="1">
      <c r="A789" s="1" t="str">
        <f>Paths!$A$78</f>
        <v>T018</v>
      </c>
      <c r="B789" s="1">
        <f>Paths!$B$78</f>
        <v>3</v>
      </c>
      <c r="C789" s="1">
        <v>1</v>
      </c>
      <c r="D789" s="1">
        <v>78</v>
      </c>
      <c r="E789" s="1">
        <f>IF(OR(Paths!$C$78=0,C789=0),0,MAX(0,MIN(C789*12,Paths!$E$78)-(C789-1)*12))</f>
        <v>0</v>
      </c>
      <c r="F789" s="1">
        <f>IF(OR(Paths!$C$78=0,C789=0),0,12-E789)</f>
        <v>0</v>
      </c>
      <c r="G789" s="16">
        <f>IF(NOT(Paths!$C$78=1),0,IF(Paths!$P$78="Complete",E789/12*(Paths!$J$78*(1+'Operating costs'!$B$51)^MAX(0,C789-1)+Paths!$K$78*(1+'Operating costs'!$B$53)^MAX(0,C789-1)),"n.a."))</f>
        <v>0</v>
      </c>
      <c r="H789" s="16">
        <f>IF(NOT(Paths!$C$78=1),0,IF(Paths!$P$78="Complete",F789/12*(Paths!$L$78*(1+IF(Paths!$D$78="EV",'Operating costs'!$B$52,'Operating costs'!$B$51))^MAX(0,C789-1)+Paths!$M$78*(1+'Operating costs'!$B$53)^MAX(0,C789-1)),"n.a."))</f>
        <v>0</v>
      </c>
      <c r="I789" s="16">
        <f>IF(NOT(Paths!$C$78=1),0,IF(Paths!$P$78="Complete",IF(IF(Paths!$E$78=0,C789=0,AND(C789&gt;0,Paths!$E$78&gt;(C789-1)*12,Paths!$E$78&lt;=C789*12)),Paths!$G$78,0),"n.a."))</f>
        <v>0</v>
      </c>
      <c r="J789" s="16">
        <f>IF(NOT(Paths!$C$78=1),0,IF(Paths!$P$78="Complete",IF(IF(Paths!$E$78=0,C789=0,AND(C789&gt;0,Paths!$E$78&gt;(C789-1)*12,Paths!$E$78&lt;=C789*12)),Paths!$H$78,0),"n.a."))</f>
        <v>0</v>
      </c>
      <c r="K789" s="16">
        <f>IF(NOT(Paths!$C$78=1),0,IF(Paths!$P$78="Complete",IF(IF(Paths!$O$78=0,C789=0,AND(C789&gt;0,Paths!$O$78&gt;(C789-1)*12,Paths!$O$78&lt;=C789*12)),Paths!$N$78,0),"n.a."))</f>
        <v>0</v>
      </c>
      <c r="L789" s="16">
        <f>IF(NOT(Paths!$C$78=1),0,IF(Paths!$P$78="Complete",IF(C789=10,Paths!$I$78,0),"n.a."))</f>
        <v>0</v>
      </c>
      <c r="M789" s="16">
        <f>IF(NOT(Paths!$C$78=1),0,IF(Paths!$P$78="Complete",IF(AND(Paths!$D$78="EV",Paths!$E$78&lt;120,Paths!$E$78+'Operating costs'!$B$65&gt;Paths!$E$78,Paths!$E$78+'Operating costs'!$B$65&lt;=120,IF(Paths!$E$78+'Operating costs'!$B$65=0,C789=0,AND(C789&gt;0,Paths!$E$78+'Operating costs'!$B$65&gt;(C789-1)*12,Paths!$E$78+'Operating costs'!$B$65&lt;=C789*12))),'Operating costs'!$B$64,0)+IF(AND('Operating costs'!$B$67&gt;0,'Operating costs'!$B$67&lt;=120,OR(Paths!$D$78="ICE",'Operating costs'!$B$67&lt;=Paths!$E$78),IF('Operating costs'!$B$67=0,C789=0,AND(C789&gt;0,'Operating costs'!$B$67&gt;(C789-1)*12,'Operating costs'!$B$67&lt;=C789*12))),'Operating costs'!$B$66,0),"n.a."))</f>
        <v>0</v>
      </c>
      <c r="N789" s="16">
        <f>IF(NOT(Paths!$C$78=1),0,IF(Paths!$P$78="Complete",SUM(G789:I789)-J789-K789-L789+M789+IF(C789=0,Paths!$F$78,0)+IF(IF(Paths!$E$78=0,C789=0,AND(C789&gt;0,Paths!$E$78&gt;(C789-1)*12,Paths!$E$78&lt;=C789*12)),VLOOKUP(A789,'Fleet register'!$A$7:$S$106,16,FALSE),0),"n.a."))</f>
        <v>0</v>
      </c>
      <c r="O789" s="16">
        <f>IF(NOT(Paths!$C$78=1),0,IF(Paths!$P$78="Complete",N789-IF(C789=0,Paths!$F$78,0),"n.a."))</f>
        <v>0</v>
      </c>
      <c r="P789" s="16">
        <f>IF(NOT(Paths!$C$78=1),0,IF(Paths!$P$78="Complete",O789+L789,"n.a."))</f>
        <v>0</v>
      </c>
      <c r="Q789" s="16">
        <f>IF(NOT(Paths!$C$78=1),0,IF(Paths!$P$78="Complete",N789*(1+'Operating costs'!$B$54)^-C789,"n.a."))</f>
        <v>0</v>
      </c>
      <c r="R789" s="16">
        <f>IF(NOT(Paths!$C$78=1),0,IF(Paths!$P$78="Complete",IF(AND(C789=0,Paths!$E$78=0),I789-J789-K789+VLOOKUP(A789,'Fleet register'!$A$7:$S$106,15,FALSE)+VLOOKUP(A789,'Fleet register'!$A$7:$S$106,16,FALSE),0),"n.a."))</f>
        <v>0</v>
      </c>
      <c r="S789" s="1">
        <f>IF(NOT(Paths!$C$78=1),0,IF(Paths!$P$78="Complete",IF(C789=0,0,Paths!$S$78*Paths!$R$78),"n.a."))</f>
        <v>0</v>
      </c>
      <c r="T789" s="1">
        <f>IF(NOT(Paths!$C$78=1),0,IF(Paths!$P$78="Complete",IF(C789=0,0,VLOOKUP(A789,'Fleet register'!$A$7:$S$106,9,FALSE)*Paths!$R$78),"n.a."))</f>
        <v>0</v>
      </c>
    </row>
    <row r="790" spans="1:20" ht="24" customHeight="1">
      <c r="A790" s="1" t="str">
        <f>Paths!$A$78</f>
        <v>T018</v>
      </c>
      <c r="B790" s="1">
        <f>Paths!$B$78</f>
        <v>3</v>
      </c>
      <c r="C790" s="1">
        <v>2</v>
      </c>
      <c r="D790" s="1">
        <v>78</v>
      </c>
      <c r="E790" s="1">
        <f>IF(OR(Paths!$C$78=0,C790=0),0,MAX(0,MIN(C790*12,Paths!$E$78)-(C790-1)*12))</f>
        <v>0</v>
      </c>
      <c r="F790" s="1">
        <f>IF(OR(Paths!$C$78=0,C790=0),0,12-E790)</f>
        <v>0</v>
      </c>
      <c r="G790" s="16">
        <f>IF(NOT(Paths!$C$78=1),0,IF(Paths!$P$78="Complete",E790/12*(Paths!$J$78*(1+'Operating costs'!$B$51)^MAX(0,C790-1)+Paths!$K$78*(1+'Operating costs'!$B$53)^MAX(0,C790-1)),"n.a."))</f>
        <v>0</v>
      </c>
      <c r="H790" s="16">
        <f>IF(NOT(Paths!$C$78=1),0,IF(Paths!$P$78="Complete",F790/12*(Paths!$L$78*(1+IF(Paths!$D$78="EV",'Operating costs'!$B$52,'Operating costs'!$B$51))^MAX(0,C790-1)+Paths!$M$78*(1+'Operating costs'!$B$53)^MAX(0,C790-1)),"n.a."))</f>
        <v>0</v>
      </c>
      <c r="I790" s="16">
        <f>IF(NOT(Paths!$C$78=1),0,IF(Paths!$P$78="Complete",IF(IF(Paths!$E$78=0,C790=0,AND(C790&gt;0,Paths!$E$78&gt;(C790-1)*12,Paths!$E$78&lt;=C790*12)),Paths!$G$78,0),"n.a."))</f>
        <v>0</v>
      </c>
      <c r="J790" s="16">
        <f>IF(NOT(Paths!$C$78=1),0,IF(Paths!$P$78="Complete",IF(IF(Paths!$E$78=0,C790=0,AND(C790&gt;0,Paths!$E$78&gt;(C790-1)*12,Paths!$E$78&lt;=C790*12)),Paths!$H$78,0),"n.a."))</f>
        <v>0</v>
      </c>
      <c r="K790" s="16">
        <f>IF(NOT(Paths!$C$78=1),0,IF(Paths!$P$78="Complete",IF(IF(Paths!$O$78=0,C790=0,AND(C790&gt;0,Paths!$O$78&gt;(C790-1)*12,Paths!$O$78&lt;=C790*12)),Paths!$N$78,0),"n.a."))</f>
        <v>0</v>
      </c>
      <c r="L790" s="16">
        <f>IF(NOT(Paths!$C$78=1),0,IF(Paths!$P$78="Complete",IF(C790=10,Paths!$I$78,0),"n.a."))</f>
        <v>0</v>
      </c>
      <c r="M790" s="16">
        <f>IF(NOT(Paths!$C$78=1),0,IF(Paths!$P$78="Complete",IF(AND(Paths!$D$78="EV",Paths!$E$78&lt;120,Paths!$E$78+'Operating costs'!$B$65&gt;Paths!$E$78,Paths!$E$78+'Operating costs'!$B$65&lt;=120,IF(Paths!$E$78+'Operating costs'!$B$65=0,C790=0,AND(C790&gt;0,Paths!$E$78+'Operating costs'!$B$65&gt;(C790-1)*12,Paths!$E$78+'Operating costs'!$B$65&lt;=C790*12))),'Operating costs'!$B$64,0)+IF(AND('Operating costs'!$B$67&gt;0,'Operating costs'!$B$67&lt;=120,OR(Paths!$D$78="ICE",'Operating costs'!$B$67&lt;=Paths!$E$78),IF('Operating costs'!$B$67=0,C790=0,AND(C790&gt;0,'Operating costs'!$B$67&gt;(C790-1)*12,'Operating costs'!$B$67&lt;=C790*12))),'Operating costs'!$B$66,0),"n.a."))</f>
        <v>0</v>
      </c>
      <c r="N790" s="16">
        <f>IF(NOT(Paths!$C$78=1),0,IF(Paths!$P$78="Complete",SUM(G790:I790)-J790-K790-L790+M790+IF(C790=0,Paths!$F$78,0)+IF(IF(Paths!$E$78=0,C790=0,AND(C790&gt;0,Paths!$E$78&gt;(C790-1)*12,Paths!$E$78&lt;=C790*12)),VLOOKUP(A790,'Fleet register'!$A$7:$S$106,16,FALSE),0),"n.a."))</f>
        <v>0</v>
      </c>
      <c r="O790" s="16">
        <f>IF(NOT(Paths!$C$78=1),0,IF(Paths!$P$78="Complete",N790-IF(C790=0,Paths!$F$78,0),"n.a."))</f>
        <v>0</v>
      </c>
      <c r="P790" s="16">
        <f>IF(NOT(Paths!$C$78=1),0,IF(Paths!$P$78="Complete",O790+L790,"n.a."))</f>
        <v>0</v>
      </c>
      <c r="Q790" s="16">
        <f>IF(NOT(Paths!$C$78=1),0,IF(Paths!$P$78="Complete",N790*(1+'Operating costs'!$B$54)^-C790,"n.a."))</f>
        <v>0</v>
      </c>
      <c r="R790" s="16">
        <f>IF(NOT(Paths!$C$78=1),0,IF(Paths!$P$78="Complete",IF(AND(C790=0,Paths!$E$78=0),I790-J790-K790+VLOOKUP(A790,'Fleet register'!$A$7:$S$106,15,FALSE)+VLOOKUP(A790,'Fleet register'!$A$7:$S$106,16,FALSE),0),"n.a."))</f>
        <v>0</v>
      </c>
      <c r="S790" s="1">
        <f>IF(NOT(Paths!$C$78=1),0,IF(Paths!$P$78="Complete",IF(C790=0,0,Paths!$S$78*Paths!$R$78),"n.a."))</f>
        <v>0</v>
      </c>
      <c r="T790" s="1">
        <f>IF(NOT(Paths!$C$78=1),0,IF(Paths!$P$78="Complete",IF(C790=0,0,VLOOKUP(A790,'Fleet register'!$A$7:$S$106,9,FALSE)*Paths!$R$78),"n.a."))</f>
        <v>0</v>
      </c>
    </row>
    <row r="791" spans="1:20" ht="24" customHeight="1">
      <c r="A791" s="1" t="str">
        <f>Paths!$A$78</f>
        <v>T018</v>
      </c>
      <c r="B791" s="1">
        <f>Paths!$B$78</f>
        <v>3</v>
      </c>
      <c r="C791" s="1">
        <v>3</v>
      </c>
      <c r="D791" s="1">
        <v>78</v>
      </c>
      <c r="E791" s="1">
        <f>IF(OR(Paths!$C$78=0,C791=0),0,MAX(0,MIN(C791*12,Paths!$E$78)-(C791-1)*12))</f>
        <v>0</v>
      </c>
      <c r="F791" s="1">
        <f>IF(OR(Paths!$C$78=0,C791=0),0,12-E791)</f>
        <v>0</v>
      </c>
      <c r="G791" s="16">
        <f>IF(NOT(Paths!$C$78=1),0,IF(Paths!$P$78="Complete",E791/12*(Paths!$J$78*(1+'Operating costs'!$B$51)^MAX(0,C791-1)+Paths!$K$78*(1+'Operating costs'!$B$53)^MAX(0,C791-1)),"n.a."))</f>
        <v>0</v>
      </c>
      <c r="H791" s="16">
        <f>IF(NOT(Paths!$C$78=1),0,IF(Paths!$P$78="Complete",F791/12*(Paths!$L$78*(1+IF(Paths!$D$78="EV",'Operating costs'!$B$52,'Operating costs'!$B$51))^MAX(0,C791-1)+Paths!$M$78*(1+'Operating costs'!$B$53)^MAX(0,C791-1)),"n.a."))</f>
        <v>0</v>
      </c>
      <c r="I791" s="16">
        <f>IF(NOT(Paths!$C$78=1),0,IF(Paths!$P$78="Complete",IF(IF(Paths!$E$78=0,C791=0,AND(C791&gt;0,Paths!$E$78&gt;(C791-1)*12,Paths!$E$78&lt;=C791*12)),Paths!$G$78,0),"n.a."))</f>
        <v>0</v>
      </c>
      <c r="J791" s="16">
        <f>IF(NOT(Paths!$C$78=1),0,IF(Paths!$P$78="Complete",IF(IF(Paths!$E$78=0,C791=0,AND(C791&gt;0,Paths!$E$78&gt;(C791-1)*12,Paths!$E$78&lt;=C791*12)),Paths!$H$78,0),"n.a."))</f>
        <v>0</v>
      </c>
      <c r="K791" s="16">
        <f>IF(NOT(Paths!$C$78=1),0,IF(Paths!$P$78="Complete",IF(IF(Paths!$O$78=0,C791=0,AND(C791&gt;0,Paths!$O$78&gt;(C791-1)*12,Paths!$O$78&lt;=C791*12)),Paths!$N$78,0),"n.a."))</f>
        <v>0</v>
      </c>
      <c r="L791" s="16">
        <f>IF(NOT(Paths!$C$78=1),0,IF(Paths!$P$78="Complete",IF(C791=10,Paths!$I$78,0),"n.a."))</f>
        <v>0</v>
      </c>
      <c r="M791" s="16">
        <f>IF(NOT(Paths!$C$78=1),0,IF(Paths!$P$78="Complete",IF(AND(Paths!$D$78="EV",Paths!$E$78&lt;120,Paths!$E$78+'Operating costs'!$B$65&gt;Paths!$E$78,Paths!$E$78+'Operating costs'!$B$65&lt;=120,IF(Paths!$E$78+'Operating costs'!$B$65=0,C791=0,AND(C791&gt;0,Paths!$E$78+'Operating costs'!$B$65&gt;(C791-1)*12,Paths!$E$78+'Operating costs'!$B$65&lt;=C791*12))),'Operating costs'!$B$64,0)+IF(AND('Operating costs'!$B$67&gt;0,'Operating costs'!$B$67&lt;=120,OR(Paths!$D$78="ICE",'Operating costs'!$B$67&lt;=Paths!$E$78),IF('Operating costs'!$B$67=0,C791=0,AND(C791&gt;0,'Operating costs'!$B$67&gt;(C791-1)*12,'Operating costs'!$B$67&lt;=C791*12))),'Operating costs'!$B$66,0),"n.a."))</f>
        <v>0</v>
      </c>
      <c r="N791" s="16">
        <f>IF(NOT(Paths!$C$78=1),0,IF(Paths!$P$78="Complete",SUM(G791:I791)-J791-K791-L791+M791+IF(C791=0,Paths!$F$78,0)+IF(IF(Paths!$E$78=0,C791=0,AND(C791&gt;0,Paths!$E$78&gt;(C791-1)*12,Paths!$E$78&lt;=C791*12)),VLOOKUP(A791,'Fleet register'!$A$7:$S$106,16,FALSE),0),"n.a."))</f>
        <v>0</v>
      </c>
      <c r="O791" s="16">
        <f>IF(NOT(Paths!$C$78=1),0,IF(Paths!$P$78="Complete",N791-IF(C791=0,Paths!$F$78,0),"n.a."))</f>
        <v>0</v>
      </c>
      <c r="P791" s="16">
        <f>IF(NOT(Paths!$C$78=1),0,IF(Paths!$P$78="Complete",O791+L791,"n.a."))</f>
        <v>0</v>
      </c>
      <c r="Q791" s="16">
        <f>IF(NOT(Paths!$C$78=1),0,IF(Paths!$P$78="Complete",N791*(1+'Operating costs'!$B$54)^-C791,"n.a."))</f>
        <v>0</v>
      </c>
      <c r="R791" s="16">
        <f>IF(NOT(Paths!$C$78=1),0,IF(Paths!$P$78="Complete",IF(AND(C791=0,Paths!$E$78=0),I791-J791-K791+VLOOKUP(A791,'Fleet register'!$A$7:$S$106,15,FALSE)+VLOOKUP(A791,'Fleet register'!$A$7:$S$106,16,FALSE),0),"n.a."))</f>
        <v>0</v>
      </c>
      <c r="S791" s="1">
        <f>IF(NOT(Paths!$C$78=1),0,IF(Paths!$P$78="Complete",IF(C791=0,0,Paths!$S$78*Paths!$R$78),"n.a."))</f>
        <v>0</v>
      </c>
      <c r="T791" s="1">
        <f>IF(NOT(Paths!$C$78=1),0,IF(Paths!$P$78="Complete",IF(C791=0,0,VLOOKUP(A791,'Fleet register'!$A$7:$S$106,9,FALSE)*Paths!$R$78),"n.a."))</f>
        <v>0</v>
      </c>
    </row>
    <row r="792" spans="1:20" ht="24" customHeight="1">
      <c r="A792" s="1" t="str">
        <f>Paths!$A$78</f>
        <v>T018</v>
      </c>
      <c r="B792" s="1">
        <f>Paths!$B$78</f>
        <v>3</v>
      </c>
      <c r="C792" s="1">
        <v>4</v>
      </c>
      <c r="D792" s="1">
        <v>78</v>
      </c>
      <c r="E792" s="1">
        <f>IF(OR(Paths!$C$78=0,C792=0),0,MAX(0,MIN(C792*12,Paths!$E$78)-(C792-1)*12))</f>
        <v>0</v>
      </c>
      <c r="F792" s="1">
        <f>IF(OR(Paths!$C$78=0,C792=0),0,12-E792)</f>
        <v>0</v>
      </c>
      <c r="G792" s="16">
        <f>IF(NOT(Paths!$C$78=1),0,IF(Paths!$P$78="Complete",E792/12*(Paths!$J$78*(1+'Operating costs'!$B$51)^MAX(0,C792-1)+Paths!$K$78*(1+'Operating costs'!$B$53)^MAX(0,C792-1)),"n.a."))</f>
        <v>0</v>
      </c>
      <c r="H792" s="16">
        <f>IF(NOT(Paths!$C$78=1),0,IF(Paths!$P$78="Complete",F792/12*(Paths!$L$78*(1+IF(Paths!$D$78="EV",'Operating costs'!$B$52,'Operating costs'!$B$51))^MAX(0,C792-1)+Paths!$M$78*(1+'Operating costs'!$B$53)^MAX(0,C792-1)),"n.a."))</f>
        <v>0</v>
      </c>
      <c r="I792" s="16">
        <f>IF(NOT(Paths!$C$78=1),0,IF(Paths!$P$78="Complete",IF(IF(Paths!$E$78=0,C792=0,AND(C792&gt;0,Paths!$E$78&gt;(C792-1)*12,Paths!$E$78&lt;=C792*12)),Paths!$G$78,0),"n.a."))</f>
        <v>0</v>
      </c>
      <c r="J792" s="16">
        <f>IF(NOT(Paths!$C$78=1),0,IF(Paths!$P$78="Complete",IF(IF(Paths!$E$78=0,C792=0,AND(C792&gt;0,Paths!$E$78&gt;(C792-1)*12,Paths!$E$78&lt;=C792*12)),Paths!$H$78,0),"n.a."))</f>
        <v>0</v>
      </c>
      <c r="K792" s="16">
        <f>IF(NOT(Paths!$C$78=1),0,IF(Paths!$P$78="Complete",IF(IF(Paths!$O$78=0,C792=0,AND(C792&gt;0,Paths!$O$78&gt;(C792-1)*12,Paths!$O$78&lt;=C792*12)),Paths!$N$78,0),"n.a."))</f>
        <v>0</v>
      </c>
      <c r="L792" s="16">
        <f>IF(NOT(Paths!$C$78=1),0,IF(Paths!$P$78="Complete",IF(C792=10,Paths!$I$78,0),"n.a."))</f>
        <v>0</v>
      </c>
      <c r="M792" s="16">
        <f>IF(NOT(Paths!$C$78=1),0,IF(Paths!$P$78="Complete",IF(AND(Paths!$D$78="EV",Paths!$E$78&lt;120,Paths!$E$78+'Operating costs'!$B$65&gt;Paths!$E$78,Paths!$E$78+'Operating costs'!$B$65&lt;=120,IF(Paths!$E$78+'Operating costs'!$B$65=0,C792=0,AND(C792&gt;0,Paths!$E$78+'Operating costs'!$B$65&gt;(C792-1)*12,Paths!$E$78+'Operating costs'!$B$65&lt;=C792*12))),'Operating costs'!$B$64,0)+IF(AND('Operating costs'!$B$67&gt;0,'Operating costs'!$B$67&lt;=120,OR(Paths!$D$78="ICE",'Operating costs'!$B$67&lt;=Paths!$E$78),IF('Operating costs'!$B$67=0,C792=0,AND(C792&gt;0,'Operating costs'!$B$67&gt;(C792-1)*12,'Operating costs'!$B$67&lt;=C792*12))),'Operating costs'!$B$66,0),"n.a."))</f>
        <v>0</v>
      </c>
      <c r="N792" s="16">
        <f>IF(NOT(Paths!$C$78=1),0,IF(Paths!$P$78="Complete",SUM(G792:I792)-J792-K792-L792+M792+IF(C792=0,Paths!$F$78,0)+IF(IF(Paths!$E$78=0,C792=0,AND(C792&gt;0,Paths!$E$78&gt;(C792-1)*12,Paths!$E$78&lt;=C792*12)),VLOOKUP(A792,'Fleet register'!$A$7:$S$106,16,FALSE),0),"n.a."))</f>
        <v>0</v>
      </c>
      <c r="O792" s="16">
        <f>IF(NOT(Paths!$C$78=1),0,IF(Paths!$P$78="Complete",N792-IF(C792=0,Paths!$F$78,0),"n.a."))</f>
        <v>0</v>
      </c>
      <c r="P792" s="16">
        <f>IF(NOT(Paths!$C$78=1),0,IF(Paths!$P$78="Complete",O792+L792,"n.a."))</f>
        <v>0</v>
      </c>
      <c r="Q792" s="16">
        <f>IF(NOT(Paths!$C$78=1),0,IF(Paths!$P$78="Complete",N792*(1+'Operating costs'!$B$54)^-C792,"n.a."))</f>
        <v>0</v>
      </c>
      <c r="R792" s="16">
        <f>IF(NOT(Paths!$C$78=1),0,IF(Paths!$P$78="Complete",IF(AND(C792=0,Paths!$E$78=0),I792-J792-K792+VLOOKUP(A792,'Fleet register'!$A$7:$S$106,15,FALSE)+VLOOKUP(A792,'Fleet register'!$A$7:$S$106,16,FALSE),0),"n.a."))</f>
        <v>0</v>
      </c>
      <c r="S792" s="1">
        <f>IF(NOT(Paths!$C$78=1),0,IF(Paths!$P$78="Complete",IF(C792=0,0,Paths!$S$78*Paths!$R$78),"n.a."))</f>
        <v>0</v>
      </c>
      <c r="T792" s="1">
        <f>IF(NOT(Paths!$C$78=1),0,IF(Paths!$P$78="Complete",IF(C792=0,0,VLOOKUP(A792,'Fleet register'!$A$7:$S$106,9,FALSE)*Paths!$R$78),"n.a."))</f>
        <v>0</v>
      </c>
    </row>
    <row r="793" spans="1:20" ht="24" customHeight="1">
      <c r="A793" s="1" t="str">
        <f>Paths!$A$78</f>
        <v>T018</v>
      </c>
      <c r="B793" s="1">
        <f>Paths!$B$78</f>
        <v>3</v>
      </c>
      <c r="C793" s="1">
        <v>5</v>
      </c>
      <c r="D793" s="1">
        <v>78</v>
      </c>
      <c r="E793" s="1">
        <f>IF(OR(Paths!$C$78=0,C793=0),0,MAX(0,MIN(C793*12,Paths!$E$78)-(C793-1)*12))</f>
        <v>0</v>
      </c>
      <c r="F793" s="1">
        <f>IF(OR(Paths!$C$78=0,C793=0),0,12-E793)</f>
        <v>0</v>
      </c>
      <c r="G793" s="16">
        <f>IF(NOT(Paths!$C$78=1),0,IF(Paths!$P$78="Complete",E793/12*(Paths!$J$78*(1+'Operating costs'!$B$51)^MAX(0,C793-1)+Paths!$K$78*(1+'Operating costs'!$B$53)^MAX(0,C793-1)),"n.a."))</f>
        <v>0</v>
      </c>
      <c r="H793" s="16">
        <f>IF(NOT(Paths!$C$78=1),0,IF(Paths!$P$78="Complete",F793/12*(Paths!$L$78*(1+IF(Paths!$D$78="EV",'Operating costs'!$B$52,'Operating costs'!$B$51))^MAX(0,C793-1)+Paths!$M$78*(1+'Operating costs'!$B$53)^MAX(0,C793-1)),"n.a."))</f>
        <v>0</v>
      </c>
      <c r="I793" s="16">
        <f>IF(NOT(Paths!$C$78=1),0,IF(Paths!$P$78="Complete",IF(IF(Paths!$E$78=0,C793=0,AND(C793&gt;0,Paths!$E$78&gt;(C793-1)*12,Paths!$E$78&lt;=C793*12)),Paths!$G$78,0),"n.a."))</f>
        <v>0</v>
      </c>
      <c r="J793" s="16">
        <f>IF(NOT(Paths!$C$78=1),0,IF(Paths!$P$78="Complete",IF(IF(Paths!$E$78=0,C793=0,AND(C793&gt;0,Paths!$E$78&gt;(C793-1)*12,Paths!$E$78&lt;=C793*12)),Paths!$H$78,0),"n.a."))</f>
        <v>0</v>
      </c>
      <c r="K793" s="16">
        <f>IF(NOT(Paths!$C$78=1),0,IF(Paths!$P$78="Complete",IF(IF(Paths!$O$78=0,C793=0,AND(C793&gt;0,Paths!$O$78&gt;(C793-1)*12,Paths!$O$78&lt;=C793*12)),Paths!$N$78,0),"n.a."))</f>
        <v>0</v>
      </c>
      <c r="L793" s="16">
        <f>IF(NOT(Paths!$C$78=1),0,IF(Paths!$P$78="Complete",IF(C793=10,Paths!$I$78,0),"n.a."))</f>
        <v>0</v>
      </c>
      <c r="M793" s="16">
        <f>IF(NOT(Paths!$C$78=1),0,IF(Paths!$P$78="Complete",IF(AND(Paths!$D$78="EV",Paths!$E$78&lt;120,Paths!$E$78+'Operating costs'!$B$65&gt;Paths!$E$78,Paths!$E$78+'Operating costs'!$B$65&lt;=120,IF(Paths!$E$78+'Operating costs'!$B$65=0,C793=0,AND(C793&gt;0,Paths!$E$78+'Operating costs'!$B$65&gt;(C793-1)*12,Paths!$E$78+'Operating costs'!$B$65&lt;=C793*12))),'Operating costs'!$B$64,0)+IF(AND('Operating costs'!$B$67&gt;0,'Operating costs'!$B$67&lt;=120,OR(Paths!$D$78="ICE",'Operating costs'!$B$67&lt;=Paths!$E$78),IF('Operating costs'!$B$67=0,C793=0,AND(C793&gt;0,'Operating costs'!$B$67&gt;(C793-1)*12,'Operating costs'!$B$67&lt;=C793*12))),'Operating costs'!$B$66,0),"n.a."))</f>
        <v>0</v>
      </c>
      <c r="N793" s="16">
        <f>IF(NOT(Paths!$C$78=1),0,IF(Paths!$P$78="Complete",SUM(G793:I793)-J793-K793-L793+M793+IF(C793=0,Paths!$F$78,0)+IF(IF(Paths!$E$78=0,C793=0,AND(C793&gt;0,Paths!$E$78&gt;(C793-1)*12,Paths!$E$78&lt;=C793*12)),VLOOKUP(A793,'Fleet register'!$A$7:$S$106,16,FALSE),0),"n.a."))</f>
        <v>0</v>
      </c>
      <c r="O793" s="16">
        <f>IF(NOT(Paths!$C$78=1),0,IF(Paths!$P$78="Complete",N793-IF(C793=0,Paths!$F$78,0),"n.a."))</f>
        <v>0</v>
      </c>
      <c r="P793" s="16">
        <f>IF(NOT(Paths!$C$78=1),0,IF(Paths!$P$78="Complete",O793+L793,"n.a."))</f>
        <v>0</v>
      </c>
      <c r="Q793" s="16">
        <f>IF(NOT(Paths!$C$78=1),0,IF(Paths!$P$78="Complete",N793*(1+'Operating costs'!$B$54)^-C793,"n.a."))</f>
        <v>0</v>
      </c>
      <c r="R793" s="16">
        <f>IF(NOT(Paths!$C$78=1),0,IF(Paths!$P$78="Complete",IF(AND(C793=0,Paths!$E$78=0),I793-J793-K793+VLOOKUP(A793,'Fleet register'!$A$7:$S$106,15,FALSE)+VLOOKUP(A793,'Fleet register'!$A$7:$S$106,16,FALSE),0),"n.a."))</f>
        <v>0</v>
      </c>
      <c r="S793" s="1">
        <f>IF(NOT(Paths!$C$78=1),0,IF(Paths!$P$78="Complete",IF(C793=0,0,Paths!$S$78*Paths!$R$78),"n.a."))</f>
        <v>0</v>
      </c>
      <c r="T793" s="1">
        <f>IF(NOT(Paths!$C$78=1),0,IF(Paths!$P$78="Complete",IF(C793=0,0,VLOOKUP(A793,'Fleet register'!$A$7:$S$106,9,FALSE)*Paths!$R$78),"n.a."))</f>
        <v>0</v>
      </c>
    </row>
    <row r="794" spans="1:20" ht="24" customHeight="1">
      <c r="A794" s="1" t="str">
        <f>Paths!$A$78</f>
        <v>T018</v>
      </c>
      <c r="B794" s="1">
        <f>Paths!$B$78</f>
        <v>3</v>
      </c>
      <c r="C794" s="1">
        <v>6</v>
      </c>
      <c r="D794" s="1">
        <v>78</v>
      </c>
      <c r="E794" s="1">
        <f>IF(OR(Paths!$C$78=0,C794=0),0,MAX(0,MIN(C794*12,Paths!$E$78)-(C794-1)*12))</f>
        <v>0</v>
      </c>
      <c r="F794" s="1">
        <f>IF(OR(Paths!$C$78=0,C794=0),0,12-E794)</f>
        <v>0</v>
      </c>
      <c r="G794" s="16">
        <f>IF(NOT(Paths!$C$78=1),0,IF(Paths!$P$78="Complete",E794/12*(Paths!$J$78*(1+'Operating costs'!$B$51)^MAX(0,C794-1)+Paths!$K$78*(1+'Operating costs'!$B$53)^MAX(0,C794-1)),"n.a."))</f>
        <v>0</v>
      </c>
      <c r="H794" s="16">
        <f>IF(NOT(Paths!$C$78=1),0,IF(Paths!$P$78="Complete",F794/12*(Paths!$L$78*(1+IF(Paths!$D$78="EV",'Operating costs'!$B$52,'Operating costs'!$B$51))^MAX(0,C794-1)+Paths!$M$78*(1+'Operating costs'!$B$53)^MAX(0,C794-1)),"n.a."))</f>
        <v>0</v>
      </c>
      <c r="I794" s="16">
        <f>IF(NOT(Paths!$C$78=1),0,IF(Paths!$P$78="Complete",IF(IF(Paths!$E$78=0,C794=0,AND(C794&gt;0,Paths!$E$78&gt;(C794-1)*12,Paths!$E$78&lt;=C794*12)),Paths!$G$78,0),"n.a."))</f>
        <v>0</v>
      </c>
      <c r="J794" s="16">
        <f>IF(NOT(Paths!$C$78=1),0,IF(Paths!$P$78="Complete",IF(IF(Paths!$E$78=0,C794=0,AND(C794&gt;0,Paths!$E$78&gt;(C794-1)*12,Paths!$E$78&lt;=C794*12)),Paths!$H$78,0),"n.a."))</f>
        <v>0</v>
      </c>
      <c r="K794" s="16">
        <f>IF(NOT(Paths!$C$78=1),0,IF(Paths!$P$78="Complete",IF(IF(Paths!$O$78=0,C794=0,AND(C794&gt;0,Paths!$O$78&gt;(C794-1)*12,Paths!$O$78&lt;=C794*12)),Paths!$N$78,0),"n.a."))</f>
        <v>0</v>
      </c>
      <c r="L794" s="16">
        <f>IF(NOT(Paths!$C$78=1),0,IF(Paths!$P$78="Complete",IF(C794=10,Paths!$I$78,0),"n.a."))</f>
        <v>0</v>
      </c>
      <c r="M794" s="16">
        <f>IF(NOT(Paths!$C$78=1),0,IF(Paths!$P$78="Complete",IF(AND(Paths!$D$78="EV",Paths!$E$78&lt;120,Paths!$E$78+'Operating costs'!$B$65&gt;Paths!$E$78,Paths!$E$78+'Operating costs'!$B$65&lt;=120,IF(Paths!$E$78+'Operating costs'!$B$65=0,C794=0,AND(C794&gt;0,Paths!$E$78+'Operating costs'!$B$65&gt;(C794-1)*12,Paths!$E$78+'Operating costs'!$B$65&lt;=C794*12))),'Operating costs'!$B$64,0)+IF(AND('Operating costs'!$B$67&gt;0,'Operating costs'!$B$67&lt;=120,OR(Paths!$D$78="ICE",'Operating costs'!$B$67&lt;=Paths!$E$78),IF('Operating costs'!$B$67=0,C794=0,AND(C794&gt;0,'Operating costs'!$B$67&gt;(C794-1)*12,'Operating costs'!$B$67&lt;=C794*12))),'Operating costs'!$B$66,0),"n.a."))</f>
        <v>0</v>
      </c>
      <c r="N794" s="16">
        <f>IF(NOT(Paths!$C$78=1),0,IF(Paths!$P$78="Complete",SUM(G794:I794)-J794-K794-L794+M794+IF(C794=0,Paths!$F$78,0)+IF(IF(Paths!$E$78=0,C794=0,AND(C794&gt;0,Paths!$E$78&gt;(C794-1)*12,Paths!$E$78&lt;=C794*12)),VLOOKUP(A794,'Fleet register'!$A$7:$S$106,16,FALSE),0),"n.a."))</f>
        <v>0</v>
      </c>
      <c r="O794" s="16">
        <f>IF(NOT(Paths!$C$78=1),0,IF(Paths!$P$78="Complete",N794-IF(C794=0,Paths!$F$78,0),"n.a."))</f>
        <v>0</v>
      </c>
      <c r="P794" s="16">
        <f>IF(NOT(Paths!$C$78=1),0,IF(Paths!$P$78="Complete",O794+L794,"n.a."))</f>
        <v>0</v>
      </c>
      <c r="Q794" s="16">
        <f>IF(NOT(Paths!$C$78=1),0,IF(Paths!$P$78="Complete",N794*(1+'Operating costs'!$B$54)^-C794,"n.a."))</f>
        <v>0</v>
      </c>
      <c r="R794" s="16">
        <f>IF(NOT(Paths!$C$78=1),0,IF(Paths!$P$78="Complete",IF(AND(C794=0,Paths!$E$78=0),I794-J794-K794+VLOOKUP(A794,'Fleet register'!$A$7:$S$106,15,FALSE)+VLOOKUP(A794,'Fleet register'!$A$7:$S$106,16,FALSE),0),"n.a."))</f>
        <v>0</v>
      </c>
      <c r="S794" s="1">
        <f>IF(NOT(Paths!$C$78=1),0,IF(Paths!$P$78="Complete",IF(C794=0,0,Paths!$S$78*Paths!$R$78),"n.a."))</f>
        <v>0</v>
      </c>
      <c r="T794" s="1">
        <f>IF(NOT(Paths!$C$78=1),0,IF(Paths!$P$78="Complete",IF(C794=0,0,VLOOKUP(A794,'Fleet register'!$A$7:$S$106,9,FALSE)*Paths!$R$78),"n.a."))</f>
        <v>0</v>
      </c>
    </row>
    <row r="795" spans="1:20" ht="24" customHeight="1">
      <c r="A795" s="1" t="str">
        <f>Paths!$A$78</f>
        <v>T018</v>
      </c>
      <c r="B795" s="1">
        <f>Paths!$B$78</f>
        <v>3</v>
      </c>
      <c r="C795" s="1">
        <v>7</v>
      </c>
      <c r="D795" s="1">
        <v>78</v>
      </c>
      <c r="E795" s="1">
        <f>IF(OR(Paths!$C$78=0,C795=0),0,MAX(0,MIN(C795*12,Paths!$E$78)-(C795-1)*12))</f>
        <v>0</v>
      </c>
      <c r="F795" s="1">
        <f>IF(OR(Paths!$C$78=0,C795=0),0,12-E795)</f>
        <v>0</v>
      </c>
      <c r="G795" s="16">
        <f>IF(NOT(Paths!$C$78=1),0,IF(Paths!$P$78="Complete",E795/12*(Paths!$J$78*(1+'Operating costs'!$B$51)^MAX(0,C795-1)+Paths!$K$78*(1+'Operating costs'!$B$53)^MAX(0,C795-1)),"n.a."))</f>
        <v>0</v>
      </c>
      <c r="H795" s="16">
        <f>IF(NOT(Paths!$C$78=1),0,IF(Paths!$P$78="Complete",F795/12*(Paths!$L$78*(1+IF(Paths!$D$78="EV",'Operating costs'!$B$52,'Operating costs'!$B$51))^MAX(0,C795-1)+Paths!$M$78*(1+'Operating costs'!$B$53)^MAX(0,C795-1)),"n.a."))</f>
        <v>0</v>
      </c>
      <c r="I795" s="16">
        <f>IF(NOT(Paths!$C$78=1),0,IF(Paths!$P$78="Complete",IF(IF(Paths!$E$78=0,C795=0,AND(C795&gt;0,Paths!$E$78&gt;(C795-1)*12,Paths!$E$78&lt;=C795*12)),Paths!$G$78,0),"n.a."))</f>
        <v>0</v>
      </c>
      <c r="J795" s="16">
        <f>IF(NOT(Paths!$C$78=1),0,IF(Paths!$P$78="Complete",IF(IF(Paths!$E$78=0,C795=0,AND(C795&gt;0,Paths!$E$78&gt;(C795-1)*12,Paths!$E$78&lt;=C795*12)),Paths!$H$78,0),"n.a."))</f>
        <v>0</v>
      </c>
      <c r="K795" s="16">
        <f>IF(NOT(Paths!$C$78=1),0,IF(Paths!$P$78="Complete",IF(IF(Paths!$O$78=0,C795=0,AND(C795&gt;0,Paths!$O$78&gt;(C795-1)*12,Paths!$O$78&lt;=C795*12)),Paths!$N$78,0),"n.a."))</f>
        <v>0</v>
      </c>
      <c r="L795" s="16">
        <f>IF(NOT(Paths!$C$78=1),0,IF(Paths!$P$78="Complete",IF(C795=10,Paths!$I$78,0),"n.a."))</f>
        <v>0</v>
      </c>
      <c r="M795" s="16">
        <f>IF(NOT(Paths!$C$78=1),0,IF(Paths!$P$78="Complete",IF(AND(Paths!$D$78="EV",Paths!$E$78&lt;120,Paths!$E$78+'Operating costs'!$B$65&gt;Paths!$E$78,Paths!$E$78+'Operating costs'!$B$65&lt;=120,IF(Paths!$E$78+'Operating costs'!$B$65=0,C795=0,AND(C795&gt;0,Paths!$E$78+'Operating costs'!$B$65&gt;(C795-1)*12,Paths!$E$78+'Operating costs'!$B$65&lt;=C795*12))),'Operating costs'!$B$64,0)+IF(AND('Operating costs'!$B$67&gt;0,'Operating costs'!$B$67&lt;=120,OR(Paths!$D$78="ICE",'Operating costs'!$B$67&lt;=Paths!$E$78),IF('Operating costs'!$B$67=0,C795=0,AND(C795&gt;0,'Operating costs'!$B$67&gt;(C795-1)*12,'Operating costs'!$B$67&lt;=C795*12))),'Operating costs'!$B$66,0),"n.a."))</f>
        <v>0</v>
      </c>
      <c r="N795" s="16">
        <f>IF(NOT(Paths!$C$78=1),0,IF(Paths!$P$78="Complete",SUM(G795:I795)-J795-K795-L795+M795+IF(C795=0,Paths!$F$78,0)+IF(IF(Paths!$E$78=0,C795=0,AND(C795&gt;0,Paths!$E$78&gt;(C795-1)*12,Paths!$E$78&lt;=C795*12)),VLOOKUP(A795,'Fleet register'!$A$7:$S$106,16,FALSE),0),"n.a."))</f>
        <v>0</v>
      </c>
      <c r="O795" s="16">
        <f>IF(NOT(Paths!$C$78=1),0,IF(Paths!$P$78="Complete",N795-IF(C795=0,Paths!$F$78,0),"n.a."))</f>
        <v>0</v>
      </c>
      <c r="P795" s="16">
        <f>IF(NOT(Paths!$C$78=1),0,IF(Paths!$P$78="Complete",O795+L795,"n.a."))</f>
        <v>0</v>
      </c>
      <c r="Q795" s="16">
        <f>IF(NOT(Paths!$C$78=1),0,IF(Paths!$P$78="Complete",N795*(1+'Operating costs'!$B$54)^-C795,"n.a."))</f>
        <v>0</v>
      </c>
      <c r="R795" s="16">
        <f>IF(NOT(Paths!$C$78=1),0,IF(Paths!$P$78="Complete",IF(AND(C795=0,Paths!$E$78=0),I795-J795-K795+VLOOKUP(A795,'Fleet register'!$A$7:$S$106,15,FALSE)+VLOOKUP(A795,'Fleet register'!$A$7:$S$106,16,FALSE),0),"n.a."))</f>
        <v>0</v>
      </c>
      <c r="S795" s="1">
        <f>IF(NOT(Paths!$C$78=1),0,IF(Paths!$P$78="Complete",IF(C795=0,0,Paths!$S$78*Paths!$R$78),"n.a."))</f>
        <v>0</v>
      </c>
      <c r="T795" s="1">
        <f>IF(NOT(Paths!$C$78=1),0,IF(Paths!$P$78="Complete",IF(C795=0,0,VLOOKUP(A795,'Fleet register'!$A$7:$S$106,9,FALSE)*Paths!$R$78),"n.a."))</f>
        <v>0</v>
      </c>
    </row>
    <row r="796" spans="1:20" ht="24" customHeight="1">
      <c r="A796" s="1" t="str">
        <f>Paths!$A$78</f>
        <v>T018</v>
      </c>
      <c r="B796" s="1">
        <f>Paths!$B$78</f>
        <v>3</v>
      </c>
      <c r="C796" s="1">
        <v>8</v>
      </c>
      <c r="D796" s="1">
        <v>78</v>
      </c>
      <c r="E796" s="1">
        <f>IF(OR(Paths!$C$78=0,C796=0),0,MAX(0,MIN(C796*12,Paths!$E$78)-(C796-1)*12))</f>
        <v>0</v>
      </c>
      <c r="F796" s="1">
        <f>IF(OR(Paths!$C$78=0,C796=0),0,12-E796)</f>
        <v>0</v>
      </c>
      <c r="G796" s="16">
        <f>IF(NOT(Paths!$C$78=1),0,IF(Paths!$P$78="Complete",E796/12*(Paths!$J$78*(1+'Operating costs'!$B$51)^MAX(0,C796-1)+Paths!$K$78*(1+'Operating costs'!$B$53)^MAX(0,C796-1)),"n.a."))</f>
        <v>0</v>
      </c>
      <c r="H796" s="16">
        <f>IF(NOT(Paths!$C$78=1),0,IF(Paths!$P$78="Complete",F796/12*(Paths!$L$78*(1+IF(Paths!$D$78="EV",'Operating costs'!$B$52,'Operating costs'!$B$51))^MAX(0,C796-1)+Paths!$M$78*(1+'Operating costs'!$B$53)^MAX(0,C796-1)),"n.a."))</f>
        <v>0</v>
      </c>
      <c r="I796" s="16">
        <f>IF(NOT(Paths!$C$78=1),0,IF(Paths!$P$78="Complete",IF(IF(Paths!$E$78=0,C796=0,AND(C796&gt;0,Paths!$E$78&gt;(C796-1)*12,Paths!$E$78&lt;=C796*12)),Paths!$G$78,0),"n.a."))</f>
        <v>0</v>
      </c>
      <c r="J796" s="16">
        <f>IF(NOT(Paths!$C$78=1),0,IF(Paths!$P$78="Complete",IF(IF(Paths!$E$78=0,C796=0,AND(C796&gt;0,Paths!$E$78&gt;(C796-1)*12,Paths!$E$78&lt;=C796*12)),Paths!$H$78,0),"n.a."))</f>
        <v>0</v>
      </c>
      <c r="K796" s="16">
        <f>IF(NOT(Paths!$C$78=1),0,IF(Paths!$P$78="Complete",IF(IF(Paths!$O$78=0,C796=0,AND(C796&gt;0,Paths!$O$78&gt;(C796-1)*12,Paths!$O$78&lt;=C796*12)),Paths!$N$78,0),"n.a."))</f>
        <v>0</v>
      </c>
      <c r="L796" s="16">
        <f>IF(NOT(Paths!$C$78=1),0,IF(Paths!$P$78="Complete",IF(C796=10,Paths!$I$78,0),"n.a."))</f>
        <v>0</v>
      </c>
      <c r="M796" s="16">
        <f>IF(NOT(Paths!$C$78=1),0,IF(Paths!$P$78="Complete",IF(AND(Paths!$D$78="EV",Paths!$E$78&lt;120,Paths!$E$78+'Operating costs'!$B$65&gt;Paths!$E$78,Paths!$E$78+'Operating costs'!$B$65&lt;=120,IF(Paths!$E$78+'Operating costs'!$B$65=0,C796=0,AND(C796&gt;0,Paths!$E$78+'Operating costs'!$B$65&gt;(C796-1)*12,Paths!$E$78+'Operating costs'!$B$65&lt;=C796*12))),'Operating costs'!$B$64,0)+IF(AND('Operating costs'!$B$67&gt;0,'Operating costs'!$B$67&lt;=120,OR(Paths!$D$78="ICE",'Operating costs'!$B$67&lt;=Paths!$E$78),IF('Operating costs'!$B$67=0,C796=0,AND(C796&gt;0,'Operating costs'!$B$67&gt;(C796-1)*12,'Operating costs'!$B$67&lt;=C796*12))),'Operating costs'!$B$66,0),"n.a."))</f>
        <v>0</v>
      </c>
      <c r="N796" s="16">
        <f>IF(NOT(Paths!$C$78=1),0,IF(Paths!$P$78="Complete",SUM(G796:I796)-J796-K796-L796+M796+IF(C796=0,Paths!$F$78,0)+IF(IF(Paths!$E$78=0,C796=0,AND(C796&gt;0,Paths!$E$78&gt;(C796-1)*12,Paths!$E$78&lt;=C796*12)),VLOOKUP(A796,'Fleet register'!$A$7:$S$106,16,FALSE),0),"n.a."))</f>
        <v>0</v>
      </c>
      <c r="O796" s="16">
        <f>IF(NOT(Paths!$C$78=1),0,IF(Paths!$P$78="Complete",N796-IF(C796=0,Paths!$F$78,0),"n.a."))</f>
        <v>0</v>
      </c>
      <c r="P796" s="16">
        <f>IF(NOT(Paths!$C$78=1),0,IF(Paths!$P$78="Complete",O796+L796,"n.a."))</f>
        <v>0</v>
      </c>
      <c r="Q796" s="16">
        <f>IF(NOT(Paths!$C$78=1),0,IF(Paths!$P$78="Complete",N796*(1+'Operating costs'!$B$54)^-C796,"n.a."))</f>
        <v>0</v>
      </c>
      <c r="R796" s="16">
        <f>IF(NOT(Paths!$C$78=1),0,IF(Paths!$P$78="Complete",IF(AND(C796=0,Paths!$E$78=0),I796-J796-K796+VLOOKUP(A796,'Fleet register'!$A$7:$S$106,15,FALSE)+VLOOKUP(A796,'Fleet register'!$A$7:$S$106,16,FALSE),0),"n.a."))</f>
        <v>0</v>
      </c>
      <c r="S796" s="1">
        <f>IF(NOT(Paths!$C$78=1),0,IF(Paths!$P$78="Complete",IF(C796=0,0,Paths!$S$78*Paths!$R$78),"n.a."))</f>
        <v>0</v>
      </c>
      <c r="T796" s="1">
        <f>IF(NOT(Paths!$C$78=1),0,IF(Paths!$P$78="Complete",IF(C796=0,0,VLOOKUP(A796,'Fleet register'!$A$7:$S$106,9,FALSE)*Paths!$R$78),"n.a."))</f>
        <v>0</v>
      </c>
    </row>
    <row r="797" spans="1:20" ht="24" customHeight="1">
      <c r="A797" s="1" t="str">
        <f>Paths!$A$78</f>
        <v>T018</v>
      </c>
      <c r="B797" s="1">
        <f>Paths!$B$78</f>
        <v>3</v>
      </c>
      <c r="C797" s="1">
        <v>9</v>
      </c>
      <c r="D797" s="1">
        <v>78</v>
      </c>
      <c r="E797" s="1">
        <f>IF(OR(Paths!$C$78=0,C797=0),0,MAX(0,MIN(C797*12,Paths!$E$78)-(C797-1)*12))</f>
        <v>0</v>
      </c>
      <c r="F797" s="1">
        <f>IF(OR(Paths!$C$78=0,C797=0),0,12-E797)</f>
        <v>0</v>
      </c>
      <c r="G797" s="16">
        <f>IF(NOT(Paths!$C$78=1),0,IF(Paths!$P$78="Complete",E797/12*(Paths!$J$78*(1+'Operating costs'!$B$51)^MAX(0,C797-1)+Paths!$K$78*(1+'Operating costs'!$B$53)^MAX(0,C797-1)),"n.a."))</f>
        <v>0</v>
      </c>
      <c r="H797" s="16">
        <f>IF(NOT(Paths!$C$78=1),0,IF(Paths!$P$78="Complete",F797/12*(Paths!$L$78*(1+IF(Paths!$D$78="EV",'Operating costs'!$B$52,'Operating costs'!$B$51))^MAX(0,C797-1)+Paths!$M$78*(1+'Operating costs'!$B$53)^MAX(0,C797-1)),"n.a."))</f>
        <v>0</v>
      </c>
      <c r="I797" s="16">
        <f>IF(NOT(Paths!$C$78=1),0,IF(Paths!$P$78="Complete",IF(IF(Paths!$E$78=0,C797=0,AND(C797&gt;0,Paths!$E$78&gt;(C797-1)*12,Paths!$E$78&lt;=C797*12)),Paths!$G$78,0),"n.a."))</f>
        <v>0</v>
      </c>
      <c r="J797" s="16">
        <f>IF(NOT(Paths!$C$78=1),0,IF(Paths!$P$78="Complete",IF(IF(Paths!$E$78=0,C797=0,AND(C797&gt;0,Paths!$E$78&gt;(C797-1)*12,Paths!$E$78&lt;=C797*12)),Paths!$H$78,0),"n.a."))</f>
        <v>0</v>
      </c>
      <c r="K797" s="16">
        <f>IF(NOT(Paths!$C$78=1),0,IF(Paths!$P$78="Complete",IF(IF(Paths!$O$78=0,C797=0,AND(C797&gt;0,Paths!$O$78&gt;(C797-1)*12,Paths!$O$78&lt;=C797*12)),Paths!$N$78,0),"n.a."))</f>
        <v>0</v>
      </c>
      <c r="L797" s="16">
        <f>IF(NOT(Paths!$C$78=1),0,IF(Paths!$P$78="Complete",IF(C797=10,Paths!$I$78,0),"n.a."))</f>
        <v>0</v>
      </c>
      <c r="M797" s="16">
        <f>IF(NOT(Paths!$C$78=1),0,IF(Paths!$P$78="Complete",IF(AND(Paths!$D$78="EV",Paths!$E$78&lt;120,Paths!$E$78+'Operating costs'!$B$65&gt;Paths!$E$78,Paths!$E$78+'Operating costs'!$B$65&lt;=120,IF(Paths!$E$78+'Operating costs'!$B$65=0,C797=0,AND(C797&gt;0,Paths!$E$78+'Operating costs'!$B$65&gt;(C797-1)*12,Paths!$E$78+'Operating costs'!$B$65&lt;=C797*12))),'Operating costs'!$B$64,0)+IF(AND('Operating costs'!$B$67&gt;0,'Operating costs'!$B$67&lt;=120,OR(Paths!$D$78="ICE",'Operating costs'!$B$67&lt;=Paths!$E$78),IF('Operating costs'!$B$67=0,C797=0,AND(C797&gt;0,'Operating costs'!$B$67&gt;(C797-1)*12,'Operating costs'!$B$67&lt;=C797*12))),'Operating costs'!$B$66,0),"n.a."))</f>
        <v>0</v>
      </c>
      <c r="N797" s="16">
        <f>IF(NOT(Paths!$C$78=1),0,IF(Paths!$P$78="Complete",SUM(G797:I797)-J797-K797-L797+M797+IF(C797=0,Paths!$F$78,0)+IF(IF(Paths!$E$78=0,C797=0,AND(C797&gt;0,Paths!$E$78&gt;(C797-1)*12,Paths!$E$78&lt;=C797*12)),VLOOKUP(A797,'Fleet register'!$A$7:$S$106,16,FALSE),0),"n.a."))</f>
        <v>0</v>
      </c>
      <c r="O797" s="16">
        <f>IF(NOT(Paths!$C$78=1),0,IF(Paths!$P$78="Complete",N797-IF(C797=0,Paths!$F$78,0),"n.a."))</f>
        <v>0</v>
      </c>
      <c r="P797" s="16">
        <f>IF(NOT(Paths!$C$78=1),0,IF(Paths!$P$78="Complete",O797+L797,"n.a."))</f>
        <v>0</v>
      </c>
      <c r="Q797" s="16">
        <f>IF(NOT(Paths!$C$78=1),0,IF(Paths!$P$78="Complete",N797*(1+'Operating costs'!$B$54)^-C797,"n.a."))</f>
        <v>0</v>
      </c>
      <c r="R797" s="16">
        <f>IF(NOT(Paths!$C$78=1),0,IF(Paths!$P$78="Complete",IF(AND(C797=0,Paths!$E$78=0),I797-J797-K797+VLOOKUP(A797,'Fleet register'!$A$7:$S$106,15,FALSE)+VLOOKUP(A797,'Fleet register'!$A$7:$S$106,16,FALSE),0),"n.a."))</f>
        <v>0</v>
      </c>
      <c r="S797" s="1">
        <f>IF(NOT(Paths!$C$78=1),0,IF(Paths!$P$78="Complete",IF(C797=0,0,Paths!$S$78*Paths!$R$78),"n.a."))</f>
        <v>0</v>
      </c>
      <c r="T797" s="1">
        <f>IF(NOT(Paths!$C$78=1),0,IF(Paths!$P$78="Complete",IF(C797=0,0,VLOOKUP(A797,'Fleet register'!$A$7:$S$106,9,FALSE)*Paths!$R$78),"n.a."))</f>
        <v>0</v>
      </c>
    </row>
    <row r="798" spans="1:20" ht="24" customHeight="1">
      <c r="A798" s="1" t="str">
        <f>Paths!$A$78</f>
        <v>T018</v>
      </c>
      <c r="B798" s="1">
        <f>Paths!$B$78</f>
        <v>3</v>
      </c>
      <c r="C798" s="1">
        <v>10</v>
      </c>
      <c r="D798" s="1">
        <v>78</v>
      </c>
      <c r="E798" s="1">
        <f>IF(OR(Paths!$C$78=0,C798=0),0,MAX(0,MIN(C798*12,Paths!$E$78)-(C798-1)*12))</f>
        <v>0</v>
      </c>
      <c r="F798" s="1">
        <f>IF(OR(Paths!$C$78=0,C798=0),0,12-E798)</f>
        <v>0</v>
      </c>
      <c r="G798" s="16">
        <f>IF(NOT(Paths!$C$78=1),0,IF(Paths!$P$78="Complete",E798/12*(Paths!$J$78*(1+'Operating costs'!$B$51)^MAX(0,C798-1)+Paths!$K$78*(1+'Operating costs'!$B$53)^MAX(0,C798-1)),"n.a."))</f>
        <v>0</v>
      </c>
      <c r="H798" s="16">
        <f>IF(NOT(Paths!$C$78=1),0,IF(Paths!$P$78="Complete",F798/12*(Paths!$L$78*(1+IF(Paths!$D$78="EV",'Operating costs'!$B$52,'Operating costs'!$B$51))^MAX(0,C798-1)+Paths!$M$78*(1+'Operating costs'!$B$53)^MAX(0,C798-1)),"n.a."))</f>
        <v>0</v>
      </c>
      <c r="I798" s="16">
        <f>IF(NOT(Paths!$C$78=1),0,IF(Paths!$P$78="Complete",IF(IF(Paths!$E$78=0,C798=0,AND(C798&gt;0,Paths!$E$78&gt;(C798-1)*12,Paths!$E$78&lt;=C798*12)),Paths!$G$78,0),"n.a."))</f>
        <v>0</v>
      </c>
      <c r="J798" s="16">
        <f>IF(NOT(Paths!$C$78=1),0,IF(Paths!$P$78="Complete",IF(IF(Paths!$E$78=0,C798=0,AND(C798&gt;0,Paths!$E$78&gt;(C798-1)*12,Paths!$E$78&lt;=C798*12)),Paths!$H$78,0),"n.a."))</f>
        <v>0</v>
      </c>
      <c r="K798" s="16">
        <f>IF(NOT(Paths!$C$78=1),0,IF(Paths!$P$78="Complete",IF(IF(Paths!$O$78=0,C798=0,AND(C798&gt;0,Paths!$O$78&gt;(C798-1)*12,Paths!$O$78&lt;=C798*12)),Paths!$N$78,0),"n.a."))</f>
        <v>0</v>
      </c>
      <c r="L798" s="16">
        <f>IF(NOT(Paths!$C$78=1),0,IF(Paths!$P$78="Complete",IF(C798=10,Paths!$I$78,0),"n.a."))</f>
        <v>0</v>
      </c>
      <c r="M798" s="16">
        <f>IF(NOT(Paths!$C$78=1),0,IF(Paths!$P$78="Complete",IF(AND(Paths!$D$78="EV",Paths!$E$78&lt;120,Paths!$E$78+'Operating costs'!$B$65&gt;Paths!$E$78,Paths!$E$78+'Operating costs'!$B$65&lt;=120,IF(Paths!$E$78+'Operating costs'!$B$65=0,C798=0,AND(C798&gt;0,Paths!$E$78+'Operating costs'!$B$65&gt;(C798-1)*12,Paths!$E$78+'Operating costs'!$B$65&lt;=C798*12))),'Operating costs'!$B$64,0)+IF(AND('Operating costs'!$B$67&gt;0,'Operating costs'!$B$67&lt;=120,OR(Paths!$D$78="ICE",'Operating costs'!$B$67&lt;=Paths!$E$78),IF('Operating costs'!$B$67=0,C798=0,AND(C798&gt;0,'Operating costs'!$B$67&gt;(C798-1)*12,'Operating costs'!$B$67&lt;=C798*12))),'Operating costs'!$B$66,0),"n.a."))</f>
        <v>0</v>
      </c>
      <c r="N798" s="16">
        <f>IF(NOT(Paths!$C$78=1),0,IF(Paths!$P$78="Complete",SUM(G798:I798)-J798-K798-L798+M798+IF(C798=0,Paths!$F$78,0)+IF(IF(Paths!$E$78=0,C798=0,AND(C798&gt;0,Paths!$E$78&gt;(C798-1)*12,Paths!$E$78&lt;=C798*12)),VLOOKUP(A798,'Fleet register'!$A$7:$S$106,16,FALSE),0),"n.a."))</f>
        <v>0</v>
      </c>
      <c r="O798" s="16">
        <f>IF(NOT(Paths!$C$78=1),0,IF(Paths!$P$78="Complete",N798-IF(C798=0,Paths!$F$78,0),"n.a."))</f>
        <v>0</v>
      </c>
      <c r="P798" s="16">
        <f>IF(NOT(Paths!$C$78=1),0,IF(Paths!$P$78="Complete",O798+L798,"n.a."))</f>
        <v>0</v>
      </c>
      <c r="Q798" s="16">
        <f>IF(NOT(Paths!$C$78=1),0,IF(Paths!$P$78="Complete",N798*(1+'Operating costs'!$B$54)^-C798,"n.a."))</f>
        <v>0</v>
      </c>
      <c r="R798" s="16">
        <f>IF(NOT(Paths!$C$78=1),0,IF(Paths!$P$78="Complete",IF(AND(C798=0,Paths!$E$78=0),I798-J798-K798+VLOOKUP(A798,'Fleet register'!$A$7:$S$106,15,FALSE)+VLOOKUP(A798,'Fleet register'!$A$7:$S$106,16,FALSE),0),"n.a."))</f>
        <v>0</v>
      </c>
      <c r="S798" s="1">
        <f>IF(NOT(Paths!$C$78=1),0,IF(Paths!$P$78="Complete",IF(C798=0,0,Paths!$S$78*Paths!$R$78),"n.a."))</f>
        <v>0</v>
      </c>
      <c r="T798" s="1">
        <f>IF(NOT(Paths!$C$78=1),0,IF(Paths!$P$78="Complete",IF(C798=0,0,VLOOKUP(A798,'Fleet register'!$A$7:$S$106,9,FALSE)*Paths!$R$78),"n.a."))</f>
        <v>0</v>
      </c>
    </row>
    <row r="799" spans="1:20" ht="24" customHeight="1">
      <c r="A799" s="1" t="str">
        <f>Paths!$A$79</f>
        <v>T019</v>
      </c>
      <c r="B799" s="1">
        <f>Paths!$B$79</f>
        <v>0</v>
      </c>
      <c r="C799" s="1">
        <v>0</v>
      </c>
      <c r="D799" s="1">
        <v>79</v>
      </c>
      <c r="E799" s="1">
        <f>IF(OR(Paths!$C$79=0,C799=0),0,MAX(0,MIN(C799*12,Paths!$E$79)-(C799-1)*12))</f>
        <v>0</v>
      </c>
      <c r="F799" s="1">
        <f>IF(OR(Paths!$C$79=0,C799=0),0,12-E799)</f>
        <v>0</v>
      </c>
      <c r="G799" s="16">
        <f>IF(NOT(Paths!$C$79=1),0,IF(Paths!$P$79="Complete",E799/12*(Paths!$J$79*(1+'Operating costs'!$B$51)^MAX(0,C799-1)+Paths!$K$79*(1+'Operating costs'!$B$53)^MAX(0,C799-1)),"n.a."))</f>
        <v>0</v>
      </c>
      <c r="H799" s="16">
        <f>IF(NOT(Paths!$C$79=1),0,IF(Paths!$P$79="Complete",F799/12*(Paths!$L$79*(1+IF(Paths!$D$79="EV",'Operating costs'!$B$52,'Operating costs'!$B$51))^MAX(0,C799-1)+Paths!$M$79*(1+'Operating costs'!$B$53)^MAX(0,C799-1)),"n.a."))</f>
        <v>0</v>
      </c>
      <c r="I799" s="16">
        <f>IF(NOT(Paths!$C$79=1),0,IF(Paths!$P$79="Complete",IF(IF(Paths!$E$79=0,C799=0,AND(C799&gt;0,Paths!$E$79&gt;(C799-1)*12,Paths!$E$79&lt;=C799*12)),Paths!$G$79,0),"n.a."))</f>
        <v>0</v>
      </c>
      <c r="J799" s="16">
        <f>IF(NOT(Paths!$C$79=1),0,IF(Paths!$P$79="Complete",IF(IF(Paths!$E$79=0,C799=0,AND(C799&gt;0,Paths!$E$79&gt;(C799-1)*12,Paths!$E$79&lt;=C799*12)),Paths!$H$79,0),"n.a."))</f>
        <v>0</v>
      </c>
      <c r="K799" s="16">
        <f>IF(NOT(Paths!$C$79=1),0,IF(Paths!$P$79="Complete",IF(IF(Paths!$O$79=0,C799=0,AND(C799&gt;0,Paths!$O$79&gt;(C799-1)*12,Paths!$O$79&lt;=C799*12)),Paths!$N$79,0),"n.a."))</f>
        <v>0</v>
      </c>
      <c r="L799" s="16">
        <f>IF(NOT(Paths!$C$79=1),0,IF(Paths!$P$79="Complete",IF(C799=10,Paths!$I$79,0),"n.a."))</f>
        <v>0</v>
      </c>
      <c r="M799" s="16">
        <f>IF(NOT(Paths!$C$79=1),0,IF(Paths!$P$79="Complete",IF(AND(Paths!$D$79="EV",Paths!$E$79&lt;120,Paths!$E$79+'Operating costs'!$B$65&gt;Paths!$E$79,Paths!$E$79+'Operating costs'!$B$65&lt;=120,IF(Paths!$E$79+'Operating costs'!$B$65=0,C799=0,AND(C799&gt;0,Paths!$E$79+'Operating costs'!$B$65&gt;(C799-1)*12,Paths!$E$79+'Operating costs'!$B$65&lt;=C799*12))),'Operating costs'!$B$64,0)+IF(AND('Operating costs'!$B$67&gt;0,'Operating costs'!$B$67&lt;=120,OR(Paths!$D$79="ICE",'Operating costs'!$B$67&lt;=Paths!$E$79),IF('Operating costs'!$B$67=0,C799=0,AND(C799&gt;0,'Operating costs'!$B$67&gt;(C799-1)*12,'Operating costs'!$B$67&lt;=C799*12))),'Operating costs'!$B$66,0),"n.a."))</f>
        <v>0</v>
      </c>
      <c r="N799" s="16">
        <f>IF(NOT(Paths!$C$79=1),0,IF(Paths!$P$79="Complete",SUM(G799:I799)-J799-K799-L799+M799+IF(C799=0,Paths!$F$79,0)+IF(IF(Paths!$E$79=0,C799=0,AND(C799&gt;0,Paths!$E$79&gt;(C799-1)*12,Paths!$E$79&lt;=C799*12)),VLOOKUP(A799,'Fleet register'!$A$7:$S$106,16,FALSE),0),"n.a."))</f>
        <v>0</v>
      </c>
      <c r="O799" s="16">
        <f>IF(NOT(Paths!$C$79=1),0,IF(Paths!$P$79="Complete",N799-IF(C799=0,Paths!$F$79,0),"n.a."))</f>
        <v>0</v>
      </c>
      <c r="P799" s="16">
        <f>IF(NOT(Paths!$C$79=1),0,IF(Paths!$P$79="Complete",O799+L799,"n.a."))</f>
        <v>0</v>
      </c>
      <c r="Q799" s="16">
        <f>IF(NOT(Paths!$C$79=1),0,IF(Paths!$P$79="Complete",N799*(1+'Operating costs'!$B$54)^-C799,"n.a."))</f>
        <v>0</v>
      </c>
      <c r="R799" s="16">
        <f>IF(NOT(Paths!$C$79=1),0,IF(Paths!$P$79="Complete",IF(AND(C799=0,Paths!$E$79=0),I799-J799-K799+VLOOKUP(A799,'Fleet register'!$A$7:$S$106,15,FALSE)+VLOOKUP(A799,'Fleet register'!$A$7:$S$106,16,FALSE),0),"n.a."))</f>
        <v>0</v>
      </c>
      <c r="S799" s="1">
        <f>IF(NOT(Paths!$C$79=1),0,IF(Paths!$P$79="Complete",IF(C799=0,0,Paths!$S$79*Paths!$R$79),"n.a."))</f>
        <v>0</v>
      </c>
      <c r="T799" s="1">
        <f>IF(NOT(Paths!$C$79=1),0,IF(Paths!$P$79="Complete",IF(C799=0,0,VLOOKUP(A799,'Fleet register'!$A$7:$S$106,9,FALSE)*Paths!$R$79),"n.a."))</f>
        <v>0</v>
      </c>
    </row>
    <row r="800" spans="1:20" ht="24" customHeight="1">
      <c r="A800" s="1" t="str">
        <f>Paths!$A$79</f>
        <v>T019</v>
      </c>
      <c r="B800" s="1">
        <f>Paths!$B$79</f>
        <v>0</v>
      </c>
      <c r="C800" s="1">
        <v>1</v>
      </c>
      <c r="D800" s="1">
        <v>79</v>
      </c>
      <c r="E800" s="1">
        <f>IF(OR(Paths!$C$79=0,C800=0),0,MAX(0,MIN(C800*12,Paths!$E$79)-(C800-1)*12))</f>
        <v>0</v>
      </c>
      <c r="F800" s="1">
        <f>IF(OR(Paths!$C$79=0,C800=0),0,12-E800)</f>
        <v>0</v>
      </c>
      <c r="G800" s="16">
        <f>IF(NOT(Paths!$C$79=1),0,IF(Paths!$P$79="Complete",E800/12*(Paths!$J$79*(1+'Operating costs'!$B$51)^MAX(0,C800-1)+Paths!$K$79*(1+'Operating costs'!$B$53)^MAX(0,C800-1)),"n.a."))</f>
        <v>0</v>
      </c>
      <c r="H800" s="16">
        <f>IF(NOT(Paths!$C$79=1),0,IF(Paths!$P$79="Complete",F800/12*(Paths!$L$79*(1+IF(Paths!$D$79="EV",'Operating costs'!$B$52,'Operating costs'!$B$51))^MAX(0,C800-1)+Paths!$M$79*(1+'Operating costs'!$B$53)^MAX(0,C800-1)),"n.a."))</f>
        <v>0</v>
      </c>
      <c r="I800" s="16">
        <f>IF(NOT(Paths!$C$79=1),0,IF(Paths!$P$79="Complete",IF(IF(Paths!$E$79=0,C800=0,AND(C800&gt;0,Paths!$E$79&gt;(C800-1)*12,Paths!$E$79&lt;=C800*12)),Paths!$G$79,0),"n.a."))</f>
        <v>0</v>
      </c>
      <c r="J800" s="16">
        <f>IF(NOT(Paths!$C$79=1),0,IF(Paths!$P$79="Complete",IF(IF(Paths!$E$79=0,C800=0,AND(C800&gt;0,Paths!$E$79&gt;(C800-1)*12,Paths!$E$79&lt;=C800*12)),Paths!$H$79,0),"n.a."))</f>
        <v>0</v>
      </c>
      <c r="K800" s="16">
        <f>IF(NOT(Paths!$C$79=1),0,IF(Paths!$P$79="Complete",IF(IF(Paths!$O$79=0,C800=0,AND(C800&gt;0,Paths!$O$79&gt;(C800-1)*12,Paths!$O$79&lt;=C800*12)),Paths!$N$79,0),"n.a."))</f>
        <v>0</v>
      </c>
      <c r="L800" s="16">
        <f>IF(NOT(Paths!$C$79=1),0,IF(Paths!$P$79="Complete",IF(C800=10,Paths!$I$79,0),"n.a."))</f>
        <v>0</v>
      </c>
      <c r="M800" s="16">
        <f>IF(NOT(Paths!$C$79=1),0,IF(Paths!$P$79="Complete",IF(AND(Paths!$D$79="EV",Paths!$E$79&lt;120,Paths!$E$79+'Operating costs'!$B$65&gt;Paths!$E$79,Paths!$E$79+'Operating costs'!$B$65&lt;=120,IF(Paths!$E$79+'Operating costs'!$B$65=0,C800=0,AND(C800&gt;0,Paths!$E$79+'Operating costs'!$B$65&gt;(C800-1)*12,Paths!$E$79+'Operating costs'!$B$65&lt;=C800*12))),'Operating costs'!$B$64,0)+IF(AND('Operating costs'!$B$67&gt;0,'Operating costs'!$B$67&lt;=120,OR(Paths!$D$79="ICE",'Operating costs'!$B$67&lt;=Paths!$E$79),IF('Operating costs'!$B$67=0,C800=0,AND(C800&gt;0,'Operating costs'!$B$67&gt;(C800-1)*12,'Operating costs'!$B$67&lt;=C800*12))),'Operating costs'!$B$66,0),"n.a."))</f>
        <v>0</v>
      </c>
      <c r="N800" s="16">
        <f>IF(NOT(Paths!$C$79=1),0,IF(Paths!$P$79="Complete",SUM(G800:I800)-J800-K800-L800+M800+IF(C800=0,Paths!$F$79,0)+IF(IF(Paths!$E$79=0,C800=0,AND(C800&gt;0,Paths!$E$79&gt;(C800-1)*12,Paths!$E$79&lt;=C800*12)),VLOOKUP(A800,'Fleet register'!$A$7:$S$106,16,FALSE),0),"n.a."))</f>
        <v>0</v>
      </c>
      <c r="O800" s="16">
        <f>IF(NOT(Paths!$C$79=1),0,IF(Paths!$P$79="Complete",N800-IF(C800=0,Paths!$F$79,0),"n.a."))</f>
        <v>0</v>
      </c>
      <c r="P800" s="16">
        <f>IF(NOT(Paths!$C$79=1),0,IF(Paths!$P$79="Complete",O800+L800,"n.a."))</f>
        <v>0</v>
      </c>
      <c r="Q800" s="16">
        <f>IF(NOT(Paths!$C$79=1),0,IF(Paths!$P$79="Complete",N800*(1+'Operating costs'!$B$54)^-C800,"n.a."))</f>
        <v>0</v>
      </c>
      <c r="R800" s="16">
        <f>IF(NOT(Paths!$C$79=1),0,IF(Paths!$P$79="Complete",IF(AND(C800=0,Paths!$E$79=0),I800-J800-K800+VLOOKUP(A800,'Fleet register'!$A$7:$S$106,15,FALSE)+VLOOKUP(A800,'Fleet register'!$A$7:$S$106,16,FALSE),0),"n.a."))</f>
        <v>0</v>
      </c>
      <c r="S800" s="1">
        <f>IF(NOT(Paths!$C$79=1),0,IF(Paths!$P$79="Complete",IF(C800=0,0,Paths!$S$79*Paths!$R$79),"n.a."))</f>
        <v>0</v>
      </c>
      <c r="T800" s="1">
        <f>IF(NOT(Paths!$C$79=1),0,IF(Paths!$P$79="Complete",IF(C800=0,0,VLOOKUP(A800,'Fleet register'!$A$7:$S$106,9,FALSE)*Paths!$R$79),"n.a."))</f>
        <v>0</v>
      </c>
    </row>
    <row r="801" spans="1:20" ht="24" customHeight="1">
      <c r="A801" s="1" t="str">
        <f>Paths!$A$79</f>
        <v>T019</v>
      </c>
      <c r="B801" s="1">
        <f>Paths!$B$79</f>
        <v>0</v>
      </c>
      <c r="C801" s="1">
        <v>2</v>
      </c>
      <c r="D801" s="1">
        <v>79</v>
      </c>
      <c r="E801" s="1">
        <f>IF(OR(Paths!$C$79=0,C801=0),0,MAX(0,MIN(C801*12,Paths!$E$79)-(C801-1)*12))</f>
        <v>0</v>
      </c>
      <c r="F801" s="1">
        <f>IF(OR(Paths!$C$79=0,C801=0),0,12-E801)</f>
        <v>0</v>
      </c>
      <c r="G801" s="16">
        <f>IF(NOT(Paths!$C$79=1),0,IF(Paths!$P$79="Complete",E801/12*(Paths!$J$79*(1+'Operating costs'!$B$51)^MAX(0,C801-1)+Paths!$K$79*(1+'Operating costs'!$B$53)^MAX(0,C801-1)),"n.a."))</f>
        <v>0</v>
      </c>
      <c r="H801" s="16">
        <f>IF(NOT(Paths!$C$79=1),0,IF(Paths!$P$79="Complete",F801/12*(Paths!$L$79*(1+IF(Paths!$D$79="EV",'Operating costs'!$B$52,'Operating costs'!$B$51))^MAX(0,C801-1)+Paths!$M$79*(1+'Operating costs'!$B$53)^MAX(0,C801-1)),"n.a."))</f>
        <v>0</v>
      </c>
      <c r="I801" s="16">
        <f>IF(NOT(Paths!$C$79=1),0,IF(Paths!$P$79="Complete",IF(IF(Paths!$E$79=0,C801=0,AND(C801&gt;0,Paths!$E$79&gt;(C801-1)*12,Paths!$E$79&lt;=C801*12)),Paths!$G$79,0),"n.a."))</f>
        <v>0</v>
      </c>
      <c r="J801" s="16">
        <f>IF(NOT(Paths!$C$79=1),0,IF(Paths!$P$79="Complete",IF(IF(Paths!$E$79=0,C801=0,AND(C801&gt;0,Paths!$E$79&gt;(C801-1)*12,Paths!$E$79&lt;=C801*12)),Paths!$H$79,0),"n.a."))</f>
        <v>0</v>
      </c>
      <c r="K801" s="16">
        <f>IF(NOT(Paths!$C$79=1),0,IF(Paths!$P$79="Complete",IF(IF(Paths!$O$79=0,C801=0,AND(C801&gt;0,Paths!$O$79&gt;(C801-1)*12,Paths!$O$79&lt;=C801*12)),Paths!$N$79,0),"n.a."))</f>
        <v>0</v>
      </c>
      <c r="L801" s="16">
        <f>IF(NOT(Paths!$C$79=1),0,IF(Paths!$P$79="Complete",IF(C801=10,Paths!$I$79,0),"n.a."))</f>
        <v>0</v>
      </c>
      <c r="M801" s="16">
        <f>IF(NOT(Paths!$C$79=1),0,IF(Paths!$P$79="Complete",IF(AND(Paths!$D$79="EV",Paths!$E$79&lt;120,Paths!$E$79+'Operating costs'!$B$65&gt;Paths!$E$79,Paths!$E$79+'Operating costs'!$B$65&lt;=120,IF(Paths!$E$79+'Operating costs'!$B$65=0,C801=0,AND(C801&gt;0,Paths!$E$79+'Operating costs'!$B$65&gt;(C801-1)*12,Paths!$E$79+'Operating costs'!$B$65&lt;=C801*12))),'Operating costs'!$B$64,0)+IF(AND('Operating costs'!$B$67&gt;0,'Operating costs'!$B$67&lt;=120,OR(Paths!$D$79="ICE",'Operating costs'!$B$67&lt;=Paths!$E$79),IF('Operating costs'!$B$67=0,C801=0,AND(C801&gt;0,'Operating costs'!$B$67&gt;(C801-1)*12,'Operating costs'!$B$67&lt;=C801*12))),'Operating costs'!$B$66,0),"n.a."))</f>
        <v>0</v>
      </c>
      <c r="N801" s="16">
        <f>IF(NOT(Paths!$C$79=1),0,IF(Paths!$P$79="Complete",SUM(G801:I801)-J801-K801-L801+M801+IF(C801=0,Paths!$F$79,0)+IF(IF(Paths!$E$79=0,C801=0,AND(C801&gt;0,Paths!$E$79&gt;(C801-1)*12,Paths!$E$79&lt;=C801*12)),VLOOKUP(A801,'Fleet register'!$A$7:$S$106,16,FALSE),0),"n.a."))</f>
        <v>0</v>
      </c>
      <c r="O801" s="16">
        <f>IF(NOT(Paths!$C$79=1),0,IF(Paths!$P$79="Complete",N801-IF(C801=0,Paths!$F$79,0),"n.a."))</f>
        <v>0</v>
      </c>
      <c r="P801" s="16">
        <f>IF(NOT(Paths!$C$79=1),0,IF(Paths!$P$79="Complete",O801+L801,"n.a."))</f>
        <v>0</v>
      </c>
      <c r="Q801" s="16">
        <f>IF(NOT(Paths!$C$79=1),0,IF(Paths!$P$79="Complete",N801*(1+'Operating costs'!$B$54)^-C801,"n.a."))</f>
        <v>0</v>
      </c>
      <c r="R801" s="16">
        <f>IF(NOT(Paths!$C$79=1),0,IF(Paths!$P$79="Complete",IF(AND(C801=0,Paths!$E$79=0),I801-J801-K801+VLOOKUP(A801,'Fleet register'!$A$7:$S$106,15,FALSE)+VLOOKUP(A801,'Fleet register'!$A$7:$S$106,16,FALSE),0),"n.a."))</f>
        <v>0</v>
      </c>
      <c r="S801" s="1">
        <f>IF(NOT(Paths!$C$79=1),0,IF(Paths!$P$79="Complete",IF(C801=0,0,Paths!$S$79*Paths!$R$79),"n.a."))</f>
        <v>0</v>
      </c>
      <c r="T801" s="1">
        <f>IF(NOT(Paths!$C$79=1),0,IF(Paths!$P$79="Complete",IF(C801=0,0,VLOOKUP(A801,'Fleet register'!$A$7:$S$106,9,FALSE)*Paths!$R$79),"n.a."))</f>
        <v>0</v>
      </c>
    </row>
    <row r="802" spans="1:20" ht="24" customHeight="1">
      <c r="A802" s="1" t="str">
        <f>Paths!$A$79</f>
        <v>T019</v>
      </c>
      <c r="B802" s="1">
        <f>Paths!$B$79</f>
        <v>0</v>
      </c>
      <c r="C802" s="1">
        <v>3</v>
      </c>
      <c r="D802" s="1">
        <v>79</v>
      </c>
      <c r="E802" s="1">
        <f>IF(OR(Paths!$C$79=0,C802=0),0,MAX(0,MIN(C802*12,Paths!$E$79)-(C802-1)*12))</f>
        <v>0</v>
      </c>
      <c r="F802" s="1">
        <f>IF(OR(Paths!$C$79=0,C802=0),0,12-E802)</f>
        <v>0</v>
      </c>
      <c r="G802" s="16">
        <f>IF(NOT(Paths!$C$79=1),0,IF(Paths!$P$79="Complete",E802/12*(Paths!$J$79*(1+'Operating costs'!$B$51)^MAX(0,C802-1)+Paths!$K$79*(1+'Operating costs'!$B$53)^MAX(0,C802-1)),"n.a."))</f>
        <v>0</v>
      </c>
      <c r="H802" s="16">
        <f>IF(NOT(Paths!$C$79=1),0,IF(Paths!$P$79="Complete",F802/12*(Paths!$L$79*(1+IF(Paths!$D$79="EV",'Operating costs'!$B$52,'Operating costs'!$B$51))^MAX(0,C802-1)+Paths!$M$79*(1+'Operating costs'!$B$53)^MAX(0,C802-1)),"n.a."))</f>
        <v>0</v>
      </c>
      <c r="I802" s="16">
        <f>IF(NOT(Paths!$C$79=1),0,IF(Paths!$P$79="Complete",IF(IF(Paths!$E$79=0,C802=0,AND(C802&gt;0,Paths!$E$79&gt;(C802-1)*12,Paths!$E$79&lt;=C802*12)),Paths!$G$79,0),"n.a."))</f>
        <v>0</v>
      </c>
      <c r="J802" s="16">
        <f>IF(NOT(Paths!$C$79=1),0,IF(Paths!$P$79="Complete",IF(IF(Paths!$E$79=0,C802=0,AND(C802&gt;0,Paths!$E$79&gt;(C802-1)*12,Paths!$E$79&lt;=C802*12)),Paths!$H$79,0),"n.a."))</f>
        <v>0</v>
      </c>
      <c r="K802" s="16">
        <f>IF(NOT(Paths!$C$79=1),0,IF(Paths!$P$79="Complete",IF(IF(Paths!$O$79=0,C802=0,AND(C802&gt;0,Paths!$O$79&gt;(C802-1)*12,Paths!$O$79&lt;=C802*12)),Paths!$N$79,0),"n.a."))</f>
        <v>0</v>
      </c>
      <c r="L802" s="16">
        <f>IF(NOT(Paths!$C$79=1),0,IF(Paths!$P$79="Complete",IF(C802=10,Paths!$I$79,0),"n.a."))</f>
        <v>0</v>
      </c>
      <c r="M802" s="16">
        <f>IF(NOT(Paths!$C$79=1),0,IF(Paths!$P$79="Complete",IF(AND(Paths!$D$79="EV",Paths!$E$79&lt;120,Paths!$E$79+'Operating costs'!$B$65&gt;Paths!$E$79,Paths!$E$79+'Operating costs'!$B$65&lt;=120,IF(Paths!$E$79+'Operating costs'!$B$65=0,C802=0,AND(C802&gt;0,Paths!$E$79+'Operating costs'!$B$65&gt;(C802-1)*12,Paths!$E$79+'Operating costs'!$B$65&lt;=C802*12))),'Operating costs'!$B$64,0)+IF(AND('Operating costs'!$B$67&gt;0,'Operating costs'!$B$67&lt;=120,OR(Paths!$D$79="ICE",'Operating costs'!$B$67&lt;=Paths!$E$79),IF('Operating costs'!$B$67=0,C802=0,AND(C802&gt;0,'Operating costs'!$B$67&gt;(C802-1)*12,'Operating costs'!$B$67&lt;=C802*12))),'Operating costs'!$B$66,0),"n.a."))</f>
        <v>0</v>
      </c>
      <c r="N802" s="16">
        <f>IF(NOT(Paths!$C$79=1),0,IF(Paths!$P$79="Complete",SUM(G802:I802)-J802-K802-L802+M802+IF(C802=0,Paths!$F$79,0)+IF(IF(Paths!$E$79=0,C802=0,AND(C802&gt;0,Paths!$E$79&gt;(C802-1)*12,Paths!$E$79&lt;=C802*12)),VLOOKUP(A802,'Fleet register'!$A$7:$S$106,16,FALSE),0),"n.a."))</f>
        <v>0</v>
      </c>
      <c r="O802" s="16">
        <f>IF(NOT(Paths!$C$79=1),0,IF(Paths!$P$79="Complete",N802-IF(C802=0,Paths!$F$79,0),"n.a."))</f>
        <v>0</v>
      </c>
      <c r="P802" s="16">
        <f>IF(NOT(Paths!$C$79=1),0,IF(Paths!$P$79="Complete",O802+L802,"n.a."))</f>
        <v>0</v>
      </c>
      <c r="Q802" s="16">
        <f>IF(NOT(Paths!$C$79=1),0,IF(Paths!$P$79="Complete",N802*(1+'Operating costs'!$B$54)^-C802,"n.a."))</f>
        <v>0</v>
      </c>
      <c r="R802" s="16">
        <f>IF(NOT(Paths!$C$79=1),0,IF(Paths!$P$79="Complete",IF(AND(C802=0,Paths!$E$79=0),I802-J802-K802+VLOOKUP(A802,'Fleet register'!$A$7:$S$106,15,FALSE)+VLOOKUP(A802,'Fleet register'!$A$7:$S$106,16,FALSE),0),"n.a."))</f>
        <v>0</v>
      </c>
      <c r="S802" s="1">
        <f>IF(NOT(Paths!$C$79=1),0,IF(Paths!$P$79="Complete",IF(C802=0,0,Paths!$S$79*Paths!$R$79),"n.a."))</f>
        <v>0</v>
      </c>
      <c r="T802" s="1">
        <f>IF(NOT(Paths!$C$79=1),0,IF(Paths!$P$79="Complete",IF(C802=0,0,VLOOKUP(A802,'Fleet register'!$A$7:$S$106,9,FALSE)*Paths!$R$79),"n.a."))</f>
        <v>0</v>
      </c>
    </row>
    <row r="803" spans="1:20" ht="24" customHeight="1">
      <c r="A803" s="1" t="str">
        <f>Paths!$A$79</f>
        <v>T019</v>
      </c>
      <c r="B803" s="1">
        <f>Paths!$B$79</f>
        <v>0</v>
      </c>
      <c r="C803" s="1">
        <v>4</v>
      </c>
      <c r="D803" s="1">
        <v>79</v>
      </c>
      <c r="E803" s="1">
        <f>IF(OR(Paths!$C$79=0,C803=0),0,MAX(0,MIN(C803*12,Paths!$E$79)-(C803-1)*12))</f>
        <v>0</v>
      </c>
      <c r="F803" s="1">
        <f>IF(OR(Paths!$C$79=0,C803=0),0,12-E803)</f>
        <v>0</v>
      </c>
      <c r="G803" s="16">
        <f>IF(NOT(Paths!$C$79=1),0,IF(Paths!$P$79="Complete",E803/12*(Paths!$J$79*(1+'Operating costs'!$B$51)^MAX(0,C803-1)+Paths!$K$79*(1+'Operating costs'!$B$53)^MAX(0,C803-1)),"n.a."))</f>
        <v>0</v>
      </c>
      <c r="H803" s="16">
        <f>IF(NOT(Paths!$C$79=1),0,IF(Paths!$P$79="Complete",F803/12*(Paths!$L$79*(1+IF(Paths!$D$79="EV",'Operating costs'!$B$52,'Operating costs'!$B$51))^MAX(0,C803-1)+Paths!$M$79*(1+'Operating costs'!$B$53)^MAX(0,C803-1)),"n.a."))</f>
        <v>0</v>
      </c>
      <c r="I803" s="16">
        <f>IF(NOT(Paths!$C$79=1),0,IF(Paths!$P$79="Complete",IF(IF(Paths!$E$79=0,C803=0,AND(C803&gt;0,Paths!$E$79&gt;(C803-1)*12,Paths!$E$79&lt;=C803*12)),Paths!$G$79,0),"n.a."))</f>
        <v>0</v>
      </c>
      <c r="J803" s="16">
        <f>IF(NOT(Paths!$C$79=1),0,IF(Paths!$P$79="Complete",IF(IF(Paths!$E$79=0,C803=0,AND(C803&gt;0,Paths!$E$79&gt;(C803-1)*12,Paths!$E$79&lt;=C803*12)),Paths!$H$79,0),"n.a."))</f>
        <v>0</v>
      </c>
      <c r="K803" s="16">
        <f>IF(NOT(Paths!$C$79=1),0,IF(Paths!$P$79="Complete",IF(IF(Paths!$O$79=0,C803=0,AND(C803&gt;0,Paths!$O$79&gt;(C803-1)*12,Paths!$O$79&lt;=C803*12)),Paths!$N$79,0),"n.a."))</f>
        <v>0</v>
      </c>
      <c r="L803" s="16">
        <f>IF(NOT(Paths!$C$79=1),0,IF(Paths!$P$79="Complete",IF(C803=10,Paths!$I$79,0),"n.a."))</f>
        <v>0</v>
      </c>
      <c r="M803" s="16">
        <f>IF(NOT(Paths!$C$79=1),0,IF(Paths!$P$79="Complete",IF(AND(Paths!$D$79="EV",Paths!$E$79&lt;120,Paths!$E$79+'Operating costs'!$B$65&gt;Paths!$E$79,Paths!$E$79+'Operating costs'!$B$65&lt;=120,IF(Paths!$E$79+'Operating costs'!$B$65=0,C803=0,AND(C803&gt;0,Paths!$E$79+'Operating costs'!$B$65&gt;(C803-1)*12,Paths!$E$79+'Operating costs'!$B$65&lt;=C803*12))),'Operating costs'!$B$64,0)+IF(AND('Operating costs'!$B$67&gt;0,'Operating costs'!$B$67&lt;=120,OR(Paths!$D$79="ICE",'Operating costs'!$B$67&lt;=Paths!$E$79),IF('Operating costs'!$B$67=0,C803=0,AND(C803&gt;0,'Operating costs'!$B$67&gt;(C803-1)*12,'Operating costs'!$B$67&lt;=C803*12))),'Operating costs'!$B$66,0),"n.a."))</f>
        <v>0</v>
      </c>
      <c r="N803" s="16">
        <f>IF(NOT(Paths!$C$79=1),0,IF(Paths!$P$79="Complete",SUM(G803:I803)-J803-K803-L803+M803+IF(C803=0,Paths!$F$79,0)+IF(IF(Paths!$E$79=0,C803=0,AND(C803&gt;0,Paths!$E$79&gt;(C803-1)*12,Paths!$E$79&lt;=C803*12)),VLOOKUP(A803,'Fleet register'!$A$7:$S$106,16,FALSE),0),"n.a."))</f>
        <v>0</v>
      </c>
      <c r="O803" s="16">
        <f>IF(NOT(Paths!$C$79=1),0,IF(Paths!$P$79="Complete",N803-IF(C803=0,Paths!$F$79,0),"n.a."))</f>
        <v>0</v>
      </c>
      <c r="P803" s="16">
        <f>IF(NOT(Paths!$C$79=1),0,IF(Paths!$P$79="Complete",O803+L803,"n.a."))</f>
        <v>0</v>
      </c>
      <c r="Q803" s="16">
        <f>IF(NOT(Paths!$C$79=1),0,IF(Paths!$P$79="Complete",N803*(1+'Operating costs'!$B$54)^-C803,"n.a."))</f>
        <v>0</v>
      </c>
      <c r="R803" s="16">
        <f>IF(NOT(Paths!$C$79=1),0,IF(Paths!$P$79="Complete",IF(AND(C803=0,Paths!$E$79=0),I803-J803-K803+VLOOKUP(A803,'Fleet register'!$A$7:$S$106,15,FALSE)+VLOOKUP(A803,'Fleet register'!$A$7:$S$106,16,FALSE),0),"n.a."))</f>
        <v>0</v>
      </c>
      <c r="S803" s="1">
        <f>IF(NOT(Paths!$C$79=1),0,IF(Paths!$P$79="Complete",IF(C803=0,0,Paths!$S$79*Paths!$R$79),"n.a."))</f>
        <v>0</v>
      </c>
      <c r="T803" s="1">
        <f>IF(NOT(Paths!$C$79=1),0,IF(Paths!$P$79="Complete",IF(C803=0,0,VLOOKUP(A803,'Fleet register'!$A$7:$S$106,9,FALSE)*Paths!$R$79),"n.a."))</f>
        <v>0</v>
      </c>
    </row>
    <row r="804" spans="1:20" ht="24" customHeight="1">
      <c r="A804" s="1" t="str">
        <f>Paths!$A$79</f>
        <v>T019</v>
      </c>
      <c r="B804" s="1">
        <f>Paths!$B$79</f>
        <v>0</v>
      </c>
      <c r="C804" s="1">
        <v>5</v>
      </c>
      <c r="D804" s="1">
        <v>79</v>
      </c>
      <c r="E804" s="1">
        <f>IF(OR(Paths!$C$79=0,C804=0),0,MAX(0,MIN(C804*12,Paths!$E$79)-(C804-1)*12))</f>
        <v>0</v>
      </c>
      <c r="F804" s="1">
        <f>IF(OR(Paths!$C$79=0,C804=0),0,12-E804)</f>
        <v>0</v>
      </c>
      <c r="G804" s="16">
        <f>IF(NOT(Paths!$C$79=1),0,IF(Paths!$P$79="Complete",E804/12*(Paths!$J$79*(1+'Operating costs'!$B$51)^MAX(0,C804-1)+Paths!$K$79*(1+'Operating costs'!$B$53)^MAX(0,C804-1)),"n.a."))</f>
        <v>0</v>
      </c>
      <c r="H804" s="16">
        <f>IF(NOT(Paths!$C$79=1),0,IF(Paths!$P$79="Complete",F804/12*(Paths!$L$79*(1+IF(Paths!$D$79="EV",'Operating costs'!$B$52,'Operating costs'!$B$51))^MAX(0,C804-1)+Paths!$M$79*(1+'Operating costs'!$B$53)^MAX(0,C804-1)),"n.a."))</f>
        <v>0</v>
      </c>
      <c r="I804" s="16">
        <f>IF(NOT(Paths!$C$79=1),0,IF(Paths!$P$79="Complete",IF(IF(Paths!$E$79=0,C804=0,AND(C804&gt;0,Paths!$E$79&gt;(C804-1)*12,Paths!$E$79&lt;=C804*12)),Paths!$G$79,0),"n.a."))</f>
        <v>0</v>
      </c>
      <c r="J804" s="16">
        <f>IF(NOT(Paths!$C$79=1),0,IF(Paths!$P$79="Complete",IF(IF(Paths!$E$79=0,C804=0,AND(C804&gt;0,Paths!$E$79&gt;(C804-1)*12,Paths!$E$79&lt;=C804*12)),Paths!$H$79,0),"n.a."))</f>
        <v>0</v>
      </c>
      <c r="K804" s="16">
        <f>IF(NOT(Paths!$C$79=1),0,IF(Paths!$P$79="Complete",IF(IF(Paths!$O$79=0,C804=0,AND(C804&gt;0,Paths!$O$79&gt;(C804-1)*12,Paths!$O$79&lt;=C804*12)),Paths!$N$79,0),"n.a."))</f>
        <v>0</v>
      </c>
      <c r="L804" s="16">
        <f>IF(NOT(Paths!$C$79=1),0,IF(Paths!$P$79="Complete",IF(C804=10,Paths!$I$79,0),"n.a."))</f>
        <v>0</v>
      </c>
      <c r="M804" s="16">
        <f>IF(NOT(Paths!$C$79=1),0,IF(Paths!$P$79="Complete",IF(AND(Paths!$D$79="EV",Paths!$E$79&lt;120,Paths!$E$79+'Operating costs'!$B$65&gt;Paths!$E$79,Paths!$E$79+'Operating costs'!$B$65&lt;=120,IF(Paths!$E$79+'Operating costs'!$B$65=0,C804=0,AND(C804&gt;0,Paths!$E$79+'Operating costs'!$B$65&gt;(C804-1)*12,Paths!$E$79+'Operating costs'!$B$65&lt;=C804*12))),'Operating costs'!$B$64,0)+IF(AND('Operating costs'!$B$67&gt;0,'Operating costs'!$B$67&lt;=120,OR(Paths!$D$79="ICE",'Operating costs'!$B$67&lt;=Paths!$E$79),IF('Operating costs'!$B$67=0,C804=0,AND(C804&gt;0,'Operating costs'!$B$67&gt;(C804-1)*12,'Operating costs'!$B$67&lt;=C804*12))),'Operating costs'!$B$66,0),"n.a."))</f>
        <v>0</v>
      </c>
      <c r="N804" s="16">
        <f>IF(NOT(Paths!$C$79=1),0,IF(Paths!$P$79="Complete",SUM(G804:I804)-J804-K804-L804+M804+IF(C804=0,Paths!$F$79,0)+IF(IF(Paths!$E$79=0,C804=0,AND(C804&gt;0,Paths!$E$79&gt;(C804-1)*12,Paths!$E$79&lt;=C804*12)),VLOOKUP(A804,'Fleet register'!$A$7:$S$106,16,FALSE),0),"n.a."))</f>
        <v>0</v>
      </c>
      <c r="O804" s="16">
        <f>IF(NOT(Paths!$C$79=1),0,IF(Paths!$P$79="Complete",N804-IF(C804=0,Paths!$F$79,0),"n.a."))</f>
        <v>0</v>
      </c>
      <c r="P804" s="16">
        <f>IF(NOT(Paths!$C$79=1),0,IF(Paths!$P$79="Complete",O804+L804,"n.a."))</f>
        <v>0</v>
      </c>
      <c r="Q804" s="16">
        <f>IF(NOT(Paths!$C$79=1),0,IF(Paths!$P$79="Complete",N804*(1+'Operating costs'!$B$54)^-C804,"n.a."))</f>
        <v>0</v>
      </c>
      <c r="R804" s="16">
        <f>IF(NOT(Paths!$C$79=1),0,IF(Paths!$P$79="Complete",IF(AND(C804=0,Paths!$E$79=0),I804-J804-K804+VLOOKUP(A804,'Fleet register'!$A$7:$S$106,15,FALSE)+VLOOKUP(A804,'Fleet register'!$A$7:$S$106,16,FALSE),0),"n.a."))</f>
        <v>0</v>
      </c>
      <c r="S804" s="1">
        <f>IF(NOT(Paths!$C$79=1),0,IF(Paths!$P$79="Complete",IF(C804=0,0,Paths!$S$79*Paths!$R$79),"n.a."))</f>
        <v>0</v>
      </c>
      <c r="T804" s="1">
        <f>IF(NOT(Paths!$C$79=1),0,IF(Paths!$P$79="Complete",IF(C804=0,0,VLOOKUP(A804,'Fleet register'!$A$7:$S$106,9,FALSE)*Paths!$R$79),"n.a."))</f>
        <v>0</v>
      </c>
    </row>
    <row r="805" spans="1:20" ht="24" customHeight="1">
      <c r="A805" s="1" t="str">
        <f>Paths!$A$79</f>
        <v>T019</v>
      </c>
      <c r="B805" s="1">
        <f>Paths!$B$79</f>
        <v>0</v>
      </c>
      <c r="C805" s="1">
        <v>6</v>
      </c>
      <c r="D805" s="1">
        <v>79</v>
      </c>
      <c r="E805" s="1">
        <f>IF(OR(Paths!$C$79=0,C805=0),0,MAX(0,MIN(C805*12,Paths!$E$79)-(C805-1)*12))</f>
        <v>0</v>
      </c>
      <c r="F805" s="1">
        <f>IF(OR(Paths!$C$79=0,C805=0),0,12-E805)</f>
        <v>0</v>
      </c>
      <c r="G805" s="16">
        <f>IF(NOT(Paths!$C$79=1),0,IF(Paths!$P$79="Complete",E805/12*(Paths!$J$79*(1+'Operating costs'!$B$51)^MAX(0,C805-1)+Paths!$K$79*(1+'Operating costs'!$B$53)^MAX(0,C805-1)),"n.a."))</f>
        <v>0</v>
      </c>
      <c r="H805" s="16">
        <f>IF(NOT(Paths!$C$79=1),0,IF(Paths!$P$79="Complete",F805/12*(Paths!$L$79*(1+IF(Paths!$D$79="EV",'Operating costs'!$B$52,'Operating costs'!$B$51))^MAX(0,C805-1)+Paths!$M$79*(1+'Operating costs'!$B$53)^MAX(0,C805-1)),"n.a."))</f>
        <v>0</v>
      </c>
      <c r="I805" s="16">
        <f>IF(NOT(Paths!$C$79=1),0,IF(Paths!$P$79="Complete",IF(IF(Paths!$E$79=0,C805=0,AND(C805&gt;0,Paths!$E$79&gt;(C805-1)*12,Paths!$E$79&lt;=C805*12)),Paths!$G$79,0),"n.a."))</f>
        <v>0</v>
      </c>
      <c r="J805" s="16">
        <f>IF(NOT(Paths!$C$79=1),0,IF(Paths!$P$79="Complete",IF(IF(Paths!$E$79=0,C805=0,AND(C805&gt;0,Paths!$E$79&gt;(C805-1)*12,Paths!$E$79&lt;=C805*12)),Paths!$H$79,0),"n.a."))</f>
        <v>0</v>
      </c>
      <c r="K805" s="16">
        <f>IF(NOT(Paths!$C$79=1),0,IF(Paths!$P$79="Complete",IF(IF(Paths!$O$79=0,C805=0,AND(C805&gt;0,Paths!$O$79&gt;(C805-1)*12,Paths!$O$79&lt;=C805*12)),Paths!$N$79,0),"n.a."))</f>
        <v>0</v>
      </c>
      <c r="L805" s="16">
        <f>IF(NOT(Paths!$C$79=1),0,IF(Paths!$P$79="Complete",IF(C805=10,Paths!$I$79,0),"n.a."))</f>
        <v>0</v>
      </c>
      <c r="M805" s="16">
        <f>IF(NOT(Paths!$C$79=1),0,IF(Paths!$P$79="Complete",IF(AND(Paths!$D$79="EV",Paths!$E$79&lt;120,Paths!$E$79+'Operating costs'!$B$65&gt;Paths!$E$79,Paths!$E$79+'Operating costs'!$B$65&lt;=120,IF(Paths!$E$79+'Operating costs'!$B$65=0,C805=0,AND(C805&gt;0,Paths!$E$79+'Operating costs'!$B$65&gt;(C805-1)*12,Paths!$E$79+'Operating costs'!$B$65&lt;=C805*12))),'Operating costs'!$B$64,0)+IF(AND('Operating costs'!$B$67&gt;0,'Operating costs'!$B$67&lt;=120,OR(Paths!$D$79="ICE",'Operating costs'!$B$67&lt;=Paths!$E$79),IF('Operating costs'!$B$67=0,C805=0,AND(C805&gt;0,'Operating costs'!$B$67&gt;(C805-1)*12,'Operating costs'!$B$67&lt;=C805*12))),'Operating costs'!$B$66,0),"n.a."))</f>
        <v>0</v>
      </c>
      <c r="N805" s="16">
        <f>IF(NOT(Paths!$C$79=1),0,IF(Paths!$P$79="Complete",SUM(G805:I805)-J805-K805-L805+M805+IF(C805=0,Paths!$F$79,0)+IF(IF(Paths!$E$79=0,C805=0,AND(C805&gt;0,Paths!$E$79&gt;(C805-1)*12,Paths!$E$79&lt;=C805*12)),VLOOKUP(A805,'Fleet register'!$A$7:$S$106,16,FALSE),0),"n.a."))</f>
        <v>0</v>
      </c>
      <c r="O805" s="16">
        <f>IF(NOT(Paths!$C$79=1),0,IF(Paths!$P$79="Complete",N805-IF(C805=0,Paths!$F$79,0),"n.a."))</f>
        <v>0</v>
      </c>
      <c r="P805" s="16">
        <f>IF(NOT(Paths!$C$79=1),0,IF(Paths!$P$79="Complete",O805+L805,"n.a."))</f>
        <v>0</v>
      </c>
      <c r="Q805" s="16">
        <f>IF(NOT(Paths!$C$79=1),0,IF(Paths!$P$79="Complete",N805*(1+'Operating costs'!$B$54)^-C805,"n.a."))</f>
        <v>0</v>
      </c>
      <c r="R805" s="16">
        <f>IF(NOT(Paths!$C$79=1),0,IF(Paths!$P$79="Complete",IF(AND(C805=0,Paths!$E$79=0),I805-J805-K805+VLOOKUP(A805,'Fleet register'!$A$7:$S$106,15,FALSE)+VLOOKUP(A805,'Fleet register'!$A$7:$S$106,16,FALSE),0),"n.a."))</f>
        <v>0</v>
      </c>
      <c r="S805" s="1">
        <f>IF(NOT(Paths!$C$79=1),0,IF(Paths!$P$79="Complete",IF(C805=0,0,Paths!$S$79*Paths!$R$79),"n.a."))</f>
        <v>0</v>
      </c>
      <c r="T805" s="1">
        <f>IF(NOT(Paths!$C$79=1),0,IF(Paths!$P$79="Complete",IF(C805=0,0,VLOOKUP(A805,'Fleet register'!$A$7:$S$106,9,FALSE)*Paths!$R$79),"n.a."))</f>
        <v>0</v>
      </c>
    </row>
    <row r="806" spans="1:20" ht="24" customHeight="1">
      <c r="A806" s="1" t="str">
        <f>Paths!$A$79</f>
        <v>T019</v>
      </c>
      <c r="B806" s="1">
        <f>Paths!$B$79</f>
        <v>0</v>
      </c>
      <c r="C806" s="1">
        <v>7</v>
      </c>
      <c r="D806" s="1">
        <v>79</v>
      </c>
      <c r="E806" s="1">
        <f>IF(OR(Paths!$C$79=0,C806=0),0,MAX(0,MIN(C806*12,Paths!$E$79)-(C806-1)*12))</f>
        <v>0</v>
      </c>
      <c r="F806" s="1">
        <f>IF(OR(Paths!$C$79=0,C806=0),0,12-E806)</f>
        <v>0</v>
      </c>
      <c r="G806" s="16">
        <f>IF(NOT(Paths!$C$79=1),0,IF(Paths!$P$79="Complete",E806/12*(Paths!$J$79*(1+'Operating costs'!$B$51)^MAX(0,C806-1)+Paths!$K$79*(1+'Operating costs'!$B$53)^MAX(0,C806-1)),"n.a."))</f>
        <v>0</v>
      </c>
      <c r="H806" s="16">
        <f>IF(NOT(Paths!$C$79=1),0,IF(Paths!$P$79="Complete",F806/12*(Paths!$L$79*(1+IF(Paths!$D$79="EV",'Operating costs'!$B$52,'Operating costs'!$B$51))^MAX(0,C806-1)+Paths!$M$79*(1+'Operating costs'!$B$53)^MAX(0,C806-1)),"n.a."))</f>
        <v>0</v>
      </c>
      <c r="I806" s="16">
        <f>IF(NOT(Paths!$C$79=1),0,IF(Paths!$P$79="Complete",IF(IF(Paths!$E$79=0,C806=0,AND(C806&gt;0,Paths!$E$79&gt;(C806-1)*12,Paths!$E$79&lt;=C806*12)),Paths!$G$79,0),"n.a."))</f>
        <v>0</v>
      </c>
      <c r="J806" s="16">
        <f>IF(NOT(Paths!$C$79=1),0,IF(Paths!$P$79="Complete",IF(IF(Paths!$E$79=0,C806=0,AND(C806&gt;0,Paths!$E$79&gt;(C806-1)*12,Paths!$E$79&lt;=C806*12)),Paths!$H$79,0),"n.a."))</f>
        <v>0</v>
      </c>
      <c r="K806" s="16">
        <f>IF(NOT(Paths!$C$79=1),0,IF(Paths!$P$79="Complete",IF(IF(Paths!$O$79=0,C806=0,AND(C806&gt;0,Paths!$O$79&gt;(C806-1)*12,Paths!$O$79&lt;=C806*12)),Paths!$N$79,0),"n.a."))</f>
        <v>0</v>
      </c>
      <c r="L806" s="16">
        <f>IF(NOT(Paths!$C$79=1),0,IF(Paths!$P$79="Complete",IF(C806=10,Paths!$I$79,0),"n.a."))</f>
        <v>0</v>
      </c>
      <c r="M806" s="16">
        <f>IF(NOT(Paths!$C$79=1),0,IF(Paths!$P$79="Complete",IF(AND(Paths!$D$79="EV",Paths!$E$79&lt;120,Paths!$E$79+'Operating costs'!$B$65&gt;Paths!$E$79,Paths!$E$79+'Operating costs'!$B$65&lt;=120,IF(Paths!$E$79+'Operating costs'!$B$65=0,C806=0,AND(C806&gt;0,Paths!$E$79+'Operating costs'!$B$65&gt;(C806-1)*12,Paths!$E$79+'Operating costs'!$B$65&lt;=C806*12))),'Operating costs'!$B$64,0)+IF(AND('Operating costs'!$B$67&gt;0,'Operating costs'!$B$67&lt;=120,OR(Paths!$D$79="ICE",'Operating costs'!$B$67&lt;=Paths!$E$79),IF('Operating costs'!$B$67=0,C806=0,AND(C806&gt;0,'Operating costs'!$B$67&gt;(C806-1)*12,'Operating costs'!$B$67&lt;=C806*12))),'Operating costs'!$B$66,0),"n.a."))</f>
        <v>0</v>
      </c>
      <c r="N806" s="16">
        <f>IF(NOT(Paths!$C$79=1),0,IF(Paths!$P$79="Complete",SUM(G806:I806)-J806-K806-L806+M806+IF(C806=0,Paths!$F$79,0)+IF(IF(Paths!$E$79=0,C806=0,AND(C806&gt;0,Paths!$E$79&gt;(C806-1)*12,Paths!$E$79&lt;=C806*12)),VLOOKUP(A806,'Fleet register'!$A$7:$S$106,16,FALSE),0),"n.a."))</f>
        <v>0</v>
      </c>
      <c r="O806" s="16">
        <f>IF(NOT(Paths!$C$79=1),0,IF(Paths!$P$79="Complete",N806-IF(C806=0,Paths!$F$79,0),"n.a."))</f>
        <v>0</v>
      </c>
      <c r="P806" s="16">
        <f>IF(NOT(Paths!$C$79=1),0,IF(Paths!$P$79="Complete",O806+L806,"n.a."))</f>
        <v>0</v>
      </c>
      <c r="Q806" s="16">
        <f>IF(NOT(Paths!$C$79=1),0,IF(Paths!$P$79="Complete",N806*(1+'Operating costs'!$B$54)^-C806,"n.a."))</f>
        <v>0</v>
      </c>
      <c r="R806" s="16">
        <f>IF(NOT(Paths!$C$79=1),0,IF(Paths!$P$79="Complete",IF(AND(C806=0,Paths!$E$79=0),I806-J806-K806+VLOOKUP(A806,'Fleet register'!$A$7:$S$106,15,FALSE)+VLOOKUP(A806,'Fleet register'!$A$7:$S$106,16,FALSE),0),"n.a."))</f>
        <v>0</v>
      </c>
      <c r="S806" s="1">
        <f>IF(NOT(Paths!$C$79=1),0,IF(Paths!$P$79="Complete",IF(C806=0,0,Paths!$S$79*Paths!$R$79),"n.a."))</f>
        <v>0</v>
      </c>
      <c r="T806" s="1">
        <f>IF(NOT(Paths!$C$79=1),0,IF(Paths!$P$79="Complete",IF(C806=0,0,VLOOKUP(A806,'Fleet register'!$A$7:$S$106,9,FALSE)*Paths!$R$79),"n.a."))</f>
        <v>0</v>
      </c>
    </row>
    <row r="807" spans="1:20" ht="24" customHeight="1">
      <c r="A807" s="1" t="str">
        <f>Paths!$A$79</f>
        <v>T019</v>
      </c>
      <c r="B807" s="1">
        <f>Paths!$B$79</f>
        <v>0</v>
      </c>
      <c r="C807" s="1">
        <v>8</v>
      </c>
      <c r="D807" s="1">
        <v>79</v>
      </c>
      <c r="E807" s="1">
        <f>IF(OR(Paths!$C$79=0,C807=0),0,MAX(0,MIN(C807*12,Paths!$E$79)-(C807-1)*12))</f>
        <v>0</v>
      </c>
      <c r="F807" s="1">
        <f>IF(OR(Paths!$C$79=0,C807=0),0,12-E807)</f>
        <v>0</v>
      </c>
      <c r="G807" s="16">
        <f>IF(NOT(Paths!$C$79=1),0,IF(Paths!$P$79="Complete",E807/12*(Paths!$J$79*(1+'Operating costs'!$B$51)^MAX(0,C807-1)+Paths!$K$79*(1+'Operating costs'!$B$53)^MAX(0,C807-1)),"n.a."))</f>
        <v>0</v>
      </c>
      <c r="H807" s="16">
        <f>IF(NOT(Paths!$C$79=1),0,IF(Paths!$P$79="Complete",F807/12*(Paths!$L$79*(1+IF(Paths!$D$79="EV",'Operating costs'!$B$52,'Operating costs'!$B$51))^MAX(0,C807-1)+Paths!$M$79*(1+'Operating costs'!$B$53)^MAX(0,C807-1)),"n.a."))</f>
        <v>0</v>
      </c>
      <c r="I807" s="16">
        <f>IF(NOT(Paths!$C$79=1),0,IF(Paths!$P$79="Complete",IF(IF(Paths!$E$79=0,C807=0,AND(C807&gt;0,Paths!$E$79&gt;(C807-1)*12,Paths!$E$79&lt;=C807*12)),Paths!$G$79,0),"n.a."))</f>
        <v>0</v>
      </c>
      <c r="J807" s="16">
        <f>IF(NOT(Paths!$C$79=1),0,IF(Paths!$P$79="Complete",IF(IF(Paths!$E$79=0,C807=0,AND(C807&gt;0,Paths!$E$79&gt;(C807-1)*12,Paths!$E$79&lt;=C807*12)),Paths!$H$79,0),"n.a."))</f>
        <v>0</v>
      </c>
      <c r="K807" s="16">
        <f>IF(NOT(Paths!$C$79=1),0,IF(Paths!$P$79="Complete",IF(IF(Paths!$O$79=0,C807=0,AND(C807&gt;0,Paths!$O$79&gt;(C807-1)*12,Paths!$O$79&lt;=C807*12)),Paths!$N$79,0),"n.a."))</f>
        <v>0</v>
      </c>
      <c r="L807" s="16">
        <f>IF(NOT(Paths!$C$79=1),0,IF(Paths!$P$79="Complete",IF(C807=10,Paths!$I$79,0),"n.a."))</f>
        <v>0</v>
      </c>
      <c r="M807" s="16">
        <f>IF(NOT(Paths!$C$79=1),0,IF(Paths!$P$79="Complete",IF(AND(Paths!$D$79="EV",Paths!$E$79&lt;120,Paths!$E$79+'Operating costs'!$B$65&gt;Paths!$E$79,Paths!$E$79+'Operating costs'!$B$65&lt;=120,IF(Paths!$E$79+'Operating costs'!$B$65=0,C807=0,AND(C807&gt;0,Paths!$E$79+'Operating costs'!$B$65&gt;(C807-1)*12,Paths!$E$79+'Operating costs'!$B$65&lt;=C807*12))),'Operating costs'!$B$64,0)+IF(AND('Operating costs'!$B$67&gt;0,'Operating costs'!$B$67&lt;=120,OR(Paths!$D$79="ICE",'Operating costs'!$B$67&lt;=Paths!$E$79),IF('Operating costs'!$B$67=0,C807=0,AND(C807&gt;0,'Operating costs'!$B$67&gt;(C807-1)*12,'Operating costs'!$B$67&lt;=C807*12))),'Operating costs'!$B$66,0),"n.a."))</f>
        <v>0</v>
      </c>
      <c r="N807" s="16">
        <f>IF(NOT(Paths!$C$79=1),0,IF(Paths!$P$79="Complete",SUM(G807:I807)-J807-K807-L807+M807+IF(C807=0,Paths!$F$79,0)+IF(IF(Paths!$E$79=0,C807=0,AND(C807&gt;0,Paths!$E$79&gt;(C807-1)*12,Paths!$E$79&lt;=C807*12)),VLOOKUP(A807,'Fleet register'!$A$7:$S$106,16,FALSE),0),"n.a."))</f>
        <v>0</v>
      </c>
      <c r="O807" s="16">
        <f>IF(NOT(Paths!$C$79=1),0,IF(Paths!$P$79="Complete",N807-IF(C807=0,Paths!$F$79,0),"n.a."))</f>
        <v>0</v>
      </c>
      <c r="P807" s="16">
        <f>IF(NOT(Paths!$C$79=1),0,IF(Paths!$P$79="Complete",O807+L807,"n.a."))</f>
        <v>0</v>
      </c>
      <c r="Q807" s="16">
        <f>IF(NOT(Paths!$C$79=1),0,IF(Paths!$P$79="Complete",N807*(1+'Operating costs'!$B$54)^-C807,"n.a."))</f>
        <v>0</v>
      </c>
      <c r="R807" s="16">
        <f>IF(NOT(Paths!$C$79=1),0,IF(Paths!$P$79="Complete",IF(AND(C807=0,Paths!$E$79=0),I807-J807-K807+VLOOKUP(A807,'Fleet register'!$A$7:$S$106,15,FALSE)+VLOOKUP(A807,'Fleet register'!$A$7:$S$106,16,FALSE),0),"n.a."))</f>
        <v>0</v>
      </c>
      <c r="S807" s="1">
        <f>IF(NOT(Paths!$C$79=1),0,IF(Paths!$P$79="Complete",IF(C807=0,0,Paths!$S$79*Paths!$R$79),"n.a."))</f>
        <v>0</v>
      </c>
      <c r="T807" s="1">
        <f>IF(NOT(Paths!$C$79=1),0,IF(Paths!$P$79="Complete",IF(C807=0,0,VLOOKUP(A807,'Fleet register'!$A$7:$S$106,9,FALSE)*Paths!$R$79),"n.a."))</f>
        <v>0</v>
      </c>
    </row>
    <row r="808" spans="1:20" ht="24" customHeight="1">
      <c r="A808" s="1" t="str">
        <f>Paths!$A$79</f>
        <v>T019</v>
      </c>
      <c r="B808" s="1">
        <f>Paths!$B$79</f>
        <v>0</v>
      </c>
      <c r="C808" s="1">
        <v>9</v>
      </c>
      <c r="D808" s="1">
        <v>79</v>
      </c>
      <c r="E808" s="1">
        <f>IF(OR(Paths!$C$79=0,C808=0),0,MAX(0,MIN(C808*12,Paths!$E$79)-(C808-1)*12))</f>
        <v>0</v>
      </c>
      <c r="F808" s="1">
        <f>IF(OR(Paths!$C$79=0,C808=0),0,12-E808)</f>
        <v>0</v>
      </c>
      <c r="G808" s="16">
        <f>IF(NOT(Paths!$C$79=1),0,IF(Paths!$P$79="Complete",E808/12*(Paths!$J$79*(1+'Operating costs'!$B$51)^MAX(0,C808-1)+Paths!$K$79*(1+'Operating costs'!$B$53)^MAX(0,C808-1)),"n.a."))</f>
        <v>0</v>
      </c>
      <c r="H808" s="16">
        <f>IF(NOT(Paths!$C$79=1),0,IF(Paths!$P$79="Complete",F808/12*(Paths!$L$79*(1+IF(Paths!$D$79="EV",'Operating costs'!$B$52,'Operating costs'!$B$51))^MAX(0,C808-1)+Paths!$M$79*(1+'Operating costs'!$B$53)^MAX(0,C808-1)),"n.a."))</f>
        <v>0</v>
      </c>
      <c r="I808" s="16">
        <f>IF(NOT(Paths!$C$79=1),0,IF(Paths!$P$79="Complete",IF(IF(Paths!$E$79=0,C808=0,AND(C808&gt;0,Paths!$E$79&gt;(C808-1)*12,Paths!$E$79&lt;=C808*12)),Paths!$G$79,0),"n.a."))</f>
        <v>0</v>
      </c>
      <c r="J808" s="16">
        <f>IF(NOT(Paths!$C$79=1),0,IF(Paths!$P$79="Complete",IF(IF(Paths!$E$79=0,C808=0,AND(C808&gt;0,Paths!$E$79&gt;(C808-1)*12,Paths!$E$79&lt;=C808*12)),Paths!$H$79,0),"n.a."))</f>
        <v>0</v>
      </c>
      <c r="K808" s="16">
        <f>IF(NOT(Paths!$C$79=1),0,IF(Paths!$P$79="Complete",IF(IF(Paths!$O$79=0,C808=0,AND(C808&gt;0,Paths!$O$79&gt;(C808-1)*12,Paths!$O$79&lt;=C808*12)),Paths!$N$79,0),"n.a."))</f>
        <v>0</v>
      </c>
      <c r="L808" s="16">
        <f>IF(NOT(Paths!$C$79=1),0,IF(Paths!$P$79="Complete",IF(C808=10,Paths!$I$79,0),"n.a."))</f>
        <v>0</v>
      </c>
      <c r="M808" s="16">
        <f>IF(NOT(Paths!$C$79=1),0,IF(Paths!$P$79="Complete",IF(AND(Paths!$D$79="EV",Paths!$E$79&lt;120,Paths!$E$79+'Operating costs'!$B$65&gt;Paths!$E$79,Paths!$E$79+'Operating costs'!$B$65&lt;=120,IF(Paths!$E$79+'Operating costs'!$B$65=0,C808=0,AND(C808&gt;0,Paths!$E$79+'Operating costs'!$B$65&gt;(C808-1)*12,Paths!$E$79+'Operating costs'!$B$65&lt;=C808*12))),'Operating costs'!$B$64,0)+IF(AND('Operating costs'!$B$67&gt;0,'Operating costs'!$B$67&lt;=120,OR(Paths!$D$79="ICE",'Operating costs'!$B$67&lt;=Paths!$E$79),IF('Operating costs'!$B$67=0,C808=0,AND(C808&gt;0,'Operating costs'!$B$67&gt;(C808-1)*12,'Operating costs'!$B$67&lt;=C808*12))),'Operating costs'!$B$66,0),"n.a."))</f>
        <v>0</v>
      </c>
      <c r="N808" s="16">
        <f>IF(NOT(Paths!$C$79=1),0,IF(Paths!$P$79="Complete",SUM(G808:I808)-J808-K808-L808+M808+IF(C808=0,Paths!$F$79,0)+IF(IF(Paths!$E$79=0,C808=0,AND(C808&gt;0,Paths!$E$79&gt;(C808-1)*12,Paths!$E$79&lt;=C808*12)),VLOOKUP(A808,'Fleet register'!$A$7:$S$106,16,FALSE),0),"n.a."))</f>
        <v>0</v>
      </c>
      <c r="O808" s="16">
        <f>IF(NOT(Paths!$C$79=1),0,IF(Paths!$P$79="Complete",N808-IF(C808=0,Paths!$F$79,0),"n.a."))</f>
        <v>0</v>
      </c>
      <c r="P808" s="16">
        <f>IF(NOT(Paths!$C$79=1),0,IF(Paths!$P$79="Complete",O808+L808,"n.a."))</f>
        <v>0</v>
      </c>
      <c r="Q808" s="16">
        <f>IF(NOT(Paths!$C$79=1),0,IF(Paths!$P$79="Complete",N808*(1+'Operating costs'!$B$54)^-C808,"n.a."))</f>
        <v>0</v>
      </c>
      <c r="R808" s="16">
        <f>IF(NOT(Paths!$C$79=1),0,IF(Paths!$P$79="Complete",IF(AND(C808=0,Paths!$E$79=0),I808-J808-K808+VLOOKUP(A808,'Fleet register'!$A$7:$S$106,15,FALSE)+VLOOKUP(A808,'Fleet register'!$A$7:$S$106,16,FALSE),0),"n.a."))</f>
        <v>0</v>
      </c>
      <c r="S808" s="1">
        <f>IF(NOT(Paths!$C$79=1),0,IF(Paths!$P$79="Complete",IF(C808=0,0,Paths!$S$79*Paths!$R$79),"n.a."))</f>
        <v>0</v>
      </c>
      <c r="T808" s="1">
        <f>IF(NOT(Paths!$C$79=1),0,IF(Paths!$P$79="Complete",IF(C808=0,0,VLOOKUP(A808,'Fleet register'!$A$7:$S$106,9,FALSE)*Paths!$R$79),"n.a."))</f>
        <v>0</v>
      </c>
    </row>
    <row r="809" spans="1:20" ht="24" customHeight="1">
      <c r="A809" s="1" t="str">
        <f>Paths!$A$79</f>
        <v>T019</v>
      </c>
      <c r="B809" s="1">
        <f>Paths!$B$79</f>
        <v>0</v>
      </c>
      <c r="C809" s="1">
        <v>10</v>
      </c>
      <c r="D809" s="1">
        <v>79</v>
      </c>
      <c r="E809" s="1">
        <f>IF(OR(Paths!$C$79=0,C809=0),0,MAX(0,MIN(C809*12,Paths!$E$79)-(C809-1)*12))</f>
        <v>0</v>
      </c>
      <c r="F809" s="1">
        <f>IF(OR(Paths!$C$79=0,C809=0),0,12-E809)</f>
        <v>0</v>
      </c>
      <c r="G809" s="16">
        <f>IF(NOT(Paths!$C$79=1),0,IF(Paths!$P$79="Complete",E809/12*(Paths!$J$79*(1+'Operating costs'!$B$51)^MAX(0,C809-1)+Paths!$K$79*(1+'Operating costs'!$B$53)^MAX(0,C809-1)),"n.a."))</f>
        <v>0</v>
      </c>
      <c r="H809" s="16">
        <f>IF(NOT(Paths!$C$79=1),0,IF(Paths!$P$79="Complete",F809/12*(Paths!$L$79*(1+IF(Paths!$D$79="EV",'Operating costs'!$B$52,'Operating costs'!$B$51))^MAX(0,C809-1)+Paths!$M$79*(1+'Operating costs'!$B$53)^MAX(0,C809-1)),"n.a."))</f>
        <v>0</v>
      </c>
      <c r="I809" s="16">
        <f>IF(NOT(Paths!$C$79=1),0,IF(Paths!$P$79="Complete",IF(IF(Paths!$E$79=0,C809=0,AND(C809&gt;0,Paths!$E$79&gt;(C809-1)*12,Paths!$E$79&lt;=C809*12)),Paths!$G$79,0),"n.a."))</f>
        <v>0</v>
      </c>
      <c r="J809" s="16">
        <f>IF(NOT(Paths!$C$79=1),0,IF(Paths!$P$79="Complete",IF(IF(Paths!$E$79=0,C809=0,AND(C809&gt;0,Paths!$E$79&gt;(C809-1)*12,Paths!$E$79&lt;=C809*12)),Paths!$H$79,0),"n.a."))</f>
        <v>0</v>
      </c>
      <c r="K809" s="16">
        <f>IF(NOT(Paths!$C$79=1),0,IF(Paths!$P$79="Complete",IF(IF(Paths!$O$79=0,C809=0,AND(C809&gt;0,Paths!$O$79&gt;(C809-1)*12,Paths!$O$79&lt;=C809*12)),Paths!$N$79,0),"n.a."))</f>
        <v>0</v>
      </c>
      <c r="L809" s="16">
        <f>IF(NOT(Paths!$C$79=1),0,IF(Paths!$P$79="Complete",IF(C809=10,Paths!$I$79,0),"n.a."))</f>
        <v>0</v>
      </c>
      <c r="M809" s="16">
        <f>IF(NOT(Paths!$C$79=1),0,IF(Paths!$P$79="Complete",IF(AND(Paths!$D$79="EV",Paths!$E$79&lt;120,Paths!$E$79+'Operating costs'!$B$65&gt;Paths!$E$79,Paths!$E$79+'Operating costs'!$B$65&lt;=120,IF(Paths!$E$79+'Operating costs'!$B$65=0,C809=0,AND(C809&gt;0,Paths!$E$79+'Operating costs'!$B$65&gt;(C809-1)*12,Paths!$E$79+'Operating costs'!$B$65&lt;=C809*12))),'Operating costs'!$B$64,0)+IF(AND('Operating costs'!$B$67&gt;0,'Operating costs'!$B$67&lt;=120,OR(Paths!$D$79="ICE",'Operating costs'!$B$67&lt;=Paths!$E$79),IF('Operating costs'!$B$67=0,C809=0,AND(C809&gt;0,'Operating costs'!$B$67&gt;(C809-1)*12,'Operating costs'!$B$67&lt;=C809*12))),'Operating costs'!$B$66,0),"n.a."))</f>
        <v>0</v>
      </c>
      <c r="N809" s="16">
        <f>IF(NOT(Paths!$C$79=1),0,IF(Paths!$P$79="Complete",SUM(G809:I809)-J809-K809-L809+M809+IF(C809=0,Paths!$F$79,0)+IF(IF(Paths!$E$79=0,C809=0,AND(C809&gt;0,Paths!$E$79&gt;(C809-1)*12,Paths!$E$79&lt;=C809*12)),VLOOKUP(A809,'Fleet register'!$A$7:$S$106,16,FALSE),0),"n.a."))</f>
        <v>0</v>
      </c>
      <c r="O809" s="16">
        <f>IF(NOT(Paths!$C$79=1),0,IF(Paths!$P$79="Complete",N809-IF(C809=0,Paths!$F$79,0),"n.a."))</f>
        <v>0</v>
      </c>
      <c r="P809" s="16">
        <f>IF(NOT(Paths!$C$79=1),0,IF(Paths!$P$79="Complete",O809+L809,"n.a."))</f>
        <v>0</v>
      </c>
      <c r="Q809" s="16">
        <f>IF(NOT(Paths!$C$79=1),0,IF(Paths!$P$79="Complete",N809*(1+'Operating costs'!$B$54)^-C809,"n.a."))</f>
        <v>0</v>
      </c>
      <c r="R809" s="16">
        <f>IF(NOT(Paths!$C$79=1),0,IF(Paths!$P$79="Complete",IF(AND(C809=0,Paths!$E$79=0),I809-J809-K809+VLOOKUP(A809,'Fleet register'!$A$7:$S$106,15,FALSE)+VLOOKUP(A809,'Fleet register'!$A$7:$S$106,16,FALSE),0),"n.a."))</f>
        <v>0</v>
      </c>
      <c r="S809" s="1">
        <f>IF(NOT(Paths!$C$79=1),0,IF(Paths!$P$79="Complete",IF(C809=0,0,Paths!$S$79*Paths!$R$79),"n.a."))</f>
        <v>0</v>
      </c>
      <c r="T809" s="1">
        <f>IF(NOT(Paths!$C$79=1),0,IF(Paths!$P$79="Complete",IF(C809=0,0,VLOOKUP(A809,'Fleet register'!$A$7:$S$106,9,FALSE)*Paths!$R$79),"n.a."))</f>
        <v>0</v>
      </c>
    </row>
    <row r="810" spans="1:20" ht="24" customHeight="1">
      <c r="A810" s="1" t="str">
        <f>Paths!$A$80</f>
        <v>T019</v>
      </c>
      <c r="B810" s="1">
        <f>Paths!$B$80</f>
        <v>1</v>
      </c>
      <c r="C810" s="1">
        <v>0</v>
      </c>
      <c r="D810" s="1">
        <v>80</v>
      </c>
      <c r="E810" s="1">
        <f>IF(OR(Paths!$C$80=0,C810=0),0,MAX(0,MIN(C810*12,Paths!$E$80)-(C810-1)*12))</f>
        <v>0</v>
      </c>
      <c r="F810" s="1">
        <f>IF(OR(Paths!$C$80=0,C810=0),0,12-E810)</f>
        <v>0</v>
      </c>
      <c r="G810" s="16">
        <f>IF(NOT(Paths!$C$80=1),0,IF(Paths!$P$80="Complete",E810/12*(Paths!$J$80*(1+'Operating costs'!$B$51)^MAX(0,C810-1)+Paths!$K$80*(1+'Operating costs'!$B$53)^MAX(0,C810-1)),"n.a."))</f>
        <v>0</v>
      </c>
      <c r="H810" s="16">
        <f>IF(NOT(Paths!$C$80=1),0,IF(Paths!$P$80="Complete",F810/12*(Paths!$L$80*(1+IF(Paths!$D$80="EV",'Operating costs'!$B$52,'Operating costs'!$B$51))^MAX(0,C810-1)+Paths!$M$80*(1+'Operating costs'!$B$53)^MAX(0,C810-1)),"n.a."))</f>
        <v>0</v>
      </c>
      <c r="I810" s="16">
        <f>IF(NOT(Paths!$C$80=1),0,IF(Paths!$P$80="Complete",IF(IF(Paths!$E$80=0,C810=0,AND(C810&gt;0,Paths!$E$80&gt;(C810-1)*12,Paths!$E$80&lt;=C810*12)),Paths!$G$80,0),"n.a."))</f>
        <v>0</v>
      </c>
      <c r="J810" s="16">
        <f>IF(NOT(Paths!$C$80=1),0,IF(Paths!$P$80="Complete",IF(IF(Paths!$E$80=0,C810=0,AND(C810&gt;0,Paths!$E$80&gt;(C810-1)*12,Paths!$E$80&lt;=C810*12)),Paths!$H$80,0),"n.a."))</f>
        <v>0</v>
      </c>
      <c r="K810" s="16">
        <f>IF(NOT(Paths!$C$80=1),0,IF(Paths!$P$80="Complete",IF(IF(Paths!$O$80=0,C810=0,AND(C810&gt;0,Paths!$O$80&gt;(C810-1)*12,Paths!$O$80&lt;=C810*12)),Paths!$N$80,0),"n.a."))</f>
        <v>0</v>
      </c>
      <c r="L810" s="16">
        <f>IF(NOT(Paths!$C$80=1),0,IF(Paths!$P$80="Complete",IF(C810=10,Paths!$I$80,0),"n.a."))</f>
        <v>0</v>
      </c>
      <c r="M810" s="16">
        <f>IF(NOT(Paths!$C$80=1),0,IF(Paths!$P$80="Complete",IF(AND(Paths!$D$80="EV",Paths!$E$80&lt;120,Paths!$E$80+'Operating costs'!$B$65&gt;Paths!$E$80,Paths!$E$80+'Operating costs'!$B$65&lt;=120,IF(Paths!$E$80+'Operating costs'!$B$65=0,C810=0,AND(C810&gt;0,Paths!$E$80+'Operating costs'!$B$65&gt;(C810-1)*12,Paths!$E$80+'Operating costs'!$B$65&lt;=C810*12))),'Operating costs'!$B$64,0)+IF(AND('Operating costs'!$B$67&gt;0,'Operating costs'!$B$67&lt;=120,OR(Paths!$D$80="ICE",'Operating costs'!$B$67&lt;=Paths!$E$80),IF('Operating costs'!$B$67=0,C810=0,AND(C810&gt;0,'Operating costs'!$B$67&gt;(C810-1)*12,'Operating costs'!$B$67&lt;=C810*12))),'Operating costs'!$B$66,0),"n.a."))</f>
        <v>0</v>
      </c>
      <c r="N810" s="16">
        <f>IF(NOT(Paths!$C$80=1),0,IF(Paths!$P$80="Complete",SUM(G810:I810)-J810-K810-L810+M810+IF(C810=0,Paths!$F$80,0)+IF(IF(Paths!$E$80=0,C810=0,AND(C810&gt;0,Paths!$E$80&gt;(C810-1)*12,Paths!$E$80&lt;=C810*12)),VLOOKUP(A810,'Fleet register'!$A$7:$S$106,16,FALSE),0),"n.a."))</f>
        <v>0</v>
      </c>
      <c r="O810" s="16">
        <f>IF(NOT(Paths!$C$80=1),0,IF(Paths!$P$80="Complete",N810-IF(C810=0,Paths!$F$80,0),"n.a."))</f>
        <v>0</v>
      </c>
      <c r="P810" s="16">
        <f>IF(NOT(Paths!$C$80=1),0,IF(Paths!$P$80="Complete",O810+L810,"n.a."))</f>
        <v>0</v>
      </c>
      <c r="Q810" s="16">
        <f>IF(NOT(Paths!$C$80=1),0,IF(Paths!$P$80="Complete",N810*(1+'Operating costs'!$B$54)^-C810,"n.a."))</f>
        <v>0</v>
      </c>
      <c r="R810" s="16">
        <f>IF(NOT(Paths!$C$80=1),0,IF(Paths!$P$80="Complete",IF(AND(C810=0,Paths!$E$80=0),I810-J810-K810+VLOOKUP(A810,'Fleet register'!$A$7:$S$106,15,FALSE)+VLOOKUP(A810,'Fleet register'!$A$7:$S$106,16,FALSE),0),"n.a."))</f>
        <v>0</v>
      </c>
      <c r="S810" s="1">
        <f>IF(NOT(Paths!$C$80=1),0,IF(Paths!$P$80="Complete",IF(C810=0,0,Paths!$S$80*Paths!$R$80),"n.a."))</f>
        <v>0</v>
      </c>
      <c r="T810" s="1">
        <f>IF(NOT(Paths!$C$80=1),0,IF(Paths!$P$80="Complete",IF(C810=0,0,VLOOKUP(A810,'Fleet register'!$A$7:$S$106,9,FALSE)*Paths!$R$80),"n.a."))</f>
        <v>0</v>
      </c>
    </row>
    <row r="811" spans="1:20" ht="24" customHeight="1">
      <c r="A811" s="1" t="str">
        <f>Paths!$A$80</f>
        <v>T019</v>
      </c>
      <c r="B811" s="1">
        <f>Paths!$B$80</f>
        <v>1</v>
      </c>
      <c r="C811" s="1">
        <v>1</v>
      </c>
      <c r="D811" s="1">
        <v>80</v>
      </c>
      <c r="E811" s="1">
        <f>IF(OR(Paths!$C$80=0,C811=0),0,MAX(0,MIN(C811*12,Paths!$E$80)-(C811-1)*12))</f>
        <v>0</v>
      </c>
      <c r="F811" s="1">
        <f>IF(OR(Paths!$C$80=0,C811=0),0,12-E811)</f>
        <v>0</v>
      </c>
      <c r="G811" s="16">
        <f>IF(NOT(Paths!$C$80=1),0,IF(Paths!$P$80="Complete",E811/12*(Paths!$J$80*(1+'Operating costs'!$B$51)^MAX(0,C811-1)+Paths!$K$80*(1+'Operating costs'!$B$53)^MAX(0,C811-1)),"n.a."))</f>
        <v>0</v>
      </c>
      <c r="H811" s="16">
        <f>IF(NOT(Paths!$C$80=1),0,IF(Paths!$P$80="Complete",F811/12*(Paths!$L$80*(1+IF(Paths!$D$80="EV",'Operating costs'!$B$52,'Operating costs'!$B$51))^MAX(0,C811-1)+Paths!$M$80*(1+'Operating costs'!$B$53)^MAX(0,C811-1)),"n.a."))</f>
        <v>0</v>
      </c>
      <c r="I811" s="16">
        <f>IF(NOT(Paths!$C$80=1),0,IF(Paths!$P$80="Complete",IF(IF(Paths!$E$80=0,C811=0,AND(C811&gt;0,Paths!$E$80&gt;(C811-1)*12,Paths!$E$80&lt;=C811*12)),Paths!$G$80,0),"n.a."))</f>
        <v>0</v>
      </c>
      <c r="J811" s="16">
        <f>IF(NOT(Paths!$C$80=1),0,IF(Paths!$P$80="Complete",IF(IF(Paths!$E$80=0,C811=0,AND(C811&gt;0,Paths!$E$80&gt;(C811-1)*12,Paths!$E$80&lt;=C811*12)),Paths!$H$80,0),"n.a."))</f>
        <v>0</v>
      </c>
      <c r="K811" s="16">
        <f>IF(NOT(Paths!$C$80=1),0,IF(Paths!$P$80="Complete",IF(IF(Paths!$O$80=0,C811=0,AND(C811&gt;0,Paths!$O$80&gt;(C811-1)*12,Paths!$O$80&lt;=C811*12)),Paths!$N$80,0),"n.a."))</f>
        <v>0</v>
      </c>
      <c r="L811" s="16">
        <f>IF(NOT(Paths!$C$80=1),0,IF(Paths!$P$80="Complete",IF(C811=10,Paths!$I$80,0),"n.a."))</f>
        <v>0</v>
      </c>
      <c r="M811" s="16">
        <f>IF(NOT(Paths!$C$80=1),0,IF(Paths!$P$80="Complete",IF(AND(Paths!$D$80="EV",Paths!$E$80&lt;120,Paths!$E$80+'Operating costs'!$B$65&gt;Paths!$E$80,Paths!$E$80+'Operating costs'!$B$65&lt;=120,IF(Paths!$E$80+'Operating costs'!$B$65=0,C811=0,AND(C811&gt;0,Paths!$E$80+'Operating costs'!$B$65&gt;(C811-1)*12,Paths!$E$80+'Operating costs'!$B$65&lt;=C811*12))),'Operating costs'!$B$64,0)+IF(AND('Operating costs'!$B$67&gt;0,'Operating costs'!$B$67&lt;=120,OR(Paths!$D$80="ICE",'Operating costs'!$B$67&lt;=Paths!$E$80),IF('Operating costs'!$B$67=0,C811=0,AND(C811&gt;0,'Operating costs'!$B$67&gt;(C811-1)*12,'Operating costs'!$B$67&lt;=C811*12))),'Operating costs'!$B$66,0),"n.a."))</f>
        <v>0</v>
      </c>
      <c r="N811" s="16">
        <f>IF(NOT(Paths!$C$80=1),0,IF(Paths!$P$80="Complete",SUM(G811:I811)-J811-K811-L811+M811+IF(C811=0,Paths!$F$80,0)+IF(IF(Paths!$E$80=0,C811=0,AND(C811&gt;0,Paths!$E$80&gt;(C811-1)*12,Paths!$E$80&lt;=C811*12)),VLOOKUP(A811,'Fleet register'!$A$7:$S$106,16,FALSE),0),"n.a."))</f>
        <v>0</v>
      </c>
      <c r="O811" s="16">
        <f>IF(NOT(Paths!$C$80=1),0,IF(Paths!$P$80="Complete",N811-IF(C811=0,Paths!$F$80,0),"n.a."))</f>
        <v>0</v>
      </c>
      <c r="P811" s="16">
        <f>IF(NOT(Paths!$C$80=1),0,IF(Paths!$P$80="Complete",O811+L811,"n.a."))</f>
        <v>0</v>
      </c>
      <c r="Q811" s="16">
        <f>IF(NOT(Paths!$C$80=1),0,IF(Paths!$P$80="Complete",N811*(1+'Operating costs'!$B$54)^-C811,"n.a."))</f>
        <v>0</v>
      </c>
      <c r="R811" s="16">
        <f>IF(NOT(Paths!$C$80=1),0,IF(Paths!$P$80="Complete",IF(AND(C811=0,Paths!$E$80=0),I811-J811-K811+VLOOKUP(A811,'Fleet register'!$A$7:$S$106,15,FALSE)+VLOOKUP(A811,'Fleet register'!$A$7:$S$106,16,FALSE),0),"n.a."))</f>
        <v>0</v>
      </c>
      <c r="S811" s="1">
        <f>IF(NOT(Paths!$C$80=1),0,IF(Paths!$P$80="Complete",IF(C811=0,0,Paths!$S$80*Paths!$R$80),"n.a."))</f>
        <v>0</v>
      </c>
      <c r="T811" s="1">
        <f>IF(NOT(Paths!$C$80=1),0,IF(Paths!$P$80="Complete",IF(C811=0,0,VLOOKUP(A811,'Fleet register'!$A$7:$S$106,9,FALSE)*Paths!$R$80),"n.a."))</f>
        <v>0</v>
      </c>
    </row>
    <row r="812" spans="1:20" ht="24" customHeight="1">
      <c r="A812" s="1" t="str">
        <f>Paths!$A$80</f>
        <v>T019</v>
      </c>
      <c r="B812" s="1">
        <f>Paths!$B$80</f>
        <v>1</v>
      </c>
      <c r="C812" s="1">
        <v>2</v>
      </c>
      <c r="D812" s="1">
        <v>80</v>
      </c>
      <c r="E812" s="1">
        <f>IF(OR(Paths!$C$80=0,C812=0),0,MAX(0,MIN(C812*12,Paths!$E$80)-(C812-1)*12))</f>
        <v>0</v>
      </c>
      <c r="F812" s="1">
        <f>IF(OR(Paths!$C$80=0,C812=0),0,12-E812)</f>
        <v>0</v>
      </c>
      <c r="G812" s="16">
        <f>IF(NOT(Paths!$C$80=1),0,IF(Paths!$P$80="Complete",E812/12*(Paths!$J$80*(1+'Operating costs'!$B$51)^MAX(0,C812-1)+Paths!$K$80*(1+'Operating costs'!$B$53)^MAX(0,C812-1)),"n.a."))</f>
        <v>0</v>
      </c>
      <c r="H812" s="16">
        <f>IF(NOT(Paths!$C$80=1),0,IF(Paths!$P$80="Complete",F812/12*(Paths!$L$80*(1+IF(Paths!$D$80="EV",'Operating costs'!$B$52,'Operating costs'!$B$51))^MAX(0,C812-1)+Paths!$M$80*(1+'Operating costs'!$B$53)^MAX(0,C812-1)),"n.a."))</f>
        <v>0</v>
      </c>
      <c r="I812" s="16">
        <f>IF(NOT(Paths!$C$80=1),0,IF(Paths!$P$80="Complete",IF(IF(Paths!$E$80=0,C812=0,AND(C812&gt;0,Paths!$E$80&gt;(C812-1)*12,Paths!$E$80&lt;=C812*12)),Paths!$G$80,0),"n.a."))</f>
        <v>0</v>
      </c>
      <c r="J812" s="16">
        <f>IF(NOT(Paths!$C$80=1),0,IF(Paths!$P$80="Complete",IF(IF(Paths!$E$80=0,C812=0,AND(C812&gt;0,Paths!$E$80&gt;(C812-1)*12,Paths!$E$80&lt;=C812*12)),Paths!$H$80,0),"n.a."))</f>
        <v>0</v>
      </c>
      <c r="K812" s="16">
        <f>IF(NOT(Paths!$C$80=1),0,IF(Paths!$P$80="Complete",IF(IF(Paths!$O$80=0,C812=0,AND(C812&gt;0,Paths!$O$80&gt;(C812-1)*12,Paths!$O$80&lt;=C812*12)),Paths!$N$80,0),"n.a."))</f>
        <v>0</v>
      </c>
      <c r="L812" s="16">
        <f>IF(NOT(Paths!$C$80=1),0,IF(Paths!$P$80="Complete",IF(C812=10,Paths!$I$80,0),"n.a."))</f>
        <v>0</v>
      </c>
      <c r="M812" s="16">
        <f>IF(NOT(Paths!$C$80=1),0,IF(Paths!$P$80="Complete",IF(AND(Paths!$D$80="EV",Paths!$E$80&lt;120,Paths!$E$80+'Operating costs'!$B$65&gt;Paths!$E$80,Paths!$E$80+'Operating costs'!$B$65&lt;=120,IF(Paths!$E$80+'Operating costs'!$B$65=0,C812=0,AND(C812&gt;0,Paths!$E$80+'Operating costs'!$B$65&gt;(C812-1)*12,Paths!$E$80+'Operating costs'!$B$65&lt;=C812*12))),'Operating costs'!$B$64,0)+IF(AND('Operating costs'!$B$67&gt;0,'Operating costs'!$B$67&lt;=120,OR(Paths!$D$80="ICE",'Operating costs'!$B$67&lt;=Paths!$E$80),IF('Operating costs'!$B$67=0,C812=0,AND(C812&gt;0,'Operating costs'!$B$67&gt;(C812-1)*12,'Operating costs'!$B$67&lt;=C812*12))),'Operating costs'!$B$66,0),"n.a."))</f>
        <v>0</v>
      </c>
      <c r="N812" s="16">
        <f>IF(NOT(Paths!$C$80=1),0,IF(Paths!$P$80="Complete",SUM(G812:I812)-J812-K812-L812+M812+IF(C812=0,Paths!$F$80,0)+IF(IF(Paths!$E$80=0,C812=0,AND(C812&gt;0,Paths!$E$80&gt;(C812-1)*12,Paths!$E$80&lt;=C812*12)),VLOOKUP(A812,'Fleet register'!$A$7:$S$106,16,FALSE),0),"n.a."))</f>
        <v>0</v>
      </c>
      <c r="O812" s="16">
        <f>IF(NOT(Paths!$C$80=1),0,IF(Paths!$P$80="Complete",N812-IF(C812=0,Paths!$F$80,0),"n.a."))</f>
        <v>0</v>
      </c>
      <c r="P812" s="16">
        <f>IF(NOT(Paths!$C$80=1),0,IF(Paths!$P$80="Complete",O812+L812,"n.a."))</f>
        <v>0</v>
      </c>
      <c r="Q812" s="16">
        <f>IF(NOT(Paths!$C$80=1),0,IF(Paths!$P$80="Complete",N812*(1+'Operating costs'!$B$54)^-C812,"n.a."))</f>
        <v>0</v>
      </c>
      <c r="R812" s="16">
        <f>IF(NOT(Paths!$C$80=1),0,IF(Paths!$P$80="Complete",IF(AND(C812=0,Paths!$E$80=0),I812-J812-K812+VLOOKUP(A812,'Fleet register'!$A$7:$S$106,15,FALSE)+VLOOKUP(A812,'Fleet register'!$A$7:$S$106,16,FALSE),0),"n.a."))</f>
        <v>0</v>
      </c>
      <c r="S812" s="1">
        <f>IF(NOT(Paths!$C$80=1),0,IF(Paths!$P$80="Complete",IF(C812=0,0,Paths!$S$80*Paths!$R$80),"n.a."))</f>
        <v>0</v>
      </c>
      <c r="T812" s="1">
        <f>IF(NOT(Paths!$C$80=1),0,IF(Paths!$P$80="Complete",IF(C812=0,0,VLOOKUP(A812,'Fleet register'!$A$7:$S$106,9,FALSE)*Paths!$R$80),"n.a."))</f>
        <v>0</v>
      </c>
    </row>
    <row r="813" spans="1:20" ht="24" customHeight="1">
      <c r="A813" s="1" t="str">
        <f>Paths!$A$80</f>
        <v>T019</v>
      </c>
      <c r="B813" s="1">
        <f>Paths!$B$80</f>
        <v>1</v>
      </c>
      <c r="C813" s="1">
        <v>3</v>
      </c>
      <c r="D813" s="1">
        <v>80</v>
      </c>
      <c r="E813" s="1">
        <f>IF(OR(Paths!$C$80=0,C813=0),0,MAX(0,MIN(C813*12,Paths!$E$80)-(C813-1)*12))</f>
        <v>0</v>
      </c>
      <c r="F813" s="1">
        <f>IF(OR(Paths!$C$80=0,C813=0),0,12-E813)</f>
        <v>0</v>
      </c>
      <c r="G813" s="16">
        <f>IF(NOT(Paths!$C$80=1),0,IF(Paths!$P$80="Complete",E813/12*(Paths!$J$80*(1+'Operating costs'!$B$51)^MAX(0,C813-1)+Paths!$K$80*(1+'Operating costs'!$B$53)^MAX(0,C813-1)),"n.a."))</f>
        <v>0</v>
      </c>
      <c r="H813" s="16">
        <f>IF(NOT(Paths!$C$80=1),0,IF(Paths!$P$80="Complete",F813/12*(Paths!$L$80*(1+IF(Paths!$D$80="EV",'Operating costs'!$B$52,'Operating costs'!$B$51))^MAX(0,C813-1)+Paths!$M$80*(1+'Operating costs'!$B$53)^MAX(0,C813-1)),"n.a."))</f>
        <v>0</v>
      </c>
      <c r="I813" s="16">
        <f>IF(NOT(Paths!$C$80=1),0,IF(Paths!$P$80="Complete",IF(IF(Paths!$E$80=0,C813=0,AND(C813&gt;0,Paths!$E$80&gt;(C813-1)*12,Paths!$E$80&lt;=C813*12)),Paths!$G$80,0),"n.a."))</f>
        <v>0</v>
      </c>
      <c r="J813" s="16">
        <f>IF(NOT(Paths!$C$80=1),0,IF(Paths!$P$80="Complete",IF(IF(Paths!$E$80=0,C813=0,AND(C813&gt;0,Paths!$E$80&gt;(C813-1)*12,Paths!$E$80&lt;=C813*12)),Paths!$H$80,0),"n.a."))</f>
        <v>0</v>
      </c>
      <c r="K813" s="16">
        <f>IF(NOT(Paths!$C$80=1),0,IF(Paths!$P$80="Complete",IF(IF(Paths!$O$80=0,C813=0,AND(C813&gt;0,Paths!$O$80&gt;(C813-1)*12,Paths!$O$80&lt;=C813*12)),Paths!$N$80,0),"n.a."))</f>
        <v>0</v>
      </c>
      <c r="L813" s="16">
        <f>IF(NOT(Paths!$C$80=1),0,IF(Paths!$P$80="Complete",IF(C813=10,Paths!$I$80,0),"n.a."))</f>
        <v>0</v>
      </c>
      <c r="M813" s="16">
        <f>IF(NOT(Paths!$C$80=1),0,IF(Paths!$P$80="Complete",IF(AND(Paths!$D$80="EV",Paths!$E$80&lt;120,Paths!$E$80+'Operating costs'!$B$65&gt;Paths!$E$80,Paths!$E$80+'Operating costs'!$B$65&lt;=120,IF(Paths!$E$80+'Operating costs'!$B$65=0,C813=0,AND(C813&gt;0,Paths!$E$80+'Operating costs'!$B$65&gt;(C813-1)*12,Paths!$E$80+'Operating costs'!$B$65&lt;=C813*12))),'Operating costs'!$B$64,0)+IF(AND('Operating costs'!$B$67&gt;0,'Operating costs'!$B$67&lt;=120,OR(Paths!$D$80="ICE",'Operating costs'!$B$67&lt;=Paths!$E$80),IF('Operating costs'!$B$67=0,C813=0,AND(C813&gt;0,'Operating costs'!$B$67&gt;(C813-1)*12,'Operating costs'!$B$67&lt;=C813*12))),'Operating costs'!$B$66,0),"n.a."))</f>
        <v>0</v>
      </c>
      <c r="N813" s="16">
        <f>IF(NOT(Paths!$C$80=1),0,IF(Paths!$P$80="Complete",SUM(G813:I813)-J813-K813-L813+M813+IF(C813=0,Paths!$F$80,0)+IF(IF(Paths!$E$80=0,C813=0,AND(C813&gt;0,Paths!$E$80&gt;(C813-1)*12,Paths!$E$80&lt;=C813*12)),VLOOKUP(A813,'Fleet register'!$A$7:$S$106,16,FALSE),0),"n.a."))</f>
        <v>0</v>
      </c>
      <c r="O813" s="16">
        <f>IF(NOT(Paths!$C$80=1),0,IF(Paths!$P$80="Complete",N813-IF(C813=0,Paths!$F$80,0),"n.a."))</f>
        <v>0</v>
      </c>
      <c r="P813" s="16">
        <f>IF(NOT(Paths!$C$80=1),0,IF(Paths!$P$80="Complete",O813+L813,"n.a."))</f>
        <v>0</v>
      </c>
      <c r="Q813" s="16">
        <f>IF(NOT(Paths!$C$80=1),0,IF(Paths!$P$80="Complete",N813*(1+'Operating costs'!$B$54)^-C813,"n.a."))</f>
        <v>0</v>
      </c>
      <c r="R813" s="16">
        <f>IF(NOT(Paths!$C$80=1),0,IF(Paths!$P$80="Complete",IF(AND(C813=0,Paths!$E$80=0),I813-J813-K813+VLOOKUP(A813,'Fleet register'!$A$7:$S$106,15,FALSE)+VLOOKUP(A813,'Fleet register'!$A$7:$S$106,16,FALSE),0),"n.a."))</f>
        <v>0</v>
      </c>
      <c r="S813" s="1">
        <f>IF(NOT(Paths!$C$80=1),0,IF(Paths!$P$80="Complete",IF(C813=0,0,Paths!$S$80*Paths!$R$80),"n.a."))</f>
        <v>0</v>
      </c>
      <c r="T813" s="1">
        <f>IF(NOT(Paths!$C$80=1),0,IF(Paths!$P$80="Complete",IF(C813=0,0,VLOOKUP(A813,'Fleet register'!$A$7:$S$106,9,FALSE)*Paths!$R$80),"n.a."))</f>
        <v>0</v>
      </c>
    </row>
    <row r="814" spans="1:20" ht="24" customHeight="1">
      <c r="A814" s="1" t="str">
        <f>Paths!$A$80</f>
        <v>T019</v>
      </c>
      <c r="B814" s="1">
        <f>Paths!$B$80</f>
        <v>1</v>
      </c>
      <c r="C814" s="1">
        <v>4</v>
      </c>
      <c r="D814" s="1">
        <v>80</v>
      </c>
      <c r="E814" s="1">
        <f>IF(OR(Paths!$C$80=0,C814=0),0,MAX(0,MIN(C814*12,Paths!$E$80)-(C814-1)*12))</f>
        <v>0</v>
      </c>
      <c r="F814" s="1">
        <f>IF(OR(Paths!$C$80=0,C814=0),0,12-E814)</f>
        <v>0</v>
      </c>
      <c r="G814" s="16">
        <f>IF(NOT(Paths!$C$80=1),0,IF(Paths!$P$80="Complete",E814/12*(Paths!$J$80*(1+'Operating costs'!$B$51)^MAX(0,C814-1)+Paths!$K$80*(1+'Operating costs'!$B$53)^MAX(0,C814-1)),"n.a."))</f>
        <v>0</v>
      </c>
      <c r="H814" s="16">
        <f>IF(NOT(Paths!$C$80=1),0,IF(Paths!$P$80="Complete",F814/12*(Paths!$L$80*(1+IF(Paths!$D$80="EV",'Operating costs'!$B$52,'Operating costs'!$B$51))^MAX(0,C814-1)+Paths!$M$80*(1+'Operating costs'!$B$53)^MAX(0,C814-1)),"n.a."))</f>
        <v>0</v>
      </c>
      <c r="I814" s="16">
        <f>IF(NOT(Paths!$C$80=1),0,IF(Paths!$P$80="Complete",IF(IF(Paths!$E$80=0,C814=0,AND(C814&gt;0,Paths!$E$80&gt;(C814-1)*12,Paths!$E$80&lt;=C814*12)),Paths!$G$80,0),"n.a."))</f>
        <v>0</v>
      </c>
      <c r="J814" s="16">
        <f>IF(NOT(Paths!$C$80=1),0,IF(Paths!$P$80="Complete",IF(IF(Paths!$E$80=0,C814=0,AND(C814&gt;0,Paths!$E$80&gt;(C814-1)*12,Paths!$E$80&lt;=C814*12)),Paths!$H$80,0),"n.a."))</f>
        <v>0</v>
      </c>
      <c r="K814" s="16">
        <f>IF(NOT(Paths!$C$80=1),0,IF(Paths!$P$80="Complete",IF(IF(Paths!$O$80=0,C814=0,AND(C814&gt;0,Paths!$O$80&gt;(C814-1)*12,Paths!$O$80&lt;=C814*12)),Paths!$N$80,0),"n.a."))</f>
        <v>0</v>
      </c>
      <c r="L814" s="16">
        <f>IF(NOT(Paths!$C$80=1),0,IF(Paths!$P$80="Complete",IF(C814=10,Paths!$I$80,0),"n.a."))</f>
        <v>0</v>
      </c>
      <c r="M814" s="16">
        <f>IF(NOT(Paths!$C$80=1),0,IF(Paths!$P$80="Complete",IF(AND(Paths!$D$80="EV",Paths!$E$80&lt;120,Paths!$E$80+'Operating costs'!$B$65&gt;Paths!$E$80,Paths!$E$80+'Operating costs'!$B$65&lt;=120,IF(Paths!$E$80+'Operating costs'!$B$65=0,C814=0,AND(C814&gt;0,Paths!$E$80+'Operating costs'!$B$65&gt;(C814-1)*12,Paths!$E$80+'Operating costs'!$B$65&lt;=C814*12))),'Operating costs'!$B$64,0)+IF(AND('Operating costs'!$B$67&gt;0,'Operating costs'!$B$67&lt;=120,OR(Paths!$D$80="ICE",'Operating costs'!$B$67&lt;=Paths!$E$80),IF('Operating costs'!$B$67=0,C814=0,AND(C814&gt;0,'Operating costs'!$B$67&gt;(C814-1)*12,'Operating costs'!$B$67&lt;=C814*12))),'Operating costs'!$B$66,0),"n.a."))</f>
        <v>0</v>
      </c>
      <c r="N814" s="16">
        <f>IF(NOT(Paths!$C$80=1),0,IF(Paths!$P$80="Complete",SUM(G814:I814)-J814-K814-L814+M814+IF(C814=0,Paths!$F$80,0)+IF(IF(Paths!$E$80=0,C814=0,AND(C814&gt;0,Paths!$E$80&gt;(C814-1)*12,Paths!$E$80&lt;=C814*12)),VLOOKUP(A814,'Fleet register'!$A$7:$S$106,16,FALSE),0),"n.a."))</f>
        <v>0</v>
      </c>
      <c r="O814" s="16">
        <f>IF(NOT(Paths!$C$80=1),0,IF(Paths!$P$80="Complete",N814-IF(C814=0,Paths!$F$80,0),"n.a."))</f>
        <v>0</v>
      </c>
      <c r="P814" s="16">
        <f>IF(NOT(Paths!$C$80=1),0,IF(Paths!$P$80="Complete",O814+L814,"n.a."))</f>
        <v>0</v>
      </c>
      <c r="Q814" s="16">
        <f>IF(NOT(Paths!$C$80=1),0,IF(Paths!$P$80="Complete",N814*(1+'Operating costs'!$B$54)^-C814,"n.a."))</f>
        <v>0</v>
      </c>
      <c r="R814" s="16">
        <f>IF(NOT(Paths!$C$80=1),0,IF(Paths!$P$80="Complete",IF(AND(C814=0,Paths!$E$80=0),I814-J814-K814+VLOOKUP(A814,'Fleet register'!$A$7:$S$106,15,FALSE)+VLOOKUP(A814,'Fleet register'!$A$7:$S$106,16,FALSE),0),"n.a."))</f>
        <v>0</v>
      </c>
      <c r="S814" s="1">
        <f>IF(NOT(Paths!$C$80=1),0,IF(Paths!$P$80="Complete",IF(C814=0,0,Paths!$S$80*Paths!$R$80),"n.a."))</f>
        <v>0</v>
      </c>
      <c r="T814" s="1">
        <f>IF(NOT(Paths!$C$80=1),0,IF(Paths!$P$80="Complete",IF(C814=0,0,VLOOKUP(A814,'Fleet register'!$A$7:$S$106,9,FALSE)*Paths!$R$80),"n.a."))</f>
        <v>0</v>
      </c>
    </row>
    <row r="815" spans="1:20" ht="24" customHeight="1">
      <c r="A815" s="1" t="str">
        <f>Paths!$A$80</f>
        <v>T019</v>
      </c>
      <c r="B815" s="1">
        <f>Paths!$B$80</f>
        <v>1</v>
      </c>
      <c r="C815" s="1">
        <v>5</v>
      </c>
      <c r="D815" s="1">
        <v>80</v>
      </c>
      <c r="E815" s="1">
        <f>IF(OR(Paths!$C$80=0,C815=0),0,MAX(0,MIN(C815*12,Paths!$E$80)-(C815-1)*12))</f>
        <v>0</v>
      </c>
      <c r="F815" s="1">
        <f>IF(OR(Paths!$C$80=0,C815=0),0,12-E815)</f>
        <v>0</v>
      </c>
      <c r="G815" s="16">
        <f>IF(NOT(Paths!$C$80=1),0,IF(Paths!$P$80="Complete",E815/12*(Paths!$J$80*(1+'Operating costs'!$B$51)^MAX(0,C815-1)+Paths!$K$80*(1+'Operating costs'!$B$53)^MAX(0,C815-1)),"n.a."))</f>
        <v>0</v>
      </c>
      <c r="H815" s="16">
        <f>IF(NOT(Paths!$C$80=1),0,IF(Paths!$P$80="Complete",F815/12*(Paths!$L$80*(1+IF(Paths!$D$80="EV",'Operating costs'!$B$52,'Operating costs'!$B$51))^MAX(0,C815-1)+Paths!$M$80*(1+'Operating costs'!$B$53)^MAX(0,C815-1)),"n.a."))</f>
        <v>0</v>
      </c>
      <c r="I815" s="16">
        <f>IF(NOT(Paths!$C$80=1),0,IF(Paths!$P$80="Complete",IF(IF(Paths!$E$80=0,C815=0,AND(C815&gt;0,Paths!$E$80&gt;(C815-1)*12,Paths!$E$80&lt;=C815*12)),Paths!$G$80,0),"n.a."))</f>
        <v>0</v>
      </c>
      <c r="J815" s="16">
        <f>IF(NOT(Paths!$C$80=1),0,IF(Paths!$P$80="Complete",IF(IF(Paths!$E$80=0,C815=0,AND(C815&gt;0,Paths!$E$80&gt;(C815-1)*12,Paths!$E$80&lt;=C815*12)),Paths!$H$80,0),"n.a."))</f>
        <v>0</v>
      </c>
      <c r="K815" s="16">
        <f>IF(NOT(Paths!$C$80=1),0,IF(Paths!$P$80="Complete",IF(IF(Paths!$O$80=0,C815=0,AND(C815&gt;0,Paths!$O$80&gt;(C815-1)*12,Paths!$O$80&lt;=C815*12)),Paths!$N$80,0),"n.a."))</f>
        <v>0</v>
      </c>
      <c r="L815" s="16">
        <f>IF(NOT(Paths!$C$80=1),0,IF(Paths!$P$80="Complete",IF(C815=10,Paths!$I$80,0),"n.a."))</f>
        <v>0</v>
      </c>
      <c r="M815" s="16">
        <f>IF(NOT(Paths!$C$80=1),0,IF(Paths!$P$80="Complete",IF(AND(Paths!$D$80="EV",Paths!$E$80&lt;120,Paths!$E$80+'Operating costs'!$B$65&gt;Paths!$E$80,Paths!$E$80+'Operating costs'!$B$65&lt;=120,IF(Paths!$E$80+'Operating costs'!$B$65=0,C815=0,AND(C815&gt;0,Paths!$E$80+'Operating costs'!$B$65&gt;(C815-1)*12,Paths!$E$80+'Operating costs'!$B$65&lt;=C815*12))),'Operating costs'!$B$64,0)+IF(AND('Operating costs'!$B$67&gt;0,'Operating costs'!$B$67&lt;=120,OR(Paths!$D$80="ICE",'Operating costs'!$B$67&lt;=Paths!$E$80),IF('Operating costs'!$B$67=0,C815=0,AND(C815&gt;0,'Operating costs'!$B$67&gt;(C815-1)*12,'Operating costs'!$B$67&lt;=C815*12))),'Operating costs'!$B$66,0),"n.a."))</f>
        <v>0</v>
      </c>
      <c r="N815" s="16">
        <f>IF(NOT(Paths!$C$80=1),0,IF(Paths!$P$80="Complete",SUM(G815:I815)-J815-K815-L815+M815+IF(C815=0,Paths!$F$80,0)+IF(IF(Paths!$E$80=0,C815=0,AND(C815&gt;0,Paths!$E$80&gt;(C815-1)*12,Paths!$E$80&lt;=C815*12)),VLOOKUP(A815,'Fleet register'!$A$7:$S$106,16,FALSE),0),"n.a."))</f>
        <v>0</v>
      </c>
      <c r="O815" s="16">
        <f>IF(NOT(Paths!$C$80=1),0,IF(Paths!$P$80="Complete",N815-IF(C815=0,Paths!$F$80,0),"n.a."))</f>
        <v>0</v>
      </c>
      <c r="P815" s="16">
        <f>IF(NOT(Paths!$C$80=1),0,IF(Paths!$P$80="Complete",O815+L815,"n.a."))</f>
        <v>0</v>
      </c>
      <c r="Q815" s="16">
        <f>IF(NOT(Paths!$C$80=1),0,IF(Paths!$P$80="Complete",N815*(1+'Operating costs'!$B$54)^-C815,"n.a."))</f>
        <v>0</v>
      </c>
      <c r="R815" s="16">
        <f>IF(NOT(Paths!$C$80=1),0,IF(Paths!$P$80="Complete",IF(AND(C815=0,Paths!$E$80=0),I815-J815-K815+VLOOKUP(A815,'Fleet register'!$A$7:$S$106,15,FALSE)+VLOOKUP(A815,'Fleet register'!$A$7:$S$106,16,FALSE),0),"n.a."))</f>
        <v>0</v>
      </c>
      <c r="S815" s="1">
        <f>IF(NOT(Paths!$C$80=1),0,IF(Paths!$P$80="Complete",IF(C815=0,0,Paths!$S$80*Paths!$R$80),"n.a."))</f>
        <v>0</v>
      </c>
      <c r="T815" s="1">
        <f>IF(NOT(Paths!$C$80=1),0,IF(Paths!$P$80="Complete",IF(C815=0,0,VLOOKUP(A815,'Fleet register'!$A$7:$S$106,9,FALSE)*Paths!$R$80),"n.a."))</f>
        <v>0</v>
      </c>
    </row>
    <row r="816" spans="1:20" ht="24" customHeight="1">
      <c r="A816" s="1" t="str">
        <f>Paths!$A$80</f>
        <v>T019</v>
      </c>
      <c r="B816" s="1">
        <f>Paths!$B$80</f>
        <v>1</v>
      </c>
      <c r="C816" s="1">
        <v>6</v>
      </c>
      <c r="D816" s="1">
        <v>80</v>
      </c>
      <c r="E816" s="1">
        <f>IF(OR(Paths!$C$80=0,C816=0),0,MAX(0,MIN(C816*12,Paths!$E$80)-(C816-1)*12))</f>
        <v>0</v>
      </c>
      <c r="F816" s="1">
        <f>IF(OR(Paths!$C$80=0,C816=0),0,12-E816)</f>
        <v>0</v>
      </c>
      <c r="G816" s="16">
        <f>IF(NOT(Paths!$C$80=1),0,IF(Paths!$P$80="Complete",E816/12*(Paths!$J$80*(1+'Operating costs'!$B$51)^MAX(0,C816-1)+Paths!$K$80*(1+'Operating costs'!$B$53)^MAX(0,C816-1)),"n.a."))</f>
        <v>0</v>
      </c>
      <c r="H816" s="16">
        <f>IF(NOT(Paths!$C$80=1),0,IF(Paths!$P$80="Complete",F816/12*(Paths!$L$80*(1+IF(Paths!$D$80="EV",'Operating costs'!$B$52,'Operating costs'!$B$51))^MAX(0,C816-1)+Paths!$M$80*(1+'Operating costs'!$B$53)^MAX(0,C816-1)),"n.a."))</f>
        <v>0</v>
      </c>
      <c r="I816" s="16">
        <f>IF(NOT(Paths!$C$80=1),0,IF(Paths!$P$80="Complete",IF(IF(Paths!$E$80=0,C816=0,AND(C816&gt;0,Paths!$E$80&gt;(C816-1)*12,Paths!$E$80&lt;=C816*12)),Paths!$G$80,0),"n.a."))</f>
        <v>0</v>
      </c>
      <c r="J816" s="16">
        <f>IF(NOT(Paths!$C$80=1),0,IF(Paths!$P$80="Complete",IF(IF(Paths!$E$80=0,C816=0,AND(C816&gt;0,Paths!$E$80&gt;(C816-1)*12,Paths!$E$80&lt;=C816*12)),Paths!$H$80,0),"n.a."))</f>
        <v>0</v>
      </c>
      <c r="K816" s="16">
        <f>IF(NOT(Paths!$C$80=1),0,IF(Paths!$P$80="Complete",IF(IF(Paths!$O$80=0,C816=0,AND(C816&gt;0,Paths!$O$80&gt;(C816-1)*12,Paths!$O$80&lt;=C816*12)),Paths!$N$80,0),"n.a."))</f>
        <v>0</v>
      </c>
      <c r="L816" s="16">
        <f>IF(NOT(Paths!$C$80=1),0,IF(Paths!$P$80="Complete",IF(C816=10,Paths!$I$80,0),"n.a."))</f>
        <v>0</v>
      </c>
      <c r="M816" s="16">
        <f>IF(NOT(Paths!$C$80=1),0,IF(Paths!$P$80="Complete",IF(AND(Paths!$D$80="EV",Paths!$E$80&lt;120,Paths!$E$80+'Operating costs'!$B$65&gt;Paths!$E$80,Paths!$E$80+'Operating costs'!$B$65&lt;=120,IF(Paths!$E$80+'Operating costs'!$B$65=0,C816=0,AND(C816&gt;0,Paths!$E$80+'Operating costs'!$B$65&gt;(C816-1)*12,Paths!$E$80+'Operating costs'!$B$65&lt;=C816*12))),'Operating costs'!$B$64,0)+IF(AND('Operating costs'!$B$67&gt;0,'Operating costs'!$B$67&lt;=120,OR(Paths!$D$80="ICE",'Operating costs'!$B$67&lt;=Paths!$E$80),IF('Operating costs'!$B$67=0,C816=0,AND(C816&gt;0,'Operating costs'!$B$67&gt;(C816-1)*12,'Operating costs'!$B$67&lt;=C816*12))),'Operating costs'!$B$66,0),"n.a."))</f>
        <v>0</v>
      </c>
      <c r="N816" s="16">
        <f>IF(NOT(Paths!$C$80=1),0,IF(Paths!$P$80="Complete",SUM(G816:I816)-J816-K816-L816+M816+IF(C816=0,Paths!$F$80,0)+IF(IF(Paths!$E$80=0,C816=0,AND(C816&gt;0,Paths!$E$80&gt;(C816-1)*12,Paths!$E$80&lt;=C816*12)),VLOOKUP(A816,'Fleet register'!$A$7:$S$106,16,FALSE),0),"n.a."))</f>
        <v>0</v>
      </c>
      <c r="O816" s="16">
        <f>IF(NOT(Paths!$C$80=1),0,IF(Paths!$P$80="Complete",N816-IF(C816=0,Paths!$F$80,0),"n.a."))</f>
        <v>0</v>
      </c>
      <c r="P816" s="16">
        <f>IF(NOT(Paths!$C$80=1),0,IF(Paths!$P$80="Complete",O816+L816,"n.a."))</f>
        <v>0</v>
      </c>
      <c r="Q816" s="16">
        <f>IF(NOT(Paths!$C$80=1),0,IF(Paths!$P$80="Complete",N816*(1+'Operating costs'!$B$54)^-C816,"n.a."))</f>
        <v>0</v>
      </c>
      <c r="R816" s="16">
        <f>IF(NOT(Paths!$C$80=1),0,IF(Paths!$P$80="Complete",IF(AND(C816=0,Paths!$E$80=0),I816-J816-K816+VLOOKUP(A816,'Fleet register'!$A$7:$S$106,15,FALSE)+VLOOKUP(A816,'Fleet register'!$A$7:$S$106,16,FALSE),0),"n.a."))</f>
        <v>0</v>
      </c>
      <c r="S816" s="1">
        <f>IF(NOT(Paths!$C$80=1),0,IF(Paths!$P$80="Complete",IF(C816=0,0,Paths!$S$80*Paths!$R$80),"n.a."))</f>
        <v>0</v>
      </c>
      <c r="T816" s="1">
        <f>IF(NOT(Paths!$C$80=1),0,IF(Paths!$P$80="Complete",IF(C816=0,0,VLOOKUP(A816,'Fleet register'!$A$7:$S$106,9,FALSE)*Paths!$R$80),"n.a."))</f>
        <v>0</v>
      </c>
    </row>
    <row r="817" spans="1:20" ht="24" customHeight="1">
      <c r="A817" s="1" t="str">
        <f>Paths!$A$80</f>
        <v>T019</v>
      </c>
      <c r="B817" s="1">
        <f>Paths!$B$80</f>
        <v>1</v>
      </c>
      <c r="C817" s="1">
        <v>7</v>
      </c>
      <c r="D817" s="1">
        <v>80</v>
      </c>
      <c r="E817" s="1">
        <f>IF(OR(Paths!$C$80=0,C817=0),0,MAX(0,MIN(C817*12,Paths!$E$80)-(C817-1)*12))</f>
        <v>0</v>
      </c>
      <c r="F817" s="1">
        <f>IF(OR(Paths!$C$80=0,C817=0),0,12-E817)</f>
        <v>0</v>
      </c>
      <c r="G817" s="16">
        <f>IF(NOT(Paths!$C$80=1),0,IF(Paths!$P$80="Complete",E817/12*(Paths!$J$80*(1+'Operating costs'!$B$51)^MAX(0,C817-1)+Paths!$K$80*(1+'Operating costs'!$B$53)^MAX(0,C817-1)),"n.a."))</f>
        <v>0</v>
      </c>
      <c r="H817" s="16">
        <f>IF(NOT(Paths!$C$80=1),0,IF(Paths!$P$80="Complete",F817/12*(Paths!$L$80*(1+IF(Paths!$D$80="EV",'Operating costs'!$B$52,'Operating costs'!$B$51))^MAX(0,C817-1)+Paths!$M$80*(1+'Operating costs'!$B$53)^MAX(0,C817-1)),"n.a."))</f>
        <v>0</v>
      </c>
      <c r="I817" s="16">
        <f>IF(NOT(Paths!$C$80=1),0,IF(Paths!$P$80="Complete",IF(IF(Paths!$E$80=0,C817=0,AND(C817&gt;0,Paths!$E$80&gt;(C817-1)*12,Paths!$E$80&lt;=C817*12)),Paths!$G$80,0),"n.a."))</f>
        <v>0</v>
      </c>
      <c r="J817" s="16">
        <f>IF(NOT(Paths!$C$80=1),0,IF(Paths!$P$80="Complete",IF(IF(Paths!$E$80=0,C817=0,AND(C817&gt;0,Paths!$E$80&gt;(C817-1)*12,Paths!$E$80&lt;=C817*12)),Paths!$H$80,0),"n.a."))</f>
        <v>0</v>
      </c>
      <c r="K817" s="16">
        <f>IF(NOT(Paths!$C$80=1),0,IF(Paths!$P$80="Complete",IF(IF(Paths!$O$80=0,C817=0,AND(C817&gt;0,Paths!$O$80&gt;(C817-1)*12,Paths!$O$80&lt;=C817*12)),Paths!$N$80,0),"n.a."))</f>
        <v>0</v>
      </c>
      <c r="L817" s="16">
        <f>IF(NOT(Paths!$C$80=1),0,IF(Paths!$P$80="Complete",IF(C817=10,Paths!$I$80,0),"n.a."))</f>
        <v>0</v>
      </c>
      <c r="M817" s="16">
        <f>IF(NOT(Paths!$C$80=1),0,IF(Paths!$P$80="Complete",IF(AND(Paths!$D$80="EV",Paths!$E$80&lt;120,Paths!$E$80+'Operating costs'!$B$65&gt;Paths!$E$80,Paths!$E$80+'Operating costs'!$B$65&lt;=120,IF(Paths!$E$80+'Operating costs'!$B$65=0,C817=0,AND(C817&gt;0,Paths!$E$80+'Operating costs'!$B$65&gt;(C817-1)*12,Paths!$E$80+'Operating costs'!$B$65&lt;=C817*12))),'Operating costs'!$B$64,0)+IF(AND('Operating costs'!$B$67&gt;0,'Operating costs'!$B$67&lt;=120,OR(Paths!$D$80="ICE",'Operating costs'!$B$67&lt;=Paths!$E$80),IF('Operating costs'!$B$67=0,C817=0,AND(C817&gt;0,'Operating costs'!$B$67&gt;(C817-1)*12,'Operating costs'!$B$67&lt;=C817*12))),'Operating costs'!$B$66,0),"n.a."))</f>
        <v>0</v>
      </c>
      <c r="N817" s="16">
        <f>IF(NOT(Paths!$C$80=1),0,IF(Paths!$P$80="Complete",SUM(G817:I817)-J817-K817-L817+M817+IF(C817=0,Paths!$F$80,0)+IF(IF(Paths!$E$80=0,C817=0,AND(C817&gt;0,Paths!$E$80&gt;(C817-1)*12,Paths!$E$80&lt;=C817*12)),VLOOKUP(A817,'Fleet register'!$A$7:$S$106,16,FALSE),0),"n.a."))</f>
        <v>0</v>
      </c>
      <c r="O817" s="16">
        <f>IF(NOT(Paths!$C$80=1),0,IF(Paths!$P$80="Complete",N817-IF(C817=0,Paths!$F$80,0),"n.a."))</f>
        <v>0</v>
      </c>
      <c r="P817" s="16">
        <f>IF(NOT(Paths!$C$80=1),0,IF(Paths!$P$80="Complete",O817+L817,"n.a."))</f>
        <v>0</v>
      </c>
      <c r="Q817" s="16">
        <f>IF(NOT(Paths!$C$80=1),0,IF(Paths!$P$80="Complete",N817*(1+'Operating costs'!$B$54)^-C817,"n.a."))</f>
        <v>0</v>
      </c>
      <c r="R817" s="16">
        <f>IF(NOT(Paths!$C$80=1),0,IF(Paths!$P$80="Complete",IF(AND(C817=0,Paths!$E$80=0),I817-J817-K817+VLOOKUP(A817,'Fleet register'!$A$7:$S$106,15,FALSE)+VLOOKUP(A817,'Fleet register'!$A$7:$S$106,16,FALSE),0),"n.a."))</f>
        <v>0</v>
      </c>
      <c r="S817" s="1">
        <f>IF(NOT(Paths!$C$80=1),0,IF(Paths!$P$80="Complete",IF(C817=0,0,Paths!$S$80*Paths!$R$80),"n.a."))</f>
        <v>0</v>
      </c>
      <c r="T817" s="1">
        <f>IF(NOT(Paths!$C$80=1),0,IF(Paths!$P$80="Complete",IF(C817=0,0,VLOOKUP(A817,'Fleet register'!$A$7:$S$106,9,FALSE)*Paths!$R$80),"n.a."))</f>
        <v>0</v>
      </c>
    </row>
    <row r="818" spans="1:20" ht="24" customHeight="1">
      <c r="A818" s="1" t="str">
        <f>Paths!$A$80</f>
        <v>T019</v>
      </c>
      <c r="B818" s="1">
        <f>Paths!$B$80</f>
        <v>1</v>
      </c>
      <c r="C818" s="1">
        <v>8</v>
      </c>
      <c r="D818" s="1">
        <v>80</v>
      </c>
      <c r="E818" s="1">
        <f>IF(OR(Paths!$C$80=0,C818=0),0,MAX(0,MIN(C818*12,Paths!$E$80)-(C818-1)*12))</f>
        <v>0</v>
      </c>
      <c r="F818" s="1">
        <f>IF(OR(Paths!$C$80=0,C818=0),0,12-E818)</f>
        <v>0</v>
      </c>
      <c r="G818" s="16">
        <f>IF(NOT(Paths!$C$80=1),0,IF(Paths!$P$80="Complete",E818/12*(Paths!$J$80*(1+'Operating costs'!$B$51)^MAX(0,C818-1)+Paths!$K$80*(1+'Operating costs'!$B$53)^MAX(0,C818-1)),"n.a."))</f>
        <v>0</v>
      </c>
      <c r="H818" s="16">
        <f>IF(NOT(Paths!$C$80=1),0,IF(Paths!$P$80="Complete",F818/12*(Paths!$L$80*(1+IF(Paths!$D$80="EV",'Operating costs'!$B$52,'Operating costs'!$B$51))^MAX(0,C818-1)+Paths!$M$80*(1+'Operating costs'!$B$53)^MAX(0,C818-1)),"n.a."))</f>
        <v>0</v>
      </c>
      <c r="I818" s="16">
        <f>IF(NOT(Paths!$C$80=1),0,IF(Paths!$P$80="Complete",IF(IF(Paths!$E$80=0,C818=0,AND(C818&gt;0,Paths!$E$80&gt;(C818-1)*12,Paths!$E$80&lt;=C818*12)),Paths!$G$80,0),"n.a."))</f>
        <v>0</v>
      </c>
      <c r="J818" s="16">
        <f>IF(NOT(Paths!$C$80=1),0,IF(Paths!$P$80="Complete",IF(IF(Paths!$E$80=0,C818=0,AND(C818&gt;0,Paths!$E$80&gt;(C818-1)*12,Paths!$E$80&lt;=C818*12)),Paths!$H$80,0),"n.a."))</f>
        <v>0</v>
      </c>
      <c r="K818" s="16">
        <f>IF(NOT(Paths!$C$80=1),0,IF(Paths!$P$80="Complete",IF(IF(Paths!$O$80=0,C818=0,AND(C818&gt;0,Paths!$O$80&gt;(C818-1)*12,Paths!$O$80&lt;=C818*12)),Paths!$N$80,0),"n.a."))</f>
        <v>0</v>
      </c>
      <c r="L818" s="16">
        <f>IF(NOT(Paths!$C$80=1),0,IF(Paths!$P$80="Complete",IF(C818=10,Paths!$I$80,0),"n.a."))</f>
        <v>0</v>
      </c>
      <c r="M818" s="16">
        <f>IF(NOT(Paths!$C$80=1),0,IF(Paths!$P$80="Complete",IF(AND(Paths!$D$80="EV",Paths!$E$80&lt;120,Paths!$E$80+'Operating costs'!$B$65&gt;Paths!$E$80,Paths!$E$80+'Operating costs'!$B$65&lt;=120,IF(Paths!$E$80+'Operating costs'!$B$65=0,C818=0,AND(C818&gt;0,Paths!$E$80+'Operating costs'!$B$65&gt;(C818-1)*12,Paths!$E$80+'Operating costs'!$B$65&lt;=C818*12))),'Operating costs'!$B$64,0)+IF(AND('Operating costs'!$B$67&gt;0,'Operating costs'!$B$67&lt;=120,OR(Paths!$D$80="ICE",'Operating costs'!$B$67&lt;=Paths!$E$80),IF('Operating costs'!$B$67=0,C818=0,AND(C818&gt;0,'Operating costs'!$B$67&gt;(C818-1)*12,'Operating costs'!$B$67&lt;=C818*12))),'Operating costs'!$B$66,0),"n.a."))</f>
        <v>0</v>
      </c>
      <c r="N818" s="16">
        <f>IF(NOT(Paths!$C$80=1),0,IF(Paths!$P$80="Complete",SUM(G818:I818)-J818-K818-L818+M818+IF(C818=0,Paths!$F$80,0)+IF(IF(Paths!$E$80=0,C818=0,AND(C818&gt;0,Paths!$E$80&gt;(C818-1)*12,Paths!$E$80&lt;=C818*12)),VLOOKUP(A818,'Fleet register'!$A$7:$S$106,16,FALSE),0),"n.a."))</f>
        <v>0</v>
      </c>
      <c r="O818" s="16">
        <f>IF(NOT(Paths!$C$80=1),0,IF(Paths!$P$80="Complete",N818-IF(C818=0,Paths!$F$80,0),"n.a."))</f>
        <v>0</v>
      </c>
      <c r="P818" s="16">
        <f>IF(NOT(Paths!$C$80=1),0,IF(Paths!$P$80="Complete",O818+L818,"n.a."))</f>
        <v>0</v>
      </c>
      <c r="Q818" s="16">
        <f>IF(NOT(Paths!$C$80=1),0,IF(Paths!$P$80="Complete",N818*(1+'Operating costs'!$B$54)^-C818,"n.a."))</f>
        <v>0</v>
      </c>
      <c r="R818" s="16">
        <f>IF(NOT(Paths!$C$80=1),0,IF(Paths!$P$80="Complete",IF(AND(C818=0,Paths!$E$80=0),I818-J818-K818+VLOOKUP(A818,'Fleet register'!$A$7:$S$106,15,FALSE)+VLOOKUP(A818,'Fleet register'!$A$7:$S$106,16,FALSE),0),"n.a."))</f>
        <v>0</v>
      </c>
      <c r="S818" s="1">
        <f>IF(NOT(Paths!$C$80=1),0,IF(Paths!$P$80="Complete",IF(C818=0,0,Paths!$S$80*Paths!$R$80),"n.a."))</f>
        <v>0</v>
      </c>
      <c r="T818" s="1">
        <f>IF(NOT(Paths!$C$80=1),0,IF(Paths!$P$80="Complete",IF(C818=0,0,VLOOKUP(A818,'Fleet register'!$A$7:$S$106,9,FALSE)*Paths!$R$80),"n.a."))</f>
        <v>0</v>
      </c>
    </row>
    <row r="819" spans="1:20" ht="24" customHeight="1">
      <c r="A819" s="1" t="str">
        <f>Paths!$A$80</f>
        <v>T019</v>
      </c>
      <c r="B819" s="1">
        <f>Paths!$B$80</f>
        <v>1</v>
      </c>
      <c r="C819" s="1">
        <v>9</v>
      </c>
      <c r="D819" s="1">
        <v>80</v>
      </c>
      <c r="E819" s="1">
        <f>IF(OR(Paths!$C$80=0,C819=0),0,MAX(0,MIN(C819*12,Paths!$E$80)-(C819-1)*12))</f>
        <v>0</v>
      </c>
      <c r="F819" s="1">
        <f>IF(OR(Paths!$C$80=0,C819=0),0,12-E819)</f>
        <v>0</v>
      </c>
      <c r="G819" s="16">
        <f>IF(NOT(Paths!$C$80=1),0,IF(Paths!$P$80="Complete",E819/12*(Paths!$J$80*(1+'Operating costs'!$B$51)^MAX(0,C819-1)+Paths!$K$80*(1+'Operating costs'!$B$53)^MAX(0,C819-1)),"n.a."))</f>
        <v>0</v>
      </c>
      <c r="H819" s="16">
        <f>IF(NOT(Paths!$C$80=1),0,IF(Paths!$P$80="Complete",F819/12*(Paths!$L$80*(1+IF(Paths!$D$80="EV",'Operating costs'!$B$52,'Operating costs'!$B$51))^MAX(0,C819-1)+Paths!$M$80*(1+'Operating costs'!$B$53)^MAX(0,C819-1)),"n.a."))</f>
        <v>0</v>
      </c>
      <c r="I819" s="16">
        <f>IF(NOT(Paths!$C$80=1),0,IF(Paths!$P$80="Complete",IF(IF(Paths!$E$80=0,C819=0,AND(C819&gt;0,Paths!$E$80&gt;(C819-1)*12,Paths!$E$80&lt;=C819*12)),Paths!$G$80,0),"n.a."))</f>
        <v>0</v>
      </c>
      <c r="J819" s="16">
        <f>IF(NOT(Paths!$C$80=1),0,IF(Paths!$P$80="Complete",IF(IF(Paths!$E$80=0,C819=0,AND(C819&gt;0,Paths!$E$80&gt;(C819-1)*12,Paths!$E$80&lt;=C819*12)),Paths!$H$80,0),"n.a."))</f>
        <v>0</v>
      </c>
      <c r="K819" s="16">
        <f>IF(NOT(Paths!$C$80=1),0,IF(Paths!$P$80="Complete",IF(IF(Paths!$O$80=0,C819=0,AND(C819&gt;0,Paths!$O$80&gt;(C819-1)*12,Paths!$O$80&lt;=C819*12)),Paths!$N$80,0),"n.a."))</f>
        <v>0</v>
      </c>
      <c r="L819" s="16">
        <f>IF(NOT(Paths!$C$80=1),0,IF(Paths!$P$80="Complete",IF(C819=10,Paths!$I$80,0),"n.a."))</f>
        <v>0</v>
      </c>
      <c r="M819" s="16">
        <f>IF(NOT(Paths!$C$80=1),0,IF(Paths!$P$80="Complete",IF(AND(Paths!$D$80="EV",Paths!$E$80&lt;120,Paths!$E$80+'Operating costs'!$B$65&gt;Paths!$E$80,Paths!$E$80+'Operating costs'!$B$65&lt;=120,IF(Paths!$E$80+'Operating costs'!$B$65=0,C819=0,AND(C819&gt;0,Paths!$E$80+'Operating costs'!$B$65&gt;(C819-1)*12,Paths!$E$80+'Operating costs'!$B$65&lt;=C819*12))),'Operating costs'!$B$64,0)+IF(AND('Operating costs'!$B$67&gt;0,'Operating costs'!$B$67&lt;=120,OR(Paths!$D$80="ICE",'Operating costs'!$B$67&lt;=Paths!$E$80),IF('Operating costs'!$B$67=0,C819=0,AND(C819&gt;0,'Operating costs'!$B$67&gt;(C819-1)*12,'Operating costs'!$B$67&lt;=C819*12))),'Operating costs'!$B$66,0),"n.a."))</f>
        <v>0</v>
      </c>
      <c r="N819" s="16">
        <f>IF(NOT(Paths!$C$80=1),0,IF(Paths!$P$80="Complete",SUM(G819:I819)-J819-K819-L819+M819+IF(C819=0,Paths!$F$80,0)+IF(IF(Paths!$E$80=0,C819=0,AND(C819&gt;0,Paths!$E$80&gt;(C819-1)*12,Paths!$E$80&lt;=C819*12)),VLOOKUP(A819,'Fleet register'!$A$7:$S$106,16,FALSE),0),"n.a."))</f>
        <v>0</v>
      </c>
      <c r="O819" s="16">
        <f>IF(NOT(Paths!$C$80=1),0,IF(Paths!$P$80="Complete",N819-IF(C819=0,Paths!$F$80,0),"n.a."))</f>
        <v>0</v>
      </c>
      <c r="P819" s="16">
        <f>IF(NOT(Paths!$C$80=1),0,IF(Paths!$P$80="Complete",O819+L819,"n.a."))</f>
        <v>0</v>
      </c>
      <c r="Q819" s="16">
        <f>IF(NOT(Paths!$C$80=1),0,IF(Paths!$P$80="Complete",N819*(1+'Operating costs'!$B$54)^-C819,"n.a."))</f>
        <v>0</v>
      </c>
      <c r="R819" s="16">
        <f>IF(NOT(Paths!$C$80=1),0,IF(Paths!$P$80="Complete",IF(AND(C819=0,Paths!$E$80=0),I819-J819-K819+VLOOKUP(A819,'Fleet register'!$A$7:$S$106,15,FALSE)+VLOOKUP(A819,'Fleet register'!$A$7:$S$106,16,FALSE),0),"n.a."))</f>
        <v>0</v>
      </c>
      <c r="S819" s="1">
        <f>IF(NOT(Paths!$C$80=1),0,IF(Paths!$P$80="Complete",IF(C819=0,0,Paths!$S$80*Paths!$R$80),"n.a."))</f>
        <v>0</v>
      </c>
      <c r="T819" s="1">
        <f>IF(NOT(Paths!$C$80=1),0,IF(Paths!$P$80="Complete",IF(C819=0,0,VLOOKUP(A819,'Fleet register'!$A$7:$S$106,9,FALSE)*Paths!$R$80),"n.a."))</f>
        <v>0</v>
      </c>
    </row>
    <row r="820" spans="1:20" ht="24" customHeight="1">
      <c r="A820" s="1" t="str">
        <f>Paths!$A$80</f>
        <v>T019</v>
      </c>
      <c r="B820" s="1">
        <f>Paths!$B$80</f>
        <v>1</v>
      </c>
      <c r="C820" s="1">
        <v>10</v>
      </c>
      <c r="D820" s="1">
        <v>80</v>
      </c>
      <c r="E820" s="1">
        <f>IF(OR(Paths!$C$80=0,C820=0),0,MAX(0,MIN(C820*12,Paths!$E$80)-(C820-1)*12))</f>
        <v>0</v>
      </c>
      <c r="F820" s="1">
        <f>IF(OR(Paths!$C$80=0,C820=0),0,12-E820)</f>
        <v>0</v>
      </c>
      <c r="G820" s="16">
        <f>IF(NOT(Paths!$C$80=1),0,IF(Paths!$P$80="Complete",E820/12*(Paths!$J$80*(1+'Operating costs'!$B$51)^MAX(0,C820-1)+Paths!$K$80*(1+'Operating costs'!$B$53)^MAX(0,C820-1)),"n.a."))</f>
        <v>0</v>
      </c>
      <c r="H820" s="16">
        <f>IF(NOT(Paths!$C$80=1),0,IF(Paths!$P$80="Complete",F820/12*(Paths!$L$80*(1+IF(Paths!$D$80="EV",'Operating costs'!$B$52,'Operating costs'!$B$51))^MAX(0,C820-1)+Paths!$M$80*(1+'Operating costs'!$B$53)^MAX(0,C820-1)),"n.a."))</f>
        <v>0</v>
      </c>
      <c r="I820" s="16">
        <f>IF(NOT(Paths!$C$80=1),0,IF(Paths!$P$80="Complete",IF(IF(Paths!$E$80=0,C820=0,AND(C820&gt;0,Paths!$E$80&gt;(C820-1)*12,Paths!$E$80&lt;=C820*12)),Paths!$G$80,0),"n.a."))</f>
        <v>0</v>
      </c>
      <c r="J820" s="16">
        <f>IF(NOT(Paths!$C$80=1),0,IF(Paths!$P$80="Complete",IF(IF(Paths!$E$80=0,C820=0,AND(C820&gt;0,Paths!$E$80&gt;(C820-1)*12,Paths!$E$80&lt;=C820*12)),Paths!$H$80,0),"n.a."))</f>
        <v>0</v>
      </c>
      <c r="K820" s="16">
        <f>IF(NOT(Paths!$C$80=1),0,IF(Paths!$P$80="Complete",IF(IF(Paths!$O$80=0,C820=0,AND(C820&gt;0,Paths!$O$80&gt;(C820-1)*12,Paths!$O$80&lt;=C820*12)),Paths!$N$80,0),"n.a."))</f>
        <v>0</v>
      </c>
      <c r="L820" s="16">
        <f>IF(NOT(Paths!$C$80=1),0,IF(Paths!$P$80="Complete",IF(C820=10,Paths!$I$80,0),"n.a."))</f>
        <v>0</v>
      </c>
      <c r="M820" s="16">
        <f>IF(NOT(Paths!$C$80=1),0,IF(Paths!$P$80="Complete",IF(AND(Paths!$D$80="EV",Paths!$E$80&lt;120,Paths!$E$80+'Operating costs'!$B$65&gt;Paths!$E$80,Paths!$E$80+'Operating costs'!$B$65&lt;=120,IF(Paths!$E$80+'Operating costs'!$B$65=0,C820=0,AND(C820&gt;0,Paths!$E$80+'Operating costs'!$B$65&gt;(C820-1)*12,Paths!$E$80+'Operating costs'!$B$65&lt;=C820*12))),'Operating costs'!$B$64,0)+IF(AND('Operating costs'!$B$67&gt;0,'Operating costs'!$B$67&lt;=120,OR(Paths!$D$80="ICE",'Operating costs'!$B$67&lt;=Paths!$E$80),IF('Operating costs'!$B$67=0,C820=0,AND(C820&gt;0,'Operating costs'!$B$67&gt;(C820-1)*12,'Operating costs'!$B$67&lt;=C820*12))),'Operating costs'!$B$66,0),"n.a."))</f>
        <v>0</v>
      </c>
      <c r="N820" s="16">
        <f>IF(NOT(Paths!$C$80=1),0,IF(Paths!$P$80="Complete",SUM(G820:I820)-J820-K820-L820+M820+IF(C820=0,Paths!$F$80,0)+IF(IF(Paths!$E$80=0,C820=0,AND(C820&gt;0,Paths!$E$80&gt;(C820-1)*12,Paths!$E$80&lt;=C820*12)),VLOOKUP(A820,'Fleet register'!$A$7:$S$106,16,FALSE),0),"n.a."))</f>
        <v>0</v>
      </c>
      <c r="O820" s="16">
        <f>IF(NOT(Paths!$C$80=1),0,IF(Paths!$P$80="Complete",N820-IF(C820=0,Paths!$F$80,0),"n.a."))</f>
        <v>0</v>
      </c>
      <c r="P820" s="16">
        <f>IF(NOT(Paths!$C$80=1),0,IF(Paths!$P$80="Complete",O820+L820,"n.a."))</f>
        <v>0</v>
      </c>
      <c r="Q820" s="16">
        <f>IF(NOT(Paths!$C$80=1),0,IF(Paths!$P$80="Complete",N820*(1+'Operating costs'!$B$54)^-C820,"n.a."))</f>
        <v>0</v>
      </c>
      <c r="R820" s="16">
        <f>IF(NOT(Paths!$C$80=1),0,IF(Paths!$P$80="Complete",IF(AND(C820=0,Paths!$E$80=0),I820-J820-K820+VLOOKUP(A820,'Fleet register'!$A$7:$S$106,15,FALSE)+VLOOKUP(A820,'Fleet register'!$A$7:$S$106,16,FALSE),0),"n.a."))</f>
        <v>0</v>
      </c>
      <c r="S820" s="1">
        <f>IF(NOT(Paths!$C$80=1),0,IF(Paths!$P$80="Complete",IF(C820=0,0,Paths!$S$80*Paths!$R$80),"n.a."))</f>
        <v>0</v>
      </c>
      <c r="T820" s="1">
        <f>IF(NOT(Paths!$C$80=1),0,IF(Paths!$P$80="Complete",IF(C820=0,0,VLOOKUP(A820,'Fleet register'!$A$7:$S$106,9,FALSE)*Paths!$R$80),"n.a."))</f>
        <v>0</v>
      </c>
    </row>
    <row r="821" spans="1:20" ht="24" customHeight="1">
      <c r="A821" s="1" t="str">
        <f>Paths!$A$81</f>
        <v>T019</v>
      </c>
      <c r="B821" s="1">
        <f>Paths!$B$81</f>
        <v>2</v>
      </c>
      <c r="C821" s="1">
        <v>0</v>
      </c>
      <c r="D821" s="1">
        <v>81</v>
      </c>
      <c r="E821" s="1">
        <f>IF(OR(Paths!$C$81=0,C821=0),0,MAX(0,MIN(C821*12,Paths!$E$81)-(C821-1)*12))</f>
        <v>0</v>
      </c>
      <c r="F821" s="1">
        <f>IF(OR(Paths!$C$81=0,C821=0),0,12-E821)</f>
        <v>0</v>
      </c>
      <c r="G821" s="16">
        <f>IF(NOT(Paths!$C$81=1),0,IF(Paths!$P$81="Complete",E821/12*(Paths!$J$81*(1+'Operating costs'!$B$51)^MAX(0,C821-1)+Paths!$K$81*(1+'Operating costs'!$B$53)^MAX(0,C821-1)),"n.a."))</f>
        <v>0</v>
      </c>
      <c r="H821" s="16">
        <f>IF(NOT(Paths!$C$81=1),0,IF(Paths!$P$81="Complete",F821/12*(Paths!$L$81*(1+IF(Paths!$D$81="EV",'Operating costs'!$B$52,'Operating costs'!$B$51))^MAX(0,C821-1)+Paths!$M$81*(1+'Operating costs'!$B$53)^MAX(0,C821-1)),"n.a."))</f>
        <v>0</v>
      </c>
      <c r="I821" s="16">
        <f>IF(NOT(Paths!$C$81=1),0,IF(Paths!$P$81="Complete",IF(IF(Paths!$E$81=0,C821=0,AND(C821&gt;0,Paths!$E$81&gt;(C821-1)*12,Paths!$E$81&lt;=C821*12)),Paths!$G$81,0),"n.a."))</f>
        <v>0</v>
      </c>
      <c r="J821" s="16">
        <f>IF(NOT(Paths!$C$81=1),0,IF(Paths!$P$81="Complete",IF(IF(Paths!$E$81=0,C821=0,AND(C821&gt;0,Paths!$E$81&gt;(C821-1)*12,Paths!$E$81&lt;=C821*12)),Paths!$H$81,0),"n.a."))</f>
        <v>0</v>
      </c>
      <c r="K821" s="16">
        <f>IF(NOT(Paths!$C$81=1),0,IF(Paths!$P$81="Complete",IF(IF(Paths!$O$81=0,C821=0,AND(C821&gt;0,Paths!$O$81&gt;(C821-1)*12,Paths!$O$81&lt;=C821*12)),Paths!$N$81,0),"n.a."))</f>
        <v>0</v>
      </c>
      <c r="L821" s="16">
        <f>IF(NOT(Paths!$C$81=1),0,IF(Paths!$P$81="Complete",IF(C821=10,Paths!$I$81,0),"n.a."))</f>
        <v>0</v>
      </c>
      <c r="M821" s="16">
        <f>IF(NOT(Paths!$C$81=1),0,IF(Paths!$P$81="Complete",IF(AND(Paths!$D$81="EV",Paths!$E$81&lt;120,Paths!$E$81+'Operating costs'!$B$65&gt;Paths!$E$81,Paths!$E$81+'Operating costs'!$B$65&lt;=120,IF(Paths!$E$81+'Operating costs'!$B$65=0,C821=0,AND(C821&gt;0,Paths!$E$81+'Operating costs'!$B$65&gt;(C821-1)*12,Paths!$E$81+'Operating costs'!$B$65&lt;=C821*12))),'Operating costs'!$B$64,0)+IF(AND('Operating costs'!$B$67&gt;0,'Operating costs'!$B$67&lt;=120,OR(Paths!$D$81="ICE",'Operating costs'!$B$67&lt;=Paths!$E$81),IF('Operating costs'!$B$67=0,C821=0,AND(C821&gt;0,'Operating costs'!$B$67&gt;(C821-1)*12,'Operating costs'!$B$67&lt;=C821*12))),'Operating costs'!$B$66,0),"n.a."))</f>
        <v>0</v>
      </c>
      <c r="N821" s="16">
        <f>IF(NOT(Paths!$C$81=1),0,IF(Paths!$P$81="Complete",SUM(G821:I821)-J821-K821-L821+M821+IF(C821=0,Paths!$F$81,0)+IF(IF(Paths!$E$81=0,C821=0,AND(C821&gt;0,Paths!$E$81&gt;(C821-1)*12,Paths!$E$81&lt;=C821*12)),VLOOKUP(A821,'Fleet register'!$A$7:$S$106,16,FALSE),0),"n.a."))</f>
        <v>0</v>
      </c>
      <c r="O821" s="16">
        <f>IF(NOT(Paths!$C$81=1),0,IF(Paths!$P$81="Complete",N821-IF(C821=0,Paths!$F$81,0),"n.a."))</f>
        <v>0</v>
      </c>
      <c r="P821" s="16">
        <f>IF(NOT(Paths!$C$81=1),0,IF(Paths!$P$81="Complete",O821+L821,"n.a."))</f>
        <v>0</v>
      </c>
      <c r="Q821" s="16">
        <f>IF(NOT(Paths!$C$81=1),0,IF(Paths!$P$81="Complete",N821*(1+'Operating costs'!$B$54)^-C821,"n.a."))</f>
        <v>0</v>
      </c>
      <c r="R821" s="16">
        <f>IF(NOT(Paths!$C$81=1),0,IF(Paths!$P$81="Complete",IF(AND(C821=0,Paths!$E$81=0),I821-J821-K821+VLOOKUP(A821,'Fleet register'!$A$7:$S$106,15,FALSE)+VLOOKUP(A821,'Fleet register'!$A$7:$S$106,16,FALSE),0),"n.a."))</f>
        <v>0</v>
      </c>
      <c r="S821" s="1">
        <f>IF(NOT(Paths!$C$81=1),0,IF(Paths!$P$81="Complete",IF(C821=0,0,Paths!$S$81*Paths!$R$81),"n.a."))</f>
        <v>0</v>
      </c>
      <c r="T821" s="1">
        <f>IF(NOT(Paths!$C$81=1),0,IF(Paths!$P$81="Complete",IF(C821=0,0,VLOOKUP(A821,'Fleet register'!$A$7:$S$106,9,FALSE)*Paths!$R$81),"n.a."))</f>
        <v>0</v>
      </c>
    </row>
    <row r="822" spans="1:20" ht="24" customHeight="1">
      <c r="A822" s="1" t="str">
        <f>Paths!$A$81</f>
        <v>T019</v>
      </c>
      <c r="B822" s="1">
        <f>Paths!$B$81</f>
        <v>2</v>
      </c>
      <c r="C822" s="1">
        <v>1</v>
      </c>
      <c r="D822" s="1">
        <v>81</v>
      </c>
      <c r="E822" s="1">
        <f>IF(OR(Paths!$C$81=0,C822=0),0,MAX(0,MIN(C822*12,Paths!$E$81)-(C822-1)*12))</f>
        <v>0</v>
      </c>
      <c r="F822" s="1">
        <f>IF(OR(Paths!$C$81=0,C822=0),0,12-E822)</f>
        <v>0</v>
      </c>
      <c r="G822" s="16">
        <f>IF(NOT(Paths!$C$81=1),0,IF(Paths!$P$81="Complete",E822/12*(Paths!$J$81*(1+'Operating costs'!$B$51)^MAX(0,C822-1)+Paths!$K$81*(1+'Operating costs'!$B$53)^MAX(0,C822-1)),"n.a."))</f>
        <v>0</v>
      </c>
      <c r="H822" s="16">
        <f>IF(NOT(Paths!$C$81=1),0,IF(Paths!$P$81="Complete",F822/12*(Paths!$L$81*(1+IF(Paths!$D$81="EV",'Operating costs'!$B$52,'Operating costs'!$B$51))^MAX(0,C822-1)+Paths!$M$81*(1+'Operating costs'!$B$53)^MAX(0,C822-1)),"n.a."))</f>
        <v>0</v>
      </c>
      <c r="I822" s="16">
        <f>IF(NOT(Paths!$C$81=1),0,IF(Paths!$P$81="Complete",IF(IF(Paths!$E$81=0,C822=0,AND(C822&gt;0,Paths!$E$81&gt;(C822-1)*12,Paths!$E$81&lt;=C822*12)),Paths!$G$81,0),"n.a."))</f>
        <v>0</v>
      </c>
      <c r="J822" s="16">
        <f>IF(NOT(Paths!$C$81=1),0,IF(Paths!$P$81="Complete",IF(IF(Paths!$E$81=0,C822=0,AND(C822&gt;0,Paths!$E$81&gt;(C822-1)*12,Paths!$E$81&lt;=C822*12)),Paths!$H$81,0),"n.a."))</f>
        <v>0</v>
      </c>
      <c r="K822" s="16">
        <f>IF(NOT(Paths!$C$81=1),0,IF(Paths!$P$81="Complete",IF(IF(Paths!$O$81=0,C822=0,AND(C822&gt;0,Paths!$O$81&gt;(C822-1)*12,Paths!$O$81&lt;=C822*12)),Paths!$N$81,0),"n.a."))</f>
        <v>0</v>
      </c>
      <c r="L822" s="16">
        <f>IF(NOT(Paths!$C$81=1),0,IF(Paths!$P$81="Complete",IF(C822=10,Paths!$I$81,0),"n.a."))</f>
        <v>0</v>
      </c>
      <c r="M822" s="16">
        <f>IF(NOT(Paths!$C$81=1),0,IF(Paths!$P$81="Complete",IF(AND(Paths!$D$81="EV",Paths!$E$81&lt;120,Paths!$E$81+'Operating costs'!$B$65&gt;Paths!$E$81,Paths!$E$81+'Operating costs'!$B$65&lt;=120,IF(Paths!$E$81+'Operating costs'!$B$65=0,C822=0,AND(C822&gt;0,Paths!$E$81+'Operating costs'!$B$65&gt;(C822-1)*12,Paths!$E$81+'Operating costs'!$B$65&lt;=C822*12))),'Operating costs'!$B$64,0)+IF(AND('Operating costs'!$B$67&gt;0,'Operating costs'!$B$67&lt;=120,OR(Paths!$D$81="ICE",'Operating costs'!$B$67&lt;=Paths!$E$81),IF('Operating costs'!$B$67=0,C822=0,AND(C822&gt;0,'Operating costs'!$B$67&gt;(C822-1)*12,'Operating costs'!$B$67&lt;=C822*12))),'Operating costs'!$B$66,0),"n.a."))</f>
        <v>0</v>
      </c>
      <c r="N822" s="16">
        <f>IF(NOT(Paths!$C$81=1),0,IF(Paths!$P$81="Complete",SUM(G822:I822)-J822-K822-L822+M822+IF(C822=0,Paths!$F$81,0)+IF(IF(Paths!$E$81=0,C822=0,AND(C822&gt;0,Paths!$E$81&gt;(C822-1)*12,Paths!$E$81&lt;=C822*12)),VLOOKUP(A822,'Fleet register'!$A$7:$S$106,16,FALSE),0),"n.a."))</f>
        <v>0</v>
      </c>
      <c r="O822" s="16">
        <f>IF(NOT(Paths!$C$81=1),0,IF(Paths!$P$81="Complete",N822-IF(C822=0,Paths!$F$81,0),"n.a."))</f>
        <v>0</v>
      </c>
      <c r="P822" s="16">
        <f>IF(NOT(Paths!$C$81=1),0,IF(Paths!$P$81="Complete",O822+L822,"n.a."))</f>
        <v>0</v>
      </c>
      <c r="Q822" s="16">
        <f>IF(NOT(Paths!$C$81=1),0,IF(Paths!$P$81="Complete",N822*(1+'Operating costs'!$B$54)^-C822,"n.a."))</f>
        <v>0</v>
      </c>
      <c r="R822" s="16">
        <f>IF(NOT(Paths!$C$81=1),0,IF(Paths!$P$81="Complete",IF(AND(C822=0,Paths!$E$81=0),I822-J822-K822+VLOOKUP(A822,'Fleet register'!$A$7:$S$106,15,FALSE)+VLOOKUP(A822,'Fleet register'!$A$7:$S$106,16,FALSE),0),"n.a."))</f>
        <v>0</v>
      </c>
      <c r="S822" s="1">
        <f>IF(NOT(Paths!$C$81=1),0,IF(Paths!$P$81="Complete",IF(C822=0,0,Paths!$S$81*Paths!$R$81),"n.a."))</f>
        <v>0</v>
      </c>
      <c r="T822" s="1">
        <f>IF(NOT(Paths!$C$81=1),0,IF(Paths!$P$81="Complete",IF(C822=0,0,VLOOKUP(A822,'Fleet register'!$A$7:$S$106,9,FALSE)*Paths!$R$81),"n.a."))</f>
        <v>0</v>
      </c>
    </row>
    <row r="823" spans="1:20" ht="24" customHeight="1">
      <c r="A823" s="1" t="str">
        <f>Paths!$A$81</f>
        <v>T019</v>
      </c>
      <c r="B823" s="1">
        <f>Paths!$B$81</f>
        <v>2</v>
      </c>
      <c r="C823" s="1">
        <v>2</v>
      </c>
      <c r="D823" s="1">
        <v>81</v>
      </c>
      <c r="E823" s="1">
        <f>IF(OR(Paths!$C$81=0,C823=0),0,MAX(0,MIN(C823*12,Paths!$E$81)-(C823-1)*12))</f>
        <v>0</v>
      </c>
      <c r="F823" s="1">
        <f>IF(OR(Paths!$C$81=0,C823=0),0,12-E823)</f>
        <v>0</v>
      </c>
      <c r="G823" s="16">
        <f>IF(NOT(Paths!$C$81=1),0,IF(Paths!$P$81="Complete",E823/12*(Paths!$J$81*(1+'Operating costs'!$B$51)^MAX(0,C823-1)+Paths!$K$81*(1+'Operating costs'!$B$53)^MAX(0,C823-1)),"n.a."))</f>
        <v>0</v>
      </c>
      <c r="H823" s="16">
        <f>IF(NOT(Paths!$C$81=1),0,IF(Paths!$P$81="Complete",F823/12*(Paths!$L$81*(1+IF(Paths!$D$81="EV",'Operating costs'!$B$52,'Operating costs'!$B$51))^MAX(0,C823-1)+Paths!$M$81*(1+'Operating costs'!$B$53)^MAX(0,C823-1)),"n.a."))</f>
        <v>0</v>
      </c>
      <c r="I823" s="16">
        <f>IF(NOT(Paths!$C$81=1),0,IF(Paths!$P$81="Complete",IF(IF(Paths!$E$81=0,C823=0,AND(C823&gt;0,Paths!$E$81&gt;(C823-1)*12,Paths!$E$81&lt;=C823*12)),Paths!$G$81,0),"n.a."))</f>
        <v>0</v>
      </c>
      <c r="J823" s="16">
        <f>IF(NOT(Paths!$C$81=1),0,IF(Paths!$P$81="Complete",IF(IF(Paths!$E$81=0,C823=0,AND(C823&gt;0,Paths!$E$81&gt;(C823-1)*12,Paths!$E$81&lt;=C823*12)),Paths!$H$81,0),"n.a."))</f>
        <v>0</v>
      </c>
      <c r="K823" s="16">
        <f>IF(NOT(Paths!$C$81=1),0,IF(Paths!$P$81="Complete",IF(IF(Paths!$O$81=0,C823=0,AND(C823&gt;0,Paths!$O$81&gt;(C823-1)*12,Paths!$O$81&lt;=C823*12)),Paths!$N$81,0),"n.a."))</f>
        <v>0</v>
      </c>
      <c r="L823" s="16">
        <f>IF(NOT(Paths!$C$81=1),0,IF(Paths!$P$81="Complete",IF(C823=10,Paths!$I$81,0),"n.a."))</f>
        <v>0</v>
      </c>
      <c r="M823" s="16">
        <f>IF(NOT(Paths!$C$81=1),0,IF(Paths!$P$81="Complete",IF(AND(Paths!$D$81="EV",Paths!$E$81&lt;120,Paths!$E$81+'Operating costs'!$B$65&gt;Paths!$E$81,Paths!$E$81+'Operating costs'!$B$65&lt;=120,IF(Paths!$E$81+'Operating costs'!$B$65=0,C823=0,AND(C823&gt;0,Paths!$E$81+'Operating costs'!$B$65&gt;(C823-1)*12,Paths!$E$81+'Operating costs'!$B$65&lt;=C823*12))),'Operating costs'!$B$64,0)+IF(AND('Operating costs'!$B$67&gt;0,'Operating costs'!$B$67&lt;=120,OR(Paths!$D$81="ICE",'Operating costs'!$B$67&lt;=Paths!$E$81),IF('Operating costs'!$B$67=0,C823=0,AND(C823&gt;0,'Operating costs'!$B$67&gt;(C823-1)*12,'Operating costs'!$B$67&lt;=C823*12))),'Operating costs'!$B$66,0),"n.a."))</f>
        <v>0</v>
      </c>
      <c r="N823" s="16">
        <f>IF(NOT(Paths!$C$81=1),0,IF(Paths!$P$81="Complete",SUM(G823:I823)-J823-K823-L823+M823+IF(C823=0,Paths!$F$81,0)+IF(IF(Paths!$E$81=0,C823=0,AND(C823&gt;0,Paths!$E$81&gt;(C823-1)*12,Paths!$E$81&lt;=C823*12)),VLOOKUP(A823,'Fleet register'!$A$7:$S$106,16,FALSE),0),"n.a."))</f>
        <v>0</v>
      </c>
      <c r="O823" s="16">
        <f>IF(NOT(Paths!$C$81=1),0,IF(Paths!$P$81="Complete",N823-IF(C823=0,Paths!$F$81,0),"n.a."))</f>
        <v>0</v>
      </c>
      <c r="P823" s="16">
        <f>IF(NOT(Paths!$C$81=1),0,IF(Paths!$P$81="Complete",O823+L823,"n.a."))</f>
        <v>0</v>
      </c>
      <c r="Q823" s="16">
        <f>IF(NOT(Paths!$C$81=1),0,IF(Paths!$P$81="Complete",N823*(1+'Operating costs'!$B$54)^-C823,"n.a."))</f>
        <v>0</v>
      </c>
      <c r="R823" s="16">
        <f>IF(NOT(Paths!$C$81=1),0,IF(Paths!$P$81="Complete",IF(AND(C823=0,Paths!$E$81=0),I823-J823-K823+VLOOKUP(A823,'Fleet register'!$A$7:$S$106,15,FALSE)+VLOOKUP(A823,'Fleet register'!$A$7:$S$106,16,FALSE),0),"n.a."))</f>
        <v>0</v>
      </c>
      <c r="S823" s="1">
        <f>IF(NOT(Paths!$C$81=1),0,IF(Paths!$P$81="Complete",IF(C823=0,0,Paths!$S$81*Paths!$R$81),"n.a."))</f>
        <v>0</v>
      </c>
      <c r="T823" s="1">
        <f>IF(NOT(Paths!$C$81=1),0,IF(Paths!$P$81="Complete",IF(C823=0,0,VLOOKUP(A823,'Fleet register'!$A$7:$S$106,9,FALSE)*Paths!$R$81),"n.a."))</f>
        <v>0</v>
      </c>
    </row>
    <row r="824" spans="1:20" ht="24" customHeight="1">
      <c r="A824" s="1" t="str">
        <f>Paths!$A$81</f>
        <v>T019</v>
      </c>
      <c r="B824" s="1">
        <f>Paths!$B$81</f>
        <v>2</v>
      </c>
      <c r="C824" s="1">
        <v>3</v>
      </c>
      <c r="D824" s="1">
        <v>81</v>
      </c>
      <c r="E824" s="1">
        <f>IF(OR(Paths!$C$81=0,C824=0),0,MAX(0,MIN(C824*12,Paths!$E$81)-(C824-1)*12))</f>
        <v>0</v>
      </c>
      <c r="F824" s="1">
        <f>IF(OR(Paths!$C$81=0,C824=0),0,12-E824)</f>
        <v>0</v>
      </c>
      <c r="G824" s="16">
        <f>IF(NOT(Paths!$C$81=1),0,IF(Paths!$P$81="Complete",E824/12*(Paths!$J$81*(1+'Operating costs'!$B$51)^MAX(0,C824-1)+Paths!$K$81*(1+'Operating costs'!$B$53)^MAX(0,C824-1)),"n.a."))</f>
        <v>0</v>
      </c>
      <c r="H824" s="16">
        <f>IF(NOT(Paths!$C$81=1),0,IF(Paths!$P$81="Complete",F824/12*(Paths!$L$81*(1+IF(Paths!$D$81="EV",'Operating costs'!$B$52,'Operating costs'!$B$51))^MAX(0,C824-1)+Paths!$M$81*(1+'Operating costs'!$B$53)^MAX(0,C824-1)),"n.a."))</f>
        <v>0</v>
      </c>
      <c r="I824" s="16">
        <f>IF(NOT(Paths!$C$81=1),0,IF(Paths!$P$81="Complete",IF(IF(Paths!$E$81=0,C824=0,AND(C824&gt;0,Paths!$E$81&gt;(C824-1)*12,Paths!$E$81&lt;=C824*12)),Paths!$G$81,0),"n.a."))</f>
        <v>0</v>
      </c>
      <c r="J824" s="16">
        <f>IF(NOT(Paths!$C$81=1),0,IF(Paths!$P$81="Complete",IF(IF(Paths!$E$81=0,C824=0,AND(C824&gt;0,Paths!$E$81&gt;(C824-1)*12,Paths!$E$81&lt;=C824*12)),Paths!$H$81,0),"n.a."))</f>
        <v>0</v>
      </c>
      <c r="K824" s="16">
        <f>IF(NOT(Paths!$C$81=1),0,IF(Paths!$P$81="Complete",IF(IF(Paths!$O$81=0,C824=0,AND(C824&gt;0,Paths!$O$81&gt;(C824-1)*12,Paths!$O$81&lt;=C824*12)),Paths!$N$81,0),"n.a."))</f>
        <v>0</v>
      </c>
      <c r="L824" s="16">
        <f>IF(NOT(Paths!$C$81=1),0,IF(Paths!$P$81="Complete",IF(C824=10,Paths!$I$81,0),"n.a."))</f>
        <v>0</v>
      </c>
      <c r="M824" s="16">
        <f>IF(NOT(Paths!$C$81=1),0,IF(Paths!$P$81="Complete",IF(AND(Paths!$D$81="EV",Paths!$E$81&lt;120,Paths!$E$81+'Operating costs'!$B$65&gt;Paths!$E$81,Paths!$E$81+'Operating costs'!$B$65&lt;=120,IF(Paths!$E$81+'Operating costs'!$B$65=0,C824=0,AND(C824&gt;0,Paths!$E$81+'Operating costs'!$B$65&gt;(C824-1)*12,Paths!$E$81+'Operating costs'!$B$65&lt;=C824*12))),'Operating costs'!$B$64,0)+IF(AND('Operating costs'!$B$67&gt;0,'Operating costs'!$B$67&lt;=120,OR(Paths!$D$81="ICE",'Operating costs'!$B$67&lt;=Paths!$E$81),IF('Operating costs'!$B$67=0,C824=0,AND(C824&gt;0,'Operating costs'!$B$67&gt;(C824-1)*12,'Operating costs'!$B$67&lt;=C824*12))),'Operating costs'!$B$66,0),"n.a."))</f>
        <v>0</v>
      </c>
      <c r="N824" s="16">
        <f>IF(NOT(Paths!$C$81=1),0,IF(Paths!$P$81="Complete",SUM(G824:I824)-J824-K824-L824+M824+IF(C824=0,Paths!$F$81,0)+IF(IF(Paths!$E$81=0,C824=0,AND(C824&gt;0,Paths!$E$81&gt;(C824-1)*12,Paths!$E$81&lt;=C824*12)),VLOOKUP(A824,'Fleet register'!$A$7:$S$106,16,FALSE),0),"n.a."))</f>
        <v>0</v>
      </c>
      <c r="O824" s="16">
        <f>IF(NOT(Paths!$C$81=1),0,IF(Paths!$P$81="Complete",N824-IF(C824=0,Paths!$F$81,0),"n.a."))</f>
        <v>0</v>
      </c>
      <c r="P824" s="16">
        <f>IF(NOT(Paths!$C$81=1),0,IF(Paths!$P$81="Complete",O824+L824,"n.a."))</f>
        <v>0</v>
      </c>
      <c r="Q824" s="16">
        <f>IF(NOT(Paths!$C$81=1),0,IF(Paths!$P$81="Complete",N824*(1+'Operating costs'!$B$54)^-C824,"n.a."))</f>
        <v>0</v>
      </c>
      <c r="R824" s="16">
        <f>IF(NOT(Paths!$C$81=1),0,IF(Paths!$P$81="Complete",IF(AND(C824=0,Paths!$E$81=0),I824-J824-K824+VLOOKUP(A824,'Fleet register'!$A$7:$S$106,15,FALSE)+VLOOKUP(A824,'Fleet register'!$A$7:$S$106,16,FALSE),0),"n.a."))</f>
        <v>0</v>
      </c>
      <c r="S824" s="1">
        <f>IF(NOT(Paths!$C$81=1),0,IF(Paths!$P$81="Complete",IF(C824=0,0,Paths!$S$81*Paths!$R$81),"n.a."))</f>
        <v>0</v>
      </c>
      <c r="T824" s="1">
        <f>IF(NOT(Paths!$C$81=1),0,IF(Paths!$P$81="Complete",IF(C824=0,0,VLOOKUP(A824,'Fleet register'!$A$7:$S$106,9,FALSE)*Paths!$R$81),"n.a."))</f>
        <v>0</v>
      </c>
    </row>
    <row r="825" spans="1:20" ht="24" customHeight="1">
      <c r="A825" s="1" t="str">
        <f>Paths!$A$81</f>
        <v>T019</v>
      </c>
      <c r="B825" s="1">
        <f>Paths!$B$81</f>
        <v>2</v>
      </c>
      <c r="C825" s="1">
        <v>4</v>
      </c>
      <c r="D825" s="1">
        <v>81</v>
      </c>
      <c r="E825" s="1">
        <f>IF(OR(Paths!$C$81=0,C825=0),0,MAX(0,MIN(C825*12,Paths!$E$81)-(C825-1)*12))</f>
        <v>0</v>
      </c>
      <c r="F825" s="1">
        <f>IF(OR(Paths!$C$81=0,C825=0),0,12-E825)</f>
        <v>0</v>
      </c>
      <c r="G825" s="16">
        <f>IF(NOT(Paths!$C$81=1),0,IF(Paths!$P$81="Complete",E825/12*(Paths!$J$81*(1+'Operating costs'!$B$51)^MAX(0,C825-1)+Paths!$K$81*(1+'Operating costs'!$B$53)^MAX(0,C825-1)),"n.a."))</f>
        <v>0</v>
      </c>
      <c r="H825" s="16">
        <f>IF(NOT(Paths!$C$81=1),0,IF(Paths!$P$81="Complete",F825/12*(Paths!$L$81*(1+IF(Paths!$D$81="EV",'Operating costs'!$B$52,'Operating costs'!$B$51))^MAX(0,C825-1)+Paths!$M$81*(1+'Operating costs'!$B$53)^MAX(0,C825-1)),"n.a."))</f>
        <v>0</v>
      </c>
      <c r="I825" s="16">
        <f>IF(NOT(Paths!$C$81=1),0,IF(Paths!$P$81="Complete",IF(IF(Paths!$E$81=0,C825=0,AND(C825&gt;0,Paths!$E$81&gt;(C825-1)*12,Paths!$E$81&lt;=C825*12)),Paths!$G$81,0),"n.a."))</f>
        <v>0</v>
      </c>
      <c r="J825" s="16">
        <f>IF(NOT(Paths!$C$81=1),0,IF(Paths!$P$81="Complete",IF(IF(Paths!$E$81=0,C825=0,AND(C825&gt;0,Paths!$E$81&gt;(C825-1)*12,Paths!$E$81&lt;=C825*12)),Paths!$H$81,0),"n.a."))</f>
        <v>0</v>
      </c>
      <c r="K825" s="16">
        <f>IF(NOT(Paths!$C$81=1),0,IF(Paths!$P$81="Complete",IF(IF(Paths!$O$81=0,C825=0,AND(C825&gt;0,Paths!$O$81&gt;(C825-1)*12,Paths!$O$81&lt;=C825*12)),Paths!$N$81,0),"n.a."))</f>
        <v>0</v>
      </c>
      <c r="L825" s="16">
        <f>IF(NOT(Paths!$C$81=1),0,IF(Paths!$P$81="Complete",IF(C825=10,Paths!$I$81,0),"n.a."))</f>
        <v>0</v>
      </c>
      <c r="M825" s="16">
        <f>IF(NOT(Paths!$C$81=1),0,IF(Paths!$P$81="Complete",IF(AND(Paths!$D$81="EV",Paths!$E$81&lt;120,Paths!$E$81+'Operating costs'!$B$65&gt;Paths!$E$81,Paths!$E$81+'Operating costs'!$B$65&lt;=120,IF(Paths!$E$81+'Operating costs'!$B$65=0,C825=0,AND(C825&gt;0,Paths!$E$81+'Operating costs'!$B$65&gt;(C825-1)*12,Paths!$E$81+'Operating costs'!$B$65&lt;=C825*12))),'Operating costs'!$B$64,0)+IF(AND('Operating costs'!$B$67&gt;0,'Operating costs'!$B$67&lt;=120,OR(Paths!$D$81="ICE",'Operating costs'!$B$67&lt;=Paths!$E$81),IF('Operating costs'!$B$67=0,C825=0,AND(C825&gt;0,'Operating costs'!$B$67&gt;(C825-1)*12,'Operating costs'!$B$67&lt;=C825*12))),'Operating costs'!$B$66,0),"n.a."))</f>
        <v>0</v>
      </c>
      <c r="N825" s="16">
        <f>IF(NOT(Paths!$C$81=1),0,IF(Paths!$P$81="Complete",SUM(G825:I825)-J825-K825-L825+M825+IF(C825=0,Paths!$F$81,0)+IF(IF(Paths!$E$81=0,C825=0,AND(C825&gt;0,Paths!$E$81&gt;(C825-1)*12,Paths!$E$81&lt;=C825*12)),VLOOKUP(A825,'Fleet register'!$A$7:$S$106,16,FALSE),0),"n.a."))</f>
        <v>0</v>
      </c>
      <c r="O825" s="16">
        <f>IF(NOT(Paths!$C$81=1),0,IF(Paths!$P$81="Complete",N825-IF(C825=0,Paths!$F$81,0),"n.a."))</f>
        <v>0</v>
      </c>
      <c r="P825" s="16">
        <f>IF(NOT(Paths!$C$81=1),0,IF(Paths!$P$81="Complete",O825+L825,"n.a."))</f>
        <v>0</v>
      </c>
      <c r="Q825" s="16">
        <f>IF(NOT(Paths!$C$81=1),0,IF(Paths!$P$81="Complete",N825*(1+'Operating costs'!$B$54)^-C825,"n.a."))</f>
        <v>0</v>
      </c>
      <c r="R825" s="16">
        <f>IF(NOT(Paths!$C$81=1),0,IF(Paths!$P$81="Complete",IF(AND(C825=0,Paths!$E$81=0),I825-J825-K825+VLOOKUP(A825,'Fleet register'!$A$7:$S$106,15,FALSE)+VLOOKUP(A825,'Fleet register'!$A$7:$S$106,16,FALSE),0),"n.a."))</f>
        <v>0</v>
      </c>
      <c r="S825" s="1">
        <f>IF(NOT(Paths!$C$81=1),0,IF(Paths!$P$81="Complete",IF(C825=0,0,Paths!$S$81*Paths!$R$81),"n.a."))</f>
        <v>0</v>
      </c>
      <c r="T825" s="1">
        <f>IF(NOT(Paths!$C$81=1),0,IF(Paths!$P$81="Complete",IF(C825=0,0,VLOOKUP(A825,'Fleet register'!$A$7:$S$106,9,FALSE)*Paths!$R$81),"n.a."))</f>
        <v>0</v>
      </c>
    </row>
    <row r="826" spans="1:20" ht="24" customHeight="1">
      <c r="A826" s="1" t="str">
        <f>Paths!$A$81</f>
        <v>T019</v>
      </c>
      <c r="B826" s="1">
        <f>Paths!$B$81</f>
        <v>2</v>
      </c>
      <c r="C826" s="1">
        <v>5</v>
      </c>
      <c r="D826" s="1">
        <v>81</v>
      </c>
      <c r="E826" s="1">
        <f>IF(OR(Paths!$C$81=0,C826=0),0,MAX(0,MIN(C826*12,Paths!$E$81)-(C826-1)*12))</f>
        <v>0</v>
      </c>
      <c r="F826" s="1">
        <f>IF(OR(Paths!$C$81=0,C826=0),0,12-E826)</f>
        <v>0</v>
      </c>
      <c r="G826" s="16">
        <f>IF(NOT(Paths!$C$81=1),0,IF(Paths!$P$81="Complete",E826/12*(Paths!$J$81*(1+'Operating costs'!$B$51)^MAX(0,C826-1)+Paths!$K$81*(1+'Operating costs'!$B$53)^MAX(0,C826-1)),"n.a."))</f>
        <v>0</v>
      </c>
      <c r="H826" s="16">
        <f>IF(NOT(Paths!$C$81=1),0,IF(Paths!$P$81="Complete",F826/12*(Paths!$L$81*(1+IF(Paths!$D$81="EV",'Operating costs'!$B$52,'Operating costs'!$B$51))^MAX(0,C826-1)+Paths!$M$81*(1+'Operating costs'!$B$53)^MAX(0,C826-1)),"n.a."))</f>
        <v>0</v>
      </c>
      <c r="I826" s="16">
        <f>IF(NOT(Paths!$C$81=1),0,IF(Paths!$P$81="Complete",IF(IF(Paths!$E$81=0,C826=0,AND(C826&gt;0,Paths!$E$81&gt;(C826-1)*12,Paths!$E$81&lt;=C826*12)),Paths!$G$81,0),"n.a."))</f>
        <v>0</v>
      </c>
      <c r="J826" s="16">
        <f>IF(NOT(Paths!$C$81=1),0,IF(Paths!$P$81="Complete",IF(IF(Paths!$E$81=0,C826=0,AND(C826&gt;0,Paths!$E$81&gt;(C826-1)*12,Paths!$E$81&lt;=C826*12)),Paths!$H$81,0),"n.a."))</f>
        <v>0</v>
      </c>
      <c r="K826" s="16">
        <f>IF(NOT(Paths!$C$81=1),0,IF(Paths!$P$81="Complete",IF(IF(Paths!$O$81=0,C826=0,AND(C826&gt;0,Paths!$O$81&gt;(C826-1)*12,Paths!$O$81&lt;=C826*12)),Paths!$N$81,0),"n.a."))</f>
        <v>0</v>
      </c>
      <c r="L826" s="16">
        <f>IF(NOT(Paths!$C$81=1),0,IF(Paths!$P$81="Complete",IF(C826=10,Paths!$I$81,0),"n.a."))</f>
        <v>0</v>
      </c>
      <c r="M826" s="16">
        <f>IF(NOT(Paths!$C$81=1),0,IF(Paths!$P$81="Complete",IF(AND(Paths!$D$81="EV",Paths!$E$81&lt;120,Paths!$E$81+'Operating costs'!$B$65&gt;Paths!$E$81,Paths!$E$81+'Operating costs'!$B$65&lt;=120,IF(Paths!$E$81+'Operating costs'!$B$65=0,C826=0,AND(C826&gt;0,Paths!$E$81+'Operating costs'!$B$65&gt;(C826-1)*12,Paths!$E$81+'Operating costs'!$B$65&lt;=C826*12))),'Operating costs'!$B$64,0)+IF(AND('Operating costs'!$B$67&gt;0,'Operating costs'!$B$67&lt;=120,OR(Paths!$D$81="ICE",'Operating costs'!$B$67&lt;=Paths!$E$81),IF('Operating costs'!$B$67=0,C826=0,AND(C826&gt;0,'Operating costs'!$B$67&gt;(C826-1)*12,'Operating costs'!$B$67&lt;=C826*12))),'Operating costs'!$B$66,0),"n.a."))</f>
        <v>0</v>
      </c>
      <c r="N826" s="16">
        <f>IF(NOT(Paths!$C$81=1),0,IF(Paths!$P$81="Complete",SUM(G826:I826)-J826-K826-L826+M826+IF(C826=0,Paths!$F$81,0)+IF(IF(Paths!$E$81=0,C826=0,AND(C826&gt;0,Paths!$E$81&gt;(C826-1)*12,Paths!$E$81&lt;=C826*12)),VLOOKUP(A826,'Fleet register'!$A$7:$S$106,16,FALSE),0),"n.a."))</f>
        <v>0</v>
      </c>
      <c r="O826" s="16">
        <f>IF(NOT(Paths!$C$81=1),0,IF(Paths!$P$81="Complete",N826-IF(C826=0,Paths!$F$81,0),"n.a."))</f>
        <v>0</v>
      </c>
      <c r="P826" s="16">
        <f>IF(NOT(Paths!$C$81=1),0,IF(Paths!$P$81="Complete",O826+L826,"n.a."))</f>
        <v>0</v>
      </c>
      <c r="Q826" s="16">
        <f>IF(NOT(Paths!$C$81=1),0,IF(Paths!$P$81="Complete",N826*(1+'Operating costs'!$B$54)^-C826,"n.a."))</f>
        <v>0</v>
      </c>
      <c r="R826" s="16">
        <f>IF(NOT(Paths!$C$81=1),0,IF(Paths!$P$81="Complete",IF(AND(C826=0,Paths!$E$81=0),I826-J826-K826+VLOOKUP(A826,'Fleet register'!$A$7:$S$106,15,FALSE)+VLOOKUP(A826,'Fleet register'!$A$7:$S$106,16,FALSE),0),"n.a."))</f>
        <v>0</v>
      </c>
      <c r="S826" s="1">
        <f>IF(NOT(Paths!$C$81=1),0,IF(Paths!$P$81="Complete",IF(C826=0,0,Paths!$S$81*Paths!$R$81),"n.a."))</f>
        <v>0</v>
      </c>
      <c r="T826" s="1">
        <f>IF(NOT(Paths!$C$81=1),0,IF(Paths!$P$81="Complete",IF(C826=0,0,VLOOKUP(A826,'Fleet register'!$A$7:$S$106,9,FALSE)*Paths!$R$81),"n.a."))</f>
        <v>0</v>
      </c>
    </row>
    <row r="827" spans="1:20" ht="24" customHeight="1">
      <c r="A827" s="1" t="str">
        <f>Paths!$A$81</f>
        <v>T019</v>
      </c>
      <c r="B827" s="1">
        <f>Paths!$B$81</f>
        <v>2</v>
      </c>
      <c r="C827" s="1">
        <v>6</v>
      </c>
      <c r="D827" s="1">
        <v>81</v>
      </c>
      <c r="E827" s="1">
        <f>IF(OR(Paths!$C$81=0,C827=0),0,MAX(0,MIN(C827*12,Paths!$E$81)-(C827-1)*12))</f>
        <v>0</v>
      </c>
      <c r="F827" s="1">
        <f>IF(OR(Paths!$C$81=0,C827=0),0,12-E827)</f>
        <v>0</v>
      </c>
      <c r="G827" s="16">
        <f>IF(NOT(Paths!$C$81=1),0,IF(Paths!$P$81="Complete",E827/12*(Paths!$J$81*(1+'Operating costs'!$B$51)^MAX(0,C827-1)+Paths!$K$81*(1+'Operating costs'!$B$53)^MAX(0,C827-1)),"n.a."))</f>
        <v>0</v>
      </c>
      <c r="H827" s="16">
        <f>IF(NOT(Paths!$C$81=1),0,IF(Paths!$P$81="Complete",F827/12*(Paths!$L$81*(1+IF(Paths!$D$81="EV",'Operating costs'!$B$52,'Operating costs'!$B$51))^MAX(0,C827-1)+Paths!$M$81*(1+'Operating costs'!$B$53)^MAX(0,C827-1)),"n.a."))</f>
        <v>0</v>
      </c>
      <c r="I827" s="16">
        <f>IF(NOT(Paths!$C$81=1),0,IF(Paths!$P$81="Complete",IF(IF(Paths!$E$81=0,C827=0,AND(C827&gt;0,Paths!$E$81&gt;(C827-1)*12,Paths!$E$81&lt;=C827*12)),Paths!$G$81,0),"n.a."))</f>
        <v>0</v>
      </c>
      <c r="J827" s="16">
        <f>IF(NOT(Paths!$C$81=1),0,IF(Paths!$P$81="Complete",IF(IF(Paths!$E$81=0,C827=0,AND(C827&gt;0,Paths!$E$81&gt;(C827-1)*12,Paths!$E$81&lt;=C827*12)),Paths!$H$81,0),"n.a."))</f>
        <v>0</v>
      </c>
      <c r="K827" s="16">
        <f>IF(NOT(Paths!$C$81=1),0,IF(Paths!$P$81="Complete",IF(IF(Paths!$O$81=0,C827=0,AND(C827&gt;0,Paths!$O$81&gt;(C827-1)*12,Paths!$O$81&lt;=C827*12)),Paths!$N$81,0),"n.a."))</f>
        <v>0</v>
      </c>
      <c r="L827" s="16">
        <f>IF(NOT(Paths!$C$81=1),0,IF(Paths!$P$81="Complete",IF(C827=10,Paths!$I$81,0),"n.a."))</f>
        <v>0</v>
      </c>
      <c r="M827" s="16">
        <f>IF(NOT(Paths!$C$81=1),0,IF(Paths!$P$81="Complete",IF(AND(Paths!$D$81="EV",Paths!$E$81&lt;120,Paths!$E$81+'Operating costs'!$B$65&gt;Paths!$E$81,Paths!$E$81+'Operating costs'!$B$65&lt;=120,IF(Paths!$E$81+'Operating costs'!$B$65=0,C827=0,AND(C827&gt;0,Paths!$E$81+'Operating costs'!$B$65&gt;(C827-1)*12,Paths!$E$81+'Operating costs'!$B$65&lt;=C827*12))),'Operating costs'!$B$64,0)+IF(AND('Operating costs'!$B$67&gt;0,'Operating costs'!$B$67&lt;=120,OR(Paths!$D$81="ICE",'Operating costs'!$B$67&lt;=Paths!$E$81),IF('Operating costs'!$B$67=0,C827=0,AND(C827&gt;0,'Operating costs'!$B$67&gt;(C827-1)*12,'Operating costs'!$B$67&lt;=C827*12))),'Operating costs'!$B$66,0),"n.a."))</f>
        <v>0</v>
      </c>
      <c r="N827" s="16">
        <f>IF(NOT(Paths!$C$81=1),0,IF(Paths!$P$81="Complete",SUM(G827:I827)-J827-K827-L827+M827+IF(C827=0,Paths!$F$81,0)+IF(IF(Paths!$E$81=0,C827=0,AND(C827&gt;0,Paths!$E$81&gt;(C827-1)*12,Paths!$E$81&lt;=C827*12)),VLOOKUP(A827,'Fleet register'!$A$7:$S$106,16,FALSE),0),"n.a."))</f>
        <v>0</v>
      </c>
      <c r="O827" s="16">
        <f>IF(NOT(Paths!$C$81=1),0,IF(Paths!$P$81="Complete",N827-IF(C827=0,Paths!$F$81,0),"n.a."))</f>
        <v>0</v>
      </c>
      <c r="P827" s="16">
        <f>IF(NOT(Paths!$C$81=1),0,IF(Paths!$P$81="Complete",O827+L827,"n.a."))</f>
        <v>0</v>
      </c>
      <c r="Q827" s="16">
        <f>IF(NOT(Paths!$C$81=1),0,IF(Paths!$P$81="Complete",N827*(1+'Operating costs'!$B$54)^-C827,"n.a."))</f>
        <v>0</v>
      </c>
      <c r="R827" s="16">
        <f>IF(NOT(Paths!$C$81=1),0,IF(Paths!$P$81="Complete",IF(AND(C827=0,Paths!$E$81=0),I827-J827-K827+VLOOKUP(A827,'Fleet register'!$A$7:$S$106,15,FALSE)+VLOOKUP(A827,'Fleet register'!$A$7:$S$106,16,FALSE),0),"n.a."))</f>
        <v>0</v>
      </c>
      <c r="S827" s="1">
        <f>IF(NOT(Paths!$C$81=1),0,IF(Paths!$P$81="Complete",IF(C827=0,0,Paths!$S$81*Paths!$R$81),"n.a."))</f>
        <v>0</v>
      </c>
      <c r="T827" s="1">
        <f>IF(NOT(Paths!$C$81=1),0,IF(Paths!$P$81="Complete",IF(C827=0,0,VLOOKUP(A827,'Fleet register'!$A$7:$S$106,9,FALSE)*Paths!$R$81),"n.a."))</f>
        <v>0</v>
      </c>
    </row>
    <row r="828" spans="1:20" ht="24" customHeight="1">
      <c r="A828" s="1" t="str">
        <f>Paths!$A$81</f>
        <v>T019</v>
      </c>
      <c r="B828" s="1">
        <f>Paths!$B$81</f>
        <v>2</v>
      </c>
      <c r="C828" s="1">
        <v>7</v>
      </c>
      <c r="D828" s="1">
        <v>81</v>
      </c>
      <c r="E828" s="1">
        <f>IF(OR(Paths!$C$81=0,C828=0),0,MAX(0,MIN(C828*12,Paths!$E$81)-(C828-1)*12))</f>
        <v>0</v>
      </c>
      <c r="F828" s="1">
        <f>IF(OR(Paths!$C$81=0,C828=0),0,12-E828)</f>
        <v>0</v>
      </c>
      <c r="G828" s="16">
        <f>IF(NOT(Paths!$C$81=1),0,IF(Paths!$P$81="Complete",E828/12*(Paths!$J$81*(1+'Operating costs'!$B$51)^MAX(0,C828-1)+Paths!$K$81*(1+'Operating costs'!$B$53)^MAX(0,C828-1)),"n.a."))</f>
        <v>0</v>
      </c>
      <c r="H828" s="16">
        <f>IF(NOT(Paths!$C$81=1),0,IF(Paths!$P$81="Complete",F828/12*(Paths!$L$81*(1+IF(Paths!$D$81="EV",'Operating costs'!$B$52,'Operating costs'!$B$51))^MAX(0,C828-1)+Paths!$M$81*(1+'Operating costs'!$B$53)^MAX(0,C828-1)),"n.a."))</f>
        <v>0</v>
      </c>
      <c r="I828" s="16">
        <f>IF(NOT(Paths!$C$81=1),0,IF(Paths!$P$81="Complete",IF(IF(Paths!$E$81=0,C828=0,AND(C828&gt;0,Paths!$E$81&gt;(C828-1)*12,Paths!$E$81&lt;=C828*12)),Paths!$G$81,0),"n.a."))</f>
        <v>0</v>
      </c>
      <c r="J828" s="16">
        <f>IF(NOT(Paths!$C$81=1),0,IF(Paths!$P$81="Complete",IF(IF(Paths!$E$81=0,C828=0,AND(C828&gt;0,Paths!$E$81&gt;(C828-1)*12,Paths!$E$81&lt;=C828*12)),Paths!$H$81,0),"n.a."))</f>
        <v>0</v>
      </c>
      <c r="K828" s="16">
        <f>IF(NOT(Paths!$C$81=1),0,IF(Paths!$P$81="Complete",IF(IF(Paths!$O$81=0,C828=0,AND(C828&gt;0,Paths!$O$81&gt;(C828-1)*12,Paths!$O$81&lt;=C828*12)),Paths!$N$81,0),"n.a."))</f>
        <v>0</v>
      </c>
      <c r="L828" s="16">
        <f>IF(NOT(Paths!$C$81=1),0,IF(Paths!$P$81="Complete",IF(C828=10,Paths!$I$81,0),"n.a."))</f>
        <v>0</v>
      </c>
      <c r="M828" s="16">
        <f>IF(NOT(Paths!$C$81=1),0,IF(Paths!$P$81="Complete",IF(AND(Paths!$D$81="EV",Paths!$E$81&lt;120,Paths!$E$81+'Operating costs'!$B$65&gt;Paths!$E$81,Paths!$E$81+'Operating costs'!$B$65&lt;=120,IF(Paths!$E$81+'Operating costs'!$B$65=0,C828=0,AND(C828&gt;0,Paths!$E$81+'Operating costs'!$B$65&gt;(C828-1)*12,Paths!$E$81+'Operating costs'!$B$65&lt;=C828*12))),'Operating costs'!$B$64,0)+IF(AND('Operating costs'!$B$67&gt;0,'Operating costs'!$B$67&lt;=120,OR(Paths!$D$81="ICE",'Operating costs'!$B$67&lt;=Paths!$E$81),IF('Operating costs'!$B$67=0,C828=0,AND(C828&gt;0,'Operating costs'!$B$67&gt;(C828-1)*12,'Operating costs'!$B$67&lt;=C828*12))),'Operating costs'!$B$66,0),"n.a."))</f>
        <v>0</v>
      </c>
      <c r="N828" s="16">
        <f>IF(NOT(Paths!$C$81=1),0,IF(Paths!$P$81="Complete",SUM(G828:I828)-J828-K828-L828+M828+IF(C828=0,Paths!$F$81,0)+IF(IF(Paths!$E$81=0,C828=0,AND(C828&gt;0,Paths!$E$81&gt;(C828-1)*12,Paths!$E$81&lt;=C828*12)),VLOOKUP(A828,'Fleet register'!$A$7:$S$106,16,FALSE),0),"n.a."))</f>
        <v>0</v>
      </c>
      <c r="O828" s="16">
        <f>IF(NOT(Paths!$C$81=1),0,IF(Paths!$P$81="Complete",N828-IF(C828=0,Paths!$F$81,0),"n.a."))</f>
        <v>0</v>
      </c>
      <c r="P828" s="16">
        <f>IF(NOT(Paths!$C$81=1),0,IF(Paths!$P$81="Complete",O828+L828,"n.a."))</f>
        <v>0</v>
      </c>
      <c r="Q828" s="16">
        <f>IF(NOT(Paths!$C$81=1),0,IF(Paths!$P$81="Complete",N828*(1+'Operating costs'!$B$54)^-C828,"n.a."))</f>
        <v>0</v>
      </c>
      <c r="R828" s="16">
        <f>IF(NOT(Paths!$C$81=1),0,IF(Paths!$P$81="Complete",IF(AND(C828=0,Paths!$E$81=0),I828-J828-K828+VLOOKUP(A828,'Fleet register'!$A$7:$S$106,15,FALSE)+VLOOKUP(A828,'Fleet register'!$A$7:$S$106,16,FALSE),0),"n.a."))</f>
        <v>0</v>
      </c>
      <c r="S828" s="1">
        <f>IF(NOT(Paths!$C$81=1),0,IF(Paths!$P$81="Complete",IF(C828=0,0,Paths!$S$81*Paths!$R$81),"n.a."))</f>
        <v>0</v>
      </c>
      <c r="T828" s="1">
        <f>IF(NOT(Paths!$C$81=1),0,IF(Paths!$P$81="Complete",IF(C828=0,0,VLOOKUP(A828,'Fleet register'!$A$7:$S$106,9,FALSE)*Paths!$R$81),"n.a."))</f>
        <v>0</v>
      </c>
    </row>
    <row r="829" spans="1:20" ht="24" customHeight="1">
      <c r="A829" s="1" t="str">
        <f>Paths!$A$81</f>
        <v>T019</v>
      </c>
      <c r="B829" s="1">
        <f>Paths!$B$81</f>
        <v>2</v>
      </c>
      <c r="C829" s="1">
        <v>8</v>
      </c>
      <c r="D829" s="1">
        <v>81</v>
      </c>
      <c r="E829" s="1">
        <f>IF(OR(Paths!$C$81=0,C829=0),0,MAX(0,MIN(C829*12,Paths!$E$81)-(C829-1)*12))</f>
        <v>0</v>
      </c>
      <c r="F829" s="1">
        <f>IF(OR(Paths!$C$81=0,C829=0),0,12-E829)</f>
        <v>0</v>
      </c>
      <c r="G829" s="16">
        <f>IF(NOT(Paths!$C$81=1),0,IF(Paths!$P$81="Complete",E829/12*(Paths!$J$81*(1+'Operating costs'!$B$51)^MAX(0,C829-1)+Paths!$K$81*(1+'Operating costs'!$B$53)^MAX(0,C829-1)),"n.a."))</f>
        <v>0</v>
      </c>
      <c r="H829" s="16">
        <f>IF(NOT(Paths!$C$81=1),0,IF(Paths!$P$81="Complete",F829/12*(Paths!$L$81*(1+IF(Paths!$D$81="EV",'Operating costs'!$B$52,'Operating costs'!$B$51))^MAX(0,C829-1)+Paths!$M$81*(1+'Operating costs'!$B$53)^MAX(0,C829-1)),"n.a."))</f>
        <v>0</v>
      </c>
      <c r="I829" s="16">
        <f>IF(NOT(Paths!$C$81=1),0,IF(Paths!$P$81="Complete",IF(IF(Paths!$E$81=0,C829=0,AND(C829&gt;0,Paths!$E$81&gt;(C829-1)*12,Paths!$E$81&lt;=C829*12)),Paths!$G$81,0),"n.a."))</f>
        <v>0</v>
      </c>
      <c r="J829" s="16">
        <f>IF(NOT(Paths!$C$81=1),0,IF(Paths!$P$81="Complete",IF(IF(Paths!$E$81=0,C829=0,AND(C829&gt;0,Paths!$E$81&gt;(C829-1)*12,Paths!$E$81&lt;=C829*12)),Paths!$H$81,0),"n.a."))</f>
        <v>0</v>
      </c>
      <c r="K829" s="16">
        <f>IF(NOT(Paths!$C$81=1),0,IF(Paths!$P$81="Complete",IF(IF(Paths!$O$81=0,C829=0,AND(C829&gt;0,Paths!$O$81&gt;(C829-1)*12,Paths!$O$81&lt;=C829*12)),Paths!$N$81,0),"n.a."))</f>
        <v>0</v>
      </c>
      <c r="L829" s="16">
        <f>IF(NOT(Paths!$C$81=1),0,IF(Paths!$P$81="Complete",IF(C829=10,Paths!$I$81,0),"n.a."))</f>
        <v>0</v>
      </c>
      <c r="M829" s="16">
        <f>IF(NOT(Paths!$C$81=1),0,IF(Paths!$P$81="Complete",IF(AND(Paths!$D$81="EV",Paths!$E$81&lt;120,Paths!$E$81+'Operating costs'!$B$65&gt;Paths!$E$81,Paths!$E$81+'Operating costs'!$B$65&lt;=120,IF(Paths!$E$81+'Operating costs'!$B$65=0,C829=0,AND(C829&gt;0,Paths!$E$81+'Operating costs'!$B$65&gt;(C829-1)*12,Paths!$E$81+'Operating costs'!$B$65&lt;=C829*12))),'Operating costs'!$B$64,0)+IF(AND('Operating costs'!$B$67&gt;0,'Operating costs'!$B$67&lt;=120,OR(Paths!$D$81="ICE",'Operating costs'!$B$67&lt;=Paths!$E$81),IF('Operating costs'!$B$67=0,C829=0,AND(C829&gt;0,'Operating costs'!$B$67&gt;(C829-1)*12,'Operating costs'!$B$67&lt;=C829*12))),'Operating costs'!$B$66,0),"n.a."))</f>
        <v>0</v>
      </c>
      <c r="N829" s="16">
        <f>IF(NOT(Paths!$C$81=1),0,IF(Paths!$P$81="Complete",SUM(G829:I829)-J829-K829-L829+M829+IF(C829=0,Paths!$F$81,0)+IF(IF(Paths!$E$81=0,C829=0,AND(C829&gt;0,Paths!$E$81&gt;(C829-1)*12,Paths!$E$81&lt;=C829*12)),VLOOKUP(A829,'Fleet register'!$A$7:$S$106,16,FALSE),0),"n.a."))</f>
        <v>0</v>
      </c>
      <c r="O829" s="16">
        <f>IF(NOT(Paths!$C$81=1),0,IF(Paths!$P$81="Complete",N829-IF(C829=0,Paths!$F$81,0),"n.a."))</f>
        <v>0</v>
      </c>
      <c r="P829" s="16">
        <f>IF(NOT(Paths!$C$81=1),0,IF(Paths!$P$81="Complete",O829+L829,"n.a."))</f>
        <v>0</v>
      </c>
      <c r="Q829" s="16">
        <f>IF(NOT(Paths!$C$81=1),0,IF(Paths!$P$81="Complete",N829*(1+'Operating costs'!$B$54)^-C829,"n.a."))</f>
        <v>0</v>
      </c>
      <c r="R829" s="16">
        <f>IF(NOT(Paths!$C$81=1),0,IF(Paths!$P$81="Complete",IF(AND(C829=0,Paths!$E$81=0),I829-J829-K829+VLOOKUP(A829,'Fleet register'!$A$7:$S$106,15,FALSE)+VLOOKUP(A829,'Fleet register'!$A$7:$S$106,16,FALSE),0),"n.a."))</f>
        <v>0</v>
      </c>
      <c r="S829" s="1">
        <f>IF(NOT(Paths!$C$81=1),0,IF(Paths!$P$81="Complete",IF(C829=0,0,Paths!$S$81*Paths!$R$81),"n.a."))</f>
        <v>0</v>
      </c>
      <c r="T829" s="1">
        <f>IF(NOT(Paths!$C$81=1),0,IF(Paths!$P$81="Complete",IF(C829=0,0,VLOOKUP(A829,'Fleet register'!$A$7:$S$106,9,FALSE)*Paths!$R$81),"n.a."))</f>
        <v>0</v>
      </c>
    </row>
    <row r="830" spans="1:20" ht="24" customHeight="1">
      <c r="A830" s="1" t="str">
        <f>Paths!$A$81</f>
        <v>T019</v>
      </c>
      <c r="B830" s="1">
        <f>Paths!$B$81</f>
        <v>2</v>
      </c>
      <c r="C830" s="1">
        <v>9</v>
      </c>
      <c r="D830" s="1">
        <v>81</v>
      </c>
      <c r="E830" s="1">
        <f>IF(OR(Paths!$C$81=0,C830=0),0,MAX(0,MIN(C830*12,Paths!$E$81)-(C830-1)*12))</f>
        <v>0</v>
      </c>
      <c r="F830" s="1">
        <f>IF(OR(Paths!$C$81=0,C830=0),0,12-E830)</f>
        <v>0</v>
      </c>
      <c r="G830" s="16">
        <f>IF(NOT(Paths!$C$81=1),0,IF(Paths!$P$81="Complete",E830/12*(Paths!$J$81*(1+'Operating costs'!$B$51)^MAX(0,C830-1)+Paths!$K$81*(1+'Operating costs'!$B$53)^MAX(0,C830-1)),"n.a."))</f>
        <v>0</v>
      </c>
      <c r="H830" s="16">
        <f>IF(NOT(Paths!$C$81=1),0,IF(Paths!$P$81="Complete",F830/12*(Paths!$L$81*(1+IF(Paths!$D$81="EV",'Operating costs'!$B$52,'Operating costs'!$B$51))^MAX(0,C830-1)+Paths!$M$81*(1+'Operating costs'!$B$53)^MAX(0,C830-1)),"n.a."))</f>
        <v>0</v>
      </c>
      <c r="I830" s="16">
        <f>IF(NOT(Paths!$C$81=1),0,IF(Paths!$P$81="Complete",IF(IF(Paths!$E$81=0,C830=0,AND(C830&gt;0,Paths!$E$81&gt;(C830-1)*12,Paths!$E$81&lt;=C830*12)),Paths!$G$81,0),"n.a."))</f>
        <v>0</v>
      </c>
      <c r="J830" s="16">
        <f>IF(NOT(Paths!$C$81=1),0,IF(Paths!$P$81="Complete",IF(IF(Paths!$E$81=0,C830=0,AND(C830&gt;0,Paths!$E$81&gt;(C830-1)*12,Paths!$E$81&lt;=C830*12)),Paths!$H$81,0),"n.a."))</f>
        <v>0</v>
      </c>
      <c r="K830" s="16">
        <f>IF(NOT(Paths!$C$81=1),0,IF(Paths!$P$81="Complete",IF(IF(Paths!$O$81=0,C830=0,AND(C830&gt;0,Paths!$O$81&gt;(C830-1)*12,Paths!$O$81&lt;=C830*12)),Paths!$N$81,0),"n.a."))</f>
        <v>0</v>
      </c>
      <c r="L830" s="16">
        <f>IF(NOT(Paths!$C$81=1),0,IF(Paths!$P$81="Complete",IF(C830=10,Paths!$I$81,0),"n.a."))</f>
        <v>0</v>
      </c>
      <c r="M830" s="16">
        <f>IF(NOT(Paths!$C$81=1),0,IF(Paths!$P$81="Complete",IF(AND(Paths!$D$81="EV",Paths!$E$81&lt;120,Paths!$E$81+'Operating costs'!$B$65&gt;Paths!$E$81,Paths!$E$81+'Operating costs'!$B$65&lt;=120,IF(Paths!$E$81+'Operating costs'!$B$65=0,C830=0,AND(C830&gt;0,Paths!$E$81+'Operating costs'!$B$65&gt;(C830-1)*12,Paths!$E$81+'Operating costs'!$B$65&lt;=C830*12))),'Operating costs'!$B$64,0)+IF(AND('Operating costs'!$B$67&gt;0,'Operating costs'!$B$67&lt;=120,OR(Paths!$D$81="ICE",'Operating costs'!$B$67&lt;=Paths!$E$81),IF('Operating costs'!$B$67=0,C830=0,AND(C830&gt;0,'Operating costs'!$B$67&gt;(C830-1)*12,'Operating costs'!$B$67&lt;=C830*12))),'Operating costs'!$B$66,0),"n.a."))</f>
        <v>0</v>
      </c>
      <c r="N830" s="16">
        <f>IF(NOT(Paths!$C$81=1),0,IF(Paths!$P$81="Complete",SUM(G830:I830)-J830-K830-L830+M830+IF(C830=0,Paths!$F$81,0)+IF(IF(Paths!$E$81=0,C830=0,AND(C830&gt;0,Paths!$E$81&gt;(C830-1)*12,Paths!$E$81&lt;=C830*12)),VLOOKUP(A830,'Fleet register'!$A$7:$S$106,16,FALSE),0),"n.a."))</f>
        <v>0</v>
      </c>
      <c r="O830" s="16">
        <f>IF(NOT(Paths!$C$81=1),0,IF(Paths!$P$81="Complete",N830-IF(C830=0,Paths!$F$81,0),"n.a."))</f>
        <v>0</v>
      </c>
      <c r="P830" s="16">
        <f>IF(NOT(Paths!$C$81=1),0,IF(Paths!$P$81="Complete",O830+L830,"n.a."))</f>
        <v>0</v>
      </c>
      <c r="Q830" s="16">
        <f>IF(NOT(Paths!$C$81=1),0,IF(Paths!$P$81="Complete",N830*(1+'Operating costs'!$B$54)^-C830,"n.a."))</f>
        <v>0</v>
      </c>
      <c r="R830" s="16">
        <f>IF(NOT(Paths!$C$81=1),0,IF(Paths!$P$81="Complete",IF(AND(C830=0,Paths!$E$81=0),I830-J830-K830+VLOOKUP(A830,'Fleet register'!$A$7:$S$106,15,FALSE)+VLOOKUP(A830,'Fleet register'!$A$7:$S$106,16,FALSE),0),"n.a."))</f>
        <v>0</v>
      </c>
      <c r="S830" s="1">
        <f>IF(NOT(Paths!$C$81=1),0,IF(Paths!$P$81="Complete",IF(C830=0,0,Paths!$S$81*Paths!$R$81),"n.a."))</f>
        <v>0</v>
      </c>
      <c r="T830" s="1">
        <f>IF(NOT(Paths!$C$81=1),0,IF(Paths!$P$81="Complete",IF(C830=0,0,VLOOKUP(A830,'Fleet register'!$A$7:$S$106,9,FALSE)*Paths!$R$81),"n.a."))</f>
        <v>0</v>
      </c>
    </row>
    <row r="831" spans="1:20" ht="24" customHeight="1">
      <c r="A831" s="1" t="str">
        <f>Paths!$A$81</f>
        <v>T019</v>
      </c>
      <c r="B831" s="1">
        <f>Paths!$B$81</f>
        <v>2</v>
      </c>
      <c r="C831" s="1">
        <v>10</v>
      </c>
      <c r="D831" s="1">
        <v>81</v>
      </c>
      <c r="E831" s="1">
        <f>IF(OR(Paths!$C$81=0,C831=0),0,MAX(0,MIN(C831*12,Paths!$E$81)-(C831-1)*12))</f>
        <v>0</v>
      </c>
      <c r="F831" s="1">
        <f>IF(OR(Paths!$C$81=0,C831=0),0,12-E831)</f>
        <v>0</v>
      </c>
      <c r="G831" s="16">
        <f>IF(NOT(Paths!$C$81=1),0,IF(Paths!$P$81="Complete",E831/12*(Paths!$J$81*(1+'Operating costs'!$B$51)^MAX(0,C831-1)+Paths!$K$81*(1+'Operating costs'!$B$53)^MAX(0,C831-1)),"n.a."))</f>
        <v>0</v>
      </c>
      <c r="H831" s="16">
        <f>IF(NOT(Paths!$C$81=1),0,IF(Paths!$P$81="Complete",F831/12*(Paths!$L$81*(1+IF(Paths!$D$81="EV",'Operating costs'!$B$52,'Operating costs'!$B$51))^MAX(0,C831-1)+Paths!$M$81*(1+'Operating costs'!$B$53)^MAX(0,C831-1)),"n.a."))</f>
        <v>0</v>
      </c>
      <c r="I831" s="16">
        <f>IF(NOT(Paths!$C$81=1),0,IF(Paths!$P$81="Complete",IF(IF(Paths!$E$81=0,C831=0,AND(C831&gt;0,Paths!$E$81&gt;(C831-1)*12,Paths!$E$81&lt;=C831*12)),Paths!$G$81,0),"n.a."))</f>
        <v>0</v>
      </c>
      <c r="J831" s="16">
        <f>IF(NOT(Paths!$C$81=1),0,IF(Paths!$P$81="Complete",IF(IF(Paths!$E$81=0,C831=0,AND(C831&gt;0,Paths!$E$81&gt;(C831-1)*12,Paths!$E$81&lt;=C831*12)),Paths!$H$81,0),"n.a."))</f>
        <v>0</v>
      </c>
      <c r="K831" s="16">
        <f>IF(NOT(Paths!$C$81=1),0,IF(Paths!$P$81="Complete",IF(IF(Paths!$O$81=0,C831=0,AND(C831&gt;0,Paths!$O$81&gt;(C831-1)*12,Paths!$O$81&lt;=C831*12)),Paths!$N$81,0),"n.a."))</f>
        <v>0</v>
      </c>
      <c r="L831" s="16">
        <f>IF(NOT(Paths!$C$81=1),0,IF(Paths!$P$81="Complete",IF(C831=10,Paths!$I$81,0),"n.a."))</f>
        <v>0</v>
      </c>
      <c r="M831" s="16">
        <f>IF(NOT(Paths!$C$81=1),0,IF(Paths!$P$81="Complete",IF(AND(Paths!$D$81="EV",Paths!$E$81&lt;120,Paths!$E$81+'Operating costs'!$B$65&gt;Paths!$E$81,Paths!$E$81+'Operating costs'!$B$65&lt;=120,IF(Paths!$E$81+'Operating costs'!$B$65=0,C831=0,AND(C831&gt;0,Paths!$E$81+'Operating costs'!$B$65&gt;(C831-1)*12,Paths!$E$81+'Operating costs'!$B$65&lt;=C831*12))),'Operating costs'!$B$64,0)+IF(AND('Operating costs'!$B$67&gt;0,'Operating costs'!$B$67&lt;=120,OR(Paths!$D$81="ICE",'Operating costs'!$B$67&lt;=Paths!$E$81),IF('Operating costs'!$B$67=0,C831=0,AND(C831&gt;0,'Operating costs'!$B$67&gt;(C831-1)*12,'Operating costs'!$B$67&lt;=C831*12))),'Operating costs'!$B$66,0),"n.a."))</f>
        <v>0</v>
      </c>
      <c r="N831" s="16">
        <f>IF(NOT(Paths!$C$81=1),0,IF(Paths!$P$81="Complete",SUM(G831:I831)-J831-K831-L831+M831+IF(C831=0,Paths!$F$81,0)+IF(IF(Paths!$E$81=0,C831=0,AND(C831&gt;0,Paths!$E$81&gt;(C831-1)*12,Paths!$E$81&lt;=C831*12)),VLOOKUP(A831,'Fleet register'!$A$7:$S$106,16,FALSE),0),"n.a."))</f>
        <v>0</v>
      </c>
      <c r="O831" s="16">
        <f>IF(NOT(Paths!$C$81=1),0,IF(Paths!$P$81="Complete",N831-IF(C831=0,Paths!$F$81,0),"n.a."))</f>
        <v>0</v>
      </c>
      <c r="P831" s="16">
        <f>IF(NOT(Paths!$C$81=1),0,IF(Paths!$P$81="Complete",O831+L831,"n.a."))</f>
        <v>0</v>
      </c>
      <c r="Q831" s="16">
        <f>IF(NOT(Paths!$C$81=1),0,IF(Paths!$P$81="Complete",N831*(1+'Operating costs'!$B$54)^-C831,"n.a."))</f>
        <v>0</v>
      </c>
      <c r="R831" s="16">
        <f>IF(NOT(Paths!$C$81=1),0,IF(Paths!$P$81="Complete",IF(AND(C831=0,Paths!$E$81=0),I831-J831-K831+VLOOKUP(A831,'Fleet register'!$A$7:$S$106,15,FALSE)+VLOOKUP(A831,'Fleet register'!$A$7:$S$106,16,FALSE),0),"n.a."))</f>
        <v>0</v>
      </c>
      <c r="S831" s="1">
        <f>IF(NOT(Paths!$C$81=1),0,IF(Paths!$P$81="Complete",IF(C831=0,0,Paths!$S$81*Paths!$R$81),"n.a."))</f>
        <v>0</v>
      </c>
      <c r="T831" s="1">
        <f>IF(NOT(Paths!$C$81=1),0,IF(Paths!$P$81="Complete",IF(C831=0,0,VLOOKUP(A831,'Fleet register'!$A$7:$S$106,9,FALSE)*Paths!$R$81),"n.a."))</f>
        <v>0</v>
      </c>
    </row>
    <row r="832" spans="1:20" ht="24" customHeight="1">
      <c r="A832" s="1" t="str">
        <f>Paths!$A$82</f>
        <v>T019</v>
      </c>
      <c r="B832" s="1">
        <f>Paths!$B$82</f>
        <v>3</v>
      </c>
      <c r="C832" s="1">
        <v>0</v>
      </c>
      <c r="D832" s="1">
        <v>82</v>
      </c>
      <c r="E832" s="1">
        <f>IF(OR(Paths!$C$82=0,C832=0),0,MAX(0,MIN(C832*12,Paths!$E$82)-(C832-1)*12))</f>
        <v>0</v>
      </c>
      <c r="F832" s="1">
        <f>IF(OR(Paths!$C$82=0,C832=0),0,12-E832)</f>
        <v>0</v>
      </c>
      <c r="G832" s="16">
        <f>IF(NOT(Paths!$C$82=1),0,IF(Paths!$P$82="Complete",E832/12*(Paths!$J$82*(1+'Operating costs'!$B$51)^MAX(0,C832-1)+Paths!$K$82*(1+'Operating costs'!$B$53)^MAX(0,C832-1)),"n.a."))</f>
        <v>0</v>
      </c>
      <c r="H832" s="16">
        <f>IF(NOT(Paths!$C$82=1),0,IF(Paths!$P$82="Complete",F832/12*(Paths!$L$82*(1+IF(Paths!$D$82="EV",'Operating costs'!$B$52,'Operating costs'!$B$51))^MAX(0,C832-1)+Paths!$M$82*(1+'Operating costs'!$B$53)^MAX(0,C832-1)),"n.a."))</f>
        <v>0</v>
      </c>
      <c r="I832" s="16">
        <f>IF(NOT(Paths!$C$82=1),0,IF(Paths!$P$82="Complete",IF(IF(Paths!$E$82=0,C832=0,AND(C832&gt;0,Paths!$E$82&gt;(C832-1)*12,Paths!$E$82&lt;=C832*12)),Paths!$G$82,0),"n.a."))</f>
        <v>0</v>
      </c>
      <c r="J832" s="16">
        <f>IF(NOT(Paths!$C$82=1),0,IF(Paths!$P$82="Complete",IF(IF(Paths!$E$82=0,C832=0,AND(C832&gt;0,Paths!$E$82&gt;(C832-1)*12,Paths!$E$82&lt;=C832*12)),Paths!$H$82,0),"n.a."))</f>
        <v>0</v>
      </c>
      <c r="K832" s="16">
        <f>IF(NOT(Paths!$C$82=1),0,IF(Paths!$P$82="Complete",IF(IF(Paths!$O$82=0,C832=0,AND(C832&gt;0,Paths!$O$82&gt;(C832-1)*12,Paths!$O$82&lt;=C832*12)),Paths!$N$82,0),"n.a."))</f>
        <v>0</v>
      </c>
      <c r="L832" s="16">
        <f>IF(NOT(Paths!$C$82=1),0,IF(Paths!$P$82="Complete",IF(C832=10,Paths!$I$82,0),"n.a."))</f>
        <v>0</v>
      </c>
      <c r="M832" s="16">
        <f>IF(NOT(Paths!$C$82=1),0,IF(Paths!$P$82="Complete",IF(AND(Paths!$D$82="EV",Paths!$E$82&lt;120,Paths!$E$82+'Operating costs'!$B$65&gt;Paths!$E$82,Paths!$E$82+'Operating costs'!$B$65&lt;=120,IF(Paths!$E$82+'Operating costs'!$B$65=0,C832=0,AND(C832&gt;0,Paths!$E$82+'Operating costs'!$B$65&gt;(C832-1)*12,Paths!$E$82+'Operating costs'!$B$65&lt;=C832*12))),'Operating costs'!$B$64,0)+IF(AND('Operating costs'!$B$67&gt;0,'Operating costs'!$B$67&lt;=120,OR(Paths!$D$82="ICE",'Operating costs'!$B$67&lt;=Paths!$E$82),IF('Operating costs'!$B$67=0,C832=0,AND(C832&gt;0,'Operating costs'!$B$67&gt;(C832-1)*12,'Operating costs'!$B$67&lt;=C832*12))),'Operating costs'!$B$66,0),"n.a."))</f>
        <v>0</v>
      </c>
      <c r="N832" s="16">
        <f>IF(NOT(Paths!$C$82=1),0,IF(Paths!$P$82="Complete",SUM(G832:I832)-J832-K832-L832+M832+IF(C832=0,Paths!$F$82,0)+IF(IF(Paths!$E$82=0,C832=0,AND(C832&gt;0,Paths!$E$82&gt;(C832-1)*12,Paths!$E$82&lt;=C832*12)),VLOOKUP(A832,'Fleet register'!$A$7:$S$106,16,FALSE),0),"n.a."))</f>
        <v>0</v>
      </c>
      <c r="O832" s="16">
        <f>IF(NOT(Paths!$C$82=1),0,IF(Paths!$P$82="Complete",N832-IF(C832=0,Paths!$F$82,0),"n.a."))</f>
        <v>0</v>
      </c>
      <c r="P832" s="16">
        <f>IF(NOT(Paths!$C$82=1),0,IF(Paths!$P$82="Complete",O832+L832,"n.a."))</f>
        <v>0</v>
      </c>
      <c r="Q832" s="16">
        <f>IF(NOT(Paths!$C$82=1),0,IF(Paths!$P$82="Complete",N832*(1+'Operating costs'!$B$54)^-C832,"n.a."))</f>
        <v>0</v>
      </c>
      <c r="R832" s="16">
        <f>IF(NOT(Paths!$C$82=1),0,IF(Paths!$P$82="Complete",IF(AND(C832=0,Paths!$E$82=0),I832-J832-K832+VLOOKUP(A832,'Fleet register'!$A$7:$S$106,15,FALSE)+VLOOKUP(A832,'Fleet register'!$A$7:$S$106,16,FALSE),0),"n.a."))</f>
        <v>0</v>
      </c>
      <c r="S832" s="1">
        <f>IF(NOT(Paths!$C$82=1),0,IF(Paths!$P$82="Complete",IF(C832=0,0,Paths!$S$82*Paths!$R$82),"n.a."))</f>
        <v>0</v>
      </c>
      <c r="T832" s="1">
        <f>IF(NOT(Paths!$C$82=1),0,IF(Paths!$P$82="Complete",IF(C832=0,0,VLOOKUP(A832,'Fleet register'!$A$7:$S$106,9,FALSE)*Paths!$R$82),"n.a."))</f>
        <v>0</v>
      </c>
    </row>
    <row r="833" spans="1:20" ht="24" customHeight="1">
      <c r="A833" s="1" t="str">
        <f>Paths!$A$82</f>
        <v>T019</v>
      </c>
      <c r="B833" s="1">
        <f>Paths!$B$82</f>
        <v>3</v>
      </c>
      <c r="C833" s="1">
        <v>1</v>
      </c>
      <c r="D833" s="1">
        <v>82</v>
      </c>
      <c r="E833" s="1">
        <f>IF(OR(Paths!$C$82=0,C833=0),0,MAX(0,MIN(C833*12,Paths!$E$82)-(C833-1)*12))</f>
        <v>0</v>
      </c>
      <c r="F833" s="1">
        <f>IF(OR(Paths!$C$82=0,C833=0),0,12-E833)</f>
        <v>0</v>
      </c>
      <c r="G833" s="16">
        <f>IF(NOT(Paths!$C$82=1),0,IF(Paths!$P$82="Complete",E833/12*(Paths!$J$82*(1+'Operating costs'!$B$51)^MAX(0,C833-1)+Paths!$K$82*(1+'Operating costs'!$B$53)^MAX(0,C833-1)),"n.a."))</f>
        <v>0</v>
      </c>
      <c r="H833" s="16">
        <f>IF(NOT(Paths!$C$82=1),0,IF(Paths!$P$82="Complete",F833/12*(Paths!$L$82*(1+IF(Paths!$D$82="EV",'Operating costs'!$B$52,'Operating costs'!$B$51))^MAX(0,C833-1)+Paths!$M$82*(1+'Operating costs'!$B$53)^MAX(0,C833-1)),"n.a."))</f>
        <v>0</v>
      </c>
      <c r="I833" s="16">
        <f>IF(NOT(Paths!$C$82=1),0,IF(Paths!$P$82="Complete",IF(IF(Paths!$E$82=0,C833=0,AND(C833&gt;0,Paths!$E$82&gt;(C833-1)*12,Paths!$E$82&lt;=C833*12)),Paths!$G$82,0),"n.a."))</f>
        <v>0</v>
      </c>
      <c r="J833" s="16">
        <f>IF(NOT(Paths!$C$82=1),0,IF(Paths!$P$82="Complete",IF(IF(Paths!$E$82=0,C833=0,AND(C833&gt;0,Paths!$E$82&gt;(C833-1)*12,Paths!$E$82&lt;=C833*12)),Paths!$H$82,0),"n.a."))</f>
        <v>0</v>
      </c>
      <c r="K833" s="16">
        <f>IF(NOT(Paths!$C$82=1),0,IF(Paths!$P$82="Complete",IF(IF(Paths!$O$82=0,C833=0,AND(C833&gt;0,Paths!$O$82&gt;(C833-1)*12,Paths!$O$82&lt;=C833*12)),Paths!$N$82,0),"n.a."))</f>
        <v>0</v>
      </c>
      <c r="L833" s="16">
        <f>IF(NOT(Paths!$C$82=1),0,IF(Paths!$P$82="Complete",IF(C833=10,Paths!$I$82,0),"n.a."))</f>
        <v>0</v>
      </c>
      <c r="M833" s="16">
        <f>IF(NOT(Paths!$C$82=1),0,IF(Paths!$P$82="Complete",IF(AND(Paths!$D$82="EV",Paths!$E$82&lt;120,Paths!$E$82+'Operating costs'!$B$65&gt;Paths!$E$82,Paths!$E$82+'Operating costs'!$B$65&lt;=120,IF(Paths!$E$82+'Operating costs'!$B$65=0,C833=0,AND(C833&gt;0,Paths!$E$82+'Operating costs'!$B$65&gt;(C833-1)*12,Paths!$E$82+'Operating costs'!$B$65&lt;=C833*12))),'Operating costs'!$B$64,0)+IF(AND('Operating costs'!$B$67&gt;0,'Operating costs'!$B$67&lt;=120,OR(Paths!$D$82="ICE",'Operating costs'!$B$67&lt;=Paths!$E$82),IF('Operating costs'!$B$67=0,C833=0,AND(C833&gt;0,'Operating costs'!$B$67&gt;(C833-1)*12,'Operating costs'!$B$67&lt;=C833*12))),'Operating costs'!$B$66,0),"n.a."))</f>
        <v>0</v>
      </c>
      <c r="N833" s="16">
        <f>IF(NOT(Paths!$C$82=1),0,IF(Paths!$P$82="Complete",SUM(G833:I833)-J833-K833-L833+M833+IF(C833=0,Paths!$F$82,0)+IF(IF(Paths!$E$82=0,C833=0,AND(C833&gt;0,Paths!$E$82&gt;(C833-1)*12,Paths!$E$82&lt;=C833*12)),VLOOKUP(A833,'Fleet register'!$A$7:$S$106,16,FALSE),0),"n.a."))</f>
        <v>0</v>
      </c>
      <c r="O833" s="16">
        <f>IF(NOT(Paths!$C$82=1),0,IF(Paths!$P$82="Complete",N833-IF(C833=0,Paths!$F$82,0),"n.a."))</f>
        <v>0</v>
      </c>
      <c r="P833" s="16">
        <f>IF(NOT(Paths!$C$82=1),0,IF(Paths!$P$82="Complete",O833+L833,"n.a."))</f>
        <v>0</v>
      </c>
      <c r="Q833" s="16">
        <f>IF(NOT(Paths!$C$82=1),0,IF(Paths!$P$82="Complete",N833*(1+'Operating costs'!$B$54)^-C833,"n.a."))</f>
        <v>0</v>
      </c>
      <c r="R833" s="16">
        <f>IF(NOT(Paths!$C$82=1),0,IF(Paths!$P$82="Complete",IF(AND(C833=0,Paths!$E$82=0),I833-J833-K833+VLOOKUP(A833,'Fleet register'!$A$7:$S$106,15,FALSE)+VLOOKUP(A833,'Fleet register'!$A$7:$S$106,16,FALSE),0),"n.a."))</f>
        <v>0</v>
      </c>
      <c r="S833" s="1">
        <f>IF(NOT(Paths!$C$82=1),0,IF(Paths!$P$82="Complete",IF(C833=0,0,Paths!$S$82*Paths!$R$82),"n.a."))</f>
        <v>0</v>
      </c>
      <c r="T833" s="1">
        <f>IF(NOT(Paths!$C$82=1),0,IF(Paths!$P$82="Complete",IF(C833=0,0,VLOOKUP(A833,'Fleet register'!$A$7:$S$106,9,FALSE)*Paths!$R$82),"n.a."))</f>
        <v>0</v>
      </c>
    </row>
    <row r="834" spans="1:20" ht="24" customHeight="1">
      <c r="A834" s="1" t="str">
        <f>Paths!$A$82</f>
        <v>T019</v>
      </c>
      <c r="B834" s="1">
        <f>Paths!$B$82</f>
        <v>3</v>
      </c>
      <c r="C834" s="1">
        <v>2</v>
      </c>
      <c r="D834" s="1">
        <v>82</v>
      </c>
      <c r="E834" s="1">
        <f>IF(OR(Paths!$C$82=0,C834=0),0,MAX(0,MIN(C834*12,Paths!$E$82)-(C834-1)*12))</f>
        <v>0</v>
      </c>
      <c r="F834" s="1">
        <f>IF(OR(Paths!$C$82=0,C834=0),0,12-E834)</f>
        <v>0</v>
      </c>
      <c r="G834" s="16">
        <f>IF(NOT(Paths!$C$82=1),0,IF(Paths!$P$82="Complete",E834/12*(Paths!$J$82*(1+'Operating costs'!$B$51)^MAX(0,C834-1)+Paths!$K$82*(1+'Operating costs'!$B$53)^MAX(0,C834-1)),"n.a."))</f>
        <v>0</v>
      </c>
      <c r="H834" s="16">
        <f>IF(NOT(Paths!$C$82=1),0,IF(Paths!$P$82="Complete",F834/12*(Paths!$L$82*(1+IF(Paths!$D$82="EV",'Operating costs'!$B$52,'Operating costs'!$B$51))^MAX(0,C834-1)+Paths!$M$82*(1+'Operating costs'!$B$53)^MAX(0,C834-1)),"n.a."))</f>
        <v>0</v>
      </c>
      <c r="I834" s="16">
        <f>IF(NOT(Paths!$C$82=1),0,IF(Paths!$P$82="Complete",IF(IF(Paths!$E$82=0,C834=0,AND(C834&gt;0,Paths!$E$82&gt;(C834-1)*12,Paths!$E$82&lt;=C834*12)),Paths!$G$82,0),"n.a."))</f>
        <v>0</v>
      </c>
      <c r="J834" s="16">
        <f>IF(NOT(Paths!$C$82=1),0,IF(Paths!$P$82="Complete",IF(IF(Paths!$E$82=0,C834=0,AND(C834&gt;0,Paths!$E$82&gt;(C834-1)*12,Paths!$E$82&lt;=C834*12)),Paths!$H$82,0),"n.a."))</f>
        <v>0</v>
      </c>
      <c r="K834" s="16">
        <f>IF(NOT(Paths!$C$82=1),0,IF(Paths!$P$82="Complete",IF(IF(Paths!$O$82=0,C834=0,AND(C834&gt;0,Paths!$O$82&gt;(C834-1)*12,Paths!$O$82&lt;=C834*12)),Paths!$N$82,0),"n.a."))</f>
        <v>0</v>
      </c>
      <c r="L834" s="16">
        <f>IF(NOT(Paths!$C$82=1),0,IF(Paths!$P$82="Complete",IF(C834=10,Paths!$I$82,0),"n.a."))</f>
        <v>0</v>
      </c>
      <c r="M834" s="16">
        <f>IF(NOT(Paths!$C$82=1),0,IF(Paths!$P$82="Complete",IF(AND(Paths!$D$82="EV",Paths!$E$82&lt;120,Paths!$E$82+'Operating costs'!$B$65&gt;Paths!$E$82,Paths!$E$82+'Operating costs'!$B$65&lt;=120,IF(Paths!$E$82+'Operating costs'!$B$65=0,C834=0,AND(C834&gt;0,Paths!$E$82+'Operating costs'!$B$65&gt;(C834-1)*12,Paths!$E$82+'Operating costs'!$B$65&lt;=C834*12))),'Operating costs'!$B$64,0)+IF(AND('Operating costs'!$B$67&gt;0,'Operating costs'!$B$67&lt;=120,OR(Paths!$D$82="ICE",'Operating costs'!$B$67&lt;=Paths!$E$82),IF('Operating costs'!$B$67=0,C834=0,AND(C834&gt;0,'Operating costs'!$B$67&gt;(C834-1)*12,'Operating costs'!$B$67&lt;=C834*12))),'Operating costs'!$B$66,0),"n.a."))</f>
        <v>0</v>
      </c>
      <c r="N834" s="16">
        <f>IF(NOT(Paths!$C$82=1),0,IF(Paths!$P$82="Complete",SUM(G834:I834)-J834-K834-L834+M834+IF(C834=0,Paths!$F$82,0)+IF(IF(Paths!$E$82=0,C834=0,AND(C834&gt;0,Paths!$E$82&gt;(C834-1)*12,Paths!$E$82&lt;=C834*12)),VLOOKUP(A834,'Fleet register'!$A$7:$S$106,16,FALSE),0),"n.a."))</f>
        <v>0</v>
      </c>
      <c r="O834" s="16">
        <f>IF(NOT(Paths!$C$82=1),0,IF(Paths!$P$82="Complete",N834-IF(C834=0,Paths!$F$82,0),"n.a."))</f>
        <v>0</v>
      </c>
      <c r="P834" s="16">
        <f>IF(NOT(Paths!$C$82=1),0,IF(Paths!$P$82="Complete",O834+L834,"n.a."))</f>
        <v>0</v>
      </c>
      <c r="Q834" s="16">
        <f>IF(NOT(Paths!$C$82=1),0,IF(Paths!$P$82="Complete",N834*(1+'Operating costs'!$B$54)^-C834,"n.a."))</f>
        <v>0</v>
      </c>
      <c r="R834" s="16">
        <f>IF(NOT(Paths!$C$82=1),0,IF(Paths!$P$82="Complete",IF(AND(C834=0,Paths!$E$82=0),I834-J834-K834+VLOOKUP(A834,'Fleet register'!$A$7:$S$106,15,FALSE)+VLOOKUP(A834,'Fleet register'!$A$7:$S$106,16,FALSE),0),"n.a."))</f>
        <v>0</v>
      </c>
      <c r="S834" s="1">
        <f>IF(NOT(Paths!$C$82=1),0,IF(Paths!$P$82="Complete",IF(C834=0,0,Paths!$S$82*Paths!$R$82),"n.a."))</f>
        <v>0</v>
      </c>
      <c r="T834" s="1">
        <f>IF(NOT(Paths!$C$82=1),0,IF(Paths!$P$82="Complete",IF(C834=0,0,VLOOKUP(A834,'Fleet register'!$A$7:$S$106,9,FALSE)*Paths!$R$82),"n.a."))</f>
        <v>0</v>
      </c>
    </row>
    <row r="835" spans="1:20" ht="24" customHeight="1">
      <c r="A835" s="1" t="str">
        <f>Paths!$A$82</f>
        <v>T019</v>
      </c>
      <c r="B835" s="1">
        <f>Paths!$B$82</f>
        <v>3</v>
      </c>
      <c r="C835" s="1">
        <v>3</v>
      </c>
      <c r="D835" s="1">
        <v>82</v>
      </c>
      <c r="E835" s="1">
        <f>IF(OR(Paths!$C$82=0,C835=0),0,MAX(0,MIN(C835*12,Paths!$E$82)-(C835-1)*12))</f>
        <v>0</v>
      </c>
      <c r="F835" s="1">
        <f>IF(OR(Paths!$C$82=0,C835=0),0,12-E835)</f>
        <v>0</v>
      </c>
      <c r="G835" s="16">
        <f>IF(NOT(Paths!$C$82=1),0,IF(Paths!$P$82="Complete",E835/12*(Paths!$J$82*(1+'Operating costs'!$B$51)^MAX(0,C835-1)+Paths!$K$82*(1+'Operating costs'!$B$53)^MAX(0,C835-1)),"n.a."))</f>
        <v>0</v>
      </c>
      <c r="H835" s="16">
        <f>IF(NOT(Paths!$C$82=1),0,IF(Paths!$P$82="Complete",F835/12*(Paths!$L$82*(1+IF(Paths!$D$82="EV",'Operating costs'!$B$52,'Operating costs'!$B$51))^MAX(0,C835-1)+Paths!$M$82*(1+'Operating costs'!$B$53)^MAX(0,C835-1)),"n.a."))</f>
        <v>0</v>
      </c>
      <c r="I835" s="16">
        <f>IF(NOT(Paths!$C$82=1),0,IF(Paths!$P$82="Complete",IF(IF(Paths!$E$82=0,C835=0,AND(C835&gt;0,Paths!$E$82&gt;(C835-1)*12,Paths!$E$82&lt;=C835*12)),Paths!$G$82,0),"n.a."))</f>
        <v>0</v>
      </c>
      <c r="J835" s="16">
        <f>IF(NOT(Paths!$C$82=1),0,IF(Paths!$P$82="Complete",IF(IF(Paths!$E$82=0,C835=0,AND(C835&gt;0,Paths!$E$82&gt;(C835-1)*12,Paths!$E$82&lt;=C835*12)),Paths!$H$82,0),"n.a."))</f>
        <v>0</v>
      </c>
      <c r="K835" s="16">
        <f>IF(NOT(Paths!$C$82=1),0,IF(Paths!$P$82="Complete",IF(IF(Paths!$O$82=0,C835=0,AND(C835&gt;0,Paths!$O$82&gt;(C835-1)*12,Paths!$O$82&lt;=C835*12)),Paths!$N$82,0),"n.a."))</f>
        <v>0</v>
      </c>
      <c r="L835" s="16">
        <f>IF(NOT(Paths!$C$82=1),0,IF(Paths!$P$82="Complete",IF(C835=10,Paths!$I$82,0),"n.a."))</f>
        <v>0</v>
      </c>
      <c r="M835" s="16">
        <f>IF(NOT(Paths!$C$82=1),0,IF(Paths!$P$82="Complete",IF(AND(Paths!$D$82="EV",Paths!$E$82&lt;120,Paths!$E$82+'Operating costs'!$B$65&gt;Paths!$E$82,Paths!$E$82+'Operating costs'!$B$65&lt;=120,IF(Paths!$E$82+'Operating costs'!$B$65=0,C835=0,AND(C835&gt;0,Paths!$E$82+'Operating costs'!$B$65&gt;(C835-1)*12,Paths!$E$82+'Operating costs'!$B$65&lt;=C835*12))),'Operating costs'!$B$64,0)+IF(AND('Operating costs'!$B$67&gt;0,'Operating costs'!$B$67&lt;=120,OR(Paths!$D$82="ICE",'Operating costs'!$B$67&lt;=Paths!$E$82),IF('Operating costs'!$B$67=0,C835=0,AND(C835&gt;0,'Operating costs'!$B$67&gt;(C835-1)*12,'Operating costs'!$B$67&lt;=C835*12))),'Operating costs'!$B$66,0),"n.a."))</f>
        <v>0</v>
      </c>
      <c r="N835" s="16">
        <f>IF(NOT(Paths!$C$82=1),0,IF(Paths!$P$82="Complete",SUM(G835:I835)-J835-K835-L835+M835+IF(C835=0,Paths!$F$82,0)+IF(IF(Paths!$E$82=0,C835=0,AND(C835&gt;0,Paths!$E$82&gt;(C835-1)*12,Paths!$E$82&lt;=C835*12)),VLOOKUP(A835,'Fleet register'!$A$7:$S$106,16,FALSE),0),"n.a."))</f>
        <v>0</v>
      </c>
      <c r="O835" s="16">
        <f>IF(NOT(Paths!$C$82=1),0,IF(Paths!$P$82="Complete",N835-IF(C835=0,Paths!$F$82,0),"n.a."))</f>
        <v>0</v>
      </c>
      <c r="P835" s="16">
        <f>IF(NOT(Paths!$C$82=1),0,IF(Paths!$P$82="Complete",O835+L835,"n.a."))</f>
        <v>0</v>
      </c>
      <c r="Q835" s="16">
        <f>IF(NOT(Paths!$C$82=1),0,IF(Paths!$P$82="Complete",N835*(1+'Operating costs'!$B$54)^-C835,"n.a."))</f>
        <v>0</v>
      </c>
      <c r="R835" s="16">
        <f>IF(NOT(Paths!$C$82=1),0,IF(Paths!$P$82="Complete",IF(AND(C835=0,Paths!$E$82=0),I835-J835-K835+VLOOKUP(A835,'Fleet register'!$A$7:$S$106,15,FALSE)+VLOOKUP(A835,'Fleet register'!$A$7:$S$106,16,FALSE),0),"n.a."))</f>
        <v>0</v>
      </c>
      <c r="S835" s="1">
        <f>IF(NOT(Paths!$C$82=1),0,IF(Paths!$P$82="Complete",IF(C835=0,0,Paths!$S$82*Paths!$R$82),"n.a."))</f>
        <v>0</v>
      </c>
      <c r="T835" s="1">
        <f>IF(NOT(Paths!$C$82=1),0,IF(Paths!$P$82="Complete",IF(C835=0,0,VLOOKUP(A835,'Fleet register'!$A$7:$S$106,9,FALSE)*Paths!$R$82),"n.a."))</f>
        <v>0</v>
      </c>
    </row>
    <row r="836" spans="1:20" ht="24" customHeight="1">
      <c r="A836" s="1" t="str">
        <f>Paths!$A$82</f>
        <v>T019</v>
      </c>
      <c r="B836" s="1">
        <f>Paths!$B$82</f>
        <v>3</v>
      </c>
      <c r="C836" s="1">
        <v>4</v>
      </c>
      <c r="D836" s="1">
        <v>82</v>
      </c>
      <c r="E836" s="1">
        <f>IF(OR(Paths!$C$82=0,C836=0),0,MAX(0,MIN(C836*12,Paths!$E$82)-(C836-1)*12))</f>
        <v>0</v>
      </c>
      <c r="F836" s="1">
        <f>IF(OR(Paths!$C$82=0,C836=0),0,12-E836)</f>
        <v>0</v>
      </c>
      <c r="G836" s="16">
        <f>IF(NOT(Paths!$C$82=1),0,IF(Paths!$P$82="Complete",E836/12*(Paths!$J$82*(1+'Operating costs'!$B$51)^MAX(0,C836-1)+Paths!$K$82*(1+'Operating costs'!$B$53)^MAX(0,C836-1)),"n.a."))</f>
        <v>0</v>
      </c>
      <c r="H836" s="16">
        <f>IF(NOT(Paths!$C$82=1),0,IF(Paths!$P$82="Complete",F836/12*(Paths!$L$82*(1+IF(Paths!$D$82="EV",'Operating costs'!$B$52,'Operating costs'!$B$51))^MAX(0,C836-1)+Paths!$M$82*(1+'Operating costs'!$B$53)^MAX(0,C836-1)),"n.a."))</f>
        <v>0</v>
      </c>
      <c r="I836" s="16">
        <f>IF(NOT(Paths!$C$82=1),0,IF(Paths!$P$82="Complete",IF(IF(Paths!$E$82=0,C836=0,AND(C836&gt;0,Paths!$E$82&gt;(C836-1)*12,Paths!$E$82&lt;=C836*12)),Paths!$G$82,0),"n.a."))</f>
        <v>0</v>
      </c>
      <c r="J836" s="16">
        <f>IF(NOT(Paths!$C$82=1),0,IF(Paths!$P$82="Complete",IF(IF(Paths!$E$82=0,C836=0,AND(C836&gt;0,Paths!$E$82&gt;(C836-1)*12,Paths!$E$82&lt;=C836*12)),Paths!$H$82,0),"n.a."))</f>
        <v>0</v>
      </c>
      <c r="K836" s="16">
        <f>IF(NOT(Paths!$C$82=1),0,IF(Paths!$P$82="Complete",IF(IF(Paths!$O$82=0,C836=0,AND(C836&gt;0,Paths!$O$82&gt;(C836-1)*12,Paths!$O$82&lt;=C836*12)),Paths!$N$82,0),"n.a."))</f>
        <v>0</v>
      </c>
      <c r="L836" s="16">
        <f>IF(NOT(Paths!$C$82=1),0,IF(Paths!$P$82="Complete",IF(C836=10,Paths!$I$82,0),"n.a."))</f>
        <v>0</v>
      </c>
      <c r="M836" s="16">
        <f>IF(NOT(Paths!$C$82=1),0,IF(Paths!$P$82="Complete",IF(AND(Paths!$D$82="EV",Paths!$E$82&lt;120,Paths!$E$82+'Operating costs'!$B$65&gt;Paths!$E$82,Paths!$E$82+'Operating costs'!$B$65&lt;=120,IF(Paths!$E$82+'Operating costs'!$B$65=0,C836=0,AND(C836&gt;0,Paths!$E$82+'Operating costs'!$B$65&gt;(C836-1)*12,Paths!$E$82+'Operating costs'!$B$65&lt;=C836*12))),'Operating costs'!$B$64,0)+IF(AND('Operating costs'!$B$67&gt;0,'Operating costs'!$B$67&lt;=120,OR(Paths!$D$82="ICE",'Operating costs'!$B$67&lt;=Paths!$E$82),IF('Operating costs'!$B$67=0,C836=0,AND(C836&gt;0,'Operating costs'!$B$67&gt;(C836-1)*12,'Operating costs'!$B$67&lt;=C836*12))),'Operating costs'!$B$66,0),"n.a."))</f>
        <v>0</v>
      </c>
      <c r="N836" s="16">
        <f>IF(NOT(Paths!$C$82=1),0,IF(Paths!$P$82="Complete",SUM(G836:I836)-J836-K836-L836+M836+IF(C836=0,Paths!$F$82,0)+IF(IF(Paths!$E$82=0,C836=0,AND(C836&gt;0,Paths!$E$82&gt;(C836-1)*12,Paths!$E$82&lt;=C836*12)),VLOOKUP(A836,'Fleet register'!$A$7:$S$106,16,FALSE),0),"n.a."))</f>
        <v>0</v>
      </c>
      <c r="O836" s="16">
        <f>IF(NOT(Paths!$C$82=1),0,IF(Paths!$P$82="Complete",N836-IF(C836=0,Paths!$F$82,0),"n.a."))</f>
        <v>0</v>
      </c>
      <c r="P836" s="16">
        <f>IF(NOT(Paths!$C$82=1),0,IF(Paths!$P$82="Complete",O836+L836,"n.a."))</f>
        <v>0</v>
      </c>
      <c r="Q836" s="16">
        <f>IF(NOT(Paths!$C$82=1),0,IF(Paths!$P$82="Complete",N836*(1+'Operating costs'!$B$54)^-C836,"n.a."))</f>
        <v>0</v>
      </c>
      <c r="R836" s="16">
        <f>IF(NOT(Paths!$C$82=1),0,IF(Paths!$P$82="Complete",IF(AND(C836=0,Paths!$E$82=0),I836-J836-K836+VLOOKUP(A836,'Fleet register'!$A$7:$S$106,15,FALSE)+VLOOKUP(A836,'Fleet register'!$A$7:$S$106,16,FALSE),0),"n.a."))</f>
        <v>0</v>
      </c>
      <c r="S836" s="1">
        <f>IF(NOT(Paths!$C$82=1),0,IF(Paths!$P$82="Complete",IF(C836=0,0,Paths!$S$82*Paths!$R$82),"n.a."))</f>
        <v>0</v>
      </c>
      <c r="T836" s="1">
        <f>IF(NOT(Paths!$C$82=1),0,IF(Paths!$P$82="Complete",IF(C836=0,0,VLOOKUP(A836,'Fleet register'!$A$7:$S$106,9,FALSE)*Paths!$R$82),"n.a."))</f>
        <v>0</v>
      </c>
    </row>
    <row r="837" spans="1:20" ht="24" customHeight="1">
      <c r="A837" s="1" t="str">
        <f>Paths!$A$82</f>
        <v>T019</v>
      </c>
      <c r="B837" s="1">
        <f>Paths!$B$82</f>
        <v>3</v>
      </c>
      <c r="C837" s="1">
        <v>5</v>
      </c>
      <c r="D837" s="1">
        <v>82</v>
      </c>
      <c r="E837" s="1">
        <f>IF(OR(Paths!$C$82=0,C837=0),0,MAX(0,MIN(C837*12,Paths!$E$82)-(C837-1)*12))</f>
        <v>0</v>
      </c>
      <c r="F837" s="1">
        <f>IF(OR(Paths!$C$82=0,C837=0),0,12-E837)</f>
        <v>0</v>
      </c>
      <c r="G837" s="16">
        <f>IF(NOT(Paths!$C$82=1),0,IF(Paths!$P$82="Complete",E837/12*(Paths!$J$82*(1+'Operating costs'!$B$51)^MAX(0,C837-1)+Paths!$K$82*(1+'Operating costs'!$B$53)^MAX(0,C837-1)),"n.a."))</f>
        <v>0</v>
      </c>
      <c r="H837" s="16">
        <f>IF(NOT(Paths!$C$82=1),0,IF(Paths!$P$82="Complete",F837/12*(Paths!$L$82*(1+IF(Paths!$D$82="EV",'Operating costs'!$B$52,'Operating costs'!$B$51))^MAX(0,C837-1)+Paths!$M$82*(1+'Operating costs'!$B$53)^MAX(0,C837-1)),"n.a."))</f>
        <v>0</v>
      </c>
      <c r="I837" s="16">
        <f>IF(NOT(Paths!$C$82=1),0,IF(Paths!$P$82="Complete",IF(IF(Paths!$E$82=0,C837=0,AND(C837&gt;0,Paths!$E$82&gt;(C837-1)*12,Paths!$E$82&lt;=C837*12)),Paths!$G$82,0),"n.a."))</f>
        <v>0</v>
      </c>
      <c r="J837" s="16">
        <f>IF(NOT(Paths!$C$82=1),0,IF(Paths!$P$82="Complete",IF(IF(Paths!$E$82=0,C837=0,AND(C837&gt;0,Paths!$E$82&gt;(C837-1)*12,Paths!$E$82&lt;=C837*12)),Paths!$H$82,0),"n.a."))</f>
        <v>0</v>
      </c>
      <c r="K837" s="16">
        <f>IF(NOT(Paths!$C$82=1),0,IF(Paths!$P$82="Complete",IF(IF(Paths!$O$82=0,C837=0,AND(C837&gt;0,Paths!$O$82&gt;(C837-1)*12,Paths!$O$82&lt;=C837*12)),Paths!$N$82,0),"n.a."))</f>
        <v>0</v>
      </c>
      <c r="L837" s="16">
        <f>IF(NOT(Paths!$C$82=1),0,IF(Paths!$P$82="Complete",IF(C837=10,Paths!$I$82,0),"n.a."))</f>
        <v>0</v>
      </c>
      <c r="M837" s="16">
        <f>IF(NOT(Paths!$C$82=1),0,IF(Paths!$P$82="Complete",IF(AND(Paths!$D$82="EV",Paths!$E$82&lt;120,Paths!$E$82+'Operating costs'!$B$65&gt;Paths!$E$82,Paths!$E$82+'Operating costs'!$B$65&lt;=120,IF(Paths!$E$82+'Operating costs'!$B$65=0,C837=0,AND(C837&gt;0,Paths!$E$82+'Operating costs'!$B$65&gt;(C837-1)*12,Paths!$E$82+'Operating costs'!$B$65&lt;=C837*12))),'Operating costs'!$B$64,0)+IF(AND('Operating costs'!$B$67&gt;0,'Operating costs'!$B$67&lt;=120,OR(Paths!$D$82="ICE",'Operating costs'!$B$67&lt;=Paths!$E$82),IF('Operating costs'!$B$67=0,C837=0,AND(C837&gt;0,'Operating costs'!$B$67&gt;(C837-1)*12,'Operating costs'!$B$67&lt;=C837*12))),'Operating costs'!$B$66,0),"n.a."))</f>
        <v>0</v>
      </c>
      <c r="N837" s="16">
        <f>IF(NOT(Paths!$C$82=1),0,IF(Paths!$P$82="Complete",SUM(G837:I837)-J837-K837-L837+M837+IF(C837=0,Paths!$F$82,0)+IF(IF(Paths!$E$82=0,C837=0,AND(C837&gt;0,Paths!$E$82&gt;(C837-1)*12,Paths!$E$82&lt;=C837*12)),VLOOKUP(A837,'Fleet register'!$A$7:$S$106,16,FALSE),0),"n.a."))</f>
        <v>0</v>
      </c>
      <c r="O837" s="16">
        <f>IF(NOT(Paths!$C$82=1),0,IF(Paths!$P$82="Complete",N837-IF(C837=0,Paths!$F$82,0),"n.a."))</f>
        <v>0</v>
      </c>
      <c r="P837" s="16">
        <f>IF(NOT(Paths!$C$82=1),0,IF(Paths!$P$82="Complete",O837+L837,"n.a."))</f>
        <v>0</v>
      </c>
      <c r="Q837" s="16">
        <f>IF(NOT(Paths!$C$82=1),0,IF(Paths!$P$82="Complete",N837*(1+'Operating costs'!$B$54)^-C837,"n.a."))</f>
        <v>0</v>
      </c>
      <c r="R837" s="16">
        <f>IF(NOT(Paths!$C$82=1),0,IF(Paths!$P$82="Complete",IF(AND(C837=0,Paths!$E$82=0),I837-J837-K837+VLOOKUP(A837,'Fleet register'!$A$7:$S$106,15,FALSE)+VLOOKUP(A837,'Fleet register'!$A$7:$S$106,16,FALSE),0),"n.a."))</f>
        <v>0</v>
      </c>
      <c r="S837" s="1">
        <f>IF(NOT(Paths!$C$82=1),0,IF(Paths!$P$82="Complete",IF(C837=0,0,Paths!$S$82*Paths!$R$82),"n.a."))</f>
        <v>0</v>
      </c>
      <c r="T837" s="1">
        <f>IF(NOT(Paths!$C$82=1),0,IF(Paths!$P$82="Complete",IF(C837=0,0,VLOOKUP(A837,'Fleet register'!$A$7:$S$106,9,FALSE)*Paths!$R$82),"n.a."))</f>
        <v>0</v>
      </c>
    </row>
    <row r="838" spans="1:20" ht="24" customHeight="1">
      <c r="A838" s="1" t="str">
        <f>Paths!$A$82</f>
        <v>T019</v>
      </c>
      <c r="B838" s="1">
        <f>Paths!$B$82</f>
        <v>3</v>
      </c>
      <c r="C838" s="1">
        <v>6</v>
      </c>
      <c r="D838" s="1">
        <v>82</v>
      </c>
      <c r="E838" s="1">
        <f>IF(OR(Paths!$C$82=0,C838=0),0,MAX(0,MIN(C838*12,Paths!$E$82)-(C838-1)*12))</f>
        <v>0</v>
      </c>
      <c r="F838" s="1">
        <f>IF(OR(Paths!$C$82=0,C838=0),0,12-E838)</f>
        <v>0</v>
      </c>
      <c r="G838" s="16">
        <f>IF(NOT(Paths!$C$82=1),0,IF(Paths!$P$82="Complete",E838/12*(Paths!$J$82*(1+'Operating costs'!$B$51)^MAX(0,C838-1)+Paths!$K$82*(1+'Operating costs'!$B$53)^MAX(0,C838-1)),"n.a."))</f>
        <v>0</v>
      </c>
      <c r="H838" s="16">
        <f>IF(NOT(Paths!$C$82=1),0,IF(Paths!$P$82="Complete",F838/12*(Paths!$L$82*(1+IF(Paths!$D$82="EV",'Operating costs'!$B$52,'Operating costs'!$B$51))^MAX(0,C838-1)+Paths!$M$82*(1+'Operating costs'!$B$53)^MAX(0,C838-1)),"n.a."))</f>
        <v>0</v>
      </c>
      <c r="I838" s="16">
        <f>IF(NOT(Paths!$C$82=1),0,IF(Paths!$P$82="Complete",IF(IF(Paths!$E$82=0,C838=0,AND(C838&gt;0,Paths!$E$82&gt;(C838-1)*12,Paths!$E$82&lt;=C838*12)),Paths!$G$82,0),"n.a."))</f>
        <v>0</v>
      </c>
      <c r="J838" s="16">
        <f>IF(NOT(Paths!$C$82=1),0,IF(Paths!$P$82="Complete",IF(IF(Paths!$E$82=0,C838=0,AND(C838&gt;0,Paths!$E$82&gt;(C838-1)*12,Paths!$E$82&lt;=C838*12)),Paths!$H$82,0),"n.a."))</f>
        <v>0</v>
      </c>
      <c r="K838" s="16">
        <f>IF(NOT(Paths!$C$82=1),0,IF(Paths!$P$82="Complete",IF(IF(Paths!$O$82=0,C838=0,AND(C838&gt;0,Paths!$O$82&gt;(C838-1)*12,Paths!$O$82&lt;=C838*12)),Paths!$N$82,0),"n.a."))</f>
        <v>0</v>
      </c>
      <c r="L838" s="16">
        <f>IF(NOT(Paths!$C$82=1),0,IF(Paths!$P$82="Complete",IF(C838=10,Paths!$I$82,0),"n.a."))</f>
        <v>0</v>
      </c>
      <c r="M838" s="16">
        <f>IF(NOT(Paths!$C$82=1),0,IF(Paths!$P$82="Complete",IF(AND(Paths!$D$82="EV",Paths!$E$82&lt;120,Paths!$E$82+'Operating costs'!$B$65&gt;Paths!$E$82,Paths!$E$82+'Operating costs'!$B$65&lt;=120,IF(Paths!$E$82+'Operating costs'!$B$65=0,C838=0,AND(C838&gt;0,Paths!$E$82+'Operating costs'!$B$65&gt;(C838-1)*12,Paths!$E$82+'Operating costs'!$B$65&lt;=C838*12))),'Operating costs'!$B$64,0)+IF(AND('Operating costs'!$B$67&gt;0,'Operating costs'!$B$67&lt;=120,OR(Paths!$D$82="ICE",'Operating costs'!$B$67&lt;=Paths!$E$82),IF('Operating costs'!$B$67=0,C838=0,AND(C838&gt;0,'Operating costs'!$B$67&gt;(C838-1)*12,'Operating costs'!$B$67&lt;=C838*12))),'Operating costs'!$B$66,0),"n.a."))</f>
        <v>0</v>
      </c>
      <c r="N838" s="16">
        <f>IF(NOT(Paths!$C$82=1),0,IF(Paths!$P$82="Complete",SUM(G838:I838)-J838-K838-L838+M838+IF(C838=0,Paths!$F$82,0)+IF(IF(Paths!$E$82=0,C838=0,AND(C838&gt;0,Paths!$E$82&gt;(C838-1)*12,Paths!$E$82&lt;=C838*12)),VLOOKUP(A838,'Fleet register'!$A$7:$S$106,16,FALSE),0),"n.a."))</f>
        <v>0</v>
      </c>
      <c r="O838" s="16">
        <f>IF(NOT(Paths!$C$82=1),0,IF(Paths!$P$82="Complete",N838-IF(C838=0,Paths!$F$82,0),"n.a."))</f>
        <v>0</v>
      </c>
      <c r="P838" s="16">
        <f>IF(NOT(Paths!$C$82=1),0,IF(Paths!$P$82="Complete",O838+L838,"n.a."))</f>
        <v>0</v>
      </c>
      <c r="Q838" s="16">
        <f>IF(NOT(Paths!$C$82=1),0,IF(Paths!$P$82="Complete",N838*(1+'Operating costs'!$B$54)^-C838,"n.a."))</f>
        <v>0</v>
      </c>
      <c r="R838" s="16">
        <f>IF(NOT(Paths!$C$82=1),0,IF(Paths!$P$82="Complete",IF(AND(C838=0,Paths!$E$82=0),I838-J838-K838+VLOOKUP(A838,'Fleet register'!$A$7:$S$106,15,FALSE)+VLOOKUP(A838,'Fleet register'!$A$7:$S$106,16,FALSE),0),"n.a."))</f>
        <v>0</v>
      </c>
      <c r="S838" s="1">
        <f>IF(NOT(Paths!$C$82=1),0,IF(Paths!$P$82="Complete",IF(C838=0,0,Paths!$S$82*Paths!$R$82),"n.a."))</f>
        <v>0</v>
      </c>
      <c r="T838" s="1">
        <f>IF(NOT(Paths!$C$82=1),0,IF(Paths!$P$82="Complete",IF(C838=0,0,VLOOKUP(A838,'Fleet register'!$A$7:$S$106,9,FALSE)*Paths!$R$82),"n.a."))</f>
        <v>0</v>
      </c>
    </row>
    <row r="839" spans="1:20" ht="24" customHeight="1">
      <c r="A839" s="1" t="str">
        <f>Paths!$A$82</f>
        <v>T019</v>
      </c>
      <c r="B839" s="1">
        <f>Paths!$B$82</f>
        <v>3</v>
      </c>
      <c r="C839" s="1">
        <v>7</v>
      </c>
      <c r="D839" s="1">
        <v>82</v>
      </c>
      <c r="E839" s="1">
        <f>IF(OR(Paths!$C$82=0,C839=0),0,MAX(0,MIN(C839*12,Paths!$E$82)-(C839-1)*12))</f>
        <v>0</v>
      </c>
      <c r="F839" s="1">
        <f>IF(OR(Paths!$C$82=0,C839=0),0,12-E839)</f>
        <v>0</v>
      </c>
      <c r="G839" s="16">
        <f>IF(NOT(Paths!$C$82=1),0,IF(Paths!$P$82="Complete",E839/12*(Paths!$J$82*(1+'Operating costs'!$B$51)^MAX(0,C839-1)+Paths!$K$82*(1+'Operating costs'!$B$53)^MAX(0,C839-1)),"n.a."))</f>
        <v>0</v>
      </c>
      <c r="H839" s="16">
        <f>IF(NOT(Paths!$C$82=1),0,IF(Paths!$P$82="Complete",F839/12*(Paths!$L$82*(1+IF(Paths!$D$82="EV",'Operating costs'!$B$52,'Operating costs'!$B$51))^MAX(0,C839-1)+Paths!$M$82*(1+'Operating costs'!$B$53)^MAX(0,C839-1)),"n.a."))</f>
        <v>0</v>
      </c>
      <c r="I839" s="16">
        <f>IF(NOT(Paths!$C$82=1),0,IF(Paths!$P$82="Complete",IF(IF(Paths!$E$82=0,C839=0,AND(C839&gt;0,Paths!$E$82&gt;(C839-1)*12,Paths!$E$82&lt;=C839*12)),Paths!$G$82,0),"n.a."))</f>
        <v>0</v>
      </c>
      <c r="J839" s="16">
        <f>IF(NOT(Paths!$C$82=1),0,IF(Paths!$P$82="Complete",IF(IF(Paths!$E$82=0,C839=0,AND(C839&gt;0,Paths!$E$82&gt;(C839-1)*12,Paths!$E$82&lt;=C839*12)),Paths!$H$82,0),"n.a."))</f>
        <v>0</v>
      </c>
      <c r="K839" s="16">
        <f>IF(NOT(Paths!$C$82=1),0,IF(Paths!$P$82="Complete",IF(IF(Paths!$O$82=0,C839=0,AND(C839&gt;0,Paths!$O$82&gt;(C839-1)*12,Paths!$O$82&lt;=C839*12)),Paths!$N$82,0),"n.a."))</f>
        <v>0</v>
      </c>
      <c r="L839" s="16">
        <f>IF(NOT(Paths!$C$82=1),0,IF(Paths!$P$82="Complete",IF(C839=10,Paths!$I$82,0),"n.a."))</f>
        <v>0</v>
      </c>
      <c r="M839" s="16">
        <f>IF(NOT(Paths!$C$82=1),0,IF(Paths!$P$82="Complete",IF(AND(Paths!$D$82="EV",Paths!$E$82&lt;120,Paths!$E$82+'Operating costs'!$B$65&gt;Paths!$E$82,Paths!$E$82+'Operating costs'!$B$65&lt;=120,IF(Paths!$E$82+'Operating costs'!$B$65=0,C839=0,AND(C839&gt;0,Paths!$E$82+'Operating costs'!$B$65&gt;(C839-1)*12,Paths!$E$82+'Operating costs'!$B$65&lt;=C839*12))),'Operating costs'!$B$64,0)+IF(AND('Operating costs'!$B$67&gt;0,'Operating costs'!$B$67&lt;=120,OR(Paths!$D$82="ICE",'Operating costs'!$B$67&lt;=Paths!$E$82),IF('Operating costs'!$B$67=0,C839=0,AND(C839&gt;0,'Operating costs'!$B$67&gt;(C839-1)*12,'Operating costs'!$B$67&lt;=C839*12))),'Operating costs'!$B$66,0),"n.a."))</f>
        <v>0</v>
      </c>
      <c r="N839" s="16">
        <f>IF(NOT(Paths!$C$82=1),0,IF(Paths!$P$82="Complete",SUM(G839:I839)-J839-K839-L839+M839+IF(C839=0,Paths!$F$82,0)+IF(IF(Paths!$E$82=0,C839=0,AND(C839&gt;0,Paths!$E$82&gt;(C839-1)*12,Paths!$E$82&lt;=C839*12)),VLOOKUP(A839,'Fleet register'!$A$7:$S$106,16,FALSE),0),"n.a."))</f>
        <v>0</v>
      </c>
      <c r="O839" s="16">
        <f>IF(NOT(Paths!$C$82=1),0,IF(Paths!$P$82="Complete",N839-IF(C839=0,Paths!$F$82,0),"n.a."))</f>
        <v>0</v>
      </c>
      <c r="P839" s="16">
        <f>IF(NOT(Paths!$C$82=1),0,IF(Paths!$P$82="Complete",O839+L839,"n.a."))</f>
        <v>0</v>
      </c>
      <c r="Q839" s="16">
        <f>IF(NOT(Paths!$C$82=1),0,IF(Paths!$P$82="Complete",N839*(1+'Operating costs'!$B$54)^-C839,"n.a."))</f>
        <v>0</v>
      </c>
      <c r="R839" s="16">
        <f>IF(NOT(Paths!$C$82=1),0,IF(Paths!$P$82="Complete",IF(AND(C839=0,Paths!$E$82=0),I839-J839-K839+VLOOKUP(A839,'Fleet register'!$A$7:$S$106,15,FALSE)+VLOOKUP(A839,'Fleet register'!$A$7:$S$106,16,FALSE),0),"n.a."))</f>
        <v>0</v>
      </c>
      <c r="S839" s="1">
        <f>IF(NOT(Paths!$C$82=1),0,IF(Paths!$P$82="Complete",IF(C839=0,0,Paths!$S$82*Paths!$R$82),"n.a."))</f>
        <v>0</v>
      </c>
      <c r="T839" s="1">
        <f>IF(NOT(Paths!$C$82=1),0,IF(Paths!$P$82="Complete",IF(C839=0,0,VLOOKUP(A839,'Fleet register'!$A$7:$S$106,9,FALSE)*Paths!$R$82),"n.a."))</f>
        <v>0</v>
      </c>
    </row>
    <row r="840" spans="1:20" ht="24" customHeight="1">
      <c r="A840" s="1" t="str">
        <f>Paths!$A$82</f>
        <v>T019</v>
      </c>
      <c r="B840" s="1">
        <f>Paths!$B$82</f>
        <v>3</v>
      </c>
      <c r="C840" s="1">
        <v>8</v>
      </c>
      <c r="D840" s="1">
        <v>82</v>
      </c>
      <c r="E840" s="1">
        <f>IF(OR(Paths!$C$82=0,C840=0),0,MAX(0,MIN(C840*12,Paths!$E$82)-(C840-1)*12))</f>
        <v>0</v>
      </c>
      <c r="F840" s="1">
        <f>IF(OR(Paths!$C$82=0,C840=0),0,12-E840)</f>
        <v>0</v>
      </c>
      <c r="G840" s="16">
        <f>IF(NOT(Paths!$C$82=1),0,IF(Paths!$P$82="Complete",E840/12*(Paths!$J$82*(1+'Operating costs'!$B$51)^MAX(0,C840-1)+Paths!$K$82*(1+'Operating costs'!$B$53)^MAX(0,C840-1)),"n.a."))</f>
        <v>0</v>
      </c>
      <c r="H840" s="16">
        <f>IF(NOT(Paths!$C$82=1),0,IF(Paths!$P$82="Complete",F840/12*(Paths!$L$82*(1+IF(Paths!$D$82="EV",'Operating costs'!$B$52,'Operating costs'!$B$51))^MAX(0,C840-1)+Paths!$M$82*(1+'Operating costs'!$B$53)^MAX(0,C840-1)),"n.a."))</f>
        <v>0</v>
      </c>
      <c r="I840" s="16">
        <f>IF(NOT(Paths!$C$82=1),0,IF(Paths!$P$82="Complete",IF(IF(Paths!$E$82=0,C840=0,AND(C840&gt;0,Paths!$E$82&gt;(C840-1)*12,Paths!$E$82&lt;=C840*12)),Paths!$G$82,0),"n.a."))</f>
        <v>0</v>
      </c>
      <c r="J840" s="16">
        <f>IF(NOT(Paths!$C$82=1),0,IF(Paths!$P$82="Complete",IF(IF(Paths!$E$82=0,C840=0,AND(C840&gt;0,Paths!$E$82&gt;(C840-1)*12,Paths!$E$82&lt;=C840*12)),Paths!$H$82,0),"n.a."))</f>
        <v>0</v>
      </c>
      <c r="K840" s="16">
        <f>IF(NOT(Paths!$C$82=1),0,IF(Paths!$P$82="Complete",IF(IF(Paths!$O$82=0,C840=0,AND(C840&gt;0,Paths!$O$82&gt;(C840-1)*12,Paths!$O$82&lt;=C840*12)),Paths!$N$82,0),"n.a."))</f>
        <v>0</v>
      </c>
      <c r="L840" s="16">
        <f>IF(NOT(Paths!$C$82=1),0,IF(Paths!$P$82="Complete",IF(C840=10,Paths!$I$82,0),"n.a."))</f>
        <v>0</v>
      </c>
      <c r="M840" s="16">
        <f>IF(NOT(Paths!$C$82=1),0,IF(Paths!$P$82="Complete",IF(AND(Paths!$D$82="EV",Paths!$E$82&lt;120,Paths!$E$82+'Operating costs'!$B$65&gt;Paths!$E$82,Paths!$E$82+'Operating costs'!$B$65&lt;=120,IF(Paths!$E$82+'Operating costs'!$B$65=0,C840=0,AND(C840&gt;0,Paths!$E$82+'Operating costs'!$B$65&gt;(C840-1)*12,Paths!$E$82+'Operating costs'!$B$65&lt;=C840*12))),'Operating costs'!$B$64,0)+IF(AND('Operating costs'!$B$67&gt;0,'Operating costs'!$B$67&lt;=120,OR(Paths!$D$82="ICE",'Operating costs'!$B$67&lt;=Paths!$E$82),IF('Operating costs'!$B$67=0,C840=0,AND(C840&gt;0,'Operating costs'!$B$67&gt;(C840-1)*12,'Operating costs'!$B$67&lt;=C840*12))),'Operating costs'!$B$66,0),"n.a."))</f>
        <v>0</v>
      </c>
      <c r="N840" s="16">
        <f>IF(NOT(Paths!$C$82=1),0,IF(Paths!$P$82="Complete",SUM(G840:I840)-J840-K840-L840+M840+IF(C840=0,Paths!$F$82,0)+IF(IF(Paths!$E$82=0,C840=0,AND(C840&gt;0,Paths!$E$82&gt;(C840-1)*12,Paths!$E$82&lt;=C840*12)),VLOOKUP(A840,'Fleet register'!$A$7:$S$106,16,FALSE),0),"n.a."))</f>
        <v>0</v>
      </c>
      <c r="O840" s="16">
        <f>IF(NOT(Paths!$C$82=1),0,IF(Paths!$P$82="Complete",N840-IF(C840=0,Paths!$F$82,0),"n.a."))</f>
        <v>0</v>
      </c>
      <c r="P840" s="16">
        <f>IF(NOT(Paths!$C$82=1),0,IF(Paths!$P$82="Complete",O840+L840,"n.a."))</f>
        <v>0</v>
      </c>
      <c r="Q840" s="16">
        <f>IF(NOT(Paths!$C$82=1),0,IF(Paths!$P$82="Complete",N840*(1+'Operating costs'!$B$54)^-C840,"n.a."))</f>
        <v>0</v>
      </c>
      <c r="R840" s="16">
        <f>IF(NOT(Paths!$C$82=1),0,IF(Paths!$P$82="Complete",IF(AND(C840=0,Paths!$E$82=0),I840-J840-K840+VLOOKUP(A840,'Fleet register'!$A$7:$S$106,15,FALSE)+VLOOKUP(A840,'Fleet register'!$A$7:$S$106,16,FALSE),0),"n.a."))</f>
        <v>0</v>
      </c>
      <c r="S840" s="1">
        <f>IF(NOT(Paths!$C$82=1),0,IF(Paths!$P$82="Complete",IF(C840=0,0,Paths!$S$82*Paths!$R$82),"n.a."))</f>
        <v>0</v>
      </c>
      <c r="T840" s="1">
        <f>IF(NOT(Paths!$C$82=1),0,IF(Paths!$P$82="Complete",IF(C840=0,0,VLOOKUP(A840,'Fleet register'!$A$7:$S$106,9,FALSE)*Paths!$R$82),"n.a."))</f>
        <v>0</v>
      </c>
    </row>
    <row r="841" spans="1:20" ht="24" customHeight="1">
      <c r="A841" s="1" t="str">
        <f>Paths!$A$82</f>
        <v>T019</v>
      </c>
      <c r="B841" s="1">
        <f>Paths!$B$82</f>
        <v>3</v>
      </c>
      <c r="C841" s="1">
        <v>9</v>
      </c>
      <c r="D841" s="1">
        <v>82</v>
      </c>
      <c r="E841" s="1">
        <f>IF(OR(Paths!$C$82=0,C841=0),0,MAX(0,MIN(C841*12,Paths!$E$82)-(C841-1)*12))</f>
        <v>0</v>
      </c>
      <c r="F841" s="1">
        <f>IF(OR(Paths!$C$82=0,C841=0),0,12-E841)</f>
        <v>0</v>
      </c>
      <c r="G841" s="16">
        <f>IF(NOT(Paths!$C$82=1),0,IF(Paths!$P$82="Complete",E841/12*(Paths!$J$82*(1+'Operating costs'!$B$51)^MAX(0,C841-1)+Paths!$K$82*(1+'Operating costs'!$B$53)^MAX(0,C841-1)),"n.a."))</f>
        <v>0</v>
      </c>
      <c r="H841" s="16">
        <f>IF(NOT(Paths!$C$82=1),0,IF(Paths!$P$82="Complete",F841/12*(Paths!$L$82*(1+IF(Paths!$D$82="EV",'Operating costs'!$B$52,'Operating costs'!$B$51))^MAX(0,C841-1)+Paths!$M$82*(1+'Operating costs'!$B$53)^MAX(0,C841-1)),"n.a."))</f>
        <v>0</v>
      </c>
      <c r="I841" s="16">
        <f>IF(NOT(Paths!$C$82=1),0,IF(Paths!$P$82="Complete",IF(IF(Paths!$E$82=0,C841=0,AND(C841&gt;0,Paths!$E$82&gt;(C841-1)*12,Paths!$E$82&lt;=C841*12)),Paths!$G$82,0),"n.a."))</f>
        <v>0</v>
      </c>
      <c r="J841" s="16">
        <f>IF(NOT(Paths!$C$82=1),0,IF(Paths!$P$82="Complete",IF(IF(Paths!$E$82=0,C841=0,AND(C841&gt;0,Paths!$E$82&gt;(C841-1)*12,Paths!$E$82&lt;=C841*12)),Paths!$H$82,0),"n.a."))</f>
        <v>0</v>
      </c>
      <c r="K841" s="16">
        <f>IF(NOT(Paths!$C$82=1),0,IF(Paths!$P$82="Complete",IF(IF(Paths!$O$82=0,C841=0,AND(C841&gt;0,Paths!$O$82&gt;(C841-1)*12,Paths!$O$82&lt;=C841*12)),Paths!$N$82,0),"n.a."))</f>
        <v>0</v>
      </c>
      <c r="L841" s="16">
        <f>IF(NOT(Paths!$C$82=1),0,IF(Paths!$P$82="Complete",IF(C841=10,Paths!$I$82,0),"n.a."))</f>
        <v>0</v>
      </c>
      <c r="M841" s="16">
        <f>IF(NOT(Paths!$C$82=1),0,IF(Paths!$P$82="Complete",IF(AND(Paths!$D$82="EV",Paths!$E$82&lt;120,Paths!$E$82+'Operating costs'!$B$65&gt;Paths!$E$82,Paths!$E$82+'Operating costs'!$B$65&lt;=120,IF(Paths!$E$82+'Operating costs'!$B$65=0,C841=0,AND(C841&gt;0,Paths!$E$82+'Operating costs'!$B$65&gt;(C841-1)*12,Paths!$E$82+'Operating costs'!$B$65&lt;=C841*12))),'Operating costs'!$B$64,0)+IF(AND('Operating costs'!$B$67&gt;0,'Operating costs'!$B$67&lt;=120,OR(Paths!$D$82="ICE",'Operating costs'!$B$67&lt;=Paths!$E$82),IF('Operating costs'!$B$67=0,C841=0,AND(C841&gt;0,'Operating costs'!$B$67&gt;(C841-1)*12,'Operating costs'!$B$67&lt;=C841*12))),'Operating costs'!$B$66,0),"n.a."))</f>
        <v>0</v>
      </c>
      <c r="N841" s="16">
        <f>IF(NOT(Paths!$C$82=1),0,IF(Paths!$P$82="Complete",SUM(G841:I841)-J841-K841-L841+M841+IF(C841=0,Paths!$F$82,0)+IF(IF(Paths!$E$82=0,C841=0,AND(C841&gt;0,Paths!$E$82&gt;(C841-1)*12,Paths!$E$82&lt;=C841*12)),VLOOKUP(A841,'Fleet register'!$A$7:$S$106,16,FALSE),0),"n.a."))</f>
        <v>0</v>
      </c>
      <c r="O841" s="16">
        <f>IF(NOT(Paths!$C$82=1),0,IF(Paths!$P$82="Complete",N841-IF(C841=0,Paths!$F$82,0),"n.a."))</f>
        <v>0</v>
      </c>
      <c r="P841" s="16">
        <f>IF(NOT(Paths!$C$82=1),0,IF(Paths!$P$82="Complete",O841+L841,"n.a."))</f>
        <v>0</v>
      </c>
      <c r="Q841" s="16">
        <f>IF(NOT(Paths!$C$82=1),0,IF(Paths!$P$82="Complete",N841*(1+'Operating costs'!$B$54)^-C841,"n.a."))</f>
        <v>0</v>
      </c>
      <c r="R841" s="16">
        <f>IF(NOT(Paths!$C$82=1),0,IF(Paths!$P$82="Complete",IF(AND(C841=0,Paths!$E$82=0),I841-J841-K841+VLOOKUP(A841,'Fleet register'!$A$7:$S$106,15,FALSE)+VLOOKUP(A841,'Fleet register'!$A$7:$S$106,16,FALSE),0),"n.a."))</f>
        <v>0</v>
      </c>
      <c r="S841" s="1">
        <f>IF(NOT(Paths!$C$82=1),0,IF(Paths!$P$82="Complete",IF(C841=0,0,Paths!$S$82*Paths!$R$82),"n.a."))</f>
        <v>0</v>
      </c>
      <c r="T841" s="1">
        <f>IF(NOT(Paths!$C$82=1),0,IF(Paths!$P$82="Complete",IF(C841=0,0,VLOOKUP(A841,'Fleet register'!$A$7:$S$106,9,FALSE)*Paths!$R$82),"n.a."))</f>
        <v>0</v>
      </c>
    </row>
    <row r="842" spans="1:20" ht="24" customHeight="1">
      <c r="A842" s="1" t="str">
        <f>Paths!$A$82</f>
        <v>T019</v>
      </c>
      <c r="B842" s="1">
        <f>Paths!$B$82</f>
        <v>3</v>
      </c>
      <c r="C842" s="1">
        <v>10</v>
      </c>
      <c r="D842" s="1">
        <v>82</v>
      </c>
      <c r="E842" s="1">
        <f>IF(OR(Paths!$C$82=0,C842=0),0,MAX(0,MIN(C842*12,Paths!$E$82)-(C842-1)*12))</f>
        <v>0</v>
      </c>
      <c r="F842" s="1">
        <f>IF(OR(Paths!$C$82=0,C842=0),0,12-E842)</f>
        <v>0</v>
      </c>
      <c r="G842" s="16">
        <f>IF(NOT(Paths!$C$82=1),0,IF(Paths!$P$82="Complete",E842/12*(Paths!$J$82*(1+'Operating costs'!$B$51)^MAX(0,C842-1)+Paths!$K$82*(1+'Operating costs'!$B$53)^MAX(0,C842-1)),"n.a."))</f>
        <v>0</v>
      </c>
      <c r="H842" s="16">
        <f>IF(NOT(Paths!$C$82=1),0,IF(Paths!$P$82="Complete",F842/12*(Paths!$L$82*(1+IF(Paths!$D$82="EV",'Operating costs'!$B$52,'Operating costs'!$B$51))^MAX(0,C842-1)+Paths!$M$82*(1+'Operating costs'!$B$53)^MAX(0,C842-1)),"n.a."))</f>
        <v>0</v>
      </c>
      <c r="I842" s="16">
        <f>IF(NOT(Paths!$C$82=1),0,IF(Paths!$P$82="Complete",IF(IF(Paths!$E$82=0,C842=0,AND(C842&gt;0,Paths!$E$82&gt;(C842-1)*12,Paths!$E$82&lt;=C842*12)),Paths!$G$82,0),"n.a."))</f>
        <v>0</v>
      </c>
      <c r="J842" s="16">
        <f>IF(NOT(Paths!$C$82=1),0,IF(Paths!$P$82="Complete",IF(IF(Paths!$E$82=0,C842=0,AND(C842&gt;0,Paths!$E$82&gt;(C842-1)*12,Paths!$E$82&lt;=C842*12)),Paths!$H$82,0),"n.a."))</f>
        <v>0</v>
      </c>
      <c r="K842" s="16">
        <f>IF(NOT(Paths!$C$82=1),0,IF(Paths!$P$82="Complete",IF(IF(Paths!$O$82=0,C842=0,AND(C842&gt;0,Paths!$O$82&gt;(C842-1)*12,Paths!$O$82&lt;=C842*12)),Paths!$N$82,0),"n.a."))</f>
        <v>0</v>
      </c>
      <c r="L842" s="16">
        <f>IF(NOT(Paths!$C$82=1),0,IF(Paths!$P$82="Complete",IF(C842=10,Paths!$I$82,0),"n.a."))</f>
        <v>0</v>
      </c>
      <c r="M842" s="16">
        <f>IF(NOT(Paths!$C$82=1),0,IF(Paths!$P$82="Complete",IF(AND(Paths!$D$82="EV",Paths!$E$82&lt;120,Paths!$E$82+'Operating costs'!$B$65&gt;Paths!$E$82,Paths!$E$82+'Operating costs'!$B$65&lt;=120,IF(Paths!$E$82+'Operating costs'!$B$65=0,C842=0,AND(C842&gt;0,Paths!$E$82+'Operating costs'!$B$65&gt;(C842-1)*12,Paths!$E$82+'Operating costs'!$B$65&lt;=C842*12))),'Operating costs'!$B$64,0)+IF(AND('Operating costs'!$B$67&gt;0,'Operating costs'!$B$67&lt;=120,OR(Paths!$D$82="ICE",'Operating costs'!$B$67&lt;=Paths!$E$82),IF('Operating costs'!$B$67=0,C842=0,AND(C842&gt;0,'Operating costs'!$B$67&gt;(C842-1)*12,'Operating costs'!$B$67&lt;=C842*12))),'Operating costs'!$B$66,0),"n.a."))</f>
        <v>0</v>
      </c>
      <c r="N842" s="16">
        <f>IF(NOT(Paths!$C$82=1),0,IF(Paths!$P$82="Complete",SUM(G842:I842)-J842-K842-L842+M842+IF(C842=0,Paths!$F$82,0)+IF(IF(Paths!$E$82=0,C842=0,AND(C842&gt;0,Paths!$E$82&gt;(C842-1)*12,Paths!$E$82&lt;=C842*12)),VLOOKUP(A842,'Fleet register'!$A$7:$S$106,16,FALSE),0),"n.a."))</f>
        <v>0</v>
      </c>
      <c r="O842" s="16">
        <f>IF(NOT(Paths!$C$82=1),0,IF(Paths!$P$82="Complete",N842-IF(C842=0,Paths!$F$82,0),"n.a."))</f>
        <v>0</v>
      </c>
      <c r="P842" s="16">
        <f>IF(NOT(Paths!$C$82=1),0,IF(Paths!$P$82="Complete",O842+L842,"n.a."))</f>
        <v>0</v>
      </c>
      <c r="Q842" s="16">
        <f>IF(NOT(Paths!$C$82=1),0,IF(Paths!$P$82="Complete",N842*(1+'Operating costs'!$B$54)^-C842,"n.a."))</f>
        <v>0</v>
      </c>
      <c r="R842" s="16">
        <f>IF(NOT(Paths!$C$82=1),0,IF(Paths!$P$82="Complete",IF(AND(C842=0,Paths!$E$82=0),I842-J842-K842+VLOOKUP(A842,'Fleet register'!$A$7:$S$106,15,FALSE)+VLOOKUP(A842,'Fleet register'!$A$7:$S$106,16,FALSE),0),"n.a."))</f>
        <v>0</v>
      </c>
      <c r="S842" s="1">
        <f>IF(NOT(Paths!$C$82=1),0,IF(Paths!$P$82="Complete",IF(C842=0,0,Paths!$S$82*Paths!$R$82),"n.a."))</f>
        <v>0</v>
      </c>
      <c r="T842" s="1">
        <f>IF(NOT(Paths!$C$82=1),0,IF(Paths!$P$82="Complete",IF(C842=0,0,VLOOKUP(A842,'Fleet register'!$A$7:$S$106,9,FALSE)*Paths!$R$82),"n.a."))</f>
        <v>0</v>
      </c>
    </row>
    <row r="843" spans="1:20" ht="24" customHeight="1">
      <c r="A843" s="1" t="str">
        <f>Paths!$A$83</f>
        <v>T020</v>
      </c>
      <c r="B843" s="1">
        <f>Paths!$B$83</f>
        <v>0</v>
      </c>
      <c r="C843" s="1">
        <v>0</v>
      </c>
      <c r="D843" s="1">
        <v>83</v>
      </c>
      <c r="E843" s="1">
        <f>IF(OR(Paths!$C$83=0,C843=0),0,MAX(0,MIN(C843*12,Paths!$E$83)-(C843-1)*12))</f>
        <v>0</v>
      </c>
      <c r="F843" s="1">
        <f>IF(OR(Paths!$C$83=0,C843=0),0,12-E843)</f>
        <v>0</v>
      </c>
      <c r="G843" s="16">
        <f>IF(NOT(Paths!$C$83=1),0,IF(Paths!$P$83="Complete",E843/12*(Paths!$J$83*(1+'Operating costs'!$B$51)^MAX(0,C843-1)+Paths!$K$83*(1+'Operating costs'!$B$53)^MAX(0,C843-1)),"n.a."))</f>
        <v>0</v>
      </c>
      <c r="H843" s="16">
        <f>IF(NOT(Paths!$C$83=1),0,IF(Paths!$P$83="Complete",F843/12*(Paths!$L$83*(1+IF(Paths!$D$83="EV",'Operating costs'!$B$52,'Operating costs'!$B$51))^MAX(0,C843-1)+Paths!$M$83*(1+'Operating costs'!$B$53)^MAX(0,C843-1)),"n.a."))</f>
        <v>0</v>
      </c>
      <c r="I843" s="16">
        <f>IF(NOT(Paths!$C$83=1),0,IF(Paths!$P$83="Complete",IF(IF(Paths!$E$83=0,C843=0,AND(C843&gt;0,Paths!$E$83&gt;(C843-1)*12,Paths!$E$83&lt;=C843*12)),Paths!$G$83,0),"n.a."))</f>
        <v>0</v>
      </c>
      <c r="J843" s="16">
        <f>IF(NOT(Paths!$C$83=1),0,IF(Paths!$P$83="Complete",IF(IF(Paths!$E$83=0,C843=0,AND(C843&gt;0,Paths!$E$83&gt;(C843-1)*12,Paths!$E$83&lt;=C843*12)),Paths!$H$83,0),"n.a."))</f>
        <v>0</v>
      </c>
      <c r="K843" s="16">
        <f>IF(NOT(Paths!$C$83=1),0,IF(Paths!$P$83="Complete",IF(IF(Paths!$O$83=0,C843=0,AND(C843&gt;0,Paths!$O$83&gt;(C843-1)*12,Paths!$O$83&lt;=C843*12)),Paths!$N$83,0),"n.a."))</f>
        <v>0</v>
      </c>
      <c r="L843" s="16">
        <f>IF(NOT(Paths!$C$83=1),0,IF(Paths!$P$83="Complete",IF(C843=10,Paths!$I$83,0),"n.a."))</f>
        <v>0</v>
      </c>
      <c r="M843" s="16">
        <f>IF(NOT(Paths!$C$83=1),0,IF(Paths!$P$83="Complete",IF(AND(Paths!$D$83="EV",Paths!$E$83&lt;120,Paths!$E$83+'Operating costs'!$B$65&gt;Paths!$E$83,Paths!$E$83+'Operating costs'!$B$65&lt;=120,IF(Paths!$E$83+'Operating costs'!$B$65=0,C843=0,AND(C843&gt;0,Paths!$E$83+'Operating costs'!$B$65&gt;(C843-1)*12,Paths!$E$83+'Operating costs'!$B$65&lt;=C843*12))),'Operating costs'!$B$64,0)+IF(AND('Operating costs'!$B$67&gt;0,'Operating costs'!$B$67&lt;=120,OR(Paths!$D$83="ICE",'Operating costs'!$B$67&lt;=Paths!$E$83),IF('Operating costs'!$B$67=0,C843=0,AND(C843&gt;0,'Operating costs'!$B$67&gt;(C843-1)*12,'Operating costs'!$B$67&lt;=C843*12))),'Operating costs'!$B$66,0),"n.a."))</f>
        <v>0</v>
      </c>
      <c r="N843" s="16">
        <f>IF(NOT(Paths!$C$83=1),0,IF(Paths!$P$83="Complete",SUM(G843:I843)-J843-K843-L843+M843+IF(C843=0,Paths!$F$83,0)+IF(IF(Paths!$E$83=0,C843=0,AND(C843&gt;0,Paths!$E$83&gt;(C843-1)*12,Paths!$E$83&lt;=C843*12)),VLOOKUP(A843,'Fleet register'!$A$7:$S$106,16,FALSE),0),"n.a."))</f>
        <v>0</v>
      </c>
      <c r="O843" s="16">
        <f>IF(NOT(Paths!$C$83=1),0,IF(Paths!$P$83="Complete",N843-IF(C843=0,Paths!$F$83,0),"n.a."))</f>
        <v>0</v>
      </c>
      <c r="P843" s="16">
        <f>IF(NOT(Paths!$C$83=1),0,IF(Paths!$P$83="Complete",O843+L843,"n.a."))</f>
        <v>0</v>
      </c>
      <c r="Q843" s="16">
        <f>IF(NOT(Paths!$C$83=1),0,IF(Paths!$P$83="Complete",N843*(1+'Operating costs'!$B$54)^-C843,"n.a."))</f>
        <v>0</v>
      </c>
      <c r="R843" s="16">
        <f>IF(NOT(Paths!$C$83=1),0,IF(Paths!$P$83="Complete",IF(AND(C843=0,Paths!$E$83=0),I843-J843-K843+VLOOKUP(A843,'Fleet register'!$A$7:$S$106,15,FALSE)+VLOOKUP(A843,'Fleet register'!$A$7:$S$106,16,FALSE),0),"n.a."))</f>
        <v>0</v>
      </c>
      <c r="S843" s="1">
        <f>IF(NOT(Paths!$C$83=1),0,IF(Paths!$P$83="Complete",IF(C843=0,0,Paths!$S$83*Paths!$R$83),"n.a."))</f>
        <v>0</v>
      </c>
      <c r="T843" s="1">
        <f>IF(NOT(Paths!$C$83=1),0,IF(Paths!$P$83="Complete",IF(C843=0,0,VLOOKUP(A843,'Fleet register'!$A$7:$S$106,9,FALSE)*Paths!$R$83),"n.a."))</f>
        <v>0</v>
      </c>
    </row>
    <row r="844" spans="1:20" ht="24" customHeight="1">
      <c r="A844" s="1" t="str">
        <f>Paths!$A$83</f>
        <v>T020</v>
      </c>
      <c r="B844" s="1">
        <f>Paths!$B$83</f>
        <v>0</v>
      </c>
      <c r="C844" s="1">
        <v>1</v>
      </c>
      <c r="D844" s="1">
        <v>83</v>
      </c>
      <c r="E844" s="1">
        <f>IF(OR(Paths!$C$83=0,C844=0),0,MAX(0,MIN(C844*12,Paths!$E$83)-(C844-1)*12))</f>
        <v>0</v>
      </c>
      <c r="F844" s="1">
        <f>IF(OR(Paths!$C$83=0,C844=0),0,12-E844)</f>
        <v>0</v>
      </c>
      <c r="G844" s="16">
        <f>IF(NOT(Paths!$C$83=1),0,IF(Paths!$P$83="Complete",E844/12*(Paths!$J$83*(1+'Operating costs'!$B$51)^MAX(0,C844-1)+Paths!$K$83*(1+'Operating costs'!$B$53)^MAX(0,C844-1)),"n.a."))</f>
        <v>0</v>
      </c>
      <c r="H844" s="16">
        <f>IF(NOT(Paths!$C$83=1),0,IF(Paths!$P$83="Complete",F844/12*(Paths!$L$83*(1+IF(Paths!$D$83="EV",'Operating costs'!$B$52,'Operating costs'!$B$51))^MAX(0,C844-1)+Paths!$M$83*(1+'Operating costs'!$B$53)^MAX(0,C844-1)),"n.a."))</f>
        <v>0</v>
      </c>
      <c r="I844" s="16">
        <f>IF(NOT(Paths!$C$83=1),0,IF(Paths!$P$83="Complete",IF(IF(Paths!$E$83=0,C844=0,AND(C844&gt;0,Paths!$E$83&gt;(C844-1)*12,Paths!$E$83&lt;=C844*12)),Paths!$G$83,0),"n.a."))</f>
        <v>0</v>
      </c>
      <c r="J844" s="16">
        <f>IF(NOT(Paths!$C$83=1),0,IF(Paths!$P$83="Complete",IF(IF(Paths!$E$83=0,C844=0,AND(C844&gt;0,Paths!$E$83&gt;(C844-1)*12,Paths!$E$83&lt;=C844*12)),Paths!$H$83,0),"n.a."))</f>
        <v>0</v>
      </c>
      <c r="K844" s="16">
        <f>IF(NOT(Paths!$C$83=1),0,IF(Paths!$P$83="Complete",IF(IF(Paths!$O$83=0,C844=0,AND(C844&gt;0,Paths!$O$83&gt;(C844-1)*12,Paths!$O$83&lt;=C844*12)),Paths!$N$83,0),"n.a."))</f>
        <v>0</v>
      </c>
      <c r="L844" s="16">
        <f>IF(NOT(Paths!$C$83=1),0,IF(Paths!$P$83="Complete",IF(C844=10,Paths!$I$83,0),"n.a."))</f>
        <v>0</v>
      </c>
      <c r="M844" s="16">
        <f>IF(NOT(Paths!$C$83=1),0,IF(Paths!$P$83="Complete",IF(AND(Paths!$D$83="EV",Paths!$E$83&lt;120,Paths!$E$83+'Operating costs'!$B$65&gt;Paths!$E$83,Paths!$E$83+'Operating costs'!$B$65&lt;=120,IF(Paths!$E$83+'Operating costs'!$B$65=0,C844=0,AND(C844&gt;0,Paths!$E$83+'Operating costs'!$B$65&gt;(C844-1)*12,Paths!$E$83+'Operating costs'!$B$65&lt;=C844*12))),'Operating costs'!$B$64,0)+IF(AND('Operating costs'!$B$67&gt;0,'Operating costs'!$B$67&lt;=120,OR(Paths!$D$83="ICE",'Operating costs'!$B$67&lt;=Paths!$E$83),IF('Operating costs'!$B$67=0,C844=0,AND(C844&gt;0,'Operating costs'!$B$67&gt;(C844-1)*12,'Operating costs'!$B$67&lt;=C844*12))),'Operating costs'!$B$66,0),"n.a."))</f>
        <v>0</v>
      </c>
      <c r="N844" s="16">
        <f>IF(NOT(Paths!$C$83=1),0,IF(Paths!$P$83="Complete",SUM(G844:I844)-J844-K844-L844+M844+IF(C844=0,Paths!$F$83,0)+IF(IF(Paths!$E$83=0,C844=0,AND(C844&gt;0,Paths!$E$83&gt;(C844-1)*12,Paths!$E$83&lt;=C844*12)),VLOOKUP(A844,'Fleet register'!$A$7:$S$106,16,FALSE),0),"n.a."))</f>
        <v>0</v>
      </c>
      <c r="O844" s="16">
        <f>IF(NOT(Paths!$C$83=1),0,IF(Paths!$P$83="Complete",N844-IF(C844=0,Paths!$F$83,0),"n.a."))</f>
        <v>0</v>
      </c>
      <c r="P844" s="16">
        <f>IF(NOT(Paths!$C$83=1),0,IF(Paths!$P$83="Complete",O844+L844,"n.a."))</f>
        <v>0</v>
      </c>
      <c r="Q844" s="16">
        <f>IF(NOT(Paths!$C$83=1),0,IF(Paths!$P$83="Complete",N844*(1+'Operating costs'!$B$54)^-C844,"n.a."))</f>
        <v>0</v>
      </c>
      <c r="R844" s="16">
        <f>IF(NOT(Paths!$C$83=1),0,IF(Paths!$P$83="Complete",IF(AND(C844=0,Paths!$E$83=0),I844-J844-K844+VLOOKUP(A844,'Fleet register'!$A$7:$S$106,15,FALSE)+VLOOKUP(A844,'Fleet register'!$A$7:$S$106,16,FALSE),0),"n.a."))</f>
        <v>0</v>
      </c>
      <c r="S844" s="1">
        <f>IF(NOT(Paths!$C$83=1),0,IF(Paths!$P$83="Complete",IF(C844=0,0,Paths!$S$83*Paths!$R$83),"n.a."))</f>
        <v>0</v>
      </c>
      <c r="T844" s="1">
        <f>IF(NOT(Paths!$C$83=1),0,IF(Paths!$P$83="Complete",IF(C844=0,0,VLOOKUP(A844,'Fleet register'!$A$7:$S$106,9,FALSE)*Paths!$R$83),"n.a."))</f>
        <v>0</v>
      </c>
    </row>
    <row r="845" spans="1:20" ht="24" customHeight="1">
      <c r="A845" s="1" t="str">
        <f>Paths!$A$83</f>
        <v>T020</v>
      </c>
      <c r="B845" s="1">
        <f>Paths!$B$83</f>
        <v>0</v>
      </c>
      <c r="C845" s="1">
        <v>2</v>
      </c>
      <c r="D845" s="1">
        <v>83</v>
      </c>
      <c r="E845" s="1">
        <f>IF(OR(Paths!$C$83=0,C845=0),0,MAX(0,MIN(C845*12,Paths!$E$83)-(C845-1)*12))</f>
        <v>0</v>
      </c>
      <c r="F845" s="1">
        <f>IF(OR(Paths!$C$83=0,C845=0),0,12-E845)</f>
        <v>0</v>
      </c>
      <c r="G845" s="16">
        <f>IF(NOT(Paths!$C$83=1),0,IF(Paths!$P$83="Complete",E845/12*(Paths!$J$83*(1+'Operating costs'!$B$51)^MAX(0,C845-1)+Paths!$K$83*(1+'Operating costs'!$B$53)^MAX(0,C845-1)),"n.a."))</f>
        <v>0</v>
      </c>
      <c r="H845" s="16">
        <f>IF(NOT(Paths!$C$83=1),0,IF(Paths!$P$83="Complete",F845/12*(Paths!$L$83*(1+IF(Paths!$D$83="EV",'Operating costs'!$B$52,'Operating costs'!$B$51))^MAX(0,C845-1)+Paths!$M$83*(1+'Operating costs'!$B$53)^MAX(0,C845-1)),"n.a."))</f>
        <v>0</v>
      </c>
      <c r="I845" s="16">
        <f>IF(NOT(Paths!$C$83=1),0,IF(Paths!$P$83="Complete",IF(IF(Paths!$E$83=0,C845=0,AND(C845&gt;0,Paths!$E$83&gt;(C845-1)*12,Paths!$E$83&lt;=C845*12)),Paths!$G$83,0),"n.a."))</f>
        <v>0</v>
      </c>
      <c r="J845" s="16">
        <f>IF(NOT(Paths!$C$83=1),0,IF(Paths!$P$83="Complete",IF(IF(Paths!$E$83=0,C845=0,AND(C845&gt;0,Paths!$E$83&gt;(C845-1)*12,Paths!$E$83&lt;=C845*12)),Paths!$H$83,0),"n.a."))</f>
        <v>0</v>
      </c>
      <c r="K845" s="16">
        <f>IF(NOT(Paths!$C$83=1),0,IF(Paths!$P$83="Complete",IF(IF(Paths!$O$83=0,C845=0,AND(C845&gt;0,Paths!$O$83&gt;(C845-1)*12,Paths!$O$83&lt;=C845*12)),Paths!$N$83,0),"n.a."))</f>
        <v>0</v>
      </c>
      <c r="L845" s="16">
        <f>IF(NOT(Paths!$C$83=1),0,IF(Paths!$P$83="Complete",IF(C845=10,Paths!$I$83,0),"n.a."))</f>
        <v>0</v>
      </c>
      <c r="M845" s="16">
        <f>IF(NOT(Paths!$C$83=1),0,IF(Paths!$P$83="Complete",IF(AND(Paths!$D$83="EV",Paths!$E$83&lt;120,Paths!$E$83+'Operating costs'!$B$65&gt;Paths!$E$83,Paths!$E$83+'Operating costs'!$B$65&lt;=120,IF(Paths!$E$83+'Operating costs'!$B$65=0,C845=0,AND(C845&gt;0,Paths!$E$83+'Operating costs'!$B$65&gt;(C845-1)*12,Paths!$E$83+'Operating costs'!$B$65&lt;=C845*12))),'Operating costs'!$B$64,0)+IF(AND('Operating costs'!$B$67&gt;0,'Operating costs'!$B$67&lt;=120,OR(Paths!$D$83="ICE",'Operating costs'!$B$67&lt;=Paths!$E$83),IF('Operating costs'!$B$67=0,C845=0,AND(C845&gt;0,'Operating costs'!$B$67&gt;(C845-1)*12,'Operating costs'!$B$67&lt;=C845*12))),'Operating costs'!$B$66,0),"n.a."))</f>
        <v>0</v>
      </c>
      <c r="N845" s="16">
        <f>IF(NOT(Paths!$C$83=1),0,IF(Paths!$P$83="Complete",SUM(G845:I845)-J845-K845-L845+M845+IF(C845=0,Paths!$F$83,0)+IF(IF(Paths!$E$83=0,C845=0,AND(C845&gt;0,Paths!$E$83&gt;(C845-1)*12,Paths!$E$83&lt;=C845*12)),VLOOKUP(A845,'Fleet register'!$A$7:$S$106,16,FALSE),0),"n.a."))</f>
        <v>0</v>
      </c>
      <c r="O845" s="16">
        <f>IF(NOT(Paths!$C$83=1),0,IF(Paths!$P$83="Complete",N845-IF(C845=0,Paths!$F$83,0),"n.a."))</f>
        <v>0</v>
      </c>
      <c r="P845" s="16">
        <f>IF(NOT(Paths!$C$83=1),0,IF(Paths!$P$83="Complete",O845+L845,"n.a."))</f>
        <v>0</v>
      </c>
      <c r="Q845" s="16">
        <f>IF(NOT(Paths!$C$83=1),0,IF(Paths!$P$83="Complete",N845*(1+'Operating costs'!$B$54)^-C845,"n.a."))</f>
        <v>0</v>
      </c>
      <c r="R845" s="16">
        <f>IF(NOT(Paths!$C$83=1),0,IF(Paths!$P$83="Complete",IF(AND(C845=0,Paths!$E$83=0),I845-J845-K845+VLOOKUP(A845,'Fleet register'!$A$7:$S$106,15,FALSE)+VLOOKUP(A845,'Fleet register'!$A$7:$S$106,16,FALSE),0),"n.a."))</f>
        <v>0</v>
      </c>
      <c r="S845" s="1">
        <f>IF(NOT(Paths!$C$83=1),0,IF(Paths!$P$83="Complete",IF(C845=0,0,Paths!$S$83*Paths!$R$83),"n.a."))</f>
        <v>0</v>
      </c>
      <c r="T845" s="1">
        <f>IF(NOT(Paths!$C$83=1),0,IF(Paths!$P$83="Complete",IF(C845=0,0,VLOOKUP(A845,'Fleet register'!$A$7:$S$106,9,FALSE)*Paths!$R$83),"n.a."))</f>
        <v>0</v>
      </c>
    </row>
    <row r="846" spans="1:20" ht="24" customHeight="1">
      <c r="A846" s="1" t="str">
        <f>Paths!$A$83</f>
        <v>T020</v>
      </c>
      <c r="B846" s="1">
        <f>Paths!$B$83</f>
        <v>0</v>
      </c>
      <c r="C846" s="1">
        <v>3</v>
      </c>
      <c r="D846" s="1">
        <v>83</v>
      </c>
      <c r="E846" s="1">
        <f>IF(OR(Paths!$C$83=0,C846=0),0,MAX(0,MIN(C846*12,Paths!$E$83)-(C846-1)*12))</f>
        <v>0</v>
      </c>
      <c r="F846" s="1">
        <f>IF(OR(Paths!$C$83=0,C846=0),0,12-E846)</f>
        <v>0</v>
      </c>
      <c r="G846" s="16">
        <f>IF(NOT(Paths!$C$83=1),0,IF(Paths!$P$83="Complete",E846/12*(Paths!$J$83*(1+'Operating costs'!$B$51)^MAX(0,C846-1)+Paths!$K$83*(1+'Operating costs'!$B$53)^MAX(0,C846-1)),"n.a."))</f>
        <v>0</v>
      </c>
      <c r="H846" s="16">
        <f>IF(NOT(Paths!$C$83=1),0,IF(Paths!$P$83="Complete",F846/12*(Paths!$L$83*(1+IF(Paths!$D$83="EV",'Operating costs'!$B$52,'Operating costs'!$B$51))^MAX(0,C846-1)+Paths!$M$83*(1+'Operating costs'!$B$53)^MAX(0,C846-1)),"n.a."))</f>
        <v>0</v>
      </c>
      <c r="I846" s="16">
        <f>IF(NOT(Paths!$C$83=1),0,IF(Paths!$P$83="Complete",IF(IF(Paths!$E$83=0,C846=0,AND(C846&gt;0,Paths!$E$83&gt;(C846-1)*12,Paths!$E$83&lt;=C846*12)),Paths!$G$83,0),"n.a."))</f>
        <v>0</v>
      </c>
      <c r="J846" s="16">
        <f>IF(NOT(Paths!$C$83=1),0,IF(Paths!$P$83="Complete",IF(IF(Paths!$E$83=0,C846=0,AND(C846&gt;0,Paths!$E$83&gt;(C846-1)*12,Paths!$E$83&lt;=C846*12)),Paths!$H$83,0),"n.a."))</f>
        <v>0</v>
      </c>
      <c r="K846" s="16">
        <f>IF(NOT(Paths!$C$83=1),0,IF(Paths!$P$83="Complete",IF(IF(Paths!$O$83=0,C846=0,AND(C846&gt;0,Paths!$O$83&gt;(C846-1)*12,Paths!$O$83&lt;=C846*12)),Paths!$N$83,0),"n.a."))</f>
        <v>0</v>
      </c>
      <c r="L846" s="16">
        <f>IF(NOT(Paths!$C$83=1),0,IF(Paths!$P$83="Complete",IF(C846=10,Paths!$I$83,0),"n.a."))</f>
        <v>0</v>
      </c>
      <c r="M846" s="16">
        <f>IF(NOT(Paths!$C$83=1),0,IF(Paths!$P$83="Complete",IF(AND(Paths!$D$83="EV",Paths!$E$83&lt;120,Paths!$E$83+'Operating costs'!$B$65&gt;Paths!$E$83,Paths!$E$83+'Operating costs'!$B$65&lt;=120,IF(Paths!$E$83+'Operating costs'!$B$65=0,C846=0,AND(C846&gt;0,Paths!$E$83+'Operating costs'!$B$65&gt;(C846-1)*12,Paths!$E$83+'Operating costs'!$B$65&lt;=C846*12))),'Operating costs'!$B$64,0)+IF(AND('Operating costs'!$B$67&gt;0,'Operating costs'!$B$67&lt;=120,OR(Paths!$D$83="ICE",'Operating costs'!$B$67&lt;=Paths!$E$83),IF('Operating costs'!$B$67=0,C846=0,AND(C846&gt;0,'Operating costs'!$B$67&gt;(C846-1)*12,'Operating costs'!$B$67&lt;=C846*12))),'Operating costs'!$B$66,0),"n.a."))</f>
        <v>0</v>
      </c>
      <c r="N846" s="16">
        <f>IF(NOT(Paths!$C$83=1),0,IF(Paths!$P$83="Complete",SUM(G846:I846)-J846-K846-L846+M846+IF(C846=0,Paths!$F$83,0)+IF(IF(Paths!$E$83=0,C846=0,AND(C846&gt;0,Paths!$E$83&gt;(C846-1)*12,Paths!$E$83&lt;=C846*12)),VLOOKUP(A846,'Fleet register'!$A$7:$S$106,16,FALSE),0),"n.a."))</f>
        <v>0</v>
      </c>
      <c r="O846" s="16">
        <f>IF(NOT(Paths!$C$83=1),0,IF(Paths!$P$83="Complete",N846-IF(C846=0,Paths!$F$83,0),"n.a."))</f>
        <v>0</v>
      </c>
      <c r="P846" s="16">
        <f>IF(NOT(Paths!$C$83=1),0,IF(Paths!$P$83="Complete",O846+L846,"n.a."))</f>
        <v>0</v>
      </c>
      <c r="Q846" s="16">
        <f>IF(NOT(Paths!$C$83=1),0,IF(Paths!$P$83="Complete",N846*(1+'Operating costs'!$B$54)^-C846,"n.a."))</f>
        <v>0</v>
      </c>
      <c r="R846" s="16">
        <f>IF(NOT(Paths!$C$83=1),0,IF(Paths!$P$83="Complete",IF(AND(C846=0,Paths!$E$83=0),I846-J846-K846+VLOOKUP(A846,'Fleet register'!$A$7:$S$106,15,FALSE)+VLOOKUP(A846,'Fleet register'!$A$7:$S$106,16,FALSE),0),"n.a."))</f>
        <v>0</v>
      </c>
      <c r="S846" s="1">
        <f>IF(NOT(Paths!$C$83=1),0,IF(Paths!$P$83="Complete",IF(C846=0,0,Paths!$S$83*Paths!$R$83),"n.a."))</f>
        <v>0</v>
      </c>
      <c r="T846" s="1">
        <f>IF(NOT(Paths!$C$83=1),0,IF(Paths!$P$83="Complete",IF(C846=0,0,VLOOKUP(A846,'Fleet register'!$A$7:$S$106,9,FALSE)*Paths!$R$83),"n.a."))</f>
        <v>0</v>
      </c>
    </row>
    <row r="847" spans="1:20" ht="24" customHeight="1">
      <c r="A847" s="1" t="str">
        <f>Paths!$A$83</f>
        <v>T020</v>
      </c>
      <c r="B847" s="1">
        <f>Paths!$B$83</f>
        <v>0</v>
      </c>
      <c r="C847" s="1">
        <v>4</v>
      </c>
      <c r="D847" s="1">
        <v>83</v>
      </c>
      <c r="E847" s="1">
        <f>IF(OR(Paths!$C$83=0,C847=0),0,MAX(0,MIN(C847*12,Paths!$E$83)-(C847-1)*12))</f>
        <v>0</v>
      </c>
      <c r="F847" s="1">
        <f>IF(OR(Paths!$C$83=0,C847=0),0,12-E847)</f>
        <v>0</v>
      </c>
      <c r="G847" s="16">
        <f>IF(NOT(Paths!$C$83=1),0,IF(Paths!$P$83="Complete",E847/12*(Paths!$J$83*(1+'Operating costs'!$B$51)^MAX(0,C847-1)+Paths!$K$83*(1+'Operating costs'!$B$53)^MAX(0,C847-1)),"n.a."))</f>
        <v>0</v>
      </c>
      <c r="H847" s="16">
        <f>IF(NOT(Paths!$C$83=1),0,IF(Paths!$P$83="Complete",F847/12*(Paths!$L$83*(1+IF(Paths!$D$83="EV",'Operating costs'!$B$52,'Operating costs'!$B$51))^MAX(0,C847-1)+Paths!$M$83*(1+'Operating costs'!$B$53)^MAX(0,C847-1)),"n.a."))</f>
        <v>0</v>
      </c>
      <c r="I847" s="16">
        <f>IF(NOT(Paths!$C$83=1),0,IF(Paths!$P$83="Complete",IF(IF(Paths!$E$83=0,C847=0,AND(C847&gt;0,Paths!$E$83&gt;(C847-1)*12,Paths!$E$83&lt;=C847*12)),Paths!$G$83,0),"n.a."))</f>
        <v>0</v>
      </c>
      <c r="J847" s="16">
        <f>IF(NOT(Paths!$C$83=1),0,IF(Paths!$P$83="Complete",IF(IF(Paths!$E$83=0,C847=0,AND(C847&gt;0,Paths!$E$83&gt;(C847-1)*12,Paths!$E$83&lt;=C847*12)),Paths!$H$83,0),"n.a."))</f>
        <v>0</v>
      </c>
      <c r="K847" s="16">
        <f>IF(NOT(Paths!$C$83=1),0,IF(Paths!$P$83="Complete",IF(IF(Paths!$O$83=0,C847=0,AND(C847&gt;0,Paths!$O$83&gt;(C847-1)*12,Paths!$O$83&lt;=C847*12)),Paths!$N$83,0),"n.a."))</f>
        <v>0</v>
      </c>
      <c r="L847" s="16">
        <f>IF(NOT(Paths!$C$83=1),0,IF(Paths!$P$83="Complete",IF(C847=10,Paths!$I$83,0),"n.a."))</f>
        <v>0</v>
      </c>
      <c r="M847" s="16">
        <f>IF(NOT(Paths!$C$83=1),0,IF(Paths!$P$83="Complete",IF(AND(Paths!$D$83="EV",Paths!$E$83&lt;120,Paths!$E$83+'Operating costs'!$B$65&gt;Paths!$E$83,Paths!$E$83+'Operating costs'!$B$65&lt;=120,IF(Paths!$E$83+'Operating costs'!$B$65=0,C847=0,AND(C847&gt;0,Paths!$E$83+'Operating costs'!$B$65&gt;(C847-1)*12,Paths!$E$83+'Operating costs'!$B$65&lt;=C847*12))),'Operating costs'!$B$64,0)+IF(AND('Operating costs'!$B$67&gt;0,'Operating costs'!$B$67&lt;=120,OR(Paths!$D$83="ICE",'Operating costs'!$B$67&lt;=Paths!$E$83),IF('Operating costs'!$B$67=0,C847=0,AND(C847&gt;0,'Operating costs'!$B$67&gt;(C847-1)*12,'Operating costs'!$B$67&lt;=C847*12))),'Operating costs'!$B$66,0),"n.a."))</f>
        <v>0</v>
      </c>
      <c r="N847" s="16">
        <f>IF(NOT(Paths!$C$83=1),0,IF(Paths!$P$83="Complete",SUM(G847:I847)-J847-K847-L847+M847+IF(C847=0,Paths!$F$83,0)+IF(IF(Paths!$E$83=0,C847=0,AND(C847&gt;0,Paths!$E$83&gt;(C847-1)*12,Paths!$E$83&lt;=C847*12)),VLOOKUP(A847,'Fleet register'!$A$7:$S$106,16,FALSE),0),"n.a."))</f>
        <v>0</v>
      </c>
      <c r="O847" s="16">
        <f>IF(NOT(Paths!$C$83=1),0,IF(Paths!$P$83="Complete",N847-IF(C847=0,Paths!$F$83,0),"n.a."))</f>
        <v>0</v>
      </c>
      <c r="P847" s="16">
        <f>IF(NOT(Paths!$C$83=1),0,IF(Paths!$P$83="Complete",O847+L847,"n.a."))</f>
        <v>0</v>
      </c>
      <c r="Q847" s="16">
        <f>IF(NOT(Paths!$C$83=1),0,IF(Paths!$P$83="Complete",N847*(1+'Operating costs'!$B$54)^-C847,"n.a."))</f>
        <v>0</v>
      </c>
      <c r="R847" s="16">
        <f>IF(NOT(Paths!$C$83=1),0,IF(Paths!$P$83="Complete",IF(AND(C847=0,Paths!$E$83=0),I847-J847-K847+VLOOKUP(A847,'Fleet register'!$A$7:$S$106,15,FALSE)+VLOOKUP(A847,'Fleet register'!$A$7:$S$106,16,FALSE),0),"n.a."))</f>
        <v>0</v>
      </c>
      <c r="S847" s="1">
        <f>IF(NOT(Paths!$C$83=1),0,IF(Paths!$P$83="Complete",IF(C847=0,0,Paths!$S$83*Paths!$R$83),"n.a."))</f>
        <v>0</v>
      </c>
      <c r="T847" s="1">
        <f>IF(NOT(Paths!$C$83=1),0,IF(Paths!$P$83="Complete",IF(C847=0,0,VLOOKUP(A847,'Fleet register'!$A$7:$S$106,9,FALSE)*Paths!$R$83),"n.a."))</f>
        <v>0</v>
      </c>
    </row>
    <row r="848" spans="1:20" ht="24" customHeight="1">
      <c r="A848" s="1" t="str">
        <f>Paths!$A$83</f>
        <v>T020</v>
      </c>
      <c r="B848" s="1">
        <f>Paths!$B$83</f>
        <v>0</v>
      </c>
      <c r="C848" s="1">
        <v>5</v>
      </c>
      <c r="D848" s="1">
        <v>83</v>
      </c>
      <c r="E848" s="1">
        <f>IF(OR(Paths!$C$83=0,C848=0),0,MAX(0,MIN(C848*12,Paths!$E$83)-(C848-1)*12))</f>
        <v>0</v>
      </c>
      <c r="F848" s="1">
        <f>IF(OR(Paths!$C$83=0,C848=0),0,12-E848)</f>
        <v>0</v>
      </c>
      <c r="G848" s="16">
        <f>IF(NOT(Paths!$C$83=1),0,IF(Paths!$P$83="Complete",E848/12*(Paths!$J$83*(1+'Operating costs'!$B$51)^MAX(0,C848-1)+Paths!$K$83*(1+'Operating costs'!$B$53)^MAX(0,C848-1)),"n.a."))</f>
        <v>0</v>
      </c>
      <c r="H848" s="16">
        <f>IF(NOT(Paths!$C$83=1),0,IF(Paths!$P$83="Complete",F848/12*(Paths!$L$83*(1+IF(Paths!$D$83="EV",'Operating costs'!$B$52,'Operating costs'!$B$51))^MAX(0,C848-1)+Paths!$M$83*(1+'Operating costs'!$B$53)^MAX(0,C848-1)),"n.a."))</f>
        <v>0</v>
      </c>
      <c r="I848" s="16">
        <f>IF(NOT(Paths!$C$83=1),0,IF(Paths!$P$83="Complete",IF(IF(Paths!$E$83=0,C848=0,AND(C848&gt;0,Paths!$E$83&gt;(C848-1)*12,Paths!$E$83&lt;=C848*12)),Paths!$G$83,0),"n.a."))</f>
        <v>0</v>
      </c>
      <c r="J848" s="16">
        <f>IF(NOT(Paths!$C$83=1),0,IF(Paths!$P$83="Complete",IF(IF(Paths!$E$83=0,C848=0,AND(C848&gt;0,Paths!$E$83&gt;(C848-1)*12,Paths!$E$83&lt;=C848*12)),Paths!$H$83,0),"n.a."))</f>
        <v>0</v>
      </c>
      <c r="K848" s="16">
        <f>IF(NOT(Paths!$C$83=1),0,IF(Paths!$P$83="Complete",IF(IF(Paths!$O$83=0,C848=0,AND(C848&gt;0,Paths!$O$83&gt;(C848-1)*12,Paths!$O$83&lt;=C848*12)),Paths!$N$83,0),"n.a."))</f>
        <v>0</v>
      </c>
      <c r="L848" s="16">
        <f>IF(NOT(Paths!$C$83=1),0,IF(Paths!$P$83="Complete",IF(C848=10,Paths!$I$83,0),"n.a."))</f>
        <v>0</v>
      </c>
      <c r="M848" s="16">
        <f>IF(NOT(Paths!$C$83=1),0,IF(Paths!$P$83="Complete",IF(AND(Paths!$D$83="EV",Paths!$E$83&lt;120,Paths!$E$83+'Operating costs'!$B$65&gt;Paths!$E$83,Paths!$E$83+'Operating costs'!$B$65&lt;=120,IF(Paths!$E$83+'Operating costs'!$B$65=0,C848=0,AND(C848&gt;0,Paths!$E$83+'Operating costs'!$B$65&gt;(C848-1)*12,Paths!$E$83+'Operating costs'!$B$65&lt;=C848*12))),'Operating costs'!$B$64,0)+IF(AND('Operating costs'!$B$67&gt;0,'Operating costs'!$B$67&lt;=120,OR(Paths!$D$83="ICE",'Operating costs'!$B$67&lt;=Paths!$E$83),IF('Operating costs'!$B$67=0,C848=0,AND(C848&gt;0,'Operating costs'!$B$67&gt;(C848-1)*12,'Operating costs'!$B$67&lt;=C848*12))),'Operating costs'!$B$66,0),"n.a."))</f>
        <v>0</v>
      </c>
      <c r="N848" s="16">
        <f>IF(NOT(Paths!$C$83=1),0,IF(Paths!$P$83="Complete",SUM(G848:I848)-J848-K848-L848+M848+IF(C848=0,Paths!$F$83,0)+IF(IF(Paths!$E$83=0,C848=0,AND(C848&gt;0,Paths!$E$83&gt;(C848-1)*12,Paths!$E$83&lt;=C848*12)),VLOOKUP(A848,'Fleet register'!$A$7:$S$106,16,FALSE),0),"n.a."))</f>
        <v>0</v>
      </c>
      <c r="O848" s="16">
        <f>IF(NOT(Paths!$C$83=1),0,IF(Paths!$P$83="Complete",N848-IF(C848=0,Paths!$F$83,0),"n.a."))</f>
        <v>0</v>
      </c>
      <c r="P848" s="16">
        <f>IF(NOT(Paths!$C$83=1),0,IF(Paths!$P$83="Complete",O848+L848,"n.a."))</f>
        <v>0</v>
      </c>
      <c r="Q848" s="16">
        <f>IF(NOT(Paths!$C$83=1),0,IF(Paths!$P$83="Complete",N848*(1+'Operating costs'!$B$54)^-C848,"n.a."))</f>
        <v>0</v>
      </c>
      <c r="R848" s="16">
        <f>IF(NOT(Paths!$C$83=1),0,IF(Paths!$P$83="Complete",IF(AND(C848=0,Paths!$E$83=0),I848-J848-K848+VLOOKUP(A848,'Fleet register'!$A$7:$S$106,15,FALSE)+VLOOKUP(A848,'Fleet register'!$A$7:$S$106,16,FALSE),0),"n.a."))</f>
        <v>0</v>
      </c>
      <c r="S848" s="1">
        <f>IF(NOT(Paths!$C$83=1),0,IF(Paths!$P$83="Complete",IF(C848=0,0,Paths!$S$83*Paths!$R$83),"n.a."))</f>
        <v>0</v>
      </c>
      <c r="T848" s="1">
        <f>IF(NOT(Paths!$C$83=1),0,IF(Paths!$P$83="Complete",IF(C848=0,0,VLOOKUP(A848,'Fleet register'!$A$7:$S$106,9,FALSE)*Paths!$R$83),"n.a."))</f>
        <v>0</v>
      </c>
    </row>
    <row r="849" spans="1:20" ht="24" customHeight="1">
      <c r="A849" s="1" t="str">
        <f>Paths!$A$83</f>
        <v>T020</v>
      </c>
      <c r="B849" s="1">
        <f>Paths!$B$83</f>
        <v>0</v>
      </c>
      <c r="C849" s="1">
        <v>6</v>
      </c>
      <c r="D849" s="1">
        <v>83</v>
      </c>
      <c r="E849" s="1">
        <f>IF(OR(Paths!$C$83=0,C849=0),0,MAX(0,MIN(C849*12,Paths!$E$83)-(C849-1)*12))</f>
        <v>0</v>
      </c>
      <c r="F849" s="1">
        <f>IF(OR(Paths!$C$83=0,C849=0),0,12-E849)</f>
        <v>0</v>
      </c>
      <c r="G849" s="16">
        <f>IF(NOT(Paths!$C$83=1),0,IF(Paths!$P$83="Complete",E849/12*(Paths!$J$83*(1+'Operating costs'!$B$51)^MAX(0,C849-1)+Paths!$K$83*(1+'Operating costs'!$B$53)^MAX(0,C849-1)),"n.a."))</f>
        <v>0</v>
      </c>
      <c r="H849" s="16">
        <f>IF(NOT(Paths!$C$83=1),0,IF(Paths!$P$83="Complete",F849/12*(Paths!$L$83*(1+IF(Paths!$D$83="EV",'Operating costs'!$B$52,'Operating costs'!$B$51))^MAX(0,C849-1)+Paths!$M$83*(1+'Operating costs'!$B$53)^MAX(0,C849-1)),"n.a."))</f>
        <v>0</v>
      </c>
      <c r="I849" s="16">
        <f>IF(NOT(Paths!$C$83=1),0,IF(Paths!$P$83="Complete",IF(IF(Paths!$E$83=0,C849=0,AND(C849&gt;0,Paths!$E$83&gt;(C849-1)*12,Paths!$E$83&lt;=C849*12)),Paths!$G$83,0),"n.a."))</f>
        <v>0</v>
      </c>
      <c r="J849" s="16">
        <f>IF(NOT(Paths!$C$83=1),0,IF(Paths!$P$83="Complete",IF(IF(Paths!$E$83=0,C849=0,AND(C849&gt;0,Paths!$E$83&gt;(C849-1)*12,Paths!$E$83&lt;=C849*12)),Paths!$H$83,0),"n.a."))</f>
        <v>0</v>
      </c>
      <c r="K849" s="16">
        <f>IF(NOT(Paths!$C$83=1),0,IF(Paths!$P$83="Complete",IF(IF(Paths!$O$83=0,C849=0,AND(C849&gt;0,Paths!$O$83&gt;(C849-1)*12,Paths!$O$83&lt;=C849*12)),Paths!$N$83,0),"n.a."))</f>
        <v>0</v>
      </c>
      <c r="L849" s="16">
        <f>IF(NOT(Paths!$C$83=1),0,IF(Paths!$P$83="Complete",IF(C849=10,Paths!$I$83,0),"n.a."))</f>
        <v>0</v>
      </c>
      <c r="M849" s="16">
        <f>IF(NOT(Paths!$C$83=1),0,IF(Paths!$P$83="Complete",IF(AND(Paths!$D$83="EV",Paths!$E$83&lt;120,Paths!$E$83+'Operating costs'!$B$65&gt;Paths!$E$83,Paths!$E$83+'Operating costs'!$B$65&lt;=120,IF(Paths!$E$83+'Operating costs'!$B$65=0,C849=0,AND(C849&gt;0,Paths!$E$83+'Operating costs'!$B$65&gt;(C849-1)*12,Paths!$E$83+'Operating costs'!$B$65&lt;=C849*12))),'Operating costs'!$B$64,0)+IF(AND('Operating costs'!$B$67&gt;0,'Operating costs'!$B$67&lt;=120,OR(Paths!$D$83="ICE",'Operating costs'!$B$67&lt;=Paths!$E$83),IF('Operating costs'!$B$67=0,C849=0,AND(C849&gt;0,'Operating costs'!$B$67&gt;(C849-1)*12,'Operating costs'!$B$67&lt;=C849*12))),'Operating costs'!$B$66,0),"n.a."))</f>
        <v>0</v>
      </c>
      <c r="N849" s="16">
        <f>IF(NOT(Paths!$C$83=1),0,IF(Paths!$P$83="Complete",SUM(G849:I849)-J849-K849-L849+M849+IF(C849=0,Paths!$F$83,0)+IF(IF(Paths!$E$83=0,C849=0,AND(C849&gt;0,Paths!$E$83&gt;(C849-1)*12,Paths!$E$83&lt;=C849*12)),VLOOKUP(A849,'Fleet register'!$A$7:$S$106,16,FALSE),0),"n.a."))</f>
        <v>0</v>
      </c>
      <c r="O849" s="16">
        <f>IF(NOT(Paths!$C$83=1),0,IF(Paths!$P$83="Complete",N849-IF(C849=0,Paths!$F$83,0),"n.a."))</f>
        <v>0</v>
      </c>
      <c r="P849" s="16">
        <f>IF(NOT(Paths!$C$83=1),0,IF(Paths!$P$83="Complete",O849+L849,"n.a."))</f>
        <v>0</v>
      </c>
      <c r="Q849" s="16">
        <f>IF(NOT(Paths!$C$83=1),0,IF(Paths!$P$83="Complete",N849*(1+'Operating costs'!$B$54)^-C849,"n.a."))</f>
        <v>0</v>
      </c>
      <c r="R849" s="16">
        <f>IF(NOT(Paths!$C$83=1),0,IF(Paths!$P$83="Complete",IF(AND(C849=0,Paths!$E$83=0),I849-J849-K849+VLOOKUP(A849,'Fleet register'!$A$7:$S$106,15,FALSE)+VLOOKUP(A849,'Fleet register'!$A$7:$S$106,16,FALSE),0),"n.a."))</f>
        <v>0</v>
      </c>
      <c r="S849" s="1">
        <f>IF(NOT(Paths!$C$83=1),0,IF(Paths!$P$83="Complete",IF(C849=0,0,Paths!$S$83*Paths!$R$83),"n.a."))</f>
        <v>0</v>
      </c>
      <c r="T849" s="1">
        <f>IF(NOT(Paths!$C$83=1),0,IF(Paths!$P$83="Complete",IF(C849=0,0,VLOOKUP(A849,'Fleet register'!$A$7:$S$106,9,FALSE)*Paths!$R$83),"n.a."))</f>
        <v>0</v>
      </c>
    </row>
    <row r="850" spans="1:20" ht="24" customHeight="1">
      <c r="A850" s="1" t="str">
        <f>Paths!$A$83</f>
        <v>T020</v>
      </c>
      <c r="B850" s="1">
        <f>Paths!$B$83</f>
        <v>0</v>
      </c>
      <c r="C850" s="1">
        <v>7</v>
      </c>
      <c r="D850" s="1">
        <v>83</v>
      </c>
      <c r="E850" s="1">
        <f>IF(OR(Paths!$C$83=0,C850=0),0,MAX(0,MIN(C850*12,Paths!$E$83)-(C850-1)*12))</f>
        <v>0</v>
      </c>
      <c r="F850" s="1">
        <f>IF(OR(Paths!$C$83=0,C850=0),0,12-E850)</f>
        <v>0</v>
      </c>
      <c r="G850" s="16">
        <f>IF(NOT(Paths!$C$83=1),0,IF(Paths!$P$83="Complete",E850/12*(Paths!$J$83*(1+'Operating costs'!$B$51)^MAX(0,C850-1)+Paths!$K$83*(1+'Operating costs'!$B$53)^MAX(0,C850-1)),"n.a."))</f>
        <v>0</v>
      </c>
      <c r="H850" s="16">
        <f>IF(NOT(Paths!$C$83=1),0,IF(Paths!$P$83="Complete",F850/12*(Paths!$L$83*(1+IF(Paths!$D$83="EV",'Operating costs'!$B$52,'Operating costs'!$B$51))^MAX(0,C850-1)+Paths!$M$83*(1+'Operating costs'!$B$53)^MAX(0,C850-1)),"n.a."))</f>
        <v>0</v>
      </c>
      <c r="I850" s="16">
        <f>IF(NOT(Paths!$C$83=1),0,IF(Paths!$P$83="Complete",IF(IF(Paths!$E$83=0,C850=0,AND(C850&gt;0,Paths!$E$83&gt;(C850-1)*12,Paths!$E$83&lt;=C850*12)),Paths!$G$83,0),"n.a."))</f>
        <v>0</v>
      </c>
      <c r="J850" s="16">
        <f>IF(NOT(Paths!$C$83=1),0,IF(Paths!$P$83="Complete",IF(IF(Paths!$E$83=0,C850=0,AND(C850&gt;0,Paths!$E$83&gt;(C850-1)*12,Paths!$E$83&lt;=C850*12)),Paths!$H$83,0),"n.a."))</f>
        <v>0</v>
      </c>
      <c r="K850" s="16">
        <f>IF(NOT(Paths!$C$83=1),0,IF(Paths!$P$83="Complete",IF(IF(Paths!$O$83=0,C850=0,AND(C850&gt;0,Paths!$O$83&gt;(C850-1)*12,Paths!$O$83&lt;=C850*12)),Paths!$N$83,0),"n.a."))</f>
        <v>0</v>
      </c>
      <c r="L850" s="16">
        <f>IF(NOT(Paths!$C$83=1),0,IF(Paths!$P$83="Complete",IF(C850=10,Paths!$I$83,0),"n.a."))</f>
        <v>0</v>
      </c>
      <c r="M850" s="16">
        <f>IF(NOT(Paths!$C$83=1),0,IF(Paths!$P$83="Complete",IF(AND(Paths!$D$83="EV",Paths!$E$83&lt;120,Paths!$E$83+'Operating costs'!$B$65&gt;Paths!$E$83,Paths!$E$83+'Operating costs'!$B$65&lt;=120,IF(Paths!$E$83+'Operating costs'!$B$65=0,C850=0,AND(C850&gt;0,Paths!$E$83+'Operating costs'!$B$65&gt;(C850-1)*12,Paths!$E$83+'Operating costs'!$B$65&lt;=C850*12))),'Operating costs'!$B$64,0)+IF(AND('Operating costs'!$B$67&gt;0,'Operating costs'!$B$67&lt;=120,OR(Paths!$D$83="ICE",'Operating costs'!$B$67&lt;=Paths!$E$83),IF('Operating costs'!$B$67=0,C850=0,AND(C850&gt;0,'Operating costs'!$B$67&gt;(C850-1)*12,'Operating costs'!$B$67&lt;=C850*12))),'Operating costs'!$B$66,0),"n.a."))</f>
        <v>0</v>
      </c>
      <c r="N850" s="16">
        <f>IF(NOT(Paths!$C$83=1),0,IF(Paths!$P$83="Complete",SUM(G850:I850)-J850-K850-L850+M850+IF(C850=0,Paths!$F$83,0)+IF(IF(Paths!$E$83=0,C850=0,AND(C850&gt;0,Paths!$E$83&gt;(C850-1)*12,Paths!$E$83&lt;=C850*12)),VLOOKUP(A850,'Fleet register'!$A$7:$S$106,16,FALSE),0),"n.a."))</f>
        <v>0</v>
      </c>
      <c r="O850" s="16">
        <f>IF(NOT(Paths!$C$83=1),0,IF(Paths!$P$83="Complete",N850-IF(C850=0,Paths!$F$83,0),"n.a."))</f>
        <v>0</v>
      </c>
      <c r="P850" s="16">
        <f>IF(NOT(Paths!$C$83=1),0,IF(Paths!$P$83="Complete",O850+L850,"n.a."))</f>
        <v>0</v>
      </c>
      <c r="Q850" s="16">
        <f>IF(NOT(Paths!$C$83=1),0,IF(Paths!$P$83="Complete",N850*(1+'Operating costs'!$B$54)^-C850,"n.a."))</f>
        <v>0</v>
      </c>
      <c r="R850" s="16">
        <f>IF(NOT(Paths!$C$83=1),0,IF(Paths!$P$83="Complete",IF(AND(C850=0,Paths!$E$83=0),I850-J850-K850+VLOOKUP(A850,'Fleet register'!$A$7:$S$106,15,FALSE)+VLOOKUP(A850,'Fleet register'!$A$7:$S$106,16,FALSE),0),"n.a."))</f>
        <v>0</v>
      </c>
      <c r="S850" s="1">
        <f>IF(NOT(Paths!$C$83=1),0,IF(Paths!$P$83="Complete",IF(C850=0,0,Paths!$S$83*Paths!$R$83),"n.a."))</f>
        <v>0</v>
      </c>
      <c r="T850" s="1">
        <f>IF(NOT(Paths!$C$83=1),0,IF(Paths!$P$83="Complete",IF(C850=0,0,VLOOKUP(A850,'Fleet register'!$A$7:$S$106,9,FALSE)*Paths!$R$83),"n.a."))</f>
        <v>0</v>
      </c>
    </row>
    <row r="851" spans="1:20" ht="24" customHeight="1">
      <c r="A851" s="1" t="str">
        <f>Paths!$A$83</f>
        <v>T020</v>
      </c>
      <c r="B851" s="1">
        <f>Paths!$B$83</f>
        <v>0</v>
      </c>
      <c r="C851" s="1">
        <v>8</v>
      </c>
      <c r="D851" s="1">
        <v>83</v>
      </c>
      <c r="E851" s="1">
        <f>IF(OR(Paths!$C$83=0,C851=0),0,MAX(0,MIN(C851*12,Paths!$E$83)-(C851-1)*12))</f>
        <v>0</v>
      </c>
      <c r="F851" s="1">
        <f>IF(OR(Paths!$C$83=0,C851=0),0,12-E851)</f>
        <v>0</v>
      </c>
      <c r="G851" s="16">
        <f>IF(NOT(Paths!$C$83=1),0,IF(Paths!$P$83="Complete",E851/12*(Paths!$J$83*(1+'Operating costs'!$B$51)^MAX(0,C851-1)+Paths!$K$83*(1+'Operating costs'!$B$53)^MAX(0,C851-1)),"n.a."))</f>
        <v>0</v>
      </c>
      <c r="H851" s="16">
        <f>IF(NOT(Paths!$C$83=1),0,IF(Paths!$P$83="Complete",F851/12*(Paths!$L$83*(1+IF(Paths!$D$83="EV",'Operating costs'!$B$52,'Operating costs'!$B$51))^MAX(0,C851-1)+Paths!$M$83*(1+'Operating costs'!$B$53)^MAX(0,C851-1)),"n.a."))</f>
        <v>0</v>
      </c>
      <c r="I851" s="16">
        <f>IF(NOT(Paths!$C$83=1),0,IF(Paths!$P$83="Complete",IF(IF(Paths!$E$83=0,C851=0,AND(C851&gt;0,Paths!$E$83&gt;(C851-1)*12,Paths!$E$83&lt;=C851*12)),Paths!$G$83,0),"n.a."))</f>
        <v>0</v>
      </c>
      <c r="J851" s="16">
        <f>IF(NOT(Paths!$C$83=1),0,IF(Paths!$P$83="Complete",IF(IF(Paths!$E$83=0,C851=0,AND(C851&gt;0,Paths!$E$83&gt;(C851-1)*12,Paths!$E$83&lt;=C851*12)),Paths!$H$83,0),"n.a."))</f>
        <v>0</v>
      </c>
      <c r="K851" s="16">
        <f>IF(NOT(Paths!$C$83=1),0,IF(Paths!$P$83="Complete",IF(IF(Paths!$O$83=0,C851=0,AND(C851&gt;0,Paths!$O$83&gt;(C851-1)*12,Paths!$O$83&lt;=C851*12)),Paths!$N$83,0),"n.a."))</f>
        <v>0</v>
      </c>
      <c r="L851" s="16">
        <f>IF(NOT(Paths!$C$83=1),0,IF(Paths!$P$83="Complete",IF(C851=10,Paths!$I$83,0),"n.a."))</f>
        <v>0</v>
      </c>
      <c r="M851" s="16">
        <f>IF(NOT(Paths!$C$83=1),0,IF(Paths!$P$83="Complete",IF(AND(Paths!$D$83="EV",Paths!$E$83&lt;120,Paths!$E$83+'Operating costs'!$B$65&gt;Paths!$E$83,Paths!$E$83+'Operating costs'!$B$65&lt;=120,IF(Paths!$E$83+'Operating costs'!$B$65=0,C851=0,AND(C851&gt;0,Paths!$E$83+'Operating costs'!$B$65&gt;(C851-1)*12,Paths!$E$83+'Operating costs'!$B$65&lt;=C851*12))),'Operating costs'!$B$64,0)+IF(AND('Operating costs'!$B$67&gt;0,'Operating costs'!$B$67&lt;=120,OR(Paths!$D$83="ICE",'Operating costs'!$B$67&lt;=Paths!$E$83),IF('Operating costs'!$B$67=0,C851=0,AND(C851&gt;0,'Operating costs'!$B$67&gt;(C851-1)*12,'Operating costs'!$B$67&lt;=C851*12))),'Operating costs'!$B$66,0),"n.a."))</f>
        <v>0</v>
      </c>
      <c r="N851" s="16">
        <f>IF(NOT(Paths!$C$83=1),0,IF(Paths!$P$83="Complete",SUM(G851:I851)-J851-K851-L851+M851+IF(C851=0,Paths!$F$83,0)+IF(IF(Paths!$E$83=0,C851=0,AND(C851&gt;0,Paths!$E$83&gt;(C851-1)*12,Paths!$E$83&lt;=C851*12)),VLOOKUP(A851,'Fleet register'!$A$7:$S$106,16,FALSE),0),"n.a."))</f>
        <v>0</v>
      </c>
      <c r="O851" s="16">
        <f>IF(NOT(Paths!$C$83=1),0,IF(Paths!$P$83="Complete",N851-IF(C851=0,Paths!$F$83,0),"n.a."))</f>
        <v>0</v>
      </c>
      <c r="P851" s="16">
        <f>IF(NOT(Paths!$C$83=1),0,IF(Paths!$P$83="Complete",O851+L851,"n.a."))</f>
        <v>0</v>
      </c>
      <c r="Q851" s="16">
        <f>IF(NOT(Paths!$C$83=1),0,IF(Paths!$P$83="Complete",N851*(1+'Operating costs'!$B$54)^-C851,"n.a."))</f>
        <v>0</v>
      </c>
      <c r="R851" s="16">
        <f>IF(NOT(Paths!$C$83=1),0,IF(Paths!$P$83="Complete",IF(AND(C851=0,Paths!$E$83=0),I851-J851-K851+VLOOKUP(A851,'Fleet register'!$A$7:$S$106,15,FALSE)+VLOOKUP(A851,'Fleet register'!$A$7:$S$106,16,FALSE),0),"n.a."))</f>
        <v>0</v>
      </c>
      <c r="S851" s="1">
        <f>IF(NOT(Paths!$C$83=1),0,IF(Paths!$P$83="Complete",IF(C851=0,0,Paths!$S$83*Paths!$R$83),"n.a."))</f>
        <v>0</v>
      </c>
      <c r="T851" s="1">
        <f>IF(NOT(Paths!$C$83=1),0,IF(Paths!$P$83="Complete",IF(C851=0,0,VLOOKUP(A851,'Fleet register'!$A$7:$S$106,9,FALSE)*Paths!$R$83),"n.a."))</f>
        <v>0</v>
      </c>
    </row>
    <row r="852" spans="1:20" ht="24" customHeight="1">
      <c r="A852" s="1" t="str">
        <f>Paths!$A$83</f>
        <v>T020</v>
      </c>
      <c r="B852" s="1">
        <f>Paths!$B$83</f>
        <v>0</v>
      </c>
      <c r="C852" s="1">
        <v>9</v>
      </c>
      <c r="D852" s="1">
        <v>83</v>
      </c>
      <c r="E852" s="1">
        <f>IF(OR(Paths!$C$83=0,C852=0),0,MAX(0,MIN(C852*12,Paths!$E$83)-(C852-1)*12))</f>
        <v>0</v>
      </c>
      <c r="F852" s="1">
        <f>IF(OR(Paths!$C$83=0,C852=0),0,12-E852)</f>
        <v>0</v>
      </c>
      <c r="G852" s="16">
        <f>IF(NOT(Paths!$C$83=1),0,IF(Paths!$P$83="Complete",E852/12*(Paths!$J$83*(1+'Operating costs'!$B$51)^MAX(0,C852-1)+Paths!$K$83*(1+'Operating costs'!$B$53)^MAX(0,C852-1)),"n.a."))</f>
        <v>0</v>
      </c>
      <c r="H852" s="16">
        <f>IF(NOT(Paths!$C$83=1),0,IF(Paths!$P$83="Complete",F852/12*(Paths!$L$83*(1+IF(Paths!$D$83="EV",'Operating costs'!$B$52,'Operating costs'!$B$51))^MAX(0,C852-1)+Paths!$M$83*(1+'Operating costs'!$B$53)^MAX(0,C852-1)),"n.a."))</f>
        <v>0</v>
      </c>
      <c r="I852" s="16">
        <f>IF(NOT(Paths!$C$83=1),0,IF(Paths!$P$83="Complete",IF(IF(Paths!$E$83=0,C852=0,AND(C852&gt;0,Paths!$E$83&gt;(C852-1)*12,Paths!$E$83&lt;=C852*12)),Paths!$G$83,0),"n.a."))</f>
        <v>0</v>
      </c>
      <c r="J852" s="16">
        <f>IF(NOT(Paths!$C$83=1),0,IF(Paths!$P$83="Complete",IF(IF(Paths!$E$83=0,C852=0,AND(C852&gt;0,Paths!$E$83&gt;(C852-1)*12,Paths!$E$83&lt;=C852*12)),Paths!$H$83,0),"n.a."))</f>
        <v>0</v>
      </c>
      <c r="K852" s="16">
        <f>IF(NOT(Paths!$C$83=1),0,IF(Paths!$P$83="Complete",IF(IF(Paths!$O$83=0,C852=0,AND(C852&gt;0,Paths!$O$83&gt;(C852-1)*12,Paths!$O$83&lt;=C852*12)),Paths!$N$83,0),"n.a."))</f>
        <v>0</v>
      </c>
      <c r="L852" s="16">
        <f>IF(NOT(Paths!$C$83=1),0,IF(Paths!$P$83="Complete",IF(C852=10,Paths!$I$83,0),"n.a."))</f>
        <v>0</v>
      </c>
      <c r="M852" s="16">
        <f>IF(NOT(Paths!$C$83=1),0,IF(Paths!$P$83="Complete",IF(AND(Paths!$D$83="EV",Paths!$E$83&lt;120,Paths!$E$83+'Operating costs'!$B$65&gt;Paths!$E$83,Paths!$E$83+'Operating costs'!$B$65&lt;=120,IF(Paths!$E$83+'Operating costs'!$B$65=0,C852=0,AND(C852&gt;0,Paths!$E$83+'Operating costs'!$B$65&gt;(C852-1)*12,Paths!$E$83+'Operating costs'!$B$65&lt;=C852*12))),'Operating costs'!$B$64,0)+IF(AND('Operating costs'!$B$67&gt;0,'Operating costs'!$B$67&lt;=120,OR(Paths!$D$83="ICE",'Operating costs'!$B$67&lt;=Paths!$E$83),IF('Operating costs'!$B$67=0,C852=0,AND(C852&gt;0,'Operating costs'!$B$67&gt;(C852-1)*12,'Operating costs'!$B$67&lt;=C852*12))),'Operating costs'!$B$66,0),"n.a."))</f>
        <v>0</v>
      </c>
      <c r="N852" s="16">
        <f>IF(NOT(Paths!$C$83=1),0,IF(Paths!$P$83="Complete",SUM(G852:I852)-J852-K852-L852+M852+IF(C852=0,Paths!$F$83,0)+IF(IF(Paths!$E$83=0,C852=0,AND(C852&gt;0,Paths!$E$83&gt;(C852-1)*12,Paths!$E$83&lt;=C852*12)),VLOOKUP(A852,'Fleet register'!$A$7:$S$106,16,FALSE),0),"n.a."))</f>
        <v>0</v>
      </c>
      <c r="O852" s="16">
        <f>IF(NOT(Paths!$C$83=1),0,IF(Paths!$P$83="Complete",N852-IF(C852=0,Paths!$F$83,0),"n.a."))</f>
        <v>0</v>
      </c>
      <c r="P852" s="16">
        <f>IF(NOT(Paths!$C$83=1),0,IF(Paths!$P$83="Complete",O852+L852,"n.a."))</f>
        <v>0</v>
      </c>
      <c r="Q852" s="16">
        <f>IF(NOT(Paths!$C$83=1),0,IF(Paths!$P$83="Complete",N852*(1+'Operating costs'!$B$54)^-C852,"n.a."))</f>
        <v>0</v>
      </c>
      <c r="R852" s="16">
        <f>IF(NOT(Paths!$C$83=1),0,IF(Paths!$P$83="Complete",IF(AND(C852=0,Paths!$E$83=0),I852-J852-K852+VLOOKUP(A852,'Fleet register'!$A$7:$S$106,15,FALSE)+VLOOKUP(A852,'Fleet register'!$A$7:$S$106,16,FALSE),0),"n.a."))</f>
        <v>0</v>
      </c>
      <c r="S852" s="1">
        <f>IF(NOT(Paths!$C$83=1),0,IF(Paths!$P$83="Complete",IF(C852=0,0,Paths!$S$83*Paths!$R$83),"n.a."))</f>
        <v>0</v>
      </c>
      <c r="T852" s="1">
        <f>IF(NOT(Paths!$C$83=1),0,IF(Paths!$P$83="Complete",IF(C852=0,0,VLOOKUP(A852,'Fleet register'!$A$7:$S$106,9,FALSE)*Paths!$R$83),"n.a."))</f>
        <v>0</v>
      </c>
    </row>
    <row r="853" spans="1:20" ht="24" customHeight="1">
      <c r="A853" s="1" t="str">
        <f>Paths!$A$83</f>
        <v>T020</v>
      </c>
      <c r="B853" s="1">
        <f>Paths!$B$83</f>
        <v>0</v>
      </c>
      <c r="C853" s="1">
        <v>10</v>
      </c>
      <c r="D853" s="1">
        <v>83</v>
      </c>
      <c r="E853" s="1">
        <f>IF(OR(Paths!$C$83=0,C853=0),0,MAX(0,MIN(C853*12,Paths!$E$83)-(C853-1)*12))</f>
        <v>0</v>
      </c>
      <c r="F853" s="1">
        <f>IF(OR(Paths!$C$83=0,C853=0),0,12-E853)</f>
        <v>0</v>
      </c>
      <c r="G853" s="16">
        <f>IF(NOT(Paths!$C$83=1),0,IF(Paths!$P$83="Complete",E853/12*(Paths!$J$83*(1+'Operating costs'!$B$51)^MAX(0,C853-1)+Paths!$K$83*(1+'Operating costs'!$B$53)^MAX(0,C853-1)),"n.a."))</f>
        <v>0</v>
      </c>
      <c r="H853" s="16">
        <f>IF(NOT(Paths!$C$83=1),0,IF(Paths!$P$83="Complete",F853/12*(Paths!$L$83*(1+IF(Paths!$D$83="EV",'Operating costs'!$B$52,'Operating costs'!$B$51))^MAX(0,C853-1)+Paths!$M$83*(1+'Operating costs'!$B$53)^MAX(0,C853-1)),"n.a."))</f>
        <v>0</v>
      </c>
      <c r="I853" s="16">
        <f>IF(NOT(Paths!$C$83=1),0,IF(Paths!$P$83="Complete",IF(IF(Paths!$E$83=0,C853=0,AND(C853&gt;0,Paths!$E$83&gt;(C853-1)*12,Paths!$E$83&lt;=C853*12)),Paths!$G$83,0),"n.a."))</f>
        <v>0</v>
      </c>
      <c r="J853" s="16">
        <f>IF(NOT(Paths!$C$83=1),0,IF(Paths!$P$83="Complete",IF(IF(Paths!$E$83=0,C853=0,AND(C853&gt;0,Paths!$E$83&gt;(C853-1)*12,Paths!$E$83&lt;=C853*12)),Paths!$H$83,0),"n.a."))</f>
        <v>0</v>
      </c>
      <c r="K853" s="16">
        <f>IF(NOT(Paths!$C$83=1),0,IF(Paths!$P$83="Complete",IF(IF(Paths!$O$83=0,C853=0,AND(C853&gt;0,Paths!$O$83&gt;(C853-1)*12,Paths!$O$83&lt;=C853*12)),Paths!$N$83,0),"n.a."))</f>
        <v>0</v>
      </c>
      <c r="L853" s="16">
        <f>IF(NOT(Paths!$C$83=1),0,IF(Paths!$P$83="Complete",IF(C853=10,Paths!$I$83,0),"n.a."))</f>
        <v>0</v>
      </c>
      <c r="M853" s="16">
        <f>IF(NOT(Paths!$C$83=1),0,IF(Paths!$P$83="Complete",IF(AND(Paths!$D$83="EV",Paths!$E$83&lt;120,Paths!$E$83+'Operating costs'!$B$65&gt;Paths!$E$83,Paths!$E$83+'Operating costs'!$B$65&lt;=120,IF(Paths!$E$83+'Operating costs'!$B$65=0,C853=0,AND(C853&gt;0,Paths!$E$83+'Operating costs'!$B$65&gt;(C853-1)*12,Paths!$E$83+'Operating costs'!$B$65&lt;=C853*12))),'Operating costs'!$B$64,0)+IF(AND('Operating costs'!$B$67&gt;0,'Operating costs'!$B$67&lt;=120,OR(Paths!$D$83="ICE",'Operating costs'!$B$67&lt;=Paths!$E$83),IF('Operating costs'!$B$67=0,C853=0,AND(C853&gt;0,'Operating costs'!$B$67&gt;(C853-1)*12,'Operating costs'!$B$67&lt;=C853*12))),'Operating costs'!$B$66,0),"n.a."))</f>
        <v>0</v>
      </c>
      <c r="N853" s="16">
        <f>IF(NOT(Paths!$C$83=1),0,IF(Paths!$P$83="Complete",SUM(G853:I853)-J853-K853-L853+M853+IF(C853=0,Paths!$F$83,0)+IF(IF(Paths!$E$83=0,C853=0,AND(C853&gt;0,Paths!$E$83&gt;(C853-1)*12,Paths!$E$83&lt;=C853*12)),VLOOKUP(A853,'Fleet register'!$A$7:$S$106,16,FALSE),0),"n.a."))</f>
        <v>0</v>
      </c>
      <c r="O853" s="16">
        <f>IF(NOT(Paths!$C$83=1),0,IF(Paths!$P$83="Complete",N853-IF(C853=0,Paths!$F$83,0),"n.a."))</f>
        <v>0</v>
      </c>
      <c r="P853" s="16">
        <f>IF(NOT(Paths!$C$83=1),0,IF(Paths!$P$83="Complete",O853+L853,"n.a."))</f>
        <v>0</v>
      </c>
      <c r="Q853" s="16">
        <f>IF(NOT(Paths!$C$83=1),0,IF(Paths!$P$83="Complete",N853*(1+'Operating costs'!$B$54)^-C853,"n.a."))</f>
        <v>0</v>
      </c>
      <c r="R853" s="16">
        <f>IF(NOT(Paths!$C$83=1),0,IF(Paths!$P$83="Complete",IF(AND(C853=0,Paths!$E$83=0),I853-J853-K853+VLOOKUP(A853,'Fleet register'!$A$7:$S$106,15,FALSE)+VLOOKUP(A853,'Fleet register'!$A$7:$S$106,16,FALSE),0),"n.a."))</f>
        <v>0</v>
      </c>
      <c r="S853" s="1">
        <f>IF(NOT(Paths!$C$83=1),0,IF(Paths!$P$83="Complete",IF(C853=0,0,Paths!$S$83*Paths!$R$83),"n.a."))</f>
        <v>0</v>
      </c>
      <c r="T853" s="1">
        <f>IF(NOT(Paths!$C$83=1),0,IF(Paths!$P$83="Complete",IF(C853=0,0,VLOOKUP(A853,'Fleet register'!$A$7:$S$106,9,FALSE)*Paths!$R$83),"n.a."))</f>
        <v>0</v>
      </c>
    </row>
    <row r="854" spans="1:20" ht="24" customHeight="1">
      <c r="A854" s="1" t="str">
        <f>Paths!$A$84</f>
        <v>T020</v>
      </c>
      <c r="B854" s="1">
        <f>Paths!$B$84</f>
        <v>1</v>
      </c>
      <c r="C854" s="1">
        <v>0</v>
      </c>
      <c r="D854" s="1">
        <v>84</v>
      </c>
      <c r="E854" s="1">
        <f>IF(OR(Paths!$C$84=0,C854=0),0,MAX(0,MIN(C854*12,Paths!$E$84)-(C854-1)*12))</f>
        <v>0</v>
      </c>
      <c r="F854" s="1">
        <f>IF(OR(Paths!$C$84=0,C854=0),0,12-E854)</f>
        <v>0</v>
      </c>
      <c r="G854" s="16">
        <f>IF(NOT(Paths!$C$84=1),0,IF(Paths!$P$84="Complete",E854/12*(Paths!$J$84*(1+'Operating costs'!$B$51)^MAX(0,C854-1)+Paths!$K$84*(1+'Operating costs'!$B$53)^MAX(0,C854-1)),"n.a."))</f>
        <v>0</v>
      </c>
      <c r="H854" s="16">
        <f>IF(NOT(Paths!$C$84=1),0,IF(Paths!$P$84="Complete",F854/12*(Paths!$L$84*(1+IF(Paths!$D$84="EV",'Operating costs'!$B$52,'Operating costs'!$B$51))^MAX(0,C854-1)+Paths!$M$84*(1+'Operating costs'!$B$53)^MAX(0,C854-1)),"n.a."))</f>
        <v>0</v>
      </c>
      <c r="I854" s="16">
        <f>IF(NOT(Paths!$C$84=1),0,IF(Paths!$P$84="Complete",IF(IF(Paths!$E$84=0,C854=0,AND(C854&gt;0,Paths!$E$84&gt;(C854-1)*12,Paths!$E$84&lt;=C854*12)),Paths!$G$84,0),"n.a."))</f>
        <v>0</v>
      </c>
      <c r="J854" s="16">
        <f>IF(NOT(Paths!$C$84=1),0,IF(Paths!$P$84="Complete",IF(IF(Paths!$E$84=0,C854=0,AND(C854&gt;0,Paths!$E$84&gt;(C854-1)*12,Paths!$E$84&lt;=C854*12)),Paths!$H$84,0),"n.a."))</f>
        <v>0</v>
      </c>
      <c r="K854" s="16">
        <f>IF(NOT(Paths!$C$84=1),0,IF(Paths!$P$84="Complete",IF(IF(Paths!$O$84=0,C854=0,AND(C854&gt;0,Paths!$O$84&gt;(C854-1)*12,Paths!$O$84&lt;=C854*12)),Paths!$N$84,0),"n.a."))</f>
        <v>0</v>
      </c>
      <c r="L854" s="16">
        <f>IF(NOT(Paths!$C$84=1),0,IF(Paths!$P$84="Complete",IF(C854=10,Paths!$I$84,0),"n.a."))</f>
        <v>0</v>
      </c>
      <c r="M854" s="16">
        <f>IF(NOT(Paths!$C$84=1),0,IF(Paths!$P$84="Complete",IF(AND(Paths!$D$84="EV",Paths!$E$84&lt;120,Paths!$E$84+'Operating costs'!$B$65&gt;Paths!$E$84,Paths!$E$84+'Operating costs'!$B$65&lt;=120,IF(Paths!$E$84+'Operating costs'!$B$65=0,C854=0,AND(C854&gt;0,Paths!$E$84+'Operating costs'!$B$65&gt;(C854-1)*12,Paths!$E$84+'Operating costs'!$B$65&lt;=C854*12))),'Operating costs'!$B$64,0)+IF(AND('Operating costs'!$B$67&gt;0,'Operating costs'!$B$67&lt;=120,OR(Paths!$D$84="ICE",'Operating costs'!$B$67&lt;=Paths!$E$84),IF('Operating costs'!$B$67=0,C854=0,AND(C854&gt;0,'Operating costs'!$B$67&gt;(C854-1)*12,'Operating costs'!$B$67&lt;=C854*12))),'Operating costs'!$B$66,0),"n.a."))</f>
        <v>0</v>
      </c>
      <c r="N854" s="16">
        <f>IF(NOT(Paths!$C$84=1),0,IF(Paths!$P$84="Complete",SUM(G854:I854)-J854-K854-L854+M854+IF(C854=0,Paths!$F$84,0)+IF(IF(Paths!$E$84=0,C854=0,AND(C854&gt;0,Paths!$E$84&gt;(C854-1)*12,Paths!$E$84&lt;=C854*12)),VLOOKUP(A854,'Fleet register'!$A$7:$S$106,16,FALSE),0),"n.a."))</f>
        <v>0</v>
      </c>
      <c r="O854" s="16">
        <f>IF(NOT(Paths!$C$84=1),0,IF(Paths!$P$84="Complete",N854-IF(C854=0,Paths!$F$84,0),"n.a."))</f>
        <v>0</v>
      </c>
      <c r="P854" s="16">
        <f>IF(NOT(Paths!$C$84=1),0,IF(Paths!$P$84="Complete",O854+L854,"n.a."))</f>
        <v>0</v>
      </c>
      <c r="Q854" s="16">
        <f>IF(NOT(Paths!$C$84=1),0,IF(Paths!$P$84="Complete",N854*(1+'Operating costs'!$B$54)^-C854,"n.a."))</f>
        <v>0</v>
      </c>
      <c r="R854" s="16">
        <f>IF(NOT(Paths!$C$84=1),0,IF(Paths!$P$84="Complete",IF(AND(C854=0,Paths!$E$84=0),I854-J854-K854+VLOOKUP(A854,'Fleet register'!$A$7:$S$106,15,FALSE)+VLOOKUP(A854,'Fleet register'!$A$7:$S$106,16,FALSE),0),"n.a."))</f>
        <v>0</v>
      </c>
      <c r="S854" s="1">
        <f>IF(NOT(Paths!$C$84=1),0,IF(Paths!$P$84="Complete",IF(C854=0,0,Paths!$S$84*Paths!$R$84),"n.a."))</f>
        <v>0</v>
      </c>
      <c r="T854" s="1">
        <f>IF(NOT(Paths!$C$84=1),0,IF(Paths!$P$84="Complete",IF(C854=0,0,VLOOKUP(A854,'Fleet register'!$A$7:$S$106,9,FALSE)*Paths!$R$84),"n.a."))</f>
        <v>0</v>
      </c>
    </row>
    <row r="855" spans="1:20" ht="24" customHeight="1">
      <c r="A855" s="1" t="str">
        <f>Paths!$A$84</f>
        <v>T020</v>
      </c>
      <c r="B855" s="1">
        <f>Paths!$B$84</f>
        <v>1</v>
      </c>
      <c r="C855" s="1">
        <v>1</v>
      </c>
      <c r="D855" s="1">
        <v>84</v>
      </c>
      <c r="E855" s="1">
        <f>IF(OR(Paths!$C$84=0,C855=0),0,MAX(0,MIN(C855*12,Paths!$E$84)-(C855-1)*12))</f>
        <v>0</v>
      </c>
      <c r="F855" s="1">
        <f>IF(OR(Paths!$C$84=0,C855=0),0,12-E855)</f>
        <v>0</v>
      </c>
      <c r="G855" s="16">
        <f>IF(NOT(Paths!$C$84=1),0,IF(Paths!$P$84="Complete",E855/12*(Paths!$J$84*(1+'Operating costs'!$B$51)^MAX(0,C855-1)+Paths!$K$84*(1+'Operating costs'!$B$53)^MAX(0,C855-1)),"n.a."))</f>
        <v>0</v>
      </c>
      <c r="H855" s="16">
        <f>IF(NOT(Paths!$C$84=1),0,IF(Paths!$P$84="Complete",F855/12*(Paths!$L$84*(1+IF(Paths!$D$84="EV",'Operating costs'!$B$52,'Operating costs'!$B$51))^MAX(0,C855-1)+Paths!$M$84*(1+'Operating costs'!$B$53)^MAX(0,C855-1)),"n.a."))</f>
        <v>0</v>
      </c>
      <c r="I855" s="16">
        <f>IF(NOT(Paths!$C$84=1),0,IF(Paths!$P$84="Complete",IF(IF(Paths!$E$84=0,C855=0,AND(C855&gt;0,Paths!$E$84&gt;(C855-1)*12,Paths!$E$84&lt;=C855*12)),Paths!$G$84,0),"n.a."))</f>
        <v>0</v>
      </c>
      <c r="J855" s="16">
        <f>IF(NOT(Paths!$C$84=1),0,IF(Paths!$P$84="Complete",IF(IF(Paths!$E$84=0,C855=0,AND(C855&gt;0,Paths!$E$84&gt;(C855-1)*12,Paths!$E$84&lt;=C855*12)),Paths!$H$84,0),"n.a."))</f>
        <v>0</v>
      </c>
      <c r="K855" s="16">
        <f>IF(NOT(Paths!$C$84=1),0,IF(Paths!$P$84="Complete",IF(IF(Paths!$O$84=0,C855=0,AND(C855&gt;0,Paths!$O$84&gt;(C855-1)*12,Paths!$O$84&lt;=C855*12)),Paths!$N$84,0),"n.a."))</f>
        <v>0</v>
      </c>
      <c r="L855" s="16">
        <f>IF(NOT(Paths!$C$84=1),0,IF(Paths!$P$84="Complete",IF(C855=10,Paths!$I$84,0),"n.a."))</f>
        <v>0</v>
      </c>
      <c r="M855" s="16">
        <f>IF(NOT(Paths!$C$84=1),0,IF(Paths!$P$84="Complete",IF(AND(Paths!$D$84="EV",Paths!$E$84&lt;120,Paths!$E$84+'Operating costs'!$B$65&gt;Paths!$E$84,Paths!$E$84+'Operating costs'!$B$65&lt;=120,IF(Paths!$E$84+'Operating costs'!$B$65=0,C855=0,AND(C855&gt;0,Paths!$E$84+'Operating costs'!$B$65&gt;(C855-1)*12,Paths!$E$84+'Operating costs'!$B$65&lt;=C855*12))),'Operating costs'!$B$64,0)+IF(AND('Operating costs'!$B$67&gt;0,'Operating costs'!$B$67&lt;=120,OR(Paths!$D$84="ICE",'Operating costs'!$B$67&lt;=Paths!$E$84),IF('Operating costs'!$B$67=0,C855=0,AND(C855&gt;0,'Operating costs'!$B$67&gt;(C855-1)*12,'Operating costs'!$B$67&lt;=C855*12))),'Operating costs'!$B$66,0),"n.a."))</f>
        <v>0</v>
      </c>
      <c r="N855" s="16">
        <f>IF(NOT(Paths!$C$84=1),0,IF(Paths!$P$84="Complete",SUM(G855:I855)-J855-K855-L855+M855+IF(C855=0,Paths!$F$84,0)+IF(IF(Paths!$E$84=0,C855=0,AND(C855&gt;0,Paths!$E$84&gt;(C855-1)*12,Paths!$E$84&lt;=C855*12)),VLOOKUP(A855,'Fleet register'!$A$7:$S$106,16,FALSE),0),"n.a."))</f>
        <v>0</v>
      </c>
      <c r="O855" s="16">
        <f>IF(NOT(Paths!$C$84=1),0,IF(Paths!$P$84="Complete",N855-IF(C855=0,Paths!$F$84,0),"n.a."))</f>
        <v>0</v>
      </c>
      <c r="P855" s="16">
        <f>IF(NOT(Paths!$C$84=1),0,IF(Paths!$P$84="Complete",O855+L855,"n.a."))</f>
        <v>0</v>
      </c>
      <c r="Q855" s="16">
        <f>IF(NOT(Paths!$C$84=1),0,IF(Paths!$P$84="Complete",N855*(1+'Operating costs'!$B$54)^-C855,"n.a."))</f>
        <v>0</v>
      </c>
      <c r="R855" s="16">
        <f>IF(NOT(Paths!$C$84=1),0,IF(Paths!$P$84="Complete",IF(AND(C855=0,Paths!$E$84=0),I855-J855-K855+VLOOKUP(A855,'Fleet register'!$A$7:$S$106,15,FALSE)+VLOOKUP(A855,'Fleet register'!$A$7:$S$106,16,FALSE),0),"n.a."))</f>
        <v>0</v>
      </c>
      <c r="S855" s="1">
        <f>IF(NOT(Paths!$C$84=1),0,IF(Paths!$P$84="Complete",IF(C855=0,0,Paths!$S$84*Paths!$R$84),"n.a."))</f>
        <v>0</v>
      </c>
      <c r="T855" s="1">
        <f>IF(NOT(Paths!$C$84=1),0,IF(Paths!$P$84="Complete",IF(C855=0,0,VLOOKUP(A855,'Fleet register'!$A$7:$S$106,9,FALSE)*Paths!$R$84),"n.a."))</f>
        <v>0</v>
      </c>
    </row>
    <row r="856" spans="1:20" ht="24" customHeight="1">
      <c r="A856" s="1" t="str">
        <f>Paths!$A$84</f>
        <v>T020</v>
      </c>
      <c r="B856" s="1">
        <f>Paths!$B$84</f>
        <v>1</v>
      </c>
      <c r="C856" s="1">
        <v>2</v>
      </c>
      <c r="D856" s="1">
        <v>84</v>
      </c>
      <c r="E856" s="1">
        <f>IF(OR(Paths!$C$84=0,C856=0),0,MAX(0,MIN(C856*12,Paths!$E$84)-(C856-1)*12))</f>
        <v>0</v>
      </c>
      <c r="F856" s="1">
        <f>IF(OR(Paths!$C$84=0,C856=0),0,12-E856)</f>
        <v>0</v>
      </c>
      <c r="G856" s="16">
        <f>IF(NOT(Paths!$C$84=1),0,IF(Paths!$P$84="Complete",E856/12*(Paths!$J$84*(1+'Operating costs'!$B$51)^MAX(0,C856-1)+Paths!$K$84*(1+'Operating costs'!$B$53)^MAX(0,C856-1)),"n.a."))</f>
        <v>0</v>
      </c>
      <c r="H856" s="16">
        <f>IF(NOT(Paths!$C$84=1),0,IF(Paths!$P$84="Complete",F856/12*(Paths!$L$84*(1+IF(Paths!$D$84="EV",'Operating costs'!$B$52,'Operating costs'!$B$51))^MAX(0,C856-1)+Paths!$M$84*(1+'Operating costs'!$B$53)^MAX(0,C856-1)),"n.a."))</f>
        <v>0</v>
      </c>
      <c r="I856" s="16">
        <f>IF(NOT(Paths!$C$84=1),0,IF(Paths!$P$84="Complete",IF(IF(Paths!$E$84=0,C856=0,AND(C856&gt;0,Paths!$E$84&gt;(C856-1)*12,Paths!$E$84&lt;=C856*12)),Paths!$G$84,0),"n.a."))</f>
        <v>0</v>
      </c>
      <c r="J856" s="16">
        <f>IF(NOT(Paths!$C$84=1),0,IF(Paths!$P$84="Complete",IF(IF(Paths!$E$84=0,C856=0,AND(C856&gt;0,Paths!$E$84&gt;(C856-1)*12,Paths!$E$84&lt;=C856*12)),Paths!$H$84,0),"n.a."))</f>
        <v>0</v>
      </c>
      <c r="K856" s="16">
        <f>IF(NOT(Paths!$C$84=1),0,IF(Paths!$P$84="Complete",IF(IF(Paths!$O$84=0,C856=0,AND(C856&gt;0,Paths!$O$84&gt;(C856-1)*12,Paths!$O$84&lt;=C856*12)),Paths!$N$84,0),"n.a."))</f>
        <v>0</v>
      </c>
      <c r="L856" s="16">
        <f>IF(NOT(Paths!$C$84=1),0,IF(Paths!$P$84="Complete",IF(C856=10,Paths!$I$84,0),"n.a."))</f>
        <v>0</v>
      </c>
      <c r="M856" s="16">
        <f>IF(NOT(Paths!$C$84=1),0,IF(Paths!$P$84="Complete",IF(AND(Paths!$D$84="EV",Paths!$E$84&lt;120,Paths!$E$84+'Operating costs'!$B$65&gt;Paths!$E$84,Paths!$E$84+'Operating costs'!$B$65&lt;=120,IF(Paths!$E$84+'Operating costs'!$B$65=0,C856=0,AND(C856&gt;0,Paths!$E$84+'Operating costs'!$B$65&gt;(C856-1)*12,Paths!$E$84+'Operating costs'!$B$65&lt;=C856*12))),'Operating costs'!$B$64,0)+IF(AND('Operating costs'!$B$67&gt;0,'Operating costs'!$B$67&lt;=120,OR(Paths!$D$84="ICE",'Operating costs'!$B$67&lt;=Paths!$E$84),IF('Operating costs'!$B$67=0,C856=0,AND(C856&gt;0,'Operating costs'!$B$67&gt;(C856-1)*12,'Operating costs'!$B$67&lt;=C856*12))),'Operating costs'!$B$66,0),"n.a."))</f>
        <v>0</v>
      </c>
      <c r="N856" s="16">
        <f>IF(NOT(Paths!$C$84=1),0,IF(Paths!$P$84="Complete",SUM(G856:I856)-J856-K856-L856+M856+IF(C856=0,Paths!$F$84,0)+IF(IF(Paths!$E$84=0,C856=0,AND(C856&gt;0,Paths!$E$84&gt;(C856-1)*12,Paths!$E$84&lt;=C856*12)),VLOOKUP(A856,'Fleet register'!$A$7:$S$106,16,FALSE),0),"n.a."))</f>
        <v>0</v>
      </c>
      <c r="O856" s="16">
        <f>IF(NOT(Paths!$C$84=1),0,IF(Paths!$P$84="Complete",N856-IF(C856=0,Paths!$F$84,0),"n.a."))</f>
        <v>0</v>
      </c>
      <c r="P856" s="16">
        <f>IF(NOT(Paths!$C$84=1),0,IF(Paths!$P$84="Complete",O856+L856,"n.a."))</f>
        <v>0</v>
      </c>
      <c r="Q856" s="16">
        <f>IF(NOT(Paths!$C$84=1),0,IF(Paths!$P$84="Complete",N856*(1+'Operating costs'!$B$54)^-C856,"n.a."))</f>
        <v>0</v>
      </c>
      <c r="R856" s="16">
        <f>IF(NOT(Paths!$C$84=1),0,IF(Paths!$P$84="Complete",IF(AND(C856=0,Paths!$E$84=0),I856-J856-K856+VLOOKUP(A856,'Fleet register'!$A$7:$S$106,15,FALSE)+VLOOKUP(A856,'Fleet register'!$A$7:$S$106,16,FALSE),0),"n.a."))</f>
        <v>0</v>
      </c>
      <c r="S856" s="1">
        <f>IF(NOT(Paths!$C$84=1),0,IF(Paths!$P$84="Complete",IF(C856=0,0,Paths!$S$84*Paths!$R$84),"n.a."))</f>
        <v>0</v>
      </c>
      <c r="T856" s="1">
        <f>IF(NOT(Paths!$C$84=1),0,IF(Paths!$P$84="Complete",IF(C856=0,0,VLOOKUP(A856,'Fleet register'!$A$7:$S$106,9,FALSE)*Paths!$R$84),"n.a."))</f>
        <v>0</v>
      </c>
    </row>
    <row r="857" spans="1:20" ht="24" customHeight="1">
      <c r="A857" s="1" t="str">
        <f>Paths!$A$84</f>
        <v>T020</v>
      </c>
      <c r="B857" s="1">
        <f>Paths!$B$84</f>
        <v>1</v>
      </c>
      <c r="C857" s="1">
        <v>3</v>
      </c>
      <c r="D857" s="1">
        <v>84</v>
      </c>
      <c r="E857" s="1">
        <f>IF(OR(Paths!$C$84=0,C857=0),0,MAX(0,MIN(C857*12,Paths!$E$84)-(C857-1)*12))</f>
        <v>0</v>
      </c>
      <c r="F857" s="1">
        <f>IF(OR(Paths!$C$84=0,C857=0),0,12-E857)</f>
        <v>0</v>
      </c>
      <c r="G857" s="16">
        <f>IF(NOT(Paths!$C$84=1),0,IF(Paths!$P$84="Complete",E857/12*(Paths!$J$84*(1+'Operating costs'!$B$51)^MAX(0,C857-1)+Paths!$K$84*(1+'Operating costs'!$B$53)^MAX(0,C857-1)),"n.a."))</f>
        <v>0</v>
      </c>
      <c r="H857" s="16">
        <f>IF(NOT(Paths!$C$84=1),0,IF(Paths!$P$84="Complete",F857/12*(Paths!$L$84*(1+IF(Paths!$D$84="EV",'Operating costs'!$B$52,'Operating costs'!$B$51))^MAX(0,C857-1)+Paths!$M$84*(1+'Operating costs'!$B$53)^MAX(0,C857-1)),"n.a."))</f>
        <v>0</v>
      </c>
      <c r="I857" s="16">
        <f>IF(NOT(Paths!$C$84=1),0,IF(Paths!$P$84="Complete",IF(IF(Paths!$E$84=0,C857=0,AND(C857&gt;0,Paths!$E$84&gt;(C857-1)*12,Paths!$E$84&lt;=C857*12)),Paths!$G$84,0),"n.a."))</f>
        <v>0</v>
      </c>
      <c r="J857" s="16">
        <f>IF(NOT(Paths!$C$84=1),0,IF(Paths!$P$84="Complete",IF(IF(Paths!$E$84=0,C857=0,AND(C857&gt;0,Paths!$E$84&gt;(C857-1)*12,Paths!$E$84&lt;=C857*12)),Paths!$H$84,0),"n.a."))</f>
        <v>0</v>
      </c>
      <c r="K857" s="16">
        <f>IF(NOT(Paths!$C$84=1),0,IF(Paths!$P$84="Complete",IF(IF(Paths!$O$84=0,C857=0,AND(C857&gt;0,Paths!$O$84&gt;(C857-1)*12,Paths!$O$84&lt;=C857*12)),Paths!$N$84,0),"n.a."))</f>
        <v>0</v>
      </c>
      <c r="L857" s="16">
        <f>IF(NOT(Paths!$C$84=1),0,IF(Paths!$P$84="Complete",IF(C857=10,Paths!$I$84,0),"n.a."))</f>
        <v>0</v>
      </c>
      <c r="M857" s="16">
        <f>IF(NOT(Paths!$C$84=1),0,IF(Paths!$P$84="Complete",IF(AND(Paths!$D$84="EV",Paths!$E$84&lt;120,Paths!$E$84+'Operating costs'!$B$65&gt;Paths!$E$84,Paths!$E$84+'Operating costs'!$B$65&lt;=120,IF(Paths!$E$84+'Operating costs'!$B$65=0,C857=0,AND(C857&gt;0,Paths!$E$84+'Operating costs'!$B$65&gt;(C857-1)*12,Paths!$E$84+'Operating costs'!$B$65&lt;=C857*12))),'Operating costs'!$B$64,0)+IF(AND('Operating costs'!$B$67&gt;0,'Operating costs'!$B$67&lt;=120,OR(Paths!$D$84="ICE",'Operating costs'!$B$67&lt;=Paths!$E$84),IF('Operating costs'!$B$67=0,C857=0,AND(C857&gt;0,'Operating costs'!$B$67&gt;(C857-1)*12,'Operating costs'!$B$67&lt;=C857*12))),'Operating costs'!$B$66,0),"n.a."))</f>
        <v>0</v>
      </c>
      <c r="N857" s="16">
        <f>IF(NOT(Paths!$C$84=1),0,IF(Paths!$P$84="Complete",SUM(G857:I857)-J857-K857-L857+M857+IF(C857=0,Paths!$F$84,0)+IF(IF(Paths!$E$84=0,C857=0,AND(C857&gt;0,Paths!$E$84&gt;(C857-1)*12,Paths!$E$84&lt;=C857*12)),VLOOKUP(A857,'Fleet register'!$A$7:$S$106,16,FALSE),0),"n.a."))</f>
        <v>0</v>
      </c>
      <c r="O857" s="16">
        <f>IF(NOT(Paths!$C$84=1),0,IF(Paths!$P$84="Complete",N857-IF(C857=0,Paths!$F$84,0),"n.a."))</f>
        <v>0</v>
      </c>
      <c r="P857" s="16">
        <f>IF(NOT(Paths!$C$84=1),0,IF(Paths!$P$84="Complete",O857+L857,"n.a."))</f>
        <v>0</v>
      </c>
      <c r="Q857" s="16">
        <f>IF(NOT(Paths!$C$84=1),0,IF(Paths!$P$84="Complete",N857*(1+'Operating costs'!$B$54)^-C857,"n.a."))</f>
        <v>0</v>
      </c>
      <c r="R857" s="16">
        <f>IF(NOT(Paths!$C$84=1),0,IF(Paths!$P$84="Complete",IF(AND(C857=0,Paths!$E$84=0),I857-J857-K857+VLOOKUP(A857,'Fleet register'!$A$7:$S$106,15,FALSE)+VLOOKUP(A857,'Fleet register'!$A$7:$S$106,16,FALSE),0),"n.a."))</f>
        <v>0</v>
      </c>
      <c r="S857" s="1">
        <f>IF(NOT(Paths!$C$84=1),0,IF(Paths!$P$84="Complete",IF(C857=0,0,Paths!$S$84*Paths!$R$84),"n.a."))</f>
        <v>0</v>
      </c>
      <c r="T857" s="1">
        <f>IF(NOT(Paths!$C$84=1),0,IF(Paths!$P$84="Complete",IF(C857=0,0,VLOOKUP(A857,'Fleet register'!$A$7:$S$106,9,FALSE)*Paths!$R$84),"n.a."))</f>
        <v>0</v>
      </c>
    </row>
    <row r="858" spans="1:20" ht="24" customHeight="1">
      <c r="A858" s="1" t="str">
        <f>Paths!$A$84</f>
        <v>T020</v>
      </c>
      <c r="B858" s="1">
        <f>Paths!$B$84</f>
        <v>1</v>
      </c>
      <c r="C858" s="1">
        <v>4</v>
      </c>
      <c r="D858" s="1">
        <v>84</v>
      </c>
      <c r="E858" s="1">
        <f>IF(OR(Paths!$C$84=0,C858=0),0,MAX(0,MIN(C858*12,Paths!$E$84)-(C858-1)*12))</f>
        <v>0</v>
      </c>
      <c r="F858" s="1">
        <f>IF(OR(Paths!$C$84=0,C858=0),0,12-E858)</f>
        <v>0</v>
      </c>
      <c r="G858" s="16">
        <f>IF(NOT(Paths!$C$84=1),0,IF(Paths!$P$84="Complete",E858/12*(Paths!$J$84*(1+'Operating costs'!$B$51)^MAX(0,C858-1)+Paths!$K$84*(1+'Operating costs'!$B$53)^MAX(0,C858-1)),"n.a."))</f>
        <v>0</v>
      </c>
      <c r="H858" s="16">
        <f>IF(NOT(Paths!$C$84=1),0,IF(Paths!$P$84="Complete",F858/12*(Paths!$L$84*(1+IF(Paths!$D$84="EV",'Operating costs'!$B$52,'Operating costs'!$B$51))^MAX(0,C858-1)+Paths!$M$84*(1+'Operating costs'!$B$53)^MAX(0,C858-1)),"n.a."))</f>
        <v>0</v>
      </c>
      <c r="I858" s="16">
        <f>IF(NOT(Paths!$C$84=1),0,IF(Paths!$P$84="Complete",IF(IF(Paths!$E$84=0,C858=0,AND(C858&gt;0,Paths!$E$84&gt;(C858-1)*12,Paths!$E$84&lt;=C858*12)),Paths!$G$84,0),"n.a."))</f>
        <v>0</v>
      </c>
      <c r="J858" s="16">
        <f>IF(NOT(Paths!$C$84=1),0,IF(Paths!$P$84="Complete",IF(IF(Paths!$E$84=0,C858=0,AND(C858&gt;0,Paths!$E$84&gt;(C858-1)*12,Paths!$E$84&lt;=C858*12)),Paths!$H$84,0),"n.a."))</f>
        <v>0</v>
      </c>
      <c r="K858" s="16">
        <f>IF(NOT(Paths!$C$84=1),0,IF(Paths!$P$84="Complete",IF(IF(Paths!$O$84=0,C858=0,AND(C858&gt;0,Paths!$O$84&gt;(C858-1)*12,Paths!$O$84&lt;=C858*12)),Paths!$N$84,0),"n.a."))</f>
        <v>0</v>
      </c>
      <c r="L858" s="16">
        <f>IF(NOT(Paths!$C$84=1),0,IF(Paths!$P$84="Complete",IF(C858=10,Paths!$I$84,0),"n.a."))</f>
        <v>0</v>
      </c>
      <c r="M858" s="16">
        <f>IF(NOT(Paths!$C$84=1),0,IF(Paths!$P$84="Complete",IF(AND(Paths!$D$84="EV",Paths!$E$84&lt;120,Paths!$E$84+'Operating costs'!$B$65&gt;Paths!$E$84,Paths!$E$84+'Operating costs'!$B$65&lt;=120,IF(Paths!$E$84+'Operating costs'!$B$65=0,C858=0,AND(C858&gt;0,Paths!$E$84+'Operating costs'!$B$65&gt;(C858-1)*12,Paths!$E$84+'Operating costs'!$B$65&lt;=C858*12))),'Operating costs'!$B$64,0)+IF(AND('Operating costs'!$B$67&gt;0,'Operating costs'!$B$67&lt;=120,OR(Paths!$D$84="ICE",'Operating costs'!$B$67&lt;=Paths!$E$84),IF('Operating costs'!$B$67=0,C858=0,AND(C858&gt;0,'Operating costs'!$B$67&gt;(C858-1)*12,'Operating costs'!$B$67&lt;=C858*12))),'Operating costs'!$B$66,0),"n.a."))</f>
        <v>0</v>
      </c>
      <c r="N858" s="16">
        <f>IF(NOT(Paths!$C$84=1),0,IF(Paths!$P$84="Complete",SUM(G858:I858)-J858-K858-L858+M858+IF(C858=0,Paths!$F$84,0)+IF(IF(Paths!$E$84=0,C858=0,AND(C858&gt;0,Paths!$E$84&gt;(C858-1)*12,Paths!$E$84&lt;=C858*12)),VLOOKUP(A858,'Fleet register'!$A$7:$S$106,16,FALSE),0),"n.a."))</f>
        <v>0</v>
      </c>
      <c r="O858" s="16">
        <f>IF(NOT(Paths!$C$84=1),0,IF(Paths!$P$84="Complete",N858-IF(C858=0,Paths!$F$84,0),"n.a."))</f>
        <v>0</v>
      </c>
      <c r="P858" s="16">
        <f>IF(NOT(Paths!$C$84=1),0,IF(Paths!$P$84="Complete",O858+L858,"n.a."))</f>
        <v>0</v>
      </c>
      <c r="Q858" s="16">
        <f>IF(NOT(Paths!$C$84=1),0,IF(Paths!$P$84="Complete",N858*(1+'Operating costs'!$B$54)^-C858,"n.a."))</f>
        <v>0</v>
      </c>
      <c r="R858" s="16">
        <f>IF(NOT(Paths!$C$84=1),0,IF(Paths!$P$84="Complete",IF(AND(C858=0,Paths!$E$84=0),I858-J858-K858+VLOOKUP(A858,'Fleet register'!$A$7:$S$106,15,FALSE)+VLOOKUP(A858,'Fleet register'!$A$7:$S$106,16,FALSE),0),"n.a."))</f>
        <v>0</v>
      </c>
      <c r="S858" s="1">
        <f>IF(NOT(Paths!$C$84=1),0,IF(Paths!$P$84="Complete",IF(C858=0,0,Paths!$S$84*Paths!$R$84),"n.a."))</f>
        <v>0</v>
      </c>
      <c r="T858" s="1">
        <f>IF(NOT(Paths!$C$84=1),0,IF(Paths!$P$84="Complete",IF(C858=0,0,VLOOKUP(A858,'Fleet register'!$A$7:$S$106,9,FALSE)*Paths!$R$84),"n.a."))</f>
        <v>0</v>
      </c>
    </row>
    <row r="859" spans="1:20" ht="24" customHeight="1">
      <c r="A859" s="1" t="str">
        <f>Paths!$A$84</f>
        <v>T020</v>
      </c>
      <c r="B859" s="1">
        <f>Paths!$B$84</f>
        <v>1</v>
      </c>
      <c r="C859" s="1">
        <v>5</v>
      </c>
      <c r="D859" s="1">
        <v>84</v>
      </c>
      <c r="E859" s="1">
        <f>IF(OR(Paths!$C$84=0,C859=0),0,MAX(0,MIN(C859*12,Paths!$E$84)-(C859-1)*12))</f>
        <v>0</v>
      </c>
      <c r="F859" s="1">
        <f>IF(OR(Paths!$C$84=0,C859=0),0,12-E859)</f>
        <v>0</v>
      </c>
      <c r="G859" s="16">
        <f>IF(NOT(Paths!$C$84=1),0,IF(Paths!$P$84="Complete",E859/12*(Paths!$J$84*(1+'Operating costs'!$B$51)^MAX(0,C859-1)+Paths!$K$84*(1+'Operating costs'!$B$53)^MAX(0,C859-1)),"n.a."))</f>
        <v>0</v>
      </c>
      <c r="H859" s="16">
        <f>IF(NOT(Paths!$C$84=1),0,IF(Paths!$P$84="Complete",F859/12*(Paths!$L$84*(1+IF(Paths!$D$84="EV",'Operating costs'!$B$52,'Operating costs'!$B$51))^MAX(0,C859-1)+Paths!$M$84*(1+'Operating costs'!$B$53)^MAX(0,C859-1)),"n.a."))</f>
        <v>0</v>
      </c>
      <c r="I859" s="16">
        <f>IF(NOT(Paths!$C$84=1),0,IF(Paths!$P$84="Complete",IF(IF(Paths!$E$84=0,C859=0,AND(C859&gt;0,Paths!$E$84&gt;(C859-1)*12,Paths!$E$84&lt;=C859*12)),Paths!$G$84,0),"n.a."))</f>
        <v>0</v>
      </c>
      <c r="J859" s="16">
        <f>IF(NOT(Paths!$C$84=1),0,IF(Paths!$P$84="Complete",IF(IF(Paths!$E$84=0,C859=0,AND(C859&gt;0,Paths!$E$84&gt;(C859-1)*12,Paths!$E$84&lt;=C859*12)),Paths!$H$84,0),"n.a."))</f>
        <v>0</v>
      </c>
      <c r="K859" s="16">
        <f>IF(NOT(Paths!$C$84=1),0,IF(Paths!$P$84="Complete",IF(IF(Paths!$O$84=0,C859=0,AND(C859&gt;0,Paths!$O$84&gt;(C859-1)*12,Paths!$O$84&lt;=C859*12)),Paths!$N$84,0),"n.a."))</f>
        <v>0</v>
      </c>
      <c r="L859" s="16">
        <f>IF(NOT(Paths!$C$84=1),0,IF(Paths!$P$84="Complete",IF(C859=10,Paths!$I$84,0),"n.a."))</f>
        <v>0</v>
      </c>
      <c r="M859" s="16">
        <f>IF(NOT(Paths!$C$84=1),0,IF(Paths!$P$84="Complete",IF(AND(Paths!$D$84="EV",Paths!$E$84&lt;120,Paths!$E$84+'Operating costs'!$B$65&gt;Paths!$E$84,Paths!$E$84+'Operating costs'!$B$65&lt;=120,IF(Paths!$E$84+'Operating costs'!$B$65=0,C859=0,AND(C859&gt;0,Paths!$E$84+'Operating costs'!$B$65&gt;(C859-1)*12,Paths!$E$84+'Operating costs'!$B$65&lt;=C859*12))),'Operating costs'!$B$64,0)+IF(AND('Operating costs'!$B$67&gt;0,'Operating costs'!$B$67&lt;=120,OR(Paths!$D$84="ICE",'Operating costs'!$B$67&lt;=Paths!$E$84),IF('Operating costs'!$B$67=0,C859=0,AND(C859&gt;0,'Operating costs'!$B$67&gt;(C859-1)*12,'Operating costs'!$B$67&lt;=C859*12))),'Operating costs'!$B$66,0),"n.a."))</f>
        <v>0</v>
      </c>
      <c r="N859" s="16">
        <f>IF(NOT(Paths!$C$84=1),0,IF(Paths!$P$84="Complete",SUM(G859:I859)-J859-K859-L859+M859+IF(C859=0,Paths!$F$84,0)+IF(IF(Paths!$E$84=0,C859=0,AND(C859&gt;0,Paths!$E$84&gt;(C859-1)*12,Paths!$E$84&lt;=C859*12)),VLOOKUP(A859,'Fleet register'!$A$7:$S$106,16,FALSE),0),"n.a."))</f>
        <v>0</v>
      </c>
      <c r="O859" s="16">
        <f>IF(NOT(Paths!$C$84=1),0,IF(Paths!$P$84="Complete",N859-IF(C859=0,Paths!$F$84,0),"n.a."))</f>
        <v>0</v>
      </c>
      <c r="P859" s="16">
        <f>IF(NOT(Paths!$C$84=1),0,IF(Paths!$P$84="Complete",O859+L859,"n.a."))</f>
        <v>0</v>
      </c>
      <c r="Q859" s="16">
        <f>IF(NOT(Paths!$C$84=1),0,IF(Paths!$P$84="Complete",N859*(1+'Operating costs'!$B$54)^-C859,"n.a."))</f>
        <v>0</v>
      </c>
      <c r="R859" s="16">
        <f>IF(NOT(Paths!$C$84=1),0,IF(Paths!$P$84="Complete",IF(AND(C859=0,Paths!$E$84=0),I859-J859-K859+VLOOKUP(A859,'Fleet register'!$A$7:$S$106,15,FALSE)+VLOOKUP(A859,'Fleet register'!$A$7:$S$106,16,FALSE),0),"n.a."))</f>
        <v>0</v>
      </c>
      <c r="S859" s="1">
        <f>IF(NOT(Paths!$C$84=1),0,IF(Paths!$P$84="Complete",IF(C859=0,0,Paths!$S$84*Paths!$R$84),"n.a."))</f>
        <v>0</v>
      </c>
      <c r="T859" s="1">
        <f>IF(NOT(Paths!$C$84=1),0,IF(Paths!$P$84="Complete",IF(C859=0,0,VLOOKUP(A859,'Fleet register'!$A$7:$S$106,9,FALSE)*Paths!$R$84),"n.a."))</f>
        <v>0</v>
      </c>
    </row>
    <row r="860" spans="1:20" ht="24" customHeight="1">
      <c r="A860" s="1" t="str">
        <f>Paths!$A$84</f>
        <v>T020</v>
      </c>
      <c r="B860" s="1">
        <f>Paths!$B$84</f>
        <v>1</v>
      </c>
      <c r="C860" s="1">
        <v>6</v>
      </c>
      <c r="D860" s="1">
        <v>84</v>
      </c>
      <c r="E860" s="1">
        <f>IF(OR(Paths!$C$84=0,C860=0),0,MAX(0,MIN(C860*12,Paths!$E$84)-(C860-1)*12))</f>
        <v>0</v>
      </c>
      <c r="F860" s="1">
        <f>IF(OR(Paths!$C$84=0,C860=0),0,12-E860)</f>
        <v>0</v>
      </c>
      <c r="G860" s="16">
        <f>IF(NOT(Paths!$C$84=1),0,IF(Paths!$P$84="Complete",E860/12*(Paths!$J$84*(1+'Operating costs'!$B$51)^MAX(0,C860-1)+Paths!$K$84*(1+'Operating costs'!$B$53)^MAX(0,C860-1)),"n.a."))</f>
        <v>0</v>
      </c>
      <c r="H860" s="16">
        <f>IF(NOT(Paths!$C$84=1),0,IF(Paths!$P$84="Complete",F860/12*(Paths!$L$84*(1+IF(Paths!$D$84="EV",'Operating costs'!$B$52,'Operating costs'!$B$51))^MAX(0,C860-1)+Paths!$M$84*(1+'Operating costs'!$B$53)^MAX(0,C860-1)),"n.a."))</f>
        <v>0</v>
      </c>
      <c r="I860" s="16">
        <f>IF(NOT(Paths!$C$84=1),0,IF(Paths!$P$84="Complete",IF(IF(Paths!$E$84=0,C860=0,AND(C860&gt;0,Paths!$E$84&gt;(C860-1)*12,Paths!$E$84&lt;=C860*12)),Paths!$G$84,0),"n.a."))</f>
        <v>0</v>
      </c>
      <c r="J860" s="16">
        <f>IF(NOT(Paths!$C$84=1),0,IF(Paths!$P$84="Complete",IF(IF(Paths!$E$84=0,C860=0,AND(C860&gt;0,Paths!$E$84&gt;(C860-1)*12,Paths!$E$84&lt;=C860*12)),Paths!$H$84,0),"n.a."))</f>
        <v>0</v>
      </c>
      <c r="K860" s="16">
        <f>IF(NOT(Paths!$C$84=1),0,IF(Paths!$P$84="Complete",IF(IF(Paths!$O$84=0,C860=0,AND(C860&gt;0,Paths!$O$84&gt;(C860-1)*12,Paths!$O$84&lt;=C860*12)),Paths!$N$84,0),"n.a."))</f>
        <v>0</v>
      </c>
      <c r="L860" s="16">
        <f>IF(NOT(Paths!$C$84=1),0,IF(Paths!$P$84="Complete",IF(C860=10,Paths!$I$84,0),"n.a."))</f>
        <v>0</v>
      </c>
      <c r="M860" s="16">
        <f>IF(NOT(Paths!$C$84=1),0,IF(Paths!$P$84="Complete",IF(AND(Paths!$D$84="EV",Paths!$E$84&lt;120,Paths!$E$84+'Operating costs'!$B$65&gt;Paths!$E$84,Paths!$E$84+'Operating costs'!$B$65&lt;=120,IF(Paths!$E$84+'Operating costs'!$B$65=0,C860=0,AND(C860&gt;0,Paths!$E$84+'Operating costs'!$B$65&gt;(C860-1)*12,Paths!$E$84+'Operating costs'!$B$65&lt;=C860*12))),'Operating costs'!$B$64,0)+IF(AND('Operating costs'!$B$67&gt;0,'Operating costs'!$B$67&lt;=120,OR(Paths!$D$84="ICE",'Operating costs'!$B$67&lt;=Paths!$E$84),IF('Operating costs'!$B$67=0,C860=0,AND(C860&gt;0,'Operating costs'!$B$67&gt;(C860-1)*12,'Operating costs'!$B$67&lt;=C860*12))),'Operating costs'!$B$66,0),"n.a."))</f>
        <v>0</v>
      </c>
      <c r="N860" s="16">
        <f>IF(NOT(Paths!$C$84=1),0,IF(Paths!$P$84="Complete",SUM(G860:I860)-J860-K860-L860+M860+IF(C860=0,Paths!$F$84,0)+IF(IF(Paths!$E$84=0,C860=0,AND(C860&gt;0,Paths!$E$84&gt;(C860-1)*12,Paths!$E$84&lt;=C860*12)),VLOOKUP(A860,'Fleet register'!$A$7:$S$106,16,FALSE),0),"n.a."))</f>
        <v>0</v>
      </c>
      <c r="O860" s="16">
        <f>IF(NOT(Paths!$C$84=1),0,IF(Paths!$P$84="Complete",N860-IF(C860=0,Paths!$F$84,0),"n.a."))</f>
        <v>0</v>
      </c>
      <c r="P860" s="16">
        <f>IF(NOT(Paths!$C$84=1),0,IF(Paths!$P$84="Complete",O860+L860,"n.a."))</f>
        <v>0</v>
      </c>
      <c r="Q860" s="16">
        <f>IF(NOT(Paths!$C$84=1),0,IF(Paths!$P$84="Complete",N860*(1+'Operating costs'!$B$54)^-C860,"n.a."))</f>
        <v>0</v>
      </c>
      <c r="R860" s="16">
        <f>IF(NOT(Paths!$C$84=1),0,IF(Paths!$P$84="Complete",IF(AND(C860=0,Paths!$E$84=0),I860-J860-K860+VLOOKUP(A860,'Fleet register'!$A$7:$S$106,15,FALSE)+VLOOKUP(A860,'Fleet register'!$A$7:$S$106,16,FALSE),0),"n.a."))</f>
        <v>0</v>
      </c>
      <c r="S860" s="1">
        <f>IF(NOT(Paths!$C$84=1),0,IF(Paths!$P$84="Complete",IF(C860=0,0,Paths!$S$84*Paths!$R$84),"n.a."))</f>
        <v>0</v>
      </c>
      <c r="T860" s="1">
        <f>IF(NOT(Paths!$C$84=1),0,IF(Paths!$P$84="Complete",IF(C860=0,0,VLOOKUP(A860,'Fleet register'!$A$7:$S$106,9,FALSE)*Paths!$R$84),"n.a."))</f>
        <v>0</v>
      </c>
    </row>
    <row r="861" spans="1:20" ht="24" customHeight="1">
      <c r="A861" s="1" t="str">
        <f>Paths!$A$84</f>
        <v>T020</v>
      </c>
      <c r="B861" s="1">
        <f>Paths!$B$84</f>
        <v>1</v>
      </c>
      <c r="C861" s="1">
        <v>7</v>
      </c>
      <c r="D861" s="1">
        <v>84</v>
      </c>
      <c r="E861" s="1">
        <f>IF(OR(Paths!$C$84=0,C861=0),0,MAX(0,MIN(C861*12,Paths!$E$84)-(C861-1)*12))</f>
        <v>0</v>
      </c>
      <c r="F861" s="1">
        <f>IF(OR(Paths!$C$84=0,C861=0),0,12-E861)</f>
        <v>0</v>
      </c>
      <c r="G861" s="16">
        <f>IF(NOT(Paths!$C$84=1),0,IF(Paths!$P$84="Complete",E861/12*(Paths!$J$84*(1+'Operating costs'!$B$51)^MAX(0,C861-1)+Paths!$K$84*(1+'Operating costs'!$B$53)^MAX(0,C861-1)),"n.a."))</f>
        <v>0</v>
      </c>
      <c r="H861" s="16">
        <f>IF(NOT(Paths!$C$84=1),0,IF(Paths!$P$84="Complete",F861/12*(Paths!$L$84*(1+IF(Paths!$D$84="EV",'Operating costs'!$B$52,'Operating costs'!$B$51))^MAX(0,C861-1)+Paths!$M$84*(1+'Operating costs'!$B$53)^MAX(0,C861-1)),"n.a."))</f>
        <v>0</v>
      </c>
      <c r="I861" s="16">
        <f>IF(NOT(Paths!$C$84=1),0,IF(Paths!$P$84="Complete",IF(IF(Paths!$E$84=0,C861=0,AND(C861&gt;0,Paths!$E$84&gt;(C861-1)*12,Paths!$E$84&lt;=C861*12)),Paths!$G$84,0),"n.a."))</f>
        <v>0</v>
      </c>
      <c r="J861" s="16">
        <f>IF(NOT(Paths!$C$84=1),0,IF(Paths!$P$84="Complete",IF(IF(Paths!$E$84=0,C861=0,AND(C861&gt;0,Paths!$E$84&gt;(C861-1)*12,Paths!$E$84&lt;=C861*12)),Paths!$H$84,0),"n.a."))</f>
        <v>0</v>
      </c>
      <c r="K861" s="16">
        <f>IF(NOT(Paths!$C$84=1),0,IF(Paths!$P$84="Complete",IF(IF(Paths!$O$84=0,C861=0,AND(C861&gt;0,Paths!$O$84&gt;(C861-1)*12,Paths!$O$84&lt;=C861*12)),Paths!$N$84,0),"n.a."))</f>
        <v>0</v>
      </c>
      <c r="L861" s="16">
        <f>IF(NOT(Paths!$C$84=1),0,IF(Paths!$P$84="Complete",IF(C861=10,Paths!$I$84,0),"n.a."))</f>
        <v>0</v>
      </c>
      <c r="M861" s="16">
        <f>IF(NOT(Paths!$C$84=1),0,IF(Paths!$P$84="Complete",IF(AND(Paths!$D$84="EV",Paths!$E$84&lt;120,Paths!$E$84+'Operating costs'!$B$65&gt;Paths!$E$84,Paths!$E$84+'Operating costs'!$B$65&lt;=120,IF(Paths!$E$84+'Operating costs'!$B$65=0,C861=0,AND(C861&gt;0,Paths!$E$84+'Operating costs'!$B$65&gt;(C861-1)*12,Paths!$E$84+'Operating costs'!$B$65&lt;=C861*12))),'Operating costs'!$B$64,0)+IF(AND('Operating costs'!$B$67&gt;0,'Operating costs'!$B$67&lt;=120,OR(Paths!$D$84="ICE",'Operating costs'!$B$67&lt;=Paths!$E$84),IF('Operating costs'!$B$67=0,C861=0,AND(C861&gt;0,'Operating costs'!$B$67&gt;(C861-1)*12,'Operating costs'!$B$67&lt;=C861*12))),'Operating costs'!$B$66,0),"n.a."))</f>
        <v>0</v>
      </c>
      <c r="N861" s="16">
        <f>IF(NOT(Paths!$C$84=1),0,IF(Paths!$P$84="Complete",SUM(G861:I861)-J861-K861-L861+M861+IF(C861=0,Paths!$F$84,0)+IF(IF(Paths!$E$84=0,C861=0,AND(C861&gt;0,Paths!$E$84&gt;(C861-1)*12,Paths!$E$84&lt;=C861*12)),VLOOKUP(A861,'Fleet register'!$A$7:$S$106,16,FALSE),0),"n.a."))</f>
        <v>0</v>
      </c>
      <c r="O861" s="16">
        <f>IF(NOT(Paths!$C$84=1),0,IF(Paths!$P$84="Complete",N861-IF(C861=0,Paths!$F$84,0),"n.a."))</f>
        <v>0</v>
      </c>
      <c r="P861" s="16">
        <f>IF(NOT(Paths!$C$84=1),0,IF(Paths!$P$84="Complete",O861+L861,"n.a."))</f>
        <v>0</v>
      </c>
      <c r="Q861" s="16">
        <f>IF(NOT(Paths!$C$84=1),0,IF(Paths!$P$84="Complete",N861*(1+'Operating costs'!$B$54)^-C861,"n.a."))</f>
        <v>0</v>
      </c>
      <c r="R861" s="16">
        <f>IF(NOT(Paths!$C$84=1),0,IF(Paths!$P$84="Complete",IF(AND(C861=0,Paths!$E$84=0),I861-J861-K861+VLOOKUP(A861,'Fleet register'!$A$7:$S$106,15,FALSE)+VLOOKUP(A861,'Fleet register'!$A$7:$S$106,16,FALSE),0),"n.a."))</f>
        <v>0</v>
      </c>
      <c r="S861" s="1">
        <f>IF(NOT(Paths!$C$84=1),0,IF(Paths!$P$84="Complete",IF(C861=0,0,Paths!$S$84*Paths!$R$84),"n.a."))</f>
        <v>0</v>
      </c>
      <c r="T861" s="1">
        <f>IF(NOT(Paths!$C$84=1),0,IF(Paths!$P$84="Complete",IF(C861=0,0,VLOOKUP(A861,'Fleet register'!$A$7:$S$106,9,FALSE)*Paths!$R$84),"n.a."))</f>
        <v>0</v>
      </c>
    </row>
    <row r="862" spans="1:20" ht="24" customHeight="1">
      <c r="A862" s="1" t="str">
        <f>Paths!$A$84</f>
        <v>T020</v>
      </c>
      <c r="B862" s="1">
        <f>Paths!$B$84</f>
        <v>1</v>
      </c>
      <c r="C862" s="1">
        <v>8</v>
      </c>
      <c r="D862" s="1">
        <v>84</v>
      </c>
      <c r="E862" s="1">
        <f>IF(OR(Paths!$C$84=0,C862=0),0,MAX(0,MIN(C862*12,Paths!$E$84)-(C862-1)*12))</f>
        <v>0</v>
      </c>
      <c r="F862" s="1">
        <f>IF(OR(Paths!$C$84=0,C862=0),0,12-E862)</f>
        <v>0</v>
      </c>
      <c r="G862" s="16">
        <f>IF(NOT(Paths!$C$84=1),0,IF(Paths!$P$84="Complete",E862/12*(Paths!$J$84*(1+'Operating costs'!$B$51)^MAX(0,C862-1)+Paths!$K$84*(1+'Operating costs'!$B$53)^MAX(0,C862-1)),"n.a."))</f>
        <v>0</v>
      </c>
      <c r="H862" s="16">
        <f>IF(NOT(Paths!$C$84=1),0,IF(Paths!$P$84="Complete",F862/12*(Paths!$L$84*(1+IF(Paths!$D$84="EV",'Operating costs'!$B$52,'Operating costs'!$B$51))^MAX(0,C862-1)+Paths!$M$84*(1+'Operating costs'!$B$53)^MAX(0,C862-1)),"n.a."))</f>
        <v>0</v>
      </c>
      <c r="I862" s="16">
        <f>IF(NOT(Paths!$C$84=1),0,IF(Paths!$P$84="Complete",IF(IF(Paths!$E$84=0,C862=0,AND(C862&gt;0,Paths!$E$84&gt;(C862-1)*12,Paths!$E$84&lt;=C862*12)),Paths!$G$84,0),"n.a."))</f>
        <v>0</v>
      </c>
      <c r="J862" s="16">
        <f>IF(NOT(Paths!$C$84=1),0,IF(Paths!$P$84="Complete",IF(IF(Paths!$E$84=0,C862=0,AND(C862&gt;0,Paths!$E$84&gt;(C862-1)*12,Paths!$E$84&lt;=C862*12)),Paths!$H$84,0),"n.a."))</f>
        <v>0</v>
      </c>
      <c r="K862" s="16">
        <f>IF(NOT(Paths!$C$84=1),0,IF(Paths!$P$84="Complete",IF(IF(Paths!$O$84=0,C862=0,AND(C862&gt;0,Paths!$O$84&gt;(C862-1)*12,Paths!$O$84&lt;=C862*12)),Paths!$N$84,0),"n.a."))</f>
        <v>0</v>
      </c>
      <c r="L862" s="16">
        <f>IF(NOT(Paths!$C$84=1),0,IF(Paths!$P$84="Complete",IF(C862=10,Paths!$I$84,0),"n.a."))</f>
        <v>0</v>
      </c>
      <c r="M862" s="16">
        <f>IF(NOT(Paths!$C$84=1),0,IF(Paths!$P$84="Complete",IF(AND(Paths!$D$84="EV",Paths!$E$84&lt;120,Paths!$E$84+'Operating costs'!$B$65&gt;Paths!$E$84,Paths!$E$84+'Operating costs'!$B$65&lt;=120,IF(Paths!$E$84+'Operating costs'!$B$65=0,C862=0,AND(C862&gt;0,Paths!$E$84+'Operating costs'!$B$65&gt;(C862-1)*12,Paths!$E$84+'Operating costs'!$B$65&lt;=C862*12))),'Operating costs'!$B$64,0)+IF(AND('Operating costs'!$B$67&gt;0,'Operating costs'!$B$67&lt;=120,OR(Paths!$D$84="ICE",'Operating costs'!$B$67&lt;=Paths!$E$84),IF('Operating costs'!$B$67=0,C862=0,AND(C862&gt;0,'Operating costs'!$B$67&gt;(C862-1)*12,'Operating costs'!$B$67&lt;=C862*12))),'Operating costs'!$B$66,0),"n.a."))</f>
        <v>0</v>
      </c>
      <c r="N862" s="16">
        <f>IF(NOT(Paths!$C$84=1),0,IF(Paths!$P$84="Complete",SUM(G862:I862)-J862-K862-L862+M862+IF(C862=0,Paths!$F$84,0)+IF(IF(Paths!$E$84=0,C862=0,AND(C862&gt;0,Paths!$E$84&gt;(C862-1)*12,Paths!$E$84&lt;=C862*12)),VLOOKUP(A862,'Fleet register'!$A$7:$S$106,16,FALSE),0),"n.a."))</f>
        <v>0</v>
      </c>
      <c r="O862" s="16">
        <f>IF(NOT(Paths!$C$84=1),0,IF(Paths!$P$84="Complete",N862-IF(C862=0,Paths!$F$84,0),"n.a."))</f>
        <v>0</v>
      </c>
      <c r="P862" s="16">
        <f>IF(NOT(Paths!$C$84=1),0,IF(Paths!$P$84="Complete",O862+L862,"n.a."))</f>
        <v>0</v>
      </c>
      <c r="Q862" s="16">
        <f>IF(NOT(Paths!$C$84=1),0,IF(Paths!$P$84="Complete",N862*(1+'Operating costs'!$B$54)^-C862,"n.a."))</f>
        <v>0</v>
      </c>
      <c r="R862" s="16">
        <f>IF(NOT(Paths!$C$84=1),0,IF(Paths!$P$84="Complete",IF(AND(C862=0,Paths!$E$84=0),I862-J862-K862+VLOOKUP(A862,'Fleet register'!$A$7:$S$106,15,FALSE)+VLOOKUP(A862,'Fleet register'!$A$7:$S$106,16,FALSE),0),"n.a."))</f>
        <v>0</v>
      </c>
      <c r="S862" s="1">
        <f>IF(NOT(Paths!$C$84=1),0,IF(Paths!$P$84="Complete",IF(C862=0,0,Paths!$S$84*Paths!$R$84),"n.a."))</f>
        <v>0</v>
      </c>
      <c r="T862" s="1">
        <f>IF(NOT(Paths!$C$84=1),0,IF(Paths!$P$84="Complete",IF(C862=0,0,VLOOKUP(A862,'Fleet register'!$A$7:$S$106,9,FALSE)*Paths!$R$84),"n.a."))</f>
        <v>0</v>
      </c>
    </row>
    <row r="863" spans="1:20" ht="24" customHeight="1">
      <c r="A863" s="1" t="str">
        <f>Paths!$A$84</f>
        <v>T020</v>
      </c>
      <c r="B863" s="1">
        <f>Paths!$B$84</f>
        <v>1</v>
      </c>
      <c r="C863" s="1">
        <v>9</v>
      </c>
      <c r="D863" s="1">
        <v>84</v>
      </c>
      <c r="E863" s="1">
        <f>IF(OR(Paths!$C$84=0,C863=0),0,MAX(0,MIN(C863*12,Paths!$E$84)-(C863-1)*12))</f>
        <v>0</v>
      </c>
      <c r="F863" s="1">
        <f>IF(OR(Paths!$C$84=0,C863=0),0,12-E863)</f>
        <v>0</v>
      </c>
      <c r="G863" s="16">
        <f>IF(NOT(Paths!$C$84=1),0,IF(Paths!$P$84="Complete",E863/12*(Paths!$J$84*(1+'Operating costs'!$B$51)^MAX(0,C863-1)+Paths!$K$84*(1+'Operating costs'!$B$53)^MAX(0,C863-1)),"n.a."))</f>
        <v>0</v>
      </c>
      <c r="H863" s="16">
        <f>IF(NOT(Paths!$C$84=1),0,IF(Paths!$P$84="Complete",F863/12*(Paths!$L$84*(1+IF(Paths!$D$84="EV",'Operating costs'!$B$52,'Operating costs'!$B$51))^MAX(0,C863-1)+Paths!$M$84*(1+'Operating costs'!$B$53)^MAX(0,C863-1)),"n.a."))</f>
        <v>0</v>
      </c>
      <c r="I863" s="16">
        <f>IF(NOT(Paths!$C$84=1),0,IF(Paths!$P$84="Complete",IF(IF(Paths!$E$84=0,C863=0,AND(C863&gt;0,Paths!$E$84&gt;(C863-1)*12,Paths!$E$84&lt;=C863*12)),Paths!$G$84,0),"n.a."))</f>
        <v>0</v>
      </c>
      <c r="J863" s="16">
        <f>IF(NOT(Paths!$C$84=1),0,IF(Paths!$P$84="Complete",IF(IF(Paths!$E$84=0,C863=0,AND(C863&gt;0,Paths!$E$84&gt;(C863-1)*12,Paths!$E$84&lt;=C863*12)),Paths!$H$84,0),"n.a."))</f>
        <v>0</v>
      </c>
      <c r="K863" s="16">
        <f>IF(NOT(Paths!$C$84=1),0,IF(Paths!$P$84="Complete",IF(IF(Paths!$O$84=0,C863=0,AND(C863&gt;0,Paths!$O$84&gt;(C863-1)*12,Paths!$O$84&lt;=C863*12)),Paths!$N$84,0),"n.a."))</f>
        <v>0</v>
      </c>
      <c r="L863" s="16">
        <f>IF(NOT(Paths!$C$84=1),0,IF(Paths!$P$84="Complete",IF(C863=10,Paths!$I$84,0),"n.a."))</f>
        <v>0</v>
      </c>
      <c r="M863" s="16">
        <f>IF(NOT(Paths!$C$84=1),0,IF(Paths!$P$84="Complete",IF(AND(Paths!$D$84="EV",Paths!$E$84&lt;120,Paths!$E$84+'Operating costs'!$B$65&gt;Paths!$E$84,Paths!$E$84+'Operating costs'!$B$65&lt;=120,IF(Paths!$E$84+'Operating costs'!$B$65=0,C863=0,AND(C863&gt;0,Paths!$E$84+'Operating costs'!$B$65&gt;(C863-1)*12,Paths!$E$84+'Operating costs'!$B$65&lt;=C863*12))),'Operating costs'!$B$64,0)+IF(AND('Operating costs'!$B$67&gt;0,'Operating costs'!$B$67&lt;=120,OR(Paths!$D$84="ICE",'Operating costs'!$B$67&lt;=Paths!$E$84),IF('Operating costs'!$B$67=0,C863=0,AND(C863&gt;0,'Operating costs'!$B$67&gt;(C863-1)*12,'Operating costs'!$B$67&lt;=C863*12))),'Operating costs'!$B$66,0),"n.a."))</f>
        <v>0</v>
      </c>
      <c r="N863" s="16">
        <f>IF(NOT(Paths!$C$84=1),0,IF(Paths!$P$84="Complete",SUM(G863:I863)-J863-K863-L863+M863+IF(C863=0,Paths!$F$84,0)+IF(IF(Paths!$E$84=0,C863=0,AND(C863&gt;0,Paths!$E$84&gt;(C863-1)*12,Paths!$E$84&lt;=C863*12)),VLOOKUP(A863,'Fleet register'!$A$7:$S$106,16,FALSE),0),"n.a."))</f>
        <v>0</v>
      </c>
      <c r="O863" s="16">
        <f>IF(NOT(Paths!$C$84=1),0,IF(Paths!$P$84="Complete",N863-IF(C863=0,Paths!$F$84,0),"n.a."))</f>
        <v>0</v>
      </c>
      <c r="P863" s="16">
        <f>IF(NOT(Paths!$C$84=1),0,IF(Paths!$P$84="Complete",O863+L863,"n.a."))</f>
        <v>0</v>
      </c>
      <c r="Q863" s="16">
        <f>IF(NOT(Paths!$C$84=1),0,IF(Paths!$P$84="Complete",N863*(1+'Operating costs'!$B$54)^-C863,"n.a."))</f>
        <v>0</v>
      </c>
      <c r="R863" s="16">
        <f>IF(NOT(Paths!$C$84=1),0,IF(Paths!$P$84="Complete",IF(AND(C863=0,Paths!$E$84=0),I863-J863-K863+VLOOKUP(A863,'Fleet register'!$A$7:$S$106,15,FALSE)+VLOOKUP(A863,'Fleet register'!$A$7:$S$106,16,FALSE),0),"n.a."))</f>
        <v>0</v>
      </c>
      <c r="S863" s="1">
        <f>IF(NOT(Paths!$C$84=1),0,IF(Paths!$P$84="Complete",IF(C863=0,0,Paths!$S$84*Paths!$R$84),"n.a."))</f>
        <v>0</v>
      </c>
      <c r="T863" s="1">
        <f>IF(NOT(Paths!$C$84=1),0,IF(Paths!$P$84="Complete",IF(C863=0,0,VLOOKUP(A863,'Fleet register'!$A$7:$S$106,9,FALSE)*Paths!$R$84),"n.a."))</f>
        <v>0</v>
      </c>
    </row>
    <row r="864" spans="1:20" ht="24" customHeight="1">
      <c r="A864" s="1" t="str">
        <f>Paths!$A$84</f>
        <v>T020</v>
      </c>
      <c r="B864" s="1">
        <f>Paths!$B$84</f>
        <v>1</v>
      </c>
      <c r="C864" s="1">
        <v>10</v>
      </c>
      <c r="D864" s="1">
        <v>84</v>
      </c>
      <c r="E864" s="1">
        <f>IF(OR(Paths!$C$84=0,C864=0),0,MAX(0,MIN(C864*12,Paths!$E$84)-(C864-1)*12))</f>
        <v>0</v>
      </c>
      <c r="F864" s="1">
        <f>IF(OR(Paths!$C$84=0,C864=0),0,12-E864)</f>
        <v>0</v>
      </c>
      <c r="G864" s="16">
        <f>IF(NOT(Paths!$C$84=1),0,IF(Paths!$P$84="Complete",E864/12*(Paths!$J$84*(1+'Operating costs'!$B$51)^MAX(0,C864-1)+Paths!$K$84*(1+'Operating costs'!$B$53)^MAX(0,C864-1)),"n.a."))</f>
        <v>0</v>
      </c>
      <c r="H864" s="16">
        <f>IF(NOT(Paths!$C$84=1),0,IF(Paths!$P$84="Complete",F864/12*(Paths!$L$84*(1+IF(Paths!$D$84="EV",'Operating costs'!$B$52,'Operating costs'!$B$51))^MAX(0,C864-1)+Paths!$M$84*(1+'Operating costs'!$B$53)^MAX(0,C864-1)),"n.a."))</f>
        <v>0</v>
      </c>
      <c r="I864" s="16">
        <f>IF(NOT(Paths!$C$84=1),0,IF(Paths!$P$84="Complete",IF(IF(Paths!$E$84=0,C864=0,AND(C864&gt;0,Paths!$E$84&gt;(C864-1)*12,Paths!$E$84&lt;=C864*12)),Paths!$G$84,0),"n.a."))</f>
        <v>0</v>
      </c>
      <c r="J864" s="16">
        <f>IF(NOT(Paths!$C$84=1),0,IF(Paths!$P$84="Complete",IF(IF(Paths!$E$84=0,C864=0,AND(C864&gt;0,Paths!$E$84&gt;(C864-1)*12,Paths!$E$84&lt;=C864*12)),Paths!$H$84,0),"n.a."))</f>
        <v>0</v>
      </c>
      <c r="K864" s="16">
        <f>IF(NOT(Paths!$C$84=1),0,IF(Paths!$P$84="Complete",IF(IF(Paths!$O$84=0,C864=0,AND(C864&gt;0,Paths!$O$84&gt;(C864-1)*12,Paths!$O$84&lt;=C864*12)),Paths!$N$84,0),"n.a."))</f>
        <v>0</v>
      </c>
      <c r="L864" s="16">
        <f>IF(NOT(Paths!$C$84=1),0,IF(Paths!$P$84="Complete",IF(C864=10,Paths!$I$84,0),"n.a."))</f>
        <v>0</v>
      </c>
      <c r="M864" s="16">
        <f>IF(NOT(Paths!$C$84=1),0,IF(Paths!$P$84="Complete",IF(AND(Paths!$D$84="EV",Paths!$E$84&lt;120,Paths!$E$84+'Operating costs'!$B$65&gt;Paths!$E$84,Paths!$E$84+'Operating costs'!$B$65&lt;=120,IF(Paths!$E$84+'Operating costs'!$B$65=0,C864=0,AND(C864&gt;0,Paths!$E$84+'Operating costs'!$B$65&gt;(C864-1)*12,Paths!$E$84+'Operating costs'!$B$65&lt;=C864*12))),'Operating costs'!$B$64,0)+IF(AND('Operating costs'!$B$67&gt;0,'Operating costs'!$B$67&lt;=120,OR(Paths!$D$84="ICE",'Operating costs'!$B$67&lt;=Paths!$E$84),IF('Operating costs'!$B$67=0,C864=0,AND(C864&gt;0,'Operating costs'!$B$67&gt;(C864-1)*12,'Operating costs'!$B$67&lt;=C864*12))),'Operating costs'!$B$66,0),"n.a."))</f>
        <v>0</v>
      </c>
      <c r="N864" s="16">
        <f>IF(NOT(Paths!$C$84=1),0,IF(Paths!$P$84="Complete",SUM(G864:I864)-J864-K864-L864+M864+IF(C864=0,Paths!$F$84,0)+IF(IF(Paths!$E$84=0,C864=0,AND(C864&gt;0,Paths!$E$84&gt;(C864-1)*12,Paths!$E$84&lt;=C864*12)),VLOOKUP(A864,'Fleet register'!$A$7:$S$106,16,FALSE),0),"n.a."))</f>
        <v>0</v>
      </c>
      <c r="O864" s="16">
        <f>IF(NOT(Paths!$C$84=1),0,IF(Paths!$P$84="Complete",N864-IF(C864=0,Paths!$F$84,0),"n.a."))</f>
        <v>0</v>
      </c>
      <c r="P864" s="16">
        <f>IF(NOT(Paths!$C$84=1),0,IF(Paths!$P$84="Complete",O864+L864,"n.a."))</f>
        <v>0</v>
      </c>
      <c r="Q864" s="16">
        <f>IF(NOT(Paths!$C$84=1),0,IF(Paths!$P$84="Complete",N864*(1+'Operating costs'!$B$54)^-C864,"n.a."))</f>
        <v>0</v>
      </c>
      <c r="R864" s="16">
        <f>IF(NOT(Paths!$C$84=1),0,IF(Paths!$P$84="Complete",IF(AND(C864=0,Paths!$E$84=0),I864-J864-K864+VLOOKUP(A864,'Fleet register'!$A$7:$S$106,15,FALSE)+VLOOKUP(A864,'Fleet register'!$A$7:$S$106,16,FALSE),0),"n.a."))</f>
        <v>0</v>
      </c>
      <c r="S864" s="1">
        <f>IF(NOT(Paths!$C$84=1),0,IF(Paths!$P$84="Complete",IF(C864=0,0,Paths!$S$84*Paths!$R$84),"n.a."))</f>
        <v>0</v>
      </c>
      <c r="T864" s="1">
        <f>IF(NOT(Paths!$C$84=1),0,IF(Paths!$P$84="Complete",IF(C864=0,0,VLOOKUP(A864,'Fleet register'!$A$7:$S$106,9,FALSE)*Paths!$R$84),"n.a."))</f>
        <v>0</v>
      </c>
    </row>
    <row r="865" spans="1:20" ht="24" customHeight="1">
      <c r="A865" s="1" t="str">
        <f>Paths!$A$85</f>
        <v>T020</v>
      </c>
      <c r="B865" s="1">
        <f>Paths!$B$85</f>
        <v>2</v>
      </c>
      <c r="C865" s="1">
        <v>0</v>
      </c>
      <c r="D865" s="1">
        <v>85</v>
      </c>
      <c r="E865" s="1">
        <f>IF(OR(Paths!$C$85=0,C865=0),0,MAX(0,MIN(C865*12,Paths!$E$85)-(C865-1)*12))</f>
        <v>0</v>
      </c>
      <c r="F865" s="1">
        <f>IF(OR(Paths!$C$85=0,C865=0),0,12-E865)</f>
        <v>0</v>
      </c>
      <c r="G865" s="16">
        <f>IF(NOT(Paths!$C$85=1),0,IF(Paths!$P$85="Complete",E865/12*(Paths!$J$85*(1+'Operating costs'!$B$51)^MAX(0,C865-1)+Paths!$K$85*(1+'Operating costs'!$B$53)^MAX(0,C865-1)),"n.a."))</f>
        <v>0</v>
      </c>
      <c r="H865" s="16">
        <f>IF(NOT(Paths!$C$85=1),0,IF(Paths!$P$85="Complete",F865/12*(Paths!$L$85*(1+IF(Paths!$D$85="EV",'Operating costs'!$B$52,'Operating costs'!$B$51))^MAX(0,C865-1)+Paths!$M$85*(1+'Operating costs'!$B$53)^MAX(0,C865-1)),"n.a."))</f>
        <v>0</v>
      </c>
      <c r="I865" s="16">
        <f>IF(NOT(Paths!$C$85=1),0,IF(Paths!$P$85="Complete",IF(IF(Paths!$E$85=0,C865=0,AND(C865&gt;0,Paths!$E$85&gt;(C865-1)*12,Paths!$E$85&lt;=C865*12)),Paths!$G$85,0),"n.a."))</f>
        <v>0</v>
      </c>
      <c r="J865" s="16">
        <f>IF(NOT(Paths!$C$85=1),0,IF(Paths!$P$85="Complete",IF(IF(Paths!$E$85=0,C865=0,AND(C865&gt;0,Paths!$E$85&gt;(C865-1)*12,Paths!$E$85&lt;=C865*12)),Paths!$H$85,0),"n.a."))</f>
        <v>0</v>
      </c>
      <c r="K865" s="16">
        <f>IF(NOT(Paths!$C$85=1),0,IF(Paths!$P$85="Complete",IF(IF(Paths!$O$85=0,C865=0,AND(C865&gt;0,Paths!$O$85&gt;(C865-1)*12,Paths!$O$85&lt;=C865*12)),Paths!$N$85,0),"n.a."))</f>
        <v>0</v>
      </c>
      <c r="L865" s="16">
        <f>IF(NOT(Paths!$C$85=1),0,IF(Paths!$P$85="Complete",IF(C865=10,Paths!$I$85,0),"n.a."))</f>
        <v>0</v>
      </c>
      <c r="M865" s="16">
        <f>IF(NOT(Paths!$C$85=1),0,IF(Paths!$P$85="Complete",IF(AND(Paths!$D$85="EV",Paths!$E$85&lt;120,Paths!$E$85+'Operating costs'!$B$65&gt;Paths!$E$85,Paths!$E$85+'Operating costs'!$B$65&lt;=120,IF(Paths!$E$85+'Operating costs'!$B$65=0,C865=0,AND(C865&gt;0,Paths!$E$85+'Operating costs'!$B$65&gt;(C865-1)*12,Paths!$E$85+'Operating costs'!$B$65&lt;=C865*12))),'Operating costs'!$B$64,0)+IF(AND('Operating costs'!$B$67&gt;0,'Operating costs'!$B$67&lt;=120,OR(Paths!$D$85="ICE",'Operating costs'!$B$67&lt;=Paths!$E$85),IF('Operating costs'!$B$67=0,C865=0,AND(C865&gt;0,'Operating costs'!$B$67&gt;(C865-1)*12,'Operating costs'!$B$67&lt;=C865*12))),'Operating costs'!$B$66,0),"n.a."))</f>
        <v>0</v>
      </c>
      <c r="N865" s="16">
        <f>IF(NOT(Paths!$C$85=1),0,IF(Paths!$P$85="Complete",SUM(G865:I865)-J865-K865-L865+M865+IF(C865=0,Paths!$F$85,0)+IF(IF(Paths!$E$85=0,C865=0,AND(C865&gt;0,Paths!$E$85&gt;(C865-1)*12,Paths!$E$85&lt;=C865*12)),VLOOKUP(A865,'Fleet register'!$A$7:$S$106,16,FALSE),0),"n.a."))</f>
        <v>0</v>
      </c>
      <c r="O865" s="16">
        <f>IF(NOT(Paths!$C$85=1),0,IF(Paths!$P$85="Complete",N865-IF(C865=0,Paths!$F$85,0),"n.a."))</f>
        <v>0</v>
      </c>
      <c r="P865" s="16">
        <f>IF(NOT(Paths!$C$85=1),0,IF(Paths!$P$85="Complete",O865+L865,"n.a."))</f>
        <v>0</v>
      </c>
      <c r="Q865" s="16">
        <f>IF(NOT(Paths!$C$85=1),0,IF(Paths!$P$85="Complete",N865*(1+'Operating costs'!$B$54)^-C865,"n.a."))</f>
        <v>0</v>
      </c>
      <c r="R865" s="16">
        <f>IF(NOT(Paths!$C$85=1),0,IF(Paths!$P$85="Complete",IF(AND(C865=0,Paths!$E$85=0),I865-J865-K865+VLOOKUP(A865,'Fleet register'!$A$7:$S$106,15,FALSE)+VLOOKUP(A865,'Fleet register'!$A$7:$S$106,16,FALSE),0),"n.a."))</f>
        <v>0</v>
      </c>
      <c r="S865" s="1">
        <f>IF(NOT(Paths!$C$85=1),0,IF(Paths!$P$85="Complete",IF(C865=0,0,Paths!$S$85*Paths!$R$85),"n.a."))</f>
        <v>0</v>
      </c>
      <c r="T865" s="1">
        <f>IF(NOT(Paths!$C$85=1),0,IF(Paths!$P$85="Complete",IF(C865=0,0,VLOOKUP(A865,'Fleet register'!$A$7:$S$106,9,FALSE)*Paths!$R$85),"n.a."))</f>
        <v>0</v>
      </c>
    </row>
    <row r="866" spans="1:20" ht="24" customHeight="1">
      <c r="A866" s="1" t="str">
        <f>Paths!$A$85</f>
        <v>T020</v>
      </c>
      <c r="B866" s="1">
        <f>Paths!$B$85</f>
        <v>2</v>
      </c>
      <c r="C866" s="1">
        <v>1</v>
      </c>
      <c r="D866" s="1">
        <v>85</v>
      </c>
      <c r="E866" s="1">
        <f>IF(OR(Paths!$C$85=0,C866=0),0,MAX(0,MIN(C866*12,Paths!$E$85)-(C866-1)*12))</f>
        <v>0</v>
      </c>
      <c r="F866" s="1">
        <f>IF(OR(Paths!$C$85=0,C866=0),0,12-E866)</f>
        <v>0</v>
      </c>
      <c r="G866" s="16">
        <f>IF(NOT(Paths!$C$85=1),0,IF(Paths!$P$85="Complete",E866/12*(Paths!$J$85*(1+'Operating costs'!$B$51)^MAX(0,C866-1)+Paths!$K$85*(1+'Operating costs'!$B$53)^MAX(0,C866-1)),"n.a."))</f>
        <v>0</v>
      </c>
      <c r="H866" s="16">
        <f>IF(NOT(Paths!$C$85=1),0,IF(Paths!$P$85="Complete",F866/12*(Paths!$L$85*(1+IF(Paths!$D$85="EV",'Operating costs'!$B$52,'Operating costs'!$B$51))^MAX(0,C866-1)+Paths!$M$85*(1+'Operating costs'!$B$53)^MAX(0,C866-1)),"n.a."))</f>
        <v>0</v>
      </c>
      <c r="I866" s="16">
        <f>IF(NOT(Paths!$C$85=1),0,IF(Paths!$P$85="Complete",IF(IF(Paths!$E$85=0,C866=0,AND(C866&gt;0,Paths!$E$85&gt;(C866-1)*12,Paths!$E$85&lt;=C866*12)),Paths!$G$85,0),"n.a."))</f>
        <v>0</v>
      </c>
      <c r="J866" s="16">
        <f>IF(NOT(Paths!$C$85=1),0,IF(Paths!$P$85="Complete",IF(IF(Paths!$E$85=0,C866=0,AND(C866&gt;0,Paths!$E$85&gt;(C866-1)*12,Paths!$E$85&lt;=C866*12)),Paths!$H$85,0),"n.a."))</f>
        <v>0</v>
      </c>
      <c r="K866" s="16">
        <f>IF(NOT(Paths!$C$85=1),0,IF(Paths!$P$85="Complete",IF(IF(Paths!$O$85=0,C866=0,AND(C866&gt;0,Paths!$O$85&gt;(C866-1)*12,Paths!$O$85&lt;=C866*12)),Paths!$N$85,0),"n.a."))</f>
        <v>0</v>
      </c>
      <c r="L866" s="16">
        <f>IF(NOT(Paths!$C$85=1),0,IF(Paths!$P$85="Complete",IF(C866=10,Paths!$I$85,0),"n.a."))</f>
        <v>0</v>
      </c>
      <c r="M866" s="16">
        <f>IF(NOT(Paths!$C$85=1),0,IF(Paths!$P$85="Complete",IF(AND(Paths!$D$85="EV",Paths!$E$85&lt;120,Paths!$E$85+'Operating costs'!$B$65&gt;Paths!$E$85,Paths!$E$85+'Operating costs'!$B$65&lt;=120,IF(Paths!$E$85+'Operating costs'!$B$65=0,C866=0,AND(C866&gt;0,Paths!$E$85+'Operating costs'!$B$65&gt;(C866-1)*12,Paths!$E$85+'Operating costs'!$B$65&lt;=C866*12))),'Operating costs'!$B$64,0)+IF(AND('Operating costs'!$B$67&gt;0,'Operating costs'!$B$67&lt;=120,OR(Paths!$D$85="ICE",'Operating costs'!$B$67&lt;=Paths!$E$85),IF('Operating costs'!$B$67=0,C866=0,AND(C866&gt;0,'Operating costs'!$B$67&gt;(C866-1)*12,'Operating costs'!$B$67&lt;=C866*12))),'Operating costs'!$B$66,0),"n.a."))</f>
        <v>0</v>
      </c>
      <c r="N866" s="16">
        <f>IF(NOT(Paths!$C$85=1),0,IF(Paths!$P$85="Complete",SUM(G866:I866)-J866-K866-L866+M866+IF(C866=0,Paths!$F$85,0)+IF(IF(Paths!$E$85=0,C866=0,AND(C866&gt;0,Paths!$E$85&gt;(C866-1)*12,Paths!$E$85&lt;=C866*12)),VLOOKUP(A866,'Fleet register'!$A$7:$S$106,16,FALSE),0),"n.a."))</f>
        <v>0</v>
      </c>
      <c r="O866" s="16">
        <f>IF(NOT(Paths!$C$85=1),0,IF(Paths!$P$85="Complete",N866-IF(C866=0,Paths!$F$85,0),"n.a."))</f>
        <v>0</v>
      </c>
      <c r="P866" s="16">
        <f>IF(NOT(Paths!$C$85=1),0,IF(Paths!$P$85="Complete",O866+L866,"n.a."))</f>
        <v>0</v>
      </c>
      <c r="Q866" s="16">
        <f>IF(NOT(Paths!$C$85=1),0,IF(Paths!$P$85="Complete",N866*(1+'Operating costs'!$B$54)^-C866,"n.a."))</f>
        <v>0</v>
      </c>
      <c r="R866" s="16">
        <f>IF(NOT(Paths!$C$85=1),0,IF(Paths!$P$85="Complete",IF(AND(C866=0,Paths!$E$85=0),I866-J866-K866+VLOOKUP(A866,'Fleet register'!$A$7:$S$106,15,FALSE)+VLOOKUP(A866,'Fleet register'!$A$7:$S$106,16,FALSE),0),"n.a."))</f>
        <v>0</v>
      </c>
      <c r="S866" s="1">
        <f>IF(NOT(Paths!$C$85=1),0,IF(Paths!$P$85="Complete",IF(C866=0,0,Paths!$S$85*Paths!$R$85),"n.a."))</f>
        <v>0</v>
      </c>
      <c r="T866" s="1">
        <f>IF(NOT(Paths!$C$85=1),0,IF(Paths!$P$85="Complete",IF(C866=0,0,VLOOKUP(A866,'Fleet register'!$A$7:$S$106,9,FALSE)*Paths!$R$85),"n.a."))</f>
        <v>0</v>
      </c>
    </row>
    <row r="867" spans="1:20" ht="24" customHeight="1">
      <c r="A867" s="1" t="str">
        <f>Paths!$A$85</f>
        <v>T020</v>
      </c>
      <c r="B867" s="1">
        <f>Paths!$B$85</f>
        <v>2</v>
      </c>
      <c r="C867" s="1">
        <v>2</v>
      </c>
      <c r="D867" s="1">
        <v>85</v>
      </c>
      <c r="E867" s="1">
        <f>IF(OR(Paths!$C$85=0,C867=0),0,MAX(0,MIN(C867*12,Paths!$E$85)-(C867-1)*12))</f>
        <v>0</v>
      </c>
      <c r="F867" s="1">
        <f>IF(OR(Paths!$C$85=0,C867=0),0,12-E867)</f>
        <v>0</v>
      </c>
      <c r="G867" s="16">
        <f>IF(NOT(Paths!$C$85=1),0,IF(Paths!$P$85="Complete",E867/12*(Paths!$J$85*(1+'Operating costs'!$B$51)^MAX(0,C867-1)+Paths!$K$85*(1+'Operating costs'!$B$53)^MAX(0,C867-1)),"n.a."))</f>
        <v>0</v>
      </c>
      <c r="H867" s="16">
        <f>IF(NOT(Paths!$C$85=1),0,IF(Paths!$P$85="Complete",F867/12*(Paths!$L$85*(1+IF(Paths!$D$85="EV",'Operating costs'!$B$52,'Operating costs'!$B$51))^MAX(0,C867-1)+Paths!$M$85*(1+'Operating costs'!$B$53)^MAX(0,C867-1)),"n.a."))</f>
        <v>0</v>
      </c>
      <c r="I867" s="16">
        <f>IF(NOT(Paths!$C$85=1),0,IF(Paths!$P$85="Complete",IF(IF(Paths!$E$85=0,C867=0,AND(C867&gt;0,Paths!$E$85&gt;(C867-1)*12,Paths!$E$85&lt;=C867*12)),Paths!$G$85,0),"n.a."))</f>
        <v>0</v>
      </c>
      <c r="J867" s="16">
        <f>IF(NOT(Paths!$C$85=1),0,IF(Paths!$P$85="Complete",IF(IF(Paths!$E$85=0,C867=0,AND(C867&gt;0,Paths!$E$85&gt;(C867-1)*12,Paths!$E$85&lt;=C867*12)),Paths!$H$85,0),"n.a."))</f>
        <v>0</v>
      </c>
      <c r="K867" s="16">
        <f>IF(NOT(Paths!$C$85=1),0,IF(Paths!$P$85="Complete",IF(IF(Paths!$O$85=0,C867=0,AND(C867&gt;0,Paths!$O$85&gt;(C867-1)*12,Paths!$O$85&lt;=C867*12)),Paths!$N$85,0),"n.a."))</f>
        <v>0</v>
      </c>
      <c r="L867" s="16">
        <f>IF(NOT(Paths!$C$85=1),0,IF(Paths!$P$85="Complete",IF(C867=10,Paths!$I$85,0),"n.a."))</f>
        <v>0</v>
      </c>
      <c r="M867" s="16">
        <f>IF(NOT(Paths!$C$85=1),0,IF(Paths!$P$85="Complete",IF(AND(Paths!$D$85="EV",Paths!$E$85&lt;120,Paths!$E$85+'Operating costs'!$B$65&gt;Paths!$E$85,Paths!$E$85+'Operating costs'!$B$65&lt;=120,IF(Paths!$E$85+'Operating costs'!$B$65=0,C867=0,AND(C867&gt;0,Paths!$E$85+'Operating costs'!$B$65&gt;(C867-1)*12,Paths!$E$85+'Operating costs'!$B$65&lt;=C867*12))),'Operating costs'!$B$64,0)+IF(AND('Operating costs'!$B$67&gt;0,'Operating costs'!$B$67&lt;=120,OR(Paths!$D$85="ICE",'Operating costs'!$B$67&lt;=Paths!$E$85),IF('Operating costs'!$B$67=0,C867=0,AND(C867&gt;0,'Operating costs'!$B$67&gt;(C867-1)*12,'Operating costs'!$B$67&lt;=C867*12))),'Operating costs'!$B$66,0),"n.a."))</f>
        <v>0</v>
      </c>
      <c r="N867" s="16">
        <f>IF(NOT(Paths!$C$85=1),0,IF(Paths!$P$85="Complete",SUM(G867:I867)-J867-K867-L867+M867+IF(C867=0,Paths!$F$85,0)+IF(IF(Paths!$E$85=0,C867=0,AND(C867&gt;0,Paths!$E$85&gt;(C867-1)*12,Paths!$E$85&lt;=C867*12)),VLOOKUP(A867,'Fleet register'!$A$7:$S$106,16,FALSE),0),"n.a."))</f>
        <v>0</v>
      </c>
      <c r="O867" s="16">
        <f>IF(NOT(Paths!$C$85=1),0,IF(Paths!$P$85="Complete",N867-IF(C867=0,Paths!$F$85,0),"n.a."))</f>
        <v>0</v>
      </c>
      <c r="P867" s="16">
        <f>IF(NOT(Paths!$C$85=1),0,IF(Paths!$P$85="Complete",O867+L867,"n.a."))</f>
        <v>0</v>
      </c>
      <c r="Q867" s="16">
        <f>IF(NOT(Paths!$C$85=1),0,IF(Paths!$P$85="Complete",N867*(1+'Operating costs'!$B$54)^-C867,"n.a."))</f>
        <v>0</v>
      </c>
      <c r="R867" s="16">
        <f>IF(NOT(Paths!$C$85=1),0,IF(Paths!$P$85="Complete",IF(AND(C867=0,Paths!$E$85=0),I867-J867-K867+VLOOKUP(A867,'Fleet register'!$A$7:$S$106,15,FALSE)+VLOOKUP(A867,'Fleet register'!$A$7:$S$106,16,FALSE),0),"n.a."))</f>
        <v>0</v>
      </c>
      <c r="S867" s="1">
        <f>IF(NOT(Paths!$C$85=1),0,IF(Paths!$P$85="Complete",IF(C867=0,0,Paths!$S$85*Paths!$R$85),"n.a."))</f>
        <v>0</v>
      </c>
      <c r="T867" s="1">
        <f>IF(NOT(Paths!$C$85=1),0,IF(Paths!$P$85="Complete",IF(C867=0,0,VLOOKUP(A867,'Fleet register'!$A$7:$S$106,9,FALSE)*Paths!$R$85),"n.a."))</f>
        <v>0</v>
      </c>
    </row>
    <row r="868" spans="1:20" ht="24" customHeight="1">
      <c r="A868" s="1" t="str">
        <f>Paths!$A$85</f>
        <v>T020</v>
      </c>
      <c r="B868" s="1">
        <f>Paths!$B$85</f>
        <v>2</v>
      </c>
      <c r="C868" s="1">
        <v>3</v>
      </c>
      <c r="D868" s="1">
        <v>85</v>
      </c>
      <c r="E868" s="1">
        <f>IF(OR(Paths!$C$85=0,C868=0),0,MAX(0,MIN(C868*12,Paths!$E$85)-(C868-1)*12))</f>
        <v>0</v>
      </c>
      <c r="F868" s="1">
        <f>IF(OR(Paths!$C$85=0,C868=0),0,12-E868)</f>
        <v>0</v>
      </c>
      <c r="G868" s="16">
        <f>IF(NOT(Paths!$C$85=1),0,IF(Paths!$P$85="Complete",E868/12*(Paths!$J$85*(1+'Operating costs'!$B$51)^MAX(0,C868-1)+Paths!$K$85*(1+'Operating costs'!$B$53)^MAX(0,C868-1)),"n.a."))</f>
        <v>0</v>
      </c>
      <c r="H868" s="16">
        <f>IF(NOT(Paths!$C$85=1),0,IF(Paths!$P$85="Complete",F868/12*(Paths!$L$85*(1+IF(Paths!$D$85="EV",'Operating costs'!$B$52,'Operating costs'!$B$51))^MAX(0,C868-1)+Paths!$M$85*(1+'Operating costs'!$B$53)^MAX(0,C868-1)),"n.a."))</f>
        <v>0</v>
      </c>
      <c r="I868" s="16">
        <f>IF(NOT(Paths!$C$85=1),0,IF(Paths!$P$85="Complete",IF(IF(Paths!$E$85=0,C868=0,AND(C868&gt;0,Paths!$E$85&gt;(C868-1)*12,Paths!$E$85&lt;=C868*12)),Paths!$G$85,0),"n.a."))</f>
        <v>0</v>
      </c>
      <c r="J868" s="16">
        <f>IF(NOT(Paths!$C$85=1),0,IF(Paths!$P$85="Complete",IF(IF(Paths!$E$85=0,C868=0,AND(C868&gt;0,Paths!$E$85&gt;(C868-1)*12,Paths!$E$85&lt;=C868*12)),Paths!$H$85,0),"n.a."))</f>
        <v>0</v>
      </c>
      <c r="K868" s="16">
        <f>IF(NOT(Paths!$C$85=1),0,IF(Paths!$P$85="Complete",IF(IF(Paths!$O$85=0,C868=0,AND(C868&gt;0,Paths!$O$85&gt;(C868-1)*12,Paths!$O$85&lt;=C868*12)),Paths!$N$85,0),"n.a."))</f>
        <v>0</v>
      </c>
      <c r="L868" s="16">
        <f>IF(NOT(Paths!$C$85=1),0,IF(Paths!$P$85="Complete",IF(C868=10,Paths!$I$85,0),"n.a."))</f>
        <v>0</v>
      </c>
      <c r="M868" s="16">
        <f>IF(NOT(Paths!$C$85=1),0,IF(Paths!$P$85="Complete",IF(AND(Paths!$D$85="EV",Paths!$E$85&lt;120,Paths!$E$85+'Operating costs'!$B$65&gt;Paths!$E$85,Paths!$E$85+'Operating costs'!$B$65&lt;=120,IF(Paths!$E$85+'Operating costs'!$B$65=0,C868=0,AND(C868&gt;0,Paths!$E$85+'Operating costs'!$B$65&gt;(C868-1)*12,Paths!$E$85+'Operating costs'!$B$65&lt;=C868*12))),'Operating costs'!$B$64,0)+IF(AND('Operating costs'!$B$67&gt;0,'Operating costs'!$B$67&lt;=120,OR(Paths!$D$85="ICE",'Operating costs'!$B$67&lt;=Paths!$E$85),IF('Operating costs'!$B$67=0,C868=0,AND(C868&gt;0,'Operating costs'!$B$67&gt;(C868-1)*12,'Operating costs'!$B$67&lt;=C868*12))),'Operating costs'!$B$66,0),"n.a."))</f>
        <v>0</v>
      </c>
      <c r="N868" s="16">
        <f>IF(NOT(Paths!$C$85=1),0,IF(Paths!$P$85="Complete",SUM(G868:I868)-J868-K868-L868+M868+IF(C868=0,Paths!$F$85,0)+IF(IF(Paths!$E$85=0,C868=0,AND(C868&gt;0,Paths!$E$85&gt;(C868-1)*12,Paths!$E$85&lt;=C868*12)),VLOOKUP(A868,'Fleet register'!$A$7:$S$106,16,FALSE),0),"n.a."))</f>
        <v>0</v>
      </c>
      <c r="O868" s="16">
        <f>IF(NOT(Paths!$C$85=1),0,IF(Paths!$P$85="Complete",N868-IF(C868=0,Paths!$F$85,0),"n.a."))</f>
        <v>0</v>
      </c>
      <c r="P868" s="16">
        <f>IF(NOT(Paths!$C$85=1),0,IF(Paths!$P$85="Complete",O868+L868,"n.a."))</f>
        <v>0</v>
      </c>
      <c r="Q868" s="16">
        <f>IF(NOT(Paths!$C$85=1),0,IF(Paths!$P$85="Complete",N868*(1+'Operating costs'!$B$54)^-C868,"n.a."))</f>
        <v>0</v>
      </c>
      <c r="R868" s="16">
        <f>IF(NOT(Paths!$C$85=1),0,IF(Paths!$P$85="Complete",IF(AND(C868=0,Paths!$E$85=0),I868-J868-K868+VLOOKUP(A868,'Fleet register'!$A$7:$S$106,15,FALSE)+VLOOKUP(A868,'Fleet register'!$A$7:$S$106,16,FALSE),0),"n.a."))</f>
        <v>0</v>
      </c>
      <c r="S868" s="1">
        <f>IF(NOT(Paths!$C$85=1),0,IF(Paths!$P$85="Complete",IF(C868=0,0,Paths!$S$85*Paths!$R$85),"n.a."))</f>
        <v>0</v>
      </c>
      <c r="T868" s="1">
        <f>IF(NOT(Paths!$C$85=1),0,IF(Paths!$P$85="Complete",IF(C868=0,0,VLOOKUP(A868,'Fleet register'!$A$7:$S$106,9,FALSE)*Paths!$R$85),"n.a."))</f>
        <v>0</v>
      </c>
    </row>
    <row r="869" spans="1:20" ht="24" customHeight="1">
      <c r="A869" s="1" t="str">
        <f>Paths!$A$85</f>
        <v>T020</v>
      </c>
      <c r="B869" s="1">
        <f>Paths!$B$85</f>
        <v>2</v>
      </c>
      <c r="C869" s="1">
        <v>4</v>
      </c>
      <c r="D869" s="1">
        <v>85</v>
      </c>
      <c r="E869" s="1">
        <f>IF(OR(Paths!$C$85=0,C869=0),0,MAX(0,MIN(C869*12,Paths!$E$85)-(C869-1)*12))</f>
        <v>0</v>
      </c>
      <c r="F869" s="1">
        <f>IF(OR(Paths!$C$85=0,C869=0),0,12-E869)</f>
        <v>0</v>
      </c>
      <c r="G869" s="16">
        <f>IF(NOT(Paths!$C$85=1),0,IF(Paths!$P$85="Complete",E869/12*(Paths!$J$85*(1+'Operating costs'!$B$51)^MAX(0,C869-1)+Paths!$K$85*(1+'Operating costs'!$B$53)^MAX(0,C869-1)),"n.a."))</f>
        <v>0</v>
      </c>
      <c r="H869" s="16">
        <f>IF(NOT(Paths!$C$85=1),0,IF(Paths!$P$85="Complete",F869/12*(Paths!$L$85*(1+IF(Paths!$D$85="EV",'Operating costs'!$B$52,'Operating costs'!$B$51))^MAX(0,C869-1)+Paths!$M$85*(1+'Operating costs'!$B$53)^MAX(0,C869-1)),"n.a."))</f>
        <v>0</v>
      </c>
      <c r="I869" s="16">
        <f>IF(NOT(Paths!$C$85=1),0,IF(Paths!$P$85="Complete",IF(IF(Paths!$E$85=0,C869=0,AND(C869&gt;0,Paths!$E$85&gt;(C869-1)*12,Paths!$E$85&lt;=C869*12)),Paths!$G$85,0),"n.a."))</f>
        <v>0</v>
      </c>
      <c r="J869" s="16">
        <f>IF(NOT(Paths!$C$85=1),0,IF(Paths!$P$85="Complete",IF(IF(Paths!$E$85=0,C869=0,AND(C869&gt;0,Paths!$E$85&gt;(C869-1)*12,Paths!$E$85&lt;=C869*12)),Paths!$H$85,0),"n.a."))</f>
        <v>0</v>
      </c>
      <c r="K869" s="16">
        <f>IF(NOT(Paths!$C$85=1),0,IF(Paths!$P$85="Complete",IF(IF(Paths!$O$85=0,C869=0,AND(C869&gt;0,Paths!$O$85&gt;(C869-1)*12,Paths!$O$85&lt;=C869*12)),Paths!$N$85,0),"n.a."))</f>
        <v>0</v>
      </c>
      <c r="L869" s="16">
        <f>IF(NOT(Paths!$C$85=1),0,IF(Paths!$P$85="Complete",IF(C869=10,Paths!$I$85,0),"n.a."))</f>
        <v>0</v>
      </c>
      <c r="M869" s="16">
        <f>IF(NOT(Paths!$C$85=1),0,IF(Paths!$P$85="Complete",IF(AND(Paths!$D$85="EV",Paths!$E$85&lt;120,Paths!$E$85+'Operating costs'!$B$65&gt;Paths!$E$85,Paths!$E$85+'Operating costs'!$B$65&lt;=120,IF(Paths!$E$85+'Operating costs'!$B$65=0,C869=0,AND(C869&gt;0,Paths!$E$85+'Operating costs'!$B$65&gt;(C869-1)*12,Paths!$E$85+'Operating costs'!$B$65&lt;=C869*12))),'Operating costs'!$B$64,0)+IF(AND('Operating costs'!$B$67&gt;0,'Operating costs'!$B$67&lt;=120,OR(Paths!$D$85="ICE",'Operating costs'!$B$67&lt;=Paths!$E$85),IF('Operating costs'!$B$67=0,C869=0,AND(C869&gt;0,'Operating costs'!$B$67&gt;(C869-1)*12,'Operating costs'!$B$67&lt;=C869*12))),'Operating costs'!$B$66,0),"n.a."))</f>
        <v>0</v>
      </c>
      <c r="N869" s="16">
        <f>IF(NOT(Paths!$C$85=1),0,IF(Paths!$P$85="Complete",SUM(G869:I869)-J869-K869-L869+M869+IF(C869=0,Paths!$F$85,0)+IF(IF(Paths!$E$85=0,C869=0,AND(C869&gt;0,Paths!$E$85&gt;(C869-1)*12,Paths!$E$85&lt;=C869*12)),VLOOKUP(A869,'Fleet register'!$A$7:$S$106,16,FALSE),0),"n.a."))</f>
        <v>0</v>
      </c>
      <c r="O869" s="16">
        <f>IF(NOT(Paths!$C$85=1),0,IF(Paths!$P$85="Complete",N869-IF(C869=0,Paths!$F$85,0),"n.a."))</f>
        <v>0</v>
      </c>
      <c r="P869" s="16">
        <f>IF(NOT(Paths!$C$85=1),0,IF(Paths!$P$85="Complete",O869+L869,"n.a."))</f>
        <v>0</v>
      </c>
      <c r="Q869" s="16">
        <f>IF(NOT(Paths!$C$85=1),0,IF(Paths!$P$85="Complete",N869*(1+'Operating costs'!$B$54)^-C869,"n.a."))</f>
        <v>0</v>
      </c>
      <c r="R869" s="16">
        <f>IF(NOT(Paths!$C$85=1),0,IF(Paths!$P$85="Complete",IF(AND(C869=0,Paths!$E$85=0),I869-J869-K869+VLOOKUP(A869,'Fleet register'!$A$7:$S$106,15,FALSE)+VLOOKUP(A869,'Fleet register'!$A$7:$S$106,16,FALSE),0),"n.a."))</f>
        <v>0</v>
      </c>
      <c r="S869" s="1">
        <f>IF(NOT(Paths!$C$85=1),0,IF(Paths!$P$85="Complete",IF(C869=0,0,Paths!$S$85*Paths!$R$85),"n.a."))</f>
        <v>0</v>
      </c>
      <c r="T869" s="1">
        <f>IF(NOT(Paths!$C$85=1),0,IF(Paths!$P$85="Complete",IF(C869=0,0,VLOOKUP(A869,'Fleet register'!$A$7:$S$106,9,FALSE)*Paths!$R$85),"n.a."))</f>
        <v>0</v>
      </c>
    </row>
    <row r="870" spans="1:20" ht="24" customHeight="1">
      <c r="A870" s="1" t="str">
        <f>Paths!$A$85</f>
        <v>T020</v>
      </c>
      <c r="B870" s="1">
        <f>Paths!$B$85</f>
        <v>2</v>
      </c>
      <c r="C870" s="1">
        <v>5</v>
      </c>
      <c r="D870" s="1">
        <v>85</v>
      </c>
      <c r="E870" s="1">
        <f>IF(OR(Paths!$C$85=0,C870=0),0,MAX(0,MIN(C870*12,Paths!$E$85)-(C870-1)*12))</f>
        <v>0</v>
      </c>
      <c r="F870" s="1">
        <f>IF(OR(Paths!$C$85=0,C870=0),0,12-E870)</f>
        <v>0</v>
      </c>
      <c r="G870" s="16">
        <f>IF(NOT(Paths!$C$85=1),0,IF(Paths!$P$85="Complete",E870/12*(Paths!$J$85*(1+'Operating costs'!$B$51)^MAX(0,C870-1)+Paths!$K$85*(1+'Operating costs'!$B$53)^MAX(0,C870-1)),"n.a."))</f>
        <v>0</v>
      </c>
      <c r="H870" s="16">
        <f>IF(NOT(Paths!$C$85=1),0,IF(Paths!$P$85="Complete",F870/12*(Paths!$L$85*(1+IF(Paths!$D$85="EV",'Operating costs'!$B$52,'Operating costs'!$B$51))^MAX(0,C870-1)+Paths!$M$85*(1+'Operating costs'!$B$53)^MAX(0,C870-1)),"n.a."))</f>
        <v>0</v>
      </c>
      <c r="I870" s="16">
        <f>IF(NOT(Paths!$C$85=1),0,IF(Paths!$P$85="Complete",IF(IF(Paths!$E$85=0,C870=0,AND(C870&gt;0,Paths!$E$85&gt;(C870-1)*12,Paths!$E$85&lt;=C870*12)),Paths!$G$85,0),"n.a."))</f>
        <v>0</v>
      </c>
      <c r="J870" s="16">
        <f>IF(NOT(Paths!$C$85=1),0,IF(Paths!$P$85="Complete",IF(IF(Paths!$E$85=0,C870=0,AND(C870&gt;0,Paths!$E$85&gt;(C870-1)*12,Paths!$E$85&lt;=C870*12)),Paths!$H$85,0),"n.a."))</f>
        <v>0</v>
      </c>
      <c r="K870" s="16">
        <f>IF(NOT(Paths!$C$85=1),0,IF(Paths!$P$85="Complete",IF(IF(Paths!$O$85=0,C870=0,AND(C870&gt;0,Paths!$O$85&gt;(C870-1)*12,Paths!$O$85&lt;=C870*12)),Paths!$N$85,0),"n.a."))</f>
        <v>0</v>
      </c>
      <c r="L870" s="16">
        <f>IF(NOT(Paths!$C$85=1),0,IF(Paths!$P$85="Complete",IF(C870=10,Paths!$I$85,0),"n.a."))</f>
        <v>0</v>
      </c>
      <c r="M870" s="16">
        <f>IF(NOT(Paths!$C$85=1),0,IF(Paths!$P$85="Complete",IF(AND(Paths!$D$85="EV",Paths!$E$85&lt;120,Paths!$E$85+'Operating costs'!$B$65&gt;Paths!$E$85,Paths!$E$85+'Operating costs'!$B$65&lt;=120,IF(Paths!$E$85+'Operating costs'!$B$65=0,C870=0,AND(C870&gt;0,Paths!$E$85+'Operating costs'!$B$65&gt;(C870-1)*12,Paths!$E$85+'Operating costs'!$B$65&lt;=C870*12))),'Operating costs'!$B$64,0)+IF(AND('Operating costs'!$B$67&gt;0,'Operating costs'!$B$67&lt;=120,OR(Paths!$D$85="ICE",'Operating costs'!$B$67&lt;=Paths!$E$85),IF('Operating costs'!$B$67=0,C870=0,AND(C870&gt;0,'Operating costs'!$B$67&gt;(C870-1)*12,'Operating costs'!$B$67&lt;=C870*12))),'Operating costs'!$B$66,0),"n.a."))</f>
        <v>0</v>
      </c>
      <c r="N870" s="16">
        <f>IF(NOT(Paths!$C$85=1),0,IF(Paths!$P$85="Complete",SUM(G870:I870)-J870-K870-L870+M870+IF(C870=0,Paths!$F$85,0)+IF(IF(Paths!$E$85=0,C870=0,AND(C870&gt;0,Paths!$E$85&gt;(C870-1)*12,Paths!$E$85&lt;=C870*12)),VLOOKUP(A870,'Fleet register'!$A$7:$S$106,16,FALSE),0),"n.a."))</f>
        <v>0</v>
      </c>
      <c r="O870" s="16">
        <f>IF(NOT(Paths!$C$85=1),0,IF(Paths!$P$85="Complete",N870-IF(C870=0,Paths!$F$85,0),"n.a."))</f>
        <v>0</v>
      </c>
      <c r="P870" s="16">
        <f>IF(NOT(Paths!$C$85=1),0,IF(Paths!$P$85="Complete",O870+L870,"n.a."))</f>
        <v>0</v>
      </c>
      <c r="Q870" s="16">
        <f>IF(NOT(Paths!$C$85=1),0,IF(Paths!$P$85="Complete",N870*(1+'Operating costs'!$B$54)^-C870,"n.a."))</f>
        <v>0</v>
      </c>
      <c r="R870" s="16">
        <f>IF(NOT(Paths!$C$85=1),0,IF(Paths!$P$85="Complete",IF(AND(C870=0,Paths!$E$85=0),I870-J870-K870+VLOOKUP(A870,'Fleet register'!$A$7:$S$106,15,FALSE)+VLOOKUP(A870,'Fleet register'!$A$7:$S$106,16,FALSE),0),"n.a."))</f>
        <v>0</v>
      </c>
      <c r="S870" s="1">
        <f>IF(NOT(Paths!$C$85=1),0,IF(Paths!$P$85="Complete",IF(C870=0,0,Paths!$S$85*Paths!$R$85),"n.a."))</f>
        <v>0</v>
      </c>
      <c r="T870" s="1">
        <f>IF(NOT(Paths!$C$85=1),0,IF(Paths!$P$85="Complete",IF(C870=0,0,VLOOKUP(A870,'Fleet register'!$A$7:$S$106,9,FALSE)*Paths!$R$85),"n.a."))</f>
        <v>0</v>
      </c>
    </row>
    <row r="871" spans="1:20" ht="24" customHeight="1">
      <c r="A871" s="1" t="str">
        <f>Paths!$A$85</f>
        <v>T020</v>
      </c>
      <c r="B871" s="1">
        <f>Paths!$B$85</f>
        <v>2</v>
      </c>
      <c r="C871" s="1">
        <v>6</v>
      </c>
      <c r="D871" s="1">
        <v>85</v>
      </c>
      <c r="E871" s="1">
        <f>IF(OR(Paths!$C$85=0,C871=0),0,MAX(0,MIN(C871*12,Paths!$E$85)-(C871-1)*12))</f>
        <v>0</v>
      </c>
      <c r="F871" s="1">
        <f>IF(OR(Paths!$C$85=0,C871=0),0,12-E871)</f>
        <v>0</v>
      </c>
      <c r="G871" s="16">
        <f>IF(NOT(Paths!$C$85=1),0,IF(Paths!$P$85="Complete",E871/12*(Paths!$J$85*(1+'Operating costs'!$B$51)^MAX(0,C871-1)+Paths!$K$85*(1+'Operating costs'!$B$53)^MAX(0,C871-1)),"n.a."))</f>
        <v>0</v>
      </c>
      <c r="H871" s="16">
        <f>IF(NOT(Paths!$C$85=1),0,IF(Paths!$P$85="Complete",F871/12*(Paths!$L$85*(1+IF(Paths!$D$85="EV",'Operating costs'!$B$52,'Operating costs'!$B$51))^MAX(0,C871-1)+Paths!$M$85*(1+'Operating costs'!$B$53)^MAX(0,C871-1)),"n.a."))</f>
        <v>0</v>
      </c>
      <c r="I871" s="16">
        <f>IF(NOT(Paths!$C$85=1),0,IF(Paths!$P$85="Complete",IF(IF(Paths!$E$85=0,C871=0,AND(C871&gt;0,Paths!$E$85&gt;(C871-1)*12,Paths!$E$85&lt;=C871*12)),Paths!$G$85,0),"n.a."))</f>
        <v>0</v>
      </c>
      <c r="J871" s="16">
        <f>IF(NOT(Paths!$C$85=1),0,IF(Paths!$P$85="Complete",IF(IF(Paths!$E$85=0,C871=0,AND(C871&gt;0,Paths!$E$85&gt;(C871-1)*12,Paths!$E$85&lt;=C871*12)),Paths!$H$85,0),"n.a."))</f>
        <v>0</v>
      </c>
      <c r="K871" s="16">
        <f>IF(NOT(Paths!$C$85=1),0,IF(Paths!$P$85="Complete",IF(IF(Paths!$O$85=0,C871=0,AND(C871&gt;0,Paths!$O$85&gt;(C871-1)*12,Paths!$O$85&lt;=C871*12)),Paths!$N$85,0),"n.a."))</f>
        <v>0</v>
      </c>
      <c r="L871" s="16">
        <f>IF(NOT(Paths!$C$85=1),0,IF(Paths!$P$85="Complete",IF(C871=10,Paths!$I$85,0),"n.a."))</f>
        <v>0</v>
      </c>
      <c r="M871" s="16">
        <f>IF(NOT(Paths!$C$85=1),0,IF(Paths!$P$85="Complete",IF(AND(Paths!$D$85="EV",Paths!$E$85&lt;120,Paths!$E$85+'Operating costs'!$B$65&gt;Paths!$E$85,Paths!$E$85+'Operating costs'!$B$65&lt;=120,IF(Paths!$E$85+'Operating costs'!$B$65=0,C871=0,AND(C871&gt;0,Paths!$E$85+'Operating costs'!$B$65&gt;(C871-1)*12,Paths!$E$85+'Operating costs'!$B$65&lt;=C871*12))),'Operating costs'!$B$64,0)+IF(AND('Operating costs'!$B$67&gt;0,'Operating costs'!$B$67&lt;=120,OR(Paths!$D$85="ICE",'Operating costs'!$B$67&lt;=Paths!$E$85),IF('Operating costs'!$B$67=0,C871=0,AND(C871&gt;0,'Operating costs'!$B$67&gt;(C871-1)*12,'Operating costs'!$B$67&lt;=C871*12))),'Operating costs'!$B$66,0),"n.a."))</f>
        <v>0</v>
      </c>
      <c r="N871" s="16">
        <f>IF(NOT(Paths!$C$85=1),0,IF(Paths!$P$85="Complete",SUM(G871:I871)-J871-K871-L871+M871+IF(C871=0,Paths!$F$85,0)+IF(IF(Paths!$E$85=0,C871=0,AND(C871&gt;0,Paths!$E$85&gt;(C871-1)*12,Paths!$E$85&lt;=C871*12)),VLOOKUP(A871,'Fleet register'!$A$7:$S$106,16,FALSE),0),"n.a."))</f>
        <v>0</v>
      </c>
      <c r="O871" s="16">
        <f>IF(NOT(Paths!$C$85=1),0,IF(Paths!$P$85="Complete",N871-IF(C871=0,Paths!$F$85,0),"n.a."))</f>
        <v>0</v>
      </c>
      <c r="P871" s="16">
        <f>IF(NOT(Paths!$C$85=1),0,IF(Paths!$P$85="Complete",O871+L871,"n.a."))</f>
        <v>0</v>
      </c>
      <c r="Q871" s="16">
        <f>IF(NOT(Paths!$C$85=1),0,IF(Paths!$P$85="Complete",N871*(1+'Operating costs'!$B$54)^-C871,"n.a."))</f>
        <v>0</v>
      </c>
      <c r="R871" s="16">
        <f>IF(NOT(Paths!$C$85=1),0,IF(Paths!$P$85="Complete",IF(AND(C871=0,Paths!$E$85=0),I871-J871-K871+VLOOKUP(A871,'Fleet register'!$A$7:$S$106,15,FALSE)+VLOOKUP(A871,'Fleet register'!$A$7:$S$106,16,FALSE),0),"n.a."))</f>
        <v>0</v>
      </c>
      <c r="S871" s="1">
        <f>IF(NOT(Paths!$C$85=1),0,IF(Paths!$P$85="Complete",IF(C871=0,0,Paths!$S$85*Paths!$R$85),"n.a."))</f>
        <v>0</v>
      </c>
      <c r="T871" s="1">
        <f>IF(NOT(Paths!$C$85=1),0,IF(Paths!$P$85="Complete",IF(C871=0,0,VLOOKUP(A871,'Fleet register'!$A$7:$S$106,9,FALSE)*Paths!$R$85),"n.a."))</f>
        <v>0</v>
      </c>
    </row>
    <row r="872" spans="1:20" ht="24" customHeight="1">
      <c r="A872" s="1" t="str">
        <f>Paths!$A$85</f>
        <v>T020</v>
      </c>
      <c r="B872" s="1">
        <f>Paths!$B$85</f>
        <v>2</v>
      </c>
      <c r="C872" s="1">
        <v>7</v>
      </c>
      <c r="D872" s="1">
        <v>85</v>
      </c>
      <c r="E872" s="1">
        <f>IF(OR(Paths!$C$85=0,C872=0),0,MAX(0,MIN(C872*12,Paths!$E$85)-(C872-1)*12))</f>
        <v>0</v>
      </c>
      <c r="F872" s="1">
        <f>IF(OR(Paths!$C$85=0,C872=0),0,12-E872)</f>
        <v>0</v>
      </c>
      <c r="G872" s="16">
        <f>IF(NOT(Paths!$C$85=1),0,IF(Paths!$P$85="Complete",E872/12*(Paths!$J$85*(1+'Operating costs'!$B$51)^MAX(0,C872-1)+Paths!$K$85*(1+'Operating costs'!$B$53)^MAX(0,C872-1)),"n.a."))</f>
        <v>0</v>
      </c>
      <c r="H872" s="16">
        <f>IF(NOT(Paths!$C$85=1),0,IF(Paths!$P$85="Complete",F872/12*(Paths!$L$85*(1+IF(Paths!$D$85="EV",'Operating costs'!$B$52,'Operating costs'!$B$51))^MAX(0,C872-1)+Paths!$M$85*(1+'Operating costs'!$B$53)^MAX(0,C872-1)),"n.a."))</f>
        <v>0</v>
      </c>
      <c r="I872" s="16">
        <f>IF(NOT(Paths!$C$85=1),0,IF(Paths!$P$85="Complete",IF(IF(Paths!$E$85=0,C872=0,AND(C872&gt;0,Paths!$E$85&gt;(C872-1)*12,Paths!$E$85&lt;=C872*12)),Paths!$G$85,0),"n.a."))</f>
        <v>0</v>
      </c>
      <c r="J872" s="16">
        <f>IF(NOT(Paths!$C$85=1),0,IF(Paths!$P$85="Complete",IF(IF(Paths!$E$85=0,C872=0,AND(C872&gt;0,Paths!$E$85&gt;(C872-1)*12,Paths!$E$85&lt;=C872*12)),Paths!$H$85,0),"n.a."))</f>
        <v>0</v>
      </c>
      <c r="K872" s="16">
        <f>IF(NOT(Paths!$C$85=1),0,IF(Paths!$P$85="Complete",IF(IF(Paths!$O$85=0,C872=0,AND(C872&gt;0,Paths!$O$85&gt;(C872-1)*12,Paths!$O$85&lt;=C872*12)),Paths!$N$85,0),"n.a."))</f>
        <v>0</v>
      </c>
      <c r="L872" s="16">
        <f>IF(NOT(Paths!$C$85=1),0,IF(Paths!$P$85="Complete",IF(C872=10,Paths!$I$85,0),"n.a."))</f>
        <v>0</v>
      </c>
      <c r="M872" s="16">
        <f>IF(NOT(Paths!$C$85=1),0,IF(Paths!$P$85="Complete",IF(AND(Paths!$D$85="EV",Paths!$E$85&lt;120,Paths!$E$85+'Operating costs'!$B$65&gt;Paths!$E$85,Paths!$E$85+'Operating costs'!$B$65&lt;=120,IF(Paths!$E$85+'Operating costs'!$B$65=0,C872=0,AND(C872&gt;0,Paths!$E$85+'Operating costs'!$B$65&gt;(C872-1)*12,Paths!$E$85+'Operating costs'!$B$65&lt;=C872*12))),'Operating costs'!$B$64,0)+IF(AND('Operating costs'!$B$67&gt;0,'Operating costs'!$B$67&lt;=120,OR(Paths!$D$85="ICE",'Operating costs'!$B$67&lt;=Paths!$E$85),IF('Operating costs'!$B$67=0,C872=0,AND(C872&gt;0,'Operating costs'!$B$67&gt;(C872-1)*12,'Operating costs'!$B$67&lt;=C872*12))),'Operating costs'!$B$66,0),"n.a."))</f>
        <v>0</v>
      </c>
      <c r="N872" s="16">
        <f>IF(NOT(Paths!$C$85=1),0,IF(Paths!$P$85="Complete",SUM(G872:I872)-J872-K872-L872+M872+IF(C872=0,Paths!$F$85,0)+IF(IF(Paths!$E$85=0,C872=0,AND(C872&gt;0,Paths!$E$85&gt;(C872-1)*12,Paths!$E$85&lt;=C872*12)),VLOOKUP(A872,'Fleet register'!$A$7:$S$106,16,FALSE),0),"n.a."))</f>
        <v>0</v>
      </c>
      <c r="O872" s="16">
        <f>IF(NOT(Paths!$C$85=1),0,IF(Paths!$P$85="Complete",N872-IF(C872=0,Paths!$F$85,0),"n.a."))</f>
        <v>0</v>
      </c>
      <c r="P872" s="16">
        <f>IF(NOT(Paths!$C$85=1),0,IF(Paths!$P$85="Complete",O872+L872,"n.a."))</f>
        <v>0</v>
      </c>
      <c r="Q872" s="16">
        <f>IF(NOT(Paths!$C$85=1),0,IF(Paths!$P$85="Complete",N872*(1+'Operating costs'!$B$54)^-C872,"n.a."))</f>
        <v>0</v>
      </c>
      <c r="R872" s="16">
        <f>IF(NOT(Paths!$C$85=1),0,IF(Paths!$P$85="Complete",IF(AND(C872=0,Paths!$E$85=0),I872-J872-K872+VLOOKUP(A872,'Fleet register'!$A$7:$S$106,15,FALSE)+VLOOKUP(A872,'Fleet register'!$A$7:$S$106,16,FALSE),0),"n.a."))</f>
        <v>0</v>
      </c>
      <c r="S872" s="1">
        <f>IF(NOT(Paths!$C$85=1),0,IF(Paths!$P$85="Complete",IF(C872=0,0,Paths!$S$85*Paths!$R$85),"n.a."))</f>
        <v>0</v>
      </c>
      <c r="T872" s="1">
        <f>IF(NOT(Paths!$C$85=1),0,IF(Paths!$P$85="Complete",IF(C872=0,0,VLOOKUP(A872,'Fleet register'!$A$7:$S$106,9,FALSE)*Paths!$R$85),"n.a."))</f>
        <v>0</v>
      </c>
    </row>
    <row r="873" spans="1:20" ht="24" customHeight="1">
      <c r="A873" s="1" t="str">
        <f>Paths!$A$85</f>
        <v>T020</v>
      </c>
      <c r="B873" s="1">
        <f>Paths!$B$85</f>
        <v>2</v>
      </c>
      <c r="C873" s="1">
        <v>8</v>
      </c>
      <c r="D873" s="1">
        <v>85</v>
      </c>
      <c r="E873" s="1">
        <f>IF(OR(Paths!$C$85=0,C873=0),0,MAX(0,MIN(C873*12,Paths!$E$85)-(C873-1)*12))</f>
        <v>0</v>
      </c>
      <c r="F873" s="1">
        <f>IF(OR(Paths!$C$85=0,C873=0),0,12-E873)</f>
        <v>0</v>
      </c>
      <c r="G873" s="16">
        <f>IF(NOT(Paths!$C$85=1),0,IF(Paths!$P$85="Complete",E873/12*(Paths!$J$85*(1+'Operating costs'!$B$51)^MAX(0,C873-1)+Paths!$K$85*(1+'Operating costs'!$B$53)^MAX(0,C873-1)),"n.a."))</f>
        <v>0</v>
      </c>
      <c r="H873" s="16">
        <f>IF(NOT(Paths!$C$85=1),0,IF(Paths!$P$85="Complete",F873/12*(Paths!$L$85*(1+IF(Paths!$D$85="EV",'Operating costs'!$B$52,'Operating costs'!$B$51))^MAX(0,C873-1)+Paths!$M$85*(1+'Operating costs'!$B$53)^MAX(0,C873-1)),"n.a."))</f>
        <v>0</v>
      </c>
      <c r="I873" s="16">
        <f>IF(NOT(Paths!$C$85=1),0,IF(Paths!$P$85="Complete",IF(IF(Paths!$E$85=0,C873=0,AND(C873&gt;0,Paths!$E$85&gt;(C873-1)*12,Paths!$E$85&lt;=C873*12)),Paths!$G$85,0),"n.a."))</f>
        <v>0</v>
      </c>
      <c r="J873" s="16">
        <f>IF(NOT(Paths!$C$85=1),0,IF(Paths!$P$85="Complete",IF(IF(Paths!$E$85=0,C873=0,AND(C873&gt;0,Paths!$E$85&gt;(C873-1)*12,Paths!$E$85&lt;=C873*12)),Paths!$H$85,0),"n.a."))</f>
        <v>0</v>
      </c>
      <c r="K873" s="16">
        <f>IF(NOT(Paths!$C$85=1),0,IF(Paths!$P$85="Complete",IF(IF(Paths!$O$85=0,C873=0,AND(C873&gt;0,Paths!$O$85&gt;(C873-1)*12,Paths!$O$85&lt;=C873*12)),Paths!$N$85,0),"n.a."))</f>
        <v>0</v>
      </c>
      <c r="L873" s="16">
        <f>IF(NOT(Paths!$C$85=1),0,IF(Paths!$P$85="Complete",IF(C873=10,Paths!$I$85,0),"n.a."))</f>
        <v>0</v>
      </c>
      <c r="M873" s="16">
        <f>IF(NOT(Paths!$C$85=1),0,IF(Paths!$P$85="Complete",IF(AND(Paths!$D$85="EV",Paths!$E$85&lt;120,Paths!$E$85+'Operating costs'!$B$65&gt;Paths!$E$85,Paths!$E$85+'Operating costs'!$B$65&lt;=120,IF(Paths!$E$85+'Operating costs'!$B$65=0,C873=0,AND(C873&gt;0,Paths!$E$85+'Operating costs'!$B$65&gt;(C873-1)*12,Paths!$E$85+'Operating costs'!$B$65&lt;=C873*12))),'Operating costs'!$B$64,0)+IF(AND('Operating costs'!$B$67&gt;0,'Operating costs'!$B$67&lt;=120,OR(Paths!$D$85="ICE",'Operating costs'!$B$67&lt;=Paths!$E$85),IF('Operating costs'!$B$67=0,C873=0,AND(C873&gt;0,'Operating costs'!$B$67&gt;(C873-1)*12,'Operating costs'!$B$67&lt;=C873*12))),'Operating costs'!$B$66,0),"n.a."))</f>
        <v>0</v>
      </c>
      <c r="N873" s="16">
        <f>IF(NOT(Paths!$C$85=1),0,IF(Paths!$P$85="Complete",SUM(G873:I873)-J873-K873-L873+M873+IF(C873=0,Paths!$F$85,0)+IF(IF(Paths!$E$85=0,C873=0,AND(C873&gt;0,Paths!$E$85&gt;(C873-1)*12,Paths!$E$85&lt;=C873*12)),VLOOKUP(A873,'Fleet register'!$A$7:$S$106,16,FALSE),0),"n.a."))</f>
        <v>0</v>
      </c>
      <c r="O873" s="16">
        <f>IF(NOT(Paths!$C$85=1),0,IF(Paths!$P$85="Complete",N873-IF(C873=0,Paths!$F$85,0),"n.a."))</f>
        <v>0</v>
      </c>
      <c r="P873" s="16">
        <f>IF(NOT(Paths!$C$85=1),0,IF(Paths!$P$85="Complete",O873+L873,"n.a."))</f>
        <v>0</v>
      </c>
      <c r="Q873" s="16">
        <f>IF(NOT(Paths!$C$85=1),0,IF(Paths!$P$85="Complete",N873*(1+'Operating costs'!$B$54)^-C873,"n.a."))</f>
        <v>0</v>
      </c>
      <c r="R873" s="16">
        <f>IF(NOT(Paths!$C$85=1),0,IF(Paths!$P$85="Complete",IF(AND(C873=0,Paths!$E$85=0),I873-J873-K873+VLOOKUP(A873,'Fleet register'!$A$7:$S$106,15,FALSE)+VLOOKUP(A873,'Fleet register'!$A$7:$S$106,16,FALSE),0),"n.a."))</f>
        <v>0</v>
      </c>
      <c r="S873" s="1">
        <f>IF(NOT(Paths!$C$85=1),0,IF(Paths!$P$85="Complete",IF(C873=0,0,Paths!$S$85*Paths!$R$85),"n.a."))</f>
        <v>0</v>
      </c>
      <c r="T873" s="1">
        <f>IF(NOT(Paths!$C$85=1),0,IF(Paths!$P$85="Complete",IF(C873=0,0,VLOOKUP(A873,'Fleet register'!$A$7:$S$106,9,FALSE)*Paths!$R$85),"n.a."))</f>
        <v>0</v>
      </c>
    </row>
    <row r="874" spans="1:20" ht="24" customHeight="1">
      <c r="A874" s="1" t="str">
        <f>Paths!$A$85</f>
        <v>T020</v>
      </c>
      <c r="B874" s="1">
        <f>Paths!$B$85</f>
        <v>2</v>
      </c>
      <c r="C874" s="1">
        <v>9</v>
      </c>
      <c r="D874" s="1">
        <v>85</v>
      </c>
      <c r="E874" s="1">
        <f>IF(OR(Paths!$C$85=0,C874=0),0,MAX(0,MIN(C874*12,Paths!$E$85)-(C874-1)*12))</f>
        <v>0</v>
      </c>
      <c r="F874" s="1">
        <f>IF(OR(Paths!$C$85=0,C874=0),0,12-E874)</f>
        <v>0</v>
      </c>
      <c r="G874" s="16">
        <f>IF(NOT(Paths!$C$85=1),0,IF(Paths!$P$85="Complete",E874/12*(Paths!$J$85*(1+'Operating costs'!$B$51)^MAX(0,C874-1)+Paths!$K$85*(1+'Operating costs'!$B$53)^MAX(0,C874-1)),"n.a."))</f>
        <v>0</v>
      </c>
      <c r="H874" s="16">
        <f>IF(NOT(Paths!$C$85=1),0,IF(Paths!$P$85="Complete",F874/12*(Paths!$L$85*(1+IF(Paths!$D$85="EV",'Operating costs'!$B$52,'Operating costs'!$B$51))^MAX(0,C874-1)+Paths!$M$85*(1+'Operating costs'!$B$53)^MAX(0,C874-1)),"n.a."))</f>
        <v>0</v>
      </c>
      <c r="I874" s="16">
        <f>IF(NOT(Paths!$C$85=1),0,IF(Paths!$P$85="Complete",IF(IF(Paths!$E$85=0,C874=0,AND(C874&gt;0,Paths!$E$85&gt;(C874-1)*12,Paths!$E$85&lt;=C874*12)),Paths!$G$85,0),"n.a."))</f>
        <v>0</v>
      </c>
      <c r="J874" s="16">
        <f>IF(NOT(Paths!$C$85=1),0,IF(Paths!$P$85="Complete",IF(IF(Paths!$E$85=0,C874=0,AND(C874&gt;0,Paths!$E$85&gt;(C874-1)*12,Paths!$E$85&lt;=C874*12)),Paths!$H$85,0),"n.a."))</f>
        <v>0</v>
      </c>
      <c r="K874" s="16">
        <f>IF(NOT(Paths!$C$85=1),0,IF(Paths!$P$85="Complete",IF(IF(Paths!$O$85=0,C874=0,AND(C874&gt;0,Paths!$O$85&gt;(C874-1)*12,Paths!$O$85&lt;=C874*12)),Paths!$N$85,0),"n.a."))</f>
        <v>0</v>
      </c>
      <c r="L874" s="16">
        <f>IF(NOT(Paths!$C$85=1),0,IF(Paths!$P$85="Complete",IF(C874=10,Paths!$I$85,0),"n.a."))</f>
        <v>0</v>
      </c>
      <c r="M874" s="16">
        <f>IF(NOT(Paths!$C$85=1),0,IF(Paths!$P$85="Complete",IF(AND(Paths!$D$85="EV",Paths!$E$85&lt;120,Paths!$E$85+'Operating costs'!$B$65&gt;Paths!$E$85,Paths!$E$85+'Operating costs'!$B$65&lt;=120,IF(Paths!$E$85+'Operating costs'!$B$65=0,C874=0,AND(C874&gt;0,Paths!$E$85+'Operating costs'!$B$65&gt;(C874-1)*12,Paths!$E$85+'Operating costs'!$B$65&lt;=C874*12))),'Operating costs'!$B$64,0)+IF(AND('Operating costs'!$B$67&gt;0,'Operating costs'!$B$67&lt;=120,OR(Paths!$D$85="ICE",'Operating costs'!$B$67&lt;=Paths!$E$85),IF('Operating costs'!$B$67=0,C874=0,AND(C874&gt;0,'Operating costs'!$B$67&gt;(C874-1)*12,'Operating costs'!$B$67&lt;=C874*12))),'Operating costs'!$B$66,0),"n.a."))</f>
        <v>0</v>
      </c>
      <c r="N874" s="16">
        <f>IF(NOT(Paths!$C$85=1),0,IF(Paths!$P$85="Complete",SUM(G874:I874)-J874-K874-L874+M874+IF(C874=0,Paths!$F$85,0)+IF(IF(Paths!$E$85=0,C874=0,AND(C874&gt;0,Paths!$E$85&gt;(C874-1)*12,Paths!$E$85&lt;=C874*12)),VLOOKUP(A874,'Fleet register'!$A$7:$S$106,16,FALSE),0),"n.a."))</f>
        <v>0</v>
      </c>
      <c r="O874" s="16">
        <f>IF(NOT(Paths!$C$85=1),0,IF(Paths!$P$85="Complete",N874-IF(C874=0,Paths!$F$85,0),"n.a."))</f>
        <v>0</v>
      </c>
      <c r="P874" s="16">
        <f>IF(NOT(Paths!$C$85=1),0,IF(Paths!$P$85="Complete",O874+L874,"n.a."))</f>
        <v>0</v>
      </c>
      <c r="Q874" s="16">
        <f>IF(NOT(Paths!$C$85=1),0,IF(Paths!$P$85="Complete",N874*(1+'Operating costs'!$B$54)^-C874,"n.a."))</f>
        <v>0</v>
      </c>
      <c r="R874" s="16">
        <f>IF(NOT(Paths!$C$85=1),0,IF(Paths!$P$85="Complete",IF(AND(C874=0,Paths!$E$85=0),I874-J874-K874+VLOOKUP(A874,'Fleet register'!$A$7:$S$106,15,FALSE)+VLOOKUP(A874,'Fleet register'!$A$7:$S$106,16,FALSE),0),"n.a."))</f>
        <v>0</v>
      </c>
      <c r="S874" s="1">
        <f>IF(NOT(Paths!$C$85=1),0,IF(Paths!$P$85="Complete",IF(C874=0,0,Paths!$S$85*Paths!$R$85),"n.a."))</f>
        <v>0</v>
      </c>
      <c r="T874" s="1">
        <f>IF(NOT(Paths!$C$85=1),0,IF(Paths!$P$85="Complete",IF(C874=0,0,VLOOKUP(A874,'Fleet register'!$A$7:$S$106,9,FALSE)*Paths!$R$85),"n.a."))</f>
        <v>0</v>
      </c>
    </row>
    <row r="875" spans="1:20" ht="24" customHeight="1">
      <c r="A875" s="1" t="str">
        <f>Paths!$A$85</f>
        <v>T020</v>
      </c>
      <c r="B875" s="1">
        <f>Paths!$B$85</f>
        <v>2</v>
      </c>
      <c r="C875" s="1">
        <v>10</v>
      </c>
      <c r="D875" s="1">
        <v>85</v>
      </c>
      <c r="E875" s="1">
        <f>IF(OR(Paths!$C$85=0,C875=0),0,MAX(0,MIN(C875*12,Paths!$E$85)-(C875-1)*12))</f>
        <v>0</v>
      </c>
      <c r="F875" s="1">
        <f>IF(OR(Paths!$C$85=0,C875=0),0,12-E875)</f>
        <v>0</v>
      </c>
      <c r="G875" s="16">
        <f>IF(NOT(Paths!$C$85=1),0,IF(Paths!$P$85="Complete",E875/12*(Paths!$J$85*(1+'Operating costs'!$B$51)^MAX(0,C875-1)+Paths!$K$85*(1+'Operating costs'!$B$53)^MAX(0,C875-1)),"n.a."))</f>
        <v>0</v>
      </c>
      <c r="H875" s="16">
        <f>IF(NOT(Paths!$C$85=1),0,IF(Paths!$P$85="Complete",F875/12*(Paths!$L$85*(1+IF(Paths!$D$85="EV",'Operating costs'!$B$52,'Operating costs'!$B$51))^MAX(0,C875-1)+Paths!$M$85*(1+'Operating costs'!$B$53)^MAX(0,C875-1)),"n.a."))</f>
        <v>0</v>
      </c>
      <c r="I875" s="16">
        <f>IF(NOT(Paths!$C$85=1),0,IF(Paths!$P$85="Complete",IF(IF(Paths!$E$85=0,C875=0,AND(C875&gt;0,Paths!$E$85&gt;(C875-1)*12,Paths!$E$85&lt;=C875*12)),Paths!$G$85,0),"n.a."))</f>
        <v>0</v>
      </c>
      <c r="J875" s="16">
        <f>IF(NOT(Paths!$C$85=1),0,IF(Paths!$P$85="Complete",IF(IF(Paths!$E$85=0,C875=0,AND(C875&gt;0,Paths!$E$85&gt;(C875-1)*12,Paths!$E$85&lt;=C875*12)),Paths!$H$85,0),"n.a."))</f>
        <v>0</v>
      </c>
      <c r="K875" s="16">
        <f>IF(NOT(Paths!$C$85=1),0,IF(Paths!$P$85="Complete",IF(IF(Paths!$O$85=0,C875=0,AND(C875&gt;0,Paths!$O$85&gt;(C875-1)*12,Paths!$O$85&lt;=C875*12)),Paths!$N$85,0),"n.a."))</f>
        <v>0</v>
      </c>
      <c r="L875" s="16">
        <f>IF(NOT(Paths!$C$85=1),0,IF(Paths!$P$85="Complete",IF(C875=10,Paths!$I$85,0),"n.a."))</f>
        <v>0</v>
      </c>
      <c r="M875" s="16">
        <f>IF(NOT(Paths!$C$85=1),0,IF(Paths!$P$85="Complete",IF(AND(Paths!$D$85="EV",Paths!$E$85&lt;120,Paths!$E$85+'Operating costs'!$B$65&gt;Paths!$E$85,Paths!$E$85+'Operating costs'!$B$65&lt;=120,IF(Paths!$E$85+'Operating costs'!$B$65=0,C875=0,AND(C875&gt;0,Paths!$E$85+'Operating costs'!$B$65&gt;(C875-1)*12,Paths!$E$85+'Operating costs'!$B$65&lt;=C875*12))),'Operating costs'!$B$64,0)+IF(AND('Operating costs'!$B$67&gt;0,'Operating costs'!$B$67&lt;=120,OR(Paths!$D$85="ICE",'Operating costs'!$B$67&lt;=Paths!$E$85),IF('Operating costs'!$B$67=0,C875=0,AND(C875&gt;0,'Operating costs'!$B$67&gt;(C875-1)*12,'Operating costs'!$B$67&lt;=C875*12))),'Operating costs'!$B$66,0),"n.a."))</f>
        <v>0</v>
      </c>
      <c r="N875" s="16">
        <f>IF(NOT(Paths!$C$85=1),0,IF(Paths!$P$85="Complete",SUM(G875:I875)-J875-K875-L875+M875+IF(C875=0,Paths!$F$85,0)+IF(IF(Paths!$E$85=0,C875=0,AND(C875&gt;0,Paths!$E$85&gt;(C875-1)*12,Paths!$E$85&lt;=C875*12)),VLOOKUP(A875,'Fleet register'!$A$7:$S$106,16,FALSE),0),"n.a."))</f>
        <v>0</v>
      </c>
      <c r="O875" s="16">
        <f>IF(NOT(Paths!$C$85=1),0,IF(Paths!$P$85="Complete",N875-IF(C875=0,Paths!$F$85,0),"n.a."))</f>
        <v>0</v>
      </c>
      <c r="P875" s="16">
        <f>IF(NOT(Paths!$C$85=1),0,IF(Paths!$P$85="Complete",O875+L875,"n.a."))</f>
        <v>0</v>
      </c>
      <c r="Q875" s="16">
        <f>IF(NOT(Paths!$C$85=1),0,IF(Paths!$P$85="Complete",N875*(1+'Operating costs'!$B$54)^-C875,"n.a."))</f>
        <v>0</v>
      </c>
      <c r="R875" s="16">
        <f>IF(NOT(Paths!$C$85=1),0,IF(Paths!$P$85="Complete",IF(AND(C875=0,Paths!$E$85=0),I875-J875-K875+VLOOKUP(A875,'Fleet register'!$A$7:$S$106,15,FALSE)+VLOOKUP(A875,'Fleet register'!$A$7:$S$106,16,FALSE),0),"n.a."))</f>
        <v>0</v>
      </c>
      <c r="S875" s="1">
        <f>IF(NOT(Paths!$C$85=1),0,IF(Paths!$P$85="Complete",IF(C875=0,0,Paths!$S$85*Paths!$R$85),"n.a."))</f>
        <v>0</v>
      </c>
      <c r="T875" s="1">
        <f>IF(NOT(Paths!$C$85=1),0,IF(Paths!$P$85="Complete",IF(C875=0,0,VLOOKUP(A875,'Fleet register'!$A$7:$S$106,9,FALSE)*Paths!$R$85),"n.a."))</f>
        <v>0</v>
      </c>
    </row>
    <row r="876" spans="1:20" ht="24" customHeight="1">
      <c r="A876" s="1" t="str">
        <f>Paths!$A$86</f>
        <v>T020</v>
      </c>
      <c r="B876" s="1">
        <f>Paths!$B$86</f>
        <v>3</v>
      </c>
      <c r="C876" s="1">
        <v>0</v>
      </c>
      <c r="D876" s="1">
        <v>86</v>
      </c>
      <c r="E876" s="1">
        <f>IF(OR(Paths!$C$86=0,C876=0),0,MAX(0,MIN(C876*12,Paths!$E$86)-(C876-1)*12))</f>
        <v>0</v>
      </c>
      <c r="F876" s="1">
        <f>IF(OR(Paths!$C$86=0,C876=0),0,12-E876)</f>
        <v>0</v>
      </c>
      <c r="G876" s="16">
        <f>IF(NOT(Paths!$C$86=1),0,IF(Paths!$P$86="Complete",E876/12*(Paths!$J$86*(1+'Operating costs'!$B$51)^MAX(0,C876-1)+Paths!$K$86*(1+'Operating costs'!$B$53)^MAX(0,C876-1)),"n.a."))</f>
        <v>0</v>
      </c>
      <c r="H876" s="16">
        <f>IF(NOT(Paths!$C$86=1),0,IF(Paths!$P$86="Complete",F876/12*(Paths!$L$86*(1+IF(Paths!$D$86="EV",'Operating costs'!$B$52,'Operating costs'!$B$51))^MAX(0,C876-1)+Paths!$M$86*(1+'Operating costs'!$B$53)^MAX(0,C876-1)),"n.a."))</f>
        <v>0</v>
      </c>
      <c r="I876" s="16">
        <f>IF(NOT(Paths!$C$86=1),0,IF(Paths!$P$86="Complete",IF(IF(Paths!$E$86=0,C876=0,AND(C876&gt;0,Paths!$E$86&gt;(C876-1)*12,Paths!$E$86&lt;=C876*12)),Paths!$G$86,0),"n.a."))</f>
        <v>0</v>
      </c>
      <c r="J876" s="16">
        <f>IF(NOT(Paths!$C$86=1),0,IF(Paths!$P$86="Complete",IF(IF(Paths!$E$86=0,C876=0,AND(C876&gt;0,Paths!$E$86&gt;(C876-1)*12,Paths!$E$86&lt;=C876*12)),Paths!$H$86,0),"n.a."))</f>
        <v>0</v>
      </c>
      <c r="K876" s="16">
        <f>IF(NOT(Paths!$C$86=1),0,IF(Paths!$P$86="Complete",IF(IF(Paths!$O$86=0,C876=0,AND(C876&gt;0,Paths!$O$86&gt;(C876-1)*12,Paths!$O$86&lt;=C876*12)),Paths!$N$86,0),"n.a."))</f>
        <v>0</v>
      </c>
      <c r="L876" s="16">
        <f>IF(NOT(Paths!$C$86=1),0,IF(Paths!$P$86="Complete",IF(C876=10,Paths!$I$86,0),"n.a."))</f>
        <v>0</v>
      </c>
      <c r="M876" s="16">
        <f>IF(NOT(Paths!$C$86=1),0,IF(Paths!$P$86="Complete",IF(AND(Paths!$D$86="EV",Paths!$E$86&lt;120,Paths!$E$86+'Operating costs'!$B$65&gt;Paths!$E$86,Paths!$E$86+'Operating costs'!$B$65&lt;=120,IF(Paths!$E$86+'Operating costs'!$B$65=0,C876=0,AND(C876&gt;0,Paths!$E$86+'Operating costs'!$B$65&gt;(C876-1)*12,Paths!$E$86+'Operating costs'!$B$65&lt;=C876*12))),'Operating costs'!$B$64,0)+IF(AND('Operating costs'!$B$67&gt;0,'Operating costs'!$B$67&lt;=120,OR(Paths!$D$86="ICE",'Operating costs'!$B$67&lt;=Paths!$E$86),IF('Operating costs'!$B$67=0,C876=0,AND(C876&gt;0,'Operating costs'!$B$67&gt;(C876-1)*12,'Operating costs'!$B$67&lt;=C876*12))),'Operating costs'!$B$66,0),"n.a."))</f>
        <v>0</v>
      </c>
      <c r="N876" s="16">
        <f>IF(NOT(Paths!$C$86=1),0,IF(Paths!$P$86="Complete",SUM(G876:I876)-J876-K876-L876+M876+IF(C876=0,Paths!$F$86,0)+IF(IF(Paths!$E$86=0,C876=0,AND(C876&gt;0,Paths!$E$86&gt;(C876-1)*12,Paths!$E$86&lt;=C876*12)),VLOOKUP(A876,'Fleet register'!$A$7:$S$106,16,FALSE),0),"n.a."))</f>
        <v>0</v>
      </c>
      <c r="O876" s="16">
        <f>IF(NOT(Paths!$C$86=1),0,IF(Paths!$P$86="Complete",N876-IF(C876=0,Paths!$F$86,0),"n.a."))</f>
        <v>0</v>
      </c>
      <c r="P876" s="16">
        <f>IF(NOT(Paths!$C$86=1),0,IF(Paths!$P$86="Complete",O876+L876,"n.a."))</f>
        <v>0</v>
      </c>
      <c r="Q876" s="16">
        <f>IF(NOT(Paths!$C$86=1),0,IF(Paths!$P$86="Complete",N876*(1+'Operating costs'!$B$54)^-C876,"n.a."))</f>
        <v>0</v>
      </c>
      <c r="R876" s="16">
        <f>IF(NOT(Paths!$C$86=1),0,IF(Paths!$P$86="Complete",IF(AND(C876=0,Paths!$E$86=0),I876-J876-K876+VLOOKUP(A876,'Fleet register'!$A$7:$S$106,15,FALSE)+VLOOKUP(A876,'Fleet register'!$A$7:$S$106,16,FALSE),0),"n.a."))</f>
        <v>0</v>
      </c>
      <c r="S876" s="1">
        <f>IF(NOT(Paths!$C$86=1),0,IF(Paths!$P$86="Complete",IF(C876=0,0,Paths!$S$86*Paths!$R$86),"n.a."))</f>
        <v>0</v>
      </c>
      <c r="T876" s="1">
        <f>IF(NOT(Paths!$C$86=1),0,IF(Paths!$P$86="Complete",IF(C876=0,0,VLOOKUP(A876,'Fleet register'!$A$7:$S$106,9,FALSE)*Paths!$R$86),"n.a."))</f>
        <v>0</v>
      </c>
    </row>
    <row r="877" spans="1:20" ht="24" customHeight="1">
      <c r="A877" s="1" t="str">
        <f>Paths!$A$86</f>
        <v>T020</v>
      </c>
      <c r="B877" s="1">
        <f>Paths!$B$86</f>
        <v>3</v>
      </c>
      <c r="C877" s="1">
        <v>1</v>
      </c>
      <c r="D877" s="1">
        <v>86</v>
      </c>
      <c r="E877" s="1">
        <f>IF(OR(Paths!$C$86=0,C877=0),0,MAX(0,MIN(C877*12,Paths!$E$86)-(C877-1)*12))</f>
        <v>0</v>
      </c>
      <c r="F877" s="1">
        <f>IF(OR(Paths!$C$86=0,C877=0),0,12-E877)</f>
        <v>0</v>
      </c>
      <c r="G877" s="16">
        <f>IF(NOT(Paths!$C$86=1),0,IF(Paths!$P$86="Complete",E877/12*(Paths!$J$86*(1+'Operating costs'!$B$51)^MAX(0,C877-1)+Paths!$K$86*(1+'Operating costs'!$B$53)^MAX(0,C877-1)),"n.a."))</f>
        <v>0</v>
      </c>
      <c r="H877" s="16">
        <f>IF(NOT(Paths!$C$86=1),0,IF(Paths!$P$86="Complete",F877/12*(Paths!$L$86*(1+IF(Paths!$D$86="EV",'Operating costs'!$B$52,'Operating costs'!$B$51))^MAX(0,C877-1)+Paths!$M$86*(1+'Operating costs'!$B$53)^MAX(0,C877-1)),"n.a."))</f>
        <v>0</v>
      </c>
      <c r="I877" s="16">
        <f>IF(NOT(Paths!$C$86=1),0,IF(Paths!$P$86="Complete",IF(IF(Paths!$E$86=0,C877=0,AND(C877&gt;0,Paths!$E$86&gt;(C877-1)*12,Paths!$E$86&lt;=C877*12)),Paths!$G$86,0),"n.a."))</f>
        <v>0</v>
      </c>
      <c r="J877" s="16">
        <f>IF(NOT(Paths!$C$86=1),0,IF(Paths!$P$86="Complete",IF(IF(Paths!$E$86=0,C877=0,AND(C877&gt;0,Paths!$E$86&gt;(C877-1)*12,Paths!$E$86&lt;=C877*12)),Paths!$H$86,0),"n.a."))</f>
        <v>0</v>
      </c>
      <c r="K877" s="16">
        <f>IF(NOT(Paths!$C$86=1),0,IF(Paths!$P$86="Complete",IF(IF(Paths!$O$86=0,C877=0,AND(C877&gt;0,Paths!$O$86&gt;(C877-1)*12,Paths!$O$86&lt;=C877*12)),Paths!$N$86,0),"n.a."))</f>
        <v>0</v>
      </c>
      <c r="L877" s="16">
        <f>IF(NOT(Paths!$C$86=1),0,IF(Paths!$P$86="Complete",IF(C877=10,Paths!$I$86,0),"n.a."))</f>
        <v>0</v>
      </c>
      <c r="M877" s="16">
        <f>IF(NOT(Paths!$C$86=1),0,IF(Paths!$P$86="Complete",IF(AND(Paths!$D$86="EV",Paths!$E$86&lt;120,Paths!$E$86+'Operating costs'!$B$65&gt;Paths!$E$86,Paths!$E$86+'Operating costs'!$B$65&lt;=120,IF(Paths!$E$86+'Operating costs'!$B$65=0,C877=0,AND(C877&gt;0,Paths!$E$86+'Operating costs'!$B$65&gt;(C877-1)*12,Paths!$E$86+'Operating costs'!$B$65&lt;=C877*12))),'Operating costs'!$B$64,0)+IF(AND('Operating costs'!$B$67&gt;0,'Operating costs'!$B$67&lt;=120,OR(Paths!$D$86="ICE",'Operating costs'!$B$67&lt;=Paths!$E$86),IF('Operating costs'!$B$67=0,C877=0,AND(C877&gt;0,'Operating costs'!$B$67&gt;(C877-1)*12,'Operating costs'!$B$67&lt;=C877*12))),'Operating costs'!$B$66,0),"n.a."))</f>
        <v>0</v>
      </c>
      <c r="N877" s="16">
        <f>IF(NOT(Paths!$C$86=1),0,IF(Paths!$P$86="Complete",SUM(G877:I877)-J877-K877-L877+M877+IF(C877=0,Paths!$F$86,0)+IF(IF(Paths!$E$86=0,C877=0,AND(C877&gt;0,Paths!$E$86&gt;(C877-1)*12,Paths!$E$86&lt;=C877*12)),VLOOKUP(A877,'Fleet register'!$A$7:$S$106,16,FALSE),0),"n.a."))</f>
        <v>0</v>
      </c>
      <c r="O877" s="16">
        <f>IF(NOT(Paths!$C$86=1),0,IF(Paths!$P$86="Complete",N877-IF(C877=0,Paths!$F$86,0),"n.a."))</f>
        <v>0</v>
      </c>
      <c r="P877" s="16">
        <f>IF(NOT(Paths!$C$86=1),0,IF(Paths!$P$86="Complete",O877+L877,"n.a."))</f>
        <v>0</v>
      </c>
      <c r="Q877" s="16">
        <f>IF(NOT(Paths!$C$86=1),0,IF(Paths!$P$86="Complete",N877*(1+'Operating costs'!$B$54)^-C877,"n.a."))</f>
        <v>0</v>
      </c>
      <c r="R877" s="16">
        <f>IF(NOT(Paths!$C$86=1),0,IF(Paths!$P$86="Complete",IF(AND(C877=0,Paths!$E$86=0),I877-J877-K877+VLOOKUP(A877,'Fleet register'!$A$7:$S$106,15,FALSE)+VLOOKUP(A877,'Fleet register'!$A$7:$S$106,16,FALSE),0),"n.a."))</f>
        <v>0</v>
      </c>
      <c r="S877" s="1">
        <f>IF(NOT(Paths!$C$86=1),0,IF(Paths!$P$86="Complete",IF(C877=0,0,Paths!$S$86*Paths!$R$86),"n.a."))</f>
        <v>0</v>
      </c>
      <c r="T877" s="1">
        <f>IF(NOT(Paths!$C$86=1),0,IF(Paths!$P$86="Complete",IF(C877=0,0,VLOOKUP(A877,'Fleet register'!$A$7:$S$106,9,FALSE)*Paths!$R$86),"n.a."))</f>
        <v>0</v>
      </c>
    </row>
    <row r="878" spans="1:20" ht="24" customHeight="1">
      <c r="A878" s="1" t="str">
        <f>Paths!$A$86</f>
        <v>T020</v>
      </c>
      <c r="B878" s="1">
        <f>Paths!$B$86</f>
        <v>3</v>
      </c>
      <c r="C878" s="1">
        <v>2</v>
      </c>
      <c r="D878" s="1">
        <v>86</v>
      </c>
      <c r="E878" s="1">
        <f>IF(OR(Paths!$C$86=0,C878=0),0,MAX(0,MIN(C878*12,Paths!$E$86)-(C878-1)*12))</f>
        <v>0</v>
      </c>
      <c r="F878" s="1">
        <f>IF(OR(Paths!$C$86=0,C878=0),0,12-E878)</f>
        <v>0</v>
      </c>
      <c r="G878" s="16">
        <f>IF(NOT(Paths!$C$86=1),0,IF(Paths!$P$86="Complete",E878/12*(Paths!$J$86*(1+'Operating costs'!$B$51)^MAX(0,C878-1)+Paths!$K$86*(1+'Operating costs'!$B$53)^MAX(0,C878-1)),"n.a."))</f>
        <v>0</v>
      </c>
      <c r="H878" s="16">
        <f>IF(NOT(Paths!$C$86=1),0,IF(Paths!$P$86="Complete",F878/12*(Paths!$L$86*(1+IF(Paths!$D$86="EV",'Operating costs'!$B$52,'Operating costs'!$B$51))^MAX(0,C878-1)+Paths!$M$86*(1+'Operating costs'!$B$53)^MAX(0,C878-1)),"n.a."))</f>
        <v>0</v>
      </c>
      <c r="I878" s="16">
        <f>IF(NOT(Paths!$C$86=1),0,IF(Paths!$P$86="Complete",IF(IF(Paths!$E$86=0,C878=0,AND(C878&gt;0,Paths!$E$86&gt;(C878-1)*12,Paths!$E$86&lt;=C878*12)),Paths!$G$86,0),"n.a."))</f>
        <v>0</v>
      </c>
      <c r="J878" s="16">
        <f>IF(NOT(Paths!$C$86=1),0,IF(Paths!$P$86="Complete",IF(IF(Paths!$E$86=0,C878=0,AND(C878&gt;0,Paths!$E$86&gt;(C878-1)*12,Paths!$E$86&lt;=C878*12)),Paths!$H$86,0),"n.a."))</f>
        <v>0</v>
      </c>
      <c r="K878" s="16">
        <f>IF(NOT(Paths!$C$86=1),0,IF(Paths!$P$86="Complete",IF(IF(Paths!$O$86=0,C878=0,AND(C878&gt;0,Paths!$O$86&gt;(C878-1)*12,Paths!$O$86&lt;=C878*12)),Paths!$N$86,0),"n.a."))</f>
        <v>0</v>
      </c>
      <c r="L878" s="16">
        <f>IF(NOT(Paths!$C$86=1),0,IF(Paths!$P$86="Complete",IF(C878=10,Paths!$I$86,0),"n.a."))</f>
        <v>0</v>
      </c>
      <c r="M878" s="16">
        <f>IF(NOT(Paths!$C$86=1),0,IF(Paths!$P$86="Complete",IF(AND(Paths!$D$86="EV",Paths!$E$86&lt;120,Paths!$E$86+'Operating costs'!$B$65&gt;Paths!$E$86,Paths!$E$86+'Operating costs'!$B$65&lt;=120,IF(Paths!$E$86+'Operating costs'!$B$65=0,C878=0,AND(C878&gt;0,Paths!$E$86+'Operating costs'!$B$65&gt;(C878-1)*12,Paths!$E$86+'Operating costs'!$B$65&lt;=C878*12))),'Operating costs'!$B$64,0)+IF(AND('Operating costs'!$B$67&gt;0,'Operating costs'!$B$67&lt;=120,OR(Paths!$D$86="ICE",'Operating costs'!$B$67&lt;=Paths!$E$86),IF('Operating costs'!$B$67=0,C878=0,AND(C878&gt;0,'Operating costs'!$B$67&gt;(C878-1)*12,'Operating costs'!$B$67&lt;=C878*12))),'Operating costs'!$B$66,0),"n.a."))</f>
        <v>0</v>
      </c>
      <c r="N878" s="16">
        <f>IF(NOT(Paths!$C$86=1),0,IF(Paths!$P$86="Complete",SUM(G878:I878)-J878-K878-L878+M878+IF(C878=0,Paths!$F$86,0)+IF(IF(Paths!$E$86=0,C878=0,AND(C878&gt;0,Paths!$E$86&gt;(C878-1)*12,Paths!$E$86&lt;=C878*12)),VLOOKUP(A878,'Fleet register'!$A$7:$S$106,16,FALSE),0),"n.a."))</f>
        <v>0</v>
      </c>
      <c r="O878" s="16">
        <f>IF(NOT(Paths!$C$86=1),0,IF(Paths!$P$86="Complete",N878-IF(C878=0,Paths!$F$86,0),"n.a."))</f>
        <v>0</v>
      </c>
      <c r="P878" s="16">
        <f>IF(NOT(Paths!$C$86=1),0,IF(Paths!$P$86="Complete",O878+L878,"n.a."))</f>
        <v>0</v>
      </c>
      <c r="Q878" s="16">
        <f>IF(NOT(Paths!$C$86=1),0,IF(Paths!$P$86="Complete",N878*(1+'Operating costs'!$B$54)^-C878,"n.a."))</f>
        <v>0</v>
      </c>
      <c r="R878" s="16">
        <f>IF(NOT(Paths!$C$86=1),0,IF(Paths!$P$86="Complete",IF(AND(C878=0,Paths!$E$86=0),I878-J878-K878+VLOOKUP(A878,'Fleet register'!$A$7:$S$106,15,FALSE)+VLOOKUP(A878,'Fleet register'!$A$7:$S$106,16,FALSE),0),"n.a."))</f>
        <v>0</v>
      </c>
      <c r="S878" s="1">
        <f>IF(NOT(Paths!$C$86=1),0,IF(Paths!$P$86="Complete",IF(C878=0,0,Paths!$S$86*Paths!$R$86),"n.a."))</f>
        <v>0</v>
      </c>
      <c r="T878" s="1">
        <f>IF(NOT(Paths!$C$86=1),0,IF(Paths!$P$86="Complete",IF(C878=0,0,VLOOKUP(A878,'Fleet register'!$A$7:$S$106,9,FALSE)*Paths!$R$86),"n.a."))</f>
        <v>0</v>
      </c>
    </row>
    <row r="879" spans="1:20" ht="24" customHeight="1">
      <c r="A879" s="1" t="str">
        <f>Paths!$A$86</f>
        <v>T020</v>
      </c>
      <c r="B879" s="1">
        <f>Paths!$B$86</f>
        <v>3</v>
      </c>
      <c r="C879" s="1">
        <v>3</v>
      </c>
      <c r="D879" s="1">
        <v>86</v>
      </c>
      <c r="E879" s="1">
        <f>IF(OR(Paths!$C$86=0,C879=0),0,MAX(0,MIN(C879*12,Paths!$E$86)-(C879-1)*12))</f>
        <v>0</v>
      </c>
      <c r="F879" s="1">
        <f>IF(OR(Paths!$C$86=0,C879=0),0,12-E879)</f>
        <v>0</v>
      </c>
      <c r="G879" s="16">
        <f>IF(NOT(Paths!$C$86=1),0,IF(Paths!$P$86="Complete",E879/12*(Paths!$J$86*(1+'Operating costs'!$B$51)^MAX(0,C879-1)+Paths!$K$86*(1+'Operating costs'!$B$53)^MAX(0,C879-1)),"n.a."))</f>
        <v>0</v>
      </c>
      <c r="H879" s="16">
        <f>IF(NOT(Paths!$C$86=1),0,IF(Paths!$P$86="Complete",F879/12*(Paths!$L$86*(1+IF(Paths!$D$86="EV",'Operating costs'!$B$52,'Operating costs'!$B$51))^MAX(0,C879-1)+Paths!$M$86*(1+'Operating costs'!$B$53)^MAX(0,C879-1)),"n.a."))</f>
        <v>0</v>
      </c>
      <c r="I879" s="16">
        <f>IF(NOT(Paths!$C$86=1),0,IF(Paths!$P$86="Complete",IF(IF(Paths!$E$86=0,C879=0,AND(C879&gt;0,Paths!$E$86&gt;(C879-1)*12,Paths!$E$86&lt;=C879*12)),Paths!$G$86,0),"n.a."))</f>
        <v>0</v>
      </c>
      <c r="J879" s="16">
        <f>IF(NOT(Paths!$C$86=1),0,IF(Paths!$P$86="Complete",IF(IF(Paths!$E$86=0,C879=0,AND(C879&gt;0,Paths!$E$86&gt;(C879-1)*12,Paths!$E$86&lt;=C879*12)),Paths!$H$86,0),"n.a."))</f>
        <v>0</v>
      </c>
      <c r="K879" s="16">
        <f>IF(NOT(Paths!$C$86=1),0,IF(Paths!$P$86="Complete",IF(IF(Paths!$O$86=0,C879=0,AND(C879&gt;0,Paths!$O$86&gt;(C879-1)*12,Paths!$O$86&lt;=C879*12)),Paths!$N$86,0),"n.a."))</f>
        <v>0</v>
      </c>
      <c r="L879" s="16">
        <f>IF(NOT(Paths!$C$86=1),0,IF(Paths!$P$86="Complete",IF(C879=10,Paths!$I$86,0),"n.a."))</f>
        <v>0</v>
      </c>
      <c r="M879" s="16">
        <f>IF(NOT(Paths!$C$86=1),0,IF(Paths!$P$86="Complete",IF(AND(Paths!$D$86="EV",Paths!$E$86&lt;120,Paths!$E$86+'Operating costs'!$B$65&gt;Paths!$E$86,Paths!$E$86+'Operating costs'!$B$65&lt;=120,IF(Paths!$E$86+'Operating costs'!$B$65=0,C879=0,AND(C879&gt;0,Paths!$E$86+'Operating costs'!$B$65&gt;(C879-1)*12,Paths!$E$86+'Operating costs'!$B$65&lt;=C879*12))),'Operating costs'!$B$64,0)+IF(AND('Operating costs'!$B$67&gt;0,'Operating costs'!$B$67&lt;=120,OR(Paths!$D$86="ICE",'Operating costs'!$B$67&lt;=Paths!$E$86),IF('Operating costs'!$B$67=0,C879=0,AND(C879&gt;0,'Operating costs'!$B$67&gt;(C879-1)*12,'Operating costs'!$B$67&lt;=C879*12))),'Operating costs'!$B$66,0),"n.a."))</f>
        <v>0</v>
      </c>
      <c r="N879" s="16">
        <f>IF(NOT(Paths!$C$86=1),0,IF(Paths!$P$86="Complete",SUM(G879:I879)-J879-K879-L879+M879+IF(C879=0,Paths!$F$86,0)+IF(IF(Paths!$E$86=0,C879=0,AND(C879&gt;0,Paths!$E$86&gt;(C879-1)*12,Paths!$E$86&lt;=C879*12)),VLOOKUP(A879,'Fleet register'!$A$7:$S$106,16,FALSE),0),"n.a."))</f>
        <v>0</v>
      </c>
      <c r="O879" s="16">
        <f>IF(NOT(Paths!$C$86=1),0,IF(Paths!$P$86="Complete",N879-IF(C879=0,Paths!$F$86,0),"n.a."))</f>
        <v>0</v>
      </c>
      <c r="P879" s="16">
        <f>IF(NOT(Paths!$C$86=1),0,IF(Paths!$P$86="Complete",O879+L879,"n.a."))</f>
        <v>0</v>
      </c>
      <c r="Q879" s="16">
        <f>IF(NOT(Paths!$C$86=1),0,IF(Paths!$P$86="Complete",N879*(1+'Operating costs'!$B$54)^-C879,"n.a."))</f>
        <v>0</v>
      </c>
      <c r="R879" s="16">
        <f>IF(NOT(Paths!$C$86=1),0,IF(Paths!$P$86="Complete",IF(AND(C879=0,Paths!$E$86=0),I879-J879-K879+VLOOKUP(A879,'Fleet register'!$A$7:$S$106,15,FALSE)+VLOOKUP(A879,'Fleet register'!$A$7:$S$106,16,FALSE),0),"n.a."))</f>
        <v>0</v>
      </c>
      <c r="S879" s="1">
        <f>IF(NOT(Paths!$C$86=1),0,IF(Paths!$P$86="Complete",IF(C879=0,0,Paths!$S$86*Paths!$R$86),"n.a."))</f>
        <v>0</v>
      </c>
      <c r="T879" s="1">
        <f>IF(NOT(Paths!$C$86=1),0,IF(Paths!$P$86="Complete",IF(C879=0,0,VLOOKUP(A879,'Fleet register'!$A$7:$S$106,9,FALSE)*Paths!$R$86),"n.a."))</f>
        <v>0</v>
      </c>
    </row>
    <row r="880" spans="1:20" ht="24" customHeight="1">
      <c r="A880" s="1" t="str">
        <f>Paths!$A$86</f>
        <v>T020</v>
      </c>
      <c r="B880" s="1">
        <f>Paths!$B$86</f>
        <v>3</v>
      </c>
      <c r="C880" s="1">
        <v>4</v>
      </c>
      <c r="D880" s="1">
        <v>86</v>
      </c>
      <c r="E880" s="1">
        <f>IF(OR(Paths!$C$86=0,C880=0),0,MAX(0,MIN(C880*12,Paths!$E$86)-(C880-1)*12))</f>
        <v>0</v>
      </c>
      <c r="F880" s="1">
        <f>IF(OR(Paths!$C$86=0,C880=0),0,12-E880)</f>
        <v>0</v>
      </c>
      <c r="G880" s="16">
        <f>IF(NOT(Paths!$C$86=1),0,IF(Paths!$P$86="Complete",E880/12*(Paths!$J$86*(1+'Operating costs'!$B$51)^MAX(0,C880-1)+Paths!$K$86*(1+'Operating costs'!$B$53)^MAX(0,C880-1)),"n.a."))</f>
        <v>0</v>
      </c>
      <c r="H880" s="16">
        <f>IF(NOT(Paths!$C$86=1),0,IF(Paths!$P$86="Complete",F880/12*(Paths!$L$86*(1+IF(Paths!$D$86="EV",'Operating costs'!$B$52,'Operating costs'!$B$51))^MAX(0,C880-1)+Paths!$M$86*(1+'Operating costs'!$B$53)^MAX(0,C880-1)),"n.a."))</f>
        <v>0</v>
      </c>
      <c r="I880" s="16">
        <f>IF(NOT(Paths!$C$86=1),0,IF(Paths!$P$86="Complete",IF(IF(Paths!$E$86=0,C880=0,AND(C880&gt;0,Paths!$E$86&gt;(C880-1)*12,Paths!$E$86&lt;=C880*12)),Paths!$G$86,0),"n.a."))</f>
        <v>0</v>
      </c>
      <c r="J880" s="16">
        <f>IF(NOT(Paths!$C$86=1),0,IF(Paths!$P$86="Complete",IF(IF(Paths!$E$86=0,C880=0,AND(C880&gt;0,Paths!$E$86&gt;(C880-1)*12,Paths!$E$86&lt;=C880*12)),Paths!$H$86,0),"n.a."))</f>
        <v>0</v>
      </c>
      <c r="K880" s="16">
        <f>IF(NOT(Paths!$C$86=1),0,IF(Paths!$P$86="Complete",IF(IF(Paths!$O$86=0,C880=0,AND(C880&gt;0,Paths!$O$86&gt;(C880-1)*12,Paths!$O$86&lt;=C880*12)),Paths!$N$86,0),"n.a."))</f>
        <v>0</v>
      </c>
      <c r="L880" s="16">
        <f>IF(NOT(Paths!$C$86=1),0,IF(Paths!$P$86="Complete",IF(C880=10,Paths!$I$86,0),"n.a."))</f>
        <v>0</v>
      </c>
      <c r="M880" s="16">
        <f>IF(NOT(Paths!$C$86=1),0,IF(Paths!$P$86="Complete",IF(AND(Paths!$D$86="EV",Paths!$E$86&lt;120,Paths!$E$86+'Operating costs'!$B$65&gt;Paths!$E$86,Paths!$E$86+'Operating costs'!$B$65&lt;=120,IF(Paths!$E$86+'Operating costs'!$B$65=0,C880=0,AND(C880&gt;0,Paths!$E$86+'Operating costs'!$B$65&gt;(C880-1)*12,Paths!$E$86+'Operating costs'!$B$65&lt;=C880*12))),'Operating costs'!$B$64,0)+IF(AND('Operating costs'!$B$67&gt;0,'Operating costs'!$B$67&lt;=120,OR(Paths!$D$86="ICE",'Operating costs'!$B$67&lt;=Paths!$E$86),IF('Operating costs'!$B$67=0,C880=0,AND(C880&gt;0,'Operating costs'!$B$67&gt;(C880-1)*12,'Operating costs'!$B$67&lt;=C880*12))),'Operating costs'!$B$66,0),"n.a."))</f>
        <v>0</v>
      </c>
      <c r="N880" s="16">
        <f>IF(NOT(Paths!$C$86=1),0,IF(Paths!$P$86="Complete",SUM(G880:I880)-J880-K880-L880+M880+IF(C880=0,Paths!$F$86,0)+IF(IF(Paths!$E$86=0,C880=0,AND(C880&gt;0,Paths!$E$86&gt;(C880-1)*12,Paths!$E$86&lt;=C880*12)),VLOOKUP(A880,'Fleet register'!$A$7:$S$106,16,FALSE),0),"n.a."))</f>
        <v>0</v>
      </c>
      <c r="O880" s="16">
        <f>IF(NOT(Paths!$C$86=1),0,IF(Paths!$P$86="Complete",N880-IF(C880=0,Paths!$F$86,0),"n.a."))</f>
        <v>0</v>
      </c>
      <c r="P880" s="16">
        <f>IF(NOT(Paths!$C$86=1),0,IF(Paths!$P$86="Complete",O880+L880,"n.a."))</f>
        <v>0</v>
      </c>
      <c r="Q880" s="16">
        <f>IF(NOT(Paths!$C$86=1),0,IF(Paths!$P$86="Complete",N880*(1+'Operating costs'!$B$54)^-C880,"n.a."))</f>
        <v>0</v>
      </c>
      <c r="R880" s="16">
        <f>IF(NOT(Paths!$C$86=1),0,IF(Paths!$P$86="Complete",IF(AND(C880=0,Paths!$E$86=0),I880-J880-K880+VLOOKUP(A880,'Fleet register'!$A$7:$S$106,15,FALSE)+VLOOKUP(A880,'Fleet register'!$A$7:$S$106,16,FALSE),0),"n.a."))</f>
        <v>0</v>
      </c>
      <c r="S880" s="1">
        <f>IF(NOT(Paths!$C$86=1),0,IF(Paths!$P$86="Complete",IF(C880=0,0,Paths!$S$86*Paths!$R$86),"n.a."))</f>
        <v>0</v>
      </c>
      <c r="T880" s="1">
        <f>IF(NOT(Paths!$C$86=1),0,IF(Paths!$P$86="Complete",IF(C880=0,0,VLOOKUP(A880,'Fleet register'!$A$7:$S$106,9,FALSE)*Paths!$R$86),"n.a."))</f>
        <v>0</v>
      </c>
    </row>
    <row r="881" spans="1:20" ht="24" customHeight="1">
      <c r="A881" s="1" t="str">
        <f>Paths!$A$86</f>
        <v>T020</v>
      </c>
      <c r="B881" s="1">
        <f>Paths!$B$86</f>
        <v>3</v>
      </c>
      <c r="C881" s="1">
        <v>5</v>
      </c>
      <c r="D881" s="1">
        <v>86</v>
      </c>
      <c r="E881" s="1">
        <f>IF(OR(Paths!$C$86=0,C881=0),0,MAX(0,MIN(C881*12,Paths!$E$86)-(C881-1)*12))</f>
        <v>0</v>
      </c>
      <c r="F881" s="1">
        <f>IF(OR(Paths!$C$86=0,C881=0),0,12-E881)</f>
        <v>0</v>
      </c>
      <c r="G881" s="16">
        <f>IF(NOT(Paths!$C$86=1),0,IF(Paths!$P$86="Complete",E881/12*(Paths!$J$86*(1+'Operating costs'!$B$51)^MAX(0,C881-1)+Paths!$K$86*(1+'Operating costs'!$B$53)^MAX(0,C881-1)),"n.a."))</f>
        <v>0</v>
      </c>
      <c r="H881" s="16">
        <f>IF(NOT(Paths!$C$86=1),0,IF(Paths!$P$86="Complete",F881/12*(Paths!$L$86*(1+IF(Paths!$D$86="EV",'Operating costs'!$B$52,'Operating costs'!$B$51))^MAX(0,C881-1)+Paths!$M$86*(1+'Operating costs'!$B$53)^MAX(0,C881-1)),"n.a."))</f>
        <v>0</v>
      </c>
      <c r="I881" s="16">
        <f>IF(NOT(Paths!$C$86=1),0,IF(Paths!$P$86="Complete",IF(IF(Paths!$E$86=0,C881=0,AND(C881&gt;0,Paths!$E$86&gt;(C881-1)*12,Paths!$E$86&lt;=C881*12)),Paths!$G$86,0),"n.a."))</f>
        <v>0</v>
      </c>
      <c r="J881" s="16">
        <f>IF(NOT(Paths!$C$86=1),0,IF(Paths!$P$86="Complete",IF(IF(Paths!$E$86=0,C881=0,AND(C881&gt;0,Paths!$E$86&gt;(C881-1)*12,Paths!$E$86&lt;=C881*12)),Paths!$H$86,0),"n.a."))</f>
        <v>0</v>
      </c>
      <c r="K881" s="16">
        <f>IF(NOT(Paths!$C$86=1),0,IF(Paths!$P$86="Complete",IF(IF(Paths!$O$86=0,C881=0,AND(C881&gt;0,Paths!$O$86&gt;(C881-1)*12,Paths!$O$86&lt;=C881*12)),Paths!$N$86,0),"n.a."))</f>
        <v>0</v>
      </c>
      <c r="L881" s="16">
        <f>IF(NOT(Paths!$C$86=1),0,IF(Paths!$P$86="Complete",IF(C881=10,Paths!$I$86,0),"n.a."))</f>
        <v>0</v>
      </c>
      <c r="M881" s="16">
        <f>IF(NOT(Paths!$C$86=1),0,IF(Paths!$P$86="Complete",IF(AND(Paths!$D$86="EV",Paths!$E$86&lt;120,Paths!$E$86+'Operating costs'!$B$65&gt;Paths!$E$86,Paths!$E$86+'Operating costs'!$B$65&lt;=120,IF(Paths!$E$86+'Operating costs'!$B$65=0,C881=0,AND(C881&gt;0,Paths!$E$86+'Operating costs'!$B$65&gt;(C881-1)*12,Paths!$E$86+'Operating costs'!$B$65&lt;=C881*12))),'Operating costs'!$B$64,0)+IF(AND('Operating costs'!$B$67&gt;0,'Operating costs'!$B$67&lt;=120,OR(Paths!$D$86="ICE",'Operating costs'!$B$67&lt;=Paths!$E$86),IF('Operating costs'!$B$67=0,C881=0,AND(C881&gt;0,'Operating costs'!$B$67&gt;(C881-1)*12,'Operating costs'!$B$67&lt;=C881*12))),'Operating costs'!$B$66,0),"n.a."))</f>
        <v>0</v>
      </c>
      <c r="N881" s="16">
        <f>IF(NOT(Paths!$C$86=1),0,IF(Paths!$P$86="Complete",SUM(G881:I881)-J881-K881-L881+M881+IF(C881=0,Paths!$F$86,0)+IF(IF(Paths!$E$86=0,C881=0,AND(C881&gt;0,Paths!$E$86&gt;(C881-1)*12,Paths!$E$86&lt;=C881*12)),VLOOKUP(A881,'Fleet register'!$A$7:$S$106,16,FALSE),0),"n.a."))</f>
        <v>0</v>
      </c>
      <c r="O881" s="16">
        <f>IF(NOT(Paths!$C$86=1),0,IF(Paths!$P$86="Complete",N881-IF(C881=0,Paths!$F$86,0),"n.a."))</f>
        <v>0</v>
      </c>
      <c r="P881" s="16">
        <f>IF(NOT(Paths!$C$86=1),0,IF(Paths!$P$86="Complete",O881+L881,"n.a."))</f>
        <v>0</v>
      </c>
      <c r="Q881" s="16">
        <f>IF(NOT(Paths!$C$86=1),0,IF(Paths!$P$86="Complete",N881*(1+'Operating costs'!$B$54)^-C881,"n.a."))</f>
        <v>0</v>
      </c>
      <c r="R881" s="16">
        <f>IF(NOT(Paths!$C$86=1),0,IF(Paths!$P$86="Complete",IF(AND(C881=0,Paths!$E$86=0),I881-J881-K881+VLOOKUP(A881,'Fleet register'!$A$7:$S$106,15,FALSE)+VLOOKUP(A881,'Fleet register'!$A$7:$S$106,16,FALSE),0),"n.a."))</f>
        <v>0</v>
      </c>
      <c r="S881" s="1">
        <f>IF(NOT(Paths!$C$86=1),0,IF(Paths!$P$86="Complete",IF(C881=0,0,Paths!$S$86*Paths!$R$86),"n.a."))</f>
        <v>0</v>
      </c>
      <c r="T881" s="1">
        <f>IF(NOT(Paths!$C$86=1),0,IF(Paths!$P$86="Complete",IF(C881=0,0,VLOOKUP(A881,'Fleet register'!$A$7:$S$106,9,FALSE)*Paths!$R$86),"n.a."))</f>
        <v>0</v>
      </c>
    </row>
    <row r="882" spans="1:20" ht="24" customHeight="1">
      <c r="A882" s="1" t="str">
        <f>Paths!$A$86</f>
        <v>T020</v>
      </c>
      <c r="B882" s="1">
        <f>Paths!$B$86</f>
        <v>3</v>
      </c>
      <c r="C882" s="1">
        <v>6</v>
      </c>
      <c r="D882" s="1">
        <v>86</v>
      </c>
      <c r="E882" s="1">
        <f>IF(OR(Paths!$C$86=0,C882=0),0,MAX(0,MIN(C882*12,Paths!$E$86)-(C882-1)*12))</f>
        <v>0</v>
      </c>
      <c r="F882" s="1">
        <f>IF(OR(Paths!$C$86=0,C882=0),0,12-E882)</f>
        <v>0</v>
      </c>
      <c r="G882" s="16">
        <f>IF(NOT(Paths!$C$86=1),0,IF(Paths!$P$86="Complete",E882/12*(Paths!$J$86*(1+'Operating costs'!$B$51)^MAX(0,C882-1)+Paths!$K$86*(1+'Operating costs'!$B$53)^MAX(0,C882-1)),"n.a."))</f>
        <v>0</v>
      </c>
      <c r="H882" s="16">
        <f>IF(NOT(Paths!$C$86=1),0,IF(Paths!$P$86="Complete",F882/12*(Paths!$L$86*(1+IF(Paths!$D$86="EV",'Operating costs'!$B$52,'Operating costs'!$B$51))^MAX(0,C882-1)+Paths!$M$86*(1+'Operating costs'!$B$53)^MAX(0,C882-1)),"n.a."))</f>
        <v>0</v>
      </c>
      <c r="I882" s="16">
        <f>IF(NOT(Paths!$C$86=1),0,IF(Paths!$P$86="Complete",IF(IF(Paths!$E$86=0,C882=0,AND(C882&gt;0,Paths!$E$86&gt;(C882-1)*12,Paths!$E$86&lt;=C882*12)),Paths!$G$86,0),"n.a."))</f>
        <v>0</v>
      </c>
      <c r="J882" s="16">
        <f>IF(NOT(Paths!$C$86=1),0,IF(Paths!$P$86="Complete",IF(IF(Paths!$E$86=0,C882=0,AND(C882&gt;0,Paths!$E$86&gt;(C882-1)*12,Paths!$E$86&lt;=C882*12)),Paths!$H$86,0),"n.a."))</f>
        <v>0</v>
      </c>
      <c r="K882" s="16">
        <f>IF(NOT(Paths!$C$86=1),0,IF(Paths!$P$86="Complete",IF(IF(Paths!$O$86=0,C882=0,AND(C882&gt;0,Paths!$O$86&gt;(C882-1)*12,Paths!$O$86&lt;=C882*12)),Paths!$N$86,0),"n.a."))</f>
        <v>0</v>
      </c>
      <c r="L882" s="16">
        <f>IF(NOT(Paths!$C$86=1),0,IF(Paths!$P$86="Complete",IF(C882=10,Paths!$I$86,0),"n.a."))</f>
        <v>0</v>
      </c>
      <c r="M882" s="16">
        <f>IF(NOT(Paths!$C$86=1),0,IF(Paths!$P$86="Complete",IF(AND(Paths!$D$86="EV",Paths!$E$86&lt;120,Paths!$E$86+'Operating costs'!$B$65&gt;Paths!$E$86,Paths!$E$86+'Operating costs'!$B$65&lt;=120,IF(Paths!$E$86+'Operating costs'!$B$65=0,C882=0,AND(C882&gt;0,Paths!$E$86+'Operating costs'!$B$65&gt;(C882-1)*12,Paths!$E$86+'Operating costs'!$B$65&lt;=C882*12))),'Operating costs'!$B$64,0)+IF(AND('Operating costs'!$B$67&gt;0,'Operating costs'!$B$67&lt;=120,OR(Paths!$D$86="ICE",'Operating costs'!$B$67&lt;=Paths!$E$86),IF('Operating costs'!$B$67=0,C882=0,AND(C882&gt;0,'Operating costs'!$B$67&gt;(C882-1)*12,'Operating costs'!$B$67&lt;=C882*12))),'Operating costs'!$B$66,0),"n.a."))</f>
        <v>0</v>
      </c>
      <c r="N882" s="16">
        <f>IF(NOT(Paths!$C$86=1),0,IF(Paths!$P$86="Complete",SUM(G882:I882)-J882-K882-L882+M882+IF(C882=0,Paths!$F$86,0)+IF(IF(Paths!$E$86=0,C882=0,AND(C882&gt;0,Paths!$E$86&gt;(C882-1)*12,Paths!$E$86&lt;=C882*12)),VLOOKUP(A882,'Fleet register'!$A$7:$S$106,16,FALSE),0),"n.a."))</f>
        <v>0</v>
      </c>
      <c r="O882" s="16">
        <f>IF(NOT(Paths!$C$86=1),0,IF(Paths!$P$86="Complete",N882-IF(C882=0,Paths!$F$86,0),"n.a."))</f>
        <v>0</v>
      </c>
      <c r="P882" s="16">
        <f>IF(NOT(Paths!$C$86=1),0,IF(Paths!$P$86="Complete",O882+L882,"n.a."))</f>
        <v>0</v>
      </c>
      <c r="Q882" s="16">
        <f>IF(NOT(Paths!$C$86=1),0,IF(Paths!$P$86="Complete",N882*(1+'Operating costs'!$B$54)^-C882,"n.a."))</f>
        <v>0</v>
      </c>
      <c r="R882" s="16">
        <f>IF(NOT(Paths!$C$86=1),0,IF(Paths!$P$86="Complete",IF(AND(C882=0,Paths!$E$86=0),I882-J882-K882+VLOOKUP(A882,'Fleet register'!$A$7:$S$106,15,FALSE)+VLOOKUP(A882,'Fleet register'!$A$7:$S$106,16,FALSE),0),"n.a."))</f>
        <v>0</v>
      </c>
      <c r="S882" s="1">
        <f>IF(NOT(Paths!$C$86=1),0,IF(Paths!$P$86="Complete",IF(C882=0,0,Paths!$S$86*Paths!$R$86),"n.a."))</f>
        <v>0</v>
      </c>
      <c r="T882" s="1">
        <f>IF(NOT(Paths!$C$86=1),0,IF(Paths!$P$86="Complete",IF(C882=0,0,VLOOKUP(A882,'Fleet register'!$A$7:$S$106,9,FALSE)*Paths!$R$86),"n.a."))</f>
        <v>0</v>
      </c>
    </row>
    <row r="883" spans="1:20" ht="24" customHeight="1">
      <c r="A883" s="1" t="str">
        <f>Paths!$A$86</f>
        <v>T020</v>
      </c>
      <c r="B883" s="1">
        <f>Paths!$B$86</f>
        <v>3</v>
      </c>
      <c r="C883" s="1">
        <v>7</v>
      </c>
      <c r="D883" s="1">
        <v>86</v>
      </c>
      <c r="E883" s="1">
        <f>IF(OR(Paths!$C$86=0,C883=0),0,MAX(0,MIN(C883*12,Paths!$E$86)-(C883-1)*12))</f>
        <v>0</v>
      </c>
      <c r="F883" s="1">
        <f>IF(OR(Paths!$C$86=0,C883=0),0,12-E883)</f>
        <v>0</v>
      </c>
      <c r="G883" s="16">
        <f>IF(NOT(Paths!$C$86=1),0,IF(Paths!$P$86="Complete",E883/12*(Paths!$J$86*(1+'Operating costs'!$B$51)^MAX(0,C883-1)+Paths!$K$86*(1+'Operating costs'!$B$53)^MAX(0,C883-1)),"n.a."))</f>
        <v>0</v>
      </c>
      <c r="H883" s="16">
        <f>IF(NOT(Paths!$C$86=1),0,IF(Paths!$P$86="Complete",F883/12*(Paths!$L$86*(1+IF(Paths!$D$86="EV",'Operating costs'!$B$52,'Operating costs'!$B$51))^MAX(0,C883-1)+Paths!$M$86*(1+'Operating costs'!$B$53)^MAX(0,C883-1)),"n.a."))</f>
        <v>0</v>
      </c>
      <c r="I883" s="16">
        <f>IF(NOT(Paths!$C$86=1),0,IF(Paths!$P$86="Complete",IF(IF(Paths!$E$86=0,C883=0,AND(C883&gt;0,Paths!$E$86&gt;(C883-1)*12,Paths!$E$86&lt;=C883*12)),Paths!$G$86,0),"n.a."))</f>
        <v>0</v>
      </c>
      <c r="J883" s="16">
        <f>IF(NOT(Paths!$C$86=1),0,IF(Paths!$P$86="Complete",IF(IF(Paths!$E$86=0,C883=0,AND(C883&gt;0,Paths!$E$86&gt;(C883-1)*12,Paths!$E$86&lt;=C883*12)),Paths!$H$86,0),"n.a."))</f>
        <v>0</v>
      </c>
      <c r="K883" s="16">
        <f>IF(NOT(Paths!$C$86=1),0,IF(Paths!$P$86="Complete",IF(IF(Paths!$O$86=0,C883=0,AND(C883&gt;0,Paths!$O$86&gt;(C883-1)*12,Paths!$O$86&lt;=C883*12)),Paths!$N$86,0),"n.a."))</f>
        <v>0</v>
      </c>
      <c r="L883" s="16">
        <f>IF(NOT(Paths!$C$86=1),0,IF(Paths!$P$86="Complete",IF(C883=10,Paths!$I$86,0),"n.a."))</f>
        <v>0</v>
      </c>
      <c r="M883" s="16">
        <f>IF(NOT(Paths!$C$86=1),0,IF(Paths!$P$86="Complete",IF(AND(Paths!$D$86="EV",Paths!$E$86&lt;120,Paths!$E$86+'Operating costs'!$B$65&gt;Paths!$E$86,Paths!$E$86+'Operating costs'!$B$65&lt;=120,IF(Paths!$E$86+'Operating costs'!$B$65=0,C883=0,AND(C883&gt;0,Paths!$E$86+'Operating costs'!$B$65&gt;(C883-1)*12,Paths!$E$86+'Operating costs'!$B$65&lt;=C883*12))),'Operating costs'!$B$64,0)+IF(AND('Operating costs'!$B$67&gt;0,'Operating costs'!$B$67&lt;=120,OR(Paths!$D$86="ICE",'Operating costs'!$B$67&lt;=Paths!$E$86),IF('Operating costs'!$B$67=0,C883=0,AND(C883&gt;0,'Operating costs'!$B$67&gt;(C883-1)*12,'Operating costs'!$B$67&lt;=C883*12))),'Operating costs'!$B$66,0),"n.a."))</f>
        <v>0</v>
      </c>
      <c r="N883" s="16">
        <f>IF(NOT(Paths!$C$86=1),0,IF(Paths!$P$86="Complete",SUM(G883:I883)-J883-K883-L883+M883+IF(C883=0,Paths!$F$86,0)+IF(IF(Paths!$E$86=0,C883=0,AND(C883&gt;0,Paths!$E$86&gt;(C883-1)*12,Paths!$E$86&lt;=C883*12)),VLOOKUP(A883,'Fleet register'!$A$7:$S$106,16,FALSE),0),"n.a."))</f>
        <v>0</v>
      </c>
      <c r="O883" s="16">
        <f>IF(NOT(Paths!$C$86=1),0,IF(Paths!$P$86="Complete",N883-IF(C883=0,Paths!$F$86,0),"n.a."))</f>
        <v>0</v>
      </c>
      <c r="P883" s="16">
        <f>IF(NOT(Paths!$C$86=1),0,IF(Paths!$P$86="Complete",O883+L883,"n.a."))</f>
        <v>0</v>
      </c>
      <c r="Q883" s="16">
        <f>IF(NOT(Paths!$C$86=1),0,IF(Paths!$P$86="Complete",N883*(1+'Operating costs'!$B$54)^-C883,"n.a."))</f>
        <v>0</v>
      </c>
      <c r="R883" s="16">
        <f>IF(NOT(Paths!$C$86=1),0,IF(Paths!$P$86="Complete",IF(AND(C883=0,Paths!$E$86=0),I883-J883-K883+VLOOKUP(A883,'Fleet register'!$A$7:$S$106,15,FALSE)+VLOOKUP(A883,'Fleet register'!$A$7:$S$106,16,FALSE),0),"n.a."))</f>
        <v>0</v>
      </c>
      <c r="S883" s="1">
        <f>IF(NOT(Paths!$C$86=1),0,IF(Paths!$P$86="Complete",IF(C883=0,0,Paths!$S$86*Paths!$R$86),"n.a."))</f>
        <v>0</v>
      </c>
      <c r="T883" s="1">
        <f>IF(NOT(Paths!$C$86=1),0,IF(Paths!$P$86="Complete",IF(C883=0,0,VLOOKUP(A883,'Fleet register'!$A$7:$S$106,9,FALSE)*Paths!$R$86),"n.a."))</f>
        <v>0</v>
      </c>
    </row>
    <row r="884" spans="1:20" ht="24" customHeight="1">
      <c r="A884" s="1" t="str">
        <f>Paths!$A$86</f>
        <v>T020</v>
      </c>
      <c r="B884" s="1">
        <f>Paths!$B$86</f>
        <v>3</v>
      </c>
      <c r="C884" s="1">
        <v>8</v>
      </c>
      <c r="D884" s="1">
        <v>86</v>
      </c>
      <c r="E884" s="1">
        <f>IF(OR(Paths!$C$86=0,C884=0),0,MAX(0,MIN(C884*12,Paths!$E$86)-(C884-1)*12))</f>
        <v>0</v>
      </c>
      <c r="F884" s="1">
        <f>IF(OR(Paths!$C$86=0,C884=0),0,12-E884)</f>
        <v>0</v>
      </c>
      <c r="G884" s="16">
        <f>IF(NOT(Paths!$C$86=1),0,IF(Paths!$P$86="Complete",E884/12*(Paths!$J$86*(1+'Operating costs'!$B$51)^MAX(0,C884-1)+Paths!$K$86*(1+'Operating costs'!$B$53)^MAX(0,C884-1)),"n.a."))</f>
        <v>0</v>
      </c>
      <c r="H884" s="16">
        <f>IF(NOT(Paths!$C$86=1),0,IF(Paths!$P$86="Complete",F884/12*(Paths!$L$86*(1+IF(Paths!$D$86="EV",'Operating costs'!$B$52,'Operating costs'!$B$51))^MAX(0,C884-1)+Paths!$M$86*(1+'Operating costs'!$B$53)^MAX(0,C884-1)),"n.a."))</f>
        <v>0</v>
      </c>
      <c r="I884" s="16">
        <f>IF(NOT(Paths!$C$86=1),0,IF(Paths!$P$86="Complete",IF(IF(Paths!$E$86=0,C884=0,AND(C884&gt;0,Paths!$E$86&gt;(C884-1)*12,Paths!$E$86&lt;=C884*12)),Paths!$G$86,0),"n.a."))</f>
        <v>0</v>
      </c>
      <c r="J884" s="16">
        <f>IF(NOT(Paths!$C$86=1),0,IF(Paths!$P$86="Complete",IF(IF(Paths!$E$86=0,C884=0,AND(C884&gt;0,Paths!$E$86&gt;(C884-1)*12,Paths!$E$86&lt;=C884*12)),Paths!$H$86,0),"n.a."))</f>
        <v>0</v>
      </c>
      <c r="K884" s="16">
        <f>IF(NOT(Paths!$C$86=1),0,IF(Paths!$P$86="Complete",IF(IF(Paths!$O$86=0,C884=0,AND(C884&gt;0,Paths!$O$86&gt;(C884-1)*12,Paths!$O$86&lt;=C884*12)),Paths!$N$86,0),"n.a."))</f>
        <v>0</v>
      </c>
      <c r="L884" s="16">
        <f>IF(NOT(Paths!$C$86=1),0,IF(Paths!$P$86="Complete",IF(C884=10,Paths!$I$86,0),"n.a."))</f>
        <v>0</v>
      </c>
      <c r="M884" s="16">
        <f>IF(NOT(Paths!$C$86=1),0,IF(Paths!$P$86="Complete",IF(AND(Paths!$D$86="EV",Paths!$E$86&lt;120,Paths!$E$86+'Operating costs'!$B$65&gt;Paths!$E$86,Paths!$E$86+'Operating costs'!$B$65&lt;=120,IF(Paths!$E$86+'Operating costs'!$B$65=0,C884=0,AND(C884&gt;0,Paths!$E$86+'Operating costs'!$B$65&gt;(C884-1)*12,Paths!$E$86+'Operating costs'!$B$65&lt;=C884*12))),'Operating costs'!$B$64,0)+IF(AND('Operating costs'!$B$67&gt;0,'Operating costs'!$B$67&lt;=120,OR(Paths!$D$86="ICE",'Operating costs'!$B$67&lt;=Paths!$E$86),IF('Operating costs'!$B$67=0,C884=0,AND(C884&gt;0,'Operating costs'!$B$67&gt;(C884-1)*12,'Operating costs'!$B$67&lt;=C884*12))),'Operating costs'!$B$66,0),"n.a."))</f>
        <v>0</v>
      </c>
      <c r="N884" s="16">
        <f>IF(NOT(Paths!$C$86=1),0,IF(Paths!$P$86="Complete",SUM(G884:I884)-J884-K884-L884+M884+IF(C884=0,Paths!$F$86,0)+IF(IF(Paths!$E$86=0,C884=0,AND(C884&gt;0,Paths!$E$86&gt;(C884-1)*12,Paths!$E$86&lt;=C884*12)),VLOOKUP(A884,'Fleet register'!$A$7:$S$106,16,FALSE),0),"n.a."))</f>
        <v>0</v>
      </c>
      <c r="O884" s="16">
        <f>IF(NOT(Paths!$C$86=1),0,IF(Paths!$P$86="Complete",N884-IF(C884=0,Paths!$F$86,0),"n.a."))</f>
        <v>0</v>
      </c>
      <c r="P884" s="16">
        <f>IF(NOT(Paths!$C$86=1),0,IF(Paths!$P$86="Complete",O884+L884,"n.a."))</f>
        <v>0</v>
      </c>
      <c r="Q884" s="16">
        <f>IF(NOT(Paths!$C$86=1),0,IF(Paths!$P$86="Complete",N884*(1+'Operating costs'!$B$54)^-C884,"n.a."))</f>
        <v>0</v>
      </c>
      <c r="R884" s="16">
        <f>IF(NOT(Paths!$C$86=1),0,IF(Paths!$P$86="Complete",IF(AND(C884=0,Paths!$E$86=0),I884-J884-K884+VLOOKUP(A884,'Fleet register'!$A$7:$S$106,15,FALSE)+VLOOKUP(A884,'Fleet register'!$A$7:$S$106,16,FALSE),0),"n.a."))</f>
        <v>0</v>
      </c>
      <c r="S884" s="1">
        <f>IF(NOT(Paths!$C$86=1),0,IF(Paths!$P$86="Complete",IF(C884=0,0,Paths!$S$86*Paths!$R$86),"n.a."))</f>
        <v>0</v>
      </c>
      <c r="T884" s="1">
        <f>IF(NOT(Paths!$C$86=1),0,IF(Paths!$P$86="Complete",IF(C884=0,0,VLOOKUP(A884,'Fleet register'!$A$7:$S$106,9,FALSE)*Paths!$R$86),"n.a."))</f>
        <v>0</v>
      </c>
    </row>
    <row r="885" spans="1:20" ht="24" customHeight="1">
      <c r="A885" s="1" t="str">
        <f>Paths!$A$86</f>
        <v>T020</v>
      </c>
      <c r="B885" s="1">
        <f>Paths!$B$86</f>
        <v>3</v>
      </c>
      <c r="C885" s="1">
        <v>9</v>
      </c>
      <c r="D885" s="1">
        <v>86</v>
      </c>
      <c r="E885" s="1">
        <f>IF(OR(Paths!$C$86=0,C885=0),0,MAX(0,MIN(C885*12,Paths!$E$86)-(C885-1)*12))</f>
        <v>0</v>
      </c>
      <c r="F885" s="1">
        <f>IF(OR(Paths!$C$86=0,C885=0),0,12-E885)</f>
        <v>0</v>
      </c>
      <c r="G885" s="16">
        <f>IF(NOT(Paths!$C$86=1),0,IF(Paths!$P$86="Complete",E885/12*(Paths!$J$86*(1+'Operating costs'!$B$51)^MAX(0,C885-1)+Paths!$K$86*(1+'Operating costs'!$B$53)^MAX(0,C885-1)),"n.a."))</f>
        <v>0</v>
      </c>
      <c r="H885" s="16">
        <f>IF(NOT(Paths!$C$86=1),0,IF(Paths!$P$86="Complete",F885/12*(Paths!$L$86*(1+IF(Paths!$D$86="EV",'Operating costs'!$B$52,'Operating costs'!$B$51))^MAX(0,C885-1)+Paths!$M$86*(1+'Operating costs'!$B$53)^MAX(0,C885-1)),"n.a."))</f>
        <v>0</v>
      </c>
      <c r="I885" s="16">
        <f>IF(NOT(Paths!$C$86=1),0,IF(Paths!$P$86="Complete",IF(IF(Paths!$E$86=0,C885=0,AND(C885&gt;0,Paths!$E$86&gt;(C885-1)*12,Paths!$E$86&lt;=C885*12)),Paths!$G$86,0),"n.a."))</f>
        <v>0</v>
      </c>
      <c r="J885" s="16">
        <f>IF(NOT(Paths!$C$86=1),0,IF(Paths!$P$86="Complete",IF(IF(Paths!$E$86=0,C885=0,AND(C885&gt;0,Paths!$E$86&gt;(C885-1)*12,Paths!$E$86&lt;=C885*12)),Paths!$H$86,0),"n.a."))</f>
        <v>0</v>
      </c>
      <c r="K885" s="16">
        <f>IF(NOT(Paths!$C$86=1),0,IF(Paths!$P$86="Complete",IF(IF(Paths!$O$86=0,C885=0,AND(C885&gt;0,Paths!$O$86&gt;(C885-1)*12,Paths!$O$86&lt;=C885*12)),Paths!$N$86,0),"n.a."))</f>
        <v>0</v>
      </c>
      <c r="L885" s="16">
        <f>IF(NOT(Paths!$C$86=1),0,IF(Paths!$P$86="Complete",IF(C885=10,Paths!$I$86,0),"n.a."))</f>
        <v>0</v>
      </c>
      <c r="M885" s="16">
        <f>IF(NOT(Paths!$C$86=1),0,IF(Paths!$P$86="Complete",IF(AND(Paths!$D$86="EV",Paths!$E$86&lt;120,Paths!$E$86+'Operating costs'!$B$65&gt;Paths!$E$86,Paths!$E$86+'Operating costs'!$B$65&lt;=120,IF(Paths!$E$86+'Operating costs'!$B$65=0,C885=0,AND(C885&gt;0,Paths!$E$86+'Operating costs'!$B$65&gt;(C885-1)*12,Paths!$E$86+'Operating costs'!$B$65&lt;=C885*12))),'Operating costs'!$B$64,0)+IF(AND('Operating costs'!$B$67&gt;0,'Operating costs'!$B$67&lt;=120,OR(Paths!$D$86="ICE",'Operating costs'!$B$67&lt;=Paths!$E$86),IF('Operating costs'!$B$67=0,C885=0,AND(C885&gt;0,'Operating costs'!$B$67&gt;(C885-1)*12,'Operating costs'!$B$67&lt;=C885*12))),'Operating costs'!$B$66,0),"n.a."))</f>
        <v>0</v>
      </c>
      <c r="N885" s="16">
        <f>IF(NOT(Paths!$C$86=1),0,IF(Paths!$P$86="Complete",SUM(G885:I885)-J885-K885-L885+M885+IF(C885=0,Paths!$F$86,0)+IF(IF(Paths!$E$86=0,C885=0,AND(C885&gt;0,Paths!$E$86&gt;(C885-1)*12,Paths!$E$86&lt;=C885*12)),VLOOKUP(A885,'Fleet register'!$A$7:$S$106,16,FALSE),0),"n.a."))</f>
        <v>0</v>
      </c>
      <c r="O885" s="16">
        <f>IF(NOT(Paths!$C$86=1),0,IF(Paths!$P$86="Complete",N885-IF(C885=0,Paths!$F$86,0),"n.a."))</f>
        <v>0</v>
      </c>
      <c r="P885" s="16">
        <f>IF(NOT(Paths!$C$86=1),0,IF(Paths!$P$86="Complete",O885+L885,"n.a."))</f>
        <v>0</v>
      </c>
      <c r="Q885" s="16">
        <f>IF(NOT(Paths!$C$86=1),0,IF(Paths!$P$86="Complete",N885*(1+'Operating costs'!$B$54)^-C885,"n.a."))</f>
        <v>0</v>
      </c>
      <c r="R885" s="16">
        <f>IF(NOT(Paths!$C$86=1),0,IF(Paths!$P$86="Complete",IF(AND(C885=0,Paths!$E$86=0),I885-J885-K885+VLOOKUP(A885,'Fleet register'!$A$7:$S$106,15,FALSE)+VLOOKUP(A885,'Fleet register'!$A$7:$S$106,16,FALSE),0),"n.a."))</f>
        <v>0</v>
      </c>
      <c r="S885" s="1">
        <f>IF(NOT(Paths!$C$86=1),0,IF(Paths!$P$86="Complete",IF(C885=0,0,Paths!$S$86*Paths!$R$86),"n.a."))</f>
        <v>0</v>
      </c>
      <c r="T885" s="1">
        <f>IF(NOT(Paths!$C$86=1),0,IF(Paths!$P$86="Complete",IF(C885=0,0,VLOOKUP(A885,'Fleet register'!$A$7:$S$106,9,FALSE)*Paths!$R$86),"n.a."))</f>
        <v>0</v>
      </c>
    </row>
    <row r="886" spans="1:20" ht="24" customHeight="1">
      <c r="A886" s="1" t="str">
        <f>Paths!$A$86</f>
        <v>T020</v>
      </c>
      <c r="B886" s="1">
        <f>Paths!$B$86</f>
        <v>3</v>
      </c>
      <c r="C886" s="1">
        <v>10</v>
      </c>
      <c r="D886" s="1">
        <v>86</v>
      </c>
      <c r="E886" s="1">
        <f>IF(OR(Paths!$C$86=0,C886=0),0,MAX(0,MIN(C886*12,Paths!$E$86)-(C886-1)*12))</f>
        <v>0</v>
      </c>
      <c r="F886" s="1">
        <f>IF(OR(Paths!$C$86=0,C886=0),0,12-E886)</f>
        <v>0</v>
      </c>
      <c r="G886" s="16">
        <f>IF(NOT(Paths!$C$86=1),0,IF(Paths!$P$86="Complete",E886/12*(Paths!$J$86*(1+'Operating costs'!$B$51)^MAX(0,C886-1)+Paths!$K$86*(1+'Operating costs'!$B$53)^MAX(0,C886-1)),"n.a."))</f>
        <v>0</v>
      </c>
      <c r="H886" s="16">
        <f>IF(NOT(Paths!$C$86=1),0,IF(Paths!$P$86="Complete",F886/12*(Paths!$L$86*(1+IF(Paths!$D$86="EV",'Operating costs'!$B$52,'Operating costs'!$B$51))^MAX(0,C886-1)+Paths!$M$86*(1+'Operating costs'!$B$53)^MAX(0,C886-1)),"n.a."))</f>
        <v>0</v>
      </c>
      <c r="I886" s="16">
        <f>IF(NOT(Paths!$C$86=1),0,IF(Paths!$P$86="Complete",IF(IF(Paths!$E$86=0,C886=0,AND(C886&gt;0,Paths!$E$86&gt;(C886-1)*12,Paths!$E$86&lt;=C886*12)),Paths!$G$86,0),"n.a."))</f>
        <v>0</v>
      </c>
      <c r="J886" s="16">
        <f>IF(NOT(Paths!$C$86=1),0,IF(Paths!$P$86="Complete",IF(IF(Paths!$E$86=0,C886=0,AND(C886&gt;0,Paths!$E$86&gt;(C886-1)*12,Paths!$E$86&lt;=C886*12)),Paths!$H$86,0),"n.a."))</f>
        <v>0</v>
      </c>
      <c r="K886" s="16">
        <f>IF(NOT(Paths!$C$86=1),0,IF(Paths!$P$86="Complete",IF(IF(Paths!$O$86=0,C886=0,AND(C886&gt;0,Paths!$O$86&gt;(C886-1)*12,Paths!$O$86&lt;=C886*12)),Paths!$N$86,0),"n.a."))</f>
        <v>0</v>
      </c>
      <c r="L886" s="16">
        <f>IF(NOT(Paths!$C$86=1),0,IF(Paths!$P$86="Complete",IF(C886=10,Paths!$I$86,0),"n.a."))</f>
        <v>0</v>
      </c>
      <c r="M886" s="16">
        <f>IF(NOT(Paths!$C$86=1),0,IF(Paths!$P$86="Complete",IF(AND(Paths!$D$86="EV",Paths!$E$86&lt;120,Paths!$E$86+'Operating costs'!$B$65&gt;Paths!$E$86,Paths!$E$86+'Operating costs'!$B$65&lt;=120,IF(Paths!$E$86+'Operating costs'!$B$65=0,C886=0,AND(C886&gt;0,Paths!$E$86+'Operating costs'!$B$65&gt;(C886-1)*12,Paths!$E$86+'Operating costs'!$B$65&lt;=C886*12))),'Operating costs'!$B$64,0)+IF(AND('Operating costs'!$B$67&gt;0,'Operating costs'!$B$67&lt;=120,OR(Paths!$D$86="ICE",'Operating costs'!$B$67&lt;=Paths!$E$86),IF('Operating costs'!$B$67=0,C886=0,AND(C886&gt;0,'Operating costs'!$B$67&gt;(C886-1)*12,'Operating costs'!$B$67&lt;=C886*12))),'Operating costs'!$B$66,0),"n.a."))</f>
        <v>0</v>
      </c>
      <c r="N886" s="16">
        <f>IF(NOT(Paths!$C$86=1),0,IF(Paths!$P$86="Complete",SUM(G886:I886)-J886-K886-L886+M886+IF(C886=0,Paths!$F$86,0)+IF(IF(Paths!$E$86=0,C886=0,AND(C886&gt;0,Paths!$E$86&gt;(C886-1)*12,Paths!$E$86&lt;=C886*12)),VLOOKUP(A886,'Fleet register'!$A$7:$S$106,16,FALSE),0),"n.a."))</f>
        <v>0</v>
      </c>
      <c r="O886" s="16">
        <f>IF(NOT(Paths!$C$86=1),0,IF(Paths!$P$86="Complete",N886-IF(C886=0,Paths!$F$86,0),"n.a."))</f>
        <v>0</v>
      </c>
      <c r="P886" s="16">
        <f>IF(NOT(Paths!$C$86=1),0,IF(Paths!$P$86="Complete",O886+L886,"n.a."))</f>
        <v>0</v>
      </c>
      <c r="Q886" s="16">
        <f>IF(NOT(Paths!$C$86=1),0,IF(Paths!$P$86="Complete",N886*(1+'Operating costs'!$B$54)^-C886,"n.a."))</f>
        <v>0</v>
      </c>
      <c r="R886" s="16">
        <f>IF(NOT(Paths!$C$86=1),0,IF(Paths!$P$86="Complete",IF(AND(C886=0,Paths!$E$86=0),I886-J886-K886+VLOOKUP(A886,'Fleet register'!$A$7:$S$106,15,FALSE)+VLOOKUP(A886,'Fleet register'!$A$7:$S$106,16,FALSE),0),"n.a."))</f>
        <v>0</v>
      </c>
      <c r="S886" s="1">
        <f>IF(NOT(Paths!$C$86=1),0,IF(Paths!$P$86="Complete",IF(C886=0,0,Paths!$S$86*Paths!$R$86),"n.a."))</f>
        <v>0</v>
      </c>
      <c r="T886" s="1">
        <f>IF(NOT(Paths!$C$86=1),0,IF(Paths!$P$86="Complete",IF(C886=0,0,VLOOKUP(A886,'Fleet register'!$A$7:$S$106,9,FALSE)*Paths!$R$86),"n.a."))</f>
        <v>0</v>
      </c>
    </row>
    <row r="887" spans="1:20" ht="24" customHeight="1">
      <c r="A887" s="1" t="str">
        <f>Paths!$A$87</f>
        <v>T021</v>
      </c>
      <c r="B887" s="1">
        <f>Paths!$B$87</f>
        <v>0</v>
      </c>
      <c r="C887" s="1">
        <v>0</v>
      </c>
      <c r="D887" s="1">
        <v>87</v>
      </c>
      <c r="E887" s="1">
        <f>IF(OR(Paths!$C$87=0,C887=0),0,MAX(0,MIN(C887*12,Paths!$E$87)-(C887-1)*12))</f>
        <v>0</v>
      </c>
      <c r="F887" s="1">
        <f>IF(OR(Paths!$C$87=0,C887=0),0,12-E887)</f>
        <v>0</v>
      </c>
      <c r="G887" s="16">
        <f>IF(NOT(Paths!$C$87=1),0,IF(Paths!$P$87="Complete",E887/12*(Paths!$J$87*(1+'Operating costs'!$B$51)^MAX(0,C887-1)+Paths!$K$87*(1+'Operating costs'!$B$53)^MAX(0,C887-1)),"n.a."))</f>
        <v>0</v>
      </c>
      <c r="H887" s="16">
        <f>IF(NOT(Paths!$C$87=1),0,IF(Paths!$P$87="Complete",F887/12*(Paths!$L$87*(1+IF(Paths!$D$87="EV",'Operating costs'!$B$52,'Operating costs'!$B$51))^MAX(0,C887-1)+Paths!$M$87*(1+'Operating costs'!$B$53)^MAX(0,C887-1)),"n.a."))</f>
        <v>0</v>
      </c>
      <c r="I887" s="16">
        <f>IF(NOT(Paths!$C$87=1),0,IF(Paths!$P$87="Complete",IF(IF(Paths!$E$87=0,C887=0,AND(C887&gt;0,Paths!$E$87&gt;(C887-1)*12,Paths!$E$87&lt;=C887*12)),Paths!$G$87,0),"n.a."))</f>
        <v>0</v>
      </c>
      <c r="J887" s="16">
        <f>IF(NOT(Paths!$C$87=1),0,IF(Paths!$P$87="Complete",IF(IF(Paths!$E$87=0,C887=0,AND(C887&gt;0,Paths!$E$87&gt;(C887-1)*12,Paths!$E$87&lt;=C887*12)),Paths!$H$87,0),"n.a."))</f>
        <v>0</v>
      </c>
      <c r="K887" s="16">
        <f>IF(NOT(Paths!$C$87=1),0,IF(Paths!$P$87="Complete",IF(IF(Paths!$O$87=0,C887=0,AND(C887&gt;0,Paths!$O$87&gt;(C887-1)*12,Paths!$O$87&lt;=C887*12)),Paths!$N$87,0),"n.a."))</f>
        <v>0</v>
      </c>
      <c r="L887" s="16">
        <f>IF(NOT(Paths!$C$87=1),0,IF(Paths!$P$87="Complete",IF(C887=10,Paths!$I$87,0),"n.a."))</f>
        <v>0</v>
      </c>
      <c r="M887" s="16">
        <f>IF(NOT(Paths!$C$87=1),0,IF(Paths!$P$87="Complete",IF(AND(Paths!$D$87="EV",Paths!$E$87&lt;120,Paths!$E$87+'Operating costs'!$B$65&gt;Paths!$E$87,Paths!$E$87+'Operating costs'!$B$65&lt;=120,IF(Paths!$E$87+'Operating costs'!$B$65=0,C887=0,AND(C887&gt;0,Paths!$E$87+'Operating costs'!$B$65&gt;(C887-1)*12,Paths!$E$87+'Operating costs'!$B$65&lt;=C887*12))),'Operating costs'!$B$64,0)+IF(AND('Operating costs'!$B$67&gt;0,'Operating costs'!$B$67&lt;=120,OR(Paths!$D$87="ICE",'Operating costs'!$B$67&lt;=Paths!$E$87),IF('Operating costs'!$B$67=0,C887=0,AND(C887&gt;0,'Operating costs'!$B$67&gt;(C887-1)*12,'Operating costs'!$B$67&lt;=C887*12))),'Operating costs'!$B$66,0),"n.a."))</f>
        <v>0</v>
      </c>
      <c r="N887" s="16">
        <f>IF(NOT(Paths!$C$87=1),0,IF(Paths!$P$87="Complete",SUM(G887:I887)-J887-K887-L887+M887+IF(C887=0,Paths!$F$87,0)+IF(IF(Paths!$E$87=0,C887=0,AND(C887&gt;0,Paths!$E$87&gt;(C887-1)*12,Paths!$E$87&lt;=C887*12)),VLOOKUP(A887,'Fleet register'!$A$7:$S$106,16,FALSE),0),"n.a."))</f>
        <v>0</v>
      </c>
      <c r="O887" s="16">
        <f>IF(NOT(Paths!$C$87=1),0,IF(Paths!$P$87="Complete",N887-IF(C887=0,Paths!$F$87,0),"n.a."))</f>
        <v>0</v>
      </c>
      <c r="P887" s="16">
        <f>IF(NOT(Paths!$C$87=1),0,IF(Paths!$P$87="Complete",O887+L887,"n.a."))</f>
        <v>0</v>
      </c>
      <c r="Q887" s="16">
        <f>IF(NOT(Paths!$C$87=1),0,IF(Paths!$P$87="Complete",N887*(1+'Operating costs'!$B$54)^-C887,"n.a."))</f>
        <v>0</v>
      </c>
      <c r="R887" s="16">
        <f>IF(NOT(Paths!$C$87=1),0,IF(Paths!$P$87="Complete",IF(AND(C887=0,Paths!$E$87=0),I887-J887-K887+VLOOKUP(A887,'Fleet register'!$A$7:$S$106,15,FALSE)+VLOOKUP(A887,'Fleet register'!$A$7:$S$106,16,FALSE),0),"n.a."))</f>
        <v>0</v>
      </c>
      <c r="S887" s="1">
        <f>IF(NOT(Paths!$C$87=1),0,IF(Paths!$P$87="Complete",IF(C887=0,0,Paths!$S$87*Paths!$R$87),"n.a."))</f>
        <v>0</v>
      </c>
      <c r="T887" s="1">
        <f>IF(NOT(Paths!$C$87=1),0,IF(Paths!$P$87="Complete",IF(C887=0,0,VLOOKUP(A887,'Fleet register'!$A$7:$S$106,9,FALSE)*Paths!$R$87),"n.a."))</f>
        <v>0</v>
      </c>
    </row>
    <row r="888" spans="1:20" ht="24" customHeight="1">
      <c r="A888" s="1" t="str">
        <f>Paths!$A$87</f>
        <v>T021</v>
      </c>
      <c r="B888" s="1">
        <f>Paths!$B$87</f>
        <v>0</v>
      </c>
      <c r="C888" s="1">
        <v>1</v>
      </c>
      <c r="D888" s="1">
        <v>87</v>
      </c>
      <c r="E888" s="1">
        <f>IF(OR(Paths!$C$87=0,C888=0),0,MAX(0,MIN(C888*12,Paths!$E$87)-(C888-1)*12))</f>
        <v>0</v>
      </c>
      <c r="F888" s="1">
        <f>IF(OR(Paths!$C$87=0,C888=0),0,12-E888)</f>
        <v>0</v>
      </c>
      <c r="G888" s="16">
        <f>IF(NOT(Paths!$C$87=1),0,IF(Paths!$P$87="Complete",E888/12*(Paths!$J$87*(1+'Operating costs'!$B$51)^MAX(0,C888-1)+Paths!$K$87*(1+'Operating costs'!$B$53)^MAX(0,C888-1)),"n.a."))</f>
        <v>0</v>
      </c>
      <c r="H888" s="16">
        <f>IF(NOT(Paths!$C$87=1),0,IF(Paths!$P$87="Complete",F888/12*(Paths!$L$87*(1+IF(Paths!$D$87="EV",'Operating costs'!$B$52,'Operating costs'!$B$51))^MAX(0,C888-1)+Paths!$M$87*(1+'Operating costs'!$B$53)^MAX(0,C888-1)),"n.a."))</f>
        <v>0</v>
      </c>
      <c r="I888" s="16">
        <f>IF(NOT(Paths!$C$87=1),0,IF(Paths!$P$87="Complete",IF(IF(Paths!$E$87=0,C888=0,AND(C888&gt;0,Paths!$E$87&gt;(C888-1)*12,Paths!$E$87&lt;=C888*12)),Paths!$G$87,0),"n.a."))</f>
        <v>0</v>
      </c>
      <c r="J888" s="16">
        <f>IF(NOT(Paths!$C$87=1),0,IF(Paths!$P$87="Complete",IF(IF(Paths!$E$87=0,C888=0,AND(C888&gt;0,Paths!$E$87&gt;(C888-1)*12,Paths!$E$87&lt;=C888*12)),Paths!$H$87,0),"n.a."))</f>
        <v>0</v>
      </c>
      <c r="K888" s="16">
        <f>IF(NOT(Paths!$C$87=1),0,IF(Paths!$P$87="Complete",IF(IF(Paths!$O$87=0,C888=0,AND(C888&gt;0,Paths!$O$87&gt;(C888-1)*12,Paths!$O$87&lt;=C888*12)),Paths!$N$87,0),"n.a."))</f>
        <v>0</v>
      </c>
      <c r="L888" s="16">
        <f>IF(NOT(Paths!$C$87=1),0,IF(Paths!$P$87="Complete",IF(C888=10,Paths!$I$87,0),"n.a."))</f>
        <v>0</v>
      </c>
      <c r="M888" s="16">
        <f>IF(NOT(Paths!$C$87=1),0,IF(Paths!$P$87="Complete",IF(AND(Paths!$D$87="EV",Paths!$E$87&lt;120,Paths!$E$87+'Operating costs'!$B$65&gt;Paths!$E$87,Paths!$E$87+'Operating costs'!$B$65&lt;=120,IF(Paths!$E$87+'Operating costs'!$B$65=0,C888=0,AND(C888&gt;0,Paths!$E$87+'Operating costs'!$B$65&gt;(C888-1)*12,Paths!$E$87+'Operating costs'!$B$65&lt;=C888*12))),'Operating costs'!$B$64,0)+IF(AND('Operating costs'!$B$67&gt;0,'Operating costs'!$B$67&lt;=120,OR(Paths!$D$87="ICE",'Operating costs'!$B$67&lt;=Paths!$E$87),IF('Operating costs'!$B$67=0,C888=0,AND(C888&gt;0,'Operating costs'!$B$67&gt;(C888-1)*12,'Operating costs'!$B$67&lt;=C888*12))),'Operating costs'!$B$66,0),"n.a."))</f>
        <v>0</v>
      </c>
      <c r="N888" s="16">
        <f>IF(NOT(Paths!$C$87=1),0,IF(Paths!$P$87="Complete",SUM(G888:I888)-J888-K888-L888+M888+IF(C888=0,Paths!$F$87,0)+IF(IF(Paths!$E$87=0,C888=0,AND(C888&gt;0,Paths!$E$87&gt;(C888-1)*12,Paths!$E$87&lt;=C888*12)),VLOOKUP(A888,'Fleet register'!$A$7:$S$106,16,FALSE),0),"n.a."))</f>
        <v>0</v>
      </c>
      <c r="O888" s="16">
        <f>IF(NOT(Paths!$C$87=1),0,IF(Paths!$P$87="Complete",N888-IF(C888=0,Paths!$F$87,0),"n.a."))</f>
        <v>0</v>
      </c>
      <c r="P888" s="16">
        <f>IF(NOT(Paths!$C$87=1),0,IF(Paths!$P$87="Complete",O888+L888,"n.a."))</f>
        <v>0</v>
      </c>
      <c r="Q888" s="16">
        <f>IF(NOT(Paths!$C$87=1),0,IF(Paths!$P$87="Complete",N888*(1+'Operating costs'!$B$54)^-C888,"n.a."))</f>
        <v>0</v>
      </c>
      <c r="R888" s="16">
        <f>IF(NOT(Paths!$C$87=1),0,IF(Paths!$P$87="Complete",IF(AND(C888=0,Paths!$E$87=0),I888-J888-K888+VLOOKUP(A888,'Fleet register'!$A$7:$S$106,15,FALSE)+VLOOKUP(A888,'Fleet register'!$A$7:$S$106,16,FALSE),0),"n.a."))</f>
        <v>0</v>
      </c>
      <c r="S888" s="1">
        <f>IF(NOT(Paths!$C$87=1),0,IF(Paths!$P$87="Complete",IF(C888=0,0,Paths!$S$87*Paths!$R$87),"n.a."))</f>
        <v>0</v>
      </c>
      <c r="T888" s="1">
        <f>IF(NOT(Paths!$C$87=1),0,IF(Paths!$P$87="Complete",IF(C888=0,0,VLOOKUP(A888,'Fleet register'!$A$7:$S$106,9,FALSE)*Paths!$R$87),"n.a."))</f>
        <v>0</v>
      </c>
    </row>
    <row r="889" spans="1:20" ht="24" customHeight="1">
      <c r="A889" s="1" t="str">
        <f>Paths!$A$87</f>
        <v>T021</v>
      </c>
      <c r="B889" s="1">
        <f>Paths!$B$87</f>
        <v>0</v>
      </c>
      <c r="C889" s="1">
        <v>2</v>
      </c>
      <c r="D889" s="1">
        <v>87</v>
      </c>
      <c r="E889" s="1">
        <f>IF(OR(Paths!$C$87=0,C889=0),0,MAX(0,MIN(C889*12,Paths!$E$87)-(C889-1)*12))</f>
        <v>0</v>
      </c>
      <c r="F889" s="1">
        <f>IF(OR(Paths!$C$87=0,C889=0),0,12-E889)</f>
        <v>0</v>
      </c>
      <c r="G889" s="16">
        <f>IF(NOT(Paths!$C$87=1),0,IF(Paths!$P$87="Complete",E889/12*(Paths!$J$87*(1+'Operating costs'!$B$51)^MAX(0,C889-1)+Paths!$K$87*(1+'Operating costs'!$B$53)^MAX(0,C889-1)),"n.a."))</f>
        <v>0</v>
      </c>
      <c r="H889" s="16">
        <f>IF(NOT(Paths!$C$87=1),0,IF(Paths!$P$87="Complete",F889/12*(Paths!$L$87*(1+IF(Paths!$D$87="EV",'Operating costs'!$B$52,'Operating costs'!$B$51))^MAX(0,C889-1)+Paths!$M$87*(1+'Operating costs'!$B$53)^MAX(0,C889-1)),"n.a."))</f>
        <v>0</v>
      </c>
      <c r="I889" s="16">
        <f>IF(NOT(Paths!$C$87=1),0,IF(Paths!$P$87="Complete",IF(IF(Paths!$E$87=0,C889=0,AND(C889&gt;0,Paths!$E$87&gt;(C889-1)*12,Paths!$E$87&lt;=C889*12)),Paths!$G$87,0),"n.a."))</f>
        <v>0</v>
      </c>
      <c r="J889" s="16">
        <f>IF(NOT(Paths!$C$87=1),0,IF(Paths!$P$87="Complete",IF(IF(Paths!$E$87=0,C889=0,AND(C889&gt;0,Paths!$E$87&gt;(C889-1)*12,Paths!$E$87&lt;=C889*12)),Paths!$H$87,0),"n.a."))</f>
        <v>0</v>
      </c>
      <c r="K889" s="16">
        <f>IF(NOT(Paths!$C$87=1),0,IF(Paths!$P$87="Complete",IF(IF(Paths!$O$87=0,C889=0,AND(C889&gt;0,Paths!$O$87&gt;(C889-1)*12,Paths!$O$87&lt;=C889*12)),Paths!$N$87,0),"n.a."))</f>
        <v>0</v>
      </c>
      <c r="L889" s="16">
        <f>IF(NOT(Paths!$C$87=1),0,IF(Paths!$P$87="Complete",IF(C889=10,Paths!$I$87,0),"n.a."))</f>
        <v>0</v>
      </c>
      <c r="M889" s="16">
        <f>IF(NOT(Paths!$C$87=1),0,IF(Paths!$P$87="Complete",IF(AND(Paths!$D$87="EV",Paths!$E$87&lt;120,Paths!$E$87+'Operating costs'!$B$65&gt;Paths!$E$87,Paths!$E$87+'Operating costs'!$B$65&lt;=120,IF(Paths!$E$87+'Operating costs'!$B$65=0,C889=0,AND(C889&gt;0,Paths!$E$87+'Operating costs'!$B$65&gt;(C889-1)*12,Paths!$E$87+'Operating costs'!$B$65&lt;=C889*12))),'Operating costs'!$B$64,0)+IF(AND('Operating costs'!$B$67&gt;0,'Operating costs'!$B$67&lt;=120,OR(Paths!$D$87="ICE",'Operating costs'!$B$67&lt;=Paths!$E$87),IF('Operating costs'!$B$67=0,C889=0,AND(C889&gt;0,'Operating costs'!$B$67&gt;(C889-1)*12,'Operating costs'!$B$67&lt;=C889*12))),'Operating costs'!$B$66,0),"n.a."))</f>
        <v>0</v>
      </c>
      <c r="N889" s="16">
        <f>IF(NOT(Paths!$C$87=1),0,IF(Paths!$P$87="Complete",SUM(G889:I889)-J889-K889-L889+M889+IF(C889=0,Paths!$F$87,0)+IF(IF(Paths!$E$87=0,C889=0,AND(C889&gt;0,Paths!$E$87&gt;(C889-1)*12,Paths!$E$87&lt;=C889*12)),VLOOKUP(A889,'Fleet register'!$A$7:$S$106,16,FALSE),0),"n.a."))</f>
        <v>0</v>
      </c>
      <c r="O889" s="16">
        <f>IF(NOT(Paths!$C$87=1),0,IF(Paths!$P$87="Complete",N889-IF(C889=0,Paths!$F$87,0),"n.a."))</f>
        <v>0</v>
      </c>
      <c r="P889" s="16">
        <f>IF(NOT(Paths!$C$87=1),0,IF(Paths!$P$87="Complete",O889+L889,"n.a."))</f>
        <v>0</v>
      </c>
      <c r="Q889" s="16">
        <f>IF(NOT(Paths!$C$87=1),0,IF(Paths!$P$87="Complete",N889*(1+'Operating costs'!$B$54)^-C889,"n.a."))</f>
        <v>0</v>
      </c>
      <c r="R889" s="16">
        <f>IF(NOT(Paths!$C$87=1),0,IF(Paths!$P$87="Complete",IF(AND(C889=0,Paths!$E$87=0),I889-J889-K889+VLOOKUP(A889,'Fleet register'!$A$7:$S$106,15,FALSE)+VLOOKUP(A889,'Fleet register'!$A$7:$S$106,16,FALSE),0),"n.a."))</f>
        <v>0</v>
      </c>
      <c r="S889" s="1">
        <f>IF(NOT(Paths!$C$87=1),0,IF(Paths!$P$87="Complete",IF(C889=0,0,Paths!$S$87*Paths!$R$87),"n.a."))</f>
        <v>0</v>
      </c>
      <c r="T889" s="1">
        <f>IF(NOT(Paths!$C$87=1),0,IF(Paths!$P$87="Complete",IF(C889=0,0,VLOOKUP(A889,'Fleet register'!$A$7:$S$106,9,FALSE)*Paths!$R$87),"n.a."))</f>
        <v>0</v>
      </c>
    </row>
    <row r="890" spans="1:20" ht="24" customHeight="1">
      <c r="A890" s="1" t="str">
        <f>Paths!$A$87</f>
        <v>T021</v>
      </c>
      <c r="B890" s="1">
        <f>Paths!$B$87</f>
        <v>0</v>
      </c>
      <c r="C890" s="1">
        <v>3</v>
      </c>
      <c r="D890" s="1">
        <v>87</v>
      </c>
      <c r="E890" s="1">
        <f>IF(OR(Paths!$C$87=0,C890=0),0,MAX(0,MIN(C890*12,Paths!$E$87)-(C890-1)*12))</f>
        <v>0</v>
      </c>
      <c r="F890" s="1">
        <f>IF(OR(Paths!$C$87=0,C890=0),0,12-E890)</f>
        <v>0</v>
      </c>
      <c r="G890" s="16">
        <f>IF(NOT(Paths!$C$87=1),0,IF(Paths!$P$87="Complete",E890/12*(Paths!$J$87*(1+'Operating costs'!$B$51)^MAX(0,C890-1)+Paths!$K$87*(1+'Operating costs'!$B$53)^MAX(0,C890-1)),"n.a."))</f>
        <v>0</v>
      </c>
      <c r="H890" s="16">
        <f>IF(NOT(Paths!$C$87=1),0,IF(Paths!$P$87="Complete",F890/12*(Paths!$L$87*(1+IF(Paths!$D$87="EV",'Operating costs'!$B$52,'Operating costs'!$B$51))^MAX(0,C890-1)+Paths!$M$87*(1+'Operating costs'!$B$53)^MAX(0,C890-1)),"n.a."))</f>
        <v>0</v>
      </c>
      <c r="I890" s="16">
        <f>IF(NOT(Paths!$C$87=1),0,IF(Paths!$P$87="Complete",IF(IF(Paths!$E$87=0,C890=0,AND(C890&gt;0,Paths!$E$87&gt;(C890-1)*12,Paths!$E$87&lt;=C890*12)),Paths!$G$87,0),"n.a."))</f>
        <v>0</v>
      </c>
      <c r="J890" s="16">
        <f>IF(NOT(Paths!$C$87=1),0,IF(Paths!$P$87="Complete",IF(IF(Paths!$E$87=0,C890=0,AND(C890&gt;0,Paths!$E$87&gt;(C890-1)*12,Paths!$E$87&lt;=C890*12)),Paths!$H$87,0),"n.a."))</f>
        <v>0</v>
      </c>
      <c r="K890" s="16">
        <f>IF(NOT(Paths!$C$87=1),0,IF(Paths!$P$87="Complete",IF(IF(Paths!$O$87=0,C890=0,AND(C890&gt;0,Paths!$O$87&gt;(C890-1)*12,Paths!$O$87&lt;=C890*12)),Paths!$N$87,0),"n.a."))</f>
        <v>0</v>
      </c>
      <c r="L890" s="16">
        <f>IF(NOT(Paths!$C$87=1),0,IF(Paths!$P$87="Complete",IF(C890=10,Paths!$I$87,0),"n.a."))</f>
        <v>0</v>
      </c>
      <c r="M890" s="16">
        <f>IF(NOT(Paths!$C$87=1),0,IF(Paths!$P$87="Complete",IF(AND(Paths!$D$87="EV",Paths!$E$87&lt;120,Paths!$E$87+'Operating costs'!$B$65&gt;Paths!$E$87,Paths!$E$87+'Operating costs'!$B$65&lt;=120,IF(Paths!$E$87+'Operating costs'!$B$65=0,C890=0,AND(C890&gt;0,Paths!$E$87+'Operating costs'!$B$65&gt;(C890-1)*12,Paths!$E$87+'Operating costs'!$B$65&lt;=C890*12))),'Operating costs'!$B$64,0)+IF(AND('Operating costs'!$B$67&gt;0,'Operating costs'!$B$67&lt;=120,OR(Paths!$D$87="ICE",'Operating costs'!$B$67&lt;=Paths!$E$87),IF('Operating costs'!$B$67=0,C890=0,AND(C890&gt;0,'Operating costs'!$B$67&gt;(C890-1)*12,'Operating costs'!$B$67&lt;=C890*12))),'Operating costs'!$B$66,0),"n.a."))</f>
        <v>0</v>
      </c>
      <c r="N890" s="16">
        <f>IF(NOT(Paths!$C$87=1),0,IF(Paths!$P$87="Complete",SUM(G890:I890)-J890-K890-L890+M890+IF(C890=0,Paths!$F$87,0)+IF(IF(Paths!$E$87=0,C890=0,AND(C890&gt;0,Paths!$E$87&gt;(C890-1)*12,Paths!$E$87&lt;=C890*12)),VLOOKUP(A890,'Fleet register'!$A$7:$S$106,16,FALSE),0),"n.a."))</f>
        <v>0</v>
      </c>
      <c r="O890" s="16">
        <f>IF(NOT(Paths!$C$87=1),0,IF(Paths!$P$87="Complete",N890-IF(C890=0,Paths!$F$87,0),"n.a."))</f>
        <v>0</v>
      </c>
      <c r="P890" s="16">
        <f>IF(NOT(Paths!$C$87=1),0,IF(Paths!$P$87="Complete",O890+L890,"n.a."))</f>
        <v>0</v>
      </c>
      <c r="Q890" s="16">
        <f>IF(NOT(Paths!$C$87=1),0,IF(Paths!$P$87="Complete",N890*(1+'Operating costs'!$B$54)^-C890,"n.a."))</f>
        <v>0</v>
      </c>
      <c r="R890" s="16">
        <f>IF(NOT(Paths!$C$87=1),0,IF(Paths!$P$87="Complete",IF(AND(C890=0,Paths!$E$87=0),I890-J890-K890+VLOOKUP(A890,'Fleet register'!$A$7:$S$106,15,FALSE)+VLOOKUP(A890,'Fleet register'!$A$7:$S$106,16,FALSE),0),"n.a."))</f>
        <v>0</v>
      </c>
      <c r="S890" s="1">
        <f>IF(NOT(Paths!$C$87=1),0,IF(Paths!$P$87="Complete",IF(C890=0,0,Paths!$S$87*Paths!$R$87),"n.a."))</f>
        <v>0</v>
      </c>
      <c r="T890" s="1">
        <f>IF(NOT(Paths!$C$87=1),0,IF(Paths!$P$87="Complete",IF(C890=0,0,VLOOKUP(A890,'Fleet register'!$A$7:$S$106,9,FALSE)*Paths!$R$87),"n.a."))</f>
        <v>0</v>
      </c>
    </row>
    <row r="891" spans="1:20" ht="24" customHeight="1">
      <c r="A891" s="1" t="str">
        <f>Paths!$A$87</f>
        <v>T021</v>
      </c>
      <c r="B891" s="1">
        <f>Paths!$B$87</f>
        <v>0</v>
      </c>
      <c r="C891" s="1">
        <v>4</v>
      </c>
      <c r="D891" s="1">
        <v>87</v>
      </c>
      <c r="E891" s="1">
        <f>IF(OR(Paths!$C$87=0,C891=0),0,MAX(0,MIN(C891*12,Paths!$E$87)-(C891-1)*12))</f>
        <v>0</v>
      </c>
      <c r="F891" s="1">
        <f>IF(OR(Paths!$C$87=0,C891=0),0,12-E891)</f>
        <v>0</v>
      </c>
      <c r="G891" s="16">
        <f>IF(NOT(Paths!$C$87=1),0,IF(Paths!$P$87="Complete",E891/12*(Paths!$J$87*(1+'Operating costs'!$B$51)^MAX(0,C891-1)+Paths!$K$87*(1+'Operating costs'!$B$53)^MAX(0,C891-1)),"n.a."))</f>
        <v>0</v>
      </c>
      <c r="H891" s="16">
        <f>IF(NOT(Paths!$C$87=1),0,IF(Paths!$P$87="Complete",F891/12*(Paths!$L$87*(1+IF(Paths!$D$87="EV",'Operating costs'!$B$52,'Operating costs'!$B$51))^MAX(0,C891-1)+Paths!$M$87*(1+'Operating costs'!$B$53)^MAX(0,C891-1)),"n.a."))</f>
        <v>0</v>
      </c>
      <c r="I891" s="16">
        <f>IF(NOT(Paths!$C$87=1),0,IF(Paths!$P$87="Complete",IF(IF(Paths!$E$87=0,C891=0,AND(C891&gt;0,Paths!$E$87&gt;(C891-1)*12,Paths!$E$87&lt;=C891*12)),Paths!$G$87,0),"n.a."))</f>
        <v>0</v>
      </c>
      <c r="J891" s="16">
        <f>IF(NOT(Paths!$C$87=1),0,IF(Paths!$P$87="Complete",IF(IF(Paths!$E$87=0,C891=0,AND(C891&gt;0,Paths!$E$87&gt;(C891-1)*12,Paths!$E$87&lt;=C891*12)),Paths!$H$87,0),"n.a."))</f>
        <v>0</v>
      </c>
      <c r="K891" s="16">
        <f>IF(NOT(Paths!$C$87=1),0,IF(Paths!$P$87="Complete",IF(IF(Paths!$O$87=0,C891=0,AND(C891&gt;0,Paths!$O$87&gt;(C891-1)*12,Paths!$O$87&lt;=C891*12)),Paths!$N$87,0),"n.a."))</f>
        <v>0</v>
      </c>
      <c r="L891" s="16">
        <f>IF(NOT(Paths!$C$87=1),0,IF(Paths!$P$87="Complete",IF(C891=10,Paths!$I$87,0),"n.a."))</f>
        <v>0</v>
      </c>
      <c r="M891" s="16">
        <f>IF(NOT(Paths!$C$87=1),0,IF(Paths!$P$87="Complete",IF(AND(Paths!$D$87="EV",Paths!$E$87&lt;120,Paths!$E$87+'Operating costs'!$B$65&gt;Paths!$E$87,Paths!$E$87+'Operating costs'!$B$65&lt;=120,IF(Paths!$E$87+'Operating costs'!$B$65=0,C891=0,AND(C891&gt;0,Paths!$E$87+'Operating costs'!$B$65&gt;(C891-1)*12,Paths!$E$87+'Operating costs'!$B$65&lt;=C891*12))),'Operating costs'!$B$64,0)+IF(AND('Operating costs'!$B$67&gt;0,'Operating costs'!$B$67&lt;=120,OR(Paths!$D$87="ICE",'Operating costs'!$B$67&lt;=Paths!$E$87),IF('Operating costs'!$B$67=0,C891=0,AND(C891&gt;0,'Operating costs'!$B$67&gt;(C891-1)*12,'Operating costs'!$B$67&lt;=C891*12))),'Operating costs'!$B$66,0),"n.a."))</f>
        <v>0</v>
      </c>
      <c r="N891" s="16">
        <f>IF(NOT(Paths!$C$87=1),0,IF(Paths!$P$87="Complete",SUM(G891:I891)-J891-K891-L891+M891+IF(C891=0,Paths!$F$87,0)+IF(IF(Paths!$E$87=0,C891=0,AND(C891&gt;0,Paths!$E$87&gt;(C891-1)*12,Paths!$E$87&lt;=C891*12)),VLOOKUP(A891,'Fleet register'!$A$7:$S$106,16,FALSE),0),"n.a."))</f>
        <v>0</v>
      </c>
      <c r="O891" s="16">
        <f>IF(NOT(Paths!$C$87=1),0,IF(Paths!$P$87="Complete",N891-IF(C891=0,Paths!$F$87,0),"n.a."))</f>
        <v>0</v>
      </c>
      <c r="P891" s="16">
        <f>IF(NOT(Paths!$C$87=1),0,IF(Paths!$P$87="Complete",O891+L891,"n.a."))</f>
        <v>0</v>
      </c>
      <c r="Q891" s="16">
        <f>IF(NOT(Paths!$C$87=1),0,IF(Paths!$P$87="Complete",N891*(1+'Operating costs'!$B$54)^-C891,"n.a."))</f>
        <v>0</v>
      </c>
      <c r="R891" s="16">
        <f>IF(NOT(Paths!$C$87=1),0,IF(Paths!$P$87="Complete",IF(AND(C891=0,Paths!$E$87=0),I891-J891-K891+VLOOKUP(A891,'Fleet register'!$A$7:$S$106,15,FALSE)+VLOOKUP(A891,'Fleet register'!$A$7:$S$106,16,FALSE),0),"n.a."))</f>
        <v>0</v>
      </c>
      <c r="S891" s="1">
        <f>IF(NOT(Paths!$C$87=1),0,IF(Paths!$P$87="Complete",IF(C891=0,0,Paths!$S$87*Paths!$R$87),"n.a."))</f>
        <v>0</v>
      </c>
      <c r="T891" s="1">
        <f>IF(NOT(Paths!$C$87=1),0,IF(Paths!$P$87="Complete",IF(C891=0,0,VLOOKUP(A891,'Fleet register'!$A$7:$S$106,9,FALSE)*Paths!$R$87),"n.a."))</f>
        <v>0</v>
      </c>
    </row>
    <row r="892" spans="1:20" ht="24" customHeight="1">
      <c r="A892" s="1" t="str">
        <f>Paths!$A$87</f>
        <v>T021</v>
      </c>
      <c r="B892" s="1">
        <f>Paths!$B$87</f>
        <v>0</v>
      </c>
      <c r="C892" s="1">
        <v>5</v>
      </c>
      <c r="D892" s="1">
        <v>87</v>
      </c>
      <c r="E892" s="1">
        <f>IF(OR(Paths!$C$87=0,C892=0),0,MAX(0,MIN(C892*12,Paths!$E$87)-(C892-1)*12))</f>
        <v>0</v>
      </c>
      <c r="F892" s="1">
        <f>IF(OR(Paths!$C$87=0,C892=0),0,12-E892)</f>
        <v>0</v>
      </c>
      <c r="G892" s="16">
        <f>IF(NOT(Paths!$C$87=1),0,IF(Paths!$P$87="Complete",E892/12*(Paths!$J$87*(1+'Operating costs'!$B$51)^MAX(0,C892-1)+Paths!$K$87*(1+'Operating costs'!$B$53)^MAX(0,C892-1)),"n.a."))</f>
        <v>0</v>
      </c>
      <c r="H892" s="16">
        <f>IF(NOT(Paths!$C$87=1),0,IF(Paths!$P$87="Complete",F892/12*(Paths!$L$87*(1+IF(Paths!$D$87="EV",'Operating costs'!$B$52,'Operating costs'!$B$51))^MAX(0,C892-1)+Paths!$M$87*(1+'Operating costs'!$B$53)^MAX(0,C892-1)),"n.a."))</f>
        <v>0</v>
      </c>
      <c r="I892" s="16">
        <f>IF(NOT(Paths!$C$87=1),0,IF(Paths!$P$87="Complete",IF(IF(Paths!$E$87=0,C892=0,AND(C892&gt;0,Paths!$E$87&gt;(C892-1)*12,Paths!$E$87&lt;=C892*12)),Paths!$G$87,0),"n.a."))</f>
        <v>0</v>
      </c>
      <c r="J892" s="16">
        <f>IF(NOT(Paths!$C$87=1),0,IF(Paths!$P$87="Complete",IF(IF(Paths!$E$87=0,C892=0,AND(C892&gt;0,Paths!$E$87&gt;(C892-1)*12,Paths!$E$87&lt;=C892*12)),Paths!$H$87,0),"n.a."))</f>
        <v>0</v>
      </c>
      <c r="K892" s="16">
        <f>IF(NOT(Paths!$C$87=1),0,IF(Paths!$P$87="Complete",IF(IF(Paths!$O$87=0,C892=0,AND(C892&gt;0,Paths!$O$87&gt;(C892-1)*12,Paths!$O$87&lt;=C892*12)),Paths!$N$87,0),"n.a."))</f>
        <v>0</v>
      </c>
      <c r="L892" s="16">
        <f>IF(NOT(Paths!$C$87=1),0,IF(Paths!$P$87="Complete",IF(C892=10,Paths!$I$87,0),"n.a."))</f>
        <v>0</v>
      </c>
      <c r="M892" s="16">
        <f>IF(NOT(Paths!$C$87=1),0,IF(Paths!$P$87="Complete",IF(AND(Paths!$D$87="EV",Paths!$E$87&lt;120,Paths!$E$87+'Operating costs'!$B$65&gt;Paths!$E$87,Paths!$E$87+'Operating costs'!$B$65&lt;=120,IF(Paths!$E$87+'Operating costs'!$B$65=0,C892=0,AND(C892&gt;0,Paths!$E$87+'Operating costs'!$B$65&gt;(C892-1)*12,Paths!$E$87+'Operating costs'!$B$65&lt;=C892*12))),'Operating costs'!$B$64,0)+IF(AND('Operating costs'!$B$67&gt;0,'Operating costs'!$B$67&lt;=120,OR(Paths!$D$87="ICE",'Operating costs'!$B$67&lt;=Paths!$E$87),IF('Operating costs'!$B$67=0,C892=0,AND(C892&gt;0,'Operating costs'!$B$67&gt;(C892-1)*12,'Operating costs'!$B$67&lt;=C892*12))),'Operating costs'!$B$66,0),"n.a."))</f>
        <v>0</v>
      </c>
      <c r="N892" s="16">
        <f>IF(NOT(Paths!$C$87=1),0,IF(Paths!$P$87="Complete",SUM(G892:I892)-J892-K892-L892+M892+IF(C892=0,Paths!$F$87,0)+IF(IF(Paths!$E$87=0,C892=0,AND(C892&gt;0,Paths!$E$87&gt;(C892-1)*12,Paths!$E$87&lt;=C892*12)),VLOOKUP(A892,'Fleet register'!$A$7:$S$106,16,FALSE),0),"n.a."))</f>
        <v>0</v>
      </c>
      <c r="O892" s="16">
        <f>IF(NOT(Paths!$C$87=1),0,IF(Paths!$P$87="Complete",N892-IF(C892=0,Paths!$F$87,0),"n.a."))</f>
        <v>0</v>
      </c>
      <c r="P892" s="16">
        <f>IF(NOT(Paths!$C$87=1),0,IF(Paths!$P$87="Complete",O892+L892,"n.a."))</f>
        <v>0</v>
      </c>
      <c r="Q892" s="16">
        <f>IF(NOT(Paths!$C$87=1),0,IF(Paths!$P$87="Complete",N892*(1+'Operating costs'!$B$54)^-C892,"n.a."))</f>
        <v>0</v>
      </c>
      <c r="R892" s="16">
        <f>IF(NOT(Paths!$C$87=1),0,IF(Paths!$P$87="Complete",IF(AND(C892=0,Paths!$E$87=0),I892-J892-K892+VLOOKUP(A892,'Fleet register'!$A$7:$S$106,15,FALSE)+VLOOKUP(A892,'Fleet register'!$A$7:$S$106,16,FALSE),0),"n.a."))</f>
        <v>0</v>
      </c>
      <c r="S892" s="1">
        <f>IF(NOT(Paths!$C$87=1),0,IF(Paths!$P$87="Complete",IF(C892=0,0,Paths!$S$87*Paths!$R$87),"n.a."))</f>
        <v>0</v>
      </c>
      <c r="T892" s="1">
        <f>IF(NOT(Paths!$C$87=1),0,IF(Paths!$P$87="Complete",IF(C892=0,0,VLOOKUP(A892,'Fleet register'!$A$7:$S$106,9,FALSE)*Paths!$R$87),"n.a."))</f>
        <v>0</v>
      </c>
    </row>
    <row r="893" spans="1:20" ht="24" customHeight="1">
      <c r="A893" s="1" t="str">
        <f>Paths!$A$87</f>
        <v>T021</v>
      </c>
      <c r="B893" s="1">
        <f>Paths!$B$87</f>
        <v>0</v>
      </c>
      <c r="C893" s="1">
        <v>6</v>
      </c>
      <c r="D893" s="1">
        <v>87</v>
      </c>
      <c r="E893" s="1">
        <f>IF(OR(Paths!$C$87=0,C893=0),0,MAX(0,MIN(C893*12,Paths!$E$87)-(C893-1)*12))</f>
        <v>0</v>
      </c>
      <c r="F893" s="1">
        <f>IF(OR(Paths!$C$87=0,C893=0),0,12-E893)</f>
        <v>0</v>
      </c>
      <c r="G893" s="16">
        <f>IF(NOT(Paths!$C$87=1),0,IF(Paths!$P$87="Complete",E893/12*(Paths!$J$87*(1+'Operating costs'!$B$51)^MAX(0,C893-1)+Paths!$K$87*(1+'Operating costs'!$B$53)^MAX(0,C893-1)),"n.a."))</f>
        <v>0</v>
      </c>
      <c r="H893" s="16">
        <f>IF(NOT(Paths!$C$87=1),0,IF(Paths!$P$87="Complete",F893/12*(Paths!$L$87*(1+IF(Paths!$D$87="EV",'Operating costs'!$B$52,'Operating costs'!$B$51))^MAX(0,C893-1)+Paths!$M$87*(1+'Operating costs'!$B$53)^MAX(0,C893-1)),"n.a."))</f>
        <v>0</v>
      </c>
      <c r="I893" s="16">
        <f>IF(NOT(Paths!$C$87=1),0,IF(Paths!$P$87="Complete",IF(IF(Paths!$E$87=0,C893=0,AND(C893&gt;0,Paths!$E$87&gt;(C893-1)*12,Paths!$E$87&lt;=C893*12)),Paths!$G$87,0),"n.a."))</f>
        <v>0</v>
      </c>
      <c r="J893" s="16">
        <f>IF(NOT(Paths!$C$87=1),0,IF(Paths!$P$87="Complete",IF(IF(Paths!$E$87=0,C893=0,AND(C893&gt;0,Paths!$E$87&gt;(C893-1)*12,Paths!$E$87&lt;=C893*12)),Paths!$H$87,0),"n.a."))</f>
        <v>0</v>
      </c>
      <c r="K893" s="16">
        <f>IF(NOT(Paths!$C$87=1),0,IF(Paths!$P$87="Complete",IF(IF(Paths!$O$87=0,C893=0,AND(C893&gt;0,Paths!$O$87&gt;(C893-1)*12,Paths!$O$87&lt;=C893*12)),Paths!$N$87,0),"n.a."))</f>
        <v>0</v>
      </c>
      <c r="L893" s="16">
        <f>IF(NOT(Paths!$C$87=1),0,IF(Paths!$P$87="Complete",IF(C893=10,Paths!$I$87,0),"n.a."))</f>
        <v>0</v>
      </c>
      <c r="M893" s="16">
        <f>IF(NOT(Paths!$C$87=1),0,IF(Paths!$P$87="Complete",IF(AND(Paths!$D$87="EV",Paths!$E$87&lt;120,Paths!$E$87+'Operating costs'!$B$65&gt;Paths!$E$87,Paths!$E$87+'Operating costs'!$B$65&lt;=120,IF(Paths!$E$87+'Operating costs'!$B$65=0,C893=0,AND(C893&gt;0,Paths!$E$87+'Operating costs'!$B$65&gt;(C893-1)*12,Paths!$E$87+'Operating costs'!$B$65&lt;=C893*12))),'Operating costs'!$B$64,0)+IF(AND('Operating costs'!$B$67&gt;0,'Operating costs'!$B$67&lt;=120,OR(Paths!$D$87="ICE",'Operating costs'!$B$67&lt;=Paths!$E$87),IF('Operating costs'!$B$67=0,C893=0,AND(C893&gt;0,'Operating costs'!$B$67&gt;(C893-1)*12,'Operating costs'!$B$67&lt;=C893*12))),'Operating costs'!$B$66,0),"n.a."))</f>
        <v>0</v>
      </c>
      <c r="N893" s="16">
        <f>IF(NOT(Paths!$C$87=1),0,IF(Paths!$P$87="Complete",SUM(G893:I893)-J893-K893-L893+M893+IF(C893=0,Paths!$F$87,0)+IF(IF(Paths!$E$87=0,C893=0,AND(C893&gt;0,Paths!$E$87&gt;(C893-1)*12,Paths!$E$87&lt;=C893*12)),VLOOKUP(A893,'Fleet register'!$A$7:$S$106,16,FALSE),0),"n.a."))</f>
        <v>0</v>
      </c>
      <c r="O893" s="16">
        <f>IF(NOT(Paths!$C$87=1),0,IF(Paths!$P$87="Complete",N893-IF(C893=0,Paths!$F$87,0),"n.a."))</f>
        <v>0</v>
      </c>
      <c r="P893" s="16">
        <f>IF(NOT(Paths!$C$87=1),0,IF(Paths!$P$87="Complete",O893+L893,"n.a."))</f>
        <v>0</v>
      </c>
      <c r="Q893" s="16">
        <f>IF(NOT(Paths!$C$87=1),0,IF(Paths!$P$87="Complete",N893*(1+'Operating costs'!$B$54)^-C893,"n.a."))</f>
        <v>0</v>
      </c>
      <c r="R893" s="16">
        <f>IF(NOT(Paths!$C$87=1),0,IF(Paths!$P$87="Complete",IF(AND(C893=0,Paths!$E$87=0),I893-J893-K893+VLOOKUP(A893,'Fleet register'!$A$7:$S$106,15,FALSE)+VLOOKUP(A893,'Fleet register'!$A$7:$S$106,16,FALSE),0),"n.a."))</f>
        <v>0</v>
      </c>
      <c r="S893" s="1">
        <f>IF(NOT(Paths!$C$87=1),0,IF(Paths!$P$87="Complete",IF(C893=0,0,Paths!$S$87*Paths!$R$87),"n.a."))</f>
        <v>0</v>
      </c>
      <c r="T893" s="1">
        <f>IF(NOT(Paths!$C$87=1),0,IF(Paths!$P$87="Complete",IF(C893=0,0,VLOOKUP(A893,'Fleet register'!$A$7:$S$106,9,FALSE)*Paths!$R$87),"n.a."))</f>
        <v>0</v>
      </c>
    </row>
    <row r="894" spans="1:20" ht="24" customHeight="1">
      <c r="A894" s="1" t="str">
        <f>Paths!$A$87</f>
        <v>T021</v>
      </c>
      <c r="B894" s="1">
        <f>Paths!$B$87</f>
        <v>0</v>
      </c>
      <c r="C894" s="1">
        <v>7</v>
      </c>
      <c r="D894" s="1">
        <v>87</v>
      </c>
      <c r="E894" s="1">
        <f>IF(OR(Paths!$C$87=0,C894=0),0,MAX(0,MIN(C894*12,Paths!$E$87)-(C894-1)*12))</f>
        <v>0</v>
      </c>
      <c r="F894" s="1">
        <f>IF(OR(Paths!$C$87=0,C894=0),0,12-E894)</f>
        <v>0</v>
      </c>
      <c r="G894" s="16">
        <f>IF(NOT(Paths!$C$87=1),0,IF(Paths!$P$87="Complete",E894/12*(Paths!$J$87*(1+'Operating costs'!$B$51)^MAX(0,C894-1)+Paths!$K$87*(1+'Operating costs'!$B$53)^MAX(0,C894-1)),"n.a."))</f>
        <v>0</v>
      </c>
      <c r="H894" s="16">
        <f>IF(NOT(Paths!$C$87=1),0,IF(Paths!$P$87="Complete",F894/12*(Paths!$L$87*(1+IF(Paths!$D$87="EV",'Operating costs'!$B$52,'Operating costs'!$B$51))^MAX(0,C894-1)+Paths!$M$87*(1+'Operating costs'!$B$53)^MAX(0,C894-1)),"n.a."))</f>
        <v>0</v>
      </c>
      <c r="I894" s="16">
        <f>IF(NOT(Paths!$C$87=1),0,IF(Paths!$P$87="Complete",IF(IF(Paths!$E$87=0,C894=0,AND(C894&gt;0,Paths!$E$87&gt;(C894-1)*12,Paths!$E$87&lt;=C894*12)),Paths!$G$87,0),"n.a."))</f>
        <v>0</v>
      </c>
      <c r="J894" s="16">
        <f>IF(NOT(Paths!$C$87=1),0,IF(Paths!$P$87="Complete",IF(IF(Paths!$E$87=0,C894=0,AND(C894&gt;0,Paths!$E$87&gt;(C894-1)*12,Paths!$E$87&lt;=C894*12)),Paths!$H$87,0),"n.a."))</f>
        <v>0</v>
      </c>
      <c r="K894" s="16">
        <f>IF(NOT(Paths!$C$87=1),0,IF(Paths!$P$87="Complete",IF(IF(Paths!$O$87=0,C894=0,AND(C894&gt;0,Paths!$O$87&gt;(C894-1)*12,Paths!$O$87&lt;=C894*12)),Paths!$N$87,0),"n.a."))</f>
        <v>0</v>
      </c>
      <c r="L894" s="16">
        <f>IF(NOT(Paths!$C$87=1),0,IF(Paths!$P$87="Complete",IF(C894=10,Paths!$I$87,0),"n.a."))</f>
        <v>0</v>
      </c>
      <c r="M894" s="16">
        <f>IF(NOT(Paths!$C$87=1),0,IF(Paths!$P$87="Complete",IF(AND(Paths!$D$87="EV",Paths!$E$87&lt;120,Paths!$E$87+'Operating costs'!$B$65&gt;Paths!$E$87,Paths!$E$87+'Operating costs'!$B$65&lt;=120,IF(Paths!$E$87+'Operating costs'!$B$65=0,C894=0,AND(C894&gt;0,Paths!$E$87+'Operating costs'!$B$65&gt;(C894-1)*12,Paths!$E$87+'Operating costs'!$B$65&lt;=C894*12))),'Operating costs'!$B$64,0)+IF(AND('Operating costs'!$B$67&gt;0,'Operating costs'!$B$67&lt;=120,OR(Paths!$D$87="ICE",'Operating costs'!$B$67&lt;=Paths!$E$87),IF('Operating costs'!$B$67=0,C894=0,AND(C894&gt;0,'Operating costs'!$B$67&gt;(C894-1)*12,'Operating costs'!$B$67&lt;=C894*12))),'Operating costs'!$B$66,0),"n.a."))</f>
        <v>0</v>
      </c>
      <c r="N894" s="16">
        <f>IF(NOT(Paths!$C$87=1),0,IF(Paths!$P$87="Complete",SUM(G894:I894)-J894-K894-L894+M894+IF(C894=0,Paths!$F$87,0)+IF(IF(Paths!$E$87=0,C894=0,AND(C894&gt;0,Paths!$E$87&gt;(C894-1)*12,Paths!$E$87&lt;=C894*12)),VLOOKUP(A894,'Fleet register'!$A$7:$S$106,16,FALSE),0),"n.a."))</f>
        <v>0</v>
      </c>
      <c r="O894" s="16">
        <f>IF(NOT(Paths!$C$87=1),0,IF(Paths!$P$87="Complete",N894-IF(C894=0,Paths!$F$87,0),"n.a."))</f>
        <v>0</v>
      </c>
      <c r="P894" s="16">
        <f>IF(NOT(Paths!$C$87=1),0,IF(Paths!$P$87="Complete",O894+L894,"n.a."))</f>
        <v>0</v>
      </c>
      <c r="Q894" s="16">
        <f>IF(NOT(Paths!$C$87=1),0,IF(Paths!$P$87="Complete",N894*(1+'Operating costs'!$B$54)^-C894,"n.a."))</f>
        <v>0</v>
      </c>
      <c r="R894" s="16">
        <f>IF(NOT(Paths!$C$87=1),0,IF(Paths!$P$87="Complete",IF(AND(C894=0,Paths!$E$87=0),I894-J894-K894+VLOOKUP(A894,'Fleet register'!$A$7:$S$106,15,FALSE)+VLOOKUP(A894,'Fleet register'!$A$7:$S$106,16,FALSE),0),"n.a."))</f>
        <v>0</v>
      </c>
      <c r="S894" s="1">
        <f>IF(NOT(Paths!$C$87=1),0,IF(Paths!$P$87="Complete",IF(C894=0,0,Paths!$S$87*Paths!$R$87),"n.a."))</f>
        <v>0</v>
      </c>
      <c r="T894" s="1">
        <f>IF(NOT(Paths!$C$87=1),0,IF(Paths!$P$87="Complete",IF(C894=0,0,VLOOKUP(A894,'Fleet register'!$A$7:$S$106,9,FALSE)*Paths!$R$87),"n.a."))</f>
        <v>0</v>
      </c>
    </row>
    <row r="895" spans="1:20" ht="24" customHeight="1">
      <c r="A895" s="1" t="str">
        <f>Paths!$A$87</f>
        <v>T021</v>
      </c>
      <c r="B895" s="1">
        <f>Paths!$B$87</f>
        <v>0</v>
      </c>
      <c r="C895" s="1">
        <v>8</v>
      </c>
      <c r="D895" s="1">
        <v>87</v>
      </c>
      <c r="E895" s="1">
        <f>IF(OR(Paths!$C$87=0,C895=0),0,MAX(0,MIN(C895*12,Paths!$E$87)-(C895-1)*12))</f>
        <v>0</v>
      </c>
      <c r="F895" s="1">
        <f>IF(OR(Paths!$C$87=0,C895=0),0,12-E895)</f>
        <v>0</v>
      </c>
      <c r="G895" s="16">
        <f>IF(NOT(Paths!$C$87=1),0,IF(Paths!$P$87="Complete",E895/12*(Paths!$J$87*(1+'Operating costs'!$B$51)^MAX(0,C895-1)+Paths!$K$87*(1+'Operating costs'!$B$53)^MAX(0,C895-1)),"n.a."))</f>
        <v>0</v>
      </c>
      <c r="H895" s="16">
        <f>IF(NOT(Paths!$C$87=1),0,IF(Paths!$P$87="Complete",F895/12*(Paths!$L$87*(1+IF(Paths!$D$87="EV",'Operating costs'!$B$52,'Operating costs'!$B$51))^MAX(0,C895-1)+Paths!$M$87*(1+'Operating costs'!$B$53)^MAX(0,C895-1)),"n.a."))</f>
        <v>0</v>
      </c>
      <c r="I895" s="16">
        <f>IF(NOT(Paths!$C$87=1),0,IF(Paths!$P$87="Complete",IF(IF(Paths!$E$87=0,C895=0,AND(C895&gt;0,Paths!$E$87&gt;(C895-1)*12,Paths!$E$87&lt;=C895*12)),Paths!$G$87,0),"n.a."))</f>
        <v>0</v>
      </c>
      <c r="J895" s="16">
        <f>IF(NOT(Paths!$C$87=1),0,IF(Paths!$P$87="Complete",IF(IF(Paths!$E$87=0,C895=0,AND(C895&gt;0,Paths!$E$87&gt;(C895-1)*12,Paths!$E$87&lt;=C895*12)),Paths!$H$87,0),"n.a."))</f>
        <v>0</v>
      </c>
      <c r="K895" s="16">
        <f>IF(NOT(Paths!$C$87=1),0,IF(Paths!$P$87="Complete",IF(IF(Paths!$O$87=0,C895=0,AND(C895&gt;0,Paths!$O$87&gt;(C895-1)*12,Paths!$O$87&lt;=C895*12)),Paths!$N$87,0),"n.a."))</f>
        <v>0</v>
      </c>
      <c r="L895" s="16">
        <f>IF(NOT(Paths!$C$87=1),0,IF(Paths!$P$87="Complete",IF(C895=10,Paths!$I$87,0),"n.a."))</f>
        <v>0</v>
      </c>
      <c r="M895" s="16">
        <f>IF(NOT(Paths!$C$87=1),0,IF(Paths!$P$87="Complete",IF(AND(Paths!$D$87="EV",Paths!$E$87&lt;120,Paths!$E$87+'Operating costs'!$B$65&gt;Paths!$E$87,Paths!$E$87+'Operating costs'!$B$65&lt;=120,IF(Paths!$E$87+'Operating costs'!$B$65=0,C895=0,AND(C895&gt;0,Paths!$E$87+'Operating costs'!$B$65&gt;(C895-1)*12,Paths!$E$87+'Operating costs'!$B$65&lt;=C895*12))),'Operating costs'!$B$64,0)+IF(AND('Operating costs'!$B$67&gt;0,'Operating costs'!$B$67&lt;=120,OR(Paths!$D$87="ICE",'Operating costs'!$B$67&lt;=Paths!$E$87),IF('Operating costs'!$B$67=0,C895=0,AND(C895&gt;0,'Operating costs'!$B$67&gt;(C895-1)*12,'Operating costs'!$B$67&lt;=C895*12))),'Operating costs'!$B$66,0),"n.a."))</f>
        <v>0</v>
      </c>
      <c r="N895" s="16">
        <f>IF(NOT(Paths!$C$87=1),0,IF(Paths!$P$87="Complete",SUM(G895:I895)-J895-K895-L895+M895+IF(C895=0,Paths!$F$87,0)+IF(IF(Paths!$E$87=0,C895=0,AND(C895&gt;0,Paths!$E$87&gt;(C895-1)*12,Paths!$E$87&lt;=C895*12)),VLOOKUP(A895,'Fleet register'!$A$7:$S$106,16,FALSE),0),"n.a."))</f>
        <v>0</v>
      </c>
      <c r="O895" s="16">
        <f>IF(NOT(Paths!$C$87=1),0,IF(Paths!$P$87="Complete",N895-IF(C895=0,Paths!$F$87,0),"n.a."))</f>
        <v>0</v>
      </c>
      <c r="P895" s="16">
        <f>IF(NOT(Paths!$C$87=1),0,IF(Paths!$P$87="Complete",O895+L895,"n.a."))</f>
        <v>0</v>
      </c>
      <c r="Q895" s="16">
        <f>IF(NOT(Paths!$C$87=1),0,IF(Paths!$P$87="Complete",N895*(1+'Operating costs'!$B$54)^-C895,"n.a."))</f>
        <v>0</v>
      </c>
      <c r="R895" s="16">
        <f>IF(NOT(Paths!$C$87=1),0,IF(Paths!$P$87="Complete",IF(AND(C895=0,Paths!$E$87=0),I895-J895-K895+VLOOKUP(A895,'Fleet register'!$A$7:$S$106,15,FALSE)+VLOOKUP(A895,'Fleet register'!$A$7:$S$106,16,FALSE),0),"n.a."))</f>
        <v>0</v>
      </c>
      <c r="S895" s="1">
        <f>IF(NOT(Paths!$C$87=1),0,IF(Paths!$P$87="Complete",IF(C895=0,0,Paths!$S$87*Paths!$R$87),"n.a."))</f>
        <v>0</v>
      </c>
      <c r="T895" s="1">
        <f>IF(NOT(Paths!$C$87=1),0,IF(Paths!$P$87="Complete",IF(C895=0,0,VLOOKUP(A895,'Fleet register'!$A$7:$S$106,9,FALSE)*Paths!$R$87),"n.a."))</f>
        <v>0</v>
      </c>
    </row>
    <row r="896" spans="1:20" ht="24" customHeight="1">
      <c r="A896" s="1" t="str">
        <f>Paths!$A$87</f>
        <v>T021</v>
      </c>
      <c r="B896" s="1">
        <f>Paths!$B$87</f>
        <v>0</v>
      </c>
      <c r="C896" s="1">
        <v>9</v>
      </c>
      <c r="D896" s="1">
        <v>87</v>
      </c>
      <c r="E896" s="1">
        <f>IF(OR(Paths!$C$87=0,C896=0),0,MAX(0,MIN(C896*12,Paths!$E$87)-(C896-1)*12))</f>
        <v>0</v>
      </c>
      <c r="F896" s="1">
        <f>IF(OR(Paths!$C$87=0,C896=0),0,12-E896)</f>
        <v>0</v>
      </c>
      <c r="G896" s="16">
        <f>IF(NOT(Paths!$C$87=1),0,IF(Paths!$P$87="Complete",E896/12*(Paths!$J$87*(1+'Operating costs'!$B$51)^MAX(0,C896-1)+Paths!$K$87*(1+'Operating costs'!$B$53)^MAX(0,C896-1)),"n.a."))</f>
        <v>0</v>
      </c>
      <c r="H896" s="16">
        <f>IF(NOT(Paths!$C$87=1),0,IF(Paths!$P$87="Complete",F896/12*(Paths!$L$87*(1+IF(Paths!$D$87="EV",'Operating costs'!$B$52,'Operating costs'!$B$51))^MAX(0,C896-1)+Paths!$M$87*(1+'Operating costs'!$B$53)^MAX(0,C896-1)),"n.a."))</f>
        <v>0</v>
      </c>
      <c r="I896" s="16">
        <f>IF(NOT(Paths!$C$87=1),0,IF(Paths!$P$87="Complete",IF(IF(Paths!$E$87=0,C896=0,AND(C896&gt;0,Paths!$E$87&gt;(C896-1)*12,Paths!$E$87&lt;=C896*12)),Paths!$G$87,0),"n.a."))</f>
        <v>0</v>
      </c>
      <c r="J896" s="16">
        <f>IF(NOT(Paths!$C$87=1),0,IF(Paths!$P$87="Complete",IF(IF(Paths!$E$87=0,C896=0,AND(C896&gt;0,Paths!$E$87&gt;(C896-1)*12,Paths!$E$87&lt;=C896*12)),Paths!$H$87,0),"n.a."))</f>
        <v>0</v>
      </c>
      <c r="K896" s="16">
        <f>IF(NOT(Paths!$C$87=1),0,IF(Paths!$P$87="Complete",IF(IF(Paths!$O$87=0,C896=0,AND(C896&gt;0,Paths!$O$87&gt;(C896-1)*12,Paths!$O$87&lt;=C896*12)),Paths!$N$87,0),"n.a."))</f>
        <v>0</v>
      </c>
      <c r="L896" s="16">
        <f>IF(NOT(Paths!$C$87=1),0,IF(Paths!$P$87="Complete",IF(C896=10,Paths!$I$87,0),"n.a."))</f>
        <v>0</v>
      </c>
      <c r="M896" s="16">
        <f>IF(NOT(Paths!$C$87=1),0,IF(Paths!$P$87="Complete",IF(AND(Paths!$D$87="EV",Paths!$E$87&lt;120,Paths!$E$87+'Operating costs'!$B$65&gt;Paths!$E$87,Paths!$E$87+'Operating costs'!$B$65&lt;=120,IF(Paths!$E$87+'Operating costs'!$B$65=0,C896=0,AND(C896&gt;0,Paths!$E$87+'Operating costs'!$B$65&gt;(C896-1)*12,Paths!$E$87+'Operating costs'!$B$65&lt;=C896*12))),'Operating costs'!$B$64,0)+IF(AND('Operating costs'!$B$67&gt;0,'Operating costs'!$B$67&lt;=120,OR(Paths!$D$87="ICE",'Operating costs'!$B$67&lt;=Paths!$E$87),IF('Operating costs'!$B$67=0,C896=0,AND(C896&gt;0,'Operating costs'!$B$67&gt;(C896-1)*12,'Operating costs'!$B$67&lt;=C896*12))),'Operating costs'!$B$66,0),"n.a."))</f>
        <v>0</v>
      </c>
      <c r="N896" s="16">
        <f>IF(NOT(Paths!$C$87=1),0,IF(Paths!$P$87="Complete",SUM(G896:I896)-J896-K896-L896+M896+IF(C896=0,Paths!$F$87,0)+IF(IF(Paths!$E$87=0,C896=0,AND(C896&gt;0,Paths!$E$87&gt;(C896-1)*12,Paths!$E$87&lt;=C896*12)),VLOOKUP(A896,'Fleet register'!$A$7:$S$106,16,FALSE),0),"n.a."))</f>
        <v>0</v>
      </c>
      <c r="O896" s="16">
        <f>IF(NOT(Paths!$C$87=1),0,IF(Paths!$P$87="Complete",N896-IF(C896=0,Paths!$F$87,0),"n.a."))</f>
        <v>0</v>
      </c>
      <c r="P896" s="16">
        <f>IF(NOT(Paths!$C$87=1),0,IF(Paths!$P$87="Complete",O896+L896,"n.a."))</f>
        <v>0</v>
      </c>
      <c r="Q896" s="16">
        <f>IF(NOT(Paths!$C$87=1),0,IF(Paths!$P$87="Complete",N896*(1+'Operating costs'!$B$54)^-C896,"n.a."))</f>
        <v>0</v>
      </c>
      <c r="R896" s="16">
        <f>IF(NOT(Paths!$C$87=1),0,IF(Paths!$P$87="Complete",IF(AND(C896=0,Paths!$E$87=0),I896-J896-K896+VLOOKUP(A896,'Fleet register'!$A$7:$S$106,15,FALSE)+VLOOKUP(A896,'Fleet register'!$A$7:$S$106,16,FALSE),0),"n.a."))</f>
        <v>0</v>
      </c>
      <c r="S896" s="1">
        <f>IF(NOT(Paths!$C$87=1),0,IF(Paths!$P$87="Complete",IF(C896=0,0,Paths!$S$87*Paths!$R$87),"n.a."))</f>
        <v>0</v>
      </c>
      <c r="T896" s="1">
        <f>IF(NOT(Paths!$C$87=1),0,IF(Paths!$P$87="Complete",IF(C896=0,0,VLOOKUP(A896,'Fleet register'!$A$7:$S$106,9,FALSE)*Paths!$R$87),"n.a."))</f>
        <v>0</v>
      </c>
    </row>
    <row r="897" spans="1:20" ht="24" customHeight="1">
      <c r="A897" s="1" t="str">
        <f>Paths!$A$87</f>
        <v>T021</v>
      </c>
      <c r="B897" s="1">
        <f>Paths!$B$87</f>
        <v>0</v>
      </c>
      <c r="C897" s="1">
        <v>10</v>
      </c>
      <c r="D897" s="1">
        <v>87</v>
      </c>
      <c r="E897" s="1">
        <f>IF(OR(Paths!$C$87=0,C897=0),0,MAX(0,MIN(C897*12,Paths!$E$87)-(C897-1)*12))</f>
        <v>0</v>
      </c>
      <c r="F897" s="1">
        <f>IF(OR(Paths!$C$87=0,C897=0),0,12-E897)</f>
        <v>0</v>
      </c>
      <c r="G897" s="16">
        <f>IF(NOT(Paths!$C$87=1),0,IF(Paths!$P$87="Complete",E897/12*(Paths!$J$87*(1+'Operating costs'!$B$51)^MAX(0,C897-1)+Paths!$K$87*(1+'Operating costs'!$B$53)^MAX(0,C897-1)),"n.a."))</f>
        <v>0</v>
      </c>
      <c r="H897" s="16">
        <f>IF(NOT(Paths!$C$87=1),0,IF(Paths!$P$87="Complete",F897/12*(Paths!$L$87*(1+IF(Paths!$D$87="EV",'Operating costs'!$B$52,'Operating costs'!$B$51))^MAX(0,C897-1)+Paths!$M$87*(1+'Operating costs'!$B$53)^MAX(0,C897-1)),"n.a."))</f>
        <v>0</v>
      </c>
      <c r="I897" s="16">
        <f>IF(NOT(Paths!$C$87=1),0,IF(Paths!$P$87="Complete",IF(IF(Paths!$E$87=0,C897=0,AND(C897&gt;0,Paths!$E$87&gt;(C897-1)*12,Paths!$E$87&lt;=C897*12)),Paths!$G$87,0),"n.a."))</f>
        <v>0</v>
      </c>
      <c r="J897" s="16">
        <f>IF(NOT(Paths!$C$87=1),0,IF(Paths!$P$87="Complete",IF(IF(Paths!$E$87=0,C897=0,AND(C897&gt;0,Paths!$E$87&gt;(C897-1)*12,Paths!$E$87&lt;=C897*12)),Paths!$H$87,0),"n.a."))</f>
        <v>0</v>
      </c>
      <c r="K897" s="16">
        <f>IF(NOT(Paths!$C$87=1),0,IF(Paths!$P$87="Complete",IF(IF(Paths!$O$87=0,C897=0,AND(C897&gt;0,Paths!$O$87&gt;(C897-1)*12,Paths!$O$87&lt;=C897*12)),Paths!$N$87,0),"n.a."))</f>
        <v>0</v>
      </c>
      <c r="L897" s="16">
        <f>IF(NOT(Paths!$C$87=1),0,IF(Paths!$P$87="Complete",IF(C897=10,Paths!$I$87,0),"n.a."))</f>
        <v>0</v>
      </c>
      <c r="M897" s="16">
        <f>IF(NOT(Paths!$C$87=1),0,IF(Paths!$P$87="Complete",IF(AND(Paths!$D$87="EV",Paths!$E$87&lt;120,Paths!$E$87+'Operating costs'!$B$65&gt;Paths!$E$87,Paths!$E$87+'Operating costs'!$B$65&lt;=120,IF(Paths!$E$87+'Operating costs'!$B$65=0,C897=0,AND(C897&gt;0,Paths!$E$87+'Operating costs'!$B$65&gt;(C897-1)*12,Paths!$E$87+'Operating costs'!$B$65&lt;=C897*12))),'Operating costs'!$B$64,0)+IF(AND('Operating costs'!$B$67&gt;0,'Operating costs'!$B$67&lt;=120,OR(Paths!$D$87="ICE",'Operating costs'!$B$67&lt;=Paths!$E$87),IF('Operating costs'!$B$67=0,C897=0,AND(C897&gt;0,'Operating costs'!$B$67&gt;(C897-1)*12,'Operating costs'!$B$67&lt;=C897*12))),'Operating costs'!$B$66,0),"n.a."))</f>
        <v>0</v>
      </c>
      <c r="N897" s="16">
        <f>IF(NOT(Paths!$C$87=1),0,IF(Paths!$P$87="Complete",SUM(G897:I897)-J897-K897-L897+M897+IF(C897=0,Paths!$F$87,0)+IF(IF(Paths!$E$87=0,C897=0,AND(C897&gt;0,Paths!$E$87&gt;(C897-1)*12,Paths!$E$87&lt;=C897*12)),VLOOKUP(A897,'Fleet register'!$A$7:$S$106,16,FALSE),0),"n.a."))</f>
        <v>0</v>
      </c>
      <c r="O897" s="16">
        <f>IF(NOT(Paths!$C$87=1),0,IF(Paths!$P$87="Complete",N897-IF(C897=0,Paths!$F$87,0),"n.a."))</f>
        <v>0</v>
      </c>
      <c r="P897" s="16">
        <f>IF(NOT(Paths!$C$87=1),0,IF(Paths!$P$87="Complete",O897+L897,"n.a."))</f>
        <v>0</v>
      </c>
      <c r="Q897" s="16">
        <f>IF(NOT(Paths!$C$87=1),0,IF(Paths!$P$87="Complete",N897*(1+'Operating costs'!$B$54)^-C897,"n.a."))</f>
        <v>0</v>
      </c>
      <c r="R897" s="16">
        <f>IF(NOT(Paths!$C$87=1),0,IF(Paths!$P$87="Complete",IF(AND(C897=0,Paths!$E$87=0),I897-J897-K897+VLOOKUP(A897,'Fleet register'!$A$7:$S$106,15,FALSE)+VLOOKUP(A897,'Fleet register'!$A$7:$S$106,16,FALSE),0),"n.a."))</f>
        <v>0</v>
      </c>
      <c r="S897" s="1">
        <f>IF(NOT(Paths!$C$87=1),0,IF(Paths!$P$87="Complete",IF(C897=0,0,Paths!$S$87*Paths!$R$87),"n.a."))</f>
        <v>0</v>
      </c>
      <c r="T897" s="1">
        <f>IF(NOT(Paths!$C$87=1),0,IF(Paths!$P$87="Complete",IF(C897=0,0,VLOOKUP(A897,'Fleet register'!$A$7:$S$106,9,FALSE)*Paths!$R$87),"n.a."))</f>
        <v>0</v>
      </c>
    </row>
    <row r="898" spans="1:20" ht="24" customHeight="1">
      <c r="A898" s="1" t="str">
        <f>Paths!$A$88</f>
        <v>T021</v>
      </c>
      <c r="B898" s="1">
        <f>Paths!$B$88</f>
        <v>1</v>
      </c>
      <c r="C898" s="1">
        <v>0</v>
      </c>
      <c r="D898" s="1">
        <v>88</v>
      </c>
      <c r="E898" s="1">
        <f>IF(OR(Paths!$C$88=0,C898=0),0,MAX(0,MIN(C898*12,Paths!$E$88)-(C898-1)*12))</f>
        <v>0</v>
      </c>
      <c r="F898" s="1">
        <f>IF(OR(Paths!$C$88=0,C898=0),0,12-E898)</f>
        <v>0</v>
      </c>
      <c r="G898" s="16">
        <f>IF(NOT(Paths!$C$88=1),0,IF(Paths!$P$88="Complete",E898/12*(Paths!$J$88*(1+'Operating costs'!$B$51)^MAX(0,C898-1)+Paths!$K$88*(1+'Operating costs'!$B$53)^MAX(0,C898-1)),"n.a."))</f>
        <v>0</v>
      </c>
      <c r="H898" s="16">
        <f>IF(NOT(Paths!$C$88=1),0,IF(Paths!$P$88="Complete",F898/12*(Paths!$L$88*(1+IF(Paths!$D$88="EV",'Operating costs'!$B$52,'Operating costs'!$B$51))^MAX(0,C898-1)+Paths!$M$88*(1+'Operating costs'!$B$53)^MAX(0,C898-1)),"n.a."))</f>
        <v>0</v>
      </c>
      <c r="I898" s="16">
        <f>IF(NOT(Paths!$C$88=1),0,IF(Paths!$P$88="Complete",IF(IF(Paths!$E$88=0,C898=0,AND(C898&gt;0,Paths!$E$88&gt;(C898-1)*12,Paths!$E$88&lt;=C898*12)),Paths!$G$88,0),"n.a."))</f>
        <v>0</v>
      </c>
      <c r="J898" s="16">
        <f>IF(NOT(Paths!$C$88=1),0,IF(Paths!$P$88="Complete",IF(IF(Paths!$E$88=0,C898=0,AND(C898&gt;0,Paths!$E$88&gt;(C898-1)*12,Paths!$E$88&lt;=C898*12)),Paths!$H$88,0),"n.a."))</f>
        <v>0</v>
      </c>
      <c r="K898" s="16">
        <f>IF(NOT(Paths!$C$88=1),0,IF(Paths!$P$88="Complete",IF(IF(Paths!$O$88=0,C898=0,AND(C898&gt;0,Paths!$O$88&gt;(C898-1)*12,Paths!$O$88&lt;=C898*12)),Paths!$N$88,0),"n.a."))</f>
        <v>0</v>
      </c>
      <c r="L898" s="16">
        <f>IF(NOT(Paths!$C$88=1),0,IF(Paths!$P$88="Complete",IF(C898=10,Paths!$I$88,0),"n.a."))</f>
        <v>0</v>
      </c>
      <c r="M898" s="16">
        <f>IF(NOT(Paths!$C$88=1),0,IF(Paths!$P$88="Complete",IF(AND(Paths!$D$88="EV",Paths!$E$88&lt;120,Paths!$E$88+'Operating costs'!$B$65&gt;Paths!$E$88,Paths!$E$88+'Operating costs'!$B$65&lt;=120,IF(Paths!$E$88+'Operating costs'!$B$65=0,C898=0,AND(C898&gt;0,Paths!$E$88+'Operating costs'!$B$65&gt;(C898-1)*12,Paths!$E$88+'Operating costs'!$B$65&lt;=C898*12))),'Operating costs'!$B$64,0)+IF(AND('Operating costs'!$B$67&gt;0,'Operating costs'!$B$67&lt;=120,OR(Paths!$D$88="ICE",'Operating costs'!$B$67&lt;=Paths!$E$88),IF('Operating costs'!$B$67=0,C898=0,AND(C898&gt;0,'Operating costs'!$B$67&gt;(C898-1)*12,'Operating costs'!$B$67&lt;=C898*12))),'Operating costs'!$B$66,0),"n.a."))</f>
        <v>0</v>
      </c>
      <c r="N898" s="16">
        <f>IF(NOT(Paths!$C$88=1),0,IF(Paths!$P$88="Complete",SUM(G898:I898)-J898-K898-L898+M898+IF(C898=0,Paths!$F$88,0)+IF(IF(Paths!$E$88=0,C898=0,AND(C898&gt;0,Paths!$E$88&gt;(C898-1)*12,Paths!$E$88&lt;=C898*12)),VLOOKUP(A898,'Fleet register'!$A$7:$S$106,16,FALSE),0),"n.a."))</f>
        <v>0</v>
      </c>
      <c r="O898" s="16">
        <f>IF(NOT(Paths!$C$88=1),0,IF(Paths!$P$88="Complete",N898-IF(C898=0,Paths!$F$88,0),"n.a."))</f>
        <v>0</v>
      </c>
      <c r="P898" s="16">
        <f>IF(NOT(Paths!$C$88=1),0,IF(Paths!$P$88="Complete",O898+L898,"n.a."))</f>
        <v>0</v>
      </c>
      <c r="Q898" s="16">
        <f>IF(NOT(Paths!$C$88=1),0,IF(Paths!$P$88="Complete",N898*(1+'Operating costs'!$B$54)^-C898,"n.a."))</f>
        <v>0</v>
      </c>
      <c r="R898" s="16">
        <f>IF(NOT(Paths!$C$88=1),0,IF(Paths!$P$88="Complete",IF(AND(C898=0,Paths!$E$88=0),I898-J898-K898+VLOOKUP(A898,'Fleet register'!$A$7:$S$106,15,FALSE)+VLOOKUP(A898,'Fleet register'!$A$7:$S$106,16,FALSE),0),"n.a."))</f>
        <v>0</v>
      </c>
      <c r="S898" s="1">
        <f>IF(NOT(Paths!$C$88=1),0,IF(Paths!$P$88="Complete",IF(C898=0,0,Paths!$S$88*Paths!$R$88),"n.a."))</f>
        <v>0</v>
      </c>
      <c r="T898" s="1">
        <f>IF(NOT(Paths!$C$88=1),0,IF(Paths!$P$88="Complete",IF(C898=0,0,VLOOKUP(A898,'Fleet register'!$A$7:$S$106,9,FALSE)*Paths!$R$88),"n.a."))</f>
        <v>0</v>
      </c>
    </row>
    <row r="899" spans="1:20" ht="24" customHeight="1">
      <c r="A899" s="1" t="str">
        <f>Paths!$A$88</f>
        <v>T021</v>
      </c>
      <c r="B899" s="1">
        <f>Paths!$B$88</f>
        <v>1</v>
      </c>
      <c r="C899" s="1">
        <v>1</v>
      </c>
      <c r="D899" s="1">
        <v>88</v>
      </c>
      <c r="E899" s="1">
        <f>IF(OR(Paths!$C$88=0,C899=0),0,MAX(0,MIN(C899*12,Paths!$E$88)-(C899-1)*12))</f>
        <v>0</v>
      </c>
      <c r="F899" s="1">
        <f>IF(OR(Paths!$C$88=0,C899=0),0,12-E899)</f>
        <v>0</v>
      </c>
      <c r="G899" s="16">
        <f>IF(NOT(Paths!$C$88=1),0,IF(Paths!$P$88="Complete",E899/12*(Paths!$J$88*(1+'Operating costs'!$B$51)^MAX(0,C899-1)+Paths!$K$88*(1+'Operating costs'!$B$53)^MAX(0,C899-1)),"n.a."))</f>
        <v>0</v>
      </c>
      <c r="H899" s="16">
        <f>IF(NOT(Paths!$C$88=1),0,IF(Paths!$P$88="Complete",F899/12*(Paths!$L$88*(1+IF(Paths!$D$88="EV",'Operating costs'!$B$52,'Operating costs'!$B$51))^MAX(0,C899-1)+Paths!$M$88*(1+'Operating costs'!$B$53)^MAX(0,C899-1)),"n.a."))</f>
        <v>0</v>
      </c>
      <c r="I899" s="16">
        <f>IF(NOT(Paths!$C$88=1),0,IF(Paths!$P$88="Complete",IF(IF(Paths!$E$88=0,C899=0,AND(C899&gt;0,Paths!$E$88&gt;(C899-1)*12,Paths!$E$88&lt;=C899*12)),Paths!$G$88,0),"n.a."))</f>
        <v>0</v>
      </c>
      <c r="J899" s="16">
        <f>IF(NOT(Paths!$C$88=1),0,IF(Paths!$P$88="Complete",IF(IF(Paths!$E$88=0,C899=0,AND(C899&gt;0,Paths!$E$88&gt;(C899-1)*12,Paths!$E$88&lt;=C899*12)),Paths!$H$88,0),"n.a."))</f>
        <v>0</v>
      </c>
      <c r="K899" s="16">
        <f>IF(NOT(Paths!$C$88=1),0,IF(Paths!$P$88="Complete",IF(IF(Paths!$O$88=0,C899=0,AND(C899&gt;0,Paths!$O$88&gt;(C899-1)*12,Paths!$O$88&lt;=C899*12)),Paths!$N$88,0),"n.a."))</f>
        <v>0</v>
      </c>
      <c r="L899" s="16">
        <f>IF(NOT(Paths!$C$88=1),0,IF(Paths!$P$88="Complete",IF(C899=10,Paths!$I$88,0),"n.a."))</f>
        <v>0</v>
      </c>
      <c r="M899" s="16">
        <f>IF(NOT(Paths!$C$88=1),0,IF(Paths!$P$88="Complete",IF(AND(Paths!$D$88="EV",Paths!$E$88&lt;120,Paths!$E$88+'Operating costs'!$B$65&gt;Paths!$E$88,Paths!$E$88+'Operating costs'!$B$65&lt;=120,IF(Paths!$E$88+'Operating costs'!$B$65=0,C899=0,AND(C899&gt;0,Paths!$E$88+'Operating costs'!$B$65&gt;(C899-1)*12,Paths!$E$88+'Operating costs'!$B$65&lt;=C899*12))),'Operating costs'!$B$64,0)+IF(AND('Operating costs'!$B$67&gt;0,'Operating costs'!$B$67&lt;=120,OR(Paths!$D$88="ICE",'Operating costs'!$B$67&lt;=Paths!$E$88),IF('Operating costs'!$B$67=0,C899=0,AND(C899&gt;0,'Operating costs'!$B$67&gt;(C899-1)*12,'Operating costs'!$B$67&lt;=C899*12))),'Operating costs'!$B$66,0),"n.a."))</f>
        <v>0</v>
      </c>
      <c r="N899" s="16">
        <f>IF(NOT(Paths!$C$88=1),0,IF(Paths!$P$88="Complete",SUM(G899:I899)-J899-K899-L899+M899+IF(C899=0,Paths!$F$88,0)+IF(IF(Paths!$E$88=0,C899=0,AND(C899&gt;0,Paths!$E$88&gt;(C899-1)*12,Paths!$E$88&lt;=C899*12)),VLOOKUP(A899,'Fleet register'!$A$7:$S$106,16,FALSE),0),"n.a."))</f>
        <v>0</v>
      </c>
      <c r="O899" s="16">
        <f>IF(NOT(Paths!$C$88=1),0,IF(Paths!$P$88="Complete",N899-IF(C899=0,Paths!$F$88,0),"n.a."))</f>
        <v>0</v>
      </c>
      <c r="P899" s="16">
        <f>IF(NOT(Paths!$C$88=1),0,IF(Paths!$P$88="Complete",O899+L899,"n.a."))</f>
        <v>0</v>
      </c>
      <c r="Q899" s="16">
        <f>IF(NOT(Paths!$C$88=1),0,IF(Paths!$P$88="Complete",N899*(1+'Operating costs'!$B$54)^-C899,"n.a."))</f>
        <v>0</v>
      </c>
      <c r="R899" s="16">
        <f>IF(NOT(Paths!$C$88=1),0,IF(Paths!$P$88="Complete",IF(AND(C899=0,Paths!$E$88=0),I899-J899-K899+VLOOKUP(A899,'Fleet register'!$A$7:$S$106,15,FALSE)+VLOOKUP(A899,'Fleet register'!$A$7:$S$106,16,FALSE),0),"n.a."))</f>
        <v>0</v>
      </c>
      <c r="S899" s="1">
        <f>IF(NOT(Paths!$C$88=1),0,IF(Paths!$P$88="Complete",IF(C899=0,0,Paths!$S$88*Paths!$R$88),"n.a."))</f>
        <v>0</v>
      </c>
      <c r="T899" s="1">
        <f>IF(NOT(Paths!$C$88=1),0,IF(Paths!$P$88="Complete",IF(C899=0,0,VLOOKUP(A899,'Fleet register'!$A$7:$S$106,9,FALSE)*Paths!$R$88),"n.a."))</f>
        <v>0</v>
      </c>
    </row>
    <row r="900" spans="1:20" ht="24" customHeight="1">
      <c r="A900" s="1" t="str">
        <f>Paths!$A$88</f>
        <v>T021</v>
      </c>
      <c r="B900" s="1">
        <f>Paths!$B$88</f>
        <v>1</v>
      </c>
      <c r="C900" s="1">
        <v>2</v>
      </c>
      <c r="D900" s="1">
        <v>88</v>
      </c>
      <c r="E900" s="1">
        <f>IF(OR(Paths!$C$88=0,C900=0),0,MAX(0,MIN(C900*12,Paths!$E$88)-(C900-1)*12))</f>
        <v>0</v>
      </c>
      <c r="F900" s="1">
        <f>IF(OR(Paths!$C$88=0,C900=0),0,12-E900)</f>
        <v>0</v>
      </c>
      <c r="G900" s="16">
        <f>IF(NOT(Paths!$C$88=1),0,IF(Paths!$P$88="Complete",E900/12*(Paths!$J$88*(1+'Operating costs'!$B$51)^MAX(0,C900-1)+Paths!$K$88*(1+'Operating costs'!$B$53)^MAX(0,C900-1)),"n.a."))</f>
        <v>0</v>
      </c>
      <c r="H900" s="16">
        <f>IF(NOT(Paths!$C$88=1),0,IF(Paths!$P$88="Complete",F900/12*(Paths!$L$88*(1+IF(Paths!$D$88="EV",'Operating costs'!$B$52,'Operating costs'!$B$51))^MAX(0,C900-1)+Paths!$M$88*(1+'Operating costs'!$B$53)^MAX(0,C900-1)),"n.a."))</f>
        <v>0</v>
      </c>
      <c r="I900" s="16">
        <f>IF(NOT(Paths!$C$88=1),0,IF(Paths!$P$88="Complete",IF(IF(Paths!$E$88=0,C900=0,AND(C900&gt;0,Paths!$E$88&gt;(C900-1)*12,Paths!$E$88&lt;=C900*12)),Paths!$G$88,0),"n.a."))</f>
        <v>0</v>
      </c>
      <c r="J900" s="16">
        <f>IF(NOT(Paths!$C$88=1),0,IF(Paths!$P$88="Complete",IF(IF(Paths!$E$88=0,C900=0,AND(C900&gt;0,Paths!$E$88&gt;(C900-1)*12,Paths!$E$88&lt;=C900*12)),Paths!$H$88,0),"n.a."))</f>
        <v>0</v>
      </c>
      <c r="K900" s="16">
        <f>IF(NOT(Paths!$C$88=1),0,IF(Paths!$P$88="Complete",IF(IF(Paths!$O$88=0,C900=0,AND(C900&gt;0,Paths!$O$88&gt;(C900-1)*12,Paths!$O$88&lt;=C900*12)),Paths!$N$88,0),"n.a."))</f>
        <v>0</v>
      </c>
      <c r="L900" s="16">
        <f>IF(NOT(Paths!$C$88=1),0,IF(Paths!$P$88="Complete",IF(C900=10,Paths!$I$88,0),"n.a."))</f>
        <v>0</v>
      </c>
      <c r="M900" s="16">
        <f>IF(NOT(Paths!$C$88=1),0,IF(Paths!$P$88="Complete",IF(AND(Paths!$D$88="EV",Paths!$E$88&lt;120,Paths!$E$88+'Operating costs'!$B$65&gt;Paths!$E$88,Paths!$E$88+'Operating costs'!$B$65&lt;=120,IF(Paths!$E$88+'Operating costs'!$B$65=0,C900=0,AND(C900&gt;0,Paths!$E$88+'Operating costs'!$B$65&gt;(C900-1)*12,Paths!$E$88+'Operating costs'!$B$65&lt;=C900*12))),'Operating costs'!$B$64,0)+IF(AND('Operating costs'!$B$67&gt;0,'Operating costs'!$B$67&lt;=120,OR(Paths!$D$88="ICE",'Operating costs'!$B$67&lt;=Paths!$E$88),IF('Operating costs'!$B$67=0,C900=0,AND(C900&gt;0,'Operating costs'!$B$67&gt;(C900-1)*12,'Operating costs'!$B$67&lt;=C900*12))),'Operating costs'!$B$66,0),"n.a."))</f>
        <v>0</v>
      </c>
      <c r="N900" s="16">
        <f>IF(NOT(Paths!$C$88=1),0,IF(Paths!$P$88="Complete",SUM(G900:I900)-J900-K900-L900+M900+IF(C900=0,Paths!$F$88,0)+IF(IF(Paths!$E$88=0,C900=0,AND(C900&gt;0,Paths!$E$88&gt;(C900-1)*12,Paths!$E$88&lt;=C900*12)),VLOOKUP(A900,'Fleet register'!$A$7:$S$106,16,FALSE),0),"n.a."))</f>
        <v>0</v>
      </c>
      <c r="O900" s="16">
        <f>IF(NOT(Paths!$C$88=1),0,IF(Paths!$P$88="Complete",N900-IF(C900=0,Paths!$F$88,0),"n.a."))</f>
        <v>0</v>
      </c>
      <c r="P900" s="16">
        <f>IF(NOT(Paths!$C$88=1),0,IF(Paths!$P$88="Complete",O900+L900,"n.a."))</f>
        <v>0</v>
      </c>
      <c r="Q900" s="16">
        <f>IF(NOT(Paths!$C$88=1),0,IF(Paths!$P$88="Complete",N900*(1+'Operating costs'!$B$54)^-C900,"n.a."))</f>
        <v>0</v>
      </c>
      <c r="R900" s="16">
        <f>IF(NOT(Paths!$C$88=1),0,IF(Paths!$P$88="Complete",IF(AND(C900=0,Paths!$E$88=0),I900-J900-K900+VLOOKUP(A900,'Fleet register'!$A$7:$S$106,15,FALSE)+VLOOKUP(A900,'Fleet register'!$A$7:$S$106,16,FALSE),0),"n.a."))</f>
        <v>0</v>
      </c>
      <c r="S900" s="1">
        <f>IF(NOT(Paths!$C$88=1),0,IF(Paths!$P$88="Complete",IF(C900=0,0,Paths!$S$88*Paths!$R$88),"n.a."))</f>
        <v>0</v>
      </c>
      <c r="T900" s="1">
        <f>IF(NOT(Paths!$C$88=1),0,IF(Paths!$P$88="Complete",IF(C900=0,0,VLOOKUP(A900,'Fleet register'!$A$7:$S$106,9,FALSE)*Paths!$R$88),"n.a."))</f>
        <v>0</v>
      </c>
    </row>
    <row r="901" spans="1:20" ht="24" customHeight="1">
      <c r="A901" s="1" t="str">
        <f>Paths!$A$88</f>
        <v>T021</v>
      </c>
      <c r="B901" s="1">
        <f>Paths!$B$88</f>
        <v>1</v>
      </c>
      <c r="C901" s="1">
        <v>3</v>
      </c>
      <c r="D901" s="1">
        <v>88</v>
      </c>
      <c r="E901" s="1">
        <f>IF(OR(Paths!$C$88=0,C901=0),0,MAX(0,MIN(C901*12,Paths!$E$88)-(C901-1)*12))</f>
        <v>0</v>
      </c>
      <c r="F901" s="1">
        <f>IF(OR(Paths!$C$88=0,C901=0),0,12-E901)</f>
        <v>0</v>
      </c>
      <c r="G901" s="16">
        <f>IF(NOT(Paths!$C$88=1),0,IF(Paths!$P$88="Complete",E901/12*(Paths!$J$88*(1+'Operating costs'!$B$51)^MAX(0,C901-1)+Paths!$K$88*(1+'Operating costs'!$B$53)^MAX(0,C901-1)),"n.a."))</f>
        <v>0</v>
      </c>
      <c r="H901" s="16">
        <f>IF(NOT(Paths!$C$88=1),0,IF(Paths!$P$88="Complete",F901/12*(Paths!$L$88*(1+IF(Paths!$D$88="EV",'Operating costs'!$B$52,'Operating costs'!$B$51))^MAX(0,C901-1)+Paths!$M$88*(1+'Operating costs'!$B$53)^MAX(0,C901-1)),"n.a."))</f>
        <v>0</v>
      </c>
      <c r="I901" s="16">
        <f>IF(NOT(Paths!$C$88=1),0,IF(Paths!$P$88="Complete",IF(IF(Paths!$E$88=0,C901=0,AND(C901&gt;0,Paths!$E$88&gt;(C901-1)*12,Paths!$E$88&lt;=C901*12)),Paths!$G$88,0),"n.a."))</f>
        <v>0</v>
      </c>
      <c r="J901" s="16">
        <f>IF(NOT(Paths!$C$88=1),0,IF(Paths!$P$88="Complete",IF(IF(Paths!$E$88=0,C901=0,AND(C901&gt;0,Paths!$E$88&gt;(C901-1)*12,Paths!$E$88&lt;=C901*12)),Paths!$H$88,0),"n.a."))</f>
        <v>0</v>
      </c>
      <c r="K901" s="16">
        <f>IF(NOT(Paths!$C$88=1),0,IF(Paths!$P$88="Complete",IF(IF(Paths!$O$88=0,C901=0,AND(C901&gt;0,Paths!$O$88&gt;(C901-1)*12,Paths!$O$88&lt;=C901*12)),Paths!$N$88,0),"n.a."))</f>
        <v>0</v>
      </c>
      <c r="L901" s="16">
        <f>IF(NOT(Paths!$C$88=1),0,IF(Paths!$P$88="Complete",IF(C901=10,Paths!$I$88,0),"n.a."))</f>
        <v>0</v>
      </c>
      <c r="M901" s="16">
        <f>IF(NOT(Paths!$C$88=1),0,IF(Paths!$P$88="Complete",IF(AND(Paths!$D$88="EV",Paths!$E$88&lt;120,Paths!$E$88+'Operating costs'!$B$65&gt;Paths!$E$88,Paths!$E$88+'Operating costs'!$B$65&lt;=120,IF(Paths!$E$88+'Operating costs'!$B$65=0,C901=0,AND(C901&gt;0,Paths!$E$88+'Operating costs'!$B$65&gt;(C901-1)*12,Paths!$E$88+'Operating costs'!$B$65&lt;=C901*12))),'Operating costs'!$B$64,0)+IF(AND('Operating costs'!$B$67&gt;0,'Operating costs'!$B$67&lt;=120,OR(Paths!$D$88="ICE",'Operating costs'!$B$67&lt;=Paths!$E$88),IF('Operating costs'!$B$67=0,C901=0,AND(C901&gt;0,'Operating costs'!$B$67&gt;(C901-1)*12,'Operating costs'!$B$67&lt;=C901*12))),'Operating costs'!$B$66,0),"n.a."))</f>
        <v>0</v>
      </c>
      <c r="N901" s="16">
        <f>IF(NOT(Paths!$C$88=1),0,IF(Paths!$P$88="Complete",SUM(G901:I901)-J901-K901-L901+M901+IF(C901=0,Paths!$F$88,0)+IF(IF(Paths!$E$88=0,C901=0,AND(C901&gt;0,Paths!$E$88&gt;(C901-1)*12,Paths!$E$88&lt;=C901*12)),VLOOKUP(A901,'Fleet register'!$A$7:$S$106,16,FALSE),0),"n.a."))</f>
        <v>0</v>
      </c>
      <c r="O901" s="16">
        <f>IF(NOT(Paths!$C$88=1),0,IF(Paths!$P$88="Complete",N901-IF(C901=0,Paths!$F$88,0),"n.a."))</f>
        <v>0</v>
      </c>
      <c r="P901" s="16">
        <f>IF(NOT(Paths!$C$88=1),0,IF(Paths!$P$88="Complete",O901+L901,"n.a."))</f>
        <v>0</v>
      </c>
      <c r="Q901" s="16">
        <f>IF(NOT(Paths!$C$88=1),0,IF(Paths!$P$88="Complete",N901*(1+'Operating costs'!$B$54)^-C901,"n.a."))</f>
        <v>0</v>
      </c>
      <c r="R901" s="16">
        <f>IF(NOT(Paths!$C$88=1),0,IF(Paths!$P$88="Complete",IF(AND(C901=0,Paths!$E$88=0),I901-J901-K901+VLOOKUP(A901,'Fleet register'!$A$7:$S$106,15,FALSE)+VLOOKUP(A901,'Fleet register'!$A$7:$S$106,16,FALSE),0),"n.a."))</f>
        <v>0</v>
      </c>
      <c r="S901" s="1">
        <f>IF(NOT(Paths!$C$88=1),0,IF(Paths!$P$88="Complete",IF(C901=0,0,Paths!$S$88*Paths!$R$88),"n.a."))</f>
        <v>0</v>
      </c>
      <c r="T901" s="1">
        <f>IF(NOT(Paths!$C$88=1),0,IF(Paths!$P$88="Complete",IF(C901=0,0,VLOOKUP(A901,'Fleet register'!$A$7:$S$106,9,FALSE)*Paths!$R$88),"n.a."))</f>
        <v>0</v>
      </c>
    </row>
    <row r="902" spans="1:20" ht="24" customHeight="1">
      <c r="A902" s="1" t="str">
        <f>Paths!$A$88</f>
        <v>T021</v>
      </c>
      <c r="B902" s="1">
        <f>Paths!$B$88</f>
        <v>1</v>
      </c>
      <c r="C902" s="1">
        <v>4</v>
      </c>
      <c r="D902" s="1">
        <v>88</v>
      </c>
      <c r="E902" s="1">
        <f>IF(OR(Paths!$C$88=0,C902=0),0,MAX(0,MIN(C902*12,Paths!$E$88)-(C902-1)*12))</f>
        <v>0</v>
      </c>
      <c r="F902" s="1">
        <f>IF(OR(Paths!$C$88=0,C902=0),0,12-E902)</f>
        <v>0</v>
      </c>
      <c r="G902" s="16">
        <f>IF(NOT(Paths!$C$88=1),0,IF(Paths!$P$88="Complete",E902/12*(Paths!$J$88*(1+'Operating costs'!$B$51)^MAX(0,C902-1)+Paths!$K$88*(1+'Operating costs'!$B$53)^MAX(0,C902-1)),"n.a."))</f>
        <v>0</v>
      </c>
      <c r="H902" s="16">
        <f>IF(NOT(Paths!$C$88=1),0,IF(Paths!$P$88="Complete",F902/12*(Paths!$L$88*(1+IF(Paths!$D$88="EV",'Operating costs'!$B$52,'Operating costs'!$B$51))^MAX(0,C902-1)+Paths!$M$88*(1+'Operating costs'!$B$53)^MAX(0,C902-1)),"n.a."))</f>
        <v>0</v>
      </c>
      <c r="I902" s="16">
        <f>IF(NOT(Paths!$C$88=1),0,IF(Paths!$P$88="Complete",IF(IF(Paths!$E$88=0,C902=0,AND(C902&gt;0,Paths!$E$88&gt;(C902-1)*12,Paths!$E$88&lt;=C902*12)),Paths!$G$88,0),"n.a."))</f>
        <v>0</v>
      </c>
      <c r="J902" s="16">
        <f>IF(NOT(Paths!$C$88=1),0,IF(Paths!$P$88="Complete",IF(IF(Paths!$E$88=0,C902=0,AND(C902&gt;0,Paths!$E$88&gt;(C902-1)*12,Paths!$E$88&lt;=C902*12)),Paths!$H$88,0),"n.a."))</f>
        <v>0</v>
      </c>
      <c r="K902" s="16">
        <f>IF(NOT(Paths!$C$88=1),0,IF(Paths!$P$88="Complete",IF(IF(Paths!$O$88=0,C902=0,AND(C902&gt;0,Paths!$O$88&gt;(C902-1)*12,Paths!$O$88&lt;=C902*12)),Paths!$N$88,0),"n.a."))</f>
        <v>0</v>
      </c>
      <c r="L902" s="16">
        <f>IF(NOT(Paths!$C$88=1),0,IF(Paths!$P$88="Complete",IF(C902=10,Paths!$I$88,0),"n.a."))</f>
        <v>0</v>
      </c>
      <c r="M902" s="16">
        <f>IF(NOT(Paths!$C$88=1),0,IF(Paths!$P$88="Complete",IF(AND(Paths!$D$88="EV",Paths!$E$88&lt;120,Paths!$E$88+'Operating costs'!$B$65&gt;Paths!$E$88,Paths!$E$88+'Operating costs'!$B$65&lt;=120,IF(Paths!$E$88+'Operating costs'!$B$65=0,C902=0,AND(C902&gt;0,Paths!$E$88+'Operating costs'!$B$65&gt;(C902-1)*12,Paths!$E$88+'Operating costs'!$B$65&lt;=C902*12))),'Operating costs'!$B$64,0)+IF(AND('Operating costs'!$B$67&gt;0,'Operating costs'!$B$67&lt;=120,OR(Paths!$D$88="ICE",'Operating costs'!$B$67&lt;=Paths!$E$88),IF('Operating costs'!$B$67=0,C902=0,AND(C902&gt;0,'Operating costs'!$B$67&gt;(C902-1)*12,'Operating costs'!$B$67&lt;=C902*12))),'Operating costs'!$B$66,0),"n.a."))</f>
        <v>0</v>
      </c>
      <c r="N902" s="16">
        <f>IF(NOT(Paths!$C$88=1),0,IF(Paths!$P$88="Complete",SUM(G902:I902)-J902-K902-L902+M902+IF(C902=0,Paths!$F$88,0)+IF(IF(Paths!$E$88=0,C902=0,AND(C902&gt;0,Paths!$E$88&gt;(C902-1)*12,Paths!$E$88&lt;=C902*12)),VLOOKUP(A902,'Fleet register'!$A$7:$S$106,16,FALSE),0),"n.a."))</f>
        <v>0</v>
      </c>
      <c r="O902" s="16">
        <f>IF(NOT(Paths!$C$88=1),0,IF(Paths!$P$88="Complete",N902-IF(C902=0,Paths!$F$88,0),"n.a."))</f>
        <v>0</v>
      </c>
      <c r="P902" s="16">
        <f>IF(NOT(Paths!$C$88=1),0,IF(Paths!$P$88="Complete",O902+L902,"n.a."))</f>
        <v>0</v>
      </c>
      <c r="Q902" s="16">
        <f>IF(NOT(Paths!$C$88=1),0,IF(Paths!$P$88="Complete",N902*(1+'Operating costs'!$B$54)^-C902,"n.a."))</f>
        <v>0</v>
      </c>
      <c r="R902" s="16">
        <f>IF(NOT(Paths!$C$88=1),0,IF(Paths!$P$88="Complete",IF(AND(C902=0,Paths!$E$88=0),I902-J902-K902+VLOOKUP(A902,'Fleet register'!$A$7:$S$106,15,FALSE)+VLOOKUP(A902,'Fleet register'!$A$7:$S$106,16,FALSE),0),"n.a."))</f>
        <v>0</v>
      </c>
      <c r="S902" s="1">
        <f>IF(NOT(Paths!$C$88=1),0,IF(Paths!$P$88="Complete",IF(C902=0,0,Paths!$S$88*Paths!$R$88),"n.a."))</f>
        <v>0</v>
      </c>
      <c r="T902" s="1">
        <f>IF(NOT(Paths!$C$88=1),0,IF(Paths!$P$88="Complete",IF(C902=0,0,VLOOKUP(A902,'Fleet register'!$A$7:$S$106,9,FALSE)*Paths!$R$88),"n.a."))</f>
        <v>0</v>
      </c>
    </row>
    <row r="903" spans="1:20" ht="24" customHeight="1">
      <c r="A903" s="1" t="str">
        <f>Paths!$A$88</f>
        <v>T021</v>
      </c>
      <c r="B903" s="1">
        <f>Paths!$B$88</f>
        <v>1</v>
      </c>
      <c r="C903" s="1">
        <v>5</v>
      </c>
      <c r="D903" s="1">
        <v>88</v>
      </c>
      <c r="E903" s="1">
        <f>IF(OR(Paths!$C$88=0,C903=0),0,MAX(0,MIN(C903*12,Paths!$E$88)-(C903-1)*12))</f>
        <v>0</v>
      </c>
      <c r="F903" s="1">
        <f>IF(OR(Paths!$C$88=0,C903=0),0,12-E903)</f>
        <v>0</v>
      </c>
      <c r="G903" s="16">
        <f>IF(NOT(Paths!$C$88=1),0,IF(Paths!$P$88="Complete",E903/12*(Paths!$J$88*(1+'Operating costs'!$B$51)^MAX(0,C903-1)+Paths!$K$88*(1+'Operating costs'!$B$53)^MAX(0,C903-1)),"n.a."))</f>
        <v>0</v>
      </c>
      <c r="H903" s="16">
        <f>IF(NOT(Paths!$C$88=1),0,IF(Paths!$P$88="Complete",F903/12*(Paths!$L$88*(1+IF(Paths!$D$88="EV",'Operating costs'!$B$52,'Operating costs'!$B$51))^MAX(0,C903-1)+Paths!$M$88*(1+'Operating costs'!$B$53)^MAX(0,C903-1)),"n.a."))</f>
        <v>0</v>
      </c>
      <c r="I903" s="16">
        <f>IF(NOT(Paths!$C$88=1),0,IF(Paths!$P$88="Complete",IF(IF(Paths!$E$88=0,C903=0,AND(C903&gt;0,Paths!$E$88&gt;(C903-1)*12,Paths!$E$88&lt;=C903*12)),Paths!$G$88,0),"n.a."))</f>
        <v>0</v>
      </c>
      <c r="J903" s="16">
        <f>IF(NOT(Paths!$C$88=1),0,IF(Paths!$P$88="Complete",IF(IF(Paths!$E$88=0,C903=0,AND(C903&gt;0,Paths!$E$88&gt;(C903-1)*12,Paths!$E$88&lt;=C903*12)),Paths!$H$88,0),"n.a."))</f>
        <v>0</v>
      </c>
      <c r="K903" s="16">
        <f>IF(NOT(Paths!$C$88=1),0,IF(Paths!$P$88="Complete",IF(IF(Paths!$O$88=0,C903=0,AND(C903&gt;0,Paths!$O$88&gt;(C903-1)*12,Paths!$O$88&lt;=C903*12)),Paths!$N$88,0),"n.a."))</f>
        <v>0</v>
      </c>
      <c r="L903" s="16">
        <f>IF(NOT(Paths!$C$88=1),0,IF(Paths!$P$88="Complete",IF(C903=10,Paths!$I$88,0),"n.a."))</f>
        <v>0</v>
      </c>
      <c r="M903" s="16">
        <f>IF(NOT(Paths!$C$88=1),0,IF(Paths!$P$88="Complete",IF(AND(Paths!$D$88="EV",Paths!$E$88&lt;120,Paths!$E$88+'Operating costs'!$B$65&gt;Paths!$E$88,Paths!$E$88+'Operating costs'!$B$65&lt;=120,IF(Paths!$E$88+'Operating costs'!$B$65=0,C903=0,AND(C903&gt;0,Paths!$E$88+'Operating costs'!$B$65&gt;(C903-1)*12,Paths!$E$88+'Operating costs'!$B$65&lt;=C903*12))),'Operating costs'!$B$64,0)+IF(AND('Operating costs'!$B$67&gt;0,'Operating costs'!$B$67&lt;=120,OR(Paths!$D$88="ICE",'Operating costs'!$B$67&lt;=Paths!$E$88),IF('Operating costs'!$B$67=0,C903=0,AND(C903&gt;0,'Operating costs'!$B$67&gt;(C903-1)*12,'Operating costs'!$B$67&lt;=C903*12))),'Operating costs'!$B$66,0),"n.a."))</f>
        <v>0</v>
      </c>
      <c r="N903" s="16">
        <f>IF(NOT(Paths!$C$88=1),0,IF(Paths!$P$88="Complete",SUM(G903:I903)-J903-K903-L903+M903+IF(C903=0,Paths!$F$88,0)+IF(IF(Paths!$E$88=0,C903=0,AND(C903&gt;0,Paths!$E$88&gt;(C903-1)*12,Paths!$E$88&lt;=C903*12)),VLOOKUP(A903,'Fleet register'!$A$7:$S$106,16,FALSE),0),"n.a."))</f>
        <v>0</v>
      </c>
      <c r="O903" s="16">
        <f>IF(NOT(Paths!$C$88=1),0,IF(Paths!$P$88="Complete",N903-IF(C903=0,Paths!$F$88,0),"n.a."))</f>
        <v>0</v>
      </c>
      <c r="P903" s="16">
        <f>IF(NOT(Paths!$C$88=1),0,IF(Paths!$P$88="Complete",O903+L903,"n.a."))</f>
        <v>0</v>
      </c>
      <c r="Q903" s="16">
        <f>IF(NOT(Paths!$C$88=1),0,IF(Paths!$P$88="Complete",N903*(1+'Operating costs'!$B$54)^-C903,"n.a."))</f>
        <v>0</v>
      </c>
      <c r="R903" s="16">
        <f>IF(NOT(Paths!$C$88=1),0,IF(Paths!$P$88="Complete",IF(AND(C903=0,Paths!$E$88=0),I903-J903-K903+VLOOKUP(A903,'Fleet register'!$A$7:$S$106,15,FALSE)+VLOOKUP(A903,'Fleet register'!$A$7:$S$106,16,FALSE),0),"n.a."))</f>
        <v>0</v>
      </c>
      <c r="S903" s="1">
        <f>IF(NOT(Paths!$C$88=1),0,IF(Paths!$P$88="Complete",IF(C903=0,0,Paths!$S$88*Paths!$R$88),"n.a."))</f>
        <v>0</v>
      </c>
      <c r="T903" s="1">
        <f>IF(NOT(Paths!$C$88=1),0,IF(Paths!$P$88="Complete",IF(C903=0,0,VLOOKUP(A903,'Fleet register'!$A$7:$S$106,9,FALSE)*Paths!$R$88),"n.a."))</f>
        <v>0</v>
      </c>
    </row>
    <row r="904" spans="1:20" ht="24" customHeight="1">
      <c r="A904" s="1" t="str">
        <f>Paths!$A$88</f>
        <v>T021</v>
      </c>
      <c r="B904" s="1">
        <f>Paths!$B$88</f>
        <v>1</v>
      </c>
      <c r="C904" s="1">
        <v>6</v>
      </c>
      <c r="D904" s="1">
        <v>88</v>
      </c>
      <c r="E904" s="1">
        <f>IF(OR(Paths!$C$88=0,C904=0),0,MAX(0,MIN(C904*12,Paths!$E$88)-(C904-1)*12))</f>
        <v>0</v>
      </c>
      <c r="F904" s="1">
        <f>IF(OR(Paths!$C$88=0,C904=0),0,12-E904)</f>
        <v>0</v>
      </c>
      <c r="G904" s="16">
        <f>IF(NOT(Paths!$C$88=1),0,IF(Paths!$P$88="Complete",E904/12*(Paths!$J$88*(1+'Operating costs'!$B$51)^MAX(0,C904-1)+Paths!$K$88*(1+'Operating costs'!$B$53)^MAX(0,C904-1)),"n.a."))</f>
        <v>0</v>
      </c>
      <c r="H904" s="16">
        <f>IF(NOT(Paths!$C$88=1),0,IF(Paths!$P$88="Complete",F904/12*(Paths!$L$88*(1+IF(Paths!$D$88="EV",'Operating costs'!$B$52,'Operating costs'!$B$51))^MAX(0,C904-1)+Paths!$M$88*(1+'Operating costs'!$B$53)^MAX(0,C904-1)),"n.a."))</f>
        <v>0</v>
      </c>
      <c r="I904" s="16">
        <f>IF(NOT(Paths!$C$88=1),0,IF(Paths!$P$88="Complete",IF(IF(Paths!$E$88=0,C904=0,AND(C904&gt;0,Paths!$E$88&gt;(C904-1)*12,Paths!$E$88&lt;=C904*12)),Paths!$G$88,0),"n.a."))</f>
        <v>0</v>
      </c>
      <c r="J904" s="16">
        <f>IF(NOT(Paths!$C$88=1),0,IF(Paths!$P$88="Complete",IF(IF(Paths!$E$88=0,C904=0,AND(C904&gt;0,Paths!$E$88&gt;(C904-1)*12,Paths!$E$88&lt;=C904*12)),Paths!$H$88,0),"n.a."))</f>
        <v>0</v>
      </c>
      <c r="K904" s="16">
        <f>IF(NOT(Paths!$C$88=1),0,IF(Paths!$P$88="Complete",IF(IF(Paths!$O$88=0,C904=0,AND(C904&gt;0,Paths!$O$88&gt;(C904-1)*12,Paths!$O$88&lt;=C904*12)),Paths!$N$88,0),"n.a."))</f>
        <v>0</v>
      </c>
      <c r="L904" s="16">
        <f>IF(NOT(Paths!$C$88=1),0,IF(Paths!$P$88="Complete",IF(C904=10,Paths!$I$88,0),"n.a."))</f>
        <v>0</v>
      </c>
      <c r="M904" s="16">
        <f>IF(NOT(Paths!$C$88=1),0,IF(Paths!$P$88="Complete",IF(AND(Paths!$D$88="EV",Paths!$E$88&lt;120,Paths!$E$88+'Operating costs'!$B$65&gt;Paths!$E$88,Paths!$E$88+'Operating costs'!$B$65&lt;=120,IF(Paths!$E$88+'Operating costs'!$B$65=0,C904=0,AND(C904&gt;0,Paths!$E$88+'Operating costs'!$B$65&gt;(C904-1)*12,Paths!$E$88+'Operating costs'!$B$65&lt;=C904*12))),'Operating costs'!$B$64,0)+IF(AND('Operating costs'!$B$67&gt;0,'Operating costs'!$B$67&lt;=120,OR(Paths!$D$88="ICE",'Operating costs'!$B$67&lt;=Paths!$E$88),IF('Operating costs'!$B$67=0,C904=0,AND(C904&gt;0,'Operating costs'!$B$67&gt;(C904-1)*12,'Operating costs'!$B$67&lt;=C904*12))),'Operating costs'!$B$66,0),"n.a."))</f>
        <v>0</v>
      </c>
      <c r="N904" s="16">
        <f>IF(NOT(Paths!$C$88=1),0,IF(Paths!$P$88="Complete",SUM(G904:I904)-J904-K904-L904+M904+IF(C904=0,Paths!$F$88,0)+IF(IF(Paths!$E$88=0,C904=0,AND(C904&gt;0,Paths!$E$88&gt;(C904-1)*12,Paths!$E$88&lt;=C904*12)),VLOOKUP(A904,'Fleet register'!$A$7:$S$106,16,FALSE),0),"n.a."))</f>
        <v>0</v>
      </c>
      <c r="O904" s="16">
        <f>IF(NOT(Paths!$C$88=1),0,IF(Paths!$P$88="Complete",N904-IF(C904=0,Paths!$F$88,0),"n.a."))</f>
        <v>0</v>
      </c>
      <c r="P904" s="16">
        <f>IF(NOT(Paths!$C$88=1),0,IF(Paths!$P$88="Complete",O904+L904,"n.a."))</f>
        <v>0</v>
      </c>
      <c r="Q904" s="16">
        <f>IF(NOT(Paths!$C$88=1),0,IF(Paths!$P$88="Complete",N904*(1+'Operating costs'!$B$54)^-C904,"n.a."))</f>
        <v>0</v>
      </c>
      <c r="R904" s="16">
        <f>IF(NOT(Paths!$C$88=1),0,IF(Paths!$P$88="Complete",IF(AND(C904=0,Paths!$E$88=0),I904-J904-K904+VLOOKUP(A904,'Fleet register'!$A$7:$S$106,15,FALSE)+VLOOKUP(A904,'Fleet register'!$A$7:$S$106,16,FALSE),0),"n.a."))</f>
        <v>0</v>
      </c>
      <c r="S904" s="1">
        <f>IF(NOT(Paths!$C$88=1),0,IF(Paths!$P$88="Complete",IF(C904=0,0,Paths!$S$88*Paths!$R$88),"n.a."))</f>
        <v>0</v>
      </c>
      <c r="T904" s="1">
        <f>IF(NOT(Paths!$C$88=1),0,IF(Paths!$P$88="Complete",IF(C904=0,0,VLOOKUP(A904,'Fleet register'!$A$7:$S$106,9,FALSE)*Paths!$R$88),"n.a."))</f>
        <v>0</v>
      </c>
    </row>
    <row r="905" spans="1:20" ht="24" customHeight="1">
      <c r="A905" s="1" t="str">
        <f>Paths!$A$88</f>
        <v>T021</v>
      </c>
      <c r="B905" s="1">
        <f>Paths!$B$88</f>
        <v>1</v>
      </c>
      <c r="C905" s="1">
        <v>7</v>
      </c>
      <c r="D905" s="1">
        <v>88</v>
      </c>
      <c r="E905" s="1">
        <f>IF(OR(Paths!$C$88=0,C905=0),0,MAX(0,MIN(C905*12,Paths!$E$88)-(C905-1)*12))</f>
        <v>0</v>
      </c>
      <c r="F905" s="1">
        <f>IF(OR(Paths!$C$88=0,C905=0),0,12-E905)</f>
        <v>0</v>
      </c>
      <c r="G905" s="16">
        <f>IF(NOT(Paths!$C$88=1),0,IF(Paths!$P$88="Complete",E905/12*(Paths!$J$88*(1+'Operating costs'!$B$51)^MAX(0,C905-1)+Paths!$K$88*(1+'Operating costs'!$B$53)^MAX(0,C905-1)),"n.a."))</f>
        <v>0</v>
      </c>
      <c r="H905" s="16">
        <f>IF(NOT(Paths!$C$88=1),0,IF(Paths!$P$88="Complete",F905/12*(Paths!$L$88*(1+IF(Paths!$D$88="EV",'Operating costs'!$B$52,'Operating costs'!$B$51))^MAX(0,C905-1)+Paths!$M$88*(1+'Operating costs'!$B$53)^MAX(0,C905-1)),"n.a."))</f>
        <v>0</v>
      </c>
      <c r="I905" s="16">
        <f>IF(NOT(Paths!$C$88=1),0,IF(Paths!$P$88="Complete",IF(IF(Paths!$E$88=0,C905=0,AND(C905&gt;0,Paths!$E$88&gt;(C905-1)*12,Paths!$E$88&lt;=C905*12)),Paths!$G$88,0),"n.a."))</f>
        <v>0</v>
      </c>
      <c r="J905" s="16">
        <f>IF(NOT(Paths!$C$88=1),0,IF(Paths!$P$88="Complete",IF(IF(Paths!$E$88=0,C905=0,AND(C905&gt;0,Paths!$E$88&gt;(C905-1)*12,Paths!$E$88&lt;=C905*12)),Paths!$H$88,0),"n.a."))</f>
        <v>0</v>
      </c>
      <c r="K905" s="16">
        <f>IF(NOT(Paths!$C$88=1),0,IF(Paths!$P$88="Complete",IF(IF(Paths!$O$88=0,C905=0,AND(C905&gt;0,Paths!$O$88&gt;(C905-1)*12,Paths!$O$88&lt;=C905*12)),Paths!$N$88,0),"n.a."))</f>
        <v>0</v>
      </c>
      <c r="L905" s="16">
        <f>IF(NOT(Paths!$C$88=1),0,IF(Paths!$P$88="Complete",IF(C905=10,Paths!$I$88,0),"n.a."))</f>
        <v>0</v>
      </c>
      <c r="M905" s="16">
        <f>IF(NOT(Paths!$C$88=1),0,IF(Paths!$P$88="Complete",IF(AND(Paths!$D$88="EV",Paths!$E$88&lt;120,Paths!$E$88+'Operating costs'!$B$65&gt;Paths!$E$88,Paths!$E$88+'Operating costs'!$B$65&lt;=120,IF(Paths!$E$88+'Operating costs'!$B$65=0,C905=0,AND(C905&gt;0,Paths!$E$88+'Operating costs'!$B$65&gt;(C905-1)*12,Paths!$E$88+'Operating costs'!$B$65&lt;=C905*12))),'Operating costs'!$B$64,0)+IF(AND('Operating costs'!$B$67&gt;0,'Operating costs'!$B$67&lt;=120,OR(Paths!$D$88="ICE",'Operating costs'!$B$67&lt;=Paths!$E$88),IF('Operating costs'!$B$67=0,C905=0,AND(C905&gt;0,'Operating costs'!$B$67&gt;(C905-1)*12,'Operating costs'!$B$67&lt;=C905*12))),'Operating costs'!$B$66,0),"n.a."))</f>
        <v>0</v>
      </c>
      <c r="N905" s="16">
        <f>IF(NOT(Paths!$C$88=1),0,IF(Paths!$P$88="Complete",SUM(G905:I905)-J905-K905-L905+M905+IF(C905=0,Paths!$F$88,0)+IF(IF(Paths!$E$88=0,C905=0,AND(C905&gt;0,Paths!$E$88&gt;(C905-1)*12,Paths!$E$88&lt;=C905*12)),VLOOKUP(A905,'Fleet register'!$A$7:$S$106,16,FALSE),0),"n.a."))</f>
        <v>0</v>
      </c>
      <c r="O905" s="16">
        <f>IF(NOT(Paths!$C$88=1),0,IF(Paths!$P$88="Complete",N905-IF(C905=0,Paths!$F$88,0),"n.a."))</f>
        <v>0</v>
      </c>
      <c r="P905" s="16">
        <f>IF(NOT(Paths!$C$88=1),0,IF(Paths!$P$88="Complete",O905+L905,"n.a."))</f>
        <v>0</v>
      </c>
      <c r="Q905" s="16">
        <f>IF(NOT(Paths!$C$88=1),0,IF(Paths!$P$88="Complete",N905*(1+'Operating costs'!$B$54)^-C905,"n.a."))</f>
        <v>0</v>
      </c>
      <c r="R905" s="16">
        <f>IF(NOT(Paths!$C$88=1),0,IF(Paths!$P$88="Complete",IF(AND(C905=0,Paths!$E$88=0),I905-J905-K905+VLOOKUP(A905,'Fleet register'!$A$7:$S$106,15,FALSE)+VLOOKUP(A905,'Fleet register'!$A$7:$S$106,16,FALSE),0),"n.a."))</f>
        <v>0</v>
      </c>
      <c r="S905" s="1">
        <f>IF(NOT(Paths!$C$88=1),0,IF(Paths!$P$88="Complete",IF(C905=0,0,Paths!$S$88*Paths!$R$88),"n.a."))</f>
        <v>0</v>
      </c>
      <c r="T905" s="1">
        <f>IF(NOT(Paths!$C$88=1),0,IF(Paths!$P$88="Complete",IF(C905=0,0,VLOOKUP(A905,'Fleet register'!$A$7:$S$106,9,FALSE)*Paths!$R$88),"n.a."))</f>
        <v>0</v>
      </c>
    </row>
    <row r="906" spans="1:20" ht="24" customHeight="1">
      <c r="A906" s="1" t="str">
        <f>Paths!$A$88</f>
        <v>T021</v>
      </c>
      <c r="B906" s="1">
        <f>Paths!$B$88</f>
        <v>1</v>
      </c>
      <c r="C906" s="1">
        <v>8</v>
      </c>
      <c r="D906" s="1">
        <v>88</v>
      </c>
      <c r="E906" s="1">
        <f>IF(OR(Paths!$C$88=0,C906=0),0,MAX(0,MIN(C906*12,Paths!$E$88)-(C906-1)*12))</f>
        <v>0</v>
      </c>
      <c r="F906" s="1">
        <f>IF(OR(Paths!$C$88=0,C906=0),0,12-E906)</f>
        <v>0</v>
      </c>
      <c r="G906" s="16">
        <f>IF(NOT(Paths!$C$88=1),0,IF(Paths!$P$88="Complete",E906/12*(Paths!$J$88*(1+'Operating costs'!$B$51)^MAX(0,C906-1)+Paths!$K$88*(1+'Operating costs'!$B$53)^MAX(0,C906-1)),"n.a."))</f>
        <v>0</v>
      </c>
      <c r="H906" s="16">
        <f>IF(NOT(Paths!$C$88=1),0,IF(Paths!$P$88="Complete",F906/12*(Paths!$L$88*(1+IF(Paths!$D$88="EV",'Operating costs'!$B$52,'Operating costs'!$B$51))^MAX(0,C906-1)+Paths!$M$88*(1+'Operating costs'!$B$53)^MAX(0,C906-1)),"n.a."))</f>
        <v>0</v>
      </c>
      <c r="I906" s="16">
        <f>IF(NOT(Paths!$C$88=1),0,IF(Paths!$P$88="Complete",IF(IF(Paths!$E$88=0,C906=0,AND(C906&gt;0,Paths!$E$88&gt;(C906-1)*12,Paths!$E$88&lt;=C906*12)),Paths!$G$88,0),"n.a."))</f>
        <v>0</v>
      </c>
      <c r="J906" s="16">
        <f>IF(NOT(Paths!$C$88=1),0,IF(Paths!$P$88="Complete",IF(IF(Paths!$E$88=0,C906=0,AND(C906&gt;0,Paths!$E$88&gt;(C906-1)*12,Paths!$E$88&lt;=C906*12)),Paths!$H$88,0),"n.a."))</f>
        <v>0</v>
      </c>
      <c r="K906" s="16">
        <f>IF(NOT(Paths!$C$88=1),0,IF(Paths!$P$88="Complete",IF(IF(Paths!$O$88=0,C906=0,AND(C906&gt;0,Paths!$O$88&gt;(C906-1)*12,Paths!$O$88&lt;=C906*12)),Paths!$N$88,0),"n.a."))</f>
        <v>0</v>
      </c>
      <c r="L906" s="16">
        <f>IF(NOT(Paths!$C$88=1),0,IF(Paths!$P$88="Complete",IF(C906=10,Paths!$I$88,0),"n.a."))</f>
        <v>0</v>
      </c>
      <c r="M906" s="16">
        <f>IF(NOT(Paths!$C$88=1),0,IF(Paths!$P$88="Complete",IF(AND(Paths!$D$88="EV",Paths!$E$88&lt;120,Paths!$E$88+'Operating costs'!$B$65&gt;Paths!$E$88,Paths!$E$88+'Operating costs'!$B$65&lt;=120,IF(Paths!$E$88+'Operating costs'!$B$65=0,C906=0,AND(C906&gt;0,Paths!$E$88+'Operating costs'!$B$65&gt;(C906-1)*12,Paths!$E$88+'Operating costs'!$B$65&lt;=C906*12))),'Operating costs'!$B$64,0)+IF(AND('Operating costs'!$B$67&gt;0,'Operating costs'!$B$67&lt;=120,OR(Paths!$D$88="ICE",'Operating costs'!$B$67&lt;=Paths!$E$88),IF('Operating costs'!$B$67=0,C906=0,AND(C906&gt;0,'Operating costs'!$B$67&gt;(C906-1)*12,'Operating costs'!$B$67&lt;=C906*12))),'Operating costs'!$B$66,0),"n.a."))</f>
        <v>0</v>
      </c>
      <c r="N906" s="16">
        <f>IF(NOT(Paths!$C$88=1),0,IF(Paths!$P$88="Complete",SUM(G906:I906)-J906-K906-L906+M906+IF(C906=0,Paths!$F$88,0)+IF(IF(Paths!$E$88=0,C906=0,AND(C906&gt;0,Paths!$E$88&gt;(C906-1)*12,Paths!$E$88&lt;=C906*12)),VLOOKUP(A906,'Fleet register'!$A$7:$S$106,16,FALSE),0),"n.a."))</f>
        <v>0</v>
      </c>
      <c r="O906" s="16">
        <f>IF(NOT(Paths!$C$88=1),0,IF(Paths!$P$88="Complete",N906-IF(C906=0,Paths!$F$88,0),"n.a."))</f>
        <v>0</v>
      </c>
      <c r="P906" s="16">
        <f>IF(NOT(Paths!$C$88=1),0,IF(Paths!$P$88="Complete",O906+L906,"n.a."))</f>
        <v>0</v>
      </c>
      <c r="Q906" s="16">
        <f>IF(NOT(Paths!$C$88=1),0,IF(Paths!$P$88="Complete",N906*(1+'Operating costs'!$B$54)^-C906,"n.a."))</f>
        <v>0</v>
      </c>
      <c r="R906" s="16">
        <f>IF(NOT(Paths!$C$88=1),0,IF(Paths!$P$88="Complete",IF(AND(C906=0,Paths!$E$88=0),I906-J906-K906+VLOOKUP(A906,'Fleet register'!$A$7:$S$106,15,FALSE)+VLOOKUP(A906,'Fleet register'!$A$7:$S$106,16,FALSE),0),"n.a."))</f>
        <v>0</v>
      </c>
      <c r="S906" s="1">
        <f>IF(NOT(Paths!$C$88=1),0,IF(Paths!$P$88="Complete",IF(C906=0,0,Paths!$S$88*Paths!$R$88),"n.a."))</f>
        <v>0</v>
      </c>
      <c r="T906" s="1">
        <f>IF(NOT(Paths!$C$88=1),0,IF(Paths!$P$88="Complete",IF(C906=0,0,VLOOKUP(A906,'Fleet register'!$A$7:$S$106,9,FALSE)*Paths!$R$88),"n.a."))</f>
        <v>0</v>
      </c>
    </row>
    <row r="907" spans="1:20" ht="24" customHeight="1">
      <c r="A907" s="1" t="str">
        <f>Paths!$A$88</f>
        <v>T021</v>
      </c>
      <c r="B907" s="1">
        <f>Paths!$B$88</f>
        <v>1</v>
      </c>
      <c r="C907" s="1">
        <v>9</v>
      </c>
      <c r="D907" s="1">
        <v>88</v>
      </c>
      <c r="E907" s="1">
        <f>IF(OR(Paths!$C$88=0,C907=0),0,MAX(0,MIN(C907*12,Paths!$E$88)-(C907-1)*12))</f>
        <v>0</v>
      </c>
      <c r="F907" s="1">
        <f>IF(OR(Paths!$C$88=0,C907=0),0,12-E907)</f>
        <v>0</v>
      </c>
      <c r="G907" s="16">
        <f>IF(NOT(Paths!$C$88=1),0,IF(Paths!$P$88="Complete",E907/12*(Paths!$J$88*(1+'Operating costs'!$B$51)^MAX(0,C907-1)+Paths!$K$88*(1+'Operating costs'!$B$53)^MAX(0,C907-1)),"n.a."))</f>
        <v>0</v>
      </c>
      <c r="H907" s="16">
        <f>IF(NOT(Paths!$C$88=1),0,IF(Paths!$P$88="Complete",F907/12*(Paths!$L$88*(1+IF(Paths!$D$88="EV",'Operating costs'!$B$52,'Operating costs'!$B$51))^MAX(0,C907-1)+Paths!$M$88*(1+'Operating costs'!$B$53)^MAX(0,C907-1)),"n.a."))</f>
        <v>0</v>
      </c>
      <c r="I907" s="16">
        <f>IF(NOT(Paths!$C$88=1),0,IF(Paths!$P$88="Complete",IF(IF(Paths!$E$88=0,C907=0,AND(C907&gt;0,Paths!$E$88&gt;(C907-1)*12,Paths!$E$88&lt;=C907*12)),Paths!$G$88,0),"n.a."))</f>
        <v>0</v>
      </c>
      <c r="J907" s="16">
        <f>IF(NOT(Paths!$C$88=1),0,IF(Paths!$P$88="Complete",IF(IF(Paths!$E$88=0,C907=0,AND(C907&gt;0,Paths!$E$88&gt;(C907-1)*12,Paths!$E$88&lt;=C907*12)),Paths!$H$88,0),"n.a."))</f>
        <v>0</v>
      </c>
      <c r="K907" s="16">
        <f>IF(NOT(Paths!$C$88=1),0,IF(Paths!$P$88="Complete",IF(IF(Paths!$O$88=0,C907=0,AND(C907&gt;0,Paths!$O$88&gt;(C907-1)*12,Paths!$O$88&lt;=C907*12)),Paths!$N$88,0),"n.a."))</f>
        <v>0</v>
      </c>
      <c r="L907" s="16">
        <f>IF(NOT(Paths!$C$88=1),0,IF(Paths!$P$88="Complete",IF(C907=10,Paths!$I$88,0),"n.a."))</f>
        <v>0</v>
      </c>
      <c r="M907" s="16">
        <f>IF(NOT(Paths!$C$88=1),0,IF(Paths!$P$88="Complete",IF(AND(Paths!$D$88="EV",Paths!$E$88&lt;120,Paths!$E$88+'Operating costs'!$B$65&gt;Paths!$E$88,Paths!$E$88+'Operating costs'!$B$65&lt;=120,IF(Paths!$E$88+'Operating costs'!$B$65=0,C907=0,AND(C907&gt;0,Paths!$E$88+'Operating costs'!$B$65&gt;(C907-1)*12,Paths!$E$88+'Operating costs'!$B$65&lt;=C907*12))),'Operating costs'!$B$64,0)+IF(AND('Operating costs'!$B$67&gt;0,'Operating costs'!$B$67&lt;=120,OR(Paths!$D$88="ICE",'Operating costs'!$B$67&lt;=Paths!$E$88),IF('Operating costs'!$B$67=0,C907=0,AND(C907&gt;0,'Operating costs'!$B$67&gt;(C907-1)*12,'Operating costs'!$B$67&lt;=C907*12))),'Operating costs'!$B$66,0),"n.a."))</f>
        <v>0</v>
      </c>
      <c r="N907" s="16">
        <f>IF(NOT(Paths!$C$88=1),0,IF(Paths!$P$88="Complete",SUM(G907:I907)-J907-K907-L907+M907+IF(C907=0,Paths!$F$88,0)+IF(IF(Paths!$E$88=0,C907=0,AND(C907&gt;0,Paths!$E$88&gt;(C907-1)*12,Paths!$E$88&lt;=C907*12)),VLOOKUP(A907,'Fleet register'!$A$7:$S$106,16,FALSE),0),"n.a."))</f>
        <v>0</v>
      </c>
      <c r="O907" s="16">
        <f>IF(NOT(Paths!$C$88=1),0,IF(Paths!$P$88="Complete",N907-IF(C907=0,Paths!$F$88,0),"n.a."))</f>
        <v>0</v>
      </c>
      <c r="P907" s="16">
        <f>IF(NOT(Paths!$C$88=1),0,IF(Paths!$P$88="Complete",O907+L907,"n.a."))</f>
        <v>0</v>
      </c>
      <c r="Q907" s="16">
        <f>IF(NOT(Paths!$C$88=1),0,IF(Paths!$P$88="Complete",N907*(1+'Operating costs'!$B$54)^-C907,"n.a."))</f>
        <v>0</v>
      </c>
      <c r="R907" s="16">
        <f>IF(NOT(Paths!$C$88=1),0,IF(Paths!$P$88="Complete",IF(AND(C907=0,Paths!$E$88=0),I907-J907-K907+VLOOKUP(A907,'Fleet register'!$A$7:$S$106,15,FALSE)+VLOOKUP(A907,'Fleet register'!$A$7:$S$106,16,FALSE),0),"n.a."))</f>
        <v>0</v>
      </c>
      <c r="S907" s="1">
        <f>IF(NOT(Paths!$C$88=1),0,IF(Paths!$P$88="Complete",IF(C907=0,0,Paths!$S$88*Paths!$R$88),"n.a."))</f>
        <v>0</v>
      </c>
      <c r="T907" s="1">
        <f>IF(NOT(Paths!$C$88=1),0,IF(Paths!$P$88="Complete",IF(C907=0,0,VLOOKUP(A907,'Fleet register'!$A$7:$S$106,9,FALSE)*Paths!$R$88),"n.a."))</f>
        <v>0</v>
      </c>
    </row>
    <row r="908" spans="1:20" ht="24" customHeight="1">
      <c r="A908" s="1" t="str">
        <f>Paths!$A$88</f>
        <v>T021</v>
      </c>
      <c r="B908" s="1">
        <f>Paths!$B$88</f>
        <v>1</v>
      </c>
      <c r="C908" s="1">
        <v>10</v>
      </c>
      <c r="D908" s="1">
        <v>88</v>
      </c>
      <c r="E908" s="1">
        <f>IF(OR(Paths!$C$88=0,C908=0),0,MAX(0,MIN(C908*12,Paths!$E$88)-(C908-1)*12))</f>
        <v>0</v>
      </c>
      <c r="F908" s="1">
        <f>IF(OR(Paths!$C$88=0,C908=0),0,12-E908)</f>
        <v>0</v>
      </c>
      <c r="G908" s="16">
        <f>IF(NOT(Paths!$C$88=1),0,IF(Paths!$P$88="Complete",E908/12*(Paths!$J$88*(1+'Operating costs'!$B$51)^MAX(0,C908-1)+Paths!$K$88*(1+'Operating costs'!$B$53)^MAX(0,C908-1)),"n.a."))</f>
        <v>0</v>
      </c>
      <c r="H908" s="16">
        <f>IF(NOT(Paths!$C$88=1),0,IF(Paths!$P$88="Complete",F908/12*(Paths!$L$88*(1+IF(Paths!$D$88="EV",'Operating costs'!$B$52,'Operating costs'!$B$51))^MAX(0,C908-1)+Paths!$M$88*(1+'Operating costs'!$B$53)^MAX(0,C908-1)),"n.a."))</f>
        <v>0</v>
      </c>
      <c r="I908" s="16">
        <f>IF(NOT(Paths!$C$88=1),0,IF(Paths!$P$88="Complete",IF(IF(Paths!$E$88=0,C908=0,AND(C908&gt;0,Paths!$E$88&gt;(C908-1)*12,Paths!$E$88&lt;=C908*12)),Paths!$G$88,0),"n.a."))</f>
        <v>0</v>
      </c>
      <c r="J908" s="16">
        <f>IF(NOT(Paths!$C$88=1),0,IF(Paths!$P$88="Complete",IF(IF(Paths!$E$88=0,C908=0,AND(C908&gt;0,Paths!$E$88&gt;(C908-1)*12,Paths!$E$88&lt;=C908*12)),Paths!$H$88,0),"n.a."))</f>
        <v>0</v>
      </c>
      <c r="K908" s="16">
        <f>IF(NOT(Paths!$C$88=1),0,IF(Paths!$P$88="Complete",IF(IF(Paths!$O$88=0,C908=0,AND(C908&gt;0,Paths!$O$88&gt;(C908-1)*12,Paths!$O$88&lt;=C908*12)),Paths!$N$88,0),"n.a."))</f>
        <v>0</v>
      </c>
      <c r="L908" s="16">
        <f>IF(NOT(Paths!$C$88=1),0,IF(Paths!$P$88="Complete",IF(C908=10,Paths!$I$88,0),"n.a."))</f>
        <v>0</v>
      </c>
      <c r="M908" s="16">
        <f>IF(NOT(Paths!$C$88=1),0,IF(Paths!$P$88="Complete",IF(AND(Paths!$D$88="EV",Paths!$E$88&lt;120,Paths!$E$88+'Operating costs'!$B$65&gt;Paths!$E$88,Paths!$E$88+'Operating costs'!$B$65&lt;=120,IF(Paths!$E$88+'Operating costs'!$B$65=0,C908=0,AND(C908&gt;0,Paths!$E$88+'Operating costs'!$B$65&gt;(C908-1)*12,Paths!$E$88+'Operating costs'!$B$65&lt;=C908*12))),'Operating costs'!$B$64,0)+IF(AND('Operating costs'!$B$67&gt;0,'Operating costs'!$B$67&lt;=120,OR(Paths!$D$88="ICE",'Operating costs'!$B$67&lt;=Paths!$E$88),IF('Operating costs'!$B$67=0,C908=0,AND(C908&gt;0,'Operating costs'!$B$67&gt;(C908-1)*12,'Operating costs'!$B$67&lt;=C908*12))),'Operating costs'!$B$66,0),"n.a."))</f>
        <v>0</v>
      </c>
      <c r="N908" s="16">
        <f>IF(NOT(Paths!$C$88=1),0,IF(Paths!$P$88="Complete",SUM(G908:I908)-J908-K908-L908+M908+IF(C908=0,Paths!$F$88,0)+IF(IF(Paths!$E$88=0,C908=0,AND(C908&gt;0,Paths!$E$88&gt;(C908-1)*12,Paths!$E$88&lt;=C908*12)),VLOOKUP(A908,'Fleet register'!$A$7:$S$106,16,FALSE),0),"n.a."))</f>
        <v>0</v>
      </c>
      <c r="O908" s="16">
        <f>IF(NOT(Paths!$C$88=1),0,IF(Paths!$P$88="Complete",N908-IF(C908=0,Paths!$F$88,0),"n.a."))</f>
        <v>0</v>
      </c>
      <c r="P908" s="16">
        <f>IF(NOT(Paths!$C$88=1),0,IF(Paths!$P$88="Complete",O908+L908,"n.a."))</f>
        <v>0</v>
      </c>
      <c r="Q908" s="16">
        <f>IF(NOT(Paths!$C$88=1),0,IF(Paths!$P$88="Complete",N908*(1+'Operating costs'!$B$54)^-C908,"n.a."))</f>
        <v>0</v>
      </c>
      <c r="R908" s="16">
        <f>IF(NOT(Paths!$C$88=1),0,IF(Paths!$P$88="Complete",IF(AND(C908=0,Paths!$E$88=0),I908-J908-K908+VLOOKUP(A908,'Fleet register'!$A$7:$S$106,15,FALSE)+VLOOKUP(A908,'Fleet register'!$A$7:$S$106,16,FALSE),0),"n.a."))</f>
        <v>0</v>
      </c>
      <c r="S908" s="1">
        <f>IF(NOT(Paths!$C$88=1),0,IF(Paths!$P$88="Complete",IF(C908=0,0,Paths!$S$88*Paths!$R$88),"n.a."))</f>
        <v>0</v>
      </c>
      <c r="T908" s="1">
        <f>IF(NOT(Paths!$C$88=1),0,IF(Paths!$P$88="Complete",IF(C908=0,0,VLOOKUP(A908,'Fleet register'!$A$7:$S$106,9,FALSE)*Paths!$R$88),"n.a."))</f>
        <v>0</v>
      </c>
    </row>
    <row r="909" spans="1:20" ht="24" customHeight="1">
      <c r="A909" s="1" t="str">
        <f>Paths!$A$89</f>
        <v>T021</v>
      </c>
      <c r="B909" s="1">
        <f>Paths!$B$89</f>
        <v>2</v>
      </c>
      <c r="C909" s="1">
        <v>0</v>
      </c>
      <c r="D909" s="1">
        <v>89</v>
      </c>
      <c r="E909" s="1">
        <f>IF(OR(Paths!$C$89=0,C909=0),0,MAX(0,MIN(C909*12,Paths!$E$89)-(C909-1)*12))</f>
        <v>0</v>
      </c>
      <c r="F909" s="1">
        <f>IF(OR(Paths!$C$89=0,C909=0),0,12-E909)</f>
        <v>0</v>
      </c>
      <c r="G909" s="16">
        <f>IF(NOT(Paths!$C$89=1),0,IF(Paths!$P$89="Complete",E909/12*(Paths!$J$89*(1+'Operating costs'!$B$51)^MAX(0,C909-1)+Paths!$K$89*(1+'Operating costs'!$B$53)^MAX(0,C909-1)),"n.a."))</f>
        <v>0</v>
      </c>
      <c r="H909" s="16">
        <f>IF(NOT(Paths!$C$89=1),0,IF(Paths!$P$89="Complete",F909/12*(Paths!$L$89*(1+IF(Paths!$D$89="EV",'Operating costs'!$B$52,'Operating costs'!$B$51))^MAX(0,C909-1)+Paths!$M$89*(1+'Operating costs'!$B$53)^MAX(0,C909-1)),"n.a."))</f>
        <v>0</v>
      </c>
      <c r="I909" s="16">
        <f>IF(NOT(Paths!$C$89=1),0,IF(Paths!$P$89="Complete",IF(IF(Paths!$E$89=0,C909=0,AND(C909&gt;0,Paths!$E$89&gt;(C909-1)*12,Paths!$E$89&lt;=C909*12)),Paths!$G$89,0),"n.a."))</f>
        <v>0</v>
      </c>
      <c r="J909" s="16">
        <f>IF(NOT(Paths!$C$89=1),0,IF(Paths!$P$89="Complete",IF(IF(Paths!$E$89=0,C909=0,AND(C909&gt;0,Paths!$E$89&gt;(C909-1)*12,Paths!$E$89&lt;=C909*12)),Paths!$H$89,0),"n.a."))</f>
        <v>0</v>
      </c>
      <c r="K909" s="16">
        <f>IF(NOT(Paths!$C$89=1),0,IF(Paths!$P$89="Complete",IF(IF(Paths!$O$89=0,C909=0,AND(C909&gt;0,Paths!$O$89&gt;(C909-1)*12,Paths!$O$89&lt;=C909*12)),Paths!$N$89,0),"n.a."))</f>
        <v>0</v>
      </c>
      <c r="L909" s="16">
        <f>IF(NOT(Paths!$C$89=1),0,IF(Paths!$P$89="Complete",IF(C909=10,Paths!$I$89,0),"n.a."))</f>
        <v>0</v>
      </c>
      <c r="M909" s="16">
        <f>IF(NOT(Paths!$C$89=1),0,IF(Paths!$P$89="Complete",IF(AND(Paths!$D$89="EV",Paths!$E$89&lt;120,Paths!$E$89+'Operating costs'!$B$65&gt;Paths!$E$89,Paths!$E$89+'Operating costs'!$B$65&lt;=120,IF(Paths!$E$89+'Operating costs'!$B$65=0,C909=0,AND(C909&gt;0,Paths!$E$89+'Operating costs'!$B$65&gt;(C909-1)*12,Paths!$E$89+'Operating costs'!$B$65&lt;=C909*12))),'Operating costs'!$B$64,0)+IF(AND('Operating costs'!$B$67&gt;0,'Operating costs'!$B$67&lt;=120,OR(Paths!$D$89="ICE",'Operating costs'!$B$67&lt;=Paths!$E$89),IF('Operating costs'!$B$67=0,C909=0,AND(C909&gt;0,'Operating costs'!$B$67&gt;(C909-1)*12,'Operating costs'!$B$67&lt;=C909*12))),'Operating costs'!$B$66,0),"n.a."))</f>
        <v>0</v>
      </c>
      <c r="N909" s="16">
        <f>IF(NOT(Paths!$C$89=1),0,IF(Paths!$P$89="Complete",SUM(G909:I909)-J909-K909-L909+M909+IF(C909=0,Paths!$F$89,0)+IF(IF(Paths!$E$89=0,C909=0,AND(C909&gt;0,Paths!$E$89&gt;(C909-1)*12,Paths!$E$89&lt;=C909*12)),VLOOKUP(A909,'Fleet register'!$A$7:$S$106,16,FALSE),0),"n.a."))</f>
        <v>0</v>
      </c>
      <c r="O909" s="16">
        <f>IF(NOT(Paths!$C$89=1),0,IF(Paths!$P$89="Complete",N909-IF(C909=0,Paths!$F$89,0),"n.a."))</f>
        <v>0</v>
      </c>
      <c r="P909" s="16">
        <f>IF(NOT(Paths!$C$89=1),0,IF(Paths!$P$89="Complete",O909+L909,"n.a."))</f>
        <v>0</v>
      </c>
      <c r="Q909" s="16">
        <f>IF(NOT(Paths!$C$89=1),0,IF(Paths!$P$89="Complete",N909*(1+'Operating costs'!$B$54)^-C909,"n.a."))</f>
        <v>0</v>
      </c>
      <c r="R909" s="16">
        <f>IF(NOT(Paths!$C$89=1),0,IF(Paths!$P$89="Complete",IF(AND(C909=0,Paths!$E$89=0),I909-J909-K909+VLOOKUP(A909,'Fleet register'!$A$7:$S$106,15,FALSE)+VLOOKUP(A909,'Fleet register'!$A$7:$S$106,16,FALSE),0),"n.a."))</f>
        <v>0</v>
      </c>
      <c r="S909" s="1">
        <f>IF(NOT(Paths!$C$89=1),0,IF(Paths!$P$89="Complete",IF(C909=0,0,Paths!$S$89*Paths!$R$89),"n.a."))</f>
        <v>0</v>
      </c>
      <c r="T909" s="1">
        <f>IF(NOT(Paths!$C$89=1),0,IF(Paths!$P$89="Complete",IF(C909=0,0,VLOOKUP(A909,'Fleet register'!$A$7:$S$106,9,FALSE)*Paths!$R$89),"n.a."))</f>
        <v>0</v>
      </c>
    </row>
    <row r="910" spans="1:20" ht="24" customHeight="1">
      <c r="A910" s="1" t="str">
        <f>Paths!$A$89</f>
        <v>T021</v>
      </c>
      <c r="B910" s="1">
        <f>Paths!$B$89</f>
        <v>2</v>
      </c>
      <c r="C910" s="1">
        <v>1</v>
      </c>
      <c r="D910" s="1">
        <v>89</v>
      </c>
      <c r="E910" s="1">
        <f>IF(OR(Paths!$C$89=0,C910=0),0,MAX(0,MIN(C910*12,Paths!$E$89)-(C910-1)*12))</f>
        <v>0</v>
      </c>
      <c r="F910" s="1">
        <f>IF(OR(Paths!$C$89=0,C910=0),0,12-E910)</f>
        <v>0</v>
      </c>
      <c r="G910" s="16">
        <f>IF(NOT(Paths!$C$89=1),0,IF(Paths!$P$89="Complete",E910/12*(Paths!$J$89*(1+'Operating costs'!$B$51)^MAX(0,C910-1)+Paths!$K$89*(1+'Operating costs'!$B$53)^MAX(0,C910-1)),"n.a."))</f>
        <v>0</v>
      </c>
      <c r="H910" s="16">
        <f>IF(NOT(Paths!$C$89=1),0,IF(Paths!$P$89="Complete",F910/12*(Paths!$L$89*(1+IF(Paths!$D$89="EV",'Operating costs'!$B$52,'Operating costs'!$B$51))^MAX(0,C910-1)+Paths!$M$89*(1+'Operating costs'!$B$53)^MAX(0,C910-1)),"n.a."))</f>
        <v>0</v>
      </c>
      <c r="I910" s="16">
        <f>IF(NOT(Paths!$C$89=1),0,IF(Paths!$P$89="Complete",IF(IF(Paths!$E$89=0,C910=0,AND(C910&gt;0,Paths!$E$89&gt;(C910-1)*12,Paths!$E$89&lt;=C910*12)),Paths!$G$89,0),"n.a."))</f>
        <v>0</v>
      </c>
      <c r="J910" s="16">
        <f>IF(NOT(Paths!$C$89=1),0,IF(Paths!$P$89="Complete",IF(IF(Paths!$E$89=0,C910=0,AND(C910&gt;0,Paths!$E$89&gt;(C910-1)*12,Paths!$E$89&lt;=C910*12)),Paths!$H$89,0),"n.a."))</f>
        <v>0</v>
      </c>
      <c r="K910" s="16">
        <f>IF(NOT(Paths!$C$89=1),0,IF(Paths!$P$89="Complete",IF(IF(Paths!$O$89=0,C910=0,AND(C910&gt;0,Paths!$O$89&gt;(C910-1)*12,Paths!$O$89&lt;=C910*12)),Paths!$N$89,0),"n.a."))</f>
        <v>0</v>
      </c>
      <c r="L910" s="16">
        <f>IF(NOT(Paths!$C$89=1),0,IF(Paths!$P$89="Complete",IF(C910=10,Paths!$I$89,0),"n.a."))</f>
        <v>0</v>
      </c>
      <c r="M910" s="16">
        <f>IF(NOT(Paths!$C$89=1),0,IF(Paths!$P$89="Complete",IF(AND(Paths!$D$89="EV",Paths!$E$89&lt;120,Paths!$E$89+'Operating costs'!$B$65&gt;Paths!$E$89,Paths!$E$89+'Operating costs'!$B$65&lt;=120,IF(Paths!$E$89+'Operating costs'!$B$65=0,C910=0,AND(C910&gt;0,Paths!$E$89+'Operating costs'!$B$65&gt;(C910-1)*12,Paths!$E$89+'Operating costs'!$B$65&lt;=C910*12))),'Operating costs'!$B$64,0)+IF(AND('Operating costs'!$B$67&gt;0,'Operating costs'!$B$67&lt;=120,OR(Paths!$D$89="ICE",'Operating costs'!$B$67&lt;=Paths!$E$89),IF('Operating costs'!$B$67=0,C910=0,AND(C910&gt;0,'Operating costs'!$B$67&gt;(C910-1)*12,'Operating costs'!$B$67&lt;=C910*12))),'Operating costs'!$B$66,0),"n.a."))</f>
        <v>0</v>
      </c>
      <c r="N910" s="16">
        <f>IF(NOT(Paths!$C$89=1),0,IF(Paths!$P$89="Complete",SUM(G910:I910)-J910-K910-L910+M910+IF(C910=0,Paths!$F$89,0)+IF(IF(Paths!$E$89=0,C910=0,AND(C910&gt;0,Paths!$E$89&gt;(C910-1)*12,Paths!$E$89&lt;=C910*12)),VLOOKUP(A910,'Fleet register'!$A$7:$S$106,16,FALSE),0),"n.a."))</f>
        <v>0</v>
      </c>
      <c r="O910" s="16">
        <f>IF(NOT(Paths!$C$89=1),0,IF(Paths!$P$89="Complete",N910-IF(C910=0,Paths!$F$89,0),"n.a."))</f>
        <v>0</v>
      </c>
      <c r="P910" s="16">
        <f>IF(NOT(Paths!$C$89=1),0,IF(Paths!$P$89="Complete",O910+L910,"n.a."))</f>
        <v>0</v>
      </c>
      <c r="Q910" s="16">
        <f>IF(NOT(Paths!$C$89=1),0,IF(Paths!$P$89="Complete",N910*(1+'Operating costs'!$B$54)^-C910,"n.a."))</f>
        <v>0</v>
      </c>
      <c r="R910" s="16">
        <f>IF(NOT(Paths!$C$89=1),0,IF(Paths!$P$89="Complete",IF(AND(C910=0,Paths!$E$89=0),I910-J910-K910+VLOOKUP(A910,'Fleet register'!$A$7:$S$106,15,FALSE)+VLOOKUP(A910,'Fleet register'!$A$7:$S$106,16,FALSE),0),"n.a."))</f>
        <v>0</v>
      </c>
      <c r="S910" s="1">
        <f>IF(NOT(Paths!$C$89=1),0,IF(Paths!$P$89="Complete",IF(C910=0,0,Paths!$S$89*Paths!$R$89),"n.a."))</f>
        <v>0</v>
      </c>
      <c r="T910" s="1">
        <f>IF(NOT(Paths!$C$89=1),0,IF(Paths!$P$89="Complete",IF(C910=0,0,VLOOKUP(A910,'Fleet register'!$A$7:$S$106,9,FALSE)*Paths!$R$89),"n.a."))</f>
        <v>0</v>
      </c>
    </row>
    <row r="911" spans="1:20" ht="24" customHeight="1">
      <c r="A911" s="1" t="str">
        <f>Paths!$A$89</f>
        <v>T021</v>
      </c>
      <c r="B911" s="1">
        <f>Paths!$B$89</f>
        <v>2</v>
      </c>
      <c r="C911" s="1">
        <v>2</v>
      </c>
      <c r="D911" s="1">
        <v>89</v>
      </c>
      <c r="E911" s="1">
        <f>IF(OR(Paths!$C$89=0,C911=0),0,MAX(0,MIN(C911*12,Paths!$E$89)-(C911-1)*12))</f>
        <v>0</v>
      </c>
      <c r="F911" s="1">
        <f>IF(OR(Paths!$C$89=0,C911=0),0,12-E911)</f>
        <v>0</v>
      </c>
      <c r="G911" s="16">
        <f>IF(NOT(Paths!$C$89=1),0,IF(Paths!$P$89="Complete",E911/12*(Paths!$J$89*(1+'Operating costs'!$B$51)^MAX(0,C911-1)+Paths!$K$89*(1+'Operating costs'!$B$53)^MAX(0,C911-1)),"n.a."))</f>
        <v>0</v>
      </c>
      <c r="H911" s="16">
        <f>IF(NOT(Paths!$C$89=1),0,IF(Paths!$P$89="Complete",F911/12*(Paths!$L$89*(1+IF(Paths!$D$89="EV",'Operating costs'!$B$52,'Operating costs'!$B$51))^MAX(0,C911-1)+Paths!$M$89*(1+'Operating costs'!$B$53)^MAX(0,C911-1)),"n.a."))</f>
        <v>0</v>
      </c>
      <c r="I911" s="16">
        <f>IF(NOT(Paths!$C$89=1),0,IF(Paths!$P$89="Complete",IF(IF(Paths!$E$89=0,C911=0,AND(C911&gt;0,Paths!$E$89&gt;(C911-1)*12,Paths!$E$89&lt;=C911*12)),Paths!$G$89,0),"n.a."))</f>
        <v>0</v>
      </c>
      <c r="J911" s="16">
        <f>IF(NOT(Paths!$C$89=1),0,IF(Paths!$P$89="Complete",IF(IF(Paths!$E$89=0,C911=0,AND(C911&gt;0,Paths!$E$89&gt;(C911-1)*12,Paths!$E$89&lt;=C911*12)),Paths!$H$89,0),"n.a."))</f>
        <v>0</v>
      </c>
      <c r="K911" s="16">
        <f>IF(NOT(Paths!$C$89=1),0,IF(Paths!$P$89="Complete",IF(IF(Paths!$O$89=0,C911=0,AND(C911&gt;0,Paths!$O$89&gt;(C911-1)*12,Paths!$O$89&lt;=C911*12)),Paths!$N$89,0),"n.a."))</f>
        <v>0</v>
      </c>
      <c r="L911" s="16">
        <f>IF(NOT(Paths!$C$89=1),0,IF(Paths!$P$89="Complete",IF(C911=10,Paths!$I$89,0),"n.a."))</f>
        <v>0</v>
      </c>
      <c r="M911" s="16">
        <f>IF(NOT(Paths!$C$89=1),0,IF(Paths!$P$89="Complete",IF(AND(Paths!$D$89="EV",Paths!$E$89&lt;120,Paths!$E$89+'Operating costs'!$B$65&gt;Paths!$E$89,Paths!$E$89+'Operating costs'!$B$65&lt;=120,IF(Paths!$E$89+'Operating costs'!$B$65=0,C911=0,AND(C911&gt;0,Paths!$E$89+'Operating costs'!$B$65&gt;(C911-1)*12,Paths!$E$89+'Operating costs'!$B$65&lt;=C911*12))),'Operating costs'!$B$64,0)+IF(AND('Operating costs'!$B$67&gt;0,'Operating costs'!$B$67&lt;=120,OR(Paths!$D$89="ICE",'Operating costs'!$B$67&lt;=Paths!$E$89),IF('Operating costs'!$B$67=0,C911=0,AND(C911&gt;0,'Operating costs'!$B$67&gt;(C911-1)*12,'Operating costs'!$B$67&lt;=C911*12))),'Operating costs'!$B$66,0),"n.a."))</f>
        <v>0</v>
      </c>
      <c r="N911" s="16">
        <f>IF(NOT(Paths!$C$89=1),0,IF(Paths!$P$89="Complete",SUM(G911:I911)-J911-K911-L911+M911+IF(C911=0,Paths!$F$89,0)+IF(IF(Paths!$E$89=0,C911=0,AND(C911&gt;0,Paths!$E$89&gt;(C911-1)*12,Paths!$E$89&lt;=C911*12)),VLOOKUP(A911,'Fleet register'!$A$7:$S$106,16,FALSE),0),"n.a."))</f>
        <v>0</v>
      </c>
      <c r="O911" s="16">
        <f>IF(NOT(Paths!$C$89=1),0,IF(Paths!$P$89="Complete",N911-IF(C911=0,Paths!$F$89,0),"n.a."))</f>
        <v>0</v>
      </c>
      <c r="P911" s="16">
        <f>IF(NOT(Paths!$C$89=1),0,IF(Paths!$P$89="Complete",O911+L911,"n.a."))</f>
        <v>0</v>
      </c>
      <c r="Q911" s="16">
        <f>IF(NOT(Paths!$C$89=1),0,IF(Paths!$P$89="Complete",N911*(1+'Operating costs'!$B$54)^-C911,"n.a."))</f>
        <v>0</v>
      </c>
      <c r="R911" s="16">
        <f>IF(NOT(Paths!$C$89=1),0,IF(Paths!$P$89="Complete",IF(AND(C911=0,Paths!$E$89=0),I911-J911-K911+VLOOKUP(A911,'Fleet register'!$A$7:$S$106,15,FALSE)+VLOOKUP(A911,'Fleet register'!$A$7:$S$106,16,FALSE),0),"n.a."))</f>
        <v>0</v>
      </c>
      <c r="S911" s="1">
        <f>IF(NOT(Paths!$C$89=1),0,IF(Paths!$P$89="Complete",IF(C911=0,0,Paths!$S$89*Paths!$R$89),"n.a."))</f>
        <v>0</v>
      </c>
      <c r="T911" s="1">
        <f>IF(NOT(Paths!$C$89=1),0,IF(Paths!$P$89="Complete",IF(C911=0,0,VLOOKUP(A911,'Fleet register'!$A$7:$S$106,9,FALSE)*Paths!$R$89),"n.a."))</f>
        <v>0</v>
      </c>
    </row>
    <row r="912" spans="1:20" ht="24" customHeight="1">
      <c r="A912" s="1" t="str">
        <f>Paths!$A$89</f>
        <v>T021</v>
      </c>
      <c r="B912" s="1">
        <f>Paths!$B$89</f>
        <v>2</v>
      </c>
      <c r="C912" s="1">
        <v>3</v>
      </c>
      <c r="D912" s="1">
        <v>89</v>
      </c>
      <c r="E912" s="1">
        <f>IF(OR(Paths!$C$89=0,C912=0),0,MAX(0,MIN(C912*12,Paths!$E$89)-(C912-1)*12))</f>
        <v>0</v>
      </c>
      <c r="F912" s="1">
        <f>IF(OR(Paths!$C$89=0,C912=0),0,12-E912)</f>
        <v>0</v>
      </c>
      <c r="G912" s="16">
        <f>IF(NOT(Paths!$C$89=1),0,IF(Paths!$P$89="Complete",E912/12*(Paths!$J$89*(1+'Operating costs'!$B$51)^MAX(0,C912-1)+Paths!$K$89*(1+'Operating costs'!$B$53)^MAX(0,C912-1)),"n.a."))</f>
        <v>0</v>
      </c>
      <c r="H912" s="16">
        <f>IF(NOT(Paths!$C$89=1),0,IF(Paths!$P$89="Complete",F912/12*(Paths!$L$89*(1+IF(Paths!$D$89="EV",'Operating costs'!$B$52,'Operating costs'!$B$51))^MAX(0,C912-1)+Paths!$M$89*(1+'Operating costs'!$B$53)^MAX(0,C912-1)),"n.a."))</f>
        <v>0</v>
      </c>
      <c r="I912" s="16">
        <f>IF(NOT(Paths!$C$89=1),0,IF(Paths!$P$89="Complete",IF(IF(Paths!$E$89=0,C912=0,AND(C912&gt;0,Paths!$E$89&gt;(C912-1)*12,Paths!$E$89&lt;=C912*12)),Paths!$G$89,0),"n.a."))</f>
        <v>0</v>
      </c>
      <c r="J912" s="16">
        <f>IF(NOT(Paths!$C$89=1),0,IF(Paths!$P$89="Complete",IF(IF(Paths!$E$89=0,C912=0,AND(C912&gt;0,Paths!$E$89&gt;(C912-1)*12,Paths!$E$89&lt;=C912*12)),Paths!$H$89,0),"n.a."))</f>
        <v>0</v>
      </c>
      <c r="K912" s="16">
        <f>IF(NOT(Paths!$C$89=1),0,IF(Paths!$P$89="Complete",IF(IF(Paths!$O$89=0,C912=0,AND(C912&gt;0,Paths!$O$89&gt;(C912-1)*12,Paths!$O$89&lt;=C912*12)),Paths!$N$89,0),"n.a."))</f>
        <v>0</v>
      </c>
      <c r="L912" s="16">
        <f>IF(NOT(Paths!$C$89=1),0,IF(Paths!$P$89="Complete",IF(C912=10,Paths!$I$89,0),"n.a."))</f>
        <v>0</v>
      </c>
      <c r="M912" s="16">
        <f>IF(NOT(Paths!$C$89=1),0,IF(Paths!$P$89="Complete",IF(AND(Paths!$D$89="EV",Paths!$E$89&lt;120,Paths!$E$89+'Operating costs'!$B$65&gt;Paths!$E$89,Paths!$E$89+'Operating costs'!$B$65&lt;=120,IF(Paths!$E$89+'Operating costs'!$B$65=0,C912=0,AND(C912&gt;0,Paths!$E$89+'Operating costs'!$B$65&gt;(C912-1)*12,Paths!$E$89+'Operating costs'!$B$65&lt;=C912*12))),'Operating costs'!$B$64,0)+IF(AND('Operating costs'!$B$67&gt;0,'Operating costs'!$B$67&lt;=120,OR(Paths!$D$89="ICE",'Operating costs'!$B$67&lt;=Paths!$E$89),IF('Operating costs'!$B$67=0,C912=0,AND(C912&gt;0,'Operating costs'!$B$67&gt;(C912-1)*12,'Operating costs'!$B$67&lt;=C912*12))),'Operating costs'!$B$66,0),"n.a."))</f>
        <v>0</v>
      </c>
      <c r="N912" s="16">
        <f>IF(NOT(Paths!$C$89=1),0,IF(Paths!$P$89="Complete",SUM(G912:I912)-J912-K912-L912+M912+IF(C912=0,Paths!$F$89,0)+IF(IF(Paths!$E$89=0,C912=0,AND(C912&gt;0,Paths!$E$89&gt;(C912-1)*12,Paths!$E$89&lt;=C912*12)),VLOOKUP(A912,'Fleet register'!$A$7:$S$106,16,FALSE),0),"n.a."))</f>
        <v>0</v>
      </c>
      <c r="O912" s="16">
        <f>IF(NOT(Paths!$C$89=1),0,IF(Paths!$P$89="Complete",N912-IF(C912=0,Paths!$F$89,0),"n.a."))</f>
        <v>0</v>
      </c>
      <c r="P912" s="16">
        <f>IF(NOT(Paths!$C$89=1),0,IF(Paths!$P$89="Complete",O912+L912,"n.a."))</f>
        <v>0</v>
      </c>
      <c r="Q912" s="16">
        <f>IF(NOT(Paths!$C$89=1),0,IF(Paths!$P$89="Complete",N912*(1+'Operating costs'!$B$54)^-C912,"n.a."))</f>
        <v>0</v>
      </c>
      <c r="R912" s="16">
        <f>IF(NOT(Paths!$C$89=1),0,IF(Paths!$P$89="Complete",IF(AND(C912=0,Paths!$E$89=0),I912-J912-K912+VLOOKUP(A912,'Fleet register'!$A$7:$S$106,15,FALSE)+VLOOKUP(A912,'Fleet register'!$A$7:$S$106,16,FALSE),0),"n.a."))</f>
        <v>0</v>
      </c>
      <c r="S912" s="1">
        <f>IF(NOT(Paths!$C$89=1),0,IF(Paths!$P$89="Complete",IF(C912=0,0,Paths!$S$89*Paths!$R$89),"n.a."))</f>
        <v>0</v>
      </c>
      <c r="T912" s="1">
        <f>IF(NOT(Paths!$C$89=1),0,IF(Paths!$P$89="Complete",IF(C912=0,0,VLOOKUP(A912,'Fleet register'!$A$7:$S$106,9,FALSE)*Paths!$R$89),"n.a."))</f>
        <v>0</v>
      </c>
    </row>
    <row r="913" spans="1:20" ht="24" customHeight="1">
      <c r="A913" s="1" t="str">
        <f>Paths!$A$89</f>
        <v>T021</v>
      </c>
      <c r="B913" s="1">
        <f>Paths!$B$89</f>
        <v>2</v>
      </c>
      <c r="C913" s="1">
        <v>4</v>
      </c>
      <c r="D913" s="1">
        <v>89</v>
      </c>
      <c r="E913" s="1">
        <f>IF(OR(Paths!$C$89=0,C913=0),0,MAX(0,MIN(C913*12,Paths!$E$89)-(C913-1)*12))</f>
        <v>0</v>
      </c>
      <c r="F913" s="1">
        <f>IF(OR(Paths!$C$89=0,C913=0),0,12-E913)</f>
        <v>0</v>
      </c>
      <c r="G913" s="16">
        <f>IF(NOT(Paths!$C$89=1),0,IF(Paths!$P$89="Complete",E913/12*(Paths!$J$89*(1+'Operating costs'!$B$51)^MAX(0,C913-1)+Paths!$K$89*(1+'Operating costs'!$B$53)^MAX(0,C913-1)),"n.a."))</f>
        <v>0</v>
      </c>
      <c r="H913" s="16">
        <f>IF(NOT(Paths!$C$89=1),0,IF(Paths!$P$89="Complete",F913/12*(Paths!$L$89*(1+IF(Paths!$D$89="EV",'Operating costs'!$B$52,'Operating costs'!$B$51))^MAX(0,C913-1)+Paths!$M$89*(1+'Operating costs'!$B$53)^MAX(0,C913-1)),"n.a."))</f>
        <v>0</v>
      </c>
      <c r="I913" s="16">
        <f>IF(NOT(Paths!$C$89=1),0,IF(Paths!$P$89="Complete",IF(IF(Paths!$E$89=0,C913=0,AND(C913&gt;0,Paths!$E$89&gt;(C913-1)*12,Paths!$E$89&lt;=C913*12)),Paths!$G$89,0),"n.a."))</f>
        <v>0</v>
      </c>
      <c r="J913" s="16">
        <f>IF(NOT(Paths!$C$89=1),0,IF(Paths!$P$89="Complete",IF(IF(Paths!$E$89=0,C913=0,AND(C913&gt;0,Paths!$E$89&gt;(C913-1)*12,Paths!$E$89&lt;=C913*12)),Paths!$H$89,0),"n.a."))</f>
        <v>0</v>
      </c>
      <c r="K913" s="16">
        <f>IF(NOT(Paths!$C$89=1),0,IF(Paths!$P$89="Complete",IF(IF(Paths!$O$89=0,C913=0,AND(C913&gt;0,Paths!$O$89&gt;(C913-1)*12,Paths!$O$89&lt;=C913*12)),Paths!$N$89,0),"n.a."))</f>
        <v>0</v>
      </c>
      <c r="L913" s="16">
        <f>IF(NOT(Paths!$C$89=1),0,IF(Paths!$P$89="Complete",IF(C913=10,Paths!$I$89,0),"n.a."))</f>
        <v>0</v>
      </c>
      <c r="M913" s="16">
        <f>IF(NOT(Paths!$C$89=1),0,IF(Paths!$P$89="Complete",IF(AND(Paths!$D$89="EV",Paths!$E$89&lt;120,Paths!$E$89+'Operating costs'!$B$65&gt;Paths!$E$89,Paths!$E$89+'Operating costs'!$B$65&lt;=120,IF(Paths!$E$89+'Operating costs'!$B$65=0,C913=0,AND(C913&gt;0,Paths!$E$89+'Operating costs'!$B$65&gt;(C913-1)*12,Paths!$E$89+'Operating costs'!$B$65&lt;=C913*12))),'Operating costs'!$B$64,0)+IF(AND('Operating costs'!$B$67&gt;0,'Operating costs'!$B$67&lt;=120,OR(Paths!$D$89="ICE",'Operating costs'!$B$67&lt;=Paths!$E$89),IF('Operating costs'!$B$67=0,C913=0,AND(C913&gt;0,'Operating costs'!$B$67&gt;(C913-1)*12,'Operating costs'!$B$67&lt;=C913*12))),'Operating costs'!$B$66,0),"n.a."))</f>
        <v>0</v>
      </c>
      <c r="N913" s="16">
        <f>IF(NOT(Paths!$C$89=1),0,IF(Paths!$P$89="Complete",SUM(G913:I913)-J913-K913-L913+M913+IF(C913=0,Paths!$F$89,0)+IF(IF(Paths!$E$89=0,C913=0,AND(C913&gt;0,Paths!$E$89&gt;(C913-1)*12,Paths!$E$89&lt;=C913*12)),VLOOKUP(A913,'Fleet register'!$A$7:$S$106,16,FALSE),0),"n.a."))</f>
        <v>0</v>
      </c>
      <c r="O913" s="16">
        <f>IF(NOT(Paths!$C$89=1),0,IF(Paths!$P$89="Complete",N913-IF(C913=0,Paths!$F$89,0),"n.a."))</f>
        <v>0</v>
      </c>
      <c r="P913" s="16">
        <f>IF(NOT(Paths!$C$89=1),0,IF(Paths!$P$89="Complete",O913+L913,"n.a."))</f>
        <v>0</v>
      </c>
      <c r="Q913" s="16">
        <f>IF(NOT(Paths!$C$89=1),0,IF(Paths!$P$89="Complete",N913*(1+'Operating costs'!$B$54)^-C913,"n.a."))</f>
        <v>0</v>
      </c>
      <c r="R913" s="16">
        <f>IF(NOT(Paths!$C$89=1),0,IF(Paths!$P$89="Complete",IF(AND(C913=0,Paths!$E$89=0),I913-J913-K913+VLOOKUP(A913,'Fleet register'!$A$7:$S$106,15,FALSE)+VLOOKUP(A913,'Fleet register'!$A$7:$S$106,16,FALSE),0),"n.a."))</f>
        <v>0</v>
      </c>
      <c r="S913" s="1">
        <f>IF(NOT(Paths!$C$89=1),0,IF(Paths!$P$89="Complete",IF(C913=0,0,Paths!$S$89*Paths!$R$89),"n.a."))</f>
        <v>0</v>
      </c>
      <c r="T913" s="1">
        <f>IF(NOT(Paths!$C$89=1),0,IF(Paths!$P$89="Complete",IF(C913=0,0,VLOOKUP(A913,'Fleet register'!$A$7:$S$106,9,FALSE)*Paths!$R$89),"n.a."))</f>
        <v>0</v>
      </c>
    </row>
    <row r="914" spans="1:20" ht="24" customHeight="1">
      <c r="A914" s="1" t="str">
        <f>Paths!$A$89</f>
        <v>T021</v>
      </c>
      <c r="B914" s="1">
        <f>Paths!$B$89</f>
        <v>2</v>
      </c>
      <c r="C914" s="1">
        <v>5</v>
      </c>
      <c r="D914" s="1">
        <v>89</v>
      </c>
      <c r="E914" s="1">
        <f>IF(OR(Paths!$C$89=0,C914=0),0,MAX(0,MIN(C914*12,Paths!$E$89)-(C914-1)*12))</f>
        <v>0</v>
      </c>
      <c r="F914" s="1">
        <f>IF(OR(Paths!$C$89=0,C914=0),0,12-E914)</f>
        <v>0</v>
      </c>
      <c r="G914" s="16">
        <f>IF(NOT(Paths!$C$89=1),0,IF(Paths!$P$89="Complete",E914/12*(Paths!$J$89*(1+'Operating costs'!$B$51)^MAX(0,C914-1)+Paths!$K$89*(1+'Operating costs'!$B$53)^MAX(0,C914-1)),"n.a."))</f>
        <v>0</v>
      </c>
      <c r="H914" s="16">
        <f>IF(NOT(Paths!$C$89=1),0,IF(Paths!$P$89="Complete",F914/12*(Paths!$L$89*(1+IF(Paths!$D$89="EV",'Operating costs'!$B$52,'Operating costs'!$B$51))^MAX(0,C914-1)+Paths!$M$89*(1+'Operating costs'!$B$53)^MAX(0,C914-1)),"n.a."))</f>
        <v>0</v>
      </c>
      <c r="I914" s="16">
        <f>IF(NOT(Paths!$C$89=1),0,IF(Paths!$P$89="Complete",IF(IF(Paths!$E$89=0,C914=0,AND(C914&gt;0,Paths!$E$89&gt;(C914-1)*12,Paths!$E$89&lt;=C914*12)),Paths!$G$89,0),"n.a."))</f>
        <v>0</v>
      </c>
      <c r="J914" s="16">
        <f>IF(NOT(Paths!$C$89=1),0,IF(Paths!$P$89="Complete",IF(IF(Paths!$E$89=0,C914=0,AND(C914&gt;0,Paths!$E$89&gt;(C914-1)*12,Paths!$E$89&lt;=C914*12)),Paths!$H$89,0),"n.a."))</f>
        <v>0</v>
      </c>
      <c r="K914" s="16">
        <f>IF(NOT(Paths!$C$89=1),0,IF(Paths!$P$89="Complete",IF(IF(Paths!$O$89=0,C914=0,AND(C914&gt;0,Paths!$O$89&gt;(C914-1)*12,Paths!$O$89&lt;=C914*12)),Paths!$N$89,0),"n.a."))</f>
        <v>0</v>
      </c>
      <c r="L914" s="16">
        <f>IF(NOT(Paths!$C$89=1),0,IF(Paths!$P$89="Complete",IF(C914=10,Paths!$I$89,0),"n.a."))</f>
        <v>0</v>
      </c>
      <c r="M914" s="16">
        <f>IF(NOT(Paths!$C$89=1),0,IF(Paths!$P$89="Complete",IF(AND(Paths!$D$89="EV",Paths!$E$89&lt;120,Paths!$E$89+'Operating costs'!$B$65&gt;Paths!$E$89,Paths!$E$89+'Operating costs'!$B$65&lt;=120,IF(Paths!$E$89+'Operating costs'!$B$65=0,C914=0,AND(C914&gt;0,Paths!$E$89+'Operating costs'!$B$65&gt;(C914-1)*12,Paths!$E$89+'Operating costs'!$B$65&lt;=C914*12))),'Operating costs'!$B$64,0)+IF(AND('Operating costs'!$B$67&gt;0,'Operating costs'!$B$67&lt;=120,OR(Paths!$D$89="ICE",'Operating costs'!$B$67&lt;=Paths!$E$89),IF('Operating costs'!$B$67=0,C914=0,AND(C914&gt;0,'Operating costs'!$B$67&gt;(C914-1)*12,'Operating costs'!$B$67&lt;=C914*12))),'Operating costs'!$B$66,0),"n.a."))</f>
        <v>0</v>
      </c>
      <c r="N914" s="16">
        <f>IF(NOT(Paths!$C$89=1),0,IF(Paths!$P$89="Complete",SUM(G914:I914)-J914-K914-L914+M914+IF(C914=0,Paths!$F$89,0)+IF(IF(Paths!$E$89=0,C914=0,AND(C914&gt;0,Paths!$E$89&gt;(C914-1)*12,Paths!$E$89&lt;=C914*12)),VLOOKUP(A914,'Fleet register'!$A$7:$S$106,16,FALSE),0),"n.a."))</f>
        <v>0</v>
      </c>
      <c r="O914" s="16">
        <f>IF(NOT(Paths!$C$89=1),0,IF(Paths!$P$89="Complete",N914-IF(C914=0,Paths!$F$89,0),"n.a."))</f>
        <v>0</v>
      </c>
      <c r="P914" s="16">
        <f>IF(NOT(Paths!$C$89=1),0,IF(Paths!$P$89="Complete",O914+L914,"n.a."))</f>
        <v>0</v>
      </c>
      <c r="Q914" s="16">
        <f>IF(NOT(Paths!$C$89=1),0,IF(Paths!$P$89="Complete",N914*(1+'Operating costs'!$B$54)^-C914,"n.a."))</f>
        <v>0</v>
      </c>
      <c r="R914" s="16">
        <f>IF(NOT(Paths!$C$89=1),0,IF(Paths!$P$89="Complete",IF(AND(C914=0,Paths!$E$89=0),I914-J914-K914+VLOOKUP(A914,'Fleet register'!$A$7:$S$106,15,FALSE)+VLOOKUP(A914,'Fleet register'!$A$7:$S$106,16,FALSE),0),"n.a."))</f>
        <v>0</v>
      </c>
      <c r="S914" s="1">
        <f>IF(NOT(Paths!$C$89=1),0,IF(Paths!$P$89="Complete",IF(C914=0,0,Paths!$S$89*Paths!$R$89),"n.a."))</f>
        <v>0</v>
      </c>
      <c r="T914" s="1">
        <f>IF(NOT(Paths!$C$89=1),0,IF(Paths!$P$89="Complete",IF(C914=0,0,VLOOKUP(A914,'Fleet register'!$A$7:$S$106,9,FALSE)*Paths!$R$89),"n.a."))</f>
        <v>0</v>
      </c>
    </row>
    <row r="915" spans="1:20" ht="24" customHeight="1">
      <c r="A915" s="1" t="str">
        <f>Paths!$A$89</f>
        <v>T021</v>
      </c>
      <c r="B915" s="1">
        <f>Paths!$B$89</f>
        <v>2</v>
      </c>
      <c r="C915" s="1">
        <v>6</v>
      </c>
      <c r="D915" s="1">
        <v>89</v>
      </c>
      <c r="E915" s="1">
        <f>IF(OR(Paths!$C$89=0,C915=0),0,MAX(0,MIN(C915*12,Paths!$E$89)-(C915-1)*12))</f>
        <v>0</v>
      </c>
      <c r="F915" s="1">
        <f>IF(OR(Paths!$C$89=0,C915=0),0,12-E915)</f>
        <v>0</v>
      </c>
      <c r="G915" s="16">
        <f>IF(NOT(Paths!$C$89=1),0,IF(Paths!$P$89="Complete",E915/12*(Paths!$J$89*(1+'Operating costs'!$B$51)^MAX(0,C915-1)+Paths!$K$89*(1+'Operating costs'!$B$53)^MAX(0,C915-1)),"n.a."))</f>
        <v>0</v>
      </c>
      <c r="H915" s="16">
        <f>IF(NOT(Paths!$C$89=1),0,IF(Paths!$P$89="Complete",F915/12*(Paths!$L$89*(1+IF(Paths!$D$89="EV",'Operating costs'!$B$52,'Operating costs'!$B$51))^MAX(0,C915-1)+Paths!$M$89*(1+'Operating costs'!$B$53)^MAX(0,C915-1)),"n.a."))</f>
        <v>0</v>
      </c>
      <c r="I915" s="16">
        <f>IF(NOT(Paths!$C$89=1),0,IF(Paths!$P$89="Complete",IF(IF(Paths!$E$89=0,C915=0,AND(C915&gt;0,Paths!$E$89&gt;(C915-1)*12,Paths!$E$89&lt;=C915*12)),Paths!$G$89,0),"n.a."))</f>
        <v>0</v>
      </c>
      <c r="J915" s="16">
        <f>IF(NOT(Paths!$C$89=1),0,IF(Paths!$P$89="Complete",IF(IF(Paths!$E$89=0,C915=0,AND(C915&gt;0,Paths!$E$89&gt;(C915-1)*12,Paths!$E$89&lt;=C915*12)),Paths!$H$89,0),"n.a."))</f>
        <v>0</v>
      </c>
      <c r="K915" s="16">
        <f>IF(NOT(Paths!$C$89=1),0,IF(Paths!$P$89="Complete",IF(IF(Paths!$O$89=0,C915=0,AND(C915&gt;0,Paths!$O$89&gt;(C915-1)*12,Paths!$O$89&lt;=C915*12)),Paths!$N$89,0),"n.a."))</f>
        <v>0</v>
      </c>
      <c r="L915" s="16">
        <f>IF(NOT(Paths!$C$89=1),0,IF(Paths!$P$89="Complete",IF(C915=10,Paths!$I$89,0),"n.a."))</f>
        <v>0</v>
      </c>
      <c r="M915" s="16">
        <f>IF(NOT(Paths!$C$89=1),0,IF(Paths!$P$89="Complete",IF(AND(Paths!$D$89="EV",Paths!$E$89&lt;120,Paths!$E$89+'Operating costs'!$B$65&gt;Paths!$E$89,Paths!$E$89+'Operating costs'!$B$65&lt;=120,IF(Paths!$E$89+'Operating costs'!$B$65=0,C915=0,AND(C915&gt;0,Paths!$E$89+'Operating costs'!$B$65&gt;(C915-1)*12,Paths!$E$89+'Operating costs'!$B$65&lt;=C915*12))),'Operating costs'!$B$64,0)+IF(AND('Operating costs'!$B$67&gt;0,'Operating costs'!$B$67&lt;=120,OR(Paths!$D$89="ICE",'Operating costs'!$B$67&lt;=Paths!$E$89),IF('Operating costs'!$B$67=0,C915=0,AND(C915&gt;0,'Operating costs'!$B$67&gt;(C915-1)*12,'Operating costs'!$B$67&lt;=C915*12))),'Operating costs'!$B$66,0),"n.a."))</f>
        <v>0</v>
      </c>
      <c r="N915" s="16">
        <f>IF(NOT(Paths!$C$89=1),0,IF(Paths!$P$89="Complete",SUM(G915:I915)-J915-K915-L915+M915+IF(C915=0,Paths!$F$89,0)+IF(IF(Paths!$E$89=0,C915=0,AND(C915&gt;0,Paths!$E$89&gt;(C915-1)*12,Paths!$E$89&lt;=C915*12)),VLOOKUP(A915,'Fleet register'!$A$7:$S$106,16,FALSE),0),"n.a."))</f>
        <v>0</v>
      </c>
      <c r="O915" s="16">
        <f>IF(NOT(Paths!$C$89=1),0,IF(Paths!$P$89="Complete",N915-IF(C915=0,Paths!$F$89,0),"n.a."))</f>
        <v>0</v>
      </c>
      <c r="P915" s="16">
        <f>IF(NOT(Paths!$C$89=1),0,IF(Paths!$P$89="Complete",O915+L915,"n.a."))</f>
        <v>0</v>
      </c>
      <c r="Q915" s="16">
        <f>IF(NOT(Paths!$C$89=1),0,IF(Paths!$P$89="Complete",N915*(1+'Operating costs'!$B$54)^-C915,"n.a."))</f>
        <v>0</v>
      </c>
      <c r="R915" s="16">
        <f>IF(NOT(Paths!$C$89=1),0,IF(Paths!$P$89="Complete",IF(AND(C915=0,Paths!$E$89=0),I915-J915-K915+VLOOKUP(A915,'Fleet register'!$A$7:$S$106,15,FALSE)+VLOOKUP(A915,'Fleet register'!$A$7:$S$106,16,FALSE),0),"n.a."))</f>
        <v>0</v>
      </c>
      <c r="S915" s="1">
        <f>IF(NOT(Paths!$C$89=1),0,IF(Paths!$P$89="Complete",IF(C915=0,0,Paths!$S$89*Paths!$R$89),"n.a."))</f>
        <v>0</v>
      </c>
      <c r="T915" s="1">
        <f>IF(NOT(Paths!$C$89=1),0,IF(Paths!$P$89="Complete",IF(C915=0,0,VLOOKUP(A915,'Fleet register'!$A$7:$S$106,9,FALSE)*Paths!$R$89),"n.a."))</f>
        <v>0</v>
      </c>
    </row>
    <row r="916" spans="1:20" ht="24" customHeight="1">
      <c r="A916" s="1" t="str">
        <f>Paths!$A$89</f>
        <v>T021</v>
      </c>
      <c r="B916" s="1">
        <f>Paths!$B$89</f>
        <v>2</v>
      </c>
      <c r="C916" s="1">
        <v>7</v>
      </c>
      <c r="D916" s="1">
        <v>89</v>
      </c>
      <c r="E916" s="1">
        <f>IF(OR(Paths!$C$89=0,C916=0),0,MAX(0,MIN(C916*12,Paths!$E$89)-(C916-1)*12))</f>
        <v>0</v>
      </c>
      <c r="F916" s="1">
        <f>IF(OR(Paths!$C$89=0,C916=0),0,12-E916)</f>
        <v>0</v>
      </c>
      <c r="G916" s="16">
        <f>IF(NOT(Paths!$C$89=1),0,IF(Paths!$P$89="Complete",E916/12*(Paths!$J$89*(1+'Operating costs'!$B$51)^MAX(0,C916-1)+Paths!$K$89*(1+'Operating costs'!$B$53)^MAX(0,C916-1)),"n.a."))</f>
        <v>0</v>
      </c>
      <c r="H916" s="16">
        <f>IF(NOT(Paths!$C$89=1),0,IF(Paths!$P$89="Complete",F916/12*(Paths!$L$89*(1+IF(Paths!$D$89="EV",'Operating costs'!$B$52,'Operating costs'!$B$51))^MAX(0,C916-1)+Paths!$M$89*(1+'Operating costs'!$B$53)^MAX(0,C916-1)),"n.a."))</f>
        <v>0</v>
      </c>
      <c r="I916" s="16">
        <f>IF(NOT(Paths!$C$89=1),0,IF(Paths!$P$89="Complete",IF(IF(Paths!$E$89=0,C916=0,AND(C916&gt;0,Paths!$E$89&gt;(C916-1)*12,Paths!$E$89&lt;=C916*12)),Paths!$G$89,0),"n.a."))</f>
        <v>0</v>
      </c>
      <c r="J916" s="16">
        <f>IF(NOT(Paths!$C$89=1),0,IF(Paths!$P$89="Complete",IF(IF(Paths!$E$89=0,C916=0,AND(C916&gt;0,Paths!$E$89&gt;(C916-1)*12,Paths!$E$89&lt;=C916*12)),Paths!$H$89,0),"n.a."))</f>
        <v>0</v>
      </c>
      <c r="K916" s="16">
        <f>IF(NOT(Paths!$C$89=1),0,IF(Paths!$P$89="Complete",IF(IF(Paths!$O$89=0,C916=0,AND(C916&gt;0,Paths!$O$89&gt;(C916-1)*12,Paths!$O$89&lt;=C916*12)),Paths!$N$89,0),"n.a."))</f>
        <v>0</v>
      </c>
      <c r="L916" s="16">
        <f>IF(NOT(Paths!$C$89=1),0,IF(Paths!$P$89="Complete",IF(C916=10,Paths!$I$89,0),"n.a."))</f>
        <v>0</v>
      </c>
      <c r="M916" s="16">
        <f>IF(NOT(Paths!$C$89=1),0,IF(Paths!$P$89="Complete",IF(AND(Paths!$D$89="EV",Paths!$E$89&lt;120,Paths!$E$89+'Operating costs'!$B$65&gt;Paths!$E$89,Paths!$E$89+'Operating costs'!$B$65&lt;=120,IF(Paths!$E$89+'Operating costs'!$B$65=0,C916=0,AND(C916&gt;0,Paths!$E$89+'Operating costs'!$B$65&gt;(C916-1)*12,Paths!$E$89+'Operating costs'!$B$65&lt;=C916*12))),'Operating costs'!$B$64,0)+IF(AND('Operating costs'!$B$67&gt;0,'Operating costs'!$B$67&lt;=120,OR(Paths!$D$89="ICE",'Operating costs'!$B$67&lt;=Paths!$E$89),IF('Operating costs'!$B$67=0,C916=0,AND(C916&gt;0,'Operating costs'!$B$67&gt;(C916-1)*12,'Operating costs'!$B$67&lt;=C916*12))),'Operating costs'!$B$66,0),"n.a."))</f>
        <v>0</v>
      </c>
      <c r="N916" s="16">
        <f>IF(NOT(Paths!$C$89=1),0,IF(Paths!$P$89="Complete",SUM(G916:I916)-J916-K916-L916+M916+IF(C916=0,Paths!$F$89,0)+IF(IF(Paths!$E$89=0,C916=0,AND(C916&gt;0,Paths!$E$89&gt;(C916-1)*12,Paths!$E$89&lt;=C916*12)),VLOOKUP(A916,'Fleet register'!$A$7:$S$106,16,FALSE),0),"n.a."))</f>
        <v>0</v>
      </c>
      <c r="O916" s="16">
        <f>IF(NOT(Paths!$C$89=1),0,IF(Paths!$P$89="Complete",N916-IF(C916=0,Paths!$F$89,0),"n.a."))</f>
        <v>0</v>
      </c>
      <c r="P916" s="16">
        <f>IF(NOT(Paths!$C$89=1),0,IF(Paths!$P$89="Complete",O916+L916,"n.a."))</f>
        <v>0</v>
      </c>
      <c r="Q916" s="16">
        <f>IF(NOT(Paths!$C$89=1),0,IF(Paths!$P$89="Complete",N916*(1+'Operating costs'!$B$54)^-C916,"n.a."))</f>
        <v>0</v>
      </c>
      <c r="R916" s="16">
        <f>IF(NOT(Paths!$C$89=1),0,IF(Paths!$P$89="Complete",IF(AND(C916=0,Paths!$E$89=0),I916-J916-K916+VLOOKUP(A916,'Fleet register'!$A$7:$S$106,15,FALSE)+VLOOKUP(A916,'Fleet register'!$A$7:$S$106,16,FALSE),0),"n.a."))</f>
        <v>0</v>
      </c>
      <c r="S916" s="1">
        <f>IF(NOT(Paths!$C$89=1),0,IF(Paths!$P$89="Complete",IF(C916=0,0,Paths!$S$89*Paths!$R$89),"n.a."))</f>
        <v>0</v>
      </c>
      <c r="T916" s="1">
        <f>IF(NOT(Paths!$C$89=1),0,IF(Paths!$P$89="Complete",IF(C916=0,0,VLOOKUP(A916,'Fleet register'!$A$7:$S$106,9,FALSE)*Paths!$R$89),"n.a."))</f>
        <v>0</v>
      </c>
    </row>
    <row r="917" spans="1:20" ht="24" customHeight="1">
      <c r="A917" s="1" t="str">
        <f>Paths!$A$89</f>
        <v>T021</v>
      </c>
      <c r="B917" s="1">
        <f>Paths!$B$89</f>
        <v>2</v>
      </c>
      <c r="C917" s="1">
        <v>8</v>
      </c>
      <c r="D917" s="1">
        <v>89</v>
      </c>
      <c r="E917" s="1">
        <f>IF(OR(Paths!$C$89=0,C917=0),0,MAX(0,MIN(C917*12,Paths!$E$89)-(C917-1)*12))</f>
        <v>0</v>
      </c>
      <c r="F917" s="1">
        <f>IF(OR(Paths!$C$89=0,C917=0),0,12-E917)</f>
        <v>0</v>
      </c>
      <c r="G917" s="16">
        <f>IF(NOT(Paths!$C$89=1),0,IF(Paths!$P$89="Complete",E917/12*(Paths!$J$89*(1+'Operating costs'!$B$51)^MAX(0,C917-1)+Paths!$K$89*(1+'Operating costs'!$B$53)^MAX(0,C917-1)),"n.a."))</f>
        <v>0</v>
      </c>
      <c r="H917" s="16">
        <f>IF(NOT(Paths!$C$89=1),0,IF(Paths!$P$89="Complete",F917/12*(Paths!$L$89*(1+IF(Paths!$D$89="EV",'Operating costs'!$B$52,'Operating costs'!$B$51))^MAX(0,C917-1)+Paths!$M$89*(1+'Operating costs'!$B$53)^MAX(0,C917-1)),"n.a."))</f>
        <v>0</v>
      </c>
      <c r="I917" s="16">
        <f>IF(NOT(Paths!$C$89=1),0,IF(Paths!$P$89="Complete",IF(IF(Paths!$E$89=0,C917=0,AND(C917&gt;0,Paths!$E$89&gt;(C917-1)*12,Paths!$E$89&lt;=C917*12)),Paths!$G$89,0),"n.a."))</f>
        <v>0</v>
      </c>
      <c r="J917" s="16">
        <f>IF(NOT(Paths!$C$89=1),0,IF(Paths!$P$89="Complete",IF(IF(Paths!$E$89=0,C917=0,AND(C917&gt;0,Paths!$E$89&gt;(C917-1)*12,Paths!$E$89&lt;=C917*12)),Paths!$H$89,0),"n.a."))</f>
        <v>0</v>
      </c>
      <c r="K917" s="16">
        <f>IF(NOT(Paths!$C$89=1),0,IF(Paths!$P$89="Complete",IF(IF(Paths!$O$89=0,C917=0,AND(C917&gt;0,Paths!$O$89&gt;(C917-1)*12,Paths!$O$89&lt;=C917*12)),Paths!$N$89,0),"n.a."))</f>
        <v>0</v>
      </c>
      <c r="L917" s="16">
        <f>IF(NOT(Paths!$C$89=1),0,IF(Paths!$P$89="Complete",IF(C917=10,Paths!$I$89,0),"n.a."))</f>
        <v>0</v>
      </c>
      <c r="M917" s="16">
        <f>IF(NOT(Paths!$C$89=1),0,IF(Paths!$P$89="Complete",IF(AND(Paths!$D$89="EV",Paths!$E$89&lt;120,Paths!$E$89+'Operating costs'!$B$65&gt;Paths!$E$89,Paths!$E$89+'Operating costs'!$B$65&lt;=120,IF(Paths!$E$89+'Operating costs'!$B$65=0,C917=0,AND(C917&gt;0,Paths!$E$89+'Operating costs'!$B$65&gt;(C917-1)*12,Paths!$E$89+'Operating costs'!$B$65&lt;=C917*12))),'Operating costs'!$B$64,0)+IF(AND('Operating costs'!$B$67&gt;0,'Operating costs'!$B$67&lt;=120,OR(Paths!$D$89="ICE",'Operating costs'!$B$67&lt;=Paths!$E$89),IF('Operating costs'!$B$67=0,C917=0,AND(C917&gt;0,'Operating costs'!$B$67&gt;(C917-1)*12,'Operating costs'!$B$67&lt;=C917*12))),'Operating costs'!$B$66,0),"n.a."))</f>
        <v>0</v>
      </c>
      <c r="N917" s="16">
        <f>IF(NOT(Paths!$C$89=1),0,IF(Paths!$P$89="Complete",SUM(G917:I917)-J917-K917-L917+M917+IF(C917=0,Paths!$F$89,0)+IF(IF(Paths!$E$89=0,C917=0,AND(C917&gt;0,Paths!$E$89&gt;(C917-1)*12,Paths!$E$89&lt;=C917*12)),VLOOKUP(A917,'Fleet register'!$A$7:$S$106,16,FALSE),0),"n.a."))</f>
        <v>0</v>
      </c>
      <c r="O917" s="16">
        <f>IF(NOT(Paths!$C$89=1),0,IF(Paths!$P$89="Complete",N917-IF(C917=0,Paths!$F$89,0),"n.a."))</f>
        <v>0</v>
      </c>
      <c r="P917" s="16">
        <f>IF(NOT(Paths!$C$89=1),0,IF(Paths!$P$89="Complete",O917+L917,"n.a."))</f>
        <v>0</v>
      </c>
      <c r="Q917" s="16">
        <f>IF(NOT(Paths!$C$89=1),0,IF(Paths!$P$89="Complete",N917*(1+'Operating costs'!$B$54)^-C917,"n.a."))</f>
        <v>0</v>
      </c>
      <c r="R917" s="16">
        <f>IF(NOT(Paths!$C$89=1),0,IF(Paths!$P$89="Complete",IF(AND(C917=0,Paths!$E$89=0),I917-J917-K917+VLOOKUP(A917,'Fleet register'!$A$7:$S$106,15,FALSE)+VLOOKUP(A917,'Fleet register'!$A$7:$S$106,16,FALSE),0),"n.a."))</f>
        <v>0</v>
      </c>
      <c r="S917" s="1">
        <f>IF(NOT(Paths!$C$89=1),0,IF(Paths!$P$89="Complete",IF(C917=0,0,Paths!$S$89*Paths!$R$89),"n.a."))</f>
        <v>0</v>
      </c>
      <c r="T917" s="1">
        <f>IF(NOT(Paths!$C$89=1),0,IF(Paths!$P$89="Complete",IF(C917=0,0,VLOOKUP(A917,'Fleet register'!$A$7:$S$106,9,FALSE)*Paths!$R$89),"n.a."))</f>
        <v>0</v>
      </c>
    </row>
    <row r="918" spans="1:20" ht="24" customHeight="1">
      <c r="A918" s="1" t="str">
        <f>Paths!$A$89</f>
        <v>T021</v>
      </c>
      <c r="B918" s="1">
        <f>Paths!$B$89</f>
        <v>2</v>
      </c>
      <c r="C918" s="1">
        <v>9</v>
      </c>
      <c r="D918" s="1">
        <v>89</v>
      </c>
      <c r="E918" s="1">
        <f>IF(OR(Paths!$C$89=0,C918=0),0,MAX(0,MIN(C918*12,Paths!$E$89)-(C918-1)*12))</f>
        <v>0</v>
      </c>
      <c r="F918" s="1">
        <f>IF(OR(Paths!$C$89=0,C918=0),0,12-E918)</f>
        <v>0</v>
      </c>
      <c r="G918" s="16">
        <f>IF(NOT(Paths!$C$89=1),0,IF(Paths!$P$89="Complete",E918/12*(Paths!$J$89*(1+'Operating costs'!$B$51)^MAX(0,C918-1)+Paths!$K$89*(1+'Operating costs'!$B$53)^MAX(0,C918-1)),"n.a."))</f>
        <v>0</v>
      </c>
      <c r="H918" s="16">
        <f>IF(NOT(Paths!$C$89=1),0,IF(Paths!$P$89="Complete",F918/12*(Paths!$L$89*(1+IF(Paths!$D$89="EV",'Operating costs'!$B$52,'Operating costs'!$B$51))^MAX(0,C918-1)+Paths!$M$89*(1+'Operating costs'!$B$53)^MAX(0,C918-1)),"n.a."))</f>
        <v>0</v>
      </c>
      <c r="I918" s="16">
        <f>IF(NOT(Paths!$C$89=1),0,IF(Paths!$P$89="Complete",IF(IF(Paths!$E$89=0,C918=0,AND(C918&gt;0,Paths!$E$89&gt;(C918-1)*12,Paths!$E$89&lt;=C918*12)),Paths!$G$89,0),"n.a."))</f>
        <v>0</v>
      </c>
      <c r="J918" s="16">
        <f>IF(NOT(Paths!$C$89=1),0,IF(Paths!$P$89="Complete",IF(IF(Paths!$E$89=0,C918=0,AND(C918&gt;0,Paths!$E$89&gt;(C918-1)*12,Paths!$E$89&lt;=C918*12)),Paths!$H$89,0),"n.a."))</f>
        <v>0</v>
      </c>
      <c r="K918" s="16">
        <f>IF(NOT(Paths!$C$89=1),0,IF(Paths!$P$89="Complete",IF(IF(Paths!$O$89=0,C918=0,AND(C918&gt;0,Paths!$O$89&gt;(C918-1)*12,Paths!$O$89&lt;=C918*12)),Paths!$N$89,0),"n.a."))</f>
        <v>0</v>
      </c>
      <c r="L918" s="16">
        <f>IF(NOT(Paths!$C$89=1),0,IF(Paths!$P$89="Complete",IF(C918=10,Paths!$I$89,0),"n.a."))</f>
        <v>0</v>
      </c>
      <c r="M918" s="16">
        <f>IF(NOT(Paths!$C$89=1),0,IF(Paths!$P$89="Complete",IF(AND(Paths!$D$89="EV",Paths!$E$89&lt;120,Paths!$E$89+'Operating costs'!$B$65&gt;Paths!$E$89,Paths!$E$89+'Operating costs'!$B$65&lt;=120,IF(Paths!$E$89+'Operating costs'!$B$65=0,C918=0,AND(C918&gt;0,Paths!$E$89+'Operating costs'!$B$65&gt;(C918-1)*12,Paths!$E$89+'Operating costs'!$B$65&lt;=C918*12))),'Operating costs'!$B$64,0)+IF(AND('Operating costs'!$B$67&gt;0,'Operating costs'!$B$67&lt;=120,OR(Paths!$D$89="ICE",'Operating costs'!$B$67&lt;=Paths!$E$89),IF('Operating costs'!$B$67=0,C918=0,AND(C918&gt;0,'Operating costs'!$B$67&gt;(C918-1)*12,'Operating costs'!$B$67&lt;=C918*12))),'Operating costs'!$B$66,0),"n.a."))</f>
        <v>0</v>
      </c>
      <c r="N918" s="16">
        <f>IF(NOT(Paths!$C$89=1),0,IF(Paths!$P$89="Complete",SUM(G918:I918)-J918-K918-L918+M918+IF(C918=0,Paths!$F$89,0)+IF(IF(Paths!$E$89=0,C918=0,AND(C918&gt;0,Paths!$E$89&gt;(C918-1)*12,Paths!$E$89&lt;=C918*12)),VLOOKUP(A918,'Fleet register'!$A$7:$S$106,16,FALSE),0),"n.a."))</f>
        <v>0</v>
      </c>
      <c r="O918" s="16">
        <f>IF(NOT(Paths!$C$89=1),0,IF(Paths!$P$89="Complete",N918-IF(C918=0,Paths!$F$89,0),"n.a."))</f>
        <v>0</v>
      </c>
      <c r="P918" s="16">
        <f>IF(NOT(Paths!$C$89=1),0,IF(Paths!$P$89="Complete",O918+L918,"n.a."))</f>
        <v>0</v>
      </c>
      <c r="Q918" s="16">
        <f>IF(NOT(Paths!$C$89=1),0,IF(Paths!$P$89="Complete",N918*(1+'Operating costs'!$B$54)^-C918,"n.a."))</f>
        <v>0</v>
      </c>
      <c r="R918" s="16">
        <f>IF(NOT(Paths!$C$89=1),0,IF(Paths!$P$89="Complete",IF(AND(C918=0,Paths!$E$89=0),I918-J918-K918+VLOOKUP(A918,'Fleet register'!$A$7:$S$106,15,FALSE)+VLOOKUP(A918,'Fleet register'!$A$7:$S$106,16,FALSE),0),"n.a."))</f>
        <v>0</v>
      </c>
      <c r="S918" s="1">
        <f>IF(NOT(Paths!$C$89=1),0,IF(Paths!$P$89="Complete",IF(C918=0,0,Paths!$S$89*Paths!$R$89),"n.a."))</f>
        <v>0</v>
      </c>
      <c r="T918" s="1">
        <f>IF(NOT(Paths!$C$89=1),0,IF(Paths!$P$89="Complete",IF(C918=0,0,VLOOKUP(A918,'Fleet register'!$A$7:$S$106,9,FALSE)*Paths!$R$89),"n.a."))</f>
        <v>0</v>
      </c>
    </row>
    <row r="919" spans="1:20" ht="24" customHeight="1">
      <c r="A919" s="1" t="str">
        <f>Paths!$A$89</f>
        <v>T021</v>
      </c>
      <c r="B919" s="1">
        <f>Paths!$B$89</f>
        <v>2</v>
      </c>
      <c r="C919" s="1">
        <v>10</v>
      </c>
      <c r="D919" s="1">
        <v>89</v>
      </c>
      <c r="E919" s="1">
        <f>IF(OR(Paths!$C$89=0,C919=0),0,MAX(0,MIN(C919*12,Paths!$E$89)-(C919-1)*12))</f>
        <v>0</v>
      </c>
      <c r="F919" s="1">
        <f>IF(OR(Paths!$C$89=0,C919=0),0,12-E919)</f>
        <v>0</v>
      </c>
      <c r="G919" s="16">
        <f>IF(NOT(Paths!$C$89=1),0,IF(Paths!$P$89="Complete",E919/12*(Paths!$J$89*(1+'Operating costs'!$B$51)^MAX(0,C919-1)+Paths!$K$89*(1+'Operating costs'!$B$53)^MAX(0,C919-1)),"n.a."))</f>
        <v>0</v>
      </c>
      <c r="H919" s="16">
        <f>IF(NOT(Paths!$C$89=1),0,IF(Paths!$P$89="Complete",F919/12*(Paths!$L$89*(1+IF(Paths!$D$89="EV",'Operating costs'!$B$52,'Operating costs'!$B$51))^MAX(0,C919-1)+Paths!$M$89*(1+'Operating costs'!$B$53)^MAX(0,C919-1)),"n.a."))</f>
        <v>0</v>
      </c>
      <c r="I919" s="16">
        <f>IF(NOT(Paths!$C$89=1),0,IF(Paths!$P$89="Complete",IF(IF(Paths!$E$89=0,C919=0,AND(C919&gt;0,Paths!$E$89&gt;(C919-1)*12,Paths!$E$89&lt;=C919*12)),Paths!$G$89,0),"n.a."))</f>
        <v>0</v>
      </c>
      <c r="J919" s="16">
        <f>IF(NOT(Paths!$C$89=1),0,IF(Paths!$P$89="Complete",IF(IF(Paths!$E$89=0,C919=0,AND(C919&gt;0,Paths!$E$89&gt;(C919-1)*12,Paths!$E$89&lt;=C919*12)),Paths!$H$89,0),"n.a."))</f>
        <v>0</v>
      </c>
      <c r="K919" s="16">
        <f>IF(NOT(Paths!$C$89=1),0,IF(Paths!$P$89="Complete",IF(IF(Paths!$O$89=0,C919=0,AND(C919&gt;0,Paths!$O$89&gt;(C919-1)*12,Paths!$O$89&lt;=C919*12)),Paths!$N$89,0),"n.a."))</f>
        <v>0</v>
      </c>
      <c r="L919" s="16">
        <f>IF(NOT(Paths!$C$89=1),0,IF(Paths!$P$89="Complete",IF(C919=10,Paths!$I$89,0),"n.a."))</f>
        <v>0</v>
      </c>
      <c r="M919" s="16">
        <f>IF(NOT(Paths!$C$89=1),0,IF(Paths!$P$89="Complete",IF(AND(Paths!$D$89="EV",Paths!$E$89&lt;120,Paths!$E$89+'Operating costs'!$B$65&gt;Paths!$E$89,Paths!$E$89+'Operating costs'!$B$65&lt;=120,IF(Paths!$E$89+'Operating costs'!$B$65=0,C919=0,AND(C919&gt;0,Paths!$E$89+'Operating costs'!$B$65&gt;(C919-1)*12,Paths!$E$89+'Operating costs'!$B$65&lt;=C919*12))),'Operating costs'!$B$64,0)+IF(AND('Operating costs'!$B$67&gt;0,'Operating costs'!$B$67&lt;=120,OR(Paths!$D$89="ICE",'Operating costs'!$B$67&lt;=Paths!$E$89),IF('Operating costs'!$B$67=0,C919=0,AND(C919&gt;0,'Operating costs'!$B$67&gt;(C919-1)*12,'Operating costs'!$B$67&lt;=C919*12))),'Operating costs'!$B$66,0),"n.a."))</f>
        <v>0</v>
      </c>
      <c r="N919" s="16">
        <f>IF(NOT(Paths!$C$89=1),0,IF(Paths!$P$89="Complete",SUM(G919:I919)-J919-K919-L919+M919+IF(C919=0,Paths!$F$89,0)+IF(IF(Paths!$E$89=0,C919=0,AND(C919&gt;0,Paths!$E$89&gt;(C919-1)*12,Paths!$E$89&lt;=C919*12)),VLOOKUP(A919,'Fleet register'!$A$7:$S$106,16,FALSE),0),"n.a."))</f>
        <v>0</v>
      </c>
      <c r="O919" s="16">
        <f>IF(NOT(Paths!$C$89=1),0,IF(Paths!$P$89="Complete",N919-IF(C919=0,Paths!$F$89,0),"n.a."))</f>
        <v>0</v>
      </c>
      <c r="P919" s="16">
        <f>IF(NOT(Paths!$C$89=1),0,IF(Paths!$P$89="Complete",O919+L919,"n.a."))</f>
        <v>0</v>
      </c>
      <c r="Q919" s="16">
        <f>IF(NOT(Paths!$C$89=1),0,IF(Paths!$P$89="Complete",N919*(1+'Operating costs'!$B$54)^-C919,"n.a."))</f>
        <v>0</v>
      </c>
      <c r="R919" s="16">
        <f>IF(NOT(Paths!$C$89=1),0,IF(Paths!$P$89="Complete",IF(AND(C919=0,Paths!$E$89=0),I919-J919-K919+VLOOKUP(A919,'Fleet register'!$A$7:$S$106,15,FALSE)+VLOOKUP(A919,'Fleet register'!$A$7:$S$106,16,FALSE),0),"n.a."))</f>
        <v>0</v>
      </c>
      <c r="S919" s="1">
        <f>IF(NOT(Paths!$C$89=1),0,IF(Paths!$P$89="Complete",IF(C919=0,0,Paths!$S$89*Paths!$R$89),"n.a."))</f>
        <v>0</v>
      </c>
      <c r="T919" s="1">
        <f>IF(NOT(Paths!$C$89=1),0,IF(Paths!$P$89="Complete",IF(C919=0,0,VLOOKUP(A919,'Fleet register'!$A$7:$S$106,9,FALSE)*Paths!$R$89),"n.a."))</f>
        <v>0</v>
      </c>
    </row>
    <row r="920" spans="1:20" ht="24" customHeight="1">
      <c r="A920" s="1" t="str">
        <f>Paths!$A$90</f>
        <v>T021</v>
      </c>
      <c r="B920" s="1">
        <f>Paths!$B$90</f>
        <v>3</v>
      </c>
      <c r="C920" s="1">
        <v>0</v>
      </c>
      <c r="D920" s="1">
        <v>90</v>
      </c>
      <c r="E920" s="1">
        <f>IF(OR(Paths!$C$90=0,C920=0),0,MAX(0,MIN(C920*12,Paths!$E$90)-(C920-1)*12))</f>
        <v>0</v>
      </c>
      <c r="F920" s="1">
        <f>IF(OR(Paths!$C$90=0,C920=0),0,12-E920)</f>
        <v>0</v>
      </c>
      <c r="G920" s="16">
        <f>IF(NOT(Paths!$C$90=1),0,IF(Paths!$P$90="Complete",E920/12*(Paths!$J$90*(1+'Operating costs'!$B$51)^MAX(0,C920-1)+Paths!$K$90*(1+'Operating costs'!$B$53)^MAX(0,C920-1)),"n.a."))</f>
        <v>0</v>
      </c>
      <c r="H920" s="16">
        <f>IF(NOT(Paths!$C$90=1),0,IF(Paths!$P$90="Complete",F920/12*(Paths!$L$90*(1+IF(Paths!$D$90="EV",'Operating costs'!$B$52,'Operating costs'!$B$51))^MAX(0,C920-1)+Paths!$M$90*(1+'Operating costs'!$B$53)^MAX(0,C920-1)),"n.a."))</f>
        <v>0</v>
      </c>
      <c r="I920" s="16">
        <f>IF(NOT(Paths!$C$90=1),0,IF(Paths!$P$90="Complete",IF(IF(Paths!$E$90=0,C920=0,AND(C920&gt;0,Paths!$E$90&gt;(C920-1)*12,Paths!$E$90&lt;=C920*12)),Paths!$G$90,0),"n.a."))</f>
        <v>0</v>
      </c>
      <c r="J920" s="16">
        <f>IF(NOT(Paths!$C$90=1),0,IF(Paths!$P$90="Complete",IF(IF(Paths!$E$90=0,C920=0,AND(C920&gt;0,Paths!$E$90&gt;(C920-1)*12,Paths!$E$90&lt;=C920*12)),Paths!$H$90,0),"n.a."))</f>
        <v>0</v>
      </c>
      <c r="K920" s="16">
        <f>IF(NOT(Paths!$C$90=1),0,IF(Paths!$P$90="Complete",IF(IF(Paths!$O$90=0,C920=0,AND(C920&gt;0,Paths!$O$90&gt;(C920-1)*12,Paths!$O$90&lt;=C920*12)),Paths!$N$90,0),"n.a."))</f>
        <v>0</v>
      </c>
      <c r="L920" s="16">
        <f>IF(NOT(Paths!$C$90=1),0,IF(Paths!$P$90="Complete",IF(C920=10,Paths!$I$90,0),"n.a."))</f>
        <v>0</v>
      </c>
      <c r="M920" s="16">
        <f>IF(NOT(Paths!$C$90=1),0,IF(Paths!$P$90="Complete",IF(AND(Paths!$D$90="EV",Paths!$E$90&lt;120,Paths!$E$90+'Operating costs'!$B$65&gt;Paths!$E$90,Paths!$E$90+'Operating costs'!$B$65&lt;=120,IF(Paths!$E$90+'Operating costs'!$B$65=0,C920=0,AND(C920&gt;0,Paths!$E$90+'Operating costs'!$B$65&gt;(C920-1)*12,Paths!$E$90+'Operating costs'!$B$65&lt;=C920*12))),'Operating costs'!$B$64,0)+IF(AND('Operating costs'!$B$67&gt;0,'Operating costs'!$B$67&lt;=120,OR(Paths!$D$90="ICE",'Operating costs'!$B$67&lt;=Paths!$E$90),IF('Operating costs'!$B$67=0,C920=0,AND(C920&gt;0,'Operating costs'!$B$67&gt;(C920-1)*12,'Operating costs'!$B$67&lt;=C920*12))),'Operating costs'!$B$66,0),"n.a."))</f>
        <v>0</v>
      </c>
      <c r="N920" s="16">
        <f>IF(NOT(Paths!$C$90=1),0,IF(Paths!$P$90="Complete",SUM(G920:I920)-J920-K920-L920+M920+IF(C920=0,Paths!$F$90,0)+IF(IF(Paths!$E$90=0,C920=0,AND(C920&gt;0,Paths!$E$90&gt;(C920-1)*12,Paths!$E$90&lt;=C920*12)),VLOOKUP(A920,'Fleet register'!$A$7:$S$106,16,FALSE),0),"n.a."))</f>
        <v>0</v>
      </c>
      <c r="O920" s="16">
        <f>IF(NOT(Paths!$C$90=1),0,IF(Paths!$P$90="Complete",N920-IF(C920=0,Paths!$F$90,0),"n.a."))</f>
        <v>0</v>
      </c>
      <c r="P920" s="16">
        <f>IF(NOT(Paths!$C$90=1),0,IF(Paths!$P$90="Complete",O920+L920,"n.a."))</f>
        <v>0</v>
      </c>
      <c r="Q920" s="16">
        <f>IF(NOT(Paths!$C$90=1),0,IF(Paths!$P$90="Complete",N920*(1+'Operating costs'!$B$54)^-C920,"n.a."))</f>
        <v>0</v>
      </c>
      <c r="R920" s="16">
        <f>IF(NOT(Paths!$C$90=1),0,IF(Paths!$P$90="Complete",IF(AND(C920=0,Paths!$E$90=0),I920-J920-K920+VLOOKUP(A920,'Fleet register'!$A$7:$S$106,15,FALSE)+VLOOKUP(A920,'Fleet register'!$A$7:$S$106,16,FALSE),0),"n.a."))</f>
        <v>0</v>
      </c>
      <c r="S920" s="1">
        <f>IF(NOT(Paths!$C$90=1),0,IF(Paths!$P$90="Complete",IF(C920=0,0,Paths!$S$90*Paths!$R$90),"n.a."))</f>
        <v>0</v>
      </c>
      <c r="T920" s="1">
        <f>IF(NOT(Paths!$C$90=1),0,IF(Paths!$P$90="Complete",IF(C920=0,0,VLOOKUP(A920,'Fleet register'!$A$7:$S$106,9,FALSE)*Paths!$R$90),"n.a."))</f>
        <v>0</v>
      </c>
    </row>
    <row r="921" spans="1:20" ht="24" customHeight="1">
      <c r="A921" s="1" t="str">
        <f>Paths!$A$90</f>
        <v>T021</v>
      </c>
      <c r="B921" s="1">
        <f>Paths!$B$90</f>
        <v>3</v>
      </c>
      <c r="C921" s="1">
        <v>1</v>
      </c>
      <c r="D921" s="1">
        <v>90</v>
      </c>
      <c r="E921" s="1">
        <f>IF(OR(Paths!$C$90=0,C921=0),0,MAX(0,MIN(C921*12,Paths!$E$90)-(C921-1)*12))</f>
        <v>0</v>
      </c>
      <c r="F921" s="1">
        <f>IF(OR(Paths!$C$90=0,C921=0),0,12-E921)</f>
        <v>0</v>
      </c>
      <c r="G921" s="16">
        <f>IF(NOT(Paths!$C$90=1),0,IF(Paths!$P$90="Complete",E921/12*(Paths!$J$90*(1+'Operating costs'!$B$51)^MAX(0,C921-1)+Paths!$K$90*(1+'Operating costs'!$B$53)^MAX(0,C921-1)),"n.a."))</f>
        <v>0</v>
      </c>
      <c r="H921" s="16">
        <f>IF(NOT(Paths!$C$90=1),0,IF(Paths!$P$90="Complete",F921/12*(Paths!$L$90*(1+IF(Paths!$D$90="EV",'Operating costs'!$B$52,'Operating costs'!$B$51))^MAX(0,C921-1)+Paths!$M$90*(1+'Operating costs'!$B$53)^MAX(0,C921-1)),"n.a."))</f>
        <v>0</v>
      </c>
      <c r="I921" s="16">
        <f>IF(NOT(Paths!$C$90=1),0,IF(Paths!$P$90="Complete",IF(IF(Paths!$E$90=0,C921=0,AND(C921&gt;0,Paths!$E$90&gt;(C921-1)*12,Paths!$E$90&lt;=C921*12)),Paths!$G$90,0),"n.a."))</f>
        <v>0</v>
      </c>
      <c r="J921" s="16">
        <f>IF(NOT(Paths!$C$90=1),0,IF(Paths!$P$90="Complete",IF(IF(Paths!$E$90=0,C921=0,AND(C921&gt;0,Paths!$E$90&gt;(C921-1)*12,Paths!$E$90&lt;=C921*12)),Paths!$H$90,0),"n.a."))</f>
        <v>0</v>
      </c>
      <c r="K921" s="16">
        <f>IF(NOT(Paths!$C$90=1),0,IF(Paths!$P$90="Complete",IF(IF(Paths!$O$90=0,C921=0,AND(C921&gt;0,Paths!$O$90&gt;(C921-1)*12,Paths!$O$90&lt;=C921*12)),Paths!$N$90,0),"n.a."))</f>
        <v>0</v>
      </c>
      <c r="L921" s="16">
        <f>IF(NOT(Paths!$C$90=1),0,IF(Paths!$P$90="Complete",IF(C921=10,Paths!$I$90,0),"n.a."))</f>
        <v>0</v>
      </c>
      <c r="M921" s="16">
        <f>IF(NOT(Paths!$C$90=1),0,IF(Paths!$P$90="Complete",IF(AND(Paths!$D$90="EV",Paths!$E$90&lt;120,Paths!$E$90+'Operating costs'!$B$65&gt;Paths!$E$90,Paths!$E$90+'Operating costs'!$B$65&lt;=120,IF(Paths!$E$90+'Operating costs'!$B$65=0,C921=0,AND(C921&gt;0,Paths!$E$90+'Operating costs'!$B$65&gt;(C921-1)*12,Paths!$E$90+'Operating costs'!$B$65&lt;=C921*12))),'Operating costs'!$B$64,0)+IF(AND('Operating costs'!$B$67&gt;0,'Operating costs'!$B$67&lt;=120,OR(Paths!$D$90="ICE",'Operating costs'!$B$67&lt;=Paths!$E$90),IF('Operating costs'!$B$67=0,C921=0,AND(C921&gt;0,'Operating costs'!$B$67&gt;(C921-1)*12,'Operating costs'!$B$67&lt;=C921*12))),'Operating costs'!$B$66,0),"n.a."))</f>
        <v>0</v>
      </c>
      <c r="N921" s="16">
        <f>IF(NOT(Paths!$C$90=1),0,IF(Paths!$P$90="Complete",SUM(G921:I921)-J921-K921-L921+M921+IF(C921=0,Paths!$F$90,0)+IF(IF(Paths!$E$90=0,C921=0,AND(C921&gt;0,Paths!$E$90&gt;(C921-1)*12,Paths!$E$90&lt;=C921*12)),VLOOKUP(A921,'Fleet register'!$A$7:$S$106,16,FALSE),0),"n.a."))</f>
        <v>0</v>
      </c>
      <c r="O921" s="16">
        <f>IF(NOT(Paths!$C$90=1),0,IF(Paths!$P$90="Complete",N921-IF(C921=0,Paths!$F$90,0),"n.a."))</f>
        <v>0</v>
      </c>
      <c r="P921" s="16">
        <f>IF(NOT(Paths!$C$90=1),0,IF(Paths!$P$90="Complete",O921+L921,"n.a."))</f>
        <v>0</v>
      </c>
      <c r="Q921" s="16">
        <f>IF(NOT(Paths!$C$90=1),0,IF(Paths!$P$90="Complete",N921*(1+'Operating costs'!$B$54)^-C921,"n.a."))</f>
        <v>0</v>
      </c>
      <c r="R921" s="16">
        <f>IF(NOT(Paths!$C$90=1),0,IF(Paths!$P$90="Complete",IF(AND(C921=0,Paths!$E$90=0),I921-J921-K921+VLOOKUP(A921,'Fleet register'!$A$7:$S$106,15,FALSE)+VLOOKUP(A921,'Fleet register'!$A$7:$S$106,16,FALSE),0),"n.a."))</f>
        <v>0</v>
      </c>
      <c r="S921" s="1">
        <f>IF(NOT(Paths!$C$90=1),0,IF(Paths!$P$90="Complete",IF(C921=0,0,Paths!$S$90*Paths!$R$90),"n.a."))</f>
        <v>0</v>
      </c>
      <c r="T921" s="1">
        <f>IF(NOT(Paths!$C$90=1),0,IF(Paths!$P$90="Complete",IF(C921=0,0,VLOOKUP(A921,'Fleet register'!$A$7:$S$106,9,FALSE)*Paths!$R$90),"n.a."))</f>
        <v>0</v>
      </c>
    </row>
    <row r="922" spans="1:20" ht="24" customHeight="1">
      <c r="A922" s="1" t="str">
        <f>Paths!$A$90</f>
        <v>T021</v>
      </c>
      <c r="B922" s="1">
        <f>Paths!$B$90</f>
        <v>3</v>
      </c>
      <c r="C922" s="1">
        <v>2</v>
      </c>
      <c r="D922" s="1">
        <v>90</v>
      </c>
      <c r="E922" s="1">
        <f>IF(OR(Paths!$C$90=0,C922=0),0,MAX(0,MIN(C922*12,Paths!$E$90)-(C922-1)*12))</f>
        <v>0</v>
      </c>
      <c r="F922" s="1">
        <f>IF(OR(Paths!$C$90=0,C922=0),0,12-E922)</f>
        <v>0</v>
      </c>
      <c r="G922" s="16">
        <f>IF(NOT(Paths!$C$90=1),0,IF(Paths!$P$90="Complete",E922/12*(Paths!$J$90*(1+'Operating costs'!$B$51)^MAX(0,C922-1)+Paths!$K$90*(1+'Operating costs'!$B$53)^MAX(0,C922-1)),"n.a."))</f>
        <v>0</v>
      </c>
      <c r="H922" s="16">
        <f>IF(NOT(Paths!$C$90=1),0,IF(Paths!$P$90="Complete",F922/12*(Paths!$L$90*(1+IF(Paths!$D$90="EV",'Operating costs'!$B$52,'Operating costs'!$B$51))^MAX(0,C922-1)+Paths!$M$90*(1+'Operating costs'!$B$53)^MAX(0,C922-1)),"n.a."))</f>
        <v>0</v>
      </c>
      <c r="I922" s="16">
        <f>IF(NOT(Paths!$C$90=1),0,IF(Paths!$P$90="Complete",IF(IF(Paths!$E$90=0,C922=0,AND(C922&gt;0,Paths!$E$90&gt;(C922-1)*12,Paths!$E$90&lt;=C922*12)),Paths!$G$90,0),"n.a."))</f>
        <v>0</v>
      </c>
      <c r="J922" s="16">
        <f>IF(NOT(Paths!$C$90=1),0,IF(Paths!$P$90="Complete",IF(IF(Paths!$E$90=0,C922=0,AND(C922&gt;0,Paths!$E$90&gt;(C922-1)*12,Paths!$E$90&lt;=C922*12)),Paths!$H$90,0),"n.a."))</f>
        <v>0</v>
      </c>
      <c r="K922" s="16">
        <f>IF(NOT(Paths!$C$90=1),0,IF(Paths!$P$90="Complete",IF(IF(Paths!$O$90=0,C922=0,AND(C922&gt;0,Paths!$O$90&gt;(C922-1)*12,Paths!$O$90&lt;=C922*12)),Paths!$N$90,0),"n.a."))</f>
        <v>0</v>
      </c>
      <c r="L922" s="16">
        <f>IF(NOT(Paths!$C$90=1),0,IF(Paths!$P$90="Complete",IF(C922=10,Paths!$I$90,0),"n.a."))</f>
        <v>0</v>
      </c>
      <c r="M922" s="16">
        <f>IF(NOT(Paths!$C$90=1),0,IF(Paths!$P$90="Complete",IF(AND(Paths!$D$90="EV",Paths!$E$90&lt;120,Paths!$E$90+'Operating costs'!$B$65&gt;Paths!$E$90,Paths!$E$90+'Operating costs'!$B$65&lt;=120,IF(Paths!$E$90+'Operating costs'!$B$65=0,C922=0,AND(C922&gt;0,Paths!$E$90+'Operating costs'!$B$65&gt;(C922-1)*12,Paths!$E$90+'Operating costs'!$B$65&lt;=C922*12))),'Operating costs'!$B$64,0)+IF(AND('Operating costs'!$B$67&gt;0,'Operating costs'!$B$67&lt;=120,OR(Paths!$D$90="ICE",'Operating costs'!$B$67&lt;=Paths!$E$90),IF('Operating costs'!$B$67=0,C922=0,AND(C922&gt;0,'Operating costs'!$B$67&gt;(C922-1)*12,'Operating costs'!$B$67&lt;=C922*12))),'Operating costs'!$B$66,0),"n.a."))</f>
        <v>0</v>
      </c>
      <c r="N922" s="16">
        <f>IF(NOT(Paths!$C$90=1),0,IF(Paths!$P$90="Complete",SUM(G922:I922)-J922-K922-L922+M922+IF(C922=0,Paths!$F$90,0)+IF(IF(Paths!$E$90=0,C922=0,AND(C922&gt;0,Paths!$E$90&gt;(C922-1)*12,Paths!$E$90&lt;=C922*12)),VLOOKUP(A922,'Fleet register'!$A$7:$S$106,16,FALSE),0),"n.a."))</f>
        <v>0</v>
      </c>
      <c r="O922" s="16">
        <f>IF(NOT(Paths!$C$90=1),0,IF(Paths!$P$90="Complete",N922-IF(C922=0,Paths!$F$90,0),"n.a."))</f>
        <v>0</v>
      </c>
      <c r="P922" s="16">
        <f>IF(NOT(Paths!$C$90=1),0,IF(Paths!$P$90="Complete",O922+L922,"n.a."))</f>
        <v>0</v>
      </c>
      <c r="Q922" s="16">
        <f>IF(NOT(Paths!$C$90=1),0,IF(Paths!$P$90="Complete",N922*(1+'Operating costs'!$B$54)^-C922,"n.a."))</f>
        <v>0</v>
      </c>
      <c r="R922" s="16">
        <f>IF(NOT(Paths!$C$90=1),0,IF(Paths!$P$90="Complete",IF(AND(C922=0,Paths!$E$90=0),I922-J922-K922+VLOOKUP(A922,'Fleet register'!$A$7:$S$106,15,FALSE)+VLOOKUP(A922,'Fleet register'!$A$7:$S$106,16,FALSE),0),"n.a."))</f>
        <v>0</v>
      </c>
      <c r="S922" s="1">
        <f>IF(NOT(Paths!$C$90=1),0,IF(Paths!$P$90="Complete",IF(C922=0,0,Paths!$S$90*Paths!$R$90),"n.a."))</f>
        <v>0</v>
      </c>
      <c r="T922" s="1">
        <f>IF(NOT(Paths!$C$90=1),0,IF(Paths!$P$90="Complete",IF(C922=0,0,VLOOKUP(A922,'Fleet register'!$A$7:$S$106,9,FALSE)*Paths!$R$90),"n.a."))</f>
        <v>0</v>
      </c>
    </row>
    <row r="923" spans="1:20" ht="24" customHeight="1">
      <c r="A923" s="1" t="str">
        <f>Paths!$A$90</f>
        <v>T021</v>
      </c>
      <c r="B923" s="1">
        <f>Paths!$B$90</f>
        <v>3</v>
      </c>
      <c r="C923" s="1">
        <v>3</v>
      </c>
      <c r="D923" s="1">
        <v>90</v>
      </c>
      <c r="E923" s="1">
        <f>IF(OR(Paths!$C$90=0,C923=0),0,MAX(0,MIN(C923*12,Paths!$E$90)-(C923-1)*12))</f>
        <v>0</v>
      </c>
      <c r="F923" s="1">
        <f>IF(OR(Paths!$C$90=0,C923=0),0,12-E923)</f>
        <v>0</v>
      </c>
      <c r="G923" s="16">
        <f>IF(NOT(Paths!$C$90=1),0,IF(Paths!$P$90="Complete",E923/12*(Paths!$J$90*(1+'Operating costs'!$B$51)^MAX(0,C923-1)+Paths!$K$90*(1+'Operating costs'!$B$53)^MAX(0,C923-1)),"n.a."))</f>
        <v>0</v>
      </c>
      <c r="H923" s="16">
        <f>IF(NOT(Paths!$C$90=1),0,IF(Paths!$P$90="Complete",F923/12*(Paths!$L$90*(1+IF(Paths!$D$90="EV",'Operating costs'!$B$52,'Operating costs'!$B$51))^MAX(0,C923-1)+Paths!$M$90*(1+'Operating costs'!$B$53)^MAX(0,C923-1)),"n.a."))</f>
        <v>0</v>
      </c>
      <c r="I923" s="16">
        <f>IF(NOT(Paths!$C$90=1),0,IF(Paths!$P$90="Complete",IF(IF(Paths!$E$90=0,C923=0,AND(C923&gt;0,Paths!$E$90&gt;(C923-1)*12,Paths!$E$90&lt;=C923*12)),Paths!$G$90,0),"n.a."))</f>
        <v>0</v>
      </c>
      <c r="J923" s="16">
        <f>IF(NOT(Paths!$C$90=1),0,IF(Paths!$P$90="Complete",IF(IF(Paths!$E$90=0,C923=0,AND(C923&gt;0,Paths!$E$90&gt;(C923-1)*12,Paths!$E$90&lt;=C923*12)),Paths!$H$90,0),"n.a."))</f>
        <v>0</v>
      </c>
      <c r="K923" s="16">
        <f>IF(NOT(Paths!$C$90=1),0,IF(Paths!$P$90="Complete",IF(IF(Paths!$O$90=0,C923=0,AND(C923&gt;0,Paths!$O$90&gt;(C923-1)*12,Paths!$O$90&lt;=C923*12)),Paths!$N$90,0),"n.a."))</f>
        <v>0</v>
      </c>
      <c r="L923" s="16">
        <f>IF(NOT(Paths!$C$90=1),0,IF(Paths!$P$90="Complete",IF(C923=10,Paths!$I$90,0),"n.a."))</f>
        <v>0</v>
      </c>
      <c r="M923" s="16">
        <f>IF(NOT(Paths!$C$90=1),0,IF(Paths!$P$90="Complete",IF(AND(Paths!$D$90="EV",Paths!$E$90&lt;120,Paths!$E$90+'Operating costs'!$B$65&gt;Paths!$E$90,Paths!$E$90+'Operating costs'!$B$65&lt;=120,IF(Paths!$E$90+'Operating costs'!$B$65=0,C923=0,AND(C923&gt;0,Paths!$E$90+'Operating costs'!$B$65&gt;(C923-1)*12,Paths!$E$90+'Operating costs'!$B$65&lt;=C923*12))),'Operating costs'!$B$64,0)+IF(AND('Operating costs'!$B$67&gt;0,'Operating costs'!$B$67&lt;=120,OR(Paths!$D$90="ICE",'Operating costs'!$B$67&lt;=Paths!$E$90),IF('Operating costs'!$B$67=0,C923=0,AND(C923&gt;0,'Operating costs'!$B$67&gt;(C923-1)*12,'Operating costs'!$B$67&lt;=C923*12))),'Operating costs'!$B$66,0),"n.a."))</f>
        <v>0</v>
      </c>
      <c r="N923" s="16">
        <f>IF(NOT(Paths!$C$90=1),0,IF(Paths!$P$90="Complete",SUM(G923:I923)-J923-K923-L923+M923+IF(C923=0,Paths!$F$90,0)+IF(IF(Paths!$E$90=0,C923=0,AND(C923&gt;0,Paths!$E$90&gt;(C923-1)*12,Paths!$E$90&lt;=C923*12)),VLOOKUP(A923,'Fleet register'!$A$7:$S$106,16,FALSE),0),"n.a."))</f>
        <v>0</v>
      </c>
      <c r="O923" s="16">
        <f>IF(NOT(Paths!$C$90=1),0,IF(Paths!$P$90="Complete",N923-IF(C923=0,Paths!$F$90,0),"n.a."))</f>
        <v>0</v>
      </c>
      <c r="P923" s="16">
        <f>IF(NOT(Paths!$C$90=1),0,IF(Paths!$P$90="Complete",O923+L923,"n.a."))</f>
        <v>0</v>
      </c>
      <c r="Q923" s="16">
        <f>IF(NOT(Paths!$C$90=1),0,IF(Paths!$P$90="Complete",N923*(1+'Operating costs'!$B$54)^-C923,"n.a."))</f>
        <v>0</v>
      </c>
      <c r="R923" s="16">
        <f>IF(NOT(Paths!$C$90=1),0,IF(Paths!$P$90="Complete",IF(AND(C923=0,Paths!$E$90=0),I923-J923-K923+VLOOKUP(A923,'Fleet register'!$A$7:$S$106,15,FALSE)+VLOOKUP(A923,'Fleet register'!$A$7:$S$106,16,FALSE),0),"n.a."))</f>
        <v>0</v>
      </c>
      <c r="S923" s="1">
        <f>IF(NOT(Paths!$C$90=1),0,IF(Paths!$P$90="Complete",IF(C923=0,0,Paths!$S$90*Paths!$R$90),"n.a."))</f>
        <v>0</v>
      </c>
      <c r="T923" s="1">
        <f>IF(NOT(Paths!$C$90=1),0,IF(Paths!$P$90="Complete",IF(C923=0,0,VLOOKUP(A923,'Fleet register'!$A$7:$S$106,9,FALSE)*Paths!$R$90),"n.a."))</f>
        <v>0</v>
      </c>
    </row>
    <row r="924" spans="1:20" ht="24" customHeight="1">
      <c r="A924" s="1" t="str">
        <f>Paths!$A$90</f>
        <v>T021</v>
      </c>
      <c r="B924" s="1">
        <f>Paths!$B$90</f>
        <v>3</v>
      </c>
      <c r="C924" s="1">
        <v>4</v>
      </c>
      <c r="D924" s="1">
        <v>90</v>
      </c>
      <c r="E924" s="1">
        <f>IF(OR(Paths!$C$90=0,C924=0),0,MAX(0,MIN(C924*12,Paths!$E$90)-(C924-1)*12))</f>
        <v>0</v>
      </c>
      <c r="F924" s="1">
        <f>IF(OR(Paths!$C$90=0,C924=0),0,12-E924)</f>
        <v>0</v>
      </c>
      <c r="G924" s="16">
        <f>IF(NOT(Paths!$C$90=1),0,IF(Paths!$P$90="Complete",E924/12*(Paths!$J$90*(1+'Operating costs'!$B$51)^MAX(0,C924-1)+Paths!$K$90*(1+'Operating costs'!$B$53)^MAX(0,C924-1)),"n.a."))</f>
        <v>0</v>
      </c>
      <c r="H924" s="16">
        <f>IF(NOT(Paths!$C$90=1),0,IF(Paths!$P$90="Complete",F924/12*(Paths!$L$90*(1+IF(Paths!$D$90="EV",'Operating costs'!$B$52,'Operating costs'!$B$51))^MAX(0,C924-1)+Paths!$M$90*(1+'Operating costs'!$B$53)^MAX(0,C924-1)),"n.a."))</f>
        <v>0</v>
      </c>
      <c r="I924" s="16">
        <f>IF(NOT(Paths!$C$90=1),0,IF(Paths!$P$90="Complete",IF(IF(Paths!$E$90=0,C924=0,AND(C924&gt;0,Paths!$E$90&gt;(C924-1)*12,Paths!$E$90&lt;=C924*12)),Paths!$G$90,0),"n.a."))</f>
        <v>0</v>
      </c>
      <c r="J924" s="16">
        <f>IF(NOT(Paths!$C$90=1),0,IF(Paths!$P$90="Complete",IF(IF(Paths!$E$90=0,C924=0,AND(C924&gt;0,Paths!$E$90&gt;(C924-1)*12,Paths!$E$90&lt;=C924*12)),Paths!$H$90,0),"n.a."))</f>
        <v>0</v>
      </c>
      <c r="K924" s="16">
        <f>IF(NOT(Paths!$C$90=1),0,IF(Paths!$P$90="Complete",IF(IF(Paths!$O$90=0,C924=0,AND(C924&gt;0,Paths!$O$90&gt;(C924-1)*12,Paths!$O$90&lt;=C924*12)),Paths!$N$90,0),"n.a."))</f>
        <v>0</v>
      </c>
      <c r="L924" s="16">
        <f>IF(NOT(Paths!$C$90=1),0,IF(Paths!$P$90="Complete",IF(C924=10,Paths!$I$90,0),"n.a."))</f>
        <v>0</v>
      </c>
      <c r="M924" s="16">
        <f>IF(NOT(Paths!$C$90=1),0,IF(Paths!$P$90="Complete",IF(AND(Paths!$D$90="EV",Paths!$E$90&lt;120,Paths!$E$90+'Operating costs'!$B$65&gt;Paths!$E$90,Paths!$E$90+'Operating costs'!$B$65&lt;=120,IF(Paths!$E$90+'Operating costs'!$B$65=0,C924=0,AND(C924&gt;0,Paths!$E$90+'Operating costs'!$B$65&gt;(C924-1)*12,Paths!$E$90+'Operating costs'!$B$65&lt;=C924*12))),'Operating costs'!$B$64,0)+IF(AND('Operating costs'!$B$67&gt;0,'Operating costs'!$B$67&lt;=120,OR(Paths!$D$90="ICE",'Operating costs'!$B$67&lt;=Paths!$E$90),IF('Operating costs'!$B$67=0,C924=0,AND(C924&gt;0,'Operating costs'!$B$67&gt;(C924-1)*12,'Operating costs'!$B$67&lt;=C924*12))),'Operating costs'!$B$66,0),"n.a."))</f>
        <v>0</v>
      </c>
      <c r="N924" s="16">
        <f>IF(NOT(Paths!$C$90=1),0,IF(Paths!$P$90="Complete",SUM(G924:I924)-J924-K924-L924+M924+IF(C924=0,Paths!$F$90,0)+IF(IF(Paths!$E$90=0,C924=0,AND(C924&gt;0,Paths!$E$90&gt;(C924-1)*12,Paths!$E$90&lt;=C924*12)),VLOOKUP(A924,'Fleet register'!$A$7:$S$106,16,FALSE),0),"n.a."))</f>
        <v>0</v>
      </c>
      <c r="O924" s="16">
        <f>IF(NOT(Paths!$C$90=1),0,IF(Paths!$P$90="Complete",N924-IF(C924=0,Paths!$F$90,0),"n.a."))</f>
        <v>0</v>
      </c>
      <c r="P924" s="16">
        <f>IF(NOT(Paths!$C$90=1),0,IF(Paths!$P$90="Complete",O924+L924,"n.a."))</f>
        <v>0</v>
      </c>
      <c r="Q924" s="16">
        <f>IF(NOT(Paths!$C$90=1),0,IF(Paths!$P$90="Complete",N924*(1+'Operating costs'!$B$54)^-C924,"n.a."))</f>
        <v>0</v>
      </c>
      <c r="R924" s="16">
        <f>IF(NOT(Paths!$C$90=1),0,IF(Paths!$P$90="Complete",IF(AND(C924=0,Paths!$E$90=0),I924-J924-K924+VLOOKUP(A924,'Fleet register'!$A$7:$S$106,15,FALSE)+VLOOKUP(A924,'Fleet register'!$A$7:$S$106,16,FALSE),0),"n.a."))</f>
        <v>0</v>
      </c>
      <c r="S924" s="1">
        <f>IF(NOT(Paths!$C$90=1),0,IF(Paths!$P$90="Complete",IF(C924=0,0,Paths!$S$90*Paths!$R$90),"n.a."))</f>
        <v>0</v>
      </c>
      <c r="T924" s="1">
        <f>IF(NOT(Paths!$C$90=1),0,IF(Paths!$P$90="Complete",IF(C924=0,0,VLOOKUP(A924,'Fleet register'!$A$7:$S$106,9,FALSE)*Paths!$R$90),"n.a."))</f>
        <v>0</v>
      </c>
    </row>
    <row r="925" spans="1:20" ht="24" customHeight="1">
      <c r="A925" s="1" t="str">
        <f>Paths!$A$90</f>
        <v>T021</v>
      </c>
      <c r="B925" s="1">
        <f>Paths!$B$90</f>
        <v>3</v>
      </c>
      <c r="C925" s="1">
        <v>5</v>
      </c>
      <c r="D925" s="1">
        <v>90</v>
      </c>
      <c r="E925" s="1">
        <f>IF(OR(Paths!$C$90=0,C925=0),0,MAX(0,MIN(C925*12,Paths!$E$90)-(C925-1)*12))</f>
        <v>0</v>
      </c>
      <c r="F925" s="1">
        <f>IF(OR(Paths!$C$90=0,C925=0),0,12-E925)</f>
        <v>0</v>
      </c>
      <c r="G925" s="16">
        <f>IF(NOT(Paths!$C$90=1),0,IF(Paths!$P$90="Complete",E925/12*(Paths!$J$90*(1+'Operating costs'!$B$51)^MAX(0,C925-1)+Paths!$K$90*(1+'Operating costs'!$B$53)^MAX(0,C925-1)),"n.a."))</f>
        <v>0</v>
      </c>
      <c r="H925" s="16">
        <f>IF(NOT(Paths!$C$90=1),0,IF(Paths!$P$90="Complete",F925/12*(Paths!$L$90*(1+IF(Paths!$D$90="EV",'Operating costs'!$B$52,'Operating costs'!$B$51))^MAX(0,C925-1)+Paths!$M$90*(1+'Operating costs'!$B$53)^MAX(0,C925-1)),"n.a."))</f>
        <v>0</v>
      </c>
      <c r="I925" s="16">
        <f>IF(NOT(Paths!$C$90=1),0,IF(Paths!$P$90="Complete",IF(IF(Paths!$E$90=0,C925=0,AND(C925&gt;0,Paths!$E$90&gt;(C925-1)*12,Paths!$E$90&lt;=C925*12)),Paths!$G$90,0),"n.a."))</f>
        <v>0</v>
      </c>
      <c r="J925" s="16">
        <f>IF(NOT(Paths!$C$90=1),0,IF(Paths!$P$90="Complete",IF(IF(Paths!$E$90=0,C925=0,AND(C925&gt;0,Paths!$E$90&gt;(C925-1)*12,Paths!$E$90&lt;=C925*12)),Paths!$H$90,0),"n.a."))</f>
        <v>0</v>
      </c>
      <c r="K925" s="16">
        <f>IF(NOT(Paths!$C$90=1),0,IF(Paths!$P$90="Complete",IF(IF(Paths!$O$90=0,C925=0,AND(C925&gt;0,Paths!$O$90&gt;(C925-1)*12,Paths!$O$90&lt;=C925*12)),Paths!$N$90,0),"n.a."))</f>
        <v>0</v>
      </c>
      <c r="L925" s="16">
        <f>IF(NOT(Paths!$C$90=1),0,IF(Paths!$P$90="Complete",IF(C925=10,Paths!$I$90,0),"n.a."))</f>
        <v>0</v>
      </c>
      <c r="M925" s="16">
        <f>IF(NOT(Paths!$C$90=1),0,IF(Paths!$P$90="Complete",IF(AND(Paths!$D$90="EV",Paths!$E$90&lt;120,Paths!$E$90+'Operating costs'!$B$65&gt;Paths!$E$90,Paths!$E$90+'Operating costs'!$B$65&lt;=120,IF(Paths!$E$90+'Operating costs'!$B$65=0,C925=0,AND(C925&gt;0,Paths!$E$90+'Operating costs'!$B$65&gt;(C925-1)*12,Paths!$E$90+'Operating costs'!$B$65&lt;=C925*12))),'Operating costs'!$B$64,0)+IF(AND('Operating costs'!$B$67&gt;0,'Operating costs'!$B$67&lt;=120,OR(Paths!$D$90="ICE",'Operating costs'!$B$67&lt;=Paths!$E$90),IF('Operating costs'!$B$67=0,C925=0,AND(C925&gt;0,'Operating costs'!$B$67&gt;(C925-1)*12,'Operating costs'!$B$67&lt;=C925*12))),'Operating costs'!$B$66,0),"n.a."))</f>
        <v>0</v>
      </c>
      <c r="N925" s="16">
        <f>IF(NOT(Paths!$C$90=1),0,IF(Paths!$P$90="Complete",SUM(G925:I925)-J925-K925-L925+M925+IF(C925=0,Paths!$F$90,0)+IF(IF(Paths!$E$90=0,C925=0,AND(C925&gt;0,Paths!$E$90&gt;(C925-1)*12,Paths!$E$90&lt;=C925*12)),VLOOKUP(A925,'Fleet register'!$A$7:$S$106,16,FALSE),0),"n.a."))</f>
        <v>0</v>
      </c>
      <c r="O925" s="16">
        <f>IF(NOT(Paths!$C$90=1),0,IF(Paths!$P$90="Complete",N925-IF(C925=0,Paths!$F$90,0),"n.a."))</f>
        <v>0</v>
      </c>
      <c r="P925" s="16">
        <f>IF(NOT(Paths!$C$90=1),0,IF(Paths!$P$90="Complete",O925+L925,"n.a."))</f>
        <v>0</v>
      </c>
      <c r="Q925" s="16">
        <f>IF(NOT(Paths!$C$90=1),0,IF(Paths!$P$90="Complete",N925*(1+'Operating costs'!$B$54)^-C925,"n.a."))</f>
        <v>0</v>
      </c>
      <c r="R925" s="16">
        <f>IF(NOT(Paths!$C$90=1),0,IF(Paths!$P$90="Complete",IF(AND(C925=0,Paths!$E$90=0),I925-J925-K925+VLOOKUP(A925,'Fleet register'!$A$7:$S$106,15,FALSE)+VLOOKUP(A925,'Fleet register'!$A$7:$S$106,16,FALSE),0),"n.a."))</f>
        <v>0</v>
      </c>
      <c r="S925" s="1">
        <f>IF(NOT(Paths!$C$90=1),0,IF(Paths!$P$90="Complete",IF(C925=0,0,Paths!$S$90*Paths!$R$90),"n.a."))</f>
        <v>0</v>
      </c>
      <c r="T925" s="1">
        <f>IF(NOT(Paths!$C$90=1),0,IF(Paths!$P$90="Complete",IF(C925=0,0,VLOOKUP(A925,'Fleet register'!$A$7:$S$106,9,FALSE)*Paths!$R$90),"n.a."))</f>
        <v>0</v>
      </c>
    </row>
    <row r="926" spans="1:20" ht="24" customHeight="1">
      <c r="A926" s="1" t="str">
        <f>Paths!$A$90</f>
        <v>T021</v>
      </c>
      <c r="B926" s="1">
        <f>Paths!$B$90</f>
        <v>3</v>
      </c>
      <c r="C926" s="1">
        <v>6</v>
      </c>
      <c r="D926" s="1">
        <v>90</v>
      </c>
      <c r="E926" s="1">
        <f>IF(OR(Paths!$C$90=0,C926=0),0,MAX(0,MIN(C926*12,Paths!$E$90)-(C926-1)*12))</f>
        <v>0</v>
      </c>
      <c r="F926" s="1">
        <f>IF(OR(Paths!$C$90=0,C926=0),0,12-E926)</f>
        <v>0</v>
      </c>
      <c r="G926" s="16">
        <f>IF(NOT(Paths!$C$90=1),0,IF(Paths!$P$90="Complete",E926/12*(Paths!$J$90*(1+'Operating costs'!$B$51)^MAX(0,C926-1)+Paths!$K$90*(1+'Operating costs'!$B$53)^MAX(0,C926-1)),"n.a."))</f>
        <v>0</v>
      </c>
      <c r="H926" s="16">
        <f>IF(NOT(Paths!$C$90=1),0,IF(Paths!$P$90="Complete",F926/12*(Paths!$L$90*(1+IF(Paths!$D$90="EV",'Operating costs'!$B$52,'Operating costs'!$B$51))^MAX(0,C926-1)+Paths!$M$90*(1+'Operating costs'!$B$53)^MAX(0,C926-1)),"n.a."))</f>
        <v>0</v>
      </c>
      <c r="I926" s="16">
        <f>IF(NOT(Paths!$C$90=1),0,IF(Paths!$P$90="Complete",IF(IF(Paths!$E$90=0,C926=0,AND(C926&gt;0,Paths!$E$90&gt;(C926-1)*12,Paths!$E$90&lt;=C926*12)),Paths!$G$90,0),"n.a."))</f>
        <v>0</v>
      </c>
      <c r="J926" s="16">
        <f>IF(NOT(Paths!$C$90=1),0,IF(Paths!$P$90="Complete",IF(IF(Paths!$E$90=0,C926=0,AND(C926&gt;0,Paths!$E$90&gt;(C926-1)*12,Paths!$E$90&lt;=C926*12)),Paths!$H$90,0),"n.a."))</f>
        <v>0</v>
      </c>
      <c r="K926" s="16">
        <f>IF(NOT(Paths!$C$90=1),0,IF(Paths!$P$90="Complete",IF(IF(Paths!$O$90=0,C926=0,AND(C926&gt;0,Paths!$O$90&gt;(C926-1)*12,Paths!$O$90&lt;=C926*12)),Paths!$N$90,0),"n.a."))</f>
        <v>0</v>
      </c>
      <c r="L926" s="16">
        <f>IF(NOT(Paths!$C$90=1),0,IF(Paths!$P$90="Complete",IF(C926=10,Paths!$I$90,0),"n.a."))</f>
        <v>0</v>
      </c>
      <c r="M926" s="16">
        <f>IF(NOT(Paths!$C$90=1),0,IF(Paths!$P$90="Complete",IF(AND(Paths!$D$90="EV",Paths!$E$90&lt;120,Paths!$E$90+'Operating costs'!$B$65&gt;Paths!$E$90,Paths!$E$90+'Operating costs'!$B$65&lt;=120,IF(Paths!$E$90+'Operating costs'!$B$65=0,C926=0,AND(C926&gt;0,Paths!$E$90+'Operating costs'!$B$65&gt;(C926-1)*12,Paths!$E$90+'Operating costs'!$B$65&lt;=C926*12))),'Operating costs'!$B$64,0)+IF(AND('Operating costs'!$B$67&gt;0,'Operating costs'!$B$67&lt;=120,OR(Paths!$D$90="ICE",'Operating costs'!$B$67&lt;=Paths!$E$90),IF('Operating costs'!$B$67=0,C926=0,AND(C926&gt;0,'Operating costs'!$B$67&gt;(C926-1)*12,'Operating costs'!$B$67&lt;=C926*12))),'Operating costs'!$B$66,0),"n.a."))</f>
        <v>0</v>
      </c>
      <c r="N926" s="16">
        <f>IF(NOT(Paths!$C$90=1),0,IF(Paths!$P$90="Complete",SUM(G926:I926)-J926-K926-L926+M926+IF(C926=0,Paths!$F$90,0)+IF(IF(Paths!$E$90=0,C926=0,AND(C926&gt;0,Paths!$E$90&gt;(C926-1)*12,Paths!$E$90&lt;=C926*12)),VLOOKUP(A926,'Fleet register'!$A$7:$S$106,16,FALSE),0),"n.a."))</f>
        <v>0</v>
      </c>
      <c r="O926" s="16">
        <f>IF(NOT(Paths!$C$90=1),0,IF(Paths!$P$90="Complete",N926-IF(C926=0,Paths!$F$90,0),"n.a."))</f>
        <v>0</v>
      </c>
      <c r="P926" s="16">
        <f>IF(NOT(Paths!$C$90=1),0,IF(Paths!$P$90="Complete",O926+L926,"n.a."))</f>
        <v>0</v>
      </c>
      <c r="Q926" s="16">
        <f>IF(NOT(Paths!$C$90=1),0,IF(Paths!$P$90="Complete",N926*(1+'Operating costs'!$B$54)^-C926,"n.a."))</f>
        <v>0</v>
      </c>
      <c r="R926" s="16">
        <f>IF(NOT(Paths!$C$90=1),0,IF(Paths!$P$90="Complete",IF(AND(C926=0,Paths!$E$90=0),I926-J926-K926+VLOOKUP(A926,'Fleet register'!$A$7:$S$106,15,FALSE)+VLOOKUP(A926,'Fleet register'!$A$7:$S$106,16,FALSE),0),"n.a."))</f>
        <v>0</v>
      </c>
      <c r="S926" s="1">
        <f>IF(NOT(Paths!$C$90=1),0,IF(Paths!$P$90="Complete",IF(C926=0,0,Paths!$S$90*Paths!$R$90),"n.a."))</f>
        <v>0</v>
      </c>
      <c r="T926" s="1">
        <f>IF(NOT(Paths!$C$90=1),0,IF(Paths!$P$90="Complete",IF(C926=0,0,VLOOKUP(A926,'Fleet register'!$A$7:$S$106,9,FALSE)*Paths!$R$90),"n.a."))</f>
        <v>0</v>
      </c>
    </row>
    <row r="927" spans="1:20" ht="24" customHeight="1">
      <c r="A927" s="1" t="str">
        <f>Paths!$A$90</f>
        <v>T021</v>
      </c>
      <c r="B927" s="1">
        <f>Paths!$B$90</f>
        <v>3</v>
      </c>
      <c r="C927" s="1">
        <v>7</v>
      </c>
      <c r="D927" s="1">
        <v>90</v>
      </c>
      <c r="E927" s="1">
        <f>IF(OR(Paths!$C$90=0,C927=0),0,MAX(0,MIN(C927*12,Paths!$E$90)-(C927-1)*12))</f>
        <v>0</v>
      </c>
      <c r="F927" s="1">
        <f>IF(OR(Paths!$C$90=0,C927=0),0,12-E927)</f>
        <v>0</v>
      </c>
      <c r="G927" s="16">
        <f>IF(NOT(Paths!$C$90=1),0,IF(Paths!$P$90="Complete",E927/12*(Paths!$J$90*(1+'Operating costs'!$B$51)^MAX(0,C927-1)+Paths!$K$90*(1+'Operating costs'!$B$53)^MAX(0,C927-1)),"n.a."))</f>
        <v>0</v>
      </c>
      <c r="H927" s="16">
        <f>IF(NOT(Paths!$C$90=1),0,IF(Paths!$P$90="Complete",F927/12*(Paths!$L$90*(1+IF(Paths!$D$90="EV",'Operating costs'!$B$52,'Operating costs'!$B$51))^MAX(0,C927-1)+Paths!$M$90*(1+'Operating costs'!$B$53)^MAX(0,C927-1)),"n.a."))</f>
        <v>0</v>
      </c>
      <c r="I927" s="16">
        <f>IF(NOT(Paths!$C$90=1),0,IF(Paths!$P$90="Complete",IF(IF(Paths!$E$90=0,C927=0,AND(C927&gt;0,Paths!$E$90&gt;(C927-1)*12,Paths!$E$90&lt;=C927*12)),Paths!$G$90,0),"n.a."))</f>
        <v>0</v>
      </c>
      <c r="J927" s="16">
        <f>IF(NOT(Paths!$C$90=1),0,IF(Paths!$P$90="Complete",IF(IF(Paths!$E$90=0,C927=0,AND(C927&gt;0,Paths!$E$90&gt;(C927-1)*12,Paths!$E$90&lt;=C927*12)),Paths!$H$90,0),"n.a."))</f>
        <v>0</v>
      </c>
      <c r="K927" s="16">
        <f>IF(NOT(Paths!$C$90=1),0,IF(Paths!$P$90="Complete",IF(IF(Paths!$O$90=0,C927=0,AND(C927&gt;0,Paths!$O$90&gt;(C927-1)*12,Paths!$O$90&lt;=C927*12)),Paths!$N$90,0),"n.a."))</f>
        <v>0</v>
      </c>
      <c r="L927" s="16">
        <f>IF(NOT(Paths!$C$90=1),0,IF(Paths!$P$90="Complete",IF(C927=10,Paths!$I$90,0),"n.a."))</f>
        <v>0</v>
      </c>
      <c r="M927" s="16">
        <f>IF(NOT(Paths!$C$90=1),0,IF(Paths!$P$90="Complete",IF(AND(Paths!$D$90="EV",Paths!$E$90&lt;120,Paths!$E$90+'Operating costs'!$B$65&gt;Paths!$E$90,Paths!$E$90+'Operating costs'!$B$65&lt;=120,IF(Paths!$E$90+'Operating costs'!$B$65=0,C927=0,AND(C927&gt;0,Paths!$E$90+'Operating costs'!$B$65&gt;(C927-1)*12,Paths!$E$90+'Operating costs'!$B$65&lt;=C927*12))),'Operating costs'!$B$64,0)+IF(AND('Operating costs'!$B$67&gt;0,'Operating costs'!$B$67&lt;=120,OR(Paths!$D$90="ICE",'Operating costs'!$B$67&lt;=Paths!$E$90),IF('Operating costs'!$B$67=0,C927=0,AND(C927&gt;0,'Operating costs'!$B$67&gt;(C927-1)*12,'Operating costs'!$B$67&lt;=C927*12))),'Operating costs'!$B$66,0),"n.a."))</f>
        <v>0</v>
      </c>
      <c r="N927" s="16">
        <f>IF(NOT(Paths!$C$90=1),0,IF(Paths!$P$90="Complete",SUM(G927:I927)-J927-K927-L927+M927+IF(C927=0,Paths!$F$90,0)+IF(IF(Paths!$E$90=0,C927=0,AND(C927&gt;0,Paths!$E$90&gt;(C927-1)*12,Paths!$E$90&lt;=C927*12)),VLOOKUP(A927,'Fleet register'!$A$7:$S$106,16,FALSE),0),"n.a."))</f>
        <v>0</v>
      </c>
      <c r="O927" s="16">
        <f>IF(NOT(Paths!$C$90=1),0,IF(Paths!$P$90="Complete",N927-IF(C927=0,Paths!$F$90,0),"n.a."))</f>
        <v>0</v>
      </c>
      <c r="P927" s="16">
        <f>IF(NOT(Paths!$C$90=1),0,IF(Paths!$P$90="Complete",O927+L927,"n.a."))</f>
        <v>0</v>
      </c>
      <c r="Q927" s="16">
        <f>IF(NOT(Paths!$C$90=1),0,IF(Paths!$P$90="Complete",N927*(1+'Operating costs'!$B$54)^-C927,"n.a."))</f>
        <v>0</v>
      </c>
      <c r="R927" s="16">
        <f>IF(NOT(Paths!$C$90=1),0,IF(Paths!$P$90="Complete",IF(AND(C927=0,Paths!$E$90=0),I927-J927-K927+VLOOKUP(A927,'Fleet register'!$A$7:$S$106,15,FALSE)+VLOOKUP(A927,'Fleet register'!$A$7:$S$106,16,FALSE),0),"n.a."))</f>
        <v>0</v>
      </c>
      <c r="S927" s="1">
        <f>IF(NOT(Paths!$C$90=1),0,IF(Paths!$P$90="Complete",IF(C927=0,0,Paths!$S$90*Paths!$R$90),"n.a."))</f>
        <v>0</v>
      </c>
      <c r="T927" s="1">
        <f>IF(NOT(Paths!$C$90=1),0,IF(Paths!$P$90="Complete",IF(C927=0,0,VLOOKUP(A927,'Fleet register'!$A$7:$S$106,9,FALSE)*Paths!$R$90),"n.a."))</f>
        <v>0</v>
      </c>
    </row>
    <row r="928" spans="1:20" ht="24" customHeight="1">
      <c r="A928" s="1" t="str">
        <f>Paths!$A$90</f>
        <v>T021</v>
      </c>
      <c r="B928" s="1">
        <f>Paths!$B$90</f>
        <v>3</v>
      </c>
      <c r="C928" s="1">
        <v>8</v>
      </c>
      <c r="D928" s="1">
        <v>90</v>
      </c>
      <c r="E928" s="1">
        <f>IF(OR(Paths!$C$90=0,C928=0),0,MAX(0,MIN(C928*12,Paths!$E$90)-(C928-1)*12))</f>
        <v>0</v>
      </c>
      <c r="F928" s="1">
        <f>IF(OR(Paths!$C$90=0,C928=0),0,12-E928)</f>
        <v>0</v>
      </c>
      <c r="G928" s="16">
        <f>IF(NOT(Paths!$C$90=1),0,IF(Paths!$P$90="Complete",E928/12*(Paths!$J$90*(1+'Operating costs'!$B$51)^MAX(0,C928-1)+Paths!$K$90*(1+'Operating costs'!$B$53)^MAX(0,C928-1)),"n.a."))</f>
        <v>0</v>
      </c>
      <c r="H928" s="16">
        <f>IF(NOT(Paths!$C$90=1),0,IF(Paths!$P$90="Complete",F928/12*(Paths!$L$90*(1+IF(Paths!$D$90="EV",'Operating costs'!$B$52,'Operating costs'!$B$51))^MAX(0,C928-1)+Paths!$M$90*(1+'Operating costs'!$B$53)^MAX(0,C928-1)),"n.a."))</f>
        <v>0</v>
      </c>
      <c r="I928" s="16">
        <f>IF(NOT(Paths!$C$90=1),0,IF(Paths!$P$90="Complete",IF(IF(Paths!$E$90=0,C928=0,AND(C928&gt;0,Paths!$E$90&gt;(C928-1)*12,Paths!$E$90&lt;=C928*12)),Paths!$G$90,0),"n.a."))</f>
        <v>0</v>
      </c>
      <c r="J928" s="16">
        <f>IF(NOT(Paths!$C$90=1),0,IF(Paths!$P$90="Complete",IF(IF(Paths!$E$90=0,C928=0,AND(C928&gt;0,Paths!$E$90&gt;(C928-1)*12,Paths!$E$90&lt;=C928*12)),Paths!$H$90,0),"n.a."))</f>
        <v>0</v>
      </c>
      <c r="K928" s="16">
        <f>IF(NOT(Paths!$C$90=1),0,IF(Paths!$P$90="Complete",IF(IF(Paths!$O$90=0,C928=0,AND(C928&gt;0,Paths!$O$90&gt;(C928-1)*12,Paths!$O$90&lt;=C928*12)),Paths!$N$90,0),"n.a."))</f>
        <v>0</v>
      </c>
      <c r="L928" s="16">
        <f>IF(NOT(Paths!$C$90=1),0,IF(Paths!$P$90="Complete",IF(C928=10,Paths!$I$90,0),"n.a."))</f>
        <v>0</v>
      </c>
      <c r="M928" s="16">
        <f>IF(NOT(Paths!$C$90=1),0,IF(Paths!$P$90="Complete",IF(AND(Paths!$D$90="EV",Paths!$E$90&lt;120,Paths!$E$90+'Operating costs'!$B$65&gt;Paths!$E$90,Paths!$E$90+'Operating costs'!$B$65&lt;=120,IF(Paths!$E$90+'Operating costs'!$B$65=0,C928=0,AND(C928&gt;0,Paths!$E$90+'Operating costs'!$B$65&gt;(C928-1)*12,Paths!$E$90+'Operating costs'!$B$65&lt;=C928*12))),'Operating costs'!$B$64,0)+IF(AND('Operating costs'!$B$67&gt;0,'Operating costs'!$B$67&lt;=120,OR(Paths!$D$90="ICE",'Operating costs'!$B$67&lt;=Paths!$E$90),IF('Operating costs'!$B$67=0,C928=0,AND(C928&gt;0,'Operating costs'!$B$67&gt;(C928-1)*12,'Operating costs'!$B$67&lt;=C928*12))),'Operating costs'!$B$66,0),"n.a."))</f>
        <v>0</v>
      </c>
      <c r="N928" s="16">
        <f>IF(NOT(Paths!$C$90=1),0,IF(Paths!$P$90="Complete",SUM(G928:I928)-J928-K928-L928+M928+IF(C928=0,Paths!$F$90,0)+IF(IF(Paths!$E$90=0,C928=0,AND(C928&gt;0,Paths!$E$90&gt;(C928-1)*12,Paths!$E$90&lt;=C928*12)),VLOOKUP(A928,'Fleet register'!$A$7:$S$106,16,FALSE),0),"n.a."))</f>
        <v>0</v>
      </c>
      <c r="O928" s="16">
        <f>IF(NOT(Paths!$C$90=1),0,IF(Paths!$P$90="Complete",N928-IF(C928=0,Paths!$F$90,0),"n.a."))</f>
        <v>0</v>
      </c>
      <c r="P928" s="16">
        <f>IF(NOT(Paths!$C$90=1),0,IF(Paths!$P$90="Complete",O928+L928,"n.a."))</f>
        <v>0</v>
      </c>
      <c r="Q928" s="16">
        <f>IF(NOT(Paths!$C$90=1),0,IF(Paths!$P$90="Complete",N928*(1+'Operating costs'!$B$54)^-C928,"n.a."))</f>
        <v>0</v>
      </c>
      <c r="R928" s="16">
        <f>IF(NOT(Paths!$C$90=1),0,IF(Paths!$P$90="Complete",IF(AND(C928=0,Paths!$E$90=0),I928-J928-K928+VLOOKUP(A928,'Fleet register'!$A$7:$S$106,15,FALSE)+VLOOKUP(A928,'Fleet register'!$A$7:$S$106,16,FALSE),0),"n.a."))</f>
        <v>0</v>
      </c>
      <c r="S928" s="1">
        <f>IF(NOT(Paths!$C$90=1),0,IF(Paths!$P$90="Complete",IF(C928=0,0,Paths!$S$90*Paths!$R$90),"n.a."))</f>
        <v>0</v>
      </c>
      <c r="T928" s="1">
        <f>IF(NOT(Paths!$C$90=1),0,IF(Paths!$P$90="Complete",IF(C928=0,0,VLOOKUP(A928,'Fleet register'!$A$7:$S$106,9,FALSE)*Paths!$R$90),"n.a."))</f>
        <v>0</v>
      </c>
    </row>
    <row r="929" spans="1:20" ht="24" customHeight="1">
      <c r="A929" s="1" t="str">
        <f>Paths!$A$90</f>
        <v>T021</v>
      </c>
      <c r="B929" s="1">
        <f>Paths!$B$90</f>
        <v>3</v>
      </c>
      <c r="C929" s="1">
        <v>9</v>
      </c>
      <c r="D929" s="1">
        <v>90</v>
      </c>
      <c r="E929" s="1">
        <f>IF(OR(Paths!$C$90=0,C929=0),0,MAX(0,MIN(C929*12,Paths!$E$90)-(C929-1)*12))</f>
        <v>0</v>
      </c>
      <c r="F929" s="1">
        <f>IF(OR(Paths!$C$90=0,C929=0),0,12-E929)</f>
        <v>0</v>
      </c>
      <c r="G929" s="16">
        <f>IF(NOT(Paths!$C$90=1),0,IF(Paths!$P$90="Complete",E929/12*(Paths!$J$90*(1+'Operating costs'!$B$51)^MAX(0,C929-1)+Paths!$K$90*(1+'Operating costs'!$B$53)^MAX(0,C929-1)),"n.a."))</f>
        <v>0</v>
      </c>
      <c r="H929" s="16">
        <f>IF(NOT(Paths!$C$90=1),0,IF(Paths!$P$90="Complete",F929/12*(Paths!$L$90*(1+IF(Paths!$D$90="EV",'Operating costs'!$B$52,'Operating costs'!$B$51))^MAX(0,C929-1)+Paths!$M$90*(1+'Operating costs'!$B$53)^MAX(0,C929-1)),"n.a."))</f>
        <v>0</v>
      </c>
      <c r="I929" s="16">
        <f>IF(NOT(Paths!$C$90=1),0,IF(Paths!$P$90="Complete",IF(IF(Paths!$E$90=0,C929=0,AND(C929&gt;0,Paths!$E$90&gt;(C929-1)*12,Paths!$E$90&lt;=C929*12)),Paths!$G$90,0),"n.a."))</f>
        <v>0</v>
      </c>
      <c r="J929" s="16">
        <f>IF(NOT(Paths!$C$90=1),0,IF(Paths!$P$90="Complete",IF(IF(Paths!$E$90=0,C929=0,AND(C929&gt;0,Paths!$E$90&gt;(C929-1)*12,Paths!$E$90&lt;=C929*12)),Paths!$H$90,0),"n.a."))</f>
        <v>0</v>
      </c>
      <c r="K929" s="16">
        <f>IF(NOT(Paths!$C$90=1),0,IF(Paths!$P$90="Complete",IF(IF(Paths!$O$90=0,C929=0,AND(C929&gt;0,Paths!$O$90&gt;(C929-1)*12,Paths!$O$90&lt;=C929*12)),Paths!$N$90,0),"n.a."))</f>
        <v>0</v>
      </c>
      <c r="L929" s="16">
        <f>IF(NOT(Paths!$C$90=1),0,IF(Paths!$P$90="Complete",IF(C929=10,Paths!$I$90,0),"n.a."))</f>
        <v>0</v>
      </c>
      <c r="M929" s="16">
        <f>IF(NOT(Paths!$C$90=1),0,IF(Paths!$P$90="Complete",IF(AND(Paths!$D$90="EV",Paths!$E$90&lt;120,Paths!$E$90+'Operating costs'!$B$65&gt;Paths!$E$90,Paths!$E$90+'Operating costs'!$B$65&lt;=120,IF(Paths!$E$90+'Operating costs'!$B$65=0,C929=0,AND(C929&gt;0,Paths!$E$90+'Operating costs'!$B$65&gt;(C929-1)*12,Paths!$E$90+'Operating costs'!$B$65&lt;=C929*12))),'Operating costs'!$B$64,0)+IF(AND('Operating costs'!$B$67&gt;0,'Operating costs'!$B$67&lt;=120,OR(Paths!$D$90="ICE",'Operating costs'!$B$67&lt;=Paths!$E$90),IF('Operating costs'!$B$67=0,C929=0,AND(C929&gt;0,'Operating costs'!$B$67&gt;(C929-1)*12,'Operating costs'!$B$67&lt;=C929*12))),'Operating costs'!$B$66,0),"n.a."))</f>
        <v>0</v>
      </c>
      <c r="N929" s="16">
        <f>IF(NOT(Paths!$C$90=1),0,IF(Paths!$P$90="Complete",SUM(G929:I929)-J929-K929-L929+M929+IF(C929=0,Paths!$F$90,0)+IF(IF(Paths!$E$90=0,C929=0,AND(C929&gt;0,Paths!$E$90&gt;(C929-1)*12,Paths!$E$90&lt;=C929*12)),VLOOKUP(A929,'Fleet register'!$A$7:$S$106,16,FALSE),0),"n.a."))</f>
        <v>0</v>
      </c>
      <c r="O929" s="16">
        <f>IF(NOT(Paths!$C$90=1),0,IF(Paths!$P$90="Complete",N929-IF(C929=0,Paths!$F$90,0),"n.a."))</f>
        <v>0</v>
      </c>
      <c r="P929" s="16">
        <f>IF(NOT(Paths!$C$90=1),0,IF(Paths!$P$90="Complete",O929+L929,"n.a."))</f>
        <v>0</v>
      </c>
      <c r="Q929" s="16">
        <f>IF(NOT(Paths!$C$90=1),0,IF(Paths!$P$90="Complete",N929*(1+'Operating costs'!$B$54)^-C929,"n.a."))</f>
        <v>0</v>
      </c>
      <c r="R929" s="16">
        <f>IF(NOT(Paths!$C$90=1),0,IF(Paths!$P$90="Complete",IF(AND(C929=0,Paths!$E$90=0),I929-J929-K929+VLOOKUP(A929,'Fleet register'!$A$7:$S$106,15,FALSE)+VLOOKUP(A929,'Fleet register'!$A$7:$S$106,16,FALSE),0),"n.a."))</f>
        <v>0</v>
      </c>
      <c r="S929" s="1">
        <f>IF(NOT(Paths!$C$90=1),0,IF(Paths!$P$90="Complete",IF(C929=0,0,Paths!$S$90*Paths!$R$90),"n.a."))</f>
        <v>0</v>
      </c>
      <c r="T929" s="1">
        <f>IF(NOT(Paths!$C$90=1),0,IF(Paths!$P$90="Complete",IF(C929=0,0,VLOOKUP(A929,'Fleet register'!$A$7:$S$106,9,FALSE)*Paths!$R$90),"n.a."))</f>
        <v>0</v>
      </c>
    </row>
    <row r="930" spans="1:20" ht="24" customHeight="1">
      <c r="A930" s="1" t="str">
        <f>Paths!$A$90</f>
        <v>T021</v>
      </c>
      <c r="B930" s="1">
        <f>Paths!$B$90</f>
        <v>3</v>
      </c>
      <c r="C930" s="1">
        <v>10</v>
      </c>
      <c r="D930" s="1">
        <v>90</v>
      </c>
      <c r="E930" s="1">
        <f>IF(OR(Paths!$C$90=0,C930=0),0,MAX(0,MIN(C930*12,Paths!$E$90)-(C930-1)*12))</f>
        <v>0</v>
      </c>
      <c r="F930" s="1">
        <f>IF(OR(Paths!$C$90=0,C930=0),0,12-E930)</f>
        <v>0</v>
      </c>
      <c r="G930" s="16">
        <f>IF(NOT(Paths!$C$90=1),0,IF(Paths!$P$90="Complete",E930/12*(Paths!$J$90*(1+'Operating costs'!$B$51)^MAX(0,C930-1)+Paths!$K$90*(1+'Operating costs'!$B$53)^MAX(0,C930-1)),"n.a."))</f>
        <v>0</v>
      </c>
      <c r="H930" s="16">
        <f>IF(NOT(Paths!$C$90=1),0,IF(Paths!$P$90="Complete",F930/12*(Paths!$L$90*(1+IF(Paths!$D$90="EV",'Operating costs'!$B$52,'Operating costs'!$B$51))^MAX(0,C930-1)+Paths!$M$90*(1+'Operating costs'!$B$53)^MAX(0,C930-1)),"n.a."))</f>
        <v>0</v>
      </c>
      <c r="I930" s="16">
        <f>IF(NOT(Paths!$C$90=1),0,IF(Paths!$P$90="Complete",IF(IF(Paths!$E$90=0,C930=0,AND(C930&gt;0,Paths!$E$90&gt;(C930-1)*12,Paths!$E$90&lt;=C930*12)),Paths!$G$90,0),"n.a."))</f>
        <v>0</v>
      </c>
      <c r="J930" s="16">
        <f>IF(NOT(Paths!$C$90=1),0,IF(Paths!$P$90="Complete",IF(IF(Paths!$E$90=0,C930=0,AND(C930&gt;0,Paths!$E$90&gt;(C930-1)*12,Paths!$E$90&lt;=C930*12)),Paths!$H$90,0),"n.a."))</f>
        <v>0</v>
      </c>
      <c r="K930" s="16">
        <f>IF(NOT(Paths!$C$90=1),0,IF(Paths!$P$90="Complete",IF(IF(Paths!$O$90=0,C930=0,AND(C930&gt;0,Paths!$O$90&gt;(C930-1)*12,Paths!$O$90&lt;=C930*12)),Paths!$N$90,0),"n.a."))</f>
        <v>0</v>
      </c>
      <c r="L930" s="16">
        <f>IF(NOT(Paths!$C$90=1),0,IF(Paths!$P$90="Complete",IF(C930=10,Paths!$I$90,0),"n.a."))</f>
        <v>0</v>
      </c>
      <c r="M930" s="16">
        <f>IF(NOT(Paths!$C$90=1),0,IF(Paths!$P$90="Complete",IF(AND(Paths!$D$90="EV",Paths!$E$90&lt;120,Paths!$E$90+'Operating costs'!$B$65&gt;Paths!$E$90,Paths!$E$90+'Operating costs'!$B$65&lt;=120,IF(Paths!$E$90+'Operating costs'!$B$65=0,C930=0,AND(C930&gt;0,Paths!$E$90+'Operating costs'!$B$65&gt;(C930-1)*12,Paths!$E$90+'Operating costs'!$B$65&lt;=C930*12))),'Operating costs'!$B$64,0)+IF(AND('Operating costs'!$B$67&gt;0,'Operating costs'!$B$67&lt;=120,OR(Paths!$D$90="ICE",'Operating costs'!$B$67&lt;=Paths!$E$90),IF('Operating costs'!$B$67=0,C930=0,AND(C930&gt;0,'Operating costs'!$B$67&gt;(C930-1)*12,'Operating costs'!$B$67&lt;=C930*12))),'Operating costs'!$B$66,0),"n.a."))</f>
        <v>0</v>
      </c>
      <c r="N930" s="16">
        <f>IF(NOT(Paths!$C$90=1),0,IF(Paths!$P$90="Complete",SUM(G930:I930)-J930-K930-L930+M930+IF(C930=0,Paths!$F$90,0)+IF(IF(Paths!$E$90=0,C930=0,AND(C930&gt;0,Paths!$E$90&gt;(C930-1)*12,Paths!$E$90&lt;=C930*12)),VLOOKUP(A930,'Fleet register'!$A$7:$S$106,16,FALSE),0),"n.a."))</f>
        <v>0</v>
      </c>
      <c r="O930" s="16">
        <f>IF(NOT(Paths!$C$90=1),0,IF(Paths!$P$90="Complete",N930-IF(C930=0,Paths!$F$90,0),"n.a."))</f>
        <v>0</v>
      </c>
      <c r="P930" s="16">
        <f>IF(NOT(Paths!$C$90=1),0,IF(Paths!$P$90="Complete",O930+L930,"n.a."))</f>
        <v>0</v>
      </c>
      <c r="Q930" s="16">
        <f>IF(NOT(Paths!$C$90=1),0,IF(Paths!$P$90="Complete",N930*(1+'Operating costs'!$B$54)^-C930,"n.a."))</f>
        <v>0</v>
      </c>
      <c r="R930" s="16">
        <f>IF(NOT(Paths!$C$90=1),0,IF(Paths!$P$90="Complete",IF(AND(C930=0,Paths!$E$90=0),I930-J930-K930+VLOOKUP(A930,'Fleet register'!$A$7:$S$106,15,FALSE)+VLOOKUP(A930,'Fleet register'!$A$7:$S$106,16,FALSE),0),"n.a."))</f>
        <v>0</v>
      </c>
      <c r="S930" s="1">
        <f>IF(NOT(Paths!$C$90=1),0,IF(Paths!$P$90="Complete",IF(C930=0,0,Paths!$S$90*Paths!$R$90),"n.a."))</f>
        <v>0</v>
      </c>
      <c r="T930" s="1">
        <f>IF(NOT(Paths!$C$90=1),0,IF(Paths!$P$90="Complete",IF(C930=0,0,VLOOKUP(A930,'Fleet register'!$A$7:$S$106,9,FALSE)*Paths!$R$90),"n.a."))</f>
        <v>0</v>
      </c>
    </row>
    <row r="931" spans="1:20" ht="24" customHeight="1">
      <c r="A931" s="1" t="str">
        <f>Paths!$A$91</f>
        <v>T022</v>
      </c>
      <c r="B931" s="1">
        <f>Paths!$B$91</f>
        <v>0</v>
      </c>
      <c r="C931" s="1">
        <v>0</v>
      </c>
      <c r="D931" s="1">
        <v>91</v>
      </c>
      <c r="E931" s="1">
        <f>IF(OR(Paths!$C$91=0,C931=0),0,MAX(0,MIN(C931*12,Paths!$E$91)-(C931-1)*12))</f>
        <v>0</v>
      </c>
      <c r="F931" s="1">
        <f>IF(OR(Paths!$C$91=0,C931=0),0,12-E931)</f>
        <v>0</v>
      </c>
      <c r="G931" s="16">
        <f>IF(NOT(Paths!$C$91=1),0,IF(Paths!$P$91="Complete",E931/12*(Paths!$J$91*(1+'Operating costs'!$B$51)^MAX(0,C931-1)+Paths!$K$91*(1+'Operating costs'!$B$53)^MAX(0,C931-1)),"n.a."))</f>
        <v>0</v>
      </c>
      <c r="H931" s="16">
        <f>IF(NOT(Paths!$C$91=1),0,IF(Paths!$P$91="Complete",F931/12*(Paths!$L$91*(1+IF(Paths!$D$91="EV",'Operating costs'!$B$52,'Operating costs'!$B$51))^MAX(0,C931-1)+Paths!$M$91*(1+'Operating costs'!$B$53)^MAX(0,C931-1)),"n.a."))</f>
        <v>0</v>
      </c>
      <c r="I931" s="16">
        <f>IF(NOT(Paths!$C$91=1),0,IF(Paths!$P$91="Complete",IF(IF(Paths!$E$91=0,C931=0,AND(C931&gt;0,Paths!$E$91&gt;(C931-1)*12,Paths!$E$91&lt;=C931*12)),Paths!$G$91,0),"n.a."))</f>
        <v>0</v>
      </c>
      <c r="J931" s="16">
        <f>IF(NOT(Paths!$C$91=1),0,IF(Paths!$P$91="Complete",IF(IF(Paths!$E$91=0,C931=0,AND(C931&gt;0,Paths!$E$91&gt;(C931-1)*12,Paths!$E$91&lt;=C931*12)),Paths!$H$91,0),"n.a."))</f>
        <v>0</v>
      </c>
      <c r="K931" s="16">
        <f>IF(NOT(Paths!$C$91=1),0,IF(Paths!$P$91="Complete",IF(IF(Paths!$O$91=0,C931=0,AND(C931&gt;0,Paths!$O$91&gt;(C931-1)*12,Paths!$O$91&lt;=C931*12)),Paths!$N$91,0),"n.a."))</f>
        <v>0</v>
      </c>
      <c r="L931" s="16">
        <f>IF(NOT(Paths!$C$91=1),0,IF(Paths!$P$91="Complete",IF(C931=10,Paths!$I$91,0),"n.a."))</f>
        <v>0</v>
      </c>
      <c r="M931" s="16">
        <f>IF(NOT(Paths!$C$91=1),0,IF(Paths!$P$91="Complete",IF(AND(Paths!$D$91="EV",Paths!$E$91&lt;120,Paths!$E$91+'Operating costs'!$B$65&gt;Paths!$E$91,Paths!$E$91+'Operating costs'!$B$65&lt;=120,IF(Paths!$E$91+'Operating costs'!$B$65=0,C931=0,AND(C931&gt;0,Paths!$E$91+'Operating costs'!$B$65&gt;(C931-1)*12,Paths!$E$91+'Operating costs'!$B$65&lt;=C931*12))),'Operating costs'!$B$64,0)+IF(AND('Operating costs'!$B$67&gt;0,'Operating costs'!$B$67&lt;=120,OR(Paths!$D$91="ICE",'Operating costs'!$B$67&lt;=Paths!$E$91),IF('Operating costs'!$B$67=0,C931=0,AND(C931&gt;0,'Operating costs'!$B$67&gt;(C931-1)*12,'Operating costs'!$B$67&lt;=C931*12))),'Operating costs'!$B$66,0),"n.a."))</f>
        <v>0</v>
      </c>
      <c r="N931" s="16">
        <f>IF(NOT(Paths!$C$91=1),0,IF(Paths!$P$91="Complete",SUM(G931:I931)-J931-K931-L931+M931+IF(C931=0,Paths!$F$91,0)+IF(IF(Paths!$E$91=0,C931=0,AND(C931&gt;0,Paths!$E$91&gt;(C931-1)*12,Paths!$E$91&lt;=C931*12)),VLOOKUP(A931,'Fleet register'!$A$7:$S$106,16,FALSE),0),"n.a."))</f>
        <v>0</v>
      </c>
      <c r="O931" s="16">
        <f>IF(NOT(Paths!$C$91=1),0,IF(Paths!$P$91="Complete",N931-IF(C931=0,Paths!$F$91,0),"n.a."))</f>
        <v>0</v>
      </c>
      <c r="P931" s="16">
        <f>IF(NOT(Paths!$C$91=1),0,IF(Paths!$P$91="Complete",O931+L931,"n.a."))</f>
        <v>0</v>
      </c>
      <c r="Q931" s="16">
        <f>IF(NOT(Paths!$C$91=1),0,IF(Paths!$P$91="Complete",N931*(1+'Operating costs'!$B$54)^-C931,"n.a."))</f>
        <v>0</v>
      </c>
      <c r="R931" s="16">
        <f>IF(NOT(Paths!$C$91=1),0,IF(Paths!$P$91="Complete",IF(AND(C931=0,Paths!$E$91=0),I931-J931-K931+VLOOKUP(A931,'Fleet register'!$A$7:$S$106,15,FALSE)+VLOOKUP(A931,'Fleet register'!$A$7:$S$106,16,FALSE),0),"n.a."))</f>
        <v>0</v>
      </c>
      <c r="S931" s="1">
        <f>IF(NOT(Paths!$C$91=1),0,IF(Paths!$P$91="Complete",IF(C931=0,0,Paths!$S$91*Paths!$R$91),"n.a."))</f>
        <v>0</v>
      </c>
      <c r="T931" s="1">
        <f>IF(NOT(Paths!$C$91=1),0,IF(Paths!$P$91="Complete",IF(C931=0,0,VLOOKUP(A931,'Fleet register'!$A$7:$S$106,9,FALSE)*Paths!$R$91),"n.a."))</f>
        <v>0</v>
      </c>
    </row>
    <row r="932" spans="1:20" ht="24" customHeight="1">
      <c r="A932" s="1" t="str">
        <f>Paths!$A$91</f>
        <v>T022</v>
      </c>
      <c r="B932" s="1">
        <f>Paths!$B$91</f>
        <v>0</v>
      </c>
      <c r="C932" s="1">
        <v>1</v>
      </c>
      <c r="D932" s="1">
        <v>91</v>
      </c>
      <c r="E932" s="1">
        <f>IF(OR(Paths!$C$91=0,C932=0),0,MAX(0,MIN(C932*12,Paths!$E$91)-(C932-1)*12))</f>
        <v>0</v>
      </c>
      <c r="F932" s="1">
        <f>IF(OR(Paths!$C$91=0,C932=0),0,12-E932)</f>
        <v>0</v>
      </c>
      <c r="G932" s="16">
        <f>IF(NOT(Paths!$C$91=1),0,IF(Paths!$P$91="Complete",E932/12*(Paths!$J$91*(1+'Operating costs'!$B$51)^MAX(0,C932-1)+Paths!$K$91*(1+'Operating costs'!$B$53)^MAX(0,C932-1)),"n.a."))</f>
        <v>0</v>
      </c>
      <c r="H932" s="16">
        <f>IF(NOT(Paths!$C$91=1),0,IF(Paths!$P$91="Complete",F932/12*(Paths!$L$91*(1+IF(Paths!$D$91="EV",'Operating costs'!$B$52,'Operating costs'!$B$51))^MAX(0,C932-1)+Paths!$M$91*(1+'Operating costs'!$B$53)^MAX(0,C932-1)),"n.a."))</f>
        <v>0</v>
      </c>
      <c r="I932" s="16">
        <f>IF(NOT(Paths!$C$91=1),0,IF(Paths!$P$91="Complete",IF(IF(Paths!$E$91=0,C932=0,AND(C932&gt;0,Paths!$E$91&gt;(C932-1)*12,Paths!$E$91&lt;=C932*12)),Paths!$G$91,0),"n.a."))</f>
        <v>0</v>
      </c>
      <c r="J932" s="16">
        <f>IF(NOT(Paths!$C$91=1),0,IF(Paths!$P$91="Complete",IF(IF(Paths!$E$91=0,C932=0,AND(C932&gt;0,Paths!$E$91&gt;(C932-1)*12,Paths!$E$91&lt;=C932*12)),Paths!$H$91,0),"n.a."))</f>
        <v>0</v>
      </c>
      <c r="K932" s="16">
        <f>IF(NOT(Paths!$C$91=1),0,IF(Paths!$P$91="Complete",IF(IF(Paths!$O$91=0,C932=0,AND(C932&gt;0,Paths!$O$91&gt;(C932-1)*12,Paths!$O$91&lt;=C932*12)),Paths!$N$91,0),"n.a."))</f>
        <v>0</v>
      </c>
      <c r="L932" s="16">
        <f>IF(NOT(Paths!$C$91=1),0,IF(Paths!$P$91="Complete",IF(C932=10,Paths!$I$91,0),"n.a."))</f>
        <v>0</v>
      </c>
      <c r="M932" s="16">
        <f>IF(NOT(Paths!$C$91=1),0,IF(Paths!$P$91="Complete",IF(AND(Paths!$D$91="EV",Paths!$E$91&lt;120,Paths!$E$91+'Operating costs'!$B$65&gt;Paths!$E$91,Paths!$E$91+'Operating costs'!$B$65&lt;=120,IF(Paths!$E$91+'Operating costs'!$B$65=0,C932=0,AND(C932&gt;0,Paths!$E$91+'Operating costs'!$B$65&gt;(C932-1)*12,Paths!$E$91+'Operating costs'!$B$65&lt;=C932*12))),'Operating costs'!$B$64,0)+IF(AND('Operating costs'!$B$67&gt;0,'Operating costs'!$B$67&lt;=120,OR(Paths!$D$91="ICE",'Operating costs'!$B$67&lt;=Paths!$E$91),IF('Operating costs'!$B$67=0,C932=0,AND(C932&gt;0,'Operating costs'!$B$67&gt;(C932-1)*12,'Operating costs'!$B$67&lt;=C932*12))),'Operating costs'!$B$66,0),"n.a."))</f>
        <v>0</v>
      </c>
      <c r="N932" s="16">
        <f>IF(NOT(Paths!$C$91=1),0,IF(Paths!$P$91="Complete",SUM(G932:I932)-J932-K932-L932+M932+IF(C932=0,Paths!$F$91,0)+IF(IF(Paths!$E$91=0,C932=0,AND(C932&gt;0,Paths!$E$91&gt;(C932-1)*12,Paths!$E$91&lt;=C932*12)),VLOOKUP(A932,'Fleet register'!$A$7:$S$106,16,FALSE),0),"n.a."))</f>
        <v>0</v>
      </c>
      <c r="O932" s="16">
        <f>IF(NOT(Paths!$C$91=1),0,IF(Paths!$P$91="Complete",N932-IF(C932=0,Paths!$F$91,0),"n.a."))</f>
        <v>0</v>
      </c>
      <c r="P932" s="16">
        <f>IF(NOT(Paths!$C$91=1),0,IF(Paths!$P$91="Complete",O932+L932,"n.a."))</f>
        <v>0</v>
      </c>
      <c r="Q932" s="16">
        <f>IF(NOT(Paths!$C$91=1),0,IF(Paths!$P$91="Complete",N932*(1+'Operating costs'!$B$54)^-C932,"n.a."))</f>
        <v>0</v>
      </c>
      <c r="R932" s="16">
        <f>IF(NOT(Paths!$C$91=1),0,IF(Paths!$P$91="Complete",IF(AND(C932=0,Paths!$E$91=0),I932-J932-K932+VLOOKUP(A932,'Fleet register'!$A$7:$S$106,15,FALSE)+VLOOKUP(A932,'Fleet register'!$A$7:$S$106,16,FALSE),0),"n.a."))</f>
        <v>0</v>
      </c>
      <c r="S932" s="1">
        <f>IF(NOT(Paths!$C$91=1),0,IF(Paths!$P$91="Complete",IF(C932=0,0,Paths!$S$91*Paths!$R$91),"n.a."))</f>
        <v>0</v>
      </c>
      <c r="T932" s="1">
        <f>IF(NOT(Paths!$C$91=1),0,IF(Paths!$P$91="Complete",IF(C932=0,0,VLOOKUP(A932,'Fleet register'!$A$7:$S$106,9,FALSE)*Paths!$R$91),"n.a."))</f>
        <v>0</v>
      </c>
    </row>
    <row r="933" spans="1:20" ht="24" customHeight="1">
      <c r="A933" s="1" t="str">
        <f>Paths!$A$91</f>
        <v>T022</v>
      </c>
      <c r="B933" s="1">
        <f>Paths!$B$91</f>
        <v>0</v>
      </c>
      <c r="C933" s="1">
        <v>2</v>
      </c>
      <c r="D933" s="1">
        <v>91</v>
      </c>
      <c r="E933" s="1">
        <f>IF(OR(Paths!$C$91=0,C933=0),0,MAX(0,MIN(C933*12,Paths!$E$91)-(C933-1)*12))</f>
        <v>0</v>
      </c>
      <c r="F933" s="1">
        <f>IF(OR(Paths!$C$91=0,C933=0),0,12-E933)</f>
        <v>0</v>
      </c>
      <c r="G933" s="16">
        <f>IF(NOT(Paths!$C$91=1),0,IF(Paths!$P$91="Complete",E933/12*(Paths!$J$91*(1+'Operating costs'!$B$51)^MAX(0,C933-1)+Paths!$K$91*(1+'Operating costs'!$B$53)^MAX(0,C933-1)),"n.a."))</f>
        <v>0</v>
      </c>
      <c r="H933" s="16">
        <f>IF(NOT(Paths!$C$91=1),0,IF(Paths!$P$91="Complete",F933/12*(Paths!$L$91*(1+IF(Paths!$D$91="EV",'Operating costs'!$B$52,'Operating costs'!$B$51))^MAX(0,C933-1)+Paths!$M$91*(1+'Operating costs'!$B$53)^MAX(0,C933-1)),"n.a."))</f>
        <v>0</v>
      </c>
      <c r="I933" s="16">
        <f>IF(NOT(Paths!$C$91=1),0,IF(Paths!$P$91="Complete",IF(IF(Paths!$E$91=0,C933=0,AND(C933&gt;0,Paths!$E$91&gt;(C933-1)*12,Paths!$E$91&lt;=C933*12)),Paths!$G$91,0),"n.a."))</f>
        <v>0</v>
      </c>
      <c r="J933" s="16">
        <f>IF(NOT(Paths!$C$91=1),0,IF(Paths!$P$91="Complete",IF(IF(Paths!$E$91=0,C933=0,AND(C933&gt;0,Paths!$E$91&gt;(C933-1)*12,Paths!$E$91&lt;=C933*12)),Paths!$H$91,0),"n.a."))</f>
        <v>0</v>
      </c>
      <c r="K933" s="16">
        <f>IF(NOT(Paths!$C$91=1),0,IF(Paths!$P$91="Complete",IF(IF(Paths!$O$91=0,C933=0,AND(C933&gt;0,Paths!$O$91&gt;(C933-1)*12,Paths!$O$91&lt;=C933*12)),Paths!$N$91,0),"n.a."))</f>
        <v>0</v>
      </c>
      <c r="L933" s="16">
        <f>IF(NOT(Paths!$C$91=1),0,IF(Paths!$P$91="Complete",IF(C933=10,Paths!$I$91,0),"n.a."))</f>
        <v>0</v>
      </c>
      <c r="M933" s="16">
        <f>IF(NOT(Paths!$C$91=1),0,IF(Paths!$P$91="Complete",IF(AND(Paths!$D$91="EV",Paths!$E$91&lt;120,Paths!$E$91+'Operating costs'!$B$65&gt;Paths!$E$91,Paths!$E$91+'Operating costs'!$B$65&lt;=120,IF(Paths!$E$91+'Operating costs'!$B$65=0,C933=0,AND(C933&gt;0,Paths!$E$91+'Operating costs'!$B$65&gt;(C933-1)*12,Paths!$E$91+'Operating costs'!$B$65&lt;=C933*12))),'Operating costs'!$B$64,0)+IF(AND('Operating costs'!$B$67&gt;0,'Operating costs'!$B$67&lt;=120,OR(Paths!$D$91="ICE",'Operating costs'!$B$67&lt;=Paths!$E$91),IF('Operating costs'!$B$67=0,C933=0,AND(C933&gt;0,'Operating costs'!$B$67&gt;(C933-1)*12,'Operating costs'!$B$67&lt;=C933*12))),'Operating costs'!$B$66,0),"n.a."))</f>
        <v>0</v>
      </c>
      <c r="N933" s="16">
        <f>IF(NOT(Paths!$C$91=1),0,IF(Paths!$P$91="Complete",SUM(G933:I933)-J933-K933-L933+M933+IF(C933=0,Paths!$F$91,0)+IF(IF(Paths!$E$91=0,C933=0,AND(C933&gt;0,Paths!$E$91&gt;(C933-1)*12,Paths!$E$91&lt;=C933*12)),VLOOKUP(A933,'Fleet register'!$A$7:$S$106,16,FALSE),0),"n.a."))</f>
        <v>0</v>
      </c>
      <c r="O933" s="16">
        <f>IF(NOT(Paths!$C$91=1),0,IF(Paths!$P$91="Complete",N933-IF(C933=0,Paths!$F$91,0),"n.a."))</f>
        <v>0</v>
      </c>
      <c r="P933" s="16">
        <f>IF(NOT(Paths!$C$91=1),0,IF(Paths!$P$91="Complete",O933+L933,"n.a."))</f>
        <v>0</v>
      </c>
      <c r="Q933" s="16">
        <f>IF(NOT(Paths!$C$91=1),0,IF(Paths!$P$91="Complete",N933*(1+'Operating costs'!$B$54)^-C933,"n.a."))</f>
        <v>0</v>
      </c>
      <c r="R933" s="16">
        <f>IF(NOT(Paths!$C$91=1),0,IF(Paths!$P$91="Complete",IF(AND(C933=0,Paths!$E$91=0),I933-J933-K933+VLOOKUP(A933,'Fleet register'!$A$7:$S$106,15,FALSE)+VLOOKUP(A933,'Fleet register'!$A$7:$S$106,16,FALSE),0),"n.a."))</f>
        <v>0</v>
      </c>
      <c r="S933" s="1">
        <f>IF(NOT(Paths!$C$91=1),0,IF(Paths!$P$91="Complete",IF(C933=0,0,Paths!$S$91*Paths!$R$91),"n.a."))</f>
        <v>0</v>
      </c>
      <c r="T933" s="1">
        <f>IF(NOT(Paths!$C$91=1),0,IF(Paths!$P$91="Complete",IF(C933=0,0,VLOOKUP(A933,'Fleet register'!$A$7:$S$106,9,FALSE)*Paths!$R$91),"n.a."))</f>
        <v>0</v>
      </c>
    </row>
    <row r="934" spans="1:20" ht="24" customHeight="1">
      <c r="A934" s="1" t="str">
        <f>Paths!$A$91</f>
        <v>T022</v>
      </c>
      <c r="B934" s="1">
        <f>Paths!$B$91</f>
        <v>0</v>
      </c>
      <c r="C934" s="1">
        <v>3</v>
      </c>
      <c r="D934" s="1">
        <v>91</v>
      </c>
      <c r="E934" s="1">
        <f>IF(OR(Paths!$C$91=0,C934=0),0,MAX(0,MIN(C934*12,Paths!$E$91)-(C934-1)*12))</f>
        <v>0</v>
      </c>
      <c r="F934" s="1">
        <f>IF(OR(Paths!$C$91=0,C934=0),0,12-E934)</f>
        <v>0</v>
      </c>
      <c r="G934" s="16">
        <f>IF(NOT(Paths!$C$91=1),0,IF(Paths!$P$91="Complete",E934/12*(Paths!$J$91*(1+'Operating costs'!$B$51)^MAX(0,C934-1)+Paths!$K$91*(1+'Operating costs'!$B$53)^MAX(0,C934-1)),"n.a."))</f>
        <v>0</v>
      </c>
      <c r="H934" s="16">
        <f>IF(NOT(Paths!$C$91=1),0,IF(Paths!$P$91="Complete",F934/12*(Paths!$L$91*(1+IF(Paths!$D$91="EV",'Operating costs'!$B$52,'Operating costs'!$B$51))^MAX(0,C934-1)+Paths!$M$91*(1+'Operating costs'!$B$53)^MAX(0,C934-1)),"n.a."))</f>
        <v>0</v>
      </c>
      <c r="I934" s="16">
        <f>IF(NOT(Paths!$C$91=1),0,IF(Paths!$P$91="Complete",IF(IF(Paths!$E$91=0,C934=0,AND(C934&gt;0,Paths!$E$91&gt;(C934-1)*12,Paths!$E$91&lt;=C934*12)),Paths!$G$91,0),"n.a."))</f>
        <v>0</v>
      </c>
      <c r="J934" s="16">
        <f>IF(NOT(Paths!$C$91=1),0,IF(Paths!$P$91="Complete",IF(IF(Paths!$E$91=0,C934=0,AND(C934&gt;0,Paths!$E$91&gt;(C934-1)*12,Paths!$E$91&lt;=C934*12)),Paths!$H$91,0),"n.a."))</f>
        <v>0</v>
      </c>
      <c r="K934" s="16">
        <f>IF(NOT(Paths!$C$91=1),0,IF(Paths!$P$91="Complete",IF(IF(Paths!$O$91=0,C934=0,AND(C934&gt;0,Paths!$O$91&gt;(C934-1)*12,Paths!$O$91&lt;=C934*12)),Paths!$N$91,0),"n.a."))</f>
        <v>0</v>
      </c>
      <c r="L934" s="16">
        <f>IF(NOT(Paths!$C$91=1),0,IF(Paths!$P$91="Complete",IF(C934=10,Paths!$I$91,0),"n.a."))</f>
        <v>0</v>
      </c>
      <c r="M934" s="16">
        <f>IF(NOT(Paths!$C$91=1),0,IF(Paths!$P$91="Complete",IF(AND(Paths!$D$91="EV",Paths!$E$91&lt;120,Paths!$E$91+'Operating costs'!$B$65&gt;Paths!$E$91,Paths!$E$91+'Operating costs'!$B$65&lt;=120,IF(Paths!$E$91+'Operating costs'!$B$65=0,C934=0,AND(C934&gt;0,Paths!$E$91+'Operating costs'!$B$65&gt;(C934-1)*12,Paths!$E$91+'Operating costs'!$B$65&lt;=C934*12))),'Operating costs'!$B$64,0)+IF(AND('Operating costs'!$B$67&gt;0,'Operating costs'!$B$67&lt;=120,OR(Paths!$D$91="ICE",'Operating costs'!$B$67&lt;=Paths!$E$91),IF('Operating costs'!$B$67=0,C934=0,AND(C934&gt;0,'Operating costs'!$B$67&gt;(C934-1)*12,'Operating costs'!$B$67&lt;=C934*12))),'Operating costs'!$B$66,0),"n.a."))</f>
        <v>0</v>
      </c>
      <c r="N934" s="16">
        <f>IF(NOT(Paths!$C$91=1),0,IF(Paths!$P$91="Complete",SUM(G934:I934)-J934-K934-L934+M934+IF(C934=0,Paths!$F$91,0)+IF(IF(Paths!$E$91=0,C934=0,AND(C934&gt;0,Paths!$E$91&gt;(C934-1)*12,Paths!$E$91&lt;=C934*12)),VLOOKUP(A934,'Fleet register'!$A$7:$S$106,16,FALSE),0),"n.a."))</f>
        <v>0</v>
      </c>
      <c r="O934" s="16">
        <f>IF(NOT(Paths!$C$91=1),0,IF(Paths!$P$91="Complete",N934-IF(C934=0,Paths!$F$91,0),"n.a."))</f>
        <v>0</v>
      </c>
      <c r="P934" s="16">
        <f>IF(NOT(Paths!$C$91=1),0,IF(Paths!$P$91="Complete",O934+L934,"n.a."))</f>
        <v>0</v>
      </c>
      <c r="Q934" s="16">
        <f>IF(NOT(Paths!$C$91=1),0,IF(Paths!$P$91="Complete",N934*(1+'Operating costs'!$B$54)^-C934,"n.a."))</f>
        <v>0</v>
      </c>
      <c r="R934" s="16">
        <f>IF(NOT(Paths!$C$91=1),0,IF(Paths!$P$91="Complete",IF(AND(C934=0,Paths!$E$91=0),I934-J934-K934+VLOOKUP(A934,'Fleet register'!$A$7:$S$106,15,FALSE)+VLOOKUP(A934,'Fleet register'!$A$7:$S$106,16,FALSE),0),"n.a."))</f>
        <v>0</v>
      </c>
      <c r="S934" s="1">
        <f>IF(NOT(Paths!$C$91=1),0,IF(Paths!$P$91="Complete",IF(C934=0,0,Paths!$S$91*Paths!$R$91),"n.a."))</f>
        <v>0</v>
      </c>
      <c r="T934" s="1">
        <f>IF(NOT(Paths!$C$91=1),0,IF(Paths!$P$91="Complete",IF(C934=0,0,VLOOKUP(A934,'Fleet register'!$A$7:$S$106,9,FALSE)*Paths!$R$91),"n.a."))</f>
        <v>0</v>
      </c>
    </row>
    <row r="935" spans="1:20" ht="24" customHeight="1">
      <c r="A935" s="1" t="str">
        <f>Paths!$A$91</f>
        <v>T022</v>
      </c>
      <c r="B935" s="1">
        <f>Paths!$B$91</f>
        <v>0</v>
      </c>
      <c r="C935" s="1">
        <v>4</v>
      </c>
      <c r="D935" s="1">
        <v>91</v>
      </c>
      <c r="E935" s="1">
        <f>IF(OR(Paths!$C$91=0,C935=0),0,MAX(0,MIN(C935*12,Paths!$E$91)-(C935-1)*12))</f>
        <v>0</v>
      </c>
      <c r="F935" s="1">
        <f>IF(OR(Paths!$C$91=0,C935=0),0,12-E935)</f>
        <v>0</v>
      </c>
      <c r="G935" s="16">
        <f>IF(NOT(Paths!$C$91=1),0,IF(Paths!$P$91="Complete",E935/12*(Paths!$J$91*(1+'Operating costs'!$B$51)^MAX(0,C935-1)+Paths!$K$91*(1+'Operating costs'!$B$53)^MAX(0,C935-1)),"n.a."))</f>
        <v>0</v>
      </c>
      <c r="H935" s="16">
        <f>IF(NOT(Paths!$C$91=1),0,IF(Paths!$P$91="Complete",F935/12*(Paths!$L$91*(1+IF(Paths!$D$91="EV",'Operating costs'!$B$52,'Operating costs'!$B$51))^MAX(0,C935-1)+Paths!$M$91*(1+'Operating costs'!$B$53)^MAX(0,C935-1)),"n.a."))</f>
        <v>0</v>
      </c>
      <c r="I935" s="16">
        <f>IF(NOT(Paths!$C$91=1),0,IF(Paths!$P$91="Complete",IF(IF(Paths!$E$91=0,C935=0,AND(C935&gt;0,Paths!$E$91&gt;(C935-1)*12,Paths!$E$91&lt;=C935*12)),Paths!$G$91,0),"n.a."))</f>
        <v>0</v>
      </c>
      <c r="J935" s="16">
        <f>IF(NOT(Paths!$C$91=1),0,IF(Paths!$P$91="Complete",IF(IF(Paths!$E$91=0,C935=0,AND(C935&gt;0,Paths!$E$91&gt;(C935-1)*12,Paths!$E$91&lt;=C935*12)),Paths!$H$91,0),"n.a."))</f>
        <v>0</v>
      </c>
      <c r="K935" s="16">
        <f>IF(NOT(Paths!$C$91=1),0,IF(Paths!$P$91="Complete",IF(IF(Paths!$O$91=0,C935=0,AND(C935&gt;0,Paths!$O$91&gt;(C935-1)*12,Paths!$O$91&lt;=C935*12)),Paths!$N$91,0),"n.a."))</f>
        <v>0</v>
      </c>
      <c r="L935" s="16">
        <f>IF(NOT(Paths!$C$91=1),0,IF(Paths!$P$91="Complete",IF(C935=10,Paths!$I$91,0),"n.a."))</f>
        <v>0</v>
      </c>
      <c r="M935" s="16">
        <f>IF(NOT(Paths!$C$91=1),0,IF(Paths!$P$91="Complete",IF(AND(Paths!$D$91="EV",Paths!$E$91&lt;120,Paths!$E$91+'Operating costs'!$B$65&gt;Paths!$E$91,Paths!$E$91+'Operating costs'!$B$65&lt;=120,IF(Paths!$E$91+'Operating costs'!$B$65=0,C935=0,AND(C935&gt;0,Paths!$E$91+'Operating costs'!$B$65&gt;(C935-1)*12,Paths!$E$91+'Operating costs'!$B$65&lt;=C935*12))),'Operating costs'!$B$64,0)+IF(AND('Operating costs'!$B$67&gt;0,'Operating costs'!$B$67&lt;=120,OR(Paths!$D$91="ICE",'Operating costs'!$B$67&lt;=Paths!$E$91),IF('Operating costs'!$B$67=0,C935=0,AND(C935&gt;0,'Operating costs'!$B$67&gt;(C935-1)*12,'Operating costs'!$B$67&lt;=C935*12))),'Operating costs'!$B$66,0),"n.a."))</f>
        <v>0</v>
      </c>
      <c r="N935" s="16">
        <f>IF(NOT(Paths!$C$91=1),0,IF(Paths!$P$91="Complete",SUM(G935:I935)-J935-K935-L935+M935+IF(C935=0,Paths!$F$91,0)+IF(IF(Paths!$E$91=0,C935=0,AND(C935&gt;0,Paths!$E$91&gt;(C935-1)*12,Paths!$E$91&lt;=C935*12)),VLOOKUP(A935,'Fleet register'!$A$7:$S$106,16,FALSE),0),"n.a."))</f>
        <v>0</v>
      </c>
      <c r="O935" s="16">
        <f>IF(NOT(Paths!$C$91=1),0,IF(Paths!$P$91="Complete",N935-IF(C935=0,Paths!$F$91,0),"n.a."))</f>
        <v>0</v>
      </c>
      <c r="P935" s="16">
        <f>IF(NOT(Paths!$C$91=1),0,IF(Paths!$P$91="Complete",O935+L935,"n.a."))</f>
        <v>0</v>
      </c>
      <c r="Q935" s="16">
        <f>IF(NOT(Paths!$C$91=1),0,IF(Paths!$P$91="Complete",N935*(1+'Operating costs'!$B$54)^-C935,"n.a."))</f>
        <v>0</v>
      </c>
      <c r="R935" s="16">
        <f>IF(NOT(Paths!$C$91=1),0,IF(Paths!$P$91="Complete",IF(AND(C935=0,Paths!$E$91=0),I935-J935-K935+VLOOKUP(A935,'Fleet register'!$A$7:$S$106,15,FALSE)+VLOOKUP(A935,'Fleet register'!$A$7:$S$106,16,FALSE),0),"n.a."))</f>
        <v>0</v>
      </c>
      <c r="S935" s="1">
        <f>IF(NOT(Paths!$C$91=1),0,IF(Paths!$P$91="Complete",IF(C935=0,0,Paths!$S$91*Paths!$R$91),"n.a."))</f>
        <v>0</v>
      </c>
      <c r="T935" s="1">
        <f>IF(NOT(Paths!$C$91=1),0,IF(Paths!$P$91="Complete",IF(C935=0,0,VLOOKUP(A935,'Fleet register'!$A$7:$S$106,9,FALSE)*Paths!$R$91),"n.a."))</f>
        <v>0</v>
      </c>
    </row>
    <row r="936" spans="1:20" ht="24" customHeight="1">
      <c r="A936" s="1" t="str">
        <f>Paths!$A$91</f>
        <v>T022</v>
      </c>
      <c r="B936" s="1">
        <f>Paths!$B$91</f>
        <v>0</v>
      </c>
      <c r="C936" s="1">
        <v>5</v>
      </c>
      <c r="D936" s="1">
        <v>91</v>
      </c>
      <c r="E936" s="1">
        <f>IF(OR(Paths!$C$91=0,C936=0),0,MAX(0,MIN(C936*12,Paths!$E$91)-(C936-1)*12))</f>
        <v>0</v>
      </c>
      <c r="F936" s="1">
        <f>IF(OR(Paths!$C$91=0,C936=0),0,12-E936)</f>
        <v>0</v>
      </c>
      <c r="G936" s="16">
        <f>IF(NOT(Paths!$C$91=1),0,IF(Paths!$P$91="Complete",E936/12*(Paths!$J$91*(1+'Operating costs'!$B$51)^MAX(0,C936-1)+Paths!$K$91*(1+'Operating costs'!$B$53)^MAX(0,C936-1)),"n.a."))</f>
        <v>0</v>
      </c>
      <c r="H936" s="16">
        <f>IF(NOT(Paths!$C$91=1),0,IF(Paths!$P$91="Complete",F936/12*(Paths!$L$91*(1+IF(Paths!$D$91="EV",'Operating costs'!$B$52,'Operating costs'!$B$51))^MAX(0,C936-1)+Paths!$M$91*(1+'Operating costs'!$B$53)^MAX(0,C936-1)),"n.a."))</f>
        <v>0</v>
      </c>
      <c r="I936" s="16">
        <f>IF(NOT(Paths!$C$91=1),0,IF(Paths!$P$91="Complete",IF(IF(Paths!$E$91=0,C936=0,AND(C936&gt;0,Paths!$E$91&gt;(C936-1)*12,Paths!$E$91&lt;=C936*12)),Paths!$G$91,0),"n.a."))</f>
        <v>0</v>
      </c>
      <c r="J936" s="16">
        <f>IF(NOT(Paths!$C$91=1),0,IF(Paths!$P$91="Complete",IF(IF(Paths!$E$91=0,C936=0,AND(C936&gt;0,Paths!$E$91&gt;(C936-1)*12,Paths!$E$91&lt;=C936*12)),Paths!$H$91,0),"n.a."))</f>
        <v>0</v>
      </c>
      <c r="K936" s="16">
        <f>IF(NOT(Paths!$C$91=1),0,IF(Paths!$P$91="Complete",IF(IF(Paths!$O$91=0,C936=0,AND(C936&gt;0,Paths!$O$91&gt;(C936-1)*12,Paths!$O$91&lt;=C936*12)),Paths!$N$91,0),"n.a."))</f>
        <v>0</v>
      </c>
      <c r="L936" s="16">
        <f>IF(NOT(Paths!$C$91=1),0,IF(Paths!$P$91="Complete",IF(C936=10,Paths!$I$91,0),"n.a."))</f>
        <v>0</v>
      </c>
      <c r="M936" s="16">
        <f>IF(NOT(Paths!$C$91=1),0,IF(Paths!$P$91="Complete",IF(AND(Paths!$D$91="EV",Paths!$E$91&lt;120,Paths!$E$91+'Operating costs'!$B$65&gt;Paths!$E$91,Paths!$E$91+'Operating costs'!$B$65&lt;=120,IF(Paths!$E$91+'Operating costs'!$B$65=0,C936=0,AND(C936&gt;0,Paths!$E$91+'Operating costs'!$B$65&gt;(C936-1)*12,Paths!$E$91+'Operating costs'!$B$65&lt;=C936*12))),'Operating costs'!$B$64,0)+IF(AND('Operating costs'!$B$67&gt;0,'Operating costs'!$B$67&lt;=120,OR(Paths!$D$91="ICE",'Operating costs'!$B$67&lt;=Paths!$E$91),IF('Operating costs'!$B$67=0,C936=0,AND(C936&gt;0,'Operating costs'!$B$67&gt;(C936-1)*12,'Operating costs'!$B$67&lt;=C936*12))),'Operating costs'!$B$66,0),"n.a."))</f>
        <v>0</v>
      </c>
      <c r="N936" s="16">
        <f>IF(NOT(Paths!$C$91=1),0,IF(Paths!$P$91="Complete",SUM(G936:I936)-J936-K936-L936+M936+IF(C936=0,Paths!$F$91,0)+IF(IF(Paths!$E$91=0,C936=0,AND(C936&gt;0,Paths!$E$91&gt;(C936-1)*12,Paths!$E$91&lt;=C936*12)),VLOOKUP(A936,'Fleet register'!$A$7:$S$106,16,FALSE),0),"n.a."))</f>
        <v>0</v>
      </c>
      <c r="O936" s="16">
        <f>IF(NOT(Paths!$C$91=1),0,IF(Paths!$P$91="Complete",N936-IF(C936=0,Paths!$F$91,0),"n.a."))</f>
        <v>0</v>
      </c>
      <c r="P936" s="16">
        <f>IF(NOT(Paths!$C$91=1),0,IF(Paths!$P$91="Complete",O936+L936,"n.a."))</f>
        <v>0</v>
      </c>
      <c r="Q936" s="16">
        <f>IF(NOT(Paths!$C$91=1),0,IF(Paths!$P$91="Complete",N936*(1+'Operating costs'!$B$54)^-C936,"n.a."))</f>
        <v>0</v>
      </c>
      <c r="R936" s="16">
        <f>IF(NOT(Paths!$C$91=1),0,IF(Paths!$P$91="Complete",IF(AND(C936=0,Paths!$E$91=0),I936-J936-K936+VLOOKUP(A936,'Fleet register'!$A$7:$S$106,15,FALSE)+VLOOKUP(A936,'Fleet register'!$A$7:$S$106,16,FALSE),0),"n.a."))</f>
        <v>0</v>
      </c>
      <c r="S936" s="1">
        <f>IF(NOT(Paths!$C$91=1),0,IF(Paths!$P$91="Complete",IF(C936=0,0,Paths!$S$91*Paths!$R$91),"n.a."))</f>
        <v>0</v>
      </c>
      <c r="T936" s="1">
        <f>IF(NOT(Paths!$C$91=1),0,IF(Paths!$P$91="Complete",IF(C936=0,0,VLOOKUP(A936,'Fleet register'!$A$7:$S$106,9,FALSE)*Paths!$R$91),"n.a."))</f>
        <v>0</v>
      </c>
    </row>
    <row r="937" spans="1:20" ht="24" customHeight="1">
      <c r="A937" s="1" t="str">
        <f>Paths!$A$91</f>
        <v>T022</v>
      </c>
      <c r="B937" s="1">
        <f>Paths!$B$91</f>
        <v>0</v>
      </c>
      <c r="C937" s="1">
        <v>6</v>
      </c>
      <c r="D937" s="1">
        <v>91</v>
      </c>
      <c r="E937" s="1">
        <f>IF(OR(Paths!$C$91=0,C937=0),0,MAX(0,MIN(C937*12,Paths!$E$91)-(C937-1)*12))</f>
        <v>0</v>
      </c>
      <c r="F937" s="1">
        <f>IF(OR(Paths!$C$91=0,C937=0),0,12-E937)</f>
        <v>0</v>
      </c>
      <c r="G937" s="16">
        <f>IF(NOT(Paths!$C$91=1),0,IF(Paths!$P$91="Complete",E937/12*(Paths!$J$91*(1+'Operating costs'!$B$51)^MAX(0,C937-1)+Paths!$K$91*(1+'Operating costs'!$B$53)^MAX(0,C937-1)),"n.a."))</f>
        <v>0</v>
      </c>
      <c r="H937" s="16">
        <f>IF(NOT(Paths!$C$91=1),0,IF(Paths!$P$91="Complete",F937/12*(Paths!$L$91*(1+IF(Paths!$D$91="EV",'Operating costs'!$B$52,'Operating costs'!$B$51))^MAX(0,C937-1)+Paths!$M$91*(1+'Operating costs'!$B$53)^MAX(0,C937-1)),"n.a."))</f>
        <v>0</v>
      </c>
      <c r="I937" s="16">
        <f>IF(NOT(Paths!$C$91=1),0,IF(Paths!$P$91="Complete",IF(IF(Paths!$E$91=0,C937=0,AND(C937&gt;0,Paths!$E$91&gt;(C937-1)*12,Paths!$E$91&lt;=C937*12)),Paths!$G$91,0),"n.a."))</f>
        <v>0</v>
      </c>
      <c r="J937" s="16">
        <f>IF(NOT(Paths!$C$91=1),0,IF(Paths!$P$91="Complete",IF(IF(Paths!$E$91=0,C937=0,AND(C937&gt;0,Paths!$E$91&gt;(C937-1)*12,Paths!$E$91&lt;=C937*12)),Paths!$H$91,0),"n.a."))</f>
        <v>0</v>
      </c>
      <c r="K937" s="16">
        <f>IF(NOT(Paths!$C$91=1),0,IF(Paths!$P$91="Complete",IF(IF(Paths!$O$91=0,C937=0,AND(C937&gt;0,Paths!$O$91&gt;(C937-1)*12,Paths!$O$91&lt;=C937*12)),Paths!$N$91,0),"n.a."))</f>
        <v>0</v>
      </c>
      <c r="L937" s="16">
        <f>IF(NOT(Paths!$C$91=1),0,IF(Paths!$P$91="Complete",IF(C937=10,Paths!$I$91,0),"n.a."))</f>
        <v>0</v>
      </c>
      <c r="M937" s="16">
        <f>IF(NOT(Paths!$C$91=1),0,IF(Paths!$P$91="Complete",IF(AND(Paths!$D$91="EV",Paths!$E$91&lt;120,Paths!$E$91+'Operating costs'!$B$65&gt;Paths!$E$91,Paths!$E$91+'Operating costs'!$B$65&lt;=120,IF(Paths!$E$91+'Operating costs'!$B$65=0,C937=0,AND(C937&gt;0,Paths!$E$91+'Operating costs'!$B$65&gt;(C937-1)*12,Paths!$E$91+'Operating costs'!$B$65&lt;=C937*12))),'Operating costs'!$B$64,0)+IF(AND('Operating costs'!$B$67&gt;0,'Operating costs'!$B$67&lt;=120,OR(Paths!$D$91="ICE",'Operating costs'!$B$67&lt;=Paths!$E$91),IF('Operating costs'!$B$67=0,C937=0,AND(C937&gt;0,'Operating costs'!$B$67&gt;(C937-1)*12,'Operating costs'!$B$67&lt;=C937*12))),'Operating costs'!$B$66,0),"n.a."))</f>
        <v>0</v>
      </c>
      <c r="N937" s="16">
        <f>IF(NOT(Paths!$C$91=1),0,IF(Paths!$P$91="Complete",SUM(G937:I937)-J937-K937-L937+M937+IF(C937=0,Paths!$F$91,0)+IF(IF(Paths!$E$91=0,C937=0,AND(C937&gt;0,Paths!$E$91&gt;(C937-1)*12,Paths!$E$91&lt;=C937*12)),VLOOKUP(A937,'Fleet register'!$A$7:$S$106,16,FALSE),0),"n.a."))</f>
        <v>0</v>
      </c>
      <c r="O937" s="16">
        <f>IF(NOT(Paths!$C$91=1),0,IF(Paths!$P$91="Complete",N937-IF(C937=0,Paths!$F$91,0),"n.a."))</f>
        <v>0</v>
      </c>
      <c r="P937" s="16">
        <f>IF(NOT(Paths!$C$91=1),0,IF(Paths!$P$91="Complete",O937+L937,"n.a."))</f>
        <v>0</v>
      </c>
      <c r="Q937" s="16">
        <f>IF(NOT(Paths!$C$91=1),0,IF(Paths!$P$91="Complete",N937*(1+'Operating costs'!$B$54)^-C937,"n.a."))</f>
        <v>0</v>
      </c>
      <c r="R937" s="16">
        <f>IF(NOT(Paths!$C$91=1),0,IF(Paths!$P$91="Complete",IF(AND(C937=0,Paths!$E$91=0),I937-J937-K937+VLOOKUP(A937,'Fleet register'!$A$7:$S$106,15,FALSE)+VLOOKUP(A937,'Fleet register'!$A$7:$S$106,16,FALSE),0),"n.a."))</f>
        <v>0</v>
      </c>
      <c r="S937" s="1">
        <f>IF(NOT(Paths!$C$91=1),0,IF(Paths!$P$91="Complete",IF(C937=0,0,Paths!$S$91*Paths!$R$91),"n.a."))</f>
        <v>0</v>
      </c>
      <c r="T937" s="1">
        <f>IF(NOT(Paths!$C$91=1),0,IF(Paths!$P$91="Complete",IF(C937=0,0,VLOOKUP(A937,'Fleet register'!$A$7:$S$106,9,FALSE)*Paths!$R$91),"n.a."))</f>
        <v>0</v>
      </c>
    </row>
    <row r="938" spans="1:20" ht="24" customHeight="1">
      <c r="A938" s="1" t="str">
        <f>Paths!$A$91</f>
        <v>T022</v>
      </c>
      <c r="B938" s="1">
        <f>Paths!$B$91</f>
        <v>0</v>
      </c>
      <c r="C938" s="1">
        <v>7</v>
      </c>
      <c r="D938" s="1">
        <v>91</v>
      </c>
      <c r="E938" s="1">
        <f>IF(OR(Paths!$C$91=0,C938=0),0,MAX(0,MIN(C938*12,Paths!$E$91)-(C938-1)*12))</f>
        <v>0</v>
      </c>
      <c r="F938" s="1">
        <f>IF(OR(Paths!$C$91=0,C938=0),0,12-E938)</f>
        <v>0</v>
      </c>
      <c r="G938" s="16">
        <f>IF(NOT(Paths!$C$91=1),0,IF(Paths!$P$91="Complete",E938/12*(Paths!$J$91*(1+'Operating costs'!$B$51)^MAX(0,C938-1)+Paths!$K$91*(1+'Operating costs'!$B$53)^MAX(0,C938-1)),"n.a."))</f>
        <v>0</v>
      </c>
      <c r="H938" s="16">
        <f>IF(NOT(Paths!$C$91=1),0,IF(Paths!$P$91="Complete",F938/12*(Paths!$L$91*(1+IF(Paths!$D$91="EV",'Operating costs'!$B$52,'Operating costs'!$B$51))^MAX(0,C938-1)+Paths!$M$91*(1+'Operating costs'!$B$53)^MAX(0,C938-1)),"n.a."))</f>
        <v>0</v>
      </c>
      <c r="I938" s="16">
        <f>IF(NOT(Paths!$C$91=1),0,IF(Paths!$P$91="Complete",IF(IF(Paths!$E$91=0,C938=0,AND(C938&gt;0,Paths!$E$91&gt;(C938-1)*12,Paths!$E$91&lt;=C938*12)),Paths!$G$91,0),"n.a."))</f>
        <v>0</v>
      </c>
      <c r="J938" s="16">
        <f>IF(NOT(Paths!$C$91=1),0,IF(Paths!$P$91="Complete",IF(IF(Paths!$E$91=0,C938=0,AND(C938&gt;0,Paths!$E$91&gt;(C938-1)*12,Paths!$E$91&lt;=C938*12)),Paths!$H$91,0),"n.a."))</f>
        <v>0</v>
      </c>
      <c r="K938" s="16">
        <f>IF(NOT(Paths!$C$91=1),0,IF(Paths!$P$91="Complete",IF(IF(Paths!$O$91=0,C938=0,AND(C938&gt;0,Paths!$O$91&gt;(C938-1)*12,Paths!$O$91&lt;=C938*12)),Paths!$N$91,0),"n.a."))</f>
        <v>0</v>
      </c>
      <c r="L938" s="16">
        <f>IF(NOT(Paths!$C$91=1),0,IF(Paths!$P$91="Complete",IF(C938=10,Paths!$I$91,0),"n.a."))</f>
        <v>0</v>
      </c>
      <c r="M938" s="16">
        <f>IF(NOT(Paths!$C$91=1),0,IF(Paths!$P$91="Complete",IF(AND(Paths!$D$91="EV",Paths!$E$91&lt;120,Paths!$E$91+'Operating costs'!$B$65&gt;Paths!$E$91,Paths!$E$91+'Operating costs'!$B$65&lt;=120,IF(Paths!$E$91+'Operating costs'!$B$65=0,C938=0,AND(C938&gt;0,Paths!$E$91+'Operating costs'!$B$65&gt;(C938-1)*12,Paths!$E$91+'Operating costs'!$B$65&lt;=C938*12))),'Operating costs'!$B$64,0)+IF(AND('Operating costs'!$B$67&gt;0,'Operating costs'!$B$67&lt;=120,OR(Paths!$D$91="ICE",'Operating costs'!$B$67&lt;=Paths!$E$91),IF('Operating costs'!$B$67=0,C938=0,AND(C938&gt;0,'Operating costs'!$B$67&gt;(C938-1)*12,'Operating costs'!$B$67&lt;=C938*12))),'Operating costs'!$B$66,0),"n.a."))</f>
        <v>0</v>
      </c>
      <c r="N938" s="16">
        <f>IF(NOT(Paths!$C$91=1),0,IF(Paths!$P$91="Complete",SUM(G938:I938)-J938-K938-L938+M938+IF(C938=0,Paths!$F$91,0)+IF(IF(Paths!$E$91=0,C938=0,AND(C938&gt;0,Paths!$E$91&gt;(C938-1)*12,Paths!$E$91&lt;=C938*12)),VLOOKUP(A938,'Fleet register'!$A$7:$S$106,16,FALSE),0),"n.a."))</f>
        <v>0</v>
      </c>
      <c r="O938" s="16">
        <f>IF(NOT(Paths!$C$91=1),0,IF(Paths!$P$91="Complete",N938-IF(C938=0,Paths!$F$91,0),"n.a."))</f>
        <v>0</v>
      </c>
      <c r="P938" s="16">
        <f>IF(NOT(Paths!$C$91=1),0,IF(Paths!$P$91="Complete",O938+L938,"n.a."))</f>
        <v>0</v>
      </c>
      <c r="Q938" s="16">
        <f>IF(NOT(Paths!$C$91=1),0,IF(Paths!$P$91="Complete",N938*(1+'Operating costs'!$B$54)^-C938,"n.a."))</f>
        <v>0</v>
      </c>
      <c r="R938" s="16">
        <f>IF(NOT(Paths!$C$91=1),0,IF(Paths!$P$91="Complete",IF(AND(C938=0,Paths!$E$91=0),I938-J938-K938+VLOOKUP(A938,'Fleet register'!$A$7:$S$106,15,FALSE)+VLOOKUP(A938,'Fleet register'!$A$7:$S$106,16,FALSE),0),"n.a."))</f>
        <v>0</v>
      </c>
      <c r="S938" s="1">
        <f>IF(NOT(Paths!$C$91=1),0,IF(Paths!$P$91="Complete",IF(C938=0,0,Paths!$S$91*Paths!$R$91),"n.a."))</f>
        <v>0</v>
      </c>
      <c r="T938" s="1">
        <f>IF(NOT(Paths!$C$91=1),0,IF(Paths!$P$91="Complete",IF(C938=0,0,VLOOKUP(A938,'Fleet register'!$A$7:$S$106,9,FALSE)*Paths!$R$91),"n.a."))</f>
        <v>0</v>
      </c>
    </row>
    <row r="939" spans="1:20" ht="24" customHeight="1">
      <c r="A939" s="1" t="str">
        <f>Paths!$A$91</f>
        <v>T022</v>
      </c>
      <c r="B939" s="1">
        <f>Paths!$B$91</f>
        <v>0</v>
      </c>
      <c r="C939" s="1">
        <v>8</v>
      </c>
      <c r="D939" s="1">
        <v>91</v>
      </c>
      <c r="E939" s="1">
        <f>IF(OR(Paths!$C$91=0,C939=0),0,MAX(0,MIN(C939*12,Paths!$E$91)-(C939-1)*12))</f>
        <v>0</v>
      </c>
      <c r="F939" s="1">
        <f>IF(OR(Paths!$C$91=0,C939=0),0,12-E939)</f>
        <v>0</v>
      </c>
      <c r="G939" s="16">
        <f>IF(NOT(Paths!$C$91=1),0,IF(Paths!$P$91="Complete",E939/12*(Paths!$J$91*(1+'Operating costs'!$B$51)^MAX(0,C939-1)+Paths!$K$91*(1+'Operating costs'!$B$53)^MAX(0,C939-1)),"n.a."))</f>
        <v>0</v>
      </c>
      <c r="H939" s="16">
        <f>IF(NOT(Paths!$C$91=1),0,IF(Paths!$P$91="Complete",F939/12*(Paths!$L$91*(1+IF(Paths!$D$91="EV",'Operating costs'!$B$52,'Operating costs'!$B$51))^MAX(0,C939-1)+Paths!$M$91*(1+'Operating costs'!$B$53)^MAX(0,C939-1)),"n.a."))</f>
        <v>0</v>
      </c>
      <c r="I939" s="16">
        <f>IF(NOT(Paths!$C$91=1),0,IF(Paths!$P$91="Complete",IF(IF(Paths!$E$91=0,C939=0,AND(C939&gt;0,Paths!$E$91&gt;(C939-1)*12,Paths!$E$91&lt;=C939*12)),Paths!$G$91,0),"n.a."))</f>
        <v>0</v>
      </c>
      <c r="J939" s="16">
        <f>IF(NOT(Paths!$C$91=1),0,IF(Paths!$P$91="Complete",IF(IF(Paths!$E$91=0,C939=0,AND(C939&gt;0,Paths!$E$91&gt;(C939-1)*12,Paths!$E$91&lt;=C939*12)),Paths!$H$91,0),"n.a."))</f>
        <v>0</v>
      </c>
      <c r="K939" s="16">
        <f>IF(NOT(Paths!$C$91=1),0,IF(Paths!$P$91="Complete",IF(IF(Paths!$O$91=0,C939=0,AND(C939&gt;0,Paths!$O$91&gt;(C939-1)*12,Paths!$O$91&lt;=C939*12)),Paths!$N$91,0),"n.a."))</f>
        <v>0</v>
      </c>
      <c r="L939" s="16">
        <f>IF(NOT(Paths!$C$91=1),0,IF(Paths!$P$91="Complete",IF(C939=10,Paths!$I$91,0),"n.a."))</f>
        <v>0</v>
      </c>
      <c r="M939" s="16">
        <f>IF(NOT(Paths!$C$91=1),0,IF(Paths!$P$91="Complete",IF(AND(Paths!$D$91="EV",Paths!$E$91&lt;120,Paths!$E$91+'Operating costs'!$B$65&gt;Paths!$E$91,Paths!$E$91+'Operating costs'!$B$65&lt;=120,IF(Paths!$E$91+'Operating costs'!$B$65=0,C939=0,AND(C939&gt;0,Paths!$E$91+'Operating costs'!$B$65&gt;(C939-1)*12,Paths!$E$91+'Operating costs'!$B$65&lt;=C939*12))),'Operating costs'!$B$64,0)+IF(AND('Operating costs'!$B$67&gt;0,'Operating costs'!$B$67&lt;=120,OR(Paths!$D$91="ICE",'Operating costs'!$B$67&lt;=Paths!$E$91),IF('Operating costs'!$B$67=0,C939=0,AND(C939&gt;0,'Operating costs'!$B$67&gt;(C939-1)*12,'Operating costs'!$B$67&lt;=C939*12))),'Operating costs'!$B$66,0),"n.a."))</f>
        <v>0</v>
      </c>
      <c r="N939" s="16">
        <f>IF(NOT(Paths!$C$91=1),0,IF(Paths!$P$91="Complete",SUM(G939:I939)-J939-K939-L939+M939+IF(C939=0,Paths!$F$91,0)+IF(IF(Paths!$E$91=0,C939=0,AND(C939&gt;0,Paths!$E$91&gt;(C939-1)*12,Paths!$E$91&lt;=C939*12)),VLOOKUP(A939,'Fleet register'!$A$7:$S$106,16,FALSE),0),"n.a."))</f>
        <v>0</v>
      </c>
      <c r="O939" s="16">
        <f>IF(NOT(Paths!$C$91=1),0,IF(Paths!$P$91="Complete",N939-IF(C939=0,Paths!$F$91,0),"n.a."))</f>
        <v>0</v>
      </c>
      <c r="P939" s="16">
        <f>IF(NOT(Paths!$C$91=1),0,IF(Paths!$P$91="Complete",O939+L939,"n.a."))</f>
        <v>0</v>
      </c>
      <c r="Q939" s="16">
        <f>IF(NOT(Paths!$C$91=1),0,IF(Paths!$P$91="Complete",N939*(1+'Operating costs'!$B$54)^-C939,"n.a."))</f>
        <v>0</v>
      </c>
      <c r="R939" s="16">
        <f>IF(NOT(Paths!$C$91=1),0,IF(Paths!$P$91="Complete",IF(AND(C939=0,Paths!$E$91=0),I939-J939-K939+VLOOKUP(A939,'Fleet register'!$A$7:$S$106,15,FALSE)+VLOOKUP(A939,'Fleet register'!$A$7:$S$106,16,FALSE),0),"n.a."))</f>
        <v>0</v>
      </c>
      <c r="S939" s="1">
        <f>IF(NOT(Paths!$C$91=1),0,IF(Paths!$P$91="Complete",IF(C939=0,0,Paths!$S$91*Paths!$R$91),"n.a."))</f>
        <v>0</v>
      </c>
      <c r="T939" s="1">
        <f>IF(NOT(Paths!$C$91=1),0,IF(Paths!$P$91="Complete",IF(C939=0,0,VLOOKUP(A939,'Fleet register'!$A$7:$S$106,9,FALSE)*Paths!$R$91),"n.a."))</f>
        <v>0</v>
      </c>
    </row>
    <row r="940" spans="1:20" ht="24" customHeight="1">
      <c r="A940" s="1" t="str">
        <f>Paths!$A$91</f>
        <v>T022</v>
      </c>
      <c r="B940" s="1">
        <f>Paths!$B$91</f>
        <v>0</v>
      </c>
      <c r="C940" s="1">
        <v>9</v>
      </c>
      <c r="D940" s="1">
        <v>91</v>
      </c>
      <c r="E940" s="1">
        <f>IF(OR(Paths!$C$91=0,C940=0),0,MAX(0,MIN(C940*12,Paths!$E$91)-(C940-1)*12))</f>
        <v>0</v>
      </c>
      <c r="F940" s="1">
        <f>IF(OR(Paths!$C$91=0,C940=0),0,12-E940)</f>
        <v>0</v>
      </c>
      <c r="G940" s="16">
        <f>IF(NOT(Paths!$C$91=1),0,IF(Paths!$P$91="Complete",E940/12*(Paths!$J$91*(1+'Operating costs'!$B$51)^MAX(0,C940-1)+Paths!$K$91*(1+'Operating costs'!$B$53)^MAX(0,C940-1)),"n.a."))</f>
        <v>0</v>
      </c>
      <c r="H940" s="16">
        <f>IF(NOT(Paths!$C$91=1),0,IF(Paths!$P$91="Complete",F940/12*(Paths!$L$91*(1+IF(Paths!$D$91="EV",'Operating costs'!$B$52,'Operating costs'!$B$51))^MAX(0,C940-1)+Paths!$M$91*(1+'Operating costs'!$B$53)^MAX(0,C940-1)),"n.a."))</f>
        <v>0</v>
      </c>
      <c r="I940" s="16">
        <f>IF(NOT(Paths!$C$91=1),0,IF(Paths!$P$91="Complete",IF(IF(Paths!$E$91=0,C940=0,AND(C940&gt;0,Paths!$E$91&gt;(C940-1)*12,Paths!$E$91&lt;=C940*12)),Paths!$G$91,0),"n.a."))</f>
        <v>0</v>
      </c>
      <c r="J940" s="16">
        <f>IF(NOT(Paths!$C$91=1),0,IF(Paths!$P$91="Complete",IF(IF(Paths!$E$91=0,C940=0,AND(C940&gt;0,Paths!$E$91&gt;(C940-1)*12,Paths!$E$91&lt;=C940*12)),Paths!$H$91,0),"n.a."))</f>
        <v>0</v>
      </c>
      <c r="K940" s="16">
        <f>IF(NOT(Paths!$C$91=1),0,IF(Paths!$P$91="Complete",IF(IF(Paths!$O$91=0,C940=0,AND(C940&gt;0,Paths!$O$91&gt;(C940-1)*12,Paths!$O$91&lt;=C940*12)),Paths!$N$91,0),"n.a."))</f>
        <v>0</v>
      </c>
      <c r="L940" s="16">
        <f>IF(NOT(Paths!$C$91=1),0,IF(Paths!$P$91="Complete",IF(C940=10,Paths!$I$91,0),"n.a."))</f>
        <v>0</v>
      </c>
      <c r="M940" s="16">
        <f>IF(NOT(Paths!$C$91=1),0,IF(Paths!$P$91="Complete",IF(AND(Paths!$D$91="EV",Paths!$E$91&lt;120,Paths!$E$91+'Operating costs'!$B$65&gt;Paths!$E$91,Paths!$E$91+'Operating costs'!$B$65&lt;=120,IF(Paths!$E$91+'Operating costs'!$B$65=0,C940=0,AND(C940&gt;0,Paths!$E$91+'Operating costs'!$B$65&gt;(C940-1)*12,Paths!$E$91+'Operating costs'!$B$65&lt;=C940*12))),'Operating costs'!$B$64,0)+IF(AND('Operating costs'!$B$67&gt;0,'Operating costs'!$B$67&lt;=120,OR(Paths!$D$91="ICE",'Operating costs'!$B$67&lt;=Paths!$E$91),IF('Operating costs'!$B$67=0,C940=0,AND(C940&gt;0,'Operating costs'!$B$67&gt;(C940-1)*12,'Operating costs'!$B$67&lt;=C940*12))),'Operating costs'!$B$66,0),"n.a."))</f>
        <v>0</v>
      </c>
      <c r="N940" s="16">
        <f>IF(NOT(Paths!$C$91=1),0,IF(Paths!$P$91="Complete",SUM(G940:I940)-J940-K940-L940+M940+IF(C940=0,Paths!$F$91,0)+IF(IF(Paths!$E$91=0,C940=0,AND(C940&gt;0,Paths!$E$91&gt;(C940-1)*12,Paths!$E$91&lt;=C940*12)),VLOOKUP(A940,'Fleet register'!$A$7:$S$106,16,FALSE),0),"n.a."))</f>
        <v>0</v>
      </c>
      <c r="O940" s="16">
        <f>IF(NOT(Paths!$C$91=1),0,IF(Paths!$P$91="Complete",N940-IF(C940=0,Paths!$F$91,0),"n.a."))</f>
        <v>0</v>
      </c>
      <c r="P940" s="16">
        <f>IF(NOT(Paths!$C$91=1),0,IF(Paths!$P$91="Complete",O940+L940,"n.a."))</f>
        <v>0</v>
      </c>
      <c r="Q940" s="16">
        <f>IF(NOT(Paths!$C$91=1),0,IF(Paths!$P$91="Complete",N940*(1+'Operating costs'!$B$54)^-C940,"n.a."))</f>
        <v>0</v>
      </c>
      <c r="R940" s="16">
        <f>IF(NOT(Paths!$C$91=1),0,IF(Paths!$P$91="Complete",IF(AND(C940=0,Paths!$E$91=0),I940-J940-K940+VLOOKUP(A940,'Fleet register'!$A$7:$S$106,15,FALSE)+VLOOKUP(A940,'Fleet register'!$A$7:$S$106,16,FALSE),0),"n.a."))</f>
        <v>0</v>
      </c>
      <c r="S940" s="1">
        <f>IF(NOT(Paths!$C$91=1),0,IF(Paths!$P$91="Complete",IF(C940=0,0,Paths!$S$91*Paths!$R$91),"n.a."))</f>
        <v>0</v>
      </c>
      <c r="T940" s="1">
        <f>IF(NOT(Paths!$C$91=1),0,IF(Paths!$P$91="Complete",IF(C940=0,0,VLOOKUP(A940,'Fleet register'!$A$7:$S$106,9,FALSE)*Paths!$R$91),"n.a."))</f>
        <v>0</v>
      </c>
    </row>
    <row r="941" spans="1:20" ht="24" customHeight="1">
      <c r="A941" s="1" t="str">
        <f>Paths!$A$91</f>
        <v>T022</v>
      </c>
      <c r="B941" s="1">
        <f>Paths!$B$91</f>
        <v>0</v>
      </c>
      <c r="C941" s="1">
        <v>10</v>
      </c>
      <c r="D941" s="1">
        <v>91</v>
      </c>
      <c r="E941" s="1">
        <f>IF(OR(Paths!$C$91=0,C941=0),0,MAX(0,MIN(C941*12,Paths!$E$91)-(C941-1)*12))</f>
        <v>0</v>
      </c>
      <c r="F941" s="1">
        <f>IF(OR(Paths!$C$91=0,C941=0),0,12-E941)</f>
        <v>0</v>
      </c>
      <c r="G941" s="16">
        <f>IF(NOT(Paths!$C$91=1),0,IF(Paths!$P$91="Complete",E941/12*(Paths!$J$91*(1+'Operating costs'!$B$51)^MAX(0,C941-1)+Paths!$K$91*(1+'Operating costs'!$B$53)^MAX(0,C941-1)),"n.a."))</f>
        <v>0</v>
      </c>
      <c r="H941" s="16">
        <f>IF(NOT(Paths!$C$91=1),0,IF(Paths!$P$91="Complete",F941/12*(Paths!$L$91*(1+IF(Paths!$D$91="EV",'Operating costs'!$B$52,'Operating costs'!$B$51))^MAX(0,C941-1)+Paths!$M$91*(1+'Operating costs'!$B$53)^MAX(0,C941-1)),"n.a."))</f>
        <v>0</v>
      </c>
      <c r="I941" s="16">
        <f>IF(NOT(Paths!$C$91=1),0,IF(Paths!$P$91="Complete",IF(IF(Paths!$E$91=0,C941=0,AND(C941&gt;0,Paths!$E$91&gt;(C941-1)*12,Paths!$E$91&lt;=C941*12)),Paths!$G$91,0),"n.a."))</f>
        <v>0</v>
      </c>
      <c r="J941" s="16">
        <f>IF(NOT(Paths!$C$91=1),0,IF(Paths!$P$91="Complete",IF(IF(Paths!$E$91=0,C941=0,AND(C941&gt;0,Paths!$E$91&gt;(C941-1)*12,Paths!$E$91&lt;=C941*12)),Paths!$H$91,0),"n.a."))</f>
        <v>0</v>
      </c>
      <c r="K941" s="16">
        <f>IF(NOT(Paths!$C$91=1),0,IF(Paths!$P$91="Complete",IF(IF(Paths!$O$91=0,C941=0,AND(C941&gt;0,Paths!$O$91&gt;(C941-1)*12,Paths!$O$91&lt;=C941*12)),Paths!$N$91,0),"n.a."))</f>
        <v>0</v>
      </c>
      <c r="L941" s="16">
        <f>IF(NOT(Paths!$C$91=1),0,IF(Paths!$P$91="Complete",IF(C941=10,Paths!$I$91,0),"n.a."))</f>
        <v>0</v>
      </c>
      <c r="M941" s="16">
        <f>IF(NOT(Paths!$C$91=1),0,IF(Paths!$P$91="Complete",IF(AND(Paths!$D$91="EV",Paths!$E$91&lt;120,Paths!$E$91+'Operating costs'!$B$65&gt;Paths!$E$91,Paths!$E$91+'Operating costs'!$B$65&lt;=120,IF(Paths!$E$91+'Operating costs'!$B$65=0,C941=0,AND(C941&gt;0,Paths!$E$91+'Operating costs'!$B$65&gt;(C941-1)*12,Paths!$E$91+'Operating costs'!$B$65&lt;=C941*12))),'Operating costs'!$B$64,0)+IF(AND('Operating costs'!$B$67&gt;0,'Operating costs'!$B$67&lt;=120,OR(Paths!$D$91="ICE",'Operating costs'!$B$67&lt;=Paths!$E$91),IF('Operating costs'!$B$67=0,C941=0,AND(C941&gt;0,'Operating costs'!$B$67&gt;(C941-1)*12,'Operating costs'!$B$67&lt;=C941*12))),'Operating costs'!$B$66,0),"n.a."))</f>
        <v>0</v>
      </c>
      <c r="N941" s="16">
        <f>IF(NOT(Paths!$C$91=1),0,IF(Paths!$P$91="Complete",SUM(G941:I941)-J941-K941-L941+M941+IF(C941=0,Paths!$F$91,0)+IF(IF(Paths!$E$91=0,C941=0,AND(C941&gt;0,Paths!$E$91&gt;(C941-1)*12,Paths!$E$91&lt;=C941*12)),VLOOKUP(A941,'Fleet register'!$A$7:$S$106,16,FALSE),0),"n.a."))</f>
        <v>0</v>
      </c>
      <c r="O941" s="16">
        <f>IF(NOT(Paths!$C$91=1),0,IF(Paths!$P$91="Complete",N941-IF(C941=0,Paths!$F$91,0),"n.a."))</f>
        <v>0</v>
      </c>
      <c r="P941" s="16">
        <f>IF(NOT(Paths!$C$91=1),0,IF(Paths!$P$91="Complete",O941+L941,"n.a."))</f>
        <v>0</v>
      </c>
      <c r="Q941" s="16">
        <f>IF(NOT(Paths!$C$91=1),0,IF(Paths!$P$91="Complete",N941*(1+'Operating costs'!$B$54)^-C941,"n.a."))</f>
        <v>0</v>
      </c>
      <c r="R941" s="16">
        <f>IF(NOT(Paths!$C$91=1),0,IF(Paths!$P$91="Complete",IF(AND(C941=0,Paths!$E$91=0),I941-J941-K941+VLOOKUP(A941,'Fleet register'!$A$7:$S$106,15,FALSE)+VLOOKUP(A941,'Fleet register'!$A$7:$S$106,16,FALSE),0),"n.a."))</f>
        <v>0</v>
      </c>
      <c r="S941" s="1">
        <f>IF(NOT(Paths!$C$91=1),0,IF(Paths!$P$91="Complete",IF(C941=0,0,Paths!$S$91*Paths!$R$91),"n.a."))</f>
        <v>0</v>
      </c>
      <c r="T941" s="1">
        <f>IF(NOT(Paths!$C$91=1),0,IF(Paths!$P$91="Complete",IF(C941=0,0,VLOOKUP(A941,'Fleet register'!$A$7:$S$106,9,FALSE)*Paths!$R$91),"n.a."))</f>
        <v>0</v>
      </c>
    </row>
    <row r="942" spans="1:20" ht="24" customHeight="1">
      <c r="A942" s="1" t="str">
        <f>Paths!$A$92</f>
        <v>T022</v>
      </c>
      <c r="B942" s="1">
        <f>Paths!$B$92</f>
        <v>1</v>
      </c>
      <c r="C942" s="1">
        <v>0</v>
      </c>
      <c r="D942" s="1">
        <v>92</v>
      </c>
      <c r="E942" s="1">
        <f>IF(OR(Paths!$C$92=0,C942=0),0,MAX(0,MIN(C942*12,Paths!$E$92)-(C942-1)*12))</f>
        <v>0</v>
      </c>
      <c r="F942" s="1">
        <f>IF(OR(Paths!$C$92=0,C942=0),0,12-E942)</f>
        <v>0</v>
      </c>
      <c r="G942" s="16">
        <f>IF(NOT(Paths!$C$92=1),0,IF(Paths!$P$92="Complete",E942/12*(Paths!$J$92*(1+'Operating costs'!$B$51)^MAX(0,C942-1)+Paths!$K$92*(1+'Operating costs'!$B$53)^MAX(0,C942-1)),"n.a."))</f>
        <v>0</v>
      </c>
      <c r="H942" s="16">
        <f>IF(NOT(Paths!$C$92=1),0,IF(Paths!$P$92="Complete",F942/12*(Paths!$L$92*(1+IF(Paths!$D$92="EV",'Operating costs'!$B$52,'Operating costs'!$B$51))^MAX(0,C942-1)+Paths!$M$92*(1+'Operating costs'!$B$53)^MAX(0,C942-1)),"n.a."))</f>
        <v>0</v>
      </c>
      <c r="I942" s="16">
        <f>IF(NOT(Paths!$C$92=1),0,IF(Paths!$P$92="Complete",IF(IF(Paths!$E$92=0,C942=0,AND(C942&gt;0,Paths!$E$92&gt;(C942-1)*12,Paths!$E$92&lt;=C942*12)),Paths!$G$92,0),"n.a."))</f>
        <v>0</v>
      </c>
      <c r="J942" s="16">
        <f>IF(NOT(Paths!$C$92=1),0,IF(Paths!$P$92="Complete",IF(IF(Paths!$E$92=0,C942=0,AND(C942&gt;0,Paths!$E$92&gt;(C942-1)*12,Paths!$E$92&lt;=C942*12)),Paths!$H$92,0),"n.a."))</f>
        <v>0</v>
      </c>
      <c r="K942" s="16">
        <f>IF(NOT(Paths!$C$92=1),0,IF(Paths!$P$92="Complete",IF(IF(Paths!$O$92=0,C942=0,AND(C942&gt;0,Paths!$O$92&gt;(C942-1)*12,Paths!$O$92&lt;=C942*12)),Paths!$N$92,0),"n.a."))</f>
        <v>0</v>
      </c>
      <c r="L942" s="16">
        <f>IF(NOT(Paths!$C$92=1),0,IF(Paths!$P$92="Complete",IF(C942=10,Paths!$I$92,0),"n.a."))</f>
        <v>0</v>
      </c>
      <c r="M942" s="16">
        <f>IF(NOT(Paths!$C$92=1),0,IF(Paths!$P$92="Complete",IF(AND(Paths!$D$92="EV",Paths!$E$92&lt;120,Paths!$E$92+'Operating costs'!$B$65&gt;Paths!$E$92,Paths!$E$92+'Operating costs'!$B$65&lt;=120,IF(Paths!$E$92+'Operating costs'!$B$65=0,C942=0,AND(C942&gt;0,Paths!$E$92+'Operating costs'!$B$65&gt;(C942-1)*12,Paths!$E$92+'Operating costs'!$B$65&lt;=C942*12))),'Operating costs'!$B$64,0)+IF(AND('Operating costs'!$B$67&gt;0,'Operating costs'!$B$67&lt;=120,OR(Paths!$D$92="ICE",'Operating costs'!$B$67&lt;=Paths!$E$92),IF('Operating costs'!$B$67=0,C942=0,AND(C942&gt;0,'Operating costs'!$B$67&gt;(C942-1)*12,'Operating costs'!$B$67&lt;=C942*12))),'Operating costs'!$B$66,0),"n.a."))</f>
        <v>0</v>
      </c>
      <c r="N942" s="16">
        <f>IF(NOT(Paths!$C$92=1),0,IF(Paths!$P$92="Complete",SUM(G942:I942)-J942-K942-L942+M942+IF(C942=0,Paths!$F$92,0)+IF(IF(Paths!$E$92=0,C942=0,AND(C942&gt;0,Paths!$E$92&gt;(C942-1)*12,Paths!$E$92&lt;=C942*12)),VLOOKUP(A942,'Fleet register'!$A$7:$S$106,16,FALSE),0),"n.a."))</f>
        <v>0</v>
      </c>
      <c r="O942" s="16">
        <f>IF(NOT(Paths!$C$92=1),0,IF(Paths!$P$92="Complete",N942-IF(C942=0,Paths!$F$92,0),"n.a."))</f>
        <v>0</v>
      </c>
      <c r="P942" s="16">
        <f>IF(NOT(Paths!$C$92=1),0,IF(Paths!$P$92="Complete",O942+L942,"n.a."))</f>
        <v>0</v>
      </c>
      <c r="Q942" s="16">
        <f>IF(NOT(Paths!$C$92=1),0,IF(Paths!$P$92="Complete",N942*(1+'Operating costs'!$B$54)^-C942,"n.a."))</f>
        <v>0</v>
      </c>
      <c r="R942" s="16">
        <f>IF(NOT(Paths!$C$92=1),0,IF(Paths!$P$92="Complete",IF(AND(C942=0,Paths!$E$92=0),I942-J942-K942+VLOOKUP(A942,'Fleet register'!$A$7:$S$106,15,FALSE)+VLOOKUP(A942,'Fleet register'!$A$7:$S$106,16,FALSE),0),"n.a."))</f>
        <v>0</v>
      </c>
      <c r="S942" s="1">
        <f>IF(NOT(Paths!$C$92=1),0,IF(Paths!$P$92="Complete",IF(C942=0,0,Paths!$S$92*Paths!$R$92),"n.a."))</f>
        <v>0</v>
      </c>
      <c r="T942" s="1">
        <f>IF(NOT(Paths!$C$92=1),0,IF(Paths!$P$92="Complete",IF(C942=0,0,VLOOKUP(A942,'Fleet register'!$A$7:$S$106,9,FALSE)*Paths!$R$92),"n.a."))</f>
        <v>0</v>
      </c>
    </row>
    <row r="943" spans="1:20" ht="24" customHeight="1">
      <c r="A943" s="1" t="str">
        <f>Paths!$A$92</f>
        <v>T022</v>
      </c>
      <c r="B943" s="1">
        <f>Paths!$B$92</f>
        <v>1</v>
      </c>
      <c r="C943" s="1">
        <v>1</v>
      </c>
      <c r="D943" s="1">
        <v>92</v>
      </c>
      <c r="E943" s="1">
        <f>IF(OR(Paths!$C$92=0,C943=0),0,MAX(0,MIN(C943*12,Paths!$E$92)-(C943-1)*12))</f>
        <v>0</v>
      </c>
      <c r="F943" s="1">
        <f>IF(OR(Paths!$C$92=0,C943=0),0,12-E943)</f>
        <v>0</v>
      </c>
      <c r="G943" s="16">
        <f>IF(NOT(Paths!$C$92=1),0,IF(Paths!$P$92="Complete",E943/12*(Paths!$J$92*(1+'Operating costs'!$B$51)^MAX(0,C943-1)+Paths!$K$92*(1+'Operating costs'!$B$53)^MAX(0,C943-1)),"n.a."))</f>
        <v>0</v>
      </c>
      <c r="H943" s="16">
        <f>IF(NOT(Paths!$C$92=1),0,IF(Paths!$P$92="Complete",F943/12*(Paths!$L$92*(1+IF(Paths!$D$92="EV",'Operating costs'!$B$52,'Operating costs'!$B$51))^MAX(0,C943-1)+Paths!$M$92*(1+'Operating costs'!$B$53)^MAX(0,C943-1)),"n.a."))</f>
        <v>0</v>
      </c>
      <c r="I943" s="16">
        <f>IF(NOT(Paths!$C$92=1),0,IF(Paths!$P$92="Complete",IF(IF(Paths!$E$92=0,C943=0,AND(C943&gt;0,Paths!$E$92&gt;(C943-1)*12,Paths!$E$92&lt;=C943*12)),Paths!$G$92,0),"n.a."))</f>
        <v>0</v>
      </c>
      <c r="J943" s="16">
        <f>IF(NOT(Paths!$C$92=1),0,IF(Paths!$P$92="Complete",IF(IF(Paths!$E$92=0,C943=0,AND(C943&gt;0,Paths!$E$92&gt;(C943-1)*12,Paths!$E$92&lt;=C943*12)),Paths!$H$92,0),"n.a."))</f>
        <v>0</v>
      </c>
      <c r="K943" s="16">
        <f>IF(NOT(Paths!$C$92=1),0,IF(Paths!$P$92="Complete",IF(IF(Paths!$O$92=0,C943=0,AND(C943&gt;0,Paths!$O$92&gt;(C943-1)*12,Paths!$O$92&lt;=C943*12)),Paths!$N$92,0),"n.a."))</f>
        <v>0</v>
      </c>
      <c r="L943" s="16">
        <f>IF(NOT(Paths!$C$92=1),0,IF(Paths!$P$92="Complete",IF(C943=10,Paths!$I$92,0),"n.a."))</f>
        <v>0</v>
      </c>
      <c r="M943" s="16">
        <f>IF(NOT(Paths!$C$92=1),0,IF(Paths!$P$92="Complete",IF(AND(Paths!$D$92="EV",Paths!$E$92&lt;120,Paths!$E$92+'Operating costs'!$B$65&gt;Paths!$E$92,Paths!$E$92+'Operating costs'!$B$65&lt;=120,IF(Paths!$E$92+'Operating costs'!$B$65=0,C943=0,AND(C943&gt;0,Paths!$E$92+'Operating costs'!$B$65&gt;(C943-1)*12,Paths!$E$92+'Operating costs'!$B$65&lt;=C943*12))),'Operating costs'!$B$64,0)+IF(AND('Operating costs'!$B$67&gt;0,'Operating costs'!$B$67&lt;=120,OR(Paths!$D$92="ICE",'Operating costs'!$B$67&lt;=Paths!$E$92),IF('Operating costs'!$B$67=0,C943=0,AND(C943&gt;0,'Operating costs'!$B$67&gt;(C943-1)*12,'Operating costs'!$B$67&lt;=C943*12))),'Operating costs'!$B$66,0),"n.a."))</f>
        <v>0</v>
      </c>
      <c r="N943" s="16">
        <f>IF(NOT(Paths!$C$92=1),0,IF(Paths!$P$92="Complete",SUM(G943:I943)-J943-K943-L943+M943+IF(C943=0,Paths!$F$92,0)+IF(IF(Paths!$E$92=0,C943=0,AND(C943&gt;0,Paths!$E$92&gt;(C943-1)*12,Paths!$E$92&lt;=C943*12)),VLOOKUP(A943,'Fleet register'!$A$7:$S$106,16,FALSE),0),"n.a."))</f>
        <v>0</v>
      </c>
      <c r="O943" s="16">
        <f>IF(NOT(Paths!$C$92=1),0,IF(Paths!$P$92="Complete",N943-IF(C943=0,Paths!$F$92,0),"n.a."))</f>
        <v>0</v>
      </c>
      <c r="P943" s="16">
        <f>IF(NOT(Paths!$C$92=1),0,IF(Paths!$P$92="Complete",O943+L943,"n.a."))</f>
        <v>0</v>
      </c>
      <c r="Q943" s="16">
        <f>IF(NOT(Paths!$C$92=1),0,IF(Paths!$P$92="Complete",N943*(1+'Operating costs'!$B$54)^-C943,"n.a."))</f>
        <v>0</v>
      </c>
      <c r="R943" s="16">
        <f>IF(NOT(Paths!$C$92=1),0,IF(Paths!$P$92="Complete",IF(AND(C943=0,Paths!$E$92=0),I943-J943-K943+VLOOKUP(A943,'Fleet register'!$A$7:$S$106,15,FALSE)+VLOOKUP(A943,'Fleet register'!$A$7:$S$106,16,FALSE),0),"n.a."))</f>
        <v>0</v>
      </c>
      <c r="S943" s="1">
        <f>IF(NOT(Paths!$C$92=1),0,IF(Paths!$P$92="Complete",IF(C943=0,0,Paths!$S$92*Paths!$R$92),"n.a."))</f>
        <v>0</v>
      </c>
      <c r="T943" s="1">
        <f>IF(NOT(Paths!$C$92=1),0,IF(Paths!$P$92="Complete",IF(C943=0,0,VLOOKUP(A943,'Fleet register'!$A$7:$S$106,9,FALSE)*Paths!$R$92),"n.a."))</f>
        <v>0</v>
      </c>
    </row>
    <row r="944" spans="1:20" ht="24" customHeight="1">
      <c r="A944" s="1" t="str">
        <f>Paths!$A$92</f>
        <v>T022</v>
      </c>
      <c r="B944" s="1">
        <f>Paths!$B$92</f>
        <v>1</v>
      </c>
      <c r="C944" s="1">
        <v>2</v>
      </c>
      <c r="D944" s="1">
        <v>92</v>
      </c>
      <c r="E944" s="1">
        <f>IF(OR(Paths!$C$92=0,C944=0),0,MAX(0,MIN(C944*12,Paths!$E$92)-(C944-1)*12))</f>
        <v>0</v>
      </c>
      <c r="F944" s="1">
        <f>IF(OR(Paths!$C$92=0,C944=0),0,12-E944)</f>
        <v>0</v>
      </c>
      <c r="G944" s="16">
        <f>IF(NOT(Paths!$C$92=1),0,IF(Paths!$P$92="Complete",E944/12*(Paths!$J$92*(1+'Operating costs'!$B$51)^MAX(0,C944-1)+Paths!$K$92*(1+'Operating costs'!$B$53)^MAX(0,C944-1)),"n.a."))</f>
        <v>0</v>
      </c>
      <c r="H944" s="16">
        <f>IF(NOT(Paths!$C$92=1),0,IF(Paths!$P$92="Complete",F944/12*(Paths!$L$92*(1+IF(Paths!$D$92="EV",'Operating costs'!$B$52,'Operating costs'!$B$51))^MAX(0,C944-1)+Paths!$M$92*(1+'Operating costs'!$B$53)^MAX(0,C944-1)),"n.a."))</f>
        <v>0</v>
      </c>
      <c r="I944" s="16">
        <f>IF(NOT(Paths!$C$92=1),0,IF(Paths!$P$92="Complete",IF(IF(Paths!$E$92=0,C944=0,AND(C944&gt;0,Paths!$E$92&gt;(C944-1)*12,Paths!$E$92&lt;=C944*12)),Paths!$G$92,0),"n.a."))</f>
        <v>0</v>
      </c>
      <c r="J944" s="16">
        <f>IF(NOT(Paths!$C$92=1),0,IF(Paths!$P$92="Complete",IF(IF(Paths!$E$92=0,C944=0,AND(C944&gt;0,Paths!$E$92&gt;(C944-1)*12,Paths!$E$92&lt;=C944*12)),Paths!$H$92,0),"n.a."))</f>
        <v>0</v>
      </c>
      <c r="K944" s="16">
        <f>IF(NOT(Paths!$C$92=1),0,IF(Paths!$P$92="Complete",IF(IF(Paths!$O$92=0,C944=0,AND(C944&gt;0,Paths!$O$92&gt;(C944-1)*12,Paths!$O$92&lt;=C944*12)),Paths!$N$92,0),"n.a."))</f>
        <v>0</v>
      </c>
      <c r="L944" s="16">
        <f>IF(NOT(Paths!$C$92=1),0,IF(Paths!$P$92="Complete",IF(C944=10,Paths!$I$92,0),"n.a."))</f>
        <v>0</v>
      </c>
      <c r="M944" s="16">
        <f>IF(NOT(Paths!$C$92=1),0,IF(Paths!$P$92="Complete",IF(AND(Paths!$D$92="EV",Paths!$E$92&lt;120,Paths!$E$92+'Operating costs'!$B$65&gt;Paths!$E$92,Paths!$E$92+'Operating costs'!$B$65&lt;=120,IF(Paths!$E$92+'Operating costs'!$B$65=0,C944=0,AND(C944&gt;0,Paths!$E$92+'Operating costs'!$B$65&gt;(C944-1)*12,Paths!$E$92+'Operating costs'!$B$65&lt;=C944*12))),'Operating costs'!$B$64,0)+IF(AND('Operating costs'!$B$67&gt;0,'Operating costs'!$B$67&lt;=120,OR(Paths!$D$92="ICE",'Operating costs'!$B$67&lt;=Paths!$E$92),IF('Operating costs'!$B$67=0,C944=0,AND(C944&gt;0,'Operating costs'!$B$67&gt;(C944-1)*12,'Operating costs'!$B$67&lt;=C944*12))),'Operating costs'!$B$66,0),"n.a."))</f>
        <v>0</v>
      </c>
      <c r="N944" s="16">
        <f>IF(NOT(Paths!$C$92=1),0,IF(Paths!$P$92="Complete",SUM(G944:I944)-J944-K944-L944+M944+IF(C944=0,Paths!$F$92,0)+IF(IF(Paths!$E$92=0,C944=0,AND(C944&gt;0,Paths!$E$92&gt;(C944-1)*12,Paths!$E$92&lt;=C944*12)),VLOOKUP(A944,'Fleet register'!$A$7:$S$106,16,FALSE),0),"n.a."))</f>
        <v>0</v>
      </c>
      <c r="O944" s="16">
        <f>IF(NOT(Paths!$C$92=1),0,IF(Paths!$P$92="Complete",N944-IF(C944=0,Paths!$F$92,0),"n.a."))</f>
        <v>0</v>
      </c>
      <c r="P944" s="16">
        <f>IF(NOT(Paths!$C$92=1),0,IF(Paths!$P$92="Complete",O944+L944,"n.a."))</f>
        <v>0</v>
      </c>
      <c r="Q944" s="16">
        <f>IF(NOT(Paths!$C$92=1),0,IF(Paths!$P$92="Complete",N944*(1+'Operating costs'!$B$54)^-C944,"n.a."))</f>
        <v>0</v>
      </c>
      <c r="R944" s="16">
        <f>IF(NOT(Paths!$C$92=1),0,IF(Paths!$P$92="Complete",IF(AND(C944=0,Paths!$E$92=0),I944-J944-K944+VLOOKUP(A944,'Fleet register'!$A$7:$S$106,15,FALSE)+VLOOKUP(A944,'Fleet register'!$A$7:$S$106,16,FALSE),0),"n.a."))</f>
        <v>0</v>
      </c>
      <c r="S944" s="1">
        <f>IF(NOT(Paths!$C$92=1),0,IF(Paths!$P$92="Complete",IF(C944=0,0,Paths!$S$92*Paths!$R$92),"n.a."))</f>
        <v>0</v>
      </c>
      <c r="T944" s="1">
        <f>IF(NOT(Paths!$C$92=1),0,IF(Paths!$P$92="Complete",IF(C944=0,0,VLOOKUP(A944,'Fleet register'!$A$7:$S$106,9,FALSE)*Paths!$R$92),"n.a."))</f>
        <v>0</v>
      </c>
    </row>
    <row r="945" spans="1:20" ht="24" customHeight="1">
      <c r="A945" s="1" t="str">
        <f>Paths!$A$92</f>
        <v>T022</v>
      </c>
      <c r="B945" s="1">
        <f>Paths!$B$92</f>
        <v>1</v>
      </c>
      <c r="C945" s="1">
        <v>3</v>
      </c>
      <c r="D945" s="1">
        <v>92</v>
      </c>
      <c r="E945" s="1">
        <f>IF(OR(Paths!$C$92=0,C945=0),0,MAX(0,MIN(C945*12,Paths!$E$92)-(C945-1)*12))</f>
        <v>0</v>
      </c>
      <c r="F945" s="1">
        <f>IF(OR(Paths!$C$92=0,C945=0),0,12-E945)</f>
        <v>0</v>
      </c>
      <c r="G945" s="16">
        <f>IF(NOT(Paths!$C$92=1),0,IF(Paths!$P$92="Complete",E945/12*(Paths!$J$92*(1+'Operating costs'!$B$51)^MAX(0,C945-1)+Paths!$K$92*(1+'Operating costs'!$B$53)^MAX(0,C945-1)),"n.a."))</f>
        <v>0</v>
      </c>
      <c r="H945" s="16">
        <f>IF(NOT(Paths!$C$92=1),0,IF(Paths!$P$92="Complete",F945/12*(Paths!$L$92*(1+IF(Paths!$D$92="EV",'Operating costs'!$B$52,'Operating costs'!$B$51))^MAX(0,C945-1)+Paths!$M$92*(1+'Operating costs'!$B$53)^MAX(0,C945-1)),"n.a."))</f>
        <v>0</v>
      </c>
      <c r="I945" s="16">
        <f>IF(NOT(Paths!$C$92=1),0,IF(Paths!$P$92="Complete",IF(IF(Paths!$E$92=0,C945=0,AND(C945&gt;0,Paths!$E$92&gt;(C945-1)*12,Paths!$E$92&lt;=C945*12)),Paths!$G$92,0),"n.a."))</f>
        <v>0</v>
      </c>
      <c r="J945" s="16">
        <f>IF(NOT(Paths!$C$92=1),0,IF(Paths!$P$92="Complete",IF(IF(Paths!$E$92=0,C945=0,AND(C945&gt;0,Paths!$E$92&gt;(C945-1)*12,Paths!$E$92&lt;=C945*12)),Paths!$H$92,0),"n.a."))</f>
        <v>0</v>
      </c>
      <c r="K945" s="16">
        <f>IF(NOT(Paths!$C$92=1),0,IF(Paths!$P$92="Complete",IF(IF(Paths!$O$92=0,C945=0,AND(C945&gt;0,Paths!$O$92&gt;(C945-1)*12,Paths!$O$92&lt;=C945*12)),Paths!$N$92,0),"n.a."))</f>
        <v>0</v>
      </c>
      <c r="L945" s="16">
        <f>IF(NOT(Paths!$C$92=1),0,IF(Paths!$P$92="Complete",IF(C945=10,Paths!$I$92,0),"n.a."))</f>
        <v>0</v>
      </c>
      <c r="M945" s="16">
        <f>IF(NOT(Paths!$C$92=1),0,IF(Paths!$P$92="Complete",IF(AND(Paths!$D$92="EV",Paths!$E$92&lt;120,Paths!$E$92+'Operating costs'!$B$65&gt;Paths!$E$92,Paths!$E$92+'Operating costs'!$B$65&lt;=120,IF(Paths!$E$92+'Operating costs'!$B$65=0,C945=0,AND(C945&gt;0,Paths!$E$92+'Operating costs'!$B$65&gt;(C945-1)*12,Paths!$E$92+'Operating costs'!$B$65&lt;=C945*12))),'Operating costs'!$B$64,0)+IF(AND('Operating costs'!$B$67&gt;0,'Operating costs'!$B$67&lt;=120,OR(Paths!$D$92="ICE",'Operating costs'!$B$67&lt;=Paths!$E$92),IF('Operating costs'!$B$67=0,C945=0,AND(C945&gt;0,'Operating costs'!$B$67&gt;(C945-1)*12,'Operating costs'!$B$67&lt;=C945*12))),'Operating costs'!$B$66,0),"n.a."))</f>
        <v>0</v>
      </c>
      <c r="N945" s="16">
        <f>IF(NOT(Paths!$C$92=1),0,IF(Paths!$P$92="Complete",SUM(G945:I945)-J945-K945-L945+M945+IF(C945=0,Paths!$F$92,0)+IF(IF(Paths!$E$92=0,C945=0,AND(C945&gt;0,Paths!$E$92&gt;(C945-1)*12,Paths!$E$92&lt;=C945*12)),VLOOKUP(A945,'Fleet register'!$A$7:$S$106,16,FALSE),0),"n.a."))</f>
        <v>0</v>
      </c>
      <c r="O945" s="16">
        <f>IF(NOT(Paths!$C$92=1),0,IF(Paths!$P$92="Complete",N945-IF(C945=0,Paths!$F$92,0),"n.a."))</f>
        <v>0</v>
      </c>
      <c r="P945" s="16">
        <f>IF(NOT(Paths!$C$92=1),0,IF(Paths!$P$92="Complete",O945+L945,"n.a."))</f>
        <v>0</v>
      </c>
      <c r="Q945" s="16">
        <f>IF(NOT(Paths!$C$92=1),0,IF(Paths!$P$92="Complete",N945*(1+'Operating costs'!$B$54)^-C945,"n.a."))</f>
        <v>0</v>
      </c>
      <c r="R945" s="16">
        <f>IF(NOT(Paths!$C$92=1),0,IF(Paths!$P$92="Complete",IF(AND(C945=0,Paths!$E$92=0),I945-J945-K945+VLOOKUP(A945,'Fleet register'!$A$7:$S$106,15,FALSE)+VLOOKUP(A945,'Fleet register'!$A$7:$S$106,16,FALSE),0),"n.a."))</f>
        <v>0</v>
      </c>
      <c r="S945" s="1">
        <f>IF(NOT(Paths!$C$92=1),0,IF(Paths!$P$92="Complete",IF(C945=0,0,Paths!$S$92*Paths!$R$92),"n.a."))</f>
        <v>0</v>
      </c>
      <c r="T945" s="1">
        <f>IF(NOT(Paths!$C$92=1),0,IF(Paths!$P$92="Complete",IF(C945=0,0,VLOOKUP(A945,'Fleet register'!$A$7:$S$106,9,FALSE)*Paths!$R$92),"n.a."))</f>
        <v>0</v>
      </c>
    </row>
    <row r="946" spans="1:20" ht="24" customHeight="1">
      <c r="A946" s="1" t="str">
        <f>Paths!$A$92</f>
        <v>T022</v>
      </c>
      <c r="B946" s="1">
        <f>Paths!$B$92</f>
        <v>1</v>
      </c>
      <c r="C946" s="1">
        <v>4</v>
      </c>
      <c r="D946" s="1">
        <v>92</v>
      </c>
      <c r="E946" s="1">
        <f>IF(OR(Paths!$C$92=0,C946=0),0,MAX(0,MIN(C946*12,Paths!$E$92)-(C946-1)*12))</f>
        <v>0</v>
      </c>
      <c r="F946" s="1">
        <f>IF(OR(Paths!$C$92=0,C946=0),0,12-E946)</f>
        <v>0</v>
      </c>
      <c r="G946" s="16">
        <f>IF(NOT(Paths!$C$92=1),0,IF(Paths!$P$92="Complete",E946/12*(Paths!$J$92*(1+'Operating costs'!$B$51)^MAX(0,C946-1)+Paths!$K$92*(1+'Operating costs'!$B$53)^MAX(0,C946-1)),"n.a."))</f>
        <v>0</v>
      </c>
      <c r="H946" s="16">
        <f>IF(NOT(Paths!$C$92=1),0,IF(Paths!$P$92="Complete",F946/12*(Paths!$L$92*(1+IF(Paths!$D$92="EV",'Operating costs'!$B$52,'Operating costs'!$B$51))^MAX(0,C946-1)+Paths!$M$92*(1+'Operating costs'!$B$53)^MAX(0,C946-1)),"n.a."))</f>
        <v>0</v>
      </c>
      <c r="I946" s="16">
        <f>IF(NOT(Paths!$C$92=1),0,IF(Paths!$P$92="Complete",IF(IF(Paths!$E$92=0,C946=0,AND(C946&gt;0,Paths!$E$92&gt;(C946-1)*12,Paths!$E$92&lt;=C946*12)),Paths!$G$92,0),"n.a."))</f>
        <v>0</v>
      </c>
      <c r="J946" s="16">
        <f>IF(NOT(Paths!$C$92=1),0,IF(Paths!$P$92="Complete",IF(IF(Paths!$E$92=0,C946=0,AND(C946&gt;0,Paths!$E$92&gt;(C946-1)*12,Paths!$E$92&lt;=C946*12)),Paths!$H$92,0),"n.a."))</f>
        <v>0</v>
      </c>
      <c r="K946" s="16">
        <f>IF(NOT(Paths!$C$92=1),0,IF(Paths!$P$92="Complete",IF(IF(Paths!$O$92=0,C946=0,AND(C946&gt;0,Paths!$O$92&gt;(C946-1)*12,Paths!$O$92&lt;=C946*12)),Paths!$N$92,0),"n.a."))</f>
        <v>0</v>
      </c>
      <c r="L946" s="16">
        <f>IF(NOT(Paths!$C$92=1),0,IF(Paths!$P$92="Complete",IF(C946=10,Paths!$I$92,0),"n.a."))</f>
        <v>0</v>
      </c>
      <c r="M946" s="16">
        <f>IF(NOT(Paths!$C$92=1),0,IF(Paths!$P$92="Complete",IF(AND(Paths!$D$92="EV",Paths!$E$92&lt;120,Paths!$E$92+'Operating costs'!$B$65&gt;Paths!$E$92,Paths!$E$92+'Operating costs'!$B$65&lt;=120,IF(Paths!$E$92+'Operating costs'!$B$65=0,C946=0,AND(C946&gt;0,Paths!$E$92+'Operating costs'!$B$65&gt;(C946-1)*12,Paths!$E$92+'Operating costs'!$B$65&lt;=C946*12))),'Operating costs'!$B$64,0)+IF(AND('Operating costs'!$B$67&gt;0,'Operating costs'!$B$67&lt;=120,OR(Paths!$D$92="ICE",'Operating costs'!$B$67&lt;=Paths!$E$92),IF('Operating costs'!$B$67=0,C946=0,AND(C946&gt;0,'Operating costs'!$B$67&gt;(C946-1)*12,'Operating costs'!$B$67&lt;=C946*12))),'Operating costs'!$B$66,0),"n.a."))</f>
        <v>0</v>
      </c>
      <c r="N946" s="16">
        <f>IF(NOT(Paths!$C$92=1),0,IF(Paths!$P$92="Complete",SUM(G946:I946)-J946-K946-L946+M946+IF(C946=0,Paths!$F$92,0)+IF(IF(Paths!$E$92=0,C946=0,AND(C946&gt;0,Paths!$E$92&gt;(C946-1)*12,Paths!$E$92&lt;=C946*12)),VLOOKUP(A946,'Fleet register'!$A$7:$S$106,16,FALSE),0),"n.a."))</f>
        <v>0</v>
      </c>
      <c r="O946" s="16">
        <f>IF(NOT(Paths!$C$92=1),0,IF(Paths!$P$92="Complete",N946-IF(C946=0,Paths!$F$92,0),"n.a."))</f>
        <v>0</v>
      </c>
      <c r="P946" s="16">
        <f>IF(NOT(Paths!$C$92=1),0,IF(Paths!$P$92="Complete",O946+L946,"n.a."))</f>
        <v>0</v>
      </c>
      <c r="Q946" s="16">
        <f>IF(NOT(Paths!$C$92=1),0,IF(Paths!$P$92="Complete",N946*(1+'Operating costs'!$B$54)^-C946,"n.a."))</f>
        <v>0</v>
      </c>
      <c r="R946" s="16">
        <f>IF(NOT(Paths!$C$92=1),0,IF(Paths!$P$92="Complete",IF(AND(C946=0,Paths!$E$92=0),I946-J946-K946+VLOOKUP(A946,'Fleet register'!$A$7:$S$106,15,FALSE)+VLOOKUP(A946,'Fleet register'!$A$7:$S$106,16,FALSE),0),"n.a."))</f>
        <v>0</v>
      </c>
      <c r="S946" s="1">
        <f>IF(NOT(Paths!$C$92=1),0,IF(Paths!$P$92="Complete",IF(C946=0,0,Paths!$S$92*Paths!$R$92),"n.a."))</f>
        <v>0</v>
      </c>
      <c r="T946" s="1">
        <f>IF(NOT(Paths!$C$92=1),0,IF(Paths!$P$92="Complete",IF(C946=0,0,VLOOKUP(A946,'Fleet register'!$A$7:$S$106,9,FALSE)*Paths!$R$92),"n.a."))</f>
        <v>0</v>
      </c>
    </row>
    <row r="947" spans="1:20" ht="24" customHeight="1">
      <c r="A947" s="1" t="str">
        <f>Paths!$A$92</f>
        <v>T022</v>
      </c>
      <c r="B947" s="1">
        <f>Paths!$B$92</f>
        <v>1</v>
      </c>
      <c r="C947" s="1">
        <v>5</v>
      </c>
      <c r="D947" s="1">
        <v>92</v>
      </c>
      <c r="E947" s="1">
        <f>IF(OR(Paths!$C$92=0,C947=0),0,MAX(0,MIN(C947*12,Paths!$E$92)-(C947-1)*12))</f>
        <v>0</v>
      </c>
      <c r="F947" s="1">
        <f>IF(OR(Paths!$C$92=0,C947=0),0,12-E947)</f>
        <v>0</v>
      </c>
      <c r="G947" s="16">
        <f>IF(NOT(Paths!$C$92=1),0,IF(Paths!$P$92="Complete",E947/12*(Paths!$J$92*(1+'Operating costs'!$B$51)^MAX(0,C947-1)+Paths!$K$92*(1+'Operating costs'!$B$53)^MAX(0,C947-1)),"n.a."))</f>
        <v>0</v>
      </c>
      <c r="H947" s="16">
        <f>IF(NOT(Paths!$C$92=1),0,IF(Paths!$P$92="Complete",F947/12*(Paths!$L$92*(1+IF(Paths!$D$92="EV",'Operating costs'!$B$52,'Operating costs'!$B$51))^MAX(0,C947-1)+Paths!$M$92*(1+'Operating costs'!$B$53)^MAX(0,C947-1)),"n.a."))</f>
        <v>0</v>
      </c>
      <c r="I947" s="16">
        <f>IF(NOT(Paths!$C$92=1),0,IF(Paths!$P$92="Complete",IF(IF(Paths!$E$92=0,C947=0,AND(C947&gt;0,Paths!$E$92&gt;(C947-1)*12,Paths!$E$92&lt;=C947*12)),Paths!$G$92,0),"n.a."))</f>
        <v>0</v>
      </c>
      <c r="J947" s="16">
        <f>IF(NOT(Paths!$C$92=1),0,IF(Paths!$P$92="Complete",IF(IF(Paths!$E$92=0,C947=0,AND(C947&gt;0,Paths!$E$92&gt;(C947-1)*12,Paths!$E$92&lt;=C947*12)),Paths!$H$92,0),"n.a."))</f>
        <v>0</v>
      </c>
      <c r="K947" s="16">
        <f>IF(NOT(Paths!$C$92=1),0,IF(Paths!$P$92="Complete",IF(IF(Paths!$O$92=0,C947=0,AND(C947&gt;0,Paths!$O$92&gt;(C947-1)*12,Paths!$O$92&lt;=C947*12)),Paths!$N$92,0),"n.a."))</f>
        <v>0</v>
      </c>
      <c r="L947" s="16">
        <f>IF(NOT(Paths!$C$92=1),0,IF(Paths!$P$92="Complete",IF(C947=10,Paths!$I$92,0),"n.a."))</f>
        <v>0</v>
      </c>
      <c r="M947" s="16">
        <f>IF(NOT(Paths!$C$92=1),0,IF(Paths!$P$92="Complete",IF(AND(Paths!$D$92="EV",Paths!$E$92&lt;120,Paths!$E$92+'Operating costs'!$B$65&gt;Paths!$E$92,Paths!$E$92+'Operating costs'!$B$65&lt;=120,IF(Paths!$E$92+'Operating costs'!$B$65=0,C947=0,AND(C947&gt;0,Paths!$E$92+'Operating costs'!$B$65&gt;(C947-1)*12,Paths!$E$92+'Operating costs'!$B$65&lt;=C947*12))),'Operating costs'!$B$64,0)+IF(AND('Operating costs'!$B$67&gt;0,'Operating costs'!$B$67&lt;=120,OR(Paths!$D$92="ICE",'Operating costs'!$B$67&lt;=Paths!$E$92),IF('Operating costs'!$B$67=0,C947=0,AND(C947&gt;0,'Operating costs'!$B$67&gt;(C947-1)*12,'Operating costs'!$B$67&lt;=C947*12))),'Operating costs'!$B$66,0),"n.a."))</f>
        <v>0</v>
      </c>
      <c r="N947" s="16">
        <f>IF(NOT(Paths!$C$92=1),0,IF(Paths!$P$92="Complete",SUM(G947:I947)-J947-K947-L947+M947+IF(C947=0,Paths!$F$92,0)+IF(IF(Paths!$E$92=0,C947=0,AND(C947&gt;0,Paths!$E$92&gt;(C947-1)*12,Paths!$E$92&lt;=C947*12)),VLOOKUP(A947,'Fleet register'!$A$7:$S$106,16,FALSE),0),"n.a."))</f>
        <v>0</v>
      </c>
      <c r="O947" s="16">
        <f>IF(NOT(Paths!$C$92=1),0,IF(Paths!$P$92="Complete",N947-IF(C947=0,Paths!$F$92,0),"n.a."))</f>
        <v>0</v>
      </c>
      <c r="P947" s="16">
        <f>IF(NOT(Paths!$C$92=1),0,IF(Paths!$P$92="Complete",O947+L947,"n.a."))</f>
        <v>0</v>
      </c>
      <c r="Q947" s="16">
        <f>IF(NOT(Paths!$C$92=1),0,IF(Paths!$P$92="Complete",N947*(1+'Operating costs'!$B$54)^-C947,"n.a."))</f>
        <v>0</v>
      </c>
      <c r="R947" s="16">
        <f>IF(NOT(Paths!$C$92=1),0,IF(Paths!$P$92="Complete",IF(AND(C947=0,Paths!$E$92=0),I947-J947-K947+VLOOKUP(A947,'Fleet register'!$A$7:$S$106,15,FALSE)+VLOOKUP(A947,'Fleet register'!$A$7:$S$106,16,FALSE),0),"n.a."))</f>
        <v>0</v>
      </c>
      <c r="S947" s="1">
        <f>IF(NOT(Paths!$C$92=1),0,IF(Paths!$P$92="Complete",IF(C947=0,0,Paths!$S$92*Paths!$R$92),"n.a."))</f>
        <v>0</v>
      </c>
      <c r="T947" s="1">
        <f>IF(NOT(Paths!$C$92=1),0,IF(Paths!$P$92="Complete",IF(C947=0,0,VLOOKUP(A947,'Fleet register'!$A$7:$S$106,9,FALSE)*Paths!$R$92),"n.a."))</f>
        <v>0</v>
      </c>
    </row>
    <row r="948" spans="1:20" ht="24" customHeight="1">
      <c r="A948" s="1" t="str">
        <f>Paths!$A$92</f>
        <v>T022</v>
      </c>
      <c r="B948" s="1">
        <f>Paths!$B$92</f>
        <v>1</v>
      </c>
      <c r="C948" s="1">
        <v>6</v>
      </c>
      <c r="D948" s="1">
        <v>92</v>
      </c>
      <c r="E948" s="1">
        <f>IF(OR(Paths!$C$92=0,C948=0),0,MAX(0,MIN(C948*12,Paths!$E$92)-(C948-1)*12))</f>
        <v>0</v>
      </c>
      <c r="F948" s="1">
        <f>IF(OR(Paths!$C$92=0,C948=0),0,12-E948)</f>
        <v>0</v>
      </c>
      <c r="G948" s="16">
        <f>IF(NOT(Paths!$C$92=1),0,IF(Paths!$P$92="Complete",E948/12*(Paths!$J$92*(1+'Operating costs'!$B$51)^MAX(0,C948-1)+Paths!$K$92*(1+'Operating costs'!$B$53)^MAX(0,C948-1)),"n.a."))</f>
        <v>0</v>
      </c>
      <c r="H948" s="16">
        <f>IF(NOT(Paths!$C$92=1),0,IF(Paths!$P$92="Complete",F948/12*(Paths!$L$92*(1+IF(Paths!$D$92="EV",'Operating costs'!$B$52,'Operating costs'!$B$51))^MAX(0,C948-1)+Paths!$M$92*(1+'Operating costs'!$B$53)^MAX(0,C948-1)),"n.a."))</f>
        <v>0</v>
      </c>
      <c r="I948" s="16">
        <f>IF(NOT(Paths!$C$92=1),0,IF(Paths!$P$92="Complete",IF(IF(Paths!$E$92=0,C948=0,AND(C948&gt;0,Paths!$E$92&gt;(C948-1)*12,Paths!$E$92&lt;=C948*12)),Paths!$G$92,0),"n.a."))</f>
        <v>0</v>
      </c>
      <c r="J948" s="16">
        <f>IF(NOT(Paths!$C$92=1),0,IF(Paths!$P$92="Complete",IF(IF(Paths!$E$92=0,C948=0,AND(C948&gt;0,Paths!$E$92&gt;(C948-1)*12,Paths!$E$92&lt;=C948*12)),Paths!$H$92,0),"n.a."))</f>
        <v>0</v>
      </c>
      <c r="K948" s="16">
        <f>IF(NOT(Paths!$C$92=1),0,IF(Paths!$P$92="Complete",IF(IF(Paths!$O$92=0,C948=0,AND(C948&gt;0,Paths!$O$92&gt;(C948-1)*12,Paths!$O$92&lt;=C948*12)),Paths!$N$92,0),"n.a."))</f>
        <v>0</v>
      </c>
      <c r="L948" s="16">
        <f>IF(NOT(Paths!$C$92=1),0,IF(Paths!$P$92="Complete",IF(C948=10,Paths!$I$92,0),"n.a."))</f>
        <v>0</v>
      </c>
      <c r="M948" s="16">
        <f>IF(NOT(Paths!$C$92=1),0,IF(Paths!$P$92="Complete",IF(AND(Paths!$D$92="EV",Paths!$E$92&lt;120,Paths!$E$92+'Operating costs'!$B$65&gt;Paths!$E$92,Paths!$E$92+'Operating costs'!$B$65&lt;=120,IF(Paths!$E$92+'Operating costs'!$B$65=0,C948=0,AND(C948&gt;0,Paths!$E$92+'Operating costs'!$B$65&gt;(C948-1)*12,Paths!$E$92+'Operating costs'!$B$65&lt;=C948*12))),'Operating costs'!$B$64,0)+IF(AND('Operating costs'!$B$67&gt;0,'Operating costs'!$B$67&lt;=120,OR(Paths!$D$92="ICE",'Operating costs'!$B$67&lt;=Paths!$E$92),IF('Operating costs'!$B$67=0,C948=0,AND(C948&gt;0,'Operating costs'!$B$67&gt;(C948-1)*12,'Operating costs'!$B$67&lt;=C948*12))),'Operating costs'!$B$66,0),"n.a."))</f>
        <v>0</v>
      </c>
      <c r="N948" s="16">
        <f>IF(NOT(Paths!$C$92=1),0,IF(Paths!$P$92="Complete",SUM(G948:I948)-J948-K948-L948+M948+IF(C948=0,Paths!$F$92,0)+IF(IF(Paths!$E$92=0,C948=0,AND(C948&gt;0,Paths!$E$92&gt;(C948-1)*12,Paths!$E$92&lt;=C948*12)),VLOOKUP(A948,'Fleet register'!$A$7:$S$106,16,FALSE),0),"n.a."))</f>
        <v>0</v>
      </c>
      <c r="O948" s="16">
        <f>IF(NOT(Paths!$C$92=1),0,IF(Paths!$P$92="Complete",N948-IF(C948=0,Paths!$F$92,0),"n.a."))</f>
        <v>0</v>
      </c>
      <c r="P948" s="16">
        <f>IF(NOT(Paths!$C$92=1),0,IF(Paths!$P$92="Complete",O948+L948,"n.a."))</f>
        <v>0</v>
      </c>
      <c r="Q948" s="16">
        <f>IF(NOT(Paths!$C$92=1),0,IF(Paths!$P$92="Complete",N948*(1+'Operating costs'!$B$54)^-C948,"n.a."))</f>
        <v>0</v>
      </c>
      <c r="R948" s="16">
        <f>IF(NOT(Paths!$C$92=1),0,IF(Paths!$P$92="Complete",IF(AND(C948=0,Paths!$E$92=0),I948-J948-K948+VLOOKUP(A948,'Fleet register'!$A$7:$S$106,15,FALSE)+VLOOKUP(A948,'Fleet register'!$A$7:$S$106,16,FALSE),0),"n.a."))</f>
        <v>0</v>
      </c>
      <c r="S948" s="1">
        <f>IF(NOT(Paths!$C$92=1),0,IF(Paths!$P$92="Complete",IF(C948=0,0,Paths!$S$92*Paths!$R$92),"n.a."))</f>
        <v>0</v>
      </c>
      <c r="T948" s="1">
        <f>IF(NOT(Paths!$C$92=1),0,IF(Paths!$P$92="Complete",IF(C948=0,0,VLOOKUP(A948,'Fleet register'!$A$7:$S$106,9,FALSE)*Paths!$R$92),"n.a."))</f>
        <v>0</v>
      </c>
    </row>
    <row r="949" spans="1:20" ht="24" customHeight="1">
      <c r="A949" s="1" t="str">
        <f>Paths!$A$92</f>
        <v>T022</v>
      </c>
      <c r="B949" s="1">
        <f>Paths!$B$92</f>
        <v>1</v>
      </c>
      <c r="C949" s="1">
        <v>7</v>
      </c>
      <c r="D949" s="1">
        <v>92</v>
      </c>
      <c r="E949" s="1">
        <f>IF(OR(Paths!$C$92=0,C949=0),0,MAX(0,MIN(C949*12,Paths!$E$92)-(C949-1)*12))</f>
        <v>0</v>
      </c>
      <c r="F949" s="1">
        <f>IF(OR(Paths!$C$92=0,C949=0),0,12-E949)</f>
        <v>0</v>
      </c>
      <c r="G949" s="16">
        <f>IF(NOT(Paths!$C$92=1),0,IF(Paths!$P$92="Complete",E949/12*(Paths!$J$92*(1+'Operating costs'!$B$51)^MAX(0,C949-1)+Paths!$K$92*(1+'Operating costs'!$B$53)^MAX(0,C949-1)),"n.a."))</f>
        <v>0</v>
      </c>
      <c r="H949" s="16">
        <f>IF(NOT(Paths!$C$92=1),0,IF(Paths!$P$92="Complete",F949/12*(Paths!$L$92*(1+IF(Paths!$D$92="EV",'Operating costs'!$B$52,'Operating costs'!$B$51))^MAX(0,C949-1)+Paths!$M$92*(1+'Operating costs'!$B$53)^MAX(0,C949-1)),"n.a."))</f>
        <v>0</v>
      </c>
      <c r="I949" s="16">
        <f>IF(NOT(Paths!$C$92=1),0,IF(Paths!$P$92="Complete",IF(IF(Paths!$E$92=0,C949=0,AND(C949&gt;0,Paths!$E$92&gt;(C949-1)*12,Paths!$E$92&lt;=C949*12)),Paths!$G$92,0),"n.a."))</f>
        <v>0</v>
      </c>
      <c r="J949" s="16">
        <f>IF(NOT(Paths!$C$92=1),0,IF(Paths!$P$92="Complete",IF(IF(Paths!$E$92=0,C949=0,AND(C949&gt;0,Paths!$E$92&gt;(C949-1)*12,Paths!$E$92&lt;=C949*12)),Paths!$H$92,0),"n.a."))</f>
        <v>0</v>
      </c>
      <c r="K949" s="16">
        <f>IF(NOT(Paths!$C$92=1),0,IF(Paths!$P$92="Complete",IF(IF(Paths!$O$92=0,C949=0,AND(C949&gt;0,Paths!$O$92&gt;(C949-1)*12,Paths!$O$92&lt;=C949*12)),Paths!$N$92,0),"n.a."))</f>
        <v>0</v>
      </c>
      <c r="L949" s="16">
        <f>IF(NOT(Paths!$C$92=1),0,IF(Paths!$P$92="Complete",IF(C949=10,Paths!$I$92,0),"n.a."))</f>
        <v>0</v>
      </c>
      <c r="M949" s="16">
        <f>IF(NOT(Paths!$C$92=1),0,IF(Paths!$P$92="Complete",IF(AND(Paths!$D$92="EV",Paths!$E$92&lt;120,Paths!$E$92+'Operating costs'!$B$65&gt;Paths!$E$92,Paths!$E$92+'Operating costs'!$B$65&lt;=120,IF(Paths!$E$92+'Operating costs'!$B$65=0,C949=0,AND(C949&gt;0,Paths!$E$92+'Operating costs'!$B$65&gt;(C949-1)*12,Paths!$E$92+'Operating costs'!$B$65&lt;=C949*12))),'Operating costs'!$B$64,0)+IF(AND('Operating costs'!$B$67&gt;0,'Operating costs'!$B$67&lt;=120,OR(Paths!$D$92="ICE",'Operating costs'!$B$67&lt;=Paths!$E$92),IF('Operating costs'!$B$67=0,C949=0,AND(C949&gt;0,'Operating costs'!$B$67&gt;(C949-1)*12,'Operating costs'!$B$67&lt;=C949*12))),'Operating costs'!$B$66,0),"n.a."))</f>
        <v>0</v>
      </c>
      <c r="N949" s="16">
        <f>IF(NOT(Paths!$C$92=1),0,IF(Paths!$P$92="Complete",SUM(G949:I949)-J949-K949-L949+M949+IF(C949=0,Paths!$F$92,0)+IF(IF(Paths!$E$92=0,C949=0,AND(C949&gt;0,Paths!$E$92&gt;(C949-1)*12,Paths!$E$92&lt;=C949*12)),VLOOKUP(A949,'Fleet register'!$A$7:$S$106,16,FALSE),0),"n.a."))</f>
        <v>0</v>
      </c>
      <c r="O949" s="16">
        <f>IF(NOT(Paths!$C$92=1),0,IF(Paths!$P$92="Complete",N949-IF(C949=0,Paths!$F$92,0),"n.a."))</f>
        <v>0</v>
      </c>
      <c r="P949" s="16">
        <f>IF(NOT(Paths!$C$92=1),0,IF(Paths!$P$92="Complete",O949+L949,"n.a."))</f>
        <v>0</v>
      </c>
      <c r="Q949" s="16">
        <f>IF(NOT(Paths!$C$92=1),0,IF(Paths!$P$92="Complete",N949*(1+'Operating costs'!$B$54)^-C949,"n.a."))</f>
        <v>0</v>
      </c>
      <c r="R949" s="16">
        <f>IF(NOT(Paths!$C$92=1),0,IF(Paths!$P$92="Complete",IF(AND(C949=0,Paths!$E$92=0),I949-J949-K949+VLOOKUP(A949,'Fleet register'!$A$7:$S$106,15,FALSE)+VLOOKUP(A949,'Fleet register'!$A$7:$S$106,16,FALSE),0),"n.a."))</f>
        <v>0</v>
      </c>
      <c r="S949" s="1">
        <f>IF(NOT(Paths!$C$92=1),0,IF(Paths!$P$92="Complete",IF(C949=0,0,Paths!$S$92*Paths!$R$92),"n.a."))</f>
        <v>0</v>
      </c>
      <c r="T949" s="1">
        <f>IF(NOT(Paths!$C$92=1),0,IF(Paths!$P$92="Complete",IF(C949=0,0,VLOOKUP(A949,'Fleet register'!$A$7:$S$106,9,FALSE)*Paths!$R$92),"n.a."))</f>
        <v>0</v>
      </c>
    </row>
    <row r="950" spans="1:20" ht="24" customHeight="1">
      <c r="A950" s="1" t="str">
        <f>Paths!$A$92</f>
        <v>T022</v>
      </c>
      <c r="B950" s="1">
        <f>Paths!$B$92</f>
        <v>1</v>
      </c>
      <c r="C950" s="1">
        <v>8</v>
      </c>
      <c r="D950" s="1">
        <v>92</v>
      </c>
      <c r="E950" s="1">
        <f>IF(OR(Paths!$C$92=0,C950=0),0,MAX(0,MIN(C950*12,Paths!$E$92)-(C950-1)*12))</f>
        <v>0</v>
      </c>
      <c r="F950" s="1">
        <f>IF(OR(Paths!$C$92=0,C950=0),0,12-E950)</f>
        <v>0</v>
      </c>
      <c r="G950" s="16">
        <f>IF(NOT(Paths!$C$92=1),0,IF(Paths!$P$92="Complete",E950/12*(Paths!$J$92*(1+'Operating costs'!$B$51)^MAX(0,C950-1)+Paths!$K$92*(1+'Operating costs'!$B$53)^MAX(0,C950-1)),"n.a."))</f>
        <v>0</v>
      </c>
      <c r="H950" s="16">
        <f>IF(NOT(Paths!$C$92=1),0,IF(Paths!$P$92="Complete",F950/12*(Paths!$L$92*(1+IF(Paths!$D$92="EV",'Operating costs'!$B$52,'Operating costs'!$B$51))^MAX(0,C950-1)+Paths!$M$92*(1+'Operating costs'!$B$53)^MAX(0,C950-1)),"n.a."))</f>
        <v>0</v>
      </c>
      <c r="I950" s="16">
        <f>IF(NOT(Paths!$C$92=1),0,IF(Paths!$P$92="Complete",IF(IF(Paths!$E$92=0,C950=0,AND(C950&gt;0,Paths!$E$92&gt;(C950-1)*12,Paths!$E$92&lt;=C950*12)),Paths!$G$92,0),"n.a."))</f>
        <v>0</v>
      </c>
      <c r="J950" s="16">
        <f>IF(NOT(Paths!$C$92=1),0,IF(Paths!$P$92="Complete",IF(IF(Paths!$E$92=0,C950=0,AND(C950&gt;0,Paths!$E$92&gt;(C950-1)*12,Paths!$E$92&lt;=C950*12)),Paths!$H$92,0),"n.a."))</f>
        <v>0</v>
      </c>
      <c r="K950" s="16">
        <f>IF(NOT(Paths!$C$92=1),0,IF(Paths!$P$92="Complete",IF(IF(Paths!$O$92=0,C950=0,AND(C950&gt;0,Paths!$O$92&gt;(C950-1)*12,Paths!$O$92&lt;=C950*12)),Paths!$N$92,0),"n.a."))</f>
        <v>0</v>
      </c>
      <c r="L950" s="16">
        <f>IF(NOT(Paths!$C$92=1),0,IF(Paths!$P$92="Complete",IF(C950=10,Paths!$I$92,0),"n.a."))</f>
        <v>0</v>
      </c>
      <c r="M950" s="16">
        <f>IF(NOT(Paths!$C$92=1),0,IF(Paths!$P$92="Complete",IF(AND(Paths!$D$92="EV",Paths!$E$92&lt;120,Paths!$E$92+'Operating costs'!$B$65&gt;Paths!$E$92,Paths!$E$92+'Operating costs'!$B$65&lt;=120,IF(Paths!$E$92+'Operating costs'!$B$65=0,C950=0,AND(C950&gt;0,Paths!$E$92+'Operating costs'!$B$65&gt;(C950-1)*12,Paths!$E$92+'Operating costs'!$B$65&lt;=C950*12))),'Operating costs'!$B$64,0)+IF(AND('Operating costs'!$B$67&gt;0,'Operating costs'!$B$67&lt;=120,OR(Paths!$D$92="ICE",'Operating costs'!$B$67&lt;=Paths!$E$92),IF('Operating costs'!$B$67=0,C950=0,AND(C950&gt;0,'Operating costs'!$B$67&gt;(C950-1)*12,'Operating costs'!$B$67&lt;=C950*12))),'Operating costs'!$B$66,0),"n.a."))</f>
        <v>0</v>
      </c>
      <c r="N950" s="16">
        <f>IF(NOT(Paths!$C$92=1),0,IF(Paths!$P$92="Complete",SUM(G950:I950)-J950-K950-L950+M950+IF(C950=0,Paths!$F$92,0)+IF(IF(Paths!$E$92=0,C950=0,AND(C950&gt;0,Paths!$E$92&gt;(C950-1)*12,Paths!$E$92&lt;=C950*12)),VLOOKUP(A950,'Fleet register'!$A$7:$S$106,16,FALSE),0),"n.a."))</f>
        <v>0</v>
      </c>
      <c r="O950" s="16">
        <f>IF(NOT(Paths!$C$92=1),0,IF(Paths!$P$92="Complete",N950-IF(C950=0,Paths!$F$92,0),"n.a."))</f>
        <v>0</v>
      </c>
      <c r="P950" s="16">
        <f>IF(NOT(Paths!$C$92=1),0,IF(Paths!$P$92="Complete",O950+L950,"n.a."))</f>
        <v>0</v>
      </c>
      <c r="Q950" s="16">
        <f>IF(NOT(Paths!$C$92=1),0,IF(Paths!$P$92="Complete",N950*(1+'Operating costs'!$B$54)^-C950,"n.a."))</f>
        <v>0</v>
      </c>
      <c r="R950" s="16">
        <f>IF(NOT(Paths!$C$92=1),0,IF(Paths!$P$92="Complete",IF(AND(C950=0,Paths!$E$92=0),I950-J950-K950+VLOOKUP(A950,'Fleet register'!$A$7:$S$106,15,FALSE)+VLOOKUP(A950,'Fleet register'!$A$7:$S$106,16,FALSE),0),"n.a."))</f>
        <v>0</v>
      </c>
      <c r="S950" s="1">
        <f>IF(NOT(Paths!$C$92=1),0,IF(Paths!$P$92="Complete",IF(C950=0,0,Paths!$S$92*Paths!$R$92),"n.a."))</f>
        <v>0</v>
      </c>
      <c r="T950" s="1">
        <f>IF(NOT(Paths!$C$92=1),0,IF(Paths!$P$92="Complete",IF(C950=0,0,VLOOKUP(A950,'Fleet register'!$A$7:$S$106,9,FALSE)*Paths!$R$92),"n.a."))</f>
        <v>0</v>
      </c>
    </row>
    <row r="951" spans="1:20" ht="24" customHeight="1">
      <c r="A951" s="1" t="str">
        <f>Paths!$A$92</f>
        <v>T022</v>
      </c>
      <c r="B951" s="1">
        <f>Paths!$B$92</f>
        <v>1</v>
      </c>
      <c r="C951" s="1">
        <v>9</v>
      </c>
      <c r="D951" s="1">
        <v>92</v>
      </c>
      <c r="E951" s="1">
        <f>IF(OR(Paths!$C$92=0,C951=0),0,MAX(0,MIN(C951*12,Paths!$E$92)-(C951-1)*12))</f>
        <v>0</v>
      </c>
      <c r="F951" s="1">
        <f>IF(OR(Paths!$C$92=0,C951=0),0,12-E951)</f>
        <v>0</v>
      </c>
      <c r="G951" s="16">
        <f>IF(NOT(Paths!$C$92=1),0,IF(Paths!$P$92="Complete",E951/12*(Paths!$J$92*(1+'Operating costs'!$B$51)^MAX(0,C951-1)+Paths!$K$92*(1+'Operating costs'!$B$53)^MAX(0,C951-1)),"n.a."))</f>
        <v>0</v>
      </c>
      <c r="H951" s="16">
        <f>IF(NOT(Paths!$C$92=1),0,IF(Paths!$P$92="Complete",F951/12*(Paths!$L$92*(1+IF(Paths!$D$92="EV",'Operating costs'!$B$52,'Operating costs'!$B$51))^MAX(0,C951-1)+Paths!$M$92*(1+'Operating costs'!$B$53)^MAX(0,C951-1)),"n.a."))</f>
        <v>0</v>
      </c>
      <c r="I951" s="16">
        <f>IF(NOT(Paths!$C$92=1),0,IF(Paths!$P$92="Complete",IF(IF(Paths!$E$92=0,C951=0,AND(C951&gt;0,Paths!$E$92&gt;(C951-1)*12,Paths!$E$92&lt;=C951*12)),Paths!$G$92,0),"n.a."))</f>
        <v>0</v>
      </c>
      <c r="J951" s="16">
        <f>IF(NOT(Paths!$C$92=1),0,IF(Paths!$P$92="Complete",IF(IF(Paths!$E$92=0,C951=0,AND(C951&gt;0,Paths!$E$92&gt;(C951-1)*12,Paths!$E$92&lt;=C951*12)),Paths!$H$92,0),"n.a."))</f>
        <v>0</v>
      </c>
      <c r="K951" s="16">
        <f>IF(NOT(Paths!$C$92=1),0,IF(Paths!$P$92="Complete",IF(IF(Paths!$O$92=0,C951=0,AND(C951&gt;0,Paths!$O$92&gt;(C951-1)*12,Paths!$O$92&lt;=C951*12)),Paths!$N$92,0),"n.a."))</f>
        <v>0</v>
      </c>
      <c r="L951" s="16">
        <f>IF(NOT(Paths!$C$92=1),0,IF(Paths!$P$92="Complete",IF(C951=10,Paths!$I$92,0),"n.a."))</f>
        <v>0</v>
      </c>
      <c r="M951" s="16">
        <f>IF(NOT(Paths!$C$92=1),0,IF(Paths!$P$92="Complete",IF(AND(Paths!$D$92="EV",Paths!$E$92&lt;120,Paths!$E$92+'Operating costs'!$B$65&gt;Paths!$E$92,Paths!$E$92+'Operating costs'!$B$65&lt;=120,IF(Paths!$E$92+'Operating costs'!$B$65=0,C951=0,AND(C951&gt;0,Paths!$E$92+'Operating costs'!$B$65&gt;(C951-1)*12,Paths!$E$92+'Operating costs'!$B$65&lt;=C951*12))),'Operating costs'!$B$64,0)+IF(AND('Operating costs'!$B$67&gt;0,'Operating costs'!$B$67&lt;=120,OR(Paths!$D$92="ICE",'Operating costs'!$B$67&lt;=Paths!$E$92),IF('Operating costs'!$B$67=0,C951=0,AND(C951&gt;0,'Operating costs'!$B$67&gt;(C951-1)*12,'Operating costs'!$B$67&lt;=C951*12))),'Operating costs'!$B$66,0),"n.a."))</f>
        <v>0</v>
      </c>
      <c r="N951" s="16">
        <f>IF(NOT(Paths!$C$92=1),0,IF(Paths!$P$92="Complete",SUM(G951:I951)-J951-K951-L951+M951+IF(C951=0,Paths!$F$92,0)+IF(IF(Paths!$E$92=0,C951=0,AND(C951&gt;0,Paths!$E$92&gt;(C951-1)*12,Paths!$E$92&lt;=C951*12)),VLOOKUP(A951,'Fleet register'!$A$7:$S$106,16,FALSE),0),"n.a."))</f>
        <v>0</v>
      </c>
      <c r="O951" s="16">
        <f>IF(NOT(Paths!$C$92=1),0,IF(Paths!$P$92="Complete",N951-IF(C951=0,Paths!$F$92,0),"n.a."))</f>
        <v>0</v>
      </c>
      <c r="P951" s="16">
        <f>IF(NOT(Paths!$C$92=1),0,IF(Paths!$P$92="Complete",O951+L951,"n.a."))</f>
        <v>0</v>
      </c>
      <c r="Q951" s="16">
        <f>IF(NOT(Paths!$C$92=1),0,IF(Paths!$P$92="Complete",N951*(1+'Operating costs'!$B$54)^-C951,"n.a."))</f>
        <v>0</v>
      </c>
      <c r="R951" s="16">
        <f>IF(NOT(Paths!$C$92=1),0,IF(Paths!$P$92="Complete",IF(AND(C951=0,Paths!$E$92=0),I951-J951-K951+VLOOKUP(A951,'Fleet register'!$A$7:$S$106,15,FALSE)+VLOOKUP(A951,'Fleet register'!$A$7:$S$106,16,FALSE),0),"n.a."))</f>
        <v>0</v>
      </c>
      <c r="S951" s="1">
        <f>IF(NOT(Paths!$C$92=1),0,IF(Paths!$P$92="Complete",IF(C951=0,0,Paths!$S$92*Paths!$R$92),"n.a."))</f>
        <v>0</v>
      </c>
      <c r="T951" s="1">
        <f>IF(NOT(Paths!$C$92=1),0,IF(Paths!$P$92="Complete",IF(C951=0,0,VLOOKUP(A951,'Fleet register'!$A$7:$S$106,9,FALSE)*Paths!$R$92),"n.a."))</f>
        <v>0</v>
      </c>
    </row>
    <row r="952" spans="1:20" ht="24" customHeight="1">
      <c r="A952" s="1" t="str">
        <f>Paths!$A$92</f>
        <v>T022</v>
      </c>
      <c r="B952" s="1">
        <f>Paths!$B$92</f>
        <v>1</v>
      </c>
      <c r="C952" s="1">
        <v>10</v>
      </c>
      <c r="D952" s="1">
        <v>92</v>
      </c>
      <c r="E952" s="1">
        <f>IF(OR(Paths!$C$92=0,C952=0),0,MAX(0,MIN(C952*12,Paths!$E$92)-(C952-1)*12))</f>
        <v>0</v>
      </c>
      <c r="F952" s="1">
        <f>IF(OR(Paths!$C$92=0,C952=0),0,12-E952)</f>
        <v>0</v>
      </c>
      <c r="G952" s="16">
        <f>IF(NOT(Paths!$C$92=1),0,IF(Paths!$P$92="Complete",E952/12*(Paths!$J$92*(1+'Operating costs'!$B$51)^MAX(0,C952-1)+Paths!$K$92*(1+'Operating costs'!$B$53)^MAX(0,C952-1)),"n.a."))</f>
        <v>0</v>
      </c>
      <c r="H952" s="16">
        <f>IF(NOT(Paths!$C$92=1),0,IF(Paths!$P$92="Complete",F952/12*(Paths!$L$92*(1+IF(Paths!$D$92="EV",'Operating costs'!$B$52,'Operating costs'!$B$51))^MAX(0,C952-1)+Paths!$M$92*(1+'Operating costs'!$B$53)^MAX(0,C952-1)),"n.a."))</f>
        <v>0</v>
      </c>
      <c r="I952" s="16">
        <f>IF(NOT(Paths!$C$92=1),0,IF(Paths!$P$92="Complete",IF(IF(Paths!$E$92=0,C952=0,AND(C952&gt;0,Paths!$E$92&gt;(C952-1)*12,Paths!$E$92&lt;=C952*12)),Paths!$G$92,0),"n.a."))</f>
        <v>0</v>
      </c>
      <c r="J952" s="16">
        <f>IF(NOT(Paths!$C$92=1),0,IF(Paths!$P$92="Complete",IF(IF(Paths!$E$92=0,C952=0,AND(C952&gt;0,Paths!$E$92&gt;(C952-1)*12,Paths!$E$92&lt;=C952*12)),Paths!$H$92,0),"n.a."))</f>
        <v>0</v>
      </c>
      <c r="K952" s="16">
        <f>IF(NOT(Paths!$C$92=1),0,IF(Paths!$P$92="Complete",IF(IF(Paths!$O$92=0,C952=0,AND(C952&gt;0,Paths!$O$92&gt;(C952-1)*12,Paths!$O$92&lt;=C952*12)),Paths!$N$92,0),"n.a."))</f>
        <v>0</v>
      </c>
      <c r="L952" s="16">
        <f>IF(NOT(Paths!$C$92=1),0,IF(Paths!$P$92="Complete",IF(C952=10,Paths!$I$92,0),"n.a."))</f>
        <v>0</v>
      </c>
      <c r="M952" s="16">
        <f>IF(NOT(Paths!$C$92=1),0,IF(Paths!$P$92="Complete",IF(AND(Paths!$D$92="EV",Paths!$E$92&lt;120,Paths!$E$92+'Operating costs'!$B$65&gt;Paths!$E$92,Paths!$E$92+'Operating costs'!$B$65&lt;=120,IF(Paths!$E$92+'Operating costs'!$B$65=0,C952=0,AND(C952&gt;0,Paths!$E$92+'Operating costs'!$B$65&gt;(C952-1)*12,Paths!$E$92+'Operating costs'!$B$65&lt;=C952*12))),'Operating costs'!$B$64,0)+IF(AND('Operating costs'!$B$67&gt;0,'Operating costs'!$B$67&lt;=120,OR(Paths!$D$92="ICE",'Operating costs'!$B$67&lt;=Paths!$E$92),IF('Operating costs'!$B$67=0,C952=0,AND(C952&gt;0,'Operating costs'!$B$67&gt;(C952-1)*12,'Operating costs'!$B$67&lt;=C952*12))),'Operating costs'!$B$66,0),"n.a."))</f>
        <v>0</v>
      </c>
      <c r="N952" s="16">
        <f>IF(NOT(Paths!$C$92=1),0,IF(Paths!$P$92="Complete",SUM(G952:I952)-J952-K952-L952+M952+IF(C952=0,Paths!$F$92,0)+IF(IF(Paths!$E$92=0,C952=0,AND(C952&gt;0,Paths!$E$92&gt;(C952-1)*12,Paths!$E$92&lt;=C952*12)),VLOOKUP(A952,'Fleet register'!$A$7:$S$106,16,FALSE),0),"n.a."))</f>
        <v>0</v>
      </c>
      <c r="O952" s="16">
        <f>IF(NOT(Paths!$C$92=1),0,IF(Paths!$P$92="Complete",N952-IF(C952=0,Paths!$F$92,0),"n.a."))</f>
        <v>0</v>
      </c>
      <c r="P952" s="16">
        <f>IF(NOT(Paths!$C$92=1),0,IF(Paths!$P$92="Complete",O952+L952,"n.a."))</f>
        <v>0</v>
      </c>
      <c r="Q952" s="16">
        <f>IF(NOT(Paths!$C$92=1),0,IF(Paths!$P$92="Complete",N952*(1+'Operating costs'!$B$54)^-C952,"n.a."))</f>
        <v>0</v>
      </c>
      <c r="R952" s="16">
        <f>IF(NOT(Paths!$C$92=1),0,IF(Paths!$P$92="Complete",IF(AND(C952=0,Paths!$E$92=0),I952-J952-K952+VLOOKUP(A952,'Fleet register'!$A$7:$S$106,15,FALSE)+VLOOKUP(A952,'Fleet register'!$A$7:$S$106,16,FALSE),0),"n.a."))</f>
        <v>0</v>
      </c>
      <c r="S952" s="1">
        <f>IF(NOT(Paths!$C$92=1),0,IF(Paths!$P$92="Complete",IF(C952=0,0,Paths!$S$92*Paths!$R$92),"n.a."))</f>
        <v>0</v>
      </c>
      <c r="T952" s="1">
        <f>IF(NOT(Paths!$C$92=1),0,IF(Paths!$P$92="Complete",IF(C952=0,0,VLOOKUP(A952,'Fleet register'!$A$7:$S$106,9,FALSE)*Paths!$R$92),"n.a."))</f>
        <v>0</v>
      </c>
    </row>
    <row r="953" spans="1:20" ht="24" customHeight="1">
      <c r="A953" s="1" t="str">
        <f>Paths!$A$93</f>
        <v>T022</v>
      </c>
      <c r="B953" s="1">
        <f>Paths!$B$93</f>
        <v>2</v>
      </c>
      <c r="C953" s="1">
        <v>0</v>
      </c>
      <c r="D953" s="1">
        <v>93</v>
      </c>
      <c r="E953" s="1">
        <f>IF(OR(Paths!$C$93=0,C953=0),0,MAX(0,MIN(C953*12,Paths!$E$93)-(C953-1)*12))</f>
        <v>0</v>
      </c>
      <c r="F953" s="1">
        <f>IF(OR(Paths!$C$93=0,C953=0),0,12-E953)</f>
        <v>0</v>
      </c>
      <c r="G953" s="16">
        <f>IF(NOT(Paths!$C$93=1),0,IF(Paths!$P$93="Complete",E953/12*(Paths!$J$93*(1+'Operating costs'!$B$51)^MAX(0,C953-1)+Paths!$K$93*(1+'Operating costs'!$B$53)^MAX(0,C953-1)),"n.a."))</f>
        <v>0</v>
      </c>
      <c r="H953" s="16">
        <f>IF(NOT(Paths!$C$93=1),0,IF(Paths!$P$93="Complete",F953/12*(Paths!$L$93*(1+IF(Paths!$D$93="EV",'Operating costs'!$B$52,'Operating costs'!$B$51))^MAX(0,C953-1)+Paths!$M$93*(1+'Operating costs'!$B$53)^MAX(0,C953-1)),"n.a."))</f>
        <v>0</v>
      </c>
      <c r="I953" s="16">
        <f>IF(NOT(Paths!$C$93=1),0,IF(Paths!$P$93="Complete",IF(IF(Paths!$E$93=0,C953=0,AND(C953&gt;0,Paths!$E$93&gt;(C953-1)*12,Paths!$E$93&lt;=C953*12)),Paths!$G$93,0),"n.a."))</f>
        <v>0</v>
      </c>
      <c r="J953" s="16">
        <f>IF(NOT(Paths!$C$93=1),0,IF(Paths!$P$93="Complete",IF(IF(Paths!$E$93=0,C953=0,AND(C953&gt;0,Paths!$E$93&gt;(C953-1)*12,Paths!$E$93&lt;=C953*12)),Paths!$H$93,0),"n.a."))</f>
        <v>0</v>
      </c>
      <c r="K953" s="16">
        <f>IF(NOT(Paths!$C$93=1),0,IF(Paths!$P$93="Complete",IF(IF(Paths!$O$93=0,C953=0,AND(C953&gt;0,Paths!$O$93&gt;(C953-1)*12,Paths!$O$93&lt;=C953*12)),Paths!$N$93,0),"n.a."))</f>
        <v>0</v>
      </c>
      <c r="L953" s="16">
        <f>IF(NOT(Paths!$C$93=1),0,IF(Paths!$P$93="Complete",IF(C953=10,Paths!$I$93,0),"n.a."))</f>
        <v>0</v>
      </c>
      <c r="M953" s="16">
        <f>IF(NOT(Paths!$C$93=1),0,IF(Paths!$P$93="Complete",IF(AND(Paths!$D$93="EV",Paths!$E$93&lt;120,Paths!$E$93+'Operating costs'!$B$65&gt;Paths!$E$93,Paths!$E$93+'Operating costs'!$B$65&lt;=120,IF(Paths!$E$93+'Operating costs'!$B$65=0,C953=0,AND(C953&gt;0,Paths!$E$93+'Operating costs'!$B$65&gt;(C953-1)*12,Paths!$E$93+'Operating costs'!$B$65&lt;=C953*12))),'Operating costs'!$B$64,0)+IF(AND('Operating costs'!$B$67&gt;0,'Operating costs'!$B$67&lt;=120,OR(Paths!$D$93="ICE",'Operating costs'!$B$67&lt;=Paths!$E$93),IF('Operating costs'!$B$67=0,C953=0,AND(C953&gt;0,'Operating costs'!$B$67&gt;(C953-1)*12,'Operating costs'!$B$67&lt;=C953*12))),'Operating costs'!$B$66,0),"n.a."))</f>
        <v>0</v>
      </c>
      <c r="N953" s="16">
        <f>IF(NOT(Paths!$C$93=1),0,IF(Paths!$P$93="Complete",SUM(G953:I953)-J953-K953-L953+M953+IF(C953=0,Paths!$F$93,0)+IF(IF(Paths!$E$93=0,C953=0,AND(C953&gt;0,Paths!$E$93&gt;(C953-1)*12,Paths!$E$93&lt;=C953*12)),VLOOKUP(A953,'Fleet register'!$A$7:$S$106,16,FALSE),0),"n.a."))</f>
        <v>0</v>
      </c>
      <c r="O953" s="16">
        <f>IF(NOT(Paths!$C$93=1),0,IF(Paths!$P$93="Complete",N953-IF(C953=0,Paths!$F$93,0),"n.a."))</f>
        <v>0</v>
      </c>
      <c r="P953" s="16">
        <f>IF(NOT(Paths!$C$93=1),0,IF(Paths!$P$93="Complete",O953+L953,"n.a."))</f>
        <v>0</v>
      </c>
      <c r="Q953" s="16">
        <f>IF(NOT(Paths!$C$93=1),0,IF(Paths!$P$93="Complete",N953*(1+'Operating costs'!$B$54)^-C953,"n.a."))</f>
        <v>0</v>
      </c>
      <c r="R953" s="16">
        <f>IF(NOT(Paths!$C$93=1),0,IF(Paths!$P$93="Complete",IF(AND(C953=0,Paths!$E$93=0),I953-J953-K953+VLOOKUP(A953,'Fleet register'!$A$7:$S$106,15,FALSE)+VLOOKUP(A953,'Fleet register'!$A$7:$S$106,16,FALSE),0),"n.a."))</f>
        <v>0</v>
      </c>
      <c r="S953" s="1">
        <f>IF(NOT(Paths!$C$93=1),0,IF(Paths!$P$93="Complete",IF(C953=0,0,Paths!$S$93*Paths!$R$93),"n.a."))</f>
        <v>0</v>
      </c>
      <c r="T953" s="1">
        <f>IF(NOT(Paths!$C$93=1),0,IF(Paths!$P$93="Complete",IF(C953=0,0,VLOOKUP(A953,'Fleet register'!$A$7:$S$106,9,FALSE)*Paths!$R$93),"n.a."))</f>
        <v>0</v>
      </c>
    </row>
    <row r="954" spans="1:20" ht="24" customHeight="1">
      <c r="A954" s="1" t="str">
        <f>Paths!$A$93</f>
        <v>T022</v>
      </c>
      <c r="B954" s="1">
        <f>Paths!$B$93</f>
        <v>2</v>
      </c>
      <c r="C954" s="1">
        <v>1</v>
      </c>
      <c r="D954" s="1">
        <v>93</v>
      </c>
      <c r="E954" s="1">
        <f>IF(OR(Paths!$C$93=0,C954=0),0,MAX(0,MIN(C954*12,Paths!$E$93)-(C954-1)*12))</f>
        <v>0</v>
      </c>
      <c r="F954" s="1">
        <f>IF(OR(Paths!$C$93=0,C954=0),0,12-E954)</f>
        <v>0</v>
      </c>
      <c r="G954" s="16">
        <f>IF(NOT(Paths!$C$93=1),0,IF(Paths!$P$93="Complete",E954/12*(Paths!$J$93*(1+'Operating costs'!$B$51)^MAX(0,C954-1)+Paths!$K$93*(1+'Operating costs'!$B$53)^MAX(0,C954-1)),"n.a."))</f>
        <v>0</v>
      </c>
      <c r="H954" s="16">
        <f>IF(NOT(Paths!$C$93=1),0,IF(Paths!$P$93="Complete",F954/12*(Paths!$L$93*(1+IF(Paths!$D$93="EV",'Operating costs'!$B$52,'Operating costs'!$B$51))^MAX(0,C954-1)+Paths!$M$93*(1+'Operating costs'!$B$53)^MAX(0,C954-1)),"n.a."))</f>
        <v>0</v>
      </c>
      <c r="I954" s="16">
        <f>IF(NOT(Paths!$C$93=1),0,IF(Paths!$P$93="Complete",IF(IF(Paths!$E$93=0,C954=0,AND(C954&gt;0,Paths!$E$93&gt;(C954-1)*12,Paths!$E$93&lt;=C954*12)),Paths!$G$93,0),"n.a."))</f>
        <v>0</v>
      </c>
      <c r="J954" s="16">
        <f>IF(NOT(Paths!$C$93=1),0,IF(Paths!$P$93="Complete",IF(IF(Paths!$E$93=0,C954=0,AND(C954&gt;0,Paths!$E$93&gt;(C954-1)*12,Paths!$E$93&lt;=C954*12)),Paths!$H$93,0),"n.a."))</f>
        <v>0</v>
      </c>
      <c r="K954" s="16">
        <f>IF(NOT(Paths!$C$93=1),0,IF(Paths!$P$93="Complete",IF(IF(Paths!$O$93=0,C954=0,AND(C954&gt;0,Paths!$O$93&gt;(C954-1)*12,Paths!$O$93&lt;=C954*12)),Paths!$N$93,0),"n.a."))</f>
        <v>0</v>
      </c>
      <c r="L954" s="16">
        <f>IF(NOT(Paths!$C$93=1),0,IF(Paths!$P$93="Complete",IF(C954=10,Paths!$I$93,0),"n.a."))</f>
        <v>0</v>
      </c>
      <c r="M954" s="16">
        <f>IF(NOT(Paths!$C$93=1),0,IF(Paths!$P$93="Complete",IF(AND(Paths!$D$93="EV",Paths!$E$93&lt;120,Paths!$E$93+'Operating costs'!$B$65&gt;Paths!$E$93,Paths!$E$93+'Operating costs'!$B$65&lt;=120,IF(Paths!$E$93+'Operating costs'!$B$65=0,C954=0,AND(C954&gt;0,Paths!$E$93+'Operating costs'!$B$65&gt;(C954-1)*12,Paths!$E$93+'Operating costs'!$B$65&lt;=C954*12))),'Operating costs'!$B$64,0)+IF(AND('Operating costs'!$B$67&gt;0,'Operating costs'!$B$67&lt;=120,OR(Paths!$D$93="ICE",'Operating costs'!$B$67&lt;=Paths!$E$93),IF('Operating costs'!$B$67=0,C954=0,AND(C954&gt;0,'Operating costs'!$B$67&gt;(C954-1)*12,'Operating costs'!$B$67&lt;=C954*12))),'Operating costs'!$B$66,0),"n.a."))</f>
        <v>0</v>
      </c>
      <c r="N954" s="16">
        <f>IF(NOT(Paths!$C$93=1),0,IF(Paths!$P$93="Complete",SUM(G954:I954)-J954-K954-L954+M954+IF(C954=0,Paths!$F$93,0)+IF(IF(Paths!$E$93=0,C954=0,AND(C954&gt;0,Paths!$E$93&gt;(C954-1)*12,Paths!$E$93&lt;=C954*12)),VLOOKUP(A954,'Fleet register'!$A$7:$S$106,16,FALSE),0),"n.a."))</f>
        <v>0</v>
      </c>
      <c r="O954" s="16">
        <f>IF(NOT(Paths!$C$93=1),0,IF(Paths!$P$93="Complete",N954-IF(C954=0,Paths!$F$93,0),"n.a."))</f>
        <v>0</v>
      </c>
      <c r="P954" s="16">
        <f>IF(NOT(Paths!$C$93=1),0,IF(Paths!$P$93="Complete",O954+L954,"n.a."))</f>
        <v>0</v>
      </c>
      <c r="Q954" s="16">
        <f>IF(NOT(Paths!$C$93=1),0,IF(Paths!$P$93="Complete",N954*(1+'Operating costs'!$B$54)^-C954,"n.a."))</f>
        <v>0</v>
      </c>
      <c r="R954" s="16">
        <f>IF(NOT(Paths!$C$93=1),0,IF(Paths!$P$93="Complete",IF(AND(C954=0,Paths!$E$93=0),I954-J954-K954+VLOOKUP(A954,'Fleet register'!$A$7:$S$106,15,FALSE)+VLOOKUP(A954,'Fleet register'!$A$7:$S$106,16,FALSE),0),"n.a."))</f>
        <v>0</v>
      </c>
      <c r="S954" s="1">
        <f>IF(NOT(Paths!$C$93=1),0,IF(Paths!$P$93="Complete",IF(C954=0,0,Paths!$S$93*Paths!$R$93),"n.a."))</f>
        <v>0</v>
      </c>
      <c r="T954" s="1">
        <f>IF(NOT(Paths!$C$93=1),0,IF(Paths!$P$93="Complete",IF(C954=0,0,VLOOKUP(A954,'Fleet register'!$A$7:$S$106,9,FALSE)*Paths!$R$93),"n.a."))</f>
        <v>0</v>
      </c>
    </row>
    <row r="955" spans="1:20" ht="24" customHeight="1">
      <c r="A955" s="1" t="str">
        <f>Paths!$A$93</f>
        <v>T022</v>
      </c>
      <c r="B955" s="1">
        <f>Paths!$B$93</f>
        <v>2</v>
      </c>
      <c r="C955" s="1">
        <v>2</v>
      </c>
      <c r="D955" s="1">
        <v>93</v>
      </c>
      <c r="E955" s="1">
        <f>IF(OR(Paths!$C$93=0,C955=0),0,MAX(0,MIN(C955*12,Paths!$E$93)-(C955-1)*12))</f>
        <v>0</v>
      </c>
      <c r="F955" s="1">
        <f>IF(OR(Paths!$C$93=0,C955=0),0,12-E955)</f>
        <v>0</v>
      </c>
      <c r="G955" s="16">
        <f>IF(NOT(Paths!$C$93=1),0,IF(Paths!$P$93="Complete",E955/12*(Paths!$J$93*(1+'Operating costs'!$B$51)^MAX(0,C955-1)+Paths!$K$93*(1+'Operating costs'!$B$53)^MAX(0,C955-1)),"n.a."))</f>
        <v>0</v>
      </c>
      <c r="H955" s="16">
        <f>IF(NOT(Paths!$C$93=1),0,IF(Paths!$P$93="Complete",F955/12*(Paths!$L$93*(1+IF(Paths!$D$93="EV",'Operating costs'!$B$52,'Operating costs'!$B$51))^MAX(0,C955-1)+Paths!$M$93*(1+'Operating costs'!$B$53)^MAX(0,C955-1)),"n.a."))</f>
        <v>0</v>
      </c>
      <c r="I955" s="16">
        <f>IF(NOT(Paths!$C$93=1),0,IF(Paths!$P$93="Complete",IF(IF(Paths!$E$93=0,C955=0,AND(C955&gt;0,Paths!$E$93&gt;(C955-1)*12,Paths!$E$93&lt;=C955*12)),Paths!$G$93,0),"n.a."))</f>
        <v>0</v>
      </c>
      <c r="J955" s="16">
        <f>IF(NOT(Paths!$C$93=1),0,IF(Paths!$P$93="Complete",IF(IF(Paths!$E$93=0,C955=0,AND(C955&gt;0,Paths!$E$93&gt;(C955-1)*12,Paths!$E$93&lt;=C955*12)),Paths!$H$93,0),"n.a."))</f>
        <v>0</v>
      </c>
      <c r="K955" s="16">
        <f>IF(NOT(Paths!$C$93=1),0,IF(Paths!$P$93="Complete",IF(IF(Paths!$O$93=0,C955=0,AND(C955&gt;0,Paths!$O$93&gt;(C955-1)*12,Paths!$O$93&lt;=C955*12)),Paths!$N$93,0),"n.a."))</f>
        <v>0</v>
      </c>
      <c r="L955" s="16">
        <f>IF(NOT(Paths!$C$93=1),0,IF(Paths!$P$93="Complete",IF(C955=10,Paths!$I$93,0),"n.a."))</f>
        <v>0</v>
      </c>
      <c r="M955" s="16">
        <f>IF(NOT(Paths!$C$93=1),0,IF(Paths!$P$93="Complete",IF(AND(Paths!$D$93="EV",Paths!$E$93&lt;120,Paths!$E$93+'Operating costs'!$B$65&gt;Paths!$E$93,Paths!$E$93+'Operating costs'!$B$65&lt;=120,IF(Paths!$E$93+'Operating costs'!$B$65=0,C955=0,AND(C955&gt;0,Paths!$E$93+'Operating costs'!$B$65&gt;(C955-1)*12,Paths!$E$93+'Operating costs'!$B$65&lt;=C955*12))),'Operating costs'!$B$64,0)+IF(AND('Operating costs'!$B$67&gt;0,'Operating costs'!$B$67&lt;=120,OR(Paths!$D$93="ICE",'Operating costs'!$B$67&lt;=Paths!$E$93),IF('Operating costs'!$B$67=0,C955=0,AND(C955&gt;0,'Operating costs'!$B$67&gt;(C955-1)*12,'Operating costs'!$B$67&lt;=C955*12))),'Operating costs'!$B$66,0),"n.a."))</f>
        <v>0</v>
      </c>
      <c r="N955" s="16">
        <f>IF(NOT(Paths!$C$93=1),0,IF(Paths!$P$93="Complete",SUM(G955:I955)-J955-K955-L955+M955+IF(C955=0,Paths!$F$93,0)+IF(IF(Paths!$E$93=0,C955=0,AND(C955&gt;0,Paths!$E$93&gt;(C955-1)*12,Paths!$E$93&lt;=C955*12)),VLOOKUP(A955,'Fleet register'!$A$7:$S$106,16,FALSE),0),"n.a."))</f>
        <v>0</v>
      </c>
      <c r="O955" s="16">
        <f>IF(NOT(Paths!$C$93=1),0,IF(Paths!$P$93="Complete",N955-IF(C955=0,Paths!$F$93,0),"n.a."))</f>
        <v>0</v>
      </c>
      <c r="P955" s="16">
        <f>IF(NOT(Paths!$C$93=1),0,IF(Paths!$P$93="Complete",O955+L955,"n.a."))</f>
        <v>0</v>
      </c>
      <c r="Q955" s="16">
        <f>IF(NOT(Paths!$C$93=1),0,IF(Paths!$P$93="Complete",N955*(1+'Operating costs'!$B$54)^-C955,"n.a."))</f>
        <v>0</v>
      </c>
      <c r="R955" s="16">
        <f>IF(NOT(Paths!$C$93=1),0,IF(Paths!$P$93="Complete",IF(AND(C955=0,Paths!$E$93=0),I955-J955-K955+VLOOKUP(A955,'Fleet register'!$A$7:$S$106,15,FALSE)+VLOOKUP(A955,'Fleet register'!$A$7:$S$106,16,FALSE),0),"n.a."))</f>
        <v>0</v>
      </c>
      <c r="S955" s="1">
        <f>IF(NOT(Paths!$C$93=1),0,IF(Paths!$P$93="Complete",IF(C955=0,0,Paths!$S$93*Paths!$R$93),"n.a."))</f>
        <v>0</v>
      </c>
      <c r="T955" s="1">
        <f>IF(NOT(Paths!$C$93=1),0,IF(Paths!$P$93="Complete",IF(C955=0,0,VLOOKUP(A955,'Fleet register'!$A$7:$S$106,9,FALSE)*Paths!$R$93),"n.a."))</f>
        <v>0</v>
      </c>
    </row>
    <row r="956" spans="1:20" ht="24" customHeight="1">
      <c r="A956" s="1" t="str">
        <f>Paths!$A$93</f>
        <v>T022</v>
      </c>
      <c r="B956" s="1">
        <f>Paths!$B$93</f>
        <v>2</v>
      </c>
      <c r="C956" s="1">
        <v>3</v>
      </c>
      <c r="D956" s="1">
        <v>93</v>
      </c>
      <c r="E956" s="1">
        <f>IF(OR(Paths!$C$93=0,C956=0),0,MAX(0,MIN(C956*12,Paths!$E$93)-(C956-1)*12))</f>
        <v>0</v>
      </c>
      <c r="F956" s="1">
        <f>IF(OR(Paths!$C$93=0,C956=0),0,12-E956)</f>
        <v>0</v>
      </c>
      <c r="G956" s="16">
        <f>IF(NOT(Paths!$C$93=1),0,IF(Paths!$P$93="Complete",E956/12*(Paths!$J$93*(1+'Operating costs'!$B$51)^MAX(0,C956-1)+Paths!$K$93*(1+'Operating costs'!$B$53)^MAX(0,C956-1)),"n.a."))</f>
        <v>0</v>
      </c>
      <c r="H956" s="16">
        <f>IF(NOT(Paths!$C$93=1),0,IF(Paths!$P$93="Complete",F956/12*(Paths!$L$93*(1+IF(Paths!$D$93="EV",'Operating costs'!$B$52,'Operating costs'!$B$51))^MAX(0,C956-1)+Paths!$M$93*(1+'Operating costs'!$B$53)^MAX(0,C956-1)),"n.a."))</f>
        <v>0</v>
      </c>
      <c r="I956" s="16">
        <f>IF(NOT(Paths!$C$93=1),0,IF(Paths!$P$93="Complete",IF(IF(Paths!$E$93=0,C956=0,AND(C956&gt;0,Paths!$E$93&gt;(C956-1)*12,Paths!$E$93&lt;=C956*12)),Paths!$G$93,0),"n.a."))</f>
        <v>0</v>
      </c>
      <c r="J956" s="16">
        <f>IF(NOT(Paths!$C$93=1),0,IF(Paths!$P$93="Complete",IF(IF(Paths!$E$93=0,C956=0,AND(C956&gt;0,Paths!$E$93&gt;(C956-1)*12,Paths!$E$93&lt;=C956*12)),Paths!$H$93,0),"n.a."))</f>
        <v>0</v>
      </c>
      <c r="K956" s="16">
        <f>IF(NOT(Paths!$C$93=1),0,IF(Paths!$P$93="Complete",IF(IF(Paths!$O$93=0,C956=0,AND(C956&gt;0,Paths!$O$93&gt;(C956-1)*12,Paths!$O$93&lt;=C956*12)),Paths!$N$93,0),"n.a."))</f>
        <v>0</v>
      </c>
      <c r="L956" s="16">
        <f>IF(NOT(Paths!$C$93=1),0,IF(Paths!$P$93="Complete",IF(C956=10,Paths!$I$93,0),"n.a."))</f>
        <v>0</v>
      </c>
      <c r="M956" s="16">
        <f>IF(NOT(Paths!$C$93=1),0,IF(Paths!$P$93="Complete",IF(AND(Paths!$D$93="EV",Paths!$E$93&lt;120,Paths!$E$93+'Operating costs'!$B$65&gt;Paths!$E$93,Paths!$E$93+'Operating costs'!$B$65&lt;=120,IF(Paths!$E$93+'Operating costs'!$B$65=0,C956=0,AND(C956&gt;0,Paths!$E$93+'Operating costs'!$B$65&gt;(C956-1)*12,Paths!$E$93+'Operating costs'!$B$65&lt;=C956*12))),'Operating costs'!$B$64,0)+IF(AND('Operating costs'!$B$67&gt;0,'Operating costs'!$B$67&lt;=120,OR(Paths!$D$93="ICE",'Operating costs'!$B$67&lt;=Paths!$E$93),IF('Operating costs'!$B$67=0,C956=0,AND(C956&gt;0,'Operating costs'!$B$67&gt;(C956-1)*12,'Operating costs'!$B$67&lt;=C956*12))),'Operating costs'!$B$66,0),"n.a."))</f>
        <v>0</v>
      </c>
      <c r="N956" s="16">
        <f>IF(NOT(Paths!$C$93=1),0,IF(Paths!$P$93="Complete",SUM(G956:I956)-J956-K956-L956+M956+IF(C956=0,Paths!$F$93,0)+IF(IF(Paths!$E$93=0,C956=0,AND(C956&gt;0,Paths!$E$93&gt;(C956-1)*12,Paths!$E$93&lt;=C956*12)),VLOOKUP(A956,'Fleet register'!$A$7:$S$106,16,FALSE),0),"n.a."))</f>
        <v>0</v>
      </c>
      <c r="O956" s="16">
        <f>IF(NOT(Paths!$C$93=1),0,IF(Paths!$P$93="Complete",N956-IF(C956=0,Paths!$F$93,0),"n.a."))</f>
        <v>0</v>
      </c>
      <c r="P956" s="16">
        <f>IF(NOT(Paths!$C$93=1),0,IF(Paths!$P$93="Complete",O956+L956,"n.a."))</f>
        <v>0</v>
      </c>
      <c r="Q956" s="16">
        <f>IF(NOT(Paths!$C$93=1),0,IF(Paths!$P$93="Complete",N956*(1+'Operating costs'!$B$54)^-C956,"n.a."))</f>
        <v>0</v>
      </c>
      <c r="R956" s="16">
        <f>IF(NOT(Paths!$C$93=1),0,IF(Paths!$P$93="Complete",IF(AND(C956=0,Paths!$E$93=0),I956-J956-K956+VLOOKUP(A956,'Fleet register'!$A$7:$S$106,15,FALSE)+VLOOKUP(A956,'Fleet register'!$A$7:$S$106,16,FALSE),0),"n.a."))</f>
        <v>0</v>
      </c>
      <c r="S956" s="1">
        <f>IF(NOT(Paths!$C$93=1),0,IF(Paths!$P$93="Complete",IF(C956=0,0,Paths!$S$93*Paths!$R$93),"n.a."))</f>
        <v>0</v>
      </c>
      <c r="T956" s="1">
        <f>IF(NOT(Paths!$C$93=1),0,IF(Paths!$P$93="Complete",IF(C956=0,0,VLOOKUP(A956,'Fleet register'!$A$7:$S$106,9,FALSE)*Paths!$R$93),"n.a."))</f>
        <v>0</v>
      </c>
    </row>
    <row r="957" spans="1:20" ht="24" customHeight="1">
      <c r="A957" s="1" t="str">
        <f>Paths!$A$93</f>
        <v>T022</v>
      </c>
      <c r="B957" s="1">
        <f>Paths!$B$93</f>
        <v>2</v>
      </c>
      <c r="C957" s="1">
        <v>4</v>
      </c>
      <c r="D957" s="1">
        <v>93</v>
      </c>
      <c r="E957" s="1">
        <f>IF(OR(Paths!$C$93=0,C957=0),0,MAX(0,MIN(C957*12,Paths!$E$93)-(C957-1)*12))</f>
        <v>0</v>
      </c>
      <c r="F957" s="1">
        <f>IF(OR(Paths!$C$93=0,C957=0),0,12-E957)</f>
        <v>0</v>
      </c>
      <c r="G957" s="16">
        <f>IF(NOT(Paths!$C$93=1),0,IF(Paths!$P$93="Complete",E957/12*(Paths!$J$93*(1+'Operating costs'!$B$51)^MAX(0,C957-1)+Paths!$K$93*(1+'Operating costs'!$B$53)^MAX(0,C957-1)),"n.a."))</f>
        <v>0</v>
      </c>
      <c r="H957" s="16">
        <f>IF(NOT(Paths!$C$93=1),0,IF(Paths!$P$93="Complete",F957/12*(Paths!$L$93*(1+IF(Paths!$D$93="EV",'Operating costs'!$B$52,'Operating costs'!$B$51))^MAX(0,C957-1)+Paths!$M$93*(1+'Operating costs'!$B$53)^MAX(0,C957-1)),"n.a."))</f>
        <v>0</v>
      </c>
      <c r="I957" s="16">
        <f>IF(NOT(Paths!$C$93=1),0,IF(Paths!$P$93="Complete",IF(IF(Paths!$E$93=0,C957=0,AND(C957&gt;0,Paths!$E$93&gt;(C957-1)*12,Paths!$E$93&lt;=C957*12)),Paths!$G$93,0),"n.a."))</f>
        <v>0</v>
      </c>
      <c r="J957" s="16">
        <f>IF(NOT(Paths!$C$93=1),0,IF(Paths!$P$93="Complete",IF(IF(Paths!$E$93=0,C957=0,AND(C957&gt;0,Paths!$E$93&gt;(C957-1)*12,Paths!$E$93&lt;=C957*12)),Paths!$H$93,0),"n.a."))</f>
        <v>0</v>
      </c>
      <c r="K957" s="16">
        <f>IF(NOT(Paths!$C$93=1),0,IF(Paths!$P$93="Complete",IF(IF(Paths!$O$93=0,C957=0,AND(C957&gt;0,Paths!$O$93&gt;(C957-1)*12,Paths!$O$93&lt;=C957*12)),Paths!$N$93,0),"n.a."))</f>
        <v>0</v>
      </c>
      <c r="L957" s="16">
        <f>IF(NOT(Paths!$C$93=1),0,IF(Paths!$P$93="Complete",IF(C957=10,Paths!$I$93,0),"n.a."))</f>
        <v>0</v>
      </c>
      <c r="M957" s="16">
        <f>IF(NOT(Paths!$C$93=1),0,IF(Paths!$P$93="Complete",IF(AND(Paths!$D$93="EV",Paths!$E$93&lt;120,Paths!$E$93+'Operating costs'!$B$65&gt;Paths!$E$93,Paths!$E$93+'Operating costs'!$B$65&lt;=120,IF(Paths!$E$93+'Operating costs'!$B$65=0,C957=0,AND(C957&gt;0,Paths!$E$93+'Operating costs'!$B$65&gt;(C957-1)*12,Paths!$E$93+'Operating costs'!$B$65&lt;=C957*12))),'Operating costs'!$B$64,0)+IF(AND('Operating costs'!$B$67&gt;0,'Operating costs'!$B$67&lt;=120,OR(Paths!$D$93="ICE",'Operating costs'!$B$67&lt;=Paths!$E$93),IF('Operating costs'!$B$67=0,C957=0,AND(C957&gt;0,'Operating costs'!$B$67&gt;(C957-1)*12,'Operating costs'!$B$67&lt;=C957*12))),'Operating costs'!$B$66,0),"n.a."))</f>
        <v>0</v>
      </c>
      <c r="N957" s="16">
        <f>IF(NOT(Paths!$C$93=1),0,IF(Paths!$P$93="Complete",SUM(G957:I957)-J957-K957-L957+M957+IF(C957=0,Paths!$F$93,0)+IF(IF(Paths!$E$93=0,C957=0,AND(C957&gt;0,Paths!$E$93&gt;(C957-1)*12,Paths!$E$93&lt;=C957*12)),VLOOKUP(A957,'Fleet register'!$A$7:$S$106,16,FALSE),0),"n.a."))</f>
        <v>0</v>
      </c>
      <c r="O957" s="16">
        <f>IF(NOT(Paths!$C$93=1),0,IF(Paths!$P$93="Complete",N957-IF(C957=0,Paths!$F$93,0),"n.a."))</f>
        <v>0</v>
      </c>
      <c r="P957" s="16">
        <f>IF(NOT(Paths!$C$93=1),0,IF(Paths!$P$93="Complete",O957+L957,"n.a."))</f>
        <v>0</v>
      </c>
      <c r="Q957" s="16">
        <f>IF(NOT(Paths!$C$93=1),0,IF(Paths!$P$93="Complete",N957*(1+'Operating costs'!$B$54)^-C957,"n.a."))</f>
        <v>0</v>
      </c>
      <c r="R957" s="16">
        <f>IF(NOT(Paths!$C$93=1),0,IF(Paths!$P$93="Complete",IF(AND(C957=0,Paths!$E$93=0),I957-J957-K957+VLOOKUP(A957,'Fleet register'!$A$7:$S$106,15,FALSE)+VLOOKUP(A957,'Fleet register'!$A$7:$S$106,16,FALSE),0),"n.a."))</f>
        <v>0</v>
      </c>
      <c r="S957" s="1">
        <f>IF(NOT(Paths!$C$93=1),0,IF(Paths!$P$93="Complete",IF(C957=0,0,Paths!$S$93*Paths!$R$93),"n.a."))</f>
        <v>0</v>
      </c>
      <c r="T957" s="1">
        <f>IF(NOT(Paths!$C$93=1),0,IF(Paths!$P$93="Complete",IF(C957=0,0,VLOOKUP(A957,'Fleet register'!$A$7:$S$106,9,FALSE)*Paths!$R$93),"n.a."))</f>
        <v>0</v>
      </c>
    </row>
    <row r="958" spans="1:20" ht="24" customHeight="1">
      <c r="A958" s="1" t="str">
        <f>Paths!$A$93</f>
        <v>T022</v>
      </c>
      <c r="B958" s="1">
        <f>Paths!$B$93</f>
        <v>2</v>
      </c>
      <c r="C958" s="1">
        <v>5</v>
      </c>
      <c r="D958" s="1">
        <v>93</v>
      </c>
      <c r="E958" s="1">
        <f>IF(OR(Paths!$C$93=0,C958=0),0,MAX(0,MIN(C958*12,Paths!$E$93)-(C958-1)*12))</f>
        <v>0</v>
      </c>
      <c r="F958" s="1">
        <f>IF(OR(Paths!$C$93=0,C958=0),0,12-E958)</f>
        <v>0</v>
      </c>
      <c r="G958" s="16">
        <f>IF(NOT(Paths!$C$93=1),0,IF(Paths!$P$93="Complete",E958/12*(Paths!$J$93*(1+'Operating costs'!$B$51)^MAX(0,C958-1)+Paths!$K$93*(1+'Operating costs'!$B$53)^MAX(0,C958-1)),"n.a."))</f>
        <v>0</v>
      </c>
      <c r="H958" s="16">
        <f>IF(NOT(Paths!$C$93=1),0,IF(Paths!$P$93="Complete",F958/12*(Paths!$L$93*(1+IF(Paths!$D$93="EV",'Operating costs'!$B$52,'Operating costs'!$B$51))^MAX(0,C958-1)+Paths!$M$93*(1+'Operating costs'!$B$53)^MAX(0,C958-1)),"n.a."))</f>
        <v>0</v>
      </c>
      <c r="I958" s="16">
        <f>IF(NOT(Paths!$C$93=1),0,IF(Paths!$P$93="Complete",IF(IF(Paths!$E$93=0,C958=0,AND(C958&gt;0,Paths!$E$93&gt;(C958-1)*12,Paths!$E$93&lt;=C958*12)),Paths!$G$93,0),"n.a."))</f>
        <v>0</v>
      </c>
      <c r="J958" s="16">
        <f>IF(NOT(Paths!$C$93=1),0,IF(Paths!$P$93="Complete",IF(IF(Paths!$E$93=0,C958=0,AND(C958&gt;0,Paths!$E$93&gt;(C958-1)*12,Paths!$E$93&lt;=C958*12)),Paths!$H$93,0),"n.a."))</f>
        <v>0</v>
      </c>
      <c r="K958" s="16">
        <f>IF(NOT(Paths!$C$93=1),0,IF(Paths!$P$93="Complete",IF(IF(Paths!$O$93=0,C958=0,AND(C958&gt;0,Paths!$O$93&gt;(C958-1)*12,Paths!$O$93&lt;=C958*12)),Paths!$N$93,0),"n.a."))</f>
        <v>0</v>
      </c>
      <c r="L958" s="16">
        <f>IF(NOT(Paths!$C$93=1),0,IF(Paths!$P$93="Complete",IF(C958=10,Paths!$I$93,0),"n.a."))</f>
        <v>0</v>
      </c>
      <c r="M958" s="16">
        <f>IF(NOT(Paths!$C$93=1),0,IF(Paths!$P$93="Complete",IF(AND(Paths!$D$93="EV",Paths!$E$93&lt;120,Paths!$E$93+'Operating costs'!$B$65&gt;Paths!$E$93,Paths!$E$93+'Operating costs'!$B$65&lt;=120,IF(Paths!$E$93+'Operating costs'!$B$65=0,C958=0,AND(C958&gt;0,Paths!$E$93+'Operating costs'!$B$65&gt;(C958-1)*12,Paths!$E$93+'Operating costs'!$B$65&lt;=C958*12))),'Operating costs'!$B$64,0)+IF(AND('Operating costs'!$B$67&gt;0,'Operating costs'!$B$67&lt;=120,OR(Paths!$D$93="ICE",'Operating costs'!$B$67&lt;=Paths!$E$93),IF('Operating costs'!$B$67=0,C958=0,AND(C958&gt;0,'Operating costs'!$B$67&gt;(C958-1)*12,'Operating costs'!$B$67&lt;=C958*12))),'Operating costs'!$B$66,0),"n.a."))</f>
        <v>0</v>
      </c>
      <c r="N958" s="16">
        <f>IF(NOT(Paths!$C$93=1),0,IF(Paths!$P$93="Complete",SUM(G958:I958)-J958-K958-L958+M958+IF(C958=0,Paths!$F$93,0)+IF(IF(Paths!$E$93=0,C958=0,AND(C958&gt;0,Paths!$E$93&gt;(C958-1)*12,Paths!$E$93&lt;=C958*12)),VLOOKUP(A958,'Fleet register'!$A$7:$S$106,16,FALSE),0),"n.a."))</f>
        <v>0</v>
      </c>
      <c r="O958" s="16">
        <f>IF(NOT(Paths!$C$93=1),0,IF(Paths!$P$93="Complete",N958-IF(C958=0,Paths!$F$93,0),"n.a."))</f>
        <v>0</v>
      </c>
      <c r="P958" s="16">
        <f>IF(NOT(Paths!$C$93=1),0,IF(Paths!$P$93="Complete",O958+L958,"n.a."))</f>
        <v>0</v>
      </c>
      <c r="Q958" s="16">
        <f>IF(NOT(Paths!$C$93=1),0,IF(Paths!$P$93="Complete",N958*(1+'Operating costs'!$B$54)^-C958,"n.a."))</f>
        <v>0</v>
      </c>
      <c r="R958" s="16">
        <f>IF(NOT(Paths!$C$93=1),0,IF(Paths!$P$93="Complete",IF(AND(C958=0,Paths!$E$93=0),I958-J958-K958+VLOOKUP(A958,'Fleet register'!$A$7:$S$106,15,FALSE)+VLOOKUP(A958,'Fleet register'!$A$7:$S$106,16,FALSE),0),"n.a."))</f>
        <v>0</v>
      </c>
      <c r="S958" s="1">
        <f>IF(NOT(Paths!$C$93=1),0,IF(Paths!$P$93="Complete",IF(C958=0,0,Paths!$S$93*Paths!$R$93),"n.a."))</f>
        <v>0</v>
      </c>
      <c r="T958" s="1">
        <f>IF(NOT(Paths!$C$93=1),0,IF(Paths!$P$93="Complete",IF(C958=0,0,VLOOKUP(A958,'Fleet register'!$A$7:$S$106,9,FALSE)*Paths!$R$93),"n.a."))</f>
        <v>0</v>
      </c>
    </row>
    <row r="959" spans="1:20" ht="24" customHeight="1">
      <c r="A959" s="1" t="str">
        <f>Paths!$A$93</f>
        <v>T022</v>
      </c>
      <c r="B959" s="1">
        <f>Paths!$B$93</f>
        <v>2</v>
      </c>
      <c r="C959" s="1">
        <v>6</v>
      </c>
      <c r="D959" s="1">
        <v>93</v>
      </c>
      <c r="E959" s="1">
        <f>IF(OR(Paths!$C$93=0,C959=0),0,MAX(0,MIN(C959*12,Paths!$E$93)-(C959-1)*12))</f>
        <v>0</v>
      </c>
      <c r="F959" s="1">
        <f>IF(OR(Paths!$C$93=0,C959=0),0,12-E959)</f>
        <v>0</v>
      </c>
      <c r="G959" s="16">
        <f>IF(NOT(Paths!$C$93=1),0,IF(Paths!$P$93="Complete",E959/12*(Paths!$J$93*(1+'Operating costs'!$B$51)^MAX(0,C959-1)+Paths!$K$93*(1+'Operating costs'!$B$53)^MAX(0,C959-1)),"n.a."))</f>
        <v>0</v>
      </c>
      <c r="H959" s="16">
        <f>IF(NOT(Paths!$C$93=1),0,IF(Paths!$P$93="Complete",F959/12*(Paths!$L$93*(1+IF(Paths!$D$93="EV",'Operating costs'!$B$52,'Operating costs'!$B$51))^MAX(0,C959-1)+Paths!$M$93*(1+'Operating costs'!$B$53)^MAX(0,C959-1)),"n.a."))</f>
        <v>0</v>
      </c>
      <c r="I959" s="16">
        <f>IF(NOT(Paths!$C$93=1),0,IF(Paths!$P$93="Complete",IF(IF(Paths!$E$93=0,C959=0,AND(C959&gt;0,Paths!$E$93&gt;(C959-1)*12,Paths!$E$93&lt;=C959*12)),Paths!$G$93,0),"n.a."))</f>
        <v>0</v>
      </c>
      <c r="J959" s="16">
        <f>IF(NOT(Paths!$C$93=1),0,IF(Paths!$P$93="Complete",IF(IF(Paths!$E$93=0,C959=0,AND(C959&gt;0,Paths!$E$93&gt;(C959-1)*12,Paths!$E$93&lt;=C959*12)),Paths!$H$93,0),"n.a."))</f>
        <v>0</v>
      </c>
      <c r="K959" s="16">
        <f>IF(NOT(Paths!$C$93=1),0,IF(Paths!$P$93="Complete",IF(IF(Paths!$O$93=0,C959=0,AND(C959&gt;0,Paths!$O$93&gt;(C959-1)*12,Paths!$O$93&lt;=C959*12)),Paths!$N$93,0),"n.a."))</f>
        <v>0</v>
      </c>
      <c r="L959" s="16">
        <f>IF(NOT(Paths!$C$93=1),0,IF(Paths!$P$93="Complete",IF(C959=10,Paths!$I$93,0),"n.a."))</f>
        <v>0</v>
      </c>
      <c r="M959" s="16">
        <f>IF(NOT(Paths!$C$93=1),0,IF(Paths!$P$93="Complete",IF(AND(Paths!$D$93="EV",Paths!$E$93&lt;120,Paths!$E$93+'Operating costs'!$B$65&gt;Paths!$E$93,Paths!$E$93+'Operating costs'!$B$65&lt;=120,IF(Paths!$E$93+'Operating costs'!$B$65=0,C959=0,AND(C959&gt;0,Paths!$E$93+'Operating costs'!$B$65&gt;(C959-1)*12,Paths!$E$93+'Operating costs'!$B$65&lt;=C959*12))),'Operating costs'!$B$64,0)+IF(AND('Operating costs'!$B$67&gt;0,'Operating costs'!$B$67&lt;=120,OR(Paths!$D$93="ICE",'Operating costs'!$B$67&lt;=Paths!$E$93),IF('Operating costs'!$B$67=0,C959=0,AND(C959&gt;0,'Operating costs'!$B$67&gt;(C959-1)*12,'Operating costs'!$B$67&lt;=C959*12))),'Operating costs'!$B$66,0),"n.a."))</f>
        <v>0</v>
      </c>
      <c r="N959" s="16">
        <f>IF(NOT(Paths!$C$93=1),0,IF(Paths!$P$93="Complete",SUM(G959:I959)-J959-K959-L959+M959+IF(C959=0,Paths!$F$93,0)+IF(IF(Paths!$E$93=0,C959=0,AND(C959&gt;0,Paths!$E$93&gt;(C959-1)*12,Paths!$E$93&lt;=C959*12)),VLOOKUP(A959,'Fleet register'!$A$7:$S$106,16,FALSE),0),"n.a."))</f>
        <v>0</v>
      </c>
      <c r="O959" s="16">
        <f>IF(NOT(Paths!$C$93=1),0,IF(Paths!$P$93="Complete",N959-IF(C959=0,Paths!$F$93,0),"n.a."))</f>
        <v>0</v>
      </c>
      <c r="P959" s="16">
        <f>IF(NOT(Paths!$C$93=1),0,IF(Paths!$P$93="Complete",O959+L959,"n.a."))</f>
        <v>0</v>
      </c>
      <c r="Q959" s="16">
        <f>IF(NOT(Paths!$C$93=1),0,IF(Paths!$P$93="Complete",N959*(1+'Operating costs'!$B$54)^-C959,"n.a."))</f>
        <v>0</v>
      </c>
      <c r="R959" s="16">
        <f>IF(NOT(Paths!$C$93=1),0,IF(Paths!$P$93="Complete",IF(AND(C959=0,Paths!$E$93=0),I959-J959-K959+VLOOKUP(A959,'Fleet register'!$A$7:$S$106,15,FALSE)+VLOOKUP(A959,'Fleet register'!$A$7:$S$106,16,FALSE),0),"n.a."))</f>
        <v>0</v>
      </c>
      <c r="S959" s="1">
        <f>IF(NOT(Paths!$C$93=1),0,IF(Paths!$P$93="Complete",IF(C959=0,0,Paths!$S$93*Paths!$R$93),"n.a."))</f>
        <v>0</v>
      </c>
      <c r="T959" s="1">
        <f>IF(NOT(Paths!$C$93=1),0,IF(Paths!$P$93="Complete",IF(C959=0,0,VLOOKUP(A959,'Fleet register'!$A$7:$S$106,9,FALSE)*Paths!$R$93),"n.a."))</f>
        <v>0</v>
      </c>
    </row>
    <row r="960" spans="1:20" ht="24" customHeight="1">
      <c r="A960" s="1" t="str">
        <f>Paths!$A$93</f>
        <v>T022</v>
      </c>
      <c r="B960" s="1">
        <f>Paths!$B$93</f>
        <v>2</v>
      </c>
      <c r="C960" s="1">
        <v>7</v>
      </c>
      <c r="D960" s="1">
        <v>93</v>
      </c>
      <c r="E960" s="1">
        <f>IF(OR(Paths!$C$93=0,C960=0),0,MAX(0,MIN(C960*12,Paths!$E$93)-(C960-1)*12))</f>
        <v>0</v>
      </c>
      <c r="F960" s="1">
        <f>IF(OR(Paths!$C$93=0,C960=0),0,12-E960)</f>
        <v>0</v>
      </c>
      <c r="G960" s="16">
        <f>IF(NOT(Paths!$C$93=1),0,IF(Paths!$P$93="Complete",E960/12*(Paths!$J$93*(1+'Operating costs'!$B$51)^MAX(0,C960-1)+Paths!$K$93*(1+'Operating costs'!$B$53)^MAX(0,C960-1)),"n.a."))</f>
        <v>0</v>
      </c>
      <c r="H960" s="16">
        <f>IF(NOT(Paths!$C$93=1),0,IF(Paths!$P$93="Complete",F960/12*(Paths!$L$93*(1+IF(Paths!$D$93="EV",'Operating costs'!$B$52,'Operating costs'!$B$51))^MAX(0,C960-1)+Paths!$M$93*(1+'Operating costs'!$B$53)^MAX(0,C960-1)),"n.a."))</f>
        <v>0</v>
      </c>
      <c r="I960" s="16">
        <f>IF(NOT(Paths!$C$93=1),0,IF(Paths!$P$93="Complete",IF(IF(Paths!$E$93=0,C960=0,AND(C960&gt;0,Paths!$E$93&gt;(C960-1)*12,Paths!$E$93&lt;=C960*12)),Paths!$G$93,0),"n.a."))</f>
        <v>0</v>
      </c>
      <c r="J960" s="16">
        <f>IF(NOT(Paths!$C$93=1),0,IF(Paths!$P$93="Complete",IF(IF(Paths!$E$93=0,C960=0,AND(C960&gt;0,Paths!$E$93&gt;(C960-1)*12,Paths!$E$93&lt;=C960*12)),Paths!$H$93,0),"n.a."))</f>
        <v>0</v>
      </c>
      <c r="K960" s="16">
        <f>IF(NOT(Paths!$C$93=1),0,IF(Paths!$P$93="Complete",IF(IF(Paths!$O$93=0,C960=0,AND(C960&gt;0,Paths!$O$93&gt;(C960-1)*12,Paths!$O$93&lt;=C960*12)),Paths!$N$93,0),"n.a."))</f>
        <v>0</v>
      </c>
      <c r="L960" s="16">
        <f>IF(NOT(Paths!$C$93=1),0,IF(Paths!$P$93="Complete",IF(C960=10,Paths!$I$93,0),"n.a."))</f>
        <v>0</v>
      </c>
      <c r="M960" s="16">
        <f>IF(NOT(Paths!$C$93=1),0,IF(Paths!$P$93="Complete",IF(AND(Paths!$D$93="EV",Paths!$E$93&lt;120,Paths!$E$93+'Operating costs'!$B$65&gt;Paths!$E$93,Paths!$E$93+'Operating costs'!$B$65&lt;=120,IF(Paths!$E$93+'Operating costs'!$B$65=0,C960=0,AND(C960&gt;0,Paths!$E$93+'Operating costs'!$B$65&gt;(C960-1)*12,Paths!$E$93+'Operating costs'!$B$65&lt;=C960*12))),'Operating costs'!$B$64,0)+IF(AND('Operating costs'!$B$67&gt;0,'Operating costs'!$B$67&lt;=120,OR(Paths!$D$93="ICE",'Operating costs'!$B$67&lt;=Paths!$E$93),IF('Operating costs'!$B$67=0,C960=0,AND(C960&gt;0,'Operating costs'!$B$67&gt;(C960-1)*12,'Operating costs'!$B$67&lt;=C960*12))),'Operating costs'!$B$66,0),"n.a."))</f>
        <v>0</v>
      </c>
      <c r="N960" s="16">
        <f>IF(NOT(Paths!$C$93=1),0,IF(Paths!$P$93="Complete",SUM(G960:I960)-J960-K960-L960+M960+IF(C960=0,Paths!$F$93,0)+IF(IF(Paths!$E$93=0,C960=0,AND(C960&gt;0,Paths!$E$93&gt;(C960-1)*12,Paths!$E$93&lt;=C960*12)),VLOOKUP(A960,'Fleet register'!$A$7:$S$106,16,FALSE),0),"n.a."))</f>
        <v>0</v>
      </c>
      <c r="O960" s="16">
        <f>IF(NOT(Paths!$C$93=1),0,IF(Paths!$P$93="Complete",N960-IF(C960=0,Paths!$F$93,0),"n.a."))</f>
        <v>0</v>
      </c>
      <c r="P960" s="16">
        <f>IF(NOT(Paths!$C$93=1),0,IF(Paths!$P$93="Complete",O960+L960,"n.a."))</f>
        <v>0</v>
      </c>
      <c r="Q960" s="16">
        <f>IF(NOT(Paths!$C$93=1),0,IF(Paths!$P$93="Complete",N960*(1+'Operating costs'!$B$54)^-C960,"n.a."))</f>
        <v>0</v>
      </c>
      <c r="R960" s="16">
        <f>IF(NOT(Paths!$C$93=1),0,IF(Paths!$P$93="Complete",IF(AND(C960=0,Paths!$E$93=0),I960-J960-K960+VLOOKUP(A960,'Fleet register'!$A$7:$S$106,15,FALSE)+VLOOKUP(A960,'Fleet register'!$A$7:$S$106,16,FALSE),0),"n.a."))</f>
        <v>0</v>
      </c>
      <c r="S960" s="1">
        <f>IF(NOT(Paths!$C$93=1),0,IF(Paths!$P$93="Complete",IF(C960=0,0,Paths!$S$93*Paths!$R$93),"n.a."))</f>
        <v>0</v>
      </c>
      <c r="T960" s="1">
        <f>IF(NOT(Paths!$C$93=1),0,IF(Paths!$P$93="Complete",IF(C960=0,0,VLOOKUP(A960,'Fleet register'!$A$7:$S$106,9,FALSE)*Paths!$R$93),"n.a."))</f>
        <v>0</v>
      </c>
    </row>
    <row r="961" spans="1:20" ht="24" customHeight="1">
      <c r="A961" s="1" t="str">
        <f>Paths!$A$93</f>
        <v>T022</v>
      </c>
      <c r="B961" s="1">
        <f>Paths!$B$93</f>
        <v>2</v>
      </c>
      <c r="C961" s="1">
        <v>8</v>
      </c>
      <c r="D961" s="1">
        <v>93</v>
      </c>
      <c r="E961" s="1">
        <f>IF(OR(Paths!$C$93=0,C961=0),0,MAX(0,MIN(C961*12,Paths!$E$93)-(C961-1)*12))</f>
        <v>0</v>
      </c>
      <c r="F961" s="1">
        <f>IF(OR(Paths!$C$93=0,C961=0),0,12-E961)</f>
        <v>0</v>
      </c>
      <c r="G961" s="16">
        <f>IF(NOT(Paths!$C$93=1),0,IF(Paths!$P$93="Complete",E961/12*(Paths!$J$93*(1+'Operating costs'!$B$51)^MAX(0,C961-1)+Paths!$K$93*(1+'Operating costs'!$B$53)^MAX(0,C961-1)),"n.a."))</f>
        <v>0</v>
      </c>
      <c r="H961" s="16">
        <f>IF(NOT(Paths!$C$93=1),0,IF(Paths!$P$93="Complete",F961/12*(Paths!$L$93*(1+IF(Paths!$D$93="EV",'Operating costs'!$B$52,'Operating costs'!$B$51))^MAX(0,C961-1)+Paths!$M$93*(1+'Operating costs'!$B$53)^MAX(0,C961-1)),"n.a."))</f>
        <v>0</v>
      </c>
      <c r="I961" s="16">
        <f>IF(NOT(Paths!$C$93=1),0,IF(Paths!$P$93="Complete",IF(IF(Paths!$E$93=0,C961=0,AND(C961&gt;0,Paths!$E$93&gt;(C961-1)*12,Paths!$E$93&lt;=C961*12)),Paths!$G$93,0),"n.a."))</f>
        <v>0</v>
      </c>
      <c r="J961" s="16">
        <f>IF(NOT(Paths!$C$93=1),0,IF(Paths!$P$93="Complete",IF(IF(Paths!$E$93=0,C961=0,AND(C961&gt;0,Paths!$E$93&gt;(C961-1)*12,Paths!$E$93&lt;=C961*12)),Paths!$H$93,0),"n.a."))</f>
        <v>0</v>
      </c>
      <c r="K961" s="16">
        <f>IF(NOT(Paths!$C$93=1),0,IF(Paths!$P$93="Complete",IF(IF(Paths!$O$93=0,C961=0,AND(C961&gt;0,Paths!$O$93&gt;(C961-1)*12,Paths!$O$93&lt;=C961*12)),Paths!$N$93,0),"n.a."))</f>
        <v>0</v>
      </c>
      <c r="L961" s="16">
        <f>IF(NOT(Paths!$C$93=1),0,IF(Paths!$P$93="Complete",IF(C961=10,Paths!$I$93,0),"n.a."))</f>
        <v>0</v>
      </c>
      <c r="M961" s="16">
        <f>IF(NOT(Paths!$C$93=1),0,IF(Paths!$P$93="Complete",IF(AND(Paths!$D$93="EV",Paths!$E$93&lt;120,Paths!$E$93+'Operating costs'!$B$65&gt;Paths!$E$93,Paths!$E$93+'Operating costs'!$B$65&lt;=120,IF(Paths!$E$93+'Operating costs'!$B$65=0,C961=0,AND(C961&gt;0,Paths!$E$93+'Operating costs'!$B$65&gt;(C961-1)*12,Paths!$E$93+'Operating costs'!$B$65&lt;=C961*12))),'Operating costs'!$B$64,0)+IF(AND('Operating costs'!$B$67&gt;0,'Operating costs'!$B$67&lt;=120,OR(Paths!$D$93="ICE",'Operating costs'!$B$67&lt;=Paths!$E$93),IF('Operating costs'!$B$67=0,C961=0,AND(C961&gt;0,'Operating costs'!$B$67&gt;(C961-1)*12,'Operating costs'!$B$67&lt;=C961*12))),'Operating costs'!$B$66,0),"n.a."))</f>
        <v>0</v>
      </c>
      <c r="N961" s="16">
        <f>IF(NOT(Paths!$C$93=1),0,IF(Paths!$P$93="Complete",SUM(G961:I961)-J961-K961-L961+M961+IF(C961=0,Paths!$F$93,0)+IF(IF(Paths!$E$93=0,C961=0,AND(C961&gt;0,Paths!$E$93&gt;(C961-1)*12,Paths!$E$93&lt;=C961*12)),VLOOKUP(A961,'Fleet register'!$A$7:$S$106,16,FALSE),0),"n.a."))</f>
        <v>0</v>
      </c>
      <c r="O961" s="16">
        <f>IF(NOT(Paths!$C$93=1),0,IF(Paths!$P$93="Complete",N961-IF(C961=0,Paths!$F$93,0),"n.a."))</f>
        <v>0</v>
      </c>
      <c r="P961" s="16">
        <f>IF(NOT(Paths!$C$93=1),0,IF(Paths!$P$93="Complete",O961+L961,"n.a."))</f>
        <v>0</v>
      </c>
      <c r="Q961" s="16">
        <f>IF(NOT(Paths!$C$93=1),0,IF(Paths!$P$93="Complete",N961*(1+'Operating costs'!$B$54)^-C961,"n.a."))</f>
        <v>0</v>
      </c>
      <c r="R961" s="16">
        <f>IF(NOT(Paths!$C$93=1),0,IF(Paths!$P$93="Complete",IF(AND(C961=0,Paths!$E$93=0),I961-J961-K961+VLOOKUP(A961,'Fleet register'!$A$7:$S$106,15,FALSE)+VLOOKUP(A961,'Fleet register'!$A$7:$S$106,16,FALSE),0),"n.a."))</f>
        <v>0</v>
      </c>
      <c r="S961" s="1">
        <f>IF(NOT(Paths!$C$93=1),0,IF(Paths!$P$93="Complete",IF(C961=0,0,Paths!$S$93*Paths!$R$93),"n.a."))</f>
        <v>0</v>
      </c>
      <c r="T961" s="1">
        <f>IF(NOT(Paths!$C$93=1),0,IF(Paths!$P$93="Complete",IF(C961=0,0,VLOOKUP(A961,'Fleet register'!$A$7:$S$106,9,FALSE)*Paths!$R$93),"n.a."))</f>
        <v>0</v>
      </c>
    </row>
    <row r="962" spans="1:20" ht="24" customHeight="1">
      <c r="A962" s="1" t="str">
        <f>Paths!$A$93</f>
        <v>T022</v>
      </c>
      <c r="B962" s="1">
        <f>Paths!$B$93</f>
        <v>2</v>
      </c>
      <c r="C962" s="1">
        <v>9</v>
      </c>
      <c r="D962" s="1">
        <v>93</v>
      </c>
      <c r="E962" s="1">
        <f>IF(OR(Paths!$C$93=0,C962=0),0,MAX(0,MIN(C962*12,Paths!$E$93)-(C962-1)*12))</f>
        <v>0</v>
      </c>
      <c r="F962" s="1">
        <f>IF(OR(Paths!$C$93=0,C962=0),0,12-E962)</f>
        <v>0</v>
      </c>
      <c r="G962" s="16">
        <f>IF(NOT(Paths!$C$93=1),0,IF(Paths!$P$93="Complete",E962/12*(Paths!$J$93*(1+'Operating costs'!$B$51)^MAX(0,C962-1)+Paths!$K$93*(1+'Operating costs'!$B$53)^MAX(0,C962-1)),"n.a."))</f>
        <v>0</v>
      </c>
      <c r="H962" s="16">
        <f>IF(NOT(Paths!$C$93=1),0,IF(Paths!$P$93="Complete",F962/12*(Paths!$L$93*(1+IF(Paths!$D$93="EV",'Operating costs'!$B$52,'Operating costs'!$B$51))^MAX(0,C962-1)+Paths!$M$93*(1+'Operating costs'!$B$53)^MAX(0,C962-1)),"n.a."))</f>
        <v>0</v>
      </c>
      <c r="I962" s="16">
        <f>IF(NOT(Paths!$C$93=1),0,IF(Paths!$P$93="Complete",IF(IF(Paths!$E$93=0,C962=0,AND(C962&gt;0,Paths!$E$93&gt;(C962-1)*12,Paths!$E$93&lt;=C962*12)),Paths!$G$93,0),"n.a."))</f>
        <v>0</v>
      </c>
      <c r="J962" s="16">
        <f>IF(NOT(Paths!$C$93=1),0,IF(Paths!$P$93="Complete",IF(IF(Paths!$E$93=0,C962=0,AND(C962&gt;0,Paths!$E$93&gt;(C962-1)*12,Paths!$E$93&lt;=C962*12)),Paths!$H$93,0),"n.a."))</f>
        <v>0</v>
      </c>
      <c r="K962" s="16">
        <f>IF(NOT(Paths!$C$93=1),0,IF(Paths!$P$93="Complete",IF(IF(Paths!$O$93=0,C962=0,AND(C962&gt;0,Paths!$O$93&gt;(C962-1)*12,Paths!$O$93&lt;=C962*12)),Paths!$N$93,0),"n.a."))</f>
        <v>0</v>
      </c>
      <c r="L962" s="16">
        <f>IF(NOT(Paths!$C$93=1),0,IF(Paths!$P$93="Complete",IF(C962=10,Paths!$I$93,0),"n.a."))</f>
        <v>0</v>
      </c>
      <c r="M962" s="16">
        <f>IF(NOT(Paths!$C$93=1),0,IF(Paths!$P$93="Complete",IF(AND(Paths!$D$93="EV",Paths!$E$93&lt;120,Paths!$E$93+'Operating costs'!$B$65&gt;Paths!$E$93,Paths!$E$93+'Operating costs'!$B$65&lt;=120,IF(Paths!$E$93+'Operating costs'!$B$65=0,C962=0,AND(C962&gt;0,Paths!$E$93+'Operating costs'!$B$65&gt;(C962-1)*12,Paths!$E$93+'Operating costs'!$B$65&lt;=C962*12))),'Operating costs'!$B$64,0)+IF(AND('Operating costs'!$B$67&gt;0,'Operating costs'!$B$67&lt;=120,OR(Paths!$D$93="ICE",'Operating costs'!$B$67&lt;=Paths!$E$93),IF('Operating costs'!$B$67=0,C962=0,AND(C962&gt;0,'Operating costs'!$B$67&gt;(C962-1)*12,'Operating costs'!$B$67&lt;=C962*12))),'Operating costs'!$B$66,0),"n.a."))</f>
        <v>0</v>
      </c>
      <c r="N962" s="16">
        <f>IF(NOT(Paths!$C$93=1),0,IF(Paths!$P$93="Complete",SUM(G962:I962)-J962-K962-L962+M962+IF(C962=0,Paths!$F$93,0)+IF(IF(Paths!$E$93=0,C962=0,AND(C962&gt;0,Paths!$E$93&gt;(C962-1)*12,Paths!$E$93&lt;=C962*12)),VLOOKUP(A962,'Fleet register'!$A$7:$S$106,16,FALSE),0),"n.a."))</f>
        <v>0</v>
      </c>
      <c r="O962" s="16">
        <f>IF(NOT(Paths!$C$93=1),0,IF(Paths!$P$93="Complete",N962-IF(C962=0,Paths!$F$93,0),"n.a."))</f>
        <v>0</v>
      </c>
      <c r="P962" s="16">
        <f>IF(NOT(Paths!$C$93=1),0,IF(Paths!$P$93="Complete",O962+L962,"n.a."))</f>
        <v>0</v>
      </c>
      <c r="Q962" s="16">
        <f>IF(NOT(Paths!$C$93=1),0,IF(Paths!$P$93="Complete",N962*(1+'Operating costs'!$B$54)^-C962,"n.a."))</f>
        <v>0</v>
      </c>
      <c r="R962" s="16">
        <f>IF(NOT(Paths!$C$93=1),0,IF(Paths!$P$93="Complete",IF(AND(C962=0,Paths!$E$93=0),I962-J962-K962+VLOOKUP(A962,'Fleet register'!$A$7:$S$106,15,FALSE)+VLOOKUP(A962,'Fleet register'!$A$7:$S$106,16,FALSE),0),"n.a."))</f>
        <v>0</v>
      </c>
      <c r="S962" s="1">
        <f>IF(NOT(Paths!$C$93=1),0,IF(Paths!$P$93="Complete",IF(C962=0,0,Paths!$S$93*Paths!$R$93),"n.a."))</f>
        <v>0</v>
      </c>
      <c r="T962" s="1">
        <f>IF(NOT(Paths!$C$93=1),0,IF(Paths!$P$93="Complete",IF(C962=0,0,VLOOKUP(A962,'Fleet register'!$A$7:$S$106,9,FALSE)*Paths!$R$93),"n.a."))</f>
        <v>0</v>
      </c>
    </row>
    <row r="963" spans="1:20" ht="24" customHeight="1">
      <c r="A963" s="1" t="str">
        <f>Paths!$A$93</f>
        <v>T022</v>
      </c>
      <c r="B963" s="1">
        <f>Paths!$B$93</f>
        <v>2</v>
      </c>
      <c r="C963" s="1">
        <v>10</v>
      </c>
      <c r="D963" s="1">
        <v>93</v>
      </c>
      <c r="E963" s="1">
        <f>IF(OR(Paths!$C$93=0,C963=0),0,MAX(0,MIN(C963*12,Paths!$E$93)-(C963-1)*12))</f>
        <v>0</v>
      </c>
      <c r="F963" s="1">
        <f>IF(OR(Paths!$C$93=0,C963=0),0,12-E963)</f>
        <v>0</v>
      </c>
      <c r="G963" s="16">
        <f>IF(NOT(Paths!$C$93=1),0,IF(Paths!$P$93="Complete",E963/12*(Paths!$J$93*(1+'Operating costs'!$B$51)^MAX(0,C963-1)+Paths!$K$93*(1+'Operating costs'!$B$53)^MAX(0,C963-1)),"n.a."))</f>
        <v>0</v>
      </c>
      <c r="H963" s="16">
        <f>IF(NOT(Paths!$C$93=1),0,IF(Paths!$P$93="Complete",F963/12*(Paths!$L$93*(1+IF(Paths!$D$93="EV",'Operating costs'!$B$52,'Operating costs'!$B$51))^MAX(0,C963-1)+Paths!$M$93*(1+'Operating costs'!$B$53)^MAX(0,C963-1)),"n.a."))</f>
        <v>0</v>
      </c>
      <c r="I963" s="16">
        <f>IF(NOT(Paths!$C$93=1),0,IF(Paths!$P$93="Complete",IF(IF(Paths!$E$93=0,C963=0,AND(C963&gt;0,Paths!$E$93&gt;(C963-1)*12,Paths!$E$93&lt;=C963*12)),Paths!$G$93,0),"n.a."))</f>
        <v>0</v>
      </c>
      <c r="J963" s="16">
        <f>IF(NOT(Paths!$C$93=1),0,IF(Paths!$P$93="Complete",IF(IF(Paths!$E$93=0,C963=0,AND(C963&gt;0,Paths!$E$93&gt;(C963-1)*12,Paths!$E$93&lt;=C963*12)),Paths!$H$93,0),"n.a."))</f>
        <v>0</v>
      </c>
      <c r="K963" s="16">
        <f>IF(NOT(Paths!$C$93=1),0,IF(Paths!$P$93="Complete",IF(IF(Paths!$O$93=0,C963=0,AND(C963&gt;0,Paths!$O$93&gt;(C963-1)*12,Paths!$O$93&lt;=C963*12)),Paths!$N$93,0),"n.a."))</f>
        <v>0</v>
      </c>
      <c r="L963" s="16">
        <f>IF(NOT(Paths!$C$93=1),0,IF(Paths!$P$93="Complete",IF(C963=10,Paths!$I$93,0),"n.a."))</f>
        <v>0</v>
      </c>
      <c r="M963" s="16">
        <f>IF(NOT(Paths!$C$93=1),0,IF(Paths!$P$93="Complete",IF(AND(Paths!$D$93="EV",Paths!$E$93&lt;120,Paths!$E$93+'Operating costs'!$B$65&gt;Paths!$E$93,Paths!$E$93+'Operating costs'!$B$65&lt;=120,IF(Paths!$E$93+'Operating costs'!$B$65=0,C963=0,AND(C963&gt;0,Paths!$E$93+'Operating costs'!$B$65&gt;(C963-1)*12,Paths!$E$93+'Operating costs'!$B$65&lt;=C963*12))),'Operating costs'!$B$64,0)+IF(AND('Operating costs'!$B$67&gt;0,'Operating costs'!$B$67&lt;=120,OR(Paths!$D$93="ICE",'Operating costs'!$B$67&lt;=Paths!$E$93),IF('Operating costs'!$B$67=0,C963=0,AND(C963&gt;0,'Operating costs'!$B$67&gt;(C963-1)*12,'Operating costs'!$B$67&lt;=C963*12))),'Operating costs'!$B$66,0),"n.a."))</f>
        <v>0</v>
      </c>
      <c r="N963" s="16">
        <f>IF(NOT(Paths!$C$93=1),0,IF(Paths!$P$93="Complete",SUM(G963:I963)-J963-K963-L963+M963+IF(C963=0,Paths!$F$93,0)+IF(IF(Paths!$E$93=0,C963=0,AND(C963&gt;0,Paths!$E$93&gt;(C963-1)*12,Paths!$E$93&lt;=C963*12)),VLOOKUP(A963,'Fleet register'!$A$7:$S$106,16,FALSE),0),"n.a."))</f>
        <v>0</v>
      </c>
      <c r="O963" s="16">
        <f>IF(NOT(Paths!$C$93=1),0,IF(Paths!$P$93="Complete",N963-IF(C963=0,Paths!$F$93,0),"n.a."))</f>
        <v>0</v>
      </c>
      <c r="P963" s="16">
        <f>IF(NOT(Paths!$C$93=1),0,IF(Paths!$P$93="Complete",O963+L963,"n.a."))</f>
        <v>0</v>
      </c>
      <c r="Q963" s="16">
        <f>IF(NOT(Paths!$C$93=1),0,IF(Paths!$P$93="Complete",N963*(1+'Operating costs'!$B$54)^-C963,"n.a."))</f>
        <v>0</v>
      </c>
      <c r="R963" s="16">
        <f>IF(NOT(Paths!$C$93=1),0,IF(Paths!$P$93="Complete",IF(AND(C963=0,Paths!$E$93=0),I963-J963-K963+VLOOKUP(A963,'Fleet register'!$A$7:$S$106,15,FALSE)+VLOOKUP(A963,'Fleet register'!$A$7:$S$106,16,FALSE),0),"n.a."))</f>
        <v>0</v>
      </c>
      <c r="S963" s="1">
        <f>IF(NOT(Paths!$C$93=1),0,IF(Paths!$P$93="Complete",IF(C963=0,0,Paths!$S$93*Paths!$R$93),"n.a."))</f>
        <v>0</v>
      </c>
      <c r="T963" s="1">
        <f>IF(NOT(Paths!$C$93=1),0,IF(Paths!$P$93="Complete",IF(C963=0,0,VLOOKUP(A963,'Fleet register'!$A$7:$S$106,9,FALSE)*Paths!$R$93),"n.a."))</f>
        <v>0</v>
      </c>
    </row>
    <row r="964" spans="1:20" ht="24" customHeight="1">
      <c r="A964" s="1" t="str">
        <f>Paths!$A$94</f>
        <v>T022</v>
      </c>
      <c r="B964" s="1">
        <f>Paths!$B$94</f>
        <v>3</v>
      </c>
      <c r="C964" s="1">
        <v>0</v>
      </c>
      <c r="D964" s="1">
        <v>94</v>
      </c>
      <c r="E964" s="1">
        <f>IF(OR(Paths!$C$94=0,C964=0),0,MAX(0,MIN(C964*12,Paths!$E$94)-(C964-1)*12))</f>
        <v>0</v>
      </c>
      <c r="F964" s="1">
        <f>IF(OR(Paths!$C$94=0,C964=0),0,12-E964)</f>
        <v>0</v>
      </c>
      <c r="G964" s="16">
        <f>IF(NOT(Paths!$C$94=1),0,IF(Paths!$P$94="Complete",E964/12*(Paths!$J$94*(1+'Operating costs'!$B$51)^MAX(0,C964-1)+Paths!$K$94*(1+'Operating costs'!$B$53)^MAX(0,C964-1)),"n.a."))</f>
        <v>0</v>
      </c>
      <c r="H964" s="16">
        <f>IF(NOT(Paths!$C$94=1),0,IF(Paths!$P$94="Complete",F964/12*(Paths!$L$94*(1+IF(Paths!$D$94="EV",'Operating costs'!$B$52,'Operating costs'!$B$51))^MAX(0,C964-1)+Paths!$M$94*(1+'Operating costs'!$B$53)^MAX(0,C964-1)),"n.a."))</f>
        <v>0</v>
      </c>
      <c r="I964" s="16">
        <f>IF(NOT(Paths!$C$94=1),0,IF(Paths!$P$94="Complete",IF(IF(Paths!$E$94=0,C964=0,AND(C964&gt;0,Paths!$E$94&gt;(C964-1)*12,Paths!$E$94&lt;=C964*12)),Paths!$G$94,0),"n.a."))</f>
        <v>0</v>
      </c>
      <c r="J964" s="16">
        <f>IF(NOT(Paths!$C$94=1),0,IF(Paths!$P$94="Complete",IF(IF(Paths!$E$94=0,C964=0,AND(C964&gt;0,Paths!$E$94&gt;(C964-1)*12,Paths!$E$94&lt;=C964*12)),Paths!$H$94,0),"n.a."))</f>
        <v>0</v>
      </c>
      <c r="K964" s="16">
        <f>IF(NOT(Paths!$C$94=1),0,IF(Paths!$P$94="Complete",IF(IF(Paths!$O$94=0,C964=0,AND(C964&gt;0,Paths!$O$94&gt;(C964-1)*12,Paths!$O$94&lt;=C964*12)),Paths!$N$94,0),"n.a."))</f>
        <v>0</v>
      </c>
      <c r="L964" s="16">
        <f>IF(NOT(Paths!$C$94=1),0,IF(Paths!$P$94="Complete",IF(C964=10,Paths!$I$94,0),"n.a."))</f>
        <v>0</v>
      </c>
      <c r="M964" s="16">
        <f>IF(NOT(Paths!$C$94=1),0,IF(Paths!$P$94="Complete",IF(AND(Paths!$D$94="EV",Paths!$E$94&lt;120,Paths!$E$94+'Operating costs'!$B$65&gt;Paths!$E$94,Paths!$E$94+'Operating costs'!$B$65&lt;=120,IF(Paths!$E$94+'Operating costs'!$B$65=0,C964=0,AND(C964&gt;0,Paths!$E$94+'Operating costs'!$B$65&gt;(C964-1)*12,Paths!$E$94+'Operating costs'!$B$65&lt;=C964*12))),'Operating costs'!$B$64,0)+IF(AND('Operating costs'!$B$67&gt;0,'Operating costs'!$B$67&lt;=120,OR(Paths!$D$94="ICE",'Operating costs'!$B$67&lt;=Paths!$E$94),IF('Operating costs'!$B$67=0,C964=0,AND(C964&gt;0,'Operating costs'!$B$67&gt;(C964-1)*12,'Operating costs'!$B$67&lt;=C964*12))),'Operating costs'!$B$66,0),"n.a."))</f>
        <v>0</v>
      </c>
      <c r="N964" s="16">
        <f>IF(NOT(Paths!$C$94=1),0,IF(Paths!$P$94="Complete",SUM(G964:I964)-J964-K964-L964+M964+IF(C964=0,Paths!$F$94,0)+IF(IF(Paths!$E$94=0,C964=0,AND(C964&gt;0,Paths!$E$94&gt;(C964-1)*12,Paths!$E$94&lt;=C964*12)),VLOOKUP(A964,'Fleet register'!$A$7:$S$106,16,FALSE),0),"n.a."))</f>
        <v>0</v>
      </c>
      <c r="O964" s="16">
        <f>IF(NOT(Paths!$C$94=1),0,IF(Paths!$P$94="Complete",N964-IF(C964=0,Paths!$F$94,0),"n.a."))</f>
        <v>0</v>
      </c>
      <c r="P964" s="16">
        <f>IF(NOT(Paths!$C$94=1),0,IF(Paths!$P$94="Complete",O964+L964,"n.a."))</f>
        <v>0</v>
      </c>
      <c r="Q964" s="16">
        <f>IF(NOT(Paths!$C$94=1),0,IF(Paths!$P$94="Complete",N964*(1+'Operating costs'!$B$54)^-C964,"n.a."))</f>
        <v>0</v>
      </c>
      <c r="R964" s="16">
        <f>IF(NOT(Paths!$C$94=1),0,IF(Paths!$P$94="Complete",IF(AND(C964=0,Paths!$E$94=0),I964-J964-K964+VLOOKUP(A964,'Fleet register'!$A$7:$S$106,15,FALSE)+VLOOKUP(A964,'Fleet register'!$A$7:$S$106,16,FALSE),0),"n.a."))</f>
        <v>0</v>
      </c>
      <c r="S964" s="1">
        <f>IF(NOT(Paths!$C$94=1),0,IF(Paths!$P$94="Complete",IF(C964=0,0,Paths!$S$94*Paths!$R$94),"n.a."))</f>
        <v>0</v>
      </c>
      <c r="T964" s="1">
        <f>IF(NOT(Paths!$C$94=1),0,IF(Paths!$P$94="Complete",IF(C964=0,0,VLOOKUP(A964,'Fleet register'!$A$7:$S$106,9,FALSE)*Paths!$R$94),"n.a."))</f>
        <v>0</v>
      </c>
    </row>
    <row r="965" spans="1:20" ht="24" customHeight="1">
      <c r="A965" s="1" t="str">
        <f>Paths!$A$94</f>
        <v>T022</v>
      </c>
      <c r="B965" s="1">
        <f>Paths!$B$94</f>
        <v>3</v>
      </c>
      <c r="C965" s="1">
        <v>1</v>
      </c>
      <c r="D965" s="1">
        <v>94</v>
      </c>
      <c r="E965" s="1">
        <f>IF(OR(Paths!$C$94=0,C965=0),0,MAX(0,MIN(C965*12,Paths!$E$94)-(C965-1)*12))</f>
        <v>0</v>
      </c>
      <c r="F965" s="1">
        <f>IF(OR(Paths!$C$94=0,C965=0),0,12-E965)</f>
        <v>0</v>
      </c>
      <c r="G965" s="16">
        <f>IF(NOT(Paths!$C$94=1),0,IF(Paths!$P$94="Complete",E965/12*(Paths!$J$94*(1+'Operating costs'!$B$51)^MAX(0,C965-1)+Paths!$K$94*(1+'Operating costs'!$B$53)^MAX(0,C965-1)),"n.a."))</f>
        <v>0</v>
      </c>
      <c r="H965" s="16">
        <f>IF(NOT(Paths!$C$94=1),0,IF(Paths!$P$94="Complete",F965/12*(Paths!$L$94*(1+IF(Paths!$D$94="EV",'Operating costs'!$B$52,'Operating costs'!$B$51))^MAX(0,C965-1)+Paths!$M$94*(1+'Operating costs'!$B$53)^MAX(0,C965-1)),"n.a."))</f>
        <v>0</v>
      </c>
      <c r="I965" s="16">
        <f>IF(NOT(Paths!$C$94=1),0,IF(Paths!$P$94="Complete",IF(IF(Paths!$E$94=0,C965=0,AND(C965&gt;0,Paths!$E$94&gt;(C965-1)*12,Paths!$E$94&lt;=C965*12)),Paths!$G$94,0),"n.a."))</f>
        <v>0</v>
      </c>
      <c r="J965" s="16">
        <f>IF(NOT(Paths!$C$94=1),0,IF(Paths!$P$94="Complete",IF(IF(Paths!$E$94=0,C965=0,AND(C965&gt;0,Paths!$E$94&gt;(C965-1)*12,Paths!$E$94&lt;=C965*12)),Paths!$H$94,0),"n.a."))</f>
        <v>0</v>
      </c>
      <c r="K965" s="16">
        <f>IF(NOT(Paths!$C$94=1),0,IF(Paths!$P$94="Complete",IF(IF(Paths!$O$94=0,C965=0,AND(C965&gt;0,Paths!$O$94&gt;(C965-1)*12,Paths!$O$94&lt;=C965*12)),Paths!$N$94,0),"n.a."))</f>
        <v>0</v>
      </c>
      <c r="L965" s="16">
        <f>IF(NOT(Paths!$C$94=1),0,IF(Paths!$P$94="Complete",IF(C965=10,Paths!$I$94,0),"n.a."))</f>
        <v>0</v>
      </c>
      <c r="M965" s="16">
        <f>IF(NOT(Paths!$C$94=1),0,IF(Paths!$P$94="Complete",IF(AND(Paths!$D$94="EV",Paths!$E$94&lt;120,Paths!$E$94+'Operating costs'!$B$65&gt;Paths!$E$94,Paths!$E$94+'Operating costs'!$B$65&lt;=120,IF(Paths!$E$94+'Operating costs'!$B$65=0,C965=0,AND(C965&gt;0,Paths!$E$94+'Operating costs'!$B$65&gt;(C965-1)*12,Paths!$E$94+'Operating costs'!$B$65&lt;=C965*12))),'Operating costs'!$B$64,0)+IF(AND('Operating costs'!$B$67&gt;0,'Operating costs'!$B$67&lt;=120,OR(Paths!$D$94="ICE",'Operating costs'!$B$67&lt;=Paths!$E$94),IF('Operating costs'!$B$67=0,C965=0,AND(C965&gt;0,'Operating costs'!$B$67&gt;(C965-1)*12,'Operating costs'!$B$67&lt;=C965*12))),'Operating costs'!$B$66,0),"n.a."))</f>
        <v>0</v>
      </c>
      <c r="N965" s="16">
        <f>IF(NOT(Paths!$C$94=1),0,IF(Paths!$P$94="Complete",SUM(G965:I965)-J965-K965-L965+M965+IF(C965=0,Paths!$F$94,0)+IF(IF(Paths!$E$94=0,C965=0,AND(C965&gt;0,Paths!$E$94&gt;(C965-1)*12,Paths!$E$94&lt;=C965*12)),VLOOKUP(A965,'Fleet register'!$A$7:$S$106,16,FALSE),0),"n.a."))</f>
        <v>0</v>
      </c>
      <c r="O965" s="16">
        <f>IF(NOT(Paths!$C$94=1),0,IF(Paths!$P$94="Complete",N965-IF(C965=0,Paths!$F$94,0),"n.a."))</f>
        <v>0</v>
      </c>
      <c r="P965" s="16">
        <f>IF(NOT(Paths!$C$94=1),0,IF(Paths!$P$94="Complete",O965+L965,"n.a."))</f>
        <v>0</v>
      </c>
      <c r="Q965" s="16">
        <f>IF(NOT(Paths!$C$94=1),0,IF(Paths!$P$94="Complete",N965*(1+'Operating costs'!$B$54)^-C965,"n.a."))</f>
        <v>0</v>
      </c>
      <c r="R965" s="16">
        <f>IF(NOT(Paths!$C$94=1),0,IF(Paths!$P$94="Complete",IF(AND(C965=0,Paths!$E$94=0),I965-J965-K965+VLOOKUP(A965,'Fleet register'!$A$7:$S$106,15,FALSE)+VLOOKUP(A965,'Fleet register'!$A$7:$S$106,16,FALSE),0),"n.a."))</f>
        <v>0</v>
      </c>
      <c r="S965" s="1">
        <f>IF(NOT(Paths!$C$94=1),0,IF(Paths!$P$94="Complete",IF(C965=0,0,Paths!$S$94*Paths!$R$94),"n.a."))</f>
        <v>0</v>
      </c>
      <c r="T965" s="1">
        <f>IF(NOT(Paths!$C$94=1),0,IF(Paths!$P$94="Complete",IF(C965=0,0,VLOOKUP(A965,'Fleet register'!$A$7:$S$106,9,FALSE)*Paths!$R$94),"n.a."))</f>
        <v>0</v>
      </c>
    </row>
    <row r="966" spans="1:20" ht="24" customHeight="1">
      <c r="A966" s="1" t="str">
        <f>Paths!$A$94</f>
        <v>T022</v>
      </c>
      <c r="B966" s="1">
        <f>Paths!$B$94</f>
        <v>3</v>
      </c>
      <c r="C966" s="1">
        <v>2</v>
      </c>
      <c r="D966" s="1">
        <v>94</v>
      </c>
      <c r="E966" s="1">
        <f>IF(OR(Paths!$C$94=0,C966=0),0,MAX(0,MIN(C966*12,Paths!$E$94)-(C966-1)*12))</f>
        <v>0</v>
      </c>
      <c r="F966" s="1">
        <f>IF(OR(Paths!$C$94=0,C966=0),0,12-E966)</f>
        <v>0</v>
      </c>
      <c r="G966" s="16">
        <f>IF(NOT(Paths!$C$94=1),0,IF(Paths!$P$94="Complete",E966/12*(Paths!$J$94*(1+'Operating costs'!$B$51)^MAX(0,C966-1)+Paths!$K$94*(1+'Operating costs'!$B$53)^MAX(0,C966-1)),"n.a."))</f>
        <v>0</v>
      </c>
      <c r="H966" s="16">
        <f>IF(NOT(Paths!$C$94=1),0,IF(Paths!$P$94="Complete",F966/12*(Paths!$L$94*(1+IF(Paths!$D$94="EV",'Operating costs'!$B$52,'Operating costs'!$B$51))^MAX(0,C966-1)+Paths!$M$94*(1+'Operating costs'!$B$53)^MAX(0,C966-1)),"n.a."))</f>
        <v>0</v>
      </c>
      <c r="I966" s="16">
        <f>IF(NOT(Paths!$C$94=1),0,IF(Paths!$P$94="Complete",IF(IF(Paths!$E$94=0,C966=0,AND(C966&gt;0,Paths!$E$94&gt;(C966-1)*12,Paths!$E$94&lt;=C966*12)),Paths!$G$94,0),"n.a."))</f>
        <v>0</v>
      </c>
      <c r="J966" s="16">
        <f>IF(NOT(Paths!$C$94=1),0,IF(Paths!$P$94="Complete",IF(IF(Paths!$E$94=0,C966=0,AND(C966&gt;0,Paths!$E$94&gt;(C966-1)*12,Paths!$E$94&lt;=C966*12)),Paths!$H$94,0),"n.a."))</f>
        <v>0</v>
      </c>
      <c r="K966" s="16">
        <f>IF(NOT(Paths!$C$94=1),0,IF(Paths!$P$94="Complete",IF(IF(Paths!$O$94=0,C966=0,AND(C966&gt;0,Paths!$O$94&gt;(C966-1)*12,Paths!$O$94&lt;=C966*12)),Paths!$N$94,0),"n.a."))</f>
        <v>0</v>
      </c>
      <c r="L966" s="16">
        <f>IF(NOT(Paths!$C$94=1),0,IF(Paths!$P$94="Complete",IF(C966=10,Paths!$I$94,0),"n.a."))</f>
        <v>0</v>
      </c>
      <c r="M966" s="16">
        <f>IF(NOT(Paths!$C$94=1),0,IF(Paths!$P$94="Complete",IF(AND(Paths!$D$94="EV",Paths!$E$94&lt;120,Paths!$E$94+'Operating costs'!$B$65&gt;Paths!$E$94,Paths!$E$94+'Operating costs'!$B$65&lt;=120,IF(Paths!$E$94+'Operating costs'!$B$65=0,C966=0,AND(C966&gt;0,Paths!$E$94+'Operating costs'!$B$65&gt;(C966-1)*12,Paths!$E$94+'Operating costs'!$B$65&lt;=C966*12))),'Operating costs'!$B$64,0)+IF(AND('Operating costs'!$B$67&gt;0,'Operating costs'!$B$67&lt;=120,OR(Paths!$D$94="ICE",'Operating costs'!$B$67&lt;=Paths!$E$94),IF('Operating costs'!$B$67=0,C966=0,AND(C966&gt;0,'Operating costs'!$B$67&gt;(C966-1)*12,'Operating costs'!$B$67&lt;=C966*12))),'Operating costs'!$B$66,0),"n.a."))</f>
        <v>0</v>
      </c>
      <c r="N966" s="16">
        <f>IF(NOT(Paths!$C$94=1),0,IF(Paths!$P$94="Complete",SUM(G966:I966)-J966-K966-L966+M966+IF(C966=0,Paths!$F$94,0)+IF(IF(Paths!$E$94=0,C966=0,AND(C966&gt;0,Paths!$E$94&gt;(C966-1)*12,Paths!$E$94&lt;=C966*12)),VLOOKUP(A966,'Fleet register'!$A$7:$S$106,16,FALSE),0),"n.a."))</f>
        <v>0</v>
      </c>
      <c r="O966" s="16">
        <f>IF(NOT(Paths!$C$94=1),0,IF(Paths!$P$94="Complete",N966-IF(C966=0,Paths!$F$94,0),"n.a."))</f>
        <v>0</v>
      </c>
      <c r="P966" s="16">
        <f>IF(NOT(Paths!$C$94=1),0,IF(Paths!$P$94="Complete",O966+L966,"n.a."))</f>
        <v>0</v>
      </c>
      <c r="Q966" s="16">
        <f>IF(NOT(Paths!$C$94=1),0,IF(Paths!$P$94="Complete",N966*(1+'Operating costs'!$B$54)^-C966,"n.a."))</f>
        <v>0</v>
      </c>
      <c r="R966" s="16">
        <f>IF(NOT(Paths!$C$94=1),0,IF(Paths!$P$94="Complete",IF(AND(C966=0,Paths!$E$94=0),I966-J966-K966+VLOOKUP(A966,'Fleet register'!$A$7:$S$106,15,FALSE)+VLOOKUP(A966,'Fleet register'!$A$7:$S$106,16,FALSE),0),"n.a."))</f>
        <v>0</v>
      </c>
      <c r="S966" s="1">
        <f>IF(NOT(Paths!$C$94=1),0,IF(Paths!$P$94="Complete",IF(C966=0,0,Paths!$S$94*Paths!$R$94),"n.a."))</f>
        <v>0</v>
      </c>
      <c r="T966" s="1">
        <f>IF(NOT(Paths!$C$94=1),0,IF(Paths!$P$94="Complete",IF(C966=0,0,VLOOKUP(A966,'Fleet register'!$A$7:$S$106,9,FALSE)*Paths!$R$94),"n.a."))</f>
        <v>0</v>
      </c>
    </row>
    <row r="967" spans="1:20" ht="24" customHeight="1">
      <c r="A967" s="1" t="str">
        <f>Paths!$A$94</f>
        <v>T022</v>
      </c>
      <c r="B967" s="1">
        <f>Paths!$B$94</f>
        <v>3</v>
      </c>
      <c r="C967" s="1">
        <v>3</v>
      </c>
      <c r="D967" s="1">
        <v>94</v>
      </c>
      <c r="E967" s="1">
        <f>IF(OR(Paths!$C$94=0,C967=0),0,MAX(0,MIN(C967*12,Paths!$E$94)-(C967-1)*12))</f>
        <v>0</v>
      </c>
      <c r="F967" s="1">
        <f>IF(OR(Paths!$C$94=0,C967=0),0,12-E967)</f>
        <v>0</v>
      </c>
      <c r="G967" s="16">
        <f>IF(NOT(Paths!$C$94=1),0,IF(Paths!$P$94="Complete",E967/12*(Paths!$J$94*(1+'Operating costs'!$B$51)^MAX(0,C967-1)+Paths!$K$94*(1+'Operating costs'!$B$53)^MAX(0,C967-1)),"n.a."))</f>
        <v>0</v>
      </c>
      <c r="H967" s="16">
        <f>IF(NOT(Paths!$C$94=1),0,IF(Paths!$P$94="Complete",F967/12*(Paths!$L$94*(1+IF(Paths!$D$94="EV",'Operating costs'!$B$52,'Operating costs'!$B$51))^MAX(0,C967-1)+Paths!$M$94*(1+'Operating costs'!$B$53)^MAX(0,C967-1)),"n.a."))</f>
        <v>0</v>
      </c>
      <c r="I967" s="16">
        <f>IF(NOT(Paths!$C$94=1),0,IF(Paths!$P$94="Complete",IF(IF(Paths!$E$94=0,C967=0,AND(C967&gt;0,Paths!$E$94&gt;(C967-1)*12,Paths!$E$94&lt;=C967*12)),Paths!$G$94,0),"n.a."))</f>
        <v>0</v>
      </c>
      <c r="J967" s="16">
        <f>IF(NOT(Paths!$C$94=1),0,IF(Paths!$P$94="Complete",IF(IF(Paths!$E$94=0,C967=0,AND(C967&gt;0,Paths!$E$94&gt;(C967-1)*12,Paths!$E$94&lt;=C967*12)),Paths!$H$94,0),"n.a."))</f>
        <v>0</v>
      </c>
      <c r="K967" s="16">
        <f>IF(NOT(Paths!$C$94=1),0,IF(Paths!$P$94="Complete",IF(IF(Paths!$O$94=0,C967=0,AND(C967&gt;0,Paths!$O$94&gt;(C967-1)*12,Paths!$O$94&lt;=C967*12)),Paths!$N$94,0),"n.a."))</f>
        <v>0</v>
      </c>
      <c r="L967" s="16">
        <f>IF(NOT(Paths!$C$94=1),0,IF(Paths!$P$94="Complete",IF(C967=10,Paths!$I$94,0),"n.a."))</f>
        <v>0</v>
      </c>
      <c r="M967" s="16">
        <f>IF(NOT(Paths!$C$94=1),0,IF(Paths!$P$94="Complete",IF(AND(Paths!$D$94="EV",Paths!$E$94&lt;120,Paths!$E$94+'Operating costs'!$B$65&gt;Paths!$E$94,Paths!$E$94+'Operating costs'!$B$65&lt;=120,IF(Paths!$E$94+'Operating costs'!$B$65=0,C967=0,AND(C967&gt;0,Paths!$E$94+'Operating costs'!$B$65&gt;(C967-1)*12,Paths!$E$94+'Operating costs'!$B$65&lt;=C967*12))),'Operating costs'!$B$64,0)+IF(AND('Operating costs'!$B$67&gt;0,'Operating costs'!$B$67&lt;=120,OR(Paths!$D$94="ICE",'Operating costs'!$B$67&lt;=Paths!$E$94),IF('Operating costs'!$B$67=0,C967=0,AND(C967&gt;0,'Operating costs'!$B$67&gt;(C967-1)*12,'Operating costs'!$B$67&lt;=C967*12))),'Operating costs'!$B$66,0),"n.a."))</f>
        <v>0</v>
      </c>
      <c r="N967" s="16">
        <f>IF(NOT(Paths!$C$94=1),0,IF(Paths!$P$94="Complete",SUM(G967:I967)-J967-K967-L967+M967+IF(C967=0,Paths!$F$94,0)+IF(IF(Paths!$E$94=0,C967=0,AND(C967&gt;0,Paths!$E$94&gt;(C967-1)*12,Paths!$E$94&lt;=C967*12)),VLOOKUP(A967,'Fleet register'!$A$7:$S$106,16,FALSE),0),"n.a."))</f>
        <v>0</v>
      </c>
      <c r="O967" s="16">
        <f>IF(NOT(Paths!$C$94=1),0,IF(Paths!$P$94="Complete",N967-IF(C967=0,Paths!$F$94,0),"n.a."))</f>
        <v>0</v>
      </c>
      <c r="P967" s="16">
        <f>IF(NOT(Paths!$C$94=1),0,IF(Paths!$P$94="Complete",O967+L967,"n.a."))</f>
        <v>0</v>
      </c>
      <c r="Q967" s="16">
        <f>IF(NOT(Paths!$C$94=1),0,IF(Paths!$P$94="Complete",N967*(1+'Operating costs'!$B$54)^-C967,"n.a."))</f>
        <v>0</v>
      </c>
      <c r="R967" s="16">
        <f>IF(NOT(Paths!$C$94=1),0,IF(Paths!$P$94="Complete",IF(AND(C967=0,Paths!$E$94=0),I967-J967-K967+VLOOKUP(A967,'Fleet register'!$A$7:$S$106,15,FALSE)+VLOOKUP(A967,'Fleet register'!$A$7:$S$106,16,FALSE),0),"n.a."))</f>
        <v>0</v>
      </c>
      <c r="S967" s="1">
        <f>IF(NOT(Paths!$C$94=1),0,IF(Paths!$P$94="Complete",IF(C967=0,0,Paths!$S$94*Paths!$R$94),"n.a."))</f>
        <v>0</v>
      </c>
      <c r="T967" s="1">
        <f>IF(NOT(Paths!$C$94=1),0,IF(Paths!$P$94="Complete",IF(C967=0,0,VLOOKUP(A967,'Fleet register'!$A$7:$S$106,9,FALSE)*Paths!$R$94),"n.a."))</f>
        <v>0</v>
      </c>
    </row>
    <row r="968" spans="1:20" ht="24" customHeight="1">
      <c r="A968" s="1" t="str">
        <f>Paths!$A$94</f>
        <v>T022</v>
      </c>
      <c r="B968" s="1">
        <f>Paths!$B$94</f>
        <v>3</v>
      </c>
      <c r="C968" s="1">
        <v>4</v>
      </c>
      <c r="D968" s="1">
        <v>94</v>
      </c>
      <c r="E968" s="1">
        <f>IF(OR(Paths!$C$94=0,C968=0),0,MAX(0,MIN(C968*12,Paths!$E$94)-(C968-1)*12))</f>
        <v>0</v>
      </c>
      <c r="F968" s="1">
        <f>IF(OR(Paths!$C$94=0,C968=0),0,12-E968)</f>
        <v>0</v>
      </c>
      <c r="G968" s="16">
        <f>IF(NOT(Paths!$C$94=1),0,IF(Paths!$P$94="Complete",E968/12*(Paths!$J$94*(1+'Operating costs'!$B$51)^MAX(0,C968-1)+Paths!$K$94*(1+'Operating costs'!$B$53)^MAX(0,C968-1)),"n.a."))</f>
        <v>0</v>
      </c>
      <c r="H968" s="16">
        <f>IF(NOT(Paths!$C$94=1),0,IF(Paths!$P$94="Complete",F968/12*(Paths!$L$94*(1+IF(Paths!$D$94="EV",'Operating costs'!$B$52,'Operating costs'!$B$51))^MAX(0,C968-1)+Paths!$M$94*(1+'Operating costs'!$B$53)^MAX(0,C968-1)),"n.a."))</f>
        <v>0</v>
      </c>
      <c r="I968" s="16">
        <f>IF(NOT(Paths!$C$94=1),0,IF(Paths!$P$94="Complete",IF(IF(Paths!$E$94=0,C968=0,AND(C968&gt;0,Paths!$E$94&gt;(C968-1)*12,Paths!$E$94&lt;=C968*12)),Paths!$G$94,0),"n.a."))</f>
        <v>0</v>
      </c>
      <c r="J968" s="16">
        <f>IF(NOT(Paths!$C$94=1),0,IF(Paths!$P$94="Complete",IF(IF(Paths!$E$94=0,C968=0,AND(C968&gt;0,Paths!$E$94&gt;(C968-1)*12,Paths!$E$94&lt;=C968*12)),Paths!$H$94,0),"n.a."))</f>
        <v>0</v>
      </c>
      <c r="K968" s="16">
        <f>IF(NOT(Paths!$C$94=1),0,IF(Paths!$P$94="Complete",IF(IF(Paths!$O$94=0,C968=0,AND(C968&gt;0,Paths!$O$94&gt;(C968-1)*12,Paths!$O$94&lt;=C968*12)),Paths!$N$94,0),"n.a."))</f>
        <v>0</v>
      </c>
      <c r="L968" s="16">
        <f>IF(NOT(Paths!$C$94=1),0,IF(Paths!$P$94="Complete",IF(C968=10,Paths!$I$94,0),"n.a."))</f>
        <v>0</v>
      </c>
      <c r="M968" s="16">
        <f>IF(NOT(Paths!$C$94=1),0,IF(Paths!$P$94="Complete",IF(AND(Paths!$D$94="EV",Paths!$E$94&lt;120,Paths!$E$94+'Operating costs'!$B$65&gt;Paths!$E$94,Paths!$E$94+'Operating costs'!$B$65&lt;=120,IF(Paths!$E$94+'Operating costs'!$B$65=0,C968=0,AND(C968&gt;0,Paths!$E$94+'Operating costs'!$B$65&gt;(C968-1)*12,Paths!$E$94+'Operating costs'!$B$65&lt;=C968*12))),'Operating costs'!$B$64,0)+IF(AND('Operating costs'!$B$67&gt;0,'Operating costs'!$B$67&lt;=120,OR(Paths!$D$94="ICE",'Operating costs'!$B$67&lt;=Paths!$E$94),IF('Operating costs'!$B$67=0,C968=0,AND(C968&gt;0,'Operating costs'!$B$67&gt;(C968-1)*12,'Operating costs'!$B$67&lt;=C968*12))),'Operating costs'!$B$66,0),"n.a."))</f>
        <v>0</v>
      </c>
      <c r="N968" s="16">
        <f>IF(NOT(Paths!$C$94=1),0,IF(Paths!$P$94="Complete",SUM(G968:I968)-J968-K968-L968+M968+IF(C968=0,Paths!$F$94,0)+IF(IF(Paths!$E$94=0,C968=0,AND(C968&gt;0,Paths!$E$94&gt;(C968-1)*12,Paths!$E$94&lt;=C968*12)),VLOOKUP(A968,'Fleet register'!$A$7:$S$106,16,FALSE),0),"n.a."))</f>
        <v>0</v>
      </c>
      <c r="O968" s="16">
        <f>IF(NOT(Paths!$C$94=1),0,IF(Paths!$P$94="Complete",N968-IF(C968=0,Paths!$F$94,0),"n.a."))</f>
        <v>0</v>
      </c>
      <c r="P968" s="16">
        <f>IF(NOT(Paths!$C$94=1),0,IF(Paths!$P$94="Complete",O968+L968,"n.a."))</f>
        <v>0</v>
      </c>
      <c r="Q968" s="16">
        <f>IF(NOT(Paths!$C$94=1),0,IF(Paths!$P$94="Complete",N968*(1+'Operating costs'!$B$54)^-C968,"n.a."))</f>
        <v>0</v>
      </c>
      <c r="R968" s="16">
        <f>IF(NOT(Paths!$C$94=1),0,IF(Paths!$P$94="Complete",IF(AND(C968=0,Paths!$E$94=0),I968-J968-K968+VLOOKUP(A968,'Fleet register'!$A$7:$S$106,15,FALSE)+VLOOKUP(A968,'Fleet register'!$A$7:$S$106,16,FALSE),0),"n.a."))</f>
        <v>0</v>
      </c>
      <c r="S968" s="1">
        <f>IF(NOT(Paths!$C$94=1),0,IF(Paths!$P$94="Complete",IF(C968=0,0,Paths!$S$94*Paths!$R$94),"n.a."))</f>
        <v>0</v>
      </c>
      <c r="T968" s="1">
        <f>IF(NOT(Paths!$C$94=1),0,IF(Paths!$P$94="Complete",IF(C968=0,0,VLOOKUP(A968,'Fleet register'!$A$7:$S$106,9,FALSE)*Paths!$R$94),"n.a."))</f>
        <v>0</v>
      </c>
    </row>
    <row r="969" spans="1:20" ht="24" customHeight="1">
      <c r="A969" s="1" t="str">
        <f>Paths!$A$94</f>
        <v>T022</v>
      </c>
      <c r="B969" s="1">
        <f>Paths!$B$94</f>
        <v>3</v>
      </c>
      <c r="C969" s="1">
        <v>5</v>
      </c>
      <c r="D969" s="1">
        <v>94</v>
      </c>
      <c r="E969" s="1">
        <f>IF(OR(Paths!$C$94=0,C969=0),0,MAX(0,MIN(C969*12,Paths!$E$94)-(C969-1)*12))</f>
        <v>0</v>
      </c>
      <c r="F969" s="1">
        <f>IF(OR(Paths!$C$94=0,C969=0),0,12-E969)</f>
        <v>0</v>
      </c>
      <c r="G969" s="16">
        <f>IF(NOT(Paths!$C$94=1),0,IF(Paths!$P$94="Complete",E969/12*(Paths!$J$94*(1+'Operating costs'!$B$51)^MAX(0,C969-1)+Paths!$K$94*(1+'Operating costs'!$B$53)^MAX(0,C969-1)),"n.a."))</f>
        <v>0</v>
      </c>
      <c r="H969" s="16">
        <f>IF(NOT(Paths!$C$94=1),0,IF(Paths!$P$94="Complete",F969/12*(Paths!$L$94*(1+IF(Paths!$D$94="EV",'Operating costs'!$B$52,'Operating costs'!$B$51))^MAX(0,C969-1)+Paths!$M$94*(1+'Operating costs'!$B$53)^MAX(0,C969-1)),"n.a."))</f>
        <v>0</v>
      </c>
      <c r="I969" s="16">
        <f>IF(NOT(Paths!$C$94=1),0,IF(Paths!$P$94="Complete",IF(IF(Paths!$E$94=0,C969=0,AND(C969&gt;0,Paths!$E$94&gt;(C969-1)*12,Paths!$E$94&lt;=C969*12)),Paths!$G$94,0),"n.a."))</f>
        <v>0</v>
      </c>
      <c r="J969" s="16">
        <f>IF(NOT(Paths!$C$94=1),0,IF(Paths!$P$94="Complete",IF(IF(Paths!$E$94=0,C969=0,AND(C969&gt;0,Paths!$E$94&gt;(C969-1)*12,Paths!$E$94&lt;=C969*12)),Paths!$H$94,0),"n.a."))</f>
        <v>0</v>
      </c>
      <c r="K969" s="16">
        <f>IF(NOT(Paths!$C$94=1),0,IF(Paths!$P$94="Complete",IF(IF(Paths!$O$94=0,C969=0,AND(C969&gt;0,Paths!$O$94&gt;(C969-1)*12,Paths!$O$94&lt;=C969*12)),Paths!$N$94,0),"n.a."))</f>
        <v>0</v>
      </c>
      <c r="L969" s="16">
        <f>IF(NOT(Paths!$C$94=1),0,IF(Paths!$P$94="Complete",IF(C969=10,Paths!$I$94,0),"n.a."))</f>
        <v>0</v>
      </c>
      <c r="M969" s="16">
        <f>IF(NOT(Paths!$C$94=1),0,IF(Paths!$P$94="Complete",IF(AND(Paths!$D$94="EV",Paths!$E$94&lt;120,Paths!$E$94+'Operating costs'!$B$65&gt;Paths!$E$94,Paths!$E$94+'Operating costs'!$B$65&lt;=120,IF(Paths!$E$94+'Operating costs'!$B$65=0,C969=0,AND(C969&gt;0,Paths!$E$94+'Operating costs'!$B$65&gt;(C969-1)*12,Paths!$E$94+'Operating costs'!$B$65&lt;=C969*12))),'Operating costs'!$B$64,0)+IF(AND('Operating costs'!$B$67&gt;0,'Operating costs'!$B$67&lt;=120,OR(Paths!$D$94="ICE",'Operating costs'!$B$67&lt;=Paths!$E$94),IF('Operating costs'!$B$67=0,C969=0,AND(C969&gt;0,'Operating costs'!$B$67&gt;(C969-1)*12,'Operating costs'!$B$67&lt;=C969*12))),'Operating costs'!$B$66,0),"n.a."))</f>
        <v>0</v>
      </c>
      <c r="N969" s="16">
        <f>IF(NOT(Paths!$C$94=1),0,IF(Paths!$P$94="Complete",SUM(G969:I969)-J969-K969-L969+M969+IF(C969=0,Paths!$F$94,0)+IF(IF(Paths!$E$94=0,C969=0,AND(C969&gt;0,Paths!$E$94&gt;(C969-1)*12,Paths!$E$94&lt;=C969*12)),VLOOKUP(A969,'Fleet register'!$A$7:$S$106,16,FALSE),0),"n.a."))</f>
        <v>0</v>
      </c>
      <c r="O969" s="16">
        <f>IF(NOT(Paths!$C$94=1),0,IF(Paths!$P$94="Complete",N969-IF(C969=0,Paths!$F$94,0),"n.a."))</f>
        <v>0</v>
      </c>
      <c r="P969" s="16">
        <f>IF(NOT(Paths!$C$94=1),0,IF(Paths!$P$94="Complete",O969+L969,"n.a."))</f>
        <v>0</v>
      </c>
      <c r="Q969" s="16">
        <f>IF(NOT(Paths!$C$94=1),0,IF(Paths!$P$94="Complete",N969*(1+'Operating costs'!$B$54)^-C969,"n.a."))</f>
        <v>0</v>
      </c>
      <c r="R969" s="16">
        <f>IF(NOT(Paths!$C$94=1),0,IF(Paths!$P$94="Complete",IF(AND(C969=0,Paths!$E$94=0),I969-J969-K969+VLOOKUP(A969,'Fleet register'!$A$7:$S$106,15,FALSE)+VLOOKUP(A969,'Fleet register'!$A$7:$S$106,16,FALSE),0),"n.a."))</f>
        <v>0</v>
      </c>
      <c r="S969" s="1">
        <f>IF(NOT(Paths!$C$94=1),0,IF(Paths!$P$94="Complete",IF(C969=0,0,Paths!$S$94*Paths!$R$94),"n.a."))</f>
        <v>0</v>
      </c>
      <c r="T969" s="1">
        <f>IF(NOT(Paths!$C$94=1),0,IF(Paths!$P$94="Complete",IF(C969=0,0,VLOOKUP(A969,'Fleet register'!$A$7:$S$106,9,FALSE)*Paths!$R$94),"n.a."))</f>
        <v>0</v>
      </c>
    </row>
    <row r="970" spans="1:20" ht="24" customHeight="1">
      <c r="A970" s="1" t="str">
        <f>Paths!$A$94</f>
        <v>T022</v>
      </c>
      <c r="B970" s="1">
        <f>Paths!$B$94</f>
        <v>3</v>
      </c>
      <c r="C970" s="1">
        <v>6</v>
      </c>
      <c r="D970" s="1">
        <v>94</v>
      </c>
      <c r="E970" s="1">
        <f>IF(OR(Paths!$C$94=0,C970=0),0,MAX(0,MIN(C970*12,Paths!$E$94)-(C970-1)*12))</f>
        <v>0</v>
      </c>
      <c r="F970" s="1">
        <f>IF(OR(Paths!$C$94=0,C970=0),0,12-E970)</f>
        <v>0</v>
      </c>
      <c r="G970" s="16">
        <f>IF(NOT(Paths!$C$94=1),0,IF(Paths!$P$94="Complete",E970/12*(Paths!$J$94*(1+'Operating costs'!$B$51)^MAX(0,C970-1)+Paths!$K$94*(1+'Operating costs'!$B$53)^MAX(0,C970-1)),"n.a."))</f>
        <v>0</v>
      </c>
      <c r="H970" s="16">
        <f>IF(NOT(Paths!$C$94=1),0,IF(Paths!$P$94="Complete",F970/12*(Paths!$L$94*(1+IF(Paths!$D$94="EV",'Operating costs'!$B$52,'Operating costs'!$B$51))^MAX(0,C970-1)+Paths!$M$94*(1+'Operating costs'!$B$53)^MAX(0,C970-1)),"n.a."))</f>
        <v>0</v>
      </c>
      <c r="I970" s="16">
        <f>IF(NOT(Paths!$C$94=1),0,IF(Paths!$P$94="Complete",IF(IF(Paths!$E$94=0,C970=0,AND(C970&gt;0,Paths!$E$94&gt;(C970-1)*12,Paths!$E$94&lt;=C970*12)),Paths!$G$94,0),"n.a."))</f>
        <v>0</v>
      </c>
      <c r="J970" s="16">
        <f>IF(NOT(Paths!$C$94=1),0,IF(Paths!$P$94="Complete",IF(IF(Paths!$E$94=0,C970=0,AND(C970&gt;0,Paths!$E$94&gt;(C970-1)*12,Paths!$E$94&lt;=C970*12)),Paths!$H$94,0),"n.a."))</f>
        <v>0</v>
      </c>
      <c r="K970" s="16">
        <f>IF(NOT(Paths!$C$94=1),0,IF(Paths!$P$94="Complete",IF(IF(Paths!$O$94=0,C970=0,AND(C970&gt;0,Paths!$O$94&gt;(C970-1)*12,Paths!$O$94&lt;=C970*12)),Paths!$N$94,0),"n.a."))</f>
        <v>0</v>
      </c>
      <c r="L970" s="16">
        <f>IF(NOT(Paths!$C$94=1),0,IF(Paths!$P$94="Complete",IF(C970=10,Paths!$I$94,0),"n.a."))</f>
        <v>0</v>
      </c>
      <c r="M970" s="16">
        <f>IF(NOT(Paths!$C$94=1),0,IF(Paths!$P$94="Complete",IF(AND(Paths!$D$94="EV",Paths!$E$94&lt;120,Paths!$E$94+'Operating costs'!$B$65&gt;Paths!$E$94,Paths!$E$94+'Operating costs'!$B$65&lt;=120,IF(Paths!$E$94+'Operating costs'!$B$65=0,C970=0,AND(C970&gt;0,Paths!$E$94+'Operating costs'!$B$65&gt;(C970-1)*12,Paths!$E$94+'Operating costs'!$B$65&lt;=C970*12))),'Operating costs'!$B$64,0)+IF(AND('Operating costs'!$B$67&gt;0,'Operating costs'!$B$67&lt;=120,OR(Paths!$D$94="ICE",'Operating costs'!$B$67&lt;=Paths!$E$94),IF('Operating costs'!$B$67=0,C970=0,AND(C970&gt;0,'Operating costs'!$B$67&gt;(C970-1)*12,'Operating costs'!$B$67&lt;=C970*12))),'Operating costs'!$B$66,0),"n.a."))</f>
        <v>0</v>
      </c>
      <c r="N970" s="16">
        <f>IF(NOT(Paths!$C$94=1),0,IF(Paths!$P$94="Complete",SUM(G970:I970)-J970-K970-L970+M970+IF(C970=0,Paths!$F$94,0)+IF(IF(Paths!$E$94=0,C970=0,AND(C970&gt;0,Paths!$E$94&gt;(C970-1)*12,Paths!$E$94&lt;=C970*12)),VLOOKUP(A970,'Fleet register'!$A$7:$S$106,16,FALSE),0),"n.a."))</f>
        <v>0</v>
      </c>
      <c r="O970" s="16">
        <f>IF(NOT(Paths!$C$94=1),0,IF(Paths!$P$94="Complete",N970-IF(C970=0,Paths!$F$94,0),"n.a."))</f>
        <v>0</v>
      </c>
      <c r="P970" s="16">
        <f>IF(NOT(Paths!$C$94=1),0,IF(Paths!$P$94="Complete",O970+L970,"n.a."))</f>
        <v>0</v>
      </c>
      <c r="Q970" s="16">
        <f>IF(NOT(Paths!$C$94=1),0,IF(Paths!$P$94="Complete",N970*(1+'Operating costs'!$B$54)^-C970,"n.a."))</f>
        <v>0</v>
      </c>
      <c r="R970" s="16">
        <f>IF(NOT(Paths!$C$94=1),0,IF(Paths!$P$94="Complete",IF(AND(C970=0,Paths!$E$94=0),I970-J970-K970+VLOOKUP(A970,'Fleet register'!$A$7:$S$106,15,FALSE)+VLOOKUP(A970,'Fleet register'!$A$7:$S$106,16,FALSE),0),"n.a."))</f>
        <v>0</v>
      </c>
      <c r="S970" s="1">
        <f>IF(NOT(Paths!$C$94=1),0,IF(Paths!$P$94="Complete",IF(C970=0,0,Paths!$S$94*Paths!$R$94),"n.a."))</f>
        <v>0</v>
      </c>
      <c r="T970" s="1">
        <f>IF(NOT(Paths!$C$94=1),0,IF(Paths!$P$94="Complete",IF(C970=0,0,VLOOKUP(A970,'Fleet register'!$A$7:$S$106,9,FALSE)*Paths!$R$94),"n.a."))</f>
        <v>0</v>
      </c>
    </row>
    <row r="971" spans="1:20" ht="24" customHeight="1">
      <c r="A971" s="1" t="str">
        <f>Paths!$A$94</f>
        <v>T022</v>
      </c>
      <c r="B971" s="1">
        <f>Paths!$B$94</f>
        <v>3</v>
      </c>
      <c r="C971" s="1">
        <v>7</v>
      </c>
      <c r="D971" s="1">
        <v>94</v>
      </c>
      <c r="E971" s="1">
        <f>IF(OR(Paths!$C$94=0,C971=0),0,MAX(0,MIN(C971*12,Paths!$E$94)-(C971-1)*12))</f>
        <v>0</v>
      </c>
      <c r="F971" s="1">
        <f>IF(OR(Paths!$C$94=0,C971=0),0,12-E971)</f>
        <v>0</v>
      </c>
      <c r="G971" s="16">
        <f>IF(NOT(Paths!$C$94=1),0,IF(Paths!$P$94="Complete",E971/12*(Paths!$J$94*(1+'Operating costs'!$B$51)^MAX(0,C971-1)+Paths!$K$94*(1+'Operating costs'!$B$53)^MAX(0,C971-1)),"n.a."))</f>
        <v>0</v>
      </c>
      <c r="H971" s="16">
        <f>IF(NOT(Paths!$C$94=1),0,IF(Paths!$P$94="Complete",F971/12*(Paths!$L$94*(1+IF(Paths!$D$94="EV",'Operating costs'!$B$52,'Operating costs'!$B$51))^MAX(0,C971-1)+Paths!$M$94*(1+'Operating costs'!$B$53)^MAX(0,C971-1)),"n.a."))</f>
        <v>0</v>
      </c>
      <c r="I971" s="16">
        <f>IF(NOT(Paths!$C$94=1),0,IF(Paths!$P$94="Complete",IF(IF(Paths!$E$94=0,C971=0,AND(C971&gt;0,Paths!$E$94&gt;(C971-1)*12,Paths!$E$94&lt;=C971*12)),Paths!$G$94,0),"n.a."))</f>
        <v>0</v>
      </c>
      <c r="J971" s="16">
        <f>IF(NOT(Paths!$C$94=1),0,IF(Paths!$P$94="Complete",IF(IF(Paths!$E$94=0,C971=0,AND(C971&gt;0,Paths!$E$94&gt;(C971-1)*12,Paths!$E$94&lt;=C971*12)),Paths!$H$94,0),"n.a."))</f>
        <v>0</v>
      </c>
      <c r="K971" s="16">
        <f>IF(NOT(Paths!$C$94=1),0,IF(Paths!$P$94="Complete",IF(IF(Paths!$O$94=0,C971=0,AND(C971&gt;0,Paths!$O$94&gt;(C971-1)*12,Paths!$O$94&lt;=C971*12)),Paths!$N$94,0),"n.a."))</f>
        <v>0</v>
      </c>
      <c r="L971" s="16">
        <f>IF(NOT(Paths!$C$94=1),0,IF(Paths!$P$94="Complete",IF(C971=10,Paths!$I$94,0),"n.a."))</f>
        <v>0</v>
      </c>
      <c r="M971" s="16">
        <f>IF(NOT(Paths!$C$94=1),0,IF(Paths!$P$94="Complete",IF(AND(Paths!$D$94="EV",Paths!$E$94&lt;120,Paths!$E$94+'Operating costs'!$B$65&gt;Paths!$E$94,Paths!$E$94+'Operating costs'!$B$65&lt;=120,IF(Paths!$E$94+'Operating costs'!$B$65=0,C971=0,AND(C971&gt;0,Paths!$E$94+'Operating costs'!$B$65&gt;(C971-1)*12,Paths!$E$94+'Operating costs'!$B$65&lt;=C971*12))),'Operating costs'!$B$64,0)+IF(AND('Operating costs'!$B$67&gt;0,'Operating costs'!$B$67&lt;=120,OR(Paths!$D$94="ICE",'Operating costs'!$B$67&lt;=Paths!$E$94),IF('Operating costs'!$B$67=0,C971=0,AND(C971&gt;0,'Operating costs'!$B$67&gt;(C971-1)*12,'Operating costs'!$B$67&lt;=C971*12))),'Operating costs'!$B$66,0),"n.a."))</f>
        <v>0</v>
      </c>
      <c r="N971" s="16">
        <f>IF(NOT(Paths!$C$94=1),0,IF(Paths!$P$94="Complete",SUM(G971:I971)-J971-K971-L971+M971+IF(C971=0,Paths!$F$94,0)+IF(IF(Paths!$E$94=0,C971=0,AND(C971&gt;0,Paths!$E$94&gt;(C971-1)*12,Paths!$E$94&lt;=C971*12)),VLOOKUP(A971,'Fleet register'!$A$7:$S$106,16,FALSE),0),"n.a."))</f>
        <v>0</v>
      </c>
      <c r="O971" s="16">
        <f>IF(NOT(Paths!$C$94=1),0,IF(Paths!$P$94="Complete",N971-IF(C971=0,Paths!$F$94,0),"n.a."))</f>
        <v>0</v>
      </c>
      <c r="P971" s="16">
        <f>IF(NOT(Paths!$C$94=1),0,IF(Paths!$P$94="Complete",O971+L971,"n.a."))</f>
        <v>0</v>
      </c>
      <c r="Q971" s="16">
        <f>IF(NOT(Paths!$C$94=1),0,IF(Paths!$P$94="Complete",N971*(1+'Operating costs'!$B$54)^-C971,"n.a."))</f>
        <v>0</v>
      </c>
      <c r="R971" s="16">
        <f>IF(NOT(Paths!$C$94=1),0,IF(Paths!$P$94="Complete",IF(AND(C971=0,Paths!$E$94=0),I971-J971-K971+VLOOKUP(A971,'Fleet register'!$A$7:$S$106,15,FALSE)+VLOOKUP(A971,'Fleet register'!$A$7:$S$106,16,FALSE),0),"n.a."))</f>
        <v>0</v>
      </c>
      <c r="S971" s="1">
        <f>IF(NOT(Paths!$C$94=1),0,IF(Paths!$P$94="Complete",IF(C971=0,0,Paths!$S$94*Paths!$R$94),"n.a."))</f>
        <v>0</v>
      </c>
      <c r="T971" s="1">
        <f>IF(NOT(Paths!$C$94=1),0,IF(Paths!$P$94="Complete",IF(C971=0,0,VLOOKUP(A971,'Fleet register'!$A$7:$S$106,9,FALSE)*Paths!$R$94),"n.a."))</f>
        <v>0</v>
      </c>
    </row>
    <row r="972" spans="1:20" ht="24" customHeight="1">
      <c r="A972" s="1" t="str">
        <f>Paths!$A$94</f>
        <v>T022</v>
      </c>
      <c r="B972" s="1">
        <f>Paths!$B$94</f>
        <v>3</v>
      </c>
      <c r="C972" s="1">
        <v>8</v>
      </c>
      <c r="D972" s="1">
        <v>94</v>
      </c>
      <c r="E972" s="1">
        <f>IF(OR(Paths!$C$94=0,C972=0),0,MAX(0,MIN(C972*12,Paths!$E$94)-(C972-1)*12))</f>
        <v>0</v>
      </c>
      <c r="F972" s="1">
        <f>IF(OR(Paths!$C$94=0,C972=0),0,12-E972)</f>
        <v>0</v>
      </c>
      <c r="G972" s="16">
        <f>IF(NOT(Paths!$C$94=1),0,IF(Paths!$P$94="Complete",E972/12*(Paths!$J$94*(1+'Operating costs'!$B$51)^MAX(0,C972-1)+Paths!$K$94*(1+'Operating costs'!$B$53)^MAX(0,C972-1)),"n.a."))</f>
        <v>0</v>
      </c>
      <c r="H972" s="16">
        <f>IF(NOT(Paths!$C$94=1),0,IF(Paths!$P$94="Complete",F972/12*(Paths!$L$94*(1+IF(Paths!$D$94="EV",'Operating costs'!$B$52,'Operating costs'!$B$51))^MAX(0,C972-1)+Paths!$M$94*(1+'Operating costs'!$B$53)^MAX(0,C972-1)),"n.a."))</f>
        <v>0</v>
      </c>
      <c r="I972" s="16">
        <f>IF(NOT(Paths!$C$94=1),0,IF(Paths!$P$94="Complete",IF(IF(Paths!$E$94=0,C972=0,AND(C972&gt;0,Paths!$E$94&gt;(C972-1)*12,Paths!$E$94&lt;=C972*12)),Paths!$G$94,0),"n.a."))</f>
        <v>0</v>
      </c>
      <c r="J972" s="16">
        <f>IF(NOT(Paths!$C$94=1),0,IF(Paths!$P$94="Complete",IF(IF(Paths!$E$94=0,C972=0,AND(C972&gt;0,Paths!$E$94&gt;(C972-1)*12,Paths!$E$94&lt;=C972*12)),Paths!$H$94,0),"n.a."))</f>
        <v>0</v>
      </c>
      <c r="K972" s="16">
        <f>IF(NOT(Paths!$C$94=1),0,IF(Paths!$P$94="Complete",IF(IF(Paths!$O$94=0,C972=0,AND(C972&gt;0,Paths!$O$94&gt;(C972-1)*12,Paths!$O$94&lt;=C972*12)),Paths!$N$94,0),"n.a."))</f>
        <v>0</v>
      </c>
      <c r="L972" s="16">
        <f>IF(NOT(Paths!$C$94=1),0,IF(Paths!$P$94="Complete",IF(C972=10,Paths!$I$94,0),"n.a."))</f>
        <v>0</v>
      </c>
      <c r="M972" s="16">
        <f>IF(NOT(Paths!$C$94=1),0,IF(Paths!$P$94="Complete",IF(AND(Paths!$D$94="EV",Paths!$E$94&lt;120,Paths!$E$94+'Operating costs'!$B$65&gt;Paths!$E$94,Paths!$E$94+'Operating costs'!$B$65&lt;=120,IF(Paths!$E$94+'Operating costs'!$B$65=0,C972=0,AND(C972&gt;0,Paths!$E$94+'Operating costs'!$B$65&gt;(C972-1)*12,Paths!$E$94+'Operating costs'!$B$65&lt;=C972*12))),'Operating costs'!$B$64,0)+IF(AND('Operating costs'!$B$67&gt;0,'Operating costs'!$B$67&lt;=120,OR(Paths!$D$94="ICE",'Operating costs'!$B$67&lt;=Paths!$E$94),IF('Operating costs'!$B$67=0,C972=0,AND(C972&gt;0,'Operating costs'!$B$67&gt;(C972-1)*12,'Operating costs'!$B$67&lt;=C972*12))),'Operating costs'!$B$66,0),"n.a."))</f>
        <v>0</v>
      </c>
      <c r="N972" s="16">
        <f>IF(NOT(Paths!$C$94=1),0,IF(Paths!$P$94="Complete",SUM(G972:I972)-J972-K972-L972+M972+IF(C972=0,Paths!$F$94,0)+IF(IF(Paths!$E$94=0,C972=0,AND(C972&gt;0,Paths!$E$94&gt;(C972-1)*12,Paths!$E$94&lt;=C972*12)),VLOOKUP(A972,'Fleet register'!$A$7:$S$106,16,FALSE),0),"n.a."))</f>
        <v>0</v>
      </c>
      <c r="O972" s="16">
        <f>IF(NOT(Paths!$C$94=1),0,IF(Paths!$P$94="Complete",N972-IF(C972=0,Paths!$F$94,0),"n.a."))</f>
        <v>0</v>
      </c>
      <c r="P972" s="16">
        <f>IF(NOT(Paths!$C$94=1),0,IF(Paths!$P$94="Complete",O972+L972,"n.a."))</f>
        <v>0</v>
      </c>
      <c r="Q972" s="16">
        <f>IF(NOT(Paths!$C$94=1),0,IF(Paths!$P$94="Complete",N972*(1+'Operating costs'!$B$54)^-C972,"n.a."))</f>
        <v>0</v>
      </c>
      <c r="R972" s="16">
        <f>IF(NOT(Paths!$C$94=1),0,IF(Paths!$P$94="Complete",IF(AND(C972=0,Paths!$E$94=0),I972-J972-K972+VLOOKUP(A972,'Fleet register'!$A$7:$S$106,15,FALSE)+VLOOKUP(A972,'Fleet register'!$A$7:$S$106,16,FALSE),0),"n.a."))</f>
        <v>0</v>
      </c>
      <c r="S972" s="1">
        <f>IF(NOT(Paths!$C$94=1),0,IF(Paths!$P$94="Complete",IF(C972=0,0,Paths!$S$94*Paths!$R$94),"n.a."))</f>
        <v>0</v>
      </c>
      <c r="T972" s="1">
        <f>IF(NOT(Paths!$C$94=1),0,IF(Paths!$P$94="Complete",IF(C972=0,0,VLOOKUP(A972,'Fleet register'!$A$7:$S$106,9,FALSE)*Paths!$R$94),"n.a."))</f>
        <v>0</v>
      </c>
    </row>
    <row r="973" spans="1:20" ht="24" customHeight="1">
      <c r="A973" s="1" t="str">
        <f>Paths!$A$94</f>
        <v>T022</v>
      </c>
      <c r="B973" s="1">
        <f>Paths!$B$94</f>
        <v>3</v>
      </c>
      <c r="C973" s="1">
        <v>9</v>
      </c>
      <c r="D973" s="1">
        <v>94</v>
      </c>
      <c r="E973" s="1">
        <f>IF(OR(Paths!$C$94=0,C973=0),0,MAX(0,MIN(C973*12,Paths!$E$94)-(C973-1)*12))</f>
        <v>0</v>
      </c>
      <c r="F973" s="1">
        <f>IF(OR(Paths!$C$94=0,C973=0),0,12-E973)</f>
        <v>0</v>
      </c>
      <c r="G973" s="16">
        <f>IF(NOT(Paths!$C$94=1),0,IF(Paths!$P$94="Complete",E973/12*(Paths!$J$94*(1+'Operating costs'!$B$51)^MAX(0,C973-1)+Paths!$K$94*(1+'Operating costs'!$B$53)^MAX(0,C973-1)),"n.a."))</f>
        <v>0</v>
      </c>
      <c r="H973" s="16">
        <f>IF(NOT(Paths!$C$94=1),0,IF(Paths!$P$94="Complete",F973/12*(Paths!$L$94*(1+IF(Paths!$D$94="EV",'Operating costs'!$B$52,'Operating costs'!$B$51))^MAX(0,C973-1)+Paths!$M$94*(1+'Operating costs'!$B$53)^MAX(0,C973-1)),"n.a."))</f>
        <v>0</v>
      </c>
      <c r="I973" s="16">
        <f>IF(NOT(Paths!$C$94=1),0,IF(Paths!$P$94="Complete",IF(IF(Paths!$E$94=0,C973=0,AND(C973&gt;0,Paths!$E$94&gt;(C973-1)*12,Paths!$E$94&lt;=C973*12)),Paths!$G$94,0),"n.a."))</f>
        <v>0</v>
      </c>
      <c r="J973" s="16">
        <f>IF(NOT(Paths!$C$94=1),0,IF(Paths!$P$94="Complete",IF(IF(Paths!$E$94=0,C973=0,AND(C973&gt;0,Paths!$E$94&gt;(C973-1)*12,Paths!$E$94&lt;=C973*12)),Paths!$H$94,0),"n.a."))</f>
        <v>0</v>
      </c>
      <c r="K973" s="16">
        <f>IF(NOT(Paths!$C$94=1),0,IF(Paths!$P$94="Complete",IF(IF(Paths!$O$94=0,C973=0,AND(C973&gt;0,Paths!$O$94&gt;(C973-1)*12,Paths!$O$94&lt;=C973*12)),Paths!$N$94,0),"n.a."))</f>
        <v>0</v>
      </c>
      <c r="L973" s="16">
        <f>IF(NOT(Paths!$C$94=1),0,IF(Paths!$P$94="Complete",IF(C973=10,Paths!$I$94,0),"n.a."))</f>
        <v>0</v>
      </c>
      <c r="M973" s="16">
        <f>IF(NOT(Paths!$C$94=1),0,IF(Paths!$P$94="Complete",IF(AND(Paths!$D$94="EV",Paths!$E$94&lt;120,Paths!$E$94+'Operating costs'!$B$65&gt;Paths!$E$94,Paths!$E$94+'Operating costs'!$B$65&lt;=120,IF(Paths!$E$94+'Operating costs'!$B$65=0,C973=0,AND(C973&gt;0,Paths!$E$94+'Operating costs'!$B$65&gt;(C973-1)*12,Paths!$E$94+'Operating costs'!$B$65&lt;=C973*12))),'Operating costs'!$B$64,0)+IF(AND('Operating costs'!$B$67&gt;0,'Operating costs'!$B$67&lt;=120,OR(Paths!$D$94="ICE",'Operating costs'!$B$67&lt;=Paths!$E$94),IF('Operating costs'!$B$67=0,C973=0,AND(C973&gt;0,'Operating costs'!$B$67&gt;(C973-1)*12,'Operating costs'!$B$67&lt;=C973*12))),'Operating costs'!$B$66,0),"n.a."))</f>
        <v>0</v>
      </c>
      <c r="N973" s="16">
        <f>IF(NOT(Paths!$C$94=1),0,IF(Paths!$P$94="Complete",SUM(G973:I973)-J973-K973-L973+M973+IF(C973=0,Paths!$F$94,0)+IF(IF(Paths!$E$94=0,C973=0,AND(C973&gt;0,Paths!$E$94&gt;(C973-1)*12,Paths!$E$94&lt;=C973*12)),VLOOKUP(A973,'Fleet register'!$A$7:$S$106,16,FALSE),0),"n.a."))</f>
        <v>0</v>
      </c>
      <c r="O973" s="16">
        <f>IF(NOT(Paths!$C$94=1),0,IF(Paths!$P$94="Complete",N973-IF(C973=0,Paths!$F$94,0),"n.a."))</f>
        <v>0</v>
      </c>
      <c r="P973" s="16">
        <f>IF(NOT(Paths!$C$94=1),0,IF(Paths!$P$94="Complete",O973+L973,"n.a."))</f>
        <v>0</v>
      </c>
      <c r="Q973" s="16">
        <f>IF(NOT(Paths!$C$94=1),0,IF(Paths!$P$94="Complete",N973*(1+'Operating costs'!$B$54)^-C973,"n.a."))</f>
        <v>0</v>
      </c>
      <c r="R973" s="16">
        <f>IF(NOT(Paths!$C$94=1),0,IF(Paths!$P$94="Complete",IF(AND(C973=0,Paths!$E$94=0),I973-J973-K973+VLOOKUP(A973,'Fleet register'!$A$7:$S$106,15,FALSE)+VLOOKUP(A973,'Fleet register'!$A$7:$S$106,16,FALSE),0),"n.a."))</f>
        <v>0</v>
      </c>
      <c r="S973" s="1">
        <f>IF(NOT(Paths!$C$94=1),0,IF(Paths!$P$94="Complete",IF(C973=0,0,Paths!$S$94*Paths!$R$94),"n.a."))</f>
        <v>0</v>
      </c>
      <c r="T973" s="1">
        <f>IF(NOT(Paths!$C$94=1),0,IF(Paths!$P$94="Complete",IF(C973=0,0,VLOOKUP(A973,'Fleet register'!$A$7:$S$106,9,FALSE)*Paths!$R$94),"n.a."))</f>
        <v>0</v>
      </c>
    </row>
    <row r="974" spans="1:20" ht="24" customHeight="1">
      <c r="A974" s="1" t="str">
        <f>Paths!$A$94</f>
        <v>T022</v>
      </c>
      <c r="B974" s="1">
        <f>Paths!$B$94</f>
        <v>3</v>
      </c>
      <c r="C974" s="1">
        <v>10</v>
      </c>
      <c r="D974" s="1">
        <v>94</v>
      </c>
      <c r="E974" s="1">
        <f>IF(OR(Paths!$C$94=0,C974=0),0,MAX(0,MIN(C974*12,Paths!$E$94)-(C974-1)*12))</f>
        <v>0</v>
      </c>
      <c r="F974" s="1">
        <f>IF(OR(Paths!$C$94=0,C974=0),0,12-E974)</f>
        <v>0</v>
      </c>
      <c r="G974" s="16">
        <f>IF(NOT(Paths!$C$94=1),0,IF(Paths!$P$94="Complete",E974/12*(Paths!$J$94*(1+'Operating costs'!$B$51)^MAX(0,C974-1)+Paths!$K$94*(1+'Operating costs'!$B$53)^MAX(0,C974-1)),"n.a."))</f>
        <v>0</v>
      </c>
      <c r="H974" s="16">
        <f>IF(NOT(Paths!$C$94=1),0,IF(Paths!$P$94="Complete",F974/12*(Paths!$L$94*(1+IF(Paths!$D$94="EV",'Operating costs'!$B$52,'Operating costs'!$B$51))^MAX(0,C974-1)+Paths!$M$94*(1+'Operating costs'!$B$53)^MAX(0,C974-1)),"n.a."))</f>
        <v>0</v>
      </c>
      <c r="I974" s="16">
        <f>IF(NOT(Paths!$C$94=1),0,IF(Paths!$P$94="Complete",IF(IF(Paths!$E$94=0,C974=0,AND(C974&gt;0,Paths!$E$94&gt;(C974-1)*12,Paths!$E$94&lt;=C974*12)),Paths!$G$94,0),"n.a."))</f>
        <v>0</v>
      </c>
      <c r="J974" s="16">
        <f>IF(NOT(Paths!$C$94=1),0,IF(Paths!$P$94="Complete",IF(IF(Paths!$E$94=0,C974=0,AND(C974&gt;0,Paths!$E$94&gt;(C974-1)*12,Paths!$E$94&lt;=C974*12)),Paths!$H$94,0),"n.a."))</f>
        <v>0</v>
      </c>
      <c r="K974" s="16">
        <f>IF(NOT(Paths!$C$94=1),0,IF(Paths!$P$94="Complete",IF(IF(Paths!$O$94=0,C974=0,AND(C974&gt;0,Paths!$O$94&gt;(C974-1)*12,Paths!$O$94&lt;=C974*12)),Paths!$N$94,0),"n.a."))</f>
        <v>0</v>
      </c>
      <c r="L974" s="16">
        <f>IF(NOT(Paths!$C$94=1),0,IF(Paths!$P$94="Complete",IF(C974=10,Paths!$I$94,0),"n.a."))</f>
        <v>0</v>
      </c>
      <c r="M974" s="16">
        <f>IF(NOT(Paths!$C$94=1),0,IF(Paths!$P$94="Complete",IF(AND(Paths!$D$94="EV",Paths!$E$94&lt;120,Paths!$E$94+'Operating costs'!$B$65&gt;Paths!$E$94,Paths!$E$94+'Operating costs'!$B$65&lt;=120,IF(Paths!$E$94+'Operating costs'!$B$65=0,C974=0,AND(C974&gt;0,Paths!$E$94+'Operating costs'!$B$65&gt;(C974-1)*12,Paths!$E$94+'Operating costs'!$B$65&lt;=C974*12))),'Operating costs'!$B$64,0)+IF(AND('Operating costs'!$B$67&gt;0,'Operating costs'!$B$67&lt;=120,OR(Paths!$D$94="ICE",'Operating costs'!$B$67&lt;=Paths!$E$94),IF('Operating costs'!$B$67=0,C974=0,AND(C974&gt;0,'Operating costs'!$B$67&gt;(C974-1)*12,'Operating costs'!$B$67&lt;=C974*12))),'Operating costs'!$B$66,0),"n.a."))</f>
        <v>0</v>
      </c>
      <c r="N974" s="16">
        <f>IF(NOT(Paths!$C$94=1),0,IF(Paths!$P$94="Complete",SUM(G974:I974)-J974-K974-L974+M974+IF(C974=0,Paths!$F$94,0)+IF(IF(Paths!$E$94=0,C974=0,AND(C974&gt;0,Paths!$E$94&gt;(C974-1)*12,Paths!$E$94&lt;=C974*12)),VLOOKUP(A974,'Fleet register'!$A$7:$S$106,16,FALSE),0),"n.a."))</f>
        <v>0</v>
      </c>
      <c r="O974" s="16">
        <f>IF(NOT(Paths!$C$94=1),0,IF(Paths!$P$94="Complete",N974-IF(C974=0,Paths!$F$94,0),"n.a."))</f>
        <v>0</v>
      </c>
      <c r="P974" s="16">
        <f>IF(NOT(Paths!$C$94=1),0,IF(Paths!$P$94="Complete",O974+L974,"n.a."))</f>
        <v>0</v>
      </c>
      <c r="Q974" s="16">
        <f>IF(NOT(Paths!$C$94=1),0,IF(Paths!$P$94="Complete",N974*(1+'Operating costs'!$B$54)^-C974,"n.a."))</f>
        <v>0</v>
      </c>
      <c r="R974" s="16">
        <f>IF(NOT(Paths!$C$94=1),0,IF(Paths!$P$94="Complete",IF(AND(C974=0,Paths!$E$94=0),I974-J974-K974+VLOOKUP(A974,'Fleet register'!$A$7:$S$106,15,FALSE)+VLOOKUP(A974,'Fleet register'!$A$7:$S$106,16,FALSE),0),"n.a."))</f>
        <v>0</v>
      </c>
      <c r="S974" s="1">
        <f>IF(NOT(Paths!$C$94=1),0,IF(Paths!$P$94="Complete",IF(C974=0,0,Paths!$S$94*Paths!$R$94),"n.a."))</f>
        <v>0</v>
      </c>
      <c r="T974" s="1">
        <f>IF(NOT(Paths!$C$94=1),0,IF(Paths!$P$94="Complete",IF(C974=0,0,VLOOKUP(A974,'Fleet register'!$A$7:$S$106,9,FALSE)*Paths!$R$94),"n.a."))</f>
        <v>0</v>
      </c>
    </row>
    <row r="975" spans="1:20" ht="24" customHeight="1">
      <c r="A975" s="1" t="str">
        <f>Paths!$A$95</f>
        <v>T023</v>
      </c>
      <c r="B975" s="1">
        <f>Paths!$B$95</f>
        <v>0</v>
      </c>
      <c r="C975" s="1">
        <v>0</v>
      </c>
      <c r="D975" s="1">
        <v>95</v>
      </c>
      <c r="E975" s="1">
        <f>IF(OR(Paths!$C$95=0,C975=0),0,MAX(0,MIN(C975*12,Paths!$E$95)-(C975-1)*12))</f>
        <v>0</v>
      </c>
      <c r="F975" s="1">
        <f>IF(OR(Paths!$C$95=0,C975=0),0,12-E975)</f>
        <v>0</v>
      </c>
      <c r="G975" s="16">
        <f>IF(NOT(Paths!$C$95=1),0,IF(Paths!$P$95="Complete",E975/12*(Paths!$J$95*(1+'Operating costs'!$B$51)^MAX(0,C975-1)+Paths!$K$95*(1+'Operating costs'!$B$53)^MAX(0,C975-1)),"n.a."))</f>
        <v>0</v>
      </c>
      <c r="H975" s="16">
        <f>IF(NOT(Paths!$C$95=1),0,IF(Paths!$P$95="Complete",F975/12*(Paths!$L$95*(1+IF(Paths!$D$95="EV",'Operating costs'!$B$52,'Operating costs'!$B$51))^MAX(0,C975-1)+Paths!$M$95*(1+'Operating costs'!$B$53)^MAX(0,C975-1)),"n.a."))</f>
        <v>0</v>
      </c>
      <c r="I975" s="16">
        <f>IF(NOT(Paths!$C$95=1),0,IF(Paths!$P$95="Complete",IF(IF(Paths!$E$95=0,C975=0,AND(C975&gt;0,Paths!$E$95&gt;(C975-1)*12,Paths!$E$95&lt;=C975*12)),Paths!$G$95,0),"n.a."))</f>
        <v>0</v>
      </c>
      <c r="J975" s="16">
        <f>IF(NOT(Paths!$C$95=1),0,IF(Paths!$P$95="Complete",IF(IF(Paths!$E$95=0,C975=0,AND(C975&gt;0,Paths!$E$95&gt;(C975-1)*12,Paths!$E$95&lt;=C975*12)),Paths!$H$95,0),"n.a."))</f>
        <v>0</v>
      </c>
      <c r="K975" s="16">
        <f>IF(NOT(Paths!$C$95=1),0,IF(Paths!$P$95="Complete",IF(IF(Paths!$O$95=0,C975=0,AND(C975&gt;0,Paths!$O$95&gt;(C975-1)*12,Paths!$O$95&lt;=C975*12)),Paths!$N$95,0),"n.a."))</f>
        <v>0</v>
      </c>
      <c r="L975" s="16">
        <f>IF(NOT(Paths!$C$95=1),0,IF(Paths!$P$95="Complete",IF(C975=10,Paths!$I$95,0),"n.a."))</f>
        <v>0</v>
      </c>
      <c r="M975" s="16">
        <f>IF(NOT(Paths!$C$95=1),0,IF(Paths!$P$95="Complete",IF(AND(Paths!$D$95="EV",Paths!$E$95&lt;120,Paths!$E$95+'Operating costs'!$B$65&gt;Paths!$E$95,Paths!$E$95+'Operating costs'!$B$65&lt;=120,IF(Paths!$E$95+'Operating costs'!$B$65=0,C975=0,AND(C975&gt;0,Paths!$E$95+'Operating costs'!$B$65&gt;(C975-1)*12,Paths!$E$95+'Operating costs'!$B$65&lt;=C975*12))),'Operating costs'!$B$64,0)+IF(AND('Operating costs'!$B$67&gt;0,'Operating costs'!$B$67&lt;=120,OR(Paths!$D$95="ICE",'Operating costs'!$B$67&lt;=Paths!$E$95),IF('Operating costs'!$B$67=0,C975=0,AND(C975&gt;0,'Operating costs'!$B$67&gt;(C975-1)*12,'Operating costs'!$B$67&lt;=C975*12))),'Operating costs'!$B$66,0),"n.a."))</f>
        <v>0</v>
      </c>
      <c r="N975" s="16">
        <f>IF(NOT(Paths!$C$95=1),0,IF(Paths!$P$95="Complete",SUM(G975:I975)-J975-K975-L975+M975+IF(C975=0,Paths!$F$95,0)+IF(IF(Paths!$E$95=0,C975=0,AND(C975&gt;0,Paths!$E$95&gt;(C975-1)*12,Paths!$E$95&lt;=C975*12)),VLOOKUP(A975,'Fleet register'!$A$7:$S$106,16,FALSE),0),"n.a."))</f>
        <v>0</v>
      </c>
      <c r="O975" s="16">
        <f>IF(NOT(Paths!$C$95=1),0,IF(Paths!$P$95="Complete",N975-IF(C975=0,Paths!$F$95,0),"n.a."))</f>
        <v>0</v>
      </c>
      <c r="P975" s="16">
        <f>IF(NOT(Paths!$C$95=1),0,IF(Paths!$P$95="Complete",O975+L975,"n.a."))</f>
        <v>0</v>
      </c>
      <c r="Q975" s="16">
        <f>IF(NOT(Paths!$C$95=1),0,IF(Paths!$P$95="Complete",N975*(1+'Operating costs'!$B$54)^-C975,"n.a."))</f>
        <v>0</v>
      </c>
      <c r="R975" s="16">
        <f>IF(NOT(Paths!$C$95=1),0,IF(Paths!$P$95="Complete",IF(AND(C975=0,Paths!$E$95=0),I975-J975-K975+VLOOKUP(A975,'Fleet register'!$A$7:$S$106,15,FALSE)+VLOOKUP(A975,'Fleet register'!$A$7:$S$106,16,FALSE),0),"n.a."))</f>
        <v>0</v>
      </c>
      <c r="S975" s="1">
        <f>IF(NOT(Paths!$C$95=1),0,IF(Paths!$P$95="Complete",IF(C975=0,0,Paths!$S$95*Paths!$R$95),"n.a."))</f>
        <v>0</v>
      </c>
      <c r="T975" s="1">
        <f>IF(NOT(Paths!$C$95=1),0,IF(Paths!$P$95="Complete",IF(C975=0,0,VLOOKUP(A975,'Fleet register'!$A$7:$S$106,9,FALSE)*Paths!$R$95),"n.a."))</f>
        <v>0</v>
      </c>
    </row>
    <row r="976" spans="1:20" ht="24" customHeight="1">
      <c r="A976" s="1" t="str">
        <f>Paths!$A$95</f>
        <v>T023</v>
      </c>
      <c r="B976" s="1">
        <f>Paths!$B$95</f>
        <v>0</v>
      </c>
      <c r="C976" s="1">
        <v>1</v>
      </c>
      <c r="D976" s="1">
        <v>95</v>
      </c>
      <c r="E976" s="1">
        <f>IF(OR(Paths!$C$95=0,C976=0),0,MAX(0,MIN(C976*12,Paths!$E$95)-(C976-1)*12))</f>
        <v>0</v>
      </c>
      <c r="F976" s="1">
        <f>IF(OR(Paths!$C$95=0,C976=0),0,12-E976)</f>
        <v>0</v>
      </c>
      <c r="G976" s="16">
        <f>IF(NOT(Paths!$C$95=1),0,IF(Paths!$P$95="Complete",E976/12*(Paths!$J$95*(1+'Operating costs'!$B$51)^MAX(0,C976-1)+Paths!$K$95*(1+'Operating costs'!$B$53)^MAX(0,C976-1)),"n.a."))</f>
        <v>0</v>
      </c>
      <c r="H976" s="16">
        <f>IF(NOT(Paths!$C$95=1),0,IF(Paths!$P$95="Complete",F976/12*(Paths!$L$95*(1+IF(Paths!$D$95="EV",'Operating costs'!$B$52,'Operating costs'!$B$51))^MAX(0,C976-1)+Paths!$M$95*(1+'Operating costs'!$B$53)^MAX(0,C976-1)),"n.a."))</f>
        <v>0</v>
      </c>
      <c r="I976" s="16">
        <f>IF(NOT(Paths!$C$95=1),0,IF(Paths!$P$95="Complete",IF(IF(Paths!$E$95=0,C976=0,AND(C976&gt;0,Paths!$E$95&gt;(C976-1)*12,Paths!$E$95&lt;=C976*12)),Paths!$G$95,0),"n.a."))</f>
        <v>0</v>
      </c>
      <c r="J976" s="16">
        <f>IF(NOT(Paths!$C$95=1),0,IF(Paths!$P$95="Complete",IF(IF(Paths!$E$95=0,C976=0,AND(C976&gt;0,Paths!$E$95&gt;(C976-1)*12,Paths!$E$95&lt;=C976*12)),Paths!$H$95,0),"n.a."))</f>
        <v>0</v>
      </c>
      <c r="K976" s="16">
        <f>IF(NOT(Paths!$C$95=1),0,IF(Paths!$P$95="Complete",IF(IF(Paths!$O$95=0,C976=0,AND(C976&gt;0,Paths!$O$95&gt;(C976-1)*12,Paths!$O$95&lt;=C976*12)),Paths!$N$95,0),"n.a."))</f>
        <v>0</v>
      </c>
      <c r="L976" s="16">
        <f>IF(NOT(Paths!$C$95=1),0,IF(Paths!$P$95="Complete",IF(C976=10,Paths!$I$95,0),"n.a."))</f>
        <v>0</v>
      </c>
      <c r="M976" s="16">
        <f>IF(NOT(Paths!$C$95=1),0,IF(Paths!$P$95="Complete",IF(AND(Paths!$D$95="EV",Paths!$E$95&lt;120,Paths!$E$95+'Operating costs'!$B$65&gt;Paths!$E$95,Paths!$E$95+'Operating costs'!$B$65&lt;=120,IF(Paths!$E$95+'Operating costs'!$B$65=0,C976=0,AND(C976&gt;0,Paths!$E$95+'Operating costs'!$B$65&gt;(C976-1)*12,Paths!$E$95+'Operating costs'!$B$65&lt;=C976*12))),'Operating costs'!$B$64,0)+IF(AND('Operating costs'!$B$67&gt;0,'Operating costs'!$B$67&lt;=120,OR(Paths!$D$95="ICE",'Operating costs'!$B$67&lt;=Paths!$E$95),IF('Operating costs'!$B$67=0,C976=0,AND(C976&gt;0,'Operating costs'!$B$67&gt;(C976-1)*12,'Operating costs'!$B$67&lt;=C976*12))),'Operating costs'!$B$66,0),"n.a."))</f>
        <v>0</v>
      </c>
      <c r="N976" s="16">
        <f>IF(NOT(Paths!$C$95=1),0,IF(Paths!$P$95="Complete",SUM(G976:I976)-J976-K976-L976+M976+IF(C976=0,Paths!$F$95,0)+IF(IF(Paths!$E$95=0,C976=0,AND(C976&gt;0,Paths!$E$95&gt;(C976-1)*12,Paths!$E$95&lt;=C976*12)),VLOOKUP(A976,'Fleet register'!$A$7:$S$106,16,FALSE),0),"n.a."))</f>
        <v>0</v>
      </c>
      <c r="O976" s="16">
        <f>IF(NOT(Paths!$C$95=1),0,IF(Paths!$P$95="Complete",N976-IF(C976=0,Paths!$F$95,0),"n.a."))</f>
        <v>0</v>
      </c>
      <c r="P976" s="16">
        <f>IF(NOT(Paths!$C$95=1),0,IF(Paths!$P$95="Complete",O976+L976,"n.a."))</f>
        <v>0</v>
      </c>
      <c r="Q976" s="16">
        <f>IF(NOT(Paths!$C$95=1),0,IF(Paths!$P$95="Complete",N976*(1+'Operating costs'!$B$54)^-C976,"n.a."))</f>
        <v>0</v>
      </c>
      <c r="R976" s="16">
        <f>IF(NOT(Paths!$C$95=1),0,IF(Paths!$P$95="Complete",IF(AND(C976=0,Paths!$E$95=0),I976-J976-K976+VLOOKUP(A976,'Fleet register'!$A$7:$S$106,15,FALSE)+VLOOKUP(A976,'Fleet register'!$A$7:$S$106,16,FALSE),0),"n.a."))</f>
        <v>0</v>
      </c>
      <c r="S976" s="1">
        <f>IF(NOT(Paths!$C$95=1),0,IF(Paths!$P$95="Complete",IF(C976=0,0,Paths!$S$95*Paths!$R$95),"n.a."))</f>
        <v>0</v>
      </c>
      <c r="T976" s="1">
        <f>IF(NOT(Paths!$C$95=1),0,IF(Paths!$P$95="Complete",IF(C976=0,0,VLOOKUP(A976,'Fleet register'!$A$7:$S$106,9,FALSE)*Paths!$R$95),"n.a."))</f>
        <v>0</v>
      </c>
    </row>
    <row r="977" spans="1:20" ht="24" customHeight="1">
      <c r="A977" s="1" t="str">
        <f>Paths!$A$95</f>
        <v>T023</v>
      </c>
      <c r="B977" s="1">
        <f>Paths!$B$95</f>
        <v>0</v>
      </c>
      <c r="C977" s="1">
        <v>2</v>
      </c>
      <c r="D977" s="1">
        <v>95</v>
      </c>
      <c r="E977" s="1">
        <f>IF(OR(Paths!$C$95=0,C977=0),0,MAX(0,MIN(C977*12,Paths!$E$95)-(C977-1)*12))</f>
        <v>0</v>
      </c>
      <c r="F977" s="1">
        <f>IF(OR(Paths!$C$95=0,C977=0),0,12-E977)</f>
        <v>0</v>
      </c>
      <c r="G977" s="16">
        <f>IF(NOT(Paths!$C$95=1),0,IF(Paths!$P$95="Complete",E977/12*(Paths!$J$95*(1+'Operating costs'!$B$51)^MAX(0,C977-1)+Paths!$K$95*(1+'Operating costs'!$B$53)^MAX(0,C977-1)),"n.a."))</f>
        <v>0</v>
      </c>
      <c r="H977" s="16">
        <f>IF(NOT(Paths!$C$95=1),0,IF(Paths!$P$95="Complete",F977/12*(Paths!$L$95*(1+IF(Paths!$D$95="EV",'Operating costs'!$B$52,'Operating costs'!$B$51))^MAX(0,C977-1)+Paths!$M$95*(1+'Operating costs'!$B$53)^MAX(0,C977-1)),"n.a."))</f>
        <v>0</v>
      </c>
      <c r="I977" s="16">
        <f>IF(NOT(Paths!$C$95=1),0,IF(Paths!$P$95="Complete",IF(IF(Paths!$E$95=0,C977=0,AND(C977&gt;0,Paths!$E$95&gt;(C977-1)*12,Paths!$E$95&lt;=C977*12)),Paths!$G$95,0),"n.a."))</f>
        <v>0</v>
      </c>
      <c r="J977" s="16">
        <f>IF(NOT(Paths!$C$95=1),0,IF(Paths!$P$95="Complete",IF(IF(Paths!$E$95=0,C977=0,AND(C977&gt;0,Paths!$E$95&gt;(C977-1)*12,Paths!$E$95&lt;=C977*12)),Paths!$H$95,0),"n.a."))</f>
        <v>0</v>
      </c>
      <c r="K977" s="16">
        <f>IF(NOT(Paths!$C$95=1),0,IF(Paths!$P$95="Complete",IF(IF(Paths!$O$95=0,C977=0,AND(C977&gt;0,Paths!$O$95&gt;(C977-1)*12,Paths!$O$95&lt;=C977*12)),Paths!$N$95,0),"n.a."))</f>
        <v>0</v>
      </c>
      <c r="L977" s="16">
        <f>IF(NOT(Paths!$C$95=1),0,IF(Paths!$P$95="Complete",IF(C977=10,Paths!$I$95,0),"n.a."))</f>
        <v>0</v>
      </c>
      <c r="M977" s="16">
        <f>IF(NOT(Paths!$C$95=1),0,IF(Paths!$P$95="Complete",IF(AND(Paths!$D$95="EV",Paths!$E$95&lt;120,Paths!$E$95+'Operating costs'!$B$65&gt;Paths!$E$95,Paths!$E$95+'Operating costs'!$B$65&lt;=120,IF(Paths!$E$95+'Operating costs'!$B$65=0,C977=0,AND(C977&gt;0,Paths!$E$95+'Operating costs'!$B$65&gt;(C977-1)*12,Paths!$E$95+'Operating costs'!$B$65&lt;=C977*12))),'Operating costs'!$B$64,0)+IF(AND('Operating costs'!$B$67&gt;0,'Operating costs'!$B$67&lt;=120,OR(Paths!$D$95="ICE",'Operating costs'!$B$67&lt;=Paths!$E$95),IF('Operating costs'!$B$67=0,C977=0,AND(C977&gt;0,'Operating costs'!$B$67&gt;(C977-1)*12,'Operating costs'!$B$67&lt;=C977*12))),'Operating costs'!$B$66,0),"n.a."))</f>
        <v>0</v>
      </c>
      <c r="N977" s="16">
        <f>IF(NOT(Paths!$C$95=1),0,IF(Paths!$P$95="Complete",SUM(G977:I977)-J977-K977-L977+M977+IF(C977=0,Paths!$F$95,0)+IF(IF(Paths!$E$95=0,C977=0,AND(C977&gt;0,Paths!$E$95&gt;(C977-1)*12,Paths!$E$95&lt;=C977*12)),VLOOKUP(A977,'Fleet register'!$A$7:$S$106,16,FALSE),0),"n.a."))</f>
        <v>0</v>
      </c>
      <c r="O977" s="16">
        <f>IF(NOT(Paths!$C$95=1),0,IF(Paths!$P$95="Complete",N977-IF(C977=0,Paths!$F$95,0),"n.a."))</f>
        <v>0</v>
      </c>
      <c r="P977" s="16">
        <f>IF(NOT(Paths!$C$95=1),0,IF(Paths!$P$95="Complete",O977+L977,"n.a."))</f>
        <v>0</v>
      </c>
      <c r="Q977" s="16">
        <f>IF(NOT(Paths!$C$95=1),0,IF(Paths!$P$95="Complete",N977*(1+'Operating costs'!$B$54)^-C977,"n.a."))</f>
        <v>0</v>
      </c>
      <c r="R977" s="16">
        <f>IF(NOT(Paths!$C$95=1),0,IF(Paths!$P$95="Complete",IF(AND(C977=0,Paths!$E$95=0),I977-J977-K977+VLOOKUP(A977,'Fleet register'!$A$7:$S$106,15,FALSE)+VLOOKUP(A977,'Fleet register'!$A$7:$S$106,16,FALSE),0),"n.a."))</f>
        <v>0</v>
      </c>
      <c r="S977" s="1">
        <f>IF(NOT(Paths!$C$95=1),0,IF(Paths!$P$95="Complete",IF(C977=0,0,Paths!$S$95*Paths!$R$95),"n.a."))</f>
        <v>0</v>
      </c>
      <c r="T977" s="1">
        <f>IF(NOT(Paths!$C$95=1),0,IF(Paths!$P$95="Complete",IF(C977=0,0,VLOOKUP(A977,'Fleet register'!$A$7:$S$106,9,FALSE)*Paths!$R$95),"n.a."))</f>
        <v>0</v>
      </c>
    </row>
    <row r="978" spans="1:20" ht="24" customHeight="1">
      <c r="A978" s="1" t="str">
        <f>Paths!$A$95</f>
        <v>T023</v>
      </c>
      <c r="B978" s="1">
        <f>Paths!$B$95</f>
        <v>0</v>
      </c>
      <c r="C978" s="1">
        <v>3</v>
      </c>
      <c r="D978" s="1">
        <v>95</v>
      </c>
      <c r="E978" s="1">
        <f>IF(OR(Paths!$C$95=0,C978=0),0,MAX(0,MIN(C978*12,Paths!$E$95)-(C978-1)*12))</f>
        <v>0</v>
      </c>
      <c r="F978" s="1">
        <f>IF(OR(Paths!$C$95=0,C978=0),0,12-E978)</f>
        <v>0</v>
      </c>
      <c r="G978" s="16">
        <f>IF(NOT(Paths!$C$95=1),0,IF(Paths!$P$95="Complete",E978/12*(Paths!$J$95*(1+'Operating costs'!$B$51)^MAX(0,C978-1)+Paths!$K$95*(1+'Operating costs'!$B$53)^MAX(0,C978-1)),"n.a."))</f>
        <v>0</v>
      </c>
      <c r="H978" s="16">
        <f>IF(NOT(Paths!$C$95=1),0,IF(Paths!$P$95="Complete",F978/12*(Paths!$L$95*(1+IF(Paths!$D$95="EV",'Operating costs'!$B$52,'Operating costs'!$B$51))^MAX(0,C978-1)+Paths!$M$95*(1+'Operating costs'!$B$53)^MAX(0,C978-1)),"n.a."))</f>
        <v>0</v>
      </c>
      <c r="I978" s="16">
        <f>IF(NOT(Paths!$C$95=1),0,IF(Paths!$P$95="Complete",IF(IF(Paths!$E$95=0,C978=0,AND(C978&gt;0,Paths!$E$95&gt;(C978-1)*12,Paths!$E$95&lt;=C978*12)),Paths!$G$95,0),"n.a."))</f>
        <v>0</v>
      </c>
      <c r="J978" s="16">
        <f>IF(NOT(Paths!$C$95=1),0,IF(Paths!$P$95="Complete",IF(IF(Paths!$E$95=0,C978=0,AND(C978&gt;0,Paths!$E$95&gt;(C978-1)*12,Paths!$E$95&lt;=C978*12)),Paths!$H$95,0),"n.a."))</f>
        <v>0</v>
      </c>
      <c r="K978" s="16">
        <f>IF(NOT(Paths!$C$95=1),0,IF(Paths!$P$95="Complete",IF(IF(Paths!$O$95=0,C978=0,AND(C978&gt;0,Paths!$O$95&gt;(C978-1)*12,Paths!$O$95&lt;=C978*12)),Paths!$N$95,0),"n.a."))</f>
        <v>0</v>
      </c>
      <c r="L978" s="16">
        <f>IF(NOT(Paths!$C$95=1),0,IF(Paths!$P$95="Complete",IF(C978=10,Paths!$I$95,0),"n.a."))</f>
        <v>0</v>
      </c>
      <c r="M978" s="16">
        <f>IF(NOT(Paths!$C$95=1),0,IF(Paths!$P$95="Complete",IF(AND(Paths!$D$95="EV",Paths!$E$95&lt;120,Paths!$E$95+'Operating costs'!$B$65&gt;Paths!$E$95,Paths!$E$95+'Operating costs'!$B$65&lt;=120,IF(Paths!$E$95+'Operating costs'!$B$65=0,C978=0,AND(C978&gt;0,Paths!$E$95+'Operating costs'!$B$65&gt;(C978-1)*12,Paths!$E$95+'Operating costs'!$B$65&lt;=C978*12))),'Operating costs'!$B$64,0)+IF(AND('Operating costs'!$B$67&gt;0,'Operating costs'!$B$67&lt;=120,OR(Paths!$D$95="ICE",'Operating costs'!$B$67&lt;=Paths!$E$95),IF('Operating costs'!$B$67=0,C978=0,AND(C978&gt;0,'Operating costs'!$B$67&gt;(C978-1)*12,'Operating costs'!$B$67&lt;=C978*12))),'Operating costs'!$B$66,0),"n.a."))</f>
        <v>0</v>
      </c>
      <c r="N978" s="16">
        <f>IF(NOT(Paths!$C$95=1),0,IF(Paths!$P$95="Complete",SUM(G978:I978)-J978-K978-L978+M978+IF(C978=0,Paths!$F$95,0)+IF(IF(Paths!$E$95=0,C978=0,AND(C978&gt;0,Paths!$E$95&gt;(C978-1)*12,Paths!$E$95&lt;=C978*12)),VLOOKUP(A978,'Fleet register'!$A$7:$S$106,16,FALSE),0),"n.a."))</f>
        <v>0</v>
      </c>
      <c r="O978" s="16">
        <f>IF(NOT(Paths!$C$95=1),0,IF(Paths!$P$95="Complete",N978-IF(C978=0,Paths!$F$95,0),"n.a."))</f>
        <v>0</v>
      </c>
      <c r="P978" s="16">
        <f>IF(NOT(Paths!$C$95=1),0,IF(Paths!$P$95="Complete",O978+L978,"n.a."))</f>
        <v>0</v>
      </c>
      <c r="Q978" s="16">
        <f>IF(NOT(Paths!$C$95=1),0,IF(Paths!$P$95="Complete",N978*(1+'Operating costs'!$B$54)^-C978,"n.a."))</f>
        <v>0</v>
      </c>
      <c r="R978" s="16">
        <f>IF(NOT(Paths!$C$95=1),0,IF(Paths!$P$95="Complete",IF(AND(C978=0,Paths!$E$95=0),I978-J978-K978+VLOOKUP(A978,'Fleet register'!$A$7:$S$106,15,FALSE)+VLOOKUP(A978,'Fleet register'!$A$7:$S$106,16,FALSE),0),"n.a."))</f>
        <v>0</v>
      </c>
      <c r="S978" s="1">
        <f>IF(NOT(Paths!$C$95=1),0,IF(Paths!$P$95="Complete",IF(C978=0,0,Paths!$S$95*Paths!$R$95),"n.a."))</f>
        <v>0</v>
      </c>
      <c r="T978" s="1">
        <f>IF(NOT(Paths!$C$95=1),0,IF(Paths!$P$95="Complete",IF(C978=0,0,VLOOKUP(A978,'Fleet register'!$A$7:$S$106,9,FALSE)*Paths!$R$95),"n.a."))</f>
        <v>0</v>
      </c>
    </row>
    <row r="979" spans="1:20" ht="24" customHeight="1">
      <c r="A979" s="1" t="str">
        <f>Paths!$A$95</f>
        <v>T023</v>
      </c>
      <c r="B979" s="1">
        <f>Paths!$B$95</f>
        <v>0</v>
      </c>
      <c r="C979" s="1">
        <v>4</v>
      </c>
      <c r="D979" s="1">
        <v>95</v>
      </c>
      <c r="E979" s="1">
        <f>IF(OR(Paths!$C$95=0,C979=0),0,MAX(0,MIN(C979*12,Paths!$E$95)-(C979-1)*12))</f>
        <v>0</v>
      </c>
      <c r="F979" s="1">
        <f>IF(OR(Paths!$C$95=0,C979=0),0,12-E979)</f>
        <v>0</v>
      </c>
      <c r="G979" s="16">
        <f>IF(NOT(Paths!$C$95=1),0,IF(Paths!$P$95="Complete",E979/12*(Paths!$J$95*(1+'Operating costs'!$B$51)^MAX(0,C979-1)+Paths!$K$95*(1+'Operating costs'!$B$53)^MAX(0,C979-1)),"n.a."))</f>
        <v>0</v>
      </c>
      <c r="H979" s="16">
        <f>IF(NOT(Paths!$C$95=1),0,IF(Paths!$P$95="Complete",F979/12*(Paths!$L$95*(1+IF(Paths!$D$95="EV",'Operating costs'!$B$52,'Operating costs'!$B$51))^MAX(0,C979-1)+Paths!$M$95*(1+'Operating costs'!$B$53)^MAX(0,C979-1)),"n.a."))</f>
        <v>0</v>
      </c>
      <c r="I979" s="16">
        <f>IF(NOT(Paths!$C$95=1),0,IF(Paths!$P$95="Complete",IF(IF(Paths!$E$95=0,C979=0,AND(C979&gt;0,Paths!$E$95&gt;(C979-1)*12,Paths!$E$95&lt;=C979*12)),Paths!$G$95,0),"n.a."))</f>
        <v>0</v>
      </c>
      <c r="J979" s="16">
        <f>IF(NOT(Paths!$C$95=1),0,IF(Paths!$P$95="Complete",IF(IF(Paths!$E$95=0,C979=0,AND(C979&gt;0,Paths!$E$95&gt;(C979-1)*12,Paths!$E$95&lt;=C979*12)),Paths!$H$95,0),"n.a."))</f>
        <v>0</v>
      </c>
      <c r="K979" s="16">
        <f>IF(NOT(Paths!$C$95=1),0,IF(Paths!$P$95="Complete",IF(IF(Paths!$O$95=0,C979=0,AND(C979&gt;0,Paths!$O$95&gt;(C979-1)*12,Paths!$O$95&lt;=C979*12)),Paths!$N$95,0),"n.a."))</f>
        <v>0</v>
      </c>
      <c r="L979" s="16">
        <f>IF(NOT(Paths!$C$95=1),0,IF(Paths!$P$95="Complete",IF(C979=10,Paths!$I$95,0),"n.a."))</f>
        <v>0</v>
      </c>
      <c r="M979" s="16">
        <f>IF(NOT(Paths!$C$95=1),0,IF(Paths!$P$95="Complete",IF(AND(Paths!$D$95="EV",Paths!$E$95&lt;120,Paths!$E$95+'Operating costs'!$B$65&gt;Paths!$E$95,Paths!$E$95+'Operating costs'!$B$65&lt;=120,IF(Paths!$E$95+'Operating costs'!$B$65=0,C979=0,AND(C979&gt;0,Paths!$E$95+'Operating costs'!$B$65&gt;(C979-1)*12,Paths!$E$95+'Operating costs'!$B$65&lt;=C979*12))),'Operating costs'!$B$64,0)+IF(AND('Operating costs'!$B$67&gt;0,'Operating costs'!$B$67&lt;=120,OR(Paths!$D$95="ICE",'Operating costs'!$B$67&lt;=Paths!$E$95),IF('Operating costs'!$B$67=0,C979=0,AND(C979&gt;0,'Operating costs'!$B$67&gt;(C979-1)*12,'Operating costs'!$B$67&lt;=C979*12))),'Operating costs'!$B$66,0),"n.a."))</f>
        <v>0</v>
      </c>
      <c r="N979" s="16">
        <f>IF(NOT(Paths!$C$95=1),0,IF(Paths!$P$95="Complete",SUM(G979:I979)-J979-K979-L979+M979+IF(C979=0,Paths!$F$95,0)+IF(IF(Paths!$E$95=0,C979=0,AND(C979&gt;0,Paths!$E$95&gt;(C979-1)*12,Paths!$E$95&lt;=C979*12)),VLOOKUP(A979,'Fleet register'!$A$7:$S$106,16,FALSE),0),"n.a."))</f>
        <v>0</v>
      </c>
      <c r="O979" s="16">
        <f>IF(NOT(Paths!$C$95=1),0,IF(Paths!$P$95="Complete",N979-IF(C979=0,Paths!$F$95,0),"n.a."))</f>
        <v>0</v>
      </c>
      <c r="P979" s="16">
        <f>IF(NOT(Paths!$C$95=1),0,IF(Paths!$P$95="Complete",O979+L979,"n.a."))</f>
        <v>0</v>
      </c>
      <c r="Q979" s="16">
        <f>IF(NOT(Paths!$C$95=1),0,IF(Paths!$P$95="Complete",N979*(1+'Operating costs'!$B$54)^-C979,"n.a."))</f>
        <v>0</v>
      </c>
      <c r="R979" s="16">
        <f>IF(NOT(Paths!$C$95=1),0,IF(Paths!$P$95="Complete",IF(AND(C979=0,Paths!$E$95=0),I979-J979-K979+VLOOKUP(A979,'Fleet register'!$A$7:$S$106,15,FALSE)+VLOOKUP(A979,'Fleet register'!$A$7:$S$106,16,FALSE),0),"n.a."))</f>
        <v>0</v>
      </c>
      <c r="S979" s="1">
        <f>IF(NOT(Paths!$C$95=1),0,IF(Paths!$P$95="Complete",IF(C979=0,0,Paths!$S$95*Paths!$R$95),"n.a."))</f>
        <v>0</v>
      </c>
      <c r="T979" s="1">
        <f>IF(NOT(Paths!$C$95=1),0,IF(Paths!$P$95="Complete",IF(C979=0,0,VLOOKUP(A979,'Fleet register'!$A$7:$S$106,9,FALSE)*Paths!$R$95),"n.a."))</f>
        <v>0</v>
      </c>
    </row>
    <row r="980" spans="1:20" ht="24" customHeight="1">
      <c r="A980" s="1" t="str">
        <f>Paths!$A$95</f>
        <v>T023</v>
      </c>
      <c r="B980" s="1">
        <f>Paths!$B$95</f>
        <v>0</v>
      </c>
      <c r="C980" s="1">
        <v>5</v>
      </c>
      <c r="D980" s="1">
        <v>95</v>
      </c>
      <c r="E980" s="1">
        <f>IF(OR(Paths!$C$95=0,C980=0),0,MAX(0,MIN(C980*12,Paths!$E$95)-(C980-1)*12))</f>
        <v>0</v>
      </c>
      <c r="F980" s="1">
        <f>IF(OR(Paths!$C$95=0,C980=0),0,12-E980)</f>
        <v>0</v>
      </c>
      <c r="G980" s="16">
        <f>IF(NOT(Paths!$C$95=1),0,IF(Paths!$P$95="Complete",E980/12*(Paths!$J$95*(1+'Operating costs'!$B$51)^MAX(0,C980-1)+Paths!$K$95*(1+'Operating costs'!$B$53)^MAX(0,C980-1)),"n.a."))</f>
        <v>0</v>
      </c>
      <c r="H980" s="16">
        <f>IF(NOT(Paths!$C$95=1),0,IF(Paths!$P$95="Complete",F980/12*(Paths!$L$95*(1+IF(Paths!$D$95="EV",'Operating costs'!$B$52,'Operating costs'!$B$51))^MAX(0,C980-1)+Paths!$M$95*(1+'Operating costs'!$B$53)^MAX(0,C980-1)),"n.a."))</f>
        <v>0</v>
      </c>
      <c r="I980" s="16">
        <f>IF(NOT(Paths!$C$95=1),0,IF(Paths!$P$95="Complete",IF(IF(Paths!$E$95=0,C980=0,AND(C980&gt;0,Paths!$E$95&gt;(C980-1)*12,Paths!$E$95&lt;=C980*12)),Paths!$G$95,0),"n.a."))</f>
        <v>0</v>
      </c>
      <c r="J980" s="16">
        <f>IF(NOT(Paths!$C$95=1),0,IF(Paths!$P$95="Complete",IF(IF(Paths!$E$95=0,C980=0,AND(C980&gt;0,Paths!$E$95&gt;(C980-1)*12,Paths!$E$95&lt;=C980*12)),Paths!$H$95,0),"n.a."))</f>
        <v>0</v>
      </c>
      <c r="K980" s="16">
        <f>IF(NOT(Paths!$C$95=1),0,IF(Paths!$P$95="Complete",IF(IF(Paths!$O$95=0,C980=0,AND(C980&gt;0,Paths!$O$95&gt;(C980-1)*12,Paths!$O$95&lt;=C980*12)),Paths!$N$95,0),"n.a."))</f>
        <v>0</v>
      </c>
      <c r="L980" s="16">
        <f>IF(NOT(Paths!$C$95=1),0,IF(Paths!$P$95="Complete",IF(C980=10,Paths!$I$95,0),"n.a."))</f>
        <v>0</v>
      </c>
      <c r="M980" s="16">
        <f>IF(NOT(Paths!$C$95=1),0,IF(Paths!$P$95="Complete",IF(AND(Paths!$D$95="EV",Paths!$E$95&lt;120,Paths!$E$95+'Operating costs'!$B$65&gt;Paths!$E$95,Paths!$E$95+'Operating costs'!$B$65&lt;=120,IF(Paths!$E$95+'Operating costs'!$B$65=0,C980=0,AND(C980&gt;0,Paths!$E$95+'Operating costs'!$B$65&gt;(C980-1)*12,Paths!$E$95+'Operating costs'!$B$65&lt;=C980*12))),'Operating costs'!$B$64,0)+IF(AND('Operating costs'!$B$67&gt;0,'Operating costs'!$B$67&lt;=120,OR(Paths!$D$95="ICE",'Operating costs'!$B$67&lt;=Paths!$E$95),IF('Operating costs'!$B$67=0,C980=0,AND(C980&gt;0,'Operating costs'!$B$67&gt;(C980-1)*12,'Operating costs'!$B$67&lt;=C980*12))),'Operating costs'!$B$66,0),"n.a."))</f>
        <v>0</v>
      </c>
      <c r="N980" s="16">
        <f>IF(NOT(Paths!$C$95=1),0,IF(Paths!$P$95="Complete",SUM(G980:I980)-J980-K980-L980+M980+IF(C980=0,Paths!$F$95,0)+IF(IF(Paths!$E$95=0,C980=0,AND(C980&gt;0,Paths!$E$95&gt;(C980-1)*12,Paths!$E$95&lt;=C980*12)),VLOOKUP(A980,'Fleet register'!$A$7:$S$106,16,FALSE),0),"n.a."))</f>
        <v>0</v>
      </c>
      <c r="O980" s="16">
        <f>IF(NOT(Paths!$C$95=1),0,IF(Paths!$P$95="Complete",N980-IF(C980=0,Paths!$F$95,0),"n.a."))</f>
        <v>0</v>
      </c>
      <c r="P980" s="16">
        <f>IF(NOT(Paths!$C$95=1),0,IF(Paths!$P$95="Complete",O980+L980,"n.a."))</f>
        <v>0</v>
      </c>
      <c r="Q980" s="16">
        <f>IF(NOT(Paths!$C$95=1),0,IF(Paths!$P$95="Complete",N980*(1+'Operating costs'!$B$54)^-C980,"n.a."))</f>
        <v>0</v>
      </c>
      <c r="R980" s="16">
        <f>IF(NOT(Paths!$C$95=1),0,IF(Paths!$P$95="Complete",IF(AND(C980=0,Paths!$E$95=0),I980-J980-K980+VLOOKUP(A980,'Fleet register'!$A$7:$S$106,15,FALSE)+VLOOKUP(A980,'Fleet register'!$A$7:$S$106,16,FALSE),0),"n.a."))</f>
        <v>0</v>
      </c>
      <c r="S980" s="1">
        <f>IF(NOT(Paths!$C$95=1),0,IF(Paths!$P$95="Complete",IF(C980=0,0,Paths!$S$95*Paths!$R$95),"n.a."))</f>
        <v>0</v>
      </c>
      <c r="T980" s="1">
        <f>IF(NOT(Paths!$C$95=1),0,IF(Paths!$P$95="Complete",IF(C980=0,0,VLOOKUP(A980,'Fleet register'!$A$7:$S$106,9,FALSE)*Paths!$R$95),"n.a."))</f>
        <v>0</v>
      </c>
    </row>
    <row r="981" spans="1:20" ht="24" customHeight="1">
      <c r="A981" s="1" t="str">
        <f>Paths!$A$95</f>
        <v>T023</v>
      </c>
      <c r="B981" s="1">
        <f>Paths!$B$95</f>
        <v>0</v>
      </c>
      <c r="C981" s="1">
        <v>6</v>
      </c>
      <c r="D981" s="1">
        <v>95</v>
      </c>
      <c r="E981" s="1">
        <f>IF(OR(Paths!$C$95=0,C981=0),0,MAX(0,MIN(C981*12,Paths!$E$95)-(C981-1)*12))</f>
        <v>0</v>
      </c>
      <c r="F981" s="1">
        <f>IF(OR(Paths!$C$95=0,C981=0),0,12-E981)</f>
        <v>0</v>
      </c>
      <c r="G981" s="16">
        <f>IF(NOT(Paths!$C$95=1),0,IF(Paths!$P$95="Complete",E981/12*(Paths!$J$95*(1+'Operating costs'!$B$51)^MAX(0,C981-1)+Paths!$K$95*(1+'Operating costs'!$B$53)^MAX(0,C981-1)),"n.a."))</f>
        <v>0</v>
      </c>
      <c r="H981" s="16">
        <f>IF(NOT(Paths!$C$95=1),0,IF(Paths!$P$95="Complete",F981/12*(Paths!$L$95*(1+IF(Paths!$D$95="EV",'Operating costs'!$B$52,'Operating costs'!$B$51))^MAX(0,C981-1)+Paths!$M$95*(1+'Operating costs'!$B$53)^MAX(0,C981-1)),"n.a."))</f>
        <v>0</v>
      </c>
      <c r="I981" s="16">
        <f>IF(NOT(Paths!$C$95=1),0,IF(Paths!$P$95="Complete",IF(IF(Paths!$E$95=0,C981=0,AND(C981&gt;0,Paths!$E$95&gt;(C981-1)*12,Paths!$E$95&lt;=C981*12)),Paths!$G$95,0),"n.a."))</f>
        <v>0</v>
      </c>
      <c r="J981" s="16">
        <f>IF(NOT(Paths!$C$95=1),0,IF(Paths!$P$95="Complete",IF(IF(Paths!$E$95=0,C981=0,AND(C981&gt;0,Paths!$E$95&gt;(C981-1)*12,Paths!$E$95&lt;=C981*12)),Paths!$H$95,0),"n.a."))</f>
        <v>0</v>
      </c>
      <c r="K981" s="16">
        <f>IF(NOT(Paths!$C$95=1),0,IF(Paths!$P$95="Complete",IF(IF(Paths!$O$95=0,C981=0,AND(C981&gt;0,Paths!$O$95&gt;(C981-1)*12,Paths!$O$95&lt;=C981*12)),Paths!$N$95,0),"n.a."))</f>
        <v>0</v>
      </c>
      <c r="L981" s="16">
        <f>IF(NOT(Paths!$C$95=1),0,IF(Paths!$P$95="Complete",IF(C981=10,Paths!$I$95,0),"n.a."))</f>
        <v>0</v>
      </c>
      <c r="M981" s="16">
        <f>IF(NOT(Paths!$C$95=1),0,IF(Paths!$P$95="Complete",IF(AND(Paths!$D$95="EV",Paths!$E$95&lt;120,Paths!$E$95+'Operating costs'!$B$65&gt;Paths!$E$95,Paths!$E$95+'Operating costs'!$B$65&lt;=120,IF(Paths!$E$95+'Operating costs'!$B$65=0,C981=0,AND(C981&gt;0,Paths!$E$95+'Operating costs'!$B$65&gt;(C981-1)*12,Paths!$E$95+'Operating costs'!$B$65&lt;=C981*12))),'Operating costs'!$B$64,0)+IF(AND('Operating costs'!$B$67&gt;0,'Operating costs'!$B$67&lt;=120,OR(Paths!$D$95="ICE",'Operating costs'!$B$67&lt;=Paths!$E$95),IF('Operating costs'!$B$67=0,C981=0,AND(C981&gt;0,'Operating costs'!$B$67&gt;(C981-1)*12,'Operating costs'!$B$67&lt;=C981*12))),'Operating costs'!$B$66,0),"n.a."))</f>
        <v>0</v>
      </c>
      <c r="N981" s="16">
        <f>IF(NOT(Paths!$C$95=1),0,IF(Paths!$P$95="Complete",SUM(G981:I981)-J981-K981-L981+M981+IF(C981=0,Paths!$F$95,0)+IF(IF(Paths!$E$95=0,C981=0,AND(C981&gt;0,Paths!$E$95&gt;(C981-1)*12,Paths!$E$95&lt;=C981*12)),VLOOKUP(A981,'Fleet register'!$A$7:$S$106,16,FALSE),0),"n.a."))</f>
        <v>0</v>
      </c>
      <c r="O981" s="16">
        <f>IF(NOT(Paths!$C$95=1),0,IF(Paths!$P$95="Complete",N981-IF(C981=0,Paths!$F$95,0),"n.a."))</f>
        <v>0</v>
      </c>
      <c r="P981" s="16">
        <f>IF(NOT(Paths!$C$95=1),0,IF(Paths!$P$95="Complete",O981+L981,"n.a."))</f>
        <v>0</v>
      </c>
      <c r="Q981" s="16">
        <f>IF(NOT(Paths!$C$95=1),0,IF(Paths!$P$95="Complete",N981*(1+'Operating costs'!$B$54)^-C981,"n.a."))</f>
        <v>0</v>
      </c>
      <c r="R981" s="16">
        <f>IF(NOT(Paths!$C$95=1),0,IF(Paths!$P$95="Complete",IF(AND(C981=0,Paths!$E$95=0),I981-J981-K981+VLOOKUP(A981,'Fleet register'!$A$7:$S$106,15,FALSE)+VLOOKUP(A981,'Fleet register'!$A$7:$S$106,16,FALSE),0),"n.a."))</f>
        <v>0</v>
      </c>
      <c r="S981" s="1">
        <f>IF(NOT(Paths!$C$95=1),0,IF(Paths!$P$95="Complete",IF(C981=0,0,Paths!$S$95*Paths!$R$95),"n.a."))</f>
        <v>0</v>
      </c>
      <c r="T981" s="1">
        <f>IF(NOT(Paths!$C$95=1),0,IF(Paths!$P$95="Complete",IF(C981=0,0,VLOOKUP(A981,'Fleet register'!$A$7:$S$106,9,FALSE)*Paths!$R$95),"n.a."))</f>
        <v>0</v>
      </c>
    </row>
    <row r="982" spans="1:20" ht="24" customHeight="1">
      <c r="A982" s="1" t="str">
        <f>Paths!$A$95</f>
        <v>T023</v>
      </c>
      <c r="B982" s="1">
        <f>Paths!$B$95</f>
        <v>0</v>
      </c>
      <c r="C982" s="1">
        <v>7</v>
      </c>
      <c r="D982" s="1">
        <v>95</v>
      </c>
      <c r="E982" s="1">
        <f>IF(OR(Paths!$C$95=0,C982=0),0,MAX(0,MIN(C982*12,Paths!$E$95)-(C982-1)*12))</f>
        <v>0</v>
      </c>
      <c r="F982" s="1">
        <f>IF(OR(Paths!$C$95=0,C982=0),0,12-E982)</f>
        <v>0</v>
      </c>
      <c r="G982" s="16">
        <f>IF(NOT(Paths!$C$95=1),0,IF(Paths!$P$95="Complete",E982/12*(Paths!$J$95*(1+'Operating costs'!$B$51)^MAX(0,C982-1)+Paths!$K$95*(1+'Operating costs'!$B$53)^MAX(0,C982-1)),"n.a."))</f>
        <v>0</v>
      </c>
      <c r="H982" s="16">
        <f>IF(NOT(Paths!$C$95=1),0,IF(Paths!$P$95="Complete",F982/12*(Paths!$L$95*(1+IF(Paths!$D$95="EV",'Operating costs'!$B$52,'Operating costs'!$B$51))^MAX(0,C982-1)+Paths!$M$95*(1+'Operating costs'!$B$53)^MAX(0,C982-1)),"n.a."))</f>
        <v>0</v>
      </c>
      <c r="I982" s="16">
        <f>IF(NOT(Paths!$C$95=1),0,IF(Paths!$P$95="Complete",IF(IF(Paths!$E$95=0,C982=0,AND(C982&gt;0,Paths!$E$95&gt;(C982-1)*12,Paths!$E$95&lt;=C982*12)),Paths!$G$95,0),"n.a."))</f>
        <v>0</v>
      </c>
      <c r="J982" s="16">
        <f>IF(NOT(Paths!$C$95=1),0,IF(Paths!$P$95="Complete",IF(IF(Paths!$E$95=0,C982=0,AND(C982&gt;0,Paths!$E$95&gt;(C982-1)*12,Paths!$E$95&lt;=C982*12)),Paths!$H$95,0),"n.a."))</f>
        <v>0</v>
      </c>
      <c r="K982" s="16">
        <f>IF(NOT(Paths!$C$95=1),0,IF(Paths!$P$95="Complete",IF(IF(Paths!$O$95=0,C982=0,AND(C982&gt;0,Paths!$O$95&gt;(C982-1)*12,Paths!$O$95&lt;=C982*12)),Paths!$N$95,0),"n.a."))</f>
        <v>0</v>
      </c>
      <c r="L982" s="16">
        <f>IF(NOT(Paths!$C$95=1),0,IF(Paths!$P$95="Complete",IF(C982=10,Paths!$I$95,0),"n.a."))</f>
        <v>0</v>
      </c>
      <c r="M982" s="16">
        <f>IF(NOT(Paths!$C$95=1),0,IF(Paths!$P$95="Complete",IF(AND(Paths!$D$95="EV",Paths!$E$95&lt;120,Paths!$E$95+'Operating costs'!$B$65&gt;Paths!$E$95,Paths!$E$95+'Operating costs'!$B$65&lt;=120,IF(Paths!$E$95+'Operating costs'!$B$65=0,C982=0,AND(C982&gt;0,Paths!$E$95+'Operating costs'!$B$65&gt;(C982-1)*12,Paths!$E$95+'Operating costs'!$B$65&lt;=C982*12))),'Operating costs'!$B$64,0)+IF(AND('Operating costs'!$B$67&gt;0,'Operating costs'!$B$67&lt;=120,OR(Paths!$D$95="ICE",'Operating costs'!$B$67&lt;=Paths!$E$95),IF('Operating costs'!$B$67=0,C982=0,AND(C982&gt;0,'Operating costs'!$B$67&gt;(C982-1)*12,'Operating costs'!$B$67&lt;=C982*12))),'Operating costs'!$B$66,0),"n.a."))</f>
        <v>0</v>
      </c>
      <c r="N982" s="16">
        <f>IF(NOT(Paths!$C$95=1),0,IF(Paths!$P$95="Complete",SUM(G982:I982)-J982-K982-L982+M982+IF(C982=0,Paths!$F$95,0)+IF(IF(Paths!$E$95=0,C982=0,AND(C982&gt;0,Paths!$E$95&gt;(C982-1)*12,Paths!$E$95&lt;=C982*12)),VLOOKUP(A982,'Fleet register'!$A$7:$S$106,16,FALSE),0),"n.a."))</f>
        <v>0</v>
      </c>
      <c r="O982" s="16">
        <f>IF(NOT(Paths!$C$95=1),0,IF(Paths!$P$95="Complete",N982-IF(C982=0,Paths!$F$95,0),"n.a."))</f>
        <v>0</v>
      </c>
      <c r="P982" s="16">
        <f>IF(NOT(Paths!$C$95=1),0,IF(Paths!$P$95="Complete",O982+L982,"n.a."))</f>
        <v>0</v>
      </c>
      <c r="Q982" s="16">
        <f>IF(NOT(Paths!$C$95=1),0,IF(Paths!$P$95="Complete",N982*(1+'Operating costs'!$B$54)^-C982,"n.a."))</f>
        <v>0</v>
      </c>
      <c r="R982" s="16">
        <f>IF(NOT(Paths!$C$95=1),0,IF(Paths!$P$95="Complete",IF(AND(C982=0,Paths!$E$95=0),I982-J982-K982+VLOOKUP(A982,'Fleet register'!$A$7:$S$106,15,FALSE)+VLOOKUP(A982,'Fleet register'!$A$7:$S$106,16,FALSE),0),"n.a."))</f>
        <v>0</v>
      </c>
      <c r="S982" s="1">
        <f>IF(NOT(Paths!$C$95=1),0,IF(Paths!$P$95="Complete",IF(C982=0,0,Paths!$S$95*Paths!$R$95),"n.a."))</f>
        <v>0</v>
      </c>
      <c r="T982" s="1">
        <f>IF(NOT(Paths!$C$95=1),0,IF(Paths!$P$95="Complete",IF(C982=0,0,VLOOKUP(A982,'Fleet register'!$A$7:$S$106,9,FALSE)*Paths!$R$95),"n.a."))</f>
        <v>0</v>
      </c>
    </row>
    <row r="983" spans="1:20" ht="24" customHeight="1">
      <c r="A983" s="1" t="str">
        <f>Paths!$A$95</f>
        <v>T023</v>
      </c>
      <c r="B983" s="1">
        <f>Paths!$B$95</f>
        <v>0</v>
      </c>
      <c r="C983" s="1">
        <v>8</v>
      </c>
      <c r="D983" s="1">
        <v>95</v>
      </c>
      <c r="E983" s="1">
        <f>IF(OR(Paths!$C$95=0,C983=0),0,MAX(0,MIN(C983*12,Paths!$E$95)-(C983-1)*12))</f>
        <v>0</v>
      </c>
      <c r="F983" s="1">
        <f>IF(OR(Paths!$C$95=0,C983=0),0,12-E983)</f>
        <v>0</v>
      </c>
      <c r="G983" s="16">
        <f>IF(NOT(Paths!$C$95=1),0,IF(Paths!$P$95="Complete",E983/12*(Paths!$J$95*(1+'Operating costs'!$B$51)^MAX(0,C983-1)+Paths!$K$95*(1+'Operating costs'!$B$53)^MAX(0,C983-1)),"n.a."))</f>
        <v>0</v>
      </c>
      <c r="H983" s="16">
        <f>IF(NOT(Paths!$C$95=1),0,IF(Paths!$P$95="Complete",F983/12*(Paths!$L$95*(1+IF(Paths!$D$95="EV",'Operating costs'!$B$52,'Operating costs'!$B$51))^MAX(0,C983-1)+Paths!$M$95*(1+'Operating costs'!$B$53)^MAX(0,C983-1)),"n.a."))</f>
        <v>0</v>
      </c>
      <c r="I983" s="16">
        <f>IF(NOT(Paths!$C$95=1),0,IF(Paths!$P$95="Complete",IF(IF(Paths!$E$95=0,C983=0,AND(C983&gt;0,Paths!$E$95&gt;(C983-1)*12,Paths!$E$95&lt;=C983*12)),Paths!$G$95,0),"n.a."))</f>
        <v>0</v>
      </c>
      <c r="J983" s="16">
        <f>IF(NOT(Paths!$C$95=1),0,IF(Paths!$P$95="Complete",IF(IF(Paths!$E$95=0,C983=0,AND(C983&gt;0,Paths!$E$95&gt;(C983-1)*12,Paths!$E$95&lt;=C983*12)),Paths!$H$95,0),"n.a."))</f>
        <v>0</v>
      </c>
      <c r="K983" s="16">
        <f>IF(NOT(Paths!$C$95=1),0,IF(Paths!$P$95="Complete",IF(IF(Paths!$O$95=0,C983=0,AND(C983&gt;0,Paths!$O$95&gt;(C983-1)*12,Paths!$O$95&lt;=C983*12)),Paths!$N$95,0),"n.a."))</f>
        <v>0</v>
      </c>
      <c r="L983" s="16">
        <f>IF(NOT(Paths!$C$95=1),0,IF(Paths!$P$95="Complete",IF(C983=10,Paths!$I$95,0),"n.a."))</f>
        <v>0</v>
      </c>
      <c r="M983" s="16">
        <f>IF(NOT(Paths!$C$95=1),0,IF(Paths!$P$95="Complete",IF(AND(Paths!$D$95="EV",Paths!$E$95&lt;120,Paths!$E$95+'Operating costs'!$B$65&gt;Paths!$E$95,Paths!$E$95+'Operating costs'!$B$65&lt;=120,IF(Paths!$E$95+'Operating costs'!$B$65=0,C983=0,AND(C983&gt;0,Paths!$E$95+'Operating costs'!$B$65&gt;(C983-1)*12,Paths!$E$95+'Operating costs'!$B$65&lt;=C983*12))),'Operating costs'!$B$64,0)+IF(AND('Operating costs'!$B$67&gt;0,'Operating costs'!$B$67&lt;=120,OR(Paths!$D$95="ICE",'Operating costs'!$B$67&lt;=Paths!$E$95),IF('Operating costs'!$B$67=0,C983=0,AND(C983&gt;0,'Operating costs'!$B$67&gt;(C983-1)*12,'Operating costs'!$B$67&lt;=C983*12))),'Operating costs'!$B$66,0),"n.a."))</f>
        <v>0</v>
      </c>
      <c r="N983" s="16">
        <f>IF(NOT(Paths!$C$95=1),0,IF(Paths!$P$95="Complete",SUM(G983:I983)-J983-K983-L983+M983+IF(C983=0,Paths!$F$95,0)+IF(IF(Paths!$E$95=0,C983=0,AND(C983&gt;0,Paths!$E$95&gt;(C983-1)*12,Paths!$E$95&lt;=C983*12)),VLOOKUP(A983,'Fleet register'!$A$7:$S$106,16,FALSE),0),"n.a."))</f>
        <v>0</v>
      </c>
      <c r="O983" s="16">
        <f>IF(NOT(Paths!$C$95=1),0,IF(Paths!$P$95="Complete",N983-IF(C983=0,Paths!$F$95,0),"n.a."))</f>
        <v>0</v>
      </c>
      <c r="P983" s="16">
        <f>IF(NOT(Paths!$C$95=1),0,IF(Paths!$P$95="Complete",O983+L983,"n.a."))</f>
        <v>0</v>
      </c>
      <c r="Q983" s="16">
        <f>IF(NOT(Paths!$C$95=1),0,IF(Paths!$P$95="Complete",N983*(1+'Operating costs'!$B$54)^-C983,"n.a."))</f>
        <v>0</v>
      </c>
      <c r="R983" s="16">
        <f>IF(NOT(Paths!$C$95=1),0,IF(Paths!$P$95="Complete",IF(AND(C983=0,Paths!$E$95=0),I983-J983-K983+VLOOKUP(A983,'Fleet register'!$A$7:$S$106,15,FALSE)+VLOOKUP(A983,'Fleet register'!$A$7:$S$106,16,FALSE),0),"n.a."))</f>
        <v>0</v>
      </c>
      <c r="S983" s="1">
        <f>IF(NOT(Paths!$C$95=1),0,IF(Paths!$P$95="Complete",IF(C983=0,0,Paths!$S$95*Paths!$R$95),"n.a."))</f>
        <v>0</v>
      </c>
      <c r="T983" s="1">
        <f>IF(NOT(Paths!$C$95=1),0,IF(Paths!$P$95="Complete",IF(C983=0,0,VLOOKUP(A983,'Fleet register'!$A$7:$S$106,9,FALSE)*Paths!$R$95),"n.a."))</f>
        <v>0</v>
      </c>
    </row>
    <row r="984" spans="1:20" ht="24" customHeight="1">
      <c r="A984" s="1" t="str">
        <f>Paths!$A$95</f>
        <v>T023</v>
      </c>
      <c r="B984" s="1">
        <f>Paths!$B$95</f>
        <v>0</v>
      </c>
      <c r="C984" s="1">
        <v>9</v>
      </c>
      <c r="D984" s="1">
        <v>95</v>
      </c>
      <c r="E984" s="1">
        <f>IF(OR(Paths!$C$95=0,C984=0),0,MAX(0,MIN(C984*12,Paths!$E$95)-(C984-1)*12))</f>
        <v>0</v>
      </c>
      <c r="F984" s="1">
        <f>IF(OR(Paths!$C$95=0,C984=0),0,12-E984)</f>
        <v>0</v>
      </c>
      <c r="G984" s="16">
        <f>IF(NOT(Paths!$C$95=1),0,IF(Paths!$P$95="Complete",E984/12*(Paths!$J$95*(1+'Operating costs'!$B$51)^MAX(0,C984-1)+Paths!$K$95*(1+'Operating costs'!$B$53)^MAX(0,C984-1)),"n.a."))</f>
        <v>0</v>
      </c>
      <c r="H984" s="16">
        <f>IF(NOT(Paths!$C$95=1),0,IF(Paths!$P$95="Complete",F984/12*(Paths!$L$95*(1+IF(Paths!$D$95="EV",'Operating costs'!$B$52,'Operating costs'!$B$51))^MAX(0,C984-1)+Paths!$M$95*(1+'Operating costs'!$B$53)^MAX(0,C984-1)),"n.a."))</f>
        <v>0</v>
      </c>
      <c r="I984" s="16">
        <f>IF(NOT(Paths!$C$95=1),0,IF(Paths!$P$95="Complete",IF(IF(Paths!$E$95=0,C984=0,AND(C984&gt;0,Paths!$E$95&gt;(C984-1)*12,Paths!$E$95&lt;=C984*12)),Paths!$G$95,0),"n.a."))</f>
        <v>0</v>
      </c>
      <c r="J984" s="16">
        <f>IF(NOT(Paths!$C$95=1),0,IF(Paths!$P$95="Complete",IF(IF(Paths!$E$95=0,C984=0,AND(C984&gt;0,Paths!$E$95&gt;(C984-1)*12,Paths!$E$95&lt;=C984*12)),Paths!$H$95,0),"n.a."))</f>
        <v>0</v>
      </c>
      <c r="K984" s="16">
        <f>IF(NOT(Paths!$C$95=1),0,IF(Paths!$P$95="Complete",IF(IF(Paths!$O$95=0,C984=0,AND(C984&gt;0,Paths!$O$95&gt;(C984-1)*12,Paths!$O$95&lt;=C984*12)),Paths!$N$95,0),"n.a."))</f>
        <v>0</v>
      </c>
      <c r="L984" s="16">
        <f>IF(NOT(Paths!$C$95=1),0,IF(Paths!$P$95="Complete",IF(C984=10,Paths!$I$95,0),"n.a."))</f>
        <v>0</v>
      </c>
      <c r="M984" s="16">
        <f>IF(NOT(Paths!$C$95=1),0,IF(Paths!$P$95="Complete",IF(AND(Paths!$D$95="EV",Paths!$E$95&lt;120,Paths!$E$95+'Operating costs'!$B$65&gt;Paths!$E$95,Paths!$E$95+'Operating costs'!$B$65&lt;=120,IF(Paths!$E$95+'Operating costs'!$B$65=0,C984=0,AND(C984&gt;0,Paths!$E$95+'Operating costs'!$B$65&gt;(C984-1)*12,Paths!$E$95+'Operating costs'!$B$65&lt;=C984*12))),'Operating costs'!$B$64,0)+IF(AND('Operating costs'!$B$67&gt;0,'Operating costs'!$B$67&lt;=120,OR(Paths!$D$95="ICE",'Operating costs'!$B$67&lt;=Paths!$E$95),IF('Operating costs'!$B$67=0,C984=0,AND(C984&gt;0,'Operating costs'!$B$67&gt;(C984-1)*12,'Operating costs'!$B$67&lt;=C984*12))),'Operating costs'!$B$66,0),"n.a."))</f>
        <v>0</v>
      </c>
      <c r="N984" s="16">
        <f>IF(NOT(Paths!$C$95=1),0,IF(Paths!$P$95="Complete",SUM(G984:I984)-J984-K984-L984+M984+IF(C984=0,Paths!$F$95,0)+IF(IF(Paths!$E$95=0,C984=0,AND(C984&gt;0,Paths!$E$95&gt;(C984-1)*12,Paths!$E$95&lt;=C984*12)),VLOOKUP(A984,'Fleet register'!$A$7:$S$106,16,FALSE),0),"n.a."))</f>
        <v>0</v>
      </c>
      <c r="O984" s="16">
        <f>IF(NOT(Paths!$C$95=1),0,IF(Paths!$P$95="Complete",N984-IF(C984=0,Paths!$F$95,0),"n.a."))</f>
        <v>0</v>
      </c>
      <c r="P984" s="16">
        <f>IF(NOT(Paths!$C$95=1),0,IF(Paths!$P$95="Complete",O984+L984,"n.a."))</f>
        <v>0</v>
      </c>
      <c r="Q984" s="16">
        <f>IF(NOT(Paths!$C$95=1),0,IF(Paths!$P$95="Complete",N984*(1+'Operating costs'!$B$54)^-C984,"n.a."))</f>
        <v>0</v>
      </c>
      <c r="R984" s="16">
        <f>IF(NOT(Paths!$C$95=1),0,IF(Paths!$P$95="Complete",IF(AND(C984=0,Paths!$E$95=0),I984-J984-K984+VLOOKUP(A984,'Fleet register'!$A$7:$S$106,15,FALSE)+VLOOKUP(A984,'Fleet register'!$A$7:$S$106,16,FALSE),0),"n.a."))</f>
        <v>0</v>
      </c>
      <c r="S984" s="1">
        <f>IF(NOT(Paths!$C$95=1),0,IF(Paths!$P$95="Complete",IF(C984=0,0,Paths!$S$95*Paths!$R$95),"n.a."))</f>
        <v>0</v>
      </c>
      <c r="T984" s="1">
        <f>IF(NOT(Paths!$C$95=1),0,IF(Paths!$P$95="Complete",IF(C984=0,0,VLOOKUP(A984,'Fleet register'!$A$7:$S$106,9,FALSE)*Paths!$R$95),"n.a."))</f>
        <v>0</v>
      </c>
    </row>
    <row r="985" spans="1:20" ht="24" customHeight="1">
      <c r="A985" s="1" t="str">
        <f>Paths!$A$95</f>
        <v>T023</v>
      </c>
      <c r="B985" s="1">
        <f>Paths!$B$95</f>
        <v>0</v>
      </c>
      <c r="C985" s="1">
        <v>10</v>
      </c>
      <c r="D985" s="1">
        <v>95</v>
      </c>
      <c r="E985" s="1">
        <f>IF(OR(Paths!$C$95=0,C985=0),0,MAX(0,MIN(C985*12,Paths!$E$95)-(C985-1)*12))</f>
        <v>0</v>
      </c>
      <c r="F985" s="1">
        <f>IF(OR(Paths!$C$95=0,C985=0),0,12-E985)</f>
        <v>0</v>
      </c>
      <c r="G985" s="16">
        <f>IF(NOT(Paths!$C$95=1),0,IF(Paths!$P$95="Complete",E985/12*(Paths!$J$95*(1+'Operating costs'!$B$51)^MAX(0,C985-1)+Paths!$K$95*(1+'Operating costs'!$B$53)^MAX(0,C985-1)),"n.a."))</f>
        <v>0</v>
      </c>
      <c r="H985" s="16">
        <f>IF(NOT(Paths!$C$95=1),0,IF(Paths!$P$95="Complete",F985/12*(Paths!$L$95*(1+IF(Paths!$D$95="EV",'Operating costs'!$B$52,'Operating costs'!$B$51))^MAX(0,C985-1)+Paths!$M$95*(1+'Operating costs'!$B$53)^MAX(0,C985-1)),"n.a."))</f>
        <v>0</v>
      </c>
      <c r="I985" s="16">
        <f>IF(NOT(Paths!$C$95=1),0,IF(Paths!$P$95="Complete",IF(IF(Paths!$E$95=0,C985=0,AND(C985&gt;0,Paths!$E$95&gt;(C985-1)*12,Paths!$E$95&lt;=C985*12)),Paths!$G$95,0),"n.a."))</f>
        <v>0</v>
      </c>
      <c r="J985" s="16">
        <f>IF(NOT(Paths!$C$95=1),0,IF(Paths!$P$95="Complete",IF(IF(Paths!$E$95=0,C985=0,AND(C985&gt;0,Paths!$E$95&gt;(C985-1)*12,Paths!$E$95&lt;=C985*12)),Paths!$H$95,0),"n.a."))</f>
        <v>0</v>
      </c>
      <c r="K985" s="16">
        <f>IF(NOT(Paths!$C$95=1),0,IF(Paths!$P$95="Complete",IF(IF(Paths!$O$95=0,C985=0,AND(C985&gt;0,Paths!$O$95&gt;(C985-1)*12,Paths!$O$95&lt;=C985*12)),Paths!$N$95,0),"n.a."))</f>
        <v>0</v>
      </c>
      <c r="L985" s="16">
        <f>IF(NOT(Paths!$C$95=1),0,IF(Paths!$P$95="Complete",IF(C985=10,Paths!$I$95,0),"n.a."))</f>
        <v>0</v>
      </c>
      <c r="M985" s="16">
        <f>IF(NOT(Paths!$C$95=1),0,IF(Paths!$P$95="Complete",IF(AND(Paths!$D$95="EV",Paths!$E$95&lt;120,Paths!$E$95+'Operating costs'!$B$65&gt;Paths!$E$95,Paths!$E$95+'Operating costs'!$B$65&lt;=120,IF(Paths!$E$95+'Operating costs'!$B$65=0,C985=0,AND(C985&gt;0,Paths!$E$95+'Operating costs'!$B$65&gt;(C985-1)*12,Paths!$E$95+'Operating costs'!$B$65&lt;=C985*12))),'Operating costs'!$B$64,0)+IF(AND('Operating costs'!$B$67&gt;0,'Operating costs'!$B$67&lt;=120,OR(Paths!$D$95="ICE",'Operating costs'!$B$67&lt;=Paths!$E$95),IF('Operating costs'!$B$67=0,C985=0,AND(C985&gt;0,'Operating costs'!$B$67&gt;(C985-1)*12,'Operating costs'!$B$67&lt;=C985*12))),'Operating costs'!$B$66,0),"n.a."))</f>
        <v>0</v>
      </c>
      <c r="N985" s="16">
        <f>IF(NOT(Paths!$C$95=1),0,IF(Paths!$P$95="Complete",SUM(G985:I985)-J985-K985-L985+M985+IF(C985=0,Paths!$F$95,0)+IF(IF(Paths!$E$95=0,C985=0,AND(C985&gt;0,Paths!$E$95&gt;(C985-1)*12,Paths!$E$95&lt;=C985*12)),VLOOKUP(A985,'Fleet register'!$A$7:$S$106,16,FALSE),0),"n.a."))</f>
        <v>0</v>
      </c>
      <c r="O985" s="16">
        <f>IF(NOT(Paths!$C$95=1),0,IF(Paths!$P$95="Complete",N985-IF(C985=0,Paths!$F$95,0),"n.a."))</f>
        <v>0</v>
      </c>
      <c r="P985" s="16">
        <f>IF(NOT(Paths!$C$95=1),0,IF(Paths!$P$95="Complete",O985+L985,"n.a."))</f>
        <v>0</v>
      </c>
      <c r="Q985" s="16">
        <f>IF(NOT(Paths!$C$95=1),0,IF(Paths!$P$95="Complete",N985*(1+'Operating costs'!$B$54)^-C985,"n.a."))</f>
        <v>0</v>
      </c>
      <c r="R985" s="16">
        <f>IF(NOT(Paths!$C$95=1),0,IF(Paths!$P$95="Complete",IF(AND(C985=0,Paths!$E$95=0),I985-J985-K985+VLOOKUP(A985,'Fleet register'!$A$7:$S$106,15,FALSE)+VLOOKUP(A985,'Fleet register'!$A$7:$S$106,16,FALSE),0),"n.a."))</f>
        <v>0</v>
      </c>
      <c r="S985" s="1">
        <f>IF(NOT(Paths!$C$95=1),0,IF(Paths!$P$95="Complete",IF(C985=0,0,Paths!$S$95*Paths!$R$95),"n.a."))</f>
        <v>0</v>
      </c>
      <c r="T985" s="1">
        <f>IF(NOT(Paths!$C$95=1),0,IF(Paths!$P$95="Complete",IF(C985=0,0,VLOOKUP(A985,'Fleet register'!$A$7:$S$106,9,FALSE)*Paths!$R$95),"n.a."))</f>
        <v>0</v>
      </c>
    </row>
    <row r="986" spans="1:20" ht="24" customHeight="1">
      <c r="A986" s="1" t="str">
        <f>Paths!$A$96</f>
        <v>T023</v>
      </c>
      <c r="B986" s="1">
        <f>Paths!$B$96</f>
        <v>1</v>
      </c>
      <c r="C986" s="1">
        <v>0</v>
      </c>
      <c r="D986" s="1">
        <v>96</v>
      </c>
      <c r="E986" s="1">
        <f>IF(OR(Paths!$C$96=0,C986=0),0,MAX(0,MIN(C986*12,Paths!$E$96)-(C986-1)*12))</f>
        <v>0</v>
      </c>
      <c r="F986" s="1">
        <f>IF(OR(Paths!$C$96=0,C986=0),0,12-E986)</f>
        <v>0</v>
      </c>
      <c r="G986" s="16">
        <f>IF(NOT(Paths!$C$96=1),0,IF(Paths!$P$96="Complete",E986/12*(Paths!$J$96*(1+'Operating costs'!$B$51)^MAX(0,C986-1)+Paths!$K$96*(1+'Operating costs'!$B$53)^MAX(0,C986-1)),"n.a."))</f>
        <v>0</v>
      </c>
      <c r="H986" s="16">
        <f>IF(NOT(Paths!$C$96=1),0,IF(Paths!$P$96="Complete",F986/12*(Paths!$L$96*(1+IF(Paths!$D$96="EV",'Operating costs'!$B$52,'Operating costs'!$B$51))^MAX(0,C986-1)+Paths!$M$96*(1+'Operating costs'!$B$53)^MAX(0,C986-1)),"n.a."))</f>
        <v>0</v>
      </c>
      <c r="I986" s="16">
        <f>IF(NOT(Paths!$C$96=1),0,IF(Paths!$P$96="Complete",IF(IF(Paths!$E$96=0,C986=0,AND(C986&gt;0,Paths!$E$96&gt;(C986-1)*12,Paths!$E$96&lt;=C986*12)),Paths!$G$96,0),"n.a."))</f>
        <v>0</v>
      </c>
      <c r="J986" s="16">
        <f>IF(NOT(Paths!$C$96=1),0,IF(Paths!$P$96="Complete",IF(IF(Paths!$E$96=0,C986=0,AND(C986&gt;0,Paths!$E$96&gt;(C986-1)*12,Paths!$E$96&lt;=C986*12)),Paths!$H$96,0),"n.a."))</f>
        <v>0</v>
      </c>
      <c r="K986" s="16">
        <f>IF(NOT(Paths!$C$96=1),0,IF(Paths!$P$96="Complete",IF(IF(Paths!$O$96=0,C986=0,AND(C986&gt;0,Paths!$O$96&gt;(C986-1)*12,Paths!$O$96&lt;=C986*12)),Paths!$N$96,0),"n.a."))</f>
        <v>0</v>
      </c>
      <c r="L986" s="16">
        <f>IF(NOT(Paths!$C$96=1),0,IF(Paths!$P$96="Complete",IF(C986=10,Paths!$I$96,0),"n.a."))</f>
        <v>0</v>
      </c>
      <c r="M986" s="16">
        <f>IF(NOT(Paths!$C$96=1),0,IF(Paths!$P$96="Complete",IF(AND(Paths!$D$96="EV",Paths!$E$96&lt;120,Paths!$E$96+'Operating costs'!$B$65&gt;Paths!$E$96,Paths!$E$96+'Operating costs'!$B$65&lt;=120,IF(Paths!$E$96+'Operating costs'!$B$65=0,C986=0,AND(C986&gt;0,Paths!$E$96+'Operating costs'!$B$65&gt;(C986-1)*12,Paths!$E$96+'Operating costs'!$B$65&lt;=C986*12))),'Operating costs'!$B$64,0)+IF(AND('Operating costs'!$B$67&gt;0,'Operating costs'!$B$67&lt;=120,OR(Paths!$D$96="ICE",'Operating costs'!$B$67&lt;=Paths!$E$96),IF('Operating costs'!$B$67=0,C986=0,AND(C986&gt;0,'Operating costs'!$B$67&gt;(C986-1)*12,'Operating costs'!$B$67&lt;=C986*12))),'Operating costs'!$B$66,0),"n.a."))</f>
        <v>0</v>
      </c>
      <c r="N986" s="16">
        <f>IF(NOT(Paths!$C$96=1),0,IF(Paths!$P$96="Complete",SUM(G986:I986)-J986-K986-L986+M986+IF(C986=0,Paths!$F$96,0)+IF(IF(Paths!$E$96=0,C986=0,AND(C986&gt;0,Paths!$E$96&gt;(C986-1)*12,Paths!$E$96&lt;=C986*12)),VLOOKUP(A986,'Fleet register'!$A$7:$S$106,16,FALSE),0),"n.a."))</f>
        <v>0</v>
      </c>
      <c r="O986" s="16">
        <f>IF(NOT(Paths!$C$96=1),0,IF(Paths!$P$96="Complete",N986-IF(C986=0,Paths!$F$96,0),"n.a."))</f>
        <v>0</v>
      </c>
      <c r="P986" s="16">
        <f>IF(NOT(Paths!$C$96=1),0,IF(Paths!$P$96="Complete",O986+L986,"n.a."))</f>
        <v>0</v>
      </c>
      <c r="Q986" s="16">
        <f>IF(NOT(Paths!$C$96=1),0,IF(Paths!$P$96="Complete",N986*(1+'Operating costs'!$B$54)^-C986,"n.a."))</f>
        <v>0</v>
      </c>
      <c r="R986" s="16">
        <f>IF(NOT(Paths!$C$96=1),0,IF(Paths!$P$96="Complete",IF(AND(C986=0,Paths!$E$96=0),I986-J986-K986+VLOOKUP(A986,'Fleet register'!$A$7:$S$106,15,FALSE)+VLOOKUP(A986,'Fleet register'!$A$7:$S$106,16,FALSE),0),"n.a."))</f>
        <v>0</v>
      </c>
      <c r="S986" s="1">
        <f>IF(NOT(Paths!$C$96=1),0,IF(Paths!$P$96="Complete",IF(C986=0,0,Paths!$S$96*Paths!$R$96),"n.a."))</f>
        <v>0</v>
      </c>
      <c r="T986" s="1">
        <f>IF(NOT(Paths!$C$96=1),0,IF(Paths!$P$96="Complete",IF(C986=0,0,VLOOKUP(A986,'Fleet register'!$A$7:$S$106,9,FALSE)*Paths!$R$96),"n.a."))</f>
        <v>0</v>
      </c>
    </row>
    <row r="987" spans="1:20" ht="24" customHeight="1">
      <c r="A987" s="1" t="str">
        <f>Paths!$A$96</f>
        <v>T023</v>
      </c>
      <c r="B987" s="1">
        <f>Paths!$B$96</f>
        <v>1</v>
      </c>
      <c r="C987" s="1">
        <v>1</v>
      </c>
      <c r="D987" s="1">
        <v>96</v>
      </c>
      <c r="E987" s="1">
        <f>IF(OR(Paths!$C$96=0,C987=0),0,MAX(0,MIN(C987*12,Paths!$E$96)-(C987-1)*12))</f>
        <v>0</v>
      </c>
      <c r="F987" s="1">
        <f>IF(OR(Paths!$C$96=0,C987=0),0,12-E987)</f>
        <v>0</v>
      </c>
      <c r="G987" s="16">
        <f>IF(NOT(Paths!$C$96=1),0,IF(Paths!$P$96="Complete",E987/12*(Paths!$J$96*(1+'Operating costs'!$B$51)^MAX(0,C987-1)+Paths!$K$96*(1+'Operating costs'!$B$53)^MAX(0,C987-1)),"n.a."))</f>
        <v>0</v>
      </c>
      <c r="H987" s="16">
        <f>IF(NOT(Paths!$C$96=1),0,IF(Paths!$P$96="Complete",F987/12*(Paths!$L$96*(1+IF(Paths!$D$96="EV",'Operating costs'!$B$52,'Operating costs'!$B$51))^MAX(0,C987-1)+Paths!$M$96*(1+'Operating costs'!$B$53)^MAX(0,C987-1)),"n.a."))</f>
        <v>0</v>
      </c>
      <c r="I987" s="16">
        <f>IF(NOT(Paths!$C$96=1),0,IF(Paths!$P$96="Complete",IF(IF(Paths!$E$96=0,C987=0,AND(C987&gt;0,Paths!$E$96&gt;(C987-1)*12,Paths!$E$96&lt;=C987*12)),Paths!$G$96,0),"n.a."))</f>
        <v>0</v>
      </c>
      <c r="J987" s="16">
        <f>IF(NOT(Paths!$C$96=1),0,IF(Paths!$P$96="Complete",IF(IF(Paths!$E$96=0,C987=0,AND(C987&gt;0,Paths!$E$96&gt;(C987-1)*12,Paths!$E$96&lt;=C987*12)),Paths!$H$96,0),"n.a."))</f>
        <v>0</v>
      </c>
      <c r="K987" s="16">
        <f>IF(NOT(Paths!$C$96=1),0,IF(Paths!$P$96="Complete",IF(IF(Paths!$O$96=0,C987=0,AND(C987&gt;0,Paths!$O$96&gt;(C987-1)*12,Paths!$O$96&lt;=C987*12)),Paths!$N$96,0),"n.a."))</f>
        <v>0</v>
      </c>
      <c r="L987" s="16">
        <f>IF(NOT(Paths!$C$96=1),0,IF(Paths!$P$96="Complete",IF(C987=10,Paths!$I$96,0),"n.a."))</f>
        <v>0</v>
      </c>
      <c r="M987" s="16">
        <f>IF(NOT(Paths!$C$96=1),0,IF(Paths!$P$96="Complete",IF(AND(Paths!$D$96="EV",Paths!$E$96&lt;120,Paths!$E$96+'Operating costs'!$B$65&gt;Paths!$E$96,Paths!$E$96+'Operating costs'!$B$65&lt;=120,IF(Paths!$E$96+'Operating costs'!$B$65=0,C987=0,AND(C987&gt;0,Paths!$E$96+'Operating costs'!$B$65&gt;(C987-1)*12,Paths!$E$96+'Operating costs'!$B$65&lt;=C987*12))),'Operating costs'!$B$64,0)+IF(AND('Operating costs'!$B$67&gt;0,'Operating costs'!$B$67&lt;=120,OR(Paths!$D$96="ICE",'Operating costs'!$B$67&lt;=Paths!$E$96),IF('Operating costs'!$B$67=0,C987=0,AND(C987&gt;0,'Operating costs'!$B$67&gt;(C987-1)*12,'Operating costs'!$B$67&lt;=C987*12))),'Operating costs'!$B$66,0),"n.a."))</f>
        <v>0</v>
      </c>
      <c r="N987" s="16">
        <f>IF(NOT(Paths!$C$96=1),0,IF(Paths!$P$96="Complete",SUM(G987:I987)-J987-K987-L987+M987+IF(C987=0,Paths!$F$96,0)+IF(IF(Paths!$E$96=0,C987=0,AND(C987&gt;0,Paths!$E$96&gt;(C987-1)*12,Paths!$E$96&lt;=C987*12)),VLOOKUP(A987,'Fleet register'!$A$7:$S$106,16,FALSE),0),"n.a."))</f>
        <v>0</v>
      </c>
      <c r="O987" s="16">
        <f>IF(NOT(Paths!$C$96=1),0,IF(Paths!$P$96="Complete",N987-IF(C987=0,Paths!$F$96,0),"n.a."))</f>
        <v>0</v>
      </c>
      <c r="P987" s="16">
        <f>IF(NOT(Paths!$C$96=1),0,IF(Paths!$P$96="Complete",O987+L987,"n.a."))</f>
        <v>0</v>
      </c>
      <c r="Q987" s="16">
        <f>IF(NOT(Paths!$C$96=1),0,IF(Paths!$P$96="Complete",N987*(1+'Operating costs'!$B$54)^-C987,"n.a."))</f>
        <v>0</v>
      </c>
      <c r="R987" s="16">
        <f>IF(NOT(Paths!$C$96=1),0,IF(Paths!$P$96="Complete",IF(AND(C987=0,Paths!$E$96=0),I987-J987-K987+VLOOKUP(A987,'Fleet register'!$A$7:$S$106,15,FALSE)+VLOOKUP(A987,'Fleet register'!$A$7:$S$106,16,FALSE),0),"n.a."))</f>
        <v>0</v>
      </c>
      <c r="S987" s="1">
        <f>IF(NOT(Paths!$C$96=1),0,IF(Paths!$P$96="Complete",IF(C987=0,0,Paths!$S$96*Paths!$R$96),"n.a."))</f>
        <v>0</v>
      </c>
      <c r="T987" s="1">
        <f>IF(NOT(Paths!$C$96=1),0,IF(Paths!$P$96="Complete",IF(C987=0,0,VLOOKUP(A987,'Fleet register'!$A$7:$S$106,9,FALSE)*Paths!$R$96),"n.a."))</f>
        <v>0</v>
      </c>
    </row>
    <row r="988" spans="1:20" ht="24" customHeight="1">
      <c r="A988" s="1" t="str">
        <f>Paths!$A$96</f>
        <v>T023</v>
      </c>
      <c r="B988" s="1">
        <f>Paths!$B$96</f>
        <v>1</v>
      </c>
      <c r="C988" s="1">
        <v>2</v>
      </c>
      <c r="D988" s="1">
        <v>96</v>
      </c>
      <c r="E988" s="1">
        <f>IF(OR(Paths!$C$96=0,C988=0),0,MAX(0,MIN(C988*12,Paths!$E$96)-(C988-1)*12))</f>
        <v>0</v>
      </c>
      <c r="F988" s="1">
        <f>IF(OR(Paths!$C$96=0,C988=0),0,12-E988)</f>
        <v>0</v>
      </c>
      <c r="G988" s="16">
        <f>IF(NOT(Paths!$C$96=1),0,IF(Paths!$P$96="Complete",E988/12*(Paths!$J$96*(1+'Operating costs'!$B$51)^MAX(0,C988-1)+Paths!$K$96*(1+'Operating costs'!$B$53)^MAX(0,C988-1)),"n.a."))</f>
        <v>0</v>
      </c>
      <c r="H988" s="16">
        <f>IF(NOT(Paths!$C$96=1),0,IF(Paths!$P$96="Complete",F988/12*(Paths!$L$96*(1+IF(Paths!$D$96="EV",'Operating costs'!$B$52,'Operating costs'!$B$51))^MAX(0,C988-1)+Paths!$M$96*(1+'Operating costs'!$B$53)^MAX(0,C988-1)),"n.a."))</f>
        <v>0</v>
      </c>
      <c r="I988" s="16">
        <f>IF(NOT(Paths!$C$96=1),0,IF(Paths!$P$96="Complete",IF(IF(Paths!$E$96=0,C988=0,AND(C988&gt;0,Paths!$E$96&gt;(C988-1)*12,Paths!$E$96&lt;=C988*12)),Paths!$G$96,0),"n.a."))</f>
        <v>0</v>
      </c>
      <c r="J988" s="16">
        <f>IF(NOT(Paths!$C$96=1),0,IF(Paths!$P$96="Complete",IF(IF(Paths!$E$96=0,C988=0,AND(C988&gt;0,Paths!$E$96&gt;(C988-1)*12,Paths!$E$96&lt;=C988*12)),Paths!$H$96,0),"n.a."))</f>
        <v>0</v>
      </c>
      <c r="K988" s="16">
        <f>IF(NOT(Paths!$C$96=1),0,IF(Paths!$P$96="Complete",IF(IF(Paths!$O$96=0,C988=0,AND(C988&gt;0,Paths!$O$96&gt;(C988-1)*12,Paths!$O$96&lt;=C988*12)),Paths!$N$96,0),"n.a."))</f>
        <v>0</v>
      </c>
      <c r="L988" s="16">
        <f>IF(NOT(Paths!$C$96=1),0,IF(Paths!$P$96="Complete",IF(C988=10,Paths!$I$96,0),"n.a."))</f>
        <v>0</v>
      </c>
      <c r="M988" s="16">
        <f>IF(NOT(Paths!$C$96=1),0,IF(Paths!$P$96="Complete",IF(AND(Paths!$D$96="EV",Paths!$E$96&lt;120,Paths!$E$96+'Operating costs'!$B$65&gt;Paths!$E$96,Paths!$E$96+'Operating costs'!$B$65&lt;=120,IF(Paths!$E$96+'Operating costs'!$B$65=0,C988=0,AND(C988&gt;0,Paths!$E$96+'Operating costs'!$B$65&gt;(C988-1)*12,Paths!$E$96+'Operating costs'!$B$65&lt;=C988*12))),'Operating costs'!$B$64,0)+IF(AND('Operating costs'!$B$67&gt;0,'Operating costs'!$B$67&lt;=120,OR(Paths!$D$96="ICE",'Operating costs'!$B$67&lt;=Paths!$E$96),IF('Operating costs'!$B$67=0,C988=0,AND(C988&gt;0,'Operating costs'!$B$67&gt;(C988-1)*12,'Operating costs'!$B$67&lt;=C988*12))),'Operating costs'!$B$66,0),"n.a."))</f>
        <v>0</v>
      </c>
      <c r="N988" s="16">
        <f>IF(NOT(Paths!$C$96=1),0,IF(Paths!$P$96="Complete",SUM(G988:I988)-J988-K988-L988+M988+IF(C988=0,Paths!$F$96,0)+IF(IF(Paths!$E$96=0,C988=0,AND(C988&gt;0,Paths!$E$96&gt;(C988-1)*12,Paths!$E$96&lt;=C988*12)),VLOOKUP(A988,'Fleet register'!$A$7:$S$106,16,FALSE),0),"n.a."))</f>
        <v>0</v>
      </c>
      <c r="O988" s="16">
        <f>IF(NOT(Paths!$C$96=1),0,IF(Paths!$P$96="Complete",N988-IF(C988=0,Paths!$F$96,0),"n.a."))</f>
        <v>0</v>
      </c>
      <c r="P988" s="16">
        <f>IF(NOT(Paths!$C$96=1),0,IF(Paths!$P$96="Complete",O988+L988,"n.a."))</f>
        <v>0</v>
      </c>
      <c r="Q988" s="16">
        <f>IF(NOT(Paths!$C$96=1),0,IF(Paths!$P$96="Complete",N988*(1+'Operating costs'!$B$54)^-C988,"n.a."))</f>
        <v>0</v>
      </c>
      <c r="R988" s="16">
        <f>IF(NOT(Paths!$C$96=1),0,IF(Paths!$P$96="Complete",IF(AND(C988=0,Paths!$E$96=0),I988-J988-K988+VLOOKUP(A988,'Fleet register'!$A$7:$S$106,15,FALSE)+VLOOKUP(A988,'Fleet register'!$A$7:$S$106,16,FALSE),0),"n.a."))</f>
        <v>0</v>
      </c>
      <c r="S988" s="1">
        <f>IF(NOT(Paths!$C$96=1),0,IF(Paths!$P$96="Complete",IF(C988=0,0,Paths!$S$96*Paths!$R$96),"n.a."))</f>
        <v>0</v>
      </c>
      <c r="T988" s="1">
        <f>IF(NOT(Paths!$C$96=1),0,IF(Paths!$P$96="Complete",IF(C988=0,0,VLOOKUP(A988,'Fleet register'!$A$7:$S$106,9,FALSE)*Paths!$R$96),"n.a."))</f>
        <v>0</v>
      </c>
    </row>
    <row r="989" spans="1:20" ht="24" customHeight="1">
      <c r="A989" s="1" t="str">
        <f>Paths!$A$96</f>
        <v>T023</v>
      </c>
      <c r="B989" s="1">
        <f>Paths!$B$96</f>
        <v>1</v>
      </c>
      <c r="C989" s="1">
        <v>3</v>
      </c>
      <c r="D989" s="1">
        <v>96</v>
      </c>
      <c r="E989" s="1">
        <f>IF(OR(Paths!$C$96=0,C989=0),0,MAX(0,MIN(C989*12,Paths!$E$96)-(C989-1)*12))</f>
        <v>0</v>
      </c>
      <c r="F989" s="1">
        <f>IF(OR(Paths!$C$96=0,C989=0),0,12-E989)</f>
        <v>0</v>
      </c>
      <c r="G989" s="16">
        <f>IF(NOT(Paths!$C$96=1),0,IF(Paths!$P$96="Complete",E989/12*(Paths!$J$96*(1+'Operating costs'!$B$51)^MAX(0,C989-1)+Paths!$K$96*(1+'Operating costs'!$B$53)^MAX(0,C989-1)),"n.a."))</f>
        <v>0</v>
      </c>
      <c r="H989" s="16">
        <f>IF(NOT(Paths!$C$96=1),0,IF(Paths!$P$96="Complete",F989/12*(Paths!$L$96*(1+IF(Paths!$D$96="EV",'Operating costs'!$B$52,'Operating costs'!$B$51))^MAX(0,C989-1)+Paths!$M$96*(1+'Operating costs'!$B$53)^MAX(0,C989-1)),"n.a."))</f>
        <v>0</v>
      </c>
      <c r="I989" s="16">
        <f>IF(NOT(Paths!$C$96=1),0,IF(Paths!$P$96="Complete",IF(IF(Paths!$E$96=0,C989=0,AND(C989&gt;0,Paths!$E$96&gt;(C989-1)*12,Paths!$E$96&lt;=C989*12)),Paths!$G$96,0),"n.a."))</f>
        <v>0</v>
      </c>
      <c r="J989" s="16">
        <f>IF(NOT(Paths!$C$96=1),0,IF(Paths!$P$96="Complete",IF(IF(Paths!$E$96=0,C989=0,AND(C989&gt;0,Paths!$E$96&gt;(C989-1)*12,Paths!$E$96&lt;=C989*12)),Paths!$H$96,0),"n.a."))</f>
        <v>0</v>
      </c>
      <c r="K989" s="16">
        <f>IF(NOT(Paths!$C$96=1),0,IF(Paths!$P$96="Complete",IF(IF(Paths!$O$96=0,C989=0,AND(C989&gt;0,Paths!$O$96&gt;(C989-1)*12,Paths!$O$96&lt;=C989*12)),Paths!$N$96,0),"n.a."))</f>
        <v>0</v>
      </c>
      <c r="L989" s="16">
        <f>IF(NOT(Paths!$C$96=1),0,IF(Paths!$P$96="Complete",IF(C989=10,Paths!$I$96,0),"n.a."))</f>
        <v>0</v>
      </c>
      <c r="M989" s="16">
        <f>IF(NOT(Paths!$C$96=1),0,IF(Paths!$P$96="Complete",IF(AND(Paths!$D$96="EV",Paths!$E$96&lt;120,Paths!$E$96+'Operating costs'!$B$65&gt;Paths!$E$96,Paths!$E$96+'Operating costs'!$B$65&lt;=120,IF(Paths!$E$96+'Operating costs'!$B$65=0,C989=0,AND(C989&gt;0,Paths!$E$96+'Operating costs'!$B$65&gt;(C989-1)*12,Paths!$E$96+'Operating costs'!$B$65&lt;=C989*12))),'Operating costs'!$B$64,0)+IF(AND('Operating costs'!$B$67&gt;0,'Operating costs'!$B$67&lt;=120,OR(Paths!$D$96="ICE",'Operating costs'!$B$67&lt;=Paths!$E$96),IF('Operating costs'!$B$67=0,C989=0,AND(C989&gt;0,'Operating costs'!$B$67&gt;(C989-1)*12,'Operating costs'!$B$67&lt;=C989*12))),'Operating costs'!$B$66,0),"n.a."))</f>
        <v>0</v>
      </c>
      <c r="N989" s="16">
        <f>IF(NOT(Paths!$C$96=1),0,IF(Paths!$P$96="Complete",SUM(G989:I989)-J989-K989-L989+M989+IF(C989=0,Paths!$F$96,0)+IF(IF(Paths!$E$96=0,C989=0,AND(C989&gt;0,Paths!$E$96&gt;(C989-1)*12,Paths!$E$96&lt;=C989*12)),VLOOKUP(A989,'Fleet register'!$A$7:$S$106,16,FALSE),0),"n.a."))</f>
        <v>0</v>
      </c>
      <c r="O989" s="16">
        <f>IF(NOT(Paths!$C$96=1),0,IF(Paths!$P$96="Complete",N989-IF(C989=0,Paths!$F$96,0),"n.a."))</f>
        <v>0</v>
      </c>
      <c r="P989" s="16">
        <f>IF(NOT(Paths!$C$96=1),0,IF(Paths!$P$96="Complete",O989+L989,"n.a."))</f>
        <v>0</v>
      </c>
      <c r="Q989" s="16">
        <f>IF(NOT(Paths!$C$96=1),0,IF(Paths!$P$96="Complete",N989*(1+'Operating costs'!$B$54)^-C989,"n.a."))</f>
        <v>0</v>
      </c>
      <c r="R989" s="16">
        <f>IF(NOT(Paths!$C$96=1),0,IF(Paths!$P$96="Complete",IF(AND(C989=0,Paths!$E$96=0),I989-J989-K989+VLOOKUP(A989,'Fleet register'!$A$7:$S$106,15,FALSE)+VLOOKUP(A989,'Fleet register'!$A$7:$S$106,16,FALSE),0),"n.a."))</f>
        <v>0</v>
      </c>
      <c r="S989" s="1">
        <f>IF(NOT(Paths!$C$96=1),0,IF(Paths!$P$96="Complete",IF(C989=0,0,Paths!$S$96*Paths!$R$96),"n.a."))</f>
        <v>0</v>
      </c>
      <c r="T989" s="1">
        <f>IF(NOT(Paths!$C$96=1),0,IF(Paths!$P$96="Complete",IF(C989=0,0,VLOOKUP(A989,'Fleet register'!$A$7:$S$106,9,FALSE)*Paths!$R$96),"n.a."))</f>
        <v>0</v>
      </c>
    </row>
    <row r="990" spans="1:20" ht="24" customHeight="1">
      <c r="A990" s="1" t="str">
        <f>Paths!$A$96</f>
        <v>T023</v>
      </c>
      <c r="B990" s="1">
        <f>Paths!$B$96</f>
        <v>1</v>
      </c>
      <c r="C990" s="1">
        <v>4</v>
      </c>
      <c r="D990" s="1">
        <v>96</v>
      </c>
      <c r="E990" s="1">
        <f>IF(OR(Paths!$C$96=0,C990=0),0,MAX(0,MIN(C990*12,Paths!$E$96)-(C990-1)*12))</f>
        <v>0</v>
      </c>
      <c r="F990" s="1">
        <f>IF(OR(Paths!$C$96=0,C990=0),0,12-E990)</f>
        <v>0</v>
      </c>
      <c r="G990" s="16">
        <f>IF(NOT(Paths!$C$96=1),0,IF(Paths!$P$96="Complete",E990/12*(Paths!$J$96*(1+'Operating costs'!$B$51)^MAX(0,C990-1)+Paths!$K$96*(1+'Operating costs'!$B$53)^MAX(0,C990-1)),"n.a."))</f>
        <v>0</v>
      </c>
      <c r="H990" s="16">
        <f>IF(NOT(Paths!$C$96=1),0,IF(Paths!$P$96="Complete",F990/12*(Paths!$L$96*(1+IF(Paths!$D$96="EV",'Operating costs'!$B$52,'Operating costs'!$B$51))^MAX(0,C990-1)+Paths!$M$96*(1+'Operating costs'!$B$53)^MAX(0,C990-1)),"n.a."))</f>
        <v>0</v>
      </c>
      <c r="I990" s="16">
        <f>IF(NOT(Paths!$C$96=1),0,IF(Paths!$P$96="Complete",IF(IF(Paths!$E$96=0,C990=0,AND(C990&gt;0,Paths!$E$96&gt;(C990-1)*12,Paths!$E$96&lt;=C990*12)),Paths!$G$96,0),"n.a."))</f>
        <v>0</v>
      </c>
      <c r="J990" s="16">
        <f>IF(NOT(Paths!$C$96=1),0,IF(Paths!$P$96="Complete",IF(IF(Paths!$E$96=0,C990=0,AND(C990&gt;0,Paths!$E$96&gt;(C990-1)*12,Paths!$E$96&lt;=C990*12)),Paths!$H$96,0),"n.a."))</f>
        <v>0</v>
      </c>
      <c r="K990" s="16">
        <f>IF(NOT(Paths!$C$96=1),0,IF(Paths!$P$96="Complete",IF(IF(Paths!$O$96=0,C990=0,AND(C990&gt;0,Paths!$O$96&gt;(C990-1)*12,Paths!$O$96&lt;=C990*12)),Paths!$N$96,0),"n.a."))</f>
        <v>0</v>
      </c>
      <c r="L990" s="16">
        <f>IF(NOT(Paths!$C$96=1),0,IF(Paths!$P$96="Complete",IF(C990=10,Paths!$I$96,0),"n.a."))</f>
        <v>0</v>
      </c>
      <c r="M990" s="16">
        <f>IF(NOT(Paths!$C$96=1),0,IF(Paths!$P$96="Complete",IF(AND(Paths!$D$96="EV",Paths!$E$96&lt;120,Paths!$E$96+'Operating costs'!$B$65&gt;Paths!$E$96,Paths!$E$96+'Operating costs'!$B$65&lt;=120,IF(Paths!$E$96+'Operating costs'!$B$65=0,C990=0,AND(C990&gt;0,Paths!$E$96+'Operating costs'!$B$65&gt;(C990-1)*12,Paths!$E$96+'Operating costs'!$B$65&lt;=C990*12))),'Operating costs'!$B$64,0)+IF(AND('Operating costs'!$B$67&gt;0,'Operating costs'!$B$67&lt;=120,OR(Paths!$D$96="ICE",'Operating costs'!$B$67&lt;=Paths!$E$96),IF('Operating costs'!$B$67=0,C990=0,AND(C990&gt;0,'Operating costs'!$B$67&gt;(C990-1)*12,'Operating costs'!$B$67&lt;=C990*12))),'Operating costs'!$B$66,0),"n.a."))</f>
        <v>0</v>
      </c>
      <c r="N990" s="16">
        <f>IF(NOT(Paths!$C$96=1),0,IF(Paths!$P$96="Complete",SUM(G990:I990)-J990-K990-L990+M990+IF(C990=0,Paths!$F$96,0)+IF(IF(Paths!$E$96=0,C990=0,AND(C990&gt;0,Paths!$E$96&gt;(C990-1)*12,Paths!$E$96&lt;=C990*12)),VLOOKUP(A990,'Fleet register'!$A$7:$S$106,16,FALSE),0),"n.a."))</f>
        <v>0</v>
      </c>
      <c r="O990" s="16">
        <f>IF(NOT(Paths!$C$96=1),0,IF(Paths!$P$96="Complete",N990-IF(C990=0,Paths!$F$96,0),"n.a."))</f>
        <v>0</v>
      </c>
      <c r="P990" s="16">
        <f>IF(NOT(Paths!$C$96=1),0,IF(Paths!$P$96="Complete",O990+L990,"n.a."))</f>
        <v>0</v>
      </c>
      <c r="Q990" s="16">
        <f>IF(NOT(Paths!$C$96=1),0,IF(Paths!$P$96="Complete",N990*(1+'Operating costs'!$B$54)^-C990,"n.a."))</f>
        <v>0</v>
      </c>
      <c r="R990" s="16">
        <f>IF(NOT(Paths!$C$96=1),0,IF(Paths!$P$96="Complete",IF(AND(C990=0,Paths!$E$96=0),I990-J990-K990+VLOOKUP(A990,'Fleet register'!$A$7:$S$106,15,FALSE)+VLOOKUP(A990,'Fleet register'!$A$7:$S$106,16,FALSE),0),"n.a."))</f>
        <v>0</v>
      </c>
      <c r="S990" s="1">
        <f>IF(NOT(Paths!$C$96=1),0,IF(Paths!$P$96="Complete",IF(C990=0,0,Paths!$S$96*Paths!$R$96),"n.a."))</f>
        <v>0</v>
      </c>
      <c r="T990" s="1">
        <f>IF(NOT(Paths!$C$96=1),0,IF(Paths!$P$96="Complete",IF(C990=0,0,VLOOKUP(A990,'Fleet register'!$A$7:$S$106,9,FALSE)*Paths!$R$96),"n.a."))</f>
        <v>0</v>
      </c>
    </row>
    <row r="991" spans="1:20" ht="24" customHeight="1">
      <c r="A991" s="1" t="str">
        <f>Paths!$A$96</f>
        <v>T023</v>
      </c>
      <c r="B991" s="1">
        <f>Paths!$B$96</f>
        <v>1</v>
      </c>
      <c r="C991" s="1">
        <v>5</v>
      </c>
      <c r="D991" s="1">
        <v>96</v>
      </c>
      <c r="E991" s="1">
        <f>IF(OR(Paths!$C$96=0,C991=0),0,MAX(0,MIN(C991*12,Paths!$E$96)-(C991-1)*12))</f>
        <v>0</v>
      </c>
      <c r="F991" s="1">
        <f>IF(OR(Paths!$C$96=0,C991=0),0,12-E991)</f>
        <v>0</v>
      </c>
      <c r="G991" s="16">
        <f>IF(NOT(Paths!$C$96=1),0,IF(Paths!$P$96="Complete",E991/12*(Paths!$J$96*(1+'Operating costs'!$B$51)^MAX(0,C991-1)+Paths!$K$96*(1+'Operating costs'!$B$53)^MAX(0,C991-1)),"n.a."))</f>
        <v>0</v>
      </c>
      <c r="H991" s="16">
        <f>IF(NOT(Paths!$C$96=1),0,IF(Paths!$P$96="Complete",F991/12*(Paths!$L$96*(1+IF(Paths!$D$96="EV",'Operating costs'!$B$52,'Operating costs'!$B$51))^MAX(0,C991-1)+Paths!$M$96*(1+'Operating costs'!$B$53)^MAX(0,C991-1)),"n.a."))</f>
        <v>0</v>
      </c>
      <c r="I991" s="16">
        <f>IF(NOT(Paths!$C$96=1),0,IF(Paths!$P$96="Complete",IF(IF(Paths!$E$96=0,C991=0,AND(C991&gt;0,Paths!$E$96&gt;(C991-1)*12,Paths!$E$96&lt;=C991*12)),Paths!$G$96,0),"n.a."))</f>
        <v>0</v>
      </c>
      <c r="J991" s="16">
        <f>IF(NOT(Paths!$C$96=1),0,IF(Paths!$P$96="Complete",IF(IF(Paths!$E$96=0,C991=0,AND(C991&gt;0,Paths!$E$96&gt;(C991-1)*12,Paths!$E$96&lt;=C991*12)),Paths!$H$96,0),"n.a."))</f>
        <v>0</v>
      </c>
      <c r="K991" s="16">
        <f>IF(NOT(Paths!$C$96=1),0,IF(Paths!$P$96="Complete",IF(IF(Paths!$O$96=0,C991=0,AND(C991&gt;0,Paths!$O$96&gt;(C991-1)*12,Paths!$O$96&lt;=C991*12)),Paths!$N$96,0),"n.a."))</f>
        <v>0</v>
      </c>
      <c r="L991" s="16">
        <f>IF(NOT(Paths!$C$96=1),0,IF(Paths!$P$96="Complete",IF(C991=10,Paths!$I$96,0),"n.a."))</f>
        <v>0</v>
      </c>
      <c r="M991" s="16">
        <f>IF(NOT(Paths!$C$96=1),0,IF(Paths!$P$96="Complete",IF(AND(Paths!$D$96="EV",Paths!$E$96&lt;120,Paths!$E$96+'Operating costs'!$B$65&gt;Paths!$E$96,Paths!$E$96+'Operating costs'!$B$65&lt;=120,IF(Paths!$E$96+'Operating costs'!$B$65=0,C991=0,AND(C991&gt;0,Paths!$E$96+'Operating costs'!$B$65&gt;(C991-1)*12,Paths!$E$96+'Operating costs'!$B$65&lt;=C991*12))),'Operating costs'!$B$64,0)+IF(AND('Operating costs'!$B$67&gt;0,'Operating costs'!$B$67&lt;=120,OR(Paths!$D$96="ICE",'Operating costs'!$B$67&lt;=Paths!$E$96),IF('Operating costs'!$B$67=0,C991=0,AND(C991&gt;0,'Operating costs'!$B$67&gt;(C991-1)*12,'Operating costs'!$B$67&lt;=C991*12))),'Operating costs'!$B$66,0),"n.a."))</f>
        <v>0</v>
      </c>
      <c r="N991" s="16">
        <f>IF(NOT(Paths!$C$96=1),0,IF(Paths!$P$96="Complete",SUM(G991:I991)-J991-K991-L991+M991+IF(C991=0,Paths!$F$96,0)+IF(IF(Paths!$E$96=0,C991=0,AND(C991&gt;0,Paths!$E$96&gt;(C991-1)*12,Paths!$E$96&lt;=C991*12)),VLOOKUP(A991,'Fleet register'!$A$7:$S$106,16,FALSE),0),"n.a."))</f>
        <v>0</v>
      </c>
      <c r="O991" s="16">
        <f>IF(NOT(Paths!$C$96=1),0,IF(Paths!$P$96="Complete",N991-IF(C991=0,Paths!$F$96,0),"n.a."))</f>
        <v>0</v>
      </c>
      <c r="P991" s="16">
        <f>IF(NOT(Paths!$C$96=1),0,IF(Paths!$P$96="Complete",O991+L991,"n.a."))</f>
        <v>0</v>
      </c>
      <c r="Q991" s="16">
        <f>IF(NOT(Paths!$C$96=1),0,IF(Paths!$P$96="Complete",N991*(1+'Operating costs'!$B$54)^-C991,"n.a."))</f>
        <v>0</v>
      </c>
      <c r="R991" s="16">
        <f>IF(NOT(Paths!$C$96=1),0,IF(Paths!$P$96="Complete",IF(AND(C991=0,Paths!$E$96=0),I991-J991-K991+VLOOKUP(A991,'Fleet register'!$A$7:$S$106,15,FALSE)+VLOOKUP(A991,'Fleet register'!$A$7:$S$106,16,FALSE),0),"n.a."))</f>
        <v>0</v>
      </c>
      <c r="S991" s="1">
        <f>IF(NOT(Paths!$C$96=1),0,IF(Paths!$P$96="Complete",IF(C991=0,0,Paths!$S$96*Paths!$R$96),"n.a."))</f>
        <v>0</v>
      </c>
      <c r="T991" s="1">
        <f>IF(NOT(Paths!$C$96=1),0,IF(Paths!$P$96="Complete",IF(C991=0,0,VLOOKUP(A991,'Fleet register'!$A$7:$S$106,9,FALSE)*Paths!$R$96),"n.a."))</f>
        <v>0</v>
      </c>
    </row>
    <row r="992" spans="1:20" ht="24" customHeight="1">
      <c r="A992" s="1" t="str">
        <f>Paths!$A$96</f>
        <v>T023</v>
      </c>
      <c r="B992" s="1">
        <f>Paths!$B$96</f>
        <v>1</v>
      </c>
      <c r="C992" s="1">
        <v>6</v>
      </c>
      <c r="D992" s="1">
        <v>96</v>
      </c>
      <c r="E992" s="1">
        <f>IF(OR(Paths!$C$96=0,C992=0),0,MAX(0,MIN(C992*12,Paths!$E$96)-(C992-1)*12))</f>
        <v>0</v>
      </c>
      <c r="F992" s="1">
        <f>IF(OR(Paths!$C$96=0,C992=0),0,12-E992)</f>
        <v>0</v>
      </c>
      <c r="G992" s="16">
        <f>IF(NOT(Paths!$C$96=1),0,IF(Paths!$P$96="Complete",E992/12*(Paths!$J$96*(1+'Operating costs'!$B$51)^MAX(0,C992-1)+Paths!$K$96*(1+'Operating costs'!$B$53)^MAX(0,C992-1)),"n.a."))</f>
        <v>0</v>
      </c>
      <c r="H992" s="16">
        <f>IF(NOT(Paths!$C$96=1),0,IF(Paths!$P$96="Complete",F992/12*(Paths!$L$96*(1+IF(Paths!$D$96="EV",'Operating costs'!$B$52,'Operating costs'!$B$51))^MAX(0,C992-1)+Paths!$M$96*(1+'Operating costs'!$B$53)^MAX(0,C992-1)),"n.a."))</f>
        <v>0</v>
      </c>
      <c r="I992" s="16">
        <f>IF(NOT(Paths!$C$96=1),0,IF(Paths!$P$96="Complete",IF(IF(Paths!$E$96=0,C992=0,AND(C992&gt;0,Paths!$E$96&gt;(C992-1)*12,Paths!$E$96&lt;=C992*12)),Paths!$G$96,0),"n.a."))</f>
        <v>0</v>
      </c>
      <c r="J992" s="16">
        <f>IF(NOT(Paths!$C$96=1),0,IF(Paths!$P$96="Complete",IF(IF(Paths!$E$96=0,C992=0,AND(C992&gt;0,Paths!$E$96&gt;(C992-1)*12,Paths!$E$96&lt;=C992*12)),Paths!$H$96,0),"n.a."))</f>
        <v>0</v>
      </c>
      <c r="K992" s="16">
        <f>IF(NOT(Paths!$C$96=1),0,IF(Paths!$P$96="Complete",IF(IF(Paths!$O$96=0,C992=0,AND(C992&gt;0,Paths!$O$96&gt;(C992-1)*12,Paths!$O$96&lt;=C992*12)),Paths!$N$96,0),"n.a."))</f>
        <v>0</v>
      </c>
      <c r="L992" s="16">
        <f>IF(NOT(Paths!$C$96=1),0,IF(Paths!$P$96="Complete",IF(C992=10,Paths!$I$96,0),"n.a."))</f>
        <v>0</v>
      </c>
      <c r="M992" s="16">
        <f>IF(NOT(Paths!$C$96=1),0,IF(Paths!$P$96="Complete",IF(AND(Paths!$D$96="EV",Paths!$E$96&lt;120,Paths!$E$96+'Operating costs'!$B$65&gt;Paths!$E$96,Paths!$E$96+'Operating costs'!$B$65&lt;=120,IF(Paths!$E$96+'Operating costs'!$B$65=0,C992=0,AND(C992&gt;0,Paths!$E$96+'Operating costs'!$B$65&gt;(C992-1)*12,Paths!$E$96+'Operating costs'!$B$65&lt;=C992*12))),'Operating costs'!$B$64,0)+IF(AND('Operating costs'!$B$67&gt;0,'Operating costs'!$B$67&lt;=120,OR(Paths!$D$96="ICE",'Operating costs'!$B$67&lt;=Paths!$E$96),IF('Operating costs'!$B$67=0,C992=0,AND(C992&gt;0,'Operating costs'!$B$67&gt;(C992-1)*12,'Operating costs'!$B$67&lt;=C992*12))),'Operating costs'!$B$66,0),"n.a."))</f>
        <v>0</v>
      </c>
      <c r="N992" s="16">
        <f>IF(NOT(Paths!$C$96=1),0,IF(Paths!$P$96="Complete",SUM(G992:I992)-J992-K992-L992+M992+IF(C992=0,Paths!$F$96,0)+IF(IF(Paths!$E$96=0,C992=0,AND(C992&gt;0,Paths!$E$96&gt;(C992-1)*12,Paths!$E$96&lt;=C992*12)),VLOOKUP(A992,'Fleet register'!$A$7:$S$106,16,FALSE),0),"n.a."))</f>
        <v>0</v>
      </c>
      <c r="O992" s="16">
        <f>IF(NOT(Paths!$C$96=1),0,IF(Paths!$P$96="Complete",N992-IF(C992=0,Paths!$F$96,0),"n.a."))</f>
        <v>0</v>
      </c>
      <c r="P992" s="16">
        <f>IF(NOT(Paths!$C$96=1),0,IF(Paths!$P$96="Complete",O992+L992,"n.a."))</f>
        <v>0</v>
      </c>
      <c r="Q992" s="16">
        <f>IF(NOT(Paths!$C$96=1),0,IF(Paths!$P$96="Complete",N992*(1+'Operating costs'!$B$54)^-C992,"n.a."))</f>
        <v>0</v>
      </c>
      <c r="R992" s="16">
        <f>IF(NOT(Paths!$C$96=1),0,IF(Paths!$P$96="Complete",IF(AND(C992=0,Paths!$E$96=0),I992-J992-K992+VLOOKUP(A992,'Fleet register'!$A$7:$S$106,15,FALSE)+VLOOKUP(A992,'Fleet register'!$A$7:$S$106,16,FALSE),0),"n.a."))</f>
        <v>0</v>
      </c>
      <c r="S992" s="1">
        <f>IF(NOT(Paths!$C$96=1),0,IF(Paths!$P$96="Complete",IF(C992=0,0,Paths!$S$96*Paths!$R$96),"n.a."))</f>
        <v>0</v>
      </c>
      <c r="T992" s="1">
        <f>IF(NOT(Paths!$C$96=1),0,IF(Paths!$P$96="Complete",IF(C992=0,0,VLOOKUP(A992,'Fleet register'!$A$7:$S$106,9,FALSE)*Paths!$R$96),"n.a."))</f>
        <v>0</v>
      </c>
    </row>
    <row r="993" spans="1:20" ht="24" customHeight="1">
      <c r="A993" s="1" t="str">
        <f>Paths!$A$96</f>
        <v>T023</v>
      </c>
      <c r="B993" s="1">
        <f>Paths!$B$96</f>
        <v>1</v>
      </c>
      <c r="C993" s="1">
        <v>7</v>
      </c>
      <c r="D993" s="1">
        <v>96</v>
      </c>
      <c r="E993" s="1">
        <f>IF(OR(Paths!$C$96=0,C993=0),0,MAX(0,MIN(C993*12,Paths!$E$96)-(C993-1)*12))</f>
        <v>0</v>
      </c>
      <c r="F993" s="1">
        <f>IF(OR(Paths!$C$96=0,C993=0),0,12-E993)</f>
        <v>0</v>
      </c>
      <c r="G993" s="16">
        <f>IF(NOT(Paths!$C$96=1),0,IF(Paths!$P$96="Complete",E993/12*(Paths!$J$96*(1+'Operating costs'!$B$51)^MAX(0,C993-1)+Paths!$K$96*(1+'Operating costs'!$B$53)^MAX(0,C993-1)),"n.a."))</f>
        <v>0</v>
      </c>
      <c r="H993" s="16">
        <f>IF(NOT(Paths!$C$96=1),0,IF(Paths!$P$96="Complete",F993/12*(Paths!$L$96*(1+IF(Paths!$D$96="EV",'Operating costs'!$B$52,'Operating costs'!$B$51))^MAX(0,C993-1)+Paths!$M$96*(1+'Operating costs'!$B$53)^MAX(0,C993-1)),"n.a."))</f>
        <v>0</v>
      </c>
      <c r="I993" s="16">
        <f>IF(NOT(Paths!$C$96=1),0,IF(Paths!$P$96="Complete",IF(IF(Paths!$E$96=0,C993=0,AND(C993&gt;0,Paths!$E$96&gt;(C993-1)*12,Paths!$E$96&lt;=C993*12)),Paths!$G$96,0),"n.a."))</f>
        <v>0</v>
      </c>
      <c r="J993" s="16">
        <f>IF(NOT(Paths!$C$96=1),0,IF(Paths!$P$96="Complete",IF(IF(Paths!$E$96=0,C993=0,AND(C993&gt;0,Paths!$E$96&gt;(C993-1)*12,Paths!$E$96&lt;=C993*12)),Paths!$H$96,0),"n.a."))</f>
        <v>0</v>
      </c>
      <c r="K993" s="16">
        <f>IF(NOT(Paths!$C$96=1),0,IF(Paths!$P$96="Complete",IF(IF(Paths!$O$96=0,C993=0,AND(C993&gt;0,Paths!$O$96&gt;(C993-1)*12,Paths!$O$96&lt;=C993*12)),Paths!$N$96,0),"n.a."))</f>
        <v>0</v>
      </c>
      <c r="L993" s="16">
        <f>IF(NOT(Paths!$C$96=1),0,IF(Paths!$P$96="Complete",IF(C993=10,Paths!$I$96,0),"n.a."))</f>
        <v>0</v>
      </c>
      <c r="M993" s="16">
        <f>IF(NOT(Paths!$C$96=1),0,IF(Paths!$P$96="Complete",IF(AND(Paths!$D$96="EV",Paths!$E$96&lt;120,Paths!$E$96+'Operating costs'!$B$65&gt;Paths!$E$96,Paths!$E$96+'Operating costs'!$B$65&lt;=120,IF(Paths!$E$96+'Operating costs'!$B$65=0,C993=0,AND(C993&gt;0,Paths!$E$96+'Operating costs'!$B$65&gt;(C993-1)*12,Paths!$E$96+'Operating costs'!$B$65&lt;=C993*12))),'Operating costs'!$B$64,0)+IF(AND('Operating costs'!$B$67&gt;0,'Operating costs'!$B$67&lt;=120,OR(Paths!$D$96="ICE",'Operating costs'!$B$67&lt;=Paths!$E$96),IF('Operating costs'!$B$67=0,C993=0,AND(C993&gt;0,'Operating costs'!$B$67&gt;(C993-1)*12,'Operating costs'!$B$67&lt;=C993*12))),'Operating costs'!$B$66,0),"n.a."))</f>
        <v>0</v>
      </c>
      <c r="N993" s="16">
        <f>IF(NOT(Paths!$C$96=1),0,IF(Paths!$P$96="Complete",SUM(G993:I993)-J993-K993-L993+M993+IF(C993=0,Paths!$F$96,0)+IF(IF(Paths!$E$96=0,C993=0,AND(C993&gt;0,Paths!$E$96&gt;(C993-1)*12,Paths!$E$96&lt;=C993*12)),VLOOKUP(A993,'Fleet register'!$A$7:$S$106,16,FALSE),0),"n.a."))</f>
        <v>0</v>
      </c>
      <c r="O993" s="16">
        <f>IF(NOT(Paths!$C$96=1),0,IF(Paths!$P$96="Complete",N993-IF(C993=0,Paths!$F$96,0),"n.a."))</f>
        <v>0</v>
      </c>
      <c r="P993" s="16">
        <f>IF(NOT(Paths!$C$96=1),0,IF(Paths!$P$96="Complete",O993+L993,"n.a."))</f>
        <v>0</v>
      </c>
      <c r="Q993" s="16">
        <f>IF(NOT(Paths!$C$96=1),0,IF(Paths!$P$96="Complete",N993*(1+'Operating costs'!$B$54)^-C993,"n.a."))</f>
        <v>0</v>
      </c>
      <c r="R993" s="16">
        <f>IF(NOT(Paths!$C$96=1),0,IF(Paths!$P$96="Complete",IF(AND(C993=0,Paths!$E$96=0),I993-J993-K993+VLOOKUP(A993,'Fleet register'!$A$7:$S$106,15,FALSE)+VLOOKUP(A993,'Fleet register'!$A$7:$S$106,16,FALSE),0),"n.a."))</f>
        <v>0</v>
      </c>
      <c r="S993" s="1">
        <f>IF(NOT(Paths!$C$96=1),0,IF(Paths!$P$96="Complete",IF(C993=0,0,Paths!$S$96*Paths!$R$96),"n.a."))</f>
        <v>0</v>
      </c>
      <c r="T993" s="1">
        <f>IF(NOT(Paths!$C$96=1),0,IF(Paths!$P$96="Complete",IF(C993=0,0,VLOOKUP(A993,'Fleet register'!$A$7:$S$106,9,FALSE)*Paths!$R$96),"n.a."))</f>
        <v>0</v>
      </c>
    </row>
    <row r="994" spans="1:20" ht="24" customHeight="1">
      <c r="A994" s="1" t="str">
        <f>Paths!$A$96</f>
        <v>T023</v>
      </c>
      <c r="B994" s="1">
        <f>Paths!$B$96</f>
        <v>1</v>
      </c>
      <c r="C994" s="1">
        <v>8</v>
      </c>
      <c r="D994" s="1">
        <v>96</v>
      </c>
      <c r="E994" s="1">
        <f>IF(OR(Paths!$C$96=0,C994=0),0,MAX(0,MIN(C994*12,Paths!$E$96)-(C994-1)*12))</f>
        <v>0</v>
      </c>
      <c r="F994" s="1">
        <f>IF(OR(Paths!$C$96=0,C994=0),0,12-E994)</f>
        <v>0</v>
      </c>
      <c r="G994" s="16">
        <f>IF(NOT(Paths!$C$96=1),0,IF(Paths!$P$96="Complete",E994/12*(Paths!$J$96*(1+'Operating costs'!$B$51)^MAX(0,C994-1)+Paths!$K$96*(1+'Operating costs'!$B$53)^MAX(0,C994-1)),"n.a."))</f>
        <v>0</v>
      </c>
      <c r="H994" s="16">
        <f>IF(NOT(Paths!$C$96=1),0,IF(Paths!$P$96="Complete",F994/12*(Paths!$L$96*(1+IF(Paths!$D$96="EV",'Operating costs'!$B$52,'Operating costs'!$B$51))^MAX(0,C994-1)+Paths!$M$96*(1+'Operating costs'!$B$53)^MAX(0,C994-1)),"n.a."))</f>
        <v>0</v>
      </c>
      <c r="I994" s="16">
        <f>IF(NOT(Paths!$C$96=1),0,IF(Paths!$P$96="Complete",IF(IF(Paths!$E$96=0,C994=0,AND(C994&gt;0,Paths!$E$96&gt;(C994-1)*12,Paths!$E$96&lt;=C994*12)),Paths!$G$96,0),"n.a."))</f>
        <v>0</v>
      </c>
      <c r="J994" s="16">
        <f>IF(NOT(Paths!$C$96=1),0,IF(Paths!$P$96="Complete",IF(IF(Paths!$E$96=0,C994=0,AND(C994&gt;0,Paths!$E$96&gt;(C994-1)*12,Paths!$E$96&lt;=C994*12)),Paths!$H$96,0),"n.a."))</f>
        <v>0</v>
      </c>
      <c r="K994" s="16">
        <f>IF(NOT(Paths!$C$96=1),0,IF(Paths!$P$96="Complete",IF(IF(Paths!$O$96=0,C994=0,AND(C994&gt;0,Paths!$O$96&gt;(C994-1)*12,Paths!$O$96&lt;=C994*12)),Paths!$N$96,0),"n.a."))</f>
        <v>0</v>
      </c>
      <c r="L994" s="16">
        <f>IF(NOT(Paths!$C$96=1),0,IF(Paths!$P$96="Complete",IF(C994=10,Paths!$I$96,0),"n.a."))</f>
        <v>0</v>
      </c>
      <c r="M994" s="16">
        <f>IF(NOT(Paths!$C$96=1),0,IF(Paths!$P$96="Complete",IF(AND(Paths!$D$96="EV",Paths!$E$96&lt;120,Paths!$E$96+'Operating costs'!$B$65&gt;Paths!$E$96,Paths!$E$96+'Operating costs'!$B$65&lt;=120,IF(Paths!$E$96+'Operating costs'!$B$65=0,C994=0,AND(C994&gt;0,Paths!$E$96+'Operating costs'!$B$65&gt;(C994-1)*12,Paths!$E$96+'Operating costs'!$B$65&lt;=C994*12))),'Operating costs'!$B$64,0)+IF(AND('Operating costs'!$B$67&gt;0,'Operating costs'!$B$67&lt;=120,OR(Paths!$D$96="ICE",'Operating costs'!$B$67&lt;=Paths!$E$96),IF('Operating costs'!$B$67=0,C994=0,AND(C994&gt;0,'Operating costs'!$B$67&gt;(C994-1)*12,'Operating costs'!$B$67&lt;=C994*12))),'Operating costs'!$B$66,0),"n.a."))</f>
        <v>0</v>
      </c>
      <c r="N994" s="16">
        <f>IF(NOT(Paths!$C$96=1),0,IF(Paths!$P$96="Complete",SUM(G994:I994)-J994-K994-L994+M994+IF(C994=0,Paths!$F$96,0)+IF(IF(Paths!$E$96=0,C994=0,AND(C994&gt;0,Paths!$E$96&gt;(C994-1)*12,Paths!$E$96&lt;=C994*12)),VLOOKUP(A994,'Fleet register'!$A$7:$S$106,16,FALSE),0),"n.a."))</f>
        <v>0</v>
      </c>
      <c r="O994" s="16">
        <f>IF(NOT(Paths!$C$96=1),0,IF(Paths!$P$96="Complete",N994-IF(C994=0,Paths!$F$96,0),"n.a."))</f>
        <v>0</v>
      </c>
      <c r="P994" s="16">
        <f>IF(NOT(Paths!$C$96=1),0,IF(Paths!$P$96="Complete",O994+L994,"n.a."))</f>
        <v>0</v>
      </c>
      <c r="Q994" s="16">
        <f>IF(NOT(Paths!$C$96=1),0,IF(Paths!$P$96="Complete",N994*(1+'Operating costs'!$B$54)^-C994,"n.a."))</f>
        <v>0</v>
      </c>
      <c r="R994" s="16">
        <f>IF(NOT(Paths!$C$96=1),0,IF(Paths!$P$96="Complete",IF(AND(C994=0,Paths!$E$96=0),I994-J994-K994+VLOOKUP(A994,'Fleet register'!$A$7:$S$106,15,FALSE)+VLOOKUP(A994,'Fleet register'!$A$7:$S$106,16,FALSE),0),"n.a."))</f>
        <v>0</v>
      </c>
      <c r="S994" s="1">
        <f>IF(NOT(Paths!$C$96=1),0,IF(Paths!$P$96="Complete",IF(C994=0,0,Paths!$S$96*Paths!$R$96),"n.a."))</f>
        <v>0</v>
      </c>
      <c r="T994" s="1">
        <f>IF(NOT(Paths!$C$96=1),0,IF(Paths!$P$96="Complete",IF(C994=0,0,VLOOKUP(A994,'Fleet register'!$A$7:$S$106,9,FALSE)*Paths!$R$96),"n.a."))</f>
        <v>0</v>
      </c>
    </row>
    <row r="995" spans="1:20" ht="24" customHeight="1">
      <c r="A995" s="1" t="str">
        <f>Paths!$A$96</f>
        <v>T023</v>
      </c>
      <c r="B995" s="1">
        <f>Paths!$B$96</f>
        <v>1</v>
      </c>
      <c r="C995" s="1">
        <v>9</v>
      </c>
      <c r="D995" s="1">
        <v>96</v>
      </c>
      <c r="E995" s="1">
        <f>IF(OR(Paths!$C$96=0,C995=0),0,MAX(0,MIN(C995*12,Paths!$E$96)-(C995-1)*12))</f>
        <v>0</v>
      </c>
      <c r="F995" s="1">
        <f>IF(OR(Paths!$C$96=0,C995=0),0,12-E995)</f>
        <v>0</v>
      </c>
      <c r="G995" s="16">
        <f>IF(NOT(Paths!$C$96=1),0,IF(Paths!$P$96="Complete",E995/12*(Paths!$J$96*(1+'Operating costs'!$B$51)^MAX(0,C995-1)+Paths!$K$96*(1+'Operating costs'!$B$53)^MAX(0,C995-1)),"n.a."))</f>
        <v>0</v>
      </c>
      <c r="H995" s="16">
        <f>IF(NOT(Paths!$C$96=1),0,IF(Paths!$P$96="Complete",F995/12*(Paths!$L$96*(1+IF(Paths!$D$96="EV",'Operating costs'!$B$52,'Operating costs'!$B$51))^MAX(0,C995-1)+Paths!$M$96*(1+'Operating costs'!$B$53)^MAX(0,C995-1)),"n.a."))</f>
        <v>0</v>
      </c>
      <c r="I995" s="16">
        <f>IF(NOT(Paths!$C$96=1),0,IF(Paths!$P$96="Complete",IF(IF(Paths!$E$96=0,C995=0,AND(C995&gt;0,Paths!$E$96&gt;(C995-1)*12,Paths!$E$96&lt;=C995*12)),Paths!$G$96,0),"n.a."))</f>
        <v>0</v>
      </c>
      <c r="J995" s="16">
        <f>IF(NOT(Paths!$C$96=1),0,IF(Paths!$P$96="Complete",IF(IF(Paths!$E$96=0,C995=0,AND(C995&gt;0,Paths!$E$96&gt;(C995-1)*12,Paths!$E$96&lt;=C995*12)),Paths!$H$96,0),"n.a."))</f>
        <v>0</v>
      </c>
      <c r="K995" s="16">
        <f>IF(NOT(Paths!$C$96=1),0,IF(Paths!$P$96="Complete",IF(IF(Paths!$O$96=0,C995=0,AND(C995&gt;0,Paths!$O$96&gt;(C995-1)*12,Paths!$O$96&lt;=C995*12)),Paths!$N$96,0),"n.a."))</f>
        <v>0</v>
      </c>
      <c r="L995" s="16">
        <f>IF(NOT(Paths!$C$96=1),0,IF(Paths!$P$96="Complete",IF(C995=10,Paths!$I$96,0),"n.a."))</f>
        <v>0</v>
      </c>
      <c r="M995" s="16">
        <f>IF(NOT(Paths!$C$96=1),0,IF(Paths!$P$96="Complete",IF(AND(Paths!$D$96="EV",Paths!$E$96&lt;120,Paths!$E$96+'Operating costs'!$B$65&gt;Paths!$E$96,Paths!$E$96+'Operating costs'!$B$65&lt;=120,IF(Paths!$E$96+'Operating costs'!$B$65=0,C995=0,AND(C995&gt;0,Paths!$E$96+'Operating costs'!$B$65&gt;(C995-1)*12,Paths!$E$96+'Operating costs'!$B$65&lt;=C995*12))),'Operating costs'!$B$64,0)+IF(AND('Operating costs'!$B$67&gt;0,'Operating costs'!$B$67&lt;=120,OR(Paths!$D$96="ICE",'Operating costs'!$B$67&lt;=Paths!$E$96),IF('Operating costs'!$B$67=0,C995=0,AND(C995&gt;0,'Operating costs'!$B$67&gt;(C995-1)*12,'Operating costs'!$B$67&lt;=C995*12))),'Operating costs'!$B$66,0),"n.a."))</f>
        <v>0</v>
      </c>
      <c r="N995" s="16">
        <f>IF(NOT(Paths!$C$96=1),0,IF(Paths!$P$96="Complete",SUM(G995:I995)-J995-K995-L995+M995+IF(C995=0,Paths!$F$96,0)+IF(IF(Paths!$E$96=0,C995=0,AND(C995&gt;0,Paths!$E$96&gt;(C995-1)*12,Paths!$E$96&lt;=C995*12)),VLOOKUP(A995,'Fleet register'!$A$7:$S$106,16,FALSE),0),"n.a."))</f>
        <v>0</v>
      </c>
      <c r="O995" s="16">
        <f>IF(NOT(Paths!$C$96=1),0,IF(Paths!$P$96="Complete",N995-IF(C995=0,Paths!$F$96,0),"n.a."))</f>
        <v>0</v>
      </c>
      <c r="P995" s="16">
        <f>IF(NOT(Paths!$C$96=1),0,IF(Paths!$P$96="Complete",O995+L995,"n.a."))</f>
        <v>0</v>
      </c>
      <c r="Q995" s="16">
        <f>IF(NOT(Paths!$C$96=1),0,IF(Paths!$P$96="Complete",N995*(1+'Operating costs'!$B$54)^-C995,"n.a."))</f>
        <v>0</v>
      </c>
      <c r="R995" s="16">
        <f>IF(NOT(Paths!$C$96=1),0,IF(Paths!$P$96="Complete",IF(AND(C995=0,Paths!$E$96=0),I995-J995-K995+VLOOKUP(A995,'Fleet register'!$A$7:$S$106,15,FALSE)+VLOOKUP(A995,'Fleet register'!$A$7:$S$106,16,FALSE),0),"n.a."))</f>
        <v>0</v>
      </c>
      <c r="S995" s="1">
        <f>IF(NOT(Paths!$C$96=1),0,IF(Paths!$P$96="Complete",IF(C995=0,0,Paths!$S$96*Paths!$R$96),"n.a."))</f>
        <v>0</v>
      </c>
      <c r="T995" s="1">
        <f>IF(NOT(Paths!$C$96=1),0,IF(Paths!$P$96="Complete",IF(C995=0,0,VLOOKUP(A995,'Fleet register'!$A$7:$S$106,9,FALSE)*Paths!$R$96),"n.a."))</f>
        <v>0</v>
      </c>
    </row>
    <row r="996" spans="1:20" ht="24" customHeight="1">
      <c r="A996" s="1" t="str">
        <f>Paths!$A$96</f>
        <v>T023</v>
      </c>
      <c r="B996" s="1">
        <f>Paths!$B$96</f>
        <v>1</v>
      </c>
      <c r="C996" s="1">
        <v>10</v>
      </c>
      <c r="D996" s="1">
        <v>96</v>
      </c>
      <c r="E996" s="1">
        <f>IF(OR(Paths!$C$96=0,C996=0),0,MAX(0,MIN(C996*12,Paths!$E$96)-(C996-1)*12))</f>
        <v>0</v>
      </c>
      <c r="F996" s="1">
        <f>IF(OR(Paths!$C$96=0,C996=0),0,12-E996)</f>
        <v>0</v>
      </c>
      <c r="G996" s="16">
        <f>IF(NOT(Paths!$C$96=1),0,IF(Paths!$P$96="Complete",E996/12*(Paths!$J$96*(1+'Operating costs'!$B$51)^MAX(0,C996-1)+Paths!$K$96*(1+'Operating costs'!$B$53)^MAX(0,C996-1)),"n.a."))</f>
        <v>0</v>
      </c>
      <c r="H996" s="16">
        <f>IF(NOT(Paths!$C$96=1),0,IF(Paths!$P$96="Complete",F996/12*(Paths!$L$96*(1+IF(Paths!$D$96="EV",'Operating costs'!$B$52,'Operating costs'!$B$51))^MAX(0,C996-1)+Paths!$M$96*(1+'Operating costs'!$B$53)^MAX(0,C996-1)),"n.a."))</f>
        <v>0</v>
      </c>
      <c r="I996" s="16">
        <f>IF(NOT(Paths!$C$96=1),0,IF(Paths!$P$96="Complete",IF(IF(Paths!$E$96=0,C996=0,AND(C996&gt;0,Paths!$E$96&gt;(C996-1)*12,Paths!$E$96&lt;=C996*12)),Paths!$G$96,0),"n.a."))</f>
        <v>0</v>
      </c>
      <c r="J996" s="16">
        <f>IF(NOT(Paths!$C$96=1),0,IF(Paths!$P$96="Complete",IF(IF(Paths!$E$96=0,C996=0,AND(C996&gt;0,Paths!$E$96&gt;(C996-1)*12,Paths!$E$96&lt;=C996*12)),Paths!$H$96,0),"n.a."))</f>
        <v>0</v>
      </c>
      <c r="K996" s="16">
        <f>IF(NOT(Paths!$C$96=1),0,IF(Paths!$P$96="Complete",IF(IF(Paths!$O$96=0,C996=0,AND(C996&gt;0,Paths!$O$96&gt;(C996-1)*12,Paths!$O$96&lt;=C996*12)),Paths!$N$96,0),"n.a."))</f>
        <v>0</v>
      </c>
      <c r="L996" s="16">
        <f>IF(NOT(Paths!$C$96=1),0,IF(Paths!$P$96="Complete",IF(C996=10,Paths!$I$96,0),"n.a."))</f>
        <v>0</v>
      </c>
      <c r="M996" s="16">
        <f>IF(NOT(Paths!$C$96=1),0,IF(Paths!$P$96="Complete",IF(AND(Paths!$D$96="EV",Paths!$E$96&lt;120,Paths!$E$96+'Operating costs'!$B$65&gt;Paths!$E$96,Paths!$E$96+'Operating costs'!$B$65&lt;=120,IF(Paths!$E$96+'Operating costs'!$B$65=0,C996=0,AND(C996&gt;0,Paths!$E$96+'Operating costs'!$B$65&gt;(C996-1)*12,Paths!$E$96+'Operating costs'!$B$65&lt;=C996*12))),'Operating costs'!$B$64,0)+IF(AND('Operating costs'!$B$67&gt;0,'Operating costs'!$B$67&lt;=120,OR(Paths!$D$96="ICE",'Operating costs'!$B$67&lt;=Paths!$E$96),IF('Operating costs'!$B$67=0,C996=0,AND(C996&gt;0,'Operating costs'!$B$67&gt;(C996-1)*12,'Operating costs'!$B$67&lt;=C996*12))),'Operating costs'!$B$66,0),"n.a."))</f>
        <v>0</v>
      </c>
      <c r="N996" s="16">
        <f>IF(NOT(Paths!$C$96=1),0,IF(Paths!$P$96="Complete",SUM(G996:I996)-J996-K996-L996+M996+IF(C996=0,Paths!$F$96,0)+IF(IF(Paths!$E$96=0,C996=0,AND(C996&gt;0,Paths!$E$96&gt;(C996-1)*12,Paths!$E$96&lt;=C996*12)),VLOOKUP(A996,'Fleet register'!$A$7:$S$106,16,FALSE),0),"n.a."))</f>
        <v>0</v>
      </c>
      <c r="O996" s="16">
        <f>IF(NOT(Paths!$C$96=1),0,IF(Paths!$P$96="Complete",N996-IF(C996=0,Paths!$F$96,0),"n.a."))</f>
        <v>0</v>
      </c>
      <c r="P996" s="16">
        <f>IF(NOT(Paths!$C$96=1),0,IF(Paths!$P$96="Complete",O996+L996,"n.a."))</f>
        <v>0</v>
      </c>
      <c r="Q996" s="16">
        <f>IF(NOT(Paths!$C$96=1),0,IF(Paths!$P$96="Complete",N996*(1+'Operating costs'!$B$54)^-C996,"n.a."))</f>
        <v>0</v>
      </c>
      <c r="R996" s="16">
        <f>IF(NOT(Paths!$C$96=1),0,IF(Paths!$P$96="Complete",IF(AND(C996=0,Paths!$E$96=0),I996-J996-K996+VLOOKUP(A996,'Fleet register'!$A$7:$S$106,15,FALSE)+VLOOKUP(A996,'Fleet register'!$A$7:$S$106,16,FALSE),0),"n.a."))</f>
        <v>0</v>
      </c>
      <c r="S996" s="1">
        <f>IF(NOT(Paths!$C$96=1),0,IF(Paths!$P$96="Complete",IF(C996=0,0,Paths!$S$96*Paths!$R$96),"n.a."))</f>
        <v>0</v>
      </c>
      <c r="T996" s="1">
        <f>IF(NOT(Paths!$C$96=1),0,IF(Paths!$P$96="Complete",IF(C996=0,0,VLOOKUP(A996,'Fleet register'!$A$7:$S$106,9,FALSE)*Paths!$R$96),"n.a."))</f>
        <v>0</v>
      </c>
    </row>
    <row r="997" spans="1:20" ht="24" customHeight="1">
      <c r="A997" s="1" t="str">
        <f>Paths!$A$97</f>
        <v>T023</v>
      </c>
      <c r="B997" s="1">
        <f>Paths!$B$97</f>
        <v>2</v>
      </c>
      <c r="C997" s="1">
        <v>0</v>
      </c>
      <c r="D997" s="1">
        <v>97</v>
      </c>
      <c r="E997" s="1">
        <f>IF(OR(Paths!$C$97=0,C997=0),0,MAX(0,MIN(C997*12,Paths!$E$97)-(C997-1)*12))</f>
        <v>0</v>
      </c>
      <c r="F997" s="1">
        <f>IF(OR(Paths!$C$97=0,C997=0),0,12-E997)</f>
        <v>0</v>
      </c>
      <c r="G997" s="16">
        <f>IF(NOT(Paths!$C$97=1),0,IF(Paths!$P$97="Complete",E997/12*(Paths!$J$97*(1+'Operating costs'!$B$51)^MAX(0,C997-1)+Paths!$K$97*(1+'Operating costs'!$B$53)^MAX(0,C997-1)),"n.a."))</f>
        <v>0</v>
      </c>
      <c r="H997" s="16">
        <f>IF(NOT(Paths!$C$97=1),0,IF(Paths!$P$97="Complete",F997/12*(Paths!$L$97*(1+IF(Paths!$D$97="EV",'Operating costs'!$B$52,'Operating costs'!$B$51))^MAX(0,C997-1)+Paths!$M$97*(1+'Operating costs'!$B$53)^MAX(0,C997-1)),"n.a."))</f>
        <v>0</v>
      </c>
      <c r="I997" s="16">
        <f>IF(NOT(Paths!$C$97=1),0,IF(Paths!$P$97="Complete",IF(IF(Paths!$E$97=0,C997=0,AND(C997&gt;0,Paths!$E$97&gt;(C997-1)*12,Paths!$E$97&lt;=C997*12)),Paths!$G$97,0),"n.a."))</f>
        <v>0</v>
      </c>
      <c r="J997" s="16">
        <f>IF(NOT(Paths!$C$97=1),0,IF(Paths!$P$97="Complete",IF(IF(Paths!$E$97=0,C997=0,AND(C997&gt;0,Paths!$E$97&gt;(C997-1)*12,Paths!$E$97&lt;=C997*12)),Paths!$H$97,0),"n.a."))</f>
        <v>0</v>
      </c>
      <c r="K997" s="16">
        <f>IF(NOT(Paths!$C$97=1),0,IF(Paths!$P$97="Complete",IF(IF(Paths!$O$97=0,C997=0,AND(C997&gt;0,Paths!$O$97&gt;(C997-1)*12,Paths!$O$97&lt;=C997*12)),Paths!$N$97,0),"n.a."))</f>
        <v>0</v>
      </c>
      <c r="L997" s="16">
        <f>IF(NOT(Paths!$C$97=1),0,IF(Paths!$P$97="Complete",IF(C997=10,Paths!$I$97,0),"n.a."))</f>
        <v>0</v>
      </c>
      <c r="M997" s="16">
        <f>IF(NOT(Paths!$C$97=1),0,IF(Paths!$P$97="Complete",IF(AND(Paths!$D$97="EV",Paths!$E$97&lt;120,Paths!$E$97+'Operating costs'!$B$65&gt;Paths!$E$97,Paths!$E$97+'Operating costs'!$B$65&lt;=120,IF(Paths!$E$97+'Operating costs'!$B$65=0,C997=0,AND(C997&gt;0,Paths!$E$97+'Operating costs'!$B$65&gt;(C997-1)*12,Paths!$E$97+'Operating costs'!$B$65&lt;=C997*12))),'Operating costs'!$B$64,0)+IF(AND('Operating costs'!$B$67&gt;0,'Operating costs'!$B$67&lt;=120,OR(Paths!$D$97="ICE",'Operating costs'!$B$67&lt;=Paths!$E$97),IF('Operating costs'!$B$67=0,C997=0,AND(C997&gt;0,'Operating costs'!$B$67&gt;(C997-1)*12,'Operating costs'!$B$67&lt;=C997*12))),'Operating costs'!$B$66,0),"n.a."))</f>
        <v>0</v>
      </c>
      <c r="N997" s="16">
        <f>IF(NOT(Paths!$C$97=1),0,IF(Paths!$P$97="Complete",SUM(G997:I997)-J997-K997-L997+M997+IF(C997=0,Paths!$F$97,0)+IF(IF(Paths!$E$97=0,C997=0,AND(C997&gt;0,Paths!$E$97&gt;(C997-1)*12,Paths!$E$97&lt;=C997*12)),VLOOKUP(A997,'Fleet register'!$A$7:$S$106,16,FALSE),0),"n.a."))</f>
        <v>0</v>
      </c>
      <c r="O997" s="16">
        <f>IF(NOT(Paths!$C$97=1),0,IF(Paths!$P$97="Complete",N997-IF(C997=0,Paths!$F$97,0),"n.a."))</f>
        <v>0</v>
      </c>
      <c r="P997" s="16">
        <f>IF(NOT(Paths!$C$97=1),0,IF(Paths!$P$97="Complete",O997+L997,"n.a."))</f>
        <v>0</v>
      </c>
      <c r="Q997" s="16">
        <f>IF(NOT(Paths!$C$97=1),0,IF(Paths!$P$97="Complete",N997*(1+'Operating costs'!$B$54)^-C997,"n.a."))</f>
        <v>0</v>
      </c>
      <c r="R997" s="16">
        <f>IF(NOT(Paths!$C$97=1),0,IF(Paths!$P$97="Complete",IF(AND(C997=0,Paths!$E$97=0),I997-J997-K997+VLOOKUP(A997,'Fleet register'!$A$7:$S$106,15,FALSE)+VLOOKUP(A997,'Fleet register'!$A$7:$S$106,16,FALSE),0),"n.a."))</f>
        <v>0</v>
      </c>
      <c r="S997" s="1">
        <f>IF(NOT(Paths!$C$97=1),0,IF(Paths!$P$97="Complete",IF(C997=0,0,Paths!$S$97*Paths!$R$97),"n.a."))</f>
        <v>0</v>
      </c>
      <c r="T997" s="1">
        <f>IF(NOT(Paths!$C$97=1),0,IF(Paths!$P$97="Complete",IF(C997=0,0,VLOOKUP(A997,'Fleet register'!$A$7:$S$106,9,FALSE)*Paths!$R$97),"n.a."))</f>
        <v>0</v>
      </c>
    </row>
    <row r="998" spans="1:20" ht="24" customHeight="1">
      <c r="A998" s="1" t="str">
        <f>Paths!$A$97</f>
        <v>T023</v>
      </c>
      <c r="B998" s="1">
        <f>Paths!$B$97</f>
        <v>2</v>
      </c>
      <c r="C998" s="1">
        <v>1</v>
      </c>
      <c r="D998" s="1">
        <v>97</v>
      </c>
      <c r="E998" s="1">
        <f>IF(OR(Paths!$C$97=0,C998=0),0,MAX(0,MIN(C998*12,Paths!$E$97)-(C998-1)*12))</f>
        <v>0</v>
      </c>
      <c r="F998" s="1">
        <f>IF(OR(Paths!$C$97=0,C998=0),0,12-E998)</f>
        <v>0</v>
      </c>
      <c r="G998" s="16">
        <f>IF(NOT(Paths!$C$97=1),0,IF(Paths!$P$97="Complete",E998/12*(Paths!$J$97*(1+'Operating costs'!$B$51)^MAX(0,C998-1)+Paths!$K$97*(1+'Operating costs'!$B$53)^MAX(0,C998-1)),"n.a."))</f>
        <v>0</v>
      </c>
      <c r="H998" s="16">
        <f>IF(NOT(Paths!$C$97=1),0,IF(Paths!$P$97="Complete",F998/12*(Paths!$L$97*(1+IF(Paths!$D$97="EV",'Operating costs'!$B$52,'Operating costs'!$B$51))^MAX(0,C998-1)+Paths!$M$97*(1+'Operating costs'!$B$53)^MAX(0,C998-1)),"n.a."))</f>
        <v>0</v>
      </c>
      <c r="I998" s="16">
        <f>IF(NOT(Paths!$C$97=1),0,IF(Paths!$P$97="Complete",IF(IF(Paths!$E$97=0,C998=0,AND(C998&gt;0,Paths!$E$97&gt;(C998-1)*12,Paths!$E$97&lt;=C998*12)),Paths!$G$97,0),"n.a."))</f>
        <v>0</v>
      </c>
      <c r="J998" s="16">
        <f>IF(NOT(Paths!$C$97=1),0,IF(Paths!$P$97="Complete",IF(IF(Paths!$E$97=0,C998=0,AND(C998&gt;0,Paths!$E$97&gt;(C998-1)*12,Paths!$E$97&lt;=C998*12)),Paths!$H$97,0),"n.a."))</f>
        <v>0</v>
      </c>
      <c r="K998" s="16">
        <f>IF(NOT(Paths!$C$97=1),0,IF(Paths!$P$97="Complete",IF(IF(Paths!$O$97=0,C998=0,AND(C998&gt;0,Paths!$O$97&gt;(C998-1)*12,Paths!$O$97&lt;=C998*12)),Paths!$N$97,0),"n.a."))</f>
        <v>0</v>
      </c>
      <c r="L998" s="16">
        <f>IF(NOT(Paths!$C$97=1),0,IF(Paths!$P$97="Complete",IF(C998=10,Paths!$I$97,0),"n.a."))</f>
        <v>0</v>
      </c>
      <c r="M998" s="16">
        <f>IF(NOT(Paths!$C$97=1),0,IF(Paths!$P$97="Complete",IF(AND(Paths!$D$97="EV",Paths!$E$97&lt;120,Paths!$E$97+'Operating costs'!$B$65&gt;Paths!$E$97,Paths!$E$97+'Operating costs'!$B$65&lt;=120,IF(Paths!$E$97+'Operating costs'!$B$65=0,C998=0,AND(C998&gt;0,Paths!$E$97+'Operating costs'!$B$65&gt;(C998-1)*12,Paths!$E$97+'Operating costs'!$B$65&lt;=C998*12))),'Operating costs'!$B$64,0)+IF(AND('Operating costs'!$B$67&gt;0,'Operating costs'!$B$67&lt;=120,OR(Paths!$D$97="ICE",'Operating costs'!$B$67&lt;=Paths!$E$97),IF('Operating costs'!$B$67=0,C998=0,AND(C998&gt;0,'Operating costs'!$B$67&gt;(C998-1)*12,'Operating costs'!$B$67&lt;=C998*12))),'Operating costs'!$B$66,0),"n.a."))</f>
        <v>0</v>
      </c>
      <c r="N998" s="16">
        <f>IF(NOT(Paths!$C$97=1),0,IF(Paths!$P$97="Complete",SUM(G998:I998)-J998-K998-L998+M998+IF(C998=0,Paths!$F$97,0)+IF(IF(Paths!$E$97=0,C998=0,AND(C998&gt;0,Paths!$E$97&gt;(C998-1)*12,Paths!$E$97&lt;=C998*12)),VLOOKUP(A998,'Fleet register'!$A$7:$S$106,16,FALSE),0),"n.a."))</f>
        <v>0</v>
      </c>
      <c r="O998" s="16">
        <f>IF(NOT(Paths!$C$97=1),0,IF(Paths!$P$97="Complete",N998-IF(C998=0,Paths!$F$97,0),"n.a."))</f>
        <v>0</v>
      </c>
      <c r="P998" s="16">
        <f>IF(NOT(Paths!$C$97=1),0,IF(Paths!$P$97="Complete",O998+L998,"n.a."))</f>
        <v>0</v>
      </c>
      <c r="Q998" s="16">
        <f>IF(NOT(Paths!$C$97=1),0,IF(Paths!$P$97="Complete",N998*(1+'Operating costs'!$B$54)^-C998,"n.a."))</f>
        <v>0</v>
      </c>
      <c r="R998" s="16">
        <f>IF(NOT(Paths!$C$97=1),0,IF(Paths!$P$97="Complete",IF(AND(C998=0,Paths!$E$97=0),I998-J998-K998+VLOOKUP(A998,'Fleet register'!$A$7:$S$106,15,FALSE)+VLOOKUP(A998,'Fleet register'!$A$7:$S$106,16,FALSE),0),"n.a."))</f>
        <v>0</v>
      </c>
      <c r="S998" s="1">
        <f>IF(NOT(Paths!$C$97=1),0,IF(Paths!$P$97="Complete",IF(C998=0,0,Paths!$S$97*Paths!$R$97),"n.a."))</f>
        <v>0</v>
      </c>
      <c r="T998" s="1">
        <f>IF(NOT(Paths!$C$97=1),0,IF(Paths!$P$97="Complete",IF(C998=0,0,VLOOKUP(A998,'Fleet register'!$A$7:$S$106,9,FALSE)*Paths!$R$97),"n.a."))</f>
        <v>0</v>
      </c>
    </row>
    <row r="999" spans="1:20" ht="24" customHeight="1">
      <c r="A999" s="1" t="str">
        <f>Paths!$A$97</f>
        <v>T023</v>
      </c>
      <c r="B999" s="1">
        <f>Paths!$B$97</f>
        <v>2</v>
      </c>
      <c r="C999" s="1">
        <v>2</v>
      </c>
      <c r="D999" s="1">
        <v>97</v>
      </c>
      <c r="E999" s="1">
        <f>IF(OR(Paths!$C$97=0,C999=0),0,MAX(0,MIN(C999*12,Paths!$E$97)-(C999-1)*12))</f>
        <v>0</v>
      </c>
      <c r="F999" s="1">
        <f>IF(OR(Paths!$C$97=0,C999=0),0,12-E999)</f>
        <v>0</v>
      </c>
      <c r="G999" s="16">
        <f>IF(NOT(Paths!$C$97=1),0,IF(Paths!$P$97="Complete",E999/12*(Paths!$J$97*(1+'Operating costs'!$B$51)^MAX(0,C999-1)+Paths!$K$97*(1+'Operating costs'!$B$53)^MAX(0,C999-1)),"n.a."))</f>
        <v>0</v>
      </c>
      <c r="H999" s="16">
        <f>IF(NOT(Paths!$C$97=1),0,IF(Paths!$P$97="Complete",F999/12*(Paths!$L$97*(1+IF(Paths!$D$97="EV",'Operating costs'!$B$52,'Operating costs'!$B$51))^MAX(0,C999-1)+Paths!$M$97*(1+'Operating costs'!$B$53)^MAX(0,C999-1)),"n.a."))</f>
        <v>0</v>
      </c>
      <c r="I999" s="16">
        <f>IF(NOT(Paths!$C$97=1),0,IF(Paths!$P$97="Complete",IF(IF(Paths!$E$97=0,C999=0,AND(C999&gt;0,Paths!$E$97&gt;(C999-1)*12,Paths!$E$97&lt;=C999*12)),Paths!$G$97,0),"n.a."))</f>
        <v>0</v>
      </c>
      <c r="J999" s="16">
        <f>IF(NOT(Paths!$C$97=1),0,IF(Paths!$P$97="Complete",IF(IF(Paths!$E$97=0,C999=0,AND(C999&gt;0,Paths!$E$97&gt;(C999-1)*12,Paths!$E$97&lt;=C999*12)),Paths!$H$97,0),"n.a."))</f>
        <v>0</v>
      </c>
      <c r="K999" s="16">
        <f>IF(NOT(Paths!$C$97=1),0,IF(Paths!$P$97="Complete",IF(IF(Paths!$O$97=0,C999=0,AND(C999&gt;0,Paths!$O$97&gt;(C999-1)*12,Paths!$O$97&lt;=C999*12)),Paths!$N$97,0),"n.a."))</f>
        <v>0</v>
      </c>
      <c r="L999" s="16">
        <f>IF(NOT(Paths!$C$97=1),0,IF(Paths!$P$97="Complete",IF(C999=10,Paths!$I$97,0),"n.a."))</f>
        <v>0</v>
      </c>
      <c r="M999" s="16">
        <f>IF(NOT(Paths!$C$97=1),0,IF(Paths!$P$97="Complete",IF(AND(Paths!$D$97="EV",Paths!$E$97&lt;120,Paths!$E$97+'Operating costs'!$B$65&gt;Paths!$E$97,Paths!$E$97+'Operating costs'!$B$65&lt;=120,IF(Paths!$E$97+'Operating costs'!$B$65=0,C999=0,AND(C999&gt;0,Paths!$E$97+'Operating costs'!$B$65&gt;(C999-1)*12,Paths!$E$97+'Operating costs'!$B$65&lt;=C999*12))),'Operating costs'!$B$64,0)+IF(AND('Operating costs'!$B$67&gt;0,'Operating costs'!$B$67&lt;=120,OR(Paths!$D$97="ICE",'Operating costs'!$B$67&lt;=Paths!$E$97),IF('Operating costs'!$B$67=0,C999=0,AND(C999&gt;0,'Operating costs'!$B$67&gt;(C999-1)*12,'Operating costs'!$B$67&lt;=C999*12))),'Operating costs'!$B$66,0),"n.a."))</f>
        <v>0</v>
      </c>
      <c r="N999" s="16">
        <f>IF(NOT(Paths!$C$97=1),0,IF(Paths!$P$97="Complete",SUM(G999:I999)-J999-K999-L999+M999+IF(C999=0,Paths!$F$97,0)+IF(IF(Paths!$E$97=0,C999=0,AND(C999&gt;0,Paths!$E$97&gt;(C999-1)*12,Paths!$E$97&lt;=C999*12)),VLOOKUP(A999,'Fleet register'!$A$7:$S$106,16,FALSE),0),"n.a."))</f>
        <v>0</v>
      </c>
      <c r="O999" s="16">
        <f>IF(NOT(Paths!$C$97=1),0,IF(Paths!$P$97="Complete",N999-IF(C999=0,Paths!$F$97,0),"n.a."))</f>
        <v>0</v>
      </c>
      <c r="P999" s="16">
        <f>IF(NOT(Paths!$C$97=1),0,IF(Paths!$P$97="Complete",O999+L999,"n.a."))</f>
        <v>0</v>
      </c>
      <c r="Q999" s="16">
        <f>IF(NOT(Paths!$C$97=1),0,IF(Paths!$P$97="Complete",N999*(1+'Operating costs'!$B$54)^-C999,"n.a."))</f>
        <v>0</v>
      </c>
      <c r="R999" s="16">
        <f>IF(NOT(Paths!$C$97=1),0,IF(Paths!$P$97="Complete",IF(AND(C999=0,Paths!$E$97=0),I999-J999-K999+VLOOKUP(A999,'Fleet register'!$A$7:$S$106,15,FALSE)+VLOOKUP(A999,'Fleet register'!$A$7:$S$106,16,FALSE),0),"n.a."))</f>
        <v>0</v>
      </c>
      <c r="S999" s="1">
        <f>IF(NOT(Paths!$C$97=1),0,IF(Paths!$P$97="Complete",IF(C999=0,0,Paths!$S$97*Paths!$R$97),"n.a."))</f>
        <v>0</v>
      </c>
      <c r="T999" s="1">
        <f>IF(NOT(Paths!$C$97=1),0,IF(Paths!$P$97="Complete",IF(C999=0,0,VLOOKUP(A999,'Fleet register'!$A$7:$S$106,9,FALSE)*Paths!$R$97),"n.a."))</f>
        <v>0</v>
      </c>
    </row>
    <row r="1000" spans="1:20" ht="24" customHeight="1">
      <c r="A1000" s="1" t="str">
        <f>Paths!$A$97</f>
        <v>T023</v>
      </c>
      <c r="B1000" s="1">
        <f>Paths!$B$97</f>
        <v>2</v>
      </c>
      <c r="C1000" s="1">
        <v>3</v>
      </c>
      <c r="D1000" s="1">
        <v>97</v>
      </c>
      <c r="E1000" s="1">
        <f>IF(OR(Paths!$C$97=0,C1000=0),0,MAX(0,MIN(C1000*12,Paths!$E$97)-(C1000-1)*12))</f>
        <v>0</v>
      </c>
      <c r="F1000" s="1">
        <f>IF(OR(Paths!$C$97=0,C1000=0),0,12-E1000)</f>
        <v>0</v>
      </c>
      <c r="G1000" s="16">
        <f>IF(NOT(Paths!$C$97=1),0,IF(Paths!$P$97="Complete",E1000/12*(Paths!$J$97*(1+'Operating costs'!$B$51)^MAX(0,C1000-1)+Paths!$K$97*(1+'Operating costs'!$B$53)^MAX(0,C1000-1)),"n.a."))</f>
        <v>0</v>
      </c>
      <c r="H1000" s="16">
        <f>IF(NOT(Paths!$C$97=1),0,IF(Paths!$P$97="Complete",F1000/12*(Paths!$L$97*(1+IF(Paths!$D$97="EV",'Operating costs'!$B$52,'Operating costs'!$B$51))^MAX(0,C1000-1)+Paths!$M$97*(1+'Operating costs'!$B$53)^MAX(0,C1000-1)),"n.a."))</f>
        <v>0</v>
      </c>
      <c r="I1000" s="16">
        <f>IF(NOT(Paths!$C$97=1),0,IF(Paths!$P$97="Complete",IF(IF(Paths!$E$97=0,C1000=0,AND(C1000&gt;0,Paths!$E$97&gt;(C1000-1)*12,Paths!$E$97&lt;=C1000*12)),Paths!$G$97,0),"n.a."))</f>
        <v>0</v>
      </c>
      <c r="J1000" s="16">
        <f>IF(NOT(Paths!$C$97=1),0,IF(Paths!$P$97="Complete",IF(IF(Paths!$E$97=0,C1000=0,AND(C1000&gt;0,Paths!$E$97&gt;(C1000-1)*12,Paths!$E$97&lt;=C1000*12)),Paths!$H$97,0),"n.a."))</f>
        <v>0</v>
      </c>
      <c r="K1000" s="16">
        <f>IF(NOT(Paths!$C$97=1),0,IF(Paths!$P$97="Complete",IF(IF(Paths!$O$97=0,C1000=0,AND(C1000&gt;0,Paths!$O$97&gt;(C1000-1)*12,Paths!$O$97&lt;=C1000*12)),Paths!$N$97,0),"n.a."))</f>
        <v>0</v>
      </c>
      <c r="L1000" s="16">
        <f>IF(NOT(Paths!$C$97=1),0,IF(Paths!$P$97="Complete",IF(C1000=10,Paths!$I$97,0),"n.a."))</f>
        <v>0</v>
      </c>
      <c r="M1000" s="16">
        <f>IF(NOT(Paths!$C$97=1),0,IF(Paths!$P$97="Complete",IF(AND(Paths!$D$97="EV",Paths!$E$97&lt;120,Paths!$E$97+'Operating costs'!$B$65&gt;Paths!$E$97,Paths!$E$97+'Operating costs'!$B$65&lt;=120,IF(Paths!$E$97+'Operating costs'!$B$65=0,C1000=0,AND(C1000&gt;0,Paths!$E$97+'Operating costs'!$B$65&gt;(C1000-1)*12,Paths!$E$97+'Operating costs'!$B$65&lt;=C1000*12))),'Operating costs'!$B$64,0)+IF(AND('Operating costs'!$B$67&gt;0,'Operating costs'!$B$67&lt;=120,OR(Paths!$D$97="ICE",'Operating costs'!$B$67&lt;=Paths!$E$97),IF('Operating costs'!$B$67=0,C1000=0,AND(C1000&gt;0,'Operating costs'!$B$67&gt;(C1000-1)*12,'Operating costs'!$B$67&lt;=C1000*12))),'Operating costs'!$B$66,0),"n.a."))</f>
        <v>0</v>
      </c>
      <c r="N1000" s="16">
        <f>IF(NOT(Paths!$C$97=1),0,IF(Paths!$P$97="Complete",SUM(G1000:I1000)-J1000-K1000-L1000+M1000+IF(C1000=0,Paths!$F$97,0)+IF(IF(Paths!$E$97=0,C1000=0,AND(C1000&gt;0,Paths!$E$97&gt;(C1000-1)*12,Paths!$E$97&lt;=C1000*12)),VLOOKUP(A1000,'Fleet register'!$A$7:$S$106,16,FALSE),0),"n.a."))</f>
        <v>0</v>
      </c>
      <c r="O1000" s="16">
        <f>IF(NOT(Paths!$C$97=1),0,IF(Paths!$P$97="Complete",N1000-IF(C1000=0,Paths!$F$97,0),"n.a."))</f>
        <v>0</v>
      </c>
      <c r="P1000" s="16">
        <f>IF(NOT(Paths!$C$97=1),0,IF(Paths!$P$97="Complete",O1000+L1000,"n.a."))</f>
        <v>0</v>
      </c>
      <c r="Q1000" s="16">
        <f>IF(NOT(Paths!$C$97=1),0,IF(Paths!$P$97="Complete",N1000*(1+'Operating costs'!$B$54)^-C1000,"n.a."))</f>
        <v>0</v>
      </c>
      <c r="R1000" s="16">
        <f>IF(NOT(Paths!$C$97=1),0,IF(Paths!$P$97="Complete",IF(AND(C1000=0,Paths!$E$97=0),I1000-J1000-K1000+VLOOKUP(A1000,'Fleet register'!$A$7:$S$106,15,FALSE)+VLOOKUP(A1000,'Fleet register'!$A$7:$S$106,16,FALSE),0),"n.a."))</f>
        <v>0</v>
      </c>
      <c r="S1000" s="1">
        <f>IF(NOT(Paths!$C$97=1),0,IF(Paths!$P$97="Complete",IF(C1000=0,0,Paths!$S$97*Paths!$R$97),"n.a."))</f>
        <v>0</v>
      </c>
      <c r="T1000" s="1">
        <f>IF(NOT(Paths!$C$97=1),0,IF(Paths!$P$97="Complete",IF(C1000=0,0,VLOOKUP(A1000,'Fleet register'!$A$7:$S$106,9,FALSE)*Paths!$R$97),"n.a."))</f>
        <v>0</v>
      </c>
    </row>
    <row r="1001" spans="1:20" ht="24" customHeight="1">
      <c r="A1001" s="1" t="str">
        <f>Paths!$A$97</f>
        <v>T023</v>
      </c>
      <c r="B1001" s="1">
        <f>Paths!$B$97</f>
        <v>2</v>
      </c>
      <c r="C1001" s="1">
        <v>4</v>
      </c>
      <c r="D1001" s="1">
        <v>97</v>
      </c>
      <c r="E1001" s="1">
        <f>IF(OR(Paths!$C$97=0,C1001=0),0,MAX(0,MIN(C1001*12,Paths!$E$97)-(C1001-1)*12))</f>
        <v>0</v>
      </c>
      <c r="F1001" s="1">
        <f>IF(OR(Paths!$C$97=0,C1001=0),0,12-E1001)</f>
        <v>0</v>
      </c>
      <c r="G1001" s="16">
        <f>IF(NOT(Paths!$C$97=1),0,IF(Paths!$P$97="Complete",E1001/12*(Paths!$J$97*(1+'Operating costs'!$B$51)^MAX(0,C1001-1)+Paths!$K$97*(1+'Operating costs'!$B$53)^MAX(0,C1001-1)),"n.a."))</f>
        <v>0</v>
      </c>
      <c r="H1001" s="16">
        <f>IF(NOT(Paths!$C$97=1),0,IF(Paths!$P$97="Complete",F1001/12*(Paths!$L$97*(1+IF(Paths!$D$97="EV",'Operating costs'!$B$52,'Operating costs'!$B$51))^MAX(0,C1001-1)+Paths!$M$97*(1+'Operating costs'!$B$53)^MAX(0,C1001-1)),"n.a."))</f>
        <v>0</v>
      </c>
      <c r="I1001" s="16">
        <f>IF(NOT(Paths!$C$97=1),0,IF(Paths!$P$97="Complete",IF(IF(Paths!$E$97=0,C1001=0,AND(C1001&gt;0,Paths!$E$97&gt;(C1001-1)*12,Paths!$E$97&lt;=C1001*12)),Paths!$G$97,0),"n.a."))</f>
        <v>0</v>
      </c>
      <c r="J1001" s="16">
        <f>IF(NOT(Paths!$C$97=1),0,IF(Paths!$P$97="Complete",IF(IF(Paths!$E$97=0,C1001=0,AND(C1001&gt;0,Paths!$E$97&gt;(C1001-1)*12,Paths!$E$97&lt;=C1001*12)),Paths!$H$97,0),"n.a."))</f>
        <v>0</v>
      </c>
      <c r="K1001" s="16">
        <f>IF(NOT(Paths!$C$97=1),0,IF(Paths!$P$97="Complete",IF(IF(Paths!$O$97=0,C1001=0,AND(C1001&gt;0,Paths!$O$97&gt;(C1001-1)*12,Paths!$O$97&lt;=C1001*12)),Paths!$N$97,0),"n.a."))</f>
        <v>0</v>
      </c>
      <c r="L1001" s="16">
        <f>IF(NOT(Paths!$C$97=1),0,IF(Paths!$P$97="Complete",IF(C1001=10,Paths!$I$97,0),"n.a."))</f>
        <v>0</v>
      </c>
      <c r="M1001" s="16">
        <f>IF(NOT(Paths!$C$97=1),0,IF(Paths!$P$97="Complete",IF(AND(Paths!$D$97="EV",Paths!$E$97&lt;120,Paths!$E$97+'Operating costs'!$B$65&gt;Paths!$E$97,Paths!$E$97+'Operating costs'!$B$65&lt;=120,IF(Paths!$E$97+'Operating costs'!$B$65=0,C1001=0,AND(C1001&gt;0,Paths!$E$97+'Operating costs'!$B$65&gt;(C1001-1)*12,Paths!$E$97+'Operating costs'!$B$65&lt;=C1001*12))),'Operating costs'!$B$64,0)+IF(AND('Operating costs'!$B$67&gt;0,'Operating costs'!$B$67&lt;=120,OR(Paths!$D$97="ICE",'Operating costs'!$B$67&lt;=Paths!$E$97),IF('Operating costs'!$B$67=0,C1001=0,AND(C1001&gt;0,'Operating costs'!$B$67&gt;(C1001-1)*12,'Operating costs'!$B$67&lt;=C1001*12))),'Operating costs'!$B$66,0),"n.a."))</f>
        <v>0</v>
      </c>
      <c r="N1001" s="16">
        <f>IF(NOT(Paths!$C$97=1),0,IF(Paths!$P$97="Complete",SUM(G1001:I1001)-J1001-K1001-L1001+M1001+IF(C1001=0,Paths!$F$97,0)+IF(IF(Paths!$E$97=0,C1001=0,AND(C1001&gt;0,Paths!$E$97&gt;(C1001-1)*12,Paths!$E$97&lt;=C1001*12)),VLOOKUP(A1001,'Fleet register'!$A$7:$S$106,16,FALSE),0),"n.a."))</f>
        <v>0</v>
      </c>
      <c r="O1001" s="16">
        <f>IF(NOT(Paths!$C$97=1),0,IF(Paths!$P$97="Complete",N1001-IF(C1001=0,Paths!$F$97,0),"n.a."))</f>
        <v>0</v>
      </c>
      <c r="P1001" s="16">
        <f>IF(NOT(Paths!$C$97=1),0,IF(Paths!$P$97="Complete",O1001+L1001,"n.a."))</f>
        <v>0</v>
      </c>
      <c r="Q1001" s="16">
        <f>IF(NOT(Paths!$C$97=1),0,IF(Paths!$P$97="Complete",N1001*(1+'Operating costs'!$B$54)^-C1001,"n.a."))</f>
        <v>0</v>
      </c>
      <c r="R1001" s="16">
        <f>IF(NOT(Paths!$C$97=1),0,IF(Paths!$P$97="Complete",IF(AND(C1001=0,Paths!$E$97=0),I1001-J1001-K1001+VLOOKUP(A1001,'Fleet register'!$A$7:$S$106,15,FALSE)+VLOOKUP(A1001,'Fleet register'!$A$7:$S$106,16,FALSE),0),"n.a."))</f>
        <v>0</v>
      </c>
      <c r="S1001" s="1">
        <f>IF(NOT(Paths!$C$97=1),0,IF(Paths!$P$97="Complete",IF(C1001=0,0,Paths!$S$97*Paths!$R$97),"n.a."))</f>
        <v>0</v>
      </c>
      <c r="T1001" s="1">
        <f>IF(NOT(Paths!$C$97=1),0,IF(Paths!$P$97="Complete",IF(C1001=0,0,VLOOKUP(A1001,'Fleet register'!$A$7:$S$106,9,FALSE)*Paths!$R$97),"n.a."))</f>
        <v>0</v>
      </c>
    </row>
    <row r="1002" spans="1:20" ht="24" customHeight="1">
      <c r="A1002" s="1" t="str">
        <f>Paths!$A$97</f>
        <v>T023</v>
      </c>
      <c r="B1002" s="1">
        <f>Paths!$B$97</f>
        <v>2</v>
      </c>
      <c r="C1002" s="1">
        <v>5</v>
      </c>
      <c r="D1002" s="1">
        <v>97</v>
      </c>
      <c r="E1002" s="1">
        <f>IF(OR(Paths!$C$97=0,C1002=0),0,MAX(0,MIN(C1002*12,Paths!$E$97)-(C1002-1)*12))</f>
        <v>0</v>
      </c>
      <c r="F1002" s="1">
        <f>IF(OR(Paths!$C$97=0,C1002=0),0,12-E1002)</f>
        <v>0</v>
      </c>
      <c r="G1002" s="16">
        <f>IF(NOT(Paths!$C$97=1),0,IF(Paths!$P$97="Complete",E1002/12*(Paths!$J$97*(1+'Operating costs'!$B$51)^MAX(0,C1002-1)+Paths!$K$97*(1+'Operating costs'!$B$53)^MAX(0,C1002-1)),"n.a."))</f>
        <v>0</v>
      </c>
      <c r="H1002" s="16">
        <f>IF(NOT(Paths!$C$97=1),0,IF(Paths!$P$97="Complete",F1002/12*(Paths!$L$97*(1+IF(Paths!$D$97="EV",'Operating costs'!$B$52,'Operating costs'!$B$51))^MAX(0,C1002-1)+Paths!$M$97*(1+'Operating costs'!$B$53)^MAX(0,C1002-1)),"n.a."))</f>
        <v>0</v>
      </c>
      <c r="I1002" s="16">
        <f>IF(NOT(Paths!$C$97=1),0,IF(Paths!$P$97="Complete",IF(IF(Paths!$E$97=0,C1002=0,AND(C1002&gt;0,Paths!$E$97&gt;(C1002-1)*12,Paths!$E$97&lt;=C1002*12)),Paths!$G$97,0),"n.a."))</f>
        <v>0</v>
      </c>
      <c r="J1002" s="16">
        <f>IF(NOT(Paths!$C$97=1),0,IF(Paths!$P$97="Complete",IF(IF(Paths!$E$97=0,C1002=0,AND(C1002&gt;0,Paths!$E$97&gt;(C1002-1)*12,Paths!$E$97&lt;=C1002*12)),Paths!$H$97,0),"n.a."))</f>
        <v>0</v>
      </c>
      <c r="K1002" s="16">
        <f>IF(NOT(Paths!$C$97=1),0,IF(Paths!$P$97="Complete",IF(IF(Paths!$O$97=0,C1002=0,AND(C1002&gt;0,Paths!$O$97&gt;(C1002-1)*12,Paths!$O$97&lt;=C1002*12)),Paths!$N$97,0),"n.a."))</f>
        <v>0</v>
      </c>
      <c r="L1002" s="16">
        <f>IF(NOT(Paths!$C$97=1),0,IF(Paths!$P$97="Complete",IF(C1002=10,Paths!$I$97,0),"n.a."))</f>
        <v>0</v>
      </c>
      <c r="M1002" s="16">
        <f>IF(NOT(Paths!$C$97=1),0,IF(Paths!$P$97="Complete",IF(AND(Paths!$D$97="EV",Paths!$E$97&lt;120,Paths!$E$97+'Operating costs'!$B$65&gt;Paths!$E$97,Paths!$E$97+'Operating costs'!$B$65&lt;=120,IF(Paths!$E$97+'Operating costs'!$B$65=0,C1002=0,AND(C1002&gt;0,Paths!$E$97+'Operating costs'!$B$65&gt;(C1002-1)*12,Paths!$E$97+'Operating costs'!$B$65&lt;=C1002*12))),'Operating costs'!$B$64,0)+IF(AND('Operating costs'!$B$67&gt;0,'Operating costs'!$B$67&lt;=120,OR(Paths!$D$97="ICE",'Operating costs'!$B$67&lt;=Paths!$E$97),IF('Operating costs'!$B$67=0,C1002=0,AND(C1002&gt;0,'Operating costs'!$B$67&gt;(C1002-1)*12,'Operating costs'!$B$67&lt;=C1002*12))),'Operating costs'!$B$66,0),"n.a."))</f>
        <v>0</v>
      </c>
      <c r="N1002" s="16">
        <f>IF(NOT(Paths!$C$97=1),0,IF(Paths!$P$97="Complete",SUM(G1002:I1002)-J1002-K1002-L1002+M1002+IF(C1002=0,Paths!$F$97,0)+IF(IF(Paths!$E$97=0,C1002=0,AND(C1002&gt;0,Paths!$E$97&gt;(C1002-1)*12,Paths!$E$97&lt;=C1002*12)),VLOOKUP(A1002,'Fleet register'!$A$7:$S$106,16,FALSE),0),"n.a."))</f>
        <v>0</v>
      </c>
      <c r="O1002" s="16">
        <f>IF(NOT(Paths!$C$97=1),0,IF(Paths!$P$97="Complete",N1002-IF(C1002=0,Paths!$F$97,0),"n.a."))</f>
        <v>0</v>
      </c>
      <c r="P1002" s="16">
        <f>IF(NOT(Paths!$C$97=1),0,IF(Paths!$P$97="Complete",O1002+L1002,"n.a."))</f>
        <v>0</v>
      </c>
      <c r="Q1002" s="16">
        <f>IF(NOT(Paths!$C$97=1),0,IF(Paths!$P$97="Complete",N1002*(1+'Operating costs'!$B$54)^-C1002,"n.a."))</f>
        <v>0</v>
      </c>
      <c r="R1002" s="16">
        <f>IF(NOT(Paths!$C$97=1),0,IF(Paths!$P$97="Complete",IF(AND(C1002=0,Paths!$E$97=0),I1002-J1002-K1002+VLOOKUP(A1002,'Fleet register'!$A$7:$S$106,15,FALSE)+VLOOKUP(A1002,'Fleet register'!$A$7:$S$106,16,FALSE),0),"n.a."))</f>
        <v>0</v>
      </c>
      <c r="S1002" s="1">
        <f>IF(NOT(Paths!$C$97=1),0,IF(Paths!$P$97="Complete",IF(C1002=0,0,Paths!$S$97*Paths!$R$97),"n.a."))</f>
        <v>0</v>
      </c>
      <c r="T1002" s="1">
        <f>IF(NOT(Paths!$C$97=1),0,IF(Paths!$P$97="Complete",IF(C1002=0,0,VLOOKUP(A1002,'Fleet register'!$A$7:$S$106,9,FALSE)*Paths!$R$97),"n.a."))</f>
        <v>0</v>
      </c>
    </row>
    <row r="1003" spans="1:20" ht="24" customHeight="1">
      <c r="A1003" s="1" t="str">
        <f>Paths!$A$97</f>
        <v>T023</v>
      </c>
      <c r="B1003" s="1">
        <f>Paths!$B$97</f>
        <v>2</v>
      </c>
      <c r="C1003" s="1">
        <v>6</v>
      </c>
      <c r="D1003" s="1">
        <v>97</v>
      </c>
      <c r="E1003" s="1">
        <f>IF(OR(Paths!$C$97=0,C1003=0),0,MAX(0,MIN(C1003*12,Paths!$E$97)-(C1003-1)*12))</f>
        <v>0</v>
      </c>
      <c r="F1003" s="1">
        <f>IF(OR(Paths!$C$97=0,C1003=0),0,12-E1003)</f>
        <v>0</v>
      </c>
      <c r="G1003" s="16">
        <f>IF(NOT(Paths!$C$97=1),0,IF(Paths!$P$97="Complete",E1003/12*(Paths!$J$97*(1+'Operating costs'!$B$51)^MAX(0,C1003-1)+Paths!$K$97*(1+'Operating costs'!$B$53)^MAX(0,C1003-1)),"n.a."))</f>
        <v>0</v>
      </c>
      <c r="H1003" s="16">
        <f>IF(NOT(Paths!$C$97=1),0,IF(Paths!$P$97="Complete",F1003/12*(Paths!$L$97*(1+IF(Paths!$D$97="EV",'Operating costs'!$B$52,'Operating costs'!$B$51))^MAX(0,C1003-1)+Paths!$M$97*(1+'Operating costs'!$B$53)^MAX(0,C1003-1)),"n.a."))</f>
        <v>0</v>
      </c>
      <c r="I1003" s="16">
        <f>IF(NOT(Paths!$C$97=1),0,IF(Paths!$P$97="Complete",IF(IF(Paths!$E$97=0,C1003=0,AND(C1003&gt;0,Paths!$E$97&gt;(C1003-1)*12,Paths!$E$97&lt;=C1003*12)),Paths!$G$97,0),"n.a."))</f>
        <v>0</v>
      </c>
      <c r="J1003" s="16">
        <f>IF(NOT(Paths!$C$97=1),0,IF(Paths!$P$97="Complete",IF(IF(Paths!$E$97=0,C1003=0,AND(C1003&gt;0,Paths!$E$97&gt;(C1003-1)*12,Paths!$E$97&lt;=C1003*12)),Paths!$H$97,0),"n.a."))</f>
        <v>0</v>
      </c>
      <c r="K1003" s="16">
        <f>IF(NOT(Paths!$C$97=1),0,IF(Paths!$P$97="Complete",IF(IF(Paths!$O$97=0,C1003=0,AND(C1003&gt;0,Paths!$O$97&gt;(C1003-1)*12,Paths!$O$97&lt;=C1003*12)),Paths!$N$97,0),"n.a."))</f>
        <v>0</v>
      </c>
      <c r="L1003" s="16">
        <f>IF(NOT(Paths!$C$97=1),0,IF(Paths!$P$97="Complete",IF(C1003=10,Paths!$I$97,0),"n.a."))</f>
        <v>0</v>
      </c>
      <c r="M1003" s="16">
        <f>IF(NOT(Paths!$C$97=1),0,IF(Paths!$P$97="Complete",IF(AND(Paths!$D$97="EV",Paths!$E$97&lt;120,Paths!$E$97+'Operating costs'!$B$65&gt;Paths!$E$97,Paths!$E$97+'Operating costs'!$B$65&lt;=120,IF(Paths!$E$97+'Operating costs'!$B$65=0,C1003=0,AND(C1003&gt;0,Paths!$E$97+'Operating costs'!$B$65&gt;(C1003-1)*12,Paths!$E$97+'Operating costs'!$B$65&lt;=C1003*12))),'Operating costs'!$B$64,0)+IF(AND('Operating costs'!$B$67&gt;0,'Operating costs'!$B$67&lt;=120,OR(Paths!$D$97="ICE",'Operating costs'!$B$67&lt;=Paths!$E$97),IF('Operating costs'!$B$67=0,C1003=0,AND(C1003&gt;0,'Operating costs'!$B$67&gt;(C1003-1)*12,'Operating costs'!$B$67&lt;=C1003*12))),'Operating costs'!$B$66,0),"n.a."))</f>
        <v>0</v>
      </c>
      <c r="N1003" s="16">
        <f>IF(NOT(Paths!$C$97=1),0,IF(Paths!$P$97="Complete",SUM(G1003:I1003)-J1003-K1003-L1003+M1003+IF(C1003=0,Paths!$F$97,0)+IF(IF(Paths!$E$97=0,C1003=0,AND(C1003&gt;0,Paths!$E$97&gt;(C1003-1)*12,Paths!$E$97&lt;=C1003*12)),VLOOKUP(A1003,'Fleet register'!$A$7:$S$106,16,FALSE),0),"n.a."))</f>
        <v>0</v>
      </c>
      <c r="O1003" s="16">
        <f>IF(NOT(Paths!$C$97=1),0,IF(Paths!$P$97="Complete",N1003-IF(C1003=0,Paths!$F$97,0),"n.a."))</f>
        <v>0</v>
      </c>
      <c r="P1003" s="16">
        <f>IF(NOT(Paths!$C$97=1),0,IF(Paths!$P$97="Complete",O1003+L1003,"n.a."))</f>
        <v>0</v>
      </c>
      <c r="Q1003" s="16">
        <f>IF(NOT(Paths!$C$97=1),0,IF(Paths!$P$97="Complete",N1003*(1+'Operating costs'!$B$54)^-C1003,"n.a."))</f>
        <v>0</v>
      </c>
      <c r="R1003" s="16">
        <f>IF(NOT(Paths!$C$97=1),0,IF(Paths!$P$97="Complete",IF(AND(C1003=0,Paths!$E$97=0),I1003-J1003-K1003+VLOOKUP(A1003,'Fleet register'!$A$7:$S$106,15,FALSE)+VLOOKUP(A1003,'Fleet register'!$A$7:$S$106,16,FALSE),0),"n.a."))</f>
        <v>0</v>
      </c>
      <c r="S1003" s="1">
        <f>IF(NOT(Paths!$C$97=1),0,IF(Paths!$P$97="Complete",IF(C1003=0,0,Paths!$S$97*Paths!$R$97),"n.a."))</f>
        <v>0</v>
      </c>
      <c r="T1003" s="1">
        <f>IF(NOT(Paths!$C$97=1),0,IF(Paths!$P$97="Complete",IF(C1003=0,0,VLOOKUP(A1003,'Fleet register'!$A$7:$S$106,9,FALSE)*Paths!$R$97),"n.a."))</f>
        <v>0</v>
      </c>
    </row>
    <row r="1004" spans="1:20" ht="24" customHeight="1">
      <c r="A1004" s="1" t="str">
        <f>Paths!$A$97</f>
        <v>T023</v>
      </c>
      <c r="B1004" s="1">
        <f>Paths!$B$97</f>
        <v>2</v>
      </c>
      <c r="C1004" s="1">
        <v>7</v>
      </c>
      <c r="D1004" s="1">
        <v>97</v>
      </c>
      <c r="E1004" s="1">
        <f>IF(OR(Paths!$C$97=0,C1004=0),0,MAX(0,MIN(C1004*12,Paths!$E$97)-(C1004-1)*12))</f>
        <v>0</v>
      </c>
      <c r="F1004" s="1">
        <f>IF(OR(Paths!$C$97=0,C1004=0),0,12-E1004)</f>
        <v>0</v>
      </c>
      <c r="G1004" s="16">
        <f>IF(NOT(Paths!$C$97=1),0,IF(Paths!$P$97="Complete",E1004/12*(Paths!$J$97*(1+'Operating costs'!$B$51)^MAX(0,C1004-1)+Paths!$K$97*(1+'Operating costs'!$B$53)^MAX(0,C1004-1)),"n.a."))</f>
        <v>0</v>
      </c>
      <c r="H1004" s="16">
        <f>IF(NOT(Paths!$C$97=1),0,IF(Paths!$P$97="Complete",F1004/12*(Paths!$L$97*(1+IF(Paths!$D$97="EV",'Operating costs'!$B$52,'Operating costs'!$B$51))^MAX(0,C1004-1)+Paths!$M$97*(1+'Operating costs'!$B$53)^MAX(0,C1004-1)),"n.a."))</f>
        <v>0</v>
      </c>
      <c r="I1004" s="16">
        <f>IF(NOT(Paths!$C$97=1),0,IF(Paths!$P$97="Complete",IF(IF(Paths!$E$97=0,C1004=0,AND(C1004&gt;0,Paths!$E$97&gt;(C1004-1)*12,Paths!$E$97&lt;=C1004*12)),Paths!$G$97,0),"n.a."))</f>
        <v>0</v>
      </c>
      <c r="J1004" s="16">
        <f>IF(NOT(Paths!$C$97=1),0,IF(Paths!$P$97="Complete",IF(IF(Paths!$E$97=0,C1004=0,AND(C1004&gt;0,Paths!$E$97&gt;(C1004-1)*12,Paths!$E$97&lt;=C1004*12)),Paths!$H$97,0),"n.a."))</f>
        <v>0</v>
      </c>
      <c r="K1004" s="16">
        <f>IF(NOT(Paths!$C$97=1),0,IF(Paths!$P$97="Complete",IF(IF(Paths!$O$97=0,C1004=0,AND(C1004&gt;0,Paths!$O$97&gt;(C1004-1)*12,Paths!$O$97&lt;=C1004*12)),Paths!$N$97,0),"n.a."))</f>
        <v>0</v>
      </c>
      <c r="L1004" s="16">
        <f>IF(NOT(Paths!$C$97=1),0,IF(Paths!$P$97="Complete",IF(C1004=10,Paths!$I$97,0),"n.a."))</f>
        <v>0</v>
      </c>
      <c r="M1004" s="16">
        <f>IF(NOT(Paths!$C$97=1),0,IF(Paths!$P$97="Complete",IF(AND(Paths!$D$97="EV",Paths!$E$97&lt;120,Paths!$E$97+'Operating costs'!$B$65&gt;Paths!$E$97,Paths!$E$97+'Operating costs'!$B$65&lt;=120,IF(Paths!$E$97+'Operating costs'!$B$65=0,C1004=0,AND(C1004&gt;0,Paths!$E$97+'Operating costs'!$B$65&gt;(C1004-1)*12,Paths!$E$97+'Operating costs'!$B$65&lt;=C1004*12))),'Operating costs'!$B$64,0)+IF(AND('Operating costs'!$B$67&gt;0,'Operating costs'!$B$67&lt;=120,OR(Paths!$D$97="ICE",'Operating costs'!$B$67&lt;=Paths!$E$97),IF('Operating costs'!$B$67=0,C1004=0,AND(C1004&gt;0,'Operating costs'!$B$67&gt;(C1004-1)*12,'Operating costs'!$B$67&lt;=C1004*12))),'Operating costs'!$B$66,0),"n.a."))</f>
        <v>0</v>
      </c>
      <c r="N1004" s="16">
        <f>IF(NOT(Paths!$C$97=1),0,IF(Paths!$P$97="Complete",SUM(G1004:I1004)-J1004-K1004-L1004+M1004+IF(C1004=0,Paths!$F$97,0)+IF(IF(Paths!$E$97=0,C1004=0,AND(C1004&gt;0,Paths!$E$97&gt;(C1004-1)*12,Paths!$E$97&lt;=C1004*12)),VLOOKUP(A1004,'Fleet register'!$A$7:$S$106,16,FALSE),0),"n.a."))</f>
        <v>0</v>
      </c>
      <c r="O1004" s="16">
        <f>IF(NOT(Paths!$C$97=1),0,IF(Paths!$P$97="Complete",N1004-IF(C1004=0,Paths!$F$97,0),"n.a."))</f>
        <v>0</v>
      </c>
      <c r="P1004" s="16">
        <f>IF(NOT(Paths!$C$97=1),0,IF(Paths!$P$97="Complete",O1004+L1004,"n.a."))</f>
        <v>0</v>
      </c>
      <c r="Q1004" s="16">
        <f>IF(NOT(Paths!$C$97=1),0,IF(Paths!$P$97="Complete",N1004*(1+'Operating costs'!$B$54)^-C1004,"n.a."))</f>
        <v>0</v>
      </c>
      <c r="R1004" s="16">
        <f>IF(NOT(Paths!$C$97=1),0,IF(Paths!$P$97="Complete",IF(AND(C1004=0,Paths!$E$97=0),I1004-J1004-K1004+VLOOKUP(A1004,'Fleet register'!$A$7:$S$106,15,FALSE)+VLOOKUP(A1004,'Fleet register'!$A$7:$S$106,16,FALSE),0),"n.a."))</f>
        <v>0</v>
      </c>
      <c r="S1004" s="1">
        <f>IF(NOT(Paths!$C$97=1),0,IF(Paths!$P$97="Complete",IF(C1004=0,0,Paths!$S$97*Paths!$R$97),"n.a."))</f>
        <v>0</v>
      </c>
      <c r="T1004" s="1">
        <f>IF(NOT(Paths!$C$97=1),0,IF(Paths!$P$97="Complete",IF(C1004=0,0,VLOOKUP(A1004,'Fleet register'!$A$7:$S$106,9,FALSE)*Paths!$R$97),"n.a."))</f>
        <v>0</v>
      </c>
    </row>
    <row r="1005" spans="1:20" ht="24" customHeight="1">
      <c r="A1005" s="1" t="str">
        <f>Paths!$A$97</f>
        <v>T023</v>
      </c>
      <c r="B1005" s="1">
        <f>Paths!$B$97</f>
        <v>2</v>
      </c>
      <c r="C1005" s="1">
        <v>8</v>
      </c>
      <c r="D1005" s="1">
        <v>97</v>
      </c>
      <c r="E1005" s="1">
        <f>IF(OR(Paths!$C$97=0,C1005=0),0,MAX(0,MIN(C1005*12,Paths!$E$97)-(C1005-1)*12))</f>
        <v>0</v>
      </c>
      <c r="F1005" s="1">
        <f>IF(OR(Paths!$C$97=0,C1005=0),0,12-E1005)</f>
        <v>0</v>
      </c>
      <c r="G1005" s="16">
        <f>IF(NOT(Paths!$C$97=1),0,IF(Paths!$P$97="Complete",E1005/12*(Paths!$J$97*(1+'Operating costs'!$B$51)^MAX(0,C1005-1)+Paths!$K$97*(1+'Operating costs'!$B$53)^MAX(0,C1005-1)),"n.a."))</f>
        <v>0</v>
      </c>
      <c r="H1005" s="16">
        <f>IF(NOT(Paths!$C$97=1),0,IF(Paths!$P$97="Complete",F1005/12*(Paths!$L$97*(1+IF(Paths!$D$97="EV",'Operating costs'!$B$52,'Operating costs'!$B$51))^MAX(0,C1005-1)+Paths!$M$97*(1+'Operating costs'!$B$53)^MAX(0,C1005-1)),"n.a."))</f>
        <v>0</v>
      </c>
      <c r="I1005" s="16">
        <f>IF(NOT(Paths!$C$97=1),0,IF(Paths!$P$97="Complete",IF(IF(Paths!$E$97=0,C1005=0,AND(C1005&gt;0,Paths!$E$97&gt;(C1005-1)*12,Paths!$E$97&lt;=C1005*12)),Paths!$G$97,0),"n.a."))</f>
        <v>0</v>
      </c>
      <c r="J1005" s="16">
        <f>IF(NOT(Paths!$C$97=1),0,IF(Paths!$P$97="Complete",IF(IF(Paths!$E$97=0,C1005=0,AND(C1005&gt;0,Paths!$E$97&gt;(C1005-1)*12,Paths!$E$97&lt;=C1005*12)),Paths!$H$97,0),"n.a."))</f>
        <v>0</v>
      </c>
      <c r="K1005" s="16">
        <f>IF(NOT(Paths!$C$97=1),0,IF(Paths!$P$97="Complete",IF(IF(Paths!$O$97=0,C1005=0,AND(C1005&gt;0,Paths!$O$97&gt;(C1005-1)*12,Paths!$O$97&lt;=C1005*12)),Paths!$N$97,0),"n.a."))</f>
        <v>0</v>
      </c>
      <c r="L1005" s="16">
        <f>IF(NOT(Paths!$C$97=1),0,IF(Paths!$P$97="Complete",IF(C1005=10,Paths!$I$97,0),"n.a."))</f>
        <v>0</v>
      </c>
      <c r="M1005" s="16">
        <f>IF(NOT(Paths!$C$97=1),0,IF(Paths!$P$97="Complete",IF(AND(Paths!$D$97="EV",Paths!$E$97&lt;120,Paths!$E$97+'Operating costs'!$B$65&gt;Paths!$E$97,Paths!$E$97+'Operating costs'!$B$65&lt;=120,IF(Paths!$E$97+'Operating costs'!$B$65=0,C1005=0,AND(C1005&gt;0,Paths!$E$97+'Operating costs'!$B$65&gt;(C1005-1)*12,Paths!$E$97+'Operating costs'!$B$65&lt;=C1005*12))),'Operating costs'!$B$64,0)+IF(AND('Operating costs'!$B$67&gt;0,'Operating costs'!$B$67&lt;=120,OR(Paths!$D$97="ICE",'Operating costs'!$B$67&lt;=Paths!$E$97),IF('Operating costs'!$B$67=0,C1005=0,AND(C1005&gt;0,'Operating costs'!$B$67&gt;(C1005-1)*12,'Operating costs'!$B$67&lt;=C1005*12))),'Operating costs'!$B$66,0),"n.a."))</f>
        <v>0</v>
      </c>
      <c r="N1005" s="16">
        <f>IF(NOT(Paths!$C$97=1),0,IF(Paths!$P$97="Complete",SUM(G1005:I1005)-J1005-K1005-L1005+M1005+IF(C1005=0,Paths!$F$97,0)+IF(IF(Paths!$E$97=0,C1005=0,AND(C1005&gt;0,Paths!$E$97&gt;(C1005-1)*12,Paths!$E$97&lt;=C1005*12)),VLOOKUP(A1005,'Fleet register'!$A$7:$S$106,16,FALSE),0),"n.a."))</f>
        <v>0</v>
      </c>
      <c r="O1005" s="16">
        <f>IF(NOT(Paths!$C$97=1),0,IF(Paths!$P$97="Complete",N1005-IF(C1005=0,Paths!$F$97,0),"n.a."))</f>
        <v>0</v>
      </c>
      <c r="P1005" s="16">
        <f>IF(NOT(Paths!$C$97=1),0,IF(Paths!$P$97="Complete",O1005+L1005,"n.a."))</f>
        <v>0</v>
      </c>
      <c r="Q1005" s="16">
        <f>IF(NOT(Paths!$C$97=1),0,IF(Paths!$P$97="Complete",N1005*(1+'Operating costs'!$B$54)^-C1005,"n.a."))</f>
        <v>0</v>
      </c>
      <c r="R1005" s="16">
        <f>IF(NOT(Paths!$C$97=1),0,IF(Paths!$P$97="Complete",IF(AND(C1005=0,Paths!$E$97=0),I1005-J1005-K1005+VLOOKUP(A1005,'Fleet register'!$A$7:$S$106,15,FALSE)+VLOOKUP(A1005,'Fleet register'!$A$7:$S$106,16,FALSE),0),"n.a."))</f>
        <v>0</v>
      </c>
      <c r="S1005" s="1">
        <f>IF(NOT(Paths!$C$97=1),0,IF(Paths!$P$97="Complete",IF(C1005=0,0,Paths!$S$97*Paths!$R$97),"n.a."))</f>
        <v>0</v>
      </c>
      <c r="T1005" s="1">
        <f>IF(NOT(Paths!$C$97=1),0,IF(Paths!$P$97="Complete",IF(C1005=0,0,VLOOKUP(A1005,'Fleet register'!$A$7:$S$106,9,FALSE)*Paths!$R$97),"n.a."))</f>
        <v>0</v>
      </c>
    </row>
    <row r="1006" spans="1:20" ht="24" customHeight="1">
      <c r="A1006" s="1" t="str">
        <f>Paths!$A$97</f>
        <v>T023</v>
      </c>
      <c r="B1006" s="1">
        <f>Paths!$B$97</f>
        <v>2</v>
      </c>
      <c r="C1006" s="1">
        <v>9</v>
      </c>
      <c r="D1006" s="1">
        <v>97</v>
      </c>
      <c r="E1006" s="1">
        <f>IF(OR(Paths!$C$97=0,C1006=0),0,MAX(0,MIN(C1006*12,Paths!$E$97)-(C1006-1)*12))</f>
        <v>0</v>
      </c>
      <c r="F1006" s="1">
        <f>IF(OR(Paths!$C$97=0,C1006=0),0,12-E1006)</f>
        <v>0</v>
      </c>
      <c r="G1006" s="16">
        <f>IF(NOT(Paths!$C$97=1),0,IF(Paths!$P$97="Complete",E1006/12*(Paths!$J$97*(1+'Operating costs'!$B$51)^MAX(0,C1006-1)+Paths!$K$97*(1+'Operating costs'!$B$53)^MAX(0,C1006-1)),"n.a."))</f>
        <v>0</v>
      </c>
      <c r="H1006" s="16">
        <f>IF(NOT(Paths!$C$97=1),0,IF(Paths!$P$97="Complete",F1006/12*(Paths!$L$97*(1+IF(Paths!$D$97="EV",'Operating costs'!$B$52,'Operating costs'!$B$51))^MAX(0,C1006-1)+Paths!$M$97*(1+'Operating costs'!$B$53)^MAX(0,C1006-1)),"n.a."))</f>
        <v>0</v>
      </c>
      <c r="I1006" s="16">
        <f>IF(NOT(Paths!$C$97=1),0,IF(Paths!$P$97="Complete",IF(IF(Paths!$E$97=0,C1006=0,AND(C1006&gt;0,Paths!$E$97&gt;(C1006-1)*12,Paths!$E$97&lt;=C1006*12)),Paths!$G$97,0),"n.a."))</f>
        <v>0</v>
      </c>
      <c r="J1006" s="16">
        <f>IF(NOT(Paths!$C$97=1),0,IF(Paths!$P$97="Complete",IF(IF(Paths!$E$97=0,C1006=0,AND(C1006&gt;0,Paths!$E$97&gt;(C1006-1)*12,Paths!$E$97&lt;=C1006*12)),Paths!$H$97,0),"n.a."))</f>
        <v>0</v>
      </c>
      <c r="K1006" s="16">
        <f>IF(NOT(Paths!$C$97=1),0,IF(Paths!$P$97="Complete",IF(IF(Paths!$O$97=0,C1006=0,AND(C1006&gt;0,Paths!$O$97&gt;(C1006-1)*12,Paths!$O$97&lt;=C1006*12)),Paths!$N$97,0),"n.a."))</f>
        <v>0</v>
      </c>
      <c r="L1006" s="16">
        <f>IF(NOT(Paths!$C$97=1),0,IF(Paths!$P$97="Complete",IF(C1006=10,Paths!$I$97,0),"n.a."))</f>
        <v>0</v>
      </c>
      <c r="M1006" s="16">
        <f>IF(NOT(Paths!$C$97=1),0,IF(Paths!$P$97="Complete",IF(AND(Paths!$D$97="EV",Paths!$E$97&lt;120,Paths!$E$97+'Operating costs'!$B$65&gt;Paths!$E$97,Paths!$E$97+'Operating costs'!$B$65&lt;=120,IF(Paths!$E$97+'Operating costs'!$B$65=0,C1006=0,AND(C1006&gt;0,Paths!$E$97+'Operating costs'!$B$65&gt;(C1006-1)*12,Paths!$E$97+'Operating costs'!$B$65&lt;=C1006*12))),'Operating costs'!$B$64,0)+IF(AND('Operating costs'!$B$67&gt;0,'Operating costs'!$B$67&lt;=120,OR(Paths!$D$97="ICE",'Operating costs'!$B$67&lt;=Paths!$E$97),IF('Operating costs'!$B$67=0,C1006=0,AND(C1006&gt;0,'Operating costs'!$B$67&gt;(C1006-1)*12,'Operating costs'!$B$67&lt;=C1006*12))),'Operating costs'!$B$66,0),"n.a."))</f>
        <v>0</v>
      </c>
      <c r="N1006" s="16">
        <f>IF(NOT(Paths!$C$97=1),0,IF(Paths!$P$97="Complete",SUM(G1006:I1006)-J1006-K1006-L1006+M1006+IF(C1006=0,Paths!$F$97,0)+IF(IF(Paths!$E$97=0,C1006=0,AND(C1006&gt;0,Paths!$E$97&gt;(C1006-1)*12,Paths!$E$97&lt;=C1006*12)),VLOOKUP(A1006,'Fleet register'!$A$7:$S$106,16,FALSE),0),"n.a."))</f>
        <v>0</v>
      </c>
      <c r="O1006" s="16">
        <f>IF(NOT(Paths!$C$97=1),0,IF(Paths!$P$97="Complete",N1006-IF(C1006=0,Paths!$F$97,0),"n.a."))</f>
        <v>0</v>
      </c>
      <c r="P1006" s="16">
        <f>IF(NOT(Paths!$C$97=1),0,IF(Paths!$P$97="Complete",O1006+L1006,"n.a."))</f>
        <v>0</v>
      </c>
      <c r="Q1006" s="16">
        <f>IF(NOT(Paths!$C$97=1),0,IF(Paths!$P$97="Complete",N1006*(1+'Operating costs'!$B$54)^-C1006,"n.a."))</f>
        <v>0</v>
      </c>
      <c r="R1006" s="16">
        <f>IF(NOT(Paths!$C$97=1),0,IF(Paths!$P$97="Complete",IF(AND(C1006=0,Paths!$E$97=0),I1006-J1006-K1006+VLOOKUP(A1006,'Fleet register'!$A$7:$S$106,15,FALSE)+VLOOKUP(A1006,'Fleet register'!$A$7:$S$106,16,FALSE),0),"n.a."))</f>
        <v>0</v>
      </c>
      <c r="S1006" s="1">
        <f>IF(NOT(Paths!$C$97=1),0,IF(Paths!$P$97="Complete",IF(C1006=0,0,Paths!$S$97*Paths!$R$97),"n.a."))</f>
        <v>0</v>
      </c>
      <c r="T1006" s="1">
        <f>IF(NOT(Paths!$C$97=1),0,IF(Paths!$P$97="Complete",IF(C1006=0,0,VLOOKUP(A1006,'Fleet register'!$A$7:$S$106,9,FALSE)*Paths!$R$97),"n.a."))</f>
        <v>0</v>
      </c>
    </row>
    <row r="1007" spans="1:20" ht="24" customHeight="1">
      <c r="A1007" s="1" t="str">
        <f>Paths!$A$97</f>
        <v>T023</v>
      </c>
      <c r="B1007" s="1">
        <f>Paths!$B$97</f>
        <v>2</v>
      </c>
      <c r="C1007" s="1">
        <v>10</v>
      </c>
      <c r="D1007" s="1">
        <v>97</v>
      </c>
      <c r="E1007" s="1">
        <f>IF(OR(Paths!$C$97=0,C1007=0),0,MAX(0,MIN(C1007*12,Paths!$E$97)-(C1007-1)*12))</f>
        <v>0</v>
      </c>
      <c r="F1007" s="1">
        <f>IF(OR(Paths!$C$97=0,C1007=0),0,12-E1007)</f>
        <v>0</v>
      </c>
      <c r="G1007" s="16">
        <f>IF(NOT(Paths!$C$97=1),0,IF(Paths!$P$97="Complete",E1007/12*(Paths!$J$97*(1+'Operating costs'!$B$51)^MAX(0,C1007-1)+Paths!$K$97*(1+'Operating costs'!$B$53)^MAX(0,C1007-1)),"n.a."))</f>
        <v>0</v>
      </c>
      <c r="H1007" s="16">
        <f>IF(NOT(Paths!$C$97=1),0,IF(Paths!$P$97="Complete",F1007/12*(Paths!$L$97*(1+IF(Paths!$D$97="EV",'Operating costs'!$B$52,'Operating costs'!$B$51))^MAX(0,C1007-1)+Paths!$M$97*(1+'Operating costs'!$B$53)^MAX(0,C1007-1)),"n.a."))</f>
        <v>0</v>
      </c>
      <c r="I1007" s="16">
        <f>IF(NOT(Paths!$C$97=1),0,IF(Paths!$P$97="Complete",IF(IF(Paths!$E$97=0,C1007=0,AND(C1007&gt;0,Paths!$E$97&gt;(C1007-1)*12,Paths!$E$97&lt;=C1007*12)),Paths!$G$97,0),"n.a."))</f>
        <v>0</v>
      </c>
      <c r="J1007" s="16">
        <f>IF(NOT(Paths!$C$97=1),0,IF(Paths!$P$97="Complete",IF(IF(Paths!$E$97=0,C1007=0,AND(C1007&gt;0,Paths!$E$97&gt;(C1007-1)*12,Paths!$E$97&lt;=C1007*12)),Paths!$H$97,0),"n.a."))</f>
        <v>0</v>
      </c>
      <c r="K1007" s="16">
        <f>IF(NOT(Paths!$C$97=1),0,IF(Paths!$P$97="Complete",IF(IF(Paths!$O$97=0,C1007=0,AND(C1007&gt;0,Paths!$O$97&gt;(C1007-1)*12,Paths!$O$97&lt;=C1007*12)),Paths!$N$97,0),"n.a."))</f>
        <v>0</v>
      </c>
      <c r="L1007" s="16">
        <f>IF(NOT(Paths!$C$97=1),0,IF(Paths!$P$97="Complete",IF(C1007=10,Paths!$I$97,0),"n.a."))</f>
        <v>0</v>
      </c>
      <c r="M1007" s="16">
        <f>IF(NOT(Paths!$C$97=1),0,IF(Paths!$P$97="Complete",IF(AND(Paths!$D$97="EV",Paths!$E$97&lt;120,Paths!$E$97+'Operating costs'!$B$65&gt;Paths!$E$97,Paths!$E$97+'Operating costs'!$B$65&lt;=120,IF(Paths!$E$97+'Operating costs'!$B$65=0,C1007=0,AND(C1007&gt;0,Paths!$E$97+'Operating costs'!$B$65&gt;(C1007-1)*12,Paths!$E$97+'Operating costs'!$B$65&lt;=C1007*12))),'Operating costs'!$B$64,0)+IF(AND('Operating costs'!$B$67&gt;0,'Operating costs'!$B$67&lt;=120,OR(Paths!$D$97="ICE",'Operating costs'!$B$67&lt;=Paths!$E$97),IF('Operating costs'!$B$67=0,C1007=0,AND(C1007&gt;0,'Operating costs'!$B$67&gt;(C1007-1)*12,'Operating costs'!$B$67&lt;=C1007*12))),'Operating costs'!$B$66,0),"n.a."))</f>
        <v>0</v>
      </c>
      <c r="N1007" s="16">
        <f>IF(NOT(Paths!$C$97=1),0,IF(Paths!$P$97="Complete",SUM(G1007:I1007)-J1007-K1007-L1007+M1007+IF(C1007=0,Paths!$F$97,0)+IF(IF(Paths!$E$97=0,C1007=0,AND(C1007&gt;0,Paths!$E$97&gt;(C1007-1)*12,Paths!$E$97&lt;=C1007*12)),VLOOKUP(A1007,'Fleet register'!$A$7:$S$106,16,FALSE),0),"n.a."))</f>
        <v>0</v>
      </c>
      <c r="O1007" s="16">
        <f>IF(NOT(Paths!$C$97=1),0,IF(Paths!$P$97="Complete",N1007-IF(C1007=0,Paths!$F$97,0),"n.a."))</f>
        <v>0</v>
      </c>
      <c r="P1007" s="16">
        <f>IF(NOT(Paths!$C$97=1),0,IF(Paths!$P$97="Complete",O1007+L1007,"n.a."))</f>
        <v>0</v>
      </c>
      <c r="Q1007" s="16">
        <f>IF(NOT(Paths!$C$97=1),0,IF(Paths!$P$97="Complete",N1007*(1+'Operating costs'!$B$54)^-C1007,"n.a."))</f>
        <v>0</v>
      </c>
      <c r="R1007" s="16">
        <f>IF(NOT(Paths!$C$97=1),0,IF(Paths!$P$97="Complete",IF(AND(C1007=0,Paths!$E$97=0),I1007-J1007-K1007+VLOOKUP(A1007,'Fleet register'!$A$7:$S$106,15,FALSE)+VLOOKUP(A1007,'Fleet register'!$A$7:$S$106,16,FALSE),0),"n.a."))</f>
        <v>0</v>
      </c>
      <c r="S1007" s="1">
        <f>IF(NOT(Paths!$C$97=1),0,IF(Paths!$P$97="Complete",IF(C1007=0,0,Paths!$S$97*Paths!$R$97),"n.a."))</f>
        <v>0</v>
      </c>
      <c r="T1007" s="1">
        <f>IF(NOT(Paths!$C$97=1),0,IF(Paths!$P$97="Complete",IF(C1007=0,0,VLOOKUP(A1007,'Fleet register'!$A$7:$S$106,9,FALSE)*Paths!$R$97),"n.a."))</f>
        <v>0</v>
      </c>
    </row>
    <row r="1008" spans="1:20" ht="24" customHeight="1">
      <c r="A1008" s="1" t="str">
        <f>Paths!$A$98</f>
        <v>T023</v>
      </c>
      <c r="B1008" s="1">
        <f>Paths!$B$98</f>
        <v>3</v>
      </c>
      <c r="C1008" s="1">
        <v>0</v>
      </c>
      <c r="D1008" s="1">
        <v>98</v>
      </c>
      <c r="E1008" s="1">
        <f>IF(OR(Paths!$C$98=0,C1008=0),0,MAX(0,MIN(C1008*12,Paths!$E$98)-(C1008-1)*12))</f>
        <v>0</v>
      </c>
      <c r="F1008" s="1">
        <f>IF(OR(Paths!$C$98=0,C1008=0),0,12-E1008)</f>
        <v>0</v>
      </c>
      <c r="G1008" s="16">
        <f>IF(NOT(Paths!$C$98=1),0,IF(Paths!$P$98="Complete",E1008/12*(Paths!$J$98*(1+'Operating costs'!$B$51)^MAX(0,C1008-1)+Paths!$K$98*(1+'Operating costs'!$B$53)^MAX(0,C1008-1)),"n.a."))</f>
        <v>0</v>
      </c>
      <c r="H1008" s="16">
        <f>IF(NOT(Paths!$C$98=1),0,IF(Paths!$P$98="Complete",F1008/12*(Paths!$L$98*(1+IF(Paths!$D$98="EV",'Operating costs'!$B$52,'Operating costs'!$B$51))^MAX(0,C1008-1)+Paths!$M$98*(1+'Operating costs'!$B$53)^MAX(0,C1008-1)),"n.a."))</f>
        <v>0</v>
      </c>
      <c r="I1008" s="16">
        <f>IF(NOT(Paths!$C$98=1),0,IF(Paths!$P$98="Complete",IF(IF(Paths!$E$98=0,C1008=0,AND(C1008&gt;0,Paths!$E$98&gt;(C1008-1)*12,Paths!$E$98&lt;=C1008*12)),Paths!$G$98,0),"n.a."))</f>
        <v>0</v>
      </c>
      <c r="J1008" s="16">
        <f>IF(NOT(Paths!$C$98=1),0,IF(Paths!$P$98="Complete",IF(IF(Paths!$E$98=0,C1008=0,AND(C1008&gt;0,Paths!$E$98&gt;(C1008-1)*12,Paths!$E$98&lt;=C1008*12)),Paths!$H$98,0),"n.a."))</f>
        <v>0</v>
      </c>
      <c r="K1008" s="16">
        <f>IF(NOT(Paths!$C$98=1),0,IF(Paths!$P$98="Complete",IF(IF(Paths!$O$98=0,C1008=0,AND(C1008&gt;0,Paths!$O$98&gt;(C1008-1)*12,Paths!$O$98&lt;=C1008*12)),Paths!$N$98,0),"n.a."))</f>
        <v>0</v>
      </c>
      <c r="L1008" s="16">
        <f>IF(NOT(Paths!$C$98=1),0,IF(Paths!$P$98="Complete",IF(C1008=10,Paths!$I$98,0),"n.a."))</f>
        <v>0</v>
      </c>
      <c r="M1008" s="16">
        <f>IF(NOT(Paths!$C$98=1),0,IF(Paths!$P$98="Complete",IF(AND(Paths!$D$98="EV",Paths!$E$98&lt;120,Paths!$E$98+'Operating costs'!$B$65&gt;Paths!$E$98,Paths!$E$98+'Operating costs'!$B$65&lt;=120,IF(Paths!$E$98+'Operating costs'!$B$65=0,C1008=0,AND(C1008&gt;0,Paths!$E$98+'Operating costs'!$B$65&gt;(C1008-1)*12,Paths!$E$98+'Operating costs'!$B$65&lt;=C1008*12))),'Operating costs'!$B$64,0)+IF(AND('Operating costs'!$B$67&gt;0,'Operating costs'!$B$67&lt;=120,OR(Paths!$D$98="ICE",'Operating costs'!$B$67&lt;=Paths!$E$98),IF('Operating costs'!$B$67=0,C1008=0,AND(C1008&gt;0,'Operating costs'!$B$67&gt;(C1008-1)*12,'Operating costs'!$B$67&lt;=C1008*12))),'Operating costs'!$B$66,0),"n.a."))</f>
        <v>0</v>
      </c>
      <c r="N1008" s="16">
        <f>IF(NOT(Paths!$C$98=1),0,IF(Paths!$P$98="Complete",SUM(G1008:I1008)-J1008-K1008-L1008+M1008+IF(C1008=0,Paths!$F$98,0)+IF(IF(Paths!$E$98=0,C1008=0,AND(C1008&gt;0,Paths!$E$98&gt;(C1008-1)*12,Paths!$E$98&lt;=C1008*12)),VLOOKUP(A1008,'Fleet register'!$A$7:$S$106,16,FALSE),0),"n.a."))</f>
        <v>0</v>
      </c>
      <c r="O1008" s="16">
        <f>IF(NOT(Paths!$C$98=1),0,IF(Paths!$P$98="Complete",N1008-IF(C1008=0,Paths!$F$98,0),"n.a."))</f>
        <v>0</v>
      </c>
      <c r="P1008" s="16">
        <f>IF(NOT(Paths!$C$98=1),0,IF(Paths!$P$98="Complete",O1008+L1008,"n.a."))</f>
        <v>0</v>
      </c>
      <c r="Q1008" s="16">
        <f>IF(NOT(Paths!$C$98=1),0,IF(Paths!$P$98="Complete",N1008*(1+'Operating costs'!$B$54)^-C1008,"n.a."))</f>
        <v>0</v>
      </c>
      <c r="R1008" s="16">
        <f>IF(NOT(Paths!$C$98=1),0,IF(Paths!$P$98="Complete",IF(AND(C1008=0,Paths!$E$98=0),I1008-J1008-K1008+VLOOKUP(A1008,'Fleet register'!$A$7:$S$106,15,FALSE)+VLOOKUP(A1008,'Fleet register'!$A$7:$S$106,16,FALSE),0),"n.a."))</f>
        <v>0</v>
      </c>
      <c r="S1008" s="1">
        <f>IF(NOT(Paths!$C$98=1),0,IF(Paths!$P$98="Complete",IF(C1008=0,0,Paths!$S$98*Paths!$R$98),"n.a."))</f>
        <v>0</v>
      </c>
      <c r="T1008" s="1">
        <f>IF(NOT(Paths!$C$98=1),0,IF(Paths!$P$98="Complete",IF(C1008=0,0,VLOOKUP(A1008,'Fleet register'!$A$7:$S$106,9,FALSE)*Paths!$R$98),"n.a."))</f>
        <v>0</v>
      </c>
    </row>
    <row r="1009" spans="1:20" ht="24" customHeight="1">
      <c r="A1009" s="1" t="str">
        <f>Paths!$A$98</f>
        <v>T023</v>
      </c>
      <c r="B1009" s="1">
        <f>Paths!$B$98</f>
        <v>3</v>
      </c>
      <c r="C1009" s="1">
        <v>1</v>
      </c>
      <c r="D1009" s="1">
        <v>98</v>
      </c>
      <c r="E1009" s="1">
        <f>IF(OR(Paths!$C$98=0,C1009=0),0,MAX(0,MIN(C1009*12,Paths!$E$98)-(C1009-1)*12))</f>
        <v>0</v>
      </c>
      <c r="F1009" s="1">
        <f>IF(OR(Paths!$C$98=0,C1009=0),0,12-E1009)</f>
        <v>0</v>
      </c>
      <c r="G1009" s="16">
        <f>IF(NOT(Paths!$C$98=1),0,IF(Paths!$P$98="Complete",E1009/12*(Paths!$J$98*(1+'Operating costs'!$B$51)^MAX(0,C1009-1)+Paths!$K$98*(1+'Operating costs'!$B$53)^MAX(0,C1009-1)),"n.a."))</f>
        <v>0</v>
      </c>
      <c r="H1009" s="16">
        <f>IF(NOT(Paths!$C$98=1),0,IF(Paths!$P$98="Complete",F1009/12*(Paths!$L$98*(1+IF(Paths!$D$98="EV",'Operating costs'!$B$52,'Operating costs'!$B$51))^MAX(0,C1009-1)+Paths!$M$98*(1+'Operating costs'!$B$53)^MAX(0,C1009-1)),"n.a."))</f>
        <v>0</v>
      </c>
      <c r="I1009" s="16">
        <f>IF(NOT(Paths!$C$98=1),0,IF(Paths!$P$98="Complete",IF(IF(Paths!$E$98=0,C1009=0,AND(C1009&gt;0,Paths!$E$98&gt;(C1009-1)*12,Paths!$E$98&lt;=C1009*12)),Paths!$G$98,0),"n.a."))</f>
        <v>0</v>
      </c>
      <c r="J1009" s="16">
        <f>IF(NOT(Paths!$C$98=1),0,IF(Paths!$P$98="Complete",IF(IF(Paths!$E$98=0,C1009=0,AND(C1009&gt;0,Paths!$E$98&gt;(C1009-1)*12,Paths!$E$98&lt;=C1009*12)),Paths!$H$98,0),"n.a."))</f>
        <v>0</v>
      </c>
      <c r="K1009" s="16">
        <f>IF(NOT(Paths!$C$98=1),0,IF(Paths!$P$98="Complete",IF(IF(Paths!$O$98=0,C1009=0,AND(C1009&gt;0,Paths!$O$98&gt;(C1009-1)*12,Paths!$O$98&lt;=C1009*12)),Paths!$N$98,0),"n.a."))</f>
        <v>0</v>
      </c>
      <c r="L1009" s="16">
        <f>IF(NOT(Paths!$C$98=1),0,IF(Paths!$P$98="Complete",IF(C1009=10,Paths!$I$98,0),"n.a."))</f>
        <v>0</v>
      </c>
      <c r="M1009" s="16">
        <f>IF(NOT(Paths!$C$98=1),0,IF(Paths!$P$98="Complete",IF(AND(Paths!$D$98="EV",Paths!$E$98&lt;120,Paths!$E$98+'Operating costs'!$B$65&gt;Paths!$E$98,Paths!$E$98+'Operating costs'!$B$65&lt;=120,IF(Paths!$E$98+'Operating costs'!$B$65=0,C1009=0,AND(C1009&gt;0,Paths!$E$98+'Operating costs'!$B$65&gt;(C1009-1)*12,Paths!$E$98+'Operating costs'!$B$65&lt;=C1009*12))),'Operating costs'!$B$64,0)+IF(AND('Operating costs'!$B$67&gt;0,'Operating costs'!$B$67&lt;=120,OR(Paths!$D$98="ICE",'Operating costs'!$B$67&lt;=Paths!$E$98),IF('Operating costs'!$B$67=0,C1009=0,AND(C1009&gt;0,'Operating costs'!$B$67&gt;(C1009-1)*12,'Operating costs'!$B$67&lt;=C1009*12))),'Operating costs'!$B$66,0),"n.a."))</f>
        <v>0</v>
      </c>
      <c r="N1009" s="16">
        <f>IF(NOT(Paths!$C$98=1),0,IF(Paths!$P$98="Complete",SUM(G1009:I1009)-J1009-K1009-L1009+M1009+IF(C1009=0,Paths!$F$98,0)+IF(IF(Paths!$E$98=0,C1009=0,AND(C1009&gt;0,Paths!$E$98&gt;(C1009-1)*12,Paths!$E$98&lt;=C1009*12)),VLOOKUP(A1009,'Fleet register'!$A$7:$S$106,16,FALSE),0),"n.a."))</f>
        <v>0</v>
      </c>
      <c r="O1009" s="16">
        <f>IF(NOT(Paths!$C$98=1),0,IF(Paths!$P$98="Complete",N1009-IF(C1009=0,Paths!$F$98,0),"n.a."))</f>
        <v>0</v>
      </c>
      <c r="P1009" s="16">
        <f>IF(NOT(Paths!$C$98=1),0,IF(Paths!$P$98="Complete",O1009+L1009,"n.a."))</f>
        <v>0</v>
      </c>
      <c r="Q1009" s="16">
        <f>IF(NOT(Paths!$C$98=1),0,IF(Paths!$P$98="Complete",N1009*(1+'Operating costs'!$B$54)^-C1009,"n.a."))</f>
        <v>0</v>
      </c>
      <c r="R1009" s="16">
        <f>IF(NOT(Paths!$C$98=1),0,IF(Paths!$P$98="Complete",IF(AND(C1009=0,Paths!$E$98=0),I1009-J1009-K1009+VLOOKUP(A1009,'Fleet register'!$A$7:$S$106,15,FALSE)+VLOOKUP(A1009,'Fleet register'!$A$7:$S$106,16,FALSE),0),"n.a."))</f>
        <v>0</v>
      </c>
      <c r="S1009" s="1">
        <f>IF(NOT(Paths!$C$98=1),0,IF(Paths!$P$98="Complete",IF(C1009=0,0,Paths!$S$98*Paths!$R$98),"n.a."))</f>
        <v>0</v>
      </c>
      <c r="T1009" s="1">
        <f>IF(NOT(Paths!$C$98=1),0,IF(Paths!$P$98="Complete",IF(C1009=0,0,VLOOKUP(A1009,'Fleet register'!$A$7:$S$106,9,FALSE)*Paths!$R$98),"n.a."))</f>
        <v>0</v>
      </c>
    </row>
    <row r="1010" spans="1:20" ht="24" customHeight="1">
      <c r="A1010" s="1" t="str">
        <f>Paths!$A$98</f>
        <v>T023</v>
      </c>
      <c r="B1010" s="1">
        <f>Paths!$B$98</f>
        <v>3</v>
      </c>
      <c r="C1010" s="1">
        <v>2</v>
      </c>
      <c r="D1010" s="1">
        <v>98</v>
      </c>
      <c r="E1010" s="1">
        <f>IF(OR(Paths!$C$98=0,C1010=0),0,MAX(0,MIN(C1010*12,Paths!$E$98)-(C1010-1)*12))</f>
        <v>0</v>
      </c>
      <c r="F1010" s="1">
        <f>IF(OR(Paths!$C$98=0,C1010=0),0,12-E1010)</f>
        <v>0</v>
      </c>
      <c r="G1010" s="16">
        <f>IF(NOT(Paths!$C$98=1),0,IF(Paths!$P$98="Complete",E1010/12*(Paths!$J$98*(1+'Operating costs'!$B$51)^MAX(0,C1010-1)+Paths!$K$98*(1+'Operating costs'!$B$53)^MAX(0,C1010-1)),"n.a."))</f>
        <v>0</v>
      </c>
      <c r="H1010" s="16">
        <f>IF(NOT(Paths!$C$98=1),0,IF(Paths!$P$98="Complete",F1010/12*(Paths!$L$98*(1+IF(Paths!$D$98="EV",'Operating costs'!$B$52,'Operating costs'!$B$51))^MAX(0,C1010-1)+Paths!$M$98*(1+'Operating costs'!$B$53)^MAX(0,C1010-1)),"n.a."))</f>
        <v>0</v>
      </c>
      <c r="I1010" s="16">
        <f>IF(NOT(Paths!$C$98=1),0,IF(Paths!$P$98="Complete",IF(IF(Paths!$E$98=0,C1010=0,AND(C1010&gt;0,Paths!$E$98&gt;(C1010-1)*12,Paths!$E$98&lt;=C1010*12)),Paths!$G$98,0),"n.a."))</f>
        <v>0</v>
      </c>
      <c r="J1010" s="16">
        <f>IF(NOT(Paths!$C$98=1),0,IF(Paths!$P$98="Complete",IF(IF(Paths!$E$98=0,C1010=0,AND(C1010&gt;0,Paths!$E$98&gt;(C1010-1)*12,Paths!$E$98&lt;=C1010*12)),Paths!$H$98,0),"n.a."))</f>
        <v>0</v>
      </c>
      <c r="K1010" s="16">
        <f>IF(NOT(Paths!$C$98=1),0,IF(Paths!$P$98="Complete",IF(IF(Paths!$O$98=0,C1010=0,AND(C1010&gt;0,Paths!$O$98&gt;(C1010-1)*12,Paths!$O$98&lt;=C1010*12)),Paths!$N$98,0),"n.a."))</f>
        <v>0</v>
      </c>
      <c r="L1010" s="16">
        <f>IF(NOT(Paths!$C$98=1),0,IF(Paths!$P$98="Complete",IF(C1010=10,Paths!$I$98,0),"n.a."))</f>
        <v>0</v>
      </c>
      <c r="M1010" s="16">
        <f>IF(NOT(Paths!$C$98=1),0,IF(Paths!$P$98="Complete",IF(AND(Paths!$D$98="EV",Paths!$E$98&lt;120,Paths!$E$98+'Operating costs'!$B$65&gt;Paths!$E$98,Paths!$E$98+'Operating costs'!$B$65&lt;=120,IF(Paths!$E$98+'Operating costs'!$B$65=0,C1010=0,AND(C1010&gt;0,Paths!$E$98+'Operating costs'!$B$65&gt;(C1010-1)*12,Paths!$E$98+'Operating costs'!$B$65&lt;=C1010*12))),'Operating costs'!$B$64,0)+IF(AND('Operating costs'!$B$67&gt;0,'Operating costs'!$B$67&lt;=120,OR(Paths!$D$98="ICE",'Operating costs'!$B$67&lt;=Paths!$E$98),IF('Operating costs'!$B$67=0,C1010=0,AND(C1010&gt;0,'Operating costs'!$B$67&gt;(C1010-1)*12,'Operating costs'!$B$67&lt;=C1010*12))),'Operating costs'!$B$66,0),"n.a."))</f>
        <v>0</v>
      </c>
      <c r="N1010" s="16">
        <f>IF(NOT(Paths!$C$98=1),0,IF(Paths!$P$98="Complete",SUM(G1010:I1010)-J1010-K1010-L1010+M1010+IF(C1010=0,Paths!$F$98,0)+IF(IF(Paths!$E$98=0,C1010=0,AND(C1010&gt;0,Paths!$E$98&gt;(C1010-1)*12,Paths!$E$98&lt;=C1010*12)),VLOOKUP(A1010,'Fleet register'!$A$7:$S$106,16,FALSE),0),"n.a."))</f>
        <v>0</v>
      </c>
      <c r="O1010" s="16">
        <f>IF(NOT(Paths!$C$98=1),0,IF(Paths!$P$98="Complete",N1010-IF(C1010=0,Paths!$F$98,0),"n.a."))</f>
        <v>0</v>
      </c>
      <c r="P1010" s="16">
        <f>IF(NOT(Paths!$C$98=1),0,IF(Paths!$P$98="Complete",O1010+L1010,"n.a."))</f>
        <v>0</v>
      </c>
      <c r="Q1010" s="16">
        <f>IF(NOT(Paths!$C$98=1),0,IF(Paths!$P$98="Complete",N1010*(1+'Operating costs'!$B$54)^-C1010,"n.a."))</f>
        <v>0</v>
      </c>
      <c r="R1010" s="16">
        <f>IF(NOT(Paths!$C$98=1),0,IF(Paths!$P$98="Complete",IF(AND(C1010=0,Paths!$E$98=0),I1010-J1010-K1010+VLOOKUP(A1010,'Fleet register'!$A$7:$S$106,15,FALSE)+VLOOKUP(A1010,'Fleet register'!$A$7:$S$106,16,FALSE),0),"n.a."))</f>
        <v>0</v>
      </c>
      <c r="S1010" s="1">
        <f>IF(NOT(Paths!$C$98=1),0,IF(Paths!$P$98="Complete",IF(C1010=0,0,Paths!$S$98*Paths!$R$98),"n.a."))</f>
        <v>0</v>
      </c>
      <c r="T1010" s="1">
        <f>IF(NOT(Paths!$C$98=1),0,IF(Paths!$P$98="Complete",IF(C1010=0,0,VLOOKUP(A1010,'Fleet register'!$A$7:$S$106,9,FALSE)*Paths!$R$98),"n.a."))</f>
        <v>0</v>
      </c>
    </row>
    <row r="1011" spans="1:20" ht="24" customHeight="1">
      <c r="A1011" s="1" t="str">
        <f>Paths!$A$98</f>
        <v>T023</v>
      </c>
      <c r="B1011" s="1">
        <f>Paths!$B$98</f>
        <v>3</v>
      </c>
      <c r="C1011" s="1">
        <v>3</v>
      </c>
      <c r="D1011" s="1">
        <v>98</v>
      </c>
      <c r="E1011" s="1">
        <f>IF(OR(Paths!$C$98=0,C1011=0),0,MAX(0,MIN(C1011*12,Paths!$E$98)-(C1011-1)*12))</f>
        <v>0</v>
      </c>
      <c r="F1011" s="1">
        <f>IF(OR(Paths!$C$98=0,C1011=0),0,12-E1011)</f>
        <v>0</v>
      </c>
      <c r="G1011" s="16">
        <f>IF(NOT(Paths!$C$98=1),0,IF(Paths!$P$98="Complete",E1011/12*(Paths!$J$98*(1+'Operating costs'!$B$51)^MAX(0,C1011-1)+Paths!$K$98*(1+'Operating costs'!$B$53)^MAX(0,C1011-1)),"n.a."))</f>
        <v>0</v>
      </c>
      <c r="H1011" s="16">
        <f>IF(NOT(Paths!$C$98=1),0,IF(Paths!$P$98="Complete",F1011/12*(Paths!$L$98*(1+IF(Paths!$D$98="EV",'Operating costs'!$B$52,'Operating costs'!$B$51))^MAX(0,C1011-1)+Paths!$M$98*(1+'Operating costs'!$B$53)^MAX(0,C1011-1)),"n.a."))</f>
        <v>0</v>
      </c>
      <c r="I1011" s="16">
        <f>IF(NOT(Paths!$C$98=1),0,IF(Paths!$P$98="Complete",IF(IF(Paths!$E$98=0,C1011=0,AND(C1011&gt;0,Paths!$E$98&gt;(C1011-1)*12,Paths!$E$98&lt;=C1011*12)),Paths!$G$98,0),"n.a."))</f>
        <v>0</v>
      </c>
      <c r="J1011" s="16">
        <f>IF(NOT(Paths!$C$98=1),0,IF(Paths!$P$98="Complete",IF(IF(Paths!$E$98=0,C1011=0,AND(C1011&gt;0,Paths!$E$98&gt;(C1011-1)*12,Paths!$E$98&lt;=C1011*12)),Paths!$H$98,0),"n.a."))</f>
        <v>0</v>
      </c>
      <c r="K1011" s="16">
        <f>IF(NOT(Paths!$C$98=1),0,IF(Paths!$P$98="Complete",IF(IF(Paths!$O$98=0,C1011=0,AND(C1011&gt;0,Paths!$O$98&gt;(C1011-1)*12,Paths!$O$98&lt;=C1011*12)),Paths!$N$98,0),"n.a."))</f>
        <v>0</v>
      </c>
      <c r="L1011" s="16">
        <f>IF(NOT(Paths!$C$98=1),0,IF(Paths!$P$98="Complete",IF(C1011=10,Paths!$I$98,0),"n.a."))</f>
        <v>0</v>
      </c>
      <c r="M1011" s="16">
        <f>IF(NOT(Paths!$C$98=1),0,IF(Paths!$P$98="Complete",IF(AND(Paths!$D$98="EV",Paths!$E$98&lt;120,Paths!$E$98+'Operating costs'!$B$65&gt;Paths!$E$98,Paths!$E$98+'Operating costs'!$B$65&lt;=120,IF(Paths!$E$98+'Operating costs'!$B$65=0,C1011=0,AND(C1011&gt;0,Paths!$E$98+'Operating costs'!$B$65&gt;(C1011-1)*12,Paths!$E$98+'Operating costs'!$B$65&lt;=C1011*12))),'Operating costs'!$B$64,0)+IF(AND('Operating costs'!$B$67&gt;0,'Operating costs'!$B$67&lt;=120,OR(Paths!$D$98="ICE",'Operating costs'!$B$67&lt;=Paths!$E$98),IF('Operating costs'!$B$67=0,C1011=0,AND(C1011&gt;0,'Operating costs'!$B$67&gt;(C1011-1)*12,'Operating costs'!$B$67&lt;=C1011*12))),'Operating costs'!$B$66,0),"n.a."))</f>
        <v>0</v>
      </c>
      <c r="N1011" s="16">
        <f>IF(NOT(Paths!$C$98=1),0,IF(Paths!$P$98="Complete",SUM(G1011:I1011)-J1011-K1011-L1011+M1011+IF(C1011=0,Paths!$F$98,0)+IF(IF(Paths!$E$98=0,C1011=0,AND(C1011&gt;0,Paths!$E$98&gt;(C1011-1)*12,Paths!$E$98&lt;=C1011*12)),VLOOKUP(A1011,'Fleet register'!$A$7:$S$106,16,FALSE),0),"n.a."))</f>
        <v>0</v>
      </c>
      <c r="O1011" s="16">
        <f>IF(NOT(Paths!$C$98=1),0,IF(Paths!$P$98="Complete",N1011-IF(C1011=0,Paths!$F$98,0),"n.a."))</f>
        <v>0</v>
      </c>
      <c r="P1011" s="16">
        <f>IF(NOT(Paths!$C$98=1),0,IF(Paths!$P$98="Complete",O1011+L1011,"n.a."))</f>
        <v>0</v>
      </c>
      <c r="Q1011" s="16">
        <f>IF(NOT(Paths!$C$98=1),0,IF(Paths!$P$98="Complete",N1011*(1+'Operating costs'!$B$54)^-C1011,"n.a."))</f>
        <v>0</v>
      </c>
      <c r="R1011" s="16">
        <f>IF(NOT(Paths!$C$98=1),0,IF(Paths!$P$98="Complete",IF(AND(C1011=0,Paths!$E$98=0),I1011-J1011-K1011+VLOOKUP(A1011,'Fleet register'!$A$7:$S$106,15,FALSE)+VLOOKUP(A1011,'Fleet register'!$A$7:$S$106,16,FALSE),0),"n.a."))</f>
        <v>0</v>
      </c>
      <c r="S1011" s="1">
        <f>IF(NOT(Paths!$C$98=1),0,IF(Paths!$P$98="Complete",IF(C1011=0,0,Paths!$S$98*Paths!$R$98),"n.a."))</f>
        <v>0</v>
      </c>
      <c r="T1011" s="1">
        <f>IF(NOT(Paths!$C$98=1),0,IF(Paths!$P$98="Complete",IF(C1011=0,0,VLOOKUP(A1011,'Fleet register'!$A$7:$S$106,9,FALSE)*Paths!$R$98),"n.a."))</f>
        <v>0</v>
      </c>
    </row>
    <row r="1012" spans="1:20" ht="24" customHeight="1">
      <c r="A1012" s="1" t="str">
        <f>Paths!$A$98</f>
        <v>T023</v>
      </c>
      <c r="B1012" s="1">
        <f>Paths!$B$98</f>
        <v>3</v>
      </c>
      <c r="C1012" s="1">
        <v>4</v>
      </c>
      <c r="D1012" s="1">
        <v>98</v>
      </c>
      <c r="E1012" s="1">
        <f>IF(OR(Paths!$C$98=0,C1012=0),0,MAX(0,MIN(C1012*12,Paths!$E$98)-(C1012-1)*12))</f>
        <v>0</v>
      </c>
      <c r="F1012" s="1">
        <f>IF(OR(Paths!$C$98=0,C1012=0),0,12-E1012)</f>
        <v>0</v>
      </c>
      <c r="G1012" s="16">
        <f>IF(NOT(Paths!$C$98=1),0,IF(Paths!$P$98="Complete",E1012/12*(Paths!$J$98*(1+'Operating costs'!$B$51)^MAX(0,C1012-1)+Paths!$K$98*(1+'Operating costs'!$B$53)^MAX(0,C1012-1)),"n.a."))</f>
        <v>0</v>
      </c>
      <c r="H1012" s="16">
        <f>IF(NOT(Paths!$C$98=1),0,IF(Paths!$P$98="Complete",F1012/12*(Paths!$L$98*(1+IF(Paths!$D$98="EV",'Operating costs'!$B$52,'Operating costs'!$B$51))^MAX(0,C1012-1)+Paths!$M$98*(1+'Operating costs'!$B$53)^MAX(0,C1012-1)),"n.a."))</f>
        <v>0</v>
      </c>
      <c r="I1012" s="16">
        <f>IF(NOT(Paths!$C$98=1),0,IF(Paths!$P$98="Complete",IF(IF(Paths!$E$98=0,C1012=0,AND(C1012&gt;0,Paths!$E$98&gt;(C1012-1)*12,Paths!$E$98&lt;=C1012*12)),Paths!$G$98,0),"n.a."))</f>
        <v>0</v>
      </c>
      <c r="J1012" s="16">
        <f>IF(NOT(Paths!$C$98=1),0,IF(Paths!$P$98="Complete",IF(IF(Paths!$E$98=0,C1012=0,AND(C1012&gt;0,Paths!$E$98&gt;(C1012-1)*12,Paths!$E$98&lt;=C1012*12)),Paths!$H$98,0),"n.a."))</f>
        <v>0</v>
      </c>
      <c r="K1012" s="16">
        <f>IF(NOT(Paths!$C$98=1),0,IF(Paths!$P$98="Complete",IF(IF(Paths!$O$98=0,C1012=0,AND(C1012&gt;0,Paths!$O$98&gt;(C1012-1)*12,Paths!$O$98&lt;=C1012*12)),Paths!$N$98,0),"n.a."))</f>
        <v>0</v>
      </c>
      <c r="L1012" s="16">
        <f>IF(NOT(Paths!$C$98=1),0,IF(Paths!$P$98="Complete",IF(C1012=10,Paths!$I$98,0),"n.a."))</f>
        <v>0</v>
      </c>
      <c r="M1012" s="16">
        <f>IF(NOT(Paths!$C$98=1),0,IF(Paths!$P$98="Complete",IF(AND(Paths!$D$98="EV",Paths!$E$98&lt;120,Paths!$E$98+'Operating costs'!$B$65&gt;Paths!$E$98,Paths!$E$98+'Operating costs'!$B$65&lt;=120,IF(Paths!$E$98+'Operating costs'!$B$65=0,C1012=0,AND(C1012&gt;0,Paths!$E$98+'Operating costs'!$B$65&gt;(C1012-1)*12,Paths!$E$98+'Operating costs'!$B$65&lt;=C1012*12))),'Operating costs'!$B$64,0)+IF(AND('Operating costs'!$B$67&gt;0,'Operating costs'!$B$67&lt;=120,OR(Paths!$D$98="ICE",'Operating costs'!$B$67&lt;=Paths!$E$98),IF('Operating costs'!$B$67=0,C1012=0,AND(C1012&gt;0,'Operating costs'!$B$67&gt;(C1012-1)*12,'Operating costs'!$B$67&lt;=C1012*12))),'Operating costs'!$B$66,0),"n.a."))</f>
        <v>0</v>
      </c>
      <c r="N1012" s="16">
        <f>IF(NOT(Paths!$C$98=1),0,IF(Paths!$P$98="Complete",SUM(G1012:I1012)-J1012-K1012-L1012+M1012+IF(C1012=0,Paths!$F$98,0)+IF(IF(Paths!$E$98=0,C1012=0,AND(C1012&gt;0,Paths!$E$98&gt;(C1012-1)*12,Paths!$E$98&lt;=C1012*12)),VLOOKUP(A1012,'Fleet register'!$A$7:$S$106,16,FALSE),0),"n.a."))</f>
        <v>0</v>
      </c>
      <c r="O1012" s="16">
        <f>IF(NOT(Paths!$C$98=1),0,IF(Paths!$P$98="Complete",N1012-IF(C1012=0,Paths!$F$98,0),"n.a."))</f>
        <v>0</v>
      </c>
      <c r="P1012" s="16">
        <f>IF(NOT(Paths!$C$98=1),0,IF(Paths!$P$98="Complete",O1012+L1012,"n.a."))</f>
        <v>0</v>
      </c>
      <c r="Q1012" s="16">
        <f>IF(NOT(Paths!$C$98=1),0,IF(Paths!$P$98="Complete",N1012*(1+'Operating costs'!$B$54)^-C1012,"n.a."))</f>
        <v>0</v>
      </c>
      <c r="R1012" s="16">
        <f>IF(NOT(Paths!$C$98=1),0,IF(Paths!$P$98="Complete",IF(AND(C1012=0,Paths!$E$98=0),I1012-J1012-K1012+VLOOKUP(A1012,'Fleet register'!$A$7:$S$106,15,FALSE)+VLOOKUP(A1012,'Fleet register'!$A$7:$S$106,16,FALSE),0),"n.a."))</f>
        <v>0</v>
      </c>
      <c r="S1012" s="1">
        <f>IF(NOT(Paths!$C$98=1),0,IF(Paths!$P$98="Complete",IF(C1012=0,0,Paths!$S$98*Paths!$R$98),"n.a."))</f>
        <v>0</v>
      </c>
      <c r="T1012" s="1">
        <f>IF(NOT(Paths!$C$98=1),0,IF(Paths!$P$98="Complete",IF(C1012=0,0,VLOOKUP(A1012,'Fleet register'!$A$7:$S$106,9,FALSE)*Paths!$R$98),"n.a."))</f>
        <v>0</v>
      </c>
    </row>
    <row r="1013" spans="1:20" ht="24" customHeight="1">
      <c r="A1013" s="1" t="str">
        <f>Paths!$A$98</f>
        <v>T023</v>
      </c>
      <c r="B1013" s="1">
        <f>Paths!$B$98</f>
        <v>3</v>
      </c>
      <c r="C1013" s="1">
        <v>5</v>
      </c>
      <c r="D1013" s="1">
        <v>98</v>
      </c>
      <c r="E1013" s="1">
        <f>IF(OR(Paths!$C$98=0,C1013=0),0,MAX(0,MIN(C1013*12,Paths!$E$98)-(C1013-1)*12))</f>
        <v>0</v>
      </c>
      <c r="F1013" s="1">
        <f>IF(OR(Paths!$C$98=0,C1013=0),0,12-E1013)</f>
        <v>0</v>
      </c>
      <c r="G1013" s="16">
        <f>IF(NOT(Paths!$C$98=1),0,IF(Paths!$P$98="Complete",E1013/12*(Paths!$J$98*(1+'Operating costs'!$B$51)^MAX(0,C1013-1)+Paths!$K$98*(1+'Operating costs'!$B$53)^MAX(0,C1013-1)),"n.a."))</f>
        <v>0</v>
      </c>
      <c r="H1013" s="16">
        <f>IF(NOT(Paths!$C$98=1),0,IF(Paths!$P$98="Complete",F1013/12*(Paths!$L$98*(1+IF(Paths!$D$98="EV",'Operating costs'!$B$52,'Operating costs'!$B$51))^MAX(0,C1013-1)+Paths!$M$98*(1+'Operating costs'!$B$53)^MAX(0,C1013-1)),"n.a."))</f>
        <v>0</v>
      </c>
      <c r="I1013" s="16">
        <f>IF(NOT(Paths!$C$98=1),0,IF(Paths!$P$98="Complete",IF(IF(Paths!$E$98=0,C1013=0,AND(C1013&gt;0,Paths!$E$98&gt;(C1013-1)*12,Paths!$E$98&lt;=C1013*12)),Paths!$G$98,0),"n.a."))</f>
        <v>0</v>
      </c>
      <c r="J1013" s="16">
        <f>IF(NOT(Paths!$C$98=1),0,IF(Paths!$P$98="Complete",IF(IF(Paths!$E$98=0,C1013=0,AND(C1013&gt;0,Paths!$E$98&gt;(C1013-1)*12,Paths!$E$98&lt;=C1013*12)),Paths!$H$98,0),"n.a."))</f>
        <v>0</v>
      </c>
      <c r="K1013" s="16">
        <f>IF(NOT(Paths!$C$98=1),0,IF(Paths!$P$98="Complete",IF(IF(Paths!$O$98=0,C1013=0,AND(C1013&gt;0,Paths!$O$98&gt;(C1013-1)*12,Paths!$O$98&lt;=C1013*12)),Paths!$N$98,0),"n.a."))</f>
        <v>0</v>
      </c>
      <c r="L1013" s="16">
        <f>IF(NOT(Paths!$C$98=1),0,IF(Paths!$P$98="Complete",IF(C1013=10,Paths!$I$98,0),"n.a."))</f>
        <v>0</v>
      </c>
      <c r="M1013" s="16">
        <f>IF(NOT(Paths!$C$98=1),0,IF(Paths!$P$98="Complete",IF(AND(Paths!$D$98="EV",Paths!$E$98&lt;120,Paths!$E$98+'Operating costs'!$B$65&gt;Paths!$E$98,Paths!$E$98+'Operating costs'!$B$65&lt;=120,IF(Paths!$E$98+'Operating costs'!$B$65=0,C1013=0,AND(C1013&gt;0,Paths!$E$98+'Operating costs'!$B$65&gt;(C1013-1)*12,Paths!$E$98+'Operating costs'!$B$65&lt;=C1013*12))),'Operating costs'!$B$64,0)+IF(AND('Operating costs'!$B$67&gt;0,'Operating costs'!$B$67&lt;=120,OR(Paths!$D$98="ICE",'Operating costs'!$B$67&lt;=Paths!$E$98),IF('Operating costs'!$B$67=0,C1013=0,AND(C1013&gt;0,'Operating costs'!$B$67&gt;(C1013-1)*12,'Operating costs'!$B$67&lt;=C1013*12))),'Operating costs'!$B$66,0),"n.a."))</f>
        <v>0</v>
      </c>
      <c r="N1013" s="16">
        <f>IF(NOT(Paths!$C$98=1),0,IF(Paths!$P$98="Complete",SUM(G1013:I1013)-J1013-K1013-L1013+M1013+IF(C1013=0,Paths!$F$98,0)+IF(IF(Paths!$E$98=0,C1013=0,AND(C1013&gt;0,Paths!$E$98&gt;(C1013-1)*12,Paths!$E$98&lt;=C1013*12)),VLOOKUP(A1013,'Fleet register'!$A$7:$S$106,16,FALSE),0),"n.a."))</f>
        <v>0</v>
      </c>
      <c r="O1013" s="16">
        <f>IF(NOT(Paths!$C$98=1),0,IF(Paths!$P$98="Complete",N1013-IF(C1013=0,Paths!$F$98,0),"n.a."))</f>
        <v>0</v>
      </c>
      <c r="P1013" s="16">
        <f>IF(NOT(Paths!$C$98=1),0,IF(Paths!$P$98="Complete",O1013+L1013,"n.a."))</f>
        <v>0</v>
      </c>
      <c r="Q1013" s="16">
        <f>IF(NOT(Paths!$C$98=1),0,IF(Paths!$P$98="Complete",N1013*(1+'Operating costs'!$B$54)^-C1013,"n.a."))</f>
        <v>0</v>
      </c>
      <c r="R1013" s="16">
        <f>IF(NOT(Paths!$C$98=1),0,IF(Paths!$P$98="Complete",IF(AND(C1013=0,Paths!$E$98=0),I1013-J1013-K1013+VLOOKUP(A1013,'Fleet register'!$A$7:$S$106,15,FALSE)+VLOOKUP(A1013,'Fleet register'!$A$7:$S$106,16,FALSE),0),"n.a."))</f>
        <v>0</v>
      </c>
      <c r="S1013" s="1">
        <f>IF(NOT(Paths!$C$98=1),0,IF(Paths!$P$98="Complete",IF(C1013=0,0,Paths!$S$98*Paths!$R$98),"n.a."))</f>
        <v>0</v>
      </c>
      <c r="T1013" s="1">
        <f>IF(NOT(Paths!$C$98=1),0,IF(Paths!$P$98="Complete",IF(C1013=0,0,VLOOKUP(A1013,'Fleet register'!$A$7:$S$106,9,FALSE)*Paths!$R$98),"n.a."))</f>
        <v>0</v>
      </c>
    </row>
    <row r="1014" spans="1:20" ht="24" customHeight="1">
      <c r="A1014" s="1" t="str">
        <f>Paths!$A$98</f>
        <v>T023</v>
      </c>
      <c r="B1014" s="1">
        <f>Paths!$B$98</f>
        <v>3</v>
      </c>
      <c r="C1014" s="1">
        <v>6</v>
      </c>
      <c r="D1014" s="1">
        <v>98</v>
      </c>
      <c r="E1014" s="1">
        <f>IF(OR(Paths!$C$98=0,C1014=0),0,MAX(0,MIN(C1014*12,Paths!$E$98)-(C1014-1)*12))</f>
        <v>0</v>
      </c>
      <c r="F1014" s="1">
        <f>IF(OR(Paths!$C$98=0,C1014=0),0,12-E1014)</f>
        <v>0</v>
      </c>
      <c r="G1014" s="16">
        <f>IF(NOT(Paths!$C$98=1),0,IF(Paths!$P$98="Complete",E1014/12*(Paths!$J$98*(1+'Operating costs'!$B$51)^MAX(0,C1014-1)+Paths!$K$98*(1+'Operating costs'!$B$53)^MAX(0,C1014-1)),"n.a."))</f>
        <v>0</v>
      </c>
      <c r="H1014" s="16">
        <f>IF(NOT(Paths!$C$98=1),0,IF(Paths!$P$98="Complete",F1014/12*(Paths!$L$98*(1+IF(Paths!$D$98="EV",'Operating costs'!$B$52,'Operating costs'!$B$51))^MAX(0,C1014-1)+Paths!$M$98*(1+'Operating costs'!$B$53)^MAX(0,C1014-1)),"n.a."))</f>
        <v>0</v>
      </c>
      <c r="I1014" s="16">
        <f>IF(NOT(Paths!$C$98=1),0,IF(Paths!$P$98="Complete",IF(IF(Paths!$E$98=0,C1014=0,AND(C1014&gt;0,Paths!$E$98&gt;(C1014-1)*12,Paths!$E$98&lt;=C1014*12)),Paths!$G$98,0),"n.a."))</f>
        <v>0</v>
      </c>
      <c r="J1014" s="16">
        <f>IF(NOT(Paths!$C$98=1),0,IF(Paths!$P$98="Complete",IF(IF(Paths!$E$98=0,C1014=0,AND(C1014&gt;0,Paths!$E$98&gt;(C1014-1)*12,Paths!$E$98&lt;=C1014*12)),Paths!$H$98,0),"n.a."))</f>
        <v>0</v>
      </c>
      <c r="K1014" s="16">
        <f>IF(NOT(Paths!$C$98=1),0,IF(Paths!$P$98="Complete",IF(IF(Paths!$O$98=0,C1014=0,AND(C1014&gt;0,Paths!$O$98&gt;(C1014-1)*12,Paths!$O$98&lt;=C1014*12)),Paths!$N$98,0),"n.a."))</f>
        <v>0</v>
      </c>
      <c r="L1014" s="16">
        <f>IF(NOT(Paths!$C$98=1),0,IF(Paths!$P$98="Complete",IF(C1014=10,Paths!$I$98,0),"n.a."))</f>
        <v>0</v>
      </c>
      <c r="M1014" s="16">
        <f>IF(NOT(Paths!$C$98=1),0,IF(Paths!$P$98="Complete",IF(AND(Paths!$D$98="EV",Paths!$E$98&lt;120,Paths!$E$98+'Operating costs'!$B$65&gt;Paths!$E$98,Paths!$E$98+'Operating costs'!$B$65&lt;=120,IF(Paths!$E$98+'Operating costs'!$B$65=0,C1014=0,AND(C1014&gt;0,Paths!$E$98+'Operating costs'!$B$65&gt;(C1014-1)*12,Paths!$E$98+'Operating costs'!$B$65&lt;=C1014*12))),'Operating costs'!$B$64,0)+IF(AND('Operating costs'!$B$67&gt;0,'Operating costs'!$B$67&lt;=120,OR(Paths!$D$98="ICE",'Operating costs'!$B$67&lt;=Paths!$E$98),IF('Operating costs'!$B$67=0,C1014=0,AND(C1014&gt;0,'Operating costs'!$B$67&gt;(C1014-1)*12,'Operating costs'!$B$67&lt;=C1014*12))),'Operating costs'!$B$66,0),"n.a."))</f>
        <v>0</v>
      </c>
      <c r="N1014" s="16">
        <f>IF(NOT(Paths!$C$98=1),0,IF(Paths!$P$98="Complete",SUM(G1014:I1014)-J1014-K1014-L1014+M1014+IF(C1014=0,Paths!$F$98,0)+IF(IF(Paths!$E$98=0,C1014=0,AND(C1014&gt;0,Paths!$E$98&gt;(C1014-1)*12,Paths!$E$98&lt;=C1014*12)),VLOOKUP(A1014,'Fleet register'!$A$7:$S$106,16,FALSE),0),"n.a."))</f>
        <v>0</v>
      </c>
      <c r="O1014" s="16">
        <f>IF(NOT(Paths!$C$98=1),0,IF(Paths!$P$98="Complete",N1014-IF(C1014=0,Paths!$F$98,0),"n.a."))</f>
        <v>0</v>
      </c>
      <c r="P1014" s="16">
        <f>IF(NOT(Paths!$C$98=1),0,IF(Paths!$P$98="Complete",O1014+L1014,"n.a."))</f>
        <v>0</v>
      </c>
      <c r="Q1014" s="16">
        <f>IF(NOT(Paths!$C$98=1),0,IF(Paths!$P$98="Complete",N1014*(1+'Operating costs'!$B$54)^-C1014,"n.a."))</f>
        <v>0</v>
      </c>
      <c r="R1014" s="16">
        <f>IF(NOT(Paths!$C$98=1),0,IF(Paths!$P$98="Complete",IF(AND(C1014=0,Paths!$E$98=0),I1014-J1014-K1014+VLOOKUP(A1014,'Fleet register'!$A$7:$S$106,15,FALSE)+VLOOKUP(A1014,'Fleet register'!$A$7:$S$106,16,FALSE),0),"n.a."))</f>
        <v>0</v>
      </c>
      <c r="S1014" s="1">
        <f>IF(NOT(Paths!$C$98=1),0,IF(Paths!$P$98="Complete",IF(C1014=0,0,Paths!$S$98*Paths!$R$98),"n.a."))</f>
        <v>0</v>
      </c>
      <c r="T1014" s="1">
        <f>IF(NOT(Paths!$C$98=1),0,IF(Paths!$P$98="Complete",IF(C1014=0,0,VLOOKUP(A1014,'Fleet register'!$A$7:$S$106,9,FALSE)*Paths!$R$98),"n.a."))</f>
        <v>0</v>
      </c>
    </row>
    <row r="1015" spans="1:20" ht="24" customHeight="1">
      <c r="A1015" s="1" t="str">
        <f>Paths!$A$98</f>
        <v>T023</v>
      </c>
      <c r="B1015" s="1">
        <f>Paths!$B$98</f>
        <v>3</v>
      </c>
      <c r="C1015" s="1">
        <v>7</v>
      </c>
      <c r="D1015" s="1">
        <v>98</v>
      </c>
      <c r="E1015" s="1">
        <f>IF(OR(Paths!$C$98=0,C1015=0),0,MAX(0,MIN(C1015*12,Paths!$E$98)-(C1015-1)*12))</f>
        <v>0</v>
      </c>
      <c r="F1015" s="1">
        <f>IF(OR(Paths!$C$98=0,C1015=0),0,12-E1015)</f>
        <v>0</v>
      </c>
      <c r="G1015" s="16">
        <f>IF(NOT(Paths!$C$98=1),0,IF(Paths!$P$98="Complete",E1015/12*(Paths!$J$98*(1+'Operating costs'!$B$51)^MAX(0,C1015-1)+Paths!$K$98*(1+'Operating costs'!$B$53)^MAX(0,C1015-1)),"n.a."))</f>
        <v>0</v>
      </c>
      <c r="H1015" s="16">
        <f>IF(NOT(Paths!$C$98=1),0,IF(Paths!$P$98="Complete",F1015/12*(Paths!$L$98*(1+IF(Paths!$D$98="EV",'Operating costs'!$B$52,'Operating costs'!$B$51))^MAX(0,C1015-1)+Paths!$M$98*(1+'Operating costs'!$B$53)^MAX(0,C1015-1)),"n.a."))</f>
        <v>0</v>
      </c>
      <c r="I1015" s="16">
        <f>IF(NOT(Paths!$C$98=1),0,IF(Paths!$P$98="Complete",IF(IF(Paths!$E$98=0,C1015=0,AND(C1015&gt;0,Paths!$E$98&gt;(C1015-1)*12,Paths!$E$98&lt;=C1015*12)),Paths!$G$98,0),"n.a."))</f>
        <v>0</v>
      </c>
      <c r="J1015" s="16">
        <f>IF(NOT(Paths!$C$98=1),0,IF(Paths!$P$98="Complete",IF(IF(Paths!$E$98=0,C1015=0,AND(C1015&gt;0,Paths!$E$98&gt;(C1015-1)*12,Paths!$E$98&lt;=C1015*12)),Paths!$H$98,0),"n.a."))</f>
        <v>0</v>
      </c>
      <c r="K1015" s="16">
        <f>IF(NOT(Paths!$C$98=1),0,IF(Paths!$P$98="Complete",IF(IF(Paths!$O$98=0,C1015=0,AND(C1015&gt;0,Paths!$O$98&gt;(C1015-1)*12,Paths!$O$98&lt;=C1015*12)),Paths!$N$98,0),"n.a."))</f>
        <v>0</v>
      </c>
      <c r="L1015" s="16">
        <f>IF(NOT(Paths!$C$98=1),0,IF(Paths!$P$98="Complete",IF(C1015=10,Paths!$I$98,0),"n.a."))</f>
        <v>0</v>
      </c>
      <c r="M1015" s="16">
        <f>IF(NOT(Paths!$C$98=1),0,IF(Paths!$P$98="Complete",IF(AND(Paths!$D$98="EV",Paths!$E$98&lt;120,Paths!$E$98+'Operating costs'!$B$65&gt;Paths!$E$98,Paths!$E$98+'Operating costs'!$B$65&lt;=120,IF(Paths!$E$98+'Operating costs'!$B$65=0,C1015=0,AND(C1015&gt;0,Paths!$E$98+'Operating costs'!$B$65&gt;(C1015-1)*12,Paths!$E$98+'Operating costs'!$B$65&lt;=C1015*12))),'Operating costs'!$B$64,0)+IF(AND('Operating costs'!$B$67&gt;0,'Operating costs'!$B$67&lt;=120,OR(Paths!$D$98="ICE",'Operating costs'!$B$67&lt;=Paths!$E$98),IF('Operating costs'!$B$67=0,C1015=0,AND(C1015&gt;0,'Operating costs'!$B$67&gt;(C1015-1)*12,'Operating costs'!$B$67&lt;=C1015*12))),'Operating costs'!$B$66,0),"n.a."))</f>
        <v>0</v>
      </c>
      <c r="N1015" s="16">
        <f>IF(NOT(Paths!$C$98=1),0,IF(Paths!$P$98="Complete",SUM(G1015:I1015)-J1015-K1015-L1015+M1015+IF(C1015=0,Paths!$F$98,0)+IF(IF(Paths!$E$98=0,C1015=0,AND(C1015&gt;0,Paths!$E$98&gt;(C1015-1)*12,Paths!$E$98&lt;=C1015*12)),VLOOKUP(A1015,'Fleet register'!$A$7:$S$106,16,FALSE),0),"n.a."))</f>
        <v>0</v>
      </c>
      <c r="O1015" s="16">
        <f>IF(NOT(Paths!$C$98=1),0,IF(Paths!$P$98="Complete",N1015-IF(C1015=0,Paths!$F$98,0),"n.a."))</f>
        <v>0</v>
      </c>
      <c r="P1015" s="16">
        <f>IF(NOT(Paths!$C$98=1),0,IF(Paths!$P$98="Complete",O1015+L1015,"n.a."))</f>
        <v>0</v>
      </c>
      <c r="Q1015" s="16">
        <f>IF(NOT(Paths!$C$98=1),0,IF(Paths!$P$98="Complete",N1015*(1+'Operating costs'!$B$54)^-C1015,"n.a."))</f>
        <v>0</v>
      </c>
      <c r="R1015" s="16">
        <f>IF(NOT(Paths!$C$98=1),0,IF(Paths!$P$98="Complete",IF(AND(C1015=0,Paths!$E$98=0),I1015-J1015-K1015+VLOOKUP(A1015,'Fleet register'!$A$7:$S$106,15,FALSE)+VLOOKUP(A1015,'Fleet register'!$A$7:$S$106,16,FALSE),0),"n.a."))</f>
        <v>0</v>
      </c>
      <c r="S1015" s="1">
        <f>IF(NOT(Paths!$C$98=1),0,IF(Paths!$P$98="Complete",IF(C1015=0,0,Paths!$S$98*Paths!$R$98),"n.a."))</f>
        <v>0</v>
      </c>
      <c r="T1015" s="1">
        <f>IF(NOT(Paths!$C$98=1),0,IF(Paths!$P$98="Complete",IF(C1015=0,0,VLOOKUP(A1015,'Fleet register'!$A$7:$S$106,9,FALSE)*Paths!$R$98),"n.a."))</f>
        <v>0</v>
      </c>
    </row>
    <row r="1016" spans="1:20" ht="24" customHeight="1">
      <c r="A1016" s="1" t="str">
        <f>Paths!$A$98</f>
        <v>T023</v>
      </c>
      <c r="B1016" s="1">
        <f>Paths!$B$98</f>
        <v>3</v>
      </c>
      <c r="C1016" s="1">
        <v>8</v>
      </c>
      <c r="D1016" s="1">
        <v>98</v>
      </c>
      <c r="E1016" s="1">
        <f>IF(OR(Paths!$C$98=0,C1016=0),0,MAX(0,MIN(C1016*12,Paths!$E$98)-(C1016-1)*12))</f>
        <v>0</v>
      </c>
      <c r="F1016" s="1">
        <f>IF(OR(Paths!$C$98=0,C1016=0),0,12-E1016)</f>
        <v>0</v>
      </c>
      <c r="G1016" s="16">
        <f>IF(NOT(Paths!$C$98=1),0,IF(Paths!$P$98="Complete",E1016/12*(Paths!$J$98*(1+'Operating costs'!$B$51)^MAX(0,C1016-1)+Paths!$K$98*(1+'Operating costs'!$B$53)^MAX(0,C1016-1)),"n.a."))</f>
        <v>0</v>
      </c>
      <c r="H1016" s="16">
        <f>IF(NOT(Paths!$C$98=1),0,IF(Paths!$P$98="Complete",F1016/12*(Paths!$L$98*(1+IF(Paths!$D$98="EV",'Operating costs'!$B$52,'Operating costs'!$B$51))^MAX(0,C1016-1)+Paths!$M$98*(1+'Operating costs'!$B$53)^MAX(0,C1016-1)),"n.a."))</f>
        <v>0</v>
      </c>
      <c r="I1016" s="16">
        <f>IF(NOT(Paths!$C$98=1),0,IF(Paths!$P$98="Complete",IF(IF(Paths!$E$98=0,C1016=0,AND(C1016&gt;0,Paths!$E$98&gt;(C1016-1)*12,Paths!$E$98&lt;=C1016*12)),Paths!$G$98,0),"n.a."))</f>
        <v>0</v>
      </c>
      <c r="J1016" s="16">
        <f>IF(NOT(Paths!$C$98=1),0,IF(Paths!$P$98="Complete",IF(IF(Paths!$E$98=0,C1016=0,AND(C1016&gt;0,Paths!$E$98&gt;(C1016-1)*12,Paths!$E$98&lt;=C1016*12)),Paths!$H$98,0),"n.a."))</f>
        <v>0</v>
      </c>
      <c r="K1016" s="16">
        <f>IF(NOT(Paths!$C$98=1),0,IF(Paths!$P$98="Complete",IF(IF(Paths!$O$98=0,C1016=0,AND(C1016&gt;0,Paths!$O$98&gt;(C1016-1)*12,Paths!$O$98&lt;=C1016*12)),Paths!$N$98,0),"n.a."))</f>
        <v>0</v>
      </c>
      <c r="L1016" s="16">
        <f>IF(NOT(Paths!$C$98=1),0,IF(Paths!$P$98="Complete",IF(C1016=10,Paths!$I$98,0),"n.a."))</f>
        <v>0</v>
      </c>
      <c r="M1016" s="16">
        <f>IF(NOT(Paths!$C$98=1),0,IF(Paths!$P$98="Complete",IF(AND(Paths!$D$98="EV",Paths!$E$98&lt;120,Paths!$E$98+'Operating costs'!$B$65&gt;Paths!$E$98,Paths!$E$98+'Operating costs'!$B$65&lt;=120,IF(Paths!$E$98+'Operating costs'!$B$65=0,C1016=0,AND(C1016&gt;0,Paths!$E$98+'Operating costs'!$B$65&gt;(C1016-1)*12,Paths!$E$98+'Operating costs'!$B$65&lt;=C1016*12))),'Operating costs'!$B$64,0)+IF(AND('Operating costs'!$B$67&gt;0,'Operating costs'!$B$67&lt;=120,OR(Paths!$D$98="ICE",'Operating costs'!$B$67&lt;=Paths!$E$98),IF('Operating costs'!$B$67=0,C1016=0,AND(C1016&gt;0,'Operating costs'!$B$67&gt;(C1016-1)*12,'Operating costs'!$B$67&lt;=C1016*12))),'Operating costs'!$B$66,0),"n.a."))</f>
        <v>0</v>
      </c>
      <c r="N1016" s="16">
        <f>IF(NOT(Paths!$C$98=1),0,IF(Paths!$P$98="Complete",SUM(G1016:I1016)-J1016-K1016-L1016+M1016+IF(C1016=0,Paths!$F$98,0)+IF(IF(Paths!$E$98=0,C1016=0,AND(C1016&gt;0,Paths!$E$98&gt;(C1016-1)*12,Paths!$E$98&lt;=C1016*12)),VLOOKUP(A1016,'Fleet register'!$A$7:$S$106,16,FALSE),0),"n.a."))</f>
        <v>0</v>
      </c>
      <c r="O1016" s="16">
        <f>IF(NOT(Paths!$C$98=1),0,IF(Paths!$P$98="Complete",N1016-IF(C1016=0,Paths!$F$98,0),"n.a."))</f>
        <v>0</v>
      </c>
      <c r="P1016" s="16">
        <f>IF(NOT(Paths!$C$98=1),0,IF(Paths!$P$98="Complete",O1016+L1016,"n.a."))</f>
        <v>0</v>
      </c>
      <c r="Q1016" s="16">
        <f>IF(NOT(Paths!$C$98=1),0,IF(Paths!$P$98="Complete",N1016*(1+'Operating costs'!$B$54)^-C1016,"n.a."))</f>
        <v>0</v>
      </c>
      <c r="R1016" s="16">
        <f>IF(NOT(Paths!$C$98=1),0,IF(Paths!$P$98="Complete",IF(AND(C1016=0,Paths!$E$98=0),I1016-J1016-K1016+VLOOKUP(A1016,'Fleet register'!$A$7:$S$106,15,FALSE)+VLOOKUP(A1016,'Fleet register'!$A$7:$S$106,16,FALSE),0),"n.a."))</f>
        <v>0</v>
      </c>
      <c r="S1016" s="1">
        <f>IF(NOT(Paths!$C$98=1),0,IF(Paths!$P$98="Complete",IF(C1016=0,0,Paths!$S$98*Paths!$R$98),"n.a."))</f>
        <v>0</v>
      </c>
      <c r="T1016" s="1">
        <f>IF(NOT(Paths!$C$98=1),0,IF(Paths!$P$98="Complete",IF(C1016=0,0,VLOOKUP(A1016,'Fleet register'!$A$7:$S$106,9,FALSE)*Paths!$R$98),"n.a."))</f>
        <v>0</v>
      </c>
    </row>
    <row r="1017" spans="1:20" ht="24" customHeight="1">
      <c r="A1017" s="1" t="str">
        <f>Paths!$A$98</f>
        <v>T023</v>
      </c>
      <c r="B1017" s="1">
        <f>Paths!$B$98</f>
        <v>3</v>
      </c>
      <c r="C1017" s="1">
        <v>9</v>
      </c>
      <c r="D1017" s="1">
        <v>98</v>
      </c>
      <c r="E1017" s="1">
        <f>IF(OR(Paths!$C$98=0,C1017=0),0,MAX(0,MIN(C1017*12,Paths!$E$98)-(C1017-1)*12))</f>
        <v>0</v>
      </c>
      <c r="F1017" s="1">
        <f>IF(OR(Paths!$C$98=0,C1017=0),0,12-E1017)</f>
        <v>0</v>
      </c>
      <c r="G1017" s="16">
        <f>IF(NOT(Paths!$C$98=1),0,IF(Paths!$P$98="Complete",E1017/12*(Paths!$J$98*(1+'Operating costs'!$B$51)^MAX(0,C1017-1)+Paths!$K$98*(1+'Operating costs'!$B$53)^MAX(0,C1017-1)),"n.a."))</f>
        <v>0</v>
      </c>
      <c r="H1017" s="16">
        <f>IF(NOT(Paths!$C$98=1),0,IF(Paths!$P$98="Complete",F1017/12*(Paths!$L$98*(1+IF(Paths!$D$98="EV",'Operating costs'!$B$52,'Operating costs'!$B$51))^MAX(0,C1017-1)+Paths!$M$98*(1+'Operating costs'!$B$53)^MAX(0,C1017-1)),"n.a."))</f>
        <v>0</v>
      </c>
      <c r="I1017" s="16">
        <f>IF(NOT(Paths!$C$98=1),0,IF(Paths!$P$98="Complete",IF(IF(Paths!$E$98=0,C1017=0,AND(C1017&gt;0,Paths!$E$98&gt;(C1017-1)*12,Paths!$E$98&lt;=C1017*12)),Paths!$G$98,0),"n.a."))</f>
        <v>0</v>
      </c>
      <c r="J1017" s="16">
        <f>IF(NOT(Paths!$C$98=1),0,IF(Paths!$P$98="Complete",IF(IF(Paths!$E$98=0,C1017=0,AND(C1017&gt;0,Paths!$E$98&gt;(C1017-1)*12,Paths!$E$98&lt;=C1017*12)),Paths!$H$98,0),"n.a."))</f>
        <v>0</v>
      </c>
      <c r="K1017" s="16">
        <f>IF(NOT(Paths!$C$98=1),0,IF(Paths!$P$98="Complete",IF(IF(Paths!$O$98=0,C1017=0,AND(C1017&gt;0,Paths!$O$98&gt;(C1017-1)*12,Paths!$O$98&lt;=C1017*12)),Paths!$N$98,0),"n.a."))</f>
        <v>0</v>
      </c>
      <c r="L1017" s="16">
        <f>IF(NOT(Paths!$C$98=1),0,IF(Paths!$P$98="Complete",IF(C1017=10,Paths!$I$98,0),"n.a."))</f>
        <v>0</v>
      </c>
      <c r="M1017" s="16">
        <f>IF(NOT(Paths!$C$98=1),0,IF(Paths!$P$98="Complete",IF(AND(Paths!$D$98="EV",Paths!$E$98&lt;120,Paths!$E$98+'Operating costs'!$B$65&gt;Paths!$E$98,Paths!$E$98+'Operating costs'!$B$65&lt;=120,IF(Paths!$E$98+'Operating costs'!$B$65=0,C1017=0,AND(C1017&gt;0,Paths!$E$98+'Operating costs'!$B$65&gt;(C1017-1)*12,Paths!$E$98+'Operating costs'!$B$65&lt;=C1017*12))),'Operating costs'!$B$64,0)+IF(AND('Operating costs'!$B$67&gt;0,'Operating costs'!$B$67&lt;=120,OR(Paths!$D$98="ICE",'Operating costs'!$B$67&lt;=Paths!$E$98),IF('Operating costs'!$B$67=0,C1017=0,AND(C1017&gt;0,'Operating costs'!$B$67&gt;(C1017-1)*12,'Operating costs'!$B$67&lt;=C1017*12))),'Operating costs'!$B$66,0),"n.a."))</f>
        <v>0</v>
      </c>
      <c r="N1017" s="16">
        <f>IF(NOT(Paths!$C$98=1),0,IF(Paths!$P$98="Complete",SUM(G1017:I1017)-J1017-K1017-L1017+M1017+IF(C1017=0,Paths!$F$98,0)+IF(IF(Paths!$E$98=0,C1017=0,AND(C1017&gt;0,Paths!$E$98&gt;(C1017-1)*12,Paths!$E$98&lt;=C1017*12)),VLOOKUP(A1017,'Fleet register'!$A$7:$S$106,16,FALSE),0),"n.a."))</f>
        <v>0</v>
      </c>
      <c r="O1017" s="16">
        <f>IF(NOT(Paths!$C$98=1),0,IF(Paths!$P$98="Complete",N1017-IF(C1017=0,Paths!$F$98,0),"n.a."))</f>
        <v>0</v>
      </c>
      <c r="P1017" s="16">
        <f>IF(NOT(Paths!$C$98=1),0,IF(Paths!$P$98="Complete",O1017+L1017,"n.a."))</f>
        <v>0</v>
      </c>
      <c r="Q1017" s="16">
        <f>IF(NOT(Paths!$C$98=1),0,IF(Paths!$P$98="Complete",N1017*(1+'Operating costs'!$B$54)^-C1017,"n.a."))</f>
        <v>0</v>
      </c>
      <c r="R1017" s="16">
        <f>IF(NOT(Paths!$C$98=1),0,IF(Paths!$P$98="Complete",IF(AND(C1017=0,Paths!$E$98=0),I1017-J1017-K1017+VLOOKUP(A1017,'Fleet register'!$A$7:$S$106,15,FALSE)+VLOOKUP(A1017,'Fleet register'!$A$7:$S$106,16,FALSE),0),"n.a."))</f>
        <v>0</v>
      </c>
      <c r="S1017" s="1">
        <f>IF(NOT(Paths!$C$98=1),0,IF(Paths!$P$98="Complete",IF(C1017=0,0,Paths!$S$98*Paths!$R$98),"n.a."))</f>
        <v>0</v>
      </c>
      <c r="T1017" s="1">
        <f>IF(NOT(Paths!$C$98=1),0,IF(Paths!$P$98="Complete",IF(C1017=0,0,VLOOKUP(A1017,'Fleet register'!$A$7:$S$106,9,FALSE)*Paths!$R$98),"n.a."))</f>
        <v>0</v>
      </c>
    </row>
    <row r="1018" spans="1:20" ht="24" customHeight="1">
      <c r="A1018" s="1" t="str">
        <f>Paths!$A$98</f>
        <v>T023</v>
      </c>
      <c r="B1018" s="1">
        <f>Paths!$B$98</f>
        <v>3</v>
      </c>
      <c r="C1018" s="1">
        <v>10</v>
      </c>
      <c r="D1018" s="1">
        <v>98</v>
      </c>
      <c r="E1018" s="1">
        <f>IF(OR(Paths!$C$98=0,C1018=0),0,MAX(0,MIN(C1018*12,Paths!$E$98)-(C1018-1)*12))</f>
        <v>0</v>
      </c>
      <c r="F1018" s="1">
        <f>IF(OR(Paths!$C$98=0,C1018=0),0,12-E1018)</f>
        <v>0</v>
      </c>
      <c r="G1018" s="16">
        <f>IF(NOT(Paths!$C$98=1),0,IF(Paths!$P$98="Complete",E1018/12*(Paths!$J$98*(1+'Operating costs'!$B$51)^MAX(0,C1018-1)+Paths!$K$98*(1+'Operating costs'!$B$53)^MAX(0,C1018-1)),"n.a."))</f>
        <v>0</v>
      </c>
      <c r="H1018" s="16">
        <f>IF(NOT(Paths!$C$98=1),0,IF(Paths!$P$98="Complete",F1018/12*(Paths!$L$98*(1+IF(Paths!$D$98="EV",'Operating costs'!$B$52,'Operating costs'!$B$51))^MAX(0,C1018-1)+Paths!$M$98*(1+'Operating costs'!$B$53)^MAX(0,C1018-1)),"n.a."))</f>
        <v>0</v>
      </c>
      <c r="I1018" s="16">
        <f>IF(NOT(Paths!$C$98=1),0,IF(Paths!$P$98="Complete",IF(IF(Paths!$E$98=0,C1018=0,AND(C1018&gt;0,Paths!$E$98&gt;(C1018-1)*12,Paths!$E$98&lt;=C1018*12)),Paths!$G$98,0),"n.a."))</f>
        <v>0</v>
      </c>
      <c r="J1018" s="16">
        <f>IF(NOT(Paths!$C$98=1),0,IF(Paths!$P$98="Complete",IF(IF(Paths!$E$98=0,C1018=0,AND(C1018&gt;0,Paths!$E$98&gt;(C1018-1)*12,Paths!$E$98&lt;=C1018*12)),Paths!$H$98,0),"n.a."))</f>
        <v>0</v>
      </c>
      <c r="K1018" s="16">
        <f>IF(NOT(Paths!$C$98=1),0,IF(Paths!$P$98="Complete",IF(IF(Paths!$O$98=0,C1018=0,AND(C1018&gt;0,Paths!$O$98&gt;(C1018-1)*12,Paths!$O$98&lt;=C1018*12)),Paths!$N$98,0),"n.a."))</f>
        <v>0</v>
      </c>
      <c r="L1018" s="16">
        <f>IF(NOT(Paths!$C$98=1),0,IF(Paths!$P$98="Complete",IF(C1018=10,Paths!$I$98,0),"n.a."))</f>
        <v>0</v>
      </c>
      <c r="M1018" s="16">
        <f>IF(NOT(Paths!$C$98=1),0,IF(Paths!$P$98="Complete",IF(AND(Paths!$D$98="EV",Paths!$E$98&lt;120,Paths!$E$98+'Operating costs'!$B$65&gt;Paths!$E$98,Paths!$E$98+'Operating costs'!$B$65&lt;=120,IF(Paths!$E$98+'Operating costs'!$B$65=0,C1018=0,AND(C1018&gt;0,Paths!$E$98+'Operating costs'!$B$65&gt;(C1018-1)*12,Paths!$E$98+'Operating costs'!$B$65&lt;=C1018*12))),'Operating costs'!$B$64,0)+IF(AND('Operating costs'!$B$67&gt;0,'Operating costs'!$B$67&lt;=120,OR(Paths!$D$98="ICE",'Operating costs'!$B$67&lt;=Paths!$E$98),IF('Operating costs'!$B$67=0,C1018=0,AND(C1018&gt;0,'Operating costs'!$B$67&gt;(C1018-1)*12,'Operating costs'!$B$67&lt;=C1018*12))),'Operating costs'!$B$66,0),"n.a."))</f>
        <v>0</v>
      </c>
      <c r="N1018" s="16">
        <f>IF(NOT(Paths!$C$98=1),0,IF(Paths!$P$98="Complete",SUM(G1018:I1018)-J1018-K1018-L1018+M1018+IF(C1018=0,Paths!$F$98,0)+IF(IF(Paths!$E$98=0,C1018=0,AND(C1018&gt;0,Paths!$E$98&gt;(C1018-1)*12,Paths!$E$98&lt;=C1018*12)),VLOOKUP(A1018,'Fleet register'!$A$7:$S$106,16,FALSE),0),"n.a."))</f>
        <v>0</v>
      </c>
      <c r="O1018" s="16">
        <f>IF(NOT(Paths!$C$98=1),0,IF(Paths!$P$98="Complete",N1018-IF(C1018=0,Paths!$F$98,0),"n.a."))</f>
        <v>0</v>
      </c>
      <c r="P1018" s="16">
        <f>IF(NOT(Paths!$C$98=1),0,IF(Paths!$P$98="Complete",O1018+L1018,"n.a."))</f>
        <v>0</v>
      </c>
      <c r="Q1018" s="16">
        <f>IF(NOT(Paths!$C$98=1),0,IF(Paths!$P$98="Complete",N1018*(1+'Operating costs'!$B$54)^-C1018,"n.a."))</f>
        <v>0</v>
      </c>
      <c r="R1018" s="16">
        <f>IF(NOT(Paths!$C$98=1),0,IF(Paths!$P$98="Complete",IF(AND(C1018=0,Paths!$E$98=0),I1018-J1018-K1018+VLOOKUP(A1018,'Fleet register'!$A$7:$S$106,15,FALSE)+VLOOKUP(A1018,'Fleet register'!$A$7:$S$106,16,FALSE),0),"n.a."))</f>
        <v>0</v>
      </c>
      <c r="S1018" s="1">
        <f>IF(NOT(Paths!$C$98=1),0,IF(Paths!$P$98="Complete",IF(C1018=0,0,Paths!$S$98*Paths!$R$98),"n.a."))</f>
        <v>0</v>
      </c>
      <c r="T1018" s="1">
        <f>IF(NOT(Paths!$C$98=1),0,IF(Paths!$P$98="Complete",IF(C1018=0,0,VLOOKUP(A1018,'Fleet register'!$A$7:$S$106,9,FALSE)*Paths!$R$98),"n.a."))</f>
        <v>0</v>
      </c>
    </row>
    <row r="1019" spans="1:20" ht="24" customHeight="1">
      <c r="A1019" s="1" t="str">
        <f>Paths!$A$99</f>
        <v>T024</v>
      </c>
      <c r="B1019" s="1">
        <f>Paths!$B$99</f>
        <v>0</v>
      </c>
      <c r="C1019" s="1">
        <v>0</v>
      </c>
      <c r="D1019" s="1">
        <v>99</v>
      </c>
      <c r="E1019" s="1">
        <f>IF(OR(Paths!$C$99=0,C1019=0),0,MAX(0,MIN(C1019*12,Paths!$E$99)-(C1019-1)*12))</f>
        <v>0</v>
      </c>
      <c r="F1019" s="1">
        <f>IF(OR(Paths!$C$99=0,C1019=0),0,12-E1019)</f>
        <v>0</v>
      </c>
      <c r="G1019" s="16">
        <f>IF(NOT(Paths!$C$99=1),0,IF(Paths!$P$99="Complete",E1019/12*(Paths!$J$99*(1+'Operating costs'!$B$51)^MAX(0,C1019-1)+Paths!$K$99*(1+'Operating costs'!$B$53)^MAX(0,C1019-1)),"n.a."))</f>
        <v>0</v>
      </c>
      <c r="H1019" s="16">
        <f>IF(NOT(Paths!$C$99=1),0,IF(Paths!$P$99="Complete",F1019/12*(Paths!$L$99*(1+IF(Paths!$D$99="EV",'Operating costs'!$B$52,'Operating costs'!$B$51))^MAX(0,C1019-1)+Paths!$M$99*(1+'Operating costs'!$B$53)^MAX(0,C1019-1)),"n.a."))</f>
        <v>0</v>
      </c>
      <c r="I1019" s="16">
        <f>IF(NOT(Paths!$C$99=1),0,IF(Paths!$P$99="Complete",IF(IF(Paths!$E$99=0,C1019=0,AND(C1019&gt;0,Paths!$E$99&gt;(C1019-1)*12,Paths!$E$99&lt;=C1019*12)),Paths!$G$99,0),"n.a."))</f>
        <v>0</v>
      </c>
      <c r="J1019" s="16">
        <f>IF(NOT(Paths!$C$99=1),0,IF(Paths!$P$99="Complete",IF(IF(Paths!$E$99=0,C1019=0,AND(C1019&gt;0,Paths!$E$99&gt;(C1019-1)*12,Paths!$E$99&lt;=C1019*12)),Paths!$H$99,0),"n.a."))</f>
        <v>0</v>
      </c>
      <c r="K1019" s="16">
        <f>IF(NOT(Paths!$C$99=1),0,IF(Paths!$P$99="Complete",IF(IF(Paths!$O$99=0,C1019=0,AND(C1019&gt;0,Paths!$O$99&gt;(C1019-1)*12,Paths!$O$99&lt;=C1019*12)),Paths!$N$99,0),"n.a."))</f>
        <v>0</v>
      </c>
      <c r="L1019" s="16">
        <f>IF(NOT(Paths!$C$99=1),0,IF(Paths!$P$99="Complete",IF(C1019=10,Paths!$I$99,0),"n.a."))</f>
        <v>0</v>
      </c>
      <c r="M1019" s="16">
        <f>IF(NOT(Paths!$C$99=1),0,IF(Paths!$P$99="Complete",IF(AND(Paths!$D$99="EV",Paths!$E$99&lt;120,Paths!$E$99+'Operating costs'!$B$65&gt;Paths!$E$99,Paths!$E$99+'Operating costs'!$B$65&lt;=120,IF(Paths!$E$99+'Operating costs'!$B$65=0,C1019=0,AND(C1019&gt;0,Paths!$E$99+'Operating costs'!$B$65&gt;(C1019-1)*12,Paths!$E$99+'Operating costs'!$B$65&lt;=C1019*12))),'Operating costs'!$B$64,0)+IF(AND('Operating costs'!$B$67&gt;0,'Operating costs'!$B$67&lt;=120,OR(Paths!$D$99="ICE",'Operating costs'!$B$67&lt;=Paths!$E$99),IF('Operating costs'!$B$67=0,C1019=0,AND(C1019&gt;0,'Operating costs'!$B$67&gt;(C1019-1)*12,'Operating costs'!$B$67&lt;=C1019*12))),'Operating costs'!$B$66,0),"n.a."))</f>
        <v>0</v>
      </c>
      <c r="N1019" s="16">
        <f>IF(NOT(Paths!$C$99=1),0,IF(Paths!$P$99="Complete",SUM(G1019:I1019)-J1019-K1019-L1019+M1019+IF(C1019=0,Paths!$F$99,0)+IF(IF(Paths!$E$99=0,C1019=0,AND(C1019&gt;0,Paths!$E$99&gt;(C1019-1)*12,Paths!$E$99&lt;=C1019*12)),VLOOKUP(A1019,'Fleet register'!$A$7:$S$106,16,FALSE),0),"n.a."))</f>
        <v>0</v>
      </c>
      <c r="O1019" s="16">
        <f>IF(NOT(Paths!$C$99=1),0,IF(Paths!$P$99="Complete",N1019-IF(C1019=0,Paths!$F$99,0),"n.a."))</f>
        <v>0</v>
      </c>
      <c r="P1019" s="16">
        <f>IF(NOT(Paths!$C$99=1),0,IF(Paths!$P$99="Complete",O1019+L1019,"n.a."))</f>
        <v>0</v>
      </c>
      <c r="Q1019" s="16">
        <f>IF(NOT(Paths!$C$99=1),0,IF(Paths!$P$99="Complete",N1019*(1+'Operating costs'!$B$54)^-C1019,"n.a."))</f>
        <v>0</v>
      </c>
      <c r="R1019" s="16">
        <f>IF(NOT(Paths!$C$99=1),0,IF(Paths!$P$99="Complete",IF(AND(C1019=0,Paths!$E$99=0),I1019-J1019-K1019+VLOOKUP(A1019,'Fleet register'!$A$7:$S$106,15,FALSE)+VLOOKUP(A1019,'Fleet register'!$A$7:$S$106,16,FALSE),0),"n.a."))</f>
        <v>0</v>
      </c>
      <c r="S1019" s="1">
        <f>IF(NOT(Paths!$C$99=1),0,IF(Paths!$P$99="Complete",IF(C1019=0,0,Paths!$S$99*Paths!$R$99),"n.a."))</f>
        <v>0</v>
      </c>
      <c r="T1019" s="1">
        <f>IF(NOT(Paths!$C$99=1),0,IF(Paths!$P$99="Complete",IF(C1019=0,0,VLOOKUP(A1019,'Fleet register'!$A$7:$S$106,9,FALSE)*Paths!$R$99),"n.a."))</f>
        <v>0</v>
      </c>
    </row>
    <row r="1020" spans="1:20" ht="24" customHeight="1">
      <c r="A1020" s="1" t="str">
        <f>Paths!$A$99</f>
        <v>T024</v>
      </c>
      <c r="B1020" s="1">
        <f>Paths!$B$99</f>
        <v>0</v>
      </c>
      <c r="C1020" s="1">
        <v>1</v>
      </c>
      <c r="D1020" s="1">
        <v>99</v>
      </c>
      <c r="E1020" s="1">
        <f>IF(OR(Paths!$C$99=0,C1020=0),0,MAX(0,MIN(C1020*12,Paths!$E$99)-(C1020-1)*12))</f>
        <v>0</v>
      </c>
      <c r="F1020" s="1">
        <f>IF(OR(Paths!$C$99=0,C1020=0),0,12-E1020)</f>
        <v>0</v>
      </c>
      <c r="G1020" s="16">
        <f>IF(NOT(Paths!$C$99=1),0,IF(Paths!$P$99="Complete",E1020/12*(Paths!$J$99*(1+'Operating costs'!$B$51)^MAX(0,C1020-1)+Paths!$K$99*(1+'Operating costs'!$B$53)^MAX(0,C1020-1)),"n.a."))</f>
        <v>0</v>
      </c>
      <c r="H1020" s="16">
        <f>IF(NOT(Paths!$C$99=1),0,IF(Paths!$P$99="Complete",F1020/12*(Paths!$L$99*(1+IF(Paths!$D$99="EV",'Operating costs'!$B$52,'Operating costs'!$B$51))^MAX(0,C1020-1)+Paths!$M$99*(1+'Operating costs'!$B$53)^MAX(0,C1020-1)),"n.a."))</f>
        <v>0</v>
      </c>
      <c r="I1020" s="16">
        <f>IF(NOT(Paths!$C$99=1),0,IF(Paths!$P$99="Complete",IF(IF(Paths!$E$99=0,C1020=0,AND(C1020&gt;0,Paths!$E$99&gt;(C1020-1)*12,Paths!$E$99&lt;=C1020*12)),Paths!$G$99,0),"n.a."))</f>
        <v>0</v>
      </c>
      <c r="J1020" s="16">
        <f>IF(NOT(Paths!$C$99=1),0,IF(Paths!$P$99="Complete",IF(IF(Paths!$E$99=0,C1020=0,AND(C1020&gt;0,Paths!$E$99&gt;(C1020-1)*12,Paths!$E$99&lt;=C1020*12)),Paths!$H$99,0),"n.a."))</f>
        <v>0</v>
      </c>
      <c r="K1020" s="16">
        <f>IF(NOT(Paths!$C$99=1),0,IF(Paths!$P$99="Complete",IF(IF(Paths!$O$99=0,C1020=0,AND(C1020&gt;0,Paths!$O$99&gt;(C1020-1)*12,Paths!$O$99&lt;=C1020*12)),Paths!$N$99,0),"n.a."))</f>
        <v>0</v>
      </c>
      <c r="L1020" s="16">
        <f>IF(NOT(Paths!$C$99=1),0,IF(Paths!$P$99="Complete",IF(C1020=10,Paths!$I$99,0),"n.a."))</f>
        <v>0</v>
      </c>
      <c r="M1020" s="16">
        <f>IF(NOT(Paths!$C$99=1),0,IF(Paths!$P$99="Complete",IF(AND(Paths!$D$99="EV",Paths!$E$99&lt;120,Paths!$E$99+'Operating costs'!$B$65&gt;Paths!$E$99,Paths!$E$99+'Operating costs'!$B$65&lt;=120,IF(Paths!$E$99+'Operating costs'!$B$65=0,C1020=0,AND(C1020&gt;0,Paths!$E$99+'Operating costs'!$B$65&gt;(C1020-1)*12,Paths!$E$99+'Operating costs'!$B$65&lt;=C1020*12))),'Operating costs'!$B$64,0)+IF(AND('Operating costs'!$B$67&gt;0,'Operating costs'!$B$67&lt;=120,OR(Paths!$D$99="ICE",'Operating costs'!$B$67&lt;=Paths!$E$99),IF('Operating costs'!$B$67=0,C1020=0,AND(C1020&gt;0,'Operating costs'!$B$67&gt;(C1020-1)*12,'Operating costs'!$B$67&lt;=C1020*12))),'Operating costs'!$B$66,0),"n.a."))</f>
        <v>0</v>
      </c>
      <c r="N1020" s="16">
        <f>IF(NOT(Paths!$C$99=1),0,IF(Paths!$P$99="Complete",SUM(G1020:I1020)-J1020-K1020-L1020+M1020+IF(C1020=0,Paths!$F$99,0)+IF(IF(Paths!$E$99=0,C1020=0,AND(C1020&gt;0,Paths!$E$99&gt;(C1020-1)*12,Paths!$E$99&lt;=C1020*12)),VLOOKUP(A1020,'Fleet register'!$A$7:$S$106,16,FALSE),0),"n.a."))</f>
        <v>0</v>
      </c>
      <c r="O1020" s="16">
        <f>IF(NOT(Paths!$C$99=1),0,IF(Paths!$P$99="Complete",N1020-IF(C1020=0,Paths!$F$99,0),"n.a."))</f>
        <v>0</v>
      </c>
      <c r="P1020" s="16">
        <f>IF(NOT(Paths!$C$99=1),0,IF(Paths!$P$99="Complete",O1020+L1020,"n.a."))</f>
        <v>0</v>
      </c>
      <c r="Q1020" s="16">
        <f>IF(NOT(Paths!$C$99=1),0,IF(Paths!$P$99="Complete",N1020*(1+'Operating costs'!$B$54)^-C1020,"n.a."))</f>
        <v>0</v>
      </c>
      <c r="R1020" s="16">
        <f>IF(NOT(Paths!$C$99=1),0,IF(Paths!$P$99="Complete",IF(AND(C1020=0,Paths!$E$99=0),I1020-J1020-K1020+VLOOKUP(A1020,'Fleet register'!$A$7:$S$106,15,FALSE)+VLOOKUP(A1020,'Fleet register'!$A$7:$S$106,16,FALSE),0),"n.a."))</f>
        <v>0</v>
      </c>
      <c r="S1020" s="1">
        <f>IF(NOT(Paths!$C$99=1),0,IF(Paths!$P$99="Complete",IF(C1020=0,0,Paths!$S$99*Paths!$R$99),"n.a."))</f>
        <v>0</v>
      </c>
      <c r="T1020" s="1">
        <f>IF(NOT(Paths!$C$99=1),0,IF(Paths!$P$99="Complete",IF(C1020=0,0,VLOOKUP(A1020,'Fleet register'!$A$7:$S$106,9,FALSE)*Paths!$R$99),"n.a."))</f>
        <v>0</v>
      </c>
    </row>
    <row r="1021" spans="1:20" ht="24" customHeight="1">
      <c r="A1021" s="1" t="str">
        <f>Paths!$A$99</f>
        <v>T024</v>
      </c>
      <c r="B1021" s="1">
        <f>Paths!$B$99</f>
        <v>0</v>
      </c>
      <c r="C1021" s="1">
        <v>2</v>
      </c>
      <c r="D1021" s="1">
        <v>99</v>
      </c>
      <c r="E1021" s="1">
        <f>IF(OR(Paths!$C$99=0,C1021=0),0,MAX(0,MIN(C1021*12,Paths!$E$99)-(C1021-1)*12))</f>
        <v>0</v>
      </c>
      <c r="F1021" s="1">
        <f>IF(OR(Paths!$C$99=0,C1021=0),0,12-E1021)</f>
        <v>0</v>
      </c>
      <c r="G1021" s="16">
        <f>IF(NOT(Paths!$C$99=1),0,IF(Paths!$P$99="Complete",E1021/12*(Paths!$J$99*(1+'Operating costs'!$B$51)^MAX(0,C1021-1)+Paths!$K$99*(1+'Operating costs'!$B$53)^MAX(0,C1021-1)),"n.a."))</f>
        <v>0</v>
      </c>
      <c r="H1021" s="16">
        <f>IF(NOT(Paths!$C$99=1),0,IF(Paths!$P$99="Complete",F1021/12*(Paths!$L$99*(1+IF(Paths!$D$99="EV",'Operating costs'!$B$52,'Operating costs'!$B$51))^MAX(0,C1021-1)+Paths!$M$99*(1+'Operating costs'!$B$53)^MAX(0,C1021-1)),"n.a."))</f>
        <v>0</v>
      </c>
      <c r="I1021" s="16">
        <f>IF(NOT(Paths!$C$99=1),0,IF(Paths!$P$99="Complete",IF(IF(Paths!$E$99=0,C1021=0,AND(C1021&gt;0,Paths!$E$99&gt;(C1021-1)*12,Paths!$E$99&lt;=C1021*12)),Paths!$G$99,0),"n.a."))</f>
        <v>0</v>
      </c>
      <c r="J1021" s="16">
        <f>IF(NOT(Paths!$C$99=1),0,IF(Paths!$P$99="Complete",IF(IF(Paths!$E$99=0,C1021=0,AND(C1021&gt;0,Paths!$E$99&gt;(C1021-1)*12,Paths!$E$99&lt;=C1021*12)),Paths!$H$99,0),"n.a."))</f>
        <v>0</v>
      </c>
      <c r="K1021" s="16">
        <f>IF(NOT(Paths!$C$99=1),0,IF(Paths!$P$99="Complete",IF(IF(Paths!$O$99=0,C1021=0,AND(C1021&gt;0,Paths!$O$99&gt;(C1021-1)*12,Paths!$O$99&lt;=C1021*12)),Paths!$N$99,0),"n.a."))</f>
        <v>0</v>
      </c>
      <c r="L1021" s="16">
        <f>IF(NOT(Paths!$C$99=1),0,IF(Paths!$P$99="Complete",IF(C1021=10,Paths!$I$99,0),"n.a."))</f>
        <v>0</v>
      </c>
      <c r="M1021" s="16">
        <f>IF(NOT(Paths!$C$99=1),0,IF(Paths!$P$99="Complete",IF(AND(Paths!$D$99="EV",Paths!$E$99&lt;120,Paths!$E$99+'Operating costs'!$B$65&gt;Paths!$E$99,Paths!$E$99+'Operating costs'!$B$65&lt;=120,IF(Paths!$E$99+'Operating costs'!$B$65=0,C1021=0,AND(C1021&gt;0,Paths!$E$99+'Operating costs'!$B$65&gt;(C1021-1)*12,Paths!$E$99+'Operating costs'!$B$65&lt;=C1021*12))),'Operating costs'!$B$64,0)+IF(AND('Operating costs'!$B$67&gt;0,'Operating costs'!$B$67&lt;=120,OR(Paths!$D$99="ICE",'Operating costs'!$B$67&lt;=Paths!$E$99),IF('Operating costs'!$B$67=0,C1021=0,AND(C1021&gt;0,'Operating costs'!$B$67&gt;(C1021-1)*12,'Operating costs'!$B$67&lt;=C1021*12))),'Operating costs'!$B$66,0),"n.a."))</f>
        <v>0</v>
      </c>
      <c r="N1021" s="16">
        <f>IF(NOT(Paths!$C$99=1),0,IF(Paths!$P$99="Complete",SUM(G1021:I1021)-J1021-K1021-L1021+M1021+IF(C1021=0,Paths!$F$99,0)+IF(IF(Paths!$E$99=0,C1021=0,AND(C1021&gt;0,Paths!$E$99&gt;(C1021-1)*12,Paths!$E$99&lt;=C1021*12)),VLOOKUP(A1021,'Fleet register'!$A$7:$S$106,16,FALSE),0),"n.a."))</f>
        <v>0</v>
      </c>
      <c r="O1021" s="16">
        <f>IF(NOT(Paths!$C$99=1),0,IF(Paths!$P$99="Complete",N1021-IF(C1021=0,Paths!$F$99,0),"n.a."))</f>
        <v>0</v>
      </c>
      <c r="P1021" s="16">
        <f>IF(NOT(Paths!$C$99=1),0,IF(Paths!$P$99="Complete",O1021+L1021,"n.a."))</f>
        <v>0</v>
      </c>
      <c r="Q1021" s="16">
        <f>IF(NOT(Paths!$C$99=1),0,IF(Paths!$P$99="Complete",N1021*(1+'Operating costs'!$B$54)^-C1021,"n.a."))</f>
        <v>0</v>
      </c>
      <c r="R1021" s="16">
        <f>IF(NOT(Paths!$C$99=1),0,IF(Paths!$P$99="Complete",IF(AND(C1021=0,Paths!$E$99=0),I1021-J1021-K1021+VLOOKUP(A1021,'Fleet register'!$A$7:$S$106,15,FALSE)+VLOOKUP(A1021,'Fleet register'!$A$7:$S$106,16,FALSE),0),"n.a."))</f>
        <v>0</v>
      </c>
      <c r="S1021" s="1">
        <f>IF(NOT(Paths!$C$99=1),0,IF(Paths!$P$99="Complete",IF(C1021=0,0,Paths!$S$99*Paths!$R$99),"n.a."))</f>
        <v>0</v>
      </c>
      <c r="T1021" s="1">
        <f>IF(NOT(Paths!$C$99=1),0,IF(Paths!$P$99="Complete",IF(C1021=0,0,VLOOKUP(A1021,'Fleet register'!$A$7:$S$106,9,FALSE)*Paths!$R$99),"n.a."))</f>
        <v>0</v>
      </c>
    </row>
    <row r="1022" spans="1:20" ht="24" customHeight="1">
      <c r="A1022" s="1" t="str">
        <f>Paths!$A$99</f>
        <v>T024</v>
      </c>
      <c r="B1022" s="1">
        <f>Paths!$B$99</f>
        <v>0</v>
      </c>
      <c r="C1022" s="1">
        <v>3</v>
      </c>
      <c r="D1022" s="1">
        <v>99</v>
      </c>
      <c r="E1022" s="1">
        <f>IF(OR(Paths!$C$99=0,C1022=0),0,MAX(0,MIN(C1022*12,Paths!$E$99)-(C1022-1)*12))</f>
        <v>0</v>
      </c>
      <c r="F1022" s="1">
        <f>IF(OR(Paths!$C$99=0,C1022=0),0,12-E1022)</f>
        <v>0</v>
      </c>
      <c r="G1022" s="16">
        <f>IF(NOT(Paths!$C$99=1),0,IF(Paths!$P$99="Complete",E1022/12*(Paths!$J$99*(1+'Operating costs'!$B$51)^MAX(0,C1022-1)+Paths!$K$99*(1+'Operating costs'!$B$53)^MAX(0,C1022-1)),"n.a."))</f>
        <v>0</v>
      </c>
      <c r="H1022" s="16">
        <f>IF(NOT(Paths!$C$99=1),0,IF(Paths!$P$99="Complete",F1022/12*(Paths!$L$99*(1+IF(Paths!$D$99="EV",'Operating costs'!$B$52,'Operating costs'!$B$51))^MAX(0,C1022-1)+Paths!$M$99*(1+'Operating costs'!$B$53)^MAX(0,C1022-1)),"n.a."))</f>
        <v>0</v>
      </c>
      <c r="I1022" s="16">
        <f>IF(NOT(Paths!$C$99=1),0,IF(Paths!$P$99="Complete",IF(IF(Paths!$E$99=0,C1022=0,AND(C1022&gt;0,Paths!$E$99&gt;(C1022-1)*12,Paths!$E$99&lt;=C1022*12)),Paths!$G$99,0),"n.a."))</f>
        <v>0</v>
      </c>
      <c r="J1022" s="16">
        <f>IF(NOT(Paths!$C$99=1),0,IF(Paths!$P$99="Complete",IF(IF(Paths!$E$99=0,C1022=0,AND(C1022&gt;0,Paths!$E$99&gt;(C1022-1)*12,Paths!$E$99&lt;=C1022*12)),Paths!$H$99,0),"n.a."))</f>
        <v>0</v>
      </c>
      <c r="K1022" s="16">
        <f>IF(NOT(Paths!$C$99=1),0,IF(Paths!$P$99="Complete",IF(IF(Paths!$O$99=0,C1022=0,AND(C1022&gt;0,Paths!$O$99&gt;(C1022-1)*12,Paths!$O$99&lt;=C1022*12)),Paths!$N$99,0),"n.a."))</f>
        <v>0</v>
      </c>
      <c r="L1022" s="16">
        <f>IF(NOT(Paths!$C$99=1),0,IF(Paths!$P$99="Complete",IF(C1022=10,Paths!$I$99,0),"n.a."))</f>
        <v>0</v>
      </c>
      <c r="M1022" s="16">
        <f>IF(NOT(Paths!$C$99=1),0,IF(Paths!$P$99="Complete",IF(AND(Paths!$D$99="EV",Paths!$E$99&lt;120,Paths!$E$99+'Operating costs'!$B$65&gt;Paths!$E$99,Paths!$E$99+'Operating costs'!$B$65&lt;=120,IF(Paths!$E$99+'Operating costs'!$B$65=0,C1022=0,AND(C1022&gt;0,Paths!$E$99+'Operating costs'!$B$65&gt;(C1022-1)*12,Paths!$E$99+'Operating costs'!$B$65&lt;=C1022*12))),'Operating costs'!$B$64,0)+IF(AND('Operating costs'!$B$67&gt;0,'Operating costs'!$B$67&lt;=120,OR(Paths!$D$99="ICE",'Operating costs'!$B$67&lt;=Paths!$E$99),IF('Operating costs'!$B$67=0,C1022=0,AND(C1022&gt;0,'Operating costs'!$B$67&gt;(C1022-1)*12,'Operating costs'!$B$67&lt;=C1022*12))),'Operating costs'!$B$66,0),"n.a."))</f>
        <v>0</v>
      </c>
      <c r="N1022" s="16">
        <f>IF(NOT(Paths!$C$99=1),0,IF(Paths!$P$99="Complete",SUM(G1022:I1022)-J1022-K1022-L1022+M1022+IF(C1022=0,Paths!$F$99,0)+IF(IF(Paths!$E$99=0,C1022=0,AND(C1022&gt;0,Paths!$E$99&gt;(C1022-1)*12,Paths!$E$99&lt;=C1022*12)),VLOOKUP(A1022,'Fleet register'!$A$7:$S$106,16,FALSE),0),"n.a."))</f>
        <v>0</v>
      </c>
      <c r="O1022" s="16">
        <f>IF(NOT(Paths!$C$99=1),0,IF(Paths!$P$99="Complete",N1022-IF(C1022=0,Paths!$F$99,0),"n.a."))</f>
        <v>0</v>
      </c>
      <c r="P1022" s="16">
        <f>IF(NOT(Paths!$C$99=1),0,IF(Paths!$P$99="Complete",O1022+L1022,"n.a."))</f>
        <v>0</v>
      </c>
      <c r="Q1022" s="16">
        <f>IF(NOT(Paths!$C$99=1),0,IF(Paths!$P$99="Complete",N1022*(1+'Operating costs'!$B$54)^-C1022,"n.a."))</f>
        <v>0</v>
      </c>
      <c r="R1022" s="16">
        <f>IF(NOT(Paths!$C$99=1),0,IF(Paths!$P$99="Complete",IF(AND(C1022=0,Paths!$E$99=0),I1022-J1022-K1022+VLOOKUP(A1022,'Fleet register'!$A$7:$S$106,15,FALSE)+VLOOKUP(A1022,'Fleet register'!$A$7:$S$106,16,FALSE),0),"n.a."))</f>
        <v>0</v>
      </c>
      <c r="S1022" s="1">
        <f>IF(NOT(Paths!$C$99=1),0,IF(Paths!$P$99="Complete",IF(C1022=0,0,Paths!$S$99*Paths!$R$99),"n.a."))</f>
        <v>0</v>
      </c>
      <c r="T1022" s="1">
        <f>IF(NOT(Paths!$C$99=1),0,IF(Paths!$P$99="Complete",IF(C1022=0,0,VLOOKUP(A1022,'Fleet register'!$A$7:$S$106,9,FALSE)*Paths!$R$99),"n.a."))</f>
        <v>0</v>
      </c>
    </row>
    <row r="1023" spans="1:20" ht="24" customHeight="1">
      <c r="A1023" s="1" t="str">
        <f>Paths!$A$99</f>
        <v>T024</v>
      </c>
      <c r="B1023" s="1">
        <f>Paths!$B$99</f>
        <v>0</v>
      </c>
      <c r="C1023" s="1">
        <v>4</v>
      </c>
      <c r="D1023" s="1">
        <v>99</v>
      </c>
      <c r="E1023" s="1">
        <f>IF(OR(Paths!$C$99=0,C1023=0),0,MAX(0,MIN(C1023*12,Paths!$E$99)-(C1023-1)*12))</f>
        <v>0</v>
      </c>
      <c r="F1023" s="1">
        <f>IF(OR(Paths!$C$99=0,C1023=0),0,12-E1023)</f>
        <v>0</v>
      </c>
      <c r="G1023" s="16">
        <f>IF(NOT(Paths!$C$99=1),0,IF(Paths!$P$99="Complete",E1023/12*(Paths!$J$99*(1+'Operating costs'!$B$51)^MAX(0,C1023-1)+Paths!$K$99*(1+'Operating costs'!$B$53)^MAX(0,C1023-1)),"n.a."))</f>
        <v>0</v>
      </c>
      <c r="H1023" s="16">
        <f>IF(NOT(Paths!$C$99=1),0,IF(Paths!$P$99="Complete",F1023/12*(Paths!$L$99*(1+IF(Paths!$D$99="EV",'Operating costs'!$B$52,'Operating costs'!$B$51))^MAX(0,C1023-1)+Paths!$M$99*(1+'Operating costs'!$B$53)^MAX(0,C1023-1)),"n.a."))</f>
        <v>0</v>
      </c>
      <c r="I1023" s="16">
        <f>IF(NOT(Paths!$C$99=1),0,IF(Paths!$P$99="Complete",IF(IF(Paths!$E$99=0,C1023=0,AND(C1023&gt;0,Paths!$E$99&gt;(C1023-1)*12,Paths!$E$99&lt;=C1023*12)),Paths!$G$99,0),"n.a."))</f>
        <v>0</v>
      </c>
      <c r="J1023" s="16">
        <f>IF(NOT(Paths!$C$99=1),0,IF(Paths!$P$99="Complete",IF(IF(Paths!$E$99=0,C1023=0,AND(C1023&gt;0,Paths!$E$99&gt;(C1023-1)*12,Paths!$E$99&lt;=C1023*12)),Paths!$H$99,0),"n.a."))</f>
        <v>0</v>
      </c>
      <c r="K1023" s="16">
        <f>IF(NOT(Paths!$C$99=1),0,IF(Paths!$P$99="Complete",IF(IF(Paths!$O$99=0,C1023=0,AND(C1023&gt;0,Paths!$O$99&gt;(C1023-1)*12,Paths!$O$99&lt;=C1023*12)),Paths!$N$99,0),"n.a."))</f>
        <v>0</v>
      </c>
      <c r="L1023" s="16">
        <f>IF(NOT(Paths!$C$99=1),0,IF(Paths!$P$99="Complete",IF(C1023=10,Paths!$I$99,0),"n.a."))</f>
        <v>0</v>
      </c>
      <c r="M1023" s="16">
        <f>IF(NOT(Paths!$C$99=1),0,IF(Paths!$P$99="Complete",IF(AND(Paths!$D$99="EV",Paths!$E$99&lt;120,Paths!$E$99+'Operating costs'!$B$65&gt;Paths!$E$99,Paths!$E$99+'Operating costs'!$B$65&lt;=120,IF(Paths!$E$99+'Operating costs'!$B$65=0,C1023=0,AND(C1023&gt;0,Paths!$E$99+'Operating costs'!$B$65&gt;(C1023-1)*12,Paths!$E$99+'Operating costs'!$B$65&lt;=C1023*12))),'Operating costs'!$B$64,0)+IF(AND('Operating costs'!$B$67&gt;0,'Operating costs'!$B$67&lt;=120,OR(Paths!$D$99="ICE",'Operating costs'!$B$67&lt;=Paths!$E$99),IF('Operating costs'!$B$67=0,C1023=0,AND(C1023&gt;0,'Operating costs'!$B$67&gt;(C1023-1)*12,'Operating costs'!$B$67&lt;=C1023*12))),'Operating costs'!$B$66,0),"n.a."))</f>
        <v>0</v>
      </c>
      <c r="N1023" s="16">
        <f>IF(NOT(Paths!$C$99=1),0,IF(Paths!$P$99="Complete",SUM(G1023:I1023)-J1023-K1023-L1023+M1023+IF(C1023=0,Paths!$F$99,0)+IF(IF(Paths!$E$99=0,C1023=0,AND(C1023&gt;0,Paths!$E$99&gt;(C1023-1)*12,Paths!$E$99&lt;=C1023*12)),VLOOKUP(A1023,'Fleet register'!$A$7:$S$106,16,FALSE),0),"n.a."))</f>
        <v>0</v>
      </c>
      <c r="O1023" s="16">
        <f>IF(NOT(Paths!$C$99=1),0,IF(Paths!$P$99="Complete",N1023-IF(C1023=0,Paths!$F$99,0),"n.a."))</f>
        <v>0</v>
      </c>
      <c r="P1023" s="16">
        <f>IF(NOT(Paths!$C$99=1),0,IF(Paths!$P$99="Complete",O1023+L1023,"n.a."))</f>
        <v>0</v>
      </c>
      <c r="Q1023" s="16">
        <f>IF(NOT(Paths!$C$99=1),0,IF(Paths!$P$99="Complete",N1023*(1+'Operating costs'!$B$54)^-C1023,"n.a."))</f>
        <v>0</v>
      </c>
      <c r="R1023" s="16">
        <f>IF(NOT(Paths!$C$99=1),0,IF(Paths!$P$99="Complete",IF(AND(C1023=0,Paths!$E$99=0),I1023-J1023-K1023+VLOOKUP(A1023,'Fleet register'!$A$7:$S$106,15,FALSE)+VLOOKUP(A1023,'Fleet register'!$A$7:$S$106,16,FALSE),0),"n.a."))</f>
        <v>0</v>
      </c>
      <c r="S1023" s="1">
        <f>IF(NOT(Paths!$C$99=1),0,IF(Paths!$P$99="Complete",IF(C1023=0,0,Paths!$S$99*Paths!$R$99),"n.a."))</f>
        <v>0</v>
      </c>
      <c r="T1023" s="1">
        <f>IF(NOT(Paths!$C$99=1),0,IF(Paths!$P$99="Complete",IF(C1023=0,0,VLOOKUP(A1023,'Fleet register'!$A$7:$S$106,9,FALSE)*Paths!$R$99),"n.a."))</f>
        <v>0</v>
      </c>
    </row>
    <row r="1024" spans="1:20" ht="24" customHeight="1">
      <c r="A1024" s="1" t="str">
        <f>Paths!$A$99</f>
        <v>T024</v>
      </c>
      <c r="B1024" s="1">
        <f>Paths!$B$99</f>
        <v>0</v>
      </c>
      <c r="C1024" s="1">
        <v>5</v>
      </c>
      <c r="D1024" s="1">
        <v>99</v>
      </c>
      <c r="E1024" s="1">
        <f>IF(OR(Paths!$C$99=0,C1024=0),0,MAX(0,MIN(C1024*12,Paths!$E$99)-(C1024-1)*12))</f>
        <v>0</v>
      </c>
      <c r="F1024" s="1">
        <f>IF(OR(Paths!$C$99=0,C1024=0),0,12-E1024)</f>
        <v>0</v>
      </c>
      <c r="G1024" s="16">
        <f>IF(NOT(Paths!$C$99=1),0,IF(Paths!$P$99="Complete",E1024/12*(Paths!$J$99*(1+'Operating costs'!$B$51)^MAX(0,C1024-1)+Paths!$K$99*(1+'Operating costs'!$B$53)^MAX(0,C1024-1)),"n.a."))</f>
        <v>0</v>
      </c>
      <c r="H1024" s="16">
        <f>IF(NOT(Paths!$C$99=1),0,IF(Paths!$P$99="Complete",F1024/12*(Paths!$L$99*(1+IF(Paths!$D$99="EV",'Operating costs'!$B$52,'Operating costs'!$B$51))^MAX(0,C1024-1)+Paths!$M$99*(1+'Operating costs'!$B$53)^MAX(0,C1024-1)),"n.a."))</f>
        <v>0</v>
      </c>
      <c r="I1024" s="16">
        <f>IF(NOT(Paths!$C$99=1),0,IF(Paths!$P$99="Complete",IF(IF(Paths!$E$99=0,C1024=0,AND(C1024&gt;0,Paths!$E$99&gt;(C1024-1)*12,Paths!$E$99&lt;=C1024*12)),Paths!$G$99,0),"n.a."))</f>
        <v>0</v>
      </c>
      <c r="J1024" s="16">
        <f>IF(NOT(Paths!$C$99=1),0,IF(Paths!$P$99="Complete",IF(IF(Paths!$E$99=0,C1024=0,AND(C1024&gt;0,Paths!$E$99&gt;(C1024-1)*12,Paths!$E$99&lt;=C1024*12)),Paths!$H$99,0),"n.a."))</f>
        <v>0</v>
      </c>
      <c r="K1024" s="16">
        <f>IF(NOT(Paths!$C$99=1),0,IF(Paths!$P$99="Complete",IF(IF(Paths!$O$99=0,C1024=0,AND(C1024&gt;0,Paths!$O$99&gt;(C1024-1)*12,Paths!$O$99&lt;=C1024*12)),Paths!$N$99,0),"n.a."))</f>
        <v>0</v>
      </c>
      <c r="L1024" s="16">
        <f>IF(NOT(Paths!$C$99=1),0,IF(Paths!$P$99="Complete",IF(C1024=10,Paths!$I$99,0),"n.a."))</f>
        <v>0</v>
      </c>
      <c r="M1024" s="16">
        <f>IF(NOT(Paths!$C$99=1),0,IF(Paths!$P$99="Complete",IF(AND(Paths!$D$99="EV",Paths!$E$99&lt;120,Paths!$E$99+'Operating costs'!$B$65&gt;Paths!$E$99,Paths!$E$99+'Operating costs'!$B$65&lt;=120,IF(Paths!$E$99+'Operating costs'!$B$65=0,C1024=0,AND(C1024&gt;0,Paths!$E$99+'Operating costs'!$B$65&gt;(C1024-1)*12,Paths!$E$99+'Operating costs'!$B$65&lt;=C1024*12))),'Operating costs'!$B$64,0)+IF(AND('Operating costs'!$B$67&gt;0,'Operating costs'!$B$67&lt;=120,OR(Paths!$D$99="ICE",'Operating costs'!$B$67&lt;=Paths!$E$99),IF('Operating costs'!$B$67=0,C1024=0,AND(C1024&gt;0,'Operating costs'!$B$67&gt;(C1024-1)*12,'Operating costs'!$B$67&lt;=C1024*12))),'Operating costs'!$B$66,0),"n.a."))</f>
        <v>0</v>
      </c>
      <c r="N1024" s="16">
        <f>IF(NOT(Paths!$C$99=1),0,IF(Paths!$P$99="Complete",SUM(G1024:I1024)-J1024-K1024-L1024+M1024+IF(C1024=0,Paths!$F$99,0)+IF(IF(Paths!$E$99=0,C1024=0,AND(C1024&gt;0,Paths!$E$99&gt;(C1024-1)*12,Paths!$E$99&lt;=C1024*12)),VLOOKUP(A1024,'Fleet register'!$A$7:$S$106,16,FALSE),0),"n.a."))</f>
        <v>0</v>
      </c>
      <c r="O1024" s="16">
        <f>IF(NOT(Paths!$C$99=1),0,IF(Paths!$P$99="Complete",N1024-IF(C1024=0,Paths!$F$99,0),"n.a."))</f>
        <v>0</v>
      </c>
      <c r="P1024" s="16">
        <f>IF(NOT(Paths!$C$99=1),0,IF(Paths!$P$99="Complete",O1024+L1024,"n.a."))</f>
        <v>0</v>
      </c>
      <c r="Q1024" s="16">
        <f>IF(NOT(Paths!$C$99=1),0,IF(Paths!$P$99="Complete",N1024*(1+'Operating costs'!$B$54)^-C1024,"n.a."))</f>
        <v>0</v>
      </c>
      <c r="R1024" s="16">
        <f>IF(NOT(Paths!$C$99=1),0,IF(Paths!$P$99="Complete",IF(AND(C1024=0,Paths!$E$99=0),I1024-J1024-K1024+VLOOKUP(A1024,'Fleet register'!$A$7:$S$106,15,FALSE)+VLOOKUP(A1024,'Fleet register'!$A$7:$S$106,16,FALSE),0),"n.a."))</f>
        <v>0</v>
      </c>
      <c r="S1024" s="1">
        <f>IF(NOT(Paths!$C$99=1),0,IF(Paths!$P$99="Complete",IF(C1024=0,0,Paths!$S$99*Paths!$R$99),"n.a."))</f>
        <v>0</v>
      </c>
      <c r="T1024" s="1">
        <f>IF(NOT(Paths!$C$99=1),0,IF(Paths!$P$99="Complete",IF(C1024=0,0,VLOOKUP(A1024,'Fleet register'!$A$7:$S$106,9,FALSE)*Paths!$R$99),"n.a."))</f>
        <v>0</v>
      </c>
    </row>
    <row r="1025" spans="1:20" ht="24" customHeight="1">
      <c r="A1025" s="1" t="str">
        <f>Paths!$A$99</f>
        <v>T024</v>
      </c>
      <c r="B1025" s="1">
        <f>Paths!$B$99</f>
        <v>0</v>
      </c>
      <c r="C1025" s="1">
        <v>6</v>
      </c>
      <c r="D1025" s="1">
        <v>99</v>
      </c>
      <c r="E1025" s="1">
        <f>IF(OR(Paths!$C$99=0,C1025=0),0,MAX(0,MIN(C1025*12,Paths!$E$99)-(C1025-1)*12))</f>
        <v>0</v>
      </c>
      <c r="F1025" s="1">
        <f>IF(OR(Paths!$C$99=0,C1025=0),0,12-E1025)</f>
        <v>0</v>
      </c>
      <c r="G1025" s="16">
        <f>IF(NOT(Paths!$C$99=1),0,IF(Paths!$P$99="Complete",E1025/12*(Paths!$J$99*(1+'Operating costs'!$B$51)^MAX(0,C1025-1)+Paths!$K$99*(1+'Operating costs'!$B$53)^MAX(0,C1025-1)),"n.a."))</f>
        <v>0</v>
      </c>
      <c r="H1025" s="16">
        <f>IF(NOT(Paths!$C$99=1),0,IF(Paths!$P$99="Complete",F1025/12*(Paths!$L$99*(1+IF(Paths!$D$99="EV",'Operating costs'!$B$52,'Operating costs'!$B$51))^MAX(0,C1025-1)+Paths!$M$99*(1+'Operating costs'!$B$53)^MAX(0,C1025-1)),"n.a."))</f>
        <v>0</v>
      </c>
      <c r="I1025" s="16">
        <f>IF(NOT(Paths!$C$99=1),0,IF(Paths!$P$99="Complete",IF(IF(Paths!$E$99=0,C1025=0,AND(C1025&gt;0,Paths!$E$99&gt;(C1025-1)*12,Paths!$E$99&lt;=C1025*12)),Paths!$G$99,0),"n.a."))</f>
        <v>0</v>
      </c>
      <c r="J1025" s="16">
        <f>IF(NOT(Paths!$C$99=1),0,IF(Paths!$P$99="Complete",IF(IF(Paths!$E$99=0,C1025=0,AND(C1025&gt;0,Paths!$E$99&gt;(C1025-1)*12,Paths!$E$99&lt;=C1025*12)),Paths!$H$99,0),"n.a."))</f>
        <v>0</v>
      </c>
      <c r="K1025" s="16">
        <f>IF(NOT(Paths!$C$99=1),0,IF(Paths!$P$99="Complete",IF(IF(Paths!$O$99=0,C1025=0,AND(C1025&gt;0,Paths!$O$99&gt;(C1025-1)*12,Paths!$O$99&lt;=C1025*12)),Paths!$N$99,0),"n.a."))</f>
        <v>0</v>
      </c>
      <c r="L1025" s="16">
        <f>IF(NOT(Paths!$C$99=1),0,IF(Paths!$P$99="Complete",IF(C1025=10,Paths!$I$99,0),"n.a."))</f>
        <v>0</v>
      </c>
      <c r="M1025" s="16">
        <f>IF(NOT(Paths!$C$99=1),0,IF(Paths!$P$99="Complete",IF(AND(Paths!$D$99="EV",Paths!$E$99&lt;120,Paths!$E$99+'Operating costs'!$B$65&gt;Paths!$E$99,Paths!$E$99+'Operating costs'!$B$65&lt;=120,IF(Paths!$E$99+'Operating costs'!$B$65=0,C1025=0,AND(C1025&gt;0,Paths!$E$99+'Operating costs'!$B$65&gt;(C1025-1)*12,Paths!$E$99+'Operating costs'!$B$65&lt;=C1025*12))),'Operating costs'!$B$64,0)+IF(AND('Operating costs'!$B$67&gt;0,'Operating costs'!$B$67&lt;=120,OR(Paths!$D$99="ICE",'Operating costs'!$B$67&lt;=Paths!$E$99),IF('Operating costs'!$B$67=0,C1025=0,AND(C1025&gt;0,'Operating costs'!$B$67&gt;(C1025-1)*12,'Operating costs'!$B$67&lt;=C1025*12))),'Operating costs'!$B$66,0),"n.a."))</f>
        <v>0</v>
      </c>
      <c r="N1025" s="16">
        <f>IF(NOT(Paths!$C$99=1),0,IF(Paths!$P$99="Complete",SUM(G1025:I1025)-J1025-K1025-L1025+M1025+IF(C1025=0,Paths!$F$99,0)+IF(IF(Paths!$E$99=0,C1025=0,AND(C1025&gt;0,Paths!$E$99&gt;(C1025-1)*12,Paths!$E$99&lt;=C1025*12)),VLOOKUP(A1025,'Fleet register'!$A$7:$S$106,16,FALSE),0),"n.a."))</f>
        <v>0</v>
      </c>
      <c r="O1025" s="16">
        <f>IF(NOT(Paths!$C$99=1),0,IF(Paths!$P$99="Complete",N1025-IF(C1025=0,Paths!$F$99,0),"n.a."))</f>
        <v>0</v>
      </c>
      <c r="P1025" s="16">
        <f>IF(NOT(Paths!$C$99=1),0,IF(Paths!$P$99="Complete",O1025+L1025,"n.a."))</f>
        <v>0</v>
      </c>
      <c r="Q1025" s="16">
        <f>IF(NOT(Paths!$C$99=1),0,IF(Paths!$P$99="Complete",N1025*(1+'Operating costs'!$B$54)^-C1025,"n.a."))</f>
        <v>0</v>
      </c>
      <c r="R1025" s="16">
        <f>IF(NOT(Paths!$C$99=1),0,IF(Paths!$P$99="Complete",IF(AND(C1025=0,Paths!$E$99=0),I1025-J1025-K1025+VLOOKUP(A1025,'Fleet register'!$A$7:$S$106,15,FALSE)+VLOOKUP(A1025,'Fleet register'!$A$7:$S$106,16,FALSE),0),"n.a."))</f>
        <v>0</v>
      </c>
      <c r="S1025" s="1">
        <f>IF(NOT(Paths!$C$99=1),0,IF(Paths!$P$99="Complete",IF(C1025=0,0,Paths!$S$99*Paths!$R$99),"n.a."))</f>
        <v>0</v>
      </c>
      <c r="T1025" s="1">
        <f>IF(NOT(Paths!$C$99=1),0,IF(Paths!$P$99="Complete",IF(C1025=0,0,VLOOKUP(A1025,'Fleet register'!$A$7:$S$106,9,FALSE)*Paths!$R$99),"n.a."))</f>
        <v>0</v>
      </c>
    </row>
    <row r="1026" spans="1:20" ht="24" customHeight="1">
      <c r="A1026" s="1" t="str">
        <f>Paths!$A$99</f>
        <v>T024</v>
      </c>
      <c r="B1026" s="1">
        <f>Paths!$B$99</f>
        <v>0</v>
      </c>
      <c r="C1026" s="1">
        <v>7</v>
      </c>
      <c r="D1026" s="1">
        <v>99</v>
      </c>
      <c r="E1026" s="1">
        <f>IF(OR(Paths!$C$99=0,C1026=0),0,MAX(0,MIN(C1026*12,Paths!$E$99)-(C1026-1)*12))</f>
        <v>0</v>
      </c>
      <c r="F1026" s="1">
        <f>IF(OR(Paths!$C$99=0,C1026=0),0,12-E1026)</f>
        <v>0</v>
      </c>
      <c r="G1026" s="16">
        <f>IF(NOT(Paths!$C$99=1),0,IF(Paths!$P$99="Complete",E1026/12*(Paths!$J$99*(1+'Operating costs'!$B$51)^MAX(0,C1026-1)+Paths!$K$99*(1+'Operating costs'!$B$53)^MAX(0,C1026-1)),"n.a."))</f>
        <v>0</v>
      </c>
      <c r="H1026" s="16">
        <f>IF(NOT(Paths!$C$99=1),0,IF(Paths!$P$99="Complete",F1026/12*(Paths!$L$99*(1+IF(Paths!$D$99="EV",'Operating costs'!$B$52,'Operating costs'!$B$51))^MAX(0,C1026-1)+Paths!$M$99*(1+'Operating costs'!$B$53)^MAX(0,C1026-1)),"n.a."))</f>
        <v>0</v>
      </c>
      <c r="I1026" s="16">
        <f>IF(NOT(Paths!$C$99=1),0,IF(Paths!$P$99="Complete",IF(IF(Paths!$E$99=0,C1026=0,AND(C1026&gt;0,Paths!$E$99&gt;(C1026-1)*12,Paths!$E$99&lt;=C1026*12)),Paths!$G$99,0),"n.a."))</f>
        <v>0</v>
      </c>
      <c r="J1026" s="16">
        <f>IF(NOT(Paths!$C$99=1),0,IF(Paths!$P$99="Complete",IF(IF(Paths!$E$99=0,C1026=0,AND(C1026&gt;0,Paths!$E$99&gt;(C1026-1)*12,Paths!$E$99&lt;=C1026*12)),Paths!$H$99,0),"n.a."))</f>
        <v>0</v>
      </c>
      <c r="K1026" s="16">
        <f>IF(NOT(Paths!$C$99=1),0,IF(Paths!$P$99="Complete",IF(IF(Paths!$O$99=0,C1026=0,AND(C1026&gt;0,Paths!$O$99&gt;(C1026-1)*12,Paths!$O$99&lt;=C1026*12)),Paths!$N$99,0),"n.a."))</f>
        <v>0</v>
      </c>
      <c r="L1026" s="16">
        <f>IF(NOT(Paths!$C$99=1),0,IF(Paths!$P$99="Complete",IF(C1026=10,Paths!$I$99,0),"n.a."))</f>
        <v>0</v>
      </c>
      <c r="M1026" s="16">
        <f>IF(NOT(Paths!$C$99=1),0,IF(Paths!$P$99="Complete",IF(AND(Paths!$D$99="EV",Paths!$E$99&lt;120,Paths!$E$99+'Operating costs'!$B$65&gt;Paths!$E$99,Paths!$E$99+'Operating costs'!$B$65&lt;=120,IF(Paths!$E$99+'Operating costs'!$B$65=0,C1026=0,AND(C1026&gt;0,Paths!$E$99+'Operating costs'!$B$65&gt;(C1026-1)*12,Paths!$E$99+'Operating costs'!$B$65&lt;=C1026*12))),'Operating costs'!$B$64,0)+IF(AND('Operating costs'!$B$67&gt;0,'Operating costs'!$B$67&lt;=120,OR(Paths!$D$99="ICE",'Operating costs'!$B$67&lt;=Paths!$E$99),IF('Operating costs'!$B$67=0,C1026=0,AND(C1026&gt;0,'Operating costs'!$B$67&gt;(C1026-1)*12,'Operating costs'!$B$67&lt;=C1026*12))),'Operating costs'!$B$66,0),"n.a."))</f>
        <v>0</v>
      </c>
      <c r="N1026" s="16">
        <f>IF(NOT(Paths!$C$99=1),0,IF(Paths!$P$99="Complete",SUM(G1026:I1026)-J1026-K1026-L1026+M1026+IF(C1026=0,Paths!$F$99,0)+IF(IF(Paths!$E$99=0,C1026=0,AND(C1026&gt;0,Paths!$E$99&gt;(C1026-1)*12,Paths!$E$99&lt;=C1026*12)),VLOOKUP(A1026,'Fleet register'!$A$7:$S$106,16,FALSE),0),"n.a."))</f>
        <v>0</v>
      </c>
      <c r="O1026" s="16">
        <f>IF(NOT(Paths!$C$99=1),0,IF(Paths!$P$99="Complete",N1026-IF(C1026=0,Paths!$F$99,0),"n.a."))</f>
        <v>0</v>
      </c>
      <c r="P1026" s="16">
        <f>IF(NOT(Paths!$C$99=1),0,IF(Paths!$P$99="Complete",O1026+L1026,"n.a."))</f>
        <v>0</v>
      </c>
      <c r="Q1026" s="16">
        <f>IF(NOT(Paths!$C$99=1),0,IF(Paths!$P$99="Complete",N1026*(1+'Operating costs'!$B$54)^-C1026,"n.a."))</f>
        <v>0</v>
      </c>
      <c r="R1026" s="16">
        <f>IF(NOT(Paths!$C$99=1),0,IF(Paths!$P$99="Complete",IF(AND(C1026=0,Paths!$E$99=0),I1026-J1026-K1026+VLOOKUP(A1026,'Fleet register'!$A$7:$S$106,15,FALSE)+VLOOKUP(A1026,'Fleet register'!$A$7:$S$106,16,FALSE),0),"n.a."))</f>
        <v>0</v>
      </c>
      <c r="S1026" s="1">
        <f>IF(NOT(Paths!$C$99=1),0,IF(Paths!$P$99="Complete",IF(C1026=0,0,Paths!$S$99*Paths!$R$99),"n.a."))</f>
        <v>0</v>
      </c>
      <c r="T1026" s="1">
        <f>IF(NOT(Paths!$C$99=1),0,IF(Paths!$P$99="Complete",IF(C1026=0,0,VLOOKUP(A1026,'Fleet register'!$A$7:$S$106,9,FALSE)*Paths!$R$99),"n.a."))</f>
        <v>0</v>
      </c>
    </row>
    <row r="1027" spans="1:20" ht="24" customHeight="1">
      <c r="A1027" s="1" t="str">
        <f>Paths!$A$99</f>
        <v>T024</v>
      </c>
      <c r="B1027" s="1">
        <f>Paths!$B$99</f>
        <v>0</v>
      </c>
      <c r="C1027" s="1">
        <v>8</v>
      </c>
      <c r="D1027" s="1">
        <v>99</v>
      </c>
      <c r="E1027" s="1">
        <f>IF(OR(Paths!$C$99=0,C1027=0),0,MAX(0,MIN(C1027*12,Paths!$E$99)-(C1027-1)*12))</f>
        <v>0</v>
      </c>
      <c r="F1027" s="1">
        <f>IF(OR(Paths!$C$99=0,C1027=0),0,12-E1027)</f>
        <v>0</v>
      </c>
      <c r="G1027" s="16">
        <f>IF(NOT(Paths!$C$99=1),0,IF(Paths!$P$99="Complete",E1027/12*(Paths!$J$99*(1+'Operating costs'!$B$51)^MAX(0,C1027-1)+Paths!$K$99*(1+'Operating costs'!$B$53)^MAX(0,C1027-1)),"n.a."))</f>
        <v>0</v>
      </c>
      <c r="H1027" s="16">
        <f>IF(NOT(Paths!$C$99=1),0,IF(Paths!$P$99="Complete",F1027/12*(Paths!$L$99*(1+IF(Paths!$D$99="EV",'Operating costs'!$B$52,'Operating costs'!$B$51))^MAX(0,C1027-1)+Paths!$M$99*(1+'Operating costs'!$B$53)^MAX(0,C1027-1)),"n.a."))</f>
        <v>0</v>
      </c>
      <c r="I1027" s="16">
        <f>IF(NOT(Paths!$C$99=1),0,IF(Paths!$P$99="Complete",IF(IF(Paths!$E$99=0,C1027=0,AND(C1027&gt;0,Paths!$E$99&gt;(C1027-1)*12,Paths!$E$99&lt;=C1027*12)),Paths!$G$99,0),"n.a."))</f>
        <v>0</v>
      </c>
      <c r="J1027" s="16">
        <f>IF(NOT(Paths!$C$99=1),0,IF(Paths!$P$99="Complete",IF(IF(Paths!$E$99=0,C1027=0,AND(C1027&gt;0,Paths!$E$99&gt;(C1027-1)*12,Paths!$E$99&lt;=C1027*12)),Paths!$H$99,0),"n.a."))</f>
        <v>0</v>
      </c>
      <c r="K1027" s="16">
        <f>IF(NOT(Paths!$C$99=1),0,IF(Paths!$P$99="Complete",IF(IF(Paths!$O$99=0,C1027=0,AND(C1027&gt;0,Paths!$O$99&gt;(C1027-1)*12,Paths!$O$99&lt;=C1027*12)),Paths!$N$99,0),"n.a."))</f>
        <v>0</v>
      </c>
      <c r="L1027" s="16">
        <f>IF(NOT(Paths!$C$99=1),0,IF(Paths!$P$99="Complete",IF(C1027=10,Paths!$I$99,0),"n.a."))</f>
        <v>0</v>
      </c>
      <c r="M1027" s="16">
        <f>IF(NOT(Paths!$C$99=1),0,IF(Paths!$P$99="Complete",IF(AND(Paths!$D$99="EV",Paths!$E$99&lt;120,Paths!$E$99+'Operating costs'!$B$65&gt;Paths!$E$99,Paths!$E$99+'Operating costs'!$B$65&lt;=120,IF(Paths!$E$99+'Operating costs'!$B$65=0,C1027=0,AND(C1027&gt;0,Paths!$E$99+'Operating costs'!$B$65&gt;(C1027-1)*12,Paths!$E$99+'Operating costs'!$B$65&lt;=C1027*12))),'Operating costs'!$B$64,0)+IF(AND('Operating costs'!$B$67&gt;0,'Operating costs'!$B$67&lt;=120,OR(Paths!$D$99="ICE",'Operating costs'!$B$67&lt;=Paths!$E$99),IF('Operating costs'!$B$67=0,C1027=0,AND(C1027&gt;0,'Operating costs'!$B$67&gt;(C1027-1)*12,'Operating costs'!$B$67&lt;=C1027*12))),'Operating costs'!$B$66,0),"n.a."))</f>
        <v>0</v>
      </c>
      <c r="N1027" s="16">
        <f>IF(NOT(Paths!$C$99=1),0,IF(Paths!$P$99="Complete",SUM(G1027:I1027)-J1027-K1027-L1027+M1027+IF(C1027=0,Paths!$F$99,0)+IF(IF(Paths!$E$99=0,C1027=0,AND(C1027&gt;0,Paths!$E$99&gt;(C1027-1)*12,Paths!$E$99&lt;=C1027*12)),VLOOKUP(A1027,'Fleet register'!$A$7:$S$106,16,FALSE),0),"n.a."))</f>
        <v>0</v>
      </c>
      <c r="O1027" s="16">
        <f>IF(NOT(Paths!$C$99=1),0,IF(Paths!$P$99="Complete",N1027-IF(C1027=0,Paths!$F$99,0),"n.a."))</f>
        <v>0</v>
      </c>
      <c r="P1027" s="16">
        <f>IF(NOT(Paths!$C$99=1),0,IF(Paths!$P$99="Complete",O1027+L1027,"n.a."))</f>
        <v>0</v>
      </c>
      <c r="Q1027" s="16">
        <f>IF(NOT(Paths!$C$99=1),0,IF(Paths!$P$99="Complete",N1027*(1+'Operating costs'!$B$54)^-C1027,"n.a."))</f>
        <v>0</v>
      </c>
      <c r="R1027" s="16">
        <f>IF(NOT(Paths!$C$99=1),0,IF(Paths!$P$99="Complete",IF(AND(C1027=0,Paths!$E$99=0),I1027-J1027-K1027+VLOOKUP(A1027,'Fleet register'!$A$7:$S$106,15,FALSE)+VLOOKUP(A1027,'Fleet register'!$A$7:$S$106,16,FALSE),0),"n.a."))</f>
        <v>0</v>
      </c>
      <c r="S1027" s="1">
        <f>IF(NOT(Paths!$C$99=1),0,IF(Paths!$P$99="Complete",IF(C1027=0,0,Paths!$S$99*Paths!$R$99),"n.a."))</f>
        <v>0</v>
      </c>
      <c r="T1027" s="1">
        <f>IF(NOT(Paths!$C$99=1),0,IF(Paths!$P$99="Complete",IF(C1027=0,0,VLOOKUP(A1027,'Fleet register'!$A$7:$S$106,9,FALSE)*Paths!$R$99),"n.a."))</f>
        <v>0</v>
      </c>
    </row>
    <row r="1028" spans="1:20" ht="24" customHeight="1">
      <c r="A1028" s="1" t="str">
        <f>Paths!$A$99</f>
        <v>T024</v>
      </c>
      <c r="B1028" s="1">
        <f>Paths!$B$99</f>
        <v>0</v>
      </c>
      <c r="C1028" s="1">
        <v>9</v>
      </c>
      <c r="D1028" s="1">
        <v>99</v>
      </c>
      <c r="E1028" s="1">
        <f>IF(OR(Paths!$C$99=0,C1028=0),0,MAX(0,MIN(C1028*12,Paths!$E$99)-(C1028-1)*12))</f>
        <v>0</v>
      </c>
      <c r="F1028" s="1">
        <f>IF(OR(Paths!$C$99=0,C1028=0),0,12-E1028)</f>
        <v>0</v>
      </c>
      <c r="G1028" s="16">
        <f>IF(NOT(Paths!$C$99=1),0,IF(Paths!$P$99="Complete",E1028/12*(Paths!$J$99*(1+'Operating costs'!$B$51)^MAX(0,C1028-1)+Paths!$K$99*(1+'Operating costs'!$B$53)^MAX(0,C1028-1)),"n.a."))</f>
        <v>0</v>
      </c>
      <c r="H1028" s="16">
        <f>IF(NOT(Paths!$C$99=1),0,IF(Paths!$P$99="Complete",F1028/12*(Paths!$L$99*(1+IF(Paths!$D$99="EV",'Operating costs'!$B$52,'Operating costs'!$B$51))^MAX(0,C1028-1)+Paths!$M$99*(1+'Operating costs'!$B$53)^MAX(0,C1028-1)),"n.a."))</f>
        <v>0</v>
      </c>
      <c r="I1028" s="16">
        <f>IF(NOT(Paths!$C$99=1),0,IF(Paths!$P$99="Complete",IF(IF(Paths!$E$99=0,C1028=0,AND(C1028&gt;0,Paths!$E$99&gt;(C1028-1)*12,Paths!$E$99&lt;=C1028*12)),Paths!$G$99,0),"n.a."))</f>
        <v>0</v>
      </c>
      <c r="J1028" s="16">
        <f>IF(NOT(Paths!$C$99=1),0,IF(Paths!$P$99="Complete",IF(IF(Paths!$E$99=0,C1028=0,AND(C1028&gt;0,Paths!$E$99&gt;(C1028-1)*12,Paths!$E$99&lt;=C1028*12)),Paths!$H$99,0),"n.a."))</f>
        <v>0</v>
      </c>
      <c r="K1028" s="16">
        <f>IF(NOT(Paths!$C$99=1),0,IF(Paths!$P$99="Complete",IF(IF(Paths!$O$99=0,C1028=0,AND(C1028&gt;0,Paths!$O$99&gt;(C1028-1)*12,Paths!$O$99&lt;=C1028*12)),Paths!$N$99,0),"n.a."))</f>
        <v>0</v>
      </c>
      <c r="L1028" s="16">
        <f>IF(NOT(Paths!$C$99=1),0,IF(Paths!$P$99="Complete",IF(C1028=10,Paths!$I$99,0),"n.a."))</f>
        <v>0</v>
      </c>
      <c r="M1028" s="16">
        <f>IF(NOT(Paths!$C$99=1),0,IF(Paths!$P$99="Complete",IF(AND(Paths!$D$99="EV",Paths!$E$99&lt;120,Paths!$E$99+'Operating costs'!$B$65&gt;Paths!$E$99,Paths!$E$99+'Operating costs'!$B$65&lt;=120,IF(Paths!$E$99+'Operating costs'!$B$65=0,C1028=0,AND(C1028&gt;0,Paths!$E$99+'Operating costs'!$B$65&gt;(C1028-1)*12,Paths!$E$99+'Operating costs'!$B$65&lt;=C1028*12))),'Operating costs'!$B$64,0)+IF(AND('Operating costs'!$B$67&gt;0,'Operating costs'!$B$67&lt;=120,OR(Paths!$D$99="ICE",'Operating costs'!$B$67&lt;=Paths!$E$99),IF('Operating costs'!$B$67=0,C1028=0,AND(C1028&gt;0,'Operating costs'!$B$67&gt;(C1028-1)*12,'Operating costs'!$B$67&lt;=C1028*12))),'Operating costs'!$B$66,0),"n.a."))</f>
        <v>0</v>
      </c>
      <c r="N1028" s="16">
        <f>IF(NOT(Paths!$C$99=1),0,IF(Paths!$P$99="Complete",SUM(G1028:I1028)-J1028-K1028-L1028+M1028+IF(C1028=0,Paths!$F$99,0)+IF(IF(Paths!$E$99=0,C1028=0,AND(C1028&gt;0,Paths!$E$99&gt;(C1028-1)*12,Paths!$E$99&lt;=C1028*12)),VLOOKUP(A1028,'Fleet register'!$A$7:$S$106,16,FALSE),0),"n.a."))</f>
        <v>0</v>
      </c>
      <c r="O1028" s="16">
        <f>IF(NOT(Paths!$C$99=1),0,IF(Paths!$P$99="Complete",N1028-IF(C1028=0,Paths!$F$99,0),"n.a."))</f>
        <v>0</v>
      </c>
      <c r="P1028" s="16">
        <f>IF(NOT(Paths!$C$99=1),0,IF(Paths!$P$99="Complete",O1028+L1028,"n.a."))</f>
        <v>0</v>
      </c>
      <c r="Q1028" s="16">
        <f>IF(NOT(Paths!$C$99=1),0,IF(Paths!$P$99="Complete",N1028*(1+'Operating costs'!$B$54)^-C1028,"n.a."))</f>
        <v>0</v>
      </c>
      <c r="R1028" s="16">
        <f>IF(NOT(Paths!$C$99=1),0,IF(Paths!$P$99="Complete",IF(AND(C1028=0,Paths!$E$99=0),I1028-J1028-K1028+VLOOKUP(A1028,'Fleet register'!$A$7:$S$106,15,FALSE)+VLOOKUP(A1028,'Fleet register'!$A$7:$S$106,16,FALSE),0),"n.a."))</f>
        <v>0</v>
      </c>
      <c r="S1028" s="1">
        <f>IF(NOT(Paths!$C$99=1),0,IF(Paths!$P$99="Complete",IF(C1028=0,0,Paths!$S$99*Paths!$R$99),"n.a."))</f>
        <v>0</v>
      </c>
      <c r="T1028" s="1">
        <f>IF(NOT(Paths!$C$99=1),0,IF(Paths!$P$99="Complete",IF(C1028=0,0,VLOOKUP(A1028,'Fleet register'!$A$7:$S$106,9,FALSE)*Paths!$R$99),"n.a."))</f>
        <v>0</v>
      </c>
    </row>
    <row r="1029" spans="1:20" ht="24" customHeight="1">
      <c r="A1029" s="1" t="str">
        <f>Paths!$A$99</f>
        <v>T024</v>
      </c>
      <c r="B1029" s="1">
        <f>Paths!$B$99</f>
        <v>0</v>
      </c>
      <c r="C1029" s="1">
        <v>10</v>
      </c>
      <c r="D1029" s="1">
        <v>99</v>
      </c>
      <c r="E1029" s="1">
        <f>IF(OR(Paths!$C$99=0,C1029=0),0,MAX(0,MIN(C1029*12,Paths!$E$99)-(C1029-1)*12))</f>
        <v>0</v>
      </c>
      <c r="F1029" s="1">
        <f>IF(OR(Paths!$C$99=0,C1029=0),0,12-E1029)</f>
        <v>0</v>
      </c>
      <c r="G1029" s="16">
        <f>IF(NOT(Paths!$C$99=1),0,IF(Paths!$P$99="Complete",E1029/12*(Paths!$J$99*(1+'Operating costs'!$B$51)^MAX(0,C1029-1)+Paths!$K$99*(1+'Operating costs'!$B$53)^MAX(0,C1029-1)),"n.a."))</f>
        <v>0</v>
      </c>
      <c r="H1029" s="16">
        <f>IF(NOT(Paths!$C$99=1),0,IF(Paths!$P$99="Complete",F1029/12*(Paths!$L$99*(1+IF(Paths!$D$99="EV",'Operating costs'!$B$52,'Operating costs'!$B$51))^MAX(0,C1029-1)+Paths!$M$99*(1+'Operating costs'!$B$53)^MAX(0,C1029-1)),"n.a."))</f>
        <v>0</v>
      </c>
      <c r="I1029" s="16">
        <f>IF(NOT(Paths!$C$99=1),0,IF(Paths!$P$99="Complete",IF(IF(Paths!$E$99=0,C1029=0,AND(C1029&gt;0,Paths!$E$99&gt;(C1029-1)*12,Paths!$E$99&lt;=C1029*12)),Paths!$G$99,0),"n.a."))</f>
        <v>0</v>
      </c>
      <c r="J1029" s="16">
        <f>IF(NOT(Paths!$C$99=1),0,IF(Paths!$P$99="Complete",IF(IF(Paths!$E$99=0,C1029=0,AND(C1029&gt;0,Paths!$E$99&gt;(C1029-1)*12,Paths!$E$99&lt;=C1029*12)),Paths!$H$99,0),"n.a."))</f>
        <v>0</v>
      </c>
      <c r="K1029" s="16">
        <f>IF(NOT(Paths!$C$99=1),0,IF(Paths!$P$99="Complete",IF(IF(Paths!$O$99=0,C1029=0,AND(C1029&gt;0,Paths!$O$99&gt;(C1029-1)*12,Paths!$O$99&lt;=C1029*12)),Paths!$N$99,0),"n.a."))</f>
        <v>0</v>
      </c>
      <c r="L1029" s="16">
        <f>IF(NOT(Paths!$C$99=1),0,IF(Paths!$P$99="Complete",IF(C1029=10,Paths!$I$99,0),"n.a."))</f>
        <v>0</v>
      </c>
      <c r="M1029" s="16">
        <f>IF(NOT(Paths!$C$99=1),0,IF(Paths!$P$99="Complete",IF(AND(Paths!$D$99="EV",Paths!$E$99&lt;120,Paths!$E$99+'Operating costs'!$B$65&gt;Paths!$E$99,Paths!$E$99+'Operating costs'!$B$65&lt;=120,IF(Paths!$E$99+'Operating costs'!$B$65=0,C1029=0,AND(C1029&gt;0,Paths!$E$99+'Operating costs'!$B$65&gt;(C1029-1)*12,Paths!$E$99+'Operating costs'!$B$65&lt;=C1029*12))),'Operating costs'!$B$64,0)+IF(AND('Operating costs'!$B$67&gt;0,'Operating costs'!$B$67&lt;=120,OR(Paths!$D$99="ICE",'Operating costs'!$B$67&lt;=Paths!$E$99),IF('Operating costs'!$B$67=0,C1029=0,AND(C1029&gt;0,'Operating costs'!$B$67&gt;(C1029-1)*12,'Operating costs'!$B$67&lt;=C1029*12))),'Operating costs'!$B$66,0),"n.a."))</f>
        <v>0</v>
      </c>
      <c r="N1029" s="16">
        <f>IF(NOT(Paths!$C$99=1),0,IF(Paths!$P$99="Complete",SUM(G1029:I1029)-J1029-K1029-L1029+M1029+IF(C1029=0,Paths!$F$99,0)+IF(IF(Paths!$E$99=0,C1029=0,AND(C1029&gt;0,Paths!$E$99&gt;(C1029-1)*12,Paths!$E$99&lt;=C1029*12)),VLOOKUP(A1029,'Fleet register'!$A$7:$S$106,16,FALSE),0),"n.a."))</f>
        <v>0</v>
      </c>
      <c r="O1029" s="16">
        <f>IF(NOT(Paths!$C$99=1),0,IF(Paths!$P$99="Complete",N1029-IF(C1029=0,Paths!$F$99,0),"n.a."))</f>
        <v>0</v>
      </c>
      <c r="P1029" s="16">
        <f>IF(NOT(Paths!$C$99=1),0,IF(Paths!$P$99="Complete",O1029+L1029,"n.a."))</f>
        <v>0</v>
      </c>
      <c r="Q1029" s="16">
        <f>IF(NOT(Paths!$C$99=1),0,IF(Paths!$P$99="Complete",N1029*(1+'Operating costs'!$B$54)^-C1029,"n.a."))</f>
        <v>0</v>
      </c>
      <c r="R1029" s="16">
        <f>IF(NOT(Paths!$C$99=1),0,IF(Paths!$P$99="Complete",IF(AND(C1029=0,Paths!$E$99=0),I1029-J1029-K1029+VLOOKUP(A1029,'Fleet register'!$A$7:$S$106,15,FALSE)+VLOOKUP(A1029,'Fleet register'!$A$7:$S$106,16,FALSE),0),"n.a."))</f>
        <v>0</v>
      </c>
      <c r="S1029" s="1">
        <f>IF(NOT(Paths!$C$99=1),0,IF(Paths!$P$99="Complete",IF(C1029=0,0,Paths!$S$99*Paths!$R$99),"n.a."))</f>
        <v>0</v>
      </c>
      <c r="T1029" s="1">
        <f>IF(NOT(Paths!$C$99=1),0,IF(Paths!$P$99="Complete",IF(C1029=0,0,VLOOKUP(A1029,'Fleet register'!$A$7:$S$106,9,FALSE)*Paths!$R$99),"n.a."))</f>
        <v>0</v>
      </c>
    </row>
    <row r="1030" spans="1:20" ht="24" customHeight="1">
      <c r="A1030" s="1" t="str">
        <f>Paths!$A$100</f>
        <v>T024</v>
      </c>
      <c r="B1030" s="1">
        <f>Paths!$B$100</f>
        <v>1</v>
      </c>
      <c r="C1030" s="1">
        <v>0</v>
      </c>
      <c r="D1030" s="1">
        <v>100</v>
      </c>
      <c r="E1030" s="1">
        <f>IF(OR(Paths!$C$100=0,C1030=0),0,MAX(0,MIN(C1030*12,Paths!$E$100)-(C1030-1)*12))</f>
        <v>0</v>
      </c>
      <c r="F1030" s="1">
        <f>IF(OR(Paths!$C$100=0,C1030=0),0,12-E1030)</f>
        <v>0</v>
      </c>
      <c r="G1030" s="16">
        <f>IF(NOT(Paths!$C$100=1),0,IF(Paths!$P$100="Complete",E1030/12*(Paths!$J$100*(1+'Operating costs'!$B$51)^MAX(0,C1030-1)+Paths!$K$100*(1+'Operating costs'!$B$53)^MAX(0,C1030-1)),"n.a."))</f>
        <v>0</v>
      </c>
      <c r="H1030" s="16">
        <f>IF(NOT(Paths!$C$100=1),0,IF(Paths!$P$100="Complete",F1030/12*(Paths!$L$100*(1+IF(Paths!$D$100="EV",'Operating costs'!$B$52,'Operating costs'!$B$51))^MAX(0,C1030-1)+Paths!$M$100*(1+'Operating costs'!$B$53)^MAX(0,C1030-1)),"n.a."))</f>
        <v>0</v>
      </c>
      <c r="I1030" s="16">
        <f>IF(NOT(Paths!$C$100=1),0,IF(Paths!$P$100="Complete",IF(IF(Paths!$E$100=0,C1030=0,AND(C1030&gt;0,Paths!$E$100&gt;(C1030-1)*12,Paths!$E$100&lt;=C1030*12)),Paths!$G$100,0),"n.a."))</f>
        <v>0</v>
      </c>
      <c r="J1030" s="16">
        <f>IF(NOT(Paths!$C$100=1),0,IF(Paths!$P$100="Complete",IF(IF(Paths!$E$100=0,C1030=0,AND(C1030&gt;0,Paths!$E$100&gt;(C1030-1)*12,Paths!$E$100&lt;=C1030*12)),Paths!$H$100,0),"n.a."))</f>
        <v>0</v>
      </c>
      <c r="K1030" s="16">
        <f>IF(NOT(Paths!$C$100=1),0,IF(Paths!$P$100="Complete",IF(IF(Paths!$O$100=0,C1030=0,AND(C1030&gt;0,Paths!$O$100&gt;(C1030-1)*12,Paths!$O$100&lt;=C1030*12)),Paths!$N$100,0),"n.a."))</f>
        <v>0</v>
      </c>
      <c r="L1030" s="16">
        <f>IF(NOT(Paths!$C$100=1),0,IF(Paths!$P$100="Complete",IF(C1030=10,Paths!$I$100,0),"n.a."))</f>
        <v>0</v>
      </c>
      <c r="M1030" s="16">
        <f>IF(NOT(Paths!$C$100=1),0,IF(Paths!$P$100="Complete",IF(AND(Paths!$D$100="EV",Paths!$E$100&lt;120,Paths!$E$100+'Operating costs'!$B$65&gt;Paths!$E$100,Paths!$E$100+'Operating costs'!$B$65&lt;=120,IF(Paths!$E$100+'Operating costs'!$B$65=0,C1030=0,AND(C1030&gt;0,Paths!$E$100+'Operating costs'!$B$65&gt;(C1030-1)*12,Paths!$E$100+'Operating costs'!$B$65&lt;=C1030*12))),'Operating costs'!$B$64,0)+IF(AND('Operating costs'!$B$67&gt;0,'Operating costs'!$B$67&lt;=120,OR(Paths!$D$100="ICE",'Operating costs'!$B$67&lt;=Paths!$E$100),IF('Operating costs'!$B$67=0,C1030=0,AND(C1030&gt;0,'Operating costs'!$B$67&gt;(C1030-1)*12,'Operating costs'!$B$67&lt;=C1030*12))),'Operating costs'!$B$66,0),"n.a."))</f>
        <v>0</v>
      </c>
      <c r="N1030" s="16">
        <f>IF(NOT(Paths!$C$100=1),0,IF(Paths!$P$100="Complete",SUM(G1030:I1030)-J1030-K1030-L1030+M1030+IF(C1030=0,Paths!$F$100,0)+IF(IF(Paths!$E$100=0,C1030=0,AND(C1030&gt;0,Paths!$E$100&gt;(C1030-1)*12,Paths!$E$100&lt;=C1030*12)),VLOOKUP(A1030,'Fleet register'!$A$7:$S$106,16,FALSE),0),"n.a."))</f>
        <v>0</v>
      </c>
      <c r="O1030" s="16">
        <f>IF(NOT(Paths!$C$100=1),0,IF(Paths!$P$100="Complete",N1030-IF(C1030=0,Paths!$F$100,0),"n.a."))</f>
        <v>0</v>
      </c>
      <c r="P1030" s="16">
        <f>IF(NOT(Paths!$C$100=1),0,IF(Paths!$P$100="Complete",O1030+L1030,"n.a."))</f>
        <v>0</v>
      </c>
      <c r="Q1030" s="16">
        <f>IF(NOT(Paths!$C$100=1),0,IF(Paths!$P$100="Complete",N1030*(1+'Operating costs'!$B$54)^-C1030,"n.a."))</f>
        <v>0</v>
      </c>
      <c r="R1030" s="16">
        <f>IF(NOT(Paths!$C$100=1),0,IF(Paths!$P$100="Complete",IF(AND(C1030=0,Paths!$E$100=0),I1030-J1030-K1030+VLOOKUP(A1030,'Fleet register'!$A$7:$S$106,15,FALSE)+VLOOKUP(A1030,'Fleet register'!$A$7:$S$106,16,FALSE),0),"n.a."))</f>
        <v>0</v>
      </c>
      <c r="S1030" s="1">
        <f>IF(NOT(Paths!$C$100=1),0,IF(Paths!$P$100="Complete",IF(C1030=0,0,Paths!$S$100*Paths!$R$100),"n.a."))</f>
        <v>0</v>
      </c>
      <c r="T1030" s="1">
        <f>IF(NOT(Paths!$C$100=1),0,IF(Paths!$P$100="Complete",IF(C1030=0,0,VLOOKUP(A1030,'Fleet register'!$A$7:$S$106,9,FALSE)*Paths!$R$100),"n.a."))</f>
        <v>0</v>
      </c>
    </row>
    <row r="1031" spans="1:20" ht="24" customHeight="1">
      <c r="A1031" s="1" t="str">
        <f>Paths!$A$100</f>
        <v>T024</v>
      </c>
      <c r="B1031" s="1">
        <f>Paths!$B$100</f>
        <v>1</v>
      </c>
      <c r="C1031" s="1">
        <v>1</v>
      </c>
      <c r="D1031" s="1">
        <v>100</v>
      </c>
      <c r="E1031" s="1">
        <f>IF(OR(Paths!$C$100=0,C1031=0),0,MAX(0,MIN(C1031*12,Paths!$E$100)-(C1031-1)*12))</f>
        <v>0</v>
      </c>
      <c r="F1031" s="1">
        <f>IF(OR(Paths!$C$100=0,C1031=0),0,12-E1031)</f>
        <v>0</v>
      </c>
      <c r="G1031" s="16">
        <f>IF(NOT(Paths!$C$100=1),0,IF(Paths!$P$100="Complete",E1031/12*(Paths!$J$100*(1+'Operating costs'!$B$51)^MAX(0,C1031-1)+Paths!$K$100*(1+'Operating costs'!$B$53)^MAX(0,C1031-1)),"n.a."))</f>
        <v>0</v>
      </c>
      <c r="H1031" s="16">
        <f>IF(NOT(Paths!$C$100=1),0,IF(Paths!$P$100="Complete",F1031/12*(Paths!$L$100*(1+IF(Paths!$D$100="EV",'Operating costs'!$B$52,'Operating costs'!$B$51))^MAX(0,C1031-1)+Paths!$M$100*(1+'Operating costs'!$B$53)^MAX(0,C1031-1)),"n.a."))</f>
        <v>0</v>
      </c>
      <c r="I1031" s="16">
        <f>IF(NOT(Paths!$C$100=1),0,IF(Paths!$P$100="Complete",IF(IF(Paths!$E$100=0,C1031=0,AND(C1031&gt;0,Paths!$E$100&gt;(C1031-1)*12,Paths!$E$100&lt;=C1031*12)),Paths!$G$100,0),"n.a."))</f>
        <v>0</v>
      </c>
      <c r="J1031" s="16">
        <f>IF(NOT(Paths!$C$100=1),0,IF(Paths!$P$100="Complete",IF(IF(Paths!$E$100=0,C1031=0,AND(C1031&gt;0,Paths!$E$100&gt;(C1031-1)*12,Paths!$E$100&lt;=C1031*12)),Paths!$H$100,0),"n.a."))</f>
        <v>0</v>
      </c>
      <c r="K1031" s="16">
        <f>IF(NOT(Paths!$C$100=1),0,IF(Paths!$P$100="Complete",IF(IF(Paths!$O$100=0,C1031=0,AND(C1031&gt;0,Paths!$O$100&gt;(C1031-1)*12,Paths!$O$100&lt;=C1031*12)),Paths!$N$100,0),"n.a."))</f>
        <v>0</v>
      </c>
      <c r="L1031" s="16">
        <f>IF(NOT(Paths!$C$100=1),0,IF(Paths!$P$100="Complete",IF(C1031=10,Paths!$I$100,0),"n.a."))</f>
        <v>0</v>
      </c>
      <c r="M1031" s="16">
        <f>IF(NOT(Paths!$C$100=1),0,IF(Paths!$P$100="Complete",IF(AND(Paths!$D$100="EV",Paths!$E$100&lt;120,Paths!$E$100+'Operating costs'!$B$65&gt;Paths!$E$100,Paths!$E$100+'Operating costs'!$B$65&lt;=120,IF(Paths!$E$100+'Operating costs'!$B$65=0,C1031=0,AND(C1031&gt;0,Paths!$E$100+'Operating costs'!$B$65&gt;(C1031-1)*12,Paths!$E$100+'Operating costs'!$B$65&lt;=C1031*12))),'Operating costs'!$B$64,0)+IF(AND('Operating costs'!$B$67&gt;0,'Operating costs'!$B$67&lt;=120,OR(Paths!$D$100="ICE",'Operating costs'!$B$67&lt;=Paths!$E$100),IF('Operating costs'!$B$67=0,C1031=0,AND(C1031&gt;0,'Operating costs'!$B$67&gt;(C1031-1)*12,'Operating costs'!$B$67&lt;=C1031*12))),'Operating costs'!$B$66,0),"n.a."))</f>
        <v>0</v>
      </c>
      <c r="N1031" s="16">
        <f>IF(NOT(Paths!$C$100=1),0,IF(Paths!$P$100="Complete",SUM(G1031:I1031)-J1031-K1031-L1031+M1031+IF(C1031=0,Paths!$F$100,0)+IF(IF(Paths!$E$100=0,C1031=0,AND(C1031&gt;0,Paths!$E$100&gt;(C1031-1)*12,Paths!$E$100&lt;=C1031*12)),VLOOKUP(A1031,'Fleet register'!$A$7:$S$106,16,FALSE),0),"n.a."))</f>
        <v>0</v>
      </c>
      <c r="O1031" s="16">
        <f>IF(NOT(Paths!$C$100=1),0,IF(Paths!$P$100="Complete",N1031-IF(C1031=0,Paths!$F$100,0),"n.a."))</f>
        <v>0</v>
      </c>
      <c r="P1031" s="16">
        <f>IF(NOT(Paths!$C$100=1),0,IF(Paths!$P$100="Complete",O1031+L1031,"n.a."))</f>
        <v>0</v>
      </c>
      <c r="Q1031" s="16">
        <f>IF(NOT(Paths!$C$100=1),0,IF(Paths!$P$100="Complete",N1031*(1+'Operating costs'!$B$54)^-C1031,"n.a."))</f>
        <v>0</v>
      </c>
      <c r="R1031" s="16">
        <f>IF(NOT(Paths!$C$100=1),0,IF(Paths!$P$100="Complete",IF(AND(C1031=0,Paths!$E$100=0),I1031-J1031-K1031+VLOOKUP(A1031,'Fleet register'!$A$7:$S$106,15,FALSE)+VLOOKUP(A1031,'Fleet register'!$A$7:$S$106,16,FALSE),0),"n.a."))</f>
        <v>0</v>
      </c>
      <c r="S1031" s="1">
        <f>IF(NOT(Paths!$C$100=1),0,IF(Paths!$P$100="Complete",IF(C1031=0,0,Paths!$S$100*Paths!$R$100),"n.a."))</f>
        <v>0</v>
      </c>
      <c r="T1031" s="1">
        <f>IF(NOT(Paths!$C$100=1),0,IF(Paths!$P$100="Complete",IF(C1031=0,0,VLOOKUP(A1031,'Fleet register'!$A$7:$S$106,9,FALSE)*Paths!$R$100),"n.a."))</f>
        <v>0</v>
      </c>
    </row>
    <row r="1032" spans="1:20" ht="24" customHeight="1">
      <c r="A1032" s="1" t="str">
        <f>Paths!$A$100</f>
        <v>T024</v>
      </c>
      <c r="B1032" s="1">
        <f>Paths!$B$100</f>
        <v>1</v>
      </c>
      <c r="C1032" s="1">
        <v>2</v>
      </c>
      <c r="D1032" s="1">
        <v>100</v>
      </c>
      <c r="E1032" s="1">
        <f>IF(OR(Paths!$C$100=0,C1032=0),0,MAX(0,MIN(C1032*12,Paths!$E$100)-(C1032-1)*12))</f>
        <v>0</v>
      </c>
      <c r="F1032" s="1">
        <f>IF(OR(Paths!$C$100=0,C1032=0),0,12-E1032)</f>
        <v>0</v>
      </c>
      <c r="G1032" s="16">
        <f>IF(NOT(Paths!$C$100=1),0,IF(Paths!$P$100="Complete",E1032/12*(Paths!$J$100*(1+'Operating costs'!$B$51)^MAX(0,C1032-1)+Paths!$K$100*(1+'Operating costs'!$B$53)^MAX(0,C1032-1)),"n.a."))</f>
        <v>0</v>
      </c>
      <c r="H1032" s="16">
        <f>IF(NOT(Paths!$C$100=1),0,IF(Paths!$P$100="Complete",F1032/12*(Paths!$L$100*(1+IF(Paths!$D$100="EV",'Operating costs'!$B$52,'Operating costs'!$B$51))^MAX(0,C1032-1)+Paths!$M$100*(1+'Operating costs'!$B$53)^MAX(0,C1032-1)),"n.a."))</f>
        <v>0</v>
      </c>
      <c r="I1032" s="16">
        <f>IF(NOT(Paths!$C$100=1),0,IF(Paths!$P$100="Complete",IF(IF(Paths!$E$100=0,C1032=0,AND(C1032&gt;0,Paths!$E$100&gt;(C1032-1)*12,Paths!$E$100&lt;=C1032*12)),Paths!$G$100,0),"n.a."))</f>
        <v>0</v>
      </c>
      <c r="J1032" s="16">
        <f>IF(NOT(Paths!$C$100=1),0,IF(Paths!$P$100="Complete",IF(IF(Paths!$E$100=0,C1032=0,AND(C1032&gt;0,Paths!$E$100&gt;(C1032-1)*12,Paths!$E$100&lt;=C1032*12)),Paths!$H$100,0),"n.a."))</f>
        <v>0</v>
      </c>
      <c r="K1032" s="16">
        <f>IF(NOT(Paths!$C$100=1),0,IF(Paths!$P$100="Complete",IF(IF(Paths!$O$100=0,C1032=0,AND(C1032&gt;0,Paths!$O$100&gt;(C1032-1)*12,Paths!$O$100&lt;=C1032*12)),Paths!$N$100,0),"n.a."))</f>
        <v>0</v>
      </c>
      <c r="L1032" s="16">
        <f>IF(NOT(Paths!$C$100=1),0,IF(Paths!$P$100="Complete",IF(C1032=10,Paths!$I$100,0),"n.a."))</f>
        <v>0</v>
      </c>
      <c r="M1032" s="16">
        <f>IF(NOT(Paths!$C$100=1),0,IF(Paths!$P$100="Complete",IF(AND(Paths!$D$100="EV",Paths!$E$100&lt;120,Paths!$E$100+'Operating costs'!$B$65&gt;Paths!$E$100,Paths!$E$100+'Operating costs'!$B$65&lt;=120,IF(Paths!$E$100+'Operating costs'!$B$65=0,C1032=0,AND(C1032&gt;0,Paths!$E$100+'Operating costs'!$B$65&gt;(C1032-1)*12,Paths!$E$100+'Operating costs'!$B$65&lt;=C1032*12))),'Operating costs'!$B$64,0)+IF(AND('Operating costs'!$B$67&gt;0,'Operating costs'!$B$67&lt;=120,OR(Paths!$D$100="ICE",'Operating costs'!$B$67&lt;=Paths!$E$100),IF('Operating costs'!$B$67=0,C1032=0,AND(C1032&gt;0,'Operating costs'!$B$67&gt;(C1032-1)*12,'Operating costs'!$B$67&lt;=C1032*12))),'Operating costs'!$B$66,0),"n.a."))</f>
        <v>0</v>
      </c>
      <c r="N1032" s="16">
        <f>IF(NOT(Paths!$C$100=1),0,IF(Paths!$P$100="Complete",SUM(G1032:I1032)-J1032-K1032-L1032+M1032+IF(C1032=0,Paths!$F$100,0)+IF(IF(Paths!$E$100=0,C1032=0,AND(C1032&gt;0,Paths!$E$100&gt;(C1032-1)*12,Paths!$E$100&lt;=C1032*12)),VLOOKUP(A1032,'Fleet register'!$A$7:$S$106,16,FALSE),0),"n.a."))</f>
        <v>0</v>
      </c>
      <c r="O1032" s="16">
        <f>IF(NOT(Paths!$C$100=1),0,IF(Paths!$P$100="Complete",N1032-IF(C1032=0,Paths!$F$100,0),"n.a."))</f>
        <v>0</v>
      </c>
      <c r="P1032" s="16">
        <f>IF(NOT(Paths!$C$100=1),0,IF(Paths!$P$100="Complete",O1032+L1032,"n.a."))</f>
        <v>0</v>
      </c>
      <c r="Q1032" s="16">
        <f>IF(NOT(Paths!$C$100=1),0,IF(Paths!$P$100="Complete",N1032*(1+'Operating costs'!$B$54)^-C1032,"n.a."))</f>
        <v>0</v>
      </c>
      <c r="R1032" s="16">
        <f>IF(NOT(Paths!$C$100=1),0,IF(Paths!$P$100="Complete",IF(AND(C1032=0,Paths!$E$100=0),I1032-J1032-K1032+VLOOKUP(A1032,'Fleet register'!$A$7:$S$106,15,FALSE)+VLOOKUP(A1032,'Fleet register'!$A$7:$S$106,16,FALSE),0),"n.a."))</f>
        <v>0</v>
      </c>
      <c r="S1032" s="1">
        <f>IF(NOT(Paths!$C$100=1),0,IF(Paths!$P$100="Complete",IF(C1032=0,0,Paths!$S$100*Paths!$R$100),"n.a."))</f>
        <v>0</v>
      </c>
      <c r="T1032" s="1">
        <f>IF(NOT(Paths!$C$100=1),0,IF(Paths!$P$100="Complete",IF(C1032=0,0,VLOOKUP(A1032,'Fleet register'!$A$7:$S$106,9,FALSE)*Paths!$R$100),"n.a."))</f>
        <v>0</v>
      </c>
    </row>
    <row r="1033" spans="1:20" ht="24" customHeight="1">
      <c r="A1033" s="1" t="str">
        <f>Paths!$A$100</f>
        <v>T024</v>
      </c>
      <c r="B1033" s="1">
        <f>Paths!$B$100</f>
        <v>1</v>
      </c>
      <c r="C1033" s="1">
        <v>3</v>
      </c>
      <c r="D1033" s="1">
        <v>100</v>
      </c>
      <c r="E1033" s="1">
        <f>IF(OR(Paths!$C$100=0,C1033=0),0,MAX(0,MIN(C1033*12,Paths!$E$100)-(C1033-1)*12))</f>
        <v>0</v>
      </c>
      <c r="F1033" s="1">
        <f>IF(OR(Paths!$C$100=0,C1033=0),0,12-E1033)</f>
        <v>0</v>
      </c>
      <c r="G1033" s="16">
        <f>IF(NOT(Paths!$C$100=1),0,IF(Paths!$P$100="Complete",E1033/12*(Paths!$J$100*(1+'Operating costs'!$B$51)^MAX(0,C1033-1)+Paths!$K$100*(1+'Operating costs'!$B$53)^MAX(0,C1033-1)),"n.a."))</f>
        <v>0</v>
      </c>
      <c r="H1033" s="16">
        <f>IF(NOT(Paths!$C$100=1),0,IF(Paths!$P$100="Complete",F1033/12*(Paths!$L$100*(1+IF(Paths!$D$100="EV",'Operating costs'!$B$52,'Operating costs'!$B$51))^MAX(0,C1033-1)+Paths!$M$100*(1+'Operating costs'!$B$53)^MAX(0,C1033-1)),"n.a."))</f>
        <v>0</v>
      </c>
      <c r="I1033" s="16">
        <f>IF(NOT(Paths!$C$100=1),0,IF(Paths!$P$100="Complete",IF(IF(Paths!$E$100=0,C1033=0,AND(C1033&gt;0,Paths!$E$100&gt;(C1033-1)*12,Paths!$E$100&lt;=C1033*12)),Paths!$G$100,0),"n.a."))</f>
        <v>0</v>
      </c>
      <c r="J1033" s="16">
        <f>IF(NOT(Paths!$C$100=1),0,IF(Paths!$P$100="Complete",IF(IF(Paths!$E$100=0,C1033=0,AND(C1033&gt;0,Paths!$E$100&gt;(C1033-1)*12,Paths!$E$100&lt;=C1033*12)),Paths!$H$100,0),"n.a."))</f>
        <v>0</v>
      </c>
      <c r="K1033" s="16">
        <f>IF(NOT(Paths!$C$100=1),0,IF(Paths!$P$100="Complete",IF(IF(Paths!$O$100=0,C1033=0,AND(C1033&gt;0,Paths!$O$100&gt;(C1033-1)*12,Paths!$O$100&lt;=C1033*12)),Paths!$N$100,0),"n.a."))</f>
        <v>0</v>
      </c>
      <c r="L1033" s="16">
        <f>IF(NOT(Paths!$C$100=1),0,IF(Paths!$P$100="Complete",IF(C1033=10,Paths!$I$100,0),"n.a."))</f>
        <v>0</v>
      </c>
      <c r="M1033" s="16">
        <f>IF(NOT(Paths!$C$100=1),0,IF(Paths!$P$100="Complete",IF(AND(Paths!$D$100="EV",Paths!$E$100&lt;120,Paths!$E$100+'Operating costs'!$B$65&gt;Paths!$E$100,Paths!$E$100+'Operating costs'!$B$65&lt;=120,IF(Paths!$E$100+'Operating costs'!$B$65=0,C1033=0,AND(C1033&gt;0,Paths!$E$100+'Operating costs'!$B$65&gt;(C1033-1)*12,Paths!$E$100+'Operating costs'!$B$65&lt;=C1033*12))),'Operating costs'!$B$64,0)+IF(AND('Operating costs'!$B$67&gt;0,'Operating costs'!$B$67&lt;=120,OR(Paths!$D$100="ICE",'Operating costs'!$B$67&lt;=Paths!$E$100),IF('Operating costs'!$B$67=0,C1033=0,AND(C1033&gt;0,'Operating costs'!$B$67&gt;(C1033-1)*12,'Operating costs'!$B$67&lt;=C1033*12))),'Operating costs'!$B$66,0),"n.a."))</f>
        <v>0</v>
      </c>
      <c r="N1033" s="16">
        <f>IF(NOT(Paths!$C$100=1),0,IF(Paths!$P$100="Complete",SUM(G1033:I1033)-J1033-K1033-L1033+M1033+IF(C1033=0,Paths!$F$100,0)+IF(IF(Paths!$E$100=0,C1033=0,AND(C1033&gt;0,Paths!$E$100&gt;(C1033-1)*12,Paths!$E$100&lt;=C1033*12)),VLOOKUP(A1033,'Fleet register'!$A$7:$S$106,16,FALSE),0),"n.a."))</f>
        <v>0</v>
      </c>
      <c r="O1033" s="16">
        <f>IF(NOT(Paths!$C$100=1),0,IF(Paths!$P$100="Complete",N1033-IF(C1033=0,Paths!$F$100,0),"n.a."))</f>
        <v>0</v>
      </c>
      <c r="P1033" s="16">
        <f>IF(NOT(Paths!$C$100=1),0,IF(Paths!$P$100="Complete",O1033+L1033,"n.a."))</f>
        <v>0</v>
      </c>
      <c r="Q1033" s="16">
        <f>IF(NOT(Paths!$C$100=1),0,IF(Paths!$P$100="Complete",N1033*(1+'Operating costs'!$B$54)^-C1033,"n.a."))</f>
        <v>0</v>
      </c>
      <c r="R1033" s="16">
        <f>IF(NOT(Paths!$C$100=1),0,IF(Paths!$P$100="Complete",IF(AND(C1033=0,Paths!$E$100=0),I1033-J1033-K1033+VLOOKUP(A1033,'Fleet register'!$A$7:$S$106,15,FALSE)+VLOOKUP(A1033,'Fleet register'!$A$7:$S$106,16,FALSE),0),"n.a."))</f>
        <v>0</v>
      </c>
      <c r="S1033" s="1">
        <f>IF(NOT(Paths!$C$100=1),0,IF(Paths!$P$100="Complete",IF(C1033=0,0,Paths!$S$100*Paths!$R$100),"n.a."))</f>
        <v>0</v>
      </c>
      <c r="T1033" s="1">
        <f>IF(NOT(Paths!$C$100=1),0,IF(Paths!$P$100="Complete",IF(C1033=0,0,VLOOKUP(A1033,'Fleet register'!$A$7:$S$106,9,FALSE)*Paths!$R$100),"n.a."))</f>
        <v>0</v>
      </c>
    </row>
    <row r="1034" spans="1:20" ht="24" customHeight="1">
      <c r="A1034" s="1" t="str">
        <f>Paths!$A$100</f>
        <v>T024</v>
      </c>
      <c r="B1034" s="1">
        <f>Paths!$B$100</f>
        <v>1</v>
      </c>
      <c r="C1034" s="1">
        <v>4</v>
      </c>
      <c r="D1034" s="1">
        <v>100</v>
      </c>
      <c r="E1034" s="1">
        <f>IF(OR(Paths!$C$100=0,C1034=0),0,MAX(0,MIN(C1034*12,Paths!$E$100)-(C1034-1)*12))</f>
        <v>0</v>
      </c>
      <c r="F1034" s="1">
        <f>IF(OR(Paths!$C$100=0,C1034=0),0,12-E1034)</f>
        <v>0</v>
      </c>
      <c r="G1034" s="16">
        <f>IF(NOT(Paths!$C$100=1),0,IF(Paths!$P$100="Complete",E1034/12*(Paths!$J$100*(1+'Operating costs'!$B$51)^MAX(0,C1034-1)+Paths!$K$100*(1+'Operating costs'!$B$53)^MAX(0,C1034-1)),"n.a."))</f>
        <v>0</v>
      </c>
      <c r="H1034" s="16">
        <f>IF(NOT(Paths!$C$100=1),0,IF(Paths!$P$100="Complete",F1034/12*(Paths!$L$100*(1+IF(Paths!$D$100="EV",'Operating costs'!$B$52,'Operating costs'!$B$51))^MAX(0,C1034-1)+Paths!$M$100*(1+'Operating costs'!$B$53)^MAX(0,C1034-1)),"n.a."))</f>
        <v>0</v>
      </c>
      <c r="I1034" s="16">
        <f>IF(NOT(Paths!$C$100=1),0,IF(Paths!$P$100="Complete",IF(IF(Paths!$E$100=0,C1034=0,AND(C1034&gt;0,Paths!$E$100&gt;(C1034-1)*12,Paths!$E$100&lt;=C1034*12)),Paths!$G$100,0),"n.a."))</f>
        <v>0</v>
      </c>
      <c r="J1034" s="16">
        <f>IF(NOT(Paths!$C$100=1),0,IF(Paths!$P$100="Complete",IF(IF(Paths!$E$100=0,C1034=0,AND(C1034&gt;0,Paths!$E$100&gt;(C1034-1)*12,Paths!$E$100&lt;=C1034*12)),Paths!$H$100,0),"n.a."))</f>
        <v>0</v>
      </c>
      <c r="K1034" s="16">
        <f>IF(NOT(Paths!$C$100=1),0,IF(Paths!$P$100="Complete",IF(IF(Paths!$O$100=0,C1034=0,AND(C1034&gt;0,Paths!$O$100&gt;(C1034-1)*12,Paths!$O$100&lt;=C1034*12)),Paths!$N$100,0),"n.a."))</f>
        <v>0</v>
      </c>
      <c r="L1034" s="16">
        <f>IF(NOT(Paths!$C$100=1),0,IF(Paths!$P$100="Complete",IF(C1034=10,Paths!$I$100,0),"n.a."))</f>
        <v>0</v>
      </c>
      <c r="M1034" s="16">
        <f>IF(NOT(Paths!$C$100=1),0,IF(Paths!$P$100="Complete",IF(AND(Paths!$D$100="EV",Paths!$E$100&lt;120,Paths!$E$100+'Operating costs'!$B$65&gt;Paths!$E$100,Paths!$E$100+'Operating costs'!$B$65&lt;=120,IF(Paths!$E$100+'Operating costs'!$B$65=0,C1034=0,AND(C1034&gt;0,Paths!$E$100+'Operating costs'!$B$65&gt;(C1034-1)*12,Paths!$E$100+'Operating costs'!$B$65&lt;=C1034*12))),'Operating costs'!$B$64,0)+IF(AND('Operating costs'!$B$67&gt;0,'Operating costs'!$B$67&lt;=120,OR(Paths!$D$100="ICE",'Operating costs'!$B$67&lt;=Paths!$E$100),IF('Operating costs'!$B$67=0,C1034=0,AND(C1034&gt;0,'Operating costs'!$B$67&gt;(C1034-1)*12,'Operating costs'!$B$67&lt;=C1034*12))),'Operating costs'!$B$66,0),"n.a."))</f>
        <v>0</v>
      </c>
      <c r="N1034" s="16">
        <f>IF(NOT(Paths!$C$100=1),0,IF(Paths!$P$100="Complete",SUM(G1034:I1034)-J1034-K1034-L1034+M1034+IF(C1034=0,Paths!$F$100,0)+IF(IF(Paths!$E$100=0,C1034=0,AND(C1034&gt;0,Paths!$E$100&gt;(C1034-1)*12,Paths!$E$100&lt;=C1034*12)),VLOOKUP(A1034,'Fleet register'!$A$7:$S$106,16,FALSE),0),"n.a."))</f>
        <v>0</v>
      </c>
      <c r="O1034" s="16">
        <f>IF(NOT(Paths!$C$100=1),0,IF(Paths!$P$100="Complete",N1034-IF(C1034=0,Paths!$F$100,0),"n.a."))</f>
        <v>0</v>
      </c>
      <c r="P1034" s="16">
        <f>IF(NOT(Paths!$C$100=1),0,IF(Paths!$P$100="Complete",O1034+L1034,"n.a."))</f>
        <v>0</v>
      </c>
      <c r="Q1034" s="16">
        <f>IF(NOT(Paths!$C$100=1),0,IF(Paths!$P$100="Complete",N1034*(1+'Operating costs'!$B$54)^-C1034,"n.a."))</f>
        <v>0</v>
      </c>
      <c r="R1034" s="16">
        <f>IF(NOT(Paths!$C$100=1),0,IF(Paths!$P$100="Complete",IF(AND(C1034=0,Paths!$E$100=0),I1034-J1034-K1034+VLOOKUP(A1034,'Fleet register'!$A$7:$S$106,15,FALSE)+VLOOKUP(A1034,'Fleet register'!$A$7:$S$106,16,FALSE),0),"n.a."))</f>
        <v>0</v>
      </c>
      <c r="S1034" s="1">
        <f>IF(NOT(Paths!$C$100=1),0,IF(Paths!$P$100="Complete",IF(C1034=0,0,Paths!$S$100*Paths!$R$100),"n.a."))</f>
        <v>0</v>
      </c>
      <c r="T1034" s="1">
        <f>IF(NOT(Paths!$C$100=1),0,IF(Paths!$P$100="Complete",IF(C1034=0,0,VLOOKUP(A1034,'Fleet register'!$A$7:$S$106,9,FALSE)*Paths!$R$100),"n.a."))</f>
        <v>0</v>
      </c>
    </row>
    <row r="1035" spans="1:20" ht="24" customHeight="1">
      <c r="A1035" s="1" t="str">
        <f>Paths!$A$100</f>
        <v>T024</v>
      </c>
      <c r="B1035" s="1">
        <f>Paths!$B$100</f>
        <v>1</v>
      </c>
      <c r="C1035" s="1">
        <v>5</v>
      </c>
      <c r="D1035" s="1">
        <v>100</v>
      </c>
      <c r="E1035" s="1">
        <f>IF(OR(Paths!$C$100=0,C1035=0),0,MAX(0,MIN(C1035*12,Paths!$E$100)-(C1035-1)*12))</f>
        <v>0</v>
      </c>
      <c r="F1035" s="1">
        <f>IF(OR(Paths!$C$100=0,C1035=0),0,12-E1035)</f>
        <v>0</v>
      </c>
      <c r="G1035" s="16">
        <f>IF(NOT(Paths!$C$100=1),0,IF(Paths!$P$100="Complete",E1035/12*(Paths!$J$100*(1+'Operating costs'!$B$51)^MAX(0,C1035-1)+Paths!$K$100*(1+'Operating costs'!$B$53)^MAX(0,C1035-1)),"n.a."))</f>
        <v>0</v>
      </c>
      <c r="H1035" s="16">
        <f>IF(NOT(Paths!$C$100=1),0,IF(Paths!$P$100="Complete",F1035/12*(Paths!$L$100*(1+IF(Paths!$D$100="EV",'Operating costs'!$B$52,'Operating costs'!$B$51))^MAX(0,C1035-1)+Paths!$M$100*(1+'Operating costs'!$B$53)^MAX(0,C1035-1)),"n.a."))</f>
        <v>0</v>
      </c>
      <c r="I1035" s="16">
        <f>IF(NOT(Paths!$C$100=1),0,IF(Paths!$P$100="Complete",IF(IF(Paths!$E$100=0,C1035=0,AND(C1035&gt;0,Paths!$E$100&gt;(C1035-1)*12,Paths!$E$100&lt;=C1035*12)),Paths!$G$100,0),"n.a."))</f>
        <v>0</v>
      </c>
      <c r="J1035" s="16">
        <f>IF(NOT(Paths!$C$100=1),0,IF(Paths!$P$100="Complete",IF(IF(Paths!$E$100=0,C1035=0,AND(C1035&gt;0,Paths!$E$100&gt;(C1035-1)*12,Paths!$E$100&lt;=C1035*12)),Paths!$H$100,0),"n.a."))</f>
        <v>0</v>
      </c>
      <c r="K1035" s="16">
        <f>IF(NOT(Paths!$C$100=1),0,IF(Paths!$P$100="Complete",IF(IF(Paths!$O$100=0,C1035=0,AND(C1035&gt;0,Paths!$O$100&gt;(C1035-1)*12,Paths!$O$100&lt;=C1035*12)),Paths!$N$100,0),"n.a."))</f>
        <v>0</v>
      </c>
      <c r="L1035" s="16">
        <f>IF(NOT(Paths!$C$100=1),0,IF(Paths!$P$100="Complete",IF(C1035=10,Paths!$I$100,0),"n.a."))</f>
        <v>0</v>
      </c>
      <c r="M1035" s="16">
        <f>IF(NOT(Paths!$C$100=1),0,IF(Paths!$P$100="Complete",IF(AND(Paths!$D$100="EV",Paths!$E$100&lt;120,Paths!$E$100+'Operating costs'!$B$65&gt;Paths!$E$100,Paths!$E$100+'Operating costs'!$B$65&lt;=120,IF(Paths!$E$100+'Operating costs'!$B$65=0,C1035=0,AND(C1035&gt;0,Paths!$E$100+'Operating costs'!$B$65&gt;(C1035-1)*12,Paths!$E$100+'Operating costs'!$B$65&lt;=C1035*12))),'Operating costs'!$B$64,0)+IF(AND('Operating costs'!$B$67&gt;0,'Operating costs'!$B$67&lt;=120,OR(Paths!$D$100="ICE",'Operating costs'!$B$67&lt;=Paths!$E$100),IF('Operating costs'!$B$67=0,C1035=0,AND(C1035&gt;0,'Operating costs'!$B$67&gt;(C1035-1)*12,'Operating costs'!$B$67&lt;=C1035*12))),'Operating costs'!$B$66,0),"n.a."))</f>
        <v>0</v>
      </c>
      <c r="N1035" s="16">
        <f>IF(NOT(Paths!$C$100=1),0,IF(Paths!$P$100="Complete",SUM(G1035:I1035)-J1035-K1035-L1035+M1035+IF(C1035=0,Paths!$F$100,0)+IF(IF(Paths!$E$100=0,C1035=0,AND(C1035&gt;0,Paths!$E$100&gt;(C1035-1)*12,Paths!$E$100&lt;=C1035*12)),VLOOKUP(A1035,'Fleet register'!$A$7:$S$106,16,FALSE),0),"n.a."))</f>
        <v>0</v>
      </c>
      <c r="O1035" s="16">
        <f>IF(NOT(Paths!$C$100=1),0,IF(Paths!$P$100="Complete",N1035-IF(C1035=0,Paths!$F$100,0),"n.a."))</f>
        <v>0</v>
      </c>
      <c r="P1035" s="16">
        <f>IF(NOT(Paths!$C$100=1),0,IF(Paths!$P$100="Complete",O1035+L1035,"n.a."))</f>
        <v>0</v>
      </c>
      <c r="Q1035" s="16">
        <f>IF(NOT(Paths!$C$100=1),0,IF(Paths!$P$100="Complete",N1035*(1+'Operating costs'!$B$54)^-C1035,"n.a."))</f>
        <v>0</v>
      </c>
      <c r="R1035" s="16">
        <f>IF(NOT(Paths!$C$100=1),0,IF(Paths!$P$100="Complete",IF(AND(C1035=0,Paths!$E$100=0),I1035-J1035-K1035+VLOOKUP(A1035,'Fleet register'!$A$7:$S$106,15,FALSE)+VLOOKUP(A1035,'Fleet register'!$A$7:$S$106,16,FALSE),0),"n.a."))</f>
        <v>0</v>
      </c>
      <c r="S1035" s="1">
        <f>IF(NOT(Paths!$C$100=1),0,IF(Paths!$P$100="Complete",IF(C1035=0,0,Paths!$S$100*Paths!$R$100),"n.a."))</f>
        <v>0</v>
      </c>
      <c r="T1035" s="1">
        <f>IF(NOT(Paths!$C$100=1),0,IF(Paths!$P$100="Complete",IF(C1035=0,0,VLOOKUP(A1035,'Fleet register'!$A$7:$S$106,9,FALSE)*Paths!$R$100),"n.a."))</f>
        <v>0</v>
      </c>
    </row>
    <row r="1036" spans="1:20" ht="24" customHeight="1">
      <c r="A1036" s="1" t="str">
        <f>Paths!$A$100</f>
        <v>T024</v>
      </c>
      <c r="B1036" s="1">
        <f>Paths!$B$100</f>
        <v>1</v>
      </c>
      <c r="C1036" s="1">
        <v>6</v>
      </c>
      <c r="D1036" s="1">
        <v>100</v>
      </c>
      <c r="E1036" s="1">
        <f>IF(OR(Paths!$C$100=0,C1036=0),0,MAX(0,MIN(C1036*12,Paths!$E$100)-(C1036-1)*12))</f>
        <v>0</v>
      </c>
      <c r="F1036" s="1">
        <f>IF(OR(Paths!$C$100=0,C1036=0),0,12-E1036)</f>
        <v>0</v>
      </c>
      <c r="G1036" s="16">
        <f>IF(NOT(Paths!$C$100=1),0,IF(Paths!$P$100="Complete",E1036/12*(Paths!$J$100*(1+'Operating costs'!$B$51)^MAX(0,C1036-1)+Paths!$K$100*(1+'Operating costs'!$B$53)^MAX(0,C1036-1)),"n.a."))</f>
        <v>0</v>
      </c>
      <c r="H1036" s="16">
        <f>IF(NOT(Paths!$C$100=1),0,IF(Paths!$P$100="Complete",F1036/12*(Paths!$L$100*(1+IF(Paths!$D$100="EV",'Operating costs'!$B$52,'Operating costs'!$B$51))^MAX(0,C1036-1)+Paths!$M$100*(1+'Operating costs'!$B$53)^MAX(0,C1036-1)),"n.a."))</f>
        <v>0</v>
      </c>
      <c r="I1036" s="16">
        <f>IF(NOT(Paths!$C$100=1),0,IF(Paths!$P$100="Complete",IF(IF(Paths!$E$100=0,C1036=0,AND(C1036&gt;0,Paths!$E$100&gt;(C1036-1)*12,Paths!$E$100&lt;=C1036*12)),Paths!$G$100,0),"n.a."))</f>
        <v>0</v>
      </c>
      <c r="J1036" s="16">
        <f>IF(NOT(Paths!$C$100=1),0,IF(Paths!$P$100="Complete",IF(IF(Paths!$E$100=0,C1036=0,AND(C1036&gt;0,Paths!$E$100&gt;(C1036-1)*12,Paths!$E$100&lt;=C1036*12)),Paths!$H$100,0),"n.a."))</f>
        <v>0</v>
      </c>
      <c r="K1036" s="16">
        <f>IF(NOT(Paths!$C$100=1),0,IF(Paths!$P$100="Complete",IF(IF(Paths!$O$100=0,C1036=0,AND(C1036&gt;0,Paths!$O$100&gt;(C1036-1)*12,Paths!$O$100&lt;=C1036*12)),Paths!$N$100,0),"n.a."))</f>
        <v>0</v>
      </c>
      <c r="L1036" s="16">
        <f>IF(NOT(Paths!$C$100=1),0,IF(Paths!$P$100="Complete",IF(C1036=10,Paths!$I$100,0),"n.a."))</f>
        <v>0</v>
      </c>
      <c r="M1036" s="16">
        <f>IF(NOT(Paths!$C$100=1),0,IF(Paths!$P$100="Complete",IF(AND(Paths!$D$100="EV",Paths!$E$100&lt;120,Paths!$E$100+'Operating costs'!$B$65&gt;Paths!$E$100,Paths!$E$100+'Operating costs'!$B$65&lt;=120,IF(Paths!$E$100+'Operating costs'!$B$65=0,C1036=0,AND(C1036&gt;0,Paths!$E$100+'Operating costs'!$B$65&gt;(C1036-1)*12,Paths!$E$100+'Operating costs'!$B$65&lt;=C1036*12))),'Operating costs'!$B$64,0)+IF(AND('Operating costs'!$B$67&gt;0,'Operating costs'!$B$67&lt;=120,OR(Paths!$D$100="ICE",'Operating costs'!$B$67&lt;=Paths!$E$100),IF('Operating costs'!$B$67=0,C1036=0,AND(C1036&gt;0,'Operating costs'!$B$67&gt;(C1036-1)*12,'Operating costs'!$B$67&lt;=C1036*12))),'Operating costs'!$B$66,0),"n.a."))</f>
        <v>0</v>
      </c>
      <c r="N1036" s="16">
        <f>IF(NOT(Paths!$C$100=1),0,IF(Paths!$P$100="Complete",SUM(G1036:I1036)-J1036-K1036-L1036+M1036+IF(C1036=0,Paths!$F$100,0)+IF(IF(Paths!$E$100=0,C1036=0,AND(C1036&gt;0,Paths!$E$100&gt;(C1036-1)*12,Paths!$E$100&lt;=C1036*12)),VLOOKUP(A1036,'Fleet register'!$A$7:$S$106,16,FALSE),0),"n.a."))</f>
        <v>0</v>
      </c>
      <c r="O1036" s="16">
        <f>IF(NOT(Paths!$C$100=1),0,IF(Paths!$P$100="Complete",N1036-IF(C1036=0,Paths!$F$100,0),"n.a."))</f>
        <v>0</v>
      </c>
      <c r="P1036" s="16">
        <f>IF(NOT(Paths!$C$100=1),0,IF(Paths!$P$100="Complete",O1036+L1036,"n.a."))</f>
        <v>0</v>
      </c>
      <c r="Q1036" s="16">
        <f>IF(NOT(Paths!$C$100=1),0,IF(Paths!$P$100="Complete",N1036*(1+'Operating costs'!$B$54)^-C1036,"n.a."))</f>
        <v>0</v>
      </c>
      <c r="R1036" s="16">
        <f>IF(NOT(Paths!$C$100=1),0,IF(Paths!$P$100="Complete",IF(AND(C1036=0,Paths!$E$100=0),I1036-J1036-K1036+VLOOKUP(A1036,'Fleet register'!$A$7:$S$106,15,FALSE)+VLOOKUP(A1036,'Fleet register'!$A$7:$S$106,16,FALSE),0),"n.a."))</f>
        <v>0</v>
      </c>
      <c r="S1036" s="1">
        <f>IF(NOT(Paths!$C$100=1),0,IF(Paths!$P$100="Complete",IF(C1036=0,0,Paths!$S$100*Paths!$R$100),"n.a."))</f>
        <v>0</v>
      </c>
      <c r="T1036" s="1">
        <f>IF(NOT(Paths!$C$100=1),0,IF(Paths!$P$100="Complete",IF(C1036=0,0,VLOOKUP(A1036,'Fleet register'!$A$7:$S$106,9,FALSE)*Paths!$R$100),"n.a."))</f>
        <v>0</v>
      </c>
    </row>
    <row r="1037" spans="1:20" ht="24" customHeight="1">
      <c r="A1037" s="1" t="str">
        <f>Paths!$A$100</f>
        <v>T024</v>
      </c>
      <c r="B1037" s="1">
        <f>Paths!$B$100</f>
        <v>1</v>
      </c>
      <c r="C1037" s="1">
        <v>7</v>
      </c>
      <c r="D1037" s="1">
        <v>100</v>
      </c>
      <c r="E1037" s="1">
        <f>IF(OR(Paths!$C$100=0,C1037=0),0,MAX(0,MIN(C1037*12,Paths!$E$100)-(C1037-1)*12))</f>
        <v>0</v>
      </c>
      <c r="F1037" s="1">
        <f>IF(OR(Paths!$C$100=0,C1037=0),0,12-E1037)</f>
        <v>0</v>
      </c>
      <c r="G1037" s="16">
        <f>IF(NOT(Paths!$C$100=1),0,IF(Paths!$P$100="Complete",E1037/12*(Paths!$J$100*(1+'Operating costs'!$B$51)^MAX(0,C1037-1)+Paths!$K$100*(1+'Operating costs'!$B$53)^MAX(0,C1037-1)),"n.a."))</f>
        <v>0</v>
      </c>
      <c r="H1037" s="16">
        <f>IF(NOT(Paths!$C$100=1),0,IF(Paths!$P$100="Complete",F1037/12*(Paths!$L$100*(1+IF(Paths!$D$100="EV",'Operating costs'!$B$52,'Operating costs'!$B$51))^MAX(0,C1037-1)+Paths!$M$100*(1+'Operating costs'!$B$53)^MAX(0,C1037-1)),"n.a."))</f>
        <v>0</v>
      </c>
      <c r="I1037" s="16">
        <f>IF(NOT(Paths!$C$100=1),0,IF(Paths!$P$100="Complete",IF(IF(Paths!$E$100=0,C1037=0,AND(C1037&gt;0,Paths!$E$100&gt;(C1037-1)*12,Paths!$E$100&lt;=C1037*12)),Paths!$G$100,0),"n.a."))</f>
        <v>0</v>
      </c>
      <c r="J1037" s="16">
        <f>IF(NOT(Paths!$C$100=1),0,IF(Paths!$P$100="Complete",IF(IF(Paths!$E$100=0,C1037=0,AND(C1037&gt;0,Paths!$E$100&gt;(C1037-1)*12,Paths!$E$100&lt;=C1037*12)),Paths!$H$100,0),"n.a."))</f>
        <v>0</v>
      </c>
      <c r="K1037" s="16">
        <f>IF(NOT(Paths!$C$100=1),0,IF(Paths!$P$100="Complete",IF(IF(Paths!$O$100=0,C1037=0,AND(C1037&gt;0,Paths!$O$100&gt;(C1037-1)*12,Paths!$O$100&lt;=C1037*12)),Paths!$N$100,0),"n.a."))</f>
        <v>0</v>
      </c>
      <c r="L1037" s="16">
        <f>IF(NOT(Paths!$C$100=1),0,IF(Paths!$P$100="Complete",IF(C1037=10,Paths!$I$100,0),"n.a."))</f>
        <v>0</v>
      </c>
      <c r="M1037" s="16">
        <f>IF(NOT(Paths!$C$100=1),0,IF(Paths!$P$100="Complete",IF(AND(Paths!$D$100="EV",Paths!$E$100&lt;120,Paths!$E$100+'Operating costs'!$B$65&gt;Paths!$E$100,Paths!$E$100+'Operating costs'!$B$65&lt;=120,IF(Paths!$E$100+'Operating costs'!$B$65=0,C1037=0,AND(C1037&gt;0,Paths!$E$100+'Operating costs'!$B$65&gt;(C1037-1)*12,Paths!$E$100+'Operating costs'!$B$65&lt;=C1037*12))),'Operating costs'!$B$64,0)+IF(AND('Operating costs'!$B$67&gt;0,'Operating costs'!$B$67&lt;=120,OR(Paths!$D$100="ICE",'Operating costs'!$B$67&lt;=Paths!$E$100),IF('Operating costs'!$B$67=0,C1037=0,AND(C1037&gt;0,'Operating costs'!$B$67&gt;(C1037-1)*12,'Operating costs'!$B$67&lt;=C1037*12))),'Operating costs'!$B$66,0),"n.a."))</f>
        <v>0</v>
      </c>
      <c r="N1037" s="16">
        <f>IF(NOT(Paths!$C$100=1),0,IF(Paths!$P$100="Complete",SUM(G1037:I1037)-J1037-K1037-L1037+M1037+IF(C1037=0,Paths!$F$100,0)+IF(IF(Paths!$E$100=0,C1037=0,AND(C1037&gt;0,Paths!$E$100&gt;(C1037-1)*12,Paths!$E$100&lt;=C1037*12)),VLOOKUP(A1037,'Fleet register'!$A$7:$S$106,16,FALSE),0),"n.a."))</f>
        <v>0</v>
      </c>
      <c r="O1037" s="16">
        <f>IF(NOT(Paths!$C$100=1),0,IF(Paths!$P$100="Complete",N1037-IF(C1037=0,Paths!$F$100,0),"n.a."))</f>
        <v>0</v>
      </c>
      <c r="P1037" s="16">
        <f>IF(NOT(Paths!$C$100=1),0,IF(Paths!$P$100="Complete",O1037+L1037,"n.a."))</f>
        <v>0</v>
      </c>
      <c r="Q1037" s="16">
        <f>IF(NOT(Paths!$C$100=1),0,IF(Paths!$P$100="Complete",N1037*(1+'Operating costs'!$B$54)^-C1037,"n.a."))</f>
        <v>0</v>
      </c>
      <c r="R1037" s="16">
        <f>IF(NOT(Paths!$C$100=1),0,IF(Paths!$P$100="Complete",IF(AND(C1037=0,Paths!$E$100=0),I1037-J1037-K1037+VLOOKUP(A1037,'Fleet register'!$A$7:$S$106,15,FALSE)+VLOOKUP(A1037,'Fleet register'!$A$7:$S$106,16,FALSE),0),"n.a."))</f>
        <v>0</v>
      </c>
      <c r="S1037" s="1">
        <f>IF(NOT(Paths!$C$100=1),0,IF(Paths!$P$100="Complete",IF(C1037=0,0,Paths!$S$100*Paths!$R$100),"n.a."))</f>
        <v>0</v>
      </c>
      <c r="T1037" s="1">
        <f>IF(NOT(Paths!$C$100=1),0,IF(Paths!$P$100="Complete",IF(C1037=0,0,VLOOKUP(A1037,'Fleet register'!$A$7:$S$106,9,FALSE)*Paths!$R$100),"n.a."))</f>
        <v>0</v>
      </c>
    </row>
    <row r="1038" spans="1:20" ht="24" customHeight="1">
      <c r="A1038" s="1" t="str">
        <f>Paths!$A$100</f>
        <v>T024</v>
      </c>
      <c r="B1038" s="1">
        <f>Paths!$B$100</f>
        <v>1</v>
      </c>
      <c r="C1038" s="1">
        <v>8</v>
      </c>
      <c r="D1038" s="1">
        <v>100</v>
      </c>
      <c r="E1038" s="1">
        <f>IF(OR(Paths!$C$100=0,C1038=0),0,MAX(0,MIN(C1038*12,Paths!$E$100)-(C1038-1)*12))</f>
        <v>0</v>
      </c>
      <c r="F1038" s="1">
        <f>IF(OR(Paths!$C$100=0,C1038=0),0,12-E1038)</f>
        <v>0</v>
      </c>
      <c r="G1038" s="16">
        <f>IF(NOT(Paths!$C$100=1),0,IF(Paths!$P$100="Complete",E1038/12*(Paths!$J$100*(1+'Operating costs'!$B$51)^MAX(0,C1038-1)+Paths!$K$100*(1+'Operating costs'!$B$53)^MAX(0,C1038-1)),"n.a."))</f>
        <v>0</v>
      </c>
      <c r="H1038" s="16">
        <f>IF(NOT(Paths!$C$100=1),0,IF(Paths!$P$100="Complete",F1038/12*(Paths!$L$100*(1+IF(Paths!$D$100="EV",'Operating costs'!$B$52,'Operating costs'!$B$51))^MAX(0,C1038-1)+Paths!$M$100*(1+'Operating costs'!$B$53)^MAX(0,C1038-1)),"n.a."))</f>
        <v>0</v>
      </c>
      <c r="I1038" s="16">
        <f>IF(NOT(Paths!$C$100=1),0,IF(Paths!$P$100="Complete",IF(IF(Paths!$E$100=0,C1038=0,AND(C1038&gt;0,Paths!$E$100&gt;(C1038-1)*12,Paths!$E$100&lt;=C1038*12)),Paths!$G$100,0),"n.a."))</f>
        <v>0</v>
      </c>
      <c r="J1038" s="16">
        <f>IF(NOT(Paths!$C$100=1),0,IF(Paths!$P$100="Complete",IF(IF(Paths!$E$100=0,C1038=0,AND(C1038&gt;0,Paths!$E$100&gt;(C1038-1)*12,Paths!$E$100&lt;=C1038*12)),Paths!$H$100,0),"n.a."))</f>
        <v>0</v>
      </c>
      <c r="K1038" s="16">
        <f>IF(NOT(Paths!$C$100=1),0,IF(Paths!$P$100="Complete",IF(IF(Paths!$O$100=0,C1038=0,AND(C1038&gt;0,Paths!$O$100&gt;(C1038-1)*12,Paths!$O$100&lt;=C1038*12)),Paths!$N$100,0),"n.a."))</f>
        <v>0</v>
      </c>
      <c r="L1038" s="16">
        <f>IF(NOT(Paths!$C$100=1),0,IF(Paths!$P$100="Complete",IF(C1038=10,Paths!$I$100,0),"n.a."))</f>
        <v>0</v>
      </c>
      <c r="M1038" s="16">
        <f>IF(NOT(Paths!$C$100=1),0,IF(Paths!$P$100="Complete",IF(AND(Paths!$D$100="EV",Paths!$E$100&lt;120,Paths!$E$100+'Operating costs'!$B$65&gt;Paths!$E$100,Paths!$E$100+'Operating costs'!$B$65&lt;=120,IF(Paths!$E$100+'Operating costs'!$B$65=0,C1038=0,AND(C1038&gt;0,Paths!$E$100+'Operating costs'!$B$65&gt;(C1038-1)*12,Paths!$E$100+'Operating costs'!$B$65&lt;=C1038*12))),'Operating costs'!$B$64,0)+IF(AND('Operating costs'!$B$67&gt;0,'Operating costs'!$B$67&lt;=120,OR(Paths!$D$100="ICE",'Operating costs'!$B$67&lt;=Paths!$E$100),IF('Operating costs'!$B$67=0,C1038=0,AND(C1038&gt;0,'Operating costs'!$B$67&gt;(C1038-1)*12,'Operating costs'!$B$67&lt;=C1038*12))),'Operating costs'!$B$66,0),"n.a."))</f>
        <v>0</v>
      </c>
      <c r="N1038" s="16">
        <f>IF(NOT(Paths!$C$100=1),0,IF(Paths!$P$100="Complete",SUM(G1038:I1038)-J1038-K1038-L1038+M1038+IF(C1038=0,Paths!$F$100,0)+IF(IF(Paths!$E$100=0,C1038=0,AND(C1038&gt;0,Paths!$E$100&gt;(C1038-1)*12,Paths!$E$100&lt;=C1038*12)),VLOOKUP(A1038,'Fleet register'!$A$7:$S$106,16,FALSE),0),"n.a."))</f>
        <v>0</v>
      </c>
      <c r="O1038" s="16">
        <f>IF(NOT(Paths!$C$100=1),0,IF(Paths!$P$100="Complete",N1038-IF(C1038=0,Paths!$F$100,0),"n.a."))</f>
        <v>0</v>
      </c>
      <c r="P1038" s="16">
        <f>IF(NOT(Paths!$C$100=1),0,IF(Paths!$P$100="Complete",O1038+L1038,"n.a."))</f>
        <v>0</v>
      </c>
      <c r="Q1038" s="16">
        <f>IF(NOT(Paths!$C$100=1),0,IF(Paths!$P$100="Complete",N1038*(1+'Operating costs'!$B$54)^-C1038,"n.a."))</f>
        <v>0</v>
      </c>
      <c r="R1038" s="16">
        <f>IF(NOT(Paths!$C$100=1),0,IF(Paths!$P$100="Complete",IF(AND(C1038=0,Paths!$E$100=0),I1038-J1038-K1038+VLOOKUP(A1038,'Fleet register'!$A$7:$S$106,15,FALSE)+VLOOKUP(A1038,'Fleet register'!$A$7:$S$106,16,FALSE),0),"n.a."))</f>
        <v>0</v>
      </c>
      <c r="S1038" s="1">
        <f>IF(NOT(Paths!$C$100=1),0,IF(Paths!$P$100="Complete",IF(C1038=0,0,Paths!$S$100*Paths!$R$100),"n.a."))</f>
        <v>0</v>
      </c>
      <c r="T1038" s="1">
        <f>IF(NOT(Paths!$C$100=1),0,IF(Paths!$P$100="Complete",IF(C1038=0,0,VLOOKUP(A1038,'Fleet register'!$A$7:$S$106,9,FALSE)*Paths!$R$100),"n.a."))</f>
        <v>0</v>
      </c>
    </row>
    <row r="1039" spans="1:20" ht="24" customHeight="1">
      <c r="A1039" s="1" t="str">
        <f>Paths!$A$100</f>
        <v>T024</v>
      </c>
      <c r="B1039" s="1">
        <f>Paths!$B$100</f>
        <v>1</v>
      </c>
      <c r="C1039" s="1">
        <v>9</v>
      </c>
      <c r="D1039" s="1">
        <v>100</v>
      </c>
      <c r="E1039" s="1">
        <f>IF(OR(Paths!$C$100=0,C1039=0),0,MAX(0,MIN(C1039*12,Paths!$E$100)-(C1039-1)*12))</f>
        <v>0</v>
      </c>
      <c r="F1039" s="1">
        <f>IF(OR(Paths!$C$100=0,C1039=0),0,12-E1039)</f>
        <v>0</v>
      </c>
      <c r="G1039" s="16">
        <f>IF(NOT(Paths!$C$100=1),0,IF(Paths!$P$100="Complete",E1039/12*(Paths!$J$100*(1+'Operating costs'!$B$51)^MAX(0,C1039-1)+Paths!$K$100*(1+'Operating costs'!$B$53)^MAX(0,C1039-1)),"n.a."))</f>
        <v>0</v>
      </c>
      <c r="H1039" s="16">
        <f>IF(NOT(Paths!$C$100=1),0,IF(Paths!$P$100="Complete",F1039/12*(Paths!$L$100*(1+IF(Paths!$D$100="EV",'Operating costs'!$B$52,'Operating costs'!$B$51))^MAX(0,C1039-1)+Paths!$M$100*(1+'Operating costs'!$B$53)^MAX(0,C1039-1)),"n.a."))</f>
        <v>0</v>
      </c>
      <c r="I1039" s="16">
        <f>IF(NOT(Paths!$C$100=1),0,IF(Paths!$P$100="Complete",IF(IF(Paths!$E$100=0,C1039=0,AND(C1039&gt;0,Paths!$E$100&gt;(C1039-1)*12,Paths!$E$100&lt;=C1039*12)),Paths!$G$100,0),"n.a."))</f>
        <v>0</v>
      </c>
      <c r="J1039" s="16">
        <f>IF(NOT(Paths!$C$100=1),0,IF(Paths!$P$100="Complete",IF(IF(Paths!$E$100=0,C1039=0,AND(C1039&gt;0,Paths!$E$100&gt;(C1039-1)*12,Paths!$E$100&lt;=C1039*12)),Paths!$H$100,0),"n.a."))</f>
        <v>0</v>
      </c>
      <c r="K1039" s="16">
        <f>IF(NOT(Paths!$C$100=1),0,IF(Paths!$P$100="Complete",IF(IF(Paths!$O$100=0,C1039=0,AND(C1039&gt;0,Paths!$O$100&gt;(C1039-1)*12,Paths!$O$100&lt;=C1039*12)),Paths!$N$100,0),"n.a."))</f>
        <v>0</v>
      </c>
      <c r="L1039" s="16">
        <f>IF(NOT(Paths!$C$100=1),0,IF(Paths!$P$100="Complete",IF(C1039=10,Paths!$I$100,0),"n.a."))</f>
        <v>0</v>
      </c>
      <c r="M1039" s="16">
        <f>IF(NOT(Paths!$C$100=1),0,IF(Paths!$P$100="Complete",IF(AND(Paths!$D$100="EV",Paths!$E$100&lt;120,Paths!$E$100+'Operating costs'!$B$65&gt;Paths!$E$100,Paths!$E$100+'Operating costs'!$B$65&lt;=120,IF(Paths!$E$100+'Operating costs'!$B$65=0,C1039=0,AND(C1039&gt;0,Paths!$E$100+'Operating costs'!$B$65&gt;(C1039-1)*12,Paths!$E$100+'Operating costs'!$B$65&lt;=C1039*12))),'Operating costs'!$B$64,0)+IF(AND('Operating costs'!$B$67&gt;0,'Operating costs'!$B$67&lt;=120,OR(Paths!$D$100="ICE",'Operating costs'!$B$67&lt;=Paths!$E$100),IF('Operating costs'!$B$67=0,C1039=0,AND(C1039&gt;0,'Operating costs'!$B$67&gt;(C1039-1)*12,'Operating costs'!$B$67&lt;=C1039*12))),'Operating costs'!$B$66,0),"n.a."))</f>
        <v>0</v>
      </c>
      <c r="N1039" s="16">
        <f>IF(NOT(Paths!$C$100=1),0,IF(Paths!$P$100="Complete",SUM(G1039:I1039)-J1039-K1039-L1039+M1039+IF(C1039=0,Paths!$F$100,0)+IF(IF(Paths!$E$100=0,C1039=0,AND(C1039&gt;0,Paths!$E$100&gt;(C1039-1)*12,Paths!$E$100&lt;=C1039*12)),VLOOKUP(A1039,'Fleet register'!$A$7:$S$106,16,FALSE),0),"n.a."))</f>
        <v>0</v>
      </c>
      <c r="O1039" s="16">
        <f>IF(NOT(Paths!$C$100=1),0,IF(Paths!$P$100="Complete",N1039-IF(C1039=0,Paths!$F$100,0),"n.a."))</f>
        <v>0</v>
      </c>
      <c r="P1039" s="16">
        <f>IF(NOT(Paths!$C$100=1),0,IF(Paths!$P$100="Complete",O1039+L1039,"n.a."))</f>
        <v>0</v>
      </c>
      <c r="Q1039" s="16">
        <f>IF(NOT(Paths!$C$100=1),0,IF(Paths!$P$100="Complete",N1039*(1+'Operating costs'!$B$54)^-C1039,"n.a."))</f>
        <v>0</v>
      </c>
      <c r="R1039" s="16">
        <f>IF(NOT(Paths!$C$100=1),0,IF(Paths!$P$100="Complete",IF(AND(C1039=0,Paths!$E$100=0),I1039-J1039-K1039+VLOOKUP(A1039,'Fleet register'!$A$7:$S$106,15,FALSE)+VLOOKUP(A1039,'Fleet register'!$A$7:$S$106,16,FALSE),0),"n.a."))</f>
        <v>0</v>
      </c>
      <c r="S1039" s="1">
        <f>IF(NOT(Paths!$C$100=1),0,IF(Paths!$P$100="Complete",IF(C1039=0,0,Paths!$S$100*Paths!$R$100),"n.a."))</f>
        <v>0</v>
      </c>
      <c r="T1039" s="1">
        <f>IF(NOT(Paths!$C$100=1),0,IF(Paths!$P$100="Complete",IF(C1039=0,0,VLOOKUP(A1039,'Fleet register'!$A$7:$S$106,9,FALSE)*Paths!$R$100),"n.a."))</f>
        <v>0</v>
      </c>
    </row>
    <row r="1040" spans="1:20" ht="24" customHeight="1">
      <c r="A1040" s="1" t="str">
        <f>Paths!$A$100</f>
        <v>T024</v>
      </c>
      <c r="B1040" s="1">
        <f>Paths!$B$100</f>
        <v>1</v>
      </c>
      <c r="C1040" s="1">
        <v>10</v>
      </c>
      <c r="D1040" s="1">
        <v>100</v>
      </c>
      <c r="E1040" s="1">
        <f>IF(OR(Paths!$C$100=0,C1040=0),0,MAX(0,MIN(C1040*12,Paths!$E$100)-(C1040-1)*12))</f>
        <v>0</v>
      </c>
      <c r="F1040" s="1">
        <f>IF(OR(Paths!$C$100=0,C1040=0),0,12-E1040)</f>
        <v>0</v>
      </c>
      <c r="G1040" s="16">
        <f>IF(NOT(Paths!$C$100=1),0,IF(Paths!$P$100="Complete",E1040/12*(Paths!$J$100*(1+'Operating costs'!$B$51)^MAX(0,C1040-1)+Paths!$K$100*(1+'Operating costs'!$B$53)^MAX(0,C1040-1)),"n.a."))</f>
        <v>0</v>
      </c>
      <c r="H1040" s="16">
        <f>IF(NOT(Paths!$C$100=1),0,IF(Paths!$P$100="Complete",F1040/12*(Paths!$L$100*(1+IF(Paths!$D$100="EV",'Operating costs'!$B$52,'Operating costs'!$B$51))^MAX(0,C1040-1)+Paths!$M$100*(1+'Operating costs'!$B$53)^MAX(0,C1040-1)),"n.a."))</f>
        <v>0</v>
      </c>
      <c r="I1040" s="16">
        <f>IF(NOT(Paths!$C$100=1),0,IF(Paths!$P$100="Complete",IF(IF(Paths!$E$100=0,C1040=0,AND(C1040&gt;0,Paths!$E$100&gt;(C1040-1)*12,Paths!$E$100&lt;=C1040*12)),Paths!$G$100,0),"n.a."))</f>
        <v>0</v>
      </c>
      <c r="J1040" s="16">
        <f>IF(NOT(Paths!$C$100=1),0,IF(Paths!$P$100="Complete",IF(IF(Paths!$E$100=0,C1040=0,AND(C1040&gt;0,Paths!$E$100&gt;(C1040-1)*12,Paths!$E$100&lt;=C1040*12)),Paths!$H$100,0),"n.a."))</f>
        <v>0</v>
      </c>
      <c r="K1040" s="16">
        <f>IF(NOT(Paths!$C$100=1),0,IF(Paths!$P$100="Complete",IF(IF(Paths!$O$100=0,C1040=0,AND(C1040&gt;0,Paths!$O$100&gt;(C1040-1)*12,Paths!$O$100&lt;=C1040*12)),Paths!$N$100,0),"n.a."))</f>
        <v>0</v>
      </c>
      <c r="L1040" s="16">
        <f>IF(NOT(Paths!$C$100=1),0,IF(Paths!$P$100="Complete",IF(C1040=10,Paths!$I$100,0),"n.a."))</f>
        <v>0</v>
      </c>
      <c r="M1040" s="16">
        <f>IF(NOT(Paths!$C$100=1),0,IF(Paths!$P$100="Complete",IF(AND(Paths!$D$100="EV",Paths!$E$100&lt;120,Paths!$E$100+'Operating costs'!$B$65&gt;Paths!$E$100,Paths!$E$100+'Operating costs'!$B$65&lt;=120,IF(Paths!$E$100+'Operating costs'!$B$65=0,C1040=0,AND(C1040&gt;0,Paths!$E$100+'Operating costs'!$B$65&gt;(C1040-1)*12,Paths!$E$100+'Operating costs'!$B$65&lt;=C1040*12))),'Operating costs'!$B$64,0)+IF(AND('Operating costs'!$B$67&gt;0,'Operating costs'!$B$67&lt;=120,OR(Paths!$D$100="ICE",'Operating costs'!$B$67&lt;=Paths!$E$100),IF('Operating costs'!$B$67=0,C1040=0,AND(C1040&gt;0,'Operating costs'!$B$67&gt;(C1040-1)*12,'Operating costs'!$B$67&lt;=C1040*12))),'Operating costs'!$B$66,0),"n.a."))</f>
        <v>0</v>
      </c>
      <c r="N1040" s="16">
        <f>IF(NOT(Paths!$C$100=1),0,IF(Paths!$P$100="Complete",SUM(G1040:I1040)-J1040-K1040-L1040+M1040+IF(C1040=0,Paths!$F$100,0)+IF(IF(Paths!$E$100=0,C1040=0,AND(C1040&gt;0,Paths!$E$100&gt;(C1040-1)*12,Paths!$E$100&lt;=C1040*12)),VLOOKUP(A1040,'Fleet register'!$A$7:$S$106,16,FALSE),0),"n.a."))</f>
        <v>0</v>
      </c>
      <c r="O1040" s="16">
        <f>IF(NOT(Paths!$C$100=1),0,IF(Paths!$P$100="Complete",N1040-IF(C1040=0,Paths!$F$100,0),"n.a."))</f>
        <v>0</v>
      </c>
      <c r="P1040" s="16">
        <f>IF(NOT(Paths!$C$100=1),0,IF(Paths!$P$100="Complete",O1040+L1040,"n.a."))</f>
        <v>0</v>
      </c>
      <c r="Q1040" s="16">
        <f>IF(NOT(Paths!$C$100=1),0,IF(Paths!$P$100="Complete",N1040*(1+'Operating costs'!$B$54)^-C1040,"n.a."))</f>
        <v>0</v>
      </c>
      <c r="R1040" s="16">
        <f>IF(NOT(Paths!$C$100=1),0,IF(Paths!$P$100="Complete",IF(AND(C1040=0,Paths!$E$100=0),I1040-J1040-K1040+VLOOKUP(A1040,'Fleet register'!$A$7:$S$106,15,FALSE)+VLOOKUP(A1040,'Fleet register'!$A$7:$S$106,16,FALSE),0),"n.a."))</f>
        <v>0</v>
      </c>
      <c r="S1040" s="1">
        <f>IF(NOT(Paths!$C$100=1),0,IF(Paths!$P$100="Complete",IF(C1040=0,0,Paths!$S$100*Paths!$R$100),"n.a."))</f>
        <v>0</v>
      </c>
      <c r="T1040" s="1">
        <f>IF(NOT(Paths!$C$100=1),0,IF(Paths!$P$100="Complete",IF(C1040=0,0,VLOOKUP(A1040,'Fleet register'!$A$7:$S$106,9,FALSE)*Paths!$R$100),"n.a."))</f>
        <v>0</v>
      </c>
    </row>
    <row r="1041" spans="1:20" ht="24" customHeight="1">
      <c r="A1041" s="1" t="str">
        <f>Paths!$A$101</f>
        <v>T024</v>
      </c>
      <c r="B1041" s="1">
        <f>Paths!$B$101</f>
        <v>2</v>
      </c>
      <c r="C1041" s="1">
        <v>0</v>
      </c>
      <c r="D1041" s="1">
        <v>101</v>
      </c>
      <c r="E1041" s="1">
        <f>IF(OR(Paths!$C$101=0,C1041=0),0,MAX(0,MIN(C1041*12,Paths!$E$101)-(C1041-1)*12))</f>
        <v>0</v>
      </c>
      <c r="F1041" s="1">
        <f>IF(OR(Paths!$C$101=0,C1041=0),0,12-E1041)</f>
        <v>0</v>
      </c>
      <c r="G1041" s="16">
        <f>IF(NOT(Paths!$C$101=1),0,IF(Paths!$P$101="Complete",E1041/12*(Paths!$J$101*(1+'Operating costs'!$B$51)^MAX(0,C1041-1)+Paths!$K$101*(1+'Operating costs'!$B$53)^MAX(0,C1041-1)),"n.a."))</f>
        <v>0</v>
      </c>
      <c r="H1041" s="16">
        <f>IF(NOT(Paths!$C$101=1),0,IF(Paths!$P$101="Complete",F1041/12*(Paths!$L$101*(1+IF(Paths!$D$101="EV",'Operating costs'!$B$52,'Operating costs'!$B$51))^MAX(0,C1041-1)+Paths!$M$101*(1+'Operating costs'!$B$53)^MAX(0,C1041-1)),"n.a."))</f>
        <v>0</v>
      </c>
      <c r="I1041" s="16">
        <f>IF(NOT(Paths!$C$101=1),0,IF(Paths!$P$101="Complete",IF(IF(Paths!$E$101=0,C1041=0,AND(C1041&gt;0,Paths!$E$101&gt;(C1041-1)*12,Paths!$E$101&lt;=C1041*12)),Paths!$G$101,0),"n.a."))</f>
        <v>0</v>
      </c>
      <c r="J1041" s="16">
        <f>IF(NOT(Paths!$C$101=1),0,IF(Paths!$P$101="Complete",IF(IF(Paths!$E$101=0,C1041=0,AND(C1041&gt;0,Paths!$E$101&gt;(C1041-1)*12,Paths!$E$101&lt;=C1041*12)),Paths!$H$101,0),"n.a."))</f>
        <v>0</v>
      </c>
      <c r="K1041" s="16">
        <f>IF(NOT(Paths!$C$101=1),0,IF(Paths!$P$101="Complete",IF(IF(Paths!$O$101=0,C1041=0,AND(C1041&gt;0,Paths!$O$101&gt;(C1041-1)*12,Paths!$O$101&lt;=C1041*12)),Paths!$N$101,0),"n.a."))</f>
        <v>0</v>
      </c>
      <c r="L1041" s="16">
        <f>IF(NOT(Paths!$C$101=1),0,IF(Paths!$P$101="Complete",IF(C1041=10,Paths!$I$101,0),"n.a."))</f>
        <v>0</v>
      </c>
      <c r="M1041" s="16">
        <f>IF(NOT(Paths!$C$101=1),0,IF(Paths!$P$101="Complete",IF(AND(Paths!$D$101="EV",Paths!$E$101&lt;120,Paths!$E$101+'Operating costs'!$B$65&gt;Paths!$E$101,Paths!$E$101+'Operating costs'!$B$65&lt;=120,IF(Paths!$E$101+'Operating costs'!$B$65=0,C1041=0,AND(C1041&gt;0,Paths!$E$101+'Operating costs'!$B$65&gt;(C1041-1)*12,Paths!$E$101+'Operating costs'!$B$65&lt;=C1041*12))),'Operating costs'!$B$64,0)+IF(AND('Operating costs'!$B$67&gt;0,'Operating costs'!$B$67&lt;=120,OR(Paths!$D$101="ICE",'Operating costs'!$B$67&lt;=Paths!$E$101),IF('Operating costs'!$B$67=0,C1041=0,AND(C1041&gt;0,'Operating costs'!$B$67&gt;(C1041-1)*12,'Operating costs'!$B$67&lt;=C1041*12))),'Operating costs'!$B$66,0),"n.a."))</f>
        <v>0</v>
      </c>
      <c r="N1041" s="16">
        <f>IF(NOT(Paths!$C$101=1),0,IF(Paths!$P$101="Complete",SUM(G1041:I1041)-J1041-K1041-L1041+M1041+IF(C1041=0,Paths!$F$101,0)+IF(IF(Paths!$E$101=0,C1041=0,AND(C1041&gt;0,Paths!$E$101&gt;(C1041-1)*12,Paths!$E$101&lt;=C1041*12)),VLOOKUP(A1041,'Fleet register'!$A$7:$S$106,16,FALSE),0),"n.a."))</f>
        <v>0</v>
      </c>
      <c r="O1041" s="16">
        <f>IF(NOT(Paths!$C$101=1),0,IF(Paths!$P$101="Complete",N1041-IF(C1041=0,Paths!$F$101,0),"n.a."))</f>
        <v>0</v>
      </c>
      <c r="P1041" s="16">
        <f>IF(NOT(Paths!$C$101=1),0,IF(Paths!$P$101="Complete",O1041+L1041,"n.a."))</f>
        <v>0</v>
      </c>
      <c r="Q1041" s="16">
        <f>IF(NOT(Paths!$C$101=1),0,IF(Paths!$P$101="Complete",N1041*(1+'Operating costs'!$B$54)^-C1041,"n.a."))</f>
        <v>0</v>
      </c>
      <c r="R1041" s="16">
        <f>IF(NOT(Paths!$C$101=1),0,IF(Paths!$P$101="Complete",IF(AND(C1041=0,Paths!$E$101=0),I1041-J1041-K1041+VLOOKUP(A1041,'Fleet register'!$A$7:$S$106,15,FALSE)+VLOOKUP(A1041,'Fleet register'!$A$7:$S$106,16,FALSE),0),"n.a."))</f>
        <v>0</v>
      </c>
      <c r="S1041" s="1">
        <f>IF(NOT(Paths!$C$101=1),0,IF(Paths!$P$101="Complete",IF(C1041=0,0,Paths!$S$101*Paths!$R$101),"n.a."))</f>
        <v>0</v>
      </c>
      <c r="T1041" s="1">
        <f>IF(NOT(Paths!$C$101=1),0,IF(Paths!$P$101="Complete",IF(C1041=0,0,VLOOKUP(A1041,'Fleet register'!$A$7:$S$106,9,FALSE)*Paths!$R$101),"n.a."))</f>
        <v>0</v>
      </c>
    </row>
    <row r="1042" spans="1:20" ht="24" customHeight="1">
      <c r="A1042" s="1" t="str">
        <f>Paths!$A$101</f>
        <v>T024</v>
      </c>
      <c r="B1042" s="1">
        <f>Paths!$B$101</f>
        <v>2</v>
      </c>
      <c r="C1042" s="1">
        <v>1</v>
      </c>
      <c r="D1042" s="1">
        <v>101</v>
      </c>
      <c r="E1042" s="1">
        <f>IF(OR(Paths!$C$101=0,C1042=0),0,MAX(0,MIN(C1042*12,Paths!$E$101)-(C1042-1)*12))</f>
        <v>0</v>
      </c>
      <c r="F1042" s="1">
        <f>IF(OR(Paths!$C$101=0,C1042=0),0,12-E1042)</f>
        <v>0</v>
      </c>
      <c r="G1042" s="16">
        <f>IF(NOT(Paths!$C$101=1),0,IF(Paths!$P$101="Complete",E1042/12*(Paths!$J$101*(1+'Operating costs'!$B$51)^MAX(0,C1042-1)+Paths!$K$101*(1+'Operating costs'!$B$53)^MAX(0,C1042-1)),"n.a."))</f>
        <v>0</v>
      </c>
      <c r="H1042" s="16">
        <f>IF(NOT(Paths!$C$101=1),0,IF(Paths!$P$101="Complete",F1042/12*(Paths!$L$101*(1+IF(Paths!$D$101="EV",'Operating costs'!$B$52,'Operating costs'!$B$51))^MAX(0,C1042-1)+Paths!$M$101*(1+'Operating costs'!$B$53)^MAX(0,C1042-1)),"n.a."))</f>
        <v>0</v>
      </c>
      <c r="I1042" s="16">
        <f>IF(NOT(Paths!$C$101=1),0,IF(Paths!$P$101="Complete",IF(IF(Paths!$E$101=0,C1042=0,AND(C1042&gt;0,Paths!$E$101&gt;(C1042-1)*12,Paths!$E$101&lt;=C1042*12)),Paths!$G$101,0),"n.a."))</f>
        <v>0</v>
      </c>
      <c r="J1042" s="16">
        <f>IF(NOT(Paths!$C$101=1),0,IF(Paths!$P$101="Complete",IF(IF(Paths!$E$101=0,C1042=0,AND(C1042&gt;0,Paths!$E$101&gt;(C1042-1)*12,Paths!$E$101&lt;=C1042*12)),Paths!$H$101,0),"n.a."))</f>
        <v>0</v>
      </c>
      <c r="K1042" s="16">
        <f>IF(NOT(Paths!$C$101=1),0,IF(Paths!$P$101="Complete",IF(IF(Paths!$O$101=0,C1042=0,AND(C1042&gt;0,Paths!$O$101&gt;(C1042-1)*12,Paths!$O$101&lt;=C1042*12)),Paths!$N$101,0),"n.a."))</f>
        <v>0</v>
      </c>
      <c r="L1042" s="16">
        <f>IF(NOT(Paths!$C$101=1),0,IF(Paths!$P$101="Complete",IF(C1042=10,Paths!$I$101,0),"n.a."))</f>
        <v>0</v>
      </c>
      <c r="M1042" s="16">
        <f>IF(NOT(Paths!$C$101=1),0,IF(Paths!$P$101="Complete",IF(AND(Paths!$D$101="EV",Paths!$E$101&lt;120,Paths!$E$101+'Operating costs'!$B$65&gt;Paths!$E$101,Paths!$E$101+'Operating costs'!$B$65&lt;=120,IF(Paths!$E$101+'Operating costs'!$B$65=0,C1042=0,AND(C1042&gt;0,Paths!$E$101+'Operating costs'!$B$65&gt;(C1042-1)*12,Paths!$E$101+'Operating costs'!$B$65&lt;=C1042*12))),'Operating costs'!$B$64,0)+IF(AND('Operating costs'!$B$67&gt;0,'Operating costs'!$B$67&lt;=120,OR(Paths!$D$101="ICE",'Operating costs'!$B$67&lt;=Paths!$E$101),IF('Operating costs'!$B$67=0,C1042=0,AND(C1042&gt;0,'Operating costs'!$B$67&gt;(C1042-1)*12,'Operating costs'!$B$67&lt;=C1042*12))),'Operating costs'!$B$66,0),"n.a."))</f>
        <v>0</v>
      </c>
      <c r="N1042" s="16">
        <f>IF(NOT(Paths!$C$101=1),0,IF(Paths!$P$101="Complete",SUM(G1042:I1042)-J1042-K1042-L1042+M1042+IF(C1042=0,Paths!$F$101,0)+IF(IF(Paths!$E$101=0,C1042=0,AND(C1042&gt;0,Paths!$E$101&gt;(C1042-1)*12,Paths!$E$101&lt;=C1042*12)),VLOOKUP(A1042,'Fleet register'!$A$7:$S$106,16,FALSE),0),"n.a."))</f>
        <v>0</v>
      </c>
      <c r="O1042" s="16">
        <f>IF(NOT(Paths!$C$101=1),0,IF(Paths!$P$101="Complete",N1042-IF(C1042=0,Paths!$F$101,0),"n.a."))</f>
        <v>0</v>
      </c>
      <c r="P1042" s="16">
        <f>IF(NOT(Paths!$C$101=1),0,IF(Paths!$P$101="Complete",O1042+L1042,"n.a."))</f>
        <v>0</v>
      </c>
      <c r="Q1042" s="16">
        <f>IF(NOT(Paths!$C$101=1),0,IF(Paths!$P$101="Complete",N1042*(1+'Operating costs'!$B$54)^-C1042,"n.a."))</f>
        <v>0</v>
      </c>
      <c r="R1042" s="16">
        <f>IF(NOT(Paths!$C$101=1),0,IF(Paths!$P$101="Complete",IF(AND(C1042=0,Paths!$E$101=0),I1042-J1042-K1042+VLOOKUP(A1042,'Fleet register'!$A$7:$S$106,15,FALSE)+VLOOKUP(A1042,'Fleet register'!$A$7:$S$106,16,FALSE),0),"n.a."))</f>
        <v>0</v>
      </c>
      <c r="S1042" s="1">
        <f>IF(NOT(Paths!$C$101=1),0,IF(Paths!$P$101="Complete",IF(C1042=0,0,Paths!$S$101*Paths!$R$101),"n.a."))</f>
        <v>0</v>
      </c>
      <c r="T1042" s="1">
        <f>IF(NOT(Paths!$C$101=1),0,IF(Paths!$P$101="Complete",IF(C1042=0,0,VLOOKUP(A1042,'Fleet register'!$A$7:$S$106,9,FALSE)*Paths!$R$101),"n.a."))</f>
        <v>0</v>
      </c>
    </row>
    <row r="1043" spans="1:20" ht="24" customHeight="1">
      <c r="A1043" s="1" t="str">
        <f>Paths!$A$101</f>
        <v>T024</v>
      </c>
      <c r="B1043" s="1">
        <f>Paths!$B$101</f>
        <v>2</v>
      </c>
      <c r="C1043" s="1">
        <v>2</v>
      </c>
      <c r="D1043" s="1">
        <v>101</v>
      </c>
      <c r="E1043" s="1">
        <f>IF(OR(Paths!$C$101=0,C1043=0),0,MAX(0,MIN(C1043*12,Paths!$E$101)-(C1043-1)*12))</f>
        <v>0</v>
      </c>
      <c r="F1043" s="1">
        <f>IF(OR(Paths!$C$101=0,C1043=0),0,12-E1043)</f>
        <v>0</v>
      </c>
      <c r="G1043" s="16">
        <f>IF(NOT(Paths!$C$101=1),0,IF(Paths!$P$101="Complete",E1043/12*(Paths!$J$101*(1+'Operating costs'!$B$51)^MAX(0,C1043-1)+Paths!$K$101*(1+'Operating costs'!$B$53)^MAX(0,C1043-1)),"n.a."))</f>
        <v>0</v>
      </c>
      <c r="H1043" s="16">
        <f>IF(NOT(Paths!$C$101=1),0,IF(Paths!$P$101="Complete",F1043/12*(Paths!$L$101*(1+IF(Paths!$D$101="EV",'Operating costs'!$B$52,'Operating costs'!$B$51))^MAX(0,C1043-1)+Paths!$M$101*(1+'Operating costs'!$B$53)^MAX(0,C1043-1)),"n.a."))</f>
        <v>0</v>
      </c>
      <c r="I1043" s="16">
        <f>IF(NOT(Paths!$C$101=1),0,IF(Paths!$P$101="Complete",IF(IF(Paths!$E$101=0,C1043=0,AND(C1043&gt;0,Paths!$E$101&gt;(C1043-1)*12,Paths!$E$101&lt;=C1043*12)),Paths!$G$101,0),"n.a."))</f>
        <v>0</v>
      </c>
      <c r="J1043" s="16">
        <f>IF(NOT(Paths!$C$101=1),0,IF(Paths!$P$101="Complete",IF(IF(Paths!$E$101=0,C1043=0,AND(C1043&gt;0,Paths!$E$101&gt;(C1043-1)*12,Paths!$E$101&lt;=C1043*12)),Paths!$H$101,0),"n.a."))</f>
        <v>0</v>
      </c>
      <c r="K1043" s="16">
        <f>IF(NOT(Paths!$C$101=1),0,IF(Paths!$P$101="Complete",IF(IF(Paths!$O$101=0,C1043=0,AND(C1043&gt;0,Paths!$O$101&gt;(C1043-1)*12,Paths!$O$101&lt;=C1043*12)),Paths!$N$101,0),"n.a."))</f>
        <v>0</v>
      </c>
      <c r="L1043" s="16">
        <f>IF(NOT(Paths!$C$101=1),0,IF(Paths!$P$101="Complete",IF(C1043=10,Paths!$I$101,0),"n.a."))</f>
        <v>0</v>
      </c>
      <c r="M1043" s="16">
        <f>IF(NOT(Paths!$C$101=1),0,IF(Paths!$P$101="Complete",IF(AND(Paths!$D$101="EV",Paths!$E$101&lt;120,Paths!$E$101+'Operating costs'!$B$65&gt;Paths!$E$101,Paths!$E$101+'Operating costs'!$B$65&lt;=120,IF(Paths!$E$101+'Operating costs'!$B$65=0,C1043=0,AND(C1043&gt;0,Paths!$E$101+'Operating costs'!$B$65&gt;(C1043-1)*12,Paths!$E$101+'Operating costs'!$B$65&lt;=C1043*12))),'Operating costs'!$B$64,0)+IF(AND('Operating costs'!$B$67&gt;0,'Operating costs'!$B$67&lt;=120,OR(Paths!$D$101="ICE",'Operating costs'!$B$67&lt;=Paths!$E$101),IF('Operating costs'!$B$67=0,C1043=0,AND(C1043&gt;0,'Operating costs'!$B$67&gt;(C1043-1)*12,'Operating costs'!$B$67&lt;=C1043*12))),'Operating costs'!$B$66,0),"n.a."))</f>
        <v>0</v>
      </c>
      <c r="N1043" s="16">
        <f>IF(NOT(Paths!$C$101=1),0,IF(Paths!$P$101="Complete",SUM(G1043:I1043)-J1043-K1043-L1043+M1043+IF(C1043=0,Paths!$F$101,0)+IF(IF(Paths!$E$101=0,C1043=0,AND(C1043&gt;0,Paths!$E$101&gt;(C1043-1)*12,Paths!$E$101&lt;=C1043*12)),VLOOKUP(A1043,'Fleet register'!$A$7:$S$106,16,FALSE),0),"n.a."))</f>
        <v>0</v>
      </c>
      <c r="O1043" s="16">
        <f>IF(NOT(Paths!$C$101=1),0,IF(Paths!$P$101="Complete",N1043-IF(C1043=0,Paths!$F$101,0),"n.a."))</f>
        <v>0</v>
      </c>
      <c r="P1043" s="16">
        <f>IF(NOT(Paths!$C$101=1),0,IF(Paths!$P$101="Complete",O1043+L1043,"n.a."))</f>
        <v>0</v>
      </c>
      <c r="Q1043" s="16">
        <f>IF(NOT(Paths!$C$101=1),0,IF(Paths!$P$101="Complete",N1043*(1+'Operating costs'!$B$54)^-C1043,"n.a."))</f>
        <v>0</v>
      </c>
      <c r="R1043" s="16">
        <f>IF(NOT(Paths!$C$101=1),0,IF(Paths!$P$101="Complete",IF(AND(C1043=0,Paths!$E$101=0),I1043-J1043-K1043+VLOOKUP(A1043,'Fleet register'!$A$7:$S$106,15,FALSE)+VLOOKUP(A1043,'Fleet register'!$A$7:$S$106,16,FALSE),0),"n.a."))</f>
        <v>0</v>
      </c>
      <c r="S1043" s="1">
        <f>IF(NOT(Paths!$C$101=1),0,IF(Paths!$P$101="Complete",IF(C1043=0,0,Paths!$S$101*Paths!$R$101),"n.a."))</f>
        <v>0</v>
      </c>
      <c r="T1043" s="1">
        <f>IF(NOT(Paths!$C$101=1),0,IF(Paths!$P$101="Complete",IF(C1043=0,0,VLOOKUP(A1043,'Fleet register'!$A$7:$S$106,9,FALSE)*Paths!$R$101),"n.a."))</f>
        <v>0</v>
      </c>
    </row>
    <row r="1044" spans="1:20" ht="24" customHeight="1">
      <c r="A1044" s="1" t="str">
        <f>Paths!$A$101</f>
        <v>T024</v>
      </c>
      <c r="B1044" s="1">
        <f>Paths!$B$101</f>
        <v>2</v>
      </c>
      <c r="C1044" s="1">
        <v>3</v>
      </c>
      <c r="D1044" s="1">
        <v>101</v>
      </c>
      <c r="E1044" s="1">
        <f>IF(OR(Paths!$C$101=0,C1044=0),0,MAX(0,MIN(C1044*12,Paths!$E$101)-(C1044-1)*12))</f>
        <v>0</v>
      </c>
      <c r="F1044" s="1">
        <f>IF(OR(Paths!$C$101=0,C1044=0),0,12-E1044)</f>
        <v>0</v>
      </c>
      <c r="G1044" s="16">
        <f>IF(NOT(Paths!$C$101=1),0,IF(Paths!$P$101="Complete",E1044/12*(Paths!$J$101*(1+'Operating costs'!$B$51)^MAX(0,C1044-1)+Paths!$K$101*(1+'Operating costs'!$B$53)^MAX(0,C1044-1)),"n.a."))</f>
        <v>0</v>
      </c>
      <c r="H1044" s="16">
        <f>IF(NOT(Paths!$C$101=1),0,IF(Paths!$P$101="Complete",F1044/12*(Paths!$L$101*(1+IF(Paths!$D$101="EV",'Operating costs'!$B$52,'Operating costs'!$B$51))^MAX(0,C1044-1)+Paths!$M$101*(1+'Operating costs'!$B$53)^MAX(0,C1044-1)),"n.a."))</f>
        <v>0</v>
      </c>
      <c r="I1044" s="16">
        <f>IF(NOT(Paths!$C$101=1),0,IF(Paths!$P$101="Complete",IF(IF(Paths!$E$101=0,C1044=0,AND(C1044&gt;0,Paths!$E$101&gt;(C1044-1)*12,Paths!$E$101&lt;=C1044*12)),Paths!$G$101,0),"n.a."))</f>
        <v>0</v>
      </c>
      <c r="J1044" s="16">
        <f>IF(NOT(Paths!$C$101=1),0,IF(Paths!$P$101="Complete",IF(IF(Paths!$E$101=0,C1044=0,AND(C1044&gt;0,Paths!$E$101&gt;(C1044-1)*12,Paths!$E$101&lt;=C1044*12)),Paths!$H$101,0),"n.a."))</f>
        <v>0</v>
      </c>
      <c r="K1044" s="16">
        <f>IF(NOT(Paths!$C$101=1),0,IF(Paths!$P$101="Complete",IF(IF(Paths!$O$101=0,C1044=0,AND(C1044&gt;0,Paths!$O$101&gt;(C1044-1)*12,Paths!$O$101&lt;=C1044*12)),Paths!$N$101,0),"n.a."))</f>
        <v>0</v>
      </c>
      <c r="L1044" s="16">
        <f>IF(NOT(Paths!$C$101=1),0,IF(Paths!$P$101="Complete",IF(C1044=10,Paths!$I$101,0),"n.a."))</f>
        <v>0</v>
      </c>
      <c r="M1044" s="16">
        <f>IF(NOT(Paths!$C$101=1),0,IF(Paths!$P$101="Complete",IF(AND(Paths!$D$101="EV",Paths!$E$101&lt;120,Paths!$E$101+'Operating costs'!$B$65&gt;Paths!$E$101,Paths!$E$101+'Operating costs'!$B$65&lt;=120,IF(Paths!$E$101+'Operating costs'!$B$65=0,C1044=0,AND(C1044&gt;0,Paths!$E$101+'Operating costs'!$B$65&gt;(C1044-1)*12,Paths!$E$101+'Operating costs'!$B$65&lt;=C1044*12))),'Operating costs'!$B$64,0)+IF(AND('Operating costs'!$B$67&gt;0,'Operating costs'!$B$67&lt;=120,OR(Paths!$D$101="ICE",'Operating costs'!$B$67&lt;=Paths!$E$101),IF('Operating costs'!$B$67=0,C1044=0,AND(C1044&gt;0,'Operating costs'!$B$67&gt;(C1044-1)*12,'Operating costs'!$B$67&lt;=C1044*12))),'Operating costs'!$B$66,0),"n.a."))</f>
        <v>0</v>
      </c>
      <c r="N1044" s="16">
        <f>IF(NOT(Paths!$C$101=1),0,IF(Paths!$P$101="Complete",SUM(G1044:I1044)-J1044-K1044-L1044+M1044+IF(C1044=0,Paths!$F$101,0)+IF(IF(Paths!$E$101=0,C1044=0,AND(C1044&gt;0,Paths!$E$101&gt;(C1044-1)*12,Paths!$E$101&lt;=C1044*12)),VLOOKUP(A1044,'Fleet register'!$A$7:$S$106,16,FALSE),0),"n.a."))</f>
        <v>0</v>
      </c>
      <c r="O1044" s="16">
        <f>IF(NOT(Paths!$C$101=1),0,IF(Paths!$P$101="Complete",N1044-IF(C1044=0,Paths!$F$101,0),"n.a."))</f>
        <v>0</v>
      </c>
      <c r="P1044" s="16">
        <f>IF(NOT(Paths!$C$101=1),0,IF(Paths!$P$101="Complete",O1044+L1044,"n.a."))</f>
        <v>0</v>
      </c>
      <c r="Q1044" s="16">
        <f>IF(NOT(Paths!$C$101=1),0,IF(Paths!$P$101="Complete",N1044*(1+'Operating costs'!$B$54)^-C1044,"n.a."))</f>
        <v>0</v>
      </c>
      <c r="R1044" s="16">
        <f>IF(NOT(Paths!$C$101=1),0,IF(Paths!$P$101="Complete",IF(AND(C1044=0,Paths!$E$101=0),I1044-J1044-K1044+VLOOKUP(A1044,'Fleet register'!$A$7:$S$106,15,FALSE)+VLOOKUP(A1044,'Fleet register'!$A$7:$S$106,16,FALSE),0),"n.a."))</f>
        <v>0</v>
      </c>
      <c r="S1044" s="1">
        <f>IF(NOT(Paths!$C$101=1),0,IF(Paths!$P$101="Complete",IF(C1044=0,0,Paths!$S$101*Paths!$R$101),"n.a."))</f>
        <v>0</v>
      </c>
      <c r="T1044" s="1">
        <f>IF(NOT(Paths!$C$101=1),0,IF(Paths!$P$101="Complete",IF(C1044=0,0,VLOOKUP(A1044,'Fleet register'!$A$7:$S$106,9,FALSE)*Paths!$R$101),"n.a."))</f>
        <v>0</v>
      </c>
    </row>
    <row r="1045" spans="1:20" ht="24" customHeight="1">
      <c r="A1045" s="1" t="str">
        <f>Paths!$A$101</f>
        <v>T024</v>
      </c>
      <c r="B1045" s="1">
        <f>Paths!$B$101</f>
        <v>2</v>
      </c>
      <c r="C1045" s="1">
        <v>4</v>
      </c>
      <c r="D1045" s="1">
        <v>101</v>
      </c>
      <c r="E1045" s="1">
        <f>IF(OR(Paths!$C$101=0,C1045=0),0,MAX(0,MIN(C1045*12,Paths!$E$101)-(C1045-1)*12))</f>
        <v>0</v>
      </c>
      <c r="F1045" s="1">
        <f>IF(OR(Paths!$C$101=0,C1045=0),0,12-E1045)</f>
        <v>0</v>
      </c>
      <c r="G1045" s="16">
        <f>IF(NOT(Paths!$C$101=1),0,IF(Paths!$P$101="Complete",E1045/12*(Paths!$J$101*(1+'Operating costs'!$B$51)^MAX(0,C1045-1)+Paths!$K$101*(1+'Operating costs'!$B$53)^MAX(0,C1045-1)),"n.a."))</f>
        <v>0</v>
      </c>
      <c r="H1045" s="16">
        <f>IF(NOT(Paths!$C$101=1),0,IF(Paths!$P$101="Complete",F1045/12*(Paths!$L$101*(1+IF(Paths!$D$101="EV",'Operating costs'!$B$52,'Operating costs'!$B$51))^MAX(0,C1045-1)+Paths!$M$101*(1+'Operating costs'!$B$53)^MAX(0,C1045-1)),"n.a."))</f>
        <v>0</v>
      </c>
      <c r="I1045" s="16">
        <f>IF(NOT(Paths!$C$101=1),0,IF(Paths!$P$101="Complete",IF(IF(Paths!$E$101=0,C1045=0,AND(C1045&gt;0,Paths!$E$101&gt;(C1045-1)*12,Paths!$E$101&lt;=C1045*12)),Paths!$G$101,0),"n.a."))</f>
        <v>0</v>
      </c>
      <c r="J1045" s="16">
        <f>IF(NOT(Paths!$C$101=1),0,IF(Paths!$P$101="Complete",IF(IF(Paths!$E$101=0,C1045=0,AND(C1045&gt;0,Paths!$E$101&gt;(C1045-1)*12,Paths!$E$101&lt;=C1045*12)),Paths!$H$101,0),"n.a."))</f>
        <v>0</v>
      </c>
      <c r="K1045" s="16">
        <f>IF(NOT(Paths!$C$101=1),0,IF(Paths!$P$101="Complete",IF(IF(Paths!$O$101=0,C1045=0,AND(C1045&gt;0,Paths!$O$101&gt;(C1045-1)*12,Paths!$O$101&lt;=C1045*12)),Paths!$N$101,0),"n.a."))</f>
        <v>0</v>
      </c>
      <c r="L1045" s="16">
        <f>IF(NOT(Paths!$C$101=1),0,IF(Paths!$P$101="Complete",IF(C1045=10,Paths!$I$101,0),"n.a."))</f>
        <v>0</v>
      </c>
      <c r="M1045" s="16">
        <f>IF(NOT(Paths!$C$101=1),0,IF(Paths!$P$101="Complete",IF(AND(Paths!$D$101="EV",Paths!$E$101&lt;120,Paths!$E$101+'Operating costs'!$B$65&gt;Paths!$E$101,Paths!$E$101+'Operating costs'!$B$65&lt;=120,IF(Paths!$E$101+'Operating costs'!$B$65=0,C1045=0,AND(C1045&gt;0,Paths!$E$101+'Operating costs'!$B$65&gt;(C1045-1)*12,Paths!$E$101+'Operating costs'!$B$65&lt;=C1045*12))),'Operating costs'!$B$64,0)+IF(AND('Operating costs'!$B$67&gt;0,'Operating costs'!$B$67&lt;=120,OR(Paths!$D$101="ICE",'Operating costs'!$B$67&lt;=Paths!$E$101),IF('Operating costs'!$B$67=0,C1045=0,AND(C1045&gt;0,'Operating costs'!$B$67&gt;(C1045-1)*12,'Operating costs'!$B$67&lt;=C1045*12))),'Operating costs'!$B$66,0),"n.a."))</f>
        <v>0</v>
      </c>
      <c r="N1045" s="16">
        <f>IF(NOT(Paths!$C$101=1),0,IF(Paths!$P$101="Complete",SUM(G1045:I1045)-J1045-K1045-L1045+M1045+IF(C1045=0,Paths!$F$101,0)+IF(IF(Paths!$E$101=0,C1045=0,AND(C1045&gt;0,Paths!$E$101&gt;(C1045-1)*12,Paths!$E$101&lt;=C1045*12)),VLOOKUP(A1045,'Fleet register'!$A$7:$S$106,16,FALSE),0),"n.a."))</f>
        <v>0</v>
      </c>
      <c r="O1045" s="16">
        <f>IF(NOT(Paths!$C$101=1),0,IF(Paths!$P$101="Complete",N1045-IF(C1045=0,Paths!$F$101,0),"n.a."))</f>
        <v>0</v>
      </c>
      <c r="P1045" s="16">
        <f>IF(NOT(Paths!$C$101=1),0,IF(Paths!$P$101="Complete",O1045+L1045,"n.a."))</f>
        <v>0</v>
      </c>
      <c r="Q1045" s="16">
        <f>IF(NOT(Paths!$C$101=1),0,IF(Paths!$P$101="Complete",N1045*(1+'Operating costs'!$B$54)^-C1045,"n.a."))</f>
        <v>0</v>
      </c>
      <c r="R1045" s="16">
        <f>IF(NOT(Paths!$C$101=1),0,IF(Paths!$P$101="Complete",IF(AND(C1045=0,Paths!$E$101=0),I1045-J1045-K1045+VLOOKUP(A1045,'Fleet register'!$A$7:$S$106,15,FALSE)+VLOOKUP(A1045,'Fleet register'!$A$7:$S$106,16,FALSE),0),"n.a."))</f>
        <v>0</v>
      </c>
      <c r="S1045" s="1">
        <f>IF(NOT(Paths!$C$101=1),0,IF(Paths!$P$101="Complete",IF(C1045=0,0,Paths!$S$101*Paths!$R$101),"n.a."))</f>
        <v>0</v>
      </c>
      <c r="T1045" s="1">
        <f>IF(NOT(Paths!$C$101=1),0,IF(Paths!$P$101="Complete",IF(C1045=0,0,VLOOKUP(A1045,'Fleet register'!$A$7:$S$106,9,FALSE)*Paths!$R$101),"n.a."))</f>
        <v>0</v>
      </c>
    </row>
    <row r="1046" spans="1:20" ht="24" customHeight="1">
      <c r="A1046" s="1" t="str">
        <f>Paths!$A$101</f>
        <v>T024</v>
      </c>
      <c r="B1046" s="1">
        <f>Paths!$B$101</f>
        <v>2</v>
      </c>
      <c r="C1046" s="1">
        <v>5</v>
      </c>
      <c r="D1046" s="1">
        <v>101</v>
      </c>
      <c r="E1046" s="1">
        <f>IF(OR(Paths!$C$101=0,C1046=0),0,MAX(0,MIN(C1046*12,Paths!$E$101)-(C1046-1)*12))</f>
        <v>0</v>
      </c>
      <c r="F1046" s="1">
        <f>IF(OR(Paths!$C$101=0,C1046=0),0,12-E1046)</f>
        <v>0</v>
      </c>
      <c r="G1046" s="16">
        <f>IF(NOT(Paths!$C$101=1),0,IF(Paths!$P$101="Complete",E1046/12*(Paths!$J$101*(1+'Operating costs'!$B$51)^MAX(0,C1046-1)+Paths!$K$101*(1+'Operating costs'!$B$53)^MAX(0,C1046-1)),"n.a."))</f>
        <v>0</v>
      </c>
      <c r="H1046" s="16">
        <f>IF(NOT(Paths!$C$101=1),0,IF(Paths!$P$101="Complete",F1046/12*(Paths!$L$101*(1+IF(Paths!$D$101="EV",'Operating costs'!$B$52,'Operating costs'!$B$51))^MAX(0,C1046-1)+Paths!$M$101*(1+'Operating costs'!$B$53)^MAX(0,C1046-1)),"n.a."))</f>
        <v>0</v>
      </c>
      <c r="I1046" s="16">
        <f>IF(NOT(Paths!$C$101=1),0,IF(Paths!$P$101="Complete",IF(IF(Paths!$E$101=0,C1046=0,AND(C1046&gt;0,Paths!$E$101&gt;(C1046-1)*12,Paths!$E$101&lt;=C1046*12)),Paths!$G$101,0),"n.a."))</f>
        <v>0</v>
      </c>
      <c r="J1046" s="16">
        <f>IF(NOT(Paths!$C$101=1),0,IF(Paths!$P$101="Complete",IF(IF(Paths!$E$101=0,C1046=0,AND(C1046&gt;0,Paths!$E$101&gt;(C1046-1)*12,Paths!$E$101&lt;=C1046*12)),Paths!$H$101,0),"n.a."))</f>
        <v>0</v>
      </c>
      <c r="K1046" s="16">
        <f>IF(NOT(Paths!$C$101=1),0,IF(Paths!$P$101="Complete",IF(IF(Paths!$O$101=0,C1046=0,AND(C1046&gt;0,Paths!$O$101&gt;(C1046-1)*12,Paths!$O$101&lt;=C1046*12)),Paths!$N$101,0),"n.a."))</f>
        <v>0</v>
      </c>
      <c r="L1046" s="16">
        <f>IF(NOT(Paths!$C$101=1),0,IF(Paths!$P$101="Complete",IF(C1046=10,Paths!$I$101,0),"n.a."))</f>
        <v>0</v>
      </c>
      <c r="M1046" s="16">
        <f>IF(NOT(Paths!$C$101=1),0,IF(Paths!$P$101="Complete",IF(AND(Paths!$D$101="EV",Paths!$E$101&lt;120,Paths!$E$101+'Operating costs'!$B$65&gt;Paths!$E$101,Paths!$E$101+'Operating costs'!$B$65&lt;=120,IF(Paths!$E$101+'Operating costs'!$B$65=0,C1046=0,AND(C1046&gt;0,Paths!$E$101+'Operating costs'!$B$65&gt;(C1046-1)*12,Paths!$E$101+'Operating costs'!$B$65&lt;=C1046*12))),'Operating costs'!$B$64,0)+IF(AND('Operating costs'!$B$67&gt;0,'Operating costs'!$B$67&lt;=120,OR(Paths!$D$101="ICE",'Operating costs'!$B$67&lt;=Paths!$E$101),IF('Operating costs'!$B$67=0,C1046=0,AND(C1046&gt;0,'Operating costs'!$B$67&gt;(C1046-1)*12,'Operating costs'!$B$67&lt;=C1046*12))),'Operating costs'!$B$66,0),"n.a."))</f>
        <v>0</v>
      </c>
      <c r="N1046" s="16">
        <f>IF(NOT(Paths!$C$101=1),0,IF(Paths!$P$101="Complete",SUM(G1046:I1046)-J1046-K1046-L1046+M1046+IF(C1046=0,Paths!$F$101,0)+IF(IF(Paths!$E$101=0,C1046=0,AND(C1046&gt;0,Paths!$E$101&gt;(C1046-1)*12,Paths!$E$101&lt;=C1046*12)),VLOOKUP(A1046,'Fleet register'!$A$7:$S$106,16,FALSE),0),"n.a."))</f>
        <v>0</v>
      </c>
      <c r="O1046" s="16">
        <f>IF(NOT(Paths!$C$101=1),0,IF(Paths!$P$101="Complete",N1046-IF(C1046=0,Paths!$F$101,0),"n.a."))</f>
        <v>0</v>
      </c>
      <c r="P1046" s="16">
        <f>IF(NOT(Paths!$C$101=1),0,IF(Paths!$P$101="Complete",O1046+L1046,"n.a."))</f>
        <v>0</v>
      </c>
      <c r="Q1046" s="16">
        <f>IF(NOT(Paths!$C$101=1),0,IF(Paths!$P$101="Complete",N1046*(1+'Operating costs'!$B$54)^-C1046,"n.a."))</f>
        <v>0</v>
      </c>
      <c r="R1046" s="16">
        <f>IF(NOT(Paths!$C$101=1),0,IF(Paths!$P$101="Complete",IF(AND(C1046=0,Paths!$E$101=0),I1046-J1046-K1046+VLOOKUP(A1046,'Fleet register'!$A$7:$S$106,15,FALSE)+VLOOKUP(A1046,'Fleet register'!$A$7:$S$106,16,FALSE),0),"n.a."))</f>
        <v>0</v>
      </c>
      <c r="S1046" s="1">
        <f>IF(NOT(Paths!$C$101=1),0,IF(Paths!$P$101="Complete",IF(C1046=0,0,Paths!$S$101*Paths!$R$101),"n.a."))</f>
        <v>0</v>
      </c>
      <c r="T1046" s="1">
        <f>IF(NOT(Paths!$C$101=1),0,IF(Paths!$P$101="Complete",IF(C1046=0,0,VLOOKUP(A1046,'Fleet register'!$A$7:$S$106,9,FALSE)*Paths!$R$101),"n.a."))</f>
        <v>0</v>
      </c>
    </row>
    <row r="1047" spans="1:20" ht="24" customHeight="1">
      <c r="A1047" s="1" t="str">
        <f>Paths!$A$101</f>
        <v>T024</v>
      </c>
      <c r="B1047" s="1">
        <f>Paths!$B$101</f>
        <v>2</v>
      </c>
      <c r="C1047" s="1">
        <v>6</v>
      </c>
      <c r="D1047" s="1">
        <v>101</v>
      </c>
      <c r="E1047" s="1">
        <f>IF(OR(Paths!$C$101=0,C1047=0),0,MAX(0,MIN(C1047*12,Paths!$E$101)-(C1047-1)*12))</f>
        <v>0</v>
      </c>
      <c r="F1047" s="1">
        <f>IF(OR(Paths!$C$101=0,C1047=0),0,12-E1047)</f>
        <v>0</v>
      </c>
      <c r="G1047" s="16">
        <f>IF(NOT(Paths!$C$101=1),0,IF(Paths!$P$101="Complete",E1047/12*(Paths!$J$101*(1+'Operating costs'!$B$51)^MAX(0,C1047-1)+Paths!$K$101*(1+'Operating costs'!$B$53)^MAX(0,C1047-1)),"n.a."))</f>
        <v>0</v>
      </c>
      <c r="H1047" s="16">
        <f>IF(NOT(Paths!$C$101=1),0,IF(Paths!$P$101="Complete",F1047/12*(Paths!$L$101*(1+IF(Paths!$D$101="EV",'Operating costs'!$B$52,'Operating costs'!$B$51))^MAX(0,C1047-1)+Paths!$M$101*(1+'Operating costs'!$B$53)^MAX(0,C1047-1)),"n.a."))</f>
        <v>0</v>
      </c>
      <c r="I1047" s="16">
        <f>IF(NOT(Paths!$C$101=1),0,IF(Paths!$P$101="Complete",IF(IF(Paths!$E$101=0,C1047=0,AND(C1047&gt;0,Paths!$E$101&gt;(C1047-1)*12,Paths!$E$101&lt;=C1047*12)),Paths!$G$101,0),"n.a."))</f>
        <v>0</v>
      </c>
      <c r="J1047" s="16">
        <f>IF(NOT(Paths!$C$101=1),0,IF(Paths!$P$101="Complete",IF(IF(Paths!$E$101=0,C1047=0,AND(C1047&gt;0,Paths!$E$101&gt;(C1047-1)*12,Paths!$E$101&lt;=C1047*12)),Paths!$H$101,0),"n.a."))</f>
        <v>0</v>
      </c>
      <c r="K1047" s="16">
        <f>IF(NOT(Paths!$C$101=1),0,IF(Paths!$P$101="Complete",IF(IF(Paths!$O$101=0,C1047=0,AND(C1047&gt;0,Paths!$O$101&gt;(C1047-1)*12,Paths!$O$101&lt;=C1047*12)),Paths!$N$101,0),"n.a."))</f>
        <v>0</v>
      </c>
      <c r="L1047" s="16">
        <f>IF(NOT(Paths!$C$101=1),0,IF(Paths!$P$101="Complete",IF(C1047=10,Paths!$I$101,0),"n.a."))</f>
        <v>0</v>
      </c>
      <c r="M1047" s="16">
        <f>IF(NOT(Paths!$C$101=1),0,IF(Paths!$P$101="Complete",IF(AND(Paths!$D$101="EV",Paths!$E$101&lt;120,Paths!$E$101+'Operating costs'!$B$65&gt;Paths!$E$101,Paths!$E$101+'Operating costs'!$B$65&lt;=120,IF(Paths!$E$101+'Operating costs'!$B$65=0,C1047=0,AND(C1047&gt;0,Paths!$E$101+'Operating costs'!$B$65&gt;(C1047-1)*12,Paths!$E$101+'Operating costs'!$B$65&lt;=C1047*12))),'Operating costs'!$B$64,0)+IF(AND('Operating costs'!$B$67&gt;0,'Operating costs'!$B$67&lt;=120,OR(Paths!$D$101="ICE",'Operating costs'!$B$67&lt;=Paths!$E$101),IF('Operating costs'!$B$67=0,C1047=0,AND(C1047&gt;0,'Operating costs'!$B$67&gt;(C1047-1)*12,'Operating costs'!$B$67&lt;=C1047*12))),'Operating costs'!$B$66,0),"n.a."))</f>
        <v>0</v>
      </c>
      <c r="N1047" s="16">
        <f>IF(NOT(Paths!$C$101=1),0,IF(Paths!$P$101="Complete",SUM(G1047:I1047)-J1047-K1047-L1047+M1047+IF(C1047=0,Paths!$F$101,0)+IF(IF(Paths!$E$101=0,C1047=0,AND(C1047&gt;0,Paths!$E$101&gt;(C1047-1)*12,Paths!$E$101&lt;=C1047*12)),VLOOKUP(A1047,'Fleet register'!$A$7:$S$106,16,FALSE),0),"n.a."))</f>
        <v>0</v>
      </c>
      <c r="O1047" s="16">
        <f>IF(NOT(Paths!$C$101=1),0,IF(Paths!$P$101="Complete",N1047-IF(C1047=0,Paths!$F$101,0),"n.a."))</f>
        <v>0</v>
      </c>
      <c r="P1047" s="16">
        <f>IF(NOT(Paths!$C$101=1),0,IF(Paths!$P$101="Complete",O1047+L1047,"n.a."))</f>
        <v>0</v>
      </c>
      <c r="Q1047" s="16">
        <f>IF(NOT(Paths!$C$101=1),0,IF(Paths!$P$101="Complete",N1047*(1+'Operating costs'!$B$54)^-C1047,"n.a."))</f>
        <v>0</v>
      </c>
      <c r="R1047" s="16">
        <f>IF(NOT(Paths!$C$101=1),0,IF(Paths!$P$101="Complete",IF(AND(C1047=0,Paths!$E$101=0),I1047-J1047-K1047+VLOOKUP(A1047,'Fleet register'!$A$7:$S$106,15,FALSE)+VLOOKUP(A1047,'Fleet register'!$A$7:$S$106,16,FALSE),0),"n.a."))</f>
        <v>0</v>
      </c>
      <c r="S1047" s="1">
        <f>IF(NOT(Paths!$C$101=1),0,IF(Paths!$P$101="Complete",IF(C1047=0,0,Paths!$S$101*Paths!$R$101),"n.a."))</f>
        <v>0</v>
      </c>
      <c r="T1047" s="1">
        <f>IF(NOT(Paths!$C$101=1),0,IF(Paths!$P$101="Complete",IF(C1047=0,0,VLOOKUP(A1047,'Fleet register'!$A$7:$S$106,9,FALSE)*Paths!$R$101),"n.a."))</f>
        <v>0</v>
      </c>
    </row>
    <row r="1048" spans="1:20" ht="24" customHeight="1">
      <c r="A1048" s="1" t="str">
        <f>Paths!$A$101</f>
        <v>T024</v>
      </c>
      <c r="B1048" s="1">
        <f>Paths!$B$101</f>
        <v>2</v>
      </c>
      <c r="C1048" s="1">
        <v>7</v>
      </c>
      <c r="D1048" s="1">
        <v>101</v>
      </c>
      <c r="E1048" s="1">
        <f>IF(OR(Paths!$C$101=0,C1048=0),0,MAX(0,MIN(C1048*12,Paths!$E$101)-(C1048-1)*12))</f>
        <v>0</v>
      </c>
      <c r="F1048" s="1">
        <f>IF(OR(Paths!$C$101=0,C1048=0),0,12-E1048)</f>
        <v>0</v>
      </c>
      <c r="G1048" s="16">
        <f>IF(NOT(Paths!$C$101=1),0,IF(Paths!$P$101="Complete",E1048/12*(Paths!$J$101*(1+'Operating costs'!$B$51)^MAX(0,C1048-1)+Paths!$K$101*(1+'Operating costs'!$B$53)^MAX(0,C1048-1)),"n.a."))</f>
        <v>0</v>
      </c>
      <c r="H1048" s="16">
        <f>IF(NOT(Paths!$C$101=1),0,IF(Paths!$P$101="Complete",F1048/12*(Paths!$L$101*(1+IF(Paths!$D$101="EV",'Operating costs'!$B$52,'Operating costs'!$B$51))^MAX(0,C1048-1)+Paths!$M$101*(1+'Operating costs'!$B$53)^MAX(0,C1048-1)),"n.a."))</f>
        <v>0</v>
      </c>
      <c r="I1048" s="16">
        <f>IF(NOT(Paths!$C$101=1),0,IF(Paths!$P$101="Complete",IF(IF(Paths!$E$101=0,C1048=0,AND(C1048&gt;0,Paths!$E$101&gt;(C1048-1)*12,Paths!$E$101&lt;=C1048*12)),Paths!$G$101,0),"n.a."))</f>
        <v>0</v>
      </c>
      <c r="J1048" s="16">
        <f>IF(NOT(Paths!$C$101=1),0,IF(Paths!$P$101="Complete",IF(IF(Paths!$E$101=0,C1048=0,AND(C1048&gt;0,Paths!$E$101&gt;(C1048-1)*12,Paths!$E$101&lt;=C1048*12)),Paths!$H$101,0),"n.a."))</f>
        <v>0</v>
      </c>
      <c r="K1048" s="16">
        <f>IF(NOT(Paths!$C$101=1),0,IF(Paths!$P$101="Complete",IF(IF(Paths!$O$101=0,C1048=0,AND(C1048&gt;0,Paths!$O$101&gt;(C1048-1)*12,Paths!$O$101&lt;=C1048*12)),Paths!$N$101,0),"n.a."))</f>
        <v>0</v>
      </c>
      <c r="L1048" s="16">
        <f>IF(NOT(Paths!$C$101=1),0,IF(Paths!$P$101="Complete",IF(C1048=10,Paths!$I$101,0),"n.a."))</f>
        <v>0</v>
      </c>
      <c r="M1048" s="16">
        <f>IF(NOT(Paths!$C$101=1),0,IF(Paths!$P$101="Complete",IF(AND(Paths!$D$101="EV",Paths!$E$101&lt;120,Paths!$E$101+'Operating costs'!$B$65&gt;Paths!$E$101,Paths!$E$101+'Operating costs'!$B$65&lt;=120,IF(Paths!$E$101+'Operating costs'!$B$65=0,C1048=0,AND(C1048&gt;0,Paths!$E$101+'Operating costs'!$B$65&gt;(C1048-1)*12,Paths!$E$101+'Operating costs'!$B$65&lt;=C1048*12))),'Operating costs'!$B$64,0)+IF(AND('Operating costs'!$B$67&gt;0,'Operating costs'!$B$67&lt;=120,OR(Paths!$D$101="ICE",'Operating costs'!$B$67&lt;=Paths!$E$101),IF('Operating costs'!$B$67=0,C1048=0,AND(C1048&gt;0,'Operating costs'!$B$67&gt;(C1048-1)*12,'Operating costs'!$B$67&lt;=C1048*12))),'Operating costs'!$B$66,0),"n.a."))</f>
        <v>0</v>
      </c>
      <c r="N1048" s="16">
        <f>IF(NOT(Paths!$C$101=1),0,IF(Paths!$P$101="Complete",SUM(G1048:I1048)-J1048-K1048-L1048+M1048+IF(C1048=0,Paths!$F$101,0)+IF(IF(Paths!$E$101=0,C1048=0,AND(C1048&gt;0,Paths!$E$101&gt;(C1048-1)*12,Paths!$E$101&lt;=C1048*12)),VLOOKUP(A1048,'Fleet register'!$A$7:$S$106,16,FALSE),0),"n.a."))</f>
        <v>0</v>
      </c>
      <c r="O1048" s="16">
        <f>IF(NOT(Paths!$C$101=1),0,IF(Paths!$P$101="Complete",N1048-IF(C1048=0,Paths!$F$101,0),"n.a."))</f>
        <v>0</v>
      </c>
      <c r="P1048" s="16">
        <f>IF(NOT(Paths!$C$101=1),0,IF(Paths!$P$101="Complete",O1048+L1048,"n.a."))</f>
        <v>0</v>
      </c>
      <c r="Q1048" s="16">
        <f>IF(NOT(Paths!$C$101=1),0,IF(Paths!$P$101="Complete",N1048*(1+'Operating costs'!$B$54)^-C1048,"n.a."))</f>
        <v>0</v>
      </c>
      <c r="R1048" s="16">
        <f>IF(NOT(Paths!$C$101=1),0,IF(Paths!$P$101="Complete",IF(AND(C1048=0,Paths!$E$101=0),I1048-J1048-K1048+VLOOKUP(A1048,'Fleet register'!$A$7:$S$106,15,FALSE)+VLOOKUP(A1048,'Fleet register'!$A$7:$S$106,16,FALSE),0),"n.a."))</f>
        <v>0</v>
      </c>
      <c r="S1048" s="1">
        <f>IF(NOT(Paths!$C$101=1),0,IF(Paths!$P$101="Complete",IF(C1048=0,0,Paths!$S$101*Paths!$R$101),"n.a."))</f>
        <v>0</v>
      </c>
      <c r="T1048" s="1">
        <f>IF(NOT(Paths!$C$101=1),0,IF(Paths!$P$101="Complete",IF(C1048=0,0,VLOOKUP(A1048,'Fleet register'!$A$7:$S$106,9,FALSE)*Paths!$R$101),"n.a."))</f>
        <v>0</v>
      </c>
    </row>
    <row r="1049" spans="1:20" ht="24" customHeight="1">
      <c r="A1049" s="1" t="str">
        <f>Paths!$A$101</f>
        <v>T024</v>
      </c>
      <c r="B1049" s="1">
        <f>Paths!$B$101</f>
        <v>2</v>
      </c>
      <c r="C1049" s="1">
        <v>8</v>
      </c>
      <c r="D1049" s="1">
        <v>101</v>
      </c>
      <c r="E1049" s="1">
        <f>IF(OR(Paths!$C$101=0,C1049=0),0,MAX(0,MIN(C1049*12,Paths!$E$101)-(C1049-1)*12))</f>
        <v>0</v>
      </c>
      <c r="F1049" s="1">
        <f>IF(OR(Paths!$C$101=0,C1049=0),0,12-E1049)</f>
        <v>0</v>
      </c>
      <c r="G1049" s="16">
        <f>IF(NOT(Paths!$C$101=1),0,IF(Paths!$P$101="Complete",E1049/12*(Paths!$J$101*(1+'Operating costs'!$B$51)^MAX(0,C1049-1)+Paths!$K$101*(1+'Operating costs'!$B$53)^MAX(0,C1049-1)),"n.a."))</f>
        <v>0</v>
      </c>
      <c r="H1049" s="16">
        <f>IF(NOT(Paths!$C$101=1),0,IF(Paths!$P$101="Complete",F1049/12*(Paths!$L$101*(1+IF(Paths!$D$101="EV",'Operating costs'!$B$52,'Operating costs'!$B$51))^MAX(0,C1049-1)+Paths!$M$101*(1+'Operating costs'!$B$53)^MAX(0,C1049-1)),"n.a."))</f>
        <v>0</v>
      </c>
      <c r="I1049" s="16">
        <f>IF(NOT(Paths!$C$101=1),0,IF(Paths!$P$101="Complete",IF(IF(Paths!$E$101=0,C1049=0,AND(C1049&gt;0,Paths!$E$101&gt;(C1049-1)*12,Paths!$E$101&lt;=C1049*12)),Paths!$G$101,0),"n.a."))</f>
        <v>0</v>
      </c>
      <c r="J1049" s="16">
        <f>IF(NOT(Paths!$C$101=1),0,IF(Paths!$P$101="Complete",IF(IF(Paths!$E$101=0,C1049=0,AND(C1049&gt;0,Paths!$E$101&gt;(C1049-1)*12,Paths!$E$101&lt;=C1049*12)),Paths!$H$101,0),"n.a."))</f>
        <v>0</v>
      </c>
      <c r="K1049" s="16">
        <f>IF(NOT(Paths!$C$101=1),0,IF(Paths!$P$101="Complete",IF(IF(Paths!$O$101=0,C1049=0,AND(C1049&gt;0,Paths!$O$101&gt;(C1049-1)*12,Paths!$O$101&lt;=C1049*12)),Paths!$N$101,0),"n.a."))</f>
        <v>0</v>
      </c>
      <c r="L1049" s="16">
        <f>IF(NOT(Paths!$C$101=1),0,IF(Paths!$P$101="Complete",IF(C1049=10,Paths!$I$101,0),"n.a."))</f>
        <v>0</v>
      </c>
      <c r="M1049" s="16">
        <f>IF(NOT(Paths!$C$101=1),0,IF(Paths!$P$101="Complete",IF(AND(Paths!$D$101="EV",Paths!$E$101&lt;120,Paths!$E$101+'Operating costs'!$B$65&gt;Paths!$E$101,Paths!$E$101+'Operating costs'!$B$65&lt;=120,IF(Paths!$E$101+'Operating costs'!$B$65=0,C1049=0,AND(C1049&gt;0,Paths!$E$101+'Operating costs'!$B$65&gt;(C1049-1)*12,Paths!$E$101+'Operating costs'!$B$65&lt;=C1049*12))),'Operating costs'!$B$64,0)+IF(AND('Operating costs'!$B$67&gt;0,'Operating costs'!$B$67&lt;=120,OR(Paths!$D$101="ICE",'Operating costs'!$B$67&lt;=Paths!$E$101),IF('Operating costs'!$B$67=0,C1049=0,AND(C1049&gt;0,'Operating costs'!$B$67&gt;(C1049-1)*12,'Operating costs'!$B$67&lt;=C1049*12))),'Operating costs'!$B$66,0),"n.a."))</f>
        <v>0</v>
      </c>
      <c r="N1049" s="16">
        <f>IF(NOT(Paths!$C$101=1),0,IF(Paths!$P$101="Complete",SUM(G1049:I1049)-J1049-K1049-L1049+M1049+IF(C1049=0,Paths!$F$101,0)+IF(IF(Paths!$E$101=0,C1049=0,AND(C1049&gt;0,Paths!$E$101&gt;(C1049-1)*12,Paths!$E$101&lt;=C1049*12)),VLOOKUP(A1049,'Fleet register'!$A$7:$S$106,16,FALSE),0),"n.a."))</f>
        <v>0</v>
      </c>
      <c r="O1049" s="16">
        <f>IF(NOT(Paths!$C$101=1),0,IF(Paths!$P$101="Complete",N1049-IF(C1049=0,Paths!$F$101,0),"n.a."))</f>
        <v>0</v>
      </c>
      <c r="P1049" s="16">
        <f>IF(NOT(Paths!$C$101=1),0,IF(Paths!$P$101="Complete",O1049+L1049,"n.a."))</f>
        <v>0</v>
      </c>
      <c r="Q1049" s="16">
        <f>IF(NOT(Paths!$C$101=1),0,IF(Paths!$P$101="Complete",N1049*(1+'Operating costs'!$B$54)^-C1049,"n.a."))</f>
        <v>0</v>
      </c>
      <c r="R1049" s="16">
        <f>IF(NOT(Paths!$C$101=1),0,IF(Paths!$P$101="Complete",IF(AND(C1049=0,Paths!$E$101=0),I1049-J1049-K1049+VLOOKUP(A1049,'Fleet register'!$A$7:$S$106,15,FALSE)+VLOOKUP(A1049,'Fleet register'!$A$7:$S$106,16,FALSE),0),"n.a."))</f>
        <v>0</v>
      </c>
      <c r="S1049" s="1">
        <f>IF(NOT(Paths!$C$101=1),0,IF(Paths!$P$101="Complete",IF(C1049=0,0,Paths!$S$101*Paths!$R$101),"n.a."))</f>
        <v>0</v>
      </c>
      <c r="T1049" s="1">
        <f>IF(NOT(Paths!$C$101=1),0,IF(Paths!$P$101="Complete",IF(C1049=0,0,VLOOKUP(A1049,'Fleet register'!$A$7:$S$106,9,FALSE)*Paths!$R$101),"n.a."))</f>
        <v>0</v>
      </c>
    </row>
    <row r="1050" spans="1:20" ht="24" customHeight="1">
      <c r="A1050" s="1" t="str">
        <f>Paths!$A$101</f>
        <v>T024</v>
      </c>
      <c r="B1050" s="1">
        <f>Paths!$B$101</f>
        <v>2</v>
      </c>
      <c r="C1050" s="1">
        <v>9</v>
      </c>
      <c r="D1050" s="1">
        <v>101</v>
      </c>
      <c r="E1050" s="1">
        <f>IF(OR(Paths!$C$101=0,C1050=0),0,MAX(0,MIN(C1050*12,Paths!$E$101)-(C1050-1)*12))</f>
        <v>0</v>
      </c>
      <c r="F1050" s="1">
        <f>IF(OR(Paths!$C$101=0,C1050=0),0,12-E1050)</f>
        <v>0</v>
      </c>
      <c r="G1050" s="16">
        <f>IF(NOT(Paths!$C$101=1),0,IF(Paths!$P$101="Complete",E1050/12*(Paths!$J$101*(1+'Operating costs'!$B$51)^MAX(0,C1050-1)+Paths!$K$101*(1+'Operating costs'!$B$53)^MAX(0,C1050-1)),"n.a."))</f>
        <v>0</v>
      </c>
      <c r="H1050" s="16">
        <f>IF(NOT(Paths!$C$101=1),0,IF(Paths!$P$101="Complete",F1050/12*(Paths!$L$101*(1+IF(Paths!$D$101="EV",'Operating costs'!$B$52,'Operating costs'!$B$51))^MAX(0,C1050-1)+Paths!$M$101*(1+'Operating costs'!$B$53)^MAX(0,C1050-1)),"n.a."))</f>
        <v>0</v>
      </c>
      <c r="I1050" s="16">
        <f>IF(NOT(Paths!$C$101=1),0,IF(Paths!$P$101="Complete",IF(IF(Paths!$E$101=0,C1050=0,AND(C1050&gt;0,Paths!$E$101&gt;(C1050-1)*12,Paths!$E$101&lt;=C1050*12)),Paths!$G$101,0),"n.a."))</f>
        <v>0</v>
      </c>
      <c r="J1050" s="16">
        <f>IF(NOT(Paths!$C$101=1),0,IF(Paths!$P$101="Complete",IF(IF(Paths!$E$101=0,C1050=0,AND(C1050&gt;0,Paths!$E$101&gt;(C1050-1)*12,Paths!$E$101&lt;=C1050*12)),Paths!$H$101,0),"n.a."))</f>
        <v>0</v>
      </c>
      <c r="K1050" s="16">
        <f>IF(NOT(Paths!$C$101=1),0,IF(Paths!$P$101="Complete",IF(IF(Paths!$O$101=0,C1050=0,AND(C1050&gt;0,Paths!$O$101&gt;(C1050-1)*12,Paths!$O$101&lt;=C1050*12)),Paths!$N$101,0),"n.a."))</f>
        <v>0</v>
      </c>
      <c r="L1050" s="16">
        <f>IF(NOT(Paths!$C$101=1),0,IF(Paths!$P$101="Complete",IF(C1050=10,Paths!$I$101,0),"n.a."))</f>
        <v>0</v>
      </c>
      <c r="M1050" s="16">
        <f>IF(NOT(Paths!$C$101=1),0,IF(Paths!$P$101="Complete",IF(AND(Paths!$D$101="EV",Paths!$E$101&lt;120,Paths!$E$101+'Operating costs'!$B$65&gt;Paths!$E$101,Paths!$E$101+'Operating costs'!$B$65&lt;=120,IF(Paths!$E$101+'Operating costs'!$B$65=0,C1050=0,AND(C1050&gt;0,Paths!$E$101+'Operating costs'!$B$65&gt;(C1050-1)*12,Paths!$E$101+'Operating costs'!$B$65&lt;=C1050*12))),'Operating costs'!$B$64,0)+IF(AND('Operating costs'!$B$67&gt;0,'Operating costs'!$B$67&lt;=120,OR(Paths!$D$101="ICE",'Operating costs'!$B$67&lt;=Paths!$E$101),IF('Operating costs'!$B$67=0,C1050=0,AND(C1050&gt;0,'Operating costs'!$B$67&gt;(C1050-1)*12,'Operating costs'!$B$67&lt;=C1050*12))),'Operating costs'!$B$66,0),"n.a."))</f>
        <v>0</v>
      </c>
      <c r="N1050" s="16">
        <f>IF(NOT(Paths!$C$101=1),0,IF(Paths!$P$101="Complete",SUM(G1050:I1050)-J1050-K1050-L1050+M1050+IF(C1050=0,Paths!$F$101,0)+IF(IF(Paths!$E$101=0,C1050=0,AND(C1050&gt;0,Paths!$E$101&gt;(C1050-1)*12,Paths!$E$101&lt;=C1050*12)),VLOOKUP(A1050,'Fleet register'!$A$7:$S$106,16,FALSE),0),"n.a."))</f>
        <v>0</v>
      </c>
      <c r="O1050" s="16">
        <f>IF(NOT(Paths!$C$101=1),0,IF(Paths!$P$101="Complete",N1050-IF(C1050=0,Paths!$F$101,0),"n.a."))</f>
        <v>0</v>
      </c>
      <c r="P1050" s="16">
        <f>IF(NOT(Paths!$C$101=1),0,IF(Paths!$P$101="Complete",O1050+L1050,"n.a."))</f>
        <v>0</v>
      </c>
      <c r="Q1050" s="16">
        <f>IF(NOT(Paths!$C$101=1),0,IF(Paths!$P$101="Complete",N1050*(1+'Operating costs'!$B$54)^-C1050,"n.a."))</f>
        <v>0</v>
      </c>
      <c r="R1050" s="16">
        <f>IF(NOT(Paths!$C$101=1),0,IF(Paths!$P$101="Complete",IF(AND(C1050=0,Paths!$E$101=0),I1050-J1050-K1050+VLOOKUP(A1050,'Fleet register'!$A$7:$S$106,15,FALSE)+VLOOKUP(A1050,'Fleet register'!$A$7:$S$106,16,FALSE),0),"n.a."))</f>
        <v>0</v>
      </c>
      <c r="S1050" s="1">
        <f>IF(NOT(Paths!$C$101=1),0,IF(Paths!$P$101="Complete",IF(C1050=0,0,Paths!$S$101*Paths!$R$101),"n.a."))</f>
        <v>0</v>
      </c>
      <c r="T1050" s="1">
        <f>IF(NOT(Paths!$C$101=1),0,IF(Paths!$P$101="Complete",IF(C1050=0,0,VLOOKUP(A1050,'Fleet register'!$A$7:$S$106,9,FALSE)*Paths!$R$101),"n.a."))</f>
        <v>0</v>
      </c>
    </row>
    <row r="1051" spans="1:20" ht="24" customHeight="1">
      <c r="A1051" s="1" t="str">
        <f>Paths!$A$101</f>
        <v>T024</v>
      </c>
      <c r="B1051" s="1">
        <f>Paths!$B$101</f>
        <v>2</v>
      </c>
      <c r="C1051" s="1">
        <v>10</v>
      </c>
      <c r="D1051" s="1">
        <v>101</v>
      </c>
      <c r="E1051" s="1">
        <f>IF(OR(Paths!$C$101=0,C1051=0),0,MAX(0,MIN(C1051*12,Paths!$E$101)-(C1051-1)*12))</f>
        <v>0</v>
      </c>
      <c r="F1051" s="1">
        <f>IF(OR(Paths!$C$101=0,C1051=0),0,12-E1051)</f>
        <v>0</v>
      </c>
      <c r="G1051" s="16">
        <f>IF(NOT(Paths!$C$101=1),0,IF(Paths!$P$101="Complete",E1051/12*(Paths!$J$101*(1+'Operating costs'!$B$51)^MAX(0,C1051-1)+Paths!$K$101*(1+'Operating costs'!$B$53)^MAX(0,C1051-1)),"n.a."))</f>
        <v>0</v>
      </c>
      <c r="H1051" s="16">
        <f>IF(NOT(Paths!$C$101=1),0,IF(Paths!$P$101="Complete",F1051/12*(Paths!$L$101*(1+IF(Paths!$D$101="EV",'Operating costs'!$B$52,'Operating costs'!$B$51))^MAX(0,C1051-1)+Paths!$M$101*(1+'Operating costs'!$B$53)^MAX(0,C1051-1)),"n.a."))</f>
        <v>0</v>
      </c>
      <c r="I1051" s="16">
        <f>IF(NOT(Paths!$C$101=1),0,IF(Paths!$P$101="Complete",IF(IF(Paths!$E$101=0,C1051=0,AND(C1051&gt;0,Paths!$E$101&gt;(C1051-1)*12,Paths!$E$101&lt;=C1051*12)),Paths!$G$101,0),"n.a."))</f>
        <v>0</v>
      </c>
      <c r="J1051" s="16">
        <f>IF(NOT(Paths!$C$101=1),0,IF(Paths!$P$101="Complete",IF(IF(Paths!$E$101=0,C1051=0,AND(C1051&gt;0,Paths!$E$101&gt;(C1051-1)*12,Paths!$E$101&lt;=C1051*12)),Paths!$H$101,0),"n.a."))</f>
        <v>0</v>
      </c>
      <c r="K1051" s="16">
        <f>IF(NOT(Paths!$C$101=1),0,IF(Paths!$P$101="Complete",IF(IF(Paths!$O$101=0,C1051=0,AND(C1051&gt;0,Paths!$O$101&gt;(C1051-1)*12,Paths!$O$101&lt;=C1051*12)),Paths!$N$101,0),"n.a."))</f>
        <v>0</v>
      </c>
      <c r="L1051" s="16">
        <f>IF(NOT(Paths!$C$101=1),0,IF(Paths!$P$101="Complete",IF(C1051=10,Paths!$I$101,0),"n.a."))</f>
        <v>0</v>
      </c>
      <c r="M1051" s="16">
        <f>IF(NOT(Paths!$C$101=1),0,IF(Paths!$P$101="Complete",IF(AND(Paths!$D$101="EV",Paths!$E$101&lt;120,Paths!$E$101+'Operating costs'!$B$65&gt;Paths!$E$101,Paths!$E$101+'Operating costs'!$B$65&lt;=120,IF(Paths!$E$101+'Operating costs'!$B$65=0,C1051=0,AND(C1051&gt;0,Paths!$E$101+'Operating costs'!$B$65&gt;(C1051-1)*12,Paths!$E$101+'Operating costs'!$B$65&lt;=C1051*12))),'Operating costs'!$B$64,0)+IF(AND('Operating costs'!$B$67&gt;0,'Operating costs'!$B$67&lt;=120,OR(Paths!$D$101="ICE",'Operating costs'!$B$67&lt;=Paths!$E$101),IF('Operating costs'!$B$67=0,C1051=0,AND(C1051&gt;0,'Operating costs'!$B$67&gt;(C1051-1)*12,'Operating costs'!$B$67&lt;=C1051*12))),'Operating costs'!$B$66,0),"n.a."))</f>
        <v>0</v>
      </c>
      <c r="N1051" s="16">
        <f>IF(NOT(Paths!$C$101=1),0,IF(Paths!$P$101="Complete",SUM(G1051:I1051)-J1051-K1051-L1051+M1051+IF(C1051=0,Paths!$F$101,0)+IF(IF(Paths!$E$101=0,C1051=0,AND(C1051&gt;0,Paths!$E$101&gt;(C1051-1)*12,Paths!$E$101&lt;=C1051*12)),VLOOKUP(A1051,'Fleet register'!$A$7:$S$106,16,FALSE),0),"n.a."))</f>
        <v>0</v>
      </c>
      <c r="O1051" s="16">
        <f>IF(NOT(Paths!$C$101=1),0,IF(Paths!$P$101="Complete",N1051-IF(C1051=0,Paths!$F$101,0),"n.a."))</f>
        <v>0</v>
      </c>
      <c r="P1051" s="16">
        <f>IF(NOT(Paths!$C$101=1),0,IF(Paths!$P$101="Complete",O1051+L1051,"n.a."))</f>
        <v>0</v>
      </c>
      <c r="Q1051" s="16">
        <f>IF(NOT(Paths!$C$101=1),0,IF(Paths!$P$101="Complete",N1051*(1+'Operating costs'!$B$54)^-C1051,"n.a."))</f>
        <v>0</v>
      </c>
      <c r="R1051" s="16">
        <f>IF(NOT(Paths!$C$101=1),0,IF(Paths!$P$101="Complete",IF(AND(C1051=0,Paths!$E$101=0),I1051-J1051-K1051+VLOOKUP(A1051,'Fleet register'!$A$7:$S$106,15,FALSE)+VLOOKUP(A1051,'Fleet register'!$A$7:$S$106,16,FALSE),0),"n.a."))</f>
        <v>0</v>
      </c>
      <c r="S1051" s="1">
        <f>IF(NOT(Paths!$C$101=1),0,IF(Paths!$P$101="Complete",IF(C1051=0,0,Paths!$S$101*Paths!$R$101),"n.a."))</f>
        <v>0</v>
      </c>
      <c r="T1051" s="1">
        <f>IF(NOT(Paths!$C$101=1),0,IF(Paths!$P$101="Complete",IF(C1051=0,0,VLOOKUP(A1051,'Fleet register'!$A$7:$S$106,9,FALSE)*Paths!$R$101),"n.a."))</f>
        <v>0</v>
      </c>
    </row>
    <row r="1052" spans="1:20" ht="24" customHeight="1">
      <c r="A1052" s="1" t="str">
        <f>Paths!$A$102</f>
        <v>T024</v>
      </c>
      <c r="B1052" s="1">
        <f>Paths!$B$102</f>
        <v>3</v>
      </c>
      <c r="C1052" s="1">
        <v>0</v>
      </c>
      <c r="D1052" s="1">
        <v>102</v>
      </c>
      <c r="E1052" s="1">
        <f>IF(OR(Paths!$C$102=0,C1052=0),0,MAX(0,MIN(C1052*12,Paths!$E$102)-(C1052-1)*12))</f>
        <v>0</v>
      </c>
      <c r="F1052" s="1">
        <f>IF(OR(Paths!$C$102=0,C1052=0),0,12-E1052)</f>
        <v>0</v>
      </c>
      <c r="G1052" s="16">
        <f>IF(NOT(Paths!$C$102=1),0,IF(Paths!$P$102="Complete",E1052/12*(Paths!$J$102*(1+'Operating costs'!$B$51)^MAX(0,C1052-1)+Paths!$K$102*(1+'Operating costs'!$B$53)^MAX(0,C1052-1)),"n.a."))</f>
        <v>0</v>
      </c>
      <c r="H1052" s="16">
        <f>IF(NOT(Paths!$C$102=1),0,IF(Paths!$P$102="Complete",F1052/12*(Paths!$L$102*(1+IF(Paths!$D$102="EV",'Operating costs'!$B$52,'Operating costs'!$B$51))^MAX(0,C1052-1)+Paths!$M$102*(1+'Operating costs'!$B$53)^MAX(0,C1052-1)),"n.a."))</f>
        <v>0</v>
      </c>
      <c r="I1052" s="16">
        <f>IF(NOT(Paths!$C$102=1),0,IF(Paths!$P$102="Complete",IF(IF(Paths!$E$102=0,C1052=0,AND(C1052&gt;0,Paths!$E$102&gt;(C1052-1)*12,Paths!$E$102&lt;=C1052*12)),Paths!$G$102,0),"n.a."))</f>
        <v>0</v>
      </c>
      <c r="J1052" s="16">
        <f>IF(NOT(Paths!$C$102=1),0,IF(Paths!$P$102="Complete",IF(IF(Paths!$E$102=0,C1052=0,AND(C1052&gt;0,Paths!$E$102&gt;(C1052-1)*12,Paths!$E$102&lt;=C1052*12)),Paths!$H$102,0),"n.a."))</f>
        <v>0</v>
      </c>
      <c r="K1052" s="16">
        <f>IF(NOT(Paths!$C$102=1),0,IF(Paths!$P$102="Complete",IF(IF(Paths!$O$102=0,C1052=0,AND(C1052&gt;0,Paths!$O$102&gt;(C1052-1)*12,Paths!$O$102&lt;=C1052*12)),Paths!$N$102,0),"n.a."))</f>
        <v>0</v>
      </c>
      <c r="L1052" s="16">
        <f>IF(NOT(Paths!$C$102=1),0,IF(Paths!$P$102="Complete",IF(C1052=10,Paths!$I$102,0),"n.a."))</f>
        <v>0</v>
      </c>
      <c r="M1052" s="16">
        <f>IF(NOT(Paths!$C$102=1),0,IF(Paths!$P$102="Complete",IF(AND(Paths!$D$102="EV",Paths!$E$102&lt;120,Paths!$E$102+'Operating costs'!$B$65&gt;Paths!$E$102,Paths!$E$102+'Operating costs'!$B$65&lt;=120,IF(Paths!$E$102+'Operating costs'!$B$65=0,C1052=0,AND(C1052&gt;0,Paths!$E$102+'Operating costs'!$B$65&gt;(C1052-1)*12,Paths!$E$102+'Operating costs'!$B$65&lt;=C1052*12))),'Operating costs'!$B$64,0)+IF(AND('Operating costs'!$B$67&gt;0,'Operating costs'!$B$67&lt;=120,OR(Paths!$D$102="ICE",'Operating costs'!$B$67&lt;=Paths!$E$102),IF('Operating costs'!$B$67=0,C1052=0,AND(C1052&gt;0,'Operating costs'!$B$67&gt;(C1052-1)*12,'Operating costs'!$B$67&lt;=C1052*12))),'Operating costs'!$B$66,0),"n.a."))</f>
        <v>0</v>
      </c>
      <c r="N1052" s="16">
        <f>IF(NOT(Paths!$C$102=1),0,IF(Paths!$P$102="Complete",SUM(G1052:I1052)-J1052-K1052-L1052+M1052+IF(C1052=0,Paths!$F$102,0)+IF(IF(Paths!$E$102=0,C1052=0,AND(C1052&gt;0,Paths!$E$102&gt;(C1052-1)*12,Paths!$E$102&lt;=C1052*12)),VLOOKUP(A1052,'Fleet register'!$A$7:$S$106,16,FALSE),0),"n.a."))</f>
        <v>0</v>
      </c>
      <c r="O1052" s="16">
        <f>IF(NOT(Paths!$C$102=1),0,IF(Paths!$P$102="Complete",N1052-IF(C1052=0,Paths!$F$102,0),"n.a."))</f>
        <v>0</v>
      </c>
      <c r="P1052" s="16">
        <f>IF(NOT(Paths!$C$102=1),0,IF(Paths!$P$102="Complete",O1052+L1052,"n.a."))</f>
        <v>0</v>
      </c>
      <c r="Q1052" s="16">
        <f>IF(NOT(Paths!$C$102=1),0,IF(Paths!$P$102="Complete",N1052*(1+'Operating costs'!$B$54)^-C1052,"n.a."))</f>
        <v>0</v>
      </c>
      <c r="R1052" s="16">
        <f>IF(NOT(Paths!$C$102=1),0,IF(Paths!$P$102="Complete",IF(AND(C1052=0,Paths!$E$102=0),I1052-J1052-K1052+VLOOKUP(A1052,'Fleet register'!$A$7:$S$106,15,FALSE)+VLOOKUP(A1052,'Fleet register'!$A$7:$S$106,16,FALSE),0),"n.a."))</f>
        <v>0</v>
      </c>
      <c r="S1052" s="1">
        <f>IF(NOT(Paths!$C$102=1),0,IF(Paths!$P$102="Complete",IF(C1052=0,0,Paths!$S$102*Paths!$R$102),"n.a."))</f>
        <v>0</v>
      </c>
      <c r="T1052" s="1">
        <f>IF(NOT(Paths!$C$102=1),0,IF(Paths!$P$102="Complete",IF(C1052=0,0,VLOOKUP(A1052,'Fleet register'!$A$7:$S$106,9,FALSE)*Paths!$R$102),"n.a."))</f>
        <v>0</v>
      </c>
    </row>
    <row r="1053" spans="1:20" ht="24" customHeight="1">
      <c r="A1053" s="1" t="str">
        <f>Paths!$A$102</f>
        <v>T024</v>
      </c>
      <c r="B1053" s="1">
        <f>Paths!$B$102</f>
        <v>3</v>
      </c>
      <c r="C1053" s="1">
        <v>1</v>
      </c>
      <c r="D1053" s="1">
        <v>102</v>
      </c>
      <c r="E1053" s="1">
        <f>IF(OR(Paths!$C$102=0,C1053=0),0,MAX(0,MIN(C1053*12,Paths!$E$102)-(C1053-1)*12))</f>
        <v>0</v>
      </c>
      <c r="F1053" s="1">
        <f>IF(OR(Paths!$C$102=0,C1053=0),0,12-E1053)</f>
        <v>0</v>
      </c>
      <c r="G1053" s="16">
        <f>IF(NOT(Paths!$C$102=1),0,IF(Paths!$P$102="Complete",E1053/12*(Paths!$J$102*(1+'Operating costs'!$B$51)^MAX(0,C1053-1)+Paths!$K$102*(1+'Operating costs'!$B$53)^MAX(0,C1053-1)),"n.a."))</f>
        <v>0</v>
      </c>
      <c r="H1053" s="16">
        <f>IF(NOT(Paths!$C$102=1),0,IF(Paths!$P$102="Complete",F1053/12*(Paths!$L$102*(1+IF(Paths!$D$102="EV",'Operating costs'!$B$52,'Operating costs'!$B$51))^MAX(0,C1053-1)+Paths!$M$102*(1+'Operating costs'!$B$53)^MAX(0,C1053-1)),"n.a."))</f>
        <v>0</v>
      </c>
      <c r="I1053" s="16">
        <f>IF(NOT(Paths!$C$102=1),0,IF(Paths!$P$102="Complete",IF(IF(Paths!$E$102=0,C1053=0,AND(C1053&gt;0,Paths!$E$102&gt;(C1053-1)*12,Paths!$E$102&lt;=C1053*12)),Paths!$G$102,0),"n.a."))</f>
        <v>0</v>
      </c>
      <c r="J1053" s="16">
        <f>IF(NOT(Paths!$C$102=1),0,IF(Paths!$P$102="Complete",IF(IF(Paths!$E$102=0,C1053=0,AND(C1053&gt;0,Paths!$E$102&gt;(C1053-1)*12,Paths!$E$102&lt;=C1053*12)),Paths!$H$102,0),"n.a."))</f>
        <v>0</v>
      </c>
      <c r="K1053" s="16">
        <f>IF(NOT(Paths!$C$102=1),0,IF(Paths!$P$102="Complete",IF(IF(Paths!$O$102=0,C1053=0,AND(C1053&gt;0,Paths!$O$102&gt;(C1053-1)*12,Paths!$O$102&lt;=C1053*12)),Paths!$N$102,0),"n.a."))</f>
        <v>0</v>
      </c>
      <c r="L1053" s="16">
        <f>IF(NOT(Paths!$C$102=1),0,IF(Paths!$P$102="Complete",IF(C1053=10,Paths!$I$102,0),"n.a."))</f>
        <v>0</v>
      </c>
      <c r="M1053" s="16">
        <f>IF(NOT(Paths!$C$102=1),0,IF(Paths!$P$102="Complete",IF(AND(Paths!$D$102="EV",Paths!$E$102&lt;120,Paths!$E$102+'Operating costs'!$B$65&gt;Paths!$E$102,Paths!$E$102+'Operating costs'!$B$65&lt;=120,IF(Paths!$E$102+'Operating costs'!$B$65=0,C1053=0,AND(C1053&gt;0,Paths!$E$102+'Operating costs'!$B$65&gt;(C1053-1)*12,Paths!$E$102+'Operating costs'!$B$65&lt;=C1053*12))),'Operating costs'!$B$64,0)+IF(AND('Operating costs'!$B$67&gt;0,'Operating costs'!$B$67&lt;=120,OR(Paths!$D$102="ICE",'Operating costs'!$B$67&lt;=Paths!$E$102),IF('Operating costs'!$B$67=0,C1053=0,AND(C1053&gt;0,'Operating costs'!$B$67&gt;(C1053-1)*12,'Operating costs'!$B$67&lt;=C1053*12))),'Operating costs'!$B$66,0),"n.a."))</f>
        <v>0</v>
      </c>
      <c r="N1053" s="16">
        <f>IF(NOT(Paths!$C$102=1),0,IF(Paths!$P$102="Complete",SUM(G1053:I1053)-J1053-K1053-L1053+M1053+IF(C1053=0,Paths!$F$102,0)+IF(IF(Paths!$E$102=0,C1053=0,AND(C1053&gt;0,Paths!$E$102&gt;(C1053-1)*12,Paths!$E$102&lt;=C1053*12)),VLOOKUP(A1053,'Fleet register'!$A$7:$S$106,16,FALSE),0),"n.a."))</f>
        <v>0</v>
      </c>
      <c r="O1053" s="16">
        <f>IF(NOT(Paths!$C$102=1),0,IF(Paths!$P$102="Complete",N1053-IF(C1053=0,Paths!$F$102,0),"n.a."))</f>
        <v>0</v>
      </c>
      <c r="P1053" s="16">
        <f>IF(NOT(Paths!$C$102=1),0,IF(Paths!$P$102="Complete",O1053+L1053,"n.a."))</f>
        <v>0</v>
      </c>
      <c r="Q1053" s="16">
        <f>IF(NOT(Paths!$C$102=1),0,IF(Paths!$P$102="Complete",N1053*(1+'Operating costs'!$B$54)^-C1053,"n.a."))</f>
        <v>0</v>
      </c>
      <c r="R1053" s="16">
        <f>IF(NOT(Paths!$C$102=1),0,IF(Paths!$P$102="Complete",IF(AND(C1053=0,Paths!$E$102=0),I1053-J1053-K1053+VLOOKUP(A1053,'Fleet register'!$A$7:$S$106,15,FALSE)+VLOOKUP(A1053,'Fleet register'!$A$7:$S$106,16,FALSE),0),"n.a."))</f>
        <v>0</v>
      </c>
      <c r="S1053" s="1">
        <f>IF(NOT(Paths!$C$102=1),0,IF(Paths!$P$102="Complete",IF(C1053=0,0,Paths!$S$102*Paths!$R$102),"n.a."))</f>
        <v>0</v>
      </c>
      <c r="T1053" s="1">
        <f>IF(NOT(Paths!$C$102=1),0,IF(Paths!$P$102="Complete",IF(C1053=0,0,VLOOKUP(A1053,'Fleet register'!$A$7:$S$106,9,FALSE)*Paths!$R$102),"n.a."))</f>
        <v>0</v>
      </c>
    </row>
    <row r="1054" spans="1:20" ht="24" customHeight="1">
      <c r="A1054" s="1" t="str">
        <f>Paths!$A$102</f>
        <v>T024</v>
      </c>
      <c r="B1054" s="1">
        <f>Paths!$B$102</f>
        <v>3</v>
      </c>
      <c r="C1054" s="1">
        <v>2</v>
      </c>
      <c r="D1054" s="1">
        <v>102</v>
      </c>
      <c r="E1054" s="1">
        <f>IF(OR(Paths!$C$102=0,C1054=0),0,MAX(0,MIN(C1054*12,Paths!$E$102)-(C1054-1)*12))</f>
        <v>0</v>
      </c>
      <c r="F1054" s="1">
        <f>IF(OR(Paths!$C$102=0,C1054=0),0,12-E1054)</f>
        <v>0</v>
      </c>
      <c r="G1054" s="16">
        <f>IF(NOT(Paths!$C$102=1),0,IF(Paths!$P$102="Complete",E1054/12*(Paths!$J$102*(1+'Operating costs'!$B$51)^MAX(0,C1054-1)+Paths!$K$102*(1+'Operating costs'!$B$53)^MAX(0,C1054-1)),"n.a."))</f>
        <v>0</v>
      </c>
      <c r="H1054" s="16">
        <f>IF(NOT(Paths!$C$102=1),0,IF(Paths!$P$102="Complete",F1054/12*(Paths!$L$102*(1+IF(Paths!$D$102="EV",'Operating costs'!$B$52,'Operating costs'!$B$51))^MAX(0,C1054-1)+Paths!$M$102*(1+'Operating costs'!$B$53)^MAX(0,C1054-1)),"n.a."))</f>
        <v>0</v>
      </c>
      <c r="I1054" s="16">
        <f>IF(NOT(Paths!$C$102=1),0,IF(Paths!$P$102="Complete",IF(IF(Paths!$E$102=0,C1054=0,AND(C1054&gt;0,Paths!$E$102&gt;(C1054-1)*12,Paths!$E$102&lt;=C1054*12)),Paths!$G$102,0),"n.a."))</f>
        <v>0</v>
      </c>
      <c r="J1054" s="16">
        <f>IF(NOT(Paths!$C$102=1),0,IF(Paths!$P$102="Complete",IF(IF(Paths!$E$102=0,C1054=0,AND(C1054&gt;0,Paths!$E$102&gt;(C1054-1)*12,Paths!$E$102&lt;=C1054*12)),Paths!$H$102,0),"n.a."))</f>
        <v>0</v>
      </c>
      <c r="K1054" s="16">
        <f>IF(NOT(Paths!$C$102=1),0,IF(Paths!$P$102="Complete",IF(IF(Paths!$O$102=0,C1054=0,AND(C1054&gt;0,Paths!$O$102&gt;(C1054-1)*12,Paths!$O$102&lt;=C1054*12)),Paths!$N$102,0),"n.a."))</f>
        <v>0</v>
      </c>
      <c r="L1054" s="16">
        <f>IF(NOT(Paths!$C$102=1),0,IF(Paths!$P$102="Complete",IF(C1054=10,Paths!$I$102,0),"n.a."))</f>
        <v>0</v>
      </c>
      <c r="M1054" s="16">
        <f>IF(NOT(Paths!$C$102=1),0,IF(Paths!$P$102="Complete",IF(AND(Paths!$D$102="EV",Paths!$E$102&lt;120,Paths!$E$102+'Operating costs'!$B$65&gt;Paths!$E$102,Paths!$E$102+'Operating costs'!$B$65&lt;=120,IF(Paths!$E$102+'Operating costs'!$B$65=0,C1054=0,AND(C1054&gt;0,Paths!$E$102+'Operating costs'!$B$65&gt;(C1054-1)*12,Paths!$E$102+'Operating costs'!$B$65&lt;=C1054*12))),'Operating costs'!$B$64,0)+IF(AND('Operating costs'!$B$67&gt;0,'Operating costs'!$B$67&lt;=120,OR(Paths!$D$102="ICE",'Operating costs'!$B$67&lt;=Paths!$E$102),IF('Operating costs'!$B$67=0,C1054=0,AND(C1054&gt;0,'Operating costs'!$B$67&gt;(C1054-1)*12,'Operating costs'!$B$67&lt;=C1054*12))),'Operating costs'!$B$66,0),"n.a."))</f>
        <v>0</v>
      </c>
      <c r="N1054" s="16">
        <f>IF(NOT(Paths!$C$102=1),0,IF(Paths!$P$102="Complete",SUM(G1054:I1054)-J1054-K1054-L1054+M1054+IF(C1054=0,Paths!$F$102,0)+IF(IF(Paths!$E$102=0,C1054=0,AND(C1054&gt;0,Paths!$E$102&gt;(C1054-1)*12,Paths!$E$102&lt;=C1054*12)),VLOOKUP(A1054,'Fleet register'!$A$7:$S$106,16,FALSE),0),"n.a."))</f>
        <v>0</v>
      </c>
      <c r="O1054" s="16">
        <f>IF(NOT(Paths!$C$102=1),0,IF(Paths!$P$102="Complete",N1054-IF(C1054=0,Paths!$F$102,0),"n.a."))</f>
        <v>0</v>
      </c>
      <c r="P1054" s="16">
        <f>IF(NOT(Paths!$C$102=1),0,IF(Paths!$P$102="Complete",O1054+L1054,"n.a."))</f>
        <v>0</v>
      </c>
      <c r="Q1054" s="16">
        <f>IF(NOT(Paths!$C$102=1),0,IF(Paths!$P$102="Complete",N1054*(1+'Operating costs'!$B$54)^-C1054,"n.a."))</f>
        <v>0</v>
      </c>
      <c r="R1054" s="16">
        <f>IF(NOT(Paths!$C$102=1),0,IF(Paths!$P$102="Complete",IF(AND(C1054=0,Paths!$E$102=0),I1054-J1054-K1054+VLOOKUP(A1054,'Fleet register'!$A$7:$S$106,15,FALSE)+VLOOKUP(A1054,'Fleet register'!$A$7:$S$106,16,FALSE),0),"n.a."))</f>
        <v>0</v>
      </c>
      <c r="S1054" s="1">
        <f>IF(NOT(Paths!$C$102=1),0,IF(Paths!$P$102="Complete",IF(C1054=0,0,Paths!$S$102*Paths!$R$102),"n.a."))</f>
        <v>0</v>
      </c>
      <c r="T1054" s="1">
        <f>IF(NOT(Paths!$C$102=1),0,IF(Paths!$P$102="Complete",IF(C1054=0,0,VLOOKUP(A1054,'Fleet register'!$A$7:$S$106,9,FALSE)*Paths!$R$102),"n.a."))</f>
        <v>0</v>
      </c>
    </row>
    <row r="1055" spans="1:20" ht="24" customHeight="1">
      <c r="A1055" s="1" t="str">
        <f>Paths!$A$102</f>
        <v>T024</v>
      </c>
      <c r="B1055" s="1">
        <f>Paths!$B$102</f>
        <v>3</v>
      </c>
      <c r="C1055" s="1">
        <v>3</v>
      </c>
      <c r="D1055" s="1">
        <v>102</v>
      </c>
      <c r="E1055" s="1">
        <f>IF(OR(Paths!$C$102=0,C1055=0),0,MAX(0,MIN(C1055*12,Paths!$E$102)-(C1055-1)*12))</f>
        <v>0</v>
      </c>
      <c r="F1055" s="1">
        <f>IF(OR(Paths!$C$102=0,C1055=0),0,12-E1055)</f>
        <v>0</v>
      </c>
      <c r="G1055" s="16">
        <f>IF(NOT(Paths!$C$102=1),0,IF(Paths!$P$102="Complete",E1055/12*(Paths!$J$102*(1+'Operating costs'!$B$51)^MAX(0,C1055-1)+Paths!$K$102*(1+'Operating costs'!$B$53)^MAX(0,C1055-1)),"n.a."))</f>
        <v>0</v>
      </c>
      <c r="H1055" s="16">
        <f>IF(NOT(Paths!$C$102=1),0,IF(Paths!$P$102="Complete",F1055/12*(Paths!$L$102*(1+IF(Paths!$D$102="EV",'Operating costs'!$B$52,'Operating costs'!$B$51))^MAX(0,C1055-1)+Paths!$M$102*(1+'Operating costs'!$B$53)^MAX(0,C1055-1)),"n.a."))</f>
        <v>0</v>
      </c>
      <c r="I1055" s="16">
        <f>IF(NOT(Paths!$C$102=1),0,IF(Paths!$P$102="Complete",IF(IF(Paths!$E$102=0,C1055=0,AND(C1055&gt;0,Paths!$E$102&gt;(C1055-1)*12,Paths!$E$102&lt;=C1055*12)),Paths!$G$102,0),"n.a."))</f>
        <v>0</v>
      </c>
      <c r="J1055" s="16">
        <f>IF(NOT(Paths!$C$102=1),0,IF(Paths!$P$102="Complete",IF(IF(Paths!$E$102=0,C1055=0,AND(C1055&gt;0,Paths!$E$102&gt;(C1055-1)*12,Paths!$E$102&lt;=C1055*12)),Paths!$H$102,0),"n.a."))</f>
        <v>0</v>
      </c>
      <c r="K1055" s="16">
        <f>IF(NOT(Paths!$C$102=1),0,IF(Paths!$P$102="Complete",IF(IF(Paths!$O$102=0,C1055=0,AND(C1055&gt;0,Paths!$O$102&gt;(C1055-1)*12,Paths!$O$102&lt;=C1055*12)),Paths!$N$102,0),"n.a."))</f>
        <v>0</v>
      </c>
      <c r="L1055" s="16">
        <f>IF(NOT(Paths!$C$102=1),0,IF(Paths!$P$102="Complete",IF(C1055=10,Paths!$I$102,0),"n.a."))</f>
        <v>0</v>
      </c>
      <c r="M1055" s="16">
        <f>IF(NOT(Paths!$C$102=1),0,IF(Paths!$P$102="Complete",IF(AND(Paths!$D$102="EV",Paths!$E$102&lt;120,Paths!$E$102+'Operating costs'!$B$65&gt;Paths!$E$102,Paths!$E$102+'Operating costs'!$B$65&lt;=120,IF(Paths!$E$102+'Operating costs'!$B$65=0,C1055=0,AND(C1055&gt;0,Paths!$E$102+'Operating costs'!$B$65&gt;(C1055-1)*12,Paths!$E$102+'Operating costs'!$B$65&lt;=C1055*12))),'Operating costs'!$B$64,0)+IF(AND('Operating costs'!$B$67&gt;0,'Operating costs'!$B$67&lt;=120,OR(Paths!$D$102="ICE",'Operating costs'!$B$67&lt;=Paths!$E$102),IF('Operating costs'!$B$67=0,C1055=0,AND(C1055&gt;0,'Operating costs'!$B$67&gt;(C1055-1)*12,'Operating costs'!$B$67&lt;=C1055*12))),'Operating costs'!$B$66,0),"n.a."))</f>
        <v>0</v>
      </c>
      <c r="N1055" s="16">
        <f>IF(NOT(Paths!$C$102=1),0,IF(Paths!$P$102="Complete",SUM(G1055:I1055)-J1055-K1055-L1055+M1055+IF(C1055=0,Paths!$F$102,0)+IF(IF(Paths!$E$102=0,C1055=0,AND(C1055&gt;0,Paths!$E$102&gt;(C1055-1)*12,Paths!$E$102&lt;=C1055*12)),VLOOKUP(A1055,'Fleet register'!$A$7:$S$106,16,FALSE),0),"n.a."))</f>
        <v>0</v>
      </c>
      <c r="O1055" s="16">
        <f>IF(NOT(Paths!$C$102=1),0,IF(Paths!$P$102="Complete",N1055-IF(C1055=0,Paths!$F$102,0),"n.a."))</f>
        <v>0</v>
      </c>
      <c r="P1055" s="16">
        <f>IF(NOT(Paths!$C$102=1),0,IF(Paths!$P$102="Complete",O1055+L1055,"n.a."))</f>
        <v>0</v>
      </c>
      <c r="Q1055" s="16">
        <f>IF(NOT(Paths!$C$102=1),0,IF(Paths!$P$102="Complete",N1055*(1+'Operating costs'!$B$54)^-C1055,"n.a."))</f>
        <v>0</v>
      </c>
      <c r="R1055" s="16">
        <f>IF(NOT(Paths!$C$102=1),0,IF(Paths!$P$102="Complete",IF(AND(C1055=0,Paths!$E$102=0),I1055-J1055-K1055+VLOOKUP(A1055,'Fleet register'!$A$7:$S$106,15,FALSE)+VLOOKUP(A1055,'Fleet register'!$A$7:$S$106,16,FALSE),0),"n.a."))</f>
        <v>0</v>
      </c>
      <c r="S1055" s="1">
        <f>IF(NOT(Paths!$C$102=1),0,IF(Paths!$P$102="Complete",IF(C1055=0,0,Paths!$S$102*Paths!$R$102),"n.a."))</f>
        <v>0</v>
      </c>
      <c r="T1055" s="1">
        <f>IF(NOT(Paths!$C$102=1),0,IF(Paths!$P$102="Complete",IF(C1055=0,0,VLOOKUP(A1055,'Fleet register'!$A$7:$S$106,9,FALSE)*Paths!$R$102),"n.a."))</f>
        <v>0</v>
      </c>
    </row>
    <row r="1056" spans="1:20" ht="24" customHeight="1">
      <c r="A1056" s="1" t="str">
        <f>Paths!$A$102</f>
        <v>T024</v>
      </c>
      <c r="B1056" s="1">
        <f>Paths!$B$102</f>
        <v>3</v>
      </c>
      <c r="C1056" s="1">
        <v>4</v>
      </c>
      <c r="D1056" s="1">
        <v>102</v>
      </c>
      <c r="E1056" s="1">
        <f>IF(OR(Paths!$C$102=0,C1056=0),0,MAX(0,MIN(C1056*12,Paths!$E$102)-(C1056-1)*12))</f>
        <v>0</v>
      </c>
      <c r="F1056" s="1">
        <f>IF(OR(Paths!$C$102=0,C1056=0),0,12-E1056)</f>
        <v>0</v>
      </c>
      <c r="G1056" s="16">
        <f>IF(NOT(Paths!$C$102=1),0,IF(Paths!$P$102="Complete",E1056/12*(Paths!$J$102*(1+'Operating costs'!$B$51)^MAX(0,C1056-1)+Paths!$K$102*(1+'Operating costs'!$B$53)^MAX(0,C1056-1)),"n.a."))</f>
        <v>0</v>
      </c>
      <c r="H1056" s="16">
        <f>IF(NOT(Paths!$C$102=1),0,IF(Paths!$P$102="Complete",F1056/12*(Paths!$L$102*(1+IF(Paths!$D$102="EV",'Operating costs'!$B$52,'Operating costs'!$B$51))^MAX(0,C1056-1)+Paths!$M$102*(1+'Operating costs'!$B$53)^MAX(0,C1056-1)),"n.a."))</f>
        <v>0</v>
      </c>
      <c r="I1056" s="16">
        <f>IF(NOT(Paths!$C$102=1),0,IF(Paths!$P$102="Complete",IF(IF(Paths!$E$102=0,C1056=0,AND(C1056&gt;0,Paths!$E$102&gt;(C1056-1)*12,Paths!$E$102&lt;=C1056*12)),Paths!$G$102,0),"n.a."))</f>
        <v>0</v>
      </c>
      <c r="J1056" s="16">
        <f>IF(NOT(Paths!$C$102=1),0,IF(Paths!$P$102="Complete",IF(IF(Paths!$E$102=0,C1056=0,AND(C1056&gt;0,Paths!$E$102&gt;(C1056-1)*12,Paths!$E$102&lt;=C1056*12)),Paths!$H$102,0),"n.a."))</f>
        <v>0</v>
      </c>
      <c r="K1056" s="16">
        <f>IF(NOT(Paths!$C$102=1),0,IF(Paths!$P$102="Complete",IF(IF(Paths!$O$102=0,C1056=0,AND(C1056&gt;0,Paths!$O$102&gt;(C1056-1)*12,Paths!$O$102&lt;=C1056*12)),Paths!$N$102,0),"n.a."))</f>
        <v>0</v>
      </c>
      <c r="L1056" s="16">
        <f>IF(NOT(Paths!$C$102=1),0,IF(Paths!$P$102="Complete",IF(C1056=10,Paths!$I$102,0),"n.a."))</f>
        <v>0</v>
      </c>
      <c r="M1056" s="16">
        <f>IF(NOT(Paths!$C$102=1),0,IF(Paths!$P$102="Complete",IF(AND(Paths!$D$102="EV",Paths!$E$102&lt;120,Paths!$E$102+'Operating costs'!$B$65&gt;Paths!$E$102,Paths!$E$102+'Operating costs'!$B$65&lt;=120,IF(Paths!$E$102+'Operating costs'!$B$65=0,C1056=0,AND(C1056&gt;0,Paths!$E$102+'Operating costs'!$B$65&gt;(C1056-1)*12,Paths!$E$102+'Operating costs'!$B$65&lt;=C1056*12))),'Operating costs'!$B$64,0)+IF(AND('Operating costs'!$B$67&gt;0,'Operating costs'!$B$67&lt;=120,OR(Paths!$D$102="ICE",'Operating costs'!$B$67&lt;=Paths!$E$102),IF('Operating costs'!$B$67=0,C1056=0,AND(C1056&gt;0,'Operating costs'!$B$67&gt;(C1056-1)*12,'Operating costs'!$B$67&lt;=C1056*12))),'Operating costs'!$B$66,0),"n.a."))</f>
        <v>0</v>
      </c>
      <c r="N1056" s="16">
        <f>IF(NOT(Paths!$C$102=1),0,IF(Paths!$P$102="Complete",SUM(G1056:I1056)-J1056-K1056-L1056+M1056+IF(C1056=0,Paths!$F$102,0)+IF(IF(Paths!$E$102=0,C1056=0,AND(C1056&gt;0,Paths!$E$102&gt;(C1056-1)*12,Paths!$E$102&lt;=C1056*12)),VLOOKUP(A1056,'Fleet register'!$A$7:$S$106,16,FALSE),0),"n.a."))</f>
        <v>0</v>
      </c>
      <c r="O1056" s="16">
        <f>IF(NOT(Paths!$C$102=1),0,IF(Paths!$P$102="Complete",N1056-IF(C1056=0,Paths!$F$102,0),"n.a."))</f>
        <v>0</v>
      </c>
      <c r="P1056" s="16">
        <f>IF(NOT(Paths!$C$102=1),0,IF(Paths!$P$102="Complete",O1056+L1056,"n.a."))</f>
        <v>0</v>
      </c>
      <c r="Q1056" s="16">
        <f>IF(NOT(Paths!$C$102=1),0,IF(Paths!$P$102="Complete",N1056*(1+'Operating costs'!$B$54)^-C1056,"n.a."))</f>
        <v>0</v>
      </c>
      <c r="R1056" s="16">
        <f>IF(NOT(Paths!$C$102=1),0,IF(Paths!$P$102="Complete",IF(AND(C1056=0,Paths!$E$102=0),I1056-J1056-K1056+VLOOKUP(A1056,'Fleet register'!$A$7:$S$106,15,FALSE)+VLOOKUP(A1056,'Fleet register'!$A$7:$S$106,16,FALSE),0),"n.a."))</f>
        <v>0</v>
      </c>
      <c r="S1056" s="1">
        <f>IF(NOT(Paths!$C$102=1),0,IF(Paths!$P$102="Complete",IF(C1056=0,0,Paths!$S$102*Paths!$R$102),"n.a."))</f>
        <v>0</v>
      </c>
      <c r="T1056" s="1">
        <f>IF(NOT(Paths!$C$102=1),0,IF(Paths!$P$102="Complete",IF(C1056=0,0,VLOOKUP(A1056,'Fleet register'!$A$7:$S$106,9,FALSE)*Paths!$R$102),"n.a."))</f>
        <v>0</v>
      </c>
    </row>
    <row r="1057" spans="1:20" ht="24" customHeight="1">
      <c r="A1057" s="1" t="str">
        <f>Paths!$A$102</f>
        <v>T024</v>
      </c>
      <c r="B1057" s="1">
        <f>Paths!$B$102</f>
        <v>3</v>
      </c>
      <c r="C1057" s="1">
        <v>5</v>
      </c>
      <c r="D1057" s="1">
        <v>102</v>
      </c>
      <c r="E1057" s="1">
        <f>IF(OR(Paths!$C$102=0,C1057=0),0,MAX(0,MIN(C1057*12,Paths!$E$102)-(C1057-1)*12))</f>
        <v>0</v>
      </c>
      <c r="F1057" s="1">
        <f>IF(OR(Paths!$C$102=0,C1057=0),0,12-E1057)</f>
        <v>0</v>
      </c>
      <c r="G1057" s="16">
        <f>IF(NOT(Paths!$C$102=1),0,IF(Paths!$P$102="Complete",E1057/12*(Paths!$J$102*(1+'Operating costs'!$B$51)^MAX(0,C1057-1)+Paths!$K$102*(1+'Operating costs'!$B$53)^MAX(0,C1057-1)),"n.a."))</f>
        <v>0</v>
      </c>
      <c r="H1057" s="16">
        <f>IF(NOT(Paths!$C$102=1),0,IF(Paths!$P$102="Complete",F1057/12*(Paths!$L$102*(1+IF(Paths!$D$102="EV",'Operating costs'!$B$52,'Operating costs'!$B$51))^MAX(0,C1057-1)+Paths!$M$102*(1+'Operating costs'!$B$53)^MAX(0,C1057-1)),"n.a."))</f>
        <v>0</v>
      </c>
      <c r="I1057" s="16">
        <f>IF(NOT(Paths!$C$102=1),0,IF(Paths!$P$102="Complete",IF(IF(Paths!$E$102=0,C1057=0,AND(C1057&gt;0,Paths!$E$102&gt;(C1057-1)*12,Paths!$E$102&lt;=C1057*12)),Paths!$G$102,0),"n.a."))</f>
        <v>0</v>
      </c>
      <c r="J1057" s="16">
        <f>IF(NOT(Paths!$C$102=1),0,IF(Paths!$P$102="Complete",IF(IF(Paths!$E$102=0,C1057=0,AND(C1057&gt;0,Paths!$E$102&gt;(C1057-1)*12,Paths!$E$102&lt;=C1057*12)),Paths!$H$102,0),"n.a."))</f>
        <v>0</v>
      </c>
      <c r="K1057" s="16">
        <f>IF(NOT(Paths!$C$102=1),0,IF(Paths!$P$102="Complete",IF(IF(Paths!$O$102=0,C1057=0,AND(C1057&gt;0,Paths!$O$102&gt;(C1057-1)*12,Paths!$O$102&lt;=C1057*12)),Paths!$N$102,0),"n.a."))</f>
        <v>0</v>
      </c>
      <c r="L1057" s="16">
        <f>IF(NOT(Paths!$C$102=1),0,IF(Paths!$P$102="Complete",IF(C1057=10,Paths!$I$102,0),"n.a."))</f>
        <v>0</v>
      </c>
      <c r="M1057" s="16">
        <f>IF(NOT(Paths!$C$102=1),0,IF(Paths!$P$102="Complete",IF(AND(Paths!$D$102="EV",Paths!$E$102&lt;120,Paths!$E$102+'Operating costs'!$B$65&gt;Paths!$E$102,Paths!$E$102+'Operating costs'!$B$65&lt;=120,IF(Paths!$E$102+'Operating costs'!$B$65=0,C1057=0,AND(C1057&gt;0,Paths!$E$102+'Operating costs'!$B$65&gt;(C1057-1)*12,Paths!$E$102+'Operating costs'!$B$65&lt;=C1057*12))),'Operating costs'!$B$64,0)+IF(AND('Operating costs'!$B$67&gt;0,'Operating costs'!$B$67&lt;=120,OR(Paths!$D$102="ICE",'Operating costs'!$B$67&lt;=Paths!$E$102),IF('Operating costs'!$B$67=0,C1057=0,AND(C1057&gt;0,'Operating costs'!$B$67&gt;(C1057-1)*12,'Operating costs'!$B$67&lt;=C1057*12))),'Operating costs'!$B$66,0),"n.a."))</f>
        <v>0</v>
      </c>
      <c r="N1057" s="16">
        <f>IF(NOT(Paths!$C$102=1),0,IF(Paths!$P$102="Complete",SUM(G1057:I1057)-J1057-K1057-L1057+M1057+IF(C1057=0,Paths!$F$102,0)+IF(IF(Paths!$E$102=0,C1057=0,AND(C1057&gt;0,Paths!$E$102&gt;(C1057-1)*12,Paths!$E$102&lt;=C1057*12)),VLOOKUP(A1057,'Fleet register'!$A$7:$S$106,16,FALSE),0),"n.a."))</f>
        <v>0</v>
      </c>
      <c r="O1057" s="16">
        <f>IF(NOT(Paths!$C$102=1),0,IF(Paths!$P$102="Complete",N1057-IF(C1057=0,Paths!$F$102,0),"n.a."))</f>
        <v>0</v>
      </c>
      <c r="P1057" s="16">
        <f>IF(NOT(Paths!$C$102=1),0,IF(Paths!$P$102="Complete",O1057+L1057,"n.a."))</f>
        <v>0</v>
      </c>
      <c r="Q1057" s="16">
        <f>IF(NOT(Paths!$C$102=1),0,IF(Paths!$P$102="Complete",N1057*(1+'Operating costs'!$B$54)^-C1057,"n.a."))</f>
        <v>0</v>
      </c>
      <c r="R1057" s="16">
        <f>IF(NOT(Paths!$C$102=1),0,IF(Paths!$P$102="Complete",IF(AND(C1057=0,Paths!$E$102=0),I1057-J1057-K1057+VLOOKUP(A1057,'Fleet register'!$A$7:$S$106,15,FALSE)+VLOOKUP(A1057,'Fleet register'!$A$7:$S$106,16,FALSE),0),"n.a."))</f>
        <v>0</v>
      </c>
      <c r="S1057" s="1">
        <f>IF(NOT(Paths!$C$102=1),0,IF(Paths!$P$102="Complete",IF(C1057=0,0,Paths!$S$102*Paths!$R$102),"n.a."))</f>
        <v>0</v>
      </c>
      <c r="T1057" s="1">
        <f>IF(NOT(Paths!$C$102=1),0,IF(Paths!$P$102="Complete",IF(C1057=0,0,VLOOKUP(A1057,'Fleet register'!$A$7:$S$106,9,FALSE)*Paths!$R$102),"n.a."))</f>
        <v>0</v>
      </c>
    </row>
    <row r="1058" spans="1:20" ht="24" customHeight="1">
      <c r="A1058" s="1" t="str">
        <f>Paths!$A$102</f>
        <v>T024</v>
      </c>
      <c r="B1058" s="1">
        <f>Paths!$B$102</f>
        <v>3</v>
      </c>
      <c r="C1058" s="1">
        <v>6</v>
      </c>
      <c r="D1058" s="1">
        <v>102</v>
      </c>
      <c r="E1058" s="1">
        <f>IF(OR(Paths!$C$102=0,C1058=0),0,MAX(0,MIN(C1058*12,Paths!$E$102)-(C1058-1)*12))</f>
        <v>0</v>
      </c>
      <c r="F1058" s="1">
        <f>IF(OR(Paths!$C$102=0,C1058=0),0,12-E1058)</f>
        <v>0</v>
      </c>
      <c r="G1058" s="16">
        <f>IF(NOT(Paths!$C$102=1),0,IF(Paths!$P$102="Complete",E1058/12*(Paths!$J$102*(1+'Operating costs'!$B$51)^MAX(0,C1058-1)+Paths!$K$102*(1+'Operating costs'!$B$53)^MAX(0,C1058-1)),"n.a."))</f>
        <v>0</v>
      </c>
      <c r="H1058" s="16">
        <f>IF(NOT(Paths!$C$102=1),0,IF(Paths!$P$102="Complete",F1058/12*(Paths!$L$102*(1+IF(Paths!$D$102="EV",'Operating costs'!$B$52,'Operating costs'!$B$51))^MAX(0,C1058-1)+Paths!$M$102*(1+'Operating costs'!$B$53)^MAX(0,C1058-1)),"n.a."))</f>
        <v>0</v>
      </c>
      <c r="I1058" s="16">
        <f>IF(NOT(Paths!$C$102=1),0,IF(Paths!$P$102="Complete",IF(IF(Paths!$E$102=0,C1058=0,AND(C1058&gt;0,Paths!$E$102&gt;(C1058-1)*12,Paths!$E$102&lt;=C1058*12)),Paths!$G$102,0),"n.a."))</f>
        <v>0</v>
      </c>
      <c r="J1058" s="16">
        <f>IF(NOT(Paths!$C$102=1),0,IF(Paths!$P$102="Complete",IF(IF(Paths!$E$102=0,C1058=0,AND(C1058&gt;0,Paths!$E$102&gt;(C1058-1)*12,Paths!$E$102&lt;=C1058*12)),Paths!$H$102,0),"n.a."))</f>
        <v>0</v>
      </c>
      <c r="K1058" s="16">
        <f>IF(NOT(Paths!$C$102=1),0,IF(Paths!$P$102="Complete",IF(IF(Paths!$O$102=0,C1058=0,AND(C1058&gt;0,Paths!$O$102&gt;(C1058-1)*12,Paths!$O$102&lt;=C1058*12)),Paths!$N$102,0),"n.a."))</f>
        <v>0</v>
      </c>
      <c r="L1058" s="16">
        <f>IF(NOT(Paths!$C$102=1),0,IF(Paths!$P$102="Complete",IF(C1058=10,Paths!$I$102,0),"n.a."))</f>
        <v>0</v>
      </c>
      <c r="M1058" s="16">
        <f>IF(NOT(Paths!$C$102=1),0,IF(Paths!$P$102="Complete",IF(AND(Paths!$D$102="EV",Paths!$E$102&lt;120,Paths!$E$102+'Operating costs'!$B$65&gt;Paths!$E$102,Paths!$E$102+'Operating costs'!$B$65&lt;=120,IF(Paths!$E$102+'Operating costs'!$B$65=0,C1058=0,AND(C1058&gt;0,Paths!$E$102+'Operating costs'!$B$65&gt;(C1058-1)*12,Paths!$E$102+'Operating costs'!$B$65&lt;=C1058*12))),'Operating costs'!$B$64,0)+IF(AND('Operating costs'!$B$67&gt;0,'Operating costs'!$B$67&lt;=120,OR(Paths!$D$102="ICE",'Operating costs'!$B$67&lt;=Paths!$E$102),IF('Operating costs'!$B$67=0,C1058=0,AND(C1058&gt;0,'Operating costs'!$B$67&gt;(C1058-1)*12,'Operating costs'!$B$67&lt;=C1058*12))),'Operating costs'!$B$66,0),"n.a."))</f>
        <v>0</v>
      </c>
      <c r="N1058" s="16">
        <f>IF(NOT(Paths!$C$102=1),0,IF(Paths!$P$102="Complete",SUM(G1058:I1058)-J1058-K1058-L1058+M1058+IF(C1058=0,Paths!$F$102,0)+IF(IF(Paths!$E$102=0,C1058=0,AND(C1058&gt;0,Paths!$E$102&gt;(C1058-1)*12,Paths!$E$102&lt;=C1058*12)),VLOOKUP(A1058,'Fleet register'!$A$7:$S$106,16,FALSE),0),"n.a."))</f>
        <v>0</v>
      </c>
      <c r="O1058" s="16">
        <f>IF(NOT(Paths!$C$102=1),0,IF(Paths!$P$102="Complete",N1058-IF(C1058=0,Paths!$F$102,0),"n.a."))</f>
        <v>0</v>
      </c>
      <c r="P1058" s="16">
        <f>IF(NOT(Paths!$C$102=1),0,IF(Paths!$P$102="Complete",O1058+L1058,"n.a."))</f>
        <v>0</v>
      </c>
      <c r="Q1058" s="16">
        <f>IF(NOT(Paths!$C$102=1),0,IF(Paths!$P$102="Complete",N1058*(1+'Operating costs'!$B$54)^-C1058,"n.a."))</f>
        <v>0</v>
      </c>
      <c r="R1058" s="16">
        <f>IF(NOT(Paths!$C$102=1),0,IF(Paths!$P$102="Complete",IF(AND(C1058=0,Paths!$E$102=0),I1058-J1058-K1058+VLOOKUP(A1058,'Fleet register'!$A$7:$S$106,15,FALSE)+VLOOKUP(A1058,'Fleet register'!$A$7:$S$106,16,FALSE),0),"n.a."))</f>
        <v>0</v>
      </c>
      <c r="S1058" s="1">
        <f>IF(NOT(Paths!$C$102=1),0,IF(Paths!$P$102="Complete",IF(C1058=0,0,Paths!$S$102*Paths!$R$102),"n.a."))</f>
        <v>0</v>
      </c>
      <c r="T1058" s="1">
        <f>IF(NOT(Paths!$C$102=1),0,IF(Paths!$P$102="Complete",IF(C1058=0,0,VLOOKUP(A1058,'Fleet register'!$A$7:$S$106,9,FALSE)*Paths!$R$102),"n.a."))</f>
        <v>0</v>
      </c>
    </row>
    <row r="1059" spans="1:20" ht="24" customHeight="1">
      <c r="A1059" s="1" t="str">
        <f>Paths!$A$102</f>
        <v>T024</v>
      </c>
      <c r="B1059" s="1">
        <f>Paths!$B$102</f>
        <v>3</v>
      </c>
      <c r="C1059" s="1">
        <v>7</v>
      </c>
      <c r="D1059" s="1">
        <v>102</v>
      </c>
      <c r="E1059" s="1">
        <f>IF(OR(Paths!$C$102=0,C1059=0),0,MAX(0,MIN(C1059*12,Paths!$E$102)-(C1059-1)*12))</f>
        <v>0</v>
      </c>
      <c r="F1059" s="1">
        <f>IF(OR(Paths!$C$102=0,C1059=0),0,12-E1059)</f>
        <v>0</v>
      </c>
      <c r="G1059" s="16">
        <f>IF(NOT(Paths!$C$102=1),0,IF(Paths!$P$102="Complete",E1059/12*(Paths!$J$102*(1+'Operating costs'!$B$51)^MAX(0,C1059-1)+Paths!$K$102*(1+'Operating costs'!$B$53)^MAX(0,C1059-1)),"n.a."))</f>
        <v>0</v>
      </c>
      <c r="H1059" s="16">
        <f>IF(NOT(Paths!$C$102=1),0,IF(Paths!$P$102="Complete",F1059/12*(Paths!$L$102*(1+IF(Paths!$D$102="EV",'Operating costs'!$B$52,'Operating costs'!$B$51))^MAX(0,C1059-1)+Paths!$M$102*(1+'Operating costs'!$B$53)^MAX(0,C1059-1)),"n.a."))</f>
        <v>0</v>
      </c>
      <c r="I1059" s="16">
        <f>IF(NOT(Paths!$C$102=1),0,IF(Paths!$P$102="Complete",IF(IF(Paths!$E$102=0,C1059=0,AND(C1059&gt;0,Paths!$E$102&gt;(C1059-1)*12,Paths!$E$102&lt;=C1059*12)),Paths!$G$102,0),"n.a."))</f>
        <v>0</v>
      </c>
      <c r="J1059" s="16">
        <f>IF(NOT(Paths!$C$102=1),0,IF(Paths!$P$102="Complete",IF(IF(Paths!$E$102=0,C1059=0,AND(C1059&gt;0,Paths!$E$102&gt;(C1059-1)*12,Paths!$E$102&lt;=C1059*12)),Paths!$H$102,0),"n.a."))</f>
        <v>0</v>
      </c>
      <c r="K1059" s="16">
        <f>IF(NOT(Paths!$C$102=1),0,IF(Paths!$P$102="Complete",IF(IF(Paths!$O$102=0,C1059=0,AND(C1059&gt;0,Paths!$O$102&gt;(C1059-1)*12,Paths!$O$102&lt;=C1059*12)),Paths!$N$102,0),"n.a."))</f>
        <v>0</v>
      </c>
      <c r="L1059" s="16">
        <f>IF(NOT(Paths!$C$102=1),0,IF(Paths!$P$102="Complete",IF(C1059=10,Paths!$I$102,0),"n.a."))</f>
        <v>0</v>
      </c>
      <c r="M1059" s="16">
        <f>IF(NOT(Paths!$C$102=1),0,IF(Paths!$P$102="Complete",IF(AND(Paths!$D$102="EV",Paths!$E$102&lt;120,Paths!$E$102+'Operating costs'!$B$65&gt;Paths!$E$102,Paths!$E$102+'Operating costs'!$B$65&lt;=120,IF(Paths!$E$102+'Operating costs'!$B$65=0,C1059=0,AND(C1059&gt;0,Paths!$E$102+'Operating costs'!$B$65&gt;(C1059-1)*12,Paths!$E$102+'Operating costs'!$B$65&lt;=C1059*12))),'Operating costs'!$B$64,0)+IF(AND('Operating costs'!$B$67&gt;0,'Operating costs'!$B$67&lt;=120,OR(Paths!$D$102="ICE",'Operating costs'!$B$67&lt;=Paths!$E$102),IF('Operating costs'!$B$67=0,C1059=0,AND(C1059&gt;0,'Operating costs'!$B$67&gt;(C1059-1)*12,'Operating costs'!$B$67&lt;=C1059*12))),'Operating costs'!$B$66,0),"n.a."))</f>
        <v>0</v>
      </c>
      <c r="N1059" s="16">
        <f>IF(NOT(Paths!$C$102=1),0,IF(Paths!$P$102="Complete",SUM(G1059:I1059)-J1059-K1059-L1059+M1059+IF(C1059=0,Paths!$F$102,0)+IF(IF(Paths!$E$102=0,C1059=0,AND(C1059&gt;0,Paths!$E$102&gt;(C1059-1)*12,Paths!$E$102&lt;=C1059*12)),VLOOKUP(A1059,'Fleet register'!$A$7:$S$106,16,FALSE),0),"n.a."))</f>
        <v>0</v>
      </c>
      <c r="O1059" s="16">
        <f>IF(NOT(Paths!$C$102=1),0,IF(Paths!$P$102="Complete",N1059-IF(C1059=0,Paths!$F$102,0),"n.a."))</f>
        <v>0</v>
      </c>
      <c r="P1059" s="16">
        <f>IF(NOT(Paths!$C$102=1),0,IF(Paths!$P$102="Complete",O1059+L1059,"n.a."))</f>
        <v>0</v>
      </c>
      <c r="Q1059" s="16">
        <f>IF(NOT(Paths!$C$102=1),0,IF(Paths!$P$102="Complete",N1059*(1+'Operating costs'!$B$54)^-C1059,"n.a."))</f>
        <v>0</v>
      </c>
      <c r="R1059" s="16">
        <f>IF(NOT(Paths!$C$102=1),0,IF(Paths!$P$102="Complete",IF(AND(C1059=0,Paths!$E$102=0),I1059-J1059-K1059+VLOOKUP(A1059,'Fleet register'!$A$7:$S$106,15,FALSE)+VLOOKUP(A1059,'Fleet register'!$A$7:$S$106,16,FALSE),0),"n.a."))</f>
        <v>0</v>
      </c>
      <c r="S1059" s="1">
        <f>IF(NOT(Paths!$C$102=1),0,IF(Paths!$P$102="Complete",IF(C1059=0,0,Paths!$S$102*Paths!$R$102),"n.a."))</f>
        <v>0</v>
      </c>
      <c r="T1059" s="1">
        <f>IF(NOT(Paths!$C$102=1),0,IF(Paths!$P$102="Complete",IF(C1059=0,0,VLOOKUP(A1059,'Fleet register'!$A$7:$S$106,9,FALSE)*Paths!$R$102),"n.a."))</f>
        <v>0</v>
      </c>
    </row>
    <row r="1060" spans="1:20" ht="24" customHeight="1">
      <c r="A1060" s="1" t="str">
        <f>Paths!$A$102</f>
        <v>T024</v>
      </c>
      <c r="B1060" s="1">
        <f>Paths!$B$102</f>
        <v>3</v>
      </c>
      <c r="C1060" s="1">
        <v>8</v>
      </c>
      <c r="D1060" s="1">
        <v>102</v>
      </c>
      <c r="E1060" s="1">
        <f>IF(OR(Paths!$C$102=0,C1060=0),0,MAX(0,MIN(C1060*12,Paths!$E$102)-(C1060-1)*12))</f>
        <v>0</v>
      </c>
      <c r="F1060" s="1">
        <f>IF(OR(Paths!$C$102=0,C1060=0),0,12-E1060)</f>
        <v>0</v>
      </c>
      <c r="G1060" s="16">
        <f>IF(NOT(Paths!$C$102=1),0,IF(Paths!$P$102="Complete",E1060/12*(Paths!$J$102*(1+'Operating costs'!$B$51)^MAX(0,C1060-1)+Paths!$K$102*(1+'Operating costs'!$B$53)^MAX(0,C1060-1)),"n.a."))</f>
        <v>0</v>
      </c>
      <c r="H1060" s="16">
        <f>IF(NOT(Paths!$C$102=1),0,IF(Paths!$P$102="Complete",F1060/12*(Paths!$L$102*(1+IF(Paths!$D$102="EV",'Operating costs'!$B$52,'Operating costs'!$B$51))^MAX(0,C1060-1)+Paths!$M$102*(1+'Operating costs'!$B$53)^MAX(0,C1060-1)),"n.a."))</f>
        <v>0</v>
      </c>
      <c r="I1060" s="16">
        <f>IF(NOT(Paths!$C$102=1),0,IF(Paths!$P$102="Complete",IF(IF(Paths!$E$102=0,C1060=0,AND(C1060&gt;0,Paths!$E$102&gt;(C1060-1)*12,Paths!$E$102&lt;=C1060*12)),Paths!$G$102,0),"n.a."))</f>
        <v>0</v>
      </c>
      <c r="J1060" s="16">
        <f>IF(NOT(Paths!$C$102=1),0,IF(Paths!$P$102="Complete",IF(IF(Paths!$E$102=0,C1060=0,AND(C1060&gt;0,Paths!$E$102&gt;(C1060-1)*12,Paths!$E$102&lt;=C1060*12)),Paths!$H$102,0),"n.a."))</f>
        <v>0</v>
      </c>
      <c r="K1060" s="16">
        <f>IF(NOT(Paths!$C$102=1),0,IF(Paths!$P$102="Complete",IF(IF(Paths!$O$102=0,C1060=0,AND(C1060&gt;0,Paths!$O$102&gt;(C1060-1)*12,Paths!$O$102&lt;=C1060*12)),Paths!$N$102,0),"n.a."))</f>
        <v>0</v>
      </c>
      <c r="L1060" s="16">
        <f>IF(NOT(Paths!$C$102=1),0,IF(Paths!$P$102="Complete",IF(C1060=10,Paths!$I$102,0),"n.a."))</f>
        <v>0</v>
      </c>
      <c r="M1060" s="16">
        <f>IF(NOT(Paths!$C$102=1),0,IF(Paths!$P$102="Complete",IF(AND(Paths!$D$102="EV",Paths!$E$102&lt;120,Paths!$E$102+'Operating costs'!$B$65&gt;Paths!$E$102,Paths!$E$102+'Operating costs'!$B$65&lt;=120,IF(Paths!$E$102+'Operating costs'!$B$65=0,C1060=0,AND(C1060&gt;0,Paths!$E$102+'Operating costs'!$B$65&gt;(C1060-1)*12,Paths!$E$102+'Operating costs'!$B$65&lt;=C1060*12))),'Operating costs'!$B$64,0)+IF(AND('Operating costs'!$B$67&gt;0,'Operating costs'!$B$67&lt;=120,OR(Paths!$D$102="ICE",'Operating costs'!$B$67&lt;=Paths!$E$102),IF('Operating costs'!$B$67=0,C1060=0,AND(C1060&gt;0,'Operating costs'!$B$67&gt;(C1060-1)*12,'Operating costs'!$B$67&lt;=C1060*12))),'Operating costs'!$B$66,0),"n.a."))</f>
        <v>0</v>
      </c>
      <c r="N1060" s="16">
        <f>IF(NOT(Paths!$C$102=1),0,IF(Paths!$P$102="Complete",SUM(G1060:I1060)-J1060-K1060-L1060+M1060+IF(C1060=0,Paths!$F$102,0)+IF(IF(Paths!$E$102=0,C1060=0,AND(C1060&gt;0,Paths!$E$102&gt;(C1060-1)*12,Paths!$E$102&lt;=C1060*12)),VLOOKUP(A1060,'Fleet register'!$A$7:$S$106,16,FALSE),0),"n.a."))</f>
        <v>0</v>
      </c>
      <c r="O1060" s="16">
        <f>IF(NOT(Paths!$C$102=1),0,IF(Paths!$P$102="Complete",N1060-IF(C1060=0,Paths!$F$102,0),"n.a."))</f>
        <v>0</v>
      </c>
      <c r="P1060" s="16">
        <f>IF(NOT(Paths!$C$102=1),0,IF(Paths!$P$102="Complete",O1060+L1060,"n.a."))</f>
        <v>0</v>
      </c>
      <c r="Q1060" s="16">
        <f>IF(NOT(Paths!$C$102=1),0,IF(Paths!$P$102="Complete",N1060*(1+'Operating costs'!$B$54)^-C1060,"n.a."))</f>
        <v>0</v>
      </c>
      <c r="R1060" s="16">
        <f>IF(NOT(Paths!$C$102=1),0,IF(Paths!$P$102="Complete",IF(AND(C1060=0,Paths!$E$102=0),I1060-J1060-K1060+VLOOKUP(A1060,'Fleet register'!$A$7:$S$106,15,FALSE)+VLOOKUP(A1060,'Fleet register'!$A$7:$S$106,16,FALSE),0),"n.a."))</f>
        <v>0</v>
      </c>
      <c r="S1060" s="1">
        <f>IF(NOT(Paths!$C$102=1),0,IF(Paths!$P$102="Complete",IF(C1060=0,0,Paths!$S$102*Paths!$R$102),"n.a."))</f>
        <v>0</v>
      </c>
      <c r="T1060" s="1">
        <f>IF(NOT(Paths!$C$102=1),0,IF(Paths!$P$102="Complete",IF(C1060=0,0,VLOOKUP(A1060,'Fleet register'!$A$7:$S$106,9,FALSE)*Paths!$R$102),"n.a."))</f>
        <v>0</v>
      </c>
    </row>
    <row r="1061" spans="1:20" ht="24" customHeight="1">
      <c r="A1061" s="1" t="str">
        <f>Paths!$A$102</f>
        <v>T024</v>
      </c>
      <c r="B1061" s="1">
        <f>Paths!$B$102</f>
        <v>3</v>
      </c>
      <c r="C1061" s="1">
        <v>9</v>
      </c>
      <c r="D1061" s="1">
        <v>102</v>
      </c>
      <c r="E1061" s="1">
        <f>IF(OR(Paths!$C$102=0,C1061=0),0,MAX(0,MIN(C1061*12,Paths!$E$102)-(C1061-1)*12))</f>
        <v>0</v>
      </c>
      <c r="F1061" s="1">
        <f>IF(OR(Paths!$C$102=0,C1061=0),0,12-E1061)</f>
        <v>0</v>
      </c>
      <c r="G1061" s="16">
        <f>IF(NOT(Paths!$C$102=1),0,IF(Paths!$P$102="Complete",E1061/12*(Paths!$J$102*(1+'Operating costs'!$B$51)^MAX(0,C1061-1)+Paths!$K$102*(1+'Operating costs'!$B$53)^MAX(0,C1061-1)),"n.a."))</f>
        <v>0</v>
      </c>
      <c r="H1061" s="16">
        <f>IF(NOT(Paths!$C$102=1),0,IF(Paths!$P$102="Complete",F1061/12*(Paths!$L$102*(1+IF(Paths!$D$102="EV",'Operating costs'!$B$52,'Operating costs'!$B$51))^MAX(0,C1061-1)+Paths!$M$102*(1+'Operating costs'!$B$53)^MAX(0,C1061-1)),"n.a."))</f>
        <v>0</v>
      </c>
      <c r="I1061" s="16">
        <f>IF(NOT(Paths!$C$102=1),0,IF(Paths!$P$102="Complete",IF(IF(Paths!$E$102=0,C1061=0,AND(C1061&gt;0,Paths!$E$102&gt;(C1061-1)*12,Paths!$E$102&lt;=C1061*12)),Paths!$G$102,0),"n.a."))</f>
        <v>0</v>
      </c>
      <c r="J1061" s="16">
        <f>IF(NOT(Paths!$C$102=1),0,IF(Paths!$P$102="Complete",IF(IF(Paths!$E$102=0,C1061=0,AND(C1061&gt;0,Paths!$E$102&gt;(C1061-1)*12,Paths!$E$102&lt;=C1061*12)),Paths!$H$102,0),"n.a."))</f>
        <v>0</v>
      </c>
      <c r="K1061" s="16">
        <f>IF(NOT(Paths!$C$102=1),0,IF(Paths!$P$102="Complete",IF(IF(Paths!$O$102=0,C1061=0,AND(C1061&gt;0,Paths!$O$102&gt;(C1061-1)*12,Paths!$O$102&lt;=C1061*12)),Paths!$N$102,0),"n.a."))</f>
        <v>0</v>
      </c>
      <c r="L1061" s="16">
        <f>IF(NOT(Paths!$C$102=1),0,IF(Paths!$P$102="Complete",IF(C1061=10,Paths!$I$102,0),"n.a."))</f>
        <v>0</v>
      </c>
      <c r="M1061" s="16">
        <f>IF(NOT(Paths!$C$102=1),0,IF(Paths!$P$102="Complete",IF(AND(Paths!$D$102="EV",Paths!$E$102&lt;120,Paths!$E$102+'Operating costs'!$B$65&gt;Paths!$E$102,Paths!$E$102+'Operating costs'!$B$65&lt;=120,IF(Paths!$E$102+'Operating costs'!$B$65=0,C1061=0,AND(C1061&gt;0,Paths!$E$102+'Operating costs'!$B$65&gt;(C1061-1)*12,Paths!$E$102+'Operating costs'!$B$65&lt;=C1061*12))),'Operating costs'!$B$64,0)+IF(AND('Operating costs'!$B$67&gt;0,'Operating costs'!$B$67&lt;=120,OR(Paths!$D$102="ICE",'Operating costs'!$B$67&lt;=Paths!$E$102),IF('Operating costs'!$B$67=0,C1061=0,AND(C1061&gt;0,'Operating costs'!$B$67&gt;(C1061-1)*12,'Operating costs'!$B$67&lt;=C1061*12))),'Operating costs'!$B$66,0),"n.a."))</f>
        <v>0</v>
      </c>
      <c r="N1061" s="16">
        <f>IF(NOT(Paths!$C$102=1),0,IF(Paths!$P$102="Complete",SUM(G1061:I1061)-J1061-K1061-L1061+M1061+IF(C1061=0,Paths!$F$102,0)+IF(IF(Paths!$E$102=0,C1061=0,AND(C1061&gt;0,Paths!$E$102&gt;(C1061-1)*12,Paths!$E$102&lt;=C1061*12)),VLOOKUP(A1061,'Fleet register'!$A$7:$S$106,16,FALSE),0),"n.a."))</f>
        <v>0</v>
      </c>
      <c r="O1061" s="16">
        <f>IF(NOT(Paths!$C$102=1),0,IF(Paths!$P$102="Complete",N1061-IF(C1061=0,Paths!$F$102,0),"n.a."))</f>
        <v>0</v>
      </c>
      <c r="P1061" s="16">
        <f>IF(NOT(Paths!$C$102=1),0,IF(Paths!$P$102="Complete",O1061+L1061,"n.a."))</f>
        <v>0</v>
      </c>
      <c r="Q1061" s="16">
        <f>IF(NOT(Paths!$C$102=1),0,IF(Paths!$P$102="Complete",N1061*(1+'Operating costs'!$B$54)^-C1061,"n.a."))</f>
        <v>0</v>
      </c>
      <c r="R1061" s="16">
        <f>IF(NOT(Paths!$C$102=1),0,IF(Paths!$P$102="Complete",IF(AND(C1061=0,Paths!$E$102=0),I1061-J1061-K1061+VLOOKUP(A1061,'Fleet register'!$A$7:$S$106,15,FALSE)+VLOOKUP(A1061,'Fleet register'!$A$7:$S$106,16,FALSE),0),"n.a."))</f>
        <v>0</v>
      </c>
      <c r="S1061" s="1">
        <f>IF(NOT(Paths!$C$102=1),0,IF(Paths!$P$102="Complete",IF(C1061=0,0,Paths!$S$102*Paths!$R$102),"n.a."))</f>
        <v>0</v>
      </c>
      <c r="T1061" s="1">
        <f>IF(NOT(Paths!$C$102=1),0,IF(Paths!$P$102="Complete",IF(C1061=0,0,VLOOKUP(A1061,'Fleet register'!$A$7:$S$106,9,FALSE)*Paths!$R$102),"n.a."))</f>
        <v>0</v>
      </c>
    </row>
    <row r="1062" spans="1:20" ht="24" customHeight="1">
      <c r="A1062" s="1" t="str">
        <f>Paths!$A$102</f>
        <v>T024</v>
      </c>
      <c r="B1062" s="1">
        <f>Paths!$B$102</f>
        <v>3</v>
      </c>
      <c r="C1062" s="1">
        <v>10</v>
      </c>
      <c r="D1062" s="1">
        <v>102</v>
      </c>
      <c r="E1062" s="1">
        <f>IF(OR(Paths!$C$102=0,C1062=0),0,MAX(0,MIN(C1062*12,Paths!$E$102)-(C1062-1)*12))</f>
        <v>0</v>
      </c>
      <c r="F1062" s="1">
        <f>IF(OR(Paths!$C$102=0,C1062=0),0,12-E1062)</f>
        <v>0</v>
      </c>
      <c r="G1062" s="16">
        <f>IF(NOT(Paths!$C$102=1),0,IF(Paths!$P$102="Complete",E1062/12*(Paths!$J$102*(1+'Operating costs'!$B$51)^MAX(0,C1062-1)+Paths!$K$102*(1+'Operating costs'!$B$53)^MAX(0,C1062-1)),"n.a."))</f>
        <v>0</v>
      </c>
      <c r="H1062" s="16">
        <f>IF(NOT(Paths!$C$102=1),0,IF(Paths!$P$102="Complete",F1062/12*(Paths!$L$102*(1+IF(Paths!$D$102="EV",'Operating costs'!$B$52,'Operating costs'!$B$51))^MAX(0,C1062-1)+Paths!$M$102*(1+'Operating costs'!$B$53)^MAX(0,C1062-1)),"n.a."))</f>
        <v>0</v>
      </c>
      <c r="I1062" s="16">
        <f>IF(NOT(Paths!$C$102=1),0,IF(Paths!$P$102="Complete",IF(IF(Paths!$E$102=0,C1062=0,AND(C1062&gt;0,Paths!$E$102&gt;(C1062-1)*12,Paths!$E$102&lt;=C1062*12)),Paths!$G$102,0),"n.a."))</f>
        <v>0</v>
      </c>
      <c r="J1062" s="16">
        <f>IF(NOT(Paths!$C$102=1),0,IF(Paths!$P$102="Complete",IF(IF(Paths!$E$102=0,C1062=0,AND(C1062&gt;0,Paths!$E$102&gt;(C1062-1)*12,Paths!$E$102&lt;=C1062*12)),Paths!$H$102,0),"n.a."))</f>
        <v>0</v>
      </c>
      <c r="K1062" s="16">
        <f>IF(NOT(Paths!$C$102=1),0,IF(Paths!$P$102="Complete",IF(IF(Paths!$O$102=0,C1062=0,AND(C1062&gt;0,Paths!$O$102&gt;(C1062-1)*12,Paths!$O$102&lt;=C1062*12)),Paths!$N$102,0),"n.a."))</f>
        <v>0</v>
      </c>
      <c r="L1062" s="16">
        <f>IF(NOT(Paths!$C$102=1),0,IF(Paths!$P$102="Complete",IF(C1062=10,Paths!$I$102,0),"n.a."))</f>
        <v>0</v>
      </c>
      <c r="M1062" s="16">
        <f>IF(NOT(Paths!$C$102=1),0,IF(Paths!$P$102="Complete",IF(AND(Paths!$D$102="EV",Paths!$E$102&lt;120,Paths!$E$102+'Operating costs'!$B$65&gt;Paths!$E$102,Paths!$E$102+'Operating costs'!$B$65&lt;=120,IF(Paths!$E$102+'Operating costs'!$B$65=0,C1062=0,AND(C1062&gt;0,Paths!$E$102+'Operating costs'!$B$65&gt;(C1062-1)*12,Paths!$E$102+'Operating costs'!$B$65&lt;=C1062*12))),'Operating costs'!$B$64,0)+IF(AND('Operating costs'!$B$67&gt;0,'Operating costs'!$B$67&lt;=120,OR(Paths!$D$102="ICE",'Operating costs'!$B$67&lt;=Paths!$E$102),IF('Operating costs'!$B$67=0,C1062=0,AND(C1062&gt;0,'Operating costs'!$B$67&gt;(C1062-1)*12,'Operating costs'!$B$67&lt;=C1062*12))),'Operating costs'!$B$66,0),"n.a."))</f>
        <v>0</v>
      </c>
      <c r="N1062" s="16">
        <f>IF(NOT(Paths!$C$102=1),0,IF(Paths!$P$102="Complete",SUM(G1062:I1062)-J1062-K1062-L1062+M1062+IF(C1062=0,Paths!$F$102,0)+IF(IF(Paths!$E$102=0,C1062=0,AND(C1062&gt;0,Paths!$E$102&gt;(C1062-1)*12,Paths!$E$102&lt;=C1062*12)),VLOOKUP(A1062,'Fleet register'!$A$7:$S$106,16,FALSE),0),"n.a."))</f>
        <v>0</v>
      </c>
      <c r="O1062" s="16">
        <f>IF(NOT(Paths!$C$102=1),0,IF(Paths!$P$102="Complete",N1062-IF(C1062=0,Paths!$F$102,0),"n.a."))</f>
        <v>0</v>
      </c>
      <c r="P1062" s="16">
        <f>IF(NOT(Paths!$C$102=1),0,IF(Paths!$P$102="Complete",O1062+L1062,"n.a."))</f>
        <v>0</v>
      </c>
      <c r="Q1062" s="16">
        <f>IF(NOT(Paths!$C$102=1),0,IF(Paths!$P$102="Complete",N1062*(1+'Operating costs'!$B$54)^-C1062,"n.a."))</f>
        <v>0</v>
      </c>
      <c r="R1062" s="16">
        <f>IF(NOT(Paths!$C$102=1),0,IF(Paths!$P$102="Complete",IF(AND(C1062=0,Paths!$E$102=0),I1062-J1062-K1062+VLOOKUP(A1062,'Fleet register'!$A$7:$S$106,15,FALSE)+VLOOKUP(A1062,'Fleet register'!$A$7:$S$106,16,FALSE),0),"n.a."))</f>
        <v>0</v>
      </c>
      <c r="S1062" s="1">
        <f>IF(NOT(Paths!$C$102=1),0,IF(Paths!$P$102="Complete",IF(C1062=0,0,Paths!$S$102*Paths!$R$102),"n.a."))</f>
        <v>0</v>
      </c>
      <c r="T1062" s="1">
        <f>IF(NOT(Paths!$C$102=1),0,IF(Paths!$P$102="Complete",IF(C1062=0,0,VLOOKUP(A1062,'Fleet register'!$A$7:$S$106,9,FALSE)*Paths!$R$102),"n.a."))</f>
        <v>0</v>
      </c>
    </row>
    <row r="1063" spans="1:20" ht="24" customHeight="1">
      <c r="A1063" s="1" t="str">
        <f>Paths!$A$103</f>
        <v>T025</v>
      </c>
      <c r="B1063" s="1">
        <f>Paths!$B$103</f>
        <v>0</v>
      </c>
      <c r="C1063" s="1">
        <v>0</v>
      </c>
      <c r="D1063" s="1">
        <v>103</v>
      </c>
      <c r="E1063" s="1">
        <f>IF(OR(Paths!$C$103=0,C1063=0),0,MAX(0,MIN(C1063*12,Paths!$E$103)-(C1063-1)*12))</f>
        <v>0</v>
      </c>
      <c r="F1063" s="1">
        <f>IF(OR(Paths!$C$103=0,C1063=0),0,12-E1063)</f>
        <v>0</v>
      </c>
      <c r="G1063" s="16">
        <f>IF(NOT(Paths!$C$103=1),0,IF(Paths!$P$103="Complete",E1063/12*(Paths!$J$103*(1+'Operating costs'!$B$51)^MAX(0,C1063-1)+Paths!$K$103*(1+'Operating costs'!$B$53)^MAX(0,C1063-1)),"n.a."))</f>
        <v>0</v>
      </c>
      <c r="H1063" s="16">
        <f>IF(NOT(Paths!$C$103=1),0,IF(Paths!$P$103="Complete",F1063/12*(Paths!$L$103*(1+IF(Paths!$D$103="EV",'Operating costs'!$B$52,'Operating costs'!$B$51))^MAX(0,C1063-1)+Paths!$M$103*(1+'Operating costs'!$B$53)^MAX(0,C1063-1)),"n.a."))</f>
        <v>0</v>
      </c>
      <c r="I1063" s="16">
        <f>IF(NOT(Paths!$C$103=1),0,IF(Paths!$P$103="Complete",IF(IF(Paths!$E$103=0,C1063=0,AND(C1063&gt;0,Paths!$E$103&gt;(C1063-1)*12,Paths!$E$103&lt;=C1063*12)),Paths!$G$103,0),"n.a."))</f>
        <v>0</v>
      </c>
      <c r="J1063" s="16">
        <f>IF(NOT(Paths!$C$103=1),0,IF(Paths!$P$103="Complete",IF(IF(Paths!$E$103=0,C1063=0,AND(C1063&gt;0,Paths!$E$103&gt;(C1063-1)*12,Paths!$E$103&lt;=C1063*12)),Paths!$H$103,0),"n.a."))</f>
        <v>0</v>
      </c>
      <c r="K1063" s="16">
        <f>IF(NOT(Paths!$C$103=1),0,IF(Paths!$P$103="Complete",IF(IF(Paths!$O$103=0,C1063=0,AND(C1063&gt;0,Paths!$O$103&gt;(C1063-1)*12,Paths!$O$103&lt;=C1063*12)),Paths!$N$103,0),"n.a."))</f>
        <v>0</v>
      </c>
      <c r="L1063" s="16">
        <f>IF(NOT(Paths!$C$103=1),0,IF(Paths!$P$103="Complete",IF(C1063=10,Paths!$I$103,0),"n.a."))</f>
        <v>0</v>
      </c>
      <c r="M1063" s="16">
        <f>IF(NOT(Paths!$C$103=1),0,IF(Paths!$P$103="Complete",IF(AND(Paths!$D$103="EV",Paths!$E$103&lt;120,Paths!$E$103+'Operating costs'!$B$65&gt;Paths!$E$103,Paths!$E$103+'Operating costs'!$B$65&lt;=120,IF(Paths!$E$103+'Operating costs'!$B$65=0,C1063=0,AND(C1063&gt;0,Paths!$E$103+'Operating costs'!$B$65&gt;(C1063-1)*12,Paths!$E$103+'Operating costs'!$B$65&lt;=C1063*12))),'Operating costs'!$B$64,0)+IF(AND('Operating costs'!$B$67&gt;0,'Operating costs'!$B$67&lt;=120,OR(Paths!$D$103="ICE",'Operating costs'!$B$67&lt;=Paths!$E$103),IF('Operating costs'!$B$67=0,C1063=0,AND(C1063&gt;0,'Operating costs'!$B$67&gt;(C1063-1)*12,'Operating costs'!$B$67&lt;=C1063*12))),'Operating costs'!$B$66,0),"n.a."))</f>
        <v>0</v>
      </c>
      <c r="N1063" s="16">
        <f>IF(NOT(Paths!$C$103=1),0,IF(Paths!$P$103="Complete",SUM(G1063:I1063)-J1063-K1063-L1063+M1063+IF(C1063=0,Paths!$F$103,0)+IF(IF(Paths!$E$103=0,C1063=0,AND(C1063&gt;0,Paths!$E$103&gt;(C1063-1)*12,Paths!$E$103&lt;=C1063*12)),VLOOKUP(A1063,'Fleet register'!$A$7:$S$106,16,FALSE),0),"n.a."))</f>
        <v>0</v>
      </c>
      <c r="O1063" s="16">
        <f>IF(NOT(Paths!$C$103=1),0,IF(Paths!$P$103="Complete",N1063-IF(C1063=0,Paths!$F$103,0),"n.a."))</f>
        <v>0</v>
      </c>
      <c r="P1063" s="16">
        <f>IF(NOT(Paths!$C$103=1),0,IF(Paths!$P$103="Complete",O1063+L1063,"n.a."))</f>
        <v>0</v>
      </c>
      <c r="Q1063" s="16">
        <f>IF(NOT(Paths!$C$103=1),0,IF(Paths!$P$103="Complete",N1063*(1+'Operating costs'!$B$54)^-C1063,"n.a."))</f>
        <v>0</v>
      </c>
      <c r="R1063" s="16">
        <f>IF(NOT(Paths!$C$103=1),0,IF(Paths!$P$103="Complete",IF(AND(C1063=0,Paths!$E$103=0),I1063-J1063-K1063+VLOOKUP(A1063,'Fleet register'!$A$7:$S$106,15,FALSE)+VLOOKUP(A1063,'Fleet register'!$A$7:$S$106,16,FALSE),0),"n.a."))</f>
        <v>0</v>
      </c>
      <c r="S1063" s="1">
        <f>IF(NOT(Paths!$C$103=1),0,IF(Paths!$P$103="Complete",IF(C1063=0,0,Paths!$S$103*Paths!$R$103),"n.a."))</f>
        <v>0</v>
      </c>
      <c r="T1063" s="1">
        <f>IF(NOT(Paths!$C$103=1),0,IF(Paths!$P$103="Complete",IF(C1063=0,0,VLOOKUP(A1063,'Fleet register'!$A$7:$S$106,9,FALSE)*Paths!$R$103),"n.a."))</f>
        <v>0</v>
      </c>
    </row>
    <row r="1064" spans="1:20" ht="24" customHeight="1">
      <c r="A1064" s="1" t="str">
        <f>Paths!$A$103</f>
        <v>T025</v>
      </c>
      <c r="B1064" s="1">
        <f>Paths!$B$103</f>
        <v>0</v>
      </c>
      <c r="C1064" s="1">
        <v>1</v>
      </c>
      <c r="D1064" s="1">
        <v>103</v>
      </c>
      <c r="E1064" s="1">
        <f>IF(OR(Paths!$C$103=0,C1064=0),0,MAX(0,MIN(C1064*12,Paths!$E$103)-(C1064-1)*12))</f>
        <v>0</v>
      </c>
      <c r="F1064" s="1">
        <f>IF(OR(Paths!$C$103=0,C1064=0),0,12-E1064)</f>
        <v>0</v>
      </c>
      <c r="G1064" s="16">
        <f>IF(NOT(Paths!$C$103=1),0,IF(Paths!$P$103="Complete",E1064/12*(Paths!$J$103*(1+'Operating costs'!$B$51)^MAX(0,C1064-1)+Paths!$K$103*(1+'Operating costs'!$B$53)^MAX(0,C1064-1)),"n.a."))</f>
        <v>0</v>
      </c>
      <c r="H1064" s="16">
        <f>IF(NOT(Paths!$C$103=1),0,IF(Paths!$P$103="Complete",F1064/12*(Paths!$L$103*(1+IF(Paths!$D$103="EV",'Operating costs'!$B$52,'Operating costs'!$B$51))^MAX(0,C1064-1)+Paths!$M$103*(1+'Operating costs'!$B$53)^MAX(0,C1064-1)),"n.a."))</f>
        <v>0</v>
      </c>
      <c r="I1064" s="16">
        <f>IF(NOT(Paths!$C$103=1),0,IF(Paths!$P$103="Complete",IF(IF(Paths!$E$103=0,C1064=0,AND(C1064&gt;0,Paths!$E$103&gt;(C1064-1)*12,Paths!$E$103&lt;=C1064*12)),Paths!$G$103,0),"n.a."))</f>
        <v>0</v>
      </c>
      <c r="J1064" s="16">
        <f>IF(NOT(Paths!$C$103=1),0,IF(Paths!$P$103="Complete",IF(IF(Paths!$E$103=0,C1064=0,AND(C1064&gt;0,Paths!$E$103&gt;(C1064-1)*12,Paths!$E$103&lt;=C1064*12)),Paths!$H$103,0),"n.a."))</f>
        <v>0</v>
      </c>
      <c r="K1064" s="16">
        <f>IF(NOT(Paths!$C$103=1),0,IF(Paths!$P$103="Complete",IF(IF(Paths!$O$103=0,C1064=0,AND(C1064&gt;0,Paths!$O$103&gt;(C1064-1)*12,Paths!$O$103&lt;=C1064*12)),Paths!$N$103,0),"n.a."))</f>
        <v>0</v>
      </c>
      <c r="L1064" s="16">
        <f>IF(NOT(Paths!$C$103=1),0,IF(Paths!$P$103="Complete",IF(C1064=10,Paths!$I$103,0),"n.a."))</f>
        <v>0</v>
      </c>
      <c r="M1064" s="16">
        <f>IF(NOT(Paths!$C$103=1),0,IF(Paths!$P$103="Complete",IF(AND(Paths!$D$103="EV",Paths!$E$103&lt;120,Paths!$E$103+'Operating costs'!$B$65&gt;Paths!$E$103,Paths!$E$103+'Operating costs'!$B$65&lt;=120,IF(Paths!$E$103+'Operating costs'!$B$65=0,C1064=0,AND(C1064&gt;0,Paths!$E$103+'Operating costs'!$B$65&gt;(C1064-1)*12,Paths!$E$103+'Operating costs'!$B$65&lt;=C1064*12))),'Operating costs'!$B$64,0)+IF(AND('Operating costs'!$B$67&gt;0,'Operating costs'!$B$67&lt;=120,OR(Paths!$D$103="ICE",'Operating costs'!$B$67&lt;=Paths!$E$103),IF('Operating costs'!$B$67=0,C1064=0,AND(C1064&gt;0,'Operating costs'!$B$67&gt;(C1064-1)*12,'Operating costs'!$B$67&lt;=C1064*12))),'Operating costs'!$B$66,0),"n.a."))</f>
        <v>0</v>
      </c>
      <c r="N1064" s="16">
        <f>IF(NOT(Paths!$C$103=1),0,IF(Paths!$P$103="Complete",SUM(G1064:I1064)-J1064-K1064-L1064+M1064+IF(C1064=0,Paths!$F$103,0)+IF(IF(Paths!$E$103=0,C1064=0,AND(C1064&gt;0,Paths!$E$103&gt;(C1064-1)*12,Paths!$E$103&lt;=C1064*12)),VLOOKUP(A1064,'Fleet register'!$A$7:$S$106,16,FALSE),0),"n.a."))</f>
        <v>0</v>
      </c>
      <c r="O1064" s="16">
        <f>IF(NOT(Paths!$C$103=1),0,IF(Paths!$P$103="Complete",N1064-IF(C1064=0,Paths!$F$103,0),"n.a."))</f>
        <v>0</v>
      </c>
      <c r="P1064" s="16">
        <f>IF(NOT(Paths!$C$103=1),0,IF(Paths!$P$103="Complete",O1064+L1064,"n.a."))</f>
        <v>0</v>
      </c>
      <c r="Q1064" s="16">
        <f>IF(NOT(Paths!$C$103=1),0,IF(Paths!$P$103="Complete",N1064*(1+'Operating costs'!$B$54)^-C1064,"n.a."))</f>
        <v>0</v>
      </c>
      <c r="R1064" s="16">
        <f>IF(NOT(Paths!$C$103=1),0,IF(Paths!$P$103="Complete",IF(AND(C1064=0,Paths!$E$103=0),I1064-J1064-K1064+VLOOKUP(A1064,'Fleet register'!$A$7:$S$106,15,FALSE)+VLOOKUP(A1064,'Fleet register'!$A$7:$S$106,16,FALSE),0),"n.a."))</f>
        <v>0</v>
      </c>
      <c r="S1064" s="1">
        <f>IF(NOT(Paths!$C$103=1),0,IF(Paths!$P$103="Complete",IF(C1064=0,0,Paths!$S$103*Paths!$R$103),"n.a."))</f>
        <v>0</v>
      </c>
      <c r="T1064" s="1">
        <f>IF(NOT(Paths!$C$103=1),0,IF(Paths!$P$103="Complete",IF(C1064=0,0,VLOOKUP(A1064,'Fleet register'!$A$7:$S$106,9,FALSE)*Paths!$R$103),"n.a."))</f>
        <v>0</v>
      </c>
    </row>
    <row r="1065" spans="1:20" ht="24" customHeight="1">
      <c r="A1065" s="1" t="str">
        <f>Paths!$A$103</f>
        <v>T025</v>
      </c>
      <c r="B1065" s="1">
        <f>Paths!$B$103</f>
        <v>0</v>
      </c>
      <c r="C1065" s="1">
        <v>2</v>
      </c>
      <c r="D1065" s="1">
        <v>103</v>
      </c>
      <c r="E1065" s="1">
        <f>IF(OR(Paths!$C$103=0,C1065=0),0,MAX(0,MIN(C1065*12,Paths!$E$103)-(C1065-1)*12))</f>
        <v>0</v>
      </c>
      <c r="F1065" s="1">
        <f>IF(OR(Paths!$C$103=0,C1065=0),0,12-E1065)</f>
        <v>0</v>
      </c>
      <c r="G1065" s="16">
        <f>IF(NOT(Paths!$C$103=1),0,IF(Paths!$P$103="Complete",E1065/12*(Paths!$J$103*(1+'Operating costs'!$B$51)^MAX(0,C1065-1)+Paths!$K$103*(1+'Operating costs'!$B$53)^MAX(0,C1065-1)),"n.a."))</f>
        <v>0</v>
      </c>
      <c r="H1065" s="16">
        <f>IF(NOT(Paths!$C$103=1),0,IF(Paths!$P$103="Complete",F1065/12*(Paths!$L$103*(1+IF(Paths!$D$103="EV",'Operating costs'!$B$52,'Operating costs'!$B$51))^MAX(0,C1065-1)+Paths!$M$103*(1+'Operating costs'!$B$53)^MAX(0,C1065-1)),"n.a."))</f>
        <v>0</v>
      </c>
      <c r="I1065" s="16">
        <f>IF(NOT(Paths!$C$103=1),0,IF(Paths!$P$103="Complete",IF(IF(Paths!$E$103=0,C1065=0,AND(C1065&gt;0,Paths!$E$103&gt;(C1065-1)*12,Paths!$E$103&lt;=C1065*12)),Paths!$G$103,0),"n.a."))</f>
        <v>0</v>
      </c>
      <c r="J1065" s="16">
        <f>IF(NOT(Paths!$C$103=1),0,IF(Paths!$P$103="Complete",IF(IF(Paths!$E$103=0,C1065=0,AND(C1065&gt;0,Paths!$E$103&gt;(C1065-1)*12,Paths!$E$103&lt;=C1065*12)),Paths!$H$103,0),"n.a."))</f>
        <v>0</v>
      </c>
      <c r="K1065" s="16">
        <f>IF(NOT(Paths!$C$103=1),0,IF(Paths!$P$103="Complete",IF(IF(Paths!$O$103=0,C1065=0,AND(C1065&gt;0,Paths!$O$103&gt;(C1065-1)*12,Paths!$O$103&lt;=C1065*12)),Paths!$N$103,0),"n.a."))</f>
        <v>0</v>
      </c>
      <c r="L1065" s="16">
        <f>IF(NOT(Paths!$C$103=1),0,IF(Paths!$P$103="Complete",IF(C1065=10,Paths!$I$103,0),"n.a."))</f>
        <v>0</v>
      </c>
      <c r="M1065" s="16">
        <f>IF(NOT(Paths!$C$103=1),0,IF(Paths!$P$103="Complete",IF(AND(Paths!$D$103="EV",Paths!$E$103&lt;120,Paths!$E$103+'Operating costs'!$B$65&gt;Paths!$E$103,Paths!$E$103+'Operating costs'!$B$65&lt;=120,IF(Paths!$E$103+'Operating costs'!$B$65=0,C1065=0,AND(C1065&gt;0,Paths!$E$103+'Operating costs'!$B$65&gt;(C1065-1)*12,Paths!$E$103+'Operating costs'!$B$65&lt;=C1065*12))),'Operating costs'!$B$64,0)+IF(AND('Operating costs'!$B$67&gt;0,'Operating costs'!$B$67&lt;=120,OR(Paths!$D$103="ICE",'Operating costs'!$B$67&lt;=Paths!$E$103),IF('Operating costs'!$B$67=0,C1065=0,AND(C1065&gt;0,'Operating costs'!$B$67&gt;(C1065-1)*12,'Operating costs'!$B$67&lt;=C1065*12))),'Operating costs'!$B$66,0),"n.a."))</f>
        <v>0</v>
      </c>
      <c r="N1065" s="16">
        <f>IF(NOT(Paths!$C$103=1),0,IF(Paths!$P$103="Complete",SUM(G1065:I1065)-J1065-K1065-L1065+M1065+IF(C1065=0,Paths!$F$103,0)+IF(IF(Paths!$E$103=0,C1065=0,AND(C1065&gt;0,Paths!$E$103&gt;(C1065-1)*12,Paths!$E$103&lt;=C1065*12)),VLOOKUP(A1065,'Fleet register'!$A$7:$S$106,16,FALSE),0),"n.a."))</f>
        <v>0</v>
      </c>
      <c r="O1065" s="16">
        <f>IF(NOT(Paths!$C$103=1),0,IF(Paths!$P$103="Complete",N1065-IF(C1065=0,Paths!$F$103,0),"n.a."))</f>
        <v>0</v>
      </c>
      <c r="P1065" s="16">
        <f>IF(NOT(Paths!$C$103=1),0,IF(Paths!$P$103="Complete",O1065+L1065,"n.a."))</f>
        <v>0</v>
      </c>
      <c r="Q1065" s="16">
        <f>IF(NOT(Paths!$C$103=1),0,IF(Paths!$P$103="Complete",N1065*(1+'Operating costs'!$B$54)^-C1065,"n.a."))</f>
        <v>0</v>
      </c>
      <c r="R1065" s="16">
        <f>IF(NOT(Paths!$C$103=1),0,IF(Paths!$P$103="Complete",IF(AND(C1065=0,Paths!$E$103=0),I1065-J1065-K1065+VLOOKUP(A1065,'Fleet register'!$A$7:$S$106,15,FALSE)+VLOOKUP(A1065,'Fleet register'!$A$7:$S$106,16,FALSE),0),"n.a."))</f>
        <v>0</v>
      </c>
      <c r="S1065" s="1">
        <f>IF(NOT(Paths!$C$103=1),0,IF(Paths!$P$103="Complete",IF(C1065=0,0,Paths!$S$103*Paths!$R$103),"n.a."))</f>
        <v>0</v>
      </c>
      <c r="T1065" s="1">
        <f>IF(NOT(Paths!$C$103=1),0,IF(Paths!$P$103="Complete",IF(C1065=0,0,VLOOKUP(A1065,'Fleet register'!$A$7:$S$106,9,FALSE)*Paths!$R$103),"n.a."))</f>
        <v>0</v>
      </c>
    </row>
    <row r="1066" spans="1:20" ht="24" customHeight="1">
      <c r="A1066" s="1" t="str">
        <f>Paths!$A$103</f>
        <v>T025</v>
      </c>
      <c r="B1066" s="1">
        <f>Paths!$B$103</f>
        <v>0</v>
      </c>
      <c r="C1066" s="1">
        <v>3</v>
      </c>
      <c r="D1066" s="1">
        <v>103</v>
      </c>
      <c r="E1066" s="1">
        <f>IF(OR(Paths!$C$103=0,C1066=0),0,MAX(0,MIN(C1066*12,Paths!$E$103)-(C1066-1)*12))</f>
        <v>0</v>
      </c>
      <c r="F1066" s="1">
        <f>IF(OR(Paths!$C$103=0,C1066=0),0,12-E1066)</f>
        <v>0</v>
      </c>
      <c r="G1066" s="16">
        <f>IF(NOT(Paths!$C$103=1),0,IF(Paths!$P$103="Complete",E1066/12*(Paths!$J$103*(1+'Operating costs'!$B$51)^MAX(0,C1066-1)+Paths!$K$103*(1+'Operating costs'!$B$53)^MAX(0,C1066-1)),"n.a."))</f>
        <v>0</v>
      </c>
      <c r="H1066" s="16">
        <f>IF(NOT(Paths!$C$103=1),0,IF(Paths!$P$103="Complete",F1066/12*(Paths!$L$103*(1+IF(Paths!$D$103="EV",'Operating costs'!$B$52,'Operating costs'!$B$51))^MAX(0,C1066-1)+Paths!$M$103*(1+'Operating costs'!$B$53)^MAX(0,C1066-1)),"n.a."))</f>
        <v>0</v>
      </c>
      <c r="I1066" s="16">
        <f>IF(NOT(Paths!$C$103=1),0,IF(Paths!$P$103="Complete",IF(IF(Paths!$E$103=0,C1066=0,AND(C1066&gt;0,Paths!$E$103&gt;(C1066-1)*12,Paths!$E$103&lt;=C1066*12)),Paths!$G$103,0),"n.a."))</f>
        <v>0</v>
      </c>
      <c r="J1066" s="16">
        <f>IF(NOT(Paths!$C$103=1),0,IF(Paths!$P$103="Complete",IF(IF(Paths!$E$103=0,C1066=0,AND(C1066&gt;0,Paths!$E$103&gt;(C1066-1)*12,Paths!$E$103&lt;=C1066*12)),Paths!$H$103,0),"n.a."))</f>
        <v>0</v>
      </c>
      <c r="K1066" s="16">
        <f>IF(NOT(Paths!$C$103=1),0,IF(Paths!$P$103="Complete",IF(IF(Paths!$O$103=0,C1066=0,AND(C1066&gt;0,Paths!$O$103&gt;(C1066-1)*12,Paths!$O$103&lt;=C1066*12)),Paths!$N$103,0),"n.a."))</f>
        <v>0</v>
      </c>
      <c r="L1066" s="16">
        <f>IF(NOT(Paths!$C$103=1),0,IF(Paths!$P$103="Complete",IF(C1066=10,Paths!$I$103,0),"n.a."))</f>
        <v>0</v>
      </c>
      <c r="M1066" s="16">
        <f>IF(NOT(Paths!$C$103=1),0,IF(Paths!$P$103="Complete",IF(AND(Paths!$D$103="EV",Paths!$E$103&lt;120,Paths!$E$103+'Operating costs'!$B$65&gt;Paths!$E$103,Paths!$E$103+'Operating costs'!$B$65&lt;=120,IF(Paths!$E$103+'Operating costs'!$B$65=0,C1066=0,AND(C1066&gt;0,Paths!$E$103+'Operating costs'!$B$65&gt;(C1066-1)*12,Paths!$E$103+'Operating costs'!$B$65&lt;=C1066*12))),'Operating costs'!$B$64,0)+IF(AND('Operating costs'!$B$67&gt;0,'Operating costs'!$B$67&lt;=120,OR(Paths!$D$103="ICE",'Operating costs'!$B$67&lt;=Paths!$E$103),IF('Operating costs'!$B$67=0,C1066=0,AND(C1066&gt;0,'Operating costs'!$B$67&gt;(C1066-1)*12,'Operating costs'!$B$67&lt;=C1066*12))),'Operating costs'!$B$66,0),"n.a."))</f>
        <v>0</v>
      </c>
      <c r="N1066" s="16">
        <f>IF(NOT(Paths!$C$103=1),0,IF(Paths!$P$103="Complete",SUM(G1066:I1066)-J1066-K1066-L1066+M1066+IF(C1066=0,Paths!$F$103,0)+IF(IF(Paths!$E$103=0,C1066=0,AND(C1066&gt;0,Paths!$E$103&gt;(C1066-1)*12,Paths!$E$103&lt;=C1066*12)),VLOOKUP(A1066,'Fleet register'!$A$7:$S$106,16,FALSE),0),"n.a."))</f>
        <v>0</v>
      </c>
      <c r="O1066" s="16">
        <f>IF(NOT(Paths!$C$103=1),0,IF(Paths!$P$103="Complete",N1066-IF(C1066=0,Paths!$F$103,0),"n.a."))</f>
        <v>0</v>
      </c>
      <c r="P1066" s="16">
        <f>IF(NOT(Paths!$C$103=1),0,IF(Paths!$P$103="Complete",O1066+L1066,"n.a."))</f>
        <v>0</v>
      </c>
      <c r="Q1066" s="16">
        <f>IF(NOT(Paths!$C$103=1),0,IF(Paths!$P$103="Complete",N1066*(1+'Operating costs'!$B$54)^-C1066,"n.a."))</f>
        <v>0</v>
      </c>
      <c r="R1066" s="16">
        <f>IF(NOT(Paths!$C$103=1),0,IF(Paths!$P$103="Complete",IF(AND(C1066=0,Paths!$E$103=0),I1066-J1066-K1066+VLOOKUP(A1066,'Fleet register'!$A$7:$S$106,15,FALSE)+VLOOKUP(A1066,'Fleet register'!$A$7:$S$106,16,FALSE),0),"n.a."))</f>
        <v>0</v>
      </c>
      <c r="S1066" s="1">
        <f>IF(NOT(Paths!$C$103=1),0,IF(Paths!$P$103="Complete",IF(C1066=0,0,Paths!$S$103*Paths!$R$103),"n.a."))</f>
        <v>0</v>
      </c>
      <c r="T1066" s="1">
        <f>IF(NOT(Paths!$C$103=1),0,IF(Paths!$P$103="Complete",IF(C1066=0,0,VLOOKUP(A1066,'Fleet register'!$A$7:$S$106,9,FALSE)*Paths!$R$103),"n.a."))</f>
        <v>0</v>
      </c>
    </row>
    <row r="1067" spans="1:20" ht="24" customHeight="1">
      <c r="A1067" s="1" t="str">
        <f>Paths!$A$103</f>
        <v>T025</v>
      </c>
      <c r="B1067" s="1">
        <f>Paths!$B$103</f>
        <v>0</v>
      </c>
      <c r="C1067" s="1">
        <v>4</v>
      </c>
      <c r="D1067" s="1">
        <v>103</v>
      </c>
      <c r="E1067" s="1">
        <f>IF(OR(Paths!$C$103=0,C1067=0),0,MAX(0,MIN(C1067*12,Paths!$E$103)-(C1067-1)*12))</f>
        <v>0</v>
      </c>
      <c r="F1067" s="1">
        <f>IF(OR(Paths!$C$103=0,C1067=0),0,12-E1067)</f>
        <v>0</v>
      </c>
      <c r="G1067" s="16">
        <f>IF(NOT(Paths!$C$103=1),0,IF(Paths!$P$103="Complete",E1067/12*(Paths!$J$103*(1+'Operating costs'!$B$51)^MAX(0,C1067-1)+Paths!$K$103*(1+'Operating costs'!$B$53)^MAX(0,C1067-1)),"n.a."))</f>
        <v>0</v>
      </c>
      <c r="H1067" s="16">
        <f>IF(NOT(Paths!$C$103=1),0,IF(Paths!$P$103="Complete",F1067/12*(Paths!$L$103*(1+IF(Paths!$D$103="EV",'Operating costs'!$B$52,'Operating costs'!$B$51))^MAX(0,C1067-1)+Paths!$M$103*(1+'Operating costs'!$B$53)^MAX(0,C1067-1)),"n.a."))</f>
        <v>0</v>
      </c>
      <c r="I1067" s="16">
        <f>IF(NOT(Paths!$C$103=1),0,IF(Paths!$P$103="Complete",IF(IF(Paths!$E$103=0,C1067=0,AND(C1067&gt;0,Paths!$E$103&gt;(C1067-1)*12,Paths!$E$103&lt;=C1067*12)),Paths!$G$103,0),"n.a."))</f>
        <v>0</v>
      </c>
      <c r="J1067" s="16">
        <f>IF(NOT(Paths!$C$103=1),0,IF(Paths!$P$103="Complete",IF(IF(Paths!$E$103=0,C1067=0,AND(C1067&gt;0,Paths!$E$103&gt;(C1067-1)*12,Paths!$E$103&lt;=C1067*12)),Paths!$H$103,0),"n.a."))</f>
        <v>0</v>
      </c>
      <c r="K1067" s="16">
        <f>IF(NOT(Paths!$C$103=1),0,IF(Paths!$P$103="Complete",IF(IF(Paths!$O$103=0,C1067=0,AND(C1067&gt;0,Paths!$O$103&gt;(C1067-1)*12,Paths!$O$103&lt;=C1067*12)),Paths!$N$103,0),"n.a."))</f>
        <v>0</v>
      </c>
      <c r="L1067" s="16">
        <f>IF(NOT(Paths!$C$103=1),0,IF(Paths!$P$103="Complete",IF(C1067=10,Paths!$I$103,0),"n.a."))</f>
        <v>0</v>
      </c>
      <c r="M1067" s="16">
        <f>IF(NOT(Paths!$C$103=1),0,IF(Paths!$P$103="Complete",IF(AND(Paths!$D$103="EV",Paths!$E$103&lt;120,Paths!$E$103+'Operating costs'!$B$65&gt;Paths!$E$103,Paths!$E$103+'Operating costs'!$B$65&lt;=120,IF(Paths!$E$103+'Operating costs'!$B$65=0,C1067=0,AND(C1067&gt;0,Paths!$E$103+'Operating costs'!$B$65&gt;(C1067-1)*12,Paths!$E$103+'Operating costs'!$B$65&lt;=C1067*12))),'Operating costs'!$B$64,0)+IF(AND('Operating costs'!$B$67&gt;0,'Operating costs'!$B$67&lt;=120,OR(Paths!$D$103="ICE",'Operating costs'!$B$67&lt;=Paths!$E$103),IF('Operating costs'!$B$67=0,C1067=0,AND(C1067&gt;0,'Operating costs'!$B$67&gt;(C1067-1)*12,'Operating costs'!$B$67&lt;=C1067*12))),'Operating costs'!$B$66,0),"n.a."))</f>
        <v>0</v>
      </c>
      <c r="N1067" s="16">
        <f>IF(NOT(Paths!$C$103=1),0,IF(Paths!$P$103="Complete",SUM(G1067:I1067)-J1067-K1067-L1067+M1067+IF(C1067=0,Paths!$F$103,0)+IF(IF(Paths!$E$103=0,C1067=0,AND(C1067&gt;0,Paths!$E$103&gt;(C1067-1)*12,Paths!$E$103&lt;=C1067*12)),VLOOKUP(A1067,'Fleet register'!$A$7:$S$106,16,FALSE),0),"n.a."))</f>
        <v>0</v>
      </c>
      <c r="O1067" s="16">
        <f>IF(NOT(Paths!$C$103=1),0,IF(Paths!$P$103="Complete",N1067-IF(C1067=0,Paths!$F$103,0),"n.a."))</f>
        <v>0</v>
      </c>
      <c r="P1067" s="16">
        <f>IF(NOT(Paths!$C$103=1),0,IF(Paths!$P$103="Complete",O1067+L1067,"n.a."))</f>
        <v>0</v>
      </c>
      <c r="Q1067" s="16">
        <f>IF(NOT(Paths!$C$103=1),0,IF(Paths!$P$103="Complete",N1067*(1+'Operating costs'!$B$54)^-C1067,"n.a."))</f>
        <v>0</v>
      </c>
      <c r="R1067" s="16">
        <f>IF(NOT(Paths!$C$103=1),0,IF(Paths!$P$103="Complete",IF(AND(C1067=0,Paths!$E$103=0),I1067-J1067-K1067+VLOOKUP(A1067,'Fleet register'!$A$7:$S$106,15,FALSE)+VLOOKUP(A1067,'Fleet register'!$A$7:$S$106,16,FALSE),0),"n.a."))</f>
        <v>0</v>
      </c>
      <c r="S1067" s="1">
        <f>IF(NOT(Paths!$C$103=1),0,IF(Paths!$P$103="Complete",IF(C1067=0,0,Paths!$S$103*Paths!$R$103),"n.a."))</f>
        <v>0</v>
      </c>
      <c r="T1067" s="1">
        <f>IF(NOT(Paths!$C$103=1),0,IF(Paths!$P$103="Complete",IF(C1067=0,0,VLOOKUP(A1067,'Fleet register'!$A$7:$S$106,9,FALSE)*Paths!$R$103),"n.a."))</f>
        <v>0</v>
      </c>
    </row>
    <row r="1068" spans="1:20" ht="24" customHeight="1">
      <c r="A1068" s="1" t="str">
        <f>Paths!$A$103</f>
        <v>T025</v>
      </c>
      <c r="B1068" s="1">
        <f>Paths!$B$103</f>
        <v>0</v>
      </c>
      <c r="C1068" s="1">
        <v>5</v>
      </c>
      <c r="D1068" s="1">
        <v>103</v>
      </c>
      <c r="E1068" s="1">
        <f>IF(OR(Paths!$C$103=0,C1068=0),0,MAX(0,MIN(C1068*12,Paths!$E$103)-(C1068-1)*12))</f>
        <v>0</v>
      </c>
      <c r="F1068" s="1">
        <f>IF(OR(Paths!$C$103=0,C1068=0),0,12-E1068)</f>
        <v>0</v>
      </c>
      <c r="G1068" s="16">
        <f>IF(NOT(Paths!$C$103=1),0,IF(Paths!$P$103="Complete",E1068/12*(Paths!$J$103*(1+'Operating costs'!$B$51)^MAX(0,C1068-1)+Paths!$K$103*(1+'Operating costs'!$B$53)^MAX(0,C1068-1)),"n.a."))</f>
        <v>0</v>
      </c>
      <c r="H1068" s="16">
        <f>IF(NOT(Paths!$C$103=1),0,IF(Paths!$P$103="Complete",F1068/12*(Paths!$L$103*(1+IF(Paths!$D$103="EV",'Operating costs'!$B$52,'Operating costs'!$B$51))^MAX(0,C1068-1)+Paths!$M$103*(1+'Operating costs'!$B$53)^MAX(0,C1068-1)),"n.a."))</f>
        <v>0</v>
      </c>
      <c r="I1068" s="16">
        <f>IF(NOT(Paths!$C$103=1),0,IF(Paths!$P$103="Complete",IF(IF(Paths!$E$103=0,C1068=0,AND(C1068&gt;0,Paths!$E$103&gt;(C1068-1)*12,Paths!$E$103&lt;=C1068*12)),Paths!$G$103,0),"n.a."))</f>
        <v>0</v>
      </c>
      <c r="J1068" s="16">
        <f>IF(NOT(Paths!$C$103=1),0,IF(Paths!$P$103="Complete",IF(IF(Paths!$E$103=0,C1068=0,AND(C1068&gt;0,Paths!$E$103&gt;(C1068-1)*12,Paths!$E$103&lt;=C1068*12)),Paths!$H$103,0),"n.a."))</f>
        <v>0</v>
      </c>
      <c r="K1068" s="16">
        <f>IF(NOT(Paths!$C$103=1),0,IF(Paths!$P$103="Complete",IF(IF(Paths!$O$103=0,C1068=0,AND(C1068&gt;0,Paths!$O$103&gt;(C1068-1)*12,Paths!$O$103&lt;=C1068*12)),Paths!$N$103,0),"n.a."))</f>
        <v>0</v>
      </c>
      <c r="L1068" s="16">
        <f>IF(NOT(Paths!$C$103=1),0,IF(Paths!$P$103="Complete",IF(C1068=10,Paths!$I$103,0),"n.a."))</f>
        <v>0</v>
      </c>
      <c r="M1068" s="16">
        <f>IF(NOT(Paths!$C$103=1),0,IF(Paths!$P$103="Complete",IF(AND(Paths!$D$103="EV",Paths!$E$103&lt;120,Paths!$E$103+'Operating costs'!$B$65&gt;Paths!$E$103,Paths!$E$103+'Operating costs'!$B$65&lt;=120,IF(Paths!$E$103+'Operating costs'!$B$65=0,C1068=0,AND(C1068&gt;0,Paths!$E$103+'Operating costs'!$B$65&gt;(C1068-1)*12,Paths!$E$103+'Operating costs'!$B$65&lt;=C1068*12))),'Operating costs'!$B$64,0)+IF(AND('Operating costs'!$B$67&gt;0,'Operating costs'!$B$67&lt;=120,OR(Paths!$D$103="ICE",'Operating costs'!$B$67&lt;=Paths!$E$103),IF('Operating costs'!$B$67=0,C1068=0,AND(C1068&gt;0,'Operating costs'!$B$67&gt;(C1068-1)*12,'Operating costs'!$B$67&lt;=C1068*12))),'Operating costs'!$B$66,0),"n.a."))</f>
        <v>0</v>
      </c>
      <c r="N1068" s="16">
        <f>IF(NOT(Paths!$C$103=1),0,IF(Paths!$P$103="Complete",SUM(G1068:I1068)-J1068-K1068-L1068+M1068+IF(C1068=0,Paths!$F$103,0)+IF(IF(Paths!$E$103=0,C1068=0,AND(C1068&gt;0,Paths!$E$103&gt;(C1068-1)*12,Paths!$E$103&lt;=C1068*12)),VLOOKUP(A1068,'Fleet register'!$A$7:$S$106,16,FALSE),0),"n.a."))</f>
        <v>0</v>
      </c>
      <c r="O1068" s="16">
        <f>IF(NOT(Paths!$C$103=1),0,IF(Paths!$P$103="Complete",N1068-IF(C1068=0,Paths!$F$103,0),"n.a."))</f>
        <v>0</v>
      </c>
      <c r="P1068" s="16">
        <f>IF(NOT(Paths!$C$103=1),0,IF(Paths!$P$103="Complete",O1068+L1068,"n.a."))</f>
        <v>0</v>
      </c>
      <c r="Q1068" s="16">
        <f>IF(NOT(Paths!$C$103=1),0,IF(Paths!$P$103="Complete",N1068*(1+'Operating costs'!$B$54)^-C1068,"n.a."))</f>
        <v>0</v>
      </c>
      <c r="R1068" s="16">
        <f>IF(NOT(Paths!$C$103=1),0,IF(Paths!$P$103="Complete",IF(AND(C1068=0,Paths!$E$103=0),I1068-J1068-K1068+VLOOKUP(A1068,'Fleet register'!$A$7:$S$106,15,FALSE)+VLOOKUP(A1068,'Fleet register'!$A$7:$S$106,16,FALSE),0),"n.a."))</f>
        <v>0</v>
      </c>
      <c r="S1068" s="1">
        <f>IF(NOT(Paths!$C$103=1),0,IF(Paths!$P$103="Complete",IF(C1068=0,0,Paths!$S$103*Paths!$R$103),"n.a."))</f>
        <v>0</v>
      </c>
      <c r="T1068" s="1">
        <f>IF(NOT(Paths!$C$103=1),0,IF(Paths!$P$103="Complete",IF(C1068=0,0,VLOOKUP(A1068,'Fleet register'!$A$7:$S$106,9,FALSE)*Paths!$R$103),"n.a."))</f>
        <v>0</v>
      </c>
    </row>
    <row r="1069" spans="1:20" ht="24" customHeight="1">
      <c r="A1069" s="1" t="str">
        <f>Paths!$A$103</f>
        <v>T025</v>
      </c>
      <c r="B1069" s="1">
        <f>Paths!$B$103</f>
        <v>0</v>
      </c>
      <c r="C1069" s="1">
        <v>6</v>
      </c>
      <c r="D1069" s="1">
        <v>103</v>
      </c>
      <c r="E1069" s="1">
        <f>IF(OR(Paths!$C$103=0,C1069=0),0,MAX(0,MIN(C1069*12,Paths!$E$103)-(C1069-1)*12))</f>
        <v>0</v>
      </c>
      <c r="F1069" s="1">
        <f>IF(OR(Paths!$C$103=0,C1069=0),0,12-E1069)</f>
        <v>0</v>
      </c>
      <c r="G1069" s="16">
        <f>IF(NOT(Paths!$C$103=1),0,IF(Paths!$P$103="Complete",E1069/12*(Paths!$J$103*(1+'Operating costs'!$B$51)^MAX(0,C1069-1)+Paths!$K$103*(1+'Operating costs'!$B$53)^MAX(0,C1069-1)),"n.a."))</f>
        <v>0</v>
      </c>
      <c r="H1069" s="16">
        <f>IF(NOT(Paths!$C$103=1),0,IF(Paths!$P$103="Complete",F1069/12*(Paths!$L$103*(1+IF(Paths!$D$103="EV",'Operating costs'!$B$52,'Operating costs'!$B$51))^MAX(0,C1069-1)+Paths!$M$103*(1+'Operating costs'!$B$53)^MAX(0,C1069-1)),"n.a."))</f>
        <v>0</v>
      </c>
      <c r="I1069" s="16">
        <f>IF(NOT(Paths!$C$103=1),0,IF(Paths!$P$103="Complete",IF(IF(Paths!$E$103=0,C1069=0,AND(C1069&gt;0,Paths!$E$103&gt;(C1069-1)*12,Paths!$E$103&lt;=C1069*12)),Paths!$G$103,0),"n.a."))</f>
        <v>0</v>
      </c>
      <c r="J1069" s="16">
        <f>IF(NOT(Paths!$C$103=1),0,IF(Paths!$P$103="Complete",IF(IF(Paths!$E$103=0,C1069=0,AND(C1069&gt;0,Paths!$E$103&gt;(C1069-1)*12,Paths!$E$103&lt;=C1069*12)),Paths!$H$103,0),"n.a."))</f>
        <v>0</v>
      </c>
      <c r="K1069" s="16">
        <f>IF(NOT(Paths!$C$103=1),0,IF(Paths!$P$103="Complete",IF(IF(Paths!$O$103=0,C1069=0,AND(C1069&gt;0,Paths!$O$103&gt;(C1069-1)*12,Paths!$O$103&lt;=C1069*12)),Paths!$N$103,0),"n.a."))</f>
        <v>0</v>
      </c>
      <c r="L1069" s="16">
        <f>IF(NOT(Paths!$C$103=1),0,IF(Paths!$P$103="Complete",IF(C1069=10,Paths!$I$103,0),"n.a."))</f>
        <v>0</v>
      </c>
      <c r="M1069" s="16">
        <f>IF(NOT(Paths!$C$103=1),0,IF(Paths!$P$103="Complete",IF(AND(Paths!$D$103="EV",Paths!$E$103&lt;120,Paths!$E$103+'Operating costs'!$B$65&gt;Paths!$E$103,Paths!$E$103+'Operating costs'!$B$65&lt;=120,IF(Paths!$E$103+'Operating costs'!$B$65=0,C1069=0,AND(C1069&gt;0,Paths!$E$103+'Operating costs'!$B$65&gt;(C1069-1)*12,Paths!$E$103+'Operating costs'!$B$65&lt;=C1069*12))),'Operating costs'!$B$64,0)+IF(AND('Operating costs'!$B$67&gt;0,'Operating costs'!$B$67&lt;=120,OR(Paths!$D$103="ICE",'Operating costs'!$B$67&lt;=Paths!$E$103),IF('Operating costs'!$B$67=0,C1069=0,AND(C1069&gt;0,'Operating costs'!$B$67&gt;(C1069-1)*12,'Operating costs'!$B$67&lt;=C1069*12))),'Operating costs'!$B$66,0),"n.a."))</f>
        <v>0</v>
      </c>
      <c r="N1069" s="16">
        <f>IF(NOT(Paths!$C$103=1),0,IF(Paths!$P$103="Complete",SUM(G1069:I1069)-J1069-K1069-L1069+M1069+IF(C1069=0,Paths!$F$103,0)+IF(IF(Paths!$E$103=0,C1069=0,AND(C1069&gt;0,Paths!$E$103&gt;(C1069-1)*12,Paths!$E$103&lt;=C1069*12)),VLOOKUP(A1069,'Fleet register'!$A$7:$S$106,16,FALSE),0),"n.a."))</f>
        <v>0</v>
      </c>
      <c r="O1069" s="16">
        <f>IF(NOT(Paths!$C$103=1),0,IF(Paths!$P$103="Complete",N1069-IF(C1069=0,Paths!$F$103,0),"n.a."))</f>
        <v>0</v>
      </c>
      <c r="P1069" s="16">
        <f>IF(NOT(Paths!$C$103=1),0,IF(Paths!$P$103="Complete",O1069+L1069,"n.a."))</f>
        <v>0</v>
      </c>
      <c r="Q1069" s="16">
        <f>IF(NOT(Paths!$C$103=1),0,IF(Paths!$P$103="Complete",N1069*(1+'Operating costs'!$B$54)^-C1069,"n.a."))</f>
        <v>0</v>
      </c>
      <c r="R1069" s="16">
        <f>IF(NOT(Paths!$C$103=1),0,IF(Paths!$P$103="Complete",IF(AND(C1069=0,Paths!$E$103=0),I1069-J1069-K1069+VLOOKUP(A1069,'Fleet register'!$A$7:$S$106,15,FALSE)+VLOOKUP(A1069,'Fleet register'!$A$7:$S$106,16,FALSE),0),"n.a."))</f>
        <v>0</v>
      </c>
      <c r="S1069" s="1">
        <f>IF(NOT(Paths!$C$103=1),0,IF(Paths!$P$103="Complete",IF(C1069=0,0,Paths!$S$103*Paths!$R$103),"n.a."))</f>
        <v>0</v>
      </c>
      <c r="T1069" s="1">
        <f>IF(NOT(Paths!$C$103=1),0,IF(Paths!$P$103="Complete",IF(C1069=0,0,VLOOKUP(A1069,'Fleet register'!$A$7:$S$106,9,FALSE)*Paths!$R$103),"n.a."))</f>
        <v>0</v>
      </c>
    </row>
    <row r="1070" spans="1:20" ht="24" customHeight="1">
      <c r="A1070" s="1" t="str">
        <f>Paths!$A$103</f>
        <v>T025</v>
      </c>
      <c r="B1070" s="1">
        <f>Paths!$B$103</f>
        <v>0</v>
      </c>
      <c r="C1070" s="1">
        <v>7</v>
      </c>
      <c r="D1070" s="1">
        <v>103</v>
      </c>
      <c r="E1070" s="1">
        <f>IF(OR(Paths!$C$103=0,C1070=0),0,MAX(0,MIN(C1070*12,Paths!$E$103)-(C1070-1)*12))</f>
        <v>0</v>
      </c>
      <c r="F1070" s="1">
        <f>IF(OR(Paths!$C$103=0,C1070=0),0,12-E1070)</f>
        <v>0</v>
      </c>
      <c r="G1070" s="16">
        <f>IF(NOT(Paths!$C$103=1),0,IF(Paths!$P$103="Complete",E1070/12*(Paths!$J$103*(1+'Operating costs'!$B$51)^MAX(0,C1070-1)+Paths!$K$103*(1+'Operating costs'!$B$53)^MAX(0,C1070-1)),"n.a."))</f>
        <v>0</v>
      </c>
      <c r="H1070" s="16">
        <f>IF(NOT(Paths!$C$103=1),0,IF(Paths!$P$103="Complete",F1070/12*(Paths!$L$103*(1+IF(Paths!$D$103="EV",'Operating costs'!$B$52,'Operating costs'!$B$51))^MAX(0,C1070-1)+Paths!$M$103*(1+'Operating costs'!$B$53)^MAX(0,C1070-1)),"n.a."))</f>
        <v>0</v>
      </c>
      <c r="I1070" s="16">
        <f>IF(NOT(Paths!$C$103=1),0,IF(Paths!$P$103="Complete",IF(IF(Paths!$E$103=0,C1070=0,AND(C1070&gt;0,Paths!$E$103&gt;(C1070-1)*12,Paths!$E$103&lt;=C1070*12)),Paths!$G$103,0),"n.a."))</f>
        <v>0</v>
      </c>
      <c r="J1070" s="16">
        <f>IF(NOT(Paths!$C$103=1),0,IF(Paths!$P$103="Complete",IF(IF(Paths!$E$103=0,C1070=0,AND(C1070&gt;0,Paths!$E$103&gt;(C1070-1)*12,Paths!$E$103&lt;=C1070*12)),Paths!$H$103,0),"n.a."))</f>
        <v>0</v>
      </c>
      <c r="K1070" s="16">
        <f>IF(NOT(Paths!$C$103=1),0,IF(Paths!$P$103="Complete",IF(IF(Paths!$O$103=0,C1070=0,AND(C1070&gt;0,Paths!$O$103&gt;(C1070-1)*12,Paths!$O$103&lt;=C1070*12)),Paths!$N$103,0),"n.a."))</f>
        <v>0</v>
      </c>
      <c r="L1070" s="16">
        <f>IF(NOT(Paths!$C$103=1),0,IF(Paths!$P$103="Complete",IF(C1070=10,Paths!$I$103,0),"n.a."))</f>
        <v>0</v>
      </c>
      <c r="M1070" s="16">
        <f>IF(NOT(Paths!$C$103=1),0,IF(Paths!$P$103="Complete",IF(AND(Paths!$D$103="EV",Paths!$E$103&lt;120,Paths!$E$103+'Operating costs'!$B$65&gt;Paths!$E$103,Paths!$E$103+'Operating costs'!$B$65&lt;=120,IF(Paths!$E$103+'Operating costs'!$B$65=0,C1070=0,AND(C1070&gt;0,Paths!$E$103+'Operating costs'!$B$65&gt;(C1070-1)*12,Paths!$E$103+'Operating costs'!$B$65&lt;=C1070*12))),'Operating costs'!$B$64,0)+IF(AND('Operating costs'!$B$67&gt;0,'Operating costs'!$B$67&lt;=120,OR(Paths!$D$103="ICE",'Operating costs'!$B$67&lt;=Paths!$E$103),IF('Operating costs'!$B$67=0,C1070=0,AND(C1070&gt;0,'Operating costs'!$B$67&gt;(C1070-1)*12,'Operating costs'!$B$67&lt;=C1070*12))),'Operating costs'!$B$66,0),"n.a."))</f>
        <v>0</v>
      </c>
      <c r="N1070" s="16">
        <f>IF(NOT(Paths!$C$103=1),0,IF(Paths!$P$103="Complete",SUM(G1070:I1070)-J1070-K1070-L1070+M1070+IF(C1070=0,Paths!$F$103,0)+IF(IF(Paths!$E$103=0,C1070=0,AND(C1070&gt;0,Paths!$E$103&gt;(C1070-1)*12,Paths!$E$103&lt;=C1070*12)),VLOOKUP(A1070,'Fleet register'!$A$7:$S$106,16,FALSE),0),"n.a."))</f>
        <v>0</v>
      </c>
      <c r="O1070" s="16">
        <f>IF(NOT(Paths!$C$103=1),0,IF(Paths!$P$103="Complete",N1070-IF(C1070=0,Paths!$F$103,0),"n.a."))</f>
        <v>0</v>
      </c>
      <c r="P1070" s="16">
        <f>IF(NOT(Paths!$C$103=1),0,IF(Paths!$P$103="Complete",O1070+L1070,"n.a."))</f>
        <v>0</v>
      </c>
      <c r="Q1070" s="16">
        <f>IF(NOT(Paths!$C$103=1),0,IF(Paths!$P$103="Complete",N1070*(1+'Operating costs'!$B$54)^-C1070,"n.a."))</f>
        <v>0</v>
      </c>
      <c r="R1070" s="16">
        <f>IF(NOT(Paths!$C$103=1),0,IF(Paths!$P$103="Complete",IF(AND(C1070=0,Paths!$E$103=0),I1070-J1070-K1070+VLOOKUP(A1070,'Fleet register'!$A$7:$S$106,15,FALSE)+VLOOKUP(A1070,'Fleet register'!$A$7:$S$106,16,FALSE),0),"n.a."))</f>
        <v>0</v>
      </c>
      <c r="S1070" s="1">
        <f>IF(NOT(Paths!$C$103=1),0,IF(Paths!$P$103="Complete",IF(C1070=0,0,Paths!$S$103*Paths!$R$103),"n.a."))</f>
        <v>0</v>
      </c>
      <c r="T1070" s="1">
        <f>IF(NOT(Paths!$C$103=1),0,IF(Paths!$P$103="Complete",IF(C1070=0,0,VLOOKUP(A1070,'Fleet register'!$A$7:$S$106,9,FALSE)*Paths!$R$103),"n.a."))</f>
        <v>0</v>
      </c>
    </row>
    <row r="1071" spans="1:20" ht="24" customHeight="1">
      <c r="A1071" s="1" t="str">
        <f>Paths!$A$103</f>
        <v>T025</v>
      </c>
      <c r="B1071" s="1">
        <f>Paths!$B$103</f>
        <v>0</v>
      </c>
      <c r="C1071" s="1">
        <v>8</v>
      </c>
      <c r="D1071" s="1">
        <v>103</v>
      </c>
      <c r="E1071" s="1">
        <f>IF(OR(Paths!$C$103=0,C1071=0),0,MAX(0,MIN(C1071*12,Paths!$E$103)-(C1071-1)*12))</f>
        <v>0</v>
      </c>
      <c r="F1071" s="1">
        <f>IF(OR(Paths!$C$103=0,C1071=0),0,12-E1071)</f>
        <v>0</v>
      </c>
      <c r="G1071" s="16">
        <f>IF(NOT(Paths!$C$103=1),0,IF(Paths!$P$103="Complete",E1071/12*(Paths!$J$103*(1+'Operating costs'!$B$51)^MAX(0,C1071-1)+Paths!$K$103*(1+'Operating costs'!$B$53)^MAX(0,C1071-1)),"n.a."))</f>
        <v>0</v>
      </c>
      <c r="H1071" s="16">
        <f>IF(NOT(Paths!$C$103=1),0,IF(Paths!$P$103="Complete",F1071/12*(Paths!$L$103*(1+IF(Paths!$D$103="EV",'Operating costs'!$B$52,'Operating costs'!$B$51))^MAX(0,C1071-1)+Paths!$M$103*(1+'Operating costs'!$B$53)^MAX(0,C1071-1)),"n.a."))</f>
        <v>0</v>
      </c>
      <c r="I1071" s="16">
        <f>IF(NOT(Paths!$C$103=1),0,IF(Paths!$P$103="Complete",IF(IF(Paths!$E$103=0,C1071=0,AND(C1071&gt;0,Paths!$E$103&gt;(C1071-1)*12,Paths!$E$103&lt;=C1071*12)),Paths!$G$103,0),"n.a."))</f>
        <v>0</v>
      </c>
      <c r="J1071" s="16">
        <f>IF(NOT(Paths!$C$103=1),0,IF(Paths!$P$103="Complete",IF(IF(Paths!$E$103=0,C1071=0,AND(C1071&gt;0,Paths!$E$103&gt;(C1071-1)*12,Paths!$E$103&lt;=C1071*12)),Paths!$H$103,0),"n.a."))</f>
        <v>0</v>
      </c>
      <c r="K1071" s="16">
        <f>IF(NOT(Paths!$C$103=1),0,IF(Paths!$P$103="Complete",IF(IF(Paths!$O$103=0,C1071=0,AND(C1071&gt;0,Paths!$O$103&gt;(C1071-1)*12,Paths!$O$103&lt;=C1071*12)),Paths!$N$103,0),"n.a."))</f>
        <v>0</v>
      </c>
      <c r="L1071" s="16">
        <f>IF(NOT(Paths!$C$103=1),0,IF(Paths!$P$103="Complete",IF(C1071=10,Paths!$I$103,0),"n.a."))</f>
        <v>0</v>
      </c>
      <c r="M1071" s="16">
        <f>IF(NOT(Paths!$C$103=1),0,IF(Paths!$P$103="Complete",IF(AND(Paths!$D$103="EV",Paths!$E$103&lt;120,Paths!$E$103+'Operating costs'!$B$65&gt;Paths!$E$103,Paths!$E$103+'Operating costs'!$B$65&lt;=120,IF(Paths!$E$103+'Operating costs'!$B$65=0,C1071=0,AND(C1071&gt;0,Paths!$E$103+'Operating costs'!$B$65&gt;(C1071-1)*12,Paths!$E$103+'Operating costs'!$B$65&lt;=C1071*12))),'Operating costs'!$B$64,0)+IF(AND('Operating costs'!$B$67&gt;0,'Operating costs'!$B$67&lt;=120,OR(Paths!$D$103="ICE",'Operating costs'!$B$67&lt;=Paths!$E$103),IF('Operating costs'!$B$67=0,C1071=0,AND(C1071&gt;0,'Operating costs'!$B$67&gt;(C1071-1)*12,'Operating costs'!$B$67&lt;=C1071*12))),'Operating costs'!$B$66,0),"n.a."))</f>
        <v>0</v>
      </c>
      <c r="N1071" s="16">
        <f>IF(NOT(Paths!$C$103=1),0,IF(Paths!$P$103="Complete",SUM(G1071:I1071)-J1071-K1071-L1071+M1071+IF(C1071=0,Paths!$F$103,0)+IF(IF(Paths!$E$103=0,C1071=0,AND(C1071&gt;0,Paths!$E$103&gt;(C1071-1)*12,Paths!$E$103&lt;=C1071*12)),VLOOKUP(A1071,'Fleet register'!$A$7:$S$106,16,FALSE),0),"n.a."))</f>
        <v>0</v>
      </c>
      <c r="O1071" s="16">
        <f>IF(NOT(Paths!$C$103=1),0,IF(Paths!$P$103="Complete",N1071-IF(C1071=0,Paths!$F$103,0),"n.a."))</f>
        <v>0</v>
      </c>
      <c r="P1071" s="16">
        <f>IF(NOT(Paths!$C$103=1),0,IF(Paths!$P$103="Complete",O1071+L1071,"n.a."))</f>
        <v>0</v>
      </c>
      <c r="Q1071" s="16">
        <f>IF(NOT(Paths!$C$103=1),0,IF(Paths!$P$103="Complete",N1071*(1+'Operating costs'!$B$54)^-C1071,"n.a."))</f>
        <v>0</v>
      </c>
      <c r="R1071" s="16">
        <f>IF(NOT(Paths!$C$103=1),0,IF(Paths!$P$103="Complete",IF(AND(C1071=0,Paths!$E$103=0),I1071-J1071-K1071+VLOOKUP(A1071,'Fleet register'!$A$7:$S$106,15,FALSE)+VLOOKUP(A1071,'Fleet register'!$A$7:$S$106,16,FALSE),0),"n.a."))</f>
        <v>0</v>
      </c>
      <c r="S1071" s="1">
        <f>IF(NOT(Paths!$C$103=1),0,IF(Paths!$P$103="Complete",IF(C1071=0,0,Paths!$S$103*Paths!$R$103),"n.a."))</f>
        <v>0</v>
      </c>
      <c r="T1071" s="1">
        <f>IF(NOT(Paths!$C$103=1),0,IF(Paths!$P$103="Complete",IF(C1071=0,0,VLOOKUP(A1071,'Fleet register'!$A$7:$S$106,9,FALSE)*Paths!$R$103),"n.a."))</f>
        <v>0</v>
      </c>
    </row>
    <row r="1072" spans="1:20" ht="24" customHeight="1">
      <c r="A1072" s="1" t="str">
        <f>Paths!$A$103</f>
        <v>T025</v>
      </c>
      <c r="B1072" s="1">
        <f>Paths!$B$103</f>
        <v>0</v>
      </c>
      <c r="C1072" s="1">
        <v>9</v>
      </c>
      <c r="D1072" s="1">
        <v>103</v>
      </c>
      <c r="E1072" s="1">
        <f>IF(OR(Paths!$C$103=0,C1072=0),0,MAX(0,MIN(C1072*12,Paths!$E$103)-(C1072-1)*12))</f>
        <v>0</v>
      </c>
      <c r="F1072" s="1">
        <f>IF(OR(Paths!$C$103=0,C1072=0),0,12-E1072)</f>
        <v>0</v>
      </c>
      <c r="G1072" s="16">
        <f>IF(NOT(Paths!$C$103=1),0,IF(Paths!$P$103="Complete",E1072/12*(Paths!$J$103*(1+'Operating costs'!$B$51)^MAX(0,C1072-1)+Paths!$K$103*(1+'Operating costs'!$B$53)^MAX(0,C1072-1)),"n.a."))</f>
        <v>0</v>
      </c>
      <c r="H1072" s="16">
        <f>IF(NOT(Paths!$C$103=1),0,IF(Paths!$P$103="Complete",F1072/12*(Paths!$L$103*(1+IF(Paths!$D$103="EV",'Operating costs'!$B$52,'Operating costs'!$B$51))^MAX(0,C1072-1)+Paths!$M$103*(1+'Operating costs'!$B$53)^MAX(0,C1072-1)),"n.a."))</f>
        <v>0</v>
      </c>
      <c r="I1072" s="16">
        <f>IF(NOT(Paths!$C$103=1),0,IF(Paths!$P$103="Complete",IF(IF(Paths!$E$103=0,C1072=0,AND(C1072&gt;0,Paths!$E$103&gt;(C1072-1)*12,Paths!$E$103&lt;=C1072*12)),Paths!$G$103,0),"n.a."))</f>
        <v>0</v>
      </c>
      <c r="J1072" s="16">
        <f>IF(NOT(Paths!$C$103=1),0,IF(Paths!$P$103="Complete",IF(IF(Paths!$E$103=0,C1072=0,AND(C1072&gt;0,Paths!$E$103&gt;(C1072-1)*12,Paths!$E$103&lt;=C1072*12)),Paths!$H$103,0),"n.a."))</f>
        <v>0</v>
      </c>
      <c r="K1072" s="16">
        <f>IF(NOT(Paths!$C$103=1),0,IF(Paths!$P$103="Complete",IF(IF(Paths!$O$103=0,C1072=0,AND(C1072&gt;0,Paths!$O$103&gt;(C1072-1)*12,Paths!$O$103&lt;=C1072*12)),Paths!$N$103,0),"n.a."))</f>
        <v>0</v>
      </c>
      <c r="L1072" s="16">
        <f>IF(NOT(Paths!$C$103=1),0,IF(Paths!$P$103="Complete",IF(C1072=10,Paths!$I$103,0),"n.a."))</f>
        <v>0</v>
      </c>
      <c r="M1072" s="16">
        <f>IF(NOT(Paths!$C$103=1),0,IF(Paths!$P$103="Complete",IF(AND(Paths!$D$103="EV",Paths!$E$103&lt;120,Paths!$E$103+'Operating costs'!$B$65&gt;Paths!$E$103,Paths!$E$103+'Operating costs'!$B$65&lt;=120,IF(Paths!$E$103+'Operating costs'!$B$65=0,C1072=0,AND(C1072&gt;0,Paths!$E$103+'Operating costs'!$B$65&gt;(C1072-1)*12,Paths!$E$103+'Operating costs'!$B$65&lt;=C1072*12))),'Operating costs'!$B$64,0)+IF(AND('Operating costs'!$B$67&gt;0,'Operating costs'!$B$67&lt;=120,OR(Paths!$D$103="ICE",'Operating costs'!$B$67&lt;=Paths!$E$103),IF('Operating costs'!$B$67=0,C1072=0,AND(C1072&gt;0,'Operating costs'!$B$67&gt;(C1072-1)*12,'Operating costs'!$B$67&lt;=C1072*12))),'Operating costs'!$B$66,0),"n.a."))</f>
        <v>0</v>
      </c>
      <c r="N1072" s="16">
        <f>IF(NOT(Paths!$C$103=1),0,IF(Paths!$P$103="Complete",SUM(G1072:I1072)-J1072-K1072-L1072+M1072+IF(C1072=0,Paths!$F$103,0)+IF(IF(Paths!$E$103=0,C1072=0,AND(C1072&gt;0,Paths!$E$103&gt;(C1072-1)*12,Paths!$E$103&lt;=C1072*12)),VLOOKUP(A1072,'Fleet register'!$A$7:$S$106,16,FALSE),0),"n.a."))</f>
        <v>0</v>
      </c>
      <c r="O1072" s="16">
        <f>IF(NOT(Paths!$C$103=1),0,IF(Paths!$P$103="Complete",N1072-IF(C1072=0,Paths!$F$103,0),"n.a."))</f>
        <v>0</v>
      </c>
      <c r="P1072" s="16">
        <f>IF(NOT(Paths!$C$103=1),0,IF(Paths!$P$103="Complete",O1072+L1072,"n.a."))</f>
        <v>0</v>
      </c>
      <c r="Q1072" s="16">
        <f>IF(NOT(Paths!$C$103=1),0,IF(Paths!$P$103="Complete",N1072*(1+'Operating costs'!$B$54)^-C1072,"n.a."))</f>
        <v>0</v>
      </c>
      <c r="R1072" s="16">
        <f>IF(NOT(Paths!$C$103=1),0,IF(Paths!$P$103="Complete",IF(AND(C1072=0,Paths!$E$103=0),I1072-J1072-K1072+VLOOKUP(A1072,'Fleet register'!$A$7:$S$106,15,FALSE)+VLOOKUP(A1072,'Fleet register'!$A$7:$S$106,16,FALSE),0),"n.a."))</f>
        <v>0</v>
      </c>
      <c r="S1072" s="1">
        <f>IF(NOT(Paths!$C$103=1),0,IF(Paths!$P$103="Complete",IF(C1072=0,0,Paths!$S$103*Paths!$R$103),"n.a."))</f>
        <v>0</v>
      </c>
      <c r="T1072" s="1">
        <f>IF(NOT(Paths!$C$103=1),0,IF(Paths!$P$103="Complete",IF(C1072=0,0,VLOOKUP(A1072,'Fleet register'!$A$7:$S$106,9,FALSE)*Paths!$R$103),"n.a."))</f>
        <v>0</v>
      </c>
    </row>
    <row r="1073" spans="1:20" ht="24" customHeight="1">
      <c r="A1073" s="1" t="str">
        <f>Paths!$A$103</f>
        <v>T025</v>
      </c>
      <c r="B1073" s="1">
        <f>Paths!$B$103</f>
        <v>0</v>
      </c>
      <c r="C1073" s="1">
        <v>10</v>
      </c>
      <c r="D1073" s="1">
        <v>103</v>
      </c>
      <c r="E1073" s="1">
        <f>IF(OR(Paths!$C$103=0,C1073=0),0,MAX(0,MIN(C1073*12,Paths!$E$103)-(C1073-1)*12))</f>
        <v>0</v>
      </c>
      <c r="F1073" s="1">
        <f>IF(OR(Paths!$C$103=0,C1073=0),0,12-E1073)</f>
        <v>0</v>
      </c>
      <c r="G1073" s="16">
        <f>IF(NOT(Paths!$C$103=1),0,IF(Paths!$P$103="Complete",E1073/12*(Paths!$J$103*(1+'Operating costs'!$B$51)^MAX(0,C1073-1)+Paths!$K$103*(1+'Operating costs'!$B$53)^MAX(0,C1073-1)),"n.a."))</f>
        <v>0</v>
      </c>
      <c r="H1073" s="16">
        <f>IF(NOT(Paths!$C$103=1),0,IF(Paths!$P$103="Complete",F1073/12*(Paths!$L$103*(1+IF(Paths!$D$103="EV",'Operating costs'!$B$52,'Operating costs'!$B$51))^MAX(0,C1073-1)+Paths!$M$103*(1+'Operating costs'!$B$53)^MAX(0,C1073-1)),"n.a."))</f>
        <v>0</v>
      </c>
      <c r="I1073" s="16">
        <f>IF(NOT(Paths!$C$103=1),0,IF(Paths!$P$103="Complete",IF(IF(Paths!$E$103=0,C1073=0,AND(C1073&gt;0,Paths!$E$103&gt;(C1073-1)*12,Paths!$E$103&lt;=C1073*12)),Paths!$G$103,0),"n.a."))</f>
        <v>0</v>
      </c>
      <c r="J1073" s="16">
        <f>IF(NOT(Paths!$C$103=1),0,IF(Paths!$P$103="Complete",IF(IF(Paths!$E$103=0,C1073=0,AND(C1073&gt;0,Paths!$E$103&gt;(C1073-1)*12,Paths!$E$103&lt;=C1073*12)),Paths!$H$103,0),"n.a."))</f>
        <v>0</v>
      </c>
      <c r="K1073" s="16">
        <f>IF(NOT(Paths!$C$103=1),0,IF(Paths!$P$103="Complete",IF(IF(Paths!$O$103=0,C1073=0,AND(C1073&gt;0,Paths!$O$103&gt;(C1073-1)*12,Paths!$O$103&lt;=C1073*12)),Paths!$N$103,0),"n.a."))</f>
        <v>0</v>
      </c>
      <c r="L1073" s="16">
        <f>IF(NOT(Paths!$C$103=1),0,IF(Paths!$P$103="Complete",IF(C1073=10,Paths!$I$103,0),"n.a."))</f>
        <v>0</v>
      </c>
      <c r="M1073" s="16">
        <f>IF(NOT(Paths!$C$103=1),0,IF(Paths!$P$103="Complete",IF(AND(Paths!$D$103="EV",Paths!$E$103&lt;120,Paths!$E$103+'Operating costs'!$B$65&gt;Paths!$E$103,Paths!$E$103+'Operating costs'!$B$65&lt;=120,IF(Paths!$E$103+'Operating costs'!$B$65=0,C1073=0,AND(C1073&gt;0,Paths!$E$103+'Operating costs'!$B$65&gt;(C1073-1)*12,Paths!$E$103+'Operating costs'!$B$65&lt;=C1073*12))),'Operating costs'!$B$64,0)+IF(AND('Operating costs'!$B$67&gt;0,'Operating costs'!$B$67&lt;=120,OR(Paths!$D$103="ICE",'Operating costs'!$B$67&lt;=Paths!$E$103),IF('Operating costs'!$B$67=0,C1073=0,AND(C1073&gt;0,'Operating costs'!$B$67&gt;(C1073-1)*12,'Operating costs'!$B$67&lt;=C1073*12))),'Operating costs'!$B$66,0),"n.a."))</f>
        <v>0</v>
      </c>
      <c r="N1073" s="16">
        <f>IF(NOT(Paths!$C$103=1),0,IF(Paths!$P$103="Complete",SUM(G1073:I1073)-J1073-K1073-L1073+M1073+IF(C1073=0,Paths!$F$103,0)+IF(IF(Paths!$E$103=0,C1073=0,AND(C1073&gt;0,Paths!$E$103&gt;(C1073-1)*12,Paths!$E$103&lt;=C1073*12)),VLOOKUP(A1073,'Fleet register'!$A$7:$S$106,16,FALSE),0),"n.a."))</f>
        <v>0</v>
      </c>
      <c r="O1073" s="16">
        <f>IF(NOT(Paths!$C$103=1),0,IF(Paths!$P$103="Complete",N1073-IF(C1073=0,Paths!$F$103,0),"n.a."))</f>
        <v>0</v>
      </c>
      <c r="P1073" s="16">
        <f>IF(NOT(Paths!$C$103=1),0,IF(Paths!$P$103="Complete",O1073+L1073,"n.a."))</f>
        <v>0</v>
      </c>
      <c r="Q1073" s="16">
        <f>IF(NOT(Paths!$C$103=1),0,IF(Paths!$P$103="Complete",N1073*(1+'Operating costs'!$B$54)^-C1073,"n.a."))</f>
        <v>0</v>
      </c>
      <c r="R1073" s="16">
        <f>IF(NOT(Paths!$C$103=1),0,IF(Paths!$P$103="Complete",IF(AND(C1073=0,Paths!$E$103=0),I1073-J1073-K1073+VLOOKUP(A1073,'Fleet register'!$A$7:$S$106,15,FALSE)+VLOOKUP(A1073,'Fleet register'!$A$7:$S$106,16,FALSE),0),"n.a."))</f>
        <v>0</v>
      </c>
      <c r="S1073" s="1">
        <f>IF(NOT(Paths!$C$103=1),0,IF(Paths!$P$103="Complete",IF(C1073=0,0,Paths!$S$103*Paths!$R$103),"n.a."))</f>
        <v>0</v>
      </c>
      <c r="T1073" s="1">
        <f>IF(NOT(Paths!$C$103=1),0,IF(Paths!$P$103="Complete",IF(C1073=0,0,VLOOKUP(A1073,'Fleet register'!$A$7:$S$106,9,FALSE)*Paths!$R$103),"n.a."))</f>
        <v>0</v>
      </c>
    </row>
    <row r="1074" spans="1:20" ht="24" customHeight="1">
      <c r="A1074" s="1" t="str">
        <f>Paths!$A$104</f>
        <v>T025</v>
      </c>
      <c r="B1074" s="1">
        <f>Paths!$B$104</f>
        <v>1</v>
      </c>
      <c r="C1074" s="1">
        <v>0</v>
      </c>
      <c r="D1074" s="1">
        <v>104</v>
      </c>
      <c r="E1074" s="1">
        <f>IF(OR(Paths!$C$104=0,C1074=0),0,MAX(0,MIN(C1074*12,Paths!$E$104)-(C1074-1)*12))</f>
        <v>0</v>
      </c>
      <c r="F1074" s="1">
        <f>IF(OR(Paths!$C$104=0,C1074=0),0,12-E1074)</f>
        <v>0</v>
      </c>
      <c r="G1074" s="16">
        <f>IF(NOT(Paths!$C$104=1),0,IF(Paths!$P$104="Complete",E1074/12*(Paths!$J$104*(1+'Operating costs'!$B$51)^MAX(0,C1074-1)+Paths!$K$104*(1+'Operating costs'!$B$53)^MAX(0,C1074-1)),"n.a."))</f>
        <v>0</v>
      </c>
      <c r="H1074" s="16">
        <f>IF(NOT(Paths!$C$104=1),0,IF(Paths!$P$104="Complete",F1074/12*(Paths!$L$104*(1+IF(Paths!$D$104="EV",'Operating costs'!$B$52,'Operating costs'!$B$51))^MAX(0,C1074-1)+Paths!$M$104*(1+'Operating costs'!$B$53)^MAX(0,C1074-1)),"n.a."))</f>
        <v>0</v>
      </c>
      <c r="I1074" s="16">
        <f>IF(NOT(Paths!$C$104=1),0,IF(Paths!$P$104="Complete",IF(IF(Paths!$E$104=0,C1074=0,AND(C1074&gt;0,Paths!$E$104&gt;(C1074-1)*12,Paths!$E$104&lt;=C1074*12)),Paths!$G$104,0),"n.a."))</f>
        <v>0</v>
      </c>
      <c r="J1074" s="16">
        <f>IF(NOT(Paths!$C$104=1),0,IF(Paths!$P$104="Complete",IF(IF(Paths!$E$104=0,C1074=0,AND(C1074&gt;0,Paths!$E$104&gt;(C1074-1)*12,Paths!$E$104&lt;=C1074*12)),Paths!$H$104,0),"n.a."))</f>
        <v>0</v>
      </c>
      <c r="K1074" s="16">
        <f>IF(NOT(Paths!$C$104=1),0,IF(Paths!$P$104="Complete",IF(IF(Paths!$O$104=0,C1074=0,AND(C1074&gt;0,Paths!$O$104&gt;(C1074-1)*12,Paths!$O$104&lt;=C1074*12)),Paths!$N$104,0),"n.a."))</f>
        <v>0</v>
      </c>
      <c r="L1074" s="16">
        <f>IF(NOT(Paths!$C$104=1),0,IF(Paths!$P$104="Complete",IF(C1074=10,Paths!$I$104,0),"n.a."))</f>
        <v>0</v>
      </c>
      <c r="M1074" s="16">
        <f>IF(NOT(Paths!$C$104=1),0,IF(Paths!$P$104="Complete",IF(AND(Paths!$D$104="EV",Paths!$E$104&lt;120,Paths!$E$104+'Operating costs'!$B$65&gt;Paths!$E$104,Paths!$E$104+'Operating costs'!$B$65&lt;=120,IF(Paths!$E$104+'Operating costs'!$B$65=0,C1074=0,AND(C1074&gt;0,Paths!$E$104+'Operating costs'!$B$65&gt;(C1074-1)*12,Paths!$E$104+'Operating costs'!$B$65&lt;=C1074*12))),'Operating costs'!$B$64,0)+IF(AND('Operating costs'!$B$67&gt;0,'Operating costs'!$B$67&lt;=120,OR(Paths!$D$104="ICE",'Operating costs'!$B$67&lt;=Paths!$E$104),IF('Operating costs'!$B$67=0,C1074=0,AND(C1074&gt;0,'Operating costs'!$B$67&gt;(C1074-1)*12,'Operating costs'!$B$67&lt;=C1074*12))),'Operating costs'!$B$66,0),"n.a."))</f>
        <v>0</v>
      </c>
      <c r="N1074" s="16">
        <f>IF(NOT(Paths!$C$104=1),0,IF(Paths!$P$104="Complete",SUM(G1074:I1074)-J1074-K1074-L1074+M1074+IF(C1074=0,Paths!$F$104,0)+IF(IF(Paths!$E$104=0,C1074=0,AND(C1074&gt;0,Paths!$E$104&gt;(C1074-1)*12,Paths!$E$104&lt;=C1074*12)),VLOOKUP(A1074,'Fleet register'!$A$7:$S$106,16,FALSE),0),"n.a."))</f>
        <v>0</v>
      </c>
      <c r="O1074" s="16">
        <f>IF(NOT(Paths!$C$104=1),0,IF(Paths!$P$104="Complete",N1074-IF(C1074=0,Paths!$F$104,0),"n.a."))</f>
        <v>0</v>
      </c>
      <c r="P1074" s="16">
        <f>IF(NOT(Paths!$C$104=1),0,IF(Paths!$P$104="Complete",O1074+L1074,"n.a."))</f>
        <v>0</v>
      </c>
      <c r="Q1074" s="16">
        <f>IF(NOT(Paths!$C$104=1),0,IF(Paths!$P$104="Complete",N1074*(1+'Operating costs'!$B$54)^-C1074,"n.a."))</f>
        <v>0</v>
      </c>
      <c r="R1074" s="16">
        <f>IF(NOT(Paths!$C$104=1),0,IF(Paths!$P$104="Complete",IF(AND(C1074=0,Paths!$E$104=0),I1074-J1074-K1074+VLOOKUP(A1074,'Fleet register'!$A$7:$S$106,15,FALSE)+VLOOKUP(A1074,'Fleet register'!$A$7:$S$106,16,FALSE),0),"n.a."))</f>
        <v>0</v>
      </c>
      <c r="S1074" s="1">
        <f>IF(NOT(Paths!$C$104=1),0,IF(Paths!$P$104="Complete",IF(C1074=0,0,Paths!$S$104*Paths!$R$104),"n.a."))</f>
        <v>0</v>
      </c>
      <c r="T1074" s="1">
        <f>IF(NOT(Paths!$C$104=1),0,IF(Paths!$P$104="Complete",IF(C1074=0,0,VLOOKUP(A1074,'Fleet register'!$A$7:$S$106,9,FALSE)*Paths!$R$104),"n.a."))</f>
        <v>0</v>
      </c>
    </row>
    <row r="1075" spans="1:20" ht="24" customHeight="1">
      <c r="A1075" s="1" t="str">
        <f>Paths!$A$104</f>
        <v>T025</v>
      </c>
      <c r="B1075" s="1">
        <f>Paths!$B$104</f>
        <v>1</v>
      </c>
      <c r="C1075" s="1">
        <v>1</v>
      </c>
      <c r="D1075" s="1">
        <v>104</v>
      </c>
      <c r="E1075" s="1">
        <f>IF(OR(Paths!$C$104=0,C1075=0),0,MAX(0,MIN(C1075*12,Paths!$E$104)-(C1075-1)*12))</f>
        <v>0</v>
      </c>
      <c r="F1075" s="1">
        <f>IF(OR(Paths!$C$104=0,C1075=0),0,12-E1075)</f>
        <v>0</v>
      </c>
      <c r="G1075" s="16">
        <f>IF(NOT(Paths!$C$104=1),0,IF(Paths!$P$104="Complete",E1075/12*(Paths!$J$104*(1+'Operating costs'!$B$51)^MAX(0,C1075-1)+Paths!$K$104*(1+'Operating costs'!$B$53)^MAX(0,C1075-1)),"n.a."))</f>
        <v>0</v>
      </c>
      <c r="H1075" s="16">
        <f>IF(NOT(Paths!$C$104=1),0,IF(Paths!$P$104="Complete",F1075/12*(Paths!$L$104*(1+IF(Paths!$D$104="EV",'Operating costs'!$B$52,'Operating costs'!$B$51))^MAX(0,C1075-1)+Paths!$M$104*(1+'Operating costs'!$B$53)^MAX(0,C1075-1)),"n.a."))</f>
        <v>0</v>
      </c>
      <c r="I1075" s="16">
        <f>IF(NOT(Paths!$C$104=1),0,IF(Paths!$P$104="Complete",IF(IF(Paths!$E$104=0,C1075=0,AND(C1075&gt;0,Paths!$E$104&gt;(C1075-1)*12,Paths!$E$104&lt;=C1075*12)),Paths!$G$104,0),"n.a."))</f>
        <v>0</v>
      </c>
      <c r="J1075" s="16">
        <f>IF(NOT(Paths!$C$104=1),0,IF(Paths!$P$104="Complete",IF(IF(Paths!$E$104=0,C1075=0,AND(C1075&gt;0,Paths!$E$104&gt;(C1075-1)*12,Paths!$E$104&lt;=C1075*12)),Paths!$H$104,0),"n.a."))</f>
        <v>0</v>
      </c>
      <c r="K1075" s="16">
        <f>IF(NOT(Paths!$C$104=1),0,IF(Paths!$P$104="Complete",IF(IF(Paths!$O$104=0,C1075=0,AND(C1075&gt;0,Paths!$O$104&gt;(C1075-1)*12,Paths!$O$104&lt;=C1075*12)),Paths!$N$104,0),"n.a."))</f>
        <v>0</v>
      </c>
      <c r="L1075" s="16">
        <f>IF(NOT(Paths!$C$104=1),0,IF(Paths!$P$104="Complete",IF(C1075=10,Paths!$I$104,0),"n.a."))</f>
        <v>0</v>
      </c>
      <c r="M1075" s="16">
        <f>IF(NOT(Paths!$C$104=1),0,IF(Paths!$P$104="Complete",IF(AND(Paths!$D$104="EV",Paths!$E$104&lt;120,Paths!$E$104+'Operating costs'!$B$65&gt;Paths!$E$104,Paths!$E$104+'Operating costs'!$B$65&lt;=120,IF(Paths!$E$104+'Operating costs'!$B$65=0,C1075=0,AND(C1075&gt;0,Paths!$E$104+'Operating costs'!$B$65&gt;(C1075-1)*12,Paths!$E$104+'Operating costs'!$B$65&lt;=C1075*12))),'Operating costs'!$B$64,0)+IF(AND('Operating costs'!$B$67&gt;0,'Operating costs'!$B$67&lt;=120,OR(Paths!$D$104="ICE",'Operating costs'!$B$67&lt;=Paths!$E$104),IF('Operating costs'!$B$67=0,C1075=0,AND(C1075&gt;0,'Operating costs'!$B$67&gt;(C1075-1)*12,'Operating costs'!$B$67&lt;=C1075*12))),'Operating costs'!$B$66,0),"n.a."))</f>
        <v>0</v>
      </c>
      <c r="N1075" s="16">
        <f>IF(NOT(Paths!$C$104=1),0,IF(Paths!$P$104="Complete",SUM(G1075:I1075)-J1075-K1075-L1075+M1075+IF(C1075=0,Paths!$F$104,0)+IF(IF(Paths!$E$104=0,C1075=0,AND(C1075&gt;0,Paths!$E$104&gt;(C1075-1)*12,Paths!$E$104&lt;=C1075*12)),VLOOKUP(A1075,'Fleet register'!$A$7:$S$106,16,FALSE),0),"n.a."))</f>
        <v>0</v>
      </c>
      <c r="O1075" s="16">
        <f>IF(NOT(Paths!$C$104=1),0,IF(Paths!$P$104="Complete",N1075-IF(C1075=0,Paths!$F$104,0),"n.a."))</f>
        <v>0</v>
      </c>
      <c r="P1075" s="16">
        <f>IF(NOT(Paths!$C$104=1),0,IF(Paths!$P$104="Complete",O1075+L1075,"n.a."))</f>
        <v>0</v>
      </c>
      <c r="Q1075" s="16">
        <f>IF(NOT(Paths!$C$104=1),0,IF(Paths!$P$104="Complete",N1075*(1+'Operating costs'!$B$54)^-C1075,"n.a."))</f>
        <v>0</v>
      </c>
      <c r="R1075" s="16">
        <f>IF(NOT(Paths!$C$104=1),0,IF(Paths!$P$104="Complete",IF(AND(C1075=0,Paths!$E$104=0),I1075-J1075-K1075+VLOOKUP(A1075,'Fleet register'!$A$7:$S$106,15,FALSE)+VLOOKUP(A1075,'Fleet register'!$A$7:$S$106,16,FALSE),0),"n.a."))</f>
        <v>0</v>
      </c>
      <c r="S1075" s="1">
        <f>IF(NOT(Paths!$C$104=1),0,IF(Paths!$P$104="Complete",IF(C1075=0,0,Paths!$S$104*Paths!$R$104),"n.a."))</f>
        <v>0</v>
      </c>
      <c r="T1075" s="1">
        <f>IF(NOT(Paths!$C$104=1),0,IF(Paths!$P$104="Complete",IF(C1075=0,0,VLOOKUP(A1075,'Fleet register'!$A$7:$S$106,9,FALSE)*Paths!$R$104),"n.a."))</f>
        <v>0</v>
      </c>
    </row>
    <row r="1076" spans="1:20" ht="24" customHeight="1">
      <c r="A1076" s="1" t="str">
        <f>Paths!$A$104</f>
        <v>T025</v>
      </c>
      <c r="B1076" s="1">
        <f>Paths!$B$104</f>
        <v>1</v>
      </c>
      <c r="C1076" s="1">
        <v>2</v>
      </c>
      <c r="D1076" s="1">
        <v>104</v>
      </c>
      <c r="E1076" s="1">
        <f>IF(OR(Paths!$C$104=0,C1076=0),0,MAX(0,MIN(C1076*12,Paths!$E$104)-(C1076-1)*12))</f>
        <v>0</v>
      </c>
      <c r="F1076" s="1">
        <f>IF(OR(Paths!$C$104=0,C1076=0),0,12-E1076)</f>
        <v>0</v>
      </c>
      <c r="G1076" s="16">
        <f>IF(NOT(Paths!$C$104=1),0,IF(Paths!$P$104="Complete",E1076/12*(Paths!$J$104*(1+'Operating costs'!$B$51)^MAX(0,C1076-1)+Paths!$K$104*(1+'Operating costs'!$B$53)^MAX(0,C1076-1)),"n.a."))</f>
        <v>0</v>
      </c>
      <c r="H1076" s="16">
        <f>IF(NOT(Paths!$C$104=1),0,IF(Paths!$P$104="Complete",F1076/12*(Paths!$L$104*(1+IF(Paths!$D$104="EV",'Operating costs'!$B$52,'Operating costs'!$B$51))^MAX(0,C1076-1)+Paths!$M$104*(1+'Operating costs'!$B$53)^MAX(0,C1076-1)),"n.a."))</f>
        <v>0</v>
      </c>
      <c r="I1076" s="16">
        <f>IF(NOT(Paths!$C$104=1),0,IF(Paths!$P$104="Complete",IF(IF(Paths!$E$104=0,C1076=0,AND(C1076&gt;0,Paths!$E$104&gt;(C1076-1)*12,Paths!$E$104&lt;=C1076*12)),Paths!$G$104,0),"n.a."))</f>
        <v>0</v>
      </c>
      <c r="J1076" s="16">
        <f>IF(NOT(Paths!$C$104=1),0,IF(Paths!$P$104="Complete",IF(IF(Paths!$E$104=0,C1076=0,AND(C1076&gt;0,Paths!$E$104&gt;(C1076-1)*12,Paths!$E$104&lt;=C1076*12)),Paths!$H$104,0),"n.a."))</f>
        <v>0</v>
      </c>
      <c r="K1076" s="16">
        <f>IF(NOT(Paths!$C$104=1),0,IF(Paths!$P$104="Complete",IF(IF(Paths!$O$104=0,C1076=0,AND(C1076&gt;0,Paths!$O$104&gt;(C1076-1)*12,Paths!$O$104&lt;=C1076*12)),Paths!$N$104,0),"n.a."))</f>
        <v>0</v>
      </c>
      <c r="L1076" s="16">
        <f>IF(NOT(Paths!$C$104=1),0,IF(Paths!$P$104="Complete",IF(C1076=10,Paths!$I$104,0),"n.a."))</f>
        <v>0</v>
      </c>
      <c r="M1076" s="16">
        <f>IF(NOT(Paths!$C$104=1),0,IF(Paths!$P$104="Complete",IF(AND(Paths!$D$104="EV",Paths!$E$104&lt;120,Paths!$E$104+'Operating costs'!$B$65&gt;Paths!$E$104,Paths!$E$104+'Operating costs'!$B$65&lt;=120,IF(Paths!$E$104+'Operating costs'!$B$65=0,C1076=0,AND(C1076&gt;0,Paths!$E$104+'Operating costs'!$B$65&gt;(C1076-1)*12,Paths!$E$104+'Operating costs'!$B$65&lt;=C1076*12))),'Operating costs'!$B$64,0)+IF(AND('Operating costs'!$B$67&gt;0,'Operating costs'!$B$67&lt;=120,OR(Paths!$D$104="ICE",'Operating costs'!$B$67&lt;=Paths!$E$104),IF('Operating costs'!$B$67=0,C1076=0,AND(C1076&gt;0,'Operating costs'!$B$67&gt;(C1076-1)*12,'Operating costs'!$B$67&lt;=C1076*12))),'Operating costs'!$B$66,0),"n.a."))</f>
        <v>0</v>
      </c>
      <c r="N1076" s="16">
        <f>IF(NOT(Paths!$C$104=1),0,IF(Paths!$P$104="Complete",SUM(G1076:I1076)-J1076-K1076-L1076+M1076+IF(C1076=0,Paths!$F$104,0)+IF(IF(Paths!$E$104=0,C1076=0,AND(C1076&gt;0,Paths!$E$104&gt;(C1076-1)*12,Paths!$E$104&lt;=C1076*12)),VLOOKUP(A1076,'Fleet register'!$A$7:$S$106,16,FALSE),0),"n.a."))</f>
        <v>0</v>
      </c>
      <c r="O1076" s="16">
        <f>IF(NOT(Paths!$C$104=1),0,IF(Paths!$P$104="Complete",N1076-IF(C1076=0,Paths!$F$104,0),"n.a."))</f>
        <v>0</v>
      </c>
      <c r="P1076" s="16">
        <f>IF(NOT(Paths!$C$104=1),0,IF(Paths!$P$104="Complete",O1076+L1076,"n.a."))</f>
        <v>0</v>
      </c>
      <c r="Q1076" s="16">
        <f>IF(NOT(Paths!$C$104=1),0,IF(Paths!$P$104="Complete",N1076*(1+'Operating costs'!$B$54)^-C1076,"n.a."))</f>
        <v>0</v>
      </c>
      <c r="R1076" s="16">
        <f>IF(NOT(Paths!$C$104=1),0,IF(Paths!$P$104="Complete",IF(AND(C1076=0,Paths!$E$104=0),I1076-J1076-K1076+VLOOKUP(A1076,'Fleet register'!$A$7:$S$106,15,FALSE)+VLOOKUP(A1076,'Fleet register'!$A$7:$S$106,16,FALSE),0),"n.a."))</f>
        <v>0</v>
      </c>
      <c r="S1076" s="1">
        <f>IF(NOT(Paths!$C$104=1),0,IF(Paths!$P$104="Complete",IF(C1076=0,0,Paths!$S$104*Paths!$R$104),"n.a."))</f>
        <v>0</v>
      </c>
      <c r="T1076" s="1">
        <f>IF(NOT(Paths!$C$104=1),0,IF(Paths!$P$104="Complete",IF(C1076=0,0,VLOOKUP(A1076,'Fleet register'!$A$7:$S$106,9,FALSE)*Paths!$R$104),"n.a."))</f>
        <v>0</v>
      </c>
    </row>
    <row r="1077" spans="1:20" ht="24" customHeight="1">
      <c r="A1077" s="1" t="str">
        <f>Paths!$A$104</f>
        <v>T025</v>
      </c>
      <c r="B1077" s="1">
        <f>Paths!$B$104</f>
        <v>1</v>
      </c>
      <c r="C1077" s="1">
        <v>3</v>
      </c>
      <c r="D1077" s="1">
        <v>104</v>
      </c>
      <c r="E1077" s="1">
        <f>IF(OR(Paths!$C$104=0,C1077=0),0,MAX(0,MIN(C1077*12,Paths!$E$104)-(C1077-1)*12))</f>
        <v>0</v>
      </c>
      <c r="F1077" s="1">
        <f>IF(OR(Paths!$C$104=0,C1077=0),0,12-E1077)</f>
        <v>0</v>
      </c>
      <c r="G1077" s="16">
        <f>IF(NOT(Paths!$C$104=1),0,IF(Paths!$P$104="Complete",E1077/12*(Paths!$J$104*(1+'Operating costs'!$B$51)^MAX(0,C1077-1)+Paths!$K$104*(1+'Operating costs'!$B$53)^MAX(0,C1077-1)),"n.a."))</f>
        <v>0</v>
      </c>
      <c r="H1077" s="16">
        <f>IF(NOT(Paths!$C$104=1),0,IF(Paths!$P$104="Complete",F1077/12*(Paths!$L$104*(1+IF(Paths!$D$104="EV",'Operating costs'!$B$52,'Operating costs'!$B$51))^MAX(0,C1077-1)+Paths!$M$104*(1+'Operating costs'!$B$53)^MAX(0,C1077-1)),"n.a."))</f>
        <v>0</v>
      </c>
      <c r="I1077" s="16">
        <f>IF(NOT(Paths!$C$104=1),0,IF(Paths!$P$104="Complete",IF(IF(Paths!$E$104=0,C1077=0,AND(C1077&gt;0,Paths!$E$104&gt;(C1077-1)*12,Paths!$E$104&lt;=C1077*12)),Paths!$G$104,0),"n.a."))</f>
        <v>0</v>
      </c>
      <c r="J1077" s="16">
        <f>IF(NOT(Paths!$C$104=1),0,IF(Paths!$P$104="Complete",IF(IF(Paths!$E$104=0,C1077=0,AND(C1077&gt;0,Paths!$E$104&gt;(C1077-1)*12,Paths!$E$104&lt;=C1077*12)),Paths!$H$104,0),"n.a."))</f>
        <v>0</v>
      </c>
      <c r="K1077" s="16">
        <f>IF(NOT(Paths!$C$104=1),0,IF(Paths!$P$104="Complete",IF(IF(Paths!$O$104=0,C1077=0,AND(C1077&gt;0,Paths!$O$104&gt;(C1077-1)*12,Paths!$O$104&lt;=C1077*12)),Paths!$N$104,0),"n.a."))</f>
        <v>0</v>
      </c>
      <c r="L1077" s="16">
        <f>IF(NOT(Paths!$C$104=1),0,IF(Paths!$P$104="Complete",IF(C1077=10,Paths!$I$104,0),"n.a."))</f>
        <v>0</v>
      </c>
      <c r="M1077" s="16">
        <f>IF(NOT(Paths!$C$104=1),0,IF(Paths!$P$104="Complete",IF(AND(Paths!$D$104="EV",Paths!$E$104&lt;120,Paths!$E$104+'Operating costs'!$B$65&gt;Paths!$E$104,Paths!$E$104+'Operating costs'!$B$65&lt;=120,IF(Paths!$E$104+'Operating costs'!$B$65=0,C1077=0,AND(C1077&gt;0,Paths!$E$104+'Operating costs'!$B$65&gt;(C1077-1)*12,Paths!$E$104+'Operating costs'!$B$65&lt;=C1077*12))),'Operating costs'!$B$64,0)+IF(AND('Operating costs'!$B$67&gt;0,'Operating costs'!$B$67&lt;=120,OR(Paths!$D$104="ICE",'Operating costs'!$B$67&lt;=Paths!$E$104),IF('Operating costs'!$B$67=0,C1077=0,AND(C1077&gt;0,'Operating costs'!$B$67&gt;(C1077-1)*12,'Operating costs'!$B$67&lt;=C1077*12))),'Operating costs'!$B$66,0),"n.a."))</f>
        <v>0</v>
      </c>
      <c r="N1077" s="16">
        <f>IF(NOT(Paths!$C$104=1),0,IF(Paths!$P$104="Complete",SUM(G1077:I1077)-J1077-K1077-L1077+M1077+IF(C1077=0,Paths!$F$104,0)+IF(IF(Paths!$E$104=0,C1077=0,AND(C1077&gt;0,Paths!$E$104&gt;(C1077-1)*12,Paths!$E$104&lt;=C1077*12)),VLOOKUP(A1077,'Fleet register'!$A$7:$S$106,16,FALSE),0),"n.a."))</f>
        <v>0</v>
      </c>
      <c r="O1077" s="16">
        <f>IF(NOT(Paths!$C$104=1),0,IF(Paths!$P$104="Complete",N1077-IF(C1077=0,Paths!$F$104,0),"n.a."))</f>
        <v>0</v>
      </c>
      <c r="P1077" s="16">
        <f>IF(NOT(Paths!$C$104=1),0,IF(Paths!$P$104="Complete",O1077+L1077,"n.a."))</f>
        <v>0</v>
      </c>
      <c r="Q1077" s="16">
        <f>IF(NOT(Paths!$C$104=1),0,IF(Paths!$P$104="Complete",N1077*(1+'Operating costs'!$B$54)^-C1077,"n.a."))</f>
        <v>0</v>
      </c>
      <c r="R1077" s="16">
        <f>IF(NOT(Paths!$C$104=1),0,IF(Paths!$P$104="Complete",IF(AND(C1077=0,Paths!$E$104=0),I1077-J1077-K1077+VLOOKUP(A1077,'Fleet register'!$A$7:$S$106,15,FALSE)+VLOOKUP(A1077,'Fleet register'!$A$7:$S$106,16,FALSE),0),"n.a."))</f>
        <v>0</v>
      </c>
      <c r="S1077" s="1">
        <f>IF(NOT(Paths!$C$104=1),0,IF(Paths!$P$104="Complete",IF(C1077=0,0,Paths!$S$104*Paths!$R$104),"n.a."))</f>
        <v>0</v>
      </c>
      <c r="T1077" s="1">
        <f>IF(NOT(Paths!$C$104=1),0,IF(Paths!$P$104="Complete",IF(C1077=0,0,VLOOKUP(A1077,'Fleet register'!$A$7:$S$106,9,FALSE)*Paths!$R$104),"n.a."))</f>
        <v>0</v>
      </c>
    </row>
    <row r="1078" spans="1:20" ht="24" customHeight="1">
      <c r="A1078" s="1" t="str">
        <f>Paths!$A$104</f>
        <v>T025</v>
      </c>
      <c r="B1078" s="1">
        <f>Paths!$B$104</f>
        <v>1</v>
      </c>
      <c r="C1078" s="1">
        <v>4</v>
      </c>
      <c r="D1078" s="1">
        <v>104</v>
      </c>
      <c r="E1078" s="1">
        <f>IF(OR(Paths!$C$104=0,C1078=0),0,MAX(0,MIN(C1078*12,Paths!$E$104)-(C1078-1)*12))</f>
        <v>0</v>
      </c>
      <c r="F1078" s="1">
        <f>IF(OR(Paths!$C$104=0,C1078=0),0,12-E1078)</f>
        <v>0</v>
      </c>
      <c r="G1078" s="16">
        <f>IF(NOT(Paths!$C$104=1),0,IF(Paths!$P$104="Complete",E1078/12*(Paths!$J$104*(1+'Operating costs'!$B$51)^MAX(0,C1078-1)+Paths!$K$104*(1+'Operating costs'!$B$53)^MAX(0,C1078-1)),"n.a."))</f>
        <v>0</v>
      </c>
      <c r="H1078" s="16">
        <f>IF(NOT(Paths!$C$104=1),0,IF(Paths!$P$104="Complete",F1078/12*(Paths!$L$104*(1+IF(Paths!$D$104="EV",'Operating costs'!$B$52,'Operating costs'!$B$51))^MAX(0,C1078-1)+Paths!$M$104*(1+'Operating costs'!$B$53)^MAX(0,C1078-1)),"n.a."))</f>
        <v>0</v>
      </c>
      <c r="I1078" s="16">
        <f>IF(NOT(Paths!$C$104=1),0,IF(Paths!$P$104="Complete",IF(IF(Paths!$E$104=0,C1078=0,AND(C1078&gt;0,Paths!$E$104&gt;(C1078-1)*12,Paths!$E$104&lt;=C1078*12)),Paths!$G$104,0),"n.a."))</f>
        <v>0</v>
      </c>
      <c r="J1078" s="16">
        <f>IF(NOT(Paths!$C$104=1),0,IF(Paths!$P$104="Complete",IF(IF(Paths!$E$104=0,C1078=0,AND(C1078&gt;0,Paths!$E$104&gt;(C1078-1)*12,Paths!$E$104&lt;=C1078*12)),Paths!$H$104,0),"n.a."))</f>
        <v>0</v>
      </c>
      <c r="K1078" s="16">
        <f>IF(NOT(Paths!$C$104=1),0,IF(Paths!$P$104="Complete",IF(IF(Paths!$O$104=0,C1078=0,AND(C1078&gt;0,Paths!$O$104&gt;(C1078-1)*12,Paths!$O$104&lt;=C1078*12)),Paths!$N$104,0),"n.a."))</f>
        <v>0</v>
      </c>
      <c r="L1078" s="16">
        <f>IF(NOT(Paths!$C$104=1),0,IF(Paths!$P$104="Complete",IF(C1078=10,Paths!$I$104,0),"n.a."))</f>
        <v>0</v>
      </c>
      <c r="M1078" s="16">
        <f>IF(NOT(Paths!$C$104=1),0,IF(Paths!$P$104="Complete",IF(AND(Paths!$D$104="EV",Paths!$E$104&lt;120,Paths!$E$104+'Operating costs'!$B$65&gt;Paths!$E$104,Paths!$E$104+'Operating costs'!$B$65&lt;=120,IF(Paths!$E$104+'Operating costs'!$B$65=0,C1078=0,AND(C1078&gt;0,Paths!$E$104+'Operating costs'!$B$65&gt;(C1078-1)*12,Paths!$E$104+'Operating costs'!$B$65&lt;=C1078*12))),'Operating costs'!$B$64,0)+IF(AND('Operating costs'!$B$67&gt;0,'Operating costs'!$B$67&lt;=120,OR(Paths!$D$104="ICE",'Operating costs'!$B$67&lt;=Paths!$E$104),IF('Operating costs'!$B$67=0,C1078=0,AND(C1078&gt;0,'Operating costs'!$B$67&gt;(C1078-1)*12,'Operating costs'!$B$67&lt;=C1078*12))),'Operating costs'!$B$66,0),"n.a."))</f>
        <v>0</v>
      </c>
      <c r="N1078" s="16">
        <f>IF(NOT(Paths!$C$104=1),0,IF(Paths!$P$104="Complete",SUM(G1078:I1078)-J1078-K1078-L1078+M1078+IF(C1078=0,Paths!$F$104,0)+IF(IF(Paths!$E$104=0,C1078=0,AND(C1078&gt;0,Paths!$E$104&gt;(C1078-1)*12,Paths!$E$104&lt;=C1078*12)),VLOOKUP(A1078,'Fleet register'!$A$7:$S$106,16,FALSE),0),"n.a."))</f>
        <v>0</v>
      </c>
      <c r="O1078" s="16">
        <f>IF(NOT(Paths!$C$104=1),0,IF(Paths!$P$104="Complete",N1078-IF(C1078=0,Paths!$F$104,0),"n.a."))</f>
        <v>0</v>
      </c>
      <c r="P1078" s="16">
        <f>IF(NOT(Paths!$C$104=1),0,IF(Paths!$P$104="Complete",O1078+L1078,"n.a."))</f>
        <v>0</v>
      </c>
      <c r="Q1078" s="16">
        <f>IF(NOT(Paths!$C$104=1),0,IF(Paths!$P$104="Complete",N1078*(1+'Operating costs'!$B$54)^-C1078,"n.a."))</f>
        <v>0</v>
      </c>
      <c r="R1078" s="16">
        <f>IF(NOT(Paths!$C$104=1),0,IF(Paths!$P$104="Complete",IF(AND(C1078=0,Paths!$E$104=0),I1078-J1078-K1078+VLOOKUP(A1078,'Fleet register'!$A$7:$S$106,15,FALSE)+VLOOKUP(A1078,'Fleet register'!$A$7:$S$106,16,FALSE),0),"n.a."))</f>
        <v>0</v>
      </c>
      <c r="S1078" s="1">
        <f>IF(NOT(Paths!$C$104=1),0,IF(Paths!$P$104="Complete",IF(C1078=0,0,Paths!$S$104*Paths!$R$104),"n.a."))</f>
        <v>0</v>
      </c>
      <c r="T1078" s="1">
        <f>IF(NOT(Paths!$C$104=1),0,IF(Paths!$P$104="Complete",IF(C1078=0,0,VLOOKUP(A1078,'Fleet register'!$A$7:$S$106,9,FALSE)*Paths!$R$104),"n.a."))</f>
        <v>0</v>
      </c>
    </row>
    <row r="1079" spans="1:20" ht="24" customHeight="1">
      <c r="A1079" s="1" t="str">
        <f>Paths!$A$104</f>
        <v>T025</v>
      </c>
      <c r="B1079" s="1">
        <f>Paths!$B$104</f>
        <v>1</v>
      </c>
      <c r="C1079" s="1">
        <v>5</v>
      </c>
      <c r="D1079" s="1">
        <v>104</v>
      </c>
      <c r="E1079" s="1">
        <f>IF(OR(Paths!$C$104=0,C1079=0),0,MAX(0,MIN(C1079*12,Paths!$E$104)-(C1079-1)*12))</f>
        <v>0</v>
      </c>
      <c r="F1079" s="1">
        <f>IF(OR(Paths!$C$104=0,C1079=0),0,12-E1079)</f>
        <v>0</v>
      </c>
      <c r="G1079" s="16">
        <f>IF(NOT(Paths!$C$104=1),0,IF(Paths!$P$104="Complete",E1079/12*(Paths!$J$104*(1+'Operating costs'!$B$51)^MAX(0,C1079-1)+Paths!$K$104*(1+'Operating costs'!$B$53)^MAX(0,C1079-1)),"n.a."))</f>
        <v>0</v>
      </c>
      <c r="H1079" s="16">
        <f>IF(NOT(Paths!$C$104=1),0,IF(Paths!$P$104="Complete",F1079/12*(Paths!$L$104*(1+IF(Paths!$D$104="EV",'Operating costs'!$B$52,'Operating costs'!$B$51))^MAX(0,C1079-1)+Paths!$M$104*(1+'Operating costs'!$B$53)^MAX(0,C1079-1)),"n.a."))</f>
        <v>0</v>
      </c>
      <c r="I1079" s="16">
        <f>IF(NOT(Paths!$C$104=1),0,IF(Paths!$P$104="Complete",IF(IF(Paths!$E$104=0,C1079=0,AND(C1079&gt;0,Paths!$E$104&gt;(C1079-1)*12,Paths!$E$104&lt;=C1079*12)),Paths!$G$104,0),"n.a."))</f>
        <v>0</v>
      </c>
      <c r="J1079" s="16">
        <f>IF(NOT(Paths!$C$104=1),0,IF(Paths!$P$104="Complete",IF(IF(Paths!$E$104=0,C1079=0,AND(C1079&gt;0,Paths!$E$104&gt;(C1079-1)*12,Paths!$E$104&lt;=C1079*12)),Paths!$H$104,0),"n.a."))</f>
        <v>0</v>
      </c>
      <c r="K1079" s="16">
        <f>IF(NOT(Paths!$C$104=1),0,IF(Paths!$P$104="Complete",IF(IF(Paths!$O$104=0,C1079=0,AND(C1079&gt;0,Paths!$O$104&gt;(C1079-1)*12,Paths!$O$104&lt;=C1079*12)),Paths!$N$104,0),"n.a."))</f>
        <v>0</v>
      </c>
      <c r="L1079" s="16">
        <f>IF(NOT(Paths!$C$104=1),0,IF(Paths!$P$104="Complete",IF(C1079=10,Paths!$I$104,0),"n.a."))</f>
        <v>0</v>
      </c>
      <c r="M1079" s="16">
        <f>IF(NOT(Paths!$C$104=1),0,IF(Paths!$P$104="Complete",IF(AND(Paths!$D$104="EV",Paths!$E$104&lt;120,Paths!$E$104+'Operating costs'!$B$65&gt;Paths!$E$104,Paths!$E$104+'Operating costs'!$B$65&lt;=120,IF(Paths!$E$104+'Operating costs'!$B$65=0,C1079=0,AND(C1079&gt;0,Paths!$E$104+'Operating costs'!$B$65&gt;(C1079-1)*12,Paths!$E$104+'Operating costs'!$B$65&lt;=C1079*12))),'Operating costs'!$B$64,0)+IF(AND('Operating costs'!$B$67&gt;0,'Operating costs'!$B$67&lt;=120,OR(Paths!$D$104="ICE",'Operating costs'!$B$67&lt;=Paths!$E$104),IF('Operating costs'!$B$67=0,C1079=0,AND(C1079&gt;0,'Operating costs'!$B$67&gt;(C1079-1)*12,'Operating costs'!$B$67&lt;=C1079*12))),'Operating costs'!$B$66,0),"n.a."))</f>
        <v>0</v>
      </c>
      <c r="N1079" s="16">
        <f>IF(NOT(Paths!$C$104=1),0,IF(Paths!$P$104="Complete",SUM(G1079:I1079)-J1079-K1079-L1079+M1079+IF(C1079=0,Paths!$F$104,0)+IF(IF(Paths!$E$104=0,C1079=0,AND(C1079&gt;0,Paths!$E$104&gt;(C1079-1)*12,Paths!$E$104&lt;=C1079*12)),VLOOKUP(A1079,'Fleet register'!$A$7:$S$106,16,FALSE),0),"n.a."))</f>
        <v>0</v>
      </c>
      <c r="O1079" s="16">
        <f>IF(NOT(Paths!$C$104=1),0,IF(Paths!$P$104="Complete",N1079-IF(C1079=0,Paths!$F$104,0),"n.a."))</f>
        <v>0</v>
      </c>
      <c r="P1079" s="16">
        <f>IF(NOT(Paths!$C$104=1),0,IF(Paths!$P$104="Complete",O1079+L1079,"n.a."))</f>
        <v>0</v>
      </c>
      <c r="Q1079" s="16">
        <f>IF(NOT(Paths!$C$104=1),0,IF(Paths!$P$104="Complete",N1079*(1+'Operating costs'!$B$54)^-C1079,"n.a."))</f>
        <v>0</v>
      </c>
      <c r="R1079" s="16">
        <f>IF(NOT(Paths!$C$104=1),0,IF(Paths!$P$104="Complete",IF(AND(C1079=0,Paths!$E$104=0),I1079-J1079-K1079+VLOOKUP(A1079,'Fleet register'!$A$7:$S$106,15,FALSE)+VLOOKUP(A1079,'Fleet register'!$A$7:$S$106,16,FALSE),0),"n.a."))</f>
        <v>0</v>
      </c>
      <c r="S1079" s="1">
        <f>IF(NOT(Paths!$C$104=1),0,IF(Paths!$P$104="Complete",IF(C1079=0,0,Paths!$S$104*Paths!$R$104),"n.a."))</f>
        <v>0</v>
      </c>
      <c r="T1079" s="1">
        <f>IF(NOT(Paths!$C$104=1),0,IF(Paths!$P$104="Complete",IF(C1079=0,0,VLOOKUP(A1079,'Fleet register'!$A$7:$S$106,9,FALSE)*Paths!$R$104),"n.a."))</f>
        <v>0</v>
      </c>
    </row>
    <row r="1080" spans="1:20" ht="24" customHeight="1">
      <c r="A1080" s="1" t="str">
        <f>Paths!$A$104</f>
        <v>T025</v>
      </c>
      <c r="B1080" s="1">
        <f>Paths!$B$104</f>
        <v>1</v>
      </c>
      <c r="C1080" s="1">
        <v>6</v>
      </c>
      <c r="D1080" s="1">
        <v>104</v>
      </c>
      <c r="E1080" s="1">
        <f>IF(OR(Paths!$C$104=0,C1080=0),0,MAX(0,MIN(C1080*12,Paths!$E$104)-(C1080-1)*12))</f>
        <v>0</v>
      </c>
      <c r="F1080" s="1">
        <f>IF(OR(Paths!$C$104=0,C1080=0),0,12-E1080)</f>
        <v>0</v>
      </c>
      <c r="G1080" s="16">
        <f>IF(NOT(Paths!$C$104=1),0,IF(Paths!$P$104="Complete",E1080/12*(Paths!$J$104*(1+'Operating costs'!$B$51)^MAX(0,C1080-1)+Paths!$K$104*(1+'Operating costs'!$B$53)^MAX(0,C1080-1)),"n.a."))</f>
        <v>0</v>
      </c>
      <c r="H1080" s="16">
        <f>IF(NOT(Paths!$C$104=1),0,IF(Paths!$P$104="Complete",F1080/12*(Paths!$L$104*(1+IF(Paths!$D$104="EV",'Operating costs'!$B$52,'Operating costs'!$B$51))^MAX(0,C1080-1)+Paths!$M$104*(1+'Operating costs'!$B$53)^MAX(0,C1080-1)),"n.a."))</f>
        <v>0</v>
      </c>
      <c r="I1080" s="16">
        <f>IF(NOT(Paths!$C$104=1),0,IF(Paths!$P$104="Complete",IF(IF(Paths!$E$104=0,C1080=0,AND(C1080&gt;0,Paths!$E$104&gt;(C1080-1)*12,Paths!$E$104&lt;=C1080*12)),Paths!$G$104,0),"n.a."))</f>
        <v>0</v>
      </c>
      <c r="J1080" s="16">
        <f>IF(NOT(Paths!$C$104=1),0,IF(Paths!$P$104="Complete",IF(IF(Paths!$E$104=0,C1080=0,AND(C1080&gt;0,Paths!$E$104&gt;(C1080-1)*12,Paths!$E$104&lt;=C1080*12)),Paths!$H$104,0),"n.a."))</f>
        <v>0</v>
      </c>
      <c r="K1080" s="16">
        <f>IF(NOT(Paths!$C$104=1),0,IF(Paths!$P$104="Complete",IF(IF(Paths!$O$104=0,C1080=0,AND(C1080&gt;0,Paths!$O$104&gt;(C1080-1)*12,Paths!$O$104&lt;=C1080*12)),Paths!$N$104,0),"n.a."))</f>
        <v>0</v>
      </c>
      <c r="L1080" s="16">
        <f>IF(NOT(Paths!$C$104=1),0,IF(Paths!$P$104="Complete",IF(C1080=10,Paths!$I$104,0),"n.a."))</f>
        <v>0</v>
      </c>
      <c r="M1080" s="16">
        <f>IF(NOT(Paths!$C$104=1),0,IF(Paths!$P$104="Complete",IF(AND(Paths!$D$104="EV",Paths!$E$104&lt;120,Paths!$E$104+'Operating costs'!$B$65&gt;Paths!$E$104,Paths!$E$104+'Operating costs'!$B$65&lt;=120,IF(Paths!$E$104+'Operating costs'!$B$65=0,C1080=0,AND(C1080&gt;0,Paths!$E$104+'Operating costs'!$B$65&gt;(C1080-1)*12,Paths!$E$104+'Operating costs'!$B$65&lt;=C1080*12))),'Operating costs'!$B$64,0)+IF(AND('Operating costs'!$B$67&gt;0,'Operating costs'!$B$67&lt;=120,OR(Paths!$D$104="ICE",'Operating costs'!$B$67&lt;=Paths!$E$104),IF('Operating costs'!$B$67=0,C1080=0,AND(C1080&gt;0,'Operating costs'!$B$67&gt;(C1080-1)*12,'Operating costs'!$B$67&lt;=C1080*12))),'Operating costs'!$B$66,0),"n.a."))</f>
        <v>0</v>
      </c>
      <c r="N1080" s="16">
        <f>IF(NOT(Paths!$C$104=1),0,IF(Paths!$P$104="Complete",SUM(G1080:I1080)-J1080-K1080-L1080+M1080+IF(C1080=0,Paths!$F$104,0)+IF(IF(Paths!$E$104=0,C1080=0,AND(C1080&gt;0,Paths!$E$104&gt;(C1080-1)*12,Paths!$E$104&lt;=C1080*12)),VLOOKUP(A1080,'Fleet register'!$A$7:$S$106,16,FALSE),0),"n.a."))</f>
        <v>0</v>
      </c>
      <c r="O1080" s="16">
        <f>IF(NOT(Paths!$C$104=1),0,IF(Paths!$P$104="Complete",N1080-IF(C1080=0,Paths!$F$104,0),"n.a."))</f>
        <v>0</v>
      </c>
      <c r="P1080" s="16">
        <f>IF(NOT(Paths!$C$104=1),0,IF(Paths!$P$104="Complete",O1080+L1080,"n.a."))</f>
        <v>0</v>
      </c>
      <c r="Q1080" s="16">
        <f>IF(NOT(Paths!$C$104=1),0,IF(Paths!$P$104="Complete",N1080*(1+'Operating costs'!$B$54)^-C1080,"n.a."))</f>
        <v>0</v>
      </c>
      <c r="R1080" s="16">
        <f>IF(NOT(Paths!$C$104=1),0,IF(Paths!$P$104="Complete",IF(AND(C1080=0,Paths!$E$104=0),I1080-J1080-K1080+VLOOKUP(A1080,'Fleet register'!$A$7:$S$106,15,FALSE)+VLOOKUP(A1080,'Fleet register'!$A$7:$S$106,16,FALSE),0),"n.a."))</f>
        <v>0</v>
      </c>
      <c r="S1080" s="1">
        <f>IF(NOT(Paths!$C$104=1),0,IF(Paths!$P$104="Complete",IF(C1080=0,0,Paths!$S$104*Paths!$R$104),"n.a."))</f>
        <v>0</v>
      </c>
      <c r="T1080" s="1">
        <f>IF(NOT(Paths!$C$104=1),0,IF(Paths!$P$104="Complete",IF(C1080=0,0,VLOOKUP(A1080,'Fleet register'!$A$7:$S$106,9,FALSE)*Paths!$R$104),"n.a."))</f>
        <v>0</v>
      </c>
    </row>
    <row r="1081" spans="1:20" ht="24" customHeight="1">
      <c r="A1081" s="1" t="str">
        <f>Paths!$A$104</f>
        <v>T025</v>
      </c>
      <c r="B1081" s="1">
        <f>Paths!$B$104</f>
        <v>1</v>
      </c>
      <c r="C1081" s="1">
        <v>7</v>
      </c>
      <c r="D1081" s="1">
        <v>104</v>
      </c>
      <c r="E1081" s="1">
        <f>IF(OR(Paths!$C$104=0,C1081=0),0,MAX(0,MIN(C1081*12,Paths!$E$104)-(C1081-1)*12))</f>
        <v>0</v>
      </c>
      <c r="F1081" s="1">
        <f>IF(OR(Paths!$C$104=0,C1081=0),0,12-E1081)</f>
        <v>0</v>
      </c>
      <c r="G1081" s="16">
        <f>IF(NOT(Paths!$C$104=1),0,IF(Paths!$P$104="Complete",E1081/12*(Paths!$J$104*(1+'Operating costs'!$B$51)^MAX(0,C1081-1)+Paths!$K$104*(1+'Operating costs'!$B$53)^MAX(0,C1081-1)),"n.a."))</f>
        <v>0</v>
      </c>
      <c r="H1081" s="16">
        <f>IF(NOT(Paths!$C$104=1),0,IF(Paths!$P$104="Complete",F1081/12*(Paths!$L$104*(1+IF(Paths!$D$104="EV",'Operating costs'!$B$52,'Operating costs'!$B$51))^MAX(0,C1081-1)+Paths!$M$104*(1+'Operating costs'!$B$53)^MAX(0,C1081-1)),"n.a."))</f>
        <v>0</v>
      </c>
      <c r="I1081" s="16">
        <f>IF(NOT(Paths!$C$104=1),0,IF(Paths!$P$104="Complete",IF(IF(Paths!$E$104=0,C1081=0,AND(C1081&gt;0,Paths!$E$104&gt;(C1081-1)*12,Paths!$E$104&lt;=C1081*12)),Paths!$G$104,0),"n.a."))</f>
        <v>0</v>
      </c>
      <c r="J1081" s="16">
        <f>IF(NOT(Paths!$C$104=1),0,IF(Paths!$P$104="Complete",IF(IF(Paths!$E$104=0,C1081=0,AND(C1081&gt;0,Paths!$E$104&gt;(C1081-1)*12,Paths!$E$104&lt;=C1081*12)),Paths!$H$104,0),"n.a."))</f>
        <v>0</v>
      </c>
      <c r="K1081" s="16">
        <f>IF(NOT(Paths!$C$104=1),0,IF(Paths!$P$104="Complete",IF(IF(Paths!$O$104=0,C1081=0,AND(C1081&gt;0,Paths!$O$104&gt;(C1081-1)*12,Paths!$O$104&lt;=C1081*12)),Paths!$N$104,0),"n.a."))</f>
        <v>0</v>
      </c>
      <c r="L1081" s="16">
        <f>IF(NOT(Paths!$C$104=1),0,IF(Paths!$P$104="Complete",IF(C1081=10,Paths!$I$104,0),"n.a."))</f>
        <v>0</v>
      </c>
      <c r="M1081" s="16">
        <f>IF(NOT(Paths!$C$104=1),0,IF(Paths!$P$104="Complete",IF(AND(Paths!$D$104="EV",Paths!$E$104&lt;120,Paths!$E$104+'Operating costs'!$B$65&gt;Paths!$E$104,Paths!$E$104+'Operating costs'!$B$65&lt;=120,IF(Paths!$E$104+'Operating costs'!$B$65=0,C1081=0,AND(C1081&gt;0,Paths!$E$104+'Operating costs'!$B$65&gt;(C1081-1)*12,Paths!$E$104+'Operating costs'!$B$65&lt;=C1081*12))),'Operating costs'!$B$64,0)+IF(AND('Operating costs'!$B$67&gt;0,'Operating costs'!$B$67&lt;=120,OR(Paths!$D$104="ICE",'Operating costs'!$B$67&lt;=Paths!$E$104),IF('Operating costs'!$B$67=0,C1081=0,AND(C1081&gt;0,'Operating costs'!$B$67&gt;(C1081-1)*12,'Operating costs'!$B$67&lt;=C1081*12))),'Operating costs'!$B$66,0),"n.a."))</f>
        <v>0</v>
      </c>
      <c r="N1081" s="16">
        <f>IF(NOT(Paths!$C$104=1),0,IF(Paths!$P$104="Complete",SUM(G1081:I1081)-J1081-K1081-L1081+M1081+IF(C1081=0,Paths!$F$104,0)+IF(IF(Paths!$E$104=0,C1081=0,AND(C1081&gt;0,Paths!$E$104&gt;(C1081-1)*12,Paths!$E$104&lt;=C1081*12)),VLOOKUP(A1081,'Fleet register'!$A$7:$S$106,16,FALSE),0),"n.a."))</f>
        <v>0</v>
      </c>
      <c r="O1081" s="16">
        <f>IF(NOT(Paths!$C$104=1),0,IF(Paths!$P$104="Complete",N1081-IF(C1081=0,Paths!$F$104,0),"n.a."))</f>
        <v>0</v>
      </c>
      <c r="P1081" s="16">
        <f>IF(NOT(Paths!$C$104=1),0,IF(Paths!$P$104="Complete",O1081+L1081,"n.a."))</f>
        <v>0</v>
      </c>
      <c r="Q1081" s="16">
        <f>IF(NOT(Paths!$C$104=1),0,IF(Paths!$P$104="Complete",N1081*(1+'Operating costs'!$B$54)^-C1081,"n.a."))</f>
        <v>0</v>
      </c>
      <c r="R1081" s="16">
        <f>IF(NOT(Paths!$C$104=1),0,IF(Paths!$P$104="Complete",IF(AND(C1081=0,Paths!$E$104=0),I1081-J1081-K1081+VLOOKUP(A1081,'Fleet register'!$A$7:$S$106,15,FALSE)+VLOOKUP(A1081,'Fleet register'!$A$7:$S$106,16,FALSE),0),"n.a."))</f>
        <v>0</v>
      </c>
      <c r="S1081" s="1">
        <f>IF(NOT(Paths!$C$104=1),0,IF(Paths!$P$104="Complete",IF(C1081=0,0,Paths!$S$104*Paths!$R$104),"n.a."))</f>
        <v>0</v>
      </c>
      <c r="T1081" s="1">
        <f>IF(NOT(Paths!$C$104=1),0,IF(Paths!$P$104="Complete",IF(C1081=0,0,VLOOKUP(A1081,'Fleet register'!$A$7:$S$106,9,FALSE)*Paths!$R$104),"n.a."))</f>
        <v>0</v>
      </c>
    </row>
    <row r="1082" spans="1:20" ht="24" customHeight="1">
      <c r="A1082" s="1" t="str">
        <f>Paths!$A$104</f>
        <v>T025</v>
      </c>
      <c r="B1082" s="1">
        <f>Paths!$B$104</f>
        <v>1</v>
      </c>
      <c r="C1082" s="1">
        <v>8</v>
      </c>
      <c r="D1082" s="1">
        <v>104</v>
      </c>
      <c r="E1082" s="1">
        <f>IF(OR(Paths!$C$104=0,C1082=0),0,MAX(0,MIN(C1082*12,Paths!$E$104)-(C1082-1)*12))</f>
        <v>0</v>
      </c>
      <c r="F1082" s="1">
        <f>IF(OR(Paths!$C$104=0,C1082=0),0,12-E1082)</f>
        <v>0</v>
      </c>
      <c r="G1082" s="16">
        <f>IF(NOT(Paths!$C$104=1),0,IF(Paths!$P$104="Complete",E1082/12*(Paths!$J$104*(1+'Operating costs'!$B$51)^MAX(0,C1082-1)+Paths!$K$104*(1+'Operating costs'!$B$53)^MAX(0,C1082-1)),"n.a."))</f>
        <v>0</v>
      </c>
      <c r="H1082" s="16">
        <f>IF(NOT(Paths!$C$104=1),0,IF(Paths!$P$104="Complete",F1082/12*(Paths!$L$104*(1+IF(Paths!$D$104="EV",'Operating costs'!$B$52,'Operating costs'!$B$51))^MAX(0,C1082-1)+Paths!$M$104*(1+'Operating costs'!$B$53)^MAX(0,C1082-1)),"n.a."))</f>
        <v>0</v>
      </c>
      <c r="I1082" s="16">
        <f>IF(NOT(Paths!$C$104=1),0,IF(Paths!$P$104="Complete",IF(IF(Paths!$E$104=0,C1082=0,AND(C1082&gt;0,Paths!$E$104&gt;(C1082-1)*12,Paths!$E$104&lt;=C1082*12)),Paths!$G$104,0),"n.a."))</f>
        <v>0</v>
      </c>
      <c r="J1082" s="16">
        <f>IF(NOT(Paths!$C$104=1),0,IF(Paths!$P$104="Complete",IF(IF(Paths!$E$104=0,C1082=0,AND(C1082&gt;0,Paths!$E$104&gt;(C1082-1)*12,Paths!$E$104&lt;=C1082*12)),Paths!$H$104,0),"n.a."))</f>
        <v>0</v>
      </c>
      <c r="K1082" s="16">
        <f>IF(NOT(Paths!$C$104=1),0,IF(Paths!$P$104="Complete",IF(IF(Paths!$O$104=0,C1082=0,AND(C1082&gt;0,Paths!$O$104&gt;(C1082-1)*12,Paths!$O$104&lt;=C1082*12)),Paths!$N$104,0),"n.a."))</f>
        <v>0</v>
      </c>
      <c r="L1082" s="16">
        <f>IF(NOT(Paths!$C$104=1),0,IF(Paths!$P$104="Complete",IF(C1082=10,Paths!$I$104,0),"n.a."))</f>
        <v>0</v>
      </c>
      <c r="M1082" s="16">
        <f>IF(NOT(Paths!$C$104=1),0,IF(Paths!$P$104="Complete",IF(AND(Paths!$D$104="EV",Paths!$E$104&lt;120,Paths!$E$104+'Operating costs'!$B$65&gt;Paths!$E$104,Paths!$E$104+'Operating costs'!$B$65&lt;=120,IF(Paths!$E$104+'Operating costs'!$B$65=0,C1082=0,AND(C1082&gt;0,Paths!$E$104+'Operating costs'!$B$65&gt;(C1082-1)*12,Paths!$E$104+'Operating costs'!$B$65&lt;=C1082*12))),'Operating costs'!$B$64,0)+IF(AND('Operating costs'!$B$67&gt;0,'Operating costs'!$B$67&lt;=120,OR(Paths!$D$104="ICE",'Operating costs'!$B$67&lt;=Paths!$E$104),IF('Operating costs'!$B$67=0,C1082=0,AND(C1082&gt;0,'Operating costs'!$B$67&gt;(C1082-1)*12,'Operating costs'!$B$67&lt;=C1082*12))),'Operating costs'!$B$66,0),"n.a."))</f>
        <v>0</v>
      </c>
      <c r="N1082" s="16">
        <f>IF(NOT(Paths!$C$104=1),0,IF(Paths!$P$104="Complete",SUM(G1082:I1082)-J1082-K1082-L1082+M1082+IF(C1082=0,Paths!$F$104,0)+IF(IF(Paths!$E$104=0,C1082=0,AND(C1082&gt;0,Paths!$E$104&gt;(C1082-1)*12,Paths!$E$104&lt;=C1082*12)),VLOOKUP(A1082,'Fleet register'!$A$7:$S$106,16,FALSE),0),"n.a."))</f>
        <v>0</v>
      </c>
      <c r="O1082" s="16">
        <f>IF(NOT(Paths!$C$104=1),0,IF(Paths!$P$104="Complete",N1082-IF(C1082=0,Paths!$F$104,0),"n.a."))</f>
        <v>0</v>
      </c>
      <c r="P1082" s="16">
        <f>IF(NOT(Paths!$C$104=1),0,IF(Paths!$P$104="Complete",O1082+L1082,"n.a."))</f>
        <v>0</v>
      </c>
      <c r="Q1082" s="16">
        <f>IF(NOT(Paths!$C$104=1),0,IF(Paths!$P$104="Complete",N1082*(1+'Operating costs'!$B$54)^-C1082,"n.a."))</f>
        <v>0</v>
      </c>
      <c r="R1082" s="16">
        <f>IF(NOT(Paths!$C$104=1),0,IF(Paths!$P$104="Complete",IF(AND(C1082=0,Paths!$E$104=0),I1082-J1082-K1082+VLOOKUP(A1082,'Fleet register'!$A$7:$S$106,15,FALSE)+VLOOKUP(A1082,'Fleet register'!$A$7:$S$106,16,FALSE),0),"n.a."))</f>
        <v>0</v>
      </c>
      <c r="S1082" s="1">
        <f>IF(NOT(Paths!$C$104=1),0,IF(Paths!$P$104="Complete",IF(C1082=0,0,Paths!$S$104*Paths!$R$104),"n.a."))</f>
        <v>0</v>
      </c>
      <c r="T1082" s="1">
        <f>IF(NOT(Paths!$C$104=1),0,IF(Paths!$P$104="Complete",IF(C1082=0,0,VLOOKUP(A1082,'Fleet register'!$A$7:$S$106,9,FALSE)*Paths!$R$104),"n.a."))</f>
        <v>0</v>
      </c>
    </row>
    <row r="1083" spans="1:20" ht="24" customHeight="1">
      <c r="A1083" s="1" t="str">
        <f>Paths!$A$104</f>
        <v>T025</v>
      </c>
      <c r="B1083" s="1">
        <f>Paths!$B$104</f>
        <v>1</v>
      </c>
      <c r="C1083" s="1">
        <v>9</v>
      </c>
      <c r="D1083" s="1">
        <v>104</v>
      </c>
      <c r="E1083" s="1">
        <f>IF(OR(Paths!$C$104=0,C1083=0),0,MAX(0,MIN(C1083*12,Paths!$E$104)-(C1083-1)*12))</f>
        <v>0</v>
      </c>
      <c r="F1083" s="1">
        <f>IF(OR(Paths!$C$104=0,C1083=0),0,12-E1083)</f>
        <v>0</v>
      </c>
      <c r="G1083" s="16">
        <f>IF(NOT(Paths!$C$104=1),0,IF(Paths!$P$104="Complete",E1083/12*(Paths!$J$104*(1+'Operating costs'!$B$51)^MAX(0,C1083-1)+Paths!$K$104*(1+'Operating costs'!$B$53)^MAX(0,C1083-1)),"n.a."))</f>
        <v>0</v>
      </c>
      <c r="H1083" s="16">
        <f>IF(NOT(Paths!$C$104=1),0,IF(Paths!$P$104="Complete",F1083/12*(Paths!$L$104*(1+IF(Paths!$D$104="EV",'Operating costs'!$B$52,'Operating costs'!$B$51))^MAX(0,C1083-1)+Paths!$M$104*(1+'Operating costs'!$B$53)^MAX(0,C1083-1)),"n.a."))</f>
        <v>0</v>
      </c>
      <c r="I1083" s="16">
        <f>IF(NOT(Paths!$C$104=1),0,IF(Paths!$P$104="Complete",IF(IF(Paths!$E$104=0,C1083=0,AND(C1083&gt;0,Paths!$E$104&gt;(C1083-1)*12,Paths!$E$104&lt;=C1083*12)),Paths!$G$104,0),"n.a."))</f>
        <v>0</v>
      </c>
      <c r="J1083" s="16">
        <f>IF(NOT(Paths!$C$104=1),0,IF(Paths!$P$104="Complete",IF(IF(Paths!$E$104=0,C1083=0,AND(C1083&gt;0,Paths!$E$104&gt;(C1083-1)*12,Paths!$E$104&lt;=C1083*12)),Paths!$H$104,0),"n.a."))</f>
        <v>0</v>
      </c>
      <c r="K1083" s="16">
        <f>IF(NOT(Paths!$C$104=1),0,IF(Paths!$P$104="Complete",IF(IF(Paths!$O$104=0,C1083=0,AND(C1083&gt;0,Paths!$O$104&gt;(C1083-1)*12,Paths!$O$104&lt;=C1083*12)),Paths!$N$104,0),"n.a."))</f>
        <v>0</v>
      </c>
      <c r="L1083" s="16">
        <f>IF(NOT(Paths!$C$104=1),0,IF(Paths!$P$104="Complete",IF(C1083=10,Paths!$I$104,0),"n.a."))</f>
        <v>0</v>
      </c>
      <c r="M1083" s="16">
        <f>IF(NOT(Paths!$C$104=1),0,IF(Paths!$P$104="Complete",IF(AND(Paths!$D$104="EV",Paths!$E$104&lt;120,Paths!$E$104+'Operating costs'!$B$65&gt;Paths!$E$104,Paths!$E$104+'Operating costs'!$B$65&lt;=120,IF(Paths!$E$104+'Operating costs'!$B$65=0,C1083=0,AND(C1083&gt;0,Paths!$E$104+'Operating costs'!$B$65&gt;(C1083-1)*12,Paths!$E$104+'Operating costs'!$B$65&lt;=C1083*12))),'Operating costs'!$B$64,0)+IF(AND('Operating costs'!$B$67&gt;0,'Operating costs'!$B$67&lt;=120,OR(Paths!$D$104="ICE",'Operating costs'!$B$67&lt;=Paths!$E$104),IF('Operating costs'!$B$67=0,C1083=0,AND(C1083&gt;0,'Operating costs'!$B$67&gt;(C1083-1)*12,'Operating costs'!$B$67&lt;=C1083*12))),'Operating costs'!$B$66,0),"n.a."))</f>
        <v>0</v>
      </c>
      <c r="N1083" s="16">
        <f>IF(NOT(Paths!$C$104=1),0,IF(Paths!$P$104="Complete",SUM(G1083:I1083)-J1083-K1083-L1083+M1083+IF(C1083=0,Paths!$F$104,0)+IF(IF(Paths!$E$104=0,C1083=0,AND(C1083&gt;0,Paths!$E$104&gt;(C1083-1)*12,Paths!$E$104&lt;=C1083*12)),VLOOKUP(A1083,'Fleet register'!$A$7:$S$106,16,FALSE),0),"n.a."))</f>
        <v>0</v>
      </c>
      <c r="O1083" s="16">
        <f>IF(NOT(Paths!$C$104=1),0,IF(Paths!$P$104="Complete",N1083-IF(C1083=0,Paths!$F$104,0),"n.a."))</f>
        <v>0</v>
      </c>
      <c r="P1083" s="16">
        <f>IF(NOT(Paths!$C$104=1),0,IF(Paths!$P$104="Complete",O1083+L1083,"n.a."))</f>
        <v>0</v>
      </c>
      <c r="Q1083" s="16">
        <f>IF(NOT(Paths!$C$104=1),0,IF(Paths!$P$104="Complete",N1083*(1+'Operating costs'!$B$54)^-C1083,"n.a."))</f>
        <v>0</v>
      </c>
      <c r="R1083" s="16">
        <f>IF(NOT(Paths!$C$104=1),0,IF(Paths!$P$104="Complete",IF(AND(C1083=0,Paths!$E$104=0),I1083-J1083-K1083+VLOOKUP(A1083,'Fleet register'!$A$7:$S$106,15,FALSE)+VLOOKUP(A1083,'Fleet register'!$A$7:$S$106,16,FALSE),0),"n.a."))</f>
        <v>0</v>
      </c>
      <c r="S1083" s="1">
        <f>IF(NOT(Paths!$C$104=1),0,IF(Paths!$P$104="Complete",IF(C1083=0,0,Paths!$S$104*Paths!$R$104),"n.a."))</f>
        <v>0</v>
      </c>
      <c r="T1083" s="1">
        <f>IF(NOT(Paths!$C$104=1),0,IF(Paths!$P$104="Complete",IF(C1083=0,0,VLOOKUP(A1083,'Fleet register'!$A$7:$S$106,9,FALSE)*Paths!$R$104),"n.a."))</f>
        <v>0</v>
      </c>
    </row>
    <row r="1084" spans="1:20" ht="24" customHeight="1">
      <c r="A1084" s="1" t="str">
        <f>Paths!$A$104</f>
        <v>T025</v>
      </c>
      <c r="B1084" s="1">
        <f>Paths!$B$104</f>
        <v>1</v>
      </c>
      <c r="C1084" s="1">
        <v>10</v>
      </c>
      <c r="D1084" s="1">
        <v>104</v>
      </c>
      <c r="E1084" s="1">
        <f>IF(OR(Paths!$C$104=0,C1084=0),0,MAX(0,MIN(C1084*12,Paths!$E$104)-(C1084-1)*12))</f>
        <v>0</v>
      </c>
      <c r="F1084" s="1">
        <f>IF(OR(Paths!$C$104=0,C1084=0),0,12-E1084)</f>
        <v>0</v>
      </c>
      <c r="G1084" s="16">
        <f>IF(NOT(Paths!$C$104=1),0,IF(Paths!$P$104="Complete",E1084/12*(Paths!$J$104*(1+'Operating costs'!$B$51)^MAX(0,C1084-1)+Paths!$K$104*(1+'Operating costs'!$B$53)^MAX(0,C1084-1)),"n.a."))</f>
        <v>0</v>
      </c>
      <c r="H1084" s="16">
        <f>IF(NOT(Paths!$C$104=1),0,IF(Paths!$P$104="Complete",F1084/12*(Paths!$L$104*(1+IF(Paths!$D$104="EV",'Operating costs'!$B$52,'Operating costs'!$B$51))^MAX(0,C1084-1)+Paths!$M$104*(1+'Operating costs'!$B$53)^MAX(0,C1084-1)),"n.a."))</f>
        <v>0</v>
      </c>
      <c r="I1084" s="16">
        <f>IF(NOT(Paths!$C$104=1),0,IF(Paths!$P$104="Complete",IF(IF(Paths!$E$104=0,C1084=0,AND(C1084&gt;0,Paths!$E$104&gt;(C1084-1)*12,Paths!$E$104&lt;=C1084*12)),Paths!$G$104,0),"n.a."))</f>
        <v>0</v>
      </c>
      <c r="J1084" s="16">
        <f>IF(NOT(Paths!$C$104=1),0,IF(Paths!$P$104="Complete",IF(IF(Paths!$E$104=0,C1084=0,AND(C1084&gt;0,Paths!$E$104&gt;(C1084-1)*12,Paths!$E$104&lt;=C1084*12)),Paths!$H$104,0),"n.a."))</f>
        <v>0</v>
      </c>
      <c r="K1084" s="16">
        <f>IF(NOT(Paths!$C$104=1),0,IF(Paths!$P$104="Complete",IF(IF(Paths!$O$104=0,C1084=0,AND(C1084&gt;0,Paths!$O$104&gt;(C1084-1)*12,Paths!$O$104&lt;=C1084*12)),Paths!$N$104,0),"n.a."))</f>
        <v>0</v>
      </c>
      <c r="L1084" s="16">
        <f>IF(NOT(Paths!$C$104=1),0,IF(Paths!$P$104="Complete",IF(C1084=10,Paths!$I$104,0),"n.a."))</f>
        <v>0</v>
      </c>
      <c r="M1084" s="16">
        <f>IF(NOT(Paths!$C$104=1),0,IF(Paths!$P$104="Complete",IF(AND(Paths!$D$104="EV",Paths!$E$104&lt;120,Paths!$E$104+'Operating costs'!$B$65&gt;Paths!$E$104,Paths!$E$104+'Operating costs'!$B$65&lt;=120,IF(Paths!$E$104+'Operating costs'!$B$65=0,C1084=0,AND(C1084&gt;0,Paths!$E$104+'Operating costs'!$B$65&gt;(C1084-1)*12,Paths!$E$104+'Operating costs'!$B$65&lt;=C1084*12))),'Operating costs'!$B$64,0)+IF(AND('Operating costs'!$B$67&gt;0,'Operating costs'!$B$67&lt;=120,OR(Paths!$D$104="ICE",'Operating costs'!$B$67&lt;=Paths!$E$104),IF('Operating costs'!$B$67=0,C1084=0,AND(C1084&gt;0,'Operating costs'!$B$67&gt;(C1084-1)*12,'Operating costs'!$B$67&lt;=C1084*12))),'Operating costs'!$B$66,0),"n.a."))</f>
        <v>0</v>
      </c>
      <c r="N1084" s="16">
        <f>IF(NOT(Paths!$C$104=1),0,IF(Paths!$P$104="Complete",SUM(G1084:I1084)-J1084-K1084-L1084+M1084+IF(C1084=0,Paths!$F$104,0)+IF(IF(Paths!$E$104=0,C1084=0,AND(C1084&gt;0,Paths!$E$104&gt;(C1084-1)*12,Paths!$E$104&lt;=C1084*12)),VLOOKUP(A1084,'Fleet register'!$A$7:$S$106,16,FALSE),0),"n.a."))</f>
        <v>0</v>
      </c>
      <c r="O1084" s="16">
        <f>IF(NOT(Paths!$C$104=1),0,IF(Paths!$P$104="Complete",N1084-IF(C1084=0,Paths!$F$104,0),"n.a."))</f>
        <v>0</v>
      </c>
      <c r="P1084" s="16">
        <f>IF(NOT(Paths!$C$104=1),0,IF(Paths!$P$104="Complete",O1084+L1084,"n.a."))</f>
        <v>0</v>
      </c>
      <c r="Q1084" s="16">
        <f>IF(NOT(Paths!$C$104=1),0,IF(Paths!$P$104="Complete",N1084*(1+'Operating costs'!$B$54)^-C1084,"n.a."))</f>
        <v>0</v>
      </c>
      <c r="R1084" s="16">
        <f>IF(NOT(Paths!$C$104=1),0,IF(Paths!$P$104="Complete",IF(AND(C1084=0,Paths!$E$104=0),I1084-J1084-K1084+VLOOKUP(A1084,'Fleet register'!$A$7:$S$106,15,FALSE)+VLOOKUP(A1084,'Fleet register'!$A$7:$S$106,16,FALSE),0),"n.a."))</f>
        <v>0</v>
      </c>
      <c r="S1084" s="1">
        <f>IF(NOT(Paths!$C$104=1),0,IF(Paths!$P$104="Complete",IF(C1084=0,0,Paths!$S$104*Paths!$R$104),"n.a."))</f>
        <v>0</v>
      </c>
      <c r="T1084" s="1">
        <f>IF(NOT(Paths!$C$104=1),0,IF(Paths!$P$104="Complete",IF(C1084=0,0,VLOOKUP(A1084,'Fleet register'!$A$7:$S$106,9,FALSE)*Paths!$R$104),"n.a."))</f>
        <v>0</v>
      </c>
    </row>
    <row r="1085" spans="1:20" ht="24" customHeight="1">
      <c r="A1085" s="1" t="str">
        <f>Paths!$A$105</f>
        <v>T025</v>
      </c>
      <c r="B1085" s="1">
        <f>Paths!$B$105</f>
        <v>2</v>
      </c>
      <c r="C1085" s="1">
        <v>0</v>
      </c>
      <c r="D1085" s="1">
        <v>105</v>
      </c>
      <c r="E1085" s="1">
        <f>IF(OR(Paths!$C$105=0,C1085=0),0,MAX(0,MIN(C1085*12,Paths!$E$105)-(C1085-1)*12))</f>
        <v>0</v>
      </c>
      <c r="F1085" s="1">
        <f>IF(OR(Paths!$C$105=0,C1085=0),0,12-E1085)</f>
        <v>0</v>
      </c>
      <c r="G1085" s="16">
        <f>IF(NOT(Paths!$C$105=1),0,IF(Paths!$P$105="Complete",E1085/12*(Paths!$J$105*(1+'Operating costs'!$B$51)^MAX(0,C1085-1)+Paths!$K$105*(1+'Operating costs'!$B$53)^MAX(0,C1085-1)),"n.a."))</f>
        <v>0</v>
      </c>
      <c r="H1085" s="16">
        <f>IF(NOT(Paths!$C$105=1),0,IF(Paths!$P$105="Complete",F1085/12*(Paths!$L$105*(1+IF(Paths!$D$105="EV",'Operating costs'!$B$52,'Operating costs'!$B$51))^MAX(0,C1085-1)+Paths!$M$105*(1+'Operating costs'!$B$53)^MAX(0,C1085-1)),"n.a."))</f>
        <v>0</v>
      </c>
      <c r="I1085" s="16">
        <f>IF(NOT(Paths!$C$105=1),0,IF(Paths!$P$105="Complete",IF(IF(Paths!$E$105=0,C1085=0,AND(C1085&gt;0,Paths!$E$105&gt;(C1085-1)*12,Paths!$E$105&lt;=C1085*12)),Paths!$G$105,0),"n.a."))</f>
        <v>0</v>
      </c>
      <c r="J1085" s="16">
        <f>IF(NOT(Paths!$C$105=1),0,IF(Paths!$P$105="Complete",IF(IF(Paths!$E$105=0,C1085=0,AND(C1085&gt;0,Paths!$E$105&gt;(C1085-1)*12,Paths!$E$105&lt;=C1085*12)),Paths!$H$105,0),"n.a."))</f>
        <v>0</v>
      </c>
      <c r="K1085" s="16">
        <f>IF(NOT(Paths!$C$105=1),0,IF(Paths!$P$105="Complete",IF(IF(Paths!$O$105=0,C1085=0,AND(C1085&gt;0,Paths!$O$105&gt;(C1085-1)*12,Paths!$O$105&lt;=C1085*12)),Paths!$N$105,0),"n.a."))</f>
        <v>0</v>
      </c>
      <c r="L1085" s="16">
        <f>IF(NOT(Paths!$C$105=1),0,IF(Paths!$P$105="Complete",IF(C1085=10,Paths!$I$105,0),"n.a."))</f>
        <v>0</v>
      </c>
      <c r="M1085" s="16">
        <f>IF(NOT(Paths!$C$105=1),0,IF(Paths!$P$105="Complete",IF(AND(Paths!$D$105="EV",Paths!$E$105&lt;120,Paths!$E$105+'Operating costs'!$B$65&gt;Paths!$E$105,Paths!$E$105+'Operating costs'!$B$65&lt;=120,IF(Paths!$E$105+'Operating costs'!$B$65=0,C1085=0,AND(C1085&gt;0,Paths!$E$105+'Operating costs'!$B$65&gt;(C1085-1)*12,Paths!$E$105+'Operating costs'!$B$65&lt;=C1085*12))),'Operating costs'!$B$64,0)+IF(AND('Operating costs'!$B$67&gt;0,'Operating costs'!$B$67&lt;=120,OR(Paths!$D$105="ICE",'Operating costs'!$B$67&lt;=Paths!$E$105),IF('Operating costs'!$B$67=0,C1085=0,AND(C1085&gt;0,'Operating costs'!$B$67&gt;(C1085-1)*12,'Operating costs'!$B$67&lt;=C1085*12))),'Operating costs'!$B$66,0),"n.a."))</f>
        <v>0</v>
      </c>
      <c r="N1085" s="16">
        <f>IF(NOT(Paths!$C$105=1),0,IF(Paths!$P$105="Complete",SUM(G1085:I1085)-J1085-K1085-L1085+M1085+IF(C1085=0,Paths!$F$105,0)+IF(IF(Paths!$E$105=0,C1085=0,AND(C1085&gt;0,Paths!$E$105&gt;(C1085-1)*12,Paths!$E$105&lt;=C1085*12)),VLOOKUP(A1085,'Fleet register'!$A$7:$S$106,16,FALSE),0),"n.a."))</f>
        <v>0</v>
      </c>
      <c r="O1085" s="16">
        <f>IF(NOT(Paths!$C$105=1),0,IF(Paths!$P$105="Complete",N1085-IF(C1085=0,Paths!$F$105,0),"n.a."))</f>
        <v>0</v>
      </c>
      <c r="P1085" s="16">
        <f>IF(NOT(Paths!$C$105=1),0,IF(Paths!$P$105="Complete",O1085+L1085,"n.a."))</f>
        <v>0</v>
      </c>
      <c r="Q1085" s="16">
        <f>IF(NOT(Paths!$C$105=1),0,IF(Paths!$P$105="Complete",N1085*(1+'Operating costs'!$B$54)^-C1085,"n.a."))</f>
        <v>0</v>
      </c>
      <c r="R1085" s="16">
        <f>IF(NOT(Paths!$C$105=1),0,IF(Paths!$P$105="Complete",IF(AND(C1085=0,Paths!$E$105=0),I1085-J1085-K1085+VLOOKUP(A1085,'Fleet register'!$A$7:$S$106,15,FALSE)+VLOOKUP(A1085,'Fleet register'!$A$7:$S$106,16,FALSE),0),"n.a."))</f>
        <v>0</v>
      </c>
      <c r="S1085" s="1">
        <f>IF(NOT(Paths!$C$105=1),0,IF(Paths!$P$105="Complete",IF(C1085=0,0,Paths!$S$105*Paths!$R$105),"n.a."))</f>
        <v>0</v>
      </c>
      <c r="T1085" s="1">
        <f>IF(NOT(Paths!$C$105=1),0,IF(Paths!$P$105="Complete",IF(C1085=0,0,VLOOKUP(A1085,'Fleet register'!$A$7:$S$106,9,FALSE)*Paths!$R$105),"n.a."))</f>
        <v>0</v>
      </c>
    </row>
    <row r="1086" spans="1:20" ht="24" customHeight="1">
      <c r="A1086" s="1" t="str">
        <f>Paths!$A$105</f>
        <v>T025</v>
      </c>
      <c r="B1086" s="1">
        <f>Paths!$B$105</f>
        <v>2</v>
      </c>
      <c r="C1086" s="1">
        <v>1</v>
      </c>
      <c r="D1086" s="1">
        <v>105</v>
      </c>
      <c r="E1086" s="1">
        <f>IF(OR(Paths!$C$105=0,C1086=0),0,MAX(0,MIN(C1086*12,Paths!$E$105)-(C1086-1)*12))</f>
        <v>0</v>
      </c>
      <c r="F1086" s="1">
        <f>IF(OR(Paths!$C$105=0,C1086=0),0,12-E1086)</f>
        <v>0</v>
      </c>
      <c r="G1086" s="16">
        <f>IF(NOT(Paths!$C$105=1),0,IF(Paths!$P$105="Complete",E1086/12*(Paths!$J$105*(1+'Operating costs'!$B$51)^MAX(0,C1086-1)+Paths!$K$105*(1+'Operating costs'!$B$53)^MAX(0,C1086-1)),"n.a."))</f>
        <v>0</v>
      </c>
      <c r="H1086" s="16">
        <f>IF(NOT(Paths!$C$105=1),0,IF(Paths!$P$105="Complete",F1086/12*(Paths!$L$105*(1+IF(Paths!$D$105="EV",'Operating costs'!$B$52,'Operating costs'!$B$51))^MAX(0,C1086-1)+Paths!$M$105*(1+'Operating costs'!$B$53)^MAX(0,C1086-1)),"n.a."))</f>
        <v>0</v>
      </c>
      <c r="I1086" s="16">
        <f>IF(NOT(Paths!$C$105=1),0,IF(Paths!$P$105="Complete",IF(IF(Paths!$E$105=0,C1086=0,AND(C1086&gt;0,Paths!$E$105&gt;(C1086-1)*12,Paths!$E$105&lt;=C1086*12)),Paths!$G$105,0),"n.a."))</f>
        <v>0</v>
      </c>
      <c r="J1086" s="16">
        <f>IF(NOT(Paths!$C$105=1),0,IF(Paths!$P$105="Complete",IF(IF(Paths!$E$105=0,C1086=0,AND(C1086&gt;0,Paths!$E$105&gt;(C1086-1)*12,Paths!$E$105&lt;=C1086*12)),Paths!$H$105,0),"n.a."))</f>
        <v>0</v>
      </c>
      <c r="K1086" s="16">
        <f>IF(NOT(Paths!$C$105=1),0,IF(Paths!$P$105="Complete",IF(IF(Paths!$O$105=0,C1086=0,AND(C1086&gt;0,Paths!$O$105&gt;(C1086-1)*12,Paths!$O$105&lt;=C1086*12)),Paths!$N$105,0),"n.a."))</f>
        <v>0</v>
      </c>
      <c r="L1086" s="16">
        <f>IF(NOT(Paths!$C$105=1),0,IF(Paths!$P$105="Complete",IF(C1086=10,Paths!$I$105,0),"n.a."))</f>
        <v>0</v>
      </c>
      <c r="M1086" s="16">
        <f>IF(NOT(Paths!$C$105=1),0,IF(Paths!$P$105="Complete",IF(AND(Paths!$D$105="EV",Paths!$E$105&lt;120,Paths!$E$105+'Operating costs'!$B$65&gt;Paths!$E$105,Paths!$E$105+'Operating costs'!$B$65&lt;=120,IF(Paths!$E$105+'Operating costs'!$B$65=0,C1086=0,AND(C1086&gt;0,Paths!$E$105+'Operating costs'!$B$65&gt;(C1086-1)*12,Paths!$E$105+'Operating costs'!$B$65&lt;=C1086*12))),'Operating costs'!$B$64,0)+IF(AND('Operating costs'!$B$67&gt;0,'Operating costs'!$B$67&lt;=120,OR(Paths!$D$105="ICE",'Operating costs'!$B$67&lt;=Paths!$E$105),IF('Operating costs'!$B$67=0,C1086=0,AND(C1086&gt;0,'Operating costs'!$B$67&gt;(C1086-1)*12,'Operating costs'!$B$67&lt;=C1086*12))),'Operating costs'!$B$66,0),"n.a."))</f>
        <v>0</v>
      </c>
      <c r="N1086" s="16">
        <f>IF(NOT(Paths!$C$105=1),0,IF(Paths!$P$105="Complete",SUM(G1086:I1086)-J1086-K1086-L1086+M1086+IF(C1086=0,Paths!$F$105,0)+IF(IF(Paths!$E$105=0,C1086=0,AND(C1086&gt;0,Paths!$E$105&gt;(C1086-1)*12,Paths!$E$105&lt;=C1086*12)),VLOOKUP(A1086,'Fleet register'!$A$7:$S$106,16,FALSE),0),"n.a."))</f>
        <v>0</v>
      </c>
      <c r="O1086" s="16">
        <f>IF(NOT(Paths!$C$105=1),0,IF(Paths!$P$105="Complete",N1086-IF(C1086=0,Paths!$F$105,0),"n.a."))</f>
        <v>0</v>
      </c>
      <c r="P1086" s="16">
        <f>IF(NOT(Paths!$C$105=1),0,IF(Paths!$P$105="Complete",O1086+L1086,"n.a."))</f>
        <v>0</v>
      </c>
      <c r="Q1086" s="16">
        <f>IF(NOT(Paths!$C$105=1),0,IF(Paths!$P$105="Complete",N1086*(1+'Operating costs'!$B$54)^-C1086,"n.a."))</f>
        <v>0</v>
      </c>
      <c r="R1086" s="16">
        <f>IF(NOT(Paths!$C$105=1),0,IF(Paths!$P$105="Complete",IF(AND(C1086=0,Paths!$E$105=0),I1086-J1086-K1086+VLOOKUP(A1086,'Fleet register'!$A$7:$S$106,15,FALSE)+VLOOKUP(A1086,'Fleet register'!$A$7:$S$106,16,FALSE),0),"n.a."))</f>
        <v>0</v>
      </c>
      <c r="S1086" s="1">
        <f>IF(NOT(Paths!$C$105=1),0,IF(Paths!$P$105="Complete",IF(C1086=0,0,Paths!$S$105*Paths!$R$105),"n.a."))</f>
        <v>0</v>
      </c>
      <c r="T1086" s="1">
        <f>IF(NOT(Paths!$C$105=1),0,IF(Paths!$P$105="Complete",IF(C1086=0,0,VLOOKUP(A1086,'Fleet register'!$A$7:$S$106,9,FALSE)*Paths!$R$105),"n.a."))</f>
        <v>0</v>
      </c>
    </row>
    <row r="1087" spans="1:20" ht="24" customHeight="1">
      <c r="A1087" s="1" t="str">
        <f>Paths!$A$105</f>
        <v>T025</v>
      </c>
      <c r="B1087" s="1">
        <f>Paths!$B$105</f>
        <v>2</v>
      </c>
      <c r="C1087" s="1">
        <v>2</v>
      </c>
      <c r="D1087" s="1">
        <v>105</v>
      </c>
      <c r="E1087" s="1">
        <f>IF(OR(Paths!$C$105=0,C1087=0),0,MAX(0,MIN(C1087*12,Paths!$E$105)-(C1087-1)*12))</f>
        <v>0</v>
      </c>
      <c r="F1087" s="1">
        <f>IF(OR(Paths!$C$105=0,C1087=0),0,12-E1087)</f>
        <v>0</v>
      </c>
      <c r="G1087" s="16">
        <f>IF(NOT(Paths!$C$105=1),0,IF(Paths!$P$105="Complete",E1087/12*(Paths!$J$105*(1+'Operating costs'!$B$51)^MAX(0,C1087-1)+Paths!$K$105*(1+'Operating costs'!$B$53)^MAX(0,C1087-1)),"n.a."))</f>
        <v>0</v>
      </c>
      <c r="H1087" s="16">
        <f>IF(NOT(Paths!$C$105=1),0,IF(Paths!$P$105="Complete",F1087/12*(Paths!$L$105*(1+IF(Paths!$D$105="EV",'Operating costs'!$B$52,'Operating costs'!$B$51))^MAX(0,C1087-1)+Paths!$M$105*(1+'Operating costs'!$B$53)^MAX(0,C1087-1)),"n.a."))</f>
        <v>0</v>
      </c>
      <c r="I1087" s="16">
        <f>IF(NOT(Paths!$C$105=1),0,IF(Paths!$P$105="Complete",IF(IF(Paths!$E$105=0,C1087=0,AND(C1087&gt;0,Paths!$E$105&gt;(C1087-1)*12,Paths!$E$105&lt;=C1087*12)),Paths!$G$105,0),"n.a."))</f>
        <v>0</v>
      </c>
      <c r="J1087" s="16">
        <f>IF(NOT(Paths!$C$105=1),0,IF(Paths!$P$105="Complete",IF(IF(Paths!$E$105=0,C1087=0,AND(C1087&gt;0,Paths!$E$105&gt;(C1087-1)*12,Paths!$E$105&lt;=C1087*12)),Paths!$H$105,0),"n.a."))</f>
        <v>0</v>
      </c>
      <c r="K1087" s="16">
        <f>IF(NOT(Paths!$C$105=1),0,IF(Paths!$P$105="Complete",IF(IF(Paths!$O$105=0,C1087=0,AND(C1087&gt;0,Paths!$O$105&gt;(C1087-1)*12,Paths!$O$105&lt;=C1087*12)),Paths!$N$105,0),"n.a."))</f>
        <v>0</v>
      </c>
      <c r="L1087" s="16">
        <f>IF(NOT(Paths!$C$105=1),0,IF(Paths!$P$105="Complete",IF(C1087=10,Paths!$I$105,0),"n.a."))</f>
        <v>0</v>
      </c>
      <c r="M1087" s="16">
        <f>IF(NOT(Paths!$C$105=1),0,IF(Paths!$P$105="Complete",IF(AND(Paths!$D$105="EV",Paths!$E$105&lt;120,Paths!$E$105+'Operating costs'!$B$65&gt;Paths!$E$105,Paths!$E$105+'Operating costs'!$B$65&lt;=120,IF(Paths!$E$105+'Operating costs'!$B$65=0,C1087=0,AND(C1087&gt;0,Paths!$E$105+'Operating costs'!$B$65&gt;(C1087-1)*12,Paths!$E$105+'Operating costs'!$B$65&lt;=C1087*12))),'Operating costs'!$B$64,0)+IF(AND('Operating costs'!$B$67&gt;0,'Operating costs'!$B$67&lt;=120,OR(Paths!$D$105="ICE",'Operating costs'!$B$67&lt;=Paths!$E$105),IF('Operating costs'!$B$67=0,C1087=0,AND(C1087&gt;0,'Operating costs'!$B$67&gt;(C1087-1)*12,'Operating costs'!$B$67&lt;=C1087*12))),'Operating costs'!$B$66,0),"n.a."))</f>
        <v>0</v>
      </c>
      <c r="N1087" s="16">
        <f>IF(NOT(Paths!$C$105=1),0,IF(Paths!$P$105="Complete",SUM(G1087:I1087)-J1087-K1087-L1087+M1087+IF(C1087=0,Paths!$F$105,0)+IF(IF(Paths!$E$105=0,C1087=0,AND(C1087&gt;0,Paths!$E$105&gt;(C1087-1)*12,Paths!$E$105&lt;=C1087*12)),VLOOKUP(A1087,'Fleet register'!$A$7:$S$106,16,FALSE),0),"n.a."))</f>
        <v>0</v>
      </c>
      <c r="O1087" s="16">
        <f>IF(NOT(Paths!$C$105=1),0,IF(Paths!$P$105="Complete",N1087-IF(C1087=0,Paths!$F$105,0),"n.a."))</f>
        <v>0</v>
      </c>
      <c r="P1087" s="16">
        <f>IF(NOT(Paths!$C$105=1),0,IF(Paths!$P$105="Complete",O1087+L1087,"n.a."))</f>
        <v>0</v>
      </c>
      <c r="Q1087" s="16">
        <f>IF(NOT(Paths!$C$105=1),0,IF(Paths!$P$105="Complete",N1087*(1+'Operating costs'!$B$54)^-C1087,"n.a."))</f>
        <v>0</v>
      </c>
      <c r="R1087" s="16">
        <f>IF(NOT(Paths!$C$105=1),0,IF(Paths!$P$105="Complete",IF(AND(C1087=0,Paths!$E$105=0),I1087-J1087-K1087+VLOOKUP(A1087,'Fleet register'!$A$7:$S$106,15,FALSE)+VLOOKUP(A1087,'Fleet register'!$A$7:$S$106,16,FALSE),0),"n.a."))</f>
        <v>0</v>
      </c>
      <c r="S1087" s="1">
        <f>IF(NOT(Paths!$C$105=1),0,IF(Paths!$P$105="Complete",IF(C1087=0,0,Paths!$S$105*Paths!$R$105),"n.a."))</f>
        <v>0</v>
      </c>
      <c r="T1087" s="1">
        <f>IF(NOT(Paths!$C$105=1),0,IF(Paths!$P$105="Complete",IF(C1087=0,0,VLOOKUP(A1087,'Fleet register'!$A$7:$S$106,9,FALSE)*Paths!$R$105),"n.a."))</f>
        <v>0</v>
      </c>
    </row>
    <row r="1088" spans="1:20" ht="24" customHeight="1">
      <c r="A1088" s="1" t="str">
        <f>Paths!$A$105</f>
        <v>T025</v>
      </c>
      <c r="B1088" s="1">
        <f>Paths!$B$105</f>
        <v>2</v>
      </c>
      <c r="C1088" s="1">
        <v>3</v>
      </c>
      <c r="D1088" s="1">
        <v>105</v>
      </c>
      <c r="E1088" s="1">
        <f>IF(OR(Paths!$C$105=0,C1088=0),0,MAX(0,MIN(C1088*12,Paths!$E$105)-(C1088-1)*12))</f>
        <v>0</v>
      </c>
      <c r="F1088" s="1">
        <f>IF(OR(Paths!$C$105=0,C1088=0),0,12-E1088)</f>
        <v>0</v>
      </c>
      <c r="G1088" s="16">
        <f>IF(NOT(Paths!$C$105=1),0,IF(Paths!$P$105="Complete",E1088/12*(Paths!$J$105*(1+'Operating costs'!$B$51)^MAX(0,C1088-1)+Paths!$K$105*(1+'Operating costs'!$B$53)^MAX(0,C1088-1)),"n.a."))</f>
        <v>0</v>
      </c>
      <c r="H1088" s="16">
        <f>IF(NOT(Paths!$C$105=1),0,IF(Paths!$P$105="Complete",F1088/12*(Paths!$L$105*(1+IF(Paths!$D$105="EV",'Operating costs'!$B$52,'Operating costs'!$B$51))^MAX(0,C1088-1)+Paths!$M$105*(1+'Operating costs'!$B$53)^MAX(0,C1088-1)),"n.a."))</f>
        <v>0</v>
      </c>
      <c r="I1088" s="16">
        <f>IF(NOT(Paths!$C$105=1),0,IF(Paths!$P$105="Complete",IF(IF(Paths!$E$105=0,C1088=0,AND(C1088&gt;0,Paths!$E$105&gt;(C1088-1)*12,Paths!$E$105&lt;=C1088*12)),Paths!$G$105,0),"n.a."))</f>
        <v>0</v>
      </c>
      <c r="J1088" s="16">
        <f>IF(NOT(Paths!$C$105=1),0,IF(Paths!$P$105="Complete",IF(IF(Paths!$E$105=0,C1088=0,AND(C1088&gt;0,Paths!$E$105&gt;(C1088-1)*12,Paths!$E$105&lt;=C1088*12)),Paths!$H$105,0),"n.a."))</f>
        <v>0</v>
      </c>
      <c r="K1088" s="16">
        <f>IF(NOT(Paths!$C$105=1),0,IF(Paths!$P$105="Complete",IF(IF(Paths!$O$105=0,C1088=0,AND(C1088&gt;0,Paths!$O$105&gt;(C1088-1)*12,Paths!$O$105&lt;=C1088*12)),Paths!$N$105,0),"n.a."))</f>
        <v>0</v>
      </c>
      <c r="L1088" s="16">
        <f>IF(NOT(Paths!$C$105=1),0,IF(Paths!$P$105="Complete",IF(C1088=10,Paths!$I$105,0),"n.a."))</f>
        <v>0</v>
      </c>
      <c r="M1088" s="16">
        <f>IF(NOT(Paths!$C$105=1),0,IF(Paths!$P$105="Complete",IF(AND(Paths!$D$105="EV",Paths!$E$105&lt;120,Paths!$E$105+'Operating costs'!$B$65&gt;Paths!$E$105,Paths!$E$105+'Operating costs'!$B$65&lt;=120,IF(Paths!$E$105+'Operating costs'!$B$65=0,C1088=0,AND(C1088&gt;0,Paths!$E$105+'Operating costs'!$B$65&gt;(C1088-1)*12,Paths!$E$105+'Operating costs'!$B$65&lt;=C1088*12))),'Operating costs'!$B$64,0)+IF(AND('Operating costs'!$B$67&gt;0,'Operating costs'!$B$67&lt;=120,OR(Paths!$D$105="ICE",'Operating costs'!$B$67&lt;=Paths!$E$105),IF('Operating costs'!$B$67=0,C1088=0,AND(C1088&gt;0,'Operating costs'!$B$67&gt;(C1088-1)*12,'Operating costs'!$B$67&lt;=C1088*12))),'Operating costs'!$B$66,0),"n.a."))</f>
        <v>0</v>
      </c>
      <c r="N1088" s="16">
        <f>IF(NOT(Paths!$C$105=1),0,IF(Paths!$P$105="Complete",SUM(G1088:I1088)-J1088-K1088-L1088+M1088+IF(C1088=0,Paths!$F$105,0)+IF(IF(Paths!$E$105=0,C1088=0,AND(C1088&gt;0,Paths!$E$105&gt;(C1088-1)*12,Paths!$E$105&lt;=C1088*12)),VLOOKUP(A1088,'Fleet register'!$A$7:$S$106,16,FALSE),0),"n.a."))</f>
        <v>0</v>
      </c>
      <c r="O1088" s="16">
        <f>IF(NOT(Paths!$C$105=1),0,IF(Paths!$P$105="Complete",N1088-IF(C1088=0,Paths!$F$105,0),"n.a."))</f>
        <v>0</v>
      </c>
      <c r="P1088" s="16">
        <f>IF(NOT(Paths!$C$105=1),0,IF(Paths!$P$105="Complete",O1088+L1088,"n.a."))</f>
        <v>0</v>
      </c>
      <c r="Q1088" s="16">
        <f>IF(NOT(Paths!$C$105=1),0,IF(Paths!$P$105="Complete",N1088*(1+'Operating costs'!$B$54)^-C1088,"n.a."))</f>
        <v>0</v>
      </c>
      <c r="R1088" s="16">
        <f>IF(NOT(Paths!$C$105=1),0,IF(Paths!$P$105="Complete",IF(AND(C1088=0,Paths!$E$105=0),I1088-J1088-K1088+VLOOKUP(A1088,'Fleet register'!$A$7:$S$106,15,FALSE)+VLOOKUP(A1088,'Fleet register'!$A$7:$S$106,16,FALSE),0),"n.a."))</f>
        <v>0</v>
      </c>
      <c r="S1088" s="1">
        <f>IF(NOT(Paths!$C$105=1),0,IF(Paths!$P$105="Complete",IF(C1088=0,0,Paths!$S$105*Paths!$R$105),"n.a."))</f>
        <v>0</v>
      </c>
      <c r="T1088" s="1">
        <f>IF(NOT(Paths!$C$105=1),0,IF(Paths!$P$105="Complete",IF(C1088=0,0,VLOOKUP(A1088,'Fleet register'!$A$7:$S$106,9,FALSE)*Paths!$R$105),"n.a."))</f>
        <v>0</v>
      </c>
    </row>
    <row r="1089" spans="1:20" ht="24" customHeight="1">
      <c r="A1089" s="1" t="str">
        <f>Paths!$A$105</f>
        <v>T025</v>
      </c>
      <c r="B1089" s="1">
        <f>Paths!$B$105</f>
        <v>2</v>
      </c>
      <c r="C1089" s="1">
        <v>4</v>
      </c>
      <c r="D1089" s="1">
        <v>105</v>
      </c>
      <c r="E1089" s="1">
        <f>IF(OR(Paths!$C$105=0,C1089=0),0,MAX(0,MIN(C1089*12,Paths!$E$105)-(C1089-1)*12))</f>
        <v>0</v>
      </c>
      <c r="F1089" s="1">
        <f>IF(OR(Paths!$C$105=0,C1089=0),0,12-E1089)</f>
        <v>0</v>
      </c>
      <c r="G1089" s="16">
        <f>IF(NOT(Paths!$C$105=1),0,IF(Paths!$P$105="Complete",E1089/12*(Paths!$J$105*(1+'Operating costs'!$B$51)^MAX(0,C1089-1)+Paths!$K$105*(1+'Operating costs'!$B$53)^MAX(0,C1089-1)),"n.a."))</f>
        <v>0</v>
      </c>
      <c r="H1089" s="16">
        <f>IF(NOT(Paths!$C$105=1),0,IF(Paths!$P$105="Complete",F1089/12*(Paths!$L$105*(1+IF(Paths!$D$105="EV",'Operating costs'!$B$52,'Operating costs'!$B$51))^MAX(0,C1089-1)+Paths!$M$105*(1+'Operating costs'!$B$53)^MAX(0,C1089-1)),"n.a."))</f>
        <v>0</v>
      </c>
      <c r="I1089" s="16">
        <f>IF(NOT(Paths!$C$105=1),0,IF(Paths!$P$105="Complete",IF(IF(Paths!$E$105=0,C1089=0,AND(C1089&gt;0,Paths!$E$105&gt;(C1089-1)*12,Paths!$E$105&lt;=C1089*12)),Paths!$G$105,0),"n.a."))</f>
        <v>0</v>
      </c>
      <c r="J1089" s="16">
        <f>IF(NOT(Paths!$C$105=1),0,IF(Paths!$P$105="Complete",IF(IF(Paths!$E$105=0,C1089=0,AND(C1089&gt;0,Paths!$E$105&gt;(C1089-1)*12,Paths!$E$105&lt;=C1089*12)),Paths!$H$105,0),"n.a."))</f>
        <v>0</v>
      </c>
      <c r="K1089" s="16">
        <f>IF(NOT(Paths!$C$105=1),0,IF(Paths!$P$105="Complete",IF(IF(Paths!$O$105=0,C1089=0,AND(C1089&gt;0,Paths!$O$105&gt;(C1089-1)*12,Paths!$O$105&lt;=C1089*12)),Paths!$N$105,0),"n.a."))</f>
        <v>0</v>
      </c>
      <c r="L1089" s="16">
        <f>IF(NOT(Paths!$C$105=1),0,IF(Paths!$P$105="Complete",IF(C1089=10,Paths!$I$105,0),"n.a."))</f>
        <v>0</v>
      </c>
      <c r="M1089" s="16">
        <f>IF(NOT(Paths!$C$105=1),0,IF(Paths!$P$105="Complete",IF(AND(Paths!$D$105="EV",Paths!$E$105&lt;120,Paths!$E$105+'Operating costs'!$B$65&gt;Paths!$E$105,Paths!$E$105+'Operating costs'!$B$65&lt;=120,IF(Paths!$E$105+'Operating costs'!$B$65=0,C1089=0,AND(C1089&gt;0,Paths!$E$105+'Operating costs'!$B$65&gt;(C1089-1)*12,Paths!$E$105+'Operating costs'!$B$65&lt;=C1089*12))),'Operating costs'!$B$64,0)+IF(AND('Operating costs'!$B$67&gt;0,'Operating costs'!$B$67&lt;=120,OR(Paths!$D$105="ICE",'Operating costs'!$B$67&lt;=Paths!$E$105),IF('Operating costs'!$B$67=0,C1089=0,AND(C1089&gt;0,'Operating costs'!$B$67&gt;(C1089-1)*12,'Operating costs'!$B$67&lt;=C1089*12))),'Operating costs'!$B$66,0),"n.a."))</f>
        <v>0</v>
      </c>
      <c r="N1089" s="16">
        <f>IF(NOT(Paths!$C$105=1),0,IF(Paths!$P$105="Complete",SUM(G1089:I1089)-J1089-K1089-L1089+M1089+IF(C1089=0,Paths!$F$105,0)+IF(IF(Paths!$E$105=0,C1089=0,AND(C1089&gt;0,Paths!$E$105&gt;(C1089-1)*12,Paths!$E$105&lt;=C1089*12)),VLOOKUP(A1089,'Fleet register'!$A$7:$S$106,16,FALSE),0),"n.a."))</f>
        <v>0</v>
      </c>
      <c r="O1089" s="16">
        <f>IF(NOT(Paths!$C$105=1),0,IF(Paths!$P$105="Complete",N1089-IF(C1089=0,Paths!$F$105,0),"n.a."))</f>
        <v>0</v>
      </c>
      <c r="P1089" s="16">
        <f>IF(NOT(Paths!$C$105=1),0,IF(Paths!$P$105="Complete",O1089+L1089,"n.a."))</f>
        <v>0</v>
      </c>
      <c r="Q1089" s="16">
        <f>IF(NOT(Paths!$C$105=1),0,IF(Paths!$P$105="Complete",N1089*(1+'Operating costs'!$B$54)^-C1089,"n.a."))</f>
        <v>0</v>
      </c>
      <c r="R1089" s="16">
        <f>IF(NOT(Paths!$C$105=1),0,IF(Paths!$P$105="Complete",IF(AND(C1089=0,Paths!$E$105=0),I1089-J1089-K1089+VLOOKUP(A1089,'Fleet register'!$A$7:$S$106,15,FALSE)+VLOOKUP(A1089,'Fleet register'!$A$7:$S$106,16,FALSE),0),"n.a."))</f>
        <v>0</v>
      </c>
      <c r="S1089" s="1">
        <f>IF(NOT(Paths!$C$105=1),0,IF(Paths!$P$105="Complete",IF(C1089=0,0,Paths!$S$105*Paths!$R$105),"n.a."))</f>
        <v>0</v>
      </c>
      <c r="T1089" s="1">
        <f>IF(NOT(Paths!$C$105=1),0,IF(Paths!$P$105="Complete",IF(C1089=0,0,VLOOKUP(A1089,'Fleet register'!$A$7:$S$106,9,FALSE)*Paths!$R$105),"n.a."))</f>
        <v>0</v>
      </c>
    </row>
    <row r="1090" spans="1:20" ht="24" customHeight="1">
      <c r="A1090" s="1" t="str">
        <f>Paths!$A$105</f>
        <v>T025</v>
      </c>
      <c r="B1090" s="1">
        <f>Paths!$B$105</f>
        <v>2</v>
      </c>
      <c r="C1090" s="1">
        <v>5</v>
      </c>
      <c r="D1090" s="1">
        <v>105</v>
      </c>
      <c r="E1090" s="1">
        <f>IF(OR(Paths!$C$105=0,C1090=0),0,MAX(0,MIN(C1090*12,Paths!$E$105)-(C1090-1)*12))</f>
        <v>0</v>
      </c>
      <c r="F1090" s="1">
        <f>IF(OR(Paths!$C$105=0,C1090=0),0,12-E1090)</f>
        <v>0</v>
      </c>
      <c r="G1090" s="16">
        <f>IF(NOT(Paths!$C$105=1),0,IF(Paths!$P$105="Complete",E1090/12*(Paths!$J$105*(1+'Operating costs'!$B$51)^MAX(0,C1090-1)+Paths!$K$105*(1+'Operating costs'!$B$53)^MAX(0,C1090-1)),"n.a."))</f>
        <v>0</v>
      </c>
      <c r="H1090" s="16">
        <f>IF(NOT(Paths!$C$105=1),0,IF(Paths!$P$105="Complete",F1090/12*(Paths!$L$105*(1+IF(Paths!$D$105="EV",'Operating costs'!$B$52,'Operating costs'!$B$51))^MAX(0,C1090-1)+Paths!$M$105*(1+'Operating costs'!$B$53)^MAX(0,C1090-1)),"n.a."))</f>
        <v>0</v>
      </c>
      <c r="I1090" s="16">
        <f>IF(NOT(Paths!$C$105=1),0,IF(Paths!$P$105="Complete",IF(IF(Paths!$E$105=0,C1090=0,AND(C1090&gt;0,Paths!$E$105&gt;(C1090-1)*12,Paths!$E$105&lt;=C1090*12)),Paths!$G$105,0),"n.a."))</f>
        <v>0</v>
      </c>
      <c r="J1090" s="16">
        <f>IF(NOT(Paths!$C$105=1),0,IF(Paths!$P$105="Complete",IF(IF(Paths!$E$105=0,C1090=0,AND(C1090&gt;0,Paths!$E$105&gt;(C1090-1)*12,Paths!$E$105&lt;=C1090*12)),Paths!$H$105,0),"n.a."))</f>
        <v>0</v>
      </c>
      <c r="K1090" s="16">
        <f>IF(NOT(Paths!$C$105=1),0,IF(Paths!$P$105="Complete",IF(IF(Paths!$O$105=0,C1090=0,AND(C1090&gt;0,Paths!$O$105&gt;(C1090-1)*12,Paths!$O$105&lt;=C1090*12)),Paths!$N$105,0),"n.a."))</f>
        <v>0</v>
      </c>
      <c r="L1090" s="16">
        <f>IF(NOT(Paths!$C$105=1),0,IF(Paths!$P$105="Complete",IF(C1090=10,Paths!$I$105,0),"n.a."))</f>
        <v>0</v>
      </c>
      <c r="M1090" s="16">
        <f>IF(NOT(Paths!$C$105=1),0,IF(Paths!$P$105="Complete",IF(AND(Paths!$D$105="EV",Paths!$E$105&lt;120,Paths!$E$105+'Operating costs'!$B$65&gt;Paths!$E$105,Paths!$E$105+'Operating costs'!$B$65&lt;=120,IF(Paths!$E$105+'Operating costs'!$B$65=0,C1090=0,AND(C1090&gt;0,Paths!$E$105+'Operating costs'!$B$65&gt;(C1090-1)*12,Paths!$E$105+'Operating costs'!$B$65&lt;=C1090*12))),'Operating costs'!$B$64,0)+IF(AND('Operating costs'!$B$67&gt;0,'Operating costs'!$B$67&lt;=120,OR(Paths!$D$105="ICE",'Operating costs'!$B$67&lt;=Paths!$E$105),IF('Operating costs'!$B$67=0,C1090=0,AND(C1090&gt;0,'Operating costs'!$B$67&gt;(C1090-1)*12,'Operating costs'!$B$67&lt;=C1090*12))),'Operating costs'!$B$66,0),"n.a."))</f>
        <v>0</v>
      </c>
      <c r="N1090" s="16">
        <f>IF(NOT(Paths!$C$105=1),0,IF(Paths!$P$105="Complete",SUM(G1090:I1090)-J1090-K1090-L1090+M1090+IF(C1090=0,Paths!$F$105,0)+IF(IF(Paths!$E$105=0,C1090=0,AND(C1090&gt;0,Paths!$E$105&gt;(C1090-1)*12,Paths!$E$105&lt;=C1090*12)),VLOOKUP(A1090,'Fleet register'!$A$7:$S$106,16,FALSE),0),"n.a."))</f>
        <v>0</v>
      </c>
      <c r="O1090" s="16">
        <f>IF(NOT(Paths!$C$105=1),0,IF(Paths!$P$105="Complete",N1090-IF(C1090=0,Paths!$F$105,0),"n.a."))</f>
        <v>0</v>
      </c>
      <c r="P1090" s="16">
        <f>IF(NOT(Paths!$C$105=1),0,IF(Paths!$P$105="Complete",O1090+L1090,"n.a."))</f>
        <v>0</v>
      </c>
      <c r="Q1090" s="16">
        <f>IF(NOT(Paths!$C$105=1),0,IF(Paths!$P$105="Complete",N1090*(1+'Operating costs'!$B$54)^-C1090,"n.a."))</f>
        <v>0</v>
      </c>
      <c r="R1090" s="16">
        <f>IF(NOT(Paths!$C$105=1),0,IF(Paths!$P$105="Complete",IF(AND(C1090=0,Paths!$E$105=0),I1090-J1090-K1090+VLOOKUP(A1090,'Fleet register'!$A$7:$S$106,15,FALSE)+VLOOKUP(A1090,'Fleet register'!$A$7:$S$106,16,FALSE),0),"n.a."))</f>
        <v>0</v>
      </c>
      <c r="S1090" s="1">
        <f>IF(NOT(Paths!$C$105=1),0,IF(Paths!$P$105="Complete",IF(C1090=0,0,Paths!$S$105*Paths!$R$105),"n.a."))</f>
        <v>0</v>
      </c>
      <c r="T1090" s="1">
        <f>IF(NOT(Paths!$C$105=1),0,IF(Paths!$P$105="Complete",IF(C1090=0,0,VLOOKUP(A1090,'Fleet register'!$A$7:$S$106,9,FALSE)*Paths!$R$105),"n.a."))</f>
        <v>0</v>
      </c>
    </row>
    <row r="1091" spans="1:20" ht="24" customHeight="1">
      <c r="A1091" s="1" t="str">
        <f>Paths!$A$105</f>
        <v>T025</v>
      </c>
      <c r="B1091" s="1">
        <f>Paths!$B$105</f>
        <v>2</v>
      </c>
      <c r="C1091" s="1">
        <v>6</v>
      </c>
      <c r="D1091" s="1">
        <v>105</v>
      </c>
      <c r="E1091" s="1">
        <f>IF(OR(Paths!$C$105=0,C1091=0),0,MAX(0,MIN(C1091*12,Paths!$E$105)-(C1091-1)*12))</f>
        <v>0</v>
      </c>
      <c r="F1091" s="1">
        <f>IF(OR(Paths!$C$105=0,C1091=0),0,12-E1091)</f>
        <v>0</v>
      </c>
      <c r="G1091" s="16">
        <f>IF(NOT(Paths!$C$105=1),0,IF(Paths!$P$105="Complete",E1091/12*(Paths!$J$105*(1+'Operating costs'!$B$51)^MAX(0,C1091-1)+Paths!$K$105*(1+'Operating costs'!$B$53)^MAX(0,C1091-1)),"n.a."))</f>
        <v>0</v>
      </c>
      <c r="H1091" s="16">
        <f>IF(NOT(Paths!$C$105=1),0,IF(Paths!$P$105="Complete",F1091/12*(Paths!$L$105*(1+IF(Paths!$D$105="EV",'Operating costs'!$B$52,'Operating costs'!$B$51))^MAX(0,C1091-1)+Paths!$M$105*(1+'Operating costs'!$B$53)^MAX(0,C1091-1)),"n.a."))</f>
        <v>0</v>
      </c>
      <c r="I1091" s="16">
        <f>IF(NOT(Paths!$C$105=1),0,IF(Paths!$P$105="Complete",IF(IF(Paths!$E$105=0,C1091=0,AND(C1091&gt;0,Paths!$E$105&gt;(C1091-1)*12,Paths!$E$105&lt;=C1091*12)),Paths!$G$105,0),"n.a."))</f>
        <v>0</v>
      </c>
      <c r="J1091" s="16">
        <f>IF(NOT(Paths!$C$105=1),0,IF(Paths!$P$105="Complete",IF(IF(Paths!$E$105=0,C1091=0,AND(C1091&gt;0,Paths!$E$105&gt;(C1091-1)*12,Paths!$E$105&lt;=C1091*12)),Paths!$H$105,0),"n.a."))</f>
        <v>0</v>
      </c>
      <c r="K1091" s="16">
        <f>IF(NOT(Paths!$C$105=1),0,IF(Paths!$P$105="Complete",IF(IF(Paths!$O$105=0,C1091=0,AND(C1091&gt;0,Paths!$O$105&gt;(C1091-1)*12,Paths!$O$105&lt;=C1091*12)),Paths!$N$105,0),"n.a."))</f>
        <v>0</v>
      </c>
      <c r="L1091" s="16">
        <f>IF(NOT(Paths!$C$105=1),0,IF(Paths!$P$105="Complete",IF(C1091=10,Paths!$I$105,0),"n.a."))</f>
        <v>0</v>
      </c>
      <c r="M1091" s="16">
        <f>IF(NOT(Paths!$C$105=1),0,IF(Paths!$P$105="Complete",IF(AND(Paths!$D$105="EV",Paths!$E$105&lt;120,Paths!$E$105+'Operating costs'!$B$65&gt;Paths!$E$105,Paths!$E$105+'Operating costs'!$B$65&lt;=120,IF(Paths!$E$105+'Operating costs'!$B$65=0,C1091=0,AND(C1091&gt;0,Paths!$E$105+'Operating costs'!$B$65&gt;(C1091-1)*12,Paths!$E$105+'Operating costs'!$B$65&lt;=C1091*12))),'Operating costs'!$B$64,0)+IF(AND('Operating costs'!$B$67&gt;0,'Operating costs'!$B$67&lt;=120,OR(Paths!$D$105="ICE",'Operating costs'!$B$67&lt;=Paths!$E$105),IF('Operating costs'!$B$67=0,C1091=0,AND(C1091&gt;0,'Operating costs'!$B$67&gt;(C1091-1)*12,'Operating costs'!$B$67&lt;=C1091*12))),'Operating costs'!$B$66,0),"n.a."))</f>
        <v>0</v>
      </c>
      <c r="N1091" s="16">
        <f>IF(NOT(Paths!$C$105=1),0,IF(Paths!$P$105="Complete",SUM(G1091:I1091)-J1091-K1091-L1091+M1091+IF(C1091=0,Paths!$F$105,0)+IF(IF(Paths!$E$105=0,C1091=0,AND(C1091&gt;0,Paths!$E$105&gt;(C1091-1)*12,Paths!$E$105&lt;=C1091*12)),VLOOKUP(A1091,'Fleet register'!$A$7:$S$106,16,FALSE),0),"n.a."))</f>
        <v>0</v>
      </c>
      <c r="O1091" s="16">
        <f>IF(NOT(Paths!$C$105=1),0,IF(Paths!$P$105="Complete",N1091-IF(C1091=0,Paths!$F$105,0),"n.a."))</f>
        <v>0</v>
      </c>
      <c r="P1091" s="16">
        <f>IF(NOT(Paths!$C$105=1),0,IF(Paths!$P$105="Complete",O1091+L1091,"n.a."))</f>
        <v>0</v>
      </c>
      <c r="Q1091" s="16">
        <f>IF(NOT(Paths!$C$105=1),0,IF(Paths!$P$105="Complete",N1091*(1+'Operating costs'!$B$54)^-C1091,"n.a."))</f>
        <v>0</v>
      </c>
      <c r="R1091" s="16">
        <f>IF(NOT(Paths!$C$105=1),0,IF(Paths!$P$105="Complete",IF(AND(C1091=0,Paths!$E$105=0),I1091-J1091-K1091+VLOOKUP(A1091,'Fleet register'!$A$7:$S$106,15,FALSE)+VLOOKUP(A1091,'Fleet register'!$A$7:$S$106,16,FALSE),0),"n.a."))</f>
        <v>0</v>
      </c>
      <c r="S1091" s="1">
        <f>IF(NOT(Paths!$C$105=1),0,IF(Paths!$P$105="Complete",IF(C1091=0,0,Paths!$S$105*Paths!$R$105),"n.a."))</f>
        <v>0</v>
      </c>
      <c r="T1091" s="1">
        <f>IF(NOT(Paths!$C$105=1),0,IF(Paths!$P$105="Complete",IF(C1091=0,0,VLOOKUP(A1091,'Fleet register'!$A$7:$S$106,9,FALSE)*Paths!$R$105),"n.a."))</f>
        <v>0</v>
      </c>
    </row>
    <row r="1092" spans="1:20" ht="24" customHeight="1">
      <c r="A1092" s="1" t="str">
        <f>Paths!$A$105</f>
        <v>T025</v>
      </c>
      <c r="B1092" s="1">
        <f>Paths!$B$105</f>
        <v>2</v>
      </c>
      <c r="C1092" s="1">
        <v>7</v>
      </c>
      <c r="D1092" s="1">
        <v>105</v>
      </c>
      <c r="E1092" s="1">
        <f>IF(OR(Paths!$C$105=0,C1092=0),0,MAX(0,MIN(C1092*12,Paths!$E$105)-(C1092-1)*12))</f>
        <v>0</v>
      </c>
      <c r="F1092" s="1">
        <f>IF(OR(Paths!$C$105=0,C1092=0),0,12-E1092)</f>
        <v>0</v>
      </c>
      <c r="G1092" s="16">
        <f>IF(NOT(Paths!$C$105=1),0,IF(Paths!$P$105="Complete",E1092/12*(Paths!$J$105*(1+'Operating costs'!$B$51)^MAX(0,C1092-1)+Paths!$K$105*(1+'Operating costs'!$B$53)^MAX(0,C1092-1)),"n.a."))</f>
        <v>0</v>
      </c>
      <c r="H1092" s="16">
        <f>IF(NOT(Paths!$C$105=1),0,IF(Paths!$P$105="Complete",F1092/12*(Paths!$L$105*(1+IF(Paths!$D$105="EV",'Operating costs'!$B$52,'Operating costs'!$B$51))^MAX(0,C1092-1)+Paths!$M$105*(1+'Operating costs'!$B$53)^MAX(0,C1092-1)),"n.a."))</f>
        <v>0</v>
      </c>
      <c r="I1092" s="16">
        <f>IF(NOT(Paths!$C$105=1),0,IF(Paths!$P$105="Complete",IF(IF(Paths!$E$105=0,C1092=0,AND(C1092&gt;0,Paths!$E$105&gt;(C1092-1)*12,Paths!$E$105&lt;=C1092*12)),Paths!$G$105,0),"n.a."))</f>
        <v>0</v>
      </c>
      <c r="J1092" s="16">
        <f>IF(NOT(Paths!$C$105=1),0,IF(Paths!$P$105="Complete",IF(IF(Paths!$E$105=0,C1092=0,AND(C1092&gt;0,Paths!$E$105&gt;(C1092-1)*12,Paths!$E$105&lt;=C1092*12)),Paths!$H$105,0),"n.a."))</f>
        <v>0</v>
      </c>
      <c r="K1092" s="16">
        <f>IF(NOT(Paths!$C$105=1),0,IF(Paths!$P$105="Complete",IF(IF(Paths!$O$105=0,C1092=0,AND(C1092&gt;0,Paths!$O$105&gt;(C1092-1)*12,Paths!$O$105&lt;=C1092*12)),Paths!$N$105,0),"n.a."))</f>
        <v>0</v>
      </c>
      <c r="L1092" s="16">
        <f>IF(NOT(Paths!$C$105=1),0,IF(Paths!$P$105="Complete",IF(C1092=10,Paths!$I$105,0),"n.a."))</f>
        <v>0</v>
      </c>
      <c r="M1092" s="16">
        <f>IF(NOT(Paths!$C$105=1),0,IF(Paths!$P$105="Complete",IF(AND(Paths!$D$105="EV",Paths!$E$105&lt;120,Paths!$E$105+'Operating costs'!$B$65&gt;Paths!$E$105,Paths!$E$105+'Operating costs'!$B$65&lt;=120,IF(Paths!$E$105+'Operating costs'!$B$65=0,C1092=0,AND(C1092&gt;0,Paths!$E$105+'Operating costs'!$B$65&gt;(C1092-1)*12,Paths!$E$105+'Operating costs'!$B$65&lt;=C1092*12))),'Operating costs'!$B$64,0)+IF(AND('Operating costs'!$B$67&gt;0,'Operating costs'!$B$67&lt;=120,OR(Paths!$D$105="ICE",'Operating costs'!$B$67&lt;=Paths!$E$105),IF('Operating costs'!$B$67=0,C1092=0,AND(C1092&gt;0,'Operating costs'!$B$67&gt;(C1092-1)*12,'Operating costs'!$B$67&lt;=C1092*12))),'Operating costs'!$B$66,0),"n.a."))</f>
        <v>0</v>
      </c>
      <c r="N1092" s="16">
        <f>IF(NOT(Paths!$C$105=1),0,IF(Paths!$P$105="Complete",SUM(G1092:I1092)-J1092-K1092-L1092+M1092+IF(C1092=0,Paths!$F$105,0)+IF(IF(Paths!$E$105=0,C1092=0,AND(C1092&gt;0,Paths!$E$105&gt;(C1092-1)*12,Paths!$E$105&lt;=C1092*12)),VLOOKUP(A1092,'Fleet register'!$A$7:$S$106,16,FALSE),0),"n.a."))</f>
        <v>0</v>
      </c>
      <c r="O1092" s="16">
        <f>IF(NOT(Paths!$C$105=1),0,IF(Paths!$P$105="Complete",N1092-IF(C1092=0,Paths!$F$105,0),"n.a."))</f>
        <v>0</v>
      </c>
      <c r="P1092" s="16">
        <f>IF(NOT(Paths!$C$105=1),0,IF(Paths!$P$105="Complete",O1092+L1092,"n.a."))</f>
        <v>0</v>
      </c>
      <c r="Q1092" s="16">
        <f>IF(NOT(Paths!$C$105=1),0,IF(Paths!$P$105="Complete",N1092*(1+'Operating costs'!$B$54)^-C1092,"n.a."))</f>
        <v>0</v>
      </c>
      <c r="R1092" s="16">
        <f>IF(NOT(Paths!$C$105=1),0,IF(Paths!$P$105="Complete",IF(AND(C1092=0,Paths!$E$105=0),I1092-J1092-K1092+VLOOKUP(A1092,'Fleet register'!$A$7:$S$106,15,FALSE)+VLOOKUP(A1092,'Fleet register'!$A$7:$S$106,16,FALSE),0),"n.a."))</f>
        <v>0</v>
      </c>
      <c r="S1092" s="1">
        <f>IF(NOT(Paths!$C$105=1),0,IF(Paths!$P$105="Complete",IF(C1092=0,0,Paths!$S$105*Paths!$R$105),"n.a."))</f>
        <v>0</v>
      </c>
      <c r="T1092" s="1">
        <f>IF(NOT(Paths!$C$105=1),0,IF(Paths!$P$105="Complete",IF(C1092=0,0,VLOOKUP(A1092,'Fleet register'!$A$7:$S$106,9,FALSE)*Paths!$R$105),"n.a."))</f>
        <v>0</v>
      </c>
    </row>
    <row r="1093" spans="1:20" ht="24" customHeight="1">
      <c r="A1093" s="1" t="str">
        <f>Paths!$A$105</f>
        <v>T025</v>
      </c>
      <c r="B1093" s="1">
        <f>Paths!$B$105</f>
        <v>2</v>
      </c>
      <c r="C1093" s="1">
        <v>8</v>
      </c>
      <c r="D1093" s="1">
        <v>105</v>
      </c>
      <c r="E1093" s="1">
        <f>IF(OR(Paths!$C$105=0,C1093=0),0,MAX(0,MIN(C1093*12,Paths!$E$105)-(C1093-1)*12))</f>
        <v>0</v>
      </c>
      <c r="F1093" s="1">
        <f>IF(OR(Paths!$C$105=0,C1093=0),0,12-E1093)</f>
        <v>0</v>
      </c>
      <c r="G1093" s="16">
        <f>IF(NOT(Paths!$C$105=1),0,IF(Paths!$P$105="Complete",E1093/12*(Paths!$J$105*(1+'Operating costs'!$B$51)^MAX(0,C1093-1)+Paths!$K$105*(1+'Operating costs'!$B$53)^MAX(0,C1093-1)),"n.a."))</f>
        <v>0</v>
      </c>
      <c r="H1093" s="16">
        <f>IF(NOT(Paths!$C$105=1),0,IF(Paths!$P$105="Complete",F1093/12*(Paths!$L$105*(1+IF(Paths!$D$105="EV",'Operating costs'!$B$52,'Operating costs'!$B$51))^MAX(0,C1093-1)+Paths!$M$105*(1+'Operating costs'!$B$53)^MAX(0,C1093-1)),"n.a."))</f>
        <v>0</v>
      </c>
      <c r="I1093" s="16">
        <f>IF(NOT(Paths!$C$105=1),0,IF(Paths!$P$105="Complete",IF(IF(Paths!$E$105=0,C1093=0,AND(C1093&gt;0,Paths!$E$105&gt;(C1093-1)*12,Paths!$E$105&lt;=C1093*12)),Paths!$G$105,0),"n.a."))</f>
        <v>0</v>
      </c>
      <c r="J1093" s="16">
        <f>IF(NOT(Paths!$C$105=1),0,IF(Paths!$P$105="Complete",IF(IF(Paths!$E$105=0,C1093=0,AND(C1093&gt;0,Paths!$E$105&gt;(C1093-1)*12,Paths!$E$105&lt;=C1093*12)),Paths!$H$105,0),"n.a."))</f>
        <v>0</v>
      </c>
      <c r="K1093" s="16">
        <f>IF(NOT(Paths!$C$105=1),0,IF(Paths!$P$105="Complete",IF(IF(Paths!$O$105=0,C1093=0,AND(C1093&gt;0,Paths!$O$105&gt;(C1093-1)*12,Paths!$O$105&lt;=C1093*12)),Paths!$N$105,0),"n.a."))</f>
        <v>0</v>
      </c>
      <c r="L1093" s="16">
        <f>IF(NOT(Paths!$C$105=1),0,IF(Paths!$P$105="Complete",IF(C1093=10,Paths!$I$105,0),"n.a."))</f>
        <v>0</v>
      </c>
      <c r="M1093" s="16">
        <f>IF(NOT(Paths!$C$105=1),0,IF(Paths!$P$105="Complete",IF(AND(Paths!$D$105="EV",Paths!$E$105&lt;120,Paths!$E$105+'Operating costs'!$B$65&gt;Paths!$E$105,Paths!$E$105+'Operating costs'!$B$65&lt;=120,IF(Paths!$E$105+'Operating costs'!$B$65=0,C1093=0,AND(C1093&gt;0,Paths!$E$105+'Operating costs'!$B$65&gt;(C1093-1)*12,Paths!$E$105+'Operating costs'!$B$65&lt;=C1093*12))),'Operating costs'!$B$64,0)+IF(AND('Operating costs'!$B$67&gt;0,'Operating costs'!$B$67&lt;=120,OR(Paths!$D$105="ICE",'Operating costs'!$B$67&lt;=Paths!$E$105),IF('Operating costs'!$B$67=0,C1093=0,AND(C1093&gt;0,'Operating costs'!$B$67&gt;(C1093-1)*12,'Operating costs'!$B$67&lt;=C1093*12))),'Operating costs'!$B$66,0),"n.a."))</f>
        <v>0</v>
      </c>
      <c r="N1093" s="16">
        <f>IF(NOT(Paths!$C$105=1),0,IF(Paths!$P$105="Complete",SUM(G1093:I1093)-J1093-K1093-L1093+M1093+IF(C1093=0,Paths!$F$105,0)+IF(IF(Paths!$E$105=0,C1093=0,AND(C1093&gt;0,Paths!$E$105&gt;(C1093-1)*12,Paths!$E$105&lt;=C1093*12)),VLOOKUP(A1093,'Fleet register'!$A$7:$S$106,16,FALSE),0),"n.a."))</f>
        <v>0</v>
      </c>
      <c r="O1093" s="16">
        <f>IF(NOT(Paths!$C$105=1),0,IF(Paths!$P$105="Complete",N1093-IF(C1093=0,Paths!$F$105,0),"n.a."))</f>
        <v>0</v>
      </c>
      <c r="P1093" s="16">
        <f>IF(NOT(Paths!$C$105=1),0,IF(Paths!$P$105="Complete",O1093+L1093,"n.a."))</f>
        <v>0</v>
      </c>
      <c r="Q1093" s="16">
        <f>IF(NOT(Paths!$C$105=1),0,IF(Paths!$P$105="Complete",N1093*(1+'Operating costs'!$B$54)^-C1093,"n.a."))</f>
        <v>0</v>
      </c>
      <c r="R1093" s="16">
        <f>IF(NOT(Paths!$C$105=1),0,IF(Paths!$P$105="Complete",IF(AND(C1093=0,Paths!$E$105=0),I1093-J1093-K1093+VLOOKUP(A1093,'Fleet register'!$A$7:$S$106,15,FALSE)+VLOOKUP(A1093,'Fleet register'!$A$7:$S$106,16,FALSE),0),"n.a."))</f>
        <v>0</v>
      </c>
      <c r="S1093" s="1">
        <f>IF(NOT(Paths!$C$105=1),0,IF(Paths!$P$105="Complete",IF(C1093=0,0,Paths!$S$105*Paths!$R$105),"n.a."))</f>
        <v>0</v>
      </c>
      <c r="T1093" s="1">
        <f>IF(NOT(Paths!$C$105=1),0,IF(Paths!$P$105="Complete",IF(C1093=0,0,VLOOKUP(A1093,'Fleet register'!$A$7:$S$106,9,FALSE)*Paths!$R$105),"n.a."))</f>
        <v>0</v>
      </c>
    </row>
    <row r="1094" spans="1:20" ht="24" customHeight="1">
      <c r="A1094" s="1" t="str">
        <f>Paths!$A$105</f>
        <v>T025</v>
      </c>
      <c r="B1094" s="1">
        <f>Paths!$B$105</f>
        <v>2</v>
      </c>
      <c r="C1094" s="1">
        <v>9</v>
      </c>
      <c r="D1094" s="1">
        <v>105</v>
      </c>
      <c r="E1094" s="1">
        <f>IF(OR(Paths!$C$105=0,C1094=0),0,MAX(0,MIN(C1094*12,Paths!$E$105)-(C1094-1)*12))</f>
        <v>0</v>
      </c>
      <c r="F1094" s="1">
        <f>IF(OR(Paths!$C$105=0,C1094=0),0,12-E1094)</f>
        <v>0</v>
      </c>
      <c r="G1094" s="16">
        <f>IF(NOT(Paths!$C$105=1),0,IF(Paths!$P$105="Complete",E1094/12*(Paths!$J$105*(1+'Operating costs'!$B$51)^MAX(0,C1094-1)+Paths!$K$105*(1+'Operating costs'!$B$53)^MAX(0,C1094-1)),"n.a."))</f>
        <v>0</v>
      </c>
      <c r="H1094" s="16">
        <f>IF(NOT(Paths!$C$105=1),0,IF(Paths!$P$105="Complete",F1094/12*(Paths!$L$105*(1+IF(Paths!$D$105="EV",'Operating costs'!$B$52,'Operating costs'!$B$51))^MAX(0,C1094-1)+Paths!$M$105*(1+'Operating costs'!$B$53)^MAX(0,C1094-1)),"n.a."))</f>
        <v>0</v>
      </c>
      <c r="I1094" s="16">
        <f>IF(NOT(Paths!$C$105=1),0,IF(Paths!$P$105="Complete",IF(IF(Paths!$E$105=0,C1094=0,AND(C1094&gt;0,Paths!$E$105&gt;(C1094-1)*12,Paths!$E$105&lt;=C1094*12)),Paths!$G$105,0),"n.a."))</f>
        <v>0</v>
      </c>
      <c r="J1094" s="16">
        <f>IF(NOT(Paths!$C$105=1),0,IF(Paths!$P$105="Complete",IF(IF(Paths!$E$105=0,C1094=0,AND(C1094&gt;0,Paths!$E$105&gt;(C1094-1)*12,Paths!$E$105&lt;=C1094*12)),Paths!$H$105,0),"n.a."))</f>
        <v>0</v>
      </c>
      <c r="K1094" s="16">
        <f>IF(NOT(Paths!$C$105=1),0,IF(Paths!$P$105="Complete",IF(IF(Paths!$O$105=0,C1094=0,AND(C1094&gt;0,Paths!$O$105&gt;(C1094-1)*12,Paths!$O$105&lt;=C1094*12)),Paths!$N$105,0),"n.a."))</f>
        <v>0</v>
      </c>
      <c r="L1094" s="16">
        <f>IF(NOT(Paths!$C$105=1),0,IF(Paths!$P$105="Complete",IF(C1094=10,Paths!$I$105,0),"n.a."))</f>
        <v>0</v>
      </c>
      <c r="M1094" s="16">
        <f>IF(NOT(Paths!$C$105=1),0,IF(Paths!$P$105="Complete",IF(AND(Paths!$D$105="EV",Paths!$E$105&lt;120,Paths!$E$105+'Operating costs'!$B$65&gt;Paths!$E$105,Paths!$E$105+'Operating costs'!$B$65&lt;=120,IF(Paths!$E$105+'Operating costs'!$B$65=0,C1094=0,AND(C1094&gt;0,Paths!$E$105+'Operating costs'!$B$65&gt;(C1094-1)*12,Paths!$E$105+'Operating costs'!$B$65&lt;=C1094*12))),'Operating costs'!$B$64,0)+IF(AND('Operating costs'!$B$67&gt;0,'Operating costs'!$B$67&lt;=120,OR(Paths!$D$105="ICE",'Operating costs'!$B$67&lt;=Paths!$E$105),IF('Operating costs'!$B$67=0,C1094=0,AND(C1094&gt;0,'Operating costs'!$B$67&gt;(C1094-1)*12,'Operating costs'!$B$67&lt;=C1094*12))),'Operating costs'!$B$66,0),"n.a."))</f>
        <v>0</v>
      </c>
      <c r="N1094" s="16">
        <f>IF(NOT(Paths!$C$105=1),0,IF(Paths!$P$105="Complete",SUM(G1094:I1094)-J1094-K1094-L1094+M1094+IF(C1094=0,Paths!$F$105,0)+IF(IF(Paths!$E$105=0,C1094=0,AND(C1094&gt;0,Paths!$E$105&gt;(C1094-1)*12,Paths!$E$105&lt;=C1094*12)),VLOOKUP(A1094,'Fleet register'!$A$7:$S$106,16,FALSE),0),"n.a."))</f>
        <v>0</v>
      </c>
      <c r="O1094" s="16">
        <f>IF(NOT(Paths!$C$105=1),0,IF(Paths!$P$105="Complete",N1094-IF(C1094=0,Paths!$F$105,0),"n.a."))</f>
        <v>0</v>
      </c>
      <c r="P1094" s="16">
        <f>IF(NOT(Paths!$C$105=1),0,IF(Paths!$P$105="Complete",O1094+L1094,"n.a."))</f>
        <v>0</v>
      </c>
      <c r="Q1094" s="16">
        <f>IF(NOT(Paths!$C$105=1),0,IF(Paths!$P$105="Complete",N1094*(1+'Operating costs'!$B$54)^-C1094,"n.a."))</f>
        <v>0</v>
      </c>
      <c r="R1094" s="16">
        <f>IF(NOT(Paths!$C$105=1),0,IF(Paths!$P$105="Complete",IF(AND(C1094=0,Paths!$E$105=0),I1094-J1094-K1094+VLOOKUP(A1094,'Fleet register'!$A$7:$S$106,15,FALSE)+VLOOKUP(A1094,'Fleet register'!$A$7:$S$106,16,FALSE),0),"n.a."))</f>
        <v>0</v>
      </c>
      <c r="S1094" s="1">
        <f>IF(NOT(Paths!$C$105=1),0,IF(Paths!$P$105="Complete",IF(C1094=0,0,Paths!$S$105*Paths!$R$105),"n.a."))</f>
        <v>0</v>
      </c>
      <c r="T1094" s="1">
        <f>IF(NOT(Paths!$C$105=1),0,IF(Paths!$P$105="Complete",IF(C1094=0,0,VLOOKUP(A1094,'Fleet register'!$A$7:$S$106,9,FALSE)*Paths!$R$105),"n.a."))</f>
        <v>0</v>
      </c>
    </row>
    <row r="1095" spans="1:20" ht="24" customHeight="1">
      <c r="A1095" s="1" t="str">
        <f>Paths!$A$105</f>
        <v>T025</v>
      </c>
      <c r="B1095" s="1">
        <f>Paths!$B$105</f>
        <v>2</v>
      </c>
      <c r="C1095" s="1">
        <v>10</v>
      </c>
      <c r="D1095" s="1">
        <v>105</v>
      </c>
      <c r="E1095" s="1">
        <f>IF(OR(Paths!$C$105=0,C1095=0),0,MAX(0,MIN(C1095*12,Paths!$E$105)-(C1095-1)*12))</f>
        <v>0</v>
      </c>
      <c r="F1095" s="1">
        <f>IF(OR(Paths!$C$105=0,C1095=0),0,12-E1095)</f>
        <v>0</v>
      </c>
      <c r="G1095" s="16">
        <f>IF(NOT(Paths!$C$105=1),0,IF(Paths!$P$105="Complete",E1095/12*(Paths!$J$105*(1+'Operating costs'!$B$51)^MAX(0,C1095-1)+Paths!$K$105*(1+'Operating costs'!$B$53)^MAX(0,C1095-1)),"n.a."))</f>
        <v>0</v>
      </c>
      <c r="H1095" s="16">
        <f>IF(NOT(Paths!$C$105=1),0,IF(Paths!$P$105="Complete",F1095/12*(Paths!$L$105*(1+IF(Paths!$D$105="EV",'Operating costs'!$B$52,'Operating costs'!$B$51))^MAX(0,C1095-1)+Paths!$M$105*(1+'Operating costs'!$B$53)^MAX(0,C1095-1)),"n.a."))</f>
        <v>0</v>
      </c>
      <c r="I1095" s="16">
        <f>IF(NOT(Paths!$C$105=1),0,IF(Paths!$P$105="Complete",IF(IF(Paths!$E$105=0,C1095=0,AND(C1095&gt;0,Paths!$E$105&gt;(C1095-1)*12,Paths!$E$105&lt;=C1095*12)),Paths!$G$105,0),"n.a."))</f>
        <v>0</v>
      </c>
      <c r="J1095" s="16">
        <f>IF(NOT(Paths!$C$105=1),0,IF(Paths!$P$105="Complete",IF(IF(Paths!$E$105=0,C1095=0,AND(C1095&gt;0,Paths!$E$105&gt;(C1095-1)*12,Paths!$E$105&lt;=C1095*12)),Paths!$H$105,0),"n.a."))</f>
        <v>0</v>
      </c>
      <c r="K1095" s="16">
        <f>IF(NOT(Paths!$C$105=1),0,IF(Paths!$P$105="Complete",IF(IF(Paths!$O$105=0,C1095=0,AND(C1095&gt;0,Paths!$O$105&gt;(C1095-1)*12,Paths!$O$105&lt;=C1095*12)),Paths!$N$105,0),"n.a."))</f>
        <v>0</v>
      </c>
      <c r="L1095" s="16">
        <f>IF(NOT(Paths!$C$105=1),0,IF(Paths!$P$105="Complete",IF(C1095=10,Paths!$I$105,0),"n.a."))</f>
        <v>0</v>
      </c>
      <c r="M1095" s="16">
        <f>IF(NOT(Paths!$C$105=1),0,IF(Paths!$P$105="Complete",IF(AND(Paths!$D$105="EV",Paths!$E$105&lt;120,Paths!$E$105+'Operating costs'!$B$65&gt;Paths!$E$105,Paths!$E$105+'Operating costs'!$B$65&lt;=120,IF(Paths!$E$105+'Operating costs'!$B$65=0,C1095=0,AND(C1095&gt;0,Paths!$E$105+'Operating costs'!$B$65&gt;(C1095-1)*12,Paths!$E$105+'Operating costs'!$B$65&lt;=C1095*12))),'Operating costs'!$B$64,0)+IF(AND('Operating costs'!$B$67&gt;0,'Operating costs'!$B$67&lt;=120,OR(Paths!$D$105="ICE",'Operating costs'!$B$67&lt;=Paths!$E$105),IF('Operating costs'!$B$67=0,C1095=0,AND(C1095&gt;0,'Operating costs'!$B$67&gt;(C1095-1)*12,'Operating costs'!$B$67&lt;=C1095*12))),'Operating costs'!$B$66,0),"n.a."))</f>
        <v>0</v>
      </c>
      <c r="N1095" s="16">
        <f>IF(NOT(Paths!$C$105=1),0,IF(Paths!$P$105="Complete",SUM(G1095:I1095)-J1095-K1095-L1095+M1095+IF(C1095=0,Paths!$F$105,0)+IF(IF(Paths!$E$105=0,C1095=0,AND(C1095&gt;0,Paths!$E$105&gt;(C1095-1)*12,Paths!$E$105&lt;=C1095*12)),VLOOKUP(A1095,'Fleet register'!$A$7:$S$106,16,FALSE),0),"n.a."))</f>
        <v>0</v>
      </c>
      <c r="O1095" s="16">
        <f>IF(NOT(Paths!$C$105=1),0,IF(Paths!$P$105="Complete",N1095-IF(C1095=0,Paths!$F$105,0),"n.a."))</f>
        <v>0</v>
      </c>
      <c r="P1095" s="16">
        <f>IF(NOT(Paths!$C$105=1),0,IF(Paths!$P$105="Complete",O1095+L1095,"n.a."))</f>
        <v>0</v>
      </c>
      <c r="Q1095" s="16">
        <f>IF(NOT(Paths!$C$105=1),0,IF(Paths!$P$105="Complete",N1095*(1+'Operating costs'!$B$54)^-C1095,"n.a."))</f>
        <v>0</v>
      </c>
      <c r="R1095" s="16">
        <f>IF(NOT(Paths!$C$105=1),0,IF(Paths!$P$105="Complete",IF(AND(C1095=0,Paths!$E$105=0),I1095-J1095-K1095+VLOOKUP(A1095,'Fleet register'!$A$7:$S$106,15,FALSE)+VLOOKUP(A1095,'Fleet register'!$A$7:$S$106,16,FALSE),0),"n.a."))</f>
        <v>0</v>
      </c>
      <c r="S1095" s="1">
        <f>IF(NOT(Paths!$C$105=1),0,IF(Paths!$P$105="Complete",IF(C1095=0,0,Paths!$S$105*Paths!$R$105),"n.a."))</f>
        <v>0</v>
      </c>
      <c r="T1095" s="1">
        <f>IF(NOT(Paths!$C$105=1),0,IF(Paths!$P$105="Complete",IF(C1095=0,0,VLOOKUP(A1095,'Fleet register'!$A$7:$S$106,9,FALSE)*Paths!$R$105),"n.a."))</f>
        <v>0</v>
      </c>
    </row>
    <row r="1096" spans="1:20" ht="24" customHeight="1">
      <c r="A1096" s="1" t="str">
        <f>Paths!$A$106</f>
        <v>T025</v>
      </c>
      <c r="B1096" s="1">
        <f>Paths!$B$106</f>
        <v>3</v>
      </c>
      <c r="C1096" s="1">
        <v>0</v>
      </c>
      <c r="D1096" s="1">
        <v>106</v>
      </c>
      <c r="E1096" s="1">
        <f>IF(OR(Paths!$C$106=0,C1096=0),0,MAX(0,MIN(C1096*12,Paths!$E$106)-(C1096-1)*12))</f>
        <v>0</v>
      </c>
      <c r="F1096" s="1">
        <f>IF(OR(Paths!$C$106=0,C1096=0),0,12-E1096)</f>
        <v>0</v>
      </c>
      <c r="G1096" s="16">
        <f>IF(NOT(Paths!$C$106=1),0,IF(Paths!$P$106="Complete",E1096/12*(Paths!$J$106*(1+'Operating costs'!$B$51)^MAX(0,C1096-1)+Paths!$K$106*(1+'Operating costs'!$B$53)^MAX(0,C1096-1)),"n.a."))</f>
        <v>0</v>
      </c>
      <c r="H1096" s="16">
        <f>IF(NOT(Paths!$C$106=1),0,IF(Paths!$P$106="Complete",F1096/12*(Paths!$L$106*(1+IF(Paths!$D$106="EV",'Operating costs'!$B$52,'Operating costs'!$B$51))^MAX(0,C1096-1)+Paths!$M$106*(1+'Operating costs'!$B$53)^MAX(0,C1096-1)),"n.a."))</f>
        <v>0</v>
      </c>
      <c r="I1096" s="16">
        <f>IF(NOT(Paths!$C$106=1),0,IF(Paths!$P$106="Complete",IF(IF(Paths!$E$106=0,C1096=0,AND(C1096&gt;0,Paths!$E$106&gt;(C1096-1)*12,Paths!$E$106&lt;=C1096*12)),Paths!$G$106,0),"n.a."))</f>
        <v>0</v>
      </c>
      <c r="J1096" s="16">
        <f>IF(NOT(Paths!$C$106=1),0,IF(Paths!$P$106="Complete",IF(IF(Paths!$E$106=0,C1096=0,AND(C1096&gt;0,Paths!$E$106&gt;(C1096-1)*12,Paths!$E$106&lt;=C1096*12)),Paths!$H$106,0),"n.a."))</f>
        <v>0</v>
      </c>
      <c r="K1096" s="16">
        <f>IF(NOT(Paths!$C$106=1),0,IF(Paths!$P$106="Complete",IF(IF(Paths!$O$106=0,C1096=0,AND(C1096&gt;0,Paths!$O$106&gt;(C1096-1)*12,Paths!$O$106&lt;=C1096*12)),Paths!$N$106,0),"n.a."))</f>
        <v>0</v>
      </c>
      <c r="L1096" s="16">
        <f>IF(NOT(Paths!$C$106=1),0,IF(Paths!$P$106="Complete",IF(C1096=10,Paths!$I$106,0),"n.a."))</f>
        <v>0</v>
      </c>
      <c r="M1096" s="16">
        <f>IF(NOT(Paths!$C$106=1),0,IF(Paths!$P$106="Complete",IF(AND(Paths!$D$106="EV",Paths!$E$106&lt;120,Paths!$E$106+'Operating costs'!$B$65&gt;Paths!$E$106,Paths!$E$106+'Operating costs'!$B$65&lt;=120,IF(Paths!$E$106+'Operating costs'!$B$65=0,C1096=0,AND(C1096&gt;0,Paths!$E$106+'Operating costs'!$B$65&gt;(C1096-1)*12,Paths!$E$106+'Operating costs'!$B$65&lt;=C1096*12))),'Operating costs'!$B$64,0)+IF(AND('Operating costs'!$B$67&gt;0,'Operating costs'!$B$67&lt;=120,OR(Paths!$D$106="ICE",'Operating costs'!$B$67&lt;=Paths!$E$106),IF('Operating costs'!$B$67=0,C1096=0,AND(C1096&gt;0,'Operating costs'!$B$67&gt;(C1096-1)*12,'Operating costs'!$B$67&lt;=C1096*12))),'Operating costs'!$B$66,0),"n.a."))</f>
        <v>0</v>
      </c>
      <c r="N1096" s="16">
        <f>IF(NOT(Paths!$C$106=1),0,IF(Paths!$P$106="Complete",SUM(G1096:I1096)-J1096-K1096-L1096+M1096+IF(C1096=0,Paths!$F$106,0)+IF(IF(Paths!$E$106=0,C1096=0,AND(C1096&gt;0,Paths!$E$106&gt;(C1096-1)*12,Paths!$E$106&lt;=C1096*12)),VLOOKUP(A1096,'Fleet register'!$A$7:$S$106,16,FALSE),0),"n.a."))</f>
        <v>0</v>
      </c>
      <c r="O1096" s="16">
        <f>IF(NOT(Paths!$C$106=1),0,IF(Paths!$P$106="Complete",N1096-IF(C1096=0,Paths!$F$106,0),"n.a."))</f>
        <v>0</v>
      </c>
      <c r="P1096" s="16">
        <f>IF(NOT(Paths!$C$106=1),0,IF(Paths!$P$106="Complete",O1096+L1096,"n.a."))</f>
        <v>0</v>
      </c>
      <c r="Q1096" s="16">
        <f>IF(NOT(Paths!$C$106=1),0,IF(Paths!$P$106="Complete",N1096*(1+'Operating costs'!$B$54)^-C1096,"n.a."))</f>
        <v>0</v>
      </c>
      <c r="R1096" s="16">
        <f>IF(NOT(Paths!$C$106=1),0,IF(Paths!$P$106="Complete",IF(AND(C1096=0,Paths!$E$106=0),I1096-J1096-K1096+VLOOKUP(A1096,'Fleet register'!$A$7:$S$106,15,FALSE)+VLOOKUP(A1096,'Fleet register'!$A$7:$S$106,16,FALSE),0),"n.a."))</f>
        <v>0</v>
      </c>
      <c r="S1096" s="1">
        <f>IF(NOT(Paths!$C$106=1),0,IF(Paths!$P$106="Complete",IF(C1096=0,0,Paths!$S$106*Paths!$R$106),"n.a."))</f>
        <v>0</v>
      </c>
      <c r="T1096" s="1">
        <f>IF(NOT(Paths!$C$106=1),0,IF(Paths!$P$106="Complete",IF(C1096=0,0,VLOOKUP(A1096,'Fleet register'!$A$7:$S$106,9,FALSE)*Paths!$R$106),"n.a."))</f>
        <v>0</v>
      </c>
    </row>
    <row r="1097" spans="1:20" ht="24" customHeight="1">
      <c r="A1097" s="1" t="str">
        <f>Paths!$A$106</f>
        <v>T025</v>
      </c>
      <c r="B1097" s="1">
        <f>Paths!$B$106</f>
        <v>3</v>
      </c>
      <c r="C1097" s="1">
        <v>1</v>
      </c>
      <c r="D1097" s="1">
        <v>106</v>
      </c>
      <c r="E1097" s="1">
        <f>IF(OR(Paths!$C$106=0,C1097=0),0,MAX(0,MIN(C1097*12,Paths!$E$106)-(C1097-1)*12))</f>
        <v>0</v>
      </c>
      <c r="F1097" s="1">
        <f>IF(OR(Paths!$C$106=0,C1097=0),0,12-E1097)</f>
        <v>0</v>
      </c>
      <c r="G1097" s="16">
        <f>IF(NOT(Paths!$C$106=1),0,IF(Paths!$P$106="Complete",E1097/12*(Paths!$J$106*(1+'Operating costs'!$B$51)^MAX(0,C1097-1)+Paths!$K$106*(1+'Operating costs'!$B$53)^MAX(0,C1097-1)),"n.a."))</f>
        <v>0</v>
      </c>
      <c r="H1097" s="16">
        <f>IF(NOT(Paths!$C$106=1),0,IF(Paths!$P$106="Complete",F1097/12*(Paths!$L$106*(1+IF(Paths!$D$106="EV",'Operating costs'!$B$52,'Operating costs'!$B$51))^MAX(0,C1097-1)+Paths!$M$106*(1+'Operating costs'!$B$53)^MAX(0,C1097-1)),"n.a."))</f>
        <v>0</v>
      </c>
      <c r="I1097" s="16">
        <f>IF(NOT(Paths!$C$106=1),0,IF(Paths!$P$106="Complete",IF(IF(Paths!$E$106=0,C1097=0,AND(C1097&gt;0,Paths!$E$106&gt;(C1097-1)*12,Paths!$E$106&lt;=C1097*12)),Paths!$G$106,0),"n.a."))</f>
        <v>0</v>
      </c>
      <c r="J1097" s="16">
        <f>IF(NOT(Paths!$C$106=1),0,IF(Paths!$P$106="Complete",IF(IF(Paths!$E$106=0,C1097=0,AND(C1097&gt;0,Paths!$E$106&gt;(C1097-1)*12,Paths!$E$106&lt;=C1097*12)),Paths!$H$106,0),"n.a."))</f>
        <v>0</v>
      </c>
      <c r="K1097" s="16">
        <f>IF(NOT(Paths!$C$106=1),0,IF(Paths!$P$106="Complete",IF(IF(Paths!$O$106=0,C1097=0,AND(C1097&gt;0,Paths!$O$106&gt;(C1097-1)*12,Paths!$O$106&lt;=C1097*12)),Paths!$N$106,0),"n.a."))</f>
        <v>0</v>
      </c>
      <c r="L1097" s="16">
        <f>IF(NOT(Paths!$C$106=1),0,IF(Paths!$P$106="Complete",IF(C1097=10,Paths!$I$106,0),"n.a."))</f>
        <v>0</v>
      </c>
      <c r="M1097" s="16">
        <f>IF(NOT(Paths!$C$106=1),0,IF(Paths!$P$106="Complete",IF(AND(Paths!$D$106="EV",Paths!$E$106&lt;120,Paths!$E$106+'Operating costs'!$B$65&gt;Paths!$E$106,Paths!$E$106+'Operating costs'!$B$65&lt;=120,IF(Paths!$E$106+'Operating costs'!$B$65=0,C1097=0,AND(C1097&gt;0,Paths!$E$106+'Operating costs'!$B$65&gt;(C1097-1)*12,Paths!$E$106+'Operating costs'!$B$65&lt;=C1097*12))),'Operating costs'!$B$64,0)+IF(AND('Operating costs'!$B$67&gt;0,'Operating costs'!$B$67&lt;=120,OR(Paths!$D$106="ICE",'Operating costs'!$B$67&lt;=Paths!$E$106),IF('Operating costs'!$B$67=0,C1097=0,AND(C1097&gt;0,'Operating costs'!$B$67&gt;(C1097-1)*12,'Operating costs'!$B$67&lt;=C1097*12))),'Operating costs'!$B$66,0),"n.a."))</f>
        <v>0</v>
      </c>
      <c r="N1097" s="16">
        <f>IF(NOT(Paths!$C$106=1),0,IF(Paths!$P$106="Complete",SUM(G1097:I1097)-J1097-K1097-L1097+M1097+IF(C1097=0,Paths!$F$106,0)+IF(IF(Paths!$E$106=0,C1097=0,AND(C1097&gt;0,Paths!$E$106&gt;(C1097-1)*12,Paths!$E$106&lt;=C1097*12)),VLOOKUP(A1097,'Fleet register'!$A$7:$S$106,16,FALSE),0),"n.a."))</f>
        <v>0</v>
      </c>
      <c r="O1097" s="16">
        <f>IF(NOT(Paths!$C$106=1),0,IF(Paths!$P$106="Complete",N1097-IF(C1097=0,Paths!$F$106,0),"n.a."))</f>
        <v>0</v>
      </c>
      <c r="P1097" s="16">
        <f>IF(NOT(Paths!$C$106=1),0,IF(Paths!$P$106="Complete",O1097+L1097,"n.a."))</f>
        <v>0</v>
      </c>
      <c r="Q1097" s="16">
        <f>IF(NOT(Paths!$C$106=1),0,IF(Paths!$P$106="Complete",N1097*(1+'Operating costs'!$B$54)^-C1097,"n.a."))</f>
        <v>0</v>
      </c>
      <c r="R1097" s="16">
        <f>IF(NOT(Paths!$C$106=1),0,IF(Paths!$P$106="Complete",IF(AND(C1097=0,Paths!$E$106=0),I1097-J1097-K1097+VLOOKUP(A1097,'Fleet register'!$A$7:$S$106,15,FALSE)+VLOOKUP(A1097,'Fleet register'!$A$7:$S$106,16,FALSE),0),"n.a."))</f>
        <v>0</v>
      </c>
      <c r="S1097" s="1">
        <f>IF(NOT(Paths!$C$106=1),0,IF(Paths!$P$106="Complete",IF(C1097=0,0,Paths!$S$106*Paths!$R$106),"n.a."))</f>
        <v>0</v>
      </c>
      <c r="T1097" s="1">
        <f>IF(NOT(Paths!$C$106=1),0,IF(Paths!$P$106="Complete",IF(C1097=0,0,VLOOKUP(A1097,'Fleet register'!$A$7:$S$106,9,FALSE)*Paths!$R$106),"n.a."))</f>
        <v>0</v>
      </c>
    </row>
    <row r="1098" spans="1:20" ht="24" customHeight="1">
      <c r="A1098" s="1" t="str">
        <f>Paths!$A$106</f>
        <v>T025</v>
      </c>
      <c r="B1098" s="1">
        <f>Paths!$B$106</f>
        <v>3</v>
      </c>
      <c r="C1098" s="1">
        <v>2</v>
      </c>
      <c r="D1098" s="1">
        <v>106</v>
      </c>
      <c r="E1098" s="1">
        <f>IF(OR(Paths!$C$106=0,C1098=0),0,MAX(0,MIN(C1098*12,Paths!$E$106)-(C1098-1)*12))</f>
        <v>0</v>
      </c>
      <c r="F1098" s="1">
        <f>IF(OR(Paths!$C$106=0,C1098=0),0,12-E1098)</f>
        <v>0</v>
      </c>
      <c r="G1098" s="16">
        <f>IF(NOT(Paths!$C$106=1),0,IF(Paths!$P$106="Complete",E1098/12*(Paths!$J$106*(1+'Operating costs'!$B$51)^MAX(0,C1098-1)+Paths!$K$106*(1+'Operating costs'!$B$53)^MAX(0,C1098-1)),"n.a."))</f>
        <v>0</v>
      </c>
      <c r="H1098" s="16">
        <f>IF(NOT(Paths!$C$106=1),0,IF(Paths!$P$106="Complete",F1098/12*(Paths!$L$106*(1+IF(Paths!$D$106="EV",'Operating costs'!$B$52,'Operating costs'!$B$51))^MAX(0,C1098-1)+Paths!$M$106*(1+'Operating costs'!$B$53)^MAX(0,C1098-1)),"n.a."))</f>
        <v>0</v>
      </c>
      <c r="I1098" s="16">
        <f>IF(NOT(Paths!$C$106=1),0,IF(Paths!$P$106="Complete",IF(IF(Paths!$E$106=0,C1098=0,AND(C1098&gt;0,Paths!$E$106&gt;(C1098-1)*12,Paths!$E$106&lt;=C1098*12)),Paths!$G$106,0),"n.a."))</f>
        <v>0</v>
      </c>
      <c r="J1098" s="16">
        <f>IF(NOT(Paths!$C$106=1),0,IF(Paths!$P$106="Complete",IF(IF(Paths!$E$106=0,C1098=0,AND(C1098&gt;0,Paths!$E$106&gt;(C1098-1)*12,Paths!$E$106&lt;=C1098*12)),Paths!$H$106,0),"n.a."))</f>
        <v>0</v>
      </c>
      <c r="K1098" s="16">
        <f>IF(NOT(Paths!$C$106=1),0,IF(Paths!$P$106="Complete",IF(IF(Paths!$O$106=0,C1098=0,AND(C1098&gt;0,Paths!$O$106&gt;(C1098-1)*12,Paths!$O$106&lt;=C1098*12)),Paths!$N$106,0),"n.a."))</f>
        <v>0</v>
      </c>
      <c r="L1098" s="16">
        <f>IF(NOT(Paths!$C$106=1),0,IF(Paths!$P$106="Complete",IF(C1098=10,Paths!$I$106,0),"n.a."))</f>
        <v>0</v>
      </c>
      <c r="M1098" s="16">
        <f>IF(NOT(Paths!$C$106=1),0,IF(Paths!$P$106="Complete",IF(AND(Paths!$D$106="EV",Paths!$E$106&lt;120,Paths!$E$106+'Operating costs'!$B$65&gt;Paths!$E$106,Paths!$E$106+'Operating costs'!$B$65&lt;=120,IF(Paths!$E$106+'Operating costs'!$B$65=0,C1098=0,AND(C1098&gt;0,Paths!$E$106+'Operating costs'!$B$65&gt;(C1098-1)*12,Paths!$E$106+'Operating costs'!$B$65&lt;=C1098*12))),'Operating costs'!$B$64,0)+IF(AND('Operating costs'!$B$67&gt;0,'Operating costs'!$B$67&lt;=120,OR(Paths!$D$106="ICE",'Operating costs'!$B$67&lt;=Paths!$E$106),IF('Operating costs'!$B$67=0,C1098=0,AND(C1098&gt;0,'Operating costs'!$B$67&gt;(C1098-1)*12,'Operating costs'!$B$67&lt;=C1098*12))),'Operating costs'!$B$66,0),"n.a."))</f>
        <v>0</v>
      </c>
      <c r="N1098" s="16">
        <f>IF(NOT(Paths!$C$106=1),0,IF(Paths!$P$106="Complete",SUM(G1098:I1098)-J1098-K1098-L1098+M1098+IF(C1098=0,Paths!$F$106,0)+IF(IF(Paths!$E$106=0,C1098=0,AND(C1098&gt;0,Paths!$E$106&gt;(C1098-1)*12,Paths!$E$106&lt;=C1098*12)),VLOOKUP(A1098,'Fleet register'!$A$7:$S$106,16,FALSE),0),"n.a."))</f>
        <v>0</v>
      </c>
      <c r="O1098" s="16">
        <f>IF(NOT(Paths!$C$106=1),0,IF(Paths!$P$106="Complete",N1098-IF(C1098=0,Paths!$F$106,0),"n.a."))</f>
        <v>0</v>
      </c>
      <c r="P1098" s="16">
        <f>IF(NOT(Paths!$C$106=1),0,IF(Paths!$P$106="Complete",O1098+L1098,"n.a."))</f>
        <v>0</v>
      </c>
      <c r="Q1098" s="16">
        <f>IF(NOT(Paths!$C$106=1),0,IF(Paths!$P$106="Complete",N1098*(1+'Operating costs'!$B$54)^-C1098,"n.a."))</f>
        <v>0</v>
      </c>
      <c r="R1098" s="16">
        <f>IF(NOT(Paths!$C$106=1),0,IF(Paths!$P$106="Complete",IF(AND(C1098=0,Paths!$E$106=0),I1098-J1098-K1098+VLOOKUP(A1098,'Fleet register'!$A$7:$S$106,15,FALSE)+VLOOKUP(A1098,'Fleet register'!$A$7:$S$106,16,FALSE),0),"n.a."))</f>
        <v>0</v>
      </c>
      <c r="S1098" s="1">
        <f>IF(NOT(Paths!$C$106=1),0,IF(Paths!$P$106="Complete",IF(C1098=0,0,Paths!$S$106*Paths!$R$106),"n.a."))</f>
        <v>0</v>
      </c>
      <c r="T1098" s="1">
        <f>IF(NOT(Paths!$C$106=1),0,IF(Paths!$P$106="Complete",IF(C1098=0,0,VLOOKUP(A1098,'Fleet register'!$A$7:$S$106,9,FALSE)*Paths!$R$106),"n.a."))</f>
        <v>0</v>
      </c>
    </row>
    <row r="1099" spans="1:20" ht="24" customHeight="1">
      <c r="A1099" s="1" t="str">
        <f>Paths!$A$106</f>
        <v>T025</v>
      </c>
      <c r="B1099" s="1">
        <f>Paths!$B$106</f>
        <v>3</v>
      </c>
      <c r="C1099" s="1">
        <v>3</v>
      </c>
      <c r="D1099" s="1">
        <v>106</v>
      </c>
      <c r="E1099" s="1">
        <f>IF(OR(Paths!$C$106=0,C1099=0),0,MAX(0,MIN(C1099*12,Paths!$E$106)-(C1099-1)*12))</f>
        <v>0</v>
      </c>
      <c r="F1099" s="1">
        <f>IF(OR(Paths!$C$106=0,C1099=0),0,12-E1099)</f>
        <v>0</v>
      </c>
      <c r="G1099" s="16">
        <f>IF(NOT(Paths!$C$106=1),0,IF(Paths!$P$106="Complete",E1099/12*(Paths!$J$106*(1+'Operating costs'!$B$51)^MAX(0,C1099-1)+Paths!$K$106*(1+'Operating costs'!$B$53)^MAX(0,C1099-1)),"n.a."))</f>
        <v>0</v>
      </c>
      <c r="H1099" s="16">
        <f>IF(NOT(Paths!$C$106=1),0,IF(Paths!$P$106="Complete",F1099/12*(Paths!$L$106*(1+IF(Paths!$D$106="EV",'Operating costs'!$B$52,'Operating costs'!$B$51))^MAX(0,C1099-1)+Paths!$M$106*(1+'Operating costs'!$B$53)^MAX(0,C1099-1)),"n.a."))</f>
        <v>0</v>
      </c>
      <c r="I1099" s="16">
        <f>IF(NOT(Paths!$C$106=1),0,IF(Paths!$P$106="Complete",IF(IF(Paths!$E$106=0,C1099=0,AND(C1099&gt;0,Paths!$E$106&gt;(C1099-1)*12,Paths!$E$106&lt;=C1099*12)),Paths!$G$106,0),"n.a."))</f>
        <v>0</v>
      </c>
      <c r="J1099" s="16">
        <f>IF(NOT(Paths!$C$106=1),0,IF(Paths!$P$106="Complete",IF(IF(Paths!$E$106=0,C1099=0,AND(C1099&gt;0,Paths!$E$106&gt;(C1099-1)*12,Paths!$E$106&lt;=C1099*12)),Paths!$H$106,0),"n.a."))</f>
        <v>0</v>
      </c>
      <c r="K1099" s="16">
        <f>IF(NOT(Paths!$C$106=1),0,IF(Paths!$P$106="Complete",IF(IF(Paths!$O$106=0,C1099=0,AND(C1099&gt;0,Paths!$O$106&gt;(C1099-1)*12,Paths!$O$106&lt;=C1099*12)),Paths!$N$106,0),"n.a."))</f>
        <v>0</v>
      </c>
      <c r="L1099" s="16">
        <f>IF(NOT(Paths!$C$106=1),0,IF(Paths!$P$106="Complete",IF(C1099=10,Paths!$I$106,0),"n.a."))</f>
        <v>0</v>
      </c>
      <c r="M1099" s="16">
        <f>IF(NOT(Paths!$C$106=1),0,IF(Paths!$P$106="Complete",IF(AND(Paths!$D$106="EV",Paths!$E$106&lt;120,Paths!$E$106+'Operating costs'!$B$65&gt;Paths!$E$106,Paths!$E$106+'Operating costs'!$B$65&lt;=120,IF(Paths!$E$106+'Operating costs'!$B$65=0,C1099=0,AND(C1099&gt;0,Paths!$E$106+'Operating costs'!$B$65&gt;(C1099-1)*12,Paths!$E$106+'Operating costs'!$B$65&lt;=C1099*12))),'Operating costs'!$B$64,0)+IF(AND('Operating costs'!$B$67&gt;0,'Operating costs'!$B$67&lt;=120,OR(Paths!$D$106="ICE",'Operating costs'!$B$67&lt;=Paths!$E$106),IF('Operating costs'!$B$67=0,C1099=0,AND(C1099&gt;0,'Operating costs'!$B$67&gt;(C1099-1)*12,'Operating costs'!$B$67&lt;=C1099*12))),'Operating costs'!$B$66,0),"n.a."))</f>
        <v>0</v>
      </c>
      <c r="N1099" s="16">
        <f>IF(NOT(Paths!$C$106=1),0,IF(Paths!$P$106="Complete",SUM(G1099:I1099)-J1099-K1099-L1099+M1099+IF(C1099=0,Paths!$F$106,0)+IF(IF(Paths!$E$106=0,C1099=0,AND(C1099&gt;0,Paths!$E$106&gt;(C1099-1)*12,Paths!$E$106&lt;=C1099*12)),VLOOKUP(A1099,'Fleet register'!$A$7:$S$106,16,FALSE),0),"n.a."))</f>
        <v>0</v>
      </c>
      <c r="O1099" s="16">
        <f>IF(NOT(Paths!$C$106=1),0,IF(Paths!$P$106="Complete",N1099-IF(C1099=0,Paths!$F$106,0),"n.a."))</f>
        <v>0</v>
      </c>
      <c r="P1099" s="16">
        <f>IF(NOT(Paths!$C$106=1),0,IF(Paths!$P$106="Complete",O1099+L1099,"n.a."))</f>
        <v>0</v>
      </c>
      <c r="Q1099" s="16">
        <f>IF(NOT(Paths!$C$106=1),0,IF(Paths!$P$106="Complete",N1099*(1+'Operating costs'!$B$54)^-C1099,"n.a."))</f>
        <v>0</v>
      </c>
      <c r="R1099" s="16">
        <f>IF(NOT(Paths!$C$106=1),0,IF(Paths!$P$106="Complete",IF(AND(C1099=0,Paths!$E$106=0),I1099-J1099-K1099+VLOOKUP(A1099,'Fleet register'!$A$7:$S$106,15,FALSE)+VLOOKUP(A1099,'Fleet register'!$A$7:$S$106,16,FALSE),0),"n.a."))</f>
        <v>0</v>
      </c>
      <c r="S1099" s="1">
        <f>IF(NOT(Paths!$C$106=1),0,IF(Paths!$P$106="Complete",IF(C1099=0,0,Paths!$S$106*Paths!$R$106),"n.a."))</f>
        <v>0</v>
      </c>
      <c r="T1099" s="1">
        <f>IF(NOT(Paths!$C$106=1),0,IF(Paths!$P$106="Complete",IF(C1099=0,0,VLOOKUP(A1099,'Fleet register'!$A$7:$S$106,9,FALSE)*Paths!$R$106),"n.a."))</f>
        <v>0</v>
      </c>
    </row>
    <row r="1100" spans="1:20" ht="24" customHeight="1">
      <c r="A1100" s="1" t="str">
        <f>Paths!$A$106</f>
        <v>T025</v>
      </c>
      <c r="B1100" s="1">
        <f>Paths!$B$106</f>
        <v>3</v>
      </c>
      <c r="C1100" s="1">
        <v>4</v>
      </c>
      <c r="D1100" s="1">
        <v>106</v>
      </c>
      <c r="E1100" s="1">
        <f>IF(OR(Paths!$C$106=0,C1100=0),0,MAX(0,MIN(C1100*12,Paths!$E$106)-(C1100-1)*12))</f>
        <v>0</v>
      </c>
      <c r="F1100" s="1">
        <f>IF(OR(Paths!$C$106=0,C1100=0),0,12-E1100)</f>
        <v>0</v>
      </c>
      <c r="G1100" s="16">
        <f>IF(NOT(Paths!$C$106=1),0,IF(Paths!$P$106="Complete",E1100/12*(Paths!$J$106*(1+'Operating costs'!$B$51)^MAX(0,C1100-1)+Paths!$K$106*(1+'Operating costs'!$B$53)^MAX(0,C1100-1)),"n.a."))</f>
        <v>0</v>
      </c>
      <c r="H1100" s="16">
        <f>IF(NOT(Paths!$C$106=1),0,IF(Paths!$P$106="Complete",F1100/12*(Paths!$L$106*(1+IF(Paths!$D$106="EV",'Operating costs'!$B$52,'Operating costs'!$B$51))^MAX(0,C1100-1)+Paths!$M$106*(1+'Operating costs'!$B$53)^MAX(0,C1100-1)),"n.a."))</f>
        <v>0</v>
      </c>
      <c r="I1100" s="16">
        <f>IF(NOT(Paths!$C$106=1),0,IF(Paths!$P$106="Complete",IF(IF(Paths!$E$106=0,C1100=0,AND(C1100&gt;0,Paths!$E$106&gt;(C1100-1)*12,Paths!$E$106&lt;=C1100*12)),Paths!$G$106,0),"n.a."))</f>
        <v>0</v>
      </c>
      <c r="J1100" s="16">
        <f>IF(NOT(Paths!$C$106=1),0,IF(Paths!$P$106="Complete",IF(IF(Paths!$E$106=0,C1100=0,AND(C1100&gt;0,Paths!$E$106&gt;(C1100-1)*12,Paths!$E$106&lt;=C1100*12)),Paths!$H$106,0),"n.a."))</f>
        <v>0</v>
      </c>
      <c r="K1100" s="16">
        <f>IF(NOT(Paths!$C$106=1),0,IF(Paths!$P$106="Complete",IF(IF(Paths!$O$106=0,C1100=0,AND(C1100&gt;0,Paths!$O$106&gt;(C1100-1)*12,Paths!$O$106&lt;=C1100*12)),Paths!$N$106,0),"n.a."))</f>
        <v>0</v>
      </c>
      <c r="L1100" s="16">
        <f>IF(NOT(Paths!$C$106=1),0,IF(Paths!$P$106="Complete",IF(C1100=10,Paths!$I$106,0),"n.a."))</f>
        <v>0</v>
      </c>
      <c r="M1100" s="16">
        <f>IF(NOT(Paths!$C$106=1),0,IF(Paths!$P$106="Complete",IF(AND(Paths!$D$106="EV",Paths!$E$106&lt;120,Paths!$E$106+'Operating costs'!$B$65&gt;Paths!$E$106,Paths!$E$106+'Operating costs'!$B$65&lt;=120,IF(Paths!$E$106+'Operating costs'!$B$65=0,C1100=0,AND(C1100&gt;0,Paths!$E$106+'Operating costs'!$B$65&gt;(C1100-1)*12,Paths!$E$106+'Operating costs'!$B$65&lt;=C1100*12))),'Operating costs'!$B$64,0)+IF(AND('Operating costs'!$B$67&gt;0,'Operating costs'!$B$67&lt;=120,OR(Paths!$D$106="ICE",'Operating costs'!$B$67&lt;=Paths!$E$106),IF('Operating costs'!$B$67=0,C1100=0,AND(C1100&gt;0,'Operating costs'!$B$67&gt;(C1100-1)*12,'Operating costs'!$B$67&lt;=C1100*12))),'Operating costs'!$B$66,0),"n.a."))</f>
        <v>0</v>
      </c>
      <c r="N1100" s="16">
        <f>IF(NOT(Paths!$C$106=1),0,IF(Paths!$P$106="Complete",SUM(G1100:I1100)-J1100-K1100-L1100+M1100+IF(C1100=0,Paths!$F$106,0)+IF(IF(Paths!$E$106=0,C1100=0,AND(C1100&gt;0,Paths!$E$106&gt;(C1100-1)*12,Paths!$E$106&lt;=C1100*12)),VLOOKUP(A1100,'Fleet register'!$A$7:$S$106,16,FALSE),0),"n.a."))</f>
        <v>0</v>
      </c>
      <c r="O1100" s="16">
        <f>IF(NOT(Paths!$C$106=1),0,IF(Paths!$P$106="Complete",N1100-IF(C1100=0,Paths!$F$106,0),"n.a."))</f>
        <v>0</v>
      </c>
      <c r="P1100" s="16">
        <f>IF(NOT(Paths!$C$106=1),0,IF(Paths!$P$106="Complete",O1100+L1100,"n.a."))</f>
        <v>0</v>
      </c>
      <c r="Q1100" s="16">
        <f>IF(NOT(Paths!$C$106=1),0,IF(Paths!$P$106="Complete",N1100*(1+'Operating costs'!$B$54)^-C1100,"n.a."))</f>
        <v>0</v>
      </c>
      <c r="R1100" s="16">
        <f>IF(NOT(Paths!$C$106=1),0,IF(Paths!$P$106="Complete",IF(AND(C1100=0,Paths!$E$106=0),I1100-J1100-K1100+VLOOKUP(A1100,'Fleet register'!$A$7:$S$106,15,FALSE)+VLOOKUP(A1100,'Fleet register'!$A$7:$S$106,16,FALSE),0),"n.a."))</f>
        <v>0</v>
      </c>
      <c r="S1100" s="1">
        <f>IF(NOT(Paths!$C$106=1),0,IF(Paths!$P$106="Complete",IF(C1100=0,0,Paths!$S$106*Paths!$R$106),"n.a."))</f>
        <v>0</v>
      </c>
      <c r="T1100" s="1">
        <f>IF(NOT(Paths!$C$106=1),0,IF(Paths!$P$106="Complete",IF(C1100=0,0,VLOOKUP(A1100,'Fleet register'!$A$7:$S$106,9,FALSE)*Paths!$R$106),"n.a."))</f>
        <v>0</v>
      </c>
    </row>
    <row r="1101" spans="1:20" ht="24" customHeight="1">
      <c r="A1101" s="1" t="str">
        <f>Paths!$A$106</f>
        <v>T025</v>
      </c>
      <c r="B1101" s="1">
        <f>Paths!$B$106</f>
        <v>3</v>
      </c>
      <c r="C1101" s="1">
        <v>5</v>
      </c>
      <c r="D1101" s="1">
        <v>106</v>
      </c>
      <c r="E1101" s="1">
        <f>IF(OR(Paths!$C$106=0,C1101=0),0,MAX(0,MIN(C1101*12,Paths!$E$106)-(C1101-1)*12))</f>
        <v>0</v>
      </c>
      <c r="F1101" s="1">
        <f>IF(OR(Paths!$C$106=0,C1101=0),0,12-E1101)</f>
        <v>0</v>
      </c>
      <c r="G1101" s="16">
        <f>IF(NOT(Paths!$C$106=1),0,IF(Paths!$P$106="Complete",E1101/12*(Paths!$J$106*(1+'Operating costs'!$B$51)^MAX(0,C1101-1)+Paths!$K$106*(1+'Operating costs'!$B$53)^MAX(0,C1101-1)),"n.a."))</f>
        <v>0</v>
      </c>
      <c r="H1101" s="16">
        <f>IF(NOT(Paths!$C$106=1),0,IF(Paths!$P$106="Complete",F1101/12*(Paths!$L$106*(1+IF(Paths!$D$106="EV",'Operating costs'!$B$52,'Operating costs'!$B$51))^MAX(0,C1101-1)+Paths!$M$106*(1+'Operating costs'!$B$53)^MAX(0,C1101-1)),"n.a."))</f>
        <v>0</v>
      </c>
      <c r="I1101" s="16">
        <f>IF(NOT(Paths!$C$106=1),0,IF(Paths!$P$106="Complete",IF(IF(Paths!$E$106=0,C1101=0,AND(C1101&gt;0,Paths!$E$106&gt;(C1101-1)*12,Paths!$E$106&lt;=C1101*12)),Paths!$G$106,0),"n.a."))</f>
        <v>0</v>
      </c>
      <c r="J1101" s="16">
        <f>IF(NOT(Paths!$C$106=1),0,IF(Paths!$P$106="Complete",IF(IF(Paths!$E$106=0,C1101=0,AND(C1101&gt;0,Paths!$E$106&gt;(C1101-1)*12,Paths!$E$106&lt;=C1101*12)),Paths!$H$106,0),"n.a."))</f>
        <v>0</v>
      </c>
      <c r="K1101" s="16">
        <f>IF(NOT(Paths!$C$106=1),0,IF(Paths!$P$106="Complete",IF(IF(Paths!$O$106=0,C1101=0,AND(C1101&gt;0,Paths!$O$106&gt;(C1101-1)*12,Paths!$O$106&lt;=C1101*12)),Paths!$N$106,0),"n.a."))</f>
        <v>0</v>
      </c>
      <c r="L1101" s="16">
        <f>IF(NOT(Paths!$C$106=1),0,IF(Paths!$P$106="Complete",IF(C1101=10,Paths!$I$106,0),"n.a."))</f>
        <v>0</v>
      </c>
      <c r="M1101" s="16">
        <f>IF(NOT(Paths!$C$106=1),0,IF(Paths!$P$106="Complete",IF(AND(Paths!$D$106="EV",Paths!$E$106&lt;120,Paths!$E$106+'Operating costs'!$B$65&gt;Paths!$E$106,Paths!$E$106+'Operating costs'!$B$65&lt;=120,IF(Paths!$E$106+'Operating costs'!$B$65=0,C1101=0,AND(C1101&gt;0,Paths!$E$106+'Operating costs'!$B$65&gt;(C1101-1)*12,Paths!$E$106+'Operating costs'!$B$65&lt;=C1101*12))),'Operating costs'!$B$64,0)+IF(AND('Operating costs'!$B$67&gt;0,'Operating costs'!$B$67&lt;=120,OR(Paths!$D$106="ICE",'Operating costs'!$B$67&lt;=Paths!$E$106),IF('Operating costs'!$B$67=0,C1101=0,AND(C1101&gt;0,'Operating costs'!$B$67&gt;(C1101-1)*12,'Operating costs'!$B$67&lt;=C1101*12))),'Operating costs'!$B$66,0),"n.a."))</f>
        <v>0</v>
      </c>
      <c r="N1101" s="16">
        <f>IF(NOT(Paths!$C$106=1),0,IF(Paths!$P$106="Complete",SUM(G1101:I1101)-J1101-K1101-L1101+M1101+IF(C1101=0,Paths!$F$106,0)+IF(IF(Paths!$E$106=0,C1101=0,AND(C1101&gt;0,Paths!$E$106&gt;(C1101-1)*12,Paths!$E$106&lt;=C1101*12)),VLOOKUP(A1101,'Fleet register'!$A$7:$S$106,16,FALSE),0),"n.a."))</f>
        <v>0</v>
      </c>
      <c r="O1101" s="16">
        <f>IF(NOT(Paths!$C$106=1),0,IF(Paths!$P$106="Complete",N1101-IF(C1101=0,Paths!$F$106,0),"n.a."))</f>
        <v>0</v>
      </c>
      <c r="P1101" s="16">
        <f>IF(NOT(Paths!$C$106=1),0,IF(Paths!$P$106="Complete",O1101+L1101,"n.a."))</f>
        <v>0</v>
      </c>
      <c r="Q1101" s="16">
        <f>IF(NOT(Paths!$C$106=1),0,IF(Paths!$P$106="Complete",N1101*(1+'Operating costs'!$B$54)^-C1101,"n.a."))</f>
        <v>0</v>
      </c>
      <c r="R1101" s="16">
        <f>IF(NOT(Paths!$C$106=1),0,IF(Paths!$P$106="Complete",IF(AND(C1101=0,Paths!$E$106=0),I1101-J1101-K1101+VLOOKUP(A1101,'Fleet register'!$A$7:$S$106,15,FALSE)+VLOOKUP(A1101,'Fleet register'!$A$7:$S$106,16,FALSE),0),"n.a."))</f>
        <v>0</v>
      </c>
      <c r="S1101" s="1">
        <f>IF(NOT(Paths!$C$106=1),0,IF(Paths!$P$106="Complete",IF(C1101=0,0,Paths!$S$106*Paths!$R$106),"n.a."))</f>
        <v>0</v>
      </c>
      <c r="T1101" s="1">
        <f>IF(NOT(Paths!$C$106=1),0,IF(Paths!$P$106="Complete",IF(C1101=0,0,VLOOKUP(A1101,'Fleet register'!$A$7:$S$106,9,FALSE)*Paths!$R$106),"n.a."))</f>
        <v>0</v>
      </c>
    </row>
    <row r="1102" spans="1:20" ht="24" customHeight="1">
      <c r="A1102" s="1" t="str">
        <f>Paths!$A$106</f>
        <v>T025</v>
      </c>
      <c r="B1102" s="1">
        <f>Paths!$B$106</f>
        <v>3</v>
      </c>
      <c r="C1102" s="1">
        <v>6</v>
      </c>
      <c r="D1102" s="1">
        <v>106</v>
      </c>
      <c r="E1102" s="1">
        <f>IF(OR(Paths!$C$106=0,C1102=0),0,MAX(0,MIN(C1102*12,Paths!$E$106)-(C1102-1)*12))</f>
        <v>0</v>
      </c>
      <c r="F1102" s="1">
        <f>IF(OR(Paths!$C$106=0,C1102=0),0,12-E1102)</f>
        <v>0</v>
      </c>
      <c r="G1102" s="16">
        <f>IF(NOT(Paths!$C$106=1),0,IF(Paths!$P$106="Complete",E1102/12*(Paths!$J$106*(1+'Operating costs'!$B$51)^MAX(0,C1102-1)+Paths!$K$106*(1+'Operating costs'!$B$53)^MAX(0,C1102-1)),"n.a."))</f>
        <v>0</v>
      </c>
      <c r="H1102" s="16">
        <f>IF(NOT(Paths!$C$106=1),0,IF(Paths!$P$106="Complete",F1102/12*(Paths!$L$106*(1+IF(Paths!$D$106="EV",'Operating costs'!$B$52,'Operating costs'!$B$51))^MAX(0,C1102-1)+Paths!$M$106*(1+'Operating costs'!$B$53)^MAX(0,C1102-1)),"n.a."))</f>
        <v>0</v>
      </c>
      <c r="I1102" s="16">
        <f>IF(NOT(Paths!$C$106=1),0,IF(Paths!$P$106="Complete",IF(IF(Paths!$E$106=0,C1102=0,AND(C1102&gt;0,Paths!$E$106&gt;(C1102-1)*12,Paths!$E$106&lt;=C1102*12)),Paths!$G$106,0),"n.a."))</f>
        <v>0</v>
      </c>
      <c r="J1102" s="16">
        <f>IF(NOT(Paths!$C$106=1),0,IF(Paths!$P$106="Complete",IF(IF(Paths!$E$106=0,C1102=0,AND(C1102&gt;0,Paths!$E$106&gt;(C1102-1)*12,Paths!$E$106&lt;=C1102*12)),Paths!$H$106,0),"n.a."))</f>
        <v>0</v>
      </c>
      <c r="K1102" s="16">
        <f>IF(NOT(Paths!$C$106=1),0,IF(Paths!$P$106="Complete",IF(IF(Paths!$O$106=0,C1102=0,AND(C1102&gt;0,Paths!$O$106&gt;(C1102-1)*12,Paths!$O$106&lt;=C1102*12)),Paths!$N$106,0),"n.a."))</f>
        <v>0</v>
      </c>
      <c r="L1102" s="16">
        <f>IF(NOT(Paths!$C$106=1),0,IF(Paths!$P$106="Complete",IF(C1102=10,Paths!$I$106,0),"n.a."))</f>
        <v>0</v>
      </c>
      <c r="M1102" s="16">
        <f>IF(NOT(Paths!$C$106=1),0,IF(Paths!$P$106="Complete",IF(AND(Paths!$D$106="EV",Paths!$E$106&lt;120,Paths!$E$106+'Operating costs'!$B$65&gt;Paths!$E$106,Paths!$E$106+'Operating costs'!$B$65&lt;=120,IF(Paths!$E$106+'Operating costs'!$B$65=0,C1102=0,AND(C1102&gt;0,Paths!$E$106+'Operating costs'!$B$65&gt;(C1102-1)*12,Paths!$E$106+'Operating costs'!$B$65&lt;=C1102*12))),'Operating costs'!$B$64,0)+IF(AND('Operating costs'!$B$67&gt;0,'Operating costs'!$B$67&lt;=120,OR(Paths!$D$106="ICE",'Operating costs'!$B$67&lt;=Paths!$E$106),IF('Operating costs'!$B$67=0,C1102=0,AND(C1102&gt;0,'Operating costs'!$B$67&gt;(C1102-1)*12,'Operating costs'!$B$67&lt;=C1102*12))),'Operating costs'!$B$66,0),"n.a."))</f>
        <v>0</v>
      </c>
      <c r="N1102" s="16">
        <f>IF(NOT(Paths!$C$106=1),0,IF(Paths!$P$106="Complete",SUM(G1102:I1102)-J1102-K1102-L1102+M1102+IF(C1102=0,Paths!$F$106,0)+IF(IF(Paths!$E$106=0,C1102=0,AND(C1102&gt;0,Paths!$E$106&gt;(C1102-1)*12,Paths!$E$106&lt;=C1102*12)),VLOOKUP(A1102,'Fleet register'!$A$7:$S$106,16,FALSE),0),"n.a."))</f>
        <v>0</v>
      </c>
      <c r="O1102" s="16">
        <f>IF(NOT(Paths!$C$106=1),0,IF(Paths!$P$106="Complete",N1102-IF(C1102=0,Paths!$F$106,0),"n.a."))</f>
        <v>0</v>
      </c>
      <c r="P1102" s="16">
        <f>IF(NOT(Paths!$C$106=1),0,IF(Paths!$P$106="Complete",O1102+L1102,"n.a."))</f>
        <v>0</v>
      </c>
      <c r="Q1102" s="16">
        <f>IF(NOT(Paths!$C$106=1),0,IF(Paths!$P$106="Complete",N1102*(1+'Operating costs'!$B$54)^-C1102,"n.a."))</f>
        <v>0</v>
      </c>
      <c r="R1102" s="16">
        <f>IF(NOT(Paths!$C$106=1),0,IF(Paths!$P$106="Complete",IF(AND(C1102=0,Paths!$E$106=0),I1102-J1102-K1102+VLOOKUP(A1102,'Fleet register'!$A$7:$S$106,15,FALSE)+VLOOKUP(A1102,'Fleet register'!$A$7:$S$106,16,FALSE),0),"n.a."))</f>
        <v>0</v>
      </c>
      <c r="S1102" s="1">
        <f>IF(NOT(Paths!$C$106=1),0,IF(Paths!$P$106="Complete",IF(C1102=0,0,Paths!$S$106*Paths!$R$106),"n.a."))</f>
        <v>0</v>
      </c>
      <c r="T1102" s="1">
        <f>IF(NOT(Paths!$C$106=1),0,IF(Paths!$P$106="Complete",IF(C1102=0,0,VLOOKUP(A1102,'Fleet register'!$A$7:$S$106,9,FALSE)*Paths!$R$106),"n.a."))</f>
        <v>0</v>
      </c>
    </row>
    <row r="1103" spans="1:20" ht="24" customHeight="1">
      <c r="A1103" s="1" t="str">
        <f>Paths!$A$106</f>
        <v>T025</v>
      </c>
      <c r="B1103" s="1">
        <f>Paths!$B$106</f>
        <v>3</v>
      </c>
      <c r="C1103" s="1">
        <v>7</v>
      </c>
      <c r="D1103" s="1">
        <v>106</v>
      </c>
      <c r="E1103" s="1">
        <f>IF(OR(Paths!$C$106=0,C1103=0),0,MAX(0,MIN(C1103*12,Paths!$E$106)-(C1103-1)*12))</f>
        <v>0</v>
      </c>
      <c r="F1103" s="1">
        <f>IF(OR(Paths!$C$106=0,C1103=0),0,12-E1103)</f>
        <v>0</v>
      </c>
      <c r="G1103" s="16">
        <f>IF(NOT(Paths!$C$106=1),0,IF(Paths!$P$106="Complete",E1103/12*(Paths!$J$106*(1+'Operating costs'!$B$51)^MAX(0,C1103-1)+Paths!$K$106*(1+'Operating costs'!$B$53)^MAX(0,C1103-1)),"n.a."))</f>
        <v>0</v>
      </c>
      <c r="H1103" s="16">
        <f>IF(NOT(Paths!$C$106=1),0,IF(Paths!$P$106="Complete",F1103/12*(Paths!$L$106*(1+IF(Paths!$D$106="EV",'Operating costs'!$B$52,'Operating costs'!$B$51))^MAX(0,C1103-1)+Paths!$M$106*(1+'Operating costs'!$B$53)^MAX(0,C1103-1)),"n.a."))</f>
        <v>0</v>
      </c>
      <c r="I1103" s="16">
        <f>IF(NOT(Paths!$C$106=1),0,IF(Paths!$P$106="Complete",IF(IF(Paths!$E$106=0,C1103=0,AND(C1103&gt;0,Paths!$E$106&gt;(C1103-1)*12,Paths!$E$106&lt;=C1103*12)),Paths!$G$106,0),"n.a."))</f>
        <v>0</v>
      </c>
      <c r="J1103" s="16">
        <f>IF(NOT(Paths!$C$106=1),0,IF(Paths!$P$106="Complete",IF(IF(Paths!$E$106=0,C1103=0,AND(C1103&gt;0,Paths!$E$106&gt;(C1103-1)*12,Paths!$E$106&lt;=C1103*12)),Paths!$H$106,0),"n.a."))</f>
        <v>0</v>
      </c>
      <c r="K1103" s="16">
        <f>IF(NOT(Paths!$C$106=1),0,IF(Paths!$P$106="Complete",IF(IF(Paths!$O$106=0,C1103=0,AND(C1103&gt;0,Paths!$O$106&gt;(C1103-1)*12,Paths!$O$106&lt;=C1103*12)),Paths!$N$106,0),"n.a."))</f>
        <v>0</v>
      </c>
      <c r="L1103" s="16">
        <f>IF(NOT(Paths!$C$106=1),0,IF(Paths!$P$106="Complete",IF(C1103=10,Paths!$I$106,0),"n.a."))</f>
        <v>0</v>
      </c>
      <c r="M1103" s="16">
        <f>IF(NOT(Paths!$C$106=1),0,IF(Paths!$P$106="Complete",IF(AND(Paths!$D$106="EV",Paths!$E$106&lt;120,Paths!$E$106+'Operating costs'!$B$65&gt;Paths!$E$106,Paths!$E$106+'Operating costs'!$B$65&lt;=120,IF(Paths!$E$106+'Operating costs'!$B$65=0,C1103=0,AND(C1103&gt;0,Paths!$E$106+'Operating costs'!$B$65&gt;(C1103-1)*12,Paths!$E$106+'Operating costs'!$B$65&lt;=C1103*12))),'Operating costs'!$B$64,0)+IF(AND('Operating costs'!$B$67&gt;0,'Operating costs'!$B$67&lt;=120,OR(Paths!$D$106="ICE",'Operating costs'!$B$67&lt;=Paths!$E$106),IF('Operating costs'!$B$67=0,C1103=0,AND(C1103&gt;0,'Operating costs'!$B$67&gt;(C1103-1)*12,'Operating costs'!$B$67&lt;=C1103*12))),'Operating costs'!$B$66,0),"n.a."))</f>
        <v>0</v>
      </c>
      <c r="N1103" s="16">
        <f>IF(NOT(Paths!$C$106=1),0,IF(Paths!$P$106="Complete",SUM(G1103:I1103)-J1103-K1103-L1103+M1103+IF(C1103=0,Paths!$F$106,0)+IF(IF(Paths!$E$106=0,C1103=0,AND(C1103&gt;0,Paths!$E$106&gt;(C1103-1)*12,Paths!$E$106&lt;=C1103*12)),VLOOKUP(A1103,'Fleet register'!$A$7:$S$106,16,FALSE),0),"n.a."))</f>
        <v>0</v>
      </c>
      <c r="O1103" s="16">
        <f>IF(NOT(Paths!$C$106=1),0,IF(Paths!$P$106="Complete",N1103-IF(C1103=0,Paths!$F$106,0),"n.a."))</f>
        <v>0</v>
      </c>
      <c r="P1103" s="16">
        <f>IF(NOT(Paths!$C$106=1),0,IF(Paths!$P$106="Complete",O1103+L1103,"n.a."))</f>
        <v>0</v>
      </c>
      <c r="Q1103" s="16">
        <f>IF(NOT(Paths!$C$106=1),0,IF(Paths!$P$106="Complete",N1103*(1+'Operating costs'!$B$54)^-C1103,"n.a."))</f>
        <v>0</v>
      </c>
      <c r="R1103" s="16">
        <f>IF(NOT(Paths!$C$106=1),0,IF(Paths!$P$106="Complete",IF(AND(C1103=0,Paths!$E$106=0),I1103-J1103-K1103+VLOOKUP(A1103,'Fleet register'!$A$7:$S$106,15,FALSE)+VLOOKUP(A1103,'Fleet register'!$A$7:$S$106,16,FALSE),0),"n.a."))</f>
        <v>0</v>
      </c>
      <c r="S1103" s="1">
        <f>IF(NOT(Paths!$C$106=1),0,IF(Paths!$P$106="Complete",IF(C1103=0,0,Paths!$S$106*Paths!$R$106),"n.a."))</f>
        <v>0</v>
      </c>
      <c r="T1103" s="1">
        <f>IF(NOT(Paths!$C$106=1),0,IF(Paths!$P$106="Complete",IF(C1103=0,0,VLOOKUP(A1103,'Fleet register'!$A$7:$S$106,9,FALSE)*Paths!$R$106),"n.a."))</f>
        <v>0</v>
      </c>
    </row>
    <row r="1104" spans="1:20" ht="24" customHeight="1">
      <c r="A1104" s="1" t="str">
        <f>Paths!$A$106</f>
        <v>T025</v>
      </c>
      <c r="B1104" s="1">
        <f>Paths!$B$106</f>
        <v>3</v>
      </c>
      <c r="C1104" s="1">
        <v>8</v>
      </c>
      <c r="D1104" s="1">
        <v>106</v>
      </c>
      <c r="E1104" s="1">
        <f>IF(OR(Paths!$C$106=0,C1104=0),0,MAX(0,MIN(C1104*12,Paths!$E$106)-(C1104-1)*12))</f>
        <v>0</v>
      </c>
      <c r="F1104" s="1">
        <f>IF(OR(Paths!$C$106=0,C1104=0),0,12-E1104)</f>
        <v>0</v>
      </c>
      <c r="G1104" s="16">
        <f>IF(NOT(Paths!$C$106=1),0,IF(Paths!$P$106="Complete",E1104/12*(Paths!$J$106*(1+'Operating costs'!$B$51)^MAX(0,C1104-1)+Paths!$K$106*(1+'Operating costs'!$B$53)^MAX(0,C1104-1)),"n.a."))</f>
        <v>0</v>
      </c>
      <c r="H1104" s="16">
        <f>IF(NOT(Paths!$C$106=1),0,IF(Paths!$P$106="Complete",F1104/12*(Paths!$L$106*(1+IF(Paths!$D$106="EV",'Operating costs'!$B$52,'Operating costs'!$B$51))^MAX(0,C1104-1)+Paths!$M$106*(1+'Operating costs'!$B$53)^MAX(0,C1104-1)),"n.a."))</f>
        <v>0</v>
      </c>
      <c r="I1104" s="16">
        <f>IF(NOT(Paths!$C$106=1),0,IF(Paths!$P$106="Complete",IF(IF(Paths!$E$106=0,C1104=0,AND(C1104&gt;0,Paths!$E$106&gt;(C1104-1)*12,Paths!$E$106&lt;=C1104*12)),Paths!$G$106,0),"n.a."))</f>
        <v>0</v>
      </c>
      <c r="J1104" s="16">
        <f>IF(NOT(Paths!$C$106=1),0,IF(Paths!$P$106="Complete",IF(IF(Paths!$E$106=0,C1104=0,AND(C1104&gt;0,Paths!$E$106&gt;(C1104-1)*12,Paths!$E$106&lt;=C1104*12)),Paths!$H$106,0),"n.a."))</f>
        <v>0</v>
      </c>
      <c r="K1104" s="16">
        <f>IF(NOT(Paths!$C$106=1),0,IF(Paths!$P$106="Complete",IF(IF(Paths!$O$106=0,C1104=0,AND(C1104&gt;0,Paths!$O$106&gt;(C1104-1)*12,Paths!$O$106&lt;=C1104*12)),Paths!$N$106,0),"n.a."))</f>
        <v>0</v>
      </c>
      <c r="L1104" s="16">
        <f>IF(NOT(Paths!$C$106=1),0,IF(Paths!$P$106="Complete",IF(C1104=10,Paths!$I$106,0),"n.a."))</f>
        <v>0</v>
      </c>
      <c r="M1104" s="16">
        <f>IF(NOT(Paths!$C$106=1),0,IF(Paths!$P$106="Complete",IF(AND(Paths!$D$106="EV",Paths!$E$106&lt;120,Paths!$E$106+'Operating costs'!$B$65&gt;Paths!$E$106,Paths!$E$106+'Operating costs'!$B$65&lt;=120,IF(Paths!$E$106+'Operating costs'!$B$65=0,C1104=0,AND(C1104&gt;0,Paths!$E$106+'Operating costs'!$B$65&gt;(C1104-1)*12,Paths!$E$106+'Operating costs'!$B$65&lt;=C1104*12))),'Operating costs'!$B$64,0)+IF(AND('Operating costs'!$B$67&gt;0,'Operating costs'!$B$67&lt;=120,OR(Paths!$D$106="ICE",'Operating costs'!$B$67&lt;=Paths!$E$106),IF('Operating costs'!$B$67=0,C1104=0,AND(C1104&gt;0,'Operating costs'!$B$67&gt;(C1104-1)*12,'Operating costs'!$B$67&lt;=C1104*12))),'Operating costs'!$B$66,0),"n.a."))</f>
        <v>0</v>
      </c>
      <c r="N1104" s="16">
        <f>IF(NOT(Paths!$C$106=1),0,IF(Paths!$P$106="Complete",SUM(G1104:I1104)-J1104-K1104-L1104+M1104+IF(C1104=0,Paths!$F$106,0)+IF(IF(Paths!$E$106=0,C1104=0,AND(C1104&gt;0,Paths!$E$106&gt;(C1104-1)*12,Paths!$E$106&lt;=C1104*12)),VLOOKUP(A1104,'Fleet register'!$A$7:$S$106,16,FALSE),0),"n.a."))</f>
        <v>0</v>
      </c>
      <c r="O1104" s="16">
        <f>IF(NOT(Paths!$C$106=1),0,IF(Paths!$P$106="Complete",N1104-IF(C1104=0,Paths!$F$106,0),"n.a."))</f>
        <v>0</v>
      </c>
      <c r="P1104" s="16">
        <f>IF(NOT(Paths!$C$106=1),0,IF(Paths!$P$106="Complete",O1104+L1104,"n.a."))</f>
        <v>0</v>
      </c>
      <c r="Q1104" s="16">
        <f>IF(NOT(Paths!$C$106=1),0,IF(Paths!$P$106="Complete",N1104*(1+'Operating costs'!$B$54)^-C1104,"n.a."))</f>
        <v>0</v>
      </c>
      <c r="R1104" s="16">
        <f>IF(NOT(Paths!$C$106=1),0,IF(Paths!$P$106="Complete",IF(AND(C1104=0,Paths!$E$106=0),I1104-J1104-K1104+VLOOKUP(A1104,'Fleet register'!$A$7:$S$106,15,FALSE)+VLOOKUP(A1104,'Fleet register'!$A$7:$S$106,16,FALSE),0),"n.a."))</f>
        <v>0</v>
      </c>
      <c r="S1104" s="1">
        <f>IF(NOT(Paths!$C$106=1),0,IF(Paths!$P$106="Complete",IF(C1104=0,0,Paths!$S$106*Paths!$R$106),"n.a."))</f>
        <v>0</v>
      </c>
      <c r="T1104" s="1">
        <f>IF(NOT(Paths!$C$106=1),0,IF(Paths!$P$106="Complete",IF(C1104=0,0,VLOOKUP(A1104,'Fleet register'!$A$7:$S$106,9,FALSE)*Paths!$R$106),"n.a."))</f>
        <v>0</v>
      </c>
    </row>
    <row r="1105" spans="1:20" ht="24" customHeight="1">
      <c r="A1105" s="1" t="str">
        <f>Paths!$A$106</f>
        <v>T025</v>
      </c>
      <c r="B1105" s="1">
        <f>Paths!$B$106</f>
        <v>3</v>
      </c>
      <c r="C1105" s="1">
        <v>9</v>
      </c>
      <c r="D1105" s="1">
        <v>106</v>
      </c>
      <c r="E1105" s="1">
        <f>IF(OR(Paths!$C$106=0,C1105=0),0,MAX(0,MIN(C1105*12,Paths!$E$106)-(C1105-1)*12))</f>
        <v>0</v>
      </c>
      <c r="F1105" s="1">
        <f>IF(OR(Paths!$C$106=0,C1105=0),0,12-E1105)</f>
        <v>0</v>
      </c>
      <c r="G1105" s="16">
        <f>IF(NOT(Paths!$C$106=1),0,IF(Paths!$P$106="Complete",E1105/12*(Paths!$J$106*(1+'Operating costs'!$B$51)^MAX(0,C1105-1)+Paths!$K$106*(1+'Operating costs'!$B$53)^MAX(0,C1105-1)),"n.a."))</f>
        <v>0</v>
      </c>
      <c r="H1105" s="16">
        <f>IF(NOT(Paths!$C$106=1),0,IF(Paths!$P$106="Complete",F1105/12*(Paths!$L$106*(1+IF(Paths!$D$106="EV",'Operating costs'!$B$52,'Operating costs'!$B$51))^MAX(0,C1105-1)+Paths!$M$106*(1+'Operating costs'!$B$53)^MAX(0,C1105-1)),"n.a."))</f>
        <v>0</v>
      </c>
      <c r="I1105" s="16">
        <f>IF(NOT(Paths!$C$106=1),0,IF(Paths!$P$106="Complete",IF(IF(Paths!$E$106=0,C1105=0,AND(C1105&gt;0,Paths!$E$106&gt;(C1105-1)*12,Paths!$E$106&lt;=C1105*12)),Paths!$G$106,0),"n.a."))</f>
        <v>0</v>
      </c>
      <c r="J1105" s="16">
        <f>IF(NOT(Paths!$C$106=1),0,IF(Paths!$P$106="Complete",IF(IF(Paths!$E$106=0,C1105=0,AND(C1105&gt;0,Paths!$E$106&gt;(C1105-1)*12,Paths!$E$106&lt;=C1105*12)),Paths!$H$106,0),"n.a."))</f>
        <v>0</v>
      </c>
      <c r="K1105" s="16">
        <f>IF(NOT(Paths!$C$106=1),0,IF(Paths!$P$106="Complete",IF(IF(Paths!$O$106=0,C1105=0,AND(C1105&gt;0,Paths!$O$106&gt;(C1105-1)*12,Paths!$O$106&lt;=C1105*12)),Paths!$N$106,0),"n.a."))</f>
        <v>0</v>
      </c>
      <c r="L1105" s="16">
        <f>IF(NOT(Paths!$C$106=1),0,IF(Paths!$P$106="Complete",IF(C1105=10,Paths!$I$106,0),"n.a."))</f>
        <v>0</v>
      </c>
      <c r="M1105" s="16">
        <f>IF(NOT(Paths!$C$106=1),0,IF(Paths!$P$106="Complete",IF(AND(Paths!$D$106="EV",Paths!$E$106&lt;120,Paths!$E$106+'Operating costs'!$B$65&gt;Paths!$E$106,Paths!$E$106+'Operating costs'!$B$65&lt;=120,IF(Paths!$E$106+'Operating costs'!$B$65=0,C1105=0,AND(C1105&gt;0,Paths!$E$106+'Operating costs'!$B$65&gt;(C1105-1)*12,Paths!$E$106+'Operating costs'!$B$65&lt;=C1105*12))),'Operating costs'!$B$64,0)+IF(AND('Operating costs'!$B$67&gt;0,'Operating costs'!$B$67&lt;=120,OR(Paths!$D$106="ICE",'Operating costs'!$B$67&lt;=Paths!$E$106),IF('Operating costs'!$B$67=0,C1105=0,AND(C1105&gt;0,'Operating costs'!$B$67&gt;(C1105-1)*12,'Operating costs'!$B$67&lt;=C1105*12))),'Operating costs'!$B$66,0),"n.a."))</f>
        <v>0</v>
      </c>
      <c r="N1105" s="16">
        <f>IF(NOT(Paths!$C$106=1),0,IF(Paths!$P$106="Complete",SUM(G1105:I1105)-J1105-K1105-L1105+M1105+IF(C1105=0,Paths!$F$106,0)+IF(IF(Paths!$E$106=0,C1105=0,AND(C1105&gt;0,Paths!$E$106&gt;(C1105-1)*12,Paths!$E$106&lt;=C1105*12)),VLOOKUP(A1105,'Fleet register'!$A$7:$S$106,16,FALSE),0),"n.a."))</f>
        <v>0</v>
      </c>
      <c r="O1105" s="16">
        <f>IF(NOT(Paths!$C$106=1),0,IF(Paths!$P$106="Complete",N1105-IF(C1105=0,Paths!$F$106,0),"n.a."))</f>
        <v>0</v>
      </c>
      <c r="P1105" s="16">
        <f>IF(NOT(Paths!$C$106=1),0,IF(Paths!$P$106="Complete",O1105+L1105,"n.a."))</f>
        <v>0</v>
      </c>
      <c r="Q1105" s="16">
        <f>IF(NOT(Paths!$C$106=1),0,IF(Paths!$P$106="Complete",N1105*(1+'Operating costs'!$B$54)^-C1105,"n.a."))</f>
        <v>0</v>
      </c>
      <c r="R1105" s="16">
        <f>IF(NOT(Paths!$C$106=1),0,IF(Paths!$P$106="Complete",IF(AND(C1105=0,Paths!$E$106=0),I1105-J1105-K1105+VLOOKUP(A1105,'Fleet register'!$A$7:$S$106,15,FALSE)+VLOOKUP(A1105,'Fleet register'!$A$7:$S$106,16,FALSE),0),"n.a."))</f>
        <v>0</v>
      </c>
      <c r="S1105" s="1">
        <f>IF(NOT(Paths!$C$106=1),0,IF(Paths!$P$106="Complete",IF(C1105=0,0,Paths!$S$106*Paths!$R$106),"n.a."))</f>
        <v>0</v>
      </c>
      <c r="T1105" s="1">
        <f>IF(NOT(Paths!$C$106=1),0,IF(Paths!$P$106="Complete",IF(C1105=0,0,VLOOKUP(A1105,'Fleet register'!$A$7:$S$106,9,FALSE)*Paths!$R$106),"n.a."))</f>
        <v>0</v>
      </c>
    </row>
    <row r="1106" spans="1:20" ht="24" customHeight="1">
      <c r="A1106" s="1" t="str">
        <f>Paths!$A$106</f>
        <v>T025</v>
      </c>
      <c r="B1106" s="1">
        <f>Paths!$B$106</f>
        <v>3</v>
      </c>
      <c r="C1106" s="1">
        <v>10</v>
      </c>
      <c r="D1106" s="1">
        <v>106</v>
      </c>
      <c r="E1106" s="1">
        <f>IF(OR(Paths!$C$106=0,C1106=0),0,MAX(0,MIN(C1106*12,Paths!$E$106)-(C1106-1)*12))</f>
        <v>0</v>
      </c>
      <c r="F1106" s="1">
        <f>IF(OR(Paths!$C$106=0,C1106=0),0,12-E1106)</f>
        <v>0</v>
      </c>
      <c r="G1106" s="16">
        <f>IF(NOT(Paths!$C$106=1),0,IF(Paths!$P$106="Complete",E1106/12*(Paths!$J$106*(1+'Operating costs'!$B$51)^MAX(0,C1106-1)+Paths!$K$106*(1+'Operating costs'!$B$53)^MAX(0,C1106-1)),"n.a."))</f>
        <v>0</v>
      </c>
      <c r="H1106" s="16">
        <f>IF(NOT(Paths!$C$106=1),0,IF(Paths!$P$106="Complete",F1106/12*(Paths!$L$106*(1+IF(Paths!$D$106="EV",'Operating costs'!$B$52,'Operating costs'!$B$51))^MAX(0,C1106-1)+Paths!$M$106*(1+'Operating costs'!$B$53)^MAX(0,C1106-1)),"n.a."))</f>
        <v>0</v>
      </c>
      <c r="I1106" s="16">
        <f>IF(NOT(Paths!$C$106=1),0,IF(Paths!$P$106="Complete",IF(IF(Paths!$E$106=0,C1106=0,AND(C1106&gt;0,Paths!$E$106&gt;(C1106-1)*12,Paths!$E$106&lt;=C1106*12)),Paths!$G$106,0),"n.a."))</f>
        <v>0</v>
      </c>
      <c r="J1106" s="16">
        <f>IF(NOT(Paths!$C$106=1),0,IF(Paths!$P$106="Complete",IF(IF(Paths!$E$106=0,C1106=0,AND(C1106&gt;0,Paths!$E$106&gt;(C1106-1)*12,Paths!$E$106&lt;=C1106*12)),Paths!$H$106,0),"n.a."))</f>
        <v>0</v>
      </c>
      <c r="K1106" s="16">
        <f>IF(NOT(Paths!$C$106=1),0,IF(Paths!$P$106="Complete",IF(IF(Paths!$O$106=0,C1106=0,AND(C1106&gt;0,Paths!$O$106&gt;(C1106-1)*12,Paths!$O$106&lt;=C1106*12)),Paths!$N$106,0),"n.a."))</f>
        <v>0</v>
      </c>
      <c r="L1106" s="16">
        <f>IF(NOT(Paths!$C$106=1),0,IF(Paths!$P$106="Complete",IF(C1106=10,Paths!$I$106,0),"n.a."))</f>
        <v>0</v>
      </c>
      <c r="M1106" s="16">
        <f>IF(NOT(Paths!$C$106=1),0,IF(Paths!$P$106="Complete",IF(AND(Paths!$D$106="EV",Paths!$E$106&lt;120,Paths!$E$106+'Operating costs'!$B$65&gt;Paths!$E$106,Paths!$E$106+'Operating costs'!$B$65&lt;=120,IF(Paths!$E$106+'Operating costs'!$B$65=0,C1106=0,AND(C1106&gt;0,Paths!$E$106+'Operating costs'!$B$65&gt;(C1106-1)*12,Paths!$E$106+'Operating costs'!$B$65&lt;=C1106*12))),'Operating costs'!$B$64,0)+IF(AND('Operating costs'!$B$67&gt;0,'Operating costs'!$B$67&lt;=120,OR(Paths!$D$106="ICE",'Operating costs'!$B$67&lt;=Paths!$E$106),IF('Operating costs'!$B$67=0,C1106=0,AND(C1106&gt;0,'Operating costs'!$B$67&gt;(C1106-1)*12,'Operating costs'!$B$67&lt;=C1106*12))),'Operating costs'!$B$66,0),"n.a."))</f>
        <v>0</v>
      </c>
      <c r="N1106" s="16">
        <f>IF(NOT(Paths!$C$106=1),0,IF(Paths!$P$106="Complete",SUM(G1106:I1106)-J1106-K1106-L1106+M1106+IF(C1106=0,Paths!$F$106,0)+IF(IF(Paths!$E$106=0,C1106=0,AND(C1106&gt;0,Paths!$E$106&gt;(C1106-1)*12,Paths!$E$106&lt;=C1106*12)),VLOOKUP(A1106,'Fleet register'!$A$7:$S$106,16,FALSE),0),"n.a."))</f>
        <v>0</v>
      </c>
      <c r="O1106" s="16">
        <f>IF(NOT(Paths!$C$106=1),0,IF(Paths!$P$106="Complete",N1106-IF(C1106=0,Paths!$F$106,0),"n.a."))</f>
        <v>0</v>
      </c>
      <c r="P1106" s="16">
        <f>IF(NOT(Paths!$C$106=1),0,IF(Paths!$P$106="Complete",O1106+L1106,"n.a."))</f>
        <v>0</v>
      </c>
      <c r="Q1106" s="16">
        <f>IF(NOT(Paths!$C$106=1),0,IF(Paths!$P$106="Complete",N1106*(1+'Operating costs'!$B$54)^-C1106,"n.a."))</f>
        <v>0</v>
      </c>
      <c r="R1106" s="16">
        <f>IF(NOT(Paths!$C$106=1),0,IF(Paths!$P$106="Complete",IF(AND(C1106=0,Paths!$E$106=0),I1106-J1106-K1106+VLOOKUP(A1106,'Fleet register'!$A$7:$S$106,15,FALSE)+VLOOKUP(A1106,'Fleet register'!$A$7:$S$106,16,FALSE),0),"n.a."))</f>
        <v>0</v>
      </c>
      <c r="S1106" s="1">
        <f>IF(NOT(Paths!$C$106=1),0,IF(Paths!$P$106="Complete",IF(C1106=0,0,Paths!$S$106*Paths!$R$106),"n.a."))</f>
        <v>0</v>
      </c>
      <c r="T1106" s="1">
        <f>IF(NOT(Paths!$C$106=1),0,IF(Paths!$P$106="Complete",IF(C1106=0,0,VLOOKUP(A1106,'Fleet register'!$A$7:$S$106,9,FALSE)*Paths!$R$106),"n.a."))</f>
        <v>0</v>
      </c>
    </row>
    <row r="1107" spans="1:20" ht="24" customHeight="1">
      <c r="A1107" s="1" t="str">
        <f>Paths!$A$107</f>
        <v>T026</v>
      </c>
      <c r="B1107" s="1">
        <f>Paths!$B$107</f>
        <v>0</v>
      </c>
      <c r="C1107" s="1">
        <v>0</v>
      </c>
      <c r="D1107" s="1">
        <v>107</v>
      </c>
      <c r="E1107" s="1">
        <f>IF(OR(Paths!$C$107=0,C1107=0),0,MAX(0,MIN(C1107*12,Paths!$E$107)-(C1107-1)*12))</f>
        <v>0</v>
      </c>
      <c r="F1107" s="1">
        <f>IF(OR(Paths!$C$107=0,C1107=0),0,12-E1107)</f>
        <v>0</v>
      </c>
      <c r="G1107" s="16">
        <f>IF(NOT(Paths!$C$107=1),0,IF(Paths!$P$107="Complete",E1107/12*(Paths!$J$107*(1+'Operating costs'!$B$51)^MAX(0,C1107-1)+Paths!$K$107*(1+'Operating costs'!$B$53)^MAX(0,C1107-1)),"n.a."))</f>
        <v>0</v>
      </c>
      <c r="H1107" s="16">
        <f>IF(NOT(Paths!$C$107=1),0,IF(Paths!$P$107="Complete",F1107/12*(Paths!$L$107*(1+IF(Paths!$D$107="EV",'Operating costs'!$B$52,'Operating costs'!$B$51))^MAX(0,C1107-1)+Paths!$M$107*(1+'Operating costs'!$B$53)^MAX(0,C1107-1)),"n.a."))</f>
        <v>0</v>
      </c>
      <c r="I1107" s="16">
        <f>IF(NOT(Paths!$C$107=1),0,IF(Paths!$P$107="Complete",IF(IF(Paths!$E$107=0,C1107=0,AND(C1107&gt;0,Paths!$E$107&gt;(C1107-1)*12,Paths!$E$107&lt;=C1107*12)),Paths!$G$107,0),"n.a."))</f>
        <v>0</v>
      </c>
      <c r="J1107" s="16">
        <f>IF(NOT(Paths!$C$107=1),0,IF(Paths!$P$107="Complete",IF(IF(Paths!$E$107=0,C1107=0,AND(C1107&gt;0,Paths!$E$107&gt;(C1107-1)*12,Paths!$E$107&lt;=C1107*12)),Paths!$H$107,0),"n.a."))</f>
        <v>0</v>
      </c>
      <c r="K1107" s="16">
        <f>IF(NOT(Paths!$C$107=1),0,IF(Paths!$P$107="Complete",IF(IF(Paths!$O$107=0,C1107=0,AND(C1107&gt;0,Paths!$O$107&gt;(C1107-1)*12,Paths!$O$107&lt;=C1107*12)),Paths!$N$107,0),"n.a."))</f>
        <v>0</v>
      </c>
      <c r="L1107" s="16">
        <f>IF(NOT(Paths!$C$107=1),0,IF(Paths!$P$107="Complete",IF(C1107=10,Paths!$I$107,0),"n.a."))</f>
        <v>0</v>
      </c>
      <c r="M1107" s="16">
        <f>IF(NOT(Paths!$C$107=1),0,IF(Paths!$P$107="Complete",IF(AND(Paths!$D$107="EV",Paths!$E$107&lt;120,Paths!$E$107+'Operating costs'!$B$65&gt;Paths!$E$107,Paths!$E$107+'Operating costs'!$B$65&lt;=120,IF(Paths!$E$107+'Operating costs'!$B$65=0,C1107=0,AND(C1107&gt;0,Paths!$E$107+'Operating costs'!$B$65&gt;(C1107-1)*12,Paths!$E$107+'Operating costs'!$B$65&lt;=C1107*12))),'Operating costs'!$B$64,0)+IF(AND('Operating costs'!$B$67&gt;0,'Operating costs'!$B$67&lt;=120,OR(Paths!$D$107="ICE",'Operating costs'!$B$67&lt;=Paths!$E$107),IF('Operating costs'!$B$67=0,C1107=0,AND(C1107&gt;0,'Operating costs'!$B$67&gt;(C1107-1)*12,'Operating costs'!$B$67&lt;=C1107*12))),'Operating costs'!$B$66,0),"n.a."))</f>
        <v>0</v>
      </c>
      <c r="N1107" s="16">
        <f>IF(NOT(Paths!$C$107=1),0,IF(Paths!$P$107="Complete",SUM(G1107:I1107)-J1107-K1107-L1107+M1107+IF(C1107=0,Paths!$F$107,0)+IF(IF(Paths!$E$107=0,C1107=0,AND(C1107&gt;0,Paths!$E$107&gt;(C1107-1)*12,Paths!$E$107&lt;=C1107*12)),VLOOKUP(A1107,'Fleet register'!$A$7:$S$106,16,FALSE),0),"n.a."))</f>
        <v>0</v>
      </c>
      <c r="O1107" s="16">
        <f>IF(NOT(Paths!$C$107=1),0,IF(Paths!$P$107="Complete",N1107-IF(C1107=0,Paths!$F$107,0),"n.a."))</f>
        <v>0</v>
      </c>
      <c r="P1107" s="16">
        <f>IF(NOT(Paths!$C$107=1),0,IF(Paths!$P$107="Complete",O1107+L1107,"n.a."))</f>
        <v>0</v>
      </c>
      <c r="Q1107" s="16">
        <f>IF(NOT(Paths!$C$107=1),0,IF(Paths!$P$107="Complete",N1107*(1+'Operating costs'!$B$54)^-C1107,"n.a."))</f>
        <v>0</v>
      </c>
      <c r="R1107" s="16">
        <f>IF(NOT(Paths!$C$107=1),0,IF(Paths!$P$107="Complete",IF(AND(C1107=0,Paths!$E$107=0),I1107-J1107-K1107+VLOOKUP(A1107,'Fleet register'!$A$7:$S$106,15,FALSE)+VLOOKUP(A1107,'Fleet register'!$A$7:$S$106,16,FALSE),0),"n.a."))</f>
        <v>0</v>
      </c>
      <c r="S1107" s="1">
        <f>IF(NOT(Paths!$C$107=1),0,IF(Paths!$P$107="Complete",IF(C1107=0,0,Paths!$S$107*Paths!$R$107),"n.a."))</f>
        <v>0</v>
      </c>
      <c r="T1107" s="1">
        <f>IF(NOT(Paths!$C$107=1),0,IF(Paths!$P$107="Complete",IF(C1107=0,0,VLOOKUP(A1107,'Fleet register'!$A$7:$S$106,9,FALSE)*Paths!$R$107),"n.a."))</f>
        <v>0</v>
      </c>
    </row>
    <row r="1108" spans="1:20" ht="24" customHeight="1">
      <c r="A1108" s="1" t="str">
        <f>Paths!$A$107</f>
        <v>T026</v>
      </c>
      <c r="B1108" s="1">
        <f>Paths!$B$107</f>
        <v>0</v>
      </c>
      <c r="C1108" s="1">
        <v>1</v>
      </c>
      <c r="D1108" s="1">
        <v>107</v>
      </c>
      <c r="E1108" s="1">
        <f>IF(OR(Paths!$C$107=0,C1108=0),0,MAX(0,MIN(C1108*12,Paths!$E$107)-(C1108-1)*12))</f>
        <v>0</v>
      </c>
      <c r="F1108" s="1">
        <f>IF(OR(Paths!$C$107=0,C1108=0),0,12-E1108)</f>
        <v>0</v>
      </c>
      <c r="G1108" s="16">
        <f>IF(NOT(Paths!$C$107=1),0,IF(Paths!$P$107="Complete",E1108/12*(Paths!$J$107*(1+'Operating costs'!$B$51)^MAX(0,C1108-1)+Paths!$K$107*(1+'Operating costs'!$B$53)^MAX(0,C1108-1)),"n.a."))</f>
        <v>0</v>
      </c>
      <c r="H1108" s="16">
        <f>IF(NOT(Paths!$C$107=1),0,IF(Paths!$P$107="Complete",F1108/12*(Paths!$L$107*(1+IF(Paths!$D$107="EV",'Operating costs'!$B$52,'Operating costs'!$B$51))^MAX(0,C1108-1)+Paths!$M$107*(1+'Operating costs'!$B$53)^MAX(0,C1108-1)),"n.a."))</f>
        <v>0</v>
      </c>
      <c r="I1108" s="16">
        <f>IF(NOT(Paths!$C$107=1),0,IF(Paths!$P$107="Complete",IF(IF(Paths!$E$107=0,C1108=0,AND(C1108&gt;0,Paths!$E$107&gt;(C1108-1)*12,Paths!$E$107&lt;=C1108*12)),Paths!$G$107,0),"n.a."))</f>
        <v>0</v>
      </c>
      <c r="J1108" s="16">
        <f>IF(NOT(Paths!$C$107=1),0,IF(Paths!$P$107="Complete",IF(IF(Paths!$E$107=0,C1108=0,AND(C1108&gt;0,Paths!$E$107&gt;(C1108-1)*12,Paths!$E$107&lt;=C1108*12)),Paths!$H$107,0),"n.a."))</f>
        <v>0</v>
      </c>
      <c r="K1108" s="16">
        <f>IF(NOT(Paths!$C$107=1),0,IF(Paths!$P$107="Complete",IF(IF(Paths!$O$107=0,C1108=0,AND(C1108&gt;0,Paths!$O$107&gt;(C1108-1)*12,Paths!$O$107&lt;=C1108*12)),Paths!$N$107,0),"n.a."))</f>
        <v>0</v>
      </c>
      <c r="L1108" s="16">
        <f>IF(NOT(Paths!$C$107=1),0,IF(Paths!$P$107="Complete",IF(C1108=10,Paths!$I$107,0),"n.a."))</f>
        <v>0</v>
      </c>
      <c r="M1108" s="16">
        <f>IF(NOT(Paths!$C$107=1),0,IF(Paths!$P$107="Complete",IF(AND(Paths!$D$107="EV",Paths!$E$107&lt;120,Paths!$E$107+'Operating costs'!$B$65&gt;Paths!$E$107,Paths!$E$107+'Operating costs'!$B$65&lt;=120,IF(Paths!$E$107+'Operating costs'!$B$65=0,C1108=0,AND(C1108&gt;0,Paths!$E$107+'Operating costs'!$B$65&gt;(C1108-1)*12,Paths!$E$107+'Operating costs'!$B$65&lt;=C1108*12))),'Operating costs'!$B$64,0)+IF(AND('Operating costs'!$B$67&gt;0,'Operating costs'!$B$67&lt;=120,OR(Paths!$D$107="ICE",'Operating costs'!$B$67&lt;=Paths!$E$107),IF('Operating costs'!$B$67=0,C1108=0,AND(C1108&gt;0,'Operating costs'!$B$67&gt;(C1108-1)*12,'Operating costs'!$B$67&lt;=C1108*12))),'Operating costs'!$B$66,0),"n.a."))</f>
        <v>0</v>
      </c>
      <c r="N1108" s="16">
        <f>IF(NOT(Paths!$C$107=1),0,IF(Paths!$P$107="Complete",SUM(G1108:I1108)-J1108-K1108-L1108+M1108+IF(C1108=0,Paths!$F$107,0)+IF(IF(Paths!$E$107=0,C1108=0,AND(C1108&gt;0,Paths!$E$107&gt;(C1108-1)*12,Paths!$E$107&lt;=C1108*12)),VLOOKUP(A1108,'Fleet register'!$A$7:$S$106,16,FALSE),0),"n.a."))</f>
        <v>0</v>
      </c>
      <c r="O1108" s="16">
        <f>IF(NOT(Paths!$C$107=1),0,IF(Paths!$P$107="Complete",N1108-IF(C1108=0,Paths!$F$107,0),"n.a."))</f>
        <v>0</v>
      </c>
      <c r="P1108" s="16">
        <f>IF(NOT(Paths!$C$107=1),0,IF(Paths!$P$107="Complete",O1108+L1108,"n.a."))</f>
        <v>0</v>
      </c>
      <c r="Q1108" s="16">
        <f>IF(NOT(Paths!$C$107=1),0,IF(Paths!$P$107="Complete",N1108*(1+'Operating costs'!$B$54)^-C1108,"n.a."))</f>
        <v>0</v>
      </c>
      <c r="R1108" s="16">
        <f>IF(NOT(Paths!$C$107=1),0,IF(Paths!$P$107="Complete",IF(AND(C1108=0,Paths!$E$107=0),I1108-J1108-K1108+VLOOKUP(A1108,'Fleet register'!$A$7:$S$106,15,FALSE)+VLOOKUP(A1108,'Fleet register'!$A$7:$S$106,16,FALSE),0),"n.a."))</f>
        <v>0</v>
      </c>
      <c r="S1108" s="1">
        <f>IF(NOT(Paths!$C$107=1),0,IF(Paths!$P$107="Complete",IF(C1108=0,0,Paths!$S$107*Paths!$R$107),"n.a."))</f>
        <v>0</v>
      </c>
      <c r="T1108" s="1">
        <f>IF(NOT(Paths!$C$107=1),0,IF(Paths!$P$107="Complete",IF(C1108=0,0,VLOOKUP(A1108,'Fleet register'!$A$7:$S$106,9,FALSE)*Paths!$R$107),"n.a."))</f>
        <v>0</v>
      </c>
    </row>
    <row r="1109" spans="1:20" ht="24" customHeight="1">
      <c r="A1109" s="1" t="str">
        <f>Paths!$A$107</f>
        <v>T026</v>
      </c>
      <c r="B1109" s="1">
        <f>Paths!$B$107</f>
        <v>0</v>
      </c>
      <c r="C1109" s="1">
        <v>2</v>
      </c>
      <c r="D1109" s="1">
        <v>107</v>
      </c>
      <c r="E1109" s="1">
        <f>IF(OR(Paths!$C$107=0,C1109=0),0,MAX(0,MIN(C1109*12,Paths!$E$107)-(C1109-1)*12))</f>
        <v>0</v>
      </c>
      <c r="F1109" s="1">
        <f>IF(OR(Paths!$C$107=0,C1109=0),0,12-E1109)</f>
        <v>0</v>
      </c>
      <c r="G1109" s="16">
        <f>IF(NOT(Paths!$C$107=1),0,IF(Paths!$P$107="Complete",E1109/12*(Paths!$J$107*(1+'Operating costs'!$B$51)^MAX(0,C1109-1)+Paths!$K$107*(1+'Operating costs'!$B$53)^MAX(0,C1109-1)),"n.a."))</f>
        <v>0</v>
      </c>
      <c r="H1109" s="16">
        <f>IF(NOT(Paths!$C$107=1),0,IF(Paths!$P$107="Complete",F1109/12*(Paths!$L$107*(1+IF(Paths!$D$107="EV",'Operating costs'!$B$52,'Operating costs'!$B$51))^MAX(0,C1109-1)+Paths!$M$107*(1+'Operating costs'!$B$53)^MAX(0,C1109-1)),"n.a."))</f>
        <v>0</v>
      </c>
      <c r="I1109" s="16">
        <f>IF(NOT(Paths!$C$107=1),0,IF(Paths!$P$107="Complete",IF(IF(Paths!$E$107=0,C1109=0,AND(C1109&gt;0,Paths!$E$107&gt;(C1109-1)*12,Paths!$E$107&lt;=C1109*12)),Paths!$G$107,0),"n.a."))</f>
        <v>0</v>
      </c>
      <c r="J1109" s="16">
        <f>IF(NOT(Paths!$C$107=1),0,IF(Paths!$P$107="Complete",IF(IF(Paths!$E$107=0,C1109=0,AND(C1109&gt;0,Paths!$E$107&gt;(C1109-1)*12,Paths!$E$107&lt;=C1109*12)),Paths!$H$107,0),"n.a."))</f>
        <v>0</v>
      </c>
      <c r="K1109" s="16">
        <f>IF(NOT(Paths!$C$107=1),0,IF(Paths!$P$107="Complete",IF(IF(Paths!$O$107=0,C1109=0,AND(C1109&gt;0,Paths!$O$107&gt;(C1109-1)*12,Paths!$O$107&lt;=C1109*12)),Paths!$N$107,0),"n.a."))</f>
        <v>0</v>
      </c>
      <c r="L1109" s="16">
        <f>IF(NOT(Paths!$C$107=1),0,IF(Paths!$P$107="Complete",IF(C1109=10,Paths!$I$107,0),"n.a."))</f>
        <v>0</v>
      </c>
      <c r="M1109" s="16">
        <f>IF(NOT(Paths!$C$107=1),0,IF(Paths!$P$107="Complete",IF(AND(Paths!$D$107="EV",Paths!$E$107&lt;120,Paths!$E$107+'Operating costs'!$B$65&gt;Paths!$E$107,Paths!$E$107+'Operating costs'!$B$65&lt;=120,IF(Paths!$E$107+'Operating costs'!$B$65=0,C1109=0,AND(C1109&gt;0,Paths!$E$107+'Operating costs'!$B$65&gt;(C1109-1)*12,Paths!$E$107+'Operating costs'!$B$65&lt;=C1109*12))),'Operating costs'!$B$64,0)+IF(AND('Operating costs'!$B$67&gt;0,'Operating costs'!$B$67&lt;=120,OR(Paths!$D$107="ICE",'Operating costs'!$B$67&lt;=Paths!$E$107),IF('Operating costs'!$B$67=0,C1109=0,AND(C1109&gt;0,'Operating costs'!$B$67&gt;(C1109-1)*12,'Operating costs'!$B$67&lt;=C1109*12))),'Operating costs'!$B$66,0),"n.a."))</f>
        <v>0</v>
      </c>
      <c r="N1109" s="16">
        <f>IF(NOT(Paths!$C$107=1),0,IF(Paths!$P$107="Complete",SUM(G1109:I1109)-J1109-K1109-L1109+M1109+IF(C1109=0,Paths!$F$107,0)+IF(IF(Paths!$E$107=0,C1109=0,AND(C1109&gt;0,Paths!$E$107&gt;(C1109-1)*12,Paths!$E$107&lt;=C1109*12)),VLOOKUP(A1109,'Fleet register'!$A$7:$S$106,16,FALSE),0),"n.a."))</f>
        <v>0</v>
      </c>
      <c r="O1109" s="16">
        <f>IF(NOT(Paths!$C$107=1),0,IF(Paths!$P$107="Complete",N1109-IF(C1109=0,Paths!$F$107,0),"n.a."))</f>
        <v>0</v>
      </c>
      <c r="P1109" s="16">
        <f>IF(NOT(Paths!$C$107=1),0,IF(Paths!$P$107="Complete",O1109+L1109,"n.a."))</f>
        <v>0</v>
      </c>
      <c r="Q1109" s="16">
        <f>IF(NOT(Paths!$C$107=1),0,IF(Paths!$P$107="Complete",N1109*(1+'Operating costs'!$B$54)^-C1109,"n.a."))</f>
        <v>0</v>
      </c>
      <c r="R1109" s="16">
        <f>IF(NOT(Paths!$C$107=1),0,IF(Paths!$P$107="Complete",IF(AND(C1109=0,Paths!$E$107=0),I1109-J1109-K1109+VLOOKUP(A1109,'Fleet register'!$A$7:$S$106,15,FALSE)+VLOOKUP(A1109,'Fleet register'!$A$7:$S$106,16,FALSE),0),"n.a."))</f>
        <v>0</v>
      </c>
      <c r="S1109" s="1">
        <f>IF(NOT(Paths!$C$107=1),0,IF(Paths!$P$107="Complete",IF(C1109=0,0,Paths!$S$107*Paths!$R$107),"n.a."))</f>
        <v>0</v>
      </c>
      <c r="T1109" s="1">
        <f>IF(NOT(Paths!$C$107=1),0,IF(Paths!$P$107="Complete",IF(C1109=0,0,VLOOKUP(A1109,'Fleet register'!$A$7:$S$106,9,FALSE)*Paths!$R$107),"n.a."))</f>
        <v>0</v>
      </c>
    </row>
    <row r="1110" spans="1:20" ht="24" customHeight="1">
      <c r="A1110" s="1" t="str">
        <f>Paths!$A$107</f>
        <v>T026</v>
      </c>
      <c r="B1110" s="1">
        <f>Paths!$B$107</f>
        <v>0</v>
      </c>
      <c r="C1110" s="1">
        <v>3</v>
      </c>
      <c r="D1110" s="1">
        <v>107</v>
      </c>
      <c r="E1110" s="1">
        <f>IF(OR(Paths!$C$107=0,C1110=0),0,MAX(0,MIN(C1110*12,Paths!$E$107)-(C1110-1)*12))</f>
        <v>0</v>
      </c>
      <c r="F1110" s="1">
        <f>IF(OR(Paths!$C$107=0,C1110=0),0,12-E1110)</f>
        <v>0</v>
      </c>
      <c r="G1110" s="16">
        <f>IF(NOT(Paths!$C$107=1),0,IF(Paths!$P$107="Complete",E1110/12*(Paths!$J$107*(1+'Operating costs'!$B$51)^MAX(0,C1110-1)+Paths!$K$107*(1+'Operating costs'!$B$53)^MAX(0,C1110-1)),"n.a."))</f>
        <v>0</v>
      </c>
      <c r="H1110" s="16">
        <f>IF(NOT(Paths!$C$107=1),0,IF(Paths!$P$107="Complete",F1110/12*(Paths!$L$107*(1+IF(Paths!$D$107="EV",'Operating costs'!$B$52,'Operating costs'!$B$51))^MAX(0,C1110-1)+Paths!$M$107*(1+'Operating costs'!$B$53)^MAX(0,C1110-1)),"n.a."))</f>
        <v>0</v>
      </c>
      <c r="I1110" s="16">
        <f>IF(NOT(Paths!$C$107=1),0,IF(Paths!$P$107="Complete",IF(IF(Paths!$E$107=0,C1110=0,AND(C1110&gt;0,Paths!$E$107&gt;(C1110-1)*12,Paths!$E$107&lt;=C1110*12)),Paths!$G$107,0),"n.a."))</f>
        <v>0</v>
      </c>
      <c r="J1110" s="16">
        <f>IF(NOT(Paths!$C$107=1),0,IF(Paths!$P$107="Complete",IF(IF(Paths!$E$107=0,C1110=0,AND(C1110&gt;0,Paths!$E$107&gt;(C1110-1)*12,Paths!$E$107&lt;=C1110*12)),Paths!$H$107,0),"n.a."))</f>
        <v>0</v>
      </c>
      <c r="K1110" s="16">
        <f>IF(NOT(Paths!$C$107=1),0,IF(Paths!$P$107="Complete",IF(IF(Paths!$O$107=0,C1110=0,AND(C1110&gt;0,Paths!$O$107&gt;(C1110-1)*12,Paths!$O$107&lt;=C1110*12)),Paths!$N$107,0),"n.a."))</f>
        <v>0</v>
      </c>
      <c r="L1110" s="16">
        <f>IF(NOT(Paths!$C$107=1),0,IF(Paths!$P$107="Complete",IF(C1110=10,Paths!$I$107,0),"n.a."))</f>
        <v>0</v>
      </c>
      <c r="M1110" s="16">
        <f>IF(NOT(Paths!$C$107=1),0,IF(Paths!$P$107="Complete",IF(AND(Paths!$D$107="EV",Paths!$E$107&lt;120,Paths!$E$107+'Operating costs'!$B$65&gt;Paths!$E$107,Paths!$E$107+'Operating costs'!$B$65&lt;=120,IF(Paths!$E$107+'Operating costs'!$B$65=0,C1110=0,AND(C1110&gt;0,Paths!$E$107+'Operating costs'!$B$65&gt;(C1110-1)*12,Paths!$E$107+'Operating costs'!$B$65&lt;=C1110*12))),'Operating costs'!$B$64,0)+IF(AND('Operating costs'!$B$67&gt;0,'Operating costs'!$B$67&lt;=120,OR(Paths!$D$107="ICE",'Operating costs'!$B$67&lt;=Paths!$E$107),IF('Operating costs'!$B$67=0,C1110=0,AND(C1110&gt;0,'Operating costs'!$B$67&gt;(C1110-1)*12,'Operating costs'!$B$67&lt;=C1110*12))),'Operating costs'!$B$66,0),"n.a."))</f>
        <v>0</v>
      </c>
      <c r="N1110" s="16">
        <f>IF(NOT(Paths!$C$107=1),0,IF(Paths!$P$107="Complete",SUM(G1110:I1110)-J1110-K1110-L1110+M1110+IF(C1110=0,Paths!$F$107,0)+IF(IF(Paths!$E$107=0,C1110=0,AND(C1110&gt;0,Paths!$E$107&gt;(C1110-1)*12,Paths!$E$107&lt;=C1110*12)),VLOOKUP(A1110,'Fleet register'!$A$7:$S$106,16,FALSE),0),"n.a."))</f>
        <v>0</v>
      </c>
      <c r="O1110" s="16">
        <f>IF(NOT(Paths!$C$107=1),0,IF(Paths!$P$107="Complete",N1110-IF(C1110=0,Paths!$F$107,0),"n.a."))</f>
        <v>0</v>
      </c>
      <c r="P1110" s="16">
        <f>IF(NOT(Paths!$C$107=1),0,IF(Paths!$P$107="Complete",O1110+L1110,"n.a."))</f>
        <v>0</v>
      </c>
      <c r="Q1110" s="16">
        <f>IF(NOT(Paths!$C$107=1),0,IF(Paths!$P$107="Complete",N1110*(1+'Operating costs'!$B$54)^-C1110,"n.a."))</f>
        <v>0</v>
      </c>
      <c r="R1110" s="16">
        <f>IF(NOT(Paths!$C$107=1),0,IF(Paths!$P$107="Complete",IF(AND(C1110=0,Paths!$E$107=0),I1110-J1110-K1110+VLOOKUP(A1110,'Fleet register'!$A$7:$S$106,15,FALSE)+VLOOKUP(A1110,'Fleet register'!$A$7:$S$106,16,FALSE),0),"n.a."))</f>
        <v>0</v>
      </c>
      <c r="S1110" s="1">
        <f>IF(NOT(Paths!$C$107=1),0,IF(Paths!$P$107="Complete",IF(C1110=0,0,Paths!$S$107*Paths!$R$107),"n.a."))</f>
        <v>0</v>
      </c>
      <c r="T1110" s="1">
        <f>IF(NOT(Paths!$C$107=1),0,IF(Paths!$P$107="Complete",IF(C1110=0,0,VLOOKUP(A1110,'Fleet register'!$A$7:$S$106,9,FALSE)*Paths!$R$107),"n.a."))</f>
        <v>0</v>
      </c>
    </row>
    <row r="1111" spans="1:20" ht="24" customHeight="1">
      <c r="A1111" s="1" t="str">
        <f>Paths!$A$107</f>
        <v>T026</v>
      </c>
      <c r="B1111" s="1">
        <f>Paths!$B$107</f>
        <v>0</v>
      </c>
      <c r="C1111" s="1">
        <v>4</v>
      </c>
      <c r="D1111" s="1">
        <v>107</v>
      </c>
      <c r="E1111" s="1">
        <f>IF(OR(Paths!$C$107=0,C1111=0),0,MAX(0,MIN(C1111*12,Paths!$E$107)-(C1111-1)*12))</f>
        <v>0</v>
      </c>
      <c r="F1111" s="1">
        <f>IF(OR(Paths!$C$107=0,C1111=0),0,12-E1111)</f>
        <v>0</v>
      </c>
      <c r="G1111" s="16">
        <f>IF(NOT(Paths!$C$107=1),0,IF(Paths!$P$107="Complete",E1111/12*(Paths!$J$107*(1+'Operating costs'!$B$51)^MAX(0,C1111-1)+Paths!$K$107*(1+'Operating costs'!$B$53)^MAX(0,C1111-1)),"n.a."))</f>
        <v>0</v>
      </c>
      <c r="H1111" s="16">
        <f>IF(NOT(Paths!$C$107=1),0,IF(Paths!$P$107="Complete",F1111/12*(Paths!$L$107*(1+IF(Paths!$D$107="EV",'Operating costs'!$B$52,'Operating costs'!$B$51))^MAX(0,C1111-1)+Paths!$M$107*(1+'Operating costs'!$B$53)^MAX(0,C1111-1)),"n.a."))</f>
        <v>0</v>
      </c>
      <c r="I1111" s="16">
        <f>IF(NOT(Paths!$C$107=1),0,IF(Paths!$P$107="Complete",IF(IF(Paths!$E$107=0,C1111=0,AND(C1111&gt;0,Paths!$E$107&gt;(C1111-1)*12,Paths!$E$107&lt;=C1111*12)),Paths!$G$107,0),"n.a."))</f>
        <v>0</v>
      </c>
      <c r="J1111" s="16">
        <f>IF(NOT(Paths!$C$107=1),0,IF(Paths!$P$107="Complete",IF(IF(Paths!$E$107=0,C1111=0,AND(C1111&gt;0,Paths!$E$107&gt;(C1111-1)*12,Paths!$E$107&lt;=C1111*12)),Paths!$H$107,0),"n.a."))</f>
        <v>0</v>
      </c>
      <c r="K1111" s="16">
        <f>IF(NOT(Paths!$C$107=1),0,IF(Paths!$P$107="Complete",IF(IF(Paths!$O$107=0,C1111=0,AND(C1111&gt;0,Paths!$O$107&gt;(C1111-1)*12,Paths!$O$107&lt;=C1111*12)),Paths!$N$107,0),"n.a."))</f>
        <v>0</v>
      </c>
      <c r="L1111" s="16">
        <f>IF(NOT(Paths!$C$107=1),0,IF(Paths!$P$107="Complete",IF(C1111=10,Paths!$I$107,0),"n.a."))</f>
        <v>0</v>
      </c>
      <c r="M1111" s="16">
        <f>IF(NOT(Paths!$C$107=1),0,IF(Paths!$P$107="Complete",IF(AND(Paths!$D$107="EV",Paths!$E$107&lt;120,Paths!$E$107+'Operating costs'!$B$65&gt;Paths!$E$107,Paths!$E$107+'Operating costs'!$B$65&lt;=120,IF(Paths!$E$107+'Operating costs'!$B$65=0,C1111=0,AND(C1111&gt;0,Paths!$E$107+'Operating costs'!$B$65&gt;(C1111-1)*12,Paths!$E$107+'Operating costs'!$B$65&lt;=C1111*12))),'Operating costs'!$B$64,0)+IF(AND('Operating costs'!$B$67&gt;0,'Operating costs'!$B$67&lt;=120,OR(Paths!$D$107="ICE",'Operating costs'!$B$67&lt;=Paths!$E$107),IF('Operating costs'!$B$67=0,C1111=0,AND(C1111&gt;0,'Operating costs'!$B$67&gt;(C1111-1)*12,'Operating costs'!$B$67&lt;=C1111*12))),'Operating costs'!$B$66,0),"n.a."))</f>
        <v>0</v>
      </c>
      <c r="N1111" s="16">
        <f>IF(NOT(Paths!$C$107=1),0,IF(Paths!$P$107="Complete",SUM(G1111:I1111)-J1111-K1111-L1111+M1111+IF(C1111=0,Paths!$F$107,0)+IF(IF(Paths!$E$107=0,C1111=0,AND(C1111&gt;0,Paths!$E$107&gt;(C1111-1)*12,Paths!$E$107&lt;=C1111*12)),VLOOKUP(A1111,'Fleet register'!$A$7:$S$106,16,FALSE),0),"n.a."))</f>
        <v>0</v>
      </c>
      <c r="O1111" s="16">
        <f>IF(NOT(Paths!$C$107=1),0,IF(Paths!$P$107="Complete",N1111-IF(C1111=0,Paths!$F$107,0),"n.a."))</f>
        <v>0</v>
      </c>
      <c r="P1111" s="16">
        <f>IF(NOT(Paths!$C$107=1),0,IF(Paths!$P$107="Complete",O1111+L1111,"n.a."))</f>
        <v>0</v>
      </c>
      <c r="Q1111" s="16">
        <f>IF(NOT(Paths!$C$107=1),0,IF(Paths!$P$107="Complete",N1111*(1+'Operating costs'!$B$54)^-C1111,"n.a."))</f>
        <v>0</v>
      </c>
      <c r="R1111" s="16">
        <f>IF(NOT(Paths!$C$107=1),0,IF(Paths!$P$107="Complete",IF(AND(C1111=0,Paths!$E$107=0),I1111-J1111-K1111+VLOOKUP(A1111,'Fleet register'!$A$7:$S$106,15,FALSE)+VLOOKUP(A1111,'Fleet register'!$A$7:$S$106,16,FALSE),0),"n.a."))</f>
        <v>0</v>
      </c>
      <c r="S1111" s="1">
        <f>IF(NOT(Paths!$C$107=1),0,IF(Paths!$P$107="Complete",IF(C1111=0,0,Paths!$S$107*Paths!$R$107),"n.a."))</f>
        <v>0</v>
      </c>
      <c r="T1111" s="1">
        <f>IF(NOT(Paths!$C$107=1),0,IF(Paths!$P$107="Complete",IF(C1111=0,0,VLOOKUP(A1111,'Fleet register'!$A$7:$S$106,9,FALSE)*Paths!$R$107),"n.a."))</f>
        <v>0</v>
      </c>
    </row>
    <row r="1112" spans="1:20" ht="24" customHeight="1">
      <c r="A1112" s="1" t="str">
        <f>Paths!$A$107</f>
        <v>T026</v>
      </c>
      <c r="B1112" s="1">
        <f>Paths!$B$107</f>
        <v>0</v>
      </c>
      <c r="C1112" s="1">
        <v>5</v>
      </c>
      <c r="D1112" s="1">
        <v>107</v>
      </c>
      <c r="E1112" s="1">
        <f>IF(OR(Paths!$C$107=0,C1112=0),0,MAX(0,MIN(C1112*12,Paths!$E$107)-(C1112-1)*12))</f>
        <v>0</v>
      </c>
      <c r="F1112" s="1">
        <f>IF(OR(Paths!$C$107=0,C1112=0),0,12-E1112)</f>
        <v>0</v>
      </c>
      <c r="G1112" s="16">
        <f>IF(NOT(Paths!$C$107=1),0,IF(Paths!$P$107="Complete",E1112/12*(Paths!$J$107*(1+'Operating costs'!$B$51)^MAX(0,C1112-1)+Paths!$K$107*(1+'Operating costs'!$B$53)^MAX(0,C1112-1)),"n.a."))</f>
        <v>0</v>
      </c>
      <c r="H1112" s="16">
        <f>IF(NOT(Paths!$C$107=1),0,IF(Paths!$P$107="Complete",F1112/12*(Paths!$L$107*(1+IF(Paths!$D$107="EV",'Operating costs'!$B$52,'Operating costs'!$B$51))^MAX(0,C1112-1)+Paths!$M$107*(1+'Operating costs'!$B$53)^MAX(0,C1112-1)),"n.a."))</f>
        <v>0</v>
      </c>
      <c r="I1112" s="16">
        <f>IF(NOT(Paths!$C$107=1),0,IF(Paths!$P$107="Complete",IF(IF(Paths!$E$107=0,C1112=0,AND(C1112&gt;0,Paths!$E$107&gt;(C1112-1)*12,Paths!$E$107&lt;=C1112*12)),Paths!$G$107,0),"n.a."))</f>
        <v>0</v>
      </c>
      <c r="J1112" s="16">
        <f>IF(NOT(Paths!$C$107=1),0,IF(Paths!$P$107="Complete",IF(IF(Paths!$E$107=0,C1112=0,AND(C1112&gt;0,Paths!$E$107&gt;(C1112-1)*12,Paths!$E$107&lt;=C1112*12)),Paths!$H$107,0),"n.a."))</f>
        <v>0</v>
      </c>
      <c r="K1112" s="16">
        <f>IF(NOT(Paths!$C$107=1),0,IF(Paths!$P$107="Complete",IF(IF(Paths!$O$107=0,C1112=0,AND(C1112&gt;0,Paths!$O$107&gt;(C1112-1)*12,Paths!$O$107&lt;=C1112*12)),Paths!$N$107,0),"n.a."))</f>
        <v>0</v>
      </c>
      <c r="L1112" s="16">
        <f>IF(NOT(Paths!$C$107=1),0,IF(Paths!$P$107="Complete",IF(C1112=10,Paths!$I$107,0),"n.a."))</f>
        <v>0</v>
      </c>
      <c r="M1112" s="16">
        <f>IF(NOT(Paths!$C$107=1),0,IF(Paths!$P$107="Complete",IF(AND(Paths!$D$107="EV",Paths!$E$107&lt;120,Paths!$E$107+'Operating costs'!$B$65&gt;Paths!$E$107,Paths!$E$107+'Operating costs'!$B$65&lt;=120,IF(Paths!$E$107+'Operating costs'!$B$65=0,C1112=0,AND(C1112&gt;0,Paths!$E$107+'Operating costs'!$B$65&gt;(C1112-1)*12,Paths!$E$107+'Operating costs'!$B$65&lt;=C1112*12))),'Operating costs'!$B$64,0)+IF(AND('Operating costs'!$B$67&gt;0,'Operating costs'!$B$67&lt;=120,OR(Paths!$D$107="ICE",'Operating costs'!$B$67&lt;=Paths!$E$107),IF('Operating costs'!$B$67=0,C1112=0,AND(C1112&gt;0,'Operating costs'!$B$67&gt;(C1112-1)*12,'Operating costs'!$B$67&lt;=C1112*12))),'Operating costs'!$B$66,0),"n.a."))</f>
        <v>0</v>
      </c>
      <c r="N1112" s="16">
        <f>IF(NOT(Paths!$C$107=1),0,IF(Paths!$P$107="Complete",SUM(G1112:I1112)-J1112-K1112-L1112+M1112+IF(C1112=0,Paths!$F$107,0)+IF(IF(Paths!$E$107=0,C1112=0,AND(C1112&gt;0,Paths!$E$107&gt;(C1112-1)*12,Paths!$E$107&lt;=C1112*12)),VLOOKUP(A1112,'Fleet register'!$A$7:$S$106,16,FALSE),0),"n.a."))</f>
        <v>0</v>
      </c>
      <c r="O1112" s="16">
        <f>IF(NOT(Paths!$C$107=1),0,IF(Paths!$P$107="Complete",N1112-IF(C1112=0,Paths!$F$107,0),"n.a."))</f>
        <v>0</v>
      </c>
      <c r="P1112" s="16">
        <f>IF(NOT(Paths!$C$107=1),0,IF(Paths!$P$107="Complete",O1112+L1112,"n.a."))</f>
        <v>0</v>
      </c>
      <c r="Q1112" s="16">
        <f>IF(NOT(Paths!$C$107=1),0,IF(Paths!$P$107="Complete",N1112*(1+'Operating costs'!$B$54)^-C1112,"n.a."))</f>
        <v>0</v>
      </c>
      <c r="R1112" s="16">
        <f>IF(NOT(Paths!$C$107=1),0,IF(Paths!$P$107="Complete",IF(AND(C1112=0,Paths!$E$107=0),I1112-J1112-K1112+VLOOKUP(A1112,'Fleet register'!$A$7:$S$106,15,FALSE)+VLOOKUP(A1112,'Fleet register'!$A$7:$S$106,16,FALSE),0),"n.a."))</f>
        <v>0</v>
      </c>
      <c r="S1112" s="1">
        <f>IF(NOT(Paths!$C$107=1),0,IF(Paths!$P$107="Complete",IF(C1112=0,0,Paths!$S$107*Paths!$R$107),"n.a."))</f>
        <v>0</v>
      </c>
      <c r="T1112" s="1">
        <f>IF(NOT(Paths!$C$107=1),0,IF(Paths!$P$107="Complete",IF(C1112=0,0,VLOOKUP(A1112,'Fleet register'!$A$7:$S$106,9,FALSE)*Paths!$R$107),"n.a."))</f>
        <v>0</v>
      </c>
    </row>
    <row r="1113" spans="1:20" ht="24" customHeight="1">
      <c r="A1113" s="1" t="str">
        <f>Paths!$A$107</f>
        <v>T026</v>
      </c>
      <c r="B1113" s="1">
        <f>Paths!$B$107</f>
        <v>0</v>
      </c>
      <c r="C1113" s="1">
        <v>6</v>
      </c>
      <c r="D1113" s="1">
        <v>107</v>
      </c>
      <c r="E1113" s="1">
        <f>IF(OR(Paths!$C$107=0,C1113=0),0,MAX(0,MIN(C1113*12,Paths!$E$107)-(C1113-1)*12))</f>
        <v>0</v>
      </c>
      <c r="F1113" s="1">
        <f>IF(OR(Paths!$C$107=0,C1113=0),0,12-E1113)</f>
        <v>0</v>
      </c>
      <c r="G1113" s="16">
        <f>IF(NOT(Paths!$C$107=1),0,IF(Paths!$P$107="Complete",E1113/12*(Paths!$J$107*(1+'Operating costs'!$B$51)^MAX(0,C1113-1)+Paths!$K$107*(1+'Operating costs'!$B$53)^MAX(0,C1113-1)),"n.a."))</f>
        <v>0</v>
      </c>
      <c r="H1113" s="16">
        <f>IF(NOT(Paths!$C$107=1),0,IF(Paths!$P$107="Complete",F1113/12*(Paths!$L$107*(1+IF(Paths!$D$107="EV",'Operating costs'!$B$52,'Operating costs'!$B$51))^MAX(0,C1113-1)+Paths!$M$107*(1+'Operating costs'!$B$53)^MAX(0,C1113-1)),"n.a."))</f>
        <v>0</v>
      </c>
      <c r="I1113" s="16">
        <f>IF(NOT(Paths!$C$107=1),0,IF(Paths!$P$107="Complete",IF(IF(Paths!$E$107=0,C1113=0,AND(C1113&gt;0,Paths!$E$107&gt;(C1113-1)*12,Paths!$E$107&lt;=C1113*12)),Paths!$G$107,0),"n.a."))</f>
        <v>0</v>
      </c>
      <c r="J1113" s="16">
        <f>IF(NOT(Paths!$C$107=1),0,IF(Paths!$P$107="Complete",IF(IF(Paths!$E$107=0,C1113=0,AND(C1113&gt;0,Paths!$E$107&gt;(C1113-1)*12,Paths!$E$107&lt;=C1113*12)),Paths!$H$107,0),"n.a."))</f>
        <v>0</v>
      </c>
      <c r="K1113" s="16">
        <f>IF(NOT(Paths!$C$107=1),0,IF(Paths!$P$107="Complete",IF(IF(Paths!$O$107=0,C1113=0,AND(C1113&gt;0,Paths!$O$107&gt;(C1113-1)*12,Paths!$O$107&lt;=C1113*12)),Paths!$N$107,0),"n.a."))</f>
        <v>0</v>
      </c>
      <c r="L1113" s="16">
        <f>IF(NOT(Paths!$C$107=1),0,IF(Paths!$P$107="Complete",IF(C1113=10,Paths!$I$107,0),"n.a."))</f>
        <v>0</v>
      </c>
      <c r="M1113" s="16">
        <f>IF(NOT(Paths!$C$107=1),0,IF(Paths!$P$107="Complete",IF(AND(Paths!$D$107="EV",Paths!$E$107&lt;120,Paths!$E$107+'Operating costs'!$B$65&gt;Paths!$E$107,Paths!$E$107+'Operating costs'!$B$65&lt;=120,IF(Paths!$E$107+'Operating costs'!$B$65=0,C1113=0,AND(C1113&gt;0,Paths!$E$107+'Operating costs'!$B$65&gt;(C1113-1)*12,Paths!$E$107+'Operating costs'!$B$65&lt;=C1113*12))),'Operating costs'!$B$64,0)+IF(AND('Operating costs'!$B$67&gt;0,'Operating costs'!$B$67&lt;=120,OR(Paths!$D$107="ICE",'Operating costs'!$B$67&lt;=Paths!$E$107),IF('Operating costs'!$B$67=0,C1113=0,AND(C1113&gt;0,'Operating costs'!$B$67&gt;(C1113-1)*12,'Operating costs'!$B$67&lt;=C1113*12))),'Operating costs'!$B$66,0),"n.a."))</f>
        <v>0</v>
      </c>
      <c r="N1113" s="16">
        <f>IF(NOT(Paths!$C$107=1),0,IF(Paths!$P$107="Complete",SUM(G1113:I1113)-J1113-K1113-L1113+M1113+IF(C1113=0,Paths!$F$107,0)+IF(IF(Paths!$E$107=0,C1113=0,AND(C1113&gt;0,Paths!$E$107&gt;(C1113-1)*12,Paths!$E$107&lt;=C1113*12)),VLOOKUP(A1113,'Fleet register'!$A$7:$S$106,16,FALSE),0),"n.a."))</f>
        <v>0</v>
      </c>
      <c r="O1113" s="16">
        <f>IF(NOT(Paths!$C$107=1),0,IF(Paths!$P$107="Complete",N1113-IF(C1113=0,Paths!$F$107,0),"n.a."))</f>
        <v>0</v>
      </c>
      <c r="P1113" s="16">
        <f>IF(NOT(Paths!$C$107=1),0,IF(Paths!$P$107="Complete",O1113+L1113,"n.a."))</f>
        <v>0</v>
      </c>
      <c r="Q1113" s="16">
        <f>IF(NOT(Paths!$C$107=1),0,IF(Paths!$P$107="Complete",N1113*(1+'Operating costs'!$B$54)^-C1113,"n.a."))</f>
        <v>0</v>
      </c>
      <c r="R1113" s="16">
        <f>IF(NOT(Paths!$C$107=1),0,IF(Paths!$P$107="Complete",IF(AND(C1113=0,Paths!$E$107=0),I1113-J1113-K1113+VLOOKUP(A1113,'Fleet register'!$A$7:$S$106,15,FALSE)+VLOOKUP(A1113,'Fleet register'!$A$7:$S$106,16,FALSE),0),"n.a."))</f>
        <v>0</v>
      </c>
      <c r="S1113" s="1">
        <f>IF(NOT(Paths!$C$107=1),0,IF(Paths!$P$107="Complete",IF(C1113=0,0,Paths!$S$107*Paths!$R$107),"n.a."))</f>
        <v>0</v>
      </c>
      <c r="T1113" s="1">
        <f>IF(NOT(Paths!$C$107=1),0,IF(Paths!$P$107="Complete",IF(C1113=0,0,VLOOKUP(A1113,'Fleet register'!$A$7:$S$106,9,FALSE)*Paths!$R$107),"n.a."))</f>
        <v>0</v>
      </c>
    </row>
    <row r="1114" spans="1:20" ht="24" customHeight="1">
      <c r="A1114" s="1" t="str">
        <f>Paths!$A$107</f>
        <v>T026</v>
      </c>
      <c r="B1114" s="1">
        <f>Paths!$B$107</f>
        <v>0</v>
      </c>
      <c r="C1114" s="1">
        <v>7</v>
      </c>
      <c r="D1114" s="1">
        <v>107</v>
      </c>
      <c r="E1114" s="1">
        <f>IF(OR(Paths!$C$107=0,C1114=0),0,MAX(0,MIN(C1114*12,Paths!$E$107)-(C1114-1)*12))</f>
        <v>0</v>
      </c>
      <c r="F1114" s="1">
        <f>IF(OR(Paths!$C$107=0,C1114=0),0,12-E1114)</f>
        <v>0</v>
      </c>
      <c r="G1114" s="16">
        <f>IF(NOT(Paths!$C$107=1),0,IF(Paths!$P$107="Complete",E1114/12*(Paths!$J$107*(1+'Operating costs'!$B$51)^MAX(0,C1114-1)+Paths!$K$107*(1+'Operating costs'!$B$53)^MAX(0,C1114-1)),"n.a."))</f>
        <v>0</v>
      </c>
      <c r="H1114" s="16">
        <f>IF(NOT(Paths!$C$107=1),0,IF(Paths!$P$107="Complete",F1114/12*(Paths!$L$107*(1+IF(Paths!$D$107="EV",'Operating costs'!$B$52,'Operating costs'!$B$51))^MAX(0,C1114-1)+Paths!$M$107*(1+'Operating costs'!$B$53)^MAX(0,C1114-1)),"n.a."))</f>
        <v>0</v>
      </c>
      <c r="I1114" s="16">
        <f>IF(NOT(Paths!$C$107=1),0,IF(Paths!$P$107="Complete",IF(IF(Paths!$E$107=0,C1114=0,AND(C1114&gt;0,Paths!$E$107&gt;(C1114-1)*12,Paths!$E$107&lt;=C1114*12)),Paths!$G$107,0),"n.a."))</f>
        <v>0</v>
      </c>
      <c r="J1114" s="16">
        <f>IF(NOT(Paths!$C$107=1),0,IF(Paths!$P$107="Complete",IF(IF(Paths!$E$107=0,C1114=0,AND(C1114&gt;0,Paths!$E$107&gt;(C1114-1)*12,Paths!$E$107&lt;=C1114*12)),Paths!$H$107,0),"n.a."))</f>
        <v>0</v>
      </c>
      <c r="K1114" s="16">
        <f>IF(NOT(Paths!$C$107=1),0,IF(Paths!$P$107="Complete",IF(IF(Paths!$O$107=0,C1114=0,AND(C1114&gt;0,Paths!$O$107&gt;(C1114-1)*12,Paths!$O$107&lt;=C1114*12)),Paths!$N$107,0),"n.a."))</f>
        <v>0</v>
      </c>
      <c r="L1114" s="16">
        <f>IF(NOT(Paths!$C$107=1),0,IF(Paths!$P$107="Complete",IF(C1114=10,Paths!$I$107,0),"n.a."))</f>
        <v>0</v>
      </c>
      <c r="M1114" s="16">
        <f>IF(NOT(Paths!$C$107=1),0,IF(Paths!$P$107="Complete",IF(AND(Paths!$D$107="EV",Paths!$E$107&lt;120,Paths!$E$107+'Operating costs'!$B$65&gt;Paths!$E$107,Paths!$E$107+'Operating costs'!$B$65&lt;=120,IF(Paths!$E$107+'Operating costs'!$B$65=0,C1114=0,AND(C1114&gt;0,Paths!$E$107+'Operating costs'!$B$65&gt;(C1114-1)*12,Paths!$E$107+'Operating costs'!$B$65&lt;=C1114*12))),'Operating costs'!$B$64,0)+IF(AND('Operating costs'!$B$67&gt;0,'Operating costs'!$B$67&lt;=120,OR(Paths!$D$107="ICE",'Operating costs'!$B$67&lt;=Paths!$E$107),IF('Operating costs'!$B$67=0,C1114=0,AND(C1114&gt;0,'Operating costs'!$B$67&gt;(C1114-1)*12,'Operating costs'!$B$67&lt;=C1114*12))),'Operating costs'!$B$66,0),"n.a."))</f>
        <v>0</v>
      </c>
      <c r="N1114" s="16">
        <f>IF(NOT(Paths!$C$107=1),0,IF(Paths!$P$107="Complete",SUM(G1114:I1114)-J1114-K1114-L1114+M1114+IF(C1114=0,Paths!$F$107,0)+IF(IF(Paths!$E$107=0,C1114=0,AND(C1114&gt;0,Paths!$E$107&gt;(C1114-1)*12,Paths!$E$107&lt;=C1114*12)),VLOOKUP(A1114,'Fleet register'!$A$7:$S$106,16,FALSE),0),"n.a."))</f>
        <v>0</v>
      </c>
      <c r="O1114" s="16">
        <f>IF(NOT(Paths!$C$107=1),0,IF(Paths!$P$107="Complete",N1114-IF(C1114=0,Paths!$F$107,0),"n.a."))</f>
        <v>0</v>
      </c>
      <c r="P1114" s="16">
        <f>IF(NOT(Paths!$C$107=1),0,IF(Paths!$P$107="Complete",O1114+L1114,"n.a."))</f>
        <v>0</v>
      </c>
      <c r="Q1114" s="16">
        <f>IF(NOT(Paths!$C$107=1),0,IF(Paths!$P$107="Complete",N1114*(1+'Operating costs'!$B$54)^-C1114,"n.a."))</f>
        <v>0</v>
      </c>
      <c r="R1114" s="16">
        <f>IF(NOT(Paths!$C$107=1),0,IF(Paths!$P$107="Complete",IF(AND(C1114=0,Paths!$E$107=0),I1114-J1114-K1114+VLOOKUP(A1114,'Fleet register'!$A$7:$S$106,15,FALSE)+VLOOKUP(A1114,'Fleet register'!$A$7:$S$106,16,FALSE),0),"n.a."))</f>
        <v>0</v>
      </c>
      <c r="S1114" s="1">
        <f>IF(NOT(Paths!$C$107=1),0,IF(Paths!$P$107="Complete",IF(C1114=0,0,Paths!$S$107*Paths!$R$107),"n.a."))</f>
        <v>0</v>
      </c>
      <c r="T1114" s="1">
        <f>IF(NOT(Paths!$C$107=1),0,IF(Paths!$P$107="Complete",IF(C1114=0,0,VLOOKUP(A1114,'Fleet register'!$A$7:$S$106,9,FALSE)*Paths!$R$107),"n.a."))</f>
        <v>0</v>
      </c>
    </row>
    <row r="1115" spans="1:20" ht="24" customHeight="1">
      <c r="A1115" s="1" t="str">
        <f>Paths!$A$107</f>
        <v>T026</v>
      </c>
      <c r="B1115" s="1">
        <f>Paths!$B$107</f>
        <v>0</v>
      </c>
      <c r="C1115" s="1">
        <v>8</v>
      </c>
      <c r="D1115" s="1">
        <v>107</v>
      </c>
      <c r="E1115" s="1">
        <f>IF(OR(Paths!$C$107=0,C1115=0),0,MAX(0,MIN(C1115*12,Paths!$E$107)-(C1115-1)*12))</f>
        <v>0</v>
      </c>
      <c r="F1115" s="1">
        <f>IF(OR(Paths!$C$107=0,C1115=0),0,12-E1115)</f>
        <v>0</v>
      </c>
      <c r="G1115" s="16">
        <f>IF(NOT(Paths!$C$107=1),0,IF(Paths!$P$107="Complete",E1115/12*(Paths!$J$107*(1+'Operating costs'!$B$51)^MAX(0,C1115-1)+Paths!$K$107*(1+'Operating costs'!$B$53)^MAX(0,C1115-1)),"n.a."))</f>
        <v>0</v>
      </c>
      <c r="H1115" s="16">
        <f>IF(NOT(Paths!$C$107=1),0,IF(Paths!$P$107="Complete",F1115/12*(Paths!$L$107*(1+IF(Paths!$D$107="EV",'Operating costs'!$B$52,'Operating costs'!$B$51))^MAX(0,C1115-1)+Paths!$M$107*(1+'Operating costs'!$B$53)^MAX(0,C1115-1)),"n.a."))</f>
        <v>0</v>
      </c>
      <c r="I1115" s="16">
        <f>IF(NOT(Paths!$C$107=1),0,IF(Paths!$P$107="Complete",IF(IF(Paths!$E$107=0,C1115=0,AND(C1115&gt;0,Paths!$E$107&gt;(C1115-1)*12,Paths!$E$107&lt;=C1115*12)),Paths!$G$107,0),"n.a."))</f>
        <v>0</v>
      </c>
      <c r="J1115" s="16">
        <f>IF(NOT(Paths!$C$107=1),0,IF(Paths!$P$107="Complete",IF(IF(Paths!$E$107=0,C1115=0,AND(C1115&gt;0,Paths!$E$107&gt;(C1115-1)*12,Paths!$E$107&lt;=C1115*12)),Paths!$H$107,0),"n.a."))</f>
        <v>0</v>
      </c>
      <c r="K1115" s="16">
        <f>IF(NOT(Paths!$C$107=1),0,IF(Paths!$P$107="Complete",IF(IF(Paths!$O$107=0,C1115=0,AND(C1115&gt;0,Paths!$O$107&gt;(C1115-1)*12,Paths!$O$107&lt;=C1115*12)),Paths!$N$107,0),"n.a."))</f>
        <v>0</v>
      </c>
      <c r="L1115" s="16">
        <f>IF(NOT(Paths!$C$107=1),0,IF(Paths!$P$107="Complete",IF(C1115=10,Paths!$I$107,0),"n.a."))</f>
        <v>0</v>
      </c>
      <c r="M1115" s="16">
        <f>IF(NOT(Paths!$C$107=1),0,IF(Paths!$P$107="Complete",IF(AND(Paths!$D$107="EV",Paths!$E$107&lt;120,Paths!$E$107+'Operating costs'!$B$65&gt;Paths!$E$107,Paths!$E$107+'Operating costs'!$B$65&lt;=120,IF(Paths!$E$107+'Operating costs'!$B$65=0,C1115=0,AND(C1115&gt;0,Paths!$E$107+'Operating costs'!$B$65&gt;(C1115-1)*12,Paths!$E$107+'Operating costs'!$B$65&lt;=C1115*12))),'Operating costs'!$B$64,0)+IF(AND('Operating costs'!$B$67&gt;0,'Operating costs'!$B$67&lt;=120,OR(Paths!$D$107="ICE",'Operating costs'!$B$67&lt;=Paths!$E$107),IF('Operating costs'!$B$67=0,C1115=0,AND(C1115&gt;0,'Operating costs'!$B$67&gt;(C1115-1)*12,'Operating costs'!$B$67&lt;=C1115*12))),'Operating costs'!$B$66,0),"n.a."))</f>
        <v>0</v>
      </c>
      <c r="N1115" s="16">
        <f>IF(NOT(Paths!$C$107=1),0,IF(Paths!$P$107="Complete",SUM(G1115:I1115)-J1115-K1115-L1115+M1115+IF(C1115=0,Paths!$F$107,0)+IF(IF(Paths!$E$107=0,C1115=0,AND(C1115&gt;0,Paths!$E$107&gt;(C1115-1)*12,Paths!$E$107&lt;=C1115*12)),VLOOKUP(A1115,'Fleet register'!$A$7:$S$106,16,FALSE),0),"n.a."))</f>
        <v>0</v>
      </c>
      <c r="O1115" s="16">
        <f>IF(NOT(Paths!$C$107=1),0,IF(Paths!$P$107="Complete",N1115-IF(C1115=0,Paths!$F$107,0),"n.a."))</f>
        <v>0</v>
      </c>
      <c r="P1115" s="16">
        <f>IF(NOT(Paths!$C$107=1),0,IF(Paths!$P$107="Complete",O1115+L1115,"n.a."))</f>
        <v>0</v>
      </c>
      <c r="Q1115" s="16">
        <f>IF(NOT(Paths!$C$107=1),0,IF(Paths!$P$107="Complete",N1115*(1+'Operating costs'!$B$54)^-C1115,"n.a."))</f>
        <v>0</v>
      </c>
      <c r="R1115" s="16">
        <f>IF(NOT(Paths!$C$107=1),0,IF(Paths!$P$107="Complete",IF(AND(C1115=0,Paths!$E$107=0),I1115-J1115-K1115+VLOOKUP(A1115,'Fleet register'!$A$7:$S$106,15,FALSE)+VLOOKUP(A1115,'Fleet register'!$A$7:$S$106,16,FALSE),0),"n.a."))</f>
        <v>0</v>
      </c>
      <c r="S1115" s="1">
        <f>IF(NOT(Paths!$C$107=1),0,IF(Paths!$P$107="Complete",IF(C1115=0,0,Paths!$S$107*Paths!$R$107),"n.a."))</f>
        <v>0</v>
      </c>
      <c r="T1115" s="1">
        <f>IF(NOT(Paths!$C$107=1),0,IF(Paths!$P$107="Complete",IF(C1115=0,0,VLOOKUP(A1115,'Fleet register'!$A$7:$S$106,9,FALSE)*Paths!$R$107),"n.a."))</f>
        <v>0</v>
      </c>
    </row>
    <row r="1116" spans="1:20" ht="24" customHeight="1">
      <c r="A1116" s="1" t="str">
        <f>Paths!$A$107</f>
        <v>T026</v>
      </c>
      <c r="B1116" s="1">
        <f>Paths!$B$107</f>
        <v>0</v>
      </c>
      <c r="C1116" s="1">
        <v>9</v>
      </c>
      <c r="D1116" s="1">
        <v>107</v>
      </c>
      <c r="E1116" s="1">
        <f>IF(OR(Paths!$C$107=0,C1116=0),0,MAX(0,MIN(C1116*12,Paths!$E$107)-(C1116-1)*12))</f>
        <v>0</v>
      </c>
      <c r="F1116" s="1">
        <f>IF(OR(Paths!$C$107=0,C1116=0),0,12-E1116)</f>
        <v>0</v>
      </c>
      <c r="G1116" s="16">
        <f>IF(NOT(Paths!$C$107=1),0,IF(Paths!$P$107="Complete",E1116/12*(Paths!$J$107*(1+'Operating costs'!$B$51)^MAX(0,C1116-1)+Paths!$K$107*(1+'Operating costs'!$B$53)^MAX(0,C1116-1)),"n.a."))</f>
        <v>0</v>
      </c>
      <c r="H1116" s="16">
        <f>IF(NOT(Paths!$C$107=1),0,IF(Paths!$P$107="Complete",F1116/12*(Paths!$L$107*(1+IF(Paths!$D$107="EV",'Operating costs'!$B$52,'Operating costs'!$B$51))^MAX(0,C1116-1)+Paths!$M$107*(1+'Operating costs'!$B$53)^MAX(0,C1116-1)),"n.a."))</f>
        <v>0</v>
      </c>
      <c r="I1116" s="16">
        <f>IF(NOT(Paths!$C$107=1),0,IF(Paths!$P$107="Complete",IF(IF(Paths!$E$107=0,C1116=0,AND(C1116&gt;0,Paths!$E$107&gt;(C1116-1)*12,Paths!$E$107&lt;=C1116*12)),Paths!$G$107,0),"n.a."))</f>
        <v>0</v>
      </c>
      <c r="J1116" s="16">
        <f>IF(NOT(Paths!$C$107=1),0,IF(Paths!$P$107="Complete",IF(IF(Paths!$E$107=0,C1116=0,AND(C1116&gt;0,Paths!$E$107&gt;(C1116-1)*12,Paths!$E$107&lt;=C1116*12)),Paths!$H$107,0),"n.a."))</f>
        <v>0</v>
      </c>
      <c r="K1116" s="16">
        <f>IF(NOT(Paths!$C$107=1),0,IF(Paths!$P$107="Complete",IF(IF(Paths!$O$107=0,C1116=0,AND(C1116&gt;0,Paths!$O$107&gt;(C1116-1)*12,Paths!$O$107&lt;=C1116*12)),Paths!$N$107,0),"n.a."))</f>
        <v>0</v>
      </c>
      <c r="L1116" s="16">
        <f>IF(NOT(Paths!$C$107=1),0,IF(Paths!$P$107="Complete",IF(C1116=10,Paths!$I$107,0),"n.a."))</f>
        <v>0</v>
      </c>
      <c r="M1116" s="16">
        <f>IF(NOT(Paths!$C$107=1),0,IF(Paths!$P$107="Complete",IF(AND(Paths!$D$107="EV",Paths!$E$107&lt;120,Paths!$E$107+'Operating costs'!$B$65&gt;Paths!$E$107,Paths!$E$107+'Operating costs'!$B$65&lt;=120,IF(Paths!$E$107+'Operating costs'!$B$65=0,C1116=0,AND(C1116&gt;0,Paths!$E$107+'Operating costs'!$B$65&gt;(C1116-1)*12,Paths!$E$107+'Operating costs'!$B$65&lt;=C1116*12))),'Operating costs'!$B$64,0)+IF(AND('Operating costs'!$B$67&gt;0,'Operating costs'!$B$67&lt;=120,OR(Paths!$D$107="ICE",'Operating costs'!$B$67&lt;=Paths!$E$107),IF('Operating costs'!$B$67=0,C1116=0,AND(C1116&gt;0,'Operating costs'!$B$67&gt;(C1116-1)*12,'Operating costs'!$B$67&lt;=C1116*12))),'Operating costs'!$B$66,0),"n.a."))</f>
        <v>0</v>
      </c>
      <c r="N1116" s="16">
        <f>IF(NOT(Paths!$C$107=1),0,IF(Paths!$P$107="Complete",SUM(G1116:I1116)-J1116-K1116-L1116+M1116+IF(C1116=0,Paths!$F$107,0)+IF(IF(Paths!$E$107=0,C1116=0,AND(C1116&gt;0,Paths!$E$107&gt;(C1116-1)*12,Paths!$E$107&lt;=C1116*12)),VLOOKUP(A1116,'Fleet register'!$A$7:$S$106,16,FALSE),0),"n.a."))</f>
        <v>0</v>
      </c>
      <c r="O1116" s="16">
        <f>IF(NOT(Paths!$C$107=1),0,IF(Paths!$P$107="Complete",N1116-IF(C1116=0,Paths!$F$107,0),"n.a."))</f>
        <v>0</v>
      </c>
      <c r="P1116" s="16">
        <f>IF(NOT(Paths!$C$107=1),0,IF(Paths!$P$107="Complete",O1116+L1116,"n.a."))</f>
        <v>0</v>
      </c>
      <c r="Q1116" s="16">
        <f>IF(NOT(Paths!$C$107=1),0,IF(Paths!$P$107="Complete",N1116*(1+'Operating costs'!$B$54)^-C1116,"n.a."))</f>
        <v>0</v>
      </c>
      <c r="R1116" s="16">
        <f>IF(NOT(Paths!$C$107=1),0,IF(Paths!$P$107="Complete",IF(AND(C1116=0,Paths!$E$107=0),I1116-J1116-K1116+VLOOKUP(A1116,'Fleet register'!$A$7:$S$106,15,FALSE)+VLOOKUP(A1116,'Fleet register'!$A$7:$S$106,16,FALSE),0),"n.a."))</f>
        <v>0</v>
      </c>
      <c r="S1116" s="1">
        <f>IF(NOT(Paths!$C$107=1),0,IF(Paths!$P$107="Complete",IF(C1116=0,0,Paths!$S$107*Paths!$R$107),"n.a."))</f>
        <v>0</v>
      </c>
      <c r="T1116" s="1">
        <f>IF(NOT(Paths!$C$107=1),0,IF(Paths!$P$107="Complete",IF(C1116=0,0,VLOOKUP(A1116,'Fleet register'!$A$7:$S$106,9,FALSE)*Paths!$R$107),"n.a."))</f>
        <v>0</v>
      </c>
    </row>
    <row r="1117" spans="1:20" ht="24" customHeight="1">
      <c r="A1117" s="1" t="str">
        <f>Paths!$A$107</f>
        <v>T026</v>
      </c>
      <c r="B1117" s="1">
        <f>Paths!$B$107</f>
        <v>0</v>
      </c>
      <c r="C1117" s="1">
        <v>10</v>
      </c>
      <c r="D1117" s="1">
        <v>107</v>
      </c>
      <c r="E1117" s="1">
        <f>IF(OR(Paths!$C$107=0,C1117=0),0,MAX(0,MIN(C1117*12,Paths!$E$107)-(C1117-1)*12))</f>
        <v>0</v>
      </c>
      <c r="F1117" s="1">
        <f>IF(OR(Paths!$C$107=0,C1117=0),0,12-E1117)</f>
        <v>0</v>
      </c>
      <c r="G1117" s="16">
        <f>IF(NOT(Paths!$C$107=1),0,IF(Paths!$P$107="Complete",E1117/12*(Paths!$J$107*(1+'Operating costs'!$B$51)^MAX(0,C1117-1)+Paths!$K$107*(1+'Operating costs'!$B$53)^MAX(0,C1117-1)),"n.a."))</f>
        <v>0</v>
      </c>
      <c r="H1117" s="16">
        <f>IF(NOT(Paths!$C$107=1),0,IF(Paths!$P$107="Complete",F1117/12*(Paths!$L$107*(1+IF(Paths!$D$107="EV",'Operating costs'!$B$52,'Operating costs'!$B$51))^MAX(0,C1117-1)+Paths!$M$107*(1+'Operating costs'!$B$53)^MAX(0,C1117-1)),"n.a."))</f>
        <v>0</v>
      </c>
      <c r="I1117" s="16">
        <f>IF(NOT(Paths!$C$107=1),0,IF(Paths!$P$107="Complete",IF(IF(Paths!$E$107=0,C1117=0,AND(C1117&gt;0,Paths!$E$107&gt;(C1117-1)*12,Paths!$E$107&lt;=C1117*12)),Paths!$G$107,0),"n.a."))</f>
        <v>0</v>
      </c>
      <c r="J1117" s="16">
        <f>IF(NOT(Paths!$C$107=1),0,IF(Paths!$P$107="Complete",IF(IF(Paths!$E$107=0,C1117=0,AND(C1117&gt;0,Paths!$E$107&gt;(C1117-1)*12,Paths!$E$107&lt;=C1117*12)),Paths!$H$107,0),"n.a."))</f>
        <v>0</v>
      </c>
      <c r="K1117" s="16">
        <f>IF(NOT(Paths!$C$107=1),0,IF(Paths!$P$107="Complete",IF(IF(Paths!$O$107=0,C1117=0,AND(C1117&gt;0,Paths!$O$107&gt;(C1117-1)*12,Paths!$O$107&lt;=C1117*12)),Paths!$N$107,0),"n.a."))</f>
        <v>0</v>
      </c>
      <c r="L1117" s="16">
        <f>IF(NOT(Paths!$C$107=1),0,IF(Paths!$P$107="Complete",IF(C1117=10,Paths!$I$107,0),"n.a."))</f>
        <v>0</v>
      </c>
      <c r="M1117" s="16">
        <f>IF(NOT(Paths!$C$107=1),0,IF(Paths!$P$107="Complete",IF(AND(Paths!$D$107="EV",Paths!$E$107&lt;120,Paths!$E$107+'Operating costs'!$B$65&gt;Paths!$E$107,Paths!$E$107+'Operating costs'!$B$65&lt;=120,IF(Paths!$E$107+'Operating costs'!$B$65=0,C1117=0,AND(C1117&gt;0,Paths!$E$107+'Operating costs'!$B$65&gt;(C1117-1)*12,Paths!$E$107+'Operating costs'!$B$65&lt;=C1117*12))),'Operating costs'!$B$64,0)+IF(AND('Operating costs'!$B$67&gt;0,'Operating costs'!$B$67&lt;=120,OR(Paths!$D$107="ICE",'Operating costs'!$B$67&lt;=Paths!$E$107),IF('Operating costs'!$B$67=0,C1117=0,AND(C1117&gt;0,'Operating costs'!$B$67&gt;(C1117-1)*12,'Operating costs'!$B$67&lt;=C1117*12))),'Operating costs'!$B$66,0),"n.a."))</f>
        <v>0</v>
      </c>
      <c r="N1117" s="16">
        <f>IF(NOT(Paths!$C$107=1),0,IF(Paths!$P$107="Complete",SUM(G1117:I1117)-J1117-K1117-L1117+M1117+IF(C1117=0,Paths!$F$107,0)+IF(IF(Paths!$E$107=0,C1117=0,AND(C1117&gt;0,Paths!$E$107&gt;(C1117-1)*12,Paths!$E$107&lt;=C1117*12)),VLOOKUP(A1117,'Fleet register'!$A$7:$S$106,16,FALSE),0),"n.a."))</f>
        <v>0</v>
      </c>
      <c r="O1117" s="16">
        <f>IF(NOT(Paths!$C$107=1),0,IF(Paths!$P$107="Complete",N1117-IF(C1117=0,Paths!$F$107,0),"n.a."))</f>
        <v>0</v>
      </c>
      <c r="P1117" s="16">
        <f>IF(NOT(Paths!$C$107=1),0,IF(Paths!$P$107="Complete",O1117+L1117,"n.a."))</f>
        <v>0</v>
      </c>
      <c r="Q1117" s="16">
        <f>IF(NOT(Paths!$C$107=1),0,IF(Paths!$P$107="Complete",N1117*(1+'Operating costs'!$B$54)^-C1117,"n.a."))</f>
        <v>0</v>
      </c>
      <c r="R1117" s="16">
        <f>IF(NOT(Paths!$C$107=1),0,IF(Paths!$P$107="Complete",IF(AND(C1117=0,Paths!$E$107=0),I1117-J1117-K1117+VLOOKUP(A1117,'Fleet register'!$A$7:$S$106,15,FALSE)+VLOOKUP(A1117,'Fleet register'!$A$7:$S$106,16,FALSE),0),"n.a."))</f>
        <v>0</v>
      </c>
      <c r="S1117" s="1">
        <f>IF(NOT(Paths!$C$107=1),0,IF(Paths!$P$107="Complete",IF(C1117=0,0,Paths!$S$107*Paths!$R$107),"n.a."))</f>
        <v>0</v>
      </c>
      <c r="T1117" s="1">
        <f>IF(NOT(Paths!$C$107=1),0,IF(Paths!$P$107="Complete",IF(C1117=0,0,VLOOKUP(A1117,'Fleet register'!$A$7:$S$106,9,FALSE)*Paths!$R$107),"n.a."))</f>
        <v>0</v>
      </c>
    </row>
    <row r="1118" spans="1:20" ht="24" customHeight="1">
      <c r="A1118" s="1" t="str">
        <f>Paths!$A$108</f>
        <v>T026</v>
      </c>
      <c r="B1118" s="1">
        <f>Paths!$B$108</f>
        <v>1</v>
      </c>
      <c r="C1118" s="1">
        <v>0</v>
      </c>
      <c r="D1118" s="1">
        <v>108</v>
      </c>
      <c r="E1118" s="1">
        <f>IF(OR(Paths!$C$108=0,C1118=0),0,MAX(0,MIN(C1118*12,Paths!$E$108)-(C1118-1)*12))</f>
        <v>0</v>
      </c>
      <c r="F1118" s="1">
        <f>IF(OR(Paths!$C$108=0,C1118=0),0,12-E1118)</f>
        <v>0</v>
      </c>
      <c r="G1118" s="16">
        <f>IF(NOT(Paths!$C$108=1),0,IF(Paths!$P$108="Complete",E1118/12*(Paths!$J$108*(1+'Operating costs'!$B$51)^MAX(0,C1118-1)+Paths!$K$108*(1+'Operating costs'!$B$53)^MAX(0,C1118-1)),"n.a."))</f>
        <v>0</v>
      </c>
      <c r="H1118" s="16">
        <f>IF(NOT(Paths!$C$108=1),0,IF(Paths!$P$108="Complete",F1118/12*(Paths!$L$108*(1+IF(Paths!$D$108="EV",'Operating costs'!$B$52,'Operating costs'!$B$51))^MAX(0,C1118-1)+Paths!$M$108*(1+'Operating costs'!$B$53)^MAX(0,C1118-1)),"n.a."))</f>
        <v>0</v>
      </c>
      <c r="I1118" s="16">
        <f>IF(NOT(Paths!$C$108=1),0,IF(Paths!$P$108="Complete",IF(IF(Paths!$E$108=0,C1118=0,AND(C1118&gt;0,Paths!$E$108&gt;(C1118-1)*12,Paths!$E$108&lt;=C1118*12)),Paths!$G$108,0),"n.a."))</f>
        <v>0</v>
      </c>
      <c r="J1118" s="16">
        <f>IF(NOT(Paths!$C$108=1),0,IF(Paths!$P$108="Complete",IF(IF(Paths!$E$108=0,C1118=0,AND(C1118&gt;0,Paths!$E$108&gt;(C1118-1)*12,Paths!$E$108&lt;=C1118*12)),Paths!$H$108,0),"n.a."))</f>
        <v>0</v>
      </c>
      <c r="K1118" s="16">
        <f>IF(NOT(Paths!$C$108=1),0,IF(Paths!$P$108="Complete",IF(IF(Paths!$O$108=0,C1118=0,AND(C1118&gt;0,Paths!$O$108&gt;(C1118-1)*12,Paths!$O$108&lt;=C1118*12)),Paths!$N$108,0),"n.a."))</f>
        <v>0</v>
      </c>
      <c r="L1118" s="16">
        <f>IF(NOT(Paths!$C$108=1),0,IF(Paths!$P$108="Complete",IF(C1118=10,Paths!$I$108,0),"n.a."))</f>
        <v>0</v>
      </c>
      <c r="M1118" s="16">
        <f>IF(NOT(Paths!$C$108=1),0,IF(Paths!$P$108="Complete",IF(AND(Paths!$D$108="EV",Paths!$E$108&lt;120,Paths!$E$108+'Operating costs'!$B$65&gt;Paths!$E$108,Paths!$E$108+'Operating costs'!$B$65&lt;=120,IF(Paths!$E$108+'Operating costs'!$B$65=0,C1118=0,AND(C1118&gt;0,Paths!$E$108+'Operating costs'!$B$65&gt;(C1118-1)*12,Paths!$E$108+'Operating costs'!$B$65&lt;=C1118*12))),'Operating costs'!$B$64,0)+IF(AND('Operating costs'!$B$67&gt;0,'Operating costs'!$B$67&lt;=120,OR(Paths!$D$108="ICE",'Operating costs'!$B$67&lt;=Paths!$E$108),IF('Operating costs'!$B$67=0,C1118=0,AND(C1118&gt;0,'Operating costs'!$B$67&gt;(C1118-1)*12,'Operating costs'!$B$67&lt;=C1118*12))),'Operating costs'!$B$66,0),"n.a."))</f>
        <v>0</v>
      </c>
      <c r="N1118" s="16">
        <f>IF(NOT(Paths!$C$108=1),0,IF(Paths!$P$108="Complete",SUM(G1118:I1118)-J1118-K1118-L1118+M1118+IF(C1118=0,Paths!$F$108,0)+IF(IF(Paths!$E$108=0,C1118=0,AND(C1118&gt;0,Paths!$E$108&gt;(C1118-1)*12,Paths!$E$108&lt;=C1118*12)),VLOOKUP(A1118,'Fleet register'!$A$7:$S$106,16,FALSE),0),"n.a."))</f>
        <v>0</v>
      </c>
      <c r="O1118" s="16">
        <f>IF(NOT(Paths!$C$108=1),0,IF(Paths!$P$108="Complete",N1118-IF(C1118=0,Paths!$F$108,0),"n.a."))</f>
        <v>0</v>
      </c>
      <c r="P1118" s="16">
        <f>IF(NOT(Paths!$C$108=1),0,IF(Paths!$P$108="Complete",O1118+L1118,"n.a."))</f>
        <v>0</v>
      </c>
      <c r="Q1118" s="16">
        <f>IF(NOT(Paths!$C$108=1),0,IF(Paths!$P$108="Complete",N1118*(1+'Operating costs'!$B$54)^-C1118,"n.a."))</f>
        <v>0</v>
      </c>
      <c r="R1118" s="16">
        <f>IF(NOT(Paths!$C$108=1),0,IF(Paths!$P$108="Complete",IF(AND(C1118=0,Paths!$E$108=0),I1118-J1118-K1118+VLOOKUP(A1118,'Fleet register'!$A$7:$S$106,15,FALSE)+VLOOKUP(A1118,'Fleet register'!$A$7:$S$106,16,FALSE),0),"n.a."))</f>
        <v>0</v>
      </c>
      <c r="S1118" s="1">
        <f>IF(NOT(Paths!$C$108=1),0,IF(Paths!$P$108="Complete",IF(C1118=0,0,Paths!$S$108*Paths!$R$108),"n.a."))</f>
        <v>0</v>
      </c>
      <c r="T1118" s="1">
        <f>IF(NOT(Paths!$C$108=1),0,IF(Paths!$P$108="Complete",IF(C1118=0,0,VLOOKUP(A1118,'Fleet register'!$A$7:$S$106,9,FALSE)*Paths!$R$108),"n.a."))</f>
        <v>0</v>
      </c>
    </row>
    <row r="1119" spans="1:20" ht="24" customHeight="1">
      <c r="A1119" s="1" t="str">
        <f>Paths!$A$108</f>
        <v>T026</v>
      </c>
      <c r="B1119" s="1">
        <f>Paths!$B$108</f>
        <v>1</v>
      </c>
      <c r="C1119" s="1">
        <v>1</v>
      </c>
      <c r="D1119" s="1">
        <v>108</v>
      </c>
      <c r="E1119" s="1">
        <f>IF(OR(Paths!$C$108=0,C1119=0),0,MAX(0,MIN(C1119*12,Paths!$E$108)-(C1119-1)*12))</f>
        <v>0</v>
      </c>
      <c r="F1119" s="1">
        <f>IF(OR(Paths!$C$108=0,C1119=0),0,12-E1119)</f>
        <v>0</v>
      </c>
      <c r="G1119" s="16">
        <f>IF(NOT(Paths!$C$108=1),0,IF(Paths!$P$108="Complete",E1119/12*(Paths!$J$108*(1+'Operating costs'!$B$51)^MAX(0,C1119-1)+Paths!$K$108*(1+'Operating costs'!$B$53)^MAX(0,C1119-1)),"n.a."))</f>
        <v>0</v>
      </c>
      <c r="H1119" s="16">
        <f>IF(NOT(Paths!$C$108=1),0,IF(Paths!$P$108="Complete",F1119/12*(Paths!$L$108*(1+IF(Paths!$D$108="EV",'Operating costs'!$B$52,'Operating costs'!$B$51))^MAX(0,C1119-1)+Paths!$M$108*(1+'Operating costs'!$B$53)^MAX(0,C1119-1)),"n.a."))</f>
        <v>0</v>
      </c>
      <c r="I1119" s="16">
        <f>IF(NOT(Paths!$C$108=1),0,IF(Paths!$P$108="Complete",IF(IF(Paths!$E$108=0,C1119=0,AND(C1119&gt;0,Paths!$E$108&gt;(C1119-1)*12,Paths!$E$108&lt;=C1119*12)),Paths!$G$108,0),"n.a."))</f>
        <v>0</v>
      </c>
      <c r="J1119" s="16">
        <f>IF(NOT(Paths!$C$108=1),0,IF(Paths!$P$108="Complete",IF(IF(Paths!$E$108=0,C1119=0,AND(C1119&gt;0,Paths!$E$108&gt;(C1119-1)*12,Paths!$E$108&lt;=C1119*12)),Paths!$H$108,0),"n.a."))</f>
        <v>0</v>
      </c>
      <c r="K1119" s="16">
        <f>IF(NOT(Paths!$C$108=1),0,IF(Paths!$P$108="Complete",IF(IF(Paths!$O$108=0,C1119=0,AND(C1119&gt;0,Paths!$O$108&gt;(C1119-1)*12,Paths!$O$108&lt;=C1119*12)),Paths!$N$108,0),"n.a."))</f>
        <v>0</v>
      </c>
      <c r="L1119" s="16">
        <f>IF(NOT(Paths!$C$108=1),0,IF(Paths!$P$108="Complete",IF(C1119=10,Paths!$I$108,0),"n.a."))</f>
        <v>0</v>
      </c>
      <c r="M1119" s="16">
        <f>IF(NOT(Paths!$C$108=1),0,IF(Paths!$P$108="Complete",IF(AND(Paths!$D$108="EV",Paths!$E$108&lt;120,Paths!$E$108+'Operating costs'!$B$65&gt;Paths!$E$108,Paths!$E$108+'Operating costs'!$B$65&lt;=120,IF(Paths!$E$108+'Operating costs'!$B$65=0,C1119=0,AND(C1119&gt;0,Paths!$E$108+'Operating costs'!$B$65&gt;(C1119-1)*12,Paths!$E$108+'Operating costs'!$B$65&lt;=C1119*12))),'Operating costs'!$B$64,0)+IF(AND('Operating costs'!$B$67&gt;0,'Operating costs'!$B$67&lt;=120,OR(Paths!$D$108="ICE",'Operating costs'!$B$67&lt;=Paths!$E$108),IF('Operating costs'!$B$67=0,C1119=0,AND(C1119&gt;0,'Operating costs'!$B$67&gt;(C1119-1)*12,'Operating costs'!$B$67&lt;=C1119*12))),'Operating costs'!$B$66,0),"n.a."))</f>
        <v>0</v>
      </c>
      <c r="N1119" s="16">
        <f>IF(NOT(Paths!$C$108=1),0,IF(Paths!$P$108="Complete",SUM(G1119:I1119)-J1119-K1119-L1119+M1119+IF(C1119=0,Paths!$F$108,0)+IF(IF(Paths!$E$108=0,C1119=0,AND(C1119&gt;0,Paths!$E$108&gt;(C1119-1)*12,Paths!$E$108&lt;=C1119*12)),VLOOKUP(A1119,'Fleet register'!$A$7:$S$106,16,FALSE),0),"n.a."))</f>
        <v>0</v>
      </c>
      <c r="O1119" s="16">
        <f>IF(NOT(Paths!$C$108=1),0,IF(Paths!$P$108="Complete",N1119-IF(C1119=0,Paths!$F$108,0),"n.a."))</f>
        <v>0</v>
      </c>
      <c r="P1119" s="16">
        <f>IF(NOT(Paths!$C$108=1),0,IF(Paths!$P$108="Complete",O1119+L1119,"n.a."))</f>
        <v>0</v>
      </c>
      <c r="Q1119" s="16">
        <f>IF(NOT(Paths!$C$108=1),0,IF(Paths!$P$108="Complete",N1119*(1+'Operating costs'!$B$54)^-C1119,"n.a."))</f>
        <v>0</v>
      </c>
      <c r="R1119" s="16">
        <f>IF(NOT(Paths!$C$108=1),0,IF(Paths!$P$108="Complete",IF(AND(C1119=0,Paths!$E$108=0),I1119-J1119-K1119+VLOOKUP(A1119,'Fleet register'!$A$7:$S$106,15,FALSE)+VLOOKUP(A1119,'Fleet register'!$A$7:$S$106,16,FALSE),0),"n.a."))</f>
        <v>0</v>
      </c>
      <c r="S1119" s="1">
        <f>IF(NOT(Paths!$C$108=1),0,IF(Paths!$P$108="Complete",IF(C1119=0,0,Paths!$S$108*Paths!$R$108),"n.a."))</f>
        <v>0</v>
      </c>
      <c r="T1119" s="1">
        <f>IF(NOT(Paths!$C$108=1),0,IF(Paths!$P$108="Complete",IF(C1119=0,0,VLOOKUP(A1119,'Fleet register'!$A$7:$S$106,9,FALSE)*Paths!$R$108),"n.a."))</f>
        <v>0</v>
      </c>
    </row>
    <row r="1120" spans="1:20" ht="24" customHeight="1">
      <c r="A1120" s="1" t="str">
        <f>Paths!$A$108</f>
        <v>T026</v>
      </c>
      <c r="B1120" s="1">
        <f>Paths!$B$108</f>
        <v>1</v>
      </c>
      <c r="C1120" s="1">
        <v>2</v>
      </c>
      <c r="D1120" s="1">
        <v>108</v>
      </c>
      <c r="E1120" s="1">
        <f>IF(OR(Paths!$C$108=0,C1120=0),0,MAX(0,MIN(C1120*12,Paths!$E$108)-(C1120-1)*12))</f>
        <v>0</v>
      </c>
      <c r="F1120" s="1">
        <f>IF(OR(Paths!$C$108=0,C1120=0),0,12-E1120)</f>
        <v>0</v>
      </c>
      <c r="G1120" s="16">
        <f>IF(NOT(Paths!$C$108=1),0,IF(Paths!$P$108="Complete",E1120/12*(Paths!$J$108*(1+'Operating costs'!$B$51)^MAX(0,C1120-1)+Paths!$K$108*(1+'Operating costs'!$B$53)^MAX(0,C1120-1)),"n.a."))</f>
        <v>0</v>
      </c>
      <c r="H1120" s="16">
        <f>IF(NOT(Paths!$C$108=1),0,IF(Paths!$P$108="Complete",F1120/12*(Paths!$L$108*(1+IF(Paths!$D$108="EV",'Operating costs'!$B$52,'Operating costs'!$B$51))^MAX(0,C1120-1)+Paths!$M$108*(1+'Operating costs'!$B$53)^MAX(0,C1120-1)),"n.a."))</f>
        <v>0</v>
      </c>
      <c r="I1120" s="16">
        <f>IF(NOT(Paths!$C$108=1),0,IF(Paths!$P$108="Complete",IF(IF(Paths!$E$108=0,C1120=0,AND(C1120&gt;0,Paths!$E$108&gt;(C1120-1)*12,Paths!$E$108&lt;=C1120*12)),Paths!$G$108,0),"n.a."))</f>
        <v>0</v>
      </c>
      <c r="J1120" s="16">
        <f>IF(NOT(Paths!$C$108=1),0,IF(Paths!$P$108="Complete",IF(IF(Paths!$E$108=0,C1120=0,AND(C1120&gt;0,Paths!$E$108&gt;(C1120-1)*12,Paths!$E$108&lt;=C1120*12)),Paths!$H$108,0),"n.a."))</f>
        <v>0</v>
      </c>
      <c r="K1120" s="16">
        <f>IF(NOT(Paths!$C$108=1),0,IF(Paths!$P$108="Complete",IF(IF(Paths!$O$108=0,C1120=0,AND(C1120&gt;0,Paths!$O$108&gt;(C1120-1)*12,Paths!$O$108&lt;=C1120*12)),Paths!$N$108,0),"n.a."))</f>
        <v>0</v>
      </c>
      <c r="L1120" s="16">
        <f>IF(NOT(Paths!$C$108=1),0,IF(Paths!$P$108="Complete",IF(C1120=10,Paths!$I$108,0),"n.a."))</f>
        <v>0</v>
      </c>
      <c r="M1120" s="16">
        <f>IF(NOT(Paths!$C$108=1),0,IF(Paths!$P$108="Complete",IF(AND(Paths!$D$108="EV",Paths!$E$108&lt;120,Paths!$E$108+'Operating costs'!$B$65&gt;Paths!$E$108,Paths!$E$108+'Operating costs'!$B$65&lt;=120,IF(Paths!$E$108+'Operating costs'!$B$65=0,C1120=0,AND(C1120&gt;0,Paths!$E$108+'Operating costs'!$B$65&gt;(C1120-1)*12,Paths!$E$108+'Operating costs'!$B$65&lt;=C1120*12))),'Operating costs'!$B$64,0)+IF(AND('Operating costs'!$B$67&gt;0,'Operating costs'!$B$67&lt;=120,OR(Paths!$D$108="ICE",'Operating costs'!$B$67&lt;=Paths!$E$108),IF('Operating costs'!$B$67=0,C1120=0,AND(C1120&gt;0,'Operating costs'!$B$67&gt;(C1120-1)*12,'Operating costs'!$B$67&lt;=C1120*12))),'Operating costs'!$B$66,0),"n.a."))</f>
        <v>0</v>
      </c>
      <c r="N1120" s="16">
        <f>IF(NOT(Paths!$C$108=1),0,IF(Paths!$P$108="Complete",SUM(G1120:I1120)-J1120-K1120-L1120+M1120+IF(C1120=0,Paths!$F$108,0)+IF(IF(Paths!$E$108=0,C1120=0,AND(C1120&gt;0,Paths!$E$108&gt;(C1120-1)*12,Paths!$E$108&lt;=C1120*12)),VLOOKUP(A1120,'Fleet register'!$A$7:$S$106,16,FALSE),0),"n.a."))</f>
        <v>0</v>
      </c>
      <c r="O1120" s="16">
        <f>IF(NOT(Paths!$C$108=1),0,IF(Paths!$P$108="Complete",N1120-IF(C1120=0,Paths!$F$108,0),"n.a."))</f>
        <v>0</v>
      </c>
      <c r="P1120" s="16">
        <f>IF(NOT(Paths!$C$108=1),0,IF(Paths!$P$108="Complete",O1120+L1120,"n.a."))</f>
        <v>0</v>
      </c>
      <c r="Q1120" s="16">
        <f>IF(NOT(Paths!$C$108=1),0,IF(Paths!$P$108="Complete",N1120*(1+'Operating costs'!$B$54)^-C1120,"n.a."))</f>
        <v>0</v>
      </c>
      <c r="R1120" s="16">
        <f>IF(NOT(Paths!$C$108=1),0,IF(Paths!$P$108="Complete",IF(AND(C1120=0,Paths!$E$108=0),I1120-J1120-K1120+VLOOKUP(A1120,'Fleet register'!$A$7:$S$106,15,FALSE)+VLOOKUP(A1120,'Fleet register'!$A$7:$S$106,16,FALSE),0),"n.a."))</f>
        <v>0</v>
      </c>
      <c r="S1120" s="1">
        <f>IF(NOT(Paths!$C$108=1),0,IF(Paths!$P$108="Complete",IF(C1120=0,0,Paths!$S$108*Paths!$R$108),"n.a."))</f>
        <v>0</v>
      </c>
      <c r="T1120" s="1">
        <f>IF(NOT(Paths!$C$108=1),0,IF(Paths!$P$108="Complete",IF(C1120=0,0,VLOOKUP(A1120,'Fleet register'!$A$7:$S$106,9,FALSE)*Paths!$R$108),"n.a."))</f>
        <v>0</v>
      </c>
    </row>
    <row r="1121" spans="1:20" ht="24" customHeight="1">
      <c r="A1121" s="1" t="str">
        <f>Paths!$A$108</f>
        <v>T026</v>
      </c>
      <c r="B1121" s="1">
        <f>Paths!$B$108</f>
        <v>1</v>
      </c>
      <c r="C1121" s="1">
        <v>3</v>
      </c>
      <c r="D1121" s="1">
        <v>108</v>
      </c>
      <c r="E1121" s="1">
        <f>IF(OR(Paths!$C$108=0,C1121=0),0,MAX(0,MIN(C1121*12,Paths!$E$108)-(C1121-1)*12))</f>
        <v>0</v>
      </c>
      <c r="F1121" s="1">
        <f>IF(OR(Paths!$C$108=0,C1121=0),0,12-E1121)</f>
        <v>0</v>
      </c>
      <c r="G1121" s="16">
        <f>IF(NOT(Paths!$C$108=1),0,IF(Paths!$P$108="Complete",E1121/12*(Paths!$J$108*(1+'Operating costs'!$B$51)^MAX(0,C1121-1)+Paths!$K$108*(1+'Operating costs'!$B$53)^MAX(0,C1121-1)),"n.a."))</f>
        <v>0</v>
      </c>
      <c r="H1121" s="16">
        <f>IF(NOT(Paths!$C$108=1),0,IF(Paths!$P$108="Complete",F1121/12*(Paths!$L$108*(1+IF(Paths!$D$108="EV",'Operating costs'!$B$52,'Operating costs'!$B$51))^MAX(0,C1121-1)+Paths!$M$108*(1+'Operating costs'!$B$53)^MAX(0,C1121-1)),"n.a."))</f>
        <v>0</v>
      </c>
      <c r="I1121" s="16">
        <f>IF(NOT(Paths!$C$108=1),0,IF(Paths!$P$108="Complete",IF(IF(Paths!$E$108=0,C1121=0,AND(C1121&gt;0,Paths!$E$108&gt;(C1121-1)*12,Paths!$E$108&lt;=C1121*12)),Paths!$G$108,0),"n.a."))</f>
        <v>0</v>
      </c>
      <c r="J1121" s="16">
        <f>IF(NOT(Paths!$C$108=1),0,IF(Paths!$P$108="Complete",IF(IF(Paths!$E$108=0,C1121=0,AND(C1121&gt;0,Paths!$E$108&gt;(C1121-1)*12,Paths!$E$108&lt;=C1121*12)),Paths!$H$108,0),"n.a."))</f>
        <v>0</v>
      </c>
      <c r="K1121" s="16">
        <f>IF(NOT(Paths!$C$108=1),0,IF(Paths!$P$108="Complete",IF(IF(Paths!$O$108=0,C1121=0,AND(C1121&gt;0,Paths!$O$108&gt;(C1121-1)*12,Paths!$O$108&lt;=C1121*12)),Paths!$N$108,0),"n.a."))</f>
        <v>0</v>
      </c>
      <c r="L1121" s="16">
        <f>IF(NOT(Paths!$C$108=1),0,IF(Paths!$P$108="Complete",IF(C1121=10,Paths!$I$108,0),"n.a."))</f>
        <v>0</v>
      </c>
      <c r="M1121" s="16">
        <f>IF(NOT(Paths!$C$108=1),0,IF(Paths!$P$108="Complete",IF(AND(Paths!$D$108="EV",Paths!$E$108&lt;120,Paths!$E$108+'Operating costs'!$B$65&gt;Paths!$E$108,Paths!$E$108+'Operating costs'!$B$65&lt;=120,IF(Paths!$E$108+'Operating costs'!$B$65=0,C1121=0,AND(C1121&gt;0,Paths!$E$108+'Operating costs'!$B$65&gt;(C1121-1)*12,Paths!$E$108+'Operating costs'!$B$65&lt;=C1121*12))),'Operating costs'!$B$64,0)+IF(AND('Operating costs'!$B$67&gt;0,'Operating costs'!$B$67&lt;=120,OR(Paths!$D$108="ICE",'Operating costs'!$B$67&lt;=Paths!$E$108),IF('Operating costs'!$B$67=0,C1121=0,AND(C1121&gt;0,'Operating costs'!$B$67&gt;(C1121-1)*12,'Operating costs'!$B$67&lt;=C1121*12))),'Operating costs'!$B$66,0),"n.a."))</f>
        <v>0</v>
      </c>
      <c r="N1121" s="16">
        <f>IF(NOT(Paths!$C$108=1),0,IF(Paths!$P$108="Complete",SUM(G1121:I1121)-J1121-K1121-L1121+M1121+IF(C1121=0,Paths!$F$108,0)+IF(IF(Paths!$E$108=0,C1121=0,AND(C1121&gt;0,Paths!$E$108&gt;(C1121-1)*12,Paths!$E$108&lt;=C1121*12)),VLOOKUP(A1121,'Fleet register'!$A$7:$S$106,16,FALSE),0),"n.a."))</f>
        <v>0</v>
      </c>
      <c r="O1121" s="16">
        <f>IF(NOT(Paths!$C$108=1),0,IF(Paths!$P$108="Complete",N1121-IF(C1121=0,Paths!$F$108,0),"n.a."))</f>
        <v>0</v>
      </c>
      <c r="P1121" s="16">
        <f>IF(NOT(Paths!$C$108=1),0,IF(Paths!$P$108="Complete",O1121+L1121,"n.a."))</f>
        <v>0</v>
      </c>
      <c r="Q1121" s="16">
        <f>IF(NOT(Paths!$C$108=1),0,IF(Paths!$P$108="Complete",N1121*(1+'Operating costs'!$B$54)^-C1121,"n.a."))</f>
        <v>0</v>
      </c>
      <c r="R1121" s="16">
        <f>IF(NOT(Paths!$C$108=1),0,IF(Paths!$P$108="Complete",IF(AND(C1121=0,Paths!$E$108=0),I1121-J1121-K1121+VLOOKUP(A1121,'Fleet register'!$A$7:$S$106,15,FALSE)+VLOOKUP(A1121,'Fleet register'!$A$7:$S$106,16,FALSE),0),"n.a."))</f>
        <v>0</v>
      </c>
      <c r="S1121" s="1">
        <f>IF(NOT(Paths!$C$108=1),0,IF(Paths!$P$108="Complete",IF(C1121=0,0,Paths!$S$108*Paths!$R$108),"n.a."))</f>
        <v>0</v>
      </c>
      <c r="T1121" s="1">
        <f>IF(NOT(Paths!$C$108=1),0,IF(Paths!$P$108="Complete",IF(C1121=0,0,VLOOKUP(A1121,'Fleet register'!$A$7:$S$106,9,FALSE)*Paths!$R$108),"n.a."))</f>
        <v>0</v>
      </c>
    </row>
    <row r="1122" spans="1:20" ht="24" customHeight="1">
      <c r="A1122" s="1" t="str">
        <f>Paths!$A$108</f>
        <v>T026</v>
      </c>
      <c r="B1122" s="1">
        <f>Paths!$B$108</f>
        <v>1</v>
      </c>
      <c r="C1122" s="1">
        <v>4</v>
      </c>
      <c r="D1122" s="1">
        <v>108</v>
      </c>
      <c r="E1122" s="1">
        <f>IF(OR(Paths!$C$108=0,C1122=0),0,MAX(0,MIN(C1122*12,Paths!$E$108)-(C1122-1)*12))</f>
        <v>0</v>
      </c>
      <c r="F1122" s="1">
        <f>IF(OR(Paths!$C$108=0,C1122=0),0,12-E1122)</f>
        <v>0</v>
      </c>
      <c r="G1122" s="16">
        <f>IF(NOT(Paths!$C$108=1),0,IF(Paths!$P$108="Complete",E1122/12*(Paths!$J$108*(1+'Operating costs'!$B$51)^MAX(0,C1122-1)+Paths!$K$108*(1+'Operating costs'!$B$53)^MAX(0,C1122-1)),"n.a."))</f>
        <v>0</v>
      </c>
      <c r="H1122" s="16">
        <f>IF(NOT(Paths!$C$108=1),0,IF(Paths!$P$108="Complete",F1122/12*(Paths!$L$108*(1+IF(Paths!$D$108="EV",'Operating costs'!$B$52,'Operating costs'!$B$51))^MAX(0,C1122-1)+Paths!$M$108*(1+'Operating costs'!$B$53)^MAX(0,C1122-1)),"n.a."))</f>
        <v>0</v>
      </c>
      <c r="I1122" s="16">
        <f>IF(NOT(Paths!$C$108=1),0,IF(Paths!$P$108="Complete",IF(IF(Paths!$E$108=0,C1122=0,AND(C1122&gt;0,Paths!$E$108&gt;(C1122-1)*12,Paths!$E$108&lt;=C1122*12)),Paths!$G$108,0),"n.a."))</f>
        <v>0</v>
      </c>
      <c r="J1122" s="16">
        <f>IF(NOT(Paths!$C$108=1),0,IF(Paths!$P$108="Complete",IF(IF(Paths!$E$108=0,C1122=0,AND(C1122&gt;0,Paths!$E$108&gt;(C1122-1)*12,Paths!$E$108&lt;=C1122*12)),Paths!$H$108,0),"n.a."))</f>
        <v>0</v>
      </c>
      <c r="K1122" s="16">
        <f>IF(NOT(Paths!$C$108=1),0,IF(Paths!$P$108="Complete",IF(IF(Paths!$O$108=0,C1122=0,AND(C1122&gt;0,Paths!$O$108&gt;(C1122-1)*12,Paths!$O$108&lt;=C1122*12)),Paths!$N$108,0),"n.a."))</f>
        <v>0</v>
      </c>
      <c r="L1122" s="16">
        <f>IF(NOT(Paths!$C$108=1),0,IF(Paths!$P$108="Complete",IF(C1122=10,Paths!$I$108,0),"n.a."))</f>
        <v>0</v>
      </c>
      <c r="M1122" s="16">
        <f>IF(NOT(Paths!$C$108=1),0,IF(Paths!$P$108="Complete",IF(AND(Paths!$D$108="EV",Paths!$E$108&lt;120,Paths!$E$108+'Operating costs'!$B$65&gt;Paths!$E$108,Paths!$E$108+'Operating costs'!$B$65&lt;=120,IF(Paths!$E$108+'Operating costs'!$B$65=0,C1122=0,AND(C1122&gt;0,Paths!$E$108+'Operating costs'!$B$65&gt;(C1122-1)*12,Paths!$E$108+'Operating costs'!$B$65&lt;=C1122*12))),'Operating costs'!$B$64,0)+IF(AND('Operating costs'!$B$67&gt;0,'Operating costs'!$B$67&lt;=120,OR(Paths!$D$108="ICE",'Operating costs'!$B$67&lt;=Paths!$E$108),IF('Operating costs'!$B$67=0,C1122=0,AND(C1122&gt;0,'Operating costs'!$B$67&gt;(C1122-1)*12,'Operating costs'!$B$67&lt;=C1122*12))),'Operating costs'!$B$66,0),"n.a."))</f>
        <v>0</v>
      </c>
      <c r="N1122" s="16">
        <f>IF(NOT(Paths!$C$108=1),0,IF(Paths!$P$108="Complete",SUM(G1122:I1122)-J1122-K1122-L1122+M1122+IF(C1122=0,Paths!$F$108,0)+IF(IF(Paths!$E$108=0,C1122=0,AND(C1122&gt;0,Paths!$E$108&gt;(C1122-1)*12,Paths!$E$108&lt;=C1122*12)),VLOOKUP(A1122,'Fleet register'!$A$7:$S$106,16,FALSE),0),"n.a."))</f>
        <v>0</v>
      </c>
      <c r="O1122" s="16">
        <f>IF(NOT(Paths!$C$108=1),0,IF(Paths!$P$108="Complete",N1122-IF(C1122=0,Paths!$F$108,0),"n.a."))</f>
        <v>0</v>
      </c>
      <c r="P1122" s="16">
        <f>IF(NOT(Paths!$C$108=1),0,IF(Paths!$P$108="Complete",O1122+L1122,"n.a."))</f>
        <v>0</v>
      </c>
      <c r="Q1122" s="16">
        <f>IF(NOT(Paths!$C$108=1),0,IF(Paths!$P$108="Complete",N1122*(1+'Operating costs'!$B$54)^-C1122,"n.a."))</f>
        <v>0</v>
      </c>
      <c r="R1122" s="16">
        <f>IF(NOT(Paths!$C$108=1),0,IF(Paths!$P$108="Complete",IF(AND(C1122=0,Paths!$E$108=0),I1122-J1122-K1122+VLOOKUP(A1122,'Fleet register'!$A$7:$S$106,15,FALSE)+VLOOKUP(A1122,'Fleet register'!$A$7:$S$106,16,FALSE),0),"n.a."))</f>
        <v>0</v>
      </c>
      <c r="S1122" s="1">
        <f>IF(NOT(Paths!$C$108=1),0,IF(Paths!$P$108="Complete",IF(C1122=0,0,Paths!$S$108*Paths!$R$108),"n.a."))</f>
        <v>0</v>
      </c>
      <c r="T1122" s="1">
        <f>IF(NOT(Paths!$C$108=1),0,IF(Paths!$P$108="Complete",IF(C1122=0,0,VLOOKUP(A1122,'Fleet register'!$A$7:$S$106,9,FALSE)*Paths!$R$108),"n.a."))</f>
        <v>0</v>
      </c>
    </row>
    <row r="1123" spans="1:20" ht="24" customHeight="1">
      <c r="A1123" s="1" t="str">
        <f>Paths!$A$108</f>
        <v>T026</v>
      </c>
      <c r="B1123" s="1">
        <f>Paths!$B$108</f>
        <v>1</v>
      </c>
      <c r="C1123" s="1">
        <v>5</v>
      </c>
      <c r="D1123" s="1">
        <v>108</v>
      </c>
      <c r="E1123" s="1">
        <f>IF(OR(Paths!$C$108=0,C1123=0),0,MAX(0,MIN(C1123*12,Paths!$E$108)-(C1123-1)*12))</f>
        <v>0</v>
      </c>
      <c r="F1123" s="1">
        <f>IF(OR(Paths!$C$108=0,C1123=0),0,12-E1123)</f>
        <v>0</v>
      </c>
      <c r="G1123" s="16">
        <f>IF(NOT(Paths!$C$108=1),0,IF(Paths!$P$108="Complete",E1123/12*(Paths!$J$108*(1+'Operating costs'!$B$51)^MAX(0,C1123-1)+Paths!$K$108*(1+'Operating costs'!$B$53)^MAX(0,C1123-1)),"n.a."))</f>
        <v>0</v>
      </c>
      <c r="H1123" s="16">
        <f>IF(NOT(Paths!$C$108=1),0,IF(Paths!$P$108="Complete",F1123/12*(Paths!$L$108*(1+IF(Paths!$D$108="EV",'Operating costs'!$B$52,'Operating costs'!$B$51))^MAX(0,C1123-1)+Paths!$M$108*(1+'Operating costs'!$B$53)^MAX(0,C1123-1)),"n.a."))</f>
        <v>0</v>
      </c>
      <c r="I1123" s="16">
        <f>IF(NOT(Paths!$C$108=1),0,IF(Paths!$P$108="Complete",IF(IF(Paths!$E$108=0,C1123=0,AND(C1123&gt;0,Paths!$E$108&gt;(C1123-1)*12,Paths!$E$108&lt;=C1123*12)),Paths!$G$108,0),"n.a."))</f>
        <v>0</v>
      </c>
      <c r="J1123" s="16">
        <f>IF(NOT(Paths!$C$108=1),0,IF(Paths!$P$108="Complete",IF(IF(Paths!$E$108=0,C1123=0,AND(C1123&gt;0,Paths!$E$108&gt;(C1123-1)*12,Paths!$E$108&lt;=C1123*12)),Paths!$H$108,0),"n.a."))</f>
        <v>0</v>
      </c>
      <c r="K1123" s="16">
        <f>IF(NOT(Paths!$C$108=1),0,IF(Paths!$P$108="Complete",IF(IF(Paths!$O$108=0,C1123=0,AND(C1123&gt;0,Paths!$O$108&gt;(C1123-1)*12,Paths!$O$108&lt;=C1123*12)),Paths!$N$108,0),"n.a."))</f>
        <v>0</v>
      </c>
      <c r="L1123" s="16">
        <f>IF(NOT(Paths!$C$108=1),0,IF(Paths!$P$108="Complete",IF(C1123=10,Paths!$I$108,0),"n.a."))</f>
        <v>0</v>
      </c>
      <c r="M1123" s="16">
        <f>IF(NOT(Paths!$C$108=1),0,IF(Paths!$P$108="Complete",IF(AND(Paths!$D$108="EV",Paths!$E$108&lt;120,Paths!$E$108+'Operating costs'!$B$65&gt;Paths!$E$108,Paths!$E$108+'Operating costs'!$B$65&lt;=120,IF(Paths!$E$108+'Operating costs'!$B$65=0,C1123=0,AND(C1123&gt;0,Paths!$E$108+'Operating costs'!$B$65&gt;(C1123-1)*12,Paths!$E$108+'Operating costs'!$B$65&lt;=C1123*12))),'Operating costs'!$B$64,0)+IF(AND('Operating costs'!$B$67&gt;0,'Operating costs'!$B$67&lt;=120,OR(Paths!$D$108="ICE",'Operating costs'!$B$67&lt;=Paths!$E$108),IF('Operating costs'!$B$67=0,C1123=0,AND(C1123&gt;0,'Operating costs'!$B$67&gt;(C1123-1)*12,'Operating costs'!$B$67&lt;=C1123*12))),'Operating costs'!$B$66,0),"n.a."))</f>
        <v>0</v>
      </c>
      <c r="N1123" s="16">
        <f>IF(NOT(Paths!$C$108=1),0,IF(Paths!$P$108="Complete",SUM(G1123:I1123)-J1123-K1123-L1123+M1123+IF(C1123=0,Paths!$F$108,0)+IF(IF(Paths!$E$108=0,C1123=0,AND(C1123&gt;0,Paths!$E$108&gt;(C1123-1)*12,Paths!$E$108&lt;=C1123*12)),VLOOKUP(A1123,'Fleet register'!$A$7:$S$106,16,FALSE),0),"n.a."))</f>
        <v>0</v>
      </c>
      <c r="O1123" s="16">
        <f>IF(NOT(Paths!$C$108=1),0,IF(Paths!$P$108="Complete",N1123-IF(C1123=0,Paths!$F$108,0),"n.a."))</f>
        <v>0</v>
      </c>
      <c r="P1123" s="16">
        <f>IF(NOT(Paths!$C$108=1),0,IF(Paths!$P$108="Complete",O1123+L1123,"n.a."))</f>
        <v>0</v>
      </c>
      <c r="Q1123" s="16">
        <f>IF(NOT(Paths!$C$108=1),0,IF(Paths!$P$108="Complete",N1123*(1+'Operating costs'!$B$54)^-C1123,"n.a."))</f>
        <v>0</v>
      </c>
      <c r="R1123" s="16">
        <f>IF(NOT(Paths!$C$108=1),0,IF(Paths!$P$108="Complete",IF(AND(C1123=0,Paths!$E$108=0),I1123-J1123-K1123+VLOOKUP(A1123,'Fleet register'!$A$7:$S$106,15,FALSE)+VLOOKUP(A1123,'Fleet register'!$A$7:$S$106,16,FALSE),0),"n.a."))</f>
        <v>0</v>
      </c>
      <c r="S1123" s="1">
        <f>IF(NOT(Paths!$C$108=1),0,IF(Paths!$P$108="Complete",IF(C1123=0,0,Paths!$S$108*Paths!$R$108),"n.a."))</f>
        <v>0</v>
      </c>
      <c r="T1123" s="1">
        <f>IF(NOT(Paths!$C$108=1),0,IF(Paths!$P$108="Complete",IF(C1123=0,0,VLOOKUP(A1123,'Fleet register'!$A$7:$S$106,9,FALSE)*Paths!$R$108),"n.a."))</f>
        <v>0</v>
      </c>
    </row>
    <row r="1124" spans="1:20" ht="24" customHeight="1">
      <c r="A1124" s="1" t="str">
        <f>Paths!$A$108</f>
        <v>T026</v>
      </c>
      <c r="B1124" s="1">
        <f>Paths!$B$108</f>
        <v>1</v>
      </c>
      <c r="C1124" s="1">
        <v>6</v>
      </c>
      <c r="D1124" s="1">
        <v>108</v>
      </c>
      <c r="E1124" s="1">
        <f>IF(OR(Paths!$C$108=0,C1124=0),0,MAX(0,MIN(C1124*12,Paths!$E$108)-(C1124-1)*12))</f>
        <v>0</v>
      </c>
      <c r="F1124" s="1">
        <f>IF(OR(Paths!$C$108=0,C1124=0),0,12-E1124)</f>
        <v>0</v>
      </c>
      <c r="G1124" s="16">
        <f>IF(NOT(Paths!$C$108=1),0,IF(Paths!$P$108="Complete",E1124/12*(Paths!$J$108*(1+'Operating costs'!$B$51)^MAX(0,C1124-1)+Paths!$K$108*(1+'Operating costs'!$B$53)^MAX(0,C1124-1)),"n.a."))</f>
        <v>0</v>
      </c>
      <c r="H1124" s="16">
        <f>IF(NOT(Paths!$C$108=1),0,IF(Paths!$P$108="Complete",F1124/12*(Paths!$L$108*(1+IF(Paths!$D$108="EV",'Operating costs'!$B$52,'Operating costs'!$B$51))^MAX(0,C1124-1)+Paths!$M$108*(1+'Operating costs'!$B$53)^MAX(0,C1124-1)),"n.a."))</f>
        <v>0</v>
      </c>
      <c r="I1124" s="16">
        <f>IF(NOT(Paths!$C$108=1),0,IF(Paths!$P$108="Complete",IF(IF(Paths!$E$108=0,C1124=0,AND(C1124&gt;0,Paths!$E$108&gt;(C1124-1)*12,Paths!$E$108&lt;=C1124*12)),Paths!$G$108,0),"n.a."))</f>
        <v>0</v>
      </c>
      <c r="J1124" s="16">
        <f>IF(NOT(Paths!$C$108=1),0,IF(Paths!$P$108="Complete",IF(IF(Paths!$E$108=0,C1124=0,AND(C1124&gt;0,Paths!$E$108&gt;(C1124-1)*12,Paths!$E$108&lt;=C1124*12)),Paths!$H$108,0),"n.a."))</f>
        <v>0</v>
      </c>
      <c r="K1124" s="16">
        <f>IF(NOT(Paths!$C$108=1),0,IF(Paths!$P$108="Complete",IF(IF(Paths!$O$108=0,C1124=0,AND(C1124&gt;0,Paths!$O$108&gt;(C1124-1)*12,Paths!$O$108&lt;=C1124*12)),Paths!$N$108,0),"n.a."))</f>
        <v>0</v>
      </c>
      <c r="L1124" s="16">
        <f>IF(NOT(Paths!$C$108=1),0,IF(Paths!$P$108="Complete",IF(C1124=10,Paths!$I$108,0),"n.a."))</f>
        <v>0</v>
      </c>
      <c r="M1124" s="16">
        <f>IF(NOT(Paths!$C$108=1),0,IF(Paths!$P$108="Complete",IF(AND(Paths!$D$108="EV",Paths!$E$108&lt;120,Paths!$E$108+'Operating costs'!$B$65&gt;Paths!$E$108,Paths!$E$108+'Operating costs'!$B$65&lt;=120,IF(Paths!$E$108+'Operating costs'!$B$65=0,C1124=0,AND(C1124&gt;0,Paths!$E$108+'Operating costs'!$B$65&gt;(C1124-1)*12,Paths!$E$108+'Operating costs'!$B$65&lt;=C1124*12))),'Operating costs'!$B$64,0)+IF(AND('Operating costs'!$B$67&gt;0,'Operating costs'!$B$67&lt;=120,OR(Paths!$D$108="ICE",'Operating costs'!$B$67&lt;=Paths!$E$108),IF('Operating costs'!$B$67=0,C1124=0,AND(C1124&gt;0,'Operating costs'!$B$67&gt;(C1124-1)*12,'Operating costs'!$B$67&lt;=C1124*12))),'Operating costs'!$B$66,0),"n.a."))</f>
        <v>0</v>
      </c>
      <c r="N1124" s="16">
        <f>IF(NOT(Paths!$C$108=1),0,IF(Paths!$P$108="Complete",SUM(G1124:I1124)-J1124-K1124-L1124+M1124+IF(C1124=0,Paths!$F$108,0)+IF(IF(Paths!$E$108=0,C1124=0,AND(C1124&gt;0,Paths!$E$108&gt;(C1124-1)*12,Paths!$E$108&lt;=C1124*12)),VLOOKUP(A1124,'Fleet register'!$A$7:$S$106,16,FALSE),0),"n.a."))</f>
        <v>0</v>
      </c>
      <c r="O1124" s="16">
        <f>IF(NOT(Paths!$C$108=1),0,IF(Paths!$P$108="Complete",N1124-IF(C1124=0,Paths!$F$108,0),"n.a."))</f>
        <v>0</v>
      </c>
      <c r="P1124" s="16">
        <f>IF(NOT(Paths!$C$108=1),0,IF(Paths!$P$108="Complete",O1124+L1124,"n.a."))</f>
        <v>0</v>
      </c>
      <c r="Q1124" s="16">
        <f>IF(NOT(Paths!$C$108=1),0,IF(Paths!$P$108="Complete",N1124*(1+'Operating costs'!$B$54)^-C1124,"n.a."))</f>
        <v>0</v>
      </c>
      <c r="R1124" s="16">
        <f>IF(NOT(Paths!$C$108=1),0,IF(Paths!$P$108="Complete",IF(AND(C1124=0,Paths!$E$108=0),I1124-J1124-K1124+VLOOKUP(A1124,'Fleet register'!$A$7:$S$106,15,FALSE)+VLOOKUP(A1124,'Fleet register'!$A$7:$S$106,16,FALSE),0),"n.a."))</f>
        <v>0</v>
      </c>
      <c r="S1124" s="1">
        <f>IF(NOT(Paths!$C$108=1),0,IF(Paths!$P$108="Complete",IF(C1124=0,0,Paths!$S$108*Paths!$R$108),"n.a."))</f>
        <v>0</v>
      </c>
      <c r="T1124" s="1">
        <f>IF(NOT(Paths!$C$108=1),0,IF(Paths!$P$108="Complete",IF(C1124=0,0,VLOOKUP(A1124,'Fleet register'!$A$7:$S$106,9,FALSE)*Paths!$R$108),"n.a."))</f>
        <v>0</v>
      </c>
    </row>
    <row r="1125" spans="1:20" ht="24" customHeight="1">
      <c r="A1125" s="1" t="str">
        <f>Paths!$A$108</f>
        <v>T026</v>
      </c>
      <c r="B1125" s="1">
        <f>Paths!$B$108</f>
        <v>1</v>
      </c>
      <c r="C1125" s="1">
        <v>7</v>
      </c>
      <c r="D1125" s="1">
        <v>108</v>
      </c>
      <c r="E1125" s="1">
        <f>IF(OR(Paths!$C$108=0,C1125=0),0,MAX(0,MIN(C1125*12,Paths!$E$108)-(C1125-1)*12))</f>
        <v>0</v>
      </c>
      <c r="F1125" s="1">
        <f>IF(OR(Paths!$C$108=0,C1125=0),0,12-E1125)</f>
        <v>0</v>
      </c>
      <c r="G1125" s="16">
        <f>IF(NOT(Paths!$C$108=1),0,IF(Paths!$P$108="Complete",E1125/12*(Paths!$J$108*(1+'Operating costs'!$B$51)^MAX(0,C1125-1)+Paths!$K$108*(1+'Operating costs'!$B$53)^MAX(0,C1125-1)),"n.a."))</f>
        <v>0</v>
      </c>
      <c r="H1125" s="16">
        <f>IF(NOT(Paths!$C$108=1),0,IF(Paths!$P$108="Complete",F1125/12*(Paths!$L$108*(1+IF(Paths!$D$108="EV",'Operating costs'!$B$52,'Operating costs'!$B$51))^MAX(0,C1125-1)+Paths!$M$108*(1+'Operating costs'!$B$53)^MAX(0,C1125-1)),"n.a."))</f>
        <v>0</v>
      </c>
      <c r="I1125" s="16">
        <f>IF(NOT(Paths!$C$108=1),0,IF(Paths!$P$108="Complete",IF(IF(Paths!$E$108=0,C1125=0,AND(C1125&gt;0,Paths!$E$108&gt;(C1125-1)*12,Paths!$E$108&lt;=C1125*12)),Paths!$G$108,0),"n.a."))</f>
        <v>0</v>
      </c>
      <c r="J1125" s="16">
        <f>IF(NOT(Paths!$C$108=1),0,IF(Paths!$P$108="Complete",IF(IF(Paths!$E$108=0,C1125=0,AND(C1125&gt;0,Paths!$E$108&gt;(C1125-1)*12,Paths!$E$108&lt;=C1125*12)),Paths!$H$108,0),"n.a."))</f>
        <v>0</v>
      </c>
      <c r="K1125" s="16">
        <f>IF(NOT(Paths!$C$108=1),0,IF(Paths!$P$108="Complete",IF(IF(Paths!$O$108=0,C1125=0,AND(C1125&gt;0,Paths!$O$108&gt;(C1125-1)*12,Paths!$O$108&lt;=C1125*12)),Paths!$N$108,0),"n.a."))</f>
        <v>0</v>
      </c>
      <c r="L1125" s="16">
        <f>IF(NOT(Paths!$C$108=1),0,IF(Paths!$P$108="Complete",IF(C1125=10,Paths!$I$108,0),"n.a."))</f>
        <v>0</v>
      </c>
      <c r="M1125" s="16">
        <f>IF(NOT(Paths!$C$108=1),0,IF(Paths!$P$108="Complete",IF(AND(Paths!$D$108="EV",Paths!$E$108&lt;120,Paths!$E$108+'Operating costs'!$B$65&gt;Paths!$E$108,Paths!$E$108+'Operating costs'!$B$65&lt;=120,IF(Paths!$E$108+'Operating costs'!$B$65=0,C1125=0,AND(C1125&gt;0,Paths!$E$108+'Operating costs'!$B$65&gt;(C1125-1)*12,Paths!$E$108+'Operating costs'!$B$65&lt;=C1125*12))),'Operating costs'!$B$64,0)+IF(AND('Operating costs'!$B$67&gt;0,'Operating costs'!$B$67&lt;=120,OR(Paths!$D$108="ICE",'Operating costs'!$B$67&lt;=Paths!$E$108),IF('Operating costs'!$B$67=0,C1125=0,AND(C1125&gt;0,'Operating costs'!$B$67&gt;(C1125-1)*12,'Operating costs'!$B$67&lt;=C1125*12))),'Operating costs'!$B$66,0),"n.a."))</f>
        <v>0</v>
      </c>
      <c r="N1125" s="16">
        <f>IF(NOT(Paths!$C$108=1),0,IF(Paths!$P$108="Complete",SUM(G1125:I1125)-J1125-K1125-L1125+M1125+IF(C1125=0,Paths!$F$108,0)+IF(IF(Paths!$E$108=0,C1125=0,AND(C1125&gt;0,Paths!$E$108&gt;(C1125-1)*12,Paths!$E$108&lt;=C1125*12)),VLOOKUP(A1125,'Fleet register'!$A$7:$S$106,16,FALSE),0),"n.a."))</f>
        <v>0</v>
      </c>
      <c r="O1125" s="16">
        <f>IF(NOT(Paths!$C$108=1),0,IF(Paths!$P$108="Complete",N1125-IF(C1125=0,Paths!$F$108,0),"n.a."))</f>
        <v>0</v>
      </c>
      <c r="P1125" s="16">
        <f>IF(NOT(Paths!$C$108=1),0,IF(Paths!$P$108="Complete",O1125+L1125,"n.a."))</f>
        <v>0</v>
      </c>
      <c r="Q1125" s="16">
        <f>IF(NOT(Paths!$C$108=1),0,IF(Paths!$P$108="Complete",N1125*(1+'Operating costs'!$B$54)^-C1125,"n.a."))</f>
        <v>0</v>
      </c>
      <c r="R1125" s="16">
        <f>IF(NOT(Paths!$C$108=1),0,IF(Paths!$P$108="Complete",IF(AND(C1125=0,Paths!$E$108=0),I1125-J1125-K1125+VLOOKUP(A1125,'Fleet register'!$A$7:$S$106,15,FALSE)+VLOOKUP(A1125,'Fleet register'!$A$7:$S$106,16,FALSE),0),"n.a."))</f>
        <v>0</v>
      </c>
      <c r="S1125" s="1">
        <f>IF(NOT(Paths!$C$108=1),0,IF(Paths!$P$108="Complete",IF(C1125=0,0,Paths!$S$108*Paths!$R$108),"n.a."))</f>
        <v>0</v>
      </c>
      <c r="T1125" s="1">
        <f>IF(NOT(Paths!$C$108=1),0,IF(Paths!$P$108="Complete",IF(C1125=0,0,VLOOKUP(A1125,'Fleet register'!$A$7:$S$106,9,FALSE)*Paths!$R$108),"n.a."))</f>
        <v>0</v>
      </c>
    </row>
    <row r="1126" spans="1:20" ht="24" customHeight="1">
      <c r="A1126" s="1" t="str">
        <f>Paths!$A$108</f>
        <v>T026</v>
      </c>
      <c r="B1126" s="1">
        <f>Paths!$B$108</f>
        <v>1</v>
      </c>
      <c r="C1126" s="1">
        <v>8</v>
      </c>
      <c r="D1126" s="1">
        <v>108</v>
      </c>
      <c r="E1126" s="1">
        <f>IF(OR(Paths!$C$108=0,C1126=0),0,MAX(0,MIN(C1126*12,Paths!$E$108)-(C1126-1)*12))</f>
        <v>0</v>
      </c>
      <c r="F1126" s="1">
        <f>IF(OR(Paths!$C$108=0,C1126=0),0,12-E1126)</f>
        <v>0</v>
      </c>
      <c r="G1126" s="16">
        <f>IF(NOT(Paths!$C$108=1),0,IF(Paths!$P$108="Complete",E1126/12*(Paths!$J$108*(1+'Operating costs'!$B$51)^MAX(0,C1126-1)+Paths!$K$108*(1+'Operating costs'!$B$53)^MAX(0,C1126-1)),"n.a."))</f>
        <v>0</v>
      </c>
      <c r="H1126" s="16">
        <f>IF(NOT(Paths!$C$108=1),0,IF(Paths!$P$108="Complete",F1126/12*(Paths!$L$108*(1+IF(Paths!$D$108="EV",'Operating costs'!$B$52,'Operating costs'!$B$51))^MAX(0,C1126-1)+Paths!$M$108*(1+'Operating costs'!$B$53)^MAX(0,C1126-1)),"n.a."))</f>
        <v>0</v>
      </c>
      <c r="I1126" s="16">
        <f>IF(NOT(Paths!$C$108=1),0,IF(Paths!$P$108="Complete",IF(IF(Paths!$E$108=0,C1126=0,AND(C1126&gt;0,Paths!$E$108&gt;(C1126-1)*12,Paths!$E$108&lt;=C1126*12)),Paths!$G$108,0),"n.a."))</f>
        <v>0</v>
      </c>
      <c r="J1126" s="16">
        <f>IF(NOT(Paths!$C$108=1),0,IF(Paths!$P$108="Complete",IF(IF(Paths!$E$108=0,C1126=0,AND(C1126&gt;0,Paths!$E$108&gt;(C1126-1)*12,Paths!$E$108&lt;=C1126*12)),Paths!$H$108,0),"n.a."))</f>
        <v>0</v>
      </c>
      <c r="K1126" s="16">
        <f>IF(NOT(Paths!$C$108=1),0,IF(Paths!$P$108="Complete",IF(IF(Paths!$O$108=0,C1126=0,AND(C1126&gt;0,Paths!$O$108&gt;(C1126-1)*12,Paths!$O$108&lt;=C1126*12)),Paths!$N$108,0),"n.a."))</f>
        <v>0</v>
      </c>
      <c r="L1126" s="16">
        <f>IF(NOT(Paths!$C$108=1),0,IF(Paths!$P$108="Complete",IF(C1126=10,Paths!$I$108,0),"n.a."))</f>
        <v>0</v>
      </c>
      <c r="M1126" s="16">
        <f>IF(NOT(Paths!$C$108=1),0,IF(Paths!$P$108="Complete",IF(AND(Paths!$D$108="EV",Paths!$E$108&lt;120,Paths!$E$108+'Operating costs'!$B$65&gt;Paths!$E$108,Paths!$E$108+'Operating costs'!$B$65&lt;=120,IF(Paths!$E$108+'Operating costs'!$B$65=0,C1126=0,AND(C1126&gt;0,Paths!$E$108+'Operating costs'!$B$65&gt;(C1126-1)*12,Paths!$E$108+'Operating costs'!$B$65&lt;=C1126*12))),'Operating costs'!$B$64,0)+IF(AND('Operating costs'!$B$67&gt;0,'Operating costs'!$B$67&lt;=120,OR(Paths!$D$108="ICE",'Operating costs'!$B$67&lt;=Paths!$E$108),IF('Operating costs'!$B$67=0,C1126=0,AND(C1126&gt;0,'Operating costs'!$B$67&gt;(C1126-1)*12,'Operating costs'!$B$67&lt;=C1126*12))),'Operating costs'!$B$66,0),"n.a."))</f>
        <v>0</v>
      </c>
      <c r="N1126" s="16">
        <f>IF(NOT(Paths!$C$108=1),0,IF(Paths!$P$108="Complete",SUM(G1126:I1126)-J1126-K1126-L1126+M1126+IF(C1126=0,Paths!$F$108,0)+IF(IF(Paths!$E$108=0,C1126=0,AND(C1126&gt;0,Paths!$E$108&gt;(C1126-1)*12,Paths!$E$108&lt;=C1126*12)),VLOOKUP(A1126,'Fleet register'!$A$7:$S$106,16,FALSE),0),"n.a."))</f>
        <v>0</v>
      </c>
      <c r="O1126" s="16">
        <f>IF(NOT(Paths!$C$108=1),0,IF(Paths!$P$108="Complete",N1126-IF(C1126=0,Paths!$F$108,0),"n.a."))</f>
        <v>0</v>
      </c>
      <c r="P1126" s="16">
        <f>IF(NOT(Paths!$C$108=1),0,IF(Paths!$P$108="Complete",O1126+L1126,"n.a."))</f>
        <v>0</v>
      </c>
      <c r="Q1126" s="16">
        <f>IF(NOT(Paths!$C$108=1),0,IF(Paths!$P$108="Complete",N1126*(1+'Operating costs'!$B$54)^-C1126,"n.a."))</f>
        <v>0</v>
      </c>
      <c r="R1126" s="16">
        <f>IF(NOT(Paths!$C$108=1),0,IF(Paths!$P$108="Complete",IF(AND(C1126=0,Paths!$E$108=0),I1126-J1126-K1126+VLOOKUP(A1126,'Fleet register'!$A$7:$S$106,15,FALSE)+VLOOKUP(A1126,'Fleet register'!$A$7:$S$106,16,FALSE),0),"n.a."))</f>
        <v>0</v>
      </c>
      <c r="S1126" s="1">
        <f>IF(NOT(Paths!$C$108=1),0,IF(Paths!$P$108="Complete",IF(C1126=0,0,Paths!$S$108*Paths!$R$108),"n.a."))</f>
        <v>0</v>
      </c>
      <c r="T1126" s="1">
        <f>IF(NOT(Paths!$C$108=1),0,IF(Paths!$P$108="Complete",IF(C1126=0,0,VLOOKUP(A1126,'Fleet register'!$A$7:$S$106,9,FALSE)*Paths!$R$108),"n.a."))</f>
        <v>0</v>
      </c>
    </row>
    <row r="1127" spans="1:20" ht="24" customHeight="1">
      <c r="A1127" s="1" t="str">
        <f>Paths!$A$108</f>
        <v>T026</v>
      </c>
      <c r="B1127" s="1">
        <f>Paths!$B$108</f>
        <v>1</v>
      </c>
      <c r="C1127" s="1">
        <v>9</v>
      </c>
      <c r="D1127" s="1">
        <v>108</v>
      </c>
      <c r="E1127" s="1">
        <f>IF(OR(Paths!$C$108=0,C1127=0),0,MAX(0,MIN(C1127*12,Paths!$E$108)-(C1127-1)*12))</f>
        <v>0</v>
      </c>
      <c r="F1127" s="1">
        <f>IF(OR(Paths!$C$108=0,C1127=0),0,12-E1127)</f>
        <v>0</v>
      </c>
      <c r="G1127" s="16">
        <f>IF(NOT(Paths!$C$108=1),0,IF(Paths!$P$108="Complete",E1127/12*(Paths!$J$108*(1+'Operating costs'!$B$51)^MAX(0,C1127-1)+Paths!$K$108*(1+'Operating costs'!$B$53)^MAX(0,C1127-1)),"n.a."))</f>
        <v>0</v>
      </c>
      <c r="H1127" s="16">
        <f>IF(NOT(Paths!$C$108=1),0,IF(Paths!$P$108="Complete",F1127/12*(Paths!$L$108*(1+IF(Paths!$D$108="EV",'Operating costs'!$B$52,'Operating costs'!$B$51))^MAX(0,C1127-1)+Paths!$M$108*(1+'Operating costs'!$B$53)^MAX(0,C1127-1)),"n.a."))</f>
        <v>0</v>
      </c>
      <c r="I1127" s="16">
        <f>IF(NOT(Paths!$C$108=1),0,IF(Paths!$P$108="Complete",IF(IF(Paths!$E$108=0,C1127=0,AND(C1127&gt;0,Paths!$E$108&gt;(C1127-1)*12,Paths!$E$108&lt;=C1127*12)),Paths!$G$108,0),"n.a."))</f>
        <v>0</v>
      </c>
      <c r="J1127" s="16">
        <f>IF(NOT(Paths!$C$108=1),0,IF(Paths!$P$108="Complete",IF(IF(Paths!$E$108=0,C1127=0,AND(C1127&gt;0,Paths!$E$108&gt;(C1127-1)*12,Paths!$E$108&lt;=C1127*12)),Paths!$H$108,0),"n.a."))</f>
        <v>0</v>
      </c>
      <c r="K1127" s="16">
        <f>IF(NOT(Paths!$C$108=1),0,IF(Paths!$P$108="Complete",IF(IF(Paths!$O$108=0,C1127=0,AND(C1127&gt;0,Paths!$O$108&gt;(C1127-1)*12,Paths!$O$108&lt;=C1127*12)),Paths!$N$108,0),"n.a."))</f>
        <v>0</v>
      </c>
      <c r="L1127" s="16">
        <f>IF(NOT(Paths!$C$108=1),0,IF(Paths!$P$108="Complete",IF(C1127=10,Paths!$I$108,0),"n.a."))</f>
        <v>0</v>
      </c>
      <c r="M1127" s="16">
        <f>IF(NOT(Paths!$C$108=1),0,IF(Paths!$P$108="Complete",IF(AND(Paths!$D$108="EV",Paths!$E$108&lt;120,Paths!$E$108+'Operating costs'!$B$65&gt;Paths!$E$108,Paths!$E$108+'Operating costs'!$B$65&lt;=120,IF(Paths!$E$108+'Operating costs'!$B$65=0,C1127=0,AND(C1127&gt;0,Paths!$E$108+'Operating costs'!$B$65&gt;(C1127-1)*12,Paths!$E$108+'Operating costs'!$B$65&lt;=C1127*12))),'Operating costs'!$B$64,0)+IF(AND('Operating costs'!$B$67&gt;0,'Operating costs'!$B$67&lt;=120,OR(Paths!$D$108="ICE",'Operating costs'!$B$67&lt;=Paths!$E$108),IF('Operating costs'!$B$67=0,C1127=0,AND(C1127&gt;0,'Operating costs'!$B$67&gt;(C1127-1)*12,'Operating costs'!$B$67&lt;=C1127*12))),'Operating costs'!$B$66,0),"n.a."))</f>
        <v>0</v>
      </c>
      <c r="N1127" s="16">
        <f>IF(NOT(Paths!$C$108=1),0,IF(Paths!$P$108="Complete",SUM(G1127:I1127)-J1127-K1127-L1127+M1127+IF(C1127=0,Paths!$F$108,0)+IF(IF(Paths!$E$108=0,C1127=0,AND(C1127&gt;0,Paths!$E$108&gt;(C1127-1)*12,Paths!$E$108&lt;=C1127*12)),VLOOKUP(A1127,'Fleet register'!$A$7:$S$106,16,FALSE),0),"n.a."))</f>
        <v>0</v>
      </c>
      <c r="O1127" s="16">
        <f>IF(NOT(Paths!$C$108=1),0,IF(Paths!$P$108="Complete",N1127-IF(C1127=0,Paths!$F$108,0),"n.a."))</f>
        <v>0</v>
      </c>
      <c r="P1127" s="16">
        <f>IF(NOT(Paths!$C$108=1),0,IF(Paths!$P$108="Complete",O1127+L1127,"n.a."))</f>
        <v>0</v>
      </c>
      <c r="Q1127" s="16">
        <f>IF(NOT(Paths!$C$108=1),0,IF(Paths!$P$108="Complete",N1127*(1+'Operating costs'!$B$54)^-C1127,"n.a."))</f>
        <v>0</v>
      </c>
      <c r="R1127" s="16">
        <f>IF(NOT(Paths!$C$108=1),0,IF(Paths!$P$108="Complete",IF(AND(C1127=0,Paths!$E$108=0),I1127-J1127-K1127+VLOOKUP(A1127,'Fleet register'!$A$7:$S$106,15,FALSE)+VLOOKUP(A1127,'Fleet register'!$A$7:$S$106,16,FALSE),0),"n.a."))</f>
        <v>0</v>
      </c>
      <c r="S1127" s="1">
        <f>IF(NOT(Paths!$C$108=1),0,IF(Paths!$P$108="Complete",IF(C1127=0,0,Paths!$S$108*Paths!$R$108),"n.a."))</f>
        <v>0</v>
      </c>
      <c r="T1127" s="1">
        <f>IF(NOT(Paths!$C$108=1),0,IF(Paths!$P$108="Complete",IF(C1127=0,0,VLOOKUP(A1127,'Fleet register'!$A$7:$S$106,9,FALSE)*Paths!$R$108),"n.a."))</f>
        <v>0</v>
      </c>
    </row>
    <row r="1128" spans="1:20" ht="24" customHeight="1">
      <c r="A1128" s="1" t="str">
        <f>Paths!$A$108</f>
        <v>T026</v>
      </c>
      <c r="B1128" s="1">
        <f>Paths!$B$108</f>
        <v>1</v>
      </c>
      <c r="C1128" s="1">
        <v>10</v>
      </c>
      <c r="D1128" s="1">
        <v>108</v>
      </c>
      <c r="E1128" s="1">
        <f>IF(OR(Paths!$C$108=0,C1128=0),0,MAX(0,MIN(C1128*12,Paths!$E$108)-(C1128-1)*12))</f>
        <v>0</v>
      </c>
      <c r="F1128" s="1">
        <f>IF(OR(Paths!$C$108=0,C1128=0),0,12-E1128)</f>
        <v>0</v>
      </c>
      <c r="G1128" s="16">
        <f>IF(NOT(Paths!$C$108=1),0,IF(Paths!$P$108="Complete",E1128/12*(Paths!$J$108*(1+'Operating costs'!$B$51)^MAX(0,C1128-1)+Paths!$K$108*(1+'Operating costs'!$B$53)^MAX(0,C1128-1)),"n.a."))</f>
        <v>0</v>
      </c>
      <c r="H1128" s="16">
        <f>IF(NOT(Paths!$C$108=1),0,IF(Paths!$P$108="Complete",F1128/12*(Paths!$L$108*(1+IF(Paths!$D$108="EV",'Operating costs'!$B$52,'Operating costs'!$B$51))^MAX(0,C1128-1)+Paths!$M$108*(1+'Operating costs'!$B$53)^MAX(0,C1128-1)),"n.a."))</f>
        <v>0</v>
      </c>
      <c r="I1128" s="16">
        <f>IF(NOT(Paths!$C$108=1),0,IF(Paths!$P$108="Complete",IF(IF(Paths!$E$108=0,C1128=0,AND(C1128&gt;0,Paths!$E$108&gt;(C1128-1)*12,Paths!$E$108&lt;=C1128*12)),Paths!$G$108,0),"n.a."))</f>
        <v>0</v>
      </c>
      <c r="J1128" s="16">
        <f>IF(NOT(Paths!$C$108=1),0,IF(Paths!$P$108="Complete",IF(IF(Paths!$E$108=0,C1128=0,AND(C1128&gt;0,Paths!$E$108&gt;(C1128-1)*12,Paths!$E$108&lt;=C1128*12)),Paths!$H$108,0),"n.a."))</f>
        <v>0</v>
      </c>
      <c r="K1128" s="16">
        <f>IF(NOT(Paths!$C$108=1),0,IF(Paths!$P$108="Complete",IF(IF(Paths!$O$108=0,C1128=0,AND(C1128&gt;0,Paths!$O$108&gt;(C1128-1)*12,Paths!$O$108&lt;=C1128*12)),Paths!$N$108,0),"n.a."))</f>
        <v>0</v>
      </c>
      <c r="L1128" s="16">
        <f>IF(NOT(Paths!$C$108=1),0,IF(Paths!$P$108="Complete",IF(C1128=10,Paths!$I$108,0),"n.a."))</f>
        <v>0</v>
      </c>
      <c r="M1128" s="16">
        <f>IF(NOT(Paths!$C$108=1),0,IF(Paths!$P$108="Complete",IF(AND(Paths!$D$108="EV",Paths!$E$108&lt;120,Paths!$E$108+'Operating costs'!$B$65&gt;Paths!$E$108,Paths!$E$108+'Operating costs'!$B$65&lt;=120,IF(Paths!$E$108+'Operating costs'!$B$65=0,C1128=0,AND(C1128&gt;0,Paths!$E$108+'Operating costs'!$B$65&gt;(C1128-1)*12,Paths!$E$108+'Operating costs'!$B$65&lt;=C1128*12))),'Operating costs'!$B$64,0)+IF(AND('Operating costs'!$B$67&gt;0,'Operating costs'!$B$67&lt;=120,OR(Paths!$D$108="ICE",'Operating costs'!$B$67&lt;=Paths!$E$108),IF('Operating costs'!$B$67=0,C1128=0,AND(C1128&gt;0,'Operating costs'!$B$67&gt;(C1128-1)*12,'Operating costs'!$B$67&lt;=C1128*12))),'Operating costs'!$B$66,0),"n.a."))</f>
        <v>0</v>
      </c>
      <c r="N1128" s="16">
        <f>IF(NOT(Paths!$C$108=1),0,IF(Paths!$P$108="Complete",SUM(G1128:I1128)-J1128-K1128-L1128+M1128+IF(C1128=0,Paths!$F$108,0)+IF(IF(Paths!$E$108=0,C1128=0,AND(C1128&gt;0,Paths!$E$108&gt;(C1128-1)*12,Paths!$E$108&lt;=C1128*12)),VLOOKUP(A1128,'Fleet register'!$A$7:$S$106,16,FALSE),0),"n.a."))</f>
        <v>0</v>
      </c>
      <c r="O1128" s="16">
        <f>IF(NOT(Paths!$C$108=1),0,IF(Paths!$P$108="Complete",N1128-IF(C1128=0,Paths!$F$108,0),"n.a."))</f>
        <v>0</v>
      </c>
      <c r="P1128" s="16">
        <f>IF(NOT(Paths!$C$108=1),0,IF(Paths!$P$108="Complete",O1128+L1128,"n.a."))</f>
        <v>0</v>
      </c>
      <c r="Q1128" s="16">
        <f>IF(NOT(Paths!$C$108=1),0,IF(Paths!$P$108="Complete",N1128*(1+'Operating costs'!$B$54)^-C1128,"n.a."))</f>
        <v>0</v>
      </c>
      <c r="R1128" s="16">
        <f>IF(NOT(Paths!$C$108=1),0,IF(Paths!$P$108="Complete",IF(AND(C1128=0,Paths!$E$108=0),I1128-J1128-K1128+VLOOKUP(A1128,'Fleet register'!$A$7:$S$106,15,FALSE)+VLOOKUP(A1128,'Fleet register'!$A$7:$S$106,16,FALSE),0),"n.a."))</f>
        <v>0</v>
      </c>
      <c r="S1128" s="1">
        <f>IF(NOT(Paths!$C$108=1),0,IF(Paths!$P$108="Complete",IF(C1128=0,0,Paths!$S$108*Paths!$R$108),"n.a."))</f>
        <v>0</v>
      </c>
      <c r="T1128" s="1">
        <f>IF(NOT(Paths!$C$108=1),0,IF(Paths!$P$108="Complete",IF(C1128=0,0,VLOOKUP(A1128,'Fleet register'!$A$7:$S$106,9,FALSE)*Paths!$R$108),"n.a."))</f>
        <v>0</v>
      </c>
    </row>
    <row r="1129" spans="1:20" ht="24" customHeight="1">
      <c r="A1129" s="1" t="str">
        <f>Paths!$A$109</f>
        <v>T026</v>
      </c>
      <c r="B1129" s="1">
        <f>Paths!$B$109</f>
        <v>2</v>
      </c>
      <c r="C1129" s="1">
        <v>0</v>
      </c>
      <c r="D1129" s="1">
        <v>109</v>
      </c>
      <c r="E1129" s="1">
        <f>IF(OR(Paths!$C$109=0,C1129=0),0,MAX(0,MIN(C1129*12,Paths!$E$109)-(C1129-1)*12))</f>
        <v>0</v>
      </c>
      <c r="F1129" s="1">
        <f>IF(OR(Paths!$C$109=0,C1129=0),0,12-E1129)</f>
        <v>0</v>
      </c>
      <c r="G1129" s="16">
        <f>IF(NOT(Paths!$C$109=1),0,IF(Paths!$P$109="Complete",E1129/12*(Paths!$J$109*(1+'Operating costs'!$B$51)^MAX(0,C1129-1)+Paths!$K$109*(1+'Operating costs'!$B$53)^MAX(0,C1129-1)),"n.a."))</f>
        <v>0</v>
      </c>
      <c r="H1129" s="16">
        <f>IF(NOT(Paths!$C$109=1),0,IF(Paths!$P$109="Complete",F1129/12*(Paths!$L$109*(1+IF(Paths!$D$109="EV",'Operating costs'!$B$52,'Operating costs'!$B$51))^MAX(0,C1129-1)+Paths!$M$109*(1+'Operating costs'!$B$53)^MAX(0,C1129-1)),"n.a."))</f>
        <v>0</v>
      </c>
      <c r="I1129" s="16">
        <f>IF(NOT(Paths!$C$109=1),0,IF(Paths!$P$109="Complete",IF(IF(Paths!$E$109=0,C1129=0,AND(C1129&gt;0,Paths!$E$109&gt;(C1129-1)*12,Paths!$E$109&lt;=C1129*12)),Paths!$G$109,0),"n.a."))</f>
        <v>0</v>
      </c>
      <c r="J1129" s="16">
        <f>IF(NOT(Paths!$C$109=1),0,IF(Paths!$P$109="Complete",IF(IF(Paths!$E$109=0,C1129=0,AND(C1129&gt;0,Paths!$E$109&gt;(C1129-1)*12,Paths!$E$109&lt;=C1129*12)),Paths!$H$109,0),"n.a."))</f>
        <v>0</v>
      </c>
      <c r="K1129" s="16">
        <f>IF(NOT(Paths!$C$109=1),0,IF(Paths!$P$109="Complete",IF(IF(Paths!$O$109=0,C1129=0,AND(C1129&gt;0,Paths!$O$109&gt;(C1129-1)*12,Paths!$O$109&lt;=C1129*12)),Paths!$N$109,0),"n.a."))</f>
        <v>0</v>
      </c>
      <c r="L1129" s="16">
        <f>IF(NOT(Paths!$C$109=1),0,IF(Paths!$P$109="Complete",IF(C1129=10,Paths!$I$109,0),"n.a."))</f>
        <v>0</v>
      </c>
      <c r="M1129" s="16">
        <f>IF(NOT(Paths!$C$109=1),0,IF(Paths!$P$109="Complete",IF(AND(Paths!$D$109="EV",Paths!$E$109&lt;120,Paths!$E$109+'Operating costs'!$B$65&gt;Paths!$E$109,Paths!$E$109+'Operating costs'!$B$65&lt;=120,IF(Paths!$E$109+'Operating costs'!$B$65=0,C1129=0,AND(C1129&gt;0,Paths!$E$109+'Operating costs'!$B$65&gt;(C1129-1)*12,Paths!$E$109+'Operating costs'!$B$65&lt;=C1129*12))),'Operating costs'!$B$64,0)+IF(AND('Operating costs'!$B$67&gt;0,'Operating costs'!$B$67&lt;=120,OR(Paths!$D$109="ICE",'Operating costs'!$B$67&lt;=Paths!$E$109),IF('Operating costs'!$B$67=0,C1129=0,AND(C1129&gt;0,'Operating costs'!$B$67&gt;(C1129-1)*12,'Operating costs'!$B$67&lt;=C1129*12))),'Operating costs'!$B$66,0),"n.a."))</f>
        <v>0</v>
      </c>
      <c r="N1129" s="16">
        <f>IF(NOT(Paths!$C$109=1),0,IF(Paths!$P$109="Complete",SUM(G1129:I1129)-J1129-K1129-L1129+M1129+IF(C1129=0,Paths!$F$109,0)+IF(IF(Paths!$E$109=0,C1129=0,AND(C1129&gt;0,Paths!$E$109&gt;(C1129-1)*12,Paths!$E$109&lt;=C1129*12)),VLOOKUP(A1129,'Fleet register'!$A$7:$S$106,16,FALSE),0),"n.a."))</f>
        <v>0</v>
      </c>
      <c r="O1129" s="16">
        <f>IF(NOT(Paths!$C$109=1),0,IF(Paths!$P$109="Complete",N1129-IF(C1129=0,Paths!$F$109,0),"n.a."))</f>
        <v>0</v>
      </c>
      <c r="P1129" s="16">
        <f>IF(NOT(Paths!$C$109=1),0,IF(Paths!$P$109="Complete",O1129+L1129,"n.a."))</f>
        <v>0</v>
      </c>
      <c r="Q1129" s="16">
        <f>IF(NOT(Paths!$C$109=1),0,IF(Paths!$P$109="Complete",N1129*(1+'Operating costs'!$B$54)^-C1129,"n.a."))</f>
        <v>0</v>
      </c>
      <c r="R1129" s="16">
        <f>IF(NOT(Paths!$C$109=1),0,IF(Paths!$P$109="Complete",IF(AND(C1129=0,Paths!$E$109=0),I1129-J1129-K1129+VLOOKUP(A1129,'Fleet register'!$A$7:$S$106,15,FALSE)+VLOOKUP(A1129,'Fleet register'!$A$7:$S$106,16,FALSE),0),"n.a."))</f>
        <v>0</v>
      </c>
      <c r="S1129" s="1">
        <f>IF(NOT(Paths!$C$109=1),0,IF(Paths!$P$109="Complete",IF(C1129=0,0,Paths!$S$109*Paths!$R$109),"n.a."))</f>
        <v>0</v>
      </c>
      <c r="T1129" s="1">
        <f>IF(NOT(Paths!$C$109=1),0,IF(Paths!$P$109="Complete",IF(C1129=0,0,VLOOKUP(A1129,'Fleet register'!$A$7:$S$106,9,FALSE)*Paths!$R$109),"n.a."))</f>
        <v>0</v>
      </c>
    </row>
    <row r="1130" spans="1:20" ht="24" customHeight="1">
      <c r="A1130" s="1" t="str">
        <f>Paths!$A$109</f>
        <v>T026</v>
      </c>
      <c r="B1130" s="1">
        <f>Paths!$B$109</f>
        <v>2</v>
      </c>
      <c r="C1130" s="1">
        <v>1</v>
      </c>
      <c r="D1130" s="1">
        <v>109</v>
      </c>
      <c r="E1130" s="1">
        <f>IF(OR(Paths!$C$109=0,C1130=0),0,MAX(0,MIN(C1130*12,Paths!$E$109)-(C1130-1)*12))</f>
        <v>0</v>
      </c>
      <c r="F1130" s="1">
        <f>IF(OR(Paths!$C$109=0,C1130=0),0,12-E1130)</f>
        <v>0</v>
      </c>
      <c r="G1130" s="16">
        <f>IF(NOT(Paths!$C$109=1),0,IF(Paths!$P$109="Complete",E1130/12*(Paths!$J$109*(1+'Operating costs'!$B$51)^MAX(0,C1130-1)+Paths!$K$109*(1+'Operating costs'!$B$53)^MAX(0,C1130-1)),"n.a."))</f>
        <v>0</v>
      </c>
      <c r="H1130" s="16">
        <f>IF(NOT(Paths!$C$109=1),0,IF(Paths!$P$109="Complete",F1130/12*(Paths!$L$109*(1+IF(Paths!$D$109="EV",'Operating costs'!$B$52,'Operating costs'!$B$51))^MAX(0,C1130-1)+Paths!$M$109*(1+'Operating costs'!$B$53)^MAX(0,C1130-1)),"n.a."))</f>
        <v>0</v>
      </c>
      <c r="I1130" s="16">
        <f>IF(NOT(Paths!$C$109=1),0,IF(Paths!$P$109="Complete",IF(IF(Paths!$E$109=0,C1130=0,AND(C1130&gt;0,Paths!$E$109&gt;(C1130-1)*12,Paths!$E$109&lt;=C1130*12)),Paths!$G$109,0),"n.a."))</f>
        <v>0</v>
      </c>
      <c r="J1130" s="16">
        <f>IF(NOT(Paths!$C$109=1),0,IF(Paths!$P$109="Complete",IF(IF(Paths!$E$109=0,C1130=0,AND(C1130&gt;0,Paths!$E$109&gt;(C1130-1)*12,Paths!$E$109&lt;=C1130*12)),Paths!$H$109,0),"n.a."))</f>
        <v>0</v>
      </c>
      <c r="K1130" s="16">
        <f>IF(NOT(Paths!$C$109=1),0,IF(Paths!$P$109="Complete",IF(IF(Paths!$O$109=0,C1130=0,AND(C1130&gt;0,Paths!$O$109&gt;(C1130-1)*12,Paths!$O$109&lt;=C1130*12)),Paths!$N$109,0),"n.a."))</f>
        <v>0</v>
      </c>
      <c r="L1130" s="16">
        <f>IF(NOT(Paths!$C$109=1),0,IF(Paths!$P$109="Complete",IF(C1130=10,Paths!$I$109,0),"n.a."))</f>
        <v>0</v>
      </c>
      <c r="M1130" s="16">
        <f>IF(NOT(Paths!$C$109=1),0,IF(Paths!$P$109="Complete",IF(AND(Paths!$D$109="EV",Paths!$E$109&lt;120,Paths!$E$109+'Operating costs'!$B$65&gt;Paths!$E$109,Paths!$E$109+'Operating costs'!$B$65&lt;=120,IF(Paths!$E$109+'Operating costs'!$B$65=0,C1130=0,AND(C1130&gt;0,Paths!$E$109+'Operating costs'!$B$65&gt;(C1130-1)*12,Paths!$E$109+'Operating costs'!$B$65&lt;=C1130*12))),'Operating costs'!$B$64,0)+IF(AND('Operating costs'!$B$67&gt;0,'Operating costs'!$B$67&lt;=120,OR(Paths!$D$109="ICE",'Operating costs'!$B$67&lt;=Paths!$E$109),IF('Operating costs'!$B$67=0,C1130=0,AND(C1130&gt;0,'Operating costs'!$B$67&gt;(C1130-1)*12,'Operating costs'!$B$67&lt;=C1130*12))),'Operating costs'!$B$66,0),"n.a."))</f>
        <v>0</v>
      </c>
      <c r="N1130" s="16">
        <f>IF(NOT(Paths!$C$109=1),0,IF(Paths!$P$109="Complete",SUM(G1130:I1130)-J1130-K1130-L1130+M1130+IF(C1130=0,Paths!$F$109,0)+IF(IF(Paths!$E$109=0,C1130=0,AND(C1130&gt;0,Paths!$E$109&gt;(C1130-1)*12,Paths!$E$109&lt;=C1130*12)),VLOOKUP(A1130,'Fleet register'!$A$7:$S$106,16,FALSE),0),"n.a."))</f>
        <v>0</v>
      </c>
      <c r="O1130" s="16">
        <f>IF(NOT(Paths!$C$109=1),0,IF(Paths!$P$109="Complete",N1130-IF(C1130=0,Paths!$F$109,0),"n.a."))</f>
        <v>0</v>
      </c>
      <c r="P1130" s="16">
        <f>IF(NOT(Paths!$C$109=1),0,IF(Paths!$P$109="Complete",O1130+L1130,"n.a."))</f>
        <v>0</v>
      </c>
      <c r="Q1130" s="16">
        <f>IF(NOT(Paths!$C$109=1),0,IF(Paths!$P$109="Complete",N1130*(1+'Operating costs'!$B$54)^-C1130,"n.a."))</f>
        <v>0</v>
      </c>
      <c r="R1130" s="16">
        <f>IF(NOT(Paths!$C$109=1),0,IF(Paths!$P$109="Complete",IF(AND(C1130=0,Paths!$E$109=0),I1130-J1130-K1130+VLOOKUP(A1130,'Fleet register'!$A$7:$S$106,15,FALSE)+VLOOKUP(A1130,'Fleet register'!$A$7:$S$106,16,FALSE),0),"n.a."))</f>
        <v>0</v>
      </c>
      <c r="S1130" s="1">
        <f>IF(NOT(Paths!$C$109=1),0,IF(Paths!$P$109="Complete",IF(C1130=0,0,Paths!$S$109*Paths!$R$109),"n.a."))</f>
        <v>0</v>
      </c>
      <c r="T1130" s="1">
        <f>IF(NOT(Paths!$C$109=1),0,IF(Paths!$P$109="Complete",IF(C1130=0,0,VLOOKUP(A1130,'Fleet register'!$A$7:$S$106,9,FALSE)*Paths!$R$109),"n.a."))</f>
        <v>0</v>
      </c>
    </row>
    <row r="1131" spans="1:20" ht="24" customHeight="1">
      <c r="A1131" s="1" t="str">
        <f>Paths!$A$109</f>
        <v>T026</v>
      </c>
      <c r="B1131" s="1">
        <f>Paths!$B$109</f>
        <v>2</v>
      </c>
      <c r="C1131" s="1">
        <v>2</v>
      </c>
      <c r="D1131" s="1">
        <v>109</v>
      </c>
      <c r="E1131" s="1">
        <f>IF(OR(Paths!$C$109=0,C1131=0),0,MAX(0,MIN(C1131*12,Paths!$E$109)-(C1131-1)*12))</f>
        <v>0</v>
      </c>
      <c r="F1131" s="1">
        <f>IF(OR(Paths!$C$109=0,C1131=0),0,12-E1131)</f>
        <v>0</v>
      </c>
      <c r="G1131" s="16">
        <f>IF(NOT(Paths!$C$109=1),0,IF(Paths!$P$109="Complete",E1131/12*(Paths!$J$109*(1+'Operating costs'!$B$51)^MAX(0,C1131-1)+Paths!$K$109*(1+'Operating costs'!$B$53)^MAX(0,C1131-1)),"n.a."))</f>
        <v>0</v>
      </c>
      <c r="H1131" s="16">
        <f>IF(NOT(Paths!$C$109=1),0,IF(Paths!$P$109="Complete",F1131/12*(Paths!$L$109*(1+IF(Paths!$D$109="EV",'Operating costs'!$B$52,'Operating costs'!$B$51))^MAX(0,C1131-1)+Paths!$M$109*(1+'Operating costs'!$B$53)^MAX(0,C1131-1)),"n.a."))</f>
        <v>0</v>
      </c>
      <c r="I1131" s="16">
        <f>IF(NOT(Paths!$C$109=1),0,IF(Paths!$P$109="Complete",IF(IF(Paths!$E$109=0,C1131=0,AND(C1131&gt;0,Paths!$E$109&gt;(C1131-1)*12,Paths!$E$109&lt;=C1131*12)),Paths!$G$109,0),"n.a."))</f>
        <v>0</v>
      </c>
      <c r="J1131" s="16">
        <f>IF(NOT(Paths!$C$109=1),0,IF(Paths!$P$109="Complete",IF(IF(Paths!$E$109=0,C1131=0,AND(C1131&gt;0,Paths!$E$109&gt;(C1131-1)*12,Paths!$E$109&lt;=C1131*12)),Paths!$H$109,0),"n.a."))</f>
        <v>0</v>
      </c>
      <c r="K1131" s="16">
        <f>IF(NOT(Paths!$C$109=1),0,IF(Paths!$P$109="Complete",IF(IF(Paths!$O$109=0,C1131=0,AND(C1131&gt;0,Paths!$O$109&gt;(C1131-1)*12,Paths!$O$109&lt;=C1131*12)),Paths!$N$109,0),"n.a."))</f>
        <v>0</v>
      </c>
      <c r="L1131" s="16">
        <f>IF(NOT(Paths!$C$109=1),0,IF(Paths!$P$109="Complete",IF(C1131=10,Paths!$I$109,0),"n.a."))</f>
        <v>0</v>
      </c>
      <c r="M1131" s="16">
        <f>IF(NOT(Paths!$C$109=1),0,IF(Paths!$P$109="Complete",IF(AND(Paths!$D$109="EV",Paths!$E$109&lt;120,Paths!$E$109+'Operating costs'!$B$65&gt;Paths!$E$109,Paths!$E$109+'Operating costs'!$B$65&lt;=120,IF(Paths!$E$109+'Operating costs'!$B$65=0,C1131=0,AND(C1131&gt;0,Paths!$E$109+'Operating costs'!$B$65&gt;(C1131-1)*12,Paths!$E$109+'Operating costs'!$B$65&lt;=C1131*12))),'Operating costs'!$B$64,0)+IF(AND('Operating costs'!$B$67&gt;0,'Operating costs'!$B$67&lt;=120,OR(Paths!$D$109="ICE",'Operating costs'!$B$67&lt;=Paths!$E$109),IF('Operating costs'!$B$67=0,C1131=0,AND(C1131&gt;0,'Operating costs'!$B$67&gt;(C1131-1)*12,'Operating costs'!$B$67&lt;=C1131*12))),'Operating costs'!$B$66,0),"n.a."))</f>
        <v>0</v>
      </c>
      <c r="N1131" s="16">
        <f>IF(NOT(Paths!$C$109=1),0,IF(Paths!$P$109="Complete",SUM(G1131:I1131)-J1131-K1131-L1131+M1131+IF(C1131=0,Paths!$F$109,0)+IF(IF(Paths!$E$109=0,C1131=0,AND(C1131&gt;0,Paths!$E$109&gt;(C1131-1)*12,Paths!$E$109&lt;=C1131*12)),VLOOKUP(A1131,'Fleet register'!$A$7:$S$106,16,FALSE),0),"n.a."))</f>
        <v>0</v>
      </c>
      <c r="O1131" s="16">
        <f>IF(NOT(Paths!$C$109=1),0,IF(Paths!$P$109="Complete",N1131-IF(C1131=0,Paths!$F$109,0),"n.a."))</f>
        <v>0</v>
      </c>
      <c r="P1131" s="16">
        <f>IF(NOT(Paths!$C$109=1),0,IF(Paths!$P$109="Complete",O1131+L1131,"n.a."))</f>
        <v>0</v>
      </c>
      <c r="Q1131" s="16">
        <f>IF(NOT(Paths!$C$109=1),0,IF(Paths!$P$109="Complete",N1131*(1+'Operating costs'!$B$54)^-C1131,"n.a."))</f>
        <v>0</v>
      </c>
      <c r="R1131" s="16">
        <f>IF(NOT(Paths!$C$109=1),0,IF(Paths!$P$109="Complete",IF(AND(C1131=0,Paths!$E$109=0),I1131-J1131-K1131+VLOOKUP(A1131,'Fleet register'!$A$7:$S$106,15,FALSE)+VLOOKUP(A1131,'Fleet register'!$A$7:$S$106,16,FALSE),0),"n.a."))</f>
        <v>0</v>
      </c>
      <c r="S1131" s="1">
        <f>IF(NOT(Paths!$C$109=1),0,IF(Paths!$P$109="Complete",IF(C1131=0,0,Paths!$S$109*Paths!$R$109),"n.a."))</f>
        <v>0</v>
      </c>
      <c r="T1131" s="1">
        <f>IF(NOT(Paths!$C$109=1),0,IF(Paths!$P$109="Complete",IF(C1131=0,0,VLOOKUP(A1131,'Fleet register'!$A$7:$S$106,9,FALSE)*Paths!$R$109),"n.a."))</f>
        <v>0</v>
      </c>
    </row>
    <row r="1132" spans="1:20" ht="24" customHeight="1">
      <c r="A1132" s="1" t="str">
        <f>Paths!$A$109</f>
        <v>T026</v>
      </c>
      <c r="B1132" s="1">
        <f>Paths!$B$109</f>
        <v>2</v>
      </c>
      <c r="C1132" s="1">
        <v>3</v>
      </c>
      <c r="D1132" s="1">
        <v>109</v>
      </c>
      <c r="E1132" s="1">
        <f>IF(OR(Paths!$C$109=0,C1132=0),0,MAX(0,MIN(C1132*12,Paths!$E$109)-(C1132-1)*12))</f>
        <v>0</v>
      </c>
      <c r="F1132" s="1">
        <f>IF(OR(Paths!$C$109=0,C1132=0),0,12-E1132)</f>
        <v>0</v>
      </c>
      <c r="G1132" s="16">
        <f>IF(NOT(Paths!$C$109=1),0,IF(Paths!$P$109="Complete",E1132/12*(Paths!$J$109*(1+'Operating costs'!$B$51)^MAX(0,C1132-1)+Paths!$K$109*(1+'Operating costs'!$B$53)^MAX(0,C1132-1)),"n.a."))</f>
        <v>0</v>
      </c>
      <c r="H1132" s="16">
        <f>IF(NOT(Paths!$C$109=1),0,IF(Paths!$P$109="Complete",F1132/12*(Paths!$L$109*(1+IF(Paths!$D$109="EV",'Operating costs'!$B$52,'Operating costs'!$B$51))^MAX(0,C1132-1)+Paths!$M$109*(1+'Operating costs'!$B$53)^MAX(0,C1132-1)),"n.a."))</f>
        <v>0</v>
      </c>
      <c r="I1132" s="16">
        <f>IF(NOT(Paths!$C$109=1),0,IF(Paths!$P$109="Complete",IF(IF(Paths!$E$109=0,C1132=0,AND(C1132&gt;0,Paths!$E$109&gt;(C1132-1)*12,Paths!$E$109&lt;=C1132*12)),Paths!$G$109,0),"n.a."))</f>
        <v>0</v>
      </c>
      <c r="J1132" s="16">
        <f>IF(NOT(Paths!$C$109=1),0,IF(Paths!$P$109="Complete",IF(IF(Paths!$E$109=0,C1132=0,AND(C1132&gt;0,Paths!$E$109&gt;(C1132-1)*12,Paths!$E$109&lt;=C1132*12)),Paths!$H$109,0),"n.a."))</f>
        <v>0</v>
      </c>
      <c r="K1132" s="16">
        <f>IF(NOT(Paths!$C$109=1),0,IF(Paths!$P$109="Complete",IF(IF(Paths!$O$109=0,C1132=0,AND(C1132&gt;0,Paths!$O$109&gt;(C1132-1)*12,Paths!$O$109&lt;=C1132*12)),Paths!$N$109,0),"n.a."))</f>
        <v>0</v>
      </c>
      <c r="L1132" s="16">
        <f>IF(NOT(Paths!$C$109=1),0,IF(Paths!$P$109="Complete",IF(C1132=10,Paths!$I$109,0),"n.a."))</f>
        <v>0</v>
      </c>
      <c r="M1132" s="16">
        <f>IF(NOT(Paths!$C$109=1),0,IF(Paths!$P$109="Complete",IF(AND(Paths!$D$109="EV",Paths!$E$109&lt;120,Paths!$E$109+'Operating costs'!$B$65&gt;Paths!$E$109,Paths!$E$109+'Operating costs'!$B$65&lt;=120,IF(Paths!$E$109+'Operating costs'!$B$65=0,C1132=0,AND(C1132&gt;0,Paths!$E$109+'Operating costs'!$B$65&gt;(C1132-1)*12,Paths!$E$109+'Operating costs'!$B$65&lt;=C1132*12))),'Operating costs'!$B$64,0)+IF(AND('Operating costs'!$B$67&gt;0,'Operating costs'!$B$67&lt;=120,OR(Paths!$D$109="ICE",'Operating costs'!$B$67&lt;=Paths!$E$109),IF('Operating costs'!$B$67=0,C1132=0,AND(C1132&gt;0,'Operating costs'!$B$67&gt;(C1132-1)*12,'Operating costs'!$B$67&lt;=C1132*12))),'Operating costs'!$B$66,0),"n.a."))</f>
        <v>0</v>
      </c>
      <c r="N1132" s="16">
        <f>IF(NOT(Paths!$C$109=1),0,IF(Paths!$P$109="Complete",SUM(G1132:I1132)-J1132-K1132-L1132+M1132+IF(C1132=0,Paths!$F$109,0)+IF(IF(Paths!$E$109=0,C1132=0,AND(C1132&gt;0,Paths!$E$109&gt;(C1132-1)*12,Paths!$E$109&lt;=C1132*12)),VLOOKUP(A1132,'Fleet register'!$A$7:$S$106,16,FALSE),0),"n.a."))</f>
        <v>0</v>
      </c>
      <c r="O1132" s="16">
        <f>IF(NOT(Paths!$C$109=1),0,IF(Paths!$P$109="Complete",N1132-IF(C1132=0,Paths!$F$109,0),"n.a."))</f>
        <v>0</v>
      </c>
      <c r="P1132" s="16">
        <f>IF(NOT(Paths!$C$109=1),0,IF(Paths!$P$109="Complete",O1132+L1132,"n.a."))</f>
        <v>0</v>
      </c>
      <c r="Q1132" s="16">
        <f>IF(NOT(Paths!$C$109=1),0,IF(Paths!$P$109="Complete",N1132*(1+'Operating costs'!$B$54)^-C1132,"n.a."))</f>
        <v>0</v>
      </c>
      <c r="R1132" s="16">
        <f>IF(NOT(Paths!$C$109=1),0,IF(Paths!$P$109="Complete",IF(AND(C1132=0,Paths!$E$109=0),I1132-J1132-K1132+VLOOKUP(A1132,'Fleet register'!$A$7:$S$106,15,FALSE)+VLOOKUP(A1132,'Fleet register'!$A$7:$S$106,16,FALSE),0),"n.a."))</f>
        <v>0</v>
      </c>
      <c r="S1132" s="1">
        <f>IF(NOT(Paths!$C$109=1),0,IF(Paths!$P$109="Complete",IF(C1132=0,0,Paths!$S$109*Paths!$R$109),"n.a."))</f>
        <v>0</v>
      </c>
      <c r="T1132" s="1">
        <f>IF(NOT(Paths!$C$109=1),0,IF(Paths!$P$109="Complete",IF(C1132=0,0,VLOOKUP(A1132,'Fleet register'!$A$7:$S$106,9,FALSE)*Paths!$R$109),"n.a."))</f>
        <v>0</v>
      </c>
    </row>
    <row r="1133" spans="1:20" ht="24" customHeight="1">
      <c r="A1133" s="1" t="str">
        <f>Paths!$A$109</f>
        <v>T026</v>
      </c>
      <c r="B1133" s="1">
        <f>Paths!$B$109</f>
        <v>2</v>
      </c>
      <c r="C1133" s="1">
        <v>4</v>
      </c>
      <c r="D1133" s="1">
        <v>109</v>
      </c>
      <c r="E1133" s="1">
        <f>IF(OR(Paths!$C$109=0,C1133=0),0,MAX(0,MIN(C1133*12,Paths!$E$109)-(C1133-1)*12))</f>
        <v>0</v>
      </c>
      <c r="F1133" s="1">
        <f>IF(OR(Paths!$C$109=0,C1133=0),0,12-E1133)</f>
        <v>0</v>
      </c>
      <c r="G1133" s="16">
        <f>IF(NOT(Paths!$C$109=1),0,IF(Paths!$P$109="Complete",E1133/12*(Paths!$J$109*(1+'Operating costs'!$B$51)^MAX(0,C1133-1)+Paths!$K$109*(1+'Operating costs'!$B$53)^MAX(0,C1133-1)),"n.a."))</f>
        <v>0</v>
      </c>
      <c r="H1133" s="16">
        <f>IF(NOT(Paths!$C$109=1),0,IF(Paths!$P$109="Complete",F1133/12*(Paths!$L$109*(1+IF(Paths!$D$109="EV",'Operating costs'!$B$52,'Operating costs'!$B$51))^MAX(0,C1133-1)+Paths!$M$109*(1+'Operating costs'!$B$53)^MAX(0,C1133-1)),"n.a."))</f>
        <v>0</v>
      </c>
      <c r="I1133" s="16">
        <f>IF(NOT(Paths!$C$109=1),0,IF(Paths!$P$109="Complete",IF(IF(Paths!$E$109=0,C1133=0,AND(C1133&gt;0,Paths!$E$109&gt;(C1133-1)*12,Paths!$E$109&lt;=C1133*12)),Paths!$G$109,0),"n.a."))</f>
        <v>0</v>
      </c>
      <c r="J1133" s="16">
        <f>IF(NOT(Paths!$C$109=1),0,IF(Paths!$P$109="Complete",IF(IF(Paths!$E$109=0,C1133=0,AND(C1133&gt;0,Paths!$E$109&gt;(C1133-1)*12,Paths!$E$109&lt;=C1133*12)),Paths!$H$109,0),"n.a."))</f>
        <v>0</v>
      </c>
      <c r="K1133" s="16">
        <f>IF(NOT(Paths!$C$109=1),0,IF(Paths!$P$109="Complete",IF(IF(Paths!$O$109=0,C1133=0,AND(C1133&gt;0,Paths!$O$109&gt;(C1133-1)*12,Paths!$O$109&lt;=C1133*12)),Paths!$N$109,0),"n.a."))</f>
        <v>0</v>
      </c>
      <c r="L1133" s="16">
        <f>IF(NOT(Paths!$C$109=1),0,IF(Paths!$P$109="Complete",IF(C1133=10,Paths!$I$109,0),"n.a."))</f>
        <v>0</v>
      </c>
      <c r="M1133" s="16">
        <f>IF(NOT(Paths!$C$109=1),0,IF(Paths!$P$109="Complete",IF(AND(Paths!$D$109="EV",Paths!$E$109&lt;120,Paths!$E$109+'Operating costs'!$B$65&gt;Paths!$E$109,Paths!$E$109+'Operating costs'!$B$65&lt;=120,IF(Paths!$E$109+'Operating costs'!$B$65=0,C1133=0,AND(C1133&gt;0,Paths!$E$109+'Operating costs'!$B$65&gt;(C1133-1)*12,Paths!$E$109+'Operating costs'!$B$65&lt;=C1133*12))),'Operating costs'!$B$64,0)+IF(AND('Operating costs'!$B$67&gt;0,'Operating costs'!$B$67&lt;=120,OR(Paths!$D$109="ICE",'Operating costs'!$B$67&lt;=Paths!$E$109),IF('Operating costs'!$B$67=0,C1133=0,AND(C1133&gt;0,'Operating costs'!$B$67&gt;(C1133-1)*12,'Operating costs'!$B$67&lt;=C1133*12))),'Operating costs'!$B$66,0),"n.a."))</f>
        <v>0</v>
      </c>
      <c r="N1133" s="16">
        <f>IF(NOT(Paths!$C$109=1),0,IF(Paths!$P$109="Complete",SUM(G1133:I1133)-J1133-K1133-L1133+M1133+IF(C1133=0,Paths!$F$109,0)+IF(IF(Paths!$E$109=0,C1133=0,AND(C1133&gt;0,Paths!$E$109&gt;(C1133-1)*12,Paths!$E$109&lt;=C1133*12)),VLOOKUP(A1133,'Fleet register'!$A$7:$S$106,16,FALSE),0),"n.a."))</f>
        <v>0</v>
      </c>
      <c r="O1133" s="16">
        <f>IF(NOT(Paths!$C$109=1),0,IF(Paths!$P$109="Complete",N1133-IF(C1133=0,Paths!$F$109,0),"n.a."))</f>
        <v>0</v>
      </c>
      <c r="P1133" s="16">
        <f>IF(NOT(Paths!$C$109=1),0,IF(Paths!$P$109="Complete",O1133+L1133,"n.a."))</f>
        <v>0</v>
      </c>
      <c r="Q1133" s="16">
        <f>IF(NOT(Paths!$C$109=1),0,IF(Paths!$P$109="Complete",N1133*(1+'Operating costs'!$B$54)^-C1133,"n.a."))</f>
        <v>0</v>
      </c>
      <c r="R1133" s="16">
        <f>IF(NOT(Paths!$C$109=1),0,IF(Paths!$P$109="Complete",IF(AND(C1133=0,Paths!$E$109=0),I1133-J1133-K1133+VLOOKUP(A1133,'Fleet register'!$A$7:$S$106,15,FALSE)+VLOOKUP(A1133,'Fleet register'!$A$7:$S$106,16,FALSE),0),"n.a."))</f>
        <v>0</v>
      </c>
      <c r="S1133" s="1">
        <f>IF(NOT(Paths!$C$109=1),0,IF(Paths!$P$109="Complete",IF(C1133=0,0,Paths!$S$109*Paths!$R$109),"n.a."))</f>
        <v>0</v>
      </c>
      <c r="T1133" s="1">
        <f>IF(NOT(Paths!$C$109=1),0,IF(Paths!$P$109="Complete",IF(C1133=0,0,VLOOKUP(A1133,'Fleet register'!$A$7:$S$106,9,FALSE)*Paths!$R$109),"n.a."))</f>
        <v>0</v>
      </c>
    </row>
    <row r="1134" spans="1:20" ht="24" customHeight="1">
      <c r="A1134" s="1" t="str">
        <f>Paths!$A$109</f>
        <v>T026</v>
      </c>
      <c r="B1134" s="1">
        <f>Paths!$B$109</f>
        <v>2</v>
      </c>
      <c r="C1134" s="1">
        <v>5</v>
      </c>
      <c r="D1134" s="1">
        <v>109</v>
      </c>
      <c r="E1134" s="1">
        <f>IF(OR(Paths!$C$109=0,C1134=0),0,MAX(0,MIN(C1134*12,Paths!$E$109)-(C1134-1)*12))</f>
        <v>0</v>
      </c>
      <c r="F1134" s="1">
        <f>IF(OR(Paths!$C$109=0,C1134=0),0,12-E1134)</f>
        <v>0</v>
      </c>
      <c r="G1134" s="16">
        <f>IF(NOT(Paths!$C$109=1),0,IF(Paths!$P$109="Complete",E1134/12*(Paths!$J$109*(1+'Operating costs'!$B$51)^MAX(0,C1134-1)+Paths!$K$109*(1+'Operating costs'!$B$53)^MAX(0,C1134-1)),"n.a."))</f>
        <v>0</v>
      </c>
      <c r="H1134" s="16">
        <f>IF(NOT(Paths!$C$109=1),0,IF(Paths!$P$109="Complete",F1134/12*(Paths!$L$109*(1+IF(Paths!$D$109="EV",'Operating costs'!$B$52,'Operating costs'!$B$51))^MAX(0,C1134-1)+Paths!$M$109*(1+'Operating costs'!$B$53)^MAX(0,C1134-1)),"n.a."))</f>
        <v>0</v>
      </c>
      <c r="I1134" s="16">
        <f>IF(NOT(Paths!$C$109=1),0,IF(Paths!$P$109="Complete",IF(IF(Paths!$E$109=0,C1134=0,AND(C1134&gt;0,Paths!$E$109&gt;(C1134-1)*12,Paths!$E$109&lt;=C1134*12)),Paths!$G$109,0),"n.a."))</f>
        <v>0</v>
      </c>
      <c r="J1134" s="16">
        <f>IF(NOT(Paths!$C$109=1),0,IF(Paths!$P$109="Complete",IF(IF(Paths!$E$109=0,C1134=0,AND(C1134&gt;0,Paths!$E$109&gt;(C1134-1)*12,Paths!$E$109&lt;=C1134*12)),Paths!$H$109,0),"n.a."))</f>
        <v>0</v>
      </c>
      <c r="K1134" s="16">
        <f>IF(NOT(Paths!$C$109=1),0,IF(Paths!$P$109="Complete",IF(IF(Paths!$O$109=0,C1134=0,AND(C1134&gt;0,Paths!$O$109&gt;(C1134-1)*12,Paths!$O$109&lt;=C1134*12)),Paths!$N$109,0),"n.a."))</f>
        <v>0</v>
      </c>
      <c r="L1134" s="16">
        <f>IF(NOT(Paths!$C$109=1),0,IF(Paths!$P$109="Complete",IF(C1134=10,Paths!$I$109,0),"n.a."))</f>
        <v>0</v>
      </c>
      <c r="M1134" s="16">
        <f>IF(NOT(Paths!$C$109=1),0,IF(Paths!$P$109="Complete",IF(AND(Paths!$D$109="EV",Paths!$E$109&lt;120,Paths!$E$109+'Operating costs'!$B$65&gt;Paths!$E$109,Paths!$E$109+'Operating costs'!$B$65&lt;=120,IF(Paths!$E$109+'Operating costs'!$B$65=0,C1134=0,AND(C1134&gt;0,Paths!$E$109+'Operating costs'!$B$65&gt;(C1134-1)*12,Paths!$E$109+'Operating costs'!$B$65&lt;=C1134*12))),'Operating costs'!$B$64,0)+IF(AND('Operating costs'!$B$67&gt;0,'Operating costs'!$B$67&lt;=120,OR(Paths!$D$109="ICE",'Operating costs'!$B$67&lt;=Paths!$E$109),IF('Operating costs'!$B$67=0,C1134=0,AND(C1134&gt;0,'Operating costs'!$B$67&gt;(C1134-1)*12,'Operating costs'!$B$67&lt;=C1134*12))),'Operating costs'!$B$66,0),"n.a."))</f>
        <v>0</v>
      </c>
      <c r="N1134" s="16">
        <f>IF(NOT(Paths!$C$109=1),0,IF(Paths!$P$109="Complete",SUM(G1134:I1134)-J1134-K1134-L1134+M1134+IF(C1134=0,Paths!$F$109,0)+IF(IF(Paths!$E$109=0,C1134=0,AND(C1134&gt;0,Paths!$E$109&gt;(C1134-1)*12,Paths!$E$109&lt;=C1134*12)),VLOOKUP(A1134,'Fleet register'!$A$7:$S$106,16,FALSE),0),"n.a."))</f>
        <v>0</v>
      </c>
      <c r="O1134" s="16">
        <f>IF(NOT(Paths!$C$109=1),0,IF(Paths!$P$109="Complete",N1134-IF(C1134=0,Paths!$F$109,0),"n.a."))</f>
        <v>0</v>
      </c>
      <c r="P1134" s="16">
        <f>IF(NOT(Paths!$C$109=1),0,IF(Paths!$P$109="Complete",O1134+L1134,"n.a."))</f>
        <v>0</v>
      </c>
      <c r="Q1134" s="16">
        <f>IF(NOT(Paths!$C$109=1),0,IF(Paths!$P$109="Complete",N1134*(1+'Operating costs'!$B$54)^-C1134,"n.a."))</f>
        <v>0</v>
      </c>
      <c r="R1134" s="16">
        <f>IF(NOT(Paths!$C$109=1),0,IF(Paths!$P$109="Complete",IF(AND(C1134=0,Paths!$E$109=0),I1134-J1134-K1134+VLOOKUP(A1134,'Fleet register'!$A$7:$S$106,15,FALSE)+VLOOKUP(A1134,'Fleet register'!$A$7:$S$106,16,FALSE),0),"n.a."))</f>
        <v>0</v>
      </c>
      <c r="S1134" s="1">
        <f>IF(NOT(Paths!$C$109=1),0,IF(Paths!$P$109="Complete",IF(C1134=0,0,Paths!$S$109*Paths!$R$109),"n.a."))</f>
        <v>0</v>
      </c>
      <c r="T1134" s="1">
        <f>IF(NOT(Paths!$C$109=1),0,IF(Paths!$P$109="Complete",IF(C1134=0,0,VLOOKUP(A1134,'Fleet register'!$A$7:$S$106,9,FALSE)*Paths!$R$109),"n.a."))</f>
        <v>0</v>
      </c>
    </row>
    <row r="1135" spans="1:20" ht="24" customHeight="1">
      <c r="A1135" s="1" t="str">
        <f>Paths!$A$109</f>
        <v>T026</v>
      </c>
      <c r="B1135" s="1">
        <f>Paths!$B$109</f>
        <v>2</v>
      </c>
      <c r="C1135" s="1">
        <v>6</v>
      </c>
      <c r="D1135" s="1">
        <v>109</v>
      </c>
      <c r="E1135" s="1">
        <f>IF(OR(Paths!$C$109=0,C1135=0),0,MAX(0,MIN(C1135*12,Paths!$E$109)-(C1135-1)*12))</f>
        <v>0</v>
      </c>
      <c r="F1135" s="1">
        <f>IF(OR(Paths!$C$109=0,C1135=0),0,12-E1135)</f>
        <v>0</v>
      </c>
      <c r="G1135" s="16">
        <f>IF(NOT(Paths!$C$109=1),0,IF(Paths!$P$109="Complete",E1135/12*(Paths!$J$109*(1+'Operating costs'!$B$51)^MAX(0,C1135-1)+Paths!$K$109*(1+'Operating costs'!$B$53)^MAX(0,C1135-1)),"n.a."))</f>
        <v>0</v>
      </c>
      <c r="H1135" s="16">
        <f>IF(NOT(Paths!$C$109=1),0,IF(Paths!$P$109="Complete",F1135/12*(Paths!$L$109*(1+IF(Paths!$D$109="EV",'Operating costs'!$B$52,'Operating costs'!$B$51))^MAX(0,C1135-1)+Paths!$M$109*(1+'Operating costs'!$B$53)^MAX(0,C1135-1)),"n.a."))</f>
        <v>0</v>
      </c>
      <c r="I1135" s="16">
        <f>IF(NOT(Paths!$C$109=1),0,IF(Paths!$P$109="Complete",IF(IF(Paths!$E$109=0,C1135=0,AND(C1135&gt;0,Paths!$E$109&gt;(C1135-1)*12,Paths!$E$109&lt;=C1135*12)),Paths!$G$109,0),"n.a."))</f>
        <v>0</v>
      </c>
      <c r="J1135" s="16">
        <f>IF(NOT(Paths!$C$109=1),0,IF(Paths!$P$109="Complete",IF(IF(Paths!$E$109=0,C1135=0,AND(C1135&gt;0,Paths!$E$109&gt;(C1135-1)*12,Paths!$E$109&lt;=C1135*12)),Paths!$H$109,0),"n.a."))</f>
        <v>0</v>
      </c>
      <c r="K1135" s="16">
        <f>IF(NOT(Paths!$C$109=1),0,IF(Paths!$P$109="Complete",IF(IF(Paths!$O$109=0,C1135=0,AND(C1135&gt;0,Paths!$O$109&gt;(C1135-1)*12,Paths!$O$109&lt;=C1135*12)),Paths!$N$109,0),"n.a."))</f>
        <v>0</v>
      </c>
      <c r="L1135" s="16">
        <f>IF(NOT(Paths!$C$109=1),0,IF(Paths!$P$109="Complete",IF(C1135=10,Paths!$I$109,0),"n.a."))</f>
        <v>0</v>
      </c>
      <c r="M1135" s="16">
        <f>IF(NOT(Paths!$C$109=1),0,IF(Paths!$P$109="Complete",IF(AND(Paths!$D$109="EV",Paths!$E$109&lt;120,Paths!$E$109+'Operating costs'!$B$65&gt;Paths!$E$109,Paths!$E$109+'Operating costs'!$B$65&lt;=120,IF(Paths!$E$109+'Operating costs'!$B$65=0,C1135=0,AND(C1135&gt;0,Paths!$E$109+'Operating costs'!$B$65&gt;(C1135-1)*12,Paths!$E$109+'Operating costs'!$B$65&lt;=C1135*12))),'Operating costs'!$B$64,0)+IF(AND('Operating costs'!$B$67&gt;0,'Operating costs'!$B$67&lt;=120,OR(Paths!$D$109="ICE",'Operating costs'!$B$67&lt;=Paths!$E$109),IF('Operating costs'!$B$67=0,C1135=0,AND(C1135&gt;0,'Operating costs'!$B$67&gt;(C1135-1)*12,'Operating costs'!$B$67&lt;=C1135*12))),'Operating costs'!$B$66,0),"n.a."))</f>
        <v>0</v>
      </c>
      <c r="N1135" s="16">
        <f>IF(NOT(Paths!$C$109=1),0,IF(Paths!$P$109="Complete",SUM(G1135:I1135)-J1135-K1135-L1135+M1135+IF(C1135=0,Paths!$F$109,0)+IF(IF(Paths!$E$109=0,C1135=0,AND(C1135&gt;0,Paths!$E$109&gt;(C1135-1)*12,Paths!$E$109&lt;=C1135*12)),VLOOKUP(A1135,'Fleet register'!$A$7:$S$106,16,FALSE),0),"n.a."))</f>
        <v>0</v>
      </c>
      <c r="O1135" s="16">
        <f>IF(NOT(Paths!$C$109=1),0,IF(Paths!$P$109="Complete",N1135-IF(C1135=0,Paths!$F$109,0),"n.a."))</f>
        <v>0</v>
      </c>
      <c r="P1135" s="16">
        <f>IF(NOT(Paths!$C$109=1),0,IF(Paths!$P$109="Complete",O1135+L1135,"n.a."))</f>
        <v>0</v>
      </c>
      <c r="Q1135" s="16">
        <f>IF(NOT(Paths!$C$109=1),0,IF(Paths!$P$109="Complete",N1135*(1+'Operating costs'!$B$54)^-C1135,"n.a."))</f>
        <v>0</v>
      </c>
      <c r="R1135" s="16">
        <f>IF(NOT(Paths!$C$109=1),0,IF(Paths!$P$109="Complete",IF(AND(C1135=0,Paths!$E$109=0),I1135-J1135-K1135+VLOOKUP(A1135,'Fleet register'!$A$7:$S$106,15,FALSE)+VLOOKUP(A1135,'Fleet register'!$A$7:$S$106,16,FALSE),0),"n.a."))</f>
        <v>0</v>
      </c>
      <c r="S1135" s="1">
        <f>IF(NOT(Paths!$C$109=1),0,IF(Paths!$P$109="Complete",IF(C1135=0,0,Paths!$S$109*Paths!$R$109),"n.a."))</f>
        <v>0</v>
      </c>
      <c r="T1135" s="1">
        <f>IF(NOT(Paths!$C$109=1),0,IF(Paths!$P$109="Complete",IF(C1135=0,0,VLOOKUP(A1135,'Fleet register'!$A$7:$S$106,9,FALSE)*Paths!$R$109),"n.a."))</f>
        <v>0</v>
      </c>
    </row>
    <row r="1136" spans="1:20" ht="24" customHeight="1">
      <c r="A1136" s="1" t="str">
        <f>Paths!$A$109</f>
        <v>T026</v>
      </c>
      <c r="B1136" s="1">
        <f>Paths!$B$109</f>
        <v>2</v>
      </c>
      <c r="C1136" s="1">
        <v>7</v>
      </c>
      <c r="D1136" s="1">
        <v>109</v>
      </c>
      <c r="E1136" s="1">
        <f>IF(OR(Paths!$C$109=0,C1136=0),0,MAX(0,MIN(C1136*12,Paths!$E$109)-(C1136-1)*12))</f>
        <v>0</v>
      </c>
      <c r="F1136" s="1">
        <f>IF(OR(Paths!$C$109=0,C1136=0),0,12-E1136)</f>
        <v>0</v>
      </c>
      <c r="G1136" s="16">
        <f>IF(NOT(Paths!$C$109=1),0,IF(Paths!$P$109="Complete",E1136/12*(Paths!$J$109*(1+'Operating costs'!$B$51)^MAX(0,C1136-1)+Paths!$K$109*(1+'Operating costs'!$B$53)^MAX(0,C1136-1)),"n.a."))</f>
        <v>0</v>
      </c>
      <c r="H1136" s="16">
        <f>IF(NOT(Paths!$C$109=1),0,IF(Paths!$P$109="Complete",F1136/12*(Paths!$L$109*(1+IF(Paths!$D$109="EV",'Operating costs'!$B$52,'Operating costs'!$B$51))^MAX(0,C1136-1)+Paths!$M$109*(1+'Operating costs'!$B$53)^MAX(0,C1136-1)),"n.a."))</f>
        <v>0</v>
      </c>
      <c r="I1136" s="16">
        <f>IF(NOT(Paths!$C$109=1),0,IF(Paths!$P$109="Complete",IF(IF(Paths!$E$109=0,C1136=0,AND(C1136&gt;0,Paths!$E$109&gt;(C1136-1)*12,Paths!$E$109&lt;=C1136*12)),Paths!$G$109,0),"n.a."))</f>
        <v>0</v>
      </c>
      <c r="J1136" s="16">
        <f>IF(NOT(Paths!$C$109=1),0,IF(Paths!$P$109="Complete",IF(IF(Paths!$E$109=0,C1136=0,AND(C1136&gt;0,Paths!$E$109&gt;(C1136-1)*12,Paths!$E$109&lt;=C1136*12)),Paths!$H$109,0),"n.a."))</f>
        <v>0</v>
      </c>
      <c r="K1136" s="16">
        <f>IF(NOT(Paths!$C$109=1),0,IF(Paths!$P$109="Complete",IF(IF(Paths!$O$109=0,C1136=0,AND(C1136&gt;0,Paths!$O$109&gt;(C1136-1)*12,Paths!$O$109&lt;=C1136*12)),Paths!$N$109,0),"n.a."))</f>
        <v>0</v>
      </c>
      <c r="L1136" s="16">
        <f>IF(NOT(Paths!$C$109=1),0,IF(Paths!$P$109="Complete",IF(C1136=10,Paths!$I$109,0),"n.a."))</f>
        <v>0</v>
      </c>
      <c r="M1136" s="16">
        <f>IF(NOT(Paths!$C$109=1),0,IF(Paths!$P$109="Complete",IF(AND(Paths!$D$109="EV",Paths!$E$109&lt;120,Paths!$E$109+'Operating costs'!$B$65&gt;Paths!$E$109,Paths!$E$109+'Operating costs'!$B$65&lt;=120,IF(Paths!$E$109+'Operating costs'!$B$65=0,C1136=0,AND(C1136&gt;0,Paths!$E$109+'Operating costs'!$B$65&gt;(C1136-1)*12,Paths!$E$109+'Operating costs'!$B$65&lt;=C1136*12))),'Operating costs'!$B$64,0)+IF(AND('Operating costs'!$B$67&gt;0,'Operating costs'!$B$67&lt;=120,OR(Paths!$D$109="ICE",'Operating costs'!$B$67&lt;=Paths!$E$109),IF('Operating costs'!$B$67=0,C1136=0,AND(C1136&gt;0,'Operating costs'!$B$67&gt;(C1136-1)*12,'Operating costs'!$B$67&lt;=C1136*12))),'Operating costs'!$B$66,0),"n.a."))</f>
        <v>0</v>
      </c>
      <c r="N1136" s="16">
        <f>IF(NOT(Paths!$C$109=1),0,IF(Paths!$P$109="Complete",SUM(G1136:I1136)-J1136-K1136-L1136+M1136+IF(C1136=0,Paths!$F$109,0)+IF(IF(Paths!$E$109=0,C1136=0,AND(C1136&gt;0,Paths!$E$109&gt;(C1136-1)*12,Paths!$E$109&lt;=C1136*12)),VLOOKUP(A1136,'Fleet register'!$A$7:$S$106,16,FALSE),0),"n.a."))</f>
        <v>0</v>
      </c>
      <c r="O1136" s="16">
        <f>IF(NOT(Paths!$C$109=1),0,IF(Paths!$P$109="Complete",N1136-IF(C1136=0,Paths!$F$109,0),"n.a."))</f>
        <v>0</v>
      </c>
      <c r="P1136" s="16">
        <f>IF(NOT(Paths!$C$109=1),0,IF(Paths!$P$109="Complete",O1136+L1136,"n.a."))</f>
        <v>0</v>
      </c>
      <c r="Q1136" s="16">
        <f>IF(NOT(Paths!$C$109=1),0,IF(Paths!$P$109="Complete",N1136*(1+'Operating costs'!$B$54)^-C1136,"n.a."))</f>
        <v>0</v>
      </c>
      <c r="R1136" s="16">
        <f>IF(NOT(Paths!$C$109=1),0,IF(Paths!$P$109="Complete",IF(AND(C1136=0,Paths!$E$109=0),I1136-J1136-K1136+VLOOKUP(A1136,'Fleet register'!$A$7:$S$106,15,FALSE)+VLOOKUP(A1136,'Fleet register'!$A$7:$S$106,16,FALSE),0),"n.a."))</f>
        <v>0</v>
      </c>
      <c r="S1136" s="1">
        <f>IF(NOT(Paths!$C$109=1),0,IF(Paths!$P$109="Complete",IF(C1136=0,0,Paths!$S$109*Paths!$R$109),"n.a."))</f>
        <v>0</v>
      </c>
      <c r="T1136" s="1">
        <f>IF(NOT(Paths!$C$109=1),0,IF(Paths!$P$109="Complete",IF(C1136=0,0,VLOOKUP(A1136,'Fleet register'!$A$7:$S$106,9,FALSE)*Paths!$R$109),"n.a."))</f>
        <v>0</v>
      </c>
    </row>
    <row r="1137" spans="1:20" ht="24" customHeight="1">
      <c r="A1137" s="1" t="str">
        <f>Paths!$A$109</f>
        <v>T026</v>
      </c>
      <c r="B1137" s="1">
        <f>Paths!$B$109</f>
        <v>2</v>
      </c>
      <c r="C1137" s="1">
        <v>8</v>
      </c>
      <c r="D1137" s="1">
        <v>109</v>
      </c>
      <c r="E1137" s="1">
        <f>IF(OR(Paths!$C$109=0,C1137=0),0,MAX(0,MIN(C1137*12,Paths!$E$109)-(C1137-1)*12))</f>
        <v>0</v>
      </c>
      <c r="F1137" s="1">
        <f>IF(OR(Paths!$C$109=0,C1137=0),0,12-E1137)</f>
        <v>0</v>
      </c>
      <c r="G1137" s="16">
        <f>IF(NOT(Paths!$C$109=1),0,IF(Paths!$P$109="Complete",E1137/12*(Paths!$J$109*(1+'Operating costs'!$B$51)^MAX(0,C1137-1)+Paths!$K$109*(1+'Operating costs'!$B$53)^MAX(0,C1137-1)),"n.a."))</f>
        <v>0</v>
      </c>
      <c r="H1137" s="16">
        <f>IF(NOT(Paths!$C$109=1),0,IF(Paths!$P$109="Complete",F1137/12*(Paths!$L$109*(1+IF(Paths!$D$109="EV",'Operating costs'!$B$52,'Operating costs'!$B$51))^MAX(0,C1137-1)+Paths!$M$109*(1+'Operating costs'!$B$53)^MAX(0,C1137-1)),"n.a."))</f>
        <v>0</v>
      </c>
      <c r="I1137" s="16">
        <f>IF(NOT(Paths!$C$109=1),0,IF(Paths!$P$109="Complete",IF(IF(Paths!$E$109=0,C1137=0,AND(C1137&gt;0,Paths!$E$109&gt;(C1137-1)*12,Paths!$E$109&lt;=C1137*12)),Paths!$G$109,0),"n.a."))</f>
        <v>0</v>
      </c>
      <c r="J1137" s="16">
        <f>IF(NOT(Paths!$C$109=1),0,IF(Paths!$P$109="Complete",IF(IF(Paths!$E$109=0,C1137=0,AND(C1137&gt;0,Paths!$E$109&gt;(C1137-1)*12,Paths!$E$109&lt;=C1137*12)),Paths!$H$109,0),"n.a."))</f>
        <v>0</v>
      </c>
      <c r="K1137" s="16">
        <f>IF(NOT(Paths!$C$109=1),0,IF(Paths!$P$109="Complete",IF(IF(Paths!$O$109=0,C1137=0,AND(C1137&gt;0,Paths!$O$109&gt;(C1137-1)*12,Paths!$O$109&lt;=C1137*12)),Paths!$N$109,0),"n.a."))</f>
        <v>0</v>
      </c>
      <c r="L1137" s="16">
        <f>IF(NOT(Paths!$C$109=1),0,IF(Paths!$P$109="Complete",IF(C1137=10,Paths!$I$109,0),"n.a."))</f>
        <v>0</v>
      </c>
      <c r="M1137" s="16">
        <f>IF(NOT(Paths!$C$109=1),0,IF(Paths!$P$109="Complete",IF(AND(Paths!$D$109="EV",Paths!$E$109&lt;120,Paths!$E$109+'Operating costs'!$B$65&gt;Paths!$E$109,Paths!$E$109+'Operating costs'!$B$65&lt;=120,IF(Paths!$E$109+'Operating costs'!$B$65=0,C1137=0,AND(C1137&gt;0,Paths!$E$109+'Operating costs'!$B$65&gt;(C1137-1)*12,Paths!$E$109+'Operating costs'!$B$65&lt;=C1137*12))),'Operating costs'!$B$64,0)+IF(AND('Operating costs'!$B$67&gt;0,'Operating costs'!$B$67&lt;=120,OR(Paths!$D$109="ICE",'Operating costs'!$B$67&lt;=Paths!$E$109),IF('Operating costs'!$B$67=0,C1137=0,AND(C1137&gt;0,'Operating costs'!$B$67&gt;(C1137-1)*12,'Operating costs'!$B$67&lt;=C1137*12))),'Operating costs'!$B$66,0),"n.a."))</f>
        <v>0</v>
      </c>
      <c r="N1137" s="16">
        <f>IF(NOT(Paths!$C$109=1),0,IF(Paths!$P$109="Complete",SUM(G1137:I1137)-J1137-K1137-L1137+M1137+IF(C1137=0,Paths!$F$109,0)+IF(IF(Paths!$E$109=0,C1137=0,AND(C1137&gt;0,Paths!$E$109&gt;(C1137-1)*12,Paths!$E$109&lt;=C1137*12)),VLOOKUP(A1137,'Fleet register'!$A$7:$S$106,16,FALSE),0),"n.a."))</f>
        <v>0</v>
      </c>
      <c r="O1137" s="16">
        <f>IF(NOT(Paths!$C$109=1),0,IF(Paths!$P$109="Complete",N1137-IF(C1137=0,Paths!$F$109,0),"n.a."))</f>
        <v>0</v>
      </c>
      <c r="P1137" s="16">
        <f>IF(NOT(Paths!$C$109=1),0,IF(Paths!$P$109="Complete",O1137+L1137,"n.a."))</f>
        <v>0</v>
      </c>
      <c r="Q1137" s="16">
        <f>IF(NOT(Paths!$C$109=1),0,IF(Paths!$P$109="Complete",N1137*(1+'Operating costs'!$B$54)^-C1137,"n.a."))</f>
        <v>0</v>
      </c>
      <c r="R1137" s="16">
        <f>IF(NOT(Paths!$C$109=1),0,IF(Paths!$P$109="Complete",IF(AND(C1137=0,Paths!$E$109=0),I1137-J1137-K1137+VLOOKUP(A1137,'Fleet register'!$A$7:$S$106,15,FALSE)+VLOOKUP(A1137,'Fleet register'!$A$7:$S$106,16,FALSE),0),"n.a."))</f>
        <v>0</v>
      </c>
      <c r="S1137" s="1">
        <f>IF(NOT(Paths!$C$109=1),0,IF(Paths!$P$109="Complete",IF(C1137=0,0,Paths!$S$109*Paths!$R$109),"n.a."))</f>
        <v>0</v>
      </c>
      <c r="T1137" s="1">
        <f>IF(NOT(Paths!$C$109=1),0,IF(Paths!$P$109="Complete",IF(C1137=0,0,VLOOKUP(A1137,'Fleet register'!$A$7:$S$106,9,FALSE)*Paths!$R$109),"n.a."))</f>
        <v>0</v>
      </c>
    </row>
    <row r="1138" spans="1:20" ht="24" customHeight="1">
      <c r="A1138" s="1" t="str">
        <f>Paths!$A$109</f>
        <v>T026</v>
      </c>
      <c r="B1138" s="1">
        <f>Paths!$B$109</f>
        <v>2</v>
      </c>
      <c r="C1138" s="1">
        <v>9</v>
      </c>
      <c r="D1138" s="1">
        <v>109</v>
      </c>
      <c r="E1138" s="1">
        <f>IF(OR(Paths!$C$109=0,C1138=0),0,MAX(0,MIN(C1138*12,Paths!$E$109)-(C1138-1)*12))</f>
        <v>0</v>
      </c>
      <c r="F1138" s="1">
        <f>IF(OR(Paths!$C$109=0,C1138=0),0,12-E1138)</f>
        <v>0</v>
      </c>
      <c r="G1138" s="16">
        <f>IF(NOT(Paths!$C$109=1),0,IF(Paths!$P$109="Complete",E1138/12*(Paths!$J$109*(1+'Operating costs'!$B$51)^MAX(0,C1138-1)+Paths!$K$109*(1+'Operating costs'!$B$53)^MAX(0,C1138-1)),"n.a."))</f>
        <v>0</v>
      </c>
      <c r="H1138" s="16">
        <f>IF(NOT(Paths!$C$109=1),0,IF(Paths!$P$109="Complete",F1138/12*(Paths!$L$109*(1+IF(Paths!$D$109="EV",'Operating costs'!$B$52,'Operating costs'!$B$51))^MAX(0,C1138-1)+Paths!$M$109*(1+'Operating costs'!$B$53)^MAX(0,C1138-1)),"n.a."))</f>
        <v>0</v>
      </c>
      <c r="I1138" s="16">
        <f>IF(NOT(Paths!$C$109=1),0,IF(Paths!$P$109="Complete",IF(IF(Paths!$E$109=0,C1138=0,AND(C1138&gt;0,Paths!$E$109&gt;(C1138-1)*12,Paths!$E$109&lt;=C1138*12)),Paths!$G$109,0),"n.a."))</f>
        <v>0</v>
      </c>
      <c r="J1138" s="16">
        <f>IF(NOT(Paths!$C$109=1),0,IF(Paths!$P$109="Complete",IF(IF(Paths!$E$109=0,C1138=0,AND(C1138&gt;0,Paths!$E$109&gt;(C1138-1)*12,Paths!$E$109&lt;=C1138*12)),Paths!$H$109,0),"n.a."))</f>
        <v>0</v>
      </c>
      <c r="K1138" s="16">
        <f>IF(NOT(Paths!$C$109=1),0,IF(Paths!$P$109="Complete",IF(IF(Paths!$O$109=0,C1138=0,AND(C1138&gt;0,Paths!$O$109&gt;(C1138-1)*12,Paths!$O$109&lt;=C1138*12)),Paths!$N$109,0),"n.a."))</f>
        <v>0</v>
      </c>
      <c r="L1138" s="16">
        <f>IF(NOT(Paths!$C$109=1),0,IF(Paths!$P$109="Complete",IF(C1138=10,Paths!$I$109,0),"n.a."))</f>
        <v>0</v>
      </c>
      <c r="M1138" s="16">
        <f>IF(NOT(Paths!$C$109=1),0,IF(Paths!$P$109="Complete",IF(AND(Paths!$D$109="EV",Paths!$E$109&lt;120,Paths!$E$109+'Operating costs'!$B$65&gt;Paths!$E$109,Paths!$E$109+'Operating costs'!$B$65&lt;=120,IF(Paths!$E$109+'Operating costs'!$B$65=0,C1138=0,AND(C1138&gt;0,Paths!$E$109+'Operating costs'!$B$65&gt;(C1138-1)*12,Paths!$E$109+'Operating costs'!$B$65&lt;=C1138*12))),'Operating costs'!$B$64,0)+IF(AND('Operating costs'!$B$67&gt;0,'Operating costs'!$B$67&lt;=120,OR(Paths!$D$109="ICE",'Operating costs'!$B$67&lt;=Paths!$E$109),IF('Operating costs'!$B$67=0,C1138=0,AND(C1138&gt;0,'Operating costs'!$B$67&gt;(C1138-1)*12,'Operating costs'!$B$67&lt;=C1138*12))),'Operating costs'!$B$66,0),"n.a."))</f>
        <v>0</v>
      </c>
      <c r="N1138" s="16">
        <f>IF(NOT(Paths!$C$109=1),0,IF(Paths!$P$109="Complete",SUM(G1138:I1138)-J1138-K1138-L1138+M1138+IF(C1138=0,Paths!$F$109,0)+IF(IF(Paths!$E$109=0,C1138=0,AND(C1138&gt;0,Paths!$E$109&gt;(C1138-1)*12,Paths!$E$109&lt;=C1138*12)),VLOOKUP(A1138,'Fleet register'!$A$7:$S$106,16,FALSE),0),"n.a."))</f>
        <v>0</v>
      </c>
      <c r="O1138" s="16">
        <f>IF(NOT(Paths!$C$109=1),0,IF(Paths!$P$109="Complete",N1138-IF(C1138=0,Paths!$F$109,0),"n.a."))</f>
        <v>0</v>
      </c>
      <c r="P1138" s="16">
        <f>IF(NOT(Paths!$C$109=1),0,IF(Paths!$P$109="Complete",O1138+L1138,"n.a."))</f>
        <v>0</v>
      </c>
      <c r="Q1138" s="16">
        <f>IF(NOT(Paths!$C$109=1),0,IF(Paths!$P$109="Complete",N1138*(1+'Operating costs'!$B$54)^-C1138,"n.a."))</f>
        <v>0</v>
      </c>
      <c r="R1138" s="16">
        <f>IF(NOT(Paths!$C$109=1),0,IF(Paths!$P$109="Complete",IF(AND(C1138=0,Paths!$E$109=0),I1138-J1138-K1138+VLOOKUP(A1138,'Fleet register'!$A$7:$S$106,15,FALSE)+VLOOKUP(A1138,'Fleet register'!$A$7:$S$106,16,FALSE),0),"n.a."))</f>
        <v>0</v>
      </c>
      <c r="S1138" s="1">
        <f>IF(NOT(Paths!$C$109=1),0,IF(Paths!$P$109="Complete",IF(C1138=0,0,Paths!$S$109*Paths!$R$109),"n.a."))</f>
        <v>0</v>
      </c>
      <c r="T1138" s="1">
        <f>IF(NOT(Paths!$C$109=1),0,IF(Paths!$P$109="Complete",IF(C1138=0,0,VLOOKUP(A1138,'Fleet register'!$A$7:$S$106,9,FALSE)*Paths!$R$109),"n.a."))</f>
        <v>0</v>
      </c>
    </row>
    <row r="1139" spans="1:20" ht="24" customHeight="1">
      <c r="A1139" s="1" t="str">
        <f>Paths!$A$109</f>
        <v>T026</v>
      </c>
      <c r="B1139" s="1">
        <f>Paths!$B$109</f>
        <v>2</v>
      </c>
      <c r="C1139" s="1">
        <v>10</v>
      </c>
      <c r="D1139" s="1">
        <v>109</v>
      </c>
      <c r="E1139" s="1">
        <f>IF(OR(Paths!$C$109=0,C1139=0),0,MAX(0,MIN(C1139*12,Paths!$E$109)-(C1139-1)*12))</f>
        <v>0</v>
      </c>
      <c r="F1139" s="1">
        <f>IF(OR(Paths!$C$109=0,C1139=0),0,12-E1139)</f>
        <v>0</v>
      </c>
      <c r="G1139" s="16">
        <f>IF(NOT(Paths!$C$109=1),0,IF(Paths!$P$109="Complete",E1139/12*(Paths!$J$109*(1+'Operating costs'!$B$51)^MAX(0,C1139-1)+Paths!$K$109*(1+'Operating costs'!$B$53)^MAX(0,C1139-1)),"n.a."))</f>
        <v>0</v>
      </c>
      <c r="H1139" s="16">
        <f>IF(NOT(Paths!$C$109=1),0,IF(Paths!$P$109="Complete",F1139/12*(Paths!$L$109*(1+IF(Paths!$D$109="EV",'Operating costs'!$B$52,'Operating costs'!$B$51))^MAX(0,C1139-1)+Paths!$M$109*(1+'Operating costs'!$B$53)^MAX(0,C1139-1)),"n.a."))</f>
        <v>0</v>
      </c>
      <c r="I1139" s="16">
        <f>IF(NOT(Paths!$C$109=1),0,IF(Paths!$P$109="Complete",IF(IF(Paths!$E$109=0,C1139=0,AND(C1139&gt;0,Paths!$E$109&gt;(C1139-1)*12,Paths!$E$109&lt;=C1139*12)),Paths!$G$109,0),"n.a."))</f>
        <v>0</v>
      </c>
      <c r="J1139" s="16">
        <f>IF(NOT(Paths!$C$109=1),0,IF(Paths!$P$109="Complete",IF(IF(Paths!$E$109=0,C1139=0,AND(C1139&gt;0,Paths!$E$109&gt;(C1139-1)*12,Paths!$E$109&lt;=C1139*12)),Paths!$H$109,0),"n.a."))</f>
        <v>0</v>
      </c>
      <c r="K1139" s="16">
        <f>IF(NOT(Paths!$C$109=1),0,IF(Paths!$P$109="Complete",IF(IF(Paths!$O$109=0,C1139=0,AND(C1139&gt;0,Paths!$O$109&gt;(C1139-1)*12,Paths!$O$109&lt;=C1139*12)),Paths!$N$109,0),"n.a."))</f>
        <v>0</v>
      </c>
      <c r="L1139" s="16">
        <f>IF(NOT(Paths!$C$109=1),0,IF(Paths!$P$109="Complete",IF(C1139=10,Paths!$I$109,0),"n.a."))</f>
        <v>0</v>
      </c>
      <c r="M1139" s="16">
        <f>IF(NOT(Paths!$C$109=1),0,IF(Paths!$P$109="Complete",IF(AND(Paths!$D$109="EV",Paths!$E$109&lt;120,Paths!$E$109+'Operating costs'!$B$65&gt;Paths!$E$109,Paths!$E$109+'Operating costs'!$B$65&lt;=120,IF(Paths!$E$109+'Operating costs'!$B$65=0,C1139=0,AND(C1139&gt;0,Paths!$E$109+'Operating costs'!$B$65&gt;(C1139-1)*12,Paths!$E$109+'Operating costs'!$B$65&lt;=C1139*12))),'Operating costs'!$B$64,0)+IF(AND('Operating costs'!$B$67&gt;0,'Operating costs'!$B$67&lt;=120,OR(Paths!$D$109="ICE",'Operating costs'!$B$67&lt;=Paths!$E$109),IF('Operating costs'!$B$67=0,C1139=0,AND(C1139&gt;0,'Operating costs'!$B$67&gt;(C1139-1)*12,'Operating costs'!$B$67&lt;=C1139*12))),'Operating costs'!$B$66,0),"n.a."))</f>
        <v>0</v>
      </c>
      <c r="N1139" s="16">
        <f>IF(NOT(Paths!$C$109=1),0,IF(Paths!$P$109="Complete",SUM(G1139:I1139)-J1139-K1139-L1139+M1139+IF(C1139=0,Paths!$F$109,0)+IF(IF(Paths!$E$109=0,C1139=0,AND(C1139&gt;0,Paths!$E$109&gt;(C1139-1)*12,Paths!$E$109&lt;=C1139*12)),VLOOKUP(A1139,'Fleet register'!$A$7:$S$106,16,FALSE),0),"n.a."))</f>
        <v>0</v>
      </c>
      <c r="O1139" s="16">
        <f>IF(NOT(Paths!$C$109=1),0,IF(Paths!$P$109="Complete",N1139-IF(C1139=0,Paths!$F$109,0),"n.a."))</f>
        <v>0</v>
      </c>
      <c r="P1139" s="16">
        <f>IF(NOT(Paths!$C$109=1),0,IF(Paths!$P$109="Complete",O1139+L1139,"n.a."))</f>
        <v>0</v>
      </c>
      <c r="Q1139" s="16">
        <f>IF(NOT(Paths!$C$109=1),0,IF(Paths!$P$109="Complete",N1139*(1+'Operating costs'!$B$54)^-C1139,"n.a."))</f>
        <v>0</v>
      </c>
      <c r="R1139" s="16">
        <f>IF(NOT(Paths!$C$109=1),0,IF(Paths!$P$109="Complete",IF(AND(C1139=0,Paths!$E$109=0),I1139-J1139-K1139+VLOOKUP(A1139,'Fleet register'!$A$7:$S$106,15,FALSE)+VLOOKUP(A1139,'Fleet register'!$A$7:$S$106,16,FALSE),0),"n.a."))</f>
        <v>0</v>
      </c>
      <c r="S1139" s="1">
        <f>IF(NOT(Paths!$C$109=1),0,IF(Paths!$P$109="Complete",IF(C1139=0,0,Paths!$S$109*Paths!$R$109),"n.a."))</f>
        <v>0</v>
      </c>
      <c r="T1139" s="1">
        <f>IF(NOT(Paths!$C$109=1),0,IF(Paths!$P$109="Complete",IF(C1139=0,0,VLOOKUP(A1139,'Fleet register'!$A$7:$S$106,9,FALSE)*Paths!$R$109),"n.a."))</f>
        <v>0</v>
      </c>
    </row>
    <row r="1140" spans="1:20" ht="24" customHeight="1">
      <c r="A1140" s="1" t="str">
        <f>Paths!$A$110</f>
        <v>T026</v>
      </c>
      <c r="B1140" s="1">
        <f>Paths!$B$110</f>
        <v>3</v>
      </c>
      <c r="C1140" s="1">
        <v>0</v>
      </c>
      <c r="D1140" s="1">
        <v>110</v>
      </c>
      <c r="E1140" s="1">
        <f>IF(OR(Paths!$C$110=0,C1140=0),0,MAX(0,MIN(C1140*12,Paths!$E$110)-(C1140-1)*12))</f>
        <v>0</v>
      </c>
      <c r="F1140" s="1">
        <f>IF(OR(Paths!$C$110=0,C1140=0),0,12-E1140)</f>
        <v>0</v>
      </c>
      <c r="G1140" s="16">
        <f>IF(NOT(Paths!$C$110=1),0,IF(Paths!$P$110="Complete",E1140/12*(Paths!$J$110*(1+'Operating costs'!$B$51)^MAX(0,C1140-1)+Paths!$K$110*(1+'Operating costs'!$B$53)^MAX(0,C1140-1)),"n.a."))</f>
        <v>0</v>
      </c>
      <c r="H1140" s="16">
        <f>IF(NOT(Paths!$C$110=1),0,IF(Paths!$P$110="Complete",F1140/12*(Paths!$L$110*(1+IF(Paths!$D$110="EV",'Operating costs'!$B$52,'Operating costs'!$B$51))^MAX(0,C1140-1)+Paths!$M$110*(1+'Operating costs'!$B$53)^MAX(0,C1140-1)),"n.a."))</f>
        <v>0</v>
      </c>
      <c r="I1140" s="16">
        <f>IF(NOT(Paths!$C$110=1),0,IF(Paths!$P$110="Complete",IF(IF(Paths!$E$110=0,C1140=0,AND(C1140&gt;0,Paths!$E$110&gt;(C1140-1)*12,Paths!$E$110&lt;=C1140*12)),Paths!$G$110,0),"n.a."))</f>
        <v>0</v>
      </c>
      <c r="J1140" s="16">
        <f>IF(NOT(Paths!$C$110=1),0,IF(Paths!$P$110="Complete",IF(IF(Paths!$E$110=0,C1140=0,AND(C1140&gt;0,Paths!$E$110&gt;(C1140-1)*12,Paths!$E$110&lt;=C1140*12)),Paths!$H$110,0),"n.a."))</f>
        <v>0</v>
      </c>
      <c r="K1140" s="16">
        <f>IF(NOT(Paths!$C$110=1),0,IF(Paths!$P$110="Complete",IF(IF(Paths!$O$110=0,C1140=0,AND(C1140&gt;0,Paths!$O$110&gt;(C1140-1)*12,Paths!$O$110&lt;=C1140*12)),Paths!$N$110,0),"n.a."))</f>
        <v>0</v>
      </c>
      <c r="L1140" s="16">
        <f>IF(NOT(Paths!$C$110=1),0,IF(Paths!$P$110="Complete",IF(C1140=10,Paths!$I$110,0),"n.a."))</f>
        <v>0</v>
      </c>
      <c r="M1140" s="16">
        <f>IF(NOT(Paths!$C$110=1),0,IF(Paths!$P$110="Complete",IF(AND(Paths!$D$110="EV",Paths!$E$110&lt;120,Paths!$E$110+'Operating costs'!$B$65&gt;Paths!$E$110,Paths!$E$110+'Operating costs'!$B$65&lt;=120,IF(Paths!$E$110+'Operating costs'!$B$65=0,C1140=0,AND(C1140&gt;0,Paths!$E$110+'Operating costs'!$B$65&gt;(C1140-1)*12,Paths!$E$110+'Operating costs'!$B$65&lt;=C1140*12))),'Operating costs'!$B$64,0)+IF(AND('Operating costs'!$B$67&gt;0,'Operating costs'!$B$67&lt;=120,OR(Paths!$D$110="ICE",'Operating costs'!$B$67&lt;=Paths!$E$110),IF('Operating costs'!$B$67=0,C1140=0,AND(C1140&gt;0,'Operating costs'!$B$67&gt;(C1140-1)*12,'Operating costs'!$B$67&lt;=C1140*12))),'Operating costs'!$B$66,0),"n.a."))</f>
        <v>0</v>
      </c>
      <c r="N1140" s="16">
        <f>IF(NOT(Paths!$C$110=1),0,IF(Paths!$P$110="Complete",SUM(G1140:I1140)-J1140-K1140-L1140+M1140+IF(C1140=0,Paths!$F$110,0)+IF(IF(Paths!$E$110=0,C1140=0,AND(C1140&gt;0,Paths!$E$110&gt;(C1140-1)*12,Paths!$E$110&lt;=C1140*12)),VLOOKUP(A1140,'Fleet register'!$A$7:$S$106,16,FALSE),0),"n.a."))</f>
        <v>0</v>
      </c>
      <c r="O1140" s="16">
        <f>IF(NOT(Paths!$C$110=1),0,IF(Paths!$P$110="Complete",N1140-IF(C1140=0,Paths!$F$110,0),"n.a."))</f>
        <v>0</v>
      </c>
      <c r="P1140" s="16">
        <f>IF(NOT(Paths!$C$110=1),0,IF(Paths!$P$110="Complete",O1140+L1140,"n.a."))</f>
        <v>0</v>
      </c>
      <c r="Q1140" s="16">
        <f>IF(NOT(Paths!$C$110=1),0,IF(Paths!$P$110="Complete",N1140*(1+'Operating costs'!$B$54)^-C1140,"n.a."))</f>
        <v>0</v>
      </c>
      <c r="R1140" s="16">
        <f>IF(NOT(Paths!$C$110=1),0,IF(Paths!$P$110="Complete",IF(AND(C1140=0,Paths!$E$110=0),I1140-J1140-K1140+VLOOKUP(A1140,'Fleet register'!$A$7:$S$106,15,FALSE)+VLOOKUP(A1140,'Fleet register'!$A$7:$S$106,16,FALSE),0),"n.a."))</f>
        <v>0</v>
      </c>
      <c r="S1140" s="1">
        <f>IF(NOT(Paths!$C$110=1),0,IF(Paths!$P$110="Complete",IF(C1140=0,0,Paths!$S$110*Paths!$R$110),"n.a."))</f>
        <v>0</v>
      </c>
      <c r="T1140" s="1">
        <f>IF(NOT(Paths!$C$110=1),0,IF(Paths!$P$110="Complete",IF(C1140=0,0,VLOOKUP(A1140,'Fleet register'!$A$7:$S$106,9,FALSE)*Paths!$R$110),"n.a."))</f>
        <v>0</v>
      </c>
    </row>
    <row r="1141" spans="1:20" ht="24" customHeight="1">
      <c r="A1141" s="1" t="str">
        <f>Paths!$A$110</f>
        <v>T026</v>
      </c>
      <c r="B1141" s="1">
        <f>Paths!$B$110</f>
        <v>3</v>
      </c>
      <c r="C1141" s="1">
        <v>1</v>
      </c>
      <c r="D1141" s="1">
        <v>110</v>
      </c>
      <c r="E1141" s="1">
        <f>IF(OR(Paths!$C$110=0,C1141=0),0,MAX(0,MIN(C1141*12,Paths!$E$110)-(C1141-1)*12))</f>
        <v>0</v>
      </c>
      <c r="F1141" s="1">
        <f>IF(OR(Paths!$C$110=0,C1141=0),0,12-E1141)</f>
        <v>0</v>
      </c>
      <c r="G1141" s="16">
        <f>IF(NOT(Paths!$C$110=1),0,IF(Paths!$P$110="Complete",E1141/12*(Paths!$J$110*(1+'Operating costs'!$B$51)^MAX(0,C1141-1)+Paths!$K$110*(1+'Operating costs'!$B$53)^MAX(0,C1141-1)),"n.a."))</f>
        <v>0</v>
      </c>
      <c r="H1141" s="16">
        <f>IF(NOT(Paths!$C$110=1),0,IF(Paths!$P$110="Complete",F1141/12*(Paths!$L$110*(1+IF(Paths!$D$110="EV",'Operating costs'!$B$52,'Operating costs'!$B$51))^MAX(0,C1141-1)+Paths!$M$110*(1+'Operating costs'!$B$53)^MAX(0,C1141-1)),"n.a."))</f>
        <v>0</v>
      </c>
      <c r="I1141" s="16">
        <f>IF(NOT(Paths!$C$110=1),0,IF(Paths!$P$110="Complete",IF(IF(Paths!$E$110=0,C1141=0,AND(C1141&gt;0,Paths!$E$110&gt;(C1141-1)*12,Paths!$E$110&lt;=C1141*12)),Paths!$G$110,0),"n.a."))</f>
        <v>0</v>
      </c>
      <c r="J1141" s="16">
        <f>IF(NOT(Paths!$C$110=1),0,IF(Paths!$P$110="Complete",IF(IF(Paths!$E$110=0,C1141=0,AND(C1141&gt;0,Paths!$E$110&gt;(C1141-1)*12,Paths!$E$110&lt;=C1141*12)),Paths!$H$110,0),"n.a."))</f>
        <v>0</v>
      </c>
      <c r="K1141" s="16">
        <f>IF(NOT(Paths!$C$110=1),0,IF(Paths!$P$110="Complete",IF(IF(Paths!$O$110=0,C1141=0,AND(C1141&gt;0,Paths!$O$110&gt;(C1141-1)*12,Paths!$O$110&lt;=C1141*12)),Paths!$N$110,0),"n.a."))</f>
        <v>0</v>
      </c>
      <c r="L1141" s="16">
        <f>IF(NOT(Paths!$C$110=1),0,IF(Paths!$P$110="Complete",IF(C1141=10,Paths!$I$110,0),"n.a."))</f>
        <v>0</v>
      </c>
      <c r="M1141" s="16">
        <f>IF(NOT(Paths!$C$110=1),0,IF(Paths!$P$110="Complete",IF(AND(Paths!$D$110="EV",Paths!$E$110&lt;120,Paths!$E$110+'Operating costs'!$B$65&gt;Paths!$E$110,Paths!$E$110+'Operating costs'!$B$65&lt;=120,IF(Paths!$E$110+'Operating costs'!$B$65=0,C1141=0,AND(C1141&gt;0,Paths!$E$110+'Operating costs'!$B$65&gt;(C1141-1)*12,Paths!$E$110+'Operating costs'!$B$65&lt;=C1141*12))),'Operating costs'!$B$64,0)+IF(AND('Operating costs'!$B$67&gt;0,'Operating costs'!$B$67&lt;=120,OR(Paths!$D$110="ICE",'Operating costs'!$B$67&lt;=Paths!$E$110),IF('Operating costs'!$B$67=0,C1141=0,AND(C1141&gt;0,'Operating costs'!$B$67&gt;(C1141-1)*12,'Operating costs'!$B$67&lt;=C1141*12))),'Operating costs'!$B$66,0),"n.a."))</f>
        <v>0</v>
      </c>
      <c r="N1141" s="16">
        <f>IF(NOT(Paths!$C$110=1),0,IF(Paths!$P$110="Complete",SUM(G1141:I1141)-J1141-K1141-L1141+M1141+IF(C1141=0,Paths!$F$110,0)+IF(IF(Paths!$E$110=0,C1141=0,AND(C1141&gt;0,Paths!$E$110&gt;(C1141-1)*12,Paths!$E$110&lt;=C1141*12)),VLOOKUP(A1141,'Fleet register'!$A$7:$S$106,16,FALSE),0),"n.a."))</f>
        <v>0</v>
      </c>
      <c r="O1141" s="16">
        <f>IF(NOT(Paths!$C$110=1),0,IF(Paths!$P$110="Complete",N1141-IF(C1141=0,Paths!$F$110,0),"n.a."))</f>
        <v>0</v>
      </c>
      <c r="P1141" s="16">
        <f>IF(NOT(Paths!$C$110=1),0,IF(Paths!$P$110="Complete",O1141+L1141,"n.a."))</f>
        <v>0</v>
      </c>
      <c r="Q1141" s="16">
        <f>IF(NOT(Paths!$C$110=1),0,IF(Paths!$P$110="Complete",N1141*(1+'Operating costs'!$B$54)^-C1141,"n.a."))</f>
        <v>0</v>
      </c>
      <c r="R1141" s="16">
        <f>IF(NOT(Paths!$C$110=1),0,IF(Paths!$P$110="Complete",IF(AND(C1141=0,Paths!$E$110=0),I1141-J1141-K1141+VLOOKUP(A1141,'Fleet register'!$A$7:$S$106,15,FALSE)+VLOOKUP(A1141,'Fleet register'!$A$7:$S$106,16,FALSE),0),"n.a."))</f>
        <v>0</v>
      </c>
      <c r="S1141" s="1">
        <f>IF(NOT(Paths!$C$110=1),0,IF(Paths!$P$110="Complete",IF(C1141=0,0,Paths!$S$110*Paths!$R$110),"n.a."))</f>
        <v>0</v>
      </c>
      <c r="T1141" s="1">
        <f>IF(NOT(Paths!$C$110=1),0,IF(Paths!$P$110="Complete",IF(C1141=0,0,VLOOKUP(A1141,'Fleet register'!$A$7:$S$106,9,FALSE)*Paths!$R$110),"n.a."))</f>
        <v>0</v>
      </c>
    </row>
    <row r="1142" spans="1:20" ht="24" customHeight="1">
      <c r="A1142" s="1" t="str">
        <f>Paths!$A$110</f>
        <v>T026</v>
      </c>
      <c r="B1142" s="1">
        <f>Paths!$B$110</f>
        <v>3</v>
      </c>
      <c r="C1142" s="1">
        <v>2</v>
      </c>
      <c r="D1142" s="1">
        <v>110</v>
      </c>
      <c r="E1142" s="1">
        <f>IF(OR(Paths!$C$110=0,C1142=0),0,MAX(0,MIN(C1142*12,Paths!$E$110)-(C1142-1)*12))</f>
        <v>0</v>
      </c>
      <c r="F1142" s="1">
        <f>IF(OR(Paths!$C$110=0,C1142=0),0,12-E1142)</f>
        <v>0</v>
      </c>
      <c r="G1142" s="16">
        <f>IF(NOT(Paths!$C$110=1),0,IF(Paths!$P$110="Complete",E1142/12*(Paths!$J$110*(1+'Operating costs'!$B$51)^MAX(0,C1142-1)+Paths!$K$110*(1+'Operating costs'!$B$53)^MAX(0,C1142-1)),"n.a."))</f>
        <v>0</v>
      </c>
      <c r="H1142" s="16">
        <f>IF(NOT(Paths!$C$110=1),0,IF(Paths!$P$110="Complete",F1142/12*(Paths!$L$110*(1+IF(Paths!$D$110="EV",'Operating costs'!$B$52,'Operating costs'!$B$51))^MAX(0,C1142-1)+Paths!$M$110*(1+'Operating costs'!$B$53)^MAX(0,C1142-1)),"n.a."))</f>
        <v>0</v>
      </c>
      <c r="I1142" s="16">
        <f>IF(NOT(Paths!$C$110=1),0,IF(Paths!$P$110="Complete",IF(IF(Paths!$E$110=0,C1142=0,AND(C1142&gt;0,Paths!$E$110&gt;(C1142-1)*12,Paths!$E$110&lt;=C1142*12)),Paths!$G$110,0),"n.a."))</f>
        <v>0</v>
      </c>
      <c r="J1142" s="16">
        <f>IF(NOT(Paths!$C$110=1),0,IF(Paths!$P$110="Complete",IF(IF(Paths!$E$110=0,C1142=0,AND(C1142&gt;0,Paths!$E$110&gt;(C1142-1)*12,Paths!$E$110&lt;=C1142*12)),Paths!$H$110,0),"n.a."))</f>
        <v>0</v>
      </c>
      <c r="K1142" s="16">
        <f>IF(NOT(Paths!$C$110=1),0,IF(Paths!$P$110="Complete",IF(IF(Paths!$O$110=0,C1142=0,AND(C1142&gt;0,Paths!$O$110&gt;(C1142-1)*12,Paths!$O$110&lt;=C1142*12)),Paths!$N$110,0),"n.a."))</f>
        <v>0</v>
      </c>
      <c r="L1142" s="16">
        <f>IF(NOT(Paths!$C$110=1),0,IF(Paths!$P$110="Complete",IF(C1142=10,Paths!$I$110,0),"n.a."))</f>
        <v>0</v>
      </c>
      <c r="M1142" s="16">
        <f>IF(NOT(Paths!$C$110=1),0,IF(Paths!$P$110="Complete",IF(AND(Paths!$D$110="EV",Paths!$E$110&lt;120,Paths!$E$110+'Operating costs'!$B$65&gt;Paths!$E$110,Paths!$E$110+'Operating costs'!$B$65&lt;=120,IF(Paths!$E$110+'Operating costs'!$B$65=0,C1142=0,AND(C1142&gt;0,Paths!$E$110+'Operating costs'!$B$65&gt;(C1142-1)*12,Paths!$E$110+'Operating costs'!$B$65&lt;=C1142*12))),'Operating costs'!$B$64,0)+IF(AND('Operating costs'!$B$67&gt;0,'Operating costs'!$B$67&lt;=120,OR(Paths!$D$110="ICE",'Operating costs'!$B$67&lt;=Paths!$E$110),IF('Operating costs'!$B$67=0,C1142=0,AND(C1142&gt;0,'Operating costs'!$B$67&gt;(C1142-1)*12,'Operating costs'!$B$67&lt;=C1142*12))),'Operating costs'!$B$66,0),"n.a."))</f>
        <v>0</v>
      </c>
      <c r="N1142" s="16">
        <f>IF(NOT(Paths!$C$110=1),0,IF(Paths!$P$110="Complete",SUM(G1142:I1142)-J1142-K1142-L1142+M1142+IF(C1142=0,Paths!$F$110,0)+IF(IF(Paths!$E$110=0,C1142=0,AND(C1142&gt;0,Paths!$E$110&gt;(C1142-1)*12,Paths!$E$110&lt;=C1142*12)),VLOOKUP(A1142,'Fleet register'!$A$7:$S$106,16,FALSE),0),"n.a."))</f>
        <v>0</v>
      </c>
      <c r="O1142" s="16">
        <f>IF(NOT(Paths!$C$110=1),0,IF(Paths!$P$110="Complete",N1142-IF(C1142=0,Paths!$F$110,0),"n.a."))</f>
        <v>0</v>
      </c>
      <c r="P1142" s="16">
        <f>IF(NOT(Paths!$C$110=1),0,IF(Paths!$P$110="Complete",O1142+L1142,"n.a."))</f>
        <v>0</v>
      </c>
      <c r="Q1142" s="16">
        <f>IF(NOT(Paths!$C$110=1),0,IF(Paths!$P$110="Complete",N1142*(1+'Operating costs'!$B$54)^-C1142,"n.a."))</f>
        <v>0</v>
      </c>
      <c r="R1142" s="16">
        <f>IF(NOT(Paths!$C$110=1),0,IF(Paths!$P$110="Complete",IF(AND(C1142=0,Paths!$E$110=0),I1142-J1142-K1142+VLOOKUP(A1142,'Fleet register'!$A$7:$S$106,15,FALSE)+VLOOKUP(A1142,'Fleet register'!$A$7:$S$106,16,FALSE),0),"n.a."))</f>
        <v>0</v>
      </c>
      <c r="S1142" s="1">
        <f>IF(NOT(Paths!$C$110=1),0,IF(Paths!$P$110="Complete",IF(C1142=0,0,Paths!$S$110*Paths!$R$110),"n.a."))</f>
        <v>0</v>
      </c>
      <c r="T1142" s="1">
        <f>IF(NOT(Paths!$C$110=1),0,IF(Paths!$P$110="Complete",IF(C1142=0,0,VLOOKUP(A1142,'Fleet register'!$A$7:$S$106,9,FALSE)*Paths!$R$110),"n.a."))</f>
        <v>0</v>
      </c>
    </row>
    <row r="1143" spans="1:20" ht="24" customHeight="1">
      <c r="A1143" s="1" t="str">
        <f>Paths!$A$110</f>
        <v>T026</v>
      </c>
      <c r="B1143" s="1">
        <f>Paths!$B$110</f>
        <v>3</v>
      </c>
      <c r="C1143" s="1">
        <v>3</v>
      </c>
      <c r="D1143" s="1">
        <v>110</v>
      </c>
      <c r="E1143" s="1">
        <f>IF(OR(Paths!$C$110=0,C1143=0),0,MAX(0,MIN(C1143*12,Paths!$E$110)-(C1143-1)*12))</f>
        <v>0</v>
      </c>
      <c r="F1143" s="1">
        <f>IF(OR(Paths!$C$110=0,C1143=0),0,12-E1143)</f>
        <v>0</v>
      </c>
      <c r="G1143" s="16">
        <f>IF(NOT(Paths!$C$110=1),0,IF(Paths!$P$110="Complete",E1143/12*(Paths!$J$110*(1+'Operating costs'!$B$51)^MAX(0,C1143-1)+Paths!$K$110*(1+'Operating costs'!$B$53)^MAX(0,C1143-1)),"n.a."))</f>
        <v>0</v>
      </c>
      <c r="H1143" s="16">
        <f>IF(NOT(Paths!$C$110=1),0,IF(Paths!$P$110="Complete",F1143/12*(Paths!$L$110*(1+IF(Paths!$D$110="EV",'Operating costs'!$B$52,'Operating costs'!$B$51))^MAX(0,C1143-1)+Paths!$M$110*(1+'Operating costs'!$B$53)^MAX(0,C1143-1)),"n.a."))</f>
        <v>0</v>
      </c>
      <c r="I1143" s="16">
        <f>IF(NOT(Paths!$C$110=1),0,IF(Paths!$P$110="Complete",IF(IF(Paths!$E$110=0,C1143=0,AND(C1143&gt;0,Paths!$E$110&gt;(C1143-1)*12,Paths!$E$110&lt;=C1143*12)),Paths!$G$110,0),"n.a."))</f>
        <v>0</v>
      </c>
      <c r="J1143" s="16">
        <f>IF(NOT(Paths!$C$110=1),0,IF(Paths!$P$110="Complete",IF(IF(Paths!$E$110=0,C1143=0,AND(C1143&gt;0,Paths!$E$110&gt;(C1143-1)*12,Paths!$E$110&lt;=C1143*12)),Paths!$H$110,0),"n.a."))</f>
        <v>0</v>
      </c>
      <c r="K1143" s="16">
        <f>IF(NOT(Paths!$C$110=1),0,IF(Paths!$P$110="Complete",IF(IF(Paths!$O$110=0,C1143=0,AND(C1143&gt;0,Paths!$O$110&gt;(C1143-1)*12,Paths!$O$110&lt;=C1143*12)),Paths!$N$110,0),"n.a."))</f>
        <v>0</v>
      </c>
      <c r="L1143" s="16">
        <f>IF(NOT(Paths!$C$110=1),0,IF(Paths!$P$110="Complete",IF(C1143=10,Paths!$I$110,0),"n.a."))</f>
        <v>0</v>
      </c>
      <c r="M1143" s="16">
        <f>IF(NOT(Paths!$C$110=1),0,IF(Paths!$P$110="Complete",IF(AND(Paths!$D$110="EV",Paths!$E$110&lt;120,Paths!$E$110+'Operating costs'!$B$65&gt;Paths!$E$110,Paths!$E$110+'Operating costs'!$B$65&lt;=120,IF(Paths!$E$110+'Operating costs'!$B$65=0,C1143=0,AND(C1143&gt;0,Paths!$E$110+'Operating costs'!$B$65&gt;(C1143-1)*12,Paths!$E$110+'Operating costs'!$B$65&lt;=C1143*12))),'Operating costs'!$B$64,0)+IF(AND('Operating costs'!$B$67&gt;0,'Operating costs'!$B$67&lt;=120,OR(Paths!$D$110="ICE",'Operating costs'!$B$67&lt;=Paths!$E$110),IF('Operating costs'!$B$67=0,C1143=0,AND(C1143&gt;0,'Operating costs'!$B$67&gt;(C1143-1)*12,'Operating costs'!$B$67&lt;=C1143*12))),'Operating costs'!$B$66,0),"n.a."))</f>
        <v>0</v>
      </c>
      <c r="N1143" s="16">
        <f>IF(NOT(Paths!$C$110=1),0,IF(Paths!$P$110="Complete",SUM(G1143:I1143)-J1143-K1143-L1143+M1143+IF(C1143=0,Paths!$F$110,0)+IF(IF(Paths!$E$110=0,C1143=0,AND(C1143&gt;0,Paths!$E$110&gt;(C1143-1)*12,Paths!$E$110&lt;=C1143*12)),VLOOKUP(A1143,'Fleet register'!$A$7:$S$106,16,FALSE),0),"n.a."))</f>
        <v>0</v>
      </c>
      <c r="O1143" s="16">
        <f>IF(NOT(Paths!$C$110=1),0,IF(Paths!$P$110="Complete",N1143-IF(C1143=0,Paths!$F$110,0),"n.a."))</f>
        <v>0</v>
      </c>
      <c r="P1143" s="16">
        <f>IF(NOT(Paths!$C$110=1),0,IF(Paths!$P$110="Complete",O1143+L1143,"n.a."))</f>
        <v>0</v>
      </c>
      <c r="Q1143" s="16">
        <f>IF(NOT(Paths!$C$110=1),0,IF(Paths!$P$110="Complete",N1143*(1+'Operating costs'!$B$54)^-C1143,"n.a."))</f>
        <v>0</v>
      </c>
      <c r="R1143" s="16">
        <f>IF(NOT(Paths!$C$110=1),0,IF(Paths!$P$110="Complete",IF(AND(C1143=0,Paths!$E$110=0),I1143-J1143-K1143+VLOOKUP(A1143,'Fleet register'!$A$7:$S$106,15,FALSE)+VLOOKUP(A1143,'Fleet register'!$A$7:$S$106,16,FALSE),0),"n.a."))</f>
        <v>0</v>
      </c>
      <c r="S1143" s="1">
        <f>IF(NOT(Paths!$C$110=1),0,IF(Paths!$P$110="Complete",IF(C1143=0,0,Paths!$S$110*Paths!$R$110),"n.a."))</f>
        <v>0</v>
      </c>
      <c r="T1143" s="1">
        <f>IF(NOT(Paths!$C$110=1),0,IF(Paths!$P$110="Complete",IF(C1143=0,0,VLOOKUP(A1143,'Fleet register'!$A$7:$S$106,9,FALSE)*Paths!$R$110),"n.a."))</f>
        <v>0</v>
      </c>
    </row>
    <row r="1144" spans="1:20" ht="24" customHeight="1">
      <c r="A1144" s="1" t="str">
        <f>Paths!$A$110</f>
        <v>T026</v>
      </c>
      <c r="B1144" s="1">
        <f>Paths!$B$110</f>
        <v>3</v>
      </c>
      <c r="C1144" s="1">
        <v>4</v>
      </c>
      <c r="D1144" s="1">
        <v>110</v>
      </c>
      <c r="E1144" s="1">
        <f>IF(OR(Paths!$C$110=0,C1144=0),0,MAX(0,MIN(C1144*12,Paths!$E$110)-(C1144-1)*12))</f>
        <v>0</v>
      </c>
      <c r="F1144" s="1">
        <f>IF(OR(Paths!$C$110=0,C1144=0),0,12-E1144)</f>
        <v>0</v>
      </c>
      <c r="G1144" s="16">
        <f>IF(NOT(Paths!$C$110=1),0,IF(Paths!$P$110="Complete",E1144/12*(Paths!$J$110*(1+'Operating costs'!$B$51)^MAX(0,C1144-1)+Paths!$K$110*(1+'Operating costs'!$B$53)^MAX(0,C1144-1)),"n.a."))</f>
        <v>0</v>
      </c>
      <c r="H1144" s="16">
        <f>IF(NOT(Paths!$C$110=1),0,IF(Paths!$P$110="Complete",F1144/12*(Paths!$L$110*(1+IF(Paths!$D$110="EV",'Operating costs'!$B$52,'Operating costs'!$B$51))^MAX(0,C1144-1)+Paths!$M$110*(1+'Operating costs'!$B$53)^MAX(0,C1144-1)),"n.a."))</f>
        <v>0</v>
      </c>
      <c r="I1144" s="16">
        <f>IF(NOT(Paths!$C$110=1),0,IF(Paths!$P$110="Complete",IF(IF(Paths!$E$110=0,C1144=0,AND(C1144&gt;0,Paths!$E$110&gt;(C1144-1)*12,Paths!$E$110&lt;=C1144*12)),Paths!$G$110,0),"n.a."))</f>
        <v>0</v>
      </c>
      <c r="J1144" s="16">
        <f>IF(NOT(Paths!$C$110=1),0,IF(Paths!$P$110="Complete",IF(IF(Paths!$E$110=0,C1144=0,AND(C1144&gt;0,Paths!$E$110&gt;(C1144-1)*12,Paths!$E$110&lt;=C1144*12)),Paths!$H$110,0),"n.a."))</f>
        <v>0</v>
      </c>
      <c r="K1144" s="16">
        <f>IF(NOT(Paths!$C$110=1),0,IF(Paths!$P$110="Complete",IF(IF(Paths!$O$110=0,C1144=0,AND(C1144&gt;0,Paths!$O$110&gt;(C1144-1)*12,Paths!$O$110&lt;=C1144*12)),Paths!$N$110,0),"n.a."))</f>
        <v>0</v>
      </c>
      <c r="L1144" s="16">
        <f>IF(NOT(Paths!$C$110=1),0,IF(Paths!$P$110="Complete",IF(C1144=10,Paths!$I$110,0),"n.a."))</f>
        <v>0</v>
      </c>
      <c r="M1144" s="16">
        <f>IF(NOT(Paths!$C$110=1),0,IF(Paths!$P$110="Complete",IF(AND(Paths!$D$110="EV",Paths!$E$110&lt;120,Paths!$E$110+'Operating costs'!$B$65&gt;Paths!$E$110,Paths!$E$110+'Operating costs'!$B$65&lt;=120,IF(Paths!$E$110+'Operating costs'!$B$65=0,C1144=0,AND(C1144&gt;0,Paths!$E$110+'Operating costs'!$B$65&gt;(C1144-1)*12,Paths!$E$110+'Operating costs'!$B$65&lt;=C1144*12))),'Operating costs'!$B$64,0)+IF(AND('Operating costs'!$B$67&gt;0,'Operating costs'!$B$67&lt;=120,OR(Paths!$D$110="ICE",'Operating costs'!$B$67&lt;=Paths!$E$110),IF('Operating costs'!$B$67=0,C1144=0,AND(C1144&gt;0,'Operating costs'!$B$67&gt;(C1144-1)*12,'Operating costs'!$B$67&lt;=C1144*12))),'Operating costs'!$B$66,0),"n.a."))</f>
        <v>0</v>
      </c>
      <c r="N1144" s="16">
        <f>IF(NOT(Paths!$C$110=1),0,IF(Paths!$P$110="Complete",SUM(G1144:I1144)-J1144-K1144-L1144+M1144+IF(C1144=0,Paths!$F$110,0)+IF(IF(Paths!$E$110=0,C1144=0,AND(C1144&gt;0,Paths!$E$110&gt;(C1144-1)*12,Paths!$E$110&lt;=C1144*12)),VLOOKUP(A1144,'Fleet register'!$A$7:$S$106,16,FALSE),0),"n.a."))</f>
        <v>0</v>
      </c>
      <c r="O1144" s="16">
        <f>IF(NOT(Paths!$C$110=1),0,IF(Paths!$P$110="Complete",N1144-IF(C1144=0,Paths!$F$110,0),"n.a."))</f>
        <v>0</v>
      </c>
      <c r="P1144" s="16">
        <f>IF(NOT(Paths!$C$110=1),0,IF(Paths!$P$110="Complete",O1144+L1144,"n.a."))</f>
        <v>0</v>
      </c>
      <c r="Q1144" s="16">
        <f>IF(NOT(Paths!$C$110=1),0,IF(Paths!$P$110="Complete",N1144*(1+'Operating costs'!$B$54)^-C1144,"n.a."))</f>
        <v>0</v>
      </c>
      <c r="R1144" s="16">
        <f>IF(NOT(Paths!$C$110=1),0,IF(Paths!$P$110="Complete",IF(AND(C1144=0,Paths!$E$110=0),I1144-J1144-K1144+VLOOKUP(A1144,'Fleet register'!$A$7:$S$106,15,FALSE)+VLOOKUP(A1144,'Fleet register'!$A$7:$S$106,16,FALSE),0),"n.a."))</f>
        <v>0</v>
      </c>
      <c r="S1144" s="1">
        <f>IF(NOT(Paths!$C$110=1),0,IF(Paths!$P$110="Complete",IF(C1144=0,0,Paths!$S$110*Paths!$R$110),"n.a."))</f>
        <v>0</v>
      </c>
      <c r="T1144" s="1">
        <f>IF(NOT(Paths!$C$110=1),0,IF(Paths!$P$110="Complete",IF(C1144=0,0,VLOOKUP(A1144,'Fleet register'!$A$7:$S$106,9,FALSE)*Paths!$R$110),"n.a."))</f>
        <v>0</v>
      </c>
    </row>
    <row r="1145" spans="1:20" ht="24" customHeight="1">
      <c r="A1145" s="1" t="str">
        <f>Paths!$A$110</f>
        <v>T026</v>
      </c>
      <c r="B1145" s="1">
        <f>Paths!$B$110</f>
        <v>3</v>
      </c>
      <c r="C1145" s="1">
        <v>5</v>
      </c>
      <c r="D1145" s="1">
        <v>110</v>
      </c>
      <c r="E1145" s="1">
        <f>IF(OR(Paths!$C$110=0,C1145=0),0,MAX(0,MIN(C1145*12,Paths!$E$110)-(C1145-1)*12))</f>
        <v>0</v>
      </c>
      <c r="F1145" s="1">
        <f>IF(OR(Paths!$C$110=0,C1145=0),0,12-E1145)</f>
        <v>0</v>
      </c>
      <c r="G1145" s="16">
        <f>IF(NOT(Paths!$C$110=1),0,IF(Paths!$P$110="Complete",E1145/12*(Paths!$J$110*(1+'Operating costs'!$B$51)^MAX(0,C1145-1)+Paths!$K$110*(1+'Operating costs'!$B$53)^MAX(0,C1145-1)),"n.a."))</f>
        <v>0</v>
      </c>
      <c r="H1145" s="16">
        <f>IF(NOT(Paths!$C$110=1),0,IF(Paths!$P$110="Complete",F1145/12*(Paths!$L$110*(1+IF(Paths!$D$110="EV",'Operating costs'!$B$52,'Operating costs'!$B$51))^MAX(0,C1145-1)+Paths!$M$110*(1+'Operating costs'!$B$53)^MAX(0,C1145-1)),"n.a."))</f>
        <v>0</v>
      </c>
      <c r="I1145" s="16">
        <f>IF(NOT(Paths!$C$110=1),0,IF(Paths!$P$110="Complete",IF(IF(Paths!$E$110=0,C1145=0,AND(C1145&gt;0,Paths!$E$110&gt;(C1145-1)*12,Paths!$E$110&lt;=C1145*12)),Paths!$G$110,0),"n.a."))</f>
        <v>0</v>
      </c>
      <c r="J1145" s="16">
        <f>IF(NOT(Paths!$C$110=1),0,IF(Paths!$P$110="Complete",IF(IF(Paths!$E$110=0,C1145=0,AND(C1145&gt;0,Paths!$E$110&gt;(C1145-1)*12,Paths!$E$110&lt;=C1145*12)),Paths!$H$110,0),"n.a."))</f>
        <v>0</v>
      </c>
      <c r="K1145" s="16">
        <f>IF(NOT(Paths!$C$110=1),0,IF(Paths!$P$110="Complete",IF(IF(Paths!$O$110=0,C1145=0,AND(C1145&gt;0,Paths!$O$110&gt;(C1145-1)*12,Paths!$O$110&lt;=C1145*12)),Paths!$N$110,0),"n.a."))</f>
        <v>0</v>
      </c>
      <c r="L1145" s="16">
        <f>IF(NOT(Paths!$C$110=1),0,IF(Paths!$P$110="Complete",IF(C1145=10,Paths!$I$110,0),"n.a."))</f>
        <v>0</v>
      </c>
      <c r="M1145" s="16">
        <f>IF(NOT(Paths!$C$110=1),0,IF(Paths!$P$110="Complete",IF(AND(Paths!$D$110="EV",Paths!$E$110&lt;120,Paths!$E$110+'Operating costs'!$B$65&gt;Paths!$E$110,Paths!$E$110+'Operating costs'!$B$65&lt;=120,IF(Paths!$E$110+'Operating costs'!$B$65=0,C1145=0,AND(C1145&gt;0,Paths!$E$110+'Operating costs'!$B$65&gt;(C1145-1)*12,Paths!$E$110+'Operating costs'!$B$65&lt;=C1145*12))),'Operating costs'!$B$64,0)+IF(AND('Operating costs'!$B$67&gt;0,'Operating costs'!$B$67&lt;=120,OR(Paths!$D$110="ICE",'Operating costs'!$B$67&lt;=Paths!$E$110),IF('Operating costs'!$B$67=0,C1145=0,AND(C1145&gt;0,'Operating costs'!$B$67&gt;(C1145-1)*12,'Operating costs'!$B$67&lt;=C1145*12))),'Operating costs'!$B$66,0),"n.a."))</f>
        <v>0</v>
      </c>
      <c r="N1145" s="16">
        <f>IF(NOT(Paths!$C$110=1),0,IF(Paths!$P$110="Complete",SUM(G1145:I1145)-J1145-K1145-L1145+M1145+IF(C1145=0,Paths!$F$110,0)+IF(IF(Paths!$E$110=0,C1145=0,AND(C1145&gt;0,Paths!$E$110&gt;(C1145-1)*12,Paths!$E$110&lt;=C1145*12)),VLOOKUP(A1145,'Fleet register'!$A$7:$S$106,16,FALSE),0),"n.a."))</f>
        <v>0</v>
      </c>
      <c r="O1145" s="16">
        <f>IF(NOT(Paths!$C$110=1),0,IF(Paths!$P$110="Complete",N1145-IF(C1145=0,Paths!$F$110,0),"n.a."))</f>
        <v>0</v>
      </c>
      <c r="P1145" s="16">
        <f>IF(NOT(Paths!$C$110=1),0,IF(Paths!$P$110="Complete",O1145+L1145,"n.a."))</f>
        <v>0</v>
      </c>
      <c r="Q1145" s="16">
        <f>IF(NOT(Paths!$C$110=1),0,IF(Paths!$P$110="Complete",N1145*(1+'Operating costs'!$B$54)^-C1145,"n.a."))</f>
        <v>0</v>
      </c>
      <c r="R1145" s="16">
        <f>IF(NOT(Paths!$C$110=1),0,IF(Paths!$P$110="Complete",IF(AND(C1145=0,Paths!$E$110=0),I1145-J1145-K1145+VLOOKUP(A1145,'Fleet register'!$A$7:$S$106,15,FALSE)+VLOOKUP(A1145,'Fleet register'!$A$7:$S$106,16,FALSE),0),"n.a."))</f>
        <v>0</v>
      </c>
      <c r="S1145" s="1">
        <f>IF(NOT(Paths!$C$110=1),0,IF(Paths!$P$110="Complete",IF(C1145=0,0,Paths!$S$110*Paths!$R$110),"n.a."))</f>
        <v>0</v>
      </c>
      <c r="T1145" s="1">
        <f>IF(NOT(Paths!$C$110=1),0,IF(Paths!$P$110="Complete",IF(C1145=0,0,VLOOKUP(A1145,'Fleet register'!$A$7:$S$106,9,FALSE)*Paths!$R$110),"n.a."))</f>
        <v>0</v>
      </c>
    </row>
    <row r="1146" spans="1:20" ht="24" customHeight="1">
      <c r="A1146" s="1" t="str">
        <f>Paths!$A$110</f>
        <v>T026</v>
      </c>
      <c r="B1146" s="1">
        <f>Paths!$B$110</f>
        <v>3</v>
      </c>
      <c r="C1146" s="1">
        <v>6</v>
      </c>
      <c r="D1146" s="1">
        <v>110</v>
      </c>
      <c r="E1146" s="1">
        <f>IF(OR(Paths!$C$110=0,C1146=0),0,MAX(0,MIN(C1146*12,Paths!$E$110)-(C1146-1)*12))</f>
        <v>0</v>
      </c>
      <c r="F1146" s="1">
        <f>IF(OR(Paths!$C$110=0,C1146=0),0,12-E1146)</f>
        <v>0</v>
      </c>
      <c r="G1146" s="16">
        <f>IF(NOT(Paths!$C$110=1),0,IF(Paths!$P$110="Complete",E1146/12*(Paths!$J$110*(1+'Operating costs'!$B$51)^MAX(0,C1146-1)+Paths!$K$110*(1+'Operating costs'!$B$53)^MAX(0,C1146-1)),"n.a."))</f>
        <v>0</v>
      </c>
      <c r="H1146" s="16">
        <f>IF(NOT(Paths!$C$110=1),0,IF(Paths!$P$110="Complete",F1146/12*(Paths!$L$110*(1+IF(Paths!$D$110="EV",'Operating costs'!$B$52,'Operating costs'!$B$51))^MAX(0,C1146-1)+Paths!$M$110*(1+'Operating costs'!$B$53)^MAX(0,C1146-1)),"n.a."))</f>
        <v>0</v>
      </c>
      <c r="I1146" s="16">
        <f>IF(NOT(Paths!$C$110=1),0,IF(Paths!$P$110="Complete",IF(IF(Paths!$E$110=0,C1146=0,AND(C1146&gt;0,Paths!$E$110&gt;(C1146-1)*12,Paths!$E$110&lt;=C1146*12)),Paths!$G$110,0),"n.a."))</f>
        <v>0</v>
      </c>
      <c r="J1146" s="16">
        <f>IF(NOT(Paths!$C$110=1),0,IF(Paths!$P$110="Complete",IF(IF(Paths!$E$110=0,C1146=0,AND(C1146&gt;0,Paths!$E$110&gt;(C1146-1)*12,Paths!$E$110&lt;=C1146*12)),Paths!$H$110,0),"n.a."))</f>
        <v>0</v>
      </c>
      <c r="K1146" s="16">
        <f>IF(NOT(Paths!$C$110=1),0,IF(Paths!$P$110="Complete",IF(IF(Paths!$O$110=0,C1146=0,AND(C1146&gt;0,Paths!$O$110&gt;(C1146-1)*12,Paths!$O$110&lt;=C1146*12)),Paths!$N$110,0),"n.a."))</f>
        <v>0</v>
      </c>
      <c r="L1146" s="16">
        <f>IF(NOT(Paths!$C$110=1),0,IF(Paths!$P$110="Complete",IF(C1146=10,Paths!$I$110,0),"n.a."))</f>
        <v>0</v>
      </c>
      <c r="M1146" s="16">
        <f>IF(NOT(Paths!$C$110=1),0,IF(Paths!$P$110="Complete",IF(AND(Paths!$D$110="EV",Paths!$E$110&lt;120,Paths!$E$110+'Operating costs'!$B$65&gt;Paths!$E$110,Paths!$E$110+'Operating costs'!$B$65&lt;=120,IF(Paths!$E$110+'Operating costs'!$B$65=0,C1146=0,AND(C1146&gt;0,Paths!$E$110+'Operating costs'!$B$65&gt;(C1146-1)*12,Paths!$E$110+'Operating costs'!$B$65&lt;=C1146*12))),'Operating costs'!$B$64,0)+IF(AND('Operating costs'!$B$67&gt;0,'Operating costs'!$B$67&lt;=120,OR(Paths!$D$110="ICE",'Operating costs'!$B$67&lt;=Paths!$E$110),IF('Operating costs'!$B$67=0,C1146=0,AND(C1146&gt;0,'Operating costs'!$B$67&gt;(C1146-1)*12,'Operating costs'!$B$67&lt;=C1146*12))),'Operating costs'!$B$66,0),"n.a."))</f>
        <v>0</v>
      </c>
      <c r="N1146" s="16">
        <f>IF(NOT(Paths!$C$110=1),0,IF(Paths!$P$110="Complete",SUM(G1146:I1146)-J1146-K1146-L1146+M1146+IF(C1146=0,Paths!$F$110,0)+IF(IF(Paths!$E$110=0,C1146=0,AND(C1146&gt;0,Paths!$E$110&gt;(C1146-1)*12,Paths!$E$110&lt;=C1146*12)),VLOOKUP(A1146,'Fleet register'!$A$7:$S$106,16,FALSE),0),"n.a."))</f>
        <v>0</v>
      </c>
      <c r="O1146" s="16">
        <f>IF(NOT(Paths!$C$110=1),0,IF(Paths!$P$110="Complete",N1146-IF(C1146=0,Paths!$F$110,0),"n.a."))</f>
        <v>0</v>
      </c>
      <c r="P1146" s="16">
        <f>IF(NOT(Paths!$C$110=1),0,IF(Paths!$P$110="Complete",O1146+L1146,"n.a."))</f>
        <v>0</v>
      </c>
      <c r="Q1146" s="16">
        <f>IF(NOT(Paths!$C$110=1),0,IF(Paths!$P$110="Complete",N1146*(1+'Operating costs'!$B$54)^-C1146,"n.a."))</f>
        <v>0</v>
      </c>
      <c r="R1146" s="16">
        <f>IF(NOT(Paths!$C$110=1),0,IF(Paths!$P$110="Complete",IF(AND(C1146=0,Paths!$E$110=0),I1146-J1146-K1146+VLOOKUP(A1146,'Fleet register'!$A$7:$S$106,15,FALSE)+VLOOKUP(A1146,'Fleet register'!$A$7:$S$106,16,FALSE),0),"n.a."))</f>
        <v>0</v>
      </c>
      <c r="S1146" s="1">
        <f>IF(NOT(Paths!$C$110=1),0,IF(Paths!$P$110="Complete",IF(C1146=0,0,Paths!$S$110*Paths!$R$110),"n.a."))</f>
        <v>0</v>
      </c>
      <c r="T1146" s="1">
        <f>IF(NOT(Paths!$C$110=1),0,IF(Paths!$P$110="Complete",IF(C1146=0,0,VLOOKUP(A1146,'Fleet register'!$A$7:$S$106,9,FALSE)*Paths!$R$110),"n.a."))</f>
        <v>0</v>
      </c>
    </row>
    <row r="1147" spans="1:20" ht="24" customHeight="1">
      <c r="A1147" s="1" t="str">
        <f>Paths!$A$110</f>
        <v>T026</v>
      </c>
      <c r="B1147" s="1">
        <f>Paths!$B$110</f>
        <v>3</v>
      </c>
      <c r="C1147" s="1">
        <v>7</v>
      </c>
      <c r="D1147" s="1">
        <v>110</v>
      </c>
      <c r="E1147" s="1">
        <f>IF(OR(Paths!$C$110=0,C1147=0),0,MAX(0,MIN(C1147*12,Paths!$E$110)-(C1147-1)*12))</f>
        <v>0</v>
      </c>
      <c r="F1147" s="1">
        <f>IF(OR(Paths!$C$110=0,C1147=0),0,12-E1147)</f>
        <v>0</v>
      </c>
      <c r="G1147" s="16">
        <f>IF(NOT(Paths!$C$110=1),0,IF(Paths!$P$110="Complete",E1147/12*(Paths!$J$110*(1+'Operating costs'!$B$51)^MAX(0,C1147-1)+Paths!$K$110*(1+'Operating costs'!$B$53)^MAX(0,C1147-1)),"n.a."))</f>
        <v>0</v>
      </c>
      <c r="H1147" s="16">
        <f>IF(NOT(Paths!$C$110=1),0,IF(Paths!$P$110="Complete",F1147/12*(Paths!$L$110*(1+IF(Paths!$D$110="EV",'Operating costs'!$B$52,'Operating costs'!$B$51))^MAX(0,C1147-1)+Paths!$M$110*(1+'Operating costs'!$B$53)^MAX(0,C1147-1)),"n.a."))</f>
        <v>0</v>
      </c>
      <c r="I1147" s="16">
        <f>IF(NOT(Paths!$C$110=1),0,IF(Paths!$P$110="Complete",IF(IF(Paths!$E$110=0,C1147=0,AND(C1147&gt;0,Paths!$E$110&gt;(C1147-1)*12,Paths!$E$110&lt;=C1147*12)),Paths!$G$110,0),"n.a."))</f>
        <v>0</v>
      </c>
      <c r="J1147" s="16">
        <f>IF(NOT(Paths!$C$110=1),0,IF(Paths!$P$110="Complete",IF(IF(Paths!$E$110=0,C1147=0,AND(C1147&gt;0,Paths!$E$110&gt;(C1147-1)*12,Paths!$E$110&lt;=C1147*12)),Paths!$H$110,0),"n.a."))</f>
        <v>0</v>
      </c>
      <c r="K1147" s="16">
        <f>IF(NOT(Paths!$C$110=1),0,IF(Paths!$P$110="Complete",IF(IF(Paths!$O$110=0,C1147=0,AND(C1147&gt;0,Paths!$O$110&gt;(C1147-1)*12,Paths!$O$110&lt;=C1147*12)),Paths!$N$110,0),"n.a."))</f>
        <v>0</v>
      </c>
      <c r="L1147" s="16">
        <f>IF(NOT(Paths!$C$110=1),0,IF(Paths!$P$110="Complete",IF(C1147=10,Paths!$I$110,0),"n.a."))</f>
        <v>0</v>
      </c>
      <c r="M1147" s="16">
        <f>IF(NOT(Paths!$C$110=1),0,IF(Paths!$P$110="Complete",IF(AND(Paths!$D$110="EV",Paths!$E$110&lt;120,Paths!$E$110+'Operating costs'!$B$65&gt;Paths!$E$110,Paths!$E$110+'Operating costs'!$B$65&lt;=120,IF(Paths!$E$110+'Operating costs'!$B$65=0,C1147=0,AND(C1147&gt;0,Paths!$E$110+'Operating costs'!$B$65&gt;(C1147-1)*12,Paths!$E$110+'Operating costs'!$B$65&lt;=C1147*12))),'Operating costs'!$B$64,0)+IF(AND('Operating costs'!$B$67&gt;0,'Operating costs'!$B$67&lt;=120,OR(Paths!$D$110="ICE",'Operating costs'!$B$67&lt;=Paths!$E$110),IF('Operating costs'!$B$67=0,C1147=0,AND(C1147&gt;0,'Operating costs'!$B$67&gt;(C1147-1)*12,'Operating costs'!$B$67&lt;=C1147*12))),'Operating costs'!$B$66,0),"n.a."))</f>
        <v>0</v>
      </c>
      <c r="N1147" s="16">
        <f>IF(NOT(Paths!$C$110=1),0,IF(Paths!$P$110="Complete",SUM(G1147:I1147)-J1147-K1147-L1147+M1147+IF(C1147=0,Paths!$F$110,0)+IF(IF(Paths!$E$110=0,C1147=0,AND(C1147&gt;0,Paths!$E$110&gt;(C1147-1)*12,Paths!$E$110&lt;=C1147*12)),VLOOKUP(A1147,'Fleet register'!$A$7:$S$106,16,FALSE),0),"n.a."))</f>
        <v>0</v>
      </c>
      <c r="O1147" s="16">
        <f>IF(NOT(Paths!$C$110=1),0,IF(Paths!$P$110="Complete",N1147-IF(C1147=0,Paths!$F$110,0),"n.a."))</f>
        <v>0</v>
      </c>
      <c r="P1147" s="16">
        <f>IF(NOT(Paths!$C$110=1),0,IF(Paths!$P$110="Complete",O1147+L1147,"n.a."))</f>
        <v>0</v>
      </c>
      <c r="Q1147" s="16">
        <f>IF(NOT(Paths!$C$110=1),0,IF(Paths!$P$110="Complete",N1147*(1+'Operating costs'!$B$54)^-C1147,"n.a."))</f>
        <v>0</v>
      </c>
      <c r="R1147" s="16">
        <f>IF(NOT(Paths!$C$110=1),0,IF(Paths!$P$110="Complete",IF(AND(C1147=0,Paths!$E$110=0),I1147-J1147-K1147+VLOOKUP(A1147,'Fleet register'!$A$7:$S$106,15,FALSE)+VLOOKUP(A1147,'Fleet register'!$A$7:$S$106,16,FALSE),0),"n.a."))</f>
        <v>0</v>
      </c>
      <c r="S1147" s="1">
        <f>IF(NOT(Paths!$C$110=1),0,IF(Paths!$P$110="Complete",IF(C1147=0,0,Paths!$S$110*Paths!$R$110),"n.a."))</f>
        <v>0</v>
      </c>
      <c r="T1147" s="1">
        <f>IF(NOT(Paths!$C$110=1),0,IF(Paths!$P$110="Complete",IF(C1147=0,0,VLOOKUP(A1147,'Fleet register'!$A$7:$S$106,9,FALSE)*Paths!$R$110),"n.a."))</f>
        <v>0</v>
      </c>
    </row>
    <row r="1148" spans="1:20" ht="24" customHeight="1">
      <c r="A1148" s="1" t="str">
        <f>Paths!$A$110</f>
        <v>T026</v>
      </c>
      <c r="B1148" s="1">
        <f>Paths!$B$110</f>
        <v>3</v>
      </c>
      <c r="C1148" s="1">
        <v>8</v>
      </c>
      <c r="D1148" s="1">
        <v>110</v>
      </c>
      <c r="E1148" s="1">
        <f>IF(OR(Paths!$C$110=0,C1148=0),0,MAX(0,MIN(C1148*12,Paths!$E$110)-(C1148-1)*12))</f>
        <v>0</v>
      </c>
      <c r="F1148" s="1">
        <f>IF(OR(Paths!$C$110=0,C1148=0),0,12-E1148)</f>
        <v>0</v>
      </c>
      <c r="G1148" s="16">
        <f>IF(NOT(Paths!$C$110=1),0,IF(Paths!$P$110="Complete",E1148/12*(Paths!$J$110*(1+'Operating costs'!$B$51)^MAX(0,C1148-1)+Paths!$K$110*(1+'Operating costs'!$B$53)^MAX(0,C1148-1)),"n.a."))</f>
        <v>0</v>
      </c>
      <c r="H1148" s="16">
        <f>IF(NOT(Paths!$C$110=1),0,IF(Paths!$P$110="Complete",F1148/12*(Paths!$L$110*(1+IF(Paths!$D$110="EV",'Operating costs'!$B$52,'Operating costs'!$B$51))^MAX(0,C1148-1)+Paths!$M$110*(1+'Operating costs'!$B$53)^MAX(0,C1148-1)),"n.a."))</f>
        <v>0</v>
      </c>
      <c r="I1148" s="16">
        <f>IF(NOT(Paths!$C$110=1),0,IF(Paths!$P$110="Complete",IF(IF(Paths!$E$110=0,C1148=0,AND(C1148&gt;0,Paths!$E$110&gt;(C1148-1)*12,Paths!$E$110&lt;=C1148*12)),Paths!$G$110,0),"n.a."))</f>
        <v>0</v>
      </c>
      <c r="J1148" s="16">
        <f>IF(NOT(Paths!$C$110=1),0,IF(Paths!$P$110="Complete",IF(IF(Paths!$E$110=0,C1148=0,AND(C1148&gt;0,Paths!$E$110&gt;(C1148-1)*12,Paths!$E$110&lt;=C1148*12)),Paths!$H$110,0),"n.a."))</f>
        <v>0</v>
      </c>
      <c r="K1148" s="16">
        <f>IF(NOT(Paths!$C$110=1),0,IF(Paths!$P$110="Complete",IF(IF(Paths!$O$110=0,C1148=0,AND(C1148&gt;0,Paths!$O$110&gt;(C1148-1)*12,Paths!$O$110&lt;=C1148*12)),Paths!$N$110,0),"n.a."))</f>
        <v>0</v>
      </c>
      <c r="L1148" s="16">
        <f>IF(NOT(Paths!$C$110=1),0,IF(Paths!$P$110="Complete",IF(C1148=10,Paths!$I$110,0),"n.a."))</f>
        <v>0</v>
      </c>
      <c r="M1148" s="16">
        <f>IF(NOT(Paths!$C$110=1),0,IF(Paths!$P$110="Complete",IF(AND(Paths!$D$110="EV",Paths!$E$110&lt;120,Paths!$E$110+'Operating costs'!$B$65&gt;Paths!$E$110,Paths!$E$110+'Operating costs'!$B$65&lt;=120,IF(Paths!$E$110+'Operating costs'!$B$65=0,C1148=0,AND(C1148&gt;0,Paths!$E$110+'Operating costs'!$B$65&gt;(C1148-1)*12,Paths!$E$110+'Operating costs'!$B$65&lt;=C1148*12))),'Operating costs'!$B$64,0)+IF(AND('Operating costs'!$B$67&gt;0,'Operating costs'!$B$67&lt;=120,OR(Paths!$D$110="ICE",'Operating costs'!$B$67&lt;=Paths!$E$110),IF('Operating costs'!$B$67=0,C1148=0,AND(C1148&gt;0,'Operating costs'!$B$67&gt;(C1148-1)*12,'Operating costs'!$B$67&lt;=C1148*12))),'Operating costs'!$B$66,0),"n.a."))</f>
        <v>0</v>
      </c>
      <c r="N1148" s="16">
        <f>IF(NOT(Paths!$C$110=1),0,IF(Paths!$P$110="Complete",SUM(G1148:I1148)-J1148-K1148-L1148+M1148+IF(C1148=0,Paths!$F$110,0)+IF(IF(Paths!$E$110=0,C1148=0,AND(C1148&gt;0,Paths!$E$110&gt;(C1148-1)*12,Paths!$E$110&lt;=C1148*12)),VLOOKUP(A1148,'Fleet register'!$A$7:$S$106,16,FALSE),0),"n.a."))</f>
        <v>0</v>
      </c>
      <c r="O1148" s="16">
        <f>IF(NOT(Paths!$C$110=1),0,IF(Paths!$P$110="Complete",N1148-IF(C1148=0,Paths!$F$110,0),"n.a."))</f>
        <v>0</v>
      </c>
      <c r="P1148" s="16">
        <f>IF(NOT(Paths!$C$110=1),0,IF(Paths!$P$110="Complete",O1148+L1148,"n.a."))</f>
        <v>0</v>
      </c>
      <c r="Q1148" s="16">
        <f>IF(NOT(Paths!$C$110=1),0,IF(Paths!$P$110="Complete",N1148*(1+'Operating costs'!$B$54)^-C1148,"n.a."))</f>
        <v>0</v>
      </c>
      <c r="R1148" s="16">
        <f>IF(NOT(Paths!$C$110=1),0,IF(Paths!$P$110="Complete",IF(AND(C1148=0,Paths!$E$110=0),I1148-J1148-K1148+VLOOKUP(A1148,'Fleet register'!$A$7:$S$106,15,FALSE)+VLOOKUP(A1148,'Fleet register'!$A$7:$S$106,16,FALSE),0),"n.a."))</f>
        <v>0</v>
      </c>
      <c r="S1148" s="1">
        <f>IF(NOT(Paths!$C$110=1),0,IF(Paths!$P$110="Complete",IF(C1148=0,0,Paths!$S$110*Paths!$R$110),"n.a."))</f>
        <v>0</v>
      </c>
      <c r="T1148" s="1">
        <f>IF(NOT(Paths!$C$110=1),0,IF(Paths!$P$110="Complete",IF(C1148=0,0,VLOOKUP(A1148,'Fleet register'!$A$7:$S$106,9,FALSE)*Paths!$R$110),"n.a."))</f>
        <v>0</v>
      </c>
    </row>
    <row r="1149" spans="1:20" ht="24" customHeight="1">
      <c r="A1149" s="1" t="str">
        <f>Paths!$A$110</f>
        <v>T026</v>
      </c>
      <c r="B1149" s="1">
        <f>Paths!$B$110</f>
        <v>3</v>
      </c>
      <c r="C1149" s="1">
        <v>9</v>
      </c>
      <c r="D1149" s="1">
        <v>110</v>
      </c>
      <c r="E1149" s="1">
        <f>IF(OR(Paths!$C$110=0,C1149=0),0,MAX(0,MIN(C1149*12,Paths!$E$110)-(C1149-1)*12))</f>
        <v>0</v>
      </c>
      <c r="F1149" s="1">
        <f>IF(OR(Paths!$C$110=0,C1149=0),0,12-E1149)</f>
        <v>0</v>
      </c>
      <c r="G1149" s="16">
        <f>IF(NOT(Paths!$C$110=1),0,IF(Paths!$P$110="Complete",E1149/12*(Paths!$J$110*(1+'Operating costs'!$B$51)^MAX(0,C1149-1)+Paths!$K$110*(1+'Operating costs'!$B$53)^MAX(0,C1149-1)),"n.a."))</f>
        <v>0</v>
      </c>
      <c r="H1149" s="16">
        <f>IF(NOT(Paths!$C$110=1),0,IF(Paths!$P$110="Complete",F1149/12*(Paths!$L$110*(1+IF(Paths!$D$110="EV",'Operating costs'!$B$52,'Operating costs'!$B$51))^MAX(0,C1149-1)+Paths!$M$110*(1+'Operating costs'!$B$53)^MAX(0,C1149-1)),"n.a."))</f>
        <v>0</v>
      </c>
      <c r="I1149" s="16">
        <f>IF(NOT(Paths!$C$110=1),0,IF(Paths!$P$110="Complete",IF(IF(Paths!$E$110=0,C1149=0,AND(C1149&gt;0,Paths!$E$110&gt;(C1149-1)*12,Paths!$E$110&lt;=C1149*12)),Paths!$G$110,0),"n.a."))</f>
        <v>0</v>
      </c>
      <c r="J1149" s="16">
        <f>IF(NOT(Paths!$C$110=1),0,IF(Paths!$P$110="Complete",IF(IF(Paths!$E$110=0,C1149=0,AND(C1149&gt;0,Paths!$E$110&gt;(C1149-1)*12,Paths!$E$110&lt;=C1149*12)),Paths!$H$110,0),"n.a."))</f>
        <v>0</v>
      </c>
      <c r="K1149" s="16">
        <f>IF(NOT(Paths!$C$110=1),0,IF(Paths!$P$110="Complete",IF(IF(Paths!$O$110=0,C1149=0,AND(C1149&gt;0,Paths!$O$110&gt;(C1149-1)*12,Paths!$O$110&lt;=C1149*12)),Paths!$N$110,0),"n.a."))</f>
        <v>0</v>
      </c>
      <c r="L1149" s="16">
        <f>IF(NOT(Paths!$C$110=1),0,IF(Paths!$P$110="Complete",IF(C1149=10,Paths!$I$110,0),"n.a."))</f>
        <v>0</v>
      </c>
      <c r="M1149" s="16">
        <f>IF(NOT(Paths!$C$110=1),0,IF(Paths!$P$110="Complete",IF(AND(Paths!$D$110="EV",Paths!$E$110&lt;120,Paths!$E$110+'Operating costs'!$B$65&gt;Paths!$E$110,Paths!$E$110+'Operating costs'!$B$65&lt;=120,IF(Paths!$E$110+'Operating costs'!$B$65=0,C1149=0,AND(C1149&gt;0,Paths!$E$110+'Operating costs'!$B$65&gt;(C1149-1)*12,Paths!$E$110+'Operating costs'!$B$65&lt;=C1149*12))),'Operating costs'!$B$64,0)+IF(AND('Operating costs'!$B$67&gt;0,'Operating costs'!$B$67&lt;=120,OR(Paths!$D$110="ICE",'Operating costs'!$B$67&lt;=Paths!$E$110),IF('Operating costs'!$B$67=0,C1149=0,AND(C1149&gt;0,'Operating costs'!$B$67&gt;(C1149-1)*12,'Operating costs'!$B$67&lt;=C1149*12))),'Operating costs'!$B$66,0),"n.a."))</f>
        <v>0</v>
      </c>
      <c r="N1149" s="16">
        <f>IF(NOT(Paths!$C$110=1),0,IF(Paths!$P$110="Complete",SUM(G1149:I1149)-J1149-K1149-L1149+M1149+IF(C1149=0,Paths!$F$110,0)+IF(IF(Paths!$E$110=0,C1149=0,AND(C1149&gt;0,Paths!$E$110&gt;(C1149-1)*12,Paths!$E$110&lt;=C1149*12)),VLOOKUP(A1149,'Fleet register'!$A$7:$S$106,16,FALSE),0),"n.a."))</f>
        <v>0</v>
      </c>
      <c r="O1149" s="16">
        <f>IF(NOT(Paths!$C$110=1),0,IF(Paths!$P$110="Complete",N1149-IF(C1149=0,Paths!$F$110,0),"n.a."))</f>
        <v>0</v>
      </c>
      <c r="P1149" s="16">
        <f>IF(NOT(Paths!$C$110=1),0,IF(Paths!$P$110="Complete",O1149+L1149,"n.a."))</f>
        <v>0</v>
      </c>
      <c r="Q1149" s="16">
        <f>IF(NOT(Paths!$C$110=1),0,IF(Paths!$P$110="Complete",N1149*(1+'Operating costs'!$B$54)^-C1149,"n.a."))</f>
        <v>0</v>
      </c>
      <c r="R1149" s="16">
        <f>IF(NOT(Paths!$C$110=1),0,IF(Paths!$P$110="Complete",IF(AND(C1149=0,Paths!$E$110=0),I1149-J1149-K1149+VLOOKUP(A1149,'Fleet register'!$A$7:$S$106,15,FALSE)+VLOOKUP(A1149,'Fleet register'!$A$7:$S$106,16,FALSE),0),"n.a."))</f>
        <v>0</v>
      </c>
      <c r="S1149" s="1">
        <f>IF(NOT(Paths!$C$110=1),0,IF(Paths!$P$110="Complete",IF(C1149=0,0,Paths!$S$110*Paths!$R$110),"n.a."))</f>
        <v>0</v>
      </c>
      <c r="T1149" s="1">
        <f>IF(NOT(Paths!$C$110=1),0,IF(Paths!$P$110="Complete",IF(C1149=0,0,VLOOKUP(A1149,'Fleet register'!$A$7:$S$106,9,FALSE)*Paths!$R$110),"n.a."))</f>
        <v>0</v>
      </c>
    </row>
    <row r="1150" spans="1:20" ht="24" customHeight="1">
      <c r="A1150" s="1" t="str">
        <f>Paths!$A$110</f>
        <v>T026</v>
      </c>
      <c r="B1150" s="1">
        <f>Paths!$B$110</f>
        <v>3</v>
      </c>
      <c r="C1150" s="1">
        <v>10</v>
      </c>
      <c r="D1150" s="1">
        <v>110</v>
      </c>
      <c r="E1150" s="1">
        <f>IF(OR(Paths!$C$110=0,C1150=0),0,MAX(0,MIN(C1150*12,Paths!$E$110)-(C1150-1)*12))</f>
        <v>0</v>
      </c>
      <c r="F1150" s="1">
        <f>IF(OR(Paths!$C$110=0,C1150=0),0,12-E1150)</f>
        <v>0</v>
      </c>
      <c r="G1150" s="16">
        <f>IF(NOT(Paths!$C$110=1),0,IF(Paths!$P$110="Complete",E1150/12*(Paths!$J$110*(1+'Operating costs'!$B$51)^MAX(0,C1150-1)+Paths!$K$110*(1+'Operating costs'!$B$53)^MAX(0,C1150-1)),"n.a."))</f>
        <v>0</v>
      </c>
      <c r="H1150" s="16">
        <f>IF(NOT(Paths!$C$110=1),0,IF(Paths!$P$110="Complete",F1150/12*(Paths!$L$110*(1+IF(Paths!$D$110="EV",'Operating costs'!$B$52,'Operating costs'!$B$51))^MAX(0,C1150-1)+Paths!$M$110*(1+'Operating costs'!$B$53)^MAX(0,C1150-1)),"n.a."))</f>
        <v>0</v>
      </c>
      <c r="I1150" s="16">
        <f>IF(NOT(Paths!$C$110=1),0,IF(Paths!$P$110="Complete",IF(IF(Paths!$E$110=0,C1150=0,AND(C1150&gt;0,Paths!$E$110&gt;(C1150-1)*12,Paths!$E$110&lt;=C1150*12)),Paths!$G$110,0),"n.a."))</f>
        <v>0</v>
      </c>
      <c r="J1150" s="16">
        <f>IF(NOT(Paths!$C$110=1),0,IF(Paths!$P$110="Complete",IF(IF(Paths!$E$110=0,C1150=0,AND(C1150&gt;0,Paths!$E$110&gt;(C1150-1)*12,Paths!$E$110&lt;=C1150*12)),Paths!$H$110,0),"n.a."))</f>
        <v>0</v>
      </c>
      <c r="K1150" s="16">
        <f>IF(NOT(Paths!$C$110=1),0,IF(Paths!$P$110="Complete",IF(IF(Paths!$O$110=0,C1150=0,AND(C1150&gt;0,Paths!$O$110&gt;(C1150-1)*12,Paths!$O$110&lt;=C1150*12)),Paths!$N$110,0),"n.a."))</f>
        <v>0</v>
      </c>
      <c r="L1150" s="16">
        <f>IF(NOT(Paths!$C$110=1),0,IF(Paths!$P$110="Complete",IF(C1150=10,Paths!$I$110,0),"n.a."))</f>
        <v>0</v>
      </c>
      <c r="M1150" s="16">
        <f>IF(NOT(Paths!$C$110=1),0,IF(Paths!$P$110="Complete",IF(AND(Paths!$D$110="EV",Paths!$E$110&lt;120,Paths!$E$110+'Operating costs'!$B$65&gt;Paths!$E$110,Paths!$E$110+'Operating costs'!$B$65&lt;=120,IF(Paths!$E$110+'Operating costs'!$B$65=0,C1150=0,AND(C1150&gt;0,Paths!$E$110+'Operating costs'!$B$65&gt;(C1150-1)*12,Paths!$E$110+'Operating costs'!$B$65&lt;=C1150*12))),'Operating costs'!$B$64,0)+IF(AND('Operating costs'!$B$67&gt;0,'Operating costs'!$B$67&lt;=120,OR(Paths!$D$110="ICE",'Operating costs'!$B$67&lt;=Paths!$E$110),IF('Operating costs'!$B$67=0,C1150=0,AND(C1150&gt;0,'Operating costs'!$B$67&gt;(C1150-1)*12,'Operating costs'!$B$67&lt;=C1150*12))),'Operating costs'!$B$66,0),"n.a."))</f>
        <v>0</v>
      </c>
      <c r="N1150" s="16">
        <f>IF(NOT(Paths!$C$110=1),0,IF(Paths!$P$110="Complete",SUM(G1150:I1150)-J1150-K1150-L1150+M1150+IF(C1150=0,Paths!$F$110,0)+IF(IF(Paths!$E$110=0,C1150=0,AND(C1150&gt;0,Paths!$E$110&gt;(C1150-1)*12,Paths!$E$110&lt;=C1150*12)),VLOOKUP(A1150,'Fleet register'!$A$7:$S$106,16,FALSE),0),"n.a."))</f>
        <v>0</v>
      </c>
      <c r="O1150" s="16">
        <f>IF(NOT(Paths!$C$110=1),0,IF(Paths!$P$110="Complete",N1150-IF(C1150=0,Paths!$F$110,0),"n.a."))</f>
        <v>0</v>
      </c>
      <c r="P1150" s="16">
        <f>IF(NOT(Paths!$C$110=1),0,IF(Paths!$P$110="Complete",O1150+L1150,"n.a."))</f>
        <v>0</v>
      </c>
      <c r="Q1150" s="16">
        <f>IF(NOT(Paths!$C$110=1),0,IF(Paths!$P$110="Complete",N1150*(1+'Operating costs'!$B$54)^-C1150,"n.a."))</f>
        <v>0</v>
      </c>
      <c r="R1150" s="16">
        <f>IF(NOT(Paths!$C$110=1),0,IF(Paths!$P$110="Complete",IF(AND(C1150=0,Paths!$E$110=0),I1150-J1150-K1150+VLOOKUP(A1150,'Fleet register'!$A$7:$S$106,15,FALSE)+VLOOKUP(A1150,'Fleet register'!$A$7:$S$106,16,FALSE),0),"n.a."))</f>
        <v>0</v>
      </c>
      <c r="S1150" s="1">
        <f>IF(NOT(Paths!$C$110=1),0,IF(Paths!$P$110="Complete",IF(C1150=0,0,Paths!$S$110*Paths!$R$110),"n.a."))</f>
        <v>0</v>
      </c>
      <c r="T1150" s="1">
        <f>IF(NOT(Paths!$C$110=1),0,IF(Paths!$P$110="Complete",IF(C1150=0,0,VLOOKUP(A1150,'Fleet register'!$A$7:$S$106,9,FALSE)*Paths!$R$110),"n.a."))</f>
        <v>0</v>
      </c>
    </row>
    <row r="1151" spans="1:20" ht="24" customHeight="1">
      <c r="A1151" s="1" t="str">
        <f>Paths!$A$111</f>
        <v>T027</v>
      </c>
      <c r="B1151" s="1">
        <f>Paths!$B$111</f>
        <v>0</v>
      </c>
      <c r="C1151" s="1">
        <v>0</v>
      </c>
      <c r="D1151" s="1">
        <v>111</v>
      </c>
      <c r="E1151" s="1">
        <f>IF(OR(Paths!$C$111=0,C1151=0),0,MAX(0,MIN(C1151*12,Paths!$E$111)-(C1151-1)*12))</f>
        <v>0</v>
      </c>
      <c r="F1151" s="1">
        <f>IF(OR(Paths!$C$111=0,C1151=0),0,12-E1151)</f>
        <v>0</v>
      </c>
      <c r="G1151" s="16">
        <f>IF(NOT(Paths!$C$111=1),0,IF(Paths!$P$111="Complete",E1151/12*(Paths!$J$111*(1+'Operating costs'!$B$51)^MAX(0,C1151-1)+Paths!$K$111*(1+'Operating costs'!$B$53)^MAX(0,C1151-1)),"n.a."))</f>
        <v>0</v>
      </c>
      <c r="H1151" s="16">
        <f>IF(NOT(Paths!$C$111=1),0,IF(Paths!$P$111="Complete",F1151/12*(Paths!$L$111*(1+IF(Paths!$D$111="EV",'Operating costs'!$B$52,'Operating costs'!$B$51))^MAX(0,C1151-1)+Paths!$M$111*(1+'Operating costs'!$B$53)^MAX(0,C1151-1)),"n.a."))</f>
        <v>0</v>
      </c>
      <c r="I1151" s="16">
        <f>IF(NOT(Paths!$C$111=1),0,IF(Paths!$P$111="Complete",IF(IF(Paths!$E$111=0,C1151=0,AND(C1151&gt;0,Paths!$E$111&gt;(C1151-1)*12,Paths!$E$111&lt;=C1151*12)),Paths!$G$111,0),"n.a."))</f>
        <v>0</v>
      </c>
      <c r="J1151" s="16">
        <f>IF(NOT(Paths!$C$111=1),0,IF(Paths!$P$111="Complete",IF(IF(Paths!$E$111=0,C1151=0,AND(C1151&gt;0,Paths!$E$111&gt;(C1151-1)*12,Paths!$E$111&lt;=C1151*12)),Paths!$H$111,0),"n.a."))</f>
        <v>0</v>
      </c>
      <c r="K1151" s="16">
        <f>IF(NOT(Paths!$C$111=1),0,IF(Paths!$P$111="Complete",IF(IF(Paths!$O$111=0,C1151=0,AND(C1151&gt;0,Paths!$O$111&gt;(C1151-1)*12,Paths!$O$111&lt;=C1151*12)),Paths!$N$111,0),"n.a."))</f>
        <v>0</v>
      </c>
      <c r="L1151" s="16">
        <f>IF(NOT(Paths!$C$111=1),0,IF(Paths!$P$111="Complete",IF(C1151=10,Paths!$I$111,0),"n.a."))</f>
        <v>0</v>
      </c>
      <c r="M1151" s="16">
        <f>IF(NOT(Paths!$C$111=1),0,IF(Paths!$P$111="Complete",IF(AND(Paths!$D$111="EV",Paths!$E$111&lt;120,Paths!$E$111+'Operating costs'!$B$65&gt;Paths!$E$111,Paths!$E$111+'Operating costs'!$B$65&lt;=120,IF(Paths!$E$111+'Operating costs'!$B$65=0,C1151=0,AND(C1151&gt;0,Paths!$E$111+'Operating costs'!$B$65&gt;(C1151-1)*12,Paths!$E$111+'Operating costs'!$B$65&lt;=C1151*12))),'Operating costs'!$B$64,0)+IF(AND('Operating costs'!$B$67&gt;0,'Operating costs'!$B$67&lt;=120,OR(Paths!$D$111="ICE",'Operating costs'!$B$67&lt;=Paths!$E$111),IF('Operating costs'!$B$67=0,C1151=0,AND(C1151&gt;0,'Operating costs'!$B$67&gt;(C1151-1)*12,'Operating costs'!$B$67&lt;=C1151*12))),'Operating costs'!$B$66,0),"n.a."))</f>
        <v>0</v>
      </c>
      <c r="N1151" s="16">
        <f>IF(NOT(Paths!$C$111=1),0,IF(Paths!$P$111="Complete",SUM(G1151:I1151)-J1151-K1151-L1151+M1151+IF(C1151=0,Paths!$F$111,0)+IF(IF(Paths!$E$111=0,C1151=0,AND(C1151&gt;0,Paths!$E$111&gt;(C1151-1)*12,Paths!$E$111&lt;=C1151*12)),VLOOKUP(A1151,'Fleet register'!$A$7:$S$106,16,FALSE),0),"n.a."))</f>
        <v>0</v>
      </c>
      <c r="O1151" s="16">
        <f>IF(NOT(Paths!$C$111=1),0,IF(Paths!$P$111="Complete",N1151-IF(C1151=0,Paths!$F$111,0),"n.a."))</f>
        <v>0</v>
      </c>
      <c r="P1151" s="16">
        <f>IF(NOT(Paths!$C$111=1),0,IF(Paths!$P$111="Complete",O1151+L1151,"n.a."))</f>
        <v>0</v>
      </c>
      <c r="Q1151" s="16">
        <f>IF(NOT(Paths!$C$111=1),0,IF(Paths!$P$111="Complete",N1151*(1+'Operating costs'!$B$54)^-C1151,"n.a."))</f>
        <v>0</v>
      </c>
      <c r="R1151" s="16">
        <f>IF(NOT(Paths!$C$111=1),0,IF(Paths!$P$111="Complete",IF(AND(C1151=0,Paths!$E$111=0),I1151-J1151-K1151+VLOOKUP(A1151,'Fleet register'!$A$7:$S$106,15,FALSE)+VLOOKUP(A1151,'Fleet register'!$A$7:$S$106,16,FALSE),0),"n.a."))</f>
        <v>0</v>
      </c>
      <c r="S1151" s="1">
        <f>IF(NOT(Paths!$C$111=1),0,IF(Paths!$P$111="Complete",IF(C1151=0,0,Paths!$S$111*Paths!$R$111),"n.a."))</f>
        <v>0</v>
      </c>
      <c r="T1151" s="1">
        <f>IF(NOT(Paths!$C$111=1),0,IF(Paths!$P$111="Complete",IF(C1151=0,0,VLOOKUP(A1151,'Fleet register'!$A$7:$S$106,9,FALSE)*Paths!$R$111),"n.a."))</f>
        <v>0</v>
      </c>
    </row>
    <row r="1152" spans="1:20" ht="24" customHeight="1">
      <c r="A1152" s="1" t="str">
        <f>Paths!$A$111</f>
        <v>T027</v>
      </c>
      <c r="B1152" s="1">
        <f>Paths!$B$111</f>
        <v>0</v>
      </c>
      <c r="C1152" s="1">
        <v>1</v>
      </c>
      <c r="D1152" s="1">
        <v>111</v>
      </c>
      <c r="E1152" s="1">
        <f>IF(OR(Paths!$C$111=0,C1152=0),0,MAX(0,MIN(C1152*12,Paths!$E$111)-(C1152-1)*12))</f>
        <v>0</v>
      </c>
      <c r="F1152" s="1">
        <f>IF(OR(Paths!$C$111=0,C1152=0),0,12-E1152)</f>
        <v>0</v>
      </c>
      <c r="G1152" s="16">
        <f>IF(NOT(Paths!$C$111=1),0,IF(Paths!$P$111="Complete",E1152/12*(Paths!$J$111*(1+'Operating costs'!$B$51)^MAX(0,C1152-1)+Paths!$K$111*(1+'Operating costs'!$B$53)^MAX(0,C1152-1)),"n.a."))</f>
        <v>0</v>
      </c>
      <c r="H1152" s="16">
        <f>IF(NOT(Paths!$C$111=1),0,IF(Paths!$P$111="Complete",F1152/12*(Paths!$L$111*(1+IF(Paths!$D$111="EV",'Operating costs'!$B$52,'Operating costs'!$B$51))^MAX(0,C1152-1)+Paths!$M$111*(1+'Operating costs'!$B$53)^MAX(0,C1152-1)),"n.a."))</f>
        <v>0</v>
      </c>
      <c r="I1152" s="16">
        <f>IF(NOT(Paths!$C$111=1),0,IF(Paths!$P$111="Complete",IF(IF(Paths!$E$111=0,C1152=0,AND(C1152&gt;0,Paths!$E$111&gt;(C1152-1)*12,Paths!$E$111&lt;=C1152*12)),Paths!$G$111,0),"n.a."))</f>
        <v>0</v>
      </c>
      <c r="J1152" s="16">
        <f>IF(NOT(Paths!$C$111=1),0,IF(Paths!$P$111="Complete",IF(IF(Paths!$E$111=0,C1152=0,AND(C1152&gt;0,Paths!$E$111&gt;(C1152-1)*12,Paths!$E$111&lt;=C1152*12)),Paths!$H$111,0),"n.a."))</f>
        <v>0</v>
      </c>
      <c r="K1152" s="16">
        <f>IF(NOT(Paths!$C$111=1),0,IF(Paths!$P$111="Complete",IF(IF(Paths!$O$111=0,C1152=0,AND(C1152&gt;0,Paths!$O$111&gt;(C1152-1)*12,Paths!$O$111&lt;=C1152*12)),Paths!$N$111,0),"n.a."))</f>
        <v>0</v>
      </c>
      <c r="L1152" s="16">
        <f>IF(NOT(Paths!$C$111=1),0,IF(Paths!$P$111="Complete",IF(C1152=10,Paths!$I$111,0),"n.a."))</f>
        <v>0</v>
      </c>
      <c r="M1152" s="16">
        <f>IF(NOT(Paths!$C$111=1),0,IF(Paths!$P$111="Complete",IF(AND(Paths!$D$111="EV",Paths!$E$111&lt;120,Paths!$E$111+'Operating costs'!$B$65&gt;Paths!$E$111,Paths!$E$111+'Operating costs'!$B$65&lt;=120,IF(Paths!$E$111+'Operating costs'!$B$65=0,C1152=0,AND(C1152&gt;0,Paths!$E$111+'Operating costs'!$B$65&gt;(C1152-1)*12,Paths!$E$111+'Operating costs'!$B$65&lt;=C1152*12))),'Operating costs'!$B$64,0)+IF(AND('Operating costs'!$B$67&gt;0,'Operating costs'!$B$67&lt;=120,OR(Paths!$D$111="ICE",'Operating costs'!$B$67&lt;=Paths!$E$111),IF('Operating costs'!$B$67=0,C1152=0,AND(C1152&gt;0,'Operating costs'!$B$67&gt;(C1152-1)*12,'Operating costs'!$B$67&lt;=C1152*12))),'Operating costs'!$B$66,0),"n.a."))</f>
        <v>0</v>
      </c>
      <c r="N1152" s="16">
        <f>IF(NOT(Paths!$C$111=1),0,IF(Paths!$P$111="Complete",SUM(G1152:I1152)-J1152-K1152-L1152+M1152+IF(C1152=0,Paths!$F$111,0)+IF(IF(Paths!$E$111=0,C1152=0,AND(C1152&gt;0,Paths!$E$111&gt;(C1152-1)*12,Paths!$E$111&lt;=C1152*12)),VLOOKUP(A1152,'Fleet register'!$A$7:$S$106,16,FALSE),0),"n.a."))</f>
        <v>0</v>
      </c>
      <c r="O1152" s="16">
        <f>IF(NOT(Paths!$C$111=1),0,IF(Paths!$P$111="Complete",N1152-IF(C1152=0,Paths!$F$111,0),"n.a."))</f>
        <v>0</v>
      </c>
      <c r="P1152" s="16">
        <f>IF(NOT(Paths!$C$111=1),0,IF(Paths!$P$111="Complete",O1152+L1152,"n.a."))</f>
        <v>0</v>
      </c>
      <c r="Q1152" s="16">
        <f>IF(NOT(Paths!$C$111=1),0,IF(Paths!$P$111="Complete",N1152*(1+'Operating costs'!$B$54)^-C1152,"n.a."))</f>
        <v>0</v>
      </c>
      <c r="R1152" s="16">
        <f>IF(NOT(Paths!$C$111=1),0,IF(Paths!$P$111="Complete",IF(AND(C1152=0,Paths!$E$111=0),I1152-J1152-K1152+VLOOKUP(A1152,'Fleet register'!$A$7:$S$106,15,FALSE)+VLOOKUP(A1152,'Fleet register'!$A$7:$S$106,16,FALSE),0),"n.a."))</f>
        <v>0</v>
      </c>
      <c r="S1152" s="1">
        <f>IF(NOT(Paths!$C$111=1),0,IF(Paths!$P$111="Complete",IF(C1152=0,0,Paths!$S$111*Paths!$R$111),"n.a."))</f>
        <v>0</v>
      </c>
      <c r="T1152" s="1">
        <f>IF(NOT(Paths!$C$111=1),0,IF(Paths!$P$111="Complete",IF(C1152=0,0,VLOOKUP(A1152,'Fleet register'!$A$7:$S$106,9,FALSE)*Paths!$R$111),"n.a."))</f>
        <v>0</v>
      </c>
    </row>
    <row r="1153" spans="1:20" ht="24" customHeight="1">
      <c r="A1153" s="1" t="str">
        <f>Paths!$A$111</f>
        <v>T027</v>
      </c>
      <c r="B1153" s="1">
        <f>Paths!$B$111</f>
        <v>0</v>
      </c>
      <c r="C1153" s="1">
        <v>2</v>
      </c>
      <c r="D1153" s="1">
        <v>111</v>
      </c>
      <c r="E1153" s="1">
        <f>IF(OR(Paths!$C$111=0,C1153=0),0,MAX(0,MIN(C1153*12,Paths!$E$111)-(C1153-1)*12))</f>
        <v>0</v>
      </c>
      <c r="F1153" s="1">
        <f>IF(OR(Paths!$C$111=0,C1153=0),0,12-E1153)</f>
        <v>0</v>
      </c>
      <c r="G1153" s="16">
        <f>IF(NOT(Paths!$C$111=1),0,IF(Paths!$P$111="Complete",E1153/12*(Paths!$J$111*(1+'Operating costs'!$B$51)^MAX(0,C1153-1)+Paths!$K$111*(1+'Operating costs'!$B$53)^MAX(0,C1153-1)),"n.a."))</f>
        <v>0</v>
      </c>
      <c r="H1153" s="16">
        <f>IF(NOT(Paths!$C$111=1),0,IF(Paths!$P$111="Complete",F1153/12*(Paths!$L$111*(1+IF(Paths!$D$111="EV",'Operating costs'!$B$52,'Operating costs'!$B$51))^MAX(0,C1153-1)+Paths!$M$111*(1+'Operating costs'!$B$53)^MAX(0,C1153-1)),"n.a."))</f>
        <v>0</v>
      </c>
      <c r="I1153" s="16">
        <f>IF(NOT(Paths!$C$111=1),0,IF(Paths!$P$111="Complete",IF(IF(Paths!$E$111=0,C1153=0,AND(C1153&gt;0,Paths!$E$111&gt;(C1153-1)*12,Paths!$E$111&lt;=C1153*12)),Paths!$G$111,0),"n.a."))</f>
        <v>0</v>
      </c>
      <c r="J1153" s="16">
        <f>IF(NOT(Paths!$C$111=1),0,IF(Paths!$P$111="Complete",IF(IF(Paths!$E$111=0,C1153=0,AND(C1153&gt;0,Paths!$E$111&gt;(C1153-1)*12,Paths!$E$111&lt;=C1153*12)),Paths!$H$111,0),"n.a."))</f>
        <v>0</v>
      </c>
      <c r="K1153" s="16">
        <f>IF(NOT(Paths!$C$111=1),0,IF(Paths!$P$111="Complete",IF(IF(Paths!$O$111=0,C1153=0,AND(C1153&gt;0,Paths!$O$111&gt;(C1153-1)*12,Paths!$O$111&lt;=C1153*12)),Paths!$N$111,0),"n.a."))</f>
        <v>0</v>
      </c>
      <c r="L1153" s="16">
        <f>IF(NOT(Paths!$C$111=1),0,IF(Paths!$P$111="Complete",IF(C1153=10,Paths!$I$111,0),"n.a."))</f>
        <v>0</v>
      </c>
      <c r="M1153" s="16">
        <f>IF(NOT(Paths!$C$111=1),0,IF(Paths!$P$111="Complete",IF(AND(Paths!$D$111="EV",Paths!$E$111&lt;120,Paths!$E$111+'Operating costs'!$B$65&gt;Paths!$E$111,Paths!$E$111+'Operating costs'!$B$65&lt;=120,IF(Paths!$E$111+'Operating costs'!$B$65=0,C1153=0,AND(C1153&gt;0,Paths!$E$111+'Operating costs'!$B$65&gt;(C1153-1)*12,Paths!$E$111+'Operating costs'!$B$65&lt;=C1153*12))),'Operating costs'!$B$64,0)+IF(AND('Operating costs'!$B$67&gt;0,'Operating costs'!$B$67&lt;=120,OR(Paths!$D$111="ICE",'Operating costs'!$B$67&lt;=Paths!$E$111),IF('Operating costs'!$B$67=0,C1153=0,AND(C1153&gt;0,'Operating costs'!$B$67&gt;(C1153-1)*12,'Operating costs'!$B$67&lt;=C1153*12))),'Operating costs'!$B$66,0),"n.a."))</f>
        <v>0</v>
      </c>
      <c r="N1153" s="16">
        <f>IF(NOT(Paths!$C$111=1),0,IF(Paths!$P$111="Complete",SUM(G1153:I1153)-J1153-K1153-L1153+M1153+IF(C1153=0,Paths!$F$111,0)+IF(IF(Paths!$E$111=0,C1153=0,AND(C1153&gt;0,Paths!$E$111&gt;(C1153-1)*12,Paths!$E$111&lt;=C1153*12)),VLOOKUP(A1153,'Fleet register'!$A$7:$S$106,16,FALSE),0),"n.a."))</f>
        <v>0</v>
      </c>
      <c r="O1153" s="16">
        <f>IF(NOT(Paths!$C$111=1),0,IF(Paths!$P$111="Complete",N1153-IF(C1153=0,Paths!$F$111,0),"n.a."))</f>
        <v>0</v>
      </c>
      <c r="P1153" s="16">
        <f>IF(NOT(Paths!$C$111=1),0,IF(Paths!$P$111="Complete",O1153+L1153,"n.a."))</f>
        <v>0</v>
      </c>
      <c r="Q1153" s="16">
        <f>IF(NOT(Paths!$C$111=1),0,IF(Paths!$P$111="Complete",N1153*(1+'Operating costs'!$B$54)^-C1153,"n.a."))</f>
        <v>0</v>
      </c>
      <c r="R1153" s="16">
        <f>IF(NOT(Paths!$C$111=1),0,IF(Paths!$P$111="Complete",IF(AND(C1153=0,Paths!$E$111=0),I1153-J1153-K1153+VLOOKUP(A1153,'Fleet register'!$A$7:$S$106,15,FALSE)+VLOOKUP(A1153,'Fleet register'!$A$7:$S$106,16,FALSE),0),"n.a."))</f>
        <v>0</v>
      </c>
      <c r="S1153" s="1">
        <f>IF(NOT(Paths!$C$111=1),0,IF(Paths!$P$111="Complete",IF(C1153=0,0,Paths!$S$111*Paths!$R$111),"n.a."))</f>
        <v>0</v>
      </c>
      <c r="T1153" s="1">
        <f>IF(NOT(Paths!$C$111=1),0,IF(Paths!$P$111="Complete",IF(C1153=0,0,VLOOKUP(A1153,'Fleet register'!$A$7:$S$106,9,FALSE)*Paths!$R$111),"n.a."))</f>
        <v>0</v>
      </c>
    </row>
    <row r="1154" spans="1:20" ht="24" customHeight="1">
      <c r="A1154" s="1" t="str">
        <f>Paths!$A$111</f>
        <v>T027</v>
      </c>
      <c r="B1154" s="1">
        <f>Paths!$B$111</f>
        <v>0</v>
      </c>
      <c r="C1154" s="1">
        <v>3</v>
      </c>
      <c r="D1154" s="1">
        <v>111</v>
      </c>
      <c r="E1154" s="1">
        <f>IF(OR(Paths!$C$111=0,C1154=0),0,MAX(0,MIN(C1154*12,Paths!$E$111)-(C1154-1)*12))</f>
        <v>0</v>
      </c>
      <c r="F1154" s="1">
        <f>IF(OR(Paths!$C$111=0,C1154=0),0,12-E1154)</f>
        <v>0</v>
      </c>
      <c r="G1154" s="16">
        <f>IF(NOT(Paths!$C$111=1),0,IF(Paths!$P$111="Complete",E1154/12*(Paths!$J$111*(1+'Operating costs'!$B$51)^MAX(0,C1154-1)+Paths!$K$111*(1+'Operating costs'!$B$53)^MAX(0,C1154-1)),"n.a."))</f>
        <v>0</v>
      </c>
      <c r="H1154" s="16">
        <f>IF(NOT(Paths!$C$111=1),0,IF(Paths!$P$111="Complete",F1154/12*(Paths!$L$111*(1+IF(Paths!$D$111="EV",'Operating costs'!$B$52,'Operating costs'!$B$51))^MAX(0,C1154-1)+Paths!$M$111*(1+'Operating costs'!$B$53)^MAX(0,C1154-1)),"n.a."))</f>
        <v>0</v>
      </c>
      <c r="I1154" s="16">
        <f>IF(NOT(Paths!$C$111=1),0,IF(Paths!$P$111="Complete",IF(IF(Paths!$E$111=0,C1154=0,AND(C1154&gt;0,Paths!$E$111&gt;(C1154-1)*12,Paths!$E$111&lt;=C1154*12)),Paths!$G$111,0),"n.a."))</f>
        <v>0</v>
      </c>
      <c r="J1154" s="16">
        <f>IF(NOT(Paths!$C$111=1),0,IF(Paths!$P$111="Complete",IF(IF(Paths!$E$111=0,C1154=0,AND(C1154&gt;0,Paths!$E$111&gt;(C1154-1)*12,Paths!$E$111&lt;=C1154*12)),Paths!$H$111,0),"n.a."))</f>
        <v>0</v>
      </c>
      <c r="K1154" s="16">
        <f>IF(NOT(Paths!$C$111=1),0,IF(Paths!$P$111="Complete",IF(IF(Paths!$O$111=0,C1154=0,AND(C1154&gt;0,Paths!$O$111&gt;(C1154-1)*12,Paths!$O$111&lt;=C1154*12)),Paths!$N$111,0),"n.a."))</f>
        <v>0</v>
      </c>
      <c r="L1154" s="16">
        <f>IF(NOT(Paths!$C$111=1),0,IF(Paths!$P$111="Complete",IF(C1154=10,Paths!$I$111,0),"n.a."))</f>
        <v>0</v>
      </c>
      <c r="M1154" s="16">
        <f>IF(NOT(Paths!$C$111=1),0,IF(Paths!$P$111="Complete",IF(AND(Paths!$D$111="EV",Paths!$E$111&lt;120,Paths!$E$111+'Operating costs'!$B$65&gt;Paths!$E$111,Paths!$E$111+'Operating costs'!$B$65&lt;=120,IF(Paths!$E$111+'Operating costs'!$B$65=0,C1154=0,AND(C1154&gt;0,Paths!$E$111+'Operating costs'!$B$65&gt;(C1154-1)*12,Paths!$E$111+'Operating costs'!$B$65&lt;=C1154*12))),'Operating costs'!$B$64,0)+IF(AND('Operating costs'!$B$67&gt;0,'Operating costs'!$B$67&lt;=120,OR(Paths!$D$111="ICE",'Operating costs'!$B$67&lt;=Paths!$E$111),IF('Operating costs'!$B$67=0,C1154=0,AND(C1154&gt;0,'Operating costs'!$B$67&gt;(C1154-1)*12,'Operating costs'!$B$67&lt;=C1154*12))),'Operating costs'!$B$66,0),"n.a."))</f>
        <v>0</v>
      </c>
      <c r="N1154" s="16">
        <f>IF(NOT(Paths!$C$111=1),0,IF(Paths!$P$111="Complete",SUM(G1154:I1154)-J1154-K1154-L1154+M1154+IF(C1154=0,Paths!$F$111,0)+IF(IF(Paths!$E$111=0,C1154=0,AND(C1154&gt;0,Paths!$E$111&gt;(C1154-1)*12,Paths!$E$111&lt;=C1154*12)),VLOOKUP(A1154,'Fleet register'!$A$7:$S$106,16,FALSE),0),"n.a."))</f>
        <v>0</v>
      </c>
      <c r="O1154" s="16">
        <f>IF(NOT(Paths!$C$111=1),0,IF(Paths!$P$111="Complete",N1154-IF(C1154=0,Paths!$F$111,0),"n.a."))</f>
        <v>0</v>
      </c>
      <c r="P1154" s="16">
        <f>IF(NOT(Paths!$C$111=1),0,IF(Paths!$P$111="Complete",O1154+L1154,"n.a."))</f>
        <v>0</v>
      </c>
      <c r="Q1154" s="16">
        <f>IF(NOT(Paths!$C$111=1),0,IF(Paths!$P$111="Complete",N1154*(1+'Operating costs'!$B$54)^-C1154,"n.a."))</f>
        <v>0</v>
      </c>
      <c r="R1154" s="16">
        <f>IF(NOT(Paths!$C$111=1),0,IF(Paths!$P$111="Complete",IF(AND(C1154=0,Paths!$E$111=0),I1154-J1154-K1154+VLOOKUP(A1154,'Fleet register'!$A$7:$S$106,15,FALSE)+VLOOKUP(A1154,'Fleet register'!$A$7:$S$106,16,FALSE),0),"n.a."))</f>
        <v>0</v>
      </c>
      <c r="S1154" s="1">
        <f>IF(NOT(Paths!$C$111=1),0,IF(Paths!$P$111="Complete",IF(C1154=0,0,Paths!$S$111*Paths!$R$111),"n.a."))</f>
        <v>0</v>
      </c>
      <c r="T1154" s="1">
        <f>IF(NOT(Paths!$C$111=1),0,IF(Paths!$P$111="Complete",IF(C1154=0,0,VLOOKUP(A1154,'Fleet register'!$A$7:$S$106,9,FALSE)*Paths!$R$111),"n.a."))</f>
        <v>0</v>
      </c>
    </row>
    <row r="1155" spans="1:20" ht="24" customHeight="1">
      <c r="A1155" s="1" t="str">
        <f>Paths!$A$111</f>
        <v>T027</v>
      </c>
      <c r="B1155" s="1">
        <f>Paths!$B$111</f>
        <v>0</v>
      </c>
      <c r="C1155" s="1">
        <v>4</v>
      </c>
      <c r="D1155" s="1">
        <v>111</v>
      </c>
      <c r="E1155" s="1">
        <f>IF(OR(Paths!$C$111=0,C1155=0),0,MAX(0,MIN(C1155*12,Paths!$E$111)-(C1155-1)*12))</f>
        <v>0</v>
      </c>
      <c r="F1155" s="1">
        <f>IF(OR(Paths!$C$111=0,C1155=0),0,12-E1155)</f>
        <v>0</v>
      </c>
      <c r="G1155" s="16">
        <f>IF(NOT(Paths!$C$111=1),0,IF(Paths!$P$111="Complete",E1155/12*(Paths!$J$111*(1+'Operating costs'!$B$51)^MAX(0,C1155-1)+Paths!$K$111*(1+'Operating costs'!$B$53)^MAX(0,C1155-1)),"n.a."))</f>
        <v>0</v>
      </c>
      <c r="H1155" s="16">
        <f>IF(NOT(Paths!$C$111=1),0,IF(Paths!$P$111="Complete",F1155/12*(Paths!$L$111*(1+IF(Paths!$D$111="EV",'Operating costs'!$B$52,'Operating costs'!$B$51))^MAX(0,C1155-1)+Paths!$M$111*(1+'Operating costs'!$B$53)^MAX(0,C1155-1)),"n.a."))</f>
        <v>0</v>
      </c>
      <c r="I1155" s="16">
        <f>IF(NOT(Paths!$C$111=1),0,IF(Paths!$P$111="Complete",IF(IF(Paths!$E$111=0,C1155=0,AND(C1155&gt;0,Paths!$E$111&gt;(C1155-1)*12,Paths!$E$111&lt;=C1155*12)),Paths!$G$111,0),"n.a."))</f>
        <v>0</v>
      </c>
      <c r="J1155" s="16">
        <f>IF(NOT(Paths!$C$111=1),0,IF(Paths!$P$111="Complete",IF(IF(Paths!$E$111=0,C1155=0,AND(C1155&gt;0,Paths!$E$111&gt;(C1155-1)*12,Paths!$E$111&lt;=C1155*12)),Paths!$H$111,0),"n.a."))</f>
        <v>0</v>
      </c>
      <c r="K1155" s="16">
        <f>IF(NOT(Paths!$C$111=1),0,IF(Paths!$P$111="Complete",IF(IF(Paths!$O$111=0,C1155=0,AND(C1155&gt;0,Paths!$O$111&gt;(C1155-1)*12,Paths!$O$111&lt;=C1155*12)),Paths!$N$111,0),"n.a."))</f>
        <v>0</v>
      </c>
      <c r="L1155" s="16">
        <f>IF(NOT(Paths!$C$111=1),0,IF(Paths!$P$111="Complete",IF(C1155=10,Paths!$I$111,0),"n.a."))</f>
        <v>0</v>
      </c>
      <c r="M1155" s="16">
        <f>IF(NOT(Paths!$C$111=1),0,IF(Paths!$P$111="Complete",IF(AND(Paths!$D$111="EV",Paths!$E$111&lt;120,Paths!$E$111+'Operating costs'!$B$65&gt;Paths!$E$111,Paths!$E$111+'Operating costs'!$B$65&lt;=120,IF(Paths!$E$111+'Operating costs'!$B$65=0,C1155=0,AND(C1155&gt;0,Paths!$E$111+'Operating costs'!$B$65&gt;(C1155-1)*12,Paths!$E$111+'Operating costs'!$B$65&lt;=C1155*12))),'Operating costs'!$B$64,0)+IF(AND('Operating costs'!$B$67&gt;0,'Operating costs'!$B$67&lt;=120,OR(Paths!$D$111="ICE",'Operating costs'!$B$67&lt;=Paths!$E$111),IF('Operating costs'!$B$67=0,C1155=0,AND(C1155&gt;0,'Operating costs'!$B$67&gt;(C1155-1)*12,'Operating costs'!$B$67&lt;=C1155*12))),'Operating costs'!$B$66,0),"n.a."))</f>
        <v>0</v>
      </c>
      <c r="N1155" s="16">
        <f>IF(NOT(Paths!$C$111=1),0,IF(Paths!$P$111="Complete",SUM(G1155:I1155)-J1155-K1155-L1155+M1155+IF(C1155=0,Paths!$F$111,0)+IF(IF(Paths!$E$111=0,C1155=0,AND(C1155&gt;0,Paths!$E$111&gt;(C1155-1)*12,Paths!$E$111&lt;=C1155*12)),VLOOKUP(A1155,'Fleet register'!$A$7:$S$106,16,FALSE),0),"n.a."))</f>
        <v>0</v>
      </c>
      <c r="O1155" s="16">
        <f>IF(NOT(Paths!$C$111=1),0,IF(Paths!$P$111="Complete",N1155-IF(C1155=0,Paths!$F$111,0),"n.a."))</f>
        <v>0</v>
      </c>
      <c r="P1155" s="16">
        <f>IF(NOT(Paths!$C$111=1),0,IF(Paths!$P$111="Complete",O1155+L1155,"n.a."))</f>
        <v>0</v>
      </c>
      <c r="Q1155" s="16">
        <f>IF(NOT(Paths!$C$111=1),0,IF(Paths!$P$111="Complete",N1155*(1+'Operating costs'!$B$54)^-C1155,"n.a."))</f>
        <v>0</v>
      </c>
      <c r="R1155" s="16">
        <f>IF(NOT(Paths!$C$111=1),0,IF(Paths!$P$111="Complete",IF(AND(C1155=0,Paths!$E$111=0),I1155-J1155-K1155+VLOOKUP(A1155,'Fleet register'!$A$7:$S$106,15,FALSE)+VLOOKUP(A1155,'Fleet register'!$A$7:$S$106,16,FALSE),0),"n.a."))</f>
        <v>0</v>
      </c>
      <c r="S1155" s="1">
        <f>IF(NOT(Paths!$C$111=1),0,IF(Paths!$P$111="Complete",IF(C1155=0,0,Paths!$S$111*Paths!$R$111),"n.a."))</f>
        <v>0</v>
      </c>
      <c r="T1155" s="1">
        <f>IF(NOT(Paths!$C$111=1),0,IF(Paths!$P$111="Complete",IF(C1155=0,0,VLOOKUP(A1155,'Fleet register'!$A$7:$S$106,9,FALSE)*Paths!$R$111),"n.a."))</f>
        <v>0</v>
      </c>
    </row>
    <row r="1156" spans="1:20" ht="24" customHeight="1">
      <c r="A1156" s="1" t="str">
        <f>Paths!$A$111</f>
        <v>T027</v>
      </c>
      <c r="B1156" s="1">
        <f>Paths!$B$111</f>
        <v>0</v>
      </c>
      <c r="C1156" s="1">
        <v>5</v>
      </c>
      <c r="D1156" s="1">
        <v>111</v>
      </c>
      <c r="E1156" s="1">
        <f>IF(OR(Paths!$C$111=0,C1156=0),0,MAX(0,MIN(C1156*12,Paths!$E$111)-(C1156-1)*12))</f>
        <v>0</v>
      </c>
      <c r="F1156" s="1">
        <f>IF(OR(Paths!$C$111=0,C1156=0),0,12-E1156)</f>
        <v>0</v>
      </c>
      <c r="G1156" s="16">
        <f>IF(NOT(Paths!$C$111=1),0,IF(Paths!$P$111="Complete",E1156/12*(Paths!$J$111*(1+'Operating costs'!$B$51)^MAX(0,C1156-1)+Paths!$K$111*(1+'Operating costs'!$B$53)^MAX(0,C1156-1)),"n.a."))</f>
        <v>0</v>
      </c>
      <c r="H1156" s="16">
        <f>IF(NOT(Paths!$C$111=1),0,IF(Paths!$P$111="Complete",F1156/12*(Paths!$L$111*(1+IF(Paths!$D$111="EV",'Operating costs'!$B$52,'Operating costs'!$B$51))^MAX(0,C1156-1)+Paths!$M$111*(1+'Operating costs'!$B$53)^MAX(0,C1156-1)),"n.a."))</f>
        <v>0</v>
      </c>
      <c r="I1156" s="16">
        <f>IF(NOT(Paths!$C$111=1),0,IF(Paths!$P$111="Complete",IF(IF(Paths!$E$111=0,C1156=0,AND(C1156&gt;0,Paths!$E$111&gt;(C1156-1)*12,Paths!$E$111&lt;=C1156*12)),Paths!$G$111,0),"n.a."))</f>
        <v>0</v>
      </c>
      <c r="J1156" s="16">
        <f>IF(NOT(Paths!$C$111=1),0,IF(Paths!$P$111="Complete",IF(IF(Paths!$E$111=0,C1156=0,AND(C1156&gt;0,Paths!$E$111&gt;(C1156-1)*12,Paths!$E$111&lt;=C1156*12)),Paths!$H$111,0),"n.a."))</f>
        <v>0</v>
      </c>
      <c r="K1156" s="16">
        <f>IF(NOT(Paths!$C$111=1),0,IF(Paths!$P$111="Complete",IF(IF(Paths!$O$111=0,C1156=0,AND(C1156&gt;0,Paths!$O$111&gt;(C1156-1)*12,Paths!$O$111&lt;=C1156*12)),Paths!$N$111,0),"n.a."))</f>
        <v>0</v>
      </c>
      <c r="L1156" s="16">
        <f>IF(NOT(Paths!$C$111=1),0,IF(Paths!$P$111="Complete",IF(C1156=10,Paths!$I$111,0),"n.a."))</f>
        <v>0</v>
      </c>
      <c r="M1156" s="16">
        <f>IF(NOT(Paths!$C$111=1),0,IF(Paths!$P$111="Complete",IF(AND(Paths!$D$111="EV",Paths!$E$111&lt;120,Paths!$E$111+'Operating costs'!$B$65&gt;Paths!$E$111,Paths!$E$111+'Operating costs'!$B$65&lt;=120,IF(Paths!$E$111+'Operating costs'!$B$65=0,C1156=0,AND(C1156&gt;0,Paths!$E$111+'Operating costs'!$B$65&gt;(C1156-1)*12,Paths!$E$111+'Operating costs'!$B$65&lt;=C1156*12))),'Operating costs'!$B$64,0)+IF(AND('Operating costs'!$B$67&gt;0,'Operating costs'!$B$67&lt;=120,OR(Paths!$D$111="ICE",'Operating costs'!$B$67&lt;=Paths!$E$111),IF('Operating costs'!$B$67=0,C1156=0,AND(C1156&gt;0,'Operating costs'!$B$67&gt;(C1156-1)*12,'Operating costs'!$B$67&lt;=C1156*12))),'Operating costs'!$B$66,0),"n.a."))</f>
        <v>0</v>
      </c>
      <c r="N1156" s="16">
        <f>IF(NOT(Paths!$C$111=1),0,IF(Paths!$P$111="Complete",SUM(G1156:I1156)-J1156-K1156-L1156+M1156+IF(C1156=0,Paths!$F$111,0)+IF(IF(Paths!$E$111=0,C1156=0,AND(C1156&gt;0,Paths!$E$111&gt;(C1156-1)*12,Paths!$E$111&lt;=C1156*12)),VLOOKUP(A1156,'Fleet register'!$A$7:$S$106,16,FALSE),0),"n.a."))</f>
        <v>0</v>
      </c>
      <c r="O1156" s="16">
        <f>IF(NOT(Paths!$C$111=1),0,IF(Paths!$P$111="Complete",N1156-IF(C1156=0,Paths!$F$111,0),"n.a."))</f>
        <v>0</v>
      </c>
      <c r="P1156" s="16">
        <f>IF(NOT(Paths!$C$111=1),0,IF(Paths!$P$111="Complete",O1156+L1156,"n.a."))</f>
        <v>0</v>
      </c>
      <c r="Q1156" s="16">
        <f>IF(NOT(Paths!$C$111=1),0,IF(Paths!$P$111="Complete",N1156*(1+'Operating costs'!$B$54)^-C1156,"n.a."))</f>
        <v>0</v>
      </c>
      <c r="R1156" s="16">
        <f>IF(NOT(Paths!$C$111=1),0,IF(Paths!$P$111="Complete",IF(AND(C1156=0,Paths!$E$111=0),I1156-J1156-K1156+VLOOKUP(A1156,'Fleet register'!$A$7:$S$106,15,FALSE)+VLOOKUP(A1156,'Fleet register'!$A$7:$S$106,16,FALSE),0),"n.a."))</f>
        <v>0</v>
      </c>
      <c r="S1156" s="1">
        <f>IF(NOT(Paths!$C$111=1),0,IF(Paths!$P$111="Complete",IF(C1156=0,0,Paths!$S$111*Paths!$R$111),"n.a."))</f>
        <v>0</v>
      </c>
      <c r="T1156" s="1">
        <f>IF(NOT(Paths!$C$111=1),0,IF(Paths!$P$111="Complete",IF(C1156=0,0,VLOOKUP(A1156,'Fleet register'!$A$7:$S$106,9,FALSE)*Paths!$R$111),"n.a."))</f>
        <v>0</v>
      </c>
    </row>
    <row r="1157" spans="1:20" ht="24" customHeight="1">
      <c r="A1157" s="1" t="str">
        <f>Paths!$A$111</f>
        <v>T027</v>
      </c>
      <c r="B1157" s="1">
        <f>Paths!$B$111</f>
        <v>0</v>
      </c>
      <c r="C1157" s="1">
        <v>6</v>
      </c>
      <c r="D1157" s="1">
        <v>111</v>
      </c>
      <c r="E1157" s="1">
        <f>IF(OR(Paths!$C$111=0,C1157=0),0,MAX(0,MIN(C1157*12,Paths!$E$111)-(C1157-1)*12))</f>
        <v>0</v>
      </c>
      <c r="F1157" s="1">
        <f>IF(OR(Paths!$C$111=0,C1157=0),0,12-E1157)</f>
        <v>0</v>
      </c>
      <c r="G1157" s="16">
        <f>IF(NOT(Paths!$C$111=1),0,IF(Paths!$P$111="Complete",E1157/12*(Paths!$J$111*(1+'Operating costs'!$B$51)^MAX(0,C1157-1)+Paths!$K$111*(1+'Operating costs'!$B$53)^MAX(0,C1157-1)),"n.a."))</f>
        <v>0</v>
      </c>
      <c r="H1157" s="16">
        <f>IF(NOT(Paths!$C$111=1),0,IF(Paths!$P$111="Complete",F1157/12*(Paths!$L$111*(1+IF(Paths!$D$111="EV",'Operating costs'!$B$52,'Operating costs'!$B$51))^MAX(0,C1157-1)+Paths!$M$111*(1+'Operating costs'!$B$53)^MAX(0,C1157-1)),"n.a."))</f>
        <v>0</v>
      </c>
      <c r="I1157" s="16">
        <f>IF(NOT(Paths!$C$111=1),0,IF(Paths!$P$111="Complete",IF(IF(Paths!$E$111=0,C1157=0,AND(C1157&gt;0,Paths!$E$111&gt;(C1157-1)*12,Paths!$E$111&lt;=C1157*12)),Paths!$G$111,0),"n.a."))</f>
        <v>0</v>
      </c>
      <c r="J1157" s="16">
        <f>IF(NOT(Paths!$C$111=1),0,IF(Paths!$P$111="Complete",IF(IF(Paths!$E$111=0,C1157=0,AND(C1157&gt;0,Paths!$E$111&gt;(C1157-1)*12,Paths!$E$111&lt;=C1157*12)),Paths!$H$111,0),"n.a."))</f>
        <v>0</v>
      </c>
      <c r="K1157" s="16">
        <f>IF(NOT(Paths!$C$111=1),0,IF(Paths!$P$111="Complete",IF(IF(Paths!$O$111=0,C1157=0,AND(C1157&gt;0,Paths!$O$111&gt;(C1157-1)*12,Paths!$O$111&lt;=C1157*12)),Paths!$N$111,0),"n.a."))</f>
        <v>0</v>
      </c>
      <c r="L1157" s="16">
        <f>IF(NOT(Paths!$C$111=1),0,IF(Paths!$P$111="Complete",IF(C1157=10,Paths!$I$111,0),"n.a."))</f>
        <v>0</v>
      </c>
      <c r="M1157" s="16">
        <f>IF(NOT(Paths!$C$111=1),0,IF(Paths!$P$111="Complete",IF(AND(Paths!$D$111="EV",Paths!$E$111&lt;120,Paths!$E$111+'Operating costs'!$B$65&gt;Paths!$E$111,Paths!$E$111+'Operating costs'!$B$65&lt;=120,IF(Paths!$E$111+'Operating costs'!$B$65=0,C1157=0,AND(C1157&gt;0,Paths!$E$111+'Operating costs'!$B$65&gt;(C1157-1)*12,Paths!$E$111+'Operating costs'!$B$65&lt;=C1157*12))),'Operating costs'!$B$64,0)+IF(AND('Operating costs'!$B$67&gt;0,'Operating costs'!$B$67&lt;=120,OR(Paths!$D$111="ICE",'Operating costs'!$B$67&lt;=Paths!$E$111),IF('Operating costs'!$B$67=0,C1157=0,AND(C1157&gt;0,'Operating costs'!$B$67&gt;(C1157-1)*12,'Operating costs'!$B$67&lt;=C1157*12))),'Operating costs'!$B$66,0),"n.a."))</f>
        <v>0</v>
      </c>
      <c r="N1157" s="16">
        <f>IF(NOT(Paths!$C$111=1),0,IF(Paths!$P$111="Complete",SUM(G1157:I1157)-J1157-K1157-L1157+M1157+IF(C1157=0,Paths!$F$111,0)+IF(IF(Paths!$E$111=0,C1157=0,AND(C1157&gt;0,Paths!$E$111&gt;(C1157-1)*12,Paths!$E$111&lt;=C1157*12)),VLOOKUP(A1157,'Fleet register'!$A$7:$S$106,16,FALSE),0),"n.a."))</f>
        <v>0</v>
      </c>
      <c r="O1157" s="16">
        <f>IF(NOT(Paths!$C$111=1),0,IF(Paths!$P$111="Complete",N1157-IF(C1157=0,Paths!$F$111,0),"n.a."))</f>
        <v>0</v>
      </c>
      <c r="P1157" s="16">
        <f>IF(NOT(Paths!$C$111=1),0,IF(Paths!$P$111="Complete",O1157+L1157,"n.a."))</f>
        <v>0</v>
      </c>
      <c r="Q1157" s="16">
        <f>IF(NOT(Paths!$C$111=1),0,IF(Paths!$P$111="Complete",N1157*(1+'Operating costs'!$B$54)^-C1157,"n.a."))</f>
        <v>0</v>
      </c>
      <c r="R1157" s="16">
        <f>IF(NOT(Paths!$C$111=1),0,IF(Paths!$P$111="Complete",IF(AND(C1157=0,Paths!$E$111=0),I1157-J1157-K1157+VLOOKUP(A1157,'Fleet register'!$A$7:$S$106,15,FALSE)+VLOOKUP(A1157,'Fleet register'!$A$7:$S$106,16,FALSE),0),"n.a."))</f>
        <v>0</v>
      </c>
      <c r="S1157" s="1">
        <f>IF(NOT(Paths!$C$111=1),0,IF(Paths!$P$111="Complete",IF(C1157=0,0,Paths!$S$111*Paths!$R$111),"n.a."))</f>
        <v>0</v>
      </c>
      <c r="T1157" s="1">
        <f>IF(NOT(Paths!$C$111=1),0,IF(Paths!$P$111="Complete",IF(C1157=0,0,VLOOKUP(A1157,'Fleet register'!$A$7:$S$106,9,FALSE)*Paths!$R$111),"n.a."))</f>
        <v>0</v>
      </c>
    </row>
    <row r="1158" spans="1:20" ht="24" customHeight="1">
      <c r="A1158" s="1" t="str">
        <f>Paths!$A$111</f>
        <v>T027</v>
      </c>
      <c r="B1158" s="1">
        <f>Paths!$B$111</f>
        <v>0</v>
      </c>
      <c r="C1158" s="1">
        <v>7</v>
      </c>
      <c r="D1158" s="1">
        <v>111</v>
      </c>
      <c r="E1158" s="1">
        <f>IF(OR(Paths!$C$111=0,C1158=0),0,MAX(0,MIN(C1158*12,Paths!$E$111)-(C1158-1)*12))</f>
        <v>0</v>
      </c>
      <c r="F1158" s="1">
        <f>IF(OR(Paths!$C$111=0,C1158=0),0,12-E1158)</f>
        <v>0</v>
      </c>
      <c r="G1158" s="16">
        <f>IF(NOT(Paths!$C$111=1),0,IF(Paths!$P$111="Complete",E1158/12*(Paths!$J$111*(1+'Operating costs'!$B$51)^MAX(0,C1158-1)+Paths!$K$111*(1+'Operating costs'!$B$53)^MAX(0,C1158-1)),"n.a."))</f>
        <v>0</v>
      </c>
      <c r="H1158" s="16">
        <f>IF(NOT(Paths!$C$111=1),0,IF(Paths!$P$111="Complete",F1158/12*(Paths!$L$111*(1+IF(Paths!$D$111="EV",'Operating costs'!$B$52,'Operating costs'!$B$51))^MAX(0,C1158-1)+Paths!$M$111*(1+'Operating costs'!$B$53)^MAX(0,C1158-1)),"n.a."))</f>
        <v>0</v>
      </c>
      <c r="I1158" s="16">
        <f>IF(NOT(Paths!$C$111=1),0,IF(Paths!$P$111="Complete",IF(IF(Paths!$E$111=0,C1158=0,AND(C1158&gt;0,Paths!$E$111&gt;(C1158-1)*12,Paths!$E$111&lt;=C1158*12)),Paths!$G$111,0),"n.a."))</f>
        <v>0</v>
      </c>
      <c r="J1158" s="16">
        <f>IF(NOT(Paths!$C$111=1),0,IF(Paths!$P$111="Complete",IF(IF(Paths!$E$111=0,C1158=0,AND(C1158&gt;0,Paths!$E$111&gt;(C1158-1)*12,Paths!$E$111&lt;=C1158*12)),Paths!$H$111,0),"n.a."))</f>
        <v>0</v>
      </c>
      <c r="K1158" s="16">
        <f>IF(NOT(Paths!$C$111=1),0,IF(Paths!$P$111="Complete",IF(IF(Paths!$O$111=0,C1158=0,AND(C1158&gt;0,Paths!$O$111&gt;(C1158-1)*12,Paths!$O$111&lt;=C1158*12)),Paths!$N$111,0),"n.a."))</f>
        <v>0</v>
      </c>
      <c r="L1158" s="16">
        <f>IF(NOT(Paths!$C$111=1),0,IF(Paths!$P$111="Complete",IF(C1158=10,Paths!$I$111,0),"n.a."))</f>
        <v>0</v>
      </c>
      <c r="M1158" s="16">
        <f>IF(NOT(Paths!$C$111=1),0,IF(Paths!$P$111="Complete",IF(AND(Paths!$D$111="EV",Paths!$E$111&lt;120,Paths!$E$111+'Operating costs'!$B$65&gt;Paths!$E$111,Paths!$E$111+'Operating costs'!$B$65&lt;=120,IF(Paths!$E$111+'Operating costs'!$B$65=0,C1158=0,AND(C1158&gt;0,Paths!$E$111+'Operating costs'!$B$65&gt;(C1158-1)*12,Paths!$E$111+'Operating costs'!$B$65&lt;=C1158*12))),'Operating costs'!$B$64,0)+IF(AND('Operating costs'!$B$67&gt;0,'Operating costs'!$B$67&lt;=120,OR(Paths!$D$111="ICE",'Operating costs'!$B$67&lt;=Paths!$E$111),IF('Operating costs'!$B$67=0,C1158=0,AND(C1158&gt;0,'Operating costs'!$B$67&gt;(C1158-1)*12,'Operating costs'!$B$67&lt;=C1158*12))),'Operating costs'!$B$66,0),"n.a."))</f>
        <v>0</v>
      </c>
      <c r="N1158" s="16">
        <f>IF(NOT(Paths!$C$111=1),0,IF(Paths!$P$111="Complete",SUM(G1158:I1158)-J1158-K1158-L1158+M1158+IF(C1158=0,Paths!$F$111,0)+IF(IF(Paths!$E$111=0,C1158=0,AND(C1158&gt;0,Paths!$E$111&gt;(C1158-1)*12,Paths!$E$111&lt;=C1158*12)),VLOOKUP(A1158,'Fleet register'!$A$7:$S$106,16,FALSE),0),"n.a."))</f>
        <v>0</v>
      </c>
      <c r="O1158" s="16">
        <f>IF(NOT(Paths!$C$111=1),0,IF(Paths!$P$111="Complete",N1158-IF(C1158=0,Paths!$F$111,0),"n.a."))</f>
        <v>0</v>
      </c>
      <c r="P1158" s="16">
        <f>IF(NOT(Paths!$C$111=1),0,IF(Paths!$P$111="Complete",O1158+L1158,"n.a."))</f>
        <v>0</v>
      </c>
      <c r="Q1158" s="16">
        <f>IF(NOT(Paths!$C$111=1),0,IF(Paths!$P$111="Complete",N1158*(1+'Operating costs'!$B$54)^-C1158,"n.a."))</f>
        <v>0</v>
      </c>
      <c r="R1158" s="16">
        <f>IF(NOT(Paths!$C$111=1),0,IF(Paths!$P$111="Complete",IF(AND(C1158=0,Paths!$E$111=0),I1158-J1158-K1158+VLOOKUP(A1158,'Fleet register'!$A$7:$S$106,15,FALSE)+VLOOKUP(A1158,'Fleet register'!$A$7:$S$106,16,FALSE),0),"n.a."))</f>
        <v>0</v>
      </c>
      <c r="S1158" s="1">
        <f>IF(NOT(Paths!$C$111=1),0,IF(Paths!$P$111="Complete",IF(C1158=0,0,Paths!$S$111*Paths!$R$111),"n.a."))</f>
        <v>0</v>
      </c>
      <c r="T1158" s="1">
        <f>IF(NOT(Paths!$C$111=1),0,IF(Paths!$P$111="Complete",IF(C1158=0,0,VLOOKUP(A1158,'Fleet register'!$A$7:$S$106,9,FALSE)*Paths!$R$111),"n.a."))</f>
        <v>0</v>
      </c>
    </row>
    <row r="1159" spans="1:20" ht="24" customHeight="1">
      <c r="A1159" s="1" t="str">
        <f>Paths!$A$111</f>
        <v>T027</v>
      </c>
      <c r="B1159" s="1">
        <f>Paths!$B$111</f>
        <v>0</v>
      </c>
      <c r="C1159" s="1">
        <v>8</v>
      </c>
      <c r="D1159" s="1">
        <v>111</v>
      </c>
      <c r="E1159" s="1">
        <f>IF(OR(Paths!$C$111=0,C1159=0),0,MAX(0,MIN(C1159*12,Paths!$E$111)-(C1159-1)*12))</f>
        <v>0</v>
      </c>
      <c r="F1159" s="1">
        <f>IF(OR(Paths!$C$111=0,C1159=0),0,12-E1159)</f>
        <v>0</v>
      </c>
      <c r="G1159" s="16">
        <f>IF(NOT(Paths!$C$111=1),0,IF(Paths!$P$111="Complete",E1159/12*(Paths!$J$111*(1+'Operating costs'!$B$51)^MAX(0,C1159-1)+Paths!$K$111*(1+'Operating costs'!$B$53)^MAX(0,C1159-1)),"n.a."))</f>
        <v>0</v>
      </c>
      <c r="H1159" s="16">
        <f>IF(NOT(Paths!$C$111=1),0,IF(Paths!$P$111="Complete",F1159/12*(Paths!$L$111*(1+IF(Paths!$D$111="EV",'Operating costs'!$B$52,'Operating costs'!$B$51))^MAX(0,C1159-1)+Paths!$M$111*(1+'Operating costs'!$B$53)^MAX(0,C1159-1)),"n.a."))</f>
        <v>0</v>
      </c>
      <c r="I1159" s="16">
        <f>IF(NOT(Paths!$C$111=1),0,IF(Paths!$P$111="Complete",IF(IF(Paths!$E$111=0,C1159=0,AND(C1159&gt;0,Paths!$E$111&gt;(C1159-1)*12,Paths!$E$111&lt;=C1159*12)),Paths!$G$111,0),"n.a."))</f>
        <v>0</v>
      </c>
      <c r="J1159" s="16">
        <f>IF(NOT(Paths!$C$111=1),0,IF(Paths!$P$111="Complete",IF(IF(Paths!$E$111=0,C1159=0,AND(C1159&gt;0,Paths!$E$111&gt;(C1159-1)*12,Paths!$E$111&lt;=C1159*12)),Paths!$H$111,0),"n.a."))</f>
        <v>0</v>
      </c>
      <c r="K1159" s="16">
        <f>IF(NOT(Paths!$C$111=1),0,IF(Paths!$P$111="Complete",IF(IF(Paths!$O$111=0,C1159=0,AND(C1159&gt;0,Paths!$O$111&gt;(C1159-1)*12,Paths!$O$111&lt;=C1159*12)),Paths!$N$111,0),"n.a."))</f>
        <v>0</v>
      </c>
      <c r="L1159" s="16">
        <f>IF(NOT(Paths!$C$111=1),0,IF(Paths!$P$111="Complete",IF(C1159=10,Paths!$I$111,0),"n.a."))</f>
        <v>0</v>
      </c>
      <c r="M1159" s="16">
        <f>IF(NOT(Paths!$C$111=1),0,IF(Paths!$P$111="Complete",IF(AND(Paths!$D$111="EV",Paths!$E$111&lt;120,Paths!$E$111+'Operating costs'!$B$65&gt;Paths!$E$111,Paths!$E$111+'Operating costs'!$B$65&lt;=120,IF(Paths!$E$111+'Operating costs'!$B$65=0,C1159=0,AND(C1159&gt;0,Paths!$E$111+'Operating costs'!$B$65&gt;(C1159-1)*12,Paths!$E$111+'Operating costs'!$B$65&lt;=C1159*12))),'Operating costs'!$B$64,0)+IF(AND('Operating costs'!$B$67&gt;0,'Operating costs'!$B$67&lt;=120,OR(Paths!$D$111="ICE",'Operating costs'!$B$67&lt;=Paths!$E$111),IF('Operating costs'!$B$67=0,C1159=0,AND(C1159&gt;0,'Operating costs'!$B$67&gt;(C1159-1)*12,'Operating costs'!$B$67&lt;=C1159*12))),'Operating costs'!$B$66,0),"n.a."))</f>
        <v>0</v>
      </c>
      <c r="N1159" s="16">
        <f>IF(NOT(Paths!$C$111=1),0,IF(Paths!$P$111="Complete",SUM(G1159:I1159)-J1159-K1159-L1159+M1159+IF(C1159=0,Paths!$F$111,0)+IF(IF(Paths!$E$111=0,C1159=0,AND(C1159&gt;0,Paths!$E$111&gt;(C1159-1)*12,Paths!$E$111&lt;=C1159*12)),VLOOKUP(A1159,'Fleet register'!$A$7:$S$106,16,FALSE),0),"n.a."))</f>
        <v>0</v>
      </c>
      <c r="O1159" s="16">
        <f>IF(NOT(Paths!$C$111=1),0,IF(Paths!$P$111="Complete",N1159-IF(C1159=0,Paths!$F$111,0),"n.a."))</f>
        <v>0</v>
      </c>
      <c r="P1159" s="16">
        <f>IF(NOT(Paths!$C$111=1),0,IF(Paths!$P$111="Complete",O1159+L1159,"n.a."))</f>
        <v>0</v>
      </c>
      <c r="Q1159" s="16">
        <f>IF(NOT(Paths!$C$111=1),0,IF(Paths!$P$111="Complete",N1159*(1+'Operating costs'!$B$54)^-C1159,"n.a."))</f>
        <v>0</v>
      </c>
      <c r="R1159" s="16">
        <f>IF(NOT(Paths!$C$111=1),0,IF(Paths!$P$111="Complete",IF(AND(C1159=0,Paths!$E$111=0),I1159-J1159-K1159+VLOOKUP(A1159,'Fleet register'!$A$7:$S$106,15,FALSE)+VLOOKUP(A1159,'Fleet register'!$A$7:$S$106,16,FALSE),0),"n.a."))</f>
        <v>0</v>
      </c>
      <c r="S1159" s="1">
        <f>IF(NOT(Paths!$C$111=1),0,IF(Paths!$P$111="Complete",IF(C1159=0,0,Paths!$S$111*Paths!$R$111),"n.a."))</f>
        <v>0</v>
      </c>
      <c r="T1159" s="1">
        <f>IF(NOT(Paths!$C$111=1),0,IF(Paths!$P$111="Complete",IF(C1159=0,0,VLOOKUP(A1159,'Fleet register'!$A$7:$S$106,9,FALSE)*Paths!$R$111),"n.a."))</f>
        <v>0</v>
      </c>
    </row>
    <row r="1160" spans="1:20" ht="24" customHeight="1">
      <c r="A1160" s="1" t="str">
        <f>Paths!$A$111</f>
        <v>T027</v>
      </c>
      <c r="B1160" s="1">
        <f>Paths!$B$111</f>
        <v>0</v>
      </c>
      <c r="C1160" s="1">
        <v>9</v>
      </c>
      <c r="D1160" s="1">
        <v>111</v>
      </c>
      <c r="E1160" s="1">
        <f>IF(OR(Paths!$C$111=0,C1160=0),0,MAX(0,MIN(C1160*12,Paths!$E$111)-(C1160-1)*12))</f>
        <v>0</v>
      </c>
      <c r="F1160" s="1">
        <f>IF(OR(Paths!$C$111=0,C1160=0),0,12-E1160)</f>
        <v>0</v>
      </c>
      <c r="G1160" s="16">
        <f>IF(NOT(Paths!$C$111=1),0,IF(Paths!$P$111="Complete",E1160/12*(Paths!$J$111*(1+'Operating costs'!$B$51)^MAX(0,C1160-1)+Paths!$K$111*(1+'Operating costs'!$B$53)^MAX(0,C1160-1)),"n.a."))</f>
        <v>0</v>
      </c>
      <c r="H1160" s="16">
        <f>IF(NOT(Paths!$C$111=1),0,IF(Paths!$P$111="Complete",F1160/12*(Paths!$L$111*(1+IF(Paths!$D$111="EV",'Operating costs'!$B$52,'Operating costs'!$B$51))^MAX(0,C1160-1)+Paths!$M$111*(1+'Operating costs'!$B$53)^MAX(0,C1160-1)),"n.a."))</f>
        <v>0</v>
      </c>
      <c r="I1160" s="16">
        <f>IF(NOT(Paths!$C$111=1),0,IF(Paths!$P$111="Complete",IF(IF(Paths!$E$111=0,C1160=0,AND(C1160&gt;0,Paths!$E$111&gt;(C1160-1)*12,Paths!$E$111&lt;=C1160*12)),Paths!$G$111,0),"n.a."))</f>
        <v>0</v>
      </c>
      <c r="J1160" s="16">
        <f>IF(NOT(Paths!$C$111=1),0,IF(Paths!$P$111="Complete",IF(IF(Paths!$E$111=0,C1160=0,AND(C1160&gt;0,Paths!$E$111&gt;(C1160-1)*12,Paths!$E$111&lt;=C1160*12)),Paths!$H$111,0),"n.a."))</f>
        <v>0</v>
      </c>
      <c r="K1160" s="16">
        <f>IF(NOT(Paths!$C$111=1),0,IF(Paths!$P$111="Complete",IF(IF(Paths!$O$111=0,C1160=0,AND(C1160&gt;0,Paths!$O$111&gt;(C1160-1)*12,Paths!$O$111&lt;=C1160*12)),Paths!$N$111,0),"n.a."))</f>
        <v>0</v>
      </c>
      <c r="L1160" s="16">
        <f>IF(NOT(Paths!$C$111=1),0,IF(Paths!$P$111="Complete",IF(C1160=10,Paths!$I$111,0),"n.a."))</f>
        <v>0</v>
      </c>
      <c r="M1160" s="16">
        <f>IF(NOT(Paths!$C$111=1),0,IF(Paths!$P$111="Complete",IF(AND(Paths!$D$111="EV",Paths!$E$111&lt;120,Paths!$E$111+'Operating costs'!$B$65&gt;Paths!$E$111,Paths!$E$111+'Operating costs'!$B$65&lt;=120,IF(Paths!$E$111+'Operating costs'!$B$65=0,C1160=0,AND(C1160&gt;0,Paths!$E$111+'Operating costs'!$B$65&gt;(C1160-1)*12,Paths!$E$111+'Operating costs'!$B$65&lt;=C1160*12))),'Operating costs'!$B$64,0)+IF(AND('Operating costs'!$B$67&gt;0,'Operating costs'!$B$67&lt;=120,OR(Paths!$D$111="ICE",'Operating costs'!$B$67&lt;=Paths!$E$111),IF('Operating costs'!$B$67=0,C1160=0,AND(C1160&gt;0,'Operating costs'!$B$67&gt;(C1160-1)*12,'Operating costs'!$B$67&lt;=C1160*12))),'Operating costs'!$B$66,0),"n.a."))</f>
        <v>0</v>
      </c>
      <c r="N1160" s="16">
        <f>IF(NOT(Paths!$C$111=1),0,IF(Paths!$P$111="Complete",SUM(G1160:I1160)-J1160-K1160-L1160+M1160+IF(C1160=0,Paths!$F$111,0)+IF(IF(Paths!$E$111=0,C1160=0,AND(C1160&gt;0,Paths!$E$111&gt;(C1160-1)*12,Paths!$E$111&lt;=C1160*12)),VLOOKUP(A1160,'Fleet register'!$A$7:$S$106,16,FALSE),0),"n.a."))</f>
        <v>0</v>
      </c>
      <c r="O1160" s="16">
        <f>IF(NOT(Paths!$C$111=1),0,IF(Paths!$P$111="Complete",N1160-IF(C1160=0,Paths!$F$111,0),"n.a."))</f>
        <v>0</v>
      </c>
      <c r="P1160" s="16">
        <f>IF(NOT(Paths!$C$111=1),0,IF(Paths!$P$111="Complete",O1160+L1160,"n.a."))</f>
        <v>0</v>
      </c>
      <c r="Q1160" s="16">
        <f>IF(NOT(Paths!$C$111=1),0,IF(Paths!$P$111="Complete",N1160*(1+'Operating costs'!$B$54)^-C1160,"n.a."))</f>
        <v>0</v>
      </c>
      <c r="R1160" s="16">
        <f>IF(NOT(Paths!$C$111=1),0,IF(Paths!$P$111="Complete",IF(AND(C1160=0,Paths!$E$111=0),I1160-J1160-K1160+VLOOKUP(A1160,'Fleet register'!$A$7:$S$106,15,FALSE)+VLOOKUP(A1160,'Fleet register'!$A$7:$S$106,16,FALSE),0),"n.a."))</f>
        <v>0</v>
      </c>
      <c r="S1160" s="1">
        <f>IF(NOT(Paths!$C$111=1),0,IF(Paths!$P$111="Complete",IF(C1160=0,0,Paths!$S$111*Paths!$R$111),"n.a."))</f>
        <v>0</v>
      </c>
      <c r="T1160" s="1">
        <f>IF(NOT(Paths!$C$111=1),0,IF(Paths!$P$111="Complete",IF(C1160=0,0,VLOOKUP(A1160,'Fleet register'!$A$7:$S$106,9,FALSE)*Paths!$R$111),"n.a."))</f>
        <v>0</v>
      </c>
    </row>
    <row r="1161" spans="1:20" ht="24" customHeight="1">
      <c r="A1161" s="1" t="str">
        <f>Paths!$A$111</f>
        <v>T027</v>
      </c>
      <c r="B1161" s="1">
        <f>Paths!$B$111</f>
        <v>0</v>
      </c>
      <c r="C1161" s="1">
        <v>10</v>
      </c>
      <c r="D1161" s="1">
        <v>111</v>
      </c>
      <c r="E1161" s="1">
        <f>IF(OR(Paths!$C$111=0,C1161=0),0,MAX(0,MIN(C1161*12,Paths!$E$111)-(C1161-1)*12))</f>
        <v>0</v>
      </c>
      <c r="F1161" s="1">
        <f>IF(OR(Paths!$C$111=0,C1161=0),0,12-E1161)</f>
        <v>0</v>
      </c>
      <c r="G1161" s="16">
        <f>IF(NOT(Paths!$C$111=1),0,IF(Paths!$P$111="Complete",E1161/12*(Paths!$J$111*(1+'Operating costs'!$B$51)^MAX(0,C1161-1)+Paths!$K$111*(1+'Operating costs'!$B$53)^MAX(0,C1161-1)),"n.a."))</f>
        <v>0</v>
      </c>
      <c r="H1161" s="16">
        <f>IF(NOT(Paths!$C$111=1),0,IF(Paths!$P$111="Complete",F1161/12*(Paths!$L$111*(1+IF(Paths!$D$111="EV",'Operating costs'!$B$52,'Operating costs'!$B$51))^MAX(0,C1161-1)+Paths!$M$111*(1+'Operating costs'!$B$53)^MAX(0,C1161-1)),"n.a."))</f>
        <v>0</v>
      </c>
      <c r="I1161" s="16">
        <f>IF(NOT(Paths!$C$111=1),0,IF(Paths!$P$111="Complete",IF(IF(Paths!$E$111=0,C1161=0,AND(C1161&gt;0,Paths!$E$111&gt;(C1161-1)*12,Paths!$E$111&lt;=C1161*12)),Paths!$G$111,0),"n.a."))</f>
        <v>0</v>
      </c>
      <c r="J1161" s="16">
        <f>IF(NOT(Paths!$C$111=1),0,IF(Paths!$P$111="Complete",IF(IF(Paths!$E$111=0,C1161=0,AND(C1161&gt;0,Paths!$E$111&gt;(C1161-1)*12,Paths!$E$111&lt;=C1161*12)),Paths!$H$111,0),"n.a."))</f>
        <v>0</v>
      </c>
      <c r="K1161" s="16">
        <f>IF(NOT(Paths!$C$111=1),0,IF(Paths!$P$111="Complete",IF(IF(Paths!$O$111=0,C1161=0,AND(C1161&gt;0,Paths!$O$111&gt;(C1161-1)*12,Paths!$O$111&lt;=C1161*12)),Paths!$N$111,0),"n.a."))</f>
        <v>0</v>
      </c>
      <c r="L1161" s="16">
        <f>IF(NOT(Paths!$C$111=1),0,IF(Paths!$P$111="Complete",IF(C1161=10,Paths!$I$111,0),"n.a."))</f>
        <v>0</v>
      </c>
      <c r="M1161" s="16">
        <f>IF(NOT(Paths!$C$111=1),0,IF(Paths!$P$111="Complete",IF(AND(Paths!$D$111="EV",Paths!$E$111&lt;120,Paths!$E$111+'Operating costs'!$B$65&gt;Paths!$E$111,Paths!$E$111+'Operating costs'!$B$65&lt;=120,IF(Paths!$E$111+'Operating costs'!$B$65=0,C1161=0,AND(C1161&gt;0,Paths!$E$111+'Operating costs'!$B$65&gt;(C1161-1)*12,Paths!$E$111+'Operating costs'!$B$65&lt;=C1161*12))),'Operating costs'!$B$64,0)+IF(AND('Operating costs'!$B$67&gt;0,'Operating costs'!$B$67&lt;=120,OR(Paths!$D$111="ICE",'Operating costs'!$B$67&lt;=Paths!$E$111),IF('Operating costs'!$B$67=0,C1161=0,AND(C1161&gt;0,'Operating costs'!$B$67&gt;(C1161-1)*12,'Operating costs'!$B$67&lt;=C1161*12))),'Operating costs'!$B$66,0),"n.a."))</f>
        <v>0</v>
      </c>
      <c r="N1161" s="16">
        <f>IF(NOT(Paths!$C$111=1),0,IF(Paths!$P$111="Complete",SUM(G1161:I1161)-J1161-K1161-L1161+M1161+IF(C1161=0,Paths!$F$111,0)+IF(IF(Paths!$E$111=0,C1161=0,AND(C1161&gt;0,Paths!$E$111&gt;(C1161-1)*12,Paths!$E$111&lt;=C1161*12)),VLOOKUP(A1161,'Fleet register'!$A$7:$S$106,16,FALSE),0),"n.a."))</f>
        <v>0</v>
      </c>
      <c r="O1161" s="16">
        <f>IF(NOT(Paths!$C$111=1),0,IF(Paths!$P$111="Complete",N1161-IF(C1161=0,Paths!$F$111,0),"n.a."))</f>
        <v>0</v>
      </c>
      <c r="P1161" s="16">
        <f>IF(NOT(Paths!$C$111=1),0,IF(Paths!$P$111="Complete",O1161+L1161,"n.a."))</f>
        <v>0</v>
      </c>
      <c r="Q1161" s="16">
        <f>IF(NOT(Paths!$C$111=1),0,IF(Paths!$P$111="Complete",N1161*(1+'Operating costs'!$B$54)^-C1161,"n.a."))</f>
        <v>0</v>
      </c>
      <c r="R1161" s="16">
        <f>IF(NOT(Paths!$C$111=1),0,IF(Paths!$P$111="Complete",IF(AND(C1161=0,Paths!$E$111=0),I1161-J1161-K1161+VLOOKUP(A1161,'Fleet register'!$A$7:$S$106,15,FALSE)+VLOOKUP(A1161,'Fleet register'!$A$7:$S$106,16,FALSE),0),"n.a."))</f>
        <v>0</v>
      </c>
      <c r="S1161" s="1">
        <f>IF(NOT(Paths!$C$111=1),0,IF(Paths!$P$111="Complete",IF(C1161=0,0,Paths!$S$111*Paths!$R$111),"n.a."))</f>
        <v>0</v>
      </c>
      <c r="T1161" s="1">
        <f>IF(NOT(Paths!$C$111=1),0,IF(Paths!$P$111="Complete",IF(C1161=0,0,VLOOKUP(A1161,'Fleet register'!$A$7:$S$106,9,FALSE)*Paths!$R$111),"n.a."))</f>
        <v>0</v>
      </c>
    </row>
    <row r="1162" spans="1:20" ht="24" customHeight="1">
      <c r="A1162" s="1" t="str">
        <f>Paths!$A$112</f>
        <v>T027</v>
      </c>
      <c r="B1162" s="1">
        <f>Paths!$B$112</f>
        <v>1</v>
      </c>
      <c r="C1162" s="1">
        <v>0</v>
      </c>
      <c r="D1162" s="1">
        <v>112</v>
      </c>
      <c r="E1162" s="1">
        <f>IF(OR(Paths!$C$112=0,C1162=0),0,MAX(0,MIN(C1162*12,Paths!$E$112)-(C1162-1)*12))</f>
        <v>0</v>
      </c>
      <c r="F1162" s="1">
        <f>IF(OR(Paths!$C$112=0,C1162=0),0,12-E1162)</f>
        <v>0</v>
      </c>
      <c r="G1162" s="16">
        <f>IF(NOT(Paths!$C$112=1),0,IF(Paths!$P$112="Complete",E1162/12*(Paths!$J$112*(1+'Operating costs'!$B$51)^MAX(0,C1162-1)+Paths!$K$112*(1+'Operating costs'!$B$53)^MAX(0,C1162-1)),"n.a."))</f>
        <v>0</v>
      </c>
      <c r="H1162" s="16">
        <f>IF(NOT(Paths!$C$112=1),0,IF(Paths!$P$112="Complete",F1162/12*(Paths!$L$112*(1+IF(Paths!$D$112="EV",'Operating costs'!$B$52,'Operating costs'!$B$51))^MAX(0,C1162-1)+Paths!$M$112*(1+'Operating costs'!$B$53)^MAX(0,C1162-1)),"n.a."))</f>
        <v>0</v>
      </c>
      <c r="I1162" s="16">
        <f>IF(NOT(Paths!$C$112=1),0,IF(Paths!$P$112="Complete",IF(IF(Paths!$E$112=0,C1162=0,AND(C1162&gt;0,Paths!$E$112&gt;(C1162-1)*12,Paths!$E$112&lt;=C1162*12)),Paths!$G$112,0),"n.a."))</f>
        <v>0</v>
      </c>
      <c r="J1162" s="16">
        <f>IF(NOT(Paths!$C$112=1),0,IF(Paths!$P$112="Complete",IF(IF(Paths!$E$112=0,C1162=0,AND(C1162&gt;0,Paths!$E$112&gt;(C1162-1)*12,Paths!$E$112&lt;=C1162*12)),Paths!$H$112,0),"n.a."))</f>
        <v>0</v>
      </c>
      <c r="K1162" s="16">
        <f>IF(NOT(Paths!$C$112=1),0,IF(Paths!$P$112="Complete",IF(IF(Paths!$O$112=0,C1162=0,AND(C1162&gt;0,Paths!$O$112&gt;(C1162-1)*12,Paths!$O$112&lt;=C1162*12)),Paths!$N$112,0),"n.a."))</f>
        <v>0</v>
      </c>
      <c r="L1162" s="16">
        <f>IF(NOT(Paths!$C$112=1),0,IF(Paths!$P$112="Complete",IF(C1162=10,Paths!$I$112,0),"n.a."))</f>
        <v>0</v>
      </c>
      <c r="M1162" s="16">
        <f>IF(NOT(Paths!$C$112=1),0,IF(Paths!$P$112="Complete",IF(AND(Paths!$D$112="EV",Paths!$E$112&lt;120,Paths!$E$112+'Operating costs'!$B$65&gt;Paths!$E$112,Paths!$E$112+'Operating costs'!$B$65&lt;=120,IF(Paths!$E$112+'Operating costs'!$B$65=0,C1162=0,AND(C1162&gt;0,Paths!$E$112+'Operating costs'!$B$65&gt;(C1162-1)*12,Paths!$E$112+'Operating costs'!$B$65&lt;=C1162*12))),'Operating costs'!$B$64,0)+IF(AND('Operating costs'!$B$67&gt;0,'Operating costs'!$B$67&lt;=120,OR(Paths!$D$112="ICE",'Operating costs'!$B$67&lt;=Paths!$E$112),IF('Operating costs'!$B$67=0,C1162=0,AND(C1162&gt;0,'Operating costs'!$B$67&gt;(C1162-1)*12,'Operating costs'!$B$67&lt;=C1162*12))),'Operating costs'!$B$66,0),"n.a."))</f>
        <v>0</v>
      </c>
      <c r="N1162" s="16">
        <f>IF(NOT(Paths!$C$112=1),0,IF(Paths!$P$112="Complete",SUM(G1162:I1162)-J1162-K1162-L1162+M1162+IF(C1162=0,Paths!$F$112,0)+IF(IF(Paths!$E$112=0,C1162=0,AND(C1162&gt;0,Paths!$E$112&gt;(C1162-1)*12,Paths!$E$112&lt;=C1162*12)),VLOOKUP(A1162,'Fleet register'!$A$7:$S$106,16,FALSE),0),"n.a."))</f>
        <v>0</v>
      </c>
      <c r="O1162" s="16">
        <f>IF(NOT(Paths!$C$112=1),0,IF(Paths!$P$112="Complete",N1162-IF(C1162=0,Paths!$F$112,0),"n.a."))</f>
        <v>0</v>
      </c>
      <c r="P1162" s="16">
        <f>IF(NOT(Paths!$C$112=1),0,IF(Paths!$P$112="Complete",O1162+L1162,"n.a."))</f>
        <v>0</v>
      </c>
      <c r="Q1162" s="16">
        <f>IF(NOT(Paths!$C$112=1),0,IF(Paths!$P$112="Complete",N1162*(1+'Operating costs'!$B$54)^-C1162,"n.a."))</f>
        <v>0</v>
      </c>
      <c r="R1162" s="16">
        <f>IF(NOT(Paths!$C$112=1),0,IF(Paths!$P$112="Complete",IF(AND(C1162=0,Paths!$E$112=0),I1162-J1162-K1162+VLOOKUP(A1162,'Fleet register'!$A$7:$S$106,15,FALSE)+VLOOKUP(A1162,'Fleet register'!$A$7:$S$106,16,FALSE),0),"n.a."))</f>
        <v>0</v>
      </c>
      <c r="S1162" s="1">
        <f>IF(NOT(Paths!$C$112=1),0,IF(Paths!$P$112="Complete",IF(C1162=0,0,Paths!$S$112*Paths!$R$112),"n.a."))</f>
        <v>0</v>
      </c>
      <c r="T1162" s="1">
        <f>IF(NOT(Paths!$C$112=1),0,IF(Paths!$P$112="Complete",IF(C1162=0,0,VLOOKUP(A1162,'Fleet register'!$A$7:$S$106,9,FALSE)*Paths!$R$112),"n.a."))</f>
        <v>0</v>
      </c>
    </row>
    <row r="1163" spans="1:20" ht="24" customHeight="1">
      <c r="A1163" s="1" t="str">
        <f>Paths!$A$112</f>
        <v>T027</v>
      </c>
      <c r="B1163" s="1">
        <f>Paths!$B$112</f>
        <v>1</v>
      </c>
      <c r="C1163" s="1">
        <v>1</v>
      </c>
      <c r="D1163" s="1">
        <v>112</v>
      </c>
      <c r="E1163" s="1">
        <f>IF(OR(Paths!$C$112=0,C1163=0),0,MAX(0,MIN(C1163*12,Paths!$E$112)-(C1163-1)*12))</f>
        <v>0</v>
      </c>
      <c r="F1163" s="1">
        <f>IF(OR(Paths!$C$112=0,C1163=0),0,12-E1163)</f>
        <v>0</v>
      </c>
      <c r="G1163" s="16">
        <f>IF(NOT(Paths!$C$112=1),0,IF(Paths!$P$112="Complete",E1163/12*(Paths!$J$112*(1+'Operating costs'!$B$51)^MAX(0,C1163-1)+Paths!$K$112*(1+'Operating costs'!$B$53)^MAX(0,C1163-1)),"n.a."))</f>
        <v>0</v>
      </c>
      <c r="H1163" s="16">
        <f>IF(NOT(Paths!$C$112=1),0,IF(Paths!$P$112="Complete",F1163/12*(Paths!$L$112*(1+IF(Paths!$D$112="EV",'Operating costs'!$B$52,'Operating costs'!$B$51))^MAX(0,C1163-1)+Paths!$M$112*(1+'Operating costs'!$B$53)^MAX(0,C1163-1)),"n.a."))</f>
        <v>0</v>
      </c>
      <c r="I1163" s="16">
        <f>IF(NOT(Paths!$C$112=1),0,IF(Paths!$P$112="Complete",IF(IF(Paths!$E$112=0,C1163=0,AND(C1163&gt;0,Paths!$E$112&gt;(C1163-1)*12,Paths!$E$112&lt;=C1163*12)),Paths!$G$112,0),"n.a."))</f>
        <v>0</v>
      </c>
      <c r="J1163" s="16">
        <f>IF(NOT(Paths!$C$112=1),0,IF(Paths!$P$112="Complete",IF(IF(Paths!$E$112=0,C1163=0,AND(C1163&gt;0,Paths!$E$112&gt;(C1163-1)*12,Paths!$E$112&lt;=C1163*12)),Paths!$H$112,0),"n.a."))</f>
        <v>0</v>
      </c>
      <c r="K1163" s="16">
        <f>IF(NOT(Paths!$C$112=1),0,IF(Paths!$P$112="Complete",IF(IF(Paths!$O$112=0,C1163=0,AND(C1163&gt;0,Paths!$O$112&gt;(C1163-1)*12,Paths!$O$112&lt;=C1163*12)),Paths!$N$112,0),"n.a."))</f>
        <v>0</v>
      </c>
      <c r="L1163" s="16">
        <f>IF(NOT(Paths!$C$112=1),0,IF(Paths!$P$112="Complete",IF(C1163=10,Paths!$I$112,0),"n.a."))</f>
        <v>0</v>
      </c>
      <c r="M1163" s="16">
        <f>IF(NOT(Paths!$C$112=1),0,IF(Paths!$P$112="Complete",IF(AND(Paths!$D$112="EV",Paths!$E$112&lt;120,Paths!$E$112+'Operating costs'!$B$65&gt;Paths!$E$112,Paths!$E$112+'Operating costs'!$B$65&lt;=120,IF(Paths!$E$112+'Operating costs'!$B$65=0,C1163=0,AND(C1163&gt;0,Paths!$E$112+'Operating costs'!$B$65&gt;(C1163-1)*12,Paths!$E$112+'Operating costs'!$B$65&lt;=C1163*12))),'Operating costs'!$B$64,0)+IF(AND('Operating costs'!$B$67&gt;0,'Operating costs'!$B$67&lt;=120,OR(Paths!$D$112="ICE",'Operating costs'!$B$67&lt;=Paths!$E$112),IF('Operating costs'!$B$67=0,C1163=0,AND(C1163&gt;0,'Operating costs'!$B$67&gt;(C1163-1)*12,'Operating costs'!$B$67&lt;=C1163*12))),'Operating costs'!$B$66,0),"n.a."))</f>
        <v>0</v>
      </c>
      <c r="N1163" s="16">
        <f>IF(NOT(Paths!$C$112=1),0,IF(Paths!$P$112="Complete",SUM(G1163:I1163)-J1163-K1163-L1163+M1163+IF(C1163=0,Paths!$F$112,0)+IF(IF(Paths!$E$112=0,C1163=0,AND(C1163&gt;0,Paths!$E$112&gt;(C1163-1)*12,Paths!$E$112&lt;=C1163*12)),VLOOKUP(A1163,'Fleet register'!$A$7:$S$106,16,FALSE),0),"n.a."))</f>
        <v>0</v>
      </c>
      <c r="O1163" s="16">
        <f>IF(NOT(Paths!$C$112=1),0,IF(Paths!$P$112="Complete",N1163-IF(C1163=0,Paths!$F$112,0),"n.a."))</f>
        <v>0</v>
      </c>
      <c r="P1163" s="16">
        <f>IF(NOT(Paths!$C$112=1),0,IF(Paths!$P$112="Complete",O1163+L1163,"n.a."))</f>
        <v>0</v>
      </c>
      <c r="Q1163" s="16">
        <f>IF(NOT(Paths!$C$112=1),0,IF(Paths!$P$112="Complete",N1163*(1+'Operating costs'!$B$54)^-C1163,"n.a."))</f>
        <v>0</v>
      </c>
      <c r="R1163" s="16">
        <f>IF(NOT(Paths!$C$112=1),0,IF(Paths!$P$112="Complete",IF(AND(C1163=0,Paths!$E$112=0),I1163-J1163-K1163+VLOOKUP(A1163,'Fleet register'!$A$7:$S$106,15,FALSE)+VLOOKUP(A1163,'Fleet register'!$A$7:$S$106,16,FALSE),0),"n.a."))</f>
        <v>0</v>
      </c>
      <c r="S1163" s="1">
        <f>IF(NOT(Paths!$C$112=1),0,IF(Paths!$P$112="Complete",IF(C1163=0,0,Paths!$S$112*Paths!$R$112),"n.a."))</f>
        <v>0</v>
      </c>
      <c r="T1163" s="1">
        <f>IF(NOT(Paths!$C$112=1),0,IF(Paths!$P$112="Complete",IF(C1163=0,0,VLOOKUP(A1163,'Fleet register'!$A$7:$S$106,9,FALSE)*Paths!$R$112),"n.a."))</f>
        <v>0</v>
      </c>
    </row>
    <row r="1164" spans="1:20" ht="24" customHeight="1">
      <c r="A1164" s="1" t="str">
        <f>Paths!$A$112</f>
        <v>T027</v>
      </c>
      <c r="B1164" s="1">
        <f>Paths!$B$112</f>
        <v>1</v>
      </c>
      <c r="C1164" s="1">
        <v>2</v>
      </c>
      <c r="D1164" s="1">
        <v>112</v>
      </c>
      <c r="E1164" s="1">
        <f>IF(OR(Paths!$C$112=0,C1164=0),0,MAX(0,MIN(C1164*12,Paths!$E$112)-(C1164-1)*12))</f>
        <v>0</v>
      </c>
      <c r="F1164" s="1">
        <f>IF(OR(Paths!$C$112=0,C1164=0),0,12-E1164)</f>
        <v>0</v>
      </c>
      <c r="G1164" s="16">
        <f>IF(NOT(Paths!$C$112=1),0,IF(Paths!$P$112="Complete",E1164/12*(Paths!$J$112*(1+'Operating costs'!$B$51)^MAX(0,C1164-1)+Paths!$K$112*(1+'Operating costs'!$B$53)^MAX(0,C1164-1)),"n.a."))</f>
        <v>0</v>
      </c>
      <c r="H1164" s="16">
        <f>IF(NOT(Paths!$C$112=1),0,IF(Paths!$P$112="Complete",F1164/12*(Paths!$L$112*(1+IF(Paths!$D$112="EV",'Operating costs'!$B$52,'Operating costs'!$B$51))^MAX(0,C1164-1)+Paths!$M$112*(1+'Operating costs'!$B$53)^MAX(0,C1164-1)),"n.a."))</f>
        <v>0</v>
      </c>
      <c r="I1164" s="16">
        <f>IF(NOT(Paths!$C$112=1),0,IF(Paths!$P$112="Complete",IF(IF(Paths!$E$112=0,C1164=0,AND(C1164&gt;0,Paths!$E$112&gt;(C1164-1)*12,Paths!$E$112&lt;=C1164*12)),Paths!$G$112,0),"n.a."))</f>
        <v>0</v>
      </c>
      <c r="J1164" s="16">
        <f>IF(NOT(Paths!$C$112=1),0,IF(Paths!$P$112="Complete",IF(IF(Paths!$E$112=0,C1164=0,AND(C1164&gt;0,Paths!$E$112&gt;(C1164-1)*12,Paths!$E$112&lt;=C1164*12)),Paths!$H$112,0),"n.a."))</f>
        <v>0</v>
      </c>
      <c r="K1164" s="16">
        <f>IF(NOT(Paths!$C$112=1),0,IF(Paths!$P$112="Complete",IF(IF(Paths!$O$112=0,C1164=0,AND(C1164&gt;0,Paths!$O$112&gt;(C1164-1)*12,Paths!$O$112&lt;=C1164*12)),Paths!$N$112,0),"n.a."))</f>
        <v>0</v>
      </c>
      <c r="L1164" s="16">
        <f>IF(NOT(Paths!$C$112=1),0,IF(Paths!$P$112="Complete",IF(C1164=10,Paths!$I$112,0),"n.a."))</f>
        <v>0</v>
      </c>
      <c r="M1164" s="16">
        <f>IF(NOT(Paths!$C$112=1),0,IF(Paths!$P$112="Complete",IF(AND(Paths!$D$112="EV",Paths!$E$112&lt;120,Paths!$E$112+'Operating costs'!$B$65&gt;Paths!$E$112,Paths!$E$112+'Operating costs'!$B$65&lt;=120,IF(Paths!$E$112+'Operating costs'!$B$65=0,C1164=0,AND(C1164&gt;0,Paths!$E$112+'Operating costs'!$B$65&gt;(C1164-1)*12,Paths!$E$112+'Operating costs'!$B$65&lt;=C1164*12))),'Operating costs'!$B$64,0)+IF(AND('Operating costs'!$B$67&gt;0,'Operating costs'!$B$67&lt;=120,OR(Paths!$D$112="ICE",'Operating costs'!$B$67&lt;=Paths!$E$112),IF('Operating costs'!$B$67=0,C1164=0,AND(C1164&gt;0,'Operating costs'!$B$67&gt;(C1164-1)*12,'Operating costs'!$B$67&lt;=C1164*12))),'Operating costs'!$B$66,0),"n.a."))</f>
        <v>0</v>
      </c>
      <c r="N1164" s="16">
        <f>IF(NOT(Paths!$C$112=1),0,IF(Paths!$P$112="Complete",SUM(G1164:I1164)-J1164-K1164-L1164+M1164+IF(C1164=0,Paths!$F$112,0)+IF(IF(Paths!$E$112=0,C1164=0,AND(C1164&gt;0,Paths!$E$112&gt;(C1164-1)*12,Paths!$E$112&lt;=C1164*12)),VLOOKUP(A1164,'Fleet register'!$A$7:$S$106,16,FALSE),0),"n.a."))</f>
        <v>0</v>
      </c>
      <c r="O1164" s="16">
        <f>IF(NOT(Paths!$C$112=1),0,IF(Paths!$P$112="Complete",N1164-IF(C1164=0,Paths!$F$112,0),"n.a."))</f>
        <v>0</v>
      </c>
      <c r="P1164" s="16">
        <f>IF(NOT(Paths!$C$112=1),0,IF(Paths!$P$112="Complete",O1164+L1164,"n.a."))</f>
        <v>0</v>
      </c>
      <c r="Q1164" s="16">
        <f>IF(NOT(Paths!$C$112=1),0,IF(Paths!$P$112="Complete",N1164*(1+'Operating costs'!$B$54)^-C1164,"n.a."))</f>
        <v>0</v>
      </c>
      <c r="R1164" s="16">
        <f>IF(NOT(Paths!$C$112=1),0,IF(Paths!$P$112="Complete",IF(AND(C1164=0,Paths!$E$112=0),I1164-J1164-K1164+VLOOKUP(A1164,'Fleet register'!$A$7:$S$106,15,FALSE)+VLOOKUP(A1164,'Fleet register'!$A$7:$S$106,16,FALSE),0),"n.a."))</f>
        <v>0</v>
      </c>
      <c r="S1164" s="1">
        <f>IF(NOT(Paths!$C$112=1),0,IF(Paths!$P$112="Complete",IF(C1164=0,0,Paths!$S$112*Paths!$R$112),"n.a."))</f>
        <v>0</v>
      </c>
      <c r="T1164" s="1">
        <f>IF(NOT(Paths!$C$112=1),0,IF(Paths!$P$112="Complete",IF(C1164=0,0,VLOOKUP(A1164,'Fleet register'!$A$7:$S$106,9,FALSE)*Paths!$R$112),"n.a."))</f>
        <v>0</v>
      </c>
    </row>
    <row r="1165" spans="1:20" ht="24" customHeight="1">
      <c r="A1165" s="1" t="str">
        <f>Paths!$A$112</f>
        <v>T027</v>
      </c>
      <c r="B1165" s="1">
        <f>Paths!$B$112</f>
        <v>1</v>
      </c>
      <c r="C1165" s="1">
        <v>3</v>
      </c>
      <c r="D1165" s="1">
        <v>112</v>
      </c>
      <c r="E1165" s="1">
        <f>IF(OR(Paths!$C$112=0,C1165=0),0,MAX(0,MIN(C1165*12,Paths!$E$112)-(C1165-1)*12))</f>
        <v>0</v>
      </c>
      <c r="F1165" s="1">
        <f>IF(OR(Paths!$C$112=0,C1165=0),0,12-E1165)</f>
        <v>0</v>
      </c>
      <c r="G1165" s="16">
        <f>IF(NOT(Paths!$C$112=1),0,IF(Paths!$P$112="Complete",E1165/12*(Paths!$J$112*(1+'Operating costs'!$B$51)^MAX(0,C1165-1)+Paths!$K$112*(1+'Operating costs'!$B$53)^MAX(0,C1165-1)),"n.a."))</f>
        <v>0</v>
      </c>
      <c r="H1165" s="16">
        <f>IF(NOT(Paths!$C$112=1),0,IF(Paths!$P$112="Complete",F1165/12*(Paths!$L$112*(1+IF(Paths!$D$112="EV",'Operating costs'!$B$52,'Operating costs'!$B$51))^MAX(0,C1165-1)+Paths!$M$112*(1+'Operating costs'!$B$53)^MAX(0,C1165-1)),"n.a."))</f>
        <v>0</v>
      </c>
      <c r="I1165" s="16">
        <f>IF(NOT(Paths!$C$112=1),0,IF(Paths!$P$112="Complete",IF(IF(Paths!$E$112=0,C1165=0,AND(C1165&gt;0,Paths!$E$112&gt;(C1165-1)*12,Paths!$E$112&lt;=C1165*12)),Paths!$G$112,0),"n.a."))</f>
        <v>0</v>
      </c>
      <c r="J1165" s="16">
        <f>IF(NOT(Paths!$C$112=1),0,IF(Paths!$P$112="Complete",IF(IF(Paths!$E$112=0,C1165=0,AND(C1165&gt;0,Paths!$E$112&gt;(C1165-1)*12,Paths!$E$112&lt;=C1165*12)),Paths!$H$112,0),"n.a."))</f>
        <v>0</v>
      </c>
      <c r="K1165" s="16">
        <f>IF(NOT(Paths!$C$112=1),0,IF(Paths!$P$112="Complete",IF(IF(Paths!$O$112=0,C1165=0,AND(C1165&gt;0,Paths!$O$112&gt;(C1165-1)*12,Paths!$O$112&lt;=C1165*12)),Paths!$N$112,0),"n.a."))</f>
        <v>0</v>
      </c>
      <c r="L1165" s="16">
        <f>IF(NOT(Paths!$C$112=1),0,IF(Paths!$P$112="Complete",IF(C1165=10,Paths!$I$112,0),"n.a."))</f>
        <v>0</v>
      </c>
      <c r="M1165" s="16">
        <f>IF(NOT(Paths!$C$112=1),0,IF(Paths!$P$112="Complete",IF(AND(Paths!$D$112="EV",Paths!$E$112&lt;120,Paths!$E$112+'Operating costs'!$B$65&gt;Paths!$E$112,Paths!$E$112+'Operating costs'!$B$65&lt;=120,IF(Paths!$E$112+'Operating costs'!$B$65=0,C1165=0,AND(C1165&gt;0,Paths!$E$112+'Operating costs'!$B$65&gt;(C1165-1)*12,Paths!$E$112+'Operating costs'!$B$65&lt;=C1165*12))),'Operating costs'!$B$64,0)+IF(AND('Operating costs'!$B$67&gt;0,'Operating costs'!$B$67&lt;=120,OR(Paths!$D$112="ICE",'Operating costs'!$B$67&lt;=Paths!$E$112),IF('Operating costs'!$B$67=0,C1165=0,AND(C1165&gt;0,'Operating costs'!$B$67&gt;(C1165-1)*12,'Operating costs'!$B$67&lt;=C1165*12))),'Operating costs'!$B$66,0),"n.a."))</f>
        <v>0</v>
      </c>
      <c r="N1165" s="16">
        <f>IF(NOT(Paths!$C$112=1),0,IF(Paths!$P$112="Complete",SUM(G1165:I1165)-J1165-K1165-L1165+M1165+IF(C1165=0,Paths!$F$112,0)+IF(IF(Paths!$E$112=0,C1165=0,AND(C1165&gt;0,Paths!$E$112&gt;(C1165-1)*12,Paths!$E$112&lt;=C1165*12)),VLOOKUP(A1165,'Fleet register'!$A$7:$S$106,16,FALSE),0),"n.a."))</f>
        <v>0</v>
      </c>
      <c r="O1165" s="16">
        <f>IF(NOT(Paths!$C$112=1),0,IF(Paths!$P$112="Complete",N1165-IF(C1165=0,Paths!$F$112,0),"n.a."))</f>
        <v>0</v>
      </c>
      <c r="P1165" s="16">
        <f>IF(NOT(Paths!$C$112=1),0,IF(Paths!$P$112="Complete",O1165+L1165,"n.a."))</f>
        <v>0</v>
      </c>
      <c r="Q1165" s="16">
        <f>IF(NOT(Paths!$C$112=1),0,IF(Paths!$P$112="Complete",N1165*(1+'Operating costs'!$B$54)^-C1165,"n.a."))</f>
        <v>0</v>
      </c>
      <c r="R1165" s="16">
        <f>IF(NOT(Paths!$C$112=1),0,IF(Paths!$P$112="Complete",IF(AND(C1165=0,Paths!$E$112=0),I1165-J1165-K1165+VLOOKUP(A1165,'Fleet register'!$A$7:$S$106,15,FALSE)+VLOOKUP(A1165,'Fleet register'!$A$7:$S$106,16,FALSE),0),"n.a."))</f>
        <v>0</v>
      </c>
      <c r="S1165" s="1">
        <f>IF(NOT(Paths!$C$112=1),0,IF(Paths!$P$112="Complete",IF(C1165=0,0,Paths!$S$112*Paths!$R$112),"n.a."))</f>
        <v>0</v>
      </c>
      <c r="T1165" s="1">
        <f>IF(NOT(Paths!$C$112=1),0,IF(Paths!$P$112="Complete",IF(C1165=0,0,VLOOKUP(A1165,'Fleet register'!$A$7:$S$106,9,FALSE)*Paths!$R$112),"n.a."))</f>
        <v>0</v>
      </c>
    </row>
    <row r="1166" spans="1:20" ht="24" customHeight="1">
      <c r="A1166" s="1" t="str">
        <f>Paths!$A$112</f>
        <v>T027</v>
      </c>
      <c r="B1166" s="1">
        <f>Paths!$B$112</f>
        <v>1</v>
      </c>
      <c r="C1166" s="1">
        <v>4</v>
      </c>
      <c r="D1166" s="1">
        <v>112</v>
      </c>
      <c r="E1166" s="1">
        <f>IF(OR(Paths!$C$112=0,C1166=0),0,MAX(0,MIN(C1166*12,Paths!$E$112)-(C1166-1)*12))</f>
        <v>0</v>
      </c>
      <c r="F1166" s="1">
        <f>IF(OR(Paths!$C$112=0,C1166=0),0,12-E1166)</f>
        <v>0</v>
      </c>
      <c r="G1166" s="16">
        <f>IF(NOT(Paths!$C$112=1),0,IF(Paths!$P$112="Complete",E1166/12*(Paths!$J$112*(1+'Operating costs'!$B$51)^MAX(0,C1166-1)+Paths!$K$112*(1+'Operating costs'!$B$53)^MAX(0,C1166-1)),"n.a."))</f>
        <v>0</v>
      </c>
      <c r="H1166" s="16">
        <f>IF(NOT(Paths!$C$112=1),0,IF(Paths!$P$112="Complete",F1166/12*(Paths!$L$112*(1+IF(Paths!$D$112="EV",'Operating costs'!$B$52,'Operating costs'!$B$51))^MAX(0,C1166-1)+Paths!$M$112*(1+'Operating costs'!$B$53)^MAX(0,C1166-1)),"n.a."))</f>
        <v>0</v>
      </c>
      <c r="I1166" s="16">
        <f>IF(NOT(Paths!$C$112=1),0,IF(Paths!$P$112="Complete",IF(IF(Paths!$E$112=0,C1166=0,AND(C1166&gt;0,Paths!$E$112&gt;(C1166-1)*12,Paths!$E$112&lt;=C1166*12)),Paths!$G$112,0),"n.a."))</f>
        <v>0</v>
      </c>
      <c r="J1166" s="16">
        <f>IF(NOT(Paths!$C$112=1),0,IF(Paths!$P$112="Complete",IF(IF(Paths!$E$112=0,C1166=0,AND(C1166&gt;0,Paths!$E$112&gt;(C1166-1)*12,Paths!$E$112&lt;=C1166*12)),Paths!$H$112,0),"n.a."))</f>
        <v>0</v>
      </c>
      <c r="K1166" s="16">
        <f>IF(NOT(Paths!$C$112=1),0,IF(Paths!$P$112="Complete",IF(IF(Paths!$O$112=0,C1166=0,AND(C1166&gt;0,Paths!$O$112&gt;(C1166-1)*12,Paths!$O$112&lt;=C1166*12)),Paths!$N$112,0),"n.a."))</f>
        <v>0</v>
      </c>
      <c r="L1166" s="16">
        <f>IF(NOT(Paths!$C$112=1),0,IF(Paths!$P$112="Complete",IF(C1166=10,Paths!$I$112,0),"n.a."))</f>
        <v>0</v>
      </c>
      <c r="M1166" s="16">
        <f>IF(NOT(Paths!$C$112=1),0,IF(Paths!$P$112="Complete",IF(AND(Paths!$D$112="EV",Paths!$E$112&lt;120,Paths!$E$112+'Operating costs'!$B$65&gt;Paths!$E$112,Paths!$E$112+'Operating costs'!$B$65&lt;=120,IF(Paths!$E$112+'Operating costs'!$B$65=0,C1166=0,AND(C1166&gt;0,Paths!$E$112+'Operating costs'!$B$65&gt;(C1166-1)*12,Paths!$E$112+'Operating costs'!$B$65&lt;=C1166*12))),'Operating costs'!$B$64,0)+IF(AND('Operating costs'!$B$67&gt;0,'Operating costs'!$B$67&lt;=120,OR(Paths!$D$112="ICE",'Operating costs'!$B$67&lt;=Paths!$E$112),IF('Operating costs'!$B$67=0,C1166=0,AND(C1166&gt;0,'Operating costs'!$B$67&gt;(C1166-1)*12,'Operating costs'!$B$67&lt;=C1166*12))),'Operating costs'!$B$66,0),"n.a."))</f>
        <v>0</v>
      </c>
      <c r="N1166" s="16">
        <f>IF(NOT(Paths!$C$112=1),0,IF(Paths!$P$112="Complete",SUM(G1166:I1166)-J1166-K1166-L1166+M1166+IF(C1166=0,Paths!$F$112,0)+IF(IF(Paths!$E$112=0,C1166=0,AND(C1166&gt;0,Paths!$E$112&gt;(C1166-1)*12,Paths!$E$112&lt;=C1166*12)),VLOOKUP(A1166,'Fleet register'!$A$7:$S$106,16,FALSE),0),"n.a."))</f>
        <v>0</v>
      </c>
      <c r="O1166" s="16">
        <f>IF(NOT(Paths!$C$112=1),0,IF(Paths!$P$112="Complete",N1166-IF(C1166=0,Paths!$F$112,0),"n.a."))</f>
        <v>0</v>
      </c>
      <c r="P1166" s="16">
        <f>IF(NOT(Paths!$C$112=1),0,IF(Paths!$P$112="Complete",O1166+L1166,"n.a."))</f>
        <v>0</v>
      </c>
      <c r="Q1166" s="16">
        <f>IF(NOT(Paths!$C$112=1),0,IF(Paths!$P$112="Complete",N1166*(1+'Operating costs'!$B$54)^-C1166,"n.a."))</f>
        <v>0</v>
      </c>
      <c r="R1166" s="16">
        <f>IF(NOT(Paths!$C$112=1),0,IF(Paths!$P$112="Complete",IF(AND(C1166=0,Paths!$E$112=0),I1166-J1166-K1166+VLOOKUP(A1166,'Fleet register'!$A$7:$S$106,15,FALSE)+VLOOKUP(A1166,'Fleet register'!$A$7:$S$106,16,FALSE),0),"n.a."))</f>
        <v>0</v>
      </c>
      <c r="S1166" s="1">
        <f>IF(NOT(Paths!$C$112=1),0,IF(Paths!$P$112="Complete",IF(C1166=0,0,Paths!$S$112*Paths!$R$112),"n.a."))</f>
        <v>0</v>
      </c>
      <c r="T1166" s="1">
        <f>IF(NOT(Paths!$C$112=1),0,IF(Paths!$P$112="Complete",IF(C1166=0,0,VLOOKUP(A1166,'Fleet register'!$A$7:$S$106,9,FALSE)*Paths!$R$112),"n.a."))</f>
        <v>0</v>
      </c>
    </row>
    <row r="1167" spans="1:20" ht="24" customHeight="1">
      <c r="A1167" s="1" t="str">
        <f>Paths!$A$112</f>
        <v>T027</v>
      </c>
      <c r="B1167" s="1">
        <f>Paths!$B$112</f>
        <v>1</v>
      </c>
      <c r="C1167" s="1">
        <v>5</v>
      </c>
      <c r="D1167" s="1">
        <v>112</v>
      </c>
      <c r="E1167" s="1">
        <f>IF(OR(Paths!$C$112=0,C1167=0),0,MAX(0,MIN(C1167*12,Paths!$E$112)-(C1167-1)*12))</f>
        <v>0</v>
      </c>
      <c r="F1167" s="1">
        <f>IF(OR(Paths!$C$112=0,C1167=0),0,12-E1167)</f>
        <v>0</v>
      </c>
      <c r="G1167" s="16">
        <f>IF(NOT(Paths!$C$112=1),0,IF(Paths!$P$112="Complete",E1167/12*(Paths!$J$112*(1+'Operating costs'!$B$51)^MAX(0,C1167-1)+Paths!$K$112*(1+'Operating costs'!$B$53)^MAX(0,C1167-1)),"n.a."))</f>
        <v>0</v>
      </c>
      <c r="H1167" s="16">
        <f>IF(NOT(Paths!$C$112=1),0,IF(Paths!$P$112="Complete",F1167/12*(Paths!$L$112*(1+IF(Paths!$D$112="EV",'Operating costs'!$B$52,'Operating costs'!$B$51))^MAX(0,C1167-1)+Paths!$M$112*(1+'Operating costs'!$B$53)^MAX(0,C1167-1)),"n.a."))</f>
        <v>0</v>
      </c>
      <c r="I1167" s="16">
        <f>IF(NOT(Paths!$C$112=1),0,IF(Paths!$P$112="Complete",IF(IF(Paths!$E$112=0,C1167=0,AND(C1167&gt;0,Paths!$E$112&gt;(C1167-1)*12,Paths!$E$112&lt;=C1167*12)),Paths!$G$112,0),"n.a."))</f>
        <v>0</v>
      </c>
      <c r="J1167" s="16">
        <f>IF(NOT(Paths!$C$112=1),0,IF(Paths!$P$112="Complete",IF(IF(Paths!$E$112=0,C1167=0,AND(C1167&gt;0,Paths!$E$112&gt;(C1167-1)*12,Paths!$E$112&lt;=C1167*12)),Paths!$H$112,0),"n.a."))</f>
        <v>0</v>
      </c>
      <c r="K1167" s="16">
        <f>IF(NOT(Paths!$C$112=1),0,IF(Paths!$P$112="Complete",IF(IF(Paths!$O$112=0,C1167=0,AND(C1167&gt;0,Paths!$O$112&gt;(C1167-1)*12,Paths!$O$112&lt;=C1167*12)),Paths!$N$112,0),"n.a."))</f>
        <v>0</v>
      </c>
      <c r="L1167" s="16">
        <f>IF(NOT(Paths!$C$112=1),0,IF(Paths!$P$112="Complete",IF(C1167=10,Paths!$I$112,0),"n.a."))</f>
        <v>0</v>
      </c>
      <c r="M1167" s="16">
        <f>IF(NOT(Paths!$C$112=1),0,IF(Paths!$P$112="Complete",IF(AND(Paths!$D$112="EV",Paths!$E$112&lt;120,Paths!$E$112+'Operating costs'!$B$65&gt;Paths!$E$112,Paths!$E$112+'Operating costs'!$B$65&lt;=120,IF(Paths!$E$112+'Operating costs'!$B$65=0,C1167=0,AND(C1167&gt;0,Paths!$E$112+'Operating costs'!$B$65&gt;(C1167-1)*12,Paths!$E$112+'Operating costs'!$B$65&lt;=C1167*12))),'Operating costs'!$B$64,0)+IF(AND('Operating costs'!$B$67&gt;0,'Operating costs'!$B$67&lt;=120,OR(Paths!$D$112="ICE",'Operating costs'!$B$67&lt;=Paths!$E$112),IF('Operating costs'!$B$67=0,C1167=0,AND(C1167&gt;0,'Operating costs'!$B$67&gt;(C1167-1)*12,'Operating costs'!$B$67&lt;=C1167*12))),'Operating costs'!$B$66,0),"n.a."))</f>
        <v>0</v>
      </c>
      <c r="N1167" s="16">
        <f>IF(NOT(Paths!$C$112=1),0,IF(Paths!$P$112="Complete",SUM(G1167:I1167)-J1167-K1167-L1167+M1167+IF(C1167=0,Paths!$F$112,0)+IF(IF(Paths!$E$112=0,C1167=0,AND(C1167&gt;0,Paths!$E$112&gt;(C1167-1)*12,Paths!$E$112&lt;=C1167*12)),VLOOKUP(A1167,'Fleet register'!$A$7:$S$106,16,FALSE),0),"n.a."))</f>
        <v>0</v>
      </c>
      <c r="O1167" s="16">
        <f>IF(NOT(Paths!$C$112=1),0,IF(Paths!$P$112="Complete",N1167-IF(C1167=0,Paths!$F$112,0),"n.a."))</f>
        <v>0</v>
      </c>
      <c r="P1167" s="16">
        <f>IF(NOT(Paths!$C$112=1),0,IF(Paths!$P$112="Complete",O1167+L1167,"n.a."))</f>
        <v>0</v>
      </c>
      <c r="Q1167" s="16">
        <f>IF(NOT(Paths!$C$112=1),0,IF(Paths!$P$112="Complete",N1167*(1+'Operating costs'!$B$54)^-C1167,"n.a."))</f>
        <v>0</v>
      </c>
      <c r="R1167" s="16">
        <f>IF(NOT(Paths!$C$112=1),0,IF(Paths!$P$112="Complete",IF(AND(C1167=0,Paths!$E$112=0),I1167-J1167-K1167+VLOOKUP(A1167,'Fleet register'!$A$7:$S$106,15,FALSE)+VLOOKUP(A1167,'Fleet register'!$A$7:$S$106,16,FALSE),0),"n.a."))</f>
        <v>0</v>
      </c>
      <c r="S1167" s="1">
        <f>IF(NOT(Paths!$C$112=1),0,IF(Paths!$P$112="Complete",IF(C1167=0,0,Paths!$S$112*Paths!$R$112),"n.a."))</f>
        <v>0</v>
      </c>
      <c r="T1167" s="1">
        <f>IF(NOT(Paths!$C$112=1),0,IF(Paths!$P$112="Complete",IF(C1167=0,0,VLOOKUP(A1167,'Fleet register'!$A$7:$S$106,9,FALSE)*Paths!$R$112),"n.a."))</f>
        <v>0</v>
      </c>
    </row>
    <row r="1168" spans="1:20" ht="24" customHeight="1">
      <c r="A1168" s="1" t="str">
        <f>Paths!$A$112</f>
        <v>T027</v>
      </c>
      <c r="B1168" s="1">
        <f>Paths!$B$112</f>
        <v>1</v>
      </c>
      <c r="C1168" s="1">
        <v>6</v>
      </c>
      <c r="D1168" s="1">
        <v>112</v>
      </c>
      <c r="E1168" s="1">
        <f>IF(OR(Paths!$C$112=0,C1168=0),0,MAX(0,MIN(C1168*12,Paths!$E$112)-(C1168-1)*12))</f>
        <v>0</v>
      </c>
      <c r="F1168" s="1">
        <f>IF(OR(Paths!$C$112=0,C1168=0),0,12-E1168)</f>
        <v>0</v>
      </c>
      <c r="G1168" s="16">
        <f>IF(NOT(Paths!$C$112=1),0,IF(Paths!$P$112="Complete",E1168/12*(Paths!$J$112*(1+'Operating costs'!$B$51)^MAX(0,C1168-1)+Paths!$K$112*(1+'Operating costs'!$B$53)^MAX(0,C1168-1)),"n.a."))</f>
        <v>0</v>
      </c>
      <c r="H1168" s="16">
        <f>IF(NOT(Paths!$C$112=1),0,IF(Paths!$P$112="Complete",F1168/12*(Paths!$L$112*(1+IF(Paths!$D$112="EV",'Operating costs'!$B$52,'Operating costs'!$B$51))^MAX(0,C1168-1)+Paths!$M$112*(1+'Operating costs'!$B$53)^MAX(0,C1168-1)),"n.a."))</f>
        <v>0</v>
      </c>
      <c r="I1168" s="16">
        <f>IF(NOT(Paths!$C$112=1),0,IF(Paths!$P$112="Complete",IF(IF(Paths!$E$112=0,C1168=0,AND(C1168&gt;0,Paths!$E$112&gt;(C1168-1)*12,Paths!$E$112&lt;=C1168*12)),Paths!$G$112,0),"n.a."))</f>
        <v>0</v>
      </c>
      <c r="J1168" s="16">
        <f>IF(NOT(Paths!$C$112=1),0,IF(Paths!$P$112="Complete",IF(IF(Paths!$E$112=0,C1168=0,AND(C1168&gt;0,Paths!$E$112&gt;(C1168-1)*12,Paths!$E$112&lt;=C1168*12)),Paths!$H$112,0),"n.a."))</f>
        <v>0</v>
      </c>
      <c r="K1168" s="16">
        <f>IF(NOT(Paths!$C$112=1),0,IF(Paths!$P$112="Complete",IF(IF(Paths!$O$112=0,C1168=0,AND(C1168&gt;0,Paths!$O$112&gt;(C1168-1)*12,Paths!$O$112&lt;=C1168*12)),Paths!$N$112,0),"n.a."))</f>
        <v>0</v>
      </c>
      <c r="L1168" s="16">
        <f>IF(NOT(Paths!$C$112=1),0,IF(Paths!$P$112="Complete",IF(C1168=10,Paths!$I$112,0),"n.a."))</f>
        <v>0</v>
      </c>
      <c r="M1168" s="16">
        <f>IF(NOT(Paths!$C$112=1),0,IF(Paths!$P$112="Complete",IF(AND(Paths!$D$112="EV",Paths!$E$112&lt;120,Paths!$E$112+'Operating costs'!$B$65&gt;Paths!$E$112,Paths!$E$112+'Operating costs'!$B$65&lt;=120,IF(Paths!$E$112+'Operating costs'!$B$65=0,C1168=0,AND(C1168&gt;0,Paths!$E$112+'Operating costs'!$B$65&gt;(C1168-1)*12,Paths!$E$112+'Operating costs'!$B$65&lt;=C1168*12))),'Operating costs'!$B$64,0)+IF(AND('Operating costs'!$B$67&gt;0,'Operating costs'!$B$67&lt;=120,OR(Paths!$D$112="ICE",'Operating costs'!$B$67&lt;=Paths!$E$112),IF('Operating costs'!$B$67=0,C1168=0,AND(C1168&gt;0,'Operating costs'!$B$67&gt;(C1168-1)*12,'Operating costs'!$B$67&lt;=C1168*12))),'Operating costs'!$B$66,0),"n.a."))</f>
        <v>0</v>
      </c>
      <c r="N1168" s="16">
        <f>IF(NOT(Paths!$C$112=1),0,IF(Paths!$P$112="Complete",SUM(G1168:I1168)-J1168-K1168-L1168+M1168+IF(C1168=0,Paths!$F$112,0)+IF(IF(Paths!$E$112=0,C1168=0,AND(C1168&gt;0,Paths!$E$112&gt;(C1168-1)*12,Paths!$E$112&lt;=C1168*12)),VLOOKUP(A1168,'Fleet register'!$A$7:$S$106,16,FALSE),0),"n.a."))</f>
        <v>0</v>
      </c>
      <c r="O1168" s="16">
        <f>IF(NOT(Paths!$C$112=1),0,IF(Paths!$P$112="Complete",N1168-IF(C1168=0,Paths!$F$112,0),"n.a."))</f>
        <v>0</v>
      </c>
      <c r="P1168" s="16">
        <f>IF(NOT(Paths!$C$112=1),0,IF(Paths!$P$112="Complete",O1168+L1168,"n.a."))</f>
        <v>0</v>
      </c>
      <c r="Q1168" s="16">
        <f>IF(NOT(Paths!$C$112=1),0,IF(Paths!$P$112="Complete",N1168*(1+'Operating costs'!$B$54)^-C1168,"n.a."))</f>
        <v>0</v>
      </c>
      <c r="R1168" s="16">
        <f>IF(NOT(Paths!$C$112=1),0,IF(Paths!$P$112="Complete",IF(AND(C1168=0,Paths!$E$112=0),I1168-J1168-K1168+VLOOKUP(A1168,'Fleet register'!$A$7:$S$106,15,FALSE)+VLOOKUP(A1168,'Fleet register'!$A$7:$S$106,16,FALSE),0),"n.a."))</f>
        <v>0</v>
      </c>
      <c r="S1168" s="1">
        <f>IF(NOT(Paths!$C$112=1),0,IF(Paths!$P$112="Complete",IF(C1168=0,0,Paths!$S$112*Paths!$R$112),"n.a."))</f>
        <v>0</v>
      </c>
      <c r="T1168" s="1">
        <f>IF(NOT(Paths!$C$112=1),0,IF(Paths!$P$112="Complete",IF(C1168=0,0,VLOOKUP(A1168,'Fleet register'!$A$7:$S$106,9,FALSE)*Paths!$R$112),"n.a."))</f>
        <v>0</v>
      </c>
    </row>
    <row r="1169" spans="1:20" ht="24" customHeight="1">
      <c r="A1169" s="1" t="str">
        <f>Paths!$A$112</f>
        <v>T027</v>
      </c>
      <c r="B1169" s="1">
        <f>Paths!$B$112</f>
        <v>1</v>
      </c>
      <c r="C1169" s="1">
        <v>7</v>
      </c>
      <c r="D1169" s="1">
        <v>112</v>
      </c>
      <c r="E1169" s="1">
        <f>IF(OR(Paths!$C$112=0,C1169=0),0,MAX(0,MIN(C1169*12,Paths!$E$112)-(C1169-1)*12))</f>
        <v>0</v>
      </c>
      <c r="F1169" s="1">
        <f>IF(OR(Paths!$C$112=0,C1169=0),0,12-E1169)</f>
        <v>0</v>
      </c>
      <c r="G1169" s="16">
        <f>IF(NOT(Paths!$C$112=1),0,IF(Paths!$P$112="Complete",E1169/12*(Paths!$J$112*(1+'Operating costs'!$B$51)^MAX(0,C1169-1)+Paths!$K$112*(1+'Operating costs'!$B$53)^MAX(0,C1169-1)),"n.a."))</f>
        <v>0</v>
      </c>
      <c r="H1169" s="16">
        <f>IF(NOT(Paths!$C$112=1),0,IF(Paths!$P$112="Complete",F1169/12*(Paths!$L$112*(1+IF(Paths!$D$112="EV",'Operating costs'!$B$52,'Operating costs'!$B$51))^MAX(0,C1169-1)+Paths!$M$112*(1+'Operating costs'!$B$53)^MAX(0,C1169-1)),"n.a."))</f>
        <v>0</v>
      </c>
      <c r="I1169" s="16">
        <f>IF(NOT(Paths!$C$112=1),0,IF(Paths!$P$112="Complete",IF(IF(Paths!$E$112=0,C1169=0,AND(C1169&gt;0,Paths!$E$112&gt;(C1169-1)*12,Paths!$E$112&lt;=C1169*12)),Paths!$G$112,0),"n.a."))</f>
        <v>0</v>
      </c>
      <c r="J1169" s="16">
        <f>IF(NOT(Paths!$C$112=1),0,IF(Paths!$P$112="Complete",IF(IF(Paths!$E$112=0,C1169=0,AND(C1169&gt;0,Paths!$E$112&gt;(C1169-1)*12,Paths!$E$112&lt;=C1169*12)),Paths!$H$112,0),"n.a."))</f>
        <v>0</v>
      </c>
      <c r="K1169" s="16">
        <f>IF(NOT(Paths!$C$112=1),0,IF(Paths!$P$112="Complete",IF(IF(Paths!$O$112=0,C1169=0,AND(C1169&gt;0,Paths!$O$112&gt;(C1169-1)*12,Paths!$O$112&lt;=C1169*12)),Paths!$N$112,0),"n.a."))</f>
        <v>0</v>
      </c>
      <c r="L1169" s="16">
        <f>IF(NOT(Paths!$C$112=1),0,IF(Paths!$P$112="Complete",IF(C1169=10,Paths!$I$112,0),"n.a."))</f>
        <v>0</v>
      </c>
      <c r="M1169" s="16">
        <f>IF(NOT(Paths!$C$112=1),0,IF(Paths!$P$112="Complete",IF(AND(Paths!$D$112="EV",Paths!$E$112&lt;120,Paths!$E$112+'Operating costs'!$B$65&gt;Paths!$E$112,Paths!$E$112+'Operating costs'!$B$65&lt;=120,IF(Paths!$E$112+'Operating costs'!$B$65=0,C1169=0,AND(C1169&gt;0,Paths!$E$112+'Operating costs'!$B$65&gt;(C1169-1)*12,Paths!$E$112+'Operating costs'!$B$65&lt;=C1169*12))),'Operating costs'!$B$64,0)+IF(AND('Operating costs'!$B$67&gt;0,'Operating costs'!$B$67&lt;=120,OR(Paths!$D$112="ICE",'Operating costs'!$B$67&lt;=Paths!$E$112),IF('Operating costs'!$B$67=0,C1169=0,AND(C1169&gt;0,'Operating costs'!$B$67&gt;(C1169-1)*12,'Operating costs'!$B$67&lt;=C1169*12))),'Operating costs'!$B$66,0),"n.a."))</f>
        <v>0</v>
      </c>
      <c r="N1169" s="16">
        <f>IF(NOT(Paths!$C$112=1),0,IF(Paths!$P$112="Complete",SUM(G1169:I1169)-J1169-K1169-L1169+M1169+IF(C1169=0,Paths!$F$112,0)+IF(IF(Paths!$E$112=0,C1169=0,AND(C1169&gt;0,Paths!$E$112&gt;(C1169-1)*12,Paths!$E$112&lt;=C1169*12)),VLOOKUP(A1169,'Fleet register'!$A$7:$S$106,16,FALSE),0),"n.a."))</f>
        <v>0</v>
      </c>
      <c r="O1169" s="16">
        <f>IF(NOT(Paths!$C$112=1),0,IF(Paths!$P$112="Complete",N1169-IF(C1169=0,Paths!$F$112,0),"n.a."))</f>
        <v>0</v>
      </c>
      <c r="P1169" s="16">
        <f>IF(NOT(Paths!$C$112=1),0,IF(Paths!$P$112="Complete",O1169+L1169,"n.a."))</f>
        <v>0</v>
      </c>
      <c r="Q1169" s="16">
        <f>IF(NOT(Paths!$C$112=1),0,IF(Paths!$P$112="Complete",N1169*(1+'Operating costs'!$B$54)^-C1169,"n.a."))</f>
        <v>0</v>
      </c>
      <c r="R1169" s="16">
        <f>IF(NOT(Paths!$C$112=1),0,IF(Paths!$P$112="Complete",IF(AND(C1169=0,Paths!$E$112=0),I1169-J1169-K1169+VLOOKUP(A1169,'Fleet register'!$A$7:$S$106,15,FALSE)+VLOOKUP(A1169,'Fleet register'!$A$7:$S$106,16,FALSE),0),"n.a."))</f>
        <v>0</v>
      </c>
      <c r="S1169" s="1">
        <f>IF(NOT(Paths!$C$112=1),0,IF(Paths!$P$112="Complete",IF(C1169=0,0,Paths!$S$112*Paths!$R$112),"n.a."))</f>
        <v>0</v>
      </c>
      <c r="T1169" s="1">
        <f>IF(NOT(Paths!$C$112=1),0,IF(Paths!$P$112="Complete",IF(C1169=0,0,VLOOKUP(A1169,'Fleet register'!$A$7:$S$106,9,FALSE)*Paths!$R$112),"n.a."))</f>
        <v>0</v>
      </c>
    </row>
    <row r="1170" spans="1:20" ht="24" customHeight="1">
      <c r="A1170" s="1" t="str">
        <f>Paths!$A$112</f>
        <v>T027</v>
      </c>
      <c r="B1170" s="1">
        <f>Paths!$B$112</f>
        <v>1</v>
      </c>
      <c r="C1170" s="1">
        <v>8</v>
      </c>
      <c r="D1170" s="1">
        <v>112</v>
      </c>
      <c r="E1170" s="1">
        <f>IF(OR(Paths!$C$112=0,C1170=0),0,MAX(0,MIN(C1170*12,Paths!$E$112)-(C1170-1)*12))</f>
        <v>0</v>
      </c>
      <c r="F1170" s="1">
        <f>IF(OR(Paths!$C$112=0,C1170=0),0,12-E1170)</f>
        <v>0</v>
      </c>
      <c r="G1170" s="16">
        <f>IF(NOT(Paths!$C$112=1),0,IF(Paths!$P$112="Complete",E1170/12*(Paths!$J$112*(1+'Operating costs'!$B$51)^MAX(0,C1170-1)+Paths!$K$112*(1+'Operating costs'!$B$53)^MAX(0,C1170-1)),"n.a."))</f>
        <v>0</v>
      </c>
      <c r="H1170" s="16">
        <f>IF(NOT(Paths!$C$112=1),0,IF(Paths!$P$112="Complete",F1170/12*(Paths!$L$112*(1+IF(Paths!$D$112="EV",'Operating costs'!$B$52,'Operating costs'!$B$51))^MAX(0,C1170-1)+Paths!$M$112*(1+'Operating costs'!$B$53)^MAX(0,C1170-1)),"n.a."))</f>
        <v>0</v>
      </c>
      <c r="I1170" s="16">
        <f>IF(NOT(Paths!$C$112=1),0,IF(Paths!$P$112="Complete",IF(IF(Paths!$E$112=0,C1170=0,AND(C1170&gt;0,Paths!$E$112&gt;(C1170-1)*12,Paths!$E$112&lt;=C1170*12)),Paths!$G$112,0),"n.a."))</f>
        <v>0</v>
      </c>
      <c r="J1170" s="16">
        <f>IF(NOT(Paths!$C$112=1),0,IF(Paths!$P$112="Complete",IF(IF(Paths!$E$112=0,C1170=0,AND(C1170&gt;0,Paths!$E$112&gt;(C1170-1)*12,Paths!$E$112&lt;=C1170*12)),Paths!$H$112,0),"n.a."))</f>
        <v>0</v>
      </c>
      <c r="K1170" s="16">
        <f>IF(NOT(Paths!$C$112=1),0,IF(Paths!$P$112="Complete",IF(IF(Paths!$O$112=0,C1170=0,AND(C1170&gt;0,Paths!$O$112&gt;(C1170-1)*12,Paths!$O$112&lt;=C1170*12)),Paths!$N$112,0),"n.a."))</f>
        <v>0</v>
      </c>
      <c r="L1170" s="16">
        <f>IF(NOT(Paths!$C$112=1),0,IF(Paths!$P$112="Complete",IF(C1170=10,Paths!$I$112,0),"n.a."))</f>
        <v>0</v>
      </c>
      <c r="M1170" s="16">
        <f>IF(NOT(Paths!$C$112=1),0,IF(Paths!$P$112="Complete",IF(AND(Paths!$D$112="EV",Paths!$E$112&lt;120,Paths!$E$112+'Operating costs'!$B$65&gt;Paths!$E$112,Paths!$E$112+'Operating costs'!$B$65&lt;=120,IF(Paths!$E$112+'Operating costs'!$B$65=0,C1170=0,AND(C1170&gt;0,Paths!$E$112+'Operating costs'!$B$65&gt;(C1170-1)*12,Paths!$E$112+'Operating costs'!$B$65&lt;=C1170*12))),'Operating costs'!$B$64,0)+IF(AND('Operating costs'!$B$67&gt;0,'Operating costs'!$B$67&lt;=120,OR(Paths!$D$112="ICE",'Operating costs'!$B$67&lt;=Paths!$E$112),IF('Operating costs'!$B$67=0,C1170=0,AND(C1170&gt;0,'Operating costs'!$B$67&gt;(C1170-1)*12,'Operating costs'!$B$67&lt;=C1170*12))),'Operating costs'!$B$66,0),"n.a."))</f>
        <v>0</v>
      </c>
      <c r="N1170" s="16">
        <f>IF(NOT(Paths!$C$112=1),0,IF(Paths!$P$112="Complete",SUM(G1170:I1170)-J1170-K1170-L1170+M1170+IF(C1170=0,Paths!$F$112,0)+IF(IF(Paths!$E$112=0,C1170=0,AND(C1170&gt;0,Paths!$E$112&gt;(C1170-1)*12,Paths!$E$112&lt;=C1170*12)),VLOOKUP(A1170,'Fleet register'!$A$7:$S$106,16,FALSE),0),"n.a."))</f>
        <v>0</v>
      </c>
      <c r="O1170" s="16">
        <f>IF(NOT(Paths!$C$112=1),0,IF(Paths!$P$112="Complete",N1170-IF(C1170=0,Paths!$F$112,0),"n.a."))</f>
        <v>0</v>
      </c>
      <c r="P1170" s="16">
        <f>IF(NOT(Paths!$C$112=1),0,IF(Paths!$P$112="Complete",O1170+L1170,"n.a."))</f>
        <v>0</v>
      </c>
      <c r="Q1170" s="16">
        <f>IF(NOT(Paths!$C$112=1),0,IF(Paths!$P$112="Complete",N1170*(1+'Operating costs'!$B$54)^-C1170,"n.a."))</f>
        <v>0</v>
      </c>
      <c r="R1170" s="16">
        <f>IF(NOT(Paths!$C$112=1),0,IF(Paths!$P$112="Complete",IF(AND(C1170=0,Paths!$E$112=0),I1170-J1170-K1170+VLOOKUP(A1170,'Fleet register'!$A$7:$S$106,15,FALSE)+VLOOKUP(A1170,'Fleet register'!$A$7:$S$106,16,FALSE),0),"n.a."))</f>
        <v>0</v>
      </c>
      <c r="S1170" s="1">
        <f>IF(NOT(Paths!$C$112=1),0,IF(Paths!$P$112="Complete",IF(C1170=0,0,Paths!$S$112*Paths!$R$112),"n.a."))</f>
        <v>0</v>
      </c>
      <c r="T1170" s="1">
        <f>IF(NOT(Paths!$C$112=1),0,IF(Paths!$P$112="Complete",IF(C1170=0,0,VLOOKUP(A1170,'Fleet register'!$A$7:$S$106,9,FALSE)*Paths!$R$112),"n.a."))</f>
        <v>0</v>
      </c>
    </row>
    <row r="1171" spans="1:20" ht="24" customHeight="1">
      <c r="A1171" s="1" t="str">
        <f>Paths!$A$112</f>
        <v>T027</v>
      </c>
      <c r="B1171" s="1">
        <f>Paths!$B$112</f>
        <v>1</v>
      </c>
      <c r="C1171" s="1">
        <v>9</v>
      </c>
      <c r="D1171" s="1">
        <v>112</v>
      </c>
      <c r="E1171" s="1">
        <f>IF(OR(Paths!$C$112=0,C1171=0),0,MAX(0,MIN(C1171*12,Paths!$E$112)-(C1171-1)*12))</f>
        <v>0</v>
      </c>
      <c r="F1171" s="1">
        <f>IF(OR(Paths!$C$112=0,C1171=0),0,12-E1171)</f>
        <v>0</v>
      </c>
      <c r="G1171" s="16">
        <f>IF(NOT(Paths!$C$112=1),0,IF(Paths!$P$112="Complete",E1171/12*(Paths!$J$112*(1+'Operating costs'!$B$51)^MAX(0,C1171-1)+Paths!$K$112*(1+'Operating costs'!$B$53)^MAX(0,C1171-1)),"n.a."))</f>
        <v>0</v>
      </c>
      <c r="H1171" s="16">
        <f>IF(NOT(Paths!$C$112=1),0,IF(Paths!$P$112="Complete",F1171/12*(Paths!$L$112*(1+IF(Paths!$D$112="EV",'Operating costs'!$B$52,'Operating costs'!$B$51))^MAX(0,C1171-1)+Paths!$M$112*(1+'Operating costs'!$B$53)^MAX(0,C1171-1)),"n.a."))</f>
        <v>0</v>
      </c>
      <c r="I1171" s="16">
        <f>IF(NOT(Paths!$C$112=1),0,IF(Paths!$P$112="Complete",IF(IF(Paths!$E$112=0,C1171=0,AND(C1171&gt;0,Paths!$E$112&gt;(C1171-1)*12,Paths!$E$112&lt;=C1171*12)),Paths!$G$112,0),"n.a."))</f>
        <v>0</v>
      </c>
      <c r="J1171" s="16">
        <f>IF(NOT(Paths!$C$112=1),0,IF(Paths!$P$112="Complete",IF(IF(Paths!$E$112=0,C1171=0,AND(C1171&gt;0,Paths!$E$112&gt;(C1171-1)*12,Paths!$E$112&lt;=C1171*12)),Paths!$H$112,0),"n.a."))</f>
        <v>0</v>
      </c>
      <c r="K1171" s="16">
        <f>IF(NOT(Paths!$C$112=1),0,IF(Paths!$P$112="Complete",IF(IF(Paths!$O$112=0,C1171=0,AND(C1171&gt;0,Paths!$O$112&gt;(C1171-1)*12,Paths!$O$112&lt;=C1171*12)),Paths!$N$112,0),"n.a."))</f>
        <v>0</v>
      </c>
      <c r="L1171" s="16">
        <f>IF(NOT(Paths!$C$112=1),0,IF(Paths!$P$112="Complete",IF(C1171=10,Paths!$I$112,0),"n.a."))</f>
        <v>0</v>
      </c>
      <c r="M1171" s="16">
        <f>IF(NOT(Paths!$C$112=1),0,IF(Paths!$P$112="Complete",IF(AND(Paths!$D$112="EV",Paths!$E$112&lt;120,Paths!$E$112+'Operating costs'!$B$65&gt;Paths!$E$112,Paths!$E$112+'Operating costs'!$B$65&lt;=120,IF(Paths!$E$112+'Operating costs'!$B$65=0,C1171=0,AND(C1171&gt;0,Paths!$E$112+'Operating costs'!$B$65&gt;(C1171-1)*12,Paths!$E$112+'Operating costs'!$B$65&lt;=C1171*12))),'Operating costs'!$B$64,0)+IF(AND('Operating costs'!$B$67&gt;0,'Operating costs'!$B$67&lt;=120,OR(Paths!$D$112="ICE",'Operating costs'!$B$67&lt;=Paths!$E$112),IF('Operating costs'!$B$67=0,C1171=0,AND(C1171&gt;0,'Operating costs'!$B$67&gt;(C1171-1)*12,'Operating costs'!$B$67&lt;=C1171*12))),'Operating costs'!$B$66,0),"n.a."))</f>
        <v>0</v>
      </c>
      <c r="N1171" s="16">
        <f>IF(NOT(Paths!$C$112=1),0,IF(Paths!$P$112="Complete",SUM(G1171:I1171)-J1171-K1171-L1171+M1171+IF(C1171=0,Paths!$F$112,0)+IF(IF(Paths!$E$112=0,C1171=0,AND(C1171&gt;0,Paths!$E$112&gt;(C1171-1)*12,Paths!$E$112&lt;=C1171*12)),VLOOKUP(A1171,'Fleet register'!$A$7:$S$106,16,FALSE),0),"n.a."))</f>
        <v>0</v>
      </c>
      <c r="O1171" s="16">
        <f>IF(NOT(Paths!$C$112=1),0,IF(Paths!$P$112="Complete",N1171-IF(C1171=0,Paths!$F$112,0),"n.a."))</f>
        <v>0</v>
      </c>
      <c r="P1171" s="16">
        <f>IF(NOT(Paths!$C$112=1),0,IF(Paths!$P$112="Complete",O1171+L1171,"n.a."))</f>
        <v>0</v>
      </c>
      <c r="Q1171" s="16">
        <f>IF(NOT(Paths!$C$112=1),0,IF(Paths!$P$112="Complete",N1171*(1+'Operating costs'!$B$54)^-C1171,"n.a."))</f>
        <v>0</v>
      </c>
      <c r="R1171" s="16">
        <f>IF(NOT(Paths!$C$112=1),0,IF(Paths!$P$112="Complete",IF(AND(C1171=0,Paths!$E$112=0),I1171-J1171-K1171+VLOOKUP(A1171,'Fleet register'!$A$7:$S$106,15,FALSE)+VLOOKUP(A1171,'Fleet register'!$A$7:$S$106,16,FALSE),0),"n.a."))</f>
        <v>0</v>
      </c>
      <c r="S1171" s="1">
        <f>IF(NOT(Paths!$C$112=1),0,IF(Paths!$P$112="Complete",IF(C1171=0,0,Paths!$S$112*Paths!$R$112),"n.a."))</f>
        <v>0</v>
      </c>
      <c r="T1171" s="1">
        <f>IF(NOT(Paths!$C$112=1),0,IF(Paths!$P$112="Complete",IF(C1171=0,0,VLOOKUP(A1171,'Fleet register'!$A$7:$S$106,9,FALSE)*Paths!$R$112),"n.a."))</f>
        <v>0</v>
      </c>
    </row>
    <row r="1172" spans="1:20" ht="24" customHeight="1">
      <c r="A1172" s="1" t="str">
        <f>Paths!$A$112</f>
        <v>T027</v>
      </c>
      <c r="B1172" s="1">
        <f>Paths!$B$112</f>
        <v>1</v>
      </c>
      <c r="C1172" s="1">
        <v>10</v>
      </c>
      <c r="D1172" s="1">
        <v>112</v>
      </c>
      <c r="E1172" s="1">
        <f>IF(OR(Paths!$C$112=0,C1172=0),0,MAX(0,MIN(C1172*12,Paths!$E$112)-(C1172-1)*12))</f>
        <v>0</v>
      </c>
      <c r="F1172" s="1">
        <f>IF(OR(Paths!$C$112=0,C1172=0),0,12-E1172)</f>
        <v>0</v>
      </c>
      <c r="G1172" s="16">
        <f>IF(NOT(Paths!$C$112=1),0,IF(Paths!$P$112="Complete",E1172/12*(Paths!$J$112*(1+'Operating costs'!$B$51)^MAX(0,C1172-1)+Paths!$K$112*(1+'Operating costs'!$B$53)^MAX(0,C1172-1)),"n.a."))</f>
        <v>0</v>
      </c>
      <c r="H1172" s="16">
        <f>IF(NOT(Paths!$C$112=1),0,IF(Paths!$P$112="Complete",F1172/12*(Paths!$L$112*(1+IF(Paths!$D$112="EV",'Operating costs'!$B$52,'Operating costs'!$B$51))^MAX(0,C1172-1)+Paths!$M$112*(1+'Operating costs'!$B$53)^MAX(0,C1172-1)),"n.a."))</f>
        <v>0</v>
      </c>
      <c r="I1172" s="16">
        <f>IF(NOT(Paths!$C$112=1),0,IF(Paths!$P$112="Complete",IF(IF(Paths!$E$112=0,C1172=0,AND(C1172&gt;0,Paths!$E$112&gt;(C1172-1)*12,Paths!$E$112&lt;=C1172*12)),Paths!$G$112,0),"n.a."))</f>
        <v>0</v>
      </c>
      <c r="J1172" s="16">
        <f>IF(NOT(Paths!$C$112=1),0,IF(Paths!$P$112="Complete",IF(IF(Paths!$E$112=0,C1172=0,AND(C1172&gt;0,Paths!$E$112&gt;(C1172-1)*12,Paths!$E$112&lt;=C1172*12)),Paths!$H$112,0),"n.a."))</f>
        <v>0</v>
      </c>
      <c r="K1172" s="16">
        <f>IF(NOT(Paths!$C$112=1),0,IF(Paths!$P$112="Complete",IF(IF(Paths!$O$112=0,C1172=0,AND(C1172&gt;0,Paths!$O$112&gt;(C1172-1)*12,Paths!$O$112&lt;=C1172*12)),Paths!$N$112,0),"n.a."))</f>
        <v>0</v>
      </c>
      <c r="L1172" s="16">
        <f>IF(NOT(Paths!$C$112=1),0,IF(Paths!$P$112="Complete",IF(C1172=10,Paths!$I$112,0),"n.a."))</f>
        <v>0</v>
      </c>
      <c r="M1172" s="16">
        <f>IF(NOT(Paths!$C$112=1),0,IF(Paths!$P$112="Complete",IF(AND(Paths!$D$112="EV",Paths!$E$112&lt;120,Paths!$E$112+'Operating costs'!$B$65&gt;Paths!$E$112,Paths!$E$112+'Operating costs'!$B$65&lt;=120,IF(Paths!$E$112+'Operating costs'!$B$65=0,C1172=0,AND(C1172&gt;0,Paths!$E$112+'Operating costs'!$B$65&gt;(C1172-1)*12,Paths!$E$112+'Operating costs'!$B$65&lt;=C1172*12))),'Operating costs'!$B$64,0)+IF(AND('Operating costs'!$B$67&gt;0,'Operating costs'!$B$67&lt;=120,OR(Paths!$D$112="ICE",'Operating costs'!$B$67&lt;=Paths!$E$112),IF('Operating costs'!$B$67=0,C1172=0,AND(C1172&gt;0,'Operating costs'!$B$67&gt;(C1172-1)*12,'Operating costs'!$B$67&lt;=C1172*12))),'Operating costs'!$B$66,0),"n.a."))</f>
        <v>0</v>
      </c>
      <c r="N1172" s="16">
        <f>IF(NOT(Paths!$C$112=1),0,IF(Paths!$P$112="Complete",SUM(G1172:I1172)-J1172-K1172-L1172+M1172+IF(C1172=0,Paths!$F$112,0)+IF(IF(Paths!$E$112=0,C1172=0,AND(C1172&gt;0,Paths!$E$112&gt;(C1172-1)*12,Paths!$E$112&lt;=C1172*12)),VLOOKUP(A1172,'Fleet register'!$A$7:$S$106,16,FALSE),0),"n.a."))</f>
        <v>0</v>
      </c>
      <c r="O1172" s="16">
        <f>IF(NOT(Paths!$C$112=1),0,IF(Paths!$P$112="Complete",N1172-IF(C1172=0,Paths!$F$112,0),"n.a."))</f>
        <v>0</v>
      </c>
      <c r="P1172" s="16">
        <f>IF(NOT(Paths!$C$112=1),0,IF(Paths!$P$112="Complete",O1172+L1172,"n.a."))</f>
        <v>0</v>
      </c>
      <c r="Q1172" s="16">
        <f>IF(NOT(Paths!$C$112=1),0,IF(Paths!$P$112="Complete",N1172*(1+'Operating costs'!$B$54)^-C1172,"n.a."))</f>
        <v>0</v>
      </c>
      <c r="R1172" s="16">
        <f>IF(NOT(Paths!$C$112=1),0,IF(Paths!$P$112="Complete",IF(AND(C1172=0,Paths!$E$112=0),I1172-J1172-K1172+VLOOKUP(A1172,'Fleet register'!$A$7:$S$106,15,FALSE)+VLOOKUP(A1172,'Fleet register'!$A$7:$S$106,16,FALSE),0),"n.a."))</f>
        <v>0</v>
      </c>
      <c r="S1172" s="1">
        <f>IF(NOT(Paths!$C$112=1),0,IF(Paths!$P$112="Complete",IF(C1172=0,0,Paths!$S$112*Paths!$R$112),"n.a."))</f>
        <v>0</v>
      </c>
      <c r="T1172" s="1">
        <f>IF(NOT(Paths!$C$112=1),0,IF(Paths!$P$112="Complete",IF(C1172=0,0,VLOOKUP(A1172,'Fleet register'!$A$7:$S$106,9,FALSE)*Paths!$R$112),"n.a."))</f>
        <v>0</v>
      </c>
    </row>
    <row r="1173" spans="1:20" ht="24" customHeight="1">
      <c r="A1173" s="1" t="str">
        <f>Paths!$A$113</f>
        <v>T027</v>
      </c>
      <c r="B1173" s="1">
        <f>Paths!$B$113</f>
        <v>2</v>
      </c>
      <c r="C1173" s="1">
        <v>0</v>
      </c>
      <c r="D1173" s="1">
        <v>113</v>
      </c>
      <c r="E1173" s="1">
        <f>IF(OR(Paths!$C$113=0,C1173=0),0,MAX(0,MIN(C1173*12,Paths!$E$113)-(C1173-1)*12))</f>
        <v>0</v>
      </c>
      <c r="F1173" s="1">
        <f>IF(OR(Paths!$C$113=0,C1173=0),0,12-E1173)</f>
        <v>0</v>
      </c>
      <c r="G1173" s="16">
        <f>IF(NOT(Paths!$C$113=1),0,IF(Paths!$P$113="Complete",E1173/12*(Paths!$J$113*(1+'Operating costs'!$B$51)^MAX(0,C1173-1)+Paths!$K$113*(1+'Operating costs'!$B$53)^MAX(0,C1173-1)),"n.a."))</f>
        <v>0</v>
      </c>
      <c r="H1173" s="16">
        <f>IF(NOT(Paths!$C$113=1),0,IF(Paths!$P$113="Complete",F1173/12*(Paths!$L$113*(1+IF(Paths!$D$113="EV",'Operating costs'!$B$52,'Operating costs'!$B$51))^MAX(0,C1173-1)+Paths!$M$113*(1+'Operating costs'!$B$53)^MAX(0,C1173-1)),"n.a."))</f>
        <v>0</v>
      </c>
      <c r="I1173" s="16">
        <f>IF(NOT(Paths!$C$113=1),0,IF(Paths!$P$113="Complete",IF(IF(Paths!$E$113=0,C1173=0,AND(C1173&gt;0,Paths!$E$113&gt;(C1173-1)*12,Paths!$E$113&lt;=C1173*12)),Paths!$G$113,0),"n.a."))</f>
        <v>0</v>
      </c>
      <c r="J1173" s="16">
        <f>IF(NOT(Paths!$C$113=1),0,IF(Paths!$P$113="Complete",IF(IF(Paths!$E$113=0,C1173=0,AND(C1173&gt;0,Paths!$E$113&gt;(C1173-1)*12,Paths!$E$113&lt;=C1173*12)),Paths!$H$113,0),"n.a."))</f>
        <v>0</v>
      </c>
      <c r="K1173" s="16">
        <f>IF(NOT(Paths!$C$113=1),0,IF(Paths!$P$113="Complete",IF(IF(Paths!$O$113=0,C1173=0,AND(C1173&gt;0,Paths!$O$113&gt;(C1173-1)*12,Paths!$O$113&lt;=C1173*12)),Paths!$N$113,0),"n.a."))</f>
        <v>0</v>
      </c>
      <c r="L1173" s="16">
        <f>IF(NOT(Paths!$C$113=1),0,IF(Paths!$P$113="Complete",IF(C1173=10,Paths!$I$113,0),"n.a."))</f>
        <v>0</v>
      </c>
      <c r="M1173" s="16">
        <f>IF(NOT(Paths!$C$113=1),0,IF(Paths!$P$113="Complete",IF(AND(Paths!$D$113="EV",Paths!$E$113&lt;120,Paths!$E$113+'Operating costs'!$B$65&gt;Paths!$E$113,Paths!$E$113+'Operating costs'!$B$65&lt;=120,IF(Paths!$E$113+'Operating costs'!$B$65=0,C1173=0,AND(C1173&gt;0,Paths!$E$113+'Operating costs'!$B$65&gt;(C1173-1)*12,Paths!$E$113+'Operating costs'!$B$65&lt;=C1173*12))),'Operating costs'!$B$64,0)+IF(AND('Operating costs'!$B$67&gt;0,'Operating costs'!$B$67&lt;=120,OR(Paths!$D$113="ICE",'Operating costs'!$B$67&lt;=Paths!$E$113),IF('Operating costs'!$B$67=0,C1173=0,AND(C1173&gt;0,'Operating costs'!$B$67&gt;(C1173-1)*12,'Operating costs'!$B$67&lt;=C1173*12))),'Operating costs'!$B$66,0),"n.a."))</f>
        <v>0</v>
      </c>
      <c r="N1173" s="16">
        <f>IF(NOT(Paths!$C$113=1),0,IF(Paths!$P$113="Complete",SUM(G1173:I1173)-J1173-K1173-L1173+M1173+IF(C1173=0,Paths!$F$113,0)+IF(IF(Paths!$E$113=0,C1173=0,AND(C1173&gt;0,Paths!$E$113&gt;(C1173-1)*12,Paths!$E$113&lt;=C1173*12)),VLOOKUP(A1173,'Fleet register'!$A$7:$S$106,16,FALSE),0),"n.a."))</f>
        <v>0</v>
      </c>
      <c r="O1173" s="16">
        <f>IF(NOT(Paths!$C$113=1),0,IF(Paths!$P$113="Complete",N1173-IF(C1173=0,Paths!$F$113,0),"n.a."))</f>
        <v>0</v>
      </c>
      <c r="P1173" s="16">
        <f>IF(NOT(Paths!$C$113=1),0,IF(Paths!$P$113="Complete",O1173+L1173,"n.a."))</f>
        <v>0</v>
      </c>
      <c r="Q1173" s="16">
        <f>IF(NOT(Paths!$C$113=1),0,IF(Paths!$P$113="Complete",N1173*(1+'Operating costs'!$B$54)^-C1173,"n.a."))</f>
        <v>0</v>
      </c>
      <c r="R1173" s="16">
        <f>IF(NOT(Paths!$C$113=1),0,IF(Paths!$P$113="Complete",IF(AND(C1173=0,Paths!$E$113=0),I1173-J1173-K1173+VLOOKUP(A1173,'Fleet register'!$A$7:$S$106,15,FALSE)+VLOOKUP(A1173,'Fleet register'!$A$7:$S$106,16,FALSE),0),"n.a."))</f>
        <v>0</v>
      </c>
      <c r="S1173" s="1">
        <f>IF(NOT(Paths!$C$113=1),0,IF(Paths!$P$113="Complete",IF(C1173=0,0,Paths!$S$113*Paths!$R$113),"n.a."))</f>
        <v>0</v>
      </c>
      <c r="T1173" s="1">
        <f>IF(NOT(Paths!$C$113=1),0,IF(Paths!$P$113="Complete",IF(C1173=0,0,VLOOKUP(A1173,'Fleet register'!$A$7:$S$106,9,FALSE)*Paths!$R$113),"n.a."))</f>
        <v>0</v>
      </c>
    </row>
    <row r="1174" spans="1:20" ht="24" customHeight="1">
      <c r="A1174" s="1" t="str">
        <f>Paths!$A$113</f>
        <v>T027</v>
      </c>
      <c r="B1174" s="1">
        <f>Paths!$B$113</f>
        <v>2</v>
      </c>
      <c r="C1174" s="1">
        <v>1</v>
      </c>
      <c r="D1174" s="1">
        <v>113</v>
      </c>
      <c r="E1174" s="1">
        <f>IF(OR(Paths!$C$113=0,C1174=0),0,MAX(0,MIN(C1174*12,Paths!$E$113)-(C1174-1)*12))</f>
        <v>0</v>
      </c>
      <c r="F1174" s="1">
        <f>IF(OR(Paths!$C$113=0,C1174=0),0,12-E1174)</f>
        <v>0</v>
      </c>
      <c r="G1174" s="16">
        <f>IF(NOT(Paths!$C$113=1),0,IF(Paths!$P$113="Complete",E1174/12*(Paths!$J$113*(1+'Operating costs'!$B$51)^MAX(0,C1174-1)+Paths!$K$113*(1+'Operating costs'!$B$53)^MAX(0,C1174-1)),"n.a."))</f>
        <v>0</v>
      </c>
      <c r="H1174" s="16">
        <f>IF(NOT(Paths!$C$113=1),0,IF(Paths!$P$113="Complete",F1174/12*(Paths!$L$113*(1+IF(Paths!$D$113="EV",'Operating costs'!$B$52,'Operating costs'!$B$51))^MAX(0,C1174-1)+Paths!$M$113*(1+'Operating costs'!$B$53)^MAX(0,C1174-1)),"n.a."))</f>
        <v>0</v>
      </c>
      <c r="I1174" s="16">
        <f>IF(NOT(Paths!$C$113=1),0,IF(Paths!$P$113="Complete",IF(IF(Paths!$E$113=0,C1174=0,AND(C1174&gt;0,Paths!$E$113&gt;(C1174-1)*12,Paths!$E$113&lt;=C1174*12)),Paths!$G$113,0),"n.a."))</f>
        <v>0</v>
      </c>
      <c r="J1174" s="16">
        <f>IF(NOT(Paths!$C$113=1),0,IF(Paths!$P$113="Complete",IF(IF(Paths!$E$113=0,C1174=0,AND(C1174&gt;0,Paths!$E$113&gt;(C1174-1)*12,Paths!$E$113&lt;=C1174*12)),Paths!$H$113,0),"n.a."))</f>
        <v>0</v>
      </c>
      <c r="K1174" s="16">
        <f>IF(NOT(Paths!$C$113=1),0,IF(Paths!$P$113="Complete",IF(IF(Paths!$O$113=0,C1174=0,AND(C1174&gt;0,Paths!$O$113&gt;(C1174-1)*12,Paths!$O$113&lt;=C1174*12)),Paths!$N$113,0),"n.a."))</f>
        <v>0</v>
      </c>
      <c r="L1174" s="16">
        <f>IF(NOT(Paths!$C$113=1),0,IF(Paths!$P$113="Complete",IF(C1174=10,Paths!$I$113,0),"n.a."))</f>
        <v>0</v>
      </c>
      <c r="M1174" s="16">
        <f>IF(NOT(Paths!$C$113=1),0,IF(Paths!$P$113="Complete",IF(AND(Paths!$D$113="EV",Paths!$E$113&lt;120,Paths!$E$113+'Operating costs'!$B$65&gt;Paths!$E$113,Paths!$E$113+'Operating costs'!$B$65&lt;=120,IF(Paths!$E$113+'Operating costs'!$B$65=0,C1174=0,AND(C1174&gt;0,Paths!$E$113+'Operating costs'!$B$65&gt;(C1174-1)*12,Paths!$E$113+'Operating costs'!$B$65&lt;=C1174*12))),'Operating costs'!$B$64,0)+IF(AND('Operating costs'!$B$67&gt;0,'Operating costs'!$B$67&lt;=120,OR(Paths!$D$113="ICE",'Operating costs'!$B$67&lt;=Paths!$E$113),IF('Operating costs'!$B$67=0,C1174=0,AND(C1174&gt;0,'Operating costs'!$B$67&gt;(C1174-1)*12,'Operating costs'!$B$67&lt;=C1174*12))),'Operating costs'!$B$66,0),"n.a."))</f>
        <v>0</v>
      </c>
      <c r="N1174" s="16">
        <f>IF(NOT(Paths!$C$113=1),0,IF(Paths!$P$113="Complete",SUM(G1174:I1174)-J1174-K1174-L1174+M1174+IF(C1174=0,Paths!$F$113,0)+IF(IF(Paths!$E$113=0,C1174=0,AND(C1174&gt;0,Paths!$E$113&gt;(C1174-1)*12,Paths!$E$113&lt;=C1174*12)),VLOOKUP(A1174,'Fleet register'!$A$7:$S$106,16,FALSE),0),"n.a."))</f>
        <v>0</v>
      </c>
      <c r="O1174" s="16">
        <f>IF(NOT(Paths!$C$113=1),0,IF(Paths!$P$113="Complete",N1174-IF(C1174=0,Paths!$F$113,0),"n.a."))</f>
        <v>0</v>
      </c>
      <c r="P1174" s="16">
        <f>IF(NOT(Paths!$C$113=1),0,IF(Paths!$P$113="Complete",O1174+L1174,"n.a."))</f>
        <v>0</v>
      </c>
      <c r="Q1174" s="16">
        <f>IF(NOT(Paths!$C$113=1),0,IF(Paths!$P$113="Complete",N1174*(1+'Operating costs'!$B$54)^-C1174,"n.a."))</f>
        <v>0</v>
      </c>
      <c r="R1174" s="16">
        <f>IF(NOT(Paths!$C$113=1),0,IF(Paths!$P$113="Complete",IF(AND(C1174=0,Paths!$E$113=0),I1174-J1174-K1174+VLOOKUP(A1174,'Fleet register'!$A$7:$S$106,15,FALSE)+VLOOKUP(A1174,'Fleet register'!$A$7:$S$106,16,FALSE),0),"n.a."))</f>
        <v>0</v>
      </c>
      <c r="S1174" s="1">
        <f>IF(NOT(Paths!$C$113=1),0,IF(Paths!$P$113="Complete",IF(C1174=0,0,Paths!$S$113*Paths!$R$113),"n.a."))</f>
        <v>0</v>
      </c>
      <c r="T1174" s="1">
        <f>IF(NOT(Paths!$C$113=1),0,IF(Paths!$P$113="Complete",IF(C1174=0,0,VLOOKUP(A1174,'Fleet register'!$A$7:$S$106,9,FALSE)*Paths!$R$113),"n.a."))</f>
        <v>0</v>
      </c>
    </row>
    <row r="1175" spans="1:20" ht="24" customHeight="1">
      <c r="A1175" s="1" t="str">
        <f>Paths!$A$113</f>
        <v>T027</v>
      </c>
      <c r="B1175" s="1">
        <f>Paths!$B$113</f>
        <v>2</v>
      </c>
      <c r="C1175" s="1">
        <v>2</v>
      </c>
      <c r="D1175" s="1">
        <v>113</v>
      </c>
      <c r="E1175" s="1">
        <f>IF(OR(Paths!$C$113=0,C1175=0),0,MAX(0,MIN(C1175*12,Paths!$E$113)-(C1175-1)*12))</f>
        <v>0</v>
      </c>
      <c r="F1175" s="1">
        <f>IF(OR(Paths!$C$113=0,C1175=0),0,12-E1175)</f>
        <v>0</v>
      </c>
      <c r="G1175" s="16">
        <f>IF(NOT(Paths!$C$113=1),0,IF(Paths!$P$113="Complete",E1175/12*(Paths!$J$113*(1+'Operating costs'!$B$51)^MAX(0,C1175-1)+Paths!$K$113*(1+'Operating costs'!$B$53)^MAX(0,C1175-1)),"n.a."))</f>
        <v>0</v>
      </c>
      <c r="H1175" s="16">
        <f>IF(NOT(Paths!$C$113=1),0,IF(Paths!$P$113="Complete",F1175/12*(Paths!$L$113*(1+IF(Paths!$D$113="EV",'Operating costs'!$B$52,'Operating costs'!$B$51))^MAX(0,C1175-1)+Paths!$M$113*(1+'Operating costs'!$B$53)^MAX(0,C1175-1)),"n.a."))</f>
        <v>0</v>
      </c>
      <c r="I1175" s="16">
        <f>IF(NOT(Paths!$C$113=1),0,IF(Paths!$P$113="Complete",IF(IF(Paths!$E$113=0,C1175=0,AND(C1175&gt;0,Paths!$E$113&gt;(C1175-1)*12,Paths!$E$113&lt;=C1175*12)),Paths!$G$113,0),"n.a."))</f>
        <v>0</v>
      </c>
      <c r="J1175" s="16">
        <f>IF(NOT(Paths!$C$113=1),0,IF(Paths!$P$113="Complete",IF(IF(Paths!$E$113=0,C1175=0,AND(C1175&gt;0,Paths!$E$113&gt;(C1175-1)*12,Paths!$E$113&lt;=C1175*12)),Paths!$H$113,0),"n.a."))</f>
        <v>0</v>
      </c>
      <c r="K1175" s="16">
        <f>IF(NOT(Paths!$C$113=1),0,IF(Paths!$P$113="Complete",IF(IF(Paths!$O$113=0,C1175=0,AND(C1175&gt;0,Paths!$O$113&gt;(C1175-1)*12,Paths!$O$113&lt;=C1175*12)),Paths!$N$113,0),"n.a."))</f>
        <v>0</v>
      </c>
      <c r="L1175" s="16">
        <f>IF(NOT(Paths!$C$113=1),0,IF(Paths!$P$113="Complete",IF(C1175=10,Paths!$I$113,0),"n.a."))</f>
        <v>0</v>
      </c>
      <c r="M1175" s="16">
        <f>IF(NOT(Paths!$C$113=1),0,IF(Paths!$P$113="Complete",IF(AND(Paths!$D$113="EV",Paths!$E$113&lt;120,Paths!$E$113+'Operating costs'!$B$65&gt;Paths!$E$113,Paths!$E$113+'Operating costs'!$B$65&lt;=120,IF(Paths!$E$113+'Operating costs'!$B$65=0,C1175=0,AND(C1175&gt;0,Paths!$E$113+'Operating costs'!$B$65&gt;(C1175-1)*12,Paths!$E$113+'Operating costs'!$B$65&lt;=C1175*12))),'Operating costs'!$B$64,0)+IF(AND('Operating costs'!$B$67&gt;0,'Operating costs'!$B$67&lt;=120,OR(Paths!$D$113="ICE",'Operating costs'!$B$67&lt;=Paths!$E$113),IF('Operating costs'!$B$67=0,C1175=0,AND(C1175&gt;0,'Operating costs'!$B$67&gt;(C1175-1)*12,'Operating costs'!$B$67&lt;=C1175*12))),'Operating costs'!$B$66,0),"n.a."))</f>
        <v>0</v>
      </c>
      <c r="N1175" s="16">
        <f>IF(NOT(Paths!$C$113=1),0,IF(Paths!$P$113="Complete",SUM(G1175:I1175)-J1175-K1175-L1175+M1175+IF(C1175=0,Paths!$F$113,0)+IF(IF(Paths!$E$113=0,C1175=0,AND(C1175&gt;0,Paths!$E$113&gt;(C1175-1)*12,Paths!$E$113&lt;=C1175*12)),VLOOKUP(A1175,'Fleet register'!$A$7:$S$106,16,FALSE),0),"n.a."))</f>
        <v>0</v>
      </c>
      <c r="O1175" s="16">
        <f>IF(NOT(Paths!$C$113=1),0,IF(Paths!$P$113="Complete",N1175-IF(C1175=0,Paths!$F$113,0),"n.a."))</f>
        <v>0</v>
      </c>
      <c r="P1175" s="16">
        <f>IF(NOT(Paths!$C$113=1),0,IF(Paths!$P$113="Complete",O1175+L1175,"n.a."))</f>
        <v>0</v>
      </c>
      <c r="Q1175" s="16">
        <f>IF(NOT(Paths!$C$113=1),0,IF(Paths!$P$113="Complete",N1175*(1+'Operating costs'!$B$54)^-C1175,"n.a."))</f>
        <v>0</v>
      </c>
      <c r="R1175" s="16">
        <f>IF(NOT(Paths!$C$113=1),0,IF(Paths!$P$113="Complete",IF(AND(C1175=0,Paths!$E$113=0),I1175-J1175-K1175+VLOOKUP(A1175,'Fleet register'!$A$7:$S$106,15,FALSE)+VLOOKUP(A1175,'Fleet register'!$A$7:$S$106,16,FALSE),0),"n.a."))</f>
        <v>0</v>
      </c>
      <c r="S1175" s="1">
        <f>IF(NOT(Paths!$C$113=1),0,IF(Paths!$P$113="Complete",IF(C1175=0,0,Paths!$S$113*Paths!$R$113),"n.a."))</f>
        <v>0</v>
      </c>
      <c r="T1175" s="1">
        <f>IF(NOT(Paths!$C$113=1),0,IF(Paths!$P$113="Complete",IF(C1175=0,0,VLOOKUP(A1175,'Fleet register'!$A$7:$S$106,9,FALSE)*Paths!$R$113),"n.a."))</f>
        <v>0</v>
      </c>
    </row>
    <row r="1176" spans="1:20" ht="24" customHeight="1">
      <c r="A1176" s="1" t="str">
        <f>Paths!$A$113</f>
        <v>T027</v>
      </c>
      <c r="B1176" s="1">
        <f>Paths!$B$113</f>
        <v>2</v>
      </c>
      <c r="C1176" s="1">
        <v>3</v>
      </c>
      <c r="D1176" s="1">
        <v>113</v>
      </c>
      <c r="E1176" s="1">
        <f>IF(OR(Paths!$C$113=0,C1176=0),0,MAX(0,MIN(C1176*12,Paths!$E$113)-(C1176-1)*12))</f>
        <v>0</v>
      </c>
      <c r="F1176" s="1">
        <f>IF(OR(Paths!$C$113=0,C1176=0),0,12-E1176)</f>
        <v>0</v>
      </c>
      <c r="G1176" s="16">
        <f>IF(NOT(Paths!$C$113=1),0,IF(Paths!$P$113="Complete",E1176/12*(Paths!$J$113*(1+'Operating costs'!$B$51)^MAX(0,C1176-1)+Paths!$K$113*(1+'Operating costs'!$B$53)^MAX(0,C1176-1)),"n.a."))</f>
        <v>0</v>
      </c>
      <c r="H1176" s="16">
        <f>IF(NOT(Paths!$C$113=1),0,IF(Paths!$P$113="Complete",F1176/12*(Paths!$L$113*(1+IF(Paths!$D$113="EV",'Operating costs'!$B$52,'Operating costs'!$B$51))^MAX(0,C1176-1)+Paths!$M$113*(1+'Operating costs'!$B$53)^MAX(0,C1176-1)),"n.a."))</f>
        <v>0</v>
      </c>
      <c r="I1176" s="16">
        <f>IF(NOT(Paths!$C$113=1),0,IF(Paths!$P$113="Complete",IF(IF(Paths!$E$113=0,C1176=0,AND(C1176&gt;0,Paths!$E$113&gt;(C1176-1)*12,Paths!$E$113&lt;=C1176*12)),Paths!$G$113,0),"n.a."))</f>
        <v>0</v>
      </c>
      <c r="J1176" s="16">
        <f>IF(NOT(Paths!$C$113=1),0,IF(Paths!$P$113="Complete",IF(IF(Paths!$E$113=0,C1176=0,AND(C1176&gt;0,Paths!$E$113&gt;(C1176-1)*12,Paths!$E$113&lt;=C1176*12)),Paths!$H$113,0),"n.a."))</f>
        <v>0</v>
      </c>
      <c r="K1176" s="16">
        <f>IF(NOT(Paths!$C$113=1),0,IF(Paths!$P$113="Complete",IF(IF(Paths!$O$113=0,C1176=0,AND(C1176&gt;0,Paths!$O$113&gt;(C1176-1)*12,Paths!$O$113&lt;=C1176*12)),Paths!$N$113,0),"n.a."))</f>
        <v>0</v>
      </c>
      <c r="L1176" s="16">
        <f>IF(NOT(Paths!$C$113=1),0,IF(Paths!$P$113="Complete",IF(C1176=10,Paths!$I$113,0),"n.a."))</f>
        <v>0</v>
      </c>
      <c r="M1176" s="16">
        <f>IF(NOT(Paths!$C$113=1),0,IF(Paths!$P$113="Complete",IF(AND(Paths!$D$113="EV",Paths!$E$113&lt;120,Paths!$E$113+'Operating costs'!$B$65&gt;Paths!$E$113,Paths!$E$113+'Operating costs'!$B$65&lt;=120,IF(Paths!$E$113+'Operating costs'!$B$65=0,C1176=0,AND(C1176&gt;0,Paths!$E$113+'Operating costs'!$B$65&gt;(C1176-1)*12,Paths!$E$113+'Operating costs'!$B$65&lt;=C1176*12))),'Operating costs'!$B$64,0)+IF(AND('Operating costs'!$B$67&gt;0,'Operating costs'!$B$67&lt;=120,OR(Paths!$D$113="ICE",'Operating costs'!$B$67&lt;=Paths!$E$113),IF('Operating costs'!$B$67=0,C1176=0,AND(C1176&gt;0,'Operating costs'!$B$67&gt;(C1176-1)*12,'Operating costs'!$B$67&lt;=C1176*12))),'Operating costs'!$B$66,0),"n.a."))</f>
        <v>0</v>
      </c>
      <c r="N1176" s="16">
        <f>IF(NOT(Paths!$C$113=1),0,IF(Paths!$P$113="Complete",SUM(G1176:I1176)-J1176-K1176-L1176+M1176+IF(C1176=0,Paths!$F$113,0)+IF(IF(Paths!$E$113=0,C1176=0,AND(C1176&gt;0,Paths!$E$113&gt;(C1176-1)*12,Paths!$E$113&lt;=C1176*12)),VLOOKUP(A1176,'Fleet register'!$A$7:$S$106,16,FALSE),0),"n.a."))</f>
        <v>0</v>
      </c>
      <c r="O1176" s="16">
        <f>IF(NOT(Paths!$C$113=1),0,IF(Paths!$P$113="Complete",N1176-IF(C1176=0,Paths!$F$113,0),"n.a."))</f>
        <v>0</v>
      </c>
      <c r="P1176" s="16">
        <f>IF(NOT(Paths!$C$113=1),0,IF(Paths!$P$113="Complete",O1176+L1176,"n.a."))</f>
        <v>0</v>
      </c>
      <c r="Q1176" s="16">
        <f>IF(NOT(Paths!$C$113=1),0,IF(Paths!$P$113="Complete",N1176*(1+'Operating costs'!$B$54)^-C1176,"n.a."))</f>
        <v>0</v>
      </c>
      <c r="R1176" s="16">
        <f>IF(NOT(Paths!$C$113=1),0,IF(Paths!$P$113="Complete",IF(AND(C1176=0,Paths!$E$113=0),I1176-J1176-K1176+VLOOKUP(A1176,'Fleet register'!$A$7:$S$106,15,FALSE)+VLOOKUP(A1176,'Fleet register'!$A$7:$S$106,16,FALSE),0),"n.a."))</f>
        <v>0</v>
      </c>
      <c r="S1176" s="1">
        <f>IF(NOT(Paths!$C$113=1),0,IF(Paths!$P$113="Complete",IF(C1176=0,0,Paths!$S$113*Paths!$R$113),"n.a."))</f>
        <v>0</v>
      </c>
      <c r="T1176" s="1">
        <f>IF(NOT(Paths!$C$113=1),0,IF(Paths!$P$113="Complete",IF(C1176=0,0,VLOOKUP(A1176,'Fleet register'!$A$7:$S$106,9,FALSE)*Paths!$R$113),"n.a."))</f>
        <v>0</v>
      </c>
    </row>
    <row r="1177" spans="1:20" ht="24" customHeight="1">
      <c r="A1177" s="1" t="str">
        <f>Paths!$A$113</f>
        <v>T027</v>
      </c>
      <c r="B1177" s="1">
        <f>Paths!$B$113</f>
        <v>2</v>
      </c>
      <c r="C1177" s="1">
        <v>4</v>
      </c>
      <c r="D1177" s="1">
        <v>113</v>
      </c>
      <c r="E1177" s="1">
        <f>IF(OR(Paths!$C$113=0,C1177=0),0,MAX(0,MIN(C1177*12,Paths!$E$113)-(C1177-1)*12))</f>
        <v>0</v>
      </c>
      <c r="F1177" s="1">
        <f>IF(OR(Paths!$C$113=0,C1177=0),0,12-E1177)</f>
        <v>0</v>
      </c>
      <c r="G1177" s="16">
        <f>IF(NOT(Paths!$C$113=1),0,IF(Paths!$P$113="Complete",E1177/12*(Paths!$J$113*(1+'Operating costs'!$B$51)^MAX(0,C1177-1)+Paths!$K$113*(1+'Operating costs'!$B$53)^MAX(0,C1177-1)),"n.a."))</f>
        <v>0</v>
      </c>
      <c r="H1177" s="16">
        <f>IF(NOT(Paths!$C$113=1),0,IF(Paths!$P$113="Complete",F1177/12*(Paths!$L$113*(1+IF(Paths!$D$113="EV",'Operating costs'!$B$52,'Operating costs'!$B$51))^MAX(0,C1177-1)+Paths!$M$113*(1+'Operating costs'!$B$53)^MAX(0,C1177-1)),"n.a."))</f>
        <v>0</v>
      </c>
      <c r="I1177" s="16">
        <f>IF(NOT(Paths!$C$113=1),0,IF(Paths!$P$113="Complete",IF(IF(Paths!$E$113=0,C1177=0,AND(C1177&gt;0,Paths!$E$113&gt;(C1177-1)*12,Paths!$E$113&lt;=C1177*12)),Paths!$G$113,0),"n.a."))</f>
        <v>0</v>
      </c>
      <c r="J1177" s="16">
        <f>IF(NOT(Paths!$C$113=1),0,IF(Paths!$P$113="Complete",IF(IF(Paths!$E$113=0,C1177=0,AND(C1177&gt;0,Paths!$E$113&gt;(C1177-1)*12,Paths!$E$113&lt;=C1177*12)),Paths!$H$113,0),"n.a."))</f>
        <v>0</v>
      </c>
      <c r="K1177" s="16">
        <f>IF(NOT(Paths!$C$113=1),0,IF(Paths!$P$113="Complete",IF(IF(Paths!$O$113=0,C1177=0,AND(C1177&gt;0,Paths!$O$113&gt;(C1177-1)*12,Paths!$O$113&lt;=C1177*12)),Paths!$N$113,0),"n.a."))</f>
        <v>0</v>
      </c>
      <c r="L1177" s="16">
        <f>IF(NOT(Paths!$C$113=1),0,IF(Paths!$P$113="Complete",IF(C1177=10,Paths!$I$113,0),"n.a."))</f>
        <v>0</v>
      </c>
      <c r="M1177" s="16">
        <f>IF(NOT(Paths!$C$113=1),0,IF(Paths!$P$113="Complete",IF(AND(Paths!$D$113="EV",Paths!$E$113&lt;120,Paths!$E$113+'Operating costs'!$B$65&gt;Paths!$E$113,Paths!$E$113+'Operating costs'!$B$65&lt;=120,IF(Paths!$E$113+'Operating costs'!$B$65=0,C1177=0,AND(C1177&gt;0,Paths!$E$113+'Operating costs'!$B$65&gt;(C1177-1)*12,Paths!$E$113+'Operating costs'!$B$65&lt;=C1177*12))),'Operating costs'!$B$64,0)+IF(AND('Operating costs'!$B$67&gt;0,'Operating costs'!$B$67&lt;=120,OR(Paths!$D$113="ICE",'Operating costs'!$B$67&lt;=Paths!$E$113),IF('Operating costs'!$B$67=0,C1177=0,AND(C1177&gt;0,'Operating costs'!$B$67&gt;(C1177-1)*12,'Operating costs'!$B$67&lt;=C1177*12))),'Operating costs'!$B$66,0),"n.a."))</f>
        <v>0</v>
      </c>
      <c r="N1177" s="16">
        <f>IF(NOT(Paths!$C$113=1),0,IF(Paths!$P$113="Complete",SUM(G1177:I1177)-J1177-K1177-L1177+M1177+IF(C1177=0,Paths!$F$113,0)+IF(IF(Paths!$E$113=0,C1177=0,AND(C1177&gt;0,Paths!$E$113&gt;(C1177-1)*12,Paths!$E$113&lt;=C1177*12)),VLOOKUP(A1177,'Fleet register'!$A$7:$S$106,16,FALSE),0),"n.a."))</f>
        <v>0</v>
      </c>
      <c r="O1177" s="16">
        <f>IF(NOT(Paths!$C$113=1),0,IF(Paths!$P$113="Complete",N1177-IF(C1177=0,Paths!$F$113,0),"n.a."))</f>
        <v>0</v>
      </c>
      <c r="P1177" s="16">
        <f>IF(NOT(Paths!$C$113=1),0,IF(Paths!$P$113="Complete",O1177+L1177,"n.a."))</f>
        <v>0</v>
      </c>
      <c r="Q1177" s="16">
        <f>IF(NOT(Paths!$C$113=1),0,IF(Paths!$P$113="Complete",N1177*(1+'Operating costs'!$B$54)^-C1177,"n.a."))</f>
        <v>0</v>
      </c>
      <c r="R1177" s="16">
        <f>IF(NOT(Paths!$C$113=1),0,IF(Paths!$P$113="Complete",IF(AND(C1177=0,Paths!$E$113=0),I1177-J1177-K1177+VLOOKUP(A1177,'Fleet register'!$A$7:$S$106,15,FALSE)+VLOOKUP(A1177,'Fleet register'!$A$7:$S$106,16,FALSE),0),"n.a."))</f>
        <v>0</v>
      </c>
      <c r="S1177" s="1">
        <f>IF(NOT(Paths!$C$113=1),0,IF(Paths!$P$113="Complete",IF(C1177=0,0,Paths!$S$113*Paths!$R$113),"n.a."))</f>
        <v>0</v>
      </c>
      <c r="T1177" s="1">
        <f>IF(NOT(Paths!$C$113=1),0,IF(Paths!$P$113="Complete",IF(C1177=0,0,VLOOKUP(A1177,'Fleet register'!$A$7:$S$106,9,FALSE)*Paths!$R$113),"n.a."))</f>
        <v>0</v>
      </c>
    </row>
    <row r="1178" spans="1:20" ht="24" customHeight="1">
      <c r="A1178" s="1" t="str">
        <f>Paths!$A$113</f>
        <v>T027</v>
      </c>
      <c r="B1178" s="1">
        <f>Paths!$B$113</f>
        <v>2</v>
      </c>
      <c r="C1178" s="1">
        <v>5</v>
      </c>
      <c r="D1178" s="1">
        <v>113</v>
      </c>
      <c r="E1178" s="1">
        <f>IF(OR(Paths!$C$113=0,C1178=0),0,MAX(0,MIN(C1178*12,Paths!$E$113)-(C1178-1)*12))</f>
        <v>0</v>
      </c>
      <c r="F1178" s="1">
        <f>IF(OR(Paths!$C$113=0,C1178=0),0,12-E1178)</f>
        <v>0</v>
      </c>
      <c r="G1178" s="16">
        <f>IF(NOT(Paths!$C$113=1),0,IF(Paths!$P$113="Complete",E1178/12*(Paths!$J$113*(1+'Operating costs'!$B$51)^MAX(0,C1178-1)+Paths!$K$113*(1+'Operating costs'!$B$53)^MAX(0,C1178-1)),"n.a."))</f>
        <v>0</v>
      </c>
      <c r="H1178" s="16">
        <f>IF(NOT(Paths!$C$113=1),0,IF(Paths!$P$113="Complete",F1178/12*(Paths!$L$113*(1+IF(Paths!$D$113="EV",'Operating costs'!$B$52,'Operating costs'!$B$51))^MAX(0,C1178-1)+Paths!$M$113*(1+'Operating costs'!$B$53)^MAX(0,C1178-1)),"n.a."))</f>
        <v>0</v>
      </c>
      <c r="I1178" s="16">
        <f>IF(NOT(Paths!$C$113=1),0,IF(Paths!$P$113="Complete",IF(IF(Paths!$E$113=0,C1178=0,AND(C1178&gt;0,Paths!$E$113&gt;(C1178-1)*12,Paths!$E$113&lt;=C1178*12)),Paths!$G$113,0),"n.a."))</f>
        <v>0</v>
      </c>
      <c r="J1178" s="16">
        <f>IF(NOT(Paths!$C$113=1),0,IF(Paths!$P$113="Complete",IF(IF(Paths!$E$113=0,C1178=0,AND(C1178&gt;0,Paths!$E$113&gt;(C1178-1)*12,Paths!$E$113&lt;=C1178*12)),Paths!$H$113,0),"n.a."))</f>
        <v>0</v>
      </c>
      <c r="K1178" s="16">
        <f>IF(NOT(Paths!$C$113=1),0,IF(Paths!$P$113="Complete",IF(IF(Paths!$O$113=0,C1178=0,AND(C1178&gt;0,Paths!$O$113&gt;(C1178-1)*12,Paths!$O$113&lt;=C1178*12)),Paths!$N$113,0),"n.a."))</f>
        <v>0</v>
      </c>
      <c r="L1178" s="16">
        <f>IF(NOT(Paths!$C$113=1),0,IF(Paths!$P$113="Complete",IF(C1178=10,Paths!$I$113,0),"n.a."))</f>
        <v>0</v>
      </c>
      <c r="M1178" s="16">
        <f>IF(NOT(Paths!$C$113=1),0,IF(Paths!$P$113="Complete",IF(AND(Paths!$D$113="EV",Paths!$E$113&lt;120,Paths!$E$113+'Operating costs'!$B$65&gt;Paths!$E$113,Paths!$E$113+'Operating costs'!$B$65&lt;=120,IF(Paths!$E$113+'Operating costs'!$B$65=0,C1178=0,AND(C1178&gt;0,Paths!$E$113+'Operating costs'!$B$65&gt;(C1178-1)*12,Paths!$E$113+'Operating costs'!$B$65&lt;=C1178*12))),'Operating costs'!$B$64,0)+IF(AND('Operating costs'!$B$67&gt;0,'Operating costs'!$B$67&lt;=120,OR(Paths!$D$113="ICE",'Operating costs'!$B$67&lt;=Paths!$E$113),IF('Operating costs'!$B$67=0,C1178=0,AND(C1178&gt;0,'Operating costs'!$B$67&gt;(C1178-1)*12,'Operating costs'!$B$67&lt;=C1178*12))),'Operating costs'!$B$66,0),"n.a."))</f>
        <v>0</v>
      </c>
      <c r="N1178" s="16">
        <f>IF(NOT(Paths!$C$113=1),0,IF(Paths!$P$113="Complete",SUM(G1178:I1178)-J1178-K1178-L1178+M1178+IF(C1178=0,Paths!$F$113,0)+IF(IF(Paths!$E$113=0,C1178=0,AND(C1178&gt;0,Paths!$E$113&gt;(C1178-1)*12,Paths!$E$113&lt;=C1178*12)),VLOOKUP(A1178,'Fleet register'!$A$7:$S$106,16,FALSE),0),"n.a."))</f>
        <v>0</v>
      </c>
      <c r="O1178" s="16">
        <f>IF(NOT(Paths!$C$113=1),0,IF(Paths!$P$113="Complete",N1178-IF(C1178=0,Paths!$F$113,0),"n.a."))</f>
        <v>0</v>
      </c>
      <c r="P1178" s="16">
        <f>IF(NOT(Paths!$C$113=1),0,IF(Paths!$P$113="Complete",O1178+L1178,"n.a."))</f>
        <v>0</v>
      </c>
      <c r="Q1178" s="16">
        <f>IF(NOT(Paths!$C$113=1),0,IF(Paths!$P$113="Complete",N1178*(1+'Operating costs'!$B$54)^-C1178,"n.a."))</f>
        <v>0</v>
      </c>
      <c r="R1178" s="16">
        <f>IF(NOT(Paths!$C$113=1),0,IF(Paths!$P$113="Complete",IF(AND(C1178=0,Paths!$E$113=0),I1178-J1178-K1178+VLOOKUP(A1178,'Fleet register'!$A$7:$S$106,15,FALSE)+VLOOKUP(A1178,'Fleet register'!$A$7:$S$106,16,FALSE),0),"n.a."))</f>
        <v>0</v>
      </c>
      <c r="S1178" s="1">
        <f>IF(NOT(Paths!$C$113=1),0,IF(Paths!$P$113="Complete",IF(C1178=0,0,Paths!$S$113*Paths!$R$113),"n.a."))</f>
        <v>0</v>
      </c>
      <c r="T1178" s="1">
        <f>IF(NOT(Paths!$C$113=1),0,IF(Paths!$P$113="Complete",IF(C1178=0,0,VLOOKUP(A1178,'Fleet register'!$A$7:$S$106,9,FALSE)*Paths!$R$113),"n.a."))</f>
        <v>0</v>
      </c>
    </row>
    <row r="1179" spans="1:20" ht="24" customHeight="1">
      <c r="A1179" s="1" t="str">
        <f>Paths!$A$113</f>
        <v>T027</v>
      </c>
      <c r="B1179" s="1">
        <f>Paths!$B$113</f>
        <v>2</v>
      </c>
      <c r="C1179" s="1">
        <v>6</v>
      </c>
      <c r="D1179" s="1">
        <v>113</v>
      </c>
      <c r="E1179" s="1">
        <f>IF(OR(Paths!$C$113=0,C1179=0),0,MAX(0,MIN(C1179*12,Paths!$E$113)-(C1179-1)*12))</f>
        <v>0</v>
      </c>
      <c r="F1179" s="1">
        <f>IF(OR(Paths!$C$113=0,C1179=0),0,12-E1179)</f>
        <v>0</v>
      </c>
      <c r="G1179" s="16">
        <f>IF(NOT(Paths!$C$113=1),0,IF(Paths!$P$113="Complete",E1179/12*(Paths!$J$113*(1+'Operating costs'!$B$51)^MAX(0,C1179-1)+Paths!$K$113*(1+'Operating costs'!$B$53)^MAX(0,C1179-1)),"n.a."))</f>
        <v>0</v>
      </c>
      <c r="H1179" s="16">
        <f>IF(NOT(Paths!$C$113=1),0,IF(Paths!$P$113="Complete",F1179/12*(Paths!$L$113*(1+IF(Paths!$D$113="EV",'Operating costs'!$B$52,'Operating costs'!$B$51))^MAX(0,C1179-1)+Paths!$M$113*(1+'Operating costs'!$B$53)^MAX(0,C1179-1)),"n.a."))</f>
        <v>0</v>
      </c>
      <c r="I1179" s="16">
        <f>IF(NOT(Paths!$C$113=1),0,IF(Paths!$P$113="Complete",IF(IF(Paths!$E$113=0,C1179=0,AND(C1179&gt;0,Paths!$E$113&gt;(C1179-1)*12,Paths!$E$113&lt;=C1179*12)),Paths!$G$113,0),"n.a."))</f>
        <v>0</v>
      </c>
      <c r="J1179" s="16">
        <f>IF(NOT(Paths!$C$113=1),0,IF(Paths!$P$113="Complete",IF(IF(Paths!$E$113=0,C1179=0,AND(C1179&gt;0,Paths!$E$113&gt;(C1179-1)*12,Paths!$E$113&lt;=C1179*12)),Paths!$H$113,0),"n.a."))</f>
        <v>0</v>
      </c>
      <c r="K1179" s="16">
        <f>IF(NOT(Paths!$C$113=1),0,IF(Paths!$P$113="Complete",IF(IF(Paths!$O$113=0,C1179=0,AND(C1179&gt;0,Paths!$O$113&gt;(C1179-1)*12,Paths!$O$113&lt;=C1179*12)),Paths!$N$113,0),"n.a."))</f>
        <v>0</v>
      </c>
      <c r="L1179" s="16">
        <f>IF(NOT(Paths!$C$113=1),0,IF(Paths!$P$113="Complete",IF(C1179=10,Paths!$I$113,0),"n.a."))</f>
        <v>0</v>
      </c>
      <c r="M1179" s="16">
        <f>IF(NOT(Paths!$C$113=1),0,IF(Paths!$P$113="Complete",IF(AND(Paths!$D$113="EV",Paths!$E$113&lt;120,Paths!$E$113+'Operating costs'!$B$65&gt;Paths!$E$113,Paths!$E$113+'Operating costs'!$B$65&lt;=120,IF(Paths!$E$113+'Operating costs'!$B$65=0,C1179=0,AND(C1179&gt;0,Paths!$E$113+'Operating costs'!$B$65&gt;(C1179-1)*12,Paths!$E$113+'Operating costs'!$B$65&lt;=C1179*12))),'Operating costs'!$B$64,0)+IF(AND('Operating costs'!$B$67&gt;0,'Operating costs'!$B$67&lt;=120,OR(Paths!$D$113="ICE",'Operating costs'!$B$67&lt;=Paths!$E$113),IF('Operating costs'!$B$67=0,C1179=0,AND(C1179&gt;0,'Operating costs'!$B$67&gt;(C1179-1)*12,'Operating costs'!$B$67&lt;=C1179*12))),'Operating costs'!$B$66,0),"n.a."))</f>
        <v>0</v>
      </c>
      <c r="N1179" s="16">
        <f>IF(NOT(Paths!$C$113=1),0,IF(Paths!$P$113="Complete",SUM(G1179:I1179)-J1179-K1179-L1179+M1179+IF(C1179=0,Paths!$F$113,0)+IF(IF(Paths!$E$113=0,C1179=0,AND(C1179&gt;0,Paths!$E$113&gt;(C1179-1)*12,Paths!$E$113&lt;=C1179*12)),VLOOKUP(A1179,'Fleet register'!$A$7:$S$106,16,FALSE),0),"n.a."))</f>
        <v>0</v>
      </c>
      <c r="O1179" s="16">
        <f>IF(NOT(Paths!$C$113=1),0,IF(Paths!$P$113="Complete",N1179-IF(C1179=0,Paths!$F$113,0),"n.a."))</f>
        <v>0</v>
      </c>
      <c r="P1179" s="16">
        <f>IF(NOT(Paths!$C$113=1),0,IF(Paths!$P$113="Complete",O1179+L1179,"n.a."))</f>
        <v>0</v>
      </c>
      <c r="Q1179" s="16">
        <f>IF(NOT(Paths!$C$113=1),0,IF(Paths!$P$113="Complete",N1179*(1+'Operating costs'!$B$54)^-C1179,"n.a."))</f>
        <v>0</v>
      </c>
      <c r="R1179" s="16">
        <f>IF(NOT(Paths!$C$113=1),0,IF(Paths!$P$113="Complete",IF(AND(C1179=0,Paths!$E$113=0),I1179-J1179-K1179+VLOOKUP(A1179,'Fleet register'!$A$7:$S$106,15,FALSE)+VLOOKUP(A1179,'Fleet register'!$A$7:$S$106,16,FALSE),0),"n.a."))</f>
        <v>0</v>
      </c>
      <c r="S1179" s="1">
        <f>IF(NOT(Paths!$C$113=1),0,IF(Paths!$P$113="Complete",IF(C1179=0,0,Paths!$S$113*Paths!$R$113),"n.a."))</f>
        <v>0</v>
      </c>
      <c r="T1179" s="1">
        <f>IF(NOT(Paths!$C$113=1),0,IF(Paths!$P$113="Complete",IF(C1179=0,0,VLOOKUP(A1179,'Fleet register'!$A$7:$S$106,9,FALSE)*Paths!$R$113),"n.a."))</f>
        <v>0</v>
      </c>
    </row>
    <row r="1180" spans="1:20" ht="24" customHeight="1">
      <c r="A1180" s="1" t="str">
        <f>Paths!$A$113</f>
        <v>T027</v>
      </c>
      <c r="B1180" s="1">
        <f>Paths!$B$113</f>
        <v>2</v>
      </c>
      <c r="C1180" s="1">
        <v>7</v>
      </c>
      <c r="D1180" s="1">
        <v>113</v>
      </c>
      <c r="E1180" s="1">
        <f>IF(OR(Paths!$C$113=0,C1180=0),0,MAX(0,MIN(C1180*12,Paths!$E$113)-(C1180-1)*12))</f>
        <v>0</v>
      </c>
      <c r="F1180" s="1">
        <f>IF(OR(Paths!$C$113=0,C1180=0),0,12-E1180)</f>
        <v>0</v>
      </c>
      <c r="G1180" s="16">
        <f>IF(NOT(Paths!$C$113=1),0,IF(Paths!$P$113="Complete",E1180/12*(Paths!$J$113*(1+'Operating costs'!$B$51)^MAX(0,C1180-1)+Paths!$K$113*(1+'Operating costs'!$B$53)^MAX(0,C1180-1)),"n.a."))</f>
        <v>0</v>
      </c>
      <c r="H1180" s="16">
        <f>IF(NOT(Paths!$C$113=1),0,IF(Paths!$P$113="Complete",F1180/12*(Paths!$L$113*(1+IF(Paths!$D$113="EV",'Operating costs'!$B$52,'Operating costs'!$B$51))^MAX(0,C1180-1)+Paths!$M$113*(1+'Operating costs'!$B$53)^MAX(0,C1180-1)),"n.a."))</f>
        <v>0</v>
      </c>
      <c r="I1180" s="16">
        <f>IF(NOT(Paths!$C$113=1),0,IF(Paths!$P$113="Complete",IF(IF(Paths!$E$113=0,C1180=0,AND(C1180&gt;0,Paths!$E$113&gt;(C1180-1)*12,Paths!$E$113&lt;=C1180*12)),Paths!$G$113,0),"n.a."))</f>
        <v>0</v>
      </c>
      <c r="J1180" s="16">
        <f>IF(NOT(Paths!$C$113=1),0,IF(Paths!$P$113="Complete",IF(IF(Paths!$E$113=0,C1180=0,AND(C1180&gt;0,Paths!$E$113&gt;(C1180-1)*12,Paths!$E$113&lt;=C1180*12)),Paths!$H$113,0),"n.a."))</f>
        <v>0</v>
      </c>
      <c r="K1180" s="16">
        <f>IF(NOT(Paths!$C$113=1),0,IF(Paths!$P$113="Complete",IF(IF(Paths!$O$113=0,C1180=0,AND(C1180&gt;0,Paths!$O$113&gt;(C1180-1)*12,Paths!$O$113&lt;=C1180*12)),Paths!$N$113,0),"n.a."))</f>
        <v>0</v>
      </c>
      <c r="L1180" s="16">
        <f>IF(NOT(Paths!$C$113=1),0,IF(Paths!$P$113="Complete",IF(C1180=10,Paths!$I$113,0),"n.a."))</f>
        <v>0</v>
      </c>
      <c r="M1180" s="16">
        <f>IF(NOT(Paths!$C$113=1),0,IF(Paths!$P$113="Complete",IF(AND(Paths!$D$113="EV",Paths!$E$113&lt;120,Paths!$E$113+'Operating costs'!$B$65&gt;Paths!$E$113,Paths!$E$113+'Operating costs'!$B$65&lt;=120,IF(Paths!$E$113+'Operating costs'!$B$65=0,C1180=0,AND(C1180&gt;0,Paths!$E$113+'Operating costs'!$B$65&gt;(C1180-1)*12,Paths!$E$113+'Operating costs'!$B$65&lt;=C1180*12))),'Operating costs'!$B$64,0)+IF(AND('Operating costs'!$B$67&gt;0,'Operating costs'!$B$67&lt;=120,OR(Paths!$D$113="ICE",'Operating costs'!$B$67&lt;=Paths!$E$113),IF('Operating costs'!$B$67=0,C1180=0,AND(C1180&gt;0,'Operating costs'!$B$67&gt;(C1180-1)*12,'Operating costs'!$B$67&lt;=C1180*12))),'Operating costs'!$B$66,0),"n.a."))</f>
        <v>0</v>
      </c>
      <c r="N1180" s="16">
        <f>IF(NOT(Paths!$C$113=1),0,IF(Paths!$P$113="Complete",SUM(G1180:I1180)-J1180-K1180-L1180+M1180+IF(C1180=0,Paths!$F$113,0)+IF(IF(Paths!$E$113=0,C1180=0,AND(C1180&gt;0,Paths!$E$113&gt;(C1180-1)*12,Paths!$E$113&lt;=C1180*12)),VLOOKUP(A1180,'Fleet register'!$A$7:$S$106,16,FALSE),0),"n.a."))</f>
        <v>0</v>
      </c>
      <c r="O1180" s="16">
        <f>IF(NOT(Paths!$C$113=1),0,IF(Paths!$P$113="Complete",N1180-IF(C1180=0,Paths!$F$113,0),"n.a."))</f>
        <v>0</v>
      </c>
      <c r="P1180" s="16">
        <f>IF(NOT(Paths!$C$113=1),0,IF(Paths!$P$113="Complete",O1180+L1180,"n.a."))</f>
        <v>0</v>
      </c>
      <c r="Q1180" s="16">
        <f>IF(NOT(Paths!$C$113=1),0,IF(Paths!$P$113="Complete",N1180*(1+'Operating costs'!$B$54)^-C1180,"n.a."))</f>
        <v>0</v>
      </c>
      <c r="R1180" s="16">
        <f>IF(NOT(Paths!$C$113=1),0,IF(Paths!$P$113="Complete",IF(AND(C1180=0,Paths!$E$113=0),I1180-J1180-K1180+VLOOKUP(A1180,'Fleet register'!$A$7:$S$106,15,FALSE)+VLOOKUP(A1180,'Fleet register'!$A$7:$S$106,16,FALSE),0),"n.a."))</f>
        <v>0</v>
      </c>
      <c r="S1180" s="1">
        <f>IF(NOT(Paths!$C$113=1),0,IF(Paths!$P$113="Complete",IF(C1180=0,0,Paths!$S$113*Paths!$R$113),"n.a."))</f>
        <v>0</v>
      </c>
      <c r="T1180" s="1">
        <f>IF(NOT(Paths!$C$113=1),0,IF(Paths!$P$113="Complete",IF(C1180=0,0,VLOOKUP(A1180,'Fleet register'!$A$7:$S$106,9,FALSE)*Paths!$R$113),"n.a."))</f>
        <v>0</v>
      </c>
    </row>
    <row r="1181" spans="1:20" ht="24" customHeight="1">
      <c r="A1181" s="1" t="str">
        <f>Paths!$A$113</f>
        <v>T027</v>
      </c>
      <c r="B1181" s="1">
        <f>Paths!$B$113</f>
        <v>2</v>
      </c>
      <c r="C1181" s="1">
        <v>8</v>
      </c>
      <c r="D1181" s="1">
        <v>113</v>
      </c>
      <c r="E1181" s="1">
        <f>IF(OR(Paths!$C$113=0,C1181=0),0,MAX(0,MIN(C1181*12,Paths!$E$113)-(C1181-1)*12))</f>
        <v>0</v>
      </c>
      <c r="F1181" s="1">
        <f>IF(OR(Paths!$C$113=0,C1181=0),0,12-E1181)</f>
        <v>0</v>
      </c>
      <c r="G1181" s="16">
        <f>IF(NOT(Paths!$C$113=1),0,IF(Paths!$P$113="Complete",E1181/12*(Paths!$J$113*(1+'Operating costs'!$B$51)^MAX(0,C1181-1)+Paths!$K$113*(1+'Operating costs'!$B$53)^MAX(0,C1181-1)),"n.a."))</f>
        <v>0</v>
      </c>
      <c r="H1181" s="16">
        <f>IF(NOT(Paths!$C$113=1),0,IF(Paths!$P$113="Complete",F1181/12*(Paths!$L$113*(1+IF(Paths!$D$113="EV",'Operating costs'!$B$52,'Operating costs'!$B$51))^MAX(0,C1181-1)+Paths!$M$113*(1+'Operating costs'!$B$53)^MAX(0,C1181-1)),"n.a."))</f>
        <v>0</v>
      </c>
      <c r="I1181" s="16">
        <f>IF(NOT(Paths!$C$113=1),0,IF(Paths!$P$113="Complete",IF(IF(Paths!$E$113=0,C1181=0,AND(C1181&gt;0,Paths!$E$113&gt;(C1181-1)*12,Paths!$E$113&lt;=C1181*12)),Paths!$G$113,0),"n.a."))</f>
        <v>0</v>
      </c>
      <c r="J1181" s="16">
        <f>IF(NOT(Paths!$C$113=1),0,IF(Paths!$P$113="Complete",IF(IF(Paths!$E$113=0,C1181=0,AND(C1181&gt;0,Paths!$E$113&gt;(C1181-1)*12,Paths!$E$113&lt;=C1181*12)),Paths!$H$113,0),"n.a."))</f>
        <v>0</v>
      </c>
      <c r="K1181" s="16">
        <f>IF(NOT(Paths!$C$113=1),0,IF(Paths!$P$113="Complete",IF(IF(Paths!$O$113=0,C1181=0,AND(C1181&gt;0,Paths!$O$113&gt;(C1181-1)*12,Paths!$O$113&lt;=C1181*12)),Paths!$N$113,0),"n.a."))</f>
        <v>0</v>
      </c>
      <c r="L1181" s="16">
        <f>IF(NOT(Paths!$C$113=1),0,IF(Paths!$P$113="Complete",IF(C1181=10,Paths!$I$113,0),"n.a."))</f>
        <v>0</v>
      </c>
      <c r="M1181" s="16">
        <f>IF(NOT(Paths!$C$113=1),0,IF(Paths!$P$113="Complete",IF(AND(Paths!$D$113="EV",Paths!$E$113&lt;120,Paths!$E$113+'Operating costs'!$B$65&gt;Paths!$E$113,Paths!$E$113+'Operating costs'!$B$65&lt;=120,IF(Paths!$E$113+'Operating costs'!$B$65=0,C1181=0,AND(C1181&gt;0,Paths!$E$113+'Operating costs'!$B$65&gt;(C1181-1)*12,Paths!$E$113+'Operating costs'!$B$65&lt;=C1181*12))),'Operating costs'!$B$64,0)+IF(AND('Operating costs'!$B$67&gt;0,'Operating costs'!$B$67&lt;=120,OR(Paths!$D$113="ICE",'Operating costs'!$B$67&lt;=Paths!$E$113),IF('Operating costs'!$B$67=0,C1181=0,AND(C1181&gt;0,'Operating costs'!$B$67&gt;(C1181-1)*12,'Operating costs'!$B$67&lt;=C1181*12))),'Operating costs'!$B$66,0),"n.a."))</f>
        <v>0</v>
      </c>
      <c r="N1181" s="16">
        <f>IF(NOT(Paths!$C$113=1),0,IF(Paths!$P$113="Complete",SUM(G1181:I1181)-J1181-K1181-L1181+M1181+IF(C1181=0,Paths!$F$113,0)+IF(IF(Paths!$E$113=0,C1181=0,AND(C1181&gt;0,Paths!$E$113&gt;(C1181-1)*12,Paths!$E$113&lt;=C1181*12)),VLOOKUP(A1181,'Fleet register'!$A$7:$S$106,16,FALSE),0),"n.a."))</f>
        <v>0</v>
      </c>
      <c r="O1181" s="16">
        <f>IF(NOT(Paths!$C$113=1),0,IF(Paths!$P$113="Complete",N1181-IF(C1181=0,Paths!$F$113,0),"n.a."))</f>
        <v>0</v>
      </c>
      <c r="P1181" s="16">
        <f>IF(NOT(Paths!$C$113=1),0,IF(Paths!$P$113="Complete",O1181+L1181,"n.a."))</f>
        <v>0</v>
      </c>
      <c r="Q1181" s="16">
        <f>IF(NOT(Paths!$C$113=1),0,IF(Paths!$P$113="Complete",N1181*(1+'Operating costs'!$B$54)^-C1181,"n.a."))</f>
        <v>0</v>
      </c>
      <c r="R1181" s="16">
        <f>IF(NOT(Paths!$C$113=1),0,IF(Paths!$P$113="Complete",IF(AND(C1181=0,Paths!$E$113=0),I1181-J1181-K1181+VLOOKUP(A1181,'Fleet register'!$A$7:$S$106,15,FALSE)+VLOOKUP(A1181,'Fleet register'!$A$7:$S$106,16,FALSE),0),"n.a."))</f>
        <v>0</v>
      </c>
      <c r="S1181" s="1">
        <f>IF(NOT(Paths!$C$113=1),0,IF(Paths!$P$113="Complete",IF(C1181=0,0,Paths!$S$113*Paths!$R$113),"n.a."))</f>
        <v>0</v>
      </c>
      <c r="T1181" s="1">
        <f>IF(NOT(Paths!$C$113=1),0,IF(Paths!$P$113="Complete",IF(C1181=0,0,VLOOKUP(A1181,'Fleet register'!$A$7:$S$106,9,FALSE)*Paths!$R$113),"n.a."))</f>
        <v>0</v>
      </c>
    </row>
    <row r="1182" spans="1:20" ht="24" customHeight="1">
      <c r="A1182" s="1" t="str">
        <f>Paths!$A$113</f>
        <v>T027</v>
      </c>
      <c r="B1182" s="1">
        <f>Paths!$B$113</f>
        <v>2</v>
      </c>
      <c r="C1182" s="1">
        <v>9</v>
      </c>
      <c r="D1182" s="1">
        <v>113</v>
      </c>
      <c r="E1182" s="1">
        <f>IF(OR(Paths!$C$113=0,C1182=0),0,MAX(0,MIN(C1182*12,Paths!$E$113)-(C1182-1)*12))</f>
        <v>0</v>
      </c>
      <c r="F1182" s="1">
        <f>IF(OR(Paths!$C$113=0,C1182=0),0,12-E1182)</f>
        <v>0</v>
      </c>
      <c r="G1182" s="16">
        <f>IF(NOT(Paths!$C$113=1),0,IF(Paths!$P$113="Complete",E1182/12*(Paths!$J$113*(1+'Operating costs'!$B$51)^MAX(0,C1182-1)+Paths!$K$113*(1+'Operating costs'!$B$53)^MAX(0,C1182-1)),"n.a."))</f>
        <v>0</v>
      </c>
      <c r="H1182" s="16">
        <f>IF(NOT(Paths!$C$113=1),0,IF(Paths!$P$113="Complete",F1182/12*(Paths!$L$113*(1+IF(Paths!$D$113="EV",'Operating costs'!$B$52,'Operating costs'!$B$51))^MAX(0,C1182-1)+Paths!$M$113*(1+'Operating costs'!$B$53)^MAX(0,C1182-1)),"n.a."))</f>
        <v>0</v>
      </c>
      <c r="I1182" s="16">
        <f>IF(NOT(Paths!$C$113=1),0,IF(Paths!$P$113="Complete",IF(IF(Paths!$E$113=0,C1182=0,AND(C1182&gt;0,Paths!$E$113&gt;(C1182-1)*12,Paths!$E$113&lt;=C1182*12)),Paths!$G$113,0),"n.a."))</f>
        <v>0</v>
      </c>
      <c r="J1182" s="16">
        <f>IF(NOT(Paths!$C$113=1),0,IF(Paths!$P$113="Complete",IF(IF(Paths!$E$113=0,C1182=0,AND(C1182&gt;0,Paths!$E$113&gt;(C1182-1)*12,Paths!$E$113&lt;=C1182*12)),Paths!$H$113,0),"n.a."))</f>
        <v>0</v>
      </c>
      <c r="K1182" s="16">
        <f>IF(NOT(Paths!$C$113=1),0,IF(Paths!$P$113="Complete",IF(IF(Paths!$O$113=0,C1182=0,AND(C1182&gt;0,Paths!$O$113&gt;(C1182-1)*12,Paths!$O$113&lt;=C1182*12)),Paths!$N$113,0),"n.a."))</f>
        <v>0</v>
      </c>
      <c r="L1182" s="16">
        <f>IF(NOT(Paths!$C$113=1),0,IF(Paths!$P$113="Complete",IF(C1182=10,Paths!$I$113,0),"n.a."))</f>
        <v>0</v>
      </c>
      <c r="M1182" s="16">
        <f>IF(NOT(Paths!$C$113=1),0,IF(Paths!$P$113="Complete",IF(AND(Paths!$D$113="EV",Paths!$E$113&lt;120,Paths!$E$113+'Operating costs'!$B$65&gt;Paths!$E$113,Paths!$E$113+'Operating costs'!$B$65&lt;=120,IF(Paths!$E$113+'Operating costs'!$B$65=0,C1182=0,AND(C1182&gt;0,Paths!$E$113+'Operating costs'!$B$65&gt;(C1182-1)*12,Paths!$E$113+'Operating costs'!$B$65&lt;=C1182*12))),'Operating costs'!$B$64,0)+IF(AND('Operating costs'!$B$67&gt;0,'Operating costs'!$B$67&lt;=120,OR(Paths!$D$113="ICE",'Operating costs'!$B$67&lt;=Paths!$E$113),IF('Operating costs'!$B$67=0,C1182=0,AND(C1182&gt;0,'Operating costs'!$B$67&gt;(C1182-1)*12,'Operating costs'!$B$67&lt;=C1182*12))),'Operating costs'!$B$66,0),"n.a."))</f>
        <v>0</v>
      </c>
      <c r="N1182" s="16">
        <f>IF(NOT(Paths!$C$113=1),0,IF(Paths!$P$113="Complete",SUM(G1182:I1182)-J1182-K1182-L1182+M1182+IF(C1182=0,Paths!$F$113,0)+IF(IF(Paths!$E$113=0,C1182=0,AND(C1182&gt;0,Paths!$E$113&gt;(C1182-1)*12,Paths!$E$113&lt;=C1182*12)),VLOOKUP(A1182,'Fleet register'!$A$7:$S$106,16,FALSE),0),"n.a."))</f>
        <v>0</v>
      </c>
      <c r="O1182" s="16">
        <f>IF(NOT(Paths!$C$113=1),0,IF(Paths!$P$113="Complete",N1182-IF(C1182=0,Paths!$F$113,0),"n.a."))</f>
        <v>0</v>
      </c>
      <c r="P1182" s="16">
        <f>IF(NOT(Paths!$C$113=1),0,IF(Paths!$P$113="Complete",O1182+L1182,"n.a."))</f>
        <v>0</v>
      </c>
      <c r="Q1182" s="16">
        <f>IF(NOT(Paths!$C$113=1),0,IF(Paths!$P$113="Complete",N1182*(1+'Operating costs'!$B$54)^-C1182,"n.a."))</f>
        <v>0</v>
      </c>
      <c r="R1182" s="16">
        <f>IF(NOT(Paths!$C$113=1),0,IF(Paths!$P$113="Complete",IF(AND(C1182=0,Paths!$E$113=0),I1182-J1182-K1182+VLOOKUP(A1182,'Fleet register'!$A$7:$S$106,15,FALSE)+VLOOKUP(A1182,'Fleet register'!$A$7:$S$106,16,FALSE),0),"n.a."))</f>
        <v>0</v>
      </c>
      <c r="S1182" s="1">
        <f>IF(NOT(Paths!$C$113=1),0,IF(Paths!$P$113="Complete",IF(C1182=0,0,Paths!$S$113*Paths!$R$113),"n.a."))</f>
        <v>0</v>
      </c>
      <c r="T1182" s="1">
        <f>IF(NOT(Paths!$C$113=1),0,IF(Paths!$P$113="Complete",IF(C1182=0,0,VLOOKUP(A1182,'Fleet register'!$A$7:$S$106,9,FALSE)*Paths!$R$113),"n.a."))</f>
        <v>0</v>
      </c>
    </row>
    <row r="1183" spans="1:20" ht="24" customHeight="1">
      <c r="A1183" s="1" t="str">
        <f>Paths!$A$113</f>
        <v>T027</v>
      </c>
      <c r="B1183" s="1">
        <f>Paths!$B$113</f>
        <v>2</v>
      </c>
      <c r="C1183" s="1">
        <v>10</v>
      </c>
      <c r="D1183" s="1">
        <v>113</v>
      </c>
      <c r="E1183" s="1">
        <f>IF(OR(Paths!$C$113=0,C1183=0),0,MAX(0,MIN(C1183*12,Paths!$E$113)-(C1183-1)*12))</f>
        <v>0</v>
      </c>
      <c r="F1183" s="1">
        <f>IF(OR(Paths!$C$113=0,C1183=0),0,12-E1183)</f>
        <v>0</v>
      </c>
      <c r="G1183" s="16">
        <f>IF(NOT(Paths!$C$113=1),0,IF(Paths!$P$113="Complete",E1183/12*(Paths!$J$113*(1+'Operating costs'!$B$51)^MAX(0,C1183-1)+Paths!$K$113*(1+'Operating costs'!$B$53)^MAX(0,C1183-1)),"n.a."))</f>
        <v>0</v>
      </c>
      <c r="H1183" s="16">
        <f>IF(NOT(Paths!$C$113=1),0,IF(Paths!$P$113="Complete",F1183/12*(Paths!$L$113*(1+IF(Paths!$D$113="EV",'Operating costs'!$B$52,'Operating costs'!$B$51))^MAX(0,C1183-1)+Paths!$M$113*(1+'Operating costs'!$B$53)^MAX(0,C1183-1)),"n.a."))</f>
        <v>0</v>
      </c>
      <c r="I1183" s="16">
        <f>IF(NOT(Paths!$C$113=1),0,IF(Paths!$P$113="Complete",IF(IF(Paths!$E$113=0,C1183=0,AND(C1183&gt;0,Paths!$E$113&gt;(C1183-1)*12,Paths!$E$113&lt;=C1183*12)),Paths!$G$113,0),"n.a."))</f>
        <v>0</v>
      </c>
      <c r="J1183" s="16">
        <f>IF(NOT(Paths!$C$113=1),0,IF(Paths!$P$113="Complete",IF(IF(Paths!$E$113=0,C1183=0,AND(C1183&gt;0,Paths!$E$113&gt;(C1183-1)*12,Paths!$E$113&lt;=C1183*12)),Paths!$H$113,0),"n.a."))</f>
        <v>0</v>
      </c>
      <c r="K1183" s="16">
        <f>IF(NOT(Paths!$C$113=1),0,IF(Paths!$P$113="Complete",IF(IF(Paths!$O$113=0,C1183=0,AND(C1183&gt;0,Paths!$O$113&gt;(C1183-1)*12,Paths!$O$113&lt;=C1183*12)),Paths!$N$113,0),"n.a."))</f>
        <v>0</v>
      </c>
      <c r="L1183" s="16">
        <f>IF(NOT(Paths!$C$113=1),0,IF(Paths!$P$113="Complete",IF(C1183=10,Paths!$I$113,0),"n.a."))</f>
        <v>0</v>
      </c>
      <c r="M1183" s="16">
        <f>IF(NOT(Paths!$C$113=1),0,IF(Paths!$P$113="Complete",IF(AND(Paths!$D$113="EV",Paths!$E$113&lt;120,Paths!$E$113+'Operating costs'!$B$65&gt;Paths!$E$113,Paths!$E$113+'Operating costs'!$B$65&lt;=120,IF(Paths!$E$113+'Operating costs'!$B$65=0,C1183=0,AND(C1183&gt;0,Paths!$E$113+'Operating costs'!$B$65&gt;(C1183-1)*12,Paths!$E$113+'Operating costs'!$B$65&lt;=C1183*12))),'Operating costs'!$B$64,0)+IF(AND('Operating costs'!$B$67&gt;0,'Operating costs'!$B$67&lt;=120,OR(Paths!$D$113="ICE",'Operating costs'!$B$67&lt;=Paths!$E$113),IF('Operating costs'!$B$67=0,C1183=0,AND(C1183&gt;0,'Operating costs'!$B$67&gt;(C1183-1)*12,'Operating costs'!$B$67&lt;=C1183*12))),'Operating costs'!$B$66,0),"n.a."))</f>
        <v>0</v>
      </c>
      <c r="N1183" s="16">
        <f>IF(NOT(Paths!$C$113=1),0,IF(Paths!$P$113="Complete",SUM(G1183:I1183)-J1183-K1183-L1183+M1183+IF(C1183=0,Paths!$F$113,0)+IF(IF(Paths!$E$113=0,C1183=0,AND(C1183&gt;0,Paths!$E$113&gt;(C1183-1)*12,Paths!$E$113&lt;=C1183*12)),VLOOKUP(A1183,'Fleet register'!$A$7:$S$106,16,FALSE),0),"n.a."))</f>
        <v>0</v>
      </c>
      <c r="O1183" s="16">
        <f>IF(NOT(Paths!$C$113=1),0,IF(Paths!$P$113="Complete",N1183-IF(C1183=0,Paths!$F$113,0),"n.a."))</f>
        <v>0</v>
      </c>
      <c r="P1183" s="16">
        <f>IF(NOT(Paths!$C$113=1),0,IF(Paths!$P$113="Complete",O1183+L1183,"n.a."))</f>
        <v>0</v>
      </c>
      <c r="Q1183" s="16">
        <f>IF(NOT(Paths!$C$113=1),0,IF(Paths!$P$113="Complete",N1183*(1+'Operating costs'!$B$54)^-C1183,"n.a."))</f>
        <v>0</v>
      </c>
      <c r="R1183" s="16">
        <f>IF(NOT(Paths!$C$113=1),0,IF(Paths!$P$113="Complete",IF(AND(C1183=0,Paths!$E$113=0),I1183-J1183-K1183+VLOOKUP(A1183,'Fleet register'!$A$7:$S$106,15,FALSE)+VLOOKUP(A1183,'Fleet register'!$A$7:$S$106,16,FALSE),0),"n.a."))</f>
        <v>0</v>
      </c>
      <c r="S1183" s="1">
        <f>IF(NOT(Paths!$C$113=1),0,IF(Paths!$P$113="Complete",IF(C1183=0,0,Paths!$S$113*Paths!$R$113),"n.a."))</f>
        <v>0</v>
      </c>
      <c r="T1183" s="1">
        <f>IF(NOT(Paths!$C$113=1),0,IF(Paths!$P$113="Complete",IF(C1183=0,0,VLOOKUP(A1183,'Fleet register'!$A$7:$S$106,9,FALSE)*Paths!$R$113),"n.a."))</f>
        <v>0</v>
      </c>
    </row>
    <row r="1184" spans="1:20" ht="24" customHeight="1">
      <c r="A1184" s="1" t="str">
        <f>Paths!$A$114</f>
        <v>T027</v>
      </c>
      <c r="B1184" s="1">
        <f>Paths!$B$114</f>
        <v>3</v>
      </c>
      <c r="C1184" s="1">
        <v>0</v>
      </c>
      <c r="D1184" s="1">
        <v>114</v>
      </c>
      <c r="E1184" s="1">
        <f>IF(OR(Paths!$C$114=0,C1184=0),0,MAX(0,MIN(C1184*12,Paths!$E$114)-(C1184-1)*12))</f>
        <v>0</v>
      </c>
      <c r="F1184" s="1">
        <f>IF(OR(Paths!$C$114=0,C1184=0),0,12-E1184)</f>
        <v>0</v>
      </c>
      <c r="G1184" s="16">
        <f>IF(NOT(Paths!$C$114=1),0,IF(Paths!$P$114="Complete",E1184/12*(Paths!$J$114*(1+'Operating costs'!$B$51)^MAX(0,C1184-1)+Paths!$K$114*(1+'Operating costs'!$B$53)^MAX(0,C1184-1)),"n.a."))</f>
        <v>0</v>
      </c>
      <c r="H1184" s="16">
        <f>IF(NOT(Paths!$C$114=1),0,IF(Paths!$P$114="Complete",F1184/12*(Paths!$L$114*(1+IF(Paths!$D$114="EV",'Operating costs'!$B$52,'Operating costs'!$B$51))^MAX(0,C1184-1)+Paths!$M$114*(1+'Operating costs'!$B$53)^MAX(0,C1184-1)),"n.a."))</f>
        <v>0</v>
      </c>
      <c r="I1184" s="16">
        <f>IF(NOT(Paths!$C$114=1),0,IF(Paths!$P$114="Complete",IF(IF(Paths!$E$114=0,C1184=0,AND(C1184&gt;0,Paths!$E$114&gt;(C1184-1)*12,Paths!$E$114&lt;=C1184*12)),Paths!$G$114,0),"n.a."))</f>
        <v>0</v>
      </c>
      <c r="J1184" s="16">
        <f>IF(NOT(Paths!$C$114=1),0,IF(Paths!$P$114="Complete",IF(IF(Paths!$E$114=0,C1184=0,AND(C1184&gt;0,Paths!$E$114&gt;(C1184-1)*12,Paths!$E$114&lt;=C1184*12)),Paths!$H$114,0),"n.a."))</f>
        <v>0</v>
      </c>
      <c r="K1184" s="16">
        <f>IF(NOT(Paths!$C$114=1),0,IF(Paths!$P$114="Complete",IF(IF(Paths!$O$114=0,C1184=0,AND(C1184&gt;0,Paths!$O$114&gt;(C1184-1)*12,Paths!$O$114&lt;=C1184*12)),Paths!$N$114,0),"n.a."))</f>
        <v>0</v>
      </c>
      <c r="L1184" s="16">
        <f>IF(NOT(Paths!$C$114=1),0,IF(Paths!$P$114="Complete",IF(C1184=10,Paths!$I$114,0),"n.a."))</f>
        <v>0</v>
      </c>
      <c r="M1184" s="16">
        <f>IF(NOT(Paths!$C$114=1),0,IF(Paths!$P$114="Complete",IF(AND(Paths!$D$114="EV",Paths!$E$114&lt;120,Paths!$E$114+'Operating costs'!$B$65&gt;Paths!$E$114,Paths!$E$114+'Operating costs'!$B$65&lt;=120,IF(Paths!$E$114+'Operating costs'!$B$65=0,C1184=0,AND(C1184&gt;0,Paths!$E$114+'Operating costs'!$B$65&gt;(C1184-1)*12,Paths!$E$114+'Operating costs'!$B$65&lt;=C1184*12))),'Operating costs'!$B$64,0)+IF(AND('Operating costs'!$B$67&gt;0,'Operating costs'!$B$67&lt;=120,OR(Paths!$D$114="ICE",'Operating costs'!$B$67&lt;=Paths!$E$114),IF('Operating costs'!$B$67=0,C1184=0,AND(C1184&gt;0,'Operating costs'!$B$67&gt;(C1184-1)*12,'Operating costs'!$B$67&lt;=C1184*12))),'Operating costs'!$B$66,0),"n.a."))</f>
        <v>0</v>
      </c>
      <c r="N1184" s="16">
        <f>IF(NOT(Paths!$C$114=1),0,IF(Paths!$P$114="Complete",SUM(G1184:I1184)-J1184-K1184-L1184+M1184+IF(C1184=0,Paths!$F$114,0)+IF(IF(Paths!$E$114=0,C1184=0,AND(C1184&gt;0,Paths!$E$114&gt;(C1184-1)*12,Paths!$E$114&lt;=C1184*12)),VLOOKUP(A1184,'Fleet register'!$A$7:$S$106,16,FALSE),0),"n.a."))</f>
        <v>0</v>
      </c>
      <c r="O1184" s="16">
        <f>IF(NOT(Paths!$C$114=1),0,IF(Paths!$P$114="Complete",N1184-IF(C1184=0,Paths!$F$114,0),"n.a."))</f>
        <v>0</v>
      </c>
      <c r="P1184" s="16">
        <f>IF(NOT(Paths!$C$114=1),0,IF(Paths!$P$114="Complete",O1184+L1184,"n.a."))</f>
        <v>0</v>
      </c>
      <c r="Q1184" s="16">
        <f>IF(NOT(Paths!$C$114=1),0,IF(Paths!$P$114="Complete",N1184*(1+'Operating costs'!$B$54)^-C1184,"n.a."))</f>
        <v>0</v>
      </c>
      <c r="R1184" s="16">
        <f>IF(NOT(Paths!$C$114=1),0,IF(Paths!$P$114="Complete",IF(AND(C1184=0,Paths!$E$114=0),I1184-J1184-K1184+VLOOKUP(A1184,'Fleet register'!$A$7:$S$106,15,FALSE)+VLOOKUP(A1184,'Fleet register'!$A$7:$S$106,16,FALSE),0),"n.a."))</f>
        <v>0</v>
      </c>
      <c r="S1184" s="1">
        <f>IF(NOT(Paths!$C$114=1),0,IF(Paths!$P$114="Complete",IF(C1184=0,0,Paths!$S$114*Paths!$R$114),"n.a."))</f>
        <v>0</v>
      </c>
      <c r="T1184" s="1">
        <f>IF(NOT(Paths!$C$114=1),0,IF(Paths!$P$114="Complete",IF(C1184=0,0,VLOOKUP(A1184,'Fleet register'!$A$7:$S$106,9,FALSE)*Paths!$R$114),"n.a."))</f>
        <v>0</v>
      </c>
    </row>
    <row r="1185" spans="1:20" ht="24" customHeight="1">
      <c r="A1185" s="1" t="str">
        <f>Paths!$A$114</f>
        <v>T027</v>
      </c>
      <c r="B1185" s="1">
        <f>Paths!$B$114</f>
        <v>3</v>
      </c>
      <c r="C1185" s="1">
        <v>1</v>
      </c>
      <c r="D1185" s="1">
        <v>114</v>
      </c>
      <c r="E1185" s="1">
        <f>IF(OR(Paths!$C$114=0,C1185=0),0,MAX(0,MIN(C1185*12,Paths!$E$114)-(C1185-1)*12))</f>
        <v>0</v>
      </c>
      <c r="F1185" s="1">
        <f>IF(OR(Paths!$C$114=0,C1185=0),0,12-E1185)</f>
        <v>0</v>
      </c>
      <c r="G1185" s="16">
        <f>IF(NOT(Paths!$C$114=1),0,IF(Paths!$P$114="Complete",E1185/12*(Paths!$J$114*(1+'Operating costs'!$B$51)^MAX(0,C1185-1)+Paths!$K$114*(1+'Operating costs'!$B$53)^MAX(0,C1185-1)),"n.a."))</f>
        <v>0</v>
      </c>
      <c r="H1185" s="16">
        <f>IF(NOT(Paths!$C$114=1),0,IF(Paths!$P$114="Complete",F1185/12*(Paths!$L$114*(1+IF(Paths!$D$114="EV",'Operating costs'!$B$52,'Operating costs'!$B$51))^MAX(0,C1185-1)+Paths!$M$114*(1+'Operating costs'!$B$53)^MAX(0,C1185-1)),"n.a."))</f>
        <v>0</v>
      </c>
      <c r="I1185" s="16">
        <f>IF(NOT(Paths!$C$114=1),0,IF(Paths!$P$114="Complete",IF(IF(Paths!$E$114=0,C1185=0,AND(C1185&gt;0,Paths!$E$114&gt;(C1185-1)*12,Paths!$E$114&lt;=C1185*12)),Paths!$G$114,0),"n.a."))</f>
        <v>0</v>
      </c>
      <c r="J1185" s="16">
        <f>IF(NOT(Paths!$C$114=1),0,IF(Paths!$P$114="Complete",IF(IF(Paths!$E$114=0,C1185=0,AND(C1185&gt;0,Paths!$E$114&gt;(C1185-1)*12,Paths!$E$114&lt;=C1185*12)),Paths!$H$114,0),"n.a."))</f>
        <v>0</v>
      </c>
      <c r="K1185" s="16">
        <f>IF(NOT(Paths!$C$114=1),0,IF(Paths!$P$114="Complete",IF(IF(Paths!$O$114=0,C1185=0,AND(C1185&gt;0,Paths!$O$114&gt;(C1185-1)*12,Paths!$O$114&lt;=C1185*12)),Paths!$N$114,0),"n.a."))</f>
        <v>0</v>
      </c>
      <c r="L1185" s="16">
        <f>IF(NOT(Paths!$C$114=1),0,IF(Paths!$P$114="Complete",IF(C1185=10,Paths!$I$114,0),"n.a."))</f>
        <v>0</v>
      </c>
      <c r="M1185" s="16">
        <f>IF(NOT(Paths!$C$114=1),0,IF(Paths!$P$114="Complete",IF(AND(Paths!$D$114="EV",Paths!$E$114&lt;120,Paths!$E$114+'Operating costs'!$B$65&gt;Paths!$E$114,Paths!$E$114+'Operating costs'!$B$65&lt;=120,IF(Paths!$E$114+'Operating costs'!$B$65=0,C1185=0,AND(C1185&gt;0,Paths!$E$114+'Operating costs'!$B$65&gt;(C1185-1)*12,Paths!$E$114+'Operating costs'!$B$65&lt;=C1185*12))),'Operating costs'!$B$64,0)+IF(AND('Operating costs'!$B$67&gt;0,'Operating costs'!$B$67&lt;=120,OR(Paths!$D$114="ICE",'Operating costs'!$B$67&lt;=Paths!$E$114),IF('Operating costs'!$B$67=0,C1185=0,AND(C1185&gt;0,'Operating costs'!$B$67&gt;(C1185-1)*12,'Operating costs'!$B$67&lt;=C1185*12))),'Operating costs'!$B$66,0),"n.a."))</f>
        <v>0</v>
      </c>
      <c r="N1185" s="16">
        <f>IF(NOT(Paths!$C$114=1),0,IF(Paths!$P$114="Complete",SUM(G1185:I1185)-J1185-K1185-L1185+M1185+IF(C1185=0,Paths!$F$114,0)+IF(IF(Paths!$E$114=0,C1185=0,AND(C1185&gt;0,Paths!$E$114&gt;(C1185-1)*12,Paths!$E$114&lt;=C1185*12)),VLOOKUP(A1185,'Fleet register'!$A$7:$S$106,16,FALSE),0),"n.a."))</f>
        <v>0</v>
      </c>
      <c r="O1185" s="16">
        <f>IF(NOT(Paths!$C$114=1),0,IF(Paths!$P$114="Complete",N1185-IF(C1185=0,Paths!$F$114,0),"n.a."))</f>
        <v>0</v>
      </c>
      <c r="P1185" s="16">
        <f>IF(NOT(Paths!$C$114=1),0,IF(Paths!$P$114="Complete",O1185+L1185,"n.a."))</f>
        <v>0</v>
      </c>
      <c r="Q1185" s="16">
        <f>IF(NOT(Paths!$C$114=1),0,IF(Paths!$P$114="Complete",N1185*(1+'Operating costs'!$B$54)^-C1185,"n.a."))</f>
        <v>0</v>
      </c>
      <c r="R1185" s="16">
        <f>IF(NOT(Paths!$C$114=1),0,IF(Paths!$P$114="Complete",IF(AND(C1185=0,Paths!$E$114=0),I1185-J1185-K1185+VLOOKUP(A1185,'Fleet register'!$A$7:$S$106,15,FALSE)+VLOOKUP(A1185,'Fleet register'!$A$7:$S$106,16,FALSE),0),"n.a."))</f>
        <v>0</v>
      </c>
      <c r="S1185" s="1">
        <f>IF(NOT(Paths!$C$114=1),0,IF(Paths!$P$114="Complete",IF(C1185=0,0,Paths!$S$114*Paths!$R$114),"n.a."))</f>
        <v>0</v>
      </c>
      <c r="T1185" s="1">
        <f>IF(NOT(Paths!$C$114=1),0,IF(Paths!$P$114="Complete",IF(C1185=0,0,VLOOKUP(A1185,'Fleet register'!$A$7:$S$106,9,FALSE)*Paths!$R$114),"n.a."))</f>
        <v>0</v>
      </c>
    </row>
    <row r="1186" spans="1:20" ht="24" customHeight="1">
      <c r="A1186" s="1" t="str">
        <f>Paths!$A$114</f>
        <v>T027</v>
      </c>
      <c r="B1186" s="1">
        <f>Paths!$B$114</f>
        <v>3</v>
      </c>
      <c r="C1186" s="1">
        <v>2</v>
      </c>
      <c r="D1186" s="1">
        <v>114</v>
      </c>
      <c r="E1186" s="1">
        <f>IF(OR(Paths!$C$114=0,C1186=0),0,MAX(0,MIN(C1186*12,Paths!$E$114)-(C1186-1)*12))</f>
        <v>0</v>
      </c>
      <c r="F1186" s="1">
        <f>IF(OR(Paths!$C$114=0,C1186=0),0,12-E1186)</f>
        <v>0</v>
      </c>
      <c r="G1186" s="16">
        <f>IF(NOT(Paths!$C$114=1),0,IF(Paths!$P$114="Complete",E1186/12*(Paths!$J$114*(1+'Operating costs'!$B$51)^MAX(0,C1186-1)+Paths!$K$114*(1+'Operating costs'!$B$53)^MAX(0,C1186-1)),"n.a."))</f>
        <v>0</v>
      </c>
      <c r="H1186" s="16">
        <f>IF(NOT(Paths!$C$114=1),0,IF(Paths!$P$114="Complete",F1186/12*(Paths!$L$114*(1+IF(Paths!$D$114="EV",'Operating costs'!$B$52,'Operating costs'!$B$51))^MAX(0,C1186-1)+Paths!$M$114*(1+'Operating costs'!$B$53)^MAX(0,C1186-1)),"n.a."))</f>
        <v>0</v>
      </c>
      <c r="I1186" s="16">
        <f>IF(NOT(Paths!$C$114=1),0,IF(Paths!$P$114="Complete",IF(IF(Paths!$E$114=0,C1186=0,AND(C1186&gt;0,Paths!$E$114&gt;(C1186-1)*12,Paths!$E$114&lt;=C1186*12)),Paths!$G$114,0),"n.a."))</f>
        <v>0</v>
      </c>
      <c r="J1186" s="16">
        <f>IF(NOT(Paths!$C$114=1),0,IF(Paths!$P$114="Complete",IF(IF(Paths!$E$114=0,C1186=0,AND(C1186&gt;0,Paths!$E$114&gt;(C1186-1)*12,Paths!$E$114&lt;=C1186*12)),Paths!$H$114,0),"n.a."))</f>
        <v>0</v>
      </c>
      <c r="K1186" s="16">
        <f>IF(NOT(Paths!$C$114=1),0,IF(Paths!$P$114="Complete",IF(IF(Paths!$O$114=0,C1186=0,AND(C1186&gt;0,Paths!$O$114&gt;(C1186-1)*12,Paths!$O$114&lt;=C1186*12)),Paths!$N$114,0),"n.a."))</f>
        <v>0</v>
      </c>
      <c r="L1186" s="16">
        <f>IF(NOT(Paths!$C$114=1),0,IF(Paths!$P$114="Complete",IF(C1186=10,Paths!$I$114,0),"n.a."))</f>
        <v>0</v>
      </c>
      <c r="M1186" s="16">
        <f>IF(NOT(Paths!$C$114=1),0,IF(Paths!$P$114="Complete",IF(AND(Paths!$D$114="EV",Paths!$E$114&lt;120,Paths!$E$114+'Operating costs'!$B$65&gt;Paths!$E$114,Paths!$E$114+'Operating costs'!$B$65&lt;=120,IF(Paths!$E$114+'Operating costs'!$B$65=0,C1186=0,AND(C1186&gt;0,Paths!$E$114+'Operating costs'!$B$65&gt;(C1186-1)*12,Paths!$E$114+'Operating costs'!$B$65&lt;=C1186*12))),'Operating costs'!$B$64,0)+IF(AND('Operating costs'!$B$67&gt;0,'Operating costs'!$B$67&lt;=120,OR(Paths!$D$114="ICE",'Operating costs'!$B$67&lt;=Paths!$E$114),IF('Operating costs'!$B$67=0,C1186=0,AND(C1186&gt;0,'Operating costs'!$B$67&gt;(C1186-1)*12,'Operating costs'!$B$67&lt;=C1186*12))),'Operating costs'!$B$66,0),"n.a."))</f>
        <v>0</v>
      </c>
      <c r="N1186" s="16">
        <f>IF(NOT(Paths!$C$114=1),0,IF(Paths!$P$114="Complete",SUM(G1186:I1186)-J1186-K1186-L1186+M1186+IF(C1186=0,Paths!$F$114,0)+IF(IF(Paths!$E$114=0,C1186=0,AND(C1186&gt;0,Paths!$E$114&gt;(C1186-1)*12,Paths!$E$114&lt;=C1186*12)),VLOOKUP(A1186,'Fleet register'!$A$7:$S$106,16,FALSE),0),"n.a."))</f>
        <v>0</v>
      </c>
      <c r="O1186" s="16">
        <f>IF(NOT(Paths!$C$114=1),0,IF(Paths!$P$114="Complete",N1186-IF(C1186=0,Paths!$F$114,0),"n.a."))</f>
        <v>0</v>
      </c>
      <c r="P1186" s="16">
        <f>IF(NOT(Paths!$C$114=1),0,IF(Paths!$P$114="Complete",O1186+L1186,"n.a."))</f>
        <v>0</v>
      </c>
      <c r="Q1186" s="16">
        <f>IF(NOT(Paths!$C$114=1),0,IF(Paths!$P$114="Complete",N1186*(1+'Operating costs'!$B$54)^-C1186,"n.a."))</f>
        <v>0</v>
      </c>
      <c r="R1186" s="16">
        <f>IF(NOT(Paths!$C$114=1),0,IF(Paths!$P$114="Complete",IF(AND(C1186=0,Paths!$E$114=0),I1186-J1186-K1186+VLOOKUP(A1186,'Fleet register'!$A$7:$S$106,15,FALSE)+VLOOKUP(A1186,'Fleet register'!$A$7:$S$106,16,FALSE),0),"n.a."))</f>
        <v>0</v>
      </c>
      <c r="S1186" s="1">
        <f>IF(NOT(Paths!$C$114=1),0,IF(Paths!$P$114="Complete",IF(C1186=0,0,Paths!$S$114*Paths!$R$114),"n.a."))</f>
        <v>0</v>
      </c>
      <c r="T1186" s="1">
        <f>IF(NOT(Paths!$C$114=1),0,IF(Paths!$P$114="Complete",IF(C1186=0,0,VLOOKUP(A1186,'Fleet register'!$A$7:$S$106,9,FALSE)*Paths!$R$114),"n.a."))</f>
        <v>0</v>
      </c>
    </row>
    <row r="1187" spans="1:20" ht="24" customHeight="1">
      <c r="A1187" s="1" t="str">
        <f>Paths!$A$114</f>
        <v>T027</v>
      </c>
      <c r="B1187" s="1">
        <f>Paths!$B$114</f>
        <v>3</v>
      </c>
      <c r="C1187" s="1">
        <v>3</v>
      </c>
      <c r="D1187" s="1">
        <v>114</v>
      </c>
      <c r="E1187" s="1">
        <f>IF(OR(Paths!$C$114=0,C1187=0),0,MAX(0,MIN(C1187*12,Paths!$E$114)-(C1187-1)*12))</f>
        <v>0</v>
      </c>
      <c r="F1187" s="1">
        <f>IF(OR(Paths!$C$114=0,C1187=0),0,12-E1187)</f>
        <v>0</v>
      </c>
      <c r="G1187" s="16">
        <f>IF(NOT(Paths!$C$114=1),0,IF(Paths!$P$114="Complete",E1187/12*(Paths!$J$114*(1+'Operating costs'!$B$51)^MAX(0,C1187-1)+Paths!$K$114*(1+'Operating costs'!$B$53)^MAX(0,C1187-1)),"n.a."))</f>
        <v>0</v>
      </c>
      <c r="H1187" s="16">
        <f>IF(NOT(Paths!$C$114=1),0,IF(Paths!$P$114="Complete",F1187/12*(Paths!$L$114*(1+IF(Paths!$D$114="EV",'Operating costs'!$B$52,'Operating costs'!$B$51))^MAX(0,C1187-1)+Paths!$M$114*(1+'Operating costs'!$B$53)^MAX(0,C1187-1)),"n.a."))</f>
        <v>0</v>
      </c>
      <c r="I1187" s="16">
        <f>IF(NOT(Paths!$C$114=1),0,IF(Paths!$P$114="Complete",IF(IF(Paths!$E$114=0,C1187=0,AND(C1187&gt;0,Paths!$E$114&gt;(C1187-1)*12,Paths!$E$114&lt;=C1187*12)),Paths!$G$114,0),"n.a."))</f>
        <v>0</v>
      </c>
      <c r="J1187" s="16">
        <f>IF(NOT(Paths!$C$114=1),0,IF(Paths!$P$114="Complete",IF(IF(Paths!$E$114=0,C1187=0,AND(C1187&gt;0,Paths!$E$114&gt;(C1187-1)*12,Paths!$E$114&lt;=C1187*12)),Paths!$H$114,0),"n.a."))</f>
        <v>0</v>
      </c>
      <c r="K1187" s="16">
        <f>IF(NOT(Paths!$C$114=1),0,IF(Paths!$P$114="Complete",IF(IF(Paths!$O$114=0,C1187=0,AND(C1187&gt;0,Paths!$O$114&gt;(C1187-1)*12,Paths!$O$114&lt;=C1187*12)),Paths!$N$114,0),"n.a."))</f>
        <v>0</v>
      </c>
      <c r="L1187" s="16">
        <f>IF(NOT(Paths!$C$114=1),0,IF(Paths!$P$114="Complete",IF(C1187=10,Paths!$I$114,0),"n.a."))</f>
        <v>0</v>
      </c>
      <c r="M1187" s="16">
        <f>IF(NOT(Paths!$C$114=1),0,IF(Paths!$P$114="Complete",IF(AND(Paths!$D$114="EV",Paths!$E$114&lt;120,Paths!$E$114+'Operating costs'!$B$65&gt;Paths!$E$114,Paths!$E$114+'Operating costs'!$B$65&lt;=120,IF(Paths!$E$114+'Operating costs'!$B$65=0,C1187=0,AND(C1187&gt;0,Paths!$E$114+'Operating costs'!$B$65&gt;(C1187-1)*12,Paths!$E$114+'Operating costs'!$B$65&lt;=C1187*12))),'Operating costs'!$B$64,0)+IF(AND('Operating costs'!$B$67&gt;0,'Operating costs'!$B$67&lt;=120,OR(Paths!$D$114="ICE",'Operating costs'!$B$67&lt;=Paths!$E$114),IF('Operating costs'!$B$67=0,C1187=0,AND(C1187&gt;0,'Operating costs'!$B$67&gt;(C1187-1)*12,'Operating costs'!$B$67&lt;=C1187*12))),'Operating costs'!$B$66,0),"n.a."))</f>
        <v>0</v>
      </c>
      <c r="N1187" s="16">
        <f>IF(NOT(Paths!$C$114=1),0,IF(Paths!$P$114="Complete",SUM(G1187:I1187)-J1187-K1187-L1187+M1187+IF(C1187=0,Paths!$F$114,0)+IF(IF(Paths!$E$114=0,C1187=0,AND(C1187&gt;0,Paths!$E$114&gt;(C1187-1)*12,Paths!$E$114&lt;=C1187*12)),VLOOKUP(A1187,'Fleet register'!$A$7:$S$106,16,FALSE),0),"n.a."))</f>
        <v>0</v>
      </c>
      <c r="O1187" s="16">
        <f>IF(NOT(Paths!$C$114=1),0,IF(Paths!$P$114="Complete",N1187-IF(C1187=0,Paths!$F$114,0),"n.a."))</f>
        <v>0</v>
      </c>
      <c r="P1187" s="16">
        <f>IF(NOT(Paths!$C$114=1),0,IF(Paths!$P$114="Complete",O1187+L1187,"n.a."))</f>
        <v>0</v>
      </c>
      <c r="Q1187" s="16">
        <f>IF(NOT(Paths!$C$114=1),0,IF(Paths!$P$114="Complete",N1187*(1+'Operating costs'!$B$54)^-C1187,"n.a."))</f>
        <v>0</v>
      </c>
      <c r="R1187" s="16">
        <f>IF(NOT(Paths!$C$114=1),0,IF(Paths!$P$114="Complete",IF(AND(C1187=0,Paths!$E$114=0),I1187-J1187-K1187+VLOOKUP(A1187,'Fleet register'!$A$7:$S$106,15,FALSE)+VLOOKUP(A1187,'Fleet register'!$A$7:$S$106,16,FALSE),0),"n.a."))</f>
        <v>0</v>
      </c>
      <c r="S1187" s="1">
        <f>IF(NOT(Paths!$C$114=1),0,IF(Paths!$P$114="Complete",IF(C1187=0,0,Paths!$S$114*Paths!$R$114),"n.a."))</f>
        <v>0</v>
      </c>
      <c r="T1187" s="1">
        <f>IF(NOT(Paths!$C$114=1),0,IF(Paths!$P$114="Complete",IF(C1187=0,0,VLOOKUP(A1187,'Fleet register'!$A$7:$S$106,9,FALSE)*Paths!$R$114),"n.a."))</f>
        <v>0</v>
      </c>
    </row>
    <row r="1188" spans="1:20" ht="24" customHeight="1">
      <c r="A1188" s="1" t="str">
        <f>Paths!$A$114</f>
        <v>T027</v>
      </c>
      <c r="B1188" s="1">
        <f>Paths!$B$114</f>
        <v>3</v>
      </c>
      <c r="C1188" s="1">
        <v>4</v>
      </c>
      <c r="D1188" s="1">
        <v>114</v>
      </c>
      <c r="E1188" s="1">
        <f>IF(OR(Paths!$C$114=0,C1188=0),0,MAX(0,MIN(C1188*12,Paths!$E$114)-(C1188-1)*12))</f>
        <v>0</v>
      </c>
      <c r="F1188" s="1">
        <f>IF(OR(Paths!$C$114=0,C1188=0),0,12-E1188)</f>
        <v>0</v>
      </c>
      <c r="G1188" s="16">
        <f>IF(NOT(Paths!$C$114=1),0,IF(Paths!$P$114="Complete",E1188/12*(Paths!$J$114*(1+'Operating costs'!$B$51)^MAX(0,C1188-1)+Paths!$K$114*(1+'Operating costs'!$B$53)^MAX(0,C1188-1)),"n.a."))</f>
        <v>0</v>
      </c>
      <c r="H1188" s="16">
        <f>IF(NOT(Paths!$C$114=1),0,IF(Paths!$P$114="Complete",F1188/12*(Paths!$L$114*(1+IF(Paths!$D$114="EV",'Operating costs'!$B$52,'Operating costs'!$B$51))^MAX(0,C1188-1)+Paths!$M$114*(1+'Operating costs'!$B$53)^MAX(0,C1188-1)),"n.a."))</f>
        <v>0</v>
      </c>
      <c r="I1188" s="16">
        <f>IF(NOT(Paths!$C$114=1),0,IF(Paths!$P$114="Complete",IF(IF(Paths!$E$114=0,C1188=0,AND(C1188&gt;0,Paths!$E$114&gt;(C1188-1)*12,Paths!$E$114&lt;=C1188*12)),Paths!$G$114,0),"n.a."))</f>
        <v>0</v>
      </c>
      <c r="J1188" s="16">
        <f>IF(NOT(Paths!$C$114=1),0,IF(Paths!$P$114="Complete",IF(IF(Paths!$E$114=0,C1188=0,AND(C1188&gt;0,Paths!$E$114&gt;(C1188-1)*12,Paths!$E$114&lt;=C1188*12)),Paths!$H$114,0),"n.a."))</f>
        <v>0</v>
      </c>
      <c r="K1188" s="16">
        <f>IF(NOT(Paths!$C$114=1),0,IF(Paths!$P$114="Complete",IF(IF(Paths!$O$114=0,C1188=0,AND(C1188&gt;0,Paths!$O$114&gt;(C1188-1)*12,Paths!$O$114&lt;=C1188*12)),Paths!$N$114,0),"n.a."))</f>
        <v>0</v>
      </c>
      <c r="L1188" s="16">
        <f>IF(NOT(Paths!$C$114=1),0,IF(Paths!$P$114="Complete",IF(C1188=10,Paths!$I$114,0),"n.a."))</f>
        <v>0</v>
      </c>
      <c r="M1188" s="16">
        <f>IF(NOT(Paths!$C$114=1),0,IF(Paths!$P$114="Complete",IF(AND(Paths!$D$114="EV",Paths!$E$114&lt;120,Paths!$E$114+'Operating costs'!$B$65&gt;Paths!$E$114,Paths!$E$114+'Operating costs'!$B$65&lt;=120,IF(Paths!$E$114+'Operating costs'!$B$65=0,C1188=0,AND(C1188&gt;0,Paths!$E$114+'Operating costs'!$B$65&gt;(C1188-1)*12,Paths!$E$114+'Operating costs'!$B$65&lt;=C1188*12))),'Operating costs'!$B$64,0)+IF(AND('Operating costs'!$B$67&gt;0,'Operating costs'!$B$67&lt;=120,OR(Paths!$D$114="ICE",'Operating costs'!$B$67&lt;=Paths!$E$114),IF('Operating costs'!$B$67=0,C1188=0,AND(C1188&gt;0,'Operating costs'!$B$67&gt;(C1188-1)*12,'Operating costs'!$B$67&lt;=C1188*12))),'Operating costs'!$B$66,0),"n.a."))</f>
        <v>0</v>
      </c>
      <c r="N1188" s="16">
        <f>IF(NOT(Paths!$C$114=1),0,IF(Paths!$P$114="Complete",SUM(G1188:I1188)-J1188-K1188-L1188+M1188+IF(C1188=0,Paths!$F$114,0)+IF(IF(Paths!$E$114=0,C1188=0,AND(C1188&gt;0,Paths!$E$114&gt;(C1188-1)*12,Paths!$E$114&lt;=C1188*12)),VLOOKUP(A1188,'Fleet register'!$A$7:$S$106,16,FALSE),0),"n.a."))</f>
        <v>0</v>
      </c>
      <c r="O1188" s="16">
        <f>IF(NOT(Paths!$C$114=1),0,IF(Paths!$P$114="Complete",N1188-IF(C1188=0,Paths!$F$114,0),"n.a."))</f>
        <v>0</v>
      </c>
      <c r="P1188" s="16">
        <f>IF(NOT(Paths!$C$114=1),0,IF(Paths!$P$114="Complete",O1188+L1188,"n.a."))</f>
        <v>0</v>
      </c>
      <c r="Q1188" s="16">
        <f>IF(NOT(Paths!$C$114=1),0,IF(Paths!$P$114="Complete",N1188*(1+'Operating costs'!$B$54)^-C1188,"n.a."))</f>
        <v>0</v>
      </c>
      <c r="R1188" s="16">
        <f>IF(NOT(Paths!$C$114=1),0,IF(Paths!$P$114="Complete",IF(AND(C1188=0,Paths!$E$114=0),I1188-J1188-K1188+VLOOKUP(A1188,'Fleet register'!$A$7:$S$106,15,FALSE)+VLOOKUP(A1188,'Fleet register'!$A$7:$S$106,16,FALSE),0),"n.a."))</f>
        <v>0</v>
      </c>
      <c r="S1188" s="1">
        <f>IF(NOT(Paths!$C$114=1),0,IF(Paths!$P$114="Complete",IF(C1188=0,0,Paths!$S$114*Paths!$R$114),"n.a."))</f>
        <v>0</v>
      </c>
      <c r="T1188" s="1">
        <f>IF(NOT(Paths!$C$114=1),0,IF(Paths!$P$114="Complete",IF(C1188=0,0,VLOOKUP(A1188,'Fleet register'!$A$7:$S$106,9,FALSE)*Paths!$R$114),"n.a."))</f>
        <v>0</v>
      </c>
    </row>
    <row r="1189" spans="1:20" ht="24" customHeight="1">
      <c r="A1189" s="1" t="str">
        <f>Paths!$A$114</f>
        <v>T027</v>
      </c>
      <c r="B1189" s="1">
        <f>Paths!$B$114</f>
        <v>3</v>
      </c>
      <c r="C1189" s="1">
        <v>5</v>
      </c>
      <c r="D1189" s="1">
        <v>114</v>
      </c>
      <c r="E1189" s="1">
        <f>IF(OR(Paths!$C$114=0,C1189=0),0,MAX(0,MIN(C1189*12,Paths!$E$114)-(C1189-1)*12))</f>
        <v>0</v>
      </c>
      <c r="F1189" s="1">
        <f>IF(OR(Paths!$C$114=0,C1189=0),0,12-E1189)</f>
        <v>0</v>
      </c>
      <c r="G1189" s="16">
        <f>IF(NOT(Paths!$C$114=1),0,IF(Paths!$P$114="Complete",E1189/12*(Paths!$J$114*(1+'Operating costs'!$B$51)^MAX(0,C1189-1)+Paths!$K$114*(1+'Operating costs'!$B$53)^MAX(0,C1189-1)),"n.a."))</f>
        <v>0</v>
      </c>
      <c r="H1189" s="16">
        <f>IF(NOT(Paths!$C$114=1),0,IF(Paths!$P$114="Complete",F1189/12*(Paths!$L$114*(1+IF(Paths!$D$114="EV",'Operating costs'!$B$52,'Operating costs'!$B$51))^MAX(0,C1189-1)+Paths!$M$114*(1+'Operating costs'!$B$53)^MAX(0,C1189-1)),"n.a."))</f>
        <v>0</v>
      </c>
      <c r="I1189" s="16">
        <f>IF(NOT(Paths!$C$114=1),0,IF(Paths!$P$114="Complete",IF(IF(Paths!$E$114=0,C1189=0,AND(C1189&gt;0,Paths!$E$114&gt;(C1189-1)*12,Paths!$E$114&lt;=C1189*12)),Paths!$G$114,0),"n.a."))</f>
        <v>0</v>
      </c>
      <c r="J1189" s="16">
        <f>IF(NOT(Paths!$C$114=1),0,IF(Paths!$P$114="Complete",IF(IF(Paths!$E$114=0,C1189=0,AND(C1189&gt;0,Paths!$E$114&gt;(C1189-1)*12,Paths!$E$114&lt;=C1189*12)),Paths!$H$114,0),"n.a."))</f>
        <v>0</v>
      </c>
      <c r="K1189" s="16">
        <f>IF(NOT(Paths!$C$114=1),0,IF(Paths!$P$114="Complete",IF(IF(Paths!$O$114=0,C1189=0,AND(C1189&gt;0,Paths!$O$114&gt;(C1189-1)*12,Paths!$O$114&lt;=C1189*12)),Paths!$N$114,0),"n.a."))</f>
        <v>0</v>
      </c>
      <c r="L1189" s="16">
        <f>IF(NOT(Paths!$C$114=1),0,IF(Paths!$P$114="Complete",IF(C1189=10,Paths!$I$114,0),"n.a."))</f>
        <v>0</v>
      </c>
      <c r="M1189" s="16">
        <f>IF(NOT(Paths!$C$114=1),0,IF(Paths!$P$114="Complete",IF(AND(Paths!$D$114="EV",Paths!$E$114&lt;120,Paths!$E$114+'Operating costs'!$B$65&gt;Paths!$E$114,Paths!$E$114+'Operating costs'!$B$65&lt;=120,IF(Paths!$E$114+'Operating costs'!$B$65=0,C1189=0,AND(C1189&gt;0,Paths!$E$114+'Operating costs'!$B$65&gt;(C1189-1)*12,Paths!$E$114+'Operating costs'!$B$65&lt;=C1189*12))),'Operating costs'!$B$64,0)+IF(AND('Operating costs'!$B$67&gt;0,'Operating costs'!$B$67&lt;=120,OR(Paths!$D$114="ICE",'Operating costs'!$B$67&lt;=Paths!$E$114),IF('Operating costs'!$B$67=0,C1189=0,AND(C1189&gt;0,'Operating costs'!$B$67&gt;(C1189-1)*12,'Operating costs'!$B$67&lt;=C1189*12))),'Operating costs'!$B$66,0),"n.a."))</f>
        <v>0</v>
      </c>
      <c r="N1189" s="16">
        <f>IF(NOT(Paths!$C$114=1),0,IF(Paths!$P$114="Complete",SUM(G1189:I1189)-J1189-K1189-L1189+M1189+IF(C1189=0,Paths!$F$114,0)+IF(IF(Paths!$E$114=0,C1189=0,AND(C1189&gt;0,Paths!$E$114&gt;(C1189-1)*12,Paths!$E$114&lt;=C1189*12)),VLOOKUP(A1189,'Fleet register'!$A$7:$S$106,16,FALSE),0),"n.a."))</f>
        <v>0</v>
      </c>
      <c r="O1189" s="16">
        <f>IF(NOT(Paths!$C$114=1),0,IF(Paths!$P$114="Complete",N1189-IF(C1189=0,Paths!$F$114,0),"n.a."))</f>
        <v>0</v>
      </c>
      <c r="P1189" s="16">
        <f>IF(NOT(Paths!$C$114=1),0,IF(Paths!$P$114="Complete",O1189+L1189,"n.a."))</f>
        <v>0</v>
      </c>
      <c r="Q1189" s="16">
        <f>IF(NOT(Paths!$C$114=1),0,IF(Paths!$P$114="Complete",N1189*(1+'Operating costs'!$B$54)^-C1189,"n.a."))</f>
        <v>0</v>
      </c>
      <c r="R1189" s="16">
        <f>IF(NOT(Paths!$C$114=1),0,IF(Paths!$P$114="Complete",IF(AND(C1189=0,Paths!$E$114=0),I1189-J1189-K1189+VLOOKUP(A1189,'Fleet register'!$A$7:$S$106,15,FALSE)+VLOOKUP(A1189,'Fleet register'!$A$7:$S$106,16,FALSE),0),"n.a."))</f>
        <v>0</v>
      </c>
      <c r="S1189" s="1">
        <f>IF(NOT(Paths!$C$114=1),0,IF(Paths!$P$114="Complete",IF(C1189=0,0,Paths!$S$114*Paths!$R$114),"n.a."))</f>
        <v>0</v>
      </c>
      <c r="T1189" s="1">
        <f>IF(NOT(Paths!$C$114=1),0,IF(Paths!$P$114="Complete",IF(C1189=0,0,VLOOKUP(A1189,'Fleet register'!$A$7:$S$106,9,FALSE)*Paths!$R$114),"n.a."))</f>
        <v>0</v>
      </c>
    </row>
    <row r="1190" spans="1:20" ht="24" customHeight="1">
      <c r="A1190" s="1" t="str">
        <f>Paths!$A$114</f>
        <v>T027</v>
      </c>
      <c r="B1190" s="1">
        <f>Paths!$B$114</f>
        <v>3</v>
      </c>
      <c r="C1190" s="1">
        <v>6</v>
      </c>
      <c r="D1190" s="1">
        <v>114</v>
      </c>
      <c r="E1190" s="1">
        <f>IF(OR(Paths!$C$114=0,C1190=0),0,MAX(0,MIN(C1190*12,Paths!$E$114)-(C1190-1)*12))</f>
        <v>0</v>
      </c>
      <c r="F1190" s="1">
        <f>IF(OR(Paths!$C$114=0,C1190=0),0,12-E1190)</f>
        <v>0</v>
      </c>
      <c r="G1190" s="16">
        <f>IF(NOT(Paths!$C$114=1),0,IF(Paths!$P$114="Complete",E1190/12*(Paths!$J$114*(1+'Operating costs'!$B$51)^MAX(0,C1190-1)+Paths!$K$114*(1+'Operating costs'!$B$53)^MAX(0,C1190-1)),"n.a."))</f>
        <v>0</v>
      </c>
      <c r="H1190" s="16">
        <f>IF(NOT(Paths!$C$114=1),0,IF(Paths!$P$114="Complete",F1190/12*(Paths!$L$114*(1+IF(Paths!$D$114="EV",'Operating costs'!$B$52,'Operating costs'!$B$51))^MAX(0,C1190-1)+Paths!$M$114*(1+'Operating costs'!$B$53)^MAX(0,C1190-1)),"n.a."))</f>
        <v>0</v>
      </c>
      <c r="I1190" s="16">
        <f>IF(NOT(Paths!$C$114=1),0,IF(Paths!$P$114="Complete",IF(IF(Paths!$E$114=0,C1190=0,AND(C1190&gt;0,Paths!$E$114&gt;(C1190-1)*12,Paths!$E$114&lt;=C1190*12)),Paths!$G$114,0),"n.a."))</f>
        <v>0</v>
      </c>
      <c r="J1190" s="16">
        <f>IF(NOT(Paths!$C$114=1),0,IF(Paths!$P$114="Complete",IF(IF(Paths!$E$114=0,C1190=0,AND(C1190&gt;0,Paths!$E$114&gt;(C1190-1)*12,Paths!$E$114&lt;=C1190*12)),Paths!$H$114,0),"n.a."))</f>
        <v>0</v>
      </c>
      <c r="K1190" s="16">
        <f>IF(NOT(Paths!$C$114=1),0,IF(Paths!$P$114="Complete",IF(IF(Paths!$O$114=0,C1190=0,AND(C1190&gt;0,Paths!$O$114&gt;(C1190-1)*12,Paths!$O$114&lt;=C1190*12)),Paths!$N$114,0),"n.a."))</f>
        <v>0</v>
      </c>
      <c r="L1190" s="16">
        <f>IF(NOT(Paths!$C$114=1),0,IF(Paths!$P$114="Complete",IF(C1190=10,Paths!$I$114,0),"n.a."))</f>
        <v>0</v>
      </c>
      <c r="M1190" s="16">
        <f>IF(NOT(Paths!$C$114=1),0,IF(Paths!$P$114="Complete",IF(AND(Paths!$D$114="EV",Paths!$E$114&lt;120,Paths!$E$114+'Operating costs'!$B$65&gt;Paths!$E$114,Paths!$E$114+'Operating costs'!$B$65&lt;=120,IF(Paths!$E$114+'Operating costs'!$B$65=0,C1190=0,AND(C1190&gt;0,Paths!$E$114+'Operating costs'!$B$65&gt;(C1190-1)*12,Paths!$E$114+'Operating costs'!$B$65&lt;=C1190*12))),'Operating costs'!$B$64,0)+IF(AND('Operating costs'!$B$67&gt;0,'Operating costs'!$B$67&lt;=120,OR(Paths!$D$114="ICE",'Operating costs'!$B$67&lt;=Paths!$E$114),IF('Operating costs'!$B$67=0,C1190=0,AND(C1190&gt;0,'Operating costs'!$B$67&gt;(C1190-1)*12,'Operating costs'!$B$67&lt;=C1190*12))),'Operating costs'!$B$66,0),"n.a."))</f>
        <v>0</v>
      </c>
      <c r="N1190" s="16">
        <f>IF(NOT(Paths!$C$114=1),0,IF(Paths!$P$114="Complete",SUM(G1190:I1190)-J1190-K1190-L1190+M1190+IF(C1190=0,Paths!$F$114,0)+IF(IF(Paths!$E$114=0,C1190=0,AND(C1190&gt;0,Paths!$E$114&gt;(C1190-1)*12,Paths!$E$114&lt;=C1190*12)),VLOOKUP(A1190,'Fleet register'!$A$7:$S$106,16,FALSE),0),"n.a."))</f>
        <v>0</v>
      </c>
      <c r="O1190" s="16">
        <f>IF(NOT(Paths!$C$114=1),0,IF(Paths!$P$114="Complete",N1190-IF(C1190=0,Paths!$F$114,0),"n.a."))</f>
        <v>0</v>
      </c>
      <c r="P1190" s="16">
        <f>IF(NOT(Paths!$C$114=1),0,IF(Paths!$P$114="Complete",O1190+L1190,"n.a."))</f>
        <v>0</v>
      </c>
      <c r="Q1190" s="16">
        <f>IF(NOT(Paths!$C$114=1),0,IF(Paths!$P$114="Complete",N1190*(1+'Operating costs'!$B$54)^-C1190,"n.a."))</f>
        <v>0</v>
      </c>
      <c r="R1190" s="16">
        <f>IF(NOT(Paths!$C$114=1),0,IF(Paths!$P$114="Complete",IF(AND(C1190=0,Paths!$E$114=0),I1190-J1190-K1190+VLOOKUP(A1190,'Fleet register'!$A$7:$S$106,15,FALSE)+VLOOKUP(A1190,'Fleet register'!$A$7:$S$106,16,FALSE),0),"n.a."))</f>
        <v>0</v>
      </c>
      <c r="S1190" s="1">
        <f>IF(NOT(Paths!$C$114=1),0,IF(Paths!$P$114="Complete",IF(C1190=0,0,Paths!$S$114*Paths!$R$114),"n.a."))</f>
        <v>0</v>
      </c>
      <c r="T1190" s="1">
        <f>IF(NOT(Paths!$C$114=1),0,IF(Paths!$P$114="Complete",IF(C1190=0,0,VLOOKUP(A1190,'Fleet register'!$A$7:$S$106,9,FALSE)*Paths!$R$114),"n.a."))</f>
        <v>0</v>
      </c>
    </row>
    <row r="1191" spans="1:20" ht="24" customHeight="1">
      <c r="A1191" s="1" t="str">
        <f>Paths!$A$114</f>
        <v>T027</v>
      </c>
      <c r="B1191" s="1">
        <f>Paths!$B$114</f>
        <v>3</v>
      </c>
      <c r="C1191" s="1">
        <v>7</v>
      </c>
      <c r="D1191" s="1">
        <v>114</v>
      </c>
      <c r="E1191" s="1">
        <f>IF(OR(Paths!$C$114=0,C1191=0),0,MAX(0,MIN(C1191*12,Paths!$E$114)-(C1191-1)*12))</f>
        <v>0</v>
      </c>
      <c r="F1191" s="1">
        <f>IF(OR(Paths!$C$114=0,C1191=0),0,12-E1191)</f>
        <v>0</v>
      </c>
      <c r="G1191" s="16">
        <f>IF(NOT(Paths!$C$114=1),0,IF(Paths!$P$114="Complete",E1191/12*(Paths!$J$114*(1+'Operating costs'!$B$51)^MAX(0,C1191-1)+Paths!$K$114*(1+'Operating costs'!$B$53)^MAX(0,C1191-1)),"n.a."))</f>
        <v>0</v>
      </c>
      <c r="H1191" s="16">
        <f>IF(NOT(Paths!$C$114=1),0,IF(Paths!$P$114="Complete",F1191/12*(Paths!$L$114*(1+IF(Paths!$D$114="EV",'Operating costs'!$B$52,'Operating costs'!$B$51))^MAX(0,C1191-1)+Paths!$M$114*(1+'Operating costs'!$B$53)^MAX(0,C1191-1)),"n.a."))</f>
        <v>0</v>
      </c>
      <c r="I1191" s="16">
        <f>IF(NOT(Paths!$C$114=1),0,IF(Paths!$P$114="Complete",IF(IF(Paths!$E$114=0,C1191=0,AND(C1191&gt;0,Paths!$E$114&gt;(C1191-1)*12,Paths!$E$114&lt;=C1191*12)),Paths!$G$114,0),"n.a."))</f>
        <v>0</v>
      </c>
      <c r="J1191" s="16">
        <f>IF(NOT(Paths!$C$114=1),0,IF(Paths!$P$114="Complete",IF(IF(Paths!$E$114=0,C1191=0,AND(C1191&gt;0,Paths!$E$114&gt;(C1191-1)*12,Paths!$E$114&lt;=C1191*12)),Paths!$H$114,0),"n.a."))</f>
        <v>0</v>
      </c>
      <c r="K1191" s="16">
        <f>IF(NOT(Paths!$C$114=1),0,IF(Paths!$P$114="Complete",IF(IF(Paths!$O$114=0,C1191=0,AND(C1191&gt;0,Paths!$O$114&gt;(C1191-1)*12,Paths!$O$114&lt;=C1191*12)),Paths!$N$114,0),"n.a."))</f>
        <v>0</v>
      </c>
      <c r="L1191" s="16">
        <f>IF(NOT(Paths!$C$114=1),0,IF(Paths!$P$114="Complete",IF(C1191=10,Paths!$I$114,0),"n.a."))</f>
        <v>0</v>
      </c>
      <c r="M1191" s="16">
        <f>IF(NOT(Paths!$C$114=1),0,IF(Paths!$P$114="Complete",IF(AND(Paths!$D$114="EV",Paths!$E$114&lt;120,Paths!$E$114+'Operating costs'!$B$65&gt;Paths!$E$114,Paths!$E$114+'Operating costs'!$B$65&lt;=120,IF(Paths!$E$114+'Operating costs'!$B$65=0,C1191=0,AND(C1191&gt;0,Paths!$E$114+'Operating costs'!$B$65&gt;(C1191-1)*12,Paths!$E$114+'Operating costs'!$B$65&lt;=C1191*12))),'Operating costs'!$B$64,0)+IF(AND('Operating costs'!$B$67&gt;0,'Operating costs'!$B$67&lt;=120,OR(Paths!$D$114="ICE",'Operating costs'!$B$67&lt;=Paths!$E$114),IF('Operating costs'!$B$67=0,C1191=0,AND(C1191&gt;0,'Operating costs'!$B$67&gt;(C1191-1)*12,'Operating costs'!$B$67&lt;=C1191*12))),'Operating costs'!$B$66,0),"n.a."))</f>
        <v>0</v>
      </c>
      <c r="N1191" s="16">
        <f>IF(NOT(Paths!$C$114=1),0,IF(Paths!$P$114="Complete",SUM(G1191:I1191)-J1191-K1191-L1191+M1191+IF(C1191=0,Paths!$F$114,0)+IF(IF(Paths!$E$114=0,C1191=0,AND(C1191&gt;0,Paths!$E$114&gt;(C1191-1)*12,Paths!$E$114&lt;=C1191*12)),VLOOKUP(A1191,'Fleet register'!$A$7:$S$106,16,FALSE),0),"n.a."))</f>
        <v>0</v>
      </c>
      <c r="O1191" s="16">
        <f>IF(NOT(Paths!$C$114=1),0,IF(Paths!$P$114="Complete",N1191-IF(C1191=0,Paths!$F$114,0),"n.a."))</f>
        <v>0</v>
      </c>
      <c r="P1191" s="16">
        <f>IF(NOT(Paths!$C$114=1),0,IF(Paths!$P$114="Complete",O1191+L1191,"n.a."))</f>
        <v>0</v>
      </c>
      <c r="Q1191" s="16">
        <f>IF(NOT(Paths!$C$114=1),0,IF(Paths!$P$114="Complete",N1191*(1+'Operating costs'!$B$54)^-C1191,"n.a."))</f>
        <v>0</v>
      </c>
      <c r="R1191" s="16">
        <f>IF(NOT(Paths!$C$114=1),0,IF(Paths!$P$114="Complete",IF(AND(C1191=0,Paths!$E$114=0),I1191-J1191-K1191+VLOOKUP(A1191,'Fleet register'!$A$7:$S$106,15,FALSE)+VLOOKUP(A1191,'Fleet register'!$A$7:$S$106,16,FALSE),0),"n.a."))</f>
        <v>0</v>
      </c>
      <c r="S1191" s="1">
        <f>IF(NOT(Paths!$C$114=1),0,IF(Paths!$P$114="Complete",IF(C1191=0,0,Paths!$S$114*Paths!$R$114),"n.a."))</f>
        <v>0</v>
      </c>
      <c r="T1191" s="1">
        <f>IF(NOT(Paths!$C$114=1),0,IF(Paths!$P$114="Complete",IF(C1191=0,0,VLOOKUP(A1191,'Fleet register'!$A$7:$S$106,9,FALSE)*Paths!$R$114),"n.a."))</f>
        <v>0</v>
      </c>
    </row>
    <row r="1192" spans="1:20" ht="24" customHeight="1">
      <c r="A1192" s="1" t="str">
        <f>Paths!$A$114</f>
        <v>T027</v>
      </c>
      <c r="B1192" s="1">
        <f>Paths!$B$114</f>
        <v>3</v>
      </c>
      <c r="C1192" s="1">
        <v>8</v>
      </c>
      <c r="D1192" s="1">
        <v>114</v>
      </c>
      <c r="E1192" s="1">
        <f>IF(OR(Paths!$C$114=0,C1192=0),0,MAX(0,MIN(C1192*12,Paths!$E$114)-(C1192-1)*12))</f>
        <v>0</v>
      </c>
      <c r="F1192" s="1">
        <f>IF(OR(Paths!$C$114=0,C1192=0),0,12-E1192)</f>
        <v>0</v>
      </c>
      <c r="G1192" s="16">
        <f>IF(NOT(Paths!$C$114=1),0,IF(Paths!$P$114="Complete",E1192/12*(Paths!$J$114*(1+'Operating costs'!$B$51)^MAX(0,C1192-1)+Paths!$K$114*(1+'Operating costs'!$B$53)^MAX(0,C1192-1)),"n.a."))</f>
        <v>0</v>
      </c>
      <c r="H1192" s="16">
        <f>IF(NOT(Paths!$C$114=1),0,IF(Paths!$P$114="Complete",F1192/12*(Paths!$L$114*(1+IF(Paths!$D$114="EV",'Operating costs'!$B$52,'Operating costs'!$B$51))^MAX(0,C1192-1)+Paths!$M$114*(1+'Operating costs'!$B$53)^MAX(0,C1192-1)),"n.a."))</f>
        <v>0</v>
      </c>
      <c r="I1192" s="16">
        <f>IF(NOT(Paths!$C$114=1),0,IF(Paths!$P$114="Complete",IF(IF(Paths!$E$114=0,C1192=0,AND(C1192&gt;0,Paths!$E$114&gt;(C1192-1)*12,Paths!$E$114&lt;=C1192*12)),Paths!$G$114,0),"n.a."))</f>
        <v>0</v>
      </c>
      <c r="J1192" s="16">
        <f>IF(NOT(Paths!$C$114=1),0,IF(Paths!$P$114="Complete",IF(IF(Paths!$E$114=0,C1192=0,AND(C1192&gt;0,Paths!$E$114&gt;(C1192-1)*12,Paths!$E$114&lt;=C1192*12)),Paths!$H$114,0),"n.a."))</f>
        <v>0</v>
      </c>
      <c r="K1192" s="16">
        <f>IF(NOT(Paths!$C$114=1),0,IF(Paths!$P$114="Complete",IF(IF(Paths!$O$114=0,C1192=0,AND(C1192&gt;0,Paths!$O$114&gt;(C1192-1)*12,Paths!$O$114&lt;=C1192*12)),Paths!$N$114,0),"n.a."))</f>
        <v>0</v>
      </c>
      <c r="L1192" s="16">
        <f>IF(NOT(Paths!$C$114=1),0,IF(Paths!$P$114="Complete",IF(C1192=10,Paths!$I$114,0),"n.a."))</f>
        <v>0</v>
      </c>
      <c r="M1192" s="16">
        <f>IF(NOT(Paths!$C$114=1),0,IF(Paths!$P$114="Complete",IF(AND(Paths!$D$114="EV",Paths!$E$114&lt;120,Paths!$E$114+'Operating costs'!$B$65&gt;Paths!$E$114,Paths!$E$114+'Operating costs'!$B$65&lt;=120,IF(Paths!$E$114+'Operating costs'!$B$65=0,C1192=0,AND(C1192&gt;0,Paths!$E$114+'Operating costs'!$B$65&gt;(C1192-1)*12,Paths!$E$114+'Operating costs'!$B$65&lt;=C1192*12))),'Operating costs'!$B$64,0)+IF(AND('Operating costs'!$B$67&gt;0,'Operating costs'!$B$67&lt;=120,OR(Paths!$D$114="ICE",'Operating costs'!$B$67&lt;=Paths!$E$114),IF('Operating costs'!$B$67=0,C1192=0,AND(C1192&gt;0,'Operating costs'!$B$67&gt;(C1192-1)*12,'Operating costs'!$B$67&lt;=C1192*12))),'Operating costs'!$B$66,0),"n.a."))</f>
        <v>0</v>
      </c>
      <c r="N1192" s="16">
        <f>IF(NOT(Paths!$C$114=1),0,IF(Paths!$P$114="Complete",SUM(G1192:I1192)-J1192-K1192-L1192+M1192+IF(C1192=0,Paths!$F$114,0)+IF(IF(Paths!$E$114=0,C1192=0,AND(C1192&gt;0,Paths!$E$114&gt;(C1192-1)*12,Paths!$E$114&lt;=C1192*12)),VLOOKUP(A1192,'Fleet register'!$A$7:$S$106,16,FALSE),0),"n.a."))</f>
        <v>0</v>
      </c>
      <c r="O1192" s="16">
        <f>IF(NOT(Paths!$C$114=1),0,IF(Paths!$P$114="Complete",N1192-IF(C1192=0,Paths!$F$114,0),"n.a."))</f>
        <v>0</v>
      </c>
      <c r="P1192" s="16">
        <f>IF(NOT(Paths!$C$114=1),0,IF(Paths!$P$114="Complete",O1192+L1192,"n.a."))</f>
        <v>0</v>
      </c>
      <c r="Q1192" s="16">
        <f>IF(NOT(Paths!$C$114=1),0,IF(Paths!$P$114="Complete",N1192*(1+'Operating costs'!$B$54)^-C1192,"n.a."))</f>
        <v>0</v>
      </c>
      <c r="R1192" s="16">
        <f>IF(NOT(Paths!$C$114=1),0,IF(Paths!$P$114="Complete",IF(AND(C1192=0,Paths!$E$114=0),I1192-J1192-K1192+VLOOKUP(A1192,'Fleet register'!$A$7:$S$106,15,FALSE)+VLOOKUP(A1192,'Fleet register'!$A$7:$S$106,16,FALSE),0),"n.a."))</f>
        <v>0</v>
      </c>
      <c r="S1192" s="1">
        <f>IF(NOT(Paths!$C$114=1),0,IF(Paths!$P$114="Complete",IF(C1192=0,0,Paths!$S$114*Paths!$R$114),"n.a."))</f>
        <v>0</v>
      </c>
      <c r="T1192" s="1">
        <f>IF(NOT(Paths!$C$114=1),0,IF(Paths!$P$114="Complete",IF(C1192=0,0,VLOOKUP(A1192,'Fleet register'!$A$7:$S$106,9,FALSE)*Paths!$R$114),"n.a."))</f>
        <v>0</v>
      </c>
    </row>
    <row r="1193" spans="1:20" ht="24" customHeight="1">
      <c r="A1193" s="1" t="str">
        <f>Paths!$A$114</f>
        <v>T027</v>
      </c>
      <c r="B1193" s="1">
        <f>Paths!$B$114</f>
        <v>3</v>
      </c>
      <c r="C1193" s="1">
        <v>9</v>
      </c>
      <c r="D1193" s="1">
        <v>114</v>
      </c>
      <c r="E1193" s="1">
        <f>IF(OR(Paths!$C$114=0,C1193=0),0,MAX(0,MIN(C1193*12,Paths!$E$114)-(C1193-1)*12))</f>
        <v>0</v>
      </c>
      <c r="F1193" s="1">
        <f>IF(OR(Paths!$C$114=0,C1193=0),0,12-E1193)</f>
        <v>0</v>
      </c>
      <c r="G1193" s="16">
        <f>IF(NOT(Paths!$C$114=1),0,IF(Paths!$P$114="Complete",E1193/12*(Paths!$J$114*(1+'Operating costs'!$B$51)^MAX(0,C1193-1)+Paths!$K$114*(1+'Operating costs'!$B$53)^MAX(0,C1193-1)),"n.a."))</f>
        <v>0</v>
      </c>
      <c r="H1193" s="16">
        <f>IF(NOT(Paths!$C$114=1),0,IF(Paths!$P$114="Complete",F1193/12*(Paths!$L$114*(1+IF(Paths!$D$114="EV",'Operating costs'!$B$52,'Operating costs'!$B$51))^MAX(0,C1193-1)+Paths!$M$114*(1+'Operating costs'!$B$53)^MAX(0,C1193-1)),"n.a."))</f>
        <v>0</v>
      </c>
      <c r="I1193" s="16">
        <f>IF(NOT(Paths!$C$114=1),0,IF(Paths!$P$114="Complete",IF(IF(Paths!$E$114=0,C1193=0,AND(C1193&gt;0,Paths!$E$114&gt;(C1193-1)*12,Paths!$E$114&lt;=C1193*12)),Paths!$G$114,0),"n.a."))</f>
        <v>0</v>
      </c>
      <c r="J1193" s="16">
        <f>IF(NOT(Paths!$C$114=1),0,IF(Paths!$P$114="Complete",IF(IF(Paths!$E$114=0,C1193=0,AND(C1193&gt;0,Paths!$E$114&gt;(C1193-1)*12,Paths!$E$114&lt;=C1193*12)),Paths!$H$114,0),"n.a."))</f>
        <v>0</v>
      </c>
      <c r="K1193" s="16">
        <f>IF(NOT(Paths!$C$114=1),0,IF(Paths!$P$114="Complete",IF(IF(Paths!$O$114=0,C1193=0,AND(C1193&gt;0,Paths!$O$114&gt;(C1193-1)*12,Paths!$O$114&lt;=C1193*12)),Paths!$N$114,0),"n.a."))</f>
        <v>0</v>
      </c>
      <c r="L1193" s="16">
        <f>IF(NOT(Paths!$C$114=1),0,IF(Paths!$P$114="Complete",IF(C1193=10,Paths!$I$114,0),"n.a."))</f>
        <v>0</v>
      </c>
      <c r="M1193" s="16">
        <f>IF(NOT(Paths!$C$114=1),0,IF(Paths!$P$114="Complete",IF(AND(Paths!$D$114="EV",Paths!$E$114&lt;120,Paths!$E$114+'Operating costs'!$B$65&gt;Paths!$E$114,Paths!$E$114+'Operating costs'!$B$65&lt;=120,IF(Paths!$E$114+'Operating costs'!$B$65=0,C1193=0,AND(C1193&gt;0,Paths!$E$114+'Operating costs'!$B$65&gt;(C1193-1)*12,Paths!$E$114+'Operating costs'!$B$65&lt;=C1193*12))),'Operating costs'!$B$64,0)+IF(AND('Operating costs'!$B$67&gt;0,'Operating costs'!$B$67&lt;=120,OR(Paths!$D$114="ICE",'Operating costs'!$B$67&lt;=Paths!$E$114),IF('Operating costs'!$B$67=0,C1193=0,AND(C1193&gt;0,'Operating costs'!$B$67&gt;(C1193-1)*12,'Operating costs'!$B$67&lt;=C1193*12))),'Operating costs'!$B$66,0),"n.a."))</f>
        <v>0</v>
      </c>
      <c r="N1193" s="16">
        <f>IF(NOT(Paths!$C$114=1),0,IF(Paths!$P$114="Complete",SUM(G1193:I1193)-J1193-K1193-L1193+M1193+IF(C1193=0,Paths!$F$114,0)+IF(IF(Paths!$E$114=0,C1193=0,AND(C1193&gt;0,Paths!$E$114&gt;(C1193-1)*12,Paths!$E$114&lt;=C1193*12)),VLOOKUP(A1193,'Fleet register'!$A$7:$S$106,16,FALSE),0),"n.a."))</f>
        <v>0</v>
      </c>
      <c r="O1193" s="16">
        <f>IF(NOT(Paths!$C$114=1),0,IF(Paths!$P$114="Complete",N1193-IF(C1193=0,Paths!$F$114,0),"n.a."))</f>
        <v>0</v>
      </c>
      <c r="P1193" s="16">
        <f>IF(NOT(Paths!$C$114=1),0,IF(Paths!$P$114="Complete",O1193+L1193,"n.a."))</f>
        <v>0</v>
      </c>
      <c r="Q1193" s="16">
        <f>IF(NOT(Paths!$C$114=1),0,IF(Paths!$P$114="Complete",N1193*(1+'Operating costs'!$B$54)^-C1193,"n.a."))</f>
        <v>0</v>
      </c>
      <c r="R1193" s="16">
        <f>IF(NOT(Paths!$C$114=1),0,IF(Paths!$P$114="Complete",IF(AND(C1193=0,Paths!$E$114=0),I1193-J1193-K1193+VLOOKUP(A1193,'Fleet register'!$A$7:$S$106,15,FALSE)+VLOOKUP(A1193,'Fleet register'!$A$7:$S$106,16,FALSE),0),"n.a."))</f>
        <v>0</v>
      </c>
      <c r="S1193" s="1">
        <f>IF(NOT(Paths!$C$114=1),0,IF(Paths!$P$114="Complete",IF(C1193=0,0,Paths!$S$114*Paths!$R$114),"n.a."))</f>
        <v>0</v>
      </c>
      <c r="T1193" s="1">
        <f>IF(NOT(Paths!$C$114=1),0,IF(Paths!$P$114="Complete",IF(C1193=0,0,VLOOKUP(A1193,'Fleet register'!$A$7:$S$106,9,FALSE)*Paths!$R$114),"n.a."))</f>
        <v>0</v>
      </c>
    </row>
    <row r="1194" spans="1:20" ht="24" customHeight="1">
      <c r="A1194" s="1" t="str">
        <f>Paths!$A$114</f>
        <v>T027</v>
      </c>
      <c r="B1194" s="1">
        <f>Paths!$B$114</f>
        <v>3</v>
      </c>
      <c r="C1194" s="1">
        <v>10</v>
      </c>
      <c r="D1194" s="1">
        <v>114</v>
      </c>
      <c r="E1194" s="1">
        <f>IF(OR(Paths!$C$114=0,C1194=0),0,MAX(0,MIN(C1194*12,Paths!$E$114)-(C1194-1)*12))</f>
        <v>0</v>
      </c>
      <c r="F1194" s="1">
        <f>IF(OR(Paths!$C$114=0,C1194=0),0,12-E1194)</f>
        <v>0</v>
      </c>
      <c r="G1194" s="16">
        <f>IF(NOT(Paths!$C$114=1),0,IF(Paths!$P$114="Complete",E1194/12*(Paths!$J$114*(1+'Operating costs'!$B$51)^MAX(0,C1194-1)+Paths!$K$114*(1+'Operating costs'!$B$53)^MAX(0,C1194-1)),"n.a."))</f>
        <v>0</v>
      </c>
      <c r="H1194" s="16">
        <f>IF(NOT(Paths!$C$114=1),0,IF(Paths!$P$114="Complete",F1194/12*(Paths!$L$114*(1+IF(Paths!$D$114="EV",'Operating costs'!$B$52,'Operating costs'!$B$51))^MAX(0,C1194-1)+Paths!$M$114*(1+'Operating costs'!$B$53)^MAX(0,C1194-1)),"n.a."))</f>
        <v>0</v>
      </c>
      <c r="I1194" s="16">
        <f>IF(NOT(Paths!$C$114=1),0,IF(Paths!$P$114="Complete",IF(IF(Paths!$E$114=0,C1194=0,AND(C1194&gt;0,Paths!$E$114&gt;(C1194-1)*12,Paths!$E$114&lt;=C1194*12)),Paths!$G$114,0),"n.a."))</f>
        <v>0</v>
      </c>
      <c r="J1194" s="16">
        <f>IF(NOT(Paths!$C$114=1),0,IF(Paths!$P$114="Complete",IF(IF(Paths!$E$114=0,C1194=0,AND(C1194&gt;0,Paths!$E$114&gt;(C1194-1)*12,Paths!$E$114&lt;=C1194*12)),Paths!$H$114,0),"n.a."))</f>
        <v>0</v>
      </c>
      <c r="K1194" s="16">
        <f>IF(NOT(Paths!$C$114=1),0,IF(Paths!$P$114="Complete",IF(IF(Paths!$O$114=0,C1194=0,AND(C1194&gt;0,Paths!$O$114&gt;(C1194-1)*12,Paths!$O$114&lt;=C1194*12)),Paths!$N$114,0),"n.a."))</f>
        <v>0</v>
      </c>
      <c r="L1194" s="16">
        <f>IF(NOT(Paths!$C$114=1),0,IF(Paths!$P$114="Complete",IF(C1194=10,Paths!$I$114,0),"n.a."))</f>
        <v>0</v>
      </c>
      <c r="M1194" s="16">
        <f>IF(NOT(Paths!$C$114=1),0,IF(Paths!$P$114="Complete",IF(AND(Paths!$D$114="EV",Paths!$E$114&lt;120,Paths!$E$114+'Operating costs'!$B$65&gt;Paths!$E$114,Paths!$E$114+'Operating costs'!$B$65&lt;=120,IF(Paths!$E$114+'Operating costs'!$B$65=0,C1194=0,AND(C1194&gt;0,Paths!$E$114+'Operating costs'!$B$65&gt;(C1194-1)*12,Paths!$E$114+'Operating costs'!$B$65&lt;=C1194*12))),'Operating costs'!$B$64,0)+IF(AND('Operating costs'!$B$67&gt;0,'Operating costs'!$B$67&lt;=120,OR(Paths!$D$114="ICE",'Operating costs'!$B$67&lt;=Paths!$E$114),IF('Operating costs'!$B$67=0,C1194=0,AND(C1194&gt;0,'Operating costs'!$B$67&gt;(C1194-1)*12,'Operating costs'!$B$67&lt;=C1194*12))),'Operating costs'!$B$66,0),"n.a."))</f>
        <v>0</v>
      </c>
      <c r="N1194" s="16">
        <f>IF(NOT(Paths!$C$114=1),0,IF(Paths!$P$114="Complete",SUM(G1194:I1194)-J1194-K1194-L1194+M1194+IF(C1194=0,Paths!$F$114,0)+IF(IF(Paths!$E$114=0,C1194=0,AND(C1194&gt;0,Paths!$E$114&gt;(C1194-1)*12,Paths!$E$114&lt;=C1194*12)),VLOOKUP(A1194,'Fleet register'!$A$7:$S$106,16,FALSE),0),"n.a."))</f>
        <v>0</v>
      </c>
      <c r="O1194" s="16">
        <f>IF(NOT(Paths!$C$114=1),0,IF(Paths!$P$114="Complete",N1194-IF(C1194=0,Paths!$F$114,0),"n.a."))</f>
        <v>0</v>
      </c>
      <c r="P1194" s="16">
        <f>IF(NOT(Paths!$C$114=1),0,IF(Paths!$P$114="Complete",O1194+L1194,"n.a."))</f>
        <v>0</v>
      </c>
      <c r="Q1194" s="16">
        <f>IF(NOT(Paths!$C$114=1),0,IF(Paths!$P$114="Complete",N1194*(1+'Operating costs'!$B$54)^-C1194,"n.a."))</f>
        <v>0</v>
      </c>
      <c r="R1194" s="16">
        <f>IF(NOT(Paths!$C$114=1),0,IF(Paths!$P$114="Complete",IF(AND(C1194=0,Paths!$E$114=0),I1194-J1194-K1194+VLOOKUP(A1194,'Fleet register'!$A$7:$S$106,15,FALSE)+VLOOKUP(A1194,'Fleet register'!$A$7:$S$106,16,FALSE),0),"n.a."))</f>
        <v>0</v>
      </c>
      <c r="S1194" s="1">
        <f>IF(NOT(Paths!$C$114=1),0,IF(Paths!$P$114="Complete",IF(C1194=0,0,Paths!$S$114*Paths!$R$114),"n.a."))</f>
        <v>0</v>
      </c>
      <c r="T1194" s="1">
        <f>IF(NOT(Paths!$C$114=1),0,IF(Paths!$P$114="Complete",IF(C1194=0,0,VLOOKUP(A1194,'Fleet register'!$A$7:$S$106,9,FALSE)*Paths!$R$114),"n.a."))</f>
        <v>0</v>
      </c>
    </row>
    <row r="1195" spans="1:20" ht="24" customHeight="1">
      <c r="A1195" s="1" t="str">
        <f>Paths!$A$115</f>
        <v>T028</v>
      </c>
      <c r="B1195" s="1">
        <f>Paths!$B$115</f>
        <v>0</v>
      </c>
      <c r="C1195" s="1">
        <v>0</v>
      </c>
      <c r="D1195" s="1">
        <v>115</v>
      </c>
      <c r="E1195" s="1">
        <f>IF(OR(Paths!$C$115=0,C1195=0),0,MAX(0,MIN(C1195*12,Paths!$E$115)-(C1195-1)*12))</f>
        <v>0</v>
      </c>
      <c r="F1195" s="1">
        <f>IF(OR(Paths!$C$115=0,C1195=0),0,12-E1195)</f>
        <v>0</v>
      </c>
      <c r="G1195" s="16">
        <f>IF(NOT(Paths!$C$115=1),0,IF(Paths!$P$115="Complete",E1195/12*(Paths!$J$115*(1+'Operating costs'!$B$51)^MAX(0,C1195-1)+Paths!$K$115*(1+'Operating costs'!$B$53)^MAX(0,C1195-1)),"n.a."))</f>
        <v>0</v>
      </c>
      <c r="H1195" s="16">
        <f>IF(NOT(Paths!$C$115=1),0,IF(Paths!$P$115="Complete",F1195/12*(Paths!$L$115*(1+IF(Paths!$D$115="EV",'Operating costs'!$B$52,'Operating costs'!$B$51))^MAX(0,C1195-1)+Paths!$M$115*(1+'Operating costs'!$B$53)^MAX(0,C1195-1)),"n.a."))</f>
        <v>0</v>
      </c>
      <c r="I1195" s="16">
        <f>IF(NOT(Paths!$C$115=1),0,IF(Paths!$P$115="Complete",IF(IF(Paths!$E$115=0,C1195=0,AND(C1195&gt;0,Paths!$E$115&gt;(C1195-1)*12,Paths!$E$115&lt;=C1195*12)),Paths!$G$115,0),"n.a."))</f>
        <v>0</v>
      </c>
      <c r="J1195" s="16">
        <f>IF(NOT(Paths!$C$115=1),0,IF(Paths!$P$115="Complete",IF(IF(Paths!$E$115=0,C1195=0,AND(C1195&gt;0,Paths!$E$115&gt;(C1195-1)*12,Paths!$E$115&lt;=C1195*12)),Paths!$H$115,0),"n.a."))</f>
        <v>0</v>
      </c>
      <c r="K1195" s="16">
        <f>IF(NOT(Paths!$C$115=1),0,IF(Paths!$P$115="Complete",IF(IF(Paths!$O$115=0,C1195=0,AND(C1195&gt;0,Paths!$O$115&gt;(C1195-1)*12,Paths!$O$115&lt;=C1195*12)),Paths!$N$115,0),"n.a."))</f>
        <v>0</v>
      </c>
      <c r="L1195" s="16">
        <f>IF(NOT(Paths!$C$115=1),0,IF(Paths!$P$115="Complete",IF(C1195=10,Paths!$I$115,0),"n.a."))</f>
        <v>0</v>
      </c>
      <c r="M1195" s="16">
        <f>IF(NOT(Paths!$C$115=1),0,IF(Paths!$P$115="Complete",IF(AND(Paths!$D$115="EV",Paths!$E$115&lt;120,Paths!$E$115+'Operating costs'!$B$65&gt;Paths!$E$115,Paths!$E$115+'Operating costs'!$B$65&lt;=120,IF(Paths!$E$115+'Operating costs'!$B$65=0,C1195=0,AND(C1195&gt;0,Paths!$E$115+'Operating costs'!$B$65&gt;(C1195-1)*12,Paths!$E$115+'Operating costs'!$B$65&lt;=C1195*12))),'Operating costs'!$B$64,0)+IF(AND('Operating costs'!$B$67&gt;0,'Operating costs'!$B$67&lt;=120,OR(Paths!$D$115="ICE",'Operating costs'!$B$67&lt;=Paths!$E$115),IF('Operating costs'!$B$67=0,C1195=0,AND(C1195&gt;0,'Operating costs'!$B$67&gt;(C1195-1)*12,'Operating costs'!$B$67&lt;=C1195*12))),'Operating costs'!$B$66,0),"n.a."))</f>
        <v>0</v>
      </c>
      <c r="N1195" s="16">
        <f>IF(NOT(Paths!$C$115=1),0,IF(Paths!$P$115="Complete",SUM(G1195:I1195)-J1195-K1195-L1195+M1195+IF(C1195=0,Paths!$F$115,0)+IF(IF(Paths!$E$115=0,C1195=0,AND(C1195&gt;0,Paths!$E$115&gt;(C1195-1)*12,Paths!$E$115&lt;=C1195*12)),VLOOKUP(A1195,'Fleet register'!$A$7:$S$106,16,FALSE),0),"n.a."))</f>
        <v>0</v>
      </c>
      <c r="O1195" s="16">
        <f>IF(NOT(Paths!$C$115=1),0,IF(Paths!$P$115="Complete",N1195-IF(C1195=0,Paths!$F$115,0),"n.a."))</f>
        <v>0</v>
      </c>
      <c r="P1195" s="16">
        <f>IF(NOT(Paths!$C$115=1),0,IF(Paths!$P$115="Complete",O1195+L1195,"n.a."))</f>
        <v>0</v>
      </c>
      <c r="Q1195" s="16">
        <f>IF(NOT(Paths!$C$115=1),0,IF(Paths!$P$115="Complete",N1195*(1+'Operating costs'!$B$54)^-C1195,"n.a."))</f>
        <v>0</v>
      </c>
      <c r="R1195" s="16">
        <f>IF(NOT(Paths!$C$115=1),0,IF(Paths!$P$115="Complete",IF(AND(C1195=0,Paths!$E$115=0),I1195-J1195-K1195+VLOOKUP(A1195,'Fleet register'!$A$7:$S$106,15,FALSE)+VLOOKUP(A1195,'Fleet register'!$A$7:$S$106,16,FALSE),0),"n.a."))</f>
        <v>0</v>
      </c>
      <c r="S1195" s="1">
        <f>IF(NOT(Paths!$C$115=1),0,IF(Paths!$P$115="Complete",IF(C1195=0,0,Paths!$S$115*Paths!$R$115),"n.a."))</f>
        <v>0</v>
      </c>
      <c r="T1195" s="1">
        <f>IF(NOT(Paths!$C$115=1),0,IF(Paths!$P$115="Complete",IF(C1195=0,0,VLOOKUP(A1195,'Fleet register'!$A$7:$S$106,9,FALSE)*Paths!$R$115),"n.a."))</f>
        <v>0</v>
      </c>
    </row>
    <row r="1196" spans="1:20" ht="24" customHeight="1">
      <c r="A1196" s="1" t="str">
        <f>Paths!$A$115</f>
        <v>T028</v>
      </c>
      <c r="B1196" s="1">
        <f>Paths!$B$115</f>
        <v>0</v>
      </c>
      <c r="C1196" s="1">
        <v>1</v>
      </c>
      <c r="D1196" s="1">
        <v>115</v>
      </c>
      <c r="E1196" s="1">
        <f>IF(OR(Paths!$C$115=0,C1196=0),0,MAX(0,MIN(C1196*12,Paths!$E$115)-(C1196-1)*12))</f>
        <v>0</v>
      </c>
      <c r="F1196" s="1">
        <f>IF(OR(Paths!$C$115=0,C1196=0),0,12-E1196)</f>
        <v>0</v>
      </c>
      <c r="G1196" s="16">
        <f>IF(NOT(Paths!$C$115=1),0,IF(Paths!$P$115="Complete",E1196/12*(Paths!$J$115*(1+'Operating costs'!$B$51)^MAX(0,C1196-1)+Paths!$K$115*(1+'Operating costs'!$B$53)^MAX(0,C1196-1)),"n.a."))</f>
        <v>0</v>
      </c>
      <c r="H1196" s="16">
        <f>IF(NOT(Paths!$C$115=1),0,IF(Paths!$P$115="Complete",F1196/12*(Paths!$L$115*(1+IF(Paths!$D$115="EV",'Operating costs'!$B$52,'Operating costs'!$B$51))^MAX(0,C1196-1)+Paths!$M$115*(1+'Operating costs'!$B$53)^MAX(0,C1196-1)),"n.a."))</f>
        <v>0</v>
      </c>
      <c r="I1196" s="16">
        <f>IF(NOT(Paths!$C$115=1),0,IF(Paths!$P$115="Complete",IF(IF(Paths!$E$115=0,C1196=0,AND(C1196&gt;0,Paths!$E$115&gt;(C1196-1)*12,Paths!$E$115&lt;=C1196*12)),Paths!$G$115,0),"n.a."))</f>
        <v>0</v>
      </c>
      <c r="J1196" s="16">
        <f>IF(NOT(Paths!$C$115=1),0,IF(Paths!$P$115="Complete",IF(IF(Paths!$E$115=0,C1196=0,AND(C1196&gt;0,Paths!$E$115&gt;(C1196-1)*12,Paths!$E$115&lt;=C1196*12)),Paths!$H$115,0),"n.a."))</f>
        <v>0</v>
      </c>
      <c r="K1196" s="16">
        <f>IF(NOT(Paths!$C$115=1),0,IF(Paths!$P$115="Complete",IF(IF(Paths!$O$115=0,C1196=0,AND(C1196&gt;0,Paths!$O$115&gt;(C1196-1)*12,Paths!$O$115&lt;=C1196*12)),Paths!$N$115,0),"n.a."))</f>
        <v>0</v>
      </c>
      <c r="L1196" s="16">
        <f>IF(NOT(Paths!$C$115=1),0,IF(Paths!$P$115="Complete",IF(C1196=10,Paths!$I$115,0),"n.a."))</f>
        <v>0</v>
      </c>
      <c r="M1196" s="16">
        <f>IF(NOT(Paths!$C$115=1),0,IF(Paths!$P$115="Complete",IF(AND(Paths!$D$115="EV",Paths!$E$115&lt;120,Paths!$E$115+'Operating costs'!$B$65&gt;Paths!$E$115,Paths!$E$115+'Operating costs'!$B$65&lt;=120,IF(Paths!$E$115+'Operating costs'!$B$65=0,C1196=0,AND(C1196&gt;0,Paths!$E$115+'Operating costs'!$B$65&gt;(C1196-1)*12,Paths!$E$115+'Operating costs'!$B$65&lt;=C1196*12))),'Operating costs'!$B$64,0)+IF(AND('Operating costs'!$B$67&gt;0,'Operating costs'!$B$67&lt;=120,OR(Paths!$D$115="ICE",'Operating costs'!$B$67&lt;=Paths!$E$115),IF('Operating costs'!$B$67=0,C1196=0,AND(C1196&gt;0,'Operating costs'!$B$67&gt;(C1196-1)*12,'Operating costs'!$B$67&lt;=C1196*12))),'Operating costs'!$B$66,0),"n.a."))</f>
        <v>0</v>
      </c>
      <c r="N1196" s="16">
        <f>IF(NOT(Paths!$C$115=1),0,IF(Paths!$P$115="Complete",SUM(G1196:I1196)-J1196-K1196-L1196+M1196+IF(C1196=0,Paths!$F$115,0)+IF(IF(Paths!$E$115=0,C1196=0,AND(C1196&gt;0,Paths!$E$115&gt;(C1196-1)*12,Paths!$E$115&lt;=C1196*12)),VLOOKUP(A1196,'Fleet register'!$A$7:$S$106,16,FALSE),0),"n.a."))</f>
        <v>0</v>
      </c>
      <c r="O1196" s="16">
        <f>IF(NOT(Paths!$C$115=1),0,IF(Paths!$P$115="Complete",N1196-IF(C1196=0,Paths!$F$115,0),"n.a."))</f>
        <v>0</v>
      </c>
      <c r="P1196" s="16">
        <f>IF(NOT(Paths!$C$115=1),0,IF(Paths!$P$115="Complete",O1196+L1196,"n.a."))</f>
        <v>0</v>
      </c>
      <c r="Q1196" s="16">
        <f>IF(NOT(Paths!$C$115=1),0,IF(Paths!$P$115="Complete",N1196*(1+'Operating costs'!$B$54)^-C1196,"n.a."))</f>
        <v>0</v>
      </c>
      <c r="R1196" s="16">
        <f>IF(NOT(Paths!$C$115=1),0,IF(Paths!$P$115="Complete",IF(AND(C1196=0,Paths!$E$115=0),I1196-J1196-K1196+VLOOKUP(A1196,'Fleet register'!$A$7:$S$106,15,FALSE)+VLOOKUP(A1196,'Fleet register'!$A$7:$S$106,16,FALSE),0),"n.a."))</f>
        <v>0</v>
      </c>
      <c r="S1196" s="1">
        <f>IF(NOT(Paths!$C$115=1),0,IF(Paths!$P$115="Complete",IF(C1196=0,0,Paths!$S$115*Paths!$R$115),"n.a."))</f>
        <v>0</v>
      </c>
      <c r="T1196" s="1">
        <f>IF(NOT(Paths!$C$115=1),0,IF(Paths!$P$115="Complete",IF(C1196=0,0,VLOOKUP(A1196,'Fleet register'!$A$7:$S$106,9,FALSE)*Paths!$R$115),"n.a."))</f>
        <v>0</v>
      </c>
    </row>
    <row r="1197" spans="1:20" ht="24" customHeight="1">
      <c r="A1197" s="1" t="str">
        <f>Paths!$A$115</f>
        <v>T028</v>
      </c>
      <c r="B1197" s="1">
        <f>Paths!$B$115</f>
        <v>0</v>
      </c>
      <c r="C1197" s="1">
        <v>2</v>
      </c>
      <c r="D1197" s="1">
        <v>115</v>
      </c>
      <c r="E1197" s="1">
        <f>IF(OR(Paths!$C$115=0,C1197=0),0,MAX(0,MIN(C1197*12,Paths!$E$115)-(C1197-1)*12))</f>
        <v>0</v>
      </c>
      <c r="F1197" s="1">
        <f>IF(OR(Paths!$C$115=0,C1197=0),0,12-E1197)</f>
        <v>0</v>
      </c>
      <c r="G1197" s="16">
        <f>IF(NOT(Paths!$C$115=1),0,IF(Paths!$P$115="Complete",E1197/12*(Paths!$J$115*(1+'Operating costs'!$B$51)^MAX(0,C1197-1)+Paths!$K$115*(1+'Operating costs'!$B$53)^MAX(0,C1197-1)),"n.a."))</f>
        <v>0</v>
      </c>
      <c r="H1197" s="16">
        <f>IF(NOT(Paths!$C$115=1),0,IF(Paths!$P$115="Complete",F1197/12*(Paths!$L$115*(1+IF(Paths!$D$115="EV",'Operating costs'!$B$52,'Operating costs'!$B$51))^MAX(0,C1197-1)+Paths!$M$115*(1+'Operating costs'!$B$53)^MAX(0,C1197-1)),"n.a."))</f>
        <v>0</v>
      </c>
      <c r="I1197" s="16">
        <f>IF(NOT(Paths!$C$115=1),0,IF(Paths!$P$115="Complete",IF(IF(Paths!$E$115=0,C1197=0,AND(C1197&gt;0,Paths!$E$115&gt;(C1197-1)*12,Paths!$E$115&lt;=C1197*12)),Paths!$G$115,0),"n.a."))</f>
        <v>0</v>
      </c>
      <c r="J1197" s="16">
        <f>IF(NOT(Paths!$C$115=1),0,IF(Paths!$P$115="Complete",IF(IF(Paths!$E$115=0,C1197=0,AND(C1197&gt;0,Paths!$E$115&gt;(C1197-1)*12,Paths!$E$115&lt;=C1197*12)),Paths!$H$115,0),"n.a."))</f>
        <v>0</v>
      </c>
      <c r="K1197" s="16">
        <f>IF(NOT(Paths!$C$115=1),0,IF(Paths!$P$115="Complete",IF(IF(Paths!$O$115=0,C1197=0,AND(C1197&gt;0,Paths!$O$115&gt;(C1197-1)*12,Paths!$O$115&lt;=C1197*12)),Paths!$N$115,0),"n.a."))</f>
        <v>0</v>
      </c>
      <c r="L1197" s="16">
        <f>IF(NOT(Paths!$C$115=1),0,IF(Paths!$P$115="Complete",IF(C1197=10,Paths!$I$115,0),"n.a."))</f>
        <v>0</v>
      </c>
      <c r="M1197" s="16">
        <f>IF(NOT(Paths!$C$115=1),0,IF(Paths!$P$115="Complete",IF(AND(Paths!$D$115="EV",Paths!$E$115&lt;120,Paths!$E$115+'Operating costs'!$B$65&gt;Paths!$E$115,Paths!$E$115+'Operating costs'!$B$65&lt;=120,IF(Paths!$E$115+'Operating costs'!$B$65=0,C1197=0,AND(C1197&gt;0,Paths!$E$115+'Operating costs'!$B$65&gt;(C1197-1)*12,Paths!$E$115+'Operating costs'!$B$65&lt;=C1197*12))),'Operating costs'!$B$64,0)+IF(AND('Operating costs'!$B$67&gt;0,'Operating costs'!$B$67&lt;=120,OR(Paths!$D$115="ICE",'Operating costs'!$B$67&lt;=Paths!$E$115),IF('Operating costs'!$B$67=0,C1197=0,AND(C1197&gt;0,'Operating costs'!$B$67&gt;(C1197-1)*12,'Operating costs'!$B$67&lt;=C1197*12))),'Operating costs'!$B$66,0),"n.a."))</f>
        <v>0</v>
      </c>
      <c r="N1197" s="16">
        <f>IF(NOT(Paths!$C$115=1),0,IF(Paths!$P$115="Complete",SUM(G1197:I1197)-J1197-K1197-L1197+M1197+IF(C1197=0,Paths!$F$115,0)+IF(IF(Paths!$E$115=0,C1197=0,AND(C1197&gt;0,Paths!$E$115&gt;(C1197-1)*12,Paths!$E$115&lt;=C1197*12)),VLOOKUP(A1197,'Fleet register'!$A$7:$S$106,16,FALSE),0),"n.a."))</f>
        <v>0</v>
      </c>
      <c r="O1197" s="16">
        <f>IF(NOT(Paths!$C$115=1),0,IF(Paths!$P$115="Complete",N1197-IF(C1197=0,Paths!$F$115,0),"n.a."))</f>
        <v>0</v>
      </c>
      <c r="P1197" s="16">
        <f>IF(NOT(Paths!$C$115=1),0,IF(Paths!$P$115="Complete",O1197+L1197,"n.a."))</f>
        <v>0</v>
      </c>
      <c r="Q1197" s="16">
        <f>IF(NOT(Paths!$C$115=1),0,IF(Paths!$P$115="Complete",N1197*(1+'Operating costs'!$B$54)^-C1197,"n.a."))</f>
        <v>0</v>
      </c>
      <c r="R1197" s="16">
        <f>IF(NOT(Paths!$C$115=1),0,IF(Paths!$P$115="Complete",IF(AND(C1197=0,Paths!$E$115=0),I1197-J1197-K1197+VLOOKUP(A1197,'Fleet register'!$A$7:$S$106,15,FALSE)+VLOOKUP(A1197,'Fleet register'!$A$7:$S$106,16,FALSE),0),"n.a."))</f>
        <v>0</v>
      </c>
      <c r="S1197" s="1">
        <f>IF(NOT(Paths!$C$115=1),0,IF(Paths!$P$115="Complete",IF(C1197=0,0,Paths!$S$115*Paths!$R$115),"n.a."))</f>
        <v>0</v>
      </c>
      <c r="T1197" s="1">
        <f>IF(NOT(Paths!$C$115=1),0,IF(Paths!$P$115="Complete",IF(C1197=0,0,VLOOKUP(A1197,'Fleet register'!$A$7:$S$106,9,FALSE)*Paths!$R$115),"n.a."))</f>
        <v>0</v>
      </c>
    </row>
    <row r="1198" spans="1:20" ht="24" customHeight="1">
      <c r="A1198" s="1" t="str">
        <f>Paths!$A$115</f>
        <v>T028</v>
      </c>
      <c r="B1198" s="1">
        <f>Paths!$B$115</f>
        <v>0</v>
      </c>
      <c r="C1198" s="1">
        <v>3</v>
      </c>
      <c r="D1198" s="1">
        <v>115</v>
      </c>
      <c r="E1198" s="1">
        <f>IF(OR(Paths!$C$115=0,C1198=0),0,MAX(0,MIN(C1198*12,Paths!$E$115)-(C1198-1)*12))</f>
        <v>0</v>
      </c>
      <c r="F1198" s="1">
        <f>IF(OR(Paths!$C$115=0,C1198=0),0,12-E1198)</f>
        <v>0</v>
      </c>
      <c r="G1198" s="16">
        <f>IF(NOT(Paths!$C$115=1),0,IF(Paths!$P$115="Complete",E1198/12*(Paths!$J$115*(1+'Operating costs'!$B$51)^MAX(0,C1198-1)+Paths!$K$115*(1+'Operating costs'!$B$53)^MAX(0,C1198-1)),"n.a."))</f>
        <v>0</v>
      </c>
      <c r="H1198" s="16">
        <f>IF(NOT(Paths!$C$115=1),0,IF(Paths!$P$115="Complete",F1198/12*(Paths!$L$115*(1+IF(Paths!$D$115="EV",'Operating costs'!$B$52,'Operating costs'!$B$51))^MAX(0,C1198-1)+Paths!$M$115*(1+'Operating costs'!$B$53)^MAX(0,C1198-1)),"n.a."))</f>
        <v>0</v>
      </c>
      <c r="I1198" s="16">
        <f>IF(NOT(Paths!$C$115=1),0,IF(Paths!$P$115="Complete",IF(IF(Paths!$E$115=0,C1198=0,AND(C1198&gt;0,Paths!$E$115&gt;(C1198-1)*12,Paths!$E$115&lt;=C1198*12)),Paths!$G$115,0),"n.a."))</f>
        <v>0</v>
      </c>
      <c r="J1198" s="16">
        <f>IF(NOT(Paths!$C$115=1),0,IF(Paths!$P$115="Complete",IF(IF(Paths!$E$115=0,C1198=0,AND(C1198&gt;0,Paths!$E$115&gt;(C1198-1)*12,Paths!$E$115&lt;=C1198*12)),Paths!$H$115,0),"n.a."))</f>
        <v>0</v>
      </c>
      <c r="K1198" s="16">
        <f>IF(NOT(Paths!$C$115=1),0,IF(Paths!$P$115="Complete",IF(IF(Paths!$O$115=0,C1198=0,AND(C1198&gt;0,Paths!$O$115&gt;(C1198-1)*12,Paths!$O$115&lt;=C1198*12)),Paths!$N$115,0),"n.a."))</f>
        <v>0</v>
      </c>
      <c r="L1198" s="16">
        <f>IF(NOT(Paths!$C$115=1),0,IF(Paths!$P$115="Complete",IF(C1198=10,Paths!$I$115,0),"n.a."))</f>
        <v>0</v>
      </c>
      <c r="M1198" s="16">
        <f>IF(NOT(Paths!$C$115=1),0,IF(Paths!$P$115="Complete",IF(AND(Paths!$D$115="EV",Paths!$E$115&lt;120,Paths!$E$115+'Operating costs'!$B$65&gt;Paths!$E$115,Paths!$E$115+'Operating costs'!$B$65&lt;=120,IF(Paths!$E$115+'Operating costs'!$B$65=0,C1198=0,AND(C1198&gt;0,Paths!$E$115+'Operating costs'!$B$65&gt;(C1198-1)*12,Paths!$E$115+'Operating costs'!$B$65&lt;=C1198*12))),'Operating costs'!$B$64,0)+IF(AND('Operating costs'!$B$67&gt;0,'Operating costs'!$B$67&lt;=120,OR(Paths!$D$115="ICE",'Operating costs'!$B$67&lt;=Paths!$E$115),IF('Operating costs'!$B$67=0,C1198=0,AND(C1198&gt;0,'Operating costs'!$B$67&gt;(C1198-1)*12,'Operating costs'!$B$67&lt;=C1198*12))),'Operating costs'!$B$66,0),"n.a."))</f>
        <v>0</v>
      </c>
      <c r="N1198" s="16">
        <f>IF(NOT(Paths!$C$115=1),0,IF(Paths!$P$115="Complete",SUM(G1198:I1198)-J1198-K1198-L1198+M1198+IF(C1198=0,Paths!$F$115,0)+IF(IF(Paths!$E$115=0,C1198=0,AND(C1198&gt;0,Paths!$E$115&gt;(C1198-1)*12,Paths!$E$115&lt;=C1198*12)),VLOOKUP(A1198,'Fleet register'!$A$7:$S$106,16,FALSE),0),"n.a."))</f>
        <v>0</v>
      </c>
      <c r="O1198" s="16">
        <f>IF(NOT(Paths!$C$115=1),0,IF(Paths!$P$115="Complete",N1198-IF(C1198=0,Paths!$F$115,0),"n.a."))</f>
        <v>0</v>
      </c>
      <c r="P1198" s="16">
        <f>IF(NOT(Paths!$C$115=1),0,IF(Paths!$P$115="Complete",O1198+L1198,"n.a."))</f>
        <v>0</v>
      </c>
      <c r="Q1198" s="16">
        <f>IF(NOT(Paths!$C$115=1),0,IF(Paths!$P$115="Complete",N1198*(1+'Operating costs'!$B$54)^-C1198,"n.a."))</f>
        <v>0</v>
      </c>
      <c r="R1198" s="16">
        <f>IF(NOT(Paths!$C$115=1),0,IF(Paths!$P$115="Complete",IF(AND(C1198=0,Paths!$E$115=0),I1198-J1198-K1198+VLOOKUP(A1198,'Fleet register'!$A$7:$S$106,15,FALSE)+VLOOKUP(A1198,'Fleet register'!$A$7:$S$106,16,FALSE),0),"n.a."))</f>
        <v>0</v>
      </c>
      <c r="S1198" s="1">
        <f>IF(NOT(Paths!$C$115=1),0,IF(Paths!$P$115="Complete",IF(C1198=0,0,Paths!$S$115*Paths!$R$115),"n.a."))</f>
        <v>0</v>
      </c>
      <c r="T1198" s="1">
        <f>IF(NOT(Paths!$C$115=1),0,IF(Paths!$P$115="Complete",IF(C1198=0,0,VLOOKUP(A1198,'Fleet register'!$A$7:$S$106,9,FALSE)*Paths!$R$115),"n.a."))</f>
        <v>0</v>
      </c>
    </row>
    <row r="1199" spans="1:20" ht="24" customHeight="1">
      <c r="A1199" s="1" t="str">
        <f>Paths!$A$115</f>
        <v>T028</v>
      </c>
      <c r="B1199" s="1">
        <f>Paths!$B$115</f>
        <v>0</v>
      </c>
      <c r="C1199" s="1">
        <v>4</v>
      </c>
      <c r="D1199" s="1">
        <v>115</v>
      </c>
      <c r="E1199" s="1">
        <f>IF(OR(Paths!$C$115=0,C1199=0),0,MAX(0,MIN(C1199*12,Paths!$E$115)-(C1199-1)*12))</f>
        <v>0</v>
      </c>
      <c r="F1199" s="1">
        <f>IF(OR(Paths!$C$115=0,C1199=0),0,12-E1199)</f>
        <v>0</v>
      </c>
      <c r="G1199" s="16">
        <f>IF(NOT(Paths!$C$115=1),0,IF(Paths!$P$115="Complete",E1199/12*(Paths!$J$115*(1+'Operating costs'!$B$51)^MAX(0,C1199-1)+Paths!$K$115*(1+'Operating costs'!$B$53)^MAX(0,C1199-1)),"n.a."))</f>
        <v>0</v>
      </c>
      <c r="H1199" s="16">
        <f>IF(NOT(Paths!$C$115=1),0,IF(Paths!$P$115="Complete",F1199/12*(Paths!$L$115*(1+IF(Paths!$D$115="EV",'Operating costs'!$B$52,'Operating costs'!$B$51))^MAX(0,C1199-1)+Paths!$M$115*(1+'Operating costs'!$B$53)^MAX(0,C1199-1)),"n.a."))</f>
        <v>0</v>
      </c>
      <c r="I1199" s="16">
        <f>IF(NOT(Paths!$C$115=1),0,IF(Paths!$P$115="Complete",IF(IF(Paths!$E$115=0,C1199=0,AND(C1199&gt;0,Paths!$E$115&gt;(C1199-1)*12,Paths!$E$115&lt;=C1199*12)),Paths!$G$115,0),"n.a."))</f>
        <v>0</v>
      </c>
      <c r="J1199" s="16">
        <f>IF(NOT(Paths!$C$115=1),0,IF(Paths!$P$115="Complete",IF(IF(Paths!$E$115=0,C1199=0,AND(C1199&gt;0,Paths!$E$115&gt;(C1199-1)*12,Paths!$E$115&lt;=C1199*12)),Paths!$H$115,0),"n.a."))</f>
        <v>0</v>
      </c>
      <c r="K1199" s="16">
        <f>IF(NOT(Paths!$C$115=1),0,IF(Paths!$P$115="Complete",IF(IF(Paths!$O$115=0,C1199=0,AND(C1199&gt;0,Paths!$O$115&gt;(C1199-1)*12,Paths!$O$115&lt;=C1199*12)),Paths!$N$115,0),"n.a."))</f>
        <v>0</v>
      </c>
      <c r="L1199" s="16">
        <f>IF(NOT(Paths!$C$115=1),0,IF(Paths!$P$115="Complete",IF(C1199=10,Paths!$I$115,0),"n.a."))</f>
        <v>0</v>
      </c>
      <c r="M1199" s="16">
        <f>IF(NOT(Paths!$C$115=1),0,IF(Paths!$P$115="Complete",IF(AND(Paths!$D$115="EV",Paths!$E$115&lt;120,Paths!$E$115+'Operating costs'!$B$65&gt;Paths!$E$115,Paths!$E$115+'Operating costs'!$B$65&lt;=120,IF(Paths!$E$115+'Operating costs'!$B$65=0,C1199=0,AND(C1199&gt;0,Paths!$E$115+'Operating costs'!$B$65&gt;(C1199-1)*12,Paths!$E$115+'Operating costs'!$B$65&lt;=C1199*12))),'Operating costs'!$B$64,0)+IF(AND('Operating costs'!$B$67&gt;0,'Operating costs'!$B$67&lt;=120,OR(Paths!$D$115="ICE",'Operating costs'!$B$67&lt;=Paths!$E$115),IF('Operating costs'!$B$67=0,C1199=0,AND(C1199&gt;0,'Operating costs'!$B$67&gt;(C1199-1)*12,'Operating costs'!$B$67&lt;=C1199*12))),'Operating costs'!$B$66,0),"n.a."))</f>
        <v>0</v>
      </c>
      <c r="N1199" s="16">
        <f>IF(NOT(Paths!$C$115=1),0,IF(Paths!$P$115="Complete",SUM(G1199:I1199)-J1199-K1199-L1199+M1199+IF(C1199=0,Paths!$F$115,0)+IF(IF(Paths!$E$115=0,C1199=0,AND(C1199&gt;0,Paths!$E$115&gt;(C1199-1)*12,Paths!$E$115&lt;=C1199*12)),VLOOKUP(A1199,'Fleet register'!$A$7:$S$106,16,FALSE),0),"n.a."))</f>
        <v>0</v>
      </c>
      <c r="O1199" s="16">
        <f>IF(NOT(Paths!$C$115=1),0,IF(Paths!$P$115="Complete",N1199-IF(C1199=0,Paths!$F$115,0),"n.a."))</f>
        <v>0</v>
      </c>
      <c r="P1199" s="16">
        <f>IF(NOT(Paths!$C$115=1),0,IF(Paths!$P$115="Complete",O1199+L1199,"n.a."))</f>
        <v>0</v>
      </c>
      <c r="Q1199" s="16">
        <f>IF(NOT(Paths!$C$115=1),0,IF(Paths!$P$115="Complete",N1199*(1+'Operating costs'!$B$54)^-C1199,"n.a."))</f>
        <v>0</v>
      </c>
      <c r="R1199" s="16">
        <f>IF(NOT(Paths!$C$115=1),0,IF(Paths!$P$115="Complete",IF(AND(C1199=0,Paths!$E$115=0),I1199-J1199-K1199+VLOOKUP(A1199,'Fleet register'!$A$7:$S$106,15,FALSE)+VLOOKUP(A1199,'Fleet register'!$A$7:$S$106,16,FALSE),0),"n.a."))</f>
        <v>0</v>
      </c>
      <c r="S1199" s="1">
        <f>IF(NOT(Paths!$C$115=1),0,IF(Paths!$P$115="Complete",IF(C1199=0,0,Paths!$S$115*Paths!$R$115),"n.a."))</f>
        <v>0</v>
      </c>
      <c r="T1199" s="1">
        <f>IF(NOT(Paths!$C$115=1),0,IF(Paths!$P$115="Complete",IF(C1199=0,0,VLOOKUP(A1199,'Fleet register'!$A$7:$S$106,9,FALSE)*Paths!$R$115),"n.a."))</f>
        <v>0</v>
      </c>
    </row>
    <row r="1200" spans="1:20" ht="24" customHeight="1">
      <c r="A1200" s="1" t="str">
        <f>Paths!$A$115</f>
        <v>T028</v>
      </c>
      <c r="B1200" s="1">
        <f>Paths!$B$115</f>
        <v>0</v>
      </c>
      <c r="C1200" s="1">
        <v>5</v>
      </c>
      <c r="D1200" s="1">
        <v>115</v>
      </c>
      <c r="E1200" s="1">
        <f>IF(OR(Paths!$C$115=0,C1200=0),0,MAX(0,MIN(C1200*12,Paths!$E$115)-(C1200-1)*12))</f>
        <v>0</v>
      </c>
      <c r="F1200" s="1">
        <f>IF(OR(Paths!$C$115=0,C1200=0),0,12-E1200)</f>
        <v>0</v>
      </c>
      <c r="G1200" s="16">
        <f>IF(NOT(Paths!$C$115=1),0,IF(Paths!$P$115="Complete",E1200/12*(Paths!$J$115*(1+'Operating costs'!$B$51)^MAX(0,C1200-1)+Paths!$K$115*(1+'Operating costs'!$B$53)^MAX(0,C1200-1)),"n.a."))</f>
        <v>0</v>
      </c>
      <c r="H1200" s="16">
        <f>IF(NOT(Paths!$C$115=1),0,IF(Paths!$P$115="Complete",F1200/12*(Paths!$L$115*(1+IF(Paths!$D$115="EV",'Operating costs'!$B$52,'Operating costs'!$B$51))^MAX(0,C1200-1)+Paths!$M$115*(1+'Operating costs'!$B$53)^MAX(0,C1200-1)),"n.a."))</f>
        <v>0</v>
      </c>
      <c r="I1200" s="16">
        <f>IF(NOT(Paths!$C$115=1),0,IF(Paths!$P$115="Complete",IF(IF(Paths!$E$115=0,C1200=0,AND(C1200&gt;0,Paths!$E$115&gt;(C1200-1)*12,Paths!$E$115&lt;=C1200*12)),Paths!$G$115,0),"n.a."))</f>
        <v>0</v>
      </c>
      <c r="J1200" s="16">
        <f>IF(NOT(Paths!$C$115=1),0,IF(Paths!$P$115="Complete",IF(IF(Paths!$E$115=0,C1200=0,AND(C1200&gt;0,Paths!$E$115&gt;(C1200-1)*12,Paths!$E$115&lt;=C1200*12)),Paths!$H$115,0),"n.a."))</f>
        <v>0</v>
      </c>
      <c r="K1200" s="16">
        <f>IF(NOT(Paths!$C$115=1),0,IF(Paths!$P$115="Complete",IF(IF(Paths!$O$115=0,C1200=0,AND(C1200&gt;0,Paths!$O$115&gt;(C1200-1)*12,Paths!$O$115&lt;=C1200*12)),Paths!$N$115,0),"n.a."))</f>
        <v>0</v>
      </c>
      <c r="L1200" s="16">
        <f>IF(NOT(Paths!$C$115=1),0,IF(Paths!$P$115="Complete",IF(C1200=10,Paths!$I$115,0),"n.a."))</f>
        <v>0</v>
      </c>
      <c r="M1200" s="16">
        <f>IF(NOT(Paths!$C$115=1),0,IF(Paths!$P$115="Complete",IF(AND(Paths!$D$115="EV",Paths!$E$115&lt;120,Paths!$E$115+'Operating costs'!$B$65&gt;Paths!$E$115,Paths!$E$115+'Operating costs'!$B$65&lt;=120,IF(Paths!$E$115+'Operating costs'!$B$65=0,C1200=0,AND(C1200&gt;0,Paths!$E$115+'Operating costs'!$B$65&gt;(C1200-1)*12,Paths!$E$115+'Operating costs'!$B$65&lt;=C1200*12))),'Operating costs'!$B$64,0)+IF(AND('Operating costs'!$B$67&gt;0,'Operating costs'!$B$67&lt;=120,OR(Paths!$D$115="ICE",'Operating costs'!$B$67&lt;=Paths!$E$115),IF('Operating costs'!$B$67=0,C1200=0,AND(C1200&gt;0,'Operating costs'!$B$67&gt;(C1200-1)*12,'Operating costs'!$B$67&lt;=C1200*12))),'Operating costs'!$B$66,0),"n.a."))</f>
        <v>0</v>
      </c>
      <c r="N1200" s="16">
        <f>IF(NOT(Paths!$C$115=1),0,IF(Paths!$P$115="Complete",SUM(G1200:I1200)-J1200-K1200-L1200+M1200+IF(C1200=0,Paths!$F$115,0)+IF(IF(Paths!$E$115=0,C1200=0,AND(C1200&gt;0,Paths!$E$115&gt;(C1200-1)*12,Paths!$E$115&lt;=C1200*12)),VLOOKUP(A1200,'Fleet register'!$A$7:$S$106,16,FALSE),0),"n.a."))</f>
        <v>0</v>
      </c>
      <c r="O1200" s="16">
        <f>IF(NOT(Paths!$C$115=1),0,IF(Paths!$P$115="Complete",N1200-IF(C1200=0,Paths!$F$115,0),"n.a."))</f>
        <v>0</v>
      </c>
      <c r="P1200" s="16">
        <f>IF(NOT(Paths!$C$115=1),0,IF(Paths!$P$115="Complete",O1200+L1200,"n.a."))</f>
        <v>0</v>
      </c>
      <c r="Q1200" s="16">
        <f>IF(NOT(Paths!$C$115=1),0,IF(Paths!$P$115="Complete",N1200*(1+'Operating costs'!$B$54)^-C1200,"n.a."))</f>
        <v>0</v>
      </c>
      <c r="R1200" s="16">
        <f>IF(NOT(Paths!$C$115=1),0,IF(Paths!$P$115="Complete",IF(AND(C1200=0,Paths!$E$115=0),I1200-J1200-K1200+VLOOKUP(A1200,'Fleet register'!$A$7:$S$106,15,FALSE)+VLOOKUP(A1200,'Fleet register'!$A$7:$S$106,16,FALSE),0),"n.a."))</f>
        <v>0</v>
      </c>
      <c r="S1200" s="1">
        <f>IF(NOT(Paths!$C$115=1),0,IF(Paths!$P$115="Complete",IF(C1200=0,0,Paths!$S$115*Paths!$R$115),"n.a."))</f>
        <v>0</v>
      </c>
      <c r="T1200" s="1">
        <f>IF(NOT(Paths!$C$115=1),0,IF(Paths!$P$115="Complete",IF(C1200=0,0,VLOOKUP(A1200,'Fleet register'!$A$7:$S$106,9,FALSE)*Paths!$R$115),"n.a."))</f>
        <v>0</v>
      </c>
    </row>
    <row r="1201" spans="1:20" ht="24" customHeight="1">
      <c r="A1201" s="1" t="str">
        <f>Paths!$A$115</f>
        <v>T028</v>
      </c>
      <c r="B1201" s="1">
        <f>Paths!$B$115</f>
        <v>0</v>
      </c>
      <c r="C1201" s="1">
        <v>6</v>
      </c>
      <c r="D1201" s="1">
        <v>115</v>
      </c>
      <c r="E1201" s="1">
        <f>IF(OR(Paths!$C$115=0,C1201=0),0,MAX(0,MIN(C1201*12,Paths!$E$115)-(C1201-1)*12))</f>
        <v>0</v>
      </c>
      <c r="F1201" s="1">
        <f>IF(OR(Paths!$C$115=0,C1201=0),0,12-E1201)</f>
        <v>0</v>
      </c>
      <c r="G1201" s="16">
        <f>IF(NOT(Paths!$C$115=1),0,IF(Paths!$P$115="Complete",E1201/12*(Paths!$J$115*(1+'Operating costs'!$B$51)^MAX(0,C1201-1)+Paths!$K$115*(1+'Operating costs'!$B$53)^MAX(0,C1201-1)),"n.a."))</f>
        <v>0</v>
      </c>
      <c r="H1201" s="16">
        <f>IF(NOT(Paths!$C$115=1),0,IF(Paths!$P$115="Complete",F1201/12*(Paths!$L$115*(1+IF(Paths!$D$115="EV",'Operating costs'!$B$52,'Operating costs'!$B$51))^MAX(0,C1201-1)+Paths!$M$115*(1+'Operating costs'!$B$53)^MAX(0,C1201-1)),"n.a."))</f>
        <v>0</v>
      </c>
      <c r="I1201" s="16">
        <f>IF(NOT(Paths!$C$115=1),0,IF(Paths!$P$115="Complete",IF(IF(Paths!$E$115=0,C1201=0,AND(C1201&gt;0,Paths!$E$115&gt;(C1201-1)*12,Paths!$E$115&lt;=C1201*12)),Paths!$G$115,0),"n.a."))</f>
        <v>0</v>
      </c>
      <c r="J1201" s="16">
        <f>IF(NOT(Paths!$C$115=1),0,IF(Paths!$P$115="Complete",IF(IF(Paths!$E$115=0,C1201=0,AND(C1201&gt;0,Paths!$E$115&gt;(C1201-1)*12,Paths!$E$115&lt;=C1201*12)),Paths!$H$115,0),"n.a."))</f>
        <v>0</v>
      </c>
      <c r="K1201" s="16">
        <f>IF(NOT(Paths!$C$115=1),0,IF(Paths!$P$115="Complete",IF(IF(Paths!$O$115=0,C1201=0,AND(C1201&gt;0,Paths!$O$115&gt;(C1201-1)*12,Paths!$O$115&lt;=C1201*12)),Paths!$N$115,0),"n.a."))</f>
        <v>0</v>
      </c>
      <c r="L1201" s="16">
        <f>IF(NOT(Paths!$C$115=1),0,IF(Paths!$P$115="Complete",IF(C1201=10,Paths!$I$115,0),"n.a."))</f>
        <v>0</v>
      </c>
      <c r="M1201" s="16">
        <f>IF(NOT(Paths!$C$115=1),0,IF(Paths!$P$115="Complete",IF(AND(Paths!$D$115="EV",Paths!$E$115&lt;120,Paths!$E$115+'Operating costs'!$B$65&gt;Paths!$E$115,Paths!$E$115+'Operating costs'!$B$65&lt;=120,IF(Paths!$E$115+'Operating costs'!$B$65=0,C1201=0,AND(C1201&gt;0,Paths!$E$115+'Operating costs'!$B$65&gt;(C1201-1)*12,Paths!$E$115+'Operating costs'!$B$65&lt;=C1201*12))),'Operating costs'!$B$64,0)+IF(AND('Operating costs'!$B$67&gt;0,'Operating costs'!$B$67&lt;=120,OR(Paths!$D$115="ICE",'Operating costs'!$B$67&lt;=Paths!$E$115),IF('Operating costs'!$B$67=0,C1201=0,AND(C1201&gt;0,'Operating costs'!$B$67&gt;(C1201-1)*12,'Operating costs'!$B$67&lt;=C1201*12))),'Operating costs'!$B$66,0),"n.a."))</f>
        <v>0</v>
      </c>
      <c r="N1201" s="16">
        <f>IF(NOT(Paths!$C$115=1),0,IF(Paths!$P$115="Complete",SUM(G1201:I1201)-J1201-K1201-L1201+M1201+IF(C1201=0,Paths!$F$115,0)+IF(IF(Paths!$E$115=0,C1201=0,AND(C1201&gt;0,Paths!$E$115&gt;(C1201-1)*12,Paths!$E$115&lt;=C1201*12)),VLOOKUP(A1201,'Fleet register'!$A$7:$S$106,16,FALSE),0),"n.a."))</f>
        <v>0</v>
      </c>
      <c r="O1201" s="16">
        <f>IF(NOT(Paths!$C$115=1),0,IF(Paths!$P$115="Complete",N1201-IF(C1201=0,Paths!$F$115,0),"n.a."))</f>
        <v>0</v>
      </c>
      <c r="P1201" s="16">
        <f>IF(NOT(Paths!$C$115=1),0,IF(Paths!$P$115="Complete",O1201+L1201,"n.a."))</f>
        <v>0</v>
      </c>
      <c r="Q1201" s="16">
        <f>IF(NOT(Paths!$C$115=1),0,IF(Paths!$P$115="Complete",N1201*(1+'Operating costs'!$B$54)^-C1201,"n.a."))</f>
        <v>0</v>
      </c>
      <c r="R1201" s="16">
        <f>IF(NOT(Paths!$C$115=1),0,IF(Paths!$P$115="Complete",IF(AND(C1201=0,Paths!$E$115=0),I1201-J1201-K1201+VLOOKUP(A1201,'Fleet register'!$A$7:$S$106,15,FALSE)+VLOOKUP(A1201,'Fleet register'!$A$7:$S$106,16,FALSE),0),"n.a."))</f>
        <v>0</v>
      </c>
      <c r="S1201" s="1">
        <f>IF(NOT(Paths!$C$115=1),0,IF(Paths!$P$115="Complete",IF(C1201=0,0,Paths!$S$115*Paths!$R$115),"n.a."))</f>
        <v>0</v>
      </c>
      <c r="T1201" s="1">
        <f>IF(NOT(Paths!$C$115=1),0,IF(Paths!$P$115="Complete",IF(C1201=0,0,VLOOKUP(A1201,'Fleet register'!$A$7:$S$106,9,FALSE)*Paths!$R$115),"n.a."))</f>
        <v>0</v>
      </c>
    </row>
    <row r="1202" spans="1:20" ht="24" customHeight="1">
      <c r="A1202" s="1" t="str">
        <f>Paths!$A$115</f>
        <v>T028</v>
      </c>
      <c r="B1202" s="1">
        <f>Paths!$B$115</f>
        <v>0</v>
      </c>
      <c r="C1202" s="1">
        <v>7</v>
      </c>
      <c r="D1202" s="1">
        <v>115</v>
      </c>
      <c r="E1202" s="1">
        <f>IF(OR(Paths!$C$115=0,C1202=0),0,MAX(0,MIN(C1202*12,Paths!$E$115)-(C1202-1)*12))</f>
        <v>0</v>
      </c>
      <c r="F1202" s="1">
        <f>IF(OR(Paths!$C$115=0,C1202=0),0,12-E1202)</f>
        <v>0</v>
      </c>
      <c r="G1202" s="16">
        <f>IF(NOT(Paths!$C$115=1),0,IF(Paths!$P$115="Complete",E1202/12*(Paths!$J$115*(1+'Operating costs'!$B$51)^MAX(0,C1202-1)+Paths!$K$115*(1+'Operating costs'!$B$53)^MAX(0,C1202-1)),"n.a."))</f>
        <v>0</v>
      </c>
      <c r="H1202" s="16">
        <f>IF(NOT(Paths!$C$115=1),0,IF(Paths!$P$115="Complete",F1202/12*(Paths!$L$115*(1+IF(Paths!$D$115="EV",'Operating costs'!$B$52,'Operating costs'!$B$51))^MAX(0,C1202-1)+Paths!$M$115*(1+'Operating costs'!$B$53)^MAX(0,C1202-1)),"n.a."))</f>
        <v>0</v>
      </c>
      <c r="I1202" s="16">
        <f>IF(NOT(Paths!$C$115=1),0,IF(Paths!$P$115="Complete",IF(IF(Paths!$E$115=0,C1202=0,AND(C1202&gt;0,Paths!$E$115&gt;(C1202-1)*12,Paths!$E$115&lt;=C1202*12)),Paths!$G$115,0),"n.a."))</f>
        <v>0</v>
      </c>
      <c r="J1202" s="16">
        <f>IF(NOT(Paths!$C$115=1),0,IF(Paths!$P$115="Complete",IF(IF(Paths!$E$115=0,C1202=0,AND(C1202&gt;0,Paths!$E$115&gt;(C1202-1)*12,Paths!$E$115&lt;=C1202*12)),Paths!$H$115,0),"n.a."))</f>
        <v>0</v>
      </c>
      <c r="K1202" s="16">
        <f>IF(NOT(Paths!$C$115=1),0,IF(Paths!$P$115="Complete",IF(IF(Paths!$O$115=0,C1202=0,AND(C1202&gt;0,Paths!$O$115&gt;(C1202-1)*12,Paths!$O$115&lt;=C1202*12)),Paths!$N$115,0),"n.a."))</f>
        <v>0</v>
      </c>
      <c r="L1202" s="16">
        <f>IF(NOT(Paths!$C$115=1),0,IF(Paths!$P$115="Complete",IF(C1202=10,Paths!$I$115,0),"n.a."))</f>
        <v>0</v>
      </c>
      <c r="M1202" s="16">
        <f>IF(NOT(Paths!$C$115=1),0,IF(Paths!$P$115="Complete",IF(AND(Paths!$D$115="EV",Paths!$E$115&lt;120,Paths!$E$115+'Operating costs'!$B$65&gt;Paths!$E$115,Paths!$E$115+'Operating costs'!$B$65&lt;=120,IF(Paths!$E$115+'Operating costs'!$B$65=0,C1202=0,AND(C1202&gt;0,Paths!$E$115+'Operating costs'!$B$65&gt;(C1202-1)*12,Paths!$E$115+'Operating costs'!$B$65&lt;=C1202*12))),'Operating costs'!$B$64,0)+IF(AND('Operating costs'!$B$67&gt;0,'Operating costs'!$B$67&lt;=120,OR(Paths!$D$115="ICE",'Operating costs'!$B$67&lt;=Paths!$E$115),IF('Operating costs'!$B$67=0,C1202=0,AND(C1202&gt;0,'Operating costs'!$B$67&gt;(C1202-1)*12,'Operating costs'!$B$67&lt;=C1202*12))),'Operating costs'!$B$66,0),"n.a."))</f>
        <v>0</v>
      </c>
      <c r="N1202" s="16">
        <f>IF(NOT(Paths!$C$115=1),0,IF(Paths!$P$115="Complete",SUM(G1202:I1202)-J1202-K1202-L1202+M1202+IF(C1202=0,Paths!$F$115,0)+IF(IF(Paths!$E$115=0,C1202=0,AND(C1202&gt;0,Paths!$E$115&gt;(C1202-1)*12,Paths!$E$115&lt;=C1202*12)),VLOOKUP(A1202,'Fleet register'!$A$7:$S$106,16,FALSE),0),"n.a."))</f>
        <v>0</v>
      </c>
      <c r="O1202" s="16">
        <f>IF(NOT(Paths!$C$115=1),0,IF(Paths!$P$115="Complete",N1202-IF(C1202=0,Paths!$F$115,0),"n.a."))</f>
        <v>0</v>
      </c>
      <c r="P1202" s="16">
        <f>IF(NOT(Paths!$C$115=1),0,IF(Paths!$P$115="Complete",O1202+L1202,"n.a."))</f>
        <v>0</v>
      </c>
      <c r="Q1202" s="16">
        <f>IF(NOT(Paths!$C$115=1),0,IF(Paths!$P$115="Complete",N1202*(1+'Operating costs'!$B$54)^-C1202,"n.a."))</f>
        <v>0</v>
      </c>
      <c r="R1202" s="16">
        <f>IF(NOT(Paths!$C$115=1),0,IF(Paths!$P$115="Complete",IF(AND(C1202=0,Paths!$E$115=0),I1202-J1202-K1202+VLOOKUP(A1202,'Fleet register'!$A$7:$S$106,15,FALSE)+VLOOKUP(A1202,'Fleet register'!$A$7:$S$106,16,FALSE),0),"n.a."))</f>
        <v>0</v>
      </c>
      <c r="S1202" s="1">
        <f>IF(NOT(Paths!$C$115=1),0,IF(Paths!$P$115="Complete",IF(C1202=0,0,Paths!$S$115*Paths!$R$115),"n.a."))</f>
        <v>0</v>
      </c>
      <c r="T1202" s="1">
        <f>IF(NOT(Paths!$C$115=1),0,IF(Paths!$P$115="Complete",IF(C1202=0,0,VLOOKUP(A1202,'Fleet register'!$A$7:$S$106,9,FALSE)*Paths!$R$115),"n.a."))</f>
        <v>0</v>
      </c>
    </row>
    <row r="1203" spans="1:20" ht="24" customHeight="1">
      <c r="A1203" s="1" t="str">
        <f>Paths!$A$115</f>
        <v>T028</v>
      </c>
      <c r="B1203" s="1">
        <f>Paths!$B$115</f>
        <v>0</v>
      </c>
      <c r="C1203" s="1">
        <v>8</v>
      </c>
      <c r="D1203" s="1">
        <v>115</v>
      </c>
      <c r="E1203" s="1">
        <f>IF(OR(Paths!$C$115=0,C1203=0),0,MAX(0,MIN(C1203*12,Paths!$E$115)-(C1203-1)*12))</f>
        <v>0</v>
      </c>
      <c r="F1203" s="1">
        <f>IF(OR(Paths!$C$115=0,C1203=0),0,12-E1203)</f>
        <v>0</v>
      </c>
      <c r="G1203" s="16">
        <f>IF(NOT(Paths!$C$115=1),0,IF(Paths!$P$115="Complete",E1203/12*(Paths!$J$115*(1+'Operating costs'!$B$51)^MAX(0,C1203-1)+Paths!$K$115*(1+'Operating costs'!$B$53)^MAX(0,C1203-1)),"n.a."))</f>
        <v>0</v>
      </c>
      <c r="H1203" s="16">
        <f>IF(NOT(Paths!$C$115=1),0,IF(Paths!$P$115="Complete",F1203/12*(Paths!$L$115*(1+IF(Paths!$D$115="EV",'Operating costs'!$B$52,'Operating costs'!$B$51))^MAX(0,C1203-1)+Paths!$M$115*(1+'Operating costs'!$B$53)^MAX(0,C1203-1)),"n.a."))</f>
        <v>0</v>
      </c>
      <c r="I1203" s="16">
        <f>IF(NOT(Paths!$C$115=1),0,IF(Paths!$P$115="Complete",IF(IF(Paths!$E$115=0,C1203=0,AND(C1203&gt;0,Paths!$E$115&gt;(C1203-1)*12,Paths!$E$115&lt;=C1203*12)),Paths!$G$115,0),"n.a."))</f>
        <v>0</v>
      </c>
      <c r="J1203" s="16">
        <f>IF(NOT(Paths!$C$115=1),0,IF(Paths!$P$115="Complete",IF(IF(Paths!$E$115=0,C1203=0,AND(C1203&gt;0,Paths!$E$115&gt;(C1203-1)*12,Paths!$E$115&lt;=C1203*12)),Paths!$H$115,0),"n.a."))</f>
        <v>0</v>
      </c>
      <c r="K1203" s="16">
        <f>IF(NOT(Paths!$C$115=1),0,IF(Paths!$P$115="Complete",IF(IF(Paths!$O$115=0,C1203=0,AND(C1203&gt;0,Paths!$O$115&gt;(C1203-1)*12,Paths!$O$115&lt;=C1203*12)),Paths!$N$115,0),"n.a."))</f>
        <v>0</v>
      </c>
      <c r="L1203" s="16">
        <f>IF(NOT(Paths!$C$115=1),0,IF(Paths!$P$115="Complete",IF(C1203=10,Paths!$I$115,0),"n.a."))</f>
        <v>0</v>
      </c>
      <c r="M1203" s="16">
        <f>IF(NOT(Paths!$C$115=1),0,IF(Paths!$P$115="Complete",IF(AND(Paths!$D$115="EV",Paths!$E$115&lt;120,Paths!$E$115+'Operating costs'!$B$65&gt;Paths!$E$115,Paths!$E$115+'Operating costs'!$B$65&lt;=120,IF(Paths!$E$115+'Operating costs'!$B$65=0,C1203=0,AND(C1203&gt;0,Paths!$E$115+'Operating costs'!$B$65&gt;(C1203-1)*12,Paths!$E$115+'Operating costs'!$B$65&lt;=C1203*12))),'Operating costs'!$B$64,0)+IF(AND('Operating costs'!$B$67&gt;0,'Operating costs'!$B$67&lt;=120,OR(Paths!$D$115="ICE",'Operating costs'!$B$67&lt;=Paths!$E$115),IF('Operating costs'!$B$67=0,C1203=0,AND(C1203&gt;0,'Operating costs'!$B$67&gt;(C1203-1)*12,'Operating costs'!$B$67&lt;=C1203*12))),'Operating costs'!$B$66,0),"n.a."))</f>
        <v>0</v>
      </c>
      <c r="N1203" s="16">
        <f>IF(NOT(Paths!$C$115=1),0,IF(Paths!$P$115="Complete",SUM(G1203:I1203)-J1203-K1203-L1203+M1203+IF(C1203=0,Paths!$F$115,0)+IF(IF(Paths!$E$115=0,C1203=0,AND(C1203&gt;0,Paths!$E$115&gt;(C1203-1)*12,Paths!$E$115&lt;=C1203*12)),VLOOKUP(A1203,'Fleet register'!$A$7:$S$106,16,FALSE),0),"n.a."))</f>
        <v>0</v>
      </c>
      <c r="O1203" s="16">
        <f>IF(NOT(Paths!$C$115=1),0,IF(Paths!$P$115="Complete",N1203-IF(C1203=0,Paths!$F$115,0),"n.a."))</f>
        <v>0</v>
      </c>
      <c r="P1203" s="16">
        <f>IF(NOT(Paths!$C$115=1),0,IF(Paths!$P$115="Complete",O1203+L1203,"n.a."))</f>
        <v>0</v>
      </c>
      <c r="Q1203" s="16">
        <f>IF(NOT(Paths!$C$115=1),0,IF(Paths!$P$115="Complete",N1203*(1+'Operating costs'!$B$54)^-C1203,"n.a."))</f>
        <v>0</v>
      </c>
      <c r="R1203" s="16">
        <f>IF(NOT(Paths!$C$115=1),0,IF(Paths!$P$115="Complete",IF(AND(C1203=0,Paths!$E$115=0),I1203-J1203-K1203+VLOOKUP(A1203,'Fleet register'!$A$7:$S$106,15,FALSE)+VLOOKUP(A1203,'Fleet register'!$A$7:$S$106,16,FALSE),0),"n.a."))</f>
        <v>0</v>
      </c>
      <c r="S1203" s="1">
        <f>IF(NOT(Paths!$C$115=1),0,IF(Paths!$P$115="Complete",IF(C1203=0,0,Paths!$S$115*Paths!$R$115),"n.a."))</f>
        <v>0</v>
      </c>
      <c r="T1203" s="1">
        <f>IF(NOT(Paths!$C$115=1),0,IF(Paths!$P$115="Complete",IF(C1203=0,0,VLOOKUP(A1203,'Fleet register'!$A$7:$S$106,9,FALSE)*Paths!$R$115),"n.a."))</f>
        <v>0</v>
      </c>
    </row>
    <row r="1204" spans="1:20" ht="24" customHeight="1">
      <c r="A1204" s="1" t="str">
        <f>Paths!$A$115</f>
        <v>T028</v>
      </c>
      <c r="B1204" s="1">
        <f>Paths!$B$115</f>
        <v>0</v>
      </c>
      <c r="C1204" s="1">
        <v>9</v>
      </c>
      <c r="D1204" s="1">
        <v>115</v>
      </c>
      <c r="E1204" s="1">
        <f>IF(OR(Paths!$C$115=0,C1204=0),0,MAX(0,MIN(C1204*12,Paths!$E$115)-(C1204-1)*12))</f>
        <v>0</v>
      </c>
      <c r="F1204" s="1">
        <f>IF(OR(Paths!$C$115=0,C1204=0),0,12-E1204)</f>
        <v>0</v>
      </c>
      <c r="G1204" s="16">
        <f>IF(NOT(Paths!$C$115=1),0,IF(Paths!$P$115="Complete",E1204/12*(Paths!$J$115*(1+'Operating costs'!$B$51)^MAX(0,C1204-1)+Paths!$K$115*(1+'Operating costs'!$B$53)^MAX(0,C1204-1)),"n.a."))</f>
        <v>0</v>
      </c>
      <c r="H1204" s="16">
        <f>IF(NOT(Paths!$C$115=1),0,IF(Paths!$P$115="Complete",F1204/12*(Paths!$L$115*(1+IF(Paths!$D$115="EV",'Operating costs'!$B$52,'Operating costs'!$B$51))^MAX(0,C1204-1)+Paths!$M$115*(1+'Operating costs'!$B$53)^MAX(0,C1204-1)),"n.a."))</f>
        <v>0</v>
      </c>
      <c r="I1204" s="16">
        <f>IF(NOT(Paths!$C$115=1),0,IF(Paths!$P$115="Complete",IF(IF(Paths!$E$115=0,C1204=0,AND(C1204&gt;0,Paths!$E$115&gt;(C1204-1)*12,Paths!$E$115&lt;=C1204*12)),Paths!$G$115,0),"n.a."))</f>
        <v>0</v>
      </c>
      <c r="J1204" s="16">
        <f>IF(NOT(Paths!$C$115=1),0,IF(Paths!$P$115="Complete",IF(IF(Paths!$E$115=0,C1204=0,AND(C1204&gt;0,Paths!$E$115&gt;(C1204-1)*12,Paths!$E$115&lt;=C1204*12)),Paths!$H$115,0),"n.a."))</f>
        <v>0</v>
      </c>
      <c r="K1204" s="16">
        <f>IF(NOT(Paths!$C$115=1),0,IF(Paths!$P$115="Complete",IF(IF(Paths!$O$115=0,C1204=0,AND(C1204&gt;0,Paths!$O$115&gt;(C1204-1)*12,Paths!$O$115&lt;=C1204*12)),Paths!$N$115,0),"n.a."))</f>
        <v>0</v>
      </c>
      <c r="L1204" s="16">
        <f>IF(NOT(Paths!$C$115=1),0,IF(Paths!$P$115="Complete",IF(C1204=10,Paths!$I$115,0),"n.a."))</f>
        <v>0</v>
      </c>
      <c r="M1204" s="16">
        <f>IF(NOT(Paths!$C$115=1),0,IF(Paths!$P$115="Complete",IF(AND(Paths!$D$115="EV",Paths!$E$115&lt;120,Paths!$E$115+'Operating costs'!$B$65&gt;Paths!$E$115,Paths!$E$115+'Operating costs'!$B$65&lt;=120,IF(Paths!$E$115+'Operating costs'!$B$65=0,C1204=0,AND(C1204&gt;0,Paths!$E$115+'Operating costs'!$B$65&gt;(C1204-1)*12,Paths!$E$115+'Operating costs'!$B$65&lt;=C1204*12))),'Operating costs'!$B$64,0)+IF(AND('Operating costs'!$B$67&gt;0,'Operating costs'!$B$67&lt;=120,OR(Paths!$D$115="ICE",'Operating costs'!$B$67&lt;=Paths!$E$115),IF('Operating costs'!$B$67=0,C1204=0,AND(C1204&gt;0,'Operating costs'!$B$67&gt;(C1204-1)*12,'Operating costs'!$B$67&lt;=C1204*12))),'Operating costs'!$B$66,0),"n.a."))</f>
        <v>0</v>
      </c>
      <c r="N1204" s="16">
        <f>IF(NOT(Paths!$C$115=1),0,IF(Paths!$P$115="Complete",SUM(G1204:I1204)-J1204-K1204-L1204+M1204+IF(C1204=0,Paths!$F$115,0)+IF(IF(Paths!$E$115=0,C1204=0,AND(C1204&gt;0,Paths!$E$115&gt;(C1204-1)*12,Paths!$E$115&lt;=C1204*12)),VLOOKUP(A1204,'Fleet register'!$A$7:$S$106,16,FALSE),0),"n.a."))</f>
        <v>0</v>
      </c>
      <c r="O1204" s="16">
        <f>IF(NOT(Paths!$C$115=1),0,IF(Paths!$P$115="Complete",N1204-IF(C1204=0,Paths!$F$115,0),"n.a."))</f>
        <v>0</v>
      </c>
      <c r="P1204" s="16">
        <f>IF(NOT(Paths!$C$115=1),0,IF(Paths!$P$115="Complete",O1204+L1204,"n.a."))</f>
        <v>0</v>
      </c>
      <c r="Q1204" s="16">
        <f>IF(NOT(Paths!$C$115=1),0,IF(Paths!$P$115="Complete",N1204*(1+'Operating costs'!$B$54)^-C1204,"n.a."))</f>
        <v>0</v>
      </c>
      <c r="R1204" s="16">
        <f>IF(NOT(Paths!$C$115=1),0,IF(Paths!$P$115="Complete",IF(AND(C1204=0,Paths!$E$115=0),I1204-J1204-K1204+VLOOKUP(A1204,'Fleet register'!$A$7:$S$106,15,FALSE)+VLOOKUP(A1204,'Fleet register'!$A$7:$S$106,16,FALSE),0),"n.a."))</f>
        <v>0</v>
      </c>
      <c r="S1204" s="1">
        <f>IF(NOT(Paths!$C$115=1),0,IF(Paths!$P$115="Complete",IF(C1204=0,0,Paths!$S$115*Paths!$R$115),"n.a."))</f>
        <v>0</v>
      </c>
      <c r="T1204" s="1">
        <f>IF(NOT(Paths!$C$115=1),0,IF(Paths!$P$115="Complete",IF(C1204=0,0,VLOOKUP(A1204,'Fleet register'!$A$7:$S$106,9,FALSE)*Paths!$R$115),"n.a."))</f>
        <v>0</v>
      </c>
    </row>
    <row r="1205" spans="1:20" ht="24" customHeight="1">
      <c r="A1205" s="1" t="str">
        <f>Paths!$A$115</f>
        <v>T028</v>
      </c>
      <c r="B1205" s="1">
        <f>Paths!$B$115</f>
        <v>0</v>
      </c>
      <c r="C1205" s="1">
        <v>10</v>
      </c>
      <c r="D1205" s="1">
        <v>115</v>
      </c>
      <c r="E1205" s="1">
        <f>IF(OR(Paths!$C$115=0,C1205=0),0,MAX(0,MIN(C1205*12,Paths!$E$115)-(C1205-1)*12))</f>
        <v>0</v>
      </c>
      <c r="F1205" s="1">
        <f>IF(OR(Paths!$C$115=0,C1205=0),0,12-E1205)</f>
        <v>0</v>
      </c>
      <c r="G1205" s="16">
        <f>IF(NOT(Paths!$C$115=1),0,IF(Paths!$P$115="Complete",E1205/12*(Paths!$J$115*(1+'Operating costs'!$B$51)^MAX(0,C1205-1)+Paths!$K$115*(1+'Operating costs'!$B$53)^MAX(0,C1205-1)),"n.a."))</f>
        <v>0</v>
      </c>
      <c r="H1205" s="16">
        <f>IF(NOT(Paths!$C$115=1),0,IF(Paths!$P$115="Complete",F1205/12*(Paths!$L$115*(1+IF(Paths!$D$115="EV",'Operating costs'!$B$52,'Operating costs'!$B$51))^MAX(0,C1205-1)+Paths!$M$115*(1+'Operating costs'!$B$53)^MAX(0,C1205-1)),"n.a."))</f>
        <v>0</v>
      </c>
      <c r="I1205" s="16">
        <f>IF(NOT(Paths!$C$115=1),0,IF(Paths!$P$115="Complete",IF(IF(Paths!$E$115=0,C1205=0,AND(C1205&gt;0,Paths!$E$115&gt;(C1205-1)*12,Paths!$E$115&lt;=C1205*12)),Paths!$G$115,0),"n.a."))</f>
        <v>0</v>
      </c>
      <c r="J1205" s="16">
        <f>IF(NOT(Paths!$C$115=1),0,IF(Paths!$P$115="Complete",IF(IF(Paths!$E$115=0,C1205=0,AND(C1205&gt;0,Paths!$E$115&gt;(C1205-1)*12,Paths!$E$115&lt;=C1205*12)),Paths!$H$115,0),"n.a."))</f>
        <v>0</v>
      </c>
      <c r="K1205" s="16">
        <f>IF(NOT(Paths!$C$115=1),0,IF(Paths!$P$115="Complete",IF(IF(Paths!$O$115=0,C1205=0,AND(C1205&gt;0,Paths!$O$115&gt;(C1205-1)*12,Paths!$O$115&lt;=C1205*12)),Paths!$N$115,0),"n.a."))</f>
        <v>0</v>
      </c>
      <c r="L1205" s="16">
        <f>IF(NOT(Paths!$C$115=1),0,IF(Paths!$P$115="Complete",IF(C1205=10,Paths!$I$115,0),"n.a."))</f>
        <v>0</v>
      </c>
      <c r="M1205" s="16">
        <f>IF(NOT(Paths!$C$115=1),0,IF(Paths!$P$115="Complete",IF(AND(Paths!$D$115="EV",Paths!$E$115&lt;120,Paths!$E$115+'Operating costs'!$B$65&gt;Paths!$E$115,Paths!$E$115+'Operating costs'!$B$65&lt;=120,IF(Paths!$E$115+'Operating costs'!$B$65=0,C1205=0,AND(C1205&gt;0,Paths!$E$115+'Operating costs'!$B$65&gt;(C1205-1)*12,Paths!$E$115+'Operating costs'!$B$65&lt;=C1205*12))),'Operating costs'!$B$64,0)+IF(AND('Operating costs'!$B$67&gt;0,'Operating costs'!$B$67&lt;=120,OR(Paths!$D$115="ICE",'Operating costs'!$B$67&lt;=Paths!$E$115),IF('Operating costs'!$B$67=0,C1205=0,AND(C1205&gt;0,'Operating costs'!$B$67&gt;(C1205-1)*12,'Operating costs'!$B$67&lt;=C1205*12))),'Operating costs'!$B$66,0),"n.a."))</f>
        <v>0</v>
      </c>
      <c r="N1205" s="16">
        <f>IF(NOT(Paths!$C$115=1),0,IF(Paths!$P$115="Complete",SUM(G1205:I1205)-J1205-K1205-L1205+M1205+IF(C1205=0,Paths!$F$115,0)+IF(IF(Paths!$E$115=0,C1205=0,AND(C1205&gt;0,Paths!$E$115&gt;(C1205-1)*12,Paths!$E$115&lt;=C1205*12)),VLOOKUP(A1205,'Fleet register'!$A$7:$S$106,16,FALSE),0),"n.a."))</f>
        <v>0</v>
      </c>
      <c r="O1205" s="16">
        <f>IF(NOT(Paths!$C$115=1),0,IF(Paths!$P$115="Complete",N1205-IF(C1205=0,Paths!$F$115,0),"n.a."))</f>
        <v>0</v>
      </c>
      <c r="P1205" s="16">
        <f>IF(NOT(Paths!$C$115=1),0,IF(Paths!$P$115="Complete",O1205+L1205,"n.a."))</f>
        <v>0</v>
      </c>
      <c r="Q1205" s="16">
        <f>IF(NOT(Paths!$C$115=1),0,IF(Paths!$P$115="Complete",N1205*(1+'Operating costs'!$B$54)^-C1205,"n.a."))</f>
        <v>0</v>
      </c>
      <c r="R1205" s="16">
        <f>IF(NOT(Paths!$C$115=1),0,IF(Paths!$P$115="Complete",IF(AND(C1205=0,Paths!$E$115=0),I1205-J1205-K1205+VLOOKUP(A1205,'Fleet register'!$A$7:$S$106,15,FALSE)+VLOOKUP(A1205,'Fleet register'!$A$7:$S$106,16,FALSE),0),"n.a."))</f>
        <v>0</v>
      </c>
      <c r="S1205" s="1">
        <f>IF(NOT(Paths!$C$115=1),0,IF(Paths!$P$115="Complete",IF(C1205=0,0,Paths!$S$115*Paths!$R$115),"n.a."))</f>
        <v>0</v>
      </c>
      <c r="T1205" s="1">
        <f>IF(NOT(Paths!$C$115=1),0,IF(Paths!$P$115="Complete",IF(C1205=0,0,VLOOKUP(A1205,'Fleet register'!$A$7:$S$106,9,FALSE)*Paths!$R$115),"n.a."))</f>
        <v>0</v>
      </c>
    </row>
    <row r="1206" spans="1:20" ht="24" customHeight="1">
      <c r="A1206" s="1" t="str">
        <f>Paths!$A$116</f>
        <v>T028</v>
      </c>
      <c r="B1206" s="1">
        <f>Paths!$B$116</f>
        <v>1</v>
      </c>
      <c r="C1206" s="1">
        <v>0</v>
      </c>
      <c r="D1206" s="1">
        <v>116</v>
      </c>
      <c r="E1206" s="1">
        <f>IF(OR(Paths!$C$116=0,C1206=0),0,MAX(0,MIN(C1206*12,Paths!$E$116)-(C1206-1)*12))</f>
        <v>0</v>
      </c>
      <c r="F1206" s="1">
        <f>IF(OR(Paths!$C$116=0,C1206=0),0,12-E1206)</f>
        <v>0</v>
      </c>
      <c r="G1206" s="16">
        <f>IF(NOT(Paths!$C$116=1),0,IF(Paths!$P$116="Complete",E1206/12*(Paths!$J$116*(1+'Operating costs'!$B$51)^MAX(0,C1206-1)+Paths!$K$116*(1+'Operating costs'!$B$53)^MAX(0,C1206-1)),"n.a."))</f>
        <v>0</v>
      </c>
      <c r="H1206" s="16">
        <f>IF(NOT(Paths!$C$116=1),0,IF(Paths!$P$116="Complete",F1206/12*(Paths!$L$116*(1+IF(Paths!$D$116="EV",'Operating costs'!$B$52,'Operating costs'!$B$51))^MAX(0,C1206-1)+Paths!$M$116*(1+'Operating costs'!$B$53)^MAX(0,C1206-1)),"n.a."))</f>
        <v>0</v>
      </c>
      <c r="I1206" s="16">
        <f>IF(NOT(Paths!$C$116=1),0,IF(Paths!$P$116="Complete",IF(IF(Paths!$E$116=0,C1206=0,AND(C1206&gt;0,Paths!$E$116&gt;(C1206-1)*12,Paths!$E$116&lt;=C1206*12)),Paths!$G$116,0),"n.a."))</f>
        <v>0</v>
      </c>
      <c r="J1206" s="16">
        <f>IF(NOT(Paths!$C$116=1),0,IF(Paths!$P$116="Complete",IF(IF(Paths!$E$116=0,C1206=0,AND(C1206&gt;0,Paths!$E$116&gt;(C1206-1)*12,Paths!$E$116&lt;=C1206*12)),Paths!$H$116,0),"n.a."))</f>
        <v>0</v>
      </c>
      <c r="K1206" s="16">
        <f>IF(NOT(Paths!$C$116=1),0,IF(Paths!$P$116="Complete",IF(IF(Paths!$O$116=0,C1206=0,AND(C1206&gt;0,Paths!$O$116&gt;(C1206-1)*12,Paths!$O$116&lt;=C1206*12)),Paths!$N$116,0),"n.a."))</f>
        <v>0</v>
      </c>
      <c r="L1206" s="16">
        <f>IF(NOT(Paths!$C$116=1),0,IF(Paths!$P$116="Complete",IF(C1206=10,Paths!$I$116,0),"n.a."))</f>
        <v>0</v>
      </c>
      <c r="M1206" s="16">
        <f>IF(NOT(Paths!$C$116=1),0,IF(Paths!$P$116="Complete",IF(AND(Paths!$D$116="EV",Paths!$E$116&lt;120,Paths!$E$116+'Operating costs'!$B$65&gt;Paths!$E$116,Paths!$E$116+'Operating costs'!$B$65&lt;=120,IF(Paths!$E$116+'Operating costs'!$B$65=0,C1206=0,AND(C1206&gt;0,Paths!$E$116+'Operating costs'!$B$65&gt;(C1206-1)*12,Paths!$E$116+'Operating costs'!$B$65&lt;=C1206*12))),'Operating costs'!$B$64,0)+IF(AND('Operating costs'!$B$67&gt;0,'Operating costs'!$B$67&lt;=120,OR(Paths!$D$116="ICE",'Operating costs'!$B$67&lt;=Paths!$E$116),IF('Operating costs'!$B$67=0,C1206=0,AND(C1206&gt;0,'Operating costs'!$B$67&gt;(C1206-1)*12,'Operating costs'!$B$67&lt;=C1206*12))),'Operating costs'!$B$66,0),"n.a."))</f>
        <v>0</v>
      </c>
      <c r="N1206" s="16">
        <f>IF(NOT(Paths!$C$116=1),0,IF(Paths!$P$116="Complete",SUM(G1206:I1206)-J1206-K1206-L1206+M1206+IF(C1206=0,Paths!$F$116,0)+IF(IF(Paths!$E$116=0,C1206=0,AND(C1206&gt;0,Paths!$E$116&gt;(C1206-1)*12,Paths!$E$116&lt;=C1206*12)),VLOOKUP(A1206,'Fleet register'!$A$7:$S$106,16,FALSE),0),"n.a."))</f>
        <v>0</v>
      </c>
      <c r="O1206" s="16">
        <f>IF(NOT(Paths!$C$116=1),0,IF(Paths!$P$116="Complete",N1206-IF(C1206=0,Paths!$F$116,0),"n.a."))</f>
        <v>0</v>
      </c>
      <c r="P1206" s="16">
        <f>IF(NOT(Paths!$C$116=1),0,IF(Paths!$P$116="Complete",O1206+L1206,"n.a."))</f>
        <v>0</v>
      </c>
      <c r="Q1206" s="16">
        <f>IF(NOT(Paths!$C$116=1),0,IF(Paths!$P$116="Complete",N1206*(1+'Operating costs'!$B$54)^-C1206,"n.a."))</f>
        <v>0</v>
      </c>
      <c r="R1206" s="16">
        <f>IF(NOT(Paths!$C$116=1),0,IF(Paths!$P$116="Complete",IF(AND(C1206=0,Paths!$E$116=0),I1206-J1206-K1206+VLOOKUP(A1206,'Fleet register'!$A$7:$S$106,15,FALSE)+VLOOKUP(A1206,'Fleet register'!$A$7:$S$106,16,FALSE),0),"n.a."))</f>
        <v>0</v>
      </c>
      <c r="S1206" s="1">
        <f>IF(NOT(Paths!$C$116=1),0,IF(Paths!$P$116="Complete",IF(C1206=0,0,Paths!$S$116*Paths!$R$116),"n.a."))</f>
        <v>0</v>
      </c>
      <c r="T1206" s="1">
        <f>IF(NOT(Paths!$C$116=1),0,IF(Paths!$P$116="Complete",IF(C1206=0,0,VLOOKUP(A1206,'Fleet register'!$A$7:$S$106,9,FALSE)*Paths!$R$116),"n.a."))</f>
        <v>0</v>
      </c>
    </row>
    <row r="1207" spans="1:20" ht="24" customHeight="1">
      <c r="A1207" s="1" t="str">
        <f>Paths!$A$116</f>
        <v>T028</v>
      </c>
      <c r="B1207" s="1">
        <f>Paths!$B$116</f>
        <v>1</v>
      </c>
      <c r="C1207" s="1">
        <v>1</v>
      </c>
      <c r="D1207" s="1">
        <v>116</v>
      </c>
      <c r="E1207" s="1">
        <f>IF(OR(Paths!$C$116=0,C1207=0),0,MAX(0,MIN(C1207*12,Paths!$E$116)-(C1207-1)*12))</f>
        <v>0</v>
      </c>
      <c r="F1207" s="1">
        <f>IF(OR(Paths!$C$116=0,C1207=0),0,12-E1207)</f>
        <v>0</v>
      </c>
      <c r="G1207" s="16">
        <f>IF(NOT(Paths!$C$116=1),0,IF(Paths!$P$116="Complete",E1207/12*(Paths!$J$116*(1+'Operating costs'!$B$51)^MAX(0,C1207-1)+Paths!$K$116*(1+'Operating costs'!$B$53)^MAX(0,C1207-1)),"n.a."))</f>
        <v>0</v>
      </c>
      <c r="H1207" s="16">
        <f>IF(NOT(Paths!$C$116=1),0,IF(Paths!$P$116="Complete",F1207/12*(Paths!$L$116*(1+IF(Paths!$D$116="EV",'Operating costs'!$B$52,'Operating costs'!$B$51))^MAX(0,C1207-1)+Paths!$M$116*(1+'Operating costs'!$B$53)^MAX(0,C1207-1)),"n.a."))</f>
        <v>0</v>
      </c>
      <c r="I1207" s="16">
        <f>IF(NOT(Paths!$C$116=1),0,IF(Paths!$P$116="Complete",IF(IF(Paths!$E$116=0,C1207=0,AND(C1207&gt;0,Paths!$E$116&gt;(C1207-1)*12,Paths!$E$116&lt;=C1207*12)),Paths!$G$116,0),"n.a."))</f>
        <v>0</v>
      </c>
      <c r="J1207" s="16">
        <f>IF(NOT(Paths!$C$116=1),0,IF(Paths!$P$116="Complete",IF(IF(Paths!$E$116=0,C1207=0,AND(C1207&gt;0,Paths!$E$116&gt;(C1207-1)*12,Paths!$E$116&lt;=C1207*12)),Paths!$H$116,0),"n.a."))</f>
        <v>0</v>
      </c>
      <c r="K1207" s="16">
        <f>IF(NOT(Paths!$C$116=1),0,IF(Paths!$P$116="Complete",IF(IF(Paths!$O$116=0,C1207=0,AND(C1207&gt;0,Paths!$O$116&gt;(C1207-1)*12,Paths!$O$116&lt;=C1207*12)),Paths!$N$116,0),"n.a."))</f>
        <v>0</v>
      </c>
      <c r="L1207" s="16">
        <f>IF(NOT(Paths!$C$116=1),0,IF(Paths!$P$116="Complete",IF(C1207=10,Paths!$I$116,0),"n.a."))</f>
        <v>0</v>
      </c>
      <c r="M1207" s="16">
        <f>IF(NOT(Paths!$C$116=1),0,IF(Paths!$P$116="Complete",IF(AND(Paths!$D$116="EV",Paths!$E$116&lt;120,Paths!$E$116+'Operating costs'!$B$65&gt;Paths!$E$116,Paths!$E$116+'Operating costs'!$B$65&lt;=120,IF(Paths!$E$116+'Operating costs'!$B$65=0,C1207=0,AND(C1207&gt;0,Paths!$E$116+'Operating costs'!$B$65&gt;(C1207-1)*12,Paths!$E$116+'Operating costs'!$B$65&lt;=C1207*12))),'Operating costs'!$B$64,0)+IF(AND('Operating costs'!$B$67&gt;0,'Operating costs'!$B$67&lt;=120,OR(Paths!$D$116="ICE",'Operating costs'!$B$67&lt;=Paths!$E$116),IF('Operating costs'!$B$67=0,C1207=0,AND(C1207&gt;0,'Operating costs'!$B$67&gt;(C1207-1)*12,'Operating costs'!$B$67&lt;=C1207*12))),'Operating costs'!$B$66,0),"n.a."))</f>
        <v>0</v>
      </c>
      <c r="N1207" s="16">
        <f>IF(NOT(Paths!$C$116=1),0,IF(Paths!$P$116="Complete",SUM(G1207:I1207)-J1207-K1207-L1207+M1207+IF(C1207=0,Paths!$F$116,0)+IF(IF(Paths!$E$116=0,C1207=0,AND(C1207&gt;0,Paths!$E$116&gt;(C1207-1)*12,Paths!$E$116&lt;=C1207*12)),VLOOKUP(A1207,'Fleet register'!$A$7:$S$106,16,FALSE),0),"n.a."))</f>
        <v>0</v>
      </c>
      <c r="O1207" s="16">
        <f>IF(NOT(Paths!$C$116=1),0,IF(Paths!$P$116="Complete",N1207-IF(C1207=0,Paths!$F$116,0),"n.a."))</f>
        <v>0</v>
      </c>
      <c r="P1207" s="16">
        <f>IF(NOT(Paths!$C$116=1),0,IF(Paths!$P$116="Complete",O1207+L1207,"n.a."))</f>
        <v>0</v>
      </c>
      <c r="Q1207" s="16">
        <f>IF(NOT(Paths!$C$116=1),0,IF(Paths!$P$116="Complete",N1207*(1+'Operating costs'!$B$54)^-C1207,"n.a."))</f>
        <v>0</v>
      </c>
      <c r="R1207" s="16">
        <f>IF(NOT(Paths!$C$116=1),0,IF(Paths!$P$116="Complete",IF(AND(C1207=0,Paths!$E$116=0),I1207-J1207-K1207+VLOOKUP(A1207,'Fleet register'!$A$7:$S$106,15,FALSE)+VLOOKUP(A1207,'Fleet register'!$A$7:$S$106,16,FALSE),0),"n.a."))</f>
        <v>0</v>
      </c>
      <c r="S1207" s="1">
        <f>IF(NOT(Paths!$C$116=1),0,IF(Paths!$P$116="Complete",IF(C1207=0,0,Paths!$S$116*Paths!$R$116),"n.a."))</f>
        <v>0</v>
      </c>
      <c r="T1207" s="1">
        <f>IF(NOT(Paths!$C$116=1),0,IF(Paths!$P$116="Complete",IF(C1207=0,0,VLOOKUP(A1207,'Fleet register'!$A$7:$S$106,9,FALSE)*Paths!$R$116),"n.a."))</f>
        <v>0</v>
      </c>
    </row>
    <row r="1208" spans="1:20" ht="24" customHeight="1">
      <c r="A1208" s="1" t="str">
        <f>Paths!$A$116</f>
        <v>T028</v>
      </c>
      <c r="B1208" s="1">
        <f>Paths!$B$116</f>
        <v>1</v>
      </c>
      <c r="C1208" s="1">
        <v>2</v>
      </c>
      <c r="D1208" s="1">
        <v>116</v>
      </c>
      <c r="E1208" s="1">
        <f>IF(OR(Paths!$C$116=0,C1208=0),0,MAX(0,MIN(C1208*12,Paths!$E$116)-(C1208-1)*12))</f>
        <v>0</v>
      </c>
      <c r="F1208" s="1">
        <f>IF(OR(Paths!$C$116=0,C1208=0),0,12-E1208)</f>
        <v>0</v>
      </c>
      <c r="G1208" s="16">
        <f>IF(NOT(Paths!$C$116=1),0,IF(Paths!$P$116="Complete",E1208/12*(Paths!$J$116*(1+'Operating costs'!$B$51)^MAX(0,C1208-1)+Paths!$K$116*(1+'Operating costs'!$B$53)^MAX(0,C1208-1)),"n.a."))</f>
        <v>0</v>
      </c>
      <c r="H1208" s="16">
        <f>IF(NOT(Paths!$C$116=1),0,IF(Paths!$P$116="Complete",F1208/12*(Paths!$L$116*(1+IF(Paths!$D$116="EV",'Operating costs'!$B$52,'Operating costs'!$B$51))^MAX(0,C1208-1)+Paths!$M$116*(1+'Operating costs'!$B$53)^MAX(0,C1208-1)),"n.a."))</f>
        <v>0</v>
      </c>
      <c r="I1208" s="16">
        <f>IF(NOT(Paths!$C$116=1),0,IF(Paths!$P$116="Complete",IF(IF(Paths!$E$116=0,C1208=0,AND(C1208&gt;0,Paths!$E$116&gt;(C1208-1)*12,Paths!$E$116&lt;=C1208*12)),Paths!$G$116,0),"n.a."))</f>
        <v>0</v>
      </c>
      <c r="J1208" s="16">
        <f>IF(NOT(Paths!$C$116=1),0,IF(Paths!$P$116="Complete",IF(IF(Paths!$E$116=0,C1208=0,AND(C1208&gt;0,Paths!$E$116&gt;(C1208-1)*12,Paths!$E$116&lt;=C1208*12)),Paths!$H$116,0),"n.a."))</f>
        <v>0</v>
      </c>
      <c r="K1208" s="16">
        <f>IF(NOT(Paths!$C$116=1),0,IF(Paths!$P$116="Complete",IF(IF(Paths!$O$116=0,C1208=0,AND(C1208&gt;0,Paths!$O$116&gt;(C1208-1)*12,Paths!$O$116&lt;=C1208*12)),Paths!$N$116,0),"n.a."))</f>
        <v>0</v>
      </c>
      <c r="L1208" s="16">
        <f>IF(NOT(Paths!$C$116=1),0,IF(Paths!$P$116="Complete",IF(C1208=10,Paths!$I$116,0),"n.a."))</f>
        <v>0</v>
      </c>
      <c r="M1208" s="16">
        <f>IF(NOT(Paths!$C$116=1),0,IF(Paths!$P$116="Complete",IF(AND(Paths!$D$116="EV",Paths!$E$116&lt;120,Paths!$E$116+'Operating costs'!$B$65&gt;Paths!$E$116,Paths!$E$116+'Operating costs'!$B$65&lt;=120,IF(Paths!$E$116+'Operating costs'!$B$65=0,C1208=0,AND(C1208&gt;0,Paths!$E$116+'Operating costs'!$B$65&gt;(C1208-1)*12,Paths!$E$116+'Operating costs'!$B$65&lt;=C1208*12))),'Operating costs'!$B$64,0)+IF(AND('Operating costs'!$B$67&gt;0,'Operating costs'!$B$67&lt;=120,OR(Paths!$D$116="ICE",'Operating costs'!$B$67&lt;=Paths!$E$116),IF('Operating costs'!$B$67=0,C1208=0,AND(C1208&gt;0,'Operating costs'!$B$67&gt;(C1208-1)*12,'Operating costs'!$B$67&lt;=C1208*12))),'Operating costs'!$B$66,0),"n.a."))</f>
        <v>0</v>
      </c>
      <c r="N1208" s="16">
        <f>IF(NOT(Paths!$C$116=1),0,IF(Paths!$P$116="Complete",SUM(G1208:I1208)-J1208-K1208-L1208+M1208+IF(C1208=0,Paths!$F$116,0)+IF(IF(Paths!$E$116=0,C1208=0,AND(C1208&gt;0,Paths!$E$116&gt;(C1208-1)*12,Paths!$E$116&lt;=C1208*12)),VLOOKUP(A1208,'Fleet register'!$A$7:$S$106,16,FALSE),0),"n.a."))</f>
        <v>0</v>
      </c>
      <c r="O1208" s="16">
        <f>IF(NOT(Paths!$C$116=1),0,IF(Paths!$P$116="Complete",N1208-IF(C1208=0,Paths!$F$116,0),"n.a."))</f>
        <v>0</v>
      </c>
      <c r="P1208" s="16">
        <f>IF(NOT(Paths!$C$116=1),0,IF(Paths!$P$116="Complete",O1208+L1208,"n.a."))</f>
        <v>0</v>
      </c>
      <c r="Q1208" s="16">
        <f>IF(NOT(Paths!$C$116=1),0,IF(Paths!$P$116="Complete",N1208*(1+'Operating costs'!$B$54)^-C1208,"n.a."))</f>
        <v>0</v>
      </c>
      <c r="R1208" s="16">
        <f>IF(NOT(Paths!$C$116=1),0,IF(Paths!$P$116="Complete",IF(AND(C1208=0,Paths!$E$116=0),I1208-J1208-K1208+VLOOKUP(A1208,'Fleet register'!$A$7:$S$106,15,FALSE)+VLOOKUP(A1208,'Fleet register'!$A$7:$S$106,16,FALSE),0),"n.a."))</f>
        <v>0</v>
      </c>
      <c r="S1208" s="1">
        <f>IF(NOT(Paths!$C$116=1),0,IF(Paths!$P$116="Complete",IF(C1208=0,0,Paths!$S$116*Paths!$R$116),"n.a."))</f>
        <v>0</v>
      </c>
      <c r="T1208" s="1">
        <f>IF(NOT(Paths!$C$116=1),0,IF(Paths!$P$116="Complete",IF(C1208=0,0,VLOOKUP(A1208,'Fleet register'!$A$7:$S$106,9,FALSE)*Paths!$R$116),"n.a."))</f>
        <v>0</v>
      </c>
    </row>
    <row r="1209" spans="1:20" ht="24" customHeight="1">
      <c r="A1209" s="1" t="str">
        <f>Paths!$A$116</f>
        <v>T028</v>
      </c>
      <c r="B1209" s="1">
        <f>Paths!$B$116</f>
        <v>1</v>
      </c>
      <c r="C1209" s="1">
        <v>3</v>
      </c>
      <c r="D1209" s="1">
        <v>116</v>
      </c>
      <c r="E1209" s="1">
        <f>IF(OR(Paths!$C$116=0,C1209=0),0,MAX(0,MIN(C1209*12,Paths!$E$116)-(C1209-1)*12))</f>
        <v>0</v>
      </c>
      <c r="F1209" s="1">
        <f>IF(OR(Paths!$C$116=0,C1209=0),0,12-E1209)</f>
        <v>0</v>
      </c>
      <c r="G1209" s="16">
        <f>IF(NOT(Paths!$C$116=1),0,IF(Paths!$P$116="Complete",E1209/12*(Paths!$J$116*(1+'Operating costs'!$B$51)^MAX(0,C1209-1)+Paths!$K$116*(1+'Operating costs'!$B$53)^MAX(0,C1209-1)),"n.a."))</f>
        <v>0</v>
      </c>
      <c r="H1209" s="16">
        <f>IF(NOT(Paths!$C$116=1),0,IF(Paths!$P$116="Complete",F1209/12*(Paths!$L$116*(1+IF(Paths!$D$116="EV",'Operating costs'!$B$52,'Operating costs'!$B$51))^MAX(0,C1209-1)+Paths!$M$116*(1+'Operating costs'!$B$53)^MAX(0,C1209-1)),"n.a."))</f>
        <v>0</v>
      </c>
      <c r="I1209" s="16">
        <f>IF(NOT(Paths!$C$116=1),0,IF(Paths!$P$116="Complete",IF(IF(Paths!$E$116=0,C1209=0,AND(C1209&gt;0,Paths!$E$116&gt;(C1209-1)*12,Paths!$E$116&lt;=C1209*12)),Paths!$G$116,0),"n.a."))</f>
        <v>0</v>
      </c>
      <c r="J1209" s="16">
        <f>IF(NOT(Paths!$C$116=1),0,IF(Paths!$P$116="Complete",IF(IF(Paths!$E$116=0,C1209=0,AND(C1209&gt;0,Paths!$E$116&gt;(C1209-1)*12,Paths!$E$116&lt;=C1209*12)),Paths!$H$116,0),"n.a."))</f>
        <v>0</v>
      </c>
      <c r="K1209" s="16">
        <f>IF(NOT(Paths!$C$116=1),0,IF(Paths!$P$116="Complete",IF(IF(Paths!$O$116=0,C1209=0,AND(C1209&gt;0,Paths!$O$116&gt;(C1209-1)*12,Paths!$O$116&lt;=C1209*12)),Paths!$N$116,0),"n.a."))</f>
        <v>0</v>
      </c>
      <c r="L1209" s="16">
        <f>IF(NOT(Paths!$C$116=1),0,IF(Paths!$P$116="Complete",IF(C1209=10,Paths!$I$116,0),"n.a."))</f>
        <v>0</v>
      </c>
      <c r="M1209" s="16">
        <f>IF(NOT(Paths!$C$116=1),0,IF(Paths!$P$116="Complete",IF(AND(Paths!$D$116="EV",Paths!$E$116&lt;120,Paths!$E$116+'Operating costs'!$B$65&gt;Paths!$E$116,Paths!$E$116+'Operating costs'!$B$65&lt;=120,IF(Paths!$E$116+'Operating costs'!$B$65=0,C1209=0,AND(C1209&gt;0,Paths!$E$116+'Operating costs'!$B$65&gt;(C1209-1)*12,Paths!$E$116+'Operating costs'!$B$65&lt;=C1209*12))),'Operating costs'!$B$64,0)+IF(AND('Operating costs'!$B$67&gt;0,'Operating costs'!$B$67&lt;=120,OR(Paths!$D$116="ICE",'Operating costs'!$B$67&lt;=Paths!$E$116),IF('Operating costs'!$B$67=0,C1209=0,AND(C1209&gt;0,'Operating costs'!$B$67&gt;(C1209-1)*12,'Operating costs'!$B$67&lt;=C1209*12))),'Operating costs'!$B$66,0),"n.a."))</f>
        <v>0</v>
      </c>
      <c r="N1209" s="16">
        <f>IF(NOT(Paths!$C$116=1),0,IF(Paths!$P$116="Complete",SUM(G1209:I1209)-J1209-K1209-L1209+M1209+IF(C1209=0,Paths!$F$116,0)+IF(IF(Paths!$E$116=0,C1209=0,AND(C1209&gt;0,Paths!$E$116&gt;(C1209-1)*12,Paths!$E$116&lt;=C1209*12)),VLOOKUP(A1209,'Fleet register'!$A$7:$S$106,16,FALSE),0),"n.a."))</f>
        <v>0</v>
      </c>
      <c r="O1209" s="16">
        <f>IF(NOT(Paths!$C$116=1),0,IF(Paths!$P$116="Complete",N1209-IF(C1209=0,Paths!$F$116,0),"n.a."))</f>
        <v>0</v>
      </c>
      <c r="P1209" s="16">
        <f>IF(NOT(Paths!$C$116=1),0,IF(Paths!$P$116="Complete",O1209+L1209,"n.a."))</f>
        <v>0</v>
      </c>
      <c r="Q1209" s="16">
        <f>IF(NOT(Paths!$C$116=1),0,IF(Paths!$P$116="Complete",N1209*(1+'Operating costs'!$B$54)^-C1209,"n.a."))</f>
        <v>0</v>
      </c>
      <c r="R1209" s="16">
        <f>IF(NOT(Paths!$C$116=1),0,IF(Paths!$P$116="Complete",IF(AND(C1209=0,Paths!$E$116=0),I1209-J1209-K1209+VLOOKUP(A1209,'Fleet register'!$A$7:$S$106,15,FALSE)+VLOOKUP(A1209,'Fleet register'!$A$7:$S$106,16,FALSE),0),"n.a."))</f>
        <v>0</v>
      </c>
      <c r="S1209" s="1">
        <f>IF(NOT(Paths!$C$116=1),0,IF(Paths!$P$116="Complete",IF(C1209=0,0,Paths!$S$116*Paths!$R$116),"n.a."))</f>
        <v>0</v>
      </c>
      <c r="T1209" s="1">
        <f>IF(NOT(Paths!$C$116=1),0,IF(Paths!$P$116="Complete",IF(C1209=0,0,VLOOKUP(A1209,'Fleet register'!$A$7:$S$106,9,FALSE)*Paths!$R$116),"n.a."))</f>
        <v>0</v>
      </c>
    </row>
    <row r="1210" spans="1:20" ht="24" customHeight="1">
      <c r="A1210" s="1" t="str">
        <f>Paths!$A$116</f>
        <v>T028</v>
      </c>
      <c r="B1210" s="1">
        <f>Paths!$B$116</f>
        <v>1</v>
      </c>
      <c r="C1210" s="1">
        <v>4</v>
      </c>
      <c r="D1210" s="1">
        <v>116</v>
      </c>
      <c r="E1210" s="1">
        <f>IF(OR(Paths!$C$116=0,C1210=0),0,MAX(0,MIN(C1210*12,Paths!$E$116)-(C1210-1)*12))</f>
        <v>0</v>
      </c>
      <c r="F1210" s="1">
        <f>IF(OR(Paths!$C$116=0,C1210=0),0,12-E1210)</f>
        <v>0</v>
      </c>
      <c r="G1210" s="16">
        <f>IF(NOT(Paths!$C$116=1),0,IF(Paths!$P$116="Complete",E1210/12*(Paths!$J$116*(1+'Operating costs'!$B$51)^MAX(0,C1210-1)+Paths!$K$116*(1+'Operating costs'!$B$53)^MAX(0,C1210-1)),"n.a."))</f>
        <v>0</v>
      </c>
      <c r="H1210" s="16">
        <f>IF(NOT(Paths!$C$116=1),0,IF(Paths!$P$116="Complete",F1210/12*(Paths!$L$116*(1+IF(Paths!$D$116="EV",'Operating costs'!$B$52,'Operating costs'!$B$51))^MAX(0,C1210-1)+Paths!$M$116*(1+'Operating costs'!$B$53)^MAX(0,C1210-1)),"n.a."))</f>
        <v>0</v>
      </c>
      <c r="I1210" s="16">
        <f>IF(NOT(Paths!$C$116=1),0,IF(Paths!$P$116="Complete",IF(IF(Paths!$E$116=0,C1210=0,AND(C1210&gt;0,Paths!$E$116&gt;(C1210-1)*12,Paths!$E$116&lt;=C1210*12)),Paths!$G$116,0),"n.a."))</f>
        <v>0</v>
      </c>
      <c r="J1210" s="16">
        <f>IF(NOT(Paths!$C$116=1),0,IF(Paths!$P$116="Complete",IF(IF(Paths!$E$116=0,C1210=0,AND(C1210&gt;0,Paths!$E$116&gt;(C1210-1)*12,Paths!$E$116&lt;=C1210*12)),Paths!$H$116,0),"n.a."))</f>
        <v>0</v>
      </c>
      <c r="K1210" s="16">
        <f>IF(NOT(Paths!$C$116=1),0,IF(Paths!$P$116="Complete",IF(IF(Paths!$O$116=0,C1210=0,AND(C1210&gt;0,Paths!$O$116&gt;(C1210-1)*12,Paths!$O$116&lt;=C1210*12)),Paths!$N$116,0),"n.a."))</f>
        <v>0</v>
      </c>
      <c r="L1210" s="16">
        <f>IF(NOT(Paths!$C$116=1),0,IF(Paths!$P$116="Complete",IF(C1210=10,Paths!$I$116,0),"n.a."))</f>
        <v>0</v>
      </c>
      <c r="M1210" s="16">
        <f>IF(NOT(Paths!$C$116=1),0,IF(Paths!$P$116="Complete",IF(AND(Paths!$D$116="EV",Paths!$E$116&lt;120,Paths!$E$116+'Operating costs'!$B$65&gt;Paths!$E$116,Paths!$E$116+'Operating costs'!$B$65&lt;=120,IF(Paths!$E$116+'Operating costs'!$B$65=0,C1210=0,AND(C1210&gt;0,Paths!$E$116+'Operating costs'!$B$65&gt;(C1210-1)*12,Paths!$E$116+'Operating costs'!$B$65&lt;=C1210*12))),'Operating costs'!$B$64,0)+IF(AND('Operating costs'!$B$67&gt;0,'Operating costs'!$B$67&lt;=120,OR(Paths!$D$116="ICE",'Operating costs'!$B$67&lt;=Paths!$E$116),IF('Operating costs'!$B$67=0,C1210=0,AND(C1210&gt;0,'Operating costs'!$B$67&gt;(C1210-1)*12,'Operating costs'!$B$67&lt;=C1210*12))),'Operating costs'!$B$66,0),"n.a."))</f>
        <v>0</v>
      </c>
      <c r="N1210" s="16">
        <f>IF(NOT(Paths!$C$116=1),0,IF(Paths!$P$116="Complete",SUM(G1210:I1210)-J1210-K1210-L1210+M1210+IF(C1210=0,Paths!$F$116,0)+IF(IF(Paths!$E$116=0,C1210=0,AND(C1210&gt;0,Paths!$E$116&gt;(C1210-1)*12,Paths!$E$116&lt;=C1210*12)),VLOOKUP(A1210,'Fleet register'!$A$7:$S$106,16,FALSE),0),"n.a."))</f>
        <v>0</v>
      </c>
      <c r="O1210" s="16">
        <f>IF(NOT(Paths!$C$116=1),0,IF(Paths!$P$116="Complete",N1210-IF(C1210=0,Paths!$F$116,0),"n.a."))</f>
        <v>0</v>
      </c>
      <c r="P1210" s="16">
        <f>IF(NOT(Paths!$C$116=1),0,IF(Paths!$P$116="Complete",O1210+L1210,"n.a."))</f>
        <v>0</v>
      </c>
      <c r="Q1210" s="16">
        <f>IF(NOT(Paths!$C$116=1),0,IF(Paths!$P$116="Complete",N1210*(1+'Operating costs'!$B$54)^-C1210,"n.a."))</f>
        <v>0</v>
      </c>
      <c r="R1210" s="16">
        <f>IF(NOT(Paths!$C$116=1),0,IF(Paths!$P$116="Complete",IF(AND(C1210=0,Paths!$E$116=0),I1210-J1210-K1210+VLOOKUP(A1210,'Fleet register'!$A$7:$S$106,15,FALSE)+VLOOKUP(A1210,'Fleet register'!$A$7:$S$106,16,FALSE),0),"n.a."))</f>
        <v>0</v>
      </c>
      <c r="S1210" s="1">
        <f>IF(NOT(Paths!$C$116=1),0,IF(Paths!$P$116="Complete",IF(C1210=0,0,Paths!$S$116*Paths!$R$116),"n.a."))</f>
        <v>0</v>
      </c>
      <c r="T1210" s="1">
        <f>IF(NOT(Paths!$C$116=1),0,IF(Paths!$P$116="Complete",IF(C1210=0,0,VLOOKUP(A1210,'Fleet register'!$A$7:$S$106,9,FALSE)*Paths!$R$116),"n.a."))</f>
        <v>0</v>
      </c>
    </row>
    <row r="1211" spans="1:20" ht="24" customHeight="1">
      <c r="A1211" s="1" t="str">
        <f>Paths!$A$116</f>
        <v>T028</v>
      </c>
      <c r="B1211" s="1">
        <f>Paths!$B$116</f>
        <v>1</v>
      </c>
      <c r="C1211" s="1">
        <v>5</v>
      </c>
      <c r="D1211" s="1">
        <v>116</v>
      </c>
      <c r="E1211" s="1">
        <f>IF(OR(Paths!$C$116=0,C1211=0),0,MAX(0,MIN(C1211*12,Paths!$E$116)-(C1211-1)*12))</f>
        <v>0</v>
      </c>
      <c r="F1211" s="1">
        <f>IF(OR(Paths!$C$116=0,C1211=0),0,12-E1211)</f>
        <v>0</v>
      </c>
      <c r="G1211" s="16">
        <f>IF(NOT(Paths!$C$116=1),0,IF(Paths!$P$116="Complete",E1211/12*(Paths!$J$116*(1+'Operating costs'!$B$51)^MAX(0,C1211-1)+Paths!$K$116*(1+'Operating costs'!$B$53)^MAX(0,C1211-1)),"n.a."))</f>
        <v>0</v>
      </c>
      <c r="H1211" s="16">
        <f>IF(NOT(Paths!$C$116=1),0,IF(Paths!$P$116="Complete",F1211/12*(Paths!$L$116*(1+IF(Paths!$D$116="EV",'Operating costs'!$B$52,'Operating costs'!$B$51))^MAX(0,C1211-1)+Paths!$M$116*(1+'Operating costs'!$B$53)^MAX(0,C1211-1)),"n.a."))</f>
        <v>0</v>
      </c>
      <c r="I1211" s="16">
        <f>IF(NOT(Paths!$C$116=1),0,IF(Paths!$P$116="Complete",IF(IF(Paths!$E$116=0,C1211=0,AND(C1211&gt;0,Paths!$E$116&gt;(C1211-1)*12,Paths!$E$116&lt;=C1211*12)),Paths!$G$116,0),"n.a."))</f>
        <v>0</v>
      </c>
      <c r="J1211" s="16">
        <f>IF(NOT(Paths!$C$116=1),0,IF(Paths!$P$116="Complete",IF(IF(Paths!$E$116=0,C1211=0,AND(C1211&gt;0,Paths!$E$116&gt;(C1211-1)*12,Paths!$E$116&lt;=C1211*12)),Paths!$H$116,0),"n.a."))</f>
        <v>0</v>
      </c>
      <c r="K1211" s="16">
        <f>IF(NOT(Paths!$C$116=1),0,IF(Paths!$P$116="Complete",IF(IF(Paths!$O$116=0,C1211=0,AND(C1211&gt;0,Paths!$O$116&gt;(C1211-1)*12,Paths!$O$116&lt;=C1211*12)),Paths!$N$116,0),"n.a."))</f>
        <v>0</v>
      </c>
      <c r="L1211" s="16">
        <f>IF(NOT(Paths!$C$116=1),0,IF(Paths!$P$116="Complete",IF(C1211=10,Paths!$I$116,0),"n.a."))</f>
        <v>0</v>
      </c>
      <c r="M1211" s="16">
        <f>IF(NOT(Paths!$C$116=1),0,IF(Paths!$P$116="Complete",IF(AND(Paths!$D$116="EV",Paths!$E$116&lt;120,Paths!$E$116+'Operating costs'!$B$65&gt;Paths!$E$116,Paths!$E$116+'Operating costs'!$B$65&lt;=120,IF(Paths!$E$116+'Operating costs'!$B$65=0,C1211=0,AND(C1211&gt;0,Paths!$E$116+'Operating costs'!$B$65&gt;(C1211-1)*12,Paths!$E$116+'Operating costs'!$B$65&lt;=C1211*12))),'Operating costs'!$B$64,0)+IF(AND('Operating costs'!$B$67&gt;0,'Operating costs'!$B$67&lt;=120,OR(Paths!$D$116="ICE",'Operating costs'!$B$67&lt;=Paths!$E$116),IF('Operating costs'!$B$67=0,C1211=0,AND(C1211&gt;0,'Operating costs'!$B$67&gt;(C1211-1)*12,'Operating costs'!$B$67&lt;=C1211*12))),'Operating costs'!$B$66,0),"n.a."))</f>
        <v>0</v>
      </c>
      <c r="N1211" s="16">
        <f>IF(NOT(Paths!$C$116=1),0,IF(Paths!$P$116="Complete",SUM(G1211:I1211)-J1211-K1211-L1211+M1211+IF(C1211=0,Paths!$F$116,0)+IF(IF(Paths!$E$116=0,C1211=0,AND(C1211&gt;0,Paths!$E$116&gt;(C1211-1)*12,Paths!$E$116&lt;=C1211*12)),VLOOKUP(A1211,'Fleet register'!$A$7:$S$106,16,FALSE),0),"n.a."))</f>
        <v>0</v>
      </c>
      <c r="O1211" s="16">
        <f>IF(NOT(Paths!$C$116=1),0,IF(Paths!$P$116="Complete",N1211-IF(C1211=0,Paths!$F$116,0),"n.a."))</f>
        <v>0</v>
      </c>
      <c r="P1211" s="16">
        <f>IF(NOT(Paths!$C$116=1),0,IF(Paths!$P$116="Complete",O1211+L1211,"n.a."))</f>
        <v>0</v>
      </c>
      <c r="Q1211" s="16">
        <f>IF(NOT(Paths!$C$116=1),0,IF(Paths!$P$116="Complete",N1211*(1+'Operating costs'!$B$54)^-C1211,"n.a."))</f>
        <v>0</v>
      </c>
      <c r="R1211" s="16">
        <f>IF(NOT(Paths!$C$116=1),0,IF(Paths!$P$116="Complete",IF(AND(C1211=0,Paths!$E$116=0),I1211-J1211-K1211+VLOOKUP(A1211,'Fleet register'!$A$7:$S$106,15,FALSE)+VLOOKUP(A1211,'Fleet register'!$A$7:$S$106,16,FALSE),0),"n.a."))</f>
        <v>0</v>
      </c>
      <c r="S1211" s="1">
        <f>IF(NOT(Paths!$C$116=1),0,IF(Paths!$P$116="Complete",IF(C1211=0,0,Paths!$S$116*Paths!$R$116),"n.a."))</f>
        <v>0</v>
      </c>
      <c r="T1211" s="1">
        <f>IF(NOT(Paths!$C$116=1),0,IF(Paths!$P$116="Complete",IF(C1211=0,0,VLOOKUP(A1211,'Fleet register'!$A$7:$S$106,9,FALSE)*Paths!$R$116),"n.a."))</f>
        <v>0</v>
      </c>
    </row>
    <row r="1212" spans="1:20" ht="24" customHeight="1">
      <c r="A1212" s="1" t="str">
        <f>Paths!$A$116</f>
        <v>T028</v>
      </c>
      <c r="B1212" s="1">
        <f>Paths!$B$116</f>
        <v>1</v>
      </c>
      <c r="C1212" s="1">
        <v>6</v>
      </c>
      <c r="D1212" s="1">
        <v>116</v>
      </c>
      <c r="E1212" s="1">
        <f>IF(OR(Paths!$C$116=0,C1212=0),0,MAX(0,MIN(C1212*12,Paths!$E$116)-(C1212-1)*12))</f>
        <v>0</v>
      </c>
      <c r="F1212" s="1">
        <f>IF(OR(Paths!$C$116=0,C1212=0),0,12-E1212)</f>
        <v>0</v>
      </c>
      <c r="G1212" s="16">
        <f>IF(NOT(Paths!$C$116=1),0,IF(Paths!$P$116="Complete",E1212/12*(Paths!$J$116*(1+'Operating costs'!$B$51)^MAX(0,C1212-1)+Paths!$K$116*(1+'Operating costs'!$B$53)^MAX(0,C1212-1)),"n.a."))</f>
        <v>0</v>
      </c>
      <c r="H1212" s="16">
        <f>IF(NOT(Paths!$C$116=1),0,IF(Paths!$P$116="Complete",F1212/12*(Paths!$L$116*(1+IF(Paths!$D$116="EV",'Operating costs'!$B$52,'Operating costs'!$B$51))^MAX(0,C1212-1)+Paths!$M$116*(1+'Operating costs'!$B$53)^MAX(0,C1212-1)),"n.a."))</f>
        <v>0</v>
      </c>
      <c r="I1212" s="16">
        <f>IF(NOT(Paths!$C$116=1),0,IF(Paths!$P$116="Complete",IF(IF(Paths!$E$116=0,C1212=0,AND(C1212&gt;0,Paths!$E$116&gt;(C1212-1)*12,Paths!$E$116&lt;=C1212*12)),Paths!$G$116,0),"n.a."))</f>
        <v>0</v>
      </c>
      <c r="J1212" s="16">
        <f>IF(NOT(Paths!$C$116=1),0,IF(Paths!$P$116="Complete",IF(IF(Paths!$E$116=0,C1212=0,AND(C1212&gt;0,Paths!$E$116&gt;(C1212-1)*12,Paths!$E$116&lt;=C1212*12)),Paths!$H$116,0),"n.a."))</f>
        <v>0</v>
      </c>
      <c r="K1212" s="16">
        <f>IF(NOT(Paths!$C$116=1),0,IF(Paths!$P$116="Complete",IF(IF(Paths!$O$116=0,C1212=0,AND(C1212&gt;0,Paths!$O$116&gt;(C1212-1)*12,Paths!$O$116&lt;=C1212*12)),Paths!$N$116,0),"n.a."))</f>
        <v>0</v>
      </c>
      <c r="L1212" s="16">
        <f>IF(NOT(Paths!$C$116=1),0,IF(Paths!$P$116="Complete",IF(C1212=10,Paths!$I$116,0),"n.a."))</f>
        <v>0</v>
      </c>
      <c r="M1212" s="16">
        <f>IF(NOT(Paths!$C$116=1),0,IF(Paths!$P$116="Complete",IF(AND(Paths!$D$116="EV",Paths!$E$116&lt;120,Paths!$E$116+'Operating costs'!$B$65&gt;Paths!$E$116,Paths!$E$116+'Operating costs'!$B$65&lt;=120,IF(Paths!$E$116+'Operating costs'!$B$65=0,C1212=0,AND(C1212&gt;0,Paths!$E$116+'Operating costs'!$B$65&gt;(C1212-1)*12,Paths!$E$116+'Operating costs'!$B$65&lt;=C1212*12))),'Operating costs'!$B$64,0)+IF(AND('Operating costs'!$B$67&gt;0,'Operating costs'!$B$67&lt;=120,OR(Paths!$D$116="ICE",'Operating costs'!$B$67&lt;=Paths!$E$116),IF('Operating costs'!$B$67=0,C1212=0,AND(C1212&gt;0,'Operating costs'!$B$67&gt;(C1212-1)*12,'Operating costs'!$B$67&lt;=C1212*12))),'Operating costs'!$B$66,0),"n.a."))</f>
        <v>0</v>
      </c>
      <c r="N1212" s="16">
        <f>IF(NOT(Paths!$C$116=1),0,IF(Paths!$P$116="Complete",SUM(G1212:I1212)-J1212-K1212-L1212+M1212+IF(C1212=0,Paths!$F$116,0)+IF(IF(Paths!$E$116=0,C1212=0,AND(C1212&gt;0,Paths!$E$116&gt;(C1212-1)*12,Paths!$E$116&lt;=C1212*12)),VLOOKUP(A1212,'Fleet register'!$A$7:$S$106,16,FALSE),0),"n.a."))</f>
        <v>0</v>
      </c>
      <c r="O1212" s="16">
        <f>IF(NOT(Paths!$C$116=1),0,IF(Paths!$P$116="Complete",N1212-IF(C1212=0,Paths!$F$116,0),"n.a."))</f>
        <v>0</v>
      </c>
      <c r="P1212" s="16">
        <f>IF(NOT(Paths!$C$116=1),0,IF(Paths!$P$116="Complete",O1212+L1212,"n.a."))</f>
        <v>0</v>
      </c>
      <c r="Q1212" s="16">
        <f>IF(NOT(Paths!$C$116=1),0,IF(Paths!$P$116="Complete",N1212*(1+'Operating costs'!$B$54)^-C1212,"n.a."))</f>
        <v>0</v>
      </c>
      <c r="R1212" s="16">
        <f>IF(NOT(Paths!$C$116=1),0,IF(Paths!$P$116="Complete",IF(AND(C1212=0,Paths!$E$116=0),I1212-J1212-K1212+VLOOKUP(A1212,'Fleet register'!$A$7:$S$106,15,FALSE)+VLOOKUP(A1212,'Fleet register'!$A$7:$S$106,16,FALSE),0),"n.a."))</f>
        <v>0</v>
      </c>
      <c r="S1212" s="1">
        <f>IF(NOT(Paths!$C$116=1),0,IF(Paths!$P$116="Complete",IF(C1212=0,0,Paths!$S$116*Paths!$R$116),"n.a."))</f>
        <v>0</v>
      </c>
      <c r="T1212" s="1">
        <f>IF(NOT(Paths!$C$116=1),0,IF(Paths!$P$116="Complete",IF(C1212=0,0,VLOOKUP(A1212,'Fleet register'!$A$7:$S$106,9,FALSE)*Paths!$R$116),"n.a."))</f>
        <v>0</v>
      </c>
    </row>
    <row r="1213" spans="1:20" ht="24" customHeight="1">
      <c r="A1213" s="1" t="str">
        <f>Paths!$A$116</f>
        <v>T028</v>
      </c>
      <c r="B1213" s="1">
        <f>Paths!$B$116</f>
        <v>1</v>
      </c>
      <c r="C1213" s="1">
        <v>7</v>
      </c>
      <c r="D1213" s="1">
        <v>116</v>
      </c>
      <c r="E1213" s="1">
        <f>IF(OR(Paths!$C$116=0,C1213=0),0,MAX(0,MIN(C1213*12,Paths!$E$116)-(C1213-1)*12))</f>
        <v>0</v>
      </c>
      <c r="F1213" s="1">
        <f>IF(OR(Paths!$C$116=0,C1213=0),0,12-E1213)</f>
        <v>0</v>
      </c>
      <c r="G1213" s="16">
        <f>IF(NOT(Paths!$C$116=1),0,IF(Paths!$P$116="Complete",E1213/12*(Paths!$J$116*(1+'Operating costs'!$B$51)^MAX(0,C1213-1)+Paths!$K$116*(1+'Operating costs'!$B$53)^MAX(0,C1213-1)),"n.a."))</f>
        <v>0</v>
      </c>
      <c r="H1213" s="16">
        <f>IF(NOT(Paths!$C$116=1),0,IF(Paths!$P$116="Complete",F1213/12*(Paths!$L$116*(1+IF(Paths!$D$116="EV",'Operating costs'!$B$52,'Operating costs'!$B$51))^MAX(0,C1213-1)+Paths!$M$116*(1+'Operating costs'!$B$53)^MAX(0,C1213-1)),"n.a."))</f>
        <v>0</v>
      </c>
      <c r="I1213" s="16">
        <f>IF(NOT(Paths!$C$116=1),0,IF(Paths!$P$116="Complete",IF(IF(Paths!$E$116=0,C1213=0,AND(C1213&gt;0,Paths!$E$116&gt;(C1213-1)*12,Paths!$E$116&lt;=C1213*12)),Paths!$G$116,0),"n.a."))</f>
        <v>0</v>
      </c>
      <c r="J1213" s="16">
        <f>IF(NOT(Paths!$C$116=1),0,IF(Paths!$P$116="Complete",IF(IF(Paths!$E$116=0,C1213=0,AND(C1213&gt;0,Paths!$E$116&gt;(C1213-1)*12,Paths!$E$116&lt;=C1213*12)),Paths!$H$116,0),"n.a."))</f>
        <v>0</v>
      </c>
      <c r="K1213" s="16">
        <f>IF(NOT(Paths!$C$116=1),0,IF(Paths!$P$116="Complete",IF(IF(Paths!$O$116=0,C1213=0,AND(C1213&gt;0,Paths!$O$116&gt;(C1213-1)*12,Paths!$O$116&lt;=C1213*12)),Paths!$N$116,0),"n.a."))</f>
        <v>0</v>
      </c>
      <c r="L1213" s="16">
        <f>IF(NOT(Paths!$C$116=1),0,IF(Paths!$P$116="Complete",IF(C1213=10,Paths!$I$116,0),"n.a."))</f>
        <v>0</v>
      </c>
      <c r="M1213" s="16">
        <f>IF(NOT(Paths!$C$116=1),0,IF(Paths!$P$116="Complete",IF(AND(Paths!$D$116="EV",Paths!$E$116&lt;120,Paths!$E$116+'Operating costs'!$B$65&gt;Paths!$E$116,Paths!$E$116+'Operating costs'!$B$65&lt;=120,IF(Paths!$E$116+'Operating costs'!$B$65=0,C1213=0,AND(C1213&gt;0,Paths!$E$116+'Operating costs'!$B$65&gt;(C1213-1)*12,Paths!$E$116+'Operating costs'!$B$65&lt;=C1213*12))),'Operating costs'!$B$64,0)+IF(AND('Operating costs'!$B$67&gt;0,'Operating costs'!$B$67&lt;=120,OR(Paths!$D$116="ICE",'Operating costs'!$B$67&lt;=Paths!$E$116),IF('Operating costs'!$B$67=0,C1213=0,AND(C1213&gt;0,'Operating costs'!$B$67&gt;(C1213-1)*12,'Operating costs'!$B$67&lt;=C1213*12))),'Operating costs'!$B$66,0),"n.a."))</f>
        <v>0</v>
      </c>
      <c r="N1213" s="16">
        <f>IF(NOT(Paths!$C$116=1),0,IF(Paths!$P$116="Complete",SUM(G1213:I1213)-J1213-K1213-L1213+M1213+IF(C1213=0,Paths!$F$116,0)+IF(IF(Paths!$E$116=0,C1213=0,AND(C1213&gt;0,Paths!$E$116&gt;(C1213-1)*12,Paths!$E$116&lt;=C1213*12)),VLOOKUP(A1213,'Fleet register'!$A$7:$S$106,16,FALSE),0),"n.a."))</f>
        <v>0</v>
      </c>
      <c r="O1213" s="16">
        <f>IF(NOT(Paths!$C$116=1),0,IF(Paths!$P$116="Complete",N1213-IF(C1213=0,Paths!$F$116,0),"n.a."))</f>
        <v>0</v>
      </c>
      <c r="P1213" s="16">
        <f>IF(NOT(Paths!$C$116=1),0,IF(Paths!$P$116="Complete",O1213+L1213,"n.a."))</f>
        <v>0</v>
      </c>
      <c r="Q1213" s="16">
        <f>IF(NOT(Paths!$C$116=1),0,IF(Paths!$P$116="Complete",N1213*(1+'Operating costs'!$B$54)^-C1213,"n.a."))</f>
        <v>0</v>
      </c>
      <c r="R1213" s="16">
        <f>IF(NOT(Paths!$C$116=1),0,IF(Paths!$P$116="Complete",IF(AND(C1213=0,Paths!$E$116=0),I1213-J1213-K1213+VLOOKUP(A1213,'Fleet register'!$A$7:$S$106,15,FALSE)+VLOOKUP(A1213,'Fleet register'!$A$7:$S$106,16,FALSE),0),"n.a."))</f>
        <v>0</v>
      </c>
      <c r="S1213" s="1">
        <f>IF(NOT(Paths!$C$116=1),0,IF(Paths!$P$116="Complete",IF(C1213=0,0,Paths!$S$116*Paths!$R$116),"n.a."))</f>
        <v>0</v>
      </c>
      <c r="T1213" s="1">
        <f>IF(NOT(Paths!$C$116=1),0,IF(Paths!$P$116="Complete",IF(C1213=0,0,VLOOKUP(A1213,'Fleet register'!$A$7:$S$106,9,FALSE)*Paths!$R$116),"n.a."))</f>
        <v>0</v>
      </c>
    </row>
    <row r="1214" spans="1:20" ht="24" customHeight="1">
      <c r="A1214" s="1" t="str">
        <f>Paths!$A$116</f>
        <v>T028</v>
      </c>
      <c r="B1214" s="1">
        <f>Paths!$B$116</f>
        <v>1</v>
      </c>
      <c r="C1214" s="1">
        <v>8</v>
      </c>
      <c r="D1214" s="1">
        <v>116</v>
      </c>
      <c r="E1214" s="1">
        <f>IF(OR(Paths!$C$116=0,C1214=0),0,MAX(0,MIN(C1214*12,Paths!$E$116)-(C1214-1)*12))</f>
        <v>0</v>
      </c>
      <c r="F1214" s="1">
        <f>IF(OR(Paths!$C$116=0,C1214=0),0,12-E1214)</f>
        <v>0</v>
      </c>
      <c r="G1214" s="16">
        <f>IF(NOT(Paths!$C$116=1),0,IF(Paths!$P$116="Complete",E1214/12*(Paths!$J$116*(1+'Operating costs'!$B$51)^MAX(0,C1214-1)+Paths!$K$116*(1+'Operating costs'!$B$53)^MAX(0,C1214-1)),"n.a."))</f>
        <v>0</v>
      </c>
      <c r="H1214" s="16">
        <f>IF(NOT(Paths!$C$116=1),0,IF(Paths!$P$116="Complete",F1214/12*(Paths!$L$116*(1+IF(Paths!$D$116="EV",'Operating costs'!$B$52,'Operating costs'!$B$51))^MAX(0,C1214-1)+Paths!$M$116*(1+'Operating costs'!$B$53)^MAX(0,C1214-1)),"n.a."))</f>
        <v>0</v>
      </c>
      <c r="I1214" s="16">
        <f>IF(NOT(Paths!$C$116=1),0,IF(Paths!$P$116="Complete",IF(IF(Paths!$E$116=0,C1214=0,AND(C1214&gt;0,Paths!$E$116&gt;(C1214-1)*12,Paths!$E$116&lt;=C1214*12)),Paths!$G$116,0),"n.a."))</f>
        <v>0</v>
      </c>
      <c r="J1214" s="16">
        <f>IF(NOT(Paths!$C$116=1),0,IF(Paths!$P$116="Complete",IF(IF(Paths!$E$116=0,C1214=0,AND(C1214&gt;0,Paths!$E$116&gt;(C1214-1)*12,Paths!$E$116&lt;=C1214*12)),Paths!$H$116,0),"n.a."))</f>
        <v>0</v>
      </c>
      <c r="K1214" s="16">
        <f>IF(NOT(Paths!$C$116=1),0,IF(Paths!$P$116="Complete",IF(IF(Paths!$O$116=0,C1214=0,AND(C1214&gt;0,Paths!$O$116&gt;(C1214-1)*12,Paths!$O$116&lt;=C1214*12)),Paths!$N$116,0),"n.a."))</f>
        <v>0</v>
      </c>
      <c r="L1214" s="16">
        <f>IF(NOT(Paths!$C$116=1),0,IF(Paths!$P$116="Complete",IF(C1214=10,Paths!$I$116,0),"n.a."))</f>
        <v>0</v>
      </c>
      <c r="M1214" s="16">
        <f>IF(NOT(Paths!$C$116=1),0,IF(Paths!$P$116="Complete",IF(AND(Paths!$D$116="EV",Paths!$E$116&lt;120,Paths!$E$116+'Operating costs'!$B$65&gt;Paths!$E$116,Paths!$E$116+'Operating costs'!$B$65&lt;=120,IF(Paths!$E$116+'Operating costs'!$B$65=0,C1214=0,AND(C1214&gt;0,Paths!$E$116+'Operating costs'!$B$65&gt;(C1214-1)*12,Paths!$E$116+'Operating costs'!$B$65&lt;=C1214*12))),'Operating costs'!$B$64,0)+IF(AND('Operating costs'!$B$67&gt;0,'Operating costs'!$B$67&lt;=120,OR(Paths!$D$116="ICE",'Operating costs'!$B$67&lt;=Paths!$E$116),IF('Operating costs'!$B$67=0,C1214=0,AND(C1214&gt;0,'Operating costs'!$B$67&gt;(C1214-1)*12,'Operating costs'!$B$67&lt;=C1214*12))),'Operating costs'!$B$66,0),"n.a."))</f>
        <v>0</v>
      </c>
      <c r="N1214" s="16">
        <f>IF(NOT(Paths!$C$116=1),0,IF(Paths!$P$116="Complete",SUM(G1214:I1214)-J1214-K1214-L1214+M1214+IF(C1214=0,Paths!$F$116,0)+IF(IF(Paths!$E$116=0,C1214=0,AND(C1214&gt;0,Paths!$E$116&gt;(C1214-1)*12,Paths!$E$116&lt;=C1214*12)),VLOOKUP(A1214,'Fleet register'!$A$7:$S$106,16,FALSE),0),"n.a."))</f>
        <v>0</v>
      </c>
      <c r="O1214" s="16">
        <f>IF(NOT(Paths!$C$116=1),0,IF(Paths!$P$116="Complete",N1214-IF(C1214=0,Paths!$F$116,0),"n.a."))</f>
        <v>0</v>
      </c>
      <c r="P1214" s="16">
        <f>IF(NOT(Paths!$C$116=1),0,IF(Paths!$P$116="Complete",O1214+L1214,"n.a."))</f>
        <v>0</v>
      </c>
      <c r="Q1214" s="16">
        <f>IF(NOT(Paths!$C$116=1),0,IF(Paths!$P$116="Complete",N1214*(1+'Operating costs'!$B$54)^-C1214,"n.a."))</f>
        <v>0</v>
      </c>
      <c r="R1214" s="16">
        <f>IF(NOT(Paths!$C$116=1),0,IF(Paths!$P$116="Complete",IF(AND(C1214=0,Paths!$E$116=0),I1214-J1214-K1214+VLOOKUP(A1214,'Fleet register'!$A$7:$S$106,15,FALSE)+VLOOKUP(A1214,'Fleet register'!$A$7:$S$106,16,FALSE),0),"n.a."))</f>
        <v>0</v>
      </c>
      <c r="S1214" s="1">
        <f>IF(NOT(Paths!$C$116=1),0,IF(Paths!$P$116="Complete",IF(C1214=0,0,Paths!$S$116*Paths!$R$116),"n.a."))</f>
        <v>0</v>
      </c>
      <c r="T1214" s="1">
        <f>IF(NOT(Paths!$C$116=1),0,IF(Paths!$P$116="Complete",IF(C1214=0,0,VLOOKUP(A1214,'Fleet register'!$A$7:$S$106,9,FALSE)*Paths!$R$116),"n.a."))</f>
        <v>0</v>
      </c>
    </row>
    <row r="1215" spans="1:20" ht="24" customHeight="1">
      <c r="A1215" s="1" t="str">
        <f>Paths!$A$116</f>
        <v>T028</v>
      </c>
      <c r="B1215" s="1">
        <f>Paths!$B$116</f>
        <v>1</v>
      </c>
      <c r="C1215" s="1">
        <v>9</v>
      </c>
      <c r="D1215" s="1">
        <v>116</v>
      </c>
      <c r="E1215" s="1">
        <f>IF(OR(Paths!$C$116=0,C1215=0),0,MAX(0,MIN(C1215*12,Paths!$E$116)-(C1215-1)*12))</f>
        <v>0</v>
      </c>
      <c r="F1215" s="1">
        <f>IF(OR(Paths!$C$116=0,C1215=0),0,12-E1215)</f>
        <v>0</v>
      </c>
      <c r="G1215" s="16">
        <f>IF(NOT(Paths!$C$116=1),0,IF(Paths!$P$116="Complete",E1215/12*(Paths!$J$116*(1+'Operating costs'!$B$51)^MAX(0,C1215-1)+Paths!$K$116*(1+'Operating costs'!$B$53)^MAX(0,C1215-1)),"n.a."))</f>
        <v>0</v>
      </c>
      <c r="H1215" s="16">
        <f>IF(NOT(Paths!$C$116=1),0,IF(Paths!$P$116="Complete",F1215/12*(Paths!$L$116*(1+IF(Paths!$D$116="EV",'Operating costs'!$B$52,'Operating costs'!$B$51))^MAX(0,C1215-1)+Paths!$M$116*(1+'Operating costs'!$B$53)^MAX(0,C1215-1)),"n.a."))</f>
        <v>0</v>
      </c>
      <c r="I1215" s="16">
        <f>IF(NOT(Paths!$C$116=1),0,IF(Paths!$P$116="Complete",IF(IF(Paths!$E$116=0,C1215=0,AND(C1215&gt;0,Paths!$E$116&gt;(C1215-1)*12,Paths!$E$116&lt;=C1215*12)),Paths!$G$116,0),"n.a."))</f>
        <v>0</v>
      </c>
      <c r="J1215" s="16">
        <f>IF(NOT(Paths!$C$116=1),0,IF(Paths!$P$116="Complete",IF(IF(Paths!$E$116=0,C1215=0,AND(C1215&gt;0,Paths!$E$116&gt;(C1215-1)*12,Paths!$E$116&lt;=C1215*12)),Paths!$H$116,0),"n.a."))</f>
        <v>0</v>
      </c>
      <c r="K1215" s="16">
        <f>IF(NOT(Paths!$C$116=1),0,IF(Paths!$P$116="Complete",IF(IF(Paths!$O$116=0,C1215=0,AND(C1215&gt;0,Paths!$O$116&gt;(C1215-1)*12,Paths!$O$116&lt;=C1215*12)),Paths!$N$116,0),"n.a."))</f>
        <v>0</v>
      </c>
      <c r="L1215" s="16">
        <f>IF(NOT(Paths!$C$116=1),0,IF(Paths!$P$116="Complete",IF(C1215=10,Paths!$I$116,0),"n.a."))</f>
        <v>0</v>
      </c>
      <c r="M1215" s="16">
        <f>IF(NOT(Paths!$C$116=1),0,IF(Paths!$P$116="Complete",IF(AND(Paths!$D$116="EV",Paths!$E$116&lt;120,Paths!$E$116+'Operating costs'!$B$65&gt;Paths!$E$116,Paths!$E$116+'Operating costs'!$B$65&lt;=120,IF(Paths!$E$116+'Operating costs'!$B$65=0,C1215=0,AND(C1215&gt;0,Paths!$E$116+'Operating costs'!$B$65&gt;(C1215-1)*12,Paths!$E$116+'Operating costs'!$B$65&lt;=C1215*12))),'Operating costs'!$B$64,0)+IF(AND('Operating costs'!$B$67&gt;0,'Operating costs'!$B$67&lt;=120,OR(Paths!$D$116="ICE",'Operating costs'!$B$67&lt;=Paths!$E$116),IF('Operating costs'!$B$67=0,C1215=0,AND(C1215&gt;0,'Operating costs'!$B$67&gt;(C1215-1)*12,'Operating costs'!$B$67&lt;=C1215*12))),'Operating costs'!$B$66,0),"n.a."))</f>
        <v>0</v>
      </c>
      <c r="N1215" s="16">
        <f>IF(NOT(Paths!$C$116=1),0,IF(Paths!$P$116="Complete",SUM(G1215:I1215)-J1215-K1215-L1215+M1215+IF(C1215=0,Paths!$F$116,0)+IF(IF(Paths!$E$116=0,C1215=0,AND(C1215&gt;0,Paths!$E$116&gt;(C1215-1)*12,Paths!$E$116&lt;=C1215*12)),VLOOKUP(A1215,'Fleet register'!$A$7:$S$106,16,FALSE),0),"n.a."))</f>
        <v>0</v>
      </c>
      <c r="O1215" s="16">
        <f>IF(NOT(Paths!$C$116=1),0,IF(Paths!$P$116="Complete",N1215-IF(C1215=0,Paths!$F$116,0),"n.a."))</f>
        <v>0</v>
      </c>
      <c r="P1215" s="16">
        <f>IF(NOT(Paths!$C$116=1),0,IF(Paths!$P$116="Complete",O1215+L1215,"n.a."))</f>
        <v>0</v>
      </c>
      <c r="Q1215" s="16">
        <f>IF(NOT(Paths!$C$116=1),0,IF(Paths!$P$116="Complete",N1215*(1+'Operating costs'!$B$54)^-C1215,"n.a."))</f>
        <v>0</v>
      </c>
      <c r="R1215" s="16">
        <f>IF(NOT(Paths!$C$116=1),0,IF(Paths!$P$116="Complete",IF(AND(C1215=0,Paths!$E$116=0),I1215-J1215-K1215+VLOOKUP(A1215,'Fleet register'!$A$7:$S$106,15,FALSE)+VLOOKUP(A1215,'Fleet register'!$A$7:$S$106,16,FALSE),0),"n.a."))</f>
        <v>0</v>
      </c>
      <c r="S1215" s="1">
        <f>IF(NOT(Paths!$C$116=1),0,IF(Paths!$P$116="Complete",IF(C1215=0,0,Paths!$S$116*Paths!$R$116),"n.a."))</f>
        <v>0</v>
      </c>
      <c r="T1215" s="1">
        <f>IF(NOT(Paths!$C$116=1),0,IF(Paths!$P$116="Complete",IF(C1215=0,0,VLOOKUP(A1215,'Fleet register'!$A$7:$S$106,9,FALSE)*Paths!$R$116),"n.a."))</f>
        <v>0</v>
      </c>
    </row>
    <row r="1216" spans="1:20" ht="24" customHeight="1">
      <c r="A1216" s="1" t="str">
        <f>Paths!$A$116</f>
        <v>T028</v>
      </c>
      <c r="B1216" s="1">
        <f>Paths!$B$116</f>
        <v>1</v>
      </c>
      <c r="C1216" s="1">
        <v>10</v>
      </c>
      <c r="D1216" s="1">
        <v>116</v>
      </c>
      <c r="E1216" s="1">
        <f>IF(OR(Paths!$C$116=0,C1216=0),0,MAX(0,MIN(C1216*12,Paths!$E$116)-(C1216-1)*12))</f>
        <v>0</v>
      </c>
      <c r="F1216" s="1">
        <f>IF(OR(Paths!$C$116=0,C1216=0),0,12-E1216)</f>
        <v>0</v>
      </c>
      <c r="G1216" s="16">
        <f>IF(NOT(Paths!$C$116=1),0,IF(Paths!$P$116="Complete",E1216/12*(Paths!$J$116*(1+'Operating costs'!$B$51)^MAX(0,C1216-1)+Paths!$K$116*(1+'Operating costs'!$B$53)^MAX(0,C1216-1)),"n.a."))</f>
        <v>0</v>
      </c>
      <c r="H1216" s="16">
        <f>IF(NOT(Paths!$C$116=1),0,IF(Paths!$P$116="Complete",F1216/12*(Paths!$L$116*(1+IF(Paths!$D$116="EV",'Operating costs'!$B$52,'Operating costs'!$B$51))^MAX(0,C1216-1)+Paths!$M$116*(1+'Operating costs'!$B$53)^MAX(0,C1216-1)),"n.a."))</f>
        <v>0</v>
      </c>
      <c r="I1216" s="16">
        <f>IF(NOT(Paths!$C$116=1),0,IF(Paths!$P$116="Complete",IF(IF(Paths!$E$116=0,C1216=0,AND(C1216&gt;0,Paths!$E$116&gt;(C1216-1)*12,Paths!$E$116&lt;=C1216*12)),Paths!$G$116,0),"n.a."))</f>
        <v>0</v>
      </c>
      <c r="J1216" s="16">
        <f>IF(NOT(Paths!$C$116=1),0,IF(Paths!$P$116="Complete",IF(IF(Paths!$E$116=0,C1216=0,AND(C1216&gt;0,Paths!$E$116&gt;(C1216-1)*12,Paths!$E$116&lt;=C1216*12)),Paths!$H$116,0),"n.a."))</f>
        <v>0</v>
      </c>
      <c r="K1216" s="16">
        <f>IF(NOT(Paths!$C$116=1),0,IF(Paths!$P$116="Complete",IF(IF(Paths!$O$116=0,C1216=0,AND(C1216&gt;0,Paths!$O$116&gt;(C1216-1)*12,Paths!$O$116&lt;=C1216*12)),Paths!$N$116,0),"n.a."))</f>
        <v>0</v>
      </c>
      <c r="L1216" s="16">
        <f>IF(NOT(Paths!$C$116=1),0,IF(Paths!$P$116="Complete",IF(C1216=10,Paths!$I$116,0),"n.a."))</f>
        <v>0</v>
      </c>
      <c r="M1216" s="16">
        <f>IF(NOT(Paths!$C$116=1),0,IF(Paths!$P$116="Complete",IF(AND(Paths!$D$116="EV",Paths!$E$116&lt;120,Paths!$E$116+'Operating costs'!$B$65&gt;Paths!$E$116,Paths!$E$116+'Operating costs'!$B$65&lt;=120,IF(Paths!$E$116+'Operating costs'!$B$65=0,C1216=0,AND(C1216&gt;0,Paths!$E$116+'Operating costs'!$B$65&gt;(C1216-1)*12,Paths!$E$116+'Operating costs'!$B$65&lt;=C1216*12))),'Operating costs'!$B$64,0)+IF(AND('Operating costs'!$B$67&gt;0,'Operating costs'!$B$67&lt;=120,OR(Paths!$D$116="ICE",'Operating costs'!$B$67&lt;=Paths!$E$116),IF('Operating costs'!$B$67=0,C1216=0,AND(C1216&gt;0,'Operating costs'!$B$67&gt;(C1216-1)*12,'Operating costs'!$B$67&lt;=C1216*12))),'Operating costs'!$B$66,0),"n.a."))</f>
        <v>0</v>
      </c>
      <c r="N1216" s="16">
        <f>IF(NOT(Paths!$C$116=1),0,IF(Paths!$P$116="Complete",SUM(G1216:I1216)-J1216-K1216-L1216+M1216+IF(C1216=0,Paths!$F$116,0)+IF(IF(Paths!$E$116=0,C1216=0,AND(C1216&gt;0,Paths!$E$116&gt;(C1216-1)*12,Paths!$E$116&lt;=C1216*12)),VLOOKUP(A1216,'Fleet register'!$A$7:$S$106,16,FALSE),0),"n.a."))</f>
        <v>0</v>
      </c>
      <c r="O1216" s="16">
        <f>IF(NOT(Paths!$C$116=1),0,IF(Paths!$P$116="Complete",N1216-IF(C1216=0,Paths!$F$116,0),"n.a."))</f>
        <v>0</v>
      </c>
      <c r="P1216" s="16">
        <f>IF(NOT(Paths!$C$116=1),0,IF(Paths!$P$116="Complete",O1216+L1216,"n.a."))</f>
        <v>0</v>
      </c>
      <c r="Q1216" s="16">
        <f>IF(NOT(Paths!$C$116=1),0,IF(Paths!$P$116="Complete",N1216*(1+'Operating costs'!$B$54)^-C1216,"n.a."))</f>
        <v>0</v>
      </c>
      <c r="R1216" s="16">
        <f>IF(NOT(Paths!$C$116=1),0,IF(Paths!$P$116="Complete",IF(AND(C1216=0,Paths!$E$116=0),I1216-J1216-K1216+VLOOKUP(A1216,'Fleet register'!$A$7:$S$106,15,FALSE)+VLOOKUP(A1216,'Fleet register'!$A$7:$S$106,16,FALSE),0),"n.a."))</f>
        <v>0</v>
      </c>
      <c r="S1216" s="1">
        <f>IF(NOT(Paths!$C$116=1),0,IF(Paths!$P$116="Complete",IF(C1216=0,0,Paths!$S$116*Paths!$R$116),"n.a."))</f>
        <v>0</v>
      </c>
      <c r="T1216" s="1">
        <f>IF(NOT(Paths!$C$116=1),0,IF(Paths!$P$116="Complete",IF(C1216=0,0,VLOOKUP(A1216,'Fleet register'!$A$7:$S$106,9,FALSE)*Paths!$R$116),"n.a."))</f>
        <v>0</v>
      </c>
    </row>
    <row r="1217" spans="1:20" ht="24" customHeight="1">
      <c r="A1217" s="1" t="str">
        <f>Paths!$A$117</f>
        <v>T028</v>
      </c>
      <c r="B1217" s="1">
        <f>Paths!$B$117</f>
        <v>2</v>
      </c>
      <c r="C1217" s="1">
        <v>0</v>
      </c>
      <c r="D1217" s="1">
        <v>117</v>
      </c>
      <c r="E1217" s="1">
        <f>IF(OR(Paths!$C$117=0,C1217=0),0,MAX(0,MIN(C1217*12,Paths!$E$117)-(C1217-1)*12))</f>
        <v>0</v>
      </c>
      <c r="F1217" s="1">
        <f>IF(OR(Paths!$C$117=0,C1217=0),0,12-E1217)</f>
        <v>0</v>
      </c>
      <c r="G1217" s="16">
        <f>IF(NOT(Paths!$C$117=1),0,IF(Paths!$P$117="Complete",E1217/12*(Paths!$J$117*(1+'Operating costs'!$B$51)^MAX(0,C1217-1)+Paths!$K$117*(1+'Operating costs'!$B$53)^MAX(0,C1217-1)),"n.a."))</f>
        <v>0</v>
      </c>
      <c r="H1217" s="16">
        <f>IF(NOT(Paths!$C$117=1),0,IF(Paths!$P$117="Complete",F1217/12*(Paths!$L$117*(1+IF(Paths!$D$117="EV",'Operating costs'!$B$52,'Operating costs'!$B$51))^MAX(0,C1217-1)+Paths!$M$117*(1+'Operating costs'!$B$53)^MAX(0,C1217-1)),"n.a."))</f>
        <v>0</v>
      </c>
      <c r="I1217" s="16">
        <f>IF(NOT(Paths!$C$117=1),0,IF(Paths!$P$117="Complete",IF(IF(Paths!$E$117=0,C1217=0,AND(C1217&gt;0,Paths!$E$117&gt;(C1217-1)*12,Paths!$E$117&lt;=C1217*12)),Paths!$G$117,0),"n.a."))</f>
        <v>0</v>
      </c>
      <c r="J1217" s="16">
        <f>IF(NOT(Paths!$C$117=1),0,IF(Paths!$P$117="Complete",IF(IF(Paths!$E$117=0,C1217=0,AND(C1217&gt;0,Paths!$E$117&gt;(C1217-1)*12,Paths!$E$117&lt;=C1217*12)),Paths!$H$117,0),"n.a."))</f>
        <v>0</v>
      </c>
      <c r="K1217" s="16">
        <f>IF(NOT(Paths!$C$117=1),0,IF(Paths!$P$117="Complete",IF(IF(Paths!$O$117=0,C1217=0,AND(C1217&gt;0,Paths!$O$117&gt;(C1217-1)*12,Paths!$O$117&lt;=C1217*12)),Paths!$N$117,0),"n.a."))</f>
        <v>0</v>
      </c>
      <c r="L1217" s="16">
        <f>IF(NOT(Paths!$C$117=1),0,IF(Paths!$P$117="Complete",IF(C1217=10,Paths!$I$117,0),"n.a."))</f>
        <v>0</v>
      </c>
      <c r="M1217" s="16">
        <f>IF(NOT(Paths!$C$117=1),0,IF(Paths!$P$117="Complete",IF(AND(Paths!$D$117="EV",Paths!$E$117&lt;120,Paths!$E$117+'Operating costs'!$B$65&gt;Paths!$E$117,Paths!$E$117+'Operating costs'!$B$65&lt;=120,IF(Paths!$E$117+'Operating costs'!$B$65=0,C1217=0,AND(C1217&gt;0,Paths!$E$117+'Operating costs'!$B$65&gt;(C1217-1)*12,Paths!$E$117+'Operating costs'!$B$65&lt;=C1217*12))),'Operating costs'!$B$64,0)+IF(AND('Operating costs'!$B$67&gt;0,'Operating costs'!$B$67&lt;=120,OR(Paths!$D$117="ICE",'Operating costs'!$B$67&lt;=Paths!$E$117),IF('Operating costs'!$B$67=0,C1217=0,AND(C1217&gt;0,'Operating costs'!$B$67&gt;(C1217-1)*12,'Operating costs'!$B$67&lt;=C1217*12))),'Operating costs'!$B$66,0),"n.a."))</f>
        <v>0</v>
      </c>
      <c r="N1217" s="16">
        <f>IF(NOT(Paths!$C$117=1),0,IF(Paths!$P$117="Complete",SUM(G1217:I1217)-J1217-K1217-L1217+M1217+IF(C1217=0,Paths!$F$117,0)+IF(IF(Paths!$E$117=0,C1217=0,AND(C1217&gt;0,Paths!$E$117&gt;(C1217-1)*12,Paths!$E$117&lt;=C1217*12)),VLOOKUP(A1217,'Fleet register'!$A$7:$S$106,16,FALSE),0),"n.a."))</f>
        <v>0</v>
      </c>
      <c r="O1217" s="16">
        <f>IF(NOT(Paths!$C$117=1),0,IF(Paths!$P$117="Complete",N1217-IF(C1217=0,Paths!$F$117,0),"n.a."))</f>
        <v>0</v>
      </c>
      <c r="P1217" s="16">
        <f>IF(NOT(Paths!$C$117=1),0,IF(Paths!$P$117="Complete",O1217+L1217,"n.a."))</f>
        <v>0</v>
      </c>
      <c r="Q1217" s="16">
        <f>IF(NOT(Paths!$C$117=1),0,IF(Paths!$P$117="Complete",N1217*(1+'Operating costs'!$B$54)^-C1217,"n.a."))</f>
        <v>0</v>
      </c>
      <c r="R1217" s="16">
        <f>IF(NOT(Paths!$C$117=1),0,IF(Paths!$P$117="Complete",IF(AND(C1217=0,Paths!$E$117=0),I1217-J1217-K1217+VLOOKUP(A1217,'Fleet register'!$A$7:$S$106,15,FALSE)+VLOOKUP(A1217,'Fleet register'!$A$7:$S$106,16,FALSE),0),"n.a."))</f>
        <v>0</v>
      </c>
      <c r="S1217" s="1">
        <f>IF(NOT(Paths!$C$117=1),0,IF(Paths!$P$117="Complete",IF(C1217=0,0,Paths!$S$117*Paths!$R$117),"n.a."))</f>
        <v>0</v>
      </c>
      <c r="T1217" s="1">
        <f>IF(NOT(Paths!$C$117=1),0,IF(Paths!$P$117="Complete",IF(C1217=0,0,VLOOKUP(A1217,'Fleet register'!$A$7:$S$106,9,FALSE)*Paths!$R$117),"n.a."))</f>
        <v>0</v>
      </c>
    </row>
    <row r="1218" spans="1:20" ht="24" customHeight="1">
      <c r="A1218" s="1" t="str">
        <f>Paths!$A$117</f>
        <v>T028</v>
      </c>
      <c r="B1218" s="1">
        <f>Paths!$B$117</f>
        <v>2</v>
      </c>
      <c r="C1218" s="1">
        <v>1</v>
      </c>
      <c r="D1218" s="1">
        <v>117</v>
      </c>
      <c r="E1218" s="1">
        <f>IF(OR(Paths!$C$117=0,C1218=0),0,MAX(0,MIN(C1218*12,Paths!$E$117)-(C1218-1)*12))</f>
        <v>0</v>
      </c>
      <c r="F1218" s="1">
        <f>IF(OR(Paths!$C$117=0,C1218=0),0,12-E1218)</f>
        <v>0</v>
      </c>
      <c r="G1218" s="16">
        <f>IF(NOT(Paths!$C$117=1),0,IF(Paths!$P$117="Complete",E1218/12*(Paths!$J$117*(1+'Operating costs'!$B$51)^MAX(0,C1218-1)+Paths!$K$117*(1+'Operating costs'!$B$53)^MAX(0,C1218-1)),"n.a."))</f>
        <v>0</v>
      </c>
      <c r="H1218" s="16">
        <f>IF(NOT(Paths!$C$117=1),0,IF(Paths!$P$117="Complete",F1218/12*(Paths!$L$117*(1+IF(Paths!$D$117="EV",'Operating costs'!$B$52,'Operating costs'!$B$51))^MAX(0,C1218-1)+Paths!$M$117*(1+'Operating costs'!$B$53)^MAX(0,C1218-1)),"n.a."))</f>
        <v>0</v>
      </c>
      <c r="I1218" s="16">
        <f>IF(NOT(Paths!$C$117=1),0,IF(Paths!$P$117="Complete",IF(IF(Paths!$E$117=0,C1218=0,AND(C1218&gt;0,Paths!$E$117&gt;(C1218-1)*12,Paths!$E$117&lt;=C1218*12)),Paths!$G$117,0),"n.a."))</f>
        <v>0</v>
      </c>
      <c r="J1218" s="16">
        <f>IF(NOT(Paths!$C$117=1),0,IF(Paths!$P$117="Complete",IF(IF(Paths!$E$117=0,C1218=0,AND(C1218&gt;0,Paths!$E$117&gt;(C1218-1)*12,Paths!$E$117&lt;=C1218*12)),Paths!$H$117,0),"n.a."))</f>
        <v>0</v>
      </c>
      <c r="K1218" s="16">
        <f>IF(NOT(Paths!$C$117=1),0,IF(Paths!$P$117="Complete",IF(IF(Paths!$O$117=0,C1218=0,AND(C1218&gt;0,Paths!$O$117&gt;(C1218-1)*12,Paths!$O$117&lt;=C1218*12)),Paths!$N$117,0),"n.a."))</f>
        <v>0</v>
      </c>
      <c r="L1218" s="16">
        <f>IF(NOT(Paths!$C$117=1),0,IF(Paths!$P$117="Complete",IF(C1218=10,Paths!$I$117,0),"n.a."))</f>
        <v>0</v>
      </c>
      <c r="M1218" s="16">
        <f>IF(NOT(Paths!$C$117=1),0,IF(Paths!$P$117="Complete",IF(AND(Paths!$D$117="EV",Paths!$E$117&lt;120,Paths!$E$117+'Operating costs'!$B$65&gt;Paths!$E$117,Paths!$E$117+'Operating costs'!$B$65&lt;=120,IF(Paths!$E$117+'Operating costs'!$B$65=0,C1218=0,AND(C1218&gt;0,Paths!$E$117+'Operating costs'!$B$65&gt;(C1218-1)*12,Paths!$E$117+'Operating costs'!$B$65&lt;=C1218*12))),'Operating costs'!$B$64,0)+IF(AND('Operating costs'!$B$67&gt;0,'Operating costs'!$B$67&lt;=120,OR(Paths!$D$117="ICE",'Operating costs'!$B$67&lt;=Paths!$E$117),IF('Operating costs'!$B$67=0,C1218=0,AND(C1218&gt;0,'Operating costs'!$B$67&gt;(C1218-1)*12,'Operating costs'!$B$67&lt;=C1218*12))),'Operating costs'!$B$66,0),"n.a."))</f>
        <v>0</v>
      </c>
      <c r="N1218" s="16">
        <f>IF(NOT(Paths!$C$117=1),0,IF(Paths!$P$117="Complete",SUM(G1218:I1218)-J1218-K1218-L1218+M1218+IF(C1218=0,Paths!$F$117,0)+IF(IF(Paths!$E$117=0,C1218=0,AND(C1218&gt;0,Paths!$E$117&gt;(C1218-1)*12,Paths!$E$117&lt;=C1218*12)),VLOOKUP(A1218,'Fleet register'!$A$7:$S$106,16,FALSE),0),"n.a."))</f>
        <v>0</v>
      </c>
      <c r="O1218" s="16">
        <f>IF(NOT(Paths!$C$117=1),0,IF(Paths!$P$117="Complete",N1218-IF(C1218=0,Paths!$F$117,0),"n.a."))</f>
        <v>0</v>
      </c>
      <c r="P1218" s="16">
        <f>IF(NOT(Paths!$C$117=1),0,IF(Paths!$P$117="Complete",O1218+L1218,"n.a."))</f>
        <v>0</v>
      </c>
      <c r="Q1218" s="16">
        <f>IF(NOT(Paths!$C$117=1),0,IF(Paths!$P$117="Complete",N1218*(1+'Operating costs'!$B$54)^-C1218,"n.a."))</f>
        <v>0</v>
      </c>
      <c r="R1218" s="16">
        <f>IF(NOT(Paths!$C$117=1),0,IF(Paths!$P$117="Complete",IF(AND(C1218=0,Paths!$E$117=0),I1218-J1218-K1218+VLOOKUP(A1218,'Fleet register'!$A$7:$S$106,15,FALSE)+VLOOKUP(A1218,'Fleet register'!$A$7:$S$106,16,FALSE),0),"n.a."))</f>
        <v>0</v>
      </c>
      <c r="S1218" s="1">
        <f>IF(NOT(Paths!$C$117=1),0,IF(Paths!$P$117="Complete",IF(C1218=0,0,Paths!$S$117*Paths!$R$117),"n.a."))</f>
        <v>0</v>
      </c>
      <c r="T1218" s="1">
        <f>IF(NOT(Paths!$C$117=1),0,IF(Paths!$P$117="Complete",IF(C1218=0,0,VLOOKUP(A1218,'Fleet register'!$A$7:$S$106,9,FALSE)*Paths!$R$117),"n.a."))</f>
        <v>0</v>
      </c>
    </row>
    <row r="1219" spans="1:20" ht="24" customHeight="1">
      <c r="A1219" s="1" t="str">
        <f>Paths!$A$117</f>
        <v>T028</v>
      </c>
      <c r="B1219" s="1">
        <f>Paths!$B$117</f>
        <v>2</v>
      </c>
      <c r="C1219" s="1">
        <v>2</v>
      </c>
      <c r="D1219" s="1">
        <v>117</v>
      </c>
      <c r="E1219" s="1">
        <f>IF(OR(Paths!$C$117=0,C1219=0),0,MAX(0,MIN(C1219*12,Paths!$E$117)-(C1219-1)*12))</f>
        <v>0</v>
      </c>
      <c r="F1219" s="1">
        <f>IF(OR(Paths!$C$117=0,C1219=0),0,12-E1219)</f>
        <v>0</v>
      </c>
      <c r="G1219" s="16">
        <f>IF(NOT(Paths!$C$117=1),0,IF(Paths!$P$117="Complete",E1219/12*(Paths!$J$117*(1+'Operating costs'!$B$51)^MAX(0,C1219-1)+Paths!$K$117*(1+'Operating costs'!$B$53)^MAX(0,C1219-1)),"n.a."))</f>
        <v>0</v>
      </c>
      <c r="H1219" s="16">
        <f>IF(NOT(Paths!$C$117=1),0,IF(Paths!$P$117="Complete",F1219/12*(Paths!$L$117*(1+IF(Paths!$D$117="EV",'Operating costs'!$B$52,'Operating costs'!$B$51))^MAX(0,C1219-1)+Paths!$M$117*(1+'Operating costs'!$B$53)^MAX(0,C1219-1)),"n.a."))</f>
        <v>0</v>
      </c>
      <c r="I1219" s="16">
        <f>IF(NOT(Paths!$C$117=1),0,IF(Paths!$P$117="Complete",IF(IF(Paths!$E$117=0,C1219=0,AND(C1219&gt;0,Paths!$E$117&gt;(C1219-1)*12,Paths!$E$117&lt;=C1219*12)),Paths!$G$117,0),"n.a."))</f>
        <v>0</v>
      </c>
      <c r="J1219" s="16">
        <f>IF(NOT(Paths!$C$117=1),0,IF(Paths!$P$117="Complete",IF(IF(Paths!$E$117=0,C1219=0,AND(C1219&gt;0,Paths!$E$117&gt;(C1219-1)*12,Paths!$E$117&lt;=C1219*12)),Paths!$H$117,0),"n.a."))</f>
        <v>0</v>
      </c>
      <c r="K1219" s="16">
        <f>IF(NOT(Paths!$C$117=1),0,IF(Paths!$P$117="Complete",IF(IF(Paths!$O$117=0,C1219=0,AND(C1219&gt;0,Paths!$O$117&gt;(C1219-1)*12,Paths!$O$117&lt;=C1219*12)),Paths!$N$117,0),"n.a."))</f>
        <v>0</v>
      </c>
      <c r="L1219" s="16">
        <f>IF(NOT(Paths!$C$117=1),0,IF(Paths!$P$117="Complete",IF(C1219=10,Paths!$I$117,0),"n.a."))</f>
        <v>0</v>
      </c>
      <c r="M1219" s="16">
        <f>IF(NOT(Paths!$C$117=1),0,IF(Paths!$P$117="Complete",IF(AND(Paths!$D$117="EV",Paths!$E$117&lt;120,Paths!$E$117+'Operating costs'!$B$65&gt;Paths!$E$117,Paths!$E$117+'Operating costs'!$B$65&lt;=120,IF(Paths!$E$117+'Operating costs'!$B$65=0,C1219=0,AND(C1219&gt;0,Paths!$E$117+'Operating costs'!$B$65&gt;(C1219-1)*12,Paths!$E$117+'Operating costs'!$B$65&lt;=C1219*12))),'Operating costs'!$B$64,0)+IF(AND('Operating costs'!$B$67&gt;0,'Operating costs'!$B$67&lt;=120,OR(Paths!$D$117="ICE",'Operating costs'!$B$67&lt;=Paths!$E$117),IF('Operating costs'!$B$67=0,C1219=0,AND(C1219&gt;0,'Operating costs'!$B$67&gt;(C1219-1)*12,'Operating costs'!$B$67&lt;=C1219*12))),'Operating costs'!$B$66,0),"n.a."))</f>
        <v>0</v>
      </c>
      <c r="N1219" s="16">
        <f>IF(NOT(Paths!$C$117=1),0,IF(Paths!$P$117="Complete",SUM(G1219:I1219)-J1219-K1219-L1219+M1219+IF(C1219=0,Paths!$F$117,0)+IF(IF(Paths!$E$117=0,C1219=0,AND(C1219&gt;0,Paths!$E$117&gt;(C1219-1)*12,Paths!$E$117&lt;=C1219*12)),VLOOKUP(A1219,'Fleet register'!$A$7:$S$106,16,FALSE),0),"n.a."))</f>
        <v>0</v>
      </c>
      <c r="O1219" s="16">
        <f>IF(NOT(Paths!$C$117=1),0,IF(Paths!$P$117="Complete",N1219-IF(C1219=0,Paths!$F$117,0),"n.a."))</f>
        <v>0</v>
      </c>
      <c r="P1219" s="16">
        <f>IF(NOT(Paths!$C$117=1),0,IF(Paths!$P$117="Complete",O1219+L1219,"n.a."))</f>
        <v>0</v>
      </c>
      <c r="Q1219" s="16">
        <f>IF(NOT(Paths!$C$117=1),0,IF(Paths!$P$117="Complete",N1219*(1+'Operating costs'!$B$54)^-C1219,"n.a."))</f>
        <v>0</v>
      </c>
      <c r="R1219" s="16">
        <f>IF(NOT(Paths!$C$117=1),0,IF(Paths!$P$117="Complete",IF(AND(C1219=0,Paths!$E$117=0),I1219-J1219-K1219+VLOOKUP(A1219,'Fleet register'!$A$7:$S$106,15,FALSE)+VLOOKUP(A1219,'Fleet register'!$A$7:$S$106,16,FALSE),0),"n.a."))</f>
        <v>0</v>
      </c>
      <c r="S1219" s="1">
        <f>IF(NOT(Paths!$C$117=1),0,IF(Paths!$P$117="Complete",IF(C1219=0,0,Paths!$S$117*Paths!$R$117),"n.a."))</f>
        <v>0</v>
      </c>
      <c r="T1219" s="1">
        <f>IF(NOT(Paths!$C$117=1),0,IF(Paths!$P$117="Complete",IF(C1219=0,0,VLOOKUP(A1219,'Fleet register'!$A$7:$S$106,9,FALSE)*Paths!$R$117),"n.a."))</f>
        <v>0</v>
      </c>
    </row>
    <row r="1220" spans="1:20" ht="24" customHeight="1">
      <c r="A1220" s="1" t="str">
        <f>Paths!$A$117</f>
        <v>T028</v>
      </c>
      <c r="B1220" s="1">
        <f>Paths!$B$117</f>
        <v>2</v>
      </c>
      <c r="C1220" s="1">
        <v>3</v>
      </c>
      <c r="D1220" s="1">
        <v>117</v>
      </c>
      <c r="E1220" s="1">
        <f>IF(OR(Paths!$C$117=0,C1220=0),0,MAX(0,MIN(C1220*12,Paths!$E$117)-(C1220-1)*12))</f>
        <v>0</v>
      </c>
      <c r="F1220" s="1">
        <f>IF(OR(Paths!$C$117=0,C1220=0),0,12-E1220)</f>
        <v>0</v>
      </c>
      <c r="G1220" s="16">
        <f>IF(NOT(Paths!$C$117=1),0,IF(Paths!$P$117="Complete",E1220/12*(Paths!$J$117*(1+'Operating costs'!$B$51)^MAX(0,C1220-1)+Paths!$K$117*(1+'Operating costs'!$B$53)^MAX(0,C1220-1)),"n.a."))</f>
        <v>0</v>
      </c>
      <c r="H1220" s="16">
        <f>IF(NOT(Paths!$C$117=1),0,IF(Paths!$P$117="Complete",F1220/12*(Paths!$L$117*(1+IF(Paths!$D$117="EV",'Operating costs'!$B$52,'Operating costs'!$B$51))^MAX(0,C1220-1)+Paths!$M$117*(1+'Operating costs'!$B$53)^MAX(0,C1220-1)),"n.a."))</f>
        <v>0</v>
      </c>
      <c r="I1220" s="16">
        <f>IF(NOT(Paths!$C$117=1),0,IF(Paths!$P$117="Complete",IF(IF(Paths!$E$117=0,C1220=0,AND(C1220&gt;0,Paths!$E$117&gt;(C1220-1)*12,Paths!$E$117&lt;=C1220*12)),Paths!$G$117,0),"n.a."))</f>
        <v>0</v>
      </c>
      <c r="J1220" s="16">
        <f>IF(NOT(Paths!$C$117=1),0,IF(Paths!$P$117="Complete",IF(IF(Paths!$E$117=0,C1220=0,AND(C1220&gt;0,Paths!$E$117&gt;(C1220-1)*12,Paths!$E$117&lt;=C1220*12)),Paths!$H$117,0),"n.a."))</f>
        <v>0</v>
      </c>
      <c r="K1220" s="16">
        <f>IF(NOT(Paths!$C$117=1),0,IF(Paths!$P$117="Complete",IF(IF(Paths!$O$117=0,C1220=0,AND(C1220&gt;0,Paths!$O$117&gt;(C1220-1)*12,Paths!$O$117&lt;=C1220*12)),Paths!$N$117,0),"n.a."))</f>
        <v>0</v>
      </c>
      <c r="L1220" s="16">
        <f>IF(NOT(Paths!$C$117=1),0,IF(Paths!$P$117="Complete",IF(C1220=10,Paths!$I$117,0),"n.a."))</f>
        <v>0</v>
      </c>
      <c r="M1220" s="16">
        <f>IF(NOT(Paths!$C$117=1),0,IF(Paths!$P$117="Complete",IF(AND(Paths!$D$117="EV",Paths!$E$117&lt;120,Paths!$E$117+'Operating costs'!$B$65&gt;Paths!$E$117,Paths!$E$117+'Operating costs'!$B$65&lt;=120,IF(Paths!$E$117+'Operating costs'!$B$65=0,C1220=0,AND(C1220&gt;0,Paths!$E$117+'Operating costs'!$B$65&gt;(C1220-1)*12,Paths!$E$117+'Operating costs'!$B$65&lt;=C1220*12))),'Operating costs'!$B$64,0)+IF(AND('Operating costs'!$B$67&gt;0,'Operating costs'!$B$67&lt;=120,OR(Paths!$D$117="ICE",'Operating costs'!$B$67&lt;=Paths!$E$117),IF('Operating costs'!$B$67=0,C1220=0,AND(C1220&gt;0,'Operating costs'!$B$67&gt;(C1220-1)*12,'Operating costs'!$B$67&lt;=C1220*12))),'Operating costs'!$B$66,0),"n.a."))</f>
        <v>0</v>
      </c>
      <c r="N1220" s="16">
        <f>IF(NOT(Paths!$C$117=1),0,IF(Paths!$P$117="Complete",SUM(G1220:I1220)-J1220-K1220-L1220+M1220+IF(C1220=0,Paths!$F$117,0)+IF(IF(Paths!$E$117=0,C1220=0,AND(C1220&gt;0,Paths!$E$117&gt;(C1220-1)*12,Paths!$E$117&lt;=C1220*12)),VLOOKUP(A1220,'Fleet register'!$A$7:$S$106,16,FALSE),0),"n.a."))</f>
        <v>0</v>
      </c>
      <c r="O1220" s="16">
        <f>IF(NOT(Paths!$C$117=1),0,IF(Paths!$P$117="Complete",N1220-IF(C1220=0,Paths!$F$117,0),"n.a."))</f>
        <v>0</v>
      </c>
      <c r="P1220" s="16">
        <f>IF(NOT(Paths!$C$117=1),0,IF(Paths!$P$117="Complete",O1220+L1220,"n.a."))</f>
        <v>0</v>
      </c>
      <c r="Q1220" s="16">
        <f>IF(NOT(Paths!$C$117=1),0,IF(Paths!$P$117="Complete",N1220*(1+'Operating costs'!$B$54)^-C1220,"n.a."))</f>
        <v>0</v>
      </c>
      <c r="R1220" s="16">
        <f>IF(NOT(Paths!$C$117=1),0,IF(Paths!$P$117="Complete",IF(AND(C1220=0,Paths!$E$117=0),I1220-J1220-K1220+VLOOKUP(A1220,'Fleet register'!$A$7:$S$106,15,FALSE)+VLOOKUP(A1220,'Fleet register'!$A$7:$S$106,16,FALSE),0),"n.a."))</f>
        <v>0</v>
      </c>
      <c r="S1220" s="1">
        <f>IF(NOT(Paths!$C$117=1),0,IF(Paths!$P$117="Complete",IF(C1220=0,0,Paths!$S$117*Paths!$R$117),"n.a."))</f>
        <v>0</v>
      </c>
      <c r="T1220" s="1">
        <f>IF(NOT(Paths!$C$117=1),0,IF(Paths!$P$117="Complete",IF(C1220=0,0,VLOOKUP(A1220,'Fleet register'!$A$7:$S$106,9,FALSE)*Paths!$R$117),"n.a."))</f>
        <v>0</v>
      </c>
    </row>
    <row r="1221" spans="1:20" ht="24" customHeight="1">
      <c r="A1221" s="1" t="str">
        <f>Paths!$A$117</f>
        <v>T028</v>
      </c>
      <c r="B1221" s="1">
        <f>Paths!$B$117</f>
        <v>2</v>
      </c>
      <c r="C1221" s="1">
        <v>4</v>
      </c>
      <c r="D1221" s="1">
        <v>117</v>
      </c>
      <c r="E1221" s="1">
        <f>IF(OR(Paths!$C$117=0,C1221=0),0,MAX(0,MIN(C1221*12,Paths!$E$117)-(C1221-1)*12))</f>
        <v>0</v>
      </c>
      <c r="F1221" s="1">
        <f>IF(OR(Paths!$C$117=0,C1221=0),0,12-E1221)</f>
        <v>0</v>
      </c>
      <c r="G1221" s="16">
        <f>IF(NOT(Paths!$C$117=1),0,IF(Paths!$P$117="Complete",E1221/12*(Paths!$J$117*(1+'Operating costs'!$B$51)^MAX(0,C1221-1)+Paths!$K$117*(1+'Operating costs'!$B$53)^MAX(0,C1221-1)),"n.a."))</f>
        <v>0</v>
      </c>
      <c r="H1221" s="16">
        <f>IF(NOT(Paths!$C$117=1),0,IF(Paths!$P$117="Complete",F1221/12*(Paths!$L$117*(1+IF(Paths!$D$117="EV",'Operating costs'!$B$52,'Operating costs'!$B$51))^MAX(0,C1221-1)+Paths!$M$117*(1+'Operating costs'!$B$53)^MAX(0,C1221-1)),"n.a."))</f>
        <v>0</v>
      </c>
      <c r="I1221" s="16">
        <f>IF(NOT(Paths!$C$117=1),0,IF(Paths!$P$117="Complete",IF(IF(Paths!$E$117=0,C1221=0,AND(C1221&gt;0,Paths!$E$117&gt;(C1221-1)*12,Paths!$E$117&lt;=C1221*12)),Paths!$G$117,0),"n.a."))</f>
        <v>0</v>
      </c>
      <c r="J1221" s="16">
        <f>IF(NOT(Paths!$C$117=1),0,IF(Paths!$P$117="Complete",IF(IF(Paths!$E$117=0,C1221=0,AND(C1221&gt;0,Paths!$E$117&gt;(C1221-1)*12,Paths!$E$117&lt;=C1221*12)),Paths!$H$117,0),"n.a."))</f>
        <v>0</v>
      </c>
      <c r="K1221" s="16">
        <f>IF(NOT(Paths!$C$117=1),0,IF(Paths!$P$117="Complete",IF(IF(Paths!$O$117=0,C1221=0,AND(C1221&gt;0,Paths!$O$117&gt;(C1221-1)*12,Paths!$O$117&lt;=C1221*12)),Paths!$N$117,0),"n.a."))</f>
        <v>0</v>
      </c>
      <c r="L1221" s="16">
        <f>IF(NOT(Paths!$C$117=1),0,IF(Paths!$P$117="Complete",IF(C1221=10,Paths!$I$117,0),"n.a."))</f>
        <v>0</v>
      </c>
      <c r="M1221" s="16">
        <f>IF(NOT(Paths!$C$117=1),0,IF(Paths!$P$117="Complete",IF(AND(Paths!$D$117="EV",Paths!$E$117&lt;120,Paths!$E$117+'Operating costs'!$B$65&gt;Paths!$E$117,Paths!$E$117+'Operating costs'!$B$65&lt;=120,IF(Paths!$E$117+'Operating costs'!$B$65=0,C1221=0,AND(C1221&gt;0,Paths!$E$117+'Operating costs'!$B$65&gt;(C1221-1)*12,Paths!$E$117+'Operating costs'!$B$65&lt;=C1221*12))),'Operating costs'!$B$64,0)+IF(AND('Operating costs'!$B$67&gt;0,'Operating costs'!$B$67&lt;=120,OR(Paths!$D$117="ICE",'Operating costs'!$B$67&lt;=Paths!$E$117),IF('Operating costs'!$B$67=0,C1221=0,AND(C1221&gt;0,'Operating costs'!$B$67&gt;(C1221-1)*12,'Operating costs'!$B$67&lt;=C1221*12))),'Operating costs'!$B$66,0),"n.a."))</f>
        <v>0</v>
      </c>
      <c r="N1221" s="16">
        <f>IF(NOT(Paths!$C$117=1),0,IF(Paths!$P$117="Complete",SUM(G1221:I1221)-J1221-K1221-L1221+M1221+IF(C1221=0,Paths!$F$117,0)+IF(IF(Paths!$E$117=0,C1221=0,AND(C1221&gt;0,Paths!$E$117&gt;(C1221-1)*12,Paths!$E$117&lt;=C1221*12)),VLOOKUP(A1221,'Fleet register'!$A$7:$S$106,16,FALSE),0),"n.a."))</f>
        <v>0</v>
      </c>
      <c r="O1221" s="16">
        <f>IF(NOT(Paths!$C$117=1),0,IF(Paths!$P$117="Complete",N1221-IF(C1221=0,Paths!$F$117,0),"n.a."))</f>
        <v>0</v>
      </c>
      <c r="P1221" s="16">
        <f>IF(NOT(Paths!$C$117=1),0,IF(Paths!$P$117="Complete",O1221+L1221,"n.a."))</f>
        <v>0</v>
      </c>
      <c r="Q1221" s="16">
        <f>IF(NOT(Paths!$C$117=1),0,IF(Paths!$P$117="Complete",N1221*(1+'Operating costs'!$B$54)^-C1221,"n.a."))</f>
        <v>0</v>
      </c>
      <c r="R1221" s="16">
        <f>IF(NOT(Paths!$C$117=1),0,IF(Paths!$P$117="Complete",IF(AND(C1221=0,Paths!$E$117=0),I1221-J1221-K1221+VLOOKUP(A1221,'Fleet register'!$A$7:$S$106,15,FALSE)+VLOOKUP(A1221,'Fleet register'!$A$7:$S$106,16,FALSE),0),"n.a."))</f>
        <v>0</v>
      </c>
      <c r="S1221" s="1">
        <f>IF(NOT(Paths!$C$117=1),0,IF(Paths!$P$117="Complete",IF(C1221=0,0,Paths!$S$117*Paths!$R$117),"n.a."))</f>
        <v>0</v>
      </c>
      <c r="T1221" s="1">
        <f>IF(NOT(Paths!$C$117=1),0,IF(Paths!$P$117="Complete",IF(C1221=0,0,VLOOKUP(A1221,'Fleet register'!$A$7:$S$106,9,FALSE)*Paths!$R$117),"n.a."))</f>
        <v>0</v>
      </c>
    </row>
    <row r="1222" spans="1:20" ht="24" customHeight="1">
      <c r="A1222" s="1" t="str">
        <f>Paths!$A$117</f>
        <v>T028</v>
      </c>
      <c r="B1222" s="1">
        <f>Paths!$B$117</f>
        <v>2</v>
      </c>
      <c r="C1222" s="1">
        <v>5</v>
      </c>
      <c r="D1222" s="1">
        <v>117</v>
      </c>
      <c r="E1222" s="1">
        <f>IF(OR(Paths!$C$117=0,C1222=0),0,MAX(0,MIN(C1222*12,Paths!$E$117)-(C1222-1)*12))</f>
        <v>0</v>
      </c>
      <c r="F1222" s="1">
        <f>IF(OR(Paths!$C$117=0,C1222=0),0,12-E1222)</f>
        <v>0</v>
      </c>
      <c r="G1222" s="16">
        <f>IF(NOT(Paths!$C$117=1),0,IF(Paths!$P$117="Complete",E1222/12*(Paths!$J$117*(1+'Operating costs'!$B$51)^MAX(0,C1222-1)+Paths!$K$117*(1+'Operating costs'!$B$53)^MAX(0,C1222-1)),"n.a."))</f>
        <v>0</v>
      </c>
      <c r="H1222" s="16">
        <f>IF(NOT(Paths!$C$117=1),0,IF(Paths!$P$117="Complete",F1222/12*(Paths!$L$117*(1+IF(Paths!$D$117="EV",'Operating costs'!$B$52,'Operating costs'!$B$51))^MAX(0,C1222-1)+Paths!$M$117*(1+'Operating costs'!$B$53)^MAX(0,C1222-1)),"n.a."))</f>
        <v>0</v>
      </c>
      <c r="I1222" s="16">
        <f>IF(NOT(Paths!$C$117=1),0,IF(Paths!$P$117="Complete",IF(IF(Paths!$E$117=0,C1222=0,AND(C1222&gt;0,Paths!$E$117&gt;(C1222-1)*12,Paths!$E$117&lt;=C1222*12)),Paths!$G$117,0),"n.a."))</f>
        <v>0</v>
      </c>
      <c r="J1222" s="16">
        <f>IF(NOT(Paths!$C$117=1),0,IF(Paths!$P$117="Complete",IF(IF(Paths!$E$117=0,C1222=0,AND(C1222&gt;0,Paths!$E$117&gt;(C1222-1)*12,Paths!$E$117&lt;=C1222*12)),Paths!$H$117,0),"n.a."))</f>
        <v>0</v>
      </c>
      <c r="K1222" s="16">
        <f>IF(NOT(Paths!$C$117=1),0,IF(Paths!$P$117="Complete",IF(IF(Paths!$O$117=0,C1222=0,AND(C1222&gt;0,Paths!$O$117&gt;(C1222-1)*12,Paths!$O$117&lt;=C1222*12)),Paths!$N$117,0),"n.a."))</f>
        <v>0</v>
      </c>
      <c r="L1222" s="16">
        <f>IF(NOT(Paths!$C$117=1),0,IF(Paths!$P$117="Complete",IF(C1222=10,Paths!$I$117,0),"n.a."))</f>
        <v>0</v>
      </c>
      <c r="M1222" s="16">
        <f>IF(NOT(Paths!$C$117=1),0,IF(Paths!$P$117="Complete",IF(AND(Paths!$D$117="EV",Paths!$E$117&lt;120,Paths!$E$117+'Operating costs'!$B$65&gt;Paths!$E$117,Paths!$E$117+'Operating costs'!$B$65&lt;=120,IF(Paths!$E$117+'Operating costs'!$B$65=0,C1222=0,AND(C1222&gt;0,Paths!$E$117+'Operating costs'!$B$65&gt;(C1222-1)*12,Paths!$E$117+'Operating costs'!$B$65&lt;=C1222*12))),'Operating costs'!$B$64,0)+IF(AND('Operating costs'!$B$67&gt;0,'Operating costs'!$B$67&lt;=120,OR(Paths!$D$117="ICE",'Operating costs'!$B$67&lt;=Paths!$E$117),IF('Operating costs'!$B$67=0,C1222=0,AND(C1222&gt;0,'Operating costs'!$B$67&gt;(C1222-1)*12,'Operating costs'!$B$67&lt;=C1222*12))),'Operating costs'!$B$66,0),"n.a."))</f>
        <v>0</v>
      </c>
      <c r="N1222" s="16">
        <f>IF(NOT(Paths!$C$117=1),0,IF(Paths!$P$117="Complete",SUM(G1222:I1222)-J1222-K1222-L1222+M1222+IF(C1222=0,Paths!$F$117,0)+IF(IF(Paths!$E$117=0,C1222=0,AND(C1222&gt;0,Paths!$E$117&gt;(C1222-1)*12,Paths!$E$117&lt;=C1222*12)),VLOOKUP(A1222,'Fleet register'!$A$7:$S$106,16,FALSE),0),"n.a."))</f>
        <v>0</v>
      </c>
      <c r="O1222" s="16">
        <f>IF(NOT(Paths!$C$117=1),0,IF(Paths!$P$117="Complete",N1222-IF(C1222=0,Paths!$F$117,0),"n.a."))</f>
        <v>0</v>
      </c>
      <c r="P1222" s="16">
        <f>IF(NOT(Paths!$C$117=1),0,IF(Paths!$P$117="Complete",O1222+L1222,"n.a."))</f>
        <v>0</v>
      </c>
      <c r="Q1222" s="16">
        <f>IF(NOT(Paths!$C$117=1),0,IF(Paths!$P$117="Complete",N1222*(1+'Operating costs'!$B$54)^-C1222,"n.a."))</f>
        <v>0</v>
      </c>
      <c r="R1222" s="16">
        <f>IF(NOT(Paths!$C$117=1),0,IF(Paths!$P$117="Complete",IF(AND(C1222=0,Paths!$E$117=0),I1222-J1222-K1222+VLOOKUP(A1222,'Fleet register'!$A$7:$S$106,15,FALSE)+VLOOKUP(A1222,'Fleet register'!$A$7:$S$106,16,FALSE),0),"n.a."))</f>
        <v>0</v>
      </c>
      <c r="S1222" s="1">
        <f>IF(NOT(Paths!$C$117=1),0,IF(Paths!$P$117="Complete",IF(C1222=0,0,Paths!$S$117*Paths!$R$117),"n.a."))</f>
        <v>0</v>
      </c>
      <c r="T1222" s="1">
        <f>IF(NOT(Paths!$C$117=1),0,IF(Paths!$P$117="Complete",IF(C1222=0,0,VLOOKUP(A1222,'Fleet register'!$A$7:$S$106,9,FALSE)*Paths!$R$117),"n.a."))</f>
        <v>0</v>
      </c>
    </row>
    <row r="1223" spans="1:20" ht="24" customHeight="1">
      <c r="A1223" s="1" t="str">
        <f>Paths!$A$117</f>
        <v>T028</v>
      </c>
      <c r="B1223" s="1">
        <f>Paths!$B$117</f>
        <v>2</v>
      </c>
      <c r="C1223" s="1">
        <v>6</v>
      </c>
      <c r="D1223" s="1">
        <v>117</v>
      </c>
      <c r="E1223" s="1">
        <f>IF(OR(Paths!$C$117=0,C1223=0),0,MAX(0,MIN(C1223*12,Paths!$E$117)-(C1223-1)*12))</f>
        <v>0</v>
      </c>
      <c r="F1223" s="1">
        <f>IF(OR(Paths!$C$117=0,C1223=0),0,12-E1223)</f>
        <v>0</v>
      </c>
      <c r="G1223" s="16">
        <f>IF(NOT(Paths!$C$117=1),0,IF(Paths!$P$117="Complete",E1223/12*(Paths!$J$117*(1+'Operating costs'!$B$51)^MAX(0,C1223-1)+Paths!$K$117*(1+'Operating costs'!$B$53)^MAX(0,C1223-1)),"n.a."))</f>
        <v>0</v>
      </c>
      <c r="H1223" s="16">
        <f>IF(NOT(Paths!$C$117=1),0,IF(Paths!$P$117="Complete",F1223/12*(Paths!$L$117*(1+IF(Paths!$D$117="EV",'Operating costs'!$B$52,'Operating costs'!$B$51))^MAX(0,C1223-1)+Paths!$M$117*(1+'Operating costs'!$B$53)^MAX(0,C1223-1)),"n.a."))</f>
        <v>0</v>
      </c>
      <c r="I1223" s="16">
        <f>IF(NOT(Paths!$C$117=1),0,IF(Paths!$P$117="Complete",IF(IF(Paths!$E$117=0,C1223=0,AND(C1223&gt;0,Paths!$E$117&gt;(C1223-1)*12,Paths!$E$117&lt;=C1223*12)),Paths!$G$117,0),"n.a."))</f>
        <v>0</v>
      </c>
      <c r="J1223" s="16">
        <f>IF(NOT(Paths!$C$117=1),0,IF(Paths!$P$117="Complete",IF(IF(Paths!$E$117=0,C1223=0,AND(C1223&gt;0,Paths!$E$117&gt;(C1223-1)*12,Paths!$E$117&lt;=C1223*12)),Paths!$H$117,0),"n.a."))</f>
        <v>0</v>
      </c>
      <c r="K1223" s="16">
        <f>IF(NOT(Paths!$C$117=1),0,IF(Paths!$P$117="Complete",IF(IF(Paths!$O$117=0,C1223=0,AND(C1223&gt;0,Paths!$O$117&gt;(C1223-1)*12,Paths!$O$117&lt;=C1223*12)),Paths!$N$117,0),"n.a."))</f>
        <v>0</v>
      </c>
      <c r="L1223" s="16">
        <f>IF(NOT(Paths!$C$117=1),0,IF(Paths!$P$117="Complete",IF(C1223=10,Paths!$I$117,0),"n.a."))</f>
        <v>0</v>
      </c>
      <c r="M1223" s="16">
        <f>IF(NOT(Paths!$C$117=1),0,IF(Paths!$P$117="Complete",IF(AND(Paths!$D$117="EV",Paths!$E$117&lt;120,Paths!$E$117+'Operating costs'!$B$65&gt;Paths!$E$117,Paths!$E$117+'Operating costs'!$B$65&lt;=120,IF(Paths!$E$117+'Operating costs'!$B$65=0,C1223=0,AND(C1223&gt;0,Paths!$E$117+'Operating costs'!$B$65&gt;(C1223-1)*12,Paths!$E$117+'Operating costs'!$B$65&lt;=C1223*12))),'Operating costs'!$B$64,0)+IF(AND('Operating costs'!$B$67&gt;0,'Operating costs'!$B$67&lt;=120,OR(Paths!$D$117="ICE",'Operating costs'!$B$67&lt;=Paths!$E$117),IF('Operating costs'!$B$67=0,C1223=0,AND(C1223&gt;0,'Operating costs'!$B$67&gt;(C1223-1)*12,'Operating costs'!$B$67&lt;=C1223*12))),'Operating costs'!$B$66,0),"n.a."))</f>
        <v>0</v>
      </c>
      <c r="N1223" s="16">
        <f>IF(NOT(Paths!$C$117=1),0,IF(Paths!$P$117="Complete",SUM(G1223:I1223)-J1223-K1223-L1223+M1223+IF(C1223=0,Paths!$F$117,0)+IF(IF(Paths!$E$117=0,C1223=0,AND(C1223&gt;0,Paths!$E$117&gt;(C1223-1)*12,Paths!$E$117&lt;=C1223*12)),VLOOKUP(A1223,'Fleet register'!$A$7:$S$106,16,FALSE),0),"n.a."))</f>
        <v>0</v>
      </c>
      <c r="O1223" s="16">
        <f>IF(NOT(Paths!$C$117=1),0,IF(Paths!$P$117="Complete",N1223-IF(C1223=0,Paths!$F$117,0),"n.a."))</f>
        <v>0</v>
      </c>
      <c r="P1223" s="16">
        <f>IF(NOT(Paths!$C$117=1),0,IF(Paths!$P$117="Complete",O1223+L1223,"n.a."))</f>
        <v>0</v>
      </c>
      <c r="Q1223" s="16">
        <f>IF(NOT(Paths!$C$117=1),0,IF(Paths!$P$117="Complete",N1223*(1+'Operating costs'!$B$54)^-C1223,"n.a."))</f>
        <v>0</v>
      </c>
      <c r="R1223" s="16">
        <f>IF(NOT(Paths!$C$117=1),0,IF(Paths!$P$117="Complete",IF(AND(C1223=0,Paths!$E$117=0),I1223-J1223-K1223+VLOOKUP(A1223,'Fleet register'!$A$7:$S$106,15,FALSE)+VLOOKUP(A1223,'Fleet register'!$A$7:$S$106,16,FALSE),0),"n.a."))</f>
        <v>0</v>
      </c>
      <c r="S1223" s="1">
        <f>IF(NOT(Paths!$C$117=1),0,IF(Paths!$P$117="Complete",IF(C1223=0,0,Paths!$S$117*Paths!$R$117),"n.a."))</f>
        <v>0</v>
      </c>
      <c r="T1223" s="1">
        <f>IF(NOT(Paths!$C$117=1),0,IF(Paths!$P$117="Complete",IF(C1223=0,0,VLOOKUP(A1223,'Fleet register'!$A$7:$S$106,9,FALSE)*Paths!$R$117),"n.a."))</f>
        <v>0</v>
      </c>
    </row>
    <row r="1224" spans="1:20" ht="24" customHeight="1">
      <c r="A1224" s="1" t="str">
        <f>Paths!$A$117</f>
        <v>T028</v>
      </c>
      <c r="B1224" s="1">
        <f>Paths!$B$117</f>
        <v>2</v>
      </c>
      <c r="C1224" s="1">
        <v>7</v>
      </c>
      <c r="D1224" s="1">
        <v>117</v>
      </c>
      <c r="E1224" s="1">
        <f>IF(OR(Paths!$C$117=0,C1224=0),0,MAX(0,MIN(C1224*12,Paths!$E$117)-(C1224-1)*12))</f>
        <v>0</v>
      </c>
      <c r="F1224" s="1">
        <f>IF(OR(Paths!$C$117=0,C1224=0),0,12-E1224)</f>
        <v>0</v>
      </c>
      <c r="G1224" s="16">
        <f>IF(NOT(Paths!$C$117=1),0,IF(Paths!$P$117="Complete",E1224/12*(Paths!$J$117*(1+'Operating costs'!$B$51)^MAX(0,C1224-1)+Paths!$K$117*(1+'Operating costs'!$B$53)^MAX(0,C1224-1)),"n.a."))</f>
        <v>0</v>
      </c>
      <c r="H1224" s="16">
        <f>IF(NOT(Paths!$C$117=1),0,IF(Paths!$P$117="Complete",F1224/12*(Paths!$L$117*(1+IF(Paths!$D$117="EV",'Operating costs'!$B$52,'Operating costs'!$B$51))^MAX(0,C1224-1)+Paths!$M$117*(1+'Operating costs'!$B$53)^MAX(0,C1224-1)),"n.a."))</f>
        <v>0</v>
      </c>
      <c r="I1224" s="16">
        <f>IF(NOT(Paths!$C$117=1),0,IF(Paths!$P$117="Complete",IF(IF(Paths!$E$117=0,C1224=0,AND(C1224&gt;0,Paths!$E$117&gt;(C1224-1)*12,Paths!$E$117&lt;=C1224*12)),Paths!$G$117,0),"n.a."))</f>
        <v>0</v>
      </c>
      <c r="J1224" s="16">
        <f>IF(NOT(Paths!$C$117=1),0,IF(Paths!$P$117="Complete",IF(IF(Paths!$E$117=0,C1224=0,AND(C1224&gt;0,Paths!$E$117&gt;(C1224-1)*12,Paths!$E$117&lt;=C1224*12)),Paths!$H$117,0),"n.a."))</f>
        <v>0</v>
      </c>
      <c r="K1224" s="16">
        <f>IF(NOT(Paths!$C$117=1),0,IF(Paths!$P$117="Complete",IF(IF(Paths!$O$117=0,C1224=0,AND(C1224&gt;0,Paths!$O$117&gt;(C1224-1)*12,Paths!$O$117&lt;=C1224*12)),Paths!$N$117,0),"n.a."))</f>
        <v>0</v>
      </c>
      <c r="L1224" s="16">
        <f>IF(NOT(Paths!$C$117=1),0,IF(Paths!$P$117="Complete",IF(C1224=10,Paths!$I$117,0),"n.a."))</f>
        <v>0</v>
      </c>
      <c r="M1224" s="16">
        <f>IF(NOT(Paths!$C$117=1),0,IF(Paths!$P$117="Complete",IF(AND(Paths!$D$117="EV",Paths!$E$117&lt;120,Paths!$E$117+'Operating costs'!$B$65&gt;Paths!$E$117,Paths!$E$117+'Operating costs'!$B$65&lt;=120,IF(Paths!$E$117+'Operating costs'!$B$65=0,C1224=0,AND(C1224&gt;0,Paths!$E$117+'Operating costs'!$B$65&gt;(C1224-1)*12,Paths!$E$117+'Operating costs'!$B$65&lt;=C1224*12))),'Operating costs'!$B$64,0)+IF(AND('Operating costs'!$B$67&gt;0,'Operating costs'!$B$67&lt;=120,OR(Paths!$D$117="ICE",'Operating costs'!$B$67&lt;=Paths!$E$117),IF('Operating costs'!$B$67=0,C1224=0,AND(C1224&gt;0,'Operating costs'!$B$67&gt;(C1224-1)*12,'Operating costs'!$B$67&lt;=C1224*12))),'Operating costs'!$B$66,0),"n.a."))</f>
        <v>0</v>
      </c>
      <c r="N1224" s="16">
        <f>IF(NOT(Paths!$C$117=1),0,IF(Paths!$P$117="Complete",SUM(G1224:I1224)-J1224-K1224-L1224+M1224+IF(C1224=0,Paths!$F$117,0)+IF(IF(Paths!$E$117=0,C1224=0,AND(C1224&gt;0,Paths!$E$117&gt;(C1224-1)*12,Paths!$E$117&lt;=C1224*12)),VLOOKUP(A1224,'Fleet register'!$A$7:$S$106,16,FALSE),0),"n.a."))</f>
        <v>0</v>
      </c>
      <c r="O1224" s="16">
        <f>IF(NOT(Paths!$C$117=1),0,IF(Paths!$P$117="Complete",N1224-IF(C1224=0,Paths!$F$117,0),"n.a."))</f>
        <v>0</v>
      </c>
      <c r="P1224" s="16">
        <f>IF(NOT(Paths!$C$117=1),0,IF(Paths!$P$117="Complete",O1224+L1224,"n.a."))</f>
        <v>0</v>
      </c>
      <c r="Q1224" s="16">
        <f>IF(NOT(Paths!$C$117=1),0,IF(Paths!$P$117="Complete",N1224*(1+'Operating costs'!$B$54)^-C1224,"n.a."))</f>
        <v>0</v>
      </c>
      <c r="R1224" s="16">
        <f>IF(NOT(Paths!$C$117=1),0,IF(Paths!$P$117="Complete",IF(AND(C1224=0,Paths!$E$117=0),I1224-J1224-K1224+VLOOKUP(A1224,'Fleet register'!$A$7:$S$106,15,FALSE)+VLOOKUP(A1224,'Fleet register'!$A$7:$S$106,16,FALSE),0),"n.a."))</f>
        <v>0</v>
      </c>
      <c r="S1224" s="1">
        <f>IF(NOT(Paths!$C$117=1),0,IF(Paths!$P$117="Complete",IF(C1224=0,0,Paths!$S$117*Paths!$R$117),"n.a."))</f>
        <v>0</v>
      </c>
      <c r="T1224" s="1">
        <f>IF(NOT(Paths!$C$117=1),0,IF(Paths!$P$117="Complete",IF(C1224=0,0,VLOOKUP(A1224,'Fleet register'!$A$7:$S$106,9,FALSE)*Paths!$R$117),"n.a."))</f>
        <v>0</v>
      </c>
    </row>
    <row r="1225" spans="1:20" ht="24" customHeight="1">
      <c r="A1225" s="1" t="str">
        <f>Paths!$A$117</f>
        <v>T028</v>
      </c>
      <c r="B1225" s="1">
        <f>Paths!$B$117</f>
        <v>2</v>
      </c>
      <c r="C1225" s="1">
        <v>8</v>
      </c>
      <c r="D1225" s="1">
        <v>117</v>
      </c>
      <c r="E1225" s="1">
        <f>IF(OR(Paths!$C$117=0,C1225=0),0,MAX(0,MIN(C1225*12,Paths!$E$117)-(C1225-1)*12))</f>
        <v>0</v>
      </c>
      <c r="F1225" s="1">
        <f>IF(OR(Paths!$C$117=0,C1225=0),0,12-E1225)</f>
        <v>0</v>
      </c>
      <c r="G1225" s="16">
        <f>IF(NOT(Paths!$C$117=1),0,IF(Paths!$P$117="Complete",E1225/12*(Paths!$J$117*(1+'Operating costs'!$B$51)^MAX(0,C1225-1)+Paths!$K$117*(1+'Operating costs'!$B$53)^MAX(0,C1225-1)),"n.a."))</f>
        <v>0</v>
      </c>
      <c r="H1225" s="16">
        <f>IF(NOT(Paths!$C$117=1),0,IF(Paths!$P$117="Complete",F1225/12*(Paths!$L$117*(1+IF(Paths!$D$117="EV",'Operating costs'!$B$52,'Operating costs'!$B$51))^MAX(0,C1225-1)+Paths!$M$117*(1+'Operating costs'!$B$53)^MAX(0,C1225-1)),"n.a."))</f>
        <v>0</v>
      </c>
      <c r="I1225" s="16">
        <f>IF(NOT(Paths!$C$117=1),0,IF(Paths!$P$117="Complete",IF(IF(Paths!$E$117=0,C1225=0,AND(C1225&gt;0,Paths!$E$117&gt;(C1225-1)*12,Paths!$E$117&lt;=C1225*12)),Paths!$G$117,0),"n.a."))</f>
        <v>0</v>
      </c>
      <c r="J1225" s="16">
        <f>IF(NOT(Paths!$C$117=1),0,IF(Paths!$P$117="Complete",IF(IF(Paths!$E$117=0,C1225=0,AND(C1225&gt;0,Paths!$E$117&gt;(C1225-1)*12,Paths!$E$117&lt;=C1225*12)),Paths!$H$117,0),"n.a."))</f>
        <v>0</v>
      </c>
      <c r="K1225" s="16">
        <f>IF(NOT(Paths!$C$117=1),0,IF(Paths!$P$117="Complete",IF(IF(Paths!$O$117=0,C1225=0,AND(C1225&gt;0,Paths!$O$117&gt;(C1225-1)*12,Paths!$O$117&lt;=C1225*12)),Paths!$N$117,0),"n.a."))</f>
        <v>0</v>
      </c>
      <c r="L1225" s="16">
        <f>IF(NOT(Paths!$C$117=1),0,IF(Paths!$P$117="Complete",IF(C1225=10,Paths!$I$117,0),"n.a."))</f>
        <v>0</v>
      </c>
      <c r="M1225" s="16">
        <f>IF(NOT(Paths!$C$117=1),0,IF(Paths!$P$117="Complete",IF(AND(Paths!$D$117="EV",Paths!$E$117&lt;120,Paths!$E$117+'Operating costs'!$B$65&gt;Paths!$E$117,Paths!$E$117+'Operating costs'!$B$65&lt;=120,IF(Paths!$E$117+'Operating costs'!$B$65=0,C1225=0,AND(C1225&gt;0,Paths!$E$117+'Operating costs'!$B$65&gt;(C1225-1)*12,Paths!$E$117+'Operating costs'!$B$65&lt;=C1225*12))),'Operating costs'!$B$64,0)+IF(AND('Operating costs'!$B$67&gt;0,'Operating costs'!$B$67&lt;=120,OR(Paths!$D$117="ICE",'Operating costs'!$B$67&lt;=Paths!$E$117),IF('Operating costs'!$B$67=0,C1225=0,AND(C1225&gt;0,'Operating costs'!$B$67&gt;(C1225-1)*12,'Operating costs'!$B$67&lt;=C1225*12))),'Operating costs'!$B$66,0),"n.a."))</f>
        <v>0</v>
      </c>
      <c r="N1225" s="16">
        <f>IF(NOT(Paths!$C$117=1),0,IF(Paths!$P$117="Complete",SUM(G1225:I1225)-J1225-K1225-L1225+M1225+IF(C1225=0,Paths!$F$117,0)+IF(IF(Paths!$E$117=0,C1225=0,AND(C1225&gt;0,Paths!$E$117&gt;(C1225-1)*12,Paths!$E$117&lt;=C1225*12)),VLOOKUP(A1225,'Fleet register'!$A$7:$S$106,16,FALSE),0),"n.a."))</f>
        <v>0</v>
      </c>
      <c r="O1225" s="16">
        <f>IF(NOT(Paths!$C$117=1),0,IF(Paths!$P$117="Complete",N1225-IF(C1225=0,Paths!$F$117,0),"n.a."))</f>
        <v>0</v>
      </c>
      <c r="P1225" s="16">
        <f>IF(NOT(Paths!$C$117=1),0,IF(Paths!$P$117="Complete",O1225+L1225,"n.a."))</f>
        <v>0</v>
      </c>
      <c r="Q1225" s="16">
        <f>IF(NOT(Paths!$C$117=1),0,IF(Paths!$P$117="Complete",N1225*(1+'Operating costs'!$B$54)^-C1225,"n.a."))</f>
        <v>0</v>
      </c>
      <c r="R1225" s="16">
        <f>IF(NOT(Paths!$C$117=1),0,IF(Paths!$P$117="Complete",IF(AND(C1225=0,Paths!$E$117=0),I1225-J1225-K1225+VLOOKUP(A1225,'Fleet register'!$A$7:$S$106,15,FALSE)+VLOOKUP(A1225,'Fleet register'!$A$7:$S$106,16,FALSE),0),"n.a."))</f>
        <v>0</v>
      </c>
      <c r="S1225" s="1">
        <f>IF(NOT(Paths!$C$117=1),0,IF(Paths!$P$117="Complete",IF(C1225=0,0,Paths!$S$117*Paths!$R$117),"n.a."))</f>
        <v>0</v>
      </c>
      <c r="T1225" s="1">
        <f>IF(NOT(Paths!$C$117=1),0,IF(Paths!$P$117="Complete",IF(C1225=0,0,VLOOKUP(A1225,'Fleet register'!$A$7:$S$106,9,FALSE)*Paths!$R$117),"n.a."))</f>
        <v>0</v>
      </c>
    </row>
    <row r="1226" spans="1:20" ht="24" customHeight="1">
      <c r="A1226" s="1" t="str">
        <f>Paths!$A$117</f>
        <v>T028</v>
      </c>
      <c r="B1226" s="1">
        <f>Paths!$B$117</f>
        <v>2</v>
      </c>
      <c r="C1226" s="1">
        <v>9</v>
      </c>
      <c r="D1226" s="1">
        <v>117</v>
      </c>
      <c r="E1226" s="1">
        <f>IF(OR(Paths!$C$117=0,C1226=0),0,MAX(0,MIN(C1226*12,Paths!$E$117)-(C1226-1)*12))</f>
        <v>0</v>
      </c>
      <c r="F1226" s="1">
        <f>IF(OR(Paths!$C$117=0,C1226=0),0,12-E1226)</f>
        <v>0</v>
      </c>
      <c r="G1226" s="16">
        <f>IF(NOT(Paths!$C$117=1),0,IF(Paths!$P$117="Complete",E1226/12*(Paths!$J$117*(1+'Operating costs'!$B$51)^MAX(0,C1226-1)+Paths!$K$117*(1+'Operating costs'!$B$53)^MAX(0,C1226-1)),"n.a."))</f>
        <v>0</v>
      </c>
      <c r="H1226" s="16">
        <f>IF(NOT(Paths!$C$117=1),0,IF(Paths!$P$117="Complete",F1226/12*(Paths!$L$117*(1+IF(Paths!$D$117="EV",'Operating costs'!$B$52,'Operating costs'!$B$51))^MAX(0,C1226-1)+Paths!$M$117*(1+'Operating costs'!$B$53)^MAX(0,C1226-1)),"n.a."))</f>
        <v>0</v>
      </c>
      <c r="I1226" s="16">
        <f>IF(NOT(Paths!$C$117=1),0,IF(Paths!$P$117="Complete",IF(IF(Paths!$E$117=0,C1226=0,AND(C1226&gt;0,Paths!$E$117&gt;(C1226-1)*12,Paths!$E$117&lt;=C1226*12)),Paths!$G$117,0),"n.a."))</f>
        <v>0</v>
      </c>
      <c r="J1226" s="16">
        <f>IF(NOT(Paths!$C$117=1),0,IF(Paths!$P$117="Complete",IF(IF(Paths!$E$117=0,C1226=0,AND(C1226&gt;0,Paths!$E$117&gt;(C1226-1)*12,Paths!$E$117&lt;=C1226*12)),Paths!$H$117,0),"n.a."))</f>
        <v>0</v>
      </c>
      <c r="K1226" s="16">
        <f>IF(NOT(Paths!$C$117=1),0,IF(Paths!$P$117="Complete",IF(IF(Paths!$O$117=0,C1226=0,AND(C1226&gt;0,Paths!$O$117&gt;(C1226-1)*12,Paths!$O$117&lt;=C1226*12)),Paths!$N$117,0),"n.a."))</f>
        <v>0</v>
      </c>
      <c r="L1226" s="16">
        <f>IF(NOT(Paths!$C$117=1),0,IF(Paths!$P$117="Complete",IF(C1226=10,Paths!$I$117,0),"n.a."))</f>
        <v>0</v>
      </c>
      <c r="M1226" s="16">
        <f>IF(NOT(Paths!$C$117=1),0,IF(Paths!$P$117="Complete",IF(AND(Paths!$D$117="EV",Paths!$E$117&lt;120,Paths!$E$117+'Operating costs'!$B$65&gt;Paths!$E$117,Paths!$E$117+'Operating costs'!$B$65&lt;=120,IF(Paths!$E$117+'Operating costs'!$B$65=0,C1226=0,AND(C1226&gt;0,Paths!$E$117+'Operating costs'!$B$65&gt;(C1226-1)*12,Paths!$E$117+'Operating costs'!$B$65&lt;=C1226*12))),'Operating costs'!$B$64,0)+IF(AND('Operating costs'!$B$67&gt;0,'Operating costs'!$B$67&lt;=120,OR(Paths!$D$117="ICE",'Operating costs'!$B$67&lt;=Paths!$E$117),IF('Operating costs'!$B$67=0,C1226=0,AND(C1226&gt;0,'Operating costs'!$B$67&gt;(C1226-1)*12,'Operating costs'!$B$67&lt;=C1226*12))),'Operating costs'!$B$66,0),"n.a."))</f>
        <v>0</v>
      </c>
      <c r="N1226" s="16">
        <f>IF(NOT(Paths!$C$117=1),0,IF(Paths!$P$117="Complete",SUM(G1226:I1226)-J1226-K1226-L1226+M1226+IF(C1226=0,Paths!$F$117,0)+IF(IF(Paths!$E$117=0,C1226=0,AND(C1226&gt;0,Paths!$E$117&gt;(C1226-1)*12,Paths!$E$117&lt;=C1226*12)),VLOOKUP(A1226,'Fleet register'!$A$7:$S$106,16,FALSE),0),"n.a."))</f>
        <v>0</v>
      </c>
      <c r="O1226" s="16">
        <f>IF(NOT(Paths!$C$117=1),0,IF(Paths!$P$117="Complete",N1226-IF(C1226=0,Paths!$F$117,0),"n.a."))</f>
        <v>0</v>
      </c>
      <c r="P1226" s="16">
        <f>IF(NOT(Paths!$C$117=1),0,IF(Paths!$P$117="Complete",O1226+L1226,"n.a."))</f>
        <v>0</v>
      </c>
      <c r="Q1226" s="16">
        <f>IF(NOT(Paths!$C$117=1),0,IF(Paths!$P$117="Complete",N1226*(1+'Operating costs'!$B$54)^-C1226,"n.a."))</f>
        <v>0</v>
      </c>
      <c r="R1226" s="16">
        <f>IF(NOT(Paths!$C$117=1),0,IF(Paths!$P$117="Complete",IF(AND(C1226=0,Paths!$E$117=0),I1226-J1226-K1226+VLOOKUP(A1226,'Fleet register'!$A$7:$S$106,15,FALSE)+VLOOKUP(A1226,'Fleet register'!$A$7:$S$106,16,FALSE),0),"n.a."))</f>
        <v>0</v>
      </c>
      <c r="S1226" s="1">
        <f>IF(NOT(Paths!$C$117=1),0,IF(Paths!$P$117="Complete",IF(C1226=0,0,Paths!$S$117*Paths!$R$117),"n.a."))</f>
        <v>0</v>
      </c>
      <c r="T1226" s="1">
        <f>IF(NOT(Paths!$C$117=1),0,IF(Paths!$P$117="Complete",IF(C1226=0,0,VLOOKUP(A1226,'Fleet register'!$A$7:$S$106,9,FALSE)*Paths!$R$117),"n.a."))</f>
        <v>0</v>
      </c>
    </row>
    <row r="1227" spans="1:20" ht="24" customHeight="1">
      <c r="A1227" s="1" t="str">
        <f>Paths!$A$117</f>
        <v>T028</v>
      </c>
      <c r="B1227" s="1">
        <f>Paths!$B$117</f>
        <v>2</v>
      </c>
      <c r="C1227" s="1">
        <v>10</v>
      </c>
      <c r="D1227" s="1">
        <v>117</v>
      </c>
      <c r="E1227" s="1">
        <f>IF(OR(Paths!$C$117=0,C1227=0),0,MAX(0,MIN(C1227*12,Paths!$E$117)-(C1227-1)*12))</f>
        <v>0</v>
      </c>
      <c r="F1227" s="1">
        <f>IF(OR(Paths!$C$117=0,C1227=0),0,12-E1227)</f>
        <v>0</v>
      </c>
      <c r="G1227" s="16">
        <f>IF(NOT(Paths!$C$117=1),0,IF(Paths!$P$117="Complete",E1227/12*(Paths!$J$117*(1+'Operating costs'!$B$51)^MAX(0,C1227-1)+Paths!$K$117*(1+'Operating costs'!$B$53)^MAX(0,C1227-1)),"n.a."))</f>
        <v>0</v>
      </c>
      <c r="H1227" s="16">
        <f>IF(NOT(Paths!$C$117=1),0,IF(Paths!$P$117="Complete",F1227/12*(Paths!$L$117*(1+IF(Paths!$D$117="EV",'Operating costs'!$B$52,'Operating costs'!$B$51))^MAX(0,C1227-1)+Paths!$M$117*(1+'Operating costs'!$B$53)^MAX(0,C1227-1)),"n.a."))</f>
        <v>0</v>
      </c>
      <c r="I1227" s="16">
        <f>IF(NOT(Paths!$C$117=1),0,IF(Paths!$P$117="Complete",IF(IF(Paths!$E$117=0,C1227=0,AND(C1227&gt;0,Paths!$E$117&gt;(C1227-1)*12,Paths!$E$117&lt;=C1227*12)),Paths!$G$117,0),"n.a."))</f>
        <v>0</v>
      </c>
      <c r="J1227" s="16">
        <f>IF(NOT(Paths!$C$117=1),0,IF(Paths!$P$117="Complete",IF(IF(Paths!$E$117=0,C1227=0,AND(C1227&gt;0,Paths!$E$117&gt;(C1227-1)*12,Paths!$E$117&lt;=C1227*12)),Paths!$H$117,0),"n.a."))</f>
        <v>0</v>
      </c>
      <c r="K1227" s="16">
        <f>IF(NOT(Paths!$C$117=1),0,IF(Paths!$P$117="Complete",IF(IF(Paths!$O$117=0,C1227=0,AND(C1227&gt;0,Paths!$O$117&gt;(C1227-1)*12,Paths!$O$117&lt;=C1227*12)),Paths!$N$117,0),"n.a."))</f>
        <v>0</v>
      </c>
      <c r="L1227" s="16">
        <f>IF(NOT(Paths!$C$117=1),0,IF(Paths!$P$117="Complete",IF(C1227=10,Paths!$I$117,0),"n.a."))</f>
        <v>0</v>
      </c>
      <c r="M1227" s="16">
        <f>IF(NOT(Paths!$C$117=1),0,IF(Paths!$P$117="Complete",IF(AND(Paths!$D$117="EV",Paths!$E$117&lt;120,Paths!$E$117+'Operating costs'!$B$65&gt;Paths!$E$117,Paths!$E$117+'Operating costs'!$B$65&lt;=120,IF(Paths!$E$117+'Operating costs'!$B$65=0,C1227=0,AND(C1227&gt;0,Paths!$E$117+'Operating costs'!$B$65&gt;(C1227-1)*12,Paths!$E$117+'Operating costs'!$B$65&lt;=C1227*12))),'Operating costs'!$B$64,0)+IF(AND('Operating costs'!$B$67&gt;0,'Operating costs'!$B$67&lt;=120,OR(Paths!$D$117="ICE",'Operating costs'!$B$67&lt;=Paths!$E$117),IF('Operating costs'!$B$67=0,C1227=0,AND(C1227&gt;0,'Operating costs'!$B$67&gt;(C1227-1)*12,'Operating costs'!$B$67&lt;=C1227*12))),'Operating costs'!$B$66,0),"n.a."))</f>
        <v>0</v>
      </c>
      <c r="N1227" s="16">
        <f>IF(NOT(Paths!$C$117=1),0,IF(Paths!$P$117="Complete",SUM(G1227:I1227)-J1227-K1227-L1227+M1227+IF(C1227=0,Paths!$F$117,0)+IF(IF(Paths!$E$117=0,C1227=0,AND(C1227&gt;0,Paths!$E$117&gt;(C1227-1)*12,Paths!$E$117&lt;=C1227*12)),VLOOKUP(A1227,'Fleet register'!$A$7:$S$106,16,FALSE),0),"n.a."))</f>
        <v>0</v>
      </c>
      <c r="O1227" s="16">
        <f>IF(NOT(Paths!$C$117=1),0,IF(Paths!$P$117="Complete",N1227-IF(C1227=0,Paths!$F$117,0),"n.a."))</f>
        <v>0</v>
      </c>
      <c r="P1227" s="16">
        <f>IF(NOT(Paths!$C$117=1),0,IF(Paths!$P$117="Complete",O1227+L1227,"n.a."))</f>
        <v>0</v>
      </c>
      <c r="Q1227" s="16">
        <f>IF(NOT(Paths!$C$117=1),0,IF(Paths!$P$117="Complete",N1227*(1+'Operating costs'!$B$54)^-C1227,"n.a."))</f>
        <v>0</v>
      </c>
      <c r="R1227" s="16">
        <f>IF(NOT(Paths!$C$117=1),0,IF(Paths!$P$117="Complete",IF(AND(C1227=0,Paths!$E$117=0),I1227-J1227-K1227+VLOOKUP(A1227,'Fleet register'!$A$7:$S$106,15,FALSE)+VLOOKUP(A1227,'Fleet register'!$A$7:$S$106,16,FALSE),0),"n.a."))</f>
        <v>0</v>
      </c>
      <c r="S1227" s="1">
        <f>IF(NOT(Paths!$C$117=1),0,IF(Paths!$P$117="Complete",IF(C1227=0,0,Paths!$S$117*Paths!$R$117),"n.a."))</f>
        <v>0</v>
      </c>
      <c r="T1227" s="1">
        <f>IF(NOT(Paths!$C$117=1),0,IF(Paths!$P$117="Complete",IF(C1227=0,0,VLOOKUP(A1227,'Fleet register'!$A$7:$S$106,9,FALSE)*Paths!$R$117),"n.a."))</f>
        <v>0</v>
      </c>
    </row>
    <row r="1228" spans="1:20" ht="24" customHeight="1">
      <c r="A1228" s="1" t="str">
        <f>Paths!$A$118</f>
        <v>T028</v>
      </c>
      <c r="B1228" s="1">
        <f>Paths!$B$118</f>
        <v>3</v>
      </c>
      <c r="C1228" s="1">
        <v>0</v>
      </c>
      <c r="D1228" s="1">
        <v>118</v>
      </c>
      <c r="E1228" s="1">
        <f>IF(OR(Paths!$C$118=0,C1228=0),0,MAX(0,MIN(C1228*12,Paths!$E$118)-(C1228-1)*12))</f>
        <v>0</v>
      </c>
      <c r="F1228" s="1">
        <f>IF(OR(Paths!$C$118=0,C1228=0),0,12-E1228)</f>
        <v>0</v>
      </c>
      <c r="G1228" s="16">
        <f>IF(NOT(Paths!$C$118=1),0,IF(Paths!$P$118="Complete",E1228/12*(Paths!$J$118*(1+'Operating costs'!$B$51)^MAX(0,C1228-1)+Paths!$K$118*(1+'Operating costs'!$B$53)^MAX(0,C1228-1)),"n.a."))</f>
        <v>0</v>
      </c>
      <c r="H1228" s="16">
        <f>IF(NOT(Paths!$C$118=1),0,IF(Paths!$P$118="Complete",F1228/12*(Paths!$L$118*(1+IF(Paths!$D$118="EV",'Operating costs'!$B$52,'Operating costs'!$B$51))^MAX(0,C1228-1)+Paths!$M$118*(1+'Operating costs'!$B$53)^MAX(0,C1228-1)),"n.a."))</f>
        <v>0</v>
      </c>
      <c r="I1228" s="16">
        <f>IF(NOT(Paths!$C$118=1),0,IF(Paths!$P$118="Complete",IF(IF(Paths!$E$118=0,C1228=0,AND(C1228&gt;0,Paths!$E$118&gt;(C1228-1)*12,Paths!$E$118&lt;=C1228*12)),Paths!$G$118,0),"n.a."))</f>
        <v>0</v>
      </c>
      <c r="J1228" s="16">
        <f>IF(NOT(Paths!$C$118=1),0,IF(Paths!$P$118="Complete",IF(IF(Paths!$E$118=0,C1228=0,AND(C1228&gt;0,Paths!$E$118&gt;(C1228-1)*12,Paths!$E$118&lt;=C1228*12)),Paths!$H$118,0),"n.a."))</f>
        <v>0</v>
      </c>
      <c r="K1228" s="16">
        <f>IF(NOT(Paths!$C$118=1),0,IF(Paths!$P$118="Complete",IF(IF(Paths!$O$118=0,C1228=0,AND(C1228&gt;0,Paths!$O$118&gt;(C1228-1)*12,Paths!$O$118&lt;=C1228*12)),Paths!$N$118,0),"n.a."))</f>
        <v>0</v>
      </c>
      <c r="L1228" s="16">
        <f>IF(NOT(Paths!$C$118=1),0,IF(Paths!$P$118="Complete",IF(C1228=10,Paths!$I$118,0),"n.a."))</f>
        <v>0</v>
      </c>
      <c r="M1228" s="16">
        <f>IF(NOT(Paths!$C$118=1),0,IF(Paths!$P$118="Complete",IF(AND(Paths!$D$118="EV",Paths!$E$118&lt;120,Paths!$E$118+'Operating costs'!$B$65&gt;Paths!$E$118,Paths!$E$118+'Operating costs'!$B$65&lt;=120,IF(Paths!$E$118+'Operating costs'!$B$65=0,C1228=0,AND(C1228&gt;0,Paths!$E$118+'Operating costs'!$B$65&gt;(C1228-1)*12,Paths!$E$118+'Operating costs'!$B$65&lt;=C1228*12))),'Operating costs'!$B$64,0)+IF(AND('Operating costs'!$B$67&gt;0,'Operating costs'!$B$67&lt;=120,OR(Paths!$D$118="ICE",'Operating costs'!$B$67&lt;=Paths!$E$118),IF('Operating costs'!$B$67=0,C1228=0,AND(C1228&gt;0,'Operating costs'!$B$67&gt;(C1228-1)*12,'Operating costs'!$B$67&lt;=C1228*12))),'Operating costs'!$B$66,0),"n.a."))</f>
        <v>0</v>
      </c>
      <c r="N1228" s="16">
        <f>IF(NOT(Paths!$C$118=1),0,IF(Paths!$P$118="Complete",SUM(G1228:I1228)-J1228-K1228-L1228+M1228+IF(C1228=0,Paths!$F$118,0)+IF(IF(Paths!$E$118=0,C1228=0,AND(C1228&gt;0,Paths!$E$118&gt;(C1228-1)*12,Paths!$E$118&lt;=C1228*12)),VLOOKUP(A1228,'Fleet register'!$A$7:$S$106,16,FALSE),0),"n.a."))</f>
        <v>0</v>
      </c>
      <c r="O1228" s="16">
        <f>IF(NOT(Paths!$C$118=1),0,IF(Paths!$P$118="Complete",N1228-IF(C1228=0,Paths!$F$118,0),"n.a."))</f>
        <v>0</v>
      </c>
      <c r="P1228" s="16">
        <f>IF(NOT(Paths!$C$118=1),0,IF(Paths!$P$118="Complete",O1228+L1228,"n.a."))</f>
        <v>0</v>
      </c>
      <c r="Q1228" s="16">
        <f>IF(NOT(Paths!$C$118=1),0,IF(Paths!$P$118="Complete",N1228*(1+'Operating costs'!$B$54)^-C1228,"n.a."))</f>
        <v>0</v>
      </c>
      <c r="R1228" s="16">
        <f>IF(NOT(Paths!$C$118=1),0,IF(Paths!$P$118="Complete",IF(AND(C1228=0,Paths!$E$118=0),I1228-J1228-K1228+VLOOKUP(A1228,'Fleet register'!$A$7:$S$106,15,FALSE)+VLOOKUP(A1228,'Fleet register'!$A$7:$S$106,16,FALSE),0),"n.a."))</f>
        <v>0</v>
      </c>
      <c r="S1228" s="1">
        <f>IF(NOT(Paths!$C$118=1),0,IF(Paths!$P$118="Complete",IF(C1228=0,0,Paths!$S$118*Paths!$R$118),"n.a."))</f>
        <v>0</v>
      </c>
      <c r="T1228" s="1">
        <f>IF(NOT(Paths!$C$118=1),0,IF(Paths!$P$118="Complete",IF(C1228=0,0,VLOOKUP(A1228,'Fleet register'!$A$7:$S$106,9,FALSE)*Paths!$R$118),"n.a."))</f>
        <v>0</v>
      </c>
    </row>
    <row r="1229" spans="1:20" ht="24" customHeight="1">
      <c r="A1229" s="1" t="str">
        <f>Paths!$A$118</f>
        <v>T028</v>
      </c>
      <c r="B1229" s="1">
        <f>Paths!$B$118</f>
        <v>3</v>
      </c>
      <c r="C1229" s="1">
        <v>1</v>
      </c>
      <c r="D1229" s="1">
        <v>118</v>
      </c>
      <c r="E1229" s="1">
        <f>IF(OR(Paths!$C$118=0,C1229=0),0,MAX(0,MIN(C1229*12,Paths!$E$118)-(C1229-1)*12))</f>
        <v>0</v>
      </c>
      <c r="F1229" s="1">
        <f>IF(OR(Paths!$C$118=0,C1229=0),0,12-E1229)</f>
        <v>0</v>
      </c>
      <c r="G1229" s="16">
        <f>IF(NOT(Paths!$C$118=1),0,IF(Paths!$P$118="Complete",E1229/12*(Paths!$J$118*(1+'Operating costs'!$B$51)^MAX(0,C1229-1)+Paths!$K$118*(1+'Operating costs'!$B$53)^MAX(0,C1229-1)),"n.a."))</f>
        <v>0</v>
      </c>
      <c r="H1229" s="16">
        <f>IF(NOT(Paths!$C$118=1),0,IF(Paths!$P$118="Complete",F1229/12*(Paths!$L$118*(1+IF(Paths!$D$118="EV",'Operating costs'!$B$52,'Operating costs'!$B$51))^MAX(0,C1229-1)+Paths!$M$118*(1+'Operating costs'!$B$53)^MAX(0,C1229-1)),"n.a."))</f>
        <v>0</v>
      </c>
      <c r="I1229" s="16">
        <f>IF(NOT(Paths!$C$118=1),0,IF(Paths!$P$118="Complete",IF(IF(Paths!$E$118=0,C1229=0,AND(C1229&gt;0,Paths!$E$118&gt;(C1229-1)*12,Paths!$E$118&lt;=C1229*12)),Paths!$G$118,0),"n.a."))</f>
        <v>0</v>
      </c>
      <c r="J1229" s="16">
        <f>IF(NOT(Paths!$C$118=1),0,IF(Paths!$P$118="Complete",IF(IF(Paths!$E$118=0,C1229=0,AND(C1229&gt;0,Paths!$E$118&gt;(C1229-1)*12,Paths!$E$118&lt;=C1229*12)),Paths!$H$118,0),"n.a."))</f>
        <v>0</v>
      </c>
      <c r="K1229" s="16">
        <f>IF(NOT(Paths!$C$118=1),0,IF(Paths!$P$118="Complete",IF(IF(Paths!$O$118=0,C1229=0,AND(C1229&gt;0,Paths!$O$118&gt;(C1229-1)*12,Paths!$O$118&lt;=C1229*12)),Paths!$N$118,0),"n.a."))</f>
        <v>0</v>
      </c>
      <c r="L1229" s="16">
        <f>IF(NOT(Paths!$C$118=1),0,IF(Paths!$P$118="Complete",IF(C1229=10,Paths!$I$118,0),"n.a."))</f>
        <v>0</v>
      </c>
      <c r="M1229" s="16">
        <f>IF(NOT(Paths!$C$118=1),0,IF(Paths!$P$118="Complete",IF(AND(Paths!$D$118="EV",Paths!$E$118&lt;120,Paths!$E$118+'Operating costs'!$B$65&gt;Paths!$E$118,Paths!$E$118+'Operating costs'!$B$65&lt;=120,IF(Paths!$E$118+'Operating costs'!$B$65=0,C1229=0,AND(C1229&gt;0,Paths!$E$118+'Operating costs'!$B$65&gt;(C1229-1)*12,Paths!$E$118+'Operating costs'!$B$65&lt;=C1229*12))),'Operating costs'!$B$64,0)+IF(AND('Operating costs'!$B$67&gt;0,'Operating costs'!$B$67&lt;=120,OR(Paths!$D$118="ICE",'Operating costs'!$B$67&lt;=Paths!$E$118),IF('Operating costs'!$B$67=0,C1229=0,AND(C1229&gt;0,'Operating costs'!$B$67&gt;(C1229-1)*12,'Operating costs'!$B$67&lt;=C1229*12))),'Operating costs'!$B$66,0),"n.a."))</f>
        <v>0</v>
      </c>
      <c r="N1229" s="16">
        <f>IF(NOT(Paths!$C$118=1),0,IF(Paths!$P$118="Complete",SUM(G1229:I1229)-J1229-K1229-L1229+M1229+IF(C1229=0,Paths!$F$118,0)+IF(IF(Paths!$E$118=0,C1229=0,AND(C1229&gt;0,Paths!$E$118&gt;(C1229-1)*12,Paths!$E$118&lt;=C1229*12)),VLOOKUP(A1229,'Fleet register'!$A$7:$S$106,16,FALSE),0),"n.a."))</f>
        <v>0</v>
      </c>
      <c r="O1229" s="16">
        <f>IF(NOT(Paths!$C$118=1),0,IF(Paths!$P$118="Complete",N1229-IF(C1229=0,Paths!$F$118,0),"n.a."))</f>
        <v>0</v>
      </c>
      <c r="P1229" s="16">
        <f>IF(NOT(Paths!$C$118=1),0,IF(Paths!$P$118="Complete",O1229+L1229,"n.a."))</f>
        <v>0</v>
      </c>
      <c r="Q1229" s="16">
        <f>IF(NOT(Paths!$C$118=1),0,IF(Paths!$P$118="Complete",N1229*(1+'Operating costs'!$B$54)^-C1229,"n.a."))</f>
        <v>0</v>
      </c>
      <c r="R1229" s="16">
        <f>IF(NOT(Paths!$C$118=1),0,IF(Paths!$P$118="Complete",IF(AND(C1229=0,Paths!$E$118=0),I1229-J1229-K1229+VLOOKUP(A1229,'Fleet register'!$A$7:$S$106,15,FALSE)+VLOOKUP(A1229,'Fleet register'!$A$7:$S$106,16,FALSE),0),"n.a."))</f>
        <v>0</v>
      </c>
      <c r="S1229" s="1">
        <f>IF(NOT(Paths!$C$118=1),0,IF(Paths!$P$118="Complete",IF(C1229=0,0,Paths!$S$118*Paths!$R$118),"n.a."))</f>
        <v>0</v>
      </c>
      <c r="T1229" s="1">
        <f>IF(NOT(Paths!$C$118=1),0,IF(Paths!$P$118="Complete",IF(C1229=0,0,VLOOKUP(A1229,'Fleet register'!$A$7:$S$106,9,FALSE)*Paths!$R$118),"n.a."))</f>
        <v>0</v>
      </c>
    </row>
    <row r="1230" spans="1:20" ht="24" customHeight="1">
      <c r="A1230" s="1" t="str">
        <f>Paths!$A$118</f>
        <v>T028</v>
      </c>
      <c r="B1230" s="1">
        <f>Paths!$B$118</f>
        <v>3</v>
      </c>
      <c r="C1230" s="1">
        <v>2</v>
      </c>
      <c r="D1230" s="1">
        <v>118</v>
      </c>
      <c r="E1230" s="1">
        <f>IF(OR(Paths!$C$118=0,C1230=0),0,MAX(0,MIN(C1230*12,Paths!$E$118)-(C1230-1)*12))</f>
        <v>0</v>
      </c>
      <c r="F1230" s="1">
        <f>IF(OR(Paths!$C$118=0,C1230=0),0,12-E1230)</f>
        <v>0</v>
      </c>
      <c r="G1230" s="16">
        <f>IF(NOT(Paths!$C$118=1),0,IF(Paths!$P$118="Complete",E1230/12*(Paths!$J$118*(1+'Operating costs'!$B$51)^MAX(0,C1230-1)+Paths!$K$118*(1+'Operating costs'!$B$53)^MAX(0,C1230-1)),"n.a."))</f>
        <v>0</v>
      </c>
      <c r="H1230" s="16">
        <f>IF(NOT(Paths!$C$118=1),0,IF(Paths!$P$118="Complete",F1230/12*(Paths!$L$118*(1+IF(Paths!$D$118="EV",'Operating costs'!$B$52,'Operating costs'!$B$51))^MAX(0,C1230-1)+Paths!$M$118*(1+'Operating costs'!$B$53)^MAX(0,C1230-1)),"n.a."))</f>
        <v>0</v>
      </c>
      <c r="I1230" s="16">
        <f>IF(NOT(Paths!$C$118=1),0,IF(Paths!$P$118="Complete",IF(IF(Paths!$E$118=0,C1230=0,AND(C1230&gt;0,Paths!$E$118&gt;(C1230-1)*12,Paths!$E$118&lt;=C1230*12)),Paths!$G$118,0),"n.a."))</f>
        <v>0</v>
      </c>
      <c r="J1230" s="16">
        <f>IF(NOT(Paths!$C$118=1),0,IF(Paths!$P$118="Complete",IF(IF(Paths!$E$118=0,C1230=0,AND(C1230&gt;0,Paths!$E$118&gt;(C1230-1)*12,Paths!$E$118&lt;=C1230*12)),Paths!$H$118,0),"n.a."))</f>
        <v>0</v>
      </c>
      <c r="K1230" s="16">
        <f>IF(NOT(Paths!$C$118=1),0,IF(Paths!$P$118="Complete",IF(IF(Paths!$O$118=0,C1230=0,AND(C1230&gt;0,Paths!$O$118&gt;(C1230-1)*12,Paths!$O$118&lt;=C1230*12)),Paths!$N$118,0),"n.a."))</f>
        <v>0</v>
      </c>
      <c r="L1230" s="16">
        <f>IF(NOT(Paths!$C$118=1),0,IF(Paths!$P$118="Complete",IF(C1230=10,Paths!$I$118,0),"n.a."))</f>
        <v>0</v>
      </c>
      <c r="M1230" s="16">
        <f>IF(NOT(Paths!$C$118=1),0,IF(Paths!$P$118="Complete",IF(AND(Paths!$D$118="EV",Paths!$E$118&lt;120,Paths!$E$118+'Operating costs'!$B$65&gt;Paths!$E$118,Paths!$E$118+'Operating costs'!$B$65&lt;=120,IF(Paths!$E$118+'Operating costs'!$B$65=0,C1230=0,AND(C1230&gt;0,Paths!$E$118+'Operating costs'!$B$65&gt;(C1230-1)*12,Paths!$E$118+'Operating costs'!$B$65&lt;=C1230*12))),'Operating costs'!$B$64,0)+IF(AND('Operating costs'!$B$67&gt;0,'Operating costs'!$B$67&lt;=120,OR(Paths!$D$118="ICE",'Operating costs'!$B$67&lt;=Paths!$E$118),IF('Operating costs'!$B$67=0,C1230=0,AND(C1230&gt;0,'Operating costs'!$B$67&gt;(C1230-1)*12,'Operating costs'!$B$67&lt;=C1230*12))),'Operating costs'!$B$66,0),"n.a."))</f>
        <v>0</v>
      </c>
      <c r="N1230" s="16">
        <f>IF(NOT(Paths!$C$118=1),0,IF(Paths!$P$118="Complete",SUM(G1230:I1230)-J1230-K1230-L1230+M1230+IF(C1230=0,Paths!$F$118,0)+IF(IF(Paths!$E$118=0,C1230=0,AND(C1230&gt;0,Paths!$E$118&gt;(C1230-1)*12,Paths!$E$118&lt;=C1230*12)),VLOOKUP(A1230,'Fleet register'!$A$7:$S$106,16,FALSE),0),"n.a."))</f>
        <v>0</v>
      </c>
      <c r="O1230" s="16">
        <f>IF(NOT(Paths!$C$118=1),0,IF(Paths!$P$118="Complete",N1230-IF(C1230=0,Paths!$F$118,0),"n.a."))</f>
        <v>0</v>
      </c>
      <c r="P1230" s="16">
        <f>IF(NOT(Paths!$C$118=1),0,IF(Paths!$P$118="Complete",O1230+L1230,"n.a."))</f>
        <v>0</v>
      </c>
      <c r="Q1230" s="16">
        <f>IF(NOT(Paths!$C$118=1),0,IF(Paths!$P$118="Complete",N1230*(1+'Operating costs'!$B$54)^-C1230,"n.a."))</f>
        <v>0</v>
      </c>
      <c r="R1230" s="16">
        <f>IF(NOT(Paths!$C$118=1),0,IF(Paths!$P$118="Complete",IF(AND(C1230=0,Paths!$E$118=0),I1230-J1230-K1230+VLOOKUP(A1230,'Fleet register'!$A$7:$S$106,15,FALSE)+VLOOKUP(A1230,'Fleet register'!$A$7:$S$106,16,FALSE),0),"n.a."))</f>
        <v>0</v>
      </c>
      <c r="S1230" s="1">
        <f>IF(NOT(Paths!$C$118=1),0,IF(Paths!$P$118="Complete",IF(C1230=0,0,Paths!$S$118*Paths!$R$118),"n.a."))</f>
        <v>0</v>
      </c>
      <c r="T1230" s="1">
        <f>IF(NOT(Paths!$C$118=1),0,IF(Paths!$P$118="Complete",IF(C1230=0,0,VLOOKUP(A1230,'Fleet register'!$A$7:$S$106,9,FALSE)*Paths!$R$118),"n.a."))</f>
        <v>0</v>
      </c>
    </row>
    <row r="1231" spans="1:20" ht="24" customHeight="1">
      <c r="A1231" s="1" t="str">
        <f>Paths!$A$118</f>
        <v>T028</v>
      </c>
      <c r="B1231" s="1">
        <f>Paths!$B$118</f>
        <v>3</v>
      </c>
      <c r="C1231" s="1">
        <v>3</v>
      </c>
      <c r="D1231" s="1">
        <v>118</v>
      </c>
      <c r="E1231" s="1">
        <f>IF(OR(Paths!$C$118=0,C1231=0),0,MAX(0,MIN(C1231*12,Paths!$E$118)-(C1231-1)*12))</f>
        <v>0</v>
      </c>
      <c r="F1231" s="1">
        <f>IF(OR(Paths!$C$118=0,C1231=0),0,12-E1231)</f>
        <v>0</v>
      </c>
      <c r="G1231" s="16">
        <f>IF(NOT(Paths!$C$118=1),0,IF(Paths!$P$118="Complete",E1231/12*(Paths!$J$118*(1+'Operating costs'!$B$51)^MAX(0,C1231-1)+Paths!$K$118*(1+'Operating costs'!$B$53)^MAX(0,C1231-1)),"n.a."))</f>
        <v>0</v>
      </c>
      <c r="H1231" s="16">
        <f>IF(NOT(Paths!$C$118=1),0,IF(Paths!$P$118="Complete",F1231/12*(Paths!$L$118*(1+IF(Paths!$D$118="EV",'Operating costs'!$B$52,'Operating costs'!$B$51))^MAX(0,C1231-1)+Paths!$M$118*(1+'Operating costs'!$B$53)^MAX(0,C1231-1)),"n.a."))</f>
        <v>0</v>
      </c>
      <c r="I1231" s="16">
        <f>IF(NOT(Paths!$C$118=1),0,IF(Paths!$P$118="Complete",IF(IF(Paths!$E$118=0,C1231=0,AND(C1231&gt;0,Paths!$E$118&gt;(C1231-1)*12,Paths!$E$118&lt;=C1231*12)),Paths!$G$118,0),"n.a."))</f>
        <v>0</v>
      </c>
      <c r="J1231" s="16">
        <f>IF(NOT(Paths!$C$118=1),0,IF(Paths!$P$118="Complete",IF(IF(Paths!$E$118=0,C1231=0,AND(C1231&gt;0,Paths!$E$118&gt;(C1231-1)*12,Paths!$E$118&lt;=C1231*12)),Paths!$H$118,0),"n.a."))</f>
        <v>0</v>
      </c>
      <c r="K1231" s="16">
        <f>IF(NOT(Paths!$C$118=1),0,IF(Paths!$P$118="Complete",IF(IF(Paths!$O$118=0,C1231=0,AND(C1231&gt;0,Paths!$O$118&gt;(C1231-1)*12,Paths!$O$118&lt;=C1231*12)),Paths!$N$118,0),"n.a."))</f>
        <v>0</v>
      </c>
      <c r="L1231" s="16">
        <f>IF(NOT(Paths!$C$118=1),0,IF(Paths!$P$118="Complete",IF(C1231=10,Paths!$I$118,0),"n.a."))</f>
        <v>0</v>
      </c>
      <c r="M1231" s="16">
        <f>IF(NOT(Paths!$C$118=1),0,IF(Paths!$P$118="Complete",IF(AND(Paths!$D$118="EV",Paths!$E$118&lt;120,Paths!$E$118+'Operating costs'!$B$65&gt;Paths!$E$118,Paths!$E$118+'Operating costs'!$B$65&lt;=120,IF(Paths!$E$118+'Operating costs'!$B$65=0,C1231=0,AND(C1231&gt;0,Paths!$E$118+'Operating costs'!$B$65&gt;(C1231-1)*12,Paths!$E$118+'Operating costs'!$B$65&lt;=C1231*12))),'Operating costs'!$B$64,0)+IF(AND('Operating costs'!$B$67&gt;0,'Operating costs'!$B$67&lt;=120,OR(Paths!$D$118="ICE",'Operating costs'!$B$67&lt;=Paths!$E$118),IF('Operating costs'!$B$67=0,C1231=0,AND(C1231&gt;0,'Operating costs'!$B$67&gt;(C1231-1)*12,'Operating costs'!$B$67&lt;=C1231*12))),'Operating costs'!$B$66,0),"n.a."))</f>
        <v>0</v>
      </c>
      <c r="N1231" s="16">
        <f>IF(NOT(Paths!$C$118=1),0,IF(Paths!$P$118="Complete",SUM(G1231:I1231)-J1231-K1231-L1231+M1231+IF(C1231=0,Paths!$F$118,0)+IF(IF(Paths!$E$118=0,C1231=0,AND(C1231&gt;0,Paths!$E$118&gt;(C1231-1)*12,Paths!$E$118&lt;=C1231*12)),VLOOKUP(A1231,'Fleet register'!$A$7:$S$106,16,FALSE),0),"n.a."))</f>
        <v>0</v>
      </c>
      <c r="O1231" s="16">
        <f>IF(NOT(Paths!$C$118=1),0,IF(Paths!$P$118="Complete",N1231-IF(C1231=0,Paths!$F$118,0),"n.a."))</f>
        <v>0</v>
      </c>
      <c r="P1231" s="16">
        <f>IF(NOT(Paths!$C$118=1),0,IF(Paths!$P$118="Complete",O1231+L1231,"n.a."))</f>
        <v>0</v>
      </c>
      <c r="Q1231" s="16">
        <f>IF(NOT(Paths!$C$118=1),0,IF(Paths!$P$118="Complete",N1231*(1+'Operating costs'!$B$54)^-C1231,"n.a."))</f>
        <v>0</v>
      </c>
      <c r="R1231" s="16">
        <f>IF(NOT(Paths!$C$118=1),0,IF(Paths!$P$118="Complete",IF(AND(C1231=0,Paths!$E$118=0),I1231-J1231-K1231+VLOOKUP(A1231,'Fleet register'!$A$7:$S$106,15,FALSE)+VLOOKUP(A1231,'Fleet register'!$A$7:$S$106,16,FALSE),0),"n.a."))</f>
        <v>0</v>
      </c>
      <c r="S1231" s="1">
        <f>IF(NOT(Paths!$C$118=1),0,IF(Paths!$P$118="Complete",IF(C1231=0,0,Paths!$S$118*Paths!$R$118),"n.a."))</f>
        <v>0</v>
      </c>
      <c r="T1231" s="1">
        <f>IF(NOT(Paths!$C$118=1),0,IF(Paths!$P$118="Complete",IF(C1231=0,0,VLOOKUP(A1231,'Fleet register'!$A$7:$S$106,9,FALSE)*Paths!$R$118),"n.a."))</f>
        <v>0</v>
      </c>
    </row>
    <row r="1232" spans="1:20" ht="24" customHeight="1">
      <c r="A1232" s="1" t="str">
        <f>Paths!$A$118</f>
        <v>T028</v>
      </c>
      <c r="B1232" s="1">
        <f>Paths!$B$118</f>
        <v>3</v>
      </c>
      <c r="C1232" s="1">
        <v>4</v>
      </c>
      <c r="D1232" s="1">
        <v>118</v>
      </c>
      <c r="E1232" s="1">
        <f>IF(OR(Paths!$C$118=0,C1232=0),0,MAX(0,MIN(C1232*12,Paths!$E$118)-(C1232-1)*12))</f>
        <v>0</v>
      </c>
      <c r="F1232" s="1">
        <f>IF(OR(Paths!$C$118=0,C1232=0),0,12-E1232)</f>
        <v>0</v>
      </c>
      <c r="G1232" s="16">
        <f>IF(NOT(Paths!$C$118=1),0,IF(Paths!$P$118="Complete",E1232/12*(Paths!$J$118*(1+'Operating costs'!$B$51)^MAX(0,C1232-1)+Paths!$K$118*(1+'Operating costs'!$B$53)^MAX(0,C1232-1)),"n.a."))</f>
        <v>0</v>
      </c>
      <c r="H1232" s="16">
        <f>IF(NOT(Paths!$C$118=1),0,IF(Paths!$P$118="Complete",F1232/12*(Paths!$L$118*(1+IF(Paths!$D$118="EV",'Operating costs'!$B$52,'Operating costs'!$B$51))^MAX(0,C1232-1)+Paths!$M$118*(1+'Operating costs'!$B$53)^MAX(0,C1232-1)),"n.a."))</f>
        <v>0</v>
      </c>
      <c r="I1232" s="16">
        <f>IF(NOT(Paths!$C$118=1),0,IF(Paths!$P$118="Complete",IF(IF(Paths!$E$118=0,C1232=0,AND(C1232&gt;0,Paths!$E$118&gt;(C1232-1)*12,Paths!$E$118&lt;=C1232*12)),Paths!$G$118,0),"n.a."))</f>
        <v>0</v>
      </c>
      <c r="J1232" s="16">
        <f>IF(NOT(Paths!$C$118=1),0,IF(Paths!$P$118="Complete",IF(IF(Paths!$E$118=0,C1232=0,AND(C1232&gt;0,Paths!$E$118&gt;(C1232-1)*12,Paths!$E$118&lt;=C1232*12)),Paths!$H$118,0),"n.a."))</f>
        <v>0</v>
      </c>
      <c r="K1232" s="16">
        <f>IF(NOT(Paths!$C$118=1),0,IF(Paths!$P$118="Complete",IF(IF(Paths!$O$118=0,C1232=0,AND(C1232&gt;0,Paths!$O$118&gt;(C1232-1)*12,Paths!$O$118&lt;=C1232*12)),Paths!$N$118,0),"n.a."))</f>
        <v>0</v>
      </c>
      <c r="L1232" s="16">
        <f>IF(NOT(Paths!$C$118=1),0,IF(Paths!$P$118="Complete",IF(C1232=10,Paths!$I$118,0),"n.a."))</f>
        <v>0</v>
      </c>
      <c r="M1232" s="16">
        <f>IF(NOT(Paths!$C$118=1),0,IF(Paths!$P$118="Complete",IF(AND(Paths!$D$118="EV",Paths!$E$118&lt;120,Paths!$E$118+'Operating costs'!$B$65&gt;Paths!$E$118,Paths!$E$118+'Operating costs'!$B$65&lt;=120,IF(Paths!$E$118+'Operating costs'!$B$65=0,C1232=0,AND(C1232&gt;0,Paths!$E$118+'Operating costs'!$B$65&gt;(C1232-1)*12,Paths!$E$118+'Operating costs'!$B$65&lt;=C1232*12))),'Operating costs'!$B$64,0)+IF(AND('Operating costs'!$B$67&gt;0,'Operating costs'!$B$67&lt;=120,OR(Paths!$D$118="ICE",'Operating costs'!$B$67&lt;=Paths!$E$118),IF('Operating costs'!$B$67=0,C1232=0,AND(C1232&gt;0,'Operating costs'!$B$67&gt;(C1232-1)*12,'Operating costs'!$B$67&lt;=C1232*12))),'Operating costs'!$B$66,0),"n.a."))</f>
        <v>0</v>
      </c>
      <c r="N1232" s="16">
        <f>IF(NOT(Paths!$C$118=1),0,IF(Paths!$P$118="Complete",SUM(G1232:I1232)-J1232-K1232-L1232+M1232+IF(C1232=0,Paths!$F$118,0)+IF(IF(Paths!$E$118=0,C1232=0,AND(C1232&gt;0,Paths!$E$118&gt;(C1232-1)*12,Paths!$E$118&lt;=C1232*12)),VLOOKUP(A1232,'Fleet register'!$A$7:$S$106,16,FALSE),0),"n.a."))</f>
        <v>0</v>
      </c>
      <c r="O1232" s="16">
        <f>IF(NOT(Paths!$C$118=1),0,IF(Paths!$P$118="Complete",N1232-IF(C1232=0,Paths!$F$118,0),"n.a."))</f>
        <v>0</v>
      </c>
      <c r="P1232" s="16">
        <f>IF(NOT(Paths!$C$118=1),0,IF(Paths!$P$118="Complete",O1232+L1232,"n.a."))</f>
        <v>0</v>
      </c>
      <c r="Q1232" s="16">
        <f>IF(NOT(Paths!$C$118=1),0,IF(Paths!$P$118="Complete",N1232*(1+'Operating costs'!$B$54)^-C1232,"n.a."))</f>
        <v>0</v>
      </c>
      <c r="R1232" s="16">
        <f>IF(NOT(Paths!$C$118=1),0,IF(Paths!$P$118="Complete",IF(AND(C1232=0,Paths!$E$118=0),I1232-J1232-K1232+VLOOKUP(A1232,'Fleet register'!$A$7:$S$106,15,FALSE)+VLOOKUP(A1232,'Fleet register'!$A$7:$S$106,16,FALSE),0),"n.a."))</f>
        <v>0</v>
      </c>
      <c r="S1232" s="1">
        <f>IF(NOT(Paths!$C$118=1),0,IF(Paths!$P$118="Complete",IF(C1232=0,0,Paths!$S$118*Paths!$R$118),"n.a."))</f>
        <v>0</v>
      </c>
      <c r="T1232" s="1">
        <f>IF(NOT(Paths!$C$118=1),0,IF(Paths!$P$118="Complete",IF(C1232=0,0,VLOOKUP(A1232,'Fleet register'!$A$7:$S$106,9,FALSE)*Paths!$R$118),"n.a."))</f>
        <v>0</v>
      </c>
    </row>
    <row r="1233" spans="1:20" ht="24" customHeight="1">
      <c r="A1233" s="1" t="str">
        <f>Paths!$A$118</f>
        <v>T028</v>
      </c>
      <c r="B1233" s="1">
        <f>Paths!$B$118</f>
        <v>3</v>
      </c>
      <c r="C1233" s="1">
        <v>5</v>
      </c>
      <c r="D1233" s="1">
        <v>118</v>
      </c>
      <c r="E1233" s="1">
        <f>IF(OR(Paths!$C$118=0,C1233=0),0,MAX(0,MIN(C1233*12,Paths!$E$118)-(C1233-1)*12))</f>
        <v>0</v>
      </c>
      <c r="F1233" s="1">
        <f>IF(OR(Paths!$C$118=0,C1233=0),0,12-E1233)</f>
        <v>0</v>
      </c>
      <c r="G1233" s="16">
        <f>IF(NOT(Paths!$C$118=1),0,IF(Paths!$P$118="Complete",E1233/12*(Paths!$J$118*(1+'Operating costs'!$B$51)^MAX(0,C1233-1)+Paths!$K$118*(1+'Operating costs'!$B$53)^MAX(0,C1233-1)),"n.a."))</f>
        <v>0</v>
      </c>
      <c r="H1233" s="16">
        <f>IF(NOT(Paths!$C$118=1),0,IF(Paths!$P$118="Complete",F1233/12*(Paths!$L$118*(1+IF(Paths!$D$118="EV",'Operating costs'!$B$52,'Operating costs'!$B$51))^MAX(0,C1233-1)+Paths!$M$118*(1+'Operating costs'!$B$53)^MAX(0,C1233-1)),"n.a."))</f>
        <v>0</v>
      </c>
      <c r="I1233" s="16">
        <f>IF(NOT(Paths!$C$118=1),0,IF(Paths!$P$118="Complete",IF(IF(Paths!$E$118=0,C1233=0,AND(C1233&gt;0,Paths!$E$118&gt;(C1233-1)*12,Paths!$E$118&lt;=C1233*12)),Paths!$G$118,0),"n.a."))</f>
        <v>0</v>
      </c>
      <c r="J1233" s="16">
        <f>IF(NOT(Paths!$C$118=1),0,IF(Paths!$P$118="Complete",IF(IF(Paths!$E$118=0,C1233=0,AND(C1233&gt;0,Paths!$E$118&gt;(C1233-1)*12,Paths!$E$118&lt;=C1233*12)),Paths!$H$118,0),"n.a."))</f>
        <v>0</v>
      </c>
      <c r="K1233" s="16">
        <f>IF(NOT(Paths!$C$118=1),0,IF(Paths!$P$118="Complete",IF(IF(Paths!$O$118=0,C1233=0,AND(C1233&gt;0,Paths!$O$118&gt;(C1233-1)*12,Paths!$O$118&lt;=C1233*12)),Paths!$N$118,0),"n.a."))</f>
        <v>0</v>
      </c>
      <c r="L1233" s="16">
        <f>IF(NOT(Paths!$C$118=1),0,IF(Paths!$P$118="Complete",IF(C1233=10,Paths!$I$118,0),"n.a."))</f>
        <v>0</v>
      </c>
      <c r="M1233" s="16">
        <f>IF(NOT(Paths!$C$118=1),0,IF(Paths!$P$118="Complete",IF(AND(Paths!$D$118="EV",Paths!$E$118&lt;120,Paths!$E$118+'Operating costs'!$B$65&gt;Paths!$E$118,Paths!$E$118+'Operating costs'!$B$65&lt;=120,IF(Paths!$E$118+'Operating costs'!$B$65=0,C1233=0,AND(C1233&gt;0,Paths!$E$118+'Operating costs'!$B$65&gt;(C1233-1)*12,Paths!$E$118+'Operating costs'!$B$65&lt;=C1233*12))),'Operating costs'!$B$64,0)+IF(AND('Operating costs'!$B$67&gt;0,'Operating costs'!$B$67&lt;=120,OR(Paths!$D$118="ICE",'Operating costs'!$B$67&lt;=Paths!$E$118),IF('Operating costs'!$B$67=0,C1233=0,AND(C1233&gt;0,'Operating costs'!$B$67&gt;(C1233-1)*12,'Operating costs'!$B$67&lt;=C1233*12))),'Operating costs'!$B$66,0),"n.a."))</f>
        <v>0</v>
      </c>
      <c r="N1233" s="16">
        <f>IF(NOT(Paths!$C$118=1),0,IF(Paths!$P$118="Complete",SUM(G1233:I1233)-J1233-K1233-L1233+M1233+IF(C1233=0,Paths!$F$118,0)+IF(IF(Paths!$E$118=0,C1233=0,AND(C1233&gt;0,Paths!$E$118&gt;(C1233-1)*12,Paths!$E$118&lt;=C1233*12)),VLOOKUP(A1233,'Fleet register'!$A$7:$S$106,16,FALSE),0),"n.a."))</f>
        <v>0</v>
      </c>
      <c r="O1233" s="16">
        <f>IF(NOT(Paths!$C$118=1),0,IF(Paths!$P$118="Complete",N1233-IF(C1233=0,Paths!$F$118,0),"n.a."))</f>
        <v>0</v>
      </c>
      <c r="P1233" s="16">
        <f>IF(NOT(Paths!$C$118=1),0,IF(Paths!$P$118="Complete",O1233+L1233,"n.a."))</f>
        <v>0</v>
      </c>
      <c r="Q1233" s="16">
        <f>IF(NOT(Paths!$C$118=1),0,IF(Paths!$P$118="Complete",N1233*(1+'Operating costs'!$B$54)^-C1233,"n.a."))</f>
        <v>0</v>
      </c>
      <c r="R1233" s="16">
        <f>IF(NOT(Paths!$C$118=1),0,IF(Paths!$P$118="Complete",IF(AND(C1233=0,Paths!$E$118=0),I1233-J1233-K1233+VLOOKUP(A1233,'Fleet register'!$A$7:$S$106,15,FALSE)+VLOOKUP(A1233,'Fleet register'!$A$7:$S$106,16,FALSE),0),"n.a."))</f>
        <v>0</v>
      </c>
      <c r="S1233" s="1">
        <f>IF(NOT(Paths!$C$118=1),0,IF(Paths!$P$118="Complete",IF(C1233=0,0,Paths!$S$118*Paths!$R$118),"n.a."))</f>
        <v>0</v>
      </c>
      <c r="T1233" s="1">
        <f>IF(NOT(Paths!$C$118=1),0,IF(Paths!$P$118="Complete",IF(C1233=0,0,VLOOKUP(A1233,'Fleet register'!$A$7:$S$106,9,FALSE)*Paths!$R$118),"n.a."))</f>
        <v>0</v>
      </c>
    </row>
    <row r="1234" spans="1:20" ht="24" customHeight="1">
      <c r="A1234" s="1" t="str">
        <f>Paths!$A$118</f>
        <v>T028</v>
      </c>
      <c r="B1234" s="1">
        <f>Paths!$B$118</f>
        <v>3</v>
      </c>
      <c r="C1234" s="1">
        <v>6</v>
      </c>
      <c r="D1234" s="1">
        <v>118</v>
      </c>
      <c r="E1234" s="1">
        <f>IF(OR(Paths!$C$118=0,C1234=0),0,MAX(0,MIN(C1234*12,Paths!$E$118)-(C1234-1)*12))</f>
        <v>0</v>
      </c>
      <c r="F1234" s="1">
        <f>IF(OR(Paths!$C$118=0,C1234=0),0,12-E1234)</f>
        <v>0</v>
      </c>
      <c r="G1234" s="16">
        <f>IF(NOT(Paths!$C$118=1),0,IF(Paths!$P$118="Complete",E1234/12*(Paths!$J$118*(1+'Operating costs'!$B$51)^MAX(0,C1234-1)+Paths!$K$118*(1+'Operating costs'!$B$53)^MAX(0,C1234-1)),"n.a."))</f>
        <v>0</v>
      </c>
      <c r="H1234" s="16">
        <f>IF(NOT(Paths!$C$118=1),0,IF(Paths!$P$118="Complete",F1234/12*(Paths!$L$118*(1+IF(Paths!$D$118="EV",'Operating costs'!$B$52,'Operating costs'!$B$51))^MAX(0,C1234-1)+Paths!$M$118*(1+'Operating costs'!$B$53)^MAX(0,C1234-1)),"n.a."))</f>
        <v>0</v>
      </c>
      <c r="I1234" s="16">
        <f>IF(NOT(Paths!$C$118=1),0,IF(Paths!$P$118="Complete",IF(IF(Paths!$E$118=0,C1234=0,AND(C1234&gt;0,Paths!$E$118&gt;(C1234-1)*12,Paths!$E$118&lt;=C1234*12)),Paths!$G$118,0),"n.a."))</f>
        <v>0</v>
      </c>
      <c r="J1234" s="16">
        <f>IF(NOT(Paths!$C$118=1),0,IF(Paths!$P$118="Complete",IF(IF(Paths!$E$118=0,C1234=0,AND(C1234&gt;0,Paths!$E$118&gt;(C1234-1)*12,Paths!$E$118&lt;=C1234*12)),Paths!$H$118,0),"n.a."))</f>
        <v>0</v>
      </c>
      <c r="K1234" s="16">
        <f>IF(NOT(Paths!$C$118=1),0,IF(Paths!$P$118="Complete",IF(IF(Paths!$O$118=0,C1234=0,AND(C1234&gt;0,Paths!$O$118&gt;(C1234-1)*12,Paths!$O$118&lt;=C1234*12)),Paths!$N$118,0),"n.a."))</f>
        <v>0</v>
      </c>
      <c r="L1234" s="16">
        <f>IF(NOT(Paths!$C$118=1),0,IF(Paths!$P$118="Complete",IF(C1234=10,Paths!$I$118,0),"n.a."))</f>
        <v>0</v>
      </c>
      <c r="M1234" s="16">
        <f>IF(NOT(Paths!$C$118=1),0,IF(Paths!$P$118="Complete",IF(AND(Paths!$D$118="EV",Paths!$E$118&lt;120,Paths!$E$118+'Operating costs'!$B$65&gt;Paths!$E$118,Paths!$E$118+'Operating costs'!$B$65&lt;=120,IF(Paths!$E$118+'Operating costs'!$B$65=0,C1234=0,AND(C1234&gt;0,Paths!$E$118+'Operating costs'!$B$65&gt;(C1234-1)*12,Paths!$E$118+'Operating costs'!$B$65&lt;=C1234*12))),'Operating costs'!$B$64,0)+IF(AND('Operating costs'!$B$67&gt;0,'Operating costs'!$B$67&lt;=120,OR(Paths!$D$118="ICE",'Operating costs'!$B$67&lt;=Paths!$E$118),IF('Operating costs'!$B$67=0,C1234=0,AND(C1234&gt;0,'Operating costs'!$B$67&gt;(C1234-1)*12,'Operating costs'!$B$67&lt;=C1234*12))),'Operating costs'!$B$66,0),"n.a."))</f>
        <v>0</v>
      </c>
      <c r="N1234" s="16">
        <f>IF(NOT(Paths!$C$118=1),0,IF(Paths!$P$118="Complete",SUM(G1234:I1234)-J1234-K1234-L1234+M1234+IF(C1234=0,Paths!$F$118,0)+IF(IF(Paths!$E$118=0,C1234=0,AND(C1234&gt;0,Paths!$E$118&gt;(C1234-1)*12,Paths!$E$118&lt;=C1234*12)),VLOOKUP(A1234,'Fleet register'!$A$7:$S$106,16,FALSE),0),"n.a."))</f>
        <v>0</v>
      </c>
      <c r="O1234" s="16">
        <f>IF(NOT(Paths!$C$118=1),0,IF(Paths!$P$118="Complete",N1234-IF(C1234=0,Paths!$F$118,0),"n.a."))</f>
        <v>0</v>
      </c>
      <c r="P1234" s="16">
        <f>IF(NOT(Paths!$C$118=1),0,IF(Paths!$P$118="Complete",O1234+L1234,"n.a."))</f>
        <v>0</v>
      </c>
      <c r="Q1234" s="16">
        <f>IF(NOT(Paths!$C$118=1),0,IF(Paths!$P$118="Complete",N1234*(1+'Operating costs'!$B$54)^-C1234,"n.a."))</f>
        <v>0</v>
      </c>
      <c r="R1234" s="16">
        <f>IF(NOT(Paths!$C$118=1),0,IF(Paths!$P$118="Complete",IF(AND(C1234=0,Paths!$E$118=0),I1234-J1234-K1234+VLOOKUP(A1234,'Fleet register'!$A$7:$S$106,15,FALSE)+VLOOKUP(A1234,'Fleet register'!$A$7:$S$106,16,FALSE),0),"n.a."))</f>
        <v>0</v>
      </c>
      <c r="S1234" s="1">
        <f>IF(NOT(Paths!$C$118=1),0,IF(Paths!$P$118="Complete",IF(C1234=0,0,Paths!$S$118*Paths!$R$118),"n.a."))</f>
        <v>0</v>
      </c>
      <c r="T1234" s="1">
        <f>IF(NOT(Paths!$C$118=1),0,IF(Paths!$P$118="Complete",IF(C1234=0,0,VLOOKUP(A1234,'Fleet register'!$A$7:$S$106,9,FALSE)*Paths!$R$118),"n.a."))</f>
        <v>0</v>
      </c>
    </row>
    <row r="1235" spans="1:20" ht="24" customHeight="1">
      <c r="A1235" s="1" t="str">
        <f>Paths!$A$118</f>
        <v>T028</v>
      </c>
      <c r="B1235" s="1">
        <f>Paths!$B$118</f>
        <v>3</v>
      </c>
      <c r="C1235" s="1">
        <v>7</v>
      </c>
      <c r="D1235" s="1">
        <v>118</v>
      </c>
      <c r="E1235" s="1">
        <f>IF(OR(Paths!$C$118=0,C1235=0),0,MAX(0,MIN(C1235*12,Paths!$E$118)-(C1235-1)*12))</f>
        <v>0</v>
      </c>
      <c r="F1235" s="1">
        <f>IF(OR(Paths!$C$118=0,C1235=0),0,12-E1235)</f>
        <v>0</v>
      </c>
      <c r="G1235" s="16">
        <f>IF(NOT(Paths!$C$118=1),0,IF(Paths!$P$118="Complete",E1235/12*(Paths!$J$118*(1+'Operating costs'!$B$51)^MAX(0,C1235-1)+Paths!$K$118*(1+'Operating costs'!$B$53)^MAX(0,C1235-1)),"n.a."))</f>
        <v>0</v>
      </c>
      <c r="H1235" s="16">
        <f>IF(NOT(Paths!$C$118=1),0,IF(Paths!$P$118="Complete",F1235/12*(Paths!$L$118*(1+IF(Paths!$D$118="EV",'Operating costs'!$B$52,'Operating costs'!$B$51))^MAX(0,C1235-1)+Paths!$M$118*(1+'Operating costs'!$B$53)^MAX(0,C1235-1)),"n.a."))</f>
        <v>0</v>
      </c>
      <c r="I1235" s="16">
        <f>IF(NOT(Paths!$C$118=1),0,IF(Paths!$P$118="Complete",IF(IF(Paths!$E$118=0,C1235=0,AND(C1235&gt;0,Paths!$E$118&gt;(C1235-1)*12,Paths!$E$118&lt;=C1235*12)),Paths!$G$118,0),"n.a."))</f>
        <v>0</v>
      </c>
      <c r="J1235" s="16">
        <f>IF(NOT(Paths!$C$118=1),0,IF(Paths!$P$118="Complete",IF(IF(Paths!$E$118=0,C1235=0,AND(C1235&gt;0,Paths!$E$118&gt;(C1235-1)*12,Paths!$E$118&lt;=C1235*12)),Paths!$H$118,0),"n.a."))</f>
        <v>0</v>
      </c>
      <c r="K1235" s="16">
        <f>IF(NOT(Paths!$C$118=1),0,IF(Paths!$P$118="Complete",IF(IF(Paths!$O$118=0,C1235=0,AND(C1235&gt;0,Paths!$O$118&gt;(C1235-1)*12,Paths!$O$118&lt;=C1235*12)),Paths!$N$118,0),"n.a."))</f>
        <v>0</v>
      </c>
      <c r="L1235" s="16">
        <f>IF(NOT(Paths!$C$118=1),0,IF(Paths!$P$118="Complete",IF(C1235=10,Paths!$I$118,0),"n.a."))</f>
        <v>0</v>
      </c>
      <c r="M1235" s="16">
        <f>IF(NOT(Paths!$C$118=1),0,IF(Paths!$P$118="Complete",IF(AND(Paths!$D$118="EV",Paths!$E$118&lt;120,Paths!$E$118+'Operating costs'!$B$65&gt;Paths!$E$118,Paths!$E$118+'Operating costs'!$B$65&lt;=120,IF(Paths!$E$118+'Operating costs'!$B$65=0,C1235=0,AND(C1235&gt;0,Paths!$E$118+'Operating costs'!$B$65&gt;(C1235-1)*12,Paths!$E$118+'Operating costs'!$B$65&lt;=C1235*12))),'Operating costs'!$B$64,0)+IF(AND('Operating costs'!$B$67&gt;0,'Operating costs'!$B$67&lt;=120,OR(Paths!$D$118="ICE",'Operating costs'!$B$67&lt;=Paths!$E$118),IF('Operating costs'!$B$67=0,C1235=0,AND(C1235&gt;0,'Operating costs'!$B$67&gt;(C1235-1)*12,'Operating costs'!$B$67&lt;=C1235*12))),'Operating costs'!$B$66,0),"n.a."))</f>
        <v>0</v>
      </c>
      <c r="N1235" s="16">
        <f>IF(NOT(Paths!$C$118=1),0,IF(Paths!$P$118="Complete",SUM(G1235:I1235)-J1235-K1235-L1235+M1235+IF(C1235=0,Paths!$F$118,0)+IF(IF(Paths!$E$118=0,C1235=0,AND(C1235&gt;0,Paths!$E$118&gt;(C1235-1)*12,Paths!$E$118&lt;=C1235*12)),VLOOKUP(A1235,'Fleet register'!$A$7:$S$106,16,FALSE),0),"n.a."))</f>
        <v>0</v>
      </c>
      <c r="O1235" s="16">
        <f>IF(NOT(Paths!$C$118=1),0,IF(Paths!$P$118="Complete",N1235-IF(C1235=0,Paths!$F$118,0),"n.a."))</f>
        <v>0</v>
      </c>
      <c r="P1235" s="16">
        <f>IF(NOT(Paths!$C$118=1),0,IF(Paths!$P$118="Complete",O1235+L1235,"n.a."))</f>
        <v>0</v>
      </c>
      <c r="Q1235" s="16">
        <f>IF(NOT(Paths!$C$118=1),0,IF(Paths!$P$118="Complete",N1235*(1+'Operating costs'!$B$54)^-C1235,"n.a."))</f>
        <v>0</v>
      </c>
      <c r="R1235" s="16">
        <f>IF(NOT(Paths!$C$118=1),0,IF(Paths!$P$118="Complete",IF(AND(C1235=0,Paths!$E$118=0),I1235-J1235-K1235+VLOOKUP(A1235,'Fleet register'!$A$7:$S$106,15,FALSE)+VLOOKUP(A1235,'Fleet register'!$A$7:$S$106,16,FALSE),0),"n.a."))</f>
        <v>0</v>
      </c>
      <c r="S1235" s="1">
        <f>IF(NOT(Paths!$C$118=1),0,IF(Paths!$P$118="Complete",IF(C1235=0,0,Paths!$S$118*Paths!$R$118),"n.a."))</f>
        <v>0</v>
      </c>
      <c r="T1235" s="1">
        <f>IF(NOT(Paths!$C$118=1),0,IF(Paths!$P$118="Complete",IF(C1235=0,0,VLOOKUP(A1235,'Fleet register'!$A$7:$S$106,9,FALSE)*Paths!$R$118),"n.a."))</f>
        <v>0</v>
      </c>
    </row>
    <row r="1236" spans="1:20" ht="24" customHeight="1">
      <c r="A1236" s="1" t="str">
        <f>Paths!$A$118</f>
        <v>T028</v>
      </c>
      <c r="B1236" s="1">
        <f>Paths!$B$118</f>
        <v>3</v>
      </c>
      <c r="C1236" s="1">
        <v>8</v>
      </c>
      <c r="D1236" s="1">
        <v>118</v>
      </c>
      <c r="E1236" s="1">
        <f>IF(OR(Paths!$C$118=0,C1236=0),0,MAX(0,MIN(C1236*12,Paths!$E$118)-(C1236-1)*12))</f>
        <v>0</v>
      </c>
      <c r="F1236" s="1">
        <f>IF(OR(Paths!$C$118=0,C1236=0),0,12-E1236)</f>
        <v>0</v>
      </c>
      <c r="G1236" s="16">
        <f>IF(NOT(Paths!$C$118=1),0,IF(Paths!$P$118="Complete",E1236/12*(Paths!$J$118*(1+'Operating costs'!$B$51)^MAX(0,C1236-1)+Paths!$K$118*(1+'Operating costs'!$B$53)^MAX(0,C1236-1)),"n.a."))</f>
        <v>0</v>
      </c>
      <c r="H1236" s="16">
        <f>IF(NOT(Paths!$C$118=1),0,IF(Paths!$P$118="Complete",F1236/12*(Paths!$L$118*(1+IF(Paths!$D$118="EV",'Operating costs'!$B$52,'Operating costs'!$B$51))^MAX(0,C1236-1)+Paths!$M$118*(1+'Operating costs'!$B$53)^MAX(0,C1236-1)),"n.a."))</f>
        <v>0</v>
      </c>
      <c r="I1236" s="16">
        <f>IF(NOT(Paths!$C$118=1),0,IF(Paths!$P$118="Complete",IF(IF(Paths!$E$118=0,C1236=0,AND(C1236&gt;0,Paths!$E$118&gt;(C1236-1)*12,Paths!$E$118&lt;=C1236*12)),Paths!$G$118,0),"n.a."))</f>
        <v>0</v>
      </c>
      <c r="J1236" s="16">
        <f>IF(NOT(Paths!$C$118=1),0,IF(Paths!$P$118="Complete",IF(IF(Paths!$E$118=0,C1236=0,AND(C1236&gt;0,Paths!$E$118&gt;(C1236-1)*12,Paths!$E$118&lt;=C1236*12)),Paths!$H$118,0),"n.a."))</f>
        <v>0</v>
      </c>
      <c r="K1236" s="16">
        <f>IF(NOT(Paths!$C$118=1),0,IF(Paths!$P$118="Complete",IF(IF(Paths!$O$118=0,C1236=0,AND(C1236&gt;0,Paths!$O$118&gt;(C1236-1)*12,Paths!$O$118&lt;=C1236*12)),Paths!$N$118,0),"n.a."))</f>
        <v>0</v>
      </c>
      <c r="L1236" s="16">
        <f>IF(NOT(Paths!$C$118=1),0,IF(Paths!$P$118="Complete",IF(C1236=10,Paths!$I$118,0),"n.a."))</f>
        <v>0</v>
      </c>
      <c r="M1236" s="16">
        <f>IF(NOT(Paths!$C$118=1),0,IF(Paths!$P$118="Complete",IF(AND(Paths!$D$118="EV",Paths!$E$118&lt;120,Paths!$E$118+'Operating costs'!$B$65&gt;Paths!$E$118,Paths!$E$118+'Operating costs'!$B$65&lt;=120,IF(Paths!$E$118+'Operating costs'!$B$65=0,C1236=0,AND(C1236&gt;0,Paths!$E$118+'Operating costs'!$B$65&gt;(C1236-1)*12,Paths!$E$118+'Operating costs'!$B$65&lt;=C1236*12))),'Operating costs'!$B$64,0)+IF(AND('Operating costs'!$B$67&gt;0,'Operating costs'!$B$67&lt;=120,OR(Paths!$D$118="ICE",'Operating costs'!$B$67&lt;=Paths!$E$118),IF('Operating costs'!$B$67=0,C1236=0,AND(C1236&gt;0,'Operating costs'!$B$67&gt;(C1236-1)*12,'Operating costs'!$B$67&lt;=C1236*12))),'Operating costs'!$B$66,0),"n.a."))</f>
        <v>0</v>
      </c>
      <c r="N1236" s="16">
        <f>IF(NOT(Paths!$C$118=1),0,IF(Paths!$P$118="Complete",SUM(G1236:I1236)-J1236-K1236-L1236+M1236+IF(C1236=0,Paths!$F$118,0)+IF(IF(Paths!$E$118=0,C1236=0,AND(C1236&gt;0,Paths!$E$118&gt;(C1236-1)*12,Paths!$E$118&lt;=C1236*12)),VLOOKUP(A1236,'Fleet register'!$A$7:$S$106,16,FALSE),0),"n.a."))</f>
        <v>0</v>
      </c>
      <c r="O1236" s="16">
        <f>IF(NOT(Paths!$C$118=1),0,IF(Paths!$P$118="Complete",N1236-IF(C1236=0,Paths!$F$118,0),"n.a."))</f>
        <v>0</v>
      </c>
      <c r="P1236" s="16">
        <f>IF(NOT(Paths!$C$118=1),0,IF(Paths!$P$118="Complete",O1236+L1236,"n.a."))</f>
        <v>0</v>
      </c>
      <c r="Q1236" s="16">
        <f>IF(NOT(Paths!$C$118=1),0,IF(Paths!$P$118="Complete",N1236*(1+'Operating costs'!$B$54)^-C1236,"n.a."))</f>
        <v>0</v>
      </c>
      <c r="R1236" s="16">
        <f>IF(NOT(Paths!$C$118=1),0,IF(Paths!$P$118="Complete",IF(AND(C1236=0,Paths!$E$118=0),I1236-J1236-K1236+VLOOKUP(A1236,'Fleet register'!$A$7:$S$106,15,FALSE)+VLOOKUP(A1236,'Fleet register'!$A$7:$S$106,16,FALSE),0),"n.a."))</f>
        <v>0</v>
      </c>
      <c r="S1236" s="1">
        <f>IF(NOT(Paths!$C$118=1),0,IF(Paths!$P$118="Complete",IF(C1236=0,0,Paths!$S$118*Paths!$R$118),"n.a."))</f>
        <v>0</v>
      </c>
      <c r="T1236" s="1">
        <f>IF(NOT(Paths!$C$118=1),0,IF(Paths!$P$118="Complete",IF(C1236=0,0,VLOOKUP(A1236,'Fleet register'!$A$7:$S$106,9,FALSE)*Paths!$R$118),"n.a."))</f>
        <v>0</v>
      </c>
    </row>
    <row r="1237" spans="1:20" ht="24" customHeight="1">
      <c r="A1237" s="1" t="str">
        <f>Paths!$A$118</f>
        <v>T028</v>
      </c>
      <c r="B1237" s="1">
        <f>Paths!$B$118</f>
        <v>3</v>
      </c>
      <c r="C1237" s="1">
        <v>9</v>
      </c>
      <c r="D1237" s="1">
        <v>118</v>
      </c>
      <c r="E1237" s="1">
        <f>IF(OR(Paths!$C$118=0,C1237=0),0,MAX(0,MIN(C1237*12,Paths!$E$118)-(C1237-1)*12))</f>
        <v>0</v>
      </c>
      <c r="F1237" s="1">
        <f>IF(OR(Paths!$C$118=0,C1237=0),0,12-E1237)</f>
        <v>0</v>
      </c>
      <c r="G1237" s="16">
        <f>IF(NOT(Paths!$C$118=1),0,IF(Paths!$P$118="Complete",E1237/12*(Paths!$J$118*(1+'Operating costs'!$B$51)^MAX(0,C1237-1)+Paths!$K$118*(1+'Operating costs'!$B$53)^MAX(0,C1237-1)),"n.a."))</f>
        <v>0</v>
      </c>
      <c r="H1237" s="16">
        <f>IF(NOT(Paths!$C$118=1),0,IF(Paths!$P$118="Complete",F1237/12*(Paths!$L$118*(1+IF(Paths!$D$118="EV",'Operating costs'!$B$52,'Operating costs'!$B$51))^MAX(0,C1237-1)+Paths!$M$118*(1+'Operating costs'!$B$53)^MAX(0,C1237-1)),"n.a."))</f>
        <v>0</v>
      </c>
      <c r="I1237" s="16">
        <f>IF(NOT(Paths!$C$118=1),0,IF(Paths!$P$118="Complete",IF(IF(Paths!$E$118=0,C1237=0,AND(C1237&gt;0,Paths!$E$118&gt;(C1237-1)*12,Paths!$E$118&lt;=C1237*12)),Paths!$G$118,0),"n.a."))</f>
        <v>0</v>
      </c>
      <c r="J1237" s="16">
        <f>IF(NOT(Paths!$C$118=1),0,IF(Paths!$P$118="Complete",IF(IF(Paths!$E$118=0,C1237=0,AND(C1237&gt;0,Paths!$E$118&gt;(C1237-1)*12,Paths!$E$118&lt;=C1237*12)),Paths!$H$118,0),"n.a."))</f>
        <v>0</v>
      </c>
      <c r="K1237" s="16">
        <f>IF(NOT(Paths!$C$118=1),0,IF(Paths!$P$118="Complete",IF(IF(Paths!$O$118=0,C1237=0,AND(C1237&gt;0,Paths!$O$118&gt;(C1237-1)*12,Paths!$O$118&lt;=C1237*12)),Paths!$N$118,0),"n.a."))</f>
        <v>0</v>
      </c>
      <c r="L1237" s="16">
        <f>IF(NOT(Paths!$C$118=1),0,IF(Paths!$P$118="Complete",IF(C1237=10,Paths!$I$118,0),"n.a."))</f>
        <v>0</v>
      </c>
      <c r="M1237" s="16">
        <f>IF(NOT(Paths!$C$118=1),0,IF(Paths!$P$118="Complete",IF(AND(Paths!$D$118="EV",Paths!$E$118&lt;120,Paths!$E$118+'Operating costs'!$B$65&gt;Paths!$E$118,Paths!$E$118+'Operating costs'!$B$65&lt;=120,IF(Paths!$E$118+'Operating costs'!$B$65=0,C1237=0,AND(C1237&gt;0,Paths!$E$118+'Operating costs'!$B$65&gt;(C1237-1)*12,Paths!$E$118+'Operating costs'!$B$65&lt;=C1237*12))),'Operating costs'!$B$64,0)+IF(AND('Operating costs'!$B$67&gt;0,'Operating costs'!$B$67&lt;=120,OR(Paths!$D$118="ICE",'Operating costs'!$B$67&lt;=Paths!$E$118),IF('Operating costs'!$B$67=0,C1237=0,AND(C1237&gt;0,'Operating costs'!$B$67&gt;(C1237-1)*12,'Operating costs'!$B$67&lt;=C1237*12))),'Operating costs'!$B$66,0),"n.a."))</f>
        <v>0</v>
      </c>
      <c r="N1237" s="16">
        <f>IF(NOT(Paths!$C$118=1),0,IF(Paths!$P$118="Complete",SUM(G1237:I1237)-J1237-K1237-L1237+M1237+IF(C1237=0,Paths!$F$118,0)+IF(IF(Paths!$E$118=0,C1237=0,AND(C1237&gt;0,Paths!$E$118&gt;(C1237-1)*12,Paths!$E$118&lt;=C1237*12)),VLOOKUP(A1237,'Fleet register'!$A$7:$S$106,16,FALSE),0),"n.a."))</f>
        <v>0</v>
      </c>
      <c r="O1237" s="16">
        <f>IF(NOT(Paths!$C$118=1),0,IF(Paths!$P$118="Complete",N1237-IF(C1237=0,Paths!$F$118,0),"n.a."))</f>
        <v>0</v>
      </c>
      <c r="P1237" s="16">
        <f>IF(NOT(Paths!$C$118=1),0,IF(Paths!$P$118="Complete",O1237+L1237,"n.a."))</f>
        <v>0</v>
      </c>
      <c r="Q1237" s="16">
        <f>IF(NOT(Paths!$C$118=1),0,IF(Paths!$P$118="Complete",N1237*(1+'Operating costs'!$B$54)^-C1237,"n.a."))</f>
        <v>0</v>
      </c>
      <c r="R1237" s="16">
        <f>IF(NOT(Paths!$C$118=1),0,IF(Paths!$P$118="Complete",IF(AND(C1237=0,Paths!$E$118=0),I1237-J1237-K1237+VLOOKUP(A1237,'Fleet register'!$A$7:$S$106,15,FALSE)+VLOOKUP(A1237,'Fleet register'!$A$7:$S$106,16,FALSE),0),"n.a."))</f>
        <v>0</v>
      </c>
      <c r="S1237" s="1">
        <f>IF(NOT(Paths!$C$118=1),0,IF(Paths!$P$118="Complete",IF(C1237=0,0,Paths!$S$118*Paths!$R$118),"n.a."))</f>
        <v>0</v>
      </c>
      <c r="T1237" s="1">
        <f>IF(NOT(Paths!$C$118=1),0,IF(Paths!$P$118="Complete",IF(C1237=0,0,VLOOKUP(A1237,'Fleet register'!$A$7:$S$106,9,FALSE)*Paths!$R$118),"n.a."))</f>
        <v>0</v>
      </c>
    </row>
    <row r="1238" spans="1:20" ht="24" customHeight="1">
      <c r="A1238" s="1" t="str">
        <f>Paths!$A$118</f>
        <v>T028</v>
      </c>
      <c r="B1238" s="1">
        <f>Paths!$B$118</f>
        <v>3</v>
      </c>
      <c r="C1238" s="1">
        <v>10</v>
      </c>
      <c r="D1238" s="1">
        <v>118</v>
      </c>
      <c r="E1238" s="1">
        <f>IF(OR(Paths!$C$118=0,C1238=0),0,MAX(0,MIN(C1238*12,Paths!$E$118)-(C1238-1)*12))</f>
        <v>0</v>
      </c>
      <c r="F1238" s="1">
        <f>IF(OR(Paths!$C$118=0,C1238=0),0,12-E1238)</f>
        <v>0</v>
      </c>
      <c r="G1238" s="16">
        <f>IF(NOT(Paths!$C$118=1),0,IF(Paths!$P$118="Complete",E1238/12*(Paths!$J$118*(1+'Operating costs'!$B$51)^MAX(0,C1238-1)+Paths!$K$118*(1+'Operating costs'!$B$53)^MAX(0,C1238-1)),"n.a."))</f>
        <v>0</v>
      </c>
      <c r="H1238" s="16">
        <f>IF(NOT(Paths!$C$118=1),0,IF(Paths!$P$118="Complete",F1238/12*(Paths!$L$118*(1+IF(Paths!$D$118="EV",'Operating costs'!$B$52,'Operating costs'!$B$51))^MAX(0,C1238-1)+Paths!$M$118*(1+'Operating costs'!$B$53)^MAX(0,C1238-1)),"n.a."))</f>
        <v>0</v>
      </c>
      <c r="I1238" s="16">
        <f>IF(NOT(Paths!$C$118=1),0,IF(Paths!$P$118="Complete",IF(IF(Paths!$E$118=0,C1238=0,AND(C1238&gt;0,Paths!$E$118&gt;(C1238-1)*12,Paths!$E$118&lt;=C1238*12)),Paths!$G$118,0),"n.a."))</f>
        <v>0</v>
      </c>
      <c r="J1238" s="16">
        <f>IF(NOT(Paths!$C$118=1),0,IF(Paths!$P$118="Complete",IF(IF(Paths!$E$118=0,C1238=0,AND(C1238&gt;0,Paths!$E$118&gt;(C1238-1)*12,Paths!$E$118&lt;=C1238*12)),Paths!$H$118,0),"n.a."))</f>
        <v>0</v>
      </c>
      <c r="K1238" s="16">
        <f>IF(NOT(Paths!$C$118=1),0,IF(Paths!$P$118="Complete",IF(IF(Paths!$O$118=0,C1238=0,AND(C1238&gt;0,Paths!$O$118&gt;(C1238-1)*12,Paths!$O$118&lt;=C1238*12)),Paths!$N$118,0),"n.a."))</f>
        <v>0</v>
      </c>
      <c r="L1238" s="16">
        <f>IF(NOT(Paths!$C$118=1),0,IF(Paths!$P$118="Complete",IF(C1238=10,Paths!$I$118,0),"n.a."))</f>
        <v>0</v>
      </c>
      <c r="M1238" s="16">
        <f>IF(NOT(Paths!$C$118=1),0,IF(Paths!$P$118="Complete",IF(AND(Paths!$D$118="EV",Paths!$E$118&lt;120,Paths!$E$118+'Operating costs'!$B$65&gt;Paths!$E$118,Paths!$E$118+'Operating costs'!$B$65&lt;=120,IF(Paths!$E$118+'Operating costs'!$B$65=0,C1238=0,AND(C1238&gt;0,Paths!$E$118+'Operating costs'!$B$65&gt;(C1238-1)*12,Paths!$E$118+'Operating costs'!$B$65&lt;=C1238*12))),'Operating costs'!$B$64,0)+IF(AND('Operating costs'!$B$67&gt;0,'Operating costs'!$B$67&lt;=120,OR(Paths!$D$118="ICE",'Operating costs'!$B$67&lt;=Paths!$E$118),IF('Operating costs'!$B$67=0,C1238=0,AND(C1238&gt;0,'Operating costs'!$B$67&gt;(C1238-1)*12,'Operating costs'!$B$67&lt;=C1238*12))),'Operating costs'!$B$66,0),"n.a."))</f>
        <v>0</v>
      </c>
      <c r="N1238" s="16">
        <f>IF(NOT(Paths!$C$118=1),0,IF(Paths!$P$118="Complete",SUM(G1238:I1238)-J1238-K1238-L1238+M1238+IF(C1238=0,Paths!$F$118,0)+IF(IF(Paths!$E$118=0,C1238=0,AND(C1238&gt;0,Paths!$E$118&gt;(C1238-1)*12,Paths!$E$118&lt;=C1238*12)),VLOOKUP(A1238,'Fleet register'!$A$7:$S$106,16,FALSE),0),"n.a."))</f>
        <v>0</v>
      </c>
      <c r="O1238" s="16">
        <f>IF(NOT(Paths!$C$118=1),0,IF(Paths!$P$118="Complete",N1238-IF(C1238=0,Paths!$F$118,0),"n.a."))</f>
        <v>0</v>
      </c>
      <c r="P1238" s="16">
        <f>IF(NOT(Paths!$C$118=1),0,IF(Paths!$P$118="Complete",O1238+L1238,"n.a."))</f>
        <v>0</v>
      </c>
      <c r="Q1238" s="16">
        <f>IF(NOT(Paths!$C$118=1),0,IF(Paths!$P$118="Complete",N1238*(1+'Operating costs'!$B$54)^-C1238,"n.a."))</f>
        <v>0</v>
      </c>
      <c r="R1238" s="16">
        <f>IF(NOT(Paths!$C$118=1),0,IF(Paths!$P$118="Complete",IF(AND(C1238=0,Paths!$E$118=0),I1238-J1238-K1238+VLOOKUP(A1238,'Fleet register'!$A$7:$S$106,15,FALSE)+VLOOKUP(A1238,'Fleet register'!$A$7:$S$106,16,FALSE),0),"n.a."))</f>
        <v>0</v>
      </c>
      <c r="S1238" s="1">
        <f>IF(NOT(Paths!$C$118=1),0,IF(Paths!$P$118="Complete",IF(C1238=0,0,Paths!$S$118*Paths!$R$118),"n.a."))</f>
        <v>0</v>
      </c>
      <c r="T1238" s="1">
        <f>IF(NOT(Paths!$C$118=1),0,IF(Paths!$P$118="Complete",IF(C1238=0,0,VLOOKUP(A1238,'Fleet register'!$A$7:$S$106,9,FALSE)*Paths!$R$118),"n.a."))</f>
        <v>0</v>
      </c>
    </row>
    <row r="1239" spans="1:20" ht="24" customHeight="1">
      <c r="A1239" s="1" t="str">
        <f>Paths!$A$119</f>
        <v>T029</v>
      </c>
      <c r="B1239" s="1">
        <f>Paths!$B$119</f>
        <v>0</v>
      </c>
      <c r="C1239" s="1">
        <v>0</v>
      </c>
      <c r="D1239" s="1">
        <v>119</v>
      </c>
      <c r="E1239" s="1">
        <f>IF(OR(Paths!$C$119=0,C1239=0),0,MAX(0,MIN(C1239*12,Paths!$E$119)-(C1239-1)*12))</f>
        <v>0</v>
      </c>
      <c r="F1239" s="1">
        <f>IF(OR(Paths!$C$119=0,C1239=0),0,12-E1239)</f>
        <v>0</v>
      </c>
      <c r="G1239" s="16">
        <f>IF(NOT(Paths!$C$119=1),0,IF(Paths!$P$119="Complete",E1239/12*(Paths!$J$119*(1+'Operating costs'!$B$51)^MAX(0,C1239-1)+Paths!$K$119*(1+'Operating costs'!$B$53)^MAX(0,C1239-1)),"n.a."))</f>
        <v>0</v>
      </c>
      <c r="H1239" s="16">
        <f>IF(NOT(Paths!$C$119=1),0,IF(Paths!$P$119="Complete",F1239/12*(Paths!$L$119*(1+IF(Paths!$D$119="EV",'Operating costs'!$B$52,'Operating costs'!$B$51))^MAX(0,C1239-1)+Paths!$M$119*(1+'Operating costs'!$B$53)^MAX(0,C1239-1)),"n.a."))</f>
        <v>0</v>
      </c>
      <c r="I1239" s="16">
        <f>IF(NOT(Paths!$C$119=1),0,IF(Paths!$P$119="Complete",IF(IF(Paths!$E$119=0,C1239=0,AND(C1239&gt;0,Paths!$E$119&gt;(C1239-1)*12,Paths!$E$119&lt;=C1239*12)),Paths!$G$119,0),"n.a."))</f>
        <v>0</v>
      </c>
      <c r="J1239" s="16">
        <f>IF(NOT(Paths!$C$119=1),0,IF(Paths!$P$119="Complete",IF(IF(Paths!$E$119=0,C1239=0,AND(C1239&gt;0,Paths!$E$119&gt;(C1239-1)*12,Paths!$E$119&lt;=C1239*12)),Paths!$H$119,0),"n.a."))</f>
        <v>0</v>
      </c>
      <c r="K1239" s="16">
        <f>IF(NOT(Paths!$C$119=1),0,IF(Paths!$P$119="Complete",IF(IF(Paths!$O$119=0,C1239=0,AND(C1239&gt;0,Paths!$O$119&gt;(C1239-1)*12,Paths!$O$119&lt;=C1239*12)),Paths!$N$119,0),"n.a."))</f>
        <v>0</v>
      </c>
      <c r="L1239" s="16">
        <f>IF(NOT(Paths!$C$119=1),0,IF(Paths!$P$119="Complete",IF(C1239=10,Paths!$I$119,0),"n.a."))</f>
        <v>0</v>
      </c>
      <c r="M1239" s="16">
        <f>IF(NOT(Paths!$C$119=1),0,IF(Paths!$P$119="Complete",IF(AND(Paths!$D$119="EV",Paths!$E$119&lt;120,Paths!$E$119+'Operating costs'!$B$65&gt;Paths!$E$119,Paths!$E$119+'Operating costs'!$B$65&lt;=120,IF(Paths!$E$119+'Operating costs'!$B$65=0,C1239=0,AND(C1239&gt;0,Paths!$E$119+'Operating costs'!$B$65&gt;(C1239-1)*12,Paths!$E$119+'Operating costs'!$B$65&lt;=C1239*12))),'Operating costs'!$B$64,0)+IF(AND('Operating costs'!$B$67&gt;0,'Operating costs'!$B$67&lt;=120,OR(Paths!$D$119="ICE",'Operating costs'!$B$67&lt;=Paths!$E$119),IF('Operating costs'!$B$67=0,C1239=0,AND(C1239&gt;0,'Operating costs'!$B$67&gt;(C1239-1)*12,'Operating costs'!$B$67&lt;=C1239*12))),'Operating costs'!$B$66,0),"n.a."))</f>
        <v>0</v>
      </c>
      <c r="N1239" s="16">
        <f>IF(NOT(Paths!$C$119=1),0,IF(Paths!$P$119="Complete",SUM(G1239:I1239)-J1239-K1239-L1239+M1239+IF(C1239=0,Paths!$F$119,0)+IF(IF(Paths!$E$119=0,C1239=0,AND(C1239&gt;0,Paths!$E$119&gt;(C1239-1)*12,Paths!$E$119&lt;=C1239*12)),VLOOKUP(A1239,'Fleet register'!$A$7:$S$106,16,FALSE),0),"n.a."))</f>
        <v>0</v>
      </c>
      <c r="O1239" s="16">
        <f>IF(NOT(Paths!$C$119=1),0,IF(Paths!$P$119="Complete",N1239-IF(C1239=0,Paths!$F$119,0),"n.a."))</f>
        <v>0</v>
      </c>
      <c r="P1239" s="16">
        <f>IF(NOT(Paths!$C$119=1),0,IF(Paths!$P$119="Complete",O1239+L1239,"n.a."))</f>
        <v>0</v>
      </c>
      <c r="Q1239" s="16">
        <f>IF(NOT(Paths!$C$119=1),0,IF(Paths!$P$119="Complete",N1239*(1+'Operating costs'!$B$54)^-C1239,"n.a."))</f>
        <v>0</v>
      </c>
      <c r="R1239" s="16">
        <f>IF(NOT(Paths!$C$119=1),0,IF(Paths!$P$119="Complete",IF(AND(C1239=0,Paths!$E$119=0),I1239-J1239-K1239+VLOOKUP(A1239,'Fleet register'!$A$7:$S$106,15,FALSE)+VLOOKUP(A1239,'Fleet register'!$A$7:$S$106,16,FALSE),0),"n.a."))</f>
        <v>0</v>
      </c>
      <c r="S1239" s="1">
        <f>IF(NOT(Paths!$C$119=1),0,IF(Paths!$P$119="Complete",IF(C1239=0,0,Paths!$S$119*Paths!$R$119),"n.a."))</f>
        <v>0</v>
      </c>
      <c r="T1239" s="1">
        <f>IF(NOT(Paths!$C$119=1),0,IF(Paths!$P$119="Complete",IF(C1239=0,0,VLOOKUP(A1239,'Fleet register'!$A$7:$S$106,9,FALSE)*Paths!$R$119),"n.a."))</f>
        <v>0</v>
      </c>
    </row>
    <row r="1240" spans="1:20" ht="24" customHeight="1">
      <c r="A1240" s="1" t="str">
        <f>Paths!$A$119</f>
        <v>T029</v>
      </c>
      <c r="B1240" s="1">
        <f>Paths!$B$119</f>
        <v>0</v>
      </c>
      <c r="C1240" s="1">
        <v>1</v>
      </c>
      <c r="D1240" s="1">
        <v>119</v>
      </c>
      <c r="E1240" s="1">
        <f>IF(OR(Paths!$C$119=0,C1240=0),0,MAX(0,MIN(C1240*12,Paths!$E$119)-(C1240-1)*12))</f>
        <v>0</v>
      </c>
      <c r="F1240" s="1">
        <f>IF(OR(Paths!$C$119=0,C1240=0),0,12-E1240)</f>
        <v>0</v>
      </c>
      <c r="G1240" s="16">
        <f>IF(NOT(Paths!$C$119=1),0,IF(Paths!$P$119="Complete",E1240/12*(Paths!$J$119*(1+'Operating costs'!$B$51)^MAX(0,C1240-1)+Paths!$K$119*(1+'Operating costs'!$B$53)^MAX(0,C1240-1)),"n.a."))</f>
        <v>0</v>
      </c>
      <c r="H1240" s="16">
        <f>IF(NOT(Paths!$C$119=1),0,IF(Paths!$P$119="Complete",F1240/12*(Paths!$L$119*(1+IF(Paths!$D$119="EV",'Operating costs'!$B$52,'Operating costs'!$B$51))^MAX(0,C1240-1)+Paths!$M$119*(1+'Operating costs'!$B$53)^MAX(0,C1240-1)),"n.a."))</f>
        <v>0</v>
      </c>
      <c r="I1240" s="16">
        <f>IF(NOT(Paths!$C$119=1),0,IF(Paths!$P$119="Complete",IF(IF(Paths!$E$119=0,C1240=0,AND(C1240&gt;0,Paths!$E$119&gt;(C1240-1)*12,Paths!$E$119&lt;=C1240*12)),Paths!$G$119,0),"n.a."))</f>
        <v>0</v>
      </c>
      <c r="J1240" s="16">
        <f>IF(NOT(Paths!$C$119=1),0,IF(Paths!$P$119="Complete",IF(IF(Paths!$E$119=0,C1240=0,AND(C1240&gt;0,Paths!$E$119&gt;(C1240-1)*12,Paths!$E$119&lt;=C1240*12)),Paths!$H$119,0),"n.a."))</f>
        <v>0</v>
      </c>
      <c r="K1240" s="16">
        <f>IF(NOT(Paths!$C$119=1),0,IF(Paths!$P$119="Complete",IF(IF(Paths!$O$119=0,C1240=0,AND(C1240&gt;0,Paths!$O$119&gt;(C1240-1)*12,Paths!$O$119&lt;=C1240*12)),Paths!$N$119,0),"n.a."))</f>
        <v>0</v>
      </c>
      <c r="L1240" s="16">
        <f>IF(NOT(Paths!$C$119=1),0,IF(Paths!$P$119="Complete",IF(C1240=10,Paths!$I$119,0),"n.a."))</f>
        <v>0</v>
      </c>
      <c r="M1240" s="16">
        <f>IF(NOT(Paths!$C$119=1),0,IF(Paths!$P$119="Complete",IF(AND(Paths!$D$119="EV",Paths!$E$119&lt;120,Paths!$E$119+'Operating costs'!$B$65&gt;Paths!$E$119,Paths!$E$119+'Operating costs'!$B$65&lt;=120,IF(Paths!$E$119+'Operating costs'!$B$65=0,C1240=0,AND(C1240&gt;0,Paths!$E$119+'Operating costs'!$B$65&gt;(C1240-1)*12,Paths!$E$119+'Operating costs'!$B$65&lt;=C1240*12))),'Operating costs'!$B$64,0)+IF(AND('Operating costs'!$B$67&gt;0,'Operating costs'!$B$67&lt;=120,OR(Paths!$D$119="ICE",'Operating costs'!$B$67&lt;=Paths!$E$119),IF('Operating costs'!$B$67=0,C1240=0,AND(C1240&gt;0,'Operating costs'!$B$67&gt;(C1240-1)*12,'Operating costs'!$B$67&lt;=C1240*12))),'Operating costs'!$B$66,0),"n.a."))</f>
        <v>0</v>
      </c>
      <c r="N1240" s="16">
        <f>IF(NOT(Paths!$C$119=1),0,IF(Paths!$P$119="Complete",SUM(G1240:I1240)-J1240-K1240-L1240+M1240+IF(C1240=0,Paths!$F$119,0)+IF(IF(Paths!$E$119=0,C1240=0,AND(C1240&gt;0,Paths!$E$119&gt;(C1240-1)*12,Paths!$E$119&lt;=C1240*12)),VLOOKUP(A1240,'Fleet register'!$A$7:$S$106,16,FALSE),0),"n.a."))</f>
        <v>0</v>
      </c>
      <c r="O1240" s="16">
        <f>IF(NOT(Paths!$C$119=1),0,IF(Paths!$P$119="Complete",N1240-IF(C1240=0,Paths!$F$119,0),"n.a."))</f>
        <v>0</v>
      </c>
      <c r="P1240" s="16">
        <f>IF(NOT(Paths!$C$119=1),0,IF(Paths!$P$119="Complete",O1240+L1240,"n.a."))</f>
        <v>0</v>
      </c>
      <c r="Q1240" s="16">
        <f>IF(NOT(Paths!$C$119=1),0,IF(Paths!$P$119="Complete",N1240*(1+'Operating costs'!$B$54)^-C1240,"n.a."))</f>
        <v>0</v>
      </c>
      <c r="R1240" s="16">
        <f>IF(NOT(Paths!$C$119=1),0,IF(Paths!$P$119="Complete",IF(AND(C1240=0,Paths!$E$119=0),I1240-J1240-K1240+VLOOKUP(A1240,'Fleet register'!$A$7:$S$106,15,FALSE)+VLOOKUP(A1240,'Fleet register'!$A$7:$S$106,16,FALSE),0),"n.a."))</f>
        <v>0</v>
      </c>
      <c r="S1240" s="1">
        <f>IF(NOT(Paths!$C$119=1),0,IF(Paths!$P$119="Complete",IF(C1240=0,0,Paths!$S$119*Paths!$R$119),"n.a."))</f>
        <v>0</v>
      </c>
      <c r="T1240" s="1">
        <f>IF(NOT(Paths!$C$119=1),0,IF(Paths!$P$119="Complete",IF(C1240=0,0,VLOOKUP(A1240,'Fleet register'!$A$7:$S$106,9,FALSE)*Paths!$R$119),"n.a."))</f>
        <v>0</v>
      </c>
    </row>
    <row r="1241" spans="1:20" ht="24" customHeight="1">
      <c r="A1241" s="1" t="str">
        <f>Paths!$A$119</f>
        <v>T029</v>
      </c>
      <c r="B1241" s="1">
        <f>Paths!$B$119</f>
        <v>0</v>
      </c>
      <c r="C1241" s="1">
        <v>2</v>
      </c>
      <c r="D1241" s="1">
        <v>119</v>
      </c>
      <c r="E1241" s="1">
        <f>IF(OR(Paths!$C$119=0,C1241=0),0,MAX(0,MIN(C1241*12,Paths!$E$119)-(C1241-1)*12))</f>
        <v>0</v>
      </c>
      <c r="F1241" s="1">
        <f>IF(OR(Paths!$C$119=0,C1241=0),0,12-E1241)</f>
        <v>0</v>
      </c>
      <c r="G1241" s="16">
        <f>IF(NOT(Paths!$C$119=1),0,IF(Paths!$P$119="Complete",E1241/12*(Paths!$J$119*(1+'Operating costs'!$B$51)^MAX(0,C1241-1)+Paths!$K$119*(1+'Operating costs'!$B$53)^MAX(0,C1241-1)),"n.a."))</f>
        <v>0</v>
      </c>
      <c r="H1241" s="16">
        <f>IF(NOT(Paths!$C$119=1),0,IF(Paths!$P$119="Complete",F1241/12*(Paths!$L$119*(1+IF(Paths!$D$119="EV",'Operating costs'!$B$52,'Operating costs'!$B$51))^MAX(0,C1241-1)+Paths!$M$119*(1+'Operating costs'!$B$53)^MAX(0,C1241-1)),"n.a."))</f>
        <v>0</v>
      </c>
      <c r="I1241" s="16">
        <f>IF(NOT(Paths!$C$119=1),0,IF(Paths!$P$119="Complete",IF(IF(Paths!$E$119=0,C1241=0,AND(C1241&gt;0,Paths!$E$119&gt;(C1241-1)*12,Paths!$E$119&lt;=C1241*12)),Paths!$G$119,0),"n.a."))</f>
        <v>0</v>
      </c>
      <c r="J1241" s="16">
        <f>IF(NOT(Paths!$C$119=1),0,IF(Paths!$P$119="Complete",IF(IF(Paths!$E$119=0,C1241=0,AND(C1241&gt;0,Paths!$E$119&gt;(C1241-1)*12,Paths!$E$119&lt;=C1241*12)),Paths!$H$119,0),"n.a."))</f>
        <v>0</v>
      </c>
      <c r="K1241" s="16">
        <f>IF(NOT(Paths!$C$119=1),0,IF(Paths!$P$119="Complete",IF(IF(Paths!$O$119=0,C1241=0,AND(C1241&gt;0,Paths!$O$119&gt;(C1241-1)*12,Paths!$O$119&lt;=C1241*12)),Paths!$N$119,0),"n.a."))</f>
        <v>0</v>
      </c>
      <c r="L1241" s="16">
        <f>IF(NOT(Paths!$C$119=1),0,IF(Paths!$P$119="Complete",IF(C1241=10,Paths!$I$119,0),"n.a."))</f>
        <v>0</v>
      </c>
      <c r="M1241" s="16">
        <f>IF(NOT(Paths!$C$119=1),0,IF(Paths!$P$119="Complete",IF(AND(Paths!$D$119="EV",Paths!$E$119&lt;120,Paths!$E$119+'Operating costs'!$B$65&gt;Paths!$E$119,Paths!$E$119+'Operating costs'!$B$65&lt;=120,IF(Paths!$E$119+'Operating costs'!$B$65=0,C1241=0,AND(C1241&gt;0,Paths!$E$119+'Operating costs'!$B$65&gt;(C1241-1)*12,Paths!$E$119+'Operating costs'!$B$65&lt;=C1241*12))),'Operating costs'!$B$64,0)+IF(AND('Operating costs'!$B$67&gt;0,'Operating costs'!$B$67&lt;=120,OR(Paths!$D$119="ICE",'Operating costs'!$B$67&lt;=Paths!$E$119),IF('Operating costs'!$B$67=0,C1241=0,AND(C1241&gt;0,'Operating costs'!$B$67&gt;(C1241-1)*12,'Operating costs'!$B$67&lt;=C1241*12))),'Operating costs'!$B$66,0),"n.a."))</f>
        <v>0</v>
      </c>
      <c r="N1241" s="16">
        <f>IF(NOT(Paths!$C$119=1),0,IF(Paths!$P$119="Complete",SUM(G1241:I1241)-J1241-K1241-L1241+M1241+IF(C1241=0,Paths!$F$119,0)+IF(IF(Paths!$E$119=0,C1241=0,AND(C1241&gt;0,Paths!$E$119&gt;(C1241-1)*12,Paths!$E$119&lt;=C1241*12)),VLOOKUP(A1241,'Fleet register'!$A$7:$S$106,16,FALSE),0),"n.a."))</f>
        <v>0</v>
      </c>
      <c r="O1241" s="16">
        <f>IF(NOT(Paths!$C$119=1),0,IF(Paths!$P$119="Complete",N1241-IF(C1241=0,Paths!$F$119,0),"n.a."))</f>
        <v>0</v>
      </c>
      <c r="P1241" s="16">
        <f>IF(NOT(Paths!$C$119=1),0,IF(Paths!$P$119="Complete",O1241+L1241,"n.a."))</f>
        <v>0</v>
      </c>
      <c r="Q1241" s="16">
        <f>IF(NOT(Paths!$C$119=1),0,IF(Paths!$P$119="Complete",N1241*(1+'Operating costs'!$B$54)^-C1241,"n.a."))</f>
        <v>0</v>
      </c>
      <c r="R1241" s="16">
        <f>IF(NOT(Paths!$C$119=1),0,IF(Paths!$P$119="Complete",IF(AND(C1241=0,Paths!$E$119=0),I1241-J1241-K1241+VLOOKUP(A1241,'Fleet register'!$A$7:$S$106,15,FALSE)+VLOOKUP(A1241,'Fleet register'!$A$7:$S$106,16,FALSE),0),"n.a."))</f>
        <v>0</v>
      </c>
      <c r="S1241" s="1">
        <f>IF(NOT(Paths!$C$119=1),0,IF(Paths!$P$119="Complete",IF(C1241=0,0,Paths!$S$119*Paths!$R$119),"n.a."))</f>
        <v>0</v>
      </c>
      <c r="T1241" s="1">
        <f>IF(NOT(Paths!$C$119=1),0,IF(Paths!$P$119="Complete",IF(C1241=0,0,VLOOKUP(A1241,'Fleet register'!$A$7:$S$106,9,FALSE)*Paths!$R$119),"n.a."))</f>
        <v>0</v>
      </c>
    </row>
    <row r="1242" spans="1:20" ht="24" customHeight="1">
      <c r="A1242" s="1" t="str">
        <f>Paths!$A$119</f>
        <v>T029</v>
      </c>
      <c r="B1242" s="1">
        <f>Paths!$B$119</f>
        <v>0</v>
      </c>
      <c r="C1242" s="1">
        <v>3</v>
      </c>
      <c r="D1242" s="1">
        <v>119</v>
      </c>
      <c r="E1242" s="1">
        <f>IF(OR(Paths!$C$119=0,C1242=0),0,MAX(0,MIN(C1242*12,Paths!$E$119)-(C1242-1)*12))</f>
        <v>0</v>
      </c>
      <c r="F1242" s="1">
        <f>IF(OR(Paths!$C$119=0,C1242=0),0,12-E1242)</f>
        <v>0</v>
      </c>
      <c r="G1242" s="16">
        <f>IF(NOT(Paths!$C$119=1),0,IF(Paths!$P$119="Complete",E1242/12*(Paths!$J$119*(1+'Operating costs'!$B$51)^MAX(0,C1242-1)+Paths!$K$119*(1+'Operating costs'!$B$53)^MAX(0,C1242-1)),"n.a."))</f>
        <v>0</v>
      </c>
      <c r="H1242" s="16">
        <f>IF(NOT(Paths!$C$119=1),0,IF(Paths!$P$119="Complete",F1242/12*(Paths!$L$119*(1+IF(Paths!$D$119="EV",'Operating costs'!$B$52,'Operating costs'!$B$51))^MAX(0,C1242-1)+Paths!$M$119*(1+'Operating costs'!$B$53)^MAX(0,C1242-1)),"n.a."))</f>
        <v>0</v>
      </c>
      <c r="I1242" s="16">
        <f>IF(NOT(Paths!$C$119=1),0,IF(Paths!$P$119="Complete",IF(IF(Paths!$E$119=0,C1242=0,AND(C1242&gt;0,Paths!$E$119&gt;(C1242-1)*12,Paths!$E$119&lt;=C1242*12)),Paths!$G$119,0),"n.a."))</f>
        <v>0</v>
      </c>
      <c r="J1242" s="16">
        <f>IF(NOT(Paths!$C$119=1),0,IF(Paths!$P$119="Complete",IF(IF(Paths!$E$119=0,C1242=0,AND(C1242&gt;0,Paths!$E$119&gt;(C1242-1)*12,Paths!$E$119&lt;=C1242*12)),Paths!$H$119,0),"n.a."))</f>
        <v>0</v>
      </c>
      <c r="K1242" s="16">
        <f>IF(NOT(Paths!$C$119=1),0,IF(Paths!$P$119="Complete",IF(IF(Paths!$O$119=0,C1242=0,AND(C1242&gt;0,Paths!$O$119&gt;(C1242-1)*12,Paths!$O$119&lt;=C1242*12)),Paths!$N$119,0),"n.a."))</f>
        <v>0</v>
      </c>
      <c r="L1242" s="16">
        <f>IF(NOT(Paths!$C$119=1),0,IF(Paths!$P$119="Complete",IF(C1242=10,Paths!$I$119,0),"n.a."))</f>
        <v>0</v>
      </c>
      <c r="M1242" s="16">
        <f>IF(NOT(Paths!$C$119=1),0,IF(Paths!$P$119="Complete",IF(AND(Paths!$D$119="EV",Paths!$E$119&lt;120,Paths!$E$119+'Operating costs'!$B$65&gt;Paths!$E$119,Paths!$E$119+'Operating costs'!$B$65&lt;=120,IF(Paths!$E$119+'Operating costs'!$B$65=0,C1242=0,AND(C1242&gt;0,Paths!$E$119+'Operating costs'!$B$65&gt;(C1242-1)*12,Paths!$E$119+'Operating costs'!$B$65&lt;=C1242*12))),'Operating costs'!$B$64,0)+IF(AND('Operating costs'!$B$67&gt;0,'Operating costs'!$B$67&lt;=120,OR(Paths!$D$119="ICE",'Operating costs'!$B$67&lt;=Paths!$E$119),IF('Operating costs'!$B$67=0,C1242=0,AND(C1242&gt;0,'Operating costs'!$B$67&gt;(C1242-1)*12,'Operating costs'!$B$67&lt;=C1242*12))),'Operating costs'!$B$66,0),"n.a."))</f>
        <v>0</v>
      </c>
      <c r="N1242" s="16">
        <f>IF(NOT(Paths!$C$119=1),0,IF(Paths!$P$119="Complete",SUM(G1242:I1242)-J1242-K1242-L1242+M1242+IF(C1242=0,Paths!$F$119,0)+IF(IF(Paths!$E$119=0,C1242=0,AND(C1242&gt;0,Paths!$E$119&gt;(C1242-1)*12,Paths!$E$119&lt;=C1242*12)),VLOOKUP(A1242,'Fleet register'!$A$7:$S$106,16,FALSE),0),"n.a."))</f>
        <v>0</v>
      </c>
      <c r="O1242" s="16">
        <f>IF(NOT(Paths!$C$119=1),0,IF(Paths!$P$119="Complete",N1242-IF(C1242=0,Paths!$F$119,0),"n.a."))</f>
        <v>0</v>
      </c>
      <c r="P1242" s="16">
        <f>IF(NOT(Paths!$C$119=1),0,IF(Paths!$P$119="Complete",O1242+L1242,"n.a."))</f>
        <v>0</v>
      </c>
      <c r="Q1242" s="16">
        <f>IF(NOT(Paths!$C$119=1),0,IF(Paths!$P$119="Complete",N1242*(1+'Operating costs'!$B$54)^-C1242,"n.a."))</f>
        <v>0</v>
      </c>
      <c r="R1242" s="16">
        <f>IF(NOT(Paths!$C$119=1),0,IF(Paths!$P$119="Complete",IF(AND(C1242=0,Paths!$E$119=0),I1242-J1242-K1242+VLOOKUP(A1242,'Fleet register'!$A$7:$S$106,15,FALSE)+VLOOKUP(A1242,'Fleet register'!$A$7:$S$106,16,FALSE),0),"n.a."))</f>
        <v>0</v>
      </c>
      <c r="S1242" s="1">
        <f>IF(NOT(Paths!$C$119=1),0,IF(Paths!$P$119="Complete",IF(C1242=0,0,Paths!$S$119*Paths!$R$119),"n.a."))</f>
        <v>0</v>
      </c>
      <c r="T1242" s="1">
        <f>IF(NOT(Paths!$C$119=1),0,IF(Paths!$P$119="Complete",IF(C1242=0,0,VLOOKUP(A1242,'Fleet register'!$A$7:$S$106,9,FALSE)*Paths!$R$119),"n.a."))</f>
        <v>0</v>
      </c>
    </row>
    <row r="1243" spans="1:20" ht="24" customHeight="1">
      <c r="A1243" s="1" t="str">
        <f>Paths!$A$119</f>
        <v>T029</v>
      </c>
      <c r="B1243" s="1">
        <f>Paths!$B$119</f>
        <v>0</v>
      </c>
      <c r="C1243" s="1">
        <v>4</v>
      </c>
      <c r="D1243" s="1">
        <v>119</v>
      </c>
      <c r="E1243" s="1">
        <f>IF(OR(Paths!$C$119=0,C1243=0),0,MAX(0,MIN(C1243*12,Paths!$E$119)-(C1243-1)*12))</f>
        <v>0</v>
      </c>
      <c r="F1243" s="1">
        <f>IF(OR(Paths!$C$119=0,C1243=0),0,12-E1243)</f>
        <v>0</v>
      </c>
      <c r="G1243" s="16">
        <f>IF(NOT(Paths!$C$119=1),0,IF(Paths!$P$119="Complete",E1243/12*(Paths!$J$119*(1+'Operating costs'!$B$51)^MAX(0,C1243-1)+Paths!$K$119*(1+'Operating costs'!$B$53)^MAX(0,C1243-1)),"n.a."))</f>
        <v>0</v>
      </c>
      <c r="H1243" s="16">
        <f>IF(NOT(Paths!$C$119=1),0,IF(Paths!$P$119="Complete",F1243/12*(Paths!$L$119*(1+IF(Paths!$D$119="EV",'Operating costs'!$B$52,'Operating costs'!$B$51))^MAX(0,C1243-1)+Paths!$M$119*(1+'Operating costs'!$B$53)^MAX(0,C1243-1)),"n.a."))</f>
        <v>0</v>
      </c>
      <c r="I1243" s="16">
        <f>IF(NOT(Paths!$C$119=1),0,IF(Paths!$P$119="Complete",IF(IF(Paths!$E$119=0,C1243=0,AND(C1243&gt;0,Paths!$E$119&gt;(C1243-1)*12,Paths!$E$119&lt;=C1243*12)),Paths!$G$119,0),"n.a."))</f>
        <v>0</v>
      </c>
      <c r="J1243" s="16">
        <f>IF(NOT(Paths!$C$119=1),0,IF(Paths!$P$119="Complete",IF(IF(Paths!$E$119=0,C1243=0,AND(C1243&gt;0,Paths!$E$119&gt;(C1243-1)*12,Paths!$E$119&lt;=C1243*12)),Paths!$H$119,0),"n.a."))</f>
        <v>0</v>
      </c>
      <c r="K1243" s="16">
        <f>IF(NOT(Paths!$C$119=1),0,IF(Paths!$P$119="Complete",IF(IF(Paths!$O$119=0,C1243=0,AND(C1243&gt;0,Paths!$O$119&gt;(C1243-1)*12,Paths!$O$119&lt;=C1243*12)),Paths!$N$119,0),"n.a."))</f>
        <v>0</v>
      </c>
      <c r="L1243" s="16">
        <f>IF(NOT(Paths!$C$119=1),0,IF(Paths!$P$119="Complete",IF(C1243=10,Paths!$I$119,0),"n.a."))</f>
        <v>0</v>
      </c>
      <c r="M1243" s="16">
        <f>IF(NOT(Paths!$C$119=1),0,IF(Paths!$P$119="Complete",IF(AND(Paths!$D$119="EV",Paths!$E$119&lt;120,Paths!$E$119+'Operating costs'!$B$65&gt;Paths!$E$119,Paths!$E$119+'Operating costs'!$B$65&lt;=120,IF(Paths!$E$119+'Operating costs'!$B$65=0,C1243=0,AND(C1243&gt;0,Paths!$E$119+'Operating costs'!$B$65&gt;(C1243-1)*12,Paths!$E$119+'Operating costs'!$B$65&lt;=C1243*12))),'Operating costs'!$B$64,0)+IF(AND('Operating costs'!$B$67&gt;0,'Operating costs'!$B$67&lt;=120,OR(Paths!$D$119="ICE",'Operating costs'!$B$67&lt;=Paths!$E$119),IF('Operating costs'!$B$67=0,C1243=0,AND(C1243&gt;0,'Operating costs'!$B$67&gt;(C1243-1)*12,'Operating costs'!$B$67&lt;=C1243*12))),'Operating costs'!$B$66,0),"n.a."))</f>
        <v>0</v>
      </c>
      <c r="N1243" s="16">
        <f>IF(NOT(Paths!$C$119=1),0,IF(Paths!$P$119="Complete",SUM(G1243:I1243)-J1243-K1243-L1243+M1243+IF(C1243=0,Paths!$F$119,0)+IF(IF(Paths!$E$119=0,C1243=0,AND(C1243&gt;0,Paths!$E$119&gt;(C1243-1)*12,Paths!$E$119&lt;=C1243*12)),VLOOKUP(A1243,'Fleet register'!$A$7:$S$106,16,FALSE),0),"n.a."))</f>
        <v>0</v>
      </c>
      <c r="O1243" s="16">
        <f>IF(NOT(Paths!$C$119=1),0,IF(Paths!$P$119="Complete",N1243-IF(C1243=0,Paths!$F$119,0),"n.a."))</f>
        <v>0</v>
      </c>
      <c r="P1243" s="16">
        <f>IF(NOT(Paths!$C$119=1),0,IF(Paths!$P$119="Complete",O1243+L1243,"n.a."))</f>
        <v>0</v>
      </c>
      <c r="Q1243" s="16">
        <f>IF(NOT(Paths!$C$119=1),0,IF(Paths!$P$119="Complete",N1243*(1+'Operating costs'!$B$54)^-C1243,"n.a."))</f>
        <v>0</v>
      </c>
      <c r="R1243" s="16">
        <f>IF(NOT(Paths!$C$119=1),0,IF(Paths!$P$119="Complete",IF(AND(C1243=0,Paths!$E$119=0),I1243-J1243-K1243+VLOOKUP(A1243,'Fleet register'!$A$7:$S$106,15,FALSE)+VLOOKUP(A1243,'Fleet register'!$A$7:$S$106,16,FALSE),0),"n.a."))</f>
        <v>0</v>
      </c>
      <c r="S1243" s="1">
        <f>IF(NOT(Paths!$C$119=1),0,IF(Paths!$P$119="Complete",IF(C1243=0,0,Paths!$S$119*Paths!$R$119),"n.a."))</f>
        <v>0</v>
      </c>
      <c r="T1243" s="1">
        <f>IF(NOT(Paths!$C$119=1),0,IF(Paths!$P$119="Complete",IF(C1243=0,0,VLOOKUP(A1243,'Fleet register'!$A$7:$S$106,9,FALSE)*Paths!$R$119),"n.a."))</f>
        <v>0</v>
      </c>
    </row>
    <row r="1244" spans="1:20" ht="24" customHeight="1">
      <c r="A1244" s="1" t="str">
        <f>Paths!$A$119</f>
        <v>T029</v>
      </c>
      <c r="B1244" s="1">
        <f>Paths!$B$119</f>
        <v>0</v>
      </c>
      <c r="C1244" s="1">
        <v>5</v>
      </c>
      <c r="D1244" s="1">
        <v>119</v>
      </c>
      <c r="E1244" s="1">
        <f>IF(OR(Paths!$C$119=0,C1244=0),0,MAX(0,MIN(C1244*12,Paths!$E$119)-(C1244-1)*12))</f>
        <v>0</v>
      </c>
      <c r="F1244" s="1">
        <f>IF(OR(Paths!$C$119=0,C1244=0),0,12-E1244)</f>
        <v>0</v>
      </c>
      <c r="G1244" s="16">
        <f>IF(NOT(Paths!$C$119=1),0,IF(Paths!$P$119="Complete",E1244/12*(Paths!$J$119*(1+'Operating costs'!$B$51)^MAX(0,C1244-1)+Paths!$K$119*(1+'Operating costs'!$B$53)^MAX(0,C1244-1)),"n.a."))</f>
        <v>0</v>
      </c>
      <c r="H1244" s="16">
        <f>IF(NOT(Paths!$C$119=1),0,IF(Paths!$P$119="Complete",F1244/12*(Paths!$L$119*(1+IF(Paths!$D$119="EV",'Operating costs'!$B$52,'Operating costs'!$B$51))^MAX(0,C1244-1)+Paths!$M$119*(1+'Operating costs'!$B$53)^MAX(0,C1244-1)),"n.a."))</f>
        <v>0</v>
      </c>
      <c r="I1244" s="16">
        <f>IF(NOT(Paths!$C$119=1),0,IF(Paths!$P$119="Complete",IF(IF(Paths!$E$119=0,C1244=0,AND(C1244&gt;0,Paths!$E$119&gt;(C1244-1)*12,Paths!$E$119&lt;=C1244*12)),Paths!$G$119,0),"n.a."))</f>
        <v>0</v>
      </c>
      <c r="J1244" s="16">
        <f>IF(NOT(Paths!$C$119=1),0,IF(Paths!$P$119="Complete",IF(IF(Paths!$E$119=0,C1244=0,AND(C1244&gt;0,Paths!$E$119&gt;(C1244-1)*12,Paths!$E$119&lt;=C1244*12)),Paths!$H$119,0),"n.a."))</f>
        <v>0</v>
      </c>
      <c r="K1244" s="16">
        <f>IF(NOT(Paths!$C$119=1),0,IF(Paths!$P$119="Complete",IF(IF(Paths!$O$119=0,C1244=0,AND(C1244&gt;0,Paths!$O$119&gt;(C1244-1)*12,Paths!$O$119&lt;=C1244*12)),Paths!$N$119,0),"n.a."))</f>
        <v>0</v>
      </c>
      <c r="L1244" s="16">
        <f>IF(NOT(Paths!$C$119=1),0,IF(Paths!$P$119="Complete",IF(C1244=10,Paths!$I$119,0),"n.a."))</f>
        <v>0</v>
      </c>
      <c r="M1244" s="16">
        <f>IF(NOT(Paths!$C$119=1),0,IF(Paths!$P$119="Complete",IF(AND(Paths!$D$119="EV",Paths!$E$119&lt;120,Paths!$E$119+'Operating costs'!$B$65&gt;Paths!$E$119,Paths!$E$119+'Operating costs'!$B$65&lt;=120,IF(Paths!$E$119+'Operating costs'!$B$65=0,C1244=0,AND(C1244&gt;0,Paths!$E$119+'Operating costs'!$B$65&gt;(C1244-1)*12,Paths!$E$119+'Operating costs'!$B$65&lt;=C1244*12))),'Operating costs'!$B$64,0)+IF(AND('Operating costs'!$B$67&gt;0,'Operating costs'!$B$67&lt;=120,OR(Paths!$D$119="ICE",'Operating costs'!$B$67&lt;=Paths!$E$119),IF('Operating costs'!$B$67=0,C1244=0,AND(C1244&gt;0,'Operating costs'!$B$67&gt;(C1244-1)*12,'Operating costs'!$B$67&lt;=C1244*12))),'Operating costs'!$B$66,0),"n.a."))</f>
        <v>0</v>
      </c>
      <c r="N1244" s="16">
        <f>IF(NOT(Paths!$C$119=1),0,IF(Paths!$P$119="Complete",SUM(G1244:I1244)-J1244-K1244-L1244+M1244+IF(C1244=0,Paths!$F$119,0)+IF(IF(Paths!$E$119=0,C1244=0,AND(C1244&gt;0,Paths!$E$119&gt;(C1244-1)*12,Paths!$E$119&lt;=C1244*12)),VLOOKUP(A1244,'Fleet register'!$A$7:$S$106,16,FALSE),0),"n.a."))</f>
        <v>0</v>
      </c>
      <c r="O1244" s="16">
        <f>IF(NOT(Paths!$C$119=1),0,IF(Paths!$P$119="Complete",N1244-IF(C1244=0,Paths!$F$119,0),"n.a."))</f>
        <v>0</v>
      </c>
      <c r="P1244" s="16">
        <f>IF(NOT(Paths!$C$119=1),0,IF(Paths!$P$119="Complete",O1244+L1244,"n.a."))</f>
        <v>0</v>
      </c>
      <c r="Q1244" s="16">
        <f>IF(NOT(Paths!$C$119=1),0,IF(Paths!$P$119="Complete",N1244*(1+'Operating costs'!$B$54)^-C1244,"n.a."))</f>
        <v>0</v>
      </c>
      <c r="R1244" s="16">
        <f>IF(NOT(Paths!$C$119=1),0,IF(Paths!$P$119="Complete",IF(AND(C1244=0,Paths!$E$119=0),I1244-J1244-K1244+VLOOKUP(A1244,'Fleet register'!$A$7:$S$106,15,FALSE)+VLOOKUP(A1244,'Fleet register'!$A$7:$S$106,16,FALSE),0),"n.a."))</f>
        <v>0</v>
      </c>
      <c r="S1244" s="1">
        <f>IF(NOT(Paths!$C$119=1),0,IF(Paths!$P$119="Complete",IF(C1244=0,0,Paths!$S$119*Paths!$R$119),"n.a."))</f>
        <v>0</v>
      </c>
      <c r="T1244" s="1">
        <f>IF(NOT(Paths!$C$119=1),0,IF(Paths!$P$119="Complete",IF(C1244=0,0,VLOOKUP(A1244,'Fleet register'!$A$7:$S$106,9,FALSE)*Paths!$R$119),"n.a."))</f>
        <v>0</v>
      </c>
    </row>
    <row r="1245" spans="1:20" ht="24" customHeight="1">
      <c r="A1245" s="1" t="str">
        <f>Paths!$A$119</f>
        <v>T029</v>
      </c>
      <c r="B1245" s="1">
        <f>Paths!$B$119</f>
        <v>0</v>
      </c>
      <c r="C1245" s="1">
        <v>6</v>
      </c>
      <c r="D1245" s="1">
        <v>119</v>
      </c>
      <c r="E1245" s="1">
        <f>IF(OR(Paths!$C$119=0,C1245=0),0,MAX(0,MIN(C1245*12,Paths!$E$119)-(C1245-1)*12))</f>
        <v>0</v>
      </c>
      <c r="F1245" s="1">
        <f>IF(OR(Paths!$C$119=0,C1245=0),0,12-E1245)</f>
        <v>0</v>
      </c>
      <c r="G1245" s="16">
        <f>IF(NOT(Paths!$C$119=1),0,IF(Paths!$P$119="Complete",E1245/12*(Paths!$J$119*(1+'Operating costs'!$B$51)^MAX(0,C1245-1)+Paths!$K$119*(1+'Operating costs'!$B$53)^MAX(0,C1245-1)),"n.a."))</f>
        <v>0</v>
      </c>
      <c r="H1245" s="16">
        <f>IF(NOT(Paths!$C$119=1),0,IF(Paths!$P$119="Complete",F1245/12*(Paths!$L$119*(1+IF(Paths!$D$119="EV",'Operating costs'!$B$52,'Operating costs'!$B$51))^MAX(0,C1245-1)+Paths!$M$119*(1+'Operating costs'!$B$53)^MAX(0,C1245-1)),"n.a."))</f>
        <v>0</v>
      </c>
      <c r="I1245" s="16">
        <f>IF(NOT(Paths!$C$119=1),0,IF(Paths!$P$119="Complete",IF(IF(Paths!$E$119=0,C1245=0,AND(C1245&gt;0,Paths!$E$119&gt;(C1245-1)*12,Paths!$E$119&lt;=C1245*12)),Paths!$G$119,0),"n.a."))</f>
        <v>0</v>
      </c>
      <c r="J1245" s="16">
        <f>IF(NOT(Paths!$C$119=1),0,IF(Paths!$P$119="Complete",IF(IF(Paths!$E$119=0,C1245=0,AND(C1245&gt;0,Paths!$E$119&gt;(C1245-1)*12,Paths!$E$119&lt;=C1245*12)),Paths!$H$119,0),"n.a."))</f>
        <v>0</v>
      </c>
      <c r="K1245" s="16">
        <f>IF(NOT(Paths!$C$119=1),0,IF(Paths!$P$119="Complete",IF(IF(Paths!$O$119=0,C1245=0,AND(C1245&gt;0,Paths!$O$119&gt;(C1245-1)*12,Paths!$O$119&lt;=C1245*12)),Paths!$N$119,0),"n.a."))</f>
        <v>0</v>
      </c>
      <c r="L1245" s="16">
        <f>IF(NOT(Paths!$C$119=1),0,IF(Paths!$P$119="Complete",IF(C1245=10,Paths!$I$119,0),"n.a."))</f>
        <v>0</v>
      </c>
      <c r="M1245" s="16">
        <f>IF(NOT(Paths!$C$119=1),0,IF(Paths!$P$119="Complete",IF(AND(Paths!$D$119="EV",Paths!$E$119&lt;120,Paths!$E$119+'Operating costs'!$B$65&gt;Paths!$E$119,Paths!$E$119+'Operating costs'!$B$65&lt;=120,IF(Paths!$E$119+'Operating costs'!$B$65=0,C1245=0,AND(C1245&gt;0,Paths!$E$119+'Operating costs'!$B$65&gt;(C1245-1)*12,Paths!$E$119+'Operating costs'!$B$65&lt;=C1245*12))),'Operating costs'!$B$64,0)+IF(AND('Operating costs'!$B$67&gt;0,'Operating costs'!$B$67&lt;=120,OR(Paths!$D$119="ICE",'Operating costs'!$B$67&lt;=Paths!$E$119),IF('Operating costs'!$B$67=0,C1245=0,AND(C1245&gt;0,'Operating costs'!$B$67&gt;(C1245-1)*12,'Operating costs'!$B$67&lt;=C1245*12))),'Operating costs'!$B$66,0),"n.a."))</f>
        <v>0</v>
      </c>
      <c r="N1245" s="16">
        <f>IF(NOT(Paths!$C$119=1),0,IF(Paths!$P$119="Complete",SUM(G1245:I1245)-J1245-K1245-L1245+M1245+IF(C1245=0,Paths!$F$119,0)+IF(IF(Paths!$E$119=0,C1245=0,AND(C1245&gt;0,Paths!$E$119&gt;(C1245-1)*12,Paths!$E$119&lt;=C1245*12)),VLOOKUP(A1245,'Fleet register'!$A$7:$S$106,16,FALSE),0),"n.a."))</f>
        <v>0</v>
      </c>
      <c r="O1245" s="16">
        <f>IF(NOT(Paths!$C$119=1),0,IF(Paths!$P$119="Complete",N1245-IF(C1245=0,Paths!$F$119,0),"n.a."))</f>
        <v>0</v>
      </c>
      <c r="P1245" s="16">
        <f>IF(NOT(Paths!$C$119=1),0,IF(Paths!$P$119="Complete",O1245+L1245,"n.a."))</f>
        <v>0</v>
      </c>
      <c r="Q1245" s="16">
        <f>IF(NOT(Paths!$C$119=1),0,IF(Paths!$P$119="Complete",N1245*(1+'Operating costs'!$B$54)^-C1245,"n.a."))</f>
        <v>0</v>
      </c>
      <c r="R1245" s="16">
        <f>IF(NOT(Paths!$C$119=1),0,IF(Paths!$P$119="Complete",IF(AND(C1245=0,Paths!$E$119=0),I1245-J1245-K1245+VLOOKUP(A1245,'Fleet register'!$A$7:$S$106,15,FALSE)+VLOOKUP(A1245,'Fleet register'!$A$7:$S$106,16,FALSE),0),"n.a."))</f>
        <v>0</v>
      </c>
      <c r="S1245" s="1">
        <f>IF(NOT(Paths!$C$119=1),0,IF(Paths!$P$119="Complete",IF(C1245=0,0,Paths!$S$119*Paths!$R$119),"n.a."))</f>
        <v>0</v>
      </c>
      <c r="T1245" s="1">
        <f>IF(NOT(Paths!$C$119=1),0,IF(Paths!$P$119="Complete",IF(C1245=0,0,VLOOKUP(A1245,'Fleet register'!$A$7:$S$106,9,FALSE)*Paths!$R$119),"n.a."))</f>
        <v>0</v>
      </c>
    </row>
    <row r="1246" spans="1:20" ht="24" customHeight="1">
      <c r="A1246" s="1" t="str">
        <f>Paths!$A$119</f>
        <v>T029</v>
      </c>
      <c r="B1246" s="1">
        <f>Paths!$B$119</f>
        <v>0</v>
      </c>
      <c r="C1246" s="1">
        <v>7</v>
      </c>
      <c r="D1246" s="1">
        <v>119</v>
      </c>
      <c r="E1246" s="1">
        <f>IF(OR(Paths!$C$119=0,C1246=0),0,MAX(0,MIN(C1246*12,Paths!$E$119)-(C1246-1)*12))</f>
        <v>0</v>
      </c>
      <c r="F1246" s="1">
        <f>IF(OR(Paths!$C$119=0,C1246=0),0,12-E1246)</f>
        <v>0</v>
      </c>
      <c r="G1246" s="16">
        <f>IF(NOT(Paths!$C$119=1),0,IF(Paths!$P$119="Complete",E1246/12*(Paths!$J$119*(1+'Operating costs'!$B$51)^MAX(0,C1246-1)+Paths!$K$119*(1+'Operating costs'!$B$53)^MAX(0,C1246-1)),"n.a."))</f>
        <v>0</v>
      </c>
      <c r="H1246" s="16">
        <f>IF(NOT(Paths!$C$119=1),0,IF(Paths!$P$119="Complete",F1246/12*(Paths!$L$119*(1+IF(Paths!$D$119="EV",'Operating costs'!$B$52,'Operating costs'!$B$51))^MAX(0,C1246-1)+Paths!$M$119*(1+'Operating costs'!$B$53)^MAX(0,C1246-1)),"n.a."))</f>
        <v>0</v>
      </c>
      <c r="I1246" s="16">
        <f>IF(NOT(Paths!$C$119=1),0,IF(Paths!$P$119="Complete",IF(IF(Paths!$E$119=0,C1246=0,AND(C1246&gt;0,Paths!$E$119&gt;(C1246-1)*12,Paths!$E$119&lt;=C1246*12)),Paths!$G$119,0),"n.a."))</f>
        <v>0</v>
      </c>
      <c r="J1246" s="16">
        <f>IF(NOT(Paths!$C$119=1),0,IF(Paths!$P$119="Complete",IF(IF(Paths!$E$119=0,C1246=0,AND(C1246&gt;0,Paths!$E$119&gt;(C1246-1)*12,Paths!$E$119&lt;=C1246*12)),Paths!$H$119,0),"n.a."))</f>
        <v>0</v>
      </c>
      <c r="K1246" s="16">
        <f>IF(NOT(Paths!$C$119=1),0,IF(Paths!$P$119="Complete",IF(IF(Paths!$O$119=0,C1246=0,AND(C1246&gt;0,Paths!$O$119&gt;(C1246-1)*12,Paths!$O$119&lt;=C1246*12)),Paths!$N$119,0),"n.a."))</f>
        <v>0</v>
      </c>
      <c r="L1246" s="16">
        <f>IF(NOT(Paths!$C$119=1),0,IF(Paths!$P$119="Complete",IF(C1246=10,Paths!$I$119,0),"n.a."))</f>
        <v>0</v>
      </c>
      <c r="M1246" s="16">
        <f>IF(NOT(Paths!$C$119=1),0,IF(Paths!$P$119="Complete",IF(AND(Paths!$D$119="EV",Paths!$E$119&lt;120,Paths!$E$119+'Operating costs'!$B$65&gt;Paths!$E$119,Paths!$E$119+'Operating costs'!$B$65&lt;=120,IF(Paths!$E$119+'Operating costs'!$B$65=0,C1246=0,AND(C1246&gt;0,Paths!$E$119+'Operating costs'!$B$65&gt;(C1246-1)*12,Paths!$E$119+'Operating costs'!$B$65&lt;=C1246*12))),'Operating costs'!$B$64,0)+IF(AND('Operating costs'!$B$67&gt;0,'Operating costs'!$B$67&lt;=120,OR(Paths!$D$119="ICE",'Operating costs'!$B$67&lt;=Paths!$E$119),IF('Operating costs'!$B$67=0,C1246=0,AND(C1246&gt;0,'Operating costs'!$B$67&gt;(C1246-1)*12,'Operating costs'!$B$67&lt;=C1246*12))),'Operating costs'!$B$66,0),"n.a."))</f>
        <v>0</v>
      </c>
      <c r="N1246" s="16">
        <f>IF(NOT(Paths!$C$119=1),0,IF(Paths!$P$119="Complete",SUM(G1246:I1246)-J1246-K1246-L1246+M1246+IF(C1246=0,Paths!$F$119,0)+IF(IF(Paths!$E$119=0,C1246=0,AND(C1246&gt;0,Paths!$E$119&gt;(C1246-1)*12,Paths!$E$119&lt;=C1246*12)),VLOOKUP(A1246,'Fleet register'!$A$7:$S$106,16,FALSE),0),"n.a."))</f>
        <v>0</v>
      </c>
      <c r="O1246" s="16">
        <f>IF(NOT(Paths!$C$119=1),0,IF(Paths!$P$119="Complete",N1246-IF(C1246=0,Paths!$F$119,0),"n.a."))</f>
        <v>0</v>
      </c>
      <c r="P1246" s="16">
        <f>IF(NOT(Paths!$C$119=1),0,IF(Paths!$P$119="Complete",O1246+L1246,"n.a."))</f>
        <v>0</v>
      </c>
      <c r="Q1246" s="16">
        <f>IF(NOT(Paths!$C$119=1),0,IF(Paths!$P$119="Complete",N1246*(1+'Operating costs'!$B$54)^-C1246,"n.a."))</f>
        <v>0</v>
      </c>
      <c r="R1246" s="16">
        <f>IF(NOT(Paths!$C$119=1),0,IF(Paths!$P$119="Complete",IF(AND(C1246=0,Paths!$E$119=0),I1246-J1246-K1246+VLOOKUP(A1246,'Fleet register'!$A$7:$S$106,15,FALSE)+VLOOKUP(A1246,'Fleet register'!$A$7:$S$106,16,FALSE),0),"n.a."))</f>
        <v>0</v>
      </c>
      <c r="S1246" s="1">
        <f>IF(NOT(Paths!$C$119=1),0,IF(Paths!$P$119="Complete",IF(C1246=0,0,Paths!$S$119*Paths!$R$119),"n.a."))</f>
        <v>0</v>
      </c>
      <c r="T1246" s="1">
        <f>IF(NOT(Paths!$C$119=1),0,IF(Paths!$P$119="Complete",IF(C1246=0,0,VLOOKUP(A1246,'Fleet register'!$A$7:$S$106,9,FALSE)*Paths!$R$119),"n.a."))</f>
        <v>0</v>
      </c>
    </row>
    <row r="1247" spans="1:20" ht="24" customHeight="1">
      <c r="A1247" s="1" t="str">
        <f>Paths!$A$119</f>
        <v>T029</v>
      </c>
      <c r="B1247" s="1">
        <f>Paths!$B$119</f>
        <v>0</v>
      </c>
      <c r="C1247" s="1">
        <v>8</v>
      </c>
      <c r="D1247" s="1">
        <v>119</v>
      </c>
      <c r="E1247" s="1">
        <f>IF(OR(Paths!$C$119=0,C1247=0),0,MAX(0,MIN(C1247*12,Paths!$E$119)-(C1247-1)*12))</f>
        <v>0</v>
      </c>
      <c r="F1247" s="1">
        <f>IF(OR(Paths!$C$119=0,C1247=0),0,12-E1247)</f>
        <v>0</v>
      </c>
      <c r="G1247" s="16">
        <f>IF(NOT(Paths!$C$119=1),0,IF(Paths!$P$119="Complete",E1247/12*(Paths!$J$119*(1+'Operating costs'!$B$51)^MAX(0,C1247-1)+Paths!$K$119*(1+'Operating costs'!$B$53)^MAX(0,C1247-1)),"n.a."))</f>
        <v>0</v>
      </c>
      <c r="H1247" s="16">
        <f>IF(NOT(Paths!$C$119=1),0,IF(Paths!$P$119="Complete",F1247/12*(Paths!$L$119*(1+IF(Paths!$D$119="EV",'Operating costs'!$B$52,'Operating costs'!$B$51))^MAX(0,C1247-1)+Paths!$M$119*(1+'Operating costs'!$B$53)^MAX(0,C1247-1)),"n.a."))</f>
        <v>0</v>
      </c>
      <c r="I1247" s="16">
        <f>IF(NOT(Paths!$C$119=1),0,IF(Paths!$P$119="Complete",IF(IF(Paths!$E$119=0,C1247=0,AND(C1247&gt;0,Paths!$E$119&gt;(C1247-1)*12,Paths!$E$119&lt;=C1247*12)),Paths!$G$119,0),"n.a."))</f>
        <v>0</v>
      </c>
      <c r="J1247" s="16">
        <f>IF(NOT(Paths!$C$119=1),0,IF(Paths!$P$119="Complete",IF(IF(Paths!$E$119=0,C1247=0,AND(C1247&gt;0,Paths!$E$119&gt;(C1247-1)*12,Paths!$E$119&lt;=C1247*12)),Paths!$H$119,0),"n.a."))</f>
        <v>0</v>
      </c>
      <c r="K1247" s="16">
        <f>IF(NOT(Paths!$C$119=1),0,IF(Paths!$P$119="Complete",IF(IF(Paths!$O$119=0,C1247=0,AND(C1247&gt;0,Paths!$O$119&gt;(C1247-1)*12,Paths!$O$119&lt;=C1247*12)),Paths!$N$119,0),"n.a."))</f>
        <v>0</v>
      </c>
      <c r="L1247" s="16">
        <f>IF(NOT(Paths!$C$119=1),0,IF(Paths!$P$119="Complete",IF(C1247=10,Paths!$I$119,0),"n.a."))</f>
        <v>0</v>
      </c>
      <c r="M1247" s="16">
        <f>IF(NOT(Paths!$C$119=1),0,IF(Paths!$P$119="Complete",IF(AND(Paths!$D$119="EV",Paths!$E$119&lt;120,Paths!$E$119+'Operating costs'!$B$65&gt;Paths!$E$119,Paths!$E$119+'Operating costs'!$B$65&lt;=120,IF(Paths!$E$119+'Operating costs'!$B$65=0,C1247=0,AND(C1247&gt;0,Paths!$E$119+'Operating costs'!$B$65&gt;(C1247-1)*12,Paths!$E$119+'Operating costs'!$B$65&lt;=C1247*12))),'Operating costs'!$B$64,0)+IF(AND('Operating costs'!$B$67&gt;0,'Operating costs'!$B$67&lt;=120,OR(Paths!$D$119="ICE",'Operating costs'!$B$67&lt;=Paths!$E$119),IF('Operating costs'!$B$67=0,C1247=0,AND(C1247&gt;0,'Operating costs'!$B$67&gt;(C1247-1)*12,'Operating costs'!$B$67&lt;=C1247*12))),'Operating costs'!$B$66,0),"n.a."))</f>
        <v>0</v>
      </c>
      <c r="N1247" s="16">
        <f>IF(NOT(Paths!$C$119=1),0,IF(Paths!$P$119="Complete",SUM(G1247:I1247)-J1247-K1247-L1247+M1247+IF(C1247=0,Paths!$F$119,0)+IF(IF(Paths!$E$119=0,C1247=0,AND(C1247&gt;0,Paths!$E$119&gt;(C1247-1)*12,Paths!$E$119&lt;=C1247*12)),VLOOKUP(A1247,'Fleet register'!$A$7:$S$106,16,FALSE),0),"n.a."))</f>
        <v>0</v>
      </c>
      <c r="O1247" s="16">
        <f>IF(NOT(Paths!$C$119=1),0,IF(Paths!$P$119="Complete",N1247-IF(C1247=0,Paths!$F$119,0),"n.a."))</f>
        <v>0</v>
      </c>
      <c r="P1247" s="16">
        <f>IF(NOT(Paths!$C$119=1),0,IF(Paths!$P$119="Complete",O1247+L1247,"n.a."))</f>
        <v>0</v>
      </c>
      <c r="Q1247" s="16">
        <f>IF(NOT(Paths!$C$119=1),0,IF(Paths!$P$119="Complete",N1247*(1+'Operating costs'!$B$54)^-C1247,"n.a."))</f>
        <v>0</v>
      </c>
      <c r="R1247" s="16">
        <f>IF(NOT(Paths!$C$119=1),0,IF(Paths!$P$119="Complete",IF(AND(C1247=0,Paths!$E$119=0),I1247-J1247-K1247+VLOOKUP(A1247,'Fleet register'!$A$7:$S$106,15,FALSE)+VLOOKUP(A1247,'Fleet register'!$A$7:$S$106,16,FALSE),0),"n.a."))</f>
        <v>0</v>
      </c>
      <c r="S1247" s="1">
        <f>IF(NOT(Paths!$C$119=1),0,IF(Paths!$P$119="Complete",IF(C1247=0,0,Paths!$S$119*Paths!$R$119),"n.a."))</f>
        <v>0</v>
      </c>
      <c r="T1247" s="1">
        <f>IF(NOT(Paths!$C$119=1),0,IF(Paths!$P$119="Complete",IF(C1247=0,0,VLOOKUP(A1247,'Fleet register'!$A$7:$S$106,9,FALSE)*Paths!$R$119),"n.a."))</f>
        <v>0</v>
      </c>
    </row>
    <row r="1248" spans="1:20" ht="24" customHeight="1">
      <c r="A1248" s="1" t="str">
        <f>Paths!$A$119</f>
        <v>T029</v>
      </c>
      <c r="B1248" s="1">
        <f>Paths!$B$119</f>
        <v>0</v>
      </c>
      <c r="C1248" s="1">
        <v>9</v>
      </c>
      <c r="D1248" s="1">
        <v>119</v>
      </c>
      <c r="E1248" s="1">
        <f>IF(OR(Paths!$C$119=0,C1248=0),0,MAX(0,MIN(C1248*12,Paths!$E$119)-(C1248-1)*12))</f>
        <v>0</v>
      </c>
      <c r="F1248" s="1">
        <f>IF(OR(Paths!$C$119=0,C1248=0),0,12-E1248)</f>
        <v>0</v>
      </c>
      <c r="G1248" s="16">
        <f>IF(NOT(Paths!$C$119=1),0,IF(Paths!$P$119="Complete",E1248/12*(Paths!$J$119*(1+'Operating costs'!$B$51)^MAX(0,C1248-1)+Paths!$K$119*(1+'Operating costs'!$B$53)^MAX(0,C1248-1)),"n.a."))</f>
        <v>0</v>
      </c>
      <c r="H1248" s="16">
        <f>IF(NOT(Paths!$C$119=1),0,IF(Paths!$P$119="Complete",F1248/12*(Paths!$L$119*(1+IF(Paths!$D$119="EV",'Operating costs'!$B$52,'Operating costs'!$B$51))^MAX(0,C1248-1)+Paths!$M$119*(1+'Operating costs'!$B$53)^MAX(0,C1248-1)),"n.a."))</f>
        <v>0</v>
      </c>
      <c r="I1248" s="16">
        <f>IF(NOT(Paths!$C$119=1),0,IF(Paths!$P$119="Complete",IF(IF(Paths!$E$119=0,C1248=0,AND(C1248&gt;0,Paths!$E$119&gt;(C1248-1)*12,Paths!$E$119&lt;=C1248*12)),Paths!$G$119,0),"n.a."))</f>
        <v>0</v>
      </c>
      <c r="J1248" s="16">
        <f>IF(NOT(Paths!$C$119=1),0,IF(Paths!$P$119="Complete",IF(IF(Paths!$E$119=0,C1248=0,AND(C1248&gt;0,Paths!$E$119&gt;(C1248-1)*12,Paths!$E$119&lt;=C1248*12)),Paths!$H$119,0),"n.a."))</f>
        <v>0</v>
      </c>
      <c r="K1248" s="16">
        <f>IF(NOT(Paths!$C$119=1),0,IF(Paths!$P$119="Complete",IF(IF(Paths!$O$119=0,C1248=0,AND(C1248&gt;0,Paths!$O$119&gt;(C1248-1)*12,Paths!$O$119&lt;=C1248*12)),Paths!$N$119,0),"n.a."))</f>
        <v>0</v>
      </c>
      <c r="L1248" s="16">
        <f>IF(NOT(Paths!$C$119=1),0,IF(Paths!$P$119="Complete",IF(C1248=10,Paths!$I$119,0),"n.a."))</f>
        <v>0</v>
      </c>
      <c r="M1248" s="16">
        <f>IF(NOT(Paths!$C$119=1),0,IF(Paths!$P$119="Complete",IF(AND(Paths!$D$119="EV",Paths!$E$119&lt;120,Paths!$E$119+'Operating costs'!$B$65&gt;Paths!$E$119,Paths!$E$119+'Operating costs'!$B$65&lt;=120,IF(Paths!$E$119+'Operating costs'!$B$65=0,C1248=0,AND(C1248&gt;0,Paths!$E$119+'Operating costs'!$B$65&gt;(C1248-1)*12,Paths!$E$119+'Operating costs'!$B$65&lt;=C1248*12))),'Operating costs'!$B$64,0)+IF(AND('Operating costs'!$B$67&gt;0,'Operating costs'!$B$67&lt;=120,OR(Paths!$D$119="ICE",'Operating costs'!$B$67&lt;=Paths!$E$119),IF('Operating costs'!$B$67=0,C1248=0,AND(C1248&gt;0,'Operating costs'!$B$67&gt;(C1248-1)*12,'Operating costs'!$B$67&lt;=C1248*12))),'Operating costs'!$B$66,0),"n.a."))</f>
        <v>0</v>
      </c>
      <c r="N1248" s="16">
        <f>IF(NOT(Paths!$C$119=1),0,IF(Paths!$P$119="Complete",SUM(G1248:I1248)-J1248-K1248-L1248+M1248+IF(C1248=0,Paths!$F$119,0)+IF(IF(Paths!$E$119=0,C1248=0,AND(C1248&gt;0,Paths!$E$119&gt;(C1248-1)*12,Paths!$E$119&lt;=C1248*12)),VLOOKUP(A1248,'Fleet register'!$A$7:$S$106,16,FALSE),0),"n.a."))</f>
        <v>0</v>
      </c>
      <c r="O1248" s="16">
        <f>IF(NOT(Paths!$C$119=1),0,IF(Paths!$P$119="Complete",N1248-IF(C1248=0,Paths!$F$119,0),"n.a."))</f>
        <v>0</v>
      </c>
      <c r="P1248" s="16">
        <f>IF(NOT(Paths!$C$119=1),0,IF(Paths!$P$119="Complete",O1248+L1248,"n.a."))</f>
        <v>0</v>
      </c>
      <c r="Q1248" s="16">
        <f>IF(NOT(Paths!$C$119=1),0,IF(Paths!$P$119="Complete",N1248*(1+'Operating costs'!$B$54)^-C1248,"n.a."))</f>
        <v>0</v>
      </c>
      <c r="R1248" s="16">
        <f>IF(NOT(Paths!$C$119=1),0,IF(Paths!$P$119="Complete",IF(AND(C1248=0,Paths!$E$119=0),I1248-J1248-K1248+VLOOKUP(A1248,'Fleet register'!$A$7:$S$106,15,FALSE)+VLOOKUP(A1248,'Fleet register'!$A$7:$S$106,16,FALSE),0),"n.a."))</f>
        <v>0</v>
      </c>
      <c r="S1248" s="1">
        <f>IF(NOT(Paths!$C$119=1),0,IF(Paths!$P$119="Complete",IF(C1248=0,0,Paths!$S$119*Paths!$R$119),"n.a."))</f>
        <v>0</v>
      </c>
      <c r="T1248" s="1">
        <f>IF(NOT(Paths!$C$119=1),0,IF(Paths!$P$119="Complete",IF(C1248=0,0,VLOOKUP(A1248,'Fleet register'!$A$7:$S$106,9,FALSE)*Paths!$R$119),"n.a."))</f>
        <v>0</v>
      </c>
    </row>
    <row r="1249" spans="1:20" ht="24" customHeight="1">
      <c r="A1249" s="1" t="str">
        <f>Paths!$A$119</f>
        <v>T029</v>
      </c>
      <c r="B1249" s="1">
        <f>Paths!$B$119</f>
        <v>0</v>
      </c>
      <c r="C1249" s="1">
        <v>10</v>
      </c>
      <c r="D1249" s="1">
        <v>119</v>
      </c>
      <c r="E1249" s="1">
        <f>IF(OR(Paths!$C$119=0,C1249=0),0,MAX(0,MIN(C1249*12,Paths!$E$119)-(C1249-1)*12))</f>
        <v>0</v>
      </c>
      <c r="F1249" s="1">
        <f>IF(OR(Paths!$C$119=0,C1249=0),0,12-E1249)</f>
        <v>0</v>
      </c>
      <c r="G1249" s="16">
        <f>IF(NOT(Paths!$C$119=1),0,IF(Paths!$P$119="Complete",E1249/12*(Paths!$J$119*(1+'Operating costs'!$B$51)^MAX(0,C1249-1)+Paths!$K$119*(1+'Operating costs'!$B$53)^MAX(0,C1249-1)),"n.a."))</f>
        <v>0</v>
      </c>
      <c r="H1249" s="16">
        <f>IF(NOT(Paths!$C$119=1),0,IF(Paths!$P$119="Complete",F1249/12*(Paths!$L$119*(1+IF(Paths!$D$119="EV",'Operating costs'!$B$52,'Operating costs'!$B$51))^MAX(0,C1249-1)+Paths!$M$119*(1+'Operating costs'!$B$53)^MAX(0,C1249-1)),"n.a."))</f>
        <v>0</v>
      </c>
      <c r="I1249" s="16">
        <f>IF(NOT(Paths!$C$119=1),0,IF(Paths!$P$119="Complete",IF(IF(Paths!$E$119=0,C1249=0,AND(C1249&gt;0,Paths!$E$119&gt;(C1249-1)*12,Paths!$E$119&lt;=C1249*12)),Paths!$G$119,0),"n.a."))</f>
        <v>0</v>
      </c>
      <c r="J1249" s="16">
        <f>IF(NOT(Paths!$C$119=1),0,IF(Paths!$P$119="Complete",IF(IF(Paths!$E$119=0,C1249=0,AND(C1249&gt;0,Paths!$E$119&gt;(C1249-1)*12,Paths!$E$119&lt;=C1249*12)),Paths!$H$119,0),"n.a."))</f>
        <v>0</v>
      </c>
      <c r="K1249" s="16">
        <f>IF(NOT(Paths!$C$119=1),0,IF(Paths!$P$119="Complete",IF(IF(Paths!$O$119=0,C1249=0,AND(C1249&gt;0,Paths!$O$119&gt;(C1249-1)*12,Paths!$O$119&lt;=C1249*12)),Paths!$N$119,0),"n.a."))</f>
        <v>0</v>
      </c>
      <c r="L1249" s="16">
        <f>IF(NOT(Paths!$C$119=1),0,IF(Paths!$P$119="Complete",IF(C1249=10,Paths!$I$119,0),"n.a."))</f>
        <v>0</v>
      </c>
      <c r="M1249" s="16">
        <f>IF(NOT(Paths!$C$119=1),0,IF(Paths!$P$119="Complete",IF(AND(Paths!$D$119="EV",Paths!$E$119&lt;120,Paths!$E$119+'Operating costs'!$B$65&gt;Paths!$E$119,Paths!$E$119+'Operating costs'!$B$65&lt;=120,IF(Paths!$E$119+'Operating costs'!$B$65=0,C1249=0,AND(C1249&gt;0,Paths!$E$119+'Operating costs'!$B$65&gt;(C1249-1)*12,Paths!$E$119+'Operating costs'!$B$65&lt;=C1249*12))),'Operating costs'!$B$64,0)+IF(AND('Operating costs'!$B$67&gt;0,'Operating costs'!$B$67&lt;=120,OR(Paths!$D$119="ICE",'Operating costs'!$B$67&lt;=Paths!$E$119),IF('Operating costs'!$B$67=0,C1249=0,AND(C1249&gt;0,'Operating costs'!$B$67&gt;(C1249-1)*12,'Operating costs'!$B$67&lt;=C1249*12))),'Operating costs'!$B$66,0),"n.a."))</f>
        <v>0</v>
      </c>
      <c r="N1249" s="16">
        <f>IF(NOT(Paths!$C$119=1),0,IF(Paths!$P$119="Complete",SUM(G1249:I1249)-J1249-K1249-L1249+M1249+IF(C1249=0,Paths!$F$119,0)+IF(IF(Paths!$E$119=0,C1249=0,AND(C1249&gt;0,Paths!$E$119&gt;(C1249-1)*12,Paths!$E$119&lt;=C1249*12)),VLOOKUP(A1249,'Fleet register'!$A$7:$S$106,16,FALSE),0),"n.a."))</f>
        <v>0</v>
      </c>
      <c r="O1249" s="16">
        <f>IF(NOT(Paths!$C$119=1),0,IF(Paths!$P$119="Complete",N1249-IF(C1249=0,Paths!$F$119,0),"n.a."))</f>
        <v>0</v>
      </c>
      <c r="P1249" s="16">
        <f>IF(NOT(Paths!$C$119=1),0,IF(Paths!$P$119="Complete",O1249+L1249,"n.a."))</f>
        <v>0</v>
      </c>
      <c r="Q1249" s="16">
        <f>IF(NOT(Paths!$C$119=1),0,IF(Paths!$P$119="Complete",N1249*(1+'Operating costs'!$B$54)^-C1249,"n.a."))</f>
        <v>0</v>
      </c>
      <c r="R1249" s="16">
        <f>IF(NOT(Paths!$C$119=1),0,IF(Paths!$P$119="Complete",IF(AND(C1249=0,Paths!$E$119=0),I1249-J1249-K1249+VLOOKUP(A1249,'Fleet register'!$A$7:$S$106,15,FALSE)+VLOOKUP(A1249,'Fleet register'!$A$7:$S$106,16,FALSE),0),"n.a."))</f>
        <v>0</v>
      </c>
      <c r="S1249" s="1">
        <f>IF(NOT(Paths!$C$119=1),0,IF(Paths!$P$119="Complete",IF(C1249=0,0,Paths!$S$119*Paths!$R$119),"n.a."))</f>
        <v>0</v>
      </c>
      <c r="T1249" s="1">
        <f>IF(NOT(Paths!$C$119=1),0,IF(Paths!$P$119="Complete",IF(C1249=0,0,VLOOKUP(A1249,'Fleet register'!$A$7:$S$106,9,FALSE)*Paths!$R$119),"n.a."))</f>
        <v>0</v>
      </c>
    </row>
    <row r="1250" spans="1:20" ht="24" customHeight="1">
      <c r="A1250" s="1" t="str">
        <f>Paths!$A$120</f>
        <v>T029</v>
      </c>
      <c r="B1250" s="1">
        <f>Paths!$B$120</f>
        <v>1</v>
      </c>
      <c r="C1250" s="1">
        <v>0</v>
      </c>
      <c r="D1250" s="1">
        <v>120</v>
      </c>
      <c r="E1250" s="1">
        <f>IF(OR(Paths!$C$120=0,C1250=0),0,MAX(0,MIN(C1250*12,Paths!$E$120)-(C1250-1)*12))</f>
        <v>0</v>
      </c>
      <c r="F1250" s="1">
        <f>IF(OR(Paths!$C$120=0,C1250=0),0,12-E1250)</f>
        <v>0</v>
      </c>
      <c r="G1250" s="16">
        <f>IF(NOT(Paths!$C$120=1),0,IF(Paths!$P$120="Complete",E1250/12*(Paths!$J$120*(1+'Operating costs'!$B$51)^MAX(0,C1250-1)+Paths!$K$120*(1+'Operating costs'!$B$53)^MAX(0,C1250-1)),"n.a."))</f>
        <v>0</v>
      </c>
      <c r="H1250" s="16">
        <f>IF(NOT(Paths!$C$120=1),0,IF(Paths!$P$120="Complete",F1250/12*(Paths!$L$120*(1+IF(Paths!$D$120="EV",'Operating costs'!$B$52,'Operating costs'!$B$51))^MAX(0,C1250-1)+Paths!$M$120*(1+'Operating costs'!$B$53)^MAX(0,C1250-1)),"n.a."))</f>
        <v>0</v>
      </c>
      <c r="I1250" s="16">
        <f>IF(NOT(Paths!$C$120=1),0,IF(Paths!$P$120="Complete",IF(IF(Paths!$E$120=0,C1250=0,AND(C1250&gt;0,Paths!$E$120&gt;(C1250-1)*12,Paths!$E$120&lt;=C1250*12)),Paths!$G$120,0),"n.a."))</f>
        <v>0</v>
      </c>
      <c r="J1250" s="16">
        <f>IF(NOT(Paths!$C$120=1),0,IF(Paths!$P$120="Complete",IF(IF(Paths!$E$120=0,C1250=0,AND(C1250&gt;0,Paths!$E$120&gt;(C1250-1)*12,Paths!$E$120&lt;=C1250*12)),Paths!$H$120,0),"n.a."))</f>
        <v>0</v>
      </c>
      <c r="K1250" s="16">
        <f>IF(NOT(Paths!$C$120=1),0,IF(Paths!$P$120="Complete",IF(IF(Paths!$O$120=0,C1250=0,AND(C1250&gt;0,Paths!$O$120&gt;(C1250-1)*12,Paths!$O$120&lt;=C1250*12)),Paths!$N$120,0),"n.a."))</f>
        <v>0</v>
      </c>
      <c r="L1250" s="16">
        <f>IF(NOT(Paths!$C$120=1),0,IF(Paths!$P$120="Complete",IF(C1250=10,Paths!$I$120,0),"n.a."))</f>
        <v>0</v>
      </c>
      <c r="M1250" s="16">
        <f>IF(NOT(Paths!$C$120=1),0,IF(Paths!$P$120="Complete",IF(AND(Paths!$D$120="EV",Paths!$E$120&lt;120,Paths!$E$120+'Operating costs'!$B$65&gt;Paths!$E$120,Paths!$E$120+'Operating costs'!$B$65&lt;=120,IF(Paths!$E$120+'Operating costs'!$B$65=0,C1250=0,AND(C1250&gt;0,Paths!$E$120+'Operating costs'!$B$65&gt;(C1250-1)*12,Paths!$E$120+'Operating costs'!$B$65&lt;=C1250*12))),'Operating costs'!$B$64,0)+IF(AND('Operating costs'!$B$67&gt;0,'Operating costs'!$B$67&lt;=120,OR(Paths!$D$120="ICE",'Operating costs'!$B$67&lt;=Paths!$E$120),IF('Operating costs'!$B$67=0,C1250=0,AND(C1250&gt;0,'Operating costs'!$B$67&gt;(C1250-1)*12,'Operating costs'!$B$67&lt;=C1250*12))),'Operating costs'!$B$66,0),"n.a."))</f>
        <v>0</v>
      </c>
      <c r="N1250" s="16">
        <f>IF(NOT(Paths!$C$120=1),0,IF(Paths!$P$120="Complete",SUM(G1250:I1250)-J1250-K1250-L1250+M1250+IF(C1250=0,Paths!$F$120,0)+IF(IF(Paths!$E$120=0,C1250=0,AND(C1250&gt;0,Paths!$E$120&gt;(C1250-1)*12,Paths!$E$120&lt;=C1250*12)),VLOOKUP(A1250,'Fleet register'!$A$7:$S$106,16,FALSE),0),"n.a."))</f>
        <v>0</v>
      </c>
      <c r="O1250" s="16">
        <f>IF(NOT(Paths!$C$120=1),0,IF(Paths!$P$120="Complete",N1250-IF(C1250=0,Paths!$F$120,0),"n.a."))</f>
        <v>0</v>
      </c>
      <c r="P1250" s="16">
        <f>IF(NOT(Paths!$C$120=1),0,IF(Paths!$P$120="Complete",O1250+L1250,"n.a."))</f>
        <v>0</v>
      </c>
      <c r="Q1250" s="16">
        <f>IF(NOT(Paths!$C$120=1),0,IF(Paths!$P$120="Complete",N1250*(1+'Operating costs'!$B$54)^-C1250,"n.a."))</f>
        <v>0</v>
      </c>
      <c r="R1250" s="16">
        <f>IF(NOT(Paths!$C$120=1),0,IF(Paths!$P$120="Complete",IF(AND(C1250=0,Paths!$E$120=0),I1250-J1250-K1250+VLOOKUP(A1250,'Fleet register'!$A$7:$S$106,15,FALSE)+VLOOKUP(A1250,'Fleet register'!$A$7:$S$106,16,FALSE),0),"n.a."))</f>
        <v>0</v>
      </c>
      <c r="S1250" s="1">
        <f>IF(NOT(Paths!$C$120=1),0,IF(Paths!$P$120="Complete",IF(C1250=0,0,Paths!$S$120*Paths!$R$120),"n.a."))</f>
        <v>0</v>
      </c>
      <c r="T1250" s="1">
        <f>IF(NOT(Paths!$C$120=1),0,IF(Paths!$P$120="Complete",IF(C1250=0,0,VLOOKUP(A1250,'Fleet register'!$A$7:$S$106,9,FALSE)*Paths!$R$120),"n.a."))</f>
        <v>0</v>
      </c>
    </row>
    <row r="1251" spans="1:20" ht="24" customHeight="1">
      <c r="A1251" s="1" t="str">
        <f>Paths!$A$120</f>
        <v>T029</v>
      </c>
      <c r="B1251" s="1">
        <f>Paths!$B$120</f>
        <v>1</v>
      </c>
      <c r="C1251" s="1">
        <v>1</v>
      </c>
      <c r="D1251" s="1">
        <v>120</v>
      </c>
      <c r="E1251" s="1">
        <f>IF(OR(Paths!$C$120=0,C1251=0),0,MAX(0,MIN(C1251*12,Paths!$E$120)-(C1251-1)*12))</f>
        <v>0</v>
      </c>
      <c r="F1251" s="1">
        <f>IF(OR(Paths!$C$120=0,C1251=0),0,12-E1251)</f>
        <v>0</v>
      </c>
      <c r="G1251" s="16">
        <f>IF(NOT(Paths!$C$120=1),0,IF(Paths!$P$120="Complete",E1251/12*(Paths!$J$120*(1+'Operating costs'!$B$51)^MAX(0,C1251-1)+Paths!$K$120*(1+'Operating costs'!$B$53)^MAX(0,C1251-1)),"n.a."))</f>
        <v>0</v>
      </c>
      <c r="H1251" s="16">
        <f>IF(NOT(Paths!$C$120=1),0,IF(Paths!$P$120="Complete",F1251/12*(Paths!$L$120*(1+IF(Paths!$D$120="EV",'Operating costs'!$B$52,'Operating costs'!$B$51))^MAX(0,C1251-1)+Paths!$M$120*(1+'Operating costs'!$B$53)^MAX(0,C1251-1)),"n.a."))</f>
        <v>0</v>
      </c>
      <c r="I1251" s="16">
        <f>IF(NOT(Paths!$C$120=1),0,IF(Paths!$P$120="Complete",IF(IF(Paths!$E$120=0,C1251=0,AND(C1251&gt;0,Paths!$E$120&gt;(C1251-1)*12,Paths!$E$120&lt;=C1251*12)),Paths!$G$120,0),"n.a."))</f>
        <v>0</v>
      </c>
      <c r="J1251" s="16">
        <f>IF(NOT(Paths!$C$120=1),0,IF(Paths!$P$120="Complete",IF(IF(Paths!$E$120=0,C1251=0,AND(C1251&gt;0,Paths!$E$120&gt;(C1251-1)*12,Paths!$E$120&lt;=C1251*12)),Paths!$H$120,0),"n.a."))</f>
        <v>0</v>
      </c>
      <c r="K1251" s="16">
        <f>IF(NOT(Paths!$C$120=1),0,IF(Paths!$P$120="Complete",IF(IF(Paths!$O$120=0,C1251=0,AND(C1251&gt;0,Paths!$O$120&gt;(C1251-1)*12,Paths!$O$120&lt;=C1251*12)),Paths!$N$120,0),"n.a."))</f>
        <v>0</v>
      </c>
      <c r="L1251" s="16">
        <f>IF(NOT(Paths!$C$120=1),0,IF(Paths!$P$120="Complete",IF(C1251=10,Paths!$I$120,0),"n.a."))</f>
        <v>0</v>
      </c>
      <c r="M1251" s="16">
        <f>IF(NOT(Paths!$C$120=1),0,IF(Paths!$P$120="Complete",IF(AND(Paths!$D$120="EV",Paths!$E$120&lt;120,Paths!$E$120+'Operating costs'!$B$65&gt;Paths!$E$120,Paths!$E$120+'Operating costs'!$B$65&lt;=120,IF(Paths!$E$120+'Operating costs'!$B$65=0,C1251=0,AND(C1251&gt;0,Paths!$E$120+'Operating costs'!$B$65&gt;(C1251-1)*12,Paths!$E$120+'Operating costs'!$B$65&lt;=C1251*12))),'Operating costs'!$B$64,0)+IF(AND('Operating costs'!$B$67&gt;0,'Operating costs'!$B$67&lt;=120,OR(Paths!$D$120="ICE",'Operating costs'!$B$67&lt;=Paths!$E$120),IF('Operating costs'!$B$67=0,C1251=0,AND(C1251&gt;0,'Operating costs'!$B$67&gt;(C1251-1)*12,'Operating costs'!$B$67&lt;=C1251*12))),'Operating costs'!$B$66,0),"n.a."))</f>
        <v>0</v>
      </c>
      <c r="N1251" s="16">
        <f>IF(NOT(Paths!$C$120=1),0,IF(Paths!$P$120="Complete",SUM(G1251:I1251)-J1251-K1251-L1251+M1251+IF(C1251=0,Paths!$F$120,0)+IF(IF(Paths!$E$120=0,C1251=0,AND(C1251&gt;0,Paths!$E$120&gt;(C1251-1)*12,Paths!$E$120&lt;=C1251*12)),VLOOKUP(A1251,'Fleet register'!$A$7:$S$106,16,FALSE),0),"n.a."))</f>
        <v>0</v>
      </c>
      <c r="O1251" s="16">
        <f>IF(NOT(Paths!$C$120=1),0,IF(Paths!$P$120="Complete",N1251-IF(C1251=0,Paths!$F$120,0),"n.a."))</f>
        <v>0</v>
      </c>
      <c r="P1251" s="16">
        <f>IF(NOT(Paths!$C$120=1),0,IF(Paths!$P$120="Complete",O1251+L1251,"n.a."))</f>
        <v>0</v>
      </c>
      <c r="Q1251" s="16">
        <f>IF(NOT(Paths!$C$120=1),0,IF(Paths!$P$120="Complete",N1251*(1+'Operating costs'!$B$54)^-C1251,"n.a."))</f>
        <v>0</v>
      </c>
      <c r="R1251" s="16">
        <f>IF(NOT(Paths!$C$120=1),0,IF(Paths!$P$120="Complete",IF(AND(C1251=0,Paths!$E$120=0),I1251-J1251-K1251+VLOOKUP(A1251,'Fleet register'!$A$7:$S$106,15,FALSE)+VLOOKUP(A1251,'Fleet register'!$A$7:$S$106,16,FALSE),0),"n.a."))</f>
        <v>0</v>
      </c>
      <c r="S1251" s="1">
        <f>IF(NOT(Paths!$C$120=1),0,IF(Paths!$P$120="Complete",IF(C1251=0,0,Paths!$S$120*Paths!$R$120),"n.a."))</f>
        <v>0</v>
      </c>
      <c r="T1251" s="1">
        <f>IF(NOT(Paths!$C$120=1),0,IF(Paths!$P$120="Complete",IF(C1251=0,0,VLOOKUP(A1251,'Fleet register'!$A$7:$S$106,9,FALSE)*Paths!$R$120),"n.a."))</f>
        <v>0</v>
      </c>
    </row>
    <row r="1252" spans="1:20" ht="24" customHeight="1">
      <c r="A1252" s="1" t="str">
        <f>Paths!$A$120</f>
        <v>T029</v>
      </c>
      <c r="B1252" s="1">
        <f>Paths!$B$120</f>
        <v>1</v>
      </c>
      <c r="C1252" s="1">
        <v>2</v>
      </c>
      <c r="D1252" s="1">
        <v>120</v>
      </c>
      <c r="E1252" s="1">
        <f>IF(OR(Paths!$C$120=0,C1252=0),0,MAX(0,MIN(C1252*12,Paths!$E$120)-(C1252-1)*12))</f>
        <v>0</v>
      </c>
      <c r="F1252" s="1">
        <f>IF(OR(Paths!$C$120=0,C1252=0),0,12-E1252)</f>
        <v>0</v>
      </c>
      <c r="G1252" s="16">
        <f>IF(NOT(Paths!$C$120=1),0,IF(Paths!$P$120="Complete",E1252/12*(Paths!$J$120*(1+'Operating costs'!$B$51)^MAX(0,C1252-1)+Paths!$K$120*(1+'Operating costs'!$B$53)^MAX(0,C1252-1)),"n.a."))</f>
        <v>0</v>
      </c>
      <c r="H1252" s="16">
        <f>IF(NOT(Paths!$C$120=1),0,IF(Paths!$P$120="Complete",F1252/12*(Paths!$L$120*(1+IF(Paths!$D$120="EV",'Operating costs'!$B$52,'Operating costs'!$B$51))^MAX(0,C1252-1)+Paths!$M$120*(1+'Operating costs'!$B$53)^MAX(0,C1252-1)),"n.a."))</f>
        <v>0</v>
      </c>
      <c r="I1252" s="16">
        <f>IF(NOT(Paths!$C$120=1),0,IF(Paths!$P$120="Complete",IF(IF(Paths!$E$120=0,C1252=0,AND(C1252&gt;0,Paths!$E$120&gt;(C1252-1)*12,Paths!$E$120&lt;=C1252*12)),Paths!$G$120,0),"n.a."))</f>
        <v>0</v>
      </c>
      <c r="J1252" s="16">
        <f>IF(NOT(Paths!$C$120=1),0,IF(Paths!$P$120="Complete",IF(IF(Paths!$E$120=0,C1252=0,AND(C1252&gt;0,Paths!$E$120&gt;(C1252-1)*12,Paths!$E$120&lt;=C1252*12)),Paths!$H$120,0),"n.a."))</f>
        <v>0</v>
      </c>
      <c r="K1252" s="16">
        <f>IF(NOT(Paths!$C$120=1),0,IF(Paths!$P$120="Complete",IF(IF(Paths!$O$120=0,C1252=0,AND(C1252&gt;0,Paths!$O$120&gt;(C1252-1)*12,Paths!$O$120&lt;=C1252*12)),Paths!$N$120,0),"n.a."))</f>
        <v>0</v>
      </c>
      <c r="L1252" s="16">
        <f>IF(NOT(Paths!$C$120=1),0,IF(Paths!$P$120="Complete",IF(C1252=10,Paths!$I$120,0),"n.a."))</f>
        <v>0</v>
      </c>
      <c r="M1252" s="16">
        <f>IF(NOT(Paths!$C$120=1),0,IF(Paths!$P$120="Complete",IF(AND(Paths!$D$120="EV",Paths!$E$120&lt;120,Paths!$E$120+'Operating costs'!$B$65&gt;Paths!$E$120,Paths!$E$120+'Operating costs'!$B$65&lt;=120,IF(Paths!$E$120+'Operating costs'!$B$65=0,C1252=0,AND(C1252&gt;0,Paths!$E$120+'Operating costs'!$B$65&gt;(C1252-1)*12,Paths!$E$120+'Operating costs'!$B$65&lt;=C1252*12))),'Operating costs'!$B$64,0)+IF(AND('Operating costs'!$B$67&gt;0,'Operating costs'!$B$67&lt;=120,OR(Paths!$D$120="ICE",'Operating costs'!$B$67&lt;=Paths!$E$120),IF('Operating costs'!$B$67=0,C1252=0,AND(C1252&gt;0,'Operating costs'!$B$67&gt;(C1252-1)*12,'Operating costs'!$B$67&lt;=C1252*12))),'Operating costs'!$B$66,0),"n.a."))</f>
        <v>0</v>
      </c>
      <c r="N1252" s="16">
        <f>IF(NOT(Paths!$C$120=1),0,IF(Paths!$P$120="Complete",SUM(G1252:I1252)-J1252-K1252-L1252+M1252+IF(C1252=0,Paths!$F$120,0)+IF(IF(Paths!$E$120=0,C1252=0,AND(C1252&gt;0,Paths!$E$120&gt;(C1252-1)*12,Paths!$E$120&lt;=C1252*12)),VLOOKUP(A1252,'Fleet register'!$A$7:$S$106,16,FALSE),0),"n.a."))</f>
        <v>0</v>
      </c>
      <c r="O1252" s="16">
        <f>IF(NOT(Paths!$C$120=1),0,IF(Paths!$P$120="Complete",N1252-IF(C1252=0,Paths!$F$120,0),"n.a."))</f>
        <v>0</v>
      </c>
      <c r="P1252" s="16">
        <f>IF(NOT(Paths!$C$120=1),0,IF(Paths!$P$120="Complete",O1252+L1252,"n.a."))</f>
        <v>0</v>
      </c>
      <c r="Q1252" s="16">
        <f>IF(NOT(Paths!$C$120=1),0,IF(Paths!$P$120="Complete",N1252*(1+'Operating costs'!$B$54)^-C1252,"n.a."))</f>
        <v>0</v>
      </c>
      <c r="R1252" s="16">
        <f>IF(NOT(Paths!$C$120=1),0,IF(Paths!$P$120="Complete",IF(AND(C1252=0,Paths!$E$120=0),I1252-J1252-K1252+VLOOKUP(A1252,'Fleet register'!$A$7:$S$106,15,FALSE)+VLOOKUP(A1252,'Fleet register'!$A$7:$S$106,16,FALSE),0),"n.a."))</f>
        <v>0</v>
      </c>
      <c r="S1252" s="1">
        <f>IF(NOT(Paths!$C$120=1),0,IF(Paths!$P$120="Complete",IF(C1252=0,0,Paths!$S$120*Paths!$R$120),"n.a."))</f>
        <v>0</v>
      </c>
      <c r="T1252" s="1">
        <f>IF(NOT(Paths!$C$120=1),0,IF(Paths!$P$120="Complete",IF(C1252=0,0,VLOOKUP(A1252,'Fleet register'!$A$7:$S$106,9,FALSE)*Paths!$R$120),"n.a."))</f>
        <v>0</v>
      </c>
    </row>
    <row r="1253" spans="1:20" ht="24" customHeight="1">
      <c r="A1253" s="1" t="str">
        <f>Paths!$A$120</f>
        <v>T029</v>
      </c>
      <c r="B1253" s="1">
        <f>Paths!$B$120</f>
        <v>1</v>
      </c>
      <c r="C1253" s="1">
        <v>3</v>
      </c>
      <c r="D1253" s="1">
        <v>120</v>
      </c>
      <c r="E1253" s="1">
        <f>IF(OR(Paths!$C$120=0,C1253=0),0,MAX(0,MIN(C1253*12,Paths!$E$120)-(C1253-1)*12))</f>
        <v>0</v>
      </c>
      <c r="F1253" s="1">
        <f>IF(OR(Paths!$C$120=0,C1253=0),0,12-E1253)</f>
        <v>0</v>
      </c>
      <c r="G1253" s="16">
        <f>IF(NOT(Paths!$C$120=1),0,IF(Paths!$P$120="Complete",E1253/12*(Paths!$J$120*(1+'Operating costs'!$B$51)^MAX(0,C1253-1)+Paths!$K$120*(1+'Operating costs'!$B$53)^MAX(0,C1253-1)),"n.a."))</f>
        <v>0</v>
      </c>
      <c r="H1253" s="16">
        <f>IF(NOT(Paths!$C$120=1),0,IF(Paths!$P$120="Complete",F1253/12*(Paths!$L$120*(1+IF(Paths!$D$120="EV",'Operating costs'!$B$52,'Operating costs'!$B$51))^MAX(0,C1253-1)+Paths!$M$120*(1+'Operating costs'!$B$53)^MAX(0,C1253-1)),"n.a."))</f>
        <v>0</v>
      </c>
      <c r="I1253" s="16">
        <f>IF(NOT(Paths!$C$120=1),0,IF(Paths!$P$120="Complete",IF(IF(Paths!$E$120=0,C1253=0,AND(C1253&gt;0,Paths!$E$120&gt;(C1253-1)*12,Paths!$E$120&lt;=C1253*12)),Paths!$G$120,0),"n.a."))</f>
        <v>0</v>
      </c>
      <c r="J1253" s="16">
        <f>IF(NOT(Paths!$C$120=1),0,IF(Paths!$P$120="Complete",IF(IF(Paths!$E$120=0,C1253=0,AND(C1253&gt;0,Paths!$E$120&gt;(C1253-1)*12,Paths!$E$120&lt;=C1253*12)),Paths!$H$120,0),"n.a."))</f>
        <v>0</v>
      </c>
      <c r="K1253" s="16">
        <f>IF(NOT(Paths!$C$120=1),0,IF(Paths!$P$120="Complete",IF(IF(Paths!$O$120=0,C1253=0,AND(C1253&gt;0,Paths!$O$120&gt;(C1253-1)*12,Paths!$O$120&lt;=C1253*12)),Paths!$N$120,0),"n.a."))</f>
        <v>0</v>
      </c>
      <c r="L1253" s="16">
        <f>IF(NOT(Paths!$C$120=1),0,IF(Paths!$P$120="Complete",IF(C1253=10,Paths!$I$120,0),"n.a."))</f>
        <v>0</v>
      </c>
      <c r="M1253" s="16">
        <f>IF(NOT(Paths!$C$120=1),0,IF(Paths!$P$120="Complete",IF(AND(Paths!$D$120="EV",Paths!$E$120&lt;120,Paths!$E$120+'Operating costs'!$B$65&gt;Paths!$E$120,Paths!$E$120+'Operating costs'!$B$65&lt;=120,IF(Paths!$E$120+'Operating costs'!$B$65=0,C1253=0,AND(C1253&gt;0,Paths!$E$120+'Operating costs'!$B$65&gt;(C1253-1)*12,Paths!$E$120+'Operating costs'!$B$65&lt;=C1253*12))),'Operating costs'!$B$64,0)+IF(AND('Operating costs'!$B$67&gt;0,'Operating costs'!$B$67&lt;=120,OR(Paths!$D$120="ICE",'Operating costs'!$B$67&lt;=Paths!$E$120),IF('Operating costs'!$B$67=0,C1253=0,AND(C1253&gt;0,'Operating costs'!$B$67&gt;(C1253-1)*12,'Operating costs'!$B$67&lt;=C1253*12))),'Operating costs'!$B$66,0),"n.a."))</f>
        <v>0</v>
      </c>
      <c r="N1253" s="16">
        <f>IF(NOT(Paths!$C$120=1),0,IF(Paths!$P$120="Complete",SUM(G1253:I1253)-J1253-K1253-L1253+M1253+IF(C1253=0,Paths!$F$120,0)+IF(IF(Paths!$E$120=0,C1253=0,AND(C1253&gt;0,Paths!$E$120&gt;(C1253-1)*12,Paths!$E$120&lt;=C1253*12)),VLOOKUP(A1253,'Fleet register'!$A$7:$S$106,16,FALSE),0),"n.a."))</f>
        <v>0</v>
      </c>
      <c r="O1253" s="16">
        <f>IF(NOT(Paths!$C$120=1),0,IF(Paths!$P$120="Complete",N1253-IF(C1253=0,Paths!$F$120,0),"n.a."))</f>
        <v>0</v>
      </c>
      <c r="P1253" s="16">
        <f>IF(NOT(Paths!$C$120=1),0,IF(Paths!$P$120="Complete",O1253+L1253,"n.a."))</f>
        <v>0</v>
      </c>
      <c r="Q1253" s="16">
        <f>IF(NOT(Paths!$C$120=1),0,IF(Paths!$P$120="Complete",N1253*(1+'Operating costs'!$B$54)^-C1253,"n.a."))</f>
        <v>0</v>
      </c>
      <c r="R1253" s="16">
        <f>IF(NOT(Paths!$C$120=1),0,IF(Paths!$P$120="Complete",IF(AND(C1253=0,Paths!$E$120=0),I1253-J1253-K1253+VLOOKUP(A1253,'Fleet register'!$A$7:$S$106,15,FALSE)+VLOOKUP(A1253,'Fleet register'!$A$7:$S$106,16,FALSE),0),"n.a."))</f>
        <v>0</v>
      </c>
      <c r="S1253" s="1">
        <f>IF(NOT(Paths!$C$120=1),0,IF(Paths!$P$120="Complete",IF(C1253=0,0,Paths!$S$120*Paths!$R$120),"n.a."))</f>
        <v>0</v>
      </c>
      <c r="T1253" s="1">
        <f>IF(NOT(Paths!$C$120=1),0,IF(Paths!$P$120="Complete",IF(C1253=0,0,VLOOKUP(A1253,'Fleet register'!$A$7:$S$106,9,FALSE)*Paths!$R$120),"n.a."))</f>
        <v>0</v>
      </c>
    </row>
    <row r="1254" spans="1:20" ht="24" customHeight="1">
      <c r="A1254" s="1" t="str">
        <f>Paths!$A$120</f>
        <v>T029</v>
      </c>
      <c r="B1254" s="1">
        <f>Paths!$B$120</f>
        <v>1</v>
      </c>
      <c r="C1254" s="1">
        <v>4</v>
      </c>
      <c r="D1254" s="1">
        <v>120</v>
      </c>
      <c r="E1254" s="1">
        <f>IF(OR(Paths!$C$120=0,C1254=0),0,MAX(0,MIN(C1254*12,Paths!$E$120)-(C1254-1)*12))</f>
        <v>0</v>
      </c>
      <c r="F1254" s="1">
        <f>IF(OR(Paths!$C$120=0,C1254=0),0,12-E1254)</f>
        <v>0</v>
      </c>
      <c r="G1254" s="16">
        <f>IF(NOT(Paths!$C$120=1),0,IF(Paths!$P$120="Complete",E1254/12*(Paths!$J$120*(1+'Operating costs'!$B$51)^MAX(0,C1254-1)+Paths!$K$120*(1+'Operating costs'!$B$53)^MAX(0,C1254-1)),"n.a."))</f>
        <v>0</v>
      </c>
      <c r="H1254" s="16">
        <f>IF(NOT(Paths!$C$120=1),0,IF(Paths!$P$120="Complete",F1254/12*(Paths!$L$120*(1+IF(Paths!$D$120="EV",'Operating costs'!$B$52,'Operating costs'!$B$51))^MAX(0,C1254-1)+Paths!$M$120*(1+'Operating costs'!$B$53)^MAX(0,C1254-1)),"n.a."))</f>
        <v>0</v>
      </c>
      <c r="I1254" s="16">
        <f>IF(NOT(Paths!$C$120=1),0,IF(Paths!$P$120="Complete",IF(IF(Paths!$E$120=0,C1254=0,AND(C1254&gt;0,Paths!$E$120&gt;(C1254-1)*12,Paths!$E$120&lt;=C1254*12)),Paths!$G$120,0),"n.a."))</f>
        <v>0</v>
      </c>
      <c r="J1254" s="16">
        <f>IF(NOT(Paths!$C$120=1),0,IF(Paths!$P$120="Complete",IF(IF(Paths!$E$120=0,C1254=0,AND(C1254&gt;0,Paths!$E$120&gt;(C1254-1)*12,Paths!$E$120&lt;=C1254*12)),Paths!$H$120,0),"n.a."))</f>
        <v>0</v>
      </c>
      <c r="K1254" s="16">
        <f>IF(NOT(Paths!$C$120=1),0,IF(Paths!$P$120="Complete",IF(IF(Paths!$O$120=0,C1254=0,AND(C1254&gt;0,Paths!$O$120&gt;(C1254-1)*12,Paths!$O$120&lt;=C1254*12)),Paths!$N$120,0),"n.a."))</f>
        <v>0</v>
      </c>
      <c r="L1254" s="16">
        <f>IF(NOT(Paths!$C$120=1),0,IF(Paths!$P$120="Complete",IF(C1254=10,Paths!$I$120,0),"n.a."))</f>
        <v>0</v>
      </c>
      <c r="M1254" s="16">
        <f>IF(NOT(Paths!$C$120=1),0,IF(Paths!$P$120="Complete",IF(AND(Paths!$D$120="EV",Paths!$E$120&lt;120,Paths!$E$120+'Operating costs'!$B$65&gt;Paths!$E$120,Paths!$E$120+'Operating costs'!$B$65&lt;=120,IF(Paths!$E$120+'Operating costs'!$B$65=0,C1254=0,AND(C1254&gt;0,Paths!$E$120+'Operating costs'!$B$65&gt;(C1254-1)*12,Paths!$E$120+'Operating costs'!$B$65&lt;=C1254*12))),'Operating costs'!$B$64,0)+IF(AND('Operating costs'!$B$67&gt;0,'Operating costs'!$B$67&lt;=120,OR(Paths!$D$120="ICE",'Operating costs'!$B$67&lt;=Paths!$E$120),IF('Operating costs'!$B$67=0,C1254=0,AND(C1254&gt;0,'Operating costs'!$B$67&gt;(C1254-1)*12,'Operating costs'!$B$67&lt;=C1254*12))),'Operating costs'!$B$66,0),"n.a."))</f>
        <v>0</v>
      </c>
      <c r="N1254" s="16">
        <f>IF(NOT(Paths!$C$120=1),0,IF(Paths!$P$120="Complete",SUM(G1254:I1254)-J1254-K1254-L1254+M1254+IF(C1254=0,Paths!$F$120,0)+IF(IF(Paths!$E$120=0,C1254=0,AND(C1254&gt;0,Paths!$E$120&gt;(C1254-1)*12,Paths!$E$120&lt;=C1254*12)),VLOOKUP(A1254,'Fleet register'!$A$7:$S$106,16,FALSE),0),"n.a."))</f>
        <v>0</v>
      </c>
      <c r="O1254" s="16">
        <f>IF(NOT(Paths!$C$120=1),0,IF(Paths!$P$120="Complete",N1254-IF(C1254=0,Paths!$F$120,0),"n.a."))</f>
        <v>0</v>
      </c>
      <c r="P1254" s="16">
        <f>IF(NOT(Paths!$C$120=1),0,IF(Paths!$P$120="Complete",O1254+L1254,"n.a."))</f>
        <v>0</v>
      </c>
      <c r="Q1254" s="16">
        <f>IF(NOT(Paths!$C$120=1),0,IF(Paths!$P$120="Complete",N1254*(1+'Operating costs'!$B$54)^-C1254,"n.a."))</f>
        <v>0</v>
      </c>
      <c r="R1254" s="16">
        <f>IF(NOT(Paths!$C$120=1),0,IF(Paths!$P$120="Complete",IF(AND(C1254=0,Paths!$E$120=0),I1254-J1254-K1254+VLOOKUP(A1254,'Fleet register'!$A$7:$S$106,15,FALSE)+VLOOKUP(A1254,'Fleet register'!$A$7:$S$106,16,FALSE),0),"n.a."))</f>
        <v>0</v>
      </c>
      <c r="S1254" s="1">
        <f>IF(NOT(Paths!$C$120=1),0,IF(Paths!$P$120="Complete",IF(C1254=0,0,Paths!$S$120*Paths!$R$120),"n.a."))</f>
        <v>0</v>
      </c>
      <c r="T1254" s="1">
        <f>IF(NOT(Paths!$C$120=1),0,IF(Paths!$P$120="Complete",IF(C1254=0,0,VLOOKUP(A1254,'Fleet register'!$A$7:$S$106,9,FALSE)*Paths!$R$120),"n.a."))</f>
        <v>0</v>
      </c>
    </row>
    <row r="1255" spans="1:20" ht="24" customHeight="1">
      <c r="A1255" s="1" t="str">
        <f>Paths!$A$120</f>
        <v>T029</v>
      </c>
      <c r="B1255" s="1">
        <f>Paths!$B$120</f>
        <v>1</v>
      </c>
      <c r="C1255" s="1">
        <v>5</v>
      </c>
      <c r="D1255" s="1">
        <v>120</v>
      </c>
      <c r="E1255" s="1">
        <f>IF(OR(Paths!$C$120=0,C1255=0),0,MAX(0,MIN(C1255*12,Paths!$E$120)-(C1255-1)*12))</f>
        <v>0</v>
      </c>
      <c r="F1255" s="1">
        <f>IF(OR(Paths!$C$120=0,C1255=0),0,12-E1255)</f>
        <v>0</v>
      </c>
      <c r="G1255" s="16">
        <f>IF(NOT(Paths!$C$120=1),0,IF(Paths!$P$120="Complete",E1255/12*(Paths!$J$120*(1+'Operating costs'!$B$51)^MAX(0,C1255-1)+Paths!$K$120*(1+'Operating costs'!$B$53)^MAX(0,C1255-1)),"n.a."))</f>
        <v>0</v>
      </c>
      <c r="H1255" s="16">
        <f>IF(NOT(Paths!$C$120=1),0,IF(Paths!$P$120="Complete",F1255/12*(Paths!$L$120*(1+IF(Paths!$D$120="EV",'Operating costs'!$B$52,'Operating costs'!$B$51))^MAX(0,C1255-1)+Paths!$M$120*(1+'Operating costs'!$B$53)^MAX(0,C1255-1)),"n.a."))</f>
        <v>0</v>
      </c>
      <c r="I1255" s="16">
        <f>IF(NOT(Paths!$C$120=1),0,IF(Paths!$P$120="Complete",IF(IF(Paths!$E$120=0,C1255=0,AND(C1255&gt;0,Paths!$E$120&gt;(C1255-1)*12,Paths!$E$120&lt;=C1255*12)),Paths!$G$120,0),"n.a."))</f>
        <v>0</v>
      </c>
      <c r="J1255" s="16">
        <f>IF(NOT(Paths!$C$120=1),0,IF(Paths!$P$120="Complete",IF(IF(Paths!$E$120=0,C1255=0,AND(C1255&gt;0,Paths!$E$120&gt;(C1255-1)*12,Paths!$E$120&lt;=C1255*12)),Paths!$H$120,0),"n.a."))</f>
        <v>0</v>
      </c>
      <c r="K1255" s="16">
        <f>IF(NOT(Paths!$C$120=1),0,IF(Paths!$P$120="Complete",IF(IF(Paths!$O$120=0,C1255=0,AND(C1255&gt;0,Paths!$O$120&gt;(C1255-1)*12,Paths!$O$120&lt;=C1255*12)),Paths!$N$120,0),"n.a."))</f>
        <v>0</v>
      </c>
      <c r="L1255" s="16">
        <f>IF(NOT(Paths!$C$120=1),0,IF(Paths!$P$120="Complete",IF(C1255=10,Paths!$I$120,0),"n.a."))</f>
        <v>0</v>
      </c>
      <c r="M1255" s="16">
        <f>IF(NOT(Paths!$C$120=1),0,IF(Paths!$P$120="Complete",IF(AND(Paths!$D$120="EV",Paths!$E$120&lt;120,Paths!$E$120+'Operating costs'!$B$65&gt;Paths!$E$120,Paths!$E$120+'Operating costs'!$B$65&lt;=120,IF(Paths!$E$120+'Operating costs'!$B$65=0,C1255=0,AND(C1255&gt;0,Paths!$E$120+'Operating costs'!$B$65&gt;(C1255-1)*12,Paths!$E$120+'Operating costs'!$B$65&lt;=C1255*12))),'Operating costs'!$B$64,0)+IF(AND('Operating costs'!$B$67&gt;0,'Operating costs'!$B$67&lt;=120,OR(Paths!$D$120="ICE",'Operating costs'!$B$67&lt;=Paths!$E$120),IF('Operating costs'!$B$67=0,C1255=0,AND(C1255&gt;0,'Operating costs'!$B$67&gt;(C1255-1)*12,'Operating costs'!$B$67&lt;=C1255*12))),'Operating costs'!$B$66,0),"n.a."))</f>
        <v>0</v>
      </c>
      <c r="N1255" s="16">
        <f>IF(NOT(Paths!$C$120=1),0,IF(Paths!$P$120="Complete",SUM(G1255:I1255)-J1255-K1255-L1255+M1255+IF(C1255=0,Paths!$F$120,0)+IF(IF(Paths!$E$120=0,C1255=0,AND(C1255&gt;0,Paths!$E$120&gt;(C1255-1)*12,Paths!$E$120&lt;=C1255*12)),VLOOKUP(A1255,'Fleet register'!$A$7:$S$106,16,FALSE),0),"n.a."))</f>
        <v>0</v>
      </c>
      <c r="O1255" s="16">
        <f>IF(NOT(Paths!$C$120=1),0,IF(Paths!$P$120="Complete",N1255-IF(C1255=0,Paths!$F$120,0),"n.a."))</f>
        <v>0</v>
      </c>
      <c r="P1255" s="16">
        <f>IF(NOT(Paths!$C$120=1),0,IF(Paths!$P$120="Complete",O1255+L1255,"n.a."))</f>
        <v>0</v>
      </c>
      <c r="Q1255" s="16">
        <f>IF(NOT(Paths!$C$120=1),0,IF(Paths!$P$120="Complete",N1255*(1+'Operating costs'!$B$54)^-C1255,"n.a."))</f>
        <v>0</v>
      </c>
      <c r="R1255" s="16">
        <f>IF(NOT(Paths!$C$120=1),0,IF(Paths!$P$120="Complete",IF(AND(C1255=0,Paths!$E$120=0),I1255-J1255-K1255+VLOOKUP(A1255,'Fleet register'!$A$7:$S$106,15,FALSE)+VLOOKUP(A1255,'Fleet register'!$A$7:$S$106,16,FALSE),0),"n.a."))</f>
        <v>0</v>
      </c>
      <c r="S1255" s="1">
        <f>IF(NOT(Paths!$C$120=1),0,IF(Paths!$P$120="Complete",IF(C1255=0,0,Paths!$S$120*Paths!$R$120),"n.a."))</f>
        <v>0</v>
      </c>
      <c r="T1255" s="1">
        <f>IF(NOT(Paths!$C$120=1),0,IF(Paths!$P$120="Complete",IF(C1255=0,0,VLOOKUP(A1255,'Fleet register'!$A$7:$S$106,9,FALSE)*Paths!$R$120),"n.a."))</f>
        <v>0</v>
      </c>
    </row>
    <row r="1256" spans="1:20" ht="24" customHeight="1">
      <c r="A1256" s="1" t="str">
        <f>Paths!$A$120</f>
        <v>T029</v>
      </c>
      <c r="B1256" s="1">
        <f>Paths!$B$120</f>
        <v>1</v>
      </c>
      <c r="C1256" s="1">
        <v>6</v>
      </c>
      <c r="D1256" s="1">
        <v>120</v>
      </c>
      <c r="E1256" s="1">
        <f>IF(OR(Paths!$C$120=0,C1256=0),0,MAX(0,MIN(C1256*12,Paths!$E$120)-(C1256-1)*12))</f>
        <v>0</v>
      </c>
      <c r="F1256" s="1">
        <f>IF(OR(Paths!$C$120=0,C1256=0),0,12-E1256)</f>
        <v>0</v>
      </c>
      <c r="G1256" s="16">
        <f>IF(NOT(Paths!$C$120=1),0,IF(Paths!$P$120="Complete",E1256/12*(Paths!$J$120*(1+'Operating costs'!$B$51)^MAX(0,C1256-1)+Paths!$K$120*(1+'Operating costs'!$B$53)^MAX(0,C1256-1)),"n.a."))</f>
        <v>0</v>
      </c>
      <c r="H1256" s="16">
        <f>IF(NOT(Paths!$C$120=1),0,IF(Paths!$P$120="Complete",F1256/12*(Paths!$L$120*(1+IF(Paths!$D$120="EV",'Operating costs'!$B$52,'Operating costs'!$B$51))^MAX(0,C1256-1)+Paths!$M$120*(1+'Operating costs'!$B$53)^MAX(0,C1256-1)),"n.a."))</f>
        <v>0</v>
      </c>
      <c r="I1256" s="16">
        <f>IF(NOT(Paths!$C$120=1),0,IF(Paths!$P$120="Complete",IF(IF(Paths!$E$120=0,C1256=0,AND(C1256&gt;0,Paths!$E$120&gt;(C1256-1)*12,Paths!$E$120&lt;=C1256*12)),Paths!$G$120,0),"n.a."))</f>
        <v>0</v>
      </c>
      <c r="J1256" s="16">
        <f>IF(NOT(Paths!$C$120=1),0,IF(Paths!$P$120="Complete",IF(IF(Paths!$E$120=0,C1256=0,AND(C1256&gt;0,Paths!$E$120&gt;(C1256-1)*12,Paths!$E$120&lt;=C1256*12)),Paths!$H$120,0),"n.a."))</f>
        <v>0</v>
      </c>
      <c r="K1256" s="16">
        <f>IF(NOT(Paths!$C$120=1),0,IF(Paths!$P$120="Complete",IF(IF(Paths!$O$120=0,C1256=0,AND(C1256&gt;0,Paths!$O$120&gt;(C1256-1)*12,Paths!$O$120&lt;=C1256*12)),Paths!$N$120,0),"n.a."))</f>
        <v>0</v>
      </c>
      <c r="L1256" s="16">
        <f>IF(NOT(Paths!$C$120=1),0,IF(Paths!$P$120="Complete",IF(C1256=10,Paths!$I$120,0),"n.a."))</f>
        <v>0</v>
      </c>
      <c r="M1256" s="16">
        <f>IF(NOT(Paths!$C$120=1),0,IF(Paths!$P$120="Complete",IF(AND(Paths!$D$120="EV",Paths!$E$120&lt;120,Paths!$E$120+'Operating costs'!$B$65&gt;Paths!$E$120,Paths!$E$120+'Operating costs'!$B$65&lt;=120,IF(Paths!$E$120+'Operating costs'!$B$65=0,C1256=0,AND(C1256&gt;0,Paths!$E$120+'Operating costs'!$B$65&gt;(C1256-1)*12,Paths!$E$120+'Operating costs'!$B$65&lt;=C1256*12))),'Operating costs'!$B$64,0)+IF(AND('Operating costs'!$B$67&gt;0,'Operating costs'!$B$67&lt;=120,OR(Paths!$D$120="ICE",'Operating costs'!$B$67&lt;=Paths!$E$120),IF('Operating costs'!$B$67=0,C1256=0,AND(C1256&gt;0,'Operating costs'!$B$67&gt;(C1256-1)*12,'Operating costs'!$B$67&lt;=C1256*12))),'Operating costs'!$B$66,0),"n.a."))</f>
        <v>0</v>
      </c>
      <c r="N1256" s="16">
        <f>IF(NOT(Paths!$C$120=1),0,IF(Paths!$P$120="Complete",SUM(G1256:I1256)-J1256-K1256-L1256+M1256+IF(C1256=0,Paths!$F$120,0)+IF(IF(Paths!$E$120=0,C1256=0,AND(C1256&gt;0,Paths!$E$120&gt;(C1256-1)*12,Paths!$E$120&lt;=C1256*12)),VLOOKUP(A1256,'Fleet register'!$A$7:$S$106,16,FALSE),0),"n.a."))</f>
        <v>0</v>
      </c>
      <c r="O1256" s="16">
        <f>IF(NOT(Paths!$C$120=1),0,IF(Paths!$P$120="Complete",N1256-IF(C1256=0,Paths!$F$120,0),"n.a."))</f>
        <v>0</v>
      </c>
      <c r="P1256" s="16">
        <f>IF(NOT(Paths!$C$120=1),0,IF(Paths!$P$120="Complete",O1256+L1256,"n.a."))</f>
        <v>0</v>
      </c>
      <c r="Q1256" s="16">
        <f>IF(NOT(Paths!$C$120=1),0,IF(Paths!$P$120="Complete",N1256*(1+'Operating costs'!$B$54)^-C1256,"n.a."))</f>
        <v>0</v>
      </c>
      <c r="R1256" s="16">
        <f>IF(NOT(Paths!$C$120=1),0,IF(Paths!$P$120="Complete",IF(AND(C1256=0,Paths!$E$120=0),I1256-J1256-K1256+VLOOKUP(A1256,'Fleet register'!$A$7:$S$106,15,FALSE)+VLOOKUP(A1256,'Fleet register'!$A$7:$S$106,16,FALSE),0),"n.a."))</f>
        <v>0</v>
      </c>
      <c r="S1256" s="1">
        <f>IF(NOT(Paths!$C$120=1),0,IF(Paths!$P$120="Complete",IF(C1256=0,0,Paths!$S$120*Paths!$R$120),"n.a."))</f>
        <v>0</v>
      </c>
      <c r="T1256" s="1">
        <f>IF(NOT(Paths!$C$120=1),0,IF(Paths!$P$120="Complete",IF(C1256=0,0,VLOOKUP(A1256,'Fleet register'!$A$7:$S$106,9,FALSE)*Paths!$R$120),"n.a."))</f>
        <v>0</v>
      </c>
    </row>
    <row r="1257" spans="1:20" ht="24" customHeight="1">
      <c r="A1257" s="1" t="str">
        <f>Paths!$A$120</f>
        <v>T029</v>
      </c>
      <c r="B1257" s="1">
        <f>Paths!$B$120</f>
        <v>1</v>
      </c>
      <c r="C1257" s="1">
        <v>7</v>
      </c>
      <c r="D1257" s="1">
        <v>120</v>
      </c>
      <c r="E1257" s="1">
        <f>IF(OR(Paths!$C$120=0,C1257=0),0,MAX(0,MIN(C1257*12,Paths!$E$120)-(C1257-1)*12))</f>
        <v>0</v>
      </c>
      <c r="F1257" s="1">
        <f>IF(OR(Paths!$C$120=0,C1257=0),0,12-E1257)</f>
        <v>0</v>
      </c>
      <c r="G1257" s="16">
        <f>IF(NOT(Paths!$C$120=1),0,IF(Paths!$P$120="Complete",E1257/12*(Paths!$J$120*(1+'Operating costs'!$B$51)^MAX(0,C1257-1)+Paths!$K$120*(1+'Operating costs'!$B$53)^MAX(0,C1257-1)),"n.a."))</f>
        <v>0</v>
      </c>
      <c r="H1257" s="16">
        <f>IF(NOT(Paths!$C$120=1),0,IF(Paths!$P$120="Complete",F1257/12*(Paths!$L$120*(1+IF(Paths!$D$120="EV",'Operating costs'!$B$52,'Operating costs'!$B$51))^MAX(0,C1257-1)+Paths!$M$120*(1+'Operating costs'!$B$53)^MAX(0,C1257-1)),"n.a."))</f>
        <v>0</v>
      </c>
      <c r="I1257" s="16">
        <f>IF(NOT(Paths!$C$120=1),0,IF(Paths!$P$120="Complete",IF(IF(Paths!$E$120=0,C1257=0,AND(C1257&gt;0,Paths!$E$120&gt;(C1257-1)*12,Paths!$E$120&lt;=C1257*12)),Paths!$G$120,0),"n.a."))</f>
        <v>0</v>
      </c>
      <c r="J1257" s="16">
        <f>IF(NOT(Paths!$C$120=1),0,IF(Paths!$P$120="Complete",IF(IF(Paths!$E$120=0,C1257=0,AND(C1257&gt;0,Paths!$E$120&gt;(C1257-1)*12,Paths!$E$120&lt;=C1257*12)),Paths!$H$120,0),"n.a."))</f>
        <v>0</v>
      </c>
      <c r="K1257" s="16">
        <f>IF(NOT(Paths!$C$120=1),0,IF(Paths!$P$120="Complete",IF(IF(Paths!$O$120=0,C1257=0,AND(C1257&gt;0,Paths!$O$120&gt;(C1257-1)*12,Paths!$O$120&lt;=C1257*12)),Paths!$N$120,0),"n.a."))</f>
        <v>0</v>
      </c>
      <c r="L1257" s="16">
        <f>IF(NOT(Paths!$C$120=1),0,IF(Paths!$P$120="Complete",IF(C1257=10,Paths!$I$120,0),"n.a."))</f>
        <v>0</v>
      </c>
      <c r="M1257" s="16">
        <f>IF(NOT(Paths!$C$120=1),0,IF(Paths!$P$120="Complete",IF(AND(Paths!$D$120="EV",Paths!$E$120&lt;120,Paths!$E$120+'Operating costs'!$B$65&gt;Paths!$E$120,Paths!$E$120+'Operating costs'!$B$65&lt;=120,IF(Paths!$E$120+'Operating costs'!$B$65=0,C1257=0,AND(C1257&gt;0,Paths!$E$120+'Operating costs'!$B$65&gt;(C1257-1)*12,Paths!$E$120+'Operating costs'!$B$65&lt;=C1257*12))),'Operating costs'!$B$64,0)+IF(AND('Operating costs'!$B$67&gt;0,'Operating costs'!$B$67&lt;=120,OR(Paths!$D$120="ICE",'Operating costs'!$B$67&lt;=Paths!$E$120),IF('Operating costs'!$B$67=0,C1257=0,AND(C1257&gt;0,'Operating costs'!$B$67&gt;(C1257-1)*12,'Operating costs'!$B$67&lt;=C1257*12))),'Operating costs'!$B$66,0),"n.a."))</f>
        <v>0</v>
      </c>
      <c r="N1257" s="16">
        <f>IF(NOT(Paths!$C$120=1),0,IF(Paths!$P$120="Complete",SUM(G1257:I1257)-J1257-K1257-L1257+M1257+IF(C1257=0,Paths!$F$120,0)+IF(IF(Paths!$E$120=0,C1257=0,AND(C1257&gt;0,Paths!$E$120&gt;(C1257-1)*12,Paths!$E$120&lt;=C1257*12)),VLOOKUP(A1257,'Fleet register'!$A$7:$S$106,16,FALSE),0),"n.a."))</f>
        <v>0</v>
      </c>
      <c r="O1257" s="16">
        <f>IF(NOT(Paths!$C$120=1),0,IF(Paths!$P$120="Complete",N1257-IF(C1257=0,Paths!$F$120,0),"n.a."))</f>
        <v>0</v>
      </c>
      <c r="P1257" s="16">
        <f>IF(NOT(Paths!$C$120=1),0,IF(Paths!$P$120="Complete",O1257+L1257,"n.a."))</f>
        <v>0</v>
      </c>
      <c r="Q1257" s="16">
        <f>IF(NOT(Paths!$C$120=1),0,IF(Paths!$P$120="Complete",N1257*(1+'Operating costs'!$B$54)^-C1257,"n.a."))</f>
        <v>0</v>
      </c>
      <c r="R1257" s="16">
        <f>IF(NOT(Paths!$C$120=1),0,IF(Paths!$P$120="Complete",IF(AND(C1257=0,Paths!$E$120=0),I1257-J1257-K1257+VLOOKUP(A1257,'Fleet register'!$A$7:$S$106,15,FALSE)+VLOOKUP(A1257,'Fleet register'!$A$7:$S$106,16,FALSE),0),"n.a."))</f>
        <v>0</v>
      </c>
      <c r="S1257" s="1">
        <f>IF(NOT(Paths!$C$120=1),0,IF(Paths!$P$120="Complete",IF(C1257=0,0,Paths!$S$120*Paths!$R$120),"n.a."))</f>
        <v>0</v>
      </c>
      <c r="T1257" s="1">
        <f>IF(NOT(Paths!$C$120=1),0,IF(Paths!$P$120="Complete",IF(C1257=0,0,VLOOKUP(A1257,'Fleet register'!$A$7:$S$106,9,FALSE)*Paths!$R$120),"n.a."))</f>
        <v>0</v>
      </c>
    </row>
    <row r="1258" spans="1:20" ht="24" customHeight="1">
      <c r="A1258" s="1" t="str">
        <f>Paths!$A$120</f>
        <v>T029</v>
      </c>
      <c r="B1258" s="1">
        <f>Paths!$B$120</f>
        <v>1</v>
      </c>
      <c r="C1258" s="1">
        <v>8</v>
      </c>
      <c r="D1258" s="1">
        <v>120</v>
      </c>
      <c r="E1258" s="1">
        <f>IF(OR(Paths!$C$120=0,C1258=0),0,MAX(0,MIN(C1258*12,Paths!$E$120)-(C1258-1)*12))</f>
        <v>0</v>
      </c>
      <c r="F1258" s="1">
        <f>IF(OR(Paths!$C$120=0,C1258=0),0,12-E1258)</f>
        <v>0</v>
      </c>
      <c r="G1258" s="16">
        <f>IF(NOT(Paths!$C$120=1),0,IF(Paths!$P$120="Complete",E1258/12*(Paths!$J$120*(1+'Operating costs'!$B$51)^MAX(0,C1258-1)+Paths!$K$120*(1+'Operating costs'!$B$53)^MAX(0,C1258-1)),"n.a."))</f>
        <v>0</v>
      </c>
      <c r="H1258" s="16">
        <f>IF(NOT(Paths!$C$120=1),0,IF(Paths!$P$120="Complete",F1258/12*(Paths!$L$120*(1+IF(Paths!$D$120="EV",'Operating costs'!$B$52,'Operating costs'!$B$51))^MAX(0,C1258-1)+Paths!$M$120*(1+'Operating costs'!$B$53)^MAX(0,C1258-1)),"n.a."))</f>
        <v>0</v>
      </c>
      <c r="I1258" s="16">
        <f>IF(NOT(Paths!$C$120=1),0,IF(Paths!$P$120="Complete",IF(IF(Paths!$E$120=0,C1258=0,AND(C1258&gt;0,Paths!$E$120&gt;(C1258-1)*12,Paths!$E$120&lt;=C1258*12)),Paths!$G$120,0),"n.a."))</f>
        <v>0</v>
      </c>
      <c r="J1258" s="16">
        <f>IF(NOT(Paths!$C$120=1),0,IF(Paths!$P$120="Complete",IF(IF(Paths!$E$120=0,C1258=0,AND(C1258&gt;0,Paths!$E$120&gt;(C1258-1)*12,Paths!$E$120&lt;=C1258*12)),Paths!$H$120,0),"n.a."))</f>
        <v>0</v>
      </c>
      <c r="K1258" s="16">
        <f>IF(NOT(Paths!$C$120=1),0,IF(Paths!$P$120="Complete",IF(IF(Paths!$O$120=0,C1258=0,AND(C1258&gt;0,Paths!$O$120&gt;(C1258-1)*12,Paths!$O$120&lt;=C1258*12)),Paths!$N$120,0),"n.a."))</f>
        <v>0</v>
      </c>
      <c r="L1258" s="16">
        <f>IF(NOT(Paths!$C$120=1),0,IF(Paths!$P$120="Complete",IF(C1258=10,Paths!$I$120,0),"n.a."))</f>
        <v>0</v>
      </c>
      <c r="M1258" s="16">
        <f>IF(NOT(Paths!$C$120=1),0,IF(Paths!$P$120="Complete",IF(AND(Paths!$D$120="EV",Paths!$E$120&lt;120,Paths!$E$120+'Operating costs'!$B$65&gt;Paths!$E$120,Paths!$E$120+'Operating costs'!$B$65&lt;=120,IF(Paths!$E$120+'Operating costs'!$B$65=0,C1258=0,AND(C1258&gt;0,Paths!$E$120+'Operating costs'!$B$65&gt;(C1258-1)*12,Paths!$E$120+'Operating costs'!$B$65&lt;=C1258*12))),'Operating costs'!$B$64,0)+IF(AND('Operating costs'!$B$67&gt;0,'Operating costs'!$B$67&lt;=120,OR(Paths!$D$120="ICE",'Operating costs'!$B$67&lt;=Paths!$E$120),IF('Operating costs'!$B$67=0,C1258=0,AND(C1258&gt;0,'Operating costs'!$B$67&gt;(C1258-1)*12,'Operating costs'!$B$67&lt;=C1258*12))),'Operating costs'!$B$66,0),"n.a."))</f>
        <v>0</v>
      </c>
      <c r="N1258" s="16">
        <f>IF(NOT(Paths!$C$120=1),0,IF(Paths!$P$120="Complete",SUM(G1258:I1258)-J1258-K1258-L1258+M1258+IF(C1258=0,Paths!$F$120,0)+IF(IF(Paths!$E$120=0,C1258=0,AND(C1258&gt;0,Paths!$E$120&gt;(C1258-1)*12,Paths!$E$120&lt;=C1258*12)),VLOOKUP(A1258,'Fleet register'!$A$7:$S$106,16,FALSE),0),"n.a."))</f>
        <v>0</v>
      </c>
      <c r="O1258" s="16">
        <f>IF(NOT(Paths!$C$120=1),0,IF(Paths!$P$120="Complete",N1258-IF(C1258=0,Paths!$F$120,0),"n.a."))</f>
        <v>0</v>
      </c>
      <c r="P1258" s="16">
        <f>IF(NOT(Paths!$C$120=1),0,IF(Paths!$P$120="Complete",O1258+L1258,"n.a."))</f>
        <v>0</v>
      </c>
      <c r="Q1258" s="16">
        <f>IF(NOT(Paths!$C$120=1),0,IF(Paths!$P$120="Complete",N1258*(1+'Operating costs'!$B$54)^-C1258,"n.a."))</f>
        <v>0</v>
      </c>
      <c r="R1258" s="16">
        <f>IF(NOT(Paths!$C$120=1),0,IF(Paths!$P$120="Complete",IF(AND(C1258=0,Paths!$E$120=0),I1258-J1258-K1258+VLOOKUP(A1258,'Fleet register'!$A$7:$S$106,15,FALSE)+VLOOKUP(A1258,'Fleet register'!$A$7:$S$106,16,FALSE),0),"n.a."))</f>
        <v>0</v>
      </c>
      <c r="S1258" s="1">
        <f>IF(NOT(Paths!$C$120=1),0,IF(Paths!$P$120="Complete",IF(C1258=0,0,Paths!$S$120*Paths!$R$120),"n.a."))</f>
        <v>0</v>
      </c>
      <c r="T1258" s="1">
        <f>IF(NOT(Paths!$C$120=1),0,IF(Paths!$P$120="Complete",IF(C1258=0,0,VLOOKUP(A1258,'Fleet register'!$A$7:$S$106,9,FALSE)*Paths!$R$120),"n.a."))</f>
        <v>0</v>
      </c>
    </row>
    <row r="1259" spans="1:20" ht="24" customHeight="1">
      <c r="A1259" s="1" t="str">
        <f>Paths!$A$120</f>
        <v>T029</v>
      </c>
      <c r="B1259" s="1">
        <f>Paths!$B$120</f>
        <v>1</v>
      </c>
      <c r="C1259" s="1">
        <v>9</v>
      </c>
      <c r="D1259" s="1">
        <v>120</v>
      </c>
      <c r="E1259" s="1">
        <f>IF(OR(Paths!$C$120=0,C1259=0),0,MAX(0,MIN(C1259*12,Paths!$E$120)-(C1259-1)*12))</f>
        <v>0</v>
      </c>
      <c r="F1259" s="1">
        <f>IF(OR(Paths!$C$120=0,C1259=0),0,12-E1259)</f>
        <v>0</v>
      </c>
      <c r="G1259" s="16">
        <f>IF(NOT(Paths!$C$120=1),0,IF(Paths!$P$120="Complete",E1259/12*(Paths!$J$120*(1+'Operating costs'!$B$51)^MAX(0,C1259-1)+Paths!$K$120*(1+'Operating costs'!$B$53)^MAX(0,C1259-1)),"n.a."))</f>
        <v>0</v>
      </c>
      <c r="H1259" s="16">
        <f>IF(NOT(Paths!$C$120=1),0,IF(Paths!$P$120="Complete",F1259/12*(Paths!$L$120*(1+IF(Paths!$D$120="EV",'Operating costs'!$B$52,'Operating costs'!$B$51))^MAX(0,C1259-1)+Paths!$M$120*(1+'Operating costs'!$B$53)^MAX(0,C1259-1)),"n.a."))</f>
        <v>0</v>
      </c>
      <c r="I1259" s="16">
        <f>IF(NOT(Paths!$C$120=1),0,IF(Paths!$P$120="Complete",IF(IF(Paths!$E$120=0,C1259=0,AND(C1259&gt;0,Paths!$E$120&gt;(C1259-1)*12,Paths!$E$120&lt;=C1259*12)),Paths!$G$120,0),"n.a."))</f>
        <v>0</v>
      </c>
      <c r="J1259" s="16">
        <f>IF(NOT(Paths!$C$120=1),0,IF(Paths!$P$120="Complete",IF(IF(Paths!$E$120=0,C1259=0,AND(C1259&gt;0,Paths!$E$120&gt;(C1259-1)*12,Paths!$E$120&lt;=C1259*12)),Paths!$H$120,0),"n.a."))</f>
        <v>0</v>
      </c>
      <c r="K1259" s="16">
        <f>IF(NOT(Paths!$C$120=1),0,IF(Paths!$P$120="Complete",IF(IF(Paths!$O$120=0,C1259=0,AND(C1259&gt;0,Paths!$O$120&gt;(C1259-1)*12,Paths!$O$120&lt;=C1259*12)),Paths!$N$120,0),"n.a."))</f>
        <v>0</v>
      </c>
      <c r="L1259" s="16">
        <f>IF(NOT(Paths!$C$120=1),0,IF(Paths!$P$120="Complete",IF(C1259=10,Paths!$I$120,0),"n.a."))</f>
        <v>0</v>
      </c>
      <c r="M1259" s="16">
        <f>IF(NOT(Paths!$C$120=1),0,IF(Paths!$P$120="Complete",IF(AND(Paths!$D$120="EV",Paths!$E$120&lt;120,Paths!$E$120+'Operating costs'!$B$65&gt;Paths!$E$120,Paths!$E$120+'Operating costs'!$B$65&lt;=120,IF(Paths!$E$120+'Operating costs'!$B$65=0,C1259=0,AND(C1259&gt;0,Paths!$E$120+'Operating costs'!$B$65&gt;(C1259-1)*12,Paths!$E$120+'Operating costs'!$B$65&lt;=C1259*12))),'Operating costs'!$B$64,0)+IF(AND('Operating costs'!$B$67&gt;0,'Operating costs'!$B$67&lt;=120,OR(Paths!$D$120="ICE",'Operating costs'!$B$67&lt;=Paths!$E$120),IF('Operating costs'!$B$67=0,C1259=0,AND(C1259&gt;0,'Operating costs'!$B$67&gt;(C1259-1)*12,'Operating costs'!$B$67&lt;=C1259*12))),'Operating costs'!$B$66,0),"n.a."))</f>
        <v>0</v>
      </c>
      <c r="N1259" s="16">
        <f>IF(NOT(Paths!$C$120=1),0,IF(Paths!$P$120="Complete",SUM(G1259:I1259)-J1259-K1259-L1259+M1259+IF(C1259=0,Paths!$F$120,0)+IF(IF(Paths!$E$120=0,C1259=0,AND(C1259&gt;0,Paths!$E$120&gt;(C1259-1)*12,Paths!$E$120&lt;=C1259*12)),VLOOKUP(A1259,'Fleet register'!$A$7:$S$106,16,FALSE),0),"n.a."))</f>
        <v>0</v>
      </c>
      <c r="O1259" s="16">
        <f>IF(NOT(Paths!$C$120=1),0,IF(Paths!$P$120="Complete",N1259-IF(C1259=0,Paths!$F$120,0),"n.a."))</f>
        <v>0</v>
      </c>
      <c r="P1259" s="16">
        <f>IF(NOT(Paths!$C$120=1),0,IF(Paths!$P$120="Complete",O1259+L1259,"n.a."))</f>
        <v>0</v>
      </c>
      <c r="Q1259" s="16">
        <f>IF(NOT(Paths!$C$120=1),0,IF(Paths!$P$120="Complete",N1259*(1+'Operating costs'!$B$54)^-C1259,"n.a."))</f>
        <v>0</v>
      </c>
      <c r="R1259" s="16">
        <f>IF(NOT(Paths!$C$120=1),0,IF(Paths!$P$120="Complete",IF(AND(C1259=0,Paths!$E$120=0),I1259-J1259-K1259+VLOOKUP(A1259,'Fleet register'!$A$7:$S$106,15,FALSE)+VLOOKUP(A1259,'Fleet register'!$A$7:$S$106,16,FALSE),0),"n.a."))</f>
        <v>0</v>
      </c>
      <c r="S1259" s="1">
        <f>IF(NOT(Paths!$C$120=1),0,IF(Paths!$P$120="Complete",IF(C1259=0,0,Paths!$S$120*Paths!$R$120),"n.a."))</f>
        <v>0</v>
      </c>
      <c r="T1259" s="1">
        <f>IF(NOT(Paths!$C$120=1),0,IF(Paths!$P$120="Complete",IF(C1259=0,0,VLOOKUP(A1259,'Fleet register'!$A$7:$S$106,9,FALSE)*Paths!$R$120),"n.a."))</f>
        <v>0</v>
      </c>
    </row>
    <row r="1260" spans="1:20" ht="24" customHeight="1">
      <c r="A1260" s="1" t="str">
        <f>Paths!$A$120</f>
        <v>T029</v>
      </c>
      <c r="B1260" s="1">
        <f>Paths!$B$120</f>
        <v>1</v>
      </c>
      <c r="C1260" s="1">
        <v>10</v>
      </c>
      <c r="D1260" s="1">
        <v>120</v>
      </c>
      <c r="E1260" s="1">
        <f>IF(OR(Paths!$C$120=0,C1260=0),0,MAX(0,MIN(C1260*12,Paths!$E$120)-(C1260-1)*12))</f>
        <v>0</v>
      </c>
      <c r="F1260" s="1">
        <f>IF(OR(Paths!$C$120=0,C1260=0),0,12-E1260)</f>
        <v>0</v>
      </c>
      <c r="G1260" s="16">
        <f>IF(NOT(Paths!$C$120=1),0,IF(Paths!$P$120="Complete",E1260/12*(Paths!$J$120*(1+'Operating costs'!$B$51)^MAX(0,C1260-1)+Paths!$K$120*(1+'Operating costs'!$B$53)^MAX(0,C1260-1)),"n.a."))</f>
        <v>0</v>
      </c>
      <c r="H1260" s="16">
        <f>IF(NOT(Paths!$C$120=1),0,IF(Paths!$P$120="Complete",F1260/12*(Paths!$L$120*(1+IF(Paths!$D$120="EV",'Operating costs'!$B$52,'Operating costs'!$B$51))^MAX(0,C1260-1)+Paths!$M$120*(1+'Operating costs'!$B$53)^MAX(0,C1260-1)),"n.a."))</f>
        <v>0</v>
      </c>
      <c r="I1260" s="16">
        <f>IF(NOT(Paths!$C$120=1),0,IF(Paths!$P$120="Complete",IF(IF(Paths!$E$120=0,C1260=0,AND(C1260&gt;0,Paths!$E$120&gt;(C1260-1)*12,Paths!$E$120&lt;=C1260*12)),Paths!$G$120,0),"n.a."))</f>
        <v>0</v>
      </c>
      <c r="J1260" s="16">
        <f>IF(NOT(Paths!$C$120=1),0,IF(Paths!$P$120="Complete",IF(IF(Paths!$E$120=0,C1260=0,AND(C1260&gt;0,Paths!$E$120&gt;(C1260-1)*12,Paths!$E$120&lt;=C1260*12)),Paths!$H$120,0),"n.a."))</f>
        <v>0</v>
      </c>
      <c r="K1260" s="16">
        <f>IF(NOT(Paths!$C$120=1),0,IF(Paths!$P$120="Complete",IF(IF(Paths!$O$120=0,C1260=0,AND(C1260&gt;0,Paths!$O$120&gt;(C1260-1)*12,Paths!$O$120&lt;=C1260*12)),Paths!$N$120,0),"n.a."))</f>
        <v>0</v>
      </c>
      <c r="L1260" s="16">
        <f>IF(NOT(Paths!$C$120=1),0,IF(Paths!$P$120="Complete",IF(C1260=10,Paths!$I$120,0),"n.a."))</f>
        <v>0</v>
      </c>
      <c r="M1260" s="16">
        <f>IF(NOT(Paths!$C$120=1),0,IF(Paths!$P$120="Complete",IF(AND(Paths!$D$120="EV",Paths!$E$120&lt;120,Paths!$E$120+'Operating costs'!$B$65&gt;Paths!$E$120,Paths!$E$120+'Operating costs'!$B$65&lt;=120,IF(Paths!$E$120+'Operating costs'!$B$65=0,C1260=0,AND(C1260&gt;0,Paths!$E$120+'Operating costs'!$B$65&gt;(C1260-1)*12,Paths!$E$120+'Operating costs'!$B$65&lt;=C1260*12))),'Operating costs'!$B$64,0)+IF(AND('Operating costs'!$B$67&gt;0,'Operating costs'!$B$67&lt;=120,OR(Paths!$D$120="ICE",'Operating costs'!$B$67&lt;=Paths!$E$120),IF('Operating costs'!$B$67=0,C1260=0,AND(C1260&gt;0,'Operating costs'!$B$67&gt;(C1260-1)*12,'Operating costs'!$B$67&lt;=C1260*12))),'Operating costs'!$B$66,0),"n.a."))</f>
        <v>0</v>
      </c>
      <c r="N1260" s="16">
        <f>IF(NOT(Paths!$C$120=1),0,IF(Paths!$P$120="Complete",SUM(G1260:I1260)-J1260-K1260-L1260+M1260+IF(C1260=0,Paths!$F$120,0)+IF(IF(Paths!$E$120=0,C1260=0,AND(C1260&gt;0,Paths!$E$120&gt;(C1260-1)*12,Paths!$E$120&lt;=C1260*12)),VLOOKUP(A1260,'Fleet register'!$A$7:$S$106,16,FALSE),0),"n.a."))</f>
        <v>0</v>
      </c>
      <c r="O1260" s="16">
        <f>IF(NOT(Paths!$C$120=1),0,IF(Paths!$P$120="Complete",N1260-IF(C1260=0,Paths!$F$120,0),"n.a."))</f>
        <v>0</v>
      </c>
      <c r="P1260" s="16">
        <f>IF(NOT(Paths!$C$120=1),0,IF(Paths!$P$120="Complete",O1260+L1260,"n.a."))</f>
        <v>0</v>
      </c>
      <c r="Q1260" s="16">
        <f>IF(NOT(Paths!$C$120=1),0,IF(Paths!$P$120="Complete",N1260*(1+'Operating costs'!$B$54)^-C1260,"n.a."))</f>
        <v>0</v>
      </c>
      <c r="R1260" s="16">
        <f>IF(NOT(Paths!$C$120=1),0,IF(Paths!$P$120="Complete",IF(AND(C1260=0,Paths!$E$120=0),I1260-J1260-K1260+VLOOKUP(A1260,'Fleet register'!$A$7:$S$106,15,FALSE)+VLOOKUP(A1260,'Fleet register'!$A$7:$S$106,16,FALSE),0),"n.a."))</f>
        <v>0</v>
      </c>
      <c r="S1260" s="1">
        <f>IF(NOT(Paths!$C$120=1),0,IF(Paths!$P$120="Complete",IF(C1260=0,0,Paths!$S$120*Paths!$R$120),"n.a."))</f>
        <v>0</v>
      </c>
      <c r="T1260" s="1">
        <f>IF(NOT(Paths!$C$120=1),0,IF(Paths!$P$120="Complete",IF(C1260=0,0,VLOOKUP(A1260,'Fleet register'!$A$7:$S$106,9,FALSE)*Paths!$R$120),"n.a."))</f>
        <v>0</v>
      </c>
    </row>
    <row r="1261" spans="1:20" ht="24" customHeight="1">
      <c r="A1261" s="1" t="str">
        <f>Paths!$A$121</f>
        <v>T029</v>
      </c>
      <c r="B1261" s="1">
        <f>Paths!$B$121</f>
        <v>2</v>
      </c>
      <c r="C1261" s="1">
        <v>0</v>
      </c>
      <c r="D1261" s="1">
        <v>121</v>
      </c>
      <c r="E1261" s="1">
        <f>IF(OR(Paths!$C$121=0,C1261=0),0,MAX(0,MIN(C1261*12,Paths!$E$121)-(C1261-1)*12))</f>
        <v>0</v>
      </c>
      <c r="F1261" s="1">
        <f>IF(OR(Paths!$C$121=0,C1261=0),0,12-E1261)</f>
        <v>0</v>
      </c>
      <c r="G1261" s="16">
        <f>IF(NOT(Paths!$C$121=1),0,IF(Paths!$P$121="Complete",E1261/12*(Paths!$J$121*(1+'Operating costs'!$B$51)^MAX(0,C1261-1)+Paths!$K$121*(1+'Operating costs'!$B$53)^MAX(0,C1261-1)),"n.a."))</f>
        <v>0</v>
      </c>
      <c r="H1261" s="16">
        <f>IF(NOT(Paths!$C$121=1),0,IF(Paths!$P$121="Complete",F1261/12*(Paths!$L$121*(1+IF(Paths!$D$121="EV",'Operating costs'!$B$52,'Operating costs'!$B$51))^MAX(0,C1261-1)+Paths!$M$121*(1+'Operating costs'!$B$53)^MAX(0,C1261-1)),"n.a."))</f>
        <v>0</v>
      </c>
      <c r="I1261" s="16">
        <f>IF(NOT(Paths!$C$121=1),0,IF(Paths!$P$121="Complete",IF(IF(Paths!$E$121=0,C1261=0,AND(C1261&gt;0,Paths!$E$121&gt;(C1261-1)*12,Paths!$E$121&lt;=C1261*12)),Paths!$G$121,0),"n.a."))</f>
        <v>0</v>
      </c>
      <c r="J1261" s="16">
        <f>IF(NOT(Paths!$C$121=1),0,IF(Paths!$P$121="Complete",IF(IF(Paths!$E$121=0,C1261=0,AND(C1261&gt;0,Paths!$E$121&gt;(C1261-1)*12,Paths!$E$121&lt;=C1261*12)),Paths!$H$121,0),"n.a."))</f>
        <v>0</v>
      </c>
      <c r="K1261" s="16">
        <f>IF(NOT(Paths!$C$121=1),0,IF(Paths!$P$121="Complete",IF(IF(Paths!$O$121=0,C1261=0,AND(C1261&gt;0,Paths!$O$121&gt;(C1261-1)*12,Paths!$O$121&lt;=C1261*12)),Paths!$N$121,0),"n.a."))</f>
        <v>0</v>
      </c>
      <c r="L1261" s="16">
        <f>IF(NOT(Paths!$C$121=1),0,IF(Paths!$P$121="Complete",IF(C1261=10,Paths!$I$121,0),"n.a."))</f>
        <v>0</v>
      </c>
      <c r="M1261" s="16">
        <f>IF(NOT(Paths!$C$121=1),0,IF(Paths!$P$121="Complete",IF(AND(Paths!$D$121="EV",Paths!$E$121&lt;120,Paths!$E$121+'Operating costs'!$B$65&gt;Paths!$E$121,Paths!$E$121+'Operating costs'!$B$65&lt;=120,IF(Paths!$E$121+'Operating costs'!$B$65=0,C1261=0,AND(C1261&gt;0,Paths!$E$121+'Operating costs'!$B$65&gt;(C1261-1)*12,Paths!$E$121+'Operating costs'!$B$65&lt;=C1261*12))),'Operating costs'!$B$64,0)+IF(AND('Operating costs'!$B$67&gt;0,'Operating costs'!$B$67&lt;=120,OR(Paths!$D$121="ICE",'Operating costs'!$B$67&lt;=Paths!$E$121),IF('Operating costs'!$B$67=0,C1261=0,AND(C1261&gt;0,'Operating costs'!$B$67&gt;(C1261-1)*12,'Operating costs'!$B$67&lt;=C1261*12))),'Operating costs'!$B$66,0),"n.a."))</f>
        <v>0</v>
      </c>
      <c r="N1261" s="16">
        <f>IF(NOT(Paths!$C$121=1),0,IF(Paths!$P$121="Complete",SUM(G1261:I1261)-J1261-K1261-L1261+M1261+IF(C1261=0,Paths!$F$121,0)+IF(IF(Paths!$E$121=0,C1261=0,AND(C1261&gt;0,Paths!$E$121&gt;(C1261-1)*12,Paths!$E$121&lt;=C1261*12)),VLOOKUP(A1261,'Fleet register'!$A$7:$S$106,16,FALSE),0),"n.a."))</f>
        <v>0</v>
      </c>
      <c r="O1261" s="16">
        <f>IF(NOT(Paths!$C$121=1),0,IF(Paths!$P$121="Complete",N1261-IF(C1261=0,Paths!$F$121,0),"n.a."))</f>
        <v>0</v>
      </c>
      <c r="P1261" s="16">
        <f>IF(NOT(Paths!$C$121=1),0,IF(Paths!$P$121="Complete",O1261+L1261,"n.a."))</f>
        <v>0</v>
      </c>
      <c r="Q1261" s="16">
        <f>IF(NOT(Paths!$C$121=1),0,IF(Paths!$P$121="Complete",N1261*(1+'Operating costs'!$B$54)^-C1261,"n.a."))</f>
        <v>0</v>
      </c>
      <c r="R1261" s="16">
        <f>IF(NOT(Paths!$C$121=1),0,IF(Paths!$P$121="Complete",IF(AND(C1261=0,Paths!$E$121=0),I1261-J1261-K1261+VLOOKUP(A1261,'Fleet register'!$A$7:$S$106,15,FALSE)+VLOOKUP(A1261,'Fleet register'!$A$7:$S$106,16,FALSE),0),"n.a."))</f>
        <v>0</v>
      </c>
      <c r="S1261" s="1">
        <f>IF(NOT(Paths!$C$121=1),0,IF(Paths!$P$121="Complete",IF(C1261=0,0,Paths!$S$121*Paths!$R$121),"n.a."))</f>
        <v>0</v>
      </c>
      <c r="T1261" s="1">
        <f>IF(NOT(Paths!$C$121=1),0,IF(Paths!$P$121="Complete",IF(C1261=0,0,VLOOKUP(A1261,'Fleet register'!$A$7:$S$106,9,FALSE)*Paths!$R$121),"n.a."))</f>
        <v>0</v>
      </c>
    </row>
    <row r="1262" spans="1:20" ht="24" customHeight="1">
      <c r="A1262" s="1" t="str">
        <f>Paths!$A$121</f>
        <v>T029</v>
      </c>
      <c r="B1262" s="1">
        <f>Paths!$B$121</f>
        <v>2</v>
      </c>
      <c r="C1262" s="1">
        <v>1</v>
      </c>
      <c r="D1262" s="1">
        <v>121</v>
      </c>
      <c r="E1262" s="1">
        <f>IF(OR(Paths!$C$121=0,C1262=0),0,MAX(0,MIN(C1262*12,Paths!$E$121)-(C1262-1)*12))</f>
        <v>0</v>
      </c>
      <c r="F1262" s="1">
        <f>IF(OR(Paths!$C$121=0,C1262=0),0,12-E1262)</f>
        <v>0</v>
      </c>
      <c r="G1262" s="16">
        <f>IF(NOT(Paths!$C$121=1),0,IF(Paths!$P$121="Complete",E1262/12*(Paths!$J$121*(1+'Operating costs'!$B$51)^MAX(0,C1262-1)+Paths!$K$121*(1+'Operating costs'!$B$53)^MAX(0,C1262-1)),"n.a."))</f>
        <v>0</v>
      </c>
      <c r="H1262" s="16">
        <f>IF(NOT(Paths!$C$121=1),0,IF(Paths!$P$121="Complete",F1262/12*(Paths!$L$121*(1+IF(Paths!$D$121="EV",'Operating costs'!$B$52,'Operating costs'!$B$51))^MAX(0,C1262-1)+Paths!$M$121*(1+'Operating costs'!$B$53)^MAX(0,C1262-1)),"n.a."))</f>
        <v>0</v>
      </c>
      <c r="I1262" s="16">
        <f>IF(NOT(Paths!$C$121=1),0,IF(Paths!$P$121="Complete",IF(IF(Paths!$E$121=0,C1262=0,AND(C1262&gt;0,Paths!$E$121&gt;(C1262-1)*12,Paths!$E$121&lt;=C1262*12)),Paths!$G$121,0),"n.a."))</f>
        <v>0</v>
      </c>
      <c r="J1262" s="16">
        <f>IF(NOT(Paths!$C$121=1),0,IF(Paths!$P$121="Complete",IF(IF(Paths!$E$121=0,C1262=0,AND(C1262&gt;0,Paths!$E$121&gt;(C1262-1)*12,Paths!$E$121&lt;=C1262*12)),Paths!$H$121,0),"n.a."))</f>
        <v>0</v>
      </c>
      <c r="K1262" s="16">
        <f>IF(NOT(Paths!$C$121=1),0,IF(Paths!$P$121="Complete",IF(IF(Paths!$O$121=0,C1262=0,AND(C1262&gt;0,Paths!$O$121&gt;(C1262-1)*12,Paths!$O$121&lt;=C1262*12)),Paths!$N$121,0),"n.a."))</f>
        <v>0</v>
      </c>
      <c r="L1262" s="16">
        <f>IF(NOT(Paths!$C$121=1),0,IF(Paths!$P$121="Complete",IF(C1262=10,Paths!$I$121,0),"n.a."))</f>
        <v>0</v>
      </c>
      <c r="M1262" s="16">
        <f>IF(NOT(Paths!$C$121=1),0,IF(Paths!$P$121="Complete",IF(AND(Paths!$D$121="EV",Paths!$E$121&lt;120,Paths!$E$121+'Operating costs'!$B$65&gt;Paths!$E$121,Paths!$E$121+'Operating costs'!$B$65&lt;=120,IF(Paths!$E$121+'Operating costs'!$B$65=0,C1262=0,AND(C1262&gt;0,Paths!$E$121+'Operating costs'!$B$65&gt;(C1262-1)*12,Paths!$E$121+'Operating costs'!$B$65&lt;=C1262*12))),'Operating costs'!$B$64,0)+IF(AND('Operating costs'!$B$67&gt;0,'Operating costs'!$B$67&lt;=120,OR(Paths!$D$121="ICE",'Operating costs'!$B$67&lt;=Paths!$E$121),IF('Operating costs'!$B$67=0,C1262=0,AND(C1262&gt;0,'Operating costs'!$B$67&gt;(C1262-1)*12,'Operating costs'!$B$67&lt;=C1262*12))),'Operating costs'!$B$66,0),"n.a."))</f>
        <v>0</v>
      </c>
      <c r="N1262" s="16">
        <f>IF(NOT(Paths!$C$121=1),0,IF(Paths!$P$121="Complete",SUM(G1262:I1262)-J1262-K1262-L1262+M1262+IF(C1262=0,Paths!$F$121,0)+IF(IF(Paths!$E$121=0,C1262=0,AND(C1262&gt;0,Paths!$E$121&gt;(C1262-1)*12,Paths!$E$121&lt;=C1262*12)),VLOOKUP(A1262,'Fleet register'!$A$7:$S$106,16,FALSE),0),"n.a."))</f>
        <v>0</v>
      </c>
      <c r="O1262" s="16">
        <f>IF(NOT(Paths!$C$121=1),0,IF(Paths!$P$121="Complete",N1262-IF(C1262=0,Paths!$F$121,0),"n.a."))</f>
        <v>0</v>
      </c>
      <c r="P1262" s="16">
        <f>IF(NOT(Paths!$C$121=1),0,IF(Paths!$P$121="Complete",O1262+L1262,"n.a."))</f>
        <v>0</v>
      </c>
      <c r="Q1262" s="16">
        <f>IF(NOT(Paths!$C$121=1),0,IF(Paths!$P$121="Complete",N1262*(1+'Operating costs'!$B$54)^-C1262,"n.a."))</f>
        <v>0</v>
      </c>
      <c r="R1262" s="16">
        <f>IF(NOT(Paths!$C$121=1),0,IF(Paths!$P$121="Complete",IF(AND(C1262=0,Paths!$E$121=0),I1262-J1262-K1262+VLOOKUP(A1262,'Fleet register'!$A$7:$S$106,15,FALSE)+VLOOKUP(A1262,'Fleet register'!$A$7:$S$106,16,FALSE),0),"n.a."))</f>
        <v>0</v>
      </c>
      <c r="S1262" s="1">
        <f>IF(NOT(Paths!$C$121=1),0,IF(Paths!$P$121="Complete",IF(C1262=0,0,Paths!$S$121*Paths!$R$121),"n.a."))</f>
        <v>0</v>
      </c>
      <c r="T1262" s="1">
        <f>IF(NOT(Paths!$C$121=1),0,IF(Paths!$P$121="Complete",IF(C1262=0,0,VLOOKUP(A1262,'Fleet register'!$A$7:$S$106,9,FALSE)*Paths!$R$121),"n.a."))</f>
        <v>0</v>
      </c>
    </row>
    <row r="1263" spans="1:20" ht="24" customHeight="1">
      <c r="A1263" s="1" t="str">
        <f>Paths!$A$121</f>
        <v>T029</v>
      </c>
      <c r="B1263" s="1">
        <f>Paths!$B$121</f>
        <v>2</v>
      </c>
      <c r="C1263" s="1">
        <v>2</v>
      </c>
      <c r="D1263" s="1">
        <v>121</v>
      </c>
      <c r="E1263" s="1">
        <f>IF(OR(Paths!$C$121=0,C1263=0),0,MAX(0,MIN(C1263*12,Paths!$E$121)-(C1263-1)*12))</f>
        <v>0</v>
      </c>
      <c r="F1263" s="1">
        <f>IF(OR(Paths!$C$121=0,C1263=0),0,12-E1263)</f>
        <v>0</v>
      </c>
      <c r="G1263" s="16">
        <f>IF(NOT(Paths!$C$121=1),0,IF(Paths!$P$121="Complete",E1263/12*(Paths!$J$121*(1+'Operating costs'!$B$51)^MAX(0,C1263-1)+Paths!$K$121*(1+'Operating costs'!$B$53)^MAX(0,C1263-1)),"n.a."))</f>
        <v>0</v>
      </c>
      <c r="H1263" s="16">
        <f>IF(NOT(Paths!$C$121=1),0,IF(Paths!$P$121="Complete",F1263/12*(Paths!$L$121*(1+IF(Paths!$D$121="EV",'Operating costs'!$B$52,'Operating costs'!$B$51))^MAX(0,C1263-1)+Paths!$M$121*(1+'Operating costs'!$B$53)^MAX(0,C1263-1)),"n.a."))</f>
        <v>0</v>
      </c>
      <c r="I1263" s="16">
        <f>IF(NOT(Paths!$C$121=1),0,IF(Paths!$P$121="Complete",IF(IF(Paths!$E$121=0,C1263=0,AND(C1263&gt;0,Paths!$E$121&gt;(C1263-1)*12,Paths!$E$121&lt;=C1263*12)),Paths!$G$121,0),"n.a."))</f>
        <v>0</v>
      </c>
      <c r="J1263" s="16">
        <f>IF(NOT(Paths!$C$121=1),0,IF(Paths!$P$121="Complete",IF(IF(Paths!$E$121=0,C1263=0,AND(C1263&gt;0,Paths!$E$121&gt;(C1263-1)*12,Paths!$E$121&lt;=C1263*12)),Paths!$H$121,0),"n.a."))</f>
        <v>0</v>
      </c>
      <c r="K1263" s="16">
        <f>IF(NOT(Paths!$C$121=1),0,IF(Paths!$P$121="Complete",IF(IF(Paths!$O$121=0,C1263=0,AND(C1263&gt;0,Paths!$O$121&gt;(C1263-1)*12,Paths!$O$121&lt;=C1263*12)),Paths!$N$121,0),"n.a."))</f>
        <v>0</v>
      </c>
      <c r="L1263" s="16">
        <f>IF(NOT(Paths!$C$121=1),0,IF(Paths!$P$121="Complete",IF(C1263=10,Paths!$I$121,0),"n.a."))</f>
        <v>0</v>
      </c>
      <c r="M1263" s="16">
        <f>IF(NOT(Paths!$C$121=1),0,IF(Paths!$P$121="Complete",IF(AND(Paths!$D$121="EV",Paths!$E$121&lt;120,Paths!$E$121+'Operating costs'!$B$65&gt;Paths!$E$121,Paths!$E$121+'Operating costs'!$B$65&lt;=120,IF(Paths!$E$121+'Operating costs'!$B$65=0,C1263=0,AND(C1263&gt;0,Paths!$E$121+'Operating costs'!$B$65&gt;(C1263-1)*12,Paths!$E$121+'Operating costs'!$B$65&lt;=C1263*12))),'Operating costs'!$B$64,0)+IF(AND('Operating costs'!$B$67&gt;0,'Operating costs'!$B$67&lt;=120,OR(Paths!$D$121="ICE",'Operating costs'!$B$67&lt;=Paths!$E$121),IF('Operating costs'!$B$67=0,C1263=0,AND(C1263&gt;0,'Operating costs'!$B$67&gt;(C1263-1)*12,'Operating costs'!$B$67&lt;=C1263*12))),'Operating costs'!$B$66,0),"n.a."))</f>
        <v>0</v>
      </c>
      <c r="N1263" s="16">
        <f>IF(NOT(Paths!$C$121=1),0,IF(Paths!$P$121="Complete",SUM(G1263:I1263)-J1263-K1263-L1263+M1263+IF(C1263=0,Paths!$F$121,0)+IF(IF(Paths!$E$121=0,C1263=0,AND(C1263&gt;0,Paths!$E$121&gt;(C1263-1)*12,Paths!$E$121&lt;=C1263*12)),VLOOKUP(A1263,'Fleet register'!$A$7:$S$106,16,FALSE),0),"n.a."))</f>
        <v>0</v>
      </c>
      <c r="O1263" s="16">
        <f>IF(NOT(Paths!$C$121=1),0,IF(Paths!$P$121="Complete",N1263-IF(C1263=0,Paths!$F$121,0),"n.a."))</f>
        <v>0</v>
      </c>
      <c r="P1263" s="16">
        <f>IF(NOT(Paths!$C$121=1),0,IF(Paths!$P$121="Complete",O1263+L1263,"n.a."))</f>
        <v>0</v>
      </c>
      <c r="Q1263" s="16">
        <f>IF(NOT(Paths!$C$121=1),0,IF(Paths!$P$121="Complete",N1263*(1+'Operating costs'!$B$54)^-C1263,"n.a."))</f>
        <v>0</v>
      </c>
      <c r="R1263" s="16">
        <f>IF(NOT(Paths!$C$121=1),0,IF(Paths!$P$121="Complete",IF(AND(C1263=0,Paths!$E$121=0),I1263-J1263-K1263+VLOOKUP(A1263,'Fleet register'!$A$7:$S$106,15,FALSE)+VLOOKUP(A1263,'Fleet register'!$A$7:$S$106,16,FALSE),0),"n.a."))</f>
        <v>0</v>
      </c>
      <c r="S1263" s="1">
        <f>IF(NOT(Paths!$C$121=1),0,IF(Paths!$P$121="Complete",IF(C1263=0,0,Paths!$S$121*Paths!$R$121),"n.a."))</f>
        <v>0</v>
      </c>
      <c r="T1263" s="1">
        <f>IF(NOT(Paths!$C$121=1),0,IF(Paths!$P$121="Complete",IF(C1263=0,0,VLOOKUP(A1263,'Fleet register'!$A$7:$S$106,9,FALSE)*Paths!$R$121),"n.a."))</f>
        <v>0</v>
      </c>
    </row>
    <row r="1264" spans="1:20" ht="24" customHeight="1">
      <c r="A1264" s="1" t="str">
        <f>Paths!$A$121</f>
        <v>T029</v>
      </c>
      <c r="B1264" s="1">
        <f>Paths!$B$121</f>
        <v>2</v>
      </c>
      <c r="C1264" s="1">
        <v>3</v>
      </c>
      <c r="D1264" s="1">
        <v>121</v>
      </c>
      <c r="E1264" s="1">
        <f>IF(OR(Paths!$C$121=0,C1264=0),0,MAX(0,MIN(C1264*12,Paths!$E$121)-(C1264-1)*12))</f>
        <v>0</v>
      </c>
      <c r="F1264" s="1">
        <f>IF(OR(Paths!$C$121=0,C1264=0),0,12-E1264)</f>
        <v>0</v>
      </c>
      <c r="G1264" s="16">
        <f>IF(NOT(Paths!$C$121=1),0,IF(Paths!$P$121="Complete",E1264/12*(Paths!$J$121*(1+'Operating costs'!$B$51)^MAX(0,C1264-1)+Paths!$K$121*(1+'Operating costs'!$B$53)^MAX(0,C1264-1)),"n.a."))</f>
        <v>0</v>
      </c>
      <c r="H1264" s="16">
        <f>IF(NOT(Paths!$C$121=1),0,IF(Paths!$P$121="Complete",F1264/12*(Paths!$L$121*(1+IF(Paths!$D$121="EV",'Operating costs'!$B$52,'Operating costs'!$B$51))^MAX(0,C1264-1)+Paths!$M$121*(1+'Operating costs'!$B$53)^MAX(0,C1264-1)),"n.a."))</f>
        <v>0</v>
      </c>
      <c r="I1264" s="16">
        <f>IF(NOT(Paths!$C$121=1),0,IF(Paths!$P$121="Complete",IF(IF(Paths!$E$121=0,C1264=0,AND(C1264&gt;0,Paths!$E$121&gt;(C1264-1)*12,Paths!$E$121&lt;=C1264*12)),Paths!$G$121,0),"n.a."))</f>
        <v>0</v>
      </c>
      <c r="J1264" s="16">
        <f>IF(NOT(Paths!$C$121=1),0,IF(Paths!$P$121="Complete",IF(IF(Paths!$E$121=0,C1264=0,AND(C1264&gt;0,Paths!$E$121&gt;(C1264-1)*12,Paths!$E$121&lt;=C1264*12)),Paths!$H$121,0),"n.a."))</f>
        <v>0</v>
      </c>
      <c r="K1264" s="16">
        <f>IF(NOT(Paths!$C$121=1),0,IF(Paths!$P$121="Complete",IF(IF(Paths!$O$121=0,C1264=0,AND(C1264&gt;0,Paths!$O$121&gt;(C1264-1)*12,Paths!$O$121&lt;=C1264*12)),Paths!$N$121,0),"n.a."))</f>
        <v>0</v>
      </c>
      <c r="L1264" s="16">
        <f>IF(NOT(Paths!$C$121=1),0,IF(Paths!$P$121="Complete",IF(C1264=10,Paths!$I$121,0),"n.a."))</f>
        <v>0</v>
      </c>
      <c r="M1264" s="16">
        <f>IF(NOT(Paths!$C$121=1),0,IF(Paths!$P$121="Complete",IF(AND(Paths!$D$121="EV",Paths!$E$121&lt;120,Paths!$E$121+'Operating costs'!$B$65&gt;Paths!$E$121,Paths!$E$121+'Operating costs'!$B$65&lt;=120,IF(Paths!$E$121+'Operating costs'!$B$65=0,C1264=0,AND(C1264&gt;0,Paths!$E$121+'Operating costs'!$B$65&gt;(C1264-1)*12,Paths!$E$121+'Operating costs'!$B$65&lt;=C1264*12))),'Operating costs'!$B$64,0)+IF(AND('Operating costs'!$B$67&gt;0,'Operating costs'!$B$67&lt;=120,OR(Paths!$D$121="ICE",'Operating costs'!$B$67&lt;=Paths!$E$121),IF('Operating costs'!$B$67=0,C1264=0,AND(C1264&gt;0,'Operating costs'!$B$67&gt;(C1264-1)*12,'Operating costs'!$B$67&lt;=C1264*12))),'Operating costs'!$B$66,0),"n.a."))</f>
        <v>0</v>
      </c>
      <c r="N1264" s="16">
        <f>IF(NOT(Paths!$C$121=1),0,IF(Paths!$P$121="Complete",SUM(G1264:I1264)-J1264-K1264-L1264+M1264+IF(C1264=0,Paths!$F$121,0)+IF(IF(Paths!$E$121=0,C1264=0,AND(C1264&gt;0,Paths!$E$121&gt;(C1264-1)*12,Paths!$E$121&lt;=C1264*12)),VLOOKUP(A1264,'Fleet register'!$A$7:$S$106,16,FALSE),0),"n.a."))</f>
        <v>0</v>
      </c>
      <c r="O1264" s="16">
        <f>IF(NOT(Paths!$C$121=1),0,IF(Paths!$P$121="Complete",N1264-IF(C1264=0,Paths!$F$121,0),"n.a."))</f>
        <v>0</v>
      </c>
      <c r="P1264" s="16">
        <f>IF(NOT(Paths!$C$121=1),0,IF(Paths!$P$121="Complete",O1264+L1264,"n.a."))</f>
        <v>0</v>
      </c>
      <c r="Q1264" s="16">
        <f>IF(NOT(Paths!$C$121=1),0,IF(Paths!$P$121="Complete",N1264*(1+'Operating costs'!$B$54)^-C1264,"n.a."))</f>
        <v>0</v>
      </c>
      <c r="R1264" s="16">
        <f>IF(NOT(Paths!$C$121=1),0,IF(Paths!$P$121="Complete",IF(AND(C1264=0,Paths!$E$121=0),I1264-J1264-K1264+VLOOKUP(A1264,'Fleet register'!$A$7:$S$106,15,FALSE)+VLOOKUP(A1264,'Fleet register'!$A$7:$S$106,16,FALSE),0),"n.a."))</f>
        <v>0</v>
      </c>
      <c r="S1264" s="1">
        <f>IF(NOT(Paths!$C$121=1),0,IF(Paths!$P$121="Complete",IF(C1264=0,0,Paths!$S$121*Paths!$R$121),"n.a."))</f>
        <v>0</v>
      </c>
      <c r="T1264" s="1">
        <f>IF(NOT(Paths!$C$121=1),0,IF(Paths!$P$121="Complete",IF(C1264=0,0,VLOOKUP(A1264,'Fleet register'!$A$7:$S$106,9,FALSE)*Paths!$R$121),"n.a."))</f>
        <v>0</v>
      </c>
    </row>
    <row r="1265" spans="1:20" ht="24" customHeight="1">
      <c r="A1265" s="1" t="str">
        <f>Paths!$A$121</f>
        <v>T029</v>
      </c>
      <c r="B1265" s="1">
        <f>Paths!$B$121</f>
        <v>2</v>
      </c>
      <c r="C1265" s="1">
        <v>4</v>
      </c>
      <c r="D1265" s="1">
        <v>121</v>
      </c>
      <c r="E1265" s="1">
        <f>IF(OR(Paths!$C$121=0,C1265=0),0,MAX(0,MIN(C1265*12,Paths!$E$121)-(C1265-1)*12))</f>
        <v>0</v>
      </c>
      <c r="F1265" s="1">
        <f>IF(OR(Paths!$C$121=0,C1265=0),0,12-E1265)</f>
        <v>0</v>
      </c>
      <c r="G1265" s="16">
        <f>IF(NOT(Paths!$C$121=1),0,IF(Paths!$P$121="Complete",E1265/12*(Paths!$J$121*(1+'Operating costs'!$B$51)^MAX(0,C1265-1)+Paths!$K$121*(1+'Operating costs'!$B$53)^MAX(0,C1265-1)),"n.a."))</f>
        <v>0</v>
      </c>
      <c r="H1265" s="16">
        <f>IF(NOT(Paths!$C$121=1),0,IF(Paths!$P$121="Complete",F1265/12*(Paths!$L$121*(1+IF(Paths!$D$121="EV",'Operating costs'!$B$52,'Operating costs'!$B$51))^MAX(0,C1265-1)+Paths!$M$121*(1+'Operating costs'!$B$53)^MAX(0,C1265-1)),"n.a."))</f>
        <v>0</v>
      </c>
      <c r="I1265" s="16">
        <f>IF(NOT(Paths!$C$121=1),0,IF(Paths!$P$121="Complete",IF(IF(Paths!$E$121=0,C1265=0,AND(C1265&gt;0,Paths!$E$121&gt;(C1265-1)*12,Paths!$E$121&lt;=C1265*12)),Paths!$G$121,0),"n.a."))</f>
        <v>0</v>
      </c>
      <c r="J1265" s="16">
        <f>IF(NOT(Paths!$C$121=1),0,IF(Paths!$P$121="Complete",IF(IF(Paths!$E$121=0,C1265=0,AND(C1265&gt;0,Paths!$E$121&gt;(C1265-1)*12,Paths!$E$121&lt;=C1265*12)),Paths!$H$121,0),"n.a."))</f>
        <v>0</v>
      </c>
      <c r="K1265" s="16">
        <f>IF(NOT(Paths!$C$121=1),0,IF(Paths!$P$121="Complete",IF(IF(Paths!$O$121=0,C1265=0,AND(C1265&gt;0,Paths!$O$121&gt;(C1265-1)*12,Paths!$O$121&lt;=C1265*12)),Paths!$N$121,0),"n.a."))</f>
        <v>0</v>
      </c>
      <c r="L1265" s="16">
        <f>IF(NOT(Paths!$C$121=1),0,IF(Paths!$P$121="Complete",IF(C1265=10,Paths!$I$121,0),"n.a."))</f>
        <v>0</v>
      </c>
      <c r="M1265" s="16">
        <f>IF(NOT(Paths!$C$121=1),0,IF(Paths!$P$121="Complete",IF(AND(Paths!$D$121="EV",Paths!$E$121&lt;120,Paths!$E$121+'Operating costs'!$B$65&gt;Paths!$E$121,Paths!$E$121+'Operating costs'!$B$65&lt;=120,IF(Paths!$E$121+'Operating costs'!$B$65=0,C1265=0,AND(C1265&gt;0,Paths!$E$121+'Operating costs'!$B$65&gt;(C1265-1)*12,Paths!$E$121+'Operating costs'!$B$65&lt;=C1265*12))),'Operating costs'!$B$64,0)+IF(AND('Operating costs'!$B$67&gt;0,'Operating costs'!$B$67&lt;=120,OR(Paths!$D$121="ICE",'Operating costs'!$B$67&lt;=Paths!$E$121),IF('Operating costs'!$B$67=0,C1265=0,AND(C1265&gt;0,'Operating costs'!$B$67&gt;(C1265-1)*12,'Operating costs'!$B$67&lt;=C1265*12))),'Operating costs'!$B$66,0),"n.a."))</f>
        <v>0</v>
      </c>
      <c r="N1265" s="16">
        <f>IF(NOT(Paths!$C$121=1),0,IF(Paths!$P$121="Complete",SUM(G1265:I1265)-J1265-K1265-L1265+M1265+IF(C1265=0,Paths!$F$121,0)+IF(IF(Paths!$E$121=0,C1265=0,AND(C1265&gt;0,Paths!$E$121&gt;(C1265-1)*12,Paths!$E$121&lt;=C1265*12)),VLOOKUP(A1265,'Fleet register'!$A$7:$S$106,16,FALSE),0),"n.a."))</f>
        <v>0</v>
      </c>
      <c r="O1265" s="16">
        <f>IF(NOT(Paths!$C$121=1),0,IF(Paths!$P$121="Complete",N1265-IF(C1265=0,Paths!$F$121,0),"n.a."))</f>
        <v>0</v>
      </c>
      <c r="P1265" s="16">
        <f>IF(NOT(Paths!$C$121=1),0,IF(Paths!$P$121="Complete",O1265+L1265,"n.a."))</f>
        <v>0</v>
      </c>
      <c r="Q1265" s="16">
        <f>IF(NOT(Paths!$C$121=1),0,IF(Paths!$P$121="Complete",N1265*(1+'Operating costs'!$B$54)^-C1265,"n.a."))</f>
        <v>0</v>
      </c>
      <c r="R1265" s="16">
        <f>IF(NOT(Paths!$C$121=1),0,IF(Paths!$P$121="Complete",IF(AND(C1265=0,Paths!$E$121=0),I1265-J1265-K1265+VLOOKUP(A1265,'Fleet register'!$A$7:$S$106,15,FALSE)+VLOOKUP(A1265,'Fleet register'!$A$7:$S$106,16,FALSE),0),"n.a."))</f>
        <v>0</v>
      </c>
      <c r="S1265" s="1">
        <f>IF(NOT(Paths!$C$121=1),0,IF(Paths!$P$121="Complete",IF(C1265=0,0,Paths!$S$121*Paths!$R$121),"n.a."))</f>
        <v>0</v>
      </c>
      <c r="T1265" s="1">
        <f>IF(NOT(Paths!$C$121=1),0,IF(Paths!$P$121="Complete",IF(C1265=0,0,VLOOKUP(A1265,'Fleet register'!$A$7:$S$106,9,FALSE)*Paths!$R$121),"n.a."))</f>
        <v>0</v>
      </c>
    </row>
    <row r="1266" spans="1:20" ht="24" customHeight="1">
      <c r="A1266" s="1" t="str">
        <f>Paths!$A$121</f>
        <v>T029</v>
      </c>
      <c r="B1266" s="1">
        <f>Paths!$B$121</f>
        <v>2</v>
      </c>
      <c r="C1266" s="1">
        <v>5</v>
      </c>
      <c r="D1266" s="1">
        <v>121</v>
      </c>
      <c r="E1266" s="1">
        <f>IF(OR(Paths!$C$121=0,C1266=0),0,MAX(0,MIN(C1266*12,Paths!$E$121)-(C1266-1)*12))</f>
        <v>0</v>
      </c>
      <c r="F1266" s="1">
        <f>IF(OR(Paths!$C$121=0,C1266=0),0,12-E1266)</f>
        <v>0</v>
      </c>
      <c r="G1266" s="16">
        <f>IF(NOT(Paths!$C$121=1),0,IF(Paths!$P$121="Complete",E1266/12*(Paths!$J$121*(1+'Operating costs'!$B$51)^MAX(0,C1266-1)+Paths!$K$121*(1+'Operating costs'!$B$53)^MAX(0,C1266-1)),"n.a."))</f>
        <v>0</v>
      </c>
      <c r="H1266" s="16">
        <f>IF(NOT(Paths!$C$121=1),0,IF(Paths!$P$121="Complete",F1266/12*(Paths!$L$121*(1+IF(Paths!$D$121="EV",'Operating costs'!$B$52,'Operating costs'!$B$51))^MAX(0,C1266-1)+Paths!$M$121*(1+'Operating costs'!$B$53)^MAX(0,C1266-1)),"n.a."))</f>
        <v>0</v>
      </c>
      <c r="I1266" s="16">
        <f>IF(NOT(Paths!$C$121=1),0,IF(Paths!$P$121="Complete",IF(IF(Paths!$E$121=0,C1266=0,AND(C1266&gt;0,Paths!$E$121&gt;(C1266-1)*12,Paths!$E$121&lt;=C1266*12)),Paths!$G$121,0),"n.a."))</f>
        <v>0</v>
      </c>
      <c r="J1266" s="16">
        <f>IF(NOT(Paths!$C$121=1),0,IF(Paths!$P$121="Complete",IF(IF(Paths!$E$121=0,C1266=0,AND(C1266&gt;0,Paths!$E$121&gt;(C1266-1)*12,Paths!$E$121&lt;=C1266*12)),Paths!$H$121,0),"n.a."))</f>
        <v>0</v>
      </c>
      <c r="K1266" s="16">
        <f>IF(NOT(Paths!$C$121=1),0,IF(Paths!$P$121="Complete",IF(IF(Paths!$O$121=0,C1266=0,AND(C1266&gt;0,Paths!$O$121&gt;(C1266-1)*12,Paths!$O$121&lt;=C1266*12)),Paths!$N$121,0),"n.a."))</f>
        <v>0</v>
      </c>
      <c r="L1266" s="16">
        <f>IF(NOT(Paths!$C$121=1),0,IF(Paths!$P$121="Complete",IF(C1266=10,Paths!$I$121,0),"n.a."))</f>
        <v>0</v>
      </c>
      <c r="M1266" s="16">
        <f>IF(NOT(Paths!$C$121=1),0,IF(Paths!$P$121="Complete",IF(AND(Paths!$D$121="EV",Paths!$E$121&lt;120,Paths!$E$121+'Operating costs'!$B$65&gt;Paths!$E$121,Paths!$E$121+'Operating costs'!$B$65&lt;=120,IF(Paths!$E$121+'Operating costs'!$B$65=0,C1266=0,AND(C1266&gt;0,Paths!$E$121+'Operating costs'!$B$65&gt;(C1266-1)*12,Paths!$E$121+'Operating costs'!$B$65&lt;=C1266*12))),'Operating costs'!$B$64,0)+IF(AND('Operating costs'!$B$67&gt;0,'Operating costs'!$B$67&lt;=120,OR(Paths!$D$121="ICE",'Operating costs'!$B$67&lt;=Paths!$E$121),IF('Operating costs'!$B$67=0,C1266=0,AND(C1266&gt;0,'Operating costs'!$B$67&gt;(C1266-1)*12,'Operating costs'!$B$67&lt;=C1266*12))),'Operating costs'!$B$66,0),"n.a."))</f>
        <v>0</v>
      </c>
      <c r="N1266" s="16">
        <f>IF(NOT(Paths!$C$121=1),0,IF(Paths!$P$121="Complete",SUM(G1266:I1266)-J1266-K1266-L1266+M1266+IF(C1266=0,Paths!$F$121,0)+IF(IF(Paths!$E$121=0,C1266=0,AND(C1266&gt;0,Paths!$E$121&gt;(C1266-1)*12,Paths!$E$121&lt;=C1266*12)),VLOOKUP(A1266,'Fleet register'!$A$7:$S$106,16,FALSE),0),"n.a."))</f>
        <v>0</v>
      </c>
      <c r="O1266" s="16">
        <f>IF(NOT(Paths!$C$121=1),0,IF(Paths!$P$121="Complete",N1266-IF(C1266=0,Paths!$F$121,0),"n.a."))</f>
        <v>0</v>
      </c>
      <c r="P1266" s="16">
        <f>IF(NOT(Paths!$C$121=1),0,IF(Paths!$P$121="Complete",O1266+L1266,"n.a."))</f>
        <v>0</v>
      </c>
      <c r="Q1266" s="16">
        <f>IF(NOT(Paths!$C$121=1),0,IF(Paths!$P$121="Complete",N1266*(1+'Operating costs'!$B$54)^-C1266,"n.a."))</f>
        <v>0</v>
      </c>
      <c r="R1266" s="16">
        <f>IF(NOT(Paths!$C$121=1),0,IF(Paths!$P$121="Complete",IF(AND(C1266=0,Paths!$E$121=0),I1266-J1266-K1266+VLOOKUP(A1266,'Fleet register'!$A$7:$S$106,15,FALSE)+VLOOKUP(A1266,'Fleet register'!$A$7:$S$106,16,FALSE),0),"n.a."))</f>
        <v>0</v>
      </c>
      <c r="S1266" s="1">
        <f>IF(NOT(Paths!$C$121=1),0,IF(Paths!$P$121="Complete",IF(C1266=0,0,Paths!$S$121*Paths!$R$121),"n.a."))</f>
        <v>0</v>
      </c>
      <c r="T1266" s="1">
        <f>IF(NOT(Paths!$C$121=1),0,IF(Paths!$P$121="Complete",IF(C1266=0,0,VLOOKUP(A1266,'Fleet register'!$A$7:$S$106,9,FALSE)*Paths!$R$121),"n.a."))</f>
        <v>0</v>
      </c>
    </row>
    <row r="1267" spans="1:20" ht="24" customHeight="1">
      <c r="A1267" s="1" t="str">
        <f>Paths!$A$121</f>
        <v>T029</v>
      </c>
      <c r="B1267" s="1">
        <f>Paths!$B$121</f>
        <v>2</v>
      </c>
      <c r="C1267" s="1">
        <v>6</v>
      </c>
      <c r="D1267" s="1">
        <v>121</v>
      </c>
      <c r="E1267" s="1">
        <f>IF(OR(Paths!$C$121=0,C1267=0),0,MAX(0,MIN(C1267*12,Paths!$E$121)-(C1267-1)*12))</f>
        <v>0</v>
      </c>
      <c r="F1267" s="1">
        <f>IF(OR(Paths!$C$121=0,C1267=0),0,12-E1267)</f>
        <v>0</v>
      </c>
      <c r="G1267" s="16">
        <f>IF(NOT(Paths!$C$121=1),0,IF(Paths!$P$121="Complete",E1267/12*(Paths!$J$121*(1+'Operating costs'!$B$51)^MAX(0,C1267-1)+Paths!$K$121*(1+'Operating costs'!$B$53)^MAX(0,C1267-1)),"n.a."))</f>
        <v>0</v>
      </c>
      <c r="H1267" s="16">
        <f>IF(NOT(Paths!$C$121=1),0,IF(Paths!$P$121="Complete",F1267/12*(Paths!$L$121*(1+IF(Paths!$D$121="EV",'Operating costs'!$B$52,'Operating costs'!$B$51))^MAX(0,C1267-1)+Paths!$M$121*(1+'Operating costs'!$B$53)^MAX(0,C1267-1)),"n.a."))</f>
        <v>0</v>
      </c>
      <c r="I1267" s="16">
        <f>IF(NOT(Paths!$C$121=1),0,IF(Paths!$P$121="Complete",IF(IF(Paths!$E$121=0,C1267=0,AND(C1267&gt;0,Paths!$E$121&gt;(C1267-1)*12,Paths!$E$121&lt;=C1267*12)),Paths!$G$121,0),"n.a."))</f>
        <v>0</v>
      </c>
      <c r="J1267" s="16">
        <f>IF(NOT(Paths!$C$121=1),0,IF(Paths!$P$121="Complete",IF(IF(Paths!$E$121=0,C1267=0,AND(C1267&gt;0,Paths!$E$121&gt;(C1267-1)*12,Paths!$E$121&lt;=C1267*12)),Paths!$H$121,0),"n.a."))</f>
        <v>0</v>
      </c>
      <c r="K1267" s="16">
        <f>IF(NOT(Paths!$C$121=1),0,IF(Paths!$P$121="Complete",IF(IF(Paths!$O$121=0,C1267=0,AND(C1267&gt;0,Paths!$O$121&gt;(C1267-1)*12,Paths!$O$121&lt;=C1267*12)),Paths!$N$121,0),"n.a."))</f>
        <v>0</v>
      </c>
      <c r="L1267" s="16">
        <f>IF(NOT(Paths!$C$121=1),0,IF(Paths!$P$121="Complete",IF(C1267=10,Paths!$I$121,0),"n.a."))</f>
        <v>0</v>
      </c>
      <c r="M1267" s="16">
        <f>IF(NOT(Paths!$C$121=1),0,IF(Paths!$P$121="Complete",IF(AND(Paths!$D$121="EV",Paths!$E$121&lt;120,Paths!$E$121+'Operating costs'!$B$65&gt;Paths!$E$121,Paths!$E$121+'Operating costs'!$B$65&lt;=120,IF(Paths!$E$121+'Operating costs'!$B$65=0,C1267=0,AND(C1267&gt;0,Paths!$E$121+'Operating costs'!$B$65&gt;(C1267-1)*12,Paths!$E$121+'Operating costs'!$B$65&lt;=C1267*12))),'Operating costs'!$B$64,0)+IF(AND('Operating costs'!$B$67&gt;0,'Operating costs'!$B$67&lt;=120,OR(Paths!$D$121="ICE",'Operating costs'!$B$67&lt;=Paths!$E$121),IF('Operating costs'!$B$67=0,C1267=0,AND(C1267&gt;0,'Operating costs'!$B$67&gt;(C1267-1)*12,'Operating costs'!$B$67&lt;=C1267*12))),'Operating costs'!$B$66,0),"n.a."))</f>
        <v>0</v>
      </c>
      <c r="N1267" s="16">
        <f>IF(NOT(Paths!$C$121=1),0,IF(Paths!$P$121="Complete",SUM(G1267:I1267)-J1267-K1267-L1267+M1267+IF(C1267=0,Paths!$F$121,0)+IF(IF(Paths!$E$121=0,C1267=0,AND(C1267&gt;0,Paths!$E$121&gt;(C1267-1)*12,Paths!$E$121&lt;=C1267*12)),VLOOKUP(A1267,'Fleet register'!$A$7:$S$106,16,FALSE),0),"n.a."))</f>
        <v>0</v>
      </c>
      <c r="O1267" s="16">
        <f>IF(NOT(Paths!$C$121=1),0,IF(Paths!$P$121="Complete",N1267-IF(C1267=0,Paths!$F$121,0),"n.a."))</f>
        <v>0</v>
      </c>
      <c r="P1267" s="16">
        <f>IF(NOT(Paths!$C$121=1),0,IF(Paths!$P$121="Complete",O1267+L1267,"n.a."))</f>
        <v>0</v>
      </c>
      <c r="Q1267" s="16">
        <f>IF(NOT(Paths!$C$121=1),0,IF(Paths!$P$121="Complete",N1267*(1+'Operating costs'!$B$54)^-C1267,"n.a."))</f>
        <v>0</v>
      </c>
      <c r="R1267" s="16">
        <f>IF(NOT(Paths!$C$121=1),0,IF(Paths!$P$121="Complete",IF(AND(C1267=0,Paths!$E$121=0),I1267-J1267-K1267+VLOOKUP(A1267,'Fleet register'!$A$7:$S$106,15,FALSE)+VLOOKUP(A1267,'Fleet register'!$A$7:$S$106,16,FALSE),0),"n.a."))</f>
        <v>0</v>
      </c>
      <c r="S1267" s="1">
        <f>IF(NOT(Paths!$C$121=1),0,IF(Paths!$P$121="Complete",IF(C1267=0,0,Paths!$S$121*Paths!$R$121),"n.a."))</f>
        <v>0</v>
      </c>
      <c r="T1267" s="1">
        <f>IF(NOT(Paths!$C$121=1),0,IF(Paths!$P$121="Complete",IF(C1267=0,0,VLOOKUP(A1267,'Fleet register'!$A$7:$S$106,9,FALSE)*Paths!$R$121),"n.a."))</f>
        <v>0</v>
      </c>
    </row>
    <row r="1268" spans="1:20" ht="24" customHeight="1">
      <c r="A1268" s="1" t="str">
        <f>Paths!$A$121</f>
        <v>T029</v>
      </c>
      <c r="B1268" s="1">
        <f>Paths!$B$121</f>
        <v>2</v>
      </c>
      <c r="C1268" s="1">
        <v>7</v>
      </c>
      <c r="D1268" s="1">
        <v>121</v>
      </c>
      <c r="E1268" s="1">
        <f>IF(OR(Paths!$C$121=0,C1268=0),0,MAX(0,MIN(C1268*12,Paths!$E$121)-(C1268-1)*12))</f>
        <v>0</v>
      </c>
      <c r="F1268" s="1">
        <f>IF(OR(Paths!$C$121=0,C1268=0),0,12-E1268)</f>
        <v>0</v>
      </c>
      <c r="G1268" s="16">
        <f>IF(NOT(Paths!$C$121=1),0,IF(Paths!$P$121="Complete",E1268/12*(Paths!$J$121*(1+'Operating costs'!$B$51)^MAX(0,C1268-1)+Paths!$K$121*(1+'Operating costs'!$B$53)^MAX(0,C1268-1)),"n.a."))</f>
        <v>0</v>
      </c>
      <c r="H1268" s="16">
        <f>IF(NOT(Paths!$C$121=1),0,IF(Paths!$P$121="Complete",F1268/12*(Paths!$L$121*(1+IF(Paths!$D$121="EV",'Operating costs'!$B$52,'Operating costs'!$B$51))^MAX(0,C1268-1)+Paths!$M$121*(1+'Operating costs'!$B$53)^MAX(0,C1268-1)),"n.a."))</f>
        <v>0</v>
      </c>
      <c r="I1268" s="16">
        <f>IF(NOT(Paths!$C$121=1),0,IF(Paths!$P$121="Complete",IF(IF(Paths!$E$121=0,C1268=0,AND(C1268&gt;0,Paths!$E$121&gt;(C1268-1)*12,Paths!$E$121&lt;=C1268*12)),Paths!$G$121,0),"n.a."))</f>
        <v>0</v>
      </c>
      <c r="J1268" s="16">
        <f>IF(NOT(Paths!$C$121=1),0,IF(Paths!$P$121="Complete",IF(IF(Paths!$E$121=0,C1268=0,AND(C1268&gt;0,Paths!$E$121&gt;(C1268-1)*12,Paths!$E$121&lt;=C1268*12)),Paths!$H$121,0),"n.a."))</f>
        <v>0</v>
      </c>
      <c r="K1268" s="16">
        <f>IF(NOT(Paths!$C$121=1),0,IF(Paths!$P$121="Complete",IF(IF(Paths!$O$121=0,C1268=0,AND(C1268&gt;0,Paths!$O$121&gt;(C1268-1)*12,Paths!$O$121&lt;=C1268*12)),Paths!$N$121,0),"n.a."))</f>
        <v>0</v>
      </c>
      <c r="L1268" s="16">
        <f>IF(NOT(Paths!$C$121=1),0,IF(Paths!$P$121="Complete",IF(C1268=10,Paths!$I$121,0),"n.a."))</f>
        <v>0</v>
      </c>
      <c r="M1268" s="16">
        <f>IF(NOT(Paths!$C$121=1),0,IF(Paths!$P$121="Complete",IF(AND(Paths!$D$121="EV",Paths!$E$121&lt;120,Paths!$E$121+'Operating costs'!$B$65&gt;Paths!$E$121,Paths!$E$121+'Operating costs'!$B$65&lt;=120,IF(Paths!$E$121+'Operating costs'!$B$65=0,C1268=0,AND(C1268&gt;0,Paths!$E$121+'Operating costs'!$B$65&gt;(C1268-1)*12,Paths!$E$121+'Operating costs'!$B$65&lt;=C1268*12))),'Operating costs'!$B$64,0)+IF(AND('Operating costs'!$B$67&gt;0,'Operating costs'!$B$67&lt;=120,OR(Paths!$D$121="ICE",'Operating costs'!$B$67&lt;=Paths!$E$121),IF('Operating costs'!$B$67=0,C1268=0,AND(C1268&gt;0,'Operating costs'!$B$67&gt;(C1268-1)*12,'Operating costs'!$B$67&lt;=C1268*12))),'Operating costs'!$B$66,0),"n.a."))</f>
        <v>0</v>
      </c>
      <c r="N1268" s="16">
        <f>IF(NOT(Paths!$C$121=1),0,IF(Paths!$P$121="Complete",SUM(G1268:I1268)-J1268-K1268-L1268+M1268+IF(C1268=0,Paths!$F$121,0)+IF(IF(Paths!$E$121=0,C1268=0,AND(C1268&gt;0,Paths!$E$121&gt;(C1268-1)*12,Paths!$E$121&lt;=C1268*12)),VLOOKUP(A1268,'Fleet register'!$A$7:$S$106,16,FALSE),0),"n.a."))</f>
        <v>0</v>
      </c>
      <c r="O1268" s="16">
        <f>IF(NOT(Paths!$C$121=1),0,IF(Paths!$P$121="Complete",N1268-IF(C1268=0,Paths!$F$121,0),"n.a."))</f>
        <v>0</v>
      </c>
      <c r="P1268" s="16">
        <f>IF(NOT(Paths!$C$121=1),0,IF(Paths!$P$121="Complete",O1268+L1268,"n.a."))</f>
        <v>0</v>
      </c>
      <c r="Q1268" s="16">
        <f>IF(NOT(Paths!$C$121=1),0,IF(Paths!$P$121="Complete",N1268*(1+'Operating costs'!$B$54)^-C1268,"n.a."))</f>
        <v>0</v>
      </c>
      <c r="R1268" s="16">
        <f>IF(NOT(Paths!$C$121=1),0,IF(Paths!$P$121="Complete",IF(AND(C1268=0,Paths!$E$121=0),I1268-J1268-K1268+VLOOKUP(A1268,'Fleet register'!$A$7:$S$106,15,FALSE)+VLOOKUP(A1268,'Fleet register'!$A$7:$S$106,16,FALSE),0),"n.a."))</f>
        <v>0</v>
      </c>
      <c r="S1268" s="1">
        <f>IF(NOT(Paths!$C$121=1),0,IF(Paths!$P$121="Complete",IF(C1268=0,0,Paths!$S$121*Paths!$R$121),"n.a."))</f>
        <v>0</v>
      </c>
      <c r="T1268" s="1">
        <f>IF(NOT(Paths!$C$121=1),0,IF(Paths!$P$121="Complete",IF(C1268=0,0,VLOOKUP(A1268,'Fleet register'!$A$7:$S$106,9,FALSE)*Paths!$R$121),"n.a."))</f>
        <v>0</v>
      </c>
    </row>
    <row r="1269" spans="1:20" ht="24" customHeight="1">
      <c r="A1269" s="1" t="str">
        <f>Paths!$A$121</f>
        <v>T029</v>
      </c>
      <c r="B1269" s="1">
        <f>Paths!$B$121</f>
        <v>2</v>
      </c>
      <c r="C1269" s="1">
        <v>8</v>
      </c>
      <c r="D1269" s="1">
        <v>121</v>
      </c>
      <c r="E1269" s="1">
        <f>IF(OR(Paths!$C$121=0,C1269=0),0,MAX(0,MIN(C1269*12,Paths!$E$121)-(C1269-1)*12))</f>
        <v>0</v>
      </c>
      <c r="F1269" s="1">
        <f>IF(OR(Paths!$C$121=0,C1269=0),0,12-E1269)</f>
        <v>0</v>
      </c>
      <c r="G1269" s="16">
        <f>IF(NOT(Paths!$C$121=1),0,IF(Paths!$P$121="Complete",E1269/12*(Paths!$J$121*(1+'Operating costs'!$B$51)^MAX(0,C1269-1)+Paths!$K$121*(1+'Operating costs'!$B$53)^MAX(0,C1269-1)),"n.a."))</f>
        <v>0</v>
      </c>
      <c r="H1269" s="16">
        <f>IF(NOT(Paths!$C$121=1),0,IF(Paths!$P$121="Complete",F1269/12*(Paths!$L$121*(1+IF(Paths!$D$121="EV",'Operating costs'!$B$52,'Operating costs'!$B$51))^MAX(0,C1269-1)+Paths!$M$121*(1+'Operating costs'!$B$53)^MAX(0,C1269-1)),"n.a."))</f>
        <v>0</v>
      </c>
      <c r="I1269" s="16">
        <f>IF(NOT(Paths!$C$121=1),0,IF(Paths!$P$121="Complete",IF(IF(Paths!$E$121=0,C1269=0,AND(C1269&gt;0,Paths!$E$121&gt;(C1269-1)*12,Paths!$E$121&lt;=C1269*12)),Paths!$G$121,0),"n.a."))</f>
        <v>0</v>
      </c>
      <c r="J1269" s="16">
        <f>IF(NOT(Paths!$C$121=1),0,IF(Paths!$P$121="Complete",IF(IF(Paths!$E$121=0,C1269=0,AND(C1269&gt;0,Paths!$E$121&gt;(C1269-1)*12,Paths!$E$121&lt;=C1269*12)),Paths!$H$121,0),"n.a."))</f>
        <v>0</v>
      </c>
      <c r="K1269" s="16">
        <f>IF(NOT(Paths!$C$121=1),0,IF(Paths!$P$121="Complete",IF(IF(Paths!$O$121=0,C1269=0,AND(C1269&gt;0,Paths!$O$121&gt;(C1269-1)*12,Paths!$O$121&lt;=C1269*12)),Paths!$N$121,0),"n.a."))</f>
        <v>0</v>
      </c>
      <c r="L1269" s="16">
        <f>IF(NOT(Paths!$C$121=1),0,IF(Paths!$P$121="Complete",IF(C1269=10,Paths!$I$121,0),"n.a."))</f>
        <v>0</v>
      </c>
      <c r="M1269" s="16">
        <f>IF(NOT(Paths!$C$121=1),0,IF(Paths!$P$121="Complete",IF(AND(Paths!$D$121="EV",Paths!$E$121&lt;120,Paths!$E$121+'Operating costs'!$B$65&gt;Paths!$E$121,Paths!$E$121+'Operating costs'!$B$65&lt;=120,IF(Paths!$E$121+'Operating costs'!$B$65=0,C1269=0,AND(C1269&gt;0,Paths!$E$121+'Operating costs'!$B$65&gt;(C1269-1)*12,Paths!$E$121+'Operating costs'!$B$65&lt;=C1269*12))),'Operating costs'!$B$64,0)+IF(AND('Operating costs'!$B$67&gt;0,'Operating costs'!$B$67&lt;=120,OR(Paths!$D$121="ICE",'Operating costs'!$B$67&lt;=Paths!$E$121),IF('Operating costs'!$B$67=0,C1269=0,AND(C1269&gt;0,'Operating costs'!$B$67&gt;(C1269-1)*12,'Operating costs'!$B$67&lt;=C1269*12))),'Operating costs'!$B$66,0),"n.a."))</f>
        <v>0</v>
      </c>
      <c r="N1269" s="16">
        <f>IF(NOT(Paths!$C$121=1),0,IF(Paths!$P$121="Complete",SUM(G1269:I1269)-J1269-K1269-L1269+M1269+IF(C1269=0,Paths!$F$121,0)+IF(IF(Paths!$E$121=0,C1269=0,AND(C1269&gt;0,Paths!$E$121&gt;(C1269-1)*12,Paths!$E$121&lt;=C1269*12)),VLOOKUP(A1269,'Fleet register'!$A$7:$S$106,16,FALSE),0),"n.a."))</f>
        <v>0</v>
      </c>
      <c r="O1269" s="16">
        <f>IF(NOT(Paths!$C$121=1),0,IF(Paths!$P$121="Complete",N1269-IF(C1269=0,Paths!$F$121,0),"n.a."))</f>
        <v>0</v>
      </c>
      <c r="P1269" s="16">
        <f>IF(NOT(Paths!$C$121=1),0,IF(Paths!$P$121="Complete",O1269+L1269,"n.a."))</f>
        <v>0</v>
      </c>
      <c r="Q1269" s="16">
        <f>IF(NOT(Paths!$C$121=1),0,IF(Paths!$P$121="Complete",N1269*(1+'Operating costs'!$B$54)^-C1269,"n.a."))</f>
        <v>0</v>
      </c>
      <c r="R1269" s="16">
        <f>IF(NOT(Paths!$C$121=1),0,IF(Paths!$P$121="Complete",IF(AND(C1269=0,Paths!$E$121=0),I1269-J1269-K1269+VLOOKUP(A1269,'Fleet register'!$A$7:$S$106,15,FALSE)+VLOOKUP(A1269,'Fleet register'!$A$7:$S$106,16,FALSE),0),"n.a."))</f>
        <v>0</v>
      </c>
      <c r="S1269" s="1">
        <f>IF(NOT(Paths!$C$121=1),0,IF(Paths!$P$121="Complete",IF(C1269=0,0,Paths!$S$121*Paths!$R$121),"n.a."))</f>
        <v>0</v>
      </c>
      <c r="T1269" s="1">
        <f>IF(NOT(Paths!$C$121=1),0,IF(Paths!$P$121="Complete",IF(C1269=0,0,VLOOKUP(A1269,'Fleet register'!$A$7:$S$106,9,FALSE)*Paths!$R$121),"n.a."))</f>
        <v>0</v>
      </c>
    </row>
    <row r="1270" spans="1:20" ht="24" customHeight="1">
      <c r="A1270" s="1" t="str">
        <f>Paths!$A$121</f>
        <v>T029</v>
      </c>
      <c r="B1270" s="1">
        <f>Paths!$B$121</f>
        <v>2</v>
      </c>
      <c r="C1270" s="1">
        <v>9</v>
      </c>
      <c r="D1270" s="1">
        <v>121</v>
      </c>
      <c r="E1270" s="1">
        <f>IF(OR(Paths!$C$121=0,C1270=0),0,MAX(0,MIN(C1270*12,Paths!$E$121)-(C1270-1)*12))</f>
        <v>0</v>
      </c>
      <c r="F1270" s="1">
        <f>IF(OR(Paths!$C$121=0,C1270=0),0,12-E1270)</f>
        <v>0</v>
      </c>
      <c r="G1270" s="16">
        <f>IF(NOT(Paths!$C$121=1),0,IF(Paths!$P$121="Complete",E1270/12*(Paths!$J$121*(1+'Operating costs'!$B$51)^MAX(0,C1270-1)+Paths!$K$121*(1+'Operating costs'!$B$53)^MAX(0,C1270-1)),"n.a."))</f>
        <v>0</v>
      </c>
      <c r="H1270" s="16">
        <f>IF(NOT(Paths!$C$121=1),0,IF(Paths!$P$121="Complete",F1270/12*(Paths!$L$121*(1+IF(Paths!$D$121="EV",'Operating costs'!$B$52,'Operating costs'!$B$51))^MAX(0,C1270-1)+Paths!$M$121*(1+'Operating costs'!$B$53)^MAX(0,C1270-1)),"n.a."))</f>
        <v>0</v>
      </c>
      <c r="I1270" s="16">
        <f>IF(NOT(Paths!$C$121=1),0,IF(Paths!$P$121="Complete",IF(IF(Paths!$E$121=0,C1270=0,AND(C1270&gt;0,Paths!$E$121&gt;(C1270-1)*12,Paths!$E$121&lt;=C1270*12)),Paths!$G$121,0),"n.a."))</f>
        <v>0</v>
      </c>
      <c r="J1270" s="16">
        <f>IF(NOT(Paths!$C$121=1),0,IF(Paths!$P$121="Complete",IF(IF(Paths!$E$121=0,C1270=0,AND(C1270&gt;0,Paths!$E$121&gt;(C1270-1)*12,Paths!$E$121&lt;=C1270*12)),Paths!$H$121,0),"n.a."))</f>
        <v>0</v>
      </c>
      <c r="K1270" s="16">
        <f>IF(NOT(Paths!$C$121=1),0,IF(Paths!$P$121="Complete",IF(IF(Paths!$O$121=0,C1270=0,AND(C1270&gt;0,Paths!$O$121&gt;(C1270-1)*12,Paths!$O$121&lt;=C1270*12)),Paths!$N$121,0),"n.a."))</f>
        <v>0</v>
      </c>
      <c r="L1270" s="16">
        <f>IF(NOT(Paths!$C$121=1),0,IF(Paths!$P$121="Complete",IF(C1270=10,Paths!$I$121,0),"n.a."))</f>
        <v>0</v>
      </c>
      <c r="M1270" s="16">
        <f>IF(NOT(Paths!$C$121=1),0,IF(Paths!$P$121="Complete",IF(AND(Paths!$D$121="EV",Paths!$E$121&lt;120,Paths!$E$121+'Operating costs'!$B$65&gt;Paths!$E$121,Paths!$E$121+'Operating costs'!$B$65&lt;=120,IF(Paths!$E$121+'Operating costs'!$B$65=0,C1270=0,AND(C1270&gt;0,Paths!$E$121+'Operating costs'!$B$65&gt;(C1270-1)*12,Paths!$E$121+'Operating costs'!$B$65&lt;=C1270*12))),'Operating costs'!$B$64,0)+IF(AND('Operating costs'!$B$67&gt;0,'Operating costs'!$B$67&lt;=120,OR(Paths!$D$121="ICE",'Operating costs'!$B$67&lt;=Paths!$E$121),IF('Operating costs'!$B$67=0,C1270=0,AND(C1270&gt;0,'Operating costs'!$B$67&gt;(C1270-1)*12,'Operating costs'!$B$67&lt;=C1270*12))),'Operating costs'!$B$66,0),"n.a."))</f>
        <v>0</v>
      </c>
      <c r="N1270" s="16">
        <f>IF(NOT(Paths!$C$121=1),0,IF(Paths!$P$121="Complete",SUM(G1270:I1270)-J1270-K1270-L1270+M1270+IF(C1270=0,Paths!$F$121,0)+IF(IF(Paths!$E$121=0,C1270=0,AND(C1270&gt;0,Paths!$E$121&gt;(C1270-1)*12,Paths!$E$121&lt;=C1270*12)),VLOOKUP(A1270,'Fleet register'!$A$7:$S$106,16,FALSE),0),"n.a."))</f>
        <v>0</v>
      </c>
      <c r="O1270" s="16">
        <f>IF(NOT(Paths!$C$121=1),0,IF(Paths!$P$121="Complete",N1270-IF(C1270=0,Paths!$F$121,0),"n.a."))</f>
        <v>0</v>
      </c>
      <c r="P1270" s="16">
        <f>IF(NOT(Paths!$C$121=1),0,IF(Paths!$P$121="Complete",O1270+L1270,"n.a."))</f>
        <v>0</v>
      </c>
      <c r="Q1270" s="16">
        <f>IF(NOT(Paths!$C$121=1),0,IF(Paths!$P$121="Complete",N1270*(1+'Operating costs'!$B$54)^-C1270,"n.a."))</f>
        <v>0</v>
      </c>
      <c r="R1270" s="16">
        <f>IF(NOT(Paths!$C$121=1),0,IF(Paths!$P$121="Complete",IF(AND(C1270=0,Paths!$E$121=0),I1270-J1270-K1270+VLOOKUP(A1270,'Fleet register'!$A$7:$S$106,15,FALSE)+VLOOKUP(A1270,'Fleet register'!$A$7:$S$106,16,FALSE),0),"n.a."))</f>
        <v>0</v>
      </c>
      <c r="S1270" s="1">
        <f>IF(NOT(Paths!$C$121=1),0,IF(Paths!$P$121="Complete",IF(C1270=0,0,Paths!$S$121*Paths!$R$121),"n.a."))</f>
        <v>0</v>
      </c>
      <c r="T1270" s="1">
        <f>IF(NOT(Paths!$C$121=1),0,IF(Paths!$P$121="Complete",IF(C1270=0,0,VLOOKUP(A1270,'Fleet register'!$A$7:$S$106,9,FALSE)*Paths!$R$121),"n.a."))</f>
        <v>0</v>
      </c>
    </row>
    <row r="1271" spans="1:20" ht="24" customHeight="1">
      <c r="A1271" s="1" t="str">
        <f>Paths!$A$121</f>
        <v>T029</v>
      </c>
      <c r="B1271" s="1">
        <f>Paths!$B$121</f>
        <v>2</v>
      </c>
      <c r="C1271" s="1">
        <v>10</v>
      </c>
      <c r="D1271" s="1">
        <v>121</v>
      </c>
      <c r="E1271" s="1">
        <f>IF(OR(Paths!$C$121=0,C1271=0),0,MAX(0,MIN(C1271*12,Paths!$E$121)-(C1271-1)*12))</f>
        <v>0</v>
      </c>
      <c r="F1271" s="1">
        <f>IF(OR(Paths!$C$121=0,C1271=0),0,12-E1271)</f>
        <v>0</v>
      </c>
      <c r="G1271" s="16">
        <f>IF(NOT(Paths!$C$121=1),0,IF(Paths!$P$121="Complete",E1271/12*(Paths!$J$121*(1+'Operating costs'!$B$51)^MAX(0,C1271-1)+Paths!$K$121*(1+'Operating costs'!$B$53)^MAX(0,C1271-1)),"n.a."))</f>
        <v>0</v>
      </c>
      <c r="H1271" s="16">
        <f>IF(NOT(Paths!$C$121=1),0,IF(Paths!$P$121="Complete",F1271/12*(Paths!$L$121*(1+IF(Paths!$D$121="EV",'Operating costs'!$B$52,'Operating costs'!$B$51))^MAX(0,C1271-1)+Paths!$M$121*(1+'Operating costs'!$B$53)^MAX(0,C1271-1)),"n.a."))</f>
        <v>0</v>
      </c>
      <c r="I1271" s="16">
        <f>IF(NOT(Paths!$C$121=1),0,IF(Paths!$P$121="Complete",IF(IF(Paths!$E$121=0,C1271=0,AND(C1271&gt;0,Paths!$E$121&gt;(C1271-1)*12,Paths!$E$121&lt;=C1271*12)),Paths!$G$121,0),"n.a."))</f>
        <v>0</v>
      </c>
      <c r="J1271" s="16">
        <f>IF(NOT(Paths!$C$121=1),0,IF(Paths!$P$121="Complete",IF(IF(Paths!$E$121=0,C1271=0,AND(C1271&gt;0,Paths!$E$121&gt;(C1271-1)*12,Paths!$E$121&lt;=C1271*12)),Paths!$H$121,0),"n.a."))</f>
        <v>0</v>
      </c>
      <c r="K1271" s="16">
        <f>IF(NOT(Paths!$C$121=1),0,IF(Paths!$P$121="Complete",IF(IF(Paths!$O$121=0,C1271=0,AND(C1271&gt;0,Paths!$O$121&gt;(C1271-1)*12,Paths!$O$121&lt;=C1271*12)),Paths!$N$121,0),"n.a."))</f>
        <v>0</v>
      </c>
      <c r="L1271" s="16">
        <f>IF(NOT(Paths!$C$121=1),0,IF(Paths!$P$121="Complete",IF(C1271=10,Paths!$I$121,0),"n.a."))</f>
        <v>0</v>
      </c>
      <c r="M1271" s="16">
        <f>IF(NOT(Paths!$C$121=1),0,IF(Paths!$P$121="Complete",IF(AND(Paths!$D$121="EV",Paths!$E$121&lt;120,Paths!$E$121+'Operating costs'!$B$65&gt;Paths!$E$121,Paths!$E$121+'Operating costs'!$B$65&lt;=120,IF(Paths!$E$121+'Operating costs'!$B$65=0,C1271=0,AND(C1271&gt;0,Paths!$E$121+'Operating costs'!$B$65&gt;(C1271-1)*12,Paths!$E$121+'Operating costs'!$B$65&lt;=C1271*12))),'Operating costs'!$B$64,0)+IF(AND('Operating costs'!$B$67&gt;0,'Operating costs'!$B$67&lt;=120,OR(Paths!$D$121="ICE",'Operating costs'!$B$67&lt;=Paths!$E$121),IF('Operating costs'!$B$67=0,C1271=0,AND(C1271&gt;0,'Operating costs'!$B$67&gt;(C1271-1)*12,'Operating costs'!$B$67&lt;=C1271*12))),'Operating costs'!$B$66,0),"n.a."))</f>
        <v>0</v>
      </c>
      <c r="N1271" s="16">
        <f>IF(NOT(Paths!$C$121=1),0,IF(Paths!$P$121="Complete",SUM(G1271:I1271)-J1271-K1271-L1271+M1271+IF(C1271=0,Paths!$F$121,0)+IF(IF(Paths!$E$121=0,C1271=0,AND(C1271&gt;0,Paths!$E$121&gt;(C1271-1)*12,Paths!$E$121&lt;=C1271*12)),VLOOKUP(A1271,'Fleet register'!$A$7:$S$106,16,FALSE),0),"n.a."))</f>
        <v>0</v>
      </c>
      <c r="O1271" s="16">
        <f>IF(NOT(Paths!$C$121=1),0,IF(Paths!$P$121="Complete",N1271-IF(C1271=0,Paths!$F$121,0),"n.a."))</f>
        <v>0</v>
      </c>
      <c r="P1271" s="16">
        <f>IF(NOT(Paths!$C$121=1),0,IF(Paths!$P$121="Complete",O1271+L1271,"n.a."))</f>
        <v>0</v>
      </c>
      <c r="Q1271" s="16">
        <f>IF(NOT(Paths!$C$121=1),0,IF(Paths!$P$121="Complete",N1271*(1+'Operating costs'!$B$54)^-C1271,"n.a."))</f>
        <v>0</v>
      </c>
      <c r="R1271" s="16">
        <f>IF(NOT(Paths!$C$121=1),0,IF(Paths!$P$121="Complete",IF(AND(C1271=0,Paths!$E$121=0),I1271-J1271-K1271+VLOOKUP(A1271,'Fleet register'!$A$7:$S$106,15,FALSE)+VLOOKUP(A1271,'Fleet register'!$A$7:$S$106,16,FALSE),0),"n.a."))</f>
        <v>0</v>
      </c>
      <c r="S1271" s="1">
        <f>IF(NOT(Paths!$C$121=1),0,IF(Paths!$P$121="Complete",IF(C1271=0,0,Paths!$S$121*Paths!$R$121),"n.a."))</f>
        <v>0</v>
      </c>
      <c r="T1271" s="1">
        <f>IF(NOT(Paths!$C$121=1),0,IF(Paths!$P$121="Complete",IF(C1271=0,0,VLOOKUP(A1271,'Fleet register'!$A$7:$S$106,9,FALSE)*Paths!$R$121),"n.a."))</f>
        <v>0</v>
      </c>
    </row>
    <row r="1272" spans="1:20" ht="24" customHeight="1">
      <c r="A1272" s="1" t="str">
        <f>Paths!$A$122</f>
        <v>T029</v>
      </c>
      <c r="B1272" s="1">
        <f>Paths!$B$122</f>
        <v>3</v>
      </c>
      <c r="C1272" s="1">
        <v>0</v>
      </c>
      <c r="D1272" s="1">
        <v>122</v>
      </c>
      <c r="E1272" s="1">
        <f>IF(OR(Paths!$C$122=0,C1272=0),0,MAX(0,MIN(C1272*12,Paths!$E$122)-(C1272-1)*12))</f>
        <v>0</v>
      </c>
      <c r="F1272" s="1">
        <f>IF(OR(Paths!$C$122=0,C1272=0),0,12-E1272)</f>
        <v>0</v>
      </c>
      <c r="G1272" s="16">
        <f>IF(NOT(Paths!$C$122=1),0,IF(Paths!$P$122="Complete",E1272/12*(Paths!$J$122*(1+'Operating costs'!$B$51)^MAX(0,C1272-1)+Paths!$K$122*(1+'Operating costs'!$B$53)^MAX(0,C1272-1)),"n.a."))</f>
        <v>0</v>
      </c>
      <c r="H1272" s="16">
        <f>IF(NOT(Paths!$C$122=1),0,IF(Paths!$P$122="Complete",F1272/12*(Paths!$L$122*(1+IF(Paths!$D$122="EV",'Operating costs'!$B$52,'Operating costs'!$B$51))^MAX(0,C1272-1)+Paths!$M$122*(1+'Operating costs'!$B$53)^MAX(0,C1272-1)),"n.a."))</f>
        <v>0</v>
      </c>
      <c r="I1272" s="16">
        <f>IF(NOT(Paths!$C$122=1),0,IF(Paths!$P$122="Complete",IF(IF(Paths!$E$122=0,C1272=0,AND(C1272&gt;0,Paths!$E$122&gt;(C1272-1)*12,Paths!$E$122&lt;=C1272*12)),Paths!$G$122,0),"n.a."))</f>
        <v>0</v>
      </c>
      <c r="J1272" s="16">
        <f>IF(NOT(Paths!$C$122=1),0,IF(Paths!$P$122="Complete",IF(IF(Paths!$E$122=0,C1272=0,AND(C1272&gt;0,Paths!$E$122&gt;(C1272-1)*12,Paths!$E$122&lt;=C1272*12)),Paths!$H$122,0),"n.a."))</f>
        <v>0</v>
      </c>
      <c r="K1272" s="16">
        <f>IF(NOT(Paths!$C$122=1),0,IF(Paths!$P$122="Complete",IF(IF(Paths!$O$122=0,C1272=0,AND(C1272&gt;0,Paths!$O$122&gt;(C1272-1)*12,Paths!$O$122&lt;=C1272*12)),Paths!$N$122,0),"n.a."))</f>
        <v>0</v>
      </c>
      <c r="L1272" s="16">
        <f>IF(NOT(Paths!$C$122=1),0,IF(Paths!$P$122="Complete",IF(C1272=10,Paths!$I$122,0),"n.a."))</f>
        <v>0</v>
      </c>
      <c r="M1272" s="16">
        <f>IF(NOT(Paths!$C$122=1),0,IF(Paths!$P$122="Complete",IF(AND(Paths!$D$122="EV",Paths!$E$122&lt;120,Paths!$E$122+'Operating costs'!$B$65&gt;Paths!$E$122,Paths!$E$122+'Operating costs'!$B$65&lt;=120,IF(Paths!$E$122+'Operating costs'!$B$65=0,C1272=0,AND(C1272&gt;0,Paths!$E$122+'Operating costs'!$B$65&gt;(C1272-1)*12,Paths!$E$122+'Operating costs'!$B$65&lt;=C1272*12))),'Operating costs'!$B$64,0)+IF(AND('Operating costs'!$B$67&gt;0,'Operating costs'!$B$67&lt;=120,OR(Paths!$D$122="ICE",'Operating costs'!$B$67&lt;=Paths!$E$122),IF('Operating costs'!$B$67=0,C1272=0,AND(C1272&gt;0,'Operating costs'!$B$67&gt;(C1272-1)*12,'Operating costs'!$B$67&lt;=C1272*12))),'Operating costs'!$B$66,0),"n.a."))</f>
        <v>0</v>
      </c>
      <c r="N1272" s="16">
        <f>IF(NOT(Paths!$C$122=1),0,IF(Paths!$P$122="Complete",SUM(G1272:I1272)-J1272-K1272-L1272+M1272+IF(C1272=0,Paths!$F$122,0)+IF(IF(Paths!$E$122=0,C1272=0,AND(C1272&gt;0,Paths!$E$122&gt;(C1272-1)*12,Paths!$E$122&lt;=C1272*12)),VLOOKUP(A1272,'Fleet register'!$A$7:$S$106,16,FALSE),0),"n.a."))</f>
        <v>0</v>
      </c>
      <c r="O1272" s="16">
        <f>IF(NOT(Paths!$C$122=1),0,IF(Paths!$P$122="Complete",N1272-IF(C1272=0,Paths!$F$122,0),"n.a."))</f>
        <v>0</v>
      </c>
      <c r="P1272" s="16">
        <f>IF(NOT(Paths!$C$122=1),0,IF(Paths!$P$122="Complete",O1272+L1272,"n.a."))</f>
        <v>0</v>
      </c>
      <c r="Q1272" s="16">
        <f>IF(NOT(Paths!$C$122=1),0,IF(Paths!$P$122="Complete",N1272*(1+'Operating costs'!$B$54)^-C1272,"n.a."))</f>
        <v>0</v>
      </c>
      <c r="R1272" s="16">
        <f>IF(NOT(Paths!$C$122=1),0,IF(Paths!$P$122="Complete",IF(AND(C1272=0,Paths!$E$122=0),I1272-J1272-K1272+VLOOKUP(A1272,'Fleet register'!$A$7:$S$106,15,FALSE)+VLOOKUP(A1272,'Fleet register'!$A$7:$S$106,16,FALSE),0),"n.a."))</f>
        <v>0</v>
      </c>
      <c r="S1272" s="1">
        <f>IF(NOT(Paths!$C$122=1),0,IF(Paths!$P$122="Complete",IF(C1272=0,0,Paths!$S$122*Paths!$R$122),"n.a."))</f>
        <v>0</v>
      </c>
      <c r="T1272" s="1">
        <f>IF(NOT(Paths!$C$122=1),0,IF(Paths!$P$122="Complete",IF(C1272=0,0,VLOOKUP(A1272,'Fleet register'!$A$7:$S$106,9,FALSE)*Paths!$R$122),"n.a."))</f>
        <v>0</v>
      </c>
    </row>
    <row r="1273" spans="1:20" ht="24" customHeight="1">
      <c r="A1273" s="1" t="str">
        <f>Paths!$A$122</f>
        <v>T029</v>
      </c>
      <c r="B1273" s="1">
        <f>Paths!$B$122</f>
        <v>3</v>
      </c>
      <c r="C1273" s="1">
        <v>1</v>
      </c>
      <c r="D1273" s="1">
        <v>122</v>
      </c>
      <c r="E1273" s="1">
        <f>IF(OR(Paths!$C$122=0,C1273=0),0,MAX(0,MIN(C1273*12,Paths!$E$122)-(C1273-1)*12))</f>
        <v>0</v>
      </c>
      <c r="F1273" s="1">
        <f>IF(OR(Paths!$C$122=0,C1273=0),0,12-E1273)</f>
        <v>0</v>
      </c>
      <c r="G1273" s="16">
        <f>IF(NOT(Paths!$C$122=1),0,IF(Paths!$P$122="Complete",E1273/12*(Paths!$J$122*(1+'Operating costs'!$B$51)^MAX(0,C1273-1)+Paths!$K$122*(1+'Operating costs'!$B$53)^MAX(0,C1273-1)),"n.a."))</f>
        <v>0</v>
      </c>
      <c r="H1273" s="16">
        <f>IF(NOT(Paths!$C$122=1),0,IF(Paths!$P$122="Complete",F1273/12*(Paths!$L$122*(1+IF(Paths!$D$122="EV",'Operating costs'!$B$52,'Operating costs'!$B$51))^MAX(0,C1273-1)+Paths!$M$122*(1+'Operating costs'!$B$53)^MAX(0,C1273-1)),"n.a."))</f>
        <v>0</v>
      </c>
      <c r="I1273" s="16">
        <f>IF(NOT(Paths!$C$122=1),0,IF(Paths!$P$122="Complete",IF(IF(Paths!$E$122=0,C1273=0,AND(C1273&gt;0,Paths!$E$122&gt;(C1273-1)*12,Paths!$E$122&lt;=C1273*12)),Paths!$G$122,0),"n.a."))</f>
        <v>0</v>
      </c>
      <c r="J1273" s="16">
        <f>IF(NOT(Paths!$C$122=1),0,IF(Paths!$P$122="Complete",IF(IF(Paths!$E$122=0,C1273=0,AND(C1273&gt;0,Paths!$E$122&gt;(C1273-1)*12,Paths!$E$122&lt;=C1273*12)),Paths!$H$122,0),"n.a."))</f>
        <v>0</v>
      </c>
      <c r="K1273" s="16">
        <f>IF(NOT(Paths!$C$122=1),0,IF(Paths!$P$122="Complete",IF(IF(Paths!$O$122=0,C1273=0,AND(C1273&gt;0,Paths!$O$122&gt;(C1273-1)*12,Paths!$O$122&lt;=C1273*12)),Paths!$N$122,0),"n.a."))</f>
        <v>0</v>
      </c>
      <c r="L1273" s="16">
        <f>IF(NOT(Paths!$C$122=1),0,IF(Paths!$P$122="Complete",IF(C1273=10,Paths!$I$122,0),"n.a."))</f>
        <v>0</v>
      </c>
      <c r="M1273" s="16">
        <f>IF(NOT(Paths!$C$122=1),0,IF(Paths!$P$122="Complete",IF(AND(Paths!$D$122="EV",Paths!$E$122&lt;120,Paths!$E$122+'Operating costs'!$B$65&gt;Paths!$E$122,Paths!$E$122+'Operating costs'!$B$65&lt;=120,IF(Paths!$E$122+'Operating costs'!$B$65=0,C1273=0,AND(C1273&gt;0,Paths!$E$122+'Operating costs'!$B$65&gt;(C1273-1)*12,Paths!$E$122+'Operating costs'!$B$65&lt;=C1273*12))),'Operating costs'!$B$64,0)+IF(AND('Operating costs'!$B$67&gt;0,'Operating costs'!$B$67&lt;=120,OR(Paths!$D$122="ICE",'Operating costs'!$B$67&lt;=Paths!$E$122),IF('Operating costs'!$B$67=0,C1273=0,AND(C1273&gt;0,'Operating costs'!$B$67&gt;(C1273-1)*12,'Operating costs'!$B$67&lt;=C1273*12))),'Operating costs'!$B$66,0),"n.a."))</f>
        <v>0</v>
      </c>
      <c r="N1273" s="16">
        <f>IF(NOT(Paths!$C$122=1),0,IF(Paths!$P$122="Complete",SUM(G1273:I1273)-J1273-K1273-L1273+M1273+IF(C1273=0,Paths!$F$122,0)+IF(IF(Paths!$E$122=0,C1273=0,AND(C1273&gt;0,Paths!$E$122&gt;(C1273-1)*12,Paths!$E$122&lt;=C1273*12)),VLOOKUP(A1273,'Fleet register'!$A$7:$S$106,16,FALSE),0),"n.a."))</f>
        <v>0</v>
      </c>
      <c r="O1273" s="16">
        <f>IF(NOT(Paths!$C$122=1),0,IF(Paths!$P$122="Complete",N1273-IF(C1273=0,Paths!$F$122,0),"n.a."))</f>
        <v>0</v>
      </c>
      <c r="P1273" s="16">
        <f>IF(NOT(Paths!$C$122=1),0,IF(Paths!$P$122="Complete",O1273+L1273,"n.a."))</f>
        <v>0</v>
      </c>
      <c r="Q1273" s="16">
        <f>IF(NOT(Paths!$C$122=1),0,IF(Paths!$P$122="Complete",N1273*(1+'Operating costs'!$B$54)^-C1273,"n.a."))</f>
        <v>0</v>
      </c>
      <c r="R1273" s="16">
        <f>IF(NOT(Paths!$C$122=1),0,IF(Paths!$P$122="Complete",IF(AND(C1273=0,Paths!$E$122=0),I1273-J1273-K1273+VLOOKUP(A1273,'Fleet register'!$A$7:$S$106,15,FALSE)+VLOOKUP(A1273,'Fleet register'!$A$7:$S$106,16,FALSE),0),"n.a."))</f>
        <v>0</v>
      </c>
      <c r="S1273" s="1">
        <f>IF(NOT(Paths!$C$122=1),0,IF(Paths!$P$122="Complete",IF(C1273=0,0,Paths!$S$122*Paths!$R$122),"n.a."))</f>
        <v>0</v>
      </c>
      <c r="T1273" s="1">
        <f>IF(NOT(Paths!$C$122=1),0,IF(Paths!$P$122="Complete",IF(C1273=0,0,VLOOKUP(A1273,'Fleet register'!$A$7:$S$106,9,FALSE)*Paths!$R$122),"n.a."))</f>
        <v>0</v>
      </c>
    </row>
    <row r="1274" spans="1:20" ht="24" customHeight="1">
      <c r="A1274" s="1" t="str">
        <f>Paths!$A$122</f>
        <v>T029</v>
      </c>
      <c r="B1274" s="1">
        <f>Paths!$B$122</f>
        <v>3</v>
      </c>
      <c r="C1274" s="1">
        <v>2</v>
      </c>
      <c r="D1274" s="1">
        <v>122</v>
      </c>
      <c r="E1274" s="1">
        <f>IF(OR(Paths!$C$122=0,C1274=0),0,MAX(0,MIN(C1274*12,Paths!$E$122)-(C1274-1)*12))</f>
        <v>0</v>
      </c>
      <c r="F1274" s="1">
        <f>IF(OR(Paths!$C$122=0,C1274=0),0,12-E1274)</f>
        <v>0</v>
      </c>
      <c r="G1274" s="16">
        <f>IF(NOT(Paths!$C$122=1),0,IF(Paths!$P$122="Complete",E1274/12*(Paths!$J$122*(1+'Operating costs'!$B$51)^MAX(0,C1274-1)+Paths!$K$122*(1+'Operating costs'!$B$53)^MAX(0,C1274-1)),"n.a."))</f>
        <v>0</v>
      </c>
      <c r="H1274" s="16">
        <f>IF(NOT(Paths!$C$122=1),0,IF(Paths!$P$122="Complete",F1274/12*(Paths!$L$122*(1+IF(Paths!$D$122="EV",'Operating costs'!$B$52,'Operating costs'!$B$51))^MAX(0,C1274-1)+Paths!$M$122*(1+'Operating costs'!$B$53)^MAX(0,C1274-1)),"n.a."))</f>
        <v>0</v>
      </c>
      <c r="I1274" s="16">
        <f>IF(NOT(Paths!$C$122=1),0,IF(Paths!$P$122="Complete",IF(IF(Paths!$E$122=0,C1274=0,AND(C1274&gt;0,Paths!$E$122&gt;(C1274-1)*12,Paths!$E$122&lt;=C1274*12)),Paths!$G$122,0),"n.a."))</f>
        <v>0</v>
      </c>
      <c r="J1274" s="16">
        <f>IF(NOT(Paths!$C$122=1),0,IF(Paths!$P$122="Complete",IF(IF(Paths!$E$122=0,C1274=0,AND(C1274&gt;0,Paths!$E$122&gt;(C1274-1)*12,Paths!$E$122&lt;=C1274*12)),Paths!$H$122,0),"n.a."))</f>
        <v>0</v>
      </c>
      <c r="K1274" s="16">
        <f>IF(NOT(Paths!$C$122=1),0,IF(Paths!$P$122="Complete",IF(IF(Paths!$O$122=0,C1274=0,AND(C1274&gt;0,Paths!$O$122&gt;(C1274-1)*12,Paths!$O$122&lt;=C1274*12)),Paths!$N$122,0),"n.a."))</f>
        <v>0</v>
      </c>
      <c r="L1274" s="16">
        <f>IF(NOT(Paths!$C$122=1),0,IF(Paths!$P$122="Complete",IF(C1274=10,Paths!$I$122,0),"n.a."))</f>
        <v>0</v>
      </c>
      <c r="M1274" s="16">
        <f>IF(NOT(Paths!$C$122=1),0,IF(Paths!$P$122="Complete",IF(AND(Paths!$D$122="EV",Paths!$E$122&lt;120,Paths!$E$122+'Operating costs'!$B$65&gt;Paths!$E$122,Paths!$E$122+'Operating costs'!$B$65&lt;=120,IF(Paths!$E$122+'Operating costs'!$B$65=0,C1274=0,AND(C1274&gt;0,Paths!$E$122+'Operating costs'!$B$65&gt;(C1274-1)*12,Paths!$E$122+'Operating costs'!$B$65&lt;=C1274*12))),'Operating costs'!$B$64,0)+IF(AND('Operating costs'!$B$67&gt;0,'Operating costs'!$B$67&lt;=120,OR(Paths!$D$122="ICE",'Operating costs'!$B$67&lt;=Paths!$E$122),IF('Operating costs'!$B$67=0,C1274=0,AND(C1274&gt;0,'Operating costs'!$B$67&gt;(C1274-1)*12,'Operating costs'!$B$67&lt;=C1274*12))),'Operating costs'!$B$66,0),"n.a."))</f>
        <v>0</v>
      </c>
      <c r="N1274" s="16">
        <f>IF(NOT(Paths!$C$122=1),0,IF(Paths!$P$122="Complete",SUM(G1274:I1274)-J1274-K1274-L1274+M1274+IF(C1274=0,Paths!$F$122,0)+IF(IF(Paths!$E$122=0,C1274=0,AND(C1274&gt;0,Paths!$E$122&gt;(C1274-1)*12,Paths!$E$122&lt;=C1274*12)),VLOOKUP(A1274,'Fleet register'!$A$7:$S$106,16,FALSE),0),"n.a."))</f>
        <v>0</v>
      </c>
      <c r="O1274" s="16">
        <f>IF(NOT(Paths!$C$122=1),0,IF(Paths!$P$122="Complete",N1274-IF(C1274=0,Paths!$F$122,0),"n.a."))</f>
        <v>0</v>
      </c>
      <c r="P1274" s="16">
        <f>IF(NOT(Paths!$C$122=1),0,IF(Paths!$P$122="Complete",O1274+L1274,"n.a."))</f>
        <v>0</v>
      </c>
      <c r="Q1274" s="16">
        <f>IF(NOT(Paths!$C$122=1),0,IF(Paths!$P$122="Complete",N1274*(1+'Operating costs'!$B$54)^-C1274,"n.a."))</f>
        <v>0</v>
      </c>
      <c r="R1274" s="16">
        <f>IF(NOT(Paths!$C$122=1),0,IF(Paths!$P$122="Complete",IF(AND(C1274=0,Paths!$E$122=0),I1274-J1274-K1274+VLOOKUP(A1274,'Fleet register'!$A$7:$S$106,15,FALSE)+VLOOKUP(A1274,'Fleet register'!$A$7:$S$106,16,FALSE),0),"n.a."))</f>
        <v>0</v>
      </c>
      <c r="S1274" s="1">
        <f>IF(NOT(Paths!$C$122=1),0,IF(Paths!$P$122="Complete",IF(C1274=0,0,Paths!$S$122*Paths!$R$122),"n.a."))</f>
        <v>0</v>
      </c>
      <c r="T1274" s="1">
        <f>IF(NOT(Paths!$C$122=1),0,IF(Paths!$P$122="Complete",IF(C1274=0,0,VLOOKUP(A1274,'Fleet register'!$A$7:$S$106,9,FALSE)*Paths!$R$122),"n.a."))</f>
        <v>0</v>
      </c>
    </row>
    <row r="1275" spans="1:20" ht="24" customHeight="1">
      <c r="A1275" s="1" t="str">
        <f>Paths!$A$122</f>
        <v>T029</v>
      </c>
      <c r="B1275" s="1">
        <f>Paths!$B$122</f>
        <v>3</v>
      </c>
      <c r="C1275" s="1">
        <v>3</v>
      </c>
      <c r="D1275" s="1">
        <v>122</v>
      </c>
      <c r="E1275" s="1">
        <f>IF(OR(Paths!$C$122=0,C1275=0),0,MAX(0,MIN(C1275*12,Paths!$E$122)-(C1275-1)*12))</f>
        <v>0</v>
      </c>
      <c r="F1275" s="1">
        <f>IF(OR(Paths!$C$122=0,C1275=0),0,12-E1275)</f>
        <v>0</v>
      </c>
      <c r="G1275" s="16">
        <f>IF(NOT(Paths!$C$122=1),0,IF(Paths!$P$122="Complete",E1275/12*(Paths!$J$122*(1+'Operating costs'!$B$51)^MAX(0,C1275-1)+Paths!$K$122*(1+'Operating costs'!$B$53)^MAX(0,C1275-1)),"n.a."))</f>
        <v>0</v>
      </c>
      <c r="H1275" s="16">
        <f>IF(NOT(Paths!$C$122=1),0,IF(Paths!$P$122="Complete",F1275/12*(Paths!$L$122*(1+IF(Paths!$D$122="EV",'Operating costs'!$B$52,'Operating costs'!$B$51))^MAX(0,C1275-1)+Paths!$M$122*(1+'Operating costs'!$B$53)^MAX(0,C1275-1)),"n.a."))</f>
        <v>0</v>
      </c>
      <c r="I1275" s="16">
        <f>IF(NOT(Paths!$C$122=1),0,IF(Paths!$P$122="Complete",IF(IF(Paths!$E$122=0,C1275=0,AND(C1275&gt;0,Paths!$E$122&gt;(C1275-1)*12,Paths!$E$122&lt;=C1275*12)),Paths!$G$122,0),"n.a."))</f>
        <v>0</v>
      </c>
      <c r="J1275" s="16">
        <f>IF(NOT(Paths!$C$122=1),0,IF(Paths!$P$122="Complete",IF(IF(Paths!$E$122=0,C1275=0,AND(C1275&gt;0,Paths!$E$122&gt;(C1275-1)*12,Paths!$E$122&lt;=C1275*12)),Paths!$H$122,0),"n.a."))</f>
        <v>0</v>
      </c>
      <c r="K1275" s="16">
        <f>IF(NOT(Paths!$C$122=1),0,IF(Paths!$P$122="Complete",IF(IF(Paths!$O$122=0,C1275=0,AND(C1275&gt;0,Paths!$O$122&gt;(C1275-1)*12,Paths!$O$122&lt;=C1275*12)),Paths!$N$122,0),"n.a."))</f>
        <v>0</v>
      </c>
      <c r="L1275" s="16">
        <f>IF(NOT(Paths!$C$122=1),0,IF(Paths!$P$122="Complete",IF(C1275=10,Paths!$I$122,0),"n.a."))</f>
        <v>0</v>
      </c>
      <c r="M1275" s="16">
        <f>IF(NOT(Paths!$C$122=1),0,IF(Paths!$P$122="Complete",IF(AND(Paths!$D$122="EV",Paths!$E$122&lt;120,Paths!$E$122+'Operating costs'!$B$65&gt;Paths!$E$122,Paths!$E$122+'Operating costs'!$B$65&lt;=120,IF(Paths!$E$122+'Operating costs'!$B$65=0,C1275=0,AND(C1275&gt;0,Paths!$E$122+'Operating costs'!$B$65&gt;(C1275-1)*12,Paths!$E$122+'Operating costs'!$B$65&lt;=C1275*12))),'Operating costs'!$B$64,0)+IF(AND('Operating costs'!$B$67&gt;0,'Operating costs'!$B$67&lt;=120,OR(Paths!$D$122="ICE",'Operating costs'!$B$67&lt;=Paths!$E$122),IF('Operating costs'!$B$67=0,C1275=0,AND(C1275&gt;0,'Operating costs'!$B$67&gt;(C1275-1)*12,'Operating costs'!$B$67&lt;=C1275*12))),'Operating costs'!$B$66,0),"n.a."))</f>
        <v>0</v>
      </c>
      <c r="N1275" s="16">
        <f>IF(NOT(Paths!$C$122=1),0,IF(Paths!$P$122="Complete",SUM(G1275:I1275)-J1275-K1275-L1275+M1275+IF(C1275=0,Paths!$F$122,0)+IF(IF(Paths!$E$122=0,C1275=0,AND(C1275&gt;0,Paths!$E$122&gt;(C1275-1)*12,Paths!$E$122&lt;=C1275*12)),VLOOKUP(A1275,'Fleet register'!$A$7:$S$106,16,FALSE),0),"n.a."))</f>
        <v>0</v>
      </c>
      <c r="O1275" s="16">
        <f>IF(NOT(Paths!$C$122=1),0,IF(Paths!$P$122="Complete",N1275-IF(C1275=0,Paths!$F$122,0),"n.a."))</f>
        <v>0</v>
      </c>
      <c r="P1275" s="16">
        <f>IF(NOT(Paths!$C$122=1),0,IF(Paths!$P$122="Complete",O1275+L1275,"n.a."))</f>
        <v>0</v>
      </c>
      <c r="Q1275" s="16">
        <f>IF(NOT(Paths!$C$122=1),0,IF(Paths!$P$122="Complete",N1275*(1+'Operating costs'!$B$54)^-C1275,"n.a."))</f>
        <v>0</v>
      </c>
      <c r="R1275" s="16">
        <f>IF(NOT(Paths!$C$122=1),0,IF(Paths!$P$122="Complete",IF(AND(C1275=0,Paths!$E$122=0),I1275-J1275-K1275+VLOOKUP(A1275,'Fleet register'!$A$7:$S$106,15,FALSE)+VLOOKUP(A1275,'Fleet register'!$A$7:$S$106,16,FALSE),0),"n.a."))</f>
        <v>0</v>
      </c>
      <c r="S1275" s="1">
        <f>IF(NOT(Paths!$C$122=1),0,IF(Paths!$P$122="Complete",IF(C1275=0,0,Paths!$S$122*Paths!$R$122),"n.a."))</f>
        <v>0</v>
      </c>
      <c r="T1275" s="1">
        <f>IF(NOT(Paths!$C$122=1),0,IF(Paths!$P$122="Complete",IF(C1275=0,0,VLOOKUP(A1275,'Fleet register'!$A$7:$S$106,9,FALSE)*Paths!$R$122),"n.a."))</f>
        <v>0</v>
      </c>
    </row>
    <row r="1276" spans="1:20" ht="24" customHeight="1">
      <c r="A1276" s="1" t="str">
        <f>Paths!$A$122</f>
        <v>T029</v>
      </c>
      <c r="B1276" s="1">
        <f>Paths!$B$122</f>
        <v>3</v>
      </c>
      <c r="C1276" s="1">
        <v>4</v>
      </c>
      <c r="D1276" s="1">
        <v>122</v>
      </c>
      <c r="E1276" s="1">
        <f>IF(OR(Paths!$C$122=0,C1276=0),0,MAX(0,MIN(C1276*12,Paths!$E$122)-(C1276-1)*12))</f>
        <v>0</v>
      </c>
      <c r="F1276" s="1">
        <f>IF(OR(Paths!$C$122=0,C1276=0),0,12-E1276)</f>
        <v>0</v>
      </c>
      <c r="G1276" s="16">
        <f>IF(NOT(Paths!$C$122=1),0,IF(Paths!$P$122="Complete",E1276/12*(Paths!$J$122*(1+'Operating costs'!$B$51)^MAX(0,C1276-1)+Paths!$K$122*(1+'Operating costs'!$B$53)^MAX(0,C1276-1)),"n.a."))</f>
        <v>0</v>
      </c>
      <c r="H1276" s="16">
        <f>IF(NOT(Paths!$C$122=1),0,IF(Paths!$P$122="Complete",F1276/12*(Paths!$L$122*(1+IF(Paths!$D$122="EV",'Operating costs'!$B$52,'Operating costs'!$B$51))^MAX(0,C1276-1)+Paths!$M$122*(1+'Operating costs'!$B$53)^MAX(0,C1276-1)),"n.a."))</f>
        <v>0</v>
      </c>
      <c r="I1276" s="16">
        <f>IF(NOT(Paths!$C$122=1),0,IF(Paths!$P$122="Complete",IF(IF(Paths!$E$122=0,C1276=0,AND(C1276&gt;0,Paths!$E$122&gt;(C1276-1)*12,Paths!$E$122&lt;=C1276*12)),Paths!$G$122,0),"n.a."))</f>
        <v>0</v>
      </c>
      <c r="J1276" s="16">
        <f>IF(NOT(Paths!$C$122=1),0,IF(Paths!$P$122="Complete",IF(IF(Paths!$E$122=0,C1276=0,AND(C1276&gt;0,Paths!$E$122&gt;(C1276-1)*12,Paths!$E$122&lt;=C1276*12)),Paths!$H$122,0),"n.a."))</f>
        <v>0</v>
      </c>
      <c r="K1276" s="16">
        <f>IF(NOT(Paths!$C$122=1),0,IF(Paths!$P$122="Complete",IF(IF(Paths!$O$122=0,C1276=0,AND(C1276&gt;0,Paths!$O$122&gt;(C1276-1)*12,Paths!$O$122&lt;=C1276*12)),Paths!$N$122,0),"n.a."))</f>
        <v>0</v>
      </c>
      <c r="L1276" s="16">
        <f>IF(NOT(Paths!$C$122=1),0,IF(Paths!$P$122="Complete",IF(C1276=10,Paths!$I$122,0),"n.a."))</f>
        <v>0</v>
      </c>
      <c r="M1276" s="16">
        <f>IF(NOT(Paths!$C$122=1),0,IF(Paths!$P$122="Complete",IF(AND(Paths!$D$122="EV",Paths!$E$122&lt;120,Paths!$E$122+'Operating costs'!$B$65&gt;Paths!$E$122,Paths!$E$122+'Operating costs'!$B$65&lt;=120,IF(Paths!$E$122+'Operating costs'!$B$65=0,C1276=0,AND(C1276&gt;0,Paths!$E$122+'Operating costs'!$B$65&gt;(C1276-1)*12,Paths!$E$122+'Operating costs'!$B$65&lt;=C1276*12))),'Operating costs'!$B$64,0)+IF(AND('Operating costs'!$B$67&gt;0,'Operating costs'!$B$67&lt;=120,OR(Paths!$D$122="ICE",'Operating costs'!$B$67&lt;=Paths!$E$122),IF('Operating costs'!$B$67=0,C1276=0,AND(C1276&gt;0,'Operating costs'!$B$67&gt;(C1276-1)*12,'Operating costs'!$B$67&lt;=C1276*12))),'Operating costs'!$B$66,0),"n.a."))</f>
        <v>0</v>
      </c>
      <c r="N1276" s="16">
        <f>IF(NOT(Paths!$C$122=1),0,IF(Paths!$P$122="Complete",SUM(G1276:I1276)-J1276-K1276-L1276+M1276+IF(C1276=0,Paths!$F$122,0)+IF(IF(Paths!$E$122=0,C1276=0,AND(C1276&gt;0,Paths!$E$122&gt;(C1276-1)*12,Paths!$E$122&lt;=C1276*12)),VLOOKUP(A1276,'Fleet register'!$A$7:$S$106,16,FALSE),0),"n.a."))</f>
        <v>0</v>
      </c>
      <c r="O1276" s="16">
        <f>IF(NOT(Paths!$C$122=1),0,IF(Paths!$P$122="Complete",N1276-IF(C1276=0,Paths!$F$122,0),"n.a."))</f>
        <v>0</v>
      </c>
      <c r="P1276" s="16">
        <f>IF(NOT(Paths!$C$122=1),0,IF(Paths!$P$122="Complete",O1276+L1276,"n.a."))</f>
        <v>0</v>
      </c>
      <c r="Q1276" s="16">
        <f>IF(NOT(Paths!$C$122=1),0,IF(Paths!$P$122="Complete",N1276*(1+'Operating costs'!$B$54)^-C1276,"n.a."))</f>
        <v>0</v>
      </c>
      <c r="R1276" s="16">
        <f>IF(NOT(Paths!$C$122=1),0,IF(Paths!$P$122="Complete",IF(AND(C1276=0,Paths!$E$122=0),I1276-J1276-K1276+VLOOKUP(A1276,'Fleet register'!$A$7:$S$106,15,FALSE)+VLOOKUP(A1276,'Fleet register'!$A$7:$S$106,16,FALSE),0),"n.a."))</f>
        <v>0</v>
      </c>
      <c r="S1276" s="1">
        <f>IF(NOT(Paths!$C$122=1),0,IF(Paths!$P$122="Complete",IF(C1276=0,0,Paths!$S$122*Paths!$R$122),"n.a."))</f>
        <v>0</v>
      </c>
      <c r="T1276" s="1">
        <f>IF(NOT(Paths!$C$122=1),0,IF(Paths!$P$122="Complete",IF(C1276=0,0,VLOOKUP(A1276,'Fleet register'!$A$7:$S$106,9,FALSE)*Paths!$R$122),"n.a."))</f>
        <v>0</v>
      </c>
    </row>
    <row r="1277" spans="1:20" ht="24" customHeight="1">
      <c r="A1277" s="1" t="str">
        <f>Paths!$A$122</f>
        <v>T029</v>
      </c>
      <c r="B1277" s="1">
        <f>Paths!$B$122</f>
        <v>3</v>
      </c>
      <c r="C1277" s="1">
        <v>5</v>
      </c>
      <c r="D1277" s="1">
        <v>122</v>
      </c>
      <c r="E1277" s="1">
        <f>IF(OR(Paths!$C$122=0,C1277=0),0,MAX(0,MIN(C1277*12,Paths!$E$122)-(C1277-1)*12))</f>
        <v>0</v>
      </c>
      <c r="F1277" s="1">
        <f>IF(OR(Paths!$C$122=0,C1277=0),0,12-E1277)</f>
        <v>0</v>
      </c>
      <c r="G1277" s="16">
        <f>IF(NOT(Paths!$C$122=1),0,IF(Paths!$P$122="Complete",E1277/12*(Paths!$J$122*(1+'Operating costs'!$B$51)^MAX(0,C1277-1)+Paths!$K$122*(1+'Operating costs'!$B$53)^MAX(0,C1277-1)),"n.a."))</f>
        <v>0</v>
      </c>
      <c r="H1277" s="16">
        <f>IF(NOT(Paths!$C$122=1),0,IF(Paths!$P$122="Complete",F1277/12*(Paths!$L$122*(1+IF(Paths!$D$122="EV",'Operating costs'!$B$52,'Operating costs'!$B$51))^MAX(0,C1277-1)+Paths!$M$122*(1+'Operating costs'!$B$53)^MAX(0,C1277-1)),"n.a."))</f>
        <v>0</v>
      </c>
      <c r="I1277" s="16">
        <f>IF(NOT(Paths!$C$122=1),0,IF(Paths!$P$122="Complete",IF(IF(Paths!$E$122=0,C1277=0,AND(C1277&gt;0,Paths!$E$122&gt;(C1277-1)*12,Paths!$E$122&lt;=C1277*12)),Paths!$G$122,0),"n.a."))</f>
        <v>0</v>
      </c>
      <c r="J1277" s="16">
        <f>IF(NOT(Paths!$C$122=1),0,IF(Paths!$P$122="Complete",IF(IF(Paths!$E$122=0,C1277=0,AND(C1277&gt;0,Paths!$E$122&gt;(C1277-1)*12,Paths!$E$122&lt;=C1277*12)),Paths!$H$122,0),"n.a."))</f>
        <v>0</v>
      </c>
      <c r="K1277" s="16">
        <f>IF(NOT(Paths!$C$122=1),0,IF(Paths!$P$122="Complete",IF(IF(Paths!$O$122=0,C1277=0,AND(C1277&gt;0,Paths!$O$122&gt;(C1277-1)*12,Paths!$O$122&lt;=C1277*12)),Paths!$N$122,0),"n.a."))</f>
        <v>0</v>
      </c>
      <c r="L1277" s="16">
        <f>IF(NOT(Paths!$C$122=1),0,IF(Paths!$P$122="Complete",IF(C1277=10,Paths!$I$122,0),"n.a."))</f>
        <v>0</v>
      </c>
      <c r="M1277" s="16">
        <f>IF(NOT(Paths!$C$122=1),0,IF(Paths!$P$122="Complete",IF(AND(Paths!$D$122="EV",Paths!$E$122&lt;120,Paths!$E$122+'Operating costs'!$B$65&gt;Paths!$E$122,Paths!$E$122+'Operating costs'!$B$65&lt;=120,IF(Paths!$E$122+'Operating costs'!$B$65=0,C1277=0,AND(C1277&gt;0,Paths!$E$122+'Operating costs'!$B$65&gt;(C1277-1)*12,Paths!$E$122+'Operating costs'!$B$65&lt;=C1277*12))),'Operating costs'!$B$64,0)+IF(AND('Operating costs'!$B$67&gt;0,'Operating costs'!$B$67&lt;=120,OR(Paths!$D$122="ICE",'Operating costs'!$B$67&lt;=Paths!$E$122),IF('Operating costs'!$B$67=0,C1277=0,AND(C1277&gt;0,'Operating costs'!$B$67&gt;(C1277-1)*12,'Operating costs'!$B$67&lt;=C1277*12))),'Operating costs'!$B$66,0),"n.a."))</f>
        <v>0</v>
      </c>
      <c r="N1277" s="16">
        <f>IF(NOT(Paths!$C$122=1),0,IF(Paths!$P$122="Complete",SUM(G1277:I1277)-J1277-K1277-L1277+M1277+IF(C1277=0,Paths!$F$122,0)+IF(IF(Paths!$E$122=0,C1277=0,AND(C1277&gt;0,Paths!$E$122&gt;(C1277-1)*12,Paths!$E$122&lt;=C1277*12)),VLOOKUP(A1277,'Fleet register'!$A$7:$S$106,16,FALSE),0),"n.a."))</f>
        <v>0</v>
      </c>
      <c r="O1277" s="16">
        <f>IF(NOT(Paths!$C$122=1),0,IF(Paths!$P$122="Complete",N1277-IF(C1277=0,Paths!$F$122,0),"n.a."))</f>
        <v>0</v>
      </c>
      <c r="P1277" s="16">
        <f>IF(NOT(Paths!$C$122=1),0,IF(Paths!$P$122="Complete",O1277+L1277,"n.a."))</f>
        <v>0</v>
      </c>
      <c r="Q1277" s="16">
        <f>IF(NOT(Paths!$C$122=1),0,IF(Paths!$P$122="Complete",N1277*(1+'Operating costs'!$B$54)^-C1277,"n.a."))</f>
        <v>0</v>
      </c>
      <c r="R1277" s="16">
        <f>IF(NOT(Paths!$C$122=1),0,IF(Paths!$P$122="Complete",IF(AND(C1277=0,Paths!$E$122=0),I1277-J1277-K1277+VLOOKUP(A1277,'Fleet register'!$A$7:$S$106,15,FALSE)+VLOOKUP(A1277,'Fleet register'!$A$7:$S$106,16,FALSE),0),"n.a."))</f>
        <v>0</v>
      </c>
      <c r="S1277" s="1">
        <f>IF(NOT(Paths!$C$122=1),0,IF(Paths!$P$122="Complete",IF(C1277=0,0,Paths!$S$122*Paths!$R$122),"n.a."))</f>
        <v>0</v>
      </c>
      <c r="T1277" s="1">
        <f>IF(NOT(Paths!$C$122=1),0,IF(Paths!$P$122="Complete",IF(C1277=0,0,VLOOKUP(A1277,'Fleet register'!$A$7:$S$106,9,FALSE)*Paths!$R$122),"n.a."))</f>
        <v>0</v>
      </c>
    </row>
    <row r="1278" spans="1:20" ht="24" customHeight="1">
      <c r="A1278" s="1" t="str">
        <f>Paths!$A$122</f>
        <v>T029</v>
      </c>
      <c r="B1278" s="1">
        <f>Paths!$B$122</f>
        <v>3</v>
      </c>
      <c r="C1278" s="1">
        <v>6</v>
      </c>
      <c r="D1278" s="1">
        <v>122</v>
      </c>
      <c r="E1278" s="1">
        <f>IF(OR(Paths!$C$122=0,C1278=0),0,MAX(0,MIN(C1278*12,Paths!$E$122)-(C1278-1)*12))</f>
        <v>0</v>
      </c>
      <c r="F1278" s="1">
        <f>IF(OR(Paths!$C$122=0,C1278=0),0,12-E1278)</f>
        <v>0</v>
      </c>
      <c r="G1278" s="16">
        <f>IF(NOT(Paths!$C$122=1),0,IF(Paths!$P$122="Complete",E1278/12*(Paths!$J$122*(1+'Operating costs'!$B$51)^MAX(0,C1278-1)+Paths!$K$122*(1+'Operating costs'!$B$53)^MAX(0,C1278-1)),"n.a."))</f>
        <v>0</v>
      </c>
      <c r="H1278" s="16">
        <f>IF(NOT(Paths!$C$122=1),0,IF(Paths!$P$122="Complete",F1278/12*(Paths!$L$122*(1+IF(Paths!$D$122="EV",'Operating costs'!$B$52,'Operating costs'!$B$51))^MAX(0,C1278-1)+Paths!$M$122*(1+'Operating costs'!$B$53)^MAX(0,C1278-1)),"n.a."))</f>
        <v>0</v>
      </c>
      <c r="I1278" s="16">
        <f>IF(NOT(Paths!$C$122=1),0,IF(Paths!$P$122="Complete",IF(IF(Paths!$E$122=0,C1278=0,AND(C1278&gt;0,Paths!$E$122&gt;(C1278-1)*12,Paths!$E$122&lt;=C1278*12)),Paths!$G$122,0),"n.a."))</f>
        <v>0</v>
      </c>
      <c r="J1278" s="16">
        <f>IF(NOT(Paths!$C$122=1),0,IF(Paths!$P$122="Complete",IF(IF(Paths!$E$122=0,C1278=0,AND(C1278&gt;0,Paths!$E$122&gt;(C1278-1)*12,Paths!$E$122&lt;=C1278*12)),Paths!$H$122,0),"n.a."))</f>
        <v>0</v>
      </c>
      <c r="K1278" s="16">
        <f>IF(NOT(Paths!$C$122=1),0,IF(Paths!$P$122="Complete",IF(IF(Paths!$O$122=0,C1278=0,AND(C1278&gt;0,Paths!$O$122&gt;(C1278-1)*12,Paths!$O$122&lt;=C1278*12)),Paths!$N$122,0),"n.a."))</f>
        <v>0</v>
      </c>
      <c r="L1278" s="16">
        <f>IF(NOT(Paths!$C$122=1),0,IF(Paths!$P$122="Complete",IF(C1278=10,Paths!$I$122,0),"n.a."))</f>
        <v>0</v>
      </c>
      <c r="M1278" s="16">
        <f>IF(NOT(Paths!$C$122=1),0,IF(Paths!$P$122="Complete",IF(AND(Paths!$D$122="EV",Paths!$E$122&lt;120,Paths!$E$122+'Operating costs'!$B$65&gt;Paths!$E$122,Paths!$E$122+'Operating costs'!$B$65&lt;=120,IF(Paths!$E$122+'Operating costs'!$B$65=0,C1278=0,AND(C1278&gt;0,Paths!$E$122+'Operating costs'!$B$65&gt;(C1278-1)*12,Paths!$E$122+'Operating costs'!$B$65&lt;=C1278*12))),'Operating costs'!$B$64,0)+IF(AND('Operating costs'!$B$67&gt;0,'Operating costs'!$B$67&lt;=120,OR(Paths!$D$122="ICE",'Operating costs'!$B$67&lt;=Paths!$E$122),IF('Operating costs'!$B$67=0,C1278=0,AND(C1278&gt;0,'Operating costs'!$B$67&gt;(C1278-1)*12,'Operating costs'!$B$67&lt;=C1278*12))),'Operating costs'!$B$66,0),"n.a."))</f>
        <v>0</v>
      </c>
      <c r="N1278" s="16">
        <f>IF(NOT(Paths!$C$122=1),0,IF(Paths!$P$122="Complete",SUM(G1278:I1278)-J1278-K1278-L1278+M1278+IF(C1278=0,Paths!$F$122,0)+IF(IF(Paths!$E$122=0,C1278=0,AND(C1278&gt;0,Paths!$E$122&gt;(C1278-1)*12,Paths!$E$122&lt;=C1278*12)),VLOOKUP(A1278,'Fleet register'!$A$7:$S$106,16,FALSE),0),"n.a."))</f>
        <v>0</v>
      </c>
      <c r="O1278" s="16">
        <f>IF(NOT(Paths!$C$122=1),0,IF(Paths!$P$122="Complete",N1278-IF(C1278=0,Paths!$F$122,0),"n.a."))</f>
        <v>0</v>
      </c>
      <c r="P1278" s="16">
        <f>IF(NOT(Paths!$C$122=1),0,IF(Paths!$P$122="Complete",O1278+L1278,"n.a."))</f>
        <v>0</v>
      </c>
      <c r="Q1278" s="16">
        <f>IF(NOT(Paths!$C$122=1),0,IF(Paths!$P$122="Complete",N1278*(1+'Operating costs'!$B$54)^-C1278,"n.a."))</f>
        <v>0</v>
      </c>
      <c r="R1278" s="16">
        <f>IF(NOT(Paths!$C$122=1),0,IF(Paths!$P$122="Complete",IF(AND(C1278=0,Paths!$E$122=0),I1278-J1278-K1278+VLOOKUP(A1278,'Fleet register'!$A$7:$S$106,15,FALSE)+VLOOKUP(A1278,'Fleet register'!$A$7:$S$106,16,FALSE),0),"n.a."))</f>
        <v>0</v>
      </c>
      <c r="S1278" s="1">
        <f>IF(NOT(Paths!$C$122=1),0,IF(Paths!$P$122="Complete",IF(C1278=0,0,Paths!$S$122*Paths!$R$122),"n.a."))</f>
        <v>0</v>
      </c>
      <c r="T1278" s="1">
        <f>IF(NOT(Paths!$C$122=1),0,IF(Paths!$P$122="Complete",IF(C1278=0,0,VLOOKUP(A1278,'Fleet register'!$A$7:$S$106,9,FALSE)*Paths!$R$122),"n.a."))</f>
        <v>0</v>
      </c>
    </row>
    <row r="1279" spans="1:20" ht="24" customHeight="1">
      <c r="A1279" s="1" t="str">
        <f>Paths!$A$122</f>
        <v>T029</v>
      </c>
      <c r="B1279" s="1">
        <f>Paths!$B$122</f>
        <v>3</v>
      </c>
      <c r="C1279" s="1">
        <v>7</v>
      </c>
      <c r="D1279" s="1">
        <v>122</v>
      </c>
      <c r="E1279" s="1">
        <f>IF(OR(Paths!$C$122=0,C1279=0),0,MAX(0,MIN(C1279*12,Paths!$E$122)-(C1279-1)*12))</f>
        <v>0</v>
      </c>
      <c r="F1279" s="1">
        <f>IF(OR(Paths!$C$122=0,C1279=0),0,12-E1279)</f>
        <v>0</v>
      </c>
      <c r="G1279" s="16">
        <f>IF(NOT(Paths!$C$122=1),0,IF(Paths!$P$122="Complete",E1279/12*(Paths!$J$122*(1+'Operating costs'!$B$51)^MAX(0,C1279-1)+Paths!$K$122*(1+'Operating costs'!$B$53)^MAX(0,C1279-1)),"n.a."))</f>
        <v>0</v>
      </c>
      <c r="H1279" s="16">
        <f>IF(NOT(Paths!$C$122=1),0,IF(Paths!$P$122="Complete",F1279/12*(Paths!$L$122*(1+IF(Paths!$D$122="EV",'Operating costs'!$B$52,'Operating costs'!$B$51))^MAX(0,C1279-1)+Paths!$M$122*(1+'Operating costs'!$B$53)^MAX(0,C1279-1)),"n.a."))</f>
        <v>0</v>
      </c>
      <c r="I1279" s="16">
        <f>IF(NOT(Paths!$C$122=1),0,IF(Paths!$P$122="Complete",IF(IF(Paths!$E$122=0,C1279=0,AND(C1279&gt;0,Paths!$E$122&gt;(C1279-1)*12,Paths!$E$122&lt;=C1279*12)),Paths!$G$122,0),"n.a."))</f>
        <v>0</v>
      </c>
      <c r="J1279" s="16">
        <f>IF(NOT(Paths!$C$122=1),0,IF(Paths!$P$122="Complete",IF(IF(Paths!$E$122=0,C1279=0,AND(C1279&gt;0,Paths!$E$122&gt;(C1279-1)*12,Paths!$E$122&lt;=C1279*12)),Paths!$H$122,0),"n.a."))</f>
        <v>0</v>
      </c>
      <c r="K1279" s="16">
        <f>IF(NOT(Paths!$C$122=1),0,IF(Paths!$P$122="Complete",IF(IF(Paths!$O$122=0,C1279=0,AND(C1279&gt;0,Paths!$O$122&gt;(C1279-1)*12,Paths!$O$122&lt;=C1279*12)),Paths!$N$122,0),"n.a."))</f>
        <v>0</v>
      </c>
      <c r="L1279" s="16">
        <f>IF(NOT(Paths!$C$122=1),0,IF(Paths!$P$122="Complete",IF(C1279=10,Paths!$I$122,0),"n.a."))</f>
        <v>0</v>
      </c>
      <c r="M1279" s="16">
        <f>IF(NOT(Paths!$C$122=1),0,IF(Paths!$P$122="Complete",IF(AND(Paths!$D$122="EV",Paths!$E$122&lt;120,Paths!$E$122+'Operating costs'!$B$65&gt;Paths!$E$122,Paths!$E$122+'Operating costs'!$B$65&lt;=120,IF(Paths!$E$122+'Operating costs'!$B$65=0,C1279=0,AND(C1279&gt;0,Paths!$E$122+'Operating costs'!$B$65&gt;(C1279-1)*12,Paths!$E$122+'Operating costs'!$B$65&lt;=C1279*12))),'Operating costs'!$B$64,0)+IF(AND('Operating costs'!$B$67&gt;0,'Operating costs'!$B$67&lt;=120,OR(Paths!$D$122="ICE",'Operating costs'!$B$67&lt;=Paths!$E$122),IF('Operating costs'!$B$67=0,C1279=0,AND(C1279&gt;0,'Operating costs'!$B$67&gt;(C1279-1)*12,'Operating costs'!$B$67&lt;=C1279*12))),'Operating costs'!$B$66,0),"n.a."))</f>
        <v>0</v>
      </c>
      <c r="N1279" s="16">
        <f>IF(NOT(Paths!$C$122=1),0,IF(Paths!$P$122="Complete",SUM(G1279:I1279)-J1279-K1279-L1279+M1279+IF(C1279=0,Paths!$F$122,0)+IF(IF(Paths!$E$122=0,C1279=0,AND(C1279&gt;0,Paths!$E$122&gt;(C1279-1)*12,Paths!$E$122&lt;=C1279*12)),VLOOKUP(A1279,'Fleet register'!$A$7:$S$106,16,FALSE),0),"n.a."))</f>
        <v>0</v>
      </c>
      <c r="O1279" s="16">
        <f>IF(NOT(Paths!$C$122=1),0,IF(Paths!$P$122="Complete",N1279-IF(C1279=0,Paths!$F$122,0),"n.a."))</f>
        <v>0</v>
      </c>
      <c r="P1279" s="16">
        <f>IF(NOT(Paths!$C$122=1),0,IF(Paths!$P$122="Complete",O1279+L1279,"n.a."))</f>
        <v>0</v>
      </c>
      <c r="Q1279" s="16">
        <f>IF(NOT(Paths!$C$122=1),0,IF(Paths!$P$122="Complete",N1279*(1+'Operating costs'!$B$54)^-C1279,"n.a."))</f>
        <v>0</v>
      </c>
      <c r="R1279" s="16">
        <f>IF(NOT(Paths!$C$122=1),0,IF(Paths!$P$122="Complete",IF(AND(C1279=0,Paths!$E$122=0),I1279-J1279-K1279+VLOOKUP(A1279,'Fleet register'!$A$7:$S$106,15,FALSE)+VLOOKUP(A1279,'Fleet register'!$A$7:$S$106,16,FALSE),0),"n.a."))</f>
        <v>0</v>
      </c>
      <c r="S1279" s="1">
        <f>IF(NOT(Paths!$C$122=1),0,IF(Paths!$P$122="Complete",IF(C1279=0,0,Paths!$S$122*Paths!$R$122),"n.a."))</f>
        <v>0</v>
      </c>
      <c r="T1279" s="1">
        <f>IF(NOT(Paths!$C$122=1),0,IF(Paths!$P$122="Complete",IF(C1279=0,0,VLOOKUP(A1279,'Fleet register'!$A$7:$S$106,9,FALSE)*Paths!$R$122),"n.a."))</f>
        <v>0</v>
      </c>
    </row>
    <row r="1280" spans="1:20" ht="24" customHeight="1">
      <c r="A1280" s="1" t="str">
        <f>Paths!$A$122</f>
        <v>T029</v>
      </c>
      <c r="B1280" s="1">
        <f>Paths!$B$122</f>
        <v>3</v>
      </c>
      <c r="C1280" s="1">
        <v>8</v>
      </c>
      <c r="D1280" s="1">
        <v>122</v>
      </c>
      <c r="E1280" s="1">
        <f>IF(OR(Paths!$C$122=0,C1280=0),0,MAX(0,MIN(C1280*12,Paths!$E$122)-(C1280-1)*12))</f>
        <v>0</v>
      </c>
      <c r="F1280" s="1">
        <f>IF(OR(Paths!$C$122=0,C1280=0),0,12-E1280)</f>
        <v>0</v>
      </c>
      <c r="G1280" s="16">
        <f>IF(NOT(Paths!$C$122=1),0,IF(Paths!$P$122="Complete",E1280/12*(Paths!$J$122*(1+'Operating costs'!$B$51)^MAX(0,C1280-1)+Paths!$K$122*(1+'Operating costs'!$B$53)^MAX(0,C1280-1)),"n.a."))</f>
        <v>0</v>
      </c>
      <c r="H1280" s="16">
        <f>IF(NOT(Paths!$C$122=1),0,IF(Paths!$P$122="Complete",F1280/12*(Paths!$L$122*(1+IF(Paths!$D$122="EV",'Operating costs'!$B$52,'Operating costs'!$B$51))^MAX(0,C1280-1)+Paths!$M$122*(1+'Operating costs'!$B$53)^MAX(0,C1280-1)),"n.a."))</f>
        <v>0</v>
      </c>
      <c r="I1280" s="16">
        <f>IF(NOT(Paths!$C$122=1),0,IF(Paths!$P$122="Complete",IF(IF(Paths!$E$122=0,C1280=0,AND(C1280&gt;0,Paths!$E$122&gt;(C1280-1)*12,Paths!$E$122&lt;=C1280*12)),Paths!$G$122,0),"n.a."))</f>
        <v>0</v>
      </c>
      <c r="J1280" s="16">
        <f>IF(NOT(Paths!$C$122=1),0,IF(Paths!$P$122="Complete",IF(IF(Paths!$E$122=0,C1280=0,AND(C1280&gt;0,Paths!$E$122&gt;(C1280-1)*12,Paths!$E$122&lt;=C1280*12)),Paths!$H$122,0),"n.a."))</f>
        <v>0</v>
      </c>
      <c r="K1280" s="16">
        <f>IF(NOT(Paths!$C$122=1),0,IF(Paths!$P$122="Complete",IF(IF(Paths!$O$122=0,C1280=0,AND(C1280&gt;0,Paths!$O$122&gt;(C1280-1)*12,Paths!$O$122&lt;=C1280*12)),Paths!$N$122,0),"n.a."))</f>
        <v>0</v>
      </c>
      <c r="L1280" s="16">
        <f>IF(NOT(Paths!$C$122=1),0,IF(Paths!$P$122="Complete",IF(C1280=10,Paths!$I$122,0),"n.a."))</f>
        <v>0</v>
      </c>
      <c r="M1280" s="16">
        <f>IF(NOT(Paths!$C$122=1),0,IF(Paths!$P$122="Complete",IF(AND(Paths!$D$122="EV",Paths!$E$122&lt;120,Paths!$E$122+'Operating costs'!$B$65&gt;Paths!$E$122,Paths!$E$122+'Operating costs'!$B$65&lt;=120,IF(Paths!$E$122+'Operating costs'!$B$65=0,C1280=0,AND(C1280&gt;0,Paths!$E$122+'Operating costs'!$B$65&gt;(C1280-1)*12,Paths!$E$122+'Operating costs'!$B$65&lt;=C1280*12))),'Operating costs'!$B$64,0)+IF(AND('Operating costs'!$B$67&gt;0,'Operating costs'!$B$67&lt;=120,OR(Paths!$D$122="ICE",'Operating costs'!$B$67&lt;=Paths!$E$122),IF('Operating costs'!$B$67=0,C1280=0,AND(C1280&gt;0,'Operating costs'!$B$67&gt;(C1280-1)*12,'Operating costs'!$B$67&lt;=C1280*12))),'Operating costs'!$B$66,0),"n.a."))</f>
        <v>0</v>
      </c>
      <c r="N1280" s="16">
        <f>IF(NOT(Paths!$C$122=1),0,IF(Paths!$P$122="Complete",SUM(G1280:I1280)-J1280-K1280-L1280+M1280+IF(C1280=0,Paths!$F$122,0)+IF(IF(Paths!$E$122=0,C1280=0,AND(C1280&gt;0,Paths!$E$122&gt;(C1280-1)*12,Paths!$E$122&lt;=C1280*12)),VLOOKUP(A1280,'Fleet register'!$A$7:$S$106,16,FALSE),0),"n.a."))</f>
        <v>0</v>
      </c>
      <c r="O1280" s="16">
        <f>IF(NOT(Paths!$C$122=1),0,IF(Paths!$P$122="Complete",N1280-IF(C1280=0,Paths!$F$122,0),"n.a."))</f>
        <v>0</v>
      </c>
      <c r="P1280" s="16">
        <f>IF(NOT(Paths!$C$122=1),0,IF(Paths!$P$122="Complete",O1280+L1280,"n.a."))</f>
        <v>0</v>
      </c>
      <c r="Q1280" s="16">
        <f>IF(NOT(Paths!$C$122=1),0,IF(Paths!$P$122="Complete",N1280*(1+'Operating costs'!$B$54)^-C1280,"n.a."))</f>
        <v>0</v>
      </c>
      <c r="R1280" s="16">
        <f>IF(NOT(Paths!$C$122=1),0,IF(Paths!$P$122="Complete",IF(AND(C1280=0,Paths!$E$122=0),I1280-J1280-K1280+VLOOKUP(A1280,'Fleet register'!$A$7:$S$106,15,FALSE)+VLOOKUP(A1280,'Fleet register'!$A$7:$S$106,16,FALSE),0),"n.a."))</f>
        <v>0</v>
      </c>
      <c r="S1280" s="1">
        <f>IF(NOT(Paths!$C$122=1),0,IF(Paths!$P$122="Complete",IF(C1280=0,0,Paths!$S$122*Paths!$R$122),"n.a."))</f>
        <v>0</v>
      </c>
      <c r="T1280" s="1">
        <f>IF(NOT(Paths!$C$122=1),0,IF(Paths!$P$122="Complete",IF(C1280=0,0,VLOOKUP(A1280,'Fleet register'!$A$7:$S$106,9,FALSE)*Paths!$R$122),"n.a."))</f>
        <v>0</v>
      </c>
    </row>
    <row r="1281" spans="1:20" ht="24" customHeight="1">
      <c r="A1281" s="1" t="str">
        <f>Paths!$A$122</f>
        <v>T029</v>
      </c>
      <c r="B1281" s="1">
        <f>Paths!$B$122</f>
        <v>3</v>
      </c>
      <c r="C1281" s="1">
        <v>9</v>
      </c>
      <c r="D1281" s="1">
        <v>122</v>
      </c>
      <c r="E1281" s="1">
        <f>IF(OR(Paths!$C$122=0,C1281=0),0,MAX(0,MIN(C1281*12,Paths!$E$122)-(C1281-1)*12))</f>
        <v>0</v>
      </c>
      <c r="F1281" s="1">
        <f>IF(OR(Paths!$C$122=0,C1281=0),0,12-E1281)</f>
        <v>0</v>
      </c>
      <c r="G1281" s="16">
        <f>IF(NOT(Paths!$C$122=1),0,IF(Paths!$P$122="Complete",E1281/12*(Paths!$J$122*(1+'Operating costs'!$B$51)^MAX(0,C1281-1)+Paths!$K$122*(1+'Operating costs'!$B$53)^MAX(0,C1281-1)),"n.a."))</f>
        <v>0</v>
      </c>
      <c r="H1281" s="16">
        <f>IF(NOT(Paths!$C$122=1),0,IF(Paths!$P$122="Complete",F1281/12*(Paths!$L$122*(1+IF(Paths!$D$122="EV",'Operating costs'!$B$52,'Operating costs'!$B$51))^MAX(0,C1281-1)+Paths!$M$122*(1+'Operating costs'!$B$53)^MAX(0,C1281-1)),"n.a."))</f>
        <v>0</v>
      </c>
      <c r="I1281" s="16">
        <f>IF(NOT(Paths!$C$122=1),0,IF(Paths!$P$122="Complete",IF(IF(Paths!$E$122=0,C1281=0,AND(C1281&gt;0,Paths!$E$122&gt;(C1281-1)*12,Paths!$E$122&lt;=C1281*12)),Paths!$G$122,0),"n.a."))</f>
        <v>0</v>
      </c>
      <c r="J1281" s="16">
        <f>IF(NOT(Paths!$C$122=1),0,IF(Paths!$P$122="Complete",IF(IF(Paths!$E$122=0,C1281=0,AND(C1281&gt;0,Paths!$E$122&gt;(C1281-1)*12,Paths!$E$122&lt;=C1281*12)),Paths!$H$122,0),"n.a."))</f>
        <v>0</v>
      </c>
      <c r="K1281" s="16">
        <f>IF(NOT(Paths!$C$122=1),0,IF(Paths!$P$122="Complete",IF(IF(Paths!$O$122=0,C1281=0,AND(C1281&gt;0,Paths!$O$122&gt;(C1281-1)*12,Paths!$O$122&lt;=C1281*12)),Paths!$N$122,0),"n.a."))</f>
        <v>0</v>
      </c>
      <c r="L1281" s="16">
        <f>IF(NOT(Paths!$C$122=1),0,IF(Paths!$P$122="Complete",IF(C1281=10,Paths!$I$122,0),"n.a."))</f>
        <v>0</v>
      </c>
      <c r="M1281" s="16">
        <f>IF(NOT(Paths!$C$122=1),0,IF(Paths!$P$122="Complete",IF(AND(Paths!$D$122="EV",Paths!$E$122&lt;120,Paths!$E$122+'Operating costs'!$B$65&gt;Paths!$E$122,Paths!$E$122+'Operating costs'!$B$65&lt;=120,IF(Paths!$E$122+'Operating costs'!$B$65=0,C1281=0,AND(C1281&gt;0,Paths!$E$122+'Operating costs'!$B$65&gt;(C1281-1)*12,Paths!$E$122+'Operating costs'!$B$65&lt;=C1281*12))),'Operating costs'!$B$64,0)+IF(AND('Operating costs'!$B$67&gt;0,'Operating costs'!$B$67&lt;=120,OR(Paths!$D$122="ICE",'Operating costs'!$B$67&lt;=Paths!$E$122),IF('Operating costs'!$B$67=0,C1281=0,AND(C1281&gt;0,'Operating costs'!$B$67&gt;(C1281-1)*12,'Operating costs'!$B$67&lt;=C1281*12))),'Operating costs'!$B$66,0),"n.a."))</f>
        <v>0</v>
      </c>
      <c r="N1281" s="16">
        <f>IF(NOT(Paths!$C$122=1),0,IF(Paths!$P$122="Complete",SUM(G1281:I1281)-J1281-K1281-L1281+M1281+IF(C1281=0,Paths!$F$122,0)+IF(IF(Paths!$E$122=0,C1281=0,AND(C1281&gt;0,Paths!$E$122&gt;(C1281-1)*12,Paths!$E$122&lt;=C1281*12)),VLOOKUP(A1281,'Fleet register'!$A$7:$S$106,16,FALSE),0),"n.a."))</f>
        <v>0</v>
      </c>
      <c r="O1281" s="16">
        <f>IF(NOT(Paths!$C$122=1),0,IF(Paths!$P$122="Complete",N1281-IF(C1281=0,Paths!$F$122,0),"n.a."))</f>
        <v>0</v>
      </c>
      <c r="P1281" s="16">
        <f>IF(NOT(Paths!$C$122=1),0,IF(Paths!$P$122="Complete",O1281+L1281,"n.a."))</f>
        <v>0</v>
      </c>
      <c r="Q1281" s="16">
        <f>IF(NOT(Paths!$C$122=1),0,IF(Paths!$P$122="Complete",N1281*(1+'Operating costs'!$B$54)^-C1281,"n.a."))</f>
        <v>0</v>
      </c>
      <c r="R1281" s="16">
        <f>IF(NOT(Paths!$C$122=1),0,IF(Paths!$P$122="Complete",IF(AND(C1281=0,Paths!$E$122=0),I1281-J1281-K1281+VLOOKUP(A1281,'Fleet register'!$A$7:$S$106,15,FALSE)+VLOOKUP(A1281,'Fleet register'!$A$7:$S$106,16,FALSE),0),"n.a."))</f>
        <v>0</v>
      </c>
      <c r="S1281" s="1">
        <f>IF(NOT(Paths!$C$122=1),0,IF(Paths!$P$122="Complete",IF(C1281=0,0,Paths!$S$122*Paths!$R$122),"n.a."))</f>
        <v>0</v>
      </c>
      <c r="T1281" s="1">
        <f>IF(NOT(Paths!$C$122=1),0,IF(Paths!$P$122="Complete",IF(C1281=0,0,VLOOKUP(A1281,'Fleet register'!$A$7:$S$106,9,FALSE)*Paths!$R$122),"n.a."))</f>
        <v>0</v>
      </c>
    </row>
    <row r="1282" spans="1:20" ht="24" customHeight="1">
      <c r="A1282" s="1" t="str">
        <f>Paths!$A$122</f>
        <v>T029</v>
      </c>
      <c r="B1282" s="1">
        <f>Paths!$B$122</f>
        <v>3</v>
      </c>
      <c r="C1282" s="1">
        <v>10</v>
      </c>
      <c r="D1282" s="1">
        <v>122</v>
      </c>
      <c r="E1282" s="1">
        <f>IF(OR(Paths!$C$122=0,C1282=0),0,MAX(0,MIN(C1282*12,Paths!$E$122)-(C1282-1)*12))</f>
        <v>0</v>
      </c>
      <c r="F1282" s="1">
        <f>IF(OR(Paths!$C$122=0,C1282=0),0,12-E1282)</f>
        <v>0</v>
      </c>
      <c r="G1282" s="16">
        <f>IF(NOT(Paths!$C$122=1),0,IF(Paths!$P$122="Complete",E1282/12*(Paths!$J$122*(1+'Operating costs'!$B$51)^MAX(0,C1282-1)+Paths!$K$122*(1+'Operating costs'!$B$53)^MAX(0,C1282-1)),"n.a."))</f>
        <v>0</v>
      </c>
      <c r="H1282" s="16">
        <f>IF(NOT(Paths!$C$122=1),0,IF(Paths!$P$122="Complete",F1282/12*(Paths!$L$122*(1+IF(Paths!$D$122="EV",'Operating costs'!$B$52,'Operating costs'!$B$51))^MAX(0,C1282-1)+Paths!$M$122*(1+'Operating costs'!$B$53)^MAX(0,C1282-1)),"n.a."))</f>
        <v>0</v>
      </c>
      <c r="I1282" s="16">
        <f>IF(NOT(Paths!$C$122=1),0,IF(Paths!$P$122="Complete",IF(IF(Paths!$E$122=0,C1282=0,AND(C1282&gt;0,Paths!$E$122&gt;(C1282-1)*12,Paths!$E$122&lt;=C1282*12)),Paths!$G$122,0),"n.a."))</f>
        <v>0</v>
      </c>
      <c r="J1282" s="16">
        <f>IF(NOT(Paths!$C$122=1),0,IF(Paths!$P$122="Complete",IF(IF(Paths!$E$122=0,C1282=0,AND(C1282&gt;0,Paths!$E$122&gt;(C1282-1)*12,Paths!$E$122&lt;=C1282*12)),Paths!$H$122,0),"n.a."))</f>
        <v>0</v>
      </c>
      <c r="K1282" s="16">
        <f>IF(NOT(Paths!$C$122=1),0,IF(Paths!$P$122="Complete",IF(IF(Paths!$O$122=0,C1282=0,AND(C1282&gt;0,Paths!$O$122&gt;(C1282-1)*12,Paths!$O$122&lt;=C1282*12)),Paths!$N$122,0),"n.a."))</f>
        <v>0</v>
      </c>
      <c r="L1282" s="16">
        <f>IF(NOT(Paths!$C$122=1),0,IF(Paths!$P$122="Complete",IF(C1282=10,Paths!$I$122,0),"n.a."))</f>
        <v>0</v>
      </c>
      <c r="M1282" s="16">
        <f>IF(NOT(Paths!$C$122=1),0,IF(Paths!$P$122="Complete",IF(AND(Paths!$D$122="EV",Paths!$E$122&lt;120,Paths!$E$122+'Operating costs'!$B$65&gt;Paths!$E$122,Paths!$E$122+'Operating costs'!$B$65&lt;=120,IF(Paths!$E$122+'Operating costs'!$B$65=0,C1282=0,AND(C1282&gt;0,Paths!$E$122+'Operating costs'!$B$65&gt;(C1282-1)*12,Paths!$E$122+'Operating costs'!$B$65&lt;=C1282*12))),'Operating costs'!$B$64,0)+IF(AND('Operating costs'!$B$67&gt;0,'Operating costs'!$B$67&lt;=120,OR(Paths!$D$122="ICE",'Operating costs'!$B$67&lt;=Paths!$E$122),IF('Operating costs'!$B$67=0,C1282=0,AND(C1282&gt;0,'Operating costs'!$B$67&gt;(C1282-1)*12,'Operating costs'!$B$67&lt;=C1282*12))),'Operating costs'!$B$66,0),"n.a."))</f>
        <v>0</v>
      </c>
      <c r="N1282" s="16">
        <f>IF(NOT(Paths!$C$122=1),0,IF(Paths!$P$122="Complete",SUM(G1282:I1282)-J1282-K1282-L1282+M1282+IF(C1282=0,Paths!$F$122,0)+IF(IF(Paths!$E$122=0,C1282=0,AND(C1282&gt;0,Paths!$E$122&gt;(C1282-1)*12,Paths!$E$122&lt;=C1282*12)),VLOOKUP(A1282,'Fleet register'!$A$7:$S$106,16,FALSE),0),"n.a."))</f>
        <v>0</v>
      </c>
      <c r="O1282" s="16">
        <f>IF(NOT(Paths!$C$122=1),0,IF(Paths!$P$122="Complete",N1282-IF(C1282=0,Paths!$F$122,0),"n.a."))</f>
        <v>0</v>
      </c>
      <c r="P1282" s="16">
        <f>IF(NOT(Paths!$C$122=1),0,IF(Paths!$P$122="Complete",O1282+L1282,"n.a."))</f>
        <v>0</v>
      </c>
      <c r="Q1282" s="16">
        <f>IF(NOT(Paths!$C$122=1),0,IF(Paths!$P$122="Complete",N1282*(1+'Operating costs'!$B$54)^-C1282,"n.a."))</f>
        <v>0</v>
      </c>
      <c r="R1282" s="16">
        <f>IF(NOT(Paths!$C$122=1),0,IF(Paths!$P$122="Complete",IF(AND(C1282=0,Paths!$E$122=0),I1282-J1282-K1282+VLOOKUP(A1282,'Fleet register'!$A$7:$S$106,15,FALSE)+VLOOKUP(A1282,'Fleet register'!$A$7:$S$106,16,FALSE),0),"n.a."))</f>
        <v>0</v>
      </c>
      <c r="S1282" s="1">
        <f>IF(NOT(Paths!$C$122=1),0,IF(Paths!$P$122="Complete",IF(C1282=0,0,Paths!$S$122*Paths!$R$122),"n.a."))</f>
        <v>0</v>
      </c>
      <c r="T1282" s="1">
        <f>IF(NOT(Paths!$C$122=1),0,IF(Paths!$P$122="Complete",IF(C1282=0,0,VLOOKUP(A1282,'Fleet register'!$A$7:$S$106,9,FALSE)*Paths!$R$122),"n.a."))</f>
        <v>0</v>
      </c>
    </row>
    <row r="1283" spans="1:20" ht="24" customHeight="1">
      <c r="A1283" s="1" t="str">
        <f>Paths!$A$123</f>
        <v>T030</v>
      </c>
      <c r="B1283" s="1">
        <f>Paths!$B$123</f>
        <v>0</v>
      </c>
      <c r="C1283" s="1">
        <v>0</v>
      </c>
      <c r="D1283" s="1">
        <v>123</v>
      </c>
      <c r="E1283" s="1">
        <f>IF(OR(Paths!$C$123=0,C1283=0),0,MAX(0,MIN(C1283*12,Paths!$E$123)-(C1283-1)*12))</f>
        <v>0</v>
      </c>
      <c r="F1283" s="1">
        <f>IF(OR(Paths!$C$123=0,C1283=0),0,12-E1283)</f>
        <v>0</v>
      </c>
      <c r="G1283" s="16">
        <f>IF(NOT(Paths!$C$123=1),0,IF(Paths!$P$123="Complete",E1283/12*(Paths!$J$123*(1+'Operating costs'!$B$51)^MAX(0,C1283-1)+Paths!$K$123*(1+'Operating costs'!$B$53)^MAX(0,C1283-1)),"n.a."))</f>
        <v>0</v>
      </c>
      <c r="H1283" s="16">
        <f>IF(NOT(Paths!$C$123=1),0,IF(Paths!$P$123="Complete",F1283/12*(Paths!$L$123*(1+IF(Paths!$D$123="EV",'Operating costs'!$B$52,'Operating costs'!$B$51))^MAX(0,C1283-1)+Paths!$M$123*(1+'Operating costs'!$B$53)^MAX(0,C1283-1)),"n.a."))</f>
        <v>0</v>
      </c>
      <c r="I1283" s="16">
        <f>IF(NOT(Paths!$C$123=1),0,IF(Paths!$P$123="Complete",IF(IF(Paths!$E$123=0,C1283=0,AND(C1283&gt;0,Paths!$E$123&gt;(C1283-1)*12,Paths!$E$123&lt;=C1283*12)),Paths!$G$123,0),"n.a."))</f>
        <v>0</v>
      </c>
      <c r="J1283" s="16">
        <f>IF(NOT(Paths!$C$123=1),0,IF(Paths!$P$123="Complete",IF(IF(Paths!$E$123=0,C1283=0,AND(C1283&gt;0,Paths!$E$123&gt;(C1283-1)*12,Paths!$E$123&lt;=C1283*12)),Paths!$H$123,0),"n.a."))</f>
        <v>0</v>
      </c>
      <c r="K1283" s="16">
        <f>IF(NOT(Paths!$C$123=1),0,IF(Paths!$P$123="Complete",IF(IF(Paths!$O$123=0,C1283=0,AND(C1283&gt;0,Paths!$O$123&gt;(C1283-1)*12,Paths!$O$123&lt;=C1283*12)),Paths!$N$123,0),"n.a."))</f>
        <v>0</v>
      </c>
      <c r="L1283" s="16">
        <f>IF(NOT(Paths!$C$123=1),0,IF(Paths!$P$123="Complete",IF(C1283=10,Paths!$I$123,0),"n.a."))</f>
        <v>0</v>
      </c>
      <c r="M1283" s="16">
        <f>IF(NOT(Paths!$C$123=1),0,IF(Paths!$P$123="Complete",IF(AND(Paths!$D$123="EV",Paths!$E$123&lt;120,Paths!$E$123+'Operating costs'!$B$65&gt;Paths!$E$123,Paths!$E$123+'Operating costs'!$B$65&lt;=120,IF(Paths!$E$123+'Operating costs'!$B$65=0,C1283=0,AND(C1283&gt;0,Paths!$E$123+'Operating costs'!$B$65&gt;(C1283-1)*12,Paths!$E$123+'Operating costs'!$B$65&lt;=C1283*12))),'Operating costs'!$B$64,0)+IF(AND('Operating costs'!$B$67&gt;0,'Operating costs'!$B$67&lt;=120,OR(Paths!$D$123="ICE",'Operating costs'!$B$67&lt;=Paths!$E$123),IF('Operating costs'!$B$67=0,C1283=0,AND(C1283&gt;0,'Operating costs'!$B$67&gt;(C1283-1)*12,'Operating costs'!$B$67&lt;=C1283*12))),'Operating costs'!$B$66,0),"n.a."))</f>
        <v>0</v>
      </c>
      <c r="N1283" s="16">
        <f>IF(NOT(Paths!$C$123=1),0,IF(Paths!$P$123="Complete",SUM(G1283:I1283)-J1283-K1283-L1283+M1283+IF(C1283=0,Paths!$F$123,0)+IF(IF(Paths!$E$123=0,C1283=0,AND(C1283&gt;0,Paths!$E$123&gt;(C1283-1)*12,Paths!$E$123&lt;=C1283*12)),VLOOKUP(A1283,'Fleet register'!$A$7:$S$106,16,FALSE),0),"n.a."))</f>
        <v>0</v>
      </c>
      <c r="O1283" s="16">
        <f>IF(NOT(Paths!$C$123=1),0,IF(Paths!$P$123="Complete",N1283-IF(C1283=0,Paths!$F$123,0),"n.a."))</f>
        <v>0</v>
      </c>
      <c r="P1283" s="16">
        <f>IF(NOT(Paths!$C$123=1),0,IF(Paths!$P$123="Complete",O1283+L1283,"n.a."))</f>
        <v>0</v>
      </c>
      <c r="Q1283" s="16">
        <f>IF(NOT(Paths!$C$123=1),0,IF(Paths!$P$123="Complete",N1283*(1+'Operating costs'!$B$54)^-C1283,"n.a."))</f>
        <v>0</v>
      </c>
      <c r="R1283" s="16">
        <f>IF(NOT(Paths!$C$123=1),0,IF(Paths!$P$123="Complete",IF(AND(C1283=0,Paths!$E$123=0),I1283-J1283-K1283+VLOOKUP(A1283,'Fleet register'!$A$7:$S$106,15,FALSE)+VLOOKUP(A1283,'Fleet register'!$A$7:$S$106,16,FALSE),0),"n.a."))</f>
        <v>0</v>
      </c>
      <c r="S1283" s="1">
        <f>IF(NOT(Paths!$C$123=1),0,IF(Paths!$P$123="Complete",IF(C1283=0,0,Paths!$S$123*Paths!$R$123),"n.a."))</f>
        <v>0</v>
      </c>
      <c r="T1283" s="1">
        <f>IF(NOT(Paths!$C$123=1),0,IF(Paths!$P$123="Complete",IF(C1283=0,0,VLOOKUP(A1283,'Fleet register'!$A$7:$S$106,9,FALSE)*Paths!$R$123),"n.a."))</f>
        <v>0</v>
      </c>
    </row>
    <row r="1284" spans="1:20" ht="24" customHeight="1">
      <c r="A1284" s="1" t="str">
        <f>Paths!$A$123</f>
        <v>T030</v>
      </c>
      <c r="B1284" s="1">
        <f>Paths!$B$123</f>
        <v>0</v>
      </c>
      <c r="C1284" s="1">
        <v>1</v>
      </c>
      <c r="D1284" s="1">
        <v>123</v>
      </c>
      <c r="E1284" s="1">
        <f>IF(OR(Paths!$C$123=0,C1284=0),0,MAX(0,MIN(C1284*12,Paths!$E$123)-(C1284-1)*12))</f>
        <v>0</v>
      </c>
      <c r="F1284" s="1">
        <f>IF(OR(Paths!$C$123=0,C1284=0),0,12-E1284)</f>
        <v>0</v>
      </c>
      <c r="G1284" s="16">
        <f>IF(NOT(Paths!$C$123=1),0,IF(Paths!$P$123="Complete",E1284/12*(Paths!$J$123*(1+'Operating costs'!$B$51)^MAX(0,C1284-1)+Paths!$K$123*(1+'Operating costs'!$B$53)^MAX(0,C1284-1)),"n.a."))</f>
        <v>0</v>
      </c>
      <c r="H1284" s="16">
        <f>IF(NOT(Paths!$C$123=1),0,IF(Paths!$P$123="Complete",F1284/12*(Paths!$L$123*(1+IF(Paths!$D$123="EV",'Operating costs'!$B$52,'Operating costs'!$B$51))^MAX(0,C1284-1)+Paths!$M$123*(1+'Operating costs'!$B$53)^MAX(0,C1284-1)),"n.a."))</f>
        <v>0</v>
      </c>
      <c r="I1284" s="16">
        <f>IF(NOT(Paths!$C$123=1),0,IF(Paths!$P$123="Complete",IF(IF(Paths!$E$123=0,C1284=0,AND(C1284&gt;0,Paths!$E$123&gt;(C1284-1)*12,Paths!$E$123&lt;=C1284*12)),Paths!$G$123,0),"n.a."))</f>
        <v>0</v>
      </c>
      <c r="J1284" s="16">
        <f>IF(NOT(Paths!$C$123=1),0,IF(Paths!$P$123="Complete",IF(IF(Paths!$E$123=0,C1284=0,AND(C1284&gt;0,Paths!$E$123&gt;(C1284-1)*12,Paths!$E$123&lt;=C1284*12)),Paths!$H$123,0),"n.a."))</f>
        <v>0</v>
      </c>
      <c r="K1284" s="16">
        <f>IF(NOT(Paths!$C$123=1),0,IF(Paths!$P$123="Complete",IF(IF(Paths!$O$123=0,C1284=0,AND(C1284&gt;0,Paths!$O$123&gt;(C1284-1)*12,Paths!$O$123&lt;=C1284*12)),Paths!$N$123,0),"n.a."))</f>
        <v>0</v>
      </c>
      <c r="L1284" s="16">
        <f>IF(NOT(Paths!$C$123=1),0,IF(Paths!$P$123="Complete",IF(C1284=10,Paths!$I$123,0),"n.a."))</f>
        <v>0</v>
      </c>
      <c r="M1284" s="16">
        <f>IF(NOT(Paths!$C$123=1),0,IF(Paths!$P$123="Complete",IF(AND(Paths!$D$123="EV",Paths!$E$123&lt;120,Paths!$E$123+'Operating costs'!$B$65&gt;Paths!$E$123,Paths!$E$123+'Operating costs'!$B$65&lt;=120,IF(Paths!$E$123+'Operating costs'!$B$65=0,C1284=0,AND(C1284&gt;0,Paths!$E$123+'Operating costs'!$B$65&gt;(C1284-1)*12,Paths!$E$123+'Operating costs'!$B$65&lt;=C1284*12))),'Operating costs'!$B$64,0)+IF(AND('Operating costs'!$B$67&gt;0,'Operating costs'!$B$67&lt;=120,OR(Paths!$D$123="ICE",'Operating costs'!$B$67&lt;=Paths!$E$123),IF('Operating costs'!$B$67=0,C1284=0,AND(C1284&gt;0,'Operating costs'!$B$67&gt;(C1284-1)*12,'Operating costs'!$B$67&lt;=C1284*12))),'Operating costs'!$B$66,0),"n.a."))</f>
        <v>0</v>
      </c>
      <c r="N1284" s="16">
        <f>IF(NOT(Paths!$C$123=1),0,IF(Paths!$P$123="Complete",SUM(G1284:I1284)-J1284-K1284-L1284+M1284+IF(C1284=0,Paths!$F$123,0)+IF(IF(Paths!$E$123=0,C1284=0,AND(C1284&gt;0,Paths!$E$123&gt;(C1284-1)*12,Paths!$E$123&lt;=C1284*12)),VLOOKUP(A1284,'Fleet register'!$A$7:$S$106,16,FALSE),0),"n.a."))</f>
        <v>0</v>
      </c>
      <c r="O1284" s="16">
        <f>IF(NOT(Paths!$C$123=1),0,IF(Paths!$P$123="Complete",N1284-IF(C1284=0,Paths!$F$123,0),"n.a."))</f>
        <v>0</v>
      </c>
      <c r="P1284" s="16">
        <f>IF(NOT(Paths!$C$123=1),0,IF(Paths!$P$123="Complete",O1284+L1284,"n.a."))</f>
        <v>0</v>
      </c>
      <c r="Q1284" s="16">
        <f>IF(NOT(Paths!$C$123=1),0,IF(Paths!$P$123="Complete",N1284*(1+'Operating costs'!$B$54)^-C1284,"n.a."))</f>
        <v>0</v>
      </c>
      <c r="R1284" s="16">
        <f>IF(NOT(Paths!$C$123=1),0,IF(Paths!$P$123="Complete",IF(AND(C1284=0,Paths!$E$123=0),I1284-J1284-K1284+VLOOKUP(A1284,'Fleet register'!$A$7:$S$106,15,FALSE)+VLOOKUP(A1284,'Fleet register'!$A$7:$S$106,16,FALSE),0),"n.a."))</f>
        <v>0</v>
      </c>
      <c r="S1284" s="1">
        <f>IF(NOT(Paths!$C$123=1),0,IF(Paths!$P$123="Complete",IF(C1284=0,0,Paths!$S$123*Paths!$R$123),"n.a."))</f>
        <v>0</v>
      </c>
      <c r="T1284" s="1">
        <f>IF(NOT(Paths!$C$123=1),0,IF(Paths!$P$123="Complete",IF(C1284=0,0,VLOOKUP(A1284,'Fleet register'!$A$7:$S$106,9,FALSE)*Paths!$R$123),"n.a."))</f>
        <v>0</v>
      </c>
    </row>
    <row r="1285" spans="1:20" ht="24" customHeight="1">
      <c r="A1285" s="1" t="str">
        <f>Paths!$A$123</f>
        <v>T030</v>
      </c>
      <c r="B1285" s="1">
        <f>Paths!$B$123</f>
        <v>0</v>
      </c>
      <c r="C1285" s="1">
        <v>2</v>
      </c>
      <c r="D1285" s="1">
        <v>123</v>
      </c>
      <c r="E1285" s="1">
        <f>IF(OR(Paths!$C$123=0,C1285=0),0,MAX(0,MIN(C1285*12,Paths!$E$123)-(C1285-1)*12))</f>
        <v>0</v>
      </c>
      <c r="F1285" s="1">
        <f>IF(OR(Paths!$C$123=0,C1285=0),0,12-E1285)</f>
        <v>0</v>
      </c>
      <c r="G1285" s="16">
        <f>IF(NOT(Paths!$C$123=1),0,IF(Paths!$P$123="Complete",E1285/12*(Paths!$J$123*(1+'Operating costs'!$B$51)^MAX(0,C1285-1)+Paths!$K$123*(1+'Operating costs'!$B$53)^MAX(0,C1285-1)),"n.a."))</f>
        <v>0</v>
      </c>
      <c r="H1285" s="16">
        <f>IF(NOT(Paths!$C$123=1),0,IF(Paths!$P$123="Complete",F1285/12*(Paths!$L$123*(1+IF(Paths!$D$123="EV",'Operating costs'!$B$52,'Operating costs'!$B$51))^MAX(0,C1285-1)+Paths!$M$123*(1+'Operating costs'!$B$53)^MAX(0,C1285-1)),"n.a."))</f>
        <v>0</v>
      </c>
      <c r="I1285" s="16">
        <f>IF(NOT(Paths!$C$123=1),0,IF(Paths!$P$123="Complete",IF(IF(Paths!$E$123=0,C1285=0,AND(C1285&gt;0,Paths!$E$123&gt;(C1285-1)*12,Paths!$E$123&lt;=C1285*12)),Paths!$G$123,0),"n.a."))</f>
        <v>0</v>
      </c>
      <c r="J1285" s="16">
        <f>IF(NOT(Paths!$C$123=1),0,IF(Paths!$P$123="Complete",IF(IF(Paths!$E$123=0,C1285=0,AND(C1285&gt;0,Paths!$E$123&gt;(C1285-1)*12,Paths!$E$123&lt;=C1285*12)),Paths!$H$123,0),"n.a."))</f>
        <v>0</v>
      </c>
      <c r="K1285" s="16">
        <f>IF(NOT(Paths!$C$123=1),0,IF(Paths!$P$123="Complete",IF(IF(Paths!$O$123=0,C1285=0,AND(C1285&gt;0,Paths!$O$123&gt;(C1285-1)*12,Paths!$O$123&lt;=C1285*12)),Paths!$N$123,0),"n.a."))</f>
        <v>0</v>
      </c>
      <c r="L1285" s="16">
        <f>IF(NOT(Paths!$C$123=1),0,IF(Paths!$P$123="Complete",IF(C1285=10,Paths!$I$123,0),"n.a."))</f>
        <v>0</v>
      </c>
      <c r="M1285" s="16">
        <f>IF(NOT(Paths!$C$123=1),0,IF(Paths!$P$123="Complete",IF(AND(Paths!$D$123="EV",Paths!$E$123&lt;120,Paths!$E$123+'Operating costs'!$B$65&gt;Paths!$E$123,Paths!$E$123+'Operating costs'!$B$65&lt;=120,IF(Paths!$E$123+'Operating costs'!$B$65=0,C1285=0,AND(C1285&gt;0,Paths!$E$123+'Operating costs'!$B$65&gt;(C1285-1)*12,Paths!$E$123+'Operating costs'!$B$65&lt;=C1285*12))),'Operating costs'!$B$64,0)+IF(AND('Operating costs'!$B$67&gt;0,'Operating costs'!$B$67&lt;=120,OR(Paths!$D$123="ICE",'Operating costs'!$B$67&lt;=Paths!$E$123),IF('Operating costs'!$B$67=0,C1285=0,AND(C1285&gt;0,'Operating costs'!$B$67&gt;(C1285-1)*12,'Operating costs'!$B$67&lt;=C1285*12))),'Operating costs'!$B$66,0),"n.a."))</f>
        <v>0</v>
      </c>
      <c r="N1285" s="16">
        <f>IF(NOT(Paths!$C$123=1),0,IF(Paths!$P$123="Complete",SUM(G1285:I1285)-J1285-K1285-L1285+M1285+IF(C1285=0,Paths!$F$123,0)+IF(IF(Paths!$E$123=0,C1285=0,AND(C1285&gt;0,Paths!$E$123&gt;(C1285-1)*12,Paths!$E$123&lt;=C1285*12)),VLOOKUP(A1285,'Fleet register'!$A$7:$S$106,16,FALSE),0),"n.a."))</f>
        <v>0</v>
      </c>
      <c r="O1285" s="16">
        <f>IF(NOT(Paths!$C$123=1),0,IF(Paths!$P$123="Complete",N1285-IF(C1285=0,Paths!$F$123,0),"n.a."))</f>
        <v>0</v>
      </c>
      <c r="P1285" s="16">
        <f>IF(NOT(Paths!$C$123=1),0,IF(Paths!$P$123="Complete",O1285+L1285,"n.a."))</f>
        <v>0</v>
      </c>
      <c r="Q1285" s="16">
        <f>IF(NOT(Paths!$C$123=1),0,IF(Paths!$P$123="Complete",N1285*(1+'Operating costs'!$B$54)^-C1285,"n.a."))</f>
        <v>0</v>
      </c>
      <c r="R1285" s="16">
        <f>IF(NOT(Paths!$C$123=1),0,IF(Paths!$P$123="Complete",IF(AND(C1285=0,Paths!$E$123=0),I1285-J1285-K1285+VLOOKUP(A1285,'Fleet register'!$A$7:$S$106,15,FALSE)+VLOOKUP(A1285,'Fleet register'!$A$7:$S$106,16,FALSE),0),"n.a."))</f>
        <v>0</v>
      </c>
      <c r="S1285" s="1">
        <f>IF(NOT(Paths!$C$123=1),0,IF(Paths!$P$123="Complete",IF(C1285=0,0,Paths!$S$123*Paths!$R$123),"n.a."))</f>
        <v>0</v>
      </c>
      <c r="T1285" s="1">
        <f>IF(NOT(Paths!$C$123=1),0,IF(Paths!$P$123="Complete",IF(C1285=0,0,VLOOKUP(A1285,'Fleet register'!$A$7:$S$106,9,FALSE)*Paths!$R$123),"n.a."))</f>
        <v>0</v>
      </c>
    </row>
    <row r="1286" spans="1:20" ht="24" customHeight="1">
      <c r="A1286" s="1" t="str">
        <f>Paths!$A$123</f>
        <v>T030</v>
      </c>
      <c r="B1286" s="1">
        <f>Paths!$B$123</f>
        <v>0</v>
      </c>
      <c r="C1286" s="1">
        <v>3</v>
      </c>
      <c r="D1286" s="1">
        <v>123</v>
      </c>
      <c r="E1286" s="1">
        <f>IF(OR(Paths!$C$123=0,C1286=0),0,MAX(0,MIN(C1286*12,Paths!$E$123)-(C1286-1)*12))</f>
        <v>0</v>
      </c>
      <c r="F1286" s="1">
        <f>IF(OR(Paths!$C$123=0,C1286=0),0,12-E1286)</f>
        <v>0</v>
      </c>
      <c r="G1286" s="16">
        <f>IF(NOT(Paths!$C$123=1),0,IF(Paths!$P$123="Complete",E1286/12*(Paths!$J$123*(1+'Operating costs'!$B$51)^MAX(0,C1286-1)+Paths!$K$123*(1+'Operating costs'!$B$53)^MAX(0,C1286-1)),"n.a."))</f>
        <v>0</v>
      </c>
      <c r="H1286" s="16">
        <f>IF(NOT(Paths!$C$123=1),0,IF(Paths!$P$123="Complete",F1286/12*(Paths!$L$123*(1+IF(Paths!$D$123="EV",'Operating costs'!$B$52,'Operating costs'!$B$51))^MAX(0,C1286-1)+Paths!$M$123*(1+'Operating costs'!$B$53)^MAX(0,C1286-1)),"n.a."))</f>
        <v>0</v>
      </c>
      <c r="I1286" s="16">
        <f>IF(NOT(Paths!$C$123=1),0,IF(Paths!$P$123="Complete",IF(IF(Paths!$E$123=0,C1286=0,AND(C1286&gt;0,Paths!$E$123&gt;(C1286-1)*12,Paths!$E$123&lt;=C1286*12)),Paths!$G$123,0),"n.a."))</f>
        <v>0</v>
      </c>
      <c r="J1286" s="16">
        <f>IF(NOT(Paths!$C$123=1),0,IF(Paths!$P$123="Complete",IF(IF(Paths!$E$123=0,C1286=0,AND(C1286&gt;0,Paths!$E$123&gt;(C1286-1)*12,Paths!$E$123&lt;=C1286*12)),Paths!$H$123,0),"n.a."))</f>
        <v>0</v>
      </c>
      <c r="K1286" s="16">
        <f>IF(NOT(Paths!$C$123=1),0,IF(Paths!$P$123="Complete",IF(IF(Paths!$O$123=0,C1286=0,AND(C1286&gt;0,Paths!$O$123&gt;(C1286-1)*12,Paths!$O$123&lt;=C1286*12)),Paths!$N$123,0),"n.a."))</f>
        <v>0</v>
      </c>
      <c r="L1286" s="16">
        <f>IF(NOT(Paths!$C$123=1),0,IF(Paths!$P$123="Complete",IF(C1286=10,Paths!$I$123,0),"n.a."))</f>
        <v>0</v>
      </c>
      <c r="M1286" s="16">
        <f>IF(NOT(Paths!$C$123=1),0,IF(Paths!$P$123="Complete",IF(AND(Paths!$D$123="EV",Paths!$E$123&lt;120,Paths!$E$123+'Operating costs'!$B$65&gt;Paths!$E$123,Paths!$E$123+'Operating costs'!$B$65&lt;=120,IF(Paths!$E$123+'Operating costs'!$B$65=0,C1286=0,AND(C1286&gt;0,Paths!$E$123+'Operating costs'!$B$65&gt;(C1286-1)*12,Paths!$E$123+'Operating costs'!$B$65&lt;=C1286*12))),'Operating costs'!$B$64,0)+IF(AND('Operating costs'!$B$67&gt;0,'Operating costs'!$B$67&lt;=120,OR(Paths!$D$123="ICE",'Operating costs'!$B$67&lt;=Paths!$E$123),IF('Operating costs'!$B$67=0,C1286=0,AND(C1286&gt;0,'Operating costs'!$B$67&gt;(C1286-1)*12,'Operating costs'!$B$67&lt;=C1286*12))),'Operating costs'!$B$66,0),"n.a."))</f>
        <v>0</v>
      </c>
      <c r="N1286" s="16">
        <f>IF(NOT(Paths!$C$123=1),0,IF(Paths!$P$123="Complete",SUM(G1286:I1286)-J1286-K1286-L1286+M1286+IF(C1286=0,Paths!$F$123,0)+IF(IF(Paths!$E$123=0,C1286=0,AND(C1286&gt;0,Paths!$E$123&gt;(C1286-1)*12,Paths!$E$123&lt;=C1286*12)),VLOOKUP(A1286,'Fleet register'!$A$7:$S$106,16,FALSE),0),"n.a."))</f>
        <v>0</v>
      </c>
      <c r="O1286" s="16">
        <f>IF(NOT(Paths!$C$123=1),0,IF(Paths!$P$123="Complete",N1286-IF(C1286=0,Paths!$F$123,0),"n.a."))</f>
        <v>0</v>
      </c>
      <c r="P1286" s="16">
        <f>IF(NOT(Paths!$C$123=1),0,IF(Paths!$P$123="Complete",O1286+L1286,"n.a."))</f>
        <v>0</v>
      </c>
      <c r="Q1286" s="16">
        <f>IF(NOT(Paths!$C$123=1),0,IF(Paths!$P$123="Complete",N1286*(1+'Operating costs'!$B$54)^-C1286,"n.a."))</f>
        <v>0</v>
      </c>
      <c r="R1286" s="16">
        <f>IF(NOT(Paths!$C$123=1),0,IF(Paths!$P$123="Complete",IF(AND(C1286=0,Paths!$E$123=0),I1286-J1286-K1286+VLOOKUP(A1286,'Fleet register'!$A$7:$S$106,15,FALSE)+VLOOKUP(A1286,'Fleet register'!$A$7:$S$106,16,FALSE),0),"n.a."))</f>
        <v>0</v>
      </c>
      <c r="S1286" s="1">
        <f>IF(NOT(Paths!$C$123=1),0,IF(Paths!$P$123="Complete",IF(C1286=0,0,Paths!$S$123*Paths!$R$123),"n.a."))</f>
        <v>0</v>
      </c>
      <c r="T1286" s="1">
        <f>IF(NOT(Paths!$C$123=1),0,IF(Paths!$P$123="Complete",IF(C1286=0,0,VLOOKUP(A1286,'Fleet register'!$A$7:$S$106,9,FALSE)*Paths!$R$123),"n.a."))</f>
        <v>0</v>
      </c>
    </row>
    <row r="1287" spans="1:20" ht="24" customHeight="1">
      <c r="A1287" s="1" t="str">
        <f>Paths!$A$123</f>
        <v>T030</v>
      </c>
      <c r="B1287" s="1">
        <f>Paths!$B$123</f>
        <v>0</v>
      </c>
      <c r="C1287" s="1">
        <v>4</v>
      </c>
      <c r="D1287" s="1">
        <v>123</v>
      </c>
      <c r="E1287" s="1">
        <f>IF(OR(Paths!$C$123=0,C1287=0),0,MAX(0,MIN(C1287*12,Paths!$E$123)-(C1287-1)*12))</f>
        <v>0</v>
      </c>
      <c r="F1287" s="1">
        <f>IF(OR(Paths!$C$123=0,C1287=0),0,12-E1287)</f>
        <v>0</v>
      </c>
      <c r="G1287" s="16">
        <f>IF(NOT(Paths!$C$123=1),0,IF(Paths!$P$123="Complete",E1287/12*(Paths!$J$123*(1+'Operating costs'!$B$51)^MAX(0,C1287-1)+Paths!$K$123*(1+'Operating costs'!$B$53)^MAX(0,C1287-1)),"n.a."))</f>
        <v>0</v>
      </c>
      <c r="H1287" s="16">
        <f>IF(NOT(Paths!$C$123=1),0,IF(Paths!$P$123="Complete",F1287/12*(Paths!$L$123*(1+IF(Paths!$D$123="EV",'Operating costs'!$B$52,'Operating costs'!$B$51))^MAX(0,C1287-1)+Paths!$M$123*(1+'Operating costs'!$B$53)^MAX(0,C1287-1)),"n.a."))</f>
        <v>0</v>
      </c>
      <c r="I1287" s="16">
        <f>IF(NOT(Paths!$C$123=1),0,IF(Paths!$P$123="Complete",IF(IF(Paths!$E$123=0,C1287=0,AND(C1287&gt;0,Paths!$E$123&gt;(C1287-1)*12,Paths!$E$123&lt;=C1287*12)),Paths!$G$123,0),"n.a."))</f>
        <v>0</v>
      </c>
      <c r="J1287" s="16">
        <f>IF(NOT(Paths!$C$123=1),0,IF(Paths!$P$123="Complete",IF(IF(Paths!$E$123=0,C1287=0,AND(C1287&gt;0,Paths!$E$123&gt;(C1287-1)*12,Paths!$E$123&lt;=C1287*12)),Paths!$H$123,0),"n.a."))</f>
        <v>0</v>
      </c>
      <c r="K1287" s="16">
        <f>IF(NOT(Paths!$C$123=1),0,IF(Paths!$P$123="Complete",IF(IF(Paths!$O$123=0,C1287=0,AND(C1287&gt;0,Paths!$O$123&gt;(C1287-1)*12,Paths!$O$123&lt;=C1287*12)),Paths!$N$123,0),"n.a."))</f>
        <v>0</v>
      </c>
      <c r="L1287" s="16">
        <f>IF(NOT(Paths!$C$123=1),0,IF(Paths!$P$123="Complete",IF(C1287=10,Paths!$I$123,0),"n.a."))</f>
        <v>0</v>
      </c>
      <c r="M1287" s="16">
        <f>IF(NOT(Paths!$C$123=1),0,IF(Paths!$P$123="Complete",IF(AND(Paths!$D$123="EV",Paths!$E$123&lt;120,Paths!$E$123+'Operating costs'!$B$65&gt;Paths!$E$123,Paths!$E$123+'Operating costs'!$B$65&lt;=120,IF(Paths!$E$123+'Operating costs'!$B$65=0,C1287=0,AND(C1287&gt;0,Paths!$E$123+'Operating costs'!$B$65&gt;(C1287-1)*12,Paths!$E$123+'Operating costs'!$B$65&lt;=C1287*12))),'Operating costs'!$B$64,0)+IF(AND('Operating costs'!$B$67&gt;0,'Operating costs'!$B$67&lt;=120,OR(Paths!$D$123="ICE",'Operating costs'!$B$67&lt;=Paths!$E$123),IF('Operating costs'!$B$67=0,C1287=0,AND(C1287&gt;0,'Operating costs'!$B$67&gt;(C1287-1)*12,'Operating costs'!$B$67&lt;=C1287*12))),'Operating costs'!$B$66,0),"n.a."))</f>
        <v>0</v>
      </c>
      <c r="N1287" s="16">
        <f>IF(NOT(Paths!$C$123=1),0,IF(Paths!$P$123="Complete",SUM(G1287:I1287)-J1287-K1287-L1287+M1287+IF(C1287=0,Paths!$F$123,0)+IF(IF(Paths!$E$123=0,C1287=0,AND(C1287&gt;0,Paths!$E$123&gt;(C1287-1)*12,Paths!$E$123&lt;=C1287*12)),VLOOKUP(A1287,'Fleet register'!$A$7:$S$106,16,FALSE),0),"n.a."))</f>
        <v>0</v>
      </c>
      <c r="O1287" s="16">
        <f>IF(NOT(Paths!$C$123=1),0,IF(Paths!$P$123="Complete",N1287-IF(C1287=0,Paths!$F$123,0),"n.a."))</f>
        <v>0</v>
      </c>
      <c r="P1287" s="16">
        <f>IF(NOT(Paths!$C$123=1),0,IF(Paths!$P$123="Complete",O1287+L1287,"n.a."))</f>
        <v>0</v>
      </c>
      <c r="Q1287" s="16">
        <f>IF(NOT(Paths!$C$123=1),0,IF(Paths!$P$123="Complete",N1287*(1+'Operating costs'!$B$54)^-C1287,"n.a."))</f>
        <v>0</v>
      </c>
      <c r="R1287" s="16">
        <f>IF(NOT(Paths!$C$123=1),0,IF(Paths!$P$123="Complete",IF(AND(C1287=0,Paths!$E$123=0),I1287-J1287-K1287+VLOOKUP(A1287,'Fleet register'!$A$7:$S$106,15,FALSE)+VLOOKUP(A1287,'Fleet register'!$A$7:$S$106,16,FALSE),0),"n.a."))</f>
        <v>0</v>
      </c>
      <c r="S1287" s="1">
        <f>IF(NOT(Paths!$C$123=1),0,IF(Paths!$P$123="Complete",IF(C1287=0,0,Paths!$S$123*Paths!$R$123),"n.a."))</f>
        <v>0</v>
      </c>
      <c r="T1287" s="1">
        <f>IF(NOT(Paths!$C$123=1),0,IF(Paths!$P$123="Complete",IF(C1287=0,0,VLOOKUP(A1287,'Fleet register'!$A$7:$S$106,9,FALSE)*Paths!$R$123),"n.a."))</f>
        <v>0</v>
      </c>
    </row>
    <row r="1288" spans="1:20" ht="24" customHeight="1">
      <c r="A1288" s="1" t="str">
        <f>Paths!$A$123</f>
        <v>T030</v>
      </c>
      <c r="B1288" s="1">
        <f>Paths!$B$123</f>
        <v>0</v>
      </c>
      <c r="C1288" s="1">
        <v>5</v>
      </c>
      <c r="D1288" s="1">
        <v>123</v>
      </c>
      <c r="E1288" s="1">
        <f>IF(OR(Paths!$C$123=0,C1288=0),0,MAX(0,MIN(C1288*12,Paths!$E$123)-(C1288-1)*12))</f>
        <v>0</v>
      </c>
      <c r="F1288" s="1">
        <f>IF(OR(Paths!$C$123=0,C1288=0),0,12-E1288)</f>
        <v>0</v>
      </c>
      <c r="G1288" s="16">
        <f>IF(NOT(Paths!$C$123=1),0,IF(Paths!$P$123="Complete",E1288/12*(Paths!$J$123*(1+'Operating costs'!$B$51)^MAX(0,C1288-1)+Paths!$K$123*(1+'Operating costs'!$B$53)^MAX(0,C1288-1)),"n.a."))</f>
        <v>0</v>
      </c>
      <c r="H1288" s="16">
        <f>IF(NOT(Paths!$C$123=1),0,IF(Paths!$P$123="Complete",F1288/12*(Paths!$L$123*(1+IF(Paths!$D$123="EV",'Operating costs'!$B$52,'Operating costs'!$B$51))^MAX(0,C1288-1)+Paths!$M$123*(1+'Operating costs'!$B$53)^MAX(0,C1288-1)),"n.a."))</f>
        <v>0</v>
      </c>
      <c r="I1288" s="16">
        <f>IF(NOT(Paths!$C$123=1),0,IF(Paths!$P$123="Complete",IF(IF(Paths!$E$123=0,C1288=0,AND(C1288&gt;0,Paths!$E$123&gt;(C1288-1)*12,Paths!$E$123&lt;=C1288*12)),Paths!$G$123,0),"n.a."))</f>
        <v>0</v>
      </c>
      <c r="J1288" s="16">
        <f>IF(NOT(Paths!$C$123=1),0,IF(Paths!$P$123="Complete",IF(IF(Paths!$E$123=0,C1288=0,AND(C1288&gt;0,Paths!$E$123&gt;(C1288-1)*12,Paths!$E$123&lt;=C1288*12)),Paths!$H$123,0),"n.a."))</f>
        <v>0</v>
      </c>
      <c r="K1288" s="16">
        <f>IF(NOT(Paths!$C$123=1),0,IF(Paths!$P$123="Complete",IF(IF(Paths!$O$123=0,C1288=0,AND(C1288&gt;0,Paths!$O$123&gt;(C1288-1)*12,Paths!$O$123&lt;=C1288*12)),Paths!$N$123,0),"n.a."))</f>
        <v>0</v>
      </c>
      <c r="L1288" s="16">
        <f>IF(NOT(Paths!$C$123=1),0,IF(Paths!$P$123="Complete",IF(C1288=10,Paths!$I$123,0),"n.a."))</f>
        <v>0</v>
      </c>
      <c r="M1288" s="16">
        <f>IF(NOT(Paths!$C$123=1),0,IF(Paths!$P$123="Complete",IF(AND(Paths!$D$123="EV",Paths!$E$123&lt;120,Paths!$E$123+'Operating costs'!$B$65&gt;Paths!$E$123,Paths!$E$123+'Operating costs'!$B$65&lt;=120,IF(Paths!$E$123+'Operating costs'!$B$65=0,C1288=0,AND(C1288&gt;0,Paths!$E$123+'Operating costs'!$B$65&gt;(C1288-1)*12,Paths!$E$123+'Operating costs'!$B$65&lt;=C1288*12))),'Operating costs'!$B$64,0)+IF(AND('Operating costs'!$B$67&gt;0,'Operating costs'!$B$67&lt;=120,OR(Paths!$D$123="ICE",'Operating costs'!$B$67&lt;=Paths!$E$123),IF('Operating costs'!$B$67=0,C1288=0,AND(C1288&gt;0,'Operating costs'!$B$67&gt;(C1288-1)*12,'Operating costs'!$B$67&lt;=C1288*12))),'Operating costs'!$B$66,0),"n.a."))</f>
        <v>0</v>
      </c>
      <c r="N1288" s="16">
        <f>IF(NOT(Paths!$C$123=1),0,IF(Paths!$P$123="Complete",SUM(G1288:I1288)-J1288-K1288-L1288+M1288+IF(C1288=0,Paths!$F$123,0)+IF(IF(Paths!$E$123=0,C1288=0,AND(C1288&gt;0,Paths!$E$123&gt;(C1288-1)*12,Paths!$E$123&lt;=C1288*12)),VLOOKUP(A1288,'Fleet register'!$A$7:$S$106,16,FALSE),0),"n.a."))</f>
        <v>0</v>
      </c>
      <c r="O1288" s="16">
        <f>IF(NOT(Paths!$C$123=1),0,IF(Paths!$P$123="Complete",N1288-IF(C1288=0,Paths!$F$123,0),"n.a."))</f>
        <v>0</v>
      </c>
      <c r="P1288" s="16">
        <f>IF(NOT(Paths!$C$123=1),0,IF(Paths!$P$123="Complete",O1288+L1288,"n.a."))</f>
        <v>0</v>
      </c>
      <c r="Q1288" s="16">
        <f>IF(NOT(Paths!$C$123=1),0,IF(Paths!$P$123="Complete",N1288*(1+'Operating costs'!$B$54)^-C1288,"n.a."))</f>
        <v>0</v>
      </c>
      <c r="R1288" s="16">
        <f>IF(NOT(Paths!$C$123=1),0,IF(Paths!$P$123="Complete",IF(AND(C1288=0,Paths!$E$123=0),I1288-J1288-K1288+VLOOKUP(A1288,'Fleet register'!$A$7:$S$106,15,FALSE)+VLOOKUP(A1288,'Fleet register'!$A$7:$S$106,16,FALSE),0),"n.a."))</f>
        <v>0</v>
      </c>
      <c r="S1288" s="1">
        <f>IF(NOT(Paths!$C$123=1),0,IF(Paths!$P$123="Complete",IF(C1288=0,0,Paths!$S$123*Paths!$R$123),"n.a."))</f>
        <v>0</v>
      </c>
      <c r="T1288" s="1">
        <f>IF(NOT(Paths!$C$123=1),0,IF(Paths!$P$123="Complete",IF(C1288=0,0,VLOOKUP(A1288,'Fleet register'!$A$7:$S$106,9,FALSE)*Paths!$R$123),"n.a."))</f>
        <v>0</v>
      </c>
    </row>
    <row r="1289" spans="1:20" ht="24" customHeight="1">
      <c r="A1289" s="1" t="str">
        <f>Paths!$A$123</f>
        <v>T030</v>
      </c>
      <c r="B1289" s="1">
        <f>Paths!$B$123</f>
        <v>0</v>
      </c>
      <c r="C1289" s="1">
        <v>6</v>
      </c>
      <c r="D1289" s="1">
        <v>123</v>
      </c>
      <c r="E1289" s="1">
        <f>IF(OR(Paths!$C$123=0,C1289=0),0,MAX(0,MIN(C1289*12,Paths!$E$123)-(C1289-1)*12))</f>
        <v>0</v>
      </c>
      <c r="F1289" s="1">
        <f>IF(OR(Paths!$C$123=0,C1289=0),0,12-E1289)</f>
        <v>0</v>
      </c>
      <c r="G1289" s="16">
        <f>IF(NOT(Paths!$C$123=1),0,IF(Paths!$P$123="Complete",E1289/12*(Paths!$J$123*(1+'Operating costs'!$B$51)^MAX(0,C1289-1)+Paths!$K$123*(1+'Operating costs'!$B$53)^MAX(0,C1289-1)),"n.a."))</f>
        <v>0</v>
      </c>
      <c r="H1289" s="16">
        <f>IF(NOT(Paths!$C$123=1),0,IF(Paths!$P$123="Complete",F1289/12*(Paths!$L$123*(1+IF(Paths!$D$123="EV",'Operating costs'!$B$52,'Operating costs'!$B$51))^MAX(0,C1289-1)+Paths!$M$123*(1+'Operating costs'!$B$53)^MAX(0,C1289-1)),"n.a."))</f>
        <v>0</v>
      </c>
      <c r="I1289" s="16">
        <f>IF(NOT(Paths!$C$123=1),0,IF(Paths!$P$123="Complete",IF(IF(Paths!$E$123=0,C1289=0,AND(C1289&gt;0,Paths!$E$123&gt;(C1289-1)*12,Paths!$E$123&lt;=C1289*12)),Paths!$G$123,0),"n.a."))</f>
        <v>0</v>
      </c>
      <c r="J1289" s="16">
        <f>IF(NOT(Paths!$C$123=1),0,IF(Paths!$P$123="Complete",IF(IF(Paths!$E$123=0,C1289=0,AND(C1289&gt;0,Paths!$E$123&gt;(C1289-1)*12,Paths!$E$123&lt;=C1289*12)),Paths!$H$123,0),"n.a."))</f>
        <v>0</v>
      </c>
      <c r="K1289" s="16">
        <f>IF(NOT(Paths!$C$123=1),0,IF(Paths!$P$123="Complete",IF(IF(Paths!$O$123=0,C1289=0,AND(C1289&gt;0,Paths!$O$123&gt;(C1289-1)*12,Paths!$O$123&lt;=C1289*12)),Paths!$N$123,0),"n.a."))</f>
        <v>0</v>
      </c>
      <c r="L1289" s="16">
        <f>IF(NOT(Paths!$C$123=1),0,IF(Paths!$P$123="Complete",IF(C1289=10,Paths!$I$123,0),"n.a."))</f>
        <v>0</v>
      </c>
      <c r="M1289" s="16">
        <f>IF(NOT(Paths!$C$123=1),0,IF(Paths!$P$123="Complete",IF(AND(Paths!$D$123="EV",Paths!$E$123&lt;120,Paths!$E$123+'Operating costs'!$B$65&gt;Paths!$E$123,Paths!$E$123+'Operating costs'!$B$65&lt;=120,IF(Paths!$E$123+'Operating costs'!$B$65=0,C1289=0,AND(C1289&gt;0,Paths!$E$123+'Operating costs'!$B$65&gt;(C1289-1)*12,Paths!$E$123+'Operating costs'!$B$65&lt;=C1289*12))),'Operating costs'!$B$64,0)+IF(AND('Operating costs'!$B$67&gt;0,'Operating costs'!$B$67&lt;=120,OR(Paths!$D$123="ICE",'Operating costs'!$B$67&lt;=Paths!$E$123),IF('Operating costs'!$B$67=0,C1289=0,AND(C1289&gt;0,'Operating costs'!$B$67&gt;(C1289-1)*12,'Operating costs'!$B$67&lt;=C1289*12))),'Operating costs'!$B$66,0),"n.a."))</f>
        <v>0</v>
      </c>
      <c r="N1289" s="16">
        <f>IF(NOT(Paths!$C$123=1),0,IF(Paths!$P$123="Complete",SUM(G1289:I1289)-J1289-K1289-L1289+M1289+IF(C1289=0,Paths!$F$123,0)+IF(IF(Paths!$E$123=0,C1289=0,AND(C1289&gt;0,Paths!$E$123&gt;(C1289-1)*12,Paths!$E$123&lt;=C1289*12)),VLOOKUP(A1289,'Fleet register'!$A$7:$S$106,16,FALSE),0),"n.a."))</f>
        <v>0</v>
      </c>
      <c r="O1289" s="16">
        <f>IF(NOT(Paths!$C$123=1),0,IF(Paths!$P$123="Complete",N1289-IF(C1289=0,Paths!$F$123,0),"n.a."))</f>
        <v>0</v>
      </c>
      <c r="P1289" s="16">
        <f>IF(NOT(Paths!$C$123=1),0,IF(Paths!$P$123="Complete",O1289+L1289,"n.a."))</f>
        <v>0</v>
      </c>
      <c r="Q1289" s="16">
        <f>IF(NOT(Paths!$C$123=1),0,IF(Paths!$P$123="Complete",N1289*(1+'Operating costs'!$B$54)^-C1289,"n.a."))</f>
        <v>0</v>
      </c>
      <c r="R1289" s="16">
        <f>IF(NOT(Paths!$C$123=1),0,IF(Paths!$P$123="Complete",IF(AND(C1289=0,Paths!$E$123=0),I1289-J1289-K1289+VLOOKUP(A1289,'Fleet register'!$A$7:$S$106,15,FALSE)+VLOOKUP(A1289,'Fleet register'!$A$7:$S$106,16,FALSE),0),"n.a."))</f>
        <v>0</v>
      </c>
      <c r="S1289" s="1">
        <f>IF(NOT(Paths!$C$123=1),0,IF(Paths!$P$123="Complete",IF(C1289=0,0,Paths!$S$123*Paths!$R$123),"n.a."))</f>
        <v>0</v>
      </c>
      <c r="T1289" s="1">
        <f>IF(NOT(Paths!$C$123=1),0,IF(Paths!$P$123="Complete",IF(C1289=0,0,VLOOKUP(A1289,'Fleet register'!$A$7:$S$106,9,FALSE)*Paths!$R$123),"n.a."))</f>
        <v>0</v>
      </c>
    </row>
    <row r="1290" spans="1:20" ht="24" customHeight="1">
      <c r="A1290" s="1" t="str">
        <f>Paths!$A$123</f>
        <v>T030</v>
      </c>
      <c r="B1290" s="1">
        <f>Paths!$B$123</f>
        <v>0</v>
      </c>
      <c r="C1290" s="1">
        <v>7</v>
      </c>
      <c r="D1290" s="1">
        <v>123</v>
      </c>
      <c r="E1290" s="1">
        <f>IF(OR(Paths!$C$123=0,C1290=0),0,MAX(0,MIN(C1290*12,Paths!$E$123)-(C1290-1)*12))</f>
        <v>0</v>
      </c>
      <c r="F1290" s="1">
        <f>IF(OR(Paths!$C$123=0,C1290=0),0,12-E1290)</f>
        <v>0</v>
      </c>
      <c r="G1290" s="16">
        <f>IF(NOT(Paths!$C$123=1),0,IF(Paths!$P$123="Complete",E1290/12*(Paths!$J$123*(1+'Operating costs'!$B$51)^MAX(0,C1290-1)+Paths!$K$123*(1+'Operating costs'!$B$53)^MAX(0,C1290-1)),"n.a."))</f>
        <v>0</v>
      </c>
      <c r="H1290" s="16">
        <f>IF(NOT(Paths!$C$123=1),0,IF(Paths!$P$123="Complete",F1290/12*(Paths!$L$123*(1+IF(Paths!$D$123="EV",'Operating costs'!$B$52,'Operating costs'!$B$51))^MAX(0,C1290-1)+Paths!$M$123*(1+'Operating costs'!$B$53)^MAX(0,C1290-1)),"n.a."))</f>
        <v>0</v>
      </c>
      <c r="I1290" s="16">
        <f>IF(NOT(Paths!$C$123=1),0,IF(Paths!$P$123="Complete",IF(IF(Paths!$E$123=0,C1290=0,AND(C1290&gt;0,Paths!$E$123&gt;(C1290-1)*12,Paths!$E$123&lt;=C1290*12)),Paths!$G$123,0),"n.a."))</f>
        <v>0</v>
      </c>
      <c r="J1290" s="16">
        <f>IF(NOT(Paths!$C$123=1),0,IF(Paths!$P$123="Complete",IF(IF(Paths!$E$123=0,C1290=0,AND(C1290&gt;0,Paths!$E$123&gt;(C1290-1)*12,Paths!$E$123&lt;=C1290*12)),Paths!$H$123,0),"n.a."))</f>
        <v>0</v>
      </c>
      <c r="K1290" s="16">
        <f>IF(NOT(Paths!$C$123=1),0,IF(Paths!$P$123="Complete",IF(IF(Paths!$O$123=0,C1290=0,AND(C1290&gt;0,Paths!$O$123&gt;(C1290-1)*12,Paths!$O$123&lt;=C1290*12)),Paths!$N$123,0),"n.a."))</f>
        <v>0</v>
      </c>
      <c r="L1290" s="16">
        <f>IF(NOT(Paths!$C$123=1),0,IF(Paths!$P$123="Complete",IF(C1290=10,Paths!$I$123,0),"n.a."))</f>
        <v>0</v>
      </c>
      <c r="M1290" s="16">
        <f>IF(NOT(Paths!$C$123=1),0,IF(Paths!$P$123="Complete",IF(AND(Paths!$D$123="EV",Paths!$E$123&lt;120,Paths!$E$123+'Operating costs'!$B$65&gt;Paths!$E$123,Paths!$E$123+'Operating costs'!$B$65&lt;=120,IF(Paths!$E$123+'Operating costs'!$B$65=0,C1290=0,AND(C1290&gt;0,Paths!$E$123+'Operating costs'!$B$65&gt;(C1290-1)*12,Paths!$E$123+'Operating costs'!$B$65&lt;=C1290*12))),'Operating costs'!$B$64,0)+IF(AND('Operating costs'!$B$67&gt;0,'Operating costs'!$B$67&lt;=120,OR(Paths!$D$123="ICE",'Operating costs'!$B$67&lt;=Paths!$E$123),IF('Operating costs'!$B$67=0,C1290=0,AND(C1290&gt;0,'Operating costs'!$B$67&gt;(C1290-1)*12,'Operating costs'!$B$67&lt;=C1290*12))),'Operating costs'!$B$66,0),"n.a."))</f>
        <v>0</v>
      </c>
      <c r="N1290" s="16">
        <f>IF(NOT(Paths!$C$123=1),0,IF(Paths!$P$123="Complete",SUM(G1290:I1290)-J1290-K1290-L1290+M1290+IF(C1290=0,Paths!$F$123,0)+IF(IF(Paths!$E$123=0,C1290=0,AND(C1290&gt;0,Paths!$E$123&gt;(C1290-1)*12,Paths!$E$123&lt;=C1290*12)),VLOOKUP(A1290,'Fleet register'!$A$7:$S$106,16,FALSE),0),"n.a."))</f>
        <v>0</v>
      </c>
      <c r="O1290" s="16">
        <f>IF(NOT(Paths!$C$123=1),0,IF(Paths!$P$123="Complete",N1290-IF(C1290=0,Paths!$F$123,0),"n.a."))</f>
        <v>0</v>
      </c>
      <c r="P1290" s="16">
        <f>IF(NOT(Paths!$C$123=1),0,IF(Paths!$P$123="Complete",O1290+L1290,"n.a."))</f>
        <v>0</v>
      </c>
      <c r="Q1290" s="16">
        <f>IF(NOT(Paths!$C$123=1),0,IF(Paths!$P$123="Complete",N1290*(1+'Operating costs'!$B$54)^-C1290,"n.a."))</f>
        <v>0</v>
      </c>
      <c r="R1290" s="16">
        <f>IF(NOT(Paths!$C$123=1),0,IF(Paths!$P$123="Complete",IF(AND(C1290=0,Paths!$E$123=0),I1290-J1290-K1290+VLOOKUP(A1290,'Fleet register'!$A$7:$S$106,15,FALSE)+VLOOKUP(A1290,'Fleet register'!$A$7:$S$106,16,FALSE),0),"n.a."))</f>
        <v>0</v>
      </c>
      <c r="S1290" s="1">
        <f>IF(NOT(Paths!$C$123=1),0,IF(Paths!$P$123="Complete",IF(C1290=0,0,Paths!$S$123*Paths!$R$123),"n.a."))</f>
        <v>0</v>
      </c>
      <c r="T1290" s="1">
        <f>IF(NOT(Paths!$C$123=1),0,IF(Paths!$P$123="Complete",IF(C1290=0,0,VLOOKUP(A1290,'Fleet register'!$A$7:$S$106,9,FALSE)*Paths!$R$123),"n.a."))</f>
        <v>0</v>
      </c>
    </row>
    <row r="1291" spans="1:20" ht="24" customHeight="1">
      <c r="A1291" s="1" t="str">
        <f>Paths!$A$123</f>
        <v>T030</v>
      </c>
      <c r="B1291" s="1">
        <f>Paths!$B$123</f>
        <v>0</v>
      </c>
      <c r="C1291" s="1">
        <v>8</v>
      </c>
      <c r="D1291" s="1">
        <v>123</v>
      </c>
      <c r="E1291" s="1">
        <f>IF(OR(Paths!$C$123=0,C1291=0),0,MAX(0,MIN(C1291*12,Paths!$E$123)-(C1291-1)*12))</f>
        <v>0</v>
      </c>
      <c r="F1291" s="1">
        <f>IF(OR(Paths!$C$123=0,C1291=0),0,12-E1291)</f>
        <v>0</v>
      </c>
      <c r="G1291" s="16">
        <f>IF(NOT(Paths!$C$123=1),0,IF(Paths!$P$123="Complete",E1291/12*(Paths!$J$123*(1+'Operating costs'!$B$51)^MAX(0,C1291-1)+Paths!$K$123*(1+'Operating costs'!$B$53)^MAX(0,C1291-1)),"n.a."))</f>
        <v>0</v>
      </c>
      <c r="H1291" s="16">
        <f>IF(NOT(Paths!$C$123=1),0,IF(Paths!$P$123="Complete",F1291/12*(Paths!$L$123*(1+IF(Paths!$D$123="EV",'Operating costs'!$B$52,'Operating costs'!$B$51))^MAX(0,C1291-1)+Paths!$M$123*(1+'Operating costs'!$B$53)^MAX(0,C1291-1)),"n.a."))</f>
        <v>0</v>
      </c>
      <c r="I1291" s="16">
        <f>IF(NOT(Paths!$C$123=1),0,IF(Paths!$P$123="Complete",IF(IF(Paths!$E$123=0,C1291=0,AND(C1291&gt;0,Paths!$E$123&gt;(C1291-1)*12,Paths!$E$123&lt;=C1291*12)),Paths!$G$123,0),"n.a."))</f>
        <v>0</v>
      </c>
      <c r="J1291" s="16">
        <f>IF(NOT(Paths!$C$123=1),0,IF(Paths!$P$123="Complete",IF(IF(Paths!$E$123=0,C1291=0,AND(C1291&gt;0,Paths!$E$123&gt;(C1291-1)*12,Paths!$E$123&lt;=C1291*12)),Paths!$H$123,0),"n.a."))</f>
        <v>0</v>
      </c>
      <c r="K1291" s="16">
        <f>IF(NOT(Paths!$C$123=1),0,IF(Paths!$P$123="Complete",IF(IF(Paths!$O$123=0,C1291=0,AND(C1291&gt;0,Paths!$O$123&gt;(C1291-1)*12,Paths!$O$123&lt;=C1291*12)),Paths!$N$123,0),"n.a."))</f>
        <v>0</v>
      </c>
      <c r="L1291" s="16">
        <f>IF(NOT(Paths!$C$123=1),0,IF(Paths!$P$123="Complete",IF(C1291=10,Paths!$I$123,0),"n.a."))</f>
        <v>0</v>
      </c>
      <c r="M1291" s="16">
        <f>IF(NOT(Paths!$C$123=1),0,IF(Paths!$P$123="Complete",IF(AND(Paths!$D$123="EV",Paths!$E$123&lt;120,Paths!$E$123+'Operating costs'!$B$65&gt;Paths!$E$123,Paths!$E$123+'Operating costs'!$B$65&lt;=120,IF(Paths!$E$123+'Operating costs'!$B$65=0,C1291=0,AND(C1291&gt;0,Paths!$E$123+'Operating costs'!$B$65&gt;(C1291-1)*12,Paths!$E$123+'Operating costs'!$B$65&lt;=C1291*12))),'Operating costs'!$B$64,0)+IF(AND('Operating costs'!$B$67&gt;0,'Operating costs'!$B$67&lt;=120,OR(Paths!$D$123="ICE",'Operating costs'!$B$67&lt;=Paths!$E$123),IF('Operating costs'!$B$67=0,C1291=0,AND(C1291&gt;0,'Operating costs'!$B$67&gt;(C1291-1)*12,'Operating costs'!$B$67&lt;=C1291*12))),'Operating costs'!$B$66,0),"n.a."))</f>
        <v>0</v>
      </c>
      <c r="N1291" s="16">
        <f>IF(NOT(Paths!$C$123=1),0,IF(Paths!$P$123="Complete",SUM(G1291:I1291)-J1291-K1291-L1291+M1291+IF(C1291=0,Paths!$F$123,0)+IF(IF(Paths!$E$123=0,C1291=0,AND(C1291&gt;0,Paths!$E$123&gt;(C1291-1)*12,Paths!$E$123&lt;=C1291*12)),VLOOKUP(A1291,'Fleet register'!$A$7:$S$106,16,FALSE),0),"n.a."))</f>
        <v>0</v>
      </c>
      <c r="O1291" s="16">
        <f>IF(NOT(Paths!$C$123=1),0,IF(Paths!$P$123="Complete",N1291-IF(C1291=0,Paths!$F$123,0),"n.a."))</f>
        <v>0</v>
      </c>
      <c r="P1291" s="16">
        <f>IF(NOT(Paths!$C$123=1),0,IF(Paths!$P$123="Complete",O1291+L1291,"n.a."))</f>
        <v>0</v>
      </c>
      <c r="Q1291" s="16">
        <f>IF(NOT(Paths!$C$123=1),0,IF(Paths!$P$123="Complete",N1291*(1+'Operating costs'!$B$54)^-C1291,"n.a."))</f>
        <v>0</v>
      </c>
      <c r="R1291" s="16">
        <f>IF(NOT(Paths!$C$123=1),0,IF(Paths!$P$123="Complete",IF(AND(C1291=0,Paths!$E$123=0),I1291-J1291-K1291+VLOOKUP(A1291,'Fleet register'!$A$7:$S$106,15,FALSE)+VLOOKUP(A1291,'Fleet register'!$A$7:$S$106,16,FALSE),0),"n.a."))</f>
        <v>0</v>
      </c>
      <c r="S1291" s="1">
        <f>IF(NOT(Paths!$C$123=1),0,IF(Paths!$P$123="Complete",IF(C1291=0,0,Paths!$S$123*Paths!$R$123),"n.a."))</f>
        <v>0</v>
      </c>
      <c r="T1291" s="1">
        <f>IF(NOT(Paths!$C$123=1),0,IF(Paths!$P$123="Complete",IF(C1291=0,0,VLOOKUP(A1291,'Fleet register'!$A$7:$S$106,9,FALSE)*Paths!$R$123),"n.a."))</f>
        <v>0</v>
      </c>
    </row>
    <row r="1292" spans="1:20" ht="24" customHeight="1">
      <c r="A1292" s="1" t="str">
        <f>Paths!$A$123</f>
        <v>T030</v>
      </c>
      <c r="B1292" s="1">
        <f>Paths!$B$123</f>
        <v>0</v>
      </c>
      <c r="C1292" s="1">
        <v>9</v>
      </c>
      <c r="D1292" s="1">
        <v>123</v>
      </c>
      <c r="E1292" s="1">
        <f>IF(OR(Paths!$C$123=0,C1292=0),0,MAX(0,MIN(C1292*12,Paths!$E$123)-(C1292-1)*12))</f>
        <v>0</v>
      </c>
      <c r="F1292" s="1">
        <f>IF(OR(Paths!$C$123=0,C1292=0),0,12-E1292)</f>
        <v>0</v>
      </c>
      <c r="G1292" s="16">
        <f>IF(NOT(Paths!$C$123=1),0,IF(Paths!$P$123="Complete",E1292/12*(Paths!$J$123*(1+'Operating costs'!$B$51)^MAX(0,C1292-1)+Paths!$K$123*(1+'Operating costs'!$B$53)^MAX(0,C1292-1)),"n.a."))</f>
        <v>0</v>
      </c>
      <c r="H1292" s="16">
        <f>IF(NOT(Paths!$C$123=1),0,IF(Paths!$P$123="Complete",F1292/12*(Paths!$L$123*(1+IF(Paths!$D$123="EV",'Operating costs'!$B$52,'Operating costs'!$B$51))^MAX(0,C1292-1)+Paths!$M$123*(1+'Operating costs'!$B$53)^MAX(0,C1292-1)),"n.a."))</f>
        <v>0</v>
      </c>
      <c r="I1292" s="16">
        <f>IF(NOT(Paths!$C$123=1),0,IF(Paths!$P$123="Complete",IF(IF(Paths!$E$123=0,C1292=0,AND(C1292&gt;0,Paths!$E$123&gt;(C1292-1)*12,Paths!$E$123&lt;=C1292*12)),Paths!$G$123,0),"n.a."))</f>
        <v>0</v>
      </c>
      <c r="J1292" s="16">
        <f>IF(NOT(Paths!$C$123=1),0,IF(Paths!$P$123="Complete",IF(IF(Paths!$E$123=0,C1292=0,AND(C1292&gt;0,Paths!$E$123&gt;(C1292-1)*12,Paths!$E$123&lt;=C1292*12)),Paths!$H$123,0),"n.a."))</f>
        <v>0</v>
      </c>
      <c r="K1292" s="16">
        <f>IF(NOT(Paths!$C$123=1),0,IF(Paths!$P$123="Complete",IF(IF(Paths!$O$123=0,C1292=0,AND(C1292&gt;0,Paths!$O$123&gt;(C1292-1)*12,Paths!$O$123&lt;=C1292*12)),Paths!$N$123,0),"n.a."))</f>
        <v>0</v>
      </c>
      <c r="L1292" s="16">
        <f>IF(NOT(Paths!$C$123=1),0,IF(Paths!$P$123="Complete",IF(C1292=10,Paths!$I$123,0),"n.a."))</f>
        <v>0</v>
      </c>
      <c r="M1292" s="16">
        <f>IF(NOT(Paths!$C$123=1),0,IF(Paths!$P$123="Complete",IF(AND(Paths!$D$123="EV",Paths!$E$123&lt;120,Paths!$E$123+'Operating costs'!$B$65&gt;Paths!$E$123,Paths!$E$123+'Operating costs'!$B$65&lt;=120,IF(Paths!$E$123+'Operating costs'!$B$65=0,C1292=0,AND(C1292&gt;0,Paths!$E$123+'Operating costs'!$B$65&gt;(C1292-1)*12,Paths!$E$123+'Operating costs'!$B$65&lt;=C1292*12))),'Operating costs'!$B$64,0)+IF(AND('Operating costs'!$B$67&gt;0,'Operating costs'!$B$67&lt;=120,OR(Paths!$D$123="ICE",'Operating costs'!$B$67&lt;=Paths!$E$123),IF('Operating costs'!$B$67=0,C1292=0,AND(C1292&gt;0,'Operating costs'!$B$67&gt;(C1292-1)*12,'Operating costs'!$B$67&lt;=C1292*12))),'Operating costs'!$B$66,0),"n.a."))</f>
        <v>0</v>
      </c>
      <c r="N1292" s="16">
        <f>IF(NOT(Paths!$C$123=1),0,IF(Paths!$P$123="Complete",SUM(G1292:I1292)-J1292-K1292-L1292+M1292+IF(C1292=0,Paths!$F$123,0)+IF(IF(Paths!$E$123=0,C1292=0,AND(C1292&gt;0,Paths!$E$123&gt;(C1292-1)*12,Paths!$E$123&lt;=C1292*12)),VLOOKUP(A1292,'Fleet register'!$A$7:$S$106,16,FALSE),0),"n.a."))</f>
        <v>0</v>
      </c>
      <c r="O1292" s="16">
        <f>IF(NOT(Paths!$C$123=1),0,IF(Paths!$P$123="Complete",N1292-IF(C1292=0,Paths!$F$123,0),"n.a."))</f>
        <v>0</v>
      </c>
      <c r="P1292" s="16">
        <f>IF(NOT(Paths!$C$123=1),0,IF(Paths!$P$123="Complete",O1292+L1292,"n.a."))</f>
        <v>0</v>
      </c>
      <c r="Q1292" s="16">
        <f>IF(NOT(Paths!$C$123=1),0,IF(Paths!$P$123="Complete",N1292*(1+'Operating costs'!$B$54)^-C1292,"n.a."))</f>
        <v>0</v>
      </c>
      <c r="R1292" s="16">
        <f>IF(NOT(Paths!$C$123=1),0,IF(Paths!$P$123="Complete",IF(AND(C1292=0,Paths!$E$123=0),I1292-J1292-K1292+VLOOKUP(A1292,'Fleet register'!$A$7:$S$106,15,FALSE)+VLOOKUP(A1292,'Fleet register'!$A$7:$S$106,16,FALSE),0),"n.a."))</f>
        <v>0</v>
      </c>
      <c r="S1292" s="1">
        <f>IF(NOT(Paths!$C$123=1),0,IF(Paths!$P$123="Complete",IF(C1292=0,0,Paths!$S$123*Paths!$R$123),"n.a."))</f>
        <v>0</v>
      </c>
      <c r="T1292" s="1">
        <f>IF(NOT(Paths!$C$123=1),0,IF(Paths!$P$123="Complete",IF(C1292=0,0,VLOOKUP(A1292,'Fleet register'!$A$7:$S$106,9,FALSE)*Paths!$R$123),"n.a."))</f>
        <v>0</v>
      </c>
    </row>
    <row r="1293" spans="1:20" ht="24" customHeight="1">
      <c r="A1293" s="1" t="str">
        <f>Paths!$A$123</f>
        <v>T030</v>
      </c>
      <c r="B1293" s="1">
        <f>Paths!$B$123</f>
        <v>0</v>
      </c>
      <c r="C1293" s="1">
        <v>10</v>
      </c>
      <c r="D1293" s="1">
        <v>123</v>
      </c>
      <c r="E1293" s="1">
        <f>IF(OR(Paths!$C$123=0,C1293=0),0,MAX(0,MIN(C1293*12,Paths!$E$123)-(C1293-1)*12))</f>
        <v>0</v>
      </c>
      <c r="F1293" s="1">
        <f>IF(OR(Paths!$C$123=0,C1293=0),0,12-E1293)</f>
        <v>0</v>
      </c>
      <c r="G1293" s="16">
        <f>IF(NOT(Paths!$C$123=1),0,IF(Paths!$P$123="Complete",E1293/12*(Paths!$J$123*(1+'Operating costs'!$B$51)^MAX(0,C1293-1)+Paths!$K$123*(1+'Operating costs'!$B$53)^MAX(0,C1293-1)),"n.a."))</f>
        <v>0</v>
      </c>
      <c r="H1293" s="16">
        <f>IF(NOT(Paths!$C$123=1),0,IF(Paths!$P$123="Complete",F1293/12*(Paths!$L$123*(1+IF(Paths!$D$123="EV",'Operating costs'!$B$52,'Operating costs'!$B$51))^MAX(0,C1293-1)+Paths!$M$123*(1+'Operating costs'!$B$53)^MAX(0,C1293-1)),"n.a."))</f>
        <v>0</v>
      </c>
      <c r="I1293" s="16">
        <f>IF(NOT(Paths!$C$123=1),0,IF(Paths!$P$123="Complete",IF(IF(Paths!$E$123=0,C1293=0,AND(C1293&gt;0,Paths!$E$123&gt;(C1293-1)*12,Paths!$E$123&lt;=C1293*12)),Paths!$G$123,0),"n.a."))</f>
        <v>0</v>
      </c>
      <c r="J1293" s="16">
        <f>IF(NOT(Paths!$C$123=1),0,IF(Paths!$P$123="Complete",IF(IF(Paths!$E$123=0,C1293=0,AND(C1293&gt;0,Paths!$E$123&gt;(C1293-1)*12,Paths!$E$123&lt;=C1293*12)),Paths!$H$123,0),"n.a."))</f>
        <v>0</v>
      </c>
      <c r="K1293" s="16">
        <f>IF(NOT(Paths!$C$123=1),0,IF(Paths!$P$123="Complete",IF(IF(Paths!$O$123=0,C1293=0,AND(C1293&gt;0,Paths!$O$123&gt;(C1293-1)*12,Paths!$O$123&lt;=C1293*12)),Paths!$N$123,0),"n.a."))</f>
        <v>0</v>
      </c>
      <c r="L1293" s="16">
        <f>IF(NOT(Paths!$C$123=1),0,IF(Paths!$P$123="Complete",IF(C1293=10,Paths!$I$123,0),"n.a."))</f>
        <v>0</v>
      </c>
      <c r="M1293" s="16">
        <f>IF(NOT(Paths!$C$123=1),0,IF(Paths!$P$123="Complete",IF(AND(Paths!$D$123="EV",Paths!$E$123&lt;120,Paths!$E$123+'Operating costs'!$B$65&gt;Paths!$E$123,Paths!$E$123+'Operating costs'!$B$65&lt;=120,IF(Paths!$E$123+'Operating costs'!$B$65=0,C1293=0,AND(C1293&gt;0,Paths!$E$123+'Operating costs'!$B$65&gt;(C1293-1)*12,Paths!$E$123+'Operating costs'!$B$65&lt;=C1293*12))),'Operating costs'!$B$64,0)+IF(AND('Operating costs'!$B$67&gt;0,'Operating costs'!$B$67&lt;=120,OR(Paths!$D$123="ICE",'Operating costs'!$B$67&lt;=Paths!$E$123),IF('Operating costs'!$B$67=0,C1293=0,AND(C1293&gt;0,'Operating costs'!$B$67&gt;(C1293-1)*12,'Operating costs'!$B$67&lt;=C1293*12))),'Operating costs'!$B$66,0),"n.a."))</f>
        <v>0</v>
      </c>
      <c r="N1293" s="16">
        <f>IF(NOT(Paths!$C$123=1),0,IF(Paths!$P$123="Complete",SUM(G1293:I1293)-J1293-K1293-L1293+M1293+IF(C1293=0,Paths!$F$123,0)+IF(IF(Paths!$E$123=0,C1293=0,AND(C1293&gt;0,Paths!$E$123&gt;(C1293-1)*12,Paths!$E$123&lt;=C1293*12)),VLOOKUP(A1293,'Fleet register'!$A$7:$S$106,16,FALSE),0),"n.a."))</f>
        <v>0</v>
      </c>
      <c r="O1293" s="16">
        <f>IF(NOT(Paths!$C$123=1),0,IF(Paths!$P$123="Complete",N1293-IF(C1293=0,Paths!$F$123,0),"n.a."))</f>
        <v>0</v>
      </c>
      <c r="P1293" s="16">
        <f>IF(NOT(Paths!$C$123=1),0,IF(Paths!$P$123="Complete",O1293+L1293,"n.a."))</f>
        <v>0</v>
      </c>
      <c r="Q1293" s="16">
        <f>IF(NOT(Paths!$C$123=1),0,IF(Paths!$P$123="Complete",N1293*(1+'Operating costs'!$B$54)^-C1293,"n.a."))</f>
        <v>0</v>
      </c>
      <c r="R1293" s="16">
        <f>IF(NOT(Paths!$C$123=1),0,IF(Paths!$P$123="Complete",IF(AND(C1293=0,Paths!$E$123=0),I1293-J1293-K1293+VLOOKUP(A1293,'Fleet register'!$A$7:$S$106,15,FALSE)+VLOOKUP(A1293,'Fleet register'!$A$7:$S$106,16,FALSE),0),"n.a."))</f>
        <v>0</v>
      </c>
      <c r="S1293" s="1">
        <f>IF(NOT(Paths!$C$123=1),0,IF(Paths!$P$123="Complete",IF(C1293=0,0,Paths!$S$123*Paths!$R$123),"n.a."))</f>
        <v>0</v>
      </c>
      <c r="T1293" s="1">
        <f>IF(NOT(Paths!$C$123=1),0,IF(Paths!$P$123="Complete",IF(C1293=0,0,VLOOKUP(A1293,'Fleet register'!$A$7:$S$106,9,FALSE)*Paths!$R$123),"n.a."))</f>
        <v>0</v>
      </c>
    </row>
    <row r="1294" spans="1:20" ht="24" customHeight="1">
      <c r="A1294" s="1" t="str">
        <f>Paths!$A$124</f>
        <v>T030</v>
      </c>
      <c r="B1294" s="1">
        <f>Paths!$B$124</f>
        <v>1</v>
      </c>
      <c r="C1294" s="1">
        <v>0</v>
      </c>
      <c r="D1294" s="1">
        <v>124</v>
      </c>
      <c r="E1294" s="1">
        <f>IF(OR(Paths!$C$124=0,C1294=0),0,MAX(0,MIN(C1294*12,Paths!$E$124)-(C1294-1)*12))</f>
        <v>0</v>
      </c>
      <c r="F1294" s="1">
        <f>IF(OR(Paths!$C$124=0,C1294=0),0,12-E1294)</f>
        <v>0</v>
      </c>
      <c r="G1294" s="16">
        <f>IF(NOT(Paths!$C$124=1),0,IF(Paths!$P$124="Complete",E1294/12*(Paths!$J$124*(1+'Operating costs'!$B$51)^MAX(0,C1294-1)+Paths!$K$124*(1+'Operating costs'!$B$53)^MAX(0,C1294-1)),"n.a."))</f>
        <v>0</v>
      </c>
      <c r="H1294" s="16">
        <f>IF(NOT(Paths!$C$124=1),0,IF(Paths!$P$124="Complete",F1294/12*(Paths!$L$124*(1+IF(Paths!$D$124="EV",'Operating costs'!$B$52,'Operating costs'!$B$51))^MAX(0,C1294-1)+Paths!$M$124*(1+'Operating costs'!$B$53)^MAX(0,C1294-1)),"n.a."))</f>
        <v>0</v>
      </c>
      <c r="I1294" s="16">
        <f>IF(NOT(Paths!$C$124=1),0,IF(Paths!$P$124="Complete",IF(IF(Paths!$E$124=0,C1294=0,AND(C1294&gt;0,Paths!$E$124&gt;(C1294-1)*12,Paths!$E$124&lt;=C1294*12)),Paths!$G$124,0),"n.a."))</f>
        <v>0</v>
      </c>
      <c r="J1294" s="16">
        <f>IF(NOT(Paths!$C$124=1),0,IF(Paths!$P$124="Complete",IF(IF(Paths!$E$124=0,C1294=0,AND(C1294&gt;0,Paths!$E$124&gt;(C1294-1)*12,Paths!$E$124&lt;=C1294*12)),Paths!$H$124,0),"n.a."))</f>
        <v>0</v>
      </c>
      <c r="K1294" s="16">
        <f>IF(NOT(Paths!$C$124=1),0,IF(Paths!$P$124="Complete",IF(IF(Paths!$O$124=0,C1294=0,AND(C1294&gt;0,Paths!$O$124&gt;(C1294-1)*12,Paths!$O$124&lt;=C1294*12)),Paths!$N$124,0),"n.a."))</f>
        <v>0</v>
      </c>
      <c r="L1294" s="16">
        <f>IF(NOT(Paths!$C$124=1),0,IF(Paths!$P$124="Complete",IF(C1294=10,Paths!$I$124,0),"n.a."))</f>
        <v>0</v>
      </c>
      <c r="M1294" s="16">
        <f>IF(NOT(Paths!$C$124=1),0,IF(Paths!$P$124="Complete",IF(AND(Paths!$D$124="EV",Paths!$E$124&lt;120,Paths!$E$124+'Operating costs'!$B$65&gt;Paths!$E$124,Paths!$E$124+'Operating costs'!$B$65&lt;=120,IF(Paths!$E$124+'Operating costs'!$B$65=0,C1294=0,AND(C1294&gt;0,Paths!$E$124+'Operating costs'!$B$65&gt;(C1294-1)*12,Paths!$E$124+'Operating costs'!$B$65&lt;=C1294*12))),'Operating costs'!$B$64,0)+IF(AND('Operating costs'!$B$67&gt;0,'Operating costs'!$B$67&lt;=120,OR(Paths!$D$124="ICE",'Operating costs'!$B$67&lt;=Paths!$E$124),IF('Operating costs'!$B$67=0,C1294=0,AND(C1294&gt;0,'Operating costs'!$B$67&gt;(C1294-1)*12,'Operating costs'!$B$67&lt;=C1294*12))),'Operating costs'!$B$66,0),"n.a."))</f>
        <v>0</v>
      </c>
      <c r="N1294" s="16">
        <f>IF(NOT(Paths!$C$124=1),0,IF(Paths!$P$124="Complete",SUM(G1294:I1294)-J1294-K1294-L1294+M1294+IF(C1294=0,Paths!$F$124,0)+IF(IF(Paths!$E$124=0,C1294=0,AND(C1294&gt;0,Paths!$E$124&gt;(C1294-1)*12,Paths!$E$124&lt;=C1294*12)),VLOOKUP(A1294,'Fleet register'!$A$7:$S$106,16,FALSE),0),"n.a."))</f>
        <v>0</v>
      </c>
      <c r="O1294" s="16">
        <f>IF(NOT(Paths!$C$124=1),0,IF(Paths!$P$124="Complete",N1294-IF(C1294=0,Paths!$F$124,0),"n.a."))</f>
        <v>0</v>
      </c>
      <c r="P1294" s="16">
        <f>IF(NOT(Paths!$C$124=1),0,IF(Paths!$P$124="Complete",O1294+L1294,"n.a."))</f>
        <v>0</v>
      </c>
      <c r="Q1294" s="16">
        <f>IF(NOT(Paths!$C$124=1),0,IF(Paths!$P$124="Complete",N1294*(1+'Operating costs'!$B$54)^-C1294,"n.a."))</f>
        <v>0</v>
      </c>
      <c r="R1294" s="16">
        <f>IF(NOT(Paths!$C$124=1),0,IF(Paths!$P$124="Complete",IF(AND(C1294=0,Paths!$E$124=0),I1294-J1294-K1294+VLOOKUP(A1294,'Fleet register'!$A$7:$S$106,15,FALSE)+VLOOKUP(A1294,'Fleet register'!$A$7:$S$106,16,FALSE),0),"n.a."))</f>
        <v>0</v>
      </c>
      <c r="S1294" s="1">
        <f>IF(NOT(Paths!$C$124=1),0,IF(Paths!$P$124="Complete",IF(C1294=0,0,Paths!$S$124*Paths!$R$124),"n.a."))</f>
        <v>0</v>
      </c>
      <c r="T1294" s="1">
        <f>IF(NOT(Paths!$C$124=1),0,IF(Paths!$P$124="Complete",IF(C1294=0,0,VLOOKUP(A1294,'Fleet register'!$A$7:$S$106,9,FALSE)*Paths!$R$124),"n.a."))</f>
        <v>0</v>
      </c>
    </row>
    <row r="1295" spans="1:20" ht="24" customHeight="1">
      <c r="A1295" s="1" t="str">
        <f>Paths!$A$124</f>
        <v>T030</v>
      </c>
      <c r="B1295" s="1">
        <f>Paths!$B$124</f>
        <v>1</v>
      </c>
      <c r="C1295" s="1">
        <v>1</v>
      </c>
      <c r="D1295" s="1">
        <v>124</v>
      </c>
      <c r="E1295" s="1">
        <f>IF(OR(Paths!$C$124=0,C1295=0),0,MAX(0,MIN(C1295*12,Paths!$E$124)-(C1295-1)*12))</f>
        <v>0</v>
      </c>
      <c r="F1295" s="1">
        <f>IF(OR(Paths!$C$124=0,C1295=0),0,12-E1295)</f>
        <v>0</v>
      </c>
      <c r="G1295" s="16">
        <f>IF(NOT(Paths!$C$124=1),0,IF(Paths!$P$124="Complete",E1295/12*(Paths!$J$124*(1+'Operating costs'!$B$51)^MAX(0,C1295-1)+Paths!$K$124*(1+'Operating costs'!$B$53)^MAX(0,C1295-1)),"n.a."))</f>
        <v>0</v>
      </c>
      <c r="H1295" s="16">
        <f>IF(NOT(Paths!$C$124=1),0,IF(Paths!$P$124="Complete",F1295/12*(Paths!$L$124*(1+IF(Paths!$D$124="EV",'Operating costs'!$B$52,'Operating costs'!$B$51))^MAX(0,C1295-1)+Paths!$M$124*(1+'Operating costs'!$B$53)^MAX(0,C1295-1)),"n.a."))</f>
        <v>0</v>
      </c>
      <c r="I1295" s="16">
        <f>IF(NOT(Paths!$C$124=1),0,IF(Paths!$P$124="Complete",IF(IF(Paths!$E$124=0,C1295=0,AND(C1295&gt;0,Paths!$E$124&gt;(C1295-1)*12,Paths!$E$124&lt;=C1295*12)),Paths!$G$124,0),"n.a."))</f>
        <v>0</v>
      </c>
      <c r="J1295" s="16">
        <f>IF(NOT(Paths!$C$124=1),0,IF(Paths!$P$124="Complete",IF(IF(Paths!$E$124=0,C1295=0,AND(C1295&gt;0,Paths!$E$124&gt;(C1295-1)*12,Paths!$E$124&lt;=C1295*12)),Paths!$H$124,0),"n.a."))</f>
        <v>0</v>
      </c>
      <c r="K1295" s="16">
        <f>IF(NOT(Paths!$C$124=1),0,IF(Paths!$P$124="Complete",IF(IF(Paths!$O$124=0,C1295=0,AND(C1295&gt;0,Paths!$O$124&gt;(C1295-1)*12,Paths!$O$124&lt;=C1295*12)),Paths!$N$124,0),"n.a."))</f>
        <v>0</v>
      </c>
      <c r="L1295" s="16">
        <f>IF(NOT(Paths!$C$124=1),0,IF(Paths!$P$124="Complete",IF(C1295=10,Paths!$I$124,0),"n.a."))</f>
        <v>0</v>
      </c>
      <c r="M1295" s="16">
        <f>IF(NOT(Paths!$C$124=1),0,IF(Paths!$P$124="Complete",IF(AND(Paths!$D$124="EV",Paths!$E$124&lt;120,Paths!$E$124+'Operating costs'!$B$65&gt;Paths!$E$124,Paths!$E$124+'Operating costs'!$B$65&lt;=120,IF(Paths!$E$124+'Operating costs'!$B$65=0,C1295=0,AND(C1295&gt;0,Paths!$E$124+'Operating costs'!$B$65&gt;(C1295-1)*12,Paths!$E$124+'Operating costs'!$B$65&lt;=C1295*12))),'Operating costs'!$B$64,0)+IF(AND('Operating costs'!$B$67&gt;0,'Operating costs'!$B$67&lt;=120,OR(Paths!$D$124="ICE",'Operating costs'!$B$67&lt;=Paths!$E$124),IF('Operating costs'!$B$67=0,C1295=0,AND(C1295&gt;0,'Operating costs'!$B$67&gt;(C1295-1)*12,'Operating costs'!$B$67&lt;=C1295*12))),'Operating costs'!$B$66,0),"n.a."))</f>
        <v>0</v>
      </c>
      <c r="N1295" s="16">
        <f>IF(NOT(Paths!$C$124=1),0,IF(Paths!$P$124="Complete",SUM(G1295:I1295)-J1295-K1295-L1295+M1295+IF(C1295=0,Paths!$F$124,0)+IF(IF(Paths!$E$124=0,C1295=0,AND(C1295&gt;0,Paths!$E$124&gt;(C1295-1)*12,Paths!$E$124&lt;=C1295*12)),VLOOKUP(A1295,'Fleet register'!$A$7:$S$106,16,FALSE),0),"n.a."))</f>
        <v>0</v>
      </c>
      <c r="O1295" s="16">
        <f>IF(NOT(Paths!$C$124=1),0,IF(Paths!$P$124="Complete",N1295-IF(C1295=0,Paths!$F$124,0),"n.a."))</f>
        <v>0</v>
      </c>
      <c r="P1295" s="16">
        <f>IF(NOT(Paths!$C$124=1),0,IF(Paths!$P$124="Complete",O1295+L1295,"n.a."))</f>
        <v>0</v>
      </c>
      <c r="Q1295" s="16">
        <f>IF(NOT(Paths!$C$124=1),0,IF(Paths!$P$124="Complete",N1295*(1+'Operating costs'!$B$54)^-C1295,"n.a."))</f>
        <v>0</v>
      </c>
      <c r="R1295" s="16">
        <f>IF(NOT(Paths!$C$124=1),0,IF(Paths!$P$124="Complete",IF(AND(C1295=0,Paths!$E$124=0),I1295-J1295-K1295+VLOOKUP(A1295,'Fleet register'!$A$7:$S$106,15,FALSE)+VLOOKUP(A1295,'Fleet register'!$A$7:$S$106,16,FALSE),0),"n.a."))</f>
        <v>0</v>
      </c>
      <c r="S1295" s="1">
        <f>IF(NOT(Paths!$C$124=1),0,IF(Paths!$P$124="Complete",IF(C1295=0,0,Paths!$S$124*Paths!$R$124),"n.a."))</f>
        <v>0</v>
      </c>
      <c r="T1295" s="1">
        <f>IF(NOT(Paths!$C$124=1),0,IF(Paths!$P$124="Complete",IF(C1295=0,0,VLOOKUP(A1295,'Fleet register'!$A$7:$S$106,9,FALSE)*Paths!$R$124),"n.a."))</f>
        <v>0</v>
      </c>
    </row>
    <row r="1296" spans="1:20" ht="24" customHeight="1">
      <c r="A1296" s="1" t="str">
        <f>Paths!$A$124</f>
        <v>T030</v>
      </c>
      <c r="B1296" s="1">
        <f>Paths!$B$124</f>
        <v>1</v>
      </c>
      <c r="C1296" s="1">
        <v>2</v>
      </c>
      <c r="D1296" s="1">
        <v>124</v>
      </c>
      <c r="E1296" s="1">
        <f>IF(OR(Paths!$C$124=0,C1296=0),0,MAX(0,MIN(C1296*12,Paths!$E$124)-(C1296-1)*12))</f>
        <v>0</v>
      </c>
      <c r="F1296" s="1">
        <f>IF(OR(Paths!$C$124=0,C1296=0),0,12-E1296)</f>
        <v>0</v>
      </c>
      <c r="G1296" s="16">
        <f>IF(NOT(Paths!$C$124=1),0,IF(Paths!$P$124="Complete",E1296/12*(Paths!$J$124*(1+'Operating costs'!$B$51)^MAX(0,C1296-1)+Paths!$K$124*(1+'Operating costs'!$B$53)^MAX(0,C1296-1)),"n.a."))</f>
        <v>0</v>
      </c>
      <c r="H1296" s="16">
        <f>IF(NOT(Paths!$C$124=1),0,IF(Paths!$P$124="Complete",F1296/12*(Paths!$L$124*(1+IF(Paths!$D$124="EV",'Operating costs'!$B$52,'Operating costs'!$B$51))^MAX(0,C1296-1)+Paths!$M$124*(1+'Operating costs'!$B$53)^MAX(0,C1296-1)),"n.a."))</f>
        <v>0</v>
      </c>
      <c r="I1296" s="16">
        <f>IF(NOT(Paths!$C$124=1),0,IF(Paths!$P$124="Complete",IF(IF(Paths!$E$124=0,C1296=0,AND(C1296&gt;0,Paths!$E$124&gt;(C1296-1)*12,Paths!$E$124&lt;=C1296*12)),Paths!$G$124,0),"n.a."))</f>
        <v>0</v>
      </c>
      <c r="J1296" s="16">
        <f>IF(NOT(Paths!$C$124=1),0,IF(Paths!$P$124="Complete",IF(IF(Paths!$E$124=0,C1296=0,AND(C1296&gt;0,Paths!$E$124&gt;(C1296-1)*12,Paths!$E$124&lt;=C1296*12)),Paths!$H$124,0),"n.a."))</f>
        <v>0</v>
      </c>
      <c r="K1296" s="16">
        <f>IF(NOT(Paths!$C$124=1),0,IF(Paths!$P$124="Complete",IF(IF(Paths!$O$124=0,C1296=0,AND(C1296&gt;0,Paths!$O$124&gt;(C1296-1)*12,Paths!$O$124&lt;=C1296*12)),Paths!$N$124,0),"n.a."))</f>
        <v>0</v>
      </c>
      <c r="L1296" s="16">
        <f>IF(NOT(Paths!$C$124=1),0,IF(Paths!$P$124="Complete",IF(C1296=10,Paths!$I$124,0),"n.a."))</f>
        <v>0</v>
      </c>
      <c r="M1296" s="16">
        <f>IF(NOT(Paths!$C$124=1),0,IF(Paths!$P$124="Complete",IF(AND(Paths!$D$124="EV",Paths!$E$124&lt;120,Paths!$E$124+'Operating costs'!$B$65&gt;Paths!$E$124,Paths!$E$124+'Operating costs'!$B$65&lt;=120,IF(Paths!$E$124+'Operating costs'!$B$65=0,C1296=0,AND(C1296&gt;0,Paths!$E$124+'Operating costs'!$B$65&gt;(C1296-1)*12,Paths!$E$124+'Operating costs'!$B$65&lt;=C1296*12))),'Operating costs'!$B$64,0)+IF(AND('Operating costs'!$B$67&gt;0,'Operating costs'!$B$67&lt;=120,OR(Paths!$D$124="ICE",'Operating costs'!$B$67&lt;=Paths!$E$124),IF('Operating costs'!$B$67=0,C1296=0,AND(C1296&gt;0,'Operating costs'!$B$67&gt;(C1296-1)*12,'Operating costs'!$B$67&lt;=C1296*12))),'Operating costs'!$B$66,0),"n.a."))</f>
        <v>0</v>
      </c>
      <c r="N1296" s="16">
        <f>IF(NOT(Paths!$C$124=1),0,IF(Paths!$P$124="Complete",SUM(G1296:I1296)-J1296-K1296-L1296+M1296+IF(C1296=0,Paths!$F$124,0)+IF(IF(Paths!$E$124=0,C1296=0,AND(C1296&gt;0,Paths!$E$124&gt;(C1296-1)*12,Paths!$E$124&lt;=C1296*12)),VLOOKUP(A1296,'Fleet register'!$A$7:$S$106,16,FALSE),0),"n.a."))</f>
        <v>0</v>
      </c>
      <c r="O1296" s="16">
        <f>IF(NOT(Paths!$C$124=1),0,IF(Paths!$P$124="Complete",N1296-IF(C1296=0,Paths!$F$124,0),"n.a."))</f>
        <v>0</v>
      </c>
      <c r="P1296" s="16">
        <f>IF(NOT(Paths!$C$124=1),0,IF(Paths!$P$124="Complete",O1296+L1296,"n.a."))</f>
        <v>0</v>
      </c>
      <c r="Q1296" s="16">
        <f>IF(NOT(Paths!$C$124=1),0,IF(Paths!$P$124="Complete",N1296*(1+'Operating costs'!$B$54)^-C1296,"n.a."))</f>
        <v>0</v>
      </c>
      <c r="R1296" s="16">
        <f>IF(NOT(Paths!$C$124=1),0,IF(Paths!$P$124="Complete",IF(AND(C1296=0,Paths!$E$124=0),I1296-J1296-K1296+VLOOKUP(A1296,'Fleet register'!$A$7:$S$106,15,FALSE)+VLOOKUP(A1296,'Fleet register'!$A$7:$S$106,16,FALSE),0),"n.a."))</f>
        <v>0</v>
      </c>
      <c r="S1296" s="1">
        <f>IF(NOT(Paths!$C$124=1),0,IF(Paths!$P$124="Complete",IF(C1296=0,0,Paths!$S$124*Paths!$R$124),"n.a."))</f>
        <v>0</v>
      </c>
      <c r="T1296" s="1">
        <f>IF(NOT(Paths!$C$124=1),0,IF(Paths!$P$124="Complete",IF(C1296=0,0,VLOOKUP(A1296,'Fleet register'!$A$7:$S$106,9,FALSE)*Paths!$R$124),"n.a."))</f>
        <v>0</v>
      </c>
    </row>
    <row r="1297" spans="1:20" ht="24" customHeight="1">
      <c r="A1297" s="1" t="str">
        <f>Paths!$A$124</f>
        <v>T030</v>
      </c>
      <c r="B1297" s="1">
        <f>Paths!$B$124</f>
        <v>1</v>
      </c>
      <c r="C1297" s="1">
        <v>3</v>
      </c>
      <c r="D1297" s="1">
        <v>124</v>
      </c>
      <c r="E1297" s="1">
        <f>IF(OR(Paths!$C$124=0,C1297=0),0,MAX(0,MIN(C1297*12,Paths!$E$124)-(C1297-1)*12))</f>
        <v>0</v>
      </c>
      <c r="F1297" s="1">
        <f>IF(OR(Paths!$C$124=0,C1297=0),0,12-E1297)</f>
        <v>0</v>
      </c>
      <c r="G1297" s="16">
        <f>IF(NOT(Paths!$C$124=1),0,IF(Paths!$P$124="Complete",E1297/12*(Paths!$J$124*(1+'Operating costs'!$B$51)^MAX(0,C1297-1)+Paths!$K$124*(1+'Operating costs'!$B$53)^MAX(0,C1297-1)),"n.a."))</f>
        <v>0</v>
      </c>
      <c r="H1297" s="16">
        <f>IF(NOT(Paths!$C$124=1),0,IF(Paths!$P$124="Complete",F1297/12*(Paths!$L$124*(1+IF(Paths!$D$124="EV",'Operating costs'!$B$52,'Operating costs'!$B$51))^MAX(0,C1297-1)+Paths!$M$124*(1+'Operating costs'!$B$53)^MAX(0,C1297-1)),"n.a."))</f>
        <v>0</v>
      </c>
      <c r="I1297" s="16">
        <f>IF(NOT(Paths!$C$124=1),0,IF(Paths!$P$124="Complete",IF(IF(Paths!$E$124=0,C1297=0,AND(C1297&gt;0,Paths!$E$124&gt;(C1297-1)*12,Paths!$E$124&lt;=C1297*12)),Paths!$G$124,0),"n.a."))</f>
        <v>0</v>
      </c>
      <c r="J1297" s="16">
        <f>IF(NOT(Paths!$C$124=1),0,IF(Paths!$P$124="Complete",IF(IF(Paths!$E$124=0,C1297=0,AND(C1297&gt;0,Paths!$E$124&gt;(C1297-1)*12,Paths!$E$124&lt;=C1297*12)),Paths!$H$124,0),"n.a."))</f>
        <v>0</v>
      </c>
      <c r="K1297" s="16">
        <f>IF(NOT(Paths!$C$124=1),0,IF(Paths!$P$124="Complete",IF(IF(Paths!$O$124=0,C1297=0,AND(C1297&gt;0,Paths!$O$124&gt;(C1297-1)*12,Paths!$O$124&lt;=C1297*12)),Paths!$N$124,0),"n.a."))</f>
        <v>0</v>
      </c>
      <c r="L1297" s="16">
        <f>IF(NOT(Paths!$C$124=1),0,IF(Paths!$P$124="Complete",IF(C1297=10,Paths!$I$124,0),"n.a."))</f>
        <v>0</v>
      </c>
      <c r="M1297" s="16">
        <f>IF(NOT(Paths!$C$124=1),0,IF(Paths!$P$124="Complete",IF(AND(Paths!$D$124="EV",Paths!$E$124&lt;120,Paths!$E$124+'Operating costs'!$B$65&gt;Paths!$E$124,Paths!$E$124+'Operating costs'!$B$65&lt;=120,IF(Paths!$E$124+'Operating costs'!$B$65=0,C1297=0,AND(C1297&gt;0,Paths!$E$124+'Operating costs'!$B$65&gt;(C1297-1)*12,Paths!$E$124+'Operating costs'!$B$65&lt;=C1297*12))),'Operating costs'!$B$64,0)+IF(AND('Operating costs'!$B$67&gt;0,'Operating costs'!$B$67&lt;=120,OR(Paths!$D$124="ICE",'Operating costs'!$B$67&lt;=Paths!$E$124),IF('Operating costs'!$B$67=0,C1297=0,AND(C1297&gt;0,'Operating costs'!$B$67&gt;(C1297-1)*12,'Operating costs'!$B$67&lt;=C1297*12))),'Operating costs'!$B$66,0),"n.a."))</f>
        <v>0</v>
      </c>
      <c r="N1297" s="16">
        <f>IF(NOT(Paths!$C$124=1),0,IF(Paths!$P$124="Complete",SUM(G1297:I1297)-J1297-K1297-L1297+M1297+IF(C1297=0,Paths!$F$124,0)+IF(IF(Paths!$E$124=0,C1297=0,AND(C1297&gt;0,Paths!$E$124&gt;(C1297-1)*12,Paths!$E$124&lt;=C1297*12)),VLOOKUP(A1297,'Fleet register'!$A$7:$S$106,16,FALSE),0),"n.a."))</f>
        <v>0</v>
      </c>
      <c r="O1297" s="16">
        <f>IF(NOT(Paths!$C$124=1),0,IF(Paths!$P$124="Complete",N1297-IF(C1297=0,Paths!$F$124,0),"n.a."))</f>
        <v>0</v>
      </c>
      <c r="P1297" s="16">
        <f>IF(NOT(Paths!$C$124=1),0,IF(Paths!$P$124="Complete",O1297+L1297,"n.a."))</f>
        <v>0</v>
      </c>
      <c r="Q1297" s="16">
        <f>IF(NOT(Paths!$C$124=1),0,IF(Paths!$P$124="Complete",N1297*(1+'Operating costs'!$B$54)^-C1297,"n.a."))</f>
        <v>0</v>
      </c>
      <c r="R1297" s="16">
        <f>IF(NOT(Paths!$C$124=1),0,IF(Paths!$P$124="Complete",IF(AND(C1297=0,Paths!$E$124=0),I1297-J1297-K1297+VLOOKUP(A1297,'Fleet register'!$A$7:$S$106,15,FALSE)+VLOOKUP(A1297,'Fleet register'!$A$7:$S$106,16,FALSE),0),"n.a."))</f>
        <v>0</v>
      </c>
      <c r="S1297" s="1">
        <f>IF(NOT(Paths!$C$124=1),0,IF(Paths!$P$124="Complete",IF(C1297=0,0,Paths!$S$124*Paths!$R$124),"n.a."))</f>
        <v>0</v>
      </c>
      <c r="T1297" s="1">
        <f>IF(NOT(Paths!$C$124=1),0,IF(Paths!$P$124="Complete",IF(C1297=0,0,VLOOKUP(A1297,'Fleet register'!$A$7:$S$106,9,FALSE)*Paths!$R$124),"n.a."))</f>
        <v>0</v>
      </c>
    </row>
    <row r="1298" spans="1:20" ht="24" customHeight="1">
      <c r="A1298" s="1" t="str">
        <f>Paths!$A$124</f>
        <v>T030</v>
      </c>
      <c r="B1298" s="1">
        <f>Paths!$B$124</f>
        <v>1</v>
      </c>
      <c r="C1298" s="1">
        <v>4</v>
      </c>
      <c r="D1298" s="1">
        <v>124</v>
      </c>
      <c r="E1298" s="1">
        <f>IF(OR(Paths!$C$124=0,C1298=0),0,MAX(0,MIN(C1298*12,Paths!$E$124)-(C1298-1)*12))</f>
        <v>0</v>
      </c>
      <c r="F1298" s="1">
        <f>IF(OR(Paths!$C$124=0,C1298=0),0,12-E1298)</f>
        <v>0</v>
      </c>
      <c r="G1298" s="16">
        <f>IF(NOT(Paths!$C$124=1),0,IF(Paths!$P$124="Complete",E1298/12*(Paths!$J$124*(1+'Operating costs'!$B$51)^MAX(0,C1298-1)+Paths!$K$124*(1+'Operating costs'!$B$53)^MAX(0,C1298-1)),"n.a."))</f>
        <v>0</v>
      </c>
      <c r="H1298" s="16">
        <f>IF(NOT(Paths!$C$124=1),0,IF(Paths!$P$124="Complete",F1298/12*(Paths!$L$124*(1+IF(Paths!$D$124="EV",'Operating costs'!$B$52,'Operating costs'!$B$51))^MAX(0,C1298-1)+Paths!$M$124*(1+'Operating costs'!$B$53)^MAX(0,C1298-1)),"n.a."))</f>
        <v>0</v>
      </c>
      <c r="I1298" s="16">
        <f>IF(NOT(Paths!$C$124=1),0,IF(Paths!$P$124="Complete",IF(IF(Paths!$E$124=0,C1298=0,AND(C1298&gt;0,Paths!$E$124&gt;(C1298-1)*12,Paths!$E$124&lt;=C1298*12)),Paths!$G$124,0),"n.a."))</f>
        <v>0</v>
      </c>
      <c r="J1298" s="16">
        <f>IF(NOT(Paths!$C$124=1),0,IF(Paths!$P$124="Complete",IF(IF(Paths!$E$124=0,C1298=0,AND(C1298&gt;0,Paths!$E$124&gt;(C1298-1)*12,Paths!$E$124&lt;=C1298*12)),Paths!$H$124,0),"n.a."))</f>
        <v>0</v>
      </c>
      <c r="K1298" s="16">
        <f>IF(NOT(Paths!$C$124=1),0,IF(Paths!$P$124="Complete",IF(IF(Paths!$O$124=0,C1298=0,AND(C1298&gt;0,Paths!$O$124&gt;(C1298-1)*12,Paths!$O$124&lt;=C1298*12)),Paths!$N$124,0),"n.a."))</f>
        <v>0</v>
      </c>
      <c r="L1298" s="16">
        <f>IF(NOT(Paths!$C$124=1),0,IF(Paths!$P$124="Complete",IF(C1298=10,Paths!$I$124,0),"n.a."))</f>
        <v>0</v>
      </c>
      <c r="M1298" s="16">
        <f>IF(NOT(Paths!$C$124=1),0,IF(Paths!$P$124="Complete",IF(AND(Paths!$D$124="EV",Paths!$E$124&lt;120,Paths!$E$124+'Operating costs'!$B$65&gt;Paths!$E$124,Paths!$E$124+'Operating costs'!$B$65&lt;=120,IF(Paths!$E$124+'Operating costs'!$B$65=0,C1298=0,AND(C1298&gt;0,Paths!$E$124+'Operating costs'!$B$65&gt;(C1298-1)*12,Paths!$E$124+'Operating costs'!$B$65&lt;=C1298*12))),'Operating costs'!$B$64,0)+IF(AND('Operating costs'!$B$67&gt;0,'Operating costs'!$B$67&lt;=120,OR(Paths!$D$124="ICE",'Operating costs'!$B$67&lt;=Paths!$E$124),IF('Operating costs'!$B$67=0,C1298=0,AND(C1298&gt;0,'Operating costs'!$B$67&gt;(C1298-1)*12,'Operating costs'!$B$67&lt;=C1298*12))),'Operating costs'!$B$66,0),"n.a."))</f>
        <v>0</v>
      </c>
      <c r="N1298" s="16">
        <f>IF(NOT(Paths!$C$124=1),0,IF(Paths!$P$124="Complete",SUM(G1298:I1298)-J1298-K1298-L1298+M1298+IF(C1298=0,Paths!$F$124,0)+IF(IF(Paths!$E$124=0,C1298=0,AND(C1298&gt;0,Paths!$E$124&gt;(C1298-1)*12,Paths!$E$124&lt;=C1298*12)),VLOOKUP(A1298,'Fleet register'!$A$7:$S$106,16,FALSE),0),"n.a."))</f>
        <v>0</v>
      </c>
      <c r="O1298" s="16">
        <f>IF(NOT(Paths!$C$124=1),0,IF(Paths!$P$124="Complete",N1298-IF(C1298=0,Paths!$F$124,0),"n.a."))</f>
        <v>0</v>
      </c>
      <c r="P1298" s="16">
        <f>IF(NOT(Paths!$C$124=1),0,IF(Paths!$P$124="Complete",O1298+L1298,"n.a."))</f>
        <v>0</v>
      </c>
      <c r="Q1298" s="16">
        <f>IF(NOT(Paths!$C$124=1),0,IF(Paths!$P$124="Complete",N1298*(1+'Operating costs'!$B$54)^-C1298,"n.a."))</f>
        <v>0</v>
      </c>
      <c r="R1298" s="16">
        <f>IF(NOT(Paths!$C$124=1),0,IF(Paths!$P$124="Complete",IF(AND(C1298=0,Paths!$E$124=0),I1298-J1298-K1298+VLOOKUP(A1298,'Fleet register'!$A$7:$S$106,15,FALSE)+VLOOKUP(A1298,'Fleet register'!$A$7:$S$106,16,FALSE),0),"n.a."))</f>
        <v>0</v>
      </c>
      <c r="S1298" s="1">
        <f>IF(NOT(Paths!$C$124=1),0,IF(Paths!$P$124="Complete",IF(C1298=0,0,Paths!$S$124*Paths!$R$124),"n.a."))</f>
        <v>0</v>
      </c>
      <c r="T1298" s="1">
        <f>IF(NOT(Paths!$C$124=1),0,IF(Paths!$P$124="Complete",IF(C1298=0,0,VLOOKUP(A1298,'Fleet register'!$A$7:$S$106,9,FALSE)*Paths!$R$124),"n.a."))</f>
        <v>0</v>
      </c>
    </row>
    <row r="1299" spans="1:20" ht="24" customHeight="1">
      <c r="A1299" s="1" t="str">
        <f>Paths!$A$124</f>
        <v>T030</v>
      </c>
      <c r="B1299" s="1">
        <f>Paths!$B$124</f>
        <v>1</v>
      </c>
      <c r="C1299" s="1">
        <v>5</v>
      </c>
      <c r="D1299" s="1">
        <v>124</v>
      </c>
      <c r="E1299" s="1">
        <f>IF(OR(Paths!$C$124=0,C1299=0),0,MAX(0,MIN(C1299*12,Paths!$E$124)-(C1299-1)*12))</f>
        <v>0</v>
      </c>
      <c r="F1299" s="1">
        <f>IF(OR(Paths!$C$124=0,C1299=0),0,12-E1299)</f>
        <v>0</v>
      </c>
      <c r="G1299" s="16">
        <f>IF(NOT(Paths!$C$124=1),0,IF(Paths!$P$124="Complete",E1299/12*(Paths!$J$124*(1+'Operating costs'!$B$51)^MAX(0,C1299-1)+Paths!$K$124*(1+'Operating costs'!$B$53)^MAX(0,C1299-1)),"n.a."))</f>
        <v>0</v>
      </c>
      <c r="H1299" s="16">
        <f>IF(NOT(Paths!$C$124=1),0,IF(Paths!$P$124="Complete",F1299/12*(Paths!$L$124*(1+IF(Paths!$D$124="EV",'Operating costs'!$B$52,'Operating costs'!$B$51))^MAX(0,C1299-1)+Paths!$M$124*(1+'Operating costs'!$B$53)^MAX(0,C1299-1)),"n.a."))</f>
        <v>0</v>
      </c>
      <c r="I1299" s="16">
        <f>IF(NOT(Paths!$C$124=1),0,IF(Paths!$P$124="Complete",IF(IF(Paths!$E$124=0,C1299=0,AND(C1299&gt;0,Paths!$E$124&gt;(C1299-1)*12,Paths!$E$124&lt;=C1299*12)),Paths!$G$124,0),"n.a."))</f>
        <v>0</v>
      </c>
      <c r="J1299" s="16">
        <f>IF(NOT(Paths!$C$124=1),0,IF(Paths!$P$124="Complete",IF(IF(Paths!$E$124=0,C1299=0,AND(C1299&gt;0,Paths!$E$124&gt;(C1299-1)*12,Paths!$E$124&lt;=C1299*12)),Paths!$H$124,0),"n.a."))</f>
        <v>0</v>
      </c>
      <c r="K1299" s="16">
        <f>IF(NOT(Paths!$C$124=1),0,IF(Paths!$P$124="Complete",IF(IF(Paths!$O$124=0,C1299=0,AND(C1299&gt;0,Paths!$O$124&gt;(C1299-1)*12,Paths!$O$124&lt;=C1299*12)),Paths!$N$124,0),"n.a."))</f>
        <v>0</v>
      </c>
      <c r="L1299" s="16">
        <f>IF(NOT(Paths!$C$124=1),0,IF(Paths!$P$124="Complete",IF(C1299=10,Paths!$I$124,0),"n.a."))</f>
        <v>0</v>
      </c>
      <c r="M1299" s="16">
        <f>IF(NOT(Paths!$C$124=1),0,IF(Paths!$P$124="Complete",IF(AND(Paths!$D$124="EV",Paths!$E$124&lt;120,Paths!$E$124+'Operating costs'!$B$65&gt;Paths!$E$124,Paths!$E$124+'Operating costs'!$B$65&lt;=120,IF(Paths!$E$124+'Operating costs'!$B$65=0,C1299=0,AND(C1299&gt;0,Paths!$E$124+'Operating costs'!$B$65&gt;(C1299-1)*12,Paths!$E$124+'Operating costs'!$B$65&lt;=C1299*12))),'Operating costs'!$B$64,0)+IF(AND('Operating costs'!$B$67&gt;0,'Operating costs'!$B$67&lt;=120,OR(Paths!$D$124="ICE",'Operating costs'!$B$67&lt;=Paths!$E$124),IF('Operating costs'!$B$67=0,C1299=0,AND(C1299&gt;0,'Operating costs'!$B$67&gt;(C1299-1)*12,'Operating costs'!$B$67&lt;=C1299*12))),'Operating costs'!$B$66,0),"n.a."))</f>
        <v>0</v>
      </c>
      <c r="N1299" s="16">
        <f>IF(NOT(Paths!$C$124=1),0,IF(Paths!$P$124="Complete",SUM(G1299:I1299)-J1299-K1299-L1299+M1299+IF(C1299=0,Paths!$F$124,0)+IF(IF(Paths!$E$124=0,C1299=0,AND(C1299&gt;0,Paths!$E$124&gt;(C1299-1)*12,Paths!$E$124&lt;=C1299*12)),VLOOKUP(A1299,'Fleet register'!$A$7:$S$106,16,FALSE),0),"n.a."))</f>
        <v>0</v>
      </c>
      <c r="O1299" s="16">
        <f>IF(NOT(Paths!$C$124=1),0,IF(Paths!$P$124="Complete",N1299-IF(C1299=0,Paths!$F$124,0),"n.a."))</f>
        <v>0</v>
      </c>
      <c r="P1299" s="16">
        <f>IF(NOT(Paths!$C$124=1),0,IF(Paths!$P$124="Complete",O1299+L1299,"n.a."))</f>
        <v>0</v>
      </c>
      <c r="Q1299" s="16">
        <f>IF(NOT(Paths!$C$124=1),0,IF(Paths!$P$124="Complete",N1299*(1+'Operating costs'!$B$54)^-C1299,"n.a."))</f>
        <v>0</v>
      </c>
      <c r="R1299" s="16">
        <f>IF(NOT(Paths!$C$124=1),0,IF(Paths!$P$124="Complete",IF(AND(C1299=0,Paths!$E$124=0),I1299-J1299-K1299+VLOOKUP(A1299,'Fleet register'!$A$7:$S$106,15,FALSE)+VLOOKUP(A1299,'Fleet register'!$A$7:$S$106,16,FALSE),0),"n.a."))</f>
        <v>0</v>
      </c>
      <c r="S1299" s="1">
        <f>IF(NOT(Paths!$C$124=1),0,IF(Paths!$P$124="Complete",IF(C1299=0,0,Paths!$S$124*Paths!$R$124),"n.a."))</f>
        <v>0</v>
      </c>
      <c r="T1299" s="1">
        <f>IF(NOT(Paths!$C$124=1),0,IF(Paths!$P$124="Complete",IF(C1299=0,0,VLOOKUP(A1299,'Fleet register'!$A$7:$S$106,9,FALSE)*Paths!$R$124),"n.a."))</f>
        <v>0</v>
      </c>
    </row>
    <row r="1300" spans="1:20" ht="24" customHeight="1">
      <c r="A1300" s="1" t="str">
        <f>Paths!$A$124</f>
        <v>T030</v>
      </c>
      <c r="B1300" s="1">
        <f>Paths!$B$124</f>
        <v>1</v>
      </c>
      <c r="C1300" s="1">
        <v>6</v>
      </c>
      <c r="D1300" s="1">
        <v>124</v>
      </c>
      <c r="E1300" s="1">
        <f>IF(OR(Paths!$C$124=0,C1300=0),0,MAX(0,MIN(C1300*12,Paths!$E$124)-(C1300-1)*12))</f>
        <v>0</v>
      </c>
      <c r="F1300" s="1">
        <f>IF(OR(Paths!$C$124=0,C1300=0),0,12-E1300)</f>
        <v>0</v>
      </c>
      <c r="G1300" s="16">
        <f>IF(NOT(Paths!$C$124=1),0,IF(Paths!$P$124="Complete",E1300/12*(Paths!$J$124*(1+'Operating costs'!$B$51)^MAX(0,C1300-1)+Paths!$K$124*(1+'Operating costs'!$B$53)^MAX(0,C1300-1)),"n.a."))</f>
        <v>0</v>
      </c>
      <c r="H1300" s="16">
        <f>IF(NOT(Paths!$C$124=1),0,IF(Paths!$P$124="Complete",F1300/12*(Paths!$L$124*(1+IF(Paths!$D$124="EV",'Operating costs'!$B$52,'Operating costs'!$B$51))^MAX(0,C1300-1)+Paths!$M$124*(1+'Operating costs'!$B$53)^MAX(0,C1300-1)),"n.a."))</f>
        <v>0</v>
      </c>
      <c r="I1300" s="16">
        <f>IF(NOT(Paths!$C$124=1),0,IF(Paths!$P$124="Complete",IF(IF(Paths!$E$124=0,C1300=0,AND(C1300&gt;0,Paths!$E$124&gt;(C1300-1)*12,Paths!$E$124&lt;=C1300*12)),Paths!$G$124,0),"n.a."))</f>
        <v>0</v>
      </c>
      <c r="J1300" s="16">
        <f>IF(NOT(Paths!$C$124=1),0,IF(Paths!$P$124="Complete",IF(IF(Paths!$E$124=0,C1300=0,AND(C1300&gt;0,Paths!$E$124&gt;(C1300-1)*12,Paths!$E$124&lt;=C1300*12)),Paths!$H$124,0),"n.a."))</f>
        <v>0</v>
      </c>
      <c r="K1300" s="16">
        <f>IF(NOT(Paths!$C$124=1),0,IF(Paths!$P$124="Complete",IF(IF(Paths!$O$124=0,C1300=0,AND(C1300&gt;0,Paths!$O$124&gt;(C1300-1)*12,Paths!$O$124&lt;=C1300*12)),Paths!$N$124,0),"n.a."))</f>
        <v>0</v>
      </c>
      <c r="L1300" s="16">
        <f>IF(NOT(Paths!$C$124=1),0,IF(Paths!$P$124="Complete",IF(C1300=10,Paths!$I$124,0),"n.a."))</f>
        <v>0</v>
      </c>
      <c r="M1300" s="16">
        <f>IF(NOT(Paths!$C$124=1),0,IF(Paths!$P$124="Complete",IF(AND(Paths!$D$124="EV",Paths!$E$124&lt;120,Paths!$E$124+'Operating costs'!$B$65&gt;Paths!$E$124,Paths!$E$124+'Operating costs'!$B$65&lt;=120,IF(Paths!$E$124+'Operating costs'!$B$65=0,C1300=0,AND(C1300&gt;0,Paths!$E$124+'Operating costs'!$B$65&gt;(C1300-1)*12,Paths!$E$124+'Operating costs'!$B$65&lt;=C1300*12))),'Operating costs'!$B$64,0)+IF(AND('Operating costs'!$B$67&gt;0,'Operating costs'!$B$67&lt;=120,OR(Paths!$D$124="ICE",'Operating costs'!$B$67&lt;=Paths!$E$124),IF('Operating costs'!$B$67=0,C1300=0,AND(C1300&gt;0,'Operating costs'!$B$67&gt;(C1300-1)*12,'Operating costs'!$B$67&lt;=C1300*12))),'Operating costs'!$B$66,0),"n.a."))</f>
        <v>0</v>
      </c>
      <c r="N1300" s="16">
        <f>IF(NOT(Paths!$C$124=1),0,IF(Paths!$P$124="Complete",SUM(G1300:I1300)-J1300-K1300-L1300+M1300+IF(C1300=0,Paths!$F$124,0)+IF(IF(Paths!$E$124=0,C1300=0,AND(C1300&gt;0,Paths!$E$124&gt;(C1300-1)*12,Paths!$E$124&lt;=C1300*12)),VLOOKUP(A1300,'Fleet register'!$A$7:$S$106,16,FALSE),0),"n.a."))</f>
        <v>0</v>
      </c>
      <c r="O1300" s="16">
        <f>IF(NOT(Paths!$C$124=1),0,IF(Paths!$P$124="Complete",N1300-IF(C1300=0,Paths!$F$124,0),"n.a."))</f>
        <v>0</v>
      </c>
      <c r="P1300" s="16">
        <f>IF(NOT(Paths!$C$124=1),0,IF(Paths!$P$124="Complete",O1300+L1300,"n.a."))</f>
        <v>0</v>
      </c>
      <c r="Q1300" s="16">
        <f>IF(NOT(Paths!$C$124=1),0,IF(Paths!$P$124="Complete",N1300*(1+'Operating costs'!$B$54)^-C1300,"n.a."))</f>
        <v>0</v>
      </c>
      <c r="R1300" s="16">
        <f>IF(NOT(Paths!$C$124=1),0,IF(Paths!$P$124="Complete",IF(AND(C1300=0,Paths!$E$124=0),I1300-J1300-K1300+VLOOKUP(A1300,'Fleet register'!$A$7:$S$106,15,FALSE)+VLOOKUP(A1300,'Fleet register'!$A$7:$S$106,16,FALSE),0),"n.a."))</f>
        <v>0</v>
      </c>
      <c r="S1300" s="1">
        <f>IF(NOT(Paths!$C$124=1),0,IF(Paths!$P$124="Complete",IF(C1300=0,0,Paths!$S$124*Paths!$R$124),"n.a."))</f>
        <v>0</v>
      </c>
      <c r="T1300" s="1">
        <f>IF(NOT(Paths!$C$124=1),0,IF(Paths!$P$124="Complete",IF(C1300=0,0,VLOOKUP(A1300,'Fleet register'!$A$7:$S$106,9,FALSE)*Paths!$R$124),"n.a."))</f>
        <v>0</v>
      </c>
    </row>
    <row r="1301" spans="1:20" ht="24" customHeight="1">
      <c r="A1301" s="1" t="str">
        <f>Paths!$A$124</f>
        <v>T030</v>
      </c>
      <c r="B1301" s="1">
        <f>Paths!$B$124</f>
        <v>1</v>
      </c>
      <c r="C1301" s="1">
        <v>7</v>
      </c>
      <c r="D1301" s="1">
        <v>124</v>
      </c>
      <c r="E1301" s="1">
        <f>IF(OR(Paths!$C$124=0,C1301=0),0,MAX(0,MIN(C1301*12,Paths!$E$124)-(C1301-1)*12))</f>
        <v>0</v>
      </c>
      <c r="F1301" s="1">
        <f>IF(OR(Paths!$C$124=0,C1301=0),0,12-E1301)</f>
        <v>0</v>
      </c>
      <c r="G1301" s="16">
        <f>IF(NOT(Paths!$C$124=1),0,IF(Paths!$P$124="Complete",E1301/12*(Paths!$J$124*(1+'Operating costs'!$B$51)^MAX(0,C1301-1)+Paths!$K$124*(1+'Operating costs'!$B$53)^MAX(0,C1301-1)),"n.a."))</f>
        <v>0</v>
      </c>
      <c r="H1301" s="16">
        <f>IF(NOT(Paths!$C$124=1),0,IF(Paths!$P$124="Complete",F1301/12*(Paths!$L$124*(1+IF(Paths!$D$124="EV",'Operating costs'!$B$52,'Operating costs'!$B$51))^MAX(0,C1301-1)+Paths!$M$124*(1+'Operating costs'!$B$53)^MAX(0,C1301-1)),"n.a."))</f>
        <v>0</v>
      </c>
      <c r="I1301" s="16">
        <f>IF(NOT(Paths!$C$124=1),0,IF(Paths!$P$124="Complete",IF(IF(Paths!$E$124=0,C1301=0,AND(C1301&gt;0,Paths!$E$124&gt;(C1301-1)*12,Paths!$E$124&lt;=C1301*12)),Paths!$G$124,0),"n.a."))</f>
        <v>0</v>
      </c>
      <c r="J1301" s="16">
        <f>IF(NOT(Paths!$C$124=1),0,IF(Paths!$P$124="Complete",IF(IF(Paths!$E$124=0,C1301=0,AND(C1301&gt;0,Paths!$E$124&gt;(C1301-1)*12,Paths!$E$124&lt;=C1301*12)),Paths!$H$124,0),"n.a."))</f>
        <v>0</v>
      </c>
      <c r="K1301" s="16">
        <f>IF(NOT(Paths!$C$124=1),0,IF(Paths!$P$124="Complete",IF(IF(Paths!$O$124=0,C1301=0,AND(C1301&gt;0,Paths!$O$124&gt;(C1301-1)*12,Paths!$O$124&lt;=C1301*12)),Paths!$N$124,0),"n.a."))</f>
        <v>0</v>
      </c>
      <c r="L1301" s="16">
        <f>IF(NOT(Paths!$C$124=1),0,IF(Paths!$P$124="Complete",IF(C1301=10,Paths!$I$124,0),"n.a."))</f>
        <v>0</v>
      </c>
      <c r="M1301" s="16">
        <f>IF(NOT(Paths!$C$124=1),0,IF(Paths!$P$124="Complete",IF(AND(Paths!$D$124="EV",Paths!$E$124&lt;120,Paths!$E$124+'Operating costs'!$B$65&gt;Paths!$E$124,Paths!$E$124+'Operating costs'!$B$65&lt;=120,IF(Paths!$E$124+'Operating costs'!$B$65=0,C1301=0,AND(C1301&gt;0,Paths!$E$124+'Operating costs'!$B$65&gt;(C1301-1)*12,Paths!$E$124+'Operating costs'!$B$65&lt;=C1301*12))),'Operating costs'!$B$64,0)+IF(AND('Operating costs'!$B$67&gt;0,'Operating costs'!$B$67&lt;=120,OR(Paths!$D$124="ICE",'Operating costs'!$B$67&lt;=Paths!$E$124),IF('Operating costs'!$B$67=0,C1301=0,AND(C1301&gt;0,'Operating costs'!$B$67&gt;(C1301-1)*12,'Operating costs'!$B$67&lt;=C1301*12))),'Operating costs'!$B$66,0),"n.a."))</f>
        <v>0</v>
      </c>
      <c r="N1301" s="16">
        <f>IF(NOT(Paths!$C$124=1),0,IF(Paths!$P$124="Complete",SUM(G1301:I1301)-J1301-K1301-L1301+M1301+IF(C1301=0,Paths!$F$124,0)+IF(IF(Paths!$E$124=0,C1301=0,AND(C1301&gt;0,Paths!$E$124&gt;(C1301-1)*12,Paths!$E$124&lt;=C1301*12)),VLOOKUP(A1301,'Fleet register'!$A$7:$S$106,16,FALSE),0),"n.a."))</f>
        <v>0</v>
      </c>
      <c r="O1301" s="16">
        <f>IF(NOT(Paths!$C$124=1),0,IF(Paths!$P$124="Complete",N1301-IF(C1301=0,Paths!$F$124,0),"n.a."))</f>
        <v>0</v>
      </c>
      <c r="P1301" s="16">
        <f>IF(NOT(Paths!$C$124=1),0,IF(Paths!$P$124="Complete",O1301+L1301,"n.a."))</f>
        <v>0</v>
      </c>
      <c r="Q1301" s="16">
        <f>IF(NOT(Paths!$C$124=1),0,IF(Paths!$P$124="Complete",N1301*(1+'Operating costs'!$B$54)^-C1301,"n.a."))</f>
        <v>0</v>
      </c>
      <c r="R1301" s="16">
        <f>IF(NOT(Paths!$C$124=1),0,IF(Paths!$P$124="Complete",IF(AND(C1301=0,Paths!$E$124=0),I1301-J1301-K1301+VLOOKUP(A1301,'Fleet register'!$A$7:$S$106,15,FALSE)+VLOOKUP(A1301,'Fleet register'!$A$7:$S$106,16,FALSE),0),"n.a."))</f>
        <v>0</v>
      </c>
      <c r="S1301" s="1">
        <f>IF(NOT(Paths!$C$124=1),0,IF(Paths!$P$124="Complete",IF(C1301=0,0,Paths!$S$124*Paths!$R$124),"n.a."))</f>
        <v>0</v>
      </c>
      <c r="T1301" s="1">
        <f>IF(NOT(Paths!$C$124=1),0,IF(Paths!$P$124="Complete",IF(C1301=0,0,VLOOKUP(A1301,'Fleet register'!$A$7:$S$106,9,FALSE)*Paths!$R$124),"n.a."))</f>
        <v>0</v>
      </c>
    </row>
    <row r="1302" spans="1:20" ht="24" customHeight="1">
      <c r="A1302" s="1" t="str">
        <f>Paths!$A$124</f>
        <v>T030</v>
      </c>
      <c r="B1302" s="1">
        <f>Paths!$B$124</f>
        <v>1</v>
      </c>
      <c r="C1302" s="1">
        <v>8</v>
      </c>
      <c r="D1302" s="1">
        <v>124</v>
      </c>
      <c r="E1302" s="1">
        <f>IF(OR(Paths!$C$124=0,C1302=0),0,MAX(0,MIN(C1302*12,Paths!$E$124)-(C1302-1)*12))</f>
        <v>0</v>
      </c>
      <c r="F1302" s="1">
        <f>IF(OR(Paths!$C$124=0,C1302=0),0,12-E1302)</f>
        <v>0</v>
      </c>
      <c r="G1302" s="16">
        <f>IF(NOT(Paths!$C$124=1),0,IF(Paths!$P$124="Complete",E1302/12*(Paths!$J$124*(1+'Operating costs'!$B$51)^MAX(0,C1302-1)+Paths!$K$124*(1+'Operating costs'!$B$53)^MAX(0,C1302-1)),"n.a."))</f>
        <v>0</v>
      </c>
      <c r="H1302" s="16">
        <f>IF(NOT(Paths!$C$124=1),0,IF(Paths!$P$124="Complete",F1302/12*(Paths!$L$124*(1+IF(Paths!$D$124="EV",'Operating costs'!$B$52,'Operating costs'!$B$51))^MAX(0,C1302-1)+Paths!$M$124*(1+'Operating costs'!$B$53)^MAX(0,C1302-1)),"n.a."))</f>
        <v>0</v>
      </c>
      <c r="I1302" s="16">
        <f>IF(NOT(Paths!$C$124=1),0,IF(Paths!$P$124="Complete",IF(IF(Paths!$E$124=0,C1302=0,AND(C1302&gt;0,Paths!$E$124&gt;(C1302-1)*12,Paths!$E$124&lt;=C1302*12)),Paths!$G$124,0),"n.a."))</f>
        <v>0</v>
      </c>
      <c r="J1302" s="16">
        <f>IF(NOT(Paths!$C$124=1),0,IF(Paths!$P$124="Complete",IF(IF(Paths!$E$124=0,C1302=0,AND(C1302&gt;0,Paths!$E$124&gt;(C1302-1)*12,Paths!$E$124&lt;=C1302*12)),Paths!$H$124,0),"n.a."))</f>
        <v>0</v>
      </c>
      <c r="K1302" s="16">
        <f>IF(NOT(Paths!$C$124=1),0,IF(Paths!$P$124="Complete",IF(IF(Paths!$O$124=0,C1302=0,AND(C1302&gt;0,Paths!$O$124&gt;(C1302-1)*12,Paths!$O$124&lt;=C1302*12)),Paths!$N$124,0),"n.a."))</f>
        <v>0</v>
      </c>
      <c r="L1302" s="16">
        <f>IF(NOT(Paths!$C$124=1),0,IF(Paths!$P$124="Complete",IF(C1302=10,Paths!$I$124,0),"n.a."))</f>
        <v>0</v>
      </c>
      <c r="M1302" s="16">
        <f>IF(NOT(Paths!$C$124=1),0,IF(Paths!$P$124="Complete",IF(AND(Paths!$D$124="EV",Paths!$E$124&lt;120,Paths!$E$124+'Operating costs'!$B$65&gt;Paths!$E$124,Paths!$E$124+'Operating costs'!$B$65&lt;=120,IF(Paths!$E$124+'Operating costs'!$B$65=0,C1302=0,AND(C1302&gt;0,Paths!$E$124+'Operating costs'!$B$65&gt;(C1302-1)*12,Paths!$E$124+'Operating costs'!$B$65&lt;=C1302*12))),'Operating costs'!$B$64,0)+IF(AND('Operating costs'!$B$67&gt;0,'Operating costs'!$B$67&lt;=120,OR(Paths!$D$124="ICE",'Operating costs'!$B$67&lt;=Paths!$E$124),IF('Operating costs'!$B$67=0,C1302=0,AND(C1302&gt;0,'Operating costs'!$B$67&gt;(C1302-1)*12,'Operating costs'!$B$67&lt;=C1302*12))),'Operating costs'!$B$66,0),"n.a."))</f>
        <v>0</v>
      </c>
      <c r="N1302" s="16">
        <f>IF(NOT(Paths!$C$124=1),0,IF(Paths!$P$124="Complete",SUM(G1302:I1302)-J1302-K1302-L1302+M1302+IF(C1302=0,Paths!$F$124,0)+IF(IF(Paths!$E$124=0,C1302=0,AND(C1302&gt;0,Paths!$E$124&gt;(C1302-1)*12,Paths!$E$124&lt;=C1302*12)),VLOOKUP(A1302,'Fleet register'!$A$7:$S$106,16,FALSE),0),"n.a."))</f>
        <v>0</v>
      </c>
      <c r="O1302" s="16">
        <f>IF(NOT(Paths!$C$124=1),0,IF(Paths!$P$124="Complete",N1302-IF(C1302=0,Paths!$F$124,0),"n.a."))</f>
        <v>0</v>
      </c>
      <c r="P1302" s="16">
        <f>IF(NOT(Paths!$C$124=1),0,IF(Paths!$P$124="Complete",O1302+L1302,"n.a."))</f>
        <v>0</v>
      </c>
      <c r="Q1302" s="16">
        <f>IF(NOT(Paths!$C$124=1),0,IF(Paths!$P$124="Complete",N1302*(1+'Operating costs'!$B$54)^-C1302,"n.a."))</f>
        <v>0</v>
      </c>
      <c r="R1302" s="16">
        <f>IF(NOT(Paths!$C$124=1),0,IF(Paths!$P$124="Complete",IF(AND(C1302=0,Paths!$E$124=0),I1302-J1302-K1302+VLOOKUP(A1302,'Fleet register'!$A$7:$S$106,15,FALSE)+VLOOKUP(A1302,'Fleet register'!$A$7:$S$106,16,FALSE),0),"n.a."))</f>
        <v>0</v>
      </c>
      <c r="S1302" s="1">
        <f>IF(NOT(Paths!$C$124=1),0,IF(Paths!$P$124="Complete",IF(C1302=0,0,Paths!$S$124*Paths!$R$124),"n.a."))</f>
        <v>0</v>
      </c>
      <c r="T1302" s="1">
        <f>IF(NOT(Paths!$C$124=1),0,IF(Paths!$P$124="Complete",IF(C1302=0,0,VLOOKUP(A1302,'Fleet register'!$A$7:$S$106,9,FALSE)*Paths!$R$124),"n.a."))</f>
        <v>0</v>
      </c>
    </row>
    <row r="1303" spans="1:20" ht="24" customHeight="1">
      <c r="A1303" s="1" t="str">
        <f>Paths!$A$124</f>
        <v>T030</v>
      </c>
      <c r="B1303" s="1">
        <f>Paths!$B$124</f>
        <v>1</v>
      </c>
      <c r="C1303" s="1">
        <v>9</v>
      </c>
      <c r="D1303" s="1">
        <v>124</v>
      </c>
      <c r="E1303" s="1">
        <f>IF(OR(Paths!$C$124=0,C1303=0),0,MAX(0,MIN(C1303*12,Paths!$E$124)-(C1303-1)*12))</f>
        <v>0</v>
      </c>
      <c r="F1303" s="1">
        <f>IF(OR(Paths!$C$124=0,C1303=0),0,12-E1303)</f>
        <v>0</v>
      </c>
      <c r="G1303" s="16">
        <f>IF(NOT(Paths!$C$124=1),0,IF(Paths!$P$124="Complete",E1303/12*(Paths!$J$124*(1+'Operating costs'!$B$51)^MAX(0,C1303-1)+Paths!$K$124*(1+'Operating costs'!$B$53)^MAX(0,C1303-1)),"n.a."))</f>
        <v>0</v>
      </c>
      <c r="H1303" s="16">
        <f>IF(NOT(Paths!$C$124=1),0,IF(Paths!$P$124="Complete",F1303/12*(Paths!$L$124*(1+IF(Paths!$D$124="EV",'Operating costs'!$B$52,'Operating costs'!$B$51))^MAX(0,C1303-1)+Paths!$M$124*(1+'Operating costs'!$B$53)^MAX(0,C1303-1)),"n.a."))</f>
        <v>0</v>
      </c>
      <c r="I1303" s="16">
        <f>IF(NOT(Paths!$C$124=1),0,IF(Paths!$P$124="Complete",IF(IF(Paths!$E$124=0,C1303=0,AND(C1303&gt;0,Paths!$E$124&gt;(C1303-1)*12,Paths!$E$124&lt;=C1303*12)),Paths!$G$124,0),"n.a."))</f>
        <v>0</v>
      </c>
      <c r="J1303" s="16">
        <f>IF(NOT(Paths!$C$124=1),0,IF(Paths!$P$124="Complete",IF(IF(Paths!$E$124=0,C1303=0,AND(C1303&gt;0,Paths!$E$124&gt;(C1303-1)*12,Paths!$E$124&lt;=C1303*12)),Paths!$H$124,0),"n.a."))</f>
        <v>0</v>
      </c>
      <c r="K1303" s="16">
        <f>IF(NOT(Paths!$C$124=1),0,IF(Paths!$P$124="Complete",IF(IF(Paths!$O$124=0,C1303=0,AND(C1303&gt;0,Paths!$O$124&gt;(C1303-1)*12,Paths!$O$124&lt;=C1303*12)),Paths!$N$124,0),"n.a."))</f>
        <v>0</v>
      </c>
      <c r="L1303" s="16">
        <f>IF(NOT(Paths!$C$124=1),0,IF(Paths!$P$124="Complete",IF(C1303=10,Paths!$I$124,0),"n.a."))</f>
        <v>0</v>
      </c>
      <c r="M1303" s="16">
        <f>IF(NOT(Paths!$C$124=1),0,IF(Paths!$P$124="Complete",IF(AND(Paths!$D$124="EV",Paths!$E$124&lt;120,Paths!$E$124+'Operating costs'!$B$65&gt;Paths!$E$124,Paths!$E$124+'Operating costs'!$B$65&lt;=120,IF(Paths!$E$124+'Operating costs'!$B$65=0,C1303=0,AND(C1303&gt;0,Paths!$E$124+'Operating costs'!$B$65&gt;(C1303-1)*12,Paths!$E$124+'Operating costs'!$B$65&lt;=C1303*12))),'Operating costs'!$B$64,0)+IF(AND('Operating costs'!$B$67&gt;0,'Operating costs'!$B$67&lt;=120,OR(Paths!$D$124="ICE",'Operating costs'!$B$67&lt;=Paths!$E$124),IF('Operating costs'!$B$67=0,C1303=0,AND(C1303&gt;0,'Operating costs'!$B$67&gt;(C1303-1)*12,'Operating costs'!$B$67&lt;=C1303*12))),'Operating costs'!$B$66,0),"n.a."))</f>
        <v>0</v>
      </c>
      <c r="N1303" s="16">
        <f>IF(NOT(Paths!$C$124=1),0,IF(Paths!$P$124="Complete",SUM(G1303:I1303)-J1303-K1303-L1303+M1303+IF(C1303=0,Paths!$F$124,0)+IF(IF(Paths!$E$124=0,C1303=0,AND(C1303&gt;0,Paths!$E$124&gt;(C1303-1)*12,Paths!$E$124&lt;=C1303*12)),VLOOKUP(A1303,'Fleet register'!$A$7:$S$106,16,FALSE),0),"n.a."))</f>
        <v>0</v>
      </c>
      <c r="O1303" s="16">
        <f>IF(NOT(Paths!$C$124=1),0,IF(Paths!$P$124="Complete",N1303-IF(C1303=0,Paths!$F$124,0),"n.a."))</f>
        <v>0</v>
      </c>
      <c r="P1303" s="16">
        <f>IF(NOT(Paths!$C$124=1),0,IF(Paths!$P$124="Complete",O1303+L1303,"n.a."))</f>
        <v>0</v>
      </c>
      <c r="Q1303" s="16">
        <f>IF(NOT(Paths!$C$124=1),0,IF(Paths!$P$124="Complete",N1303*(1+'Operating costs'!$B$54)^-C1303,"n.a."))</f>
        <v>0</v>
      </c>
      <c r="R1303" s="16">
        <f>IF(NOT(Paths!$C$124=1),0,IF(Paths!$P$124="Complete",IF(AND(C1303=0,Paths!$E$124=0),I1303-J1303-K1303+VLOOKUP(A1303,'Fleet register'!$A$7:$S$106,15,FALSE)+VLOOKUP(A1303,'Fleet register'!$A$7:$S$106,16,FALSE),0),"n.a."))</f>
        <v>0</v>
      </c>
      <c r="S1303" s="1">
        <f>IF(NOT(Paths!$C$124=1),0,IF(Paths!$P$124="Complete",IF(C1303=0,0,Paths!$S$124*Paths!$R$124),"n.a."))</f>
        <v>0</v>
      </c>
      <c r="T1303" s="1">
        <f>IF(NOT(Paths!$C$124=1),0,IF(Paths!$P$124="Complete",IF(C1303=0,0,VLOOKUP(A1303,'Fleet register'!$A$7:$S$106,9,FALSE)*Paths!$R$124),"n.a."))</f>
        <v>0</v>
      </c>
    </row>
    <row r="1304" spans="1:20" ht="24" customHeight="1">
      <c r="A1304" s="1" t="str">
        <f>Paths!$A$124</f>
        <v>T030</v>
      </c>
      <c r="B1304" s="1">
        <f>Paths!$B$124</f>
        <v>1</v>
      </c>
      <c r="C1304" s="1">
        <v>10</v>
      </c>
      <c r="D1304" s="1">
        <v>124</v>
      </c>
      <c r="E1304" s="1">
        <f>IF(OR(Paths!$C$124=0,C1304=0),0,MAX(0,MIN(C1304*12,Paths!$E$124)-(C1304-1)*12))</f>
        <v>0</v>
      </c>
      <c r="F1304" s="1">
        <f>IF(OR(Paths!$C$124=0,C1304=0),0,12-E1304)</f>
        <v>0</v>
      </c>
      <c r="G1304" s="16">
        <f>IF(NOT(Paths!$C$124=1),0,IF(Paths!$P$124="Complete",E1304/12*(Paths!$J$124*(1+'Operating costs'!$B$51)^MAX(0,C1304-1)+Paths!$K$124*(1+'Operating costs'!$B$53)^MAX(0,C1304-1)),"n.a."))</f>
        <v>0</v>
      </c>
      <c r="H1304" s="16">
        <f>IF(NOT(Paths!$C$124=1),0,IF(Paths!$P$124="Complete",F1304/12*(Paths!$L$124*(1+IF(Paths!$D$124="EV",'Operating costs'!$B$52,'Operating costs'!$B$51))^MAX(0,C1304-1)+Paths!$M$124*(1+'Operating costs'!$B$53)^MAX(0,C1304-1)),"n.a."))</f>
        <v>0</v>
      </c>
      <c r="I1304" s="16">
        <f>IF(NOT(Paths!$C$124=1),0,IF(Paths!$P$124="Complete",IF(IF(Paths!$E$124=0,C1304=0,AND(C1304&gt;0,Paths!$E$124&gt;(C1304-1)*12,Paths!$E$124&lt;=C1304*12)),Paths!$G$124,0),"n.a."))</f>
        <v>0</v>
      </c>
      <c r="J1304" s="16">
        <f>IF(NOT(Paths!$C$124=1),0,IF(Paths!$P$124="Complete",IF(IF(Paths!$E$124=0,C1304=0,AND(C1304&gt;0,Paths!$E$124&gt;(C1304-1)*12,Paths!$E$124&lt;=C1304*12)),Paths!$H$124,0),"n.a."))</f>
        <v>0</v>
      </c>
      <c r="K1304" s="16">
        <f>IF(NOT(Paths!$C$124=1),0,IF(Paths!$P$124="Complete",IF(IF(Paths!$O$124=0,C1304=0,AND(C1304&gt;0,Paths!$O$124&gt;(C1304-1)*12,Paths!$O$124&lt;=C1304*12)),Paths!$N$124,0),"n.a."))</f>
        <v>0</v>
      </c>
      <c r="L1304" s="16">
        <f>IF(NOT(Paths!$C$124=1),0,IF(Paths!$P$124="Complete",IF(C1304=10,Paths!$I$124,0),"n.a."))</f>
        <v>0</v>
      </c>
      <c r="M1304" s="16">
        <f>IF(NOT(Paths!$C$124=1),0,IF(Paths!$P$124="Complete",IF(AND(Paths!$D$124="EV",Paths!$E$124&lt;120,Paths!$E$124+'Operating costs'!$B$65&gt;Paths!$E$124,Paths!$E$124+'Operating costs'!$B$65&lt;=120,IF(Paths!$E$124+'Operating costs'!$B$65=0,C1304=0,AND(C1304&gt;0,Paths!$E$124+'Operating costs'!$B$65&gt;(C1304-1)*12,Paths!$E$124+'Operating costs'!$B$65&lt;=C1304*12))),'Operating costs'!$B$64,0)+IF(AND('Operating costs'!$B$67&gt;0,'Operating costs'!$B$67&lt;=120,OR(Paths!$D$124="ICE",'Operating costs'!$B$67&lt;=Paths!$E$124),IF('Operating costs'!$B$67=0,C1304=0,AND(C1304&gt;0,'Operating costs'!$B$67&gt;(C1304-1)*12,'Operating costs'!$B$67&lt;=C1304*12))),'Operating costs'!$B$66,0),"n.a."))</f>
        <v>0</v>
      </c>
      <c r="N1304" s="16">
        <f>IF(NOT(Paths!$C$124=1),0,IF(Paths!$P$124="Complete",SUM(G1304:I1304)-J1304-K1304-L1304+M1304+IF(C1304=0,Paths!$F$124,0)+IF(IF(Paths!$E$124=0,C1304=0,AND(C1304&gt;0,Paths!$E$124&gt;(C1304-1)*12,Paths!$E$124&lt;=C1304*12)),VLOOKUP(A1304,'Fleet register'!$A$7:$S$106,16,FALSE),0),"n.a."))</f>
        <v>0</v>
      </c>
      <c r="O1304" s="16">
        <f>IF(NOT(Paths!$C$124=1),0,IF(Paths!$P$124="Complete",N1304-IF(C1304=0,Paths!$F$124,0),"n.a."))</f>
        <v>0</v>
      </c>
      <c r="P1304" s="16">
        <f>IF(NOT(Paths!$C$124=1),0,IF(Paths!$P$124="Complete",O1304+L1304,"n.a."))</f>
        <v>0</v>
      </c>
      <c r="Q1304" s="16">
        <f>IF(NOT(Paths!$C$124=1),0,IF(Paths!$P$124="Complete",N1304*(1+'Operating costs'!$B$54)^-C1304,"n.a."))</f>
        <v>0</v>
      </c>
      <c r="R1304" s="16">
        <f>IF(NOT(Paths!$C$124=1),0,IF(Paths!$P$124="Complete",IF(AND(C1304=0,Paths!$E$124=0),I1304-J1304-K1304+VLOOKUP(A1304,'Fleet register'!$A$7:$S$106,15,FALSE)+VLOOKUP(A1304,'Fleet register'!$A$7:$S$106,16,FALSE),0),"n.a."))</f>
        <v>0</v>
      </c>
      <c r="S1304" s="1">
        <f>IF(NOT(Paths!$C$124=1),0,IF(Paths!$P$124="Complete",IF(C1304=0,0,Paths!$S$124*Paths!$R$124),"n.a."))</f>
        <v>0</v>
      </c>
      <c r="T1304" s="1">
        <f>IF(NOT(Paths!$C$124=1),0,IF(Paths!$P$124="Complete",IF(C1304=0,0,VLOOKUP(A1304,'Fleet register'!$A$7:$S$106,9,FALSE)*Paths!$R$124),"n.a."))</f>
        <v>0</v>
      </c>
    </row>
    <row r="1305" spans="1:20" ht="24" customHeight="1">
      <c r="A1305" s="1" t="str">
        <f>Paths!$A$125</f>
        <v>T030</v>
      </c>
      <c r="B1305" s="1">
        <f>Paths!$B$125</f>
        <v>2</v>
      </c>
      <c r="C1305" s="1">
        <v>0</v>
      </c>
      <c r="D1305" s="1">
        <v>125</v>
      </c>
      <c r="E1305" s="1">
        <f>IF(OR(Paths!$C$125=0,C1305=0),0,MAX(0,MIN(C1305*12,Paths!$E$125)-(C1305-1)*12))</f>
        <v>0</v>
      </c>
      <c r="F1305" s="1">
        <f>IF(OR(Paths!$C$125=0,C1305=0),0,12-E1305)</f>
        <v>0</v>
      </c>
      <c r="G1305" s="16">
        <f>IF(NOT(Paths!$C$125=1),0,IF(Paths!$P$125="Complete",E1305/12*(Paths!$J$125*(1+'Operating costs'!$B$51)^MAX(0,C1305-1)+Paths!$K$125*(1+'Operating costs'!$B$53)^MAX(0,C1305-1)),"n.a."))</f>
        <v>0</v>
      </c>
      <c r="H1305" s="16">
        <f>IF(NOT(Paths!$C$125=1),0,IF(Paths!$P$125="Complete",F1305/12*(Paths!$L$125*(1+IF(Paths!$D$125="EV",'Operating costs'!$B$52,'Operating costs'!$B$51))^MAX(0,C1305-1)+Paths!$M$125*(1+'Operating costs'!$B$53)^MAX(0,C1305-1)),"n.a."))</f>
        <v>0</v>
      </c>
      <c r="I1305" s="16">
        <f>IF(NOT(Paths!$C$125=1),0,IF(Paths!$P$125="Complete",IF(IF(Paths!$E$125=0,C1305=0,AND(C1305&gt;0,Paths!$E$125&gt;(C1305-1)*12,Paths!$E$125&lt;=C1305*12)),Paths!$G$125,0),"n.a."))</f>
        <v>0</v>
      </c>
      <c r="J1305" s="16">
        <f>IF(NOT(Paths!$C$125=1),0,IF(Paths!$P$125="Complete",IF(IF(Paths!$E$125=0,C1305=0,AND(C1305&gt;0,Paths!$E$125&gt;(C1305-1)*12,Paths!$E$125&lt;=C1305*12)),Paths!$H$125,0),"n.a."))</f>
        <v>0</v>
      </c>
      <c r="K1305" s="16">
        <f>IF(NOT(Paths!$C$125=1),0,IF(Paths!$P$125="Complete",IF(IF(Paths!$O$125=0,C1305=0,AND(C1305&gt;0,Paths!$O$125&gt;(C1305-1)*12,Paths!$O$125&lt;=C1305*12)),Paths!$N$125,0),"n.a."))</f>
        <v>0</v>
      </c>
      <c r="L1305" s="16">
        <f>IF(NOT(Paths!$C$125=1),0,IF(Paths!$P$125="Complete",IF(C1305=10,Paths!$I$125,0),"n.a."))</f>
        <v>0</v>
      </c>
      <c r="M1305" s="16">
        <f>IF(NOT(Paths!$C$125=1),0,IF(Paths!$P$125="Complete",IF(AND(Paths!$D$125="EV",Paths!$E$125&lt;120,Paths!$E$125+'Operating costs'!$B$65&gt;Paths!$E$125,Paths!$E$125+'Operating costs'!$B$65&lt;=120,IF(Paths!$E$125+'Operating costs'!$B$65=0,C1305=0,AND(C1305&gt;0,Paths!$E$125+'Operating costs'!$B$65&gt;(C1305-1)*12,Paths!$E$125+'Operating costs'!$B$65&lt;=C1305*12))),'Operating costs'!$B$64,0)+IF(AND('Operating costs'!$B$67&gt;0,'Operating costs'!$B$67&lt;=120,OR(Paths!$D$125="ICE",'Operating costs'!$B$67&lt;=Paths!$E$125),IF('Operating costs'!$B$67=0,C1305=0,AND(C1305&gt;0,'Operating costs'!$B$67&gt;(C1305-1)*12,'Operating costs'!$B$67&lt;=C1305*12))),'Operating costs'!$B$66,0),"n.a."))</f>
        <v>0</v>
      </c>
      <c r="N1305" s="16">
        <f>IF(NOT(Paths!$C$125=1),0,IF(Paths!$P$125="Complete",SUM(G1305:I1305)-J1305-K1305-L1305+M1305+IF(C1305=0,Paths!$F$125,0)+IF(IF(Paths!$E$125=0,C1305=0,AND(C1305&gt;0,Paths!$E$125&gt;(C1305-1)*12,Paths!$E$125&lt;=C1305*12)),VLOOKUP(A1305,'Fleet register'!$A$7:$S$106,16,FALSE),0),"n.a."))</f>
        <v>0</v>
      </c>
      <c r="O1305" s="16">
        <f>IF(NOT(Paths!$C$125=1),0,IF(Paths!$P$125="Complete",N1305-IF(C1305=0,Paths!$F$125,0),"n.a."))</f>
        <v>0</v>
      </c>
      <c r="P1305" s="16">
        <f>IF(NOT(Paths!$C$125=1),0,IF(Paths!$P$125="Complete",O1305+L1305,"n.a."))</f>
        <v>0</v>
      </c>
      <c r="Q1305" s="16">
        <f>IF(NOT(Paths!$C$125=1),0,IF(Paths!$P$125="Complete",N1305*(1+'Operating costs'!$B$54)^-C1305,"n.a."))</f>
        <v>0</v>
      </c>
      <c r="R1305" s="16">
        <f>IF(NOT(Paths!$C$125=1),0,IF(Paths!$P$125="Complete",IF(AND(C1305=0,Paths!$E$125=0),I1305-J1305-K1305+VLOOKUP(A1305,'Fleet register'!$A$7:$S$106,15,FALSE)+VLOOKUP(A1305,'Fleet register'!$A$7:$S$106,16,FALSE),0),"n.a."))</f>
        <v>0</v>
      </c>
      <c r="S1305" s="1">
        <f>IF(NOT(Paths!$C$125=1),0,IF(Paths!$P$125="Complete",IF(C1305=0,0,Paths!$S$125*Paths!$R$125),"n.a."))</f>
        <v>0</v>
      </c>
      <c r="T1305" s="1">
        <f>IF(NOT(Paths!$C$125=1),0,IF(Paths!$P$125="Complete",IF(C1305=0,0,VLOOKUP(A1305,'Fleet register'!$A$7:$S$106,9,FALSE)*Paths!$R$125),"n.a."))</f>
        <v>0</v>
      </c>
    </row>
    <row r="1306" spans="1:20" ht="24" customHeight="1">
      <c r="A1306" s="1" t="str">
        <f>Paths!$A$125</f>
        <v>T030</v>
      </c>
      <c r="B1306" s="1">
        <f>Paths!$B$125</f>
        <v>2</v>
      </c>
      <c r="C1306" s="1">
        <v>1</v>
      </c>
      <c r="D1306" s="1">
        <v>125</v>
      </c>
      <c r="E1306" s="1">
        <f>IF(OR(Paths!$C$125=0,C1306=0),0,MAX(0,MIN(C1306*12,Paths!$E$125)-(C1306-1)*12))</f>
        <v>0</v>
      </c>
      <c r="F1306" s="1">
        <f>IF(OR(Paths!$C$125=0,C1306=0),0,12-E1306)</f>
        <v>0</v>
      </c>
      <c r="G1306" s="16">
        <f>IF(NOT(Paths!$C$125=1),0,IF(Paths!$P$125="Complete",E1306/12*(Paths!$J$125*(1+'Operating costs'!$B$51)^MAX(0,C1306-1)+Paths!$K$125*(1+'Operating costs'!$B$53)^MAX(0,C1306-1)),"n.a."))</f>
        <v>0</v>
      </c>
      <c r="H1306" s="16">
        <f>IF(NOT(Paths!$C$125=1),0,IF(Paths!$P$125="Complete",F1306/12*(Paths!$L$125*(1+IF(Paths!$D$125="EV",'Operating costs'!$B$52,'Operating costs'!$B$51))^MAX(0,C1306-1)+Paths!$M$125*(1+'Operating costs'!$B$53)^MAX(0,C1306-1)),"n.a."))</f>
        <v>0</v>
      </c>
      <c r="I1306" s="16">
        <f>IF(NOT(Paths!$C$125=1),0,IF(Paths!$P$125="Complete",IF(IF(Paths!$E$125=0,C1306=0,AND(C1306&gt;0,Paths!$E$125&gt;(C1306-1)*12,Paths!$E$125&lt;=C1306*12)),Paths!$G$125,0),"n.a."))</f>
        <v>0</v>
      </c>
      <c r="J1306" s="16">
        <f>IF(NOT(Paths!$C$125=1),0,IF(Paths!$P$125="Complete",IF(IF(Paths!$E$125=0,C1306=0,AND(C1306&gt;0,Paths!$E$125&gt;(C1306-1)*12,Paths!$E$125&lt;=C1306*12)),Paths!$H$125,0),"n.a."))</f>
        <v>0</v>
      </c>
      <c r="K1306" s="16">
        <f>IF(NOT(Paths!$C$125=1),0,IF(Paths!$P$125="Complete",IF(IF(Paths!$O$125=0,C1306=0,AND(C1306&gt;0,Paths!$O$125&gt;(C1306-1)*12,Paths!$O$125&lt;=C1306*12)),Paths!$N$125,0),"n.a."))</f>
        <v>0</v>
      </c>
      <c r="L1306" s="16">
        <f>IF(NOT(Paths!$C$125=1),0,IF(Paths!$P$125="Complete",IF(C1306=10,Paths!$I$125,0),"n.a."))</f>
        <v>0</v>
      </c>
      <c r="M1306" s="16">
        <f>IF(NOT(Paths!$C$125=1),0,IF(Paths!$P$125="Complete",IF(AND(Paths!$D$125="EV",Paths!$E$125&lt;120,Paths!$E$125+'Operating costs'!$B$65&gt;Paths!$E$125,Paths!$E$125+'Operating costs'!$B$65&lt;=120,IF(Paths!$E$125+'Operating costs'!$B$65=0,C1306=0,AND(C1306&gt;0,Paths!$E$125+'Operating costs'!$B$65&gt;(C1306-1)*12,Paths!$E$125+'Operating costs'!$B$65&lt;=C1306*12))),'Operating costs'!$B$64,0)+IF(AND('Operating costs'!$B$67&gt;0,'Operating costs'!$B$67&lt;=120,OR(Paths!$D$125="ICE",'Operating costs'!$B$67&lt;=Paths!$E$125),IF('Operating costs'!$B$67=0,C1306=0,AND(C1306&gt;0,'Operating costs'!$B$67&gt;(C1306-1)*12,'Operating costs'!$B$67&lt;=C1306*12))),'Operating costs'!$B$66,0),"n.a."))</f>
        <v>0</v>
      </c>
      <c r="N1306" s="16">
        <f>IF(NOT(Paths!$C$125=1),0,IF(Paths!$P$125="Complete",SUM(G1306:I1306)-J1306-K1306-L1306+M1306+IF(C1306=0,Paths!$F$125,0)+IF(IF(Paths!$E$125=0,C1306=0,AND(C1306&gt;0,Paths!$E$125&gt;(C1306-1)*12,Paths!$E$125&lt;=C1306*12)),VLOOKUP(A1306,'Fleet register'!$A$7:$S$106,16,FALSE),0),"n.a."))</f>
        <v>0</v>
      </c>
      <c r="O1306" s="16">
        <f>IF(NOT(Paths!$C$125=1),0,IF(Paths!$P$125="Complete",N1306-IF(C1306=0,Paths!$F$125,0),"n.a."))</f>
        <v>0</v>
      </c>
      <c r="P1306" s="16">
        <f>IF(NOT(Paths!$C$125=1),0,IF(Paths!$P$125="Complete",O1306+L1306,"n.a."))</f>
        <v>0</v>
      </c>
      <c r="Q1306" s="16">
        <f>IF(NOT(Paths!$C$125=1),0,IF(Paths!$P$125="Complete",N1306*(1+'Operating costs'!$B$54)^-C1306,"n.a."))</f>
        <v>0</v>
      </c>
      <c r="R1306" s="16">
        <f>IF(NOT(Paths!$C$125=1),0,IF(Paths!$P$125="Complete",IF(AND(C1306=0,Paths!$E$125=0),I1306-J1306-K1306+VLOOKUP(A1306,'Fleet register'!$A$7:$S$106,15,FALSE)+VLOOKUP(A1306,'Fleet register'!$A$7:$S$106,16,FALSE),0),"n.a."))</f>
        <v>0</v>
      </c>
      <c r="S1306" s="1">
        <f>IF(NOT(Paths!$C$125=1),0,IF(Paths!$P$125="Complete",IF(C1306=0,0,Paths!$S$125*Paths!$R$125),"n.a."))</f>
        <v>0</v>
      </c>
      <c r="T1306" s="1">
        <f>IF(NOT(Paths!$C$125=1),0,IF(Paths!$P$125="Complete",IF(C1306=0,0,VLOOKUP(A1306,'Fleet register'!$A$7:$S$106,9,FALSE)*Paths!$R$125),"n.a."))</f>
        <v>0</v>
      </c>
    </row>
    <row r="1307" spans="1:20" ht="24" customHeight="1">
      <c r="A1307" s="1" t="str">
        <f>Paths!$A$125</f>
        <v>T030</v>
      </c>
      <c r="B1307" s="1">
        <f>Paths!$B$125</f>
        <v>2</v>
      </c>
      <c r="C1307" s="1">
        <v>2</v>
      </c>
      <c r="D1307" s="1">
        <v>125</v>
      </c>
      <c r="E1307" s="1">
        <f>IF(OR(Paths!$C$125=0,C1307=0),0,MAX(0,MIN(C1307*12,Paths!$E$125)-(C1307-1)*12))</f>
        <v>0</v>
      </c>
      <c r="F1307" s="1">
        <f>IF(OR(Paths!$C$125=0,C1307=0),0,12-E1307)</f>
        <v>0</v>
      </c>
      <c r="G1307" s="16">
        <f>IF(NOT(Paths!$C$125=1),0,IF(Paths!$P$125="Complete",E1307/12*(Paths!$J$125*(1+'Operating costs'!$B$51)^MAX(0,C1307-1)+Paths!$K$125*(1+'Operating costs'!$B$53)^MAX(0,C1307-1)),"n.a."))</f>
        <v>0</v>
      </c>
      <c r="H1307" s="16">
        <f>IF(NOT(Paths!$C$125=1),0,IF(Paths!$P$125="Complete",F1307/12*(Paths!$L$125*(1+IF(Paths!$D$125="EV",'Operating costs'!$B$52,'Operating costs'!$B$51))^MAX(0,C1307-1)+Paths!$M$125*(1+'Operating costs'!$B$53)^MAX(0,C1307-1)),"n.a."))</f>
        <v>0</v>
      </c>
      <c r="I1307" s="16">
        <f>IF(NOT(Paths!$C$125=1),0,IF(Paths!$P$125="Complete",IF(IF(Paths!$E$125=0,C1307=0,AND(C1307&gt;0,Paths!$E$125&gt;(C1307-1)*12,Paths!$E$125&lt;=C1307*12)),Paths!$G$125,0),"n.a."))</f>
        <v>0</v>
      </c>
      <c r="J1307" s="16">
        <f>IF(NOT(Paths!$C$125=1),0,IF(Paths!$P$125="Complete",IF(IF(Paths!$E$125=0,C1307=0,AND(C1307&gt;0,Paths!$E$125&gt;(C1307-1)*12,Paths!$E$125&lt;=C1307*12)),Paths!$H$125,0),"n.a."))</f>
        <v>0</v>
      </c>
      <c r="K1307" s="16">
        <f>IF(NOT(Paths!$C$125=1),0,IF(Paths!$P$125="Complete",IF(IF(Paths!$O$125=0,C1307=0,AND(C1307&gt;0,Paths!$O$125&gt;(C1307-1)*12,Paths!$O$125&lt;=C1307*12)),Paths!$N$125,0),"n.a."))</f>
        <v>0</v>
      </c>
      <c r="L1307" s="16">
        <f>IF(NOT(Paths!$C$125=1),0,IF(Paths!$P$125="Complete",IF(C1307=10,Paths!$I$125,0),"n.a."))</f>
        <v>0</v>
      </c>
      <c r="M1307" s="16">
        <f>IF(NOT(Paths!$C$125=1),0,IF(Paths!$P$125="Complete",IF(AND(Paths!$D$125="EV",Paths!$E$125&lt;120,Paths!$E$125+'Operating costs'!$B$65&gt;Paths!$E$125,Paths!$E$125+'Operating costs'!$B$65&lt;=120,IF(Paths!$E$125+'Operating costs'!$B$65=0,C1307=0,AND(C1307&gt;0,Paths!$E$125+'Operating costs'!$B$65&gt;(C1307-1)*12,Paths!$E$125+'Operating costs'!$B$65&lt;=C1307*12))),'Operating costs'!$B$64,0)+IF(AND('Operating costs'!$B$67&gt;0,'Operating costs'!$B$67&lt;=120,OR(Paths!$D$125="ICE",'Operating costs'!$B$67&lt;=Paths!$E$125),IF('Operating costs'!$B$67=0,C1307=0,AND(C1307&gt;0,'Operating costs'!$B$67&gt;(C1307-1)*12,'Operating costs'!$B$67&lt;=C1307*12))),'Operating costs'!$B$66,0),"n.a."))</f>
        <v>0</v>
      </c>
      <c r="N1307" s="16">
        <f>IF(NOT(Paths!$C$125=1),0,IF(Paths!$P$125="Complete",SUM(G1307:I1307)-J1307-K1307-L1307+M1307+IF(C1307=0,Paths!$F$125,0)+IF(IF(Paths!$E$125=0,C1307=0,AND(C1307&gt;0,Paths!$E$125&gt;(C1307-1)*12,Paths!$E$125&lt;=C1307*12)),VLOOKUP(A1307,'Fleet register'!$A$7:$S$106,16,FALSE),0),"n.a."))</f>
        <v>0</v>
      </c>
      <c r="O1307" s="16">
        <f>IF(NOT(Paths!$C$125=1),0,IF(Paths!$P$125="Complete",N1307-IF(C1307=0,Paths!$F$125,0),"n.a."))</f>
        <v>0</v>
      </c>
      <c r="P1307" s="16">
        <f>IF(NOT(Paths!$C$125=1),0,IF(Paths!$P$125="Complete",O1307+L1307,"n.a."))</f>
        <v>0</v>
      </c>
      <c r="Q1307" s="16">
        <f>IF(NOT(Paths!$C$125=1),0,IF(Paths!$P$125="Complete",N1307*(1+'Operating costs'!$B$54)^-C1307,"n.a."))</f>
        <v>0</v>
      </c>
      <c r="R1307" s="16">
        <f>IF(NOT(Paths!$C$125=1),0,IF(Paths!$P$125="Complete",IF(AND(C1307=0,Paths!$E$125=0),I1307-J1307-K1307+VLOOKUP(A1307,'Fleet register'!$A$7:$S$106,15,FALSE)+VLOOKUP(A1307,'Fleet register'!$A$7:$S$106,16,FALSE),0),"n.a."))</f>
        <v>0</v>
      </c>
      <c r="S1307" s="1">
        <f>IF(NOT(Paths!$C$125=1),0,IF(Paths!$P$125="Complete",IF(C1307=0,0,Paths!$S$125*Paths!$R$125),"n.a."))</f>
        <v>0</v>
      </c>
      <c r="T1307" s="1">
        <f>IF(NOT(Paths!$C$125=1),0,IF(Paths!$P$125="Complete",IF(C1307=0,0,VLOOKUP(A1307,'Fleet register'!$A$7:$S$106,9,FALSE)*Paths!$R$125),"n.a."))</f>
        <v>0</v>
      </c>
    </row>
    <row r="1308" spans="1:20" ht="24" customHeight="1">
      <c r="A1308" s="1" t="str">
        <f>Paths!$A$125</f>
        <v>T030</v>
      </c>
      <c r="B1308" s="1">
        <f>Paths!$B$125</f>
        <v>2</v>
      </c>
      <c r="C1308" s="1">
        <v>3</v>
      </c>
      <c r="D1308" s="1">
        <v>125</v>
      </c>
      <c r="E1308" s="1">
        <f>IF(OR(Paths!$C$125=0,C1308=0),0,MAX(0,MIN(C1308*12,Paths!$E$125)-(C1308-1)*12))</f>
        <v>0</v>
      </c>
      <c r="F1308" s="1">
        <f>IF(OR(Paths!$C$125=0,C1308=0),0,12-E1308)</f>
        <v>0</v>
      </c>
      <c r="G1308" s="16">
        <f>IF(NOT(Paths!$C$125=1),0,IF(Paths!$P$125="Complete",E1308/12*(Paths!$J$125*(1+'Operating costs'!$B$51)^MAX(0,C1308-1)+Paths!$K$125*(1+'Operating costs'!$B$53)^MAX(0,C1308-1)),"n.a."))</f>
        <v>0</v>
      </c>
      <c r="H1308" s="16">
        <f>IF(NOT(Paths!$C$125=1),0,IF(Paths!$P$125="Complete",F1308/12*(Paths!$L$125*(1+IF(Paths!$D$125="EV",'Operating costs'!$B$52,'Operating costs'!$B$51))^MAX(0,C1308-1)+Paths!$M$125*(1+'Operating costs'!$B$53)^MAX(0,C1308-1)),"n.a."))</f>
        <v>0</v>
      </c>
      <c r="I1308" s="16">
        <f>IF(NOT(Paths!$C$125=1),0,IF(Paths!$P$125="Complete",IF(IF(Paths!$E$125=0,C1308=0,AND(C1308&gt;0,Paths!$E$125&gt;(C1308-1)*12,Paths!$E$125&lt;=C1308*12)),Paths!$G$125,0),"n.a."))</f>
        <v>0</v>
      </c>
      <c r="J1308" s="16">
        <f>IF(NOT(Paths!$C$125=1),0,IF(Paths!$P$125="Complete",IF(IF(Paths!$E$125=0,C1308=0,AND(C1308&gt;0,Paths!$E$125&gt;(C1308-1)*12,Paths!$E$125&lt;=C1308*12)),Paths!$H$125,0),"n.a."))</f>
        <v>0</v>
      </c>
      <c r="K1308" s="16">
        <f>IF(NOT(Paths!$C$125=1),0,IF(Paths!$P$125="Complete",IF(IF(Paths!$O$125=0,C1308=0,AND(C1308&gt;0,Paths!$O$125&gt;(C1308-1)*12,Paths!$O$125&lt;=C1308*12)),Paths!$N$125,0),"n.a."))</f>
        <v>0</v>
      </c>
      <c r="L1308" s="16">
        <f>IF(NOT(Paths!$C$125=1),0,IF(Paths!$P$125="Complete",IF(C1308=10,Paths!$I$125,0),"n.a."))</f>
        <v>0</v>
      </c>
      <c r="M1308" s="16">
        <f>IF(NOT(Paths!$C$125=1),0,IF(Paths!$P$125="Complete",IF(AND(Paths!$D$125="EV",Paths!$E$125&lt;120,Paths!$E$125+'Operating costs'!$B$65&gt;Paths!$E$125,Paths!$E$125+'Operating costs'!$B$65&lt;=120,IF(Paths!$E$125+'Operating costs'!$B$65=0,C1308=0,AND(C1308&gt;0,Paths!$E$125+'Operating costs'!$B$65&gt;(C1308-1)*12,Paths!$E$125+'Operating costs'!$B$65&lt;=C1308*12))),'Operating costs'!$B$64,0)+IF(AND('Operating costs'!$B$67&gt;0,'Operating costs'!$B$67&lt;=120,OR(Paths!$D$125="ICE",'Operating costs'!$B$67&lt;=Paths!$E$125),IF('Operating costs'!$B$67=0,C1308=0,AND(C1308&gt;0,'Operating costs'!$B$67&gt;(C1308-1)*12,'Operating costs'!$B$67&lt;=C1308*12))),'Operating costs'!$B$66,0),"n.a."))</f>
        <v>0</v>
      </c>
      <c r="N1308" s="16">
        <f>IF(NOT(Paths!$C$125=1),0,IF(Paths!$P$125="Complete",SUM(G1308:I1308)-J1308-K1308-L1308+M1308+IF(C1308=0,Paths!$F$125,0)+IF(IF(Paths!$E$125=0,C1308=0,AND(C1308&gt;0,Paths!$E$125&gt;(C1308-1)*12,Paths!$E$125&lt;=C1308*12)),VLOOKUP(A1308,'Fleet register'!$A$7:$S$106,16,FALSE),0),"n.a."))</f>
        <v>0</v>
      </c>
      <c r="O1308" s="16">
        <f>IF(NOT(Paths!$C$125=1),0,IF(Paths!$P$125="Complete",N1308-IF(C1308=0,Paths!$F$125,0),"n.a."))</f>
        <v>0</v>
      </c>
      <c r="P1308" s="16">
        <f>IF(NOT(Paths!$C$125=1),0,IF(Paths!$P$125="Complete",O1308+L1308,"n.a."))</f>
        <v>0</v>
      </c>
      <c r="Q1308" s="16">
        <f>IF(NOT(Paths!$C$125=1),0,IF(Paths!$P$125="Complete",N1308*(1+'Operating costs'!$B$54)^-C1308,"n.a."))</f>
        <v>0</v>
      </c>
      <c r="R1308" s="16">
        <f>IF(NOT(Paths!$C$125=1),0,IF(Paths!$P$125="Complete",IF(AND(C1308=0,Paths!$E$125=0),I1308-J1308-K1308+VLOOKUP(A1308,'Fleet register'!$A$7:$S$106,15,FALSE)+VLOOKUP(A1308,'Fleet register'!$A$7:$S$106,16,FALSE),0),"n.a."))</f>
        <v>0</v>
      </c>
      <c r="S1308" s="1">
        <f>IF(NOT(Paths!$C$125=1),0,IF(Paths!$P$125="Complete",IF(C1308=0,0,Paths!$S$125*Paths!$R$125),"n.a."))</f>
        <v>0</v>
      </c>
      <c r="T1308" s="1">
        <f>IF(NOT(Paths!$C$125=1),0,IF(Paths!$P$125="Complete",IF(C1308=0,0,VLOOKUP(A1308,'Fleet register'!$A$7:$S$106,9,FALSE)*Paths!$R$125),"n.a."))</f>
        <v>0</v>
      </c>
    </row>
    <row r="1309" spans="1:20" ht="24" customHeight="1">
      <c r="A1309" s="1" t="str">
        <f>Paths!$A$125</f>
        <v>T030</v>
      </c>
      <c r="B1309" s="1">
        <f>Paths!$B$125</f>
        <v>2</v>
      </c>
      <c r="C1309" s="1">
        <v>4</v>
      </c>
      <c r="D1309" s="1">
        <v>125</v>
      </c>
      <c r="E1309" s="1">
        <f>IF(OR(Paths!$C$125=0,C1309=0),0,MAX(0,MIN(C1309*12,Paths!$E$125)-(C1309-1)*12))</f>
        <v>0</v>
      </c>
      <c r="F1309" s="1">
        <f>IF(OR(Paths!$C$125=0,C1309=0),0,12-E1309)</f>
        <v>0</v>
      </c>
      <c r="G1309" s="16">
        <f>IF(NOT(Paths!$C$125=1),0,IF(Paths!$P$125="Complete",E1309/12*(Paths!$J$125*(1+'Operating costs'!$B$51)^MAX(0,C1309-1)+Paths!$K$125*(1+'Operating costs'!$B$53)^MAX(0,C1309-1)),"n.a."))</f>
        <v>0</v>
      </c>
      <c r="H1309" s="16">
        <f>IF(NOT(Paths!$C$125=1),0,IF(Paths!$P$125="Complete",F1309/12*(Paths!$L$125*(1+IF(Paths!$D$125="EV",'Operating costs'!$B$52,'Operating costs'!$B$51))^MAX(0,C1309-1)+Paths!$M$125*(1+'Operating costs'!$B$53)^MAX(0,C1309-1)),"n.a."))</f>
        <v>0</v>
      </c>
      <c r="I1309" s="16">
        <f>IF(NOT(Paths!$C$125=1),0,IF(Paths!$P$125="Complete",IF(IF(Paths!$E$125=0,C1309=0,AND(C1309&gt;0,Paths!$E$125&gt;(C1309-1)*12,Paths!$E$125&lt;=C1309*12)),Paths!$G$125,0),"n.a."))</f>
        <v>0</v>
      </c>
      <c r="J1309" s="16">
        <f>IF(NOT(Paths!$C$125=1),0,IF(Paths!$P$125="Complete",IF(IF(Paths!$E$125=0,C1309=0,AND(C1309&gt;0,Paths!$E$125&gt;(C1309-1)*12,Paths!$E$125&lt;=C1309*12)),Paths!$H$125,0),"n.a."))</f>
        <v>0</v>
      </c>
      <c r="K1309" s="16">
        <f>IF(NOT(Paths!$C$125=1),0,IF(Paths!$P$125="Complete",IF(IF(Paths!$O$125=0,C1309=0,AND(C1309&gt;0,Paths!$O$125&gt;(C1309-1)*12,Paths!$O$125&lt;=C1309*12)),Paths!$N$125,0),"n.a."))</f>
        <v>0</v>
      </c>
      <c r="L1309" s="16">
        <f>IF(NOT(Paths!$C$125=1),0,IF(Paths!$P$125="Complete",IF(C1309=10,Paths!$I$125,0),"n.a."))</f>
        <v>0</v>
      </c>
      <c r="M1309" s="16">
        <f>IF(NOT(Paths!$C$125=1),0,IF(Paths!$P$125="Complete",IF(AND(Paths!$D$125="EV",Paths!$E$125&lt;120,Paths!$E$125+'Operating costs'!$B$65&gt;Paths!$E$125,Paths!$E$125+'Operating costs'!$B$65&lt;=120,IF(Paths!$E$125+'Operating costs'!$B$65=0,C1309=0,AND(C1309&gt;0,Paths!$E$125+'Operating costs'!$B$65&gt;(C1309-1)*12,Paths!$E$125+'Operating costs'!$B$65&lt;=C1309*12))),'Operating costs'!$B$64,0)+IF(AND('Operating costs'!$B$67&gt;0,'Operating costs'!$B$67&lt;=120,OR(Paths!$D$125="ICE",'Operating costs'!$B$67&lt;=Paths!$E$125),IF('Operating costs'!$B$67=0,C1309=0,AND(C1309&gt;0,'Operating costs'!$B$67&gt;(C1309-1)*12,'Operating costs'!$B$67&lt;=C1309*12))),'Operating costs'!$B$66,0),"n.a."))</f>
        <v>0</v>
      </c>
      <c r="N1309" s="16">
        <f>IF(NOT(Paths!$C$125=1),0,IF(Paths!$P$125="Complete",SUM(G1309:I1309)-J1309-K1309-L1309+M1309+IF(C1309=0,Paths!$F$125,0)+IF(IF(Paths!$E$125=0,C1309=0,AND(C1309&gt;0,Paths!$E$125&gt;(C1309-1)*12,Paths!$E$125&lt;=C1309*12)),VLOOKUP(A1309,'Fleet register'!$A$7:$S$106,16,FALSE),0),"n.a."))</f>
        <v>0</v>
      </c>
      <c r="O1309" s="16">
        <f>IF(NOT(Paths!$C$125=1),0,IF(Paths!$P$125="Complete",N1309-IF(C1309=0,Paths!$F$125,0),"n.a."))</f>
        <v>0</v>
      </c>
      <c r="P1309" s="16">
        <f>IF(NOT(Paths!$C$125=1),0,IF(Paths!$P$125="Complete",O1309+L1309,"n.a."))</f>
        <v>0</v>
      </c>
      <c r="Q1309" s="16">
        <f>IF(NOT(Paths!$C$125=1),0,IF(Paths!$P$125="Complete",N1309*(1+'Operating costs'!$B$54)^-C1309,"n.a."))</f>
        <v>0</v>
      </c>
      <c r="R1309" s="16">
        <f>IF(NOT(Paths!$C$125=1),0,IF(Paths!$P$125="Complete",IF(AND(C1309=0,Paths!$E$125=0),I1309-J1309-K1309+VLOOKUP(A1309,'Fleet register'!$A$7:$S$106,15,FALSE)+VLOOKUP(A1309,'Fleet register'!$A$7:$S$106,16,FALSE),0),"n.a."))</f>
        <v>0</v>
      </c>
      <c r="S1309" s="1">
        <f>IF(NOT(Paths!$C$125=1),0,IF(Paths!$P$125="Complete",IF(C1309=0,0,Paths!$S$125*Paths!$R$125),"n.a."))</f>
        <v>0</v>
      </c>
      <c r="T1309" s="1">
        <f>IF(NOT(Paths!$C$125=1),0,IF(Paths!$P$125="Complete",IF(C1309=0,0,VLOOKUP(A1309,'Fleet register'!$A$7:$S$106,9,FALSE)*Paths!$R$125),"n.a."))</f>
        <v>0</v>
      </c>
    </row>
    <row r="1310" spans="1:20" ht="24" customHeight="1">
      <c r="A1310" s="1" t="str">
        <f>Paths!$A$125</f>
        <v>T030</v>
      </c>
      <c r="B1310" s="1">
        <f>Paths!$B$125</f>
        <v>2</v>
      </c>
      <c r="C1310" s="1">
        <v>5</v>
      </c>
      <c r="D1310" s="1">
        <v>125</v>
      </c>
      <c r="E1310" s="1">
        <f>IF(OR(Paths!$C$125=0,C1310=0),0,MAX(0,MIN(C1310*12,Paths!$E$125)-(C1310-1)*12))</f>
        <v>0</v>
      </c>
      <c r="F1310" s="1">
        <f>IF(OR(Paths!$C$125=0,C1310=0),0,12-E1310)</f>
        <v>0</v>
      </c>
      <c r="G1310" s="16">
        <f>IF(NOT(Paths!$C$125=1),0,IF(Paths!$P$125="Complete",E1310/12*(Paths!$J$125*(1+'Operating costs'!$B$51)^MAX(0,C1310-1)+Paths!$K$125*(1+'Operating costs'!$B$53)^MAX(0,C1310-1)),"n.a."))</f>
        <v>0</v>
      </c>
      <c r="H1310" s="16">
        <f>IF(NOT(Paths!$C$125=1),0,IF(Paths!$P$125="Complete",F1310/12*(Paths!$L$125*(1+IF(Paths!$D$125="EV",'Operating costs'!$B$52,'Operating costs'!$B$51))^MAX(0,C1310-1)+Paths!$M$125*(1+'Operating costs'!$B$53)^MAX(0,C1310-1)),"n.a."))</f>
        <v>0</v>
      </c>
      <c r="I1310" s="16">
        <f>IF(NOT(Paths!$C$125=1),0,IF(Paths!$P$125="Complete",IF(IF(Paths!$E$125=0,C1310=0,AND(C1310&gt;0,Paths!$E$125&gt;(C1310-1)*12,Paths!$E$125&lt;=C1310*12)),Paths!$G$125,0),"n.a."))</f>
        <v>0</v>
      </c>
      <c r="J1310" s="16">
        <f>IF(NOT(Paths!$C$125=1),0,IF(Paths!$P$125="Complete",IF(IF(Paths!$E$125=0,C1310=0,AND(C1310&gt;0,Paths!$E$125&gt;(C1310-1)*12,Paths!$E$125&lt;=C1310*12)),Paths!$H$125,0),"n.a."))</f>
        <v>0</v>
      </c>
      <c r="K1310" s="16">
        <f>IF(NOT(Paths!$C$125=1),0,IF(Paths!$P$125="Complete",IF(IF(Paths!$O$125=0,C1310=0,AND(C1310&gt;0,Paths!$O$125&gt;(C1310-1)*12,Paths!$O$125&lt;=C1310*12)),Paths!$N$125,0),"n.a."))</f>
        <v>0</v>
      </c>
      <c r="L1310" s="16">
        <f>IF(NOT(Paths!$C$125=1),0,IF(Paths!$P$125="Complete",IF(C1310=10,Paths!$I$125,0),"n.a."))</f>
        <v>0</v>
      </c>
      <c r="M1310" s="16">
        <f>IF(NOT(Paths!$C$125=1),0,IF(Paths!$P$125="Complete",IF(AND(Paths!$D$125="EV",Paths!$E$125&lt;120,Paths!$E$125+'Operating costs'!$B$65&gt;Paths!$E$125,Paths!$E$125+'Operating costs'!$B$65&lt;=120,IF(Paths!$E$125+'Operating costs'!$B$65=0,C1310=0,AND(C1310&gt;0,Paths!$E$125+'Operating costs'!$B$65&gt;(C1310-1)*12,Paths!$E$125+'Operating costs'!$B$65&lt;=C1310*12))),'Operating costs'!$B$64,0)+IF(AND('Operating costs'!$B$67&gt;0,'Operating costs'!$B$67&lt;=120,OR(Paths!$D$125="ICE",'Operating costs'!$B$67&lt;=Paths!$E$125),IF('Operating costs'!$B$67=0,C1310=0,AND(C1310&gt;0,'Operating costs'!$B$67&gt;(C1310-1)*12,'Operating costs'!$B$67&lt;=C1310*12))),'Operating costs'!$B$66,0),"n.a."))</f>
        <v>0</v>
      </c>
      <c r="N1310" s="16">
        <f>IF(NOT(Paths!$C$125=1),0,IF(Paths!$P$125="Complete",SUM(G1310:I1310)-J1310-K1310-L1310+M1310+IF(C1310=0,Paths!$F$125,0)+IF(IF(Paths!$E$125=0,C1310=0,AND(C1310&gt;0,Paths!$E$125&gt;(C1310-1)*12,Paths!$E$125&lt;=C1310*12)),VLOOKUP(A1310,'Fleet register'!$A$7:$S$106,16,FALSE),0),"n.a."))</f>
        <v>0</v>
      </c>
      <c r="O1310" s="16">
        <f>IF(NOT(Paths!$C$125=1),0,IF(Paths!$P$125="Complete",N1310-IF(C1310=0,Paths!$F$125,0),"n.a."))</f>
        <v>0</v>
      </c>
      <c r="P1310" s="16">
        <f>IF(NOT(Paths!$C$125=1),0,IF(Paths!$P$125="Complete",O1310+L1310,"n.a."))</f>
        <v>0</v>
      </c>
      <c r="Q1310" s="16">
        <f>IF(NOT(Paths!$C$125=1),0,IF(Paths!$P$125="Complete",N1310*(1+'Operating costs'!$B$54)^-C1310,"n.a."))</f>
        <v>0</v>
      </c>
      <c r="R1310" s="16">
        <f>IF(NOT(Paths!$C$125=1),0,IF(Paths!$P$125="Complete",IF(AND(C1310=0,Paths!$E$125=0),I1310-J1310-K1310+VLOOKUP(A1310,'Fleet register'!$A$7:$S$106,15,FALSE)+VLOOKUP(A1310,'Fleet register'!$A$7:$S$106,16,FALSE),0),"n.a."))</f>
        <v>0</v>
      </c>
      <c r="S1310" s="1">
        <f>IF(NOT(Paths!$C$125=1),0,IF(Paths!$P$125="Complete",IF(C1310=0,0,Paths!$S$125*Paths!$R$125),"n.a."))</f>
        <v>0</v>
      </c>
      <c r="T1310" s="1">
        <f>IF(NOT(Paths!$C$125=1),0,IF(Paths!$P$125="Complete",IF(C1310=0,0,VLOOKUP(A1310,'Fleet register'!$A$7:$S$106,9,FALSE)*Paths!$R$125),"n.a."))</f>
        <v>0</v>
      </c>
    </row>
    <row r="1311" spans="1:20" ht="24" customHeight="1">
      <c r="A1311" s="1" t="str">
        <f>Paths!$A$125</f>
        <v>T030</v>
      </c>
      <c r="B1311" s="1">
        <f>Paths!$B$125</f>
        <v>2</v>
      </c>
      <c r="C1311" s="1">
        <v>6</v>
      </c>
      <c r="D1311" s="1">
        <v>125</v>
      </c>
      <c r="E1311" s="1">
        <f>IF(OR(Paths!$C$125=0,C1311=0),0,MAX(0,MIN(C1311*12,Paths!$E$125)-(C1311-1)*12))</f>
        <v>0</v>
      </c>
      <c r="F1311" s="1">
        <f>IF(OR(Paths!$C$125=0,C1311=0),0,12-E1311)</f>
        <v>0</v>
      </c>
      <c r="G1311" s="16">
        <f>IF(NOT(Paths!$C$125=1),0,IF(Paths!$P$125="Complete",E1311/12*(Paths!$J$125*(1+'Operating costs'!$B$51)^MAX(0,C1311-1)+Paths!$K$125*(1+'Operating costs'!$B$53)^MAX(0,C1311-1)),"n.a."))</f>
        <v>0</v>
      </c>
      <c r="H1311" s="16">
        <f>IF(NOT(Paths!$C$125=1),0,IF(Paths!$P$125="Complete",F1311/12*(Paths!$L$125*(1+IF(Paths!$D$125="EV",'Operating costs'!$B$52,'Operating costs'!$B$51))^MAX(0,C1311-1)+Paths!$M$125*(1+'Operating costs'!$B$53)^MAX(0,C1311-1)),"n.a."))</f>
        <v>0</v>
      </c>
      <c r="I1311" s="16">
        <f>IF(NOT(Paths!$C$125=1),0,IF(Paths!$P$125="Complete",IF(IF(Paths!$E$125=0,C1311=0,AND(C1311&gt;0,Paths!$E$125&gt;(C1311-1)*12,Paths!$E$125&lt;=C1311*12)),Paths!$G$125,0),"n.a."))</f>
        <v>0</v>
      </c>
      <c r="J1311" s="16">
        <f>IF(NOT(Paths!$C$125=1),0,IF(Paths!$P$125="Complete",IF(IF(Paths!$E$125=0,C1311=0,AND(C1311&gt;0,Paths!$E$125&gt;(C1311-1)*12,Paths!$E$125&lt;=C1311*12)),Paths!$H$125,0),"n.a."))</f>
        <v>0</v>
      </c>
      <c r="K1311" s="16">
        <f>IF(NOT(Paths!$C$125=1),0,IF(Paths!$P$125="Complete",IF(IF(Paths!$O$125=0,C1311=0,AND(C1311&gt;0,Paths!$O$125&gt;(C1311-1)*12,Paths!$O$125&lt;=C1311*12)),Paths!$N$125,0),"n.a."))</f>
        <v>0</v>
      </c>
      <c r="L1311" s="16">
        <f>IF(NOT(Paths!$C$125=1),0,IF(Paths!$P$125="Complete",IF(C1311=10,Paths!$I$125,0),"n.a."))</f>
        <v>0</v>
      </c>
      <c r="M1311" s="16">
        <f>IF(NOT(Paths!$C$125=1),0,IF(Paths!$P$125="Complete",IF(AND(Paths!$D$125="EV",Paths!$E$125&lt;120,Paths!$E$125+'Operating costs'!$B$65&gt;Paths!$E$125,Paths!$E$125+'Operating costs'!$B$65&lt;=120,IF(Paths!$E$125+'Operating costs'!$B$65=0,C1311=0,AND(C1311&gt;0,Paths!$E$125+'Operating costs'!$B$65&gt;(C1311-1)*12,Paths!$E$125+'Operating costs'!$B$65&lt;=C1311*12))),'Operating costs'!$B$64,0)+IF(AND('Operating costs'!$B$67&gt;0,'Operating costs'!$B$67&lt;=120,OR(Paths!$D$125="ICE",'Operating costs'!$B$67&lt;=Paths!$E$125),IF('Operating costs'!$B$67=0,C1311=0,AND(C1311&gt;0,'Operating costs'!$B$67&gt;(C1311-1)*12,'Operating costs'!$B$67&lt;=C1311*12))),'Operating costs'!$B$66,0),"n.a."))</f>
        <v>0</v>
      </c>
      <c r="N1311" s="16">
        <f>IF(NOT(Paths!$C$125=1),0,IF(Paths!$P$125="Complete",SUM(G1311:I1311)-J1311-K1311-L1311+M1311+IF(C1311=0,Paths!$F$125,0)+IF(IF(Paths!$E$125=0,C1311=0,AND(C1311&gt;0,Paths!$E$125&gt;(C1311-1)*12,Paths!$E$125&lt;=C1311*12)),VLOOKUP(A1311,'Fleet register'!$A$7:$S$106,16,FALSE),0),"n.a."))</f>
        <v>0</v>
      </c>
      <c r="O1311" s="16">
        <f>IF(NOT(Paths!$C$125=1),0,IF(Paths!$P$125="Complete",N1311-IF(C1311=0,Paths!$F$125,0),"n.a."))</f>
        <v>0</v>
      </c>
      <c r="P1311" s="16">
        <f>IF(NOT(Paths!$C$125=1),0,IF(Paths!$P$125="Complete",O1311+L1311,"n.a."))</f>
        <v>0</v>
      </c>
      <c r="Q1311" s="16">
        <f>IF(NOT(Paths!$C$125=1),0,IF(Paths!$P$125="Complete",N1311*(1+'Operating costs'!$B$54)^-C1311,"n.a."))</f>
        <v>0</v>
      </c>
      <c r="R1311" s="16">
        <f>IF(NOT(Paths!$C$125=1),0,IF(Paths!$P$125="Complete",IF(AND(C1311=0,Paths!$E$125=0),I1311-J1311-K1311+VLOOKUP(A1311,'Fleet register'!$A$7:$S$106,15,FALSE)+VLOOKUP(A1311,'Fleet register'!$A$7:$S$106,16,FALSE),0),"n.a."))</f>
        <v>0</v>
      </c>
      <c r="S1311" s="1">
        <f>IF(NOT(Paths!$C$125=1),0,IF(Paths!$P$125="Complete",IF(C1311=0,0,Paths!$S$125*Paths!$R$125),"n.a."))</f>
        <v>0</v>
      </c>
      <c r="T1311" s="1">
        <f>IF(NOT(Paths!$C$125=1),0,IF(Paths!$P$125="Complete",IF(C1311=0,0,VLOOKUP(A1311,'Fleet register'!$A$7:$S$106,9,FALSE)*Paths!$R$125),"n.a."))</f>
        <v>0</v>
      </c>
    </row>
    <row r="1312" spans="1:20" ht="24" customHeight="1">
      <c r="A1312" s="1" t="str">
        <f>Paths!$A$125</f>
        <v>T030</v>
      </c>
      <c r="B1312" s="1">
        <f>Paths!$B$125</f>
        <v>2</v>
      </c>
      <c r="C1312" s="1">
        <v>7</v>
      </c>
      <c r="D1312" s="1">
        <v>125</v>
      </c>
      <c r="E1312" s="1">
        <f>IF(OR(Paths!$C$125=0,C1312=0),0,MAX(0,MIN(C1312*12,Paths!$E$125)-(C1312-1)*12))</f>
        <v>0</v>
      </c>
      <c r="F1312" s="1">
        <f>IF(OR(Paths!$C$125=0,C1312=0),0,12-E1312)</f>
        <v>0</v>
      </c>
      <c r="G1312" s="16">
        <f>IF(NOT(Paths!$C$125=1),0,IF(Paths!$P$125="Complete",E1312/12*(Paths!$J$125*(1+'Operating costs'!$B$51)^MAX(0,C1312-1)+Paths!$K$125*(1+'Operating costs'!$B$53)^MAX(0,C1312-1)),"n.a."))</f>
        <v>0</v>
      </c>
      <c r="H1312" s="16">
        <f>IF(NOT(Paths!$C$125=1),0,IF(Paths!$P$125="Complete",F1312/12*(Paths!$L$125*(1+IF(Paths!$D$125="EV",'Operating costs'!$B$52,'Operating costs'!$B$51))^MAX(0,C1312-1)+Paths!$M$125*(1+'Operating costs'!$B$53)^MAX(0,C1312-1)),"n.a."))</f>
        <v>0</v>
      </c>
      <c r="I1312" s="16">
        <f>IF(NOT(Paths!$C$125=1),0,IF(Paths!$P$125="Complete",IF(IF(Paths!$E$125=0,C1312=0,AND(C1312&gt;0,Paths!$E$125&gt;(C1312-1)*12,Paths!$E$125&lt;=C1312*12)),Paths!$G$125,0),"n.a."))</f>
        <v>0</v>
      </c>
      <c r="J1312" s="16">
        <f>IF(NOT(Paths!$C$125=1),0,IF(Paths!$P$125="Complete",IF(IF(Paths!$E$125=0,C1312=0,AND(C1312&gt;0,Paths!$E$125&gt;(C1312-1)*12,Paths!$E$125&lt;=C1312*12)),Paths!$H$125,0),"n.a."))</f>
        <v>0</v>
      </c>
      <c r="K1312" s="16">
        <f>IF(NOT(Paths!$C$125=1),0,IF(Paths!$P$125="Complete",IF(IF(Paths!$O$125=0,C1312=0,AND(C1312&gt;0,Paths!$O$125&gt;(C1312-1)*12,Paths!$O$125&lt;=C1312*12)),Paths!$N$125,0),"n.a."))</f>
        <v>0</v>
      </c>
      <c r="L1312" s="16">
        <f>IF(NOT(Paths!$C$125=1),0,IF(Paths!$P$125="Complete",IF(C1312=10,Paths!$I$125,0),"n.a."))</f>
        <v>0</v>
      </c>
      <c r="M1312" s="16">
        <f>IF(NOT(Paths!$C$125=1),0,IF(Paths!$P$125="Complete",IF(AND(Paths!$D$125="EV",Paths!$E$125&lt;120,Paths!$E$125+'Operating costs'!$B$65&gt;Paths!$E$125,Paths!$E$125+'Operating costs'!$B$65&lt;=120,IF(Paths!$E$125+'Operating costs'!$B$65=0,C1312=0,AND(C1312&gt;0,Paths!$E$125+'Operating costs'!$B$65&gt;(C1312-1)*12,Paths!$E$125+'Operating costs'!$B$65&lt;=C1312*12))),'Operating costs'!$B$64,0)+IF(AND('Operating costs'!$B$67&gt;0,'Operating costs'!$B$67&lt;=120,OR(Paths!$D$125="ICE",'Operating costs'!$B$67&lt;=Paths!$E$125),IF('Operating costs'!$B$67=0,C1312=0,AND(C1312&gt;0,'Operating costs'!$B$67&gt;(C1312-1)*12,'Operating costs'!$B$67&lt;=C1312*12))),'Operating costs'!$B$66,0),"n.a."))</f>
        <v>0</v>
      </c>
      <c r="N1312" s="16">
        <f>IF(NOT(Paths!$C$125=1),0,IF(Paths!$P$125="Complete",SUM(G1312:I1312)-J1312-K1312-L1312+M1312+IF(C1312=0,Paths!$F$125,0)+IF(IF(Paths!$E$125=0,C1312=0,AND(C1312&gt;0,Paths!$E$125&gt;(C1312-1)*12,Paths!$E$125&lt;=C1312*12)),VLOOKUP(A1312,'Fleet register'!$A$7:$S$106,16,FALSE),0),"n.a."))</f>
        <v>0</v>
      </c>
      <c r="O1312" s="16">
        <f>IF(NOT(Paths!$C$125=1),0,IF(Paths!$P$125="Complete",N1312-IF(C1312=0,Paths!$F$125,0),"n.a."))</f>
        <v>0</v>
      </c>
      <c r="P1312" s="16">
        <f>IF(NOT(Paths!$C$125=1),0,IF(Paths!$P$125="Complete",O1312+L1312,"n.a."))</f>
        <v>0</v>
      </c>
      <c r="Q1312" s="16">
        <f>IF(NOT(Paths!$C$125=1),0,IF(Paths!$P$125="Complete",N1312*(1+'Operating costs'!$B$54)^-C1312,"n.a."))</f>
        <v>0</v>
      </c>
      <c r="R1312" s="16">
        <f>IF(NOT(Paths!$C$125=1),0,IF(Paths!$P$125="Complete",IF(AND(C1312=0,Paths!$E$125=0),I1312-J1312-K1312+VLOOKUP(A1312,'Fleet register'!$A$7:$S$106,15,FALSE)+VLOOKUP(A1312,'Fleet register'!$A$7:$S$106,16,FALSE),0),"n.a."))</f>
        <v>0</v>
      </c>
      <c r="S1312" s="1">
        <f>IF(NOT(Paths!$C$125=1),0,IF(Paths!$P$125="Complete",IF(C1312=0,0,Paths!$S$125*Paths!$R$125),"n.a."))</f>
        <v>0</v>
      </c>
      <c r="T1312" s="1">
        <f>IF(NOT(Paths!$C$125=1),0,IF(Paths!$P$125="Complete",IF(C1312=0,0,VLOOKUP(A1312,'Fleet register'!$A$7:$S$106,9,FALSE)*Paths!$R$125),"n.a."))</f>
        <v>0</v>
      </c>
    </row>
    <row r="1313" spans="1:20" ht="24" customHeight="1">
      <c r="A1313" s="1" t="str">
        <f>Paths!$A$125</f>
        <v>T030</v>
      </c>
      <c r="B1313" s="1">
        <f>Paths!$B$125</f>
        <v>2</v>
      </c>
      <c r="C1313" s="1">
        <v>8</v>
      </c>
      <c r="D1313" s="1">
        <v>125</v>
      </c>
      <c r="E1313" s="1">
        <f>IF(OR(Paths!$C$125=0,C1313=0),0,MAX(0,MIN(C1313*12,Paths!$E$125)-(C1313-1)*12))</f>
        <v>0</v>
      </c>
      <c r="F1313" s="1">
        <f>IF(OR(Paths!$C$125=0,C1313=0),0,12-E1313)</f>
        <v>0</v>
      </c>
      <c r="G1313" s="16">
        <f>IF(NOT(Paths!$C$125=1),0,IF(Paths!$P$125="Complete",E1313/12*(Paths!$J$125*(1+'Operating costs'!$B$51)^MAX(0,C1313-1)+Paths!$K$125*(1+'Operating costs'!$B$53)^MAX(0,C1313-1)),"n.a."))</f>
        <v>0</v>
      </c>
      <c r="H1313" s="16">
        <f>IF(NOT(Paths!$C$125=1),0,IF(Paths!$P$125="Complete",F1313/12*(Paths!$L$125*(1+IF(Paths!$D$125="EV",'Operating costs'!$B$52,'Operating costs'!$B$51))^MAX(0,C1313-1)+Paths!$M$125*(1+'Operating costs'!$B$53)^MAX(0,C1313-1)),"n.a."))</f>
        <v>0</v>
      </c>
      <c r="I1313" s="16">
        <f>IF(NOT(Paths!$C$125=1),0,IF(Paths!$P$125="Complete",IF(IF(Paths!$E$125=0,C1313=0,AND(C1313&gt;0,Paths!$E$125&gt;(C1313-1)*12,Paths!$E$125&lt;=C1313*12)),Paths!$G$125,0),"n.a."))</f>
        <v>0</v>
      </c>
      <c r="J1313" s="16">
        <f>IF(NOT(Paths!$C$125=1),0,IF(Paths!$P$125="Complete",IF(IF(Paths!$E$125=0,C1313=0,AND(C1313&gt;0,Paths!$E$125&gt;(C1313-1)*12,Paths!$E$125&lt;=C1313*12)),Paths!$H$125,0),"n.a."))</f>
        <v>0</v>
      </c>
      <c r="K1313" s="16">
        <f>IF(NOT(Paths!$C$125=1),0,IF(Paths!$P$125="Complete",IF(IF(Paths!$O$125=0,C1313=0,AND(C1313&gt;0,Paths!$O$125&gt;(C1313-1)*12,Paths!$O$125&lt;=C1313*12)),Paths!$N$125,0),"n.a."))</f>
        <v>0</v>
      </c>
      <c r="L1313" s="16">
        <f>IF(NOT(Paths!$C$125=1),0,IF(Paths!$P$125="Complete",IF(C1313=10,Paths!$I$125,0),"n.a."))</f>
        <v>0</v>
      </c>
      <c r="M1313" s="16">
        <f>IF(NOT(Paths!$C$125=1),0,IF(Paths!$P$125="Complete",IF(AND(Paths!$D$125="EV",Paths!$E$125&lt;120,Paths!$E$125+'Operating costs'!$B$65&gt;Paths!$E$125,Paths!$E$125+'Operating costs'!$B$65&lt;=120,IF(Paths!$E$125+'Operating costs'!$B$65=0,C1313=0,AND(C1313&gt;0,Paths!$E$125+'Operating costs'!$B$65&gt;(C1313-1)*12,Paths!$E$125+'Operating costs'!$B$65&lt;=C1313*12))),'Operating costs'!$B$64,0)+IF(AND('Operating costs'!$B$67&gt;0,'Operating costs'!$B$67&lt;=120,OR(Paths!$D$125="ICE",'Operating costs'!$B$67&lt;=Paths!$E$125),IF('Operating costs'!$B$67=0,C1313=0,AND(C1313&gt;0,'Operating costs'!$B$67&gt;(C1313-1)*12,'Operating costs'!$B$67&lt;=C1313*12))),'Operating costs'!$B$66,0),"n.a."))</f>
        <v>0</v>
      </c>
      <c r="N1313" s="16">
        <f>IF(NOT(Paths!$C$125=1),0,IF(Paths!$P$125="Complete",SUM(G1313:I1313)-J1313-K1313-L1313+M1313+IF(C1313=0,Paths!$F$125,0)+IF(IF(Paths!$E$125=0,C1313=0,AND(C1313&gt;0,Paths!$E$125&gt;(C1313-1)*12,Paths!$E$125&lt;=C1313*12)),VLOOKUP(A1313,'Fleet register'!$A$7:$S$106,16,FALSE),0),"n.a."))</f>
        <v>0</v>
      </c>
      <c r="O1313" s="16">
        <f>IF(NOT(Paths!$C$125=1),0,IF(Paths!$P$125="Complete",N1313-IF(C1313=0,Paths!$F$125,0),"n.a."))</f>
        <v>0</v>
      </c>
      <c r="P1313" s="16">
        <f>IF(NOT(Paths!$C$125=1),0,IF(Paths!$P$125="Complete",O1313+L1313,"n.a."))</f>
        <v>0</v>
      </c>
      <c r="Q1313" s="16">
        <f>IF(NOT(Paths!$C$125=1),0,IF(Paths!$P$125="Complete",N1313*(1+'Operating costs'!$B$54)^-C1313,"n.a."))</f>
        <v>0</v>
      </c>
      <c r="R1313" s="16">
        <f>IF(NOT(Paths!$C$125=1),0,IF(Paths!$P$125="Complete",IF(AND(C1313=0,Paths!$E$125=0),I1313-J1313-K1313+VLOOKUP(A1313,'Fleet register'!$A$7:$S$106,15,FALSE)+VLOOKUP(A1313,'Fleet register'!$A$7:$S$106,16,FALSE),0),"n.a."))</f>
        <v>0</v>
      </c>
      <c r="S1313" s="1">
        <f>IF(NOT(Paths!$C$125=1),0,IF(Paths!$P$125="Complete",IF(C1313=0,0,Paths!$S$125*Paths!$R$125),"n.a."))</f>
        <v>0</v>
      </c>
      <c r="T1313" s="1">
        <f>IF(NOT(Paths!$C$125=1),0,IF(Paths!$P$125="Complete",IF(C1313=0,0,VLOOKUP(A1313,'Fleet register'!$A$7:$S$106,9,FALSE)*Paths!$R$125),"n.a."))</f>
        <v>0</v>
      </c>
    </row>
    <row r="1314" spans="1:20" ht="24" customHeight="1">
      <c r="A1314" s="1" t="str">
        <f>Paths!$A$125</f>
        <v>T030</v>
      </c>
      <c r="B1314" s="1">
        <f>Paths!$B$125</f>
        <v>2</v>
      </c>
      <c r="C1314" s="1">
        <v>9</v>
      </c>
      <c r="D1314" s="1">
        <v>125</v>
      </c>
      <c r="E1314" s="1">
        <f>IF(OR(Paths!$C$125=0,C1314=0),0,MAX(0,MIN(C1314*12,Paths!$E$125)-(C1314-1)*12))</f>
        <v>0</v>
      </c>
      <c r="F1314" s="1">
        <f>IF(OR(Paths!$C$125=0,C1314=0),0,12-E1314)</f>
        <v>0</v>
      </c>
      <c r="G1314" s="16">
        <f>IF(NOT(Paths!$C$125=1),0,IF(Paths!$P$125="Complete",E1314/12*(Paths!$J$125*(1+'Operating costs'!$B$51)^MAX(0,C1314-1)+Paths!$K$125*(1+'Operating costs'!$B$53)^MAX(0,C1314-1)),"n.a."))</f>
        <v>0</v>
      </c>
      <c r="H1314" s="16">
        <f>IF(NOT(Paths!$C$125=1),0,IF(Paths!$P$125="Complete",F1314/12*(Paths!$L$125*(1+IF(Paths!$D$125="EV",'Operating costs'!$B$52,'Operating costs'!$B$51))^MAX(0,C1314-1)+Paths!$M$125*(1+'Operating costs'!$B$53)^MAX(0,C1314-1)),"n.a."))</f>
        <v>0</v>
      </c>
      <c r="I1314" s="16">
        <f>IF(NOT(Paths!$C$125=1),0,IF(Paths!$P$125="Complete",IF(IF(Paths!$E$125=0,C1314=0,AND(C1314&gt;0,Paths!$E$125&gt;(C1314-1)*12,Paths!$E$125&lt;=C1314*12)),Paths!$G$125,0),"n.a."))</f>
        <v>0</v>
      </c>
      <c r="J1314" s="16">
        <f>IF(NOT(Paths!$C$125=1),0,IF(Paths!$P$125="Complete",IF(IF(Paths!$E$125=0,C1314=0,AND(C1314&gt;0,Paths!$E$125&gt;(C1314-1)*12,Paths!$E$125&lt;=C1314*12)),Paths!$H$125,0),"n.a."))</f>
        <v>0</v>
      </c>
      <c r="K1314" s="16">
        <f>IF(NOT(Paths!$C$125=1),0,IF(Paths!$P$125="Complete",IF(IF(Paths!$O$125=0,C1314=0,AND(C1314&gt;0,Paths!$O$125&gt;(C1314-1)*12,Paths!$O$125&lt;=C1314*12)),Paths!$N$125,0),"n.a."))</f>
        <v>0</v>
      </c>
      <c r="L1314" s="16">
        <f>IF(NOT(Paths!$C$125=1),0,IF(Paths!$P$125="Complete",IF(C1314=10,Paths!$I$125,0),"n.a."))</f>
        <v>0</v>
      </c>
      <c r="M1314" s="16">
        <f>IF(NOT(Paths!$C$125=1),0,IF(Paths!$P$125="Complete",IF(AND(Paths!$D$125="EV",Paths!$E$125&lt;120,Paths!$E$125+'Operating costs'!$B$65&gt;Paths!$E$125,Paths!$E$125+'Operating costs'!$B$65&lt;=120,IF(Paths!$E$125+'Operating costs'!$B$65=0,C1314=0,AND(C1314&gt;0,Paths!$E$125+'Operating costs'!$B$65&gt;(C1314-1)*12,Paths!$E$125+'Operating costs'!$B$65&lt;=C1314*12))),'Operating costs'!$B$64,0)+IF(AND('Operating costs'!$B$67&gt;0,'Operating costs'!$B$67&lt;=120,OR(Paths!$D$125="ICE",'Operating costs'!$B$67&lt;=Paths!$E$125),IF('Operating costs'!$B$67=0,C1314=0,AND(C1314&gt;0,'Operating costs'!$B$67&gt;(C1314-1)*12,'Operating costs'!$B$67&lt;=C1314*12))),'Operating costs'!$B$66,0),"n.a."))</f>
        <v>0</v>
      </c>
      <c r="N1314" s="16">
        <f>IF(NOT(Paths!$C$125=1),0,IF(Paths!$P$125="Complete",SUM(G1314:I1314)-J1314-K1314-L1314+M1314+IF(C1314=0,Paths!$F$125,0)+IF(IF(Paths!$E$125=0,C1314=0,AND(C1314&gt;0,Paths!$E$125&gt;(C1314-1)*12,Paths!$E$125&lt;=C1314*12)),VLOOKUP(A1314,'Fleet register'!$A$7:$S$106,16,FALSE),0),"n.a."))</f>
        <v>0</v>
      </c>
      <c r="O1314" s="16">
        <f>IF(NOT(Paths!$C$125=1),0,IF(Paths!$P$125="Complete",N1314-IF(C1314=0,Paths!$F$125,0),"n.a."))</f>
        <v>0</v>
      </c>
      <c r="P1314" s="16">
        <f>IF(NOT(Paths!$C$125=1),0,IF(Paths!$P$125="Complete",O1314+L1314,"n.a."))</f>
        <v>0</v>
      </c>
      <c r="Q1314" s="16">
        <f>IF(NOT(Paths!$C$125=1),0,IF(Paths!$P$125="Complete",N1314*(1+'Operating costs'!$B$54)^-C1314,"n.a."))</f>
        <v>0</v>
      </c>
      <c r="R1314" s="16">
        <f>IF(NOT(Paths!$C$125=1),0,IF(Paths!$P$125="Complete",IF(AND(C1314=0,Paths!$E$125=0),I1314-J1314-K1314+VLOOKUP(A1314,'Fleet register'!$A$7:$S$106,15,FALSE)+VLOOKUP(A1314,'Fleet register'!$A$7:$S$106,16,FALSE),0),"n.a."))</f>
        <v>0</v>
      </c>
      <c r="S1314" s="1">
        <f>IF(NOT(Paths!$C$125=1),0,IF(Paths!$P$125="Complete",IF(C1314=0,0,Paths!$S$125*Paths!$R$125),"n.a."))</f>
        <v>0</v>
      </c>
      <c r="T1314" s="1">
        <f>IF(NOT(Paths!$C$125=1),0,IF(Paths!$P$125="Complete",IF(C1314=0,0,VLOOKUP(A1314,'Fleet register'!$A$7:$S$106,9,FALSE)*Paths!$R$125),"n.a."))</f>
        <v>0</v>
      </c>
    </row>
    <row r="1315" spans="1:20" ht="24" customHeight="1">
      <c r="A1315" s="1" t="str">
        <f>Paths!$A$125</f>
        <v>T030</v>
      </c>
      <c r="B1315" s="1">
        <f>Paths!$B$125</f>
        <v>2</v>
      </c>
      <c r="C1315" s="1">
        <v>10</v>
      </c>
      <c r="D1315" s="1">
        <v>125</v>
      </c>
      <c r="E1315" s="1">
        <f>IF(OR(Paths!$C$125=0,C1315=0),0,MAX(0,MIN(C1315*12,Paths!$E$125)-(C1315-1)*12))</f>
        <v>0</v>
      </c>
      <c r="F1315" s="1">
        <f>IF(OR(Paths!$C$125=0,C1315=0),0,12-E1315)</f>
        <v>0</v>
      </c>
      <c r="G1315" s="16">
        <f>IF(NOT(Paths!$C$125=1),0,IF(Paths!$P$125="Complete",E1315/12*(Paths!$J$125*(1+'Operating costs'!$B$51)^MAX(0,C1315-1)+Paths!$K$125*(1+'Operating costs'!$B$53)^MAX(0,C1315-1)),"n.a."))</f>
        <v>0</v>
      </c>
      <c r="H1315" s="16">
        <f>IF(NOT(Paths!$C$125=1),0,IF(Paths!$P$125="Complete",F1315/12*(Paths!$L$125*(1+IF(Paths!$D$125="EV",'Operating costs'!$B$52,'Operating costs'!$B$51))^MAX(0,C1315-1)+Paths!$M$125*(1+'Operating costs'!$B$53)^MAX(0,C1315-1)),"n.a."))</f>
        <v>0</v>
      </c>
      <c r="I1315" s="16">
        <f>IF(NOT(Paths!$C$125=1),0,IF(Paths!$P$125="Complete",IF(IF(Paths!$E$125=0,C1315=0,AND(C1315&gt;0,Paths!$E$125&gt;(C1315-1)*12,Paths!$E$125&lt;=C1315*12)),Paths!$G$125,0),"n.a."))</f>
        <v>0</v>
      </c>
      <c r="J1315" s="16">
        <f>IF(NOT(Paths!$C$125=1),0,IF(Paths!$P$125="Complete",IF(IF(Paths!$E$125=0,C1315=0,AND(C1315&gt;0,Paths!$E$125&gt;(C1315-1)*12,Paths!$E$125&lt;=C1315*12)),Paths!$H$125,0),"n.a."))</f>
        <v>0</v>
      </c>
      <c r="K1315" s="16">
        <f>IF(NOT(Paths!$C$125=1),0,IF(Paths!$P$125="Complete",IF(IF(Paths!$O$125=0,C1315=0,AND(C1315&gt;0,Paths!$O$125&gt;(C1315-1)*12,Paths!$O$125&lt;=C1315*12)),Paths!$N$125,0),"n.a."))</f>
        <v>0</v>
      </c>
      <c r="L1315" s="16">
        <f>IF(NOT(Paths!$C$125=1),0,IF(Paths!$P$125="Complete",IF(C1315=10,Paths!$I$125,0),"n.a."))</f>
        <v>0</v>
      </c>
      <c r="M1315" s="16">
        <f>IF(NOT(Paths!$C$125=1),0,IF(Paths!$P$125="Complete",IF(AND(Paths!$D$125="EV",Paths!$E$125&lt;120,Paths!$E$125+'Operating costs'!$B$65&gt;Paths!$E$125,Paths!$E$125+'Operating costs'!$B$65&lt;=120,IF(Paths!$E$125+'Operating costs'!$B$65=0,C1315=0,AND(C1315&gt;0,Paths!$E$125+'Operating costs'!$B$65&gt;(C1315-1)*12,Paths!$E$125+'Operating costs'!$B$65&lt;=C1315*12))),'Operating costs'!$B$64,0)+IF(AND('Operating costs'!$B$67&gt;0,'Operating costs'!$B$67&lt;=120,OR(Paths!$D$125="ICE",'Operating costs'!$B$67&lt;=Paths!$E$125),IF('Operating costs'!$B$67=0,C1315=0,AND(C1315&gt;0,'Operating costs'!$B$67&gt;(C1315-1)*12,'Operating costs'!$B$67&lt;=C1315*12))),'Operating costs'!$B$66,0),"n.a."))</f>
        <v>0</v>
      </c>
      <c r="N1315" s="16">
        <f>IF(NOT(Paths!$C$125=1),0,IF(Paths!$P$125="Complete",SUM(G1315:I1315)-J1315-K1315-L1315+M1315+IF(C1315=0,Paths!$F$125,0)+IF(IF(Paths!$E$125=0,C1315=0,AND(C1315&gt;0,Paths!$E$125&gt;(C1315-1)*12,Paths!$E$125&lt;=C1315*12)),VLOOKUP(A1315,'Fleet register'!$A$7:$S$106,16,FALSE),0),"n.a."))</f>
        <v>0</v>
      </c>
      <c r="O1315" s="16">
        <f>IF(NOT(Paths!$C$125=1),0,IF(Paths!$P$125="Complete",N1315-IF(C1315=0,Paths!$F$125,0),"n.a."))</f>
        <v>0</v>
      </c>
      <c r="P1315" s="16">
        <f>IF(NOT(Paths!$C$125=1),0,IF(Paths!$P$125="Complete",O1315+L1315,"n.a."))</f>
        <v>0</v>
      </c>
      <c r="Q1315" s="16">
        <f>IF(NOT(Paths!$C$125=1),0,IF(Paths!$P$125="Complete",N1315*(1+'Operating costs'!$B$54)^-C1315,"n.a."))</f>
        <v>0</v>
      </c>
      <c r="R1315" s="16">
        <f>IF(NOT(Paths!$C$125=1),0,IF(Paths!$P$125="Complete",IF(AND(C1315=0,Paths!$E$125=0),I1315-J1315-K1315+VLOOKUP(A1315,'Fleet register'!$A$7:$S$106,15,FALSE)+VLOOKUP(A1315,'Fleet register'!$A$7:$S$106,16,FALSE),0),"n.a."))</f>
        <v>0</v>
      </c>
      <c r="S1315" s="1">
        <f>IF(NOT(Paths!$C$125=1),0,IF(Paths!$P$125="Complete",IF(C1315=0,0,Paths!$S$125*Paths!$R$125),"n.a."))</f>
        <v>0</v>
      </c>
      <c r="T1315" s="1">
        <f>IF(NOT(Paths!$C$125=1),0,IF(Paths!$P$125="Complete",IF(C1315=0,0,VLOOKUP(A1315,'Fleet register'!$A$7:$S$106,9,FALSE)*Paths!$R$125),"n.a."))</f>
        <v>0</v>
      </c>
    </row>
    <row r="1316" spans="1:20" ht="24" customHeight="1">
      <c r="A1316" s="1" t="str">
        <f>Paths!$A$126</f>
        <v>T030</v>
      </c>
      <c r="B1316" s="1">
        <f>Paths!$B$126</f>
        <v>3</v>
      </c>
      <c r="C1316" s="1">
        <v>0</v>
      </c>
      <c r="D1316" s="1">
        <v>126</v>
      </c>
      <c r="E1316" s="1">
        <f>IF(OR(Paths!$C$126=0,C1316=0),0,MAX(0,MIN(C1316*12,Paths!$E$126)-(C1316-1)*12))</f>
        <v>0</v>
      </c>
      <c r="F1316" s="1">
        <f>IF(OR(Paths!$C$126=0,C1316=0),0,12-E1316)</f>
        <v>0</v>
      </c>
      <c r="G1316" s="16">
        <f>IF(NOT(Paths!$C$126=1),0,IF(Paths!$P$126="Complete",E1316/12*(Paths!$J$126*(1+'Operating costs'!$B$51)^MAX(0,C1316-1)+Paths!$K$126*(1+'Operating costs'!$B$53)^MAX(0,C1316-1)),"n.a."))</f>
        <v>0</v>
      </c>
      <c r="H1316" s="16">
        <f>IF(NOT(Paths!$C$126=1),0,IF(Paths!$P$126="Complete",F1316/12*(Paths!$L$126*(1+IF(Paths!$D$126="EV",'Operating costs'!$B$52,'Operating costs'!$B$51))^MAX(0,C1316-1)+Paths!$M$126*(1+'Operating costs'!$B$53)^MAX(0,C1316-1)),"n.a."))</f>
        <v>0</v>
      </c>
      <c r="I1316" s="16">
        <f>IF(NOT(Paths!$C$126=1),0,IF(Paths!$P$126="Complete",IF(IF(Paths!$E$126=0,C1316=0,AND(C1316&gt;0,Paths!$E$126&gt;(C1316-1)*12,Paths!$E$126&lt;=C1316*12)),Paths!$G$126,0),"n.a."))</f>
        <v>0</v>
      </c>
      <c r="J1316" s="16">
        <f>IF(NOT(Paths!$C$126=1),0,IF(Paths!$P$126="Complete",IF(IF(Paths!$E$126=0,C1316=0,AND(C1316&gt;0,Paths!$E$126&gt;(C1316-1)*12,Paths!$E$126&lt;=C1316*12)),Paths!$H$126,0),"n.a."))</f>
        <v>0</v>
      </c>
      <c r="K1316" s="16">
        <f>IF(NOT(Paths!$C$126=1),0,IF(Paths!$P$126="Complete",IF(IF(Paths!$O$126=0,C1316=0,AND(C1316&gt;0,Paths!$O$126&gt;(C1316-1)*12,Paths!$O$126&lt;=C1316*12)),Paths!$N$126,0),"n.a."))</f>
        <v>0</v>
      </c>
      <c r="L1316" s="16">
        <f>IF(NOT(Paths!$C$126=1),0,IF(Paths!$P$126="Complete",IF(C1316=10,Paths!$I$126,0),"n.a."))</f>
        <v>0</v>
      </c>
      <c r="M1316" s="16">
        <f>IF(NOT(Paths!$C$126=1),0,IF(Paths!$P$126="Complete",IF(AND(Paths!$D$126="EV",Paths!$E$126&lt;120,Paths!$E$126+'Operating costs'!$B$65&gt;Paths!$E$126,Paths!$E$126+'Operating costs'!$B$65&lt;=120,IF(Paths!$E$126+'Operating costs'!$B$65=0,C1316=0,AND(C1316&gt;0,Paths!$E$126+'Operating costs'!$B$65&gt;(C1316-1)*12,Paths!$E$126+'Operating costs'!$B$65&lt;=C1316*12))),'Operating costs'!$B$64,0)+IF(AND('Operating costs'!$B$67&gt;0,'Operating costs'!$B$67&lt;=120,OR(Paths!$D$126="ICE",'Operating costs'!$B$67&lt;=Paths!$E$126),IF('Operating costs'!$B$67=0,C1316=0,AND(C1316&gt;0,'Operating costs'!$B$67&gt;(C1316-1)*12,'Operating costs'!$B$67&lt;=C1316*12))),'Operating costs'!$B$66,0),"n.a."))</f>
        <v>0</v>
      </c>
      <c r="N1316" s="16">
        <f>IF(NOT(Paths!$C$126=1),0,IF(Paths!$P$126="Complete",SUM(G1316:I1316)-J1316-K1316-L1316+M1316+IF(C1316=0,Paths!$F$126,0)+IF(IF(Paths!$E$126=0,C1316=0,AND(C1316&gt;0,Paths!$E$126&gt;(C1316-1)*12,Paths!$E$126&lt;=C1316*12)),VLOOKUP(A1316,'Fleet register'!$A$7:$S$106,16,FALSE),0),"n.a."))</f>
        <v>0</v>
      </c>
      <c r="O1316" s="16">
        <f>IF(NOT(Paths!$C$126=1),0,IF(Paths!$P$126="Complete",N1316-IF(C1316=0,Paths!$F$126,0),"n.a."))</f>
        <v>0</v>
      </c>
      <c r="P1316" s="16">
        <f>IF(NOT(Paths!$C$126=1),0,IF(Paths!$P$126="Complete",O1316+L1316,"n.a."))</f>
        <v>0</v>
      </c>
      <c r="Q1316" s="16">
        <f>IF(NOT(Paths!$C$126=1),0,IF(Paths!$P$126="Complete",N1316*(1+'Operating costs'!$B$54)^-C1316,"n.a."))</f>
        <v>0</v>
      </c>
      <c r="R1316" s="16">
        <f>IF(NOT(Paths!$C$126=1),0,IF(Paths!$P$126="Complete",IF(AND(C1316=0,Paths!$E$126=0),I1316-J1316-K1316+VLOOKUP(A1316,'Fleet register'!$A$7:$S$106,15,FALSE)+VLOOKUP(A1316,'Fleet register'!$A$7:$S$106,16,FALSE),0),"n.a."))</f>
        <v>0</v>
      </c>
      <c r="S1316" s="1">
        <f>IF(NOT(Paths!$C$126=1),0,IF(Paths!$P$126="Complete",IF(C1316=0,0,Paths!$S$126*Paths!$R$126),"n.a."))</f>
        <v>0</v>
      </c>
      <c r="T1316" s="1">
        <f>IF(NOT(Paths!$C$126=1),0,IF(Paths!$P$126="Complete",IF(C1316=0,0,VLOOKUP(A1316,'Fleet register'!$A$7:$S$106,9,FALSE)*Paths!$R$126),"n.a."))</f>
        <v>0</v>
      </c>
    </row>
    <row r="1317" spans="1:20" ht="24" customHeight="1">
      <c r="A1317" s="1" t="str">
        <f>Paths!$A$126</f>
        <v>T030</v>
      </c>
      <c r="B1317" s="1">
        <f>Paths!$B$126</f>
        <v>3</v>
      </c>
      <c r="C1317" s="1">
        <v>1</v>
      </c>
      <c r="D1317" s="1">
        <v>126</v>
      </c>
      <c r="E1317" s="1">
        <f>IF(OR(Paths!$C$126=0,C1317=0),0,MAX(0,MIN(C1317*12,Paths!$E$126)-(C1317-1)*12))</f>
        <v>0</v>
      </c>
      <c r="F1317" s="1">
        <f>IF(OR(Paths!$C$126=0,C1317=0),0,12-E1317)</f>
        <v>0</v>
      </c>
      <c r="G1317" s="16">
        <f>IF(NOT(Paths!$C$126=1),0,IF(Paths!$P$126="Complete",E1317/12*(Paths!$J$126*(1+'Operating costs'!$B$51)^MAX(0,C1317-1)+Paths!$K$126*(1+'Operating costs'!$B$53)^MAX(0,C1317-1)),"n.a."))</f>
        <v>0</v>
      </c>
      <c r="H1317" s="16">
        <f>IF(NOT(Paths!$C$126=1),0,IF(Paths!$P$126="Complete",F1317/12*(Paths!$L$126*(1+IF(Paths!$D$126="EV",'Operating costs'!$B$52,'Operating costs'!$B$51))^MAX(0,C1317-1)+Paths!$M$126*(1+'Operating costs'!$B$53)^MAX(0,C1317-1)),"n.a."))</f>
        <v>0</v>
      </c>
      <c r="I1317" s="16">
        <f>IF(NOT(Paths!$C$126=1),0,IF(Paths!$P$126="Complete",IF(IF(Paths!$E$126=0,C1317=0,AND(C1317&gt;0,Paths!$E$126&gt;(C1317-1)*12,Paths!$E$126&lt;=C1317*12)),Paths!$G$126,0),"n.a."))</f>
        <v>0</v>
      </c>
      <c r="J1317" s="16">
        <f>IF(NOT(Paths!$C$126=1),0,IF(Paths!$P$126="Complete",IF(IF(Paths!$E$126=0,C1317=0,AND(C1317&gt;0,Paths!$E$126&gt;(C1317-1)*12,Paths!$E$126&lt;=C1317*12)),Paths!$H$126,0),"n.a."))</f>
        <v>0</v>
      </c>
      <c r="K1317" s="16">
        <f>IF(NOT(Paths!$C$126=1),0,IF(Paths!$P$126="Complete",IF(IF(Paths!$O$126=0,C1317=0,AND(C1317&gt;0,Paths!$O$126&gt;(C1317-1)*12,Paths!$O$126&lt;=C1317*12)),Paths!$N$126,0),"n.a."))</f>
        <v>0</v>
      </c>
      <c r="L1317" s="16">
        <f>IF(NOT(Paths!$C$126=1),0,IF(Paths!$P$126="Complete",IF(C1317=10,Paths!$I$126,0),"n.a."))</f>
        <v>0</v>
      </c>
      <c r="M1317" s="16">
        <f>IF(NOT(Paths!$C$126=1),0,IF(Paths!$P$126="Complete",IF(AND(Paths!$D$126="EV",Paths!$E$126&lt;120,Paths!$E$126+'Operating costs'!$B$65&gt;Paths!$E$126,Paths!$E$126+'Operating costs'!$B$65&lt;=120,IF(Paths!$E$126+'Operating costs'!$B$65=0,C1317=0,AND(C1317&gt;0,Paths!$E$126+'Operating costs'!$B$65&gt;(C1317-1)*12,Paths!$E$126+'Operating costs'!$B$65&lt;=C1317*12))),'Operating costs'!$B$64,0)+IF(AND('Operating costs'!$B$67&gt;0,'Operating costs'!$B$67&lt;=120,OR(Paths!$D$126="ICE",'Operating costs'!$B$67&lt;=Paths!$E$126),IF('Operating costs'!$B$67=0,C1317=0,AND(C1317&gt;0,'Operating costs'!$B$67&gt;(C1317-1)*12,'Operating costs'!$B$67&lt;=C1317*12))),'Operating costs'!$B$66,0),"n.a."))</f>
        <v>0</v>
      </c>
      <c r="N1317" s="16">
        <f>IF(NOT(Paths!$C$126=1),0,IF(Paths!$P$126="Complete",SUM(G1317:I1317)-J1317-K1317-L1317+M1317+IF(C1317=0,Paths!$F$126,0)+IF(IF(Paths!$E$126=0,C1317=0,AND(C1317&gt;0,Paths!$E$126&gt;(C1317-1)*12,Paths!$E$126&lt;=C1317*12)),VLOOKUP(A1317,'Fleet register'!$A$7:$S$106,16,FALSE),0),"n.a."))</f>
        <v>0</v>
      </c>
      <c r="O1317" s="16">
        <f>IF(NOT(Paths!$C$126=1),0,IF(Paths!$P$126="Complete",N1317-IF(C1317=0,Paths!$F$126,0),"n.a."))</f>
        <v>0</v>
      </c>
      <c r="P1317" s="16">
        <f>IF(NOT(Paths!$C$126=1),0,IF(Paths!$P$126="Complete",O1317+L1317,"n.a."))</f>
        <v>0</v>
      </c>
      <c r="Q1317" s="16">
        <f>IF(NOT(Paths!$C$126=1),0,IF(Paths!$P$126="Complete",N1317*(1+'Operating costs'!$B$54)^-C1317,"n.a."))</f>
        <v>0</v>
      </c>
      <c r="R1317" s="16">
        <f>IF(NOT(Paths!$C$126=1),0,IF(Paths!$P$126="Complete",IF(AND(C1317=0,Paths!$E$126=0),I1317-J1317-K1317+VLOOKUP(A1317,'Fleet register'!$A$7:$S$106,15,FALSE)+VLOOKUP(A1317,'Fleet register'!$A$7:$S$106,16,FALSE),0),"n.a."))</f>
        <v>0</v>
      </c>
      <c r="S1317" s="1">
        <f>IF(NOT(Paths!$C$126=1),0,IF(Paths!$P$126="Complete",IF(C1317=0,0,Paths!$S$126*Paths!$R$126),"n.a."))</f>
        <v>0</v>
      </c>
      <c r="T1317" s="1">
        <f>IF(NOT(Paths!$C$126=1),0,IF(Paths!$P$126="Complete",IF(C1317=0,0,VLOOKUP(A1317,'Fleet register'!$A$7:$S$106,9,FALSE)*Paths!$R$126),"n.a."))</f>
        <v>0</v>
      </c>
    </row>
    <row r="1318" spans="1:20" ht="24" customHeight="1">
      <c r="A1318" s="1" t="str">
        <f>Paths!$A$126</f>
        <v>T030</v>
      </c>
      <c r="B1318" s="1">
        <f>Paths!$B$126</f>
        <v>3</v>
      </c>
      <c r="C1318" s="1">
        <v>2</v>
      </c>
      <c r="D1318" s="1">
        <v>126</v>
      </c>
      <c r="E1318" s="1">
        <f>IF(OR(Paths!$C$126=0,C1318=0),0,MAX(0,MIN(C1318*12,Paths!$E$126)-(C1318-1)*12))</f>
        <v>0</v>
      </c>
      <c r="F1318" s="1">
        <f>IF(OR(Paths!$C$126=0,C1318=0),0,12-E1318)</f>
        <v>0</v>
      </c>
      <c r="G1318" s="16">
        <f>IF(NOT(Paths!$C$126=1),0,IF(Paths!$P$126="Complete",E1318/12*(Paths!$J$126*(1+'Operating costs'!$B$51)^MAX(0,C1318-1)+Paths!$K$126*(1+'Operating costs'!$B$53)^MAX(0,C1318-1)),"n.a."))</f>
        <v>0</v>
      </c>
      <c r="H1318" s="16">
        <f>IF(NOT(Paths!$C$126=1),0,IF(Paths!$P$126="Complete",F1318/12*(Paths!$L$126*(1+IF(Paths!$D$126="EV",'Operating costs'!$B$52,'Operating costs'!$B$51))^MAX(0,C1318-1)+Paths!$M$126*(1+'Operating costs'!$B$53)^MAX(0,C1318-1)),"n.a."))</f>
        <v>0</v>
      </c>
      <c r="I1318" s="16">
        <f>IF(NOT(Paths!$C$126=1),0,IF(Paths!$P$126="Complete",IF(IF(Paths!$E$126=0,C1318=0,AND(C1318&gt;0,Paths!$E$126&gt;(C1318-1)*12,Paths!$E$126&lt;=C1318*12)),Paths!$G$126,0),"n.a."))</f>
        <v>0</v>
      </c>
      <c r="J1318" s="16">
        <f>IF(NOT(Paths!$C$126=1),0,IF(Paths!$P$126="Complete",IF(IF(Paths!$E$126=0,C1318=0,AND(C1318&gt;0,Paths!$E$126&gt;(C1318-1)*12,Paths!$E$126&lt;=C1318*12)),Paths!$H$126,0),"n.a."))</f>
        <v>0</v>
      </c>
      <c r="K1318" s="16">
        <f>IF(NOT(Paths!$C$126=1),0,IF(Paths!$P$126="Complete",IF(IF(Paths!$O$126=0,C1318=0,AND(C1318&gt;0,Paths!$O$126&gt;(C1318-1)*12,Paths!$O$126&lt;=C1318*12)),Paths!$N$126,0),"n.a."))</f>
        <v>0</v>
      </c>
      <c r="L1318" s="16">
        <f>IF(NOT(Paths!$C$126=1),0,IF(Paths!$P$126="Complete",IF(C1318=10,Paths!$I$126,0),"n.a."))</f>
        <v>0</v>
      </c>
      <c r="M1318" s="16">
        <f>IF(NOT(Paths!$C$126=1),0,IF(Paths!$P$126="Complete",IF(AND(Paths!$D$126="EV",Paths!$E$126&lt;120,Paths!$E$126+'Operating costs'!$B$65&gt;Paths!$E$126,Paths!$E$126+'Operating costs'!$B$65&lt;=120,IF(Paths!$E$126+'Operating costs'!$B$65=0,C1318=0,AND(C1318&gt;0,Paths!$E$126+'Operating costs'!$B$65&gt;(C1318-1)*12,Paths!$E$126+'Operating costs'!$B$65&lt;=C1318*12))),'Operating costs'!$B$64,0)+IF(AND('Operating costs'!$B$67&gt;0,'Operating costs'!$B$67&lt;=120,OR(Paths!$D$126="ICE",'Operating costs'!$B$67&lt;=Paths!$E$126),IF('Operating costs'!$B$67=0,C1318=0,AND(C1318&gt;0,'Operating costs'!$B$67&gt;(C1318-1)*12,'Operating costs'!$B$67&lt;=C1318*12))),'Operating costs'!$B$66,0),"n.a."))</f>
        <v>0</v>
      </c>
      <c r="N1318" s="16">
        <f>IF(NOT(Paths!$C$126=1),0,IF(Paths!$P$126="Complete",SUM(G1318:I1318)-J1318-K1318-L1318+M1318+IF(C1318=0,Paths!$F$126,0)+IF(IF(Paths!$E$126=0,C1318=0,AND(C1318&gt;0,Paths!$E$126&gt;(C1318-1)*12,Paths!$E$126&lt;=C1318*12)),VLOOKUP(A1318,'Fleet register'!$A$7:$S$106,16,FALSE),0),"n.a."))</f>
        <v>0</v>
      </c>
      <c r="O1318" s="16">
        <f>IF(NOT(Paths!$C$126=1),0,IF(Paths!$P$126="Complete",N1318-IF(C1318=0,Paths!$F$126,0),"n.a."))</f>
        <v>0</v>
      </c>
      <c r="P1318" s="16">
        <f>IF(NOT(Paths!$C$126=1),0,IF(Paths!$P$126="Complete",O1318+L1318,"n.a."))</f>
        <v>0</v>
      </c>
      <c r="Q1318" s="16">
        <f>IF(NOT(Paths!$C$126=1),0,IF(Paths!$P$126="Complete",N1318*(1+'Operating costs'!$B$54)^-C1318,"n.a."))</f>
        <v>0</v>
      </c>
      <c r="R1318" s="16">
        <f>IF(NOT(Paths!$C$126=1),0,IF(Paths!$P$126="Complete",IF(AND(C1318=0,Paths!$E$126=0),I1318-J1318-K1318+VLOOKUP(A1318,'Fleet register'!$A$7:$S$106,15,FALSE)+VLOOKUP(A1318,'Fleet register'!$A$7:$S$106,16,FALSE),0),"n.a."))</f>
        <v>0</v>
      </c>
      <c r="S1318" s="1">
        <f>IF(NOT(Paths!$C$126=1),0,IF(Paths!$P$126="Complete",IF(C1318=0,0,Paths!$S$126*Paths!$R$126),"n.a."))</f>
        <v>0</v>
      </c>
      <c r="T1318" s="1">
        <f>IF(NOT(Paths!$C$126=1),0,IF(Paths!$P$126="Complete",IF(C1318=0,0,VLOOKUP(A1318,'Fleet register'!$A$7:$S$106,9,FALSE)*Paths!$R$126),"n.a."))</f>
        <v>0</v>
      </c>
    </row>
    <row r="1319" spans="1:20" ht="24" customHeight="1">
      <c r="A1319" s="1" t="str">
        <f>Paths!$A$126</f>
        <v>T030</v>
      </c>
      <c r="B1319" s="1">
        <f>Paths!$B$126</f>
        <v>3</v>
      </c>
      <c r="C1319" s="1">
        <v>3</v>
      </c>
      <c r="D1319" s="1">
        <v>126</v>
      </c>
      <c r="E1319" s="1">
        <f>IF(OR(Paths!$C$126=0,C1319=0),0,MAX(0,MIN(C1319*12,Paths!$E$126)-(C1319-1)*12))</f>
        <v>0</v>
      </c>
      <c r="F1319" s="1">
        <f>IF(OR(Paths!$C$126=0,C1319=0),0,12-E1319)</f>
        <v>0</v>
      </c>
      <c r="G1319" s="16">
        <f>IF(NOT(Paths!$C$126=1),0,IF(Paths!$P$126="Complete",E1319/12*(Paths!$J$126*(1+'Operating costs'!$B$51)^MAX(0,C1319-1)+Paths!$K$126*(1+'Operating costs'!$B$53)^MAX(0,C1319-1)),"n.a."))</f>
        <v>0</v>
      </c>
      <c r="H1319" s="16">
        <f>IF(NOT(Paths!$C$126=1),0,IF(Paths!$P$126="Complete",F1319/12*(Paths!$L$126*(1+IF(Paths!$D$126="EV",'Operating costs'!$B$52,'Operating costs'!$B$51))^MAX(0,C1319-1)+Paths!$M$126*(1+'Operating costs'!$B$53)^MAX(0,C1319-1)),"n.a."))</f>
        <v>0</v>
      </c>
      <c r="I1319" s="16">
        <f>IF(NOT(Paths!$C$126=1),0,IF(Paths!$P$126="Complete",IF(IF(Paths!$E$126=0,C1319=0,AND(C1319&gt;0,Paths!$E$126&gt;(C1319-1)*12,Paths!$E$126&lt;=C1319*12)),Paths!$G$126,0),"n.a."))</f>
        <v>0</v>
      </c>
      <c r="J1319" s="16">
        <f>IF(NOT(Paths!$C$126=1),0,IF(Paths!$P$126="Complete",IF(IF(Paths!$E$126=0,C1319=0,AND(C1319&gt;0,Paths!$E$126&gt;(C1319-1)*12,Paths!$E$126&lt;=C1319*12)),Paths!$H$126,0),"n.a."))</f>
        <v>0</v>
      </c>
      <c r="K1319" s="16">
        <f>IF(NOT(Paths!$C$126=1),0,IF(Paths!$P$126="Complete",IF(IF(Paths!$O$126=0,C1319=0,AND(C1319&gt;0,Paths!$O$126&gt;(C1319-1)*12,Paths!$O$126&lt;=C1319*12)),Paths!$N$126,0),"n.a."))</f>
        <v>0</v>
      </c>
      <c r="L1319" s="16">
        <f>IF(NOT(Paths!$C$126=1),0,IF(Paths!$P$126="Complete",IF(C1319=10,Paths!$I$126,0),"n.a."))</f>
        <v>0</v>
      </c>
      <c r="M1319" s="16">
        <f>IF(NOT(Paths!$C$126=1),0,IF(Paths!$P$126="Complete",IF(AND(Paths!$D$126="EV",Paths!$E$126&lt;120,Paths!$E$126+'Operating costs'!$B$65&gt;Paths!$E$126,Paths!$E$126+'Operating costs'!$B$65&lt;=120,IF(Paths!$E$126+'Operating costs'!$B$65=0,C1319=0,AND(C1319&gt;0,Paths!$E$126+'Operating costs'!$B$65&gt;(C1319-1)*12,Paths!$E$126+'Operating costs'!$B$65&lt;=C1319*12))),'Operating costs'!$B$64,0)+IF(AND('Operating costs'!$B$67&gt;0,'Operating costs'!$B$67&lt;=120,OR(Paths!$D$126="ICE",'Operating costs'!$B$67&lt;=Paths!$E$126),IF('Operating costs'!$B$67=0,C1319=0,AND(C1319&gt;0,'Operating costs'!$B$67&gt;(C1319-1)*12,'Operating costs'!$B$67&lt;=C1319*12))),'Operating costs'!$B$66,0),"n.a."))</f>
        <v>0</v>
      </c>
      <c r="N1319" s="16">
        <f>IF(NOT(Paths!$C$126=1),0,IF(Paths!$P$126="Complete",SUM(G1319:I1319)-J1319-K1319-L1319+M1319+IF(C1319=0,Paths!$F$126,0)+IF(IF(Paths!$E$126=0,C1319=0,AND(C1319&gt;0,Paths!$E$126&gt;(C1319-1)*12,Paths!$E$126&lt;=C1319*12)),VLOOKUP(A1319,'Fleet register'!$A$7:$S$106,16,FALSE),0),"n.a."))</f>
        <v>0</v>
      </c>
      <c r="O1319" s="16">
        <f>IF(NOT(Paths!$C$126=1),0,IF(Paths!$P$126="Complete",N1319-IF(C1319=0,Paths!$F$126,0),"n.a."))</f>
        <v>0</v>
      </c>
      <c r="P1319" s="16">
        <f>IF(NOT(Paths!$C$126=1),0,IF(Paths!$P$126="Complete",O1319+L1319,"n.a."))</f>
        <v>0</v>
      </c>
      <c r="Q1319" s="16">
        <f>IF(NOT(Paths!$C$126=1),0,IF(Paths!$P$126="Complete",N1319*(1+'Operating costs'!$B$54)^-C1319,"n.a."))</f>
        <v>0</v>
      </c>
      <c r="R1319" s="16">
        <f>IF(NOT(Paths!$C$126=1),0,IF(Paths!$P$126="Complete",IF(AND(C1319=0,Paths!$E$126=0),I1319-J1319-K1319+VLOOKUP(A1319,'Fleet register'!$A$7:$S$106,15,FALSE)+VLOOKUP(A1319,'Fleet register'!$A$7:$S$106,16,FALSE),0),"n.a."))</f>
        <v>0</v>
      </c>
      <c r="S1319" s="1">
        <f>IF(NOT(Paths!$C$126=1),0,IF(Paths!$P$126="Complete",IF(C1319=0,0,Paths!$S$126*Paths!$R$126),"n.a."))</f>
        <v>0</v>
      </c>
      <c r="T1319" s="1">
        <f>IF(NOT(Paths!$C$126=1),0,IF(Paths!$P$126="Complete",IF(C1319=0,0,VLOOKUP(A1319,'Fleet register'!$A$7:$S$106,9,FALSE)*Paths!$R$126),"n.a."))</f>
        <v>0</v>
      </c>
    </row>
    <row r="1320" spans="1:20" ht="24" customHeight="1">
      <c r="A1320" s="1" t="str">
        <f>Paths!$A$126</f>
        <v>T030</v>
      </c>
      <c r="B1320" s="1">
        <f>Paths!$B$126</f>
        <v>3</v>
      </c>
      <c r="C1320" s="1">
        <v>4</v>
      </c>
      <c r="D1320" s="1">
        <v>126</v>
      </c>
      <c r="E1320" s="1">
        <f>IF(OR(Paths!$C$126=0,C1320=0),0,MAX(0,MIN(C1320*12,Paths!$E$126)-(C1320-1)*12))</f>
        <v>0</v>
      </c>
      <c r="F1320" s="1">
        <f>IF(OR(Paths!$C$126=0,C1320=0),0,12-E1320)</f>
        <v>0</v>
      </c>
      <c r="G1320" s="16">
        <f>IF(NOT(Paths!$C$126=1),0,IF(Paths!$P$126="Complete",E1320/12*(Paths!$J$126*(1+'Operating costs'!$B$51)^MAX(0,C1320-1)+Paths!$K$126*(1+'Operating costs'!$B$53)^MAX(0,C1320-1)),"n.a."))</f>
        <v>0</v>
      </c>
      <c r="H1320" s="16">
        <f>IF(NOT(Paths!$C$126=1),0,IF(Paths!$P$126="Complete",F1320/12*(Paths!$L$126*(1+IF(Paths!$D$126="EV",'Operating costs'!$B$52,'Operating costs'!$B$51))^MAX(0,C1320-1)+Paths!$M$126*(1+'Operating costs'!$B$53)^MAX(0,C1320-1)),"n.a."))</f>
        <v>0</v>
      </c>
      <c r="I1320" s="16">
        <f>IF(NOT(Paths!$C$126=1),0,IF(Paths!$P$126="Complete",IF(IF(Paths!$E$126=0,C1320=0,AND(C1320&gt;0,Paths!$E$126&gt;(C1320-1)*12,Paths!$E$126&lt;=C1320*12)),Paths!$G$126,0),"n.a."))</f>
        <v>0</v>
      </c>
      <c r="J1320" s="16">
        <f>IF(NOT(Paths!$C$126=1),0,IF(Paths!$P$126="Complete",IF(IF(Paths!$E$126=0,C1320=0,AND(C1320&gt;0,Paths!$E$126&gt;(C1320-1)*12,Paths!$E$126&lt;=C1320*12)),Paths!$H$126,0),"n.a."))</f>
        <v>0</v>
      </c>
      <c r="K1320" s="16">
        <f>IF(NOT(Paths!$C$126=1),0,IF(Paths!$P$126="Complete",IF(IF(Paths!$O$126=0,C1320=0,AND(C1320&gt;0,Paths!$O$126&gt;(C1320-1)*12,Paths!$O$126&lt;=C1320*12)),Paths!$N$126,0),"n.a."))</f>
        <v>0</v>
      </c>
      <c r="L1320" s="16">
        <f>IF(NOT(Paths!$C$126=1),0,IF(Paths!$P$126="Complete",IF(C1320=10,Paths!$I$126,0),"n.a."))</f>
        <v>0</v>
      </c>
      <c r="M1320" s="16">
        <f>IF(NOT(Paths!$C$126=1),0,IF(Paths!$P$126="Complete",IF(AND(Paths!$D$126="EV",Paths!$E$126&lt;120,Paths!$E$126+'Operating costs'!$B$65&gt;Paths!$E$126,Paths!$E$126+'Operating costs'!$B$65&lt;=120,IF(Paths!$E$126+'Operating costs'!$B$65=0,C1320=0,AND(C1320&gt;0,Paths!$E$126+'Operating costs'!$B$65&gt;(C1320-1)*12,Paths!$E$126+'Operating costs'!$B$65&lt;=C1320*12))),'Operating costs'!$B$64,0)+IF(AND('Operating costs'!$B$67&gt;0,'Operating costs'!$B$67&lt;=120,OR(Paths!$D$126="ICE",'Operating costs'!$B$67&lt;=Paths!$E$126),IF('Operating costs'!$B$67=0,C1320=0,AND(C1320&gt;0,'Operating costs'!$B$67&gt;(C1320-1)*12,'Operating costs'!$B$67&lt;=C1320*12))),'Operating costs'!$B$66,0),"n.a."))</f>
        <v>0</v>
      </c>
      <c r="N1320" s="16">
        <f>IF(NOT(Paths!$C$126=1),0,IF(Paths!$P$126="Complete",SUM(G1320:I1320)-J1320-K1320-L1320+M1320+IF(C1320=0,Paths!$F$126,0)+IF(IF(Paths!$E$126=0,C1320=0,AND(C1320&gt;0,Paths!$E$126&gt;(C1320-1)*12,Paths!$E$126&lt;=C1320*12)),VLOOKUP(A1320,'Fleet register'!$A$7:$S$106,16,FALSE),0),"n.a."))</f>
        <v>0</v>
      </c>
      <c r="O1320" s="16">
        <f>IF(NOT(Paths!$C$126=1),0,IF(Paths!$P$126="Complete",N1320-IF(C1320=0,Paths!$F$126,0),"n.a."))</f>
        <v>0</v>
      </c>
      <c r="P1320" s="16">
        <f>IF(NOT(Paths!$C$126=1),0,IF(Paths!$P$126="Complete",O1320+L1320,"n.a."))</f>
        <v>0</v>
      </c>
      <c r="Q1320" s="16">
        <f>IF(NOT(Paths!$C$126=1),0,IF(Paths!$P$126="Complete",N1320*(1+'Operating costs'!$B$54)^-C1320,"n.a."))</f>
        <v>0</v>
      </c>
      <c r="R1320" s="16">
        <f>IF(NOT(Paths!$C$126=1),0,IF(Paths!$P$126="Complete",IF(AND(C1320=0,Paths!$E$126=0),I1320-J1320-K1320+VLOOKUP(A1320,'Fleet register'!$A$7:$S$106,15,FALSE)+VLOOKUP(A1320,'Fleet register'!$A$7:$S$106,16,FALSE),0),"n.a."))</f>
        <v>0</v>
      </c>
      <c r="S1320" s="1">
        <f>IF(NOT(Paths!$C$126=1),0,IF(Paths!$P$126="Complete",IF(C1320=0,0,Paths!$S$126*Paths!$R$126),"n.a."))</f>
        <v>0</v>
      </c>
      <c r="T1320" s="1">
        <f>IF(NOT(Paths!$C$126=1),0,IF(Paths!$P$126="Complete",IF(C1320=0,0,VLOOKUP(A1320,'Fleet register'!$A$7:$S$106,9,FALSE)*Paths!$R$126),"n.a."))</f>
        <v>0</v>
      </c>
    </row>
    <row r="1321" spans="1:20" ht="24" customHeight="1">
      <c r="A1321" s="1" t="str">
        <f>Paths!$A$126</f>
        <v>T030</v>
      </c>
      <c r="B1321" s="1">
        <f>Paths!$B$126</f>
        <v>3</v>
      </c>
      <c r="C1321" s="1">
        <v>5</v>
      </c>
      <c r="D1321" s="1">
        <v>126</v>
      </c>
      <c r="E1321" s="1">
        <f>IF(OR(Paths!$C$126=0,C1321=0),0,MAX(0,MIN(C1321*12,Paths!$E$126)-(C1321-1)*12))</f>
        <v>0</v>
      </c>
      <c r="F1321" s="1">
        <f>IF(OR(Paths!$C$126=0,C1321=0),0,12-E1321)</f>
        <v>0</v>
      </c>
      <c r="G1321" s="16">
        <f>IF(NOT(Paths!$C$126=1),0,IF(Paths!$P$126="Complete",E1321/12*(Paths!$J$126*(1+'Operating costs'!$B$51)^MAX(0,C1321-1)+Paths!$K$126*(1+'Operating costs'!$B$53)^MAX(0,C1321-1)),"n.a."))</f>
        <v>0</v>
      </c>
      <c r="H1321" s="16">
        <f>IF(NOT(Paths!$C$126=1),0,IF(Paths!$P$126="Complete",F1321/12*(Paths!$L$126*(1+IF(Paths!$D$126="EV",'Operating costs'!$B$52,'Operating costs'!$B$51))^MAX(0,C1321-1)+Paths!$M$126*(1+'Operating costs'!$B$53)^MAX(0,C1321-1)),"n.a."))</f>
        <v>0</v>
      </c>
      <c r="I1321" s="16">
        <f>IF(NOT(Paths!$C$126=1),0,IF(Paths!$P$126="Complete",IF(IF(Paths!$E$126=0,C1321=0,AND(C1321&gt;0,Paths!$E$126&gt;(C1321-1)*12,Paths!$E$126&lt;=C1321*12)),Paths!$G$126,0),"n.a."))</f>
        <v>0</v>
      </c>
      <c r="J1321" s="16">
        <f>IF(NOT(Paths!$C$126=1),0,IF(Paths!$P$126="Complete",IF(IF(Paths!$E$126=0,C1321=0,AND(C1321&gt;0,Paths!$E$126&gt;(C1321-1)*12,Paths!$E$126&lt;=C1321*12)),Paths!$H$126,0),"n.a."))</f>
        <v>0</v>
      </c>
      <c r="K1321" s="16">
        <f>IF(NOT(Paths!$C$126=1),0,IF(Paths!$P$126="Complete",IF(IF(Paths!$O$126=0,C1321=0,AND(C1321&gt;0,Paths!$O$126&gt;(C1321-1)*12,Paths!$O$126&lt;=C1321*12)),Paths!$N$126,0),"n.a."))</f>
        <v>0</v>
      </c>
      <c r="L1321" s="16">
        <f>IF(NOT(Paths!$C$126=1),0,IF(Paths!$P$126="Complete",IF(C1321=10,Paths!$I$126,0),"n.a."))</f>
        <v>0</v>
      </c>
      <c r="M1321" s="16">
        <f>IF(NOT(Paths!$C$126=1),0,IF(Paths!$P$126="Complete",IF(AND(Paths!$D$126="EV",Paths!$E$126&lt;120,Paths!$E$126+'Operating costs'!$B$65&gt;Paths!$E$126,Paths!$E$126+'Operating costs'!$B$65&lt;=120,IF(Paths!$E$126+'Operating costs'!$B$65=0,C1321=0,AND(C1321&gt;0,Paths!$E$126+'Operating costs'!$B$65&gt;(C1321-1)*12,Paths!$E$126+'Operating costs'!$B$65&lt;=C1321*12))),'Operating costs'!$B$64,0)+IF(AND('Operating costs'!$B$67&gt;0,'Operating costs'!$B$67&lt;=120,OR(Paths!$D$126="ICE",'Operating costs'!$B$67&lt;=Paths!$E$126),IF('Operating costs'!$B$67=0,C1321=0,AND(C1321&gt;0,'Operating costs'!$B$67&gt;(C1321-1)*12,'Operating costs'!$B$67&lt;=C1321*12))),'Operating costs'!$B$66,0),"n.a."))</f>
        <v>0</v>
      </c>
      <c r="N1321" s="16">
        <f>IF(NOT(Paths!$C$126=1),0,IF(Paths!$P$126="Complete",SUM(G1321:I1321)-J1321-K1321-L1321+M1321+IF(C1321=0,Paths!$F$126,0)+IF(IF(Paths!$E$126=0,C1321=0,AND(C1321&gt;0,Paths!$E$126&gt;(C1321-1)*12,Paths!$E$126&lt;=C1321*12)),VLOOKUP(A1321,'Fleet register'!$A$7:$S$106,16,FALSE),0),"n.a."))</f>
        <v>0</v>
      </c>
      <c r="O1321" s="16">
        <f>IF(NOT(Paths!$C$126=1),0,IF(Paths!$P$126="Complete",N1321-IF(C1321=0,Paths!$F$126,0),"n.a."))</f>
        <v>0</v>
      </c>
      <c r="P1321" s="16">
        <f>IF(NOT(Paths!$C$126=1),0,IF(Paths!$P$126="Complete",O1321+L1321,"n.a."))</f>
        <v>0</v>
      </c>
      <c r="Q1321" s="16">
        <f>IF(NOT(Paths!$C$126=1),0,IF(Paths!$P$126="Complete",N1321*(1+'Operating costs'!$B$54)^-C1321,"n.a."))</f>
        <v>0</v>
      </c>
      <c r="R1321" s="16">
        <f>IF(NOT(Paths!$C$126=1),0,IF(Paths!$P$126="Complete",IF(AND(C1321=0,Paths!$E$126=0),I1321-J1321-K1321+VLOOKUP(A1321,'Fleet register'!$A$7:$S$106,15,FALSE)+VLOOKUP(A1321,'Fleet register'!$A$7:$S$106,16,FALSE),0),"n.a."))</f>
        <v>0</v>
      </c>
      <c r="S1321" s="1">
        <f>IF(NOT(Paths!$C$126=1),0,IF(Paths!$P$126="Complete",IF(C1321=0,0,Paths!$S$126*Paths!$R$126),"n.a."))</f>
        <v>0</v>
      </c>
      <c r="T1321" s="1">
        <f>IF(NOT(Paths!$C$126=1),0,IF(Paths!$P$126="Complete",IF(C1321=0,0,VLOOKUP(A1321,'Fleet register'!$A$7:$S$106,9,FALSE)*Paths!$R$126),"n.a."))</f>
        <v>0</v>
      </c>
    </row>
    <row r="1322" spans="1:20" ht="24" customHeight="1">
      <c r="A1322" s="1" t="str">
        <f>Paths!$A$126</f>
        <v>T030</v>
      </c>
      <c r="B1322" s="1">
        <f>Paths!$B$126</f>
        <v>3</v>
      </c>
      <c r="C1322" s="1">
        <v>6</v>
      </c>
      <c r="D1322" s="1">
        <v>126</v>
      </c>
      <c r="E1322" s="1">
        <f>IF(OR(Paths!$C$126=0,C1322=0),0,MAX(0,MIN(C1322*12,Paths!$E$126)-(C1322-1)*12))</f>
        <v>0</v>
      </c>
      <c r="F1322" s="1">
        <f>IF(OR(Paths!$C$126=0,C1322=0),0,12-E1322)</f>
        <v>0</v>
      </c>
      <c r="G1322" s="16">
        <f>IF(NOT(Paths!$C$126=1),0,IF(Paths!$P$126="Complete",E1322/12*(Paths!$J$126*(1+'Operating costs'!$B$51)^MAX(0,C1322-1)+Paths!$K$126*(1+'Operating costs'!$B$53)^MAX(0,C1322-1)),"n.a."))</f>
        <v>0</v>
      </c>
      <c r="H1322" s="16">
        <f>IF(NOT(Paths!$C$126=1),0,IF(Paths!$P$126="Complete",F1322/12*(Paths!$L$126*(1+IF(Paths!$D$126="EV",'Operating costs'!$B$52,'Operating costs'!$B$51))^MAX(0,C1322-1)+Paths!$M$126*(1+'Operating costs'!$B$53)^MAX(0,C1322-1)),"n.a."))</f>
        <v>0</v>
      </c>
      <c r="I1322" s="16">
        <f>IF(NOT(Paths!$C$126=1),0,IF(Paths!$P$126="Complete",IF(IF(Paths!$E$126=0,C1322=0,AND(C1322&gt;0,Paths!$E$126&gt;(C1322-1)*12,Paths!$E$126&lt;=C1322*12)),Paths!$G$126,0),"n.a."))</f>
        <v>0</v>
      </c>
      <c r="J1322" s="16">
        <f>IF(NOT(Paths!$C$126=1),0,IF(Paths!$P$126="Complete",IF(IF(Paths!$E$126=0,C1322=0,AND(C1322&gt;0,Paths!$E$126&gt;(C1322-1)*12,Paths!$E$126&lt;=C1322*12)),Paths!$H$126,0),"n.a."))</f>
        <v>0</v>
      </c>
      <c r="K1322" s="16">
        <f>IF(NOT(Paths!$C$126=1),0,IF(Paths!$P$126="Complete",IF(IF(Paths!$O$126=0,C1322=0,AND(C1322&gt;0,Paths!$O$126&gt;(C1322-1)*12,Paths!$O$126&lt;=C1322*12)),Paths!$N$126,0),"n.a."))</f>
        <v>0</v>
      </c>
      <c r="L1322" s="16">
        <f>IF(NOT(Paths!$C$126=1),0,IF(Paths!$P$126="Complete",IF(C1322=10,Paths!$I$126,0),"n.a."))</f>
        <v>0</v>
      </c>
      <c r="M1322" s="16">
        <f>IF(NOT(Paths!$C$126=1),0,IF(Paths!$P$126="Complete",IF(AND(Paths!$D$126="EV",Paths!$E$126&lt;120,Paths!$E$126+'Operating costs'!$B$65&gt;Paths!$E$126,Paths!$E$126+'Operating costs'!$B$65&lt;=120,IF(Paths!$E$126+'Operating costs'!$B$65=0,C1322=0,AND(C1322&gt;0,Paths!$E$126+'Operating costs'!$B$65&gt;(C1322-1)*12,Paths!$E$126+'Operating costs'!$B$65&lt;=C1322*12))),'Operating costs'!$B$64,0)+IF(AND('Operating costs'!$B$67&gt;0,'Operating costs'!$B$67&lt;=120,OR(Paths!$D$126="ICE",'Operating costs'!$B$67&lt;=Paths!$E$126),IF('Operating costs'!$B$67=0,C1322=0,AND(C1322&gt;0,'Operating costs'!$B$67&gt;(C1322-1)*12,'Operating costs'!$B$67&lt;=C1322*12))),'Operating costs'!$B$66,0),"n.a."))</f>
        <v>0</v>
      </c>
      <c r="N1322" s="16">
        <f>IF(NOT(Paths!$C$126=1),0,IF(Paths!$P$126="Complete",SUM(G1322:I1322)-J1322-K1322-L1322+M1322+IF(C1322=0,Paths!$F$126,0)+IF(IF(Paths!$E$126=0,C1322=0,AND(C1322&gt;0,Paths!$E$126&gt;(C1322-1)*12,Paths!$E$126&lt;=C1322*12)),VLOOKUP(A1322,'Fleet register'!$A$7:$S$106,16,FALSE),0),"n.a."))</f>
        <v>0</v>
      </c>
      <c r="O1322" s="16">
        <f>IF(NOT(Paths!$C$126=1),0,IF(Paths!$P$126="Complete",N1322-IF(C1322=0,Paths!$F$126,0),"n.a."))</f>
        <v>0</v>
      </c>
      <c r="P1322" s="16">
        <f>IF(NOT(Paths!$C$126=1),0,IF(Paths!$P$126="Complete",O1322+L1322,"n.a."))</f>
        <v>0</v>
      </c>
      <c r="Q1322" s="16">
        <f>IF(NOT(Paths!$C$126=1),0,IF(Paths!$P$126="Complete",N1322*(1+'Operating costs'!$B$54)^-C1322,"n.a."))</f>
        <v>0</v>
      </c>
      <c r="R1322" s="16">
        <f>IF(NOT(Paths!$C$126=1),0,IF(Paths!$P$126="Complete",IF(AND(C1322=0,Paths!$E$126=0),I1322-J1322-K1322+VLOOKUP(A1322,'Fleet register'!$A$7:$S$106,15,FALSE)+VLOOKUP(A1322,'Fleet register'!$A$7:$S$106,16,FALSE),0),"n.a."))</f>
        <v>0</v>
      </c>
      <c r="S1322" s="1">
        <f>IF(NOT(Paths!$C$126=1),0,IF(Paths!$P$126="Complete",IF(C1322=0,0,Paths!$S$126*Paths!$R$126),"n.a."))</f>
        <v>0</v>
      </c>
      <c r="T1322" s="1">
        <f>IF(NOT(Paths!$C$126=1),0,IF(Paths!$P$126="Complete",IF(C1322=0,0,VLOOKUP(A1322,'Fleet register'!$A$7:$S$106,9,FALSE)*Paths!$R$126),"n.a."))</f>
        <v>0</v>
      </c>
    </row>
    <row r="1323" spans="1:20" ht="24" customHeight="1">
      <c r="A1323" s="1" t="str">
        <f>Paths!$A$126</f>
        <v>T030</v>
      </c>
      <c r="B1323" s="1">
        <f>Paths!$B$126</f>
        <v>3</v>
      </c>
      <c r="C1323" s="1">
        <v>7</v>
      </c>
      <c r="D1323" s="1">
        <v>126</v>
      </c>
      <c r="E1323" s="1">
        <f>IF(OR(Paths!$C$126=0,C1323=0),0,MAX(0,MIN(C1323*12,Paths!$E$126)-(C1323-1)*12))</f>
        <v>0</v>
      </c>
      <c r="F1323" s="1">
        <f>IF(OR(Paths!$C$126=0,C1323=0),0,12-E1323)</f>
        <v>0</v>
      </c>
      <c r="G1323" s="16">
        <f>IF(NOT(Paths!$C$126=1),0,IF(Paths!$P$126="Complete",E1323/12*(Paths!$J$126*(1+'Operating costs'!$B$51)^MAX(0,C1323-1)+Paths!$K$126*(1+'Operating costs'!$B$53)^MAX(0,C1323-1)),"n.a."))</f>
        <v>0</v>
      </c>
      <c r="H1323" s="16">
        <f>IF(NOT(Paths!$C$126=1),0,IF(Paths!$P$126="Complete",F1323/12*(Paths!$L$126*(1+IF(Paths!$D$126="EV",'Operating costs'!$B$52,'Operating costs'!$B$51))^MAX(0,C1323-1)+Paths!$M$126*(1+'Operating costs'!$B$53)^MAX(0,C1323-1)),"n.a."))</f>
        <v>0</v>
      </c>
      <c r="I1323" s="16">
        <f>IF(NOT(Paths!$C$126=1),0,IF(Paths!$P$126="Complete",IF(IF(Paths!$E$126=0,C1323=0,AND(C1323&gt;0,Paths!$E$126&gt;(C1323-1)*12,Paths!$E$126&lt;=C1323*12)),Paths!$G$126,0),"n.a."))</f>
        <v>0</v>
      </c>
      <c r="J1323" s="16">
        <f>IF(NOT(Paths!$C$126=1),0,IF(Paths!$P$126="Complete",IF(IF(Paths!$E$126=0,C1323=0,AND(C1323&gt;0,Paths!$E$126&gt;(C1323-1)*12,Paths!$E$126&lt;=C1323*12)),Paths!$H$126,0),"n.a."))</f>
        <v>0</v>
      </c>
      <c r="K1323" s="16">
        <f>IF(NOT(Paths!$C$126=1),0,IF(Paths!$P$126="Complete",IF(IF(Paths!$O$126=0,C1323=0,AND(C1323&gt;0,Paths!$O$126&gt;(C1323-1)*12,Paths!$O$126&lt;=C1323*12)),Paths!$N$126,0),"n.a."))</f>
        <v>0</v>
      </c>
      <c r="L1323" s="16">
        <f>IF(NOT(Paths!$C$126=1),0,IF(Paths!$P$126="Complete",IF(C1323=10,Paths!$I$126,0),"n.a."))</f>
        <v>0</v>
      </c>
      <c r="M1323" s="16">
        <f>IF(NOT(Paths!$C$126=1),0,IF(Paths!$P$126="Complete",IF(AND(Paths!$D$126="EV",Paths!$E$126&lt;120,Paths!$E$126+'Operating costs'!$B$65&gt;Paths!$E$126,Paths!$E$126+'Operating costs'!$B$65&lt;=120,IF(Paths!$E$126+'Operating costs'!$B$65=0,C1323=0,AND(C1323&gt;0,Paths!$E$126+'Operating costs'!$B$65&gt;(C1323-1)*12,Paths!$E$126+'Operating costs'!$B$65&lt;=C1323*12))),'Operating costs'!$B$64,0)+IF(AND('Operating costs'!$B$67&gt;0,'Operating costs'!$B$67&lt;=120,OR(Paths!$D$126="ICE",'Operating costs'!$B$67&lt;=Paths!$E$126),IF('Operating costs'!$B$67=0,C1323=0,AND(C1323&gt;0,'Operating costs'!$B$67&gt;(C1323-1)*12,'Operating costs'!$B$67&lt;=C1323*12))),'Operating costs'!$B$66,0),"n.a."))</f>
        <v>0</v>
      </c>
      <c r="N1323" s="16">
        <f>IF(NOT(Paths!$C$126=1),0,IF(Paths!$P$126="Complete",SUM(G1323:I1323)-J1323-K1323-L1323+M1323+IF(C1323=0,Paths!$F$126,0)+IF(IF(Paths!$E$126=0,C1323=0,AND(C1323&gt;0,Paths!$E$126&gt;(C1323-1)*12,Paths!$E$126&lt;=C1323*12)),VLOOKUP(A1323,'Fleet register'!$A$7:$S$106,16,FALSE),0),"n.a."))</f>
        <v>0</v>
      </c>
      <c r="O1323" s="16">
        <f>IF(NOT(Paths!$C$126=1),0,IF(Paths!$P$126="Complete",N1323-IF(C1323=0,Paths!$F$126,0),"n.a."))</f>
        <v>0</v>
      </c>
      <c r="P1323" s="16">
        <f>IF(NOT(Paths!$C$126=1),0,IF(Paths!$P$126="Complete",O1323+L1323,"n.a."))</f>
        <v>0</v>
      </c>
      <c r="Q1323" s="16">
        <f>IF(NOT(Paths!$C$126=1),0,IF(Paths!$P$126="Complete",N1323*(1+'Operating costs'!$B$54)^-C1323,"n.a."))</f>
        <v>0</v>
      </c>
      <c r="R1323" s="16">
        <f>IF(NOT(Paths!$C$126=1),0,IF(Paths!$P$126="Complete",IF(AND(C1323=0,Paths!$E$126=0),I1323-J1323-K1323+VLOOKUP(A1323,'Fleet register'!$A$7:$S$106,15,FALSE)+VLOOKUP(A1323,'Fleet register'!$A$7:$S$106,16,FALSE),0),"n.a."))</f>
        <v>0</v>
      </c>
      <c r="S1323" s="1">
        <f>IF(NOT(Paths!$C$126=1),0,IF(Paths!$P$126="Complete",IF(C1323=0,0,Paths!$S$126*Paths!$R$126),"n.a."))</f>
        <v>0</v>
      </c>
      <c r="T1323" s="1">
        <f>IF(NOT(Paths!$C$126=1),0,IF(Paths!$P$126="Complete",IF(C1323=0,0,VLOOKUP(A1323,'Fleet register'!$A$7:$S$106,9,FALSE)*Paths!$R$126),"n.a."))</f>
        <v>0</v>
      </c>
    </row>
    <row r="1324" spans="1:20" ht="24" customHeight="1">
      <c r="A1324" s="1" t="str">
        <f>Paths!$A$126</f>
        <v>T030</v>
      </c>
      <c r="B1324" s="1">
        <f>Paths!$B$126</f>
        <v>3</v>
      </c>
      <c r="C1324" s="1">
        <v>8</v>
      </c>
      <c r="D1324" s="1">
        <v>126</v>
      </c>
      <c r="E1324" s="1">
        <f>IF(OR(Paths!$C$126=0,C1324=0),0,MAX(0,MIN(C1324*12,Paths!$E$126)-(C1324-1)*12))</f>
        <v>0</v>
      </c>
      <c r="F1324" s="1">
        <f>IF(OR(Paths!$C$126=0,C1324=0),0,12-E1324)</f>
        <v>0</v>
      </c>
      <c r="G1324" s="16">
        <f>IF(NOT(Paths!$C$126=1),0,IF(Paths!$P$126="Complete",E1324/12*(Paths!$J$126*(1+'Operating costs'!$B$51)^MAX(0,C1324-1)+Paths!$K$126*(1+'Operating costs'!$B$53)^MAX(0,C1324-1)),"n.a."))</f>
        <v>0</v>
      </c>
      <c r="H1324" s="16">
        <f>IF(NOT(Paths!$C$126=1),0,IF(Paths!$P$126="Complete",F1324/12*(Paths!$L$126*(1+IF(Paths!$D$126="EV",'Operating costs'!$B$52,'Operating costs'!$B$51))^MAX(0,C1324-1)+Paths!$M$126*(1+'Operating costs'!$B$53)^MAX(0,C1324-1)),"n.a."))</f>
        <v>0</v>
      </c>
      <c r="I1324" s="16">
        <f>IF(NOT(Paths!$C$126=1),0,IF(Paths!$P$126="Complete",IF(IF(Paths!$E$126=0,C1324=0,AND(C1324&gt;0,Paths!$E$126&gt;(C1324-1)*12,Paths!$E$126&lt;=C1324*12)),Paths!$G$126,0),"n.a."))</f>
        <v>0</v>
      </c>
      <c r="J1324" s="16">
        <f>IF(NOT(Paths!$C$126=1),0,IF(Paths!$P$126="Complete",IF(IF(Paths!$E$126=0,C1324=0,AND(C1324&gt;0,Paths!$E$126&gt;(C1324-1)*12,Paths!$E$126&lt;=C1324*12)),Paths!$H$126,0),"n.a."))</f>
        <v>0</v>
      </c>
      <c r="K1324" s="16">
        <f>IF(NOT(Paths!$C$126=1),0,IF(Paths!$P$126="Complete",IF(IF(Paths!$O$126=0,C1324=0,AND(C1324&gt;0,Paths!$O$126&gt;(C1324-1)*12,Paths!$O$126&lt;=C1324*12)),Paths!$N$126,0),"n.a."))</f>
        <v>0</v>
      </c>
      <c r="L1324" s="16">
        <f>IF(NOT(Paths!$C$126=1),0,IF(Paths!$P$126="Complete",IF(C1324=10,Paths!$I$126,0),"n.a."))</f>
        <v>0</v>
      </c>
      <c r="M1324" s="16">
        <f>IF(NOT(Paths!$C$126=1),0,IF(Paths!$P$126="Complete",IF(AND(Paths!$D$126="EV",Paths!$E$126&lt;120,Paths!$E$126+'Operating costs'!$B$65&gt;Paths!$E$126,Paths!$E$126+'Operating costs'!$B$65&lt;=120,IF(Paths!$E$126+'Operating costs'!$B$65=0,C1324=0,AND(C1324&gt;0,Paths!$E$126+'Operating costs'!$B$65&gt;(C1324-1)*12,Paths!$E$126+'Operating costs'!$B$65&lt;=C1324*12))),'Operating costs'!$B$64,0)+IF(AND('Operating costs'!$B$67&gt;0,'Operating costs'!$B$67&lt;=120,OR(Paths!$D$126="ICE",'Operating costs'!$B$67&lt;=Paths!$E$126),IF('Operating costs'!$B$67=0,C1324=0,AND(C1324&gt;0,'Operating costs'!$B$67&gt;(C1324-1)*12,'Operating costs'!$B$67&lt;=C1324*12))),'Operating costs'!$B$66,0),"n.a."))</f>
        <v>0</v>
      </c>
      <c r="N1324" s="16">
        <f>IF(NOT(Paths!$C$126=1),0,IF(Paths!$P$126="Complete",SUM(G1324:I1324)-J1324-K1324-L1324+M1324+IF(C1324=0,Paths!$F$126,0)+IF(IF(Paths!$E$126=0,C1324=0,AND(C1324&gt;0,Paths!$E$126&gt;(C1324-1)*12,Paths!$E$126&lt;=C1324*12)),VLOOKUP(A1324,'Fleet register'!$A$7:$S$106,16,FALSE),0),"n.a."))</f>
        <v>0</v>
      </c>
      <c r="O1324" s="16">
        <f>IF(NOT(Paths!$C$126=1),0,IF(Paths!$P$126="Complete",N1324-IF(C1324=0,Paths!$F$126,0),"n.a."))</f>
        <v>0</v>
      </c>
      <c r="P1324" s="16">
        <f>IF(NOT(Paths!$C$126=1),0,IF(Paths!$P$126="Complete",O1324+L1324,"n.a."))</f>
        <v>0</v>
      </c>
      <c r="Q1324" s="16">
        <f>IF(NOT(Paths!$C$126=1),0,IF(Paths!$P$126="Complete",N1324*(1+'Operating costs'!$B$54)^-C1324,"n.a."))</f>
        <v>0</v>
      </c>
      <c r="R1324" s="16">
        <f>IF(NOT(Paths!$C$126=1),0,IF(Paths!$P$126="Complete",IF(AND(C1324=0,Paths!$E$126=0),I1324-J1324-K1324+VLOOKUP(A1324,'Fleet register'!$A$7:$S$106,15,FALSE)+VLOOKUP(A1324,'Fleet register'!$A$7:$S$106,16,FALSE),0),"n.a."))</f>
        <v>0</v>
      </c>
      <c r="S1324" s="1">
        <f>IF(NOT(Paths!$C$126=1),0,IF(Paths!$P$126="Complete",IF(C1324=0,0,Paths!$S$126*Paths!$R$126),"n.a."))</f>
        <v>0</v>
      </c>
      <c r="T1324" s="1">
        <f>IF(NOT(Paths!$C$126=1),0,IF(Paths!$P$126="Complete",IF(C1324=0,0,VLOOKUP(A1324,'Fleet register'!$A$7:$S$106,9,FALSE)*Paths!$R$126),"n.a."))</f>
        <v>0</v>
      </c>
    </row>
    <row r="1325" spans="1:20" ht="24" customHeight="1">
      <c r="A1325" s="1" t="str">
        <f>Paths!$A$126</f>
        <v>T030</v>
      </c>
      <c r="B1325" s="1">
        <f>Paths!$B$126</f>
        <v>3</v>
      </c>
      <c r="C1325" s="1">
        <v>9</v>
      </c>
      <c r="D1325" s="1">
        <v>126</v>
      </c>
      <c r="E1325" s="1">
        <f>IF(OR(Paths!$C$126=0,C1325=0),0,MAX(0,MIN(C1325*12,Paths!$E$126)-(C1325-1)*12))</f>
        <v>0</v>
      </c>
      <c r="F1325" s="1">
        <f>IF(OR(Paths!$C$126=0,C1325=0),0,12-E1325)</f>
        <v>0</v>
      </c>
      <c r="G1325" s="16">
        <f>IF(NOT(Paths!$C$126=1),0,IF(Paths!$P$126="Complete",E1325/12*(Paths!$J$126*(1+'Operating costs'!$B$51)^MAX(0,C1325-1)+Paths!$K$126*(1+'Operating costs'!$B$53)^MAX(0,C1325-1)),"n.a."))</f>
        <v>0</v>
      </c>
      <c r="H1325" s="16">
        <f>IF(NOT(Paths!$C$126=1),0,IF(Paths!$P$126="Complete",F1325/12*(Paths!$L$126*(1+IF(Paths!$D$126="EV",'Operating costs'!$B$52,'Operating costs'!$B$51))^MAX(0,C1325-1)+Paths!$M$126*(1+'Operating costs'!$B$53)^MAX(0,C1325-1)),"n.a."))</f>
        <v>0</v>
      </c>
      <c r="I1325" s="16">
        <f>IF(NOT(Paths!$C$126=1),0,IF(Paths!$P$126="Complete",IF(IF(Paths!$E$126=0,C1325=0,AND(C1325&gt;0,Paths!$E$126&gt;(C1325-1)*12,Paths!$E$126&lt;=C1325*12)),Paths!$G$126,0),"n.a."))</f>
        <v>0</v>
      </c>
      <c r="J1325" s="16">
        <f>IF(NOT(Paths!$C$126=1),0,IF(Paths!$P$126="Complete",IF(IF(Paths!$E$126=0,C1325=0,AND(C1325&gt;0,Paths!$E$126&gt;(C1325-1)*12,Paths!$E$126&lt;=C1325*12)),Paths!$H$126,0),"n.a."))</f>
        <v>0</v>
      </c>
      <c r="K1325" s="16">
        <f>IF(NOT(Paths!$C$126=1),0,IF(Paths!$P$126="Complete",IF(IF(Paths!$O$126=0,C1325=0,AND(C1325&gt;0,Paths!$O$126&gt;(C1325-1)*12,Paths!$O$126&lt;=C1325*12)),Paths!$N$126,0),"n.a."))</f>
        <v>0</v>
      </c>
      <c r="L1325" s="16">
        <f>IF(NOT(Paths!$C$126=1),0,IF(Paths!$P$126="Complete",IF(C1325=10,Paths!$I$126,0),"n.a."))</f>
        <v>0</v>
      </c>
      <c r="M1325" s="16">
        <f>IF(NOT(Paths!$C$126=1),0,IF(Paths!$P$126="Complete",IF(AND(Paths!$D$126="EV",Paths!$E$126&lt;120,Paths!$E$126+'Operating costs'!$B$65&gt;Paths!$E$126,Paths!$E$126+'Operating costs'!$B$65&lt;=120,IF(Paths!$E$126+'Operating costs'!$B$65=0,C1325=0,AND(C1325&gt;0,Paths!$E$126+'Operating costs'!$B$65&gt;(C1325-1)*12,Paths!$E$126+'Operating costs'!$B$65&lt;=C1325*12))),'Operating costs'!$B$64,0)+IF(AND('Operating costs'!$B$67&gt;0,'Operating costs'!$B$67&lt;=120,OR(Paths!$D$126="ICE",'Operating costs'!$B$67&lt;=Paths!$E$126),IF('Operating costs'!$B$67=0,C1325=0,AND(C1325&gt;0,'Operating costs'!$B$67&gt;(C1325-1)*12,'Operating costs'!$B$67&lt;=C1325*12))),'Operating costs'!$B$66,0),"n.a."))</f>
        <v>0</v>
      </c>
      <c r="N1325" s="16">
        <f>IF(NOT(Paths!$C$126=1),0,IF(Paths!$P$126="Complete",SUM(G1325:I1325)-J1325-K1325-L1325+M1325+IF(C1325=0,Paths!$F$126,0)+IF(IF(Paths!$E$126=0,C1325=0,AND(C1325&gt;0,Paths!$E$126&gt;(C1325-1)*12,Paths!$E$126&lt;=C1325*12)),VLOOKUP(A1325,'Fleet register'!$A$7:$S$106,16,FALSE),0),"n.a."))</f>
        <v>0</v>
      </c>
      <c r="O1325" s="16">
        <f>IF(NOT(Paths!$C$126=1),0,IF(Paths!$P$126="Complete",N1325-IF(C1325=0,Paths!$F$126,0),"n.a."))</f>
        <v>0</v>
      </c>
      <c r="P1325" s="16">
        <f>IF(NOT(Paths!$C$126=1),0,IF(Paths!$P$126="Complete",O1325+L1325,"n.a."))</f>
        <v>0</v>
      </c>
      <c r="Q1325" s="16">
        <f>IF(NOT(Paths!$C$126=1),0,IF(Paths!$P$126="Complete",N1325*(1+'Operating costs'!$B$54)^-C1325,"n.a."))</f>
        <v>0</v>
      </c>
      <c r="R1325" s="16">
        <f>IF(NOT(Paths!$C$126=1),0,IF(Paths!$P$126="Complete",IF(AND(C1325=0,Paths!$E$126=0),I1325-J1325-K1325+VLOOKUP(A1325,'Fleet register'!$A$7:$S$106,15,FALSE)+VLOOKUP(A1325,'Fleet register'!$A$7:$S$106,16,FALSE),0),"n.a."))</f>
        <v>0</v>
      </c>
      <c r="S1325" s="1">
        <f>IF(NOT(Paths!$C$126=1),0,IF(Paths!$P$126="Complete",IF(C1325=0,0,Paths!$S$126*Paths!$R$126),"n.a."))</f>
        <v>0</v>
      </c>
      <c r="T1325" s="1">
        <f>IF(NOT(Paths!$C$126=1),0,IF(Paths!$P$126="Complete",IF(C1325=0,0,VLOOKUP(A1325,'Fleet register'!$A$7:$S$106,9,FALSE)*Paths!$R$126),"n.a."))</f>
        <v>0</v>
      </c>
    </row>
    <row r="1326" spans="1:20" ht="24" customHeight="1">
      <c r="A1326" s="1" t="str">
        <f>Paths!$A$126</f>
        <v>T030</v>
      </c>
      <c r="B1326" s="1">
        <f>Paths!$B$126</f>
        <v>3</v>
      </c>
      <c r="C1326" s="1">
        <v>10</v>
      </c>
      <c r="D1326" s="1">
        <v>126</v>
      </c>
      <c r="E1326" s="1">
        <f>IF(OR(Paths!$C$126=0,C1326=0),0,MAX(0,MIN(C1326*12,Paths!$E$126)-(C1326-1)*12))</f>
        <v>0</v>
      </c>
      <c r="F1326" s="1">
        <f>IF(OR(Paths!$C$126=0,C1326=0),0,12-E1326)</f>
        <v>0</v>
      </c>
      <c r="G1326" s="16">
        <f>IF(NOT(Paths!$C$126=1),0,IF(Paths!$P$126="Complete",E1326/12*(Paths!$J$126*(1+'Operating costs'!$B$51)^MAX(0,C1326-1)+Paths!$K$126*(1+'Operating costs'!$B$53)^MAX(0,C1326-1)),"n.a."))</f>
        <v>0</v>
      </c>
      <c r="H1326" s="16">
        <f>IF(NOT(Paths!$C$126=1),0,IF(Paths!$P$126="Complete",F1326/12*(Paths!$L$126*(1+IF(Paths!$D$126="EV",'Operating costs'!$B$52,'Operating costs'!$B$51))^MAX(0,C1326-1)+Paths!$M$126*(1+'Operating costs'!$B$53)^MAX(0,C1326-1)),"n.a."))</f>
        <v>0</v>
      </c>
      <c r="I1326" s="16">
        <f>IF(NOT(Paths!$C$126=1),0,IF(Paths!$P$126="Complete",IF(IF(Paths!$E$126=0,C1326=0,AND(C1326&gt;0,Paths!$E$126&gt;(C1326-1)*12,Paths!$E$126&lt;=C1326*12)),Paths!$G$126,0),"n.a."))</f>
        <v>0</v>
      </c>
      <c r="J1326" s="16">
        <f>IF(NOT(Paths!$C$126=1),0,IF(Paths!$P$126="Complete",IF(IF(Paths!$E$126=0,C1326=0,AND(C1326&gt;0,Paths!$E$126&gt;(C1326-1)*12,Paths!$E$126&lt;=C1326*12)),Paths!$H$126,0),"n.a."))</f>
        <v>0</v>
      </c>
      <c r="K1326" s="16">
        <f>IF(NOT(Paths!$C$126=1),0,IF(Paths!$P$126="Complete",IF(IF(Paths!$O$126=0,C1326=0,AND(C1326&gt;0,Paths!$O$126&gt;(C1326-1)*12,Paths!$O$126&lt;=C1326*12)),Paths!$N$126,0),"n.a."))</f>
        <v>0</v>
      </c>
      <c r="L1326" s="16">
        <f>IF(NOT(Paths!$C$126=1),0,IF(Paths!$P$126="Complete",IF(C1326=10,Paths!$I$126,0),"n.a."))</f>
        <v>0</v>
      </c>
      <c r="M1326" s="16">
        <f>IF(NOT(Paths!$C$126=1),0,IF(Paths!$P$126="Complete",IF(AND(Paths!$D$126="EV",Paths!$E$126&lt;120,Paths!$E$126+'Operating costs'!$B$65&gt;Paths!$E$126,Paths!$E$126+'Operating costs'!$B$65&lt;=120,IF(Paths!$E$126+'Operating costs'!$B$65=0,C1326=0,AND(C1326&gt;0,Paths!$E$126+'Operating costs'!$B$65&gt;(C1326-1)*12,Paths!$E$126+'Operating costs'!$B$65&lt;=C1326*12))),'Operating costs'!$B$64,0)+IF(AND('Operating costs'!$B$67&gt;0,'Operating costs'!$B$67&lt;=120,OR(Paths!$D$126="ICE",'Operating costs'!$B$67&lt;=Paths!$E$126),IF('Operating costs'!$B$67=0,C1326=0,AND(C1326&gt;0,'Operating costs'!$B$67&gt;(C1326-1)*12,'Operating costs'!$B$67&lt;=C1326*12))),'Operating costs'!$B$66,0),"n.a."))</f>
        <v>0</v>
      </c>
      <c r="N1326" s="16">
        <f>IF(NOT(Paths!$C$126=1),0,IF(Paths!$P$126="Complete",SUM(G1326:I1326)-J1326-K1326-L1326+M1326+IF(C1326=0,Paths!$F$126,0)+IF(IF(Paths!$E$126=0,C1326=0,AND(C1326&gt;0,Paths!$E$126&gt;(C1326-1)*12,Paths!$E$126&lt;=C1326*12)),VLOOKUP(A1326,'Fleet register'!$A$7:$S$106,16,FALSE),0),"n.a."))</f>
        <v>0</v>
      </c>
      <c r="O1326" s="16">
        <f>IF(NOT(Paths!$C$126=1),0,IF(Paths!$P$126="Complete",N1326-IF(C1326=0,Paths!$F$126,0),"n.a."))</f>
        <v>0</v>
      </c>
      <c r="P1326" s="16">
        <f>IF(NOT(Paths!$C$126=1),0,IF(Paths!$P$126="Complete",O1326+L1326,"n.a."))</f>
        <v>0</v>
      </c>
      <c r="Q1326" s="16">
        <f>IF(NOT(Paths!$C$126=1),0,IF(Paths!$P$126="Complete",N1326*(1+'Operating costs'!$B$54)^-C1326,"n.a."))</f>
        <v>0</v>
      </c>
      <c r="R1326" s="16">
        <f>IF(NOT(Paths!$C$126=1),0,IF(Paths!$P$126="Complete",IF(AND(C1326=0,Paths!$E$126=0),I1326-J1326-K1326+VLOOKUP(A1326,'Fleet register'!$A$7:$S$106,15,FALSE)+VLOOKUP(A1326,'Fleet register'!$A$7:$S$106,16,FALSE),0),"n.a."))</f>
        <v>0</v>
      </c>
      <c r="S1326" s="1">
        <f>IF(NOT(Paths!$C$126=1),0,IF(Paths!$P$126="Complete",IF(C1326=0,0,Paths!$S$126*Paths!$R$126),"n.a."))</f>
        <v>0</v>
      </c>
      <c r="T1326" s="1">
        <f>IF(NOT(Paths!$C$126=1),0,IF(Paths!$P$126="Complete",IF(C1326=0,0,VLOOKUP(A1326,'Fleet register'!$A$7:$S$106,9,FALSE)*Paths!$R$126),"n.a."))</f>
        <v>0</v>
      </c>
    </row>
    <row r="1327" spans="1:20" ht="24" customHeight="1">
      <c r="A1327" s="1" t="str">
        <f>Paths!$A$127</f>
        <v>T031</v>
      </c>
      <c r="B1327" s="1">
        <f>Paths!$B$127</f>
        <v>0</v>
      </c>
      <c r="C1327" s="1">
        <v>0</v>
      </c>
      <c r="D1327" s="1">
        <v>127</v>
      </c>
      <c r="E1327" s="1">
        <f>IF(OR(Paths!$C$127=0,C1327=0),0,MAX(0,MIN(C1327*12,Paths!$E$127)-(C1327-1)*12))</f>
        <v>0</v>
      </c>
      <c r="F1327" s="1">
        <f>IF(OR(Paths!$C$127=0,C1327=0),0,12-E1327)</f>
        <v>0</v>
      </c>
      <c r="G1327" s="16">
        <f>IF(NOT(Paths!$C$127=1),0,IF(Paths!$P$127="Complete",E1327/12*(Paths!$J$127*(1+'Operating costs'!$B$51)^MAX(0,C1327-1)+Paths!$K$127*(1+'Operating costs'!$B$53)^MAX(0,C1327-1)),"n.a."))</f>
        <v>0</v>
      </c>
      <c r="H1327" s="16">
        <f>IF(NOT(Paths!$C$127=1),0,IF(Paths!$P$127="Complete",F1327/12*(Paths!$L$127*(1+IF(Paths!$D$127="EV",'Operating costs'!$B$52,'Operating costs'!$B$51))^MAX(0,C1327-1)+Paths!$M$127*(1+'Operating costs'!$B$53)^MAX(0,C1327-1)),"n.a."))</f>
        <v>0</v>
      </c>
      <c r="I1327" s="16">
        <f>IF(NOT(Paths!$C$127=1),0,IF(Paths!$P$127="Complete",IF(IF(Paths!$E$127=0,C1327=0,AND(C1327&gt;0,Paths!$E$127&gt;(C1327-1)*12,Paths!$E$127&lt;=C1327*12)),Paths!$G$127,0),"n.a."))</f>
        <v>0</v>
      </c>
      <c r="J1327" s="16">
        <f>IF(NOT(Paths!$C$127=1),0,IF(Paths!$P$127="Complete",IF(IF(Paths!$E$127=0,C1327=0,AND(C1327&gt;0,Paths!$E$127&gt;(C1327-1)*12,Paths!$E$127&lt;=C1327*12)),Paths!$H$127,0),"n.a."))</f>
        <v>0</v>
      </c>
      <c r="K1327" s="16">
        <f>IF(NOT(Paths!$C$127=1),0,IF(Paths!$P$127="Complete",IF(IF(Paths!$O$127=0,C1327=0,AND(C1327&gt;0,Paths!$O$127&gt;(C1327-1)*12,Paths!$O$127&lt;=C1327*12)),Paths!$N$127,0),"n.a."))</f>
        <v>0</v>
      </c>
      <c r="L1327" s="16">
        <f>IF(NOT(Paths!$C$127=1),0,IF(Paths!$P$127="Complete",IF(C1327=10,Paths!$I$127,0),"n.a."))</f>
        <v>0</v>
      </c>
      <c r="M1327" s="16">
        <f>IF(NOT(Paths!$C$127=1),0,IF(Paths!$P$127="Complete",IF(AND(Paths!$D$127="EV",Paths!$E$127&lt;120,Paths!$E$127+'Operating costs'!$B$65&gt;Paths!$E$127,Paths!$E$127+'Operating costs'!$B$65&lt;=120,IF(Paths!$E$127+'Operating costs'!$B$65=0,C1327=0,AND(C1327&gt;0,Paths!$E$127+'Operating costs'!$B$65&gt;(C1327-1)*12,Paths!$E$127+'Operating costs'!$B$65&lt;=C1327*12))),'Operating costs'!$B$64,0)+IF(AND('Operating costs'!$B$67&gt;0,'Operating costs'!$B$67&lt;=120,OR(Paths!$D$127="ICE",'Operating costs'!$B$67&lt;=Paths!$E$127),IF('Operating costs'!$B$67=0,C1327=0,AND(C1327&gt;0,'Operating costs'!$B$67&gt;(C1327-1)*12,'Operating costs'!$B$67&lt;=C1327*12))),'Operating costs'!$B$66,0),"n.a."))</f>
        <v>0</v>
      </c>
      <c r="N1327" s="16">
        <f>IF(NOT(Paths!$C$127=1),0,IF(Paths!$P$127="Complete",SUM(G1327:I1327)-J1327-K1327-L1327+M1327+IF(C1327=0,Paths!$F$127,0)+IF(IF(Paths!$E$127=0,C1327=0,AND(C1327&gt;0,Paths!$E$127&gt;(C1327-1)*12,Paths!$E$127&lt;=C1327*12)),VLOOKUP(A1327,'Fleet register'!$A$7:$S$106,16,FALSE),0),"n.a."))</f>
        <v>0</v>
      </c>
      <c r="O1327" s="16">
        <f>IF(NOT(Paths!$C$127=1),0,IF(Paths!$P$127="Complete",N1327-IF(C1327=0,Paths!$F$127,0),"n.a."))</f>
        <v>0</v>
      </c>
      <c r="P1327" s="16">
        <f>IF(NOT(Paths!$C$127=1),0,IF(Paths!$P$127="Complete",O1327+L1327,"n.a."))</f>
        <v>0</v>
      </c>
      <c r="Q1327" s="16">
        <f>IF(NOT(Paths!$C$127=1),0,IF(Paths!$P$127="Complete",N1327*(1+'Operating costs'!$B$54)^-C1327,"n.a."))</f>
        <v>0</v>
      </c>
      <c r="R1327" s="16">
        <f>IF(NOT(Paths!$C$127=1),0,IF(Paths!$P$127="Complete",IF(AND(C1327=0,Paths!$E$127=0),I1327-J1327-K1327+VLOOKUP(A1327,'Fleet register'!$A$7:$S$106,15,FALSE)+VLOOKUP(A1327,'Fleet register'!$A$7:$S$106,16,FALSE),0),"n.a."))</f>
        <v>0</v>
      </c>
      <c r="S1327" s="1">
        <f>IF(NOT(Paths!$C$127=1),0,IF(Paths!$P$127="Complete",IF(C1327=0,0,Paths!$S$127*Paths!$R$127),"n.a."))</f>
        <v>0</v>
      </c>
      <c r="T1327" s="1">
        <f>IF(NOT(Paths!$C$127=1),0,IF(Paths!$P$127="Complete",IF(C1327=0,0,VLOOKUP(A1327,'Fleet register'!$A$7:$S$106,9,FALSE)*Paths!$R$127),"n.a."))</f>
        <v>0</v>
      </c>
    </row>
    <row r="1328" spans="1:20" ht="24" customHeight="1">
      <c r="A1328" s="1" t="str">
        <f>Paths!$A$127</f>
        <v>T031</v>
      </c>
      <c r="B1328" s="1">
        <f>Paths!$B$127</f>
        <v>0</v>
      </c>
      <c r="C1328" s="1">
        <v>1</v>
      </c>
      <c r="D1328" s="1">
        <v>127</v>
      </c>
      <c r="E1328" s="1">
        <f>IF(OR(Paths!$C$127=0,C1328=0),0,MAX(0,MIN(C1328*12,Paths!$E$127)-(C1328-1)*12))</f>
        <v>0</v>
      </c>
      <c r="F1328" s="1">
        <f>IF(OR(Paths!$C$127=0,C1328=0),0,12-E1328)</f>
        <v>0</v>
      </c>
      <c r="G1328" s="16">
        <f>IF(NOT(Paths!$C$127=1),0,IF(Paths!$P$127="Complete",E1328/12*(Paths!$J$127*(1+'Operating costs'!$B$51)^MAX(0,C1328-1)+Paths!$K$127*(1+'Operating costs'!$B$53)^MAX(0,C1328-1)),"n.a."))</f>
        <v>0</v>
      </c>
      <c r="H1328" s="16">
        <f>IF(NOT(Paths!$C$127=1),0,IF(Paths!$P$127="Complete",F1328/12*(Paths!$L$127*(1+IF(Paths!$D$127="EV",'Operating costs'!$B$52,'Operating costs'!$B$51))^MAX(0,C1328-1)+Paths!$M$127*(1+'Operating costs'!$B$53)^MAX(0,C1328-1)),"n.a."))</f>
        <v>0</v>
      </c>
      <c r="I1328" s="16">
        <f>IF(NOT(Paths!$C$127=1),0,IF(Paths!$P$127="Complete",IF(IF(Paths!$E$127=0,C1328=0,AND(C1328&gt;0,Paths!$E$127&gt;(C1328-1)*12,Paths!$E$127&lt;=C1328*12)),Paths!$G$127,0),"n.a."))</f>
        <v>0</v>
      </c>
      <c r="J1328" s="16">
        <f>IF(NOT(Paths!$C$127=1),0,IF(Paths!$P$127="Complete",IF(IF(Paths!$E$127=0,C1328=0,AND(C1328&gt;0,Paths!$E$127&gt;(C1328-1)*12,Paths!$E$127&lt;=C1328*12)),Paths!$H$127,0),"n.a."))</f>
        <v>0</v>
      </c>
      <c r="K1328" s="16">
        <f>IF(NOT(Paths!$C$127=1),0,IF(Paths!$P$127="Complete",IF(IF(Paths!$O$127=0,C1328=0,AND(C1328&gt;0,Paths!$O$127&gt;(C1328-1)*12,Paths!$O$127&lt;=C1328*12)),Paths!$N$127,0),"n.a."))</f>
        <v>0</v>
      </c>
      <c r="L1328" s="16">
        <f>IF(NOT(Paths!$C$127=1),0,IF(Paths!$P$127="Complete",IF(C1328=10,Paths!$I$127,0),"n.a."))</f>
        <v>0</v>
      </c>
      <c r="M1328" s="16">
        <f>IF(NOT(Paths!$C$127=1),0,IF(Paths!$P$127="Complete",IF(AND(Paths!$D$127="EV",Paths!$E$127&lt;120,Paths!$E$127+'Operating costs'!$B$65&gt;Paths!$E$127,Paths!$E$127+'Operating costs'!$B$65&lt;=120,IF(Paths!$E$127+'Operating costs'!$B$65=0,C1328=0,AND(C1328&gt;0,Paths!$E$127+'Operating costs'!$B$65&gt;(C1328-1)*12,Paths!$E$127+'Operating costs'!$B$65&lt;=C1328*12))),'Operating costs'!$B$64,0)+IF(AND('Operating costs'!$B$67&gt;0,'Operating costs'!$B$67&lt;=120,OR(Paths!$D$127="ICE",'Operating costs'!$B$67&lt;=Paths!$E$127),IF('Operating costs'!$B$67=0,C1328=0,AND(C1328&gt;0,'Operating costs'!$B$67&gt;(C1328-1)*12,'Operating costs'!$B$67&lt;=C1328*12))),'Operating costs'!$B$66,0),"n.a."))</f>
        <v>0</v>
      </c>
      <c r="N1328" s="16">
        <f>IF(NOT(Paths!$C$127=1),0,IF(Paths!$P$127="Complete",SUM(G1328:I1328)-J1328-K1328-L1328+M1328+IF(C1328=0,Paths!$F$127,0)+IF(IF(Paths!$E$127=0,C1328=0,AND(C1328&gt;0,Paths!$E$127&gt;(C1328-1)*12,Paths!$E$127&lt;=C1328*12)),VLOOKUP(A1328,'Fleet register'!$A$7:$S$106,16,FALSE),0),"n.a."))</f>
        <v>0</v>
      </c>
      <c r="O1328" s="16">
        <f>IF(NOT(Paths!$C$127=1),0,IF(Paths!$P$127="Complete",N1328-IF(C1328=0,Paths!$F$127,0),"n.a."))</f>
        <v>0</v>
      </c>
      <c r="P1328" s="16">
        <f>IF(NOT(Paths!$C$127=1),0,IF(Paths!$P$127="Complete",O1328+L1328,"n.a."))</f>
        <v>0</v>
      </c>
      <c r="Q1328" s="16">
        <f>IF(NOT(Paths!$C$127=1),0,IF(Paths!$P$127="Complete",N1328*(1+'Operating costs'!$B$54)^-C1328,"n.a."))</f>
        <v>0</v>
      </c>
      <c r="R1328" s="16">
        <f>IF(NOT(Paths!$C$127=1),0,IF(Paths!$P$127="Complete",IF(AND(C1328=0,Paths!$E$127=0),I1328-J1328-K1328+VLOOKUP(A1328,'Fleet register'!$A$7:$S$106,15,FALSE)+VLOOKUP(A1328,'Fleet register'!$A$7:$S$106,16,FALSE),0),"n.a."))</f>
        <v>0</v>
      </c>
      <c r="S1328" s="1">
        <f>IF(NOT(Paths!$C$127=1),0,IF(Paths!$P$127="Complete",IF(C1328=0,0,Paths!$S$127*Paths!$R$127),"n.a."))</f>
        <v>0</v>
      </c>
      <c r="T1328" s="1">
        <f>IF(NOT(Paths!$C$127=1),0,IF(Paths!$P$127="Complete",IF(C1328=0,0,VLOOKUP(A1328,'Fleet register'!$A$7:$S$106,9,FALSE)*Paths!$R$127),"n.a."))</f>
        <v>0</v>
      </c>
    </row>
    <row r="1329" spans="1:20" ht="24" customHeight="1">
      <c r="A1329" s="1" t="str">
        <f>Paths!$A$127</f>
        <v>T031</v>
      </c>
      <c r="B1329" s="1">
        <f>Paths!$B$127</f>
        <v>0</v>
      </c>
      <c r="C1329" s="1">
        <v>2</v>
      </c>
      <c r="D1329" s="1">
        <v>127</v>
      </c>
      <c r="E1329" s="1">
        <f>IF(OR(Paths!$C$127=0,C1329=0),0,MAX(0,MIN(C1329*12,Paths!$E$127)-(C1329-1)*12))</f>
        <v>0</v>
      </c>
      <c r="F1329" s="1">
        <f>IF(OR(Paths!$C$127=0,C1329=0),0,12-E1329)</f>
        <v>0</v>
      </c>
      <c r="G1329" s="16">
        <f>IF(NOT(Paths!$C$127=1),0,IF(Paths!$P$127="Complete",E1329/12*(Paths!$J$127*(1+'Operating costs'!$B$51)^MAX(0,C1329-1)+Paths!$K$127*(1+'Operating costs'!$B$53)^MAX(0,C1329-1)),"n.a."))</f>
        <v>0</v>
      </c>
      <c r="H1329" s="16">
        <f>IF(NOT(Paths!$C$127=1),0,IF(Paths!$P$127="Complete",F1329/12*(Paths!$L$127*(1+IF(Paths!$D$127="EV",'Operating costs'!$B$52,'Operating costs'!$B$51))^MAX(0,C1329-1)+Paths!$M$127*(1+'Operating costs'!$B$53)^MAX(0,C1329-1)),"n.a."))</f>
        <v>0</v>
      </c>
      <c r="I1329" s="16">
        <f>IF(NOT(Paths!$C$127=1),0,IF(Paths!$P$127="Complete",IF(IF(Paths!$E$127=0,C1329=0,AND(C1329&gt;0,Paths!$E$127&gt;(C1329-1)*12,Paths!$E$127&lt;=C1329*12)),Paths!$G$127,0),"n.a."))</f>
        <v>0</v>
      </c>
      <c r="J1329" s="16">
        <f>IF(NOT(Paths!$C$127=1),0,IF(Paths!$P$127="Complete",IF(IF(Paths!$E$127=0,C1329=0,AND(C1329&gt;0,Paths!$E$127&gt;(C1329-1)*12,Paths!$E$127&lt;=C1329*12)),Paths!$H$127,0),"n.a."))</f>
        <v>0</v>
      </c>
      <c r="K1329" s="16">
        <f>IF(NOT(Paths!$C$127=1),0,IF(Paths!$P$127="Complete",IF(IF(Paths!$O$127=0,C1329=0,AND(C1329&gt;0,Paths!$O$127&gt;(C1329-1)*12,Paths!$O$127&lt;=C1329*12)),Paths!$N$127,0),"n.a."))</f>
        <v>0</v>
      </c>
      <c r="L1329" s="16">
        <f>IF(NOT(Paths!$C$127=1),0,IF(Paths!$P$127="Complete",IF(C1329=10,Paths!$I$127,0),"n.a."))</f>
        <v>0</v>
      </c>
      <c r="M1329" s="16">
        <f>IF(NOT(Paths!$C$127=1),0,IF(Paths!$P$127="Complete",IF(AND(Paths!$D$127="EV",Paths!$E$127&lt;120,Paths!$E$127+'Operating costs'!$B$65&gt;Paths!$E$127,Paths!$E$127+'Operating costs'!$B$65&lt;=120,IF(Paths!$E$127+'Operating costs'!$B$65=0,C1329=0,AND(C1329&gt;0,Paths!$E$127+'Operating costs'!$B$65&gt;(C1329-1)*12,Paths!$E$127+'Operating costs'!$B$65&lt;=C1329*12))),'Operating costs'!$B$64,0)+IF(AND('Operating costs'!$B$67&gt;0,'Operating costs'!$B$67&lt;=120,OR(Paths!$D$127="ICE",'Operating costs'!$B$67&lt;=Paths!$E$127),IF('Operating costs'!$B$67=0,C1329=0,AND(C1329&gt;0,'Operating costs'!$B$67&gt;(C1329-1)*12,'Operating costs'!$B$67&lt;=C1329*12))),'Operating costs'!$B$66,0),"n.a."))</f>
        <v>0</v>
      </c>
      <c r="N1329" s="16">
        <f>IF(NOT(Paths!$C$127=1),0,IF(Paths!$P$127="Complete",SUM(G1329:I1329)-J1329-K1329-L1329+M1329+IF(C1329=0,Paths!$F$127,0)+IF(IF(Paths!$E$127=0,C1329=0,AND(C1329&gt;0,Paths!$E$127&gt;(C1329-1)*12,Paths!$E$127&lt;=C1329*12)),VLOOKUP(A1329,'Fleet register'!$A$7:$S$106,16,FALSE),0),"n.a."))</f>
        <v>0</v>
      </c>
      <c r="O1329" s="16">
        <f>IF(NOT(Paths!$C$127=1),0,IF(Paths!$P$127="Complete",N1329-IF(C1329=0,Paths!$F$127,0),"n.a."))</f>
        <v>0</v>
      </c>
      <c r="P1329" s="16">
        <f>IF(NOT(Paths!$C$127=1),0,IF(Paths!$P$127="Complete",O1329+L1329,"n.a."))</f>
        <v>0</v>
      </c>
      <c r="Q1329" s="16">
        <f>IF(NOT(Paths!$C$127=1),0,IF(Paths!$P$127="Complete",N1329*(1+'Operating costs'!$B$54)^-C1329,"n.a."))</f>
        <v>0</v>
      </c>
      <c r="R1329" s="16">
        <f>IF(NOT(Paths!$C$127=1),0,IF(Paths!$P$127="Complete",IF(AND(C1329=0,Paths!$E$127=0),I1329-J1329-K1329+VLOOKUP(A1329,'Fleet register'!$A$7:$S$106,15,FALSE)+VLOOKUP(A1329,'Fleet register'!$A$7:$S$106,16,FALSE),0),"n.a."))</f>
        <v>0</v>
      </c>
      <c r="S1329" s="1">
        <f>IF(NOT(Paths!$C$127=1),0,IF(Paths!$P$127="Complete",IF(C1329=0,0,Paths!$S$127*Paths!$R$127),"n.a."))</f>
        <v>0</v>
      </c>
      <c r="T1329" s="1">
        <f>IF(NOT(Paths!$C$127=1),0,IF(Paths!$P$127="Complete",IF(C1329=0,0,VLOOKUP(A1329,'Fleet register'!$A$7:$S$106,9,FALSE)*Paths!$R$127),"n.a."))</f>
        <v>0</v>
      </c>
    </row>
    <row r="1330" spans="1:20" ht="24" customHeight="1">
      <c r="A1330" s="1" t="str">
        <f>Paths!$A$127</f>
        <v>T031</v>
      </c>
      <c r="B1330" s="1">
        <f>Paths!$B$127</f>
        <v>0</v>
      </c>
      <c r="C1330" s="1">
        <v>3</v>
      </c>
      <c r="D1330" s="1">
        <v>127</v>
      </c>
      <c r="E1330" s="1">
        <f>IF(OR(Paths!$C$127=0,C1330=0),0,MAX(0,MIN(C1330*12,Paths!$E$127)-(C1330-1)*12))</f>
        <v>0</v>
      </c>
      <c r="F1330" s="1">
        <f>IF(OR(Paths!$C$127=0,C1330=0),0,12-E1330)</f>
        <v>0</v>
      </c>
      <c r="G1330" s="16">
        <f>IF(NOT(Paths!$C$127=1),0,IF(Paths!$P$127="Complete",E1330/12*(Paths!$J$127*(1+'Operating costs'!$B$51)^MAX(0,C1330-1)+Paths!$K$127*(1+'Operating costs'!$B$53)^MAX(0,C1330-1)),"n.a."))</f>
        <v>0</v>
      </c>
      <c r="H1330" s="16">
        <f>IF(NOT(Paths!$C$127=1),0,IF(Paths!$P$127="Complete",F1330/12*(Paths!$L$127*(1+IF(Paths!$D$127="EV",'Operating costs'!$B$52,'Operating costs'!$B$51))^MAX(0,C1330-1)+Paths!$M$127*(1+'Operating costs'!$B$53)^MAX(0,C1330-1)),"n.a."))</f>
        <v>0</v>
      </c>
      <c r="I1330" s="16">
        <f>IF(NOT(Paths!$C$127=1),0,IF(Paths!$P$127="Complete",IF(IF(Paths!$E$127=0,C1330=0,AND(C1330&gt;0,Paths!$E$127&gt;(C1330-1)*12,Paths!$E$127&lt;=C1330*12)),Paths!$G$127,0),"n.a."))</f>
        <v>0</v>
      </c>
      <c r="J1330" s="16">
        <f>IF(NOT(Paths!$C$127=1),0,IF(Paths!$P$127="Complete",IF(IF(Paths!$E$127=0,C1330=0,AND(C1330&gt;0,Paths!$E$127&gt;(C1330-1)*12,Paths!$E$127&lt;=C1330*12)),Paths!$H$127,0),"n.a."))</f>
        <v>0</v>
      </c>
      <c r="K1330" s="16">
        <f>IF(NOT(Paths!$C$127=1),0,IF(Paths!$P$127="Complete",IF(IF(Paths!$O$127=0,C1330=0,AND(C1330&gt;0,Paths!$O$127&gt;(C1330-1)*12,Paths!$O$127&lt;=C1330*12)),Paths!$N$127,0),"n.a."))</f>
        <v>0</v>
      </c>
      <c r="L1330" s="16">
        <f>IF(NOT(Paths!$C$127=1),0,IF(Paths!$P$127="Complete",IF(C1330=10,Paths!$I$127,0),"n.a."))</f>
        <v>0</v>
      </c>
      <c r="M1330" s="16">
        <f>IF(NOT(Paths!$C$127=1),0,IF(Paths!$P$127="Complete",IF(AND(Paths!$D$127="EV",Paths!$E$127&lt;120,Paths!$E$127+'Operating costs'!$B$65&gt;Paths!$E$127,Paths!$E$127+'Operating costs'!$B$65&lt;=120,IF(Paths!$E$127+'Operating costs'!$B$65=0,C1330=0,AND(C1330&gt;0,Paths!$E$127+'Operating costs'!$B$65&gt;(C1330-1)*12,Paths!$E$127+'Operating costs'!$B$65&lt;=C1330*12))),'Operating costs'!$B$64,0)+IF(AND('Operating costs'!$B$67&gt;0,'Operating costs'!$B$67&lt;=120,OR(Paths!$D$127="ICE",'Operating costs'!$B$67&lt;=Paths!$E$127),IF('Operating costs'!$B$67=0,C1330=0,AND(C1330&gt;0,'Operating costs'!$B$67&gt;(C1330-1)*12,'Operating costs'!$B$67&lt;=C1330*12))),'Operating costs'!$B$66,0),"n.a."))</f>
        <v>0</v>
      </c>
      <c r="N1330" s="16">
        <f>IF(NOT(Paths!$C$127=1),0,IF(Paths!$P$127="Complete",SUM(G1330:I1330)-J1330-K1330-L1330+M1330+IF(C1330=0,Paths!$F$127,0)+IF(IF(Paths!$E$127=0,C1330=0,AND(C1330&gt;0,Paths!$E$127&gt;(C1330-1)*12,Paths!$E$127&lt;=C1330*12)),VLOOKUP(A1330,'Fleet register'!$A$7:$S$106,16,FALSE),0),"n.a."))</f>
        <v>0</v>
      </c>
      <c r="O1330" s="16">
        <f>IF(NOT(Paths!$C$127=1),0,IF(Paths!$P$127="Complete",N1330-IF(C1330=0,Paths!$F$127,0),"n.a."))</f>
        <v>0</v>
      </c>
      <c r="P1330" s="16">
        <f>IF(NOT(Paths!$C$127=1),0,IF(Paths!$P$127="Complete",O1330+L1330,"n.a."))</f>
        <v>0</v>
      </c>
      <c r="Q1330" s="16">
        <f>IF(NOT(Paths!$C$127=1),0,IF(Paths!$P$127="Complete",N1330*(1+'Operating costs'!$B$54)^-C1330,"n.a."))</f>
        <v>0</v>
      </c>
      <c r="R1330" s="16">
        <f>IF(NOT(Paths!$C$127=1),0,IF(Paths!$P$127="Complete",IF(AND(C1330=0,Paths!$E$127=0),I1330-J1330-K1330+VLOOKUP(A1330,'Fleet register'!$A$7:$S$106,15,FALSE)+VLOOKUP(A1330,'Fleet register'!$A$7:$S$106,16,FALSE),0),"n.a."))</f>
        <v>0</v>
      </c>
      <c r="S1330" s="1">
        <f>IF(NOT(Paths!$C$127=1),0,IF(Paths!$P$127="Complete",IF(C1330=0,0,Paths!$S$127*Paths!$R$127),"n.a."))</f>
        <v>0</v>
      </c>
      <c r="T1330" s="1">
        <f>IF(NOT(Paths!$C$127=1),0,IF(Paths!$P$127="Complete",IF(C1330=0,0,VLOOKUP(A1330,'Fleet register'!$A$7:$S$106,9,FALSE)*Paths!$R$127),"n.a."))</f>
        <v>0</v>
      </c>
    </row>
    <row r="1331" spans="1:20" ht="24" customHeight="1">
      <c r="A1331" s="1" t="str">
        <f>Paths!$A$127</f>
        <v>T031</v>
      </c>
      <c r="B1331" s="1">
        <f>Paths!$B$127</f>
        <v>0</v>
      </c>
      <c r="C1331" s="1">
        <v>4</v>
      </c>
      <c r="D1331" s="1">
        <v>127</v>
      </c>
      <c r="E1331" s="1">
        <f>IF(OR(Paths!$C$127=0,C1331=0),0,MAX(0,MIN(C1331*12,Paths!$E$127)-(C1331-1)*12))</f>
        <v>0</v>
      </c>
      <c r="F1331" s="1">
        <f>IF(OR(Paths!$C$127=0,C1331=0),0,12-E1331)</f>
        <v>0</v>
      </c>
      <c r="G1331" s="16">
        <f>IF(NOT(Paths!$C$127=1),0,IF(Paths!$P$127="Complete",E1331/12*(Paths!$J$127*(1+'Operating costs'!$B$51)^MAX(0,C1331-1)+Paths!$K$127*(1+'Operating costs'!$B$53)^MAX(0,C1331-1)),"n.a."))</f>
        <v>0</v>
      </c>
      <c r="H1331" s="16">
        <f>IF(NOT(Paths!$C$127=1),0,IF(Paths!$P$127="Complete",F1331/12*(Paths!$L$127*(1+IF(Paths!$D$127="EV",'Operating costs'!$B$52,'Operating costs'!$B$51))^MAX(0,C1331-1)+Paths!$M$127*(1+'Operating costs'!$B$53)^MAX(0,C1331-1)),"n.a."))</f>
        <v>0</v>
      </c>
      <c r="I1331" s="16">
        <f>IF(NOT(Paths!$C$127=1),0,IF(Paths!$P$127="Complete",IF(IF(Paths!$E$127=0,C1331=0,AND(C1331&gt;0,Paths!$E$127&gt;(C1331-1)*12,Paths!$E$127&lt;=C1331*12)),Paths!$G$127,0),"n.a."))</f>
        <v>0</v>
      </c>
      <c r="J1331" s="16">
        <f>IF(NOT(Paths!$C$127=1),0,IF(Paths!$P$127="Complete",IF(IF(Paths!$E$127=0,C1331=0,AND(C1331&gt;0,Paths!$E$127&gt;(C1331-1)*12,Paths!$E$127&lt;=C1331*12)),Paths!$H$127,0),"n.a."))</f>
        <v>0</v>
      </c>
      <c r="K1331" s="16">
        <f>IF(NOT(Paths!$C$127=1),0,IF(Paths!$P$127="Complete",IF(IF(Paths!$O$127=0,C1331=0,AND(C1331&gt;0,Paths!$O$127&gt;(C1331-1)*12,Paths!$O$127&lt;=C1331*12)),Paths!$N$127,0),"n.a."))</f>
        <v>0</v>
      </c>
      <c r="L1331" s="16">
        <f>IF(NOT(Paths!$C$127=1),0,IF(Paths!$P$127="Complete",IF(C1331=10,Paths!$I$127,0),"n.a."))</f>
        <v>0</v>
      </c>
      <c r="M1331" s="16">
        <f>IF(NOT(Paths!$C$127=1),0,IF(Paths!$P$127="Complete",IF(AND(Paths!$D$127="EV",Paths!$E$127&lt;120,Paths!$E$127+'Operating costs'!$B$65&gt;Paths!$E$127,Paths!$E$127+'Operating costs'!$B$65&lt;=120,IF(Paths!$E$127+'Operating costs'!$B$65=0,C1331=0,AND(C1331&gt;0,Paths!$E$127+'Operating costs'!$B$65&gt;(C1331-1)*12,Paths!$E$127+'Operating costs'!$B$65&lt;=C1331*12))),'Operating costs'!$B$64,0)+IF(AND('Operating costs'!$B$67&gt;0,'Operating costs'!$B$67&lt;=120,OR(Paths!$D$127="ICE",'Operating costs'!$B$67&lt;=Paths!$E$127),IF('Operating costs'!$B$67=0,C1331=0,AND(C1331&gt;0,'Operating costs'!$B$67&gt;(C1331-1)*12,'Operating costs'!$B$67&lt;=C1331*12))),'Operating costs'!$B$66,0),"n.a."))</f>
        <v>0</v>
      </c>
      <c r="N1331" s="16">
        <f>IF(NOT(Paths!$C$127=1),0,IF(Paths!$P$127="Complete",SUM(G1331:I1331)-J1331-K1331-L1331+M1331+IF(C1331=0,Paths!$F$127,0)+IF(IF(Paths!$E$127=0,C1331=0,AND(C1331&gt;0,Paths!$E$127&gt;(C1331-1)*12,Paths!$E$127&lt;=C1331*12)),VLOOKUP(A1331,'Fleet register'!$A$7:$S$106,16,FALSE),0),"n.a."))</f>
        <v>0</v>
      </c>
      <c r="O1331" s="16">
        <f>IF(NOT(Paths!$C$127=1),0,IF(Paths!$P$127="Complete",N1331-IF(C1331=0,Paths!$F$127,0),"n.a."))</f>
        <v>0</v>
      </c>
      <c r="P1331" s="16">
        <f>IF(NOT(Paths!$C$127=1),0,IF(Paths!$P$127="Complete",O1331+L1331,"n.a."))</f>
        <v>0</v>
      </c>
      <c r="Q1331" s="16">
        <f>IF(NOT(Paths!$C$127=1),0,IF(Paths!$P$127="Complete",N1331*(1+'Operating costs'!$B$54)^-C1331,"n.a."))</f>
        <v>0</v>
      </c>
      <c r="R1331" s="16">
        <f>IF(NOT(Paths!$C$127=1),0,IF(Paths!$P$127="Complete",IF(AND(C1331=0,Paths!$E$127=0),I1331-J1331-K1331+VLOOKUP(A1331,'Fleet register'!$A$7:$S$106,15,FALSE)+VLOOKUP(A1331,'Fleet register'!$A$7:$S$106,16,FALSE),0),"n.a."))</f>
        <v>0</v>
      </c>
      <c r="S1331" s="1">
        <f>IF(NOT(Paths!$C$127=1),0,IF(Paths!$P$127="Complete",IF(C1331=0,0,Paths!$S$127*Paths!$R$127),"n.a."))</f>
        <v>0</v>
      </c>
      <c r="T1331" s="1">
        <f>IF(NOT(Paths!$C$127=1),0,IF(Paths!$P$127="Complete",IF(C1331=0,0,VLOOKUP(A1331,'Fleet register'!$A$7:$S$106,9,FALSE)*Paths!$R$127),"n.a."))</f>
        <v>0</v>
      </c>
    </row>
    <row r="1332" spans="1:20" ht="24" customHeight="1">
      <c r="A1332" s="1" t="str">
        <f>Paths!$A$127</f>
        <v>T031</v>
      </c>
      <c r="B1332" s="1">
        <f>Paths!$B$127</f>
        <v>0</v>
      </c>
      <c r="C1332" s="1">
        <v>5</v>
      </c>
      <c r="D1332" s="1">
        <v>127</v>
      </c>
      <c r="E1332" s="1">
        <f>IF(OR(Paths!$C$127=0,C1332=0),0,MAX(0,MIN(C1332*12,Paths!$E$127)-(C1332-1)*12))</f>
        <v>0</v>
      </c>
      <c r="F1332" s="1">
        <f>IF(OR(Paths!$C$127=0,C1332=0),0,12-E1332)</f>
        <v>0</v>
      </c>
      <c r="G1332" s="16">
        <f>IF(NOT(Paths!$C$127=1),0,IF(Paths!$P$127="Complete",E1332/12*(Paths!$J$127*(1+'Operating costs'!$B$51)^MAX(0,C1332-1)+Paths!$K$127*(1+'Operating costs'!$B$53)^MAX(0,C1332-1)),"n.a."))</f>
        <v>0</v>
      </c>
      <c r="H1332" s="16">
        <f>IF(NOT(Paths!$C$127=1),0,IF(Paths!$P$127="Complete",F1332/12*(Paths!$L$127*(1+IF(Paths!$D$127="EV",'Operating costs'!$B$52,'Operating costs'!$B$51))^MAX(0,C1332-1)+Paths!$M$127*(1+'Operating costs'!$B$53)^MAX(0,C1332-1)),"n.a."))</f>
        <v>0</v>
      </c>
      <c r="I1332" s="16">
        <f>IF(NOT(Paths!$C$127=1),0,IF(Paths!$P$127="Complete",IF(IF(Paths!$E$127=0,C1332=0,AND(C1332&gt;0,Paths!$E$127&gt;(C1332-1)*12,Paths!$E$127&lt;=C1332*12)),Paths!$G$127,0),"n.a."))</f>
        <v>0</v>
      </c>
      <c r="J1332" s="16">
        <f>IF(NOT(Paths!$C$127=1),0,IF(Paths!$P$127="Complete",IF(IF(Paths!$E$127=0,C1332=0,AND(C1332&gt;0,Paths!$E$127&gt;(C1332-1)*12,Paths!$E$127&lt;=C1332*12)),Paths!$H$127,0),"n.a."))</f>
        <v>0</v>
      </c>
      <c r="K1332" s="16">
        <f>IF(NOT(Paths!$C$127=1),0,IF(Paths!$P$127="Complete",IF(IF(Paths!$O$127=0,C1332=0,AND(C1332&gt;0,Paths!$O$127&gt;(C1332-1)*12,Paths!$O$127&lt;=C1332*12)),Paths!$N$127,0),"n.a."))</f>
        <v>0</v>
      </c>
      <c r="L1332" s="16">
        <f>IF(NOT(Paths!$C$127=1),0,IF(Paths!$P$127="Complete",IF(C1332=10,Paths!$I$127,0),"n.a."))</f>
        <v>0</v>
      </c>
      <c r="M1332" s="16">
        <f>IF(NOT(Paths!$C$127=1),0,IF(Paths!$P$127="Complete",IF(AND(Paths!$D$127="EV",Paths!$E$127&lt;120,Paths!$E$127+'Operating costs'!$B$65&gt;Paths!$E$127,Paths!$E$127+'Operating costs'!$B$65&lt;=120,IF(Paths!$E$127+'Operating costs'!$B$65=0,C1332=0,AND(C1332&gt;0,Paths!$E$127+'Operating costs'!$B$65&gt;(C1332-1)*12,Paths!$E$127+'Operating costs'!$B$65&lt;=C1332*12))),'Operating costs'!$B$64,0)+IF(AND('Operating costs'!$B$67&gt;0,'Operating costs'!$B$67&lt;=120,OR(Paths!$D$127="ICE",'Operating costs'!$B$67&lt;=Paths!$E$127),IF('Operating costs'!$B$67=0,C1332=0,AND(C1332&gt;0,'Operating costs'!$B$67&gt;(C1332-1)*12,'Operating costs'!$B$67&lt;=C1332*12))),'Operating costs'!$B$66,0),"n.a."))</f>
        <v>0</v>
      </c>
      <c r="N1332" s="16">
        <f>IF(NOT(Paths!$C$127=1),0,IF(Paths!$P$127="Complete",SUM(G1332:I1332)-J1332-K1332-L1332+M1332+IF(C1332=0,Paths!$F$127,0)+IF(IF(Paths!$E$127=0,C1332=0,AND(C1332&gt;0,Paths!$E$127&gt;(C1332-1)*12,Paths!$E$127&lt;=C1332*12)),VLOOKUP(A1332,'Fleet register'!$A$7:$S$106,16,FALSE),0),"n.a."))</f>
        <v>0</v>
      </c>
      <c r="O1332" s="16">
        <f>IF(NOT(Paths!$C$127=1),0,IF(Paths!$P$127="Complete",N1332-IF(C1332=0,Paths!$F$127,0),"n.a."))</f>
        <v>0</v>
      </c>
      <c r="P1332" s="16">
        <f>IF(NOT(Paths!$C$127=1),0,IF(Paths!$P$127="Complete",O1332+L1332,"n.a."))</f>
        <v>0</v>
      </c>
      <c r="Q1332" s="16">
        <f>IF(NOT(Paths!$C$127=1),0,IF(Paths!$P$127="Complete",N1332*(1+'Operating costs'!$B$54)^-C1332,"n.a."))</f>
        <v>0</v>
      </c>
      <c r="R1332" s="16">
        <f>IF(NOT(Paths!$C$127=1),0,IF(Paths!$P$127="Complete",IF(AND(C1332=0,Paths!$E$127=0),I1332-J1332-K1332+VLOOKUP(A1332,'Fleet register'!$A$7:$S$106,15,FALSE)+VLOOKUP(A1332,'Fleet register'!$A$7:$S$106,16,FALSE),0),"n.a."))</f>
        <v>0</v>
      </c>
      <c r="S1332" s="1">
        <f>IF(NOT(Paths!$C$127=1),0,IF(Paths!$P$127="Complete",IF(C1332=0,0,Paths!$S$127*Paths!$R$127),"n.a."))</f>
        <v>0</v>
      </c>
      <c r="T1332" s="1">
        <f>IF(NOT(Paths!$C$127=1),0,IF(Paths!$P$127="Complete",IF(C1332=0,0,VLOOKUP(A1332,'Fleet register'!$A$7:$S$106,9,FALSE)*Paths!$R$127),"n.a."))</f>
        <v>0</v>
      </c>
    </row>
    <row r="1333" spans="1:20" ht="24" customHeight="1">
      <c r="A1333" s="1" t="str">
        <f>Paths!$A$127</f>
        <v>T031</v>
      </c>
      <c r="B1333" s="1">
        <f>Paths!$B$127</f>
        <v>0</v>
      </c>
      <c r="C1333" s="1">
        <v>6</v>
      </c>
      <c r="D1333" s="1">
        <v>127</v>
      </c>
      <c r="E1333" s="1">
        <f>IF(OR(Paths!$C$127=0,C1333=0),0,MAX(0,MIN(C1333*12,Paths!$E$127)-(C1333-1)*12))</f>
        <v>0</v>
      </c>
      <c r="F1333" s="1">
        <f>IF(OR(Paths!$C$127=0,C1333=0),0,12-E1333)</f>
        <v>0</v>
      </c>
      <c r="G1333" s="16">
        <f>IF(NOT(Paths!$C$127=1),0,IF(Paths!$P$127="Complete",E1333/12*(Paths!$J$127*(1+'Operating costs'!$B$51)^MAX(0,C1333-1)+Paths!$K$127*(1+'Operating costs'!$B$53)^MAX(0,C1333-1)),"n.a."))</f>
        <v>0</v>
      </c>
      <c r="H1333" s="16">
        <f>IF(NOT(Paths!$C$127=1),0,IF(Paths!$P$127="Complete",F1333/12*(Paths!$L$127*(1+IF(Paths!$D$127="EV",'Operating costs'!$B$52,'Operating costs'!$B$51))^MAX(0,C1333-1)+Paths!$M$127*(1+'Operating costs'!$B$53)^MAX(0,C1333-1)),"n.a."))</f>
        <v>0</v>
      </c>
      <c r="I1333" s="16">
        <f>IF(NOT(Paths!$C$127=1),0,IF(Paths!$P$127="Complete",IF(IF(Paths!$E$127=0,C1333=0,AND(C1333&gt;0,Paths!$E$127&gt;(C1333-1)*12,Paths!$E$127&lt;=C1333*12)),Paths!$G$127,0),"n.a."))</f>
        <v>0</v>
      </c>
      <c r="J1333" s="16">
        <f>IF(NOT(Paths!$C$127=1),0,IF(Paths!$P$127="Complete",IF(IF(Paths!$E$127=0,C1333=0,AND(C1333&gt;0,Paths!$E$127&gt;(C1333-1)*12,Paths!$E$127&lt;=C1333*12)),Paths!$H$127,0),"n.a."))</f>
        <v>0</v>
      </c>
      <c r="K1333" s="16">
        <f>IF(NOT(Paths!$C$127=1),0,IF(Paths!$P$127="Complete",IF(IF(Paths!$O$127=0,C1333=0,AND(C1333&gt;0,Paths!$O$127&gt;(C1333-1)*12,Paths!$O$127&lt;=C1333*12)),Paths!$N$127,0),"n.a."))</f>
        <v>0</v>
      </c>
      <c r="L1333" s="16">
        <f>IF(NOT(Paths!$C$127=1),0,IF(Paths!$P$127="Complete",IF(C1333=10,Paths!$I$127,0),"n.a."))</f>
        <v>0</v>
      </c>
      <c r="M1333" s="16">
        <f>IF(NOT(Paths!$C$127=1),0,IF(Paths!$P$127="Complete",IF(AND(Paths!$D$127="EV",Paths!$E$127&lt;120,Paths!$E$127+'Operating costs'!$B$65&gt;Paths!$E$127,Paths!$E$127+'Operating costs'!$B$65&lt;=120,IF(Paths!$E$127+'Operating costs'!$B$65=0,C1333=0,AND(C1333&gt;0,Paths!$E$127+'Operating costs'!$B$65&gt;(C1333-1)*12,Paths!$E$127+'Operating costs'!$B$65&lt;=C1333*12))),'Operating costs'!$B$64,0)+IF(AND('Operating costs'!$B$67&gt;0,'Operating costs'!$B$67&lt;=120,OR(Paths!$D$127="ICE",'Operating costs'!$B$67&lt;=Paths!$E$127),IF('Operating costs'!$B$67=0,C1333=0,AND(C1333&gt;0,'Operating costs'!$B$67&gt;(C1333-1)*12,'Operating costs'!$B$67&lt;=C1333*12))),'Operating costs'!$B$66,0),"n.a."))</f>
        <v>0</v>
      </c>
      <c r="N1333" s="16">
        <f>IF(NOT(Paths!$C$127=1),0,IF(Paths!$P$127="Complete",SUM(G1333:I1333)-J1333-K1333-L1333+M1333+IF(C1333=0,Paths!$F$127,0)+IF(IF(Paths!$E$127=0,C1333=0,AND(C1333&gt;0,Paths!$E$127&gt;(C1333-1)*12,Paths!$E$127&lt;=C1333*12)),VLOOKUP(A1333,'Fleet register'!$A$7:$S$106,16,FALSE),0),"n.a."))</f>
        <v>0</v>
      </c>
      <c r="O1333" s="16">
        <f>IF(NOT(Paths!$C$127=1),0,IF(Paths!$P$127="Complete",N1333-IF(C1333=0,Paths!$F$127,0),"n.a."))</f>
        <v>0</v>
      </c>
      <c r="P1333" s="16">
        <f>IF(NOT(Paths!$C$127=1),0,IF(Paths!$P$127="Complete",O1333+L1333,"n.a."))</f>
        <v>0</v>
      </c>
      <c r="Q1333" s="16">
        <f>IF(NOT(Paths!$C$127=1),0,IF(Paths!$P$127="Complete",N1333*(1+'Operating costs'!$B$54)^-C1333,"n.a."))</f>
        <v>0</v>
      </c>
      <c r="R1333" s="16">
        <f>IF(NOT(Paths!$C$127=1),0,IF(Paths!$P$127="Complete",IF(AND(C1333=0,Paths!$E$127=0),I1333-J1333-K1333+VLOOKUP(A1333,'Fleet register'!$A$7:$S$106,15,FALSE)+VLOOKUP(A1333,'Fleet register'!$A$7:$S$106,16,FALSE),0),"n.a."))</f>
        <v>0</v>
      </c>
      <c r="S1333" s="1">
        <f>IF(NOT(Paths!$C$127=1),0,IF(Paths!$P$127="Complete",IF(C1333=0,0,Paths!$S$127*Paths!$R$127),"n.a."))</f>
        <v>0</v>
      </c>
      <c r="T1333" s="1">
        <f>IF(NOT(Paths!$C$127=1),0,IF(Paths!$P$127="Complete",IF(C1333=0,0,VLOOKUP(A1333,'Fleet register'!$A$7:$S$106,9,FALSE)*Paths!$R$127),"n.a."))</f>
        <v>0</v>
      </c>
    </row>
    <row r="1334" spans="1:20" ht="24" customHeight="1">
      <c r="A1334" s="1" t="str">
        <f>Paths!$A$127</f>
        <v>T031</v>
      </c>
      <c r="B1334" s="1">
        <f>Paths!$B$127</f>
        <v>0</v>
      </c>
      <c r="C1334" s="1">
        <v>7</v>
      </c>
      <c r="D1334" s="1">
        <v>127</v>
      </c>
      <c r="E1334" s="1">
        <f>IF(OR(Paths!$C$127=0,C1334=0),0,MAX(0,MIN(C1334*12,Paths!$E$127)-(C1334-1)*12))</f>
        <v>0</v>
      </c>
      <c r="F1334" s="1">
        <f>IF(OR(Paths!$C$127=0,C1334=0),0,12-E1334)</f>
        <v>0</v>
      </c>
      <c r="G1334" s="16">
        <f>IF(NOT(Paths!$C$127=1),0,IF(Paths!$P$127="Complete",E1334/12*(Paths!$J$127*(1+'Operating costs'!$B$51)^MAX(0,C1334-1)+Paths!$K$127*(1+'Operating costs'!$B$53)^MAX(0,C1334-1)),"n.a."))</f>
        <v>0</v>
      </c>
      <c r="H1334" s="16">
        <f>IF(NOT(Paths!$C$127=1),0,IF(Paths!$P$127="Complete",F1334/12*(Paths!$L$127*(1+IF(Paths!$D$127="EV",'Operating costs'!$B$52,'Operating costs'!$B$51))^MAX(0,C1334-1)+Paths!$M$127*(1+'Operating costs'!$B$53)^MAX(0,C1334-1)),"n.a."))</f>
        <v>0</v>
      </c>
      <c r="I1334" s="16">
        <f>IF(NOT(Paths!$C$127=1),0,IF(Paths!$P$127="Complete",IF(IF(Paths!$E$127=0,C1334=0,AND(C1334&gt;0,Paths!$E$127&gt;(C1334-1)*12,Paths!$E$127&lt;=C1334*12)),Paths!$G$127,0),"n.a."))</f>
        <v>0</v>
      </c>
      <c r="J1334" s="16">
        <f>IF(NOT(Paths!$C$127=1),0,IF(Paths!$P$127="Complete",IF(IF(Paths!$E$127=0,C1334=0,AND(C1334&gt;0,Paths!$E$127&gt;(C1334-1)*12,Paths!$E$127&lt;=C1334*12)),Paths!$H$127,0),"n.a."))</f>
        <v>0</v>
      </c>
      <c r="K1334" s="16">
        <f>IF(NOT(Paths!$C$127=1),0,IF(Paths!$P$127="Complete",IF(IF(Paths!$O$127=0,C1334=0,AND(C1334&gt;0,Paths!$O$127&gt;(C1334-1)*12,Paths!$O$127&lt;=C1334*12)),Paths!$N$127,0),"n.a."))</f>
        <v>0</v>
      </c>
      <c r="L1334" s="16">
        <f>IF(NOT(Paths!$C$127=1),0,IF(Paths!$P$127="Complete",IF(C1334=10,Paths!$I$127,0),"n.a."))</f>
        <v>0</v>
      </c>
      <c r="M1334" s="16">
        <f>IF(NOT(Paths!$C$127=1),0,IF(Paths!$P$127="Complete",IF(AND(Paths!$D$127="EV",Paths!$E$127&lt;120,Paths!$E$127+'Operating costs'!$B$65&gt;Paths!$E$127,Paths!$E$127+'Operating costs'!$B$65&lt;=120,IF(Paths!$E$127+'Operating costs'!$B$65=0,C1334=0,AND(C1334&gt;0,Paths!$E$127+'Operating costs'!$B$65&gt;(C1334-1)*12,Paths!$E$127+'Operating costs'!$B$65&lt;=C1334*12))),'Operating costs'!$B$64,0)+IF(AND('Operating costs'!$B$67&gt;0,'Operating costs'!$B$67&lt;=120,OR(Paths!$D$127="ICE",'Operating costs'!$B$67&lt;=Paths!$E$127),IF('Operating costs'!$B$67=0,C1334=0,AND(C1334&gt;0,'Operating costs'!$B$67&gt;(C1334-1)*12,'Operating costs'!$B$67&lt;=C1334*12))),'Operating costs'!$B$66,0),"n.a."))</f>
        <v>0</v>
      </c>
      <c r="N1334" s="16">
        <f>IF(NOT(Paths!$C$127=1),0,IF(Paths!$P$127="Complete",SUM(G1334:I1334)-J1334-K1334-L1334+M1334+IF(C1334=0,Paths!$F$127,0)+IF(IF(Paths!$E$127=0,C1334=0,AND(C1334&gt;0,Paths!$E$127&gt;(C1334-1)*12,Paths!$E$127&lt;=C1334*12)),VLOOKUP(A1334,'Fleet register'!$A$7:$S$106,16,FALSE),0),"n.a."))</f>
        <v>0</v>
      </c>
      <c r="O1334" s="16">
        <f>IF(NOT(Paths!$C$127=1),0,IF(Paths!$P$127="Complete",N1334-IF(C1334=0,Paths!$F$127,0),"n.a."))</f>
        <v>0</v>
      </c>
      <c r="P1334" s="16">
        <f>IF(NOT(Paths!$C$127=1),0,IF(Paths!$P$127="Complete",O1334+L1334,"n.a."))</f>
        <v>0</v>
      </c>
      <c r="Q1334" s="16">
        <f>IF(NOT(Paths!$C$127=1),0,IF(Paths!$P$127="Complete",N1334*(1+'Operating costs'!$B$54)^-C1334,"n.a."))</f>
        <v>0</v>
      </c>
      <c r="R1334" s="16">
        <f>IF(NOT(Paths!$C$127=1),0,IF(Paths!$P$127="Complete",IF(AND(C1334=0,Paths!$E$127=0),I1334-J1334-K1334+VLOOKUP(A1334,'Fleet register'!$A$7:$S$106,15,FALSE)+VLOOKUP(A1334,'Fleet register'!$A$7:$S$106,16,FALSE),0),"n.a."))</f>
        <v>0</v>
      </c>
      <c r="S1334" s="1">
        <f>IF(NOT(Paths!$C$127=1),0,IF(Paths!$P$127="Complete",IF(C1334=0,0,Paths!$S$127*Paths!$R$127),"n.a."))</f>
        <v>0</v>
      </c>
      <c r="T1334" s="1">
        <f>IF(NOT(Paths!$C$127=1),0,IF(Paths!$P$127="Complete",IF(C1334=0,0,VLOOKUP(A1334,'Fleet register'!$A$7:$S$106,9,FALSE)*Paths!$R$127),"n.a."))</f>
        <v>0</v>
      </c>
    </row>
    <row r="1335" spans="1:20" ht="24" customHeight="1">
      <c r="A1335" s="1" t="str">
        <f>Paths!$A$127</f>
        <v>T031</v>
      </c>
      <c r="B1335" s="1">
        <f>Paths!$B$127</f>
        <v>0</v>
      </c>
      <c r="C1335" s="1">
        <v>8</v>
      </c>
      <c r="D1335" s="1">
        <v>127</v>
      </c>
      <c r="E1335" s="1">
        <f>IF(OR(Paths!$C$127=0,C1335=0),0,MAX(0,MIN(C1335*12,Paths!$E$127)-(C1335-1)*12))</f>
        <v>0</v>
      </c>
      <c r="F1335" s="1">
        <f>IF(OR(Paths!$C$127=0,C1335=0),0,12-E1335)</f>
        <v>0</v>
      </c>
      <c r="G1335" s="16">
        <f>IF(NOT(Paths!$C$127=1),0,IF(Paths!$P$127="Complete",E1335/12*(Paths!$J$127*(1+'Operating costs'!$B$51)^MAX(0,C1335-1)+Paths!$K$127*(1+'Operating costs'!$B$53)^MAX(0,C1335-1)),"n.a."))</f>
        <v>0</v>
      </c>
      <c r="H1335" s="16">
        <f>IF(NOT(Paths!$C$127=1),0,IF(Paths!$P$127="Complete",F1335/12*(Paths!$L$127*(1+IF(Paths!$D$127="EV",'Operating costs'!$B$52,'Operating costs'!$B$51))^MAX(0,C1335-1)+Paths!$M$127*(1+'Operating costs'!$B$53)^MAX(0,C1335-1)),"n.a."))</f>
        <v>0</v>
      </c>
      <c r="I1335" s="16">
        <f>IF(NOT(Paths!$C$127=1),0,IF(Paths!$P$127="Complete",IF(IF(Paths!$E$127=0,C1335=0,AND(C1335&gt;0,Paths!$E$127&gt;(C1335-1)*12,Paths!$E$127&lt;=C1335*12)),Paths!$G$127,0),"n.a."))</f>
        <v>0</v>
      </c>
      <c r="J1335" s="16">
        <f>IF(NOT(Paths!$C$127=1),0,IF(Paths!$P$127="Complete",IF(IF(Paths!$E$127=0,C1335=0,AND(C1335&gt;0,Paths!$E$127&gt;(C1335-1)*12,Paths!$E$127&lt;=C1335*12)),Paths!$H$127,0),"n.a."))</f>
        <v>0</v>
      </c>
      <c r="K1335" s="16">
        <f>IF(NOT(Paths!$C$127=1),0,IF(Paths!$P$127="Complete",IF(IF(Paths!$O$127=0,C1335=0,AND(C1335&gt;0,Paths!$O$127&gt;(C1335-1)*12,Paths!$O$127&lt;=C1335*12)),Paths!$N$127,0),"n.a."))</f>
        <v>0</v>
      </c>
      <c r="L1335" s="16">
        <f>IF(NOT(Paths!$C$127=1),0,IF(Paths!$P$127="Complete",IF(C1335=10,Paths!$I$127,0),"n.a."))</f>
        <v>0</v>
      </c>
      <c r="M1335" s="16">
        <f>IF(NOT(Paths!$C$127=1),0,IF(Paths!$P$127="Complete",IF(AND(Paths!$D$127="EV",Paths!$E$127&lt;120,Paths!$E$127+'Operating costs'!$B$65&gt;Paths!$E$127,Paths!$E$127+'Operating costs'!$B$65&lt;=120,IF(Paths!$E$127+'Operating costs'!$B$65=0,C1335=0,AND(C1335&gt;0,Paths!$E$127+'Operating costs'!$B$65&gt;(C1335-1)*12,Paths!$E$127+'Operating costs'!$B$65&lt;=C1335*12))),'Operating costs'!$B$64,0)+IF(AND('Operating costs'!$B$67&gt;0,'Operating costs'!$B$67&lt;=120,OR(Paths!$D$127="ICE",'Operating costs'!$B$67&lt;=Paths!$E$127),IF('Operating costs'!$B$67=0,C1335=0,AND(C1335&gt;0,'Operating costs'!$B$67&gt;(C1335-1)*12,'Operating costs'!$B$67&lt;=C1335*12))),'Operating costs'!$B$66,0),"n.a."))</f>
        <v>0</v>
      </c>
      <c r="N1335" s="16">
        <f>IF(NOT(Paths!$C$127=1),0,IF(Paths!$P$127="Complete",SUM(G1335:I1335)-J1335-K1335-L1335+M1335+IF(C1335=0,Paths!$F$127,0)+IF(IF(Paths!$E$127=0,C1335=0,AND(C1335&gt;0,Paths!$E$127&gt;(C1335-1)*12,Paths!$E$127&lt;=C1335*12)),VLOOKUP(A1335,'Fleet register'!$A$7:$S$106,16,FALSE),0),"n.a."))</f>
        <v>0</v>
      </c>
      <c r="O1335" s="16">
        <f>IF(NOT(Paths!$C$127=1),0,IF(Paths!$P$127="Complete",N1335-IF(C1335=0,Paths!$F$127,0),"n.a."))</f>
        <v>0</v>
      </c>
      <c r="P1335" s="16">
        <f>IF(NOT(Paths!$C$127=1),0,IF(Paths!$P$127="Complete",O1335+L1335,"n.a."))</f>
        <v>0</v>
      </c>
      <c r="Q1335" s="16">
        <f>IF(NOT(Paths!$C$127=1),0,IF(Paths!$P$127="Complete",N1335*(1+'Operating costs'!$B$54)^-C1335,"n.a."))</f>
        <v>0</v>
      </c>
      <c r="R1335" s="16">
        <f>IF(NOT(Paths!$C$127=1),0,IF(Paths!$P$127="Complete",IF(AND(C1335=0,Paths!$E$127=0),I1335-J1335-K1335+VLOOKUP(A1335,'Fleet register'!$A$7:$S$106,15,FALSE)+VLOOKUP(A1335,'Fleet register'!$A$7:$S$106,16,FALSE),0),"n.a."))</f>
        <v>0</v>
      </c>
      <c r="S1335" s="1">
        <f>IF(NOT(Paths!$C$127=1),0,IF(Paths!$P$127="Complete",IF(C1335=0,0,Paths!$S$127*Paths!$R$127),"n.a."))</f>
        <v>0</v>
      </c>
      <c r="T1335" s="1">
        <f>IF(NOT(Paths!$C$127=1),0,IF(Paths!$P$127="Complete",IF(C1335=0,0,VLOOKUP(A1335,'Fleet register'!$A$7:$S$106,9,FALSE)*Paths!$R$127),"n.a."))</f>
        <v>0</v>
      </c>
    </row>
    <row r="1336" spans="1:20" ht="24" customHeight="1">
      <c r="A1336" s="1" t="str">
        <f>Paths!$A$127</f>
        <v>T031</v>
      </c>
      <c r="B1336" s="1">
        <f>Paths!$B$127</f>
        <v>0</v>
      </c>
      <c r="C1336" s="1">
        <v>9</v>
      </c>
      <c r="D1336" s="1">
        <v>127</v>
      </c>
      <c r="E1336" s="1">
        <f>IF(OR(Paths!$C$127=0,C1336=0),0,MAX(0,MIN(C1336*12,Paths!$E$127)-(C1336-1)*12))</f>
        <v>0</v>
      </c>
      <c r="F1336" s="1">
        <f>IF(OR(Paths!$C$127=0,C1336=0),0,12-E1336)</f>
        <v>0</v>
      </c>
      <c r="G1336" s="16">
        <f>IF(NOT(Paths!$C$127=1),0,IF(Paths!$P$127="Complete",E1336/12*(Paths!$J$127*(1+'Operating costs'!$B$51)^MAX(0,C1336-1)+Paths!$K$127*(1+'Operating costs'!$B$53)^MAX(0,C1336-1)),"n.a."))</f>
        <v>0</v>
      </c>
      <c r="H1336" s="16">
        <f>IF(NOT(Paths!$C$127=1),0,IF(Paths!$P$127="Complete",F1336/12*(Paths!$L$127*(1+IF(Paths!$D$127="EV",'Operating costs'!$B$52,'Operating costs'!$B$51))^MAX(0,C1336-1)+Paths!$M$127*(1+'Operating costs'!$B$53)^MAX(0,C1336-1)),"n.a."))</f>
        <v>0</v>
      </c>
      <c r="I1336" s="16">
        <f>IF(NOT(Paths!$C$127=1),0,IF(Paths!$P$127="Complete",IF(IF(Paths!$E$127=0,C1336=0,AND(C1336&gt;0,Paths!$E$127&gt;(C1336-1)*12,Paths!$E$127&lt;=C1336*12)),Paths!$G$127,0),"n.a."))</f>
        <v>0</v>
      </c>
      <c r="J1336" s="16">
        <f>IF(NOT(Paths!$C$127=1),0,IF(Paths!$P$127="Complete",IF(IF(Paths!$E$127=0,C1336=0,AND(C1336&gt;0,Paths!$E$127&gt;(C1336-1)*12,Paths!$E$127&lt;=C1336*12)),Paths!$H$127,0),"n.a."))</f>
        <v>0</v>
      </c>
      <c r="K1336" s="16">
        <f>IF(NOT(Paths!$C$127=1),0,IF(Paths!$P$127="Complete",IF(IF(Paths!$O$127=0,C1336=0,AND(C1336&gt;0,Paths!$O$127&gt;(C1336-1)*12,Paths!$O$127&lt;=C1336*12)),Paths!$N$127,0),"n.a."))</f>
        <v>0</v>
      </c>
      <c r="L1336" s="16">
        <f>IF(NOT(Paths!$C$127=1),0,IF(Paths!$P$127="Complete",IF(C1336=10,Paths!$I$127,0),"n.a."))</f>
        <v>0</v>
      </c>
      <c r="M1336" s="16">
        <f>IF(NOT(Paths!$C$127=1),0,IF(Paths!$P$127="Complete",IF(AND(Paths!$D$127="EV",Paths!$E$127&lt;120,Paths!$E$127+'Operating costs'!$B$65&gt;Paths!$E$127,Paths!$E$127+'Operating costs'!$B$65&lt;=120,IF(Paths!$E$127+'Operating costs'!$B$65=0,C1336=0,AND(C1336&gt;0,Paths!$E$127+'Operating costs'!$B$65&gt;(C1336-1)*12,Paths!$E$127+'Operating costs'!$B$65&lt;=C1336*12))),'Operating costs'!$B$64,0)+IF(AND('Operating costs'!$B$67&gt;0,'Operating costs'!$B$67&lt;=120,OR(Paths!$D$127="ICE",'Operating costs'!$B$67&lt;=Paths!$E$127),IF('Operating costs'!$B$67=0,C1336=0,AND(C1336&gt;0,'Operating costs'!$B$67&gt;(C1336-1)*12,'Operating costs'!$B$67&lt;=C1336*12))),'Operating costs'!$B$66,0),"n.a."))</f>
        <v>0</v>
      </c>
      <c r="N1336" s="16">
        <f>IF(NOT(Paths!$C$127=1),0,IF(Paths!$P$127="Complete",SUM(G1336:I1336)-J1336-K1336-L1336+M1336+IF(C1336=0,Paths!$F$127,0)+IF(IF(Paths!$E$127=0,C1336=0,AND(C1336&gt;0,Paths!$E$127&gt;(C1336-1)*12,Paths!$E$127&lt;=C1336*12)),VLOOKUP(A1336,'Fleet register'!$A$7:$S$106,16,FALSE),0),"n.a."))</f>
        <v>0</v>
      </c>
      <c r="O1336" s="16">
        <f>IF(NOT(Paths!$C$127=1),0,IF(Paths!$P$127="Complete",N1336-IF(C1336=0,Paths!$F$127,0),"n.a."))</f>
        <v>0</v>
      </c>
      <c r="P1336" s="16">
        <f>IF(NOT(Paths!$C$127=1),0,IF(Paths!$P$127="Complete",O1336+L1336,"n.a."))</f>
        <v>0</v>
      </c>
      <c r="Q1336" s="16">
        <f>IF(NOT(Paths!$C$127=1),0,IF(Paths!$P$127="Complete",N1336*(1+'Operating costs'!$B$54)^-C1336,"n.a."))</f>
        <v>0</v>
      </c>
      <c r="R1336" s="16">
        <f>IF(NOT(Paths!$C$127=1),0,IF(Paths!$P$127="Complete",IF(AND(C1336=0,Paths!$E$127=0),I1336-J1336-K1336+VLOOKUP(A1336,'Fleet register'!$A$7:$S$106,15,FALSE)+VLOOKUP(A1336,'Fleet register'!$A$7:$S$106,16,FALSE),0),"n.a."))</f>
        <v>0</v>
      </c>
      <c r="S1336" s="1">
        <f>IF(NOT(Paths!$C$127=1),0,IF(Paths!$P$127="Complete",IF(C1336=0,0,Paths!$S$127*Paths!$R$127),"n.a."))</f>
        <v>0</v>
      </c>
      <c r="T1336" s="1">
        <f>IF(NOT(Paths!$C$127=1),0,IF(Paths!$P$127="Complete",IF(C1336=0,0,VLOOKUP(A1336,'Fleet register'!$A$7:$S$106,9,FALSE)*Paths!$R$127),"n.a."))</f>
        <v>0</v>
      </c>
    </row>
    <row r="1337" spans="1:20" ht="24" customHeight="1">
      <c r="A1337" s="1" t="str">
        <f>Paths!$A$127</f>
        <v>T031</v>
      </c>
      <c r="B1337" s="1">
        <f>Paths!$B$127</f>
        <v>0</v>
      </c>
      <c r="C1337" s="1">
        <v>10</v>
      </c>
      <c r="D1337" s="1">
        <v>127</v>
      </c>
      <c r="E1337" s="1">
        <f>IF(OR(Paths!$C$127=0,C1337=0),0,MAX(0,MIN(C1337*12,Paths!$E$127)-(C1337-1)*12))</f>
        <v>0</v>
      </c>
      <c r="F1337" s="1">
        <f>IF(OR(Paths!$C$127=0,C1337=0),0,12-E1337)</f>
        <v>0</v>
      </c>
      <c r="G1337" s="16">
        <f>IF(NOT(Paths!$C$127=1),0,IF(Paths!$P$127="Complete",E1337/12*(Paths!$J$127*(1+'Operating costs'!$B$51)^MAX(0,C1337-1)+Paths!$K$127*(1+'Operating costs'!$B$53)^MAX(0,C1337-1)),"n.a."))</f>
        <v>0</v>
      </c>
      <c r="H1337" s="16">
        <f>IF(NOT(Paths!$C$127=1),0,IF(Paths!$P$127="Complete",F1337/12*(Paths!$L$127*(1+IF(Paths!$D$127="EV",'Operating costs'!$B$52,'Operating costs'!$B$51))^MAX(0,C1337-1)+Paths!$M$127*(1+'Operating costs'!$B$53)^MAX(0,C1337-1)),"n.a."))</f>
        <v>0</v>
      </c>
      <c r="I1337" s="16">
        <f>IF(NOT(Paths!$C$127=1),0,IF(Paths!$P$127="Complete",IF(IF(Paths!$E$127=0,C1337=0,AND(C1337&gt;0,Paths!$E$127&gt;(C1337-1)*12,Paths!$E$127&lt;=C1337*12)),Paths!$G$127,0),"n.a."))</f>
        <v>0</v>
      </c>
      <c r="J1337" s="16">
        <f>IF(NOT(Paths!$C$127=1),0,IF(Paths!$P$127="Complete",IF(IF(Paths!$E$127=0,C1337=0,AND(C1337&gt;0,Paths!$E$127&gt;(C1337-1)*12,Paths!$E$127&lt;=C1337*12)),Paths!$H$127,0),"n.a."))</f>
        <v>0</v>
      </c>
      <c r="K1337" s="16">
        <f>IF(NOT(Paths!$C$127=1),0,IF(Paths!$P$127="Complete",IF(IF(Paths!$O$127=0,C1337=0,AND(C1337&gt;0,Paths!$O$127&gt;(C1337-1)*12,Paths!$O$127&lt;=C1337*12)),Paths!$N$127,0),"n.a."))</f>
        <v>0</v>
      </c>
      <c r="L1337" s="16">
        <f>IF(NOT(Paths!$C$127=1),0,IF(Paths!$P$127="Complete",IF(C1337=10,Paths!$I$127,0),"n.a."))</f>
        <v>0</v>
      </c>
      <c r="M1337" s="16">
        <f>IF(NOT(Paths!$C$127=1),0,IF(Paths!$P$127="Complete",IF(AND(Paths!$D$127="EV",Paths!$E$127&lt;120,Paths!$E$127+'Operating costs'!$B$65&gt;Paths!$E$127,Paths!$E$127+'Operating costs'!$B$65&lt;=120,IF(Paths!$E$127+'Operating costs'!$B$65=0,C1337=0,AND(C1337&gt;0,Paths!$E$127+'Operating costs'!$B$65&gt;(C1337-1)*12,Paths!$E$127+'Operating costs'!$B$65&lt;=C1337*12))),'Operating costs'!$B$64,0)+IF(AND('Operating costs'!$B$67&gt;0,'Operating costs'!$B$67&lt;=120,OR(Paths!$D$127="ICE",'Operating costs'!$B$67&lt;=Paths!$E$127),IF('Operating costs'!$B$67=0,C1337=0,AND(C1337&gt;0,'Operating costs'!$B$67&gt;(C1337-1)*12,'Operating costs'!$B$67&lt;=C1337*12))),'Operating costs'!$B$66,0),"n.a."))</f>
        <v>0</v>
      </c>
      <c r="N1337" s="16">
        <f>IF(NOT(Paths!$C$127=1),0,IF(Paths!$P$127="Complete",SUM(G1337:I1337)-J1337-K1337-L1337+M1337+IF(C1337=0,Paths!$F$127,0)+IF(IF(Paths!$E$127=0,C1337=0,AND(C1337&gt;0,Paths!$E$127&gt;(C1337-1)*12,Paths!$E$127&lt;=C1337*12)),VLOOKUP(A1337,'Fleet register'!$A$7:$S$106,16,FALSE),0),"n.a."))</f>
        <v>0</v>
      </c>
      <c r="O1337" s="16">
        <f>IF(NOT(Paths!$C$127=1),0,IF(Paths!$P$127="Complete",N1337-IF(C1337=0,Paths!$F$127,0),"n.a."))</f>
        <v>0</v>
      </c>
      <c r="P1337" s="16">
        <f>IF(NOT(Paths!$C$127=1),0,IF(Paths!$P$127="Complete",O1337+L1337,"n.a."))</f>
        <v>0</v>
      </c>
      <c r="Q1337" s="16">
        <f>IF(NOT(Paths!$C$127=1),0,IF(Paths!$P$127="Complete",N1337*(1+'Operating costs'!$B$54)^-C1337,"n.a."))</f>
        <v>0</v>
      </c>
      <c r="R1337" s="16">
        <f>IF(NOT(Paths!$C$127=1),0,IF(Paths!$P$127="Complete",IF(AND(C1337=0,Paths!$E$127=0),I1337-J1337-K1337+VLOOKUP(A1337,'Fleet register'!$A$7:$S$106,15,FALSE)+VLOOKUP(A1337,'Fleet register'!$A$7:$S$106,16,FALSE),0),"n.a."))</f>
        <v>0</v>
      </c>
      <c r="S1337" s="1">
        <f>IF(NOT(Paths!$C$127=1),0,IF(Paths!$P$127="Complete",IF(C1337=0,0,Paths!$S$127*Paths!$R$127),"n.a."))</f>
        <v>0</v>
      </c>
      <c r="T1337" s="1">
        <f>IF(NOT(Paths!$C$127=1),0,IF(Paths!$P$127="Complete",IF(C1337=0,0,VLOOKUP(A1337,'Fleet register'!$A$7:$S$106,9,FALSE)*Paths!$R$127),"n.a."))</f>
        <v>0</v>
      </c>
    </row>
    <row r="1338" spans="1:20" ht="24" customHeight="1">
      <c r="A1338" s="1" t="str">
        <f>Paths!$A$128</f>
        <v>T031</v>
      </c>
      <c r="B1338" s="1">
        <f>Paths!$B$128</f>
        <v>1</v>
      </c>
      <c r="C1338" s="1">
        <v>0</v>
      </c>
      <c r="D1338" s="1">
        <v>128</v>
      </c>
      <c r="E1338" s="1">
        <f>IF(OR(Paths!$C$128=0,C1338=0),0,MAX(0,MIN(C1338*12,Paths!$E$128)-(C1338-1)*12))</f>
        <v>0</v>
      </c>
      <c r="F1338" s="1">
        <f>IF(OR(Paths!$C$128=0,C1338=0),0,12-E1338)</f>
        <v>0</v>
      </c>
      <c r="G1338" s="16">
        <f>IF(NOT(Paths!$C$128=1),0,IF(Paths!$P$128="Complete",E1338/12*(Paths!$J$128*(1+'Operating costs'!$B$51)^MAX(0,C1338-1)+Paths!$K$128*(1+'Operating costs'!$B$53)^MAX(0,C1338-1)),"n.a."))</f>
        <v>0</v>
      </c>
      <c r="H1338" s="16">
        <f>IF(NOT(Paths!$C$128=1),0,IF(Paths!$P$128="Complete",F1338/12*(Paths!$L$128*(1+IF(Paths!$D$128="EV",'Operating costs'!$B$52,'Operating costs'!$B$51))^MAX(0,C1338-1)+Paths!$M$128*(1+'Operating costs'!$B$53)^MAX(0,C1338-1)),"n.a."))</f>
        <v>0</v>
      </c>
      <c r="I1338" s="16">
        <f>IF(NOT(Paths!$C$128=1),0,IF(Paths!$P$128="Complete",IF(IF(Paths!$E$128=0,C1338=0,AND(C1338&gt;0,Paths!$E$128&gt;(C1338-1)*12,Paths!$E$128&lt;=C1338*12)),Paths!$G$128,0),"n.a."))</f>
        <v>0</v>
      </c>
      <c r="J1338" s="16">
        <f>IF(NOT(Paths!$C$128=1),0,IF(Paths!$P$128="Complete",IF(IF(Paths!$E$128=0,C1338=0,AND(C1338&gt;0,Paths!$E$128&gt;(C1338-1)*12,Paths!$E$128&lt;=C1338*12)),Paths!$H$128,0),"n.a."))</f>
        <v>0</v>
      </c>
      <c r="K1338" s="16">
        <f>IF(NOT(Paths!$C$128=1),0,IF(Paths!$P$128="Complete",IF(IF(Paths!$O$128=0,C1338=0,AND(C1338&gt;0,Paths!$O$128&gt;(C1338-1)*12,Paths!$O$128&lt;=C1338*12)),Paths!$N$128,0),"n.a."))</f>
        <v>0</v>
      </c>
      <c r="L1338" s="16">
        <f>IF(NOT(Paths!$C$128=1),0,IF(Paths!$P$128="Complete",IF(C1338=10,Paths!$I$128,0),"n.a."))</f>
        <v>0</v>
      </c>
      <c r="M1338" s="16">
        <f>IF(NOT(Paths!$C$128=1),0,IF(Paths!$P$128="Complete",IF(AND(Paths!$D$128="EV",Paths!$E$128&lt;120,Paths!$E$128+'Operating costs'!$B$65&gt;Paths!$E$128,Paths!$E$128+'Operating costs'!$B$65&lt;=120,IF(Paths!$E$128+'Operating costs'!$B$65=0,C1338=0,AND(C1338&gt;0,Paths!$E$128+'Operating costs'!$B$65&gt;(C1338-1)*12,Paths!$E$128+'Operating costs'!$B$65&lt;=C1338*12))),'Operating costs'!$B$64,0)+IF(AND('Operating costs'!$B$67&gt;0,'Operating costs'!$B$67&lt;=120,OR(Paths!$D$128="ICE",'Operating costs'!$B$67&lt;=Paths!$E$128),IF('Operating costs'!$B$67=0,C1338=0,AND(C1338&gt;0,'Operating costs'!$B$67&gt;(C1338-1)*12,'Operating costs'!$B$67&lt;=C1338*12))),'Operating costs'!$B$66,0),"n.a."))</f>
        <v>0</v>
      </c>
      <c r="N1338" s="16">
        <f>IF(NOT(Paths!$C$128=1),0,IF(Paths!$P$128="Complete",SUM(G1338:I1338)-J1338-K1338-L1338+M1338+IF(C1338=0,Paths!$F$128,0)+IF(IF(Paths!$E$128=0,C1338=0,AND(C1338&gt;0,Paths!$E$128&gt;(C1338-1)*12,Paths!$E$128&lt;=C1338*12)),VLOOKUP(A1338,'Fleet register'!$A$7:$S$106,16,FALSE),0),"n.a."))</f>
        <v>0</v>
      </c>
      <c r="O1338" s="16">
        <f>IF(NOT(Paths!$C$128=1),0,IF(Paths!$P$128="Complete",N1338-IF(C1338=0,Paths!$F$128,0),"n.a."))</f>
        <v>0</v>
      </c>
      <c r="P1338" s="16">
        <f>IF(NOT(Paths!$C$128=1),0,IF(Paths!$P$128="Complete",O1338+L1338,"n.a."))</f>
        <v>0</v>
      </c>
      <c r="Q1338" s="16">
        <f>IF(NOT(Paths!$C$128=1),0,IF(Paths!$P$128="Complete",N1338*(1+'Operating costs'!$B$54)^-C1338,"n.a."))</f>
        <v>0</v>
      </c>
      <c r="R1338" s="16">
        <f>IF(NOT(Paths!$C$128=1),0,IF(Paths!$P$128="Complete",IF(AND(C1338=0,Paths!$E$128=0),I1338-J1338-K1338+VLOOKUP(A1338,'Fleet register'!$A$7:$S$106,15,FALSE)+VLOOKUP(A1338,'Fleet register'!$A$7:$S$106,16,FALSE),0),"n.a."))</f>
        <v>0</v>
      </c>
      <c r="S1338" s="1">
        <f>IF(NOT(Paths!$C$128=1),0,IF(Paths!$P$128="Complete",IF(C1338=0,0,Paths!$S$128*Paths!$R$128),"n.a."))</f>
        <v>0</v>
      </c>
      <c r="T1338" s="1">
        <f>IF(NOT(Paths!$C$128=1),0,IF(Paths!$P$128="Complete",IF(C1338=0,0,VLOOKUP(A1338,'Fleet register'!$A$7:$S$106,9,FALSE)*Paths!$R$128),"n.a."))</f>
        <v>0</v>
      </c>
    </row>
    <row r="1339" spans="1:20" ht="24" customHeight="1">
      <c r="A1339" s="1" t="str">
        <f>Paths!$A$128</f>
        <v>T031</v>
      </c>
      <c r="B1339" s="1">
        <f>Paths!$B$128</f>
        <v>1</v>
      </c>
      <c r="C1339" s="1">
        <v>1</v>
      </c>
      <c r="D1339" s="1">
        <v>128</v>
      </c>
      <c r="E1339" s="1">
        <f>IF(OR(Paths!$C$128=0,C1339=0),0,MAX(0,MIN(C1339*12,Paths!$E$128)-(C1339-1)*12))</f>
        <v>0</v>
      </c>
      <c r="F1339" s="1">
        <f>IF(OR(Paths!$C$128=0,C1339=0),0,12-E1339)</f>
        <v>0</v>
      </c>
      <c r="G1339" s="16">
        <f>IF(NOT(Paths!$C$128=1),0,IF(Paths!$P$128="Complete",E1339/12*(Paths!$J$128*(1+'Operating costs'!$B$51)^MAX(0,C1339-1)+Paths!$K$128*(1+'Operating costs'!$B$53)^MAX(0,C1339-1)),"n.a."))</f>
        <v>0</v>
      </c>
      <c r="H1339" s="16">
        <f>IF(NOT(Paths!$C$128=1),0,IF(Paths!$P$128="Complete",F1339/12*(Paths!$L$128*(1+IF(Paths!$D$128="EV",'Operating costs'!$B$52,'Operating costs'!$B$51))^MAX(0,C1339-1)+Paths!$M$128*(1+'Operating costs'!$B$53)^MAX(0,C1339-1)),"n.a."))</f>
        <v>0</v>
      </c>
      <c r="I1339" s="16">
        <f>IF(NOT(Paths!$C$128=1),0,IF(Paths!$P$128="Complete",IF(IF(Paths!$E$128=0,C1339=0,AND(C1339&gt;0,Paths!$E$128&gt;(C1339-1)*12,Paths!$E$128&lt;=C1339*12)),Paths!$G$128,0),"n.a."))</f>
        <v>0</v>
      </c>
      <c r="J1339" s="16">
        <f>IF(NOT(Paths!$C$128=1),0,IF(Paths!$P$128="Complete",IF(IF(Paths!$E$128=0,C1339=0,AND(C1339&gt;0,Paths!$E$128&gt;(C1339-1)*12,Paths!$E$128&lt;=C1339*12)),Paths!$H$128,0),"n.a."))</f>
        <v>0</v>
      </c>
      <c r="K1339" s="16">
        <f>IF(NOT(Paths!$C$128=1),0,IF(Paths!$P$128="Complete",IF(IF(Paths!$O$128=0,C1339=0,AND(C1339&gt;0,Paths!$O$128&gt;(C1339-1)*12,Paths!$O$128&lt;=C1339*12)),Paths!$N$128,0),"n.a."))</f>
        <v>0</v>
      </c>
      <c r="L1339" s="16">
        <f>IF(NOT(Paths!$C$128=1),0,IF(Paths!$P$128="Complete",IF(C1339=10,Paths!$I$128,0),"n.a."))</f>
        <v>0</v>
      </c>
      <c r="M1339" s="16">
        <f>IF(NOT(Paths!$C$128=1),0,IF(Paths!$P$128="Complete",IF(AND(Paths!$D$128="EV",Paths!$E$128&lt;120,Paths!$E$128+'Operating costs'!$B$65&gt;Paths!$E$128,Paths!$E$128+'Operating costs'!$B$65&lt;=120,IF(Paths!$E$128+'Operating costs'!$B$65=0,C1339=0,AND(C1339&gt;0,Paths!$E$128+'Operating costs'!$B$65&gt;(C1339-1)*12,Paths!$E$128+'Operating costs'!$B$65&lt;=C1339*12))),'Operating costs'!$B$64,0)+IF(AND('Operating costs'!$B$67&gt;0,'Operating costs'!$B$67&lt;=120,OR(Paths!$D$128="ICE",'Operating costs'!$B$67&lt;=Paths!$E$128),IF('Operating costs'!$B$67=0,C1339=0,AND(C1339&gt;0,'Operating costs'!$B$67&gt;(C1339-1)*12,'Operating costs'!$B$67&lt;=C1339*12))),'Operating costs'!$B$66,0),"n.a."))</f>
        <v>0</v>
      </c>
      <c r="N1339" s="16">
        <f>IF(NOT(Paths!$C$128=1),0,IF(Paths!$P$128="Complete",SUM(G1339:I1339)-J1339-K1339-L1339+M1339+IF(C1339=0,Paths!$F$128,0)+IF(IF(Paths!$E$128=0,C1339=0,AND(C1339&gt;0,Paths!$E$128&gt;(C1339-1)*12,Paths!$E$128&lt;=C1339*12)),VLOOKUP(A1339,'Fleet register'!$A$7:$S$106,16,FALSE),0),"n.a."))</f>
        <v>0</v>
      </c>
      <c r="O1339" s="16">
        <f>IF(NOT(Paths!$C$128=1),0,IF(Paths!$P$128="Complete",N1339-IF(C1339=0,Paths!$F$128,0),"n.a."))</f>
        <v>0</v>
      </c>
      <c r="P1339" s="16">
        <f>IF(NOT(Paths!$C$128=1),0,IF(Paths!$P$128="Complete",O1339+L1339,"n.a."))</f>
        <v>0</v>
      </c>
      <c r="Q1339" s="16">
        <f>IF(NOT(Paths!$C$128=1),0,IF(Paths!$P$128="Complete",N1339*(1+'Operating costs'!$B$54)^-C1339,"n.a."))</f>
        <v>0</v>
      </c>
      <c r="R1339" s="16">
        <f>IF(NOT(Paths!$C$128=1),0,IF(Paths!$P$128="Complete",IF(AND(C1339=0,Paths!$E$128=0),I1339-J1339-K1339+VLOOKUP(A1339,'Fleet register'!$A$7:$S$106,15,FALSE)+VLOOKUP(A1339,'Fleet register'!$A$7:$S$106,16,FALSE),0),"n.a."))</f>
        <v>0</v>
      </c>
      <c r="S1339" s="1">
        <f>IF(NOT(Paths!$C$128=1),0,IF(Paths!$P$128="Complete",IF(C1339=0,0,Paths!$S$128*Paths!$R$128),"n.a."))</f>
        <v>0</v>
      </c>
      <c r="T1339" s="1">
        <f>IF(NOT(Paths!$C$128=1),0,IF(Paths!$P$128="Complete",IF(C1339=0,0,VLOOKUP(A1339,'Fleet register'!$A$7:$S$106,9,FALSE)*Paths!$R$128),"n.a."))</f>
        <v>0</v>
      </c>
    </row>
    <row r="1340" spans="1:20" ht="24" customHeight="1">
      <c r="A1340" s="1" t="str">
        <f>Paths!$A$128</f>
        <v>T031</v>
      </c>
      <c r="B1340" s="1">
        <f>Paths!$B$128</f>
        <v>1</v>
      </c>
      <c r="C1340" s="1">
        <v>2</v>
      </c>
      <c r="D1340" s="1">
        <v>128</v>
      </c>
      <c r="E1340" s="1">
        <f>IF(OR(Paths!$C$128=0,C1340=0),0,MAX(0,MIN(C1340*12,Paths!$E$128)-(C1340-1)*12))</f>
        <v>0</v>
      </c>
      <c r="F1340" s="1">
        <f>IF(OR(Paths!$C$128=0,C1340=0),0,12-E1340)</f>
        <v>0</v>
      </c>
      <c r="G1340" s="16">
        <f>IF(NOT(Paths!$C$128=1),0,IF(Paths!$P$128="Complete",E1340/12*(Paths!$J$128*(1+'Operating costs'!$B$51)^MAX(0,C1340-1)+Paths!$K$128*(1+'Operating costs'!$B$53)^MAX(0,C1340-1)),"n.a."))</f>
        <v>0</v>
      </c>
      <c r="H1340" s="16">
        <f>IF(NOT(Paths!$C$128=1),0,IF(Paths!$P$128="Complete",F1340/12*(Paths!$L$128*(1+IF(Paths!$D$128="EV",'Operating costs'!$B$52,'Operating costs'!$B$51))^MAX(0,C1340-1)+Paths!$M$128*(1+'Operating costs'!$B$53)^MAX(0,C1340-1)),"n.a."))</f>
        <v>0</v>
      </c>
      <c r="I1340" s="16">
        <f>IF(NOT(Paths!$C$128=1),0,IF(Paths!$P$128="Complete",IF(IF(Paths!$E$128=0,C1340=0,AND(C1340&gt;0,Paths!$E$128&gt;(C1340-1)*12,Paths!$E$128&lt;=C1340*12)),Paths!$G$128,0),"n.a."))</f>
        <v>0</v>
      </c>
      <c r="J1340" s="16">
        <f>IF(NOT(Paths!$C$128=1),0,IF(Paths!$P$128="Complete",IF(IF(Paths!$E$128=0,C1340=0,AND(C1340&gt;0,Paths!$E$128&gt;(C1340-1)*12,Paths!$E$128&lt;=C1340*12)),Paths!$H$128,0),"n.a."))</f>
        <v>0</v>
      </c>
      <c r="K1340" s="16">
        <f>IF(NOT(Paths!$C$128=1),0,IF(Paths!$P$128="Complete",IF(IF(Paths!$O$128=0,C1340=0,AND(C1340&gt;0,Paths!$O$128&gt;(C1340-1)*12,Paths!$O$128&lt;=C1340*12)),Paths!$N$128,0),"n.a."))</f>
        <v>0</v>
      </c>
      <c r="L1340" s="16">
        <f>IF(NOT(Paths!$C$128=1),0,IF(Paths!$P$128="Complete",IF(C1340=10,Paths!$I$128,0),"n.a."))</f>
        <v>0</v>
      </c>
      <c r="M1340" s="16">
        <f>IF(NOT(Paths!$C$128=1),0,IF(Paths!$P$128="Complete",IF(AND(Paths!$D$128="EV",Paths!$E$128&lt;120,Paths!$E$128+'Operating costs'!$B$65&gt;Paths!$E$128,Paths!$E$128+'Operating costs'!$B$65&lt;=120,IF(Paths!$E$128+'Operating costs'!$B$65=0,C1340=0,AND(C1340&gt;0,Paths!$E$128+'Operating costs'!$B$65&gt;(C1340-1)*12,Paths!$E$128+'Operating costs'!$B$65&lt;=C1340*12))),'Operating costs'!$B$64,0)+IF(AND('Operating costs'!$B$67&gt;0,'Operating costs'!$B$67&lt;=120,OR(Paths!$D$128="ICE",'Operating costs'!$B$67&lt;=Paths!$E$128),IF('Operating costs'!$B$67=0,C1340=0,AND(C1340&gt;0,'Operating costs'!$B$67&gt;(C1340-1)*12,'Operating costs'!$B$67&lt;=C1340*12))),'Operating costs'!$B$66,0),"n.a."))</f>
        <v>0</v>
      </c>
      <c r="N1340" s="16">
        <f>IF(NOT(Paths!$C$128=1),0,IF(Paths!$P$128="Complete",SUM(G1340:I1340)-J1340-K1340-L1340+M1340+IF(C1340=0,Paths!$F$128,0)+IF(IF(Paths!$E$128=0,C1340=0,AND(C1340&gt;0,Paths!$E$128&gt;(C1340-1)*12,Paths!$E$128&lt;=C1340*12)),VLOOKUP(A1340,'Fleet register'!$A$7:$S$106,16,FALSE),0),"n.a."))</f>
        <v>0</v>
      </c>
      <c r="O1340" s="16">
        <f>IF(NOT(Paths!$C$128=1),0,IF(Paths!$P$128="Complete",N1340-IF(C1340=0,Paths!$F$128,0),"n.a."))</f>
        <v>0</v>
      </c>
      <c r="P1340" s="16">
        <f>IF(NOT(Paths!$C$128=1),0,IF(Paths!$P$128="Complete",O1340+L1340,"n.a."))</f>
        <v>0</v>
      </c>
      <c r="Q1340" s="16">
        <f>IF(NOT(Paths!$C$128=1),0,IF(Paths!$P$128="Complete",N1340*(1+'Operating costs'!$B$54)^-C1340,"n.a."))</f>
        <v>0</v>
      </c>
      <c r="R1340" s="16">
        <f>IF(NOT(Paths!$C$128=1),0,IF(Paths!$P$128="Complete",IF(AND(C1340=0,Paths!$E$128=0),I1340-J1340-K1340+VLOOKUP(A1340,'Fleet register'!$A$7:$S$106,15,FALSE)+VLOOKUP(A1340,'Fleet register'!$A$7:$S$106,16,FALSE),0),"n.a."))</f>
        <v>0</v>
      </c>
      <c r="S1340" s="1">
        <f>IF(NOT(Paths!$C$128=1),0,IF(Paths!$P$128="Complete",IF(C1340=0,0,Paths!$S$128*Paths!$R$128),"n.a."))</f>
        <v>0</v>
      </c>
      <c r="T1340" s="1">
        <f>IF(NOT(Paths!$C$128=1),0,IF(Paths!$P$128="Complete",IF(C1340=0,0,VLOOKUP(A1340,'Fleet register'!$A$7:$S$106,9,FALSE)*Paths!$R$128),"n.a."))</f>
        <v>0</v>
      </c>
    </row>
    <row r="1341" spans="1:20" ht="24" customHeight="1">
      <c r="A1341" s="1" t="str">
        <f>Paths!$A$128</f>
        <v>T031</v>
      </c>
      <c r="B1341" s="1">
        <f>Paths!$B$128</f>
        <v>1</v>
      </c>
      <c r="C1341" s="1">
        <v>3</v>
      </c>
      <c r="D1341" s="1">
        <v>128</v>
      </c>
      <c r="E1341" s="1">
        <f>IF(OR(Paths!$C$128=0,C1341=0),0,MAX(0,MIN(C1341*12,Paths!$E$128)-(C1341-1)*12))</f>
        <v>0</v>
      </c>
      <c r="F1341" s="1">
        <f>IF(OR(Paths!$C$128=0,C1341=0),0,12-E1341)</f>
        <v>0</v>
      </c>
      <c r="G1341" s="16">
        <f>IF(NOT(Paths!$C$128=1),0,IF(Paths!$P$128="Complete",E1341/12*(Paths!$J$128*(1+'Operating costs'!$B$51)^MAX(0,C1341-1)+Paths!$K$128*(1+'Operating costs'!$B$53)^MAX(0,C1341-1)),"n.a."))</f>
        <v>0</v>
      </c>
      <c r="H1341" s="16">
        <f>IF(NOT(Paths!$C$128=1),0,IF(Paths!$P$128="Complete",F1341/12*(Paths!$L$128*(1+IF(Paths!$D$128="EV",'Operating costs'!$B$52,'Operating costs'!$B$51))^MAX(0,C1341-1)+Paths!$M$128*(1+'Operating costs'!$B$53)^MAX(0,C1341-1)),"n.a."))</f>
        <v>0</v>
      </c>
      <c r="I1341" s="16">
        <f>IF(NOT(Paths!$C$128=1),0,IF(Paths!$P$128="Complete",IF(IF(Paths!$E$128=0,C1341=0,AND(C1341&gt;0,Paths!$E$128&gt;(C1341-1)*12,Paths!$E$128&lt;=C1341*12)),Paths!$G$128,0),"n.a."))</f>
        <v>0</v>
      </c>
      <c r="J1341" s="16">
        <f>IF(NOT(Paths!$C$128=1),0,IF(Paths!$P$128="Complete",IF(IF(Paths!$E$128=0,C1341=0,AND(C1341&gt;0,Paths!$E$128&gt;(C1341-1)*12,Paths!$E$128&lt;=C1341*12)),Paths!$H$128,0),"n.a."))</f>
        <v>0</v>
      </c>
      <c r="K1341" s="16">
        <f>IF(NOT(Paths!$C$128=1),0,IF(Paths!$P$128="Complete",IF(IF(Paths!$O$128=0,C1341=0,AND(C1341&gt;0,Paths!$O$128&gt;(C1341-1)*12,Paths!$O$128&lt;=C1341*12)),Paths!$N$128,0),"n.a."))</f>
        <v>0</v>
      </c>
      <c r="L1341" s="16">
        <f>IF(NOT(Paths!$C$128=1),0,IF(Paths!$P$128="Complete",IF(C1341=10,Paths!$I$128,0),"n.a."))</f>
        <v>0</v>
      </c>
      <c r="M1341" s="16">
        <f>IF(NOT(Paths!$C$128=1),0,IF(Paths!$P$128="Complete",IF(AND(Paths!$D$128="EV",Paths!$E$128&lt;120,Paths!$E$128+'Operating costs'!$B$65&gt;Paths!$E$128,Paths!$E$128+'Operating costs'!$B$65&lt;=120,IF(Paths!$E$128+'Operating costs'!$B$65=0,C1341=0,AND(C1341&gt;0,Paths!$E$128+'Operating costs'!$B$65&gt;(C1341-1)*12,Paths!$E$128+'Operating costs'!$B$65&lt;=C1341*12))),'Operating costs'!$B$64,0)+IF(AND('Operating costs'!$B$67&gt;0,'Operating costs'!$B$67&lt;=120,OR(Paths!$D$128="ICE",'Operating costs'!$B$67&lt;=Paths!$E$128),IF('Operating costs'!$B$67=0,C1341=0,AND(C1341&gt;0,'Operating costs'!$B$67&gt;(C1341-1)*12,'Operating costs'!$B$67&lt;=C1341*12))),'Operating costs'!$B$66,0),"n.a."))</f>
        <v>0</v>
      </c>
      <c r="N1341" s="16">
        <f>IF(NOT(Paths!$C$128=1),0,IF(Paths!$P$128="Complete",SUM(G1341:I1341)-J1341-K1341-L1341+M1341+IF(C1341=0,Paths!$F$128,0)+IF(IF(Paths!$E$128=0,C1341=0,AND(C1341&gt;0,Paths!$E$128&gt;(C1341-1)*12,Paths!$E$128&lt;=C1341*12)),VLOOKUP(A1341,'Fleet register'!$A$7:$S$106,16,FALSE),0),"n.a."))</f>
        <v>0</v>
      </c>
      <c r="O1341" s="16">
        <f>IF(NOT(Paths!$C$128=1),0,IF(Paths!$P$128="Complete",N1341-IF(C1341=0,Paths!$F$128,0),"n.a."))</f>
        <v>0</v>
      </c>
      <c r="P1341" s="16">
        <f>IF(NOT(Paths!$C$128=1),0,IF(Paths!$P$128="Complete",O1341+L1341,"n.a."))</f>
        <v>0</v>
      </c>
      <c r="Q1341" s="16">
        <f>IF(NOT(Paths!$C$128=1),0,IF(Paths!$P$128="Complete",N1341*(1+'Operating costs'!$B$54)^-C1341,"n.a."))</f>
        <v>0</v>
      </c>
      <c r="R1341" s="16">
        <f>IF(NOT(Paths!$C$128=1),0,IF(Paths!$P$128="Complete",IF(AND(C1341=0,Paths!$E$128=0),I1341-J1341-K1341+VLOOKUP(A1341,'Fleet register'!$A$7:$S$106,15,FALSE)+VLOOKUP(A1341,'Fleet register'!$A$7:$S$106,16,FALSE),0),"n.a."))</f>
        <v>0</v>
      </c>
      <c r="S1341" s="1">
        <f>IF(NOT(Paths!$C$128=1),0,IF(Paths!$P$128="Complete",IF(C1341=0,0,Paths!$S$128*Paths!$R$128),"n.a."))</f>
        <v>0</v>
      </c>
      <c r="T1341" s="1">
        <f>IF(NOT(Paths!$C$128=1),0,IF(Paths!$P$128="Complete",IF(C1341=0,0,VLOOKUP(A1341,'Fleet register'!$A$7:$S$106,9,FALSE)*Paths!$R$128),"n.a."))</f>
        <v>0</v>
      </c>
    </row>
    <row r="1342" spans="1:20" ht="24" customHeight="1">
      <c r="A1342" s="1" t="str">
        <f>Paths!$A$128</f>
        <v>T031</v>
      </c>
      <c r="B1342" s="1">
        <f>Paths!$B$128</f>
        <v>1</v>
      </c>
      <c r="C1342" s="1">
        <v>4</v>
      </c>
      <c r="D1342" s="1">
        <v>128</v>
      </c>
      <c r="E1342" s="1">
        <f>IF(OR(Paths!$C$128=0,C1342=0),0,MAX(0,MIN(C1342*12,Paths!$E$128)-(C1342-1)*12))</f>
        <v>0</v>
      </c>
      <c r="F1342" s="1">
        <f>IF(OR(Paths!$C$128=0,C1342=0),0,12-E1342)</f>
        <v>0</v>
      </c>
      <c r="G1342" s="16">
        <f>IF(NOT(Paths!$C$128=1),0,IF(Paths!$P$128="Complete",E1342/12*(Paths!$J$128*(1+'Operating costs'!$B$51)^MAX(0,C1342-1)+Paths!$K$128*(1+'Operating costs'!$B$53)^MAX(0,C1342-1)),"n.a."))</f>
        <v>0</v>
      </c>
      <c r="H1342" s="16">
        <f>IF(NOT(Paths!$C$128=1),0,IF(Paths!$P$128="Complete",F1342/12*(Paths!$L$128*(1+IF(Paths!$D$128="EV",'Operating costs'!$B$52,'Operating costs'!$B$51))^MAX(0,C1342-1)+Paths!$M$128*(1+'Operating costs'!$B$53)^MAX(0,C1342-1)),"n.a."))</f>
        <v>0</v>
      </c>
      <c r="I1342" s="16">
        <f>IF(NOT(Paths!$C$128=1),0,IF(Paths!$P$128="Complete",IF(IF(Paths!$E$128=0,C1342=0,AND(C1342&gt;0,Paths!$E$128&gt;(C1342-1)*12,Paths!$E$128&lt;=C1342*12)),Paths!$G$128,0),"n.a."))</f>
        <v>0</v>
      </c>
      <c r="J1342" s="16">
        <f>IF(NOT(Paths!$C$128=1),0,IF(Paths!$P$128="Complete",IF(IF(Paths!$E$128=0,C1342=0,AND(C1342&gt;0,Paths!$E$128&gt;(C1342-1)*12,Paths!$E$128&lt;=C1342*12)),Paths!$H$128,0),"n.a."))</f>
        <v>0</v>
      </c>
      <c r="K1342" s="16">
        <f>IF(NOT(Paths!$C$128=1),0,IF(Paths!$P$128="Complete",IF(IF(Paths!$O$128=0,C1342=0,AND(C1342&gt;0,Paths!$O$128&gt;(C1342-1)*12,Paths!$O$128&lt;=C1342*12)),Paths!$N$128,0),"n.a."))</f>
        <v>0</v>
      </c>
      <c r="L1342" s="16">
        <f>IF(NOT(Paths!$C$128=1),0,IF(Paths!$P$128="Complete",IF(C1342=10,Paths!$I$128,0),"n.a."))</f>
        <v>0</v>
      </c>
      <c r="M1342" s="16">
        <f>IF(NOT(Paths!$C$128=1),0,IF(Paths!$P$128="Complete",IF(AND(Paths!$D$128="EV",Paths!$E$128&lt;120,Paths!$E$128+'Operating costs'!$B$65&gt;Paths!$E$128,Paths!$E$128+'Operating costs'!$B$65&lt;=120,IF(Paths!$E$128+'Operating costs'!$B$65=0,C1342=0,AND(C1342&gt;0,Paths!$E$128+'Operating costs'!$B$65&gt;(C1342-1)*12,Paths!$E$128+'Operating costs'!$B$65&lt;=C1342*12))),'Operating costs'!$B$64,0)+IF(AND('Operating costs'!$B$67&gt;0,'Operating costs'!$B$67&lt;=120,OR(Paths!$D$128="ICE",'Operating costs'!$B$67&lt;=Paths!$E$128),IF('Operating costs'!$B$67=0,C1342=0,AND(C1342&gt;0,'Operating costs'!$B$67&gt;(C1342-1)*12,'Operating costs'!$B$67&lt;=C1342*12))),'Operating costs'!$B$66,0),"n.a."))</f>
        <v>0</v>
      </c>
      <c r="N1342" s="16">
        <f>IF(NOT(Paths!$C$128=1),0,IF(Paths!$P$128="Complete",SUM(G1342:I1342)-J1342-K1342-L1342+M1342+IF(C1342=0,Paths!$F$128,0)+IF(IF(Paths!$E$128=0,C1342=0,AND(C1342&gt;0,Paths!$E$128&gt;(C1342-1)*12,Paths!$E$128&lt;=C1342*12)),VLOOKUP(A1342,'Fleet register'!$A$7:$S$106,16,FALSE),0),"n.a."))</f>
        <v>0</v>
      </c>
      <c r="O1342" s="16">
        <f>IF(NOT(Paths!$C$128=1),0,IF(Paths!$P$128="Complete",N1342-IF(C1342=0,Paths!$F$128,0),"n.a."))</f>
        <v>0</v>
      </c>
      <c r="P1342" s="16">
        <f>IF(NOT(Paths!$C$128=1),0,IF(Paths!$P$128="Complete",O1342+L1342,"n.a."))</f>
        <v>0</v>
      </c>
      <c r="Q1342" s="16">
        <f>IF(NOT(Paths!$C$128=1),0,IF(Paths!$P$128="Complete",N1342*(1+'Operating costs'!$B$54)^-C1342,"n.a."))</f>
        <v>0</v>
      </c>
      <c r="R1342" s="16">
        <f>IF(NOT(Paths!$C$128=1),0,IF(Paths!$P$128="Complete",IF(AND(C1342=0,Paths!$E$128=0),I1342-J1342-K1342+VLOOKUP(A1342,'Fleet register'!$A$7:$S$106,15,FALSE)+VLOOKUP(A1342,'Fleet register'!$A$7:$S$106,16,FALSE),0),"n.a."))</f>
        <v>0</v>
      </c>
      <c r="S1342" s="1">
        <f>IF(NOT(Paths!$C$128=1),0,IF(Paths!$P$128="Complete",IF(C1342=0,0,Paths!$S$128*Paths!$R$128),"n.a."))</f>
        <v>0</v>
      </c>
      <c r="T1342" s="1">
        <f>IF(NOT(Paths!$C$128=1),0,IF(Paths!$P$128="Complete",IF(C1342=0,0,VLOOKUP(A1342,'Fleet register'!$A$7:$S$106,9,FALSE)*Paths!$R$128),"n.a."))</f>
        <v>0</v>
      </c>
    </row>
    <row r="1343" spans="1:20" ht="24" customHeight="1">
      <c r="A1343" s="1" t="str">
        <f>Paths!$A$128</f>
        <v>T031</v>
      </c>
      <c r="B1343" s="1">
        <f>Paths!$B$128</f>
        <v>1</v>
      </c>
      <c r="C1343" s="1">
        <v>5</v>
      </c>
      <c r="D1343" s="1">
        <v>128</v>
      </c>
      <c r="E1343" s="1">
        <f>IF(OR(Paths!$C$128=0,C1343=0),0,MAX(0,MIN(C1343*12,Paths!$E$128)-(C1343-1)*12))</f>
        <v>0</v>
      </c>
      <c r="F1343" s="1">
        <f>IF(OR(Paths!$C$128=0,C1343=0),0,12-E1343)</f>
        <v>0</v>
      </c>
      <c r="G1343" s="16">
        <f>IF(NOT(Paths!$C$128=1),0,IF(Paths!$P$128="Complete",E1343/12*(Paths!$J$128*(1+'Operating costs'!$B$51)^MAX(0,C1343-1)+Paths!$K$128*(1+'Operating costs'!$B$53)^MAX(0,C1343-1)),"n.a."))</f>
        <v>0</v>
      </c>
      <c r="H1343" s="16">
        <f>IF(NOT(Paths!$C$128=1),0,IF(Paths!$P$128="Complete",F1343/12*(Paths!$L$128*(1+IF(Paths!$D$128="EV",'Operating costs'!$B$52,'Operating costs'!$B$51))^MAX(0,C1343-1)+Paths!$M$128*(1+'Operating costs'!$B$53)^MAX(0,C1343-1)),"n.a."))</f>
        <v>0</v>
      </c>
      <c r="I1343" s="16">
        <f>IF(NOT(Paths!$C$128=1),0,IF(Paths!$P$128="Complete",IF(IF(Paths!$E$128=0,C1343=0,AND(C1343&gt;0,Paths!$E$128&gt;(C1343-1)*12,Paths!$E$128&lt;=C1343*12)),Paths!$G$128,0),"n.a."))</f>
        <v>0</v>
      </c>
      <c r="J1343" s="16">
        <f>IF(NOT(Paths!$C$128=1),0,IF(Paths!$P$128="Complete",IF(IF(Paths!$E$128=0,C1343=0,AND(C1343&gt;0,Paths!$E$128&gt;(C1343-1)*12,Paths!$E$128&lt;=C1343*12)),Paths!$H$128,0),"n.a."))</f>
        <v>0</v>
      </c>
      <c r="K1343" s="16">
        <f>IF(NOT(Paths!$C$128=1),0,IF(Paths!$P$128="Complete",IF(IF(Paths!$O$128=0,C1343=0,AND(C1343&gt;0,Paths!$O$128&gt;(C1343-1)*12,Paths!$O$128&lt;=C1343*12)),Paths!$N$128,0),"n.a."))</f>
        <v>0</v>
      </c>
      <c r="L1343" s="16">
        <f>IF(NOT(Paths!$C$128=1),0,IF(Paths!$P$128="Complete",IF(C1343=10,Paths!$I$128,0),"n.a."))</f>
        <v>0</v>
      </c>
      <c r="M1343" s="16">
        <f>IF(NOT(Paths!$C$128=1),0,IF(Paths!$P$128="Complete",IF(AND(Paths!$D$128="EV",Paths!$E$128&lt;120,Paths!$E$128+'Operating costs'!$B$65&gt;Paths!$E$128,Paths!$E$128+'Operating costs'!$B$65&lt;=120,IF(Paths!$E$128+'Operating costs'!$B$65=0,C1343=0,AND(C1343&gt;0,Paths!$E$128+'Operating costs'!$B$65&gt;(C1343-1)*12,Paths!$E$128+'Operating costs'!$B$65&lt;=C1343*12))),'Operating costs'!$B$64,0)+IF(AND('Operating costs'!$B$67&gt;0,'Operating costs'!$B$67&lt;=120,OR(Paths!$D$128="ICE",'Operating costs'!$B$67&lt;=Paths!$E$128),IF('Operating costs'!$B$67=0,C1343=0,AND(C1343&gt;0,'Operating costs'!$B$67&gt;(C1343-1)*12,'Operating costs'!$B$67&lt;=C1343*12))),'Operating costs'!$B$66,0),"n.a."))</f>
        <v>0</v>
      </c>
      <c r="N1343" s="16">
        <f>IF(NOT(Paths!$C$128=1),0,IF(Paths!$P$128="Complete",SUM(G1343:I1343)-J1343-K1343-L1343+M1343+IF(C1343=0,Paths!$F$128,0)+IF(IF(Paths!$E$128=0,C1343=0,AND(C1343&gt;0,Paths!$E$128&gt;(C1343-1)*12,Paths!$E$128&lt;=C1343*12)),VLOOKUP(A1343,'Fleet register'!$A$7:$S$106,16,FALSE),0),"n.a."))</f>
        <v>0</v>
      </c>
      <c r="O1343" s="16">
        <f>IF(NOT(Paths!$C$128=1),0,IF(Paths!$P$128="Complete",N1343-IF(C1343=0,Paths!$F$128,0),"n.a."))</f>
        <v>0</v>
      </c>
      <c r="P1343" s="16">
        <f>IF(NOT(Paths!$C$128=1),0,IF(Paths!$P$128="Complete",O1343+L1343,"n.a."))</f>
        <v>0</v>
      </c>
      <c r="Q1343" s="16">
        <f>IF(NOT(Paths!$C$128=1),0,IF(Paths!$P$128="Complete",N1343*(1+'Operating costs'!$B$54)^-C1343,"n.a."))</f>
        <v>0</v>
      </c>
      <c r="R1343" s="16">
        <f>IF(NOT(Paths!$C$128=1),0,IF(Paths!$P$128="Complete",IF(AND(C1343=0,Paths!$E$128=0),I1343-J1343-K1343+VLOOKUP(A1343,'Fleet register'!$A$7:$S$106,15,FALSE)+VLOOKUP(A1343,'Fleet register'!$A$7:$S$106,16,FALSE),0),"n.a."))</f>
        <v>0</v>
      </c>
      <c r="S1343" s="1">
        <f>IF(NOT(Paths!$C$128=1),0,IF(Paths!$P$128="Complete",IF(C1343=0,0,Paths!$S$128*Paths!$R$128),"n.a."))</f>
        <v>0</v>
      </c>
      <c r="T1343" s="1">
        <f>IF(NOT(Paths!$C$128=1),0,IF(Paths!$P$128="Complete",IF(C1343=0,0,VLOOKUP(A1343,'Fleet register'!$A$7:$S$106,9,FALSE)*Paths!$R$128),"n.a."))</f>
        <v>0</v>
      </c>
    </row>
    <row r="1344" spans="1:20" ht="24" customHeight="1">
      <c r="A1344" s="1" t="str">
        <f>Paths!$A$128</f>
        <v>T031</v>
      </c>
      <c r="B1344" s="1">
        <f>Paths!$B$128</f>
        <v>1</v>
      </c>
      <c r="C1344" s="1">
        <v>6</v>
      </c>
      <c r="D1344" s="1">
        <v>128</v>
      </c>
      <c r="E1344" s="1">
        <f>IF(OR(Paths!$C$128=0,C1344=0),0,MAX(0,MIN(C1344*12,Paths!$E$128)-(C1344-1)*12))</f>
        <v>0</v>
      </c>
      <c r="F1344" s="1">
        <f>IF(OR(Paths!$C$128=0,C1344=0),0,12-E1344)</f>
        <v>0</v>
      </c>
      <c r="G1344" s="16">
        <f>IF(NOT(Paths!$C$128=1),0,IF(Paths!$P$128="Complete",E1344/12*(Paths!$J$128*(1+'Operating costs'!$B$51)^MAX(0,C1344-1)+Paths!$K$128*(1+'Operating costs'!$B$53)^MAX(0,C1344-1)),"n.a."))</f>
        <v>0</v>
      </c>
      <c r="H1344" s="16">
        <f>IF(NOT(Paths!$C$128=1),0,IF(Paths!$P$128="Complete",F1344/12*(Paths!$L$128*(1+IF(Paths!$D$128="EV",'Operating costs'!$B$52,'Operating costs'!$B$51))^MAX(0,C1344-1)+Paths!$M$128*(1+'Operating costs'!$B$53)^MAX(0,C1344-1)),"n.a."))</f>
        <v>0</v>
      </c>
      <c r="I1344" s="16">
        <f>IF(NOT(Paths!$C$128=1),0,IF(Paths!$P$128="Complete",IF(IF(Paths!$E$128=0,C1344=0,AND(C1344&gt;0,Paths!$E$128&gt;(C1344-1)*12,Paths!$E$128&lt;=C1344*12)),Paths!$G$128,0),"n.a."))</f>
        <v>0</v>
      </c>
      <c r="J1344" s="16">
        <f>IF(NOT(Paths!$C$128=1),0,IF(Paths!$P$128="Complete",IF(IF(Paths!$E$128=0,C1344=0,AND(C1344&gt;0,Paths!$E$128&gt;(C1344-1)*12,Paths!$E$128&lt;=C1344*12)),Paths!$H$128,0),"n.a."))</f>
        <v>0</v>
      </c>
      <c r="K1344" s="16">
        <f>IF(NOT(Paths!$C$128=1),0,IF(Paths!$P$128="Complete",IF(IF(Paths!$O$128=0,C1344=0,AND(C1344&gt;0,Paths!$O$128&gt;(C1344-1)*12,Paths!$O$128&lt;=C1344*12)),Paths!$N$128,0),"n.a."))</f>
        <v>0</v>
      </c>
      <c r="L1344" s="16">
        <f>IF(NOT(Paths!$C$128=1),0,IF(Paths!$P$128="Complete",IF(C1344=10,Paths!$I$128,0),"n.a."))</f>
        <v>0</v>
      </c>
      <c r="M1344" s="16">
        <f>IF(NOT(Paths!$C$128=1),0,IF(Paths!$P$128="Complete",IF(AND(Paths!$D$128="EV",Paths!$E$128&lt;120,Paths!$E$128+'Operating costs'!$B$65&gt;Paths!$E$128,Paths!$E$128+'Operating costs'!$B$65&lt;=120,IF(Paths!$E$128+'Operating costs'!$B$65=0,C1344=0,AND(C1344&gt;0,Paths!$E$128+'Operating costs'!$B$65&gt;(C1344-1)*12,Paths!$E$128+'Operating costs'!$B$65&lt;=C1344*12))),'Operating costs'!$B$64,0)+IF(AND('Operating costs'!$B$67&gt;0,'Operating costs'!$B$67&lt;=120,OR(Paths!$D$128="ICE",'Operating costs'!$B$67&lt;=Paths!$E$128),IF('Operating costs'!$B$67=0,C1344=0,AND(C1344&gt;0,'Operating costs'!$B$67&gt;(C1344-1)*12,'Operating costs'!$B$67&lt;=C1344*12))),'Operating costs'!$B$66,0),"n.a."))</f>
        <v>0</v>
      </c>
      <c r="N1344" s="16">
        <f>IF(NOT(Paths!$C$128=1),0,IF(Paths!$P$128="Complete",SUM(G1344:I1344)-J1344-K1344-L1344+M1344+IF(C1344=0,Paths!$F$128,0)+IF(IF(Paths!$E$128=0,C1344=0,AND(C1344&gt;0,Paths!$E$128&gt;(C1344-1)*12,Paths!$E$128&lt;=C1344*12)),VLOOKUP(A1344,'Fleet register'!$A$7:$S$106,16,FALSE),0),"n.a."))</f>
        <v>0</v>
      </c>
      <c r="O1344" s="16">
        <f>IF(NOT(Paths!$C$128=1),0,IF(Paths!$P$128="Complete",N1344-IF(C1344=0,Paths!$F$128,0),"n.a."))</f>
        <v>0</v>
      </c>
      <c r="P1344" s="16">
        <f>IF(NOT(Paths!$C$128=1),0,IF(Paths!$P$128="Complete",O1344+L1344,"n.a."))</f>
        <v>0</v>
      </c>
      <c r="Q1344" s="16">
        <f>IF(NOT(Paths!$C$128=1),0,IF(Paths!$P$128="Complete",N1344*(1+'Operating costs'!$B$54)^-C1344,"n.a."))</f>
        <v>0</v>
      </c>
      <c r="R1344" s="16">
        <f>IF(NOT(Paths!$C$128=1),0,IF(Paths!$P$128="Complete",IF(AND(C1344=0,Paths!$E$128=0),I1344-J1344-K1344+VLOOKUP(A1344,'Fleet register'!$A$7:$S$106,15,FALSE)+VLOOKUP(A1344,'Fleet register'!$A$7:$S$106,16,FALSE),0),"n.a."))</f>
        <v>0</v>
      </c>
      <c r="S1344" s="1">
        <f>IF(NOT(Paths!$C$128=1),0,IF(Paths!$P$128="Complete",IF(C1344=0,0,Paths!$S$128*Paths!$R$128),"n.a."))</f>
        <v>0</v>
      </c>
      <c r="T1344" s="1">
        <f>IF(NOT(Paths!$C$128=1),0,IF(Paths!$P$128="Complete",IF(C1344=0,0,VLOOKUP(A1344,'Fleet register'!$A$7:$S$106,9,FALSE)*Paths!$R$128),"n.a."))</f>
        <v>0</v>
      </c>
    </row>
    <row r="1345" spans="1:20" ht="24" customHeight="1">
      <c r="A1345" s="1" t="str">
        <f>Paths!$A$128</f>
        <v>T031</v>
      </c>
      <c r="B1345" s="1">
        <f>Paths!$B$128</f>
        <v>1</v>
      </c>
      <c r="C1345" s="1">
        <v>7</v>
      </c>
      <c r="D1345" s="1">
        <v>128</v>
      </c>
      <c r="E1345" s="1">
        <f>IF(OR(Paths!$C$128=0,C1345=0),0,MAX(0,MIN(C1345*12,Paths!$E$128)-(C1345-1)*12))</f>
        <v>0</v>
      </c>
      <c r="F1345" s="1">
        <f>IF(OR(Paths!$C$128=0,C1345=0),0,12-E1345)</f>
        <v>0</v>
      </c>
      <c r="G1345" s="16">
        <f>IF(NOT(Paths!$C$128=1),0,IF(Paths!$P$128="Complete",E1345/12*(Paths!$J$128*(1+'Operating costs'!$B$51)^MAX(0,C1345-1)+Paths!$K$128*(1+'Operating costs'!$B$53)^MAX(0,C1345-1)),"n.a."))</f>
        <v>0</v>
      </c>
      <c r="H1345" s="16">
        <f>IF(NOT(Paths!$C$128=1),0,IF(Paths!$P$128="Complete",F1345/12*(Paths!$L$128*(1+IF(Paths!$D$128="EV",'Operating costs'!$B$52,'Operating costs'!$B$51))^MAX(0,C1345-1)+Paths!$M$128*(1+'Operating costs'!$B$53)^MAX(0,C1345-1)),"n.a."))</f>
        <v>0</v>
      </c>
      <c r="I1345" s="16">
        <f>IF(NOT(Paths!$C$128=1),0,IF(Paths!$P$128="Complete",IF(IF(Paths!$E$128=0,C1345=0,AND(C1345&gt;0,Paths!$E$128&gt;(C1345-1)*12,Paths!$E$128&lt;=C1345*12)),Paths!$G$128,0),"n.a."))</f>
        <v>0</v>
      </c>
      <c r="J1345" s="16">
        <f>IF(NOT(Paths!$C$128=1),0,IF(Paths!$P$128="Complete",IF(IF(Paths!$E$128=0,C1345=0,AND(C1345&gt;0,Paths!$E$128&gt;(C1345-1)*12,Paths!$E$128&lt;=C1345*12)),Paths!$H$128,0),"n.a."))</f>
        <v>0</v>
      </c>
      <c r="K1345" s="16">
        <f>IF(NOT(Paths!$C$128=1),0,IF(Paths!$P$128="Complete",IF(IF(Paths!$O$128=0,C1345=0,AND(C1345&gt;0,Paths!$O$128&gt;(C1345-1)*12,Paths!$O$128&lt;=C1345*12)),Paths!$N$128,0),"n.a."))</f>
        <v>0</v>
      </c>
      <c r="L1345" s="16">
        <f>IF(NOT(Paths!$C$128=1),0,IF(Paths!$P$128="Complete",IF(C1345=10,Paths!$I$128,0),"n.a."))</f>
        <v>0</v>
      </c>
      <c r="M1345" s="16">
        <f>IF(NOT(Paths!$C$128=1),0,IF(Paths!$P$128="Complete",IF(AND(Paths!$D$128="EV",Paths!$E$128&lt;120,Paths!$E$128+'Operating costs'!$B$65&gt;Paths!$E$128,Paths!$E$128+'Operating costs'!$B$65&lt;=120,IF(Paths!$E$128+'Operating costs'!$B$65=0,C1345=0,AND(C1345&gt;0,Paths!$E$128+'Operating costs'!$B$65&gt;(C1345-1)*12,Paths!$E$128+'Operating costs'!$B$65&lt;=C1345*12))),'Operating costs'!$B$64,0)+IF(AND('Operating costs'!$B$67&gt;0,'Operating costs'!$B$67&lt;=120,OR(Paths!$D$128="ICE",'Operating costs'!$B$67&lt;=Paths!$E$128),IF('Operating costs'!$B$67=0,C1345=0,AND(C1345&gt;0,'Operating costs'!$B$67&gt;(C1345-1)*12,'Operating costs'!$B$67&lt;=C1345*12))),'Operating costs'!$B$66,0),"n.a."))</f>
        <v>0</v>
      </c>
      <c r="N1345" s="16">
        <f>IF(NOT(Paths!$C$128=1),0,IF(Paths!$P$128="Complete",SUM(G1345:I1345)-J1345-K1345-L1345+M1345+IF(C1345=0,Paths!$F$128,0)+IF(IF(Paths!$E$128=0,C1345=0,AND(C1345&gt;0,Paths!$E$128&gt;(C1345-1)*12,Paths!$E$128&lt;=C1345*12)),VLOOKUP(A1345,'Fleet register'!$A$7:$S$106,16,FALSE),0),"n.a."))</f>
        <v>0</v>
      </c>
      <c r="O1345" s="16">
        <f>IF(NOT(Paths!$C$128=1),0,IF(Paths!$P$128="Complete",N1345-IF(C1345=0,Paths!$F$128,0),"n.a."))</f>
        <v>0</v>
      </c>
      <c r="P1345" s="16">
        <f>IF(NOT(Paths!$C$128=1),0,IF(Paths!$P$128="Complete",O1345+L1345,"n.a."))</f>
        <v>0</v>
      </c>
      <c r="Q1345" s="16">
        <f>IF(NOT(Paths!$C$128=1),0,IF(Paths!$P$128="Complete",N1345*(1+'Operating costs'!$B$54)^-C1345,"n.a."))</f>
        <v>0</v>
      </c>
      <c r="R1345" s="16">
        <f>IF(NOT(Paths!$C$128=1),0,IF(Paths!$P$128="Complete",IF(AND(C1345=0,Paths!$E$128=0),I1345-J1345-K1345+VLOOKUP(A1345,'Fleet register'!$A$7:$S$106,15,FALSE)+VLOOKUP(A1345,'Fleet register'!$A$7:$S$106,16,FALSE),0),"n.a."))</f>
        <v>0</v>
      </c>
      <c r="S1345" s="1">
        <f>IF(NOT(Paths!$C$128=1),0,IF(Paths!$P$128="Complete",IF(C1345=0,0,Paths!$S$128*Paths!$R$128),"n.a."))</f>
        <v>0</v>
      </c>
      <c r="T1345" s="1">
        <f>IF(NOT(Paths!$C$128=1),0,IF(Paths!$P$128="Complete",IF(C1345=0,0,VLOOKUP(A1345,'Fleet register'!$A$7:$S$106,9,FALSE)*Paths!$R$128),"n.a."))</f>
        <v>0</v>
      </c>
    </row>
    <row r="1346" spans="1:20" ht="24" customHeight="1">
      <c r="A1346" s="1" t="str">
        <f>Paths!$A$128</f>
        <v>T031</v>
      </c>
      <c r="B1346" s="1">
        <f>Paths!$B$128</f>
        <v>1</v>
      </c>
      <c r="C1346" s="1">
        <v>8</v>
      </c>
      <c r="D1346" s="1">
        <v>128</v>
      </c>
      <c r="E1346" s="1">
        <f>IF(OR(Paths!$C$128=0,C1346=0),0,MAX(0,MIN(C1346*12,Paths!$E$128)-(C1346-1)*12))</f>
        <v>0</v>
      </c>
      <c r="F1346" s="1">
        <f>IF(OR(Paths!$C$128=0,C1346=0),0,12-E1346)</f>
        <v>0</v>
      </c>
      <c r="G1346" s="16">
        <f>IF(NOT(Paths!$C$128=1),0,IF(Paths!$P$128="Complete",E1346/12*(Paths!$J$128*(1+'Operating costs'!$B$51)^MAX(0,C1346-1)+Paths!$K$128*(1+'Operating costs'!$B$53)^MAX(0,C1346-1)),"n.a."))</f>
        <v>0</v>
      </c>
      <c r="H1346" s="16">
        <f>IF(NOT(Paths!$C$128=1),0,IF(Paths!$P$128="Complete",F1346/12*(Paths!$L$128*(1+IF(Paths!$D$128="EV",'Operating costs'!$B$52,'Operating costs'!$B$51))^MAX(0,C1346-1)+Paths!$M$128*(1+'Operating costs'!$B$53)^MAX(0,C1346-1)),"n.a."))</f>
        <v>0</v>
      </c>
      <c r="I1346" s="16">
        <f>IF(NOT(Paths!$C$128=1),0,IF(Paths!$P$128="Complete",IF(IF(Paths!$E$128=0,C1346=0,AND(C1346&gt;0,Paths!$E$128&gt;(C1346-1)*12,Paths!$E$128&lt;=C1346*12)),Paths!$G$128,0),"n.a."))</f>
        <v>0</v>
      </c>
      <c r="J1346" s="16">
        <f>IF(NOT(Paths!$C$128=1),0,IF(Paths!$P$128="Complete",IF(IF(Paths!$E$128=0,C1346=0,AND(C1346&gt;0,Paths!$E$128&gt;(C1346-1)*12,Paths!$E$128&lt;=C1346*12)),Paths!$H$128,0),"n.a."))</f>
        <v>0</v>
      </c>
      <c r="K1346" s="16">
        <f>IF(NOT(Paths!$C$128=1),0,IF(Paths!$P$128="Complete",IF(IF(Paths!$O$128=0,C1346=0,AND(C1346&gt;0,Paths!$O$128&gt;(C1346-1)*12,Paths!$O$128&lt;=C1346*12)),Paths!$N$128,0),"n.a."))</f>
        <v>0</v>
      </c>
      <c r="L1346" s="16">
        <f>IF(NOT(Paths!$C$128=1),0,IF(Paths!$P$128="Complete",IF(C1346=10,Paths!$I$128,0),"n.a."))</f>
        <v>0</v>
      </c>
      <c r="M1346" s="16">
        <f>IF(NOT(Paths!$C$128=1),0,IF(Paths!$P$128="Complete",IF(AND(Paths!$D$128="EV",Paths!$E$128&lt;120,Paths!$E$128+'Operating costs'!$B$65&gt;Paths!$E$128,Paths!$E$128+'Operating costs'!$B$65&lt;=120,IF(Paths!$E$128+'Operating costs'!$B$65=0,C1346=0,AND(C1346&gt;0,Paths!$E$128+'Operating costs'!$B$65&gt;(C1346-1)*12,Paths!$E$128+'Operating costs'!$B$65&lt;=C1346*12))),'Operating costs'!$B$64,0)+IF(AND('Operating costs'!$B$67&gt;0,'Operating costs'!$B$67&lt;=120,OR(Paths!$D$128="ICE",'Operating costs'!$B$67&lt;=Paths!$E$128),IF('Operating costs'!$B$67=0,C1346=0,AND(C1346&gt;0,'Operating costs'!$B$67&gt;(C1346-1)*12,'Operating costs'!$B$67&lt;=C1346*12))),'Operating costs'!$B$66,0),"n.a."))</f>
        <v>0</v>
      </c>
      <c r="N1346" s="16">
        <f>IF(NOT(Paths!$C$128=1),0,IF(Paths!$P$128="Complete",SUM(G1346:I1346)-J1346-K1346-L1346+M1346+IF(C1346=0,Paths!$F$128,0)+IF(IF(Paths!$E$128=0,C1346=0,AND(C1346&gt;0,Paths!$E$128&gt;(C1346-1)*12,Paths!$E$128&lt;=C1346*12)),VLOOKUP(A1346,'Fleet register'!$A$7:$S$106,16,FALSE),0),"n.a."))</f>
        <v>0</v>
      </c>
      <c r="O1346" s="16">
        <f>IF(NOT(Paths!$C$128=1),0,IF(Paths!$P$128="Complete",N1346-IF(C1346=0,Paths!$F$128,0),"n.a."))</f>
        <v>0</v>
      </c>
      <c r="P1346" s="16">
        <f>IF(NOT(Paths!$C$128=1),0,IF(Paths!$P$128="Complete",O1346+L1346,"n.a."))</f>
        <v>0</v>
      </c>
      <c r="Q1346" s="16">
        <f>IF(NOT(Paths!$C$128=1),0,IF(Paths!$P$128="Complete",N1346*(1+'Operating costs'!$B$54)^-C1346,"n.a."))</f>
        <v>0</v>
      </c>
      <c r="R1346" s="16">
        <f>IF(NOT(Paths!$C$128=1),0,IF(Paths!$P$128="Complete",IF(AND(C1346=0,Paths!$E$128=0),I1346-J1346-K1346+VLOOKUP(A1346,'Fleet register'!$A$7:$S$106,15,FALSE)+VLOOKUP(A1346,'Fleet register'!$A$7:$S$106,16,FALSE),0),"n.a."))</f>
        <v>0</v>
      </c>
      <c r="S1346" s="1">
        <f>IF(NOT(Paths!$C$128=1),0,IF(Paths!$P$128="Complete",IF(C1346=0,0,Paths!$S$128*Paths!$R$128),"n.a."))</f>
        <v>0</v>
      </c>
      <c r="T1346" s="1">
        <f>IF(NOT(Paths!$C$128=1),0,IF(Paths!$P$128="Complete",IF(C1346=0,0,VLOOKUP(A1346,'Fleet register'!$A$7:$S$106,9,FALSE)*Paths!$R$128),"n.a."))</f>
        <v>0</v>
      </c>
    </row>
    <row r="1347" spans="1:20" ht="24" customHeight="1">
      <c r="A1347" s="1" t="str">
        <f>Paths!$A$128</f>
        <v>T031</v>
      </c>
      <c r="B1347" s="1">
        <f>Paths!$B$128</f>
        <v>1</v>
      </c>
      <c r="C1347" s="1">
        <v>9</v>
      </c>
      <c r="D1347" s="1">
        <v>128</v>
      </c>
      <c r="E1347" s="1">
        <f>IF(OR(Paths!$C$128=0,C1347=0),0,MAX(0,MIN(C1347*12,Paths!$E$128)-(C1347-1)*12))</f>
        <v>0</v>
      </c>
      <c r="F1347" s="1">
        <f>IF(OR(Paths!$C$128=0,C1347=0),0,12-E1347)</f>
        <v>0</v>
      </c>
      <c r="G1347" s="16">
        <f>IF(NOT(Paths!$C$128=1),0,IF(Paths!$P$128="Complete",E1347/12*(Paths!$J$128*(1+'Operating costs'!$B$51)^MAX(0,C1347-1)+Paths!$K$128*(1+'Operating costs'!$B$53)^MAX(0,C1347-1)),"n.a."))</f>
        <v>0</v>
      </c>
      <c r="H1347" s="16">
        <f>IF(NOT(Paths!$C$128=1),0,IF(Paths!$P$128="Complete",F1347/12*(Paths!$L$128*(1+IF(Paths!$D$128="EV",'Operating costs'!$B$52,'Operating costs'!$B$51))^MAX(0,C1347-1)+Paths!$M$128*(1+'Operating costs'!$B$53)^MAX(0,C1347-1)),"n.a."))</f>
        <v>0</v>
      </c>
      <c r="I1347" s="16">
        <f>IF(NOT(Paths!$C$128=1),0,IF(Paths!$P$128="Complete",IF(IF(Paths!$E$128=0,C1347=0,AND(C1347&gt;0,Paths!$E$128&gt;(C1347-1)*12,Paths!$E$128&lt;=C1347*12)),Paths!$G$128,0),"n.a."))</f>
        <v>0</v>
      </c>
      <c r="J1347" s="16">
        <f>IF(NOT(Paths!$C$128=1),0,IF(Paths!$P$128="Complete",IF(IF(Paths!$E$128=0,C1347=0,AND(C1347&gt;0,Paths!$E$128&gt;(C1347-1)*12,Paths!$E$128&lt;=C1347*12)),Paths!$H$128,0),"n.a."))</f>
        <v>0</v>
      </c>
      <c r="K1347" s="16">
        <f>IF(NOT(Paths!$C$128=1),0,IF(Paths!$P$128="Complete",IF(IF(Paths!$O$128=0,C1347=0,AND(C1347&gt;0,Paths!$O$128&gt;(C1347-1)*12,Paths!$O$128&lt;=C1347*12)),Paths!$N$128,0),"n.a."))</f>
        <v>0</v>
      </c>
      <c r="L1347" s="16">
        <f>IF(NOT(Paths!$C$128=1),0,IF(Paths!$P$128="Complete",IF(C1347=10,Paths!$I$128,0),"n.a."))</f>
        <v>0</v>
      </c>
      <c r="M1347" s="16">
        <f>IF(NOT(Paths!$C$128=1),0,IF(Paths!$P$128="Complete",IF(AND(Paths!$D$128="EV",Paths!$E$128&lt;120,Paths!$E$128+'Operating costs'!$B$65&gt;Paths!$E$128,Paths!$E$128+'Operating costs'!$B$65&lt;=120,IF(Paths!$E$128+'Operating costs'!$B$65=0,C1347=0,AND(C1347&gt;0,Paths!$E$128+'Operating costs'!$B$65&gt;(C1347-1)*12,Paths!$E$128+'Operating costs'!$B$65&lt;=C1347*12))),'Operating costs'!$B$64,0)+IF(AND('Operating costs'!$B$67&gt;0,'Operating costs'!$B$67&lt;=120,OR(Paths!$D$128="ICE",'Operating costs'!$B$67&lt;=Paths!$E$128),IF('Operating costs'!$B$67=0,C1347=0,AND(C1347&gt;0,'Operating costs'!$B$67&gt;(C1347-1)*12,'Operating costs'!$B$67&lt;=C1347*12))),'Operating costs'!$B$66,0),"n.a."))</f>
        <v>0</v>
      </c>
      <c r="N1347" s="16">
        <f>IF(NOT(Paths!$C$128=1),0,IF(Paths!$P$128="Complete",SUM(G1347:I1347)-J1347-K1347-L1347+M1347+IF(C1347=0,Paths!$F$128,0)+IF(IF(Paths!$E$128=0,C1347=0,AND(C1347&gt;0,Paths!$E$128&gt;(C1347-1)*12,Paths!$E$128&lt;=C1347*12)),VLOOKUP(A1347,'Fleet register'!$A$7:$S$106,16,FALSE),0),"n.a."))</f>
        <v>0</v>
      </c>
      <c r="O1347" s="16">
        <f>IF(NOT(Paths!$C$128=1),0,IF(Paths!$P$128="Complete",N1347-IF(C1347=0,Paths!$F$128,0),"n.a."))</f>
        <v>0</v>
      </c>
      <c r="P1347" s="16">
        <f>IF(NOT(Paths!$C$128=1),0,IF(Paths!$P$128="Complete",O1347+L1347,"n.a."))</f>
        <v>0</v>
      </c>
      <c r="Q1347" s="16">
        <f>IF(NOT(Paths!$C$128=1),0,IF(Paths!$P$128="Complete",N1347*(1+'Operating costs'!$B$54)^-C1347,"n.a."))</f>
        <v>0</v>
      </c>
      <c r="R1347" s="16">
        <f>IF(NOT(Paths!$C$128=1),0,IF(Paths!$P$128="Complete",IF(AND(C1347=0,Paths!$E$128=0),I1347-J1347-K1347+VLOOKUP(A1347,'Fleet register'!$A$7:$S$106,15,FALSE)+VLOOKUP(A1347,'Fleet register'!$A$7:$S$106,16,FALSE),0),"n.a."))</f>
        <v>0</v>
      </c>
      <c r="S1347" s="1">
        <f>IF(NOT(Paths!$C$128=1),0,IF(Paths!$P$128="Complete",IF(C1347=0,0,Paths!$S$128*Paths!$R$128),"n.a."))</f>
        <v>0</v>
      </c>
      <c r="T1347" s="1">
        <f>IF(NOT(Paths!$C$128=1),0,IF(Paths!$P$128="Complete",IF(C1347=0,0,VLOOKUP(A1347,'Fleet register'!$A$7:$S$106,9,FALSE)*Paths!$R$128),"n.a."))</f>
        <v>0</v>
      </c>
    </row>
    <row r="1348" spans="1:20" ht="24" customHeight="1">
      <c r="A1348" s="1" t="str">
        <f>Paths!$A$128</f>
        <v>T031</v>
      </c>
      <c r="B1348" s="1">
        <f>Paths!$B$128</f>
        <v>1</v>
      </c>
      <c r="C1348" s="1">
        <v>10</v>
      </c>
      <c r="D1348" s="1">
        <v>128</v>
      </c>
      <c r="E1348" s="1">
        <f>IF(OR(Paths!$C$128=0,C1348=0),0,MAX(0,MIN(C1348*12,Paths!$E$128)-(C1348-1)*12))</f>
        <v>0</v>
      </c>
      <c r="F1348" s="1">
        <f>IF(OR(Paths!$C$128=0,C1348=0),0,12-E1348)</f>
        <v>0</v>
      </c>
      <c r="G1348" s="16">
        <f>IF(NOT(Paths!$C$128=1),0,IF(Paths!$P$128="Complete",E1348/12*(Paths!$J$128*(1+'Operating costs'!$B$51)^MAX(0,C1348-1)+Paths!$K$128*(1+'Operating costs'!$B$53)^MAX(0,C1348-1)),"n.a."))</f>
        <v>0</v>
      </c>
      <c r="H1348" s="16">
        <f>IF(NOT(Paths!$C$128=1),0,IF(Paths!$P$128="Complete",F1348/12*(Paths!$L$128*(1+IF(Paths!$D$128="EV",'Operating costs'!$B$52,'Operating costs'!$B$51))^MAX(0,C1348-1)+Paths!$M$128*(1+'Operating costs'!$B$53)^MAX(0,C1348-1)),"n.a."))</f>
        <v>0</v>
      </c>
      <c r="I1348" s="16">
        <f>IF(NOT(Paths!$C$128=1),0,IF(Paths!$P$128="Complete",IF(IF(Paths!$E$128=0,C1348=0,AND(C1348&gt;0,Paths!$E$128&gt;(C1348-1)*12,Paths!$E$128&lt;=C1348*12)),Paths!$G$128,0),"n.a."))</f>
        <v>0</v>
      </c>
      <c r="J1348" s="16">
        <f>IF(NOT(Paths!$C$128=1),0,IF(Paths!$P$128="Complete",IF(IF(Paths!$E$128=0,C1348=0,AND(C1348&gt;0,Paths!$E$128&gt;(C1348-1)*12,Paths!$E$128&lt;=C1348*12)),Paths!$H$128,0),"n.a."))</f>
        <v>0</v>
      </c>
      <c r="K1348" s="16">
        <f>IF(NOT(Paths!$C$128=1),0,IF(Paths!$P$128="Complete",IF(IF(Paths!$O$128=0,C1348=0,AND(C1348&gt;0,Paths!$O$128&gt;(C1348-1)*12,Paths!$O$128&lt;=C1348*12)),Paths!$N$128,0),"n.a."))</f>
        <v>0</v>
      </c>
      <c r="L1348" s="16">
        <f>IF(NOT(Paths!$C$128=1),0,IF(Paths!$P$128="Complete",IF(C1348=10,Paths!$I$128,0),"n.a."))</f>
        <v>0</v>
      </c>
      <c r="M1348" s="16">
        <f>IF(NOT(Paths!$C$128=1),0,IF(Paths!$P$128="Complete",IF(AND(Paths!$D$128="EV",Paths!$E$128&lt;120,Paths!$E$128+'Operating costs'!$B$65&gt;Paths!$E$128,Paths!$E$128+'Operating costs'!$B$65&lt;=120,IF(Paths!$E$128+'Operating costs'!$B$65=0,C1348=0,AND(C1348&gt;0,Paths!$E$128+'Operating costs'!$B$65&gt;(C1348-1)*12,Paths!$E$128+'Operating costs'!$B$65&lt;=C1348*12))),'Operating costs'!$B$64,0)+IF(AND('Operating costs'!$B$67&gt;0,'Operating costs'!$B$67&lt;=120,OR(Paths!$D$128="ICE",'Operating costs'!$B$67&lt;=Paths!$E$128),IF('Operating costs'!$B$67=0,C1348=0,AND(C1348&gt;0,'Operating costs'!$B$67&gt;(C1348-1)*12,'Operating costs'!$B$67&lt;=C1348*12))),'Operating costs'!$B$66,0),"n.a."))</f>
        <v>0</v>
      </c>
      <c r="N1348" s="16">
        <f>IF(NOT(Paths!$C$128=1),0,IF(Paths!$P$128="Complete",SUM(G1348:I1348)-J1348-K1348-L1348+M1348+IF(C1348=0,Paths!$F$128,0)+IF(IF(Paths!$E$128=0,C1348=0,AND(C1348&gt;0,Paths!$E$128&gt;(C1348-1)*12,Paths!$E$128&lt;=C1348*12)),VLOOKUP(A1348,'Fleet register'!$A$7:$S$106,16,FALSE),0),"n.a."))</f>
        <v>0</v>
      </c>
      <c r="O1348" s="16">
        <f>IF(NOT(Paths!$C$128=1),0,IF(Paths!$P$128="Complete",N1348-IF(C1348=0,Paths!$F$128,0),"n.a."))</f>
        <v>0</v>
      </c>
      <c r="P1348" s="16">
        <f>IF(NOT(Paths!$C$128=1),0,IF(Paths!$P$128="Complete",O1348+L1348,"n.a."))</f>
        <v>0</v>
      </c>
      <c r="Q1348" s="16">
        <f>IF(NOT(Paths!$C$128=1),0,IF(Paths!$P$128="Complete",N1348*(1+'Operating costs'!$B$54)^-C1348,"n.a."))</f>
        <v>0</v>
      </c>
      <c r="R1348" s="16">
        <f>IF(NOT(Paths!$C$128=1),0,IF(Paths!$P$128="Complete",IF(AND(C1348=0,Paths!$E$128=0),I1348-J1348-K1348+VLOOKUP(A1348,'Fleet register'!$A$7:$S$106,15,FALSE)+VLOOKUP(A1348,'Fleet register'!$A$7:$S$106,16,FALSE),0),"n.a."))</f>
        <v>0</v>
      </c>
      <c r="S1348" s="1">
        <f>IF(NOT(Paths!$C$128=1),0,IF(Paths!$P$128="Complete",IF(C1348=0,0,Paths!$S$128*Paths!$R$128),"n.a."))</f>
        <v>0</v>
      </c>
      <c r="T1348" s="1">
        <f>IF(NOT(Paths!$C$128=1),0,IF(Paths!$P$128="Complete",IF(C1348=0,0,VLOOKUP(A1348,'Fleet register'!$A$7:$S$106,9,FALSE)*Paths!$R$128),"n.a."))</f>
        <v>0</v>
      </c>
    </row>
    <row r="1349" spans="1:20" ht="24" customHeight="1">
      <c r="A1349" s="1" t="str">
        <f>Paths!$A$129</f>
        <v>T031</v>
      </c>
      <c r="B1349" s="1">
        <f>Paths!$B$129</f>
        <v>2</v>
      </c>
      <c r="C1349" s="1">
        <v>0</v>
      </c>
      <c r="D1349" s="1">
        <v>129</v>
      </c>
      <c r="E1349" s="1">
        <f>IF(OR(Paths!$C$129=0,C1349=0),0,MAX(0,MIN(C1349*12,Paths!$E$129)-(C1349-1)*12))</f>
        <v>0</v>
      </c>
      <c r="F1349" s="1">
        <f>IF(OR(Paths!$C$129=0,C1349=0),0,12-E1349)</f>
        <v>0</v>
      </c>
      <c r="G1349" s="16">
        <f>IF(NOT(Paths!$C$129=1),0,IF(Paths!$P$129="Complete",E1349/12*(Paths!$J$129*(1+'Operating costs'!$B$51)^MAX(0,C1349-1)+Paths!$K$129*(1+'Operating costs'!$B$53)^MAX(0,C1349-1)),"n.a."))</f>
        <v>0</v>
      </c>
      <c r="H1349" s="16">
        <f>IF(NOT(Paths!$C$129=1),0,IF(Paths!$P$129="Complete",F1349/12*(Paths!$L$129*(1+IF(Paths!$D$129="EV",'Operating costs'!$B$52,'Operating costs'!$B$51))^MAX(0,C1349-1)+Paths!$M$129*(1+'Operating costs'!$B$53)^MAX(0,C1349-1)),"n.a."))</f>
        <v>0</v>
      </c>
      <c r="I1349" s="16">
        <f>IF(NOT(Paths!$C$129=1),0,IF(Paths!$P$129="Complete",IF(IF(Paths!$E$129=0,C1349=0,AND(C1349&gt;0,Paths!$E$129&gt;(C1349-1)*12,Paths!$E$129&lt;=C1349*12)),Paths!$G$129,0),"n.a."))</f>
        <v>0</v>
      </c>
      <c r="J1349" s="16">
        <f>IF(NOT(Paths!$C$129=1),0,IF(Paths!$P$129="Complete",IF(IF(Paths!$E$129=0,C1349=0,AND(C1349&gt;0,Paths!$E$129&gt;(C1349-1)*12,Paths!$E$129&lt;=C1349*12)),Paths!$H$129,0),"n.a."))</f>
        <v>0</v>
      </c>
      <c r="K1349" s="16">
        <f>IF(NOT(Paths!$C$129=1),0,IF(Paths!$P$129="Complete",IF(IF(Paths!$O$129=0,C1349=0,AND(C1349&gt;0,Paths!$O$129&gt;(C1349-1)*12,Paths!$O$129&lt;=C1349*12)),Paths!$N$129,0),"n.a."))</f>
        <v>0</v>
      </c>
      <c r="L1349" s="16">
        <f>IF(NOT(Paths!$C$129=1),0,IF(Paths!$P$129="Complete",IF(C1349=10,Paths!$I$129,0),"n.a."))</f>
        <v>0</v>
      </c>
      <c r="M1349" s="16">
        <f>IF(NOT(Paths!$C$129=1),0,IF(Paths!$P$129="Complete",IF(AND(Paths!$D$129="EV",Paths!$E$129&lt;120,Paths!$E$129+'Operating costs'!$B$65&gt;Paths!$E$129,Paths!$E$129+'Operating costs'!$B$65&lt;=120,IF(Paths!$E$129+'Operating costs'!$B$65=0,C1349=0,AND(C1349&gt;0,Paths!$E$129+'Operating costs'!$B$65&gt;(C1349-1)*12,Paths!$E$129+'Operating costs'!$B$65&lt;=C1349*12))),'Operating costs'!$B$64,0)+IF(AND('Operating costs'!$B$67&gt;0,'Operating costs'!$B$67&lt;=120,OR(Paths!$D$129="ICE",'Operating costs'!$B$67&lt;=Paths!$E$129),IF('Operating costs'!$B$67=0,C1349=0,AND(C1349&gt;0,'Operating costs'!$B$67&gt;(C1349-1)*12,'Operating costs'!$B$67&lt;=C1349*12))),'Operating costs'!$B$66,0),"n.a."))</f>
        <v>0</v>
      </c>
      <c r="N1349" s="16">
        <f>IF(NOT(Paths!$C$129=1),0,IF(Paths!$P$129="Complete",SUM(G1349:I1349)-J1349-K1349-L1349+M1349+IF(C1349=0,Paths!$F$129,0)+IF(IF(Paths!$E$129=0,C1349=0,AND(C1349&gt;0,Paths!$E$129&gt;(C1349-1)*12,Paths!$E$129&lt;=C1349*12)),VLOOKUP(A1349,'Fleet register'!$A$7:$S$106,16,FALSE),0),"n.a."))</f>
        <v>0</v>
      </c>
      <c r="O1349" s="16">
        <f>IF(NOT(Paths!$C$129=1),0,IF(Paths!$P$129="Complete",N1349-IF(C1349=0,Paths!$F$129,0),"n.a."))</f>
        <v>0</v>
      </c>
      <c r="P1349" s="16">
        <f>IF(NOT(Paths!$C$129=1),0,IF(Paths!$P$129="Complete",O1349+L1349,"n.a."))</f>
        <v>0</v>
      </c>
      <c r="Q1349" s="16">
        <f>IF(NOT(Paths!$C$129=1),0,IF(Paths!$P$129="Complete",N1349*(1+'Operating costs'!$B$54)^-C1349,"n.a."))</f>
        <v>0</v>
      </c>
      <c r="R1349" s="16">
        <f>IF(NOT(Paths!$C$129=1),0,IF(Paths!$P$129="Complete",IF(AND(C1349=0,Paths!$E$129=0),I1349-J1349-K1349+VLOOKUP(A1349,'Fleet register'!$A$7:$S$106,15,FALSE)+VLOOKUP(A1349,'Fleet register'!$A$7:$S$106,16,FALSE),0),"n.a."))</f>
        <v>0</v>
      </c>
      <c r="S1349" s="1">
        <f>IF(NOT(Paths!$C$129=1),0,IF(Paths!$P$129="Complete",IF(C1349=0,0,Paths!$S$129*Paths!$R$129),"n.a."))</f>
        <v>0</v>
      </c>
      <c r="T1349" s="1">
        <f>IF(NOT(Paths!$C$129=1),0,IF(Paths!$P$129="Complete",IF(C1349=0,0,VLOOKUP(A1349,'Fleet register'!$A$7:$S$106,9,FALSE)*Paths!$R$129),"n.a."))</f>
        <v>0</v>
      </c>
    </row>
    <row r="1350" spans="1:20" ht="24" customHeight="1">
      <c r="A1350" s="1" t="str">
        <f>Paths!$A$129</f>
        <v>T031</v>
      </c>
      <c r="B1350" s="1">
        <f>Paths!$B$129</f>
        <v>2</v>
      </c>
      <c r="C1350" s="1">
        <v>1</v>
      </c>
      <c r="D1350" s="1">
        <v>129</v>
      </c>
      <c r="E1350" s="1">
        <f>IF(OR(Paths!$C$129=0,C1350=0),0,MAX(0,MIN(C1350*12,Paths!$E$129)-(C1350-1)*12))</f>
        <v>0</v>
      </c>
      <c r="F1350" s="1">
        <f>IF(OR(Paths!$C$129=0,C1350=0),0,12-E1350)</f>
        <v>0</v>
      </c>
      <c r="G1350" s="16">
        <f>IF(NOT(Paths!$C$129=1),0,IF(Paths!$P$129="Complete",E1350/12*(Paths!$J$129*(1+'Operating costs'!$B$51)^MAX(0,C1350-1)+Paths!$K$129*(1+'Operating costs'!$B$53)^MAX(0,C1350-1)),"n.a."))</f>
        <v>0</v>
      </c>
      <c r="H1350" s="16">
        <f>IF(NOT(Paths!$C$129=1),0,IF(Paths!$P$129="Complete",F1350/12*(Paths!$L$129*(1+IF(Paths!$D$129="EV",'Operating costs'!$B$52,'Operating costs'!$B$51))^MAX(0,C1350-1)+Paths!$M$129*(1+'Operating costs'!$B$53)^MAX(0,C1350-1)),"n.a."))</f>
        <v>0</v>
      </c>
      <c r="I1350" s="16">
        <f>IF(NOT(Paths!$C$129=1),0,IF(Paths!$P$129="Complete",IF(IF(Paths!$E$129=0,C1350=0,AND(C1350&gt;0,Paths!$E$129&gt;(C1350-1)*12,Paths!$E$129&lt;=C1350*12)),Paths!$G$129,0),"n.a."))</f>
        <v>0</v>
      </c>
      <c r="J1350" s="16">
        <f>IF(NOT(Paths!$C$129=1),0,IF(Paths!$P$129="Complete",IF(IF(Paths!$E$129=0,C1350=0,AND(C1350&gt;0,Paths!$E$129&gt;(C1350-1)*12,Paths!$E$129&lt;=C1350*12)),Paths!$H$129,0),"n.a."))</f>
        <v>0</v>
      </c>
      <c r="K1350" s="16">
        <f>IF(NOT(Paths!$C$129=1),0,IF(Paths!$P$129="Complete",IF(IF(Paths!$O$129=0,C1350=0,AND(C1350&gt;0,Paths!$O$129&gt;(C1350-1)*12,Paths!$O$129&lt;=C1350*12)),Paths!$N$129,0),"n.a."))</f>
        <v>0</v>
      </c>
      <c r="L1350" s="16">
        <f>IF(NOT(Paths!$C$129=1),0,IF(Paths!$P$129="Complete",IF(C1350=10,Paths!$I$129,0),"n.a."))</f>
        <v>0</v>
      </c>
      <c r="M1350" s="16">
        <f>IF(NOT(Paths!$C$129=1),0,IF(Paths!$P$129="Complete",IF(AND(Paths!$D$129="EV",Paths!$E$129&lt;120,Paths!$E$129+'Operating costs'!$B$65&gt;Paths!$E$129,Paths!$E$129+'Operating costs'!$B$65&lt;=120,IF(Paths!$E$129+'Operating costs'!$B$65=0,C1350=0,AND(C1350&gt;0,Paths!$E$129+'Operating costs'!$B$65&gt;(C1350-1)*12,Paths!$E$129+'Operating costs'!$B$65&lt;=C1350*12))),'Operating costs'!$B$64,0)+IF(AND('Operating costs'!$B$67&gt;0,'Operating costs'!$B$67&lt;=120,OR(Paths!$D$129="ICE",'Operating costs'!$B$67&lt;=Paths!$E$129),IF('Operating costs'!$B$67=0,C1350=0,AND(C1350&gt;0,'Operating costs'!$B$67&gt;(C1350-1)*12,'Operating costs'!$B$67&lt;=C1350*12))),'Operating costs'!$B$66,0),"n.a."))</f>
        <v>0</v>
      </c>
      <c r="N1350" s="16">
        <f>IF(NOT(Paths!$C$129=1),0,IF(Paths!$P$129="Complete",SUM(G1350:I1350)-J1350-K1350-L1350+M1350+IF(C1350=0,Paths!$F$129,0)+IF(IF(Paths!$E$129=0,C1350=0,AND(C1350&gt;0,Paths!$E$129&gt;(C1350-1)*12,Paths!$E$129&lt;=C1350*12)),VLOOKUP(A1350,'Fleet register'!$A$7:$S$106,16,FALSE),0),"n.a."))</f>
        <v>0</v>
      </c>
      <c r="O1350" s="16">
        <f>IF(NOT(Paths!$C$129=1),0,IF(Paths!$P$129="Complete",N1350-IF(C1350=0,Paths!$F$129,0),"n.a."))</f>
        <v>0</v>
      </c>
      <c r="P1350" s="16">
        <f>IF(NOT(Paths!$C$129=1),0,IF(Paths!$P$129="Complete",O1350+L1350,"n.a."))</f>
        <v>0</v>
      </c>
      <c r="Q1350" s="16">
        <f>IF(NOT(Paths!$C$129=1),0,IF(Paths!$P$129="Complete",N1350*(1+'Operating costs'!$B$54)^-C1350,"n.a."))</f>
        <v>0</v>
      </c>
      <c r="R1350" s="16">
        <f>IF(NOT(Paths!$C$129=1),0,IF(Paths!$P$129="Complete",IF(AND(C1350=0,Paths!$E$129=0),I1350-J1350-K1350+VLOOKUP(A1350,'Fleet register'!$A$7:$S$106,15,FALSE)+VLOOKUP(A1350,'Fleet register'!$A$7:$S$106,16,FALSE),0),"n.a."))</f>
        <v>0</v>
      </c>
      <c r="S1350" s="1">
        <f>IF(NOT(Paths!$C$129=1),0,IF(Paths!$P$129="Complete",IF(C1350=0,0,Paths!$S$129*Paths!$R$129),"n.a."))</f>
        <v>0</v>
      </c>
      <c r="T1350" s="1">
        <f>IF(NOT(Paths!$C$129=1),0,IF(Paths!$P$129="Complete",IF(C1350=0,0,VLOOKUP(A1350,'Fleet register'!$A$7:$S$106,9,FALSE)*Paths!$R$129),"n.a."))</f>
        <v>0</v>
      </c>
    </row>
    <row r="1351" spans="1:20" ht="24" customHeight="1">
      <c r="A1351" s="1" t="str">
        <f>Paths!$A$129</f>
        <v>T031</v>
      </c>
      <c r="B1351" s="1">
        <f>Paths!$B$129</f>
        <v>2</v>
      </c>
      <c r="C1351" s="1">
        <v>2</v>
      </c>
      <c r="D1351" s="1">
        <v>129</v>
      </c>
      <c r="E1351" s="1">
        <f>IF(OR(Paths!$C$129=0,C1351=0),0,MAX(0,MIN(C1351*12,Paths!$E$129)-(C1351-1)*12))</f>
        <v>0</v>
      </c>
      <c r="F1351" s="1">
        <f>IF(OR(Paths!$C$129=0,C1351=0),0,12-E1351)</f>
        <v>0</v>
      </c>
      <c r="G1351" s="16">
        <f>IF(NOT(Paths!$C$129=1),0,IF(Paths!$P$129="Complete",E1351/12*(Paths!$J$129*(1+'Operating costs'!$B$51)^MAX(0,C1351-1)+Paths!$K$129*(1+'Operating costs'!$B$53)^MAX(0,C1351-1)),"n.a."))</f>
        <v>0</v>
      </c>
      <c r="H1351" s="16">
        <f>IF(NOT(Paths!$C$129=1),0,IF(Paths!$P$129="Complete",F1351/12*(Paths!$L$129*(1+IF(Paths!$D$129="EV",'Operating costs'!$B$52,'Operating costs'!$B$51))^MAX(0,C1351-1)+Paths!$M$129*(1+'Operating costs'!$B$53)^MAX(0,C1351-1)),"n.a."))</f>
        <v>0</v>
      </c>
      <c r="I1351" s="16">
        <f>IF(NOT(Paths!$C$129=1),0,IF(Paths!$P$129="Complete",IF(IF(Paths!$E$129=0,C1351=0,AND(C1351&gt;0,Paths!$E$129&gt;(C1351-1)*12,Paths!$E$129&lt;=C1351*12)),Paths!$G$129,0),"n.a."))</f>
        <v>0</v>
      </c>
      <c r="J1351" s="16">
        <f>IF(NOT(Paths!$C$129=1),0,IF(Paths!$P$129="Complete",IF(IF(Paths!$E$129=0,C1351=0,AND(C1351&gt;0,Paths!$E$129&gt;(C1351-1)*12,Paths!$E$129&lt;=C1351*12)),Paths!$H$129,0),"n.a."))</f>
        <v>0</v>
      </c>
      <c r="K1351" s="16">
        <f>IF(NOT(Paths!$C$129=1),0,IF(Paths!$P$129="Complete",IF(IF(Paths!$O$129=0,C1351=0,AND(C1351&gt;0,Paths!$O$129&gt;(C1351-1)*12,Paths!$O$129&lt;=C1351*12)),Paths!$N$129,0),"n.a."))</f>
        <v>0</v>
      </c>
      <c r="L1351" s="16">
        <f>IF(NOT(Paths!$C$129=1),0,IF(Paths!$P$129="Complete",IF(C1351=10,Paths!$I$129,0),"n.a."))</f>
        <v>0</v>
      </c>
      <c r="M1351" s="16">
        <f>IF(NOT(Paths!$C$129=1),0,IF(Paths!$P$129="Complete",IF(AND(Paths!$D$129="EV",Paths!$E$129&lt;120,Paths!$E$129+'Operating costs'!$B$65&gt;Paths!$E$129,Paths!$E$129+'Operating costs'!$B$65&lt;=120,IF(Paths!$E$129+'Operating costs'!$B$65=0,C1351=0,AND(C1351&gt;0,Paths!$E$129+'Operating costs'!$B$65&gt;(C1351-1)*12,Paths!$E$129+'Operating costs'!$B$65&lt;=C1351*12))),'Operating costs'!$B$64,0)+IF(AND('Operating costs'!$B$67&gt;0,'Operating costs'!$B$67&lt;=120,OR(Paths!$D$129="ICE",'Operating costs'!$B$67&lt;=Paths!$E$129),IF('Operating costs'!$B$67=0,C1351=0,AND(C1351&gt;0,'Operating costs'!$B$67&gt;(C1351-1)*12,'Operating costs'!$B$67&lt;=C1351*12))),'Operating costs'!$B$66,0),"n.a."))</f>
        <v>0</v>
      </c>
      <c r="N1351" s="16">
        <f>IF(NOT(Paths!$C$129=1),0,IF(Paths!$P$129="Complete",SUM(G1351:I1351)-J1351-K1351-L1351+M1351+IF(C1351=0,Paths!$F$129,0)+IF(IF(Paths!$E$129=0,C1351=0,AND(C1351&gt;0,Paths!$E$129&gt;(C1351-1)*12,Paths!$E$129&lt;=C1351*12)),VLOOKUP(A1351,'Fleet register'!$A$7:$S$106,16,FALSE),0),"n.a."))</f>
        <v>0</v>
      </c>
      <c r="O1351" s="16">
        <f>IF(NOT(Paths!$C$129=1),0,IF(Paths!$P$129="Complete",N1351-IF(C1351=0,Paths!$F$129,0),"n.a."))</f>
        <v>0</v>
      </c>
      <c r="P1351" s="16">
        <f>IF(NOT(Paths!$C$129=1),0,IF(Paths!$P$129="Complete",O1351+L1351,"n.a."))</f>
        <v>0</v>
      </c>
      <c r="Q1351" s="16">
        <f>IF(NOT(Paths!$C$129=1),0,IF(Paths!$P$129="Complete",N1351*(1+'Operating costs'!$B$54)^-C1351,"n.a."))</f>
        <v>0</v>
      </c>
      <c r="R1351" s="16">
        <f>IF(NOT(Paths!$C$129=1),0,IF(Paths!$P$129="Complete",IF(AND(C1351=0,Paths!$E$129=0),I1351-J1351-K1351+VLOOKUP(A1351,'Fleet register'!$A$7:$S$106,15,FALSE)+VLOOKUP(A1351,'Fleet register'!$A$7:$S$106,16,FALSE),0),"n.a."))</f>
        <v>0</v>
      </c>
      <c r="S1351" s="1">
        <f>IF(NOT(Paths!$C$129=1),0,IF(Paths!$P$129="Complete",IF(C1351=0,0,Paths!$S$129*Paths!$R$129),"n.a."))</f>
        <v>0</v>
      </c>
      <c r="T1351" s="1">
        <f>IF(NOT(Paths!$C$129=1),0,IF(Paths!$P$129="Complete",IF(C1351=0,0,VLOOKUP(A1351,'Fleet register'!$A$7:$S$106,9,FALSE)*Paths!$R$129),"n.a."))</f>
        <v>0</v>
      </c>
    </row>
    <row r="1352" spans="1:20" ht="24" customHeight="1">
      <c r="A1352" s="1" t="str">
        <f>Paths!$A$129</f>
        <v>T031</v>
      </c>
      <c r="B1352" s="1">
        <f>Paths!$B$129</f>
        <v>2</v>
      </c>
      <c r="C1352" s="1">
        <v>3</v>
      </c>
      <c r="D1352" s="1">
        <v>129</v>
      </c>
      <c r="E1352" s="1">
        <f>IF(OR(Paths!$C$129=0,C1352=0),0,MAX(0,MIN(C1352*12,Paths!$E$129)-(C1352-1)*12))</f>
        <v>0</v>
      </c>
      <c r="F1352" s="1">
        <f>IF(OR(Paths!$C$129=0,C1352=0),0,12-E1352)</f>
        <v>0</v>
      </c>
      <c r="G1352" s="16">
        <f>IF(NOT(Paths!$C$129=1),0,IF(Paths!$P$129="Complete",E1352/12*(Paths!$J$129*(1+'Operating costs'!$B$51)^MAX(0,C1352-1)+Paths!$K$129*(1+'Operating costs'!$B$53)^MAX(0,C1352-1)),"n.a."))</f>
        <v>0</v>
      </c>
      <c r="H1352" s="16">
        <f>IF(NOT(Paths!$C$129=1),0,IF(Paths!$P$129="Complete",F1352/12*(Paths!$L$129*(1+IF(Paths!$D$129="EV",'Operating costs'!$B$52,'Operating costs'!$B$51))^MAX(0,C1352-1)+Paths!$M$129*(1+'Operating costs'!$B$53)^MAX(0,C1352-1)),"n.a."))</f>
        <v>0</v>
      </c>
      <c r="I1352" s="16">
        <f>IF(NOT(Paths!$C$129=1),0,IF(Paths!$P$129="Complete",IF(IF(Paths!$E$129=0,C1352=0,AND(C1352&gt;0,Paths!$E$129&gt;(C1352-1)*12,Paths!$E$129&lt;=C1352*12)),Paths!$G$129,0),"n.a."))</f>
        <v>0</v>
      </c>
      <c r="J1352" s="16">
        <f>IF(NOT(Paths!$C$129=1),0,IF(Paths!$P$129="Complete",IF(IF(Paths!$E$129=0,C1352=0,AND(C1352&gt;0,Paths!$E$129&gt;(C1352-1)*12,Paths!$E$129&lt;=C1352*12)),Paths!$H$129,0),"n.a."))</f>
        <v>0</v>
      </c>
      <c r="K1352" s="16">
        <f>IF(NOT(Paths!$C$129=1),0,IF(Paths!$P$129="Complete",IF(IF(Paths!$O$129=0,C1352=0,AND(C1352&gt;0,Paths!$O$129&gt;(C1352-1)*12,Paths!$O$129&lt;=C1352*12)),Paths!$N$129,0),"n.a."))</f>
        <v>0</v>
      </c>
      <c r="L1352" s="16">
        <f>IF(NOT(Paths!$C$129=1),0,IF(Paths!$P$129="Complete",IF(C1352=10,Paths!$I$129,0),"n.a."))</f>
        <v>0</v>
      </c>
      <c r="M1352" s="16">
        <f>IF(NOT(Paths!$C$129=1),0,IF(Paths!$P$129="Complete",IF(AND(Paths!$D$129="EV",Paths!$E$129&lt;120,Paths!$E$129+'Operating costs'!$B$65&gt;Paths!$E$129,Paths!$E$129+'Operating costs'!$B$65&lt;=120,IF(Paths!$E$129+'Operating costs'!$B$65=0,C1352=0,AND(C1352&gt;0,Paths!$E$129+'Operating costs'!$B$65&gt;(C1352-1)*12,Paths!$E$129+'Operating costs'!$B$65&lt;=C1352*12))),'Operating costs'!$B$64,0)+IF(AND('Operating costs'!$B$67&gt;0,'Operating costs'!$B$67&lt;=120,OR(Paths!$D$129="ICE",'Operating costs'!$B$67&lt;=Paths!$E$129),IF('Operating costs'!$B$67=0,C1352=0,AND(C1352&gt;0,'Operating costs'!$B$67&gt;(C1352-1)*12,'Operating costs'!$B$67&lt;=C1352*12))),'Operating costs'!$B$66,0),"n.a."))</f>
        <v>0</v>
      </c>
      <c r="N1352" s="16">
        <f>IF(NOT(Paths!$C$129=1),0,IF(Paths!$P$129="Complete",SUM(G1352:I1352)-J1352-K1352-L1352+M1352+IF(C1352=0,Paths!$F$129,0)+IF(IF(Paths!$E$129=0,C1352=0,AND(C1352&gt;0,Paths!$E$129&gt;(C1352-1)*12,Paths!$E$129&lt;=C1352*12)),VLOOKUP(A1352,'Fleet register'!$A$7:$S$106,16,FALSE),0),"n.a."))</f>
        <v>0</v>
      </c>
      <c r="O1352" s="16">
        <f>IF(NOT(Paths!$C$129=1),0,IF(Paths!$P$129="Complete",N1352-IF(C1352=0,Paths!$F$129,0),"n.a."))</f>
        <v>0</v>
      </c>
      <c r="P1352" s="16">
        <f>IF(NOT(Paths!$C$129=1),0,IF(Paths!$P$129="Complete",O1352+L1352,"n.a."))</f>
        <v>0</v>
      </c>
      <c r="Q1352" s="16">
        <f>IF(NOT(Paths!$C$129=1),0,IF(Paths!$P$129="Complete",N1352*(1+'Operating costs'!$B$54)^-C1352,"n.a."))</f>
        <v>0</v>
      </c>
      <c r="R1352" s="16">
        <f>IF(NOT(Paths!$C$129=1),0,IF(Paths!$P$129="Complete",IF(AND(C1352=0,Paths!$E$129=0),I1352-J1352-K1352+VLOOKUP(A1352,'Fleet register'!$A$7:$S$106,15,FALSE)+VLOOKUP(A1352,'Fleet register'!$A$7:$S$106,16,FALSE),0),"n.a."))</f>
        <v>0</v>
      </c>
      <c r="S1352" s="1">
        <f>IF(NOT(Paths!$C$129=1),0,IF(Paths!$P$129="Complete",IF(C1352=0,0,Paths!$S$129*Paths!$R$129),"n.a."))</f>
        <v>0</v>
      </c>
      <c r="T1352" s="1">
        <f>IF(NOT(Paths!$C$129=1),0,IF(Paths!$P$129="Complete",IF(C1352=0,0,VLOOKUP(A1352,'Fleet register'!$A$7:$S$106,9,FALSE)*Paths!$R$129),"n.a."))</f>
        <v>0</v>
      </c>
    </row>
    <row r="1353" spans="1:20" ht="24" customHeight="1">
      <c r="A1353" s="1" t="str">
        <f>Paths!$A$129</f>
        <v>T031</v>
      </c>
      <c r="B1353" s="1">
        <f>Paths!$B$129</f>
        <v>2</v>
      </c>
      <c r="C1353" s="1">
        <v>4</v>
      </c>
      <c r="D1353" s="1">
        <v>129</v>
      </c>
      <c r="E1353" s="1">
        <f>IF(OR(Paths!$C$129=0,C1353=0),0,MAX(0,MIN(C1353*12,Paths!$E$129)-(C1353-1)*12))</f>
        <v>0</v>
      </c>
      <c r="F1353" s="1">
        <f>IF(OR(Paths!$C$129=0,C1353=0),0,12-E1353)</f>
        <v>0</v>
      </c>
      <c r="G1353" s="16">
        <f>IF(NOT(Paths!$C$129=1),0,IF(Paths!$P$129="Complete",E1353/12*(Paths!$J$129*(1+'Operating costs'!$B$51)^MAX(0,C1353-1)+Paths!$K$129*(1+'Operating costs'!$B$53)^MAX(0,C1353-1)),"n.a."))</f>
        <v>0</v>
      </c>
      <c r="H1353" s="16">
        <f>IF(NOT(Paths!$C$129=1),0,IF(Paths!$P$129="Complete",F1353/12*(Paths!$L$129*(1+IF(Paths!$D$129="EV",'Operating costs'!$B$52,'Operating costs'!$B$51))^MAX(0,C1353-1)+Paths!$M$129*(1+'Operating costs'!$B$53)^MAX(0,C1353-1)),"n.a."))</f>
        <v>0</v>
      </c>
      <c r="I1353" s="16">
        <f>IF(NOT(Paths!$C$129=1),0,IF(Paths!$P$129="Complete",IF(IF(Paths!$E$129=0,C1353=0,AND(C1353&gt;0,Paths!$E$129&gt;(C1353-1)*12,Paths!$E$129&lt;=C1353*12)),Paths!$G$129,0),"n.a."))</f>
        <v>0</v>
      </c>
      <c r="J1353" s="16">
        <f>IF(NOT(Paths!$C$129=1),0,IF(Paths!$P$129="Complete",IF(IF(Paths!$E$129=0,C1353=0,AND(C1353&gt;0,Paths!$E$129&gt;(C1353-1)*12,Paths!$E$129&lt;=C1353*12)),Paths!$H$129,0),"n.a."))</f>
        <v>0</v>
      </c>
      <c r="K1353" s="16">
        <f>IF(NOT(Paths!$C$129=1),0,IF(Paths!$P$129="Complete",IF(IF(Paths!$O$129=0,C1353=0,AND(C1353&gt;0,Paths!$O$129&gt;(C1353-1)*12,Paths!$O$129&lt;=C1353*12)),Paths!$N$129,0),"n.a."))</f>
        <v>0</v>
      </c>
      <c r="L1353" s="16">
        <f>IF(NOT(Paths!$C$129=1),0,IF(Paths!$P$129="Complete",IF(C1353=10,Paths!$I$129,0),"n.a."))</f>
        <v>0</v>
      </c>
      <c r="M1353" s="16">
        <f>IF(NOT(Paths!$C$129=1),0,IF(Paths!$P$129="Complete",IF(AND(Paths!$D$129="EV",Paths!$E$129&lt;120,Paths!$E$129+'Operating costs'!$B$65&gt;Paths!$E$129,Paths!$E$129+'Operating costs'!$B$65&lt;=120,IF(Paths!$E$129+'Operating costs'!$B$65=0,C1353=0,AND(C1353&gt;0,Paths!$E$129+'Operating costs'!$B$65&gt;(C1353-1)*12,Paths!$E$129+'Operating costs'!$B$65&lt;=C1353*12))),'Operating costs'!$B$64,0)+IF(AND('Operating costs'!$B$67&gt;0,'Operating costs'!$B$67&lt;=120,OR(Paths!$D$129="ICE",'Operating costs'!$B$67&lt;=Paths!$E$129),IF('Operating costs'!$B$67=0,C1353=0,AND(C1353&gt;0,'Operating costs'!$B$67&gt;(C1353-1)*12,'Operating costs'!$B$67&lt;=C1353*12))),'Operating costs'!$B$66,0),"n.a."))</f>
        <v>0</v>
      </c>
      <c r="N1353" s="16">
        <f>IF(NOT(Paths!$C$129=1),0,IF(Paths!$P$129="Complete",SUM(G1353:I1353)-J1353-K1353-L1353+M1353+IF(C1353=0,Paths!$F$129,0)+IF(IF(Paths!$E$129=0,C1353=0,AND(C1353&gt;0,Paths!$E$129&gt;(C1353-1)*12,Paths!$E$129&lt;=C1353*12)),VLOOKUP(A1353,'Fleet register'!$A$7:$S$106,16,FALSE),0),"n.a."))</f>
        <v>0</v>
      </c>
      <c r="O1353" s="16">
        <f>IF(NOT(Paths!$C$129=1),0,IF(Paths!$P$129="Complete",N1353-IF(C1353=0,Paths!$F$129,0),"n.a."))</f>
        <v>0</v>
      </c>
      <c r="P1353" s="16">
        <f>IF(NOT(Paths!$C$129=1),0,IF(Paths!$P$129="Complete",O1353+L1353,"n.a."))</f>
        <v>0</v>
      </c>
      <c r="Q1353" s="16">
        <f>IF(NOT(Paths!$C$129=1),0,IF(Paths!$P$129="Complete",N1353*(1+'Operating costs'!$B$54)^-C1353,"n.a."))</f>
        <v>0</v>
      </c>
      <c r="R1353" s="16">
        <f>IF(NOT(Paths!$C$129=1),0,IF(Paths!$P$129="Complete",IF(AND(C1353=0,Paths!$E$129=0),I1353-J1353-K1353+VLOOKUP(A1353,'Fleet register'!$A$7:$S$106,15,FALSE)+VLOOKUP(A1353,'Fleet register'!$A$7:$S$106,16,FALSE),0),"n.a."))</f>
        <v>0</v>
      </c>
      <c r="S1353" s="1">
        <f>IF(NOT(Paths!$C$129=1),0,IF(Paths!$P$129="Complete",IF(C1353=0,0,Paths!$S$129*Paths!$R$129),"n.a."))</f>
        <v>0</v>
      </c>
      <c r="T1353" s="1">
        <f>IF(NOT(Paths!$C$129=1),0,IF(Paths!$P$129="Complete",IF(C1353=0,0,VLOOKUP(A1353,'Fleet register'!$A$7:$S$106,9,FALSE)*Paths!$R$129),"n.a."))</f>
        <v>0</v>
      </c>
    </row>
    <row r="1354" spans="1:20" ht="24" customHeight="1">
      <c r="A1354" s="1" t="str">
        <f>Paths!$A$129</f>
        <v>T031</v>
      </c>
      <c r="B1354" s="1">
        <f>Paths!$B$129</f>
        <v>2</v>
      </c>
      <c r="C1354" s="1">
        <v>5</v>
      </c>
      <c r="D1354" s="1">
        <v>129</v>
      </c>
      <c r="E1354" s="1">
        <f>IF(OR(Paths!$C$129=0,C1354=0),0,MAX(0,MIN(C1354*12,Paths!$E$129)-(C1354-1)*12))</f>
        <v>0</v>
      </c>
      <c r="F1354" s="1">
        <f>IF(OR(Paths!$C$129=0,C1354=0),0,12-E1354)</f>
        <v>0</v>
      </c>
      <c r="G1354" s="16">
        <f>IF(NOT(Paths!$C$129=1),0,IF(Paths!$P$129="Complete",E1354/12*(Paths!$J$129*(1+'Operating costs'!$B$51)^MAX(0,C1354-1)+Paths!$K$129*(1+'Operating costs'!$B$53)^MAX(0,C1354-1)),"n.a."))</f>
        <v>0</v>
      </c>
      <c r="H1354" s="16">
        <f>IF(NOT(Paths!$C$129=1),0,IF(Paths!$P$129="Complete",F1354/12*(Paths!$L$129*(1+IF(Paths!$D$129="EV",'Operating costs'!$B$52,'Operating costs'!$B$51))^MAX(0,C1354-1)+Paths!$M$129*(1+'Operating costs'!$B$53)^MAX(0,C1354-1)),"n.a."))</f>
        <v>0</v>
      </c>
      <c r="I1354" s="16">
        <f>IF(NOT(Paths!$C$129=1),0,IF(Paths!$P$129="Complete",IF(IF(Paths!$E$129=0,C1354=0,AND(C1354&gt;0,Paths!$E$129&gt;(C1354-1)*12,Paths!$E$129&lt;=C1354*12)),Paths!$G$129,0),"n.a."))</f>
        <v>0</v>
      </c>
      <c r="J1354" s="16">
        <f>IF(NOT(Paths!$C$129=1),0,IF(Paths!$P$129="Complete",IF(IF(Paths!$E$129=0,C1354=0,AND(C1354&gt;0,Paths!$E$129&gt;(C1354-1)*12,Paths!$E$129&lt;=C1354*12)),Paths!$H$129,0),"n.a."))</f>
        <v>0</v>
      </c>
      <c r="K1354" s="16">
        <f>IF(NOT(Paths!$C$129=1),0,IF(Paths!$P$129="Complete",IF(IF(Paths!$O$129=0,C1354=0,AND(C1354&gt;0,Paths!$O$129&gt;(C1354-1)*12,Paths!$O$129&lt;=C1354*12)),Paths!$N$129,0),"n.a."))</f>
        <v>0</v>
      </c>
      <c r="L1354" s="16">
        <f>IF(NOT(Paths!$C$129=1),0,IF(Paths!$P$129="Complete",IF(C1354=10,Paths!$I$129,0),"n.a."))</f>
        <v>0</v>
      </c>
      <c r="M1354" s="16">
        <f>IF(NOT(Paths!$C$129=1),0,IF(Paths!$P$129="Complete",IF(AND(Paths!$D$129="EV",Paths!$E$129&lt;120,Paths!$E$129+'Operating costs'!$B$65&gt;Paths!$E$129,Paths!$E$129+'Operating costs'!$B$65&lt;=120,IF(Paths!$E$129+'Operating costs'!$B$65=0,C1354=0,AND(C1354&gt;0,Paths!$E$129+'Operating costs'!$B$65&gt;(C1354-1)*12,Paths!$E$129+'Operating costs'!$B$65&lt;=C1354*12))),'Operating costs'!$B$64,0)+IF(AND('Operating costs'!$B$67&gt;0,'Operating costs'!$B$67&lt;=120,OR(Paths!$D$129="ICE",'Operating costs'!$B$67&lt;=Paths!$E$129),IF('Operating costs'!$B$67=0,C1354=0,AND(C1354&gt;0,'Operating costs'!$B$67&gt;(C1354-1)*12,'Operating costs'!$B$67&lt;=C1354*12))),'Operating costs'!$B$66,0),"n.a."))</f>
        <v>0</v>
      </c>
      <c r="N1354" s="16">
        <f>IF(NOT(Paths!$C$129=1),0,IF(Paths!$P$129="Complete",SUM(G1354:I1354)-J1354-K1354-L1354+M1354+IF(C1354=0,Paths!$F$129,0)+IF(IF(Paths!$E$129=0,C1354=0,AND(C1354&gt;0,Paths!$E$129&gt;(C1354-1)*12,Paths!$E$129&lt;=C1354*12)),VLOOKUP(A1354,'Fleet register'!$A$7:$S$106,16,FALSE),0),"n.a."))</f>
        <v>0</v>
      </c>
      <c r="O1354" s="16">
        <f>IF(NOT(Paths!$C$129=1),0,IF(Paths!$P$129="Complete",N1354-IF(C1354=0,Paths!$F$129,0),"n.a."))</f>
        <v>0</v>
      </c>
      <c r="P1354" s="16">
        <f>IF(NOT(Paths!$C$129=1),0,IF(Paths!$P$129="Complete",O1354+L1354,"n.a."))</f>
        <v>0</v>
      </c>
      <c r="Q1354" s="16">
        <f>IF(NOT(Paths!$C$129=1),0,IF(Paths!$P$129="Complete",N1354*(1+'Operating costs'!$B$54)^-C1354,"n.a."))</f>
        <v>0</v>
      </c>
      <c r="R1354" s="16">
        <f>IF(NOT(Paths!$C$129=1),0,IF(Paths!$P$129="Complete",IF(AND(C1354=0,Paths!$E$129=0),I1354-J1354-K1354+VLOOKUP(A1354,'Fleet register'!$A$7:$S$106,15,FALSE)+VLOOKUP(A1354,'Fleet register'!$A$7:$S$106,16,FALSE),0),"n.a."))</f>
        <v>0</v>
      </c>
      <c r="S1354" s="1">
        <f>IF(NOT(Paths!$C$129=1),0,IF(Paths!$P$129="Complete",IF(C1354=0,0,Paths!$S$129*Paths!$R$129),"n.a."))</f>
        <v>0</v>
      </c>
      <c r="T1354" s="1">
        <f>IF(NOT(Paths!$C$129=1),0,IF(Paths!$P$129="Complete",IF(C1354=0,0,VLOOKUP(A1354,'Fleet register'!$A$7:$S$106,9,FALSE)*Paths!$R$129),"n.a."))</f>
        <v>0</v>
      </c>
    </row>
    <row r="1355" spans="1:20" ht="24" customHeight="1">
      <c r="A1355" s="1" t="str">
        <f>Paths!$A$129</f>
        <v>T031</v>
      </c>
      <c r="B1355" s="1">
        <f>Paths!$B$129</f>
        <v>2</v>
      </c>
      <c r="C1355" s="1">
        <v>6</v>
      </c>
      <c r="D1355" s="1">
        <v>129</v>
      </c>
      <c r="E1355" s="1">
        <f>IF(OR(Paths!$C$129=0,C1355=0),0,MAX(0,MIN(C1355*12,Paths!$E$129)-(C1355-1)*12))</f>
        <v>0</v>
      </c>
      <c r="F1355" s="1">
        <f>IF(OR(Paths!$C$129=0,C1355=0),0,12-E1355)</f>
        <v>0</v>
      </c>
      <c r="G1355" s="16">
        <f>IF(NOT(Paths!$C$129=1),0,IF(Paths!$P$129="Complete",E1355/12*(Paths!$J$129*(1+'Operating costs'!$B$51)^MAX(0,C1355-1)+Paths!$K$129*(1+'Operating costs'!$B$53)^MAX(0,C1355-1)),"n.a."))</f>
        <v>0</v>
      </c>
      <c r="H1355" s="16">
        <f>IF(NOT(Paths!$C$129=1),0,IF(Paths!$P$129="Complete",F1355/12*(Paths!$L$129*(1+IF(Paths!$D$129="EV",'Operating costs'!$B$52,'Operating costs'!$B$51))^MAX(0,C1355-1)+Paths!$M$129*(1+'Operating costs'!$B$53)^MAX(0,C1355-1)),"n.a."))</f>
        <v>0</v>
      </c>
      <c r="I1355" s="16">
        <f>IF(NOT(Paths!$C$129=1),0,IF(Paths!$P$129="Complete",IF(IF(Paths!$E$129=0,C1355=0,AND(C1355&gt;0,Paths!$E$129&gt;(C1355-1)*12,Paths!$E$129&lt;=C1355*12)),Paths!$G$129,0),"n.a."))</f>
        <v>0</v>
      </c>
      <c r="J1355" s="16">
        <f>IF(NOT(Paths!$C$129=1),0,IF(Paths!$P$129="Complete",IF(IF(Paths!$E$129=0,C1355=0,AND(C1355&gt;0,Paths!$E$129&gt;(C1355-1)*12,Paths!$E$129&lt;=C1355*12)),Paths!$H$129,0),"n.a."))</f>
        <v>0</v>
      </c>
      <c r="K1355" s="16">
        <f>IF(NOT(Paths!$C$129=1),0,IF(Paths!$P$129="Complete",IF(IF(Paths!$O$129=0,C1355=0,AND(C1355&gt;0,Paths!$O$129&gt;(C1355-1)*12,Paths!$O$129&lt;=C1355*12)),Paths!$N$129,0),"n.a."))</f>
        <v>0</v>
      </c>
      <c r="L1355" s="16">
        <f>IF(NOT(Paths!$C$129=1),0,IF(Paths!$P$129="Complete",IF(C1355=10,Paths!$I$129,0),"n.a."))</f>
        <v>0</v>
      </c>
      <c r="M1355" s="16">
        <f>IF(NOT(Paths!$C$129=1),0,IF(Paths!$P$129="Complete",IF(AND(Paths!$D$129="EV",Paths!$E$129&lt;120,Paths!$E$129+'Operating costs'!$B$65&gt;Paths!$E$129,Paths!$E$129+'Operating costs'!$B$65&lt;=120,IF(Paths!$E$129+'Operating costs'!$B$65=0,C1355=0,AND(C1355&gt;0,Paths!$E$129+'Operating costs'!$B$65&gt;(C1355-1)*12,Paths!$E$129+'Operating costs'!$B$65&lt;=C1355*12))),'Operating costs'!$B$64,0)+IF(AND('Operating costs'!$B$67&gt;0,'Operating costs'!$B$67&lt;=120,OR(Paths!$D$129="ICE",'Operating costs'!$B$67&lt;=Paths!$E$129),IF('Operating costs'!$B$67=0,C1355=0,AND(C1355&gt;0,'Operating costs'!$B$67&gt;(C1355-1)*12,'Operating costs'!$B$67&lt;=C1355*12))),'Operating costs'!$B$66,0),"n.a."))</f>
        <v>0</v>
      </c>
      <c r="N1355" s="16">
        <f>IF(NOT(Paths!$C$129=1),0,IF(Paths!$P$129="Complete",SUM(G1355:I1355)-J1355-K1355-L1355+M1355+IF(C1355=0,Paths!$F$129,0)+IF(IF(Paths!$E$129=0,C1355=0,AND(C1355&gt;0,Paths!$E$129&gt;(C1355-1)*12,Paths!$E$129&lt;=C1355*12)),VLOOKUP(A1355,'Fleet register'!$A$7:$S$106,16,FALSE),0),"n.a."))</f>
        <v>0</v>
      </c>
      <c r="O1355" s="16">
        <f>IF(NOT(Paths!$C$129=1),0,IF(Paths!$P$129="Complete",N1355-IF(C1355=0,Paths!$F$129,0),"n.a."))</f>
        <v>0</v>
      </c>
      <c r="P1355" s="16">
        <f>IF(NOT(Paths!$C$129=1),0,IF(Paths!$P$129="Complete",O1355+L1355,"n.a."))</f>
        <v>0</v>
      </c>
      <c r="Q1355" s="16">
        <f>IF(NOT(Paths!$C$129=1),0,IF(Paths!$P$129="Complete",N1355*(1+'Operating costs'!$B$54)^-C1355,"n.a."))</f>
        <v>0</v>
      </c>
      <c r="R1355" s="16">
        <f>IF(NOT(Paths!$C$129=1),0,IF(Paths!$P$129="Complete",IF(AND(C1355=0,Paths!$E$129=0),I1355-J1355-K1355+VLOOKUP(A1355,'Fleet register'!$A$7:$S$106,15,FALSE)+VLOOKUP(A1355,'Fleet register'!$A$7:$S$106,16,FALSE),0),"n.a."))</f>
        <v>0</v>
      </c>
      <c r="S1355" s="1">
        <f>IF(NOT(Paths!$C$129=1),0,IF(Paths!$P$129="Complete",IF(C1355=0,0,Paths!$S$129*Paths!$R$129),"n.a."))</f>
        <v>0</v>
      </c>
      <c r="T1355" s="1">
        <f>IF(NOT(Paths!$C$129=1),0,IF(Paths!$P$129="Complete",IF(C1355=0,0,VLOOKUP(A1355,'Fleet register'!$A$7:$S$106,9,FALSE)*Paths!$R$129),"n.a."))</f>
        <v>0</v>
      </c>
    </row>
    <row r="1356" spans="1:20" ht="24" customHeight="1">
      <c r="A1356" s="1" t="str">
        <f>Paths!$A$129</f>
        <v>T031</v>
      </c>
      <c r="B1356" s="1">
        <f>Paths!$B$129</f>
        <v>2</v>
      </c>
      <c r="C1356" s="1">
        <v>7</v>
      </c>
      <c r="D1356" s="1">
        <v>129</v>
      </c>
      <c r="E1356" s="1">
        <f>IF(OR(Paths!$C$129=0,C1356=0),0,MAX(0,MIN(C1356*12,Paths!$E$129)-(C1356-1)*12))</f>
        <v>0</v>
      </c>
      <c r="F1356" s="1">
        <f>IF(OR(Paths!$C$129=0,C1356=0),0,12-E1356)</f>
        <v>0</v>
      </c>
      <c r="G1356" s="16">
        <f>IF(NOT(Paths!$C$129=1),0,IF(Paths!$P$129="Complete",E1356/12*(Paths!$J$129*(1+'Operating costs'!$B$51)^MAX(0,C1356-1)+Paths!$K$129*(1+'Operating costs'!$B$53)^MAX(0,C1356-1)),"n.a."))</f>
        <v>0</v>
      </c>
      <c r="H1356" s="16">
        <f>IF(NOT(Paths!$C$129=1),0,IF(Paths!$P$129="Complete",F1356/12*(Paths!$L$129*(1+IF(Paths!$D$129="EV",'Operating costs'!$B$52,'Operating costs'!$B$51))^MAX(0,C1356-1)+Paths!$M$129*(1+'Operating costs'!$B$53)^MAX(0,C1356-1)),"n.a."))</f>
        <v>0</v>
      </c>
      <c r="I1356" s="16">
        <f>IF(NOT(Paths!$C$129=1),0,IF(Paths!$P$129="Complete",IF(IF(Paths!$E$129=0,C1356=0,AND(C1356&gt;0,Paths!$E$129&gt;(C1356-1)*12,Paths!$E$129&lt;=C1356*12)),Paths!$G$129,0),"n.a."))</f>
        <v>0</v>
      </c>
      <c r="J1356" s="16">
        <f>IF(NOT(Paths!$C$129=1),0,IF(Paths!$P$129="Complete",IF(IF(Paths!$E$129=0,C1356=0,AND(C1356&gt;0,Paths!$E$129&gt;(C1356-1)*12,Paths!$E$129&lt;=C1356*12)),Paths!$H$129,0),"n.a."))</f>
        <v>0</v>
      </c>
      <c r="K1356" s="16">
        <f>IF(NOT(Paths!$C$129=1),0,IF(Paths!$P$129="Complete",IF(IF(Paths!$O$129=0,C1356=0,AND(C1356&gt;0,Paths!$O$129&gt;(C1356-1)*12,Paths!$O$129&lt;=C1356*12)),Paths!$N$129,0),"n.a."))</f>
        <v>0</v>
      </c>
      <c r="L1356" s="16">
        <f>IF(NOT(Paths!$C$129=1),0,IF(Paths!$P$129="Complete",IF(C1356=10,Paths!$I$129,0),"n.a."))</f>
        <v>0</v>
      </c>
      <c r="M1356" s="16">
        <f>IF(NOT(Paths!$C$129=1),0,IF(Paths!$P$129="Complete",IF(AND(Paths!$D$129="EV",Paths!$E$129&lt;120,Paths!$E$129+'Operating costs'!$B$65&gt;Paths!$E$129,Paths!$E$129+'Operating costs'!$B$65&lt;=120,IF(Paths!$E$129+'Operating costs'!$B$65=0,C1356=0,AND(C1356&gt;0,Paths!$E$129+'Operating costs'!$B$65&gt;(C1356-1)*12,Paths!$E$129+'Operating costs'!$B$65&lt;=C1356*12))),'Operating costs'!$B$64,0)+IF(AND('Operating costs'!$B$67&gt;0,'Operating costs'!$B$67&lt;=120,OR(Paths!$D$129="ICE",'Operating costs'!$B$67&lt;=Paths!$E$129),IF('Operating costs'!$B$67=0,C1356=0,AND(C1356&gt;0,'Operating costs'!$B$67&gt;(C1356-1)*12,'Operating costs'!$B$67&lt;=C1356*12))),'Operating costs'!$B$66,0),"n.a."))</f>
        <v>0</v>
      </c>
      <c r="N1356" s="16">
        <f>IF(NOT(Paths!$C$129=1),0,IF(Paths!$P$129="Complete",SUM(G1356:I1356)-J1356-K1356-L1356+M1356+IF(C1356=0,Paths!$F$129,0)+IF(IF(Paths!$E$129=0,C1356=0,AND(C1356&gt;0,Paths!$E$129&gt;(C1356-1)*12,Paths!$E$129&lt;=C1356*12)),VLOOKUP(A1356,'Fleet register'!$A$7:$S$106,16,FALSE),0),"n.a."))</f>
        <v>0</v>
      </c>
      <c r="O1356" s="16">
        <f>IF(NOT(Paths!$C$129=1),0,IF(Paths!$P$129="Complete",N1356-IF(C1356=0,Paths!$F$129,0),"n.a."))</f>
        <v>0</v>
      </c>
      <c r="P1356" s="16">
        <f>IF(NOT(Paths!$C$129=1),0,IF(Paths!$P$129="Complete",O1356+L1356,"n.a."))</f>
        <v>0</v>
      </c>
      <c r="Q1356" s="16">
        <f>IF(NOT(Paths!$C$129=1),0,IF(Paths!$P$129="Complete",N1356*(1+'Operating costs'!$B$54)^-C1356,"n.a."))</f>
        <v>0</v>
      </c>
      <c r="R1356" s="16">
        <f>IF(NOT(Paths!$C$129=1),0,IF(Paths!$P$129="Complete",IF(AND(C1356=0,Paths!$E$129=0),I1356-J1356-K1356+VLOOKUP(A1356,'Fleet register'!$A$7:$S$106,15,FALSE)+VLOOKUP(A1356,'Fleet register'!$A$7:$S$106,16,FALSE),0),"n.a."))</f>
        <v>0</v>
      </c>
      <c r="S1356" s="1">
        <f>IF(NOT(Paths!$C$129=1),0,IF(Paths!$P$129="Complete",IF(C1356=0,0,Paths!$S$129*Paths!$R$129),"n.a."))</f>
        <v>0</v>
      </c>
      <c r="T1356" s="1">
        <f>IF(NOT(Paths!$C$129=1),0,IF(Paths!$P$129="Complete",IF(C1356=0,0,VLOOKUP(A1356,'Fleet register'!$A$7:$S$106,9,FALSE)*Paths!$R$129),"n.a."))</f>
        <v>0</v>
      </c>
    </row>
    <row r="1357" spans="1:20" ht="24" customHeight="1">
      <c r="A1357" s="1" t="str">
        <f>Paths!$A$129</f>
        <v>T031</v>
      </c>
      <c r="B1357" s="1">
        <f>Paths!$B$129</f>
        <v>2</v>
      </c>
      <c r="C1357" s="1">
        <v>8</v>
      </c>
      <c r="D1357" s="1">
        <v>129</v>
      </c>
      <c r="E1357" s="1">
        <f>IF(OR(Paths!$C$129=0,C1357=0),0,MAX(0,MIN(C1357*12,Paths!$E$129)-(C1357-1)*12))</f>
        <v>0</v>
      </c>
      <c r="F1357" s="1">
        <f>IF(OR(Paths!$C$129=0,C1357=0),0,12-E1357)</f>
        <v>0</v>
      </c>
      <c r="G1357" s="16">
        <f>IF(NOT(Paths!$C$129=1),0,IF(Paths!$P$129="Complete",E1357/12*(Paths!$J$129*(1+'Operating costs'!$B$51)^MAX(0,C1357-1)+Paths!$K$129*(1+'Operating costs'!$B$53)^MAX(0,C1357-1)),"n.a."))</f>
        <v>0</v>
      </c>
      <c r="H1357" s="16">
        <f>IF(NOT(Paths!$C$129=1),0,IF(Paths!$P$129="Complete",F1357/12*(Paths!$L$129*(1+IF(Paths!$D$129="EV",'Operating costs'!$B$52,'Operating costs'!$B$51))^MAX(0,C1357-1)+Paths!$M$129*(1+'Operating costs'!$B$53)^MAX(0,C1357-1)),"n.a."))</f>
        <v>0</v>
      </c>
      <c r="I1357" s="16">
        <f>IF(NOT(Paths!$C$129=1),0,IF(Paths!$P$129="Complete",IF(IF(Paths!$E$129=0,C1357=0,AND(C1357&gt;0,Paths!$E$129&gt;(C1357-1)*12,Paths!$E$129&lt;=C1357*12)),Paths!$G$129,0),"n.a."))</f>
        <v>0</v>
      </c>
      <c r="J1357" s="16">
        <f>IF(NOT(Paths!$C$129=1),0,IF(Paths!$P$129="Complete",IF(IF(Paths!$E$129=0,C1357=0,AND(C1357&gt;0,Paths!$E$129&gt;(C1357-1)*12,Paths!$E$129&lt;=C1357*12)),Paths!$H$129,0),"n.a."))</f>
        <v>0</v>
      </c>
      <c r="K1357" s="16">
        <f>IF(NOT(Paths!$C$129=1),0,IF(Paths!$P$129="Complete",IF(IF(Paths!$O$129=0,C1357=0,AND(C1357&gt;0,Paths!$O$129&gt;(C1357-1)*12,Paths!$O$129&lt;=C1357*12)),Paths!$N$129,0),"n.a."))</f>
        <v>0</v>
      </c>
      <c r="L1357" s="16">
        <f>IF(NOT(Paths!$C$129=1),0,IF(Paths!$P$129="Complete",IF(C1357=10,Paths!$I$129,0),"n.a."))</f>
        <v>0</v>
      </c>
      <c r="M1357" s="16">
        <f>IF(NOT(Paths!$C$129=1),0,IF(Paths!$P$129="Complete",IF(AND(Paths!$D$129="EV",Paths!$E$129&lt;120,Paths!$E$129+'Operating costs'!$B$65&gt;Paths!$E$129,Paths!$E$129+'Operating costs'!$B$65&lt;=120,IF(Paths!$E$129+'Operating costs'!$B$65=0,C1357=0,AND(C1357&gt;0,Paths!$E$129+'Operating costs'!$B$65&gt;(C1357-1)*12,Paths!$E$129+'Operating costs'!$B$65&lt;=C1357*12))),'Operating costs'!$B$64,0)+IF(AND('Operating costs'!$B$67&gt;0,'Operating costs'!$B$67&lt;=120,OR(Paths!$D$129="ICE",'Operating costs'!$B$67&lt;=Paths!$E$129),IF('Operating costs'!$B$67=0,C1357=0,AND(C1357&gt;0,'Operating costs'!$B$67&gt;(C1357-1)*12,'Operating costs'!$B$67&lt;=C1357*12))),'Operating costs'!$B$66,0),"n.a."))</f>
        <v>0</v>
      </c>
      <c r="N1357" s="16">
        <f>IF(NOT(Paths!$C$129=1),0,IF(Paths!$P$129="Complete",SUM(G1357:I1357)-J1357-K1357-L1357+M1357+IF(C1357=0,Paths!$F$129,0)+IF(IF(Paths!$E$129=0,C1357=0,AND(C1357&gt;0,Paths!$E$129&gt;(C1357-1)*12,Paths!$E$129&lt;=C1357*12)),VLOOKUP(A1357,'Fleet register'!$A$7:$S$106,16,FALSE),0),"n.a."))</f>
        <v>0</v>
      </c>
      <c r="O1357" s="16">
        <f>IF(NOT(Paths!$C$129=1),0,IF(Paths!$P$129="Complete",N1357-IF(C1357=0,Paths!$F$129,0),"n.a."))</f>
        <v>0</v>
      </c>
      <c r="P1357" s="16">
        <f>IF(NOT(Paths!$C$129=1),0,IF(Paths!$P$129="Complete",O1357+L1357,"n.a."))</f>
        <v>0</v>
      </c>
      <c r="Q1357" s="16">
        <f>IF(NOT(Paths!$C$129=1),0,IF(Paths!$P$129="Complete",N1357*(1+'Operating costs'!$B$54)^-C1357,"n.a."))</f>
        <v>0</v>
      </c>
      <c r="R1357" s="16">
        <f>IF(NOT(Paths!$C$129=1),0,IF(Paths!$P$129="Complete",IF(AND(C1357=0,Paths!$E$129=0),I1357-J1357-K1357+VLOOKUP(A1357,'Fleet register'!$A$7:$S$106,15,FALSE)+VLOOKUP(A1357,'Fleet register'!$A$7:$S$106,16,FALSE),0),"n.a."))</f>
        <v>0</v>
      </c>
      <c r="S1357" s="1">
        <f>IF(NOT(Paths!$C$129=1),0,IF(Paths!$P$129="Complete",IF(C1357=0,0,Paths!$S$129*Paths!$R$129),"n.a."))</f>
        <v>0</v>
      </c>
      <c r="T1357" s="1">
        <f>IF(NOT(Paths!$C$129=1),0,IF(Paths!$P$129="Complete",IF(C1357=0,0,VLOOKUP(A1357,'Fleet register'!$A$7:$S$106,9,FALSE)*Paths!$R$129),"n.a."))</f>
        <v>0</v>
      </c>
    </row>
    <row r="1358" spans="1:20" ht="24" customHeight="1">
      <c r="A1358" s="1" t="str">
        <f>Paths!$A$129</f>
        <v>T031</v>
      </c>
      <c r="B1358" s="1">
        <f>Paths!$B$129</f>
        <v>2</v>
      </c>
      <c r="C1358" s="1">
        <v>9</v>
      </c>
      <c r="D1358" s="1">
        <v>129</v>
      </c>
      <c r="E1358" s="1">
        <f>IF(OR(Paths!$C$129=0,C1358=0),0,MAX(0,MIN(C1358*12,Paths!$E$129)-(C1358-1)*12))</f>
        <v>0</v>
      </c>
      <c r="F1358" s="1">
        <f>IF(OR(Paths!$C$129=0,C1358=0),0,12-E1358)</f>
        <v>0</v>
      </c>
      <c r="G1358" s="16">
        <f>IF(NOT(Paths!$C$129=1),0,IF(Paths!$P$129="Complete",E1358/12*(Paths!$J$129*(1+'Operating costs'!$B$51)^MAX(0,C1358-1)+Paths!$K$129*(1+'Operating costs'!$B$53)^MAX(0,C1358-1)),"n.a."))</f>
        <v>0</v>
      </c>
      <c r="H1358" s="16">
        <f>IF(NOT(Paths!$C$129=1),0,IF(Paths!$P$129="Complete",F1358/12*(Paths!$L$129*(1+IF(Paths!$D$129="EV",'Operating costs'!$B$52,'Operating costs'!$B$51))^MAX(0,C1358-1)+Paths!$M$129*(1+'Operating costs'!$B$53)^MAX(0,C1358-1)),"n.a."))</f>
        <v>0</v>
      </c>
      <c r="I1358" s="16">
        <f>IF(NOT(Paths!$C$129=1),0,IF(Paths!$P$129="Complete",IF(IF(Paths!$E$129=0,C1358=0,AND(C1358&gt;0,Paths!$E$129&gt;(C1358-1)*12,Paths!$E$129&lt;=C1358*12)),Paths!$G$129,0),"n.a."))</f>
        <v>0</v>
      </c>
      <c r="J1358" s="16">
        <f>IF(NOT(Paths!$C$129=1),0,IF(Paths!$P$129="Complete",IF(IF(Paths!$E$129=0,C1358=0,AND(C1358&gt;0,Paths!$E$129&gt;(C1358-1)*12,Paths!$E$129&lt;=C1358*12)),Paths!$H$129,0),"n.a."))</f>
        <v>0</v>
      </c>
      <c r="K1358" s="16">
        <f>IF(NOT(Paths!$C$129=1),0,IF(Paths!$P$129="Complete",IF(IF(Paths!$O$129=0,C1358=0,AND(C1358&gt;0,Paths!$O$129&gt;(C1358-1)*12,Paths!$O$129&lt;=C1358*12)),Paths!$N$129,0),"n.a."))</f>
        <v>0</v>
      </c>
      <c r="L1358" s="16">
        <f>IF(NOT(Paths!$C$129=1),0,IF(Paths!$P$129="Complete",IF(C1358=10,Paths!$I$129,0),"n.a."))</f>
        <v>0</v>
      </c>
      <c r="M1358" s="16">
        <f>IF(NOT(Paths!$C$129=1),0,IF(Paths!$P$129="Complete",IF(AND(Paths!$D$129="EV",Paths!$E$129&lt;120,Paths!$E$129+'Operating costs'!$B$65&gt;Paths!$E$129,Paths!$E$129+'Operating costs'!$B$65&lt;=120,IF(Paths!$E$129+'Operating costs'!$B$65=0,C1358=0,AND(C1358&gt;0,Paths!$E$129+'Operating costs'!$B$65&gt;(C1358-1)*12,Paths!$E$129+'Operating costs'!$B$65&lt;=C1358*12))),'Operating costs'!$B$64,0)+IF(AND('Operating costs'!$B$67&gt;0,'Operating costs'!$B$67&lt;=120,OR(Paths!$D$129="ICE",'Operating costs'!$B$67&lt;=Paths!$E$129),IF('Operating costs'!$B$67=0,C1358=0,AND(C1358&gt;0,'Operating costs'!$B$67&gt;(C1358-1)*12,'Operating costs'!$B$67&lt;=C1358*12))),'Operating costs'!$B$66,0),"n.a."))</f>
        <v>0</v>
      </c>
      <c r="N1358" s="16">
        <f>IF(NOT(Paths!$C$129=1),0,IF(Paths!$P$129="Complete",SUM(G1358:I1358)-J1358-K1358-L1358+M1358+IF(C1358=0,Paths!$F$129,0)+IF(IF(Paths!$E$129=0,C1358=0,AND(C1358&gt;0,Paths!$E$129&gt;(C1358-1)*12,Paths!$E$129&lt;=C1358*12)),VLOOKUP(A1358,'Fleet register'!$A$7:$S$106,16,FALSE),0),"n.a."))</f>
        <v>0</v>
      </c>
      <c r="O1358" s="16">
        <f>IF(NOT(Paths!$C$129=1),0,IF(Paths!$P$129="Complete",N1358-IF(C1358=0,Paths!$F$129,0),"n.a."))</f>
        <v>0</v>
      </c>
      <c r="P1358" s="16">
        <f>IF(NOT(Paths!$C$129=1),0,IF(Paths!$P$129="Complete",O1358+L1358,"n.a."))</f>
        <v>0</v>
      </c>
      <c r="Q1358" s="16">
        <f>IF(NOT(Paths!$C$129=1),0,IF(Paths!$P$129="Complete",N1358*(1+'Operating costs'!$B$54)^-C1358,"n.a."))</f>
        <v>0</v>
      </c>
      <c r="R1358" s="16">
        <f>IF(NOT(Paths!$C$129=1),0,IF(Paths!$P$129="Complete",IF(AND(C1358=0,Paths!$E$129=0),I1358-J1358-K1358+VLOOKUP(A1358,'Fleet register'!$A$7:$S$106,15,FALSE)+VLOOKUP(A1358,'Fleet register'!$A$7:$S$106,16,FALSE),0),"n.a."))</f>
        <v>0</v>
      </c>
      <c r="S1358" s="1">
        <f>IF(NOT(Paths!$C$129=1),0,IF(Paths!$P$129="Complete",IF(C1358=0,0,Paths!$S$129*Paths!$R$129),"n.a."))</f>
        <v>0</v>
      </c>
      <c r="T1358" s="1">
        <f>IF(NOT(Paths!$C$129=1),0,IF(Paths!$P$129="Complete",IF(C1358=0,0,VLOOKUP(A1358,'Fleet register'!$A$7:$S$106,9,FALSE)*Paths!$R$129),"n.a."))</f>
        <v>0</v>
      </c>
    </row>
    <row r="1359" spans="1:20" ht="24" customHeight="1">
      <c r="A1359" s="1" t="str">
        <f>Paths!$A$129</f>
        <v>T031</v>
      </c>
      <c r="B1359" s="1">
        <f>Paths!$B$129</f>
        <v>2</v>
      </c>
      <c r="C1359" s="1">
        <v>10</v>
      </c>
      <c r="D1359" s="1">
        <v>129</v>
      </c>
      <c r="E1359" s="1">
        <f>IF(OR(Paths!$C$129=0,C1359=0),0,MAX(0,MIN(C1359*12,Paths!$E$129)-(C1359-1)*12))</f>
        <v>0</v>
      </c>
      <c r="F1359" s="1">
        <f>IF(OR(Paths!$C$129=0,C1359=0),0,12-E1359)</f>
        <v>0</v>
      </c>
      <c r="G1359" s="16">
        <f>IF(NOT(Paths!$C$129=1),0,IF(Paths!$P$129="Complete",E1359/12*(Paths!$J$129*(1+'Operating costs'!$B$51)^MAX(0,C1359-1)+Paths!$K$129*(1+'Operating costs'!$B$53)^MAX(0,C1359-1)),"n.a."))</f>
        <v>0</v>
      </c>
      <c r="H1359" s="16">
        <f>IF(NOT(Paths!$C$129=1),0,IF(Paths!$P$129="Complete",F1359/12*(Paths!$L$129*(1+IF(Paths!$D$129="EV",'Operating costs'!$B$52,'Operating costs'!$B$51))^MAX(0,C1359-1)+Paths!$M$129*(1+'Operating costs'!$B$53)^MAX(0,C1359-1)),"n.a."))</f>
        <v>0</v>
      </c>
      <c r="I1359" s="16">
        <f>IF(NOT(Paths!$C$129=1),0,IF(Paths!$P$129="Complete",IF(IF(Paths!$E$129=0,C1359=0,AND(C1359&gt;0,Paths!$E$129&gt;(C1359-1)*12,Paths!$E$129&lt;=C1359*12)),Paths!$G$129,0),"n.a."))</f>
        <v>0</v>
      </c>
      <c r="J1359" s="16">
        <f>IF(NOT(Paths!$C$129=1),0,IF(Paths!$P$129="Complete",IF(IF(Paths!$E$129=0,C1359=0,AND(C1359&gt;0,Paths!$E$129&gt;(C1359-1)*12,Paths!$E$129&lt;=C1359*12)),Paths!$H$129,0),"n.a."))</f>
        <v>0</v>
      </c>
      <c r="K1359" s="16">
        <f>IF(NOT(Paths!$C$129=1),0,IF(Paths!$P$129="Complete",IF(IF(Paths!$O$129=0,C1359=0,AND(C1359&gt;0,Paths!$O$129&gt;(C1359-1)*12,Paths!$O$129&lt;=C1359*12)),Paths!$N$129,0),"n.a."))</f>
        <v>0</v>
      </c>
      <c r="L1359" s="16">
        <f>IF(NOT(Paths!$C$129=1),0,IF(Paths!$P$129="Complete",IF(C1359=10,Paths!$I$129,0),"n.a."))</f>
        <v>0</v>
      </c>
      <c r="M1359" s="16">
        <f>IF(NOT(Paths!$C$129=1),0,IF(Paths!$P$129="Complete",IF(AND(Paths!$D$129="EV",Paths!$E$129&lt;120,Paths!$E$129+'Operating costs'!$B$65&gt;Paths!$E$129,Paths!$E$129+'Operating costs'!$B$65&lt;=120,IF(Paths!$E$129+'Operating costs'!$B$65=0,C1359=0,AND(C1359&gt;0,Paths!$E$129+'Operating costs'!$B$65&gt;(C1359-1)*12,Paths!$E$129+'Operating costs'!$B$65&lt;=C1359*12))),'Operating costs'!$B$64,0)+IF(AND('Operating costs'!$B$67&gt;0,'Operating costs'!$B$67&lt;=120,OR(Paths!$D$129="ICE",'Operating costs'!$B$67&lt;=Paths!$E$129),IF('Operating costs'!$B$67=0,C1359=0,AND(C1359&gt;0,'Operating costs'!$B$67&gt;(C1359-1)*12,'Operating costs'!$B$67&lt;=C1359*12))),'Operating costs'!$B$66,0),"n.a."))</f>
        <v>0</v>
      </c>
      <c r="N1359" s="16">
        <f>IF(NOT(Paths!$C$129=1),0,IF(Paths!$P$129="Complete",SUM(G1359:I1359)-J1359-K1359-L1359+M1359+IF(C1359=0,Paths!$F$129,0)+IF(IF(Paths!$E$129=0,C1359=0,AND(C1359&gt;0,Paths!$E$129&gt;(C1359-1)*12,Paths!$E$129&lt;=C1359*12)),VLOOKUP(A1359,'Fleet register'!$A$7:$S$106,16,FALSE),0),"n.a."))</f>
        <v>0</v>
      </c>
      <c r="O1359" s="16">
        <f>IF(NOT(Paths!$C$129=1),0,IF(Paths!$P$129="Complete",N1359-IF(C1359=0,Paths!$F$129,0),"n.a."))</f>
        <v>0</v>
      </c>
      <c r="P1359" s="16">
        <f>IF(NOT(Paths!$C$129=1),0,IF(Paths!$P$129="Complete",O1359+L1359,"n.a."))</f>
        <v>0</v>
      </c>
      <c r="Q1359" s="16">
        <f>IF(NOT(Paths!$C$129=1),0,IF(Paths!$P$129="Complete",N1359*(1+'Operating costs'!$B$54)^-C1359,"n.a."))</f>
        <v>0</v>
      </c>
      <c r="R1359" s="16">
        <f>IF(NOT(Paths!$C$129=1),0,IF(Paths!$P$129="Complete",IF(AND(C1359=0,Paths!$E$129=0),I1359-J1359-K1359+VLOOKUP(A1359,'Fleet register'!$A$7:$S$106,15,FALSE)+VLOOKUP(A1359,'Fleet register'!$A$7:$S$106,16,FALSE),0),"n.a."))</f>
        <v>0</v>
      </c>
      <c r="S1359" s="1">
        <f>IF(NOT(Paths!$C$129=1),0,IF(Paths!$P$129="Complete",IF(C1359=0,0,Paths!$S$129*Paths!$R$129),"n.a."))</f>
        <v>0</v>
      </c>
      <c r="T1359" s="1">
        <f>IF(NOT(Paths!$C$129=1),0,IF(Paths!$P$129="Complete",IF(C1359=0,0,VLOOKUP(A1359,'Fleet register'!$A$7:$S$106,9,FALSE)*Paths!$R$129),"n.a."))</f>
        <v>0</v>
      </c>
    </row>
    <row r="1360" spans="1:20" ht="24" customHeight="1">
      <c r="A1360" s="1" t="str">
        <f>Paths!$A$130</f>
        <v>T031</v>
      </c>
      <c r="B1360" s="1">
        <f>Paths!$B$130</f>
        <v>3</v>
      </c>
      <c r="C1360" s="1">
        <v>0</v>
      </c>
      <c r="D1360" s="1">
        <v>130</v>
      </c>
      <c r="E1360" s="1">
        <f>IF(OR(Paths!$C$130=0,C1360=0),0,MAX(0,MIN(C1360*12,Paths!$E$130)-(C1360-1)*12))</f>
        <v>0</v>
      </c>
      <c r="F1360" s="1">
        <f>IF(OR(Paths!$C$130=0,C1360=0),0,12-E1360)</f>
        <v>0</v>
      </c>
      <c r="G1360" s="16">
        <f>IF(NOT(Paths!$C$130=1),0,IF(Paths!$P$130="Complete",E1360/12*(Paths!$J$130*(1+'Operating costs'!$B$51)^MAX(0,C1360-1)+Paths!$K$130*(1+'Operating costs'!$B$53)^MAX(0,C1360-1)),"n.a."))</f>
        <v>0</v>
      </c>
      <c r="H1360" s="16">
        <f>IF(NOT(Paths!$C$130=1),0,IF(Paths!$P$130="Complete",F1360/12*(Paths!$L$130*(1+IF(Paths!$D$130="EV",'Operating costs'!$B$52,'Operating costs'!$B$51))^MAX(0,C1360-1)+Paths!$M$130*(1+'Operating costs'!$B$53)^MAX(0,C1360-1)),"n.a."))</f>
        <v>0</v>
      </c>
      <c r="I1360" s="16">
        <f>IF(NOT(Paths!$C$130=1),0,IF(Paths!$P$130="Complete",IF(IF(Paths!$E$130=0,C1360=0,AND(C1360&gt;0,Paths!$E$130&gt;(C1360-1)*12,Paths!$E$130&lt;=C1360*12)),Paths!$G$130,0),"n.a."))</f>
        <v>0</v>
      </c>
      <c r="J1360" s="16">
        <f>IF(NOT(Paths!$C$130=1),0,IF(Paths!$P$130="Complete",IF(IF(Paths!$E$130=0,C1360=0,AND(C1360&gt;0,Paths!$E$130&gt;(C1360-1)*12,Paths!$E$130&lt;=C1360*12)),Paths!$H$130,0),"n.a."))</f>
        <v>0</v>
      </c>
      <c r="K1360" s="16">
        <f>IF(NOT(Paths!$C$130=1),0,IF(Paths!$P$130="Complete",IF(IF(Paths!$O$130=0,C1360=0,AND(C1360&gt;0,Paths!$O$130&gt;(C1360-1)*12,Paths!$O$130&lt;=C1360*12)),Paths!$N$130,0),"n.a."))</f>
        <v>0</v>
      </c>
      <c r="L1360" s="16">
        <f>IF(NOT(Paths!$C$130=1),0,IF(Paths!$P$130="Complete",IF(C1360=10,Paths!$I$130,0),"n.a."))</f>
        <v>0</v>
      </c>
      <c r="M1360" s="16">
        <f>IF(NOT(Paths!$C$130=1),0,IF(Paths!$P$130="Complete",IF(AND(Paths!$D$130="EV",Paths!$E$130&lt;120,Paths!$E$130+'Operating costs'!$B$65&gt;Paths!$E$130,Paths!$E$130+'Operating costs'!$B$65&lt;=120,IF(Paths!$E$130+'Operating costs'!$B$65=0,C1360=0,AND(C1360&gt;0,Paths!$E$130+'Operating costs'!$B$65&gt;(C1360-1)*12,Paths!$E$130+'Operating costs'!$B$65&lt;=C1360*12))),'Operating costs'!$B$64,0)+IF(AND('Operating costs'!$B$67&gt;0,'Operating costs'!$B$67&lt;=120,OR(Paths!$D$130="ICE",'Operating costs'!$B$67&lt;=Paths!$E$130),IF('Operating costs'!$B$67=0,C1360=0,AND(C1360&gt;0,'Operating costs'!$B$67&gt;(C1360-1)*12,'Operating costs'!$B$67&lt;=C1360*12))),'Operating costs'!$B$66,0),"n.a."))</f>
        <v>0</v>
      </c>
      <c r="N1360" s="16">
        <f>IF(NOT(Paths!$C$130=1),0,IF(Paths!$P$130="Complete",SUM(G1360:I1360)-J1360-K1360-L1360+M1360+IF(C1360=0,Paths!$F$130,0)+IF(IF(Paths!$E$130=0,C1360=0,AND(C1360&gt;0,Paths!$E$130&gt;(C1360-1)*12,Paths!$E$130&lt;=C1360*12)),VLOOKUP(A1360,'Fleet register'!$A$7:$S$106,16,FALSE),0),"n.a."))</f>
        <v>0</v>
      </c>
      <c r="O1360" s="16">
        <f>IF(NOT(Paths!$C$130=1),0,IF(Paths!$P$130="Complete",N1360-IF(C1360=0,Paths!$F$130,0),"n.a."))</f>
        <v>0</v>
      </c>
      <c r="P1360" s="16">
        <f>IF(NOT(Paths!$C$130=1),0,IF(Paths!$P$130="Complete",O1360+L1360,"n.a."))</f>
        <v>0</v>
      </c>
      <c r="Q1360" s="16">
        <f>IF(NOT(Paths!$C$130=1),0,IF(Paths!$P$130="Complete",N1360*(1+'Operating costs'!$B$54)^-C1360,"n.a."))</f>
        <v>0</v>
      </c>
      <c r="R1360" s="16">
        <f>IF(NOT(Paths!$C$130=1),0,IF(Paths!$P$130="Complete",IF(AND(C1360=0,Paths!$E$130=0),I1360-J1360-K1360+VLOOKUP(A1360,'Fleet register'!$A$7:$S$106,15,FALSE)+VLOOKUP(A1360,'Fleet register'!$A$7:$S$106,16,FALSE),0),"n.a."))</f>
        <v>0</v>
      </c>
      <c r="S1360" s="1">
        <f>IF(NOT(Paths!$C$130=1),0,IF(Paths!$P$130="Complete",IF(C1360=0,0,Paths!$S$130*Paths!$R$130),"n.a."))</f>
        <v>0</v>
      </c>
      <c r="T1360" s="1">
        <f>IF(NOT(Paths!$C$130=1),0,IF(Paths!$P$130="Complete",IF(C1360=0,0,VLOOKUP(A1360,'Fleet register'!$A$7:$S$106,9,FALSE)*Paths!$R$130),"n.a."))</f>
        <v>0</v>
      </c>
    </row>
    <row r="1361" spans="1:20" ht="24" customHeight="1">
      <c r="A1361" s="1" t="str">
        <f>Paths!$A$130</f>
        <v>T031</v>
      </c>
      <c r="B1361" s="1">
        <f>Paths!$B$130</f>
        <v>3</v>
      </c>
      <c r="C1361" s="1">
        <v>1</v>
      </c>
      <c r="D1361" s="1">
        <v>130</v>
      </c>
      <c r="E1361" s="1">
        <f>IF(OR(Paths!$C$130=0,C1361=0),0,MAX(0,MIN(C1361*12,Paths!$E$130)-(C1361-1)*12))</f>
        <v>0</v>
      </c>
      <c r="F1361" s="1">
        <f>IF(OR(Paths!$C$130=0,C1361=0),0,12-E1361)</f>
        <v>0</v>
      </c>
      <c r="G1361" s="16">
        <f>IF(NOT(Paths!$C$130=1),0,IF(Paths!$P$130="Complete",E1361/12*(Paths!$J$130*(1+'Operating costs'!$B$51)^MAX(0,C1361-1)+Paths!$K$130*(1+'Operating costs'!$B$53)^MAX(0,C1361-1)),"n.a."))</f>
        <v>0</v>
      </c>
      <c r="H1361" s="16">
        <f>IF(NOT(Paths!$C$130=1),0,IF(Paths!$P$130="Complete",F1361/12*(Paths!$L$130*(1+IF(Paths!$D$130="EV",'Operating costs'!$B$52,'Operating costs'!$B$51))^MAX(0,C1361-1)+Paths!$M$130*(1+'Operating costs'!$B$53)^MAX(0,C1361-1)),"n.a."))</f>
        <v>0</v>
      </c>
      <c r="I1361" s="16">
        <f>IF(NOT(Paths!$C$130=1),0,IF(Paths!$P$130="Complete",IF(IF(Paths!$E$130=0,C1361=0,AND(C1361&gt;0,Paths!$E$130&gt;(C1361-1)*12,Paths!$E$130&lt;=C1361*12)),Paths!$G$130,0),"n.a."))</f>
        <v>0</v>
      </c>
      <c r="J1361" s="16">
        <f>IF(NOT(Paths!$C$130=1),0,IF(Paths!$P$130="Complete",IF(IF(Paths!$E$130=0,C1361=0,AND(C1361&gt;0,Paths!$E$130&gt;(C1361-1)*12,Paths!$E$130&lt;=C1361*12)),Paths!$H$130,0),"n.a."))</f>
        <v>0</v>
      </c>
      <c r="K1361" s="16">
        <f>IF(NOT(Paths!$C$130=1),0,IF(Paths!$P$130="Complete",IF(IF(Paths!$O$130=0,C1361=0,AND(C1361&gt;0,Paths!$O$130&gt;(C1361-1)*12,Paths!$O$130&lt;=C1361*12)),Paths!$N$130,0),"n.a."))</f>
        <v>0</v>
      </c>
      <c r="L1361" s="16">
        <f>IF(NOT(Paths!$C$130=1),0,IF(Paths!$P$130="Complete",IF(C1361=10,Paths!$I$130,0),"n.a."))</f>
        <v>0</v>
      </c>
      <c r="M1361" s="16">
        <f>IF(NOT(Paths!$C$130=1),0,IF(Paths!$P$130="Complete",IF(AND(Paths!$D$130="EV",Paths!$E$130&lt;120,Paths!$E$130+'Operating costs'!$B$65&gt;Paths!$E$130,Paths!$E$130+'Operating costs'!$B$65&lt;=120,IF(Paths!$E$130+'Operating costs'!$B$65=0,C1361=0,AND(C1361&gt;0,Paths!$E$130+'Operating costs'!$B$65&gt;(C1361-1)*12,Paths!$E$130+'Operating costs'!$B$65&lt;=C1361*12))),'Operating costs'!$B$64,0)+IF(AND('Operating costs'!$B$67&gt;0,'Operating costs'!$B$67&lt;=120,OR(Paths!$D$130="ICE",'Operating costs'!$B$67&lt;=Paths!$E$130),IF('Operating costs'!$B$67=0,C1361=0,AND(C1361&gt;0,'Operating costs'!$B$67&gt;(C1361-1)*12,'Operating costs'!$B$67&lt;=C1361*12))),'Operating costs'!$B$66,0),"n.a."))</f>
        <v>0</v>
      </c>
      <c r="N1361" s="16">
        <f>IF(NOT(Paths!$C$130=1),0,IF(Paths!$P$130="Complete",SUM(G1361:I1361)-J1361-K1361-L1361+M1361+IF(C1361=0,Paths!$F$130,0)+IF(IF(Paths!$E$130=0,C1361=0,AND(C1361&gt;0,Paths!$E$130&gt;(C1361-1)*12,Paths!$E$130&lt;=C1361*12)),VLOOKUP(A1361,'Fleet register'!$A$7:$S$106,16,FALSE),0),"n.a."))</f>
        <v>0</v>
      </c>
      <c r="O1361" s="16">
        <f>IF(NOT(Paths!$C$130=1),0,IF(Paths!$P$130="Complete",N1361-IF(C1361=0,Paths!$F$130,0),"n.a."))</f>
        <v>0</v>
      </c>
      <c r="P1361" s="16">
        <f>IF(NOT(Paths!$C$130=1),0,IF(Paths!$P$130="Complete",O1361+L1361,"n.a."))</f>
        <v>0</v>
      </c>
      <c r="Q1361" s="16">
        <f>IF(NOT(Paths!$C$130=1),0,IF(Paths!$P$130="Complete",N1361*(1+'Operating costs'!$B$54)^-C1361,"n.a."))</f>
        <v>0</v>
      </c>
      <c r="R1361" s="16">
        <f>IF(NOT(Paths!$C$130=1),0,IF(Paths!$P$130="Complete",IF(AND(C1361=0,Paths!$E$130=0),I1361-J1361-K1361+VLOOKUP(A1361,'Fleet register'!$A$7:$S$106,15,FALSE)+VLOOKUP(A1361,'Fleet register'!$A$7:$S$106,16,FALSE),0),"n.a."))</f>
        <v>0</v>
      </c>
      <c r="S1361" s="1">
        <f>IF(NOT(Paths!$C$130=1),0,IF(Paths!$P$130="Complete",IF(C1361=0,0,Paths!$S$130*Paths!$R$130),"n.a."))</f>
        <v>0</v>
      </c>
      <c r="T1361" s="1">
        <f>IF(NOT(Paths!$C$130=1),0,IF(Paths!$P$130="Complete",IF(C1361=0,0,VLOOKUP(A1361,'Fleet register'!$A$7:$S$106,9,FALSE)*Paths!$R$130),"n.a."))</f>
        <v>0</v>
      </c>
    </row>
    <row r="1362" spans="1:20" ht="24" customHeight="1">
      <c r="A1362" s="1" t="str">
        <f>Paths!$A$130</f>
        <v>T031</v>
      </c>
      <c r="B1362" s="1">
        <f>Paths!$B$130</f>
        <v>3</v>
      </c>
      <c r="C1362" s="1">
        <v>2</v>
      </c>
      <c r="D1362" s="1">
        <v>130</v>
      </c>
      <c r="E1362" s="1">
        <f>IF(OR(Paths!$C$130=0,C1362=0),0,MAX(0,MIN(C1362*12,Paths!$E$130)-(C1362-1)*12))</f>
        <v>0</v>
      </c>
      <c r="F1362" s="1">
        <f>IF(OR(Paths!$C$130=0,C1362=0),0,12-E1362)</f>
        <v>0</v>
      </c>
      <c r="G1362" s="16">
        <f>IF(NOT(Paths!$C$130=1),0,IF(Paths!$P$130="Complete",E1362/12*(Paths!$J$130*(1+'Operating costs'!$B$51)^MAX(0,C1362-1)+Paths!$K$130*(1+'Operating costs'!$B$53)^MAX(0,C1362-1)),"n.a."))</f>
        <v>0</v>
      </c>
      <c r="H1362" s="16">
        <f>IF(NOT(Paths!$C$130=1),0,IF(Paths!$P$130="Complete",F1362/12*(Paths!$L$130*(1+IF(Paths!$D$130="EV",'Operating costs'!$B$52,'Operating costs'!$B$51))^MAX(0,C1362-1)+Paths!$M$130*(1+'Operating costs'!$B$53)^MAX(0,C1362-1)),"n.a."))</f>
        <v>0</v>
      </c>
      <c r="I1362" s="16">
        <f>IF(NOT(Paths!$C$130=1),0,IF(Paths!$P$130="Complete",IF(IF(Paths!$E$130=0,C1362=0,AND(C1362&gt;0,Paths!$E$130&gt;(C1362-1)*12,Paths!$E$130&lt;=C1362*12)),Paths!$G$130,0),"n.a."))</f>
        <v>0</v>
      </c>
      <c r="J1362" s="16">
        <f>IF(NOT(Paths!$C$130=1),0,IF(Paths!$P$130="Complete",IF(IF(Paths!$E$130=0,C1362=0,AND(C1362&gt;0,Paths!$E$130&gt;(C1362-1)*12,Paths!$E$130&lt;=C1362*12)),Paths!$H$130,0),"n.a."))</f>
        <v>0</v>
      </c>
      <c r="K1362" s="16">
        <f>IF(NOT(Paths!$C$130=1),0,IF(Paths!$P$130="Complete",IF(IF(Paths!$O$130=0,C1362=0,AND(C1362&gt;0,Paths!$O$130&gt;(C1362-1)*12,Paths!$O$130&lt;=C1362*12)),Paths!$N$130,0),"n.a."))</f>
        <v>0</v>
      </c>
      <c r="L1362" s="16">
        <f>IF(NOT(Paths!$C$130=1),0,IF(Paths!$P$130="Complete",IF(C1362=10,Paths!$I$130,0),"n.a."))</f>
        <v>0</v>
      </c>
      <c r="M1362" s="16">
        <f>IF(NOT(Paths!$C$130=1),0,IF(Paths!$P$130="Complete",IF(AND(Paths!$D$130="EV",Paths!$E$130&lt;120,Paths!$E$130+'Operating costs'!$B$65&gt;Paths!$E$130,Paths!$E$130+'Operating costs'!$B$65&lt;=120,IF(Paths!$E$130+'Operating costs'!$B$65=0,C1362=0,AND(C1362&gt;0,Paths!$E$130+'Operating costs'!$B$65&gt;(C1362-1)*12,Paths!$E$130+'Operating costs'!$B$65&lt;=C1362*12))),'Operating costs'!$B$64,0)+IF(AND('Operating costs'!$B$67&gt;0,'Operating costs'!$B$67&lt;=120,OR(Paths!$D$130="ICE",'Operating costs'!$B$67&lt;=Paths!$E$130),IF('Operating costs'!$B$67=0,C1362=0,AND(C1362&gt;0,'Operating costs'!$B$67&gt;(C1362-1)*12,'Operating costs'!$B$67&lt;=C1362*12))),'Operating costs'!$B$66,0),"n.a."))</f>
        <v>0</v>
      </c>
      <c r="N1362" s="16">
        <f>IF(NOT(Paths!$C$130=1),0,IF(Paths!$P$130="Complete",SUM(G1362:I1362)-J1362-K1362-L1362+M1362+IF(C1362=0,Paths!$F$130,0)+IF(IF(Paths!$E$130=0,C1362=0,AND(C1362&gt;0,Paths!$E$130&gt;(C1362-1)*12,Paths!$E$130&lt;=C1362*12)),VLOOKUP(A1362,'Fleet register'!$A$7:$S$106,16,FALSE),0),"n.a."))</f>
        <v>0</v>
      </c>
      <c r="O1362" s="16">
        <f>IF(NOT(Paths!$C$130=1),0,IF(Paths!$P$130="Complete",N1362-IF(C1362=0,Paths!$F$130,0),"n.a."))</f>
        <v>0</v>
      </c>
      <c r="P1362" s="16">
        <f>IF(NOT(Paths!$C$130=1),0,IF(Paths!$P$130="Complete",O1362+L1362,"n.a."))</f>
        <v>0</v>
      </c>
      <c r="Q1362" s="16">
        <f>IF(NOT(Paths!$C$130=1),0,IF(Paths!$P$130="Complete",N1362*(1+'Operating costs'!$B$54)^-C1362,"n.a."))</f>
        <v>0</v>
      </c>
      <c r="R1362" s="16">
        <f>IF(NOT(Paths!$C$130=1),0,IF(Paths!$P$130="Complete",IF(AND(C1362=0,Paths!$E$130=0),I1362-J1362-K1362+VLOOKUP(A1362,'Fleet register'!$A$7:$S$106,15,FALSE)+VLOOKUP(A1362,'Fleet register'!$A$7:$S$106,16,FALSE),0),"n.a."))</f>
        <v>0</v>
      </c>
      <c r="S1362" s="1">
        <f>IF(NOT(Paths!$C$130=1),0,IF(Paths!$P$130="Complete",IF(C1362=0,0,Paths!$S$130*Paths!$R$130),"n.a."))</f>
        <v>0</v>
      </c>
      <c r="T1362" s="1">
        <f>IF(NOT(Paths!$C$130=1),0,IF(Paths!$P$130="Complete",IF(C1362=0,0,VLOOKUP(A1362,'Fleet register'!$A$7:$S$106,9,FALSE)*Paths!$R$130),"n.a."))</f>
        <v>0</v>
      </c>
    </row>
    <row r="1363" spans="1:20" ht="24" customHeight="1">
      <c r="A1363" s="1" t="str">
        <f>Paths!$A$130</f>
        <v>T031</v>
      </c>
      <c r="B1363" s="1">
        <f>Paths!$B$130</f>
        <v>3</v>
      </c>
      <c r="C1363" s="1">
        <v>3</v>
      </c>
      <c r="D1363" s="1">
        <v>130</v>
      </c>
      <c r="E1363" s="1">
        <f>IF(OR(Paths!$C$130=0,C1363=0),0,MAX(0,MIN(C1363*12,Paths!$E$130)-(C1363-1)*12))</f>
        <v>0</v>
      </c>
      <c r="F1363" s="1">
        <f>IF(OR(Paths!$C$130=0,C1363=0),0,12-E1363)</f>
        <v>0</v>
      </c>
      <c r="G1363" s="16">
        <f>IF(NOT(Paths!$C$130=1),0,IF(Paths!$P$130="Complete",E1363/12*(Paths!$J$130*(1+'Operating costs'!$B$51)^MAX(0,C1363-1)+Paths!$K$130*(1+'Operating costs'!$B$53)^MAX(0,C1363-1)),"n.a."))</f>
        <v>0</v>
      </c>
      <c r="H1363" s="16">
        <f>IF(NOT(Paths!$C$130=1),0,IF(Paths!$P$130="Complete",F1363/12*(Paths!$L$130*(1+IF(Paths!$D$130="EV",'Operating costs'!$B$52,'Operating costs'!$B$51))^MAX(0,C1363-1)+Paths!$M$130*(1+'Operating costs'!$B$53)^MAX(0,C1363-1)),"n.a."))</f>
        <v>0</v>
      </c>
      <c r="I1363" s="16">
        <f>IF(NOT(Paths!$C$130=1),0,IF(Paths!$P$130="Complete",IF(IF(Paths!$E$130=0,C1363=0,AND(C1363&gt;0,Paths!$E$130&gt;(C1363-1)*12,Paths!$E$130&lt;=C1363*12)),Paths!$G$130,0),"n.a."))</f>
        <v>0</v>
      </c>
      <c r="J1363" s="16">
        <f>IF(NOT(Paths!$C$130=1),0,IF(Paths!$P$130="Complete",IF(IF(Paths!$E$130=0,C1363=0,AND(C1363&gt;0,Paths!$E$130&gt;(C1363-1)*12,Paths!$E$130&lt;=C1363*12)),Paths!$H$130,0),"n.a."))</f>
        <v>0</v>
      </c>
      <c r="K1363" s="16">
        <f>IF(NOT(Paths!$C$130=1),0,IF(Paths!$P$130="Complete",IF(IF(Paths!$O$130=0,C1363=0,AND(C1363&gt;0,Paths!$O$130&gt;(C1363-1)*12,Paths!$O$130&lt;=C1363*12)),Paths!$N$130,0),"n.a."))</f>
        <v>0</v>
      </c>
      <c r="L1363" s="16">
        <f>IF(NOT(Paths!$C$130=1),0,IF(Paths!$P$130="Complete",IF(C1363=10,Paths!$I$130,0),"n.a."))</f>
        <v>0</v>
      </c>
      <c r="M1363" s="16">
        <f>IF(NOT(Paths!$C$130=1),0,IF(Paths!$P$130="Complete",IF(AND(Paths!$D$130="EV",Paths!$E$130&lt;120,Paths!$E$130+'Operating costs'!$B$65&gt;Paths!$E$130,Paths!$E$130+'Operating costs'!$B$65&lt;=120,IF(Paths!$E$130+'Operating costs'!$B$65=0,C1363=0,AND(C1363&gt;0,Paths!$E$130+'Operating costs'!$B$65&gt;(C1363-1)*12,Paths!$E$130+'Operating costs'!$B$65&lt;=C1363*12))),'Operating costs'!$B$64,0)+IF(AND('Operating costs'!$B$67&gt;0,'Operating costs'!$B$67&lt;=120,OR(Paths!$D$130="ICE",'Operating costs'!$B$67&lt;=Paths!$E$130),IF('Operating costs'!$B$67=0,C1363=0,AND(C1363&gt;0,'Operating costs'!$B$67&gt;(C1363-1)*12,'Operating costs'!$B$67&lt;=C1363*12))),'Operating costs'!$B$66,0),"n.a."))</f>
        <v>0</v>
      </c>
      <c r="N1363" s="16">
        <f>IF(NOT(Paths!$C$130=1),0,IF(Paths!$P$130="Complete",SUM(G1363:I1363)-J1363-K1363-L1363+M1363+IF(C1363=0,Paths!$F$130,0)+IF(IF(Paths!$E$130=0,C1363=0,AND(C1363&gt;0,Paths!$E$130&gt;(C1363-1)*12,Paths!$E$130&lt;=C1363*12)),VLOOKUP(A1363,'Fleet register'!$A$7:$S$106,16,FALSE),0),"n.a."))</f>
        <v>0</v>
      </c>
      <c r="O1363" s="16">
        <f>IF(NOT(Paths!$C$130=1),0,IF(Paths!$P$130="Complete",N1363-IF(C1363=0,Paths!$F$130,0),"n.a."))</f>
        <v>0</v>
      </c>
      <c r="P1363" s="16">
        <f>IF(NOT(Paths!$C$130=1),0,IF(Paths!$P$130="Complete",O1363+L1363,"n.a."))</f>
        <v>0</v>
      </c>
      <c r="Q1363" s="16">
        <f>IF(NOT(Paths!$C$130=1),0,IF(Paths!$P$130="Complete",N1363*(1+'Operating costs'!$B$54)^-C1363,"n.a."))</f>
        <v>0</v>
      </c>
      <c r="R1363" s="16">
        <f>IF(NOT(Paths!$C$130=1),0,IF(Paths!$P$130="Complete",IF(AND(C1363=0,Paths!$E$130=0),I1363-J1363-K1363+VLOOKUP(A1363,'Fleet register'!$A$7:$S$106,15,FALSE)+VLOOKUP(A1363,'Fleet register'!$A$7:$S$106,16,FALSE),0),"n.a."))</f>
        <v>0</v>
      </c>
      <c r="S1363" s="1">
        <f>IF(NOT(Paths!$C$130=1),0,IF(Paths!$P$130="Complete",IF(C1363=0,0,Paths!$S$130*Paths!$R$130),"n.a."))</f>
        <v>0</v>
      </c>
      <c r="T1363" s="1">
        <f>IF(NOT(Paths!$C$130=1),0,IF(Paths!$P$130="Complete",IF(C1363=0,0,VLOOKUP(A1363,'Fleet register'!$A$7:$S$106,9,FALSE)*Paths!$R$130),"n.a."))</f>
        <v>0</v>
      </c>
    </row>
    <row r="1364" spans="1:20" ht="24" customHeight="1">
      <c r="A1364" s="1" t="str">
        <f>Paths!$A$130</f>
        <v>T031</v>
      </c>
      <c r="B1364" s="1">
        <f>Paths!$B$130</f>
        <v>3</v>
      </c>
      <c r="C1364" s="1">
        <v>4</v>
      </c>
      <c r="D1364" s="1">
        <v>130</v>
      </c>
      <c r="E1364" s="1">
        <f>IF(OR(Paths!$C$130=0,C1364=0),0,MAX(0,MIN(C1364*12,Paths!$E$130)-(C1364-1)*12))</f>
        <v>0</v>
      </c>
      <c r="F1364" s="1">
        <f>IF(OR(Paths!$C$130=0,C1364=0),0,12-E1364)</f>
        <v>0</v>
      </c>
      <c r="G1364" s="16">
        <f>IF(NOT(Paths!$C$130=1),0,IF(Paths!$P$130="Complete",E1364/12*(Paths!$J$130*(1+'Operating costs'!$B$51)^MAX(0,C1364-1)+Paths!$K$130*(1+'Operating costs'!$B$53)^MAX(0,C1364-1)),"n.a."))</f>
        <v>0</v>
      </c>
      <c r="H1364" s="16">
        <f>IF(NOT(Paths!$C$130=1),0,IF(Paths!$P$130="Complete",F1364/12*(Paths!$L$130*(1+IF(Paths!$D$130="EV",'Operating costs'!$B$52,'Operating costs'!$B$51))^MAX(0,C1364-1)+Paths!$M$130*(1+'Operating costs'!$B$53)^MAX(0,C1364-1)),"n.a."))</f>
        <v>0</v>
      </c>
      <c r="I1364" s="16">
        <f>IF(NOT(Paths!$C$130=1),0,IF(Paths!$P$130="Complete",IF(IF(Paths!$E$130=0,C1364=0,AND(C1364&gt;0,Paths!$E$130&gt;(C1364-1)*12,Paths!$E$130&lt;=C1364*12)),Paths!$G$130,0),"n.a."))</f>
        <v>0</v>
      </c>
      <c r="J1364" s="16">
        <f>IF(NOT(Paths!$C$130=1),0,IF(Paths!$P$130="Complete",IF(IF(Paths!$E$130=0,C1364=0,AND(C1364&gt;0,Paths!$E$130&gt;(C1364-1)*12,Paths!$E$130&lt;=C1364*12)),Paths!$H$130,0),"n.a."))</f>
        <v>0</v>
      </c>
      <c r="K1364" s="16">
        <f>IF(NOT(Paths!$C$130=1),0,IF(Paths!$P$130="Complete",IF(IF(Paths!$O$130=0,C1364=0,AND(C1364&gt;0,Paths!$O$130&gt;(C1364-1)*12,Paths!$O$130&lt;=C1364*12)),Paths!$N$130,0),"n.a."))</f>
        <v>0</v>
      </c>
      <c r="L1364" s="16">
        <f>IF(NOT(Paths!$C$130=1),0,IF(Paths!$P$130="Complete",IF(C1364=10,Paths!$I$130,0),"n.a."))</f>
        <v>0</v>
      </c>
      <c r="M1364" s="16">
        <f>IF(NOT(Paths!$C$130=1),0,IF(Paths!$P$130="Complete",IF(AND(Paths!$D$130="EV",Paths!$E$130&lt;120,Paths!$E$130+'Operating costs'!$B$65&gt;Paths!$E$130,Paths!$E$130+'Operating costs'!$B$65&lt;=120,IF(Paths!$E$130+'Operating costs'!$B$65=0,C1364=0,AND(C1364&gt;0,Paths!$E$130+'Operating costs'!$B$65&gt;(C1364-1)*12,Paths!$E$130+'Operating costs'!$B$65&lt;=C1364*12))),'Operating costs'!$B$64,0)+IF(AND('Operating costs'!$B$67&gt;0,'Operating costs'!$B$67&lt;=120,OR(Paths!$D$130="ICE",'Operating costs'!$B$67&lt;=Paths!$E$130),IF('Operating costs'!$B$67=0,C1364=0,AND(C1364&gt;0,'Operating costs'!$B$67&gt;(C1364-1)*12,'Operating costs'!$B$67&lt;=C1364*12))),'Operating costs'!$B$66,0),"n.a."))</f>
        <v>0</v>
      </c>
      <c r="N1364" s="16">
        <f>IF(NOT(Paths!$C$130=1),0,IF(Paths!$P$130="Complete",SUM(G1364:I1364)-J1364-K1364-L1364+M1364+IF(C1364=0,Paths!$F$130,0)+IF(IF(Paths!$E$130=0,C1364=0,AND(C1364&gt;0,Paths!$E$130&gt;(C1364-1)*12,Paths!$E$130&lt;=C1364*12)),VLOOKUP(A1364,'Fleet register'!$A$7:$S$106,16,FALSE),0),"n.a."))</f>
        <v>0</v>
      </c>
      <c r="O1364" s="16">
        <f>IF(NOT(Paths!$C$130=1),0,IF(Paths!$P$130="Complete",N1364-IF(C1364=0,Paths!$F$130,0),"n.a."))</f>
        <v>0</v>
      </c>
      <c r="P1364" s="16">
        <f>IF(NOT(Paths!$C$130=1),0,IF(Paths!$P$130="Complete",O1364+L1364,"n.a."))</f>
        <v>0</v>
      </c>
      <c r="Q1364" s="16">
        <f>IF(NOT(Paths!$C$130=1),0,IF(Paths!$P$130="Complete",N1364*(1+'Operating costs'!$B$54)^-C1364,"n.a."))</f>
        <v>0</v>
      </c>
      <c r="R1364" s="16">
        <f>IF(NOT(Paths!$C$130=1),0,IF(Paths!$P$130="Complete",IF(AND(C1364=0,Paths!$E$130=0),I1364-J1364-K1364+VLOOKUP(A1364,'Fleet register'!$A$7:$S$106,15,FALSE)+VLOOKUP(A1364,'Fleet register'!$A$7:$S$106,16,FALSE),0),"n.a."))</f>
        <v>0</v>
      </c>
      <c r="S1364" s="1">
        <f>IF(NOT(Paths!$C$130=1),0,IF(Paths!$P$130="Complete",IF(C1364=0,0,Paths!$S$130*Paths!$R$130),"n.a."))</f>
        <v>0</v>
      </c>
      <c r="T1364" s="1">
        <f>IF(NOT(Paths!$C$130=1),0,IF(Paths!$P$130="Complete",IF(C1364=0,0,VLOOKUP(A1364,'Fleet register'!$A$7:$S$106,9,FALSE)*Paths!$R$130),"n.a."))</f>
        <v>0</v>
      </c>
    </row>
    <row r="1365" spans="1:20" ht="24" customHeight="1">
      <c r="A1365" s="1" t="str">
        <f>Paths!$A$130</f>
        <v>T031</v>
      </c>
      <c r="B1365" s="1">
        <f>Paths!$B$130</f>
        <v>3</v>
      </c>
      <c r="C1365" s="1">
        <v>5</v>
      </c>
      <c r="D1365" s="1">
        <v>130</v>
      </c>
      <c r="E1365" s="1">
        <f>IF(OR(Paths!$C$130=0,C1365=0),0,MAX(0,MIN(C1365*12,Paths!$E$130)-(C1365-1)*12))</f>
        <v>0</v>
      </c>
      <c r="F1365" s="1">
        <f>IF(OR(Paths!$C$130=0,C1365=0),0,12-E1365)</f>
        <v>0</v>
      </c>
      <c r="G1365" s="16">
        <f>IF(NOT(Paths!$C$130=1),0,IF(Paths!$P$130="Complete",E1365/12*(Paths!$J$130*(1+'Operating costs'!$B$51)^MAX(0,C1365-1)+Paths!$K$130*(1+'Operating costs'!$B$53)^MAX(0,C1365-1)),"n.a."))</f>
        <v>0</v>
      </c>
      <c r="H1365" s="16">
        <f>IF(NOT(Paths!$C$130=1),0,IF(Paths!$P$130="Complete",F1365/12*(Paths!$L$130*(1+IF(Paths!$D$130="EV",'Operating costs'!$B$52,'Operating costs'!$B$51))^MAX(0,C1365-1)+Paths!$M$130*(1+'Operating costs'!$B$53)^MAX(0,C1365-1)),"n.a."))</f>
        <v>0</v>
      </c>
      <c r="I1365" s="16">
        <f>IF(NOT(Paths!$C$130=1),0,IF(Paths!$P$130="Complete",IF(IF(Paths!$E$130=0,C1365=0,AND(C1365&gt;0,Paths!$E$130&gt;(C1365-1)*12,Paths!$E$130&lt;=C1365*12)),Paths!$G$130,0),"n.a."))</f>
        <v>0</v>
      </c>
      <c r="J1365" s="16">
        <f>IF(NOT(Paths!$C$130=1),0,IF(Paths!$P$130="Complete",IF(IF(Paths!$E$130=0,C1365=0,AND(C1365&gt;0,Paths!$E$130&gt;(C1365-1)*12,Paths!$E$130&lt;=C1365*12)),Paths!$H$130,0),"n.a."))</f>
        <v>0</v>
      </c>
      <c r="K1365" s="16">
        <f>IF(NOT(Paths!$C$130=1),0,IF(Paths!$P$130="Complete",IF(IF(Paths!$O$130=0,C1365=0,AND(C1365&gt;0,Paths!$O$130&gt;(C1365-1)*12,Paths!$O$130&lt;=C1365*12)),Paths!$N$130,0),"n.a."))</f>
        <v>0</v>
      </c>
      <c r="L1365" s="16">
        <f>IF(NOT(Paths!$C$130=1),0,IF(Paths!$P$130="Complete",IF(C1365=10,Paths!$I$130,0),"n.a."))</f>
        <v>0</v>
      </c>
      <c r="M1365" s="16">
        <f>IF(NOT(Paths!$C$130=1),0,IF(Paths!$P$130="Complete",IF(AND(Paths!$D$130="EV",Paths!$E$130&lt;120,Paths!$E$130+'Operating costs'!$B$65&gt;Paths!$E$130,Paths!$E$130+'Operating costs'!$B$65&lt;=120,IF(Paths!$E$130+'Operating costs'!$B$65=0,C1365=0,AND(C1365&gt;0,Paths!$E$130+'Operating costs'!$B$65&gt;(C1365-1)*12,Paths!$E$130+'Operating costs'!$B$65&lt;=C1365*12))),'Operating costs'!$B$64,0)+IF(AND('Operating costs'!$B$67&gt;0,'Operating costs'!$B$67&lt;=120,OR(Paths!$D$130="ICE",'Operating costs'!$B$67&lt;=Paths!$E$130),IF('Operating costs'!$B$67=0,C1365=0,AND(C1365&gt;0,'Operating costs'!$B$67&gt;(C1365-1)*12,'Operating costs'!$B$67&lt;=C1365*12))),'Operating costs'!$B$66,0),"n.a."))</f>
        <v>0</v>
      </c>
      <c r="N1365" s="16">
        <f>IF(NOT(Paths!$C$130=1),0,IF(Paths!$P$130="Complete",SUM(G1365:I1365)-J1365-K1365-L1365+M1365+IF(C1365=0,Paths!$F$130,0)+IF(IF(Paths!$E$130=0,C1365=0,AND(C1365&gt;0,Paths!$E$130&gt;(C1365-1)*12,Paths!$E$130&lt;=C1365*12)),VLOOKUP(A1365,'Fleet register'!$A$7:$S$106,16,FALSE),0),"n.a."))</f>
        <v>0</v>
      </c>
      <c r="O1365" s="16">
        <f>IF(NOT(Paths!$C$130=1),0,IF(Paths!$P$130="Complete",N1365-IF(C1365=0,Paths!$F$130,0),"n.a."))</f>
        <v>0</v>
      </c>
      <c r="P1365" s="16">
        <f>IF(NOT(Paths!$C$130=1),0,IF(Paths!$P$130="Complete",O1365+L1365,"n.a."))</f>
        <v>0</v>
      </c>
      <c r="Q1365" s="16">
        <f>IF(NOT(Paths!$C$130=1),0,IF(Paths!$P$130="Complete",N1365*(1+'Operating costs'!$B$54)^-C1365,"n.a."))</f>
        <v>0</v>
      </c>
      <c r="R1365" s="16">
        <f>IF(NOT(Paths!$C$130=1),0,IF(Paths!$P$130="Complete",IF(AND(C1365=0,Paths!$E$130=0),I1365-J1365-K1365+VLOOKUP(A1365,'Fleet register'!$A$7:$S$106,15,FALSE)+VLOOKUP(A1365,'Fleet register'!$A$7:$S$106,16,FALSE),0),"n.a."))</f>
        <v>0</v>
      </c>
      <c r="S1365" s="1">
        <f>IF(NOT(Paths!$C$130=1),0,IF(Paths!$P$130="Complete",IF(C1365=0,0,Paths!$S$130*Paths!$R$130),"n.a."))</f>
        <v>0</v>
      </c>
      <c r="T1365" s="1">
        <f>IF(NOT(Paths!$C$130=1),0,IF(Paths!$P$130="Complete",IF(C1365=0,0,VLOOKUP(A1365,'Fleet register'!$A$7:$S$106,9,FALSE)*Paths!$R$130),"n.a."))</f>
        <v>0</v>
      </c>
    </row>
    <row r="1366" spans="1:20" ht="24" customHeight="1">
      <c r="A1366" s="1" t="str">
        <f>Paths!$A$130</f>
        <v>T031</v>
      </c>
      <c r="B1366" s="1">
        <f>Paths!$B$130</f>
        <v>3</v>
      </c>
      <c r="C1366" s="1">
        <v>6</v>
      </c>
      <c r="D1366" s="1">
        <v>130</v>
      </c>
      <c r="E1366" s="1">
        <f>IF(OR(Paths!$C$130=0,C1366=0),0,MAX(0,MIN(C1366*12,Paths!$E$130)-(C1366-1)*12))</f>
        <v>0</v>
      </c>
      <c r="F1366" s="1">
        <f>IF(OR(Paths!$C$130=0,C1366=0),0,12-E1366)</f>
        <v>0</v>
      </c>
      <c r="G1366" s="16">
        <f>IF(NOT(Paths!$C$130=1),0,IF(Paths!$P$130="Complete",E1366/12*(Paths!$J$130*(1+'Operating costs'!$B$51)^MAX(0,C1366-1)+Paths!$K$130*(1+'Operating costs'!$B$53)^MAX(0,C1366-1)),"n.a."))</f>
        <v>0</v>
      </c>
      <c r="H1366" s="16">
        <f>IF(NOT(Paths!$C$130=1),0,IF(Paths!$P$130="Complete",F1366/12*(Paths!$L$130*(1+IF(Paths!$D$130="EV",'Operating costs'!$B$52,'Operating costs'!$B$51))^MAX(0,C1366-1)+Paths!$M$130*(1+'Operating costs'!$B$53)^MAX(0,C1366-1)),"n.a."))</f>
        <v>0</v>
      </c>
      <c r="I1366" s="16">
        <f>IF(NOT(Paths!$C$130=1),0,IF(Paths!$P$130="Complete",IF(IF(Paths!$E$130=0,C1366=0,AND(C1366&gt;0,Paths!$E$130&gt;(C1366-1)*12,Paths!$E$130&lt;=C1366*12)),Paths!$G$130,0),"n.a."))</f>
        <v>0</v>
      </c>
      <c r="J1366" s="16">
        <f>IF(NOT(Paths!$C$130=1),0,IF(Paths!$P$130="Complete",IF(IF(Paths!$E$130=0,C1366=0,AND(C1366&gt;0,Paths!$E$130&gt;(C1366-1)*12,Paths!$E$130&lt;=C1366*12)),Paths!$H$130,0),"n.a."))</f>
        <v>0</v>
      </c>
      <c r="K1366" s="16">
        <f>IF(NOT(Paths!$C$130=1),0,IF(Paths!$P$130="Complete",IF(IF(Paths!$O$130=0,C1366=0,AND(C1366&gt;0,Paths!$O$130&gt;(C1366-1)*12,Paths!$O$130&lt;=C1366*12)),Paths!$N$130,0),"n.a."))</f>
        <v>0</v>
      </c>
      <c r="L1366" s="16">
        <f>IF(NOT(Paths!$C$130=1),0,IF(Paths!$P$130="Complete",IF(C1366=10,Paths!$I$130,0),"n.a."))</f>
        <v>0</v>
      </c>
      <c r="M1366" s="16">
        <f>IF(NOT(Paths!$C$130=1),0,IF(Paths!$P$130="Complete",IF(AND(Paths!$D$130="EV",Paths!$E$130&lt;120,Paths!$E$130+'Operating costs'!$B$65&gt;Paths!$E$130,Paths!$E$130+'Operating costs'!$B$65&lt;=120,IF(Paths!$E$130+'Operating costs'!$B$65=0,C1366=0,AND(C1366&gt;0,Paths!$E$130+'Operating costs'!$B$65&gt;(C1366-1)*12,Paths!$E$130+'Operating costs'!$B$65&lt;=C1366*12))),'Operating costs'!$B$64,0)+IF(AND('Operating costs'!$B$67&gt;0,'Operating costs'!$B$67&lt;=120,OR(Paths!$D$130="ICE",'Operating costs'!$B$67&lt;=Paths!$E$130),IF('Operating costs'!$B$67=0,C1366=0,AND(C1366&gt;0,'Operating costs'!$B$67&gt;(C1366-1)*12,'Operating costs'!$B$67&lt;=C1366*12))),'Operating costs'!$B$66,0),"n.a."))</f>
        <v>0</v>
      </c>
      <c r="N1366" s="16">
        <f>IF(NOT(Paths!$C$130=1),0,IF(Paths!$P$130="Complete",SUM(G1366:I1366)-J1366-K1366-L1366+M1366+IF(C1366=0,Paths!$F$130,0)+IF(IF(Paths!$E$130=0,C1366=0,AND(C1366&gt;0,Paths!$E$130&gt;(C1366-1)*12,Paths!$E$130&lt;=C1366*12)),VLOOKUP(A1366,'Fleet register'!$A$7:$S$106,16,FALSE),0),"n.a."))</f>
        <v>0</v>
      </c>
      <c r="O1366" s="16">
        <f>IF(NOT(Paths!$C$130=1),0,IF(Paths!$P$130="Complete",N1366-IF(C1366=0,Paths!$F$130,0),"n.a."))</f>
        <v>0</v>
      </c>
      <c r="P1366" s="16">
        <f>IF(NOT(Paths!$C$130=1),0,IF(Paths!$P$130="Complete",O1366+L1366,"n.a."))</f>
        <v>0</v>
      </c>
      <c r="Q1366" s="16">
        <f>IF(NOT(Paths!$C$130=1),0,IF(Paths!$P$130="Complete",N1366*(1+'Operating costs'!$B$54)^-C1366,"n.a."))</f>
        <v>0</v>
      </c>
      <c r="R1366" s="16">
        <f>IF(NOT(Paths!$C$130=1),0,IF(Paths!$P$130="Complete",IF(AND(C1366=0,Paths!$E$130=0),I1366-J1366-K1366+VLOOKUP(A1366,'Fleet register'!$A$7:$S$106,15,FALSE)+VLOOKUP(A1366,'Fleet register'!$A$7:$S$106,16,FALSE),0),"n.a."))</f>
        <v>0</v>
      </c>
      <c r="S1366" s="1">
        <f>IF(NOT(Paths!$C$130=1),0,IF(Paths!$P$130="Complete",IF(C1366=0,0,Paths!$S$130*Paths!$R$130),"n.a."))</f>
        <v>0</v>
      </c>
      <c r="T1366" s="1">
        <f>IF(NOT(Paths!$C$130=1),0,IF(Paths!$P$130="Complete",IF(C1366=0,0,VLOOKUP(A1366,'Fleet register'!$A$7:$S$106,9,FALSE)*Paths!$R$130),"n.a."))</f>
        <v>0</v>
      </c>
    </row>
    <row r="1367" spans="1:20" ht="24" customHeight="1">
      <c r="A1367" s="1" t="str">
        <f>Paths!$A$130</f>
        <v>T031</v>
      </c>
      <c r="B1367" s="1">
        <f>Paths!$B$130</f>
        <v>3</v>
      </c>
      <c r="C1367" s="1">
        <v>7</v>
      </c>
      <c r="D1367" s="1">
        <v>130</v>
      </c>
      <c r="E1367" s="1">
        <f>IF(OR(Paths!$C$130=0,C1367=0),0,MAX(0,MIN(C1367*12,Paths!$E$130)-(C1367-1)*12))</f>
        <v>0</v>
      </c>
      <c r="F1367" s="1">
        <f>IF(OR(Paths!$C$130=0,C1367=0),0,12-E1367)</f>
        <v>0</v>
      </c>
      <c r="G1367" s="16">
        <f>IF(NOT(Paths!$C$130=1),0,IF(Paths!$P$130="Complete",E1367/12*(Paths!$J$130*(1+'Operating costs'!$B$51)^MAX(0,C1367-1)+Paths!$K$130*(1+'Operating costs'!$B$53)^MAX(0,C1367-1)),"n.a."))</f>
        <v>0</v>
      </c>
      <c r="H1367" s="16">
        <f>IF(NOT(Paths!$C$130=1),0,IF(Paths!$P$130="Complete",F1367/12*(Paths!$L$130*(1+IF(Paths!$D$130="EV",'Operating costs'!$B$52,'Operating costs'!$B$51))^MAX(0,C1367-1)+Paths!$M$130*(1+'Operating costs'!$B$53)^MAX(0,C1367-1)),"n.a."))</f>
        <v>0</v>
      </c>
      <c r="I1367" s="16">
        <f>IF(NOT(Paths!$C$130=1),0,IF(Paths!$P$130="Complete",IF(IF(Paths!$E$130=0,C1367=0,AND(C1367&gt;0,Paths!$E$130&gt;(C1367-1)*12,Paths!$E$130&lt;=C1367*12)),Paths!$G$130,0),"n.a."))</f>
        <v>0</v>
      </c>
      <c r="J1367" s="16">
        <f>IF(NOT(Paths!$C$130=1),0,IF(Paths!$P$130="Complete",IF(IF(Paths!$E$130=0,C1367=0,AND(C1367&gt;0,Paths!$E$130&gt;(C1367-1)*12,Paths!$E$130&lt;=C1367*12)),Paths!$H$130,0),"n.a."))</f>
        <v>0</v>
      </c>
      <c r="K1367" s="16">
        <f>IF(NOT(Paths!$C$130=1),0,IF(Paths!$P$130="Complete",IF(IF(Paths!$O$130=0,C1367=0,AND(C1367&gt;0,Paths!$O$130&gt;(C1367-1)*12,Paths!$O$130&lt;=C1367*12)),Paths!$N$130,0),"n.a."))</f>
        <v>0</v>
      </c>
      <c r="L1367" s="16">
        <f>IF(NOT(Paths!$C$130=1),0,IF(Paths!$P$130="Complete",IF(C1367=10,Paths!$I$130,0),"n.a."))</f>
        <v>0</v>
      </c>
      <c r="M1367" s="16">
        <f>IF(NOT(Paths!$C$130=1),0,IF(Paths!$P$130="Complete",IF(AND(Paths!$D$130="EV",Paths!$E$130&lt;120,Paths!$E$130+'Operating costs'!$B$65&gt;Paths!$E$130,Paths!$E$130+'Operating costs'!$B$65&lt;=120,IF(Paths!$E$130+'Operating costs'!$B$65=0,C1367=0,AND(C1367&gt;0,Paths!$E$130+'Operating costs'!$B$65&gt;(C1367-1)*12,Paths!$E$130+'Operating costs'!$B$65&lt;=C1367*12))),'Operating costs'!$B$64,0)+IF(AND('Operating costs'!$B$67&gt;0,'Operating costs'!$B$67&lt;=120,OR(Paths!$D$130="ICE",'Operating costs'!$B$67&lt;=Paths!$E$130),IF('Operating costs'!$B$67=0,C1367=0,AND(C1367&gt;0,'Operating costs'!$B$67&gt;(C1367-1)*12,'Operating costs'!$B$67&lt;=C1367*12))),'Operating costs'!$B$66,0),"n.a."))</f>
        <v>0</v>
      </c>
      <c r="N1367" s="16">
        <f>IF(NOT(Paths!$C$130=1),0,IF(Paths!$P$130="Complete",SUM(G1367:I1367)-J1367-K1367-L1367+M1367+IF(C1367=0,Paths!$F$130,0)+IF(IF(Paths!$E$130=0,C1367=0,AND(C1367&gt;0,Paths!$E$130&gt;(C1367-1)*12,Paths!$E$130&lt;=C1367*12)),VLOOKUP(A1367,'Fleet register'!$A$7:$S$106,16,FALSE),0),"n.a."))</f>
        <v>0</v>
      </c>
      <c r="O1367" s="16">
        <f>IF(NOT(Paths!$C$130=1),0,IF(Paths!$P$130="Complete",N1367-IF(C1367=0,Paths!$F$130,0),"n.a."))</f>
        <v>0</v>
      </c>
      <c r="P1367" s="16">
        <f>IF(NOT(Paths!$C$130=1),0,IF(Paths!$P$130="Complete",O1367+L1367,"n.a."))</f>
        <v>0</v>
      </c>
      <c r="Q1367" s="16">
        <f>IF(NOT(Paths!$C$130=1),0,IF(Paths!$P$130="Complete",N1367*(1+'Operating costs'!$B$54)^-C1367,"n.a."))</f>
        <v>0</v>
      </c>
      <c r="R1367" s="16">
        <f>IF(NOT(Paths!$C$130=1),0,IF(Paths!$P$130="Complete",IF(AND(C1367=0,Paths!$E$130=0),I1367-J1367-K1367+VLOOKUP(A1367,'Fleet register'!$A$7:$S$106,15,FALSE)+VLOOKUP(A1367,'Fleet register'!$A$7:$S$106,16,FALSE),0),"n.a."))</f>
        <v>0</v>
      </c>
      <c r="S1367" s="1">
        <f>IF(NOT(Paths!$C$130=1),0,IF(Paths!$P$130="Complete",IF(C1367=0,0,Paths!$S$130*Paths!$R$130),"n.a."))</f>
        <v>0</v>
      </c>
      <c r="T1367" s="1">
        <f>IF(NOT(Paths!$C$130=1),0,IF(Paths!$P$130="Complete",IF(C1367=0,0,VLOOKUP(A1367,'Fleet register'!$A$7:$S$106,9,FALSE)*Paths!$R$130),"n.a."))</f>
        <v>0</v>
      </c>
    </row>
    <row r="1368" spans="1:20" ht="24" customHeight="1">
      <c r="A1368" s="1" t="str">
        <f>Paths!$A$130</f>
        <v>T031</v>
      </c>
      <c r="B1368" s="1">
        <f>Paths!$B$130</f>
        <v>3</v>
      </c>
      <c r="C1368" s="1">
        <v>8</v>
      </c>
      <c r="D1368" s="1">
        <v>130</v>
      </c>
      <c r="E1368" s="1">
        <f>IF(OR(Paths!$C$130=0,C1368=0),0,MAX(0,MIN(C1368*12,Paths!$E$130)-(C1368-1)*12))</f>
        <v>0</v>
      </c>
      <c r="F1368" s="1">
        <f>IF(OR(Paths!$C$130=0,C1368=0),0,12-E1368)</f>
        <v>0</v>
      </c>
      <c r="G1368" s="16">
        <f>IF(NOT(Paths!$C$130=1),0,IF(Paths!$P$130="Complete",E1368/12*(Paths!$J$130*(1+'Operating costs'!$B$51)^MAX(0,C1368-1)+Paths!$K$130*(1+'Operating costs'!$B$53)^MAX(0,C1368-1)),"n.a."))</f>
        <v>0</v>
      </c>
      <c r="H1368" s="16">
        <f>IF(NOT(Paths!$C$130=1),0,IF(Paths!$P$130="Complete",F1368/12*(Paths!$L$130*(1+IF(Paths!$D$130="EV",'Operating costs'!$B$52,'Operating costs'!$B$51))^MAX(0,C1368-1)+Paths!$M$130*(1+'Operating costs'!$B$53)^MAX(0,C1368-1)),"n.a."))</f>
        <v>0</v>
      </c>
      <c r="I1368" s="16">
        <f>IF(NOT(Paths!$C$130=1),0,IF(Paths!$P$130="Complete",IF(IF(Paths!$E$130=0,C1368=0,AND(C1368&gt;0,Paths!$E$130&gt;(C1368-1)*12,Paths!$E$130&lt;=C1368*12)),Paths!$G$130,0),"n.a."))</f>
        <v>0</v>
      </c>
      <c r="J1368" s="16">
        <f>IF(NOT(Paths!$C$130=1),0,IF(Paths!$P$130="Complete",IF(IF(Paths!$E$130=0,C1368=0,AND(C1368&gt;0,Paths!$E$130&gt;(C1368-1)*12,Paths!$E$130&lt;=C1368*12)),Paths!$H$130,0),"n.a."))</f>
        <v>0</v>
      </c>
      <c r="K1368" s="16">
        <f>IF(NOT(Paths!$C$130=1),0,IF(Paths!$P$130="Complete",IF(IF(Paths!$O$130=0,C1368=0,AND(C1368&gt;0,Paths!$O$130&gt;(C1368-1)*12,Paths!$O$130&lt;=C1368*12)),Paths!$N$130,0),"n.a."))</f>
        <v>0</v>
      </c>
      <c r="L1368" s="16">
        <f>IF(NOT(Paths!$C$130=1),0,IF(Paths!$P$130="Complete",IF(C1368=10,Paths!$I$130,0),"n.a."))</f>
        <v>0</v>
      </c>
      <c r="M1368" s="16">
        <f>IF(NOT(Paths!$C$130=1),0,IF(Paths!$P$130="Complete",IF(AND(Paths!$D$130="EV",Paths!$E$130&lt;120,Paths!$E$130+'Operating costs'!$B$65&gt;Paths!$E$130,Paths!$E$130+'Operating costs'!$B$65&lt;=120,IF(Paths!$E$130+'Operating costs'!$B$65=0,C1368=0,AND(C1368&gt;0,Paths!$E$130+'Operating costs'!$B$65&gt;(C1368-1)*12,Paths!$E$130+'Operating costs'!$B$65&lt;=C1368*12))),'Operating costs'!$B$64,0)+IF(AND('Operating costs'!$B$67&gt;0,'Operating costs'!$B$67&lt;=120,OR(Paths!$D$130="ICE",'Operating costs'!$B$67&lt;=Paths!$E$130),IF('Operating costs'!$B$67=0,C1368=0,AND(C1368&gt;0,'Operating costs'!$B$67&gt;(C1368-1)*12,'Operating costs'!$B$67&lt;=C1368*12))),'Operating costs'!$B$66,0),"n.a."))</f>
        <v>0</v>
      </c>
      <c r="N1368" s="16">
        <f>IF(NOT(Paths!$C$130=1),0,IF(Paths!$P$130="Complete",SUM(G1368:I1368)-J1368-K1368-L1368+M1368+IF(C1368=0,Paths!$F$130,0)+IF(IF(Paths!$E$130=0,C1368=0,AND(C1368&gt;0,Paths!$E$130&gt;(C1368-1)*12,Paths!$E$130&lt;=C1368*12)),VLOOKUP(A1368,'Fleet register'!$A$7:$S$106,16,FALSE),0),"n.a."))</f>
        <v>0</v>
      </c>
      <c r="O1368" s="16">
        <f>IF(NOT(Paths!$C$130=1),0,IF(Paths!$P$130="Complete",N1368-IF(C1368=0,Paths!$F$130,0),"n.a."))</f>
        <v>0</v>
      </c>
      <c r="P1368" s="16">
        <f>IF(NOT(Paths!$C$130=1),0,IF(Paths!$P$130="Complete",O1368+L1368,"n.a."))</f>
        <v>0</v>
      </c>
      <c r="Q1368" s="16">
        <f>IF(NOT(Paths!$C$130=1),0,IF(Paths!$P$130="Complete",N1368*(1+'Operating costs'!$B$54)^-C1368,"n.a."))</f>
        <v>0</v>
      </c>
      <c r="R1368" s="16">
        <f>IF(NOT(Paths!$C$130=1),0,IF(Paths!$P$130="Complete",IF(AND(C1368=0,Paths!$E$130=0),I1368-J1368-K1368+VLOOKUP(A1368,'Fleet register'!$A$7:$S$106,15,FALSE)+VLOOKUP(A1368,'Fleet register'!$A$7:$S$106,16,FALSE),0),"n.a."))</f>
        <v>0</v>
      </c>
      <c r="S1368" s="1">
        <f>IF(NOT(Paths!$C$130=1),0,IF(Paths!$P$130="Complete",IF(C1368=0,0,Paths!$S$130*Paths!$R$130),"n.a."))</f>
        <v>0</v>
      </c>
      <c r="T1368" s="1">
        <f>IF(NOT(Paths!$C$130=1),0,IF(Paths!$P$130="Complete",IF(C1368=0,0,VLOOKUP(A1368,'Fleet register'!$A$7:$S$106,9,FALSE)*Paths!$R$130),"n.a."))</f>
        <v>0</v>
      </c>
    </row>
    <row r="1369" spans="1:20" ht="24" customHeight="1">
      <c r="A1369" s="1" t="str">
        <f>Paths!$A$130</f>
        <v>T031</v>
      </c>
      <c r="B1369" s="1">
        <f>Paths!$B$130</f>
        <v>3</v>
      </c>
      <c r="C1369" s="1">
        <v>9</v>
      </c>
      <c r="D1369" s="1">
        <v>130</v>
      </c>
      <c r="E1369" s="1">
        <f>IF(OR(Paths!$C$130=0,C1369=0),0,MAX(0,MIN(C1369*12,Paths!$E$130)-(C1369-1)*12))</f>
        <v>0</v>
      </c>
      <c r="F1369" s="1">
        <f>IF(OR(Paths!$C$130=0,C1369=0),0,12-E1369)</f>
        <v>0</v>
      </c>
      <c r="G1369" s="16">
        <f>IF(NOT(Paths!$C$130=1),0,IF(Paths!$P$130="Complete",E1369/12*(Paths!$J$130*(1+'Operating costs'!$B$51)^MAX(0,C1369-1)+Paths!$K$130*(1+'Operating costs'!$B$53)^MAX(0,C1369-1)),"n.a."))</f>
        <v>0</v>
      </c>
      <c r="H1369" s="16">
        <f>IF(NOT(Paths!$C$130=1),0,IF(Paths!$P$130="Complete",F1369/12*(Paths!$L$130*(1+IF(Paths!$D$130="EV",'Operating costs'!$B$52,'Operating costs'!$B$51))^MAX(0,C1369-1)+Paths!$M$130*(1+'Operating costs'!$B$53)^MAX(0,C1369-1)),"n.a."))</f>
        <v>0</v>
      </c>
      <c r="I1369" s="16">
        <f>IF(NOT(Paths!$C$130=1),0,IF(Paths!$P$130="Complete",IF(IF(Paths!$E$130=0,C1369=0,AND(C1369&gt;0,Paths!$E$130&gt;(C1369-1)*12,Paths!$E$130&lt;=C1369*12)),Paths!$G$130,0),"n.a."))</f>
        <v>0</v>
      </c>
      <c r="J1369" s="16">
        <f>IF(NOT(Paths!$C$130=1),0,IF(Paths!$P$130="Complete",IF(IF(Paths!$E$130=0,C1369=0,AND(C1369&gt;0,Paths!$E$130&gt;(C1369-1)*12,Paths!$E$130&lt;=C1369*12)),Paths!$H$130,0),"n.a."))</f>
        <v>0</v>
      </c>
      <c r="K1369" s="16">
        <f>IF(NOT(Paths!$C$130=1),0,IF(Paths!$P$130="Complete",IF(IF(Paths!$O$130=0,C1369=0,AND(C1369&gt;0,Paths!$O$130&gt;(C1369-1)*12,Paths!$O$130&lt;=C1369*12)),Paths!$N$130,0),"n.a."))</f>
        <v>0</v>
      </c>
      <c r="L1369" s="16">
        <f>IF(NOT(Paths!$C$130=1),0,IF(Paths!$P$130="Complete",IF(C1369=10,Paths!$I$130,0),"n.a."))</f>
        <v>0</v>
      </c>
      <c r="M1369" s="16">
        <f>IF(NOT(Paths!$C$130=1),0,IF(Paths!$P$130="Complete",IF(AND(Paths!$D$130="EV",Paths!$E$130&lt;120,Paths!$E$130+'Operating costs'!$B$65&gt;Paths!$E$130,Paths!$E$130+'Operating costs'!$B$65&lt;=120,IF(Paths!$E$130+'Operating costs'!$B$65=0,C1369=0,AND(C1369&gt;0,Paths!$E$130+'Operating costs'!$B$65&gt;(C1369-1)*12,Paths!$E$130+'Operating costs'!$B$65&lt;=C1369*12))),'Operating costs'!$B$64,0)+IF(AND('Operating costs'!$B$67&gt;0,'Operating costs'!$B$67&lt;=120,OR(Paths!$D$130="ICE",'Operating costs'!$B$67&lt;=Paths!$E$130),IF('Operating costs'!$B$67=0,C1369=0,AND(C1369&gt;0,'Operating costs'!$B$67&gt;(C1369-1)*12,'Operating costs'!$B$67&lt;=C1369*12))),'Operating costs'!$B$66,0),"n.a."))</f>
        <v>0</v>
      </c>
      <c r="N1369" s="16">
        <f>IF(NOT(Paths!$C$130=1),0,IF(Paths!$P$130="Complete",SUM(G1369:I1369)-J1369-K1369-L1369+M1369+IF(C1369=0,Paths!$F$130,0)+IF(IF(Paths!$E$130=0,C1369=0,AND(C1369&gt;0,Paths!$E$130&gt;(C1369-1)*12,Paths!$E$130&lt;=C1369*12)),VLOOKUP(A1369,'Fleet register'!$A$7:$S$106,16,FALSE),0),"n.a."))</f>
        <v>0</v>
      </c>
      <c r="O1369" s="16">
        <f>IF(NOT(Paths!$C$130=1),0,IF(Paths!$P$130="Complete",N1369-IF(C1369=0,Paths!$F$130,0),"n.a."))</f>
        <v>0</v>
      </c>
      <c r="P1369" s="16">
        <f>IF(NOT(Paths!$C$130=1),0,IF(Paths!$P$130="Complete",O1369+L1369,"n.a."))</f>
        <v>0</v>
      </c>
      <c r="Q1369" s="16">
        <f>IF(NOT(Paths!$C$130=1),0,IF(Paths!$P$130="Complete",N1369*(1+'Operating costs'!$B$54)^-C1369,"n.a."))</f>
        <v>0</v>
      </c>
      <c r="R1369" s="16">
        <f>IF(NOT(Paths!$C$130=1),0,IF(Paths!$P$130="Complete",IF(AND(C1369=0,Paths!$E$130=0),I1369-J1369-K1369+VLOOKUP(A1369,'Fleet register'!$A$7:$S$106,15,FALSE)+VLOOKUP(A1369,'Fleet register'!$A$7:$S$106,16,FALSE),0),"n.a."))</f>
        <v>0</v>
      </c>
      <c r="S1369" s="1">
        <f>IF(NOT(Paths!$C$130=1),0,IF(Paths!$P$130="Complete",IF(C1369=0,0,Paths!$S$130*Paths!$R$130),"n.a."))</f>
        <v>0</v>
      </c>
      <c r="T1369" s="1">
        <f>IF(NOT(Paths!$C$130=1),0,IF(Paths!$P$130="Complete",IF(C1369=0,0,VLOOKUP(A1369,'Fleet register'!$A$7:$S$106,9,FALSE)*Paths!$R$130),"n.a."))</f>
        <v>0</v>
      </c>
    </row>
    <row r="1370" spans="1:20" ht="24" customHeight="1">
      <c r="A1370" s="1" t="str">
        <f>Paths!$A$130</f>
        <v>T031</v>
      </c>
      <c r="B1370" s="1">
        <f>Paths!$B$130</f>
        <v>3</v>
      </c>
      <c r="C1370" s="1">
        <v>10</v>
      </c>
      <c r="D1370" s="1">
        <v>130</v>
      </c>
      <c r="E1370" s="1">
        <f>IF(OR(Paths!$C$130=0,C1370=0),0,MAX(0,MIN(C1370*12,Paths!$E$130)-(C1370-1)*12))</f>
        <v>0</v>
      </c>
      <c r="F1370" s="1">
        <f>IF(OR(Paths!$C$130=0,C1370=0),0,12-E1370)</f>
        <v>0</v>
      </c>
      <c r="G1370" s="16">
        <f>IF(NOT(Paths!$C$130=1),0,IF(Paths!$P$130="Complete",E1370/12*(Paths!$J$130*(1+'Operating costs'!$B$51)^MAX(0,C1370-1)+Paths!$K$130*(1+'Operating costs'!$B$53)^MAX(0,C1370-1)),"n.a."))</f>
        <v>0</v>
      </c>
      <c r="H1370" s="16">
        <f>IF(NOT(Paths!$C$130=1),0,IF(Paths!$P$130="Complete",F1370/12*(Paths!$L$130*(1+IF(Paths!$D$130="EV",'Operating costs'!$B$52,'Operating costs'!$B$51))^MAX(0,C1370-1)+Paths!$M$130*(1+'Operating costs'!$B$53)^MAX(0,C1370-1)),"n.a."))</f>
        <v>0</v>
      </c>
      <c r="I1370" s="16">
        <f>IF(NOT(Paths!$C$130=1),0,IF(Paths!$P$130="Complete",IF(IF(Paths!$E$130=0,C1370=0,AND(C1370&gt;0,Paths!$E$130&gt;(C1370-1)*12,Paths!$E$130&lt;=C1370*12)),Paths!$G$130,0),"n.a."))</f>
        <v>0</v>
      </c>
      <c r="J1370" s="16">
        <f>IF(NOT(Paths!$C$130=1),0,IF(Paths!$P$130="Complete",IF(IF(Paths!$E$130=0,C1370=0,AND(C1370&gt;0,Paths!$E$130&gt;(C1370-1)*12,Paths!$E$130&lt;=C1370*12)),Paths!$H$130,0),"n.a."))</f>
        <v>0</v>
      </c>
      <c r="K1370" s="16">
        <f>IF(NOT(Paths!$C$130=1),0,IF(Paths!$P$130="Complete",IF(IF(Paths!$O$130=0,C1370=0,AND(C1370&gt;0,Paths!$O$130&gt;(C1370-1)*12,Paths!$O$130&lt;=C1370*12)),Paths!$N$130,0),"n.a."))</f>
        <v>0</v>
      </c>
      <c r="L1370" s="16">
        <f>IF(NOT(Paths!$C$130=1),0,IF(Paths!$P$130="Complete",IF(C1370=10,Paths!$I$130,0),"n.a."))</f>
        <v>0</v>
      </c>
      <c r="M1370" s="16">
        <f>IF(NOT(Paths!$C$130=1),0,IF(Paths!$P$130="Complete",IF(AND(Paths!$D$130="EV",Paths!$E$130&lt;120,Paths!$E$130+'Operating costs'!$B$65&gt;Paths!$E$130,Paths!$E$130+'Operating costs'!$B$65&lt;=120,IF(Paths!$E$130+'Operating costs'!$B$65=0,C1370=0,AND(C1370&gt;0,Paths!$E$130+'Operating costs'!$B$65&gt;(C1370-1)*12,Paths!$E$130+'Operating costs'!$B$65&lt;=C1370*12))),'Operating costs'!$B$64,0)+IF(AND('Operating costs'!$B$67&gt;0,'Operating costs'!$B$67&lt;=120,OR(Paths!$D$130="ICE",'Operating costs'!$B$67&lt;=Paths!$E$130),IF('Operating costs'!$B$67=0,C1370=0,AND(C1370&gt;0,'Operating costs'!$B$67&gt;(C1370-1)*12,'Operating costs'!$B$67&lt;=C1370*12))),'Operating costs'!$B$66,0),"n.a."))</f>
        <v>0</v>
      </c>
      <c r="N1370" s="16">
        <f>IF(NOT(Paths!$C$130=1),0,IF(Paths!$P$130="Complete",SUM(G1370:I1370)-J1370-K1370-L1370+M1370+IF(C1370=0,Paths!$F$130,0)+IF(IF(Paths!$E$130=0,C1370=0,AND(C1370&gt;0,Paths!$E$130&gt;(C1370-1)*12,Paths!$E$130&lt;=C1370*12)),VLOOKUP(A1370,'Fleet register'!$A$7:$S$106,16,FALSE),0),"n.a."))</f>
        <v>0</v>
      </c>
      <c r="O1370" s="16">
        <f>IF(NOT(Paths!$C$130=1),0,IF(Paths!$P$130="Complete",N1370-IF(C1370=0,Paths!$F$130,0),"n.a."))</f>
        <v>0</v>
      </c>
      <c r="P1370" s="16">
        <f>IF(NOT(Paths!$C$130=1),0,IF(Paths!$P$130="Complete",O1370+L1370,"n.a."))</f>
        <v>0</v>
      </c>
      <c r="Q1370" s="16">
        <f>IF(NOT(Paths!$C$130=1),0,IF(Paths!$P$130="Complete",N1370*(1+'Operating costs'!$B$54)^-C1370,"n.a."))</f>
        <v>0</v>
      </c>
      <c r="R1370" s="16">
        <f>IF(NOT(Paths!$C$130=1),0,IF(Paths!$P$130="Complete",IF(AND(C1370=0,Paths!$E$130=0),I1370-J1370-K1370+VLOOKUP(A1370,'Fleet register'!$A$7:$S$106,15,FALSE)+VLOOKUP(A1370,'Fleet register'!$A$7:$S$106,16,FALSE),0),"n.a."))</f>
        <v>0</v>
      </c>
      <c r="S1370" s="1">
        <f>IF(NOT(Paths!$C$130=1),0,IF(Paths!$P$130="Complete",IF(C1370=0,0,Paths!$S$130*Paths!$R$130),"n.a."))</f>
        <v>0</v>
      </c>
      <c r="T1370" s="1">
        <f>IF(NOT(Paths!$C$130=1),0,IF(Paths!$P$130="Complete",IF(C1370=0,0,VLOOKUP(A1370,'Fleet register'!$A$7:$S$106,9,FALSE)*Paths!$R$130),"n.a."))</f>
        <v>0</v>
      </c>
    </row>
    <row r="1371" spans="1:20" ht="24" customHeight="1">
      <c r="A1371" s="1" t="str">
        <f>Paths!$A$131</f>
        <v>T032</v>
      </c>
      <c r="B1371" s="1">
        <f>Paths!$B$131</f>
        <v>0</v>
      </c>
      <c r="C1371" s="1">
        <v>0</v>
      </c>
      <c r="D1371" s="1">
        <v>131</v>
      </c>
      <c r="E1371" s="1">
        <f>IF(OR(Paths!$C$131=0,C1371=0),0,MAX(0,MIN(C1371*12,Paths!$E$131)-(C1371-1)*12))</f>
        <v>0</v>
      </c>
      <c r="F1371" s="1">
        <f>IF(OR(Paths!$C$131=0,C1371=0),0,12-E1371)</f>
        <v>0</v>
      </c>
      <c r="G1371" s="16">
        <f>IF(NOT(Paths!$C$131=1),0,IF(Paths!$P$131="Complete",E1371/12*(Paths!$J$131*(1+'Operating costs'!$B$51)^MAX(0,C1371-1)+Paths!$K$131*(1+'Operating costs'!$B$53)^MAX(0,C1371-1)),"n.a."))</f>
        <v>0</v>
      </c>
      <c r="H1371" s="16">
        <f>IF(NOT(Paths!$C$131=1),0,IF(Paths!$P$131="Complete",F1371/12*(Paths!$L$131*(1+IF(Paths!$D$131="EV",'Operating costs'!$B$52,'Operating costs'!$B$51))^MAX(0,C1371-1)+Paths!$M$131*(1+'Operating costs'!$B$53)^MAX(0,C1371-1)),"n.a."))</f>
        <v>0</v>
      </c>
      <c r="I1371" s="16">
        <f>IF(NOT(Paths!$C$131=1),0,IF(Paths!$P$131="Complete",IF(IF(Paths!$E$131=0,C1371=0,AND(C1371&gt;0,Paths!$E$131&gt;(C1371-1)*12,Paths!$E$131&lt;=C1371*12)),Paths!$G$131,0),"n.a."))</f>
        <v>0</v>
      </c>
      <c r="J1371" s="16">
        <f>IF(NOT(Paths!$C$131=1),0,IF(Paths!$P$131="Complete",IF(IF(Paths!$E$131=0,C1371=0,AND(C1371&gt;0,Paths!$E$131&gt;(C1371-1)*12,Paths!$E$131&lt;=C1371*12)),Paths!$H$131,0),"n.a."))</f>
        <v>0</v>
      </c>
      <c r="K1371" s="16">
        <f>IF(NOT(Paths!$C$131=1),0,IF(Paths!$P$131="Complete",IF(IF(Paths!$O$131=0,C1371=0,AND(C1371&gt;0,Paths!$O$131&gt;(C1371-1)*12,Paths!$O$131&lt;=C1371*12)),Paths!$N$131,0),"n.a."))</f>
        <v>0</v>
      </c>
      <c r="L1371" s="16">
        <f>IF(NOT(Paths!$C$131=1),0,IF(Paths!$P$131="Complete",IF(C1371=10,Paths!$I$131,0),"n.a."))</f>
        <v>0</v>
      </c>
      <c r="M1371" s="16">
        <f>IF(NOT(Paths!$C$131=1),0,IF(Paths!$P$131="Complete",IF(AND(Paths!$D$131="EV",Paths!$E$131&lt;120,Paths!$E$131+'Operating costs'!$B$65&gt;Paths!$E$131,Paths!$E$131+'Operating costs'!$B$65&lt;=120,IF(Paths!$E$131+'Operating costs'!$B$65=0,C1371=0,AND(C1371&gt;0,Paths!$E$131+'Operating costs'!$B$65&gt;(C1371-1)*12,Paths!$E$131+'Operating costs'!$B$65&lt;=C1371*12))),'Operating costs'!$B$64,0)+IF(AND('Operating costs'!$B$67&gt;0,'Operating costs'!$B$67&lt;=120,OR(Paths!$D$131="ICE",'Operating costs'!$B$67&lt;=Paths!$E$131),IF('Operating costs'!$B$67=0,C1371=0,AND(C1371&gt;0,'Operating costs'!$B$67&gt;(C1371-1)*12,'Operating costs'!$B$67&lt;=C1371*12))),'Operating costs'!$B$66,0),"n.a."))</f>
        <v>0</v>
      </c>
      <c r="N1371" s="16">
        <f>IF(NOT(Paths!$C$131=1),0,IF(Paths!$P$131="Complete",SUM(G1371:I1371)-J1371-K1371-L1371+M1371+IF(C1371=0,Paths!$F$131,0)+IF(IF(Paths!$E$131=0,C1371=0,AND(C1371&gt;0,Paths!$E$131&gt;(C1371-1)*12,Paths!$E$131&lt;=C1371*12)),VLOOKUP(A1371,'Fleet register'!$A$7:$S$106,16,FALSE),0),"n.a."))</f>
        <v>0</v>
      </c>
      <c r="O1371" s="16">
        <f>IF(NOT(Paths!$C$131=1),0,IF(Paths!$P$131="Complete",N1371-IF(C1371=0,Paths!$F$131,0),"n.a."))</f>
        <v>0</v>
      </c>
      <c r="P1371" s="16">
        <f>IF(NOT(Paths!$C$131=1),0,IF(Paths!$P$131="Complete",O1371+L1371,"n.a."))</f>
        <v>0</v>
      </c>
      <c r="Q1371" s="16">
        <f>IF(NOT(Paths!$C$131=1),0,IF(Paths!$P$131="Complete",N1371*(1+'Operating costs'!$B$54)^-C1371,"n.a."))</f>
        <v>0</v>
      </c>
      <c r="R1371" s="16">
        <f>IF(NOT(Paths!$C$131=1),0,IF(Paths!$P$131="Complete",IF(AND(C1371=0,Paths!$E$131=0),I1371-J1371-K1371+VLOOKUP(A1371,'Fleet register'!$A$7:$S$106,15,FALSE)+VLOOKUP(A1371,'Fleet register'!$A$7:$S$106,16,FALSE),0),"n.a."))</f>
        <v>0</v>
      </c>
      <c r="S1371" s="1">
        <f>IF(NOT(Paths!$C$131=1),0,IF(Paths!$P$131="Complete",IF(C1371=0,0,Paths!$S$131*Paths!$R$131),"n.a."))</f>
        <v>0</v>
      </c>
      <c r="T1371" s="1">
        <f>IF(NOT(Paths!$C$131=1),0,IF(Paths!$P$131="Complete",IF(C1371=0,0,VLOOKUP(A1371,'Fleet register'!$A$7:$S$106,9,FALSE)*Paths!$R$131),"n.a."))</f>
        <v>0</v>
      </c>
    </row>
    <row r="1372" spans="1:20" ht="24" customHeight="1">
      <c r="A1372" s="1" t="str">
        <f>Paths!$A$131</f>
        <v>T032</v>
      </c>
      <c r="B1372" s="1">
        <f>Paths!$B$131</f>
        <v>0</v>
      </c>
      <c r="C1372" s="1">
        <v>1</v>
      </c>
      <c r="D1372" s="1">
        <v>131</v>
      </c>
      <c r="E1372" s="1">
        <f>IF(OR(Paths!$C$131=0,C1372=0),0,MAX(0,MIN(C1372*12,Paths!$E$131)-(C1372-1)*12))</f>
        <v>0</v>
      </c>
      <c r="F1372" s="1">
        <f>IF(OR(Paths!$C$131=0,C1372=0),0,12-E1372)</f>
        <v>0</v>
      </c>
      <c r="G1372" s="16">
        <f>IF(NOT(Paths!$C$131=1),0,IF(Paths!$P$131="Complete",E1372/12*(Paths!$J$131*(1+'Operating costs'!$B$51)^MAX(0,C1372-1)+Paths!$K$131*(1+'Operating costs'!$B$53)^MAX(0,C1372-1)),"n.a."))</f>
        <v>0</v>
      </c>
      <c r="H1372" s="16">
        <f>IF(NOT(Paths!$C$131=1),0,IF(Paths!$P$131="Complete",F1372/12*(Paths!$L$131*(1+IF(Paths!$D$131="EV",'Operating costs'!$B$52,'Operating costs'!$B$51))^MAX(0,C1372-1)+Paths!$M$131*(1+'Operating costs'!$B$53)^MAX(0,C1372-1)),"n.a."))</f>
        <v>0</v>
      </c>
      <c r="I1372" s="16">
        <f>IF(NOT(Paths!$C$131=1),0,IF(Paths!$P$131="Complete",IF(IF(Paths!$E$131=0,C1372=0,AND(C1372&gt;0,Paths!$E$131&gt;(C1372-1)*12,Paths!$E$131&lt;=C1372*12)),Paths!$G$131,0),"n.a."))</f>
        <v>0</v>
      </c>
      <c r="J1372" s="16">
        <f>IF(NOT(Paths!$C$131=1),0,IF(Paths!$P$131="Complete",IF(IF(Paths!$E$131=0,C1372=0,AND(C1372&gt;0,Paths!$E$131&gt;(C1372-1)*12,Paths!$E$131&lt;=C1372*12)),Paths!$H$131,0),"n.a."))</f>
        <v>0</v>
      </c>
      <c r="K1372" s="16">
        <f>IF(NOT(Paths!$C$131=1),0,IF(Paths!$P$131="Complete",IF(IF(Paths!$O$131=0,C1372=0,AND(C1372&gt;0,Paths!$O$131&gt;(C1372-1)*12,Paths!$O$131&lt;=C1372*12)),Paths!$N$131,0),"n.a."))</f>
        <v>0</v>
      </c>
      <c r="L1372" s="16">
        <f>IF(NOT(Paths!$C$131=1),0,IF(Paths!$P$131="Complete",IF(C1372=10,Paths!$I$131,0),"n.a."))</f>
        <v>0</v>
      </c>
      <c r="M1372" s="16">
        <f>IF(NOT(Paths!$C$131=1),0,IF(Paths!$P$131="Complete",IF(AND(Paths!$D$131="EV",Paths!$E$131&lt;120,Paths!$E$131+'Operating costs'!$B$65&gt;Paths!$E$131,Paths!$E$131+'Operating costs'!$B$65&lt;=120,IF(Paths!$E$131+'Operating costs'!$B$65=0,C1372=0,AND(C1372&gt;0,Paths!$E$131+'Operating costs'!$B$65&gt;(C1372-1)*12,Paths!$E$131+'Operating costs'!$B$65&lt;=C1372*12))),'Operating costs'!$B$64,0)+IF(AND('Operating costs'!$B$67&gt;0,'Operating costs'!$B$67&lt;=120,OR(Paths!$D$131="ICE",'Operating costs'!$B$67&lt;=Paths!$E$131),IF('Operating costs'!$B$67=0,C1372=0,AND(C1372&gt;0,'Operating costs'!$B$67&gt;(C1372-1)*12,'Operating costs'!$B$67&lt;=C1372*12))),'Operating costs'!$B$66,0),"n.a."))</f>
        <v>0</v>
      </c>
      <c r="N1372" s="16">
        <f>IF(NOT(Paths!$C$131=1),0,IF(Paths!$P$131="Complete",SUM(G1372:I1372)-J1372-K1372-L1372+M1372+IF(C1372=0,Paths!$F$131,0)+IF(IF(Paths!$E$131=0,C1372=0,AND(C1372&gt;0,Paths!$E$131&gt;(C1372-1)*12,Paths!$E$131&lt;=C1372*12)),VLOOKUP(A1372,'Fleet register'!$A$7:$S$106,16,FALSE),0),"n.a."))</f>
        <v>0</v>
      </c>
      <c r="O1372" s="16">
        <f>IF(NOT(Paths!$C$131=1),0,IF(Paths!$P$131="Complete",N1372-IF(C1372=0,Paths!$F$131,0),"n.a."))</f>
        <v>0</v>
      </c>
      <c r="P1372" s="16">
        <f>IF(NOT(Paths!$C$131=1),0,IF(Paths!$P$131="Complete",O1372+L1372,"n.a."))</f>
        <v>0</v>
      </c>
      <c r="Q1372" s="16">
        <f>IF(NOT(Paths!$C$131=1),0,IF(Paths!$P$131="Complete",N1372*(1+'Operating costs'!$B$54)^-C1372,"n.a."))</f>
        <v>0</v>
      </c>
      <c r="R1372" s="16">
        <f>IF(NOT(Paths!$C$131=1),0,IF(Paths!$P$131="Complete",IF(AND(C1372=0,Paths!$E$131=0),I1372-J1372-K1372+VLOOKUP(A1372,'Fleet register'!$A$7:$S$106,15,FALSE)+VLOOKUP(A1372,'Fleet register'!$A$7:$S$106,16,FALSE),0),"n.a."))</f>
        <v>0</v>
      </c>
      <c r="S1372" s="1">
        <f>IF(NOT(Paths!$C$131=1),0,IF(Paths!$P$131="Complete",IF(C1372=0,0,Paths!$S$131*Paths!$R$131),"n.a."))</f>
        <v>0</v>
      </c>
      <c r="T1372" s="1">
        <f>IF(NOT(Paths!$C$131=1),0,IF(Paths!$P$131="Complete",IF(C1372=0,0,VLOOKUP(A1372,'Fleet register'!$A$7:$S$106,9,FALSE)*Paths!$R$131),"n.a."))</f>
        <v>0</v>
      </c>
    </row>
    <row r="1373" spans="1:20" ht="24" customHeight="1">
      <c r="A1373" s="1" t="str">
        <f>Paths!$A$131</f>
        <v>T032</v>
      </c>
      <c r="B1373" s="1">
        <f>Paths!$B$131</f>
        <v>0</v>
      </c>
      <c r="C1373" s="1">
        <v>2</v>
      </c>
      <c r="D1373" s="1">
        <v>131</v>
      </c>
      <c r="E1373" s="1">
        <f>IF(OR(Paths!$C$131=0,C1373=0),0,MAX(0,MIN(C1373*12,Paths!$E$131)-(C1373-1)*12))</f>
        <v>0</v>
      </c>
      <c r="F1373" s="1">
        <f>IF(OR(Paths!$C$131=0,C1373=0),0,12-E1373)</f>
        <v>0</v>
      </c>
      <c r="G1373" s="16">
        <f>IF(NOT(Paths!$C$131=1),0,IF(Paths!$P$131="Complete",E1373/12*(Paths!$J$131*(1+'Operating costs'!$B$51)^MAX(0,C1373-1)+Paths!$K$131*(1+'Operating costs'!$B$53)^MAX(0,C1373-1)),"n.a."))</f>
        <v>0</v>
      </c>
      <c r="H1373" s="16">
        <f>IF(NOT(Paths!$C$131=1),0,IF(Paths!$P$131="Complete",F1373/12*(Paths!$L$131*(1+IF(Paths!$D$131="EV",'Operating costs'!$B$52,'Operating costs'!$B$51))^MAX(0,C1373-1)+Paths!$M$131*(1+'Operating costs'!$B$53)^MAX(0,C1373-1)),"n.a."))</f>
        <v>0</v>
      </c>
      <c r="I1373" s="16">
        <f>IF(NOT(Paths!$C$131=1),0,IF(Paths!$P$131="Complete",IF(IF(Paths!$E$131=0,C1373=0,AND(C1373&gt;0,Paths!$E$131&gt;(C1373-1)*12,Paths!$E$131&lt;=C1373*12)),Paths!$G$131,0),"n.a."))</f>
        <v>0</v>
      </c>
      <c r="J1373" s="16">
        <f>IF(NOT(Paths!$C$131=1),0,IF(Paths!$P$131="Complete",IF(IF(Paths!$E$131=0,C1373=0,AND(C1373&gt;0,Paths!$E$131&gt;(C1373-1)*12,Paths!$E$131&lt;=C1373*12)),Paths!$H$131,0),"n.a."))</f>
        <v>0</v>
      </c>
      <c r="K1373" s="16">
        <f>IF(NOT(Paths!$C$131=1),0,IF(Paths!$P$131="Complete",IF(IF(Paths!$O$131=0,C1373=0,AND(C1373&gt;0,Paths!$O$131&gt;(C1373-1)*12,Paths!$O$131&lt;=C1373*12)),Paths!$N$131,0),"n.a."))</f>
        <v>0</v>
      </c>
      <c r="L1373" s="16">
        <f>IF(NOT(Paths!$C$131=1),0,IF(Paths!$P$131="Complete",IF(C1373=10,Paths!$I$131,0),"n.a."))</f>
        <v>0</v>
      </c>
      <c r="M1373" s="16">
        <f>IF(NOT(Paths!$C$131=1),0,IF(Paths!$P$131="Complete",IF(AND(Paths!$D$131="EV",Paths!$E$131&lt;120,Paths!$E$131+'Operating costs'!$B$65&gt;Paths!$E$131,Paths!$E$131+'Operating costs'!$B$65&lt;=120,IF(Paths!$E$131+'Operating costs'!$B$65=0,C1373=0,AND(C1373&gt;0,Paths!$E$131+'Operating costs'!$B$65&gt;(C1373-1)*12,Paths!$E$131+'Operating costs'!$B$65&lt;=C1373*12))),'Operating costs'!$B$64,0)+IF(AND('Operating costs'!$B$67&gt;0,'Operating costs'!$B$67&lt;=120,OR(Paths!$D$131="ICE",'Operating costs'!$B$67&lt;=Paths!$E$131),IF('Operating costs'!$B$67=0,C1373=0,AND(C1373&gt;0,'Operating costs'!$B$67&gt;(C1373-1)*12,'Operating costs'!$B$67&lt;=C1373*12))),'Operating costs'!$B$66,0),"n.a."))</f>
        <v>0</v>
      </c>
      <c r="N1373" s="16">
        <f>IF(NOT(Paths!$C$131=1),0,IF(Paths!$P$131="Complete",SUM(G1373:I1373)-J1373-K1373-L1373+M1373+IF(C1373=0,Paths!$F$131,0)+IF(IF(Paths!$E$131=0,C1373=0,AND(C1373&gt;0,Paths!$E$131&gt;(C1373-1)*12,Paths!$E$131&lt;=C1373*12)),VLOOKUP(A1373,'Fleet register'!$A$7:$S$106,16,FALSE),0),"n.a."))</f>
        <v>0</v>
      </c>
      <c r="O1373" s="16">
        <f>IF(NOT(Paths!$C$131=1),0,IF(Paths!$P$131="Complete",N1373-IF(C1373=0,Paths!$F$131,0),"n.a."))</f>
        <v>0</v>
      </c>
      <c r="P1373" s="16">
        <f>IF(NOT(Paths!$C$131=1),0,IF(Paths!$P$131="Complete",O1373+L1373,"n.a."))</f>
        <v>0</v>
      </c>
      <c r="Q1373" s="16">
        <f>IF(NOT(Paths!$C$131=1),0,IF(Paths!$P$131="Complete",N1373*(1+'Operating costs'!$B$54)^-C1373,"n.a."))</f>
        <v>0</v>
      </c>
      <c r="R1373" s="16">
        <f>IF(NOT(Paths!$C$131=1),0,IF(Paths!$P$131="Complete",IF(AND(C1373=0,Paths!$E$131=0),I1373-J1373-K1373+VLOOKUP(A1373,'Fleet register'!$A$7:$S$106,15,FALSE)+VLOOKUP(A1373,'Fleet register'!$A$7:$S$106,16,FALSE),0),"n.a."))</f>
        <v>0</v>
      </c>
      <c r="S1373" s="1">
        <f>IF(NOT(Paths!$C$131=1),0,IF(Paths!$P$131="Complete",IF(C1373=0,0,Paths!$S$131*Paths!$R$131),"n.a."))</f>
        <v>0</v>
      </c>
      <c r="T1373" s="1">
        <f>IF(NOT(Paths!$C$131=1),0,IF(Paths!$P$131="Complete",IF(C1373=0,0,VLOOKUP(A1373,'Fleet register'!$A$7:$S$106,9,FALSE)*Paths!$R$131),"n.a."))</f>
        <v>0</v>
      </c>
    </row>
    <row r="1374" spans="1:20" ht="24" customHeight="1">
      <c r="A1374" s="1" t="str">
        <f>Paths!$A$131</f>
        <v>T032</v>
      </c>
      <c r="B1374" s="1">
        <f>Paths!$B$131</f>
        <v>0</v>
      </c>
      <c r="C1374" s="1">
        <v>3</v>
      </c>
      <c r="D1374" s="1">
        <v>131</v>
      </c>
      <c r="E1374" s="1">
        <f>IF(OR(Paths!$C$131=0,C1374=0),0,MAX(0,MIN(C1374*12,Paths!$E$131)-(C1374-1)*12))</f>
        <v>0</v>
      </c>
      <c r="F1374" s="1">
        <f>IF(OR(Paths!$C$131=0,C1374=0),0,12-E1374)</f>
        <v>0</v>
      </c>
      <c r="G1374" s="16">
        <f>IF(NOT(Paths!$C$131=1),0,IF(Paths!$P$131="Complete",E1374/12*(Paths!$J$131*(1+'Operating costs'!$B$51)^MAX(0,C1374-1)+Paths!$K$131*(1+'Operating costs'!$B$53)^MAX(0,C1374-1)),"n.a."))</f>
        <v>0</v>
      </c>
      <c r="H1374" s="16">
        <f>IF(NOT(Paths!$C$131=1),0,IF(Paths!$P$131="Complete",F1374/12*(Paths!$L$131*(1+IF(Paths!$D$131="EV",'Operating costs'!$B$52,'Operating costs'!$B$51))^MAX(0,C1374-1)+Paths!$M$131*(1+'Operating costs'!$B$53)^MAX(0,C1374-1)),"n.a."))</f>
        <v>0</v>
      </c>
      <c r="I1374" s="16">
        <f>IF(NOT(Paths!$C$131=1),0,IF(Paths!$P$131="Complete",IF(IF(Paths!$E$131=0,C1374=0,AND(C1374&gt;0,Paths!$E$131&gt;(C1374-1)*12,Paths!$E$131&lt;=C1374*12)),Paths!$G$131,0),"n.a."))</f>
        <v>0</v>
      </c>
      <c r="J1374" s="16">
        <f>IF(NOT(Paths!$C$131=1),0,IF(Paths!$P$131="Complete",IF(IF(Paths!$E$131=0,C1374=0,AND(C1374&gt;0,Paths!$E$131&gt;(C1374-1)*12,Paths!$E$131&lt;=C1374*12)),Paths!$H$131,0),"n.a."))</f>
        <v>0</v>
      </c>
      <c r="K1374" s="16">
        <f>IF(NOT(Paths!$C$131=1),0,IF(Paths!$P$131="Complete",IF(IF(Paths!$O$131=0,C1374=0,AND(C1374&gt;0,Paths!$O$131&gt;(C1374-1)*12,Paths!$O$131&lt;=C1374*12)),Paths!$N$131,0),"n.a."))</f>
        <v>0</v>
      </c>
      <c r="L1374" s="16">
        <f>IF(NOT(Paths!$C$131=1),0,IF(Paths!$P$131="Complete",IF(C1374=10,Paths!$I$131,0),"n.a."))</f>
        <v>0</v>
      </c>
      <c r="M1374" s="16">
        <f>IF(NOT(Paths!$C$131=1),0,IF(Paths!$P$131="Complete",IF(AND(Paths!$D$131="EV",Paths!$E$131&lt;120,Paths!$E$131+'Operating costs'!$B$65&gt;Paths!$E$131,Paths!$E$131+'Operating costs'!$B$65&lt;=120,IF(Paths!$E$131+'Operating costs'!$B$65=0,C1374=0,AND(C1374&gt;0,Paths!$E$131+'Operating costs'!$B$65&gt;(C1374-1)*12,Paths!$E$131+'Operating costs'!$B$65&lt;=C1374*12))),'Operating costs'!$B$64,0)+IF(AND('Operating costs'!$B$67&gt;0,'Operating costs'!$B$67&lt;=120,OR(Paths!$D$131="ICE",'Operating costs'!$B$67&lt;=Paths!$E$131),IF('Operating costs'!$B$67=0,C1374=0,AND(C1374&gt;0,'Operating costs'!$B$67&gt;(C1374-1)*12,'Operating costs'!$B$67&lt;=C1374*12))),'Operating costs'!$B$66,0),"n.a."))</f>
        <v>0</v>
      </c>
      <c r="N1374" s="16">
        <f>IF(NOT(Paths!$C$131=1),0,IF(Paths!$P$131="Complete",SUM(G1374:I1374)-J1374-K1374-L1374+M1374+IF(C1374=0,Paths!$F$131,0)+IF(IF(Paths!$E$131=0,C1374=0,AND(C1374&gt;0,Paths!$E$131&gt;(C1374-1)*12,Paths!$E$131&lt;=C1374*12)),VLOOKUP(A1374,'Fleet register'!$A$7:$S$106,16,FALSE),0),"n.a."))</f>
        <v>0</v>
      </c>
      <c r="O1374" s="16">
        <f>IF(NOT(Paths!$C$131=1),0,IF(Paths!$P$131="Complete",N1374-IF(C1374=0,Paths!$F$131,0),"n.a."))</f>
        <v>0</v>
      </c>
      <c r="P1374" s="16">
        <f>IF(NOT(Paths!$C$131=1),0,IF(Paths!$P$131="Complete",O1374+L1374,"n.a."))</f>
        <v>0</v>
      </c>
      <c r="Q1374" s="16">
        <f>IF(NOT(Paths!$C$131=1),0,IF(Paths!$P$131="Complete",N1374*(1+'Operating costs'!$B$54)^-C1374,"n.a."))</f>
        <v>0</v>
      </c>
      <c r="R1374" s="16">
        <f>IF(NOT(Paths!$C$131=1),0,IF(Paths!$P$131="Complete",IF(AND(C1374=0,Paths!$E$131=0),I1374-J1374-K1374+VLOOKUP(A1374,'Fleet register'!$A$7:$S$106,15,FALSE)+VLOOKUP(A1374,'Fleet register'!$A$7:$S$106,16,FALSE),0),"n.a."))</f>
        <v>0</v>
      </c>
      <c r="S1374" s="1">
        <f>IF(NOT(Paths!$C$131=1),0,IF(Paths!$P$131="Complete",IF(C1374=0,0,Paths!$S$131*Paths!$R$131),"n.a."))</f>
        <v>0</v>
      </c>
      <c r="T1374" s="1">
        <f>IF(NOT(Paths!$C$131=1),0,IF(Paths!$P$131="Complete",IF(C1374=0,0,VLOOKUP(A1374,'Fleet register'!$A$7:$S$106,9,FALSE)*Paths!$R$131),"n.a."))</f>
        <v>0</v>
      </c>
    </row>
    <row r="1375" spans="1:20" ht="24" customHeight="1">
      <c r="A1375" s="1" t="str">
        <f>Paths!$A$131</f>
        <v>T032</v>
      </c>
      <c r="B1375" s="1">
        <f>Paths!$B$131</f>
        <v>0</v>
      </c>
      <c r="C1375" s="1">
        <v>4</v>
      </c>
      <c r="D1375" s="1">
        <v>131</v>
      </c>
      <c r="E1375" s="1">
        <f>IF(OR(Paths!$C$131=0,C1375=0),0,MAX(0,MIN(C1375*12,Paths!$E$131)-(C1375-1)*12))</f>
        <v>0</v>
      </c>
      <c r="F1375" s="1">
        <f>IF(OR(Paths!$C$131=0,C1375=0),0,12-E1375)</f>
        <v>0</v>
      </c>
      <c r="G1375" s="16">
        <f>IF(NOT(Paths!$C$131=1),0,IF(Paths!$P$131="Complete",E1375/12*(Paths!$J$131*(1+'Operating costs'!$B$51)^MAX(0,C1375-1)+Paths!$K$131*(1+'Operating costs'!$B$53)^MAX(0,C1375-1)),"n.a."))</f>
        <v>0</v>
      </c>
      <c r="H1375" s="16">
        <f>IF(NOT(Paths!$C$131=1),0,IF(Paths!$P$131="Complete",F1375/12*(Paths!$L$131*(1+IF(Paths!$D$131="EV",'Operating costs'!$B$52,'Operating costs'!$B$51))^MAX(0,C1375-1)+Paths!$M$131*(1+'Operating costs'!$B$53)^MAX(0,C1375-1)),"n.a."))</f>
        <v>0</v>
      </c>
      <c r="I1375" s="16">
        <f>IF(NOT(Paths!$C$131=1),0,IF(Paths!$P$131="Complete",IF(IF(Paths!$E$131=0,C1375=0,AND(C1375&gt;0,Paths!$E$131&gt;(C1375-1)*12,Paths!$E$131&lt;=C1375*12)),Paths!$G$131,0),"n.a."))</f>
        <v>0</v>
      </c>
      <c r="J1375" s="16">
        <f>IF(NOT(Paths!$C$131=1),0,IF(Paths!$P$131="Complete",IF(IF(Paths!$E$131=0,C1375=0,AND(C1375&gt;0,Paths!$E$131&gt;(C1375-1)*12,Paths!$E$131&lt;=C1375*12)),Paths!$H$131,0),"n.a."))</f>
        <v>0</v>
      </c>
      <c r="K1375" s="16">
        <f>IF(NOT(Paths!$C$131=1),0,IF(Paths!$P$131="Complete",IF(IF(Paths!$O$131=0,C1375=0,AND(C1375&gt;0,Paths!$O$131&gt;(C1375-1)*12,Paths!$O$131&lt;=C1375*12)),Paths!$N$131,0),"n.a."))</f>
        <v>0</v>
      </c>
      <c r="L1375" s="16">
        <f>IF(NOT(Paths!$C$131=1),0,IF(Paths!$P$131="Complete",IF(C1375=10,Paths!$I$131,0),"n.a."))</f>
        <v>0</v>
      </c>
      <c r="M1375" s="16">
        <f>IF(NOT(Paths!$C$131=1),0,IF(Paths!$P$131="Complete",IF(AND(Paths!$D$131="EV",Paths!$E$131&lt;120,Paths!$E$131+'Operating costs'!$B$65&gt;Paths!$E$131,Paths!$E$131+'Operating costs'!$B$65&lt;=120,IF(Paths!$E$131+'Operating costs'!$B$65=0,C1375=0,AND(C1375&gt;0,Paths!$E$131+'Operating costs'!$B$65&gt;(C1375-1)*12,Paths!$E$131+'Operating costs'!$B$65&lt;=C1375*12))),'Operating costs'!$B$64,0)+IF(AND('Operating costs'!$B$67&gt;0,'Operating costs'!$B$67&lt;=120,OR(Paths!$D$131="ICE",'Operating costs'!$B$67&lt;=Paths!$E$131),IF('Operating costs'!$B$67=0,C1375=0,AND(C1375&gt;0,'Operating costs'!$B$67&gt;(C1375-1)*12,'Operating costs'!$B$67&lt;=C1375*12))),'Operating costs'!$B$66,0),"n.a."))</f>
        <v>0</v>
      </c>
      <c r="N1375" s="16">
        <f>IF(NOT(Paths!$C$131=1),0,IF(Paths!$P$131="Complete",SUM(G1375:I1375)-J1375-K1375-L1375+M1375+IF(C1375=0,Paths!$F$131,0)+IF(IF(Paths!$E$131=0,C1375=0,AND(C1375&gt;0,Paths!$E$131&gt;(C1375-1)*12,Paths!$E$131&lt;=C1375*12)),VLOOKUP(A1375,'Fleet register'!$A$7:$S$106,16,FALSE),0),"n.a."))</f>
        <v>0</v>
      </c>
      <c r="O1375" s="16">
        <f>IF(NOT(Paths!$C$131=1),0,IF(Paths!$P$131="Complete",N1375-IF(C1375=0,Paths!$F$131,0),"n.a."))</f>
        <v>0</v>
      </c>
      <c r="P1375" s="16">
        <f>IF(NOT(Paths!$C$131=1),0,IF(Paths!$P$131="Complete",O1375+L1375,"n.a."))</f>
        <v>0</v>
      </c>
      <c r="Q1375" s="16">
        <f>IF(NOT(Paths!$C$131=1),0,IF(Paths!$P$131="Complete",N1375*(1+'Operating costs'!$B$54)^-C1375,"n.a."))</f>
        <v>0</v>
      </c>
      <c r="R1375" s="16">
        <f>IF(NOT(Paths!$C$131=1),0,IF(Paths!$P$131="Complete",IF(AND(C1375=0,Paths!$E$131=0),I1375-J1375-K1375+VLOOKUP(A1375,'Fleet register'!$A$7:$S$106,15,FALSE)+VLOOKUP(A1375,'Fleet register'!$A$7:$S$106,16,FALSE),0),"n.a."))</f>
        <v>0</v>
      </c>
      <c r="S1375" s="1">
        <f>IF(NOT(Paths!$C$131=1),0,IF(Paths!$P$131="Complete",IF(C1375=0,0,Paths!$S$131*Paths!$R$131),"n.a."))</f>
        <v>0</v>
      </c>
      <c r="T1375" s="1">
        <f>IF(NOT(Paths!$C$131=1),0,IF(Paths!$P$131="Complete",IF(C1375=0,0,VLOOKUP(A1375,'Fleet register'!$A$7:$S$106,9,FALSE)*Paths!$R$131),"n.a."))</f>
        <v>0</v>
      </c>
    </row>
    <row r="1376" spans="1:20" ht="24" customHeight="1">
      <c r="A1376" s="1" t="str">
        <f>Paths!$A$131</f>
        <v>T032</v>
      </c>
      <c r="B1376" s="1">
        <f>Paths!$B$131</f>
        <v>0</v>
      </c>
      <c r="C1376" s="1">
        <v>5</v>
      </c>
      <c r="D1376" s="1">
        <v>131</v>
      </c>
      <c r="E1376" s="1">
        <f>IF(OR(Paths!$C$131=0,C1376=0),0,MAX(0,MIN(C1376*12,Paths!$E$131)-(C1376-1)*12))</f>
        <v>0</v>
      </c>
      <c r="F1376" s="1">
        <f>IF(OR(Paths!$C$131=0,C1376=0),0,12-E1376)</f>
        <v>0</v>
      </c>
      <c r="G1376" s="16">
        <f>IF(NOT(Paths!$C$131=1),0,IF(Paths!$P$131="Complete",E1376/12*(Paths!$J$131*(1+'Operating costs'!$B$51)^MAX(0,C1376-1)+Paths!$K$131*(1+'Operating costs'!$B$53)^MAX(0,C1376-1)),"n.a."))</f>
        <v>0</v>
      </c>
      <c r="H1376" s="16">
        <f>IF(NOT(Paths!$C$131=1),0,IF(Paths!$P$131="Complete",F1376/12*(Paths!$L$131*(1+IF(Paths!$D$131="EV",'Operating costs'!$B$52,'Operating costs'!$B$51))^MAX(0,C1376-1)+Paths!$M$131*(1+'Operating costs'!$B$53)^MAX(0,C1376-1)),"n.a."))</f>
        <v>0</v>
      </c>
      <c r="I1376" s="16">
        <f>IF(NOT(Paths!$C$131=1),0,IF(Paths!$P$131="Complete",IF(IF(Paths!$E$131=0,C1376=0,AND(C1376&gt;0,Paths!$E$131&gt;(C1376-1)*12,Paths!$E$131&lt;=C1376*12)),Paths!$G$131,0),"n.a."))</f>
        <v>0</v>
      </c>
      <c r="J1376" s="16">
        <f>IF(NOT(Paths!$C$131=1),0,IF(Paths!$P$131="Complete",IF(IF(Paths!$E$131=0,C1376=0,AND(C1376&gt;0,Paths!$E$131&gt;(C1376-1)*12,Paths!$E$131&lt;=C1376*12)),Paths!$H$131,0),"n.a."))</f>
        <v>0</v>
      </c>
      <c r="K1376" s="16">
        <f>IF(NOT(Paths!$C$131=1),0,IF(Paths!$P$131="Complete",IF(IF(Paths!$O$131=0,C1376=0,AND(C1376&gt;0,Paths!$O$131&gt;(C1376-1)*12,Paths!$O$131&lt;=C1376*12)),Paths!$N$131,0),"n.a."))</f>
        <v>0</v>
      </c>
      <c r="L1376" s="16">
        <f>IF(NOT(Paths!$C$131=1),0,IF(Paths!$P$131="Complete",IF(C1376=10,Paths!$I$131,0),"n.a."))</f>
        <v>0</v>
      </c>
      <c r="M1376" s="16">
        <f>IF(NOT(Paths!$C$131=1),0,IF(Paths!$P$131="Complete",IF(AND(Paths!$D$131="EV",Paths!$E$131&lt;120,Paths!$E$131+'Operating costs'!$B$65&gt;Paths!$E$131,Paths!$E$131+'Operating costs'!$B$65&lt;=120,IF(Paths!$E$131+'Operating costs'!$B$65=0,C1376=0,AND(C1376&gt;0,Paths!$E$131+'Operating costs'!$B$65&gt;(C1376-1)*12,Paths!$E$131+'Operating costs'!$B$65&lt;=C1376*12))),'Operating costs'!$B$64,0)+IF(AND('Operating costs'!$B$67&gt;0,'Operating costs'!$B$67&lt;=120,OR(Paths!$D$131="ICE",'Operating costs'!$B$67&lt;=Paths!$E$131),IF('Operating costs'!$B$67=0,C1376=0,AND(C1376&gt;0,'Operating costs'!$B$67&gt;(C1376-1)*12,'Operating costs'!$B$67&lt;=C1376*12))),'Operating costs'!$B$66,0),"n.a."))</f>
        <v>0</v>
      </c>
      <c r="N1376" s="16">
        <f>IF(NOT(Paths!$C$131=1),0,IF(Paths!$P$131="Complete",SUM(G1376:I1376)-J1376-K1376-L1376+M1376+IF(C1376=0,Paths!$F$131,0)+IF(IF(Paths!$E$131=0,C1376=0,AND(C1376&gt;0,Paths!$E$131&gt;(C1376-1)*12,Paths!$E$131&lt;=C1376*12)),VLOOKUP(A1376,'Fleet register'!$A$7:$S$106,16,FALSE),0),"n.a."))</f>
        <v>0</v>
      </c>
      <c r="O1376" s="16">
        <f>IF(NOT(Paths!$C$131=1),0,IF(Paths!$P$131="Complete",N1376-IF(C1376=0,Paths!$F$131,0),"n.a."))</f>
        <v>0</v>
      </c>
      <c r="P1376" s="16">
        <f>IF(NOT(Paths!$C$131=1),0,IF(Paths!$P$131="Complete",O1376+L1376,"n.a."))</f>
        <v>0</v>
      </c>
      <c r="Q1376" s="16">
        <f>IF(NOT(Paths!$C$131=1),0,IF(Paths!$P$131="Complete",N1376*(1+'Operating costs'!$B$54)^-C1376,"n.a."))</f>
        <v>0</v>
      </c>
      <c r="R1376" s="16">
        <f>IF(NOT(Paths!$C$131=1),0,IF(Paths!$P$131="Complete",IF(AND(C1376=0,Paths!$E$131=0),I1376-J1376-K1376+VLOOKUP(A1376,'Fleet register'!$A$7:$S$106,15,FALSE)+VLOOKUP(A1376,'Fleet register'!$A$7:$S$106,16,FALSE),0),"n.a."))</f>
        <v>0</v>
      </c>
      <c r="S1376" s="1">
        <f>IF(NOT(Paths!$C$131=1),0,IF(Paths!$P$131="Complete",IF(C1376=0,0,Paths!$S$131*Paths!$R$131),"n.a."))</f>
        <v>0</v>
      </c>
      <c r="T1376" s="1">
        <f>IF(NOT(Paths!$C$131=1),0,IF(Paths!$P$131="Complete",IF(C1376=0,0,VLOOKUP(A1376,'Fleet register'!$A$7:$S$106,9,FALSE)*Paths!$R$131),"n.a."))</f>
        <v>0</v>
      </c>
    </row>
    <row r="1377" spans="1:20" ht="24" customHeight="1">
      <c r="A1377" s="1" t="str">
        <f>Paths!$A$131</f>
        <v>T032</v>
      </c>
      <c r="B1377" s="1">
        <f>Paths!$B$131</f>
        <v>0</v>
      </c>
      <c r="C1377" s="1">
        <v>6</v>
      </c>
      <c r="D1377" s="1">
        <v>131</v>
      </c>
      <c r="E1377" s="1">
        <f>IF(OR(Paths!$C$131=0,C1377=0),0,MAX(0,MIN(C1377*12,Paths!$E$131)-(C1377-1)*12))</f>
        <v>0</v>
      </c>
      <c r="F1377" s="1">
        <f>IF(OR(Paths!$C$131=0,C1377=0),0,12-E1377)</f>
        <v>0</v>
      </c>
      <c r="G1377" s="16">
        <f>IF(NOT(Paths!$C$131=1),0,IF(Paths!$P$131="Complete",E1377/12*(Paths!$J$131*(1+'Operating costs'!$B$51)^MAX(0,C1377-1)+Paths!$K$131*(1+'Operating costs'!$B$53)^MAX(0,C1377-1)),"n.a."))</f>
        <v>0</v>
      </c>
      <c r="H1377" s="16">
        <f>IF(NOT(Paths!$C$131=1),0,IF(Paths!$P$131="Complete",F1377/12*(Paths!$L$131*(1+IF(Paths!$D$131="EV",'Operating costs'!$B$52,'Operating costs'!$B$51))^MAX(0,C1377-1)+Paths!$M$131*(1+'Operating costs'!$B$53)^MAX(0,C1377-1)),"n.a."))</f>
        <v>0</v>
      </c>
      <c r="I1377" s="16">
        <f>IF(NOT(Paths!$C$131=1),0,IF(Paths!$P$131="Complete",IF(IF(Paths!$E$131=0,C1377=0,AND(C1377&gt;0,Paths!$E$131&gt;(C1377-1)*12,Paths!$E$131&lt;=C1377*12)),Paths!$G$131,0),"n.a."))</f>
        <v>0</v>
      </c>
      <c r="J1377" s="16">
        <f>IF(NOT(Paths!$C$131=1),0,IF(Paths!$P$131="Complete",IF(IF(Paths!$E$131=0,C1377=0,AND(C1377&gt;0,Paths!$E$131&gt;(C1377-1)*12,Paths!$E$131&lt;=C1377*12)),Paths!$H$131,0),"n.a."))</f>
        <v>0</v>
      </c>
      <c r="K1377" s="16">
        <f>IF(NOT(Paths!$C$131=1),0,IF(Paths!$P$131="Complete",IF(IF(Paths!$O$131=0,C1377=0,AND(C1377&gt;0,Paths!$O$131&gt;(C1377-1)*12,Paths!$O$131&lt;=C1377*12)),Paths!$N$131,0),"n.a."))</f>
        <v>0</v>
      </c>
      <c r="L1377" s="16">
        <f>IF(NOT(Paths!$C$131=1),0,IF(Paths!$P$131="Complete",IF(C1377=10,Paths!$I$131,0),"n.a."))</f>
        <v>0</v>
      </c>
      <c r="M1377" s="16">
        <f>IF(NOT(Paths!$C$131=1),0,IF(Paths!$P$131="Complete",IF(AND(Paths!$D$131="EV",Paths!$E$131&lt;120,Paths!$E$131+'Operating costs'!$B$65&gt;Paths!$E$131,Paths!$E$131+'Operating costs'!$B$65&lt;=120,IF(Paths!$E$131+'Operating costs'!$B$65=0,C1377=0,AND(C1377&gt;0,Paths!$E$131+'Operating costs'!$B$65&gt;(C1377-1)*12,Paths!$E$131+'Operating costs'!$B$65&lt;=C1377*12))),'Operating costs'!$B$64,0)+IF(AND('Operating costs'!$B$67&gt;0,'Operating costs'!$B$67&lt;=120,OR(Paths!$D$131="ICE",'Operating costs'!$B$67&lt;=Paths!$E$131),IF('Operating costs'!$B$67=0,C1377=0,AND(C1377&gt;0,'Operating costs'!$B$67&gt;(C1377-1)*12,'Operating costs'!$B$67&lt;=C1377*12))),'Operating costs'!$B$66,0),"n.a."))</f>
        <v>0</v>
      </c>
      <c r="N1377" s="16">
        <f>IF(NOT(Paths!$C$131=1),0,IF(Paths!$P$131="Complete",SUM(G1377:I1377)-J1377-K1377-L1377+M1377+IF(C1377=0,Paths!$F$131,0)+IF(IF(Paths!$E$131=0,C1377=0,AND(C1377&gt;0,Paths!$E$131&gt;(C1377-1)*12,Paths!$E$131&lt;=C1377*12)),VLOOKUP(A1377,'Fleet register'!$A$7:$S$106,16,FALSE),0),"n.a."))</f>
        <v>0</v>
      </c>
      <c r="O1377" s="16">
        <f>IF(NOT(Paths!$C$131=1),0,IF(Paths!$P$131="Complete",N1377-IF(C1377=0,Paths!$F$131,0),"n.a."))</f>
        <v>0</v>
      </c>
      <c r="P1377" s="16">
        <f>IF(NOT(Paths!$C$131=1),0,IF(Paths!$P$131="Complete",O1377+L1377,"n.a."))</f>
        <v>0</v>
      </c>
      <c r="Q1377" s="16">
        <f>IF(NOT(Paths!$C$131=1),0,IF(Paths!$P$131="Complete",N1377*(1+'Operating costs'!$B$54)^-C1377,"n.a."))</f>
        <v>0</v>
      </c>
      <c r="R1377" s="16">
        <f>IF(NOT(Paths!$C$131=1),0,IF(Paths!$P$131="Complete",IF(AND(C1377=0,Paths!$E$131=0),I1377-J1377-K1377+VLOOKUP(A1377,'Fleet register'!$A$7:$S$106,15,FALSE)+VLOOKUP(A1377,'Fleet register'!$A$7:$S$106,16,FALSE),0),"n.a."))</f>
        <v>0</v>
      </c>
      <c r="S1377" s="1">
        <f>IF(NOT(Paths!$C$131=1),0,IF(Paths!$P$131="Complete",IF(C1377=0,0,Paths!$S$131*Paths!$R$131),"n.a."))</f>
        <v>0</v>
      </c>
      <c r="T1377" s="1">
        <f>IF(NOT(Paths!$C$131=1),0,IF(Paths!$P$131="Complete",IF(C1377=0,0,VLOOKUP(A1377,'Fleet register'!$A$7:$S$106,9,FALSE)*Paths!$R$131),"n.a."))</f>
        <v>0</v>
      </c>
    </row>
    <row r="1378" spans="1:20" ht="24" customHeight="1">
      <c r="A1378" s="1" t="str">
        <f>Paths!$A$131</f>
        <v>T032</v>
      </c>
      <c r="B1378" s="1">
        <f>Paths!$B$131</f>
        <v>0</v>
      </c>
      <c r="C1378" s="1">
        <v>7</v>
      </c>
      <c r="D1378" s="1">
        <v>131</v>
      </c>
      <c r="E1378" s="1">
        <f>IF(OR(Paths!$C$131=0,C1378=0),0,MAX(0,MIN(C1378*12,Paths!$E$131)-(C1378-1)*12))</f>
        <v>0</v>
      </c>
      <c r="F1378" s="1">
        <f>IF(OR(Paths!$C$131=0,C1378=0),0,12-E1378)</f>
        <v>0</v>
      </c>
      <c r="G1378" s="16">
        <f>IF(NOT(Paths!$C$131=1),0,IF(Paths!$P$131="Complete",E1378/12*(Paths!$J$131*(1+'Operating costs'!$B$51)^MAX(0,C1378-1)+Paths!$K$131*(1+'Operating costs'!$B$53)^MAX(0,C1378-1)),"n.a."))</f>
        <v>0</v>
      </c>
      <c r="H1378" s="16">
        <f>IF(NOT(Paths!$C$131=1),0,IF(Paths!$P$131="Complete",F1378/12*(Paths!$L$131*(1+IF(Paths!$D$131="EV",'Operating costs'!$B$52,'Operating costs'!$B$51))^MAX(0,C1378-1)+Paths!$M$131*(1+'Operating costs'!$B$53)^MAX(0,C1378-1)),"n.a."))</f>
        <v>0</v>
      </c>
      <c r="I1378" s="16">
        <f>IF(NOT(Paths!$C$131=1),0,IF(Paths!$P$131="Complete",IF(IF(Paths!$E$131=0,C1378=0,AND(C1378&gt;0,Paths!$E$131&gt;(C1378-1)*12,Paths!$E$131&lt;=C1378*12)),Paths!$G$131,0),"n.a."))</f>
        <v>0</v>
      </c>
      <c r="J1378" s="16">
        <f>IF(NOT(Paths!$C$131=1),0,IF(Paths!$P$131="Complete",IF(IF(Paths!$E$131=0,C1378=0,AND(C1378&gt;0,Paths!$E$131&gt;(C1378-1)*12,Paths!$E$131&lt;=C1378*12)),Paths!$H$131,0),"n.a."))</f>
        <v>0</v>
      </c>
      <c r="K1378" s="16">
        <f>IF(NOT(Paths!$C$131=1),0,IF(Paths!$P$131="Complete",IF(IF(Paths!$O$131=0,C1378=0,AND(C1378&gt;0,Paths!$O$131&gt;(C1378-1)*12,Paths!$O$131&lt;=C1378*12)),Paths!$N$131,0),"n.a."))</f>
        <v>0</v>
      </c>
      <c r="L1378" s="16">
        <f>IF(NOT(Paths!$C$131=1),0,IF(Paths!$P$131="Complete",IF(C1378=10,Paths!$I$131,0),"n.a."))</f>
        <v>0</v>
      </c>
      <c r="M1378" s="16">
        <f>IF(NOT(Paths!$C$131=1),0,IF(Paths!$P$131="Complete",IF(AND(Paths!$D$131="EV",Paths!$E$131&lt;120,Paths!$E$131+'Operating costs'!$B$65&gt;Paths!$E$131,Paths!$E$131+'Operating costs'!$B$65&lt;=120,IF(Paths!$E$131+'Operating costs'!$B$65=0,C1378=0,AND(C1378&gt;0,Paths!$E$131+'Operating costs'!$B$65&gt;(C1378-1)*12,Paths!$E$131+'Operating costs'!$B$65&lt;=C1378*12))),'Operating costs'!$B$64,0)+IF(AND('Operating costs'!$B$67&gt;0,'Operating costs'!$B$67&lt;=120,OR(Paths!$D$131="ICE",'Operating costs'!$B$67&lt;=Paths!$E$131),IF('Operating costs'!$B$67=0,C1378=0,AND(C1378&gt;0,'Operating costs'!$B$67&gt;(C1378-1)*12,'Operating costs'!$B$67&lt;=C1378*12))),'Operating costs'!$B$66,0),"n.a."))</f>
        <v>0</v>
      </c>
      <c r="N1378" s="16">
        <f>IF(NOT(Paths!$C$131=1),0,IF(Paths!$P$131="Complete",SUM(G1378:I1378)-J1378-K1378-L1378+M1378+IF(C1378=0,Paths!$F$131,0)+IF(IF(Paths!$E$131=0,C1378=0,AND(C1378&gt;0,Paths!$E$131&gt;(C1378-1)*12,Paths!$E$131&lt;=C1378*12)),VLOOKUP(A1378,'Fleet register'!$A$7:$S$106,16,FALSE),0),"n.a."))</f>
        <v>0</v>
      </c>
      <c r="O1378" s="16">
        <f>IF(NOT(Paths!$C$131=1),0,IF(Paths!$P$131="Complete",N1378-IF(C1378=0,Paths!$F$131,0),"n.a."))</f>
        <v>0</v>
      </c>
      <c r="P1378" s="16">
        <f>IF(NOT(Paths!$C$131=1),0,IF(Paths!$P$131="Complete",O1378+L1378,"n.a."))</f>
        <v>0</v>
      </c>
      <c r="Q1378" s="16">
        <f>IF(NOT(Paths!$C$131=1),0,IF(Paths!$P$131="Complete",N1378*(1+'Operating costs'!$B$54)^-C1378,"n.a."))</f>
        <v>0</v>
      </c>
      <c r="R1378" s="16">
        <f>IF(NOT(Paths!$C$131=1),0,IF(Paths!$P$131="Complete",IF(AND(C1378=0,Paths!$E$131=0),I1378-J1378-K1378+VLOOKUP(A1378,'Fleet register'!$A$7:$S$106,15,FALSE)+VLOOKUP(A1378,'Fleet register'!$A$7:$S$106,16,FALSE),0),"n.a."))</f>
        <v>0</v>
      </c>
      <c r="S1378" s="1">
        <f>IF(NOT(Paths!$C$131=1),0,IF(Paths!$P$131="Complete",IF(C1378=0,0,Paths!$S$131*Paths!$R$131),"n.a."))</f>
        <v>0</v>
      </c>
      <c r="T1378" s="1">
        <f>IF(NOT(Paths!$C$131=1),0,IF(Paths!$P$131="Complete",IF(C1378=0,0,VLOOKUP(A1378,'Fleet register'!$A$7:$S$106,9,FALSE)*Paths!$R$131),"n.a."))</f>
        <v>0</v>
      </c>
    </row>
    <row r="1379" spans="1:20" ht="24" customHeight="1">
      <c r="A1379" s="1" t="str">
        <f>Paths!$A$131</f>
        <v>T032</v>
      </c>
      <c r="B1379" s="1">
        <f>Paths!$B$131</f>
        <v>0</v>
      </c>
      <c r="C1379" s="1">
        <v>8</v>
      </c>
      <c r="D1379" s="1">
        <v>131</v>
      </c>
      <c r="E1379" s="1">
        <f>IF(OR(Paths!$C$131=0,C1379=0),0,MAX(0,MIN(C1379*12,Paths!$E$131)-(C1379-1)*12))</f>
        <v>0</v>
      </c>
      <c r="F1379" s="1">
        <f>IF(OR(Paths!$C$131=0,C1379=0),0,12-E1379)</f>
        <v>0</v>
      </c>
      <c r="G1379" s="16">
        <f>IF(NOT(Paths!$C$131=1),0,IF(Paths!$P$131="Complete",E1379/12*(Paths!$J$131*(1+'Operating costs'!$B$51)^MAX(0,C1379-1)+Paths!$K$131*(1+'Operating costs'!$B$53)^MAX(0,C1379-1)),"n.a."))</f>
        <v>0</v>
      </c>
      <c r="H1379" s="16">
        <f>IF(NOT(Paths!$C$131=1),0,IF(Paths!$P$131="Complete",F1379/12*(Paths!$L$131*(1+IF(Paths!$D$131="EV",'Operating costs'!$B$52,'Operating costs'!$B$51))^MAX(0,C1379-1)+Paths!$M$131*(1+'Operating costs'!$B$53)^MAX(0,C1379-1)),"n.a."))</f>
        <v>0</v>
      </c>
      <c r="I1379" s="16">
        <f>IF(NOT(Paths!$C$131=1),0,IF(Paths!$P$131="Complete",IF(IF(Paths!$E$131=0,C1379=0,AND(C1379&gt;0,Paths!$E$131&gt;(C1379-1)*12,Paths!$E$131&lt;=C1379*12)),Paths!$G$131,0),"n.a."))</f>
        <v>0</v>
      </c>
      <c r="J1379" s="16">
        <f>IF(NOT(Paths!$C$131=1),0,IF(Paths!$P$131="Complete",IF(IF(Paths!$E$131=0,C1379=0,AND(C1379&gt;0,Paths!$E$131&gt;(C1379-1)*12,Paths!$E$131&lt;=C1379*12)),Paths!$H$131,0),"n.a."))</f>
        <v>0</v>
      </c>
      <c r="K1379" s="16">
        <f>IF(NOT(Paths!$C$131=1),0,IF(Paths!$P$131="Complete",IF(IF(Paths!$O$131=0,C1379=0,AND(C1379&gt;0,Paths!$O$131&gt;(C1379-1)*12,Paths!$O$131&lt;=C1379*12)),Paths!$N$131,0),"n.a."))</f>
        <v>0</v>
      </c>
      <c r="L1379" s="16">
        <f>IF(NOT(Paths!$C$131=1),0,IF(Paths!$P$131="Complete",IF(C1379=10,Paths!$I$131,0),"n.a."))</f>
        <v>0</v>
      </c>
      <c r="M1379" s="16">
        <f>IF(NOT(Paths!$C$131=1),0,IF(Paths!$P$131="Complete",IF(AND(Paths!$D$131="EV",Paths!$E$131&lt;120,Paths!$E$131+'Operating costs'!$B$65&gt;Paths!$E$131,Paths!$E$131+'Operating costs'!$B$65&lt;=120,IF(Paths!$E$131+'Operating costs'!$B$65=0,C1379=0,AND(C1379&gt;0,Paths!$E$131+'Operating costs'!$B$65&gt;(C1379-1)*12,Paths!$E$131+'Operating costs'!$B$65&lt;=C1379*12))),'Operating costs'!$B$64,0)+IF(AND('Operating costs'!$B$67&gt;0,'Operating costs'!$B$67&lt;=120,OR(Paths!$D$131="ICE",'Operating costs'!$B$67&lt;=Paths!$E$131),IF('Operating costs'!$B$67=0,C1379=0,AND(C1379&gt;0,'Operating costs'!$B$67&gt;(C1379-1)*12,'Operating costs'!$B$67&lt;=C1379*12))),'Operating costs'!$B$66,0),"n.a."))</f>
        <v>0</v>
      </c>
      <c r="N1379" s="16">
        <f>IF(NOT(Paths!$C$131=1),0,IF(Paths!$P$131="Complete",SUM(G1379:I1379)-J1379-K1379-L1379+M1379+IF(C1379=0,Paths!$F$131,0)+IF(IF(Paths!$E$131=0,C1379=0,AND(C1379&gt;0,Paths!$E$131&gt;(C1379-1)*12,Paths!$E$131&lt;=C1379*12)),VLOOKUP(A1379,'Fleet register'!$A$7:$S$106,16,FALSE),0),"n.a."))</f>
        <v>0</v>
      </c>
      <c r="O1379" s="16">
        <f>IF(NOT(Paths!$C$131=1),0,IF(Paths!$P$131="Complete",N1379-IF(C1379=0,Paths!$F$131,0),"n.a."))</f>
        <v>0</v>
      </c>
      <c r="P1379" s="16">
        <f>IF(NOT(Paths!$C$131=1),0,IF(Paths!$P$131="Complete",O1379+L1379,"n.a."))</f>
        <v>0</v>
      </c>
      <c r="Q1379" s="16">
        <f>IF(NOT(Paths!$C$131=1),0,IF(Paths!$P$131="Complete",N1379*(1+'Operating costs'!$B$54)^-C1379,"n.a."))</f>
        <v>0</v>
      </c>
      <c r="R1379" s="16">
        <f>IF(NOT(Paths!$C$131=1),0,IF(Paths!$P$131="Complete",IF(AND(C1379=0,Paths!$E$131=0),I1379-J1379-K1379+VLOOKUP(A1379,'Fleet register'!$A$7:$S$106,15,FALSE)+VLOOKUP(A1379,'Fleet register'!$A$7:$S$106,16,FALSE),0),"n.a."))</f>
        <v>0</v>
      </c>
      <c r="S1379" s="1">
        <f>IF(NOT(Paths!$C$131=1),0,IF(Paths!$P$131="Complete",IF(C1379=0,0,Paths!$S$131*Paths!$R$131),"n.a."))</f>
        <v>0</v>
      </c>
      <c r="T1379" s="1">
        <f>IF(NOT(Paths!$C$131=1),0,IF(Paths!$P$131="Complete",IF(C1379=0,0,VLOOKUP(A1379,'Fleet register'!$A$7:$S$106,9,FALSE)*Paths!$R$131),"n.a."))</f>
        <v>0</v>
      </c>
    </row>
    <row r="1380" spans="1:20" ht="24" customHeight="1">
      <c r="A1380" s="1" t="str">
        <f>Paths!$A$131</f>
        <v>T032</v>
      </c>
      <c r="B1380" s="1">
        <f>Paths!$B$131</f>
        <v>0</v>
      </c>
      <c r="C1380" s="1">
        <v>9</v>
      </c>
      <c r="D1380" s="1">
        <v>131</v>
      </c>
      <c r="E1380" s="1">
        <f>IF(OR(Paths!$C$131=0,C1380=0),0,MAX(0,MIN(C1380*12,Paths!$E$131)-(C1380-1)*12))</f>
        <v>0</v>
      </c>
      <c r="F1380" s="1">
        <f>IF(OR(Paths!$C$131=0,C1380=0),0,12-E1380)</f>
        <v>0</v>
      </c>
      <c r="G1380" s="16">
        <f>IF(NOT(Paths!$C$131=1),0,IF(Paths!$P$131="Complete",E1380/12*(Paths!$J$131*(1+'Operating costs'!$B$51)^MAX(0,C1380-1)+Paths!$K$131*(1+'Operating costs'!$B$53)^MAX(0,C1380-1)),"n.a."))</f>
        <v>0</v>
      </c>
      <c r="H1380" s="16">
        <f>IF(NOT(Paths!$C$131=1),0,IF(Paths!$P$131="Complete",F1380/12*(Paths!$L$131*(1+IF(Paths!$D$131="EV",'Operating costs'!$B$52,'Operating costs'!$B$51))^MAX(0,C1380-1)+Paths!$M$131*(1+'Operating costs'!$B$53)^MAX(0,C1380-1)),"n.a."))</f>
        <v>0</v>
      </c>
      <c r="I1380" s="16">
        <f>IF(NOT(Paths!$C$131=1),0,IF(Paths!$P$131="Complete",IF(IF(Paths!$E$131=0,C1380=0,AND(C1380&gt;0,Paths!$E$131&gt;(C1380-1)*12,Paths!$E$131&lt;=C1380*12)),Paths!$G$131,0),"n.a."))</f>
        <v>0</v>
      </c>
      <c r="J1380" s="16">
        <f>IF(NOT(Paths!$C$131=1),0,IF(Paths!$P$131="Complete",IF(IF(Paths!$E$131=0,C1380=0,AND(C1380&gt;0,Paths!$E$131&gt;(C1380-1)*12,Paths!$E$131&lt;=C1380*12)),Paths!$H$131,0),"n.a."))</f>
        <v>0</v>
      </c>
      <c r="K1380" s="16">
        <f>IF(NOT(Paths!$C$131=1),0,IF(Paths!$P$131="Complete",IF(IF(Paths!$O$131=0,C1380=0,AND(C1380&gt;0,Paths!$O$131&gt;(C1380-1)*12,Paths!$O$131&lt;=C1380*12)),Paths!$N$131,0),"n.a."))</f>
        <v>0</v>
      </c>
      <c r="L1380" s="16">
        <f>IF(NOT(Paths!$C$131=1),0,IF(Paths!$P$131="Complete",IF(C1380=10,Paths!$I$131,0),"n.a."))</f>
        <v>0</v>
      </c>
      <c r="M1380" s="16">
        <f>IF(NOT(Paths!$C$131=1),0,IF(Paths!$P$131="Complete",IF(AND(Paths!$D$131="EV",Paths!$E$131&lt;120,Paths!$E$131+'Operating costs'!$B$65&gt;Paths!$E$131,Paths!$E$131+'Operating costs'!$B$65&lt;=120,IF(Paths!$E$131+'Operating costs'!$B$65=0,C1380=0,AND(C1380&gt;0,Paths!$E$131+'Operating costs'!$B$65&gt;(C1380-1)*12,Paths!$E$131+'Operating costs'!$B$65&lt;=C1380*12))),'Operating costs'!$B$64,0)+IF(AND('Operating costs'!$B$67&gt;0,'Operating costs'!$B$67&lt;=120,OR(Paths!$D$131="ICE",'Operating costs'!$B$67&lt;=Paths!$E$131),IF('Operating costs'!$B$67=0,C1380=0,AND(C1380&gt;0,'Operating costs'!$B$67&gt;(C1380-1)*12,'Operating costs'!$B$67&lt;=C1380*12))),'Operating costs'!$B$66,0),"n.a."))</f>
        <v>0</v>
      </c>
      <c r="N1380" s="16">
        <f>IF(NOT(Paths!$C$131=1),0,IF(Paths!$P$131="Complete",SUM(G1380:I1380)-J1380-K1380-L1380+M1380+IF(C1380=0,Paths!$F$131,0)+IF(IF(Paths!$E$131=0,C1380=0,AND(C1380&gt;0,Paths!$E$131&gt;(C1380-1)*12,Paths!$E$131&lt;=C1380*12)),VLOOKUP(A1380,'Fleet register'!$A$7:$S$106,16,FALSE),0),"n.a."))</f>
        <v>0</v>
      </c>
      <c r="O1380" s="16">
        <f>IF(NOT(Paths!$C$131=1),0,IF(Paths!$P$131="Complete",N1380-IF(C1380=0,Paths!$F$131,0),"n.a."))</f>
        <v>0</v>
      </c>
      <c r="P1380" s="16">
        <f>IF(NOT(Paths!$C$131=1),0,IF(Paths!$P$131="Complete",O1380+L1380,"n.a."))</f>
        <v>0</v>
      </c>
      <c r="Q1380" s="16">
        <f>IF(NOT(Paths!$C$131=1),0,IF(Paths!$P$131="Complete",N1380*(1+'Operating costs'!$B$54)^-C1380,"n.a."))</f>
        <v>0</v>
      </c>
      <c r="R1380" s="16">
        <f>IF(NOT(Paths!$C$131=1),0,IF(Paths!$P$131="Complete",IF(AND(C1380=0,Paths!$E$131=0),I1380-J1380-K1380+VLOOKUP(A1380,'Fleet register'!$A$7:$S$106,15,FALSE)+VLOOKUP(A1380,'Fleet register'!$A$7:$S$106,16,FALSE),0),"n.a."))</f>
        <v>0</v>
      </c>
      <c r="S1380" s="1">
        <f>IF(NOT(Paths!$C$131=1),0,IF(Paths!$P$131="Complete",IF(C1380=0,0,Paths!$S$131*Paths!$R$131),"n.a."))</f>
        <v>0</v>
      </c>
      <c r="T1380" s="1">
        <f>IF(NOT(Paths!$C$131=1),0,IF(Paths!$P$131="Complete",IF(C1380=0,0,VLOOKUP(A1380,'Fleet register'!$A$7:$S$106,9,FALSE)*Paths!$R$131),"n.a."))</f>
        <v>0</v>
      </c>
    </row>
    <row r="1381" spans="1:20" ht="24" customHeight="1">
      <c r="A1381" s="1" t="str">
        <f>Paths!$A$131</f>
        <v>T032</v>
      </c>
      <c r="B1381" s="1">
        <f>Paths!$B$131</f>
        <v>0</v>
      </c>
      <c r="C1381" s="1">
        <v>10</v>
      </c>
      <c r="D1381" s="1">
        <v>131</v>
      </c>
      <c r="E1381" s="1">
        <f>IF(OR(Paths!$C$131=0,C1381=0),0,MAX(0,MIN(C1381*12,Paths!$E$131)-(C1381-1)*12))</f>
        <v>0</v>
      </c>
      <c r="F1381" s="1">
        <f>IF(OR(Paths!$C$131=0,C1381=0),0,12-E1381)</f>
        <v>0</v>
      </c>
      <c r="G1381" s="16">
        <f>IF(NOT(Paths!$C$131=1),0,IF(Paths!$P$131="Complete",E1381/12*(Paths!$J$131*(1+'Operating costs'!$B$51)^MAX(0,C1381-1)+Paths!$K$131*(1+'Operating costs'!$B$53)^MAX(0,C1381-1)),"n.a."))</f>
        <v>0</v>
      </c>
      <c r="H1381" s="16">
        <f>IF(NOT(Paths!$C$131=1),0,IF(Paths!$P$131="Complete",F1381/12*(Paths!$L$131*(1+IF(Paths!$D$131="EV",'Operating costs'!$B$52,'Operating costs'!$B$51))^MAX(0,C1381-1)+Paths!$M$131*(1+'Operating costs'!$B$53)^MAX(0,C1381-1)),"n.a."))</f>
        <v>0</v>
      </c>
      <c r="I1381" s="16">
        <f>IF(NOT(Paths!$C$131=1),0,IF(Paths!$P$131="Complete",IF(IF(Paths!$E$131=0,C1381=0,AND(C1381&gt;0,Paths!$E$131&gt;(C1381-1)*12,Paths!$E$131&lt;=C1381*12)),Paths!$G$131,0),"n.a."))</f>
        <v>0</v>
      </c>
      <c r="J1381" s="16">
        <f>IF(NOT(Paths!$C$131=1),0,IF(Paths!$P$131="Complete",IF(IF(Paths!$E$131=0,C1381=0,AND(C1381&gt;0,Paths!$E$131&gt;(C1381-1)*12,Paths!$E$131&lt;=C1381*12)),Paths!$H$131,0),"n.a."))</f>
        <v>0</v>
      </c>
      <c r="K1381" s="16">
        <f>IF(NOT(Paths!$C$131=1),0,IF(Paths!$P$131="Complete",IF(IF(Paths!$O$131=0,C1381=0,AND(C1381&gt;0,Paths!$O$131&gt;(C1381-1)*12,Paths!$O$131&lt;=C1381*12)),Paths!$N$131,0),"n.a."))</f>
        <v>0</v>
      </c>
      <c r="L1381" s="16">
        <f>IF(NOT(Paths!$C$131=1),0,IF(Paths!$P$131="Complete",IF(C1381=10,Paths!$I$131,0),"n.a."))</f>
        <v>0</v>
      </c>
      <c r="M1381" s="16">
        <f>IF(NOT(Paths!$C$131=1),0,IF(Paths!$P$131="Complete",IF(AND(Paths!$D$131="EV",Paths!$E$131&lt;120,Paths!$E$131+'Operating costs'!$B$65&gt;Paths!$E$131,Paths!$E$131+'Operating costs'!$B$65&lt;=120,IF(Paths!$E$131+'Operating costs'!$B$65=0,C1381=0,AND(C1381&gt;0,Paths!$E$131+'Operating costs'!$B$65&gt;(C1381-1)*12,Paths!$E$131+'Operating costs'!$B$65&lt;=C1381*12))),'Operating costs'!$B$64,0)+IF(AND('Operating costs'!$B$67&gt;0,'Operating costs'!$B$67&lt;=120,OR(Paths!$D$131="ICE",'Operating costs'!$B$67&lt;=Paths!$E$131),IF('Operating costs'!$B$67=0,C1381=0,AND(C1381&gt;0,'Operating costs'!$B$67&gt;(C1381-1)*12,'Operating costs'!$B$67&lt;=C1381*12))),'Operating costs'!$B$66,0),"n.a."))</f>
        <v>0</v>
      </c>
      <c r="N1381" s="16">
        <f>IF(NOT(Paths!$C$131=1),0,IF(Paths!$P$131="Complete",SUM(G1381:I1381)-J1381-K1381-L1381+M1381+IF(C1381=0,Paths!$F$131,0)+IF(IF(Paths!$E$131=0,C1381=0,AND(C1381&gt;0,Paths!$E$131&gt;(C1381-1)*12,Paths!$E$131&lt;=C1381*12)),VLOOKUP(A1381,'Fleet register'!$A$7:$S$106,16,FALSE),0),"n.a."))</f>
        <v>0</v>
      </c>
      <c r="O1381" s="16">
        <f>IF(NOT(Paths!$C$131=1),0,IF(Paths!$P$131="Complete",N1381-IF(C1381=0,Paths!$F$131,0),"n.a."))</f>
        <v>0</v>
      </c>
      <c r="P1381" s="16">
        <f>IF(NOT(Paths!$C$131=1),0,IF(Paths!$P$131="Complete",O1381+L1381,"n.a."))</f>
        <v>0</v>
      </c>
      <c r="Q1381" s="16">
        <f>IF(NOT(Paths!$C$131=1),0,IF(Paths!$P$131="Complete",N1381*(1+'Operating costs'!$B$54)^-C1381,"n.a."))</f>
        <v>0</v>
      </c>
      <c r="R1381" s="16">
        <f>IF(NOT(Paths!$C$131=1),0,IF(Paths!$P$131="Complete",IF(AND(C1381=0,Paths!$E$131=0),I1381-J1381-K1381+VLOOKUP(A1381,'Fleet register'!$A$7:$S$106,15,FALSE)+VLOOKUP(A1381,'Fleet register'!$A$7:$S$106,16,FALSE),0),"n.a."))</f>
        <v>0</v>
      </c>
      <c r="S1381" s="1">
        <f>IF(NOT(Paths!$C$131=1),0,IF(Paths!$P$131="Complete",IF(C1381=0,0,Paths!$S$131*Paths!$R$131),"n.a."))</f>
        <v>0</v>
      </c>
      <c r="T1381" s="1">
        <f>IF(NOT(Paths!$C$131=1),0,IF(Paths!$P$131="Complete",IF(C1381=0,0,VLOOKUP(A1381,'Fleet register'!$A$7:$S$106,9,FALSE)*Paths!$R$131),"n.a."))</f>
        <v>0</v>
      </c>
    </row>
    <row r="1382" spans="1:20" ht="24" customHeight="1">
      <c r="A1382" s="1" t="str">
        <f>Paths!$A$132</f>
        <v>T032</v>
      </c>
      <c r="B1382" s="1">
        <f>Paths!$B$132</f>
        <v>1</v>
      </c>
      <c r="C1382" s="1">
        <v>0</v>
      </c>
      <c r="D1382" s="1">
        <v>132</v>
      </c>
      <c r="E1382" s="1">
        <f>IF(OR(Paths!$C$132=0,C1382=0),0,MAX(0,MIN(C1382*12,Paths!$E$132)-(C1382-1)*12))</f>
        <v>0</v>
      </c>
      <c r="F1382" s="1">
        <f>IF(OR(Paths!$C$132=0,C1382=0),0,12-E1382)</f>
        <v>0</v>
      </c>
      <c r="G1382" s="16">
        <f>IF(NOT(Paths!$C$132=1),0,IF(Paths!$P$132="Complete",E1382/12*(Paths!$J$132*(1+'Operating costs'!$B$51)^MAX(0,C1382-1)+Paths!$K$132*(1+'Operating costs'!$B$53)^MAX(0,C1382-1)),"n.a."))</f>
        <v>0</v>
      </c>
      <c r="H1382" s="16">
        <f>IF(NOT(Paths!$C$132=1),0,IF(Paths!$P$132="Complete",F1382/12*(Paths!$L$132*(1+IF(Paths!$D$132="EV",'Operating costs'!$B$52,'Operating costs'!$B$51))^MAX(0,C1382-1)+Paths!$M$132*(1+'Operating costs'!$B$53)^MAX(0,C1382-1)),"n.a."))</f>
        <v>0</v>
      </c>
      <c r="I1382" s="16">
        <f>IF(NOT(Paths!$C$132=1),0,IF(Paths!$P$132="Complete",IF(IF(Paths!$E$132=0,C1382=0,AND(C1382&gt;0,Paths!$E$132&gt;(C1382-1)*12,Paths!$E$132&lt;=C1382*12)),Paths!$G$132,0),"n.a."))</f>
        <v>0</v>
      </c>
      <c r="J1382" s="16">
        <f>IF(NOT(Paths!$C$132=1),0,IF(Paths!$P$132="Complete",IF(IF(Paths!$E$132=0,C1382=0,AND(C1382&gt;0,Paths!$E$132&gt;(C1382-1)*12,Paths!$E$132&lt;=C1382*12)),Paths!$H$132,0),"n.a."))</f>
        <v>0</v>
      </c>
      <c r="K1382" s="16">
        <f>IF(NOT(Paths!$C$132=1),0,IF(Paths!$P$132="Complete",IF(IF(Paths!$O$132=0,C1382=0,AND(C1382&gt;0,Paths!$O$132&gt;(C1382-1)*12,Paths!$O$132&lt;=C1382*12)),Paths!$N$132,0),"n.a."))</f>
        <v>0</v>
      </c>
      <c r="L1382" s="16">
        <f>IF(NOT(Paths!$C$132=1),0,IF(Paths!$P$132="Complete",IF(C1382=10,Paths!$I$132,0),"n.a."))</f>
        <v>0</v>
      </c>
      <c r="M1382" s="16">
        <f>IF(NOT(Paths!$C$132=1),0,IF(Paths!$P$132="Complete",IF(AND(Paths!$D$132="EV",Paths!$E$132&lt;120,Paths!$E$132+'Operating costs'!$B$65&gt;Paths!$E$132,Paths!$E$132+'Operating costs'!$B$65&lt;=120,IF(Paths!$E$132+'Operating costs'!$B$65=0,C1382=0,AND(C1382&gt;0,Paths!$E$132+'Operating costs'!$B$65&gt;(C1382-1)*12,Paths!$E$132+'Operating costs'!$B$65&lt;=C1382*12))),'Operating costs'!$B$64,0)+IF(AND('Operating costs'!$B$67&gt;0,'Operating costs'!$B$67&lt;=120,OR(Paths!$D$132="ICE",'Operating costs'!$B$67&lt;=Paths!$E$132),IF('Operating costs'!$B$67=0,C1382=0,AND(C1382&gt;0,'Operating costs'!$B$67&gt;(C1382-1)*12,'Operating costs'!$B$67&lt;=C1382*12))),'Operating costs'!$B$66,0),"n.a."))</f>
        <v>0</v>
      </c>
      <c r="N1382" s="16">
        <f>IF(NOT(Paths!$C$132=1),0,IF(Paths!$P$132="Complete",SUM(G1382:I1382)-J1382-K1382-L1382+M1382+IF(C1382=0,Paths!$F$132,0)+IF(IF(Paths!$E$132=0,C1382=0,AND(C1382&gt;0,Paths!$E$132&gt;(C1382-1)*12,Paths!$E$132&lt;=C1382*12)),VLOOKUP(A1382,'Fleet register'!$A$7:$S$106,16,FALSE),0),"n.a."))</f>
        <v>0</v>
      </c>
      <c r="O1382" s="16">
        <f>IF(NOT(Paths!$C$132=1),0,IF(Paths!$P$132="Complete",N1382-IF(C1382=0,Paths!$F$132,0),"n.a."))</f>
        <v>0</v>
      </c>
      <c r="P1382" s="16">
        <f>IF(NOT(Paths!$C$132=1),0,IF(Paths!$P$132="Complete",O1382+L1382,"n.a."))</f>
        <v>0</v>
      </c>
      <c r="Q1382" s="16">
        <f>IF(NOT(Paths!$C$132=1),0,IF(Paths!$P$132="Complete",N1382*(1+'Operating costs'!$B$54)^-C1382,"n.a."))</f>
        <v>0</v>
      </c>
      <c r="R1382" s="16">
        <f>IF(NOT(Paths!$C$132=1),0,IF(Paths!$P$132="Complete",IF(AND(C1382=0,Paths!$E$132=0),I1382-J1382-K1382+VLOOKUP(A1382,'Fleet register'!$A$7:$S$106,15,FALSE)+VLOOKUP(A1382,'Fleet register'!$A$7:$S$106,16,FALSE),0),"n.a."))</f>
        <v>0</v>
      </c>
      <c r="S1382" s="1">
        <f>IF(NOT(Paths!$C$132=1),0,IF(Paths!$P$132="Complete",IF(C1382=0,0,Paths!$S$132*Paths!$R$132),"n.a."))</f>
        <v>0</v>
      </c>
      <c r="T1382" s="1">
        <f>IF(NOT(Paths!$C$132=1),0,IF(Paths!$P$132="Complete",IF(C1382=0,0,VLOOKUP(A1382,'Fleet register'!$A$7:$S$106,9,FALSE)*Paths!$R$132),"n.a."))</f>
        <v>0</v>
      </c>
    </row>
    <row r="1383" spans="1:20" ht="24" customHeight="1">
      <c r="A1383" s="1" t="str">
        <f>Paths!$A$132</f>
        <v>T032</v>
      </c>
      <c r="B1383" s="1">
        <f>Paths!$B$132</f>
        <v>1</v>
      </c>
      <c r="C1383" s="1">
        <v>1</v>
      </c>
      <c r="D1383" s="1">
        <v>132</v>
      </c>
      <c r="E1383" s="1">
        <f>IF(OR(Paths!$C$132=0,C1383=0),0,MAX(0,MIN(C1383*12,Paths!$E$132)-(C1383-1)*12))</f>
        <v>0</v>
      </c>
      <c r="F1383" s="1">
        <f>IF(OR(Paths!$C$132=0,C1383=0),0,12-E1383)</f>
        <v>0</v>
      </c>
      <c r="G1383" s="16">
        <f>IF(NOT(Paths!$C$132=1),0,IF(Paths!$P$132="Complete",E1383/12*(Paths!$J$132*(1+'Operating costs'!$B$51)^MAX(0,C1383-1)+Paths!$K$132*(1+'Operating costs'!$B$53)^MAX(0,C1383-1)),"n.a."))</f>
        <v>0</v>
      </c>
      <c r="H1383" s="16">
        <f>IF(NOT(Paths!$C$132=1),0,IF(Paths!$P$132="Complete",F1383/12*(Paths!$L$132*(1+IF(Paths!$D$132="EV",'Operating costs'!$B$52,'Operating costs'!$B$51))^MAX(0,C1383-1)+Paths!$M$132*(1+'Operating costs'!$B$53)^MAX(0,C1383-1)),"n.a."))</f>
        <v>0</v>
      </c>
      <c r="I1383" s="16">
        <f>IF(NOT(Paths!$C$132=1),0,IF(Paths!$P$132="Complete",IF(IF(Paths!$E$132=0,C1383=0,AND(C1383&gt;0,Paths!$E$132&gt;(C1383-1)*12,Paths!$E$132&lt;=C1383*12)),Paths!$G$132,0),"n.a."))</f>
        <v>0</v>
      </c>
      <c r="J1383" s="16">
        <f>IF(NOT(Paths!$C$132=1),0,IF(Paths!$P$132="Complete",IF(IF(Paths!$E$132=0,C1383=0,AND(C1383&gt;0,Paths!$E$132&gt;(C1383-1)*12,Paths!$E$132&lt;=C1383*12)),Paths!$H$132,0),"n.a."))</f>
        <v>0</v>
      </c>
      <c r="K1383" s="16">
        <f>IF(NOT(Paths!$C$132=1),0,IF(Paths!$P$132="Complete",IF(IF(Paths!$O$132=0,C1383=0,AND(C1383&gt;0,Paths!$O$132&gt;(C1383-1)*12,Paths!$O$132&lt;=C1383*12)),Paths!$N$132,0),"n.a."))</f>
        <v>0</v>
      </c>
      <c r="L1383" s="16">
        <f>IF(NOT(Paths!$C$132=1),0,IF(Paths!$P$132="Complete",IF(C1383=10,Paths!$I$132,0),"n.a."))</f>
        <v>0</v>
      </c>
      <c r="M1383" s="16">
        <f>IF(NOT(Paths!$C$132=1),0,IF(Paths!$P$132="Complete",IF(AND(Paths!$D$132="EV",Paths!$E$132&lt;120,Paths!$E$132+'Operating costs'!$B$65&gt;Paths!$E$132,Paths!$E$132+'Operating costs'!$B$65&lt;=120,IF(Paths!$E$132+'Operating costs'!$B$65=0,C1383=0,AND(C1383&gt;0,Paths!$E$132+'Operating costs'!$B$65&gt;(C1383-1)*12,Paths!$E$132+'Operating costs'!$B$65&lt;=C1383*12))),'Operating costs'!$B$64,0)+IF(AND('Operating costs'!$B$67&gt;0,'Operating costs'!$B$67&lt;=120,OR(Paths!$D$132="ICE",'Operating costs'!$B$67&lt;=Paths!$E$132),IF('Operating costs'!$B$67=0,C1383=0,AND(C1383&gt;0,'Operating costs'!$B$67&gt;(C1383-1)*12,'Operating costs'!$B$67&lt;=C1383*12))),'Operating costs'!$B$66,0),"n.a."))</f>
        <v>0</v>
      </c>
      <c r="N1383" s="16">
        <f>IF(NOT(Paths!$C$132=1),0,IF(Paths!$P$132="Complete",SUM(G1383:I1383)-J1383-K1383-L1383+M1383+IF(C1383=0,Paths!$F$132,0)+IF(IF(Paths!$E$132=0,C1383=0,AND(C1383&gt;0,Paths!$E$132&gt;(C1383-1)*12,Paths!$E$132&lt;=C1383*12)),VLOOKUP(A1383,'Fleet register'!$A$7:$S$106,16,FALSE),0),"n.a."))</f>
        <v>0</v>
      </c>
      <c r="O1383" s="16">
        <f>IF(NOT(Paths!$C$132=1),0,IF(Paths!$P$132="Complete",N1383-IF(C1383=0,Paths!$F$132,0),"n.a."))</f>
        <v>0</v>
      </c>
      <c r="P1383" s="16">
        <f>IF(NOT(Paths!$C$132=1),0,IF(Paths!$P$132="Complete",O1383+L1383,"n.a."))</f>
        <v>0</v>
      </c>
      <c r="Q1383" s="16">
        <f>IF(NOT(Paths!$C$132=1),0,IF(Paths!$P$132="Complete",N1383*(1+'Operating costs'!$B$54)^-C1383,"n.a."))</f>
        <v>0</v>
      </c>
      <c r="R1383" s="16">
        <f>IF(NOT(Paths!$C$132=1),0,IF(Paths!$P$132="Complete",IF(AND(C1383=0,Paths!$E$132=0),I1383-J1383-K1383+VLOOKUP(A1383,'Fleet register'!$A$7:$S$106,15,FALSE)+VLOOKUP(A1383,'Fleet register'!$A$7:$S$106,16,FALSE),0),"n.a."))</f>
        <v>0</v>
      </c>
      <c r="S1383" s="1">
        <f>IF(NOT(Paths!$C$132=1),0,IF(Paths!$P$132="Complete",IF(C1383=0,0,Paths!$S$132*Paths!$R$132),"n.a."))</f>
        <v>0</v>
      </c>
      <c r="T1383" s="1">
        <f>IF(NOT(Paths!$C$132=1),0,IF(Paths!$P$132="Complete",IF(C1383=0,0,VLOOKUP(A1383,'Fleet register'!$A$7:$S$106,9,FALSE)*Paths!$R$132),"n.a."))</f>
        <v>0</v>
      </c>
    </row>
    <row r="1384" spans="1:20" ht="24" customHeight="1">
      <c r="A1384" s="1" t="str">
        <f>Paths!$A$132</f>
        <v>T032</v>
      </c>
      <c r="B1384" s="1">
        <f>Paths!$B$132</f>
        <v>1</v>
      </c>
      <c r="C1384" s="1">
        <v>2</v>
      </c>
      <c r="D1384" s="1">
        <v>132</v>
      </c>
      <c r="E1384" s="1">
        <f>IF(OR(Paths!$C$132=0,C1384=0),0,MAX(0,MIN(C1384*12,Paths!$E$132)-(C1384-1)*12))</f>
        <v>0</v>
      </c>
      <c r="F1384" s="1">
        <f>IF(OR(Paths!$C$132=0,C1384=0),0,12-E1384)</f>
        <v>0</v>
      </c>
      <c r="G1384" s="16">
        <f>IF(NOT(Paths!$C$132=1),0,IF(Paths!$P$132="Complete",E1384/12*(Paths!$J$132*(1+'Operating costs'!$B$51)^MAX(0,C1384-1)+Paths!$K$132*(1+'Operating costs'!$B$53)^MAX(0,C1384-1)),"n.a."))</f>
        <v>0</v>
      </c>
      <c r="H1384" s="16">
        <f>IF(NOT(Paths!$C$132=1),0,IF(Paths!$P$132="Complete",F1384/12*(Paths!$L$132*(1+IF(Paths!$D$132="EV",'Operating costs'!$B$52,'Operating costs'!$B$51))^MAX(0,C1384-1)+Paths!$M$132*(1+'Operating costs'!$B$53)^MAX(0,C1384-1)),"n.a."))</f>
        <v>0</v>
      </c>
      <c r="I1384" s="16">
        <f>IF(NOT(Paths!$C$132=1),0,IF(Paths!$P$132="Complete",IF(IF(Paths!$E$132=0,C1384=0,AND(C1384&gt;0,Paths!$E$132&gt;(C1384-1)*12,Paths!$E$132&lt;=C1384*12)),Paths!$G$132,0),"n.a."))</f>
        <v>0</v>
      </c>
      <c r="J1384" s="16">
        <f>IF(NOT(Paths!$C$132=1),0,IF(Paths!$P$132="Complete",IF(IF(Paths!$E$132=0,C1384=0,AND(C1384&gt;0,Paths!$E$132&gt;(C1384-1)*12,Paths!$E$132&lt;=C1384*12)),Paths!$H$132,0),"n.a."))</f>
        <v>0</v>
      </c>
      <c r="K1384" s="16">
        <f>IF(NOT(Paths!$C$132=1),0,IF(Paths!$P$132="Complete",IF(IF(Paths!$O$132=0,C1384=0,AND(C1384&gt;0,Paths!$O$132&gt;(C1384-1)*12,Paths!$O$132&lt;=C1384*12)),Paths!$N$132,0),"n.a."))</f>
        <v>0</v>
      </c>
      <c r="L1384" s="16">
        <f>IF(NOT(Paths!$C$132=1),0,IF(Paths!$P$132="Complete",IF(C1384=10,Paths!$I$132,0),"n.a."))</f>
        <v>0</v>
      </c>
      <c r="M1384" s="16">
        <f>IF(NOT(Paths!$C$132=1),0,IF(Paths!$P$132="Complete",IF(AND(Paths!$D$132="EV",Paths!$E$132&lt;120,Paths!$E$132+'Operating costs'!$B$65&gt;Paths!$E$132,Paths!$E$132+'Operating costs'!$B$65&lt;=120,IF(Paths!$E$132+'Operating costs'!$B$65=0,C1384=0,AND(C1384&gt;0,Paths!$E$132+'Operating costs'!$B$65&gt;(C1384-1)*12,Paths!$E$132+'Operating costs'!$B$65&lt;=C1384*12))),'Operating costs'!$B$64,0)+IF(AND('Operating costs'!$B$67&gt;0,'Operating costs'!$B$67&lt;=120,OR(Paths!$D$132="ICE",'Operating costs'!$B$67&lt;=Paths!$E$132),IF('Operating costs'!$B$67=0,C1384=0,AND(C1384&gt;0,'Operating costs'!$B$67&gt;(C1384-1)*12,'Operating costs'!$B$67&lt;=C1384*12))),'Operating costs'!$B$66,0),"n.a."))</f>
        <v>0</v>
      </c>
      <c r="N1384" s="16">
        <f>IF(NOT(Paths!$C$132=1),0,IF(Paths!$P$132="Complete",SUM(G1384:I1384)-J1384-K1384-L1384+M1384+IF(C1384=0,Paths!$F$132,0)+IF(IF(Paths!$E$132=0,C1384=0,AND(C1384&gt;0,Paths!$E$132&gt;(C1384-1)*12,Paths!$E$132&lt;=C1384*12)),VLOOKUP(A1384,'Fleet register'!$A$7:$S$106,16,FALSE),0),"n.a."))</f>
        <v>0</v>
      </c>
      <c r="O1384" s="16">
        <f>IF(NOT(Paths!$C$132=1),0,IF(Paths!$P$132="Complete",N1384-IF(C1384=0,Paths!$F$132,0),"n.a."))</f>
        <v>0</v>
      </c>
      <c r="P1384" s="16">
        <f>IF(NOT(Paths!$C$132=1),0,IF(Paths!$P$132="Complete",O1384+L1384,"n.a."))</f>
        <v>0</v>
      </c>
      <c r="Q1384" s="16">
        <f>IF(NOT(Paths!$C$132=1),0,IF(Paths!$P$132="Complete",N1384*(1+'Operating costs'!$B$54)^-C1384,"n.a."))</f>
        <v>0</v>
      </c>
      <c r="R1384" s="16">
        <f>IF(NOT(Paths!$C$132=1),0,IF(Paths!$P$132="Complete",IF(AND(C1384=0,Paths!$E$132=0),I1384-J1384-K1384+VLOOKUP(A1384,'Fleet register'!$A$7:$S$106,15,FALSE)+VLOOKUP(A1384,'Fleet register'!$A$7:$S$106,16,FALSE),0),"n.a."))</f>
        <v>0</v>
      </c>
      <c r="S1384" s="1">
        <f>IF(NOT(Paths!$C$132=1),0,IF(Paths!$P$132="Complete",IF(C1384=0,0,Paths!$S$132*Paths!$R$132),"n.a."))</f>
        <v>0</v>
      </c>
      <c r="T1384" s="1">
        <f>IF(NOT(Paths!$C$132=1),0,IF(Paths!$P$132="Complete",IF(C1384=0,0,VLOOKUP(A1384,'Fleet register'!$A$7:$S$106,9,FALSE)*Paths!$R$132),"n.a."))</f>
        <v>0</v>
      </c>
    </row>
    <row r="1385" spans="1:20" ht="24" customHeight="1">
      <c r="A1385" s="1" t="str">
        <f>Paths!$A$132</f>
        <v>T032</v>
      </c>
      <c r="B1385" s="1">
        <f>Paths!$B$132</f>
        <v>1</v>
      </c>
      <c r="C1385" s="1">
        <v>3</v>
      </c>
      <c r="D1385" s="1">
        <v>132</v>
      </c>
      <c r="E1385" s="1">
        <f>IF(OR(Paths!$C$132=0,C1385=0),0,MAX(0,MIN(C1385*12,Paths!$E$132)-(C1385-1)*12))</f>
        <v>0</v>
      </c>
      <c r="F1385" s="1">
        <f>IF(OR(Paths!$C$132=0,C1385=0),0,12-E1385)</f>
        <v>0</v>
      </c>
      <c r="G1385" s="16">
        <f>IF(NOT(Paths!$C$132=1),0,IF(Paths!$P$132="Complete",E1385/12*(Paths!$J$132*(1+'Operating costs'!$B$51)^MAX(0,C1385-1)+Paths!$K$132*(1+'Operating costs'!$B$53)^MAX(0,C1385-1)),"n.a."))</f>
        <v>0</v>
      </c>
      <c r="H1385" s="16">
        <f>IF(NOT(Paths!$C$132=1),0,IF(Paths!$P$132="Complete",F1385/12*(Paths!$L$132*(1+IF(Paths!$D$132="EV",'Operating costs'!$B$52,'Operating costs'!$B$51))^MAX(0,C1385-1)+Paths!$M$132*(1+'Operating costs'!$B$53)^MAX(0,C1385-1)),"n.a."))</f>
        <v>0</v>
      </c>
      <c r="I1385" s="16">
        <f>IF(NOT(Paths!$C$132=1),0,IF(Paths!$P$132="Complete",IF(IF(Paths!$E$132=0,C1385=0,AND(C1385&gt;0,Paths!$E$132&gt;(C1385-1)*12,Paths!$E$132&lt;=C1385*12)),Paths!$G$132,0),"n.a."))</f>
        <v>0</v>
      </c>
      <c r="J1385" s="16">
        <f>IF(NOT(Paths!$C$132=1),0,IF(Paths!$P$132="Complete",IF(IF(Paths!$E$132=0,C1385=0,AND(C1385&gt;0,Paths!$E$132&gt;(C1385-1)*12,Paths!$E$132&lt;=C1385*12)),Paths!$H$132,0),"n.a."))</f>
        <v>0</v>
      </c>
      <c r="K1385" s="16">
        <f>IF(NOT(Paths!$C$132=1),0,IF(Paths!$P$132="Complete",IF(IF(Paths!$O$132=0,C1385=0,AND(C1385&gt;0,Paths!$O$132&gt;(C1385-1)*12,Paths!$O$132&lt;=C1385*12)),Paths!$N$132,0),"n.a."))</f>
        <v>0</v>
      </c>
      <c r="L1385" s="16">
        <f>IF(NOT(Paths!$C$132=1),0,IF(Paths!$P$132="Complete",IF(C1385=10,Paths!$I$132,0),"n.a."))</f>
        <v>0</v>
      </c>
      <c r="M1385" s="16">
        <f>IF(NOT(Paths!$C$132=1),0,IF(Paths!$P$132="Complete",IF(AND(Paths!$D$132="EV",Paths!$E$132&lt;120,Paths!$E$132+'Operating costs'!$B$65&gt;Paths!$E$132,Paths!$E$132+'Operating costs'!$B$65&lt;=120,IF(Paths!$E$132+'Operating costs'!$B$65=0,C1385=0,AND(C1385&gt;0,Paths!$E$132+'Operating costs'!$B$65&gt;(C1385-1)*12,Paths!$E$132+'Operating costs'!$B$65&lt;=C1385*12))),'Operating costs'!$B$64,0)+IF(AND('Operating costs'!$B$67&gt;0,'Operating costs'!$B$67&lt;=120,OR(Paths!$D$132="ICE",'Operating costs'!$B$67&lt;=Paths!$E$132),IF('Operating costs'!$B$67=0,C1385=0,AND(C1385&gt;0,'Operating costs'!$B$67&gt;(C1385-1)*12,'Operating costs'!$B$67&lt;=C1385*12))),'Operating costs'!$B$66,0),"n.a."))</f>
        <v>0</v>
      </c>
      <c r="N1385" s="16">
        <f>IF(NOT(Paths!$C$132=1),0,IF(Paths!$P$132="Complete",SUM(G1385:I1385)-J1385-K1385-L1385+M1385+IF(C1385=0,Paths!$F$132,0)+IF(IF(Paths!$E$132=0,C1385=0,AND(C1385&gt;0,Paths!$E$132&gt;(C1385-1)*12,Paths!$E$132&lt;=C1385*12)),VLOOKUP(A1385,'Fleet register'!$A$7:$S$106,16,FALSE),0),"n.a."))</f>
        <v>0</v>
      </c>
      <c r="O1385" s="16">
        <f>IF(NOT(Paths!$C$132=1),0,IF(Paths!$P$132="Complete",N1385-IF(C1385=0,Paths!$F$132,0),"n.a."))</f>
        <v>0</v>
      </c>
      <c r="P1385" s="16">
        <f>IF(NOT(Paths!$C$132=1),0,IF(Paths!$P$132="Complete",O1385+L1385,"n.a."))</f>
        <v>0</v>
      </c>
      <c r="Q1385" s="16">
        <f>IF(NOT(Paths!$C$132=1),0,IF(Paths!$P$132="Complete",N1385*(1+'Operating costs'!$B$54)^-C1385,"n.a."))</f>
        <v>0</v>
      </c>
      <c r="R1385" s="16">
        <f>IF(NOT(Paths!$C$132=1),0,IF(Paths!$P$132="Complete",IF(AND(C1385=0,Paths!$E$132=0),I1385-J1385-K1385+VLOOKUP(A1385,'Fleet register'!$A$7:$S$106,15,FALSE)+VLOOKUP(A1385,'Fleet register'!$A$7:$S$106,16,FALSE),0),"n.a."))</f>
        <v>0</v>
      </c>
      <c r="S1385" s="1">
        <f>IF(NOT(Paths!$C$132=1),0,IF(Paths!$P$132="Complete",IF(C1385=0,0,Paths!$S$132*Paths!$R$132),"n.a."))</f>
        <v>0</v>
      </c>
      <c r="T1385" s="1">
        <f>IF(NOT(Paths!$C$132=1),0,IF(Paths!$P$132="Complete",IF(C1385=0,0,VLOOKUP(A1385,'Fleet register'!$A$7:$S$106,9,FALSE)*Paths!$R$132),"n.a."))</f>
        <v>0</v>
      </c>
    </row>
    <row r="1386" spans="1:20" ht="24" customHeight="1">
      <c r="A1386" s="1" t="str">
        <f>Paths!$A$132</f>
        <v>T032</v>
      </c>
      <c r="B1386" s="1">
        <f>Paths!$B$132</f>
        <v>1</v>
      </c>
      <c r="C1386" s="1">
        <v>4</v>
      </c>
      <c r="D1386" s="1">
        <v>132</v>
      </c>
      <c r="E1386" s="1">
        <f>IF(OR(Paths!$C$132=0,C1386=0),0,MAX(0,MIN(C1386*12,Paths!$E$132)-(C1386-1)*12))</f>
        <v>0</v>
      </c>
      <c r="F1386" s="1">
        <f>IF(OR(Paths!$C$132=0,C1386=0),0,12-E1386)</f>
        <v>0</v>
      </c>
      <c r="G1386" s="16">
        <f>IF(NOT(Paths!$C$132=1),0,IF(Paths!$P$132="Complete",E1386/12*(Paths!$J$132*(1+'Operating costs'!$B$51)^MAX(0,C1386-1)+Paths!$K$132*(1+'Operating costs'!$B$53)^MAX(0,C1386-1)),"n.a."))</f>
        <v>0</v>
      </c>
      <c r="H1386" s="16">
        <f>IF(NOT(Paths!$C$132=1),0,IF(Paths!$P$132="Complete",F1386/12*(Paths!$L$132*(1+IF(Paths!$D$132="EV",'Operating costs'!$B$52,'Operating costs'!$B$51))^MAX(0,C1386-1)+Paths!$M$132*(1+'Operating costs'!$B$53)^MAX(0,C1386-1)),"n.a."))</f>
        <v>0</v>
      </c>
      <c r="I1386" s="16">
        <f>IF(NOT(Paths!$C$132=1),0,IF(Paths!$P$132="Complete",IF(IF(Paths!$E$132=0,C1386=0,AND(C1386&gt;0,Paths!$E$132&gt;(C1386-1)*12,Paths!$E$132&lt;=C1386*12)),Paths!$G$132,0),"n.a."))</f>
        <v>0</v>
      </c>
      <c r="J1386" s="16">
        <f>IF(NOT(Paths!$C$132=1),0,IF(Paths!$P$132="Complete",IF(IF(Paths!$E$132=0,C1386=0,AND(C1386&gt;0,Paths!$E$132&gt;(C1386-1)*12,Paths!$E$132&lt;=C1386*12)),Paths!$H$132,0),"n.a."))</f>
        <v>0</v>
      </c>
      <c r="K1386" s="16">
        <f>IF(NOT(Paths!$C$132=1),0,IF(Paths!$P$132="Complete",IF(IF(Paths!$O$132=0,C1386=0,AND(C1386&gt;0,Paths!$O$132&gt;(C1386-1)*12,Paths!$O$132&lt;=C1386*12)),Paths!$N$132,0),"n.a."))</f>
        <v>0</v>
      </c>
      <c r="L1386" s="16">
        <f>IF(NOT(Paths!$C$132=1),0,IF(Paths!$P$132="Complete",IF(C1386=10,Paths!$I$132,0),"n.a."))</f>
        <v>0</v>
      </c>
      <c r="M1386" s="16">
        <f>IF(NOT(Paths!$C$132=1),0,IF(Paths!$P$132="Complete",IF(AND(Paths!$D$132="EV",Paths!$E$132&lt;120,Paths!$E$132+'Operating costs'!$B$65&gt;Paths!$E$132,Paths!$E$132+'Operating costs'!$B$65&lt;=120,IF(Paths!$E$132+'Operating costs'!$B$65=0,C1386=0,AND(C1386&gt;0,Paths!$E$132+'Operating costs'!$B$65&gt;(C1386-1)*12,Paths!$E$132+'Operating costs'!$B$65&lt;=C1386*12))),'Operating costs'!$B$64,0)+IF(AND('Operating costs'!$B$67&gt;0,'Operating costs'!$B$67&lt;=120,OR(Paths!$D$132="ICE",'Operating costs'!$B$67&lt;=Paths!$E$132),IF('Operating costs'!$B$67=0,C1386=0,AND(C1386&gt;0,'Operating costs'!$B$67&gt;(C1386-1)*12,'Operating costs'!$B$67&lt;=C1386*12))),'Operating costs'!$B$66,0),"n.a."))</f>
        <v>0</v>
      </c>
      <c r="N1386" s="16">
        <f>IF(NOT(Paths!$C$132=1),0,IF(Paths!$P$132="Complete",SUM(G1386:I1386)-J1386-K1386-L1386+M1386+IF(C1386=0,Paths!$F$132,0)+IF(IF(Paths!$E$132=0,C1386=0,AND(C1386&gt;0,Paths!$E$132&gt;(C1386-1)*12,Paths!$E$132&lt;=C1386*12)),VLOOKUP(A1386,'Fleet register'!$A$7:$S$106,16,FALSE),0),"n.a."))</f>
        <v>0</v>
      </c>
      <c r="O1386" s="16">
        <f>IF(NOT(Paths!$C$132=1),0,IF(Paths!$P$132="Complete",N1386-IF(C1386=0,Paths!$F$132,0),"n.a."))</f>
        <v>0</v>
      </c>
      <c r="P1386" s="16">
        <f>IF(NOT(Paths!$C$132=1),0,IF(Paths!$P$132="Complete",O1386+L1386,"n.a."))</f>
        <v>0</v>
      </c>
      <c r="Q1386" s="16">
        <f>IF(NOT(Paths!$C$132=1),0,IF(Paths!$P$132="Complete",N1386*(1+'Operating costs'!$B$54)^-C1386,"n.a."))</f>
        <v>0</v>
      </c>
      <c r="R1386" s="16">
        <f>IF(NOT(Paths!$C$132=1),0,IF(Paths!$P$132="Complete",IF(AND(C1386=0,Paths!$E$132=0),I1386-J1386-K1386+VLOOKUP(A1386,'Fleet register'!$A$7:$S$106,15,FALSE)+VLOOKUP(A1386,'Fleet register'!$A$7:$S$106,16,FALSE),0),"n.a."))</f>
        <v>0</v>
      </c>
      <c r="S1386" s="1">
        <f>IF(NOT(Paths!$C$132=1),0,IF(Paths!$P$132="Complete",IF(C1386=0,0,Paths!$S$132*Paths!$R$132),"n.a."))</f>
        <v>0</v>
      </c>
      <c r="T1386" s="1">
        <f>IF(NOT(Paths!$C$132=1),0,IF(Paths!$P$132="Complete",IF(C1386=0,0,VLOOKUP(A1386,'Fleet register'!$A$7:$S$106,9,FALSE)*Paths!$R$132),"n.a."))</f>
        <v>0</v>
      </c>
    </row>
    <row r="1387" spans="1:20" ht="24" customHeight="1">
      <c r="A1387" s="1" t="str">
        <f>Paths!$A$132</f>
        <v>T032</v>
      </c>
      <c r="B1387" s="1">
        <f>Paths!$B$132</f>
        <v>1</v>
      </c>
      <c r="C1387" s="1">
        <v>5</v>
      </c>
      <c r="D1387" s="1">
        <v>132</v>
      </c>
      <c r="E1387" s="1">
        <f>IF(OR(Paths!$C$132=0,C1387=0),0,MAX(0,MIN(C1387*12,Paths!$E$132)-(C1387-1)*12))</f>
        <v>0</v>
      </c>
      <c r="F1387" s="1">
        <f>IF(OR(Paths!$C$132=0,C1387=0),0,12-E1387)</f>
        <v>0</v>
      </c>
      <c r="G1387" s="16">
        <f>IF(NOT(Paths!$C$132=1),0,IF(Paths!$P$132="Complete",E1387/12*(Paths!$J$132*(1+'Operating costs'!$B$51)^MAX(0,C1387-1)+Paths!$K$132*(1+'Operating costs'!$B$53)^MAX(0,C1387-1)),"n.a."))</f>
        <v>0</v>
      </c>
      <c r="H1387" s="16">
        <f>IF(NOT(Paths!$C$132=1),0,IF(Paths!$P$132="Complete",F1387/12*(Paths!$L$132*(1+IF(Paths!$D$132="EV",'Operating costs'!$B$52,'Operating costs'!$B$51))^MAX(0,C1387-1)+Paths!$M$132*(1+'Operating costs'!$B$53)^MAX(0,C1387-1)),"n.a."))</f>
        <v>0</v>
      </c>
      <c r="I1387" s="16">
        <f>IF(NOT(Paths!$C$132=1),0,IF(Paths!$P$132="Complete",IF(IF(Paths!$E$132=0,C1387=0,AND(C1387&gt;0,Paths!$E$132&gt;(C1387-1)*12,Paths!$E$132&lt;=C1387*12)),Paths!$G$132,0),"n.a."))</f>
        <v>0</v>
      </c>
      <c r="J1387" s="16">
        <f>IF(NOT(Paths!$C$132=1),0,IF(Paths!$P$132="Complete",IF(IF(Paths!$E$132=0,C1387=0,AND(C1387&gt;0,Paths!$E$132&gt;(C1387-1)*12,Paths!$E$132&lt;=C1387*12)),Paths!$H$132,0),"n.a."))</f>
        <v>0</v>
      </c>
      <c r="K1387" s="16">
        <f>IF(NOT(Paths!$C$132=1),0,IF(Paths!$P$132="Complete",IF(IF(Paths!$O$132=0,C1387=0,AND(C1387&gt;0,Paths!$O$132&gt;(C1387-1)*12,Paths!$O$132&lt;=C1387*12)),Paths!$N$132,0),"n.a."))</f>
        <v>0</v>
      </c>
      <c r="L1387" s="16">
        <f>IF(NOT(Paths!$C$132=1),0,IF(Paths!$P$132="Complete",IF(C1387=10,Paths!$I$132,0),"n.a."))</f>
        <v>0</v>
      </c>
      <c r="M1387" s="16">
        <f>IF(NOT(Paths!$C$132=1),0,IF(Paths!$P$132="Complete",IF(AND(Paths!$D$132="EV",Paths!$E$132&lt;120,Paths!$E$132+'Operating costs'!$B$65&gt;Paths!$E$132,Paths!$E$132+'Operating costs'!$B$65&lt;=120,IF(Paths!$E$132+'Operating costs'!$B$65=0,C1387=0,AND(C1387&gt;0,Paths!$E$132+'Operating costs'!$B$65&gt;(C1387-1)*12,Paths!$E$132+'Operating costs'!$B$65&lt;=C1387*12))),'Operating costs'!$B$64,0)+IF(AND('Operating costs'!$B$67&gt;0,'Operating costs'!$B$67&lt;=120,OR(Paths!$D$132="ICE",'Operating costs'!$B$67&lt;=Paths!$E$132),IF('Operating costs'!$B$67=0,C1387=0,AND(C1387&gt;0,'Operating costs'!$B$67&gt;(C1387-1)*12,'Operating costs'!$B$67&lt;=C1387*12))),'Operating costs'!$B$66,0),"n.a."))</f>
        <v>0</v>
      </c>
      <c r="N1387" s="16">
        <f>IF(NOT(Paths!$C$132=1),0,IF(Paths!$P$132="Complete",SUM(G1387:I1387)-J1387-K1387-L1387+M1387+IF(C1387=0,Paths!$F$132,0)+IF(IF(Paths!$E$132=0,C1387=0,AND(C1387&gt;0,Paths!$E$132&gt;(C1387-1)*12,Paths!$E$132&lt;=C1387*12)),VLOOKUP(A1387,'Fleet register'!$A$7:$S$106,16,FALSE),0),"n.a."))</f>
        <v>0</v>
      </c>
      <c r="O1387" s="16">
        <f>IF(NOT(Paths!$C$132=1),0,IF(Paths!$P$132="Complete",N1387-IF(C1387=0,Paths!$F$132,0),"n.a."))</f>
        <v>0</v>
      </c>
      <c r="P1387" s="16">
        <f>IF(NOT(Paths!$C$132=1),0,IF(Paths!$P$132="Complete",O1387+L1387,"n.a."))</f>
        <v>0</v>
      </c>
      <c r="Q1387" s="16">
        <f>IF(NOT(Paths!$C$132=1),0,IF(Paths!$P$132="Complete",N1387*(1+'Operating costs'!$B$54)^-C1387,"n.a."))</f>
        <v>0</v>
      </c>
      <c r="R1387" s="16">
        <f>IF(NOT(Paths!$C$132=1),0,IF(Paths!$P$132="Complete",IF(AND(C1387=0,Paths!$E$132=0),I1387-J1387-K1387+VLOOKUP(A1387,'Fleet register'!$A$7:$S$106,15,FALSE)+VLOOKUP(A1387,'Fleet register'!$A$7:$S$106,16,FALSE),0),"n.a."))</f>
        <v>0</v>
      </c>
      <c r="S1387" s="1">
        <f>IF(NOT(Paths!$C$132=1),0,IF(Paths!$P$132="Complete",IF(C1387=0,0,Paths!$S$132*Paths!$R$132),"n.a."))</f>
        <v>0</v>
      </c>
      <c r="T1387" s="1">
        <f>IF(NOT(Paths!$C$132=1),0,IF(Paths!$P$132="Complete",IF(C1387=0,0,VLOOKUP(A1387,'Fleet register'!$A$7:$S$106,9,FALSE)*Paths!$R$132),"n.a."))</f>
        <v>0</v>
      </c>
    </row>
    <row r="1388" spans="1:20" ht="24" customHeight="1">
      <c r="A1388" s="1" t="str">
        <f>Paths!$A$132</f>
        <v>T032</v>
      </c>
      <c r="B1388" s="1">
        <f>Paths!$B$132</f>
        <v>1</v>
      </c>
      <c r="C1388" s="1">
        <v>6</v>
      </c>
      <c r="D1388" s="1">
        <v>132</v>
      </c>
      <c r="E1388" s="1">
        <f>IF(OR(Paths!$C$132=0,C1388=0),0,MAX(0,MIN(C1388*12,Paths!$E$132)-(C1388-1)*12))</f>
        <v>0</v>
      </c>
      <c r="F1388" s="1">
        <f>IF(OR(Paths!$C$132=0,C1388=0),0,12-E1388)</f>
        <v>0</v>
      </c>
      <c r="G1388" s="16">
        <f>IF(NOT(Paths!$C$132=1),0,IF(Paths!$P$132="Complete",E1388/12*(Paths!$J$132*(1+'Operating costs'!$B$51)^MAX(0,C1388-1)+Paths!$K$132*(1+'Operating costs'!$B$53)^MAX(0,C1388-1)),"n.a."))</f>
        <v>0</v>
      </c>
      <c r="H1388" s="16">
        <f>IF(NOT(Paths!$C$132=1),0,IF(Paths!$P$132="Complete",F1388/12*(Paths!$L$132*(1+IF(Paths!$D$132="EV",'Operating costs'!$B$52,'Operating costs'!$B$51))^MAX(0,C1388-1)+Paths!$M$132*(1+'Operating costs'!$B$53)^MAX(0,C1388-1)),"n.a."))</f>
        <v>0</v>
      </c>
      <c r="I1388" s="16">
        <f>IF(NOT(Paths!$C$132=1),0,IF(Paths!$P$132="Complete",IF(IF(Paths!$E$132=0,C1388=0,AND(C1388&gt;0,Paths!$E$132&gt;(C1388-1)*12,Paths!$E$132&lt;=C1388*12)),Paths!$G$132,0),"n.a."))</f>
        <v>0</v>
      </c>
      <c r="J1388" s="16">
        <f>IF(NOT(Paths!$C$132=1),0,IF(Paths!$P$132="Complete",IF(IF(Paths!$E$132=0,C1388=0,AND(C1388&gt;0,Paths!$E$132&gt;(C1388-1)*12,Paths!$E$132&lt;=C1388*12)),Paths!$H$132,0),"n.a."))</f>
        <v>0</v>
      </c>
      <c r="K1388" s="16">
        <f>IF(NOT(Paths!$C$132=1),0,IF(Paths!$P$132="Complete",IF(IF(Paths!$O$132=0,C1388=0,AND(C1388&gt;0,Paths!$O$132&gt;(C1388-1)*12,Paths!$O$132&lt;=C1388*12)),Paths!$N$132,0),"n.a."))</f>
        <v>0</v>
      </c>
      <c r="L1388" s="16">
        <f>IF(NOT(Paths!$C$132=1),0,IF(Paths!$P$132="Complete",IF(C1388=10,Paths!$I$132,0),"n.a."))</f>
        <v>0</v>
      </c>
      <c r="M1388" s="16">
        <f>IF(NOT(Paths!$C$132=1),0,IF(Paths!$P$132="Complete",IF(AND(Paths!$D$132="EV",Paths!$E$132&lt;120,Paths!$E$132+'Operating costs'!$B$65&gt;Paths!$E$132,Paths!$E$132+'Operating costs'!$B$65&lt;=120,IF(Paths!$E$132+'Operating costs'!$B$65=0,C1388=0,AND(C1388&gt;0,Paths!$E$132+'Operating costs'!$B$65&gt;(C1388-1)*12,Paths!$E$132+'Operating costs'!$B$65&lt;=C1388*12))),'Operating costs'!$B$64,0)+IF(AND('Operating costs'!$B$67&gt;0,'Operating costs'!$B$67&lt;=120,OR(Paths!$D$132="ICE",'Operating costs'!$B$67&lt;=Paths!$E$132),IF('Operating costs'!$B$67=0,C1388=0,AND(C1388&gt;0,'Operating costs'!$B$67&gt;(C1388-1)*12,'Operating costs'!$B$67&lt;=C1388*12))),'Operating costs'!$B$66,0),"n.a."))</f>
        <v>0</v>
      </c>
      <c r="N1388" s="16">
        <f>IF(NOT(Paths!$C$132=1),0,IF(Paths!$P$132="Complete",SUM(G1388:I1388)-J1388-K1388-L1388+M1388+IF(C1388=0,Paths!$F$132,0)+IF(IF(Paths!$E$132=0,C1388=0,AND(C1388&gt;0,Paths!$E$132&gt;(C1388-1)*12,Paths!$E$132&lt;=C1388*12)),VLOOKUP(A1388,'Fleet register'!$A$7:$S$106,16,FALSE),0),"n.a."))</f>
        <v>0</v>
      </c>
      <c r="O1388" s="16">
        <f>IF(NOT(Paths!$C$132=1),0,IF(Paths!$P$132="Complete",N1388-IF(C1388=0,Paths!$F$132,0),"n.a."))</f>
        <v>0</v>
      </c>
      <c r="P1388" s="16">
        <f>IF(NOT(Paths!$C$132=1),0,IF(Paths!$P$132="Complete",O1388+L1388,"n.a."))</f>
        <v>0</v>
      </c>
      <c r="Q1388" s="16">
        <f>IF(NOT(Paths!$C$132=1),0,IF(Paths!$P$132="Complete",N1388*(1+'Operating costs'!$B$54)^-C1388,"n.a."))</f>
        <v>0</v>
      </c>
      <c r="R1388" s="16">
        <f>IF(NOT(Paths!$C$132=1),0,IF(Paths!$P$132="Complete",IF(AND(C1388=0,Paths!$E$132=0),I1388-J1388-K1388+VLOOKUP(A1388,'Fleet register'!$A$7:$S$106,15,FALSE)+VLOOKUP(A1388,'Fleet register'!$A$7:$S$106,16,FALSE),0),"n.a."))</f>
        <v>0</v>
      </c>
      <c r="S1388" s="1">
        <f>IF(NOT(Paths!$C$132=1),0,IF(Paths!$P$132="Complete",IF(C1388=0,0,Paths!$S$132*Paths!$R$132),"n.a."))</f>
        <v>0</v>
      </c>
      <c r="T1388" s="1">
        <f>IF(NOT(Paths!$C$132=1),0,IF(Paths!$P$132="Complete",IF(C1388=0,0,VLOOKUP(A1388,'Fleet register'!$A$7:$S$106,9,FALSE)*Paths!$R$132),"n.a."))</f>
        <v>0</v>
      </c>
    </row>
    <row r="1389" spans="1:20" ht="24" customHeight="1">
      <c r="A1389" s="1" t="str">
        <f>Paths!$A$132</f>
        <v>T032</v>
      </c>
      <c r="B1389" s="1">
        <f>Paths!$B$132</f>
        <v>1</v>
      </c>
      <c r="C1389" s="1">
        <v>7</v>
      </c>
      <c r="D1389" s="1">
        <v>132</v>
      </c>
      <c r="E1389" s="1">
        <f>IF(OR(Paths!$C$132=0,C1389=0),0,MAX(0,MIN(C1389*12,Paths!$E$132)-(C1389-1)*12))</f>
        <v>0</v>
      </c>
      <c r="F1389" s="1">
        <f>IF(OR(Paths!$C$132=0,C1389=0),0,12-E1389)</f>
        <v>0</v>
      </c>
      <c r="G1389" s="16">
        <f>IF(NOT(Paths!$C$132=1),0,IF(Paths!$P$132="Complete",E1389/12*(Paths!$J$132*(1+'Operating costs'!$B$51)^MAX(0,C1389-1)+Paths!$K$132*(1+'Operating costs'!$B$53)^MAX(0,C1389-1)),"n.a."))</f>
        <v>0</v>
      </c>
      <c r="H1389" s="16">
        <f>IF(NOT(Paths!$C$132=1),0,IF(Paths!$P$132="Complete",F1389/12*(Paths!$L$132*(1+IF(Paths!$D$132="EV",'Operating costs'!$B$52,'Operating costs'!$B$51))^MAX(0,C1389-1)+Paths!$M$132*(1+'Operating costs'!$B$53)^MAX(0,C1389-1)),"n.a."))</f>
        <v>0</v>
      </c>
      <c r="I1389" s="16">
        <f>IF(NOT(Paths!$C$132=1),0,IF(Paths!$P$132="Complete",IF(IF(Paths!$E$132=0,C1389=0,AND(C1389&gt;0,Paths!$E$132&gt;(C1389-1)*12,Paths!$E$132&lt;=C1389*12)),Paths!$G$132,0),"n.a."))</f>
        <v>0</v>
      </c>
      <c r="J1389" s="16">
        <f>IF(NOT(Paths!$C$132=1),0,IF(Paths!$P$132="Complete",IF(IF(Paths!$E$132=0,C1389=0,AND(C1389&gt;0,Paths!$E$132&gt;(C1389-1)*12,Paths!$E$132&lt;=C1389*12)),Paths!$H$132,0),"n.a."))</f>
        <v>0</v>
      </c>
      <c r="K1389" s="16">
        <f>IF(NOT(Paths!$C$132=1),0,IF(Paths!$P$132="Complete",IF(IF(Paths!$O$132=0,C1389=0,AND(C1389&gt;0,Paths!$O$132&gt;(C1389-1)*12,Paths!$O$132&lt;=C1389*12)),Paths!$N$132,0),"n.a."))</f>
        <v>0</v>
      </c>
      <c r="L1389" s="16">
        <f>IF(NOT(Paths!$C$132=1),0,IF(Paths!$P$132="Complete",IF(C1389=10,Paths!$I$132,0),"n.a."))</f>
        <v>0</v>
      </c>
      <c r="M1389" s="16">
        <f>IF(NOT(Paths!$C$132=1),0,IF(Paths!$P$132="Complete",IF(AND(Paths!$D$132="EV",Paths!$E$132&lt;120,Paths!$E$132+'Operating costs'!$B$65&gt;Paths!$E$132,Paths!$E$132+'Operating costs'!$B$65&lt;=120,IF(Paths!$E$132+'Operating costs'!$B$65=0,C1389=0,AND(C1389&gt;0,Paths!$E$132+'Operating costs'!$B$65&gt;(C1389-1)*12,Paths!$E$132+'Operating costs'!$B$65&lt;=C1389*12))),'Operating costs'!$B$64,0)+IF(AND('Operating costs'!$B$67&gt;0,'Operating costs'!$B$67&lt;=120,OR(Paths!$D$132="ICE",'Operating costs'!$B$67&lt;=Paths!$E$132),IF('Operating costs'!$B$67=0,C1389=0,AND(C1389&gt;0,'Operating costs'!$B$67&gt;(C1389-1)*12,'Operating costs'!$B$67&lt;=C1389*12))),'Operating costs'!$B$66,0),"n.a."))</f>
        <v>0</v>
      </c>
      <c r="N1389" s="16">
        <f>IF(NOT(Paths!$C$132=1),0,IF(Paths!$P$132="Complete",SUM(G1389:I1389)-J1389-K1389-L1389+M1389+IF(C1389=0,Paths!$F$132,0)+IF(IF(Paths!$E$132=0,C1389=0,AND(C1389&gt;0,Paths!$E$132&gt;(C1389-1)*12,Paths!$E$132&lt;=C1389*12)),VLOOKUP(A1389,'Fleet register'!$A$7:$S$106,16,FALSE),0),"n.a."))</f>
        <v>0</v>
      </c>
      <c r="O1389" s="16">
        <f>IF(NOT(Paths!$C$132=1),0,IF(Paths!$P$132="Complete",N1389-IF(C1389=0,Paths!$F$132,0),"n.a."))</f>
        <v>0</v>
      </c>
      <c r="P1389" s="16">
        <f>IF(NOT(Paths!$C$132=1),0,IF(Paths!$P$132="Complete",O1389+L1389,"n.a."))</f>
        <v>0</v>
      </c>
      <c r="Q1389" s="16">
        <f>IF(NOT(Paths!$C$132=1),0,IF(Paths!$P$132="Complete",N1389*(1+'Operating costs'!$B$54)^-C1389,"n.a."))</f>
        <v>0</v>
      </c>
      <c r="R1389" s="16">
        <f>IF(NOT(Paths!$C$132=1),0,IF(Paths!$P$132="Complete",IF(AND(C1389=0,Paths!$E$132=0),I1389-J1389-K1389+VLOOKUP(A1389,'Fleet register'!$A$7:$S$106,15,FALSE)+VLOOKUP(A1389,'Fleet register'!$A$7:$S$106,16,FALSE),0),"n.a."))</f>
        <v>0</v>
      </c>
      <c r="S1389" s="1">
        <f>IF(NOT(Paths!$C$132=1),0,IF(Paths!$P$132="Complete",IF(C1389=0,0,Paths!$S$132*Paths!$R$132),"n.a."))</f>
        <v>0</v>
      </c>
      <c r="T1389" s="1">
        <f>IF(NOT(Paths!$C$132=1),0,IF(Paths!$P$132="Complete",IF(C1389=0,0,VLOOKUP(A1389,'Fleet register'!$A$7:$S$106,9,FALSE)*Paths!$R$132),"n.a."))</f>
        <v>0</v>
      </c>
    </row>
    <row r="1390" spans="1:20" ht="24" customHeight="1">
      <c r="A1390" s="1" t="str">
        <f>Paths!$A$132</f>
        <v>T032</v>
      </c>
      <c r="B1390" s="1">
        <f>Paths!$B$132</f>
        <v>1</v>
      </c>
      <c r="C1390" s="1">
        <v>8</v>
      </c>
      <c r="D1390" s="1">
        <v>132</v>
      </c>
      <c r="E1390" s="1">
        <f>IF(OR(Paths!$C$132=0,C1390=0),0,MAX(0,MIN(C1390*12,Paths!$E$132)-(C1390-1)*12))</f>
        <v>0</v>
      </c>
      <c r="F1390" s="1">
        <f>IF(OR(Paths!$C$132=0,C1390=0),0,12-E1390)</f>
        <v>0</v>
      </c>
      <c r="G1390" s="16">
        <f>IF(NOT(Paths!$C$132=1),0,IF(Paths!$P$132="Complete",E1390/12*(Paths!$J$132*(1+'Operating costs'!$B$51)^MAX(0,C1390-1)+Paths!$K$132*(1+'Operating costs'!$B$53)^MAX(0,C1390-1)),"n.a."))</f>
        <v>0</v>
      </c>
      <c r="H1390" s="16">
        <f>IF(NOT(Paths!$C$132=1),0,IF(Paths!$P$132="Complete",F1390/12*(Paths!$L$132*(1+IF(Paths!$D$132="EV",'Operating costs'!$B$52,'Operating costs'!$B$51))^MAX(0,C1390-1)+Paths!$M$132*(1+'Operating costs'!$B$53)^MAX(0,C1390-1)),"n.a."))</f>
        <v>0</v>
      </c>
      <c r="I1390" s="16">
        <f>IF(NOT(Paths!$C$132=1),0,IF(Paths!$P$132="Complete",IF(IF(Paths!$E$132=0,C1390=0,AND(C1390&gt;0,Paths!$E$132&gt;(C1390-1)*12,Paths!$E$132&lt;=C1390*12)),Paths!$G$132,0),"n.a."))</f>
        <v>0</v>
      </c>
      <c r="J1390" s="16">
        <f>IF(NOT(Paths!$C$132=1),0,IF(Paths!$P$132="Complete",IF(IF(Paths!$E$132=0,C1390=0,AND(C1390&gt;0,Paths!$E$132&gt;(C1390-1)*12,Paths!$E$132&lt;=C1390*12)),Paths!$H$132,0),"n.a."))</f>
        <v>0</v>
      </c>
      <c r="K1390" s="16">
        <f>IF(NOT(Paths!$C$132=1),0,IF(Paths!$P$132="Complete",IF(IF(Paths!$O$132=0,C1390=0,AND(C1390&gt;0,Paths!$O$132&gt;(C1390-1)*12,Paths!$O$132&lt;=C1390*12)),Paths!$N$132,0),"n.a."))</f>
        <v>0</v>
      </c>
      <c r="L1390" s="16">
        <f>IF(NOT(Paths!$C$132=1),0,IF(Paths!$P$132="Complete",IF(C1390=10,Paths!$I$132,0),"n.a."))</f>
        <v>0</v>
      </c>
      <c r="M1390" s="16">
        <f>IF(NOT(Paths!$C$132=1),0,IF(Paths!$P$132="Complete",IF(AND(Paths!$D$132="EV",Paths!$E$132&lt;120,Paths!$E$132+'Operating costs'!$B$65&gt;Paths!$E$132,Paths!$E$132+'Operating costs'!$B$65&lt;=120,IF(Paths!$E$132+'Operating costs'!$B$65=0,C1390=0,AND(C1390&gt;0,Paths!$E$132+'Operating costs'!$B$65&gt;(C1390-1)*12,Paths!$E$132+'Operating costs'!$B$65&lt;=C1390*12))),'Operating costs'!$B$64,0)+IF(AND('Operating costs'!$B$67&gt;0,'Operating costs'!$B$67&lt;=120,OR(Paths!$D$132="ICE",'Operating costs'!$B$67&lt;=Paths!$E$132),IF('Operating costs'!$B$67=0,C1390=0,AND(C1390&gt;0,'Operating costs'!$B$67&gt;(C1390-1)*12,'Operating costs'!$B$67&lt;=C1390*12))),'Operating costs'!$B$66,0),"n.a."))</f>
        <v>0</v>
      </c>
      <c r="N1390" s="16">
        <f>IF(NOT(Paths!$C$132=1),0,IF(Paths!$P$132="Complete",SUM(G1390:I1390)-J1390-K1390-L1390+M1390+IF(C1390=0,Paths!$F$132,0)+IF(IF(Paths!$E$132=0,C1390=0,AND(C1390&gt;0,Paths!$E$132&gt;(C1390-1)*12,Paths!$E$132&lt;=C1390*12)),VLOOKUP(A1390,'Fleet register'!$A$7:$S$106,16,FALSE),0),"n.a."))</f>
        <v>0</v>
      </c>
      <c r="O1390" s="16">
        <f>IF(NOT(Paths!$C$132=1),0,IF(Paths!$P$132="Complete",N1390-IF(C1390=0,Paths!$F$132,0),"n.a."))</f>
        <v>0</v>
      </c>
      <c r="P1390" s="16">
        <f>IF(NOT(Paths!$C$132=1),0,IF(Paths!$P$132="Complete",O1390+L1390,"n.a."))</f>
        <v>0</v>
      </c>
      <c r="Q1390" s="16">
        <f>IF(NOT(Paths!$C$132=1),0,IF(Paths!$P$132="Complete",N1390*(1+'Operating costs'!$B$54)^-C1390,"n.a."))</f>
        <v>0</v>
      </c>
      <c r="R1390" s="16">
        <f>IF(NOT(Paths!$C$132=1),0,IF(Paths!$P$132="Complete",IF(AND(C1390=0,Paths!$E$132=0),I1390-J1390-K1390+VLOOKUP(A1390,'Fleet register'!$A$7:$S$106,15,FALSE)+VLOOKUP(A1390,'Fleet register'!$A$7:$S$106,16,FALSE),0),"n.a."))</f>
        <v>0</v>
      </c>
      <c r="S1390" s="1">
        <f>IF(NOT(Paths!$C$132=1),0,IF(Paths!$P$132="Complete",IF(C1390=0,0,Paths!$S$132*Paths!$R$132),"n.a."))</f>
        <v>0</v>
      </c>
      <c r="T1390" s="1">
        <f>IF(NOT(Paths!$C$132=1),0,IF(Paths!$P$132="Complete",IF(C1390=0,0,VLOOKUP(A1390,'Fleet register'!$A$7:$S$106,9,FALSE)*Paths!$R$132),"n.a."))</f>
        <v>0</v>
      </c>
    </row>
    <row r="1391" spans="1:20" ht="24" customHeight="1">
      <c r="A1391" s="1" t="str">
        <f>Paths!$A$132</f>
        <v>T032</v>
      </c>
      <c r="B1391" s="1">
        <f>Paths!$B$132</f>
        <v>1</v>
      </c>
      <c r="C1391" s="1">
        <v>9</v>
      </c>
      <c r="D1391" s="1">
        <v>132</v>
      </c>
      <c r="E1391" s="1">
        <f>IF(OR(Paths!$C$132=0,C1391=0),0,MAX(0,MIN(C1391*12,Paths!$E$132)-(C1391-1)*12))</f>
        <v>0</v>
      </c>
      <c r="F1391" s="1">
        <f>IF(OR(Paths!$C$132=0,C1391=0),0,12-E1391)</f>
        <v>0</v>
      </c>
      <c r="G1391" s="16">
        <f>IF(NOT(Paths!$C$132=1),0,IF(Paths!$P$132="Complete",E1391/12*(Paths!$J$132*(1+'Operating costs'!$B$51)^MAX(0,C1391-1)+Paths!$K$132*(1+'Operating costs'!$B$53)^MAX(0,C1391-1)),"n.a."))</f>
        <v>0</v>
      </c>
      <c r="H1391" s="16">
        <f>IF(NOT(Paths!$C$132=1),0,IF(Paths!$P$132="Complete",F1391/12*(Paths!$L$132*(1+IF(Paths!$D$132="EV",'Operating costs'!$B$52,'Operating costs'!$B$51))^MAX(0,C1391-1)+Paths!$M$132*(1+'Operating costs'!$B$53)^MAX(0,C1391-1)),"n.a."))</f>
        <v>0</v>
      </c>
      <c r="I1391" s="16">
        <f>IF(NOT(Paths!$C$132=1),0,IF(Paths!$P$132="Complete",IF(IF(Paths!$E$132=0,C1391=0,AND(C1391&gt;0,Paths!$E$132&gt;(C1391-1)*12,Paths!$E$132&lt;=C1391*12)),Paths!$G$132,0),"n.a."))</f>
        <v>0</v>
      </c>
      <c r="J1391" s="16">
        <f>IF(NOT(Paths!$C$132=1),0,IF(Paths!$P$132="Complete",IF(IF(Paths!$E$132=0,C1391=0,AND(C1391&gt;0,Paths!$E$132&gt;(C1391-1)*12,Paths!$E$132&lt;=C1391*12)),Paths!$H$132,0),"n.a."))</f>
        <v>0</v>
      </c>
      <c r="K1391" s="16">
        <f>IF(NOT(Paths!$C$132=1),0,IF(Paths!$P$132="Complete",IF(IF(Paths!$O$132=0,C1391=0,AND(C1391&gt;0,Paths!$O$132&gt;(C1391-1)*12,Paths!$O$132&lt;=C1391*12)),Paths!$N$132,0),"n.a."))</f>
        <v>0</v>
      </c>
      <c r="L1391" s="16">
        <f>IF(NOT(Paths!$C$132=1),0,IF(Paths!$P$132="Complete",IF(C1391=10,Paths!$I$132,0),"n.a."))</f>
        <v>0</v>
      </c>
      <c r="M1391" s="16">
        <f>IF(NOT(Paths!$C$132=1),0,IF(Paths!$P$132="Complete",IF(AND(Paths!$D$132="EV",Paths!$E$132&lt;120,Paths!$E$132+'Operating costs'!$B$65&gt;Paths!$E$132,Paths!$E$132+'Operating costs'!$B$65&lt;=120,IF(Paths!$E$132+'Operating costs'!$B$65=0,C1391=0,AND(C1391&gt;0,Paths!$E$132+'Operating costs'!$B$65&gt;(C1391-1)*12,Paths!$E$132+'Operating costs'!$B$65&lt;=C1391*12))),'Operating costs'!$B$64,0)+IF(AND('Operating costs'!$B$67&gt;0,'Operating costs'!$B$67&lt;=120,OR(Paths!$D$132="ICE",'Operating costs'!$B$67&lt;=Paths!$E$132),IF('Operating costs'!$B$67=0,C1391=0,AND(C1391&gt;0,'Operating costs'!$B$67&gt;(C1391-1)*12,'Operating costs'!$B$67&lt;=C1391*12))),'Operating costs'!$B$66,0),"n.a."))</f>
        <v>0</v>
      </c>
      <c r="N1391" s="16">
        <f>IF(NOT(Paths!$C$132=1),0,IF(Paths!$P$132="Complete",SUM(G1391:I1391)-J1391-K1391-L1391+M1391+IF(C1391=0,Paths!$F$132,0)+IF(IF(Paths!$E$132=0,C1391=0,AND(C1391&gt;0,Paths!$E$132&gt;(C1391-1)*12,Paths!$E$132&lt;=C1391*12)),VLOOKUP(A1391,'Fleet register'!$A$7:$S$106,16,FALSE),0),"n.a."))</f>
        <v>0</v>
      </c>
      <c r="O1391" s="16">
        <f>IF(NOT(Paths!$C$132=1),0,IF(Paths!$P$132="Complete",N1391-IF(C1391=0,Paths!$F$132,0),"n.a."))</f>
        <v>0</v>
      </c>
      <c r="P1391" s="16">
        <f>IF(NOT(Paths!$C$132=1),0,IF(Paths!$P$132="Complete",O1391+L1391,"n.a."))</f>
        <v>0</v>
      </c>
      <c r="Q1391" s="16">
        <f>IF(NOT(Paths!$C$132=1),0,IF(Paths!$P$132="Complete",N1391*(1+'Operating costs'!$B$54)^-C1391,"n.a."))</f>
        <v>0</v>
      </c>
      <c r="R1391" s="16">
        <f>IF(NOT(Paths!$C$132=1),0,IF(Paths!$P$132="Complete",IF(AND(C1391=0,Paths!$E$132=0),I1391-J1391-K1391+VLOOKUP(A1391,'Fleet register'!$A$7:$S$106,15,FALSE)+VLOOKUP(A1391,'Fleet register'!$A$7:$S$106,16,FALSE),0),"n.a."))</f>
        <v>0</v>
      </c>
      <c r="S1391" s="1">
        <f>IF(NOT(Paths!$C$132=1),0,IF(Paths!$P$132="Complete",IF(C1391=0,0,Paths!$S$132*Paths!$R$132),"n.a."))</f>
        <v>0</v>
      </c>
      <c r="T1391" s="1">
        <f>IF(NOT(Paths!$C$132=1),0,IF(Paths!$P$132="Complete",IF(C1391=0,0,VLOOKUP(A1391,'Fleet register'!$A$7:$S$106,9,FALSE)*Paths!$R$132),"n.a."))</f>
        <v>0</v>
      </c>
    </row>
    <row r="1392" spans="1:20" ht="24" customHeight="1">
      <c r="A1392" s="1" t="str">
        <f>Paths!$A$132</f>
        <v>T032</v>
      </c>
      <c r="B1392" s="1">
        <f>Paths!$B$132</f>
        <v>1</v>
      </c>
      <c r="C1392" s="1">
        <v>10</v>
      </c>
      <c r="D1392" s="1">
        <v>132</v>
      </c>
      <c r="E1392" s="1">
        <f>IF(OR(Paths!$C$132=0,C1392=0),0,MAX(0,MIN(C1392*12,Paths!$E$132)-(C1392-1)*12))</f>
        <v>0</v>
      </c>
      <c r="F1392" s="1">
        <f>IF(OR(Paths!$C$132=0,C1392=0),0,12-E1392)</f>
        <v>0</v>
      </c>
      <c r="G1392" s="16">
        <f>IF(NOT(Paths!$C$132=1),0,IF(Paths!$P$132="Complete",E1392/12*(Paths!$J$132*(1+'Operating costs'!$B$51)^MAX(0,C1392-1)+Paths!$K$132*(1+'Operating costs'!$B$53)^MAX(0,C1392-1)),"n.a."))</f>
        <v>0</v>
      </c>
      <c r="H1392" s="16">
        <f>IF(NOT(Paths!$C$132=1),0,IF(Paths!$P$132="Complete",F1392/12*(Paths!$L$132*(1+IF(Paths!$D$132="EV",'Operating costs'!$B$52,'Operating costs'!$B$51))^MAX(0,C1392-1)+Paths!$M$132*(1+'Operating costs'!$B$53)^MAX(0,C1392-1)),"n.a."))</f>
        <v>0</v>
      </c>
      <c r="I1392" s="16">
        <f>IF(NOT(Paths!$C$132=1),0,IF(Paths!$P$132="Complete",IF(IF(Paths!$E$132=0,C1392=0,AND(C1392&gt;0,Paths!$E$132&gt;(C1392-1)*12,Paths!$E$132&lt;=C1392*12)),Paths!$G$132,0),"n.a."))</f>
        <v>0</v>
      </c>
      <c r="J1392" s="16">
        <f>IF(NOT(Paths!$C$132=1),0,IF(Paths!$P$132="Complete",IF(IF(Paths!$E$132=0,C1392=0,AND(C1392&gt;0,Paths!$E$132&gt;(C1392-1)*12,Paths!$E$132&lt;=C1392*12)),Paths!$H$132,0),"n.a."))</f>
        <v>0</v>
      </c>
      <c r="K1392" s="16">
        <f>IF(NOT(Paths!$C$132=1),0,IF(Paths!$P$132="Complete",IF(IF(Paths!$O$132=0,C1392=0,AND(C1392&gt;0,Paths!$O$132&gt;(C1392-1)*12,Paths!$O$132&lt;=C1392*12)),Paths!$N$132,0),"n.a."))</f>
        <v>0</v>
      </c>
      <c r="L1392" s="16">
        <f>IF(NOT(Paths!$C$132=1),0,IF(Paths!$P$132="Complete",IF(C1392=10,Paths!$I$132,0),"n.a."))</f>
        <v>0</v>
      </c>
      <c r="M1392" s="16">
        <f>IF(NOT(Paths!$C$132=1),0,IF(Paths!$P$132="Complete",IF(AND(Paths!$D$132="EV",Paths!$E$132&lt;120,Paths!$E$132+'Operating costs'!$B$65&gt;Paths!$E$132,Paths!$E$132+'Operating costs'!$B$65&lt;=120,IF(Paths!$E$132+'Operating costs'!$B$65=0,C1392=0,AND(C1392&gt;0,Paths!$E$132+'Operating costs'!$B$65&gt;(C1392-1)*12,Paths!$E$132+'Operating costs'!$B$65&lt;=C1392*12))),'Operating costs'!$B$64,0)+IF(AND('Operating costs'!$B$67&gt;0,'Operating costs'!$B$67&lt;=120,OR(Paths!$D$132="ICE",'Operating costs'!$B$67&lt;=Paths!$E$132),IF('Operating costs'!$B$67=0,C1392=0,AND(C1392&gt;0,'Operating costs'!$B$67&gt;(C1392-1)*12,'Operating costs'!$B$67&lt;=C1392*12))),'Operating costs'!$B$66,0),"n.a."))</f>
        <v>0</v>
      </c>
      <c r="N1392" s="16">
        <f>IF(NOT(Paths!$C$132=1),0,IF(Paths!$P$132="Complete",SUM(G1392:I1392)-J1392-K1392-L1392+M1392+IF(C1392=0,Paths!$F$132,0)+IF(IF(Paths!$E$132=0,C1392=0,AND(C1392&gt;0,Paths!$E$132&gt;(C1392-1)*12,Paths!$E$132&lt;=C1392*12)),VLOOKUP(A1392,'Fleet register'!$A$7:$S$106,16,FALSE),0),"n.a."))</f>
        <v>0</v>
      </c>
      <c r="O1392" s="16">
        <f>IF(NOT(Paths!$C$132=1),0,IF(Paths!$P$132="Complete",N1392-IF(C1392=0,Paths!$F$132,0),"n.a."))</f>
        <v>0</v>
      </c>
      <c r="P1392" s="16">
        <f>IF(NOT(Paths!$C$132=1),0,IF(Paths!$P$132="Complete",O1392+L1392,"n.a."))</f>
        <v>0</v>
      </c>
      <c r="Q1392" s="16">
        <f>IF(NOT(Paths!$C$132=1),0,IF(Paths!$P$132="Complete",N1392*(1+'Operating costs'!$B$54)^-C1392,"n.a."))</f>
        <v>0</v>
      </c>
      <c r="R1392" s="16">
        <f>IF(NOT(Paths!$C$132=1),0,IF(Paths!$P$132="Complete",IF(AND(C1392=0,Paths!$E$132=0),I1392-J1392-K1392+VLOOKUP(A1392,'Fleet register'!$A$7:$S$106,15,FALSE)+VLOOKUP(A1392,'Fleet register'!$A$7:$S$106,16,FALSE),0),"n.a."))</f>
        <v>0</v>
      </c>
      <c r="S1392" s="1">
        <f>IF(NOT(Paths!$C$132=1),0,IF(Paths!$P$132="Complete",IF(C1392=0,0,Paths!$S$132*Paths!$R$132),"n.a."))</f>
        <v>0</v>
      </c>
      <c r="T1392" s="1">
        <f>IF(NOT(Paths!$C$132=1),0,IF(Paths!$P$132="Complete",IF(C1392=0,0,VLOOKUP(A1392,'Fleet register'!$A$7:$S$106,9,FALSE)*Paths!$R$132),"n.a."))</f>
        <v>0</v>
      </c>
    </row>
    <row r="1393" spans="1:20" ht="24" customHeight="1">
      <c r="A1393" s="1" t="str">
        <f>Paths!$A$133</f>
        <v>T032</v>
      </c>
      <c r="B1393" s="1">
        <f>Paths!$B$133</f>
        <v>2</v>
      </c>
      <c r="C1393" s="1">
        <v>0</v>
      </c>
      <c r="D1393" s="1">
        <v>133</v>
      </c>
      <c r="E1393" s="1">
        <f>IF(OR(Paths!$C$133=0,C1393=0),0,MAX(0,MIN(C1393*12,Paths!$E$133)-(C1393-1)*12))</f>
        <v>0</v>
      </c>
      <c r="F1393" s="1">
        <f>IF(OR(Paths!$C$133=0,C1393=0),0,12-E1393)</f>
        <v>0</v>
      </c>
      <c r="G1393" s="16">
        <f>IF(NOT(Paths!$C$133=1),0,IF(Paths!$P$133="Complete",E1393/12*(Paths!$J$133*(1+'Operating costs'!$B$51)^MAX(0,C1393-1)+Paths!$K$133*(1+'Operating costs'!$B$53)^MAX(0,C1393-1)),"n.a."))</f>
        <v>0</v>
      </c>
      <c r="H1393" s="16">
        <f>IF(NOT(Paths!$C$133=1),0,IF(Paths!$P$133="Complete",F1393/12*(Paths!$L$133*(1+IF(Paths!$D$133="EV",'Operating costs'!$B$52,'Operating costs'!$B$51))^MAX(0,C1393-1)+Paths!$M$133*(1+'Operating costs'!$B$53)^MAX(0,C1393-1)),"n.a."))</f>
        <v>0</v>
      </c>
      <c r="I1393" s="16">
        <f>IF(NOT(Paths!$C$133=1),0,IF(Paths!$P$133="Complete",IF(IF(Paths!$E$133=0,C1393=0,AND(C1393&gt;0,Paths!$E$133&gt;(C1393-1)*12,Paths!$E$133&lt;=C1393*12)),Paths!$G$133,0),"n.a."))</f>
        <v>0</v>
      </c>
      <c r="J1393" s="16">
        <f>IF(NOT(Paths!$C$133=1),0,IF(Paths!$P$133="Complete",IF(IF(Paths!$E$133=0,C1393=0,AND(C1393&gt;0,Paths!$E$133&gt;(C1393-1)*12,Paths!$E$133&lt;=C1393*12)),Paths!$H$133,0),"n.a."))</f>
        <v>0</v>
      </c>
      <c r="K1393" s="16">
        <f>IF(NOT(Paths!$C$133=1),0,IF(Paths!$P$133="Complete",IF(IF(Paths!$O$133=0,C1393=0,AND(C1393&gt;0,Paths!$O$133&gt;(C1393-1)*12,Paths!$O$133&lt;=C1393*12)),Paths!$N$133,0),"n.a."))</f>
        <v>0</v>
      </c>
      <c r="L1393" s="16">
        <f>IF(NOT(Paths!$C$133=1),0,IF(Paths!$P$133="Complete",IF(C1393=10,Paths!$I$133,0),"n.a."))</f>
        <v>0</v>
      </c>
      <c r="M1393" s="16">
        <f>IF(NOT(Paths!$C$133=1),0,IF(Paths!$P$133="Complete",IF(AND(Paths!$D$133="EV",Paths!$E$133&lt;120,Paths!$E$133+'Operating costs'!$B$65&gt;Paths!$E$133,Paths!$E$133+'Operating costs'!$B$65&lt;=120,IF(Paths!$E$133+'Operating costs'!$B$65=0,C1393=0,AND(C1393&gt;0,Paths!$E$133+'Operating costs'!$B$65&gt;(C1393-1)*12,Paths!$E$133+'Operating costs'!$B$65&lt;=C1393*12))),'Operating costs'!$B$64,0)+IF(AND('Operating costs'!$B$67&gt;0,'Operating costs'!$B$67&lt;=120,OR(Paths!$D$133="ICE",'Operating costs'!$B$67&lt;=Paths!$E$133),IF('Operating costs'!$B$67=0,C1393=0,AND(C1393&gt;0,'Operating costs'!$B$67&gt;(C1393-1)*12,'Operating costs'!$B$67&lt;=C1393*12))),'Operating costs'!$B$66,0),"n.a."))</f>
        <v>0</v>
      </c>
      <c r="N1393" s="16">
        <f>IF(NOT(Paths!$C$133=1),0,IF(Paths!$P$133="Complete",SUM(G1393:I1393)-J1393-K1393-L1393+M1393+IF(C1393=0,Paths!$F$133,0)+IF(IF(Paths!$E$133=0,C1393=0,AND(C1393&gt;0,Paths!$E$133&gt;(C1393-1)*12,Paths!$E$133&lt;=C1393*12)),VLOOKUP(A1393,'Fleet register'!$A$7:$S$106,16,FALSE),0),"n.a."))</f>
        <v>0</v>
      </c>
      <c r="O1393" s="16">
        <f>IF(NOT(Paths!$C$133=1),0,IF(Paths!$P$133="Complete",N1393-IF(C1393=0,Paths!$F$133,0),"n.a."))</f>
        <v>0</v>
      </c>
      <c r="P1393" s="16">
        <f>IF(NOT(Paths!$C$133=1),0,IF(Paths!$P$133="Complete",O1393+L1393,"n.a."))</f>
        <v>0</v>
      </c>
      <c r="Q1393" s="16">
        <f>IF(NOT(Paths!$C$133=1),0,IF(Paths!$P$133="Complete",N1393*(1+'Operating costs'!$B$54)^-C1393,"n.a."))</f>
        <v>0</v>
      </c>
      <c r="R1393" s="16">
        <f>IF(NOT(Paths!$C$133=1),0,IF(Paths!$P$133="Complete",IF(AND(C1393=0,Paths!$E$133=0),I1393-J1393-K1393+VLOOKUP(A1393,'Fleet register'!$A$7:$S$106,15,FALSE)+VLOOKUP(A1393,'Fleet register'!$A$7:$S$106,16,FALSE),0),"n.a."))</f>
        <v>0</v>
      </c>
      <c r="S1393" s="1">
        <f>IF(NOT(Paths!$C$133=1),0,IF(Paths!$P$133="Complete",IF(C1393=0,0,Paths!$S$133*Paths!$R$133),"n.a."))</f>
        <v>0</v>
      </c>
      <c r="T1393" s="1">
        <f>IF(NOT(Paths!$C$133=1),0,IF(Paths!$P$133="Complete",IF(C1393=0,0,VLOOKUP(A1393,'Fleet register'!$A$7:$S$106,9,FALSE)*Paths!$R$133),"n.a."))</f>
        <v>0</v>
      </c>
    </row>
    <row r="1394" spans="1:20" ht="24" customHeight="1">
      <c r="A1394" s="1" t="str">
        <f>Paths!$A$133</f>
        <v>T032</v>
      </c>
      <c r="B1394" s="1">
        <f>Paths!$B$133</f>
        <v>2</v>
      </c>
      <c r="C1394" s="1">
        <v>1</v>
      </c>
      <c r="D1394" s="1">
        <v>133</v>
      </c>
      <c r="E1394" s="1">
        <f>IF(OR(Paths!$C$133=0,C1394=0),0,MAX(0,MIN(C1394*12,Paths!$E$133)-(C1394-1)*12))</f>
        <v>0</v>
      </c>
      <c r="F1394" s="1">
        <f>IF(OR(Paths!$C$133=0,C1394=0),0,12-E1394)</f>
        <v>0</v>
      </c>
      <c r="G1394" s="16">
        <f>IF(NOT(Paths!$C$133=1),0,IF(Paths!$P$133="Complete",E1394/12*(Paths!$J$133*(1+'Operating costs'!$B$51)^MAX(0,C1394-1)+Paths!$K$133*(1+'Operating costs'!$B$53)^MAX(0,C1394-1)),"n.a."))</f>
        <v>0</v>
      </c>
      <c r="H1394" s="16">
        <f>IF(NOT(Paths!$C$133=1),0,IF(Paths!$P$133="Complete",F1394/12*(Paths!$L$133*(1+IF(Paths!$D$133="EV",'Operating costs'!$B$52,'Operating costs'!$B$51))^MAX(0,C1394-1)+Paths!$M$133*(1+'Operating costs'!$B$53)^MAX(0,C1394-1)),"n.a."))</f>
        <v>0</v>
      </c>
      <c r="I1394" s="16">
        <f>IF(NOT(Paths!$C$133=1),0,IF(Paths!$P$133="Complete",IF(IF(Paths!$E$133=0,C1394=0,AND(C1394&gt;0,Paths!$E$133&gt;(C1394-1)*12,Paths!$E$133&lt;=C1394*12)),Paths!$G$133,0),"n.a."))</f>
        <v>0</v>
      </c>
      <c r="J1394" s="16">
        <f>IF(NOT(Paths!$C$133=1),0,IF(Paths!$P$133="Complete",IF(IF(Paths!$E$133=0,C1394=0,AND(C1394&gt;0,Paths!$E$133&gt;(C1394-1)*12,Paths!$E$133&lt;=C1394*12)),Paths!$H$133,0),"n.a."))</f>
        <v>0</v>
      </c>
      <c r="K1394" s="16">
        <f>IF(NOT(Paths!$C$133=1),0,IF(Paths!$P$133="Complete",IF(IF(Paths!$O$133=0,C1394=0,AND(C1394&gt;0,Paths!$O$133&gt;(C1394-1)*12,Paths!$O$133&lt;=C1394*12)),Paths!$N$133,0),"n.a."))</f>
        <v>0</v>
      </c>
      <c r="L1394" s="16">
        <f>IF(NOT(Paths!$C$133=1),0,IF(Paths!$P$133="Complete",IF(C1394=10,Paths!$I$133,0),"n.a."))</f>
        <v>0</v>
      </c>
      <c r="M1394" s="16">
        <f>IF(NOT(Paths!$C$133=1),0,IF(Paths!$P$133="Complete",IF(AND(Paths!$D$133="EV",Paths!$E$133&lt;120,Paths!$E$133+'Operating costs'!$B$65&gt;Paths!$E$133,Paths!$E$133+'Operating costs'!$B$65&lt;=120,IF(Paths!$E$133+'Operating costs'!$B$65=0,C1394=0,AND(C1394&gt;0,Paths!$E$133+'Operating costs'!$B$65&gt;(C1394-1)*12,Paths!$E$133+'Operating costs'!$B$65&lt;=C1394*12))),'Operating costs'!$B$64,0)+IF(AND('Operating costs'!$B$67&gt;0,'Operating costs'!$B$67&lt;=120,OR(Paths!$D$133="ICE",'Operating costs'!$B$67&lt;=Paths!$E$133),IF('Operating costs'!$B$67=0,C1394=0,AND(C1394&gt;0,'Operating costs'!$B$67&gt;(C1394-1)*12,'Operating costs'!$B$67&lt;=C1394*12))),'Operating costs'!$B$66,0),"n.a."))</f>
        <v>0</v>
      </c>
      <c r="N1394" s="16">
        <f>IF(NOT(Paths!$C$133=1),0,IF(Paths!$P$133="Complete",SUM(G1394:I1394)-J1394-K1394-L1394+M1394+IF(C1394=0,Paths!$F$133,0)+IF(IF(Paths!$E$133=0,C1394=0,AND(C1394&gt;0,Paths!$E$133&gt;(C1394-1)*12,Paths!$E$133&lt;=C1394*12)),VLOOKUP(A1394,'Fleet register'!$A$7:$S$106,16,FALSE),0),"n.a."))</f>
        <v>0</v>
      </c>
      <c r="O1394" s="16">
        <f>IF(NOT(Paths!$C$133=1),0,IF(Paths!$P$133="Complete",N1394-IF(C1394=0,Paths!$F$133,0),"n.a."))</f>
        <v>0</v>
      </c>
      <c r="P1394" s="16">
        <f>IF(NOT(Paths!$C$133=1),0,IF(Paths!$P$133="Complete",O1394+L1394,"n.a."))</f>
        <v>0</v>
      </c>
      <c r="Q1394" s="16">
        <f>IF(NOT(Paths!$C$133=1),0,IF(Paths!$P$133="Complete",N1394*(1+'Operating costs'!$B$54)^-C1394,"n.a."))</f>
        <v>0</v>
      </c>
      <c r="R1394" s="16">
        <f>IF(NOT(Paths!$C$133=1),0,IF(Paths!$P$133="Complete",IF(AND(C1394=0,Paths!$E$133=0),I1394-J1394-K1394+VLOOKUP(A1394,'Fleet register'!$A$7:$S$106,15,FALSE)+VLOOKUP(A1394,'Fleet register'!$A$7:$S$106,16,FALSE),0),"n.a."))</f>
        <v>0</v>
      </c>
      <c r="S1394" s="1">
        <f>IF(NOT(Paths!$C$133=1),0,IF(Paths!$P$133="Complete",IF(C1394=0,0,Paths!$S$133*Paths!$R$133),"n.a."))</f>
        <v>0</v>
      </c>
      <c r="T1394" s="1">
        <f>IF(NOT(Paths!$C$133=1),0,IF(Paths!$P$133="Complete",IF(C1394=0,0,VLOOKUP(A1394,'Fleet register'!$A$7:$S$106,9,FALSE)*Paths!$R$133),"n.a."))</f>
        <v>0</v>
      </c>
    </row>
    <row r="1395" spans="1:20" ht="24" customHeight="1">
      <c r="A1395" s="1" t="str">
        <f>Paths!$A$133</f>
        <v>T032</v>
      </c>
      <c r="B1395" s="1">
        <f>Paths!$B$133</f>
        <v>2</v>
      </c>
      <c r="C1395" s="1">
        <v>2</v>
      </c>
      <c r="D1395" s="1">
        <v>133</v>
      </c>
      <c r="E1395" s="1">
        <f>IF(OR(Paths!$C$133=0,C1395=0),0,MAX(0,MIN(C1395*12,Paths!$E$133)-(C1395-1)*12))</f>
        <v>0</v>
      </c>
      <c r="F1395" s="1">
        <f>IF(OR(Paths!$C$133=0,C1395=0),0,12-E1395)</f>
        <v>0</v>
      </c>
      <c r="G1395" s="16">
        <f>IF(NOT(Paths!$C$133=1),0,IF(Paths!$P$133="Complete",E1395/12*(Paths!$J$133*(1+'Operating costs'!$B$51)^MAX(0,C1395-1)+Paths!$K$133*(1+'Operating costs'!$B$53)^MAX(0,C1395-1)),"n.a."))</f>
        <v>0</v>
      </c>
      <c r="H1395" s="16">
        <f>IF(NOT(Paths!$C$133=1),0,IF(Paths!$P$133="Complete",F1395/12*(Paths!$L$133*(1+IF(Paths!$D$133="EV",'Operating costs'!$B$52,'Operating costs'!$B$51))^MAX(0,C1395-1)+Paths!$M$133*(1+'Operating costs'!$B$53)^MAX(0,C1395-1)),"n.a."))</f>
        <v>0</v>
      </c>
      <c r="I1395" s="16">
        <f>IF(NOT(Paths!$C$133=1),0,IF(Paths!$P$133="Complete",IF(IF(Paths!$E$133=0,C1395=0,AND(C1395&gt;0,Paths!$E$133&gt;(C1395-1)*12,Paths!$E$133&lt;=C1395*12)),Paths!$G$133,0),"n.a."))</f>
        <v>0</v>
      </c>
      <c r="J1395" s="16">
        <f>IF(NOT(Paths!$C$133=1),0,IF(Paths!$P$133="Complete",IF(IF(Paths!$E$133=0,C1395=0,AND(C1395&gt;0,Paths!$E$133&gt;(C1395-1)*12,Paths!$E$133&lt;=C1395*12)),Paths!$H$133,0),"n.a."))</f>
        <v>0</v>
      </c>
      <c r="K1395" s="16">
        <f>IF(NOT(Paths!$C$133=1),0,IF(Paths!$P$133="Complete",IF(IF(Paths!$O$133=0,C1395=0,AND(C1395&gt;0,Paths!$O$133&gt;(C1395-1)*12,Paths!$O$133&lt;=C1395*12)),Paths!$N$133,0),"n.a."))</f>
        <v>0</v>
      </c>
      <c r="L1395" s="16">
        <f>IF(NOT(Paths!$C$133=1),0,IF(Paths!$P$133="Complete",IF(C1395=10,Paths!$I$133,0),"n.a."))</f>
        <v>0</v>
      </c>
      <c r="M1395" s="16">
        <f>IF(NOT(Paths!$C$133=1),0,IF(Paths!$P$133="Complete",IF(AND(Paths!$D$133="EV",Paths!$E$133&lt;120,Paths!$E$133+'Operating costs'!$B$65&gt;Paths!$E$133,Paths!$E$133+'Operating costs'!$B$65&lt;=120,IF(Paths!$E$133+'Operating costs'!$B$65=0,C1395=0,AND(C1395&gt;0,Paths!$E$133+'Operating costs'!$B$65&gt;(C1395-1)*12,Paths!$E$133+'Operating costs'!$B$65&lt;=C1395*12))),'Operating costs'!$B$64,0)+IF(AND('Operating costs'!$B$67&gt;0,'Operating costs'!$B$67&lt;=120,OR(Paths!$D$133="ICE",'Operating costs'!$B$67&lt;=Paths!$E$133),IF('Operating costs'!$B$67=0,C1395=0,AND(C1395&gt;0,'Operating costs'!$B$67&gt;(C1395-1)*12,'Operating costs'!$B$67&lt;=C1395*12))),'Operating costs'!$B$66,0),"n.a."))</f>
        <v>0</v>
      </c>
      <c r="N1395" s="16">
        <f>IF(NOT(Paths!$C$133=1),0,IF(Paths!$P$133="Complete",SUM(G1395:I1395)-J1395-K1395-L1395+M1395+IF(C1395=0,Paths!$F$133,0)+IF(IF(Paths!$E$133=0,C1395=0,AND(C1395&gt;0,Paths!$E$133&gt;(C1395-1)*12,Paths!$E$133&lt;=C1395*12)),VLOOKUP(A1395,'Fleet register'!$A$7:$S$106,16,FALSE),0),"n.a."))</f>
        <v>0</v>
      </c>
      <c r="O1395" s="16">
        <f>IF(NOT(Paths!$C$133=1),0,IF(Paths!$P$133="Complete",N1395-IF(C1395=0,Paths!$F$133,0),"n.a."))</f>
        <v>0</v>
      </c>
      <c r="P1395" s="16">
        <f>IF(NOT(Paths!$C$133=1),0,IF(Paths!$P$133="Complete",O1395+L1395,"n.a."))</f>
        <v>0</v>
      </c>
      <c r="Q1395" s="16">
        <f>IF(NOT(Paths!$C$133=1),0,IF(Paths!$P$133="Complete",N1395*(1+'Operating costs'!$B$54)^-C1395,"n.a."))</f>
        <v>0</v>
      </c>
      <c r="R1395" s="16">
        <f>IF(NOT(Paths!$C$133=1),0,IF(Paths!$P$133="Complete",IF(AND(C1395=0,Paths!$E$133=0),I1395-J1395-K1395+VLOOKUP(A1395,'Fleet register'!$A$7:$S$106,15,FALSE)+VLOOKUP(A1395,'Fleet register'!$A$7:$S$106,16,FALSE),0),"n.a."))</f>
        <v>0</v>
      </c>
      <c r="S1395" s="1">
        <f>IF(NOT(Paths!$C$133=1),0,IF(Paths!$P$133="Complete",IF(C1395=0,0,Paths!$S$133*Paths!$R$133),"n.a."))</f>
        <v>0</v>
      </c>
      <c r="T1395" s="1">
        <f>IF(NOT(Paths!$C$133=1),0,IF(Paths!$P$133="Complete",IF(C1395=0,0,VLOOKUP(A1395,'Fleet register'!$A$7:$S$106,9,FALSE)*Paths!$R$133),"n.a."))</f>
        <v>0</v>
      </c>
    </row>
    <row r="1396" spans="1:20" ht="24" customHeight="1">
      <c r="A1396" s="1" t="str">
        <f>Paths!$A$133</f>
        <v>T032</v>
      </c>
      <c r="B1396" s="1">
        <f>Paths!$B$133</f>
        <v>2</v>
      </c>
      <c r="C1396" s="1">
        <v>3</v>
      </c>
      <c r="D1396" s="1">
        <v>133</v>
      </c>
      <c r="E1396" s="1">
        <f>IF(OR(Paths!$C$133=0,C1396=0),0,MAX(0,MIN(C1396*12,Paths!$E$133)-(C1396-1)*12))</f>
        <v>0</v>
      </c>
      <c r="F1396" s="1">
        <f>IF(OR(Paths!$C$133=0,C1396=0),0,12-E1396)</f>
        <v>0</v>
      </c>
      <c r="G1396" s="16">
        <f>IF(NOT(Paths!$C$133=1),0,IF(Paths!$P$133="Complete",E1396/12*(Paths!$J$133*(1+'Operating costs'!$B$51)^MAX(0,C1396-1)+Paths!$K$133*(1+'Operating costs'!$B$53)^MAX(0,C1396-1)),"n.a."))</f>
        <v>0</v>
      </c>
      <c r="H1396" s="16">
        <f>IF(NOT(Paths!$C$133=1),0,IF(Paths!$P$133="Complete",F1396/12*(Paths!$L$133*(1+IF(Paths!$D$133="EV",'Operating costs'!$B$52,'Operating costs'!$B$51))^MAX(0,C1396-1)+Paths!$M$133*(1+'Operating costs'!$B$53)^MAX(0,C1396-1)),"n.a."))</f>
        <v>0</v>
      </c>
      <c r="I1396" s="16">
        <f>IF(NOT(Paths!$C$133=1),0,IF(Paths!$P$133="Complete",IF(IF(Paths!$E$133=0,C1396=0,AND(C1396&gt;0,Paths!$E$133&gt;(C1396-1)*12,Paths!$E$133&lt;=C1396*12)),Paths!$G$133,0),"n.a."))</f>
        <v>0</v>
      </c>
      <c r="J1396" s="16">
        <f>IF(NOT(Paths!$C$133=1),0,IF(Paths!$P$133="Complete",IF(IF(Paths!$E$133=0,C1396=0,AND(C1396&gt;0,Paths!$E$133&gt;(C1396-1)*12,Paths!$E$133&lt;=C1396*12)),Paths!$H$133,0),"n.a."))</f>
        <v>0</v>
      </c>
      <c r="K1396" s="16">
        <f>IF(NOT(Paths!$C$133=1),0,IF(Paths!$P$133="Complete",IF(IF(Paths!$O$133=0,C1396=0,AND(C1396&gt;0,Paths!$O$133&gt;(C1396-1)*12,Paths!$O$133&lt;=C1396*12)),Paths!$N$133,0),"n.a."))</f>
        <v>0</v>
      </c>
      <c r="L1396" s="16">
        <f>IF(NOT(Paths!$C$133=1),0,IF(Paths!$P$133="Complete",IF(C1396=10,Paths!$I$133,0),"n.a."))</f>
        <v>0</v>
      </c>
      <c r="M1396" s="16">
        <f>IF(NOT(Paths!$C$133=1),0,IF(Paths!$P$133="Complete",IF(AND(Paths!$D$133="EV",Paths!$E$133&lt;120,Paths!$E$133+'Operating costs'!$B$65&gt;Paths!$E$133,Paths!$E$133+'Operating costs'!$B$65&lt;=120,IF(Paths!$E$133+'Operating costs'!$B$65=0,C1396=0,AND(C1396&gt;0,Paths!$E$133+'Operating costs'!$B$65&gt;(C1396-1)*12,Paths!$E$133+'Operating costs'!$B$65&lt;=C1396*12))),'Operating costs'!$B$64,0)+IF(AND('Operating costs'!$B$67&gt;0,'Operating costs'!$B$67&lt;=120,OR(Paths!$D$133="ICE",'Operating costs'!$B$67&lt;=Paths!$E$133),IF('Operating costs'!$B$67=0,C1396=0,AND(C1396&gt;0,'Operating costs'!$B$67&gt;(C1396-1)*12,'Operating costs'!$B$67&lt;=C1396*12))),'Operating costs'!$B$66,0),"n.a."))</f>
        <v>0</v>
      </c>
      <c r="N1396" s="16">
        <f>IF(NOT(Paths!$C$133=1),0,IF(Paths!$P$133="Complete",SUM(G1396:I1396)-J1396-K1396-L1396+M1396+IF(C1396=0,Paths!$F$133,0)+IF(IF(Paths!$E$133=0,C1396=0,AND(C1396&gt;0,Paths!$E$133&gt;(C1396-1)*12,Paths!$E$133&lt;=C1396*12)),VLOOKUP(A1396,'Fleet register'!$A$7:$S$106,16,FALSE),0),"n.a."))</f>
        <v>0</v>
      </c>
      <c r="O1396" s="16">
        <f>IF(NOT(Paths!$C$133=1),0,IF(Paths!$P$133="Complete",N1396-IF(C1396=0,Paths!$F$133,0),"n.a."))</f>
        <v>0</v>
      </c>
      <c r="P1396" s="16">
        <f>IF(NOT(Paths!$C$133=1),0,IF(Paths!$P$133="Complete",O1396+L1396,"n.a."))</f>
        <v>0</v>
      </c>
      <c r="Q1396" s="16">
        <f>IF(NOT(Paths!$C$133=1),0,IF(Paths!$P$133="Complete",N1396*(1+'Operating costs'!$B$54)^-C1396,"n.a."))</f>
        <v>0</v>
      </c>
      <c r="R1396" s="16">
        <f>IF(NOT(Paths!$C$133=1),0,IF(Paths!$P$133="Complete",IF(AND(C1396=0,Paths!$E$133=0),I1396-J1396-K1396+VLOOKUP(A1396,'Fleet register'!$A$7:$S$106,15,FALSE)+VLOOKUP(A1396,'Fleet register'!$A$7:$S$106,16,FALSE),0),"n.a."))</f>
        <v>0</v>
      </c>
      <c r="S1396" s="1">
        <f>IF(NOT(Paths!$C$133=1),0,IF(Paths!$P$133="Complete",IF(C1396=0,0,Paths!$S$133*Paths!$R$133),"n.a."))</f>
        <v>0</v>
      </c>
      <c r="T1396" s="1">
        <f>IF(NOT(Paths!$C$133=1),0,IF(Paths!$P$133="Complete",IF(C1396=0,0,VLOOKUP(A1396,'Fleet register'!$A$7:$S$106,9,FALSE)*Paths!$R$133),"n.a."))</f>
        <v>0</v>
      </c>
    </row>
    <row r="1397" spans="1:20" ht="24" customHeight="1">
      <c r="A1397" s="1" t="str">
        <f>Paths!$A$133</f>
        <v>T032</v>
      </c>
      <c r="B1397" s="1">
        <f>Paths!$B$133</f>
        <v>2</v>
      </c>
      <c r="C1397" s="1">
        <v>4</v>
      </c>
      <c r="D1397" s="1">
        <v>133</v>
      </c>
      <c r="E1397" s="1">
        <f>IF(OR(Paths!$C$133=0,C1397=0),0,MAX(0,MIN(C1397*12,Paths!$E$133)-(C1397-1)*12))</f>
        <v>0</v>
      </c>
      <c r="F1397" s="1">
        <f>IF(OR(Paths!$C$133=0,C1397=0),0,12-E1397)</f>
        <v>0</v>
      </c>
      <c r="G1397" s="16">
        <f>IF(NOT(Paths!$C$133=1),0,IF(Paths!$P$133="Complete",E1397/12*(Paths!$J$133*(1+'Operating costs'!$B$51)^MAX(0,C1397-1)+Paths!$K$133*(1+'Operating costs'!$B$53)^MAX(0,C1397-1)),"n.a."))</f>
        <v>0</v>
      </c>
      <c r="H1397" s="16">
        <f>IF(NOT(Paths!$C$133=1),0,IF(Paths!$P$133="Complete",F1397/12*(Paths!$L$133*(1+IF(Paths!$D$133="EV",'Operating costs'!$B$52,'Operating costs'!$B$51))^MAX(0,C1397-1)+Paths!$M$133*(1+'Operating costs'!$B$53)^MAX(0,C1397-1)),"n.a."))</f>
        <v>0</v>
      </c>
      <c r="I1397" s="16">
        <f>IF(NOT(Paths!$C$133=1),0,IF(Paths!$P$133="Complete",IF(IF(Paths!$E$133=0,C1397=0,AND(C1397&gt;0,Paths!$E$133&gt;(C1397-1)*12,Paths!$E$133&lt;=C1397*12)),Paths!$G$133,0),"n.a."))</f>
        <v>0</v>
      </c>
      <c r="J1397" s="16">
        <f>IF(NOT(Paths!$C$133=1),0,IF(Paths!$P$133="Complete",IF(IF(Paths!$E$133=0,C1397=0,AND(C1397&gt;0,Paths!$E$133&gt;(C1397-1)*12,Paths!$E$133&lt;=C1397*12)),Paths!$H$133,0),"n.a."))</f>
        <v>0</v>
      </c>
      <c r="K1397" s="16">
        <f>IF(NOT(Paths!$C$133=1),0,IF(Paths!$P$133="Complete",IF(IF(Paths!$O$133=0,C1397=0,AND(C1397&gt;0,Paths!$O$133&gt;(C1397-1)*12,Paths!$O$133&lt;=C1397*12)),Paths!$N$133,0),"n.a."))</f>
        <v>0</v>
      </c>
      <c r="L1397" s="16">
        <f>IF(NOT(Paths!$C$133=1),0,IF(Paths!$P$133="Complete",IF(C1397=10,Paths!$I$133,0),"n.a."))</f>
        <v>0</v>
      </c>
      <c r="M1397" s="16">
        <f>IF(NOT(Paths!$C$133=1),0,IF(Paths!$P$133="Complete",IF(AND(Paths!$D$133="EV",Paths!$E$133&lt;120,Paths!$E$133+'Operating costs'!$B$65&gt;Paths!$E$133,Paths!$E$133+'Operating costs'!$B$65&lt;=120,IF(Paths!$E$133+'Operating costs'!$B$65=0,C1397=0,AND(C1397&gt;0,Paths!$E$133+'Operating costs'!$B$65&gt;(C1397-1)*12,Paths!$E$133+'Operating costs'!$B$65&lt;=C1397*12))),'Operating costs'!$B$64,0)+IF(AND('Operating costs'!$B$67&gt;0,'Operating costs'!$B$67&lt;=120,OR(Paths!$D$133="ICE",'Operating costs'!$B$67&lt;=Paths!$E$133),IF('Operating costs'!$B$67=0,C1397=0,AND(C1397&gt;0,'Operating costs'!$B$67&gt;(C1397-1)*12,'Operating costs'!$B$67&lt;=C1397*12))),'Operating costs'!$B$66,0),"n.a."))</f>
        <v>0</v>
      </c>
      <c r="N1397" s="16">
        <f>IF(NOT(Paths!$C$133=1),0,IF(Paths!$P$133="Complete",SUM(G1397:I1397)-J1397-K1397-L1397+M1397+IF(C1397=0,Paths!$F$133,0)+IF(IF(Paths!$E$133=0,C1397=0,AND(C1397&gt;0,Paths!$E$133&gt;(C1397-1)*12,Paths!$E$133&lt;=C1397*12)),VLOOKUP(A1397,'Fleet register'!$A$7:$S$106,16,FALSE),0),"n.a."))</f>
        <v>0</v>
      </c>
      <c r="O1397" s="16">
        <f>IF(NOT(Paths!$C$133=1),0,IF(Paths!$P$133="Complete",N1397-IF(C1397=0,Paths!$F$133,0),"n.a."))</f>
        <v>0</v>
      </c>
      <c r="P1397" s="16">
        <f>IF(NOT(Paths!$C$133=1),0,IF(Paths!$P$133="Complete",O1397+L1397,"n.a."))</f>
        <v>0</v>
      </c>
      <c r="Q1397" s="16">
        <f>IF(NOT(Paths!$C$133=1),0,IF(Paths!$P$133="Complete",N1397*(1+'Operating costs'!$B$54)^-C1397,"n.a."))</f>
        <v>0</v>
      </c>
      <c r="R1397" s="16">
        <f>IF(NOT(Paths!$C$133=1),0,IF(Paths!$P$133="Complete",IF(AND(C1397=0,Paths!$E$133=0),I1397-J1397-K1397+VLOOKUP(A1397,'Fleet register'!$A$7:$S$106,15,FALSE)+VLOOKUP(A1397,'Fleet register'!$A$7:$S$106,16,FALSE),0),"n.a."))</f>
        <v>0</v>
      </c>
      <c r="S1397" s="1">
        <f>IF(NOT(Paths!$C$133=1),0,IF(Paths!$P$133="Complete",IF(C1397=0,0,Paths!$S$133*Paths!$R$133),"n.a."))</f>
        <v>0</v>
      </c>
      <c r="T1397" s="1">
        <f>IF(NOT(Paths!$C$133=1),0,IF(Paths!$P$133="Complete",IF(C1397=0,0,VLOOKUP(A1397,'Fleet register'!$A$7:$S$106,9,FALSE)*Paths!$R$133),"n.a."))</f>
        <v>0</v>
      </c>
    </row>
    <row r="1398" spans="1:20" ht="24" customHeight="1">
      <c r="A1398" s="1" t="str">
        <f>Paths!$A$133</f>
        <v>T032</v>
      </c>
      <c r="B1398" s="1">
        <f>Paths!$B$133</f>
        <v>2</v>
      </c>
      <c r="C1398" s="1">
        <v>5</v>
      </c>
      <c r="D1398" s="1">
        <v>133</v>
      </c>
      <c r="E1398" s="1">
        <f>IF(OR(Paths!$C$133=0,C1398=0),0,MAX(0,MIN(C1398*12,Paths!$E$133)-(C1398-1)*12))</f>
        <v>0</v>
      </c>
      <c r="F1398" s="1">
        <f>IF(OR(Paths!$C$133=0,C1398=0),0,12-E1398)</f>
        <v>0</v>
      </c>
      <c r="G1398" s="16">
        <f>IF(NOT(Paths!$C$133=1),0,IF(Paths!$P$133="Complete",E1398/12*(Paths!$J$133*(1+'Operating costs'!$B$51)^MAX(0,C1398-1)+Paths!$K$133*(1+'Operating costs'!$B$53)^MAX(0,C1398-1)),"n.a."))</f>
        <v>0</v>
      </c>
      <c r="H1398" s="16">
        <f>IF(NOT(Paths!$C$133=1),0,IF(Paths!$P$133="Complete",F1398/12*(Paths!$L$133*(1+IF(Paths!$D$133="EV",'Operating costs'!$B$52,'Operating costs'!$B$51))^MAX(0,C1398-1)+Paths!$M$133*(1+'Operating costs'!$B$53)^MAX(0,C1398-1)),"n.a."))</f>
        <v>0</v>
      </c>
      <c r="I1398" s="16">
        <f>IF(NOT(Paths!$C$133=1),0,IF(Paths!$P$133="Complete",IF(IF(Paths!$E$133=0,C1398=0,AND(C1398&gt;0,Paths!$E$133&gt;(C1398-1)*12,Paths!$E$133&lt;=C1398*12)),Paths!$G$133,0),"n.a."))</f>
        <v>0</v>
      </c>
      <c r="J1398" s="16">
        <f>IF(NOT(Paths!$C$133=1),0,IF(Paths!$P$133="Complete",IF(IF(Paths!$E$133=0,C1398=0,AND(C1398&gt;0,Paths!$E$133&gt;(C1398-1)*12,Paths!$E$133&lt;=C1398*12)),Paths!$H$133,0),"n.a."))</f>
        <v>0</v>
      </c>
      <c r="K1398" s="16">
        <f>IF(NOT(Paths!$C$133=1),0,IF(Paths!$P$133="Complete",IF(IF(Paths!$O$133=0,C1398=0,AND(C1398&gt;0,Paths!$O$133&gt;(C1398-1)*12,Paths!$O$133&lt;=C1398*12)),Paths!$N$133,0),"n.a."))</f>
        <v>0</v>
      </c>
      <c r="L1398" s="16">
        <f>IF(NOT(Paths!$C$133=1),0,IF(Paths!$P$133="Complete",IF(C1398=10,Paths!$I$133,0),"n.a."))</f>
        <v>0</v>
      </c>
      <c r="M1398" s="16">
        <f>IF(NOT(Paths!$C$133=1),0,IF(Paths!$P$133="Complete",IF(AND(Paths!$D$133="EV",Paths!$E$133&lt;120,Paths!$E$133+'Operating costs'!$B$65&gt;Paths!$E$133,Paths!$E$133+'Operating costs'!$B$65&lt;=120,IF(Paths!$E$133+'Operating costs'!$B$65=0,C1398=0,AND(C1398&gt;0,Paths!$E$133+'Operating costs'!$B$65&gt;(C1398-1)*12,Paths!$E$133+'Operating costs'!$B$65&lt;=C1398*12))),'Operating costs'!$B$64,0)+IF(AND('Operating costs'!$B$67&gt;0,'Operating costs'!$B$67&lt;=120,OR(Paths!$D$133="ICE",'Operating costs'!$B$67&lt;=Paths!$E$133),IF('Operating costs'!$B$67=0,C1398=0,AND(C1398&gt;0,'Operating costs'!$B$67&gt;(C1398-1)*12,'Operating costs'!$B$67&lt;=C1398*12))),'Operating costs'!$B$66,0),"n.a."))</f>
        <v>0</v>
      </c>
      <c r="N1398" s="16">
        <f>IF(NOT(Paths!$C$133=1),0,IF(Paths!$P$133="Complete",SUM(G1398:I1398)-J1398-K1398-L1398+M1398+IF(C1398=0,Paths!$F$133,0)+IF(IF(Paths!$E$133=0,C1398=0,AND(C1398&gt;0,Paths!$E$133&gt;(C1398-1)*12,Paths!$E$133&lt;=C1398*12)),VLOOKUP(A1398,'Fleet register'!$A$7:$S$106,16,FALSE),0),"n.a."))</f>
        <v>0</v>
      </c>
      <c r="O1398" s="16">
        <f>IF(NOT(Paths!$C$133=1),0,IF(Paths!$P$133="Complete",N1398-IF(C1398=0,Paths!$F$133,0),"n.a."))</f>
        <v>0</v>
      </c>
      <c r="P1398" s="16">
        <f>IF(NOT(Paths!$C$133=1),0,IF(Paths!$P$133="Complete",O1398+L1398,"n.a."))</f>
        <v>0</v>
      </c>
      <c r="Q1398" s="16">
        <f>IF(NOT(Paths!$C$133=1),0,IF(Paths!$P$133="Complete",N1398*(1+'Operating costs'!$B$54)^-C1398,"n.a."))</f>
        <v>0</v>
      </c>
      <c r="R1398" s="16">
        <f>IF(NOT(Paths!$C$133=1),0,IF(Paths!$P$133="Complete",IF(AND(C1398=0,Paths!$E$133=0),I1398-J1398-K1398+VLOOKUP(A1398,'Fleet register'!$A$7:$S$106,15,FALSE)+VLOOKUP(A1398,'Fleet register'!$A$7:$S$106,16,FALSE),0),"n.a."))</f>
        <v>0</v>
      </c>
      <c r="S1398" s="1">
        <f>IF(NOT(Paths!$C$133=1),0,IF(Paths!$P$133="Complete",IF(C1398=0,0,Paths!$S$133*Paths!$R$133),"n.a."))</f>
        <v>0</v>
      </c>
      <c r="T1398" s="1">
        <f>IF(NOT(Paths!$C$133=1),0,IF(Paths!$P$133="Complete",IF(C1398=0,0,VLOOKUP(A1398,'Fleet register'!$A$7:$S$106,9,FALSE)*Paths!$R$133),"n.a."))</f>
        <v>0</v>
      </c>
    </row>
    <row r="1399" spans="1:20" ht="24" customHeight="1">
      <c r="A1399" s="1" t="str">
        <f>Paths!$A$133</f>
        <v>T032</v>
      </c>
      <c r="B1399" s="1">
        <f>Paths!$B$133</f>
        <v>2</v>
      </c>
      <c r="C1399" s="1">
        <v>6</v>
      </c>
      <c r="D1399" s="1">
        <v>133</v>
      </c>
      <c r="E1399" s="1">
        <f>IF(OR(Paths!$C$133=0,C1399=0),0,MAX(0,MIN(C1399*12,Paths!$E$133)-(C1399-1)*12))</f>
        <v>0</v>
      </c>
      <c r="F1399" s="1">
        <f>IF(OR(Paths!$C$133=0,C1399=0),0,12-E1399)</f>
        <v>0</v>
      </c>
      <c r="G1399" s="16">
        <f>IF(NOT(Paths!$C$133=1),0,IF(Paths!$P$133="Complete",E1399/12*(Paths!$J$133*(1+'Operating costs'!$B$51)^MAX(0,C1399-1)+Paths!$K$133*(1+'Operating costs'!$B$53)^MAX(0,C1399-1)),"n.a."))</f>
        <v>0</v>
      </c>
      <c r="H1399" s="16">
        <f>IF(NOT(Paths!$C$133=1),0,IF(Paths!$P$133="Complete",F1399/12*(Paths!$L$133*(1+IF(Paths!$D$133="EV",'Operating costs'!$B$52,'Operating costs'!$B$51))^MAX(0,C1399-1)+Paths!$M$133*(1+'Operating costs'!$B$53)^MAX(0,C1399-1)),"n.a."))</f>
        <v>0</v>
      </c>
      <c r="I1399" s="16">
        <f>IF(NOT(Paths!$C$133=1),0,IF(Paths!$P$133="Complete",IF(IF(Paths!$E$133=0,C1399=0,AND(C1399&gt;0,Paths!$E$133&gt;(C1399-1)*12,Paths!$E$133&lt;=C1399*12)),Paths!$G$133,0),"n.a."))</f>
        <v>0</v>
      </c>
      <c r="J1399" s="16">
        <f>IF(NOT(Paths!$C$133=1),0,IF(Paths!$P$133="Complete",IF(IF(Paths!$E$133=0,C1399=0,AND(C1399&gt;0,Paths!$E$133&gt;(C1399-1)*12,Paths!$E$133&lt;=C1399*12)),Paths!$H$133,0),"n.a."))</f>
        <v>0</v>
      </c>
      <c r="K1399" s="16">
        <f>IF(NOT(Paths!$C$133=1),0,IF(Paths!$P$133="Complete",IF(IF(Paths!$O$133=0,C1399=0,AND(C1399&gt;0,Paths!$O$133&gt;(C1399-1)*12,Paths!$O$133&lt;=C1399*12)),Paths!$N$133,0),"n.a."))</f>
        <v>0</v>
      </c>
      <c r="L1399" s="16">
        <f>IF(NOT(Paths!$C$133=1),0,IF(Paths!$P$133="Complete",IF(C1399=10,Paths!$I$133,0),"n.a."))</f>
        <v>0</v>
      </c>
      <c r="M1399" s="16">
        <f>IF(NOT(Paths!$C$133=1),0,IF(Paths!$P$133="Complete",IF(AND(Paths!$D$133="EV",Paths!$E$133&lt;120,Paths!$E$133+'Operating costs'!$B$65&gt;Paths!$E$133,Paths!$E$133+'Operating costs'!$B$65&lt;=120,IF(Paths!$E$133+'Operating costs'!$B$65=0,C1399=0,AND(C1399&gt;0,Paths!$E$133+'Operating costs'!$B$65&gt;(C1399-1)*12,Paths!$E$133+'Operating costs'!$B$65&lt;=C1399*12))),'Operating costs'!$B$64,0)+IF(AND('Operating costs'!$B$67&gt;0,'Operating costs'!$B$67&lt;=120,OR(Paths!$D$133="ICE",'Operating costs'!$B$67&lt;=Paths!$E$133),IF('Operating costs'!$B$67=0,C1399=0,AND(C1399&gt;0,'Operating costs'!$B$67&gt;(C1399-1)*12,'Operating costs'!$B$67&lt;=C1399*12))),'Operating costs'!$B$66,0),"n.a."))</f>
        <v>0</v>
      </c>
      <c r="N1399" s="16">
        <f>IF(NOT(Paths!$C$133=1),0,IF(Paths!$P$133="Complete",SUM(G1399:I1399)-J1399-K1399-L1399+M1399+IF(C1399=0,Paths!$F$133,0)+IF(IF(Paths!$E$133=0,C1399=0,AND(C1399&gt;0,Paths!$E$133&gt;(C1399-1)*12,Paths!$E$133&lt;=C1399*12)),VLOOKUP(A1399,'Fleet register'!$A$7:$S$106,16,FALSE),0),"n.a."))</f>
        <v>0</v>
      </c>
      <c r="O1399" s="16">
        <f>IF(NOT(Paths!$C$133=1),0,IF(Paths!$P$133="Complete",N1399-IF(C1399=0,Paths!$F$133,0),"n.a."))</f>
        <v>0</v>
      </c>
      <c r="P1399" s="16">
        <f>IF(NOT(Paths!$C$133=1),0,IF(Paths!$P$133="Complete",O1399+L1399,"n.a."))</f>
        <v>0</v>
      </c>
      <c r="Q1399" s="16">
        <f>IF(NOT(Paths!$C$133=1),0,IF(Paths!$P$133="Complete",N1399*(1+'Operating costs'!$B$54)^-C1399,"n.a."))</f>
        <v>0</v>
      </c>
      <c r="R1399" s="16">
        <f>IF(NOT(Paths!$C$133=1),0,IF(Paths!$P$133="Complete",IF(AND(C1399=0,Paths!$E$133=0),I1399-J1399-K1399+VLOOKUP(A1399,'Fleet register'!$A$7:$S$106,15,FALSE)+VLOOKUP(A1399,'Fleet register'!$A$7:$S$106,16,FALSE),0),"n.a."))</f>
        <v>0</v>
      </c>
      <c r="S1399" s="1">
        <f>IF(NOT(Paths!$C$133=1),0,IF(Paths!$P$133="Complete",IF(C1399=0,0,Paths!$S$133*Paths!$R$133),"n.a."))</f>
        <v>0</v>
      </c>
      <c r="T1399" s="1">
        <f>IF(NOT(Paths!$C$133=1),0,IF(Paths!$P$133="Complete",IF(C1399=0,0,VLOOKUP(A1399,'Fleet register'!$A$7:$S$106,9,FALSE)*Paths!$R$133),"n.a."))</f>
        <v>0</v>
      </c>
    </row>
    <row r="1400" spans="1:20" ht="24" customHeight="1">
      <c r="A1400" s="1" t="str">
        <f>Paths!$A$133</f>
        <v>T032</v>
      </c>
      <c r="B1400" s="1">
        <f>Paths!$B$133</f>
        <v>2</v>
      </c>
      <c r="C1400" s="1">
        <v>7</v>
      </c>
      <c r="D1400" s="1">
        <v>133</v>
      </c>
      <c r="E1400" s="1">
        <f>IF(OR(Paths!$C$133=0,C1400=0),0,MAX(0,MIN(C1400*12,Paths!$E$133)-(C1400-1)*12))</f>
        <v>0</v>
      </c>
      <c r="F1400" s="1">
        <f>IF(OR(Paths!$C$133=0,C1400=0),0,12-E1400)</f>
        <v>0</v>
      </c>
      <c r="G1400" s="16">
        <f>IF(NOT(Paths!$C$133=1),0,IF(Paths!$P$133="Complete",E1400/12*(Paths!$J$133*(1+'Operating costs'!$B$51)^MAX(0,C1400-1)+Paths!$K$133*(1+'Operating costs'!$B$53)^MAX(0,C1400-1)),"n.a."))</f>
        <v>0</v>
      </c>
      <c r="H1400" s="16">
        <f>IF(NOT(Paths!$C$133=1),0,IF(Paths!$P$133="Complete",F1400/12*(Paths!$L$133*(1+IF(Paths!$D$133="EV",'Operating costs'!$B$52,'Operating costs'!$B$51))^MAX(0,C1400-1)+Paths!$M$133*(1+'Operating costs'!$B$53)^MAX(0,C1400-1)),"n.a."))</f>
        <v>0</v>
      </c>
      <c r="I1400" s="16">
        <f>IF(NOT(Paths!$C$133=1),0,IF(Paths!$P$133="Complete",IF(IF(Paths!$E$133=0,C1400=0,AND(C1400&gt;0,Paths!$E$133&gt;(C1400-1)*12,Paths!$E$133&lt;=C1400*12)),Paths!$G$133,0),"n.a."))</f>
        <v>0</v>
      </c>
      <c r="J1400" s="16">
        <f>IF(NOT(Paths!$C$133=1),0,IF(Paths!$P$133="Complete",IF(IF(Paths!$E$133=0,C1400=0,AND(C1400&gt;0,Paths!$E$133&gt;(C1400-1)*12,Paths!$E$133&lt;=C1400*12)),Paths!$H$133,0),"n.a."))</f>
        <v>0</v>
      </c>
      <c r="K1400" s="16">
        <f>IF(NOT(Paths!$C$133=1),0,IF(Paths!$P$133="Complete",IF(IF(Paths!$O$133=0,C1400=0,AND(C1400&gt;0,Paths!$O$133&gt;(C1400-1)*12,Paths!$O$133&lt;=C1400*12)),Paths!$N$133,0),"n.a."))</f>
        <v>0</v>
      </c>
      <c r="L1400" s="16">
        <f>IF(NOT(Paths!$C$133=1),0,IF(Paths!$P$133="Complete",IF(C1400=10,Paths!$I$133,0),"n.a."))</f>
        <v>0</v>
      </c>
      <c r="M1400" s="16">
        <f>IF(NOT(Paths!$C$133=1),0,IF(Paths!$P$133="Complete",IF(AND(Paths!$D$133="EV",Paths!$E$133&lt;120,Paths!$E$133+'Operating costs'!$B$65&gt;Paths!$E$133,Paths!$E$133+'Operating costs'!$B$65&lt;=120,IF(Paths!$E$133+'Operating costs'!$B$65=0,C1400=0,AND(C1400&gt;0,Paths!$E$133+'Operating costs'!$B$65&gt;(C1400-1)*12,Paths!$E$133+'Operating costs'!$B$65&lt;=C1400*12))),'Operating costs'!$B$64,0)+IF(AND('Operating costs'!$B$67&gt;0,'Operating costs'!$B$67&lt;=120,OR(Paths!$D$133="ICE",'Operating costs'!$B$67&lt;=Paths!$E$133),IF('Operating costs'!$B$67=0,C1400=0,AND(C1400&gt;0,'Operating costs'!$B$67&gt;(C1400-1)*12,'Operating costs'!$B$67&lt;=C1400*12))),'Operating costs'!$B$66,0),"n.a."))</f>
        <v>0</v>
      </c>
      <c r="N1400" s="16">
        <f>IF(NOT(Paths!$C$133=1),0,IF(Paths!$P$133="Complete",SUM(G1400:I1400)-J1400-K1400-L1400+M1400+IF(C1400=0,Paths!$F$133,0)+IF(IF(Paths!$E$133=0,C1400=0,AND(C1400&gt;0,Paths!$E$133&gt;(C1400-1)*12,Paths!$E$133&lt;=C1400*12)),VLOOKUP(A1400,'Fleet register'!$A$7:$S$106,16,FALSE),0),"n.a."))</f>
        <v>0</v>
      </c>
      <c r="O1400" s="16">
        <f>IF(NOT(Paths!$C$133=1),0,IF(Paths!$P$133="Complete",N1400-IF(C1400=0,Paths!$F$133,0),"n.a."))</f>
        <v>0</v>
      </c>
      <c r="P1400" s="16">
        <f>IF(NOT(Paths!$C$133=1),0,IF(Paths!$P$133="Complete",O1400+L1400,"n.a."))</f>
        <v>0</v>
      </c>
      <c r="Q1400" s="16">
        <f>IF(NOT(Paths!$C$133=1),0,IF(Paths!$P$133="Complete",N1400*(1+'Operating costs'!$B$54)^-C1400,"n.a."))</f>
        <v>0</v>
      </c>
      <c r="R1400" s="16">
        <f>IF(NOT(Paths!$C$133=1),0,IF(Paths!$P$133="Complete",IF(AND(C1400=0,Paths!$E$133=0),I1400-J1400-K1400+VLOOKUP(A1400,'Fleet register'!$A$7:$S$106,15,FALSE)+VLOOKUP(A1400,'Fleet register'!$A$7:$S$106,16,FALSE),0),"n.a."))</f>
        <v>0</v>
      </c>
      <c r="S1400" s="1">
        <f>IF(NOT(Paths!$C$133=1),0,IF(Paths!$P$133="Complete",IF(C1400=0,0,Paths!$S$133*Paths!$R$133),"n.a."))</f>
        <v>0</v>
      </c>
      <c r="T1400" s="1">
        <f>IF(NOT(Paths!$C$133=1),0,IF(Paths!$P$133="Complete",IF(C1400=0,0,VLOOKUP(A1400,'Fleet register'!$A$7:$S$106,9,FALSE)*Paths!$R$133),"n.a."))</f>
        <v>0</v>
      </c>
    </row>
    <row r="1401" spans="1:20" ht="24" customHeight="1">
      <c r="A1401" s="1" t="str">
        <f>Paths!$A$133</f>
        <v>T032</v>
      </c>
      <c r="B1401" s="1">
        <f>Paths!$B$133</f>
        <v>2</v>
      </c>
      <c r="C1401" s="1">
        <v>8</v>
      </c>
      <c r="D1401" s="1">
        <v>133</v>
      </c>
      <c r="E1401" s="1">
        <f>IF(OR(Paths!$C$133=0,C1401=0),0,MAX(0,MIN(C1401*12,Paths!$E$133)-(C1401-1)*12))</f>
        <v>0</v>
      </c>
      <c r="F1401" s="1">
        <f>IF(OR(Paths!$C$133=0,C1401=0),0,12-E1401)</f>
        <v>0</v>
      </c>
      <c r="G1401" s="16">
        <f>IF(NOT(Paths!$C$133=1),0,IF(Paths!$P$133="Complete",E1401/12*(Paths!$J$133*(1+'Operating costs'!$B$51)^MAX(0,C1401-1)+Paths!$K$133*(1+'Operating costs'!$B$53)^MAX(0,C1401-1)),"n.a."))</f>
        <v>0</v>
      </c>
      <c r="H1401" s="16">
        <f>IF(NOT(Paths!$C$133=1),0,IF(Paths!$P$133="Complete",F1401/12*(Paths!$L$133*(1+IF(Paths!$D$133="EV",'Operating costs'!$B$52,'Operating costs'!$B$51))^MAX(0,C1401-1)+Paths!$M$133*(1+'Operating costs'!$B$53)^MAX(0,C1401-1)),"n.a."))</f>
        <v>0</v>
      </c>
      <c r="I1401" s="16">
        <f>IF(NOT(Paths!$C$133=1),0,IF(Paths!$P$133="Complete",IF(IF(Paths!$E$133=0,C1401=0,AND(C1401&gt;0,Paths!$E$133&gt;(C1401-1)*12,Paths!$E$133&lt;=C1401*12)),Paths!$G$133,0),"n.a."))</f>
        <v>0</v>
      </c>
      <c r="J1401" s="16">
        <f>IF(NOT(Paths!$C$133=1),0,IF(Paths!$P$133="Complete",IF(IF(Paths!$E$133=0,C1401=0,AND(C1401&gt;0,Paths!$E$133&gt;(C1401-1)*12,Paths!$E$133&lt;=C1401*12)),Paths!$H$133,0),"n.a."))</f>
        <v>0</v>
      </c>
      <c r="K1401" s="16">
        <f>IF(NOT(Paths!$C$133=1),0,IF(Paths!$P$133="Complete",IF(IF(Paths!$O$133=0,C1401=0,AND(C1401&gt;0,Paths!$O$133&gt;(C1401-1)*12,Paths!$O$133&lt;=C1401*12)),Paths!$N$133,0),"n.a."))</f>
        <v>0</v>
      </c>
      <c r="L1401" s="16">
        <f>IF(NOT(Paths!$C$133=1),0,IF(Paths!$P$133="Complete",IF(C1401=10,Paths!$I$133,0),"n.a."))</f>
        <v>0</v>
      </c>
      <c r="M1401" s="16">
        <f>IF(NOT(Paths!$C$133=1),0,IF(Paths!$P$133="Complete",IF(AND(Paths!$D$133="EV",Paths!$E$133&lt;120,Paths!$E$133+'Operating costs'!$B$65&gt;Paths!$E$133,Paths!$E$133+'Operating costs'!$B$65&lt;=120,IF(Paths!$E$133+'Operating costs'!$B$65=0,C1401=0,AND(C1401&gt;0,Paths!$E$133+'Operating costs'!$B$65&gt;(C1401-1)*12,Paths!$E$133+'Operating costs'!$B$65&lt;=C1401*12))),'Operating costs'!$B$64,0)+IF(AND('Operating costs'!$B$67&gt;0,'Operating costs'!$B$67&lt;=120,OR(Paths!$D$133="ICE",'Operating costs'!$B$67&lt;=Paths!$E$133),IF('Operating costs'!$B$67=0,C1401=0,AND(C1401&gt;0,'Operating costs'!$B$67&gt;(C1401-1)*12,'Operating costs'!$B$67&lt;=C1401*12))),'Operating costs'!$B$66,0),"n.a."))</f>
        <v>0</v>
      </c>
      <c r="N1401" s="16">
        <f>IF(NOT(Paths!$C$133=1),0,IF(Paths!$P$133="Complete",SUM(G1401:I1401)-J1401-K1401-L1401+M1401+IF(C1401=0,Paths!$F$133,0)+IF(IF(Paths!$E$133=0,C1401=0,AND(C1401&gt;0,Paths!$E$133&gt;(C1401-1)*12,Paths!$E$133&lt;=C1401*12)),VLOOKUP(A1401,'Fleet register'!$A$7:$S$106,16,FALSE),0),"n.a."))</f>
        <v>0</v>
      </c>
      <c r="O1401" s="16">
        <f>IF(NOT(Paths!$C$133=1),0,IF(Paths!$P$133="Complete",N1401-IF(C1401=0,Paths!$F$133,0),"n.a."))</f>
        <v>0</v>
      </c>
      <c r="P1401" s="16">
        <f>IF(NOT(Paths!$C$133=1),0,IF(Paths!$P$133="Complete",O1401+L1401,"n.a."))</f>
        <v>0</v>
      </c>
      <c r="Q1401" s="16">
        <f>IF(NOT(Paths!$C$133=1),0,IF(Paths!$P$133="Complete",N1401*(1+'Operating costs'!$B$54)^-C1401,"n.a."))</f>
        <v>0</v>
      </c>
      <c r="R1401" s="16">
        <f>IF(NOT(Paths!$C$133=1),0,IF(Paths!$P$133="Complete",IF(AND(C1401=0,Paths!$E$133=0),I1401-J1401-K1401+VLOOKUP(A1401,'Fleet register'!$A$7:$S$106,15,FALSE)+VLOOKUP(A1401,'Fleet register'!$A$7:$S$106,16,FALSE),0),"n.a."))</f>
        <v>0</v>
      </c>
      <c r="S1401" s="1">
        <f>IF(NOT(Paths!$C$133=1),0,IF(Paths!$P$133="Complete",IF(C1401=0,0,Paths!$S$133*Paths!$R$133),"n.a."))</f>
        <v>0</v>
      </c>
      <c r="T1401" s="1">
        <f>IF(NOT(Paths!$C$133=1),0,IF(Paths!$P$133="Complete",IF(C1401=0,0,VLOOKUP(A1401,'Fleet register'!$A$7:$S$106,9,FALSE)*Paths!$R$133),"n.a."))</f>
        <v>0</v>
      </c>
    </row>
    <row r="1402" spans="1:20" ht="24" customHeight="1">
      <c r="A1402" s="1" t="str">
        <f>Paths!$A$133</f>
        <v>T032</v>
      </c>
      <c r="B1402" s="1">
        <f>Paths!$B$133</f>
        <v>2</v>
      </c>
      <c r="C1402" s="1">
        <v>9</v>
      </c>
      <c r="D1402" s="1">
        <v>133</v>
      </c>
      <c r="E1402" s="1">
        <f>IF(OR(Paths!$C$133=0,C1402=0),0,MAX(0,MIN(C1402*12,Paths!$E$133)-(C1402-1)*12))</f>
        <v>0</v>
      </c>
      <c r="F1402" s="1">
        <f>IF(OR(Paths!$C$133=0,C1402=0),0,12-E1402)</f>
        <v>0</v>
      </c>
      <c r="G1402" s="16">
        <f>IF(NOT(Paths!$C$133=1),0,IF(Paths!$P$133="Complete",E1402/12*(Paths!$J$133*(1+'Operating costs'!$B$51)^MAX(0,C1402-1)+Paths!$K$133*(1+'Operating costs'!$B$53)^MAX(0,C1402-1)),"n.a."))</f>
        <v>0</v>
      </c>
      <c r="H1402" s="16">
        <f>IF(NOT(Paths!$C$133=1),0,IF(Paths!$P$133="Complete",F1402/12*(Paths!$L$133*(1+IF(Paths!$D$133="EV",'Operating costs'!$B$52,'Operating costs'!$B$51))^MAX(0,C1402-1)+Paths!$M$133*(1+'Operating costs'!$B$53)^MAX(0,C1402-1)),"n.a."))</f>
        <v>0</v>
      </c>
      <c r="I1402" s="16">
        <f>IF(NOT(Paths!$C$133=1),0,IF(Paths!$P$133="Complete",IF(IF(Paths!$E$133=0,C1402=0,AND(C1402&gt;0,Paths!$E$133&gt;(C1402-1)*12,Paths!$E$133&lt;=C1402*12)),Paths!$G$133,0),"n.a."))</f>
        <v>0</v>
      </c>
      <c r="J1402" s="16">
        <f>IF(NOT(Paths!$C$133=1),0,IF(Paths!$P$133="Complete",IF(IF(Paths!$E$133=0,C1402=0,AND(C1402&gt;0,Paths!$E$133&gt;(C1402-1)*12,Paths!$E$133&lt;=C1402*12)),Paths!$H$133,0),"n.a."))</f>
        <v>0</v>
      </c>
      <c r="K1402" s="16">
        <f>IF(NOT(Paths!$C$133=1),0,IF(Paths!$P$133="Complete",IF(IF(Paths!$O$133=0,C1402=0,AND(C1402&gt;0,Paths!$O$133&gt;(C1402-1)*12,Paths!$O$133&lt;=C1402*12)),Paths!$N$133,0),"n.a."))</f>
        <v>0</v>
      </c>
      <c r="L1402" s="16">
        <f>IF(NOT(Paths!$C$133=1),0,IF(Paths!$P$133="Complete",IF(C1402=10,Paths!$I$133,0),"n.a."))</f>
        <v>0</v>
      </c>
      <c r="M1402" s="16">
        <f>IF(NOT(Paths!$C$133=1),0,IF(Paths!$P$133="Complete",IF(AND(Paths!$D$133="EV",Paths!$E$133&lt;120,Paths!$E$133+'Operating costs'!$B$65&gt;Paths!$E$133,Paths!$E$133+'Operating costs'!$B$65&lt;=120,IF(Paths!$E$133+'Operating costs'!$B$65=0,C1402=0,AND(C1402&gt;0,Paths!$E$133+'Operating costs'!$B$65&gt;(C1402-1)*12,Paths!$E$133+'Operating costs'!$B$65&lt;=C1402*12))),'Operating costs'!$B$64,0)+IF(AND('Operating costs'!$B$67&gt;0,'Operating costs'!$B$67&lt;=120,OR(Paths!$D$133="ICE",'Operating costs'!$B$67&lt;=Paths!$E$133),IF('Operating costs'!$B$67=0,C1402=0,AND(C1402&gt;0,'Operating costs'!$B$67&gt;(C1402-1)*12,'Operating costs'!$B$67&lt;=C1402*12))),'Operating costs'!$B$66,0),"n.a."))</f>
        <v>0</v>
      </c>
      <c r="N1402" s="16">
        <f>IF(NOT(Paths!$C$133=1),0,IF(Paths!$P$133="Complete",SUM(G1402:I1402)-J1402-K1402-L1402+M1402+IF(C1402=0,Paths!$F$133,0)+IF(IF(Paths!$E$133=0,C1402=0,AND(C1402&gt;0,Paths!$E$133&gt;(C1402-1)*12,Paths!$E$133&lt;=C1402*12)),VLOOKUP(A1402,'Fleet register'!$A$7:$S$106,16,FALSE),0),"n.a."))</f>
        <v>0</v>
      </c>
      <c r="O1402" s="16">
        <f>IF(NOT(Paths!$C$133=1),0,IF(Paths!$P$133="Complete",N1402-IF(C1402=0,Paths!$F$133,0),"n.a."))</f>
        <v>0</v>
      </c>
      <c r="P1402" s="16">
        <f>IF(NOT(Paths!$C$133=1),0,IF(Paths!$P$133="Complete",O1402+L1402,"n.a."))</f>
        <v>0</v>
      </c>
      <c r="Q1402" s="16">
        <f>IF(NOT(Paths!$C$133=1),0,IF(Paths!$P$133="Complete",N1402*(1+'Operating costs'!$B$54)^-C1402,"n.a."))</f>
        <v>0</v>
      </c>
      <c r="R1402" s="16">
        <f>IF(NOT(Paths!$C$133=1),0,IF(Paths!$P$133="Complete",IF(AND(C1402=0,Paths!$E$133=0),I1402-J1402-K1402+VLOOKUP(A1402,'Fleet register'!$A$7:$S$106,15,FALSE)+VLOOKUP(A1402,'Fleet register'!$A$7:$S$106,16,FALSE),0),"n.a."))</f>
        <v>0</v>
      </c>
      <c r="S1402" s="1">
        <f>IF(NOT(Paths!$C$133=1),0,IF(Paths!$P$133="Complete",IF(C1402=0,0,Paths!$S$133*Paths!$R$133),"n.a."))</f>
        <v>0</v>
      </c>
      <c r="T1402" s="1">
        <f>IF(NOT(Paths!$C$133=1),0,IF(Paths!$P$133="Complete",IF(C1402=0,0,VLOOKUP(A1402,'Fleet register'!$A$7:$S$106,9,FALSE)*Paths!$R$133),"n.a."))</f>
        <v>0</v>
      </c>
    </row>
    <row r="1403" spans="1:20" ht="24" customHeight="1">
      <c r="A1403" s="1" t="str">
        <f>Paths!$A$133</f>
        <v>T032</v>
      </c>
      <c r="B1403" s="1">
        <f>Paths!$B$133</f>
        <v>2</v>
      </c>
      <c r="C1403" s="1">
        <v>10</v>
      </c>
      <c r="D1403" s="1">
        <v>133</v>
      </c>
      <c r="E1403" s="1">
        <f>IF(OR(Paths!$C$133=0,C1403=0),0,MAX(0,MIN(C1403*12,Paths!$E$133)-(C1403-1)*12))</f>
        <v>0</v>
      </c>
      <c r="F1403" s="1">
        <f>IF(OR(Paths!$C$133=0,C1403=0),0,12-E1403)</f>
        <v>0</v>
      </c>
      <c r="G1403" s="16">
        <f>IF(NOT(Paths!$C$133=1),0,IF(Paths!$P$133="Complete",E1403/12*(Paths!$J$133*(1+'Operating costs'!$B$51)^MAX(0,C1403-1)+Paths!$K$133*(1+'Operating costs'!$B$53)^MAX(0,C1403-1)),"n.a."))</f>
        <v>0</v>
      </c>
      <c r="H1403" s="16">
        <f>IF(NOT(Paths!$C$133=1),0,IF(Paths!$P$133="Complete",F1403/12*(Paths!$L$133*(1+IF(Paths!$D$133="EV",'Operating costs'!$B$52,'Operating costs'!$B$51))^MAX(0,C1403-1)+Paths!$M$133*(1+'Operating costs'!$B$53)^MAX(0,C1403-1)),"n.a."))</f>
        <v>0</v>
      </c>
      <c r="I1403" s="16">
        <f>IF(NOT(Paths!$C$133=1),0,IF(Paths!$P$133="Complete",IF(IF(Paths!$E$133=0,C1403=0,AND(C1403&gt;0,Paths!$E$133&gt;(C1403-1)*12,Paths!$E$133&lt;=C1403*12)),Paths!$G$133,0),"n.a."))</f>
        <v>0</v>
      </c>
      <c r="J1403" s="16">
        <f>IF(NOT(Paths!$C$133=1),0,IF(Paths!$P$133="Complete",IF(IF(Paths!$E$133=0,C1403=0,AND(C1403&gt;0,Paths!$E$133&gt;(C1403-1)*12,Paths!$E$133&lt;=C1403*12)),Paths!$H$133,0),"n.a."))</f>
        <v>0</v>
      </c>
      <c r="K1403" s="16">
        <f>IF(NOT(Paths!$C$133=1),0,IF(Paths!$P$133="Complete",IF(IF(Paths!$O$133=0,C1403=0,AND(C1403&gt;0,Paths!$O$133&gt;(C1403-1)*12,Paths!$O$133&lt;=C1403*12)),Paths!$N$133,0),"n.a."))</f>
        <v>0</v>
      </c>
      <c r="L1403" s="16">
        <f>IF(NOT(Paths!$C$133=1),0,IF(Paths!$P$133="Complete",IF(C1403=10,Paths!$I$133,0),"n.a."))</f>
        <v>0</v>
      </c>
      <c r="M1403" s="16">
        <f>IF(NOT(Paths!$C$133=1),0,IF(Paths!$P$133="Complete",IF(AND(Paths!$D$133="EV",Paths!$E$133&lt;120,Paths!$E$133+'Operating costs'!$B$65&gt;Paths!$E$133,Paths!$E$133+'Operating costs'!$B$65&lt;=120,IF(Paths!$E$133+'Operating costs'!$B$65=0,C1403=0,AND(C1403&gt;0,Paths!$E$133+'Operating costs'!$B$65&gt;(C1403-1)*12,Paths!$E$133+'Operating costs'!$B$65&lt;=C1403*12))),'Operating costs'!$B$64,0)+IF(AND('Operating costs'!$B$67&gt;0,'Operating costs'!$B$67&lt;=120,OR(Paths!$D$133="ICE",'Operating costs'!$B$67&lt;=Paths!$E$133),IF('Operating costs'!$B$67=0,C1403=0,AND(C1403&gt;0,'Operating costs'!$B$67&gt;(C1403-1)*12,'Operating costs'!$B$67&lt;=C1403*12))),'Operating costs'!$B$66,0),"n.a."))</f>
        <v>0</v>
      </c>
      <c r="N1403" s="16">
        <f>IF(NOT(Paths!$C$133=1),0,IF(Paths!$P$133="Complete",SUM(G1403:I1403)-J1403-K1403-L1403+M1403+IF(C1403=0,Paths!$F$133,0)+IF(IF(Paths!$E$133=0,C1403=0,AND(C1403&gt;0,Paths!$E$133&gt;(C1403-1)*12,Paths!$E$133&lt;=C1403*12)),VLOOKUP(A1403,'Fleet register'!$A$7:$S$106,16,FALSE),0),"n.a."))</f>
        <v>0</v>
      </c>
      <c r="O1403" s="16">
        <f>IF(NOT(Paths!$C$133=1),0,IF(Paths!$P$133="Complete",N1403-IF(C1403=0,Paths!$F$133,0),"n.a."))</f>
        <v>0</v>
      </c>
      <c r="P1403" s="16">
        <f>IF(NOT(Paths!$C$133=1),0,IF(Paths!$P$133="Complete",O1403+L1403,"n.a."))</f>
        <v>0</v>
      </c>
      <c r="Q1403" s="16">
        <f>IF(NOT(Paths!$C$133=1),0,IF(Paths!$P$133="Complete",N1403*(1+'Operating costs'!$B$54)^-C1403,"n.a."))</f>
        <v>0</v>
      </c>
      <c r="R1403" s="16">
        <f>IF(NOT(Paths!$C$133=1),0,IF(Paths!$P$133="Complete",IF(AND(C1403=0,Paths!$E$133=0),I1403-J1403-K1403+VLOOKUP(A1403,'Fleet register'!$A$7:$S$106,15,FALSE)+VLOOKUP(A1403,'Fleet register'!$A$7:$S$106,16,FALSE),0),"n.a."))</f>
        <v>0</v>
      </c>
      <c r="S1403" s="1">
        <f>IF(NOT(Paths!$C$133=1),0,IF(Paths!$P$133="Complete",IF(C1403=0,0,Paths!$S$133*Paths!$R$133),"n.a."))</f>
        <v>0</v>
      </c>
      <c r="T1403" s="1">
        <f>IF(NOT(Paths!$C$133=1),0,IF(Paths!$P$133="Complete",IF(C1403=0,0,VLOOKUP(A1403,'Fleet register'!$A$7:$S$106,9,FALSE)*Paths!$R$133),"n.a."))</f>
        <v>0</v>
      </c>
    </row>
    <row r="1404" spans="1:20" ht="24" customHeight="1">
      <c r="A1404" s="1" t="str">
        <f>Paths!$A$134</f>
        <v>T032</v>
      </c>
      <c r="B1404" s="1">
        <f>Paths!$B$134</f>
        <v>3</v>
      </c>
      <c r="C1404" s="1">
        <v>0</v>
      </c>
      <c r="D1404" s="1">
        <v>134</v>
      </c>
      <c r="E1404" s="1">
        <f>IF(OR(Paths!$C$134=0,C1404=0),0,MAX(0,MIN(C1404*12,Paths!$E$134)-(C1404-1)*12))</f>
        <v>0</v>
      </c>
      <c r="F1404" s="1">
        <f>IF(OR(Paths!$C$134=0,C1404=0),0,12-E1404)</f>
        <v>0</v>
      </c>
      <c r="G1404" s="16">
        <f>IF(NOT(Paths!$C$134=1),0,IF(Paths!$P$134="Complete",E1404/12*(Paths!$J$134*(1+'Operating costs'!$B$51)^MAX(0,C1404-1)+Paths!$K$134*(1+'Operating costs'!$B$53)^MAX(0,C1404-1)),"n.a."))</f>
        <v>0</v>
      </c>
      <c r="H1404" s="16">
        <f>IF(NOT(Paths!$C$134=1),0,IF(Paths!$P$134="Complete",F1404/12*(Paths!$L$134*(1+IF(Paths!$D$134="EV",'Operating costs'!$B$52,'Operating costs'!$B$51))^MAX(0,C1404-1)+Paths!$M$134*(1+'Operating costs'!$B$53)^MAX(0,C1404-1)),"n.a."))</f>
        <v>0</v>
      </c>
      <c r="I1404" s="16">
        <f>IF(NOT(Paths!$C$134=1),0,IF(Paths!$P$134="Complete",IF(IF(Paths!$E$134=0,C1404=0,AND(C1404&gt;0,Paths!$E$134&gt;(C1404-1)*12,Paths!$E$134&lt;=C1404*12)),Paths!$G$134,0),"n.a."))</f>
        <v>0</v>
      </c>
      <c r="J1404" s="16">
        <f>IF(NOT(Paths!$C$134=1),0,IF(Paths!$P$134="Complete",IF(IF(Paths!$E$134=0,C1404=0,AND(C1404&gt;0,Paths!$E$134&gt;(C1404-1)*12,Paths!$E$134&lt;=C1404*12)),Paths!$H$134,0),"n.a."))</f>
        <v>0</v>
      </c>
      <c r="K1404" s="16">
        <f>IF(NOT(Paths!$C$134=1),0,IF(Paths!$P$134="Complete",IF(IF(Paths!$O$134=0,C1404=0,AND(C1404&gt;0,Paths!$O$134&gt;(C1404-1)*12,Paths!$O$134&lt;=C1404*12)),Paths!$N$134,0),"n.a."))</f>
        <v>0</v>
      </c>
      <c r="L1404" s="16">
        <f>IF(NOT(Paths!$C$134=1),0,IF(Paths!$P$134="Complete",IF(C1404=10,Paths!$I$134,0),"n.a."))</f>
        <v>0</v>
      </c>
      <c r="M1404" s="16">
        <f>IF(NOT(Paths!$C$134=1),0,IF(Paths!$P$134="Complete",IF(AND(Paths!$D$134="EV",Paths!$E$134&lt;120,Paths!$E$134+'Operating costs'!$B$65&gt;Paths!$E$134,Paths!$E$134+'Operating costs'!$B$65&lt;=120,IF(Paths!$E$134+'Operating costs'!$B$65=0,C1404=0,AND(C1404&gt;0,Paths!$E$134+'Operating costs'!$B$65&gt;(C1404-1)*12,Paths!$E$134+'Operating costs'!$B$65&lt;=C1404*12))),'Operating costs'!$B$64,0)+IF(AND('Operating costs'!$B$67&gt;0,'Operating costs'!$B$67&lt;=120,OR(Paths!$D$134="ICE",'Operating costs'!$B$67&lt;=Paths!$E$134),IF('Operating costs'!$B$67=0,C1404=0,AND(C1404&gt;0,'Operating costs'!$B$67&gt;(C1404-1)*12,'Operating costs'!$B$67&lt;=C1404*12))),'Operating costs'!$B$66,0),"n.a."))</f>
        <v>0</v>
      </c>
      <c r="N1404" s="16">
        <f>IF(NOT(Paths!$C$134=1),0,IF(Paths!$P$134="Complete",SUM(G1404:I1404)-J1404-K1404-L1404+M1404+IF(C1404=0,Paths!$F$134,0)+IF(IF(Paths!$E$134=0,C1404=0,AND(C1404&gt;0,Paths!$E$134&gt;(C1404-1)*12,Paths!$E$134&lt;=C1404*12)),VLOOKUP(A1404,'Fleet register'!$A$7:$S$106,16,FALSE),0),"n.a."))</f>
        <v>0</v>
      </c>
      <c r="O1404" s="16">
        <f>IF(NOT(Paths!$C$134=1),0,IF(Paths!$P$134="Complete",N1404-IF(C1404=0,Paths!$F$134,0),"n.a."))</f>
        <v>0</v>
      </c>
      <c r="P1404" s="16">
        <f>IF(NOT(Paths!$C$134=1),0,IF(Paths!$P$134="Complete",O1404+L1404,"n.a."))</f>
        <v>0</v>
      </c>
      <c r="Q1404" s="16">
        <f>IF(NOT(Paths!$C$134=1),0,IF(Paths!$P$134="Complete",N1404*(1+'Operating costs'!$B$54)^-C1404,"n.a."))</f>
        <v>0</v>
      </c>
      <c r="R1404" s="16">
        <f>IF(NOT(Paths!$C$134=1),0,IF(Paths!$P$134="Complete",IF(AND(C1404=0,Paths!$E$134=0),I1404-J1404-K1404+VLOOKUP(A1404,'Fleet register'!$A$7:$S$106,15,FALSE)+VLOOKUP(A1404,'Fleet register'!$A$7:$S$106,16,FALSE),0),"n.a."))</f>
        <v>0</v>
      </c>
      <c r="S1404" s="1">
        <f>IF(NOT(Paths!$C$134=1),0,IF(Paths!$P$134="Complete",IF(C1404=0,0,Paths!$S$134*Paths!$R$134),"n.a."))</f>
        <v>0</v>
      </c>
      <c r="T1404" s="1">
        <f>IF(NOT(Paths!$C$134=1),0,IF(Paths!$P$134="Complete",IF(C1404=0,0,VLOOKUP(A1404,'Fleet register'!$A$7:$S$106,9,FALSE)*Paths!$R$134),"n.a."))</f>
        <v>0</v>
      </c>
    </row>
    <row r="1405" spans="1:20" ht="24" customHeight="1">
      <c r="A1405" s="1" t="str">
        <f>Paths!$A$134</f>
        <v>T032</v>
      </c>
      <c r="B1405" s="1">
        <f>Paths!$B$134</f>
        <v>3</v>
      </c>
      <c r="C1405" s="1">
        <v>1</v>
      </c>
      <c r="D1405" s="1">
        <v>134</v>
      </c>
      <c r="E1405" s="1">
        <f>IF(OR(Paths!$C$134=0,C1405=0),0,MAX(0,MIN(C1405*12,Paths!$E$134)-(C1405-1)*12))</f>
        <v>0</v>
      </c>
      <c r="F1405" s="1">
        <f>IF(OR(Paths!$C$134=0,C1405=0),0,12-E1405)</f>
        <v>0</v>
      </c>
      <c r="G1405" s="16">
        <f>IF(NOT(Paths!$C$134=1),0,IF(Paths!$P$134="Complete",E1405/12*(Paths!$J$134*(1+'Operating costs'!$B$51)^MAX(0,C1405-1)+Paths!$K$134*(1+'Operating costs'!$B$53)^MAX(0,C1405-1)),"n.a."))</f>
        <v>0</v>
      </c>
      <c r="H1405" s="16">
        <f>IF(NOT(Paths!$C$134=1),0,IF(Paths!$P$134="Complete",F1405/12*(Paths!$L$134*(1+IF(Paths!$D$134="EV",'Operating costs'!$B$52,'Operating costs'!$B$51))^MAX(0,C1405-1)+Paths!$M$134*(1+'Operating costs'!$B$53)^MAX(0,C1405-1)),"n.a."))</f>
        <v>0</v>
      </c>
      <c r="I1405" s="16">
        <f>IF(NOT(Paths!$C$134=1),0,IF(Paths!$P$134="Complete",IF(IF(Paths!$E$134=0,C1405=0,AND(C1405&gt;0,Paths!$E$134&gt;(C1405-1)*12,Paths!$E$134&lt;=C1405*12)),Paths!$G$134,0),"n.a."))</f>
        <v>0</v>
      </c>
      <c r="J1405" s="16">
        <f>IF(NOT(Paths!$C$134=1),0,IF(Paths!$P$134="Complete",IF(IF(Paths!$E$134=0,C1405=0,AND(C1405&gt;0,Paths!$E$134&gt;(C1405-1)*12,Paths!$E$134&lt;=C1405*12)),Paths!$H$134,0),"n.a."))</f>
        <v>0</v>
      </c>
      <c r="K1405" s="16">
        <f>IF(NOT(Paths!$C$134=1),0,IF(Paths!$P$134="Complete",IF(IF(Paths!$O$134=0,C1405=0,AND(C1405&gt;0,Paths!$O$134&gt;(C1405-1)*12,Paths!$O$134&lt;=C1405*12)),Paths!$N$134,0),"n.a."))</f>
        <v>0</v>
      </c>
      <c r="L1405" s="16">
        <f>IF(NOT(Paths!$C$134=1),0,IF(Paths!$P$134="Complete",IF(C1405=10,Paths!$I$134,0),"n.a."))</f>
        <v>0</v>
      </c>
      <c r="M1405" s="16">
        <f>IF(NOT(Paths!$C$134=1),0,IF(Paths!$P$134="Complete",IF(AND(Paths!$D$134="EV",Paths!$E$134&lt;120,Paths!$E$134+'Operating costs'!$B$65&gt;Paths!$E$134,Paths!$E$134+'Operating costs'!$B$65&lt;=120,IF(Paths!$E$134+'Operating costs'!$B$65=0,C1405=0,AND(C1405&gt;0,Paths!$E$134+'Operating costs'!$B$65&gt;(C1405-1)*12,Paths!$E$134+'Operating costs'!$B$65&lt;=C1405*12))),'Operating costs'!$B$64,0)+IF(AND('Operating costs'!$B$67&gt;0,'Operating costs'!$B$67&lt;=120,OR(Paths!$D$134="ICE",'Operating costs'!$B$67&lt;=Paths!$E$134),IF('Operating costs'!$B$67=0,C1405=0,AND(C1405&gt;0,'Operating costs'!$B$67&gt;(C1405-1)*12,'Operating costs'!$B$67&lt;=C1405*12))),'Operating costs'!$B$66,0),"n.a."))</f>
        <v>0</v>
      </c>
      <c r="N1405" s="16">
        <f>IF(NOT(Paths!$C$134=1),0,IF(Paths!$P$134="Complete",SUM(G1405:I1405)-J1405-K1405-L1405+M1405+IF(C1405=0,Paths!$F$134,0)+IF(IF(Paths!$E$134=0,C1405=0,AND(C1405&gt;0,Paths!$E$134&gt;(C1405-1)*12,Paths!$E$134&lt;=C1405*12)),VLOOKUP(A1405,'Fleet register'!$A$7:$S$106,16,FALSE),0),"n.a."))</f>
        <v>0</v>
      </c>
      <c r="O1405" s="16">
        <f>IF(NOT(Paths!$C$134=1),0,IF(Paths!$P$134="Complete",N1405-IF(C1405=0,Paths!$F$134,0),"n.a."))</f>
        <v>0</v>
      </c>
      <c r="P1405" s="16">
        <f>IF(NOT(Paths!$C$134=1),0,IF(Paths!$P$134="Complete",O1405+L1405,"n.a."))</f>
        <v>0</v>
      </c>
      <c r="Q1405" s="16">
        <f>IF(NOT(Paths!$C$134=1),0,IF(Paths!$P$134="Complete",N1405*(1+'Operating costs'!$B$54)^-C1405,"n.a."))</f>
        <v>0</v>
      </c>
      <c r="R1405" s="16">
        <f>IF(NOT(Paths!$C$134=1),0,IF(Paths!$P$134="Complete",IF(AND(C1405=0,Paths!$E$134=0),I1405-J1405-K1405+VLOOKUP(A1405,'Fleet register'!$A$7:$S$106,15,FALSE)+VLOOKUP(A1405,'Fleet register'!$A$7:$S$106,16,FALSE),0),"n.a."))</f>
        <v>0</v>
      </c>
      <c r="S1405" s="1">
        <f>IF(NOT(Paths!$C$134=1),0,IF(Paths!$P$134="Complete",IF(C1405=0,0,Paths!$S$134*Paths!$R$134),"n.a."))</f>
        <v>0</v>
      </c>
      <c r="T1405" s="1">
        <f>IF(NOT(Paths!$C$134=1),0,IF(Paths!$P$134="Complete",IF(C1405=0,0,VLOOKUP(A1405,'Fleet register'!$A$7:$S$106,9,FALSE)*Paths!$R$134),"n.a."))</f>
        <v>0</v>
      </c>
    </row>
    <row r="1406" spans="1:20" ht="24" customHeight="1">
      <c r="A1406" s="1" t="str">
        <f>Paths!$A$134</f>
        <v>T032</v>
      </c>
      <c r="B1406" s="1">
        <f>Paths!$B$134</f>
        <v>3</v>
      </c>
      <c r="C1406" s="1">
        <v>2</v>
      </c>
      <c r="D1406" s="1">
        <v>134</v>
      </c>
      <c r="E1406" s="1">
        <f>IF(OR(Paths!$C$134=0,C1406=0),0,MAX(0,MIN(C1406*12,Paths!$E$134)-(C1406-1)*12))</f>
        <v>0</v>
      </c>
      <c r="F1406" s="1">
        <f>IF(OR(Paths!$C$134=0,C1406=0),0,12-E1406)</f>
        <v>0</v>
      </c>
      <c r="G1406" s="16">
        <f>IF(NOT(Paths!$C$134=1),0,IF(Paths!$P$134="Complete",E1406/12*(Paths!$J$134*(1+'Operating costs'!$B$51)^MAX(0,C1406-1)+Paths!$K$134*(1+'Operating costs'!$B$53)^MAX(0,C1406-1)),"n.a."))</f>
        <v>0</v>
      </c>
      <c r="H1406" s="16">
        <f>IF(NOT(Paths!$C$134=1),0,IF(Paths!$P$134="Complete",F1406/12*(Paths!$L$134*(1+IF(Paths!$D$134="EV",'Operating costs'!$B$52,'Operating costs'!$B$51))^MAX(0,C1406-1)+Paths!$M$134*(1+'Operating costs'!$B$53)^MAX(0,C1406-1)),"n.a."))</f>
        <v>0</v>
      </c>
      <c r="I1406" s="16">
        <f>IF(NOT(Paths!$C$134=1),0,IF(Paths!$P$134="Complete",IF(IF(Paths!$E$134=0,C1406=0,AND(C1406&gt;0,Paths!$E$134&gt;(C1406-1)*12,Paths!$E$134&lt;=C1406*12)),Paths!$G$134,0),"n.a."))</f>
        <v>0</v>
      </c>
      <c r="J1406" s="16">
        <f>IF(NOT(Paths!$C$134=1),0,IF(Paths!$P$134="Complete",IF(IF(Paths!$E$134=0,C1406=0,AND(C1406&gt;0,Paths!$E$134&gt;(C1406-1)*12,Paths!$E$134&lt;=C1406*12)),Paths!$H$134,0),"n.a."))</f>
        <v>0</v>
      </c>
      <c r="K1406" s="16">
        <f>IF(NOT(Paths!$C$134=1),0,IF(Paths!$P$134="Complete",IF(IF(Paths!$O$134=0,C1406=0,AND(C1406&gt;0,Paths!$O$134&gt;(C1406-1)*12,Paths!$O$134&lt;=C1406*12)),Paths!$N$134,0),"n.a."))</f>
        <v>0</v>
      </c>
      <c r="L1406" s="16">
        <f>IF(NOT(Paths!$C$134=1),0,IF(Paths!$P$134="Complete",IF(C1406=10,Paths!$I$134,0),"n.a."))</f>
        <v>0</v>
      </c>
      <c r="M1406" s="16">
        <f>IF(NOT(Paths!$C$134=1),0,IF(Paths!$P$134="Complete",IF(AND(Paths!$D$134="EV",Paths!$E$134&lt;120,Paths!$E$134+'Operating costs'!$B$65&gt;Paths!$E$134,Paths!$E$134+'Operating costs'!$B$65&lt;=120,IF(Paths!$E$134+'Operating costs'!$B$65=0,C1406=0,AND(C1406&gt;0,Paths!$E$134+'Operating costs'!$B$65&gt;(C1406-1)*12,Paths!$E$134+'Operating costs'!$B$65&lt;=C1406*12))),'Operating costs'!$B$64,0)+IF(AND('Operating costs'!$B$67&gt;0,'Operating costs'!$B$67&lt;=120,OR(Paths!$D$134="ICE",'Operating costs'!$B$67&lt;=Paths!$E$134),IF('Operating costs'!$B$67=0,C1406=0,AND(C1406&gt;0,'Operating costs'!$B$67&gt;(C1406-1)*12,'Operating costs'!$B$67&lt;=C1406*12))),'Operating costs'!$B$66,0),"n.a."))</f>
        <v>0</v>
      </c>
      <c r="N1406" s="16">
        <f>IF(NOT(Paths!$C$134=1),0,IF(Paths!$P$134="Complete",SUM(G1406:I1406)-J1406-K1406-L1406+M1406+IF(C1406=0,Paths!$F$134,0)+IF(IF(Paths!$E$134=0,C1406=0,AND(C1406&gt;0,Paths!$E$134&gt;(C1406-1)*12,Paths!$E$134&lt;=C1406*12)),VLOOKUP(A1406,'Fleet register'!$A$7:$S$106,16,FALSE),0),"n.a."))</f>
        <v>0</v>
      </c>
      <c r="O1406" s="16">
        <f>IF(NOT(Paths!$C$134=1),0,IF(Paths!$P$134="Complete",N1406-IF(C1406=0,Paths!$F$134,0),"n.a."))</f>
        <v>0</v>
      </c>
      <c r="P1406" s="16">
        <f>IF(NOT(Paths!$C$134=1),0,IF(Paths!$P$134="Complete",O1406+L1406,"n.a."))</f>
        <v>0</v>
      </c>
      <c r="Q1406" s="16">
        <f>IF(NOT(Paths!$C$134=1),0,IF(Paths!$P$134="Complete",N1406*(1+'Operating costs'!$B$54)^-C1406,"n.a."))</f>
        <v>0</v>
      </c>
      <c r="R1406" s="16">
        <f>IF(NOT(Paths!$C$134=1),0,IF(Paths!$P$134="Complete",IF(AND(C1406=0,Paths!$E$134=0),I1406-J1406-K1406+VLOOKUP(A1406,'Fleet register'!$A$7:$S$106,15,FALSE)+VLOOKUP(A1406,'Fleet register'!$A$7:$S$106,16,FALSE),0),"n.a."))</f>
        <v>0</v>
      </c>
      <c r="S1406" s="1">
        <f>IF(NOT(Paths!$C$134=1),0,IF(Paths!$P$134="Complete",IF(C1406=0,0,Paths!$S$134*Paths!$R$134),"n.a."))</f>
        <v>0</v>
      </c>
      <c r="T1406" s="1">
        <f>IF(NOT(Paths!$C$134=1),0,IF(Paths!$P$134="Complete",IF(C1406=0,0,VLOOKUP(A1406,'Fleet register'!$A$7:$S$106,9,FALSE)*Paths!$R$134),"n.a."))</f>
        <v>0</v>
      </c>
    </row>
    <row r="1407" spans="1:20" ht="24" customHeight="1">
      <c r="A1407" s="1" t="str">
        <f>Paths!$A$134</f>
        <v>T032</v>
      </c>
      <c r="B1407" s="1">
        <f>Paths!$B$134</f>
        <v>3</v>
      </c>
      <c r="C1407" s="1">
        <v>3</v>
      </c>
      <c r="D1407" s="1">
        <v>134</v>
      </c>
      <c r="E1407" s="1">
        <f>IF(OR(Paths!$C$134=0,C1407=0),0,MAX(0,MIN(C1407*12,Paths!$E$134)-(C1407-1)*12))</f>
        <v>0</v>
      </c>
      <c r="F1407" s="1">
        <f>IF(OR(Paths!$C$134=0,C1407=0),0,12-E1407)</f>
        <v>0</v>
      </c>
      <c r="G1407" s="16">
        <f>IF(NOT(Paths!$C$134=1),0,IF(Paths!$P$134="Complete",E1407/12*(Paths!$J$134*(1+'Operating costs'!$B$51)^MAX(0,C1407-1)+Paths!$K$134*(1+'Operating costs'!$B$53)^MAX(0,C1407-1)),"n.a."))</f>
        <v>0</v>
      </c>
      <c r="H1407" s="16">
        <f>IF(NOT(Paths!$C$134=1),0,IF(Paths!$P$134="Complete",F1407/12*(Paths!$L$134*(1+IF(Paths!$D$134="EV",'Operating costs'!$B$52,'Operating costs'!$B$51))^MAX(0,C1407-1)+Paths!$M$134*(1+'Operating costs'!$B$53)^MAX(0,C1407-1)),"n.a."))</f>
        <v>0</v>
      </c>
      <c r="I1407" s="16">
        <f>IF(NOT(Paths!$C$134=1),0,IF(Paths!$P$134="Complete",IF(IF(Paths!$E$134=0,C1407=0,AND(C1407&gt;0,Paths!$E$134&gt;(C1407-1)*12,Paths!$E$134&lt;=C1407*12)),Paths!$G$134,0),"n.a."))</f>
        <v>0</v>
      </c>
      <c r="J1407" s="16">
        <f>IF(NOT(Paths!$C$134=1),0,IF(Paths!$P$134="Complete",IF(IF(Paths!$E$134=0,C1407=0,AND(C1407&gt;0,Paths!$E$134&gt;(C1407-1)*12,Paths!$E$134&lt;=C1407*12)),Paths!$H$134,0),"n.a."))</f>
        <v>0</v>
      </c>
      <c r="K1407" s="16">
        <f>IF(NOT(Paths!$C$134=1),0,IF(Paths!$P$134="Complete",IF(IF(Paths!$O$134=0,C1407=0,AND(C1407&gt;0,Paths!$O$134&gt;(C1407-1)*12,Paths!$O$134&lt;=C1407*12)),Paths!$N$134,0),"n.a."))</f>
        <v>0</v>
      </c>
      <c r="L1407" s="16">
        <f>IF(NOT(Paths!$C$134=1),0,IF(Paths!$P$134="Complete",IF(C1407=10,Paths!$I$134,0),"n.a."))</f>
        <v>0</v>
      </c>
      <c r="M1407" s="16">
        <f>IF(NOT(Paths!$C$134=1),0,IF(Paths!$P$134="Complete",IF(AND(Paths!$D$134="EV",Paths!$E$134&lt;120,Paths!$E$134+'Operating costs'!$B$65&gt;Paths!$E$134,Paths!$E$134+'Operating costs'!$B$65&lt;=120,IF(Paths!$E$134+'Operating costs'!$B$65=0,C1407=0,AND(C1407&gt;0,Paths!$E$134+'Operating costs'!$B$65&gt;(C1407-1)*12,Paths!$E$134+'Operating costs'!$B$65&lt;=C1407*12))),'Operating costs'!$B$64,0)+IF(AND('Operating costs'!$B$67&gt;0,'Operating costs'!$B$67&lt;=120,OR(Paths!$D$134="ICE",'Operating costs'!$B$67&lt;=Paths!$E$134),IF('Operating costs'!$B$67=0,C1407=0,AND(C1407&gt;0,'Operating costs'!$B$67&gt;(C1407-1)*12,'Operating costs'!$B$67&lt;=C1407*12))),'Operating costs'!$B$66,0),"n.a."))</f>
        <v>0</v>
      </c>
      <c r="N1407" s="16">
        <f>IF(NOT(Paths!$C$134=1),0,IF(Paths!$P$134="Complete",SUM(G1407:I1407)-J1407-K1407-L1407+M1407+IF(C1407=0,Paths!$F$134,0)+IF(IF(Paths!$E$134=0,C1407=0,AND(C1407&gt;0,Paths!$E$134&gt;(C1407-1)*12,Paths!$E$134&lt;=C1407*12)),VLOOKUP(A1407,'Fleet register'!$A$7:$S$106,16,FALSE),0),"n.a."))</f>
        <v>0</v>
      </c>
      <c r="O1407" s="16">
        <f>IF(NOT(Paths!$C$134=1),0,IF(Paths!$P$134="Complete",N1407-IF(C1407=0,Paths!$F$134,0),"n.a."))</f>
        <v>0</v>
      </c>
      <c r="P1407" s="16">
        <f>IF(NOT(Paths!$C$134=1),0,IF(Paths!$P$134="Complete",O1407+L1407,"n.a."))</f>
        <v>0</v>
      </c>
      <c r="Q1407" s="16">
        <f>IF(NOT(Paths!$C$134=1),0,IF(Paths!$P$134="Complete",N1407*(1+'Operating costs'!$B$54)^-C1407,"n.a."))</f>
        <v>0</v>
      </c>
      <c r="R1407" s="16">
        <f>IF(NOT(Paths!$C$134=1),0,IF(Paths!$P$134="Complete",IF(AND(C1407=0,Paths!$E$134=0),I1407-J1407-K1407+VLOOKUP(A1407,'Fleet register'!$A$7:$S$106,15,FALSE)+VLOOKUP(A1407,'Fleet register'!$A$7:$S$106,16,FALSE),0),"n.a."))</f>
        <v>0</v>
      </c>
      <c r="S1407" s="1">
        <f>IF(NOT(Paths!$C$134=1),0,IF(Paths!$P$134="Complete",IF(C1407=0,0,Paths!$S$134*Paths!$R$134),"n.a."))</f>
        <v>0</v>
      </c>
      <c r="T1407" s="1">
        <f>IF(NOT(Paths!$C$134=1),0,IF(Paths!$P$134="Complete",IF(C1407=0,0,VLOOKUP(A1407,'Fleet register'!$A$7:$S$106,9,FALSE)*Paths!$R$134),"n.a."))</f>
        <v>0</v>
      </c>
    </row>
    <row r="1408" spans="1:20" ht="24" customHeight="1">
      <c r="A1408" s="1" t="str">
        <f>Paths!$A$134</f>
        <v>T032</v>
      </c>
      <c r="B1408" s="1">
        <f>Paths!$B$134</f>
        <v>3</v>
      </c>
      <c r="C1408" s="1">
        <v>4</v>
      </c>
      <c r="D1408" s="1">
        <v>134</v>
      </c>
      <c r="E1408" s="1">
        <f>IF(OR(Paths!$C$134=0,C1408=0),0,MAX(0,MIN(C1408*12,Paths!$E$134)-(C1408-1)*12))</f>
        <v>0</v>
      </c>
      <c r="F1408" s="1">
        <f>IF(OR(Paths!$C$134=0,C1408=0),0,12-E1408)</f>
        <v>0</v>
      </c>
      <c r="G1408" s="16">
        <f>IF(NOT(Paths!$C$134=1),0,IF(Paths!$P$134="Complete",E1408/12*(Paths!$J$134*(1+'Operating costs'!$B$51)^MAX(0,C1408-1)+Paths!$K$134*(1+'Operating costs'!$B$53)^MAX(0,C1408-1)),"n.a."))</f>
        <v>0</v>
      </c>
      <c r="H1408" s="16">
        <f>IF(NOT(Paths!$C$134=1),0,IF(Paths!$P$134="Complete",F1408/12*(Paths!$L$134*(1+IF(Paths!$D$134="EV",'Operating costs'!$B$52,'Operating costs'!$B$51))^MAX(0,C1408-1)+Paths!$M$134*(1+'Operating costs'!$B$53)^MAX(0,C1408-1)),"n.a."))</f>
        <v>0</v>
      </c>
      <c r="I1408" s="16">
        <f>IF(NOT(Paths!$C$134=1),0,IF(Paths!$P$134="Complete",IF(IF(Paths!$E$134=0,C1408=0,AND(C1408&gt;0,Paths!$E$134&gt;(C1408-1)*12,Paths!$E$134&lt;=C1408*12)),Paths!$G$134,0),"n.a."))</f>
        <v>0</v>
      </c>
      <c r="J1408" s="16">
        <f>IF(NOT(Paths!$C$134=1),0,IF(Paths!$P$134="Complete",IF(IF(Paths!$E$134=0,C1408=0,AND(C1408&gt;0,Paths!$E$134&gt;(C1408-1)*12,Paths!$E$134&lt;=C1408*12)),Paths!$H$134,0),"n.a."))</f>
        <v>0</v>
      </c>
      <c r="K1408" s="16">
        <f>IF(NOT(Paths!$C$134=1),0,IF(Paths!$P$134="Complete",IF(IF(Paths!$O$134=0,C1408=0,AND(C1408&gt;0,Paths!$O$134&gt;(C1408-1)*12,Paths!$O$134&lt;=C1408*12)),Paths!$N$134,0),"n.a."))</f>
        <v>0</v>
      </c>
      <c r="L1408" s="16">
        <f>IF(NOT(Paths!$C$134=1),0,IF(Paths!$P$134="Complete",IF(C1408=10,Paths!$I$134,0),"n.a."))</f>
        <v>0</v>
      </c>
      <c r="M1408" s="16">
        <f>IF(NOT(Paths!$C$134=1),0,IF(Paths!$P$134="Complete",IF(AND(Paths!$D$134="EV",Paths!$E$134&lt;120,Paths!$E$134+'Operating costs'!$B$65&gt;Paths!$E$134,Paths!$E$134+'Operating costs'!$B$65&lt;=120,IF(Paths!$E$134+'Operating costs'!$B$65=0,C1408=0,AND(C1408&gt;0,Paths!$E$134+'Operating costs'!$B$65&gt;(C1408-1)*12,Paths!$E$134+'Operating costs'!$B$65&lt;=C1408*12))),'Operating costs'!$B$64,0)+IF(AND('Operating costs'!$B$67&gt;0,'Operating costs'!$B$67&lt;=120,OR(Paths!$D$134="ICE",'Operating costs'!$B$67&lt;=Paths!$E$134),IF('Operating costs'!$B$67=0,C1408=0,AND(C1408&gt;0,'Operating costs'!$B$67&gt;(C1408-1)*12,'Operating costs'!$B$67&lt;=C1408*12))),'Operating costs'!$B$66,0),"n.a."))</f>
        <v>0</v>
      </c>
      <c r="N1408" s="16">
        <f>IF(NOT(Paths!$C$134=1),0,IF(Paths!$P$134="Complete",SUM(G1408:I1408)-J1408-K1408-L1408+M1408+IF(C1408=0,Paths!$F$134,0)+IF(IF(Paths!$E$134=0,C1408=0,AND(C1408&gt;0,Paths!$E$134&gt;(C1408-1)*12,Paths!$E$134&lt;=C1408*12)),VLOOKUP(A1408,'Fleet register'!$A$7:$S$106,16,FALSE),0),"n.a."))</f>
        <v>0</v>
      </c>
      <c r="O1408" s="16">
        <f>IF(NOT(Paths!$C$134=1),0,IF(Paths!$P$134="Complete",N1408-IF(C1408=0,Paths!$F$134,0),"n.a."))</f>
        <v>0</v>
      </c>
      <c r="P1408" s="16">
        <f>IF(NOT(Paths!$C$134=1),0,IF(Paths!$P$134="Complete",O1408+L1408,"n.a."))</f>
        <v>0</v>
      </c>
      <c r="Q1408" s="16">
        <f>IF(NOT(Paths!$C$134=1),0,IF(Paths!$P$134="Complete",N1408*(1+'Operating costs'!$B$54)^-C1408,"n.a."))</f>
        <v>0</v>
      </c>
      <c r="R1408" s="16">
        <f>IF(NOT(Paths!$C$134=1),0,IF(Paths!$P$134="Complete",IF(AND(C1408=0,Paths!$E$134=0),I1408-J1408-K1408+VLOOKUP(A1408,'Fleet register'!$A$7:$S$106,15,FALSE)+VLOOKUP(A1408,'Fleet register'!$A$7:$S$106,16,FALSE),0),"n.a."))</f>
        <v>0</v>
      </c>
      <c r="S1408" s="1">
        <f>IF(NOT(Paths!$C$134=1),0,IF(Paths!$P$134="Complete",IF(C1408=0,0,Paths!$S$134*Paths!$R$134),"n.a."))</f>
        <v>0</v>
      </c>
      <c r="T1408" s="1">
        <f>IF(NOT(Paths!$C$134=1),0,IF(Paths!$P$134="Complete",IF(C1408=0,0,VLOOKUP(A1408,'Fleet register'!$A$7:$S$106,9,FALSE)*Paths!$R$134),"n.a."))</f>
        <v>0</v>
      </c>
    </row>
    <row r="1409" spans="1:20" ht="24" customHeight="1">
      <c r="A1409" s="1" t="str">
        <f>Paths!$A$134</f>
        <v>T032</v>
      </c>
      <c r="B1409" s="1">
        <f>Paths!$B$134</f>
        <v>3</v>
      </c>
      <c r="C1409" s="1">
        <v>5</v>
      </c>
      <c r="D1409" s="1">
        <v>134</v>
      </c>
      <c r="E1409" s="1">
        <f>IF(OR(Paths!$C$134=0,C1409=0),0,MAX(0,MIN(C1409*12,Paths!$E$134)-(C1409-1)*12))</f>
        <v>0</v>
      </c>
      <c r="F1409" s="1">
        <f>IF(OR(Paths!$C$134=0,C1409=0),0,12-E1409)</f>
        <v>0</v>
      </c>
      <c r="G1409" s="16">
        <f>IF(NOT(Paths!$C$134=1),0,IF(Paths!$P$134="Complete",E1409/12*(Paths!$J$134*(1+'Operating costs'!$B$51)^MAX(0,C1409-1)+Paths!$K$134*(1+'Operating costs'!$B$53)^MAX(0,C1409-1)),"n.a."))</f>
        <v>0</v>
      </c>
      <c r="H1409" s="16">
        <f>IF(NOT(Paths!$C$134=1),0,IF(Paths!$P$134="Complete",F1409/12*(Paths!$L$134*(1+IF(Paths!$D$134="EV",'Operating costs'!$B$52,'Operating costs'!$B$51))^MAX(0,C1409-1)+Paths!$M$134*(1+'Operating costs'!$B$53)^MAX(0,C1409-1)),"n.a."))</f>
        <v>0</v>
      </c>
      <c r="I1409" s="16">
        <f>IF(NOT(Paths!$C$134=1),0,IF(Paths!$P$134="Complete",IF(IF(Paths!$E$134=0,C1409=0,AND(C1409&gt;0,Paths!$E$134&gt;(C1409-1)*12,Paths!$E$134&lt;=C1409*12)),Paths!$G$134,0),"n.a."))</f>
        <v>0</v>
      </c>
      <c r="J1409" s="16">
        <f>IF(NOT(Paths!$C$134=1),0,IF(Paths!$P$134="Complete",IF(IF(Paths!$E$134=0,C1409=0,AND(C1409&gt;0,Paths!$E$134&gt;(C1409-1)*12,Paths!$E$134&lt;=C1409*12)),Paths!$H$134,0),"n.a."))</f>
        <v>0</v>
      </c>
      <c r="K1409" s="16">
        <f>IF(NOT(Paths!$C$134=1),0,IF(Paths!$P$134="Complete",IF(IF(Paths!$O$134=0,C1409=0,AND(C1409&gt;0,Paths!$O$134&gt;(C1409-1)*12,Paths!$O$134&lt;=C1409*12)),Paths!$N$134,0),"n.a."))</f>
        <v>0</v>
      </c>
      <c r="L1409" s="16">
        <f>IF(NOT(Paths!$C$134=1),0,IF(Paths!$P$134="Complete",IF(C1409=10,Paths!$I$134,0),"n.a."))</f>
        <v>0</v>
      </c>
      <c r="M1409" s="16">
        <f>IF(NOT(Paths!$C$134=1),0,IF(Paths!$P$134="Complete",IF(AND(Paths!$D$134="EV",Paths!$E$134&lt;120,Paths!$E$134+'Operating costs'!$B$65&gt;Paths!$E$134,Paths!$E$134+'Operating costs'!$B$65&lt;=120,IF(Paths!$E$134+'Operating costs'!$B$65=0,C1409=0,AND(C1409&gt;0,Paths!$E$134+'Operating costs'!$B$65&gt;(C1409-1)*12,Paths!$E$134+'Operating costs'!$B$65&lt;=C1409*12))),'Operating costs'!$B$64,0)+IF(AND('Operating costs'!$B$67&gt;0,'Operating costs'!$B$67&lt;=120,OR(Paths!$D$134="ICE",'Operating costs'!$B$67&lt;=Paths!$E$134),IF('Operating costs'!$B$67=0,C1409=0,AND(C1409&gt;0,'Operating costs'!$B$67&gt;(C1409-1)*12,'Operating costs'!$B$67&lt;=C1409*12))),'Operating costs'!$B$66,0),"n.a."))</f>
        <v>0</v>
      </c>
      <c r="N1409" s="16">
        <f>IF(NOT(Paths!$C$134=1),0,IF(Paths!$P$134="Complete",SUM(G1409:I1409)-J1409-K1409-L1409+M1409+IF(C1409=0,Paths!$F$134,0)+IF(IF(Paths!$E$134=0,C1409=0,AND(C1409&gt;0,Paths!$E$134&gt;(C1409-1)*12,Paths!$E$134&lt;=C1409*12)),VLOOKUP(A1409,'Fleet register'!$A$7:$S$106,16,FALSE),0),"n.a."))</f>
        <v>0</v>
      </c>
      <c r="O1409" s="16">
        <f>IF(NOT(Paths!$C$134=1),0,IF(Paths!$P$134="Complete",N1409-IF(C1409=0,Paths!$F$134,0),"n.a."))</f>
        <v>0</v>
      </c>
      <c r="P1409" s="16">
        <f>IF(NOT(Paths!$C$134=1),0,IF(Paths!$P$134="Complete",O1409+L1409,"n.a."))</f>
        <v>0</v>
      </c>
      <c r="Q1409" s="16">
        <f>IF(NOT(Paths!$C$134=1),0,IF(Paths!$P$134="Complete",N1409*(1+'Operating costs'!$B$54)^-C1409,"n.a."))</f>
        <v>0</v>
      </c>
      <c r="R1409" s="16">
        <f>IF(NOT(Paths!$C$134=1),0,IF(Paths!$P$134="Complete",IF(AND(C1409=0,Paths!$E$134=0),I1409-J1409-K1409+VLOOKUP(A1409,'Fleet register'!$A$7:$S$106,15,FALSE)+VLOOKUP(A1409,'Fleet register'!$A$7:$S$106,16,FALSE),0),"n.a."))</f>
        <v>0</v>
      </c>
      <c r="S1409" s="1">
        <f>IF(NOT(Paths!$C$134=1),0,IF(Paths!$P$134="Complete",IF(C1409=0,0,Paths!$S$134*Paths!$R$134),"n.a."))</f>
        <v>0</v>
      </c>
      <c r="T1409" s="1">
        <f>IF(NOT(Paths!$C$134=1),0,IF(Paths!$P$134="Complete",IF(C1409=0,0,VLOOKUP(A1409,'Fleet register'!$A$7:$S$106,9,FALSE)*Paths!$R$134),"n.a."))</f>
        <v>0</v>
      </c>
    </row>
    <row r="1410" spans="1:20" ht="24" customHeight="1">
      <c r="A1410" s="1" t="str">
        <f>Paths!$A$134</f>
        <v>T032</v>
      </c>
      <c r="B1410" s="1">
        <f>Paths!$B$134</f>
        <v>3</v>
      </c>
      <c r="C1410" s="1">
        <v>6</v>
      </c>
      <c r="D1410" s="1">
        <v>134</v>
      </c>
      <c r="E1410" s="1">
        <f>IF(OR(Paths!$C$134=0,C1410=0),0,MAX(0,MIN(C1410*12,Paths!$E$134)-(C1410-1)*12))</f>
        <v>0</v>
      </c>
      <c r="F1410" s="1">
        <f>IF(OR(Paths!$C$134=0,C1410=0),0,12-E1410)</f>
        <v>0</v>
      </c>
      <c r="G1410" s="16">
        <f>IF(NOT(Paths!$C$134=1),0,IF(Paths!$P$134="Complete",E1410/12*(Paths!$J$134*(1+'Operating costs'!$B$51)^MAX(0,C1410-1)+Paths!$K$134*(1+'Operating costs'!$B$53)^MAX(0,C1410-1)),"n.a."))</f>
        <v>0</v>
      </c>
      <c r="H1410" s="16">
        <f>IF(NOT(Paths!$C$134=1),0,IF(Paths!$P$134="Complete",F1410/12*(Paths!$L$134*(1+IF(Paths!$D$134="EV",'Operating costs'!$B$52,'Operating costs'!$B$51))^MAX(0,C1410-1)+Paths!$M$134*(1+'Operating costs'!$B$53)^MAX(0,C1410-1)),"n.a."))</f>
        <v>0</v>
      </c>
      <c r="I1410" s="16">
        <f>IF(NOT(Paths!$C$134=1),0,IF(Paths!$P$134="Complete",IF(IF(Paths!$E$134=0,C1410=0,AND(C1410&gt;0,Paths!$E$134&gt;(C1410-1)*12,Paths!$E$134&lt;=C1410*12)),Paths!$G$134,0),"n.a."))</f>
        <v>0</v>
      </c>
      <c r="J1410" s="16">
        <f>IF(NOT(Paths!$C$134=1),0,IF(Paths!$P$134="Complete",IF(IF(Paths!$E$134=0,C1410=0,AND(C1410&gt;0,Paths!$E$134&gt;(C1410-1)*12,Paths!$E$134&lt;=C1410*12)),Paths!$H$134,0),"n.a."))</f>
        <v>0</v>
      </c>
      <c r="K1410" s="16">
        <f>IF(NOT(Paths!$C$134=1),0,IF(Paths!$P$134="Complete",IF(IF(Paths!$O$134=0,C1410=0,AND(C1410&gt;0,Paths!$O$134&gt;(C1410-1)*12,Paths!$O$134&lt;=C1410*12)),Paths!$N$134,0),"n.a."))</f>
        <v>0</v>
      </c>
      <c r="L1410" s="16">
        <f>IF(NOT(Paths!$C$134=1),0,IF(Paths!$P$134="Complete",IF(C1410=10,Paths!$I$134,0),"n.a."))</f>
        <v>0</v>
      </c>
      <c r="M1410" s="16">
        <f>IF(NOT(Paths!$C$134=1),0,IF(Paths!$P$134="Complete",IF(AND(Paths!$D$134="EV",Paths!$E$134&lt;120,Paths!$E$134+'Operating costs'!$B$65&gt;Paths!$E$134,Paths!$E$134+'Operating costs'!$B$65&lt;=120,IF(Paths!$E$134+'Operating costs'!$B$65=0,C1410=0,AND(C1410&gt;0,Paths!$E$134+'Operating costs'!$B$65&gt;(C1410-1)*12,Paths!$E$134+'Operating costs'!$B$65&lt;=C1410*12))),'Operating costs'!$B$64,0)+IF(AND('Operating costs'!$B$67&gt;0,'Operating costs'!$B$67&lt;=120,OR(Paths!$D$134="ICE",'Operating costs'!$B$67&lt;=Paths!$E$134),IF('Operating costs'!$B$67=0,C1410=0,AND(C1410&gt;0,'Operating costs'!$B$67&gt;(C1410-1)*12,'Operating costs'!$B$67&lt;=C1410*12))),'Operating costs'!$B$66,0),"n.a."))</f>
        <v>0</v>
      </c>
      <c r="N1410" s="16">
        <f>IF(NOT(Paths!$C$134=1),0,IF(Paths!$P$134="Complete",SUM(G1410:I1410)-J1410-K1410-L1410+M1410+IF(C1410=0,Paths!$F$134,0)+IF(IF(Paths!$E$134=0,C1410=0,AND(C1410&gt;0,Paths!$E$134&gt;(C1410-1)*12,Paths!$E$134&lt;=C1410*12)),VLOOKUP(A1410,'Fleet register'!$A$7:$S$106,16,FALSE),0),"n.a."))</f>
        <v>0</v>
      </c>
      <c r="O1410" s="16">
        <f>IF(NOT(Paths!$C$134=1),0,IF(Paths!$P$134="Complete",N1410-IF(C1410=0,Paths!$F$134,0),"n.a."))</f>
        <v>0</v>
      </c>
      <c r="P1410" s="16">
        <f>IF(NOT(Paths!$C$134=1),0,IF(Paths!$P$134="Complete",O1410+L1410,"n.a."))</f>
        <v>0</v>
      </c>
      <c r="Q1410" s="16">
        <f>IF(NOT(Paths!$C$134=1),0,IF(Paths!$P$134="Complete",N1410*(1+'Operating costs'!$B$54)^-C1410,"n.a."))</f>
        <v>0</v>
      </c>
      <c r="R1410" s="16">
        <f>IF(NOT(Paths!$C$134=1),0,IF(Paths!$P$134="Complete",IF(AND(C1410=0,Paths!$E$134=0),I1410-J1410-K1410+VLOOKUP(A1410,'Fleet register'!$A$7:$S$106,15,FALSE)+VLOOKUP(A1410,'Fleet register'!$A$7:$S$106,16,FALSE),0),"n.a."))</f>
        <v>0</v>
      </c>
      <c r="S1410" s="1">
        <f>IF(NOT(Paths!$C$134=1),0,IF(Paths!$P$134="Complete",IF(C1410=0,0,Paths!$S$134*Paths!$R$134),"n.a."))</f>
        <v>0</v>
      </c>
      <c r="T1410" s="1">
        <f>IF(NOT(Paths!$C$134=1),0,IF(Paths!$P$134="Complete",IF(C1410=0,0,VLOOKUP(A1410,'Fleet register'!$A$7:$S$106,9,FALSE)*Paths!$R$134),"n.a."))</f>
        <v>0</v>
      </c>
    </row>
    <row r="1411" spans="1:20" ht="24" customHeight="1">
      <c r="A1411" s="1" t="str">
        <f>Paths!$A$134</f>
        <v>T032</v>
      </c>
      <c r="B1411" s="1">
        <f>Paths!$B$134</f>
        <v>3</v>
      </c>
      <c r="C1411" s="1">
        <v>7</v>
      </c>
      <c r="D1411" s="1">
        <v>134</v>
      </c>
      <c r="E1411" s="1">
        <f>IF(OR(Paths!$C$134=0,C1411=0),0,MAX(0,MIN(C1411*12,Paths!$E$134)-(C1411-1)*12))</f>
        <v>0</v>
      </c>
      <c r="F1411" s="1">
        <f>IF(OR(Paths!$C$134=0,C1411=0),0,12-E1411)</f>
        <v>0</v>
      </c>
      <c r="G1411" s="16">
        <f>IF(NOT(Paths!$C$134=1),0,IF(Paths!$P$134="Complete",E1411/12*(Paths!$J$134*(1+'Operating costs'!$B$51)^MAX(0,C1411-1)+Paths!$K$134*(1+'Operating costs'!$B$53)^MAX(0,C1411-1)),"n.a."))</f>
        <v>0</v>
      </c>
      <c r="H1411" s="16">
        <f>IF(NOT(Paths!$C$134=1),0,IF(Paths!$P$134="Complete",F1411/12*(Paths!$L$134*(1+IF(Paths!$D$134="EV",'Operating costs'!$B$52,'Operating costs'!$B$51))^MAX(0,C1411-1)+Paths!$M$134*(1+'Operating costs'!$B$53)^MAX(0,C1411-1)),"n.a."))</f>
        <v>0</v>
      </c>
      <c r="I1411" s="16">
        <f>IF(NOT(Paths!$C$134=1),0,IF(Paths!$P$134="Complete",IF(IF(Paths!$E$134=0,C1411=0,AND(C1411&gt;0,Paths!$E$134&gt;(C1411-1)*12,Paths!$E$134&lt;=C1411*12)),Paths!$G$134,0),"n.a."))</f>
        <v>0</v>
      </c>
      <c r="J1411" s="16">
        <f>IF(NOT(Paths!$C$134=1),0,IF(Paths!$P$134="Complete",IF(IF(Paths!$E$134=0,C1411=0,AND(C1411&gt;0,Paths!$E$134&gt;(C1411-1)*12,Paths!$E$134&lt;=C1411*12)),Paths!$H$134,0),"n.a."))</f>
        <v>0</v>
      </c>
      <c r="K1411" s="16">
        <f>IF(NOT(Paths!$C$134=1),0,IF(Paths!$P$134="Complete",IF(IF(Paths!$O$134=0,C1411=0,AND(C1411&gt;0,Paths!$O$134&gt;(C1411-1)*12,Paths!$O$134&lt;=C1411*12)),Paths!$N$134,0),"n.a."))</f>
        <v>0</v>
      </c>
      <c r="L1411" s="16">
        <f>IF(NOT(Paths!$C$134=1),0,IF(Paths!$P$134="Complete",IF(C1411=10,Paths!$I$134,0),"n.a."))</f>
        <v>0</v>
      </c>
      <c r="M1411" s="16">
        <f>IF(NOT(Paths!$C$134=1),0,IF(Paths!$P$134="Complete",IF(AND(Paths!$D$134="EV",Paths!$E$134&lt;120,Paths!$E$134+'Operating costs'!$B$65&gt;Paths!$E$134,Paths!$E$134+'Operating costs'!$B$65&lt;=120,IF(Paths!$E$134+'Operating costs'!$B$65=0,C1411=0,AND(C1411&gt;0,Paths!$E$134+'Operating costs'!$B$65&gt;(C1411-1)*12,Paths!$E$134+'Operating costs'!$B$65&lt;=C1411*12))),'Operating costs'!$B$64,0)+IF(AND('Operating costs'!$B$67&gt;0,'Operating costs'!$B$67&lt;=120,OR(Paths!$D$134="ICE",'Operating costs'!$B$67&lt;=Paths!$E$134),IF('Operating costs'!$B$67=0,C1411=0,AND(C1411&gt;0,'Operating costs'!$B$67&gt;(C1411-1)*12,'Operating costs'!$B$67&lt;=C1411*12))),'Operating costs'!$B$66,0),"n.a."))</f>
        <v>0</v>
      </c>
      <c r="N1411" s="16">
        <f>IF(NOT(Paths!$C$134=1),0,IF(Paths!$P$134="Complete",SUM(G1411:I1411)-J1411-K1411-L1411+M1411+IF(C1411=0,Paths!$F$134,0)+IF(IF(Paths!$E$134=0,C1411=0,AND(C1411&gt;0,Paths!$E$134&gt;(C1411-1)*12,Paths!$E$134&lt;=C1411*12)),VLOOKUP(A1411,'Fleet register'!$A$7:$S$106,16,FALSE),0),"n.a."))</f>
        <v>0</v>
      </c>
      <c r="O1411" s="16">
        <f>IF(NOT(Paths!$C$134=1),0,IF(Paths!$P$134="Complete",N1411-IF(C1411=0,Paths!$F$134,0),"n.a."))</f>
        <v>0</v>
      </c>
      <c r="P1411" s="16">
        <f>IF(NOT(Paths!$C$134=1),0,IF(Paths!$P$134="Complete",O1411+L1411,"n.a."))</f>
        <v>0</v>
      </c>
      <c r="Q1411" s="16">
        <f>IF(NOT(Paths!$C$134=1),0,IF(Paths!$P$134="Complete",N1411*(1+'Operating costs'!$B$54)^-C1411,"n.a."))</f>
        <v>0</v>
      </c>
      <c r="R1411" s="16">
        <f>IF(NOT(Paths!$C$134=1),0,IF(Paths!$P$134="Complete",IF(AND(C1411=0,Paths!$E$134=0),I1411-J1411-K1411+VLOOKUP(A1411,'Fleet register'!$A$7:$S$106,15,FALSE)+VLOOKUP(A1411,'Fleet register'!$A$7:$S$106,16,FALSE),0),"n.a."))</f>
        <v>0</v>
      </c>
      <c r="S1411" s="1">
        <f>IF(NOT(Paths!$C$134=1),0,IF(Paths!$P$134="Complete",IF(C1411=0,0,Paths!$S$134*Paths!$R$134),"n.a."))</f>
        <v>0</v>
      </c>
      <c r="T1411" s="1">
        <f>IF(NOT(Paths!$C$134=1),0,IF(Paths!$P$134="Complete",IF(C1411=0,0,VLOOKUP(A1411,'Fleet register'!$A$7:$S$106,9,FALSE)*Paths!$R$134),"n.a."))</f>
        <v>0</v>
      </c>
    </row>
    <row r="1412" spans="1:20" ht="24" customHeight="1">
      <c r="A1412" s="1" t="str">
        <f>Paths!$A$134</f>
        <v>T032</v>
      </c>
      <c r="B1412" s="1">
        <f>Paths!$B$134</f>
        <v>3</v>
      </c>
      <c r="C1412" s="1">
        <v>8</v>
      </c>
      <c r="D1412" s="1">
        <v>134</v>
      </c>
      <c r="E1412" s="1">
        <f>IF(OR(Paths!$C$134=0,C1412=0),0,MAX(0,MIN(C1412*12,Paths!$E$134)-(C1412-1)*12))</f>
        <v>0</v>
      </c>
      <c r="F1412" s="1">
        <f>IF(OR(Paths!$C$134=0,C1412=0),0,12-E1412)</f>
        <v>0</v>
      </c>
      <c r="G1412" s="16">
        <f>IF(NOT(Paths!$C$134=1),0,IF(Paths!$P$134="Complete",E1412/12*(Paths!$J$134*(1+'Operating costs'!$B$51)^MAX(0,C1412-1)+Paths!$K$134*(1+'Operating costs'!$B$53)^MAX(0,C1412-1)),"n.a."))</f>
        <v>0</v>
      </c>
      <c r="H1412" s="16">
        <f>IF(NOT(Paths!$C$134=1),0,IF(Paths!$P$134="Complete",F1412/12*(Paths!$L$134*(1+IF(Paths!$D$134="EV",'Operating costs'!$B$52,'Operating costs'!$B$51))^MAX(0,C1412-1)+Paths!$M$134*(1+'Operating costs'!$B$53)^MAX(0,C1412-1)),"n.a."))</f>
        <v>0</v>
      </c>
      <c r="I1412" s="16">
        <f>IF(NOT(Paths!$C$134=1),0,IF(Paths!$P$134="Complete",IF(IF(Paths!$E$134=0,C1412=0,AND(C1412&gt;0,Paths!$E$134&gt;(C1412-1)*12,Paths!$E$134&lt;=C1412*12)),Paths!$G$134,0),"n.a."))</f>
        <v>0</v>
      </c>
      <c r="J1412" s="16">
        <f>IF(NOT(Paths!$C$134=1),0,IF(Paths!$P$134="Complete",IF(IF(Paths!$E$134=0,C1412=0,AND(C1412&gt;0,Paths!$E$134&gt;(C1412-1)*12,Paths!$E$134&lt;=C1412*12)),Paths!$H$134,0),"n.a."))</f>
        <v>0</v>
      </c>
      <c r="K1412" s="16">
        <f>IF(NOT(Paths!$C$134=1),0,IF(Paths!$P$134="Complete",IF(IF(Paths!$O$134=0,C1412=0,AND(C1412&gt;0,Paths!$O$134&gt;(C1412-1)*12,Paths!$O$134&lt;=C1412*12)),Paths!$N$134,0),"n.a."))</f>
        <v>0</v>
      </c>
      <c r="L1412" s="16">
        <f>IF(NOT(Paths!$C$134=1),0,IF(Paths!$P$134="Complete",IF(C1412=10,Paths!$I$134,0),"n.a."))</f>
        <v>0</v>
      </c>
      <c r="M1412" s="16">
        <f>IF(NOT(Paths!$C$134=1),0,IF(Paths!$P$134="Complete",IF(AND(Paths!$D$134="EV",Paths!$E$134&lt;120,Paths!$E$134+'Operating costs'!$B$65&gt;Paths!$E$134,Paths!$E$134+'Operating costs'!$B$65&lt;=120,IF(Paths!$E$134+'Operating costs'!$B$65=0,C1412=0,AND(C1412&gt;0,Paths!$E$134+'Operating costs'!$B$65&gt;(C1412-1)*12,Paths!$E$134+'Operating costs'!$B$65&lt;=C1412*12))),'Operating costs'!$B$64,0)+IF(AND('Operating costs'!$B$67&gt;0,'Operating costs'!$B$67&lt;=120,OR(Paths!$D$134="ICE",'Operating costs'!$B$67&lt;=Paths!$E$134),IF('Operating costs'!$B$67=0,C1412=0,AND(C1412&gt;0,'Operating costs'!$B$67&gt;(C1412-1)*12,'Operating costs'!$B$67&lt;=C1412*12))),'Operating costs'!$B$66,0),"n.a."))</f>
        <v>0</v>
      </c>
      <c r="N1412" s="16">
        <f>IF(NOT(Paths!$C$134=1),0,IF(Paths!$P$134="Complete",SUM(G1412:I1412)-J1412-K1412-L1412+M1412+IF(C1412=0,Paths!$F$134,0)+IF(IF(Paths!$E$134=0,C1412=0,AND(C1412&gt;0,Paths!$E$134&gt;(C1412-1)*12,Paths!$E$134&lt;=C1412*12)),VLOOKUP(A1412,'Fleet register'!$A$7:$S$106,16,FALSE),0),"n.a."))</f>
        <v>0</v>
      </c>
      <c r="O1412" s="16">
        <f>IF(NOT(Paths!$C$134=1),0,IF(Paths!$P$134="Complete",N1412-IF(C1412=0,Paths!$F$134,0),"n.a."))</f>
        <v>0</v>
      </c>
      <c r="P1412" s="16">
        <f>IF(NOT(Paths!$C$134=1),0,IF(Paths!$P$134="Complete",O1412+L1412,"n.a."))</f>
        <v>0</v>
      </c>
      <c r="Q1412" s="16">
        <f>IF(NOT(Paths!$C$134=1),0,IF(Paths!$P$134="Complete",N1412*(1+'Operating costs'!$B$54)^-C1412,"n.a."))</f>
        <v>0</v>
      </c>
      <c r="R1412" s="16">
        <f>IF(NOT(Paths!$C$134=1),0,IF(Paths!$P$134="Complete",IF(AND(C1412=0,Paths!$E$134=0),I1412-J1412-K1412+VLOOKUP(A1412,'Fleet register'!$A$7:$S$106,15,FALSE)+VLOOKUP(A1412,'Fleet register'!$A$7:$S$106,16,FALSE),0),"n.a."))</f>
        <v>0</v>
      </c>
      <c r="S1412" s="1">
        <f>IF(NOT(Paths!$C$134=1),0,IF(Paths!$P$134="Complete",IF(C1412=0,0,Paths!$S$134*Paths!$R$134),"n.a."))</f>
        <v>0</v>
      </c>
      <c r="T1412" s="1">
        <f>IF(NOT(Paths!$C$134=1),0,IF(Paths!$P$134="Complete",IF(C1412=0,0,VLOOKUP(A1412,'Fleet register'!$A$7:$S$106,9,FALSE)*Paths!$R$134),"n.a."))</f>
        <v>0</v>
      </c>
    </row>
    <row r="1413" spans="1:20" ht="24" customHeight="1">
      <c r="A1413" s="1" t="str">
        <f>Paths!$A$134</f>
        <v>T032</v>
      </c>
      <c r="B1413" s="1">
        <f>Paths!$B$134</f>
        <v>3</v>
      </c>
      <c r="C1413" s="1">
        <v>9</v>
      </c>
      <c r="D1413" s="1">
        <v>134</v>
      </c>
      <c r="E1413" s="1">
        <f>IF(OR(Paths!$C$134=0,C1413=0),0,MAX(0,MIN(C1413*12,Paths!$E$134)-(C1413-1)*12))</f>
        <v>0</v>
      </c>
      <c r="F1413" s="1">
        <f>IF(OR(Paths!$C$134=0,C1413=0),0,12-E1413)</f>
        <v>0</v>
      </c>
      <c r="G1413" s="16">
        <f>IF(NOT(Paths!$C$134=1),0,IF(Paths!$P$134="Complete",E1413/12*(Paths!$J$134*(1+'Operating costs'!$B$51)^MAX(0,C1413-1)+Paths!$K$134*(1+'Operating costs'!$B$53)^MAX(0,C1413-1)),"n.a."))</f>
        <v>0</v>
      </c>
      <c r="H1413" s="16">
        <f>IF(NOT(Paths!$C$134=1),0,IF(Paths!$P$134="Complete",F1413/12*(Paths!$L$134*(1+IF(Paths!$D$134="EV",'Operating costs'!$B$52,'Operating costs'!$B$51))^MAX(0,C1413-1)+Paths!$M$134*(1+'Operating costs'!$B$53)^MAX(0,C1413-1)),"n.a."))</f>
        <v>0</v>
      </c>
      <c r="I1413" s="16">
        <f>IF(NOT(Paths!$C$134=1),0,IF(Paths!$P$134="Complete",IF(IF(Paths!$E$134=0,C1413=0,AND(C1413&gt;0,Paths!$E$134&gt;(C1413-1)*12,Paths!$E$134&lt;=C1413*12)),Paths!$G$134,0),"n.a."))</f>
        <v>0</v>
      </c>
      <c r="J1413" s="16">
        <f>IF(NOT(Paths!$C$134=1),0,IF(Paths!$P$134="Complete",IF(IF(Paths!$E$134=0,C1413=0,AND(C1413&gt;0,Paths!$E$134&gt;(C1413-1)*12,Paths!$E$134&lt;=C1413*12)),Paths!$H$134,0),"n.a."))</f>
        <v>0</v>
      </c>
      <c r="K1413" s="16">
        <f>IF(NOT(Paths!$C$134=1),0,IF(Paths!$P$134="Complete",IF(IF(Paths!$O$134=0,C1413=0,AND(C1413&gt;0,Paths!$O$134&gt;(C1413-1)*12,Paths!$O$134&lt;=C1413*12)),Paths!$N$134,0),"n.a."))</f>
        <v>0</v>
      </c>
      <c r="L1413" s="16">
        <f>IF(NOT(Paths!$C$134=1),0,IF(Paths!$P$134="Complete",IF(C1413=10,Paths!$I$134,0),"n.a."))</f>
        <v>0</v>
      </c>
      <c r="M1413" s="16">
        <f>IF(NOT(Paths!$C$134=1),0,IF(Paths!$P$134="Complete",IF(AND(Paths!$D$134="EV",Paths!$E$134&lt;120,Paths!$E$134+'Operating costs'!$B$65&gt;Paths!$E$134,Paths!$E$134+'Operating costs'!$B$65&lt;=120,IF(Paths!$E$134+'Operating costs'!$B$65=0,C1413=0,AND(C1413&gt;0,Paths!$E$134+'Operating costs'!$B$65&gt;(C1413-1)*12,Paths!$E$134+'Operating costs'!$B$65&lt;=C1413*12))),'Operating costs'!$B$64,0)+IF(AND('Operating costs'!$B$67&gt;0,'Operating costs'!$B$67&lt;=120,OR(Paths!$D$134="ICE",'Operating costs'!$B$67&lt;=Paths!$E$134),IF('Operating costs'!$B$67=0,C1413=0,AND(C1413&gt;0,'Operating costs'!$B$67&gt;(C1413-1)*12,'Operating costs'!$B$67&lt;=C1413*12))),'Operating costs'!$B$66,0),"n.a."))</f>
        <v>0</v>
      </c>
      <c r="N1413" s="16">
        <f>IF(NOT(Paths!$C$134=1),0,IF(Paths!$P$134="Complete",SUM(G1413:I1413)-J1413-K1413-L1413+M1413+IF(C1413=0,Paths!$F$134,0)+IF(IF(Paths!$E$134=0,C1413=0,AND(C1413&gt;0,Paths!$E$134&gt;(C1413-1)*12,Paths!$E$134&lt;=C1413*12)),VLOOKUP(A1413,'Fleet register'!$A$7:$S$106,16,FALSE),0),"n.a."))</f>
        <v>0</v>
      </c>
      <c r="O1413" s="16">
        <f>IF(NOT(Paths!$C$134=1),0,IF(Paths!$P$134="Complete",N1413-IF(C1413=0,Paths!$F$134,0),"n.a."))</f>
        <v>0</v>
      </c>
      <c r="P1413" s="16">
        <f>IF(NOT(Paths!$C$134=1),0,IF(Paths!$P$134="Complete",O1413+L1413,"n.a."))</f>
        <v>0</v>
      </c>
      <c r="Q1413" s="16">
        <f>IF(NOT(Paths!$C$134=1),0,IF(Paths!$P$134="Complete",N1413*(1+'Operating costs'!$B$54)^-C1413,"n.a."))</f>
        <v>0</v>
      </c>
      <c r="R1413" s="16">
        <f>IF(NOT(Paths!$C$134=1),0,IF(Paths!$P$134="Complete",IF(AND(C1413=0,Paths!$E$134=0),I1413-J1413-K1413+VLOOKUP(A1413,'Fleet register'!$A$7:$S$106,15,FALSE)+VLOOKUP(A1413,'Fleet register'!$A$7:$S$106,16,FALSE),0),"n.a."))</f>
        <v>0</v>
      </c>
      <c r="S1413" s="1">
        <f>IF(NOT(Paths!$C$134=1),0,IF(Paths!$P$134="Complete",IF(C1413=0,0,Paths!$S$134*Paths!$R$134),"n.a."))</f>
        <v>0</v>
      </c>
      <c r="T1413" s="1">
        <f>IF(NOT(Paths!$C$134=1),0,IF(Paths!$P$134="Complete",IF(C1413=0,0,VLOOKUP(A1413,'Fleet register'!$A$7:$S$106,9,FALSE)*Paths!$R$134),"n.a."))</f>
        <v>0</v>
      </c>
    </row>
    <row r="1414" spans="1:20" ht="24" customHeight="1">
      <c r="A1414" s="1" t="str">
        <f>Paths!$A$134</f>
        <v>T032</v>
      </c>
      <c r="B1414" s="1">
        <f>Paths!$B$134</f>
        <v>3</v>
      </c>
      <c r="C1414" s="1">
        <v>10</v>
      </c>
      <c r="D1414" s="1">
        <v>134</v>
      </c>
      <c r="E1414" s="1">
        <f>IF(OR(Paths!$C$134=0,C1414=0),0,MAX(0,MIN(C1414*12,Paths!$E$134)-(C1414-1)*12))</f>
        <v>0</v>
      </c>
      <c r="F1414" s="1">
        <f>IF(OR(Paths!$C$134=0,C1414=0),0,12-E1414)</f>
        <v>0</v>
      </c>
      <c r="G1414" s="16">
        <f>IF(NOT(Paths!$C$134=1),0,IF(Paths!$P$134="Complete",E1414/12*(Paths!$J$134*(1+'Operating costs'!$B$51)^MAX(0,C1414-1)+Paths!$K$134*(1+'Operating costs'!$B$53)^MAX(0,C1414-1)),"n.a."))</f>
        <v>0</v>
      </c>
      <c r="H1414" s="16">
        <f>IF(NOT(Paths!$C$134=1),0,IF(Paths!$P$134="Complete",F1414/12*(Paths!$L$134*(1+IF(Paths!$D$134="EV",'Operating costs'!$B$52,'Operating costs'!$B$51))^MAX(0,C1414-1)+Paths!$M$134*(1+'Operating costs'!$B$53)^MAX(0,C1414-1)),"n.a."))</f>
        <v>0</v>
      </c>
      <c r="I1414" s="16">
        <f>IF(NOT(Paths!$C$134=1),0,IF(Paths!$P$134="Complete",IF(IF(Paths!$E$134=0,C1414=0,AND(C1414&gt;0,Paths!$E$134&gt;(C1414-1)*12,Paths!$E$134&lt;=C1414*12)),Paths!$G$134,0),"n.a."))</f>
        <v>0</v>
      </c>
      <c r="J1414" s="16">
        <f>IF(NOT(Paths!$C$134=1),0,IF(Paths!$P$134="Complete",IF(IF(Paths!$E$134=0,C1414=0,AND(C1414&gt;0,Paths!$E$134&gt;(C1414-1)*12,Paths!$E$134&lt;=C1414*12)),Paths!$H$134,0),"n.a."))</f>
        <v>0</v>
      </c>
      <c r="K1414" s="16">
        <f>IF(NOT(Paths!$C$134=1),0,IF(Paths!$P$134="Complete",IF(IF(Paths!$O$134=0,C1414=0,AND(C1414&gt;0,Paths!$O$134&gt;(C1414-1)*12,Paths!$O$134&lt;=C1414*12)),Paths!$N$134,0),"n.a."))</f>
        <v>0</v>
      </c>
      <c r="L1414" s="16">
        <f>IF(NOT(Paths!$C$134=1),0,IF(Paths!$P$134="Complete",IF(C1414=10,Paths!$I$134,0),"n.a."))</f>
        <v>0</v>
      </c>
      <c r="M1414" s="16">
        <f>IF(NOT(Paths!$C$134=1),0,IF(Paths!$P$134="Complete",IF(AND(Paths!$D$134="EV",Paths!$E$134&lt;120,Paths!$E$134+'Operating costs'!$B$65&gt;Paths!$E$134,Paths!$E$134+'Operating costs'!$B$65&lt;=120,IF(Paths!$E$134+'Operating costs'!$B$65=0,C1414=0,AND(C1414&gt;0,Paths!$E$134+'Operating costs'!$B$65&gt;(C1414-1)*12,Paths!$E$134+'Operating costs'!$B$65&lt;=C1414*12))),'Operating costs'!$B$64,0)+IF(AND('Operating costs'!$B$67&gt;0,'Operating costs'!$B$67&lt;=120,OR(Paths!$D$134="ICE",'Operating costs'!$B$67&lt;=Paths!$E$134),IF('Operating costs'!$B$67=0,C1414=0,AND(C1414&gt;0,'Operating costs'!$B$67&gt;(C1414-1)*12,'Operating costs'!$B$67&lt;=C1414*12))),'Operating costs'!$B$66,0),"n.a."))</f>
        <v>0</v>
      </c>
      <c r="N1414" s="16">
        <f>IF(NOT(Paths!$C$134=1),0,IF(Paths!$P$134="Complete",SUM(G1414:I1414)-J1414-K1414-L1414+M1414+IF(C1414=0,Paths!$F$134,0)+IF(IF(Paths!$E$134=0,C1414=0,AND(C1414&gt;0,Paths!$E$134&gt;(C1414-1)*12,Paths!$E$134&lt;=C1414*12)),VLOOKUP(A1414,'Fleet register'!$A$7:$S$106,16,FALSE),0),"n.a."))</f>
        <v>0</v>
      </c>
      <c r="O1414" s="16">
        <f>IF(NOT(Paths!$C$134=1),0,IF(Paths!$P$134="Complete",N1414-IF(C1414=0,Paths!$F$134,0),"n.a."))</f>
        <v>0</v>
      </c>
      <c r="P1414" s="16">
        <f>IF(NOT(Paths!$C$134=1),0,IF(Paths!$P$134="Complete",O1414+L1414,"n.a."))</f>
        <v>0</v>
      </c>
      <c r="Q1414" s="16">
        <f>IF(NOT(Paths!$C$134=1),0,IF(Paths!$P$134="Complete",N1414*(1+'Operating costs'!$B$54)^-C1414,"n.a."))</f>
        <v>0</v>
      </c>
      <c r="R1414" s="16">
        <f>IF(NOT(Paths!$C$134=1),0,IF(Paths!$P$134="Complete",IF(AND(C1414=0,Paths!$E$134=0),I1414-J1414-K1414+VLOOKUP(A1414,'Fleet register'!$A$7:$S$106,15,FALSE)+VLOOKUP(A1414,'Fleet register'!$A$7:$S$106,16,FALSE),0),"n.a."))</f>
        <v>0</v>
      </c>
      <c r="S1414" s="1">
        <f>IF(NOT(Paths!$C$134=1),0,IF(Paths!$P$134="Complete",IF(C1414=0,0,Paths!$S$134*Paths!$R$134),"n.a."))</f>
        <v>0</v>
      </c>
      <c r="T1414" s="1">
        <f>IF(NOT(Paths!$C$134=1),0,IF(Paths!$P$134="Complete",IF(C1414=0,0,VLOOKUP(A1414,'Fleet register'!$A$7:$S$106,9,FALSE)*Paths!$R$134),"n.a."))</f>
        <v>0</v>
      </c>
    </row>
    <row r="1415" spans="1:20" ht="24" customHeight="1">
      <c r="A1415" s="1" t="str">
        <f>Paths!$A$135</f>
        <v>T033</v>
      </c>
      <c r="B1415" s="1">
        <f>Paths!$B$135</f>
        <v>0</v>
      </c>
      <c r="C1415" s="1">
        <v>0</v>
      </c>
      <c r="D1415" s="1">
        <v>135</v>
      </c>
      <c r="E1415" s="1">
        <f>IF(OR(Paths!$C$135=0,C1415=0),0,MAX(0,MIN(C1415*12,Paths!$E$135)-(C1415-1)*12))</f>
        <v>0</v>
      </c>
      <c r="F1415" s="1">
        <f>IF(OR(Paths!$C$135=0,C1415=0),0,12-E1415)</f>
        <v>0</v>
      </c>
      <c r="G1415" s="16">
        <f>IF(NOT(Paths!$C$135=1),0,IF(Paths!$P$135="Complete",E1415/12*(Paths!$J$135*(1+'Operating costs'!$B$51)^MAX(0,C1415-1)+Paths!$K$135*(1+'Operating costs'!$B$53)^MAX(0,C1415-1)),"n.a."))</f>
        <v>0</v>
      </c>
      <c r="H1415" s="16">
        <f>IF(NOT(Paths!$C$135=1),0,IF(Paths!$P$135="Complete",F1415/12*(Paths!$L$135*(1+IF(Paths!$D$135="EV",'Operating costs'!$B$52,'Operating costs'!$B$51))^MAX(0,C1415-1)+Paths!$M$135*(1+'Operating costs'!$B$53)^MAX(0,C1415-1)),"n.a."))</f>
        <v>0</v>
      </c>
      <c r="I1415" s="16">
        <f>IF(NOT(Paths!$C$135=1),0,IF(Paths!$P$135="Complete",IF(IF(Paths!$E$135=0,C1415=0,AND(C1415&gt;0,Paths!$E$135&gt;(C1415-1)*12,Paths!$E$135&lt;=C1415*12)),Paths!$G$135,0),"n.a."))</f>
        <v>0</v>
      </c>
      <c r="J1415" s="16">
        <f>IF(NOT(Paths!$C$135=1),0,IF(Paths!$P$135="Complete",IF(IF(Paths!$E$135=0,C1415=0,AND(C1415&gt;0,Paths!$E$135&gt;(C1415-1)*12,Paths!$E$135&lt;=C1415*12)),Paths!$H$135,0),"n.a."))</f>
        <v>0</v>
      </c>
      <c r="K1415" s="16">
        <f>IF(NOT(Paths!$C$135=1),0,IF(Paths!$P$135="Complete",IF(IF(Paths!$O$135=0,C1415=0,AND(C1415&gt;0,Paths!$O$135&gt;(C1415-1)*12,Paths!$O$135&lt;=C1415*12)),Paths!$N$135,0),"n.a."))</f>
        <v>0</v>
      </c>
      <c r="L1415" s="16">
        <f>IF(NOT(Paths!$C$135=1),0,IF(Paths!$P$135="Complete",IF(C1415=10,Paths!$I$135,0),"n.a."))</f>
        <v>0</v>
      </c>
      <c r="M1415" s="16">
        <f>IF(NOT(Paths!$C$135=1),0,IF(Paths!$P$135="Complete",IF(AND(Paths!$D$135="EV",Paths!$E$135&lt;120,Paths!$E$135+'Operating costs'!$B$65&gt;Paths!$E$135,Paths!$E$135+'Operating costs'!$B$65&lt;=120,IF(Paths!$E$135+'Operating costs'!$B$65=0,C1415=0,AND(C1415&gt;0,Paths!$E$135+'Operating costs'!$B$65&gt;(C1415-1)*12,Paths!$E$135+'Operating costs'!$B$65&lt;=C1415*12))),'Operating costs'!$B$64,0)+IF(AND('Operating costs'!$B$67&gt;0,'Operating costs'!$B$67&lt;=120,OR(Paths!$D$135="ICE",'Operating costs'!$B$67&lt;=Paths!$E$135),IF('Operating costs'!$B$67=0,C1415=0,AND(C1415&gt;0,'Operating costs'!$B$67&gt;(C1415-1)*12,'Operating costs'!$B$67&lt;=C1415*12))),'Operating costs'!$B$66,0),"n.a."))</f>
        <v>0</v>
      </c>
      <c r="N1415" s="16">
        <f>IF(NOT(Paths!$C$135=1),0,IF(Paths!$P$135="Complete",SUM(G1415:I1415)-J1415-K1415-L1415+M1415+IF(C1415=0,Paths!$F$135,0)+IF(IF(Paths!$E$135=0,C1415=0,AND(C1415&gt;0,Paths!$E$135&gt;(C1415-1)*12,Paths!$E$135&lt;=C1415*12)),VLOOKUP(A1415,'Fleet register'!$A$7:$S$106,16,FALSE),0),"n.a."))</f>
        <v>0</v>
      </c>
      <c r="O1415" s="16">
        <f>IF(NOT(Paths!$C$135=1),0,IF(Paths!$P$135="Complete",N1415-IF(C1415=0,Paths!$F$135,0),"n.a."))</f>
        <v>0</v>
      </c>
      <c r="P1415" s="16">
        <f>IF(NOT(Paths!$C$135=1),0,IF(Paths!$P$135="Complete",O1415+L1415,"n.a."))</f>
        <v>0</v>
      </c>
      <c r="Q1415" s="16">
        <f>IF(NOT(Paths!$C$135=1),0,IF(Paths!$P$135="Complete",N1415*(1+'Operating costs'!$B$54)^-C1415,"n.a."))</f>
        <v>0</v>
      </c>
      <c r="R1415" s="16">
        <f>IF(NOT(Paths!$C$135=1),0,IF(Paths!$P$135="Complete",IF(AND(C1415=0,Paths!$E$135=0),I1415-J1415-K1415+VLOOKUP(A1415,'Fleet register'!$A$7:$S$106,15,FALSE)+VLOOKUP(A1415,'Fleet register'!$A$7:$S$106,16,FALSE),0),"n.a."))</f>
        <v>0</v>
      </c>
      <c r="S1415" s="1">
        <f>IF(NOT(Paths!$C$135=1),0,IF(Paths!$P$135="Complete",IF(C1415=0,0,Paths!$S$135*Paths!$R$135),"n.a."))</f>
        <v>0</v>
      </c>
      <c r="T1415" s="1">
        <f>IF(NOT(Paths!$C$135=1),0,IF(Paths!$P$135="Complete",IF(C1415=0,0,VLOOKUP(A1415,'Fleet register'!$A$7:$S$106,9,FALSE)*Paths!$R$135),"n.a."))</f>
        <v>0</v>
      </c>
    </row>
    <row r="1416" spans="1:20" ht="24" customHeight="1">
      <c r="A1416" s="1" t="str">
        <f>Paths!$A$135</f>
        <v>T033</v>
      </c>
      <c r="B1416" s="1">
        <f>Paths!$B$135</f>
        <v>0</v>
      </c>
      <c r="C1416" s="1">
        <v>1</v>
      </c>
      <c r="D1416" s="1">
        <v>135</v>
      </c>
      <c r="E1416" s="1">
        <f>IF(OR(Paths!$C$135=0,C1416=0),0,MAX(0,MIN(C1416*12,Paths!$E$135)-(C1416-1)*12))</f>
        <v>0</v>
      </c>
      <c r="F1416" s="1">
        <f>IF(OR(Paths!$C$135=0,C1416=0),0,12-E1416)</f>
        <v>0</v>
      </c>
      <c r="G1416" s="16">
        <f>IF(NOT(Paths!$C$135=1),0,IF(Paths!$P$135="Complete",E1416/12*(Paths!$J$135*(1+'Operating costs'!$B$51)^MAX(0,C1416-1)+Paths!$K$135*(1+'Operating costs'!$B$53)^MAX(0,C1416-1)),"n.a."))</f>
        <v>0</v>
      </c>
      <c r="H1416" s="16">
        <f>IF(NOT(Paths!$C$135=1),0,IF(Paths!$P$135="Complete",F1416/12*(Paths!$L$135*(1+IF(Paths!$D$135="EV",'Operating costs'!$B$52,'Operating costs'!$B$51))^MAX(0,C1416-1)+Paths!$M$135*(1+'Operating costs'!$B$53)^MAX(0,C1416-1)),"n.a."))</f>
        <v>0</v>
      </c>
      <c r="I1416" s="16">
        <f>IF(NOT(Paths!$C$135=1),0,IF(Paths!$P$135="Complete",IF(IF(Paths!$E$135=0,C1416=0,AND(C1416&gt;0,Paths!$E$135&gt;(C1416-1)*12,Paths!$E$135&lt;=C1416*12)),Paths!$G$135,0),"n.a."))</f>
        <v>0</v>
      </c>
      <c r="J1416" s="16">
        <f>IF(NOT(Paths!$C$135=1),0,IF(Paths!$P$135="Complete",IF(IF(Paths!$E$135=0,C1416=0,AND(C1416&gt;0,Paths!$E$135&gt;(C1416-1)*12,Paths!$E$135&lt;=C1416*12)),Paths!$H$135,0),"n.a."))</f>
        <v>0</v>
      </c>
      <c r="K1416" s="16">
        <f>IF(NOT(Paths!$C$135=1),0,IF(Paths!$P$135="Complete",IF(IF(Paths!$O$135=0,C1416=0,AND(C1416&gt;0,Paths!$O$135&gt;(C1416-1)*12,Paths!$O$135&lt;=C1416*12)),Paths!$N$135,0),"n.a."))</f>
        <v>0</v>
      </c>
      <c r="L1416" s="16">
        <f>IF(NOT(Paths!$C$135=1),0,IF(Paths!$P$135="Complete",IF(C1416=10,Paths!$I$135,0),"n.a."))</f>
        <v>0</v>
      </c>
      <c r="M1416" s="16">
        <f>IF(NOT(Paths!$C$135=1),0,IF(Paths!$P$135="Complete",IF(AND(Paths!$D$135="EV",Paths!$E$135&lt;120,Paths!$E$135+'Operating costs'!$B$65&gt;Paths!$E$135,Paths!$E$135+'Operating costs'!$B$65&lt;=120,IF(Paths!$E$135+'Operating costs'!$B$65=0,C1416=0,AND(C1416&gt;0,Paths!$E$135+'Operating costs'!$B$65&gt;(C1416-1)*12,Paths!$E$135+'Operating costs'!$B$65&lt;=C1416*12))),'Operating costs'!$B$64,0)+IF(AND('Operating costs'!$B$67&gt;0,'Operating costs'!$B$67&lt;=120,OR(Paths!$D$135="ICE",'Operating costs'!$B$67&lt;=Paths!$E$135),IF('Operating costs'!$B$67=0,C1416=0,AND(C1416&gt;0,'Operating costs'!$B$67&gt;(C1416-1)*12,'Operating costs'!$B$67&lt;=C1416*12))),'Operating costs'!$B$66,0),"n.a."))</f>
        <v>0</v>
      </c>
      <c r="N1416" s="16">
        <f>IF(NOT(Paths!$C$135=1),0,IF(Paths!$P$135="Complete",SUM(G1416:I1416)-J1416-K1416-L1416+M1416+IF(C1416=0,Paths!$F$135,0)+IF(IF(Paths!$E$135=0,C1416=0,AND(C1416&gt;0,Paths!$E$135&gt;(C1416-1)*12,Paths!$E$135&lt;=C1416*12)),VLOOKUP(A1416,'Fleet register'!$A$7:$S$106,16,FALSE),0),"n.a."))</f>
        <v>0</v>
      </c>
      <c r="O1416" s="16">
        <f>IF(NOT(Paths!$C$135=1),0,IF(Paths!$P$135="Complete",N1416-IF(C1416=0,Paths!$F$135,0),"n.a."))</f>
        <v>0</v>
      </c>
      <c r="P1416" s="16">
        <f>IF(NOT(Paths!$C$135=1),0,IF(Paths!$P$135="Complete",O1416+L1416,"n.a."))</f>
        <v>0</v>
      </c>
      <c r="Q1416" s="16">
        <f>IF(NOT(Paths!$C$135=1),0,IF(Paths!$P$135="Complete",N1416*(1+'Operating costs'!$B$54)^-C1416,"n.a."))</f>
        <v>0</v>
      </c>
      <c r="R1416" s="16">
        <f>IF(NOT(Paths!$C$135=1),0,IF(Paths!$P$135="Complete",IF(AND(C1416=0,Paths!$E$135=0),I1416-J1416-K1416+VLOOKUP(A1416,'Fleet register'!$A$7:$S$106,15,FALSE)+VLOOKUP(A1416,'Fleet register'!$A$7:$S$106,16,FALSE),0),"n.a."))</f>
        <v>0</v>
      </c>
      <c r="S1416" s="1">
        <f>IF(NOT(Paths!$C$135=1),0,IF(Paths!$P$135="Complete",IF(C1416=0,0,Paths!$S$135*Paths!$R$135),"n.a."))</f>
        <v>0</v>
      </c>
      <c r="T1416" s="1">
        <f>IF(NOT(Paths!$C$135=1),0,IF(Paths!$P$135="Complete",IF(C1416=0,0,VLOOKUP(A1416,'Fleet register'!$A$7:$S$106,9,FALSE)*Paths!$R$135),"n.a."))</f>
        <v>0</v>
      </c>
    </row>
    <row r="1417" spans="1:20" ht="24" customHeight="1">
      <c r="A1417" s="1" t="str">
        <f>Paths!$A$135</f>
        <v>T033</v>
      </c>
      <c r="B1417" s="1">
        <f>Paths!$B$135</f>
        <v>0</v>
      </c>
      <c r="C1417" s="1">
        <v>2</v>
      </c>
      <c r="D1417" s="1">
        <v>135</v>
      </c>
      <c r="E1417" s="1">
        <f>IF(OR(Paths!$C$135=0,C1417=0),0,MAX(0,MIN(C1417*12,Paths!$E$135)-(C1417-1)*12))</f>
        <v>0</v>
      </c>
      <c r="F1417" s="1">
        <f>IF(OR(Paths!$C$135=0,C1417=0),0,12-E1417)</f>
        <v>0</v>
      </c>
      <c r="G1417" s="16">
        <f>IF(NOT(Paths!$C$135=1),0,IF(Paths!$P$135="Complete",E1417/12*(Paths!$J$135*(1+'Operating costs'!$B$51)^MAX(0,C1417-1)+Paths!$K$135*(1+'Operating costs'!$B$53)^MAX(0,C1417-1)),"n.a."))</f>
        <v>0</v>
      </c>
      <c r="H1417" s="16">
        <f>IF(NOT(Paths!$C$135=1),0,IF(Paths!$P$135="Complete",F1417/12*(Paths!$L$135*(1+IF(Paths!$D$135="EV",'Operating costs'!$B$52,'Operating costs'!$B$51))^MAX(0,C1417-1)+Paths!$M$135*(1+'Operating costs'!$B$53)^MAX(0,C1417-1)),"n.a."))</f>
        <v>0</v>
      </c>
      <c r="I1417" s="16">
        <f>IF(NOT(Paths!$C$135=1),0,IF(Paths!$P$135="Complete",IF(IF(Paths!$E$135=0,C1417=0,AND(C1417&gt;0,Paths!$E$135&gt;(C1417-1)*12,Paths!$E$135&lt;=C1417*12)),Paths!$G$135,0),"n.a."))</f>
        <v>0</v>
      </c>
      <c r="J1417" s="16">
        <f>IF(NOT(Paths!$C$135=1),0,IF(Paths!$P$135="Complete",IF(IF(Paths!$E$135=0,C1417=0,AND(C1417&gt;0,Paths!$E$135&gt;(C1417-1)*12,Paths!$E$135&lt;=C1417*12)),Paths!$H$135,0),"n.a."))</f>
        <v>0</v>
      </c>
      <c r="K1417" s="16">
        <f>IF(NOT(Paths!$C$135=1),0,IF(Paths!$P$135="Complete",IF(IF(Paths!$O$135=0,C1417=0,AND(C1417&gt;0,Paths!$O$135&gt;(C1417-1)*12,Paths!$O$135&lt;=C1417*12)),Paths!$N$135,0),"n.a."))</f>
        <v>0</v>
      </c>
      <c r="L1417" s="16">
        <f>IF(NOT(Paths!$C$135=1),0,IF(Paths!$P$135="Complete",IF(C1417=10,Paths!$I$135,0),"n.a."))</f>
        <v>0</v>
      </c>
      <c r="M1417" s="16">
        <f>IF(NOT(Paths!$C$135=1),0,IF(Paths!$P$135="Complete",IF(AND(Paths!$D$135="EV",Paths!$E$135&lt;120,Paths!$E$135+'Operating costs'!$B$65&gt;Paths!$E$135,Paths!$E$135+'Operating costs'!$B$65&lt;=120,IF(Paths!$E$135+'Operating costs'!$B$65=0,C1417=0,AND(C1417&gt;0,Paths!$E$135+'Operating costs'!$B$65&gt;(C1417-1)*12,Paths!$E$135+'Operating costs'!$B$65&lt;=C1417*12))),'Operating costs'!$B$64,0)+IF(AND('Operating costs'!$B$67&gt;0,'Operating costs'!$B$67&lt;=120,OR(Paths!$D$135="ICE",'Operating costs'!$B$67&lt;=Paths!$E$135),IF('Operating costs'!$B$67=0,C1417=0,AND(C1417&gt;0,'Operating costs'!$B$67&gt;(C1417-1)*12,'Operating costs'!$B$67&lt;=C1417*12))),'Operating costs'!$B$66,0),"n.a."))</f>
        <v>0</v>
      </c>
      <c r="N1417" s="16">
        <f>IF(NOT(Paths!$C$135=1),0,IF(Paths!$P$135="Complete",SUM(G1417:I1417)-J1417-K1417-L1417+M1417+IF(C1417=0,Paths!$F$135,0)+IF(IF(Paths!$E$135=0,C1417=0,AND(C1417&gt;0,Paths!$E$135&gt;(C1417-1)*12,Paths!$E$135&lt;=C1417*12)),VLOOKUP(A1417,'Fleet register'!$A$7:$S$106,16,FALSE),0),"n.a."))</f>
        <v>0</v>
      </c>
      <c r="O1417" s="16">
        <f>IF(NOT(Paths!$C$135=1),0,IF(Paths!$P$135="Complete",N1417-IF(C1417=0,Paths!$F$135,0),"n.a."))</f>
        <v>0</v>
      </c>
      <c r="P1417" s="16">
        <f>IF(NOT(Paths!$C$135=1),0,IF(Paths!$P$135="Complete",O1417+L1417,"n.a."))</f>
        <v>0</v>
      </c>
      <c r="Q1417" s="16">
        <f>IF(NOT(Paths!$C$135=1),0,IF(Paths!$P$135="Complete",N1417*(1+'Operating costs'!$B$54)^-C1417,"n.a."))</f>
        <v>0</v>
      </c>
      <c r="R1417" s="16">
        <f>IF(NOT(Paths!$C$135=1),0,IF(Paths!$P$135="Complete",IF(AND(C1417=0,Paths!$E$135=0),I1417-J1417-K1417+VLOOKUP(A1417,'Fleet register'!$A$7:$S$106,15,FALSE)+VLOOKUP(A1417,'Fleet register'!$A$7:$S$106,16,FALSE),0),"n.a."))</f>
        <v>0</v>
      </c>
      <c r="S1417" s="1">
        <f>IF(NOT(Paths!$C$135=1),0,IF(Paths!$P$135="Complete",IF(C1417=0,0,Paths!$S$135*Paths!$R$135),"n.a."))</f>
        <v>0</v>
      </c>
      <c r="T1417" s="1">
        <f>IF(NOT(Paths!$C$135=1),0,IF(Paths!$P$135="Complete",IF(C1417=0,0,VLOOKUP(A1417,'Fleet register'!$A$7:$S$106,9,FALSE)*Paths!$R$135),"n.a."))</f>
        <v>0</v>
      </c>
    </row>
    <row r="1418" spans="1:20" ht="24" customHeight="1">
      <c r="A1418" s="1" t="str">
        <f>Paths!$A$135</f>
        <v>T033</v>
      </c>
      <c r="B1418" s="1">
        <f>Paths!$B$135</f>
        <v>0</v>
      </c>
      <c r="C1418" s="1">
        <v>3</v>
      </c>
      <c r="D1418" s="1">
        <v>135</v>
      </c>
      <c r="E1418" s="1">
        <f>IF(OR(Paths!$C$135=0,C1418=0),0,MAX(0,MIN(C1418*12,Paths!$E$135)-(C1418-1)*12))</f>
        <v>0</v>
      </c>
      <c r="F1418" s="1">
        <f>IF(OR(Paths!$C$135=0,C1418=0),0,12-E1418)</f>
        <v>0</v>
      </c>
      <c r="G1418" s="16">
        <f>IF(NOT(Paths!$C$135=1),0,IF(Paths!$P$135="Complete",E1418/12*(Paths!$J$135*(1+'Operating costs'!$B$51)^MAX(0,C1418-1)+Paths!$K$135*(1+'Operating costs'!$B$53)^MAX(0,C1418-1)),"n.a."))</f>
        <v>0</v>
      </c>
      <c r="H1418" s="16">
        <f>IF(NOT(Paths!$C$135=1),0,IF(Paths!$P$135="Complete",F1418/12*(Paths!$L$135*(1+IF(Paths!$D$135="EV",'Operating costs'!$B$52,'Operating costs'!$B$51))^MAX(0,C1418-1)+Paths!$M$135*(1+'Operating costs'!$B$53)^MAX(0,C1418-1)),"n.a."))</f>
        <v>0</v>
      </c>
      <c r="I1418" s="16">
        <f>IF(NOT(Paths!$C$135=1),0,IF(Paths!$P$135="Complete",IF(IF(Paths!$E$135=0,C1418=0,AND(C1418&gt;0,Paths!$E$135&gt;(C1418-1)*12,Paths!$E$135&lt;=C1418*12)),Paths!$G$135,0),"n.a."))</f>
        <v>0</v>
      </c>
      <c r="J1418" s="16">
        <f>IF(NOT(Paths!$C$135=1),0,IF(Paths!$P$135="Complete",IF(IF(Paths!$E$135=0,C1418=0,AND(C1418&gt;0,Paths!$E$135&gt;(C1418-1)*12,Paths!$E$135&lt;=C1418*12)),Paths!$H$135,0),"n.a."))</f>
        <v>0</v>
      </c>
      <c r="K1418" s="16">
        <f>IF(NOT(Paths!$C$135=1),0,IF(Paths!$P$135="Complete",IF(IF(Paths!$O$135=0,C1418=0,AND(C1418&gt;0,Paths!$O$135&gt;(C1418-1)*12,Paths!$O$135&lt;=C1418*12)),Paths!$N$135,0),"n.a."))</f>
        <v>0</v>
      </c>
      <c r="L1418" s="16">
        <f>IF(NOT(Paths!$C$135=1),0,IF(Paths!$P$135="Complete",IF(C1418=10,Paths!$I$135,0),"n.a."))</f>
        <v>0</v>
      </c>
      <c r="M1418" s="16">
        <f>IF(NOT(Paths!$C$135=1),0,IF(Paths!$P$135="Complete",IF(AND(Paths!$D$135="EV",Paths!$E$135&lt;120,Paths!$E$135+'Operating costs'!$B$65&gt;Paths!$E$135,Paths!$E$135+'Operating costs'!$B$65&lt;=120,IF(Paths!$E$135+'Operating costs'!$B$65=0,C1418=0,AND(C1418&gt;0,Paths!$E$135+'Operating costs'!$B$65&gt;(C1418-1)*12,Paths!$E$135+'Operating costs'!$B$65&lt;=C1418*12))),'Operating costs'!$B$64,0)+IF(AND('Operating costs'!$B$67&gt;0,'Operating costs'!$B$67&lt;=120,OR(Paths!$D$135="ICE",'Operating costs'!$B$67&lt;=Paths!$E$135),IF('Operating costs'!$B$67=0,C1418=0,AND(C1418&gt;0,'Operating costs'!$B$67&gt;(C1418-1)*12,'Operating costs'!$B$67&lt;=C1418*12))),'Operating costs'!$B$66,0),"n.a."))</f>
        <v>0</v>
      </c>
      <c r="N1418" s="16">
        <f>IF(NOT(Paths!$C$135=1),0,IF(Paths!$P$135="Complete",SUM(G1418:I1418)-J1418-K1418-L1418+M1418+IF(C1418=0,Paths!$F$135,0)+IF(IF(Paths!$E$135=0,C1418=0,AND(C1418&gt;0,Paths!$E$135&gt;(C1418-1)*12,Paths!$E$135&lt;=C1418*12)),VLOOKUP(A1418,'Fleet register'!$A$7:$S$106,16,FALSE),0),"n.a."))</f>
        <v>0</v>
      </c>
      <c r="O1418" s="16">
        <f>IF(NOT(Paths!$C$135=1),0,IF(Paths!$P$135="Complete",N1418-IF(C1418=0,Paths!$F$135,0),"n.a."))</f>
        <v>0</v>
      </c>
      <c r="P1418" s="16">
        <f>IF(NOT(Paths!$C$135=1),0,IF(Paths!$P$135="Complete",O1418+L1418,"n.a."))</f>
        <v>0</v>
      </c>
      <c r="Q1418" s="16">
        <f>IF(NOT(Paths!$C$135=1),0,IF(Paths!$P$135="Complete",N1418*(1+'Operating costs'!$B$54)^-C1418,"n.a."))</f>
        <v>0</v>
      </c>
      <c r="R1418" s="16">
        <f>IF(NOT(Paths!$C$135=1),0,IF(Paths!$P$135="Complete",IF(AND(C1418=0,Paths!$E$135=0),I1418-J1418-K1418+VLOOKUP(A1418,'Fleet register'!$A$7:$S$106,15,FALSE)+VLOOKUP(A1418,'Fleet register'!$A$7:$S$106,16,FALSE),0),"n.a."))</f>
        <v>0</v>
      </c>
      <c r="S1418" s="1">
        <f>IF(NOT(Paths!$C$135=1),0,IF(Paths!$P$135="Complete",IF(C1418=0,0,Paths!$S$135*Paths!$R$135),"n.a."))</f>
        <v>0</v>
      </c>
      <c r="T1418" s="1">
        <f>IF(NOT(Paths!$C$135=1),0,IF(Paths!$P$135="Complete",IF(C1418=0,0,VLOOKUP(A1418,'Fleet register'!$A$7:$S$106,9,FALSE)*Paths!$R$135),"n.a."))</f>
        <v>0</v>
      </c>
    </row>
    <row r="1419" spans="1:20" ht="24" customHeight="1">
      <c r="A1419" s="1" t="str">
        <f>Paths!$A$135</f>
        <v>T033</v>
      </c>
      <c r="B1419" s="1">
        <f>Paths!$B$135</f>
        <v>0</v>
      </c>
      <c r="C1419" s="1">
        <v>4</v>
      </c>
      <c r="D1419" s="1">
        <v>135</v>
      </c>
      <c r="E1419" s="1">
        <f>IF(OR(Paths!$C$135=0,C1419=0),0,MAX(0,MIN(C1419*12,Paths!$E$135)-(C1419-1)*12))</f>
        <v>0</v>
      </c>
      <c r="F1419" s="1">
        <f>IF(OR(Paths!$C$135=0,C1419=0),0,12-E1419)</f>
        <v>0</v>
      </c>
      <c r="G1419" s="16">
        <f>IF(NOT(Paths!$C$135=1),0,IF(Paths!$P$135="Complete",E1419/12*(Paths!$J$135*(1+'Operating costs'!$B$51)^MAX(0,C1419-1)+Paths!$K$135*(1+'Operating costs'!$B$53)^MAX(0,C1419-1)),"n.a."))</f>
        <v>0</v>
      </c>
      <c r="H1419" s="16">
        <f>IF(NOT(Paths!$C$135=1),0,IF(Paths!$P$135="Complete",F1419/12*(Paths!$L$135*(1+IF(Paths!$D$135="EV",'Operating costs'!$B$52,'Operating costs'!$B$51))^MAX(0,C1419-1)+Paths!$M$135*(1+'Operating costs'!$B$53)^MAX(0,C1419-1)),"n.a."))</f>
        <v>0</v>
      </c>
      <c r="I1419" s="16">
        <f>IF(NOT(Paths!$C$135=1),0,IF(Paths!$P$135="Complete",IF(IF(Paths!$E$135=0,C1419=0,AND(C1419&gt;0,Paths!$E$135&gt;(C1419-1)*12,Paths!$E$135&lt;=C1419*12)),Paths!$G$135,0),"n.a."))</f>
        <v>0</v>
      </c>
      <c r="J1419" s="16">
        <f>IF(NOT(Paths!$C$135=1),0,IF(Paths!$P$135="Complete",IF(IF(Paths!$E$135=0,C1419=0,AND(C1419&gt;0,Paths!$E$135&gt;(C1419-1)*12,Paths!$E$135&lt;=C1419*12)),Paths!$H$135,0),"n.a."))</f>
        <v>0</v>
      </c>
      <c r="K1419" s="16">
        <f>IF(NOT(Paths!$C$135=1),0,IF(Paths!$P$135="Complete",IF(IF(Paths!$O$135=0,C1419=0,AND(C1419&gt;0,Paths!$O$135&gt;(C1419-1)*12,Paths!$O$135&lt;=C1419*12)),Paths!$N$135,0),"n.a."))</f>
        <v>0</v>
      </c>
      <c r="L1419" s="16">
        <f>IF(NOT(Paths!$C$135=1),0,IF(Paths!$P$135="Complete",IF(C1419=10,Paths!$I$135,0),"n.a."))</f>
        <v>0</v>
      </c>
      <c r="M1419" s="16">
        <f>IF(NOT(Paths!$C$135=1),0,IF(Paths!$P$135="Complete",IF(AND(Paths!$D$135="EV",Paths!$E$135&lt;120,Paths!$E$135+'Operating costs'!$B$65&gt;Paths!$E$135,Paths!$E$135+'Operating costs'!$B$65&lt;=120,IF(Paths!$E$135+'Operating costs'!$B$65=0,C1419=0,AND(C1419&gt;0,Paths!$E$135+'Operating costs'!$B$65&gt;(C1419-1)*12,Paths!$E$135+'Operating costs'!$B$65&lt;=C1419*12))),'Operating costs'!$B$64,0)+IF(AND('Operating costs'!$B$67&gt;0,'Operating costs'!$B$67&lt;=120,OR(Paths!$D$135="ICE",'Operating costs'!$B$67&lt;=Paths!$E$135),IF('Operating costs'!$B$67=0,C1419=0,AND(C1419&gt;0,'Operating costs'!$B$67&gt;(C1419-1)*12,'Operating costs'!$B$67&lt;=C1419*12))),'Operating costs'!$B$66,0),"n.a."))</f>
        <v>0</v>
      </c>
      <c r="N1419" s="16">
        <f>IF(NOT(Paths!$C$135=1),0,IF(Paths!$P$135="Complete",SUM(G1419:I1419)-J1419-K1419-L1419+M1419+IF(C1419=0,Paths!$F$135,0)+IF(IF(Paths!$E$135=0,C1419=0,AND(C1419&gt;0,Paths!$E$135&gt;(C1419-1)*12,Paths!$E$135&lt;=C1419*12)),VLOOKUP(A1419,'Fleet register'!$A$7:$S$106,16,FALSE),0),"n.a."))</f>
        <v>0</v>
      </c>
      <c r="O1419" s="16">
        <f>IF(NOT(Paths!$C$135=1),0,IF(Paths!$P$135="Complete",N1419-IF(C1419=0,Paths!$F$135,0),"n.a."))</f>
        <v>0</v>
      </c>
      <c r="P1419" s="16">
        <f>IF(NOT(Paths!$C$135=1),0,IF(Paths!$P$135="Complete",O1419+L1419,"n.a."))</f>
        <v>0</v>
      </c>
      <c r="Q1419" s="16">
        <f>IF(NOT(Paths!$C$135=1),0,IF(Paths!$P$135="Complete",N1419*(1+'Operating costs'!$B$54)^-C1419,"n.a."))</f>
        <v>0</v>
      </c>
      <c r="R1419" s="16">
        <f>IF(NOT(Paths!$C$135=1),0,IF(Paths!$P$135="Complete",IF(AND(C1419=0,Paths!$E$135=0),I1419-J1419-K1419+VLOOKUP(A1419,'Fleet register'!$A$7:$S$106,15,FALSE)+VLOOKUP(A1419,'Fleet register'!$A$7:$S$106,16,FALSE),0),"n.a."))</f>
        <v>0</v>
      </c>
      <c r="S1419" s="1">
        <f>IF(NOT(Paths!$C$135=1),0,IF(Paths!$P$135="Complete",IF(C1419=0,0,Paths!$S$135*Paths!$R$135),"n.a."))</f>
        <v>0</v>
      </c>
      <c r="T1419" s="1">
        <f>IF(NOT(Paths!$C$135=1),0,IF(Paths!$P$135="Complete",IF(C1419=0,0,VLOOKUP(A1419,'Fleet register'!$A$7:$S$106,9,FALSE)*Paths!$R$135),"n.a."))</f>
        <v>0</v>
      </c>
    </row>
    <row r="1420" spans="1:20" ht="24" customHeight="1">
      <c r="A1420" s="1" t="str">
        <f>Paths!$A$135</f>
        <v>T033</v>
      </c>
      <c r="B1420" s="1">
        <f>Paths!$B$135</f>
        <v>0</v>
      </c>
      <c r="C1420" s="1">
        <v>5</v>
      </c>
      <c r="D1420" s="1">
        <v>135</v>
      </c>
      <c r="E1420" s="1">
        <f>IF(OR(Paths!$C$135=0,C1420=0),0,MAX(0,MIN(C1420*12,Paths!$E$135)-(C1420-1)*12))</f>
        <v>0</v>
      </c>
      <c r="F1420" s="1">
        <f>IF(OR(Paths!$C$135=0,C1420=0),0,12-E1420)</f>
        <v>0</v>
      </c>
      <c r="G1420" s="16">
        <f>IF(NOT(Paths!$C$135=1),0,IF(Paths!$P$135="Complete",E1420/12*(Paths!$J$135*(1+'Operating costs'!$B$51)^MAX(0,C1420-1)+Paths!$K$135*(1+'Operating costs'!$B$53)^MAX(0,C1420-1)),"n.a."))</f>
        <v>0</v>
      </c>
      <c r="H1420" s="16">
        <f>IF(NOT(Paths!$C$135=1),0,IF(Paths!$P$135="Complete",F1420/12*(Paths!$L$135*(1+IF(Paths!$D$135="EV",'Operating costs'!$B$52,'Operating costs'!$B$51))^MAX(0,C1420-1)+Paths!$M$135*(1+'Operating costs'!$B$53)^MAX(0,C1420-1)),"n.a."))</f>
        <v>0</v>
      </c>
      <c r="I1420" s="16">
        <f>IF(NOT(Paths!$C$135=1),0,IF(Paths!$P$135="Complete",IF(IF(Paths!$E$135=0,C1420=0,AND(C1420&gt;0,Paths!$E$135&gt;(C1420-1)*12,Paths!$E$135&lt;=C1420*12)),Paths!$G$135,0),"n.a."))</f>
        <v>0</v>
      </c>
      <c r="J1420" s="16">
        <f>IF(NOT(Paths!$C$135=1),0,IF(Paths!$P$135="Complete",IF(IF(Paths!$E$135=0,C1420=0,AND(C1420&gt;0,Paths!$E$135&gt;(C1420-1)*12,Paths!$E$135&lt;=C1420*12)),Paths!$H$135,0),"n.a."))</f>
        <v>0</v>
      </c>
      <c r="K1420" s="16">
        <f>IF(NOT(Paths!$C$135=1),0,IF(Paths!$P$135="Complete",IF(IF(Paths!$O$135=0,C1420=0,AND(C1420&gt;0,Paths!$O$135&gt;(C1420-1)*12,Paths!$O$135&lt;=C1420*12)),Paths!$N$135,0),"n.a."))</f>
        <v>0</v>
      </c>
      <c r="L1420" s="16">
        <f>IF(NOT(Paths!$C$135=1),0,IF(Paths!$P$135="Complete",IF(C1420=10,Paths!$I$135,0),"n.a."))</f>
        <v>0</v>
      </c>
      <c r="M1420" s="16">
        <f>IF(NOT(Paths!$C$135=1),0,IF(Paths!$P$135="Complete",IF(AND(Paths!$D$135="EV",Paths!$E$135&lt;120,Paths!$E$135+'Operating costs'!$B$65&gt;Paths!$E$135,Paths!$E$135+'Operating costs'!$B$65&lt;=120,IF(Paths!$E$135+'Operating costs'!$B$65=0,C1420=0,AND(C1420&gt;0,Paths!$E$135+'Operating costs'!$B$65&gt;(C1420-1)*12,Paths!$E$135+'Operating costs'!$B$65&lt;=C1420*12))),'Operating costs'!$B$64,0)+IF(AND('Operating costs'!$B$67&gt;0,'Operating costs'!$B$67&lt;=120,OR(Paths!$D$135="ICE",'Operating costs'!$B$67&lt;=Paths!$E$135),IF('Operating costs'!$B$67=0,C1420=0,AND(C1420&gt;0,'Operating costs'!$B$67&gt;(C1420-1)*12,'Operating costs'!$B$67&lt;=C1420*12))),'Operating costs'!$B$66,0),"n.a."))</f>
        <v>0</v>
      </c>
      <c r="N1420" s="16">
        <f>IF(NOT(Paths!$C$135=1),0,IF(Paths!$P$135="Complete",SUM(G1420:I1420)-J1420-K1420-L1420+M1420+IF(C1420=0,Paths!$F$135,0)+IF(IF(Paths!$E$135=0,C1420=0,AND(C1420&gt;0,Paths!$E$135&gt;(C1420-1)*12,Paths!$E$135&lt;=C1420*12)),VLOOKUP(A1420,'Fleet register'!$A$7:$S$106,16,FALSE),0),"n.a."))</f>
        <v>0</v>
      </c>
      <c r="O1420" s="16">
        <f>IF(NOT(Paths!$C$135=1),0,IF(Paths!$P$135="Complete",N1420-IF(C1420=0,Paths!$F$135,0),"n.a."))</f>
        <v>0</v>
      </c>
      <c r="P1420" s="16">
        <f>IF(NOT(Paths!$C$135=1),0,IF(Paths!$P$135="Complete",O1420+L1420,"n.a."))</f>
        <v>0</v>
      </c>
      <c r="Q1420" s="16">
        <f>IF(NOT(Paths!$C$135=1),0,IF(Paths!$P$135="Complete",N1420*(1+'Operating costs'!$B$54)^-C1420,"n.a."))</f>
        <v>0</v>
      </c>
      <c r="R1420" s="16">
        <f>IF(NOT(Paths!$C$135=1),0,IF(Paths!$P$135="Complete",IF(AND(C1420=0,Paths!$E$135=0),I1420-J1420-K1420+VLOOKUP(A1420,'Fleet register'!$A$7:$S$106,15,FALSE)+VLOOKUP(A1420,'Fleet register'!$A$7:$S$106,16,FALSE),0),"n.a."))</f>
        <v>0</v>
      </c>
      <c r="S1420" s="1">
        <f>IF(NOT(Paths!$C$135=1),0,IF(Paths!$P$135="Complete",IF(C1420=0,0,Paths!$S$135*Paths!$R$135),"n.a."))</f>
        <v>0</v>
      </c>
      <c r="T1420" s="1">
        <f>IF(NOT(Paths!$C$135=1),0,IF(Paths!$P$135="Complete",IF(C1420=0,0,VLOOKUP(A1420,'Fleet register'!$A$7:$S$106,9,FALSE)*Paths!$R$135),"n.a."))</f>
        <v>0</v>
      </c>
    </row>
    <row r="1421" spans="1:20" ht="24" customHeight="1">
      <c r="A1421" s="1" t="str">
        <f>Paths!$A$135</f>
        <v>T033</v>
      </c>
      <c r="B1421" s="1">
        <f>Paths!$B$135</f>
        <v>0</v>
      </c>
      <c r="C1421" s="1">
        <v>6</v>
      </c>
      <c r="D1421" s="1">
        <v>135</v>
      </c>
      <c r="E1421" s="1">
        <f>IF(OR(Paths!$C$135=0,C1421=0),0,MAX(0,MIN(C1421*12,Paths!$E$135)-(C1421-1)*12))</f>
        <v>0</v>
      </c>
      <c r="F1421" s="1">
        <f>IF(OR(Paths!$C$135=0,C1421=0),0,12-E1421)</f>
        <v>0</v>
      </c>
      <c r="G1421" s="16">
        <f>IF(NOT(Paths!$C$135=1),0,IF(Paths!$P$135="Complete",E1421/12*(Paths!$J$135*(1+'Operating costs'!$B$51)^MAX(0,C1421-1)+Paths!$K$135*(1+'Operating costs'!$B$53)^MAX(0,C1421-1)),"n.a."))</f>
        <v>0</v>
      </c>
      <c r="H1421" s="16">
        <f>IF(NOT(Paths!$C$135=1),0,IF(Paths!$P$135="Complete",F1421/12*(Paths!$L$135*(1+IF(Paths!$D$135="EV",'Operating costs'!$B$52,'Operating costs'!$B$51))^MAX(0,C1421-1)+Paths!$M$135*(1+'Operating costs'!$B$53)^MAX(0,C1421-1)),"n.a."))</f>
        <v>0</v>
      </c>
      <c r="I1421" s="16">
        <f>IF(NOT(Paths!$C$135=1),0,IF(Paths!$P$135="Complete",IF(IF(Paths!$E$135=0,C1421=0,AND(C1421&gt;0,Paths!$E$135&gt;(C1421-1)*12,Paths!$E$135&lt;=C1421*12)),Paths!$G$135,0),"n.a."))</f>
        <v>0</v>
      </c>
      <c r="J1421" s="16">
        <f>IF(NOT(Paths!$C$135=1),0,IF(Paths!$P$135="Complete",IF(IF(Paths!$E$135=0,C1421=0,AND(C1421&gt;0,Paths!$E$135&gt;(C1421-1)*12,Paths!$E$135&lt;=C1421*12)),Paths!$H$135,0),"n.a."))</f>
        <v>0</v>
      </c>
      <c r="K1421" s="16">
        <f>IF(NOT(Paths!$C$135=1),0,IF(Paths!$P$135="Complete",IF(IF(Paths!$O$135=0,C1421=0,AND(C1421&gt;0,Paths!$O$135&gt;(C1421-1)*12,Paths!$O$135&lt;=C1421*12)),Paths!$N$135,0),"n.a."))</f>
        <v>0</v>
      </c>
      <c r="L1421" s="16">
        <f>IF(NOT(Paths!$C$135=1),0,IF(Paths!$P$135="Complete",IF(C1421=10,Paths!$I$135,0),"n.a."))</f>
        <v>0</v>
      </c>
      <c r="M1421" s="16">
        <f>IF(NOT(Paths!$C$135=1),0,IF(Paths!$P$135="Complete",IF(AND(Paths!$D$135="EV",Paths!$E$135&lt;120,Paths!$E$135+'Operating costs'!$B$65&gt;Paths!$E$135,Paths!$E$135+'Operating costs'!$B$65&lt;=120,IF(Paths!$E$135+'Operating costs'!$B$65=0,C1421=0,AND(C1421&gt;0,Paths!$E$135+'Operating costs'!$B$65&gt;(C1421-1)*12,Paths!$E$135+'Operating costs'!$B$65&lt;=C1421*12))),'Operating costs'!$B$64,0)+IF(AND('Operating costs'!$B$67&gt;0,'Operating costs'!$B$67&lt;=120,OR(Paths!$D$135="ICE",'Operating costs'!$B$67&lt;=Paths!$E$135),IF('Operating costs'!$B$67=0,C1421=0,AND(C1421&gt;0,'Operating costs'!$B$67&gt;(C1421-1)*12,'Operating costs'!$B$67&lt;=C1421*12))),'Operating costs'!$B$66,0),"n.a."))</f>
        <v>0</v>
      </c>
      <c r="N1421" s="16">
        <f>IF(NOT(Paths!$C$135=1),0,IF(Paths!$P$135="Complete",SUM(G1421:I1421)-J1421-K1421-L1421+M1421+IF(C1421=0,Paths!$F$135,0)+IF(IF(Paths!$E$135=0,C1421=0,AND(C1421&gt;0,Paths!$E$135&gt;(C1421-1)*12,Paths!$E$135&lt;=C1421*12)),VLOOKUP(A1421,'Fleet register'!$A$7:$S$106,16,FALSE),0),"n.a."))</f>
        <v>0</v>
      </c>
      <c r="O1421" s="16">
        <f>IF(NOT(Paths!$C$135=1),0,IF(Paths!$P$135="Complete",N1421-IF(C1421=0,Paths!$F$135,0),"n.a."))</f>
        <v>0</v>
      </c>
      <c r="P1421" s="16">
        <f>IF(NOT(Paths!$C$135=1),0,IF(Paths!$P$135="Complete",O1421+L1421,"n.a."))</f>
        <v>0</v>
      </c>
      <c r="Q1421" s="16">
        <f>IF(NOT(Paths!$C$135=1),0,IF(Paths!$P$135="Complete",N1421*(1+'Operating costs'!$B$54)^-C1421,"n.a."))</f>
        <v>0</v>
      </c>
      <c r="R1421" s="16">
        <f>IF(NOT(Paths!$C$135=1),0,IF(Paths!$P$135="Complete",IF(AND(C1421=0,Paths!$E$135=0),I1421-J1421-K1421+VLOOKUP(A1421,'Fleet register'!$A$7:$S$106,15,FALSE)+VLOOKUP(A1421,'Fleet register'!$A$7:$S$106,16,FALSE),0),"n.a."))</f>
        <v>0</v>
      </c>
      <c r="S1421" s="1">
        <f>IF(NOT(Paths!$C$135=1),0,IF(Paths!$P$135="Complete",IF(C1421=0,0,Paths!$S$135*Paths!$R$135),"n.a."))</f>
        <v>0</v>
      </c>
      <c r="T1421" s="1">
        <f>IF(NOT(Paths!$C$135=1),0,IF(Paths!$P$135="Complete",IF(C1421=0,0,VLOOKUP(A1421,'Fleet register'!$A$7:$S$106,9,FALSE)*Paths!$R$135),"n.a."))</f>
        <v>0</v>
      </c>
    </row>
    <row r="1422" spans="1:20" ht="24" customHeight="1">
      <c r="A1422" s="1" t="str">
        <f>Paths!$A$135</f>
        <v>T033</v>
      </c>
      <c r="B1422" s="1">
        <f>Paths!$B$135</f>
        <v>0</v>
      </c>
      <c r="C1422" s="1">
        <v>7</v>
      </c>
      <c r="D1422" s="1">
        <v>135</v>
      </c>
      <c r="E1422" s="1">
        <f>IF(OR(Paths!$C$135=0,C1422=0),0,MAX(0,MIN(C1422*12,Paths!$E$135)-(C1422-1)*12))</f>
        <v>0</v>
      </c>
      <c r="F1422" s="1">
        <f>IF(OR(Paths!$C$135=0,C1422=0),0,12-E1422)</f>
        <v>0</v>
      </c>
      <c r="G1422" s="16">
        <f>IF(NOT(Paths!$C$135=1),0,IF(Paths!$P$135="Complete",E1422/12*(Paths!$J$135*(1+'Operating costs'!$B$51)^MAX(0,C1422-1)+Paths!$K$135*(1+'Operating costs'!$B$53)^MAX(0,C1422-1)),"n.a."))</f>
        <v>0</v>
      </c>
      <c r="H1422" s="16">
        <f>IF(NOT(Paths!$C$135=1),0,IF(Paths!$P$135="Complete",F1422/12*(Paths!$L$135*(1+IF(Paths!$D$135="EV",'Operating costs'!$B$52,'Operating costs'!$B$51))^MAX(0,C1422-1)+Paths!$M$135*(1+'Operating costs'!$B$53)^MAX(0,C1422-1)),"n.a."))</f>
        <v>0</v>
      </c>
      <c r="I1422" s="16">
        <f>IF(NOT(Paths!$C$135=1),0,IF(Paths!$P$135="Complete",IF(IF(Paths!$E$135=0,C1422=0,AND(C1422&gt;0,Paths!$E$135&gt;(C1422-1)*12,Paths!$E$135&lt;=C1422*12)),Paths!$G$135,0),"n.a."))</f>
        <v>0</v>
      </c>
      <c r="J1422" s="16">
        <f>IF(NOT(Paths!$C$135=1),0,IF(Paths!$P$135="Complete",IF(IF(Paths!$E$135=0,C1422=0,AND(C1422&gt;0,Paths!$E$135&gt;(C1422-1)*12,Paths!$E$135&lt;=C1422*12)),Paths!$H$135,0),"n.a."))</f>
        <v>0</v>
      </c>
      <c r="K1422" s="16">
        <f>IF(NOT(Paths!$C$135=1),0,IF(Paths!$P$135="Complete",IF(IF(Paths!$O$135=0,C1422=0,AND(C1422&gt;0,Paths!$O$135&gt;(C1422-1)*12,Paths!$O$135&lt;=C1422*12)),Paths!$N$135,0),"n.a."))</f>
        <v>0</v>
      </c>
      <c r="L1422" s="16">
        <f>IF(NOT(Paths!$C$135=1),0,IF(Paths!$P$135="Complete",IF(C1422=10,Paths!$I$135,0),"n.a."))</f>
        <v>0</v>
      </c>
      <c r="M1422" s="16">
        <f>IF(NOT(Paths!$C$135=1),0,IF(Paths!$P$135="Complete",IF(AND(Paths!$D$135="EV",Paths!$E$135&lt;120,Paths!$E$135+'Operating costs'!$B$65&gt;Paths!$E$135,Paths!$E$135+'Operating costs'!$B$65&lt;=120,IF(Paths!$E$135+'Operating costs'!$B$65=0,C1422=0,AND(C1422&gt;0,Paths!$E$135+'Operating costs'!$B$65&gt;(C1422-1)*12,Paths!$E$135+'Operating costs'!$B$65&lt;=C1422*12))),'Operating costs'!$B$64,0)+IF(AND('Operating costs'!$B$67&gt;0,'Operating costs'!$B$67&lt;=120,OR(Paths!$D$135="ICE",'Operating costs'!$B$67&lt;=Paths!$E$135),IF('Operating costs'!$B$67=0,C1422=0,AND(C1422&gt;0,'Operating costs'!$B$67&gt;(C1422-1)*12,'Operating costs'!$B$67&lt;=C1422*12))),'Operating costs'!$B$66,0),"n.a."))</f>
        <v>0</v>
      </c>
      <c r="N1422" s="16">
        <f>IF(NOT(Paths!$C$135=1),0,IF(Paths!$P$135="Complete",SUM(G1422:I1422)-J1422-K1422-L1422+M1422+IF(C1422=0,Paths!$F$135,0)+IF(IF(Paths!$E$135=0,C1422=0,AND(C1422&gt;0,Paths!$E$135&gt;(C1422-1)*12,Paths!$E$135&lt;=C1422*12)),VLOOKUP(A1422,'Fleet register'!$A$7:$S$106,16,FALSE),0),"n.a."))</f>
        <v>0</v>
      </c>
      <c r="O1422" s="16">
        <f>IF(NOT(Paths!$C$135=1),0,IF(Paths!$P$135="Complete",N1422-IF(C1422=0,Paths!$F$135,0),"n.a."))</f>
        <v>0</v>
      </c>
      <c r="P1422" s="16">
        <f>IF(NOT(Paths!$C$135=1),0,IF(Paths!$P$135="Complete",O1422+L1422,"n.a."))</f>
        <v>0</v>
      </c>
      <c r="Q1422" s="16">
        <f>IF(NOT(Paths!$C$135=1),0,IF(Paths!$P$135="Complete",N1422*(1+'Operating costs'!$B$54)^-C1422,"n.a."))</f>
        <v>0</v>
      </c>
      <c r="R1422" s="16">
        <f>IF(NOT(Paths!$C$135=1),0,IF(Paths!$P$135="Complete",IF(AND(C1422=0,Paths!$E$135=0),I1422-J1422-K1422+VLOOKUP(A1422,'Fleet register'!$A$7:$S$106,15,FALSE)+VLOOKUP(A1422,'Fleet register'!$A$7:$S$106,16,FALSE),0),"n.a."))</f>
        <v>0</v>
      </c>
      <c r="S1422" s="1">
        <f>IF(NOT(Paths!$C$135=1),0,IF(Paths!$P$135="Complete",IF(C1422=0,0,Paths!$S$135*Paths!$R$135),"n.a."))</f>
        <v>0</v>
      </c>
      <c r="T1422" s="1">
        <f>IF(NOT(Paths!$C$135=1),0,IF(Paths!$P$135="Complete",IF(C1422=0,0,VLOOKUP(A1422,'Fleet register'!$A$7:$S$106,9,FALSE)*Paths!$R$135),"n.a."))</f>
        <v>0</v>
      </c>
    </row>
    <row r="1423" spans="1:20" ht="24" customHeight="1">
      <c r="A1423" s="1" t="str">
        <f>Paths!$A$135</f>
        <v>T033</v>
      </c>
      <c r="B1423" s="1">
        <f>Paths!$B$135</f>
        <v>0</v>
      </c>
      <c r="C1423" s="1">
        <v>8</v>
      </c>
      <c r="D1423" s="1">
        <v>135</v>
      </c>
      <c r="E1423" s="1">
        <f>IF(OR(Paths!$C$135=0,C1423=0),0,MAX(0,MIN(C1423*12,Paths!$E$135)-(C1423-1)*12))</f>
        <v>0</v>
      </c>
      <c r="F1423" s="1">
        <f>IF(OR(Paths!$C$135=0,C1423=0),0,12-E1423)</f>
        <v>0</v>
      </c>
      <c r="G1423" s="16">
        <f>IF(NOT(Paths!$C$135=1),0,IF(Paths!$P$135="Complete",E1423/12*(Paths!$J$135*(1+'Operating costs'!$B$51)^MAX(0,C1423-1)+Paths!$K$135*(1+'Operating costs'!$B$53)^MAX(0,C1423-1)),"n.a."))</f>
        <v>0</v>
      </c>
      <c r="H1423" s="16">
        <f>IF(NOT(Paths!$C$135=1),0,IF(Paths!$P$135="Complete",F1423/12*(Paths!$L$135*(1+IF(Paths!$D$135="EV",'Operating costs'!$B$52,'Operating costs'!$B$51))^MAX(0,C1423-1)+Paths!$M$135*(1+'Operating costs'!$B$53)^MAX(0,C1423-1)),"n.a."))</f>
        <v>0</v>
      </c>
      <c r="I1423" s="16">
        <f>IF(NOT(Paths!$C$135=1),0,IF(Paths!$P$135="Complete",IF(IF(Paths!$E$135=0,C1423=0,AND(C1423&gt;0,Paths!$E$135&gt;(C1423-1)*12,Paths!$E$135&lt;=C1423*12)),Paths!$G$135,0),"n.a."))</f>
        <v>0</v>
      </c>
      <c r="J1423" s="16">
        <f>IF(NOT(Paths!$C$135=1),0,IF(Paths!$P$135="Complete",IF(IF(Paths!$E$135=0,C1423=0,AND(C1423&gt;0,Paths!$E$135&gt;(C1423-1)*12,Paths!$E$135&lt;=C1423*12)),Paths!$H$135,0),"n.a."))</f>
        <v>0</v>
      </c>
      <c r="K1423" s="16">
        <f>IF(NOT(Paths!$C$135=1),0,IF(Paths!$P$135="Complete",IF(IF(Paths!$O$135=0,C1423=0,AND(C1423&gt;0,Paths!$O$135&gt;(C1423-1)*12,Paths!$O$135&lt;=C1423*12)),Paths!$N$135,0),"n.a."))</f>
        <v>0</v>
      </c>
      <c r="L1423" s="16">
        <f>IF(NOT(Paths!$C$135=1),0,IF(Paths!$P$135="Complete",IF(C1423=10,Paths!$I$135,0),"n.a."))</f>
        <v>0</v>
      </c>
      <c r="M1423" s="16">
        <f>IF(NOT(Paths!$C$135=1),0,IF(Paths!$P$135="Complete",IF(AND(Paths!$D$135="EV",Paths!$E$135&lt;120,Paths!$E$135+'Operating costs'!$B$65&gt;Paths!$E$135,Paths!$E$135+'Operating costs'!$B$65&lt;=120,IF(Paths!$E$135+'Operating costs'!$B$65=0,C1423=0,AND(C1423&gt;0,Paths!$E$135+'Operating costs'!$B$65&gt;(C1423-1)*12,Paths!$E$135+'Operating costs'!$B$65&lt;=C1423*12))),'Operating costs'!$B$64,0)+IF(AND('Operating costs'!$B$67&gt;0,'Operating costs'!$B$67&lt;=120,OR(Paths!$D$135="ICE",'Operating costs'!$B$67&lt;=Paths!$E$135),IF('Operating costs'!$B$67=0,C1423=0,AND(C1423&gt;0,'Operating costs'!$B$67&gt;(C1423-1)*12,'Operating costs'!$B$67&lt;=C1423*12))),'Operating costs'!$B$66,0),"n.a."))</f>
        <v>0</v>
      </c>
      <c r="N1423" s="16">
        <f>IF(NOT(Paths!$C$135=1),0,IF(Paths!$P$135="Complete",SUM(G1423:I1423)-J1423-K1423-L1423+M1423+IF(C1423=0,Paths!$F$135,0)+IF(IF(Paths!$E$135=0,C1423=0,AND(C1423&gt;0,Paths!$E$135&gt;(C1423-1)*12,Paths!$E$135&lt;=C1423*12)),VLOOKUP(A1423,'Fleet register'!$A$7:$S$106,16,FALSE),0),"n.a."))</f>
        <v>0</v>
      </c>
      <c r="O1423" s="16">
        <f>IF(NOT(Paths!$C$135=1),0,IF(Paths!$P$135="Complete",N1423-IF(C1423=0,Paths!$F$135,0),"n.a."))</f>
        <v>0</v>
      </c>
      <c r="P1423" s="16">
        <f>IF(NOT(Paths!$C$135=1),0,IF(Paths!$P$135="Complete",O1423+L1423,"n.a."))</f>
        <v>0</v>
      </c>
      <c r="Q1423" s="16">
        <f>IF(NOT(Paths!$C$135=1),0,IF(Paths!$P$135="Complete",N1423*(1+'Operating costs'!$B$54)^-C1423,"n.a."))</f>
        <v>0</v>
      </c>
      <c r="R1423" s="16">
        <f>IF(NOT(Paths!$C$135=1),0,IF(Paths!$P$135="Complete",IF(AND(C1423=0,Paths!$E$135=0),I1423-J1423-K1423+VLOOKUP(A1423,'Fleet register'!$A$7:$S$106,15,FALSE)+VLOOKUP(A1423,'Fleet register'!$A$7:$S$106,16,FALSE),0),"n.a."))</f>
        <v>0</v>
      </c>
      <c r="S1423" s="1">
        <f>IF(NOT(Paths!$C$135=1),0,IF(Paths!$P$135="Complete",IF(C1423=0,0,Paths!$S$135*Paths!$R$135),"n.a."))</f>
        <v>0</v>
      </c>
      <c r="T1423" s="1">
        <f>IF(NOT(Paths!$C$135=1),0,IF(Paths!$P$135="Complete",IF(C1423=0,0,VLOOKUP(A1423,'Fleet register'!$A$7:$S$106,9,FALSE)*Paths!$R$135),"n.a."))</f>
        <v>0</v>
      </c>
    </row>
    <row r="1424" spans="1:20" ht="24" customHeight="1">
      <c r="A1424" s="1" t="str">
        <f>Paths!$A$135</f>
        <v>T033</v>
      </c>
      <c r="B1424" s="1">
        <f>Paths!$B$135</f>
        <v>0</v>
      </c>
      <c r="C1424" s="1">
        <v>9</v>
      </c>
      <c r="D1424" s="1">
        <v>135</v>
      </c>
      <c r="E1424" s="1">
        <f>IF(OR(Paths!$C$135=0,C1424=0),0,MAX(0,MIN(C1424*12,Paths!$E$135)-(C1424-1)*12))</f>
        <v>0</v>
      </c>
      <c r="F1424" s="1">
        <f>IF(OR(Paths!$C$135=0,C1424=0),0,12-E1424)</f>
        <v>0</v>
      </c>
      <c r="G1424" s="16">
        <f>IF(NOT(Paths!$C$135=1),0,IF(Paths!$P$135="Complete",E1424/12*(Paths!$J$135*(1+'Operating costs'!$B$51)^MAX(0,C1424-1)+Paths!$K$135*(1+'Operating costs'!$B$53)^MAX(0,C1424-1)),"n.a."))</f>
        <v>0</v>
      </c>
      <c r="H1424" s="16">
        <f>IF(NOT(Paths!$C$135=1),0,IF(Paths!$P$135="Complete",F1424/12*(Paths!$L$135*(1+IF(Paths!$D$135="EV",'Operating costs'!$B$52,'Operating costs'!$B$51))^MAX(0,C1424-1)+Paths!$M$135*(1+'Operating costs'!$B$53)^MAX(0,C1424-1)),"n.a."))</f>
        <v>0</v>
      </c>
      <c r="I1424" s="16">
        <f>IF(NOT(Paths!$C$135=1),0,IF(Paths!$P$135="Complete",IF(IF(Paths!$E$135=0,C1424=0,AND(C1424&gt;0,Paths!$E$135&gt;(C1424-1)*12,Paths!$E$135&lt;=C1424*12)),Paths!$G$135,0),"n.a."))</f>
        <v>0</v>
      </c>
      <c r="J1424" s="16">
        <f>IF(NOT(Paths!$C$135=1),0,IF(Paths!$P$135="Complete",IF(IF(Paths!$E$135=0,C1424=0,AND(C1424&gt;0,Paths!$E$135&gt;(C1424-1)*12,Paths!$E$135&lt;=C1424*12)),Paths!$H$135,0),"n.a."))</f>
        <v>0</v>
      </c>
      <c r="K1424" s="16">
        <f>IF(NOT(Paths!$C$135=1),0,IF(Paths!$P$135="Complete",IF(IF(Paths!$O$135=0,C1424=0,AND(C1424&gt;0,Paths!$O$135&gt;(C1424-1)*12,Paths!$O$135&lt;=C1424*12)),Paths!$N$135,0),"n.a."))</f>
        <v>0</v>
      </c>
      <c r="L1424" s="16">
        <f>IF(NOT(Paths!$C$135=1),0,IF(Paths!$P$135="Complete",IF(C1424=10,Paths!$I$135,0),"n.a."))</f>
        <v>0</v>
      </c>
      <c r="M1424" s="16">
        <f>IF(NOT(Paths!$C$135=1),0,IF(Paths!$P$135="Complete",IF(AND(Paths!$D$135="EV",Paths!$E$135&lt;120,Paths!$E$135+'Operating costs'!$B$65&gt;Paths!$E$135,Paths!$E$135+'Operating costs'!$B$65&lt;=120,IF(Paths!$E$135+'Operating costs'!$B$65=0,C1424=0,AND(C1424&gt;0,Paths!$E$135+'Operating costs'!$B$65&gt;(C1424-1)*12,Paths!$E$135+'Operating costs'!$B$65&lt;=C1424*12))),'Operating costs'!$B$64,0)+IF(AND('Operating costs'!$B$67&gt;0,'Operating costs'!$B$67&lt;=120,OR(Paths!$D$135="ICE",'Operating costs'!$B$67&lt;=Paths!$E$135),IF('Operating costs'!$B$67=0,C1424=0,AND(C1424&gt;0,'Operating costs'!$B$67&gt;(C1424-1)*12,'Operating costs'!$B$67&lt;=C1424*12))),'Operating costs'!$B$66,0),"n.a."))</f>
        <v>0</v>
      </c>
      <c r="N1424" s="16">
        <f>IF(NOT(Paths!$C$135=1),0,IF(Paths!$P$135="Complete",SUM(G1424:I1424)-J1424-K1424-L1424+M1424+IF(C1424=0,Paths!$F$135,0)+IF(IF(Paths!$E$135=0,C1424=0,AND(C1424&gt;0,Paths!$E$135&gt;(C1424-1)*12,Paths!$E$135&lt;=C1424*12)),VLOOKUP(A1424,'Fleet register'!$A$7:$S$106,16,FALSE),0),"n.a."))</f>
        <v>0</v>
      </c>
      <c r="O1424" s="16">
        <f>IF(NOT(Paths!$C$135=1),0,IF(Paths!$P$135="Complete",N1424-IF(C1424=0,Paths!$F$135,0),"n.a."))</f>
        <v>0</v>
      </c>
      <c r="P1424" s="16">
        <f>IF(NOT(Paths!$C$135=1),0,IF(Paths!$P$135="Complete",O1424+L1424,"n.a."))</f>
        <v>0</v>
      </c>
      <c r="Q1424" s="16">
        <f>IF(NOT(Paths!$C$135=1),0,IF(Paths!$P$135="Complete",N1424*(1+'Operating costs'!$B$54)^-C1424,"n.a."))</f>
        <v>0</v>
      </c>
      <c r="R1424" s="16">
        <f>IF(NOT(Paths!$C$135=1),0,IF(Paths!$P$135="Complete",IF(AND(C1424=0,Paths!$E$135=0),I1424-J1424-K1424+VLOOKUP(A1424,'Fleet register'!$A$7:$S$106,15,FALSE)+VLOOKUP(A1424,'Fleet register'!$A$7:$S$106,16,FALSE),0),"n.a."))</f>
        <v>0</v>
      </c>
      <c r="S1424" s="1">
        <f>IF(NOT(Paths!$C$135=1),0,IF(Paths!$P$135="Complete",IF(C1424=0,0,Paths!$S$135*Paths!$R$135),"n.a."))</f>
        <v>0</v>
      </c>
      <c r="T1424" s="1">
        <f>IF(NOT(Paths!$C$135=1),0,IF(Paths!$P$135="Complete",IF(C1424=0,0,VLOOKUP(A1424,'Fleet register'!$A$7:$S$106,9,FALSE)*Paths!$R$135),"n.a."))</f>
        <v>0</v>
      </c>
    </row>
    <row r="1425" spans="1:20" ht="24" customHeight="1">
      <c r="A1425" s="1" t="str">
        <f>Paths!$A$135</f>
        <v>T033</v>
      </c>
      <c r="B1425" s="1">
        <f>Paths!$B$135</f>
        <v>0</v>
      </c>
      <c r="C1425" s="1">
        <v>10</v>
      </c>
      <c r="D1425" s="1">
        <v>135</v>
      </c>
      <c r="E1425" s="1">
        <f>IF(OR(Paths!$C$135=0,C1425=0),0,MAX(0,MIN(C1425*12,Paths!$E$135)-(C1425-1)*12))</f>
        <v>0</v>
      </c>
      <c r="F1425" s="1">
        <f>IF(OR(Paths!$C$135=0,C1425=0),0,12-E1425)</f>
        <v>0</v>
      </c>
      <c r="G1425" s="16">
        <f>IF(NOT(Paths!$C$135=1),0,IF(Paths!$P$135="Complete",E1425/12*(Paths!$J$135*(1+'Operating costs'!$B$51)^MAX(0,C1425-1)+Paths!$K$135*(1+'Operating costs'!$B$53)^MAX(0,C1425-1)),"n.a."))</f>
        <v>0</v>
      </c>
      <c r="H1425" s="16">
        <f>IF(NOT(Paths!$C$135=1),0,IF(Paths!$P$135="Complete",F1425/12*(Paths!$L$135*(1+IF(Paths!$D$135="EV",'Operating costs'!$B$52,'Operating costs'!$B$51))^MAX(0,C1425-1)+Paths!$M$135*(1+'Operating costs'!$B$53)^MAX(0,C1425-1)),"n.a."))</f>
        <v>0</v>
      </c>
      <c r="I1425" s="16">
        <f>IF(NOT(Paths!$C$135=1),0,IF(Paths!$P$135="Complete",IF(IF(Paths!$E$135=0,C1425=0,AND(C1425&gt;0,Paths!$E$135&gt;(C1425-1)*12,Paths!$E$135&lt;=C1425*12)),Paths!$G$135,0),"n.a."))</f>
        <v>0</v>
      </c>
      <c r="J1425" s="16">
        <f>IF(NOT(Paths!$C$135=1),0,IF(Paths!$P$135="Complete",IF(IF(Paths!$E$135=0,C1425=0,AND(C1425&gt;0,Paths!$E$135&gt;(C1425-1)*12,Paths!$E$135&lt;=C1425*12)),Paths!$H$135,0),"n.a."))</f>
        <v>0</v>
      </c>
      <c r="K1425" s="16">
        <f>IF(NOT(Paths!$C$135=1),0,IF(Paths!$P$135="Complete",IF(IF(Paths!$O$135=0,C1425=0,AND(C1425&gt;0,Paths!$O$135&gt;(C1425-1)*12,Paths!$O$135&lt;=C1425*12)),Paths!$N$135,0),"n.a."))</f>
        <v>0</v>
      </c>
      <c r="L1425" s="16">
        <f>IF(NOT(Paths!$C$135=1),0,IF(Paths!$P$135="Complete",IF(C1425=10,Paths!$I$135,0),"n.a."))</f>
        <v>0</v>
      </c>
      <c r="M1425" s="16">
        <f>IF(NOT(Paths!$C$135=1),0,IF(Paths!$P$135="Complete",IF(AND(Paths!$D$135="EV",Paths!$E$135&lt;120,Paths!$E$135+'Operating costs'!$B$65&gt;Paths!$E$135,Paths!$E$135+'Operating costs'!$B$65&lt;=120,IF(Paths!$E$135+'Operating costs'!$B$65=0,C1425=0,AND(C1425&gt;0,Paths!$E$135+'Operating costs'!$B$65&gt;(C1425-1)*12,Paths!$E$135+'Operating costs'!$B$65&lt;=C1425*12))),'Operating costs'!$B$64,0)+IF(AND('Operating costs'!$B$67&gt;0,'Operating costs'!$B$67&lt;=120,OR(Paths!$D$135="ICE",'Operating costs'!$B$67&lt;=Paths!$E$135),IF('Operating costs'!$B$67=0,C1425=0,AND(C1425&gt;0,'Operating costs'!$B$67&gt;(C1425-1)*12,'Operating costs'!$B$67&lt;=C1425*12))),'Operating costs'!$B$66,0),"n.a."))</f>
        <v>0</v>
      </c>
      <c r="N1425" s="16">
        <f>IF(NOT(Paths!$C$135=1),0,IF(Paths!$P$135="Complete",SUM(G1425:I1425)-J1425-K1425-L1425+M1425+IF(C1425=0,Paths!$F$135,0)+IF(IF(Paths!$E$135=0,C1425=0,AND(C1425&gt;0,Paths!$E$135&gt;(C1425-1)*12,Paths!$E$135&lt;=C1425*12)),VLOOKUP(A1425,'Fleet register'!$A$7:$S$106,16,FALSE),0),"n.a."))</f>
        <v>0</v>
      </c>
      <c r="O1425" s="16">
        <f>IF(NOT(Paths!$C$135=1),0,IF(Paths!$P$135="Complete",N1425-IF(C1425=0,Paths!$F$135,0),"n.a."))</f>
        <v>0</v>
      </c>
      <c r="P1425" s="16">
        <f>IF(NOT(Paths!$C$135=1),0,IF(Paths!$P$135="Complete",O1425+L1425,"n.a."))</f>
        <v>0</v>
      </c>
      <c r="Q1425" s="16">
        <f>IF(NOT(Paths!$C$135=1),0,IF(Paths!$P$135="Complete",N1425*(1+'Operating costs'!$B$54)^-C1425,"n.a."))</f>
        <v>0</v>
      </c>
      <c r="R1425" s="16">
        <f>IF(NOT(Paths!$C$135=1),0,IF(Paths!$P$135="Complete",IF(AND(C1425=0,Paths!$E$135=0),I1425-J1425-K1425+VLOOKUP(A1425,'Fleet register'!$A$7:$S$106,15,FALSE)+VLOOKUP(A1425,'Fleet register'!$A$7:$S$106,16,FALSE),0),"n.a."))</f>
        <v>0</v>
      </c>
      <c r="S1425" s="1">
        <f>IF(NOT(Paths!$C$135=1),0,IF(Paths!$P$135="Complete",IF(C1425=0,0,Paths!$S$135*Paths!$R$135),"n.a."))</f>
        <v>0</v>
      </c>
      <c r="T1425" s="1">
        <f>IF(NOT(Paths!$C$135=1),0,IF(Paths!$P$135="Complete",IF(C1425=0,0,VLOOKUP(A1425,'Fleet register'!$A$7:$S$106,9,FALSE)*Paths!$R$135),"n.a."))</f>
        <v>0</v>
      </c>
    </row>
    <row r="1426" spans="1:20" ht="24" customHeight="1">
      <c r="A1426" s="1" t="str">
        <f>Paths!$A$136</f>
        <v>T033</v>
      </c>
      <c r="B1426" s="1">
        <f>Paths!$B$136</f>
        <v>1</v>
      </c>
      <c r="C1426" s="1">
        <v>0</v>
      </c>
      <c r="D1426" s="1">
        <v>136</v>
      </c>
      <c r="E1426" s="1">
        <f>IF(OR(Paths!$C$136=0,C1426=0),0,MAX(0,MIN(C1426*12,Paths!$E$136)-(C1426-1)*12))</f>
        <v>0</v>
      </c>
      <c r="F1426" s="1">
        <f>IF(OR(Paths!$C$136=0,C1426=0),0,12-E1426)</f>
        <v>0</v>
      </c>
      <c r="G1426" s="16">
        <f>IF(NOT(Paths!$C$136=1),0,IF(Paths!$P$136="Complete",E1426/12*(Paths!$J$136*(1+'Operating costs'!$B$51)^MAX(0,C1426-1)+Paths!$K$136*(1+'Operating costs'!$B$53)^MAX(0,C1426-1)),"n.a."))</f>
        <v>0</v>
      </c>
      <c r="H1426" s="16">
        <f>IF(NOT(Paths!$C$136=1),0,IF(Paths!$P$136="Complete",F1426/12*(Paths!$L$136*(1+IF(Paths!$D$136="EV",'Operating costs'!$B$52,'Operating costs'!$B$51))^MAX(0,C1426-1)+Paths!$M$136*(1+'Operating costs'!$B$53)^MAX(0,C1426-1)),"n.a."))</f>
        <v>0</v>
      </c>
      <c r="I1426" s="16">
        <f>IF(NOT(Paths!$C$136=1),0,IF(Paths!$P$136="Complete",IF(IF(Paths!$E$136=0,C1426=0,AND(C1426&gt;0,Paths!$E$136&gt;(C1426-1)*12,Paths!$E$136&lt;=C1426*12)),Paths!$G$136,0),"n.a."))</f>
        <v>0</v>
      </c>
      <c r="J1426" s="16">
        <f>IF(NOT(Paths!$C$136=1),0,IF(Paths!$P$136="Complete",IF(IF(Paths!$E$136=0,C1426=0,AND(C1426&gt;0,Paths!$E$136&gt;(C1426-1)*12,Paths!$E$136&lt;=C1426*12)),Paths!$H$136,0),"n.a."))</f>
        <v>0</v>
      </c>
      <c r="K1426" s="16">
        <f>IF(NOT(Paths!$C$136=1),0,IF(Paths!$P$136="Complete",IF(IF(Paths!$O$136=0,C1426=0,AND(C1426&gt;0,Paths!$O$136&gt;(C1426-1)*12,Paths!$O$136&lt;=C1426*12)),Paths!$N$136,0),"n.a."))</f>
        <v>0</v>
      </c>
      <c r="L1426" s="16">
        <f>IF(NOT(Paths!$C$136=1),0,IF(Paths!$P$136="Complete",IF(C1426=10,Paths!$I$136,0),"n.a."))</f>
        <v>0</v>
      </c>
      <c r="M1426" s="16">
        <f>IF(NOT(Paths!$C$136=1),0,IF(Paths!$P$136="Complete",IF(AND(Paths!$D$136="EV",Paths!$E$136&lt;120,Paths!$E$136+'Operating costs'!$B$65&gt;Paths!$E$136,Paths!$E$136+'Operating costs'!$B$65&lt;=120,IF(Paths!$E$136+'Operating costs'!$B$65=0,C1426=0,AND(C1426&gt;0,Paths!$E$136+'Operating costs'!$B$65&gt;(C1426-1)*12,Paths!$E$136+'Operating costs'!$B$65&lt;=C1426*12))),'Operating costs'!$B$64,0)+IF(AND('Operating costs'!$B$67&gt;0,'Operating costs'!$B$67&lt;=120,OR(Paths!$D$136="ICE",'Operating costs'!$B$67&lt;=Paths!$E$136),IF('Operating costs'!$B$67=0,C1426=0,AND(C1426&gt;0,'Operating costs'!$B$67&gt;(C1426-1)*12,'Operating costs'!$B$67&lt;=C1426*12))),'Operating costs'!$B$66,0),"n.a."))</f>
        <v>0</v>
      </c>
      <c r="N1426" s="16">
        <f>IF(NOT(Paths!$C$136=1),0,IF(Paths!$P$136="Complete",SUM(G1426:I1426)-J1426-K1426-L1426+M1426+IF(C1426=0,Paths!$F$136,0)+IF(IF(Paths!$E$136=0,C1426=0,AND(C1426&gt;0,Paths!$E$136&gt;(C1426-1)*12,Paths!$E$136&lt;=C1426*12)),VLOOKUP(A1426,'Fleet register'!$A$7:$S$106,16,FALSE),0),"n.a."))</f>
        <v>0</v>
      </c>
      <c r="O1426" s="16">
        <f>IF(NOT(Paths!$C$136=1),0,IF(Paths!$P$136="Complete",N1426-IF(C1426=0,Paths!$F$136,0),"n.a."))</f>
        <v>0</v>
      </c>
      <c r="P1426" s="16">
        <f>IF(NOT(Paths!$C$136=1),0,IF(Paths!$P$136="Complete",O1426+L1426,"n.a."))</f>
        <v>0</v>
      </c>
      <c r="Q1426" s="16">
        <f>IF(NOT(Paths!$C$136=1),0,IF(Paths!$P$136="Complete",N1426*(1+'Operating costs'!$B$54)^-C1426,"n.a."))</f>
        <v>0</v>
      </c>
      <c r="R1426" s="16">
        <f>IF(NOT(Paths!$C$136=1),0,IF(Paths!$P$136="Complete",IF(AND(C1426=0,Paths!$E$136=0),I1426-J1426-K1426+VLOOKUP(A1426,'Fleet register'!$A$7:$S$106,15,FALSE)+VLOOKUP(A1426,'Fleet register'!$A$7:$S$106,16,FALSE),0),"n.a."))</f>
        <v>0</v>
      </c>
      <c r="S1426" s="1">
        <f>IF(NOT(Paths!$C$136=1),0,IF(Paths!$P$136="Complete",IF(C1426=0,0,Paths!$S$136*Paths!$R$136),"n.a."))</f>
        <v>0</v>
      </c>
      <c r="T1426" s="1">
        <f>IF(NOT(Paths!$C$136=1),0,IF(Paths!$P$136="Complete",IF(C1426=0,0,VLOOKUP(A1426,'Fleet register'!$A$7:$S$106,9,FALSE)*Paths!$R$136),"n.a."))</f>
        <v>0</v>
      </c>
    </row>
    <row r="1427" spans="1:20" ht="24" customHeight="1">
      <c r="A1427" s="1" t="str">
        <f>Paths!$A$136</f>
        <v>T033</v>
      </c>
      <c r="B1427" s="1">
        <f>Paths!$B$136</f>
        <v>1</v>
      </c>
      <c r="C1427" s="1">
        <v>1</v>
      </c>
      <c r="D1427" s="1">
        <v>136</v>
      </c>
      <c r="E1427" s="1">
        <f>IF(OR(Paths!$C$136=0,C1427=0),0,MAX(0,MIN(C1427*12,Paths!$E$136)-(C1427-1)*12))</f>
        <v>0</v>
      </c>
      <c r="F1427" s="1">
        <f>IF(OR(Paths!$C$136=0,C1427=0),0,12-E1427)</f>
        <v>0</v>
      </c>
      <c r="G1427" s="16">
        <f>IF(NOT(Paths!$C$136=1),0,IF(Paths!$P$136="Complete",E1427/12*(Paths!$J$136*(1+'Operating costs'!$B$51)^MAX(0,C1427-1)+Paths!$K$136*(1+'Operating costs'!$B$53)^MAX(0,C1427-1)),"n.a."))</f>
        <v>0</v>
      </c>
      <c r="H1427" s="16">
        <f>IF(NOT(Paths!$C$136=1),0,IF(Paths!$P$136="Complete",F1427/12*(Paths!$L$136*(1+IF(Paths!$D$136="EV",'Operating costs'!$B$52,'Operating costs'!$B$51))^MAX(0,C1427-1)+Paths!$M$136*(1+'Operating costs'!$B$53)^MAX(0,C1427-1)),"n.a."))</f>
        <v>0</v>
      </c>
      <c r="I1427" s="16">
        <f>IF(NOT(Paths!$C$136=1),0,IF(Paths!$P$136="Complete",IF(IF(Paths!$E$136=0,C1427=0,AND(C1427&gt;0,Paths!$E$136&gt;(C1427-1)*12,Paths!$E$136&lt;=C1427*12)),Paths!$G$136,0),"n.a."))</f>
        <v>0</v>
      </c>
      <c r="J1427" s="16">
        <f>IF(NOT(Paths!$C$136=1),0,IF(Paths!$P$136="Complete",IF(IF(Paths!$E$136=0,C1427=0,AND(C1427&gt;0,Paths!$E$136&gt;(C1427-1)*12,Paths!$E$136&lt;=C1427*12)),Paths!$H$136,0),"n.a."))</f>
        <v>0</v>
      </c>
      <c r="K1427" s="16">
        <f>IF(NOT(Paths!$C$136=1),0,IF(Paths!$P$136="Complete",IF(IF(Paths!$O$136=0,C1427=0,AND(C1427&gt;0,Paths!$O$136&gt;(C1427-1)*12,Paths!$O$136&lt;=C1427*12)),Paths!$N$136,0),"n.a."))</f>
        <v>0</v>
      </c>
      <c r="L1427" s="16">
        <f>IF(NOT(Paths!$C$136=1),0,IF(Paths!$P$136="Complete",IF(C1427=10,Paths!$I$136,0),"n.a."))</f>
        <v>0</v>
      </c>
      <c r="M1427" s="16">
        <f>IF(NOT(Paths!$C$136=1),0,IF(Paths!$P$136="Complete",IF(AND(Paths!$D$136="EV",Paths!$E$136&lt;120,Paths!$E$136+'Operating costs'!$B$65&gt;Paths!$E$136,Paths!$E$136+'Operating costs'!$B$65&lt;=120,IF(Paths!$E$136+'Operating costs'!$B$65=0,C1427=0,AND(C1427&gt;0,Paths!$E$136+'Operating costs'!$B$65&gt;(C1427-1)*12,Paths!$E$136+'Operating costs'!$B$65&lt;=C1427*12))),'Operating costs'!$B$64,0)+IF(AND('Operating costs'!$B$67&gt;0,'Operating costs'!$B$67&lt;=120,OR(Paths!$D$136="ICE",'Operating costs'!$B$67&lt;=Paths!$E$136),IF('Operating costs'!$B$67=0,C1427=0,AND(C1427&gt;0,'Operating costs'!$B$67&gt;(C1427-1)*12,'Operating costs'!$B$67&lt;=C1427*12))),'Operating costs'!$B$66,0),"n.a."))</f>
        <v>0</v>
      </c>
      <c r="N1427" s="16">
        <f>IF(NOT(Paths!$C$136=1),0,IF(Paths!$P$136="Complete",SUM(G1427:I1427)-J1427-K1427-L1427+M1427+IF(C1427=0,Paths!$F$136,0)+IF(IF(Paths!$E$136=0,C1427=0,AND(C1427&gt;0,Paths!$E$136&gt;(C1427-1)*12,Paths!$E$136&lt;=C1427*12)),VLOOKUP(A1427,'Fleet register'!$A$7:$S$106,16,FALSE),0),"n.a."))</f>
        <v>0</v>
      </c>
      <c r="O1427" s="16">
        <f>IF(NOT(Paths!$C$136=1),0,IF(Paths!$P$136="Complete",N1427-IF(C1427=0,Paths!$F$136,0),"n.a."))</f>
        <v>0</v>
      </c>
      <c r="P1427" s="16">
        <f>IF(NOT(Paths!$C$136=1),0,IF(Paths!$P$136="Complete",O1427+L1427,"n.a."))</f>
        <v>0</v>
      </c>
      <c r="Q1427" s="16">
        <f>IF(NOT(Paths!$C$136=1),0,IF(Paths!$P$136="Complete",N1427*(1+'Operating costs'!$B$54)^-C1427,"n.a."))</f>
        <v>0</v>
      </c>
      <c r="R1427" s="16">
        <f>IF(NOT(Paths!$C$136=1),0,IF(Paths!$P$136="Complete",IF(AND(C1427=0,Paths!$E$136=0),I1427-J1427-K1427+VLOOKUP(A1427,'Fleet register'!$A$7:$S$106,15,FALSE)+VLOOKUP(A1427,'Fleet register'!$A$7:$S$106,16,FALSE),0),"n.a."))</f>
        <v>0</v>
      </c>
      <c r="S1427" s="1">
        <f>IF(NOT(Paths!$C$136=1),0,IF(Paths!$P$136="Complete",IF(C1427=0,0,Paths!$S$136*Paths!$R$136),"n.a."))</f>
        <v>0</v>
      </c>
      <c r="T1427" s="1">
        <f>IF(NOT(Paths!$C$136=1),0,IF(Paths!$P$136="Complete",IF(C1427=0,0,VLOOKUP(A1427,'Fleet register'!$A$7:$S$106,9,FALSE)*Paths!$R$136),"n.a."))</f>
        <v>0</v>
      </c>
    </row>
    <row r="1428" spans="1:20" ht="24" customHeight="1">
      <c r="A1428" s="1" t="str">
        <f>Paths!$A$136</f>
        <v>T033</v>
      </c>
      <c r="B1428" s="1">
        <f>Paths!$B$136</f>
        <v>1</v>
      </c>
      <c r="C1428" s="1">
        <v>2</v>
      </c>
      <c r="D1428" s="1">
        <v>136</v>
      </c>
      <c r="E1428" s="1">
        <f>IF(OR(Paths!$C$136=0,C1428=0),0,MAX(0,MIN(C1428*12,Paths!$E$136)-(C1428-1)*12))</f>
        <v>0</v>
      </c>
      <c r="F1428" s="1">
        <f>IF(OR(Paths!$C$136=0,C1428=0),0,12-E1428)</f>
        <v>0</v>
      </c>
      <c r="G1428" s="16">
        <f>IF(NOT(Paths!$C$136=1),0,IF(Paths!$P$136="Complete",E1428/12*(Paths!$J$136*(1+'Operating costs'!$B$51)^MAX(0,C1428-1)+Paths!$K$136*(1+'Operating costs'!$B$53)^MAX(0,C1428-1)),"n.a."))</f>
        <v>0</v>
      </c>
      <c r="H1428" s="16">
        <f>IF(NOT(Paths!$C$136=1),0,IF(Paths!$P$136="Complete",F1428/12*(Paths!$L$136*(1+IF(Paths!$D$136="EV",'Operating costs'!$B$52,'Operating costs'!$B$51))^MAX(0,C1428-1)+Paths!$M$136*(1+'Operating costs'!$B$53)^MAX(0,C1428-1)),"n.a."))</f>
        <v>0</v>
      </c>
      <c r="I1428" s="16">
        <f>IF(NOT(Paths!$C$136=1),0,IF(Paths!$P$136="Complete",IF(IF(Paths!$E$136=0,C1428=0,AND(C1428&gt;0,Paths!$E$136&gt;(C1428-1)*12,Paths!$E$136&lt;=C1428*12)),Paths!$G$136,0),"n.a."))</f>
        <v>0</v>
      </c>
      <c r="J1428" s="16">
        <f>IF(NOT(Paths!$C$136=1),0,IF(Paths!$P$136="Complete",IF(IF(Paths!$E$136=0,C1428=0,AND(C1428&gt;0,Paths!$E$136&gt;(C1428-1)*12,Paths!$E$136&lt;=C1428*12)),Paths!$H$136,0),"n.a."))</f>
        <v>0</v>
      </c>
      <c r="K1428" s="16">
        <f>IF(NOT(Paths!$C$136=1),0,IF(Paths!$P$136="Complete",IF(IF(Paths!$O$136=0,C1428=0,AND(C1428&gt;0,Paths!$O$136&gt;(C1428-1)*12,Paths!$O$136&lt;=C1428*12)),Paths!$N$136,0),"n.a."))</f>
        <v>0</v>
      </c>
      <c r="L1428" s="16">
        <f>IF(NOT(Paths!$C$136=1),0,IF(Paths!$P$136="Complete",IF(C1428=10,Paths!$I$136,0),"n.a."))</f>
        <v>0</v>
      </c>
      <c r="M1428" s="16">
        <f>IF(NOT(Paths!$C$136=1),0,IF(Paths!$P$136="Complete",IF(AND(Paths!$D$136="EV",Paths!$E$136&lt;120,Paths!$E$136+'Operating costs'!$B$65&gt;Paths!$E$136,Paths!$E$136+'Operating costs'!$B$65&lt;=120,IF(Paths!$E$136+'Operating costs'!$B$65=0,C1428=0,AND(C1428&gt;0,Paths!$E$136+'Operating costs'!$B$65&gt;(C1428-1)*12,Paths!$E$136+'Operating costs'!$B$65&lt;=C1428*12))),'Operating costs'!$B$64,0)+IF(AND('Operating costs'!$B$67&gt;0,'Operating costs'!$B$67&lt;=120,OR(Paths!$D$136="ICE",'Operating costs'!$B$67&lt;=Paths!$E$136),IF('Operating costs'!$B$67=0,C1428=0,AND(C1428&gt;0,'Operating costs'!$B$67&gt;(C1428-1)*12,'Operating costs'!$B$67&lt;=C1428*12))),'Operating costs'!$B$66,0),"n.a."))</f>
        <v>0</v>
      </c>
      <c r="N1428" s="16">
        <f>IF(NOT(Paths!$C$136=1),0,IF(Paths!$P$136="Complete",SUM(G1428:I1428)-J1428-K1428-L1428+M1428+IF(C1428=0,Paths!$F$136,0)+IF(IF(Paths!$E$136=0,C1428=0,AND(C1428&gt;0,Paths!$E$136&gt;(C1428-1)*12,Paths!$E$136&lt;=C1428*12)),VLOOKUP(A1428,'Fleet register'!$A$7:$S$106,16,FALSE),0),"n.a."))</f>
        <v>0</v>
      </c>
      <c r="O1428" s="16">
        <f>IF(NOT(Paths!$C$136=1),0,IF(Paths!$P$136="Complete",N1428-IF(C1428=0,Paths!$F$136,0),"n.a."))</f>
        <v>0</v>
      </c>
      <c r="P1428" s="16">
        <f>IF(NOT(Paths!$C$136=1),0,IF(Paths!$P$136="Complete",O1428+L1428,"n.a."))</f>
        <v>0</v>
      </c>
      <c r="Q1428" s="16">
        <f>IF(NOT(Paths!$C$136=1),0,IF(Paths!$P$136="Complete",N1428*(1+'Operating costs'!$B$54)^-C1428,"n.a."))</f>
        <v>0</v>
      </c>
      <c r="R1428" s="16">
        <f>IF(NOT(Paths!$C$136=1),0,IF(Paths!$P$136="Complete",IF(AND(C1428=0,Paths!$E$136=0),I1428-J1428-K1428+VLOOKUP(A1428,'Fleet register'!$A$7:$S$106,15,FALSE)+VLOOKUP(A1428,'Fleet register'!$A$7:$S$106,16,FALSE),0),"n.a."))</f>
        <v>0</v>
      </c>
      <c r="S1428" s="1">
        <f>IF(NOT(Paths!$C$136=1),0,IF(Paths!$P$136="Complete",IF(C1428=0,0,Paths!$S$136*Paths!$R$136),"n.a."))</f>
        <v>0</v>
      </c>
      <c r="T1428" s="1">
        <f>IF(NOT(Paths!$C$136=1),0,IF(Paths!$P$136="Complete",IF(C1428=0,0,VLOOKUP(A1428,'Fleet register'!$A$7:$S$106,9,FALSE)*Paths!$R$136),"n.a."))</f>
        <v>0</v>
      </c>
    </row>
    <row r="1429" spans="1:20" ht="24" customHeight="1">
      <c r="A1429" s="1" t="str">
        <f>Paths!$A$136</f>
        <v>T033</v>
      </c>
      <c r="B1429" s="1">
        <f>Paths!$B$136</f>
        <v>1</v>
      </c>
      <c r="C1429" s="1">
        <v>3</v>
      </c>
      <c r="D1429" s="1">
        <v>136</v>
      </c>
      <c r="E1429" s="1">
        <f>IF(OR(Paths!$C$136=0,C1429=0),0,MAX(0,MIN(C1429*12,Paths!$E$136)-(C1429-1)*12))</f>
        <v>0</v>
      </c>
      <c r="F1429" s="1">
        <f>IF(OR(Paths!$C$136=0,C1429=0),0,12-E1429)</f>
        <v>0</v>
      </c>
      <c r="G1429" s="16">
        <f>IF(NOT(Paths!$C$136=1),0,IF(Paths!$P$136="Complete",E1429/12*(Paths!$J$136*(1+'Operating costs'!$B$51)^MAX(0,C1429-1)+Paths!$K$136*(1+'Operating costs'!$B$53)^MAX(0,C1429-1)),"n.a."))</f>
        <v>0</v>
      </c>
      <c r="H1429" s="16">
        <f>IF(NOT(Paths!$C$136=1),0,IF(Paths!$P$136="Complete",F1429/12*(Paths!$L$136*(1+IF(Paths!$D$136="EV",'Operating costs'!$B$52,'Operating costs'!$B$51))^MAX(0,C1429-1)+Paths!$M$136*(1+'Operating costs'!$B$53)^MAX(0,C1429-1)),"n.a."))</f>
        <v>0</v>
      </c>
      <c r="I1429" s="16">
        <f>IF(NOT(Paths!$C$136=1),0,IF(Paths!$P$136="Complete",IF(IF(Paths!$E$136=0,C1429=0,AND(C1429&gt;0,Paths!$E$136&gt;(C1429-1)*12,Paths!$E$136&lt;=C1429*12)),Paths!$G$136,0),"n.a."))</f>
        <v>0</v>
      </c>
      <c r="J1429" s="16">
        <f>IF(NOT(Paths!$C$136=1),0,IF(Paths!$P$136="Complete",IF(IF(Paths!$E$136=0,C1429=0,AND(C1429&gt;0,Paths!$E$136&gt;(C1429-1)*12,Paths!$E$136&lt;=C1429*12)),Paths!$H$136,0),"n.a."))</f>
        <v>0</v>
      </c>
      <c r="K1429" s="16">
        <f>IF(NOT(Paths!$C$136=1),0,IF(Paths!$P$136="Complete",IF(IF(Paths!$O$136=0,C1429=0,AND(C1429&gt;0,Paths!$O$136&gt;(C1429-1)*12,Paths!$O$136&lt;=C1429*12)),Paths!$N$136,0),"n.a."))</f>
        <v>0</v>
      </c>
      <c r="L1429" s="16">
        <f>IF(NOT(Paths!$C$136=1),0,IF(Paths!$P$136="Complete",IF(C1429=10,Paths!$I$136,0),"n.a."))</f>
        <v>0</v>
      </c>
      <c r="M1429" s="16">
        <f>IF(NOT(Paths!$C$136=1),0,IF(Paths!$P$136="Complete",IF(AND(Paths!$D$136="EV",Paths!$E$136&lt;120,Paths!$E$136+'Operating costs'!$B$65&gt;Paths!$E$136,Paths!$E$136+'Operating costs'!$B$65&lt;=120,IF(Paths!$E$136+'Operating costs'!$B$65=0,C1429=0,AND(C1429&gt;0,Paths!$E$136+'Operating costs'!$B$65&gt;(C1429-1)*12,Paths!$E$136+'Operating costs'!$B$65&lt;=C1429*12))),'Operating costs'!$B$64,0)+IF(AND('Operating costs'!$B$67&gt;0,'Operating costs'!$B$67&lt;=120,OR(Paths!$D$136="ICE",'Operating costs'!$B$67&lt;=Paths!$E$136),IF('Operating costs'!$B$67=0,C1429=0,AND(C1429&gt;0,'Operating costs'!$B$67&gt;(C1429-1)*12,'Operating costs'!$B$67&lt;=C1429*12))),'Operating costs'!$B$66,0),"n.a."))</f>
        <v>0</v>
      </c>
      <c r="N1429" s="16">
        <f>IF(NOT(Paths!$C$136=1),0,IF(Paths!$P$136="Complete",SUM(G1429:I1429)-J1429-K1429-L1429+M1429+IF(C1429=0,Paths!$F$136,0)+IF(IF(Paths!$E$136=0,C1429=0,AND(C1429&gt;0,Paths!$E$136&gt;(C1429-1)*12,Paths!$E$136&lt;=C1429*12)),VLOOKUP(A1429,'Fleet register'!$A$7:$S$106,16,FALSE),0),"n.a."))</f>
        <v>0</v>
      </c>
      <c r="O1429" s="16">
        <f>IF(NOT(Paths!$C$136=1),0,IF(Paths!$P$136="Complete",N1429-IF(C1429=0,Paths!$F$136,0),"n.a."))</f>
        <v>0</v>
      </c>
      <c r="P1429" s="16">
        <f>IF(NOT(Paths!$C$136=1),0,IF(Paths!$P$136="Complete",O1429+L1429,"n.a."))</f>
        <v>0</v>
      </c>
      <c r="Q1429" s="16">
        <f>IF(NOT(Paths!$C$136=1),0,IF(Paths!$P$136="Complete",N1429*(1+'Operating costs'!$B$54)^-C1429,"n.a."))</f>
        <v>0</v>
      </c>
      <c r="R1429" s="16">
        <f>IF(NOT(Paths!$C$136=1),0,IF(Paths!$P$136="Complete",IF(AND(C1429=0,Paths!$E$136=0),I1429-J1429-K1429+VLOOKUP(A1429,'Fleet register'!$A$7:$S$106,15,FALSE)+VLOOKUP(A1429,'Fleet register'!$A$7:$S$106,16,FALSE),0),"n.a."))</f>
        <v>0</v>
      </c>
      <c r="S1429" s="1">
        <f>IF(NOT(Paths!$C$136=1),0,IF(Paths!$P$136="Complete",IF(C1429=0,0,Paths!$S$136*Paths!$R$136),"n.a."))</f>
        <v>0</v>
      </c>
      <c r="T1429" s="1">
        <f>IF(NOT(Paths!$C$136=1),0,IF(Paths!$P$136="Complete",IF(C1429=0,0,VLOOKUP(A1429,'Fleet register'!$A$7:$S$106,9,FALSE)*Paths!$R$136),"n.a."))</f>
        <v>0</v>
      </c>
    </row>
    <row r="1430" spans="1:20" ht="24" customHeight="1">
      <c r="A1430" s="1" t="str">
        <f>Paths!$A$136</f>
        <v>T033</v>
      </c>
      <c r="B1430" s="1">
        <f>Paths!$B$136</f>
        <v>1</v>
      </c>
      <c r="C1430" s="1">
        <v>4</v>
      </c>
      <c r="D1430" s="1">
        <v>136</v>
      </c>
      <c r="E1430" s="1">
        <f>IF(OR(Paths!$C$136=0,C1430=0),0,MAX(0,MIN(C1430*12,Paths!$E$136)-(C1430-1)*12))</f>
        <v>0</v>
      </c>
      <c r="F1430" s="1">
        <f>IF(OR(Paths!$C$136=0,C1430=0),0,12-E1430)</f>
        <v>0</v>
      </c>
      <c r="G1430" s="16">
        <f>IF(NOT(Paths!$C$136=1),0,IF(Paths!$P$136="Complete",E1430/12*(Paths!$J$136*(1+'Operating costs'!$B$51)^MAX(0,C1430-1)+Paths!$K$136*(1+'Operating costs'!$B$53)^MAX(0,C1430-1)),"n.a."))</f>
        <v>0</v>
      </c>
      <c r="H1430" s="16">
        <f>IF(NOT(Paths!$C$136=1),0,IF(Paths!$P$136="Complete",F1430/12*(Paths!$L$136*(1+IF(Paths!$D$136="EV",'Operating costs'!$B$52,'Operating costs'!$B$51))^MAX(0,C1430-1)+Paths!$M$136*(1+'Operating costs'!$B$53)^MAX(0,C1430-1)),"n.a."))</f>
        <v>0</v>
      </c>
      <c r="I1430" s="16">
        <f>IF(NOT(Paths!$C$136=1),0,IF(Paths!$P$136="Complete",IF(IF(Paths!$E$136=0,C1430=0,AND(C1430&gt;0,Paths!$E$136&gt;(C1430-1)*12,Paths!$E$136&lt;=C1430*12)),Paths!$G$136,0),"n.a."))</f>
        <v>0</v>
      </c>
      <c r="J1430" s="16">
        <f>IF(NOT(Paths!$C$136=1),0,IF(Paths!$P$136="Complete",IF(IF(Paths!$E$136=0,C1430=0,AND(C1430&gt;0,Paths!$E$136&gt;(C1430-1)*12,Paths!$E$136&lt;=C1430*12)),Paths!$H$136,0),"n.a."))</f>
        <v>0</v>
      </c>
      <c r="K1430" s="16">
        <f>IF(NOT(Paths!$C$136=1),0,IF(Paths!$P$136="Complete",IF(IF(Paths!$O$136=0,C1430=0,AND(C1430&gt;0,Paths!$O$136&gt;(C1430-1)*12,Paths!$O$136&lt;=C1430*12)),Paths!$N$136,0),"n.a."))</f>
        <v>0</v>
      </c>
      <c r="L1430" s="16">
        <f>IF(NOT(Paths!$C$136=1),0,IF(Paths!$P$136="Complete",IF(C1430=10,Paths!$I$136,0),"n.a."))</f>
        <v>0</v>
      </c>
      <c r="M1430" s="16">
        <f>IF(NOT(Paths!$C$136=1),0,IF(Paths!$P$136="Complete",IF(AND(Paths!$D$136="EV",Paths!$E$136&lt;120,Paths!$E$136+'Operating costs'!$B$65&gt;Paths!$E$136,Paths!$E$136+'Operating costs'!$B$65&lt;=120,IF(Paths!$E$136+'Operating costs'!$B$65=0,C1430=0,AND(C1430&gt;0,Paths!$E$136+'Operating costs'!$B$65&gt;(C1430-1)*12,Paths!$E$136+'Operating costs'!$B$65&lt;=C1430*12))),'Operating costs'!$B$64,0)+IF(AND('Operating costs'!$B$67&gt;0,'Operating costs'!$B$67&lt;=120,OR(Paths!$D$136="ICE",'Operating costs'!$B$67&lt;=Paths!$E$136),IF('Operating costs'!$B$67=0,C1430=0,AND(C1430&gt;0,'Operating costs'!$B$67&gt;(C1430-1)*12,'Operating costs'!$B$67&lt;=C1430*12))),'Operating costs'!$B$66,0),"n.a."))</f>
        <v>0</v>
      </c>
      <c r="N1430" s="16">
        <f>IF(NOT(Paths!$C$136=1),0,IF(Paths!$P$136="Complete",SUM(G1430:I1430)-J1430-K1430-L1430+M1430+IF(C1430=0,Paths!$F$136,0)+IF(IF(Paths!$E$136=0,C1430=0,AND(C1430&gt;0,Paths!$E$136&gt;(C1430-1)*12,Paths!$E$136&lt;=C1430*12)),VLOOKUP(A1430,'Fleet register'!$A$7:$S$106,16,FALSE),0),"n.a."))</f>
        <v>0</v>
      </c>
      <c r="O1430" s="16">
        <f>IF(NOT(Paths!$C$136=1),0,IF(Paths!$P$136="Complete",N1430-IF(C1430=0,Paths!$F$136,0),"n.a."))</f>
        <v>0</v>
      </c>
      <c r="P1430" s="16">
        <f>IF(NOT(Paths!$C$136=1),0,IF(Paths!$P$136="Complete",O1430+L1430,"n.a."))</f>
        <v>0</v>
      </c>
      <c r="Q1430" s="16">
        <f>IF(NOT(Paths!$C$136=1),0,IF(Paths!$P$136="Complete",N1430*(1+'Operating costs'!$B$54)^-C1430,"n.a."))</f>
        <v>0</v>
      </c>
      <c r="R1430" s="16">
        <f>IF(NOT(Paths!$C$136=1),0,IF(Paths!$P$136="Complete",IF(AND(C1430=0,Paths!$E$136=0),I1430-J1430-K1430+VLOOKUP(A1430,'Fleet register'!$A$7:$S$106,15,FALSE)+VLOOKUP(A1430,'Fleet register'!$A$7:$S$106,16,FALSE),0),"n.a."))</f>
        <v>0</v>
      </c>
      <c r="S1430" s="1">
        <f>IF(NOT(Paths!$C$136=1),0,IF(Paths!$P$136="Complete",IF(C1430=0,0,Paths!$S$136*Paths!$R$136),"n.a."))</f>
        <v>0</v>
      </c>
      <c r="T1430" s="1">
        <f>IF(NOT(Paths!$C$136=1),0,IF(Paths!$P$136="Complete",IF(C1430=0,0,VLOOKUP(A1430,'Fleet register'!$A$7:$S$106,9,FALSE)*Paths!$R$136),"n.a."))</f>
        <v>0</v>
      </c>
    </row>
    <row r="1431" spans="1:20" ht="24" customHeight="1">
      <c r="A1431" s="1" t="str">
        <f>Paths!$A$136</f>
        <v>T033</v>
      </c>
      <c r="B1431" s="1">
        <f>Paths!$B$136</f>
        <v>1</v>
      </c>
      <c r="C1431" s="1">
        <v>5</v>
      </c>
      <c r="D1431" s="1">
        <v>136</v>
      </c>
      <c r="E1431" s="1">
        <f>IF(OR(Paths!$C$136=0,C1431=0),0,MAX(0,MIN(C1431*12,Paths!$E$136)-(C1431-1)*12))</f>
        <v>0</v>
      </c>
      <c r="F1431" s="1">
        <f>IF(OR(Paths!$C$136=0,C1431=0),0,12-E1431)</f>
        <v>0</v>
      </c>
      <c r="G1431" s="16">
        <f>IF(NOT(Paths!$C$136=1),0,IF(Paths!$P$136="Complete",E1431/12*(Paths!$J$136*(1+'Operating costs'!$B$51)^MAX(0,C1431-1)+Paths!$K$136*(1+'Operating costs'!$B$53)^MAX(0,C1431-1)),"n.a."))</f>
        <v>0</v>
      </c>
      <c r="H1431" s="16">
        <f>IF(NOT(Paths!$C$136=1),0,IF(Paths!$P$136="Complete",F1431/12*(Paths!$L$136*(1+IF(Paths!$D$136="EV",'Operating costs'!$B$52,'Operating costs'!$B$51))^MAX(0,C1431-1)+Paths!$M$136*(1+'Operating costs'!$B$53)^MAX(0,C1431-1)),"n.a."))</f>
        <v>0</v>
      </c>
      <c r="I1431" s="16">
        <f>IF(NOT(Paths!$C$136=1),0,IF(Paths!$P$136="Complete",IF(IF(Paths!$E$136=0,C1431=0,AND(C1431&gt;0,Paths!$E$136&gt;(C1431-1)*12,Paths!$E$136&lt;=C1431*12)),Paths!$G$136,0),"n.a."))</f>
        <v>0</v>
      </c>
      <c r="J1431" s="16">
        <f>IF(NOT(Paths!$C$136=1),0,IF(Paths!$P$136="Complete",IF(IF(Paths!$E$136=0,C1431=0,AND(C1431&gt;0,Paths!$E$136&gt;(C1431-1)*12,Paths!$E$136&lt;=C1431*12)),Paths!$H$136,0),"n.a."))</f>
        <v>0</v>
      </c>
      <c r="K1431" s="16">
        <f>IF(NOT(Paths!$C$136=1),0,IF(Paths!$P$136="Complete",IF(IF(Paths!$O$136=0,C1431=0,AND(C1431&gt;0,Paths!$O$136&gt;(C1431-1)*12,Paths!$O$136&lt;=C1431*12)),Paths!$N$136,0),"n.a."))</f>
        <v>0</v>
      </c>
      <c r="L1431" s="16">
        <f>IF(NOT(Paths!$C$136=1),0,IF(Paths!$P$136="Complete",IF(C1431=10,Paths!$I$136,0),"n.a."))</f>
        <v>0</v>
      </c>
      <c r="M1431" s="16">
        <f>IF(NOT(Paths!$C$136=1),0,IF(Paths!$P$136="Complete",IF(AND(Paths!$D$136="EV",Paths!$E$136&lt;120,Paths!$E$136+'Operating costs'!$B$65&gt;Paths!$E$136,Paths!$E$136+'Operating costs'!$B$65&lt;=120,IF(Paths!$E$136+'Operating costs'!$B$65=0,C1431=0,AND(C1431&gt;0,Paths!$E$136+'Operating costs'!$B$65&gt;(C1431-1)*12,Paths!$E$136+'Operating costs'!$B$65&lt;=C1431*12))),'Operating costs'!$B$64,0)+IF(AND('Operating costs'!$B$67&gt;0,'Operating costs'!$B$67&lt;=120,OR(Paths!$D$136="ICE",'Operating costs'!$B$67&lt;=Paths!$E$136),IF('Operating costs'!$B$67=0,C1431=0,AND(C1431&gt;0,'Operating costs'!$B$67&gt;(C1431-1)*12,'Operating costs'!$B$67&lt;=C1431*12))),'Operating costs'!$B$66,0),"n.a."))</f>
        <v>0</v>
      </c>
      <c r="N1431" s="16">
        <f>IF(NOT(Paths!$C$136=1),0,IF(Paths!$P$136="Complete",SUM(G1431:I1431)-J1431-K1431-L1431+M1431+IF(C1431=0,Paths!$F$136,0)+IF(IF(Paths!$E$136=0,C1431=0,AND(C1431&gt;0,Paths!$E$136&gt;(C1431-1)*12,Paths!$E$136&lt;=C1431*12)),VLOOKUP(A1431,'Fleet register'!$A$7:$S$106,16,FALSE),0),"n.a."))</f>
        <v>0</v>
      </c>
      <c r="O1431" s="16">
        <f>IF(NOT(Paths!$C$136=1),0,IF(Paths!$P$136="Complete",N1431-IF(C1431=0,Paths!$F$136,0),"n.a."))</f>
        <v>0</v>
      </c>
      <c r="P1431" s="16">
        <f>IF(NOT(Paths!$C$136=1),0,IF(Paths!$P$136="Complete",O1431+L1431,"n.a."))</f>
        <v>0</v>
      </c>
      <c r="Q1431" s="16">
        <f>IF(NOT(Paths!$C$136=1),0,IF(Paths!$P$136="Complete",N1431*(1+'Operating costs'!$B$54)^-C1431,"n.a."))</f>
        <v>0</v>
      </c>
      <c r="R1431" s="16">
        <f>IF(NOT(Paths!$C$136=1),0,IF(Paths!$P$136="Complete",IF(AND(C1431=0,Paths!$E$136=0),I1431-J1431-K1431+VLOOKUP(A1431,'Fleet register'!$A$7:$S$106,15,FALSE)+VLOOKUP(A1431,'Fleet register'!$A$7:$S$106,16,FALSE),0),"n.a."))</f>
        <v>0</v>
      </c>
      <c r="S1431" s="1">
        <f>IF(NOT(Paths!$C$136=1),0,IF(Paths!$P$136="Complete",IF(C1431=0,0,Paths!$S$136*Paths!$R$136),"n.a."))</f>
        <v>0</v>
      </c>
      <c r="T1431" s="1">
        <f>IF(NOT(Paths!$C$136=1),0,IF(Paths!$P$136="Complete",IF(C1431=0,0,VLOOKUP(A1431,'Fleet register'!$A$7:$S$106,9,FALSE)*Paths!$R$136),"n.a."))</f>
        <v>0</v>
      </c>
    </row>
    <row r="1432" spans="1:20" ht="24" customHeight="1">
      <c r="A1432" s="1" t="str">
        <f>Paths!$A$136</f>
        <v>T033</v>
      </c>
      <c r="B1432" s="1">
        <f>Paths!$B$136</f>
        <v>1</v>
      </c>
      <c r="C1432" s="1">
        <v>6</v>
      </c>
      <c r="D1432" s="1">
        <v>136</v>
      </c>
      <c r="E1432" s="1">
        <f>IF(OR(Paths!$C$136=0,C1432=0),0,MAX(0,MIN(C1432*12,Paths!$E$136)-(C1432-1)*12))</f>
        <v>0</v>
      </c>
      <c r="F1432" s="1">
        <f>IF(OR(Paths!$C$136=0,C1432=0),0,12-E1432)</f>
        <v>0</v>
      </c>
      <c r="G1432" s="16">
        <f>IF(NOT(Paths!$C$136=1),0,IF(Paths!$P$136="Complete",E1432/12*(Paths!$J$136*(1+'Operating costs'!$B$51)^MAX(0,C1432-1)+Paths!$K$136*(1+'Operating costs'!$B$53)^MAX(0,C1432-1)),"n.a."))</f>
        <v>0</v>
      </c>
      <c r="H1432" s="16">
        <f>IF(NOT(Paths!$C$136=1),0,IF(Paths!$P$136="Complete",F1432/12*(Paths!$L$136*(1+IF(Paths!$D$136="EV",'Operating costs'!$B$52,'Operating costs'!$B$51))^MAX(0,C1432-1)+Paths!$M$136*(1+'Operating costs'!$B$53)^MAX(0,C1432-1)),"n.a."))</f>
        <v>0</v>
      </c>
      <c r="I1432" s="16">
        <f>IF(NOT(Paths!$C$136=1),0,IF(Paths!$P$136="Complete",IF(IF(Paths!$E$136=0,C1432=0,AND(C1432&gt;0,Paths!$E$136&gt;(C1432-1)*12,Paths!$E$136&lt;=C1432*12)),Paths!$G$136,0),"n.a."))</f>
        <v>0</v>
      </c>
      <c r="J1432" s="16">
        <f>IF(NOT(Paths!$C$136=1),0,IF(Paths!$P$136="Complete",IF(IF(Paths!$E$136=0,C1432=0,AND(C1432&gt;0,Paths!$E$136&gt;(C1432-1)*12,Paths!$E$136&lt;=C1432*12)),Paths!$H$136,0),"n.a."))</f>
        <v>0</v>
      </c>
      <c r="K1432" s="16">
        <f>IF(NOT(Paths!$C$136=1),0,IF(Paths!$P$136="Complete",IF(IF(Paths!$O$136=0,C1432=0,AND(C1432&gt;0,Paths!$O$136&gt;(C1432-1)*12,Paths!$O$136&lt;=C1432*12)),Paths!$N$136,0),"n.a."))</f>
        <v>0</v>
      </c>
      <c r="L1432" s="16">
        <f>IF(NOT(Paths!$C$136=1),0,IF(Paths!$P$136="Complete",IF(C1432=10,Paths!$I$136,0),"n.a."))</f>
        <v>0</v>
      </c>
      <c r="M1432" s="16">
        <f>IF(NOT(Paths!$C$136=1),0,IF(Paths!$P$136="Complete",IF(AND(Paths!$D$136="EV",Paths!$E$136&lt;120,Paths!$E$136+'Operating costs'!$B$65&gt;Paths!$E$136,Paths!$E$136+'Operating costs'!$B$65&lt;=120,IF(Paths!$E$136+'Operating costs'!$B$65=0,C1432=0,AND(C1432&gt;0,Paths!$E$136+'Operating costs'!$B$65&gt;(C1432-1)*12,Paths!$E$136+'Operating costs'!$B$65&lt;=C1432*12))),'Operating costs'!$B$64,0)+IF(AND('Operating costs'!$B$67&gt;0,'Operating costs'!$B$67&lt;=120,OR(Paths!$D$136="ICE",'Operating costs'!$B$67&lt;=Paths!$E$136),IF('Operating costs'!$B$67=0,C1432=0,AND(C1432&gt;0,'Operating costs'!$B$67&gt;(C1432-1)*12,'Operating costs'!$B$67&lt;=C1432*12))),'Operating costs'!$B$66,0),"n.a."))</f>
        <v>0</v>
      </c>
      <c r="N1432" s="16">
        <f>IF(NOT(Paths!$C$136=1),0,IF(Paths!$P$136="Complete",SUM(G1432:I1432)-J1432-K1432-L1432+M1432+IF(C1432=0,Paths!$F$136,0)+IF(IF(Paths!$E$136=0,C1432=0,AND(C1432&gt;0,Paths!$E$136&gt;(C1432-1)*12,Paths!$E$136&lt;=C1432*12)),VLOOKUP(A1432,'Fleet register'!$A$7:$S$106,16,FALSE),0),"n.a."))</f>
        <v>0</v>
      </c>
      <c r="O1432" s="16">
        <f>IF(NOT(Paths!$C$136=1),0,IF(Paths!$P$136="Complete",N1432-IF(C1432=0,Paths!$F$136,0),"n.a."))</f>
        <v>0</v>
      </c>
      <c r="P1432" s="16">
        <f>IF(NOT(Paths!$C$136=1),0,IF(Paths!$P$136="Complete",O1432+L1432,"n.a."))</f>
        <v>0</v>
      </c>
      <c r="Q1432" s="16">
        <f>IF(NOT(Paths!$C$136=1),0,IF(Paths!$P$136="Complete",N1432*(1+'Operating costs'!$B$54)^-C1432,"n.a."))</f>
        <v>0</v>
      </c>
      <c r="R1432" s="16">
        <f>IF(NOT(Paths!$C$136=1),0,IF(Paths!$P$136="Complete",IF(AND(C1432=0,Paths!$E$136=0),I1432-J1432-K1432+VLOOKUP(A1432,'Fleet register'!$A$7:$S$106,15,FALSE)+VLOOKUP(A1432,'Fleet register'!$A$7:$S$106,16,FALSE),0),"n.a."))</f>
        <v>0</v>
      </c>
      <c r="S1432" s="1">
        <f>IF(NOT(Paths!$C$136=1),0,IF(Paths!$P$136="Complete",IF(C1432=0,0,Paths!$S$136*Paths!$R$136),"n.a."))</f>
        <v>0</v>
      </c>
      <c r="T1432" s="1">
        <f>IF(NOT(Paths!$C$136=1),0,IF(Paths!$P$136="Complete",IF(C1432=0,0,VLOOKUP(A1432,'Fleet register'!$A$7:$S$106,9,FALSE)*Paths!$R$136),"n.a."))</f>
        <v>0</v>
      </c>
    </row>
    <row r="1433" spans="1:20" ht="24" customHeight="1">
      <c r="A1433" s="1" t="str">
        <f>Paths!$A$136</f>
        <v>T033</v>
      </c>
      <c r="B1433" s="1">
        <f>Paths!$B$136</f>
        <v>1</v>
      </c>
      <c r="C1433" s="1">
        <v>7</v>
      </c>
      <c r="D1433" s="1">
        <v>136</v>
      </c>
      <c r="E1433" s="1">
        <f>IF(OR(Paths!$C$136=0,C1433=0),0,MAX(0,MIN(C1433*12,Paths!$E$136)-(C1433-1)*12))</f>
        <v>0</v>
      </c>
      <c r="F1433" s="1">
        <f>IF(OR(Paths!$C$136=0,C1433=0),0,12-E1433)</f>
        <v>0</v>
      </c>
      <c r="G1433" s="16">
        <f>IF(NOT(Paths!$C$136=1),0,IF(Paths!$P$136="Complete",E1433/12*(Paths!$J$136*(1+'Operating costs'!$B$51)^MAX(0,C1433-1)+Paths!$K$136*(1+'Operating costs'!$B$53)^MAX(0,C1433-1)),"n.a."))</f>
        <v>0</v>
      </c>
      <c r="H1433" s="16">
        <f>IF(NOT(Paths!$C$136=1),0,IF(Paths!$P$136="Complete",F1433/12*(Paths!$L$136*(1+IF(Paths!$D$136="EV",'Operating costs'!$B$52,'Operating costs'!$B$51))^MAX(0,C1433-1)+Paths!$M$136*(1+'Operating costs'!$B$53)^MAX(0,C1433-1)),"n.a."))</f>
        <v>0</v>
      </c>
      <c r="I1433" s="16">
        <f>IF(NOT(Paths!$C$136=1),0,IF(Paths!$P$136="Complete",IF(IF(Paths!$E$136=0,C1433=0,AND(C1433&gt;0,Paths!$E$136&gt;(C1433-1)*12,Paths!$E$136&lt;=C1433*12)),Paths!$G$136,0),"n.a."))</f>
        <v>0</v>
      </c>
      <c r="J1433" s="16">
        <f>IF(NOT(Paths!$C$136=1),0,IF(Paths!$P$136="Complete",IF(IF(Paths!$E$136=0,C1433=0,AND(C1433&gt;0,Paths!$E$136&gt;(C1433-1)*12,Paths!$E$136&lt;=C1433*12)),Paths!$H$136,0),"n.a."))</f>
        <v>0</v>
      </c>
      <c r="K1433" s="16">
        <f>IF(NOT(Paths!$C$136=1),0,IF(Paths!$P$136="Complete",IF(IF(Paths!$O$136=0,C1433=0,AND(C1433&gt;0,Paths!$O$136&gt;(C1433-1)*12,Paths!$O$136&lt;=C1433*12)),Paths!$N$136,0),"n.a."))</f>
        <v>0</v>
      </c>
      <c r="L1433" s="16">
        <f>IF(NOT(Paths!$C$136=1),0,IF(Paths!$P$136="Complete",IF(C1433=10,Paths!$I$136,0),"n.a."))</f>
        <v>0</v>
      </c>
      <c r="M1433" s="16">
        <f>IF(NOT(Paths!$C$136=1),0,IF(Paths!$P$136="Complete",IF(AND(Paths!$D$136="EV",Paths!$E$136&lt;120,Paths!$E$136+'Operating costs'!$B$65&gt;Paths!$E$136,Paths!$E$136+'Operating costs'!$B$65&lt;=120,IF(Paths!$E$136+'Operating costs'!$B$65=0,C1433=0,AND(C1433&gt;0,Paths!$E$136+'Operating costs'!$B$65&gt;(C1433-1)*12,Paths!$E$136+'Operating costs'!$B$65&lt;=C1433*12))),'Operating costs'!$B$64,0)+IF(AND('Operating costs'!$B$67&gt;0,'Operating costs'!$B$67&lt;=120,OR(Paths!$D$136="ICE",'Operating costs'!$B$67&lt;=Paths!$E$136),IF('Operating costs'!$B$67=0,C1433=0,AND(C1433&gt;0,'Operating costs'!$B$67&gt;(C1433-1)*12,'Operating costs'!$B$67&lt;=C1433*12))),'Operating costs'!$B$66,0),"n.a."))</f>
        <v>0</v>
      </c>
      <c r="N1433" s="16">
        <f>IF(NOT(Paths!$C$136=1),0,IF(Paths!$P$136="Complete",SUM(G1433:I1433)-J1433-K1433-L1433+M1433+IF(C1433=0,Paths!$F$136,0)+IF(IF(Paths!$E$136=0,C1433=0,AND(C1433&gt;0,Paths!$E$136&gt;(C1433-1)*12,Paths!$E$136&lt;=C1433*12)),VLOOKUP(A1433,'Fleet register'!$A$7:$S$106,16,FALSE),0),"n.a."))</f>
        <v>0</v>
      </c>
      <c r="O1433" s="16">
        <f>IF(NOT(Paths!$C$136=1),0,IF(Paths!$P$136="Complete",N1433-IF(C1433=0,Paths!$F$136,0),"n.a."))</f>
        <v>0</v>
      </c>
      <c r="P1433" s="16">
        <f>IF(NOT(Paths!$C$136=1),0,IF(Paths!$P$136="Complete",O1433+L1433,"n.a."))</f>
        <v>0</v>
      </c>
      <c r="Q1433" s="16">
        <f>IF(NOT(Paths!$C$136=1),0,IF(Paths!$P$136="Complete",N1433*(1+'Operating costs'!$B$54)^-C1433,"n.a."))</f>
        <v>0</v>
      </c>
      <c r="R1433" s="16">
        <f>IF(NOT(Paths!$C$136=1),0,IF(Paths!$P$136="Complete",IF(AND(C1433=0,Paths!$E$136=0),I1433-J1433-K1433+VLOOKUP(A1433,'Fleet register'!$A$7:$S$106,15,FALSE)+VLOOKUP(A1433,'Fleet register'!$A$7:$S$106,16,FALSE),0),"n.a."))</f>
        <v>0</v>
      </c>
      <c r="S1433" s="1">
        <f>IF(NOT(Paths!$C$136=1),0,IF(Paths!$P$136="Complete",IF(C1433=0,0,Paths!$S$136*Paths!$R$136),"n.a."))</f>
        <v>0</v>
      </c>
      <c r="T1433" s="1">
        <f>IF(NOT(Paths!$C$136=1),0,IF(Paths!$P$136="Complete",IF(C1433=0,0,VLOOKUP(A1433,'Fleet register'!$A$7:$S$106,9,FALSE)*Paths!$R$136),"n.a."))</f>
        <v>0</v>
      </c>
    </row>
    <row r="1434" spans="1:20" ht="24" customHeight="1">
      <c r="A1434" s="1" t="str">
        <f>Paths!$A$136</f>
        <v>T033</v>
      </c>
      <c r="B1434" s="1">
        <f>Paths!$B$136</f>
        <v>1</v>
      </c>
      <c r="C1434" s="1">
        <v>8</v>
      </c>
      <c r="D1434" s="1">
        <v>136</v>
      </c>
      <c r="E1434" s="1">
        <f>IF(OR(Paths!$C$136=0,C1434=0),0,MAX(0,MIN(C1434*12,Paths!$E$136)-(C1434-1)*12))</f>
        <v>0</v>
      </c>
      <c r="F1434" s="1">
        <f>IF(OR(Paths!$C$136=0,C1434=0),0,12-E1434)</f>
        <v>0</v>
      </c>
      <c r="G1434" s="16">
        <f>IF(NOT(Paths!$C$136=1),0,IF(Paths!$P$136="Complete",E1434/12*(Paths!$J$136*(1+'Operating costs'!$B$51)^MAX(0,C1434-1)+Paths!$K$136*(1+'Operating costs'!$B$53)^MAX(0,C1434-1)),"n.a."))</f>
        <v>0</v>
      </c>
      <c r="H1434" s="16">
        <f>IF(NOT(Paths!$C$136=1),0,IF(Paths!$P$136="Complete",F1434/12*(Paths!$L$136*(1+IF(Paths!$D$136="EV",'Operating costs'!$B$52,'Operating costs'!$B$51))^MAX(0,C1434-1)+Paths!$M$136*(1+'Operating costs'!$B$53)^MAX(0,C1434-1)),"n.a."))</f>
        <v>0</v>
      </c>
      <c r="I1434" s="16">
        <f>IF(NOT(Paths!$C$136=1),0,IF(Paths!$P$136="Complete",IF(IF(Paths!$E$136=0,C1434=0,AND(C1434&gt;0,Paths!$E$136&gt;(C1434-1)*12,Paths!$E$136&lt;=C1434*12)),Paths!$G$136,0),"n.a."))</f>
        <v>0</v>
      </c>
      <c r="J1434" s="16">
        <f>IF(NOT(Paths!$C$136=1),0,IF(Paths!$P$136="Complete",IF(IF(Paths!$E$136=0,C1434=0,AND(C1434&gt;0,Paths!$E$136&gt;(C1434-1)*12,Paths!$E$136&lt;=C1434*12)),Paths!$H$136,0),"n.a."))</f>
        <v>0</v>
      </c>
      <c r="K1434" s="16">
        <f>IF(NOT(Paths!$C$136=1),0,IF(Paths!$P$136="Complete",IF(IF(Paths!$O$136=0,C1434=0,AND(C1434&gt;0,Paths!$O$136&gt;(C1434-1)*12,Paths!$O$136&lt;=C1434*12)),Paths!$N$136,0),"n.a."))</f>
        <v>0</v>
      </c>
      <c r="L1434" s="16">
        <f>IF(NOT(Paths!$C$136=1),0,IF(Paths!$P$136="Complete",IF(C1434=10,Paths!$I$136,0),"n.a."))</f>
        <v>0</v>
      </c>
      <c r="M1434" s="16">
        <f>IF(NOT(Paths!$C$136=1),0,IF(Paths!$P$136="Complete",IF(AND(Paths!$D$136="EV",Paths!$E$136&lt;120,Paths!$E$136+'Operating costs'!$B$65&gt;Paths!$E$136,Paths!$E$136+'Operating costs'!$B$65&lt;=120,IF(Paths!$E$136+'Operating costs'!$B$65=0,C1434=0,AND(C1434&gt;0,Paths!$E$136+'Operating costs'!$B$65&gt;(C1434-1)*12,Paths!$E$136+'Operating costs'!$B$65&lt;=C1434*12))),'Operating costs'!$B$64,0)+IF(AND('Operating costs'!$B$67&gt;0,'Operating costs'!$B$67&lt;=120,OR(Paths!$D$136="ICE",'Operating costs'!$B$67&lt;=Paths!$E$136),IF('Operating costs'!$B$67=0,C1434=0,AND(C1434&gt;0,'Operating costs'!$B$67&gt;(C1434-1)*12,'Operating costs'!$B$67&lt;=C1434*12))),'Operating costs'!$B$66,0),"n.a."))</f>
        <v>0</v>
      </c>
      <c r="N1434" s="16">
        <f>IF(NOT(Paths!$C$136=1),0,IF(Paths!$P$136="Complete",SUM(G1434:I1434)-J1434-K1434-L1434+M1434+IF(C1434=0,Paths!$F$136,0)+IF(IF(Paths!$E$136=0,C1434=0,AND(C1434&gt;0,Paths!$E$136&gt;(C1434-1)*12,Paths!$E$136&lt;=C1434*12)),VLOOKUP(A1434,'Fleet register'!$A$7:$S$106,16,FALSE),0),"n.a."))</f>
        <v>0</v>
      </c>
      <c r="O1434" s="16">
        <f>IF(NOT(Paths!$C$136=1),0,IF(Paths!$P$136="Complete",N1434-IF(C1434=0,Paths!$F$136,0),"n.a."))</f>
        <v>0</v>
      </c>
      <c r="P1434" s="16">
        <f>IF(NOT(Paths!$C$136=1),0,IF(Paths!$P$136="Complete",O1434+L1434,"n.a."))</f>
        <v>0</v>
      </c>
      <c r="Q1434" s="16">
        <f>IF(NOT(Paths!$C$136=1),0,IF(Paths!$P$136="Complete",N1434*(1+'Operating costs'!$B$54)^-C1434,"n.a."))</f>
        <v>0</v>
      </c>
      <c r="R1434" s="16">
        <f>IF(NOT(Paths!$C$136=1),0,IF(Paths!$P$136="Complete",IF(AND(C1434=0,Paths!$E$136=0),I1434-J1434-K1434+VLOOKUP(A1434,'Fleet register'!$A$7:$S$106,15,FALSE)+VLOOKUP(A1434,'Fleet register'!$A$7:$S$106,16,FALSE),0),"n.a."))</f>
        <v>0</v>
      </c>
      <c r="S1434" s="1">
        <f>IF(NOT(Paths!$C$136=1),0,IF(Paths!$P$136="Complete",IF(C1434=0,0,Paths!$S$136*Paths!$R$136),"n.a."))</f>
        <v>0</v>
      </c>
      <c r="T1434" s="1">
        <f>IF(NOT(Paths!$C$136=1),0,IF(Paths!$P$136="Complete",IF(C1434=0,0,VLOOKUP(A1434,'Fleet register'!$A$7:$S$106,9,FALSE)*Paths!$R$136),"n.a."))</f>
        <v>0</v>
      </c>
    </row>
    <row r="1435" spans="1:20" ht="24" customHeight="1">
      <c r="A1435" s="1" t="str">
        <f>Paths!$A$136</f>
        <v>T033</v>
      </c>
      <c r="B1435" s="1">
        <f>Paths!$B$136</f>
        <v>1</v>
      </c>
      <c r="C1435" s="1">
        <v>9</v>
      </c>
      <c r="D1435" s="1">
        <v>136</v>
      </c>
      <c r="E1435" s="1">
        <f>IF(OR(Paths!$C$136=0,C1435=0),0,MAX(0,MIN(C1435*12,Paths!$E$136)-(C1435-1)*12))</f>
        <v>0</v>
      </c>
      <c r="F1435" s="1">
        <f>IF(OR(Paths!$C$136=0,C1435=0),0,12-E1435)</f>
        <v>0</v>
      </c>
      <c r="G1435" s="16">
        <f>IF(NOT(Paths!$C$136=1),0,IF(Paths!$P$136="Complete",E1435/12*(Paths!$J$136*(1+'Operating costs'!$B$51)^MAX(0,C1435-1)+Paths!$K$136*(1+'Operating costs'!$B$53)^MAX(0,C1435-1)),"n.a."))</f>
        <v>0</v>
      </c>
      <c r="H1435" s="16">
        <f>IF(NOT(Paths!$C$136=1),0,IF(Paths!$P$136="Complete",F1435/12*(Paths!$L$136*(1+IF(Paths!$D$136="EV",'Operating costs'!$B$52,'Operating costs'!$B$51))^MAX(0,C1435-1)+Paths!$M$136*(1+'Operating costs'!$B$53)^MAX(0,C1435-1)),"n.a."))</f>
        <v>0</v>
      </c>
      <c r="I1435" s="16">
        <f>IF(NOT(Paths!$C$136=1),0,IF(Paths!$P$136="Complete",IF(IF(Paths!$E$136=0,C1435=0,AND(C1435&gt;0,Paths!$E$136&gt;(C1435-1)*12,Paths!$E$136&lt;=C1435*12)),Paths!$G$136,0),"n.a."))</f>
        <v>0</v>
      </c>
      <c r="J1435" s="16">
        <f>IF(NOT(Paths!$C$136=1),0,IF(Paths!$P$136="Complete",IF(IF(Paths!$E$136=0,C1435=0,AND(C1435&gt;0,Paths!$E$136&gt;(C1435-1)*12,Paths!$E$136&lt;=C1435*12)),Paths!$H$136,0),"n.a."))</f>
        <v>0</v>
      </c>
      <c r="K1435" s="16">
        <f>IF(NOT(Paths!$C$136=1),0,IF(Paths!$P$136="Complete",IF(IF(Paths!$O$136=0,C1435=0,AND(C1435&gt;0,Paths!$O$136&gt;(C1435-1)*12,Paths!$O$136&lt;=C1435*12)),Paths!$N$136,0),"n.a."))</f>
        <v>0</v>
      </c>
      <c r="L1435" s="16">
        <f>IF(NOT(Paths!$C$136=1),0,IF(Paths!$P$136="Complete",IF(C1435=10,Paths!$I$136,0),"n.a."))</f>
        <v>0</v>
      </c>
      <c r="M1435" s="16">
        <f>IF(NOT(Paths!$C$136=1),0,IF(Paths!$P$136="Complete",IF(AND(Paths!$D$136="EV",Paths!$E$136&lt;120,Paths!$E$136+'Operating costs'!$B$65&gt;Paths!$E$136,Paths!$E$136+'Operating costs'!$B$65&lt;=120,IF(Paths!$E$136+'Operating costs'!$B$65=0,C1435=0,AND(C1435&gt;0,Paths!$E$136+'Operating costs'!$B$65&gt;(C1435-1)*12,Paths!$E$136+'Operating costs'!$B$65&lt;=C1435*12))),'Operating costs'!$B$64,0)+IF(AND('Operating costs'!$B$67&gt;0,'Operating costs'!$B$67&lt;=120,OR(Paths!$D$136="ICE",'Operating costs'!$B$67&lt;=Paths!$E$136),IF('Operating costs'!$B$67=0,C1435=0,AND(C1435&gt;0,'Operating costs'!$B$67&gt;(C1435-1)*12,'Operating costs'!$B$67&lt;=C1435*12))),'Operating costs'!$B$66,0),"n.a."))</f>
        <v>0</v>
      </c>
      <c r="N1435" s="16">
        <f>IF(NOT(Paths!$C$136=1),0,IF(Paths!$P$136="Complete",SUM(G1435:I1435)-J1435-K1435-L1435+M1435+IF(C1435=0,Paths!$F$136,0)+IF(IF(Paths!$E$136=0,C1435=0,AND(C1435&gt;0,Paths!$E$136&gt;(C1435-1)*12,Paths!$E$136&lt;=C1435*12)),VLOOKUP(A1435,'Fleet register'!$A$7:$S$106,16,FALSE),0),"n.a."))</f>
        <v>0</v>
      </c>
      <c r="O1435" s="16">
        <f>IF(NOT(Paths!$C$136=1),0,IF(Paths!$P$136="Complete",N1435-IF(C1435=0,Paths!$F$136,0),"n.a."))</f>
        <v>0</v>
      </c>
      <c r="P1435" s="16">
        <f>IF(NOT(Paths!$C$136=1),0,IF(Paths!$P$136="Complete",O1435+L1435,"n.a."))</f>
        <v>0</v>
      </c>
      <c r="Q1435" s="16">
        <f>IF(NOT(Paths!$C$136=1),0,IF(Paths!$P$136="Complete",N1435*(1+'Operating costs'!$B$54)^-C1435,"n.a."))</f>
        <v>0</v>
      </c>
      <c r="R1435" s="16">
        <f>IF(NOT(Paths!$C$136=1),0,IF(Paths!$P$136="Complete",IF(AND(C1435=0,Paths!$E$136=0),I1435-J1435-K1435+VLOOKUP(A1435,'Fleet register'!$A$7:$S$106,15,FALSE)+VLOOKUP(A1435,'Fleet register'!$A$7:$S$106,16,FALSE),0),"n.a."))</f>
        <v>0</v>
      </c>
      <c r="S1435" s="1">
        <f>IF(NOT(Paths!$C$136=1),0,IF(Paths!$P$136="Complete",IF(C1435=0,0,Paths!$S$136*Paths!$R$136),"n.a."))</f>
        <v>0</v>
      </c>
      <c r="T1435" s="1">
        <f>IF(NOT(Paths!$C$136=1),0,IF(Paths!$P$136="Complete",IF(C1435=0,0,VLOOKUP(A1435,'Fleet register'!$A$7:$S$106,9,FALSE)*Paths!$R$136),"n.a."))</f>
        <v>0</v>
      </c>
    </row>
    <row r="1436" spans="1:20" ht="24" customHeight="1">
      <c r="A1436" s="1" t="str">
        <f>Paths!$A$136</f>
        <v>T033</v>
      </c>
      <c r="B1436" s="1">
        <f>Paths!$B$136</f>
        <v>1</v>
      </c>
      <c r="C1436" s="1">
        <v>10</v>
      </c>
      <c r="D1436" s="1">
        <v>136</v>
      </c>
      <c r="E1436" s="1">
        <f>IF(OR(Paths!$C$136=0,C1436=0),0,MAX(0,MIN(C1436*12,Paths!$E$136)-(C1436-1)*12))</f>
        <v>0</v>
      </c>
      <c r="F1436" s="1">
        <f>IF(OR(Paths!$C$136=0,C1436=0),0,12-E1436)</f>
        <v>0</v>
      </c>
      <c r="G1436" s="16">
        <f>IF(NOT(Paths!$C$136=1),0,IF(Paths!$P$136="Complete",E1436/12*(Paths!$J$136*(1+'Operating costs'!$B$51)^MAX(0,C1436-1)+Paths!$K$136*(1+'Operating costs'!$B$53)^MAX(0,C1436-1)),"n.a."))</f>
        <v>0</v>
      </c>
      <c r="H1436" s="16">
        <f>IF(NOT(Paths!$C$136=1),0,IF(Paths!$P$136="Complete",F1436/12*(Paths!$L$136*(1+IF(Paths!$D$136="EV",'Operating costs'!$B$52,'Operating costs'!$B$51))^MAX(0,C1436-1)+Paths!$M$136*(1+'Operating costs'!$B$53)^MAX(0,C1436-1)),"n.a."))</f>
        <v>0</v>
      </c>
      <c r="I1436" s="16">
        <f>IF(NOT(Paths!$C$136=1),0,IF(Paths!$P$136="Complete",IF(IF(Paths!$E$136=0,C1436=0,AND(C1436&gt;0,Paths!$E$136&gt;(C1436-1)*12,Paths!$E$136&lt;=C1436*12)),Paths!$G$136,0),"n.a."))</f>
        <v>0</v>
      </c>
      <c r="J1436" s="16">
        <f>IF(NOT(Paths!$C$136=1),0,IF(Paths!$P$136="Complete",IF(IF(Paths!$E$136=0,C1436=0,AND(C1436&gt;0,Paths!$E$136&gt;(C1436-1)*12,Paths!$E$136&lt;=C1436*12)),Paths!$H$136,0),"n.a."))</f>
        <v>0</v>
      </c>
      <c r="K1436" s="16">
        <f>IF(NOT(Paths!$C$136=1),0,IF(Paths!$P$136="Complete",IF(IF(Paths!$O$136=0,C1436=0,AND(C1436&gt;0,Paths!$O$136&gt;(C1436-1)*12,Paths!$O$136&lt;=C1436*12)),Paths!$N$136,0),"n.a."))</f>
        <v>0</v>
      </c>
      <c r="L1436" s="16">
        <f>IF(NOT(Paths!$C$136=1),0,IF(Paths!$P$136="Complete",IF(C1436=10,Paths!$I$136,0),"n.a."))</f>
        <v>0</v>
      </c>
      <c r="M1436" s="16">
        <f>IF(NOT(Paths!$C$136=1),0,IF(Paths!$P$136="Complete",IF(AND(Paths!$D$136="EV",Paths!$E$136&lt;120,Paths!$E$136+'Operating costs'!$B$65&gt;Paths!$E$136,Paths!$E$136+'Operating costs'!$B$65&lt;=120,IF(Paths!$E$136+'Operating costs'!$B$65=0,C1436=0,AND(C1436&gt;0,Paths!$E$136+'Operating costs'!$B$65&gt;(C1436-1)*12,Paths!$E$136+'Operating costs'!$B$65&lt;=C1436*12))),'Operating costs'!$B$64,0)+IF(AND('Operating costs'!$B$67&gt;0,'Operating costs'!$B$67&lt;=120,OR(Paths!$D$136="ICE",'Operating costs'!$B$67&lt;=Paths!$E$136),IF('Operating costs'!$B$67=0,C1436=0,AND(C1436&gt;0,'Operating costs'!$B$67&gt;(C1436-1)*12,'Operating costs'!$B$67&lt;=C1436*12))),'Operating costs'!$B$66,0),"n.a."))</f>
        <v>0</v>
      </c>
      <c r="N1436" s="16">
        <f>IF(NOT(Paths!$C$136=1),0,IF(Paths!$P$136="Complete",SUM(G1436:I1436)-J1436-K1436-L1436+M1436+IF(C1436=0,Paths!$F$136,0)+IF(IF(Paths!$E$136=0,C1436=0,AND(C1436&gt;0,Paths!$E$136&gt;(C1436-1)*12,Paths!$E$136&lt;=C1436*12)),VLOOKUP(A1436,'Fleet register'!$A$7:$S$106,16,FALSE),0),"n.a."))</f>
        <v>0</v>
      </c>
      <c r="O1436" s="16">
        <f>IF(NOT(Paths!$C$136=1),0,IF(Paths!$P$136="Complete",N1436-IF(C1436=0,Paths!$F$136,0),"n.a."))</f>
        <v>0</v>
      </c>
      <c r="P1436" s="16">
        <f>IF(NOT(Paths!$C$136=1),0,IF(Paths!$P$136="Complete",O1436+L1436,"n.a."))</f>
        <v>0</v>
      </c>
      <c r="Q1436" s="16">
        <f>IF(NOT(Paths!$C$136=1),0,IF(Paths!$P$136="Complete",N1436*(1+'Operating costs'!$B$54)^-C1436,"n.a."))</f>
        <v>0</v>
      </c>
      <c r="R1436" s="16">
        <f>IF(NOT(Paths!$C$136=1),0,IF(Paths!$P$136="Complete",IF(AND(C1436=0,Paths!$E$136=0),I1436-J1436-K1436+VLOOKUP(A1436,'Fleet register'!$A$7:$S$106,15,FALSE)+VLOOKUP(A1436,'Fleet register'!$A$7:$S$106,16,FALSE),0),"n.a."))</f>
        <v>0</v>
      </c>
      <c r="S1436" s="1">
        <f>IF(NOT(Paths!$C$136=1),0,IF(Paths!$P$136="Complete",IF(C1436=0,0,Paths!$S$136*Paths!$R$136),"n.a."))</f>
        <v>0</v>
      </c>
      <c r="T1436" s="1">
        <f>IF(NOT(Paths!$C$136=1),0,IF(Paths!$P$136="Complete",IF(C1436=0,0,VLOOKUP(A1436,'Fleet register'!$A$7:$S$106,9,FALSE)*Paths!$R$136),"n.a."))</f>
        <v>0</v>
      </c>
    </row>
    <row r="1437" spans="1:20" ht="24" customHeight="1">
      <c r="A1437" s="1" t="str">
        <f>Paths!$A$137</f>
        <v>T033</v>
      </c>
      <c r="B1437" s="1">
        <f>Paths!$B$137</f>
        <v>2</v>
      </c>
      <c r="C1437" s="1">
        <v>0</v>
      </c>
      <c r="D1437" s="1">
        <v>137</v>
      </c>
      <c r="E1437" s="1">
        <f>IF(OR(Paths!$C$137=0,C1437=0),0,MAX(0,MIN(C1437*12,Paths!$E$137)-(C1437-1)*12))</f>
        <v>0</v>
      </c>
      <c r="F1437" s="1">
        <f>IF(OR(Paths!$C$137=0,C1437=0),0,12-E1437)</f>
        <v>0</v>
      </c>
      <c r="G1437" s="16">
        <f>IF(NOT(Paths!$C$137=1),0,IF(Paths!$P$137="Complete",E1437/12*(Paths!$J$137*(1+'Operating costs'!$B$51)^MAX(0,C1437-1)+Paths!$K$137*(1+'Operating costs'!$B$53)^MAX(0,C1437-1)),"n.a."))</f>
        <v>0</v>
      </c>
      <c r="H1437" s="16">
        <f>IF(NOT(Paths!$C$137=1),0,IF(Paths!$P$137="Complete",F1437/12*(Paths!$L$137*(1+IF(Paths!$D$137="EV",'Operating costs'!$B$52,'Operating costs'!$B$51))^MAX(0,C1437-1)+Paths!$M$137*(1+'Operating costs'!$B$53)^MAX(0,C1437-1)),"n.a."))</f>
        <v>0</v>
      </c>
      <c r="I1437" s="16">
        <f>IF(NOT(Paths!$C$137=1),0,IF(Paths!$P$137="Complete",IF(IF(Paths!$E$137=0,C1437=0,AND(C1437&gt;0,Paths!$E$137&gt;(C1437-1)*12,Paths!$E$137&lt;=C1437*12)),Paths!$G$137,0),"n.a."))</f>
        <v>0</v>
      </c>
      <c r="J1437" s="16">
        <f>IF(NOT(Paths!$C$137=1),0,IF(Paths!$P$137="Complete",IF(IF(Paths!$E$137=0,C1437=0,AND(C1437&gt;0,Paths!$E$137&gt;(C1437-1)*12,Paths!$E$137&lt;=C1437*12)),Paths!$H$137,0),"n.a."))</f>
        <v>0</v>
      </c>
      <c r="K1437" s="16">
        <f>IF(NOT(Paths!$C$137=1),0,IF(Paths!$P$137="Complete",IF(IF(Paths!$O$137=0,C1437=0,AND(C1437&gt;0,Paths!$O$137&gt;(C1437-1)*12,Paths!$O$137&lt;=C1437*12)),Paths!$N$137,0),"n.a."))</f>
        <v>0</v>
      </c>
      <c r="L1437" s="16">
        <f>IF(NOT(Paths!$C$137=1),0,IF(Paths!$P$137="Complete",IF(C1437=10,Paths!$I$137,0),"n.a."))</f>
        <v>0</v>
      </c>
      <c r="M1437" s="16">
        <f>IF(NOT(Paths!$C$137=1),0,IF(Paths!$P$137="Complete",IF(AND(Paths!$D$137="EV",Paths!$E$137&lt;120,Paths!$E$137+'Operating costs'!$B$65&gt;Paths!$E$137,Paths!$E$137+'Operating costs'!$B$65&lt;=120,IF(Paths!$E$137+'Operating costs'!$B$65=0,C1437=0,AND(C1437&gt;0,Paths!$E$137+'Operating costs'!$B$65&gt;(C1437-1)*12,Paths!$E$137+'Operating costs'!$B$65&lt;=C1437*12))),'Operating costs'!$B$64,0)+IF(AND('Operating costs'!$B$67&gt;0,'Operating costs'!$B$67&lt;=120,OR(Paths!$D$137="ICE",'Operating costs'!$B$67&lt;=Paths!$E$137),IF('Operating costs'!$B$67=0,C1437=0,AND(C1437&gt;0,'Operating costs'!$B$67&gt;(C1437-1)*12,'Operating costs'!$B$67&lt;=C1437*12))),'Operating costs'!$B$66,0),"n.a."))</f>
        <v>0</v>
      </c>
      <c r="N1437" s="16">
        <f>IF(NOT(Paths!$C$137=1),0,IF(Paths!$P$137="Complete",SUM(G1437:I1437)-J1437-K1437-L1437+M1437+IF(C1437=0,Paths!$F$137,0)+IF(IF(Paths!$E$137=0,C1437=0,AND(C1437&gt;0,Paths!$E$137&gt;(C1437-1)*12,Paths!$E$137&lt;=C1437*12)),VLOOKUP(A1437,'Fleet register'!$A$7:$S$106,16,FALSE),0),"n.a."))</f>
        <v>0</v>
      </c>
      <c r="O1437" s="16">
        <f>IF(NOT(Paths!$C$137=1),0,IF(Paths!$P$137="Complete",N1437-IF(C1437=0,Paths!$F$137,0),"n.a."))</f>
        <v>0</v>
      </c>
      <c r="P1437" s="16">
        <f>IF(NOT(Paths!$C$137=1),0,IF(Paths!$P$137="Complete",O1437+L1437,"n.a."))</f>
        <v>0</v>
      </c>
      <c r="Q1437" s="16">
        <f>IF(NOT(Paths!$C$137=1),0,IF(Paths!$P$137="Complete",N1437*(1+'Operating costs'!$B$54)^-C1437,"n.a."))</f>
        <v>0</v>
      </c>
      <c r="R1437" s="16">
        <f>IF(NOT(Paths!$C$137=1),0,IF(Paths!$P$137="Complete",IF(AND(C1437=0,Paths!$E$137=0),I1437-J1437-K1437+VLOOKUP(A1437,'Fleet register'!$A$7:$S$106,15,FALSE)+VLOOKUP(A1437,'Fleet register'!$A$7:$S$106,16,FALSE),0),"n.a."))</f>
        <v>0</v>
      </c>
      <c r="S1437" s="1">
        <f>IF(NOT(Paths!$C$137=1),0,IF(Paths!$P$137="Complete",IF(C1437=0,0,Paths!$S$137*Paths!$R$137),"n.a."))</f>
        <v>0</v>
      </c>
      <c r="T1437" s="1">
        <f>IF(NOT(Paths!$C$137=1),0,IF(Paths!$P$137="Complete",IF(C1437=0,0,VLOOKUP(A1437,'Fleet register'!$A$7:$S$106,9,FALSE)*Paths!$R$137),"n.a."))</f>
        <v>0</v>
      </c>
    </row>
    <row r="1438" spans="1:20" ht="24" customHeight="1">
      <c r="A1438" s="1" t="str">
        <f>Paths!$A$137</f>
        <v>T033</v>
      </c>
      <c r="B1438" s="1">
        <f>Paths!$B$137</f>
        <v>2</v>
      </c>
      <c r="C1438" s="1">
        <v>1</v>
      </c>
      <c r="D1438" s="1">
        <v>137</v>
      </c>
      <c r="E1438" s="1">
        <f>IF(OR(Paths!$C$137=0,C1438=0),0,MAX(0,MIN(C1438*12,Paths!$E$137)-(C1438-1)*12))</f>
        <v>0</v>
      </c>
      <c r="F1438" s="1">
        <f>IF(OR(Paths!$C$137=0,C1438=0),0,12-E1438)</f>
        <v>0</v>
      </c>
      <c r="G1438" s="16">
        <f>IF(NOT(Paths!$C$137=1),0,IF(Paths!$P$137="Complete",E1438/12*(Paths!$J$137*(1+'Operating costs'!$B$51)^MAX(0,C1438-1)+Paths!$K$137*(1+'Operating costs'!$B$53)^MAX(0,C1438-1)),"n.a."))</f>
        <v>0</v>
      </c>
      <c r="H1438" s="16">
        <f>IF(NOT(Paths!$C$137=1),0,IF(Paths!$P$137="Complete",F1438/12*(Paths!$L$137*(1+IF(Paths!$D$137="EV",'Operating costs'!$B$52,'Operating costs'!$B$51))^MAX(0,C1438-1)+Paths!$M$137*(1+'Operating costs'!$B$53)^MAX(0,C1438-1)),"n.a."))</f>
        <v>0</v>
      </c>
      <c r="I1438" s="16">
        <f>IF(NOT(Paths!$C$137=1),0,IF(Paths!$P$137="Complete",IF(IF(Paths!$E$137=0,C1438=0,AND(C1438&gt;0,Paths!$E$137&gt;(C1438-1)*12,Paths!$E$137&lt;=C1438*12)),Paths!$G$137,0),"n.a."))</f>
        <v>0</v>
      </c>
      <c r="J1438" s="16">
        <f>IF(NOT(Paths!$C$137=1),0,IF(Paths!$P$137="Complete",IF(IF(Paths!$E$137=0,C1438=0,AND(C1438&gt;0,Paths!$E$137&gt;(C1438-1)*12,Paths!$E$137&lt;=C1438*12)),Paths!$H$137,0),"n.a."))</f>
        <v>0</v>
      </c>
      <c r="K1438" s="16">
        <f>IF(NOT(Paths!$C$137=1),0,IF(Paths!$P$137="Complete",IF(IF(Paths!$O$137=0,C1438=0,AND(C1438&gt;0,Paths!$O$137&gt;(C1438-1)*12,Paths!$O$137&lt;=C1438*12)),Paths!$N$137,0),"n.a."))</f>
        <v>0</v>
      </c>
      <c r="L1438" s="16">
        <f>IF(NOT(Paths!$C$137=1),0,IF(Paths!$P$137="Complete",IF(C1438=10,Paths!$I$137,0),"n.a."))</f>
        <v>0</v>
      </c>
      <c r="M1438" s="16">
        <f>IF(NOT(Paths!$C$137=1),0,IF(Paths!$P$137="Complete",IF(AND(Paths!$D$137="EV",Paths!$E$137&lt;120,Paths!$E$137+'Operating costs'!$B$65&gt;Paths!$E$137,Paths!$E$137+'Operating costs'!$B$65&lt;=120,IF(Paths!$E$137+'Operating costs'!$B$65=0,C1438=0,AND(C1438&gt;0,Paths!$E$137+'Operating costs'!$B$65&gt;(C1438-1)*12,Paths!$E$137+'Operating costs'!$B$65&lt;=C1438*12))),'Operating costs'!$B$64,0)+IF(AND('Operating costs'!$B$67&gt;0,'Operating costs'!$B$67&lt;=120,OR(Paths!$D$137="ICE",'Operating costs'!$B$67&lt;=Paths!$E$137),IF('Operating costs'!$B$67=0,C1438=0,AND(C1438&gt;0,'Operating costs'!$B$67&gt;(C1438-1)*12,'Operating costs'!$B$67&lt;=C1438*12))),'Operating costs'!$B$66,0),"n.a."))</f>
        <v>0</v>
      </c>
      <c r="N1438" s="16">
        <f>IF(NOT(Paths!$C$137=1),0,IF(Paths!$P$137="Complete",SUM(G1438:I1438)-J1438-K1438-L1438+M1438+IF(C1438=0,Paths!$F$137,0)+IF(IF(Paths!$E$137=0,C1438=0,AND(C1438&gt;0,Paths!$E$137&gt;(C1438-1)*12,Paths!$E$137&lt;=C1438*12)),VLOOKUP(A1438,'Fleet register'!$A$7:$S$106,16,FALSE),0),"n.a."))</f>
        <v>0</v>
      </c>
      <c r="O1438" s="16">
        <f>IF(NOT(Paths!$C$137=1),0,IF(Paths!$P$137="Complete",N1438-IF(C1438=0,Paths!$F$137,0),"n.a."))</f>
        <v>0</v>
      </c>
      <c r="P1438" s="16">
        <f>IF(NOT(Paths!$C$137=1),0,IF(Paths!$P$137="Complete",O1438+L1438,"n.a."))</f>
        <v>0</v>
      </c>
      <c r="Q1438" s="16">
        <f>IF(NOT(Paths!$C$137=1),0,IF(Paths!$P$137="Complete",N1438*(1+'Operating costs'!$B$54)^-C1438,"n.a."))</f>
        <v>0</v>
      </c>
      <c r="R1438" s="16">
        <f>IF(NOT(Paths!$C$137=1),0,IF(Paths!$P$137="Complete",IF(AND(C1438=0,Paths!$E$137=0),I1438-J1438-K1438+VLOOKUP(A1438,'Fleet register'!$A$7:$S$106,15,FALSE)+VLOOKUP(A1438,'Fleet register'!$A$7:$S$106,16,FALSE),0),"n.a."))</f>
        <v>0</v>
      </c>
      <c r="S1438" s="1">
        <f>IF(NOT(Paths!$C$137=1),0,IF(Paths!$P$137="Complete",IF(C1438=0,0,Paths!$S$137*Paths!$R$137),"n.a."))</f>
        <v>0</v>
      </c>
      <c r="T1438" s="1">
        <f>IF(NOT(Paths!$C$137=1),0,IF(Paths!$P$137="Complete",IF(C1438=0,0,VLOOKUP(A1438,'Fleet register'!$A$7:$S$106,9,FALSE)*Paths!$R$137),"n.a."))</f>
        <v>0</v>
      </c>
    </row>
    <row r="1439" spans="1:20" ht="24" customHeight="1">
      <c r="A1439" s="1" t="str">
        <f>Paths!$A$137</f>
        <v>T033</v>
      </c>
      <c r="B1439" s="1">
        <f>Paths!$B$137</f>
        <v>2</v>
      </c>
      <c r="C1439" s="1">
        <v>2</v>
      </c>
      <c r="D1439" s="1">
        <v>137</v>
      </c>
      <c r="E1439" s="1">
        <f>IF(OR(Paths!$C$137=0,C1439=0),0,MAX(0,MIN(C1439*12,Paths!$E$137)-(C1439-1)*12))</f>
        <v>0</v>
      </c>
      <c r="F1439" s="1">
        <f>IF(OR(Paths!$C$137=0,C1439=0),0,12-E1439)</f>
        <v>0</v>
      </c>
      <c r="G1439" s="16">
        <f>IF(NOT(Paths!$C$137=1),0,IF(Paths!$P$137="Complete",E1439/12*(Paths!$J$137*(1+'Operating costs'!$B$51)^MAX(0,C1439-1)+Paths!$K$137*(1+'Operating costs'!$B$53)^MAX(0,C1439-1)),"n.a."))</f>
        <v>0</v>
      </c>
      <c r="H1439" s="16">
        <f>IF(NOT(Paths!$C$137=1),0,IF(Paths!$P$137="Complete",F1439/12*(Paths!$L$137*(1+IF(Paths!$D$137="EV",'Operating costs'!$B$52,'Operating costs'!$B$51))^MAX(0,C1439-1)+Paths!$M$137*(1+'Operating costs'!$B$53)^MAX(0,C1439-1)),"n.a."))</f>
        <v>0</v>
      </c>
      <c r="I1439" s="16">
        <f>IF(NOT(Paths!$C$137=1),0,IF(Paths!$P$137="Complete",IF(IF(Paths!$E$137=0,C1439=0,AND(C1439&gt;0,Paths!$E$137&gt;(C1439-1)*12,Paths!$E$137&lt;=C1439*12)),Paths!$G$137,0),"n.a."))</f>
        <v>0</v>
      </c>
      <c r="J1439" s="16">
        <f>IF(NOT(Paths!$C$137=1),0,IF(Paths!$P$137="Complete",IF(IF(Paths!$E$137=0,C1439=0,AND(C1439&gt;0,Paths!$E$137&gt;(C1439-1)*12,Paths!$E$137&lt;=C1439*12)),Paths!$H$137,0),"n.a."))</f>
        <v>0</v>
      </c>
      <c r="K1439" s="16">
        <f>IF(NOT(Paths!$C$137=1),0,IF(Paths!$P$137="Complete",IF(IF(Paths!$O$137=0,C1439=0,AND(C1439&gt;0,Paths!$O$137&gt;(C1439-1)*12,Paths!$O$137&lt;=C1439*12)),Paths!$N$137,0),"n.a."))</f>
        <v>0</v>
      </c>
      <c r="L1439" s="16">
        <f>IF(NOT(Paths!$C$137=1),0,IF(Paths!$P$137="Complete",IF(C1439=10,Paths!$I$137,0),"n.a."))</f>
        <v>0</v>
      </c>
      <c r="M1439" s="16">
        <f>IF(NOT(Paths!$C$137=1),0,IF(Paths!$P$137="Complete",IF(AND(Paths!$D$137="EV",Paths!$E$137&lt;120,Paths!$E$137+'Operating costs'!$B$65&gt;Paths!$E$137,Paths!$E$137+'Operating costs'!$B$65&lt;=120,IF(Paths!$E$137+'Operating costs'!$B$65=0,C1439=0,AND(C1439&gt;0,Paths!$E$137+'Operating costs'!$B$65&gt;(C1439-1)*12,Paths!$E$137+'Operating costs'!$B$65&lt;=C1439*12))),'Operating costs'!$B$64,0)+IF(AND('Operating costs'!$B$67&gt;0,'Operating costs'!$B$67&lt;=120,OR(Paths!$D$137="ICE",'Operating costs'!$B$67&lt;=Paths!$E$137),IF('Operating costs'!$B$67=0,C1439=0,AND(C1439&gt;0,'Operating costs'!$B$67&gt;(C1439-1)*12,'Operating costs'!$B$67&lt;=C1439*12))),'Operating costs'!$B$66,0),"n.a."))</f>
        <v>0</v>
      </c>
      <c r="N1439" s="16">
        <f>IF(NOT(Paths!$C$137=1),0,IF(Paths!$P$137="Complete",SUM(G1439:I1439)-J1439-K1439-L1439+M1439+IF(C1439=0,Paths!$F$137,0)+IF(IF(Paths!$E$137=0,C1439=0,AND(C1439&gt;0,Paths!$E$137&gt;(C1439-1)*12,Paths!$E$137&lt;=C1439*12)),VLOOKUP(A1439,'Fleet register'!$A$7:$S$106,16,FALSE),0),"n.a."))</f>
        <v>0</v>
      </c>
      <c r="O1439" s="16">
        <f>IF(NOT(Paths!$C$137=1),0,IF(Paths!$P$137="Complete",N1439-IF(C1439=0,Paths!$F$137,0),"n.a."))</f>
        <v>0</v>
      </c>
      <c r="P1439" s="16">
        <f>IF(NOT(Paths!$C$137=1),0,IF(Paths!$P$137="Complete",O1439+L1439,"n.a."))</f>
        <v>0</v>
      </c>
      <c r="Q1439" s="16">
        <f>IF(NOT(Paths!$C$137=1),0,IF(Paths!$P$137="Complete",N1439*(1+'Operating costs'!$B$54)^-C1439,"n.a."))</f>
        <v>0</v>
      </c>
      <c r="R1439" s="16">
        <f>IF(NOT(Paths!$C$137=1),0,IF(Paths!$P$137="Complete",IF(AND(C1439=0,Paths!$E$137=0),I1439-J1439-K1439+VLOOKUP(A1439,'Fleet register'!$A$7:$S$106,15,FALSE)+VLOOKUP(A1439,'Fleet register'!$A$7:$S$106,16,FALSE),0),"n.a."))</f>
        <v>0</v>
      </c>
      <c r="S1439" s="1">
        <f>IF(NOT(Paths!$C$137=1),0,IF(Paths!$P$137="Complete",IF(C1439=0,0,Paths!$S$137*Paths!$R$137),"n.a."))</f>
        <v>0</v>
      </c>
      <c r="T1439" s="1">
        <f>IF(NOT(Paths!$C$137=1),0,IF(Paths!$P$137="Complete",IF(C1439=0,0,VLOOKUP(A1439,'Fleet register'!$A$7:$S$106,9,FALSE)*Paths!$R$137),"n.a."))</f>
        <v>0</v>
      </c>
    </row>
    <row r="1440" spans="1:20" ht="24" customHeight="1">
      <c r="A1440" s="1" t="str">
        <f>Paths!$A$137</f>
        <v>T033</v>
      </c>
      <c r="B1440" s="1">
        <f>Paths!$B$137</f>
        <v>2</v>
      </c>
      <c r="C1440" s="1">
        <v>3</v>
      </c>
      <c r="D1440" s="1">
        <v>137</v>
      </c>
      <c r="E1440" s="1">
        <f>IF(OR(Paths!$C$137=0,C1440=0),0,MAX(0,MIN(C1440*12,Paths!$E$137)-(C1440-1)*12))</f>
        <v>0</v>
      </c>
      <c r="F1440" s="1">
        <f>IF(OR(Paths!$C$137=0,C1440=0),0,12-E1440)</f>
        <v>0</v>
      </c>
      <c r="G1440" s="16">
        <f>IF(NOT(Paths!$C$137=1),0,IF(Paths!$P$137="Complete",E1440/12*(Paths!$J$137*(1+'Operating costs'!$B$51)^MAX(0,C1440-1)+Paths!$K$137*(1+'Operating costs'!$B$53)^MAX(0,C1440-1)),"n.a."))</f>
        <v>0</v>
      </c>
      <c r="H1440" s="16">
        <f>IF(NOT(Paths!$C$137=1),0,IF(Paths!$P$137="Complete",F1440/12*(Paths!$L$137*(1+IF(Paths!$D$137="EV",'Operating costs'!$B$52,'Operating costs'!$B$51))^MAX(0,C1440-1)+Paths!$M$137*(1+'Operating costs'!$B$53)^MAX(0,C1440-1)),"n.a."))</f>
        <v>0</v>
      </c>
      <c r="I1440" s="16">
        <f>IF(NOT(Paths!$C$137=1),0,IF(Paths!$P$137="Complete",IF(IF(Paths!$E$137=0,C1440=0,AND(C1440&gt;0,Paths!$E$137&gt;(C1440-1)*12,Paths!$E$137&lt;=C1440*12)),Paths!$G$137,0),"n.a."))</f>
        <v>0</v>
      </c>
      <c r="J1440" s="16">
        <f>IF(NOT(Paths!$C$137=1),0,IF(Paths!$P$137="Complete",IF(IF(Paths!$E$137=0,C1440=0,AND(C1440&gt;0,Paths!$E$137&gt;(C1440-1)*12,Paths!$E$137&lt;=C1440*12)),Paths!$H$137,0),"n.a."))</f>
        <v>0</v>
      </c>
      <c r="K1440" s="16">
        <f>IF(NOT(Paths!$C$137=1),0,IF(Paths!$P$137="Complete",IF(IF(Paths!$O$137=0,C1440=0,AND(C1440&gt;0,Paths!$O$137&gt;(C1440-1)*12,Paths!$O$137&lt;=C1440*12)),Paths!$N$137,0),"n.a."))</f>
        <v>0</v>
      </c>
      <c r="L1440" s="16">
        <f>IF(NOT(Paths!$C$137=1),0,IF(Paths!$P$137="Complete",IF(C1440=10,Paths!$I$137,0),"n.a."))</f>
        <v>0</v>
      </c>
      <c r="M1440" s="16">
        <f>IF(NOT(Paths!$C$137=1),0,IF(Paths!$P$137="Complete",IF(AND(Paths!$D$137="EV",Paths!$E$137&lt;120,Paths!$E$137+'Operating costs'!$B$65&gt;Paths!$E$137,Paths!$E$137+'Operating costs'!$B$65&lt;=120,IF(Paths!$E$137+'Operating costs'!$B$65=0,C1440=0,AND(C1440&gt;0,Paths!$E$137+'Operating costs'!$B$65&gt;(C1440-1)*12,Paths!$E$137+'Operating costs'!$B$65&lt;=C1440*12))),'Operating costs'!$B$64,0)+IF(AND('Operating costs'!$B$67&gt;0,'Operating costs'!$B$67&lt;=120,OR(Paths!$D$137="ICE",'Operating costs'!$B$67&lt;=Paths!$E$137),IF('Operating costs'!$B$67=0,C1440=0,AND(C1440&gt;0,'Operating costs'!$B$67&gt;(C1440-1)*12,'Operating costs'!$B$67&lt;=C1440*12))),'Operating costs'!$B$66,0),"n.a."))</f>
        <v>0</v>
      </c>
      <c r="N1440" s="16">
        <f>IF(NOT(Paths!$C$137=1),0,IF(Paths!$P$137="Complete",SUM(G1440:I1440)-J1440-K1440-L1440+M1440+IF(C1440=0,Paths!$F$137,0)+IF(IF(Paths!$E$137=0,C1440=0,AND(C1440&gt;0,Paths!$E$137&gt;(C1440-1)*12,Paths!$E$137&lt;=C1440*12)),VLOOKUP(A1440,'Fleet register'!$A$7:$S$106,16,FALSE),0),"n.a."))</f>
        <v>0</v>
      </c>
      <c r="O1440" s="16">
        <f>IF(NOT(Paths!$C$137=1),0,IF(Paths!$P$137="Complete",N1440-IF(C1440=0,Paths!$F$137,0),"n.a."))</f>
        <v>0</v>
      </c>
      <c r="P1440" s="16">
        <f>IF(NOT(Paths!$C$137=1),0,IF(Paths!$P$137="Complete",O1440+L1440,"n.a."))</f>
        <v>0</v>
      </c>
      <c r="Q1440" s="16">
        <f>IF(NOT(Paths!$C$137=1),0,IF(Paths!$P$137="Complete",N1440*(1+'Operating costs'!$B$54)^-C1440,"n.a."))</f>
        <v>0</v>
      </c>
      <c r="R1440" s="16">
        <f>IF(NOT(Paths!$C$137=1),0,IF(Paths!$P$137="Complete",IF(AND(C1440=0,Paths!$E$137=0),I1440-J1440-K1440+VLOOKUP(A1440,'Fleet register'!$A$7:$S$106,15,FALSE)+VLOOKUP(A1440,'Fleet register'!$A$7:$S$106,16,FALSE),0),"n.a."))</f>
        <v>0</v>
      </c>
      <c r="S1440" s="1">
        <f>IF(NOT(Paths!$C$137=1),0,IF(Paths!$P$137="Complete",IF(C1440=0,0,Paths!$S$137*Paths!$R$137),"n.a."))</f>
        <v>0</v>
      </c>
      <c r="T1440" s="1">
        <f>IF(NOT(Paths!$C$137=1),0,IF(Paths!$P$137="Complete",IF(C1440=0,0,VLOOKUP(A1440,'Fleet register'!$A$7:$S$106,9,FALSE)*Paths!$R$137),"n.a."))</f>
        <v>0</v>
      </c>
    </row>
    <row r="1441" spans="1:20" ht="24" customHeight="1">
      <c r="A1441" s="1" t="str">
        <f>Paths!$A$137</f>
        <v>T033</v>
      </c>
      <c r="B1441" s="1">
        <f>Paths!$B$137</f>
        <v>2</v>
      </c>
      <c r="C1441" s="1">
        <v>4</v>
      </c>
      <c r="D1441" s="1">
        <v>137</v>
      </c>
      <c r="E1441" s="1">
        <f>IF(OR(Paths!$C$137=0,C1441=0),0,MAX(0,MIN(C1441*12,Paths!$E$137)-(C1441-1)*12))</f>
        <v>0</v>
      </c>
      <c r="F1441" s="1">
        <f>IF(OR(Paths!$C$137=0,C1441=0),0,12-E1441)</f>
        <v>0</v>
      </c>
      <c r="G1441" s="16">
        <f>IF(NOT(Paths!$C$137=1),0,IF(Paths!$P$137="Complete",E1441/12*(Paths!$J$137*(1+'Operating costs'!$B$51)^MAX(0,C1441-1)+Paths!$K$137*(1+'Operating costs'!$B$53)^MAX(0,C1441-1)),"n.a."))</f>
        <v>0</v>
      </c>
      <c r="H1441" s="16">
        <f>IF(NOT(Paths!$C$137=1),0,IF(Paths!$P$137="Complete",F1441/12*(Paths!$L$137*(1+IF(Paths!$D$137="EV",'Operating costs'!$B$52,'Operating costs'!$B$51))^MAX(0,C1441-1)+Paths!$M$137*(1+'Operating costs'!$B$53)^MAX(0,C1441-1)),"n.a."))</f>
        <v>0</v>
      </c>
      <c r="I1441" s="16">
        <f>IF(NOT(Paths!$C$137=1),0,IF(Paths!$P$137="Complete",IF(IF(Paths!$E$137=0,C1441=0,AND(C1441&gt;0,Paths!$E$137&gt;(C1441-1)*12,Paths!$E$137&lt;=C1441*12)),Paths!$G$137,0),"n.a."))</f>
        <v>0</v>
      </c>
      <c r="J1441" s="16">
        <f>IF(NOT(Paths!$C$137=1),0,IF(Paths!$P$137="Complete",IF(IF(Paths!$E$137=0,C1441=0,AND(C1441&gt;0,Paths!$E$137&gt;(C1441-1)*12,Paths!$E$137&lt;=C1441*12)),Paths!$H$137,0),"n.a."))</f>
        <v>0</v>
      </c>
      <c r="K1441" s="16">
        <f>IF(NOT(Paths!$C$137=1),0,IF(Paths!$P$137="Complete",IF(IF(Paths!$O$137=0,C1441=0,AND(C1441&gt;0,Paths!$O$137&gt;(C1441-1)*12,Paths!$O$137&lt;=C1441*12)),Paths!$N$137,0),"n.a."))</f>
        <v>0</v>
      </c>
      <c r="L1441" s="16">
        <f>IF(NOT(Paths!$C$137=1),0,IF(Paths!$P$137="Complete",IF(C1441=10,Paths!$I$137,0),"n.a."))</f>
        <v>0</v>
      </c>
      <c r="M1441" s="16">
        <f>IF(NOT(Paths!$C$137=1),0,IF(Paths!$P$137="Complete",IF(AND(Paths!$D$137="EV",Paths!$E$137&lt;120,Paths!$E$137+'Operating costs'!$B$65&gt;Paths!$E$137,Paths!$E$137+'Operating costs'!$B$65&lt;=120,IF(Paths!$E$137+'Operating costs'!$B$65=0,C1441=0,AND(C1441&gt;0,Paths!$E$137+'Operating costs'!$B$65&gt;(C1441-1)*12,Paths!$E$137+'Operating costs'!$B$65&lt;=C1441*12))),'Operating costs'!$B$64,0)+IF(AND('Operating costs'!$B$67&gt;0,'Operating costs'!$B$67&lt;=120,OR(Paths!$D$137="ICE",'Operating costs'!$B$67&lt;=Paths!$E$137),IF('Operating costs'!$B$67=0,C1441=0,AND(C1441&gt;0,'Operating costs'!$B$67&gt;(C1441-1)*12,'Operating costs'!$B$67&lt;=C1441*12))),'Operating costs'!$B$66,0),"n.a."))</f>
        <v>0</v>
      </c>
      <c r="N1441" s="16">
        <f>IF(NOT(Paths!$C$137=1),0,IF(Paths!$P$137="Complete",SUM(G1441:I1441)-J1441-K1441-L1441+M1441+IF(C1441=0,Paths!$F$137,0)+IF(IF(Paths!$E$137=0,C1441=0,AND(C1441&gt;0,Paths!$E$137&gt;(C1441-1)*12,Paths!$E$137&lt;=C1441*12)),VLOOKUP(A1441,'Fleet register'!$A$7:$S$106,16,FALSE),0),"n.a."))</f>
        <v>0</v>
      </c>
      <c r="O1441" s="16">
        <f>IF(NOT(Paths!$C$137=1),0,IF(Paths!$P$137="Complete",N1441-IF(C1441=0,Paths!$F$137,0),"n.a."))</f>
        <v>0</v>
      </c>
      <c r="P1441" s="16">
        <f>IF(NOT(Paths!$C$137=1),0,IF(Paths!$P$137="Complete",O1441+L1441,"n.a."))</f>
        <v>0</v>
      </c>
      <c r="Q1441" s="16">
        <f>IF(NOT(Paths!$C$137=1),0,IF(Paths!$P$137="Complete",N1441*(1+'Operating costs'!$B$54)^-C1441,"n.a."))</f>
        <v>0</v>
      </c>
      <c r="R1441" s="16">
        <f>IF(NOT(Paths!$C$137=1),0,IF(Paths!$P$137="Complete",IF(AND(C1441=0,Paths!$E$137=0),I1441-J1441-K1441+VLOOKUP(A1441,'Fleet register'!$A$7:$S$106,15,FALSE)+VLOOKUP(A1441,'Fleet register'!$A$7:$S$106,16,FALSE),0),"n.a."))</f>
        <v>0</v>
      </c>
      <c r="S1441" s="1">
        <f>IF(NOT(Paths!$C$137=1),0,IF(Paths!$P$137="Complete",IF(C1441=0,0,Paths!$S$137*Paths!$R$137),"n.a."))</f>
        <v>0</v>
      </c>
      <c r="T1441" s="1">
        <f>IF(NOT(Paths!$C$137=1),0,IF(Paths!$P$137="Complete",IF(C1441=0,0,VLOOKUP(A1441,'Fleet register'!$A$7:$S$106,9,FALSE)*Paths!$R$137),"n.a."))</f>
        <v>0</v>
      </c>
    </row>
    <row r="1442" spans="1:20" ht="24" customHeight="1">
      <c r="A1442" s="1" t="str">
        <f>Paths!$A$137</f>
        <v>T033</v>
      </c>
      <c r="B1442" s="1">
        <f>Paths!$B$137</f>
        <v>2</v>
      </c>
      <c r="C1442" s="1">
        <v>5</v>
      </c>
      <c r="D1442" s="1">
        <v>137</v>
      </c>
      <c r="E1442" s="1">
        <f>IF(OR(Paths!$C$137=0,C1442=0),0,MAX(0,MIN(C1442*12,Paths!$E$137)-(C1442-1)*12))</f>
        <v>0</v>
      </c>
      <c r="F1442" s="1">
        <f>IF(OR(Paths!$C$137=0,C1442=0),0,12-E1442)</f>
        <v>0</v>
      </c>
      <c r="G1442" s="16">
        <f>IF(NOT(Paths!$C$137=1),0,IF(Paths!$P$137="Complete",E1442/12*(Paths!$J$137*(1+'Operating costs'!$B$51)^MAX(0,C1442-1)+Paths!$K$137*(1+'Operating costs'!$B$53)^MAX(0,C1442-1)),"n.a."))</f>
        <v>0</v>
      </c>
      <c r="H1442" s="16">
        <f>IF(NOT(Paths!$C$137=1),0,IF(Paths!$P$137="Complete",F1442/12*(Paths!$L$137*(1+IF(Paths!$D$137="EV",'Operating costs'!$B$52,'Operating costs'!$B$51))^MAX(0,C1442-1)+Paths!$M$137*(1+'Operating costs'!$B$53)^MAX(0,C1442-1)),"n.a."))</f>
        <v>0</v>
      </c>
      <c r="I1442" s="16">
        <f>IF(NOT(Paths!$C$137=1),0,IF(Paths!$P$137="Complete",IF(IF(Paths!$E$137=0,C1442=0,AND(C1442&gt;0,Paths!$E$137&gt;(C1442-1)*12,Paths!$E$137&lt;=C1442*12)),Paths!$G$137,0),"n.a."))</f>
        <v>0</v>
      </c>
      <c r="J1442" s="16">
        <f>IF(NOT(Paths!$C$137=1),0,IF(Paths!$P$137="Complete",IF(IF(Paths!$E$137=0,C1442=0,AND(C1442&gt;0,Paths!$E$137&gt;(C1442-1)*12,Paths!$E$137&lt;=C1442*12)),Paths!$H$137,0),"n.a."))</f>
        <v>0</v>
      </c>
      <c r="K1442" s="16">
        <f>IF(NOT(Paths!$C$137=1),0,IF(Paths!$P$137="Complete",IF(IF(Paths!$O$137=0,C1442=0,AND(C1442&gt;0,Paths!$O$137&gt;(C1442-1)*12,Paths!$O$137&lt;=C1442*12)),Paths!$N$137,0),"n.a."))</f>
        <v>0</v>
      </c>
      <c r="L1442" s="16">
        <f>IF(NOT(Paths!$C$137=1),0,IF(Paths!$P$137="Complete",IF(C1442=10,Paths!$I$137,0),"n.a."))</f>
        <v>0</v>
      </c>
      <c r="M1442" s="16">
        <f>IF(NOT(Paths!$C$137=1),0,IF(Paths!$P$137="Complete",IF(AND(Paths!$D$137="EV",Paths!$E$137&lt;120,Paths!$E$137+'Operating costs'!$B$65&gt;Paths!$E$137,Paths!$E$137+'Operating costs'!$B$65&lt;=120,IF(Paths!$E$137+'Operating costs'!$B$65=0,C1442=0,AND(C1442&gt;0,Paths!$E$137+'Operating costs'!$B$65&gt;(C1442-1)*12,Paths!$E$137+'Operating costs'!$B$65&lt;=C1442*12))),'Operating costs'!$B$64,0)+IF(AND('Operating costs'!$B$67&gt;0,'Operating costs'!$B$67&lt;=120,OR(Paths!$D$137="ICE",'Operating costs'!$B$67&lt;=Paths!$E$137),IF('Operating costs'!$B$67=0,C1442=0,AND(C1442&gt;0,'Operating costs'!$B$67&gt;(C1442-1)*12,'Operating costs'!$B$67&lt;=C1442*12))),'Operating costs'!$B$66,0),"n.a."))</f>
        <v>0</v>
      </c>
      <c r="N1442" s="16">
        <f>IF(NOT(Paths!$C$137=1),0,IF(Paths!$P$137="Complete",SUM(G1442:I1442)-J1442-K1442-L1442+M1442+IF(C1442=0,Paths!$F$137,0)+IF(IF(Paths!$E$137=0,C1442=0,AND(C1442&gt;0,Paths!$E$137&gt;(C1442-1)*12,Paths!$E$137&lt;=C1442*12)),VLOOKUP(A1442,'Fleet register'!$A$7:$S$106,16,FALSE),0),"n.a."))</f>
        <v>0</v>
      </c>
      <c r="O1442" s="16">
        <f>IF(NOT(Paths!$C$137=1),0,IF(Paths!$P$137="Complete",N1442-IF(C1442=0,Paths!$F$137,0),"n.a."))</f>
        <v>0</v>
      </c>
      <c r="P1442" s="16">
        <f>IF(NOT(Paths!$C$137=1),0,IF(Paths!$P$137="Complete",O1442+L1442,"n.a."))</f>
        <v>0</v>
      </c>
      <c r="Q1442" s="16">
        <f>IF(NOT(Paths!$C$137=1),0,IF(Paths!$P$137="Complete",N1442*(1+'Operating costs'!$B$54)^-C1442,"n.a."))</f>
        <v>0</v>
      </c>
      <c r="R1442" s="16">
        <f>IF(NOT(Paths!$C$137=1),0,IF(Paths!$P$137="Complete",IF(AND(C1442=0,Paths!$E$137=0),I1442-J1442-K1442+VLOOKUP(A1442,'Fleet register'!$A$7:$S$106,15,FALSE)+VLOOKUP(A1442,'Fleet register'!$A$7:$S$106,16,FALSE),0),"n.a."))</f>
        <v>0</v>
      </c>
      <c r="S1442" s="1">
        <f>IF(NOT(Paths!$C$137=1),0,IF(Paths!$P$137="Complete",IF(C1442=0,0,Paths!$S$137*Paths!$R$137),"n.a."))</f>
        <v>0</v>
      </c>
      <c r="T1442" s="1">
        <f>IF(NOT(Paths!$C$137=1),0,IF(Paths!$P$137="Complete",IF(C1442=0,0,VLOOKUP(A1442,'Fleet register'!$A$7:$S$106,9,FALSE)*Paths!$R$137),"n.a."))</f>
        <v>0</v>
      </c>
    </row>
    <row r="1443" spans="1:20" ht="24" customHeight="1">
      <c r="A1443" s="1" t="str">
        <f>Paths!$A$137</f>
        <v>T033</v>
      </c>
      <c r="B1443" s="1">
        <f>Paths!$B$137</f>
        <v>2</v>
      </c>
      <c r="C1443" s="1">
        <v>6</v>
      </c>
      <c r="D1443" s="1">
        <v>137</v>
      </c>
      <c r="E1443" s="1">
        <f>IF(OR(Paths!$C$137=0,C1443=0),0,MAX(0,MIN(C1443*12,Paths!$E$137)-(C1443-1)*12))</f>
        <v>0</v>
      </c>
      <c r="F1443" s="1">
        <f>IF(OR(Paths!$C$137=0,C1443=0),0,12-E1443)</f>
        <v>0</v>
      </c>
      <c r="G1443" s="16">
        <f>IF(NOT(Paths!$C$137=1),0,IF(Paths!$P$137="Complete",E1443/12*(Paths!$J$137*(1+'Operating costs'!$B$51)^MAX(0,C1443-1)+Paths!$K$137*(1+'Operating costs'!$B$53)^MAX(0,C1443-1)),"n.a."))</f>
        <v>0</v>
      </c>
      <c r="H1443" s="16">
        <f>IF(NOT(Paths!$C$137=1),0,IF(Paths!$P$137="Complete",F1443/12*(Paths!$L$137*(1+IF(Paths!$D$137="EV",'Operating costs'!$B$52,'Operating costs'!$B$51))^MAX(0,C1443-1)+Paths!$M$137*(1+'Operating costs'!$B$53)^MAX(0,C1443-1)),"n.a."))</f>
        <v>0</v>
      </c>
      <c r="I1443" s="16">
        <f>IF(NOT(Paths!$C$137=1),0,IF(Paths!$P$137="Complete",IF(IF(Paths!$E$137=0,C1443=0,AND(C1443&gt;0,Paths!$E$137&gt;(C1443-1)*12,Paths!$E$137&lt;=C1443*12)),Paths!$G$137,0),"n.a."))</f>
        <v>0</v>
      </c>
      <c r="J1443" s="16">
        <f>IF(NOT(Paths!$C$137=1),0,IF(Paths!$P$137="Complete",IF(IF(Paths!$E$137=0,C1443=0,AND(C1443&gt;0,Paths!$E$137&gt;(C1443-1)*12,Paths!$E$137&lt;=C1443*12)),Paths!$H$137,0),"n.a."))</f>
        <v>0</v>
      </c>
      <c r="K1443" s="16">
        <f>IF(NOT(Paths!$C$137=1),0,IF(Paths!$P$137="Complete",IF(IF(Paths!$O$137=0,C1443=0,AND(C1443&gt;0,Paths!$O$137&gt;(C1443-1)*12,Paths!$O$137&lt;=C1443*12)),Paths!$N$137,0),"n.a."))</f>
        <v>0</v>
      </c>
      <c r="L1443" s="16">
        <f>IF(NOT(Paths!$C$137=1),0,IF(Paths!$P$137="Complete",IF(C1443=10,Paths!$I$137,0),"n.a."))</f>
        <v>0</v>
      </c>
      <c r="M1443" s="16">
        <f>IF(NOT(Paths!$C$137=1),0,IF(Paths!$P$137="Complete",IF(AND(Paths!$D$137="EV",Paths!$E$137&lt;120,Paths!$E$137+'Operating costs'!$B$65&gt;Paths!$E$137,Paths!$E$137+'Operating costs'!$B$65&lt;=120,IF(Paths!$E$137+'Operating costs'!$B$65=0,C1443=0,AND(C1443&gt;0,Paths!$E$137+'Operating costs'!$B$65&gt;(C1443-1)*12,Paths!$E$137+'Operating costs'!$B$65&lt;=C1443*12))),'Operating costs'!$B$64,0)+IF(AND('Operating costs'!$B$67&gt;0,'Operating costs'!$B$67&lt;=120,OR(Paths!$D$137="ICE",'Operating costs'!$B$67&lt;=Paths!$E$137),IF('Operating costs'!$B$67=0,C1443=0,AND(C1443&gt;0,'Operating costs'!$B$67&gt;(C1443-1)*12,'Operating costs'!$B$67&lt;=C1443*12))),'Operating costs'!$B$66,0),"n.a."))</f>
        <v>0</v>
      </c>
      <c r="N1443" s="16">
        <f>IF(NOT(Paths!$C$137=1),0,IF(Paths!$P$137="Complete",SUM(G1443:I1443)-J1443-K1443-L1443+M1443+IF(C1443=0,Paths!$F$137,0)+IF(IF(Paths!$E$137=0,C1443=0,AND(C1443&gt;0,Paths!$E$137&gt;(C1443-1)*12,Paths!$E$137&lt;=C1443*12)),VLOOKUP(A1443,'Fleet register'!$A$7:$S$106,16,FALSE),0),"n.a."))</f>
        <v>0</v>
      </c>
      <c r="O1443" s="16">
        <f>IF(NOT(Paths!$C$137=1),0,IF(Paths!$P$137="Complete",N1443-IF(C1443=0,Paths!$F$137,0),"n.a."))</f>
        <v>0</v>
      </c>
      <c r="P1443" s="16">
        <f>IF(NOT(Paths!$C$137=1),0,IF(Paths!$P$137="Complete",O1443+L1443,"n.a."))</f>
        <v>0</v>
      </c>
      <c r="Q1443" s="16">
        <f>IF(NOT(Paths!$C$137=1),0,IF(Paths!$P$137="Complete",N1443*(1+'Operating costs'!$B$54)^-C1443,"n.a."))</f>
        <v>0</v>
      </c>
      <c r="R1443" s="16">
        <f>IF(NOT(Paths!$C$137=1),0,IF(Paths!$P$137="Complete",IF(AND(C1443=0,Paths!$E$137=0),I1443-J1443-K1443+VLOOKUP(A1443,'Fleet register'!$A$7:$S$106,15,FALSE)+VLOOKUP(A1443,'Fleet register'!$A$7:$S$106,16,FALSE),0),"n.a."))</f>
        <v>0</v>
      </c>
      <c r="S1443" s="1">
        <f>IF(NOT(Paths!$C$137=1),0,IF(Paths!$P$137="Complete",IF(C1443=0,0,Paths!$S$137*Paths!$R$137),"n.a."))</f>
        <v>0</v>
      </c>
      <c r="T1443" s="1">
        <f>IF(NOT(Paths!$C$137=1),0,IF(Paths!$P$137="Complete",IF(C1443=0,0,VLOOKUP(A1443,'Fleet register'!$A$7:$S$106,9,FALSE)*Paths!$R$137),"n.a."))</f>
        <v>0</v>
      </c>
    </row>
    <row r="1444" spans="1:20" ht="24" customHeight="1">
      <c r="A1444" s="1" t="str">
        <f>Paths!$A$137</f>
        <v>T033</v>
      </c>
      <c r="B1444" s="1">
        <f>Paths!$B$137</f>
        <v>2</v>
      </c>
      <c r="C1444" s="1">
        <v>7</v>
      </c>
      <c r="D1444" s="1">
        <v>137</v>
      </c>
      <c r="E1444" s="1">
        <f>IF(OR(Paths!$C$137=0,C1444=0),0,MAX(0,MIN(C1444*12,Paths!$E$137)-(C1444-1)*12))</f>
        <v>0</v>
      </c>
      <c r="F1444" s="1">
        <f>IF(OR(Paths!$C$137=0,C1444=0),0,12-E1444)</f>
        <v>0</v>
      </c>
      <c r="G1444" s="16">
        <f>IF(NOT(Paths!$C$137=1),0,IF(Paths!$P$137="Complete",E1444/12*(Paths!$J$137*(1+'Operating costs'!$B$51)^MAX(0,C1444-1)+Paths!$K$137*(1+'Operating costs'!$B$53)^MAX(0,C1444-1)),"n.a."))</f>
        <v>0</v>
      </c>
      <c r="H1444" s="16">
        <f>IF(NOT(Paths!$C$137=1),0,IF(Paths!$P$137="Complete",F1444/12*(Paths!$L$137*(1+IF(Paths!$D$137="EV",'Operating costs'!$B$52,'Operating costs'!$B$51))^MAX(0,C1444-1)+Paths!$M$137*(1+'Operating costs'!$B$53)^MAX(0,C1444-1)),"n.a."))</f>
        <v>0</v>
      </c>
      <c r="I1444" s="16">
        <f>IF(NOT(Paths!$C$137=1),0,IF(Paths!$P$137="Complete",IF(IF(Paths!$E$137=0,C1444=0,AND(C1444&gt;0,Paths!$E$137&gt;(C1444-1)*12,Paths!$E$137&lt;=C1444*12)),Paths!$G$137,0),"n.a."))</f>
        <v>0</v>
      </c>
      <c r="J1444" s="16">
        <f>IF(NOT(Paths!$C$137=1),0,IF(Paths!$P$137="Complete",IF(IF(Paths!$E$137=0,C1444=0,AND(C1444&gt;0,Paths!$E$137&gt;(C1444-1)*12,Paths!$E$137&lt;=C1444*12)),Paths!$H$137,0),"n.a."))</f>
        <v>0</v>
      </c>
      <c r="K1444" s="16">
        <f>IF(NOT(Paths!$C$137=1),0,IF(Paths!$P$137="Complete",IF(IF(Paths!$O$137=0,C1444=0,AND(C1444&gt;0,Paths!$O$137&gt;(C1444-1)*12,Paths!$O$137&lt;=C1444*12)),Paths!$N$137,0),"n.a."))</f>
        <v>0</v>
      </c>
      <c r="L1444" s="16">
        <f>IF(NOT(Paths!$C$137=1),0,IF(Paths!$P$137="Complete",IF(C1444=10,Paths!$I$137,0),"n.a."))</f>
        <v>0</v>
      </c>
      <c r="M1444" s="16">
        <f>IF(NOT(Paths!$C$137=1),0,IF(Paths!$P$137="Complete",IF(AND(Paths!$D$137="EV",Paths!$E$137&lt;120,Paths!$E$137+'Operating costs'!$B$65&gt;Paths!$E$137,Paths!$E$137+'Operating costs'!$B$65&lt;=120,IF(Paths!$E$137+'Operating costs'!$B$65=0,C1444=0,AND(C1444&gt;0,Paths!$E$137+'Operating costs'!$B$65&gt;(C1444-1)*12,Paths!$E$137+'Operating costs'!$B$65&lt;=C1444*12))),'Operating costs'!$B$64,0)+IF(AND('Operating costs'!$B$67&gt;0,'Operating costs'!$B$67&lt;=120,OR(Paths!$D$137="ICE",'Operating costs'!$B$67&lt;=Paths!$E$137),IF('Operating costs'!$B$67=0,C1444=0,AND(C1444&gt;0,'Operating costs'!$B$67&gt;(C1444-1)*12,'Operating costs'!$B$67&lt;=C1444*12))),'Operating costs'!$B$66,0),"n.a."))</f>
        <v>0</v>
      </c>
      <c r="N1444" s="16">
        <f>IF(NOT(Paths!$C$137=1),0,IF(Paths!$P$137="Complete",SUM(G1444:I1444)-J1444-K1444-L1444+M1444+IF(C1444=0,Paths!$F$137,0)+IF(IF(Paths!$E$137=0,C1444=0,AND(C1444&gt;0,Paths!$E$137&gt;(C1444-1)*12,Paths!$E$137&lt;=C1444*12)),VLOOKUP(A1444,'Fleet register'!$A$7:$S$106,16,FALSE),0),"n.a."))</f>
        <v>0</v>
      </c>
      <c r="O1444" s="16">
        <f>IF(NOT(Paths!$C$137=1),0,IF(Paths!$P$137="Complete",N1444-IF(C1444=0,Paths!$F$137,0),"n.a."))</f>
        <v>0</v>
      </c>
      <c r="P1444" s="16">
        <f>IF(NOT(Paths!$C$137=1),0,IF(Paths!$P$137="Complete",O1444+L1444,"n.a."))</f>
        <v>0</v>
      </c>
      <c r="Q1444" s="16">
        <f>IF(NOT(Paths!$C$137=1),0,IF(Paths!$P$137="Complete",N1444*(1+'Operating costs'!$B$54)^-C1444,"n.a."))</f>
        <v>0</v>
      </c>
      <c r="R1444" s="16">
        <f>IF(NOT(Paths!$C$137=1),0,IF(Paths!$P$137="Complete",IF(AND(C1444=0,Paths!$E$137=0),I1444-J1444-K1444+VLOOKUP(A1444,'Fleet register'!$A$7:$S$106,15,FALSE)+VLOOKUP(A1444,'Fleet register'!$A$7:$S$106,16,FALSE),0),"n.a."))</f>
        <v>0</v>
      </c>
      <c r="S1444" s="1">
        <f>IF(NOT(Paths!$C$137=1),0,IF(Paths!$P$137="Complete",IF(C1444=0,0,Paths!$S$137*Paths!$R$137),"n.a."))</f>
        <v>0</v>
      </c>
      <c r="T1444" s="1">
        <f>IF(NOT(Paths!$C$137=1),0,IF(Paths!$P$137="Complete",IF(C1444=0,0,VLOOKUP(A1444,'Fleet register'!$A$7:$S$106,9,FALSE)*Paths!$R$137),"n.a."))</f>
        <v>0</v>
      </c>
    </row>
    <row r="1445" spans="1:20" ht="24" customHeight="1">
      <c r="A1445" s="1" t="str">
        <f>Paths!$A$137</f>
        <v>T033</v>
      </c>
      <c r="B1445" s="1">
        <f>Paths!$B$137</f>
        <v>2</v>
      </c>
      <c r="C1445" s="1">
        <v>8</v>
      </c>
      <c r="D1445" s="1">
        <v>137</v>
      </c>
      <c r="E1445" s="1">
        <f>IF(OR(Paths!$C$137=0,C1445=0),0,MAX(0,MIN(C1445*12,Paths!$E$137)-(C1445-1)*12))</f>
        <v>0</v>
      </c>
      <c r="F1445" s="1">
        <f>IF(OR(Paths!$C$137=0,C1445=0),0,12-E1445)</f>
        <v>0</v>
      </c>
      <c r="G1445" s="16">
        <f>IF(NOT(Paths!$C$137=1),0,IF(Paths!$P$137="Complete",E1445/12*(Paths!$J$137*(1+'Operating costs'!$B$51)^MAX(0,C1445-1)+Paths!$K$137*(1+'Operating costs'!$B$53)^MAX(0,C1445-1)),"n.a."))</f>
        <v>0</v>
      </c>
      <c r="H1445" s="16">
        <f>IF(NOT(Paths!$C$137=1),0,IF(Paths!$P$137="Complete",F1445/12*(Paths!$L$137*(1+IF(Paths!$D$137="EV",'Operating costs'!$B$52,'Operating costs'!$B$51))^MAX(0,C1445-1)+Paths!$M$137*(1+'Operating costs'!$B$53)^MAX(0,C1445-1)),"n.a."))</f>
        <v>0</v>
      </c>
      <c r="I1445" s="16">
        <f>IF(NOT(Paths!$C$137=1),0,IF(Paths!$P$137="Complete",IF(IF(Paths!$E$137=0,C1445=0,AND(C1445&gt;0,Paths!$E$137&gt;(C1445-1)*12,Paths!$E$137&lt;=C1445*12)),Paths!$G$137,0),"n.a."))</f>
        <v>0</v>
      </c>
      <c r="J1445" s="16">
        <f>IF(NOT(Paths!$C$137=1),0,IF(Paths!$P$137="Complete",IF(IF(Paths!$E$137=0,C1445=0,AND(C1445&gt;0,Paths!$E$137&gt;(C1445-1)*12,Paths!$E$137&lt;=C1445*12)),Paths!$H$137,0),"n.a."))</f>
        <v>0</v>
      </c>
      <c r="K1445" s="16">
        <f>IF(NOT(Paths!$C$137=1),0,IF(Paths!$P$137="Complete",IF(IF(Paths!$O$137=0,C1445=0,AND(C1445&gt;0,Paths!$O$137&gt;(C1445-1)*12,Paths!$O$137&lt;=C1445*12)),Paths!$N$137,0),"n.a."))</f>
        <v>0</v>
      </c>
      <c r="L1445" s="16">
        <f>IF(NOT(Paths!$C$137=1),0,IF(Paths!$P$137="Complete",IF(C1445=10,Paths!$I$137,0),"n.a."))</f>
        <v>0</v>
      </c>
      <c r="M1445" s="16">
        <f>IF(NOT(Paths!$C$137=1),0,IF(Paths!$P$137="Complete",IF(AND(Paths!$D$137="EV",Paths!$E$137&lt;120,Paths!$E$137+'Operating costs'!$B$65&gt;Paths!$E$137,Paths!$E$137+'Operating costs'!$B$65&lt;=120,IF(Paths!$E$137+'Operating costs'!$B$65=0,C1445=0,AND(C1445&gt;0,Paths!$E$137+'Operating costs'!$B$65&gt;(C1445-1)*12,Paths!$E$137+'Operating costs'!$B$65&lt;=C1445*12))),'Operating costs'!$B$64,0)+IF(AND('Operating costs'!$B$67&gt;0,'Operating costs'!$B$67&lt;=120,OR(Paths!$D$137="ICE",'Operating costs'!$B$67&lt;=Paths!$E$137),IF('Operating costs'!$B$67=0,C1445=0,AND(C1445&gt;0,'Operating costs'!$B$67&gt;(C1445-1)*12,'Operating costs'!$B$67&lt;=C1445*12))),'Operating costs'!$B$66,0),"n.a."))</f>
        <v>0</v>
      </c>
      <c r="N1445" s="16">
        <f>IF(NOT(Paths!$C$137=1),0,IF(Paths!$P$137="Complete",SUM(G1445:I1445)-J1445-K1445-L1445+M1445+IF(C1445=0,Paths!$F$137,0)+IF(IF(Paths!$E$137=0,C1445=0,AND(C1445&gt;0,Paths!$E$137&gt;(C1445-1)*12,Paths!$E$137&lt;=C1445*12)),VLOOKUP(A1445,'Fleet register'!$A$7:$S$106,16,FALSE),0),"n.a."))</f>
        <v>0</v>
      </c>
      <c r="O1445" s="16">
        <f>IF(NOT(Paths!$C$137=1),0,IF(Paths!$P$137="Complete",N1445-IF(C1445=0,Paths!$F$137,0),"n.a."))</f>
        <v>0</v>
      </c>
      <c r="P1445" s="16">
        <f>IF(NOT(Paths!$C$137=1),0,IF(Paths!$P$137="Complete",O1445+L1445,"n.a."))</f>
        <v>0</v>
      </c>
      <c r="Q1445" s="16">
        <f>IF(NOT(Paths!$C$137=1),0,IF(Paths!$P$137="Complete",N1445*(1+'Operating costs'!$B$54)^-C1445,"n.a."))</f>
        <v>0</v>
      </c>
      <c r="R1445" s="16">
        <f>IF(NOT(Paths!$C$137=1),0,IF(Paths!$P$137="Complete",IF(AND(C1445=0,Paths!$E$137=0),I1445-J1445-K1445+VLOOKUP(A1445,'Fleet register'!$A$7:$S$106,15,FALSE)+VLOOKUP(A1445,'Fleet register'!$A$7:$S$106,16,FALSE),0),"n.a."))</f>
        <v>0</v>
      </c>
      <c r="S1445" s="1">
        <f>IF(NOT(Paths!$C$137=1),0,IF(Paths!$P$137="Complete",IF(C1445=0,0,Paths!$S$137*Paths!$R$137),"n.a."))</f>
        <v>0</v>
      </c>
      <c r="T1445" s="1">
        <f>IF(NOT(Paths!$C$137=1),0,IF(Paths!$P$137="Complete",IF(C1445=0,0,VLOOKUP(A1445,'Fleet register'!$A$7:$S$106,9,FALSE)*Paths!$R$137),"n.a."))</f>
        <v>0</v>
      </c>
    </row>
    <row r="1446" spans="1:20" ht="24" customHeight="1">
      <c r="A1446" s="1" t="str">
        <f>Paths!$A$137</f>
        <v>T033</v>
      </c>
      <c r="B1446" s="1">
        <f>Paths!$B$137</f>
        <v>2</v>
      </c>
      <c r="C1446" s="1">
        <v>9</v>
      </c>
      <c r="D1446" s="1">
        <v>137</v>
      </c>
      <c r="E1446" s="1">
        <f>IF(OR(Paths!$C$137=0,C1446=0),0,MAX(0,MIN(C1446*12,Paths!$E$137)-(C1446-1)*12))</f>
        <v>0</v>
      </c>
      <c r="F1446" s="1">
        <f>IF(OR(Paths!$C$137=0,C1446=0),0,12-E1446)</f>
        <v>0</v>
      </c>
      <c r="G1446" s="16">
        <f>IF(NOT(Paths!$C$137=1),0,IF(Paths!$P$137="Complete",E1446/12*(Paths!$J$137*(1+'Operating costs'!$B$51)^MAX(0,C1446-1)+Paths!$K$137*(1+'Operating costs'!$B$53)^MAX(0,C1446-1)),"n.a."))</f>
        <v>0</v>
      </c>
      <c r="H1446" s="16">
        <f>IF(NOT(Paths!$C$137=1),0,IF(Paths!$P$137="Complete",F1446/12*(Paths!$L$137*(1+IF(Paths!$D$137="EV",'Operating costs'!$B$52,'Operating costs'!$B$51))^MAX(0,C1446-1)+Paths!$M$137*(1+'Operating costs'!$B$53)^MAX(0,C1446-1)),"n.a."))</f>
        <v>0</v>
      </c>
      <c r="I1446" s="16">
        <f>IF(NOT(Paths!$C$137=1),0,IF(Paths!$P$137="Complete",IF(IF(Paths!$E$137=0,C1446=0,AND(C1446&gt;0,Paths!$E$137&gt;(C1446-1)*12,Paths!$E$137&lt;=C1446*12)),Paths!$G$137,0),"n.a."))</f>
        <v>0</v>
      </c>
      <c r="J1446" s="16">
        <f>IF(NOT(Paths!$C$137=1),0,IF(Paths!$P$137="Complete",IF(IF(Paths!$E$137=0,C1446=0,AND(C1446&gt;0,Paths!$E$137&gt;(C1446-1)*12,Paths!$E$137&lt;=C1446*12)),Paths!$H$137,0),"n.a."))</f>
        <v>0</v>
      </c>
      <c r="K1446" s="16">
        <f>IF(NOT(Paths!$C$137=1),0,IF(Paths!$P$137="Complete",IF(IF(Paths!$O$137=0,C1446=0,AND(C1446&gt;0,Paths!$O$137&gt;(C1446-1)*12,Paths!$O$137&lt;=C1446*12)),Paths!$N$137,0),"n.a."))</f>
        <v>0</v>
      </c>
      <c r="L1446" s="16">
        <f>IF(NOT(Paths!$C$137=1),0,IF(Paths!$P$137="Complete",IF(C1446=10,Paths!$I$137,0),"n.a."))</f>
        <v>0</v>
      </c>
      <c r="M1446" s="16">
        <f>IF(NOT(Paths!$C$137=1),0,IF(Paths!$P$137="Complete",IF(AND(Paths!$D$137="EV",Paths!$E$137&lt;120,Paths!$E$137+'Operating costs'!$B$65&gt;Paths!$E$137,Paths!$E$137+'Operating costs'!$B$65&lt;=120,IF(Paths!$E$137+'Operating costs'!$B$65=0,C1446=0,AND(C1446&gt;0,Paths!$E$137+'Operating costs'!$B$65&gt;(C1446-1)*12,Paths!$E$137+'Operating costs'!$B$65&lt;=C1446*12))),'Operating costs'!$B$64,0)+IF(AND('Operating costs'!$B$67&gt;0,'Operating costs'!$B$67&lt;=120,OR(Paths!$D$137="ICE",'Operating costs'!$B$67&lt;=Paths!$E$137),IF('Operating costs'!$B$67=0,C1446=0,AND(C1446&gt;0,'Operating costs'!$B$67&gt;(C1446-1)*12,'Operating costs'!$B$67&lt;=C1446*12))),'Operating costs'!$B$66,0),"n.a."))</f>
        <v>0</v>
      </c>
      <c r="N1446" s="16">
        <f>IF(NOT(Paths!$C$137=1),0,IF(Paths!$P$137="Complete",SUM(G1446:I1446)-J1446-K1446-L1446+M1446+IF(C1446=0,Paths!$F$137,0)+IF(IF(Paths!$E$137=0,C1446=0,AND(C1446&gt;0,Paths!$E$137&gt;(C1446-1)*12,Paths!$E$137&lt;=C1446*12)),VLOOKUP(A1446,'Fleet register'!$A$7:$S$106,16,FALSE),0),"n.a."))</f>
        <v>0</v>
      </c>
      <c r="O1446" s="16">
        <f>IF(NOT(Paths!$C$137=1),0,IF(Paths!$P$137="Complete",N1446-IF(C1446=0,Paths!$F$137,0),"n.a."))</f>
        <v>0</v>
      </c>
      <c r="P1446" s="16">
        <f>IF(NOT(Paths!$C$137=1),0,IF(Paths!$P$137="Complete",O1446+L1446,"n.a."))</f>
        <v>0</v>
      </c>
      <c r="Q1446" s="16">
        <f>IF(NOT(Paths!$C$137=1),0,IF(Paths!$P$137="Complete",N1446*(1+'Operating costs'!$B$54)^-C1446,"n.a."))</f>
        <v>0</v>
      </c>
      <c r="R1446" s="16">
        <f>IF(NOT(Paths!$C$137=1),0,IF(Paths!$P$137="Complete",IF(AND(C1446=0,Paths!$E$137=0),I1446-J1446-K1446+VLOOKUP(A1446,'Fleet register'!$A$7:$S$106,15,FALSE)+VLOOKUP(A1446,'Fleet register'!$A$7:$S$106,16,FALSE),0),"n.a."))</f>
        <v>0</v>
      </c>
      <c r="S1446" s="1">
        <f>IF(NOT(Paths!$C$137=1),0,IF(Paths!$P$137="Complete",IF(C1446=0,0,Paths!$S$137*Paths!$R$137),"n.a."))</f>
        <v>0</v>
      </c>
      <c r="T1446" s="1">
        <f>IF(NOT(Paths!$C$137=1),0,IF(Paths!$P$137="Complete",IF(C1446=0,0,VLOOKUP(A1446,'Fleet register'!$A$7:$S$106,9,FALSE)*Paths!$R$137),"n.a."))</f>
        <v>0</v>
      </c>
    </row>
    <row r="1447" spans="1:20" ht="24" customHeight="1">
      <c r="A1447" s="1" t="str">
        <f>Paths!$A$137</f>
        <v>T033</v>
      </c>
      <c r="B1447" s="1">
        <f>Paths!$B$137</f>
        <v>2</v>
      </c>
      <c r="C1447" s="1">
        <v>10</v>
      </c>
      <c r="D1447" s="1">
        <v>137</v>
      </c>
      <c r="E1447" s="1">
        <f>IF(OR(Paths!$C$137=0,C1447=0),0,MAX(0,MIN(C1447*12,Paths!$E$137)-(C1447-1)*12))</f>
        <v>0</v>
      </c>
      <c r="F1447" s="1">
        <f>IF(OR(Paths!$C$137=0,C1447=0),0,12-E1447)</f>
        <v>0</v>
      </c>
      <c r="G1447" s="16">
        <f>IF(NOT(Paths!$C$137=1),0,IF(Paths!$P$137="Complete",E1447/12*(Paths!$J$137*(1+'Operating costs'!$B$51)^MAX(0,C1447-1)+Paths!$K$137*(1+'Operating costs'!$B$53)^MAX(0,C1447-1)),"n.a."))</f>
        <v>0</v>
      </c>
      <c r="H1447" s="16">
        <f>IF(NOT(Paths!$C$137=1),0,IF(Paths!$P$137="Complete",F1447/12*(Paths!$L$137*(1+IF(Paths!$D$137="EV",'Operating costs'!$B$52,'Operating costs'!$B$51))^MAX(0,C1447-1)+Paths!$M$137*(1+'Operating costs'!$B$53)^MAX(0,C1447-1)),"n.a."))</f>
        <v>0</v>
      </c>
      <c r="I1447" s="16">
        <f>IF(NOT(Paths!$C$137=1),0,IF(Paths!$P$137="Complete",IF(IF(Paths!$E$137=0,C1447=0,AND(C1447&gt;0,Paths!$E$137&gt;(C1447-1)*12,Paths!$E$137&lt;=C1447*12)),Paths!$G$137,0),"n.a."))</f>
        <v>0</v>
      </c>
      <c r="J1447" s="16">
        <f>IF(NOT(Paths!$C$137=1),0,IF(Paths!$P$137="Complete",IF(IF(Paths!$E$137=0,C1447=0,AND(C1447&gt;0,Paths!$E$137&gt;(C1447-1)*12,Paths!$E$137&lt;=C1447*12)),Paths!$H$137,0),"n.a."))</f>
        <v>0</v>
      </c>
      <c r="K1447" s="16">
        <f>IF(NOT(Paths!$C$137=1),0,IF(Paths!$P$137="Complete",IF(IF(Paths!$O$137=0,C1447=0,AND(C1447&gt;0,Paths!$O$137&gt;(C1447-1)*12,Paths!$O$137&lt;=C1447*12)),Paths!$N$137,0),"n.a."))</f>
        <v>0</v>
      </c>
      <c r="L1447" s="16">
        <f>IF(NOT(Paths!$C$137=1),0,IF(Paths!$P$137="Complete",IF(C1447=10,Paths!$I$137,0),"n.a."))</f>
        <v>0</v>
      </c>
      <c r="M1447" s="16">
        <f>IF(NOT(Paths!$C$137=1),0,IF(Paths!$P$137="Complete",IF(AND(Paths!$D$137="EV",Paths!$E$137&lt;120,Paths!$E$137+'Operating costs'!$B$65&gt;Paths!$E$137,Paths!$E$137+'Operating costs'!$B$65&lt;=120,IF(Paths!$E$137+'Operating costs'!$B$65=0,C1447=0,AND(C1447&gt;0,Paths!$E$137+'Operating costs'!$B$65&gt;(C1447-1)*12,Paths!$E$137+'Operating costs'!$B$65&lt;=C1447*12))),'Operating costs'!$B$64,0)+IF(AND('Operating costs'!$B$67&gt;0,'Operating costs'!$B$67&lt;=120,OR(Paths!$D$137="ICE",'Operating costs'!$B$67&lt;=Paths!$E$137),IF('Operating costs'!$B$67=0,C1447=0,AND(C1447&gt;0,'Operating costs'!$B$67&gt;(C1447-1)*12,'Operating costs'!$B$67&lt;=C1447*12))),'Operating costs'!$B$66,0),"n.a."))</f>
        <v>0</v>
      </c>
      <c r="N1447" s="16">
        <f>IF(NOT(Paths!$C$137=1),0,IF(Paths!$P$137="Complete",SUM(G1447:I1447)-J1447-K1447-L1447+M1447+IF(C1447=0,Paths!$F$137,0)+IF(IF(Paths!$E$137=0,C1447=0,AND(C1447&gt;0,Paths!$E$137&gt;(C1447-1)*12,Paths!$E$137&lt;=C1447*12)),VLOOKUP(A1447,'Fleet register'!$A$7:$S$106,16,FALSE),0),"n.a."))</f>
        <v>0</v>
      </c>
      <c r="O1447" s="16">
        <f>IF(NOT(Paths!$C$137=1),0,IF(Paths!$P$137="Complete",N1447-IF(C1447=0,Paths!$F$137,0),"n.a."))</f>
        <v>0</v>
      </c>
      <c r="P1447" s="16">
        <f>IF(NOT(Paths!$C$137=1),0,IF(Paths!$P$137="Complete",O1447+L1447,"n.a."))</f>
        <v>0</v>
      </c>
      <c r="Q1447" s="16">
        <f>IF(NOT(Paths!$C$137=1),0,IF(Paths!$P$137="Complete",N1447*(1+'Operating costs'!$B$54)^-C1447,"n.a."))</f>
        <v>0</v>
      </c>
      <c r="R1447" s="16">
        <f>IF(NOT(Paths!$C$137=1),0,IF(Paths!$P$137="Complete",IF(AND(C1447=0,Paths!$E$137=0),I1447-J1447-K1447+VLOOKUP(A1447,'Fleet register'!$A$7:$S$106,15,FALSE)+VLOOKUP(A1447,'Fleet register'!$A$7:$S$106,16,FALSE),0),"n.a."))</f>
        <v>0</v>
      </c>
      <c r="S1447" s="1">
        <f>IF(NOT(Paths!$C$137=1),0,IF(Paths!$P$137="Complete",IF(C1447=0,0,Paths!$S$137*Paths!$R$137),"n.a."))</f>
        <v>0</v>
      </c>
      <c r="T1447" s="1">
        <f>IF(NOT(Paths!$C$137=1),0,IF(Paths!$P$137="Complete",IF(C1447=0,0,VLOOKUP(A1447,'Fleet register'!$A$7:$S$106,9,FALSE)*Paths!$R$137),"n.a."))</f>
        <v>0</v>
      </c>
    </row>
    <row r="1448" spans="1:20" ht="24" customHeight="1">
      <c r="A1448" s="1" t="str">
        <f>Paths!$A$138</f>
        <v>T033</v>
      </c>
      <c r="B1448" s="1">
        <f>Paths!$B$138</f>
        <v>3</v>
      </c>
      <c r="C1448" s="1">
        <v>0</v>
      </c>
      <c r="D1448" s="1">
        <v>138</v>
      </c>
      <c r="E1448" s="1">
        <f>IF(OR(Paths!$C$138=0,C1448=0),0,MAX(0,MIN(C1448*12,Paths!$E$138)-(C1448-1)*12))</f>
        <v>0</v>
      </c>
      <c r="F1448" s="1">
        <f>IF(OR(Paths!$C$138=0,C1448=0),0,12-E1448)</f>
        <v>0</v>
      </c>
      <c r="G1448" s="16">
        <f>IF(NOT(Paths!$C$138=1),0,IF(Paths!$P$138="Complete",E1448/12*(Paths!$J$138*(1+'Operating costs'!$B$51)^MAX(0,C1448-1)+Paths!$K$138*(1+'Operating costs'!$B$53)^MAX(0,C1448-1)),"n.a."))</f>
        <v>0</v>
      </c>
      <c r="H1448" s="16">
        <f>IF(NOT(Paths!$C$138=1),0,IF(Paths!$P$138="Complete",F1448/12*(Paths!$L$138*(1+IF(Paths!$D$138="EV",'Operating costs'!$B$52,'Operating costs'!$B$51))^MAX(0,C1448-1)+Paths!$M$138*(1+'Operating costs'!$B$53)^MAX(0,C1448-1)),"n.a."))</f>
        <v>0</v>
      </c>
      <c r="I1448" s="16">
        <f>IF(NOT(Paths!$C$138=1),0,IF(Paths!$P$138="Complete",IF(IF(Paths!$E$138=0,C1448=0,AND(C1448&gt;0,Paths!$E$138&gt;(C1448-1)*12,Paths!$E$138&lt;=C1448*12)),Paths!$G$138,0),"n.a."))</f>
        <v>0</v>
      </c>
      <c r="J1448" s="16">
        <f>IF(NOT(Paths!$C$138=1),0,IF(Paths!$P$138="Complete",IF(IF(Paths!$E$138=0,C1448=0,AND(C1448&gt;0,Paths!$E$138&gt;(C1448-1)*12,Paths!$E$138&lt;=C1448*12)),Paths!$H$138,0),"n.a."))</f>
        <v>0</v>
      </c>
      <c r="K1448" s="16">
        <f>IF(NOT(Paths!$C$138=1),0,IF(Paths!$P$138="Complete",IF(IF(Paths!$O$138=0,C1448=0,AND(C1448&gt;0,Paths!$O$138&gt;(C1448-1)*12,Paths!$O$138&lt;=C1448*12)),Paths!$N$138,0),"n.a."))</f>
        <v>0</v>
      </c>
      <c r="L1448" s="16">
        <f>IF(NOT(Paths!$C$138=1),0,IF(Paths!$P$138="Complete",IF(C1448=10,Paths!$I$138,0),"n.a."))</f>
        <v>0</v>
      </c>
      <c r="M1448" s="16">
        <f>IF(NOT(Paths!$C$138=1),0,IF(Paths!$P$138="Complete",IF(AND(Paths!$D$138="EV",Paths!$E$138&lt;120,Paths!$E$138+'Operating costs'!$B$65&gt;Paths!$E$138,Paths!$E$138+'Operating costs'!$B$65&lt;=120,IF(Paths!$E$138+'Operating costs'!$B$65=0,C1448=0,AND(C1448&gt;0,Paths!$E$138+'Operating costs'!$B$65&gt;(C1448-1)*12,Paths!$E$138+'Operating costs'!$B$65&lt;=C1448*12))),'Operating costs'!$B$64,0)+IF(AND('Operating costs'!$B$67&gt;0,'Operating costs'!$B$67&lt;=120,OR(Paths!$D$138="ICE",'Operating costs'!$B$67&lt;=Paths!$E$138),IF('Operating costs'!$B$67=0,C1448=0,AND(C1448&gt;0,'Operating costs'!$B$67&gt;(C1448-1)*12,'Operating costs'!$B$67&lt;=C1448*12))),'Operating costs'!$B$66,0),"n.a."))</f>
        <v>0</v>
      </c>
      <c r="N1448" s="16">
        <f>IF(NOT(Paths!$C$138=1),0,IF(Paths!$P$138="Complete",SUM(G1448:I1448)-J1448-K1448-L1448+M1448+IF(C1448=0,Paths!$F$138,0)+IF(IF(Paths!$E$138=0,C1448=0,AND(C1448&gt;0,Paths!$E$138&gt;(C1448-1)*12,Paths!$E$138&lt;=C1448*12)),VLOOKUP(A1448,'Fleet register'!$A$7:$S$106,16,FALSE),0),"n.a."))</f>
        <v>0</v>
      </c>
      <c r="O1448" s="16">
        <f>IF(NOT(Paths!$C$138=1),0,IF(Paths!$P$138="Complete",N1448-IF(C1448=0,Paths!$F$138,0),"n.a."))</f>
        <v>0</v>
      </c>
      <c r="P1448" s="16">
        <f>IF(NOT(Paths!$C$138=1),0,IF(Paths!$P$138="Complete",O1448+L1448,"n.a."))</f>
        <v>0</v>
      </c>
      <c r="Q1448" s="16">
        <f>IF(NOT(Paths!$C$138=1),0,IF(Paths!$P$138="Complete",N1448*(1+'Operating costs'!$B$54)^-C1448,"n.a."))</f>
        <v>0</v>
      </c>
      <c r="R1448" s="16">
        <f>IF(NOT(Paths!$C$138=1),0,IF(Paths!$P$138="Complete",IF(AND(C1448=0,Paths!$E$138=0),I1448-J1448-K1448+VLOOKUP(A1448,'Fleet register'!$A$7:$S$106,15,FALSE)+VLOOKUP(A1448,'Fleet register'!$A$7:$S$106,16,FALSE),0),"n.a."))</f>
        <v>0</v>
      </c>
      <c r="S1448" s="1">
        <f>IF(NOT(Paths!$C$138=1),0,IF(Paths!$P$138="Complete",IF(C1448=0,0,Paths!$S$138*Paths!$R$138),"n.a."))</f>
        <v>0</v>
      </c>
      <c r="T1448" s="1">
        <f>IF(NOT(Paths!$C$138=1),0,IF(Paths!$P$138="Complete",IF(C1448=0,0,VLOOKUP(A1448,'Fleet register'!$A$7:$S$106,9,FALSE)*Paths!$R$138),"n.a."))</f>
        <v>0</v>
      </c>
    </row>
    <row r="1449" spans="1:20" ht="24" customHeight="1">
      <c r="A1449" s="1" t="str">
        <f>Paths!$A$138</f>
        <v>T033</v>
      </c>
      <c r="B1449" s="1">
        <f>Paths!$B$138</f>
        <v>3</v>
      </c>
      <c r="C1449" s="1">
        <v>1</v>
      </c>
      <c r="D1449" s="1">
        <v>138</v>
      </c>
      <c r="E1449" s="1">
        <f>IF(OR(Paths!$C$138=0,C1449=0),0,MAX(0,MIN(C1449*12,Paths!$E$138)-(C1449-1)*12))</f>
        <v>0</v>
      </c>
      <c r="F1449" s="1">
        <f>IF(OR(Paths!$C$138=0,C1449=0),0,12-E1449)</f>
        <v>0</v>
      </c>
      <c r="G1449" s="16">
        <f>IF(NOT(Paths!$C$138=1),0,IF(Paths!$P$138="Complete",E1449/12*(Paths!$J$138*(1+'Operating costs'!$B$51)^MAX(0,C1449-1)+Paths!$K$138*(1+'Operating costs'!$B$53)^MAX(0,C1449-1)),"n.a."))</f>
        <v>0</v>
      </c>
      <c r="H1449" s="16">
        <f>IF(NOT(Paths!$C$138=1),0,IF(Paths!$P$138="Complete",F1449/12*(Paths!$L$138*(1+IF(Paths!$D$138="EV",'Operating costs'!$B$52,'Operating costs'!$B$51))^MAX(0,C1449-1)+Paths!$M$138*(1+'Operating costs'!$B$53)^MAX(0,C1449-1)),"n.a."))</f>
        <v>0</v>
      </c>
      <c r="I1449" s="16">
        <f>IF(NOT(Paths!$C$138=1),0,IF(Paths!$P$138="Complete",IF(IF(Paths!$E$138=0,C1449=0,AND(C1449&gt;0,Paths!$E$138&gt;(C1449-1)*12,Paths!$E$138&lt;=C1449*12)),Paths!$G$138,0),"n.a."))</f>
        <v>0</v>
      </c>
      <c r="J1449" s="16">
        <f>IF(NOT(Paths!$C$138=1),0,IF(Paths!$P$138="Complete",IF(IF(Paths!$E$138=0,C1449=0,AND(C1449&gt;0,Paths!$E$138&gt;(C1449-1)*12,Paths!$E$138&lt;=C1449*12)),Paths!$H$138,0),"n.a."))</f>
        <v>0</v>
      </c>
      <c r="K1449" s="16">
        <f>IF(NOT(Paths!$C$138=1),0,IF(Paths!$P$138="Complete",IF(IF(Paths!$O$138=0,C1449=0,AND(C1449&gt;0,Paths!$O$138&gt;(C1449-1)*12,Paths!$O$138&lt;=C1449*12)),Paths!$N$138,0),"n.a."))</f>
        <v>0</v>
      </c>
      <c r="L1449" s="16">
        <f>IF(NOT(Paths!$C$138=1),0,IF(Paths!$P$138="Complete",IF(C1449=10,Paths!$I$138,0),"n.a."))</f>
        <v>0</v>
      </c>
      <c r="M1449" s="16">
        <f>IF(NOT(Paths!$C$138=1),0,IF(Paths!$P$138="Complete",IF(AND(Paths!$D$138="EV",Paths!$E$138&lt;120,Paths!$E$138+'Operating costs'!$B$65&gt;Paths!$E$138,Paths!$E$138+'Operating costs'!$B$65&lt;=120,IF(Paths!$E$138+'Operating costs'!$B$65=0,C1449=0,AND(C1449&gt;0,Paths!$E$138+'Operating costs'!$B$65&gt;(C1449-1)*12,Paths!$E$138+'Operating costs'!$B$65&lt;=C1449*12))),'Operating costs'!$B$64,0)+IF(AND('Operating costs'!$B$67&gt;0,'Operating costs'!$B$67&lt;=120,OR(Paths!$D$138="ICE",'Operating costs'!$B$67&lt;=Paths!$E$138),IF('Operating costs'!$B$67=0,C1449=0,AND(C1449&gt;0,'Operating costs'!$B$67&gt;(C1449-1)*12,'Operating costs'!$B$67&lt;=C1449*12))),'Operating costs'!$B$66,0),"n.a."))</f>
        <v>0</v>
      </c>
      <c r="N1449" s="16">
        <f>IF(NOT(Paths!$C$138=1),0,IF(Paths!$P$138="Complete",SUM(G1449:I1449)-J1449-K1449-L1449+M1449+IF(C1449=0,Paths!$F$138,0)+IF(IF(Paths!$E$138=0,C1449=0,AND(C1449&gt;0,Paths!$E$138&gt;(C1449-1)*12,Paths!$E$138&lt;=C1449*12)),VLOOKUP(A1449,'Fleet register'!$A$7:$S$106,16,FALSE),0),"n.a."))</f>
        <v>0</v>
      </c>
      <c r="O1449" s="16">
        <f>IF(NOT(Paths!$C$138=1),0,IF(Paths!$P$138="Complete",N1449-IF(C1449=0,Paths!$F$138,0),"n.a."))</f>
        <v>0</v>
      </c>
      <c r="P1449" s="16">
        <f>IF(NOT(Paths!$C$138=1),0,IF(Paths!$P$138="Complete",O1449+L1449,"n.a."))</f>
        <v>0</v>
      </c>
      <c r="Q1449" s="16">
        <f>IF(NOT(Paths!$C$138=1),0,IF(Paths!$P$138="Complete",N1449*(1+'Operating costs'!$B$54)^-C1449,"n.a."))</f>
        <v>0</v>
      </c>
      <c r="R1449" s="16">
        <f>IF(NOT(Paths!$C$138=1),0,IF(Paths!$P$138="Complete",IF(AND(C1449=0,Paths!$E$138=0),I1449-J1449-K1449+VLOOKUP(A1449,'Fleet register'!$A$7:$S$106,15,FALSE)+VLOOKUP(A1449,'Fleet register'!$A$7:$S$106,16,FALSE),0),"n.a."))</f>
        <v>0</v>
      </c>
      <c r="S1449" s="1">
        <f>IF(NOT(Paths!$C$138=1),0,IF(Paths!$P$138="Complete",IF(C1449=0,0,Paths!$S$138*Paths!$R$138),"n.a."))</f>
        <v>0</v>
      </c>
      <c r="T1449" s="1">
        <f>IF(NOT(Paths!$C$138=1),0,IF(Paths!$P$138="Complete",IF(C1449=0,0,VLOOKUP(A1449,'Fleet register'!$A$7:$S$106,9,FALSE)*Paths!$R$138),"n.a."))</f>
        <v>0</v>
      </c>
    </row>
    <row r="1450" spans="1:20" ht="24" customHeight="1">
      <c r="A1450" s="1" t="str">
        <f>Paths!$A$138</f>
        <v>T033</v>
      </c>
      <c r="B1450" s="1">
        <f>Paths!$B$138</f>
        <v>3</v>
      </c>
      <c r="C1450" s="1">
        <v>2</v>
      </c>
      <c r="D1450" s="1">
        <v>138</v>
      </c>
      <c r="E1450" s="1">
        <f>IF(OR(Paths!$C$138=0,C1450=0),0,MAX(0,MIN(C1450*12,Paths!$E$138)-(C1450-1)*12))</f>
        <v>0</v>
      </c>
      <c r="F1450" s="1">
        <f>IF(OR(Paths!$C$138=0,C1450=0),0,12-E1450)</f>
        <v>0</v>
      </c>
      <c r="G1450" s="16">
        <f>IF(NOT(Paths!$C$138=1),0,IF(Paths!$P$138="Complete",E1450/12*(Paths!$J$138*(1+'Operating costs'!$B$51)^MAX(0,C1450-1)+Paths!$K$138*(1+'Operating costs'!$B$53)^MAX(0,C1450-1)),"n.a."))</f>
        <v>0</v>
      </c>
      <c r="H1450" s="16">
        <f>IF(NOT(Paths!$C$138=1),0,IF(Paths!$P$138="Complete",F1450/12*(Paths!$L$138*(1+IF(Paths!$D$138="EV",'Operating costs'!$B$52,'Operating costs'!$B$51))^MAX(0,C1450-1)+Paths!$M$138*(1+'Operating costs'!$B$53)^MAX(0,C1450-1)),"n.a."))</f>
        <v>0</v>
      </c>
      <c r="I1450" s="16">
        <f>IF(NOT(Paths!$C$138=1),0,IF(Paths!$P$138="Complete",IF(IF(Paths!$E$138=0,C1450=0,AND(C1450&gt;0,Paths!$E$138&gt;(C1450-1)*12,Paths!$E$138&lt;=C1450*12)),Paths!$G$138,0),"n.a."))</f>
        <v>0</v>
      </c>
      <c r="J1450" s="16">
        <f>IF(NOT(Paths!$C$138=1),0,IF(Paths!$P$138="Complete",IF(IF(Paths!$E$138=0,C1450=0,AND(C1450&gt;0,Paths!$E$138&gt;(C1450-1)*12,Paths!$E$138&lt;=C1450*12)),Paths!$H$138,0),"n.a."))</f>
        <v>0</v>
      </c>
      <c r="K1450" s="16">
        <f>IF(NOT(Paths!$C$138=1),0,IF(Paths!$P$138="Complete",IF(IF(Paths!$O$138=0,C1450=0,AND(C1450&gt;0,Paths!$O$138&gt;(C1450-1)*12,Paths!$O$138&lt;=C1450*12)),Paths!$N$138,0),"n.a."))</f>
        <v>0</v>
      </c>
      <c r="L1450" s="16">
        <f>IF(NOT(Paths!$C$138=1),0,IF(Paths!$P$138="Complete",IF(C1450=10,Paths!$I$138,0),"n.a."))</f>
        <v>0</v>
      </c>
      <c r="M1450" s="16">
        <f>IF(NOT(Paths!$C$138=1),0,IF(Paths!$P$138="Complete",IF(AND(Paths!$D$138="EV",Paths!$E$138&lt;120,Paths!$E$138+'Operating costs'!$B$65&gt;Paths!$E$138,Paths!$E$138+'Operating costs'!$B$65&lt;=120,IF(Paths!$E$138+'Operating costs'!$B$65=0,C1450=0,AND(C1450&gt;0,Paths!$E$138+'Operating costs'!$B$65&gt;(C1450-1)*12,Paths!$E$138+'Operating costs'!$B$65&lt;=C1450*12))),'Operating costs'!$B$64,0)+IF(AND('Operating costs'!$B$67&gt;0,'Operating costs'!$B$67&lt;=120,OR(Paths!$D$138="ICE",'Operating costs'!$B$67&lt;=Paths!$E$138),IF('Operating costs'!$B$67=0,C1450=0,AND(C1450&gt;0,'Operating costs'!$B$67&gt;(C1450-1)*12,'Operating costs'!$B$67&lt;=C1450*12))),'Operating costs'!$B$66,0),"n.a."))</f>
        <v>0</v>
      </c>
      <c r="N1450" s="16">
        <f>IF(NOT(Paths!$C$138=1),0,IF(Paths!$P$138="Complete",SUM(G1450:I1450)-J1450-K1450-L1450+M1450+IF(C1450=0,Paths!$F$138,0)+IF(IF(Paths!$E$138=0,C1450=0,AND(C1450&gt;0,Paths!$E$138&gt;(C1450-1)*12,Paths!$E$138&lt;=C1450*12)),VLOOKUP(A1450,'Fleet register'!$A$7:$S$106,16,FALSE),0),"n.a."))</f>
        <v>0</v>
      </c>
      <c r="O1450" s="16">
        <f>IF(NOT(Paths!$C$138=1),0,IF(Paths!$P$138="Complete",N1450-IF(C1450=0,Paths!$F$138,0),"n.a."))</f>
        <v>0</v>
      </c>
      <c r="P1450" s="16">
        <f>IF(NOT(Paths!$C$138=1),0,IF(Paths!$P$138="Complete",O1450+L1450,"n.a."))</f>
        <v>0</v>
      </c>
      <c r="Q1450" s="16">
        <f>IF(NOT(Paths!$C$138=1),0,IF(Paths!$P$138="Complete",N1450*(1+'Operating costs'!$B$54)^-C1450,"n.a."))</f>
        <v>0</v>
      </c>
      <c r="R1450" s="16">
        <f>IF(NOT(Paths!$C$138=1),0,IF(Paths!$P$138="Complete",IF(AND(C1450=0,Paths!$E$138=0),I1450-J1450-K1450+VLOOKUP(A1450,'Fleet register'!$A$7:$S$106,15,FALSE)+VLOOKUP(A1450,'Fleet register'!$A$7:$S$106,16,FALSE),0),"n.a."))</f>
        <v>0</v>
      </c>
      <c r="S1450" s="1">
        <f>IF(NOT(Paths!$C$138=1),0,IF(Paths!$P$138="Complete",IF(C1450=0,0,Paths!$S$138*Paths!$R$138),"n.a."))</f>
        <v>0</v>
      </c>
      <c r="T1450" s="1">
        <f>IF(NOT(Paths!$C$138=1),0,IF(Paths!$P$138="Complete",IF(C1450=0,0,VLOOKUP(A1450,'Fleet register'!$A$7:$S$106,9,FALSE)*Paths!$R$138),"n.a."))</f>
        <v>0</v>
      </c>
    </row>
    <row r="1451" spans="1:20" ht="24" customHeight="1">
      <c r="A1451" s="1" t="str">
        <f>Paths!$A$138</f>
        <v>T033</v>
      </c>
      <c r="B1451" s="1">
        <f>Paths!$B$138</f>
        <v>3</v>
      </c>
      <c r="C1451" s="1">
        <v>3</v>
      </c>
      <c r="D1451" s="1">
        <v>138</v>
      </c>
      <c r="E1451" s="1">
        <f>IF(OR(Paths!$C$138=0,C1451=0),0,MAX(0,MIN(C1451*12,Paths!$E$138)-(C1451-1)*12))</f>
        <v>0</v>
      </c>
      <c r="F1451" s="1">
        <f>IF(OR(Paths!$C$138=0,C1451=0),0,12-E1451)</f>
        <v>0</v>
      </c>
      <c r="G1451" s="16">
        <f>IF(NOT(Paths!$C$138=1),0,IF(Paths!$P$138="Complete",E1451/12*(Paths!$J$138*(1+'Operating costs'!$B$51)^MAX(0,C1451-1)+Paths!$K$138*(1+'Operating costs'!$B$53)^MAX(0,C1451-1)),"n.a."))</f>
        <v>0</v>
      </c>
      <c r="H1451" s="16">
        <f>IF(NOT(Paths!$C$138=1),0,IF(Paths!$P$138="Complete",F1451/12*(Paths!$L$138*(1+IF(Paths!$D$138="EV",'Operating costs'!$B$52,'Operating costs'!$B$51))^MAX(0,C1451-1)+Paths!$M$138*(1+'Operating costs'!$B$53)^MAX(0,C1451-1)),"n.a."))</f>
        <v>0</v>
      </c>
      <c r="I1451" s="16">
        <f>IF(NOT(Paths!$C$138=1),0,IF(Paths!$P$138="Complete",IF(IF(Paths!$E$138=0,C1451=0,AND(C1451&gt;0,Paths!$E$138&gt;(C1451-1)*12,Paths!$E$138&lt;=C1451*12)),Paths!$G$138,0),"n.a."))</f>
        <v>0</v>
      </c>
      <c r="J1451" s="16">
        <f>IF(NOT(Paths!$C$138=1),0,IF(Paths!$P$138="Complete",IF(IF(Paths!$E$138=0,C1451=0,AND(C1451&gt;0,Paths!$E$138&gt;(C1451-1)*12,Paths!$E$138&lt;=C1451*12)),Paths!$H$138,0),"n.a."))</f>
        <v>0</v>
      </c>
      <c r="K1451" s="16">
        <f>IF(NOT(Paths!$C$138=1),0,IF(Paths!$P$138="Complete",IF(IF(Paths!$O$138=0,C1451=0,AND(C1451&gt;0,Paths!$O$138&gt;(C1451-1)*12,Paths!$O$138&lt;=C1451*12)),Paths!$N$138,0),"n.a."))</f>
        <v>0</v>
      </c>
      <c r="L1451" s="16">
        <f>IF(NOT(Paths!$C$138=1),0,IF(Paths!$P$138="Complete",IF(C1451=10,Paths!$I$138,0),"n.a."))</f>
        <v>0</v>
      </c>
      <c r="M1451" s="16">
        <f>IF(NOT(Paths!$C$138=1),0,IF(Paths!$P$138="Complete",IF(AND(Paths!$D$138="EV",Paths!$E$138&lt;120,Paths!$E$138+'Operating costs'!$B$65&gt;Paths!$E$138,Paths!$E$138+'Operating costs'!$B$65&lt;=120,IF(Paths!$E$138+'Operating costs'!$B$65=0,C1451=0,AND(C1451&gt;0,Paths!$E$138+'Operating costs'!$B$65&gt;(C1451-1)*12,Paths!$E$138+'Operating costs'!$B$65&lt;=C1451*12))),'Operating costs'!$B$64,0)+IF(AND('Operating costs'!$B$67&gt;0,'Operating costs'!$B$67&lt;=120,OR(Paths!$D$138="ICE",'Operating costs'!$B$67&lt;=Paths!$E$138),IF('Operating costs'!$B$67=0,C1451=0,AND(C1451&gt;0,'Operating costs'!$B$67&gt;(C1451-1)*12,'Operating costs'!$B$67&lt;=C1451*12))),'Operating costs'!$B$66,0),"n.a."))</f>
        <v>0</v>
      </c>
      <c r="N1451" s="16">
        <f>IF(NOT(Paths!$C$138=1),0,IF(Paths!$P$138="Complete",SUM(G1451:I1451)-J1451-K1451-L1451+M1451+IF(C1451=0,Paths!$F$138,0)+IF(IF(Paths!$E$138=0,C1451=0,AND(C1451&gt;0,Paths!$E$138&gt;(C1451-1)*12,Paths!$E$138&lt;=C1451*12)),VLOOKUP(A1451,'Fleet register'!$A$7:$S$106,16,FALSE),0),"n.a."))</f>
        <v>0</v>
      </c>
      <c r="O1451" s="16">
        <f>IF(NOT(Paths!$C$138=1),0,IF(Paths!$P$138="Complete",N1451-IF(C1451=0,Paths!$F$138,0),"n.a."))</f>
        <v>0</v>
      </c>
      <c r="P1451" s="16">
        <f>IF(NOT(Paths!$C$138=1),0,IF(Paths!$P$138="Complete",O1451+L1451,"n.a."))</f>
        <v>0</v>
      </c>
      <c r="Q1451" s="16">
        <f>IF(NOT(Paths!$C$138=1),0,IF(Paths!$P$138="Complete",N1451*(1+'Operating costs'!$B$54)^-C1451,"n.a."))</f>
        <v>0</v>
      </c>
      <c r="R1451" s="16">
        <f>IF(NOT(Paths!$C$138=1),0,IF(Paths!$P$138="Complete",IF(AND(C1451=0,Paths!$E$138=0),I1451-J1451-K1451+VLOOKUP(A1451,'Fleet register'!$A$7:$S$106,15,FALSE)+VLOOKUP(A1451,'Fleet register'!$A$7:$S$106,16,FALSE),0),"n.a."))</f>
        <v>0</v>
      </c>
      <c r="S1451" s="1">
        <f>IF(NOT(Paths!$C$138=1),0,IF(Paths!$P$138="Complete",IF(C1451=0,0,Paths!$S$138*Paths!$R$138),"n.a."))</f>
        <v>0</v>
      </c>
      <c r="T1451" s="1">
        <f>IF(NOT(Paths!$C$138=1),0,IF(Paths!$P$138="Complete",IF(C1451=0,0,VLOOKUP(A1451,'Fleet register'!$A$7:$S$106,9,FALSE)*Paths!$R$138),"n.a."))</f>
        <v>0</v>
      </c>
    </row>
    <row r="1452" spans="1:20" ht="24" customHeight="1">
      <c r="A1452" s="1" t="str">
        <f>Paths!$A$138</f>
        <v>T033</v>
      </c>
      <c r="B1452" s="1">
        <f>Paths!$B$138</f>
        <v>3</v>
      </c>
      <c r="C1452" s="1">
        <v>4</v>
      </c>
      <c r="D1452" s="1">
        <v>138</v>
      </c>
      <c r="E1452" s="1">
        <f>IF(OR(Paths!$C$138=0,C1452=0),0,MAX(0,MIN(C1452*12,Paths!$E$138)-(C1452-1)*12))</f>
        <v>0</v>
      </c>
      <c r="F1452" s="1">
        <f>IF(OR(Paths!$C$138=0,C1452=0),0,12-E1452)</f>
        <v>0</v>
      </c>
      <c r="G1452" s="16">
        <f>IF(NOT(Paths!$C$138=1),0,IF(Paths!$P$138="Complete",E1452/12*(Paths!$J$138*(1+'Operating costs'!$B$51)^MAX(0,C1452-1)+Paths!$K$138*(1+'Operating costs'!$B$53)^MAX(0,C1452-1)),"n.a."))</f>
        <v>0</v>
      </c>
      <c r="H1452" s="16">
        <f>IF(NOT(Paths!$C$138=1),0,IF(Paths!$P$138="Complete",F1452/12*(Paths!$L$138*(1+IF(Paths!$D$138="EV",'Operating costs'!$B$52,'Operating costs'!$B$51))^MAX(0,C1452-1)+Paths!$M$138*(1+'Operating costs'!$B$53)^MAX(0,C1452-1)),"n.a."))</f>
        <v>0</v>
      </c>
      <c r="I1452" s="16">
        <f>IF(NOT(Paths!$C$138=1),0,IF(Paths!$P$138="Complete",IF(IF(Paths!$E$138=0,C1452=0,AND(C1452&gt;0,Paths!$E$138&gt;(C1452-1)*12,Paths!$E$138&lt;=C1452*12)),Paths!$G$138,0),"n.a."))</f>
        <v>0</v>
      </c>
      <c r="J1452" s="16">
        <f>IF(NOT(Paths!$C$138=1),0,IF(Paths!$P$138="Complete",IF(IF(Paths!$E$138=0,C1452=0,AND(C1452&gt;0,Paths!$E$138&gt;(C1452-1)*12,Paths!$E$138&lt;=C1452*12)),Paths!$H$138,0),"n.a."))</f>
        <v>0</v>
      </c>
      <c r="K1452" s="16">
        <f>IF(NOT(Paths!$C$138=1),0,IF(Paths!$P$138="Complete",IF(IF(Paths!$O$138=0,C1452=0,AND(C1452&gt;0,Paths!$O$138&gt;(C1452-1)*12,Paths!$O$138&lt;=C1452*12)),Paths!$N$138,0),"n.a."))</f>
        <v>0</v>
      </c>
      <c r="L1452" s="16">
        <f>IF(NOT(Paths!$C$138=1),0,IF(Paths!$P$138="Complete",IF(C1452=10,Paths!$I$138,0),"n.a."))</f>
        <v>0</v>
      </c>
      <c r="M1452" s="16">
        <f>IF(NOT(Paths!$C$138=1),0,IF(Paths!$P$138="Complete",IF(AND(Paths!$D$138="EV",Paths!$E$138&lt;120,Paths!$E$138+'Operating costs'!$B$65&gt;Paths!$E$138,Paths!$E$138+'Operating costs'!$B$65&lt;=120,IF(Paths!$E$138+'Operating costs'!$B$65=0,C1452=0,AND(C1452&gt;0,Paths!$E$138+'Operating costs'!$B$65&gt;(C1452-1)*12,Paths!$E$138+'Operating costs'!$B$65&lt;=C1452*12))),'Operating costs'!$B$64,0)+IF(AND('Operating costs'!$B$67&gt;0,'Operating costs'!$B$67&lt;=120,OR(Paths!$D$138="ICE",'Operating costs'!$B$67&lt;=Paths!$E$138),IF('Operating costs'!$B$67=0,C1452=0,AND(C1452&gt;0,'Operating costs'!$B$67&gt;(C1452-1)*12,'Operating costs'!$B$67&lt;=C1452*12))),'Operating costs'!$B$66,0),"n.a."))</f>
        <v>0</v>
      </c>
      <c r="N1452" s="16">
        <f>IF(NOT(Paths!$C$138=1),0,IF(Paths!$P$138="Complete",SUM(G1452:I1452)-J1452-K1452-L1452+M1452+IF(C1452=0,Paths!$F$138,0)+IF(IF(Paths!$E$138=0,C1452=0,AND(C1452&gt;0,Paths!$E$138&gt;(C1452-1)*12,Paths!$E$138&lt;=C1452*12)),VLOOKUP(A1452,'Fleet register'!$A$7:$S$106,16,FALSE),0),"n.a."))</f>
        <v>0</v>
      </c>
      <c r="O1452" s="16">
        <f>IF(NOT(Paths!$C$138=1),0,IF(Paths!$P$138="Complete",N1452-IF(C1452=0,Paths!$F$138,0),"n.a."))</f>
        <v>0</v>
      </c>
      <c r="P1452" s="16">
        <f>IF(NOT(Paths!$C$138=1),0,IF(Paths!$P$138="Complete",O1452+L1452,"n.a."))</f>
        <v>0</v>
      </c>
      <c r="Q1452" s="16">
        <f>IF(NOT(Paths!$C$138=1),0,IF(Paths!$P$138="Complete",N1452*(1+'Operating costs'!$B$54)^-C1452,"n.a."))</f>
        <v>0</v>
      </c>
      <c r="R1452" s="16">
        <f>IF(NOT(Paths!$C$138=1),0,IF(Paths!$P$138="Complete",IF(AND(C1452=0,Paths!$E$138=0),I1452-J1452-K1452+VLOOKUP(A1452,'Fleet register'!$A$7:$S$106,15,FALSE)+VLOOKUP(A1452,'Fleet register'!$A$7:$S$106,16,FALSE),0),"n.a."))</f>
        <v>0</v>
      </c>
      <c r="S1452" s="1">
        <f>IF(NOT(Paths!$C$138=1),0,IF(Paths!$P$138="Complete",IF(C1452=0,0,Paths!$S$138*Paths!$R$138),"n.a."))</f>
        <v>0</v>
      </c>
      <c r="T1452" s="1">
        <f>IF(NOT(Paths!$C$138=1),0,IF(Paths!$P$138="Complete",IF(C1452=0,0,VLOOKUP(A1452,'Fleet register'!$A$7:$S$106,9,FALSE)*Paths!$R$138),"n.a."))</f>
        <v>0</v>
      </c>
    </row>
    <row r="1453" spans="1:20" ht="24" customHeight="1">
      <c r="A1453" s="1" t="str">
        <f>Paths!$A$138</f>
        <v>T033</v>
      </c>
      <c r="B1453" s="1">
        <f>Paths!$B$138</f>
        <v>3</v>
      </c>
      <c r="C1453" s="1">
        <v>5</v>
      </c>
      <c r="D1453" s="1">
        <v>138</v>
      </c>
      <c r="E1453" s="1">
        <f>IF(OR(Paths!$C$138=0,C1453=0),0,MAX(0,MIN(C1453*12,Paths!$E$138)-(C1453-1)*12))</f>
        <v>0</v>
      </c>
      <c r="F1453" s="1">
        <f>IF(OR(Paths!$C$138=0,C1453=0),0,12-E1453)</f>
        <v>0</v>
      </c>
      <c r="G1453" s="16">
        <f>IF(NOT(Paths!$C$138=1),0,IF(Paths!$P$138="Complete",E1453/12*(Paths!$J$138*(1+'Operating costs'!$B$51)^MAX(0,C1453-1)+Paths!$K$138*(1+'Operating costs'!$B$53)^MAX(0,C1453-1)),"n.a."))</f>
        <v>0</v>
      </c>
      <c r="H1453" s="16">
        <f>IF(NOT(Paths!$C$138=1),0,IF(Paths!$P$138="Complete",F1453/12*(Paths!$L$138*(1+IF(Paths!$D$138="EV",'Operating costs'!$B$52,'Operating costs'!$B$51))^MAX(0,C1453-1)+Paths!$M$138*(1+'Operating costs'!$B$53)^MAX(0,C1453-1)),"n.a."))</f>
        <v>0</v>
      </c>
      <c r="I1453" s="16">
        <f>IF(NOT(Paths!$C$138=1),0,IF(Paths!$P$138="Complete",IF(IF(Paths!$E$138=0,C1453=0,AND(C1453&gt;0,Paths!$E$138&gt;(C1453-1)*12,Paths!$E$138&lt;=C1453*12)),Paths!$G$138,0),"n.a."))</f>
        <v>0</v>
      </c>
      <c r="J1453" s="16">
        <f>IF(NOT(Paths!$C$138=1),0,IF(Paths!$P$138="Complete",IF(IF(Paths!$E$138=0,C1453=0,AND(C1453&gt;0,Paths!$E$138&gt;(C1453-1)*12,Paths!$E$138&lt;=C1453*12)),Paths!$H$138,0),"n.a."))</f>
        <v>0</v>
      </c>
      <c r="K1453" s="16">
        <f>IF(NOT(Paths!$C$138=1),0,IF(Paths!$P$138="Complete",IF(IF(Paths!$O$138=0,C1453=0,AND(C1453&gt;0,Paths!$O$138&gt;(C1453-1)*12,Paths!$O$138&lt;=C1453*12)),Paths!$N$138,0),"n.a."))</f>
        <v>0</v>
      </c>
      <c r="L1453" s="16">
        <f>IF(NOT(Paths!$C$138=1),0,IF(Paths!$P$138="Complete",IF(C1453=10,Paths!$I$138,0),"n.a."))</f>
        <v>0</v>
      </c>
      <c r="M1453" s="16">
        <f>IF(NOT(Paths!$C$138=1),0,IF(Paths!$P$138="Complete",IF(AND(Paths!$D$138="EV",Paths!$E$138&lt;120,Paths!$E$138+'Operating costs'!$B$65&gt;Paths!$E$138,Paths!$E$138+'Operating costs'!$B$65&lt;=120,IF(Paths!$E$138+'Operating costs'!$B$65=0,C1453=0,AND(C1453&gt;0,Paths!$E$138+'Operating costs'!$B$65&gt;(C1453-1)*12,Paths!$E$138+'Operating costs'!$B$65&lt;=C1453*12))),'Operating costs'!$B$64,0)+IF(AND('Operating costs'!$B$67&gt;0,'Operating costs'!$B$67&lt;=120,OR(Paths!$D$138="ICE",'Operating costs'!$B$67&lt;=Paths!$E$138),IF('Operating costs'!$B$67=0,C1453=0,AND(C1453&gt;0,'Operating costs'!$B$67&gt;(C1453-1)*12,'Operating costs'!$B$67&lt;=C1453*12))),'Operating costs'!$B$66,0),"n.a."))</f>
        <v>0</v>
      </c>
      <c r="N1453" s="16">
        <f>IF(NOT(Paths!$C$138=1),0,IF(Paths!$P$138="Complete",SUM(G1453:I1453)-J1453-K1453-L1453+M1453+IF(C1453=0,Paths!$F$138,0)+IF(IF(Paths!$E$138=0,C1453=0,AND(C1453&gt;0,Paths!$E$138&gt;(C1453-1)*12,Paths!$E$138&lt;=C1453*12)),VLOOKUP(A1453,'Fleet register'!$A$7:$S$106,16,FALSE),0),"n.a."))</f>
        <v>0</v>
      </c>
      <c r="O1453" s="16">
        <f>IF(NOT(Paths!$C$138=1),0,IF(Paths!$P$138="Complete",N1453-IF(C1453=0,Paths!$F$138,0),"n.a."))</f>
        <v>0</v>
      </c>
      <c r="P1453" s="16">
        <f>IF(NOT(Paths!$C$138=1),0,IF(Paths!$P$138="Complete",O1453+L1453,"n.a."))</f>
        <v>0</v>
      </c>
      <c r="Q1453" s="16">
        <f>IF(NOT(Paths!$C$138=1),0,IF(Paths!$P$138="Complete",N1453*(1+'Operating costs'!$B$54)^-C1453,"n.a."))</f>
        <v>0</v>
      </c>
      <c r="R1453" s="16">
        <f>IF(NOT(Paths!$C$138=1),0,IF(Paths!$P$138="Complete",IF(AND(C1453=0,Paths!$E$138=0),I1453-J1453-K1453+VLOOKUP(A1453,'Fleet register'!$A$7:$S$106,15,FALSE)+VLOOKUP(A1453,'Fleet register'!$A$7:$S$106,16,FALSE),0),"n.a."))</f>
        <v>0</v>
      </c>
      <c r="S1453" s="1">
        <f>IF(NOT(Paths!$C$138=1),0,IF(Paths!$P$138="Complete",IF(C1453=0,0,Paths!$S$138*Paths!$R$138),"n.a."))</f>
        <v>0</v>
      </c>
      <c r="T1453" s="1">
        <f>IF(NOT(Paths!$C$138=1),0,IF(Paths!$P$138="Complete",IF(C1453=0,0,VLOOKUP(A1453,'Fleet register'!$A$7:$S$106,9,FALSE)*Paths!$R$138),"n.a."))</f>
        <v>0</v>
      </c>
    </row>
    <row r="1454" spans="1:20" ht="24" customHeight="1">
      <c r="A1454" s="1" t="str">
        <f>Paths!$A$138</f>
        <v>T033</v>
      </c>
      <c r="B1454" s="1">
        <f>Paths!$B$138</f>
        <v>3</v>
      </c>
      <c r="C1454" s="1">
        <v>6</v>
      </c>
      <c r="D1454" s="1">
        <v>138</v>
      </c>
      <c r="E1454" s="1">
        <f>IF(OR(Paths!$C$138=0,C1454=0),0,MAX(0,MIN(C1454*12,Paths!$E$138)-(C1454-1)*12))</f>
        <v>0</v>
      </c>
      <c r="F1454" s="1">
        <f>IF(OR(Paths!$C$138=0,C1454=0),0,12-E1454)</f>
        <v>0</v>
      </c>
      <c r="G1454" s="16">
        <f>IF(NOT(Paths!$C$138=1),0,IF(Paths!$P$138="Complete",E1454/12*(Paths!$J$138*(1+'Operating costs'!$B$51)^MAX(0,C1454-1)+Paths!$K$138*(1+'Operating costs'!$B$53)^MAX(0,C1454-1)),"n.a."))</f>
        <v>0</v>
      </c>
      <c r="H1454" s="16">
        <f>IF(NOT(Paths!$C$138=1),0,IF(Paths!$P$138="Complete",F1454/12*(Paths!$L$138*(1+IF(Paths!$D$138="EV",'Operating costs'!$B$52,'Operating costs'!$B$51))^MAX(0,C1454-1)+Paths!$M$138*(1+'Operating costs'!$B$53)^MAX(0,C1454-1)),"n.a."))</f>
        <v>0</v>
      </c>
      <c r="I1454" s="16">
        <f>IF(NOT(Paths!$C$138=1),0,IF(Paths!$P$138="Complete",IF(IF(Paths!$E$138=0,C1454=0,AND(C1454&gt;0,Paths!$E$138&gt;(C1454-1)*12,Paths!$E$138&lt;=C1454*12)),Paths!$G$138,0),"n.a."))</f>
        <v>0</v>
      </c>
      <c r="J1454" s="16">
        <f>IF(NOT(Paths!$C$138=1),0,IF(Paths!$P$138="Complete",IF(IF(Paths!$E$138=0,C1454=0,AND(C1454&gt;0,Paths!$E$138&gt;(C1454-1)*12,Paths!$E$138&lt;=C1454*12)),Paths!$H$138,0),"n.a."))</f>
        <v>0</v>
      </c>
      <c r="K1454" s="16">
        <f>IF(NOT(Paths!$C$138=1),0,IF(Paths!$P$138="Complete",IF(IF(Paths!$O$138=0,C1454=0,AND(C1454&gt;0,Paths!$O$138&gt;(C1454-1)*12,Paths!$O$138&lt;=C1454*12)),Paths!$N$138,0),"n.a."))</f>
        <v>0</v>
      </c>
      <c r="L1454" s="16">
        <f>IF(NOT(Paths!$C$138=1),0,IF(Paths!$P$138="Complete",IF(C1454=10,Paths!$I$138,0),"n.a."))</f>
        <v>0</v>
      </c>
      <c r="M1454" s="16">
        <f>IF(NOT(Paths!$C$138=1),0,IF(Paths!$P$138="Complete",IF(AND(Paths!$D$138="EV",Paths!$E$138&lt;120,Paths!$E$138+'Operating costs'!$B$65&gt;Paths!$E$138,Paths!$E$138+'Operating costs'!$B$65&lt;=120,IF(Paths!$E$138+'Operating costs'!$B$65=0,C1454=0,AND(C1454&gt;0,Paths!$E$138+'Operating costs'!$B$65&gt;(C1454-1)*12,Paths!$E$138+'Operating costs'!$B$65&lt;=C1454*12))),'Operating costs'!$B$64,0)+IF(AND('Operating costs'!$B$67&gt;0,'Operating costs'!$B$67&lt;=120,OR(Paths!$D$138="ICE",'Operating costs'!$B$67&lt;=Paths!$E$138),IF('Operating costs'!$B$67=0,C1454=0,AND(C1454&gt;0,'Operating costs'!$B$67&gt;(C1454-1)*12,'Operating costs'!$B$67&lt;=C1454*12))),'Operating costs'!$B$66,0),"n.a."))</f>
        <v>0</v>
      </c>
      <c r="N1454" s="16">
        <f>IF(NOT(Paths!$C$138=1),0,IF(Paths!$P$138="Complete",SUM(G1454:I1454)-J1454-K1454-L1454+M1454+IF(C1454=0,Paths!$F$138,0)+IF(IF(Paths!$E$138=0,C1454=0,AND(C1454&gt;0,Paths!$E$138&gt;(C1454-1)*12,Paths!$E$138&lt;=C1454*12)),VLOOKUP(A1454,'Fleet register'!$A$7:$S$106,16,FALSE),0),"n.a."))</f>
        <v>0</v>
      </c>
      <c r="O1454" s="16">
        <f>IF(NOT(Paths!$C$138=1),0,IF(Paths!$P$138="Complete",N1454-IF(C1454=0,Paths!$F$138,0),"n.a."))</f>
        <v>0</v>
      </c>
      <c r="P1454" s="16">
        <f>IF(NOT(Paths!$C$138=1),0,IF(Paths!$P$138="Complete",O1454+L1454,"n.a."))</f>
        <v>0</v>
      </c>
      <c r="Q1454" s="16">
        <f>IF(NOT(Paths!$C$138=1),0,IF(Paths!$P$138="Complete",N1454*(1+'Operating costs'!$B$54)^-C1454,"n.a."))</f>
        <v>0</v>
      </c>
      <c r="R1454" s="16">
        <f>IF(NOT(Paths!$C$138=1),0,IF(Paths!$P$138="Complete",IF(AND(C1454=0,Paths!$E$138=0),I1454-J1454-K1454+VLOOKUP(A1454,'Fleet register'!$A$7:$S$106,15,FALSE)+VLOOKUP(A1454,'Fleet register'!$A$7:$S$106,16,FALSE),0),"n.a."))</f>
        <v>0</v>
      </c>
      <c r="S1454" s="1">
        <f>IF(NOT(Paths!$C$138=1),0,IF(Paths!$P$138="Complete",IF(C1454=0,0,Paths!$S$138*Paths!$R$138),"n.a."))</f>
        <v>0</v>
      </c>
      <c r="T1454" s="1">
        <f>IF(NOT(Paths!$C$138=1),0,IF(Paths!$P$138="Complete",IF(C1454=0,0,VLOOKUP(A1454,'Fleet register'!$A$7:$S$106,9,FALSE)*Paths!$R$138),"n.a."))</f>
        <v>0</v>
      </c>
    </row>
    <row r="1455" spans="1:20" ht="24" customHeight="1">
      <c r="A1455" s="1" t="str">
        <f>Paths!$A$138</f>
        <v>T033</v>
      </c>
      <c r="B1455" s="1">
        <f>Paths!$B$138</f>
        <v>3</v>
      </c>
      <c r="C1455" s="1">
        <v>7</v>
      </c>
      <c r="D1455" s="1">
        <v>138</v>
      </c>
      <c r="E1455" s="1">
        <f>IF(OR(Paths!$C$138=0,C1455=0),0,MAX(0,MIN(C1455*12,Paths!$E$138)-(C1455-1)*12))</f>
        <v>0</v>
      </c>
      <c r="F1455" s="1">
        <f>IF(OR(Paths!$C$138=0,C1455=0),0,12-E1455)</f>
        <v>0</v>
      </c>
      <c r="G1455" s="16">
        <f>IF(NOT(Paths!$C$138=1),0,IF(Paths!$P$138="Complete",E1455/12*(Paths!$J$138*(1+'Operating costs'!$B$51)^MAX(0,C1455-1)+Paths!$K$138*(1+'Operating costs'!$B$53)^MAX(0,C1455-1)),"n.a."))</f>
        <v>0</v>
      </c>
      <c r="H1455" s="16">
        <f>IF(NOT(Paths!$C$138=1),0,IF(Paths!$P$138="Complete",F1455/12*(Paths!$L$138*(1+IF(Paths!$D$138="EV",'Operating costs'!$B$52,'Operating costs'!$B$51))^MAX(0,C1455-1)+Paths!$M$138*(1+'Operating costs'!$B$53)^MAX(0,C1455-1)),"n.a."))</f>
        <v>0</v>
      </c>
      <c r="I1455" s="16">
        <f>IF(NOT(Paths!$C$138=1),0,IF(Paths!$P$138="Complete",IF(IF(Paths!$E$138=0,C1455=0,AND(C1455&gt;0,Paths!$E$138&gt;(C1455-1)*12,Paths!$E$138&lt;=C1455*12)),Paths!$G$138,0),"n.a."))</f>
        <v>0</v>
      </c>
      <c r="J1455" s="16">
        <f>IF(NOT(Paths!$C$138=1),0,IF(Paths!$P$138="Complete",IF(IF(Paths!$E$138=0,C1455=0,AND(C1455&gt;0,Paths!$E$138&gt;(C1455-1)*12,Paths!$E$138&lt;=C1455*12)),Paths!$H$138,0),"n.a."))</f>
        <v>0</v>
      </c>
      <c r="K1455" s="16">
        <f>IF(NOT(Paths!$C$138=1),0,IF(Paths!$P$138="Complete",IF(IF(Paths!$O$138=0,C1455=0,AND(C1455&gt;0,Paths!$O$138&gt;(C1455-1)*12,Paths!$O$138&lt;=C1455*12)),Paths!$N$138,0),"n.a."))</f>
        <v>0</v>
      </c>
      <c r="L1455" s="16">
        <f>IF(NOT(Paths!$C$138=1),0,IF(Paths!$P$138="Complete",IF(C1455=10,Paths!$I$138,0),"n.a."))</f>
        <v>0</v>
      </c>
      <c r="M1455" s="16">
        <f>IF(NOT(Paths!$C$138=1),0,IF(Paths!$P$138="Complete",IF(AND(Paths!$D$138="EV",Paths!$E$138&lt;120,Paths!$E$138+'Operating costs'!$B$65&gt;Paths!$E$138,Paths!$E$138+'Operating costs'!$B$65&lt;=120,IF(Paths!$E$138+'Operating costs'!$B$65=0,C1455=0,AND(C1455&gt;0,Paths!$E$138+'Operating costs'!$B$65&gt;(C1455-1)*12,Paths!$E$138+'Operating costs'!$B$65&lt;=C1455*12))),'Operating costs'!$B$64,0)+IF(AND('Operating costs'!$B$67&gt;0,'Operating costs'!$B$67&lt;=120,OR(Paths!$D$138="ICE",'Operating costs'!$B$67&lt;=Paths!$E$138),IF('Operating costs'!$B$67=0,C1455=0,AND(C1455&gt;0,'Operating costs'!$B$67&gt;(C1455-1)*12,'Operating costs'!$B$67&lt;=C1455*12))),'Operating costs'!$B$66,0),"n.a."))</f>
        <v>0</v>
      </c>
      <c r="N1455" s="16">
        <f>IF(NOT(Paths!$C$138=1),0,IF(Paths!$P$138="Complete",SUM(G1455:I1455)-J1455-K1455-L1455+M1455+IF(C1455=0,Paths!$F$138,0)+IF(IF(Paths!$E$138=0,C1455=0,AND(C1455&gt;0,Paths!$E$138&gt;(C1455-1)*12,Paths!$E$138&lt;=C1455*12)),VLOOKUP(A1455,'Fleet register'!$A$7:$S$106,16,FALSE),0),"n.a."))</f>
        <v>0</v>
      </c>
      <c r="O1455" s="16">
        <f>IF(NOT(Paths!$C$138=1),0,IF(Paths!$P$138="Complete",N1455-IF(C1455=0,Paths!$F$138,0),"n.a."))</f>
        <v>0</v>
      </c>
      <c r="P1455" s="16">
        <f>IF(NOT(Paths!$C$138=1),0,IF(Paths!$P$138="Complete",O1455+L1455,"n.a."))</f>
        <v>0</v>
      </c>
      <c r="Q1455" s="16">
        <f>IF(NOT(Paths!$C$138=1),0,IF(Paths!$P$138="Complete",N1455*(1+'Operating costs'!$B$54)^-C1455,"n.a."))</f>
        <v>0</v>
      </c>
      <c r="R1455" s="16">
        <f>IF(NOT(Paths!$C$138=1),0,IF(Paths!$P$138="Complete",IF(AND(C1455=0,Paths!$E$138=0),I1455-J1455-K1455+VLOOKUP(A1455,'Fleet register'!$A$7:$S$106,15,FALSE)+VLOOKUP(A1455,'Fleet register'!$A$7:$S$106,16,FALSE),0),"n.a."))</f>
        <v>0</v>
      </c>
      <c r="S1455" s="1">
        <f>IF(NOT(Paths!$C$138=1),0,IF(Paths!$P$138="Complete",IF(C1455=0,0,Paths!$S$138*Paths!$R$138),"n.a."))</f>
        <v>0</v>
      </c>
      <c r="T1455" s="1">
        <f>IF(NOT(Paths!$C$138=1),0,IF(Paths!$P$138="Complete",IF(C1455=0,0,VLOOKUP(A1455,'Fleet register'!$A$7:$S$106,9,FALSE)*Paths!$R$138),"n.a."))</f>
        <v>0</v>
      </c>
    </row>
    <row r="1456" spans="1:20" ht="24" customHeight="1">
      <c r="A1456" s="1" t="str">
        <f>Paths!$A$138</f>
        <v>T033</v>
      </c>
      <c r="B1456" s="1">
        <f>Paths!$B$138</f>
        <v>3</v>
      </c>
      <c r="C1456" s="1">
        <v>8</v>
      </c>
      <c r="D1456" s="1">
        <v>138</v>
      </c>
      <c r="E1456" s="1">
        <f>IF(OR(Paths!$C$138=0,C1456=0),0,MAX(0,MIN(C1456*12,Paths!$E$138)-(C1456-1)*12))</f>
        <v>0</v>
      </c>
      <c r="F1456" s="1">
        <f>IF(OR(Paths!$C$138=0,C1456=0),0,12-E1456)</f>
        <v>0</v>
      </c>
      <c r="G1456" s="16">
        <f>IF(NOT(Paths!$C$138=1),0,IF(Paths!$P$138="Complete",E1456/12*(Paths!$J$138*(1+'Operating costs'!$B$51)^MAX(0,C1456-1)+Paths!$K$138*(1+'Operating costs'!$B$53)^MAX(0,C1456-1)),"n.a."))</f>
        <v>0</v>
      </c>
      <c r="H1456" s="16">
        <f>IF(NOT(Paths!$C$138=1),0,IF(Paths!$P$138="Complete",F1456/12*(Paths!$L$138*(1+IF(Paths!$D$138="EV",'Operating costs'!$B$52,'Operating costs'!$B$51))^MAX(0,C1456-1)+Paths!$M$138*(1+'Operating costs'!$B$53)^MAX(0,C1456-1)),"n.a."))</f>
        <v>0</v>
      </c>
      <c r="I1456" s="16">
        <f>IF(NOT(Paths!$C$138=1),0,IF(Paths!$P$138="Complete",IF(IF(Paths!$E$138=0,C1456=0,AND(C1456&gt;0,Paths!$E$138&gt;(C1456-1)*12,Paths!$E$138&lt;=C1456*12)),Paths!$G$138,0),"n.a."))</f>
        <v>0</v>
      </c>
      <c r="J1456" s="16">
        <f>IF(NOT(Paths!$C$138=1),0,IF(Paths!$P$138="Complete",IF(IF(Paths!$E$138=0,C1456=0,AND(C1456&gt;0,Paths!$E$138&gt;(C1456-1)*12,Paths!$E$138&lt;=C1456*12)),Paths!$H$138,0),"n.a."))</f>
        <v>0</v>
      </c>
      <c r="K1456" s="16">
        <f>IF(NOT(Paths!$C$138=1),0,IF(Paths!$P$138="Complete",IF(IF(Paths!$O$138=0,C1456=0,AND(C1456&gt;0,Paths!$O$138&gt;(C1456-1)*12,Paths!$O$138&lt;=C1456*12)),Paths!$N$138,0),"n.a."))</f>
        <v>0</v>
      </c>
      <c r="L1456" s="16">
        <f>IF(NOT(Paths!$C$138=1),0,IF(Paths!$P$138="Complete",IF(C1456=10,Paths!$I$138,0),"n.a."))</f>
        <v>0</v>
      </c>
      <c r="M1456" s="16">
        <f>IF(NOT(Paths!$C$138=1),0,IF(Paths!$P$138="Complete",IF(AND(Paths!$D$138="EV",Paths!$E$138&lt;120,Paths!$E$138+'Operating costs'!$B$65&gt;Paths!$E$138,Paths!$E$138+'Operating costs'!$B$65&lt;=120,IF(Paths!$E$138+'Operating costs'!$B$65=0,C1456=0,AND(C1456&gt;0,Paths!$E$138+'Operating costs'!$B$65&gt;(C1456-1)*12,Paths!$E$138+'Operating costs'!$B$65&lt;=C1456*12))),'Operating costs'!$B$64,0)+IF(AND('Operating costs'!$B$67&gt;0,'Operating costs'!$B$67&lt;=120,OR(Paths!$D$138="ICE",'Operating costs'!$B$67&lt;=Paths!$E$138),IF('Operating costs'!$B$67=0,C1456=0,AND(C1456&gt;0,'Operating costs'!$B$67&gt;(C1456-1)*12,'Operating costs'!$B$67&lt;=C1456*12))),'Operating costs'!$B$66,0),"n.a."))</f>
        <v>0</v>
      </c>
      <c r="N1456" s="16">
        <f>IF(NOT(Paths!$C$138=1),0,IF(Paths!$P$138="Complete",SUM(G1456:I1456)-J1456-K1456-L1456+M1456+IF(C1456=0,Paths!$F$138,0)+IF(IF(Paths!$E$138=0,C1456=0,AND(C1456&gt;0,Paths!$E$138&gt;(C1456-1)*12,Paths!$E$138&lt;=C1456*12)),VLOOKUP(A1456,'Fleet register'!$A$7:$S$106,16,FALSE),0),"n.a."))</f>
        <v>0</v>
      </c>
      <c r="O1456" s="16">
        <f>IF(NOT(Paths!$C$138=1),0,IF(Paths!$P$138="Complete",N1456-IF(C1456=0,Paths!$F$138,0),"n.a."))</f>
        <v>0</v>
      </c>
      <c r="P1456" s="16">
        <f>IF(NOT(Paths!$C$138=1),0,IF(Paths!$P$138="Complete",O1456+L1456,"n.a."))</f>
        <v>0</v>
      </c>
      <c r="Q1456" s="16">
        <f>IF(NOT(Paths!$C$138=1),0,IF(Paths!$P$138="Complete",N1456*(1+'Operating costs'!$B$54)^-C1456,"n.a."))</f>
        <v>0</v>
      </c>
      <c r="R1456" s="16">
        <f>IF(NOT(Paths!$C$138=1),0,IF(Paths!$P$138="Complete",IF(AND(C1456=0,Paths!$E$138=0),I1456-J1456-K1456+VLOOKUP(A1456,'Fleet register'!$A$7:$S$106,15,FALSE)+VLOOKUP(A1456,'Fleet register'!$A$7:$S$106,16,FALSE),0),"n.a."))</f>
        <v>0</v>
      </c>
      <c r="S1456" s="1">
        <f>IF(NOT(Paths!$C$138=1),0,IF(Paths!$P$138="Complete",IF(C1456=0,0,Paths!$S$138*Paths!$R$138),"n.a."))</f>
        <v>0</v>
      </c>
      <c r="T1456" s="1">
        <f>IF(NOT(Paths!$C$138=1),0,IF(Paths!$P$138="Complete",IF(C1456=0,0,VLOOKUP(A1456,'Fleet register'!$A$7:$S$106,9,FALSE)*Paths!$R$138),"n.a."))</f>
        <v>0</v>
      </c>
    </row>
    <row r="1457" spans="1:20" ht="24" customHeight="1">
      <c r="A1457" s="1" t="str">
        <f>Paths!$A$138</f>
        <v>T033</v>
      </c>
      <c r="B1457" s="1">
        <f>Paths!$B$138</f>
        <v>3</v>
      </c>
      <c r="C1457" s="1">
        <v>9</v>
      </c>
      <c r="D1457" s="1">
        <v>138</v>
      </c>
      <c r="E1457" s="1">
        <f>IF(OR(Paths!$C$138=0,C1457=0),0,MAX(0,MIN(C1457*12,Paths!$E$138)-(C1457-1)*12))</f>
        <v>0</v>
      </c>
      <c r="F1457" s="1">
        <f>IF(OR(Paths!$C$138=0,C1457=0),0,12-E1457)</f>
        <v>0</v>
      </c>
      <c r="G1457" s="16">
        <f>IF(NOT(Paths!$C$138=1),0,IF(Paths!$P$138="Complete",E1457/12*(Paths!$J$138*(1+'Operating costs'!$B$51)^MAX(0,C1457-1)+Paths!$K$138*(1+'Operating costs'!$B$53)^MAX(0,C1457-1)),"n.a."))</f>
        <v>0</v>
      </c>
      <c r="H1457" s="16">
        <f>IF(NOT(Paths!$C$138=1),0,IF(Paths!$P$138="Complete",F1457/12*(Paths!$L$138*(1+IF(Paths!$D$138="EV",'Operating costs'!$B$52,'Operating costs'!$B$51))^MAX(0,C1457-1)+Paths!$M$138*(1+'Operating costs'!$B$53)^MAX(0,C1457-1)),"n.a."))</f>
        <v>0</v>
      </c>
      <c r="I1457" s="16">
        <f>IF(NOT(Paths!$C$138=1),0,IF(Paths!$P$138="Complete",IF(IF(Paths!$E$138=0,C1457=0,AND(C1457&gt;0,Paths!$E$138&gt;(C1457-1)*12,Paths!$E$138&lt;=C1457*12)),Paths!$G$138,0),"n.a."))</f>
        <v>0</v>
      </c>
      <c r="J1457" s="16">
        <f>IF(NOT(Paths!$C$138=1),0,IF(Paths!$P$138="Complete",IF(IF(Paths!$E$138=0,C1457=0,AND(C1457&gt;0,Paths!$E$138&gt;(C1457-1)*12,Paths!$E$138&lt;=C1457*12)),Paths!$H$138,0),"n.a."))</f>
        <v>0</v>
      </c>
      <c r="K1457" s="16">
        <f>IF(NOT(Paths!$C$138=1),0,IF(Paths!$P$138="Complete",IF(IF(Paths!$O$138=0,C1457=0,AND(C1457&gt;0,Paths!$O$138&gt;(C1457-1)*12,Paths!$O$138&lt;=C1457*12)),Paths!$N$138,0),"n.a."))</f>
        <v>0</v>
      </c>
      <c r="L1457" s="16">
        <f>IF(NOT(Paths!$C$138=1),0,IF(Paths!$P$138="Complete",IF(C1457=10,Paths!$I$138,0),"n.a."))</f>
        <v>0</v>
      </c>
      <c r="M1457" s="16">
        <f>IF(NOT(Paths!$C$138=1),0,IF(Paths!$P$138="Complete",IF(AND(Paths!$D$138="EV",Paths!$E$138&lt;120,Paths!$E$138+'Operating costs'!$B$65&gt;Paths!$E$138,Paths!$E$138+'Operating costs'!$B$65&lt;=120,IF(Paths!$E$138+'Operating costs'!$B$65=0,C1457=0,AND(C1457&gt;0,Paths!$E$138+'Operating costs'!$B$65&gt;(C1457-1)*12,Paths!$E$138+'Operating costs'!$B$65&lt;=C1457*12))),'Operating costs'!$B$64,0)+IF(AND('Operating costs'!$B$67&gt;0,'Operating costs'!$B$67&lt;=120,OR(Paths!$D$138="ICE",'Operating costs'!$B$67&lt;=Paths!$E$138),IF('Operating costs'!$B$67=0,C1457=0,AND(C1457&gt;0,'Operating costs'!$B$67&gt;(C1457-1)*12,'Operating costs'!$B$67&lt;=C1457*12))),'Operating costs'!$B$66,0),"n.a."))</f>
        <v>0</v>
      </c>
      <c r="N1457" s="16">
        <f>IF(NOT(Paths!$C$138=1),0,IF(Paths!$P$138="Complete",SUM(G1457:I1457)-J1457-K1457-L1457+M1457+IF(C1457=0,Paths!$F$138,0)+IF(IF(Paths!$E$138=0,C1457=0,AND(C1457&gt;0,Paths!$E$138&gt;(C1457-1)*12,Paths!$E$138&lt;=C1457*12)),VLOOKUP(A1457,'Fleet register'!$A$7:$S$106,16,FALSE),0),"n.a."))</f>
        <v>0</v>
      </c>
      <c r="O1457" s="16">
        <f>IF(NOT(Paths!$C$138=1),0,IF(Paths!$P$138="Complete",N1457-IF(C1457=0,Paths!$F$138,0),"n.a."))</f>
        <v>0</v>
      </c>
      <c r="P1457" s="16">
        <f>IF(NOT(Paths!$C$138=1),0,IF(Paths!$P$138="Complete",O1457+L1457,"n.a."))</f>
        <v>0</v>
      </c>
      <c r="Q1457" s="16">
        <f>IF(NOT(Paths!$C$138=1),0,IF(Paths!$P$138="Complete",N1457*(1+'Operating costs'!$B$54)^-C1457,"n.a."))</f>
        <v>0</v>
      </c>
      <c r="R1457" s="16">
        <f>IF(NOT(Paths!$C$138=1),0,IF(Paths!$P$138="Complete",IF(AND(C1457=0,Paths!$E$138=0),I1457-J1457-K1457+VLOOKUP(A1457,'Fleet register'!$A$7:$S$106,15,FALSE)+VLOOKUP(A1457,'Fleet register'!$A$7:$S$106,16,FALSE),0),"n.a."))</f>
        <v>0</v>
      </c>
      <c r="S1457" s="1">
        <f>IF(NOT(Paths!$C$138=1),0,IF(Paths!$P$138="Complete",IF(C1457=0,0,Paths!$S$138*Paths!$R$138),"n.a."))</f>
        <v>0</v>
      </c>
      <c r="T1457" s="1">
        <f>IF(NOT(Paths!$C$138=1),0,IF(Paths!$P$138="Complete",IF(C1457=0,0,VLOOKUP(A1457,'Fleet register'!$A$7:$S$106,9,FALSE)*Paths!$R$138),"n.a."))</f>
        <v>0</v>
      </c>
    </row>
    <row r="1458" spans="1:20" ht="24" customHeight="1">
      <c r="A1458" s="1" t="str">
        <f>Paths!$A$138</f>
        <v>T033</v>
      </c>
      <c r="B1458" s="1">
        <f>Paths!$B$138</f>
        <v>3</v>
      </c>
      <c r="C1458" s="1">
        <v>10</v>
      </c>
      <c r="D1458" s="1">
        <v>138</v>
      </c>
      <c r="E1458" s="1">
        <f>IF(OR(Paths!$C$138=0,C1458=0),0,MAX(0,MIN(C1458*12,Paths!$E$138)-(C1458-1)*12))</f>
        <v>0</v>
      </c>
      <c r="F1458" s="1">
        <f>IF(OR(Paths!$C$138=0,C1458=0),0,12-E1458)</f>
        <v>0</v>
      </c>
      <c r="G1458" s="16">
        <f>IF(NOT(Paths!$C$138=1),0,IF(Paths!$P$138="Complete",E1458/12*(Paths!$J$138*(1+'Operating costs'!$B$51)^MAX(0,C1458-1)+Paths!$K$138*(1+'Operating costs'!$B$53)^MAX(0,C1458-1)),"n.a."))</f>
        <v>0</v>
      </c>
      <c r="H1458" s="16">
        <f>IF(NOT(Paths!$C$138=1),0,IF(Paths!$P$138="Complete",F1458/12*(Paths!$L$138*(1+IF(Paths!$D$138="EV",'Operating costs'!$B$52,'Operating costs'!$B$51))^MAX(0,C1458-1)+Paths!$M$138*(1+'Operating costs'!$B$53)^MAX(0,C1458-1)),"n.a."))</f>
        <v>0</v>
      </c>
      <c r="I1458" s="16">
        <f>IF(NOT(Paths!$C$138=1),0,IF(Paths!$P$138="Complete",IF(IF(Paths!$E$138=0,C1458=0,AND(C1458&gt;0,Paths!$E$138&gt;(C1458-1)*12,Paths!$E$138&lt;=C1458*12)),Paths!$G$138,0),"n.a."))</f>
        <v>0</v>
      </c>
      <c r="J1458" s="16">
        <f>IF(NOT(Paths!$C$138=1),0,IF(Paths!$P$138="Complete",IF(IF(Paths!$E$138=0,C1458=0,AND(C1458&gt;0,Paths!$E$138&gt;(C1458-1)*12,Paths!$E$138&lt;=C1458*12)),Paths!$H$138,0),"n.a."))</f>
        <v>0</v>
      </c>
      <c r="K1458" s="16">
        <f>IF(NOT(Paths!$C$138=1),0,IF(Paths!$P$138="Complete",IF(IF(Paths!$O$138=0,C1458=0,AND(C1458&gt;0,Paths!$O$138&gt;(C1458-1)*12,Paths!$O$138&lt;=C1458*12)),Paths!$N$138,0),"n.a."))</f>
        <v>0</v>
      </c>
      <c r="L1458" s="16">
        <f>IF(NOT(Paths!$C$138=1),0,IF(Paths!$P$138="Complete",IF(C1458=10,Paths!$I$138,0),"n.a."))</f>
        <v>0</v>
      </c>
      <c r="M1458" s="16">
        <f>IF(NOT(Paths!$C$138=1),0,IF(Paths!$P$138="Complete",IF(AND(Paths!$D$138="EV",Paths!$E$138&lt;120,Paths!$E$138+'Operating costs'!$B$65&gt;Paths!$E$138,Paths!$E$138+'Operating costs'!$B$65&lt;=120,IF(Paths!$E$138+'Operating costs'!$B$65=0,C1458=0,AND(C1458&gt;0,Paths!$E$138+'Operating costs'!$B$65&gt;(C1458-1)*12,Paths!$E$138+'Operating costs'!$B$65&lt;=C1458*12))),'Operating costs'!$B$64,0)+IF(AND('Operating costs'!$B$67&gt;0,'Operating costs'!$B$67&lt;=120,OR(Paths!$D$138="ICE",'Operating costs'!$B$67&lt;=Paths!$E$138),IF('Operating costs'!$B$67=0,C1458=0,AND(C1458&gt;0,'Operating costs'!$B$67&gt;(C1458-1)*12,'Operating costs'!$B$67&lt;=C1458*12))),'Operating costs'!$B$66,0),"n.a."))</f>
        <v>0</v>
      </c>
      <c r="N1458" s="16">
        <f>IF(NOT(Paths!$C$138=1),0,IF(Paths!$P$138="Complete",SUM(G1458:I1458)-J1458-K1458-L1458+M1458+IF(C1458=0,Paths!$F$138,0)+IF(IF(Paths!$E$138=0,C1458=0,AND(C1458&gt;0,Paths!$E$138&gt;(C1458-1)*12,Paths!$E$138&lt;=C1458*12)),VLOOKUP(A1458,'Fleet register'!$A$7:$S$106,16,FALSE),0),"n.a."))</f>
        <v>0</v>
      </c>
      <c r="O1458" s="16">
        <f>IF(NOT(Paths!$C$138=1),0,IF(Paths!$P$138="Complete",N1458-IF(C1458=0,Paths!$F$138,0),"n.a."))</f>
        <v>0</v>
      </c>
      <c r="P1458" s="16">
        <f>IF(NOT(Paths!$C$138=1),0,IF(Paths!$P$138="Complete",O1458+L1458,"n.a."))</f>
        <v>0</v>
      </c>
      <c r="Q1458" s="16">
        <f>IF(NOT(Paths!$C$138=1),0,IF(Paths!$P$138="Complete",N1458*(1+'Operating costs'!$B$54)^-C1458,"n.a."))</f>
        <v>0</v>
      </c>
      <c r="R1458" s="16">
        <f>IF(NOT(Paths!$C$138=1),0,IF(Paths!$P$138="Complete",IF(AND(C1458=0,Paths!$E$138=0),I1458-J1458-K1458+VLOOKUP(A1458,'Fleet register'!$A$7:$S$106,15,FALSE)+VLOOKUP(A1458,'Fleet register'!$A$7:$S$106,16,FALSE),0),"n.a."))</f>
        <v>0</v>
      </c>
      <c r="S1458" s="1">
        <f>IF(NOT(Paths!$C$138=1),0,IF(Paths!$P$138="Complete",IF(C1458=0,0,Paths!$S$138*Paths!$R$138),"n.a."))</f>
        <v>0</v>
      </c>
      <c r="T1458" s="1">
        <f>IF(NOT(Paths!$C$138=1),0,IF(Paths!$P$138="Complete",IF(C1458=0,0,VLOOKUP(A1458,'Fleet register'!$A$7:$S$106,9,FALSE)*Paths!$R$138),"n.a."))</f>
        <v>0</v>
      </c>
    </row>
    <row r="1459" spans="1:20" ht="24" customHeight="1">
      <c r="A1459" s="1" t="str">
        <f>Paths!$A$139</f>
        <v>T034</v>
      </c>
      <c r="B1459" s="1">
        <f>Paths!$B$139</f>
        <v>0</v>
      </c>
      <c r="C1459" s="1">
        <v>0</v>
      </c>
      <c r="D1459" s="1">
        <v>139</v>
      </c>
      <c r="E1459" s="1">
        <f>IF(OR(Paths!$C$139=0,C1459=0),0,MAX(0,MIN(C1459*12,Paths!$E$139)-(C1459-1)*12))</f>
        <v>0</v>
      </c>
      <c r="F1459" s="1">
        <f>IF(OR(Paths!$C$139=0,C1459=0),0,12-E1459)</f>
        <v>0</v>
      </c>
      <c r="G1459" s="16">
        <f>IF(NOT(Paths!$C$139=1),0,IF(Paths!$P$139="Complete",E1459/12*(Paths!$J$139*(1+'Operating costs'!$B$51)^MAX(0,C1459-1)+Paths!$K$139*(1+'Operating costs'!$B$53)^MAX(0,C1459-1)),"n.a."))</f>
        <v>0</v>
      </c>
      <c r="H1459" s="16">
        <f>IF(NOT(Paths!$C$139=1),0,IF(Paths!$P$139="Complete",F1459/12*(Paths!$L$139*(1+IF(Paths!$D$139="EV",'Operating costs'!$B$52,'Operating costs'!$B$51))^MAX(0,C1459-1)+Paths!$M$139*(1+'Operating costs'!$B$53)^MAX(0,C1459-1)),"n.a."))</f>
        <v>0</v>
      </c>
      <c r="I1459" s="16">
        <f>IF(NOT(Paths!$C$139=1),0,IF(Paths!$P$139="Complete",IF(IF(Paths!$E$139=0,C1459=0,AND(C1459&gt;0,Paths!$E$139&gt;(C1459-1)*12,Paths!$E$139&lt;=C1459*12)),Paths!$G$139,0),"n.a."))</f>
        <v>0</v>
      </c>
      <c r="J1459" s="16">
        <f>IF(NOT(Paths!$C$139=1),0,IF(Paths!$P$139="Complete",IF(IF(Paths!$E$139=0,C1459=0,AND(C1459&gt;0,Paths!$E$139&gt;(C1459-1)*12,Paths!$E$139&lt;=C1459*12)),Paths!$H$139,0),"n.a."))</f>
        <v>0</v>
      </c>
      <c r="K1459" s="16">
        <f>IF(NOT(Paths!$C$139=1),0,IF(Paths!$P$139="Complete",IF(IF(Paths!$O$139=0,C1459=0,AND(C1459&gt;0,Paths!$O$139&gt;(C1459-1)*12,Paths!$O$139&lt;=C1459*12)),Paths!$N$139,0),"n.a."))</f>
        <v>0</v>
      </c>
      <c r="L1459" s="16">
        <f>IF(NOT(Paths!$C$139=1),0,IF(Paths!$P$139="Complete",IF(C1459=10,Paths!$I$139,0),"n.a."))</f>
        <v>0</v>
      </c>
      <c r="M1459" s="16">
        <f>IF(NOT(Paths!$C$139=1),0,IF(Paths!$P$139="Complete",IF(AND(Paths!$D$139="EV",Paths!$E$139&lt;120,Paths!$E$139+'Operating costs'!$B$65&gt;Paths!$E$139,Paths!$E$139+'Operating costs'!$B$65&lt;=120,IF(Paths!$E$139+'Operating costs'!$B$65=0,C1459=0,AND(C1459&gt;0,Paths!$E$139+'Operating costs'!$B$65&gt;(C1459-1)*12,Paths!$E$139+'Operating costs'!$B$65&lt;=C1459*12))),'Operating costs'!$B$64,0)+IF(AND('Operating costs'!$B$67&gt;0,'Operating costs'!$B$67&lt;=120,OR(Paths!$D$139="ICE",'Operating costs'!$B$67&lt;=Paths!$E$139),IF('Operating costs'!$B$67=0,C1459=0,AND(C1459&gt;0,'Operating costs'!$B$67&gt;(C1459-1)*12,'Operating costs'!$B$67&lt;=C1459*12))),'Operating costs'!$B$66,0),"n.a."))</f>
        <v>0</v>
      </c>
      <c r="N1459" s="16">
        <f>IF(NOT(Paths!$C$139=1),0,IF(Paths!$P$139="Complete",SUM(G1459:I1459)-J1459-K1459-L1459+M1459+IF(C1459=0,Paths!$F$139,0)+IF(IF(Paths!$E$139=0,C1459=0,AND(C1459&gt;0,Paths!$E$139&gt;(C1459-1)*12,Paths!$E$139&lt;=C1459*12)),VLOOKUP(A1459,'Fleet register'!$A$7:$S$106,16,FALSE),0),"n.a."))</f>
        <v>0</v>
      </c>
      <c r="O1459" s="16">
        <f>IF(NOT(Paths!$C$139=1),0,IF(Paths!$P$139="Complete",N1459-IF(C1459=0,Paths!$F$139,0),"n.a."))</f>
        <v>0</v>
      </c>
      <c r="P1459" s="16">
        <f>IF(NOT(Paths!$C$139=1),0,IF(Paths!$P$139="Complete",O1459+L1459,"n.a."))</f>
        <v>0</v>
      </c>
      <c r="Q1459" s="16">
        <f>IF(NOT(Paths!$C$139=1),0,IF(Paths!$P$139="Complete",N1459*(1+'Operating costs'!$B$54)^-C1459,"n.a."))</f>
        <v>0</v>
      </c>
      <c r="R1459" s="16">
        <f>IF(NOT(Paths!$C$139=1),0,IF(Paths!$P$139="Complete",IF(AND(C1459=0,Paths!$E$139=0),I1459-J1459-K1459+VLOOKUP(A1459,'Fleet register'!$A$7:$S$106,15,FALSE)+VLOOKUP(A1459,'Fleet register'!$A$7:$S$106,16,FALSE),0),"n.a."))</f>
        <v>0</v>
      </c>
      <c r="S1459" s="1">
        <f>IF(NOT(Paths!$C$139=1),0,IF(Paths!$P$139="Complete",IF(C1459=0,0,Paths!$S$139*Paths!$R$139),"n.a."))</f>
        <v>0</v>
      </c>
      <c r="T1459" s="1">
        <f>IF(NOT(Paths!$C$139=1),0,IF(Paths!$P$139="Complete",IF(C1459=0,0,VLOOKUP(A1459,'Fleet register'!$A$7:$S$106,9,FALSE)*Paths!$R$139),"n.a."))</f>
        <v>0</v>
      </c>
    </row>
    <row r="1460" spans="1:20" ht="24" customHeight="1">
      <c r="A1460" s="1" t="str">
        <f>Paths!$A$139</f>
        <v>T034</v>
      </c>
      <c r="B1460" s="1">
        <f>Paths!$B$139</f>
        <v>0</v>
      </c>
      <c r="C1460" s="1">
        <v>1</v>
      </c>
      <c r="D1460" s="1">
        <v>139</v>
      </c>
      <c r="E1460" s="1">
        <f>IF(OR(Paths!$C$139=0,C1460=0),0,MAX(0,MIN(C1460*12,Paths!$E$139)-(C1460-1)*12))</f>
        <v>0</v>
      </c>
      <c r="F1460" s="1">
        <f>IF(OR(Paths!$C$139=0,C1460=0),0,12-E1460)</f>
        <v>0</v>
      </c>
      <c r="G1460" s="16">
        <f>IF(NOT(Paths!$C$139=1),0,IF(Paths!$P$139="Complete",E1460/12*(Paths!$J$139*(1+'Operating costs'!$B$51)^MAX(0,C1460-1)+Paths!$K$139*(1+'Operating costs'!$B$53)^MAX(0,C1460-1)),"n.a."))</f>
        <v>0</v>
      </c>
      <c r="H1460" s="16">
        <f>IF(NOT(Paths!$C$139=1),0,IF(Paths!$P$139="Complete",F1460/12*(Paths!$L$139*(1+IF(Paths!$D$139="EV",'Operating costs'!$B$52,'Operating costs'!$B$51))^MAX(0,C1460-1)+Paths!$M$139*(1+'Operating costs'!$B$53)^MAX(0,C1460-1)),"n.a."))</f>
        <v>0</v>
      </c>
      <c r="I1460" s="16">
        <f>IF(NOT(Paths!$C$139=1),0,IF(Paths!$P$139="Complete",IF(IF(Paths!$E$139=0,C1460=0,AND(C1460&gt;0,Paths!$E$139&gt;(C1460-1)*12,Paths!$E$139&lt;=C1460*12)),Paths!$G$139,0),"n.a."))</f>
        <v>0</v>
      </c>
      <c r="J1460" s="16">
        <f>IF(NOT(Paths!$C$139=1),0,IF(Paths!$P$139="Complete",IF(IF(Paths!$E$139=0,C1460=0,AND(C1460&gt;0,Paths!$E$139&gt;(C1460-1)*12,Paths!$E$139&lt;=C1460*12)),Paths!$H$139,0),"n.a."))</f>
        <v>0</v>
      </c>
      <c r="K1460" s="16">
        <f>IF(NOT(Paths!$C$139=1),0,IF(Paths!$P$139="Complete",IF(IF(Paths!$O$139=0,C1460=0,AND(C1460&gt;0,Paths!$O$139&gt;(C1460-1)*12,Paths!$O$139&lt;=C1460*12)),Paths!$N$139,0),"n.a."))</f>
        <v>0</v>
      </c>
      <c r="L1460" s="16">
        <f>IF(NOT(Paths!$C$139=1),0,IF(Paths!$P$139="Complete",IF(C1460=10,Paths!$I$139,0),"n.a."))</f>
        <v>0</v>
      </c>
      <c r="M1460" s="16">
        <f>IF(NOT(Paths!$C$139=1),0,IF(Paths!$P$139="Complete",IF(AND(Paths!$D$139="EV",Paths!$E$139&lt;120,Paths!$E$139+'Operating costs'!$B$65&gt;Paths!$E$139,Paths!$E$139+'Operating costs'!$B$65&lt;=120,IF(Paths!$E$139+'Operating costs'!$B$65=0,C1460=0,AND(C1460&gt;0,Paths!$E$139+'Operating costs'!$B$65&gt;(C1460-1)*12,Paths!$E$139+'Operating costs'!$B$65&lt;=C1460*12))),'Operating costs'!$B$64,0)+IF(AND('Operating costs'!$B$67&gt;0,'Operating costs'!$B$67&lt;=120,OR(Paths!$D$139="ICE",'Operating costs'!$B$67&lt;=Paths!$E$139),IF('Operating costs'!$B$67=0,C1460=0,AND(C1460&gt;0,'Operating costs'!$B$67&gt;(C1460-1)*12,'Operating costs'!$B$67&lt;=C1460*12))),'Operating costs'!$B$66,0),"n.a."))</f>
        <v>0</v>
      </c>
      <c r="N1460" s="16">
        <f>IF(NOT(Paths!$C$139=1),0,IF(Paths!$P$139="Complete",SUM(G1460:I1460)-J1460-K1460-L1460+M1460+IF(C1460=0,Paths!$F$139,0)+IF(IF(Paths!$E$139=0,C1460=0,AND(C1460&gt;0,Paths!$E$139&gt;(C1460-1)*12,Paths!$E$139&lt;=C1460*12)),VLOOKUP(A1460,'Fleet register'!$A$7:$S$106,16,FALSE),0),"n.a."))</f>
        <v>0</v>
      </c>
      <c r="O1460" s="16">
        <f>IF(NOT(Paths!$C$139=1),0,IF(Paths!$P$139="Complete",N1460-IF(C1460=0,Paths!$F$139,0),"n.a."))</f>
        <v>0</v>
      </c>
      <c r="P1460" s="16">
        <f>IF(NOT(Paths!$C$139=1),0,IF(Paths!$P$139="Complete",O1460+L1460,"n.a."))</f>
        <v>0</v>
      </c>
      <c r="Q1460" s="16">
        <f>IF(NOT(Paths!$C$139=1),0,IF(Paths!$P$139="Complete",N1460*(1+'Operating costs'!$B$54)^-C1460,"n.a."))</f>
        <v>0</v>
      </c>
      <c r="R1460" s="16">
        <f>IF(NOT(Paths!$C$139=1),0,IF(Paths!$P$139="Complete",IF(AND(C1460=0,Paths!$E$139=0),I1460-J1460-K1460+VLOOKUP(A1460,'Fleet register'!$A$7:$S$106,15,FALSE)+VLOOKUP(A1460,'Fleet register'!$A$7:$S$106,16,FALSE),0),"n.a."))</f>
        <v>0</v>
      </c>
      <c r="S1460" s="1">
        <f>IF(NOT(Paths!$C$139=1),0,IF(Paths!$P$139="Complete",IF(C1460=0,0,Paths!$S$139*Paths!$R$139),"n.a."))</f>
        <v>0</v>
      </c>
      <c r="T1460" s="1">
        <f>IF(NOT(Paths!$C$139=1),0,IF(Paths!$P$139="Complete",IF(C1460=0,0,VLOOKUP(A1460,'Fleet register'!$A$7:$S$106,9,FALSE)*Paths!$R$139),"n.a."))</f>
        <v>0</v>
      </c>
    </row>
    <row r="1461" spans="1:20" ht="24" customHeight="1">
      <c r="A1461" s="1" t="str">
        <f>Paths!$A$139</f>
        <v>T034</v>
      </c>
      <c r="B1461" s="1">
        <f>Paths!$B$139</f>
        <v>0</v>
      </c>
      <c r="C1461" s="1">
        <v>2</v>
      </c>
      <c r="D1461" s="1">
        <v>139</v>
      </c>
      <c r="E1461" s="1">
        <f>IF(OR(Paths!$C$139=0,C1461=0),0,MAX(0,MIN(C1461*12,Paths!$E$139)-(C1461-1)*12))</f>
        <v>0</v>
      </c>
      <c r="F1461" s="1">
        <f>IF(OR(Paths!$C$139=0,C1461=0),0,12-E1461)</f>
        <v>0</v>
      </c>
      <c r="G1461" s="16">
        <f>IF(NOT(Paths!$C$139=1),0,IF(Paths!$P$139="Complete",E1461/12*(Paths!$J$139*(1+'Operating costs'!$B$51)^MAX(0,C1461-1)+Paths!$K$139*(1+'Operating costs'!$B$53)^MAX(0,C1461-1)),"n.a."))</f>
        <v>0</v>
      </c>
      <c r="H1461" s="16">
        <f>IF(NOT(Paths!$C$139=1),0,IF(Paths!$P$139="Complete",F1461/12*(Paths!$L$139*(1+IF(Paths!$D$139="EV",'Operating costs'!$B$52,'Operating costs'!$B$51))^MAX(0,C1461-1)+Paths!$M$139*(1+'Operating costs'!$B$53)^MAX(0,C1461-1)),"n.a."))</f>
        <v>0</v>
      </c>
      <c r="I1461" s="16">
        <f>IF(NOT(Paths!$C$139=1),0,IF(Paths!$P$139="Complete",IF(IF(Paths!$E$139=0,C1461=0,AND(C1461&gt;0,Paths!$E$139&gt;(C1461-1)*12,Paths!$E$139&lt;=C1461*12)),Paths!$G$139,0),"n.a."))</f>
        <v>0</v>
      </c>
      <c r="J1461" s="16">
        <f>IF(NOT(Paths!$C$139=1),0,IF(Paths!$P$139="Complete",IF(IF(Paths!$E$139=0,C1461=0,AND(C1461&gt;0,Paths!$E$139&gt;(C1461-1)*12,Paths!$E$139&lt;=C1461*12)),Paths!$H$139,0),"n.a."))</f>
        <v>0</v>
      </c>
      <c r="K1461" s="16">
        <f>IF(NOT(Paths!$C$139=1),0,IF(Paths!$P$139="Complete",IF(IF(Paths!$O$139=0,C1461=0,AND(C1461&gt;0,Paths!$O$139&gt;(C1461-1)*12,Paths!$O$139&lt;=C1461*12)),Paths!$N$139,0),"n.a."))</f>
        <v>0</v>
      </c>
      <c r="L1461" s="16">
        <f>IF(NOT(Paths!$C$139=1),0,IF(Paths!$P$139="Complete",IF(C1461=10,Paths!$I$139,0),"n.a."))</f>
        <v>0</v>
      </c>
      <c r="M1461" s="16">
        <f>IF(NOT(Paths!$C$139=1),0,IF(Paths!$P$139="Complete",IF(AND(Paths!$D$139="EV",Paths!$E$139&lt;120,Paths!$E$139+'Operating costs'!$B$65&gt;Paths!$E$139,Paths!$E$139+'Operating costs'!$B$65&lt;=120,IF(Paths!$E$139+'Operating costs'!$B$65=0,C1461=0,AND(C1461&gt;0,Paths!$E$139+'Operating costs'!$B$65&gt;(C1461-1)*12,Paths!$E$139+'Operating costs'!$B$65&lt;=C1461*12))),'Operating costs'!$B$64,0)+IF(AND('Operating costs'!$B$67&gt;0,'Operating costs'!$B$67&lt;=120,OR(Paths!$D$139="ICE",'Operating costs'!$B$67&lt;=Paths!$E$139),IF('Operating costs'!$B$67=0,C1461=0,AND(C1461&gt;0,'Operating costs'!$B$67&gt;(C1461-1)*12,'Operating costs'!$B$67&lt;=C1461*12))),'Operating costs'!$B$66,0),"n.a."))</f>
        <v>0</v>
      </c>
      <c r="N1461" s="16">
        <f>IF(NOT(Paths!$C$139=1),0,IF(Paths!$P$139="Complete",SUM(G1461:I1461)-J1461-K1461-L1461+M1461+IF(C1461=0,Paths!$F$139,0)+IF(IF(Paths!$E$139=0,C1461=0,AND(C1461&gt;0,Paths!$E$139&gt;(C1461-1)*12,Paths!$E$139&lt;=C1461*12)),VLOOKUP(A1461,'Fleet register'!$A$7:$S$106,16,FALSE),0),"n.a."))</f>
        <v>0</v>
      </c>
      <c r="O1461" s="16">
        <f>IF(NOT(Paths!$C$139=1),0,IF(Paths!$P$139="Complete",N1461-IF(C1461=0,Paths!$F$139,0),"n.a."))</f>
        <v>0</v>
      </c>
      <c r="P1461" s="16">
        <f>IF(NOT(Paths!$C$139=1),0,IF(Paths!$P$139="Complete",O1461+L1461,"n.a."))</f>
        <v>0</v>
      </c>
      <c r="Q1461" s="16">
        <f>IF(NOT(Paths!$C$139=1),0,IF(Paths!$P$139="Complete",N1461*(1+'Operating costs'!$B$54)^-C1461,"n.a."))</f>
        <v>0</v>
      </c>
      <c r="R1461" s="16">
        <f>IF(NOT(Paths!$C$139=1),0,IF(Paths!$P$139="Complete",IF(AND(C1461=0,Paths!$E$139=0),I1461-J1461-K1461+VLOOKUP(A1461,'Fleet register'!$A$7:$S$106,15,FALSE)+VLOOKUP(A1461,'Fleet register'!$A$7:$S$106,16,FALSE),0),"n.a."))</f>
        <v>0</v>
      </c>
      <c r="S1461" s="1">
        <f>IF(NOT(Paths!$C$139=1),0,IF(Paths!$P$139="Complete",IF(C1461=0,0,Paths!$S$139*Paths!$R$139),"n.a."))</f>
        <v>0</v>
      </c>
      <c r="T1461" s="1">
        <f>IF(NOT(Paths!$C$139=1),0,IF(Paths!$P$139="Complete",IF(C1461=0,0,VLOOKUP(A1461,'Fleet register'!$A$7:$S$106,9,FALSE)*Paths!$R$139),"n.a."))</f>
        <v>0</v>
      </c>
    </row>
    <row r="1462" spans="1:20" ht="24" customHeight="1">
      <c r="A1462" s="1" t="str">
        <f>Paths!$A$139</f>
        <v>T034</v>
      </c>
      <c r="B1462" s="1">
        <f>Paths!$B$139</f>
        <v>0</v>
      </c>
      <c r="C1462" s="1">
        <v>3</v>
      </c>
      <c r="D1462" s="1">
        <v>139</v>
      </c>
      <c r="E1462" s="1">
        <f>IF(OR(Paths!$C$139=0,C1462=0),0,MAX(0,MIN(C1462*12,Paths!$E$139)-(C1462-1)*12))</f>
        <v>0</v>
      </c>
      <c r="F1462" s="1">
        <f>IF(OR(Paths!$C$139=0,C1462=0),0,12-E1462)</f>
        <v>0</v>
      </c>
      <c r="G1462" s="16">
        <f>IF(NOT(Paths!$C$139=1),0,IF(Paths!$P$139="Complete",E1462/12*(Paths!$J$139*(1+'Operating costs'!$B$51)^MAX(0,C1462-1)+Paths!$K$139*(1+'Operating costs'!$B$53)^MAX(0,C1462-1)),"n.a."))</f>
        <v>0</v>
      </c>
      <c r="H1462" s="16">
        <f>IF(NOT(Paths!$C$139=1),0,IF(Paths!$P$139="Complete",F1462/12*(Paths!$L$139*(1+IF(Paths!$D$139="EV",'Operating costs'!$B$52,'Operating costs'!$B$51))^MAX(0,C1462-1)+Paths!$M$139*(1+'Operating costs'!$B$53)^MAX(0,C1462-1)),"n.a."))</f>
        <v>0</v>
      </c>
      <c r="I1462" s="16">
        <f>IF(NOT(Paths!$C$139=1),0,IF(Paths!$P$139="Complete",IF(IF(Paths!$E$139=0,C1462=0,AND(C1462&gt;0,Paths!$E$139&gt;(C1462-1)*12,Paths!$E$139&lt;=C1462*12)),Paths!$G$139,0),"n.a."))</f>
        <v>0</v>
      </c>
      <c r="J1462" s="16">
        <f>IF(NOT(Paths!$C$139=1),0,IF(Paths!$P$139="Complete",IF(IF(Paths!$E$139=0,C1462=0,AND(C1462&gt;0,Paths!$E$139&gt;(C1462-1)*12,Paths!$E$139&lt;=C1462*12)),Paths!$H$139,0),"n.a."))</f>
        <v>0</v>
      </c>
      <c r="K1462" s="16">
        <f>IF(NOT(Paths!$C$139=1),0,IF(Paths!$P$139="Complete",IF(IF(Paths!$O$139=0,C1462=0,AND(C1462&gt;0,Paths!$O$139&gt;(C1462-1)*12,Paths!$O$139&lt;=C1462*12)),Paths!$N$139,0),"n.a."))</f>
        <v>0</v>
      </c>
      <c r="L1462" s="16">
        <f>IF(NOT(Paths!$C$139=1),0,IF(Paths!$P$139="Complete",IF(C1462=10,Paths!$I$139,0),"n.a."))</f>
        <v>0</v>
      </c>
      <c r="M1462" s="16">
        <f>IF(NOT(Paths!$C$139=1),0,IF(Paths!$P$139="Complete",IF(AND(Paths!$D$139="EV",Paths!$E$139&lt;120,Paths!$E$139+'Operating costs'!$B$65&gt;Paths!$E$139,Paths!$E$139+'Operating costs'!$B$65&lt;=120,IF(Paths!$E$139+'Operating costs'!$B$65=0,C1462=0,AND(C1462&gt;0,Paths!$E$139+'Operating costs'!$B$65&gt;(C1462-1)*12,Paths!$E$139+'Operating costs'!$B$65&lt;=C1462*12))),'Operating costs'!$B$64,0)+IF(AND('Operating costs'!$B$67&gt;0,'Operating costs'!$B$67&lt;=120,OR(Paths!$D$139="ICE",'Operating costs'!$B$67&lt;=Paths!$E$139),IF('Operating costs'!$B$67=0,C1462=0,AND(C1462&gt;0,'Operating costs'!$B$67&gt;(C1462-1)*12,'Operating costs'!$B$67&lt;=C1462*12))),'Operating costs'!$B$66,0),"n.a."))</f>
        <v>0</v>
      </c>
      <c r="N1462" s="16">
        <f>IF(NOT(Paths!$C$139=1),0,IF(Paths!$P$139="Complete",SUM(G1462:I1462)-J1462-K1462-L1462+M1462+IF(C1462=0,Paths!$F$139,0)+IF(IF(Paths!$E$139=0,C1462=0,AND(C1462&gt;0,Paths!$E$139&gt;(C1462-1)*12,Paths!$E$139&lt;=C1462*12)),VLOOKUP(A1462,'Fleet register'!$A$7:$S$106,16,FALSE),0),"n.a."))</f>
        <v>0</v>
      </c>
      <c r="O1462" s="16">
        <f>IF(NOT(Paths!$C$139=1),0,IF(Paths!$P$139="Complete",N1462-IF(C1462=0,Paths!$F$139,0),"n.a."))</f>
        <v>0</v>
      </c>
      <c r="P1462" s="16">
        <f>IF(NOT(Paths!$C$139=1),0,IF(Paths!$P$139="Complete",O1462+L1462,"n.a."))</f>
        <v>0</v>
      </c>
      <c r="Q1462" s="16">
        <f>IF(NOT(Paths!$C$139=1),0,IF(Paths!$P$139="Complete",N1462*(1+'Operating costs'!$B$54)^-C1462,"n.a."))</f>
        <v>0</v>
      </c>
      <c r="R1462" s="16">
        <f>IF(NOT(Paths!$C$139=1),0,IF(Paths!$P$139="Complete",IF(AND(C1462=0,Paths!$E$139=0),I1462-J1462-K1462+VLOOKUP(A1462,'Fleet register'!$A$7:$S$106,15,FALSE)+VLOOKUP(A1462,'Fleet register'!$A$7:$S$106,16,FALSE),0),"n.a."))</f>
        <v>0</v>
      </c>
      <c r="S1462" s="1">
        <f>IF(NOT(Paths!$C$139=1),0,IF(Paths!$P$139="Complete",IF(C1462=0,0,Paths!$S$139*Paths!$R$139),"n.a."))</f>
        <v>0</v>
      </c>
      <c r="T1462" s="1">
        <f>IF(NOT(Paths!$C$139=1),0,IF(Paths!$P$139="Complete",IF(C1462=0,0,VLOOKUP(A1462,'Fleet register'!$A$7:$S$106,9,FALSE)*Paths!$R$139),"n.a."))</f>
        <v>0</v>
      </c>
    </row>
    <row r="1463" spans="1:20" ht="24" customHeight="1">
      <c r="A1463" s="1" t="str">
        <f>Paths!$A$139</f>
        <v>T034</v>
      </c>
      <c r="B1463" s="1">
        <f>Paths!$B$139</f>
        <v>0</v>
      </c>
      <c r="C1463" s="1">
        <v>4</v>
      </c>
      <c r="D1463" s="1">
        <v>139</v>
      </c>
      <c r="E1463" s="1">
        <f>IF(OR(Paths!$C$139=0,C1463=0),0,MAX(0,MIN(C1463*12,Paths!$E$139)-(C1463-1)*12))</f>
        <v>0</v>
      </c>
      <c r="F1463" s="1">
        <f>IF(OR(Paths!$C$139=0,C1463=0),0,12-E1463)</f>
        <v>0</v>
      </c>
      <c r="G1463" s="16">
        <f>IF(NOT(Paths!$C$139=1),0,IF(Paths!$P$139="Complete",E1463/12*(Paths!$J$139*(1+'Operating costs'!$B$51)^MAX(0,C1463-1)+Paths!$K$139*(1+'Operating costs'!$B$53)^MAX(0,C1463-1)),"n.a."))</f>
        <v>0</v>
      </c>
      <c r="H1463" s="16">
        <f>IF(NOT(Paths!$C$139=1),0,IF(Paths!$P$139="Complete",F1463/12*(Paths!$L$139*(1+IF(Paths!$D$139="EV",'Operating costs'!$B$52,'Operating costs'!$B$51))^MAX(0,C1463-1)+Paths!$M$139*(1+'Operating costs'!$B$53)^MAX(0,C1463-1)),"n.a."))</f>
        <v>0</v>
      </c>
      <c r="I1463" s="16">
        <f>IF(NOT(Paths!$C$139=1),0,IF(Paths!$P$139="Complete",IF(IF(Paths!$E$139=0,C1463=0,AND(C1463&gt;0,Paths!$E$139&gt;(C1463-1)*12,Paths!$E$139&lt;=C1463*12)),Paths!$G$139,0),"n.a."))</f>
        <v>0</v>
      </c>
      <c r="J1463" s="16">
        <f>IF(NOT(Paths!$C$139=1),0,IF(Paths!$P$139="Complete",IF(IF(Paths!$E$139=0,C1463=0,AND(C1463&gt;0,Paths!$E$139&gt;(C1463-1)*12,Paths!$E$139&lt;=C1463*12)),Paths!$H$139,0),"n.a."))</f>
        <v>0</v>
      </c>
      <c r="K1463" s="16">
        <f>IF(NOT(Paths!$C$139=1),0,IF(Paths!$P$139="Complete",IF(IF(Paths!$O$139=0,C1463=0,AND(C1463&gt;0,Paths!$O$139&gt;(C1463-1)*12,Paths!$O$139&lt;=C1463*12)),Paths!$N$139,0),"n.a."))</f>
        <v>0</v>
      </c>
      <c r="L1463" s="16">
        <f>IF(NOT(Paths!$C$139=1),0,IF(Paths!$P$139="Complete",IF(C1463=10,Paths!$I$139,0),"n.a."))</f>
        <v>0</v>
      </c>
      <c r="M1463" s="16">
        <f>IF(NOT(Paths!$C$139=1),0,IF(Paths!$P$139="Complete",IF(AND(Paths!$D$139="EV",Paths!$E$139&lt;120,Paths!$E$139+'Operating costs'!$B$65&gt;Paths!$E$139,Paths!$E$139+'Operating costs'!$B$65&lt;=120,IF(Paths!$E$139+'Operating costs'!$B$65=0,C1463=0,AND(C1463&gt;0,Paths!$E$139+'Operating costs'!$B$65&gt;(C1463-1)*12,Paths!$E$139+'Operating costs'!$B$65&lt;=C1463*12))),'Operating costs'!$B$64,0)+IF(AND('Operating costs'!$B$67&gt;0,'Operating costs'!$B$67&lt;=120,OR(Paths!$D$139="ICE",'Operating costs'!$B$67&lt;=Paths!$E$139),IF('Operating costs'!$B$67=0,C1463=0,AND(C1463&gt;0,'Operating costs'!$B$67&gt;(C1463-1)*12,'Operating costs'!$B$67&lt;=C1463*12))),'Operating costs'!$B$66,0),"n.a."))</f>
        <v>0</v>
      </c>
      <c r="N1463" s="16">
        <f>IF(NOT(Paths!$C$139=1),0,IF(Paths!$P$139="Complete",SUM(G1463:I1463)-J1463-K1463-L1463+M1463+IF(C1463=0,Paths!$F$139,0)+IF(IF(Paths!$E$139=0,C1463=0,AND(C1463&gt;0,Paths!$E$139&gt;(C1463-1)*12,Paths!$E$139&lt;=C1463*12)),VLOOKUP(A1463,'Fleet register'!$A$7:$S$106,16,FALSE),0),"n.a."))</f>
        <v>0</v>
      </c>
      <c r="O1463" s="16">
        <f>IF(NOT(Paths!$C$139=1),0,IF(Paths!$P$139="Complete",N1463-IF(C1463=0,Paths!$F$139,0),"n.a."))</f>
        <v>0</v>
      </c>
      <c r="P1463" s="16">
        <f>IF(NOT(Paths!$C$139=1),0,IF(Paths!$P$139="Complete",O1463+L1463,"n.a."))</f>
        <v>0</v>
      </c>
      <c r="Q1463" s="16">
        <f>IF(NOT(Paths!$C$139=1),0,IF(Paths!$P$139="Complete",N1463*(1+'Operating costs'!$B$54)^-C1463,"n.a."))</f>
        <v>0</v>
      </c>
      <c r="R1463" s="16">
        <f>IF(NOT(Paths!$C$139=1),0,IF(Paths!$P$139="Complete",IF(AND(C1463=0,Paths!$E$139=0),I1463-J1463-K1463+VLOOKUP(A1463,'Fleet register'!$A$7:$S$106,15,FALSE)+VLOOKUP(A1463,'Fleet register'!$A$7:$S$106,16,FALSE),0),"n.a."))</f>
        <v>0</v>
      </c>
      <c r="S1463" s="1">
        <f>IF(NOT(Paths!$C$139=1),0,IF(Paths!$P$139="Complete",IF(C1463=0,0,Paths!$S$139*Paths!$R$139),"n.a."))</f>
        <v>0</v>
      </c>
      <c r="T1463" s="1">
        <f>IF(NOT(Paths!$C$139=1),0,IF(Paths!$P$139="Complete",IF(C1463=0,0,VLOOKUP(A1463,'Fleet register'!$A$7:$S$106,9,FALSE)*Paths!$R$139),"n.a."))</f>
        <v>0</v>
      </c>
    </row>
    <row r="1464" spans="1:20" ht="24" customHeight="1">
      <c r="A1464" s="1" t="str">
        <f>Paths!$A$139</f>
        <v>T034</v>
      </c>
      <c r="B1464" s="1">
        <f>Paths!$B$139</f>
        <v>0</v>
      </c>
      <c r="C1464" s="1">
        <v>5</v>
      </c>
      <c r="D1464" s="1">
        <v>139</v>
      </c>
      <c r="E1464" s="1">
        <f>IF(OR(Paths!$C$139=0,C1464=0),0,MAX(0,MIN(C1464*12,Paths!$E$139)-(C1464-1)*12))</f>
        <v>0</v>
      </c>
      <c r="F1464" s="1">
        <f>IF(OR(Paths!$C$139=0,C1464=0),0,12-E1464)</f>
        <v>0</v>
      </c>
      <c r="G1464" s="16">
        <f>IF(NOT(Paths!$C$139=1),0,IF(Paths!$P$139="Complete",E1464/12*(Paths!$J$139*(1+'Operating costs'!$B$51)^MAX(0,C1464-1)+Paths!$K$139*(1+'Operating costs'!$B$53)^MAX(0,C1464-1)),"n.a."))</f>
        <v>0</v>
      </c>
      <c r="H1464" s="16">
        <f>IF(NOT(Paths!$C$139=1),0,IF(Paths!$P$139="Complete",F1464/12*(Paths!$L$139*(1+IF(Paths!$D$139="EV",'Operating costs'!$B$52,'Operating costs'!$B$51))^MAX(0,C1464-1)+Paths!$M$139*(1+'Operating costs'!$B$53)^MAX(0,C1464-1)),"n.a."))</f>
        <v>0</v>
      </c>
      <c r="I1464" s="16">
        <f>IF(NOT(Paths!$C$139=1),0,IF(Paths!$P$139="Complete",IF(IF(Paths!$E$139=0,C1464=0,AND(C1464&gt;0,Paths!$E$139&gt;(C1464-1)*12,Paths!$E$139&lt;=C1464*12)),Paths!$G$139,0),"n.a."))</f>
        <v>0</v>
      </c>
      <c r="J1464" s="16">
        <f>IF(NOT(Paths!$C$139=1),0,IF(Paths!$P$139="Complete",IF(IF(Paths!$E$139=0,C1464=0,AND(C1464&gt;0,Paths!$E$139&gt;(C1464-1)*12,Paths!$E$139&lt;=C1464*12)),Paths!$H$139,0),"n.a."))</f>
        <v>0</v>
      </c>
      <c r="K1464" s="16">
        <f>IF(NOT(Paths!$C$139=1),0,IF(Paths!$P$139="Complete",IF(IF(Paths!$O$139=0,C1464=0,AND(C1464&gt;0,Paths!$O$139&gt;(C1464-1)*12,Paths!$O$139&lt;=C1464*12)),Paths!$N$139,0),"n.a."))</f>
        <v>0</v>
      </c>
      <c r="L1464" s="16">
        <f>IF(NOT(Paths!$C$139=1),0,IF(Paths!$P$139="Complete",IF(C1464=10,Paths!$I$139,0),"n.a."))</f>
        <v>0</v>
      </c>
      <c r="M1464" s="16">
        <f>IF(NOT(Paths!$C$139=1),0,IF(Paths!$P$139="Complete",IF(AND(Paths!$D$139="EV",Paths!$E$139&lt;120,Paths!$E$139+'Operating costs'!$B$65&gt;Paths!$E$139,Paths!$E$139+'Operating costs'!$B$65&lt;=120,IF(Paths!$E$139+'Operating costs'!$B$65=0,C1464=0,AND(C1464&gt;0,Paths!$E$139+'Operating costs'!$B$65&gt;(C1464-1)*12,Paths!$E$139+'Operating costs'!$B$65&lt;=C1464*12))),'Operating costs'!$B$64,0)+IF(AND('Operating costs'!$B$67&gt;0,'Operating costs'!$B$67&lt;=120,OR(Paths!$D$139="ICE",'Operating costs'!$B$67&lt;=Paths!$E$139),IF('Operating costs'!$B$67=0,C1464=0,AND(C1464&gt;0,'Operating costs'!$B$67&gt;(C1464-1)*12,'Operating costs'!$B$67&lt;=C1464*12))),'Operating costs'!$B$66,0),"n.a."))</f>
        <v>0</v>
      </c>
      <c r="N1464" s="16">
        <f>IF(NOT(Paths!$C$139=1),0,IF(Paths!$P$139="Complete",SUM(G1464:I1464)-J1464-K1464-L1464+M1464+IF(C1464=0,Paths!$F$139,0)+IF(IF(Paths!$E$139=0,C1464=0,AND(C1464&gt;0,Paths!$E$139&gt;(C1464-1)*12,Paths!$E$139&lt;=C1464*12)),VLOOKUP(A1464,'Fleet register'!$A$7:$S$106,16,FALSE),0),"n.a."))</f>
        <v>0</v>
      </c>
      <c r="O1464" s="16">
        <f>IF(NOT(Paths!$C$139=1),0,IF(Paths!$P$139="Complete",N1464-IF(C1464=0,Paths!$F$139,0),"n.a."))</f>
        <v>0</v>
      </c>
      <c r="P1464" s="16">
        <f>IF(NOT(Paths!$C$139=1),0,IF(Paths!$P$139="Complete",O1464+L1464,"n.a."))</f>
        <v>0</v>
      </c>
      <c r="Q1464" s="16">
        <f>IF(NOT(Paths!$C$139=1),0,IF(Paths!$P$139="Complete",N1464*(1+'Operating costs'!$B$54)^-C1464,"n.a."))</f>
        <v>0</v>
      </c>
      <c r="R1464" s="16">
        <f>IF(NOT(Paths!$C$139=1),0,IF(Paths!$P$139="Complete",IF(AND(C1464=0,Paths!$E$139=0),I1464-J1464-K1464+VLOOKUP(A1464,'Fleet register'!$A$7:$S$106,15,FALSE)+VLOOKUP(A1464,'Fleet register'!$A$7:$S$106,16,FALSE),0),"n.a."))</f>
        <v>0</v>
      </c>
      <c r="S1464" s="1">
        <f>IF(NOT(Paths!$C$139=1),0,IF(Paths!$P$139="Complete",IF(C1464=0,0,Paths!$S$139*Paths!$R$139),"n.a."))</f>
        <v>0</v>
      </c>
      <c r="T1464" s="1">
        <f>IF(NOT(Paths!$C$139=1),0,IF(Paths!$P$139="Complete",IF(C1464=0,0,VLOOKUP(A1464,'Fleet register'!$A$7:$S$106,9,FALSE)*Paths!$R$139),"n.a."))</f>
        <v>0</v>
      </c>
    </row>
    <row r="1465" spans="1:20" ht="24" customHeight="1">
      <c r="A1465" s="1" t="str">
        <f>Paths!$A$139</f>
        <v>T034</v>
      </c>
      <c r="B1465" s="1">
        <f>Paths!$B$139</f>
        <v>0</v>
      </c>
      <c r="C1465" s="1">
        <v>6</v>
      </c>
      <c r="D1465" s="1">
        <v>139</v>
      </c>
      <c r="E1465" s="1">
        <f>IF(OR(Paths!$C$139=0,C1465=0),0,MAX(0,MIN(C1465*12,Paths!$E$139)-(C1465-1)*12))</f>
        <v>0</v>
      </c>
      <c r="F1465" s="1">
        <f>IF(OR(Paths!$C$139=0,C1465=0),0,12-E1465)</f>
        <v>0</v>
      </c>
      <c r="G1465" s="16">
        <f>IF(NOT(Paths!$C$139=1),0,IF(Paths!$P$139="Complete",E1465/12*(Paths!$J$139*(1+'Operating costs'!$B$51)^MAX(0,C1465-1)+Paths!$K$139*(1+'Operating costs'!$B$53)^MAX(0,C1465-1)),"n.a."))</f>
        <v>0</v>
      </c>
      <c r="H1465" s="16">
        <f>IF(NOT(Paths!$C$139=1),0,IF(Paths!$P$139="Complete",F1465/12*(Paths!$L$139*(1+IF(Paths!$D$139="EV",'Operating costs'!$B$52,'Operating costs'!$B$51))^MAX(0,C1465-1)+Paths!$M$139*(1+'Operating costs'!$B$53)^MAX(0,C1465-1)),"n.a."))</f>
        <v>0</v>
      </c>
      <c r="I1465" s="16">
        <f>IF(NOT(Paths!$C$139=1),0,IF(Paths!$P$139="Complete",IF(IF(Paths!$E$139=0,C1465=0,AND(C1465&gt;0,Paths!$E$139&gt;(C1465-1)*12,Paths!$E$139&lt;=C1465*12)),Paths!$G$139,0),"n.a."))</f>
        <v>0</v>
      </c>
      <c r="J1465" s="16">
        <f>IF(NOT(Paths!$C$139=1),0,IF(Paths!$P$139="Complete",IF(IF(Paths!$E$139=0,C1465=0,AND(C1465&gt;0,Paths!$E$139&gt;(C1465-1)*12,Paths!$E$139&lt;=C1465*12)),Paths!$H$139,0),"n.a."))</f>
        <v>0</v>
      </c>
      <c r="K1465" s="16">
        <f>IF(NOT(Paths!$C$139=1),0,IF(Paths!$P$139="Complete",IF(IF(Paths!$O$139=0,C1465=0,AND(C1465&gt;0,Paths!$O$139&gt;(C1465-1)*12,Paths!$O$139&lt;=C1465*12)),Paths!$N$139,0),"n.a."))</f>
        <v>0</v>
      </c>
      <c r="L1465" s="16">
        <f>IF(NOT(Paths!$C$139=1),0,IF(Paths!$P$139="Complete",IF(C1465=10,Paths!$I$139,0),"n.a."))</f>
        <v>0</v>
      </c>
      <c r="M1465" s="16">
        <f>IF(NOT(Paths!$C$139=1),0,IF(Paths!$P$139="Complete",IF(AND(Paths!$D$139="EV",Paths!$E$139&lt;120,Paths!$E$139+'Operating costs'!$B$65&gt;Paths!$E$139,Paths!$E$139+'Operating costs'!$B$65&lt;=120,IF(Paths!$E$139+'Operating costs'!$B$65=0,C1465=0,AND(C1465&gt;0,Paths!$E$139+'Operating costs'!$B$65&gt;(C1465-1)*12,Paths!$E$139+'Operating costs'!$B$65&lt;=C1465*12))),'Operating costs'!$B$64,0)+IF(AND('Operating costs'!$B$67&gt;0,'Operating costs'!$B$67&lt;=120,OR(Paths!$D$139="ICE",'Operating costs'!$B$67&lt;=Paths!$E$139),IF('Operating costs'!$B$67=0,C1465=0,AND(C1465&gt;0,'Operating costs'!$B$67&gt;(C1465-1)*12,'Operating costs'!$B$67&lt;=C1465*12))),'Operating costs'!$B$66,0),"n.a."))</f>
        <v>0</v>
      </c>
      <c r="N1465" s="16">
        <f>IF(NOT(Paths!$C$139=1),0,IF(Paths!$P$139="Complete",SUM(G1465:I1465)-J1465-K1465-L1465+M1465+IF(C1465=0,Paths!$F$139,0)+IF(IF(Paths!$E$139=0,C1465=0,AND(C1465&gt;0,Paths!$E$139&gt;(C1465-1)*12,Paths!$E$139&lt;=C1465*12)),VLOOKUP(A1465,'Fleet register'!$A$7:$S$106,16,FALSE),0),"n.a."))</f>
        <v>0</v>
      </c>
      <c r="O1465" s="16">
        <f>IF(NOT(Paths!$C$139=1),0,IF(Paths!$P$139="Complete",N1465-IF(C1465=0,Paths!$F$139,0),"n.a."))</f>
        <v>0</v>
      </c>
      <c r="P1465" s="16">
        <f>IF(NOT(Paths!$C$139=1),0,IF(Paths!$P$139="Complete",O1465+L1465,"n.a."))</f>
        <v>0</v>
      </c>
      <c r="Q1465" s="16">
        <f>IF(NOT(Paths!$C$139=1),0,IF(Paths!$P$139="Complete",N1465*(1+'Operating costs'!$B$54)^-C1465,"n.a."))</f>
        <v>0</v>
      </c>
      <c r="R1465" s="16">
        <f>IF(NOT(Paths!$C$139=1),0,IF(Paths!$P$139="Complete",IF(AND(C1465=0,Paths!$E$139=0),I1465-J1465-K1465+VLOOKUP(A1465,'Fleet register'!$A$7:$S$106,15,FALSE)+VLOOKUP(A1465,'Fleet register'!$A$7:$S$106,16,FALSE),0),"n.a."))</f>
        <v>0</v>
      </c>
      <c r="S1465" s="1">
        <f>IF(NOT(Paths!$C$139=1),0,IF(Paths!$P$139="Complete",IF(C1465=0,0,Paths!$S$139*Paths!$R$139),"n.a."))</f>
        <v>0</v>
      </c>
      <c r="T1465" s="1">
        <f>IF(NOT(Paths!$C$139=1),0,IF(Paths!$P$139="Complete",IF(C1465=0,0,VLOOKUP(A1465,'Fleet register'!$A$7:$S$106,9,FALSE)*Paths!$R$139),"n.a."))</f>
        <v>0</v>
      </c>
    </row>
    <row r="1466" spans="1:20" ht="24" customHeight="1">
      <c r="A1466" s="1" t="str">
        <f>Paths!$A$139</f>
        <v>T034</v>
      </c>
      <c r="B1466" s="1">
        <f>Paths!$B$139</f>
        <v>0</v>
      </c>
      <c r="C1466" s="1">
        <v>7</v>
      </c>
      <c r="D1466" s="1">
        <v>139</v>
      </c>
      <c r="E1466" s="1">
        <f>IF(OR(Paths!$C$139=0,C1466=0),0,MAX(0,MIN(C1466*12,Paths!$E$139)-(C1466-1)*12))</f>
        <v>0</v>
      </c>
      <c r="F1466" s="1">
        <f>IF(OR(Paths!$C$139=0,C1466=0),0,12-E1466)</f>
        <v>0</v>
      </c>
      <c r="G1466" s="16">
        <f>IF(NOT(Paths!$C$139=1),0,IF(Paths!$P$139="Complete",E1466/12*(Paths!$J$139*(1+'Operating costs'!$B$51)^MAX(0,C1466-1)+Paths!$K$139*(1+'Operating costs'!$B$53)^MAX(0,C1466-1)),"n.a."))</f>
        <v>0</v>
      </c>
      <c r="H1466" s="16">
        <f>IF(NOT(Paths!$C$139=1),0,IF(Paths!$P$139="Complete",F1466/12*(Paths!$L$139*(1+IF(Paths!$D$139="EV",'Operating costs'!$B$52,'Operating costs'!$B$51))^MAX(0,C1466-1)+Paths!$M$139*(1+'Operating costs'!$B$53)^MAX(0,C1466-1)),"n.a."))</f>
        <v>0</v>
      </c>
      <c r="I1466" s="16">
        <f>IF(NOT(Paths!$C$139=1),0,IF(Paths!$P$139="Complete",IF(IF(Paths!$E$139=0,C1466=0,AND(C1466&gt;0,Paths!$E$139&gt;(C1466-1)*12,Paths!$E$139&lt;=C1466*12)),Paths!$G$139,0),"n.a."))</f>
        <v>0</v>
      </c>
      <c r="J1466" s="16">
        <f>IF(NOT(Paths!$C$139=1),0,IF(Paths!$P$139="Complete",IF(IF(Paths!$E$139=0,C1466=0,AND(C1466&gt;0,Paths!$E$139&gt;(C1466-1)*12,Paths!$E$139&lt;=C1466*12)),Paths!$H$139,0),"n.a."))</f>
        <v>0</v>
      </c>
      <c r="K1466" s="16">
        <f>IF(NOT(Paths!$C$139=1),0,IF(Paths!$P$139="Complete",IF(IF(Paths!$O$139=0,C1466=0,AND(C1466&gt;0,Paths!$O$139&gt;(C1466-1)*12,Paths!$O$139&lt;=C1466*12)),Paths!$N$139,0),"n.a."))</f>
        <v>0</v>
      </c>
      <c r="L1466" s="16">
        <f>IF(NOT(Paths!$C$139=1),0,IF(Paths!$P$139="Complete",IF(C1466=10,Paths!$I$139,0),"n.a."))</f>
        <v>0</v>
      </c>
      <c r="M1466" s="16">
        <f>IF(NOT(Paths!$C$139=1),0,IF(Paths!$P$139="Complete",IF(AND(Paths!$D$139="EV",Paths!$E$139&lt;120,Paths!$E$139+'Operating costs'!$B$65&gt;Paths!$E$139,Paths!$E$139+'Operating costs'!$B$65&lt;=120,IF(Paths!$E$139+'Operating costs'!$B$65=0,C1466=0,AND(C1466&gt;0,Paths!$E$139+'Operating costs'!$B$65&gt;(C1466-1)*12,Paths!$E$139+'Operating costs'!$B$65&lt;=C1466*12))),'Operating costs'!$B$64,0)+IF(AND('Operating costs'!$B$67&gt;0,'Operating costs'!$B$67&lt;=120,OR(Paths!$D$139="ICE",'Operating costs'!$B$67&lt;=Paths!$E$139),IF('Operating costs'!$B$67=0,C1466=0,AND(C1466&gt;0,'Operating costs'!$B$67&gt;(C1466-1)*12,'Operating costs'!$B$67&lt;=C1466*12))),'Operating costs'!$B$66,0),"n.a."))</f>
        <v>0</v>
      </c>
      <c r="N1466" s="16">
        <f>IF(NOT(Paths!$C$139=1),0,IF(Paths!$P$139="Complete",SUM(G1466:I1466)-J1466-K1466-L1466+M1466+IF(C1466=0,Paths!$F$139,0)+IF(IF(Paths!$E$139=0,C1466=0,AND(C1466&gt;0,Paths!$E$139&gt;(C1466-1)*12,Paths!$E$139&lt;=C1466*12)),VLOOKUP(A1466,'Fleet register'!$A$7:$S$106,16,FALSE),0),"n.a."))</f>
        <v>0</v>
      </c>
      <c r="O1466" s="16">
        <f>IF(NOT(Paths!$C$139=1),0,IF(Paths!$P$139="Complete",N1466-IF(C1466=0,Paths!$F$139,0),"n.a."))</f>
        <v>0</v>
      </c>
      <c r="P1466" s="16">
        <f>IF(NOT(Paths!$C$139=1),0,IF(Paths!$P$139="Complete",O1466+L1466,"n.a."))</f>
        <v>0</v>
      </c>
      <c r="Q1466" s="16">
        <f>IF(NOT(Paths!$C$139=1),0,IF(Paths!$P$139="Complete",N1466*(1+'Operating costs'!$B$54)^-C1466,"n.a."))</f>
        <v>0</v>
      </c>
      <c r="R1466" s="16">
        <f>IF(NOT(Paths!$C$139=1),0,IF(Paths!$P$139="Complete",IF(AND(C1466=0,Paths!$E$139=0),I1466-J1466-K1466+VLOOKUP(A1466,'Fleet register'!$A$7:$S$106,15,FALSE)+VLOOKUP(A1466,'Fleet register'!$A$7:$S$106,16,FALSE),0),"n.a."))</f>
        <v>0</v>
      </c>
      <c r="S1466" s="1">
        <f>IF(NOT(Paths!$C$139=1),0,IF(Paths!$P$139="Complete",IF(C1466=0,0,Paths!$S$139*Paths!$R$139),"n.a."))</f>
        <v>0</v>
      </c>
      <c r="T1466" s="1">
        <f>IF(NOT(Paths!$C$139=1),0,IF(Paths!$P$139="Complete",IF(C1466=0,0,VLOOKUP(A1466,'Fleet register'!$A$7:$S$106,9,FALSE)*Paths!$R$139),"n.a."))</f>
        <v>0</v>
      </c>
    </row>
    <row r="1467" spans="1:20" ht="24" customHeight="1">
      <c r="A1467" s="1" t="str">
        <f>Paths!$A$139</f>
        <v>T034</v>
      </c>
      <c r="B1467" s="1">
        <f>Paths!$B$139</f>
        <v>0</v>
      </c>
      <c r="C1467" s="1">
        <v>8</v>
      </c>
      <c r="D1467" s="1">
        <v>139</v>
      </c>
      <c r="E1467" s="1">
        <f>IF(OR(Paths!$C$139=0,C1467=0),0,MAX(0,MIN(C1467*12,Paths!$E$139)-(C1467-1)*12))</f>
        <v>0</v>
      </c>
      <c r="F1467" s="1">
        <f>IF(OR(Paths!$C$139=0,C1467=0),0,12-E1467)</f>
        <v>0</v>
      </c>
      <c r="G1467" s="16">
        <f>IF(NOT(Paths!$C$139=1),0,IF(Paths!$P$139="Complete",E1467/12*(Paths!$J$139*(1+'Operating costs'!$B$51)^MAX(0,C1467-1)+Paths!$K$139*(1+'Operating costs'!$B$53)^MAX(0,C1467-1)),"n.a."))</f>
        <v>0</v>
      </c>
      <c r="H1467" s="16">
        <f>IF(NOT(Paths!$C$139=1),0,IF(Paths!$P$139="Complete",F1467/12*(Paths!$L$139*(1+IF(Paths!$D$139="EV",'Operating costs'!$B$52,'Operating costs'!$B$51))^MAX(0,C1467-1)+Paths!$M$139*(1+'Operating costs'!$B$53)^MAX(0,C1467-1)),"n.a."))</f>
        <v>0</v>
      </c>
      <c r="I1467" s="16">
        <f>IF(NOT(Paths!$C$139=1),0,IF(Paths!$P$139="Complete",IF(IF(Paths!$E$139=0,C1467=0,AND(C1467&gt;0,Paths!$E$139&gt;(C1467-1)*12,Paths!$E$139&lt;=C1467*12)),Paths!$G$139,0),"n.a."))</f>
        <v>0</v>
      </c>
      <c r="J1467" s="16">
        <f>IF(NOT(Paths!$C$139=1),0,IF(Paths!$P$139="Complete",IF(IF(Paths!$E$139=0,C1467=0,AND(C1467&gt;0,Paths!$E$139&gt;(C1467-1)*12,Paths!$E$139&lt;=C1467*12)),Paths!$H$139,0),"n.a."))</f>
        <v>0</v>
      </c>
      <c r="K1467" s="16">
        <f>IF(NOT(Paths!$C$139=1),0,IF(Paths!$P$139="Complete",IF(IF(Paths!$O$139=0,C1467=0,AND(C1467&gt;0,Paths!$O$139&gt;(C1467-1)*12,Paths!$O$139&lt;=C1467*12)),Paths!$N$139,0),"n.a."))</f>
        <v>0</v>
      </c>
      <c r="L1467" s="16">
        <f>IF(NOT(Paths!$C$139=1),0,IF(Paths!$P$139="Complete",IF(C1467=10,Paths!$I$139,0),"n.a."))</f>
        <v>0</v>
      </c>
      <c r="M1467" s="16">
        <f>IF(NOT(Paths!$C$139=1),0,IF(Paths!$P$139="Complete",IF(AND(Paths!$D$139="EV",Paths!$E$139&lt;120,Paths!$E$139+'Operating costs'!$B$65&gt;Paths!$E$139,Paths!$E$139+'Operating costs'!$B$65&lt;=120,IF(Paths!$E$139+'Operating costs'!$B$65=0,C1467=0,AND(C1467&gt;0,Paths!$E$139+'Operating costs'!$B$65&gt;(C1467-1)*12,Paths!$E$139+'Operating costs'!$B$65&lt;=C1467*12))),'Operating costs'!$B$64,0)+IF(AND('Operating costs'!$B$67&gt;0,'Operating costs'!$B$67&lt;=120,OR(Paths!$D$139="ICE",'Operating costs'!$B$67&lt;=Paths!$E$139),IF('Operating costs'!$B$67=0,C1467=0,AND(C1467&gt;0,'Operating costs'!$B$67&gt;(C1467-1)*12,'Operating costs'!$B$67&lt;=C1467*12))),'Operating costs'!$B$66,0),"n.a."))</f>
        <v>0</v>
      </c>
      <c r="N1467" s="16">
        <f>IF(NOT(Paths!$C$139=1),0,IF(Paths!$P$139="Complete",SUM(G1467:I1467)-J1467-K1467-L1467+M1467+IF(C1467=0,Paths!$F$139,0)+IF(IF(Paths!$E$139=0,C1467=0,AND(C1467&gt;0,Paths!$E$139&gt;(C1467-1)*12,Paths!$E$139&lt;=C1467*12)),VLOOKUP(A1467,'Fleet register'!$A$7:$S$106,16,FALSE),0),"n.a."))</f>
        <v>0</v>
      </c>
      <c r="O1467" s="16">
        <f>IF(NOT(Paths!$C$139=1),0,IF(Paths!$P$139="Complete",N1467-IF(C1467=0,Paths!$F$139,0),"n.a."))</f>
        <v>0</v>
      </c>
      <c r="P1467" s="16">
        <f>IF(NOT(Paths!$C$139=1),0,IF(Paths!$P$139="Complete",O1467+L1467,"n.a."))</f>
        <v>0</v>
      </c>
      <c r="Q1467" s="16">
        <f>IF(NOT(Paths!$C$139=1),0,IF(Paths!$P$139="Complete",N1467*(1+'Operating costs'!$B$54)^-C1467,"n.a."))</f>
        <v>0</v>
      </c>
      <c r="R1467" s="16">
        <f>IF(NOT(Paths!$C$139=1),0,IF(Paths!$P$139="Complete",IF(AND(C1467=0,Paths!$E$139=0),I1467-J1467-K1467+VLOOKUP(A1467,'Fleet register'!$A$7:$S$106,15,FALSE)+VLOOKUP(A1467,'Fleet register'!$A$7:$S$106,16,FALSE),0),"n.a."))</f>
        <v>0</v>
      </c>
      <c r="S1467" s="1">
        <f>IF(NOT(Paths!$C$139=1),0,IF(Paths!$P$139="Complete",IF(C1467=0,0,Paths!$S$139*Paths!$R$139),"n.a."))</f>
        <v>0</v>
      </c>
      <c r="T1467" s="1">
        <f>IF(NOT(Paths!$C$139=1),0,IF(Paths!$P$139="Complete",IF(C1467=0,0,VLOOKUP(A1467,'Fleet register'!$A$7:$S$106,9,FALSE)*Paths!$R$139),"n.a."))</f>
        <v>0</v>
      </c>
    </row>
    <row r="1468" spans="1:20" ht="24" customHeight="1">
      <c r="A1468" s="1" t="str">
        <f>Paths!$A$139</f>
        <v>T034</v>
      </c>
      <c r="B1468" s="1">
        <f>Paths!$B$139</f>
        <v>0</v>
      </c>
      <c r="C1468" s="1">
        <v>9</v>
      </c>
      <c r="D1468" s="1">
        <v>139</v>
      </c>
      <c r="E1468" s="1">
        <f>IF(OR(Paths!$C$139=0,C1468=0),0,MAX(0,MIN(C1468*12,Paths!$E$139)-(C1468-1)*12))</f>
        <v>0</v>
      </c>
      <c r="F1468" s="1">
        <f>IF(OR(Paths!$C$139=0,C1468=0),0,12-E1468)</f>
        <v>0</v>
      </c>
      <c r="G1468" s="16">
        <f>IF(NOT(Paths!$C$139=1),0,IF(Paths!$P$139="Complete",E1468/12*(Paths!$J$139*(1+'Operating costs'!$B$51)^MAX(0,C1468-1)+Paths!$K$139*(1+'Operating costs'!$B$53)^MAX(0,C1468-1)),"n.a."))</f>
        <v>0</v>
      </c>
      <c r="H1468" s="16">
        <f>IF(NOT(Paths!$C$139=1),0,IF(Paths!$P$139="Complete",F1468/12*(Paths!$L$139*(1+IF(Paths!$D$139="EV",'Operating costs'!$B$52,'Operating costs'!$B$51))^MAX(0,C1468-1)+Paths!$M$139*(1+'Operating costs'!$B$53)^MAX(0,C1468-1)),"n.a."))</f>
        <v>0</v>
      </c>
      <c r="I1468" s="16">
        <f>IF(NOT(Paths!$C$139=1),0,IF(Paths!$P$139="Complete",IF(IF(Paths!$E$139=0,C1468=0,AND(C1468&gt;0,Paths!$E$139&gt;(C1468-1)*12,Paths!$E$139&lt;=C1468*12)),Paths!$G$139,0),"n.a."))</f>
        <v>0</v>
      </c>
      <c r="J1468" s="16">
        <f>IF(NOT(Paths!$C$139=1),0,IF(Paths!$P$139="Complete",IF(IF(Paths!$E$139=0,C1468=0,AND(C1468&gt;0,Paths!$E$139&gt;(C1468-1)*12,Paths!$E$139&lt;=C1468*12)),Paths!$H$139,0),"n.a."))</f>
        <v>0</v>
      </c>
      <c r="K1468" s="16">
        <f>IF(NOT(Paths!$C$139=1),0,IF(Paths!$P$139="Complete",IF(IF(Paths!$O$139=0,C1468=0,AND(C1468&gt;0,Paths!$O$139&gt;(C1468-1)*12,Paths!$O$139&lt;=C1468*12)),Paths!$N$139,0),"n.a."))</f>
        <v>0</v>
      </c>
      <c r="L1468" s="16">
        <f>IF(NOT(Paths!$C$139=1),0,IF(Paths!$P$139="Complete",IF(C1468=10,Paths!$I$139,0),"n.a."))</f>
        <v>0</v>
      </c>
      <c r="M1468" s="16">
        <f>IF(NOT(Paths!$C$139=1),0,IF(Paths!$P$139="Complete",IF(AND(Paths!$D$139="EV",Paths!$E$139&lt;120,Paths!$E$139+'Operating costs'!$B$65&gt;Paths!$E$139,Paths!$E$139+'Operating costs'!$B$65&lt;=120,IF(Paths!$E$139+'Operating costs'!$B$65=0,C1468=0,AND(C1468&gt;0,Paths!$E$139+'Operating costs'!$B$65&gt;(C1468-1)*12,Paths!$E$139+'Operating costs'!$B$65&lt;=C1468*12))),'Operating costs'!$B$64,0)+IF(AND('Operating costs'!$B$67&gt;0,'Operating costs'!$B$67&lt;=120,OR(Paths!$D$139="ICE",'Operating costs'!$B$67&lt;=Paths!$E$139),IF('Operating costs'!$B$67=0,C1468=0,AND(C1468&gt;0,'Operating costs'!$B$67&gt;(C1468-1)*12,'Operating costs'!$B$67&lt;=C1468*12))),'Operating costs'!$B$66,0),"n.a."))</f>
        <v>0</v>
      </c>
      <c r="N1468" s="16">
        <f>IF(NOT(Paths!$C$139=1),0,IF(Paths!$P$139="Complete",SUM(G1468:I1468)-J1468-K1468-L1468+M1468+IF(C1468=0,Paths!$F$139,0)+IF(IF(Paths!$E$139=0,C1468=0,AND(C1468&gt;0,Paths!$E$139&gt;(C1468-1)*12,Paths!$E$139&lt;=C1468*12)),VLOOKUP(A1468,'Fleet register'!$A$7:$S$106,16,FALSE),0),"n.a."))</f>
        <v>0</v>
      </c>
      <c r="O1468" s="16">
        <f>IF(NOT(Paths!$C$139=1),0,IF(Paths!$P$139="Complete",N1468-IF(C1468=0,Paths!$F$139,0),"n.a."))</f>
        <v>0</v>
      </c>
      <c r="P1468" s="16">
        <f>IF(NOT(Paths!$C$139=1),0,IF(Paths!$P$139="Complete",O1468+L1468,"n.a."))</f>
        <v>0</v>
      </c>
      <c r="Q1468" s="16">
        <f>IF(NOT(Paths!$C$139=1),0,IF(Paths!$P$139="Complete",N1468*(1+'Operating costs'!$B$54)^-C1468,"n.a."))</f>
        <v>0</v>
      </c>
      <c r="R1468" s="16">
        <f>IF(NOT(Paths!$C$139=1),0,IF(Paths!$P$139="Complete",IF(AND(C1468=0,Paths!$E$139=0),I1468-J1468-K1468+VLOOKUP(A1468,'Fleet register'!$A$7:$S$106,15,FALSE)+VLOOKUP(A1468,'Fleet register'!$A$7:$S$106,16,FALSE),0),"n.a."))</f>
        <v>0</v>
      </c>
      <c r="S1468" s="1">
        <f>IF(NOT(Paths!$C$139=1),0,IF(Paths!$P$139="Complete",IF(C1468=0,0,Paths!$S$139*Paths!$R$139),"n.a."))</f>
        <v>0</v>
      </c>
      <c r="T1468" s="1">
        <f>IF(NOT(Paths!$C$139=1),0,IF(Paths!$P$139="Complete",IF(C1468=0,0,VLOOKUP(A1468,'Fleet register'!$A$7:$S$106,9,FALSE)*Paths!$R$139),"n.a."))</f>
        <v>0</v>
      </c>
    </row>
    <row r="1469" spans="1:20" ht="24" customHeight="1">
      <c r="A1469" s="1" t="str">
        <f>Paths!$A$139</f>
        <v>T034</v>
      </c>
      <c r="B1469" s="1">
        <f>Paths!$B$139</f>
        <v>0</v>
      </c>
      <c r="C1469" s="1">
        <v>10</v>
      </c>
      <c r="D1469" s="1">
        <v>139</v>
      </c>
      <c r="E1469" s="1">
        <f>IF(OR(Paths!$C$139=0,C1469=0),0,MAX(0,MIN(C1469*12,Paths!$E$139)-(C1469-1)*12))</f>
        <v>0</v>
      </c>
      <c r="F1469" s="1">
        <f>IF(OR(Paths!$C$139=0,C1469=0),0,12-E1469)</f>
        <v>0</v>
      </c>
      <c r="G1469" s="16">
        <f>IF(NOT(Paths!$C$139=1),0,IF(Paths!$P$139="Complete",E1469/12*(Paths!$J$139*(1+'Operating costs'!$B$51)^MAX(0,C1469-1)+Paths!$K$139*(1+'Operating costs'!$B$53)^MAX(0,C1469-1)),"n.a."))</f>
        <v>0</v>
      </c>
      <c r="H1469" s="16">
        <f>IF(NOT(Paths!$C$139=1),0,IF(Paths!$P$139="Complete",F1469/12*(Paths!$L$139*(1+IF(Paths!$D$139="EV",'Operating costs'!$B$52,'Operating costs'!$B$51))^MAX(0,C1469-1)+Paths!$M$139*(1+'Operating costs'!$B$53)^MAX(0,C1469-1)),"n.a."))</f>
        <v>0</v>
      </c>
      <c r="I1469" s="16">
        <f>IF(NOT(Paths!$C$139=1),0,IF(Paths!$P$139="Complete",IF(IF(Paths!$E$139=0,C1469=0,AND(C1469&gt;0,Paths!$E$139&gt;(C1469-1)*12,Paths!$E$139&lt;=C1469*12)),Paths!$G$139,0),"n.a."))</f>
        <v>0</v>
      </c>
      <c r="J1469" s="16">
        <f>IF(NOT(Paths!$C$139=1),0,IF(Paths!$P$139="Complete",IF(IF(Paths!$E$139=0,C1469=0,AND(C1469&gt;0,Paths!$E$139&gt;(C1469-1)*12,Paths!$E$139&lt;=C1469*12)),Paths!$H$139,0),"n.a."))</f>
        <v>0</v>
      </c>
      <c r="K1469" s="16">
        <f>IF(NOT(Paths!$C$139=1),0,IF(Paths!$P$139="Complete",IF(IF(Paths!$O$139=0,C1469=0,AND(C1469&gt;0,Paths!$O$139&gt;(C1469-1)*12,Paths!$O$139&lt;=C1469*12)),Paths!$N$139,0),"n.a."))</f>
        <v>0</v>
      </c>
      <c r="L1469" s="16">
        <f>IF(NOT(Paths!$C$139=1),0,IF(Paths!$P$139="Complete",IF(C1469=10,Paths!$I$139,0),"n.a."))</f>
        <v>0</v>
      </c>
      <c r="M1469" s="16">
        <f>IF(NOT(Paths!$C$139=1),0,IF(Paths!$P$139="Complete",IF(AND(Paths!$D$139="EV",Paths!$E$139&lt;120,Paths!$E$139+'Operating costs'!$B$65&gt;Paths!$E$139,Paths!$E$139+'Operating costs'!$B$65&lt;=120,IF(Paths!$E$139+'Operating costs'!$B$65=0,C1469=0,AND(C1469&gt;0,Paths!$E$139+'Operating costs'!$B$65&gt;(C1469-1)*12,Paths!$E$139+'Operating costs'!$B$65&lt;=C1469*12))),'Operating costs'!$B$64,0)+IF(AND('Operating costs'!$B$67&gt;0,'Operating costs'!$B$67&lt;=120,OR(Paths!$D$139="ICE",'Operating costs'!$B$67&lt;=Paths!$E$139),IF('Operating costs'!$B$67=0,C1469=0,AND(C1469&gt;0,'Operating costs'!$B$67&gt;(C1469-1)*12,'Operating costs'!$B$67&lt;=C1469*12))),'Operating costs'!$B$66,0),"n.a."))</f>
        <v>0</v>
      </c>
      <c r="N1469" s="16">
        <f>IF(NOT(Paths!$C$139=1),0,IF(Paths!$P$139="Complete",SUM(G1469:I1469)-J1469-K1469-L1469+M1469+IF(C1469=0,Paths!$F$139,0)+IF(IF(Paths!$E$139=0,C1469=0,AND(C1469&gt;0,Paths!$E$139&gt;(C1469-1)*12,Paths!$E$139&lt;=C1469*12)),VLOOKUP(A1469,'Fleet register'!$A$7:$S$106,16,FALSE),0),"n.a."))</f>
        <v>0</v>
      </c>
      <c r="O1469" s="16">
        <f>IF(NOT(Paths!$C$139=1),0,IF(Paths!$P$139="Complete",N1469-IF(C1469=0,Paths!$F$139,0),"n.a."))</f>
        <v>0</v>
      </c>
      <c r="P1469" s="16">
        <f>IF(NOT(Paths!$C$139=1),0,IF(Paths!$P$139="Complete",O1469+L1469,"n.a."))</f>
        <v>0</v>
      </c>
      <c r="Q1469" s="16">
        <f>IF(NOT(Paths!$C$139=1),0,IF(Paths!$P$139="Complete",N1469*(1+'Operating costs'!$B$54)^-C1469,"n.a."))</f>
        <v>0</v>
      </c>
      <c r="R1469" s="16">
        <f>IF(NOT(Paths!$C$139=1),0,IF(Paths!$P$139="Complete",IF(AND(C1469=0,Paths!$E$139=0),I1469-J1469-K1469+VLOOKUP(A1469,'Fleet register'!$A$7:$S$106,15,FALSE)+VLOOKUP(A1469,'Fleet register'!$A$7:$S$106,16,FALSE),0),"n.a."))</f>
        <v>0</v>
      </c>
      <c r="S1469" s="1">
        <f>IF(NOT(Paths!$C$139=1),0,IF(Paths!$P$139="Complete",IF(C1469=0,0,Paths!$S$139*Paths!$R$139),"n.a."))</f>
        <v>0</v>
      </c>
      <c r="T1469" s="1">
        <f>IF(NOT(Paths!$C$139=1),0,IF(Paths!$P$139="Complete",IF(C1469=0,0,VLOOKUP(A1469,'Fleet register'!$A$7:$S$106,9,FALSE)*Paths!$R$139),"n.a."))</f>
        <v>0</v>
      </c>
    </row>
    <row r="1470" spans="1:20" ht="24" customHeight="1">
      <c r="A1470" s="1" t="str">
        <f>Paths!$A$140</f>
        <v>T034</v>
      </c>
      <c r="B1470" s="1">
        <f>Paths!$B$140</f>
        <v>1</v>
      </c>
      <c r="C1470" s="1">
        <v>0</v>
      </c>
      <c r="D1470" s="1">
        <v>140</v>
      </c>
      <c r="E1470" s="1">
        <f>IF(OR(Paths!$C$140=0,C1470=0),0,MAX(0,MIN(C1470*12,Paths!$E$140)-(C1470-1)*12))</f>
        <v>0</v>
      </c>
      <c r="F1470" s="1">
        <f>IF(OR(Paths!$C$140=0,C1470=0),0,12-E1470)</f>
        <v>0</v>
      </c>
      <c r="G1470" s="16">
        <f>IF(NOT(Paths!$C$140=1),0,IF(Paths!$P$140="Complete",E1470/12*(Paths!$J$140*(1+'Operating costs'!$B$51)^MAX(0,C1470-1)+Paths!$K$140*(1+'Operating costs'!$B$53)^MAX(0,C1470-1)),"n.a."))</f>
        <v>0</v>
      </c>
      <c r="H1470" s="16">
        <f>IF(NOT(Paths!$C$140=1),0,IF(Paths!$P$140="Complete",F1470/12*(Paths!$L$140*(1+IF(Paths!$D$140="EV",'Operating costs'!$B$52,'Operating costs'!$B$51))^MAX(0,C1470-1)+Paths!$M$140*(1+'Operating costs'!$B$53)^MAX(0,C1470-1)),"n.a."))</f>
        <v>0</v>
      </c>
      <c r="I1470" s="16">
        <f>IF(NOT(Paths!$C$140=1),0,IF(Paths!$P$140="Complete",IF(IF(Paths!$E$140=0,C1470=0,AND(C1470&gt;0,Paths!$E$140&gt;(C1470-1)*12,Paths!$E$140&lt;=C1470*12)),Paths!$G$140,0),"n.a."))</f>
        <v>0</v>
      </c>
      <c r="J1470" s="16">
        <f>IF(NOT(Paths!$C$140=1),0,IF(Paths!$P$140="Complete",IF(IF(Paths!$E$140=0,C1470=0,AND(C1470&gt;0,Paths!$E$140&gt;(C1470-1)*12,Paths!$E$140&lt;=C1470*12)),Paths!$H$140,0),"n.a."))</f>
        <v>0</v>
      </c>
      <c r="K1470" s="16">
        <f>IF(NOT(Paths!$C$140=1),0,IF(Paths!$P$140="Complete",IF(IF(Paths!$O$140=0,C1470=0,AND(C1470&gt;0,Paths!$O$140&gt;(C1470-1)*12,Paths!$O$140&lt;=C1470*12)),Paths!$N$140,0),"n.a."))</f>
        <v>0</v>
      </c>
      <c r="L1470" s="16">
        <f>IF(NOT(Paths!$C$140=1),0,IF(Paths!$P$140="Complete",IF(C1470=10,Paths!$I$140,0),"n.a."))</f>
        <v>0</v>
      </c>
      <c r="M1470" s="16">
        <f>IF(NOT(Paths!$C$140=1),0,IF(Paths!$P$140="Complete",IF(AND(Paths!$D$140="EV",Paths!$E$140&lt;120,Paths!$E$140+'Operating costs'!$B$65&gt;Paths!$E$140,Paths!$E$140+'Operating costs'!$B$65&lt;=120,IF(Paths!$E$140+'Operating costs'!$B$65=0,C1470=0,AND(C1470&gt;0,Paths!$E$140+'Operating costs'!$B$65&gt;(C1470-1)*12,Paths!$E$140+'Operating costs'!$B$65&lt;=C1470*12))),'Operating costs'!$B$64,0)+IF(AND('Operating costs'!$B$67&gt;0,'Operating costs'!$B$67&lt;=120,OR(Paths!$D$140="ICE",'Operating costs'!$B$67&lt;=Paths!$E$140),IF('Operating costs'!$B$67=0,C1470=0,AND(C1470&gt;0,'Operating costs'!$B$67&gt;(C1470-1)*12,'Operating costs'!$B$67&lt;=C1470*12))),'Operating costs'!$B$66,0),"n.a."))</f>
        <v>0</v>
      </c>
      <c r="N1470" s="16">
        <f>IF(NOT(Paths!$C$140=1),0,IF(Paths!$P$140="Complete",SUM(G1470:I1470)-J1470-K1470-L1470+M1470+IF(C1470=0,Paths!$F$140,0)+IF(IF(Paths!$E$140=0,C1470=0,AND(C1470&gt;0,Paths!$E$140&gt;(C1470-1)*12,Paths!$E$140&lt;=C1470*12)),VLOOKUP(A1470,'Fleet register'!$A$7:$S$106,16,FALSE),0),"n.a."))</f>
        <v>0</v>
      </c>
      <c r="O1470" s="16">
        <f>IF(NOT(Paths!$C$140=1),0,IF(Paths!$P$140="Complete",N1470-IF(C1470=0,Paths!$F$140,0),"n.a."))</f>
        <v>0</v>
      </c>
      <c r="P1470" s="16">
        <f>IF(NOT(Paths!$C$140=1),0,IF(Paths!$P$140="Complete",O1470+L1470,"n.a."))</f>
        <v>0</v>
      </c>
      <c r="Q1470" s="16">
        <f>IF(NOT(Paths!$C$140=1),0,IF(Paths!$P$140="Complete",N1470*(1+'Operating costs'!$B$54)^-C1470,"n.a."))</f>
        <v>0</v>
      </c>
      <c r="R1470" s="16">
        <f>IF(NOT(Paths!$C$140=1),0,IF(Paths!$P$140="Complete",IF(AND(C1470=0,Paths!$E$140=0),I1470-J1470-K1470+VLOOKUP(A1470,'Fleet register'!$A$7:$S$106,15,FALSE)+VLOOKUP(A1470,'Fleet register'!$A$7:$S$106,16,FALSE),0),"n.a."))</f>
        <v>0</v>
      </c>
      <c r="S1470" s="1">
        <f>IF(NOT(Paths!$C$140=1),0,IF(Paths!$P$140="Complete",IF(C1470=0,0,Paths!$S$140*Paths!$R$140),"n.a."))</f>
        <v>0</v>
      </c>
      <c r="T1470" s="1">
        <f>IF(NOT(Paths!$C$140=1),0,IF(Paths!$P$140="Complete",IF(C1470=0,0,VLOOKUP(A1470,'Fleet register'!$A$7:$S$106,9,FALSE)*Paths!$R$140),"n.a."))</f>
        <v>0</v>
      </c>
    </row>
    <row r="1471" spans="1:20" ht="24" customHeight="1">
      <c r="A1471" s="1" t="str">
        <f>Paths!$A$140</f>
        <v>T034</v>
      </c>
      <c r="B1471" s="1">
        <f>Paths!$B$140</f>
        <v>1</v>
      </c>
      <c r="C1471" s="1">
        <v>1</v>
      </c>
      <c r="D1471" s="1">
        <v>140</v>
      </c>
      <c r="E1471" s="1">
        <f>IF(OR(Paths!$C$140=0,C1471=0),0,MAX(0,MIN(C1471*12,Paths!$E$140)-(C1471-1)*12))</f>
        <v>0</v>
      </c>
      <c r="F1471" s="1">
        <f>IF(OR(Paths!$C$140=0,C1471=0),0,12-E1471)</f>
        <v>0</v>
      </c>
      <c r="G1471" s="16">
        <f>IF(NOT(Paths!$C$140=1),0,IF(Paths!$P$140="Complete",E1471/12*(Paths!$J$140*(1+'Operating costs'!$B$51)^MAX(0,C1471-1)+Paths!$K$140*(1+'Operating costs'!$B$53)^MAX(0,C1471-1)),"n.a."))</f>
        <v>0</v>
      </c>
      <c r="H1471" s="16">
        <f>IF(NOT(Paths!$C$140=1),0,IF(Paths!$P$140="Complete",F1471/12*(Paths!$L$140*(1+IF(Paths!$D$140="EV",'Operating costs'!$B$52,'Operating costs'!$B$51))^MAX(0,C1471-1)+Paths!$M$140*(1+'Operating costs'!$B$53)^MAX(0,C1471-1)),"n.a."))</f>
        <v>0</v>
      </c>
      <c r="I1471" s="16">
        <f>IF(NOT(Paths!$C$140=1),0,IF(Paths!$P$140="Complete",IF(IF(Paths!$E$140=0,C1471=0,AND(C1471&gt;0,Paths!$E$140&gt;(C1471-1)*12,Paths!$E$140&lt;=C1471*12)),Paths!$G$140,0),"n.a."))</f>
        <v>0</v>
      </c>
      <c r="J1471" s="16">
        <f>IF(NOT(Paths!$C$140=1),0,IF(Paths!$P$140="Complete",IF(IF(Paths!$E$140=0,C1471=0,AND(C1471&gt;0,Paths!$E$140&gt;(C1471-1)*12,Paths!$E$140&lt;=C1471*12)),Paths!$H$140,0),"n.a."))</f>
        <v>0</v>
      </c>
      <c r="K1471" s="16">
        <f>IF(NOT(Paths!$C$140=1),0,IF(Paths!$P$140="Complete",IF(IF(Paths!$O$140=0,C1471=0,AND(C1471&gt;0,Paths!$O$140&gt;(C1471-1)*12,Paths!$O$140&lt;=C1471*12)),Paths!$N$140,0),"n.a."))</f>
        <v>0</v>
      </c>
      <c r="L1471" s="16">
        <f>IF(NOT(Paths!$C$140=1),0,IF(Paths!$P$140="Complete",IF(C1471=10,Paths!$I$140,0),"n.a."))</f>
        <v>0</v>
      </c>
      <c r="M1471" s="16">
        <f>IF(NOT(Paths!$C$140=1),0,IF(Paths!$P$140="Complete",IF(AND(Paths!$D$140="EV",Paths!$E$140&lt;120,Paths!$E$140+'Operating costs'!$B$65&gt;Paths!$E$140,Paths!$E$140+'Operating costs'!$B$65&lt;=120,IF(Paths!$E$140+'Operating costs'!$B$65=0,C1471=0,AND(C1471&gt;0,Paths!$E$140+'Operating costs'!$B$65&gt;(C1471-1)*12,Paths!$E$140+'Operating costs'!$B$65&lt;=C1471*12))),'Operating costs'!$B$64,0)+IF(AND('Operating costs'!$B$67&gt;0,'Operating costs'!$B$67&lt;=120,OR(Paths!$D$140="ICE",'Operating costs'!$B$67&lt;=Paths!$E$140),IF('Operating costs'!$B$67=0,C1471=0,AND(C1471&gt;0,'Operating costs'!$B$67&gt;(C1471-1)*12,'Operating costs'!$B$67&lt;=C1471*12))),'Operating costs'!$B$66,0),"n.a."))</f>
        <v>0</v>
      </c>
      <c r="N1471" s="16">
        <f>IF(NOT(Paths!$C$140=1),0,IF(Paths!$P$140="Complete",SUM(G1471:I1471)-J1471-K1471-L1471+M1471+IF(C1471=0,Paths!$F$140,0)+IF(IF(Paths!$E$140=0,C1471=0,AND(C1471&gt;0,Paths!$E$140&gt;(C1471-1)*12,Paths!$E$140&lt;=C1471*12)),VLOOKUP(A1471,'Fleet register'!$A$7:$S$106,16,FALSE),0),"n.a."))</f>
        <v>0</v>
      </c>
      <c r="O1471" s="16">
        <f>IF(NOT(Paths!$C$140=1),0,IF(Paths!$P$140="Complete",N1471-IF(C1471=0,Paths!$F$140,0),"n.a."))</f>
        <v>0</v>
      </c>
      <c r="P1471" s="16">
        <f>IF(NOT(Paths!$C$140=1),0,IF(Paths!$P$140="Complete",O1471+L1471,"n.a."))</f>
        <v>0</v>
      </c>
      <c r="Q1471" s="16">
        <f>IF(NOT(Paths!$C$140=1),0,IF(Paths!$P$140="Complete",N1471*(1+'Operating costs'!$B$54)^-C1471,"n.a."))</f>
        <v>0</v>
      </c>
      <c r="R1471" s="16">
        <f>IF(NOT(Paths!$C$140=1),0,IF(Paths!$P$140="Complete",IF(AND(C1471=0,Paths!$E$140=0),I1471-J1471-K1471+VLOOKUP(A1471,'Fleet register'!$A$7:$S$106,15,FALSE)+VLOOKUP(A1471,'Fleet register'!$A$7:$S$106,16,FALSE),0),"n.a."))</f>
        <v>0</v>
      </c>
      <c r="S1471" s="1">
        <f>IF(NOT(Paths!$C$140=1),0,IF(Paths!$P$140="Complete",IF(C1471=0,0,Paths!$S$140*Paths!$R$140),"n.a."))</f>
        <v>0</v>
      </c>
      <c r="T1471" s="1">
        <f>IF(NOT(Paths!$C$140=1),0,IF(Paths!$P$140="Complete",IF(C1471=0,0,VLOOKUP(A1471,'Fleet register'!$A$7:$S$106,9,FALSE)*Paths!$R$140),"n.a."))</f>
        <v>0</v>
      </c>
    </row>
    <row r="1472" spans="1:20" ht="24" customHeight="1">
      <c r="A1472" s="1" t="str">
        <f>Paths!$A$140</f>
        <v>T034</v>
      </c>
      <c r="B1472" s="1">
        <f>Paths!$B$140</f>
        <v>1</v>
      </c>
      <c r="C1472" s="1">
        <v>2</v>
      </c>
      <c r="D1472" s="1">
        <v>140</v>
      </c>
      <c r="E1472" s="1">
        <f>IF(OR(Paths!$C$140=0,C1472=0),0,MAX(0,MIN(C1472*12,Paths!$E$140)-(C1472-1)*12))</f>
        <v>0</v>
      </c>
      <c r="F1472" s="1">
        <f>IF(OR(Paths!$C$140=0,C1472=0),0,12-E1472)</f>
        <v>0</v>
      </c>
      <c r="G1472" s="16">
        <f>IF(NOT(Paths!$C$140=1),0,IF(Paths!$P$140="Complete",E1472/12*(Paths!$J$140*(1+'Operating costs'!$B$51)^MAX(0,C1472-1)+Paths!$K$140*(1+'Operating costs'!$B$53)^MAX(0,C1472-1)),"n.a."))</f>
        <v>0</v>
      </c>
      <c r="H1472" s="16">
        <f>IF(NOT(Paths!$C$140=1),0,IF(Paths!$P$140="Complete",F1472/12*(Paths!$L$140*(1+IF(Paths!$D$140="EV",'Operating costs'!$B$52,'Operating costs'!$B$51))^MAX(0,C1472-1)+Paths!$M$140*(1+'Operating costs'!$B$53)^MAX(0,C1472-1)),"n.a."))</f>
        <v>0</v>
      </c>
      <c r="I1472" s="16">
        <f>IF(NOT(Paths!$C$140=1),0,IF(Paths!$P$140="Complete",IF(IF(Paths!$E$140=0,C1472=0,AND(C1472&gt;0,Paths!$E$140&gt;(C1472-1)*12,Paths!$E$140&lt;=C1472*12)),Paths!$G$140,0),"n.a."))</f>
        <v>0</v>
      </c>
      <c r="J1472" s="16">
        <f>IF(NOT(Paths!$C$140=1),0,IF(Paths!$P$140="Complete",IF(IF(Paths!$E$140=0,C1472=0,AND(C1472&gt;0,Paths!$E$140&gt;(C1472-1)*12,Paths!$E$140&lt;=C1472*12)),Paths!$H$140,0),"n.a."))</f>
        <v>0</v>
      </c>
      <c r="K1472" s="16">
        <f>IF(NOT(Paths!$C$140=1),0,IF(Paths!$P$140="Complete",IF(IF(Paths!$O$140=0,C1472=0,AND(C1472&gt;0,Paths!$O$140&gt;(C1472-1)*12,Paths!$O$140&lt;=C1472*12)),Paths!$N$140,0),"n.a."))</f>
        <v>0</v>
      </c>
      <c r="L1472" s="16">
        <f>IF(NOT(Paths!$C$140=1),0,IF(Paths!$P$140="Complete",IF(C1472=10,Paths!$I$140,0),"n.a."))</f>
        <v>0</v>
      </c>
      <c r="M1472" s="16">
        <f>IF(NOT(Paths!$C$140=1),0,IF(Paths!$P$140="Complete",IF(AND(Paths!$D$140="EV",Paths!$E$140&lt;120,Paths!$E$140+'Operating costs'!$B$65&gt;Paths!$E$140,Paths!$E$140+'Operating costs'!$B$65&lt;=120,IF(Paths!$E$140+'Operating costs'!$B$65=0,C1472=0,AND(C1472&gt;0,Paths!$E$140+'Operating costs'!$B$65&gt;(C1472-1)*12,Paths!$E$140+'Operating costs'!$B$65&lt;=C1472*12))),'Operating costs'!$B$64,0)+IF(AND('Operating costs'!$B$67&gt;0,'Operating costs'!$B$67&lt;=120,OR(Paths!$D$140="ICE",'Operating costs'!$B$67&lt;=Paths!$E$140),IF('Operating costs'!$B$67=0,C1472=0,AND(C1472&gt;0,'Operating costs'!$B$67&gt;(C1472-1)*12,'Operating costs'!$B$67&lt;=C1472*12))),'Operating costs'!$B$66,0),"n.a."))</f>
        <v>0</v>
      </c>
      <c r="N1472" s="16">
        <f>IF(NOT(Paths!$C$140=1),0,IF(Paths!$P$140="Complete",SUM(G1472:I1472)-J1472-K1472-L1472+M1472+IF(C1472=0,Paths!$F$140,0)+IF(IF(Paths!$E$140=0,C1472=0,AND(C1472&gt;0,Paths!$E$140&gt;(C1472-1)*12,Paths!$E$140&lt;=C1472*12)),VLOOKUP(A1472,'Fleet register'!$A$7:$S$106,16,FALSE),0),"n.a."))</f>
        <v>0</v>
      </c>
      <c r="O1472" s="16">
        <f>IF(NOT(Paths!$C$140=1),0,IF(Paths!$P$140="Complete",N1472-IF(C1472=0,Paths!$F$140,0),"n.a."))</f>
        <v>0</v>
      </c>
      <c r="P1472" s="16">
        <f>IF(NOT(Paths!$C$140=1),0,IF(Paths!$P$140="Complete",O1472+L1472,"n.a."))</f>
        <v>0</v>
      </c>
      <c r="Q1472" s="16">
        <f>IF(NOT(Paths!$C$140=1),0,IF(Paths!$P$140="Complete",N1472*(1+'Operating costs'!$B$54)^-C1472,"n.a."))</f>
        <v>0</v>
      </c>
      <c r="R1472" s="16">
        <f>IF(NOT(Paths!$C$140=1),0,IF(Paths!$P$140="Complete",IF(AND(C1472=0,Paths!$E$140=0),I1472-J1472-K1472+VLOOKUP(A1472,'Fleet register'!$A$7:$S$106,15,FALSE)+VLOOKUP(A1472,'Fleet register'!$A$7:$S$106,16,FALSE),0),"n.a."))</f>
        <v>0</v>
      </c>
      <c r="S1472" s="1">
        <f>IF(NOT(Paths!$C$140=1),0,IF(Paths!$P$140="Complete",IF(C1472=0,0,Paths!$S$140*Paths!$R$140),"n.a."))</f>
        <v>0</v>
      </c>
      <c r="T1472" s="1">
        <f>IF(NOT(Paths!$C$140=1),0,IF(Paths!$P$140="Complete",IF(C1472=0,0,VLOOKUP(A1472,'Fleet register'!$A$7:$S$106,9,FALSE)*Paths!$R$140),"n.a."))</f>
        <v>0</v>
      </c>
    </row>
    <row r="1473" spans="1:20" ht="24" customHeight="1">
      <c r="A1473" s="1" t="str">
        <f>Paths!$A$140</f>
        <v>T034</v>
      </c>
      <c r="B1473" s="1">
        <f>Paths!$B$140</f>
        <v>1</v>
      </c>
      <c r="C1473" s="1">
        <v>3</v>
      </c>
      <c r="D1473" s="1">
        <v>140</v>
      </c>
      <c r="E1473" s="1">
        <f>IF(OR(Paths!$C$140=0,C1473=0),0,MAX(0,MIN(C1473*12,Paths!$E$140)-(C1473-1)*12))</f>
        <v>0</v>
      </c>
      <c r="F1473" s="1">
        <f>IF(OR(Paths!$C$140=0,C1473=0),0,12-E1473)</f>
        <v>0</v>
      </c>
      <c r="G1473" s="16">
        <f>IF(NOT(Paths!$C$140=1),0,IF(Paths!$P$140="Complete",E1473/12*(Paths!$J$140*(1+'Operating costs'!$B$51)^MAX(0,C1473-1)+Paths!$K$140*(1+'Operating costs'!$B$53)^MAX(0,C1473-1)),"n.a."))</f>
        <v>0</v>
      </c>
      <c r="H1473" s="16">
        <f>IF(NOT(Paths!$C$140=1),0,IF(Paths!$P$140="Complete",F1473/12*(Paths!$L$140*(1+IF(Paths!$D$140="EV",'Operating costs'!$B$52,'Operating costs'!$B$51))^MAX(0,C1473-1)+Paths!$M$140*(1+'Operating costs'!$B$53)^MAX(0,C1473-1)),"n.a."))</f>
        <v>0</v>
      </c>
      <c r="I1473" s="16">
        <f>IF(NOT(Paths!$C$140=1),0,IF(Paths!$P$140="Complete",IF(IF(Paths!$E$140=0,C1473=0,AND(C1473&gt;0,Paths!$E$140&gt;(C1473-1)*12,Paths!$E$140&lt;=C1473*12)),Paths!$G$140,0),"n.a."))</f>
        <v>0</v>
      </c>
      <c r="J1473" s="16">
        <f>IF(NOT(Paths!$C$140=1),0,IF(Paths!$P$140="Complete",IF(IF(Paths!$E$140=0,C1473=0,AND(C1473&gt;0,Paths!$E$140&gt;(C1473-1)*12,Paths!$E$140&lt;=C1473*12)),Paths!$H$140,0),"n.a."))</f>
        <v>0</v>
      </c>
      <c r="K1473" s="16">
        <f>IF(NOT(Paths!$C$140=1),0,IF(Paths!$P$140="Complete",IF(IF(Paths!$O$140=0,C1473=0,AND(C1473&gt;0,Paths!$O$140&gt;(C1473-1)*12,Paths!$O$140&lt;=C1473*12)),Paths!$N$140,0),"n.a."))</f>
        <v>0</v>
      </c>
      <c r="L1473" s="16">
        <f>IF(NOT(Paths!$C$140=1),0,IF(Paths!$P$140="Complete",IF(C1473=10,Paths!$I$140,0),"n.a."))</f>
        <v>0</v>
      </c>
      <c r="M1473" s="16">
        <f>IF(NOT(Paths!$C$140=1),0,IF(Paths!$P$140="Complete",IF(AND(Paths!$D$140="EV",Paths!$E$140&lt;120,Paths!$E$140+'Operating costs'!$B$65&gt;Paths!$E$140,Paths!$E$140+'Operating costs'!$B$65&lt;=120,IF(Paths!$E$140+'Operating costs'!$B$65=0,C1473=0,AND(C1473&gt;0,Paths!$E$140+'Operating costs'!$B$65&gt;(C1473-1)*12,Paths!$E$140+'Operating costs'!$B$65&lt;=C1473*12))),'Operating costs'!$B$64,0)+IF(AND('Operating costs'!$B$67&gt;0,'Operating costs'!$B$67&lt;=120,OR(Paths!$D$140="ICE",'Operating costs'!$B$67&lt;=Paths!$E$140),IF('Operating costs'!$B$67=0,C1473=0,AND(C1473&gt;0,'Operating costs'!$B$67&gt;(C1473-1)*12,'Operating costs'!$B$67&lt;=C1473*12))),'Operating costs'!$B$66,0),"n.a."))</f>
        <v>0</v>
      </c>
      <c r="N1473" s="16">
        <f>IF(NOT(Paths!$C$140=1),0,IF(Paths!$P$140="Complete",SUM(G1473:I1473)-J1473-K1473-L1473+M1473+IF(C1473=0,Paths!$F$140,0)+IF(IF(Paths!$E$140=0,C1473=0,AND(C1473&gt;0,Paths!$E$140&gt;(C1473-1)*12,Paths!$E$140&lt;=C1473*12)),VLOOKUP(A1473,'Fleet register'!$A$7:$S$106,16,FALSE),0),"n.a."))</f>
        <v>0</v>
      </c>
      <c r="O1473" s="16">
        <f>IF(NOT(Paths!$C$140=1),0,IF(Paths!$P$140="Complete",N1473-IF(C1473=0,Paths!$F$140,0),"n.a."))</f>
        <v>0</v>
      </c>
      <c r="P1473" s="16">
        <f>IF(NOT(Paths!$C$140=1),0,IF(Paths!$P$140="Complete",O1473+L1473,"n.a."))</f>
        <v>0</v>
      </c>
      <c r="Q1473" s="16">
        <f>IF(NOT(Paths!$C$140=1),0,IF(Paths!$P$140="Complete",N1473*(1+'Operating costs'!$B$54)^-C1473,"n.a."))</f>
        <v>0</v>
      </c>
      <c r="R1473" s="16">
        <f>IF(NOT(Paths!$C$140=1),0,IF(Paths!$P$140="Complete",IF(AND(C1473=0,Paths!$E$140=0),I1473-J1473-K1473+VLOOKUP(A1473,'Fleet register'!$A$7:$S$106,15,FALSE)+VLOOKUP(A1473,'Fleet register'!$A$7:$S$106,16,FALSE),0),"n.a."))</f>
        <v>0</v>
      </c>
      <c r="S1473" s="1">
        <f>IF(NOT(Paths!$C$140=1),0,IF(Paths!$P$140="Complete",IF(C1473=0,0,Paths!$S$140*Paths!$R$140),"n.a."))</f>
        <v>0</v>
      </c>
      <c r="T1473" s="1">
        <f>IF(NOT(Paths!$C$140=1),0,IF(Paths!$P$140="Complete",IF(C1473=0,0,VLOOKUP(A1473,'Fleet register'!$A$7:$S$106,9,FALSE)*Paths!$R$140),"n.a."))</f>
        <v>0</v>
      </c>
    </row>
    <row r="1474" spans="1:20" ht="24" customHeight="1">
      <c r="A1474" s="1" t="str">
        <f>Paths!$A$140</f>
        <v>T034</v>
      </c>
      <c r="B1474" s="1">
        <f>Paths!$B$140</f>
        <v>1</v>
      </c>
      <c r="C1474" s="1">
        <v>4</v>
      </c>
      <c r="D1474" s="1">
        <v>140</v>
      </c>
      <c r="E1474" s="1">
        <f>IF(OR(Paths!$C$140=0,C1474=0),0,MAX(0,MIN(C1474*12,Paths!$E$140)-(C1474-1)*12))</f>
        <v>0</v>
      </c>
      <c r="F1474" s="1">
        <f>IF(OR(Paths!$C$140=0,C1474=0),0,12-E1474)</f>
        <v>0</v>
      </c>
      <c r="G1474" s="16">
        <f>IF(NOT(Paths!$C$140=1),0,IF(Paths!$P$140="Complete",E1474/12*(Paths!$J$140*(1+'Operating costs'!$B$51)^MAX(0,C1474-1)+Paths!$K$140*(1+'Operating costs'!$B$53)^MAX(0,C1474-1)),"n.a."))</f>
        <v>0</v>
      </c>
      <c r="H1474" s="16">
        <f>IF(NOT(Paths!$C$140=1),0,IF(Paths!$P$140="Complete",F1474/12*(Paths!$L$140*(1+IF(Paths!$D$140="EV",'Operating costs'!$B$52,'Operating costs'!$B$51))^MAX(0,C1474-1)+Paths!$M$140*(1+'Operating costs'!$B$53)^MAX(0,C1474-1)),"n.a."))</f>
        <v>0</v>
      </c>
      <c r="I1474" s="16">
        <f>IF(NOT(Paths!$C$140=1),0,IF(Paths!$P$140="Complete",IF(IF(Paths!$E$140=0,C1474=0,AND(C1474&gt;0,Paths!$E$140&gt;(C1474-1)*12,Paths!$E$140&lt;=C1474*12)),Paths!$G$140,0),"n.a."))</f>
        <v>0</v>
      </c>
      <c r="J1474" s="16">
        <f>IF(NOT(Paths!$C$140=1),0,IF(Paths!$P$140="Complete",IF(IF(Paths!$E$140=0,C1474=0,AND(C1474&gt;0,Paths!$E$140&gt;(C1474-1)*12,Paths!$E$140&lt;=C1474*12)),Paths!$H$140,0),"n.a."))</f>
        <v>0</v>
      </c>
      <c r="K1474" s="16">
        <f>IF(NOT(Paths!$C$140=1),0,IF(Paths!$P$140="Complete",IF(IF(Paths!$O$140=0,C1474=0,AND(C1474&gt;0,Paths!$O$140&gt;(C1474-1)*12,Paths!$O$140&lt;=C1474*12)),Paths!$N$140,0),"n.a."))</f>
        <v>0</v>
      </c>
      <c r="L1474" s="16">
        <f>IF(NOT(Paths!$C$140=1),0,IF(Paths!$P$140="Complete",IF(C1474=10,Paths!$I$140,0),"n.a."))</f>
        <v>0</v>
      </c>
      <c r="M1474" s="16">
        <f>IF(NOT(Paths!$C$140=1),0,IF(Paths!$P$140="Complete",IF(AND(Paths!$D$140="EV",Paths!$E$140&lt;120,Paths!$E$140+'Operating costs'!$B$65&gt;Paths!$E$140,Paths!$E$140+'Operating costs'!$B$65&lt;=120,IF(Paths!$E$140+'Operating costs'!$B$65=0,C1474=0,AND(C1474&gt;0,Paths!$E$140+'Operating costs'!$B$65&gt;(C1474-1)*12,Paths!$E$140+'Operating costs'!$B$65&lt;=C1474*12))),'Operating costs'!$B$64,0)+IF(AND('Operating costs'!$B$67&gt;0,'Operating costs'!$B$67&lt;=120,OR(Paths!$D$140="ICE",'Operating costs'!$B$67&lt;=Paths!$E$140),IF('Operating costs'!$B$67=0,C1474=0,AND(C1474&gt;0,'Operating costs'!$B$67&gt;(C1474-1)*12,'Operating costs'!$B$67&lt;=C1474*12))),'Operating costs'!$B$66,0),"n.a."))</f>
        <v>0</v>
      </c>
      <c r="N1474" s="16">
        <f>IF(NOT(Paths!$C$140=1),0,IF(Paths!$P$140="Complete",SUM(G1474:I1474)-J1474-K1474-L1474+M1474+IF(C1474=0,Paths!$F$140,0)+IF(IF(Paths!$E$140=0,C1474=0,AND(C1474&gt;0,Paths!$E$140&gt;(C1474-1)*12,Paths!$E$140&lt;=C1474*12)),VLOOKUP(A1474,'Fleet register'!$A$7:$S$106,16,FALSE),0),"n.a."))</f>
        <v>0</v>
      </c>
      <c r="O1474" s="16">
        <f>IF(NOT(Paths!$C$140=1),0,IF(Paths!$P$140="Complete",N1474-IF(C1474=0,Paths!$F$140,0),"n.a."))</f>
        <v>0</v>
      </c>
      <c r="P1474" s="16">
        <f>IF(NOT(Paths!$C$140=1),0,IF(Paths!$P$140="Complete",O1474+L1474,"n.a."))</f>
        <v>0</v>
      </c>
      <c r="Q1474" s="16">
        <f>IF(NOT(Paths!$C$140=1),0,IF(Paths!$P$140="Complete",N1474*(1+'Operating costs'!$B$54)^-C1474,"n.a."))</f>
        <v>0</v>
      </c>
      <c r="R1474" s="16">
        <f>IF(NOT(Paths!$C$140=1),0,IF(Paths!$P$140="Complete",IF(AND(C1474=0,Paths!$E$140=0),I1474-J1474-K1474+VLOOKUP(A1474,'Fleet register'!$A$7:$S$106,15,FALSE)+VLOOKUP(A1474,'Fleet register'!$A$7:$S$106,16,FALSE),0),"n.a."))</f>
        <v>0</v>
      </c>
      <c r="S1474" s="1">
        <f>IF(NOT(Paths!$C$140=1),0,IF(Paths!$P$140="Complete",IF(C1474=0,0,Paths!$S$140*Paths!$R$140),"n.a."))</f>
        <v>0</v>
      </c>
      <c r="T1474" s="1">
        <f>IF(NOT(Paths!$C$140=1),0,IF(Paths!$P$140="Complete",IF(C1474=0,0,VLOOKUP(A1474,'Fleet register'!$A$7:$S$106,9,FALSE)*Paths!$R$140),"n.a."))</f>
        <v>0</v>
      </c>
    </row>
    <row r="1475" spans="1:20" ht="24" customHeight="1">
      <c r="A1475" s="1" t="str">
        <f>Paths!$A$140</f>
        <v>T034</v>
      </c>
      <c r="B1475" s="1">
        <f>Paths!$B$140</f>
        <v>1</v>
      </c>
      <c r="C1475" s="1">
        <v>5</v>
      </c>
      <c r="D1475" s="1">
        <v>140</v>
      </c>
      <c r="E1475" s="1">
        <f>IF(OR(Paths!$C$140=0,C1475=0),0,MAX(0,MIN(C1475*12,Paths!$E$140)-(C1475-1)*12))</f>
        <v>0</v>
      </c>
      <c r="F1475" s="1">
        <f>IF(OR(Paths!$C$140=0,C1475=0),0,12-E1475)</f>
        <v>0</v>
      </c>
      <c r="G1475" s="16">
        <f>IF(NOT(Paths!$C$140=1),0,IF(Paths!$P$140="Complete",E1475/12*(Paths!$J$140*(1+'Operating costs'!$B$51)^MAX(0,C1475-1)+Paths!$K$140*(1+'Operating costs'!$B$53)^MAX(0,C1475-1)),"n.a."))</f>
        <v>0</v>
      </c>
      <c r="H1475" s="16">
        <f>IF(NOT(Paths!$C$140=1),0,IF(Paths!$P$140="Complete",F1475/12*(Paths!$L$140*(1+IF(Paths!$D$140="EV",'Operating costs'!$B$52,'Operating costs'!$B$51))^MAX(0,C1475-1)+Paths!$M$140*(1+'Operating costs'!$B$53)^MAX(0,C1475-1)),"n.a."))</f>
        <v>0</v>
      </c>
      <c r="I1475" s="16">
        <f>IF(NOT(Paths!$C$140=1),0,IF(Paths!$P$140="Complete",IF(IF(Paths!$E$140=0,C1475=0,AND(C1475&gt;0,Paths!$E$140&gt;(C1475-1)*12,Paths!$E$140&lt;=C1475*12)),Paths!$G$140,0),"n.a."))</f>
        <v>0</v>
      </c>
      <c r="J1475" s="16">
        <f>IF(NOT(Paths!$C$140=1),0,IF(Paths!$P$140="Complete",IF(IF(Paths!$E$140=0,C1475=0,AND(C1475&gt;0,Paths!$E$140&gt;(C1475-1)*12,Paths!$E$140&lt;=C1475*12)),Paths!$H$140,0),"n.a."))</f>
        <v>0</v>
      </c>
      <c r="K1475" s="16">
        <f>IF(NOT(Paths!$C$140=1),0,IF(Paths!$P$140="Complete",IF(IF(Paths!$O$140=0,C1475=0,AND(C1475&gt;0,Paths!$O$140&gt;(C1475-1)*12,Paths!$O$140&lt;=C1475*12)),Paths!$N$140,0),"n.a."))</f>
        <v>0</v>
      </c>
      <c r="L1475" s="16">
        <f>IF(NOT(Paths!$C$140=1),0,IF(Paths!$P$140="Complete",IF(C1475=10,Paths!$I$140,0),"n.a."))</f>
        <v>0</v>
      </c>
      <c r="M1475" s="16">
        <f>IF(NOT(Paths!$C$140=1),0,IF(Paths!$P$140="Complete",IF(AND(Paths!$D$140="EV",Paths!$E$140&lt;120,Paths!$E$140+'Operating costs'!$B$65&gt;Paths!$E$140,Paths!$E$140+'Operating costs'!$B$65&lt;=120,IF(Paths!$E$140+'Operating costs'!$B$65=0,C1475=0,AND(C1475&gt;0,Paths!$E$140+'Operating costs'!$B$65&gt;(C1475-1)*12,Paths!$E$140+'Operating costs'!$B$65&lt;=C1475*12))),'Operating costs'!$B$64,0)+IF(AND('Operating costs'!$B$67&gt;0,'Operating costs'!$B$67&lt;=120,OR(Paths!$D$140="ICE",'Operating costs'!$B$67&lt;=Paths!$E$140),IF('Operating costs'!$B$67=0,C1475=0,AND(C1475&gt;0,'Operating costs'!$B$67&gt;(C1475-1)*12,'Operating costs'!$B$67&lt;=C1475*12))),'Operating costs'!$B$66,0),"n.a."))</f>
        <v>0</v>
      </c>
      <c r="N1475" s="16">
        <f>IF(NOT(Paths!$C$140=1),0,IF(Paths!$P$140="Complete",SUM(G1475:I1475)-J1475-K1475-L1475+M1475+IF(C1475=0,Paths!$F$140,0)+IF(IF(Paths!$E$140=0,C1475=0,AND(C1475&gt;0,Paths!$E$140&gt;(C1475-1)*12,Paths!$E$140&lt;=C1475*12)),VLOOKUP(A1475,'Fleet register'!$A$7:$S$106,16,FALSE),0),"n.a."))</f>
        <v>0</v>
      </c>
      <c r="O1475" s="16">
        <f>IF(NOT(Paths!$C$140=1),0,IF(Paths!$P$140="Complete",N1475-IF(C1475=0,Paths!$F$140,0),"n.a."))</f>
        <v>0</v>
      </c>
      <c r="P1475" s="16">
        <f>IF(NOT(Paths!$C$140=1),0,IF(Paths!$P$140="Complete",O1475+L1475,"n.a."))</f>
        <v>0</v>
      </c>
      <c r="Q1475" s="16">
        <f>IF(NOT(Paths!$C$140=1),0,IF(Paths!$P$140="Complete",N1475*(1+'Operating costs'!$B$54)^-C1475,"n.a."))</f>
        <v>0</v>
      </c>
      <c r="R1475" s="16">
        <f>IF(NOT(Paths!$C$140=1),0,IF(Paths!$P$140="Complete",IF(AND(C1475=0,Paths!$E$140=0),I1475-J1475-K1475+VLOOKUP(A1475,'Fleet register'!$A$7:$S$106,15,FALSE)+VLOOKUP(A1475,'Fleet register'!$A$7:$S$106,16,FALSE),0),"n.a."))</f>
        <v>0</v>
      </c>
      <c r="S1475" s="1">
        <f>IF(NOT(Paths!$C$140=1),0,IF(Paths!$P$140="Complete",IF(C1475=0,0,Paths!$S$140*Paths!$R$140),"n.a."))</f>
        <v>0</v>
      </c>
      <c r="T1475" s="1">
        <f>IF(NOT(Paths!$C$140=1),0,IF(Paths!$P$140="Complete",IF(C1475=0,0,VLOOKUP(A1475,'Fleet register'!$A$7:$S$106,9,FALSE)*Paths!$R$140),"n.a."))</f>
        <v>0</v>
      </c>
    </row>
    <row r="1476" spans="1:20" ht="24" customHeight="1">
      <c r="A1476" s="1" t="str">
        <f>Paths!$A$140</f>
        <v>T034</v>
      </c>
      <c r="B1476" s="1">
        <f>Paths!$B$140</f>
        <v>1</v>
      </c>
      <c r="C1476" s="1">
        <v>6</v>
      </c>
      <c r="D1476" s="1">
        <v>140</v>
      </c>
      <c r="E1476" s="1">
        <f>IF(OR(Paths!$C$140=0,C1476=0),0,MAX(0,MIN(C1476*12,Paths!$E$140)-(C1476-1)*12))</f>
        <v>0</v>
      </c>
      <c r="F1476" s="1">
        <f>IF(OR(Paths!$C$140=0,C1476=0),0,12-E1476)</f>
        <v>0</v>
      </c>
      <c r="G1476" s="16">
        <f>IF(NOT(Paths!$C$140=1),0,IF(Paths!$P$140="Complete",E1476/12*(Paths!$J$140*(1+'Operating costs'!$B$51)^MAX(0,C1476-1)+Paths!$K$140*(1+'Operating costs'!$B$53)^MAX(0,C1476-1)),"n.a."))</f>
        <v>0</v>
      </c>
      <c r="H1476" s="16">
        <f>IF(NOT(Paths!$C$140=1),0,IF(Paths!$P$140="Complete",F1476/12*(Paths!$L$140*(1+IF(Paths!$D$140="EV",'Operating costs'!$B$52,'Operating costs'!$B$51))^MAX(0,C1476-1)+Paths!$M$140*(1+'Operating costs'!$B$53)^MAX(0,C1476-1)),"n.a."))</f>
        <v>0</v>
      </c>
      <c r="I1476" s="16">
        <f>IF(NOT(Paths!$C$140=1),0,IF(Paths!$P$140="Complete",IF(IF(Paths!$E$140=0,C1476=0,AND(C1476&gt;0,Paths!$E$140&gt;(C1476-1)*12,Paths!$E$140&lt;=C1476*12)),Paths!$G$140,0),"n.a."))</f>
        <v>0</v>
      </c>
      <c r="J1476" s="16">
        <f>IF(NOT(Paths!$C$140=1),0,IF(Paths!$P$140="Complete",IF(IF(Paths!$E$140=0,C1476=0,AND(C1476&gt;0,Paths!$E$140&gt;(C1476-1)*12,Paths!$E$140&lt;=C1476*12)),Paths!$H$140,0),"n.a."))</f>
        <v>0</v>
      </c>
      <c r="K1476" s="16">
        <f>IF(NOT(Paths!$C$140=1),0,IF(Paths!$P$140="Complete",IF(IF(Paths!$O$140=0,C1476=0,AND(C1476&gt;0,Paths!$O$140&gt;(C1476-1)*12,Paths!$O$140&lt;=C1476*12)),Paths!$N$140,0),"n.a."))</f>
        <v>0</v>
      </c>
      <c r="L1476" s="16">
        <f>IF(NOT(Paths!$C$140=1),0,IF(Paths!$P$140="Complete",IF(C1476=10,Paths!$I$140,0),"n.a."))</f>
        <v>0</v>
      </c>
      <c r="M1476" s="16">
        <f>IF(NOT(Paths!$C$140=1),0,IF(Paths!$P$140="Complete",IF(AND(Paths!$D$140="EV",Paths!$E$140&lt;120,Paths!$E$140+'Operating costs'!$B$65&gt;Paths!$E$140,Paths!$E$140+'Operating costs'!$B$65&lt;=120,IF(Paths!$E$140+'Operating costs'!$B$65=0,C1476=0,AND(C1476&gt;0,Paths!$E$140+'Operating costs'!$B$65&gt;(C1476-1)*12,Paths!$E$140+'Operating costs'!$B$65&lt;=C1476*12))),'Operating costs'!$B$64,0)+IF(AND('Operating costs'!$B$67&gt;0,'Operating costs'!$B$67&lt;=120,OR(Paths!$D$140="ICE",'Operating costs'!$B$67&lt;=Paths!$E$140),IF('Operating costs'!$B$67=0,C1476=0,AND(C1476&gt;0,'Operating costs'!$B$67&gt;(C1476-1)*12,'Operating costs'!$B$67&lt;=C1476*12))),'Operating costs'!$B$66,0),"n.a."))</f>
        <v>0</v>
      </c>
      <c r="N1476" s="16">
        <f>IF(NOT(Paths!$C$140=1),0,IF(Paths!$P$140="Complete",SUM(G1476:I1476)-J1476-K1476-L1476+M1476+IF(C1476=0,Paths!$F$140,0)+IF(IF(Paths!$E$140=0,C1476=0,AND(C1476&gt;0,Paths!$E$140&gt;(C1476-1)*12,Paths!$E$140&lt;=C1476*12)),VLOOKUP(A1476,'Fleet register'!$A$7:$S$106,16,FALSE),0),"n.a."))</f>
        <v>0</v>
      </c>
      <c r="O1476" s="16">
        <f>IF(NOT(Paths!$C$140=1),0,IF(Paths!$P$140="Complete",N1476-IF(C1476=0,Paths!$F$140,0),"n.a."))</f>
        <v>0</v>
      </c>
      <c r="P1476" s="16">
        <f>IF(NOT(Paths!$C$140=1),0,IF(Paths!$P$140="Complete",O1476+L1476,"n.a."))</f>
        <v>0</v>
      </c>
      <c r="Q1476" s="16">
        <f>IF(NOT(Paths!$C$140=1),0,IF(Paths!$P$140="Complete",N1476*(1+'Operating costs'!$B$54)^-C1476,"n.a."))</f>
        <v>0</v>
      </c>
      <c r="R1476" s="16">
        <f>IF(NOT(Paths!$C$140=1),0,IF(Paths!$P$140="Complete",IF(AND(C1476=0,Paths!$E$140=0),I1476-J1476-K1476+VLOOKUP(A1476,'Fleet register'!$A$7:$S$106,15,FALSE)+VLOOKUP(A1476,'Fleet register'!$A$7:$S$106,16,FALSE),0),"n.a."))</f>
        <v>0</v>
      </c>
      <c r="S1476" s="1">
        <f>IF(NOT(Paths!$C$140=1),0,IF(Paths!$P$140="Complete",IF(C1476=0,0,Paths!$S$140*Paths!$R$140),"n.a."))</f>
        <v>0</v>
      </c>
      <c r="T1476" s="1">
        <f>IF(NOT(Paths!$C$140=1),0,IF(Paths!$P$140="Complete",IF(C1476=0,0,VLOOKUP(A1476,'Fleet register'!$A$7:$S$106,9,FALSE)*Paths!$R$140),"n.a."))</f>
        <v>0</v>
      </c>
    </row>
    <row r="1477" spans="1:20" ht="24" customHeight="1">
      <c r="A1477" s="1" t="str">
        <f>Paths!$A$140</f>
        <v>T034</v>
      </c>
      <c r="B1477" s="1">
        <f>Paths!$B$140</f>
        <v>1</v>
      </c>
      <c r="C1477" s="1">
        <v>7</v>
      </c>
      <c r="D1477" s="1">
        <v>140</v>
      </c>
      <c r="E1477" s="1">
        <f>IF(OR(Paths!$C$140=0,C1477=0),0,MAX(0,MIN(C1477*12,Paths!$E$140)-(C1477-1)*12))</f>
        <v>0</v>
      </c>
      <c r="F1477" s="1">
        <f>IF(OR(Paths!$C$140=0,C1477=0),0,12-E1477)</f>
        <v>0</v>
      </c>
      <c r="G1477" s="16">
        <f>IF(NOT(Paths!$C$140=1),0,IF(Paths!$P$140="Complete",E1477/12*(Paths!$J$140*(1+'Operating costs'!$B$51)^MAX(0,C1477-1)+Paths!$K$140*(1+'Operating costs'!$B$53)^MAX(0,C1477-1)),"n.a."))</f>
        <v>0</v>
      </c>
      <c r="H1477" s="16">
        <f>IF(NOT(Paths!$C$140=1),0,IF(Paths!$P$140="Complete",F1477/12*(Paths!$L$140*(1+IF(Paths!$D$140="EV",'Operating costs'!$B$52,'Operating costs'!$B$51))^MAX(0,C1477-1)+Paths!$M$140*(1+'Operating costs'!$B$53)^MAX(0,C1477-1)),"n.a."))</f>
        <v>0</v>
      </c>
      <c r="I1477" s="16">
        <f>IF(NOT(Paths!$C$140=1),0,IF(Paths!$P$140="Complete",IF(IF(Paths!$E$140=0,C1477=0,AND(C1477&gt;0,Paths!$E$140&gt;(C1477-1)*12,Paths!$E$140&lt;=C1477*12)),Paths!$G$140,0),"n.a."))</f>
        <v>0</v>
      </c>
      <c r="J1477" s="16">
        <f>IF(NOT(Paths!$C$140=1),0,IF(Paths!$P$140="Complete",IF(IF(Paths!$E$140=0,C1477=0,AND(C1477&gt;0,Paths!$E$140&gt;(C1477-1)*12,Paths!$E$140&lt;=C1477*12)),Paths!$H$140,0),"n.a."))</f>
        <v>0</v>
      </c>
      <c r="K1477" s="16">
        <f>IF(NOT(Paths!$C$140=1),0,IF(Paths!$P$140="Complete",IF(IF(Paths!$O$140=0,C1477=0,AND(C1477&gt;0,Paths!$O$140&gt;(C1477-1)*12,Paths!$O$140&lt;=C1477*12)),Paths!$N$140,0),"n.a."))</f>
        <v>0</v>
      </c>
      <c r="L1477" s="16">
        <f>IF(NOT(Paths!$C$140=1),0,IF(Paths!$P$140="Complete",IF(C1477=10,Paths!$I$140,0),"n.a."))</f>
        <v>0</v>
      </c>
      <c r="M1477" s="16">
        <f>IF(NOT(Paths!$C$140=1),0,IF(Paths!$P$140="Complete",IF(AND(Paths!$D$140="EV",Paths!$E$140&lt;120,Paths!$E$140+'Operating costs'!$B$65&gt;Paths!$E$140,Paths!$E$140+'Operating costs'!$B$65&lt;=120,IF(Paths!$E$140+'Operating costs'!$B$65=0,C1477=0,AND(C1477&gt;0,Paths!$E$140+'Operating costs'!$B$65&gt;(C1477-1)*12,Paths!$E$140+'Operating costs'!$B$65&lt;=C1477*12))),'Operating costs'!$B$64,0)+IF(AND('Operating costs'!$B$67&gt;0,'Operating costs'!$B$67&lt;=120,OR(Paths!$D$140="ICE",'Operating costs'!$B$67&lt;=Paths!$E$140),IF('Operating costs'!$B$67=0,C1477=0,AND(C1477&gt;0,'Operating costs'!$B$67&gt;(C1477-1)*12,'Operating costs'!$B$67&lt;=C1477*12))),'Operating costs'!$B$66,0),"n.a."))</f>
        <v>0</v>
      </c>
      <c r="N1477" s="16">
        <f>IF(NOT(Paths!$C$140=1),0,IF(Paths!$P$140="Complete",SUM(G1477:I1477)-J1477-K1477-L1477+M1477+IF(C1477=0,Paths!$F$140,0)+IF(IF(Paths!$E$140=0,C1477=0,AND(C1477&gt;0,Paths!$E$140&gt;(C1477-1)*12,Paths!$E$140&lt;=C1477*12)),VLOOKUP(A1477,'Fleet register'!$A$7:$S$106,16,FALSE),0),"n.a."))</f>
        <v>0</v>
      </c>
      <c r="O1477" s="16">
        <f>IF(NOT(Paths!$C$140=1),0,IF(Paths!$P$140="Complete",N1477-IF(C1477=0,Paths!$F$140,0),"n.a."))</f>
        <v>0</v>
      </c>
      <c r="P1477" s="16">
        <f>IF(NOT(Paths!$C$140=1),0,IF(Paths!$P$140="Complete",O1477+L1477,"n.a."))</f>
        <v>0</v>
      </c>
      <c r="Q1477" s="16">
        <f>IF(NOT(Paths!$C$140=1),0,IF(Paths!$P$140="Complete",N1477*(1+'Operating costs'!$B$54)^-C1477,"n.a."))</f>
        <v>0</v>
      </c>
      <c r="R1477" s="16">
        <f>IF(NOT(Paths!$C$140=1),0,IF(Paths!$P$140="Complete",IF(AND(C1477=0,Paths!$E$140=0),I1477-J1477-K1477+VLOOKUP(A1477,'Fleet register'!$A$7:$S$106,15,FALSE)+VLOOKUP(A1477,'Fleet register'!$A$7:$S$106,16,FALSE),0),"n.a."))</f>
        <v>0</v>
      </c>
      <c r="S1477" s="1">
        <f>IF(NOT(Paths!$C$140=1),0,IF(Paths!$P$140="Complete",IF(C1477=0,0,Paths!$S$140*Paths!$R$140),"n.a."))</f>
        <v>0</v>
      </c>
      <c r="T1477" s="1">
        <f>IF(NOT(Paths!$C$140=1),0,IF(Paths!$P$140="Complete",IF(C1477=0,0,VLOOKUP(A1477,'Fleet register'!$A$7:$S$106,9,FALSE)*Paths!$R$140),"n.a."))</f>
        <v>0</v>
      </c>
    </row>
    <row r="1478" spans="1:20" ht="24" customHeight="1">
      <c r="A1478" s="1" t="str">
        <f>Paths!$A$140</f>
        <v>T034</v>
      </c>
      <c r="B1478" s="1">
        <f>Paths!$B$140</f>
        <v>1</v>
      </c>
      <c r="C1478" s="1">
        <v>8</v>
      </c>
      <c r="D1478" s="1">
        <v>140</v>
      </c>
      <c r="E1478" s="1">
        <f>IF(OR(Paths!$C$140=0,C1478=0),0,MAX(0,MIN(C1478*12,Paths!$E$140)-(C1478-1)*12))</f>
        <v>0</v>
      </c>
      <c r="F1478" s="1">
        <f>IF(OR(Paths!$C$140=0,C1478=0),0,12-E1478)</f>
        <v>0</v>
      </c>
      <c r="G1478" s="16">
        <f>IF(NOT(Paths!$C$140=1),0,IF(Paths!$P$140="Complete",E1478/12*(Paths!$J$140*(1+'Operating costs'!$B$51)^MAX(0,C1478-1)+Paths!$K$140*(1+'Operating costs'!$B$53)^MAX(0,C1478-1)),"n.a."))</f>
        <v>0</v>
      </c>
      <c r="H1478" s="16">
        <f>IF(NOT(Paths!$C$140=1),0,IF(Paths!$P$140="Complete",F1478/12*(Paths!$L$140*(1+IF(Paths!$D$140="EV",'Operating costs'!$B$52,'Operating costs'!$B$51))^MAX(0,C1478-1)+Paths!$M$140*(1+'Operating costs'!$B$53)^MAX(0,C1478-1)),"n.a."))</f>
        <v>0</v>
      </c>
      <c r="I1478" s="16">
        <f>IF(NOT(Paths!$C$140=1),0,IF(Paths!$P$140="Complete",IF(IF(Paths!$E$140=0,C1478=0,AND(C1478&gt;0,Paths!$E$140&gt;(C1478-1)*12,Paths!$E$140&lt;=C1478*12)),Paths!$G$140,0),"n.a."))</f>
        <v>0</v>
      </c>
      <c r="J1478" s="16">
        <f>IF(NOT(Paths!$C$140=1),0,IF(Paths!$P$140="Complete",IF(IF(Paths!$E$140=0,C1478=0,AND(C1478&gt;0,Paths!$E$140&gt;(C1478-1)*12,Paths!$E$140&lt;=C1478*12)),Paths!$H$140,0),"n.a."))</f>
        <v>0</v>
      </c>
      <c r="K1478" s="16">
        <f>IF(NOT(Paths!$C$140=1),0,IF(Paths!$P$140="Complete",IF(IF(Paths!$O$140=0,C1478=0,AND(C1478&gt;0,Paths!$O$140&gt;(C1478-1)*12,Paths!$O$140&lt;=C1478*12)),Paths!$N$140,0),"n.a."))</f>
        <v>0</v>
      </c>
      <c r="L1478" s="16">
        <f>IF(NOT(Paths!$C$140=1),0,IF(Paths!$P$140="Complete",IF(C1478=10,Paths!$I$140,0),"n.a."))</f>
        <v>0</v>
      </c>
      <c r="M1478" s="16">
        <f>IF(NOT(Paths!$C$140=1),0,IF(Paths!$P$140="Complete",IF(AND(Paths!$D$140="EV",Paths!$E$140&lt;120,Paths!$E$140+'Operating costs'!$B$65&gt;Paths!$E$140,Paths!$E$140+'Operating costs'!$B$65&lt;=120,IF(Paths!$E$140+'Operating costs'!$B$65=0,C1478=0,AND(C1478&gt;0,Paths!$E$140+'Operating costs'!$B$65&gt;(C1478-1)*12,Paths!$E$140+'Operating costs'!$B$65&lt;=C1478*12))),'Operating costs'!$B$64,0)+IF(AND('Operating costs'!$B$67&gt;0,'Operating costs'!$B$67&lt;=120,OR(Paths!$D$140="ICE",'Operating costs'!$B$67&lt;=Paths!$E$140),IF('Operating costs'!$B$67=0,C1478=0,AND(C1478&gt;0,'Operating costs'!$B$67&gt;(C1478-1)*12,'Operating costs'!$B$67&lt;=C1478*12))),'Operating costs'!$B$66,0),"n.a."))</f>
        <v>0</v>
      </c>
      <c r="N1478" s="16">
        <f>IF(NOT(Paths!$C$140=1),0,IF(Paths!$P$140="Complete",SUM(G1478:I1478)-J1478-K1478-L1478+M1478+IF(C1478=0,Paths!$F$140,0)+IF(IF(Paths!$E$140=0,C1478=0,AND(C1478&gt;0,Paths!$E$140&gt;(C1478-1)*12,Paths!$E$140&lt;=C1478*12)),VLOOKUP(A1478,'Fleet register'!$A$7:$S$106,16,FALSE),0),"n.a."))</f>
        <v>0</v>
      </c>
      <c r="O1478" s="16">
        <f>IF(NOT(Paths!$C$140=1),0,IF(Paths!$P$140="Complete",N1478-IF(C1478=0,Paths!$F$140,0),"n.a."))</f>
        <v>0</v>
      </c>
      <c r="P1478" s="16">
        <f>IF(NOT(Paths!$C$140=1),0,IF(Paths!$P$140="Complete",O1478+L1478,"n.a."))</f>
        <v>0</v>
      </c>
      <c r="Q1478" s="16">
        <f>IF(NOT(Paths!$C$140=1),0,IF(Paths!$P$140="Complete",N1478*(1+'Operating costs'!$B$54)^-C1478,"n.a."))</f>
        <v>0</v>
      </c>
      <c r="R1478" s="16">
        <f>IF(NOT(Paths!$C$140=1),0,IF(Paths!$P$140="Complete",IF(AND(C1478=0,Paths!$E$140=0),I1478-J1478-K1478+VLOOKUP(A1478,'Fleet register'!$A$7:$S$106,15,FALSE)+VLOOKUP(A1478,'Fleet register'!$A$7:$S$106,16,FALSE),0),"n.a."))</f>
        <v>0</v>
      </c>
      <c r="S1478" s="1">
        <f>IF(NOT(Paths!$C$140=1),0,IF(Paths!$P$140="Complete",IF(C1478=0,0,Paths!$S$140*Paths!$R$140),"n.a."))</f>
        <v>0</v>
      </c>
      <c r="T1478" s="1">
        <f>IF(NOT(Paths!$C$140=1),0,IF(Paths!$P$140="Complete",IF(C1478=0,0,VLOOKUP(A1478,'Fleet register'!$A$7:$S$106,9,FALSE)*Paths!$R$140),"n.a."))</f>
        <v>0</v>
      </c>
    </row>
    <row r="1479" spans="1:20" ht="24" customHeight="1">
      <c r="A1479" s="1" t="str">
        <f>Paths!$A$140</f>
        <v>T034</v>
      </c>
      <c r="B1479" s="1">
        <f>Paths!$B$140</f>
        <v>1</v>
      </c>
      <c r="C1479" s="1">
        <v>9</v>
      </c>
      <c r="D1479" s="1">
        <v>140</v>
      </c>
      <c r="E1479" s="1">
        <f>IF(OR(Paths!$C$140=0,C1479=0),0,MAX(0,MIN(C1479*12,Paths!$E$140)-(C1479-1)*12))</f>
        <v>0</v>
      </c>
      <c r="F1479" s="1">
        <f>IF(OR(Paths!$C$140=0,C1479=0),0,12-E1479)</f>
        <v>0</v>
      </c>
      <c r="G1479" s="16">
        <f>IF(NOT(Paths!$C$140=1),0,IF(Paths!$P$140="Complete",E1479/12*(Paths!$J$140*(1+'Operating costs'!$B$51)^MAX(0,C1479-1)+Paths!$K$140*(1+'Operating costs'!$B$53)^MAX(0,C1479-1)),"n.a."))</f>
        <v>0</v>
      </c>
      <c r="H1479" s="16">
        <f>IF(NOT(Paths!$C$140=1),0,IF(Paths!$P$140="Complete",F1479/12*(Paths!$L$140*(1+IF(Paths!$D$140="EV",'Operating costs'!$B$52,'Operating costs'!$B$51))^MAX(0,C1479-1)+Paths!$M$140*(1+'Operating costs'!$B$53)^MAX(0,C1479-1)),"n.a."))</f>
        <v>0</v>
      </c>
      <c r="I1479" s="16">
        <f>IF(NOT(Paths!$C$140=1),0,IF(Paths!$P$140="Complete",IF(IF(Paths!$E$140=0,C1479=0,AND(C1479&gt;0,Paths!$E$140&gt;(C1479-1)*12,Paths!$E$140&lt;=C1479*12)),Paths!$G$140,0),"n.a."))</f>
        <v>0</v>
      </c>
      <c r="J1479" s="16">
        <f>IF(NOT(Paths!$C$140=1),0,IF(Paths!$P$140="Complete",IF(IF(Paths!$E$140=0,C1479=0,AND(C1479&gt;0,Paths!$E$140&gt;(C1479-1)*12,Paths!$E$140&lt;=C1479*12)),Paths!$H$140,0),"n.a."))</f>
        <v>0</v>
      </c>
      <c r="K1479" s="16">
        <f>IF(NOT(Paths!$C$140=1),0,IF(Paths!$P$140="Complete",IF(IF(Paths!$O$140=0,C1479=0,AND(C1479&gt;0,Paths!$O$140&gt;(C1479-1)*12,Paths!$O$140&lt;=C1479*12)),Paths!$N$140,0),"n.a."))</f>
        <v>0</v>
      </c>
      <c r="L1479" s="16">
        <f>IF(NOT(Paths!$C$140=1),0,IF(Paths!$P$140="Complete",IF(C1479=10,Paths!$I$140,0),"n.a."))</f>
        <v>0</v>
      </c>
      <c r="M1479" s="16">
        <f>IF(NOT(Paths!$C$140=1),0,IF(Paths!$P$140="Complete",IF(AND(Paths!$D$140="EV",Paths!$E$140&lt;120,Paths!$E$140+'Operating costs'!$B$65&gt;Paths!$E$140,Paths!$E$140+'Operating costs'!$B$65&lt;=120,IF(Paths!$E$140+'Operating costs'!$B$65=0,C1479=0,AND(C1479&gt;0,Paths!$E$140+'Operating costs'!$B$65&gt;(C1479-1)*12,Paths!$E$140+'Operating costs'!$B$65&lt;=C1479*12))),'Operating costs'!$B$64,0)+IF(AND('Operating costs'!$B$67&gt;0,'Operating costs'!$B$67&lt;=120,OR(Paths!$D$140="ICE",'Operating costs'!$B$67&lt;=Paths!$E$140),IF('Operating costs'!$B$67=0,C1479=0,AND(C1479&gt;0,'Operating costs'!$B$67&gt;(C1479-1)*12,'Operating costs'!$B$67&lt;=C1479*12))),'Operating costs'!$B$66,0),"n.a."))</f>
        <v>0</v>
      </c>
      <c r="N1479" s="16">
        <f>IF(NOT(Paths!$C$140=1),0,IF(Paths!$P$140="Complete",SUM(G1479:I1479)-J1479-K1479-L1479+M1479+IF(C1479=0,Paths!$F$140,0)+IF(IF(Paths!$E$140=0,C1479=0,AND(C1479&gt;0,Paths!$E$140&gt;(C1479-1)*12,Paths!$E$140&lt;=C1479*12)),VLOOKUP(A1479,'Fleet register'!$A$7:$S$106,16,FALSE),0),"n.a."))</f>
        <v>0</v>
      </c>
      <c r="O1479" s="16">
        <f>IF(NOT(Paths!$C$140=1),0,IF(Paths!$P$140="Complete",N1479-IF(C1479=0,Paths!$F$140,0),"n.a."))</f>
        <v>0</v>
      </c>
      <c r="P1479" s="16">
        <f>IF(NOT(Paths!$C$140=1),0,IF(Paths!$P$140="Complete",O1479+L1479,"n.a."))</f>
        <v>0</v>
      </c>
      <c r="Q1479" s="16">
        <f>IF(NOT(Paths!$C$140=1),0,IF(Paths!$P$140="Complete",N1479*(1+'Operating costs'!$B$54)^-C1479,"n.a."))</f>
        <v>0</v>
      </c>
      <c r="R1479" s="16">
        <f>IF(NOT(Paths!$C$140=1),0,IF(Paths!$P$140="Complete",IF(AND(C1479=0,Paths!$E$140=0),I1479-J1479-K1479+VLOOKUP(A1479,'Fleet register'!$A$7:$S$106,15,FALSE)+VLOOKUP(A1479,'Fleet register'!$A$7:$S$106,16,FALSE),0),"n.a."))</f>
        <v>0</v>
      </c>
      <c r="S1479" s="1">
        <f>IF(NOT(Paths!$C$140=1),0,IF(Paths!$P$140="Complete",IF(C1479=0,0,Paths!$S$140*Paths!$R$140),"n.a."))</f>
        <v>0</v>
      </c>
      <c r="T1479" s="1">
        <f>IF(NOT(Paths!$C$140=1),0,IF(Paths!$P$140="Complete",IF(C1479=0,0,VLOOKUP(A1479,'Fleet register'!$A$7:$S$106,9,FALSE)*Paths!$R$140),"n.a."))</f>
        <v>0</v>
      </c>
    </row>
    <row r="1480" spans="1:20" ht="24" customHeight="1">
      <c r="A1480" s="1" t="str">
        <f>Paths!$A$140</f>
        <v>T034</v>
      </c>
      <c r="B1480" s="1">
        <f>Paths!$B$140</f>
        <v>1</v>
      </c>
      <c r="C1480" s="1">
        <v>10</v>
      </c>
      <c r="D1480" s="1">
        <v>140</v>
      </c>
      <c r="E1480" s="1">
        <f>IF(OR(Paths!$C$140=0,C1480=0),0,MAX(0,MIN(C1480*12,Paths!$E$140)-(C1480-1)*12))</f>
        <v>0</v>
      </c>
      <c r="F1480" s="1">
        <f>IF(OR(Paths!$C$140=0,C1480=0),0,12-E1480)</f>
        <v>0</v>
      </c>
      <c r="G1480" s="16">
        <f>IF(NOT(Paths!$C$140=1),0,IF(Paths!$P$140="Complete",E1480/12*(Paths!$J$140*(1+'Operating costs'!$B$51)^MAX(0,C1480-1)+Paths!$K$140*(1+'Operating costs'!$B$53)^MAX(0,C1480-1)),"n.a."))</f>
        <v>0</v>
      </c>
      <c r="H1480" s="16">
        <f>IF(NOT(Paths!$C$140=1),0,IF(Paths!$P$140="Complete",F1480/12*(Paths!$L$140*(1+IF(Paths!$D$140="EV",'Operating costs'!$B$52,'Operating costs'!$B$51))^MAX(0,C1480-1)+Paths!$M$140*(1+'Operating costs'!$B$53)^MAX(0,C1480-1)),"n.a."))</f>
        <v>0</v>
      </c>
      <c r="I1480" s="16">
        <f>IF(NOT(Paths!$C$140=1),0,IF(Paths!$P$140="Complete",IF(IF(Paths!$E$140=0,C1480=0,AND(C1480&gt;0,Paths!$E$140&gt;(C1480-1)*12,Paths!$E$140&lt;=C1480*12)),Paths!$G$140,0),"n.a."))</f>
        <v>0</v>
      </c>
      <c r="J1480" s="16">
        <f>IF(NOT(Paths!$C$140=1),0,IF(Paths!$P$140="Complete",IF(IF(Paths!$E$140=0,C1480=0,AND(C1480&gt;0,Paths!$E$140&gt;(C1480-1)*12,Paths!$E$140&lt;=C1480*12)),Paths!$H$140,0),"n.a."))</f>
        <v>0</v>
      </c>
      <c r="K1480" s="16">
        <f>IF(NOT(Paths!$C$140=1),0,IF(Paths!$P$140="Complete",IF(IF(Paths!$O$140=0,C1480=0,AND(C1480&gt;0,Paths!$O$140&gt;(C1480-1)*12,Paths!$O$140&lt;=C1480*12)),Paths!$N$140,0),"n.a."))</f>
        <v>0</v>
      </c>
      <c r="L1480" s="16">
        <f>IF(NOT(Paths!$C$140=1),0,IF(Paths!$P$140="Complete",IF(C1480=10,Paths!$I$140,0),"n.a."))</f>
        <v>0</v>
      </c>
      <c r="M1480" s="16">
        <f>IF(NOT(Paths!$C$140=1),0,IF(Paths!$P$140="Complete",IF(AND(Paths!$D$140="EV",Paths!$E$140&lt;120,Paths!$E$140+'Operating costs'!$B$65&gt;Paths!$E$140,Paths!$E$140+'Operating costs'!$B$65&lt;=120,IF(Paths!$E$140+'Operating costs'!$B$65=0,C1480=0,AND(C1480&gt;0,Paths!$E$140+'Operating costs'!$B$65&gt;(C1480-1)*12,Paths!$E$140+'Operating costs'!$B$65&lt;=C1480*12))),'Operating costs'!$B$64,0)+IF(AND('Operating costs'!$B$67&gt;0,'Operating costs'!$B$67&lt;=120,OR(Paths!$D$140="ICE",'Operating costs'!$B$67&lt;=Paths!$E$140),IF('Operating costs'!$B$67=0,C1480=0,AND(C1480&gt;0,'Operating costs'!$B$67&gt;(C1480-1)*12,'Operating costs'!$B$67&lt;=C1480*12))),'Operating costs'!$B$66,0),"n.a."))</f>
        <v>0</v>
      </c>
      <c r="N1480" s="16">
        <f>IF(NOT(Paths!$C$140=1),0,IF(Paths!$P$140="Complete",SUM(G1480:I1480)-J1480-K1480-L1480+M1480+IF(C1480=0,Paths!$F$140,0)+IF(IF(Paths!$E$140=0,C1480=0,AND(C1480&gt;0,Paths!$E$140&gt;(C1480-1)*12,Paths!$E$140&lt;=C1480*12)),VLOOKUP(A1480,'Fleet register'!$A$7:$S$106,16,FALSE),0),"n.a."))</f>
        <v>0</v>
      </c>
      <c r="O1480" s="16">
        <f>IF(NOT(Paths!$C$140=1),0,IF(Paths!$P$140="Complete",N1480-IF(C1480=0,Paths!$F$140,0),"n.a."))</f>
        <v>0</v>
      </c>
      <c r="P1480" s="16">
        <f>IF(NOT(Paths!$C$140=1),0,IF(Paths!$P$140="Complete",O1480+L1480,"n.a."))</f>
        <v>0</v>
      </c>
      <c r="Q1480" s="16">
        <f>IF(NOT(Paths!$C$140=1),0,IF(Paths!$P$140="Complete",N1480*(1+'Operating costs'!$B$54)^-C1480,"n.a."))</f>
        <v>0</v>
      </c>
      <c r="R1480" s="16">
        <f>IF(NOT(Paths!$C$140=1),0,IF(Paths!$P$140="Complete",IF(AND(C1480=0,Paths!$E$140=0),I1480-J1480-K1480+VLOOKUP(A1480,'Fleet register'!$A$7:$S$106,15,FALSE)+VLOOKUP(A1480,'Fleet register'!$A$7:$S$106,16,FALSE),0),"n.a."))</f>
        <v>0</v>
      </c>
      <c r="S1480" s="1">
        <f>IF(NOT(Paths!$C$140=1),0,IF(Paths!$P$140="Complete",IF(C1480=0,0,Paths!$S$140*Paths!$R$140),"n.a."))</f>
        <v>0</v>
      </c>
      <c r="T1480" s="1">
        <f>IF(NOT(Paths!$C$140=1),0,IF(Paths!$P$140="Complete",IF(C1480=0,0,VLOOKUP(A1480,'Fleet register'!$A$7:$S$106,9,FALSE)*Paths!$R$140),"n.a."))</f>
        <v>0</v>
      </c>
    </row>
    <row r="1481" spans="1:20" ht="24" customHeight="1">
      <c r="A1481" s="1" t="str">
        <f>Paths!$A$141</f>
        <v>T034</v>
      </c>
      <c r="B1481" s="1">
        <f>Paths!$B$141</f>
        <v>2</v>
      </c>
      <c r="C1481" s="1">
        <v>0</v>
      </c>
      <c r="D1481" s="1">
        <v>141</v>
      </c>
      <c r="E1481" s="1">
        <f>IF(OR(Paths!$C$141=0,C1481=0),0,MAX(0,MIN(C1481*12,Paths!$E$141)-(C1481-1)*12))</f>
        <v>0</v>
      </c>
      <c r="F1481" s="1">
        <f>IF(OR(Paths!$C$141=0,C1481=0),0,12-E1481)</f>
        <v>0</v>
      </c>
      <c r="G1481" s="16">
        <f>IF(NOT(Paths!$C$141=1),0,IF(Paths!$P$141="Complete",E1481/12*(Paths!$J$141*(1+'Operating costs'!$B$51)^MAX(0,C1481-1)+Paths!$K$141*(1+'Operating costs'!$B$53)^MAX(0,C1481-1)),"n.a."))</f>
        <v>0</v>
      </c>
      <c r="H1481" s="16">
        <f>IF(NOT(Paths!$C$141=1),0,IF(Paths!$P$141="Complete",F1481/12*(Paths!$L$141*(1+IF(Paths!$D$141="EV",'Operating costs'!$B$52,'Operating costs'!$B$51))^MAX(0,C1481-1)+Paths!$M$141*(1+'Operating costs'!$B$53)^MAX(0,C1481-1)),"n.a."))</f>
        <v>0</v>
      </c>
      <c r="I1481" s="16">
        <f>IF(NOT(Paths!$C$141=1),0,IF(Paths!$P$141="Complete",IF(IF(Paths!$E$141=0,C1481=0,AND(C1481&gt;0,Paths!$E$141&gt;(C1481-1)*12,Paths!$E$141&lt;=C1481*12)),Paths!$G$141,0),"n.a."))</f>
        <v>0</v>
      </c>
      <c r="J1481" s="16">
        <f>IF(NOT(Paths!$C$141=1),0,IF(Paths!$P$141="Complete",IF(IF(Paths!$E$141=0,C1481=0,AND(C1481&gt;0,Paths!$E$141&gt;(C1481-1)*12,Paths!$E$141&lt;=C1481*12)),Paths!$H$141,0),"n.a."))</f>
        <v>0</v>
      </c>
      <c r="K1481" s="16">
        <f>IF(NOT(Paths!$C$141=1),0,IF(Paths!$P$141="Complete",IF(IF(Paths!$O$141=0,C1481=0,AND(C1481&gt;0,Paths!$O$141&gt;(C1481-1)*12,Paths!$O$141&lt;=C1481*12)),Paths!$N$141,0),"n.a."))</f>
        <v>0</v>
      </c>
      <c r="L1481" s="16">
        <f>IF(NOT(Paths!$C$141=1),0,IF(Paths!$P$141="Complete",IF(C1481=10,Paths!$I$141,0),"n.a."))</f>
        <v>0</v>
      </c>
      <c r="M1481" s="16">
        <f>IF(NOT(Paths!$C$141=1),0,IF(Paths!$P$141="Complete",IF(AND(Paths!$D$141="EV",Paths!$E$141&lt;120,Paths!$E$141+'Operating costs'!$B$65&gt;Paths!$E$141,Paths!$E$141+'Operating costs'!$B$65&lt;=120,IF(Paths!$E$141+'Operating costs'!$B$65=0,C1481=0,AND(C1481&gt;0,Paths!$E$141+'Operating costs'!$B$65&gt;(C1481-1)*12,Paths!$E$141+'Operating costs'!$B$65&lt;=C1481*12))),'Operating costs'!$B$64,0)+IF(AND('Operating costs'!$B$67&gt;0,'Operating costs'!$B$67&lt;=120,OR(Paths!$D$141="ICE",'Operating costs'!$B$67&lt;=Paths!$E$141),IF('Operating costs'!$B$67=0,C1481=0,AND(C1481&gt;0,'Operating costs'!$B$67&gt;(C1481-1)*12,'Operating costs'!$B$67&lt;=C1481*12))),'Operating costs'!$B$66,0),"n.a."))</f>
        <v>0</v>
      </c>
      <c r="N1481" s="16">
        <f>IF(NOT(Paths!$C$141=1),0,IF(Paths!$P$141="Complete",SUM(G1481:I1481)-J1481-K1481-L1481+M1481+IF(C1481=0,Paths!$F$141,0)+IF(IF(Paths!$E$141=0,C1481=0,AND(C1481&gt;0,Paths!$E$141&gt;(C1481-1)*12,Paths!$E$141&lt;=C1481*12)),VLOOKUP(A1481,'Fleet register'!$A$7:$S$106,16,FALSE),0),"n.a."))</f>
        <v>0</v>
      </c>
      <c r="O1481" s="16">
        <f>IF(NOT(Paths!$C$141=1),0,IF(Paths!$P$141="Complete",N1481-IF(C1481=0,Paths!$F$141,0),"n.a."))</f>
        <v>0</v>
      </c>
      <c r="P1481" s="16">
        <f>IF(NOT(Paths!$C$141=1),0,IF(Paths!$P$141="Complete",O1481+L1481,"n.a."))</f>
        <v>0</v>
      </c>
      <c r="Q1481" s="16">
        <f>IF(NOT(Paths!$C$141=1),0,IF(Paths!$P$141="Complete",N1481*(1+'Operating costs'!$B$54)^-C1481,"n.a."))</f>
        <v>0</v>
      </c>
      <c r="R1481" s="16">
        <f>IF(NOT(Paths!$C$141=1),0,IF(Paths!$P$141="Complete",IF(AND(C1481=0,Paths!$E$141=0),I1481-J1481-K1481+VLOOKUP(A1481,'Fleet register'!$A$7:$S$106,15,FALSE)+VLOOKUP(A1481,'Fleet register'!$A$7:$S$106,16,FALSE),0),"n.a."))</f>
        <v>0</v>
      </c>
      <c r="S1481" s="1">
        <f>IF(NOT(Paths!$C$141=1),0,IF(Paths!$P$141="Complete",IF(C1481=0,0,Paths!$S$141*Paths!$R$141),"n.a."))</f>
        <v>0</v>
      </c>
      <c r="T1481" s="1">
        <f>IF(NOT(Paths!$C$141=1),0,IF(Paths!$P$141="Complete",IF(C1481=0,0,VLOOKUP(A1481,'Fleet register'!$A$7:$S$106,9,FALSE)*Paths!$R$141),"n.a."))</f>
        <v>0</v>
      </c>
    </row>
    <row r="1482" spans="1:20" ht="24" customHeight="1">
      <c r="A1482" s="1" t="str">
        <f>Paths!$A$141</f>
        <v>T034</v>
      </c>
      <c r="B1482" s="1">
        <f>Paths!$B$141</f>
        <v>2</v>
      </c>
      <c r="C1482" s="1">
        <v>1</v>
      </c>
      <c r="D1482" s="1">
        <v>141</v>
      </c>
      <c r="E1482" s="1">
        <f>IF(OR(Paths!$C$141=0,C1482=0),0,MAX(0,MIN(C1482*12,Paths!$E$141)-(C1482-1)*12))</f>
        <v>0</v>
      </c>
      <c r="F1482" s="1">
        <f>IF(OR(Paths!$C$141=0,C1482=0),0,12-E1482)</f>
        <v>0</v>
      </c>
      <c r="G1482" s="16">
        <f>IF(NOT(Paths!$C$141=1),0,IF(Paths!$P$141="Complete",E1482/12*(Paths!$J$141*(1+'Operating costs'!$B$51)^MAX(0,C1482-1)+Paths!$K$141*(1+'Operating costs'!$B$53)^MAX(0,C1482-1)),"n.a."))</f>
        <v>0</v>
      </c>
      <c r="H1482" s="16">
        <f>IF(NOT(Paths!$C$141=1),0,IF(Paths!$P$141="Complete",F1482/12*(Paths!$L$141*(1+IF(Paths!$D$141="EV",'Operating costs'!$B$52,'Operating costs'!$B$51))^MAX(0,C1482-1)+Paths!$M$141*(1+'Operating costs'!$B$53)^MAX(0,C1482-1)),"n.a."))</f>
        <v>0</v>
      </c>
      <c r="I1482" s="16">
        <f>IF(NOT(Paths!$C$141=1),0,IF(Paths!$P$141="Complete",IF(IF(Paths!$E$141=0,C1482=0,AND(C1482&gt;0,Paths!$E$141&gt;(C1482-1)*12,Paths!$E$141&lt;=C1482*12)),Paths!$G$141,0),"n.a."))</f>
        <v>0</v>
      </c>
      <c r="J1482" s="16">
        <f>IF(NOT(Paths!$C$141=1),0,IF(Paths!$P$141="Complete",IF(IF(Paths!$E$141=0,C1482=0,AND(C1482&gt;0,Paths!$E$141&gt;(C1482-1)*12,Paths!$E$141&lt;=C1482*12)),Paths!$H$141,0),"n.a."))</f>
        <v>0</v>
      </c>
      <c r="K1482" s="16">
        <f>IF(NOT(Paths!$C$141=1),0,IF(Paths!$P$141="Complete",IF(IF(Paths!$O$141=0,C1482=0,AND(C1482&gt;0,Paths!$O$141&gt;(C1482-1)*12,Paths!$O$141&lt;=C1482*12)),Paths!$N$141,0),"n.a."))</f>
        <v>0</v>
      </c>
      <c r="L1482" s="16">
        <f>IF(NOT(Paths!$C$141=1),0,IF(Paths!$P$141="Complete",IF(C1482=10,Paths!$I$141,0),"n.a."))</f>
        <v>0</v>
      </c>
      <c r="M1482" s="16">
        <f>IF(NOT(Paths!$C$141=1),0,IF(Paths!$P$141="Complete",IF(AND(Paths!$D$141="EV",Paths!$E$141&lt;120,Paths!$E$141+'Operating costs'!$B$65&gt;Paths!$E$141,Paths!$E$141+'Operating costs'!$B$65&lt;=120,IF(Paths!$E$141+'Operating costs'!$B$65=0,C1482=0,AND(C1482&gt;0,Paths!$E$141+'Operating costs'!$B$65&gt;(C1482-1)*12,Paths!$E$141+'Operating costs'!$B$65&lt;=C1482*12))),'Operating costs'!$B$64,0)+IF(AND('Operating costs'!$B$67&gt;0,'Operating costs'!$B$67&lt;=120,OR(Paths!$D$141="ICE",'Operating costs'!$B$67&lt;=Paths!$E$141),IF('Operating costs'!$B$67=0,C1482=0,AND(C1482&gt;0,'Operating costs'!$B$67&gt;(C1482-1)*12,'Operating costs'!$B$67&lt;=C1482*12))),'Operating costs'!$B$66,0),"n.a."))</f>
        <v>0</v>
      </c>
      <c r="N1482" s="16">
        <f>IF(NOT(Paths!$C$141=1),0,IF(Paths!$P$141="Complete",SUM(G1482:I1482)-J1482-K1482-L1482+M1482+IF(C1482=0,Paths!$F$141,0)+IF(IF(Paths!$E$141=0,C1482=0,AND(C1482&gt;0,Paths!$E$141&gt;(C1482-1)*12,Paths!$E$141&lt;=C1482*12)),VLOOKUP(A1482,'Fleet register'!$A$7:$S$106,16,FALSE),0),"n.a."))</f>
        <v>0</v>
      </c>
      <c r="O1482" s="16">
        <f>IF(NOT(Paths!$C$141=1),0,IF(Paths!$P$141="Complete",N1482-IF(C1482=0,Paths!$F$141,0),"n.a."))</f>
        <v>0</v>
      </c>
      <c r="P1482" s="16">
        <f>IF(NOT(Paths!$C$141=1),0,IF(Paths!$P$141="Complete",O1482+L1482,"n.a."))</f>
        <v>0</v>
      </c>
      <c r="Q1482" s="16">
        <f>IF(NOT(Paths!$C$141=1),0,IF(Paths!$P$141="Complete",N1482*(1+'Operating costs'!$B$54)^-C1482,"n.a."))</f>
        <v>0</v>
      </c>
      <c r="R1482" s="16">
        <f>IF(NOT(Paths!$C$141=1),0,IF(Paths!$P$141="Complete",IF(AND(C1482=0,Paths!$E$141=0),I1482-J1482-K1482+VLOOKUP(A1482,'Fleet register'!$A$7:$S$106,15,FALSE)+VLOOKUP(A1482,'Fleet register'!$A$7:$S$106,16,FALSE),0),"n.a."))</f>
        <v>0</v>
      </c>
      <c r="S1482" s="1">
        <f>IF(NOT(Paths!$C$141=1),0,IF(Paths!$P$141="Complete",IF(C1482=0,0,Paths!$S$141*Paths!$R$141),"n.a."))</f>
        <v>0</v>
      </c>
      <c r="T1482" s="1">
        <f>IF(NOT(Paths!$C$141=1),0,IF(Paths!$P$141="Complete",IF(C1482=0,0,VLOOKUP(A1482,'Fleet register'!$A$7:$S$106,9,FALSE)*Paths!$R$141),"n.a."))</f>
        <v>0</v>
      </c>
    </row>
    <row r="1483" spans="1:20" ht="24" customHeight="1">
      <c r="A1483" s="1" t="str">
        <f>Paths!$A$141</f>
        <v>T034</v>
      </c>
      <c r="B1483" s="1">
        <f>Paths!$B$141</f>
        <v>2</v>
      </c>
      <c r="C1483" s="1">
        <v>2</v>
      </c>
      <c r="D1483" s="1">
        <v>141</v>
      </c>
      <c r="E1483" s="1">
        <f>IF(OR(Paths!$C$141=0,C1483=0),0,MAX(0,MIN(C1483*12,Paths!$E$141)-(C1483-1)*12))</f>
        <v>0</v>
      </c>
      <c r="F1483" s="1">
        <f>IF(OR(Paths!$C$141=0,C1483=0),0,12-E1483)</f>
        <v>0</v>
      </c>
      <c r="G1483" s="16">
        <f>IF(NOT(Paths!$C$141=1),0,IF(Paths!$P$141="Complete",E1483/12*(Paths!$J$141*(1+'Operating costs'!$B$51)^MAX(0,C1483-1)+Paths!$K$141*(1+'Operating costs'!$B$53)^MAX(0,C1483-1)),"n.a."))</f>
        <v>0</v>
      </c>
      <c r="H1483" s="16">
        <f>IF(NOT(Paths!$C$141=1),0,IF(Paths!$P$141="Complete",F1483/12*(Paths!$L$141*(1+IF(Paths!$D$141="EV",'Operating costs'!$B$52,'Operating costs'!$B$51))^MAX(0,C1483-1)+Paths!$M$141*(1+'Operating costs'!$B$53)^MAX(0,C1483-1)),"n.a."))</f>
        <v>0</v>
      </c>
      <c r="I1483" s="16">
        <f>IF(NOT(Paths!$C$141=1),0,IF(Paths!$P$141="Complete",IF(IF(Paths!$E$141=0,C1483=0,AND(C1483&gt;0,Paths!$E$141&gt;(C1483-1)*12,Paths!$E$141&lt;=C1483*12)),Paths!$G$141,0),"n.a."))</f>
        <v>0</v>
      </c>
      <c r="J1483" s="16">
        <f>IF(NOT(Paths!$C$141=1),0,IF(Paths!$P$141="Complete",IF(IF(Paths!$E$141=0,C1483=0,AND(C1483&gt;0,Paths!$E$141&gt;(C1483-1)*12,Paths!$E$141&lt;=C1483*12)),Paths!$H$141,0),"n.a."))</f>
        <v>0</v>
      </c>
      <c r="K1483" s="16">
        <f>IF(NOT(Paths!$C$141=1),0,IF(Paths!$P$141="Complete",IF(IF(Paths!$O$141=0,C1483=0,AND(C1483&gt;0,Paths!$O$141&gt;(C1483-1)*12,Paths!$O$141&lt;=C1483*12)),Paths!$N$141,0),"n.a."))</f>
        <v>0</v>
      </c>
      <c r="L1483" s="16">
        <f>IF(NOT(Paths!$C$141=1),0,IF(Paths!$P$141="Complete",IF(C1483=10,Paths!$I$141,0),"n.a."))</f>
        <v>0</v>
      </c>
      <c r="M1483" s="16">
        <f>IF(NOT(Paths!$C$141=1),0,IF(Paths!$P$141="Complete",IF(AND(Paths!$D$141="EV",Paths!$E$141&lt;120,Paths!$E$141+'Operating costs'!$B$65&gt;Paths!$E$141,Paths!$E$141+'Operating costs'!$B$65&lt;=120,IF(Paths!$E$141+'Operating costs'!$B$65=0,C1483=0,AND(C1483&gt;0,Paths!$E$141+'Operating costs'!$B$65&gt;(C1483-1)*12,Paths!$E$141+'Operating costs'!$B$65&lt;=C1483*12))),'Operating costs'!$B$64,0)+IF(AND('Operating costs'!$B$67&gt;0,'Operating costs'!$B$67&lt;=120,OR(Paths!$D$141="ICE",'Operating costs'!$B$67&lt;=Paths!$E$141),IF('Operating costs'!$B$67=0,C1483=0,AND(C1483&gt;0,'Operating costs'!$B$67&gt;(C1483-1)*12,'Operating costs'!$B$67&lt;=C1483*12))),'Operating costs'!$B$66,0),"n.a."))</f>
        <v>0</v>
      </c>
      <c r="N1483" s="16">
        <f>IF(NOT(Paths!$C$141=1),0,IF(Paths!$P$141="Complete",SUM(G1483:I1483)-J1483-K1483-L1483+M1483+IF(C1483=0,Paths!$F$141,0)+IF(IF(Paths!$E$141=0,C1483=0,AND(C1483&gt;0,Paths!$E$141&gt;(C1483-1)*12,Paths!$E$141&lt;=C1483*12)),VLOOKUP(A1483,'Fleet register'!$A$7:$S$106,16,FALSE),0),"n.a."))</f>
        <v>0</v>
      </c>
      <c r="O1483" s="16">
        <f>IF(NOT(Paths!$C$141=1),0,IF(Paths!$P$141="Complete",N1483-IF(C1483=0,Paths!$F$141,0),"n.a."))</f>
        <v>0</v>
      </c>
      <c r="P1483" s="16">
        <f>IF(NOT(Paths!$C$141=1),0,IF(Paths!$P$141="Complete",O1483+L1483,"n.a."))</f>
        <v>0</v>
      </c>
      <c r="Q1483" s="16">
        <f>IF(NOT(Paths!$C$141=1),0,IF(Paths!$P$141="Complete",N1483*(1+'Operating costs'!$B$54)^-C1483,"n.a."))</f>
        <v>0</v>
      </c>
      <c r="R1483" s="16">
        <f>IF(NOT(Paths!$C$141=1),0,IF(Paths!$P$141="Complete",IF(AND(C1483=0,Paths!$E$141=0),I1483-J1483-K1483+VLOOKUP(A1483,'Fleet register'!$A$7:$S$106,15,FALSE)+VLOOKUP(A1483,'Fleet register'!$A$7:$S$106,16,FALSE),0),"n.a."))</f>
        <v>0</v>
      </c>
      <c r="S1483" s="1">
        <f>IF(NOT(Paths!$C$141=1),0,IF(Paths!$P$141="Complete",IF(C1483=0,0,Paths!$S$141*Paths!$R$141),"n.a."))</f>
        <v>0</v>
      </c>
      <c r="T1483" s="1">
        <f>IF(NOT(Paths!$C$141=1),0,IF(Paths!$P$141="Complete",IF(C1483=0,0,VLOOKUP(A1483,'Fleet register'!$A$7:$S$106,9,FALSE)*Paths!$R$141),"n.a."))</f>
        <v>0</v>
      </c>
    </row>
    <row r="1484" spans="1:20" ht="24" customHeight="1">
      <c r="A1484" s="1" t="str">
        <f>Paths!$A$141</f>
        <v>T034</v>
      </c>
      <c r="B1484" s="1">
        <f>Paths!$B$141</f>
        <v>2</v>
      </c>
      <c r="C1484" s="1">
        <v>3</v>
      </c>
      <c r="D1484" s="1">
        <v>141</v>
      </c>
      <c r="E1484" s="1">
        <f>IF(OR(Paths!$C$141=0,C1484=0),0,MAX(0,MIN(C1484*12,Paths!$E$141)-(C1484-1)*12))</f>
        <v>0</v>
      </c>
      <c r="F1484" s="1">
        <f>IF(OR(Paths!$C$141=0,C1484=0),0,12-E1484)</f>
        <v>0</v>
      </c>
      <c r="G1484" s="16">
        <f>IF(NOT(Paths!$C$141=1),0,IF(Paths!$P$141="Complete",E1484/12*(Paths!$J$141*(1+'Operating costs'!$B$51)^MAX(0,C1484-1)+Paths!$K$141*(1+'Operating costs'!$B$53)^MAX(0,C1484-1)),"n.a."))</f>
        <v>0</v>
      </c>
      <c r="H1484" s="16">
        <f>IF(NOT(Paths!$C$141=1),0,IF(Paths!$P$141="Complete",F1484/12*(Paths!$L$141*(1+IF(Paths!$D$141="EV",'Operating costs'!$B$52,'Operating costs'!$B$51))^MAX(0,C1484-1)+Paths!$M$141*(1+'Operating costs'!$B$53)^MAX(0,C1484-1)),"n.a."))</f>
        <v>0</v>
      </c>
      <c r="I1484" s="16">
        <f>IF(NOT(Paths!$C$141=1),0,IF(Paths!$P$141="Complete",IF(IF(Paths!$E$141=0,C1484=0,AND(C1484&gt;0,Paths!$E$141&gt;(C1484-1)*12,Paths!$E$141&lt;=C1484*12)),Paths!$G$141,0),"n.a."))</f>
        <v>0</v>
      </c>
      <c r="J1484" s="16">
        <f>IF(NOT(Paths!$C$141=1),0,IF(Paths!$P$141="Complete",IF(IF(Paths!$E$141=0,C1484=0,AND(C1484&gt;0,Paths!$E$141&gt;(C1484-1)*12,Paths!$E$141&lt;=C1484*12)),Paths!$H$141,0),"n.a."))</f>
        <v>0</v>
      </c>
      <c r="K1484" s="16">
        <f>IF(NOT(Paths!$C$141=1),0,IF(Paths!$P$141="Complete",IF(IF(Paths!$O$141=0,C1484=0,AND(C1484&gt;0,Paths!$O$141&gt;(C1484-1)*12,Paths!$O$141&lt;=C1484*12)),Paths!$N$141,0),"n.a."))</f>
        <v>0</v>
      </c>
      <c r="L1484" s="16">
        <f>IF(NOT(Paths!$C$141=1),0,IF(Paths!$P$141="Complete",IF(C1484=10,Paths!$I$141,0),"n.a."))</f>
        <v>0</v>
      </c>
      <c r="M1484" s="16">
        <f>IF(NOT(Paths!$C$141=1),0,IF(Paths!$P$141="Complete",IF(AND(Paths!$D$141="EV",Paths!$E$141&lt;120,Paths!$E$141+'Operating costs'!$B$65&gt;Paths!$E$141,Paths!$E$141+'Operating costs'!$B$65&lt;=120,IF(Paths!$E$141+'Operating costs'!$B$65=0,C1484=0,AND(C1484&gt;0,Paths!$E$141+'Operating costs'!$B$65&gt;(C1484-1)*12,Paths!$E$141+'Operating costs'!$B$65&lt;=C1484*12))),'Operating costs'!$B$64,0)+IF(AND('Operating costs'!$B$67&gt;0,'Operating costs'!$B$67&lt;=120,OR(Paths!$D$141="ICE",'Operating costs'!$B$67&lt;=Paths!$E$141),IF('Operating costs'!$B$67=0,C1484=0,AND(C1484&gt;0,'Operating costs'!$B$67&gt;(C1484-1)*12,'Operating costs'!$B$67&lt;=C1484*12))),'Operating costs'!$B$66,0),"n.a."))</f>
        <v>0</v>
      </c>
      <c r="N1484" s="16">
        <f>IF(NOT(Paths!$C$141=1),0,IF(Paths!$P$141="Complete",SUM(G1484:I1484)-J1484-K1484-L1484+M1484+IF(C1484=0,Paths!$F$141,0)+IF(IF(Paths!$E$141=0,C1484=0,AND(C1484&gt;0,Paths!$E$141&gt;(C1484-1)*12,Paths!$E$141&lt;=C1484*12)),VLOOKUP(A1484,'Fleet register'!$A$7:$S$106,16,FALSE),0),"n.a."))</f>
        <v>0</v>
      </c>
      <c r="O1484" s="16">
        <f>IF(NOT(Paths!$C$141=1),0,IF(Paths!$P$141="Complete",N1484-IF(C1484=0,Paths!$F$141,0),"n.a."))</f>
        <v>0</v>
      </c>
      <c r="P1484" s="16">
        <f>IF(NOT(Paths!$C$141=1),0,IF(Paths!$P$141="Complete",O1484+L1484,"n.a."))</f>
        <v>0</v>
      </c>
      <c r="Q1484" s="16">
        <f>IF(NOT(Paths!$C$141=1),0,IF(Paths!$P$141="Complete",N1484*(1+'Operating costs'!$B$54)^-C1484,"n.a."))</f>
        <v>0</v>
      </c>
      <c r="R1484" s="16">
        <f>IF(NOT(Paths!$C$141=1),0,IF(Paths!$P$141="Complete",IF(AND(C1484=0,Paths!$E$141=0),I1484-J1484-K1484+VLOOKUP(A1484,'Fleet register'!$A$7:$S$106,15,FALSE)+VLOOKUP(A1484,'Fleet register'!$A$7:$S$106,16,FALSE),0),"n.a."))</f>
        <v>0</v>
      </c>
      <c r="S1484" s="1">
        <f>IF(NOT(Paths!$C$141=1),0,IF(Paths!$P$141="Complete",IF(C1484=0,0,Paths!$S$141*Paths!$R$141),"n.a."))</f>
        <v>0</v>
      </c>
      <c r="T1484" s="1">
        <f>IF(NOT(Paths!$C$141=1),0,IF(Paths!$P$141="Complete",IF(C1484=0,0,VLOOKUP(A1484,'Fleet register'!$A$7:$S$106,9,FALSE)*Paths!$R$141),"n.a."))</f>
        <v>0</v>
      </c>
    </row>
    <row r="1485" spans="1:20" ht="24" customHeight="1">
      <c r="A1485" s="1" t="str">
        <f>Paths!$A$141</f>
        <v>T034</v>
      </c>
      <c r="B1485" s="1">
        <f>Paths!$B$141</f>
        <v>2</v>
      </c>
      <c r="C1485" s="1">
        <v>4</v>
      </c>
      <c r="D1485" s="1">
        <v>141</v>
      </c>
      <c r="E1485" s="1">
        <f>IF(OR(Paths!$C$141=0,C1485=0),0,MAX(0,MIN(C1485*12,Paths!$E$141)-(C1485-1)*12))</f>
        <v>0</v>
      </c>
      <c r="F1485" s="1">
        <f>IF(OR(Paths!$C$141=0,C1485=0),0,12-E1485)</f>
        <v>0</v>
      </c>
      <c r="G1485" s="16">
        <f>IF(NOT(Paths!$C$141=1),0,IF(Paths!$P$141="Complete",E1485/12*(Paths!$J$141*(1+'Operating costs'!$B$51)^MAX(0,C1485-1)+Paths!$K$141*(1+'Operating costs'!$B$53)^MAX(0,C1485-1)),"n.a."))</f>
        <v>0</v>
      </c>
      <c r="H1485" s="16">
        <f>IF(NOT(Paths!$C$141=1),0,IF(Paths!$P$141="Complete",F1485/12*(Paths!$L$141*(1+IF(Paths!$D$141="EV",'Operating costs'!$B$52,'Operating costs'!$B$51))^MAX(0,C1485-1)+Paths!$M$141*(1+'Operating costs'!$B$53)^MAX(0,C1485-1)),"n.a."))</f>
        <v>0</v>
      </c>
      <c r="I1485" s="16">
        <f>IF(NOT(Paths!$C$141=1),0,IF(Paths!$P$141="Complete",IF(IF(Paths!$E$141=0,C1485=0,AND(C1485&gt;0,Paths!$E$141&gt;(C1485-1)*12,Paths!$E$141&lt;=C1485*12)),Paths!$G$141,0),"n.a."))</f>
        <v>0</v>
      </c>
      <c r="J1485" s="16">
        <f>IF(NOT(Paths!$C$141=1),0,IF(Paths!$P$141="Complete",IF(IF(Paths!$E$141=0,C1485=0,AND(C1485&gt;0,Paths!$E$141&gt;(C1485-1)*12,Paths!$E$141&lt;=C1485*12)),Paths!$H$141,0),"n.a."))</f>
        <v>0</v>
      </c>
      <c r="K1485" s="16">
        <f>IF(NOT(Paths!$C$141=1),0,IF(Paths!$P$141="Complete",IF(IF(Paths!$O$141=0,C1485=0,AND(C1485&gt;0,Paths!$O$141&gt;(C1485-1)*12,Paths!$O$141&lt;=C1485*12)),Paths!$N$141,0),"n.a."))</f>
        <v>0</v>
      </c>
      <c r="L1485" s="16">
        <f>IF(NOT(Paths!$C$141=1),0,IF(Paths!$P$141="Complete",IF(C1485=10,Paths!$I$141,0),"n.a."))</f>
        <v>0</v>
      </c>
      <c r="M1485" s="16">
        <f>IF(NOT(Paths!$C$141=1),0,IF(Paths!$P$141="Complete",IF(AND(Paths!$D$141="EV",Paths!$E$141&lt;120,Paths!$E$141+'Operating costs'!$B$65&gt;Paths!$E$141,Paths!$E$141+'Operating costs'!$B$65&lt;=120,IF(Paths!$E$141+'Operating costs'!$B$65=0,C1485=0,AND(C1485&gt;0,Paths!$E$141+'Operating costs'!$B$65&gt;(C1485-1)*12,Paths!$E$141+'Operating costs'!$B$65&lt;=C1485*12))),'Operating costs'!$B$64,0)+IF(AND('Operating costs'!$B$67&gt;0,'Operating costs'!$B$67&lt;=120,OR(Paths!$D$141="ICE",'Operating costs'!$B$67&lt;=Paths!$E$141),IF('Operating costs'!$B$67=0,C1485=0,AND(C1485&gt;0,'Operating costs'!$B$67&gt;(C1485-1)*12,'Operating costs'!$B$67&lt;=C1485*12))),'Operating costs'!$B$66,0),"n.a."))</f>
        <v>0</v>
      </c>
      <c r="N1485" s="16">
        <f>IF(NOT(Paths!$C$141=1),0,IF(Paths!$P$141="Complete",SUM(G1485:I1485)-J1485-K1485-L1485+M1485+IF(C1485=0,Paths!$F$141,0)+IF(IF(Paths!$E$141=0,C1485=0,AND(C1485&gt;0,Paths!$E$141&gt;(C1485-1)*12,Paths!$E$141&lt;=C1485*12)),VLOOKUP(A1485,'Fleet register'!$A$7:$S$106,16,FALSE),0),"n.a."))</f>
        <v>0</v>
      </c>
      <c r="O1485" s="16">
        <f>IF(NOT(Paths!$C$141=1),0,IF(Paths!$P$141="Complete",N1485-IF(C1485=0,Paths!$F$141,0),"n.a."))</f>
        <v>0</v>
      </c>
      <c r="P1485" s="16">
        <f>IF(NOT(Paths!$C$141=1),0,IF(Paths!$P$141="Complete",O1485+L1485,"n.a."))</f>
        <v>0</v>
      </c>
      <c r="Q1485" s="16">
        <f>IF(NOT(Paths!$C$141=1),0,IF(Paths!$P$141="Complete",N1485*(1+'Operating costs'!$B$54)^-C1485,"n.a."))</f>
        <v>0</v>
      </c>
      <c r="R1485" s="16">
        <f>IF(NOT(Paths!$C$141=1),0,IF(Paths!$P$141="Complete",IF(AND(C1485=0,Paths!$E$141=0),I1485-J1485-K1485+VLOOKUP(A1485,'Fleet register'!$A$7:$S$106,15,FALSE)+VLOOKUP(A1485,'Fleet register'!$A$7:$S$106,16,FALSE),0),"n.a."))</f>
        <v>0</v>
      </c>
      <c r="S1485" s="1">
        <f>IF(NOT(Paths!$C$141=1),0,IF(Paths!$P$141="Complete",IF(C1485=0,0,Paths!$S$141*Paths!$R$141),"n.a."))</f>
        <v>0</v>
      </c>
      <c r="T1485" s="1">
        <f>IF(NOT(Paths!$C$141=1),0,IF(Paths!$P$141="Complete",IF(C1485=0,0,VLOOKUP(A1485,'Fleet register'!$A$7:$S$106,9,FALSE)*Paths!$R$141),"n.a."))</f>
        <v>0</v>
      </c>
    </row>
    <row r="1486" spans="1:20" ht="24" customHeight="1">
      <c r="A1486" s="1" t="str">
        <f>Paths!$A$141</f>
        <v>T034</v>
      </c>
      <c r="B1486" s="1">
        <f>Paths!$B$141</f>
        <v>2</v>
      </c>
      <c r="C1486" s="1">
        <v>5</v>
      </c>
      <c r="D1486" s="1">
        <v>141</v>
      </c>
      <c r="E1486" s="1">
        <f>IF(OR(Paths!$C$141=0,C1486=0),0,MAX(0,MIN(C1486*12,Paths!$E$141)-(C1486-1)*12))</f>
        <v>0</v>
      </c>
      <c r="F1486" s="1">
        <f>IF(OR(Paths!$C$141=0,C1486=0),0,12-E1486)</f>
        <v>0</v>
      </c>
      <c r="G1486" s="16">
        <f>IF(NOT(Paths!$C$141=1),0,IF(Paths!$P$141="Complete",E1486/12*(Paths!$J$141*(1+'Operating costs'!$B$51)^MAX(0,C1486-1)+Paths!$K$141*(1+'Operating costs'!$B$53)^MAX(0,C1486-1)),"n.a."))</f>
        <v>0</v>
      </c>
      <c r="H1486" s="16">
        <f>IF(NOT(Paths!$C$141=1),0,IF(Paths!$P$141="Complete",F1486/12*(Paths!$L$141*(1+IF(Paths!$D$141="EV",'Operating costs'!$B$52,'Operating costs'!$B$51))^MAX(0,C1486-1)+Paths!$M$141*(1+'Operating costs'!$B$53)^MAX(0,C1486-1)),"n.a."))</f>
        <v>0</v>
      </c>
      <c r="I1486" s="16">
        <f>IF(NOT(Paths!$C$141=1),0,IF(Paths!$P$141="Complete",IF(IF(Paths!$E$141=0,C1486=0,AND(C1486&gt;0,Paths!$E$141&gt;(C1486-1)*12,Paths!$E$141&lt;=C1486*12)),Paths!$G$141,0),"n.a."))</f>
        <v>0</v>
      </c>
      <c r="J1486" s="16">
        <f>IF(NOT(Paths!$C$141=1),0,IF(Paths!$P$141="Complete",IF(IF(Paths!$E$141=0,C1486=0,AND(C1486&gt;0,Paths!$E$141&gt;(C1486-1)*12,Paths!$E$141&lt;=C1486*12)),Paths!$H$141,0),"n.a."))</f>
        <v>0</v>
      </c>
      <c r="K1486" s="16">
        <f>IF(NOT(Paths!$C$141=1),0,IF(Paths!$P$141="Complete",IF(IF(Paths!$O$141=0,C1486=0,AND(C1486&gt;0,Paths!$O$141&gt;(C1486-1)*12,Paths!$O$141&lt;=C1486*12)),Paths!$N$141,0),"n.a."))</f>
        <v>0</v>
      </c>
      <c r="L1486" s="16">
        <f>IF(NOT(Paths!$C$141=1),0,IF(Paths!$P$141="Complete",IF(C1486=10,Paths!$I$141,0),"n.a."))</f>
        <v>0</v>
      </c>
      <c r="M1486" s="16">
        <f>IF(NOT(Paths!$C$141=1),0,IF(Paths!$P$141="Complete",IF(AND(Paths!$D$141="EV",Paths!$E$141&lt;120,Paths!$E$141+'Operating costs'!$B$65&gt;Paths!$E$141,Paths!$E$141+'Operating costs'!$B$65&lt;=120,IF(Paths!$E$141+'Operating costs'!$B$65=0,C1486=0,AND(C1486&gt;0,Paths!$E$141+'Operating costs'!$B$65&gt;(C1486-1)*12,Paths!$E$141+'Operating costs'!$B$65&lt;=C1486*12))),'Operating costs'!$B$64,0)+IF(AND('Operating costs'!$B$67&gt;0,'Operating costs'!$B$67&lt;=120,OR(Paths!$D$141="ICE",'Operating costs'!$B$67&lt;=Paths!$E$141),IF('Operating costs'!$B$67=0,C1486=0,AND(C1486&gt;0,'Operating costs'!$B$67&gt;(C1486-1)*12,'Operating costs'!$B$67&lt;=C1486*12))),'Operating costs'!$B$66,0),"n.a."))</f>
        <v>0</v>
      </c>
      <c r="N1486" s="16">
        <f>IF(NOT(Paths!$C$141=1),0,IF(Paths!$P$141="Complete",SUM(G1486:I1486)-J1486-K1486-L1486+M1486+IF(C1486=0,Paths!$F$141,0)+IF(IF(Paths!$E$141=0,C1486=0,AND(C1486&gt;0,Paths!$E$141&gt;(C1486-1)*12,Paths!$E$141&lt;=C1486*12)),VLOOKUP(A1486,'Fleet register'!$A$7:$S$106,16,FALSE),0),"n.a."))</f>
        <v>0</v>
      </c>
      <c r="O1486" s="16">
        <f>IF(NOT(Paths!$C$141=1),0,IF(Paths!$P$141="Complete",N1486-IF(C1486=0,Paths!$F$141,0),"n.a."))</f>
        <v>0</v>
      </c>
      <c r="P1486" s="16">
        <f>IF(NOT(Paths!$C$141=1),0,IF(Paths!$P$141="Complete",O1486+L1486,"n.a."))</f>
        <v>0</v>
      </c>
      <c r="Q1486" s="16">
        <f>IF(NOT(Paths!$C$141=1),0,IF(Paths!$P$141="Complete",N1486*(1+'Operating costs'!$B$54)^-C1486,"n.a."))</f>
        <v>0</v>
      </c>
      <c r="R1486" s="16">
        <f>IF(NOT(Paths!$C$141=1),0,IF(Paths!$P$141="Complete",IF(AND(C1486=0,Paths!$E$141=0),I1486-J1486-K1486+VLOOKUP(A1486,'Fleet register'!$A$7:$S$106,15,FALSE)+VLOOKUP(A1486,'Fleet register'!$A$7:$S$106,16,FALSE),0),"n.a."))</f>
        <v>0</v>
      </c>
      <c r="S1486" s="1">
        <f>IF(NOT(Paths!$C$141=1),0,IF(Paths!$P$141="Complete",IF(C1486=0,0,Paths!$S$141*Paths!$R$141),"n.a."))</f>
        <v>0</v>
      </c>
      <c r="T1486" s="1">
        <f>IF(NOT(Paths!$C$141=1),0,IF(Paths!$P$141="Complete",IF(C1486=0,0,VLOOKUP(A1486,'Fleet register'!$A$7:$S$106,9,FALSE)*Paths!$R$141),"n.a."))</f>
        <v>0</v>
      </c>
    </row>
    <row r="1487" spans="1:20" ht="24" customHeight="1">
      <c r="A1487" s="1" t="str">
        <f>Paths!$A$141</f>
        <v>T034</v>
      </c>
      <c r="B1487" s="1">
        <f>Paths!$B$141</f>
        <v>2</v>
      </c>
      <c r="C1487" s="1">
        <v>6</v>
      </c>
      <c r="D1487" s="1">
        <v>141</v>
      </c>
      <c r="E1487" s="1">
        <f>IF(OR(Paths!$C$141=0,C1487=0),0,MAX(0,MIN(C1487*12,Paths!$E$141)-(C1487-1)*12))</f>
        <v>0</v>
      </c>
      <c r="F1487" s="1">
        <f>IF(OR(Paths!$C$141=0,C1487=0),0,12-E1487)</f>
        <v>0</v>
      </c>
      <c r="G1487" s="16">
        <f>IF(NOT(Paths!$C$141=1),0,IF(Paths!$P$141="Complete",E1487/12*(Paths!$J$141*(1+'Operating costs'!$B$51)^MAX(0,C1487-1)+Paths!$K$141*(1+'Operating costs'!$B$53)^MAX(0,C1487-1)),"n.a."))</f>
        <v>0</v>
      </c>
      <c r="H1487" s="16">
        <f>IF(NOT(Paths!$C$141=1),0,IF(Paths!$P$141="Complete",F1487/12*(Paths!$L$141*(1+IF(Paths!$D$141="EV",'Operating costs'!$B$52,'Operating costs'!$B$51))^MAX(0,C1487-1)+Paths!$M$141*(1+'Operating costs'!$B$53)^MAX(0,C1487-1)),"n.a."))</f>
        <v>0</v>
      </c>
      <c r="I1487" s="16">
        <f>IF(NOT(Paths!$C$141=1),0,IF(Paths!$P$141="Complete",IF(IF(Paths!$E$141=0,C1487=0,AND(C1487&gt;0,Paths!$E$141&gt;(C1487-1)*12,Paths!$E$141&lt;=C1487*12)),Paths!$G$141,0),"n.a."))</f>
        <v>0</v>
      </c>
      <c r="J1487" s="16">
        <f>IF(NOT(Paths!$C$141=1),0,IF(Paths!$P$141="Complete",IF(IF(Paths!$E$141=0,C1487=0,AND(C1487&gt;0,Paths!$E$141&gt;(C1487-1)*12,Paths!$E$141&lt;=C1487*12)),Paths!$H$141,0),"n.a."))</f>
        <v>0</v>
      </c>
      <c r="K1487" s="16">
        <f>IF(NOT(Paths!$C$141=1),0,IF(Paths!$P$141="Complete",IF(IF(Paths!$O$141=0,C1487=0,AND(C1487&gt;0,Paths!$O$141&gt;(C1487-1)*12,Paths!$O$141&lt;=C1487*12)),Paths!$N$141,0),"n.a."))</f>
        <v>0</v>
      </c>
      <c r="L1487" s="16">
        <f>IF(NOT(Paths!$C$141=1),0,IF(Paths!$P$141="Complete",IF(C1487=10,Paths!$I$141,0),"n.a."))</f>
        <v>0</v>
      </c>
      <c r="M1487" s="16">
        <f>IF(NOT(Paths!$C$141=1),0,IF(Paths!$P$141="Complete",IF(AND(Paths!$D$141="EV",Paths!$E$141&lt;120,Paths!$E$141+'Operating costs'!$B$65&gt;Paths!$E$141,Paths!$E$141+'Operating costs'!$B$65&lt;=120,IF(Paths!$E$141+'Operating costs'!$B$65=0,C1487=0,AND(C1487&gt;0,Paths!$E$141+'Operating costs'!$B$65&gt;(C1487-1)*12,Paths!$E$141+'Operating costs'!$B$65&lt;=C1487*12))),'Operating costs'!$B$64,0)+IF(AND('Operating costs'!$B$67&gt;0,'Operating costs'!$B$67&lt;=120,OR(Paths!$D$141="ICE",'Operating costs'!$B$67&lt;=Paths!$E$141),IF('Operating costs'!$B$67=0,C1487=0,AND(C1487&gt;0,'Operating costs'!$B$67&gt;(C1487-1)*12,'Operating costs'!$B$67&lt;=C1487*12))),'Operating costs'!$B$66,0),"n.a."))</f>
        <v>0</v>
      </c>
      <c r="N1487" s="16">
        <f>IF(NOT(Paths!$C$141=1),0,IF(Paths!$P$141="Complete",SUM(G1487:I1487)-J1487-K1487-L1487+M1487+IF(C1487=0,Paths!$F$141,0)+IF(IF(Paths!$E$141=0,C1487=0,AND(C1487&gt;0,Paths!$E$141&gt;(C1487-1)*12,Paths!$E$141&lt;=C1487*12)),VLOOKUP(A1487,'Fleet register'!$A$7:$S$106,16,FALSE),0),"n.a."))</f>
        <v>0</v>
      </c>
      <c r="O1487" s="16">
        <f>IF(NOT(Paths!$C$141=1),0,IF(Paths!$P$141="Complete",N1487-IF(C1487=0,Paths!$F$141,0),"n.a."))</f>
        <v>0</v>
      </c>
      <c r="P1487" s="16">
        <f>IF(NOT(Paths!$C$141=1),0,IF(Paths!$P$141="Complete",O1487+L1487,"n.a."))</f>
        <v>0</v>
      </c>
      <c r="Q1487" s="16">
        <f>IF(NOT(Paths!$C$141=1),0,IF(Paths!$P$141="Complete",N1487*(1+'Operating costs'!$B$54)^-C1487,"n.a."))</f>
        <v>0</v>
      </c>
      <c r="R1487" s="16">
        <f>IF(NOT(Paths!$C$141=1),0,IF(Paths!$P$141="Complete",IF(AND(C1487=0,Paths!$E$141=0),I1487-J1487-K1487+VLOOKUP(A1487,'Fleet register'!$A$7:$S$106,15,FALSE)+VLOOKUP(A1487,'Fleet register'!$A$7:$S$106,16,FALSE),0),"n.a."))</f>
        <v>0</v>
      </c>
      <c r="S1487" s="1">
        <f>IF(NOT(Paths!$C$141=1),0,IF(Paths!$P$141="Complete",IF(C1487=0,0,Paths!$S$141*Paths!$R$141),"n.a."))</f>
        <v>0</v>
      </c>
      <c r="T1487" s="1">
        <f>IF(NOT(Paths!$C$141=1),0,IF(Paths!$P$141="Complete",IF(C1487=0,0,VLOOKUP(A1487,'Fleet register'!$A$7:$S$106,9,FALSE)*Paths!$R$141),"n.a."))</f>
        <v>0</v>
      </c>
    </row>
    <row r="1488" spans="1:20" ht="24" customHeight="1">
      <c r="A1488" s="1" t="str">
        <f>Paths!$A$141</f>
        <v>T034</v>
      </c>
      <c r="B1488" s="1">
        <f>Paths!$B$141</f>
        <v>2</v>
      </c>
      <c r="C1488" s="1">
        <v>7</v>
      </c>
      <c r="D1488" s="1">
        <v>141</v>
      </c>
      <c r="E1488" s="1">
        <f>IF(OR(Paths!$C$141=0,C1488=0),0,MAX(0,MIN(C1488*12,Paths!$E$141)-(C1488-1)*12))</f>
        <v>0</v>
      </c>
      <c r="F1488" s="1">
        <f>IF(OR(Paths!$C$141=0,C1488=0),0,12-E1488)</f>
        <v>0</v>
      </c>
      <c r="G1488" s="16">
        <f>IF(NOT(Paths!$C$141=1),0,IF(Paths!$P$141="Complete",E1488/12*(Paths!$J$141*(1+'Operating costs'!$B$51)^MAX(0,C1488-1)+Paths!$K$141*(1+'Operating costs'!$B$53)^MAX(0,C1488-1)),"n.a."))</f>
        <v>0</v>
      </c>
      <c r="H1488" s="16">
        <f>IF(NOT(Paths!$C$141=1),0,IF(Paths!$P$141="Complete",F1488/12*(Paths!$L$141*(1+IF(Paths!$D$141="EV",'Operating costs'!$B$52,'Operating costs'!$B$51))^MAX(0,C1488-1)+Paths!$M$141*(1+'Operating costs'!$B$53)^MAX(0,C1488-1)),"n.a."))</f>
        <v>0</v>
      </c>
      <c r="I1488" s="16">
        <f>IF(NOT(Paths!$C$141=1),0,IF(Paths!$P$141="Complete",IF(IF(Paths!$E$141=0,C1488=0,AND(C1488&gt;0,Paths!$E$141&gt;(C1488-1)*12,Paths!$E$141&lt;=C1488*12)),Paths!$G$141,0),"n.a."))</f>
        <v>0</v>
      </c>
      <c r="J1488" s="16">
        <f>IF(NOT(Paths!$C$141=1),0,IF(Paths!$P$141="Complete",IF(IF(Paths!$E$141=0,C1488=0,AND(C1488&gt;0,Paths!$E$141&gt;(C1488-1)*12,Paths!$E$141&lt;=C1488*12)),Paths!$H$141,0),"n.a."))</f>
        <v>0</v>
      </c>
      <c r="K1488" s="16">
        <f>IF(NOT(Paths!$C$141=1),0,IF(Paths!$P$141="Complete",IF(IF(Paths!$O$141=0,C1488=0,AND(C1488&gt;0,Paths!$O$141&gt;(C1488-1)*12,Paths!$O$141&lt;=C1488*12)),Paths!$N$141,0),"n.a."))</f>
        <v>0</v>
      </c>
      <c r="L1488" s="16">
        <f>IF(NOT(Paths!$C$141=1),0,IF(Paths!$P$141="Complete",IF(C1488=10,Paths!$I$141,0),"n.a."))</f>
        <v>0</v>
      </c>
      <c r="M1488" s="16">
        <f>IF(NOT(Paths!$C$141=1),0,IF(Paths!$P$141="Complete",IF(AND(Paths!$D$141="EV",Paths!$E$141&lt;120,Paths!$E$141+'Operating costs'!$B$65&gt;Paths!$E$141,Paths!$E$141+'Operating costs'!$B$65&lt;=120,IF(Paths!$E$141+'Operating costs'!$B$65=0,C1488=0,AND(C1488&gt;0,Paths!$E$141+'Operating costs'!$B$65&gt;(C1488-1)*12,Paths!$E$141+'Operating costs'!$B$65&lt;=C1488*12))),'Operating costs'!$B$64,0)+IF(AND('Operating costs'!$B$67&gt;0,'Operating costs'!$B$67&lt;=120,OR(Paths!$D$141="ICE",'Operating costs'!$B$67&lt;=Paths!$E$141),IF('Operating costs'!$B$67=0,C1488=0,AND(C1488&gt;0,'Operating costs'!$B$67&gt;(C1488-1)*12,'Operating costs'!$B$67&lt;=C1488*12))),'Operating costs'!$B$66,0),"n.a."))</f>
        <v>0</v>
      </c>
      <c r="N1488" s="16">
        <f>IF(NOT(Paths!$C$141=1),0,IF(Paths!$P$141="Complete",SUM(G1488:I1488)-J1488-K1488-L1488+M1488+IF(C1488=0,Paths!$F$141,0)+IF(IF(Paths!$E$141=0,C1488=0,AND(C1488&gt;0,Paths!$E$141&gt;(C1488-1)*12,Paths!$E$141&lt;=C1488*12)),VLOOKUP(A1488,'Fleet register'!$A$7:$S$106,16,FALSE),0),"n.a."))</f>
        <v>0</v>
      </c>
      <c r="O1488" s="16">
        <f>IF(NOT(Paths!$C$141=1),0,IF(Paths!$P$141="Complete",N1488-IF(C1488=0,Paths!$F$141,0),"n.a."))</f>
        <v>0</v>
      </c>
      <c r="P1488" s="16">
        <f>IF(NOT(Paths!$C$141=1),0,IF(Paths!$P$141="Complete",O1488+L1488,"n.a."))</f>
        <v>0</v>
      </c>
      <c r="Q1488" s="16">
        <f>IF(NOT(Paths!$C$141=1),0,IF(Paths!$P$141="Complete",N1488*(1+'Operating costs'!$B$54)^-C1488,"n.a."))</f>
        <v>0</v>
      </c>
      <c r="R1488" s="16">
        <f>IF(NOT(Paths!$C$141=1),0,IF(Paths!$P$141="Complete",IF(AND(C1488=0,Paths!$E$141=0),I1488-J1488-K1488+VLOOKUP(A1488,'Fleet register'!$A$7:$S$106,15,FALSE)+VLOOKUP(A1488,'Fleet register'!$A$7:$S$106,16,FALSE),0),"n.a."))</f>
        <v>0</v>
      </c>
      <c r="S1488" s="1">
        <f>IF(NOT(Paths!$C$141=1),0,IF(Paths!$P$141="Complete",IF(C1488=0,0,Paths!$S$141*Paths!$R$141),"n.a."))</f>
        <v>0</v>
      </c>
      <c r="T1488" s="1">
        <f>IF(NOT(Paths!$C$141=1),0,IF(Paths!$P$141="Complete",IF(C1488=0,0,VLOOKUP(A1488,'Fleet register'!$A$7:$S$106,9,FALSE)*Paths!$R$141),"n.a."))</f>
        <v>0</v>
      </c>
    </row>
    <row r="1489" spans="1:20" ht="24" customHeight="1">
      <c r="A1489" s="1" t="str">
        <f>Paths!$A$141</f>
        <v>T034</v>
      </c>
      <c r="B1489" s="1">
        <f>Paths!$B$141</f>
        <v>2</v>
      </c>
      <c r="C1489" s="1">
        <v>8</v>
      </c>
      <c r="D1489" s="1">
        <v>141</v>
      </c>
      <c r="E1489" s="1">
        <f>IF(OR(Paths!$C$141=0,C1489=0),0,MAX(0,MIN(C1489*12,Paths!$E$141)-(C1489-1)*12))</f>
        <v>0</v>
      </c>
      <c r="F1489" s="1">
        <f>IF(OR(Paths!$C$141=0,C1489=0),0,12-E1489)</f>
        <v>0</v>
      </c>
      <c r="G1489" s="16">
        <f>IF(NOT(Paths!$C$141=1),0,IF(Paths!$P$141="Complete",E1489/12*(Paths!$J$141*(1+'Operating costs'!$B$51)^MAX(0,C1489-1)+Paths!$K$141*(1+'Operating costs'!$B$53)^MAX(0,C1489-1)),"n.a."))</f>
        <v>0</v>
      </c>
      <c r="H1489" s="16">
        <f>IF(NOT(Paths!$C$141=1),0,IF(Paths!$P$141="Complete",F1489/12*(Paths!$L$141*(1+IF(Paths!$D$141="EV",'Operating costs'!$B$52,'Operating costs'!$B$51))^MAX(0,C1489-1)+Paths!$M$141*(1+'Operating costs'!$B$53)^MAX(0,C1489-1)),"n.a."))</f>
        <v>0</v>
      </c>
      <c r="I1489" s="16">
        <f>IF(NOT(Paths!$C$141=1),0,IF(Paths!$P$141="Complete",IF(IF(Paths!$E$141=0,C1489=0,AND(C1489&gt;0,Paths!$E$141&gt;(C1489-1)*12,Paths!$E$141&lt;=C1489*12)),Paths!$G$141,0),"n.a."))</f>
        <v>0</v>
      </c>
      <c r="J1489" s="16">
        <f>IF(NOT(Paths!$C$141=1),0,IF(Paths!$P$141="Complete",IF(IF(Paths!$E$141=0,C1489=0,AND(C1489&gt;0,Paths!$E$141&gt;(C1489-1)*12,Paths!$E$141&lt;=C1489*12)),Paths!$H$141,0),"n.a."))</f>
        <v>0</v>
      </c>
      <c r="K1489" s="16">
        <f>IF(NOT(Paths!$C$141=1),0,IF(Paths!$P$141="Complete",IF(IF(Paths!$O$141=0,C1489=0,AND(C1489&gt;0,Paths!$O$141&gt;(C1489-1)*12,Paths!$O$141&lt;=C1489*12)),Paths!$N$141,0),"n.a."))</f>
        <v>0</v>
      </c>
      <c r="L1489" s="16">
        <f>IF(NOT(Paths!$C$141=1),0,IF(Paths!$P$141="Complete",IF(C1489=10,Paths!$I$141,0),"n.a."))</f>
        <v>0</v>
      </c>
      <c r="M1489" s="16">
        <f>IF(NOT(Paths!$C$141=1),0,IF(Paths!$P$141="Complete",IF(AND(Paths!$D$141="EV",Paths!$E$141&lt;120,Paths!$E$141+'Operating costs'!$B$65&gt;Paths!$E$141,Paths!$E$141+'Operating costs'!$B$65&lt;=120,IF(Paths!$E$141+'Operating costs'!$B$65=0,C1489=0,AND(C1489&gt;0,Paths!$E$141+'Operating costs'!$B$65&gt;(C1489-1)*12,Paths!$E$141+'Operating costs'!$B$65&lt;=C1489*12))),'Operating costs'!$B$64,0)+IF(AND('Operating costs'!$B$67&gt;0,'Operating costs'!$B$67&lt;=120,OR(Paths!$D$141="ICE",'Operating costs'!$B$67&lt;=Paths!$E$141),IF('Operating costs'!$B$67=0,C1489=0,AND(C1489&gt;0,'Operating costs'!$B$67&gt;(C1489-1)*12,'Operating costs'!$B$67&lt;=C1489*12))),'Operating costs'!$B$66,0),"n.a."))</f>
        <v>0</v>
      </c>
      <c r="N1489" s="16">
        <f>IF(NOT(Paths!$C$141=1),0,IF(Paths!$P$141="Complete",SUM(G1489:I1489)-J1489-K1489-L1489+M1489+IF(C1489=0,Paths!$F$141,0)+IF(IF(Paths!$E$141=0,C1489=0,AND(C1489&gt;0,Paths!$E$141&gt;(C1489-1)*12,Paths!$E$141&lt;=C1489*12)),VLOOKUP(A1489,'Fleet register'!$A$7:$S$106,16,FALSE),0),"n.a."))</f>
        <v>0</v>
      </c>
      <c r="O1489" s="16">
        <f>IF(NOT(Paths!$C$141=1),0,IF(Paths!$P$141="Complete",N1489-IF(C1489=0,Paths!$F$141,0),"n.a."))</f>
        <v>0</v>
      </c>
      <c r="P1489" s="16">
        <f>IF(NOT(Paths!$C$141=1),0,IF(Paths!$P$141="Complete",O1489+L1489,"n.a."))</f>
        <v>0</v>
      </c>
      <c r="Q1489" s="16">
        <f>IF(NOT(Paths!$C$141=1),0,IF(Paths!$P$141="Complete",N1489*(1+'Operating costs'!$B$54)^-C1489,"n.a."))</f>
        <v>0</v>
      </c>
      <c r="R1489" s="16">
        <f>IF(NOT(Paths!$C$141=1),0,IF(Paths!$P$141="Complete",IF(AND(C1489=0,Paths!$E$141=0),I1489-J1489-K1489+VLOOKUP(A1489,'Fleet register'!$A$7:$S$106,15,FALSE)+VLOOKUP(A1489,'Fleet register'!$A$7:$S$106,16,FALSE),0),"n.a."))</f>
        <v>0</v>
      </c>
      <c r="S1489" s="1">
        <f>IF(NOT(Paths!$C$141=1),0,IF(Paths!$P$141="Complete",IF(C1489=0,0,Paths!$S$141*Paths!$R$141),"n.a."))</f>
        <v>0</v>
      </c>
      <c r="T1489" s="1">
        <f>IF(NOT(Paths!$C$141=1),0,IF(Paths!$P$141="Complete",IF(C1489=0,0,VLOOKUP(A1489,'Fleet register'!$A$7:$S$106,9,FALSE)*Paths!$R$141),"n.a."))</f>
        <v>0</v>
      </c>
    </row>
    <row r="1490" spans="1:20" ht="24" customHeight="1">
      <c r="A1490" s="1" t="str">
        <f>Paths!$A$141</f>
        <v>T034</v>
      </c>
      <c r="B1490" s="1">
        <f>Paths!$B$141</f>
        <v>2</v>
      </c>
      <c r="C1490" s="1">
        <v>9</v>
      </c>
      <c r="D1490" s="1">
        <v>141</v>
      </c>
      <c r="E1490" s="1">
        <f>IF(OR(Paths!$C$141=0,C1490=0),0,MAX(0,MIN(C1490*12,Paths!$E$141)-(C1490-1)*12))</f>
        <v>0</v>
      </c>
      <c r="F1490" s="1">
        <f>IF(OR(Paths!$C$141=0,C1490=0),0,12-E1490)</f>
        <v>0</v>
      </c>
      <c r="G1490" s="16">
        <f>IF(NOT(Paths!$C$141=1),0,IF(Paths!$P$141="Complete",E1490/12*(Paths!$J$141*(1+'Operating costs'!$B$51)^MAX(0,C1490-1)+Paths!$K$141*(1+'Operating costs'!$B$53)^MAX(0,C1490-1)),"n.a."))</f>
        <v>0</v>
      </c>
      <c r="H1490" s="16">
        <f>IF(NOT(Paths!$C$141=1),0,IF(Paths!$P$141="Complete",F1490/12*(Paths!$L$141*(1+IF(Paths!$D$141="EV",'Operating costs'!$B$52,'Operating costs'!$B$51))^MAX(0,C1490-1)+Paths!$M$141*(1+'Operating costs'!$B$53)^MAX(0,C1490-1)),"n.a."))</f>
        <v>0</v>
      </c>
      <c r="I1490" s="16">
        <f>IF(NOT(Paths!$C$141=1),0,IF(Paths!$P$141="Complete",IF(IF(Paths!$E$141=0,C1490=0,AND(C1490&gt;0,Paths!$E$141&gt;(C1490-1)*12,Paths!$E$141&lt;=C1490*12)),Paths!$G$141,0),"n.a."))</f>
        <v>0</v>
      </c>
      <c r="J1490" s="16">
        <f>IF(NOT(Paths!$C$141=1),0,IF(Paths!$P$141="Complete",IF(IF(Paths!$E$141=0,C1490=0,AND(C1490&gt;0,Paths!$E$141&gt;(C1490-1)*12,Paths!$E$141&lt;=C1490*12)),Paths!$H$141,0),"n.a."))</f>
        <v>0</v>
      </c>
      <c r="K1490" s="16">
        <f>IF(NOT(Paths!$C$141=1),0,IF(Paths!$P$141="Complete",IF(IF(Paths!$O$141=0,C1490=0,AND(C1490&gt;0,Paths!$O$141&gt;(C1490-1)*12,Paths!$O$141&lt;=C1490*12)),Paths!$N$141,0),"n.a."))</f>
        <v>0</v>
      </c>
      <c r="L1490" s="16">
        <f>IF(NOT(Paths!$C$141=1),0,IF(Paths!$P$141="Complete",IF(C1490=10,Paths!$I$141,0),"n.a."))</f>
        <v>0</v>
      </c>
      <c r="M1490" s="16">
        <f>IF(NOT(Paths!$C$141=1),0,IF(Paths!$P$141="Complete",IF(AND(Paths!$D$141="EV",Paths!$E$141&lt;120,Paths!$E$141+'Operating costs'!$B$65&gt;Paths!$E$141,Paths!$E$141+'Operating costs'!$B$65&lt;=120,IF(Paths!$E$141+'Operating costs'!$B$65=0,C1490=0,AND(C1490&gt;0,Paths!$E$141+'Operating costs'!$B$65&gt;(C1490-1)*12,Paths!$E$141+'Operating costs'!$B$65&lt;=C1490*12))),'Operating costs'!$B$64,0)+IF(AND('Operating costs'!$B$67&gt;0,'Operating costs'!$B$67&lt;=120,OR(Paths!$D$141="ICE",'Operating costs'!$B$67&lt;=Paths!$E$141),IF('Operating costs'!$B$67=0,C1490=0,AND(C1490&gt;0,'Operating costs'!$B$67&gt;(C1490-1)*12,'Operating costs'!$B$67&lt;=C1490*12))),'Operating costs'!$B$66,0),"n.a."))</f>
        <v>0</v>
      </c>
      <c r="N1490" s="16">
        <f>IF(NOT(Paths!$C$141=1),0,IF(Paths!$P$141="Complete",SUM(G1490:I1490)-J1490-K1490-L1490+M1490+IF(C1490=0,Paths!$F$141,0)+IF(IF(Paths!$E$141=0,C1490=0,AND(C1490&gt;0,Paths!$E$141&gt;(C1490-1)*12,Paths!$E$141&lt;=C1490*12)),VLOOKUP(A1490,'Fleet register'!$A$7:$S$106,16,FALSE),0),"n.a."))</f>
        <v>0</v>
      </c>
      <c r="O1490" s="16">
        <f>IF(NOT(Paths!$C$141=1),0,IF(Paths!$P$141="Complete",N1490-IF(C1490=0,Paths!$F$141,0),"n.a."))</f>
        <v>0</v>
      </c>
      <c r="P1490" s="16">
        <f>IF(NOT(Paths!$C$141=1),0,IF(Paths!$P$141="Complete",O1490+L1490,"n.a."))</f>
        <v>0</v>
      </c>
      <c r="Q1490" s="16">
        <f>IF(NOT(Paths!$C$141=1),0,IF(Paths!$P$141="Complete",N1490*(1+'Operating costs'!$B$54)^-C1490,"n.a."))</f>
        <v>0</v>
      </c>
      <c r="R1490" s="16">
        <f>IF(NOT(Paths!$C$141=1),0,IF(Paths!$P$141="Complete",IF(AND(C1490=0,Paths!$E$141=0),I1490-J1490-K1490+VLOOKUP(A1490,'Fleet register'!$A$7:$S$106,15,FALSE)+VLOOKUP(A1490,'Fleet register'!$A$7:$S$106,16,FALSE),0),"n.a."))</f>
        <v>0</v>
      </c>
      <c r="S1490" s="1">
        <f>IF(NOT(Paths!$C$141=1),0,IF(Paths!$P$141="Complete",IF(C1490=0,0,Paths!$S$141*Paths!$R$141),"n.a."))</f>
        <v>0</v>
      </c>
      <c r="T1490" s="1">
        <f>IF(NOT(Paths!$C$141=1),0,IF(Paths!$P$141="Complete",IF(C1490=0,0,VLOOKUP(A1490,'Fleet register'!$A$7:$S$106,9,FALSE)*Paths!$R$141),"n.a."))</f>
        <v>0</v>
      </c>
    </row>
    <row r="1491" spans="1:20" ht="24" customHeight="1">
      <c r="A1491" s="1" t="str">
        <f>Paths!$A$141</f>
        <v>T034</v>
      </c>
      <c r="B1491" s="1">
        <f>Paths!$B$141</f>
        <v>2</v>
      </c>
      <c r="C1491" s="1">
        <v>10</v>
      </c>
      <c r="D1491" s="1">
        <v>141</v>
      </c>
      <c r="E1491" s="1">
        <f>IF(OR(Paths!$C$141=0,C1491=0),0,MAX(0,MIN(C1491*12,Paths!$E$141)-(C1491-1)*12))</f>
        <v>0</v>
      </c>
      <c r="F1491" s="1">
        <f>IF(OR(Paths!$C$141=0,C1491=0),0,12-E1491)</f>
        <v>0</v>
      </c>
      <c r="G1491" s="16">
        <f>IF(NOT(Paths!$C$141=1),0,IF(Paths!$P$141="Complete",E1491/12*(Paths!$J$141*(1+'Operating costs'!$B$51)^MAX(0,C1491-1)+Paths!$K$141*(1+'Operating costs'!$B$53)^MAX(0,C1491-1)),"n.a."))</f>
        <v>0</v>
      </c>
      <c r="H1491" s="16">
        <f>IF(NOT(Paths!$C$141=1),0,IF(Paths!$P$141="Complete",F1491/12*(Paths!$L$141*(1+IF(Paths!$D$141="EV",'Operating costs'!$B$52,'Operating costs'!$B$51))^MAX(0,C1491-1)+Paths!$M$141*(1+'Operating costs'!$B$53)^MAX(0,C1491-1)),"n.a."))</f>
        <v>0</v>
      </c>
      <c r="I1491" s="16">
        <f>IF(NOT(Paths!$C$141=1),0,IF(Paths!$P$141="Complete",IF(IF(Paths!$E$141=0,C1491=0,AND(C1491&gt;0,Paths!$E$141&gt;(C1491-1)*12,Paths!$E$141&lt;=C1491*12)),Paths!$G$141,0),"n.a."))</f>
        <v>0</v>
      </c>
      <c r="J1491" s="16">
        <f>IF(NOT(Paths!$C$141=1),0,IF(Paths!$P$141="Complete",IF(IF(Paths!$E$141=0,C1491=0,AND(C1491&gt;0,Paths!$E$141&gt;(C1491-1)*12,Paths!$E$141&lt;=C1491*12)),Paths!$H$141,0),"n.a."))</f>
        <v>0</v>
      </c>
      <c r="K1491" s="16">
        <f>IF(NOT(Paths!$C$141=1),0,IF(Paths!$P$141="Complete",IF(IF(Paths!$O$141=0,C1491=0,AND(C1491&gt;0,Paths!$O$141&gt;(C1491-1)*12,Paths!$O$141&lt;=C1491*12)),Paths!$N$141,0),"n.a."))</f>
        <v>0</v>
      </c>
      <c r="L1491" s="16">
        <f>IF(NOT(Paths!$C$141=1),0,IF(Paths!$P$141="Complete",IF(C1491=10,Paths!$I$141,0),"n.a."))</f>
        <v>0</v>
      </c>
      <c r="M1491" s="16">
        <f>IF(NOT(Paths!$C$141=1),0,IF(Paths!$P$141="Complete",IF(AND(Paths!$D$141="EV",Paths!$E$141&lt;120,Paths!$E$141+'Operating costs'!$B$65&gt;Paths!$E$141,Paths!$E$141+'Operating costs'!$B$65&lt;=120,IF(Paths!$E$141+'Operating costs'!$B$65=0,C1491=0,AND(C1491&gt;0,Paths!$E$141+'Operating costs'!$B$65&gt;(C1491-1)*12,Paths!$E$141+'Operating costs'!$B$65&lt;=C1491*12))),'Operating costs'!$B$64,0)+IF(AND('Operating costs'!$B$67&gt;0,'Operating costs'!$B$67&lt;=120,OR(Paths!$D$141="ICE",'Operating costs'!$B$67&lt;=Paths!$E$141),IF('Operating costs'!$B$67=0,C1491=0,AND(C1491&gt;0,'Operating costs'!$B$67&gt;(C1491-1)*12,'Operating costs'!$B$67&lt;=C1491*12))),'Operating costs'!$B$66,0),"n.a."))</f>
        <v>0</v>
      </c>
      <c r="N1491" s="16">
        <f>IF(NOT(Paths!$C$141=1),0,IF(Paths!$P$141="Complete",SUM(G1491:I1491)-J1491-K1491-L1491+M1491+IF(C1491=0,Paths!$F$141,0)+IF(IF(Paths!$E$141=0,C1491=0,AND(C1491&gt;0,Paths!$E$141&gt;(C1491-1)*12,Paths!$E$141&lt;=C1491*12)),VLOOKUP(A1491,'Fleet register'!$A$7:$S$106,16,FALSE),0),"n.a."))</f>
        <v>0</v>
      </c>
      <c r="O1491" s="16">
        <f>IF(NOT(Paths!$C$141=1),0,IF(Paths!$P$141="Complete",N1491-IF(C1491=0,Paths!$F$141,0),"n.a."))</f>
        <v>0</v>
      </c>
      <c r="P1491" s="16">
        <f>IF(NOT(Paths!$C$141=1),0,IF(Paths!$P$141="Complete",O1491+L1491,"n.a."))</f>
        <v>0</v>
      </c>
      <c r="Q1491" s="16">
        <f>IF(NOT(Paths!$C$141=1),0,IF(Paths!$P$141="Complete",N1491*(1+'Operating costs'!$B$54)^-C1491,"n.a."))</f>
        <v>0</v>
      </c>
      <c r="R1491" s="16">
        <f>IF(NOT(Paths!$C$141=1),0,IF(Paths!$P$141="Complete",IF(AND(C1491=0,Paths!$E$141=0),I1491-J1491-K1491+VLOOKUP(A1491,'Fleet register'!$A$7:$S$106,15,FALSE)+VLOOKUP(A1491,'Fleet register'!$A$7:$S$106,16,FALSE),0),"n.a."))</f>
        <v>0</v>
      </c>
      <c r="S1491" s="1">
        <f>IF(NOT(Paths!$C$141=1),0,IF(Paths!$P$141="Complete",IF(C1491=0,0,Paths!$S$141*Paths!$R$141),"n.a."))</f>
        <v>0</v>
      </c>
      <c r="T1491" s="1">
        <f>IF(NOT(Paths!$C$141=1),0,IF(Paths!$P$141="Complete",IF(C1491=0,0,VLOOKUP(A1491,'Fleet register'!$A$7:$S$106,9,FALSE)*Paths!$R$141),"n.a."))</f>
        <v>0</v>
      </c>
    </row>
    <row r="1492" spans="1:20" ht="24" customHeight="1">
      <c r="A1492" s="1" t="str">
        <f>Paths!$A$142</f>
        <v>T034</v>
      </c>
      <c r="B1492" s="1">
        <f>Paths!$B$142</f>
        <v>3</v>
      </c>
      <c r="C1492" s="1">
        <v>0</v>
      </c>
      <c r="D1492" s="1">
        <v>142</v>
      </c>
      <c r="E1492" s="1">
        <f>IF(OR(Paths!$C$142=0,C1492=0),0,MAX(0,MIN(C1492*12,Paths!$E$142)-(C1492-1)*12))</f>
        <v>0</v>
      </c>
      <c r="F1492" s="1">
        <f>IF(OR(Paths!$C$142=0,C1492=0),0,12-E1492)</f>
        <v>0</v>
      </c>
      <c r="G1492" s="16">
        <f>IF(NOT(Paths!$C$142=1),0,IF(Paths!$P$142="Complete",E1492/12*(Paths!$J$142*(1+'Operating costs'!$B$51)^MAX(0,C1492-1)+Paths!$K$142*(1+'Operating costs'!$B$53)^MAX(0,C1492-1)),"n.a."))</f>
        <v>0</v>
      </c>
      <c r="H1492" s="16">
        <f>IF(NOT(Paths!$C$142=1),0,IF(Paths!$P$142="Complete",F1492/12*(Paths!$L$142*(1+IF(Paths!$D$142="EV",'Operating costs'!$B$52,'Operating costs'!$B$51))^MAX(0,C1492-1)+Paths!$M$142*(1+'Operating costs'!$B$53)^MAX(0,C1492-1)),"n.a."))</f>
        <v>0</v>
      </c>
      <c r="I1492" s="16">
        <f>IF(NOT(Paths!$C$142=1),0,IF(Paths!$P$142="Complete",IF(IF(Paths!$E$142=0,C1492=0,AND(C1492&gt;0,Paths!$E$142&gt;(C1492-1)*12,Paths!$E$142&lt;=C1492*12)),Paths!$G$142,0),"n.a."))</f>
        <v>0</v>
      </c>
      <c r="J1492" s="16">
        <f>IF(NOT(Paths!$C$142=1),0,IF(Paths!$P$142="Complete",IF(IF(Paths!$E$142=0,C1492=0,AND(C1492&gt;0,Paths!$E$142&gt;(C1492-1)*12,Paths!$E$142&lt;=C1492*12)),Paths!$H$142,0),"n.a."))</f>
        <v>0</v>
      </c>
      <c r="K1492" s="16">
        <f>IF(NOT(Paths!$C$142=1),0,IF(Paths!$P$142="Complete",IF(IF(Paths!$O$142=0,C1492=0,AND(C1492&gt;0,Paths!$O$142&gt;(C1492-1)*12,Paths!$O$142&lt;=C1492*12)),Paths!$N$142,0),"n.a."))</f>
        <v>0</v>
      </c>
      <c r="L1492" s="16">
        <f>IF(NOT(Paths!$C$142=1),0,IF(Paths!$P$142="Complete",IF(C1492=10,Paths!$I$142,0),"n.a."))</f>
        <v>0</v>
      </c>
      <c r="M1492" s="16">
        <f>IF(NOT(Paths!$C$142=1),0,IF(Paths!$P$142="Complete",IF(AND(Paths!$D$142="EV",Paths!$E$142&lt;120,Paths!$E$142+'Operating costs'!$B$65&gt;Paths!$E$142,Paths!$E$142+'Operating costs'!$B$65&lt;=120,IF(Paths!$E$142+'Operating costs'!$B$65=0,C1492=0,AND(C1492&gt;0,Paths!$E$142+'Operating costs'!$B$65&gt;(C1492-1)*12,Paths!$E$142+'Operating costs'!$B$65&lt;=C1492*12))),'Operating costs'!$B$64,0)+IF(AND('Operating costs'!$B$67&gt;0,'Operating costs'!$B$67&lt;=120,OR(Paths!$D$142="ICE",'Operating costs'!$B$67&lt;=Paths!$E$142),IF('Operating costs'!$B$67=0,C1492=0,AND(C1492&gt;0,'Operating costs'!$B$67&gt;(C1492-1)*12,'Operating costs'!$B$67&lt;=C1492*12))),'Operating costs'!$B$66,0),"n.a."))</f>
        <v>0</v>
      </c>
      <c r="N1492" s="16">
        <f>IF(NOT(Paths!$C$142=1),0,IF(Paths!$P$142="Complete",SUM(G1492:I1492)-J1492-K1492-L1492+M1492+IF(C1492=0,Paths!$F$142,0)+IF(IF(Paths!$E$142=0,C1492=0,AND(C1492&gt;0,Paths!$E$142&gt;(C1492-1)*12,Paths!$E$142&lt;=C1492*12)),VLOOKUP(A1492,'Fleet register'!$A$7:$S$106,16,FALSE),0),"n.a."))</f>
        <v>0</v>
      </c>
      <c r="O1492" s="16">
        <f>IF(NOT(Paths!$C$142=1),0,IF(Paths!$P$142="Complete",N1492-IF(C1492=0,Paths!$F$142,0),"n.a."))</f>
        <v>0</v>
      </c>
      <c r="P1492" s="16">
        <f>IF(NOT(Paths!$C$142=1),0,IF(Paths!$P$142="Complete",O1492+L1492,"n.a."))</f>
        <v>0</v>
      </c>
      <c r="Q1492" s="16">
        <f>IF(NOT(Paths!$C$142=1),0,IF(Paths!$P$142="Complete",N1492*(1+'Operating costs'!$B$54)^-C1492,"n.a."))</f>
        <v>0</v>
      </c>
      <c r="R1492" s="16">
        <f>IF(NOT(Paths!$C$142=1),0,IF(Paths!$P$142="Complete",IF(AND(C1492=0,Paths!$E$142=0),I1492-J1492-K1492+VLOOKUP(A1492,'Fleet register'!$A$7:$S$106,15,FALSE)+VLOOKUP(A1492,'Fleet register'!$A$7:$S$106,16,FALSE),0),"n.a."))</f>
        <v>0</v>
      </c>
      <c r="S1492" s="1">
        <f>IF(NOT(Paths!$C$142=1),0,IF(Paths!$P$142="Complete",IF(C1492=0,0,Paths!$S$142*Paths!$R$142),"n.a."))</f>
        <v>0</v>
      </c>
      <c r="T1492" s="1">
        <f>IF(NOT(Paths!$C$142=1),0,IF(Paths!$P$142="Complete",IF(C1492=0,0,VLOOKUP(A1492,'Fleet register'!$A$7:$S$106,9,FALSE)*Paths!$R$142),"n.a."))</f>
        <v>0</v>
      </c>
    </row>
    <row r="1493" spans="1:20" ht="24" customHeight="1">
      <c r="A1493" s="1" t="str">
        <f>Paths!$A$142</f>
        <v>T034</v>
      </c>
      <c r="B1493" s="1">
        <f>Paths!$B$142</f>
        <v>3</v>
      </c>
      <c r="C1493" s="1">
        <v>1</v>
      </c>
      <c r="D1493" s="1">
        <v>142</v>
      </c>
      <c r="E1493" s="1">
        <f>IF(OR(Paths!$C$142=0,C1493=0),0,MAX(0,MIN(C1493*12,Paths!$E$142)-(C1493-1)*12))</f>
        <v>0</v>
      </c>
      <c r="F1493" s="1">
        <f>IF(OR(Paths!$C$142=0,C1493=0),0,12-E1493)</f>
        <v>0</v>
      </c>
      <c r="G1493" s="16">
        <f>IF(NOT(Paths!$C$142=1),0,IF(Paths!$P$142="Complete",E1493/12*(Paths!$J$142*(1+'Operating costs'!$B$51)^MAX(0,C1493-1)+Paths!$K$142*(1+'Operating costs'!$B$53)^MAX(0,C1493-1)),"n.a."))</f>
        <v>0</v>
      </c>
      <c r="H1493" s="16">
        <f>IF(NOT(Paths!$C$142=1),0,IF(Paths!$P$142="Complete",F1493/12*(Paths!$L$142*(1+IF(Paths!$D$142="EV",'Operating costs'!$B$52,'Operating costs'!$B$51))^MAX(0,C1493-1)+Paths!$M$142*(1+'Operating costs'!$B$53)^MAX(0,C1493-1)),"n.a."))</f>
        <v>0</v>
      </c>
      <c r="I1493" s="16">
        <f>IF(NOT(Paths!$C$142=1),0,IF(Paths!$P$142="Complete",IF(IF(Paths!$E$142=0,C1493=0,AND(C1493&gt;0,Paths!$E$142&gt;(C1493-1)*12,Paths!$E$142&lt;=C1493*12)),Paths!$G$142,0),"n.a."))</f>
        <v>0</v>
      </c>
      <c r="J1493" s="16">
        <f>IF(NOT(Paths!$C$142=1),0,IF(Paths!$P$142="Complete",IF(IF(Paths!$E$142=0,C1493=0,AND(C1493&gt;0,Paths!$E$142&gt;(C1493-1)*12,Paths!$E$142&lt;=C1493*12)),Paths!$H$142,0),"n.a."))</f>
        <v>0</v>
      </c>
      <c r="K1493" s="16">
        <f>IF(NOT(Paths!$C$142=1),0,IF(Paths!$P$142="Complete",IF(IF(Paths!$O$142=0,C1493=0,AND(C1493&gt;0,Paths!$O$142&gt;(C1493-1)*12,Paths!$O$142&lt;=C1493*12)),Paths!$N$142,0),"n.a."))</f>
        <v>0</v>
      </c>
      <c r="L1493" s="16">
        <f>IF(NOT(Paths!$C$142=1),0,IF(Paths!$P$142="Complete",IF(C1493=10,Paths!$I$142,0),"n.a."))</f>
        <v>0</v>
      </c>
      <c r="M1493" s="16">
        <f>IF(NOT(Paths!$C$142=1),0,IF(Paths!$P$142="Complete",IF(AND(Paths!$D$142="EV",Paths!$E$142&lt;120,Paths!$E$142+'Operating costs'!$B$65&gt;Paths!$E$142,Paths!$E$142+'Operating costs'!$B$65&lt;=120,IF(Paths!$E$142+'Operating costs'!$B$65=0,C1493=0,AND(C1493&gt;0,Paths!$E$142+'Operating costs'!$B$65&gt;(C1493-1)*12,Paths!$E$142+'Operating costs'!$B$65&lt;=C1493*12))),'Operating costs'!$B$64,0)+IF(AND('Operating costs'!$B$67&gt;0,'Operating costs'!$B$67&lt;=120,OR(Paths!$D$142="ICE",'Operating costs'!$B$67&lt;=Paths!$E$142),IF('Operating costs'!$B$67=0,C1493=0,AND(C1493&gt;0,'Operating costs'!$B$67&gt;(C1493-1)*12,'Operating costs'!$B$67&lt;=C1493*12))),'Operating costs'!$B$66,0),"n.a."))</f>
        <v>0</v>
      </c>
      <c r="N1493" s="16">
        <f>IF(NOT(Paths!$C$142=1),0,IF(Paths!$P$142="Complete",SUM(G1493:I1493)-J1493-K1493-L1493+M1493+IF(C1493=0,Paths!$F$142,0)+IF(IF(Paths!$E$142=0,C1493=0,AND(C1493&gt;0,Paths!$E$142&gt;(C1493-1)*12,Paths!$E$142&lt;=C1493*12)),VLOOKUP(A1493,'Fleet register'!$A$7:$S$106,16,FALSE),0),"n.a."))</f>
        <v>0</v>
      </c>
      <c r="O1493" s="16">
        <f>IF(NOT(Paths!$C$142=1),0,IF(Paths!$P$142="Complete",N1493-IF(C1493=0,Paths!$F$142,0),"n.a."))</f>
        <v>0</v>
      </c>
      <c r="P1493" s="16">
        <f>IF(NOT(Paths!$C$142=1),0,IF(Paths!$P$142="Complete",O1493+L1493,"n.a."))</f>
        <v>0</v>
      </c>
      <c r="Q1493" s="16">
        <f>IF(NOT(Paths!$C$142=1),0,IF(Paths!$P$142="Complete",N1493*(1+'Operating costs'!$B$54)^-C1493,"n.a."))</f>
        <v>0</v>
      </c>
      <c r="R1493" s="16">
        <f>IF(NOT(Paths!$C$142=1),0,IF(Paths!$P$142="Complete",IF(AND(C1493=0,Paths!$E$142=0),I1493-J1493-K1493+VLOOKUP(A1493,'Fleet register'!$A$7:$S$106,15,FALSE)+VLOOKUP(A1493,'Fleet register'!$A$7:$S$106,16,FALSE),0),"n.a."))</f>
        <v>0</v>
      </c>
      <c r="S1493" s="1">
        <f>IF(NOT(Paths!$C$142=1),0,IF(Paths!$P$142="Complete",IF(C1493=0,0,Paths!$S$142*Paths!$R$142),"n.a."))</f>
        <v>0</v>
      </c>
      <c r="T1493" s="1">
        <f>IF(NOT(Paths!$C$142=1),0,IF(Paths!$P$142="Complete",IF(C1493=0,0,VLOOKUP(A1493,'Fleet register'!$A$7:$S$106,9,FALSE)*Paths!$R$142),"n.a."))</f>
        <v>0</v>
      </c>
    </row>
    <row r="1494" spans="1:20" ht="24" customHeight="1">
      <c r="A1494" s="1" t="str">
        <f>Paths!$A$142</f>
        <v>T034</v>
      </c>
      <c r="B1494" s="1">
        <f>Paths!$B$142</f>
        <v>3</v>
      </c>
      <c r="C1494" s="1">
        <v>2</v>
      </c>
      <c r="D1494" s="1">
        <v>142</v>
      </c>
      <c r="E1494" s="1">
        <f>IF(OR(Paths!$C$142=0,C1494=0),0,MAX(0,MIN(C1494*12,Paths!$E$142)-(C1494-1)*12))</f>
        <v>0</v>
      </c>
      <c r="F1494" s="1">
        <f>IF(OR(Paths!$C$142=0,C1494=0),0,12-E1494)</f>
        <v>0</v>
      </c>
      <c r="G1494" s="16">
        <f>IF(NOT(Paths!$C$142=1),0,IF(Paths!$P$142="Complete",E1494/12*(Paths!$J$142*(1+'Operating costs'!$B$51)^MAX(0,C1494-1)+Paths!$K$142*(1+'Operating costs'!$B$53)^MAX(0,C1494-1)),"n.a."))</f>
        <v>0</v>
      </c>
      <c r="H1494" s="16">
        <f>IF(NOT(Paths!$C$142=1),0,IF(Paths!$P$142="Complete",F1494/12*(Paths!$L$142*(1+IF(Paths!$D$142="EV",'Operating costs'!$B$52,'Operating costs'!$B$51))^MAX(0,C1494-1)+Paths!$M$142*(1+'Operating costs'!$B$53)^MAX(0,C1494-1)),"n.a."))</f>
        <v>0</v>
      </c>
      <c r="I1494" s="16">
        <f>IF(NOT(Paths!$C$142=1),0,IF(Paths!$P$142="Complete",IF(IF(Paths!$E$142=0,C1494=0,AND(C1494&gt;0,Paths!$E$142&gt;(C1494-1)*12,Paths!$E$142&lt;=C1494*12)),Paths!$G$142,0),"n.a."))</f>
        <v>0</v>
      </c>
      <c r="J1494" s="16">
        <f>IF(NOT(Paths!$C$142=1),0,IF(Paths!$P$142="Complete",IF(IF(Paths!$E$142=0,C1494=0,AND(C1494&gt;0,Paths!$E$142&gt;(C1494-1)*12,Paths!$E$142&lt;=C1494*12)),Paths!$H$142,0),"n.a."))</f>
        <v>0</v>
      </c>
      <c r="K1494" s="16">
        <f>IF(NOT(Paths!$C$142=1),0,IF(Paths!$P$142="Complete",IF(IF(Paths!$O$142=0,C1494=0,AND(C1494&gt;0,Paths!$O$142&gt;(C1494-1)*12,Paths!$O$142&lt;=C1494*12)),Paths!$N$142,0),"n.a."))</f>
        <v>0</v>
      </c>
      <c r="L1494" s="16">
        <f>IF(NOT(Paths!$C$142=1),0,IF(Paths!$P$142="Complete",IF(C1494=10,Paths!$I$142,0),"n.a."))</f>
        <v>0</v>
      </c>
      <c r="M1494" s="16">
        <f>IF(NOT(Paths!$C$142=1),0,IF(Paths!$P$142="Complete",IF(AND(Paths!$D$142="EV",Paths!$E$142&lt;120,Paths!$E$142+'Operating costs'!$B$65&gt;Paths!$E$142,Paths!$E$142+'Operating costs'!$B$65&lt;=120,IF(Paths!$E$142+'Operating costs'!$B$65=0,C1494=0,AND(C1494&gt;0,Paths!$E$142+'Operating costs'!$B$65&gt;(C1494-1)*12,Paths!$E$142+'Operating costs'!$B$65&lt;=C1494*12))),'Operating costs'!$B$64,0)+IF(AND('Operating costs'!$B$67&gt;0,'Operating costs'!$B$67&lt;=120,OR(Paths!$D$142="ICE",'Operating costs'!$B$67&lt;=Paths!$E$142),IF('Operating costs'!$B$67=0,C1494=0,AND(C1494&gt;0,'Operating costs'!$B$67&gt;(C1494-1)*12,'Operating costs'!$B$67&lt;=C1494*12))),'Operating costs'!$B$66,0),"n.a."))</f>
        <v>0</v>
      </c>
      <c r="N1494" s="16">
        <f>IF(NOT(Paths!$C$142=1),0,IF(Paths!$P$142="Complete",SUM(G1494:I1494)-J1494-K1494-L1494+M1494+IF(C1494=0,Paths!$F$142,0)+IF(IF(Paths!$E$142=0,C1494=0,AND(C1494&gt;0,Paths!$E$142&gt;(C1494-1)*12,Paths!$E$142&lt;=C1494*12)),VLOOKUP(A1494,'Fleet register'!$A$7:$S$106,16,FALSE),0),"n.a."))</f>
        <v>0</v>
      </c>
      <c r="O1494" s="16">
        <f>IF(NOT(Paths!$C$142=1),0,IF(Paths!$P$142="Complete",N1494-IF(C1494=0,Paths!$F$142,0),"n.a."))</f>
        <v>0</v>
      </c>
      <c r="P1494" s="16">
        <f>IF(NOT(Paths!$C$142=1),0,IF(Paths!$P$142="Complete",O1494+L1494,"n.a."))</f>
        <v>0</v>
      </c>
      <c r="Q1494" s="16">
        <f>IF(NOT(Paths!$C$142=1),0,IF(Paths!$P$142="Complete",N1494*(1+'Operating costs'!$B$54)^-C1494,"n.a."))</f>
        <v>0</v>
      </c>
      <c r="R1494" s="16">
        <f>IF(NOT(Paths!$C$142=1),0,IF(Paths!$P$142="Complete",IF(AND(C1494=0,Paths!$E$142=0),I1494-J1494-K1494+VLOOKUP(A1494,'Fleet register'!$A$7:$S$106,15,FALSE)+VLOOKUP(A1494,'Fleet register'!$A$7:$S$106,16,FALSE),0),"n.a."))</f>
        <v>0</v>
      </c>
      <c r="S1494" s="1">
        <f>IF(NOT(Paths!$C$142=1),0,IF(Paths!$P$142="Complete",IF(C1494=0,0,Paths!$S$142*Paths!$R$142),"n.a."))</f>
        <v>0</v>
      </c>
      <c r="T1494" s="1">
        <f>IF(NOT(Paths!$C$142=1),0,IF(Paths!$P$142="Complete",IF(C1494=0,0,VLOOKUP(A1494,'Fleet register'!$A$7:$S$106,9,FALSE)*Paths!$R$142),"n.a."))</f>
        <v>0</v>
      </c>
    </row>
    <row r="1495" spans="1:20" ht="24" customHeight="1">
      <c r="A1495" s="1" t="str">
        <f>Paths!$A$142</f>
        <v>T034</v>
      </c>
      <c r="B1495" s="1">
        <f>Paths!$B$142</f>
        <v>3</v>
      </c>
      <c r="C1495" s="1">
        <v>3</v>
      </c>
      <c r="D1495" s="1">
        <v>142</v>
      </c>
      <c r="E1495" s="1">
        <f>IF(OR(Paths!$C$142=0,C1495=0),0,MAX(0,MIN(C1495*12,Paths!$E$142)-(C1495-1)*12))</f>
        <v>0</v>
      </c>
      <c r="F1495" s="1">
        <f>IF(OR(Paths!$C$142=0,C1495=0),0,12-E1495)</f>
        <v>0</v>
      </c>
      <c r="G1495" s="16">
        <f>IF(NOT(Paths!$C$142=1),0,IF(Paths!$P$142="Complete",E1495/12*(Paths!$J$142*(1+'Operating costs'!$B$51)^MAX(0,C1495-1)+Paths!$K$142*(1+'Operating costs'!$B$53)^MAX(0,C1495-1)),"n.a."))</f>
        <v>0</v>
      </c>
      <c r="H1495" s="16">
        <f>IF(NOT(Paths!$C$142=1),0,IF(Paths!$P$142="Complete",F1495/12*(Paths!$L$142*(1+IF(Paths!$D$142="EV",'Operating costs'!$B$52,'Operating costs'!$B$51))^MAX(0,C1495-1)+Paths!$M$142*(1+'Operating costs'!$B$53)^MAX(0,C1495-1)),"n.a."))</f>
        <v>0</v>
      </c>
      <c r="I1495" s="16">
        <f>IF(NOT(Paths!$C$142=1),0,IF(Paths!$P$142="Complete",IF(IF(Paths!$E$142=0,C1495=0,AND(C1495&gt;0,Paths!$E$142&gt;(C1495-1)*12,Paths!$E$142&lt;=C1495*12)),Paths!$G$142,0),"n.a."))</f>
        <v>0</v>
      </c>
      <c r="J1495" s="16">
        <f>IF(NOT(Paths!$C$142=1),0,IF(Paths!$P$142="Complete",IF(IF(Paths!$E$142=0,C1495=0,AND(C1495&gt;0,Paths!$E$142&gt;(C1495-1)*12,Paths!$E$142&lt;=C1495*12)),Paths!$H$142,0),"n.a."))</f>
        <v>0</v>
      </c>
      <c r="K1495" s="16">
        <f>IF(NOT(Paths!$C$142=1),0,IF(Paths!$P$142="Complete",IF(IF(Paths!$O$142=0,C1495=0,AND(C1495&gt;0,Paths!$O$142&gt;(C1495-1)*12,Paths!$O$142&lt;=C1495*12)),Paths!$N$142,0),"n.a."))</f>
        <v>0</v>
      </c>
      <c r="L1495" s="16">
        <f>IF(NOT(Paths!$C$142=1),0,IF(Paths!$P$142="Complete",IF(C1495=10,Paths!$I$142,0),"n.a."))</f>
        <v>0</v>
      </c>
      <c r="M1495" s="16">
        <f>IF(NOT(Paths!$C$142=1),0,IF(Paths!$P$142="Complete",IF(AND(Paths!$D$142="EV",Paths!$E$142&lt;120,Paths!$E$142+'Operating costs'!$B$65&gt;Paths!$E$142,Paths!$E$142+'Operating costs'!$B$65&lt;=120,IF(Paths!$E$142+'Operating costs'!$B$65=0,C1495=0,AND(C1495&gt;0,Paths!$E$142+'Operating costs'!$B$65&gt;(C1495-1)*12,Paths!$E$142+'Operating costs'!$B$65&lt;=C1495*12))),'Operating costs'!$B$64,0)+IF(AND('Operating costs'!$B$67&gt;0,'Operating costs'!$B$67&lt;=120,OR(Paths!$D$142="ICE",'Operating costs'!$B$67&lt;=Paths!$E$142),IF('Operating costs'!$B$67=0,C1495=0,AND(C1495&gt;0,'Operating costs'!$B$67&gt;(C1495-1)*12,'Operating costs'!$B$67&lt;=C1495*12))),'Operating costs'!$B$66,0),"n.a."))</f>
        <v>0</v>
      </c>
      <c r="N1495" s="16">
        <f>IF(NOT(Paths!$C$142=1),0,IF(Paths!$P$142="Complete",SUM(G1495:I1495)-J1495-K1495-L1495+M1495+IF(C1495=0,Paths!$F$142,0)+IF(IF(Paths!$E$142=0,C1495=0,AND(C1495&gt;0,Paths!$E$142&gt;(C1495-1)*12,Paths!$E$142&lt;=C1495*12)),VLOOKUP(A1495,'Fleet register'!$A$7:$S$106,16,FALSE),0),"n.a."))</f>
        <v>0</v>
      </c>
      <c r="O1495" s="16">
        <f>IF(NOT(Paths!$C$142=1),0,IF(Paths!$P$142="Complete",N1495-IF(C1495=0,Paths!$F$142,0),"n.a."))</f>
        <v>0</v>
      </c>
      <c r="P1495" s="16">
        <f>IF(NOT(Paths!$C$142=1),0,IF(Paths!$P$142="Complete",O1495+L1495,"n.a."))</f>
        <v>0</v>
      </c>
      <c r="Q1495" s="16">
        <f>IF(NOT(Paths!$C$142=1),0,IF(Paths!$P$142="Complete",N1495*(1+'Operating costs'!$B$54)^-C1495,"n.a."))</f>
        <v>0</v>
      </c>
      <c r="R1495" s="16">
        <f>IF(NOT(Paths!$C$142=1),0,IF(Paths!$P$142="Complete",IF(AND(C1495=0,Paths!$E$142=0),I1495-J1495-K1495+VLOOKUP(A1495,'Fleet register'!$A$7:$S$106,15,FALSE)+VLOOKUP(A1495,'Fleet register'!$A$7:$S$106,16,FALSE),0),"n.a."))</f>
        <v>0</v>
      </c>
      <c r="S1495" s="1">
        <f>IF(NOT(Paths!$C$142=1),0,IF(Paths!$P$142="Complete",IF(C1495=0,0,Paths!$S$142*Paths!$R$142),"n.a."))</f>
        <v>0</v>
      </c>
      <c r="T1495" s="1">
        <f>IF(NOT(Paths!$C$142=1),0,IF(Paths!$P$142="Complete",IF(C1495=0,0,VLOOKUP(A1495,'Fleet register'!$A$7:$S$106,9,FALSE)*Paths!$R$142),"n.a."))</f>
        <v>0</v>
      </c>
    </row>
    <row r="1496" spans="1:20" ht="24" customHeight="1">
      <c r="A1496" s="1" t="str">
        <f>Paths!$A$142</f>
        <v>T034</v>
      </c>
      <c r="B1496" s="1">
        <f>Paths!$B$142</f>
        <v>3</v>
      </c>
      <c r="C1496" s="1">
        <v>4</v>
      </c>
      <c r="D1496" s="1">
        <v>142</v>
      </c>
      <c r="E1496" s="1">
        <f>IF(OR(Paths!$C$142=0,C1496=0),0,MAX(0,MIN(C1496*12,Paths!$E$142)-(C1496-1)*12))</f>
        <v>0</v>
      </c>
      <c r="F1496" s="1">
        <f>IF(OR(Paths!$C$142=0,C1496=0),0,12-E1496)</f>
        <v>0</v>
      </c>
      <c r="G1496" s="16">
        <f>IF(NOT(Paths!$C$142=1),0,IF(Paths!$P$142="Complete",E1496/12*(Paths!$J$142*(1+'Operating costs'!$B$51)^MAX(0,C1496-1)+Paths!$K$142*(1+'Operating costs'!$B$53)^MAX(0,C1496-1)),"n.a."))</f>
        <v>0</v>
      </c>
      <c r="H1496" s="16">
        <f>IF(NOT(Paths!$C$142=1),0,IF(Paths!$P$142="Complete",F1496/12*(Paths!$L$142*(1+IF(Paths!$D$142="EV",'Operating costs'!$B$52,'Operating costs'!$B$51))^MAX(0,C1496-1)+Paths!$M$142*(1+'Operating costs'!$B$53)^MAX(0,C1496-1)),"n.a."))</f>
        <v>0</v>
      </c>
      <c r="I1496" s="16">
        <f>IF(NOT(Paths!$C$142=1),0,IF(Paths!$P$142="Complete",IF(IF(Paths!$E$142=0,C1496=0,AND(C1496&gt;0,Paths!$E$142&gt;(C1496-1)*12,Paths!$E$142&lt;=C1496*12)),Paths!$G$142,0),"n.a."))</f>
        <v>0</v>
      </c>
      <c r="J1496" s="16">
        <f>IF(NOT(Paths!$C$142=1),0,IF(Paths!$P$142="Complete",IF(IF(Paths!$E$142=0,C1496=0,AND(C1496&gt;0,Paths!$E$142&gt;(C1496-1)*12,Paths!$E$142&lt;=C1496*12)),Paths!$H$142,0),"n.a."))</f>
        <v>0</v>
      </c>
      <c r="K1496" s="16">
        <f>IF(NOT(Paths!$C$142=1),0,IF(Paths!$P$142="Complete",IF(IF(Paths!$O$142=0,C1496=0,AND(C1496&gt;0,Paths!$O$142&gt;(C1496-1)*12,Paths!$O$142&lt;=C1496*12)),Paths!$N$142,0),"n.a."))</f>
        <v>0</v>
      </c>
      <c r="L1496" s="16">
        <f>IF(NOT(Paths!$C$142=1),0,IF(Paths!$P$142="Complete",IF(C1496=10,Paths!$I$142,0),"n.a."))</f>
        <v>0</v>
      </c>
      <c r="M1496" s="16">
        <f>IF(NOT(Paths!$C$142=1),0,IF(Paths!$P$142="Complete",IF(AND(Paths!$D$142="EV",Paths!$E$142&lt;120,Paths!$E$142+'Operating costs'!$B$65&gt;Paths!$E$142,Paths!$E$142+'Operating costs'!$B$65&lt;=120,IF(Paths!$E$142+'Operating costs'!$B$65=0,C1496=0,AND(C1496&gt;0,Paths!$E$142+'Operating costs'!$B$65&gt;(C1496-1)*12,Paths!$E$142+'Operating costs'!$B$65&lt;=C1496*12))),'Operating costs'!$B$64,0)+IF(AND('Operating costs'!$B$67&gt;0,'Operating costs'!$B$67&lt;=120,OR(Paths!$D$142="ICE",'Operating costs'!$B$67&lt;=Paths!$E$142),IF('Operating costs'!$B$67=0,C1496=0,AND(C1496&gt;0,'Operating costs'!$B$67&gt;(C1496-1)*12,'Operating costs'!$B$67&lt;=C1496*12))),'Operating costs'!$B$66,0),"n.a."))</f>
        <v>0</v>
      </c>
      <c r="N1496" s="16">
        <f>IF(NOT(Paths!$C$142=1),0,IF(Paths!$P$142="Complete",SUM(G1496:I1496)-J1496-K1496-L1496+M1496+IF(C1496=0,Paths!$F$142,0)+IF(IF(Paths!$E$142=0,C1496=0,AND(C1496&gt;0,Paths!$E$142&gt;(C1496-1)*12,Paths!$E$142&lt;=C1496*12)),VLOOKUP(A1496,'Fleet register'!$A$7:$S$106,16,FALSE),0),"n.a."))</f>
        <v>0</v>
      </c>
      <c r="O1496" s="16">
        <f>IF(NOT(Paths!$C$142=1),0,IF(Paths!$P$142="Complete",N1496-IF(C1496=0,Paths!$F$142,0),"n.a."))</f>
        <v>0</v>
      </c>
      <c r="P1496" s="16">
        <f>IF(NOT(Paths!$C$142=1),0,IF(Paths!$P$142="Complete",O1496+L1496,"n.a."))</f>
        <v>0</v>
      </c>
      <c r="Q1496" s="16">
        <f>IF(NOT(Paths!$C$142=1),0,IF(Paths!$P$142="Complete",N1496*(1+'Operating costs'!$B$54)^-C1496,"n.a."))</f>
        <v>0</v>
      </c>
      <c r="R1496" s="16">
        <f>IF(NOT(Paths!$C$142=1),0,IF(Paths!$P$142="Complete",IF(AND(C1496=0,Paths!$E$142=0),I1496-J1496-K1496+VLOOKUP(A1496,'Fleet register'!$A$7:$S$106,15,FALSE)+VLOOKUP(A1496,'Fleet register'!$A$7:$S$106,16,FALSE),0),"n.a."))</f>
        <v>0</v>
      </c>
      <c r="S1496" s="1">
        <f>IF(NOT(Paths!$C$142=1),0,IF(Paths!$P$142="Complete",IF(C1496=0,0,Paths!$S$142*Paths!$R$142),"n.a."))</f>
        <v>0</v>
      </c>
      <c r="T1496" s="1">
        <f>IF(NOT(Paths!$C$142=1),0,IF(Paths!$P$142="Complete",IF(C1496=0,0,VLOOKUP(A1496,'Fleet register'!$A$7:$S$106,9,FALSE)*Paths!$R$142),"n.a."))</f>
        <v>0</v>
      </c>
    </row>
    <row r="1497" spans="1:20" ht="24" customHeight="1">
      <c r="A1497" s="1" t="str">
        <f>Paths!$A$142</f>
        <v>T034</v>
      </c>
      <c r="B1497" s="1">
        <f>Paths!$B$142</f>
        <v>3</v>
      </c>
      <c r="C1497" s="1">
        <v>5</v>
      </c>
      <c r="D1497" s="1">
        <v>142</v>
      </c>
      <c r="E1497" s="1">
        <f>IF(OR(Paths!$C$142=0,C1497=0),0,MAX(0,MIN(C1497*12,Paths!$E$142)-(C1497-1)*12))</f>
        <v>0</v>
      </c>
      <c r="F1497" s="1">
        <f>IF(OR(Paths!$C$142=0,C1497=0),0,12-E1497)</f>
        <v>0</v>
      </c>
      <c r="G1497" s="16">
        <f>IF(NOT(Paths!$C$142=1),0,IF(Paths!$P$142="Complete",E1497/12*(Paths!$J$142*(1+'Operating costs'!$B$51)^MAX(0,C1497-1)+Paths!$K$142*(1+'Operating costs'!$B$53)^MAX(0,C1497-1)),"n.a."))</f>
        <v>0</v>
      </c>
      <c r="H1497" s="16">
        <f>IF(NOT(Paths!$C$142=1),0,IF(Paths!$P$142="Complete",F1497/12*(Paths!$L$142*(1+IF(Paths!$D$142="EV",'Operating costs'!$B$52,'Operating costs'!$B$51))^MAX(0,C1497-1)+Paths!$M$142*(1+'Operating costs'!$B$53)^MAX(0,C1497-1)),"n.a."))</f>
        <v>0</v>
      </c>
      <c r="I1497" s="16">
        <f>IF(NOT(Paths!$C$142=1),0,IF(Paths!$P$142="Complete",IF(IF(Paths!$E$142=0,C1497=0,AND(C1497&gt;0,Paths!$E$142&gt;(C1497-1)*12,Paths!$E$142&lt;=C1497*12)),Paths!$G$142,0),"n.a."))</f>
        <v>0</v>
      </c>
      <c r="J1497" s="16">
        <f>IF(NOT(Paths!$C$142=1),0,IF(Paths!$P$142="Complete",IF(IF(Paths!$E$142=0,C1497=0,AND(C1497&gt;0,Paths!$E$142&gt;(C1497-1)*12,Paths!$E$142&lt;=C1497*12)),Paths!$H$142,0),"n.a."))</f>
        <v>0</v>
      </c>
      <c r="K1497" s="16">
        <f>IF(NOT(Paths!$C$142=1),0,IF(Paths!$P$142="Complete",IF(IF(Paths!$O$142=0,C1497=0,AND(C1497&gt;0,Paths!$O$142&gt;(C1497-1)*12,Paths!$O$142&lt;=C1497*12)),Paths!$N$142,0),"n.a."))</f>
        <v>0</v>
      </c>
      <c r="L1497" s="16">
        <f>IF(NOT(Paths!$C$142=1),0,IF(Paths!$P$142="Complete",IF(C1497=10,Paths!$I$142,0),"n.a."))</f>
        <v>0</v>
      </c>
      <c r="M1497" s="16">
        <f>IF(NOT(Paths!$C$142=1),0,IF(Paths!$P$142="Complete",IF(AND(Paths!$D$142="EV",Paths!$E$142&lt;120,Paths!$E$142+'Operating costs'!$B$65&gt;Paths!$E$142,Paths!$E$142+'Operating costs'!$B$65&lt;=120,IF(Paths!$E$142+'Operating costs'!$B$65=0,C1497=0,AND(C1497&gt;0,Paths!$E$142+'Operating costs'!$B$65&gt;(C1497-1)*12,Paths!$E$142+'Operating costs'!$B$65&lt;=C1497*12))),'Operating costs'!$B$64,0)+IF(AND('Operating costs'!$B$67&gt;0,'Operating costs'!$B$67&lt;=120,OR(Paths!$D$142="ICE",'Operating costs'!$B$67&lt;=Paths!$E$142),IF('Operating costs'!$B$67=0,C1497=0,AND(C1497&gt;0,'Operating costs'!$B$67&gt;(C1497-1)*12,'Operating costs'!$B$67&lt;=C1497*12))),'Operating costs'!$B$66,0),"n.a."))</f>
        <v>0</v>
      </c>
      <c r="N1497" s="16">
        <f>IF(NOT(Paths!$C$142=1),0,IF(Paths!$P$142="Complete",SUM(G1497:I1497)-J1497-K1497-L1497+M1497+IF(C1497=0,Paths!$F$142,0)+IF(IF(Paths!$E$142=0,C1497=0,AND(C1497&gt;0,Paths!$E$142&gt;(C1497-1)*12,Paths!$E$142&lt;=C1497*12)),VLOOKUP(A1497,'Fleet register'!$A$7:$S$106,16,FALSE),0),"n.a."))</f>
        <v>0</v>
      </c>
      <c r="O1497" s="16">
        <f>IF(NOT(Paths!$C$142=1),0,IF(Paths!$P$142="Complete",N1497-IF(C1497=0,Paths!$F$142,0),"n.a."))</f>
        <v>0</v>
      </c>
      <c r="P1497" s="16">
        <f>IF(NOT(Paths!$C$142=1),0,IF(Paths!$P$142="Complete",O1497+L1497,"n.a."))</f>
        <v>0</v>
      </c>
      <c r="Q1497" s="16">
        <f>IF(NOT(Paths!$C$142=1),0,IF(Paths!$P$142="Complete",N1497*(1+'Operating costs'!$B$54)^-C1497,"n.a."))</f>
        <v>0</v>
      </c>
      <c r="R1497" s="16">
        <f>IF(NOT(Paths!$C$142=1),0,IF(Paths!$P$142="Complete",IF(AND(C1497=0,Paths!$E$142=0),I1497-J1497-K1497+VLOOKUP(A1497,'Fleet register'!$A$7:$S$106,15,FALSE)+VLOOKUP(A1497,'Fleet register'!$A$7:$S$106,16,FALSE),0),"n.a."))</f>
        <v>0</v>
      </c>
      <c r="S1497" s="1">
        <f>IF(NOT(Paths!$C$142=1),0,IF(Paths!$P$142="Complete",IF(C1497=0,0,Paths!$S$142*Paths!$R$142),"n.a."))</f>
        <v>0</v>
      </c>
      <c r="T1497" s="1">
        <f>IF(NOT(Paths!$C$142=1),0,IF(Paths!$P$142="Complete",IF(C1497=0,0,VLOOKUP(A1497,'Fleet register'!$A$7:$S$106,9,FALSE)*Paths!$R$142),"n.a."))</f>
        <v>0</v>
      </c>
    </row>
    <row r="1498" spans="1:20" ht="24" customHeight="1">
      <c r="A1498" s="1" t="str">
        <f>Paths!$A$142</f>
        <v>T034</v>
      </c>
      <c r="B1498" s="1">
        <f>Paths!$B$142</f>
        <v>3</v>
      </c>
      <c r="C1498" s="1">
        <v>6</v>
      </c>
      <c r="D1498" s="1">
        <v>142</v>
      </c>
      <c r="E1498" s="1">
        <f>IF(OR(Paths!$C$142=0,C1498=0),0,MAX(0,MIN(C1498*12,Paths!$E$142)-(C1498-1)*12))</f>
        <v>0</v>
      </c>
      <c r="F1498" s="1">
        <f>IF(OR(Paths!$C$142=0,C1498=0),0,12-E1498)</f>
        <v>0</v>
      </c>
      <c r="G1498" s="16">
        <f>IF(NOT(Paths!$C$142=1),0,IF(Paths!$P$142="Complete",E1498/12*(Paths!$J$142*(1+'Operating costs'!$B$51)^MAX(0,C1498-1)+Paths!$K$142*(1+'Operating costs'!$B$53)^MAX(0,C1498-1)),"n.a."))</f>
        <v>0</v>
      </c>
      <c r="H1498" s="16">
        <f>IF(NOT(Paths!$C$142=1),0,IF(Paths!$P$142="Complete",F1498/12*(Paths!$L$142*(1+IF(Paths!$D$142="EV",'Operating costs'!$B$52,'Operating costs'!$B$51))^MAX(0,C1498-1)+Paths!$M$142*(1+'Operating costs'!$B$53)^MAX(0,C1498-1)),"n.a."))</f>
        <v>0</v>
      </c>
      <c r="I1498" s="16">
        <f>IF(NOT(Paths!$C$142=1),0,IF(Paths!$P$142="Complete",IF(IF(Paths!$E$142=0,C1498=0,AND(C1498&gt;0,Paths!$E$142&gt;(C1498-1)*12,Paths!$E$142&lt;=C1498*12)),Paths!$G$142,0),"n.a."))</f>
        <v>0</v>
      </c>
      <c r="J1498" s="16">
        <f>IF(NOT(Paths!$C$142=1),0,IF(Paths!$P$142="Complete",IF(IF(Paths!$E$142=0,C1498=0,AND(C1498&gt;0,Paths!$E$142&gt;(C1498-1)*12,Paths!$E$142&lt;=C1498*12)),Paths!$H$142,0),"n.a."))</f>
        <v>0</v>
      </c>
      <c r="K1498" s="16">
        <f>IF(NOT(Paths!$C$142=1),0,IF(Paths!$P$142="Complete",IF(IF(Paths!$O$142=0,C1498=0,AND(C1498&gt;0,Paths!$O$142&gt;(C1498-1)*12,Paths!$O$142&lt;=C1498*12)),Paths!$N$142,0),"n.a."))</f>
        <v>0</v>
      </c>
      <c r="L1498" s="16">
        <f>IF(NOT(Paths!$C$142=1),0,IF(Paths!$P$142="Complete",IF(C1498=10,Paths!$I$142,0),"n.a."))</f>
        <v>0</v>
      </c>
      <c r="M1498" s="16">
        <f>IF(NOT(Paths!$C$142=1),0,IF(Paths!$P$142="Complete",IF(AND(Paths!$D$142="EV",Paths!$E$142&lt;120,Paths!$E$142+'Operating costs'!$B$65&gt;Paths!$E$142,Paths!$E$142+'Operating costs'!$B$65&lt;=120,IF(Paths!$E$142+'Operating costs'!$B$65=0,C1498=0,AND(C1498&gt;0,Paths!$E$142+'Operating costs'!$B$65&gt;(C1498-1)*12,Paths!$E$142+'Operating costs'!$B$65&lt;=C1498*12))),'Operating costs'!$B$64,0)+IF(AND('Operating costs'!$B$67&gt;0,'Operating costs'!$B$67&lt;=120,OR(Paths!$D$142="ICE",'Operating costs'!$B$67&lt;=Paths!$E$142),IF('Operating costs'!$B$67=0,C1498=0,AND(C1498&gt;0,'Operating costs'!$B$67&gt;(C1498-1)*12,'Operating costs'!$B$67&lt;=C1498*12))),'Operating costs'!$B$66,0),"n.a."))</f>
        <v>0</v>
      </c>
      <c r="N1498" s="16">
        <f>IF(NOT(Paths!$C$142=1),0,IF(Paths!$P$142="Complete",SUM(G1498:I1498)-J1498-K1498-L1498+M1498+IF(C1498=0,Paths!$F$142,0)+IF(IF(Paths!$E$142=0,C1498=0,AND(C1498&gt;0,Paths!$E$142&gt;(C1498-1)*12,Paths!$E$142&lt;=C1498*12)),VLOOKUP(A1498,'Fleet register'!$A$7:$S$106,16,FALSE),0),"n.a."))</f>
        <v>0</v>
      </c>
      <c r="O1498" s="16">
        <f>IF(NOT(Paths!$C$142=1),0,IF(Paths!$P$142="Complete",N1498-IF(C1498=0,Paths!$F$142,0),"n.a."))</f>
        <v>0</v>
      </c>
      <c r="P1498" s="16">
        <f>IF(NOT(Paths!$C$142=1),0,IF(Paths!$P$142="Complete",O1498+L1498,"n.a."))</f>
        <v>0</v>
      </c>
      <c r="Q1498" s="16">
        <f>IF(NOT(Paths!$C$142=1),0,IF(Paths!$P$142="Complete",N1498*(1+'Operating costs'!$B$54)^-C1498,"n.a."))</f>
        <v>0</v>
      </c>
      <c r="R1498" s="16">
        <f>IF(NOT(Paths!$C$142=1),0,IF(Paths!$P$142="Complete",IF(AND(C1498=0,Paths!$E$142=0),I1498-J1498-K1498+VLOOKUP(A1498,'Fleet register'!$A$7:$S$106,15,FALSE)+VLOOKUP(A1498,'Fleet register'!$A$7:$S$106,16,FALSE),0),"n.a."))</f>
        <v>0</v>
      </c>
      <c r="S1498" s="1">
        <f>IF(NOT(Paths!$C$142=1),0,IF(Paths!$P$142="Complete",IF(C1498=0,0,Paths!$S$142*Paths!$R$142),"n.a."))</f>
        <v>0</v>
      </c>
      <c r="T1498" s="1">
        <f>IF(NOT(Paths!$C$142=1),0,IF(Paths!$P$142="Complete",IF(C1498=0,0,VLOOKUP(A1498,'Fleet register'!$A$7:$S$106,9,FALSE)*Paths!$R$142),"n.a."))</f>
        <v>0</v>
      </c>
    </row>
    <row r="1499" spans="1:20" ht="24" customHeight="1">
      <c r="A1499" s="1" t="str">
        <f>Paths!$A$142</f>
        <v>T034</v>
      </c>
      <c r="B1499" s="1">
        <f>Paths!$B$142</f>
        <v>3</v>
      </c>
      <c r="C1499" s="1">
        <v>7</v>
      </c>
      <c r="D1499" s="1">
        <v>142</v>
      </c>
      <c r="E1499" s="1">
        <f>IF(OR(Paths!$C$142=0,C1499=0),0,MAX(0,MIN(C1499*12,Paths!$E$142)-(C1499-1)*12))</f>
        <v>0</v>
      </c>
      <c r="F1499" s="1">
        <f>IF(OR(Paths!$C$142=0,C1499=0),0,12-E1499)</f>
        <v>0</v>
      </c>
      <c r="G1499" s="16">
        <f>IF(NOT(Paths!$C$142=1),0,IF(Paths!$P$142="Complete",E1499/12*(Paths!$J$142*(1+'Operating costs'!$B$51)^MAX(0,C1499-1)+Paths!$K$142*(1+'Operating costs'!$B$53)^MAX(0,C1499-1)),"n.a."))</f>
        <v>0</v>
      </c>
      <c r="H1499" s="16">
        <f>IF(NOT(Paths!$C$142=1),0,IF(Paths!$P$142="Complete",F1499/12*(Paths!$L$142*(1+IF(Paths!$D$142="EV",'Operating costs'!$B$52,'Operating costs'!$B$51))^MAX(0,C1499-1)+Paths!$M$142*(1+'Operating costs'!$B$53)^MAX(0,C1499-1)),"n.a."))</f>
        <v>0</v>
      </c>
      <c r="I1499" s="16">
        <f>IF(NOT(Paths!$C$142=1),0,IF(Paths!$P$142="Complete",IF(IF(Paths!$E$142=0,C1499=0,AND(C1499&gt;0,Paths!$E$142&gt;(C1499-1)*12,Paths!$E$142&lt;=C1499*12)),Paths!$G$142,0),"n.a."))</f>
        <v>0</v>
      </c>
      <c r="J1499" s="16">
        <f>IF(NOT(Paths!$C$142=1),0,IF(Paths!$P$142="Complete",IF(IF(Paths!$E$142=0,C1499=0,AND(C1499&gt;0,Paths!$E$142&gt;(C1499-1)*12,Paths!$E$142&lt;=C1499*12)),Paths!$H$142,0),"n.a."))</f>
        <v>0</v>
      </c>
      <c r="K1499" s="16">
        <f>IF(NOT(Paths!$C$142=1),0,IF(Paths!$P$142="Complete",IF(IF(Paths!$O$142=0,C1499=0,AND(C1499&gt;0,Paths!$O$142&gt;(C1499-1)*12,Paths!$O$142&lt;=C1499*12)),Paths!$N$142,0),"n.a."))</f>
        <v>0</v>
      </c>
      <c r="L1499" s="16">
        <f>IF(NOT(Paths!$C$142=1),0,IF(Paths!$P$142="Complete",IF(C1499=10,Paths!$I$142,0),"n.a."))</f>
        <v>0</v>
      </c>
      <c r="M1499" s="16">
        <f>IF(NOT(Paths!$C$142=1),0,IF(Paths!$P$142="Complete",IF(AND(Paths!$D$142="EV",Paths!$E$142&lt;120,Paths!$E$142+'Operating costs'!$B$65&gt;Paths!$E$142,Paths!$E$142+'Operating costs'!$B$65&lt;=120,IF(Paths!$E$142+'Operating costs'!$B$65=0,C1499=0,AND(C1499&gt;0,Paths!$E$142+'Operating costs'!$B$65&gt;(C1499-1)*12,Paths!$E$142+'Operating costs'!$B$65&lt;=C1499*12))),'Operating costs'!$B$64,0)+IF(AND('Operating costs'!$B$67&gt;0,'Operating costs'!$B$67&lt;=120,OR(Paths!$D$142="ICE",'Operating costs'!$B$67&lt;=Paths!$E$142),IF('Operating costs'!$B$67=0,C1499=0,AND(C1499&gt;0,'Operating costs'!$B$67&gt;(C1499-1)*12,'Operating costs'!$B$67&lt;=C1499*12))),'Operating costs'!$B$66,0),"n.a."))</f>
        <v>0</v>
      </c>
      <c r="N1499" s="16">
        <f>IF(NOT(Paths!$C$142=1),0,IF(Paths!$P$142="Complete",SUM(G1499:I1499)-J1499-K1499-L1499+M1499+IF(C1499=0,Paths!$F$142,0)+IF(IF(Paths!$E$142=0,C1499=0,AND(C1499&gt;0,Paths!$E$142&gt;(C1499-1)*12,Paths!$E$142&lt;=C1499*12)),VLOOKUP(A1499,'Fleet register'!$A$7:$S$106,16,FALSE),0),"n.a."))</f>
        <v>0</v>
      </c>
      <c r="O1499" s="16">
        <f>IF(NOT(Paths!$C$142=1),0,IF(Paths!$P$142="Complete",N1499-IF(C1499=0,Paths!$F$142,0),"n.a."))</f>
        <v>0</v>
      </c>
      <c r="P1499" s="16">
        <f>IF(NOT(Paths!$C$142=1),0,IF(Paths!$P$142="Complete",O1499+L1499,"n.a."))</f>
        <v>0</v>
      </c>
      <c r="Q1499" s="16">
        <f>IF(NOT(Paths!$C$142=1),0,IF(Paths!$P$142="Complete",N1499*(1+'Operating costs'!$B$54)^-C1499,"n.a."))</f>
        <v>0</v>
      </c>
      <c r="R1499" s="16">
        <f>IF(NOT(Paths!$C$142=1),0,IF(Paths!$P$142="Complete",IF(AND(C1499=0,Paths!$E$142=0),I1499-J1499-K1499+VLOOKUP(A1499,'Fleet register'!$A$7:$S$106,15,FALSE)+VLOOKUP(A1499,'Fleet register'!$A$7:$S$106,16,FALSE),0),"n.a."))</f>
        <v>0</v>
      </c>
      <c r="S1499" s="1">
        <f>IF(NOT(Paths!$C$142=1),0,IF(Paths!$P$142="Complete",IF(C1499=0,0,Paths!$S$142*Paths!$R$142),"n.a."))</f>
        <v>0</v>
      </c>
      <c r="T1499" s="1">
        <f>IF(NOT(Paths!$C$142=1),0,IF(Paths!$P$142="Complete",IF(C1499=0,0,VLOOKUP(A1499,'Fleet register'!$A$7:$S$106,9,FALSE)*Paths!$R$142),"n.a."))</f>
        <v>0</v>
      </c>
    </row>
    <row r="1500" spans="1:20" ht="24" customHeight="1">
      <c r="A1500" s="1" t="str">
        <f>Paths!$A$142</f>
        <v>T034</v>
      </c>
      <c r="B1500" s="1">
        <f>Paths!$B$142</f>
        <v>3</v>
      </c>
      <c r="C1500" s="1">
        <v>8</v>
      </c>
      <c r="D1500" s="1">
        <v>142</v>
      </c>
      <c r="E1500" s="1">
        <f>IF(OR(Paths!$C$142=0,C1500=0),0,MAX(0,MIN(C1500*12,Paths!$E$142)-(C1500-1)*12))</f>
        <v>0</v>
      </c>
      <c r="F1500" s="1">
        <f>IF(OR(Paths!$C$142=0,C1500=0),0,12-E1500)</f>
        <v>0</v>
      </c>
      <c r="G1500" s="16">
        <f>IF(NOT(Paths!$C$142=1),0,IF(Paths!$P$142="Complete",E1500/12*(Paths!$J$142*(1+'Operating costs'!$B$51)^MAX(0,C1500-1)+Paths!$K$142*(1+'Operating costs'!$B$53)^MAX(0,C1500-1)),"n.a."))</f>
        <v>0</v>
      </c>
      <c r="H1500" s="16">
        <f>IF(NOT(Paths!$C$142=1),0,IF(Paths!$P$142="Complete",F1500/12*(Paths!$L$142*(1+IF(Paths!$D$142="EV",'Operating costs'!$B$52,'Operating costs'!$B$51))^MAX(0,C1500-1)+Paths!$M$142*(1+'Operating costs'!$B$53)^MAX(0,C1500-1)),"n.a."))</f>
        <v>0</v>
      </c>
      <c r="I1500" s="16">
        <f>IF(NOT(Paths!$C$142=1),0,IF(Paths!$P$142="Complete",IF(IF(Paths!$E$142=0,C1500=0,AND(C1500&gt;0,Paths!$E$142&gt;(C1500-1)*12,Paths!$E$142&lt;=C1500*12)),Paths!$G$142,0),"n.a."))</f>
        <v>0</v>
      </c>
      <c r="J1500" s="16">
        <f>IF(NOT(Paths!$C$142=1),0,IF(Paths!$P$142="Complete",IF(IF(Paths!$E$142=0,C1500=0,AND(C1500&gt;0,Paths!$E$142&gt;(C1500-1)*12,Paths!$E$142&lt;=C1500*12)),Paths!$H$142,0),"n.a."))</f>
        <v>0</v>
      </c>
      <c r="K1500" s="16">
        <f>IF(NOT(Paths!$C$142=1),0,IF(Paths!$P$142="Complete",IF(IF(Paths!$O$142=0,C1500=0,AND(C1500&gt;0,Paths!$O$142&gt;(C1500-1)*12,Paths!$O$142&lt;=C1500*12)),Paths!$N$142,0),"n.a."))</f>
        <v>0</v>
      </c>
      <c r="L1500" s="16">
        <f>IF(NOT(Paths!$C$142=1),0,IF(Paths!$P$142="Complete",IF(C1500=10,Paths!$I$142,0),"n.a."))</f>
        <v>0</v>
      </c>
      <c r="M1500" s="16">
        <f>IF(NOT(Paths!$C$142=1),0,IF(Paths!$P$142="Complete",IF(AND(Paths!$D$142="EV",Paths!$E$142&lt;120,Paths!$E$142+'Operating costs'!$B$65&gt;Paths!$E$142,Paths!$E$142+'Operating costs'!$B$65&lt;=120,IF(Paths!$E$142+'Operating costs'!$B$65=0,C1500=0,AND(C1500&gt;0,Paths!$E$142+'Operating costs'!$B$65&gt;(C1500-1)*12,Paths!$E$142+'Operating costs'!$B$65&lt;=C1500*12))),'Operating costs'!$B$64,0)+IF(AND('Operating costs'!$B$67&gt;0,'Operating costs'!$B$67&lt;=120,OR(Paths!$D$142="ICE",'Operating costs'!$B$67&lt;=Paths!$E$142),IF('Operating costs'!$B$67=0,C1500=0,AND(C1500&gt;0,'Operating costs'!$B$67&gt;(C1500-1)*12,'Operating costs'!$B$67&lt;=C1500*12))),'Operating costs'!$B$66,0),"n.a."))</f>
        <v>0</v>
      </c>
      <c r="N1500" s="16">
        <f>IF(NOT(Paths!$C$142=1),0,IF(Paths!$P$142="Complete",SUM(G1500:I1500)-J1500-K1500-L1500+M1500+IF(C1500=0,Paths!$F$142,0)+IF(IF(Paths!$E$142=0,C1500=0,AND(C1500&gt;0,Paths!$E$142&gt;(C1500-1)*12,Paths!$E$142&lt;=C1500*12)),VLOOKUP(A1500,'Fleet register'!$A$7:$S$106,16,FALSE),0),"n.a."))</f>
        <v>0</v>
      </c>
      <c r="O1500" s="16">
        <f>IF(NOT(Paths!$C$142=1),0,IF(Paths!$P$142="Complete",N1500-IF(C1500=0,Paths!$F$142,0),"n.a."))</f>
        <v>0</v>
      </c>
      <c r="P1500" s="16">
        <f>IF(NOT(Paths!$C$142=1),0,IF(Paths!$P$142="Complete",O1500+L1500,"n.a."))</f>
        <v>0</v>
      </c>
      <c r="Q1500" s="16">
        <f>IF(NOT(Paths!$C$142=1),0,IF(Paths!$P$142="Complete",N1500*(1+'Operating costs'!$B$54)^-C1500,"n.a."))</f>
        <v>0</v>
      </c>
      <c r="R1500" s="16">
        <f>IF(NOT(Paths!$C$142=1),0,IF(Paths!$P$142="Complete",IF(AND(C1500=0,Paths!$E$142=0),I1500-J1500-K1500+VLOOKUP(A1500,'Fleet register'!$A$7:$S$106,15,FALSE)+VLOOKUP(A1500,'Fleet register'!$A$7:$S$106,16,FALSE),0),"n.a."))</f>
        <v>0</v>
      </c>
      <c r="S1500" s="1">
        <f>IF(NOT(Paths!$C$142=1),0,IF(Paths!$P$142="Complete",IF(C1500=0,0,Paths!$S$142*Paths!$R$142),"n.a."))</f>
        <v>0</v>
      </c>
      <c r="T1500" s="1">
        <f>IF(NOT(Paths!$C$142=1),0,IF(Paths!$P$142="Complete",IF(C1500=0,0,VLOOKUP(A1500,'Fleet register'!$A$7:$S$106,9,FALSE)*Paths!$R$142),"n.a."))</f>
        <v>0</v>
      </c>
    </row>
    <row r="1501" spans="1:20" ht="24" customHeight="1">
      <c r="A1501" s="1" t="str">
        <f>Paths!$A$142</f>
        <v>T034</v>
      </c>
      <c r="B1501" s="1">
        <f>Paths!$B$142</f>
        <v>3</v>
      </c>
      <c r="C1501" s="1">
        <v>9</v>
      </c>
      <c r="D1501" s="1">
        <v>142</v>
      </c>
      <c r="E1501" s="1">
        <f>IF(OR(Paths!$C$142=0,C1501=0),0,MAX(0,MIN(C1501*12,Paths!$E$142)-(C1501-1)*12))</f>
        <v>0</v>
      </c>
      <c r="F1501" s="1">
        <f>IF(OR(Paths!$C$142=0,C1501=0),0,12-E1501)</f>
        <v>0</v>
      </c>
      <c r="G1501" s="16">
        <f>IF(NOT(Paths!$C$142=1),0,IF(Paths!$P$142="Complete",E1501/12*(Paths!$J$142*(1+'Operating costs'!$B$51)^MAX(0,C1501-1)+Paths!$K$142*(1+'Operating costs'!$B$53)^MAX(0,C1501-1)),"n.a."))</f>
        <v>0</v>
      </c>
      <c r="H1501" s="16">
        <f>IF(NOT(Paths!$C$142=1),0,IF(Paths!$P$142="Complete",F1501/12*(Paths!$L$142*(1+IF(Paths!$D$142="EV",'Operating costs'!$B$52,'Operating costs'!$B$51))^MAX(0,C1501-1)+Paths!$M$142*(1+'Operating costs'!$B$53)^MAX(0,C1501-1)),"n.a."))</f>
        <v>0</v>
      </c>
      <c r="I1501" s="16">
        <f>IF(NOT(Paths!$C$142=1),0,IF(Paths!$P$142="Complete",IF(IF(Paths!$E$142=0,C1501=0,AND(C1501&gt;0,Paths!$E$142&gt;(C1501-1)*12,Paths!$E$142&lt;=C1501*12)),Paths!$G$142,0),"n.a."))</f>
        <v>0</v>
      </c>
      <c r="J1501" s="16">
        <f>IF(NOT(Paths!$C$142=1),0,IF(Paths!$P$142="Complete",IF(IF(Paths!$E$142=0,C1501=0,AND(C1501&gt;0,Paths!$E$142&gt;(C1501-1)*12,Paths!$E$142&lt;=C1501*12)),Paths!$H$142,0),"n.a."))</f>
        <v>0</v>
      </c>
      <c r="K1501" s="16">
        <f>IF(NOT(Paths!$C$142=1),0,IF(Paths!$P$142="Complete",IF(IF(Paths!$O$142=0,C1501=0,AND(C1501&gt;0,Paths!$O$142&gt;(C1501-1)*12,Paths!$O$142&lt;=C1501*12)),Paths!$N$142,0),"n.a."))</f>
        <v>0</v>
      </c>
      <c r="L1501" s="16">
        <f>IF(NOT(Paths!$C$142=1),0,IF(Paths!$P$142="Complete",IF(C1501=10,Paths!$I$142,0),"n.a."))</f>
        <v>0</v>
      </c>
      <c r="M1501" s="16">
        <f>IF(NOT(Paths!$C$142=1),0,IF(Paths!$P$142="Complete",IF(AND(Paths!$D$142="EV",Paths!$E$142&lt;120,Paths!$E$142+'Operating costs'!$B$65&gt;Paths!$E$142,Paths!$E$142+'Operating costs'!$B$65&lt;=120,IF(Paths!$E$142+'Operating costs'!$B$65=0,C1501=0,AND(C1501&gt;0,Paths!$E$142+'Operating costs'!$B$65&gt;(C1501-1)*12,Paths!$E$142+'Operating costs'!$B$65&lt;=C1501*12))),'Operating costs'!$B$64,0)+IF(AND('Operating costs'!$B$67&gt;0,'Operating costs'!$B$67&lt;=120,OR(Paths!$D$142="ICE",'Operating costs'!$B$67&lt;=Paths!$E$142),IF('Operating costs'!$B$67=0,C1501=0,AND(C1501&gt;0,'Operating costs'!$B$67&gt;(C1501-1)*12,'Operating costs'!$B$67&lt;=C1501*12))),'Operating costs'!$B$66,0),"n.a."))</f>
        <v>0</v>
      </c>
      <c r="N1501" s="16">
        <f>IF(NOT(Paths!$C$142=1),0,IF(Paths!$P$142="Complete",SUM(G1501:I1501)-J1501-K1501-L1501+M1501+IF(C1501=0,Paths!$F$142,0)+IF(IF(Paths!$E$142=0,C1501=0,AND(C1501&gt;0,Paths!$E$142&gt;(C1501-1)*12,Paths!$E$142&lt;=C1501*12)),VLOOKUP(A1501,'Fleet register'!$A$7:$S$106,16,FALSE),0),"n.a."))</f>
        <v>0</v>
      </c>
      <c r="O1501" s="16">
        <f>IF(NOT(Paths!$C$142=1),0,IF(Paths!$P$142="Complete",N1501-IF(C1501=0,Paths!$F$142,0),"n.a."))</f>
        <v>0</v>
      </c>
      <c r="P1501" s="16">
        <f>IF(NOT(Paths!$C$142=1),0,IF(Paths!$P$142="Complete",O1501+L1501,"n.a."))</f>
        <v>0</v>
      </c>
      <c r="Q1501" s="16">
        <f>IF(NOT(Paths!$C$142=1),0,IF(Paths!$P$142="Complete",N1501*(1+'Operating costs'!$B$54)^-C1501,"n.a."))</f>
        <v>0</v>
      </c>
      <c r="R1501" s="16">
        <f>IF(NOT(Paths!$C$142=1),0,IF(Paths!$P$142="Complete",IF(AND(C1501=0,Paths!$E$142=0),I1501-J1501-K1501+VLOOKUP(A1501,'Fleet register'!$A$7:$S$106,15,FALSE)+VLOOKUP(A1501,'Fleet register'!$A$7:$S$106,16,FALSE),0),"n.a."))</f>
        <v>0</v>
      </c>
      <c r="S1501" s="1">
        <f>IF(NOT(Paths!$C$142=1),0,IF(Paths!$P$142="Complete",IF(C1501=0,0,Paths!$S$142*Paths!$R$142),"n.a."))</f>
        <v>0</v>
      </c>
      <c r="T1501" s="1">
        <f>IF(NOT(Paths!$C$142=1),0,IF(Paths!$P$142="Complete",IF(C1501=0,0,VLOOKUP(A1501,'Fleet register'!$A$7:$S$106,9,FALSE)*Paths!$R$142),"n.a."))</f>
        <v>0</v>
      </c>
    </row>
    <row r="1502" spans="1:20" ht="24" customHeight="1">
      <c r="A1502" s="1" t="str">
        <f>Paths!$A$142</f>
        <v>T034</v>
      </c>
      <c r="B1502" s="1">
        <f>Paths!$B$142</f>
        <v>3</v>
      </c>
      <c r="C1502" s="1">
        <v>10</v>
      </c>
      <c r="D1502" s="1">
        <v>142</v>
      </c>
      <c r="E1502" s="1">
        <f>IF(OR(Paths!$C$142=0,C1502=0),0,MAX(0,MIN(C1502*12,Paths!$E$142)-(C1502-1)*12))</f>
        <v>0</v>
      </c>
      <c r="F1502" s="1">
        <f>IF(OR(Paths!$C$142=0,C1502=0),0,12-E1502)</f>
        <v>0</v>
      </c>
      <c r="G1502" s="16">
        <f>IF(NOT(Paths!$C$142=1),0,IF(Paths!$P$142="Complete",E1502/12*(Paths!$J$142*(1+'Operating costs'!$B$51)^MAX(0,C1502-1)+Paths!$K$142*(1+'Operating costs'!$B$53)^MAX(0,C1502-1)),"n.a."))</f>
        <v>0</v>
      </c>
      <c r="H1502" s="16">
        <f>IF(NOT(Paths!$C$142=1),0,IF(Paths!$P$142="Complete",F1502/12*(Paths!$L$142*(1+IF(Paths!$D$142="EV",'Operating costs'!$B$52,'Operating costs'!$B$51))^MAX(0,C1502-1)+Paths!$M$142*(1+'Operating costs'!$B$53)^MAX(0,C1502-1)),"n.a."))</f>
        <v>0</v>
      </c>
      <c r="I1502" s="16">
        <f>IF(NOT(Paths!$C$142=1),0,IF(Paths!$P$142="Complete",IF(IF(Paths!$E$142=0,C1502=0,AND(C1502&gt;0,Paths!$E$142&gt;(C1502-1)*12,Paths!$E$142&lt;=C1502*12)),Paths!$G$142,0),"n.a."))</f>
        <v>0</v>
      </c>
      <c r="J1502" s="16">
        <f>IF(NOT(Paths!$C$142=1),0,IF(Paths!$P$142="Complete",IF(IF(Paths!$E$142=0,C1502=0,AND(C1502&gt;0,Paths!$E$142&gt;(C1502-1)*12,Paths!$E$142&lt;=C1502*12)),Paths!$H$142,0),"n.a."))</f>
        <v>0</v>
      </c>
      <c r="K1502" s="16">
        <f>IF(NOT(Paths!$C$142=1),0,IF(Paths!$P$142="Complete",IF(IF(Paths!$O$142=0,C1502=0,AND(C1502&gt;0,Paths!$O$142&gt;(C1502-1)*12,Paths!$O$142&lt;=C1502*12)),Paths!$N$142,0),"n.a."))</f>
        <v>0</v>
      </c>
      <c r="L1502" s="16">
        <f>IF(NOT(Paths!$C$142=1),0,IF(Paths!$P$142="Complete",IF(C1502=10,Paths!$I$142,0),"n.a."))</f>
        <v>0</v>
      </c>
      <c r="M1502" s="16">
        <f>IF(NOT(Paths!$C$142=1),0,IF(Paths!$P$142="Complete",IF(AND(Paths!$D$142="EV",Paths!$E$142&lt;120,Paths!$E$142+'Operating costs'!$B$65&gt;Paths!$E$142,Paths!$E$142+'Operating costs'!$B$65&lt;=120,IF(Paths!$E$142+'Operating costs'!$B$65=0,C1502=0,AND(C1502&gt;0,Paths!$E$142+'Operating costs'!$B$65&gt;(C1502-1)*12,Paths!$E$142+'Operating costs'!$B$65&lt;=C1502*12))),'Operating costs'!$B$64,0)+IF(AND('Operating costs'!$B$67&gt;0,'Operating costs'!$B$67&lt;=120,OR(Paths!$D$142="ICE",'Operating costs'!$B$67&lt;=Paths!$E$142),IF('Operating costs'!$B$67=0,C1502=0,AND(C1502&gt;0,'Operating costs'!$B$67&gt;(C1502-1)*12,'Operating costs'!$B$67&lt;=C1502*12))),'Operating costs'!$B$66,0),"n.a."))</f>
        <v>0</v>
      </c>
      <c r="N1502" s="16">
        <f>IF(NOT(Paths!$C$142=1),0,IF(Paths!$P$142="Complete",SUM(G1502:I1502)-J1502-K1502-L1502+M1502+IF(C1502=0,Paths!$F$142,0)+IF(IF(Paths!$E$142=0,C1502=0,AND(C1502&gt;0,Paths!$E$142&gt;(C1502-1)*12,Paths!$E$142&lt;=C1502*12)),VLOOKUP(A1502,'Fleet register'!$A$7:$S$106,16,FALSE),0),"n.a."))</f>
        <v>0</v>
      </c>
      <c r="O1502" s="16">
        <f>IF(NOT(Paths!$C$142=1),0,IF(Paths!$P$142="Complete",N1502-IF(C1502=0,Paths!$F$142,0),"n.a."))</f>
        <v>0</v>
      </c>
      <c r="P1502" s="16">
        <f>IF(NOT(Paths!$C$142=1),0,IF(Paths!$P$142="Complete",O1502+L1502,"n.a."))</f>
        <v>0</v>
      </c>
      <c r="Q1502" s="16">
        <f>IF(NOT(Paths!$C$142=1),0,IF(Paths!$P$142="Complete",N1502*(1+'Operating costs'!$B$54)^-C1502,"n.a."))</f>
        <v>0</v>
      </c>
      <c r="R1502" s="16">
        <f>IF(NOT(Paths!$C$142=1),0,IF(Paths!$P$142="Complete",IF(AND(C1502=0,Paths!$E$142=0),I1502-J1502-K1502+VLOOKUP(A1502,'Fleet register'!$A$7:$S$106,15,FALSE)+VLOOKUP(A1502,'Fleet register'!$A$7:$S$106,16,FALSE),0),"n.a."))</f>
        <v>0</v>
      </c>
      <c r="S1502" s="1">
        <f>IF(NOT(Paths!$C$142=1),0,IF(Paths!$P$142="Complete",IF(C1502=0,0,Paths!$S$142*Paths!$R$142),"n.a."))</f>
        <v>0</v>
      </c>
      <c r="T1502" s="1">
        <f>IF(NOT(Paths!$C$142=1),0,IF(Paths!$P$142="Complete",IF(C1502=0,0,VLOOKUP(A1502,'Fleet register'!$A$7:$S$106,9,FALSE)*Paths!$R$142),"n.a."))</f>
        <v>0</v>
      </c>
    </row>
    <row r="1503" spans="1:20" ht="24" customHeight="1">
      <c r="A1503" s="1" t="str">
        <f>Paths!$A$143</f>
        <v>T035</v>
      </c>
      <c r="B1503" s="1">
        <f>Paths!$B$143</f>
        <v>0</v>
      </c>
      <c r="C1503" s="1">
        <v>0</v>
      </c>
      <c r="D1503" s="1">
        <v>143</v>
      </c>
      <c r="E1503" s="1">
        <f>IF(OR(Paths!$C$143=0,C1503=0),0,MAX(0,MIN(C1503*12,Paths!$E$143)-(C1503-1)*12))</f>
        <v>0</v>
      </c>
      <c r="F1503" s="1">
        <f>IF(OR(Paths!$C$143=0,C1503=0),0,12-E1503)</f>
        <v>0</v>
      </c>
      <c r="G1503" s="16">
        <f>IF(NOT(Paths!$C$143=1),0,IF(Paths!$P$143="Complete",E1503/12*(Paths!$J$143*(1+'Operating costs'!$B$51)^MAX(0,C1503-1)+Paths!$K$143*(1+'Operating costs'!$B$53)^MAX(0,C1503-1)),"n.a."))</f>
        <v>0</v>
      </c>
      <c r="H1503" s="16">
        <f>IF(NOT(Paths!$C$143=1),0,IF(Paths!$P$143="Complete",F1503/12*(Paths!$L$143*(1+IF(Paths!$D$143="EV",'Operating costs'!$B$52,'Operating costs'!$B$51))^MAX(0,C1503-1)+Paths!$M$143*(1+'Operating costs'!$B$53)^MAX(0,C1503-1)),"n.a."))</f>
        <v>0</v>
      </c>
      <c r="I1503" s="16">
        <f>IF(NOT(Paths!$C$143=1),0,IF(Paths!$P$143="Complete",IF(IF(Paths!$E$143=0,C1503=0,AND(C1503&gt;0,Paths!$E$143&gt;(C1503-1)*12,Paths!$E$143&lt;=C1503*12)),Paths!$G$143,0),"n.a."))</f>
        <v>0</v>
      </c>
      <c r="J1503" s="16">
        <f>IF(NOT(Paths!$C$143=1),0,IF(Paths!$P$143="Complete",IF(IF(Paths!$E$143=0,C1503=0,AND(C1503&gt;0,Paths!$E$143&gt;(C1503-1)*12,Paths!$E$143&lt;=C1503*12)),Paths!$H$143,0),"n.a."))</f>
        <v>0</v>
      </c>
      <c r="K1503" s="16">
        <f>IF(NOT(Paths!$C$143=1),0,IF(Paths!$P$143="Complete",IF(IF(Paths!$O$143=0,C1503=0,AND(C1503&gt;0,Paths!$O$143&gt;(C1503-1)*12,Paths!$O$143&lt;=C1503*12)),Paths!$N$143,0),"n.a."))</f>
        <v>0</v>
      </c>
      <c r="L1503" s="16">
        <f>IF(NOT(Paths!$C$143=1),0,IF(Paths!$P$143="Complete",IF(C1503=10,Paths!$I$143,0),"n.a."))</f>
        <v>0</v>
      </c>
      <c r="M1503" s="16">
        <f>IF(NOT(Paths!$C$143=1),0,IF(Paths!$P$143="Complete",IF(AND(Paths!$D$143="EV",Paths!$E$143&lt;120,Paths!$E$143+'Operating costs'!$B$65&gt;Paths!$E$143,Paths!$E$143+'Operating costs'!$B$65&lt;=120,IF(Paths!$E$143+'Operating costs'!$B$65=0,C1503=0,AND(C1503&gt;0,Paths!$E$143+'Operating costs'!$B$65&gt;(C1503-1)*12,Paths!$E$143+'Operating costs'!$B$65&lt;=C1503*12))),'Operating costs'!$B$64,0)+IF(AND('Operating costs'!$B$67&gt;0,'Operating costs'!$B$67&lt;=120,OR(Paths!$D$143="ICE",'Operating costs'!$B$67&lt;=Paths!$E$143),IF('Operating costs'!$B$67=0,C1503=0,AND(C1503&gt;0,'Operating costs'!$B$67&gt;(C1503-1)*12,'Operating costs'!$B$67&lt;=C1503*12))),'Operating costs'!$B$66,0),"n.a."))</f>
        <v>0</v>
      </c>
      <c r="N1503" s="16">
        <f>IF(NOT(Paths!$C$143=1),0,IF(Paths!$P$143="Complete",SUM(G1503:I1503)-J1503-K1503-L1503+M1503+IF(C1503=0,Paths!$F$143,0)+IF(IF(Paths!$E$143=0,C1503=0,AND(C1503&gt;0,Paths!$E$143&gt;(C1503-1)*12,Paths!$E$143&lt;=C1503*12)),VLOOKUP(A1503,'Fleet register'!$A$7:$S$106,16,FALSE),0),"n.a."))</f>
        <v>0</v>
      </c>
      <c r="O1503" s="16">
        <f>IF(NOT(Paths!$C$143=1),0,IF(Paths!$P$143="Complete",N1503-IF(C1503=0,Paths!$F$143,0),"n.a."))</f>
        <v>0</v>
      </c>
      <c r="P1503" s="16">
        <f>IF(NOT(Paths!$C$143=1),0,IF(Paths!$P$143="Complete",O1503+L1503,"n.a."))</f>
        <v>0</v>
      </c>
      <c r="Q1503" s="16">
        <f>IF(NOT(Paths!$C$143=1),0,IF(Paths!$P$143="Complete",N1503*(1+'Operating costs'!$B$54)^-C1503,"n.a."))</f>
        <v>0</v>
      </c>
      <c r="R1503" s="16">
        <f>IF(NOT(Paths!$C$143=1),0,IF(Paths!$P$143="Complete",IF(AND(C1503=0,Paths!$E$143=0),I1503-J1503-K1503+VLOOKUP(A1503,'Fleet register'!$A$7:$S$106,15,FALSE)+VLOOKUP(A1503,'Fleet register'!$A$7:$S$106,16,FALSE),0),"n.a."))</f>
        <v>0</v>
      </c>
      <c r="S1503" s="1">
        <f>IF(NOT(Paths!$C$143=1),0,IF(Paths!$P$143="Complete",IF(C1503=0,0,Paths!$S$143*Paths!$R$143),"n.a."))</f>
        <v>0</v>
      </c>
      <c r="T1503" s="1">
        <f>IF(NOT(Paths!$C$143=1),0,IF(Paths!$P$143="Complete",IF(C1503=0,0,VLOOKUP(A1503,'Fleet register'!$A$7:$S$106,9,FALSE)*Paths!$R$143),"n.a."))</f>
        <v>0</v>
      </c>
    </row>
    <row r="1504" spans="1:20" ht="24" customHeight="1">
      <c r="A1504" s="1" t="str">
        <f>Paths!$A$143</f>
        <v>T035</v>
      </c>
      <c r="B1504" s="1">
        <f>Paths!$B$143</f>
        <v>0</v>
      </c>
      <c r="C1504" s="1">
        <v>1</v>
      </c>
      <c r="D1504" s="1">
        <v>143</v>
      </c>
      <c r="E1504" s="1">
        <f>IF(OR(Paths!$C$143=0,C1504=0),0,MAX(0,MIN(C1504*12,Paths!$E$143)-(C1504-1)*12))</f>
        <v>0</v>
      </c>
      <c r="F1504" s="1">
        <f>IF(OR(Paths!$C$143=0,C1504=0),0,12-E1504)</f>
        <v>0</v>
      </c>
      <c r="G1504" s="16">
        <f>IF(NOT(Paths!$C$143=1),0,IF(Paths!$P$143="Complete",E1504/12*(Paths!$J$143*(1+'Operating costs'!$B$51)^MAX(0,C1504-1)+Paths!$K$143*(1+'Operating costs'!$B$53)^MAX(0,C1504-1)),"n.a."))</f>
        <v>0</v>
      </c>
      <c r="H1504" s="16">
        <f>IF(NOT(Paths!$C$143=1),0,IF(Paths!$P$143="Complete",F1504/12*(Paths!$L$143*(1+IF(Paths!$D$143="EV",'Operating costs'!$B$52,'Operating costs'!$B$51))^MAX(0,C1504-1)+Paths!$M$143*(1+'Operating costs'!$B$53)^MAX(0,C1504-1)),"n.a."))</f>
        <v>0</v>
      </c>
      <c r="I1504" s="16">
        <f>IF(NOT(Paths!$C$143=1),0,IF(Paths!$P$143="Complete",IF(IF(Paths!$E$143=0,C1504=0,AND(C1504&gt;0,Paths!$E$143&gt;(C1504-1)*12,Paths!$E$143&lt;=C1504*12)),Paths!$G$143,0),"n.a."))</f>
        <v>0</v>
      </c>
      <c r="J1504" s="16">
        <f>IF(NOT(Paths!$C$143=1),0,IF(Paths!$P$143="Complete",IF(IF(Paths!$E$143=0,C1504=0,AND(C1504&gt;0,Paths!$E$143&gt;(C1504-1)*12,Paths!$E$143&lt;=C1504*12)),Paths!$H$143,0),"n.a."))</f>
        <v>0</v>
      </c>
      <c r="K1504" s="16">
        <f>IF(NOT(Paths!$C$143=1),0,IF(Paths!$P$143="Complete",IF(IF(Paths!$O$143=0,C1504=0,AND(C1504&gt;0,Paths!$O$143&gt;(C1504-1)*12,Paths!$O$143&lt;=C1504*12)),Paths!$N$143,0),"n.a."))</f>
        <v>0</v>
      </c>
      <c r="L1504" s="16">
        <f>IF(NOT(Paths!$C$143=1),0,IF(Paths!$P$143="Complete",IF(C1504=10,Paths!$I$143,0),"n.a."))</f>
        <v>0</v>
      </c>
      <c r="M1504" s="16">
        <f>IF(NOT(Paths!$C$143=1),0,IF(Paths!$P$143="Complete",IF(AND(Paths!$D$143="EV",Paths!$E$143&lt;120,Paths!$E$143+'Operating costs'!$B$65&gt;Paths!$E$143,Paths!$E$143+'Operating costs'!$B$65&lt;=120,IF(Paths!$E$143+'Operating costs'!$B$65=0,C1504=0,AND(C1504&gt;0,Paths!$E$143+'Operating costs'!$B$65&gt;(C1504-1)*12,Paths!$E$143+'Operating costs'!$B$65&lt;=C1504*12))),'Operating costs'!$B$64,0)+IF(AND('Operating costs'!$B$67&gt;0,'Operating costs'!$B$67&lt;=120,OR(Paths!$D$143="ICE",'Operating costs'!$B$67&lt;=Paths!$E$143),IF('Operating costs'!$B$67=0,C1504=0,AND(C1504&gt;0,'Operating costs'!$B$67&gt;(C1504-1)*12,'Operating costs'!$B$67&lt;=C1504*12))),'Operating costs'!$B$66,0),"n.a."))</f>
        <v>0</v>
      </c>
      <c r="N1504" s="16">
        <f>IF(NOT(Paths!$C$143=1),0,IF(Paths!$P$143="Complete",SUM(G1504:I1504)-J1504-K1504-L1504+M1504+IF(C1504=0,Paths!$F$143,0)+IF(IF(Paths!$E$143=0,C1504=0,AND(C1504&gt;0,Paths!$E$143&gt;(C1504-1)*12,Paths!$E$143&lt;=C1504*12)),VLOOKUP(A1504,'Fleet register'!$A$7:$S$106,16,FALSE),0),"n.a."))</f>
        <v>0</v>
      </c>
      <c r="O1504" s="16">
        <f>IF(NOT(Paths!$C$143=1),0,IF(Paths!$P$143="Complete",N1504-IF(C1504=0,Paths!$F$143,0),"n.a."))</f>
        <v>0</v>
      </c>
      <c r="P1504" s="16">
        <f>IF(NOT(Paths!$C$143=1),0,IF(Paths!$P$143="Complete",O1504+L1504,"n.a."))</f>
        <v>0</v>
      </c>
      <c r="Q1504" s="16">
        <f>IF(NOT(Paths!$C$143=1),0,IF(Paths!$P$143="Complete",N1504*(1+'Operating costs'!$B$54)^-C1504,"n.a."))</f>
        <v>0</v>
      </c>
      <c r="R1504" s="16">
        <f>IF(NOT(Paths!$C$143=1),0,IF(Paths!$P$143="Complete",IF(AND(C1504=0,Paths!$E$143=0),I1504-J1504-K1504+VLOOKUP(A1504,'Fleet register'!$A$7:$S$106,15,FALSE)+VLOOKUP(A1504,'Fleet register'!$A$7:$S$106,16,FALSE),0),"n.a."))</f>
        <v>0</v>
      </c>
      <c r="S1504" s="1">
        <f>IF(NOT(Paths!$C$143=1),0,IF(Paths!$P$143="Complete",IF(C1504=0,0,Paths!$S$143*Paths!$R$143),"n.a."))</f>
        <v>0</v>
      </c>
      <c r="T1504" s="1">
        <f>IF(NOT(Paths!$C$143=1),0,IF(Paths!$P$143="Complete",IF(C1504=0,0,VLOOKUP(A1504,'Fleet register'!$A$7:$S$106,9,FALSE)*Paths!$R$143),"n.a."))</f>
        <v>0</v>
      </c>
    </row>
    <row r="1505" spans="1:20" ht="24" customHeight="1">
      <c r="A1505" s="1" t="str">
        <f>Paths!$A$143</f>
        <v>T035</v>
      </c>
      <c r="B1505" s="1">
        <f>Paths!$B$143</f>
        <v>0</v>
      </c>
      <c r="C1505" s="1">
        <v>2</v>
      </c>
      <c r="D1505" s="1">
        <v>143</v>
      </c>
      <c r="E1505" s="1">
        <f>IF(OR(Paths!$C$143=0,C1505=0),0,MAX(0,MIN(C1505*12,Paths!$E$143)-(C1505-1)*12))</f>
        <v>0</v>
      </c>
      <c r="F1505" s="1">
        <f>IF(OR(Paths!$C$143=0,C1505=0),0,12-E1505)</f>
        <v>0</v>
      </c>
      <c r="G1505" s="16">
        <f>IF(NOT(Paths!$C$143=1),0,IF(Paths!$P$143="Complete",E1505/12*(Paths!$J$143*(1+'Operating costs'!$B$51)^MAX(0,C1505-1)+Paths!$K$143*(1+'Operating costs'!$B$53)^MAX(0,C1505-1)),"n.a."))</f>
        <v>0</v>
      </c>
      <c r="H1505" s="16">
        <f>IF(NOT(Paths!$C$143=1),0,IF(Paths!$P$143="Complete",F1505/12*(Paths!$L$143*(1+IF(Paths!$D$143="EV",'Operating costs'!$B$52,'Operating costs'!$B$51))^MAX(0,C1505-1)+Paths!$M$143*(1+'Operating costs'!$B$53)^MAX(0,C1505-1)),"n.a."))</f>
        <v>0</v>
      </c>
      <c r="I1505" s="16">
        <f>IF(NOT(Paths!$C$143=1),0,IF(Paths!$P$143="Complete",IF(IF(Paths!$E$143=0,C1505=0,AND(C1505&gt;0,Paths!$E$143&gt;(C1505-1)*12,Paths!$E$143&lt;=C1505*12)),Paths!$G$143,0),"n.a."))</f>
        <v>0</v>
      </c>
      <c r="J1505" s="16">
        <f>IF(NOT(Paths!$C$143=1),0,IF(Paths!$P$143="Complete",IF(IF(Paths!$E$143=0,C1505=0,AND(C1505&gt;0,Paths!$E$143&gt;(C1505-1)*12,Paths!$E$143&lt;=C1505*12)),Paths!$H$143,0),"n.a."))</f>
        <v>0</v>
      </c>
      <c r="K1505" s="16">
        <f>IF(NOT(Paths!$C$143=1),0,IF(Paths!$P$143="Complete",IF(IF(Paths!$O$143=0,C1505=0,AND(C1505&gt;0,Paths!$O$143&gt;(C1505-1)*12,Paths!$O$143&lt;=C1505*12)),Paths!$N$143,0),"n.a."))</f>
        <v>0</v>
      </c>
      <c r="L1505" s="16">
        <f>IF(NOT(Paths!$C$143=1),0,IF(Paths!$P$143="Complete",IF(C1505=10,Paths!$I$143,0),"n.a."))</f>
        <v>0</v>
      </c>
      <c r="M1505" s="16">
        <f>IF(NOT(Paths!$C$143=1),0,IF(Paths!$P$143="Complete",IF(AND(Paths!$D$143="EV",Paths!$E$143&lt;120,Paths!$E$143+'Operating costs'!$B$65&gt;Paths!$E$143,Paths!$E$143+'Operating costs'!$B$65&lt;=120,IF(Paths!$E$143+'Operating costs'!$B$65=0,C1505=0,AND(C1505&gt;0,Paths!$E$143+'Operating costs'!$B$65&gt;(C1505-1)*12,Paths!$E$143+'Operating costs'!$B$65&lt;=C1505*12))),'Operating costs'!$B$64,0)+IF(AND('Operating costs'!$B$67&gt;0,'Operating costs'!$B$67&lt;=120,OR(Paths!$D$143="ICE",'Operating costs'!$B$67&lt;=Paths!$E$143),IF('Operating costs'!$B$67=0,C1505=0,AND(C1505&gt;0,'Operating costs'!$B$67&gt;(C1505-1)*12,'Operating costs'!$B$67&lt;=C1505*12))),'Operating costs'!$B$66,0),"n.a."))</f>
        <v>0</v>
      </c>
      <c r="N1505" s="16">
        <f>IF(NOT(Paths!$C$143=1),0,IF(Paths!$P$143="Complete",SUM(G1505:I1505)-J1505-K1505-L1505+M1505+IF(C1505=0,Paths!$F$143,0)+IF(IF(Paths!$E$143=0,C1505=0,AND(C1505&gt;0,Paths!$E$143&gt;(C1505-1)*12,Paths!$E$143&lt;=C1505*12)),VLOOKUP(A1505,'Fleet register'!$A$7:$S$106,16,FALSE),0),"n.a."))</f>
        <v>0</v>
      </c>
      <c r="O1505" s="16">
        <f>IF(NOT(Paths!$C$143=1),0,IF(Paths!$P$143="Complete",N1505-IF(C1505=0,Paths!$F$143,0),"n.a."))</f>
        <v>0</v>
      </c>
      <c r="P1505" s="16">
        <f>IF(NOT(Paths!$C$143=1),0,IF(Paths!$P$143="Complete",O1505+L1505,"n.a."))</f>
        <v>0</v>
      </c>
      <c r="Q1505" s="16">
        <f>IF(NOT(Paths!$C$143=1),0,IF(Paths!$P$143="Complete",N1505*(1+'Operating costs'!$B$54)^-C1505,"n.a."))</f>
        <v>0</v>
      </c>
      <c r="R1505" s="16">
        <f>IF(NOT(Paths!$C$143=1),0,IF(Paths!$P$143="Complete",IF(AND(C1505=0,Paths!$E$143=0),I1505-J1505-K1505+VLOOKUP(A1505,'Fleet register'!$A$7:$S$106,15,FALSE)+VLOOKUP(A1505,'Fleet register'!$A$7:$S$106,16,FALSE),0),"n.a."))</f>
        <v>0</v>
      </c>
      <c r="S1505" s="1">
        <f>IF(NOT(Paths!$C$143=1),0,IF(Paths!$P$143="Complete",IF(C1505=0,0,Paths!$S$143*Paths!$R$143),"n.a."))</f>
        <v>0</v>
      </c>
      <c r="T1505" s="1">
        <f>IF(NOT(Paths!$C$143=1),0,IF(Paths!$P$143="Complete",IF(C1505=0,0,VLOOKUP(A1505,'Fleet register'!$A$7:$S$106,9,FALSE)*Paths!$R$143),"n.a."))</f>
        <v>0</v>
      </c>
    </row>
    <row r="1506" spans="1:20" ht="24" customHeight="1">
      <c r="A1506" s="1" t="str">
        <f>Paths!$A$143</f>
        <v>T035</v>
      </c>
      <c r="B1506" s="1">
        <f>Paths!$B$143</f>
        <v>0</v>
      </c>
      <c r="C1506" s="1">
        <v>3</v>
      </c>
      <c r="D1506" s="1">
        <v>143</v>
      </c>
      <c r="E1506" s="1">
        <f>IF(OR(Paths!$C$143=0,C1506=0),0,MAX(0,MIN(C1506*12,Paths!$E$143)-(C1506-1)*12))</f>
        <v>0</v>
      </c>
      <c r="F1506" s="1">
        <f>IF(OR(Paths!$C$143=0,C1506=0),0,12-E1506)</f>
        <v>0</v>
      </c>
      <c r="G1506" s="16">
        <f>IF(NOT(Paths!$C$143=1),0,IF(Paths!$P$143="Complete",E1506/12*(Paths!$J$143*(1+'Operating costs'!$B$51)^MAX(0,C1506-1)+Paths!$K$143*(1+'Operating costs'!$B$53)^MAX(0,C1506-1)),"n.a."))</f>
        <v>0</v>
      </c>
      <c r="H1506" s="16">
        <f>IF(NOT(Paths!$C$143=1),0,IF(Paths!$P$143="Complete",F1506/12*(Paths!$L$143*(1+IF(Paths!$D$143="EV",'Operating costs'!$B$52,'Operating costs'!$B$51))^MAX(0,C1506-1)+Paths!$M$143*(1+'Operating costs'!$B$53)^MAX(0,C1506-1)),"n.a."))</f>
        <v>0</v>
      </c>
      <c r="I1506" s="16">
        <f>IF(NOT(Paths!$C$143=1),0,IF(Paths!$P$143="Complete",IF(IF(Paths!$E$143=0,C1506=0,AND(C1506&gt;0,Paths!$E$143&gt;(C1506-1)*12,Paths!$E$143&lt;=C1506*12)),Paths!$G$143,0),"n.a."))</f>
        <v>0</v>
      </c>
      <c r="J1506" s="16">
        <f>IF(NOT(Paths!$C$143=1),0,IF(Paths!$P$143="Complete",IF(IF(Paths!$E$143=0,C1506=0,AND(C1506&gt;0,Paths!$E$143&gt;(C1506-1)*12,Paths!$E$143&lt;=C1506*12)),Paths!$H$143,0),"n.a."))</f>
        <v>0</v>
      </c>
      <c r="K1506" s="16">
        <f>IF(NOT(Paths!$C$143=1),0,IF(Paths!$P$143="Complete",IF(IF(Paths!$O$143=0,C1506=0,AND(C1506&gt;0,Paths!$O$143&gt;(C1506-1)*12,Paths!$O$143&lt;=C1506*12)),Paths!$N$143,0),"n.a."))</f>
        <v>0</v>
      </c>
      <c r="L1506" s="16">
        <f>IF(NOT(Paths!$C$143=1),0,IF(Paths!$P$143="Complete",IF(C1506=10,Paths!$I$143,0),"n.a."))</f>
        <v>0</v>
      </c>
      <c r="M1506" s="16">
        <f>IF(NOT(Paths!$C$143=1),0,IF(Paths!$P$143="Complete",IF(AND(Paths!$D$143="EV",Paths!$E$143&lt;120,Paths!$E$143+'Operating costs'!$B$65&gt;Paths!$E$143,Paths!$E$143+'Operating costs'!$B$65&lt;=120,IF(Paths!$E$143+'Operating costs'!$B$65=0,C1506=0,AND(C1506&gt;0,Paths!$E$143+'Operating costs'!$B$65&gt;(C1506-1)*12,Paths!$E$143+'Operating costs'!$B$65&lt;=C1506*12))),'Operating costs'!$B$64,0)+IF(AND('Operating costs'!$B$67&gt;0,'Operating costs'!$B$67&lt;=120,OR(Paths!$D$143="ICE",'Operating costs'!$B$67&lt;=Paths!$E$143),IF('Operating costs'!$B$67=0,C1506=0,AND(C1506&gt;0,'Operating costs'!$B$67&gt;(C1506-1)*12,'Operating costs'!$B$67&lt;=C1506*12))),'Operating costs'!$B$66,0),"n.a."))</f>
        <v>0</v>
      </c>
      <c r="N1506" s="16">
        <f>IF(NOT(Paths!$C$143=1),0,IF(Paths!$P$143="Complete",SUM(G1506:I1506)-J1506-K1506-L1506+M1506+IF(C1506=0,Paths!$F$143,0)+IF(IF(Paths!$E$143=0,C1506=0,AND(C1506&gt;0,Paths!$E$143&gt;(C1506-1)*12,Paths!$E$143&lt;=C1506*12)),VLOOKUP(A1506,'Fleet register'!$A$7:$S$106,16,FALSE),0),"n.a."))</f>
        <v>0</v>
      </c>
      <c r="O1506" s="16">
        <f>IF(NOT(Paths!$C$143=1),0,IF(Paths!$P$143="Complete",N1506-IF(C1506=0,Paths!$F$143,0),"n.a."))</f>
        <v>0</v>
      </c>
      <c r="P1506" s="16">
        <f>IF(NOT(Paths!$C$143=1),0,IF(Paths!$P$143="Complete",O1506+L1506,"n.a."))</f>
        <v>0</v>
      </c>
      <c r="Q1506" s="16">
        <f>IF(NOT(Paths!$C$143=1),0,IF(Paths!$P$143="Complete",N1506*(1+'Operating costs'!$B$54)^-C1506,"n.a."))</f>
        <v>0</v>
      </c>
      <c r="R1506" s="16">
        <f>IF(NOT(Paths!$C$143=1),0,IF(Paths!$P$143="Complete",IF(AND(C1506=0,Paths!$E$143=0),I1506-J1506-K1506+VLOOKUP(A1506,'Fleet register'!$A$7:$S$106,15,FALSE)+VLOOKUP(A1506,'Fleet register'!$A$7:$S$106,16,FALSE),0),"n.a."))</f>
        <v>0</v>
      </c>
      <c r="S1506" s="1">
        <f>IF(NOT(Paths!$C$143=1),0,IF(Paths!$P$143="Complete",IF(C1506=0,0,Paths!$S$143*Paths!$R$143),"n.a."))</f>
        <v>0</v>
      </c>
      <c r="T1506" s="1">
        <f>IF(NOT(Paths!$C$143=1),0,IF(Paths!$P$143="Complete",IF(C1506=0,0,VLOOKUP(A1506,'Fleet register'!$A$7:$S$106,9,FALSE)*Paths!$R$143),"n.a."))</f>
        <v>0</v>
      </c>
    </row>
    <row r="1507" spans="1:20" ht="24" customHeight="1">
      <c r="A1507" s="1" t="str">
        <f>Paths!$A$143</f>
        <v>T035</v>
      </c>
      <c r="B1507" s="1">
        <f>Paths!$B$143</f>
        <v>0</v>
      </c>
      <c r="C1507" s="1">
        <v>4</v>
      </c>
      <c r="D1507" s="1">
        <v>143</v>
      </c>
      <c r="E1507" s="1">
        <f>IF(OR(Paths!$C$143=0,C1507=0),0,MAX(0,MIN(C1507*12,Paths!$E$143)-(C1507-1)*12))</f>
        <v>0</v>
      </c>
      <c r="F1507" s="1">
        <f>IF(OR(Paths!$C$143=0,C1507=0),0,12-E1507)</f>
        <v>0</v>
      </c>
      <c r="G1507" s="16">
        <f>IF(NOT(Paths!$C$143=1),0,IF(Paths!$P$143="Complete",E1507/12*(Paths!$J$143*(1+'Operating costs'!$B$51)^MAX(0,C1507-1)+Paths!$K$143*(1+'Operating costs'!$B$53)^MAX(0,C1507-1)),"n.a."))</f>
        <v>0</v>
      </c>
      <c r="H1507" s="16">
        <f>IF(NOT(Paths!$C$143=1),0,IF(Paths!$P$143="Complete",F1507/12*(Paths!$L$143*(1+IF(Paths!$D$143="EV",'Operating costs'!$B$52,'Operating costs'!$B$51))^MAX(0,C1507-1)+Paths!$M$143*(1+'Operating costs'!$B$53)^MAX(0,C1507-1)),"n.a."))</f>
        <v>0</v>
      </c>
      <c r="I1507" s="16">
        <f>IF(NOT(Paths!$C$143=1),0,IF(Paths!$P$143="Complete",IF(IF(Paths!$E$143=0,C1507=0,AND(C1507&gt;0,Paths!$E$143&gt;(C1507-1)*12,Paths!$E$143&lt;=C1507*12)),Paths!$G$143,0),"n.a."))</f>
        <v>0</v>
      </c>
      <c r="J1507" s="16">
        <f>IF(NOT(Paths!$C$143=1),0,IF(Paths!$P$143="Complete",IF(IF(Paths!$E$143=0,C1507=0,AND(C1507&gt;0,Paths!$E$143&gt;(C1507-1)*12,Paths!$E$143&lt;=C1507*12)),Paths!$H$143,0),"n.a."))</f>
        <v>0</v>
      </c>
      <c r="K1507" s="16">
        <f>IF(NOT(Paths!$C$143=1),0,IF(Paths!$P$143="Complete",IF(IF(Paths!$O$143=0,C1507=0,AND(C1507&gt;0,Paths!$O$143&gt;(C1507-1)*12,Paths!$O$143&lt;=C1507*12)),Paths!$N$143,0),"n.a."))</f>
        <v>0</v>
      </c>
      <c r="L1507" s="16">
        <f>IF(NOT(Paths!$C$143=1),0,IF(Paths!$P$143="Complete",IF(C1507=10,Paths!$I$143,0),"n.a."))</f>
        <v>0</v>
      </c>
      <c r="M1507" s="16">
        <f>IF(NOT(Paths!$C$143=1),0,IF(Paths!$P$143="Complete",IF(AND(Paths!$D$143="EV",Paths!$E$143&lt;120,Paths!$E$143+'Operating costs'!$B$65&gt;Paths!$E$143,Paths!$E$143+'Operating costs'!$B$65&lt;=120,IF(Paths!$E$143+'Operating costs'!$B$65=0,C1507=0,AND(C1507&gt;0,Paths!$E$143+'Operating costs'!$B$65&gt;(C1507-1)*12,Paths!$E$143+'Operating costs'!$B$65&lt;=C1507*12))),'Operating costs'!$B$64,0)+IF(AND('Operating costs'!$B$67&gt;0,'Operating costs'!$B$67&lt;=120,OR(Paths!$D$143="ICE",'Operating costs'!$B$67&lt;=Paths!$E$143),IF('Operating costs'!$B$67=0,C1507=0,AND(C1507&gt;0,'Operating costs'!$B$67&gt;(C1507-1)*12,'Operating costs'!$B$67&lt;=C1507*12))),'Operating costs'!$B$66,0),"n.a."))</f>
        <v>0</v>
      </c>
      <c r="N1507" s="16">
        <f>IF(NOT(Paths!$C$143=1),0,IF(Paths!$P$143="Complete",SUM(G1507:I1507)-J1507-K1507-L1507+M1507+IF(C1507=0,Paths!$F$143,0)+IF(IF(Paths!$E$143=0,C1507=0,AND(C1507&gt;0,Paths!$E$143&gt;(C1507-1)*12,Paths!$E$143&lt;=C1507*12)),VLOOKUP(A1507,'Fleet register'!$A$7:$S$106,16,FALSE),0),"n.a."))</f>
        <v>0</v>
      </c>
      <c r="O1507" s="16">
        <f>IF(NOT(Paths!$C$143=1),0,IF(Paths!$P$143="Complete",N1507-IF(C1507=0,Paths!$F$143,0),"n.a."))</f>
        <v>0</v>
      </c>
      <c r="P1507" s="16">
        <f>IF(NOT(Paths!$C$143=1),0,IF(Paths!$P$143="Complete",O1507+L1507,"n.a."))</f>
        <v>0</v>
      </c>
      <c r="Q1507" s="16">
        <f>IF(NOT(Paths!$C$143=1),0,IF(Paths!$P$143="Complete",N1507*(1+'Operating costs'!$B$54)^-C1507,"n.a."))</f>
        <v>0</v>
      </c>
      <c r="R1507" s="16">
        <f>IF(NOT(Paths!$C$143=1),0,IF(Paths!$P$143="Complete",IF(AND(C1507=0,Paths!$E$143=0),I1507-J1507-K1507+VLOOKUP(A1507,'Fleet register'!$A$7:$S$106,15,FALSE)+VLOOKUP(A1507,'Fleet register'!$A$7:$S$106,16,FALSE),0),"n.a."))</f>
        <v>0</v>
      </c>
      <c r="S1507" s="1">
        <f>IF(NOT(Paths!$C$143=1),0,IF(Paths!$P$143="Complete",IF(C1507=0,0,Paths!$S$143*Paths!$R$143),"n.a."))</f>
        <v>0</v>
      </c>
      <c r="T1507" s="1">
        <f>IF(NOT(Paths!$C$143=1),0,IF(Paths!$P$143="Complete",IF(C1507=0,0,VLOOKUP(A1507,'Fleet register'!$A$7:$S$106,9,FALSE)*Paths!$R$143),"n.a."))</f>
        <v>0</v>
      </c>
    </row>
    <row r="1508" spans="1:20" ht="24" customHeight="1">
      <c r="A1508" s="1" t="str">
        <f>Paths!$A$143</f>
        <v>T035</v>
      </c>
      <c r="B1508" s="1">
        <f>Paths!$B$143</f>
        <v>0</v>
      </c>
      <c r="C1508" s="1">
        <v>5</v>
      </c>
      <c r="D1508" s="1">
        <v>143</v>
      </c>
      <c r="E1508" s="1">
        <f>IF(OR(Paths!$C$143=0,C1508=0),0,MAX(0,MIN(C1508*12,Paths!$E$143)-(C1508-1)*12))</f>
        <v>0</v>
      </c>
      <c r="F1508" s="1">
        <f>IF(OR(Paths!$C$143=0,C1508=0),0,12-E1508)</f>
        <v>0</v>
      </c>
      <c r="G1508" s="16">
        <f>IF(NOT(Paths!$C$143=1),0,IF(Paths!$P$143="Complete",E1508/12*(Paths!$J$143*(1+'Operating costs'!$B$51)^MAX(0,C1508-1)+Paths!$K$143*(1+'Operating costs'!$B$53)^MAX(0,C1508-1)),"n.a."))</f>
        <v>0</v>
      </c>
      <c r="H1508" s="16">
        <f>IF(NOT(Paths!$C$143=1),0,IF(Paths!$P$143="Complete",F1508/12*(Paths!$L$143*(1+IF(Paths!$D$143="EV",'Operating costs'!$B$52,'Operating costs'!$B$51))^MAX(0,C1508-1)+Paths!$M$143*(1+'Operating costs'!$B$53)^MAX(0,C1508-1)),"n.a."))</f>
        <v>0</v>
      </c>
      <c r="I1508" s="16">
        <f>IF(NOT(Paths!$C$143=1),0,IF(Paths!$P$143="Complete",IF(IF(Paths!$E$143=0,C1508=0,AND(C1508&gt;0,Paths!$E$143&gt;(C1508-1)*12,Paths!$E$143&lt;=C1508*12)),Paths!$G$143,0),"n.a."))</f>
        <v>0</v>
      </c>
      <c r="J1508" s="16">
        <f>IF(NOT(Paths!$C$143=1),0,IF(Paths!$P$143="Complete",IF(IF(Paths!$E$143=0,C1508=0,AND(C1508&gt;0,Paths!$E$143&gt;(C1508-1)*12,Paths!$E$143&lt;=C1508*12)),Paths!$H$143,0),"n.a."))</f>
        <v>0</v>
      </c>
      <c r="K1508" s="16">
        <f>IF(NOT(Paths!$C$143=1),0,IF(Paths!$P$143="Complete",IF(IF(Paths!$O$143=0,C1508=0,AND(C1508&gt;0,Paths!$O$143&gt;(C1508-1)*12,Paths!$O$143&lt;=C1508*12)),Paths!$N$143,0),"n.a."))</f>
        <v>0</v>
      </c>
      <c r="L1508" s="16">
        <f>IF(NOT(Paths!$C$143=1),0,IF(Paths!$P$143="Complete",IF(C1508=10,Paths!$I$143,0),"n.a."))</f>
        <v>0</v>
      </c>
      <c r="M1508" s="16">
        <f>IF(NOT(Paths!$C$143=1),0,IF(Paths!$P$143="Complete",IF(AND(Paths!$D$143="EV",Paths!$E$143&lt;120,Paths!$E$143+'Operating costs'!$B$65&gt;Paths!$E$143,Paths!$E$143+'Operating costs'!$B$65&lt;=120,IF(Paths!$E$143+'Operating costs'!$B$65=0,C1508=0,AND(C1508&gt;0,Paths!$E$143+'Operating costs'!$B$65&gt;(C1508-1)*12,Paths!$E$143+'Operating costs'!$B$65&lt;=C1508*12))),'Operating costs'!$B$64,0)+IF(AND('Operating costs'!$B$67&gt;0,'Operating costs'!$B$67&lt;=120,OR(Paths!$D$143="ICE",'Operating costs'!$B$67&lt;=Paths!$E$143),IF('Operating costs'!$B$67=0,C1508=0,AND(C1508&gt;0,'Operating costs'!$B$67&gt;(C1508-1)*12,'Operating costs'!$B$67&lt;=C1508*12))),'Operating costs'!$B$66,0),"n.a."))</f>
        <v>0</v>
      </c>
      <c r="N1508" s="16">
        <f>IF(NOT(Paths!$C$143=1),0,IF(Paths!$P$143="Complete",SUM(G1508:I1508)-J1508-K1508-L1508+M1508+IF(C1508=0,Paths!$F$143,0)+IF(IF(Paths!$E$143=0,C1508=0,AND(C1508&gt;0,Paths!$E$143&gt;(C1508-1)*12,Paths!$E$143&lt;=C1508*12)),VLOOKUP(A1508,'Fleet register'!$A$7:$S$106,16,FALSE),0),"n.a."))</f>
        <v>0</v>
      </c>
      <c r="O1508" s="16">
        <f>IF(NOT(Paths!$C$143=1),0,IF(Paths!$P$143="Complete",N1508-IF(C1508=0,Paths!$F$143,0),"n.a."))</f>
        <v>0</v>
      </c>
      <c r="P1508" s="16">
        <f>IF(NOT(Paths!$C$143=1),0,IF(Paths!$P$143="Complete",O1508+L1508,"n.a."))</f>
        <v>0</v>
      </c>
      <c r="Q1508" s="16">
        <f>IF(NOT(Paths!$C$143=1),0,IF(Paths!$P$143="Complete",N1508*(1+'Operating costs'!$B$54)^-C1508,"n.a."))</f>
        <v>0</v>
      </c>
      <c r="R1508" s="16">
        <f>IF(NOT(Paths!$C$143=1),0,IF(Paths!$P$143="Complete",IF(AND(C1508=0,Paths!$E$143=0),I1508-J1508-K1508+VLOOKUP(A1508,'Fleet register'!$A$7:$S$106,15,FALSE)+VLOOKUP(A1508,'Fleet register'!$A$7:$S$106,16,FALSE),0),"n.a."))</f>
        <v>0</v>
      </c>
      <c r="S1508" s="1">
        <f>IF(NOT(Paths!$C$143=1),0,IF(Paths!$P$143="Complete",IF(C1508=0,0,Paths!$S$143*Paths!$R$143),"n.a."))</f>
        <v>0</v>
      </c>
      <c r="T1508" s="1">
        <f>IF(NOT(Paths!$C$143=1),0,IF(Paths!$P$143="Complete",IF(C1508=0,0,VLOOKUP(A1508,'Fleet register'!$A$7:$S$106,9,FALSE)*Paths!$R$143),"n.a."))</f>
        <v>0</v>
      </c>
    </row>
    <row r="1509" spans="1:20" ht="24" customHeight="1">
      <c r="A1509" s="1" t="str">
        <f>Paths!$A$143</f>
        <v>T035</v>
      </c>
      <c r="B1509" s="1">
        <f>Paths!$B$143</f>
        <v>0</v>
      </c>
      <c r="C1509" s="1">
        <v>6</v>
      </c>
      <c r="D1509" s="1">
        <v>143</v>
      </c>
      <c r="E1509" s="1">
        <f>IF(OR(Paths!$C$143=0,C1509=0),0,MAX(0,MIN(C1509*12,Paths!$E$143)-(C1509-1)*12))</f>
        <v>0</v>
      </c>
      <c r="F1509" s="1">
        <f>IF(OR(Paths!$C$143=0,C1509=0),0,12-E1509)</f>
        <v>0</v>
      </c>
      <c r="G1509" s="16">
        <f>IF(NOT(Paths!$C$143=1),0,IF(Paths!$P$143="Complete",E1509/12*(Paths!$J$143*(1+'Operating costs'!$B$51)^MAX(0,C1509-1)+Paths!$K$143*(1+'Operating costs'!$B$53)^MAX(0,C1509-1)),"n.a."))</f>
        <v>0</v>
      </c>
      <c r="H1509" s="16">
        <f>IF(NOT(Paths!$C$143=1),0,IF(Paths!$P$143="Complete",F1509/12*(Paths!$L$143*(1+IF(Paths!$D$143="EV",'Operating costs'!$B$52,'Operating costs'!$B$51))^MAX(0,C1509-1)+Paths!$M$143*(1+'Operating costs'!$B$53)^MAX(0,C1509-1)),"n.a."))</f>
        <v>0</v>
      </c>
      <c r="I1509" s="16">
        <f>IF(NOT(Paths!$C$143=1),0,IF(Paths!$P$143="Complete",IF(IF(Paths!$E$143=0,C1509=0,AND(C1509&gt;0,Paths!$E$143&gt;(C1509-1)*12,Paths!$E$143&lt;=C1509*12)),Paths!$G$143,0),"n.a."))</f>
        <v>0</v>
      </c>
      <c r="J1509" s="16">
        <f>IF(NOT(Paths!$C$143=1),0,IF(Paths!$P$143="Complete",IF(IF(Paths!$E$143=0,C1509=0,AND(C1509&gt;0,Paths!$E$143&gt;(C1509-1)*12,Paths!$E$143&lt;=C1509*12)),Paths!$H$143,0),"n.a."))</f>
        <v>0</v>
      </c>
      <c r="K1509" s="16">
        <f>IF(NOT(Paths!$C$143=1),0,IF(Paths!$P$143="Complete",IF(IF(Paths!$O$143=0,C1509=0,AND(C1509&gt;0,Paths!$O$143&gt;(C1509-1)*12,Paths!$O$143&lt;=C1509*12)),Paths!$N$143,0),"n.a."))</f>
        <v>0</v>
      </c>
      <c r="L1509" s="16">
        <f>IF(NOT(Paths!$C$143=1),0,IF(Paths!$P$143="Complete",IF(C1509=10,Paths!$I$143,0),"n.a."))</f>
        <v>0</v>
      </c>
      <c r="M1509" s="16">
        <f>IF(NOT(Paths!$C$143=1),0,IF(Paths!$P$143="Complete",IF(AND(Paths!$D$143="EV",Paths!$E$143&lt;120,Paths!$E$143+'Operating costs'!$B$65&gt;Paths!$E$143,Paths!$E$143+'Operating costs'!$B$65&lt;=120,IF(Paths!$E$143+'Operating costs'!$B$65=0,C1509=0,AND(C1509&gt;0,Paths!$E$143+'Operating costs'!$B$65&gt;(C1509-1)*12,Paths!$E$143+'Operating costs'!$B$65&lt;=C1509*12))),'Operating costs'!$B$64,0)+IF(AND('Operating costs'!$B$67&gt;0,'Operating costs'!$B$67&lt;=120,OR(Paths!$D$143="ICE",'Operating costs'!$B$67&lt;=Paths!$E$143),IF('Operating costs'!$B$67=0,C1509=0,AND(C1509&gt;0,'Operating costs'!$B$67&gt;(C1509-1)*12,'Operating costs'!$B$67&lt;=C1509*12))),'Operating costs'!$B$66,0),"n.a."))</f>
        <v>0</v>
      </c>
      <c r="N1509" s="16">
        <f>IF(NOT(Paths!$C$143=1),0,IF(Paths!$P$143="Complete",SUM(G1509:I1509)-J1509-K1509-L1509+M1509+IF(C1509=0,Paths!$F$143,0)+IF(IF(Paths!$E$143=0,C1509=0,AND(C1509&gt;0,Paths!$E$143&gt;(C1509-1)*12,Paths!$E$143&lt;=C1509*12)),VLOOKUP(A1509,'Fleet register'!$A$7:$S$106,16,FALSE),0),"n.a."))</f>
        <v>0</v>
      </c>
      <c r="O1509" s="16">
        <f>IF(NOT(Paths!$C$143=1),0,IF(Paths!$P$143="Complete",N1509-IF(C1509=0,Paths!$F$143,0),"n.a."))</f>
        <v>0</v>
      </c>
      <c r="P1509" s="16">
        <f>IF(NOT(Paths!$C$143=1),0,IF(Paths!$P$143="Complete",O1509+L1509,"n.a."))</f>
        <v>0</v>
      </c>
      <c r="Q1509" s="16">
        <f>IF(NOT(Paths!$C$143=1),0,IF(Paths!$P$143="Complete",N1509*(1+'Operating costs'!$B$54)^-C1509,"n.a."))</f>
        <v>0</v>
      </c>
      <c r="R1509" s="16">
        <f>IF(NOT(Paths!$C$143=1),0,IF(Paths!$P$143="Complete",IF(AND(C1509=0,Paths!$E$143=0),I1509-J1509-K1509+VLOOKUP(A1509,'Fleet register'!$A$7:$S$106,15,FALSE)+VLOOKUP(A1509,'Fleet register'!$A$7:$S$106,16,FALSE),0),"n.a."))</f>
        <v>0</v>
      </c>
      <c r="S1509" s="1">
        <f>IF(NOT(Paths!$C$143=1),0,IF(Paths!$P$143="Complete",IF(C1509=0,0,Paths!$S$143*Paths!$R$143),"n.a."))</f>
        <v>0</v>
      </c>
      <c r="T1509" s="1">
        <f>IF(NOT(Paths!$C$143=1),0,IF(Paths!$P$143="Complete",IF(C1509=0,0,VLOOKUP(A1509,'Fleet register'!$A$7:$S$106,9,FALSE)*Paths!$R$143),"n.a."))</f>
        <v>0</v>
      </c>
    </row>
    <row r="1510" spans="1:20" ht="24" customHeight="1">
      <c r="A1510" s="1" t="str">
        <f>Paths!$A$143</f>
        <v>T035</v>
      </c>
      <c r="B1510" s="1">
        <f>Paths!$B$143</f>
        <v>0</v>
      </c>
      <c r="C1510" s="1">
        <v>7</v>
      </c>
      <c r="D1510" s="1">
        <v>143</v>
      </c>
      <c r="E1510" s="1">
        <f>IF(OR(Paths!$C$143=0,C1510=0),0,MAX(0,MIN(C1510*12,Paths!$E$143)-(C1510-1)*12))</f>
        <v>0</v>
      </c>
      <c r="F1510" s="1">
        <f>IF(OR(Paths!$C$143=0,C1510=0),0,12-E1510)</f>
        <v>0</v>
      </c>
      <c r="G1510" s="16">
        <f>IF(NOT(Paths!$C$143=1),0,IF(Paths!$P$143="Complete",E1510/12*(Paths!$J$143*(1+'Operating costs'!$B$51)^MAX(0,C1510-1)+Paths!$K$143*(1+'Operating costs'!$B$53)^MAX(0,C1510-1)),"n.a."))</f>
        <v>0</v>
      </c>
      <c r="H1510" s="16">
        <f>IF(NOT(Paths!$C$143=1),0,IF(Paths!$P$143="Complete",F1510/12*(Paths!$L$143*(1+IF(Paths!$D$143="EV",'Operating costs'!$B$52,'Operating costs'!$B$51))^MAX(0,C1510-1)+Paths!$M$143*(1+'Operating costs'!$B$53)^MAX(0,C1510-1)),"n.a."))</f>
        <v>0</v>
      </c>
      <c r="I1510" s="16">
        <f>IF(NOT(Paths!$C$143=1),0,IF(Paths!$P$143="Complete",IF(IF(Paths!$E$143=0,C1510=0,AND(C1510&gt;0,Paths!$E$143&gt;(C1510-1)*12,Paths!$E$143&lt;=C1510*12)),Paths!$G$143,0),"n.a."))</f>
        <v>0</v>
      </c>
      <c r="J1510" s="16">
        <f>IF(NOT(Paths!$C$143=1),0,IF(Paths!$P$143="Complete",IF(IF(Paths!$E$143=0,C1510=0,AND(C1510&gt;0,Paths!$E$143&gt;(C1510-1)*12,Paths!$E$143&lt;=C1510*12)),Paths!$H$143,0),"n.a."))</f>
        <v>0</v>
      </c>
      <c r="K1510" s="16">
        <f>IF(NOT(Paths!$C$143=1),0,IF(Paths!$P$143="Complete",IF(IF(Paths!$O$143=0,C1510=0,AND(C1510&gt;0,Paths!$O$143&gt;(C1510-1)*12,Paths!$O$143&lt;=C1510*12)),Paths!$N$143,0),"n.a."))</f>
        <v>0</v>
      </c>
      <c r="L1510" s="16">
        <f>IF(NOT(Paths!$C$143=1),0,IF(Paths!$P$143="Complete",IF(C1510=10,Paths!$I$143,0),"n.a."))</f>
        <v>0</v>
      </c>
      <c r="M1510" s="16">
        <f>IF(NOT(Paths!$C$143=1),0,IF(Paths!$P$143="Complete",IF(AND(Paths!$D$143="EV",Paths!$E$143&lt;120,Paths!$E$143+'Operating costs'!$B$65&gt;Paths!$E$143,Paths!$E$143+'Operating costs'!$B$65&lt;=120,IF(Paths!$E$143+'Operating costs'!$B$65=0,C1510=0,AND(C1510&gt;0,Paths!$E$143+'Operating costs'!$B$65&gt;(C1510-1)*12,Paths!$E$143+'Operating costs'!$B$65&lt;=C1510*12))),'Operating costs'!$B$64,0)+IF(AND('Operating costs'!$B$67&gt;0,'Operating costs'!$B$67&lt;=120,OR(Paths!$D$143="ICE",'Operating costs'!$B$67&lt;=Paths!$E$143),IF('Operating costs'!$B$67=0,C1510=0,AND(C1510&gt;0,'Operating costs'!$B$67&gt;(C1510-1)*12,'Operating costs'!$B$67&lt;=C1510*12))),'Operating costs'!$B$66,0),"n.a."))</f>
        <v>0</v>
      </c>
      <c r="N1510" s="16">
        <f>IF(NOT(Paths!$C$143=1),0,IF(Paths!$P$143="Complete",SUM(G1510:I1510)-J1510-K1510-L1510+M1510+IF(C1510=0,Paths!$F$143,0)+IF(IF(Paths!$E$143=0,C1510=0,AND(C1510&gt;0,Paths!$E$143&gt;(C1510-1)*12,Paths!$E$143&lt;=C1510*12)),VLOOKUP(A1510,'Fleet register'!$A$7:$S$106,16,FALSE),0),"n.a."))</f>
        <v>0</v>
      </c>
      <c r="O1510" s="16">
        <f>IF(NOT(Paths!$C$143=1),0,IF(Paths!$P$143="Complete",N1510-IF(C1510=0,Paths!$F$143,0),"n.a."))</f>
        <v>0</v>
      </c>
      <c r="P1510" s="16">
        <f>IF(NOT(Paths!$C$143=1),0,IF(Paths!$P$143="Complete",O1510+L1510,"n.a."))</f>
        <v>0</v>
      </c>
      <c r="Q1510" s="16">
        <f>IF(NOT(Paths!$C$143=1),0,IF(Paths!$P$143="Complete",N1510*(1+'Operating costs'!$B$54)^-C1510,"n.a."))</f>
        <v>0</v>
      </c>
      <c r="R1510" s="16">
        <f>IF(NOT(Paths!$C$143=1),0,IF(Paths!$P$143="Complete",IF(AND(C1510=0,Paths!$E$143=0),I1510-J1510-K1510+VLOOKUP(A1510,'Fleet register'!$A$7:$S$106,15,FALSE)+VLOOKUP(A1510,'Fleet register'!$A$7:$S$106,16,FALSE),0),"n.a."))</f>
        <v>0</v>
      </c>
      <c r="S1510" s="1">
        <f>IF(NOT(Paths!$C$143=1),0,IF(Paths!$P$143="Complete",IF(C1510=0,0,Paths!$S$143*Paths!$R$143),"n.a."))</f>
        <v>0</v>
      </c>
      <c r="T1510" s="1">
        <f>IF(NOT(Paths!$C$143=1),0,IF(Paths!$P$143="Complete",IF(C1510=0,0,VLOOKUP(A1510,'Fleet register'!$A$7:$S$106,9,FALSE)*Paths!$R$143),"n.a."))</f>
        <v>0</v>
      </c>
    </row>
    <row r="1511" spans="1:20" ht="24" customHeight="1">
      <c r="A1511" s="1" t="str">
        <f>Paths!$A$143</f>
        <v>T035</v>
      </c>
      <c r="B1511" s="1">
        <f>Paths!$B$143</f>
        <v>0</v>
      </c>
      <c r="C1511" s="1">
        <v>8</v>
      </c>
      <c r="D1511" s="1">
        <v>143</v>
      </c>
      <c r="E1511" s="1">
        <f>IF(OR(Paths!$C$143=0,C1511=0),0,MAX(0,MIN(C1511*12,Paths!$E$143)-(C1511-1)*12))</f>
        <v>0</v>
      </c>
      <c r="F1511" s="1">
        <f>IF(OR(Paths!$C$143=0,C1511=0),0,12-E1511)</f>
        <v>0</v>
      </c>
      <c r="G1511" s="16">
        <f>IF(NOT(Paths!$C$143=1),0,IF(Paths!$P$143="Complete",E1511/12*(Paths!$J$143*(1+'Operating costs'!$B$51)^MAX(0,C1511-1)+Paths!$K$143*(1+'Operating costs'!$B$53)^MAX(0,C1511-1)),"n.a."))</f>
        <v>0</v>
      </c>
      <c r="H1511" s="16">
        <f>IF(NOT(Paths!$C$143=1),0,IF(Paths!$P$143="Complete",F1511/12*(Paths!$L$143*(1+IF(Paths!$D$143="EV",'Operating costs'!$B$52,'Operating costs'!$B$51))^MAX(0,C1511-1)+Paths!$M$143*(1+'Operating costs'!$B$53)^MAX(0,C1511-1)),"n.a."))</f>
        <v>0</v>
      </c>
      <c r="I1511" s="16">
        <f>IF(NOT(Paths!$C$143=1),0,IF(Paths!$P$143="Complete",IF(IF(Paths!$E$143=0,C1511=0,AND(C1511&gt;0,Paths!$E$143&gt;(C1511-1)*12,Paths!$E$143&lt;=C1511*12)),Paths!$G$143,0),"n.a."))</f>
        <v>0</v>
      </c>
      <c r="J1511" s="16">
        <f>IF(NOT(Paths!$C$143=1),0,IF(Paths!$P$143="Complete",IF(IF(Paths!$E$143=0,C1511=0,AND(C1511&gt;0,Paths!$E$143&gt;(C1511-1)*12,Paths!$E$143&lt;=C1511*12)),Paths!$H$143,0),"n.a."))</f>
        <v>0</v>
      </c>
      <c r="K1511" s="16">
        <f>IF(NOT(Paths!$C$143=1),0,IF(Paths!$P$143="Complete",IF(IF(Paths!$O$143=0,C1511=0,AND(C1511&gt;0,Paths!$O$143&gt;(C1511-1)*12,Paths!$O$143&lt;=C1511*12)),Paths!$N$143,0),"n.a."))</f>
        <v>0</v>
      </c>
      <c r="L1511" s="16">
        <f>IF(NOT(Paths!$C$143=1),0,IF(Paths!$P$143="Complete",IF(C1511=10,Paths!$I$143,0),"n.a."))</f>
        <v>0</v>
      </c>
      <c r="M1511" s="16">
        <f>IF(NOT(Paths!$C$143=1),0,IF(Paths!$P$143="Complete",IF(AND(Paths!$D$143="EV",Paths!$E$143&lt;120,Paths!$E$143+'Operating costs'!$B$65&gt;Paths!$E$143,Paths!$E$143+'Operating costs'!$B$65&lt;=120,IF(Paths!$E$143+'Operating costs'!$B$65=0,C1511=0,AND(C1511&gt;0,Paths!$E$143+'Operating costs'!$B$65&gt;(C1511-1)*12,Paths!$E$143+'Operating costs'!$B$65&lt;=C1511*12))),'Operating costs'!$B$64,0)+IF(AND('Operating costs'!$B$67&gt;0,'Operating costs'!$B$67&lt;=120,OR(Paths!$D$143="ICE",'Operating costs'!$B$67&lt;=Paths!$E$143),IF('Operating costs'!$B$67=0,C1511=0,AND(C1511&gt;0,'Operating costs'!$B$67&gt;(C1511-1)*12,'Operating costs'!$B$67&lt;=C1511*12))),'Operating costs'!$B$66,0),"n.a."))</f>
        <v>0</v>
      </c>
      <c r="N1511" s="16">
        <f>IF(NOT(Paths!$C$143=1),0,IF(Paths!$P$143="Complete",SUM(G1511:I1511)-J1511-K1511-L1511+M1511+IF(C1511=0,Paths!$F$143,0)+IF(IF(Paths!$E$143=0,C1511=0,AND(C1511&gt;0,Paths!$E$143&gt;(C1511-1)*12,Paths!$E$143&lt;=C1511*12)),VLOOKUP(A1511,'Fleet register'!$A$7:$S$106,16,FALSE),0),"n.a."))</f>
        <v>0</v>
      </c>
      <c r="O1511" s="16">
        <f>IF(NOT(Paths!$C$143=1),0,IF(Paths!$P$143="Complete",N1511-IF(C1511=0,Paths!$F$143,0),"n.a."))</f>
        <v>0</v>
      </c>
      <c r="P1511" s="16">
        <f>IF(NOT(Paths!$C$143=1),0,IF(Paths!$P$143="Complete",O1511+L1511,"n.a."))</f>
        <v>0</v>
      </c>
      <c r="Q1511" s="16">
        <f>IF(NOT(Paths!$C$143=1),0,IF(Paths!$P$143="Complete",N1511*(1+'Operating costs'!$B$54)^-C1511,"n.a."))</f>
        <v>0</v>
      </c>
      <c r="R1511" s="16">
        <f>IF(NOT(Paths!$C$143=1),0,IF(Paths!$P$143="Complete",IF(AND(C1511=0,Paths!$E$143=0),I1511-J1511-K1511+VLOOKUP(A1511,'Fleet register'!$A$7:$S$106,15,FALSE)+VLOOKUP(A1511,'Fleet register'!$A$7:$S$106,16,FALSE),0),"n.a."))</f>
        <v>0</v>
      </c>
      <c r="S1511" s="1">
        <f>IF(NOT(Paths!$C$143=1),0,IF(Paths!$P$143="Complete",IF(C1511=0,0,Paths!$S$143*Paths!$R$143),"n.a."))</f>
        <v>0</v>
      </c>
      <c r="T1511" s="1">
        <f>IF(NOT(Paths!$C$143=1),0,IF(Paths!$P$143="Complete",IF(C1511=0,0,VLOOKUP(A1511,'Fleet register'!$A$7:$S$106,9,FALSE)*Paths!$R$143),"n.a."))</f>
        <v>0</v>
      </c>
    </row>
    <row r="1512" spans="1:20" ht="24" customHeight="1">
      <c r="A1512" s="1" t="str">
        <f>Paths!$A$143</f>
        <v>T035</v>
      </c>
      <c r="B1512" s="1">
        <f>Paths!$B$143</f>
        <v>0</v>
      </c>
      <c r="C1512" s="1">
        <v>9</v>
      </c>
      <c r="D1512" s="1">
        <v>143</v>
      </c>
      <c r="E1512" s="1">
        <f>IF(OR(Paths!$C$143=0,C1512=0),0,MAX(0,MIN(C1512*12,Paths!$E$143)-(C1512-1)*12))</f>
        <v>0</v>
      </c>
      <c r="F1512" s="1">
        <f>IF(OR(Paths!$C$143=0,C1512=0),0,12-E1512)</f>
        <v>0</v>
      </c>
      <c r="G1512" s="16">
        <f>IF(NOT(Paths!$C$143=1),0,IF(Paths!$P$143="Complete",E1512/12*(Paths!$J$143*(1+'Operating costs'!$B$51)^MAX(0,C1512-1)+Paths!$K$143*(1+'Operating costs'!$B$53)^MAX(0,C1512-1)),"n.a."))</f>
        <v>0</v>
      </c>
      <c r="H1512" s="16">
        <f>IF(NOT(Paths!$C$143=1),0,IF(Paths!$P$143="Complete",F1512/12*(Paths!$L$143*(1+IF(Paths!$D$143="EV",'Operating costs'!$B$52,'Operating costs'!$B$51))^MAX(0,C1512-1)+Paths!$M$143*(1+'Operating costs'!$B$53)^MAX(0,C1512-1)),"n.a."))</f>
        <v>0</v>
      </c>
      <c r="I1512" s="16">
        <f>IF(NOT(Paths!$C$143=1),0,IF(Paths!$P$143="Complete",IF(IF(Paths!$E$143=0,C1512=0,AND(C1512&gt;0,Paths!$E$143&gt;(C1512-1)*12,Paths!$E$143&lt;=C1512*12)),Paths!$G$143,0),"n.a."))</f>
        <v>0</v>
      </c>
      <c r="J1512" s="16">
        <f>IF(NOT(Paths!$C$143=1),0,IF(Paths!$P$143="Complete",IF(IF(Paths!$E$143=0,C1512=0,AND(C1512&gt;0,Paths!$E$143&gt;(C1512-1)*12,Paths!$E$143&lt;=C1512*12)),Paths!$H$143,0),"n.a."))</f>
        <v>0</v>
      </c>
      <c r="K1512" s="16">
        <f>IF(NOT(Paths!$C$143=1),0,IF(Paths!$P$143="Complete",IF(IF(Paths!$O$143=0,C1512=0,AND(C1512&gt;0,Paths!$O$143&gt;(C1512-1)*12,Paths!$O$143&lt;=C1512*12)),Paths!$N$143,0),"n.a."))</f>
        <v>0</v>
      </c>
      <c r="L1512" s="16">
        <f>IF(NOT(Paths!$C$143=1),0,IF(Paths!$P$143="Complete",IF(C1512=10,Paths!$I$143,0),"n.a."))</f>
        <v>0</v>
      </c>
      <c r="M1512" s="16">
        <f>IF(NOT(Paths!$C$143=1),0,IF(Paths!$P$143="Complete",IF(AND(Paths!$D$143="EV",Paths!$E$143&lt;120,Paths!$E$143+'Operating costs'!$B$65&gt;Paths!$E$143,Paths!$E$143+'Operating costs'!$B$65&lt;=120,IF(Paths!$E$143+'Operating costs'!$B$65=0,C1512=0,AND(C1512&gt;0,Paths!$E$143+'Operating costs'!$B$65&gt;(C1512-1)*12,Paths!$E$143+'Operating costs'!$B$65&lt;=C1512*12))),'Operating costs'!$B$64,0)+IF(AND('Operating costs'!$B$67&gt;0,'Operating costs'!$B$67&lt;=120,OR(Paths!$D$143="ICE",'Operating costs'!$B$67&lt;=Paths!$E$143),IF('Operating costs'!$B$67=0,C1512=0,AND(C1512&gt;0,'Operating costs'!$B$67&gt;(C1512-1)*12,'Operating costs'!$B$67&lt;=C1512*12))),'Operating costs'!$B$66,0),"n.a."))</f>
        <v>0</v>
      </c>
      <c r="N1512" s="16">
        <f>IF(NOT(Paths!$C$143=1),0,IF(Paths!$P$143="Complete",SUM(G1512:I1512)-J1512-K1512-L1512+M1512+IF(C1512=0,Paths!$F$143,0)+IF(IF(Paths!$E$143=0,C1512=0,AND(C1512&gt;0,Paths!$E$143&gt;(C1512-1)*12,Paths!$E$143&lt;=C1512*12)),VLOOKUP(A1512,'Fleet register'!$A$7:$S$106,16,FALSE),0),"n.a."))</f>
        <v>0</v>
      </c>
      <c r="O1512" s="16">
        <f>IF(NOT(Paths!$C$143=1),0,IF(Paths!$P$143="Complete",N1512-IF(C1512=0,Paths!$F$143,0),"n.a."))</f>
        <v>0</v>
      </c>
      <c r="P1512" s="16">
        <f>IF(NOT(Paths!$C$143=1),0,IF(Paths!$P$143="Complete",O1512+L1512,"n.a."))</f>
        <v>0</v>
      </c>
      <c r="Q1512" s="16">
        <f>IF(NOT(Paths!$C$143=1),0,IF(Paths!$P$143="Complete",N1512*(1+'Operating costs'!$B$54)^-C1512,"n.a."))</f>
        <v>0</v>
      </c>
      <c r="R1512" s="16">
        <f>IF(NOT(Paths!$C$143=1),0,IF(Paths!$P$143="Complete",IF(AND(C1512=0,Paths!$E$143=0),I1512-J1512-K1512+VLOOKUP(A1512,'Fleet register'!$A$7:$S$106,15,FALSE)+VLOOKUP(A1512,'Fleet register'!$A$7:$S$106,16,FALSE),0),"n.a."))</f>
        <v>0</v>
      </c>
      <c r="S1512" s="1">
        <f>IF(NOT(Paths!$C$143=1),0,IF(Paths!$P$143="Complete",IF(C1512=0,0,Paths!$S$143*Paths!$R$143),"n.a."))</f>
        <v>0</v>
      </c>
      <c r="T1512" s="1">
        <f>IF(NOT(Paths!$C$143=1),0,IF(Paths!$P$143="Complete",IF(C1512=0,0,VLOOKUP(A1512,'Fleet register'!$A$7:$S$106,9,FALSE)*Paths!$R$143),"n.a."))</f>
        <v>0</v>
      </c>
    </row>
    <row r="1513" spans="1:20" ht="24" customHeight="1">
      <c r="A1513" s="1" t="str">
        <f>Paths!$A$143</f>
        <v>T035</v>
      </c>
      <c r="B1513" s="1">
        <f>Paths!$B$143</f>
        <v>0</v>
      </c>
      <c r="C1513" s="1">
        <v>10</v>
      </c>
      <c r="D1513" s="1">
        <v>143</v>
      </c>
      <c r="E1513" s="1">
        <f>IF(OR(Paths!$C$143=0,C1513=0),0,MAX(0,MIN(C1513*12,Paths!$E$143)-(C1513-1)*12))</f>
        <v>0</v>
      </c>
      <c r="F1513" s="1">
        <f>IF(OR(Paths!$C$143=0,C1513=0),0,12-E1513)</f>
        <v>0</v>
      </c>
      <c r="G1513" s="16">
        <f>IF(NOT(Paths!$C$143=1),0,IF(Paths!$P$143="Complete",E1513/12*(Paths!$J$143*(1+'Operating costs'!$B$51)^MAX(0,C1513-1)+Paths!$K$143*(1+'Operating costs'!$B$53)^MAX(0,C1513-1)),"n.a."))</f>
        <v>0</v>
      </c>
      <c r="H1513" s="16">
        <f>IF(NOT(Paths!$C$143=1),0,IF(Paths!$P$143="Complete",F1513/12*(Paths!$L$143*(1+IF(Paths!$D$143="EV",'Operating costs'!$B$52,'Operating costs'!$B$51))^MAX(0,C1513-1)+Paths!$M$143*(1+'Operating costs'!$B$53)^MAX(0,C1513-1)),"n.a."))</f>
        <v>0</v>
      </c>
      <c r="I1513" s="16">
        <f>IF(NOT(Paths!$C$143=1),0,IF(Paths!$P$143="Complete",IF(IF(Paths!$E$143=0,C1513=0,AND(C1513&gt;0,Paths!$E$143&gt;(C1513-1)*12,Paths!$E$143&lt;=C1513*12)),Paths!$G$143,0),"n.a."))</f>
        <v>0</v>
      </c>
      <c r="J1513" s="16">
        <f>IF(NOT(Paths!$C$143=1),0,IF(Paths!$P$143="Complete",IF(IF(Paths!$E$143=0,C1513=0,AND(C1513&gt;0,Paths!$E$143&gt;(C1513-1)*12,Paths!$E$143&lt;=C1513*12)),Paths!$H$143,0),"n.a."))</f>
        <v>0</v>
      </c>
      <c r="K1513" s="16">
        <f>IF(NOT(Paths!$C$143=1),0,IF(Paths!$P$143="Complete",IF(IF(Paths!$O$143=0,C1513=0,AND(C1513&gt;0,Paths!$O$143&gt;(C1513-1)*12,Paths!$O$143&lt;=C1513*12)),Paths!$N$143,0),"n.a."))</f>
        <v>0</v>
      </c>
      <c r="L1513" s="16">
        <f>IF(NOT(Paths!$C$143=1),0,IF(Paths!$P$143="Complete",IF(C1513=10,Paths!$I$143,0),"n.a."))</f>
        <v>0</v>
      </c>
      <c r="M1513" s="16">
        <f>IF(NOT(Paths!$C$143=1),0,IF(Paths!$P$143="Complete",IF(AND(Paths!$D$143="EV",Paths!$E$143&lt;120,Paths!$E$143+'Operating costs'!$B$65&gt;Paths!$E$143,Paths!$E$143+'Operating costs'!$B$65&lt;=120,IF(Paths!$E$143+'Operating costs'!$B$65=0,C1513=0,AND(C1513&gt;0,Paths!$E$143+'Operating costs'!$B$65&gt;(C1513-1)*12,Paths!$E$143+'Operating costs'!$B$65&lt;=C1513*12))),'Operating costs'!$B$64,0)+IF(AND('Operating costs'!$B$67&gt;0,'Operating costs'!$B$67&lt;=120,OR(Paths!$D$143="ICE",'Operating costs'!$B$67&lt;=Paths!$E$143),IF('Operating costs'!$B$67=0,C1513=0,AND(C1513&gt;0,'Operating costs'!$B$67&gt;(C1513-1)*12,'Operating costs'!$B$67&lt;=C1513*12))),'Operating costs'!$B$66,0),"n.a."))</f>
        <v>0</v>
      </c>
      <c r="N1513" s="16">
        <f>IF(NOT(Paths!$C$143=1),0,IF(Paths!$P$143="Complete",SUM(G1513:I1513)-J1513-K1513-L1513+M1513+IF(C1513=0,Paths!$F$143,0)+IF(IF(Paths!$E$143=0,C1513=0,AND(C1513&gt;0,Paths!$E$143&gt;(C1513-1)*12,Paths!$E$143&lt;=C1513*12)),VLOOKUP(A1513,'Fleet register'!$A$7:$S$106,16,FALSE),0),"n.a."))</f>
        <v>0</v>
      </c>
      <c r="O1513" s="16">
        <f>IF(NOT(Paths!$C$143=1),0,IF(Paths!$P$143="Complete",N1513-IF(C1513=0,Paths!$F$143,0),"n.a."))</f>
        <v>0</v>
      </c>
      <c r="P1513" s="16">
        <f>IF(NOT(Paths!$C$143=1),0,IF(Paths!$P$143="Complete",O1513+L1513,"n.a."))</f>
        <v>0</v>
      </c>
      <c r="Q1513" s="16">
        <f>IF(NOT(Paths!$C$143=1),0,IF(Paths!$P$143="Complete",N1513*(1+'Operating costs'!$B$54)^-C1513,"n.a."))</f>
        <v>0</v>
      </c>
      <c r="R1513" s="16">
        <f>IF(NOT(Paths!$C$143=1),0,IF(Paths!$P$143="Complete",IF(AND(C1513=0,Paths!$E$143=0),I1513-J1513-K1513+VLOOKUP(A1513,'Fleet register'!$A$7:$S$106,15,FALSE)+VLOOKUP(A1513,'Fleet register'!$A$7:$S$106,16,FALSE),0),"n.a."))</f>
        <v>0</v>
      </c>
      <c r="S1513" s="1">
        <f>IF(NOT(Paths!$C$143=1),0,IF(Paths!$P$143="Complete",IF(C1513=0,0,Paths!$S$143*Paths!$R$143),"n.a."))</f>
        <v>0</v>
      </c>
      <c r="T1513" s="1">
        <f>IF(NOT(Paths!$C$143=1),0,IF(Paths!$P$143="Complete",IF(C1513=0,0,VLOOKUP(A1513,'Fleet register'!$A$7:$S$106,9,FALSE)*Paths!$R$143),"n.a."))</f>
        <v>0</v>
      </c>
    </row>
    <row r="1514" spans="1:20" ht="24" customHeight="1">
      <c r="A1514" s="1" t="str">
        <f>Paths!$A$144</f>
        <v>T035</v>
      </c>
      <c r="B1514" s="1">
        <f>Paths!$B$144</f>
        <v>1</v>
      </c>
      <c r="C1514" s="1">
        <v>0</v>
      </c>
      <c r="D1514" s="1">
        <v>144</v>
      </c>
      <c r="E1514" s="1">
        <f>IF(OR(Paths!$C$144=0,C1514=0),0,MAX(0,MIN(C1514*12,Paths!$E$144)-(C1514-1)*12))</f>
        <v>0</v>
      </c>
      <c r="F1514" s="1">
        <f>IF(OR(Paths!$C$144=0,C1514=0),0,12-E1514)</f>
        <v>0</v>
      </c>
      <c r="G1514" s="16">
        <f>IF(NOT(Paths!$C$144=1),0,IF(Paths!$P$144="Complete",E1514/12*(Paths!$J$144*(1+'Operating costs'!$B$51)^MAX(0,C1514-1)+Paths!$K$144*(1+'Operating costs'!$B$53)^MAX(0,C1514-1)),"n.a."))</f>
        <v>0</v>
      </c>
      <c r="H1514" s="16">
        <f>IF(NOT(Paths!$C$144=1),0,IF(Paths!$P$144="Complete",F1514/12*(Paths!$L$144*(1+IF(Paths!$D$144="EV",'Operating costs'!$B$52,'Operating costs'!$B$51))^MAX(0,C1514-1)+Paths!$M$144*(1+'Operating costs'!$B$53)^MAX(0,C1514-1)),"n.a."))</f>
        <v>0</v>
      </c>
      <c r="I1514" s="16">
        <f>IF(NOT(Paths!$C$144=1),0,IF(Paths!$P$144="Complete",IF(IF(Paths!$E$144=0,C1514=0,AND(C1514&gt;0,Paths!$E$144&gt;(C1514-1)*12,Paths!$E$144&lt;=C1514*12)),Paths!$G$144,0),"n.a."))</f>
        <v>0</v>
      </c>
      <c r="J1514" s="16">
        <f>IF(NOT(Paths!$C$144=1),0,IF(Paths!$P$144="Complete",IF(IF(Paths!$E$144=0,C1514=0,AND(C1514&gt;0,Paths!$E$144&gt;(C1514-1)*12,Paths!$E$144&lt;=C1514*12)),Paths!$H$144,0),"n.a."))</f>
        <v>0</v>
      </c>
      <c r="K1514" s="16">
        <f>IF(NOT(Paths!$C$144=1),0,IF(Paths!$P$144="Complete",IF(IF(Paths!$O$144=0,C1514=0,AND(C1514&gt;0,Paths!$O$144&gt;(C1514-1)*12,Paths!$O$144&lt;=C1514*12)),Paths!$N$144,0),"n.a."))</f>
        <v>0</v>
      </c>
      <c r="L1514" s="16">
        <f>IF(NOT(Paths!$C$144=1),0,IF(Paths!$P$144="Complete",IF(C1514=10,Paths!$I$144,0),"n.a."))</f>
        <v>0</v>
      </c>
      <c r="M1514" s="16">
        <f>IF(NOT(Paths!$C$144=1),0,IF(Paths!$P$144="Complete",IF(AND(Paths!$D$144="EV",Paths!$E$144&lt;120,Paths!$E$144+'Operating costs'!$B$65&gt;Paths!$E$144,Paths!$E$144+'Operating costs'!$B$65&lt;=120,IF(Paths!$E$144+'Operating costs'!$B$65=0,C1514=0,AND(C1514&gt;0,Paths!$E$144+'Operating costs'!$B$65&gt;(C1514-1)*12,Paths!$E$144+'Operating costs'!$B$65&lt;=C1514*12))),'Operating costs'!$B$64,0)+IF(AND('Operating costs'!$B$67&gt;0,'Operating costs'!$B$67&lt;=120,OR(Paths!$D$144="ICE",'Operating costs'!$B$67&lt;=Paths!$E$144),IF('Operating costs'!$B$67=0,C1514=0,AND(C1514&gt;0,'Operating costs'!$B$67&gt;(C1514-1)*12,'Operating costs'!$B$67&lt;=C1514*12))),'Operating costs'!$B$66,0),"n.a."))</f>
        <v>0</v>
      </c>
      <c r="N1514" s="16">
        <f>IF(NOT(Paths!$C$144=1),0,IF(Paths!$P$144="Complete",SUM(G1514:I1514)-J1514-K1514-L1514+M1514+IF(C1514=0,Paths!$F$144,0)+IF(IF(Paths!$E$144=0,C1514=0,AND(C1514&gt;0,Paths!$E$144&gt;(C1514-1)*12,Paths!$E$144&lt;=C1514*12)),VLOOKUP(A1514,'Fleet register'!$A$7:$S$106,16,FALSE),0),"n.a."))</f>
        <v>0</v>
      </c>
      <c r="O1514" s="16">
        <f>IF(NOT(Paths!$C$144=1),0,IF(Paths!$P$144="Complete",N1514-IF(C1514=0,Paths!$F$144,0),"n.a."))</f>
        <v>0</v>
      </c>
      <c r="P1514" s="16">
        <f>IF(NOT(Paths!$C$144=1),0,IF(Paths!$P$144="Complete",O1514+L1514,"n.a."))</f>
        <v>0</v>
      </c>
      <c r="Q1514" s="16">
        <f>IF(NOT(Paths!$C$144=1),0,IF(Paths!$P$144="Complete",N1514*(1+'Operating costs'!$B$54)^-C1514,"n.a."))</f>
        <v>0</v>
      </c>
      <c r="R1514" s="16">
        <f>IF(NOT(Paths!$C$144=1),0,IF(Paths!$P$144="Complete",IF(AND(C1514=0,Paths!$E$144=0),I1514-J1514-K1514+VLOOKUP(A1514,'Fleet register'!$A$7:$S$106,15,FALSE)+VLOOKUP(A1514,'Fleet register'!$A$7:$S$106,16,FALSE),0),"n.a."))</f>
        <v>0</v>
      </c>
      <c r="S1514" s="1">
        <f>IF(NOT(Paths!$C$144=1),0,IF(Paths!$P$144="Complete",IF(C1514=0,0,Paths!$S$144*Paths!$R$144),"n.a."))</f>
        <v>0</v>
      </c>
      <c r="T1514" s="1">
        <f>IF(NOT(Paths!$C$144=1),0,IF(Paths!$P$144="Complete",IF(C1514=0,0,VLOOKUP(A1514,'Fleet register'!$A$7:$S$106,9,FALSE)*Paths!$R$144),"n.a."))</f>
        <v>0</v>
      </c>
    </row>
    <row r="1515" spans="1:20" ht="24" customHeight="1">
      <c r="A1515" s="1" t="str">
        <f>Paths!$A$144</f>
        <v>T035</v>
      </c>
      <c r="B1515" s="1">
        <f>Paths!$B$144</f>
        <v>1</v>
      </c>
      <c r="C1515" s="1">
        <v>1</v>
      </c>
      <c r="D1515" s="1">
        <v>144</v>
      </c>
      <c r="E1515" s="1">
        <f>IF(OR(Paths!$C$144=0,C1515=0),0,MAX(0,MIN(C1515*12,Paths!$E$144)-(C1515-1)*12))</f>
        <v>0</v>
      </c>
      <c r="F1515" s="1">
        <f>IF(OR(Paths!$C$144=0,C1515=0),0,12-E1515)</f>
        <v>0</v>
      </c>
      <c r="G1515" s="16">
        <f>IF(NOT(Paths!$C$144=1),0,IF(Paths!$P$144="Complete",E1515/12*(Paths!$J$144*(1+'Operating costs'!$B$51)^MAX(0,C1515-1)+Paths!$K$144*(1+'Operating costs'!$B$53)^MAX(0,C1515-1)),"n.a."))</f>
        <v>0</v>
      </c>
      <c r="H1515" s="16">
        <f>IF(NOT(Paths!$C$144=1),0,IF(Paths!$P$144="Complete",F1515/12*(Paths!$L$144*(1+IF(Paths!$D$144="EV",'Operating costs'!$B$52,'Operating costs'!$B$51))^MAX(0,C1515-1)+Paths!$M$144*(1+'Operating costs'!$B$53)^MAX(0,C1515-1)),"n.a."))</f>
        <v>0</v>
      </c>
      <c r="I1515" s="16">
        <f>IF(NOT(Paths!$C$144=1),0,IF(Paths!$P$144="Complete",IF(IF(Paths!$E$144=0,C1515=0,AND(C1515&gt;0,Paths!$E$144&gt;(C1515-1)*12,Paths!$E$144&lt;=C1515*12)),Paths!$G$144,0),"n.a."))</f>
        <v>0</v>
      </c>
      <c r="J1515" s="16">
        <f>IF(NOT(Paths!$C$144=1),0,IF(Paths!$P$144="Complete",IF(IF(Paths!$E$144=0,C1515=0,AND(C1515&gt;0,Paths!$E$144&gt;(C1515-1)*12,Paths!$E$144&lt;=C1515*12)),Paths!$H$144,0),"n.a."))</f>
        <v>0</v>
      </c>
      <c r="K1515" s="16">
        <f>IF(NOT(Paths!$C$144=1),0,IF(Paths!$P$144="Complete",IF(IF(Paths!$O$144=0,C1515=0,AND(C1515&gt;0,Paths!$O$144&gt;(C1515-1)*12,Paths!$O$144&lt;=C1515*12)),Paths!$N$144,0),"n.a."))</f>
        <v>0</v>
      </c>
      <c r="L1515" s="16">
        <f>IF(NOT(Paths!$C$144=1),0,IF(Paths!$P$144="Complete",IF(C1515=10,Paths!$I$144,0),"n.a."))</f>
        <v>0</v>
      </c>
      <c r="M1515" s="16">
        <f>IF(NOT(Paths!$C$144=1),0,IF(Paths!$P$144="Complete",IF(AND(Paths!$D$144="EV",Paths!$E$144&lt;120,Paths!$E$144+'Operating costs'!$B$65&gt;Paths!$E$144,Paths!$E$144+'Operating costs'!$B$65&lt;=120,IF(Paths!$E$144+'Operating costs'!$B$65=0,C1515=0,AND(C1515&gt;0,Paths!$E$144+'Operating costs'!$B$65&gt;(C1515-1)*12,Paths!$E$144+'Operating costs'!$B$65&lt;=C1515*12))),'Operating costs'!$B$64,0)+IF(AND('Operating costs'!$B$67&gt;0,'Operating costs'!$B$67&lt;=120,OR(Paths!$D$144="ICE",'Operating costs'!$B$67&lt;=Paths!$E$144),IF('Operating costs'!$B$67=0,C1515=0,AND(C1515&gt;0,'Operating costs'!$B$67&gt;(C1515-1)*12,'Operating costs'!$B$67&lt;=C1515*12))),'Operating costs'!$B$66,0),"n.a."))</f>
        <v>0</v>
      </c>
      <c r="N1515" s="16">
        <f>IF(NOT(Paths!$C$144=1),0,IF(Paths!$P$144="Complete",SUM(G1515:I1515)-J1515-K1515-L1515+M1515+IF(C1515=0,Paths!$F$144,0)+IF(IF(Paths!$E$144=0,C1515=0,AND(C1515&gt;0,Paths!$E$144&gt;(C1515-1)*12,Paths!$E$144&lt;=C1515*12)),VLOOKUP(A1515,'Fleet register'!$A$7:$S$106,16,FALSE),0),"n.a."))</f>
        <v>0</v>
      </c>
      <c r="O1515" s="16">
        <f>IF(NOT(Paths!$C$144=1),0,IF(Paths!$P$144="Complete",N1515-IF(C1515=0,Paths!$F$144,0),"n.a."))</f>
        <v>0</v>
      </c>
      <c r="P1515" s="16">
        <f>IF(NOT(Paths!$C$144=1),0,IF(Paths!$P$144="Complete",O1515+L1515,"n.a."))</f>
        <v>0</v>
      </c>
      <c r="Q1515" s="16">
        <f>IF(NOT(Paths!$C$144=1),0,IF(Paths!$P$144="Complete",N1515*(1+'Operating costs'!$B$54)^-C1515,"n.a."))</f>
        <v>0</v>
      </c>
      <c r="R1515" s="16">
        <f>IF(NOT(Paths!$C$144=1),0,IF(Paths!$P$144="Complete",IF(AND(C1515=0,Paths!$E$144=0),I1515-J1515-K1515+VLOOKUP(A1515,'Fleet register'!$A$7:$S$106,15,FALSE)+VLOOKUP(A1515,'Fleet register'!$A$7:$S$106,16,FALSE),0),"n.a."))</f>
        <v>0</v>
      </c>
      <c r="S1515" s="1">
        <f>IF(NOT(Paths!$C$144=1),0,IF(Paths!$P$144="Complete",IF(C1515=0,0,Paths!$S$144*Paths!$R$144),"n.a."))</f>
        <v>0</v>
      </c>
      <c r="T1515" s="1">
        <f>IF(NOT(Paths!$C$144=1),0,IF(Paths!$P$144="Complete",IF(C1515=0,0,VLOOKUP(A1515,'Fleet register'!$A$7:$S$106,9,FALSE)*Paths!$R$144),"n.a."))</f>
        <v>0</v>
      </c>
    </row>
    <row r="1516" spans="1:20" ht="24" customHeight="1">
      <c r="A1516" s="1" t="str">
        <f>Paths!$A$144</f>
        <v>T035</v>
      </c>
      <c r="B1516" s="1">
        <f>Paths!$B$144</f>
        <v>1</v>
      </c>
      <c r="C1516" s="1">
        <v>2</v>
      </c>
      <c r="D1516" s="1">
        <v>144</v>
      </c>
      <c r="E1516" s="1">
        <f>IF(OR(Paths!$C$144=0,C1516=0),0,MAX(0,MIN(C1516*12,Paths!$E$144)-(C1516-1)*12))</f>
        <v>0</v>
      </c>
      <c r="F1516" s="1">
        <f>IF(OR(Paths!$C$144=0,C1516=0),0,12-E1516)</f>
        <v>0</v>
      </c>
      <c r="G1516" s="16">
        <f>IF(NOT(Paths!$C$144=1),0,IF(Paths!$P$144="Complete",E1516/12*(Paths!$J$144*(1+'Operating costs'!$B$51)^MAX(0,C1516-1)+Paths!$K$144*(1+'Operating costs'!$B$53)^MAX(0,C1516-1)),"n.a."))</f>
        <v>0</v>
      </c>
      <c r="H1516" s="16">
        <f>IF(NOT(Paths!$C$144=1),0,IF(Paths!$P$144="Complete",F1516/12*(Paths!$L$144*(1+IF(Paths!$D$144="EV",'Operating costs'!$B$52,'Operating costs'!$B$51))^MAX(0,C1516-1)+Paths!$M$144*(1+'Operating costs'!$B$53)^MAX(0,C1516-1)),"n.a."))</f>
        <v>0</v>
      </c>
      <c r="I1516" s="16">
        <f>IF(NOT(Paths!$C$144=1),0,IF(Paths!$P$144="Complete",IF(IF(Paths!$E$144=0,C1516=0,AND(C1516&gt;0,Paths!$E$144&gt;(C1516-1)*12,Paths!$E$144&lt;=C1516*12)),Paths!$G$144,0),"n.a."))</f>
        <v>0</v>
      </c>
      <c r="J1516" s="16">
        <f>IF(NOT(Paths!$C$144=1),0,IF(Paths!$P$144="Complete",IF(IF(Paths!$E$144=0,C1516=0,AND(C1516&gt;0,Paths!$E$144&gt;(C1516-1)*12,Paths!$E$144&lt;=C1516*12)),Paths!$H$144,0),"n.a."))</f>
        <v>0</v>
      </c>
      <c r="K1516" s="16">
        <f>IF(NOT(Paths!$C$144=1),0,IF(Paths!$P$144="Complete",IF(IF(Paths!$O$144=0,C1516=0,AND(C1516&gt;0,Paths!$O$144&gt;(C1516-1)*12,Paths!$O$144&lt;=C1516*12)),Paths!$N$144,0),"n.a."))</f>
        <v>0</v>
      </c>
      <c r="L1516" s="16">
        <f>IF(NOT(Paths!$C$144=1),0,IF(Paths!$P$144="Complete",IF(C1516=10,Paths!$I$144,0),"n.a."))</f>
        <v>0</v>
      </c>
      <c r="M1516" s="16">
        <f>IF(NOT(Paths!$C$144=1),0,IF(Paths!$P$144="Complete",IF(AND(Paths!$D$144="EV",Paths!$E$144&lt;120,Paths!$E$144+'Operating costs'!$B$65&gt;Paths!$E$144,Paths!$E$144+'Operating costs'!$B$65&lt;=120,IF(Paths!$E$144+'Operating costs'!$B$65=0,C1516=0,AND(C1516&gt;0,Paths!$E$144+'Operating costs'!$B$65&gt;(C1516-1)*12,Paths!$E$144+'Operating costs'!$B$65&lt;=C1516*12))),'Operating costs'!$B$64,0)+IF(AND('Operating costs'!$B$67&gt;0,'Operating costs'!$B$67&lt;=120,OR(Paths!$D$144="ICE",'Operating costs'!$B$67&lt;=Paths!$E$144),IF('Operating costs'!$B$67=0,C1516=0,AND(C1516&gt;0,'Operating costs'!$B$67&gt;(C1516-1)*12,'Operating costs'!$B$67&lt;=C1516*12))),'Operating costs'!$B$66,0),"n.a."))</f>
        <v>0</v>
      </c>
      <c r="N1516" s="16">
        <f>IF(NOT(Paths!$C$144=1),0,IF(Paths!$P$144="Complete",SUM(G1516:I1516)-J1516-K1516-L1516+M1516+IF(C1516=0,Paths!$F$144,0)+IF(IF(Paths!$E$144=0,C1516=0,AND(C1516&gt;0,Paths!$E$144&gt;(C1516-1)*12,Paths!$E$144&lt;=C1516*12)),VLOOKUP(A1516,'Fleet register'!$A$7:$S$106,16,FALSE),0),"n.a."))</f>
        <v>0</v>
      </c>
      <c r="O1516" s="16">
        <f>IF(NOT(Paths!$C$144=1),0,IF(Paths!$P$144="Complete",N1516-IF(C1516=0,Paths!$F$144,0),"n.a."))</f>
        <v>0</v>
      </c>
      <c r="P1516" s="16">
        <f>IF(NOT(Paths!$C$144=1),0,IF(Paths!$P$144="Complete",O1516+L1516,"n.a."))</f>
        <v>0</v>
      </c>
      <c r="Q1516" s="16">
        <f>IF(NOT(Paths!$C$144=1),0,IF(Paths!$P$144="Complete",N1516*(1+'Operating costs'!$B$54)^-C1516,"n.a."))</f>
        <v>0</v>
      </c>
      <c r="R1516" s="16">
        <f>IF(NOT(Paths!$C$144=1),0,IF(Paths!$P$144="Complete",IF(AND(C1516=0,Paths!$E$144=0),I1516-J1516-K1516+VLOOKUP(A1516,'Fleet register'!$A$7:$S$106,15,FALSE)+VLOOKUP(A1516,'Fleet register'!$A$7:$S$106,16,FALSE),0),"n.a."))</f>
        <v>0</v>
      </c>
      <c r="S1516" s="1">
        <f>IF(NOT(Paths!$C$144=1),0,IF(Paths!$P$144="Complete",IF(C1516=0,0,Paths!$S$144*Paths!$R$144),"n.a."))</f>
        <v>0</v>
      </c>
      <c r="T1516" s="1">
        <f>IF(NOT(Paths!$C$144=1),0,IF(Paths!$P$144="Complete",IF(C1516=0,0,VLOOKUP(A1516,'Fleet register'!$A$7:$S$106,9,FALSE)*Paths!$R$144),"n.a."))</f>
        <v>0</v>
      </c>
    </row>
    <row r="1517" spans="1:20" ht="24" customHeight="1">
      <c r="A1517" s="1" t="str">
        <f>Paths!$A$144</f>
        <v>T035</v>
      </c>
      <c r="B1517" s="1">
        <f>Paths!$B$144</f>
        <v>1</v>
      </c>
      <c r="C1517" s="1">
        <v>3</v>
      </c>
      <c r="D1517" s="1">
        <v>144</v>
      </c>
      <c r="E1517" s="1">
        <f>IF(OR(Paths!$C$144=0,C1517=0),0,MAX(0,MIN(C1517*12,Paths!$E$144)-(C1517-1)*12))</f>
        <v>0</v>
      </c>
      <c r="F1517" s="1">
        <f>IF(OR(Paths!$C$144=0,C1517=0),0,12-E1517)</f>
        <v>0</v>
      </c>
      <c r="G1517" s="16">
        <f>IF(NOT(Paths!$C$144=1),0,IF(Paths!$P$144="Complete",E1517/12*(Paths!$J$144*(1+'Operating costs'!$B$51)^MAX(0,C1517-1)+Paths!$K$144*(1+'Operating costs'!$B$53)^MAX(0,C1517-1)),"n.a."))</f>
        <v>0</v>
      </c>
      <c r="H1517" s="16">
        <f>IF(NOT(Paths!$C$144=1),0,IF(Paths!$P$144="Complete",F1517/12*(Paths!$L$144*(1+IF(Paths!$D$144="EV",'Operating costs'!$B$52,'Operating costs'!$B$51))^MAX(0,C1517-1)+Paths!$M$144*(1+'Operating costs'!$B$53)^MAX(0,C1517-1)),"n.a."))</f>
        <v>0</v>
      </c>
      <c r="I1517" s="16">
        <f>IF(NOT(Paths!$C$144=1),0,IF(Paths!$P$144="Complete",IF(IF(Paths!$E$144=0,C1517=0,AND(C1517&gt;0,Paths!$E$144&gt;(C1517-1)*12,Paths!$E$144&lt;=C1517*12)),Paths!$G$144,0),"n.a."))</f>
        <v>0</v>
      </c>
      <c r="J1517" s="16">
        <f>IF(NOT(Paths!$C$144=1),0,IF(Paths!$P$144="Complete",IF(IF(Paths!$E$144=0,C1517=0,AND(C1517&gt;0,Paths!$E$144&gt;(C1517-1)*12,Paths!$E$144&lt;=C1517*12)),Paths!$H$144,0),"n.a."))</f>
        <v>0</v>
      </c>
      <c r="K1517" s="16">
        <f>IF(NOT(Paths!$C$144=1),0,IF(Paths!$P$144="Complete",IF(IF(Paths!$O$144=0,C1517=0,AND(C1517&gt;0,Paths!$O$144&gt;(C1517-1)*12,Paths!$O$144&lt;=C1517*12)),Paths!$N$144,0),"n.a."))</f>
        <v>0</v>
      </c>
      <c r="L1517" s="16">
        <f>IF(NOT(Paths!$C$144=1),0,IF(Paths!$P$144="Complete",IF(C1517=10,Paths!$I$144,0),"n.a."))</f>
        <v>0</v>
      </c>
      <c r="M1517" s="16">
        <f>IF(NOT(Paths!$C$144=1),0,IF(Paths!$P$144="Complete",IF(AND(Paths!$D$144="EV",Paths!$E$144&lt;120,Paths!$E$144+'Operating costs'!$B$65&gt;Paths!$E$144,Paths!$E$144+'Operating costs'!$B$65&lt;=120,IF(Paths!$E$144+'Operating costs'!$B$65=0,C1517=0,AND(C1517&gt;0,Paths!$E$144+'Operating costs'!$B$65&gt;(C1517-1)*12,Paths!$E$144+'Operating costs'!$B$65&lt;=C1517*12))),'Operating costs'!$B$64,0)+IF(AND('Operating costs'!$B$67&gt;0,'Operating costs'!$B$67&lt;=120,OR(Paths!$D$144="ICE",'Operating costs'!$B$67&lt;=Paths!$E$144),IF('Operating costs'!$B$67=0,C1517=0,AND(C1517&gt;0,'Operating costs'!$B$67&gt;(C1517-1)*12,'Operating costs'!$B$67&lt;=C1517*12))),'Operating costs'!$B$66,0),"n.a."))</f>
        <v>0</v>
      </c>
      <c r="N1517" s="16">
        <f>IF(NOT(Paths!$C$144=1),0,IF(Paths!$P$144="Complete",SUM(G1517:I1517)-J1517-K1517-L1517+M1517+IF(C1517=0,Paths!$F$144,0)+IF(IF(Paths!$E$144=0,C1517=0,AND(C1517&gt;0,Paths!$E$144&gt;(C1517-1)*12,Paths!$E$144&lt;=C1517*12)),VLOOKUP(A1517,'Fleet register'!$A$7:$S$106,16,FALSE),0),"n.a."))</f>
        <v>0</v>
      </c>
      <c r="O1517" s="16">
        <f>IF(NOT(Paths!$C$144=1),0,IF(Paths!$P$144="Complete",N1517-IF(C1517=0,Paths!$F$144,0),"n.a."))</f>
        <v>0</v>
      </c>
      <c r="P1517" s="16">
        <f>IF(NOT(Paths!$C$144=1),0,IF(Paths!$P$144="Complete",O1517+L1517,"n.a."))</f>
        <v>0</v>
      </c>
      <c r="Q1517" s="16">
        <f>IF(NOT(Paths!$C$144=1),0,IF(Paths!$P$144="Complete",N1517*(1+'Operating costs'!$B$54)^-C1517,"n.a."))</f>
        <v>0</v>
      </c>
      <c r="R1517" s="16">
        <f>IF(NOT(Paths!$C$144=1),0,IF(Paths!$P$144="Complete",IF(AND(C1517=0,Paths!$E$144=0),I1517-J1517-K1517+VLOOKUP(A1517,'Fleet register'!$A$7:$S$106,15,FALSE)+VLOOKUP(A1517,'Fleet register'!$A$7:$S$106,16,FALSE),0),"n.a."))</f>
        <v>0</v>
      </c>
      <c r="S1517" s="1">
        <f>IF(NOT(Paths!$C$144=1),0,IF(Paths!$P$144="Complete",IF(C1517=0,0,Paths!$S$144*Paths!$R$144),"n.a."))</f>
        <v>0</v>
      </c>
      <c r="T1517" s="1">
        <f>IF(NOT(Paths!$C$144=1),0,IF(Paths!$P$144="Complete",IF(C1517=0,0,VLOOKUP(A1517,'Fleet register'!$A$7:$S$106,9,FALSE)*Paths!$R$144),"n.a."))</f>
        <v>0</v>
      </c>
    </row>
    <row r="1518" spans="1:20" ht="24" customHeight="1">
      <c r="A1518" s="1" t="str">
        <f>Paths!$A$144</f>
        <v>T035</v>
      </c>
      <c r="B1518" s="1">
        <f>Paths!$B$144</f>
        <v>1</v>
      </c>
      <c r="C1518" s="1">
        <v>4</v>
      </c>
      <c r="D1518" s="1">
        <v>144</v>
      </c>
      <c r="E1518" s="1">
        <f>IF(OR(Paths!$C$144=0,C1518=0),0,MAX(0,MIN(C1518*12,Paths!$E$144)-(C1518-1)*12))</f>
        <v>0</v>
      </c>
      <c r="F1518" s="1">
        <f>IF(OR(Paths!$C$144=0,C1518=0),0,12-E1518)</f>
        <v>0</v>
      </c>
      <c r="G1518" s="16">
        <f>IF(NOT(Paths!$C$144=1),0,IF(Paths!$P$144="Complete",E1518/12*(Paths!$J$144*(1+'Operating costs'!$B$51)^MAX(0,C1518-1)+Paths!$K$144*(1+'Operating costs'!$B$53)^MAX(0,C1518-1)),"n.a."))</f>
        <v>0</v>
      </c>
      <c r="H1518" s="16">
        <f>IF(NOT(Paths!$C$144=1),0,IF(Paths!$P$144="Complete",F1518/12*(Paths!$L$144*(1+IF(Paths!$D$144="EV",'Operating costs'!$B$52,'Operating costs'!$B$51))^MAX(0,C1518-1)+Paths!$M$144*(1+'Operating costs'!$B$53)^MAX(0,C1518-1)),"n.a."))</f>
        <v>0</v>
      </c>
      <c r="I1518" s="16">
        <f>IF(NOT(Paths!$C$144=1),0,IF(Paths!$P$144="Complete",IF(IF(Paths!$E$144=0,C1518=0,AND(C1518&gt;0,Paths!$E$144&gt;(C1518-1)*12,Paths!$E$144&lt;=C1518*12)),Paths!$G$144,0),"n.a."))</f>
        <v>0</v>
      </c>
      <c r="J1518" s="16">
        <f>IF(NOT(Paths!$C$144=1),0,IF(Paths!$P$144="Complete",IF(IF(Paths!$E$144=0,C1518=0,AND(C1518&gt;0,Paths!$E$144&gt;(C1518-1)*12,Paths!$E$144&lt;=C1518*12)),Paths!$H$144,0),"n.a."))</f>
        <v>0</v>
      </c>
      <c r="K1518" s="16">
        <f>IF(NOT(Paths!$C$144=1),0,IF(Paths!$P$144="Complete",IF(IF(Paths!$O$144=0,C1518=0,AND(C1518&gt;0,Paths!$O$144&gt;(C1518-1)*12,Paths!$O$144&lt;=C1518*12)),Paths!$N$144,0),"n.a."))</f>
        <v>0</v>
      </c>
      <c r="L1518" s="16">
        <f>IF(NOT(Paths!$C$144=1),0,IF(Paths!$P$144="Complete",IF(C1518=10,Paths!$I$144,0),"n.a."))</f>
        <v>0</v>
      </c>
      <c r="M1518" s="16">
        <f>IF(NOT(Paths!$C$144=1),0,IF(Paths!$P$144="Complete",IF(AND(Paths!$D$144="EV",Paths!$E$144&lt;120,Paths!$E$144+'Operating costs'!$B$65&gt;Paths!$E$144,Paths!$E$144+'Operating costs'!$B$65&lt;=120,IF(Paths!$E$144+'Operating costs'!$B$65=0,C1518=0,AND(C1518&gt;0,Paths!$E$144+'Operating costs'!$B$65&gt;(C1518-1)*12,Paths!$E$144+'Operating costs'!$B$65&lt;=C1518*12))),'Operating costs'!$B$64,0)+IF(AND('Operating costs'!$B$67&gt;0,'Operating costs'!$B$67&lt;=120,OR(Paths!$D$144="ICE",'Operating costs'!$B$67&lt;=Paths!$E$144),IF('Operating costs'!$B$67=0,C1518=0,AND(C1518&gt;0,'Operating costs'!$B$67&gt;(C1518-1)*12,'Operating costs'!$B$67&lt;=C1518*12))),'Operating costs'!$B$66,0),"n.a."))</f>
        <v>0</v>
      </c>
      <c r="N1518" s="16">
        <f>IF(NOT(Paths!$C$144=1),0,IF(Paths!$P$144="Complete",SUM(G1518:I1518)-J1518-K1518-L1518+M1518+IF(C1518=0,Paths!$F$144,0)+IF(IF(Paths!$E$144=0,C1518=0,AND(C1518&gt;0,Paths!$E$144&gt;(C1518-1)*12,Paths!$E$144&lt;=C1518*12)),VLOOKUP(A1518,'Fleet register'!$A$7:$S$106,16,FALSE),0),"n.a."))</f>
        <v>0</v>
      </c>
      <c r="O1518" s="16">
        <f>IF(NOT(Paths!$C$144=1),0,IF(Paths!$P$144="Complete",N1518-IF(C1518=0,Paths!$F$144,0),"n.a."))</f>
        <v>0</v>
      </c>
      <c r="P1518" s="16">
        <f>IF(NOT(Paths!$C$144=1),0,IF(Paths!$P$144="Complete",O1518+L1518,"n.a."))</f>
        <v>0</v>
      </c>
      <c r="Q1518" s="16">
        <f>IF(NOT(Paths!$C$144=1),0,IF(Paths!$P$144="Complete",N1518*(1+'Operating costs'!$B$54)^-C1518,"n.a."))</f>
        <v>0</v>
      </c>
      <c r="R1518" s="16">
        <f>IF(NOT(Paths!$C$144=1),0,IF(Paths!$P$144="Complete",IF(AND(C1518=0,Paths!$E$144=0),I1518-J1518-K1518+VLOOKUP(A1518,'Fleet register'!$A$7:$S$106,15,FALSE)+VLOOKUP(A1518,'Fleet register'!$A$7:$S$106,16,FALSE),0),"n.a."))</f>
        <v>0</v>
      </c>
      <c r="S1518" s="1">
        <f>IF(NOT(Paths!$C$144=1),0,IF(Paths!$P$144="Complete",IF(C1518=0,0,Paths!$S$144*Paths!$R$144),"n.a."))</f>
        <v>0</v>
      </c>
      <c r="T1518" s="1">
        <f>IF(NOT(Paths!$C$144=1),0,IF(Paths!$P$144="Complete",IF(C1518=0,0,VLOOKUP(A1518,'Fleet register'!$A$7:$S$106,9,FALSE)*Paths!$R$144),"n.a."))</f>
        <v>0</v>
      </c>
    </row>
    <row r="1519" spans="1:20" ht="24" customHeight="1">
      <c r="A1519" s="1" t="str">
        <f>Paths!$A$144</f>
        <v>T035</v>
      </c>
      <c r="B1519" s="1">
        <f>Paths!$B$144</f>
        <v>1</v>
      </c>
      <c r="C1519" s="1">
        <v>5</v>
      </c>
      <c r="D1519" s="1">
        <v>144</v>
      </c>
      <c r="E1519" s="1">
        <f>IF(OR(Paths!$C$144=0,C1519=0),0,MAX(0,MIN(C1519*12,Paths!$E$144)-(C1519-1)*12))</f>
        <v>0</v>
      </c>
      <c r="F1519" s="1">
        <f>IF(OR(Paths!$C$144=0,C1519=0),0,12-E1519)</f>
        <v>0</v>
      </c>
      <c r="G1519" s="16">
        <f>IF(NOT(Paths!$C$144=1),0,IF(Paths!$P$144="Complete",E1519/12*(Paths!$J$144*(1+'Operating costs'!$B$51)^MAX(0,C1519-1)+Paths!$K$144*(1+'Operating costs'!$B$53)^MAX(0,C1519-1)),"n.a."))</f>
        <v>0</v>
      </c>
      <c r="H1519" s="16">
        <f>IF(NOT(Paths!$C$144=1),0,IF(Paths!$P$144="Complete",F1519/12*(Paths!$L$144*(1+IF(Paths!$D$144="EV",'Operating costs'!$B$52,'Operating costs'!$B$51))^MAX(0,C1519-1)+Paths!$M$144*(1+'Operating costs'!$B$53)^MAX(0,C1519-1)),"n.a."))</f>
        <v>0</v>
      </c>
      <c r="I1519" s="16">
        <f>IF(NOT(Paths!$C$144=1),0,IF(Paths!$P$144="Complete",IF(IF(Paths!$E$144=0,C1519=0,AND(C1519&gt;0,Paths!$E$144&gt;(C1519-1)*12,Paths!$E$144&lt;=C1519*12)),Paths!$G$144,0),"n.a."))</f>
        <v>0</v>
      </c>
      <c r="J1519" s="16">
        <f>IF(NOT(Paths!$C$144=1),0,IF(Paths!$P$144="Complete",IF(IF(Paths!$E$144=0,C1519=0,AND(C1519&gt;0,Paths!$E$144&gt;(C1519-1)*12,Paths!$E$144&lt;=C1519*12)),Paths!$H$144,0),"n.a."))</f>
        <v>0</v>
      </c>
      <c r="K1519" s="16">
        <f>IF(NOT(Paths!$C$144=1),0,IF(Paths!$P$144="Complete",IF(IF(Paths!$O$144=0,C1519=0,AND(C1519&gt;0,Paths!$O$144&gt;(C1519-1)*12,Paths!$O$144&lt;=C1519*12)),Paths!$N$144,0),"n.a."))</f>
        <v>0</v>
      </c>
      <c r="L1519" s="16">
        <f>IF(NOT(Paths!$C$144=1),0,IF(Paths!$P$144="Complete",IF(C1519=10,Paths!$I$144,0),"n.a."))</f>
        <v>0</v>
      </c>
      <c r="M1519" s="16">
        <f>IF(NOT(Paths!$C$144=1),0,IF(Paths!$P$144="Complete",IF(AND(Paths!$D$144="EV",Paths!$E$144&lt;120,Paths!$E$144+'Operating costs'!$B$65&gt;Paths!$E$144,Paths!$E$144+'Operating costs'!$B$65&lt;=120,IF(Paths!$E$144+'Operating costs'!$B$65=0,C1519=0,AND(C1519&gt;0,Paths!$E$144+'Operating costs'!$B$65&gt;(C1519-1)*12,Paths!$E$144+'Operating costs'!$B$65&lt;=C1519*12))),'Operating costs'!$B$64,0)+IF(AND('Operating costs'!$B$67&gt;0,'Operating costs'!$B$67&lt;=120,OR(Paths!$D$144="ICE",'Operating costs'!$B$67&lt;=Paths!$E$144),IF('Operating costs'!$B$67=0,C1519=0,AND(C1519&gt;0,'Operating costs'!$B$67&gt;(C1519-1)*12,'Operating costs'!$B$67&lt;=C1519*12))),'Operating costs'!$B$66,0),"n.a."))</f>
        <v>0</v>
      </c>
      <c r="N1519" s="16">
        <f>IF(NOT(Paths!$C$144=1),0,IF(Paths!$P$144="Complete",SUM(G1519:I1519)-J1519-K1519-L1519+M1519+IF(C1519=0,Paths!$F$144,0)+IF(IF(Paths!$E$144=0,C1519=0,AND(C1519&gt;0,Paths!$E$144&gt;(C1519-1)*12,Paths!$E$144&lt;=C1519*12)),VLOOKUP(A1519,'Fleet register'!$A$7:$S$106,16,FALSE),0),"n.a."))</f>
        <v>0</v>
      </c>
      <c r="O1519" s="16">
        <f>IF(NOT(Paths!$C$144=1),0,IF(Paths!$P$144="Complete",N1519-IF(C1519=0,Paths!$F$144,0),"n.a."))</f>
        <v>0</v>
      </c>
      <c r="P1519" s="16">
        <f>IF(NOT(Paths!$C$144=1),0,IF(Paths!$P$144="Complete",O1519+L1519,"n.a."))</f>
        <v>0</v>
      </c>
      <c r="Q1519" s="16">
        <f>IF(NOT(Paths!$C$144=1),0,IF(Paths!$P$144="Complete",N1519*(1+'Operating costs'!$B$54)^-C1519,"n.a."))</f>
        <v>0</v>
      </c>
      <c r="R1519" s="16">
        <f>IF(NOT(Paths!$C$144=1),0,IF(Paths!$P$144="Complete",IF(AND(C1519=0,Paths!$E$144=0),I1519-J1519-K1519+VLOOKUP(A1519,'Fleet register'!$A$7:$S$106,15,FALSE)+VLOOKUP(A1519,'Fleet register'!$A$7:$S$106,16,FALSE),0),"n.a."))</f>
        <v>0</v>
      </c>
      <c r="S1519" s="1">
        <f>IF(NOT(Paths!$C$144=1),0,IF(Paths!$P$144="Complete",IF(C1519=0,0,Paths!$S$144*Paths!$R$144),"n.a."))</f>
        <v>0</v>
      </c>
      <c r="T1519" s="1">
        <f>IF(NOT(Paths!$C$144=1),0,IF(Paths!$P$144="Complete",IF(C1519=0,0,VLOOKUP(A1519,'Fleet register'!$A$7:$S$106,9,FALSE)*Paths!$R$144),"n.a."))</f>
        <v>0</v>
      </c>
    </row>
    <row r="1520" spans="1:20" ht="24" customHeight="1">
      <c r="A1520" s="1" t="str">
        <f>Paths!$A$144</f>
        <v>T035</v>
      </c>
      <c r="B1520" s="1">
        <f>Paths!$B$144</f>
        <v>1</v>
      </c>
      <c r="C1520" s="1">
        <v>6</v>
      </c>
      <c r="D1520" s="1">
        <v>144</v>
      </c>
      <c r="E1520" s="1">
        <f>IF(OR(Paths!$C$144=0,C1520=0),0,MAX(0,MIN(C1520*12,Paths!$E$144)-(C1520-1)*12))</f>
        <v>0</v>
      </c>
      <c r="F1520" s="1">
        <f>IF(OR(Paths!$C$144=0,C1520=0),0,12-E1520)</f>
        <v>0</v>
      </c>
      <c r="G1520" s="16">
        <f>IF(NOT(Paths!$C$144=1),0,IF(Paths!$P$144="Complete",E1520/12*(Paths!$J$144*(1+'Operating costs'!$B$51)^MAX(0,C1520-1)+Paths!$K$144*(1+'Operating costs'!$B$53)^MAX(0,C1520-1)),"n.a."))</f>
        <v>0</v>
      </c>
      <c r="H1520" s="16">
        <f>IF(NOT(Paths!$C$144=1),0,IF(Paths!$P$144="Complete",F1520/12*(Paths!$L$144*(1+IF(Paths!$D$144="EV",'Operating costs'!$B$52,'Operating costs'!$B$51))^MAX(0,C1520-1)+Paths!$M$144*(1+'Operating costs'!$B$53)^MAX(0,C1520-1)),"n.a."))</f>
        <v>0</v>
      </c>
      <c r="I1520" s="16">
        <f>IF(NOT(Paths!$C$144=1),0,IF(Paths!$P$144="Complete",IF(IF(Paths!$E$144=0,C1520=0,AND(C1520&gt;0,Paths!$E$144&gt;(C1520-1)*12,Paths!$E$144&lt;=C1520*12)),Paths!$G$144,0),"n.a."))</f>
        <v>0</v>
      </c>
      <c r="J1520" s="16">
        <f>IF(NOT(Paths!$C$144=1),0,IF(Paths!$P$144="Complete",IF(IF(Paths!$E$144=0,C1520=0,AND(C1520&gt;0,Paths!$E$144&gt;(C1520-1)*12,Paths!$E$144&lt;=C1520*12)),Paths!$H$144,0),"n.a."))</f>
        <v>0</v>
      </c>
      <c r="K1520" s="16">
        <f>IF(NOT(Paths!$C$144=1),0,IF(Paths!$P$144="Complete",IF(IF(Paths!$O$144=0,C1520=0,AND(C1520&gt;0,Paths!$O$144&gt;(C1520-1)*12,Paths!$O$144&lt;=C1520*12)),Paths!$N$144,0),"n.a."))</f>
        <v>0</v>
      </c>
      <c r="L1520" s="16">
        <f>IF(NOT(Paths!$C$144=1),0,IF(Paths!$P$144="Complete",IF(C1520=10,Paths!$I$144,0),"n.a."))</f>
        <v>0</v>
      </c>
      <c r="M1520" s="16">
        <f>IF(NOT(Paths!$C$144=1),0,IF(Paths!$P$144="Complete",IF(AND(Paths!$D$144="EV",Paths!$E$144&lt;120,Paths!$E$144+'Operating costs'!$B$65&gt;Paths!$E$144,Paths!$E$144+'Operating costs'!$B$65&lt;=120,IF(Paths!$E$144+'Operating costs'!$B$65=0,C1520=0,AND(C1520&gt;0,Paths!$E$144+'Operating costs'!$B$65&gt;(C1520-1)*12,Paths!$E$144+'Operating costs'!$B$65&lt;=C1520*12))),'Operating costs'!$B$64,0)+IF(AND('Operating costs'!$B$67&gt;0,'Operating costs'!$B$67&lt;=120,OR(Paths!$D$144="ICE",'Operating costs'!$B$67&lt;=Paths!$E$144),IF('Operating costs'!$B$67=0,C1520=0,AND(C1520&gt;0,'Operating costs'!$B$67&gt;(C1520-1)*12,'Operating costs'!$B$67&lt;=C1520*12))),'Operating costs'!$B$66,0),"n.a."))</f>
        <v>0</v>
      </c>
      <c r="N1520" s="16">
        <f>IF(NOT(Paths!$C$144=1),0,IF(Paths!$P$144="Complete",SUM(G1520:I1520)-J1520-K1520-L1520+M1520+IF(C1520=0,Paths!$F$144,0)+IF(IF(Paths!$E$144=0,C1520=0,AND(C1520&gt;0,Paths!$E$144&gt;(C1520-1)*12,Paths!$E$144&lt;=C1520*12)),VLOOKUP(A1520,'Fleet register'!$A$7:$S$106,16,FALSE),0),"n.a."))</f>
        <v>0</v>
      </c>
      <c r="O1520" s="16">
        <f>IF(NOT(Paths!$C$144=1),0,IF(Paths!$P$144="Complete",N1520-IF(C1520=0,Paths!$F$144,0),"n.a."))</f>
        <v>0</v>
      </c>
      <c r="P1520" s="16">
        <f>IF(NOT(Paths!$C$144=1),0,IF(Paths!$P$144="Complete",O1520+L1520,"n.a."))</f>
        <v>0</v>
      </c>
      <c r="Q1520" s="16">
        <f>IF(NOT(Paths!$C$144=1),0,IF(Paths!$P$144="Complete",N1520*(1+'Operating costs'!$B$54)^-C1520,"n.a."))</f>
        <v>0</v>
      </c>
      <c r="R1520" s="16">
        <f>IF(NOT(Paths!$C$144=1),0,IF(Paths!$P$144="Complete",IF(AND(C1520=0,Paths!$E$144=0),I1520-J1520-K1520+VLOOKUP(A1520,'Fleet register'!$A$7:$S$106,15,FALSE)+VLOOKUP(A1520,'Fleet register'!$A$7:$S$106,16,FALSE),0),"n.a."))</f>
        <v>0</v>
      </c>
      <c r="S1520" s="1">
        <f>IF(NOT(Paths!$C$144=1),0,IF(Paths!$P$144="Complete",IF(C1520=0,0,Paths!$S$144*Paths!$R$144),"n.a."))</f>
        <v>0</v>
      </c>
      <c r="T1520" s="1">
        <f>IF(NOT(Paths!$C$144=1),0,IF(Paths!$P$144="Complete",IF(C1520=0,0,VLOOKUP(A1520,'Fleet register'!$A$7:$S$106,9,FALSE)*Paths!$R$144),"n.a."))</f>
        <v>0</v>
      </c>
    </row>
    <row r="1521" spans="1:20" ht="24" customHeight="1">
      <c r="A1521" s="1" t="str">
        <f>Paths!$A$144</f>
        <v>T035</v>
      </c>
      <c r="B1521" s="1">
        <f>Paths!$B$144</f>
        <v>1</v>
      </c>
      <c r="C1521" s="1">
        <v>7</v>
      </c>
      <c r="D1521" s="1">
        <v>144</v>
      </c>
      <c r="E1521" s="1">
        <f>IF(OR(Paths!$C$144=0,C1521=0),0,MAX(0,MIN(C1521*12,Paths!$E$144)-(C1521-1)*12))</f>
        <v>0</v>
      </c>
      <c r="F1521" s="1">
        <f>IF(OR(Paths!$C$144=0,C1521=0),0,12-E1521)</f>
        <v>0</v>
      </c>
      <c r="G1521" s="16">
        <f>IF(NOT(Paths!$C$144=1),0,IF(Paths!$P$144="Complete",E1521/12*(Paths!$J$144*(1+'Operating costs'!$B$51)^MAX(0,C1521-1)+Paths!$K$144*(1+'Operating costs'!$B$53)^MAX(0,C1521-1)),"n.a."))</f>
        <v>0</v>
      </c>
      <c r="H1521" s="16">
        <f>IF(NOT(Paths!$C$144=1),0,IF(Paths!$P$144="Complete",F1521/12*(Paths!$L$144*(1+IF(Paths!$D$144="EV",'Operating costs'!$B$52,'Operating costs'!$B$51))^MAX(0,C1521-1)+Paths!$M$144*(1+'Operating costs'!$B$53)^MAX(0,C1521-1)),"n.a."))</f>
        <v>0</v>
      </c>
      <c r="I1521" s="16">
        <f>IF(NOT(Paths!$C$144=1),0,IF(Paths!$P$144="Complete",IF(IF(Paths!$E$144=0,C1521=0,AND(C1521&gt;0,Paths!$E$144&gt;(C1521-1)*12,Paths!$E$144&lt;=C1521*12)),Paths!$G$144,0),"n.a."))</f>
        <v>0</v>
      </c>
      <c r="J1521" s="16">
        <f>IF(NOT(Paths!$C$144=1),0,IF(Paths!$P$144="Complete",IF(IF(Paths!$E$144=0,C1521=0,AND(C1521&gt;0,Paths!$E$144&gt;(C1521-1)*12,Paths!$E$144&lt;=C1521*12)),Paths!$H$144,0),"n.a."))</f>
        <v>0</v>
      </c>
      <c r="K1521" s="16">
        <f>IF(NOT(Paths!$C$144=1),0,IF(Paths!$P$144="Complete",IF(IF(Paths!$O$144=0,C1521=0,AND(C1521&gt;0,Paths!$O$144&gt;(C1521-1)*12,Paths!$O$144&lt;=C1521*12)),Paths!$N$144,0),"n.a."))</f>
        <v>0</v>
      </c>
      <c r="L1521" s="16">
        <f>IF(NOT(Paths!$C$144=1),0,IF(Paths!$P$144="Complete",IF(C1521=10,Paths!$I$144,0),"n.a."))</f>
        <v>0</v>
      </c>
      <c r="M1521" s="16">
        <f>IF(NOT(Paths!$C$144=1),0,IF(Paths!$P$144="Complete",IF(AND(Paths!$D$144="EV",Paths!$E$144&lt;120,Paths!$E$144+'Operating costs'!$B$65&gt;Paths!$E$144,Paths!$E$144+'Operating costs'!$B$65&lt;=120,IF(Paths!$E$144+'Operating costs'!$B$65=0,C1521=0,AND(C1521&gt;0,Paths!$E$144+'Operating costs'!$B$65&gt;(C1521-1)*12,Paths!$E$144+'Operating costs'!$B$65&lt;=C1521*12))),'Operating costs'!$B$64,0)+IF(AND('Operating costs'!$B$67&gt;0,'Operating costs'!$B$67&lt;=120,OR(Paths!$D$144="ICE",'Operating costs'!$B$67&lt;=Paths!$E$144),IF('Operating costs'!$B$67=0,C1521=0,AND(C1521&gt;0,'Operating costs'!$B$67&gt;(C1521-1)*12,'Operating costs'!$B$67&lt;=C1521*12))),'Operating costs'!$B$66,0),"n.a."))</f>
        <v>0</v>
      </c>
      <c r="N1521" s="16">
        <f>IF(NOT(Paths!$C$144=1),0,IF(Paths!$P$144="Complete",SUM(G1521:I1521)-J1521-K1521-L1521+M1521+IF(C1521=0,Paths!$F$144,0)+IF(IF(Paths!$E$144=0,C1521=0,AND(C1521&gt;0,Paths!$E$144&gt;(C1521-1)*12,Paths!$E$144&lt;=C1521*12)),VLOOKUP(A1521,'Fleet register'!$A$7:$S$106,16,FALSE),0),"n.a."))</f>
        <v>0</v>
      </c>
      <c r="O1521" s="16">
        <f>IF(NOT(Paths!$C$144=1),0,IF(Paths!$P$144="Complete",N1521-IF(C1521=0,Paths!$F$144,0),"n.a."))</f>
        <v>0</v>
      </c>
      <c r="P1521" s="16">
        <f>IF(NOT(Paths!$C$144=1),0,IF(Paths!$P$144="Complete",O1521+L1521,"n.a."))</f>
        <v>0</v>
      </c>
      <c r="Q1521" s="16">
        <f>IF(NOT(Paths!$C$144=1),0,IF(Paths!$P$144="Complete",N1521*(1+'Operating costs'!$B$54)^-C1521,"n.a."))</f>
        <v>0</v>
      </c>
      <c r="R1521" s="16">
        <f>IF(NOT(Paths!$C$144=1),0,IF(Paths!$P$144="Complete",IF(AND(C1521=0,Paths!$E$144=0),I1521-J1521-K1521+VLOOKUP(A1521,'Fleet register'!$A$7:$S$106,15,FALSE)+VLOOKUP(A1521,'Fleet register'!$A$7:$S$106,16,FALSE),0),"n.a."))</f>
        <v>0</v>
      </c>
      <c r="S1521" s="1">
        <f>IF(NOT(Paths!$C$144=1),0,IF(Paths!$P$144="Complete",IF(C1521=0,0,Paths!$S$144*Paths!$R$144),"n.a."))</f>
        <v>0</v>
      </c>
      <c r="T1521" s="1">
        <f>IF(NOT(Paths!$C$144=1),0,IF(Paths!$P$144="Complete",IF(C1521=0,0,VLOOKUP(A1521,'Fleet register'!$A$7:$S$106,9,FALSE)*Paths!$R$144),"n.a."))</f>
        <v>0</v>
      </c>
    </row>
    <row r="1522" spans="1:20" ht="24" customHeight="1">
      <c r="A1522" s="1" t="str">
        <f>Paths!$A$144</f>
        <v>T035</v>
      </c>
      <c r="B1522" s="1">
        <f>Paths!$B$144</f>
        <v>1</v>
      </c>
      <c r="C1522" s="1">
        <v>8</v>
      </c>
      <c r="D1522" s="1">
        <v>144</v>
      </c>
      <c r="E1522" s="1">
        <f>IF(OR(Paths!$C$144=0,C1522=0),0,MAX(0,MIN(C1522*12,Paths!$E$144)-(C1522-1)*12))</f>
        <v>0</v>
      </c>
      <c r="F1522" s="1">
        <f>IF(OR(Paths!$C$144=0,C1522=0),0,12-E1522)</f>
        <v>0</v>
      </c>
      <c r="G1522" s="16">
        <f>IF(NOT(Paths!$C$144=1),0,IF(Paths!$P$144="Complete",E1522/12*(Paths!$J$144*(1+'Operating costs'!$B$51)^MAX(0,C1522-1)+Paths!$K$144*(1+'Operating costs'!$B$53)^MAX(0,C1522-1)),"n.a."))</f>
        <v>0</v>
      </c>
      <c r="H1522" s="16">
        <f>IF(NOT(Paths!$C$144=1),0,IF(Paths!$P$144="Complete",F1522/12*(Paths!$L$144*(1+IF(Paths!$D$144="EV",'Operating costs'!$B$52,'Operating costs'!$B$51))^MAX(0,C1522-1)+Paths!$M$144*(1+'Operating costs'!$B$53)^MAX(0,C1522-1)),"n.a."))</f>
        <v>0</v>
      </c>
      <c r="I1522" s="16">
        <f>IF(NOT(Paths!$C$144=1),0,IF(Paths!$P$144="Complete",IF(IF(Paths!$E$144=0,C1522=0,AND(C1522&gt;0,Paths!$E$144&gt;(C1522-1)*12,Paths!$E$144&lt;=C1522*12)),Paths!$G$144,0),"n.a."))</f>
        <v>0</v>
      </c>
      <c r="J1522" s="16">
        <f>IF(NOT(Paths!$C$144=1),0,IF(Paths!$P$144="Complete",IF(IF(Paths!$E$144=0,C1522=0,AND(C1522&gt;0,Paths!$E$144&gt;(C1522-1)*12,Paths!$E$144&lt;=C1522*12)),Paths!$H$144,0),"n.a."))</f>
        <v>0</v>
      </c>
      <c r="K1522" s="16">
        <f>IF(NOT(Paths!$C$144=1),0,IF(Paths!$P$144="Complete",IF(IF(Paths!$O$144=0,C1522=0,AND(C1522&gt;0,Paths!$O$144&gt;(C1522-1)*12,Paths!$O$144&lt;=C1522*12)),Paths!$N$144,0),"n.a."))</f>
        <v>0</v>
      </c>
      <c r="L1522" s="16">
        <f>IF(NOT(Paths!$C$144=1),0,IF(Paths!$P$144="Complete",IF(C1522=10,Paths!$I$144,0),"n.a."))</f>
        <v>0</v>
      </c>
      <c r="M1522" s="16">
        <f>IF(NOT(Paths!$C$144=1),0,IF(Paths!$P$144="Complete",IF(AND(Paths!$D$144="EV",Paths!$E$144&lt;120,Paths!$E$144+'Operating costs'!$B$65&gt;Paths!$E$144,Paths!$E$144+'Operating costs'!$B$65&lt;=120,IF(Paths!$E$144+'Operating costs'!$B$65=0,C1522=0,AND(C1522&gt;0,Paths!$E$144+'Operating costs'!$B$65&gt;(C1522-1)*12,Paths!$E$144+'Operating costs'!$B$65&lt;=C1522*12))),'Operating costs'!$B$64,0)+IF(AND('Operating costs'!$B$67&gt;0,'Operating costs'!$B$67&lt;=120,OR(Paths!$D$144="ICE",'Operating costs'!$B$67&lt;=Paths!$E$144),IF('Operating costs'!$B$67=0,C1522=0,AND(C1522&gt;0,'Operating costs'!$B$67&gt;(C1522-1)*12,'Operating costs'!$B$67&lt;=C1522*12))),'Operating costs'!$B$66,0),"n.a."))</f>
        <v>0</v>
      </c>
      <c r="N1522" s="16">
        <f>IF(NOT(Paths!$C$144=1),0,IF(Paths!$P$144="Complete",SUM(G1522:I1522)-J1522-K1522-L1522+M1522+IF(C1522=0,Paths!$F$144,0)+IF(IF(Paths!$E$144=0,C1522=0,AND(C1522&gt;0,Paths!$E$144&gt;(C1522-1)*12,Paths!$E$144&lt;=C1522*12)),VLOOKUP(A1522,'Fleet register'!$A$7:$S$106,16,FALSE),0),"n.a."))</f>
        <v>0</v>
      </c>
      <c r="O1522" s="16">
        <f>IF(NOT(Paths!$C$144=1),0,IF(Paths!$P$144="Complete",N1522-IF(C1522=0,Paths!$F$144,0),"n.a."))</f>
        <v>0</v>
      </c>
      <c r="P1522" s="16">
        <f>IF(NOT(Paths!$C$144=1),0,IF(Paths!$P$144="Complete",O1522+L1522,"n.a."))</f>
        <v>0</v>
      </c>
      <c r="Q1522" s="16">
        <f>IF(NOT(Paths!$C$144=1),0,IF(Paths!$P$144="Complete",N1522*(1+'Operating costs'!$B$54)^-C1522,"n.a."))</f>
        <v>0</v>
      </c>
      <c r="R1522" s="16">
        <f>IF(NOT(Paths!$C$144=1),0,IF(Paths!$P$144="Complete",IF(AND(C1522=0,Paths!$E$144=0),I1522-J1522-K1522+VLOOKUP(A1522,'Fleet register'!$A$7:$S$106,15,FALSE)+VLOOKUP(A1522,'Fleet register'!$A$7:$S$106,16,FALSE),0),"n.a."))</f>
        <v>0</v>
      </c>
      <c r="S1522" s="1">
        <f>IF(NOT(Paths!$C$144=1),0,IF(Paths!$P$144="Complete",IF(C1522=0,0,Paths!$S$144*Paths!$R$144),"n.a."))</f>
        <v>0</v>
      </c>
      <c r="T1522" s="1">
        <f>IF(NOT(Paths!$C$144=1),0,IF(Paths!$P$144="Complete",IF(C1522=0,0,VLOOKUP(A1522,'Fleet register'!$A$7:$S$106,9,FALSE)*Paths!$R$144),"n.a."))</f>
        <v>0</v>
      </c>
    </row>
    <row r="1523" spans="1:20" ht="24" customHeight="1">
      <c r="A1523" s="1" t="str">
        <f>Paths!$A$144</f>
        <v>T035</v>
      </c>
      <c r="B1523" s="1">
        <f>Paths!$B$144</f>
        <v>1</v>
      </c>
      <c r="C1523" s="1">
        <v>9</v>
      </c>
      <c r="D1523" s="1">
        <v>144</v>
      </c>
      <c r="E1523" s="1">
        <f>IF(OR(Paths!$C$144=0,C1523=0),0,MAX(0,MIN(C1523*12,Paths!$E$144)-(C1523-1)*12))</f>
        <v>0</v>
      </c>
      <c r="F1523" s="1">
        <f>IF(OR(Paths!$C$144=0,C1523=0),0,12-E1523)</f>
        <v>0</v>
      </c>
      <c r="G1523" s="16">
        <f>IF(NOT(Paths!$C$144=1),0,IF(Paths!$P$144="Complete",E1523/12*(Paths!$J$144*(1+'Operating costs'!$B$51)^MAX(0,C1523-1)+Paths!$K$144*(1+'Operating costs'!$B$53)^MAX(0,C1523-1)),"n.a."))</f>
        <v>0</v>
      </c>
      <c r="H1523" s="16">
        <f>IF(NOT(Paths!$C$144=1),0,IF(Paths!$P$144="Complete",F1523/12*(Paths!$L$144*(1+IF(Paths!$D$144="EV",'Operating costs'!$B$52,'Operating costs'!$B$51))^MAX(0,C1523-1)+Paths!$M$144*(1+'Operating costs'!$B$53)^MAX(0,C1523-1)),"n.a."))</f>
        <v>0</v>
      </c>
      <c r="I1523" s="16">
        <f>IF(NOT(Paths!$C$144=1),0,IF(Paths!$P$144="Complete",IF(IF(Paths!$E$144=0,C1523=0,AND(C1523&gt;0,Paths!$E$144&gt;(C1523-1)*12,Paths!$E$144&lt;=C1523*12)),Paths!$G$144,0),"n.a."))</f>
        <v>0</v>
      </c>
      <c r="J1523" s="16">
        <f>IF(NOT(Paths!$C$144=1),0,IF(Paths!$P$144="Complete",IF(IF(Paths!$E$144=0,C1523=0,AND(C1523&gt;0,Paths!$E$144&gt;(C1523-1)*12,Paths!$E$144&lt;=C1523*12)),Paths!$H$144,0),"n.a."))</f>
        <v>0</v>
      </c>
      <c r="K1523" s="16">
        <f>IF(NOT(Paths!$C$144=1),0,IF(Paths!$P$144="Complete",IF(IF(Paths!$O$144=0,C1523=0,AND(C1523&gt;0,Paths!$O$144&gt;(C1523-1)*12,Paths!$O$144&lt;=C1523*12)),Paths!$N$144,0),"n.a."))</f>
        <v>0</v>
      </c>
      <c r="L1523" s="16">
        <f>IF(NOT(Paths!$C$144=1),0,IF(Paths!$P$144="Complete",IF(C1523=10,Paths!$I$144,0),"n.a."))</f>
        <v>0</v>
      </c>
      <c r="M1523" s="16">
        <f>IF(NOT(Paths!$C$144=1),0,IF(Paths!$P$144="Complete",IF(AND(Paths!$D$144="EV",Paths!$E$144&lt;120,Paths!$E$144+'Operating costs'!$B$65&gt;Paths!$E$144,Paths!$E$144+'Operating costs'!$B$65&lt;=120,IF(Paths!$E$144+'Operating costs'!$B$65=0,C1523=0,AND(C1523&gt;0,Paths!$E$144+'Operating costs'!$B$65&gt;(C1523-1)*12,Paths!$E$144+'Operating costs'!$B$65&lt;=C1523*12))),'Operating costs'!$B$64,0)+IF(AND('Operating costs'!$B$67&gt;0,'Operating costs'!$B$67&lt;=120,OR(Paths!$D$144="ICE",'Operating costs'!$B$67&lt;=Paths!$E$144),IF('Operating costs'!$B$67=0,C1523=0,AND(C1523&gt;0,'Operating costs'!$B$67&gt;(C1523-1)*12,'Operating costs'!$B$67&lt;=C1523*12))),'Operating costs'!$B$66,0),"n.a."))</f>
        <v>0</v>
      </c>
      <c r="N1523" s="16">
        <f>IF(NOT(Paths!$C$144=1),0,IF(Paths!$P$144="Complete",SUM(G1523:I1523)-J1523-K1523-L1523+M1523+IF(C1523=0,Paths!$F$144,0)+IF(IF(Paths!$E$144=0,C1523=0,AND(C1523&gt;0,Paths!$E$144&gt;(C1523-1)*12,Paths!$E$144&lt;=C1523*12)),VLOOKUP(A1523,'Fleet register'!$A$7:$S$106,16,FALSE),0),"n.a."))</f>
        <v>0</v>
      </c>
      <c r="O1523" s="16">
        <f>IF(NOT(Paths!$C$144=1),0,IF(Paths!$P$144="Complete",N1523-IF(C1523=0,Paths!$F$144,0),"n.a."))</f>
        <v>0</v>
      </c>
      <c r="P1523" s="16">
        <f>IF(NOT(Paths!$C$144=1),0,IF(Paths!$P$144="Complete",O1523+L1523,"n.a."))</f>
        <v>0</v>
      </c>
      <c r="Q1523" s="16">
        <f>IF(NOT(Paths!$C$144=1),0,IF(Paths!$P$144="Complete",N1523*(1+'Operating costs'!$B$54)^-C1523,"n.a."))</f>
        <v>0</v>
      </c>
      <c r="R1523" s="16">
        <f>IF(NOT(Paths!$C$144=1),0,IF(Paths!$P$144="Complete",IF(AND(C1523=0,Paths!$E$144=0),I1523-J1523-K1523+VLOOKUP(A1523,'Fleet register'!$A$7:$S$106,15,FALSE)+VLOOKUP(A1523,'Fleet register'!$A$7:$S$106,16,FALSE),0),"n.a."))</f>
        <v>0</v>
      </c>
      <c r="S1523" s="1">
        <f>IF(NOT(Paths!$C$144=1),0,IF(Paths!$P$144="Complete",IF(C1523=0,0,Paths!$S$144*Paths!$R$144),"n.a."))</f>
        <v>0</v>
      </c>
      <c r="T1523" s="1">
        <f>IF(NOT(Paths!$C$144=1),0,IF(Paths!$P$144="Complete",IF(C1523=0,0,VLOOKUP(A1523,'Fleet register'!$A$7:$S$106,9,FALSE)*Paths!$R$144),"n.a."))</f>
        <v>0</v>
      </c>
    </row>
    <row r="1524" spans="1:20" ht="24" customHeight="1">
      <c r="A1524" s="1" t="str">
        <f>Paths!$A$144</f>
        <v>T035</v>
      </c>
      <c r="B1524" s="1">
        <f>Paths!$B$144</f>
        <v>1</v>
      </c>
      <c r="C1524" s="1">
        <v>10</v>
      </c>
      <c r="D1524" s="1">
        <v>144</v>
      </c>
      <c r="E1524" s="1">
        <f>IF(OR(Paths!$C$144=0,C1524=0),0,MAX(0,MIN(C1524*12,Paths!$E$144)-(C1524-1)*12))</f>
        <v>0</v>
      </c>
      <c r="F1524" s="1">
        <f>IF(OR(Paths!$C$144=0,C1524=0),0,12-E1524)</f>
        <v>0</v>
      </c>
      <c r="G1524" s="16">
        <f>IF(NOT(Paths!$C$144=1),0,IF(Paths!$P$144="Complete",E1524/12*(Paths!$J$144*(1+'Operating costs'!$B$51)^MAX(0,C1524-1)+Paths!$K$144*(1+'Operating costs'!$B$53)^MAX(0,C1524-1)),"n.a."))</f>
        <v>0</v>
      </c>
      <c r="H1524" s="16">
        <f>IF(NOT(Paths!$C$144=1),0,IF(Paths!$P$144="Complete",F1524/12*(Paths!$L$144*(1+IF(Paths!$D$144="EV",'Operating costs'!$B$52,'Operating costs'!$B$51))^MAX(0,C1524-1)+Paths!$M$144*(1+'Operating costs'!$B$53)^MAX(0,C1524-1)),"n.a."))</f>
        <v>0</v>
      </c>
      <c r="I1524" s="16">
        <f>IF(NOT(Paths!$C$144=1),0,IF(Paths!$P$144="Complete",IF(IF(Paths!$E$144=0,C1524=0,AND(C1524&gt;0,Paths!$E$144&gt;(C1524-1)*12,Paths!$E$144&lt;=C1524*12)),Paths!$G$144,0),"n.a."))</f>
        <v>0</v>
      </c>
      <c r="J1524" s="16">
        <f>IF(NOT(Paths!$C$144=1),0,IF(Paths!$P$144="Complete",IF(IF(Paths!$E$144=0,C1524=0,AND(C1524&gt;0,Paths!$E$144&gt;(C1524-1)*12,Paths!$E$144&lt;=C1524*12)),Paths!$H$144,0),"n.a."))</f>
        <v>0</v>
      </c>
      <c r="K1524" s="16">
        <f>IF(NOT(Paths!$C$144=1),0,IF(Paths!$P$144="Complete",IF(IF(Paths!$O$144=0,C1524=0,AND(C1524&gt;0,Paths!$O$144&gt;(C1524-1)*12,Paths!$O$144&lt;=C1524*12)),Paths!$N$144,0),"n.a."))</f>
        <v>0</v>
      </c>
      <c r="L1524" s="16">
        <f>IF(NOT(Paths!$C$144=1),0,IF(Paths!$P$144="Complete",IF(C1524=10,Paths!$I$144,0),"n.a."))</f>
        <v>0</v>
      </c>
      <c r="M1524" s="16">
        <f>IF(NOT(Paths!$C$144=1),0,IF(Paths!$P$144="Complete",IF(AND(Paths!$D$144="EV",Paths!$E$144&lt;120,Paths!$E$144+'Operating costs'!$B$65&gt;Paths!$E$144,Paths!$E$144+'Operating costs'!$B$65&lt;=120,IF(Paths!$E$144+'Operating costs'!$B$65=0,C1524=0,AND(C1524&gt;0,Paths!$E$144+'Operating costs'!$B$65&gt;(C1524-1)*12,Paths!$E$144+'Operating costs'!$B$65&lt;=C1524*12))),'Operating costs'!$B$64,0)+IF(AND('Operating costs'!$B$67&gt;0,'Operating costs'!$B$67&lt;=120,OR(Paths!$D$144="ICE",'Operating costs'!$B$67&lt;=Paths!$E$144),IF('Operating costs'!$B$67=0,C1524=0,AND(C1524&gt;0,'Operating costs'!$B$67&gt;(C1524-1)*12,'Operating costs'!$B$67&lt;=C1524*12))),'Operating costs'!$B$66,0),"n.a."))</f>
        <v>0</v>
      </c>
      <c r="N1524" s="16">
        <f>IF(NOT(Paths!$C$144=1),0,IF(Paths!$P$144="Complete",SUM(G1524:I1524)-J1524-K1524-L1524+M1524+IF(C1524=0,Paths!$F$144,0)+IF(IF(Paths!$E$144=0,C1524=0,AND(C1524&gt;0,Paths!$E$144&gt;(C1524-1)*12,Paths!$E$144&lt;=C1524*12)),VLOOKUP(A1524,'Fleet register'!$A$7:$S$106,16,FALSE),0),"n.a."))</f>
        <v>0</v>
      </c>
      <c r="O1524" s="16">
        <f>IF(NOT(Paths!$C$144=1),0,IF(Paths!$P$144="Complete",N1524-IF(C1524=0,Paths!$F$144,0),"n.a."))</f>
        <v>0</v>
      </c>
      <c r="P1524" s="16">
        <f>IF(NOT(Paths!$C$144=1),0,IF(Paths!$P$144="Complete",O1524+L1524,"n.a."))</f>
        <v>0</v>
      </c>
      <c r="Q1524" s="16">
        <f>IF(NOT(Paths!$C$144=1),0,IF(Paths!$P$144="Complete",N1524*(1+'Operating costs'!$B$54)^-C1524,"n.a."))</f>
        <v>0</v>
      </c>
      <c r="R1524" s="16">
        <f>IF(NOT(Paths!$C$144=1),0,IF(Paths!$P$144="Complete",IF(AND(C1524=0,Paths!$E$144=0),I1524-J1524-K1524+VLOOKUP(A1524,'Fleet register'!$A$7:$S$106,15,FALSE)+VLOOKUP(A1524,'Fleet register'!$A$7:$S$106,16,FALSE),0),"n.a."))</f>
        <v>0</v>
      </c>
      <c r="S1524" s="1">
        <f>IF(NOT(Paths!$C$144=1),0,IF(Paths!$P$144="Complete",IF(C1524=0,0,Paths!$S$144*Paths!$R$144),"n.a."))</f>
        <v>0</v>
      </c>
      <c r="T1524" s="1">
        <f>IF(NOT(Paths!$C$144=1),0,IF(Paths!$P$144="Complete",IF(C1524=0,0,VLOOKUP(A1524,'Fleet register'!$A$7:$S$106,9,FALSE)*Paths!$R$144),"n.a."))</f>
        <v>0</v>
      </c>
    </row>
    <row r="1525" spans="1:20" ht="24" customHeight="1">
      <c r="A1525" s="1" t="str">
        <f>Paths!$A$145</f>
        <v>T035</v>
      </c>
      <c r="B1525" s="1">
        <f>Paths!$B$145</f>
        <v>2</v>
      </c>
      <c r="C1525" s="1">
        <v>0</v>
      </c>
      <c r="D1525" s="1">
        <v>145</v>
      </c>
      <c r="E1525" s="1">
        <f>IF(OR(Paths!$C$145=0,C1525=0),0,MAX(0,MIN(C1525*12,Paths!$E$145)-(C1525-1)*12))</f>
        <v>0</v>
      </c>
      <c r="F1525" s="1">
        <f>IF(OR(Paths!$C$145=0,C1525=0),0,12-E1525)</f>
        <v>0</v>
      </c>
      <c r="G1525" s="16">
        <f>IF(NOT(Paths!$C$145=1),0,IF(Paths!$P$145="Complete",E1525/12*(Paths!$J$145*(1+'Operating costs'!$B$51)^MAX(0,C1525-1)+Paths!$K$145*(1+'Operating costs'!$B$53)^MAX(0,C1525-1)),"n.a."))</f>
        <v>0</v>
      </c>
      <c r="H1525" s="16">
        <f>IF(NOT(Paths!$C$145=1),0,IF(Paths!$P$145="Complete",F1525/12*(Paths!$L$145*(1+IF(Paths!$D$145="EV",'Operating costs'!$B$52,'Operating costs'!$B$51))^MAX(0,C1525-1)+Paths!$M$145*(1+'Operating costs'!$B$53)^MAX(0,C1525-1)),"n.a."))</f>
        <v>0</v>
      </c>
      <c r="I1525" s="16">
        <f>IF(NOT(Paths!$C$145=1),0,IF(Paths!$P$145="Complete",IF(IF(Paths!$E$145=0,C1525=0,AND(C1525&gt;0,Paths!$E$145&gt;(C1525-1)*12,Paths!$E$145&lt;=C1525*12)),Paths!$G$145,0),"n.a."))</f>
        <v>0</v>
      </c>
      <c r="J1525" s="16">
        <f>IF(NOT(Paths!$C$145=1),0,IF(Paths!$P$145="Complete",IF(IF(Paths!$E$145=0,C1525=0,AND(C1525&gt;0,Paths!$E$145&gt;(C1525-1)*12,Paths!$E$145&lt;=C1525*12)),Paths!$H$145,0),"n.a."))</f>
        <v>0</v>
      </c>
      <c r="K1525" s="16">
        <f>IF(NOT(Paths!$C$145=1),0,IF(Paths!$P$145="Complete",IF(IF(Paths!$O$145=0,C1525=0,AND(C1525&gt;0,Paths!$O$145&gt;(C1525-1)*12,Paths!$O$145&lt;=C1525*12)),Paths!$N$145,0),"n.a."))</f>
        <v>0</v>
      </c>
      <c r="L1525" s="16">
        <f>IF(NOT(Paths!$C$145=1),0,IF(Paths!$P$145="Complete",IF(C1525=10,Paths!$I$145,0),"n.a."))</f>
        <v>0</v>
      </c>
      <c r="M1525" s="16">
        <f>IF(NOT(Paths!$C$145=1),0,IF(Paths!$P$145="Complete",IF(AND(Paths!$D$145="EV",Paths!$E$145&lt;120,Paths!$E$145+'Operating costs'!$B$65&gt;Paths!$E$145,Paths!$E$145+'Operating costs'!$B$65&lt;=120,IF(Paths!$E$145+'Operating costs'!$B$65=0,C1525=0,AND(C1525&gt;0,Paths!$E$145+'Operating costs'!$B$65&gt;(C1525-1)*12,Paths!$E$145+'Operating costs'!$B$65&lt;=C1525*12))),'Operating costs'!$B$64,0)+IF(AND('Operating costs'!$B$67&gt;0,'Operating costs'!$B$67&lt;=120,OR(Paths!$D$145="ICE",'Operating costs'!$B$67&lt;=Paths!$E$145),IF('Operating costs'!$B$67=0,C1525=0,AND(C1525&gt;0,'Operating costs'!$B$67&gt;(C1525-1)*12,'Operating costs'!$B$67&lt;=C1525*12))),'Operating costs'!$B$66,0),"n.a."))</f>
        <v>0</v>
      </c>
      <c r="N1525" s="16">
        <f>IF(NOT(Paths!$C$145=1),0,IF(Paths!$P$145="Complete",SUM(G1525:I1525)-J1525-K1525-L1525+M1525+IF(C1525=0,Paths!$F$145,0)+IF(IF(Paths!$E$145=0,C1525=0,AND(C1525&gt;0,Paths!$E$145&gt;(C1525-1)*12,Paths!$E$145&lt;=C1525*12)),VLOOKUP(A1525,'Fleet register'!$A$7:$S$106,16,FALSE),0),"n.a."))</f>
        <v>0</v>
      </c>
      <c r="O1525" s="16">
        <f>IF(NOT(Paths!$C$145=1),0,IF(Paths!$P$145="Complete",N1525-IF(C1525=0,Paths!$F$145,0),"n.a."))</f>
        <v>0</v>
      </c>
      <c r="P1525" s="16">
        <f>IF(NOT(Paths!$C$145=1),0,IF(Paths!$P$145="Complete",O1525+L1525,"n.a."))</f>
        <v>0</v>
      </c>
      <c r="Q1525" s="16">
        <f>IF(NOT(Paths!$C$145=1),0,IF(Paths!$P$145="Complete",N1525*(1+'Operating costs'!$B$54)^-C1525,"n.a."))</f>
        <v>0</v>
      </c>
      <c r="R1525" s="16">
        <f>IF(NOT(Paths!$C$145=1),0,IF(Paths!$P$145="Complete",IF(AND(C1525=0,Paths!$E$145=0),I1525-J1525-K1525+VLOOKUP(A1525,'Fleet register'!$A$7:$S$106,15,FALSE)+VLOOKUP(A1525,'Fleet register'!$A$7:$S$106,16,FALSE),0),"n.a."))</f>
        <v>0</v>
      </c>
      <c r="S1525" s="1">
        <f>IF(NOT(Paths!$C$145=1),0,IF(Paths!$P$145="Complete",IF(C1525=0,0,Paths!$S$145*Paths!$R$145),"n.a."))</f>
        <v>0</v>
      </c>
      <c r="T1525" s="1">
        <f>IF(NOT(Paths!$C$145=1),0,IF(Paths!$P$145="Complete",IF(C1525=0,0,VLOOKUP(A1525,'Fleet register'!$A$7:$S$106,9,FALSE)*Paths!$R$145),"n.a."))</f>
        <v>0</v>
      </c>
    </row>
    <row r="1526" spans="1:20" ht="24" customHeight="1">
      <c r="A1526" s="1" t="str">
        <f>Paths!$A$145</f>
        <v>T035</v>
      </c>
      <c r="B1526" s="1">
        <f>Paths!$B$145</f>
        <v>2</v>
      </c>
      <c r="C1526" s="1">
        <v>1</v>
      </c>
      <c r="D1526" s="1">
        <v>145</v>
      </c>
      <c r="E1526" s="1">
        <f>IF(OR(Paths!$C$145=0,C1526=0),0,MAX(0,MIN(C1526*12,Paths!$E$145)-(C1526-1)*12))</f>
        <v>0</v>
      </c>
      <c r="F1526" s="1">
        <f>IF(OR(Paths!$C$145=0,C1526=0),0,12-E1526)</f>
        <v>0</v>
      </c>
      <c r="G1526" s="16">
        <f>IF(NOT(Paths!$C$145=1),0,IF(Paths!$P$145="Complete",E1526/12*(Paths!$J$145*(1+'Operating costs'!$B$51)^MAX(0,C1526-1)+Paths!$K$145*(1+'Operating costs'!$B$53)^MAX(0,C1526-1)),"n.a."))</f>
        <v>0</v>
      </c>
      <c r="H1526" s="16">
        <f>IF(NOT(Paths!$C$145=1),0,IF(Paths!$P$145="Complete",F1526/12*(Paths!$L$145*(1+IF(Paths!$D$145="EV",'Operating costs'!$B$52,'Operating costs'!$B$51))^MAX(0,C1526-1)+Paths!$M$145*(1+'Operating costs'!$B$53)^MAX(0,C1526-1)),"n.a."))</f>
        <v>0</v>
      </c>
      <c r="I1526" s="16">
        <f>IF(NOT(Paths!$C$145=1),0,IF(Paths!$P$145="Complete",IF(IF(Paths!$E$145=0,C1526=0,AND(C1526&gt;0,Paths!$E$145&gt;(C1526-1)*12,Paths!$E$145&lt;=C1526*12)),Paths!$G$145,0),"n.a."))</f>
        <v>0</v>
      </c>
      <c r="J1526" s="16">
        <f>IF(NOT(Paths!$C$145=1),0,IF(Paths!$P$145="Complete",IF(IF(Paths!$E$145=0,C1526=0,AND(C1526&gt;0,Paths!$E$145&gt;(C1526-1)*12,Paths!$E$145&lt;=C1526*12)),Paths!$H$145,0),"n.a."))</f>
        <v>0</v>
      </c>
      <c r="K1526" s="16">
        <f>IF(NOT(Paths!$C$145=1),0,IF(Paths!$P$145="Complete",IF(IF(Paths!$O$145=0,C1526=0,AND(C1526&gt;0,Paths!$O$145&gt;(C1526-1)*12,Paths!$O$145&lt;=C1526*12)),Paths!$N$145,0),"n.a."))</f>
        <v>0</v>
      </c>
      <c r="L1526" s="16">
        <f>IF(NOT(Paths!$C$145=1),0,IF(Paths!$P$145="Complete",IF(C1526=10,Paths!$I$145,0),"n.a."))</f>
        <v>0</v>
      </c>
      <c r="M1526" s="16">
        <f>IF(NOT(Paths!$C$145=1),0,IF(Paths!$P$145="Complete",IF(AND(Paths!$D$145="EV",Paths!$E$145&lt;120,Paths!$E$145+'Operating costs'!$B$65&gt;Paths!$E$145,Paths!$E$145+'Operating costs'!$B$65&lt;=120,IF(Paths!$E$145+'Operating costs'!$B$65=0,C1526=0,AND(C1526&gt;0,Paths!$E$145+'Operating costs'!$B$65&gt;(C1526-1)*12,Paths!$E$145+'Operating costs'!$B$65&lt;=C1526*12))),'Operating costs'!$B$64,0)+IF(AND('Operating costs'!$B$67&gt;0,'Operating costs'!$B$67&lt;=120,OR(Paths!$D$145="ICE",'Operating costs'!$B$67&lt;=Paths!$E$145),IF('Operating costs'!$B$67=0,C1526=0,AND(C1526&gt;0,'Operating costs'!$B$67&gt;(C1526-1)*12,'Operating costs'!$B$67&lt;=C1526*12))),'Operating costs'!$B$66,0),"n.a."))</f>
        <v>0</v>
      </c>
      <c r="N1526" s="16">
        <f>IF(NOT(Paths!$C$145=1),0,IF(Paths!$P$145="Complete",SUM(G1526:I1526)-J1526-K1526-L1526+M1526+IF(C1526=0,Paths!$F$145,0)+IF(IF(Paths!$E$145=0,C1526=0,AND(C1526&gt;0,Paths!$E$145&gt;(C1526-1)*12,Paths!$E$145&lt;=C1526*12)),VLOOKUP(A1526,'Fleet register'!$A$7:$S$106,16,FALSE),0),"n.a."))</f>
        <v>0</v>
      </c>
      <c r="O1526" s="16">
        <f>IF(NOT(Paths!$C$145=1),0,IF(Paths!$P$145="Complete",N1526-IF(C1526=0,Paths!$F$145,0),"n.a."))</f>
        <v>0</v>
      </c>
      <c r="P1526" s="16">
        <f>IF(NOT(Paths!$C$145=1),0,IF(Paths!$P$145="Complete",O1526+L1526,"n.a."))</f>
        <v>0</v>
      </c>
      <c r="Q1526" s="16">
        <f>IF(NOT(Paths!$C$145=1),0,IF(Paths!$P$145="Complete",N1526*(1+'Operating costs'!$B$54)^-C1526,"n.a."))</f>
        <v>0</v>
      </c>
      <c r="R1526" s="16">
        <f>IF(NOT(Paths!$C$145=1),0,IF(Paths!$P$145="Complete",IF(AND(C1526=0,Paths!$E$145=0),I1526-J1526-K1526+VLOOKUP(A1526,'Fleet register'!$A$7:$S$106,15,FALSE)+VLOOKUP(A1526,'Fleet register'!$A$7:$S$106,16,FALSE),0),"n.a."))</f>
        <v>0</v>
      </c>
      <c r="S1526" s="1">
        <f>IF(NOT(Paths!$C$145=1),0,IF(Paths!$P$145="Complete",IF(C1526=0,0,Paths!$S$145*Paths!$R$145),"n.a."))</f>
        <v>0</v>
      </c>
      <c r="T1526" s="1">
        <f>IF(NOT(Paths!$C$145=1),0,IF(Paths!$P$145="Complete",IF(C1526=0,0,VLOOKUP(A1526,'Fleet register'!$A$7:$S$106,9,FALSE)*Paths!$R$145),"n.a."))</f>
        <v>0</v>
      </c>
    </row>
    <row r="1527" spans="1:20" ht="24" customHeight="1">
      <c r="A1527" s="1" t="str">
        <f>Paths!$A$145</f>
        <v>T035</v>
      </c>
      <c r="B1527" s="1">
        <f>Paths!$B$145</f>
        <v>2</v>
      </c>
      <c r="C1527" s="1">
        <v>2</v>
      </c>
      <c r="D1527" s="1">
        <v>145</v>
      </c>
      <c r="E1527" s="1">
        <f>IF(OR(Paths!$C$145=0,C1527=0),0,MAX(0,MIN(C1527*12,Paths!$E$145)-(C1527-1)*12))</f>
        <v>0</v>
      </c>
      <c r="F1527" s="1">
        <f>IF(OR(Paths!$C$145=0,C1527=0),0,12-E1527)</f>
        <v>0</v>
      </c>
      <c r="G1527" s="16">
        <f>IF(NOT(Paths!$C$145=1),0,IF(Paths!$P$145="Complete",E1527/12*(Paths!$J$145*(1+'Operating costs'!$B$51)^MAX(0,C1527-1)+Paths!$K$145*(1+'Operating costs'!$B$53)^MAX(0,C1527-1)),"n.a."))</f>
        <v>0</v>
      </c>
      <c r="H1527" s="16">
        <f>IF(NOT(Paths!$C$145=1),0,IF(Paths!$P$145="Complete",F1527/12*(Paths!$L$145*(1+IF(Paths!$D$145="EV",'Operating costs'!$B$52,'Operating costs'!$B$51))^MAX(0,C1527-1)+Paths!$M$145*(1+'Operating costs'!$B$53)^MAX(0,C1527-1)),"n.a."))</f>
        <v>0</v>
      </c>
      <c r="I1527" s="16">
        <f>IF(NOT(Paths!$C$145=1),0,IF(Paths!$P$145="Complete",IF(IF(Paths!$E$145=0,C1527=0,AND(C1527&gt;0,Paths!$E$145&gt;(C1527-1)*12,Paths!$E$145&lt;=C1527*12)),Paths!$G$145,0),"n.a."))</f>
        <v>0</v>
      </c>
      <c r="J1527" s="16">
        <f>IF(NOT(Paths!$C$145=1),0,IF(Paths!$P$145="Complete",IF(IF(Paths!$E$145=0,C1527=0,AND(C1527&gt;0,Paths!$E$145&gt;(C1527-1)*12,Paths!$E$145&lt;=C1527*12)),Paths!$H$145,0),"n.a."))</f>
        <v>0</v>
      </c>
      <c r="K1527" s="16">
        <f>IF(NOT(Paths!$C$145=1),0,IF(Paths!$P$145="Complete",IF(IF(Paths!$O$145=0,C1527=0,AND(C1527&gt;0,Paths!$O$145&gt;(C1527-1)*12,Paths!$O$145&lt;=C1527*12)),Paths!$N$145,0),"n.a."))</f>
        <v>0</v>
      </c>
      <c r="L1527" s="16">
        <f>IF(NOT(Paths!$C$145=1),0,IF(Paths!$P$145="Complete",IF(C1527=10,Paths!$I$145,0),"n.a."))</f>
        <v>0</v>
      </c>
      <c r="M1527" s="16">
        <f>IF(NOT(Paths!$C$145=1),0,IF(Paths!$P$145="Complete",IF(AND(Paths!$D$145="EV",Paths!$E$145&lt;120,Paths!$E$145+'Operating costs'!$B$65&gt;Paths!$E$145,Paths!$E$145+'Operating costs'!$B$65&lt;=120,IF(Paths!$E$145+'Operating costs'!$B$65=0,C1527=0,AND(C1527&gt;0,Paths!$E$145+'Operating costs'!$B$65&gt;(C1527-1)*12,Paths!$E$145+'Operating costs'!$B$65&lt;=C1527*12))),'Operating costs'!$B$64,0)+IF(AND('Operating costs'!$B$67&gt;0,'Operating costs'!$B$67&lt;=120,OR(Paths!$D$145="ICE",'Operating costs'!$B$67&lt;=Paths!$E$145),IF('Operating costs'!$B$67=0,C1527=0,AND(C1527&gt;0,'Operating costs'!$B$67&gt;(C1527-1)*12,'Operating costs'!$B$67&lt;=C1527*12))),'Operating costs'!$B$66,0),"n.a."))</f>
        <v>0</v>
      </c>
      <c r="N1527" s="16">
        <f>IF(NOT(Paths!$C$145=1),0,IF(Paths!$P$145="Complete",SUM(G1527:I1527)-J1527-K1527-L1527+M1527+IF(C1527=0,Paths!$F$145,0)+IF(IF(Paths!$E$145=0,C1527=0,AND(C1527&gt;0,Paths!$E$145&gt;(C1527-1)*12,Paths!$E$145&lt;=C1527*12)),VLOOKUP(A1527,'Fleet register'!$A$7:$S$106,16,FALSE),0),"n.a."))</f>
        <v>0</v>
      </c>
      <c r="O1527" s="16">
        <f>IF(NOT(Paths!$C$145=1),0,IF(Paths!$P$145="Complete",N1527-IF(C1527=0,Paths!$F$145,0),"n.a."))</f>
        <v>0</v>
      </c>
      <c r="P1527" s="16">
        <f>IF(NOT(Paths!$C$145=1),0,IF(Paths!$P$145="Complete",O1527+L1527,"n.a."))</f>
        <v>0</v>
      </c>
      <c r="Q1527" s="16">
        <f>IF(NOT(Paths!$C$145=1),0,IF(Paths!$P$145="Complete",N1527*(1+'Operating costs'!$B$54)^-C1527,"n.a."))</f>
        <v>0</v>
      </c>
      <c r="R1527" s="16">
        <f>IF(NOT(Paths!$C$145=1),0,IF(Paths!$P$145="Complete",IF(AND(C1527=0,Paths!$E$145=0),I1527-J1527-K1527+VLOOKUP(A1527,'Fleet register'!$A$7:$S$106,15,FALSE)+VLOOKUP(A1527,'Fleet register'!$A$7:$S$106,16,FALSE),0),"n.a."))</f>
        <v>0</v>
      </c>
      <c r="S1527" s="1">
        <f>IF(NOT(Paths!$C$145=1),0,IF(Paths!$P$145="Complete",IF(C1527=0,0,Paths!$S$145*Paths!$R$145),"n.a."))</f>
        <v>0</v>
      </c>
      <c r="T1527" s="1">
        <f>IF(NOT(Paths!$C$145=1),0,IF(Paths!$P$145="Complete",IF(C1527=0,0,VLOOKUP(A1527,'Fleet register'!$A$7:$S$106,9,FALSE)*Paths!$R$145),"n.a."))</f>
        <v>0</v>
      </c>
    </row>
    <row r="1528" spans="1:20" ht="24" customHeight="1">
      <c r="A1528" s="1" t="str">
        <f>Paths!$A$145</f>
        <v>T035</v>
      </c>
      <c r="B1528" s="1">
        <f>Paths!$B$145</f>
        <v>2</v>
      </c>
      <c r="C1528" s="1">
        <v>3</v>
      </c>
      <c r="D1528" s="1">
        <v>145</v>
      </c>
      <c r="E1528" s="1">
        <f>IF(OR(Paths!$C$145=0,C1528=0),0,MAX(0,MIN(C1528*12,Paths!$E$145)-(C1528-1)*12))</f>
        <v>0</v>
      </c>
      <c r="F1528" s="1">
        <f>IF(OR(Paths!$C$145=0,C1528=0),0,12-E1528)</f>
        <v>0</v>
      </c>
      <c r="G1528" s="16">
        <f>IF(NOT(Paths!$C$145=1),0,IF(Paths!$P$145="Complete",E1528/12*(Paths!$J$145*(1+'Operating costs'!$B$51)^MAX(0,C1528-1)+Paths!$K$145*(1+'Operating costs'!$B$53)^MAX(0,C1528-1)),"n.a."))</f>
        <v>0</v>
      </c>
      <c r="H1528" s="16">
        <f>IF(NOT(Paths!$C$145=1),0,IF(Paths!$P$145="Complete",F1528/12*(Paths!$L$145*(1+IF(Paths!$D$145="EV",'Operating costs'!$B$52,'Operating costs'!$B$51))^MAX(0,C1528-1)+Paths!$M$145*(1+'Operating costs'!$B$53)^MAX(0,C1528-1)),"n.a."))</f>
        <v>0</v>
      </c>
      <c r="I1528" s="16">
        <f>IF(NOT(Paths!$C$145=1),0,IF(Paths!$P$145="Complete",IF(IF(Paths!$E$145=0,C1528=0,AND(C1528&gt;0,Paths!$E$145&gt;(C1528-1)*12,Paths!$E$145&lt;=C1528*12)),Paths!$G$145,0),"n.a."))</f>
        <v>0</v>
      </c>
      <c r="J1528" s="16">
        <f>IF(NOT(Paths!$C$145=1),0,IF(Paths!$P$145="Complete",IF(IF(Paths!$E$145=0,C1528=0,AND(C1528&gt;0,Paths!$E$145&gt;(C1528-1)*12,Paths!$E$145&lt;=C1528*12)),Paths!$H$145,0),"n.a."))</f>
        <v>0</v>
      </c>
      <c r="K1528" s="16">
        <f>IF(NOT(Paths!$C$145=1),0,IF(Paths!$P$145="Complete",IF(IF(Paths!$O$145=0,C1528=0,AND(C1528&gt;0,Paths!$O$145&gt;(C1528-1)*12,Paths!$O$145&lt;=C1528*12)),Paths!$N$145,0),"n.a."))</f>
        <v>0</v>
      </c>
      <c r="L1528" s="16">
        <f>IF(NOT(Paths!$C$145=1),0,IF(Paths!$P$145="Complete",IF(C1528=10,Paths!$I$145,0),"n.a."))</f>
        <v>0</v>
      </c>
      <c r="M1528" s="16">
        <f>IF(NOT(Paths!$C$145=1),0,IF(Paths!$P$145="Complete",IF(AND(Paths!$D$145="EV",Paths!$E$145&lt;120,Paths!$E$145+'Operating costs'!$B$65&gt;Paths!$E$145,Paths!$E$145+'Operating costs'!$B$65&lt;=120,IF(Paths!$E$145+'Operating costs'!$B$65=0,C1528=0,AND(C1528&gt;0,Paths!$E$145+'Operating costs'!$B$65&gt;(C1528-1)*12,Paths!$E$145+'Operating costs'!$B$65&lt;=C1528*12))),'Operating costs'!$B$64,0)+IF(AND('Operating costs'!$B$67&gt;0,'Operating costs'!$B$67&lt;=120,OR(Paths!$D$145="ICE",'Operating costs'!$B$67&lt;=Paths!$E$145),IF('Operating costs'!$B$67=0,C1528=0,AND(C1528&gt;0,'Operating costs'!$B$67&gt;(C1528-1)*12,'Operating costs'!$B$67&lt;=C1528*12))),'Operating costs'!$B$66,0),"n.a."))</f>
        <v>0</v>
      </c>
      <c r="N1528" s="16">
        <f>IF(NOT(Paths!$C$145=1),0,IF(Paths!$P$145="Complete",SUM(G1528:I1528)-J1528-K1528-L1528+M1528+IF(C1528=0,Paths!$F$145,0)+IF(IF(Paths!$E$145=0,C1528=0,AND(C1528&gt;0,Paths!$E$145&gt;(C1528-1)*12,Paths!$E$145&lt;=C1528*12)),VLOOKUP(A1528,'Fleet register'!$A$7:$S$106,16,FALSE),0),"n.a."))</f>
        <v>0</v>
      </c>
      <c r="O1528" s="16">
        <f>IF(NOT(Paths!$C$145=1),0,IF(Paths!$P$145="Complete",N1528-IF(C1528=0,Paths!$F$145,0),"n.a."))</f>
        <v>0</v>
      </c>
      <c r="P1528" s="16">
        <f>IF(NOT(Paths!$C$145=1),0,IF(Paths!$P$145="Complete",O1528+L1528,"n.a."))</f>
        <v>0</v>
      </c>
      <c r="Q1528" s="16">
        <f>IF(NOT(Paths!$C$145=1),0,IF(Paths!$P$145="Complete",N1528*(1+'Operating costs'!$B$54)^-C1528,"n.a."))</f>
        <v>0</v>
      </c>
      <c r="R1528" s="16">
        <f>IF(NOT(Paths!$C$145=1),0,IF(Paths!$P$145="Complete",IF(AND(C1528=0,Paths!$E$145=0),I1528-J1528-K1528+VLOOKUP(A1528,'Fleet register'!$A$7:$S$106,15,FALSE)+VLOOKUP(A1528,'Fleet register'!$A$7:$S$106,16,FALSE),0),"n.a."))</f>
        <v>0</v>
      </c>
      <c r="S1528" s="1">
        <f>IF(NOT(Paths!$C$145=1),0,IF(Paths!$P$145="Complete",IF(C1528=0,0,Paths!$S$145*Paths!$R$145),"n.a."))</f>
        <v>0</v>
      </c>
      <c r="T1528" s="1">
        <f>IF(NOT(Paths!$C$145=1),0,IF(Paths!$P$145="Complete",IF(C1528=0,0,VLOOKUP(A1528,'Fleet register'!$A$7:$S$106,9,FALSE)*Paths!$R$145),"n.a."))</f>
        <v>0</v>
      </c>
    </row>
    <row r="1529" spans="1:20" ht="24" customHeight="1">
      <c r="A1529" s="1" t="str">
        <f>Paths!$A$145</f>
        <v>T035</v>
      </c>
      <c r="B1529" s="1">
        <f>Paths!$B$145</f>
        <v>2</v>
      </c>
      <c r="C1529" s="1">
        <v>4</v>
      </c>
      <c r="D1529" s="1">
        <v>145</v>
      </c>
      <c r="E1529" s="1">
        <f>IF(OR(Paths!$C$145=0,C1529=0),0,MAX(0,MIN(C1529*12,Paths!$E$145)-(C1529-1)*12))</f>
        <v>0</v>
      </c>
      <c r="F1529" s="1">
        <f>IF(OR(Paths!$C$145=0,C1529=0),0,12-E1529)</f>
        <v>0</v>
      </c>
      <c r="G1529" s="16">
        <f>IF(NOT(Paths!$C$145=1),0,IF(Paths!$P$145="Complete",E1529/12*(Paths!$J$145*(1+'Operating costs'!$B$51)^MAX(0,C1529-1)+Paths!$K$145*(1+'Operating costs'!$B$53)^MAX(0,C1529-1)),"n.a."))</f>
        <v>0</v>
      </c>
      <c r="H1529" s="16">
        <f>IF(NOT(Paths!$C$145=1),0,IF(Paths!$P$145="Complete",F1529/12*(Paths!$L$145*(1+IF(Paths!$D$145="EV",'Operating costs'!$B$52,'Operating costs'!$B$51))^MAX(0,C1529-1)+Paths!$M$145*(1+'Operating costs'!$B$53)^MAX(0,C1529-1)),"n.a."))</f>
        <v>0</v>
      </c>
      <c r="I1529" s="16">
        <f>IF(NOT(Paths!$C$145=1),0,IF(Paths!$P$145="Complete",IF(IF(Paths!$E$145=0,C1529=0,AND(C1529&gt;0,Paths!$E$145&gt;(C1529-1)*12,Paths!$E$145&lt;=C1529*12)),Paths!$G$145,0),"n.a."))</f>
        <v>0</v>
      </c>
      <c r="J1529" s="16">
        <f>IF(NOT(Paths!$C$145=1),0,IF(Paths!$P$145="Complete",IF(IF(Paths!$E$145=0,C1529=0,AND(C1529&gt;0,Paths!$E$145&gt;(C1529-1)*12,Paths!$E$145&lt;=C1529*12)),Paths!$H$145,0),"n.a."))</f>
        <v>0</v>
      </c>
      <c r="K1529" s="16">
        <f>IF(NOT(Paths!$C$145=1),0,IF(Paths!$P$145="Complete",IF(IF(Paths!$O$145=0,C1529=0,AND(C1529&gt;0,Paths!$O$145&gt;(C1529-1)*12,Paths!$O$145&lt;=C1529*12)),Paths!$N$145,0),"n.a."))</f>
        <v>0</v>
      </c>
      <c r="L1529" s="16">
        <f>IF(NOT(Paths!$C$145=1),0,IF(Paths!$P$145="Complete",IF(C1529=10,Paths!$I$145,0),"n.a."))</f>
        <v>0</v>
      </c>
      <c r="M1529" s="16">
        <f>IF(NOT(Paths!$C$145=1),0,IF(Paths!$P$145="Complete",IF(AND(Paths!$D$145="EV",Paths!$E$145&lt;120,Paths!$E$145+'Operating costs'!$B$65&gt;Paths!$E$145,Paths!$E$145+'Operating costs'!$B$65&lt;=120,IF(Paths!$E$145+'Operating costs'!$B$65=0,C1529=0,AND(C1529&gt;0,Paths!$E$145+'Operating costs'!$B$65&gt;(C1529-1)*12,Paths!$E$145+'Operating costs'!$B$65&lt;=C1529*12))),'Operating costs'!$B$64,0)+IF(AND('Operating costs'!$B$67&gt;0,'Operating costs'!$B$67&lt;=120,OR(Paths!$D$145="ICE",'Operating costs'!$B$67&lt;=Paths!$E$145),IF('Operating costs'!$B$67=0,C1529=0,AND(C1529&gt;0,'Operating costs'!$B$67&gt;(C1529-1)*12,'Operating costs'!$B$67&lt;=C1529*12))),'Operating costs'!$B$66,0),"n.a."))</f>
        <v>0</v>
      </c>
      <c r="N1529" s="16">
        <f>IF(NOT(Paths!$C$145=1),0,IF(Paths!$P$145="Complete",SUM(G1529:I1529)-J1529-K1529-L1529+M1529+IF(C1529=0,Paths!$F$145,0)+IF(IF(Paths!$E$145=0,C1529=0,AND(C1529&gt;0,Paths!$E$145&gt;(C1529-1)*12,Paths!$E$145&lt;=C1529*12)),VLOOKUP(A1529,'Fleet register'!$A$7:$S$106,16,FALSE),0),"n.a."))</f>
        <v>0</v>
      </c>
      <c r="O1529" s="16">
        <f>IF(NOT(Paths!$C$145=1),0,IF(Paths!$P$145="Complete",N1529-IF(C1529=0,Paths!$F$145,0),"n.a."))</f>
        <v>0</v>
      </c>
      <c r="P1529" s="16">
        <f>IF(NOT(Paths!$C$145=1),0,IF(Paths!$P$145="Complete",O1529+L1529,"n.a."))</f>
        <v>0</v>
      </c>
      <c r="Q1529" s="16">
        <f>IF(NOT(Paths!$C$145=1),0,IF(Paths!$P$145="Complete",N1529*(1+'Operating costs'!$B$54)^-C1529,"n.a."))</f>
        <v>0</v>
      </c>
      <c r="R1529" s="16">
        <f>IF(NOT(Paths!$C$145=1),0,IF(Paths!$P$145="Complete",IF(AND(C1529=0,Paths!$E$145=0),I1529-J1529-K1529+VLOOKUP(A1529,'Fleet register'!$A$7:$S$106,15,FALSE)+VLOOKUP(A1529,'Fleet register'!$A$7:$S$106,16,FALSE),0),"n.a."))</f>
        <v>0</v>
      </c>
      <c r="S1529" s="1">
        <f>IF(NOT(Paths!$C$145=1),0,IF(Paths!$P$145="Complete",IF(C1529=0,0,Paths!$S$145*Paths!$R$145),"n.a."))</f>
        <v>0</v>
      </c>
      <c r="T1529" s="1">
        <f>IF(NOT(Paths!$C$145=1),0,IF(Paths!$P$145="Complete",IF(C1529=0,0,VLOOKUP(A1529,'Fleet register'!$A$7:$S$106,9,FALSE)*Paths!$R$145),"n.a."))</f>
        <v>0</v>
      </c>
    </row>
    <row r="1530" spans="1:20" ht="24" customHeight="1">
      <c r="A1530" s="1" t="str">
        <f>Paths!$A$145</f>
        <v>T035</v>
      </c>
      <c r="B1530" s="1">
        <f>Paths!$B$145</f>
        <v>2</v>
      </c>
      <c r="C1530" s="1">
        <v>5</v>
      </c>
      <c r="D1530" s="1">
        <v>145</v>
      </c>
      <c r="E1530" s="1">
        <f>IF(OR(Paths!$C$145=0,C1530=0),0,MAX(0,MIN(C1530*12,Paths!$E$145)-(C1530-1)*12))</f>
        <v>0</v>
      </c>
      <c r="F1530" s="1">
        <f>IF(OR(Paths!$C$145=0,C1530=0),0,12-E1530)</f>
        <v>0</v>
      </c>
      <c r="G1530" s="16">
        <f>IF(NOT(Paths!$C$145=1),0,IF(Paths!$P$145="Complete",E1530/12*(Paths!$J$145*(1+'Operating costs'!$B$51)^MAX(0,C1530-1)+Paths!$K$145*(1+'Operating costs'!$B$53)^MAX(0,C1530-1)),"n.a."))</f>
        <v>0</v>
      </c>
      <c r="H1530" s="16">
        <f>IF(NOT(Paths!$C$145=1),0,IF(Paths!$P$145="Complete",F1530/12*(Paths!$L$145*(1+IF(Paths!$D$145="EV",'Operating costs'!$B$52,'Operating costs'!$B$51))^MAX(0,C1530-1)+Paths!$M$145*(1+'Operating costs'!$B$53)^MAX(0,C1530-1)),"n.a."))</f>
        <v>0</v>
      </c>
      <c r="I1530" s="16">
        <f>IF(NOT(Paths!$C$145=1),0,IF(Paths!$P$145="Complete",IF(IF(Paths!$E$145=0,C1530=0,AND(C1530&gt;0,Paths!$E$145&gt;(C1530-1)*12,Paths!$E$145&lt;=C1530*12)),Paths!$G$145,0),"n.a."))</f>
        <v>0</v>
      </c>
      <c r="J1530" s="16">
        <f>IF(NOT(Paths!$C$145=1),0,IF(Paths!$P$145="Complete",IF(IF(Paths!$E$145=0,C1530=0,AND(C1530&gt;0,Paths!$E$145&gt;(C1530-1)*12,Paths!$E$145&lt;=C1530*12)),Paths!$H$145,0),"n.a."))</f>
        <v>0</v>
      </c>
      <c r="K1530" s="16">
        <f>IF(NOT(Paths!$C$145=1),0,IF(Paths!$P$145="Complete",IF(IF(Paths!$O$145=0,C1530=0,AND(C1530&gt;0,Paths!$O$145&gt;(C1530-1)*12,Paths!$O$145&lt;=C1530*12)),Paths!$N$145,0),"n.a."))</f>
        <v>0</v>
      </c>
      <c r="L1530" s="16">
        <f>IF(NOT(Paths!$C$145=1),0,IF(Paths!$P$145="Complete",IF(C1530=10,Paths!$I$145,0),"n.a."))</f>
        <v>0</v>
      </c>
      <c r="M1530" s="16">
        <f>IF(NOT(Paths!$C$145=1),0,IF(Paths!$P$145="Complete",IF(AND(Paths!$D$145="EV",Paths!$E$145&lt;120,Paths!$E$145+'Operating costs'!$B$65&gt;Paths!$E$145,Paths!$E$145+'Operating costs'!$B$65&lt;=120,IF(Paths!$E$145+'Operating costs'!$B$65=0,C1530=0,AND(C1530&gt;0,Paths!$E$145+'Operating costs'!$B$65&gt;(C1530-1)*12,Paths!$E$145+'Operating costs'!$B$65&lt;=C1530*12))),'Operating costs'!$B$64,0)+IF(AND('Operating costs'!$B$67&gt;0,'Operating costs'!$B$67&lt;=120,OR(Paths!$D$145="ICE",'Operating costs'!$B$67&lt;=Paths!$E$145),IF('Operating costs'!$B$67=0,C1530=0,AND(C1530&gt;0,'Operating costs'!$B$67&gt;(C1530-1)*12,'Operating costs'!$B$67&lt;=C1530*12))),'Operating costs'!$B$66,0),"n.a."))</f>
        <v>0</v>
      </c>
      <c r="N1530" s="16">
        <f>IF(NOT(Paths!$C$145=1),0,IF(Paths!$P$145="Complete",SUM(G1530:I1530)-J1530-K1530-L1530+M1530+IF(C1530=0,Paths!$F$145,0)+IF(IF(Paths!$E$145=0,C1530=0,AND(C1530&gt;0,Paths!$E$145&gt;(C1530-1)*12,Paths!$E$145&lt;=C1530*12)),VLOOKUP(A1530,'Fleet register'!$A$7:$S$106,16,FALSE),0),"n.a."))</f>
        <v>0</v>
      </c>
      <c r="O1530" s="16">
        <f>IF(NOT(Paths!$C$145=1),0,IF(Paths!$P$145="Complete",N1530-IF(C1530=0,Paths!$F$145,0),"n.a."))</f>
        <v>0</v>
      </c>
      <c r="P1530" s="16">
        <f>IF(NOT(Paths!$C$145=1),0,IF(Paths!$P$145="Complete",O1530+L1530,"n.a."))</f>
        <v>0</v>
      </c>
      <c r="Q1530" s="16">
        <f>IF(NOT(Paths!$C$145=1),0,IF(Paths!$P$145="Complete",N1530*(1+'Operating costs'!$B$54)^-C1530,"n.a."))</f>
        <v>0</v>
      </c>
      <c r="R1530" s="16">
        <f>IF(NOT(Paths!$C$145=1),0,IF(Paths!$P$145="Complete",IF(AND(C1530=0,Paths!$E$145=0),I1530-J1530-K1530+VLOOKUP(A1530,'Fleet register'!$A$7:$S$106,15,FALSE)+VLOOKUP(A1530,'Fleet register'!$A$7:$S$106,16,FALSE),0),"n.a."))</f>
        <v>0</v>
      </c>
      <c r="S1530" s="1">
        <f>IF(NOT(Paths!$C$145=1),0,IF(Paths!$P$145="Complete",IF(C1530=0,0,Paths!$S$145*Paths!$R$145),"n.a."))</f>
        <v>0</v>
      </c>
      <c r="T1530" s="1">
        <f>IF(NOT(Paths!$C$145=1),0,IF(Paths!$P$145="Complete",IF(C1530=0,0,VLOOKUP(A1530,'Fleet register'!$A$7:$S$106,9,FALSE)*Paths!$R$145),"n.a."))</f>
        <v>0</v>
      </c>
    </row>
    <row r="1531" spans="1:20" ht="24" customHeight="1">
      <c r="A1531" s="1" t="str">
        <f>Paths!$A$145</f>
        <v>T035</v>
      </c>
      <c r="B1531" s="1">
        <f>Paths!$B$145</f>
        <v>2</v>
      </c>
      <c r="C1531" s="1">
        <v>6</v>
      </c>
      <c r="D1531" s="1">
        <v>145</v>
      </c>
      <c r="E1531" s="1">
        <f>IF(OR(Paths!$C$145=0,C1531=0),0,MAX(0,MIN(C1531*12,Paths!$E$145)-(C1531-1)*12))</f>
        <v>0</v>
      </c>
      <c r="F1531" s="1">
        <f>IF(OR(Paths!$C$145=0,C1531=0),0,12-E1531)</f>
        <v>0</v>
      </c>
      <c r="G1531" s="16">
        <f>IF(NOT(Paths!$C$145=1),0,IF(Paths!$P$145="Complete",E1531/12*(Paths!$J$145*(1+'Operating costs'!$B$51)^MAX(0,C1531-1)+Paths!$K$145*(1+'Operating costs'!$B$53)^MAX(0,C1531-1)),"n.a."))</f>
        <v>0</v>
      </c>
      <c r="H1531" s="16">
        <f>IF(NOT(Paths!$C$145=1),0,IF(Paths!$P$145="Complete",F1531/12*(Paths!$L$145*(1+IF(Paths!$D$145="EV",'Operating costs'!$B$52,'Operating costs'!$B$51))^MAX(0,C1531-1)+Paths!$M$145*(1+'Operating costs'!$B$53)^MAX(0,C1531-1)),"n.a."))</f>
        <v>0</v>
      </c>
      <c r="I1531" s="16">
        <f>IF(NOT(Paths!$C$145=1),0,IF(Paths!$P$145="Complete",IF(IF(Paths!$E$145=0,C1531=0,AND(C1531&gt;0,Paths!$E$145&gt;(C1531-1)*12,Paths!$E$145&lt;=C1531*12)),Paths!$G$145,0),"n.a."))</f>
        <v>0</v>
      </c>
      <c r="J1531" s="16">
        <f>IF(NOT(Paths!$C$145=1),0,IF(Paths!$P$145="Complete",IF(IF(Paths!$E$145=0,C1531=0,AND(C1531&gt;0,Paths!$E$145&gt;(C1531-1)*12,Paths!$E$145&lt;=C1531*12)),Paths!$H$145,0),"n.a."))</f>
        <v>0</v>
      </c>
      <c r="K1531" s="16">
        <f>IF(NOT(Paths!$C$145=1),0,IF(Paths!$P$145="Complete",IF(IF(Paths!$O$145=0,C1531=0,AND(C1531&gt;0,Paths!$O$145&gt;(C1531-1)*12,Paths!$O$145&lt;=C1531*12)),Paths!$N$145,0),"n.a."))</f>
        <v>0</v>
      </c>
      <c r="L1531" s="16">
        <f>IF(NOT(Paths!$C$145=1),0,IF(Paths!$P$145="Complete",IF(C1531=10,Paths!$I$145,0),"n.a."))</f>
        <v>0</v>
      </c>
      <c r="M1531" s="16">
        <f>IF(NOT(Paths!$C$145=1),0,IF(Paths!$P$145="Complete",IF(AND(Paths!$D$145="EV",Paths!$E$145&lt;120,Paths!$E$145+'Operating costs'!$B$65&gt;Paths!$E$145,Paths!$E$145+'Operating costs'!$B$65&lt;=120,IF(Paths!$E$145+'Operating costs'!$B$65=0,C1531=0,AND(C1531&gt;0,Paths!$E$145+'Operating costs'!$B$65&gt;(C1531-1)*12,Paths!$E$145+'Operating costs'!$B$65&lt;=C1531*12))),'Operating costs'!$B$64,0)+IF(AND('Operating costs'!$B$67&gt;0,'Operating costs'!$B$67&lt;=120,OR(Paths!$D$145="ICE",'Operating costs'!$B$67&lt;=Paths!$E$145),IF('Operating costs'!$B$67=0,C1531=0,AND(C1531&gt;0,'Operating costs'!$B$67&gt;(C1531-1)*12,'Operating costs'!$B$67&lt;=C1531*12))),'Operating costs'!$B$66,0),"n.a."))</f>
        <v>0</v>
      </c>
      <c r="N1531" s="16">
        <f>IF(NOT(Paths!$C$145=1),0,IF(Paths!$P$145="Complete",SUM(G1531:I1531)-J1531-K1531-L1531+M1531+IF(C1531=0,Paths!$F$145,0)+IF(IF(Paths!$E$145=0,C1531=0,AND(C1531&gt;0,Paths!$E$145&gt;(C1531-1)*12,Paths!$E$145&lt;=C1531*12)),VLOOKUP(A1531,'Fleet register'!$A$7:$S$106,16,FALSE),0),"n.a."))</f>
        <v>0</v>
      </c>
      <c r="O1531" s="16">
        <f>IF(NOT(Paths!$C$145=1),0,IF(Paths!$P$145="Complete",N1531-IF(C1531=0,Paths!$F$145,0),"n.a."))</f>
        <v>0</v>
      </c>
      <c r="P1531" s="16">
        <f>IF(NOT(Paths!$C$145=1),0,IF(Paths!$P$145="Complete",O1531+L1531,"n.a."))</f>
        <v>0</v>
      </c>
      <c r="Q1531" s="16">
        <f>IF(NOT(Paths!$C$145=1),0,IF(Paths!$P$145="Complete",N1531*(1+'Operating costs'!$B$54)^-C1531,"n.a."))</f>
        <v>0</v>
      </c>
      <c r="R1531" s="16">
        <f>IF(NOT(Paths!$C$145=1),0,IF(Paths!$P$145="Complete",IF(AND(C1531=0,Paths!$E$145=0),I1531-J1531-K1531+VLOOKUP(A1531,'Fleet register'!$A$7:$S$106,15,FALSE)+VLOOKUP(A1531,'Fleet register'!$A$7:$S$106,16,FALSE),0),"n.a."))</f>
        <v>0</v>
      </c>
      <c r="S1531" s="1">
        <f>IF(NOT(Paths!$C$145=1),0,IF(Paths!$P$145="Complete",IF(C1531=0,0,Paths!$S$145*Paths!$R$145),"n.a."))</f>
        <v>0</v>
      </c>
      <c r="T1531" s="1">
        <f>IF(NOT(Paths!$C$145=1),0,IF(Paths!$P$145="Complete",IF(C1531=0,0,VLOOKUP(A1531,'Fleet register'!$A$7:$S$106,9,FALSE)*Paths!$R$145),"n.a."))</f>
        <v>0</v>
      </c>
    </row>
    <row r="1532" spans="1:20" ht="24" customHeight="1">
      <c r="A1532" s="1" t="str">
        <f>Paths!$A$145</f>
        <v>T035</v>
      </c>
      <c r="B1532" s="1">
        <f>Paths!$B$145</f>
        <v>2</v>
      </c>
      <c r="C1532" s="1">
        <v>7</v>
      </c>
      <c r="D1532" s="1">
        <v>145</v>
      </c>
      <c r="E1532" s="1">
        <f>IF(OR(Paths!$C$145=0,C1532=0),0,MAX(0,MIN(C1532*12,Paths!$E$145)-(C1532-1)*12))</f>
        <v>0</v>
      </c>
      <c r="F1532" s="1">
        <f>IF(OR(Paths!$C$145=0,C1532=0),0,12-E1532)</f>
        <v>0</v>
      </c>
      <c r="G1532" s="16">
        <f>IF(NOT(Paths!$C$145=1),0,IF(Paths!$P$145="Complete",E1532/12*(Paths!$J$145*(1+'Operating costs'!$B$51)^MAX(0,C1532-1)+Paths!$K$145*(1+'Operating costs'!$B$53)^MAX(0,C1532-1)),"n.a."))</f>
        <v>0</v>
      </c>
      <c r="H1532" s="16">
        <f>IF(NOT(Paths!$C$145=1),0,IF(Paths!$P$145="Complete",F1532/12*(Paths!$L$145*(1+IF(Paths!$D$145="EV",'Operating costs'!$B$52,'Operating costs'!$B$51))^MAX(0,C1532-1)+Paths!$M$145*(1+'Operating costs'!$B$53)^MAX(0,C1532-1)),"n.a."))</f>
        <v>0</v>
      </c>
      <c r="I1532" s="16">
        <f>IF(NOT(Paths!$C$145=1),0,IF(Paths!$P$145="Complete",IF(IF(Paths!$E$145=0,C1532=0,AND(C1532&gt;0,Paths!$E$145&gt;(C1532-1)*12,Paths!$E$145&lt;=C1532*12)),Paths!$G$145,0),"n.a."))</f>
        <v>0</v>
      </c>
      <c r="J1532" s="16">
        <f>IF(NOT(Paths!$C$145=1),0,IF(Paths!$P$145="Complete",IF(IF(Paths!$E$145=0,C1532=0,AND(C1532&gt;0,Paths!$E$145&gt;(C1532-1)*12,Paths!$E$145&lt;=C1532*12)),Paths!$H$145,0),"n.a."))</f>
        <v>0</v>
      </c>
      <c r="K1532" s="16">
        <f>IF(NOT(Paths!$C$145=1),0,IF(Paths!$P$145="Complete",IF(IF(Paths!$O$145=0,C1532=0,AND(C1532&gt;0,Paths!$O$145&gt;(C1532-1)*12,Paths!$O$145&lt;=C1532*12)),Paths!$N$145,0),"n.a."))</f>
        <v>0</v>
      </c>
      <c r="L1532" s="16">
        <f>IF(NOT(Paths!$C$145=1),0,IF(Paths!$P$145="Complete",IF(C1532=10,Paths!$I$145,0),"n.a."))</f>
        <v>0</v>
      </c>
      <c r="M1532" s="16">
        <f>IF(NOT(Paths!$C$145=1),0,IF(Paths!$P$145="Complete",IF(AND(Paths!$D$145="EV",Paths!$E$145&lt;120,Paths!$E$145+'Operating costs'!$B$65&gt;Paths!$E$145,Paths!$E$145+'Operating costs'!$B$65&lt;=120,IF(Paths!$E$145+'Operating costs'!$B$65=0,C1532=0,AND(C1532&gt;0,Paths!$E$145+'Operating costs'!$B$65&gt;(C1532-1)*12,Paths!$E$145+'Operating costs'!$B$65&lt;=C1532*12))),'Operating costs'!$B$64,0)+IF(AND('Operating costs'!$B$67&gt;0,'Operating costs'!$B$67&lt;=120,OR(Paths!$D$145="ICE",'Operating costs'!$B$67&lt;=Paths!$E$145),IF('Operating costs'!$B$67=0,C1532=0,AND(C1532&gt;0,'Operating costs'!$B$67&gt;(C1532-1)*12,'Operating costs'!$B$67&lt;=C1532*12))),'Operating costs'!$B$66,0),"n.a."))</f>
        <v>0</v>
      </c>
      <c r="N1532" s="16">
        <f>IF(NOT(Paths!$C$145=1),0,IF(Paths!$P$145="Complete",SUM(G1532:I1532)-J1532-K1532-L1532+M1532+IF(C1532=0,Paths!$F$145,0)+IF(IF(Paths!$E$145=0,C1532=0,AND(C1532&gt;0,Paths!$E$145&gt;(C1532-1)*12,Paths!$E$145&lt;=C1532*12)),VLOOKUP(A1532,'Fleet register'!$A$7:$S$106,16,FALSE),0),"n.a."))</f>
        <v>0</v>
      </c>
      <c r="O1532" s="16">
        <f>IF(NOT(Paths!$C$145=1),0,IF(Paths!$P$145="Complete",N1532-IF(C1532=0,Paths!$F$145,0),"n.a."))</f>
        <v>0</v>
      </c>
      <c r="P1532" s="16">
        <f>IF(NOT(Paths!$C$145=1),0,IF(Paths!$P$145="Complete",O1532+L1532,"n.a."))</f>
        <v>0</v>
      </c>
      <c r="Q1532" s="16">
        <f>IF(NOT(Paths!$C$145=1),0,IF(Paths!$P$145="Complete",N1532*(1+'Operating costs'!$B$54)^-C1532,"n.a."))</f>
        <v>0</v>
      </c>
      <c r="R1532" s="16">
        <f>IF(NOT(Paths!$C$145=1),0,IF(Paths!$P$145="Complete",IF(AND(C1532=0,Paths!$E$145=0),I1532-J1532-K1532+VLOOKUP(A1532,'Fleet register'!$A$7:$S$106,15,FALSE)+VLOOKUP(A1532,'Fleet register'!$A$7:$S$106,16,FALSE),0),"n.a."))</f>
        <v>0</v>
      </c>
      <c r="S1532" s="1">
        <f>IF(NOT(Paths!$C$145=1),0,IF(Paths!$P$145="Complete",IF(C1532=0,0,Paths!$S$145*Paths!$R$145),"n.a."))</f>
        <v>0</v>
      </c>
      <c r="T1532" s="1">
        <f>IF(NOT(Paths!$C$145=1),0,IF(Paths!$P$145="Complete",IF(C1532=0,0,VLOOKUP(A1532,'Fleet register'!$A$7:$S$106,9,FALSE)*Paths!$R$145),"n.a."))</f>
        <v>0</v>
      </c>
    </row>
    <row r="1533" spans="1:20" ht="24" customHeight="1">
      <c r="A1533" s="1" t="str">
        <f>Paths!$A$145</f>
        <v>T035</v>
      </c>
      <c r="B1533" s="1">
        <f>Paths!$B$145</f>
        <v>2</v>
      </c>
      <c r="C1533" s="1">
        <v>8</v>
      </c>
      <c r="D1533" s="1">
        <v>145</v>
      </c>
      <c r="E1533" s="1">
        <f>IF(OR(Paths!$C$145=0,C1533=0),0,MAX(0,MIN(C1533*12,Paths!$E$145)-(C1533-1)*12))</f>
        <v>0</v>
      </c>
      <c r="F1533" s="1">
        <f>IF(OR(Paths!$C$145=0,C1533=0),0,12-E1533)</f>
        <v>0</v>
      </c>
      <c r="G1533" s="16">
        <f>IF(NOT(Paths!$C$145=1),0,IF(Paths!$P$145="Complete",E1533/12*(Paths!$J$145*(1+'Operating costs'!$B$51)^MAX(0,C1533-1)+Paths!$K$145*(1+'Operating costs'!$B$53)^MAX(0,C1533-1)),"n.a."))</f>
        <v>0</v>
      </c>
      <c r="H1533" s="16">
        <f>IF(NOT(Paths!$C$145=1),0,IF(Paths!$P$145="Complete",F1533/12*(Paths!$L$145*(1+IF(Paths!$D$145="EV",'Operating costs'!$B$52,'Operating costs'!$B$51))^MAX(0,C1533-1)+Paths!$M$145*(1+'Operating costs'!$B$53)^MAX(0,C1533-1)),"n.a."))</f>
        <v>0</v>
      </c>
      <c r="I1533" s="16">
        <f>IF(NOT(Paths!$C$145=1),0,IF(Paths!$P$145="Complete",IF(IF(Paths!$E$145=0,C1533=0,AND(C1533&gt;0,Paths!$E$145&gt;(C1533-1)*12,Paths!$E$145&lt;=C1533*12)),Paths!$G$145,0),"n.a."))</f>
        <v>0</v>
      </c>
      <c r="J1533" s="16">
        <f>IF(NOT(Paths!$C$145=1),0,IF(Paths!$P$145="Complete",IF(IF(Paths!$E$145=0,C1533=0,AND(C1533&gt;0,Paths!$E$145&gt;(C1533-1)*12,Paths!$E$145&lt;=C1533*12)),Paths!$H$145,0),"n.a."))</f>
        <v>0</v>
      </c>
      <c r="K1533" s="16">
        <f>IF(NOT(Paths!$C$145=1),0,IF(Paths!$P$145="Complete",IF(IF(Paths!$O$145=0,C1533=0,AND(C1533&gt;0,Paths!$O$145&gt;(C1533-1)*12,Paths!$O$145&lt;=C1533*12)),Paths!$N$145,0),"n.a."))</f>
        <v>0</v>
      </c>
      <c r="L1533" s="16">
        <f>IF(NOT(Paths!$C$145=1),0,IF(Paths!$P$145="Complete",IF(C1533=10,Paths!$I$145,0),"n.a."))</f>
        <v>0</v>
      </c>
      <c r="M1533" s="16">
        <f>IF(NOT(Paths!$C$145=1),0,IF(Paths!$P$145="Complete",IF(AND(Paths!$D$145="EV",Paths!$E$145&lt;120,Paths!$E$145+'Operating costs'!$B$65&gt;Paths!$E$145,Paths!$E$145+'Operating costs'!$B$65&lt;=120,IF(Paths!$E$145+'Operating costs'!$B$65=0,C1533=0,AND(C1533&gt;0,Paths!$E$145+'Operating costs'!$B$65&gt;(C1533-1)*12,Paths!$E$145+'Operating costs'!$B$65&lt;=C1533*12))),'Operating costs'!$B$64,0)+IF(AND('Operating costs'!$B$67&gt;0,'Operating costs'!$B$67&lt;=120,OR(Paths!$D$145="ICE",'Operating costs'!$B$67&lt;=Paths!$E$145),IF('Operating costs'!$B$67=0,C1533=0,AND(C1533&gt;0,'Operating costs'!$B$67&gt;(C1533-1)*12,'Operating costs'!$B$67&lt;=C1533*12))),'Operating costs'!$B$66,0),"n.a."))</f>
        <v>0</v>
      </c>
      <c r="N1533" s="16">
        <f>IF(NOT(Paths!$C$145=1),0,IF(Paths!$P$145="Complete",SUM(G1533:I1533)-J1533-K1533-L1533+M1533+IF(C1533=0,Paths!$F$145,0)+IF(IF(Paths!$E$145=0,C1533=0,AND(C1533&gt;0,Paths!$E$145&gt;(C1533-1)*12,Paths!$E$145&lt;=C1533*12)),VLOOKUP(A1533,'Fleet register'!$A$7:$S$106,16,FALSE),0),"n.a."))</f>
        <v>0</v>
      </c>
      <c r="O1533" s="16">
        <f>IF(NOT(Paths!$C$145=1),0,IF(Paths!$P$145="Complete",N1533-IF(C1533=0,Paths!$F$145,0),"n.a."))</f>
        <v>0</v>
      </c>
      <c r="P1533" s="16">
        <f>IF(NOT(Paths!$C$145=1),0,IF(Paths!$P$145="Complete",O1533+L1533,"n.a."))</f>
        <v>0</v>
      </c>
      <c r="Q1533" s="16">
        <f>IF(NOT(Paths!$C$145=1),0,IF(Paths!$P$145="Complete",N1533*(1+'Operating costs'!$B$54)^-C1533,"n.a."))</f>
        <v>0</v>
      </c>
      <c r="R1533" s="16">
        <f>IF(NOT(Paths!$C$145=1),0,IF(Paths!$P$145="Complete",IF(AND(C1533=0,Paths!$E$145=0),I1533-J1533-K1533+VLOOKUP(A1533,'Fleet register'!$A$7:$S$106,15,FALSE)+VLOOKUP(A1533,'Fleet register'!$A$7:$S$106,16,FALSE),0),"n.a."))</f>
        <v>0</v>
      </c>
      <c r="S1533" s="1">
        <f>IF(NOT(Paths!$C$145=1),0,IF(Paths!$P$145="Complete",IF(C1533=0,0,Paths!$S$145*Paths!$R$145),"n.a."))</f>
        <v>0</v>
      </c>
      <c r="T1533" s="1">
        <f>IF(NOT(Paths!$C$145=1),0,IF(Paths!$P$145="Complete",IF(C1533=0,0,VLOOKUP(A1533,'Fleet register'!$A$7:$S$106,9,FALSE)*Paths!$R$145),"n.a."))</f>
        <v>0</v>
      </c>
    </row>
    <row r="1534" spans="1:20" ht="24" customHeight="1">
      <c r="A1534" s="1" t="str">
        <f>Paths!$A$145</f>
        <v>T035</v>
      </c>
      <c r="B1534" s="1">
        <f>Paths!$B$145</f>
        <v>2</v>
      </c>
      <c r="C1534" s="1">
        <v>9</v>
      </c>
      <c r="D1534" s="1">
        <v>145</v>
      </c>
      <c r="E1534" s="1">
        <f>IF(OR(Paths!$C$145=0,C1534=0),0,MAX(0,MIN(C1534*12,Paths!$E$145)-(C1534-1)*12))</f>
        <v>0</v>
      </c>
      <c r="F1534" s="1">
        <f>IF(OR(Paths!$C$145=0,C1534=0),0,12-E1534)</f>
        <v>0</v>
      </c>
      <c r="G1534" s="16">
        <f>IF(NOT(Paths!$C$145=1),0,IF(Paths!$P$145="Complete",E1534/12*(Paths!$J$145*(1+'Operating costs'!$B$51)^MAX(0,C1534-1)+Paths!$K$145*(1+'Operating costs'!$B$53)^MAX(0,C1534-1)),"n.a."))</f>
        <v>0</v>
      </c>
      <c r="H1534" s="16">
        <f>IF(NOT(Paths!$C$145=1),0,IF(Paths!$P$145="Complete",F1534/12*(Paths!$L$145*(1+IF(Paths!$D$145="EV",'Operating costs'!$B$52,'Operating costs'!$B$51))^MAX(0,C1534-1)+Paths!$M$145*(1+'Operating costs'!$B$53)^MAX(0,C1534-1)),"n.a."))</f>
        <v>0</v>
      </c>
      <c r="I1534" s="16">
        <f>IF(NOT(Paths!$C$145=1),0,IF(Paths!$P$145="Complete",IF(IF(Paths!$E$145=0,C1534=0,AND(C1534&gt;0,Paths!$E$145&gt;(C1534-1)*12,Paths!$E$145&lt;=C1534*12)),Paths!$G$145,0),"n.a."))</f>
        <v>0</v>
      </c>
      <c r="J1534" s="16">
        <f>IF(NOT(Paths!$C$145=1),0,IF(Paths!$P$145="Complete",IF(IF(Paths!$E$145=0,C1534=0,AND(C1534&gt;0,Paths!$E$145&gt;(C1534-1)*12,Paths!$E$145&lt;=C1534*12)),Paths!$H$145,0),"n.a."))</f>
        <v>0</v>
      </c>
      <c r="K1534" s="16">
        <f>IF(NOT(Paths!$C$145=1),0,IF(Paths!$P$145="Complete",IF(IF(Paths!$O$145=0,C1534=0,AND(C1534&gt;0,Paths!$O$145&gt;(C1534-1)*12,Paths!$O$145&lt;=C1534*12)),Paths!$N$145,0),"n.a."))</f>
        <v>0</v>
      </c>
      <c r="L1534" s="16">
        <f>IF(NOT(Paths!$C$145=1),0,IF(Paths!$P$145="Complete",IF(C1534=10,Paths!$I$145,0),"n.a."))</f>
        <v>0</v>
      </c>
      <c r="M1534" s="16">
        <f>IF(NOT(Paths!$C$145=1),0,IF(Paths!$P$145="Complete",IF(AND(Paths!$D$145="EV",Paths!$E$145&lt;120,Paths!$E$145+'Operating costs'!$B$65&gt;Paths!$E$145,Paths!$E$145+'Operating costs'!$B$65&lt;=120,IF(Paths!$E$145+'Operating costs'!$B$65=0,C1534=0,AND(C1534&gt;0,Paths!$E$145+'Operating costs'!$B$65&gt;(C1534-1)*12,Paths!$E$145+'Operating costs'!$B$65&lt;=C1534*12))),'Operating costs'!$B$64,0)+IF(AND('Operating costs'!$B$67&gt;0,'Operating costs'!$B$67&lt;=120,OR(Paths!$D$145="ICE",'Operating costs'!$B$67&lt;=Paths!$E$145),IF('Operating costs'!$B$67=0,C1534=0,AND(C1534&gt;0,'Operating costs'!$B$67&gt;(C1534-1)*12,'Operating costs'!$B$67&lt;=C1534*12))),'Operating costs'!$B$66,0),"n.a."))</f>
        <v>0</v>
      </c>
      <c r="N1534" s="16">
        <f>IF(NOT(Paths!$C$145=1),0,IF(Paths!$P$145="Complete",SUM(G1534:I1534)-J1534-K1534-L1534+M1534+IF(C1534=0,Paths!$F$145,0)+IF(IF(Paths!$E$145=0,C1534=0,AND(C1534&gt;0,Paths!$E$145&gt;(C1534-1)*12,Paths!$E$145&lt;=C1534*12)),VLOOKUP(A1534,'Fleet register'!$A$7:$S$106,16,FALSE),0),"n.a."))</f>
        <v>0</v>
      </c>
      <c r="O1534" s="16">
        <f>IF(NOT(Paths!$C$145=1),0,IF(Paths!$P$145="Complete",N1534-IF(C1534=0,Paths!$F$145,0),"n.a."))</f>
        <v>0</v>
      </c>
      <c r="P1534" s="16">
        <f>IF(NOT(Paths!$C$145=1),0,IF(Paths!$P$145="Complete",O1534+L1534,"n.a."))</f>
        <v>0</v>
      </c>
      <c r="Q1534" s="16">
        <f>IF(NOT(Paths!$C$145=1),0,IF(Paths!$P$145="Complete",N1534*(1+'Operating costs'!$B$54)^-C1534,"n.a."))</f>
        <v>0</v>
      </c>
      <c r="R1534" s="16">
        <f>IF(NOT(Paths!$C$145=1),0,IF(Paths!$P$145="Complete",IF(AND(C1534=0,Paths!$E$145=0),I1534-J1534-K1534+VLOOKUP(A1534,'Fleet register'!$A$7:$S$106,15,FALSE)+VLOOKUP(A1534,'Fleet register'!$A$7:$S$106,16,FALSE),0),"n.a."))</f>
        <v>0</v>
      </c>
      <c r="S1534" s="1">
        <f>IF(NOT(Paths!$C$145=1),0,IF(Paths!$P$145="Complete",IF(C1534=0,0,Paths!$S$145*Paths!$R$145),"n.a."))</f>
        <v>0</v>
      </c>
      <c r="T1534" s="1">
        <f>IF(NOT(Paths!$C$145=1),0,IF(Paths!$P$145="Complete",IF(C1534=0,0,VLOOKUP(A1534,'Fleet register'!$A$7:$S$106,9,FALSE)*Paths!$R$145),"n.a."))</f>
        <v>0</v>
      </c>
    </row>
    <row r="1535" spans="1:20" ht="24" customHeight="1">
      <c r="A1535" s="1" t="str">
        <f>Paths!$A$145</f>
        <v>T035</v>
      </c>
      <c r="B1535" s="1">
        <f>Paths!$B$145</f>
        <v>2</v>
      </c>
      <c r="C1535" s="1">
        <v>10</v>
      </c>
      <c r="D1535" s="1">
        <v>145</v>
      </c>
      <c r="E1535" s="1">
        <f>IF(OR(Paths!$C$145=0,C1535=0),0,MAX(0,MIN(C1535*12,Paths!$E$145)-(C1535-1)*12))</f>
        <v>0</v>
      </c>
      <c r="F1535" s="1">
        <f>IF(OR(Paths!$C$145=0,C1535=0),0,12-E1535)</f>
        <v>0</v>
      </c>
      <c r="G1535" s="16">
        <f>IF(NOT(Paths!$C$145=1),0,IF(Paths!$P$145="Complete",E1535/12*(Paths!$J$145*(1+'Operating costs'!$B$51)^MAX(0,C1535-1)+Paths!$K$145*(1+'Operating costs'!$B$53)^MAX(0,C1535-1)),"n.a."))</f>
        <v>0</v>
      </c>
      <c r="H1535" s="16">
        <f>IF(NOT(Paths!$C$145=1),0,IF(Paths!$P$145="Complete",F1535/12*(Paths!$L$145*(1+IF(Paths!$D$145="EV",'Operating costs'!$B$52,'Operating costs'!$B$51))^MAX(0,C1535-1)+Paths!$M$145*(1+'Operating costs'!$B$53)^MAX(0,C1535-1)),"n.a."))</f>
        <v>0</v>
      </c>
      <c r="I1535" s="16">
        <f>IF(NOT(Paths!$C$145=1),0,IF(Paths!$P$145="Complete",IF(IF(Paths!$E$145=0,C1535=0,AND(C1535&gt;0,Paths!$E$145&gt;(C1535-1)*12,Paths!$E$145&lt;=C1535*12)),Paths!$G$145,0),"n.a."))</f>
        <v>0</v>
      </c>
      <c r="J1535" s="16">
        <f>IF(NOT(Paths!$C$145=1),0,IF(Paths!$P$145="Complete",IF(IF(Paths!$E$145=0,C1535=0,AND(C1535&gt;0,Paths!$E$145&gt;(C1535-1)*12,Paths!$E$145&lt;=C1535*12)),Paths!$H$145,0),"n.a."))</f>
        <v>0</v>
      </c>
      <c r="K1535" s="16">
        <f>IF(NOT(Paths!$C$145=1),0,IF(Paths!$P$145="Complete",IF(IF(Paths!$O$145=0,C1535=0,AND(C1535&gt;0,Paths!$O$145&gt;(C1535-1)*12,Paths!$O$145&lt;=C1535*12)),Paths!$N$145,0),"n.a."))</f>
        <v>0</v>
      </c>
      <c r="L1535" s="16">
        <f>IF(NOT(Paths!$C$145=1),0,IF(Paths!$P$145="Complete",IF(C1535=10,Paths!$I$145,0),"n.a."))</f>
        <v>0</v>
      </c>
      <c r="M1535" s="16">
        <f>IF(NOT(Paths!$C$145=1),0,IF(Paths!$P$145="Complete",IF(AND(Paths!$D$145="EV",Paths!$E$145&lt;120,Paths!$E$145+'Operating costs'!$B$65&gt;Paths!$E$145,Paths!$E$145+'Operating costs'!$B$65&lt;=120,IF(Paths!$E$145+'Operating costs'!$B$65=0,C1535=0,AND(C1535&gt;0,Paths!$E$145+'Operating costs'!$B$65&gt;(C1535-1)*12,Paths!$E$145+'Operating costs'!$B$65&lt;=C1535*12))),'Operating costs'!$B$64,0)+IF(AND('Operating costs'!$B$67&gt;0,'Operating costs'!$B$67&lt;=120,OR(Paths!$D$145="ICE",'Operating costs'!$B$67&lt;=Paths!$E$145),IF('Operating costs'!$B$67=0,C1535=0,AND(C1535&gt;0,'Operating costs'!$B$67&gt;(C1535-1)*12,'Operating costs'!$B$67&lt;=C1535*12))),'Operating costs'!$B$66,0),"n.a."))</f>
        <v>0</v>
      </c>
      <c r="N1535" s="16">
        <f>IF(NOT(Paths!$C$145=1),0,IF(Paths!$P$145="Complete",SUM(G1535:I1535)-J1535-K1535-L1535+M1535+IF(C1535=0,Paths!$F$145,0)+IF(IF(Paths!$E$145=0,C1535=0,AND(C1535&gt;0,Paths!$E$145&gt;(C1535-1)*12,Paths!$E$145&lt;=C1535*12)),VLOOKUP(A1535,'Fleet register'!$A$7:$S$106,16,FALSE),0),"n.a."))</f>
        <v>0</v>
      </c>
      <c r="O1535" s="16">
        <f>IF(NOT(Paths!$C$145=1),0,IF(Paths!$P$145="Complete",N1535-IF(C1535=0,Paths!$F$145,0),"n.a."))</f>
        <v>0</v>
      </c>
      <c r="P1535" s="16">
        <f>IF(NOT(Paths!$C$145=1),0,IF(Paths!$P$145="Complete",O1535+L1535,"n.a."))</f>
        <v>0</v>
      </c>
      <c r="Q1535" s="16">
        <f>IF(NOT(Paths!$C$145=1),0,IF(Paths!$P$145="Complete",N1535*(1+'Operating costs'!$B$54)^-C1535,"n.a."))</f>
        <v>0</v>
      </c>
      <c r="R1535" s="16">
        <f>IF(NOT(Paths!$C$145=1),0,IF(Paths!$P$145="Complete",IF(AND(C1535=0,Paths!$E$145=0),I1535-J1535-K1535+VLOOKUP(A1535,'Fleet register'!$A$7:$S$106,15,FALSE)+VLOOKUP(A1535,'Fleet register'!$A$7:$S$106,16,FALSE),0),"n.a."))</f>
        <v>0</v>
      </c>
      <c r="S1535" s="1">
        <f>IF(NOT(Paths!$C$145=1),0,IF(Paths!$P$145="Complete",IF(C1535=0,0,Paths!$S$145*Paths!$R$145),"n.a."))</f>
        <v>0</v>
      </c>
      <c r="T1535" s="1">
        <f>IF(NOT(Paths!$C$145=1),0,IF(Paths!$P$145="Complete",IF(C1535=0,0,VLOOKUP(A1535,'Fleet register'!$A$7:$S$106,9,FALSE)*Paths!$R$145),"n.a."))</f>
        <v>0</v>
      </c>
    </row>
    <row r="1536" spans="1:20" ht="24" customHeight="1">
      <c r="A1536" s="1" t="str">
        <f>Paths!$A$146</f>
        <v>T035</v>
      </c>
      <c r="B1536" s="1">
        <f>Paths!$B$146</f>
        <v>3</v>
      </c>
      <c r="C1536" s="1">
        <v>0</v>
      </c>
      <c r="D1536" s="1">
        <v>146</v>
      </c>
      <c r="E1536" s="1">
        <f>IF(OR(Paths!$C$146=0,C1536=0),0,MAX(0,MIN(C1536*12,Paths!$E$146)-(C1536-1)*12))</f>
        <v>0</v>
      </c>
      <c r="F1536" s="1">
        <f>IF(OR(Paths!$C$146=0,C1536=0),0,12-E1536)</f>
        <v>0</v>
      </c>
      <c r="G1536" s="16">
        <f>IF(NOT(Paths!$C$146=1),0,IF(Paths!$P$146="Complete",E1536/12*(Paths!$J$146*(1+'Operating costs'!$B$51)^MAX(0,C1536-1)+Paths!$K$146*(1+'Operating costs'!$B$53)^MAX(0,C1536-1)),"n.a."))</f>
        <v>0</v>
      </c>
      <c r="H1536" s="16">
        <f>IF(NOT(Paths!$C$146=1),0,IF(Paths!$P$146="Complete",F1536/12*(Paths!$L$146*(1+IF(Paths!$D$146="EV",'Operating costs'!$B$52,'Operating costs'!$B$51))^MAX(0,C1536-1)+Paths!$M$146*(1+'Operating costs'!$B$53)^MAX(0,C1536-1)),"n.a."))</f>
        <v>0</v>
      </c>
      <c r="I1536" s="16">
        <f>IF(NOT(Paths!$C$146=1),0,IF(Paths!$P$146="Complete",IF(IF(Paths!$E$146=0,C1536=0,AND(C1536&gt;0,Paths!$E$146&gt;(C1536-1)*12,Paths!$E$146&lt;=C1536*12)),Paths!$G$146,0),"n.a."))</f>
        <v>0</v>
      </c>
      <c r="J1536" s="16">
        <f>IF(NOT(Paths!$C$146=1),0,IF(Paths!$P$146="Complete",IF(IF(Paths!$E$146=0,C1536=0,AND(C1536&gt;0,Paths!$E$146&gt;(C1536-1)*12,Paths!$E$146&lt;=C1536*12)),Paths!$H$146,0),"n.a."))</f>
        <v>0</v>
      </c>
      <c r="K1536" s="16">
        <f>IF(NOT(Paths!$C$146=1),0,IF(Paths!$P$146="Complete",IF(IF(Paths!$O$146=0,C1536=0,AND(C1536&gt;0,Paths!$O$146&gt;(C1536-1)*12,Paths!$O$146&lt;=C1536*12)),Paths!$N$146,0),"n.a."))</f>
        <v>0</v>
      </c>
      <c r="L1536" s="16">
        <f>IF(NOT(Paths!$C$146=1),0,IF(Paths!$P$146="Complete",IF(C1536=10,Paths!$I$146,0),"n.a."))</f>
        <v>0</v>
      </c>
      <c r="M1536" s="16">
        <f>IF(NOT(Paths!$C$146=1),0,IF(Paths!$P$146="Complete",IF(AND(Paths!$D$146="EV",Paths!$E$146&lt;120,Paths!$E$146+'Operating costs'!$B$65&gt;Paths!$E$146,Paths!$E$146+'Operating costs'!$B$65&lt;=120,IF(Paths!$E$146+'Operating costs'!$B$65=0,C1536=0,AND(C1536&gt;0,Paths!$E$146+'Operating costs'!$B$65&gt;(C1536-1)*12,Paths!$E$146+'Operating costs'!$B$65&lt;=C1536*12))),'Operating costs'!$B$64,0)+IF(AND('Operating costs'!$B$67&gt;0,'Operating costs'!$B$67&lt;=120,OR(Paths!$D$146="ICE",'Operating costs'!$B$67&lt;=Paths!$E$146),IF('Operating costs'!$B$67=0,C1536=0,AND(C1536&gt;0,'Operating costs'!$B$67&gt;(C1536-1)*12,'Operating costs'!$B$67&lt;=C1536*12))),'Operating costs'!$B$66,0),"n.a."))</f>
        <v>0</v>
      </c>
      <c r="N1536" s="16">
        <f>IF(NOT(Paths!$C$146=1),0,IF(Paths!$P$146="Complete",SUM(G1536:I1536)-J1536-K1536-L1536+M1536+IF(C1536=0,Paths!$F$146,0)+IF(IF(Paths!$E$146=0,C1536=0,AND(C1536&gt;0,Paths!$E$146&gt;(C1536-1)*12,Paths!$E$146&lt;=C1536*12)),VLOOKUP(A1536,'Fleet register'!$A$7:$S$106,16,FALSE),0),"n.a."))</f>
        <v>0</v>
      </c>
      <c r="O1536" s="16">
        <f>IF(NOT(Paths!$C$146=1),0,IF(Paths!$P$146="Complete",N1536-IF(C1536=0,Paths!$F$146,0),"n.a."))</f>
        <v>0</v>
      </c>
      <c r="P1536" s="16">
        <f>IF(NOT(Paths!$C$146=1),0,IF(Paths!$P$146="Complete",O1536+L1536,"n.a."))</f>
        <v>0</v>
      </c>
      <c r="Q1536" s="16">
        <f>IF(NOT(Paths!$C$146=1),0,IF(Paths!$P$146="Complete",N1536*(1+'Operating costs'!$B$54)^-C1536,"n.a."))</f>
        <v>0</v>
      </c>
      <c r="R1536" s="16">
        <f>IF(NOT(Paths!$C$146=1),0,IF(Paths!$P$146="Complete",IF(AND(C1536=0,Paths!$E$146=0),I1536-J1536-K1536+VLOOKUP(A1536,'Fleet register'!$A$7:$S$106,15,FALSE)+VLOOKUP(A1536,'Fleet register'!$A$7:$S$106,16,FALSE),0),"n.a."))</f>
        <v>0</v>
      </c>
      <c r="S1536" s="1">
        <f>IF(NOT(Paths!$C$146=1),0,IF(Paths!$P$146="Complete",IF(C1536=0,0,Paths!$S$146*Paths!$R$146),"n.a."))</f>
        <v>0</v>
      </c>
      <c r="T1536" s="1">
        <f>IF(NOT(Paths!$C$146=1),0,IF(Paths!$P$146="Complete",IF(C1536=0,0,VLOOKUP(A1536,'Fleet register'!$A$7:$S$106,9,FALSE)*Paths!$R$146),"n.a."))</f>
        <v>0</v>
      </c>
    </row>
    <row r="1537" spans="1:20" ht="24" customHeight="1">
      <c r="A1537" s="1" t="str">
        <f>Paths!$A$146</f>
        <v>T035</v>
      </c>
      <c r="B1537" s="1">
        <f>Paths!$B$146</f>
        <v>3</v>
      </c>
      <c r="C1537" s="1">
        <v>1</v>
      </c>
      <c r="D1537" s="1">
        <v>146</v>
      </c>
      <c r="E1537" s="1">
        <f>IF(OR(Paths!$C$146=0,C1537=0),0,MAX(0,MIN(C1537*12,Paths!$E$146)-(C1537-1)*12))</f>
        <v>0</v>
      </c>
      <c r="F1537" s="1">
        <f>IF(OR(Paths!$C$146=0,C1537=0),0,12-E1537)</f>
        <v>0</v>
      </c>
      <c r="G1537" s="16">
        <f>IF(NOT(Paths!$C$146=1),0,IF(Paths!$P$146="Complete",E1537/12*(Paths!$J$146*(1+'Operating costs'!$B$51)^MAX(0,C1537-1)+Paths!$K$146*(1+'Operating costs'!$B$53)^MAX(0,C1537-1)),"n.a."))</f>
        <v>0</v>
      </c>
      <c r="H1537" s="16">
        <f>IF(NOT(Paths!$C$146=1),0,IF(Paths!$P$146="Complete",F1537/12*(Paths!$L$146*(1+IF(Paths!$D$146="EV",'Operating costs'!$B$52,'Operating costs'!$B$51))^MAX(0,C1537-1)+Paths!$M$146*(1+'Operating costs'!$B$53)^MAX(0,C1537-1)),"n.a."))</f>
        <v>0</v>
      </c>
      <c r="I1537" s="16">
        <f>IF(NOT(Paths!$C$146=1),0,IF(Paths!$P$146="Complete",IF(IF(Paths!$E$146=0,C1537=0,AND(C1537&gt;0,Paths!$E$146&gt;(C1537-1)*12,Paths!$E$146&lt;=C1537*12)),Paths!$G$146,0),"n.a."))</f>
        <v>0</v>
      </c>
      <c r="J1537" s="16">
        <f>IF(NOT(Paths!$C$146=1),0,IF(Paths!$P$146="Complete",IF(IF(Paths!$E$146=0,C1537=0,AND(C1537&gt;0,Paths!$E$146&gt;(C1537-1)*12,Paths!$E$146&lt;=C1537*12)),Paths!$H$146,0),"n.a."))</f>
        <v>0</v>
      </c>
      <c r="K1537" s="16">
        <f>IF(NOT(Paths!$C$146=1),0,IF(Paths!$P$146="Complete",IF(IF(Paths!$O$146=0,C1537=0,AND(C1537&gt;0,Paths!$O$146&gt;(C1537-1)*12,Paths!$O$146&lt;=C1537*12)),Paths!$N$146,0),"n.a."))</f>
        <v>0</v>
      </c>
      <c r="L1537" s="16">
        <f>IF(NOT(Paths!$C$146=1),0,IF(Paths!$P$146="Complete",IF(C1537=10,Paths!$I$146,0),"n.a."))</f>
        <v>0</v>
      </c>
      <c r="M1537" s="16">
        <f>IF(NOT(Paths!$C$146=1),0,IF(Paths!$P$146="Complete",IF(AND(Paths!$D$146="EV",Paths!$E$146&lt;120,Paths!$E$146+'Operating costs'!$B$65&gt;Paths!$E$146,Paths!$E$146+'Operating costs'!$B$65&lt;=120,IF(Paths!$E$146+'Operating costs'!$B$65=0,C1537=0,AND(C1537&gt;0,Paths!$E$146+'Operating costs'!$B$65&gt;(C1537-1)*12,Paths!$E$146+'Operating costs'!$B$65&lt;=C1537*12))),'Operating costs'!$B$64,0)+IF(AND('Operating costs'!$B$67&gt;0,'Operating costs'!$B$67&lt;=120,OR(Paths!$D$146="ICE",'Operating costs'!$B$67&lt;=Paths!$E$146),IF('Operating costs'!$B$67=0,C1537=0,AND(C1537&gt;0,'Operating costs'!$B$67&gt;(C1537-1)*12,'Operating costs'!$B$67&lt;=C1537*12))),'Operating costs'!$B$66,0),"n.a."))</f>
        <v>0</v>
      </c>
      <c r="N1537" s="16">
        <f>IF(NOT(Paths!$C$146=1),0,IF(Paths!$P$146="Complete",SUM(G1537:I1537)-J1537-K1537-L1537+M1537+IF(C1537=0,Paths!$F$146,0)+IF(IF(Paths!$E$146=0,C1537=0,AND(C1537&gt;0,Paths!$E$146&gt;(C1537-1)*12,Paths!$E$146&lt;=C1537*12)),VLOOKUP(A1537,'Fleet register'!$A$7:$S$106,16,FALSE),0),"n.a."))</f>
        <v>0</v>
      </c>
      <c r="O1537" s="16">
        <f>IF(NOT(Paths!$C$146=1),0,IF(Paths!$P$146="Complete",N1537-IF(C1537=0,Paths!$F$146,0),"n.a."))</f>
        <v>0</v>
      </c>
      <c r="P1537" s="16">
        <f>IF(NOT(Paths!$C$146=1),0,IF(Paths!$P$146="Complete",O1537+L1537,"n.a."))</f>
        <v>0</v>
      </c>
      <c r="Q1537" s="16">
        <f>IF(NOT(Paths!$C$146=1),0,IF(Paths!$P$146="Complete",N1537*(1+'Operating costs'!$B$54)^-C1537,"n.a."))</f>
        <v>0</v>
      </c>
      <c r="R1537" s="16">
        <f>IF(NOT(Paths!$C$146=1),0,IF(Paths!$P$146="Complete",IF(AND(C1537=0,Paths!$E$146=0),I1537-J1537-K1537+VLOOKUP(A1537,'Fleet register'!$A$7:$S$106,15,FALSE)+VLOOKUP(A1537,'Fleet register'!$A$7:$S$106,16,FALSE),0),"n.a."))</f>
        <v>0</v>
      </c>
      <c r="S1537" s="1">
        <f>IF(NOT(Paths!$C$146=1),0,IF(Paths!$P$146="Complete",IF(C1537=0,0,Paths!$S$146*Paths!$R$146),"n.a."))</f>
        <v>0</v>
      </c>
      <c r="T1537" s="1">
        <f>IF(NOT(Paths!$C$146=1),0,IF(Paths!$P$146="Complete",IF(C1537=0,0,VLOOKUP(A1537,'Fleet register'!$A$7:$S$106,9,FALSE)*Paths!$R$146),"n.a."))</f>
        <v>0</v>
      </c>
    </row>
    <row r="1538" spans="1:20" ht="24" customHeight="1">
      <c r="A1538" s="1" t="str">
        <f>Paths!$A$146</f>
        <v>T035</v>
      </c>
      <c r="B1538" s="1">
        <f>Paths!$B$146</f>
        <v>3</v>
      </c>
      <c r="C1538" s="1">
        <v>2</v>
      </c>
      <c r="D1538" s="1">
        <v>146</v>
      </c>
      <c r="E1538" s="1">
        <f>IF(OR(Paths!$C$146=0,C1538=0),0,MAX(0,MIN(C1538*12,Paths!$E$146)-(C1538-1)*12))</f>
        <v>0</v>
      </c>
      <c r="F1538" s="1">
        <f>IF(OR(Paths!$C$146=0,C1538=0),0,12-E1538)</f>
        <v>0</v>
      </c>
      <c r="G1538" s="16">
        <f>IF(NOT(Paths!$C$146=1),0,IF(Paths!$P$146="Complete",E1538/12*(Paths!$J$146*(1+'Operating costs'!$B$51)^MAX(0,C1538-1)+Paths!$K$146*(1+'Operating costs'!$B$53)^MAX(0,C1538-1)),"n.a."))</f>
        <v>0</v>
      </c>
      <c r="H1538" s="16">
        <f>IF(NOT(Paths!$C$146=1),0,IF(Paths!$P$146="Complete",F1538/12*(Paths!$L$146*(1+IF(Paths!$D$146="EV",'Operating costs'!$B$52,'Operating costs'!$B$51))^MAX(0,C1538-1)+Paths!$M$146*(1+'Operating costs'!$B$53)^MAX(0,C1538-1)),"n.a."))</f>
        <v>0</v>
      </c>
      <c r="I1538" s="16">
        <f>IF(NOT(Paths!$C$146=1),0,IF(Paths!$P$146="Complete",IF(IF(Paths!$E$146=0,C1538=0,AND(C1538&gt;0,Paths!$E$146&gt;(C1538-1)*12,Paths!$E$146&lt;=C1538*12)),Paths!$G$146,0),"n.a."))</f>
        <v>0</v>
      </c>
      <c r="J1538" s="16">
        <f>IF(NOT(Paths!$C$146=1),0,IF(Paths!$P$146="Complete",IF(IF(Paths!$E$146=0,C1538=0,AND(C1538&gt;0,Paths!$E$146&gt;(C1538-1)*12,Paths!$E$146&lt;=C1538*12)),Paths!$H$146,0),"n.a."))</f>
        <v>0</v>
      </c>
      <c r="K1538" s="16">
        <f>IF(NOT(Paths!$C$146=1),0,IF(Paths!$P$146="Complete",IF(IF(Paths!$O$146=0,C1538=0,AND(C1538&gt;0,Paths!$O$146&gt;(C1538-1)*12,Paths!$O$146&lt;=C1538*12)),Paths!$N$146,0),"n.a."))</f>
        <v>0</v>
      </c>
      <c r="L1538" s="16">
        <f>IF(NOT(Paths!$C$146=1),0,IF(Paths!$P$146="Complete",IF(C1538=10,Paths!$I$146,0),"n.a."))</f>
        <v>0</v>
      </c>
      <c r="M1538" s="16">
        <f>IF(NOT(Paths!$C$146=1),0,IF(Paths!$P$146="Complete",IF(AND(Paths!$D$146="EV",Paths!$E$146&lt;120,Paths!$E$146+'Operating costs'!$B$65&gt;Paths!$E$146,Paths!$E$146+'Operating costs'!$B$65&lt;=120,IF(Paths!$E$146+'Operating costs'!$B$65=0,C1538=0,AND(C1538&gt;0,Paths!$E$146+'Operating costs'!$B$65&gt;(C1538-1)*12,Paths!$E$146+'Operating costs'!$B$65&lt;=C1538*12))),'Operating costs'!$B$64,0)+IF(AND('Operating costs'!$B$67&gt;0,'Operating costs'!$B$67&lt;=120,OR(Paths!$D$146="ICE",'Operating costs'!$B$67&lt;=Paths!$E$146),IF('Operating costs'!$B$67=0,C1538=0,AND(C1538&gt;0,'Operating costs'!$B$67&gt;(C1538-1)*12,'Operating costs'!$B$67&lt;=C1538*12))),'Operating costs'!$B$66,0),"n.a."))</f>
        <v>0</v>
      </c>
      <c r="N1538" s="16">
        <f>IF(NOT(Paths!$C$146=1),0,IF(Paths!$P$146="Complete",SUM(G1538:I1538)-J1538-K1538-L1538+M1538+IF(C1538=0,Paths!$F$146,0)+IF(IF(Paths!$E$146=0,C1538=0,AND(C1538&gt;0,Paths!$E$146&gt;(C1538-1)*12,Paths!$E$146&lt;=C1538*12)),VLOOKUP(A1538,'Fleet register'!$A$7:$S$106,16,FALSE),0),"n.a."))</f>
        <v>0</v>
      </c>
      <c r="O1538" s="16">
        <f>IF(NOT(Paths!$C$146=1),0,IF(Paths!$P$146="Complete",N1538-IF(C1538=0,Paths!$F$146,0),"n.a."))</f>
        <v>0</v>
      </c>
      <c r="P1538" s="16">
        <f>IF(NOT(Paths!$C$146=1),0,IF(Paths!$P$146="Complete",O1538+L1538,"n.a."))</f>
        <v>0</v>
      </c>
      <c r="Q1538" s="16">
        <f>IF(NOT(Paths!$C$146=1),0,IF(Paths!$P$146="Complete",N1538*(1+'Operating costs'!$B$54)^-C1538,"n.a."))</f>
        <v>0</v>
      </c>
      <c r="R1538" s="16">
        <f>IF(NOT(Paths!$C$146=1),0,IF(Paths!$P$146="Complete",IF(AND(C1538=0,Paths!$E$146=0),I1538-J1538-K1538+VLOOKUP(A1538,'Fleet register'!$A$7:$S$106,15,FALSE)+VLOOKUP(A1538,'Fleet register'!$A$7:$S$106,16,FALSE),0),"n.a."))</f>
        <v>0</v>
      </c>
      <c r="S1538" s="1">
        <f>IF(NOT(Paths!$C$146=1),0,IF(Paths!$P$146="Complete",IF(C1538=0,0,Paths!$S$146*Paths!$R$146),"n.a."))</f>
        <v>0</v>
      </c>
      <c r="T1538" s="1">
        <f>IF(NOT(Paths!$C$146=1),0,IF(Paths!$P$146="Complete",IF(C1538=0,0,VLOOKUP(A1538,'Fleet register'!$A$7:$S$106,9,FALSE)*Paths!$R$146),"n.a."))</f>
        <v>0</v>
      </c>
    </row>
    <row r="1539" spans="1:20" ht="24" customHeight="1">
      <c r="A1539" s="1" t="str">
        <f>Paths!$A$146</f>
        <v>T035</v>
      </c>
      <c r="B1539" s="1">
        <f>Paths!$B$146</f>
        <v>3</v>
      </c>
      <c r="C1539" s="1">
        <v>3</v>
      </c>
      <c r="D1539" s="1">
        <v>146</v>
      </c>
      <c r="E1539" s="1">
        <f>IF(OR(Paths!$C$146=0,C1539=0),0,MAX(0,MIN(C1539*12,Paths!$E$146)-(C1539-1)*12))</f>
        <v>0</v>
      </c>
      <c r="F1539" s="1">
        <f>IF(OR(Paths!$C$146=0,C1539=0),0,12-E1539)</f>
        <v>0</v>
      </c>
      <c r="G1539" s="16">
        <f>IF(NOT(Paths!$C$146=1),0,IF(Paths!$P$146="Complete",E1539/12*(Paths!$J$146*(1+'Operating costs'!$B$51)^MAX(0,C1539-1)+Paths!$K$146*(1+'Operating costs'!$B$53)^MAX(0,C1539-1)),"n.a."))</f>
        <v>0</v>
      </c>
      <c r="H1539" s="16">
        <f>IF(NOT(Paths!$C$146=1),0,IF(Paths!$P$146="Complete",F1539/12*(Paths!$L$146*(1+IF(Paths!$D$146="EV",'Operating costs'!$B$52,'Operating costs'!$B$51))^MAX(0,C1539-1)+Paths!$M$146*(1+'Operating costs'!$B$53)^MAX(0,C1539-1)),"n.a."))</f>
        <v>0</v>
      </c>
      <c r="I1539" s="16">
        <f>IF(NOT(Paths!$C$146=1),0,IF(Paths!$P$146="Complete",IF(IF(Paths!$E$146=0,C1539=0,AND(C1539&gt;0,Paths!$E$146&gt;(C1539-1)*12,Paths!$E$146&lt;=C1539*12)),Paths!$G$146,0),"n.a."))</f>
        <v>0</v>
      </c>
      <c r="J1539" s="16">
        <f>IF(NOT(Paths!$C$146=1),0,IF(Paths!$P$146="Complete",IF(IF(Paths!$E$146=0,C1539=0,AND(C1539&gt;0,Paths!$E$146&gt;(C1539-1)*12,Paths!$E$146&lt;=C1539*12)),Paths!$H$146,0),"n.a."))</f>
        <v>0</v>
      </c>
      <c r="K1539" s="16">
        <f>IF(NOT(Paths!$C$146=1),0,IF(Paths!$P$146="Complete",IF(IF(Paths!$O$146=0,C1539=0,AND(C1539&gt;0,Paths!$O$146&gt;(C1539-1)*12,Paths!$O$146&lt;=C1539*12)),Paths!$N$146,0),"n.a."))</f>
        <v>0</v>
      </c>
      <c r="L1539" s="16">
        <f>IF(NOT(Paths!$C$146=1),0,IF(Paths!$P$146="Complete",IF(C1539=10,Paths!$I$146,0),"n.a."))</f>
        <v>0</v>
      </c>
      <c r="M1539" s="16">
        <f>IF(NOT(Paths!$C$146=1),0,IF(Paths!$P$146="Complete",IF(AND(Paths!$D$146="EV",Paths!$E$146&lt;120,Paths!$E$146+'Operating costs'!$B$65&gt;Paths!$E$146,Paths!$E$146+'Operating costs'!$B$65&lt;=120,IF(Paths!$E$146+'Operating costs'!$B$65=0,C1539=0,AND(C1539&gt;0,Paths!$E$146+'Operating costs'!$B$65&gt;(C1539-1)*12,Paths!$E$146+'Operating costs'!$B$65&lt;=C1539*12))),'Operating costs'!$B$64,0)+IF(AND('Operating costs'!$B$67&gt;0,'Operating costs'!$B$67&lt;=120,OR(Paths!$D$146="ICE",'Operating costs'!$B$67&lt;=Paths!$E$146),IF('Operating costs'!$B$67=0,C1539=0,AND(C1539&gt;0,'Operating costs'!$B$67&gt;(C1539-1)*12,'Operating costs'!$B$67&lt;=C1539*12))),'Operating costs'!$B$66,0),"n.a."))</f>
        <v>0</v>
      </c>
      <c r="N1539" s="16">
        <f>IF(NOT(Paths!$C$146=1),0,IF(Paths!$P$146="Complete",SUM(G1539:I1539)-J1539-K1539-L1539+M1539+IF(C1539=0,Paths!$F$146,0)+IF(IF(Paths!$E$146=0,C1539=0,AND(C1539&gt;0,Paths!$E$146&gt;(C1539-1)*12,Paths!$E$146&lt;=C1539*12)),VLOOKUP(A1539,'Fleet register'!$A$7:$S$106,16,FALSE),0),"n.a."))</f>
        <v>0</v>
      </c>
      <c r="O1539" s="16">
        <f>IF(NOT(Paths!$C$146=1),0,IF(Paths!$P$146="Complete",N1539-IF(C1539=0,Paths!$F$146,0),"n.a."))</f>
        <v>0</v>
      </c>
      <c r="P1539" s="16">
        <f>IF(NOT(Paths!$C$146=1),0,IF(Paths!$P$146="Complete",O1539+L1539,"n.a."))</f>
        <v>0</v>
      </c>
      <c r="Q1539" s="16">
        <f>IF(NOT(Paths!$C$146=1),0,IF(Paths!$P$146="Complete",N1539*(1+'Operating costs'!$B$54)^-C1539,"n.a."))</f>
        <v>0</v>
      </c>
      <c r="R1539" s="16">
        <f>IF(NOT(Paths!$C$146=1),0,IF(Paths!$P$146="Complete",IF(AND(C1539=0,Paths!$E$146=0),I1539-J1539-K1539+VLOOKUP(A1539,'Fleet register'!$A$7:$S$106,15,FALSE)+VLOOKUP(A1539,'Fleet register'!$A$7:$S$106,16,FALSE),0),"n.a."))</f>
        <v>0</v>
      </c>
      <c r="S1539" s="1">
        <f>IF(NOT(Paths!$C$146=1),0,IF(Paths!$P$146="Complete",IF(C1539=0,0,Paths!$S$146*Paths!$R$146),"n.a."))</f>
        <v>0</v>
      </c>
      <c r="T1539" s="1">
        <f>IF(NOT(Paths!$C$146=1),0,IF(Paths!$P$146="Complete",IF(C1539=0,0,VLOOKUP(A1539,'Fleet register'!$A$7:$S$106,9,FALSE)*Paths!$R$146),"n.a."))</f>
        <v>0</v>
      </c>
    </row>
    <row r="1540" spans="1:20" ht="24" customHeight="1">
      <c r="A1540" s="1" t="str">
        <f>Paths!$A$146</f>
        <v>T035</v>
      </c>
      <c r="B1540" s="1">
        <f>Paths!$B$146</f>
        <v>3</v>
      </c>
      <c r="C1540" s="1">
        <v>4</v>
      </c>
      <c r="D1540" s="1">
        <v>146</v>
      </c>
      <c r="E1540" s="1">
        <f>IF(OR(Paths!$C$146=0,C1540=0),0,MAX(0,MIN(C1540*12,Paths!$E$146)-(C1540-1)*12))</f>
        <v>0</v>
      </c>
      <c r="F1540" s="1">
        <f>IF(OR(Paths!$C$146=0,C1540=0),0,12-E1540)</f>
        <v>0</v>
      </c>
      <c r="G1540" s="16">
        <f>IF(NOT(Paths!$C$146=1),0,IF(Paths!$P$146="Complete",E1540/12*(Paths!$J$146*(1+'Operating costs'!$B$51)^MAX(0,C1540-1)+Paths!$K$146*(1+'Operating costs'!$B$53)^MAX(0,C1540-1)),"n.a."))</f>
        <v>0</v>
      </c>
      <c r="H1540" s="16">
        <f>IF(NOT(Paths!$C$146=1),0,IF(Paths!$P$146="Complete",F1540/12*(Paths!$L$146*(1+IF(Paths!$D$146="EV",'Operating costs'!$B$52,'Operating costs'!$B$51))^MAX(0,C1540-1)+Paths!$M$146*(1+'Operating costs'!$B$53)^MAX(0,C1540-1)),"n.a."))</f>
        <v>0</v>
      </c>
      <c r="I1540" s="16">
        <f>IF(NOT(Paths!$C$146=1),0,IF(Paths!$P$146="Complete",IF(IF(Paths!$E$146=0,C1540=0,AND(C1540&gt;0,Paths!$E$146&gt;(C1540-1)*12,Paths!$E$146&lt;=C1540*12)),Paths!$G$146,0),"n.a."))</f>
        <v>0</v>
      </c>
      <c r="J1540" s="16">
        <f>IF(NOT(Paths!$C$146=1),0,IF(Paths!$P$146="Complete",IF(IF(Paths!$E$146=0,C1540=0,AND(C1540&gt;0,Paths!$E$146&gt;(C1540-1)*12,Paths!$E$146&lt;=C1540*12)),Paths!$H$146,0),"n.a."))</f>
        <v>0</v>
      </c>
      <c r="K1540" s="16">
        <f>IF(NOT(Paths!$C$146=1),0,IF(Paths!$P$146="Complete",IF(IF(Paths!$O$146=0,C1540=0,AND(C1540&gt;0,Paths!$O$146&gt;(C1540-1)*12,Paths!$O$146&lt;=C1540*12)),Paths!$N$146,0),"n.a."))</f>
        <v>0</v>
      </c>
      <c r="L1540" s="16">
        <f>IF(NOT(Paths!$C$146=1),0,IF(Paths!$P$146="Complete",IF(C1540=10,Paths!$I$146,0),"n.a."))</f>
        <v>0</v>
      </c>
      <c r="M1540" s="16">
        <f>IF(NOT(Paths!$C$146=1),0,IF(Paths!$P$146="Complete",IF(AND(Paths!$D$146="EV",Paths!$E$146&lt;120,Paths!$E$146+'Operating costs'!$B$65&gt;Paths!$E$146,Paths!$E$146+'Operating costs'!$B$65&lt;=120,IF(Paths!$E$146+'Operating costs'!$B$65=0,C1540=0,AND(C1540&gt;0,Paths!$E$146+'Operating costs'!$B$65&gt;(C1540-1)*12,Paths!$E$146+'Operating costs'!$B$65&lt;=C1540*12))),'Operating costs'!$B$64,0)+IF(AND('Operating costs'!$B$67&gt;0,'Operating costs'!$B$67&lt;=120,OR(Paths!$D$146="ICE",'Operating costs'!$B$67&lt;=Paths!$E$146),IF('Operating costs'!$B$67=0,C1540=0,AND(C1540&gt;0,'Operating costs'!$B$67&gt;(C1540-1)*12,'Operating costs'!$B$67&lt;=C1540*12))),'Operating costs'!$B$66,0),"n.a."))</f>
        <v>0</v>
      </c>
      <c r="N1540" s="16">
        <f>IF(NOT(Paths!$C$146=1),0,IF(Paths!$P$146="Complete",SUM(G1540:I1540)-J1540-K1540-L1540+M1540+IF(C1540=0,Paths!$F$146,0)+IF(IF(Paths!$E$146=0,C1540=0,AND(C1540&gt;0,Paths!$E$146&gt;(C1540-1)*12,Paths!$E$146&lt;=C1540*12)),VLOOKUP(A1540,'Fleet register'!$A$7:$S$106,16,FALSE),0),"n.a."))</f>
        <v>0</v>
      </c>
      <c r="O1540" s="16">
        <f>IF(NOT(Paths!$C$146=1),0,IF(Paths!$P$146="Complete",N1540-IF(C1540=0,Paths!$F$146,0),"n.a."))</f>
        <v>0</v>
      </c>
      <c r="P1540" s="16">
        <f>IF(NOT(Paths!$C$146=1),0,IF(Paths!$P$146="Complete",O1540+L1540,"n.a."))</f>
        <v>0</v>
      </c>
      <c r="Q1540" s="16">
        <f>IF(NOT(Paths!$C$146=1),0,IF(Paths!$P$146="Complete",N1540*(1+'Operating costs'!$B$54)^-C1540,"n.a."))</f>
        <v>0</v>
      </c>
      <c r="R1540" s="16">
        <f>IF(NOT(Paths!$C$146=1),0,IF(Paths!$P$146="Complete",IF(AND(C1540=0,Paths!$E$146=0),I1540-J1540-K1540+VLOOKUP(A1540,'Fleet register'!$A$7:$S$106,15,FALSE)+VLOOKUP(A1540,'Fleet register'!$A$7:$S$106,16,FALSE),0),"n.a."))</f>
        <v>0</v>
      </c>
      <c r="S1540" s="1">
        <f>IF(NOT(Paths!$C$146=1),0,IF(Paths!$P$146="Complete",IF(C1540=0,0,Paths!$S$146*Paths!$R$146),"n.a."))</f>
        <v>0</v>
      </c>
      <c r="T1540" s="1">
        <f>IF(NOT(Paths!$C$146=1),0,IF(Paths!$P$146="Complete",IF(C1540=0,0,VLOOKUP(A1540,'Fleet register'!$A$7:$S$106,9,FALSE)*Paths!$R$146),"n.a."))</f>
        <v>0</v>
      </c>
    </row>
    <row r="1541" spans="1:20" ht="24" customHeight="1">
      <c r="A1541" s="1" t="str">
        <f>Paths!$A$146</f>
        <v>T035</v>
      </c>
      <c r="B1541" s="1">
        <f>Paths!$B$146</f>
        <v>3</v>
      </c>
      <c r="C1541" s="1">
        <v>5</v>
      </c>
      <c r="D1541" s="1">
        <v>146</v>
      </c>
      <c r="E1541" s="1">
        <f>IF(OR(Paths!$C$146=0,C1541=0),0,MAX(0,MIN(C1541*12,Paths!$E$146)-(C1541-1)*12))</f>
        <v>0</v>
      </c>
      <c r="F1541" s="1">
        <f>IF(OR(Paths!$C$146=0,C1541=0),0,12-E1541)</f>
        <v>0</v>
      </c>
      <c r="G1541" s="16">
        <f>IF(NOT(Paths!$C$146=1),0,IF(Paths!$P$146="Complete",E1541/12*(Paths!$J$146*(1+'Operating costs'!$B$51)^MAX(0,C1541-1)+Paths!$K$146*(1+'Operating costs'!$B$53)^MAX(0,C1541-1)),"n.a."))</f>
        <v>0</v>
      </c>
      <c r="H1541" s="16">
        <f>IF(NOT(Paths!$C$146=1),0,IF(Paths!$P$146="Complete",F1541/12*(Paths!$L$146*(1+IF(Paths!$D$146="EV",'Operating costs'!$B$52,'Operating costs'!$B$51))^MAX(0,C1541-1)+Paths!$M$146*(1+'Operating costs'!$B$53)^MAX(0,C1541-1)),"n.a."))</f>
        <v>0</v>
      </c>
      <c r="I1541" s="16">
        <f>IF(NOT(Paths!$C$146=1),0,IF(Paths!$P$146="Complete",IF(IF(Paths!$E$146=0,C1541=0,AND(C1541&gt;0,Paths!$E$146&gt;(C1541-1)*12,Paths!$E$146&lt;=C1541*12)),Paths!$G$146,0),"n.a."))</f>
        <v>0</v>
      </c>
      <c r="J1541" s="16">
        <f>IF(NOT(Paths!$C$146=1),0,IF(Paths!$P$146="Complete",IF(IF(Paths!$E$146=0,C1541=0,AND(C1541&gt;0,Paths!$E$146&gt;(C1541-1)*12,Paths!$E$146&lt;=C1541*12)),Paths!$H$146,0),"n.a."))</f>
        <v>0</v>
      </c>
      <c r="K1541" s="16">
        <f>IF(NOT(Paths!$C$146=1),0,IF(Paths!$P$146="Complete",IF(IF(Paths!$O$146=0,C1541=0,AND(C1541&gt;0,Paths!$O$146&gt;(C1541-1)*12,Paths!$O$146&lt;=C1541*12)),Paths!$N$146,0),"n.a."))</f>
        <v>0</v>
      </c>
      <c r="L1541" s="16">
        <f>IF(NOT(Paths!$C$146=1),0,IF(Paths!$P$146="Complete",IF(C1541=10,Paths!$I$146,0),"n.a."))</f>
        <v>0</v>
      </c>
      <c r="M1541" s="16">
        <f>IF(NOT(Paths!$C$146=1),0,IF(Paths!$P$146="Complete",IF(AND(Paths!$D$146="EV",Paths!$E$146&lt;120,Paths!$E$146+'Operating costs'!$B$65&gt;Paths!$E$146,Paths!$E$146+'Operating costs'!$B$65&lt;=120,IF(Paths!$E$146+'Operating costs'!$B$65=0,C1541=0,AND(C1541&gt;0,Paths!$E$146+'Operating costs'!$B$65&gt;(C1541-1)*12,Paths!$E$146+'Operating costs'!$B$65&lt;=C1541*12))),'Operating costs'!$B$64,0)+IF(AND('Operating costs'!$B$67&gt;0,'Operating costs'!$B$67&lt;=120,OR(Paths!$D$146="ICE",'Operating costs'!$B$67&lt;=Paths!$E$146),IF('Operating costs'!$B$67=0,C1541=0,AND(C1541&gt;0,'Operating costs'!$B$67&gt;(C1541-1)*12,'Operating costs'!$B$67&lt;=C1541*12))),'Operating costs'!$B$66,0),"n.a."))</f>
        <v>0</v>
      </c>
      <c r="N1541" s="16">
        <f>IF(NOT(Paths!$C$146=1),0,IF(Paths!$P$146="Complete",SUM(G1541:I1541)-J1541-K1541-L1541+M1541+IF(C1541=0,Paths!$F$146,0)+IF(IF(Paths!$E$146=0,C1541=0,AND(C1541&gt;0,Paths!$E$146&gt;(C1541-1)*12,Paths!$E$146&lt;=C1541*12)),VLOOKUP(A1541,'Fleet register'!$A$7:$S$106,16,FALSE),0),"n.a."))</f>
        <v>0</v>
      </c>
      <c r="O1541" s="16">
        <f>IF(NOT(Paths!$C$146=1),0,IF(Paths!$P$146="Complete",N1541-IF(C1541=0,Paths!$F$146,0),"n.a."))</f>
        <v>0</v>
      </c>
      <c r="P1541" s="16">
        <f>IF(NOT(Paths!$C$146=1),0,IF(Paths!$P$146="Complete",O1541+L1541,"n.a."))</f>
        <v>0</v>
      </c>
      <c r="Q1541" s="16">
        <f>IF(NOT(Paths!$C$146=1),0,IF(Paths!$P$146="Complete",N1541*(1+'Operating costs'!$B$54)^-C1541,"n.a."))</f>
        <v>0</v>
      </c>
      <c r="R1541" s="16">
        <f>IF(NOT(Paths!$C$146=1),0,IF(Paths!$P$146="Complete",IF(AND(C1541=0,Paths!$E$146=0),I1541-J1541-K1541+VLOOKUP(A1541,'Fleet register'!$A$7:$S$106,15,FALSE)+VLOOKUP(A1541,'Fleet register'!$A$7:$S$106,16,FALSE),0),"n.a."))</f>
        <v>0</v>
      </c>
      <c r="S1541" s="1">
        <f>IF(NOT(Paths!$C$146=1),0,IF(Paths!$P$146="Complete",IF(C1541=0,0,Paths!$S$146*Paths!$R$146),"n.a."))</f>
        <v>0</v>
      </c>
      <c r="T1541" s="1">
        <f>IF(NOT(Paths!$C$146=1),0,IF(Paths!$P$146="Complete",IF(C1541=0,0,VLOOKUP(A1541,'Fleet register'!$A$7:$S$106,9,FALSE)*Paths!$R$146),"n.a."))</f>
        <v>0</v>
      </c>
    </row>
    <row r="1542" spans="1:20" ht="24" customHeight="1">
      <c r="A1542" s="1" t="str">
        <f>Paths!$A$146</f>
        <v>T035</v>
      </c>
      <c r="B1542" s="1">
        <f>Paths!$B$146</f>
        <v>3</v>
      </c>
      <c r="C1542" s="1">
        <v>6</v>
      </c>
      <c r="D1542" s="1">
        <v>146</v>
      </c>
      <c r="E1542" s="1">
        <f>IF(OR(Paths!$C$146=0,C1542=0),0,MAX(0,MIN(C1542*12,Paths!$E$146)-(C1542-1)*12))</f>
        <v>0</v>
      </c>
      <c r="F1542" s="1">
        <f>IF(OR(Paths!$C$146=0,C1542=0),0,12-E1542)</f>
        <v>0</v>
      </c>
      <c r="G1542" s="16">
        <f>IF(NOT(Paths!$C$146=1),0,IF(Paths!$P$146="Complete",E1542/12*(Paths!$J$146*(1+'Operating costs'!$B$51)^MAX(0,C1542-1)+Paths!$K$146*(1+'Operating costs'!$B$53)^MAX(0,C1542-1)),"n.a."))</f>
        <v>0</v>
      </c>
      <c r="H1542" s="16">
        <f>IF(NOT(Paths!$C$146=1),0,IF(Paths!$P$146="Complete",F1542/12*(Paths!$L$146*(1+IF(Paths!$D$146="EV",'Operating costs'!$B$52,'Operating costs'!$B$51))^MAX(0,C1542-1)+Paths!$M$146*(1+'Operating costs'!$B$53)^MAX(0,C1542-1)),"n.a."))</f>
        <v>0</v>
      </c>
      <c r="I1542" s="16">
        <f>IF(NOT(Paths!$C$146=1),0,IF(Paths!$P$146="Complete",IF(IF(Paths!$E$146=0,C1542=0,AND(C1542&gt;0,Paths!$E$146&gt;(C1542-1)*12,Paths!$E$146&lt;=C1542*12)),Paths!$G$146,0),"n.a."))</f>
        <v>0</v>
      </c>
      <c r="J1542" s="16">
        <f>IF(NOT(Paths!$C$146=1),0,IF(Paths!$P$146="Complete",IF(IF(Paths!$E$146=0,C1542=0,AND(C1542&gt;0,Paths!$E$146&gt;(C1542-1)*12,Paths!$E$146&lt;=C1542*12)),Paths!$H$146,0),"n.a."))</f>
        <v>0</v>
      </c>
      <c r="K1542" s="16">
        <f>IF(NOT(Paths!$C$146=1),0,IF(Paths!$P$146="Complete",IF(IF(Paths!$O$146=0,C1542=0,AND(C1542&gt;0,Paths!$O$146&gt;(C1542-1)*12,Paths!$O$146&lt;=C1542*12)),Paths!$N$146,0),"n.a."))</f>
        <v>0</v>
      </c>
      <c r="L1542" s="16">
        <f>IF(NOT(Paths!$C$146=1),0,IF(Paths!$P$146="Complete",IF(C1542=10,Paths!$I$146,0),"n.a."))</f>
        <v>0</v>
      </c>
      <c r="M1542" s="16">
        <f>IF(NOT(Paths!$C$146=1),0,IF(Paths!$P$146="Complete",IF(AND(Paths!$D$146="EV",Paths!$E$146&lt;120,Paths!$E$146+'Operating costs'!$B$65&gt;Paths!$E$146,Paths!$E$146+'Operating costs'!$B$65&lt;=120,IF(Paths!$E$146+'Operating costs'!$B$65=0,C1542=0,AND(C1542&gt;0,Paths!$E$146+'Operating costs'!$B$65&gt;(C1542-1)*12,Paths!$E$146+'Operating costs'!$B$65&lt;=C1542*12))),'Operating costs'!$B$64,0)+IF(AND('Operating costs'!$B$67&gt;0,'Operating costs'!$B$67&lt;=120,OR(Paths!$D$146="ICE",'Operating costs'!$B$67&lt;=Paths!$E$146),IF('Operating costs'!$B$67=0,C1542=0,AND(C1542&gt;0,'Operating costs'!$B$67&gt;(C1542-1)*12,'Operating costs'!$B$67&lt;=C1542*12))),'Operating costs'!$B$66,0),"n.a."))</f>
        <v>0</v>
      </c>
      <c r="N1542" s="16">
        <f>IF(NOT(Paths!$C$146=1),0,IF(Paths!$P$146="Complete",SUM(G1542:I1542)-J1542-K1542-L1542+M1542+IF(C1542=0,Paths!$F$146,0)+IF(IF(Paths!$E$146=0,C1542=0,AND(C1542&gt;0,Paths!$E$146&gt;(C1542-1)*12,Paths!$E$146&lt;=C1542*12)),VLOOKUP(A1542,'Fleet register'!$A$7:$S$106,16,FALSE),0),"n.a."))</f>
        <v>0</v>
      </c>
      <c r="O1542" s="16">
        <f>IF(NOT(Paths!$C$146=1),0,IF(Paths!$P$146="Complete",N1542-IF(C1542=0,Paths!$F$146,0),"n.a."))</f>
        <v>0</v>
      </c>
      <c r="P1542" s="16">
        <f>IF(NOT(Paths!$C$146=1),0,IF(Paths!$P$146="Complete",O1542+L1542,"n.a."))</f>
        <v>0</v>
      </c>
      <c r="Q1542" s="16">
        <f>IF(NOT(Paths!$C$146=1),0,IF(Paths!$P$146="Complete",N1542*(1+'Operating costs'!$B$54)^-C1542,"n.a."))</f>
        <v>0</v>
      </c>
      <c r="R1542" s="16">
        <f>IF(NOT(Paths!$C$146=1),0,IF(Paths!$P$146="Complete",IF(AND(C1542=0,Paths!$E$146=0),I1542-J1542-K1542+VLOOKUP(A1542,'Fleet register'!$A$7:$S$106,15,FALSE)+VLOOKUP(A1542,'Fleet register'!$A$7:$S$106,16,FALSE),0),"n.a."))</f>
        <v>0</v>
      </c>
      <c r="S1542" s="1">
        <f>IF(NOT(Paths!$C$146=1),0,IF(Paths!$P$146="Complete",IF(C1542=0,0,Paths!$S$146*Paths!$R$146),"n.a."))</f>
        <v>0</v>
      </c>
      <c r="T1542" s="1">
        <f>IF(NOT(Paths!$C$146=1),0,IF(Paths!$P$146="Complete",IF(C1542=0,0,VLOOKUP(A1542,'Fleet register'!$A$7:$S$106,9,FALSE)*Paths!$R$146),"n.a."))</f>
        <v>0</v>
      </c>
    </row>
    <row r="1543" spans="1:20" ht="24" customHeight="1">
      <c r="A1543" s="1" t="str">
        <f>Paths!$A$146</f>
        <v>T035</v>
      </c>
      <c r="B1543" s="1">
        <f>Paths!$B$146</f>
        <v>3</v>
      </c>
      <c r="C1543" s="1">
        <v>7</v>
      </c>
      <c r="D1543" s="1">
        <v>146</v>
      </c>
      <c r="E1543" s="1">
        <f>IF(OR(Paths!$C$146=0,C1543=0),0,MAX(0,MIN(C1543*12,Paths!$E$146)-(C1543-1)*12))</f>
        <v>0</v>
      </c>
      <c r="F1543" s="1">
        <f>IF(OR(Paths!$C$146=0,C1543=0),0,12-E1543)</f>
        <v>0</v>
      </c>
      <c r="G1543" s="16">
        <f>IF(NOT(Paths!$C$146=1),0,IF(Paths!$P$146="Complete",E1543/12*(Paths!$J$146*(1+'Operating costs'!$B$51)^MAX(0,C1543-1)+Paths!$K$146*(1+'Operating costs'!$B$53)^MAX(0,C1543-1)),"n.a."))</f>
        <v>0</v>
      </c>
      <c r="H1543" s="16">
        <f>IF(NOT(Paths!$C$146=1),0,IF(Paths!$P$146="Complete",F1543/12*(Paths!$L$146*(1+IF(Paths!$D$146="EV",'Operating costs'!$B$52,'Operating costs'!$B$51))^MAX(0,C1543-1)+Paths!$M$146*(1+'Operating costs'!$B$53)^MAX(0,C1543-1)),"n.a."))</f>
        <v>0</v>
      </c>
      <c r="I1543" s="16">
        <f>IF(NOT(Paths!$C$146=1),0,IF(Paths!$P$146="Complete",IF(IF(Paths!$E$146=0,C1543=0,AND(C1543&gt;0,Paths!$E$146&gt;(C1543-1)*12,Paths!$E$146&lt;=C1543*12)),Paths!$G$146,0),"n.a."))</f>
        <v>0</v>
      </c>
      <c r="J1543" s="16">
        <f>IF(NOT(Paths!$C$146=1),0,IF(Paths!$P$146="Complete",IF(IF(Paths!$E$146=0,C1543=0,AND(C1543&gt;0,Paths!$E$146&gt;(C1543-1)*12,Paths!$E$146&lt;=C1543*12)),Paths!$H$146,0),"n.a."))</f>
        <v>0</v>
      </c>
      <c r="K1543" s="16">
        <f>IF(NOT(Paths!$C$146=1),0,IF(Paths!$P$146="Complete",IF(IF(Paths!$O$146=0,C1543=0,AND(C1543&gt;0,Paths!$O$146&gt;(C1543-1)*12,Paths!$O$146&lt;=C1543*12)),Paths!$N$146,0),"n.a."))</f>
        <v>0</v>
      </c>
      <c r="L1543" s="16">
        <f>IF(NOT(Paths!$C$146=1),0,IF(Paths!$P$146="Complete",IF(C1543=10,Paths!$I$146,0),"n.a."))</f>
        <v>0</v>
      </c>
      <c r="M1543" s="16">
        <f>IF(NOT(Paths!$C$146=1),0,IF(Paths!$P$146="Complete",IF(AND(Paths!$D$146="EV",Paths!$E$146&lt;120,Paths!$E$146+'Operating costs'!$B$65&gt;Paths!$E$146,Paths!$E$146+'Operating costs'!$B$65&lt;=120,IF(Paths!$E$146+'Operating costs'!$B$65=0,C1543=0,AND(C1543&gt;0,Paths!$E$146+'Operating costs'!$B$65&gt;(C1543-1)*12,Paths!$E$146+'Operating costs'!$B$65&lt;=C1543*12))),'Operating costs'!$B$64,0)+IF(AND('Operating costs'!$B$67&gt;0,'Operating costs'!$B$67&lt;=120,OR(Paths!$D$146="ICE",'Operating costs'!$B$67&lt;=Paths!$E$146),IF('Operating costs'!$B$67=0,C1543=0,AND(C1543&gt;0,'Operating costs'!$B$67&gt;(C1543-1)*12,'Operating costs'!$B$67&lt;=C1543*12))),'Operating costs'!$B$66,0),"n.a."))</f>
        <v>0</v>
      </c>
      <c r="N1543" s="16">
        <f>IF(NOT(Paths!$C$146=1),0,IF(Paths!$P$146="Complete",SUM(G1543:I1543)-J1543-K1543-L1543+M1543+IF(C1543=0,Paths!$F$146,0)+IF(IF(Paths!$E$146=0,C1543=0,AND(C1543&gt;0,Paths!$E$146&gt;(C1543-1)*12,Paths!$E$146&lt;=C1543*12)),VLOOKUP(A1543,'Fleet register'!$A$7:$S$106,16,FALSE),0),"n.a."))</f>
        <v>0</v>
      </c>
      <c r="O1543" s="16">
        <f>IF(NOT(Paths!$C$146=1),0,IF(Paths!$P$146="Complete",N1543-IF(C1543=0,Paths!$F$146,0),"n.a."))</f>
        <v>0</v>
      </c>
      <c r="P1543" s="16">
        <f>IF(NOT(Paths!$C$146=1),0,IF(Paths!$P$146="Complete",O1543+L1543,"n.a."))</f>
        <v>0</v>
      </c>
      <c r="Q1543" s="16">
        <f>IF(NOT(Paths!$C$146=1),0,IF(Paths!$P$146="Complete",N1543*(1+'Operating costs'!$B$54)^-C1543,"n.a."))</f>
        <v>0</v>
      </c>
      <c r="R1543" s="16">
        <f>IF(NOT(Paths!$C$146=1),0,IF(Paths!$P$146="Complete",IF(AND(C1543=0,Paths!$E$146=0),I1543-J1543-K1543+VLOOKUP(A1543,'Fleet register'!$A$7:$S$106,15,FALSE)+VLOOKUP(A1543,'Fleet register'!$A$7:$S$106,16,FALSE),0),"n.a."))</f>
        <v>0</v>
      </c>
      <c r="S1543" s="1">
        <f>IF(NOT(Paths!$C$146=1),0,IF(Paths!$P$146="Complete",IF(C1543=0,0,Paths!$S$146*Paths!$R$146),"n.a."))</f>
        <v>0</v>
      </c>
      <c r="T1543" s="1">
        <f>IF(NOT(Paths!$C$146=1),0,IF(Paths!$P$146="Complete",IF(C1543=0,0,VLOOKUP(A1543,'Fleet register'!$A$7:$S$106,9,FALSE)*Paths!$R$146),"n.a."))</f>
        <v>0</v>
      </c>
    </row>
    <row r="1544" spans="1:20" ht="24" customHeight="1">
      <c r="A1544" s="1" t="str">
        <f>Paths!$A$146</f>
        <v>T035</v>
      </c>
      <c r="B1544" s="1">
        <f>Paths!$B$146</f>
        <v>3</v>
      </c>
      <c r="C1544" s="1">
        <v>8</v>
      </c>
      <c r="D1544" s="1">
        <v>146</v>
      </c>
      <c r="E1544" s="1">
        <f>IF(OR(Paths!$C$146=0,C1544=0),0,MAX(0,MIN(C1544*12,Paths!$E$146)-(C1544-1)*12))</f>
        <v>0</v>
      </c>
      <c r="F1544" s="1">
        <f>IF(OR(Paths!$C$146=0,C1544=0),0,12-E1544)</f>
        <v>0</v>
      </c>
      <c r="G1544" s="16">
        <f>IF(NOT(Paths!$C$146=1),0,IF(Paths!$P$146="Complete",E1544/12*(Paths!$J$146*(1+'Operating costs'!$B$51)^MAX(0,C1544-1)+Paths!$K$146*(1+'Operating costs'!$B$53)^MAX(0,C1544-1)),"n.a."))</f>
        <v>0</v>
      </c>
      <c r="H1544" s="16">
        <f>IF(NOT(Paths!$C$146=1),0,IF(Paths!$P$146="Complete",F1544/12*(Paths!$L$146*(1+IF(Paths!$D$146="EV",'Operating costs'!$B$52,'Operating costs'!$B$51))^MAX(0,C1544-1)+Paths!$M$146*(1+'Operating costs'!$B$53)^MAX(0,C1544-1)),"n.a."))</f>
        <v>0</v>
      </c>
      <c r="I1544" s="16">
        <f>IF(NOT(Paths!$C$146=1),0,IF(Paths!$P$146="Complete",IF(IF(Paths!$E$146=0,C1544=0,AND(C1544&gt;0,Paths!$E$146&gt;(C1544-1)*12,Paths!$E$146&lt;=C1544*12)),Paths!$G$146,0),"n.a."))</f>
        <v>0</v>
      </c>
      <c r="J1544" s="16">
        <f>IF(NOT(Paths!$C$146=1),0,IF(Paths!$P$146="Complete",IF(IF(Paths!$E$146=0,C1544=0,AND(C1544&gt;0,Paths!$E$146&gt;(C1544-1)*12,Paths!$E$146&lt;=C1544*12)),Paths!$H$146,0),"n.a."))</f>
        <v>0</v>
      </c>
      <c r="K1544" s="16">
        <f>IF(NOT(Paths!$C$146=1),0,IF(Paths!$P$146="Complete",IF(IF(Paths!$O$146=0,C1544=0,AND(C1544&gt;0,Paths!$O$146&gt;(C1544-1)*12,Paths!$O$146&lt;=C1544*12)),Paths!$N$146,0),"n.a."))</f>
        <v>0</v>
      </c>
      <c r="L1544" s="16">
        <f>IF(NOT(Paths!$C$146=1),0,IF(Paths!$P$146="Complete",IF(C1544=10,Paths!$I$146,0),"n.a."))</f>
        <v>0</v>
      </c>
      <c r="M1544" s="16">
        <f>IF(NOT(Paths!$C$146=1),0,IF(Paths!$P$146="Complete",IF(AND(Paths!$D$146="EV",Paths!$E$146&lt;120,Paths!$E$146+'Operating costs'!$B$65&gt;Paths!$E$146,Paths!$E$146+'Operating costs'!$B$65&lt;=120,IF(Paths!$E$146+'Operating costs'!$B$65=0,C1544=0,AND(C1544&gt;0,Paths!$E$146+'Operating costs'!$B$65&gt;(C1544-1)*12,Paths!$E$146+'Operating costs'!$B$65&lt;=C1544*12))),'Operating costs'!$B$64,0)+IF(AND('Operating costs'!$B$67&gt;0,'Operating costs'!$B$67&lt;=120,OR(Paths!$D$146="ICE",'Operating costs'!$B$67&lt;=Paths!$E$146),IF('Operating costs'!$B$67=0,C1544=0,AND(C1544&gt;0,'Operating costs'!$B$67&gt;(C1544-1)*12,'Operating costs'!$B$67&lt;=C1544*12))),'Operating costs'!$B$66,0),"n.a."))</f>
        <v>0</v>
      </c>
      <c r="N1544" s="16">
        <f>IF(NOT(Paths!$C$146=1),0,IF(Paths!$P$146="Complete",SUM(G1544:I1544)-J1544-K1544-L1544+M1544+IF(C1544=0,Paths!$F$146,0)+IF(IF(Paths!$E$146=0,C1544=0,AND(C1544&gt;0,Paths!$E$146&gt;(C1544-1)*12,Paths!$E$146&lt;=C1544*12)),VLOOKUP(A1544,'Fleet register'!$A$7:$S$106,16,FALSE),0),"n.a."))</f>
        <v>0</v>
      </c>
      <c r="O1544" s="16">
        <f>IF(NOT(Paths!$C$146=1),0,IF(Paths!$P$146="Complete",N1544-IF(C1544=0,Paths!$F$146,0),"n.a."))</f>
        <v>0</v>
      </c>
      <c r="P1544" s="16">
        <f>IF(NOT(Paths!$C$146=1),0,IF(Paths!$P$146="Complete",O1544+L1544,"n.a."))</f>
        <v>0</v>
      </c>
      <c r="Q1544" s="16">
        <f>IF(NOT(Paths!$C$146=1),0,IF(Paths!$P$146="Complete",N1544*(1+'Operating costs'!$B$54)^-C1544,"n.a."))</f>
        <v>0</v>
      </c>
      <c r="R1544" s="16">
        <f>IF(NOT(Paths!$C$146=1),0,IF(Paths!$P$146="Complete",IF(AND(C1544=0,Paths!$E$146=0),I1544-J1544-K1544+VLOOKUP(A1544,'Fleet register'!$A$7:$S$106,15,FALSE)+VLOOKUP(A1544,'Fleet register'!$A$7:$S$106,16,FALSE),0),"n.a."))</f>
        <v>0</v>
      </c>
      <c r="S1544" s="1">
        <f>IF(NOT(Paths!$C$146=1),0,IF(Paths!$P$146="Complete",IF(C1544=0,0,Paths!$S$146*Paths!$R$146),"n.a."))</f>
        <v>0</v>
      </c>
      <c r="T1544" s="1">
        <f>IF(NOT(Paths!$C$146=1),0,IF(Paths!$P$146="Complete",IF(C1544=0,0,VLOOKUP(A1544,'Fleet register'!$A$7:$S$106,9,FALSE)*Paths!$R$146),"n.a."))</f>
        <v>0</v>
      </c>
    </row>
    <row r="1545" spans="1:20" ht="24" customHeight="1">
      <c r="A1545" s="1" t="str">
        <f>Paths!$A$146</f>
        <v>T035</v>
      </c>
      <c r="B1545" s="1">
        <f>Paths!$B$146</f>
        <v>3</v>
      </c>
      <c r="C1545" s="1">
        <v>9</v>
      </c>
      <c r="D1545" s="1">
        <v>146</v>
      </c>
      <c r="E1545" s="1">
        <f>IF(OR(Paths!$C$146=0,C1545=0),0,MAX(0,MIN(C1545*12,Paths!$E$146)-(C1545-1)*12))</f>
        <v>0</v>
      </c>
      <c r="F1545" s="1">
        <f>IF(OR(Paths!$C$146=0,C1545=0),0,12-E1545)</f>
        <v>0</v>
      </c>
      <c r="G1545" s="16">
        <f>IF(NOT(Paths!$C$146=1),0,IF(Paths!$P$146="Complete",E1545/12*(Paths!$J$146*(1+'Operating costs'!$B$51)^MAX(0,C1545-1)+Paths!$K$146*(1+'Operating costs'!$B$53)^MAX(0,C1545-1)),"n.a."))</f>
        <v>0</v>
      </c>
      <c r="H1545" s="16">
        <f>IF(NOT(Paths!$C$146=1),0,IF(Paths!$P$146="Complete",F1545/12*(Paths!$L$146*(1+IF(Paths!$D$146="EV",'Operating costs'!$B$52,'Operating costs'!$B$51))^MAX(0,C1545-1)+Paths!$M$146*(1+'Operating costs'!$B$53)^MAX(0,C1545-1)),"n.a."))</f>
        <v>0</v>
      </c>
      <c r="I1545" s="16">
        <f>IF(NOT(Paths!$C$146=1),0,IF(Paths!$P$146="Complete",IF(IF(Paths!$E$146=0,C1545=0,AND(C1545&gt;0,Paths!$E$146&gt;(C1545-1)*12,Paths!$E$146&lt;=C1545*12)),Paths!$G$146,0),"n.a."))</f>
        <v>0</v>
      </c>
      <c r="J1545" s="16">
        <f>IF(NOT(Paths!$C$146=1),0,IF(Paths!$P$146="Complete",IF(IF(Paths!$E$146=0,C1545=0,AND(C1545&gt;0,Paths!$E$146&gt;(C1545-1)*12,Paths!$E$146&lt;=C1545*12)),Paths!$H$146,0),"n.a."))</f>
        <v>0</v>
      </c>
      <c r="K1545" s="16">
        <f>IF(NOT(Paths!$C$146=1),0,IF(Paths!$P$146="Complete",IF(IF(Paths!$O$146=0,C1545=0,AND(C1545&gt;0,Paths!$O$146&gt;(C1545-1)*12,Paths!$O$146&lt;=C1545*12)),Paths!$N$146,0),"n.a."))</f>
        <v>0</v>
      </c>
      <c r="L1545" s="16">
        <f>IF(NOT(Paths!$C$146=1),0,IF(Paths!$P$146="Complete",IF(C1545=10,Paths!$I$146,0),"n.a."))</f>
        <v>0</v>
      </c>
      <c r="M1545" s="16">
        <f>IF(NOT(Paths!$C$146=1),0,IF(Paths!$P$146="Complete",IF(AND(Paths!$D$146="EV",Paths!$E$146&lt;120,Paths!$E$146+'Operating costs'!$B$65&gt;Paths!$E$146,Paths!$E$146+'Operating costs'!$B$65&lt;=120,IF(Paths!$E$146+'Operating costs'!$B$65=0,C1545=0,AND(C1545&gt;0,Paths!$E$146+'Operating costs'!$B$65&gt;(C1545-1)*12,Paths!$E$146+'Operating costs'!$B$65&lt;=C1545*12))),'Operating costs'!$B$64,0)+IF(AND('Operating costs'!$B$67&gt;0,'Operating costs'!$B$67&lt;=120,OR(Paths!$D$146="ICE",'Operating costs'!$B$67&lt;=Paths!$E$146),IF('Operating costs'!$B$67=0,C1545=0,AND(C1545&gt;0,'Operating costs'!$B$67&gt;(C1545-1)*12,'Operating costs'!$B$67&lt;=C1545*12))),'Operating costs'!$B$66,0),"n.a."))</f>
        <v>0</v>
      </c>
      <c r="N1545" s="16">
        <f>IF(NOT(Paths!$C$146=1),0,IF(Paths!$P$146="Complete",SUM(G1545:I1545)-J1545-K1545-L1545+M1545+IF(C1545=0,Paths!$F$146,0)+IF(IF(Paths!$E$146=0,C1545=0,AND(C1545&gt;0,Paths!$E$146&gt;(C1545-1)*12,Paths!$E$146&lt;=C1545*12)),VLOOKUP(A1545,'Fleet register'!$A$7:$S$106,16,FALSE),0),"n.a."))</f>
        <v>0</v>
      </c>
      <c r="O1545" s="16">
        <f>IF(NOT(Paths!$C$146=1),0,IF(Paths!$P$146="Complete",N1545-IF(C1545=0,Paths!$F$146,0),"n.a."))</f>
        <v>0</v>
      </c>
      <c r="P1545" s="16">
        <f>IF(NOT(Paths!$C$146=1),0,IF(Paths!$P$146="Complete",O1545+L1545,"n.a."))</f>
        <v>0</v>
      </c>
      <c r="Q1545" s="16">
        <f>IF(NOT(Paths!$C$146=1),0,IF(Paths!$P$146="Complete",N1545*(1+'Operating costs'!$B$54)^-C1545,"n.a."))</f>
        <v>0</v>
      </c>
      <c r="R1545" s="16">
        <f>IF(NOT(Paths!$C$146=1),0,IF(Paths!$P$146="Complete",IF(AND(C1545=0,Paths!$E$146=0),I1545-J1545-K1545+VLOOKUP(A1545,'Fleet register'!$A$7:$S$106,15,FALSE)+VLOOKUP(A1545,'Fleet register'!$A$7:$S$106,16,FALSE),0),"n.a."))</f>
        <v>0</v>
      </c>
      <c r="S1545" s="1">
        <f>IF(NOT(Paths!$C$146=1),0,IF(Paths!$P$146="Complete",IF(C1545=0,0,Paths!$S$146*Paths!$R$146),"n.a."))</f>
        <v>0</v>
      </c>
      <c r="T1545" s="1">
        <f>IF(NOT(Paths!$C$146=1),0,IF(Paths!$P$146="Complete",IF(C1545=0,0,VLOOKUP(A1545,'Fleet register'!$A$7:$S$106,9,FALSE)*Paths!$R$146),"n.a."))</f>
        <v>0</v>
      </c>
    </row>
    <row r="1546" spans="1:20" ht="24" customHeight="1">
      <c r="A1546" s="1" t="str">
        <f>Paths!$A$146</f>
        <v>T035</v>
      </c>
      <c r="B1546" s="1">
        <f>Paths!$B$146</f>
        <v>3</v>
      </c>
      <c r="C1546" s="1">
        <v>10</v>
      </c>
      <c r="D1546" s="1">
        <v>146</v>
      </c>
      <c r="E1546" s="1">
        <f>IF(OR(Paths!$C$146=0,C1546=0),0,MAX(0,MIN(C1546*12,Paths!$E$146)-(C1546-1)*12))</f>
        <v>0</v>
      </c>
      <c r="F1546" s="1">
        <f>IF(OR(Paths!$C$146=0,C1546=0),0,12-E1546)</f>
        <v>0</v>
      </c>
      <c r="G1546" s="16">
        <f>IF(NOT(Paths!$C$146=1),0,IF(Paths!$P$146="Complete",E1546/12*(Paths!$J$146*(1+'Operating costs'!$B$51)^MAX(0,C1546-1)+Paths!$K$146*(1+'Operating costs'!$B$53)^MAX(0,C1546-1)),"n.a."))</f>
        <v>0</v>
      </c>
      <c r="H1546" s="16">
        <f>IF(NOT(Paths!$C$146=1),0,IF(Paths!$P$146="Complete",F1546/12*(Paths!$L$146*(1+IF(Paths!$D$146="EV",'Operating costs'!$B$52,'Operating costs'!$B$51))^MAX(0,C1546-1)+Paths!$M$146*(1+'Operating costs'!$B$53)^MAX(0,C1546-1)),"n.a."))</f>
        <v>0</v>
      </c>
      <c r="I1546" s="16">
        <f>IF(NOT(Paths!$C$146=1),0,IF(Paths!$P$146="Complete",IF(IF(Paths!$E$146=0,C1546=0,AND(C1546&gt;0,Paths!$E$146&gt;(C1546-1)*12,Paths!$E$146&lt;=C1546*12)),Paths!$G$146,0),"n.a."))</f>
        <v>0</v>
      </c>
      <c r="J1546" s="16">
        <f>IF(NOT(Paths!$C$146=1),0,IF(Paths!$P$146="Complete",IF(IF(Paths!$E$146=0,C1546=0,AND(C1546&gt;0,Paths!$E$146&gt;(C1546-1)*12,Paths!$E$146&lt;=C1546*12)),Paths!$H$146,0),"n.a."))</f>
        <v>0</v>
      </c>
      <c r="K1546" s="16">
        <f>IF(NOT(Paths!$C$146=1),0,IF(Paths!$P$146="Complete",IF(IF(Paths!$O$146=0,C1546=0,AND(C1546&gt;0,Paths!$O$146&gt;(C1546-1)*12,Paths!$O$146&lt;=C1546*12)),Paths!$N$146,0),"n.a."))</f>
        <v>0</v>
      </c>
      <c r="L1546" s="16">
        <f>IF(NOT(Paths!$C$146=1),0,IF(Paths!$P$146="Complete",IF(C1546=10,Paths!$I$146,0),"n.a."))</f>
        <v>0</v>
      </c>
      <c r="M1546" s="16">
        <f>IF(NOT(Paths!$C$146=1),0,IF(Paths!$P$146="Complete",IF(AND(Paths!$D$146="EV",Paths!$E$146&lt;120,Paths!$E$146+'Operating costs'!$B$65&gt;Paths!$E$146,Paths!$E$146+'Operating costs'!$B$65&lt;=120,IF(Paths!$E$146+'Operating costs'!$B$65=0,C1546=0,AND(C1546&gt;0,Paths!$E$146+'Operating costs'!$B$65&gt;(C1546-1)*12,Paths!$E$146+'Operating costs'!$B$65&lt;=C1546*12))),'Operating costs'!$B$64,0)+IF(AND('Operating costs'!$B$67&gt;0,'Operating costs'!$B$67&lt;=120,OR(Paths!$D$146="ICE",'Operating costs'!$B$67&lt;=Paths!$E$146),IF('Operating costs'!$B$67=0,C1546=0,AND(C1546&gt;0,'Operating costs'!$B$67&gt;(C1546-1)*12,'Operating costs'!$B$67&lt;=C1546*12))),'Operating costs'!$B$66,0),"n.a."))</f>
        <v>0</v>
      </c>
      <c r="N1546" s="16">
        <f>IF(NOT(Paths!$C$146=1),0,IF(Paths!$P$146="Complete",SUM(G1546:I1546)-J1546-K1546-L1546+M1546+IF(C1546=0,Paths!$F$146,0)+IF(IF(Paths!$E$146=0,C1546=0,AND(C1546&gt;0,Paths!$E$146&gt;(C1546-1)*12,Paths!$E$146&lt;=C1546*12)),VLOOKUP(A1546,'Fleet register'!$A$7:$S$106,16,FALSE),0),"n.a."))</f>
        <v>0</v>
      </c>
      <c r="O1546" s="16">
        <f>IF(NOT(Paths!$C$146=1),0,IF(Paths!$P$146="Complete",N1546-IF(C1546=0,Paths!$F$146,0),"n.a."))</f>
        <v>0</v>
      </c>
      <c r="P1546" s="16">
        <f>IF(NOT(Paths!$C$146=1),0,IF(Paths!$P$146="Complete",O1546+L1546,"n.a."))</f>
        <v>0</v>
      </c>
      <c r="Q1546" s="16">
        <f>IF(NOT(Paths!$C$146=1),0,IF(Paths!$P$146="Complete",N1546*(1+'Operating costs'!$B$54)^-C1546,"n.a."))</f>
        <v>0</v>
      </c>
      <c r="R1546" s="16">
        <f>IF(NOT(Paths!$C$146=1),0,IF(Paths!$P$146="Complete",IF(AND(C1546=0,Paths!$E$146=0),I1546-J1546-K1546+VLOOKUP(A1546,'Fleet register'!$A$7:$S$106,15,FALSE)+VLOOKUP(A1546,'Fleet register'!$A$7:$S$106,16,FALSE),0),"n.a."))</f>
        <v>0</v>
      </c>
      <c r="S1546" s="1">
        <f>IF(NOT(Paths!$C$146=1),0,IF(Paths!$P$146="Complete",IF(C1546=0,0,Paths!$S$146*Paths!$R$146),"n.a."))</f>
        <v>0</v>
      </c>
      <c r="T1546" s="1">
        <f>IF(NOT(Paths!$C$146=1),0,IF(Paths!$P$146="Complete",IF(C1546=0,0,VLOOKUP(A1546,'Fleet register'!$A$7:$S$106,9,FALSE)*Paths!$R$146),"n.a."))</f>
        <v>0</v>
      </c>
    </row>
    <row r="1547" spans="1:20" ht="24" customHeight="1">
      <c r="A1547" s="1" t="str">
        <f>Paths!$A$147</f>
        <v>T036</v>
      </c>
      <c r="B1547" s="1">
        <f>Paths!$B$147</f>
        <v>0</v>
      </c>
      <c r="C1547" s="1">
        <v>0</v>
      </c>
      <c r="D1547" s="1">
        <v>147</v>
      </c>
      <c r="E1547" s="1">
        <f>IF(OR(Paths!$C$147=0,C1547=0),0,MAX(0,MIN(C1547*12,Paths!$E$147)-(C1547-1)*12))</f>
        <v>0</v>
      </c>
      <c r="F1547" s="1">
        <f>IF(OR(Paths!$C$147=0,C1547=0),0,12-E1547)</f>
        <v>0</v>
      </c>
      <c r="G1547" s="16">
        <f>IF(NOT(Paths!$C$147=1),0,IF(Paths!$P$147="Complete",E1547/12*(Paths!$J$147*(1+'Operating costs'!$B$51)^MAX(0,C1547-1)+Paths!$K$147*(1+'Operating costs'!$B$53)^MAX(0,C1547-1)),"n.a."))</f>
        <v>0</v>
      </c>
      <c r="H1547" s="16">
        <f>IF(NOT(Paths!$C$147=1),0,IF(Paths!$P$147="Complete",F1547/12*(Paths!$L$147*(1+IF(Paths!$D$147="EV",'Operating costs'!$B$52,'Operating costs'!$B$51))^MAX(0,C1547-1)+Paths!$M$147*(1+'Operating costs'!$B$53)^MAX(0,C1547-1)),"n.a."))</f>
        <v>0</v>
      </c>
      <c r="I1547" s="16">
        <f>IF(NOT(Paths!$C$147=1),0,IF(Paths!$P$147="Complete",IF(IF(Paths!$E$147=0,C1547=0,AND(C1547&gt;0,Paths!$E$147&gt;(C1547-1)*12,Paths!$E$147&lt;=C1547*12)),Paths!$G$147,0),"n.a."))</f>
        <v>0</v>
      </c>
      <c r="J1547" s="16">
        <f>IF(NOT(Paths!$C$147=1),0,IF(Paths!$P$147="Complete",IF(IF(Paths!$E$147=0,C1547=0,AND(C1547&gt;0,Paths!$E$147&gt;(C1547-1)*12,Paths!$E$147&lt;=C1547*12)),Paths!$H$147,0),"n.a."))</f>
        <v>0</v>
      </c>
      <c r="K1547" s="16">
        <f>IF(NOT(Paths!$C$147=1),0,IF(Paths!$P$147="Complete",IF(IF(Paths!$O$147=0,C1547=0,AND(C1547&gt;0,Paths!$O$147&gt;(C1547-1)*12,Paths!$O$147&lt;=C1547*12)),Paths!$N$147,0),"n.a."))</f>
        <v>0</v>
      </c>
      <c r="L1547" s="16">
        <f>IF(NOT(Paths!$C$147=1),0,IF(Paths!$P$147="Complete",IF(C1547=10,Paths!$I$147,0),"n.a."))</f>
        <v>0</v>
      </c>
      <c r="M1547" s="16">
        <f>IF(NOT(Paths!$C$147=1),0,IF(Paths!$P$147="Complete",IF(AND(Paths!$D$147="EV",Paths!$E$147&lt;120,Paths!$E$147+'Operating costs'!$B$65&gt;Paths!$E$147,Paths!$E$147+'Operating costs'!$B$65&lt;=120,IF(Paths!$E$147+'Operating costs'!$B$65=0,C1547=0,AND(C1547&gt;0,Paths!$E$147+'Operating costs'!$B$65&gt;(C1547-1)*12,Paths!$E$147+'Operating costs'!$B$65&lt;=C1547*12))),'Operating costs'!$B$64,0)+IF(AND('Operating costs'!$B$67&gt;0,'Operating costs'!$B$67&lt;=120,OR(Paths!$D$147="ICE",'Operating costs'!$B$67&lt;=Paths!$E$147),IF('Operating costs'!$B$67=0,C1547=0,AND(C1547&gt;0,'Operating costs'!$B$67&gt;(C1547-1)*12,'Operating costs'!$B$67&lt;=C1547*12))),'Operating costs'!$B$66,0),"n.a."))</f>
        <v>0</v>
      </c>
      <c r="N1547" s="16">
        <f>IF(NOT(Paths!$C$147=1),0,IF(Paths!$P$147="Complete",SUM(G1547:I1547)-J1547-K1547-L1547+M1547+IF(C1547=0,Paths!$F$147,0)+IF(IF(Paths!$E$147=0,C1547=0,AND(C1547&gt;0,Paths!$E$147&gt;(C1547-1)*12,Paths!$E$147&lt;=C1547*12)),VLOOKUP(A1547,'Fleet register'!$A$7:$S$106,16,FALSE),0),"n.a."))</f>
        <v>0</v>
      </c>
      <c r="O1547" s="16">
        <f>IF(NOT(Paths!$C$147=1),0,IF(Paths!$P$147="Complete",N1547-IF(C1547=0,Paths!$F$147,0),"n.a."))</f>
        <v>0</v>
      </c>
      <c r="P1547" s="16">
        <f>IF(NOT(Paths!$C$147=1),0,IF(Paths!$P$147="Complete",O1547+L1547,"n.a."))</f>
        <v>0</v>
      </c>
      <c r="Q1547" s="16">
        <f>IF(NOT(Paths!$C$147=1),0,IF(Paths!$P$147="Complete",N1547*(1+'Operating costs'!$B$54)^-C1547,"n.a."))</f>
        <v>0</v>
      </c>
      <c r="R1547" s="16">
        <f>IF(NOT(Paths!$C$147=1),0,IF(Paths!$P$147="Complete",IF(AND(C1547=0,Paths!$E$147=0),I1547-J1547-K1547+VLOOKUP(A1547,'Fleet register'!$A$7:$S$106,15,FALSE)+VLOOKUP(A1547,'Fleet register'!$A$7:$S$106,16,FALSE),0),"n.a."))</f>
        <v>0</v>
      </c>
      <c r="S1547" s="1">
        <f>IF(NOT(Paths!$C$147=1),0,IF(Paths!$P$147="Complete",IF(C1547=0,0,Paths!$S$147*Paths!$R$147),"n.a."))</f>
        <v>0</v>
      </c>
      <c r="T1547" s="1">
        <f>IF(NOT(Paths!$C$147=1),0,IF(Paths!$P$147="Complete",IF(C1547=0,0,VLOOKUP(A1547,'Fleet register'!$A$7:$S$106,9,FALSE)*Paths!$R$147),"n.a."))</f>
        <v>0</v>
      </c>
    </row>
    <row r="1548" spans="1:20" ht="24" customHeight="1">
      <c r="A1548" s="1" t="str">
        <f>Paths!$A$147</f>
        <v>T036</v>
      </c>
      <c r="B1548" s="1">
        <f>Paths!$B$147</f>
        <v>0</v>
      </c>
      <c r="C1548" s="1">
        <v>1</v>
      </c>
      <c r="D1548" s="1">
        <v>147</v>
      </c>
      <c r="E1548" s="1">
        <f>IF(OR(Paths!$C$147=0,C1548=0),0,MAX(0,MIN(C1548*12,Paths!$E$147)-(C1548-1)*12))</f>
        <v>0</v>
      </c>
      <c r="F1548" s="1">
        <f>IF(OR(Paths!$C$147=0,C1548=0),0,12-E1548)</f>
        <v>0</v>
      </c>
      <c r="G1548" s="16">
        <f>IF(NOT(Paths!$C$147=1),0,IF(Paths!$P$147="Complete",E1548/12*(Paths!$J$147*(1+'Operating costs'!$B$51)^MAX(0,C1548-1)+Paths!$K$147*(1+'Operating costs'!$B$53)^MAX(0,C1548-1)),"n.a."))</f>
        <v>0</v>
      </c>
      <c r="H1548" s="16">
        <f>IF(NOT(Paths!$C$147=1),0,IF(Paths!$P$147="Complete",F1548/12*(Paths!$L$147*(1+IF(Paths!$D$147="EV",'Operating costs'!$B$52,'Operating costs'!$B$51))^MAX(0,C1548-1)+Paths!$M$147*(1+'Operating costs'!$B$53)^MAX(0,C1548-1)),"n.a."))</f>
        <v>0</v>
      </c>
      <c r="I1548" s="16">
        <f>IF(NOT(Paths!$C$147=1),0,IF(Paths!$P$147="Complete",IF(IF(Paths!$E$147=0,C1548=0,AND(C1548&gt;0,Paths!$E$147&gt;(C1548-1)*12,Paths!$E$147&lt;=C1548*12)),Paths!$G$147,0),"n.a."))</f>
        <v>0</v>
      </c>
      <c r="J1548" s="16">
        <f>IF(NOT(Paths!$C$147=1),0,IF(Paths!$P$147="Complete",IF(IF(Paths!$E$147=0,C1548=0,AND(C1548&gt;0,Paths!$E$147&gt;(C1548-1)*12,Paths!$E$147&lt;=C1548*12)),Paths!$H$147,0),"n.a."))</f>
        <v>0</v>
      </c>
      <c r="K1548" s="16">
        <f>IF(NOT(Paths!$C$147=1),0,IF(Paths!$P$147="Complete",IF(IF(Paths!$O$147=0,C1548=0,AND(C1548&gt;0,Paths!$O$147&gt;(C1548-1)*12,Paths!$O$147&lt;=C1548*12)),Paths!$N$147,0),"n.a."))</f>
        <v>0</v>
      </c>
      <c r="L1548" s="16">
        <f>IF(NOT(Paths!$C$147=1),0,IF(Paths!$P$147="Complete",IF(C1548=10,Paths!$I$147,0),"n.a."))</f>
        <v>0</v>
      </c>
      <c r="M1548" s="16">
        <f>IF(NOT(Paths!$C$147=1),0,IF(Paths!$P$147="Complete",IF(AND(Paths!$D$147="EV",Paths!$E$147&lt;120,Paths!$E$147+'Operating costs'!$B$65&gt;Paths!$E$147,Paths!$E$147+'Operating costs'!$B$65&lt;=120,IF(Paths!$E$147+'Operating costs'!$B$65=0,C1548=0,AND(C1548&gt;0,Paths!$E$147+'Operating costs'!$B$65&gt;(C1548-1)*12,Paths!$E$147+'Operating costs'!$B$65&lt;=C1548*12))),'Operating costs'!$B$64,0)+IF(AND('Operating costs'!$B$67&gt;0,'Operating costs'!$B$67&lt;=120,OR(Paths!$D$147="ICE",'Operating costs'!$B$67&lt;=Paths!$E$147),IF('Operating costs'!$B$67=0,C1548=0,AND(C1548&gt;0,'Operating costs'!$B$67&gt;(C1548-1)*12,'Operating costs'!$B$67&lt;=C1548*12))),'Operating costs'!$B$66,0),"n.a."))</f>
        <v>0</v>
      </c>
      <c r="N1548" s="16">
        <f>IF(NOT(Paths!$C$147=1),0,IF(Paths!$P$147="Complete",SUM(G1548:I1548)-J1548-K1548-L1548+M1548+IF(C1548=0,Paths!$F$147,0)+IF(IF(Paths!$E$147=0,C1548=0,AND(C1548&gt;0,Paths!$E$147&gt;(C1548-1)*12,Paths!$E$147&lt;=C1548*12)),VLOOKUP(A1548,'Fleet register'!$A$7:$S$106,16,FALSE),0),"n.a."))</f>
        <v>0</v>
      </c>
      <c r="O1548" s="16">
        <f>IF(NOT(Paths!$C$147=1),0,IF(Paths!$P$147="Complete",N1548-IF(C1548=0,Paths!$F$147,0),"n.a."))</f>
        <v>0</v>
      </c>
      <c r="P1548" s="16">
        <f>IF(NOT(Paths!$C$147=1),0,IF(Paths!$P$147="Complete",O1548+L1548,"n.a."))</f>
        <v>0</v>
      </c>
      <c r="Q1548" s="16">
        <f>IF(NOT(Paths!$C$147=1),0,IF(Paths!$P$147="Complete",N1548*(1+'Operating costs'!$B$54)^-C1548,"n.a."))</f>
        <v>0</v>
      </c>
      <c r="R1548" s="16">
        <f>IF(NOT(Paths!$C$147=1),0,IF(Paths!$P$147="Complete",IF(AND(C1548=0,Paths!$E$147=0),I1548-J1548-K1548+VLOOKUP(A1548,'Fleet register'!$A$7:$S$106,15,FALSE)+VLOOKUP(A1548,'Fleet register'!$A$7:$S$106,16,FALSE),0),"n.a."))</f>
        <v>0</v>
      </c>
      <c r="S1548" s="1">
        <f>IF(NOT(Paths!$C$147=1),0,IF(Paths!$P$147="Complete",IF(C1548=0,0,Paths!$S$147*Paths!$R$147),"n.a."))</f>
        <v>0</v>
      </c>
      <c r="T1548" s="1">
        <f>IF(NOT(Paths!$C$147=1),0,IF(Paths!$P$147="Complete",IF(C1548=0,0,VLOOKUP(A1548,'Fleet register'!$A$7:$S$106,9,FALSE)*Paths!$R$147),"n.a."))</f>
        <v>0</v>
      </c>
    </row>
    <row r="1549" spans="1:20" ht="24" customHeight="1">
      <c r="A1549" s="1" t="str">
        <f>Paths!$A$147</f>
        <v>T036</v>
      </c>
      <c r="B1549" s="1">
        <f>Paths!$B$147</f>
        <v>0</v>
      </c>
      <c r="C1549" s="1">
        <v>2</v>
      </c>
      <c r="D1549" s="1">
        <v>147</v>
      </c>
      <c r="E1549" s="1">
        <f>IF(OR(Paths!$C$147=0,C1549=0),0,MAX(0,MIN(C1549*12,Paths!$E$147)-(C1549-1)*12))</f>
        <v>0</v>
      </c>
      <c r="F1549" s="1">
        <f>IF(OR(Paths!$C$147=0,C1549=0),0,12-E1549)</f>
        <v>0</v>
      </c>
      <c r="G1549" s="16">
        <f>IF(NOT(Paths!$C$147=1),0,IF(Paths!$P$147="Complete",E1549/12*(Paths!$J$147*(1+'Operating costs'!$B$51)^MAX(0,C1549-1)+Paths!$K$147*(1+'Operating costs'!$B$53)^MAX(0,C1549-1)),"n.a."))</f>
        <v>0</v>
      </c>
      <c r="H1549" s="16">
        <f>IF(NOT(Paths!$C$147=1),0,IF(Paths!$P$147="Complete",F1549/12*(Paths!$L$147*(1+IF(Paths!$D$147="EV",'Operating costs'!$B$52,'Operating costs'!$B$51))^MAX(0,C1549-1)+Paths!$M$147*(1+'Operating costs'!$B$53)^MAX(0,C1549-1)),"n.a."))</f>
        <v>0</v>
      </c>
      <c r="I1549" s="16">
        <f>IF(NOT(Paths!$C$147=1),0,IF(Paths!$P$147="Complete",IF(IF(Paths!$E$147=0,C1549=0,AND(C1549&gt;0,Paths!$E$147&gt;(C1549-1)*12,Paths!$E$147&lt;=C1549*12)),Paths!$G$147,0),"n.a."))</f>
        <v>0</v>
      </c>
      <c r="J1549" s="16">
        <f>IF(NOT(Paths!$C$147=1),0,IF(Paths!$P$147="Complete",IF(IF(Paths!$E$147=0,C1549=0,AND(C1549&gt;0,Paths!$E$147&gt;(C1549-1)*12,Paths!$E$147&lt;=C1549*12)),Paths!$H$147,0),"n.a."))</f>
        <v>0</v>
      </c>
      <c r="K1549" s="16">
        <f>IF(NOT(Paths!$C$147=1),0,IF(Paths!$P$147="Complete",IF(IF(Paths!$O$147=0,C1549=0,AND(C1549&gt;0,Paths!$O$147&gt;(C1549-1)*12,Paths!$O$147&lt;=C1549*12)),Paths!$N$147,0),"n.a."))</f>
        <v>0</v>
      </c>
      <c r="L1549" s="16">
        <f>IF(NOT(Paths!$C$147=1),0,IF(Paths!$P$147="Complete",IF(C1549=10,Paths!$I$147,0),"n.a."))</f>
        <v>0</v>
      </c>
      <c r="M1549" s="16">
        <f>IF(NOT(Paths!$C$147=1),0,IF(Paths!$P$147="Complete",IF(AND(Paths!$D$147="EV",Paths!$E$147&lt;120,Paths!$E$147+'Operating costs'!$B$65&gt;Paths!$E$147,Paths!$E$147+'Operating costs'!$B$65&lt;=120,IF(Paths!$E$147+'Operating costs'!$B$65=0,C1549=0,AND(C1549&gt;0,Paths!$E$147+'Operating costs'!$B$65&gt;(C1549-1)*12,Paths!$E$147+'Operating costs'!$B$65&lt;=C1549*12))),'Operating costs'!$B$64,0)+IF(AND('Operating costs'!$B$67&gt;0,'Operating costs'!$B$67&lt;=120,OR(Paths!$D$147="ICE",'Operating costs'!$B$67&lt;=Paths!$E$147),IF('Operating costs'!$B$67=0,C1549=0,AND(C1549&gt;0,'Operating costs'!$B$67&gt;(C1549-1)*12,'Operating costs'!$B$67&lt;=C1549*12))),'Operating costs'!$B$66,0),"n.a."))</f>
        <v>0</v>
      </c>
      <c r="N1549" s="16">
        <f>IF(NOT(Paths!$C$147=1),0,IF(Paths!$P$147="Complete",SUM(G1549:I1549)-J1549-K1549-L1549+M1549+IF(C1549=0,Paths!$F$147,0)+IF(IF(Paths!$E$147=0,C1549=0,AND(C1549&gt;0,Paths!$E$147&gt;(C1549-1)*12,Paths!$E$147&lt;=C1549*12)),VLOOKUP(A1549,'Fleet register'!$A$7:$S$106,16,FALSE),0),"n.a."))</f>
        <v>0</v>
      </c>
      <c r="O1549" s="16">
        <f>IF(NOT(Paths!$C$147=1),0,IF(Paths!$P$147="Complete",N1549-IF(C1549=0,Paths!$F$147,0),"n.a."))</f>
        <v>0</v>
      </c>
      <c r="P1549" s="16">
        <f>IF(NOT(Paths!$C$147=1),0,IF(Paths!$P$147="Complete",O1549+L1549,"n.a."))</f>
        <v>0</v>
      </c>
      <c r="Q1549" s="16">
        <f>IF(NOT(Paths!$C$147=1),0,IF(Paths!$P$147="Complete",N1549*(1+'Operating costs'!$B$54)^-C1549,"n.a."))</f>
        <v>0</v>
      </c>
      <c r="R1549" s="16">
        <f>IF(NOT(Paths!$C$147=1),0,IF(Paths!$P$147="Complete",IF(AND(C1549=0,Paths!$E$147=0),I1549-J1549-K1549+VLOOKUP(A1549,'Fleet register'!$A$7:$S$106,15,FALSE)+VLOOKUP(A1549,'Fleet register'!$A$7:$S$106,16,FALSE),0),"n.a."))</f>
        <v>0</v>
      </c>
      <c r="S1549" s="1">
        <f>IF(NOT(Paths!$C$147=1),0,IF(Paths!$P$147="Complete",IF(C1549=0,0,Paths!$S$147*Paths!$R$147),"n.a."))</f>
        <v>0</v>
      </c>
      <c r="T1549" s="1">
        <f>IF(NOT(Paths!$C$147=1),0,IF(Paths!$P$147="Complete",IF(C1549=0,0,VLOOKUP(A1549,'Fleet register'!$A$7:$S$106,9,FALSE)*Paths!$R$147),"n.a."))</f>
        <v>0</v>
      </c>
    </row>
    <row r="1550" spans="1:20" ht="24" customHeight="1">
      <c r="A1550" s="1" t="str">
        <f>Paths!$A$147</f>
        <v>T036</v>
      </c>
      <c r="B1550" s="1">
        <f>Paths!$B$147</f>
        <v>0</v>
      </c>
      <c r="C1550" s="1">
        <v>3</v>
      </c>
      <c r="D1550" s="1">
        <v>147</v>
      </c>
      <c r="E1550" s="1">
        <f>IF(OR(Paths!$C$147=0,C1550=0),0,MAX(0,MIN(C1550*12,Paths!$E$147)-(C1550-1)*12))</f>
        <v>0</v>
      </c>
      <c r="F1550" s="1">
        <f>IF(OR(Paths!$C$147=0,C1550=0),0,12-E1550)</f>
        <v>0</v>
      </c>
      <c r="G1550" s="16">
        <f>IF(NOT(Paths!$C$147=1),0,IF(Paths!$P$147="Complete",E1550/12*(Paths!$J$147*(1+'Operating costs'!$B$51)^MAX(0,C1550-1)+Paths!$K$147*(1+'Operating costs'!$B$53)^MAX(0,C1550-1)),"n.a."))</f>
        <v>0</v>
      </c>
      <c r="H1550" s="16">
        <f>IF(NOT(Paths!$C$147=1),0,IF(Paths!$P$147="Complete",F1550/12*(Paths!$L$147*(1+IF(Paths!$D$147="EV",'Operating costs'!$B$52,'Operating costs'!$B$51))^MAX(0,C1550-1)+Paths!$M$147*(1+'Operating costs'!$B$53)^MAX(0,C1550-1)),"n.a."))</f>
        <v>0</v>
      </c>
      <c r="I1550" s="16">
        <f>IF(NOT(Paths!$C$147=1),0,IF(Paths!$P$147="Complete",IF(IF(Paths!$E$147=0,C1550=0,AND(C1550&gt;0,Paths!$E$147&gt;(C1550-1)*12,Paths!$E$147&lt;=C1550*12)),Paths!$G$147,0),"n.a."))</f>
        <v>0</v>
      </c>
      <c r="J1550" s="16">
        <f>IF(NOT(Paths!$C$147=1),0,IF(Paths!$P$147="Complete",IF(IF(Paths!$E$147=0,C1550=0,AND(C1550&gt;0,Paths!$E$147&gt;(C1550-1)*12,Paths!$E$147&lt;=C1550*12)),Paths!$H$147,0),"n.a."))</f>
        <v>0</v>
      </c>
      <c r="K1550" s="16">
        <f>IF(NOT(Paths!$C$147=1),0,IF(Paths!$P$147="Complete",IF(IF(Paths!$O$147=0,C1550=0,AND(C1550&gt;0,Paths!$O$147&gt;(C1550-1)*12,Paths!$O$147&lt;=C1550*12)),Paths!$N$147,0),"n.a."))</f>
        <v>0</v>
      </c>
      <c r="L1550" s="16">
        <f>IF(NOT(Paths!$C$147=1),0,IF(Paths!$P$147="Complete",IF(C1550=10,Paths!$I$147,0),"n.a."))</f>
        <v>0</v>
      </c>
      <c r="M1550" s="16">
        <f>IF(NOT(Paths!$C$147=1),0,IF(Paths!$P$147="Complete",IF(AND(Paths!$D$147="EV",Paths!$E$147&lt;120,Paths!$E$147+'Operating costs'!$B$65&gt;Paths!$E$147,Paths!$E$147+'Operating costs'!$B$65&lt;=120,IF(Paths!$E$147+'Operating costs'!$B$65=0,C1550=0,AND(C1550&gt;0,Paths!$E$147+'Operating costs'!$B$65&gt;(C1550-1)*12,Paths!$E$147+'Operating costs'!$B$65&lt;=C1550*12))),'Operating costs'!$B$64,0)+IF(AND('Operating costs'!$B$67&gt;0,'Operating costs'!$B$67&lt;=120,OR(Paths!$D$147="ICE",'Operating costs'!$B$67&lt;=Paths!$E$147),IF('Operating costs'!$B$67=0,C1550=0,AND(C1550&gt;0,'Operating costs'!$B$67&gt;(C1550-1)*12,'Operating costs'!$B$67&lt;=C1550*12))),'Operating costs'!$B$66,0),"n.a."))</f>
        <v>0</v>
      </c>
      <c r="N1550" s="16">
        <f>IF(NOT(Paths!$C$147=1),0,IF(Paths!$P$147="Complete",SUM(G1550:I1550)-J1550-K1550-L1550+M1550+IF(C1550=0,Paths!$F$147,0)+IF(IF(Paths!$E$147=0,C1550=0,AND(C1550&gt;0,Paths!$E$147&gt;(C1550-1)*12,Paths!$E$147&lt;=C1550*12)),VLOOKUP(A1550,'Fleet register'!$A$7:$S$106,16,FALSE),0),"n.a."))</f>
        <v>0</v>
      </c>
      <c r="O1550" s="16">
        <f>IF(NOT(Paths!$C$147=1),0,IF(Paths!$P$147="Complete",N1550-IF(C1550=0,Paths!$F$147,0),"n.a."))</f>
        <v>0</v>
      </c>
      <c r="P1550" s="16">
        <f>IF(NOT(Paths!$C$147=1),0,IF(Paths!$P$147="Complete",O1550+L1550,"n.a."))</f>
        <v>0</v>
      </c>
      <c r="Q1550" s="16">
        <f>IF(NOT(Paths!$C$147=1),0,IF(Paths!$P$147="Complete",N1550*(1+'Operating costs'!$B$54)^-C1550,"n.a."))</f>
        <v>0</v>
      </c>
      <c r="R1550" s="16">
        <f>IF(NOT(Paths!$C$147=1),0,IF(Paths!$P$147="Complete",IF(AND(C1550=0,Paths!$E$147=0),I1550-J1550-K1550+VLOOKUP(A1550,'Fleet register'!$A$7:$S$106,15,FALSE)+VLOOKUP(A1550,'Fleet register'!$A$7:$S$106,16,FALSE),0),"n.a."))</f>
        <v>0</v>
      </c>
      <c r="S1550" s="1">
        <f>IF(NOT(Paths!$C$147=1),0,IF(Paths!$P$147="Complete",IF(C1550=0,0,Paths!$S$147*Paths!$R$147),"n.a."))</f>
        <v>0</v>
      </c>
      <c r="T1550" s="1">
        <f>IF(NOT(Paths!$C$147=1),0,IF(Paths!$P$147="Complete",IF(C1550=0,0,VLOOKUP(A1550,'Fleet register'!$A$7:$S$106,9,FALSE)*Paths!$R$147),"n.a."))</f>
        <v>0</v>
      </c>
    </row>
    <row r="1551" spans="1:20" ht="24" customHeight="1">
      <c r="A1551" s="1" t="str">
        <f>Paths!$A$147</f>
        <v>T036</v>
      </c>
      <c r="B1551" s="1">
        <f>Paths!$B$147</f>
        <v>0</v>
      </c>
      <c r="C1551" s="1">
        <v>4</v>
      </c>
      <c r="D1551" s="1">
        <v>147</v>
      </c>
      <c r="E1551" s="1">
        <f>IF(OR(Paths!$C$147=0,C1551=0),0,MAX(0,MIN(C1551*12,Paths!$E$147)-(C1551-1)*12))</f>
        <v>0</v>
      </c>
      <c r="F1551" s="1">
        <f>IF(OR(Paths!$C$147=0,C1551=0),0,12-E1551)</f>
        <v>0</v>
      </c>
      <c r="G1551" s="16">
        <f>IF(NOT(Paths!$C$147=1),0,IF(Paths!$P$147="Complete",E1551/12*(Paths!$J$147*(1+'Operating costs'!$B$51)^MAX(0,C1551-1)+Paths!$K$147*(1+'Operating costs'!$B$53)^MAX(0,C1551-1)),"n.a."))</f>
        <v>0</v>
      </c>
      <c r="H1551" s="16">
        <f>IF(NOT(Paths!$C$147=1),0,IF(Paths!$P$147="Complete",F1551/12*(Paths!$L$147*(1+IF(Paths!$D$147="EV",'Operating costs'!$B$52,'Operating costs'!$B$51))^MAX(0,C1551-1)+Paths!$M$147*(1+'Operating costs'!$B$53)^MAX(0,C1551-1)),"n.a."))</f>
        <v>0</v>
      </c>
      <c r="I1551" s="16">
        <f>IF(NOT(Paths!$C$147=1),0,IF(Paths!$P$147="Complete",IF(IF(Paths!$E$147=0,C1551=0,AND(C1551&gt;0,Paths!$E$147&gt;(C1551-1)*12,Paths!$E$147&lt;=C1551*12)),Paths!$G$147,0),"n.a."))</f>
        <v>0</v>
      </c>
      <c r="J1551" s="16">
        <f>IF(NOT(Paths!$C$147=1),0,IF(Paths!$P$147="Complete",IF(IF(Paths!$E$147=0,C1551=0,AND(C1551&gt;0,Paths!$E$147&gt;(C1551-1)*12,Paths!$E$147&lt;=C1551*12)),Paths!$H$147,0),"n.a."))</f>
        <v>0</v>
      </c>
      <c r="K1551" s="16">
        <f>IF(NOT(Paths!$C$147=1),0,IF(Paths!$P$147="Complete",IF(IF(Paths!$O$147=0,C1551=0,AND(C1551&gt;0,Paths!$O$147&gt;(C1551-1)*12,Paths!$O$147&lt;=C1551*12)),Paths!$N$147,0),"n.a."))</f>
        <v>0</v>
      </c>
      <c r="L1551" s="16">
        <f>IF(NOT(Paths!$C$147=1),0,IF(Paths!$P$147="Complete",IF(C1551=10,Paths!$I$147,0),"n.a."))</f>
        <v>0</v>
      </c>
      <c r="M1551" s="16">
        <f>IF(NOT(Paths!$C$147=1),0,IF(Paths!$P$147="Complete",IF(AND(Paths!$D$147="EV",Paths!$E$147&lt;120,Paths!$E$147+'Operating costs'!$B$65&gt;Paths!$E$147,Paths!$E$147+'Operating costs'!$B$65&lt;=120,IF(Paths!$E$147+'Operating costs'!$B$65=0,C1551=0,AND(C1551&gt;0,Paths!$E$147+'Operating costs'!$B$65&gt;(C1551-1)*12,Paths!$E$147+'Operating costs'!$B$65&lt;=C1551*12))),'Operating costs'!$B$64,0)+IF(AND('Operating costs'!$B$67&gt;0,'Operating costs'!$B$67&lt;=120,OR(Paths!$D$147="ICE",'Operating costs'!$B$67&lt;=Paths!$E$147),IF('Operating costs'!$B$67=0,C1551=0,AND(C1551&gt;0,'Operating costs'!$B$67&gt;(C1551-1)*12,'Operating costs'!$B$67&lt;=C1551*12))),'Operating costs'!$B$66,0),"n.a."))</f>
        <v>0</v>
      </c>
      <c r="N1551" s="16">
        <f>IF(NOT(Paths!$C$147=1),0,IF(Paths!$P$147="Complete",SUM(G1551:I1551)-J1551-K1551-L1551+M1551+IF(C1551=0,Paths!$F$147,0)+IF(IF(Paths!$E$147=0,C1551=0,AND(C1551&gt;0,Paths!$E$147&gt;(C1551-1)*12,Paths!$E$147&lt;=C1551*12)),VLOOKUP(A1551,'Fleet register'!$A$7:$S$106,16,FALSE),0),"n.a."))</f>
        <v>0</v>
      </c>
      <c r="O1551" s="16">
        <f>IF(NOT(Paths!$C$147=1),0,IF(Paths!$P$147="Complete",N1551-IF(C1551=0,Paths!$F$147,0),"n.a."))</f>
        <v>0</v>
      </c>
      <c r="P1551" s="16">
        <f>IF(NOT(Paths!$C$147=1),0,IF(Paths!$P$147="Complete",O1551+L1551,"n.a."))</f>
        <v>0</v>
      </c>
      <c r="Q1551" s="16">
        <f>IF(NOT(Paths!$C$147=1),0,IF(Paths!$P$147="Complete",N1551*(1+'Operating costs'!$B$54)^-C1551,"n.a."))</f>
        <v>0</v>
      </c>
      <c r="R1551" s="16">
        <f>IF(NOT(Paths!$C$147=1),0,IF(Paths!$P$147="Complete",IF(AND(C1551=0,Paths!$E$147=0),I1551-J1551-K1551+VLOOKUP(A1551,'Fleet register'!$A$7:$S$106,15,FALSE)+VLOOKUP(A1551,'Fleet register'!$A$7:$S$106,16,FALSE),0),"n.a."))</f>
        <v>0</v>
      </c>
      <c r="S1551" s="1">
        <f>IF(NOT(Paths!$C$147=1),0,IF(Paths!$P$147="Complete",IF(C1551=0,0,Paths!$S$147*Paths!$R$147),"n.a."))</f>
        <v>0</v>
      </c>
      <c r="T1551" s="1">
        <f>IF(NOT(Paths!$C$147=1),0,IF(Paths!$P$147="Complete",IF(C1551=0,0,VLOOKUP(A1551,'Fleet register'!$A$7:$S$106,9,FALSE)*Paths!$R$147),"n.a."))</f>
        <v>0</v>
      </c>
    </row>
    <row r="1552" spans="1:20" ht="24" customHeight="1">
      <c r="A1552" s="1" t="str">
        <f>Paths!$A$147</f>
        <v>T036</v>
      </c>
      <c r="B1552" s="1">
        <f>Paths!$B$147</f>
        <v>0</v>
      </c>
      <c r="C1552" s="1">
        <v>5</v>
      </c>
      <c r="D1552" s="1">
        <v>147</v>
      </c>
      <c r="E1552" s="1">
        <f>IF(OR(Paths!$C$147=0,C1552=0),0,MAX(0,MIN(C1552*12,Paths!$E$147)-(C1552-1)*12))</f>
        <v>0</v>
      </c>
      <c r="F1552" s="1">
        <f>IF(OR(Paths!$C$147=0,C1552=0),0,12-E1552)</f>
        <v>0</v>
      </c>
      <c r="G1552" s="16">
        <f>IF(NOT(Paths!$C$147=1),0,IF(Paths!$P$147="Complete",E1552/12*(Paths!$J$147*(1+'Operating costs'!$B$51)^MAX(0,C1552-1)+Paths!$K$147*(1+'Operating costs'!$B$53)^MAX(0,C1552-1)),"n.a."))</f>
        <v>0</v>
      </c>
      <c r="H1552" s="16">
        <f>IF(NOT(Paths!$C$147=1),0,IF(Paths!$P$147="Complete",F1552/12*(Paths!$L$147*(1+IF(Paths!$D$147="EV",'Operating costs'!$B$52,'Operating costs'!$B$51))^MAX(0,C1552-1)+Paths!$M$147*(1+'Operating costs'!$B$53)^MAX(0,C1552-1)),"n.a."))</f>
        <v>0</v>
      </c>
      <c r="I1552" s="16">
        <f>IF(NOT(Paths!$C$147=1),0,IF(Paths!$P$147="Complete",IF(IF(Paths!$E$147=0,C1552=0,AND(C1552&gt;0,Paths!$E$147&gt;(C1552-1)*12,Paths!$E$147&lt;=C1552*12)),Paths!$G$147,0),"n.a."))</f>
        <v>0</v>
      </c>
      <c r="J1552" s="16">
        <f>IF(NOT(Paths!$C$147=1),0,IF(Paths!$P$147="Complete",IF(IF(Paths!$E$147=0,C1552=0,AND(C1552&gt;0,Paths!$E$147&gt;(C1552-1)*12,Paths!$E$147&lt;=C1552*12)),Paths!$H$147,0),"n.a."))</f>
        <v>0</v>
      </c>
      <c r="K1552" s="16">
        <f>IF(NOT(Paths!$C$147=1),0,IF(Paths!$P$147="Complete",IF(IF(Paths!$O$147=0,C1552=0,AND(C1552&gt;0,Paths!$O$147&gt;(C1552-1)*12,Paths!$O$147&lt;=C1552*12)),Paths!$N$147,0),"n.a."))</f>
        <v>0</v>
      </c>
      <c r="L1552" s="16">
        <f>IF(NOT(Paths!$C$147=1),0,IF(Paths!$P$147="Complete",IF(C1552=10,Paths!$I$147,0),"n.a."))</f>
        <v>0</v>
      </c>
      <c r="M1552" s="16">
        <f>IF(NOT(Paths!$C$147=1),0,IF(Paths!$P$147="Complete",IF(AND(Paths!$D$147="EV",Paths!$E$147&lt;120,Paths!$E$147+'Operating costs'!$B$65&gt;Paths!$E$147,Paths!$E$147+'Operating costs'!$B$65&lt;=120,IF(Paths!$E$147+'Operating costs'!$B$65=0,C1552=0,AND(C1552&gt;0,Paths!$E$147+'Operating costs'!$B$65&gt;(C1552-1)*12,Paths!$E$147+'Operating costs'!$B$65&lt;=C1552*12))),'Operating costs'!$B$64,0)+IF(AND('Operating costs'!$B$67&gt;0,'Operating costs'!$B$67&lt;=120,OR(Paths!$D$147="ICE",'Operating costs'!$B$67&lt;=Paths!$E$147),IF('Operating costs'!$B$67=0,C1552=0,AND(C1552&gt;0,'Operating costs'!$B$67&gt;(C1552-1)*12,'Operating costs'!$B$67&lt;=C1552*12))),'Operating costs'!$B$66,0),"n.a."))</f>
        <v>0</v>
      </c>
      <c r="N1552" s="16">
        <f>IF(NOT(Paths!$C$147=1),0,IF(Paths!$P$147="Complete",SUM(G1552:I1552)-J1552-K1552-L1552+M1552+IF(C1552=0,Paths!$F$147,0)+IF(IF(Paths!$E$147=0,C1552=0,AND(C1552&gt;0,Paths!$E$147&gt;(C1552-1)*12,Paths!$E$147&lt;=C1552*12)),VLOOKUP(A1552,'Fleet register'!$A$7:$S$106,16,FALSE),0),"n.a."))</f>
        <v>0</v>
      </c>
      <c r="O1552" s="16">
        <f>IF(NOT(Paths!$C$147=1),0,IF(Paths!$P$147="Complete",N1552-IF(C1552=0,Paths!$F$147,0),"n.a."))</f>
        <v>0</v>
      </c>
      <c r="P1552" s="16">
        <f>IF(NOT(Paths!$C$147=1),0,IF(Paths!$P$147="Complete",O1552+L1552,"n.a."))</f>
        <v>0</v>
      </c>
      <c r="Q1552" s="16">
        <f>IF(NOT(Paths!$C$147=1),0,IF(Paths!$P$147="Complete",N1552*(1+'Operating costs'!$B$54)^-C1552,"n.a."))</f>
        <v>0</v>
      </c>
      <c r="R1552" s="16">
        <f>IF(NOT(Paths!$C$147=1),0,IF(Paths!$P$147="Complete",IF(AND(C1552=0,Paths!$E$147=0),I1552-J1552-K1552+VLOOKUP(A1552,'Fleet register'!$A$7:$S$106,15,FALSE)+VLOOKUP(A1552,'Fleet register'!$A$7:$S$106,16,FALSE),0),"n.a."))</f>
        <v>0</v>
      </c>
      <c r="S1552" s="1">
        <f>IF(NOT(Paths!$C$147=1),0,IF(Paths!$P$147="Complete",IF(C1552=0,0,Paths!$S$147*Paths!$R$147),"n.a."))</f>
        <v>0</v>
      </c>
      <c r="T1552" s="1">
        <f>IF(NOT(Paths!$C$147=1),0,IF(Paths!$P$147="Complete",IF(C1552=0,0,VLOOKUP(A1552,'Fleet register'!$A$7:$S$106,9,FALSE)*Paths!$R$147),"n.a."))</f>
        <v>0</v>
      </c>
    </row>
    <row r="1553" spans="1:20" ht="24" customHeight="1">
      <c r="A1553" s="1" t="str">
        <f>Paths!$A$147</f>
        <v>T036</v>
      </c>
      <c r="B1553" s="1">
        <f>Paths!$B$147</f>
        <v>0</v>
      </c>
      <c r="C1553" s="1">
        <v>6</v>
      </c>
      <c r="D1553" s="1">
        <v>147</v>
      </c>
      <c r="E1553" s="1">
        <f>IF(OR(Paths!$C$147=0,C1553=0),0,MAX(0,MIN(C1553*12,Paths!$E$147)-(C1553-1)*12))</f>
        <v>0</v>
      </c>
      <c r="F1553" s="1">
        <f>IF(OR(Paths!$C$147=0,C1553=0),0,12-E1553)</f>
        <v>0</v>
      </c>
      <c r="G1553" s="16">
        <f>IF(NOT(Paths!$C$147=1),0,IF(Paths!$P$147="Complete",E1553/12*(Paths!$J$147*(1+'Operating costs'!$B$51)^MAX(0,C1553-1)+Paths!$K$147*(1+'Operating costs'!$B$53)^MAX(0,C1553-1)),"n.a."))</f>
        <v>0</v>
      </c>
      <c r="H1553" s="16">
        <f>IF(NOT(Paths!$C$147=1),0,IF(Paths!$P$147="Complete",F1553/12*(Paths!$L$147*(1+IF(Paths!$D$147="EV",'Operating costs'!$B$52,'Operating costs'!$B$51))^MAX(0,C1553-1)+Paths!$M$147*(1+'Operating costs'!$B$53)^MAX(0,C1553-1)),"n.a."))</f>
        <v>0</v>
      </c>
      <c r="I1553" s="16">
        <f>IF(NOT(Paths!$C$147=1),0,IF(Paths!$P$147="Complete",IF(IF(Paths!$E$147=0,C1553=0,AND(C1553&gt;0,Paths!$E$147&gt;(C1553-1)*12,Paths!$E$147&lt;=C1553*12)),Paths!$G$147,0),"n.a."))</f>
        <v>0</v>
      </c>
      <c r="J1553" s="16">
        <f>IF(NOT(Paths!$C$147=1),0,IF(Paths!$P$147="Complete",IF(IF(Paths!$E$147=0,C1553=0,AND(C1553&gt;0,Paths!$E$147&gt;(C1553-1)*12,Paths!$E$147&lt;=C1553*12)),Paths!$H$147,0),"n.a."))</f>
        <v>0</v>
      </c>
      <c r="K1553" s="16">
        <f>IF(NOT(Paths!$C$147=1),0,IF(Paths!$P$147="Complete",IF(IF(Paths!$O$147=0,C1553=0,AND(C1553&gt;0,Paths!$O$147&gt;(C1553-1)*12,Paths!$O$147&lt;=C1553*12)),Paths!$N$147,0),"n.a."))</f>
        <v>0</v>
      </c>
      <c r="L1553" s="16">
        <f>IF(NOT(Paths!$C$147=1),0,IF(Paths!$P$147="Complete",IF(C1553=10,Paths!$I$147,0),"n.a."))</f>
        <v>0</v>
      </c>
      <c r="M1553" s="16">
        <f>IF(NOT(Paths!$C$147=1),0,IF(Paths!$P$147="Complete",IF(AND(Paths!$D$147="EV",Paths!$E$147&lt;120,Paths!$E$147+'Operating costs'!$B$65&gt;Paths!$E$147,Paths!$E$147+'Operating costs'!$B$65&lt;=120,IF(Paths!$E$147+'Operating costs'!$B$65=0,C1553=0,AND(C1553&gt;0,Paths!$E$147+'Operating costs'!$B$65&gt;(C1553-1)*12,Paths!$E$147+'Operating costs'!$B$65&lt;=C1553*12))),'Operating costs'!$B$64,0)+IF(AND('Operating costs'!$B$67&gt;0,'Operating costs'!$B$67&lt;=120,OR(Paths!$D$147="ICE",'Operating costs'!$B$67&lt;=Paths!$E$147),IF('Operating costs'!$B$67=0,C1553=0,AND(C1553&gt;0,'Operating costs'!$B$67&gt;(C1553-1)*12,'Operating costs'!$B$67&lt;=C1553*12))),'Operating costs'!$B$66,0),"n.a."))</f>
        <v>0</v>
      </c>
      <c r="N1553" s="16">
        <f>IF(NOT(Paths!$C$147=1),0,IF(Paths!$P$147="Complete",SUM(G1553:I1553)-J1553-K1553-L1553+M1553+IF(C1553=0,Paths!$F$147,0)+IF(IF(Paths!$E$147=0,C1553=0,AND(C1553&gt;0,Paths!$E$147&gt;(C1553-1)*12,Paths!$E$147&lt;=C1553*12)),VLOOKUP(A1553,'Fleet register'!$A$7:$S$106,16,FALSE),0),"n.a."))</f>
        <v>0</v>
      </c>
      <c r="O1553" s="16">
        <f>IF(NOT(Paths!$C$147=1),0,IF(Paths!$P$147="Complete",N1553-IF(C1553=0,Paths!$F$147,0),"n.a."))</f>
        <v>0</v>
      </c>
      <c r="P1553" s="16">
        <f>IF(NOT(Paths!$C$147=1),0,IF(Paths!$P$147="Complete",O1553+L1553,"n.a."))</f>
        <v>0</v>
      </c>
      <c r="Q1553" s="16">
        <f>IF(NOT(Paths!$C$147=1),0,IF(Paths!$P$147="Complete",N1553*(1+'Operating costs'!$B$54)^-C1553,"n.a."))</f>
        <v>0</v>
      </c>
      <c r="R1553" s="16">
        <f>IF(NOT(Paths!$C$147=1),0,IF(Paths!$P$147="Complete",IF(AND(C1553=0,Paths!$E$147=0),I1553-J1553-K1553+VLOOKUP(A1553,'Fleet register'!$A$7:$S$106,15,FALSE)+VLOOKUP(A1553,'Fleet register'!$A$7:$S$106,16,FALSE),0),"n.a."))</f>
        <v>0</v>
      </c>
      <c r="S1553" s="1">
        <f>IF(NOT(Paths!$C$147=1),0,IF(Paths!$P$147="Complete",IF(C1553=0,0,Paths!$S$147*Paths!$R$147),"n.a."))</f>
        <v>0</v>
      </c>
      <c r="T1553" s="1">
        <f>IF(NOT(Paths!$C$147=1),0,IF(Paths!$P$147="Complete",IF(C1553=0,0,VLOOKUP(A1553,'Fleet register'!$A$7:$S$106,9,FALSE)*Paths!$R$147),"n.a."))</f>
        <v>0</v>
      </c>
    </row>
    <row r="1554" spans="1:20" ht="24" customHeight="1">
      <c r="A1554" s="1" t="str">
        <f>Paths!$A$147</f>
        <v>T036</v>
      </c>
      <c r="B1554" s="1">
        <f>Paths!$B$147</f>
        <v>0</v>
      </c>
      <c r="C1554" s="1">
        <v>7</v>
      </c>
      <c r="D1554" s="1">
        <v>147</v>
      </c>
      <c r="E1554" s="1">
        <f>IF(OR(Paths!$C$147=0,C1554=0),0,MAX(0,MIN(C1554*12,Paths!$E$147)-(C1554-1)*12))</f>
        <v>0</v>
      </c>
      <c r="F1554" s="1">
        <f>IF(OR(Paths!$C$147=0,C1554=0),0,12-E1554)</f>
        <v>0</v>
      </c>
      <c r="G1554" s="16">
        <f>IF(NOT(Paths!$C$147=1),0,IF(Paths!$P$147="Complete",E1554/12*(Paths!$J$147*(1+'Operating costs'!$B$51)^MAX(0,C1554-1)+Paths!$K$147*(1+'Operating costs'!$B$53)^MAX(0,C1554-1)),"n.a."))</f>
        <v>0</v>
      </c>
      <c r="H1554" s="16">
        <f>IF(NOT(Paths!$C$147=1),0,IF(Paths!$P$147="Complete",F1554/12*(Paths!$L$147*(1+IF(Paths!$D$147="EV",'Operating costs'!$B$52,'Operating costs'!$B$51))^MAX(0,C1554-1)+Paths!$M$147*(1+'Operating costs'!$B$53)^MAX(0,C1554-1)),"n.a."))</f>
        <v>0</v>
      </c>
      <c r="I1554" s="16">
        <f>IF(NOT(Paths!$C$147=1),0,IF(Paths!$P$147="Complete",IF(IF(Paths!$E$147=0,C1554=0,AND(C1554&gt;0,Paths!$E$147&gt;(C1554-1)*12,Paths!$E$147&lt;=C1554*12)),Paths!$G$147,0),"n.a."))</f>
        <v>0</v>
      </c>
      <c r="J1554" s="16">
        <f>IF(NOT(Paths!$C$147=1),0,IF(Paths!$P$147="Complete",IF(IF(Paths!$E$147=0,C1554=0,AND(C1554&gt;0,Paths!$E$147&gt;(C1554-1)*12,Paths!$E$147&lt;=C1554*12)),Paths!$H$147,0),"n.a."))</f>
        <v>0</v>
      </c>
      <c r="K1554" s="16">
        <f>IF(NOT(Paths!$C$147=1),0,IF(Paths!$P$147="Complete",IF(IF(Paths!$O$147=0,C1554=0,AND(C1554&gt;0,Paths!$O$147&gt;(C1554-1)*12,Paths!$O$147&lt;=C1554*12)),Paths!$N$147,0),"n.a."))</f>
        <v>0</v>
      </c>
      <c r="L1554" s="16">
        <f>IF(NOT(Paths!$C$147=1),0,IF(Paths!$P$147="Complete",IF(C1554=10,Paths!$I$147,0),"n.a."))</f>
        <v>0</v>
      </c>
      <c r="M1554" s="16">
        <f>IF(NOT(Paths!$C$147=1),0,IF(Paths!$P$147="Complete",IF(AND(Paths!$D$147="EV",Paths!$E$147&lt;120,Paths!$E$147+'Operating costs'!$B$65&gt;Paths!$E$147,Paths!$E$147+'Operating costs'!$B$65&lt;=120,IF(Paths!$E$147+'Operating costs'!$B$65=0,C1554=0,AND(C1554&gt;0,Paths!$E$147+'Operating costs'!$B$65&gt;(C1554-1)*12,Paths!$E$147+'Operating costs'!$B$65&lt;=C1554*12))),'Operating costs'!$B$64,0)+IF(AND('Operating costs'!$B$67&gt;0,'Operating costs'!$B$67&lt;=120,OR(Paths!$D$147="ICE",'Operating costs'!$B$67&lt;=Paths!$E$147),IF('Operating costs'!$B$67=0,C1554=0,AND(C1554&gt;0,'Operating costs'!$B$67&gt;(C1554-1)*12,'Operating costs'!$B$67&lt;=C1554*12))),'Operating costs'!$B$66,0),"n.a."))</f>
        <v>0</v>
      </c>
      <c r="N1554" s="16">
        <f>IF(NOT(Paths!$C$147=1),0,IF(Paths!$P$147="Complete",SUM(G1554:I1554)-J1554-K1554-L1554+M1554+IF(C1554=0,Paths!$F$147,0)+IF(IF(Paths!$E$147=0,C1554=0,AND(C1554&gt;0,Paths!$E$147&gt;(C1554-1)*12,Paths!$E$147&lt;=C1554*12)),VLOOKUP(A1554,'Fleet register'!$A$7:$S$106,16,FALSE),0),"n.a."))</f>
        <v>0</v>
      </c>
      <c r="O1554" s="16">
        <f>IF(NOT(Paths!$C$147=1),0,IF(Paths!$P$147="Complete",N1554-IF(C1554=0,Paths!$F$147,0),"n.a."))</f>
        <v>0</v>
      </c>
      <c r="P1554" s="16">
        <f>IF(NOT(Paths!$C$147=1),0,IF(Paths!$P$147="Complete",O1554+L1554,"n.a."))</f>
        <v>0</v>
      </c>
      <c r="Q1554" s="16">
        <f>IF(NOT(Paths!$C$147=1),0,IF(Paths!$P$147="Complete",N1554*(1+'Operating costs'!$B$54)^-C1554,"n.a."))</f>
        <v>0</v>
      </c>
      <c r="R1554" s="16">
        <f>IF(NOT(Paths!$C$147=1),0,IF(Paths!$P$147="Complete",IF(AND(C1554=0,Paths!$E$147=0),I1554-J1554-K1554+VLOOKUP(A1554,'Fleet register'!$A$7:$S$106,15,FALSE)+VLOOKUP(A1554,'Fleet register'!$A$7:$S$106,16,FALSE),0),"n.a."))</f>
        <v>0</v>
      </c>
      <c r="S1554" s="1">
        <f>IF(NOT(Paths!$C$147=1),0,IF(Paths!$P$147="Complete",IF(C1554=0,0,Paths!$S$147*Paths!$R$147),"n.a."))</f>
        <v>0</v>
      </c>
      <c r="T1554" s="1">
        <f>IF(NOT(Paths!$C$147=1),0,IF(Paths!$P$147="Complete",IF(C1554=0,0,VLOOKUP(A1554,'Fleet register'!$A$7:$S$106,9,FALSE)*Paths!$R$147),"n.a."))</f>
        <v>0</v>
      </c>
    </row>
    <row r="1555" spans="1:20" ht="24" customHeight="1">
      <c r="A1555" s="1" t="str">
        <f>Paths!$A$147</f>
        <v>T036</v>
      </c>
      <c r="B1555" s="1">
        <f>Paths!$B$147</f>
        <v>0</v>
      </c>
      <c r="C1555" s="1">
        <v>8</v>
      </c>
      <c r="D1555" s="1">
        <v>147</v>
      </c>
      <c r="E1555" s="1">
        <f>IF(OR(Paths!$C$147=0,C1555=0),0,MAX(0,MIN(C1555*12,Paths!$E$147)-(C1555-1)*12))</f>
        <v>0</v>
      </c>
      <c r="F1555" s="1">
        <f>IF(OR(Paths!$C$147=0,C1555=0),0,12-E1555)</f>
        <v>0</v>
      </c>
      <c r="G1555" s="16">
        <f>IF(NOT(Paths!$C$147=1),0,IF(Paths!$P$147="Complete",E1555/12*(Paths!$J$147*(1+'Operating costs'!$B$51)^MAX(0,C1555-1)+Paths!$K$147*(1+'Operating costs'!$B$53)^MAX(0,C1555-1)),"n.a."))</f>
        <v>0</v>
      </c>
      <c r="H1555" s="16">
        <f>IF(NOT(Paths!$C$147=1),0,IF(Paths!$P$147="Complete",F1555/12*(Paths!$L$147*(1+IF(Paths!$D$147="EV",'Operating costs'!$B$52,'Operating costs'!$B$51))^MAX(0,C1555-1)+Paths!$M$147*(1+'Operating costs'!$B$53)^MAX(0,C1555-1)),"n.a."))</f>
        <v>0</v>
      </c>
      <c r="I1555" s="16">
        <f>IF(NOT(Paths!$C$147=1),0,IF(Paths!$P$147="Complete",IF(IF(Paths!$E$147=0,C1555=0,AND(C1555&gt;0,Paths!$E$147&gt;(C1555-1)*12,Paths!$E$147&lt;=C1555*12)),Paths!$G$147,0),"n.a."))</f>
        <v>0</v>
      </c>
      <c r="J1555" s="16">
        <f>IF(NOT(Paths!$C$147=1),0,IF(Paths!$P$147="Complete",IF(IF(Paths!$E$147=0,C1555=0,AND(C1555&gt;0,Paths!$E$147&gt;(C1555-1)*12,Paths!$E$147&lt;=C1555*12)),Paths!$H$147,0),"n.a."))</f>
        <v>0</v>
      </c>
      <c r="K1555" s="16">
        <f>IF(NOT(Paths!$C$147=1),0,IF(Paths!$P$147="Complete",IF(IF(Paths!$O$147=0,C1555=0,AND(C1555&gt;0,Paths!$O$147&gt;(C1555-1)*12,Paths!$O$147&lt;=C1555*12)),Paths!$N$147,0),"n.a."))</f>
        <v>0</v>
      </c>
      <c r="L1555" s="16">
        <f>IF(NOT(Paths!$C$147=1),0,IF(Paths!$P$147="Complete",IF(C1555=10,Paths!$I$147,0),"n.a."))</f>
        <v>0</v>
      </c>
      <c r="M1555" s="16">
        <f>IF(NOT(Paths!$C$147=1),0,IF(Paths!$P$147="Complete",IF(AND(Paths!$D$147="EV",Paths!$E$147&lt;120,Paths!$E$147+'Operating costs'!$B$65&gt;Paths!$E$147,Paths!$E$147+'Operating costs'!$B$65&lt;=120,IF(Paths!$E$147+'Operating costs'!$B$65=0,C1555=0,AND(C1555&gt;0,Paths!$E$147+'Operating costs'!$B$65&gt;(C1555-1)*12,Paths!$E$147+'Operating costs'!$B$65&lt;=C1555*12))),'Operating costs'!$B$64,0)+IF(AND('Operating costs'!$B$67&gt;0,'Operating costs'!$B$67&lt;=120,OR(Paths!$D$147="ICE",'Operating costs'!$B$67&lt;=Paths!$E$147),IF('Operating costs'!$B$67=0,C1555=0,AND(C1555&gt;0,'Operating costs'!$B$67&gt;(C1555-1)*12,'Operating costs'!$B$67&lt;=C1555*12))),'Operating costs'!$B$66,0),"n.a."))</f>
        <v>0</v>
      </c>
      <c r="N1555" s="16">
        <f>IF(NOT(Paths!$C$147=1),0,IF(Paths!$P$147="Complete",SUM(G1555:I1555)-J1555-K1555-L1555+M1555+IF(C1555=0,Paths!$F$147,0)+IF(IF(Paths!$E$147=0,C1555=0,AND(C1555&gt;0,Paths!$E$147&gt;(C1555-1)*12,Paths!$E$147&lt;=C1555*12)),VLOOKUP(A1555,'Fleet register'!$A$7:$S$106,16,FALSE),0),"n.a."))</f>
        <v>0</v>
      </c>
      <c r="O1555" s="16">
        <f>IF(NOT(Paths!$C$147=1),0,IF(Paths!$P$147="Complete",N1555-IF(C1555=0,Paths!$F$147,0),"n.a."))</f>
        <v>0</v>
      </c>
      <c r="P1555" s="16">
        <f>IF(NOT(Paths!$C$147=1),0,IF(Paths!$P$147="Complete",O1555+L1555,"n.a."))</f>
        <v>0</v>
      </c>
      <c r="Q1555" s="16">
        <f>IF(NOT(Paths!$C$147=1),0,IF(Paths!$P$147="Complete",N1555*(1+'Operating costs'!$B$54)^-C1555,"n.a."))</f>
        <v>0</v>
      </c>
      <c r="R1555" s="16">
        <f>IF(NOT(Paths!$C$147=1),0,IF(Paths!$P$147="Complete",IF(AND(C1555=0,Paths!$E$147=0),I1555-J1555-K1555+VLOOKUP(A1555,'Fleet register'!$A$7:$S$106,15,FALSE)+VLOOKUP(A1555,'Fleet register'!$A$7:$S$106,16,FALSE),0),"n.a."))</f>
        <v>0</v>
      </c>
      <c r="S1555" s="1">
        <f>IF(NOT(Paths!$C$147=1),0,IF(Paths!$P$147="Complete",IF(C1555=0,0,Paths!$S$147*Paths!$R$147),"n.a."))</f>
        <v>0</v>
      </c>
      <c r="T1555" s="1">
        <f>IF(NOT(Paths!$C$147=1),0,IF(Paths!$P$147="Complete",IF(C1555=0,0,VLOOKUP(A1555,'Fleet register'!$A$7:$S$106,9,FALSE)*Paths!$R$147),"n.a."))</f>
        <v>0</v>
      </c>
    </row>
    <row r="1556" spans="1:20" ht="24" customHeight="1">
      <c r="A1556" s="1" t="str">
        <f>Paths!$A$147</f>
        <v>T036</v>
      </c>
      <c r="B1556" s="1">
        <f>Paths!$B$147</f>
        <v>0</v>
      </c>
      <c r="C1556" s="1">
        <v>9</v>
      </c>
      <c r="D1556" s="1">
        <v>147</v>
      </c>
      <c r="E1556" s="1">
        <f>IF(OR(Paths!$C$147=0,C1556=0),0,MAX(0,MIN(C1556*12,Paths!$E$147)-(C1556-1)*12))</f>
        <v>0</v>
      </c>
      <c r="F1556" s="1">
        <f>IF(OR(Paths!$C$147=0,C1556=0),0,12-E1556)</f>
        <v>0</v>
      </c>
      <c r="G1556" s="16">
        <f>IF(NOT(Paths!$C$147=1),0,IF(Paths!$P$147="Complete",E1556/12*(Paths!$J$147*(1+'Operating costs'!$B$51)^MAX(0,C1556-1)+Paths!$K$147*(1+'Operating costs'!$B$53)^MAX(0,C1556-1)),"n.a."))</f>
        <v>0</v>
      </c>
      <c r="H1556" s="16">
        <f>IF(NOT(Paths!$C$147=1),0,IF(Paths!$P$147="Complete",F1556/12*(Paths!$L$147*(1+IF(Paths!$D$147="EV",'Operating costs'!$B$52,'Operating costs'!$B$51))^MAX(0,C1556-1)+Paths!$M$147*(1+'Operating costs'!$B$53)^MAX(0,C1556-1)),"n.a."))</f>
        <v>0</v>
      </c>
      <c r="I1556" s="16">
        <f>IF(NOT(Paths!$C$147=1),0,IF(Paths!$P$147="Complete",IF(IF(Paths!$E$147=0,C1556=0,AND(C1556&gt;0,Paths!$E$147&gt;(C1556-1)*12,Paths!$E$147&lt;=C1556*12)),Paths!$G$147,0),"n.a."))</f>
        <v>0</v>
      </c>
      <c r="J1556" s="16">
        <f>IF(NOT(Paths!$C$147=1),0,IF(Paths!$P$147="Complete",IF(IF(Paths!$E$147=0,C1556=0,AND(C1556&gt;0,Paths!$E$147&gt;(C1556-1)*12,Paths!$E$147&lt;=C1556*12)),Paths!$H$147,0),"n.a."))</f>
        <v>0</v>
      </c>
      <c r="K1556" s="16">
        <f>IF(NOT(Paths!$C$147=1),0,IF(Paths!$P$147="Complete",IF(IF(Paths!$O$147=0,C1556=0,AND(C1556&gt;0,Paths!$O$147&gt;(C1556-1)*12,Paths!$O$147&lt;=C1556*12)),Paths!$N$147,0),"n.a."))</f>
        <v>0</v>
      </c>
      <c r="L1556" s="16">
        <f>IF(NOT(Paths!$C$147=1),0,IF(Paths!$P$147="Complete",IF(C1556=10,Paths!$I$147,0),"n.a."))</f>
        <v>0</v>
      </c>
      <c r="M1556" s="16">
        <f>IF(NOT(Paths!$C$147=1),0,IF(Paths!$P$147="Complete",IF(AND(Paths!$D$147="EV",Paths!$E$147&lt;120,Paths!$E$147+'Operating costs'!$B$65&gt;Paths!$E$147,Paths!$E$147+'Operating costs'!$B$65&lt;=120,IF(Paths!$E$147+'Operating costs'!$B$65=0,C1556=0,AND(C1556&gt;0,Paths!$E$147+'Operating costs'!$B$65&gt;(C1556-1)*12,Paths!$E$147+'Operating costs'!$B$65&lt;=C1556*12))),'Operating costs'!$B$64,0)+IF(AND('Operating costs'!$B$67&gt;0,'Operating costs'!$B$67&lt;=120,OR(Paths!$D$147="ICE",'Operating costs'!$B$67&lt;=Paths!$E$147),IF('Operating costs'!$B$67=0,C1556=0,AND(C1556&gt;0,'Operating costs'!$B$67&gt;(C1556-1)*12,'Operating costs'!$B$67&lt;=C1556*12))),'Operating costs'!$B$66,0),"n.a."))</f>
        <v>0</v>
      </c>
      <c r="N1556" s="16">
        <f>IF(NOT(Paths!$C$147=1),0,IF(Paths!$P$147="Complete",SUM(G1556:I1556)-J1556-K1556-L1556+M1556+IF(C1556=0,Paths!$F$147,0)+IF(IF(Paths!$E$147=0,C1556=0,AND(C1556&gt;0,Paths!$E$147&gt;(C1556-1)*12,Paths!$E$147&lt;=C1556*12)),VLOOKUP(A1556,'Fleet register'!$A$7:$S$106,16,FALSE),0),"n.a."))</f>
        <v>0</v>
      </c>
      <c r="O1556" s="16">
        <f>IF(NOT(Paths!$C$147=1),0,IF(Paths!$P$147="Complete",N1556-IF(C1556=0,Paths!$F$147,0),"n.a."))</f>
        <v>0</v>
      </c>
      <c r="P1556" s="16">
        <f>IF(NOT(Paths!$C$147=1),0,IF(Paths!$P$147="Complete",O1556+L1556,"n.a."))</f>
        <v>0</v>
      </c>
      <c r="Q1556" s="16">
        <f>IF(NOT(Paths!$C$147=1),0,IF(Paths!$P$147="Complete",N1556*(1+'Operating costs'!$B$54)^-C1556,"n.a."))</f>
        <v>0</v>
      </c>
      <c r="R1556" s="16">
        <f>IF(NOT(Paths!$C$147=1),0,IF(Paths!$P$147="Complete",IF(AND(C1556=0,Paths!$E$147=0),I1556-J1556-K1556+VLOOKUP(A1556,'Fleet register'!$A$7:$S$106,15,FALSE)+VLOOKUP(A1556,'Fleet register'!$A$7:$S$106,16,FALSE),0),"n.a."))</f>
        <v>0</v>
      </c>
      <c r="S1556" s="1">
        <f>IF(NOT(Paths!$C$147=1),0,IF(Paths!$P$147="Complete",IF(C1556=0,0,Paths!$S$147*Paths!$R$147),"n.a."))</f>
        <v>0</v>
      </c>
      <c r="T1556" s="1">
        <f>IF(NOT(Paths!$C$147=1),0,IF(Paths!$P$147="Complete",IF(C1556=0,0,VLOOKUP(A1556,'Fleet register'!$A$7:$S$106,9,FALSE)*Paths!$R$147),"n.a."))</f>
        <v>0</v>
      </c>
    </row>
    <row r="1557" spans="1:20" ht="24" customHeight="1">
      <c r="A1557" s="1" t="str">
        <f>Paths!$A$147</f>
        <v>T036</v>
      </c>
      <c r="B1557" s="1">
        <f>Paths!$B$147</f>
        <v>0</v>
      </c>
      <c r="C1557" s="1">
        <v>10</v>
      </c>
      <c r="D1557" s="1">
        <v>147</v>
      </c>
      <c r="E1557" s="1">
        <f>IF(OR(Paths!$C$147=0,C1557=0),0,MAX(0,MIN(C1557*12,Paths!$E$147)-(C1557-1)*12))</f>
        <v>0</v>
      </c>
      <c r="F1557" s="1">
        <f>IF(OR(Paths!$C$147=0,C1557=0),0,12-E1557)</f>
        <v>0</v>
      </c>
      <c r="G1557" s="16">
        <f>IF(NOT(Paths!$C$147=1),0,IF(Paths!$P$147="Complete",E1557/12*(Paths!$J$147*(1+'Operating costs'!$B$51)^MAX(0,C1557-1)+Paths!$K$147*(1+'Operating costs'!$B$53)^MAX(0,C1557-1)),"n.a."))</f>
        <v>0</v>
      </c>
      <c r="H1557" s="16">
        <f>IF(NOT(Paths!$C$147=1),0,IF(Paths!$P$147="Complete",F1557/12*(Paths!$L$147*(1+IF(Paths!$D$147="EV",'Operating costs'!$B$52,'Operating costs'!$B$51))^MAX(0,C1557-1)+Paths!$M$147*(1+'Operating costs'!$B$53)^MAX(0,C1557-1)),"n.a."))</f>
        <v>0</v>
      </c>
      <c r="I1557" s="16">
        <f>IF(NOT(Paths!$C$147=1),0,IF(Paths!$P$147="Complete",IF(IF(Paths!$E$147=0,C1557=0,AND(C1557&gt;0,Paths!$E$147&gt;(C1557-1)*12,Paths!$E$147&lt;=C1557*12)),Paths!$G$147,0),"n.a."))</f>
        <v>0</v>
      </c>
      <c r="J1557" s="16">
        <f>IF(NOT(Paths!$C$147=1),0,IF(Paths!$P$147="Complete",IF(IF(Paths!$E$147=0,C1557=0,AND(C1557&gt;0,Paths!$E$147&gt;(C1557-1)*12,Paths!$E$147&lt;=C1557*12)),Paths!$H$147,0),"n.a."))</f>
        <v>0</v>
      </c>
      <c r="K1557" s="16">
        <f>IF(NOT(Paths!$C$147=1),0,IF(Paths!$P$147="Complete",IF(IF(Paths!$O$147=0,C1557=0,AND(C1557&gt;0,Paths!$O$147&gt;(C1557-1)*12,Paths!$O$147&lt;=C1557*12)),Paths!$N$147,0),"n.a."))</f>
        <v>0</v>
      </c>
      <c r="L1557" s="16">
        <f>IF(NOT(Paths!$C$147=1),0,IF(Paths!$P$147="Complete",IF(C1557=10,Paths!$I$147,0),"n.a."))</f>
        <v>0</v>
      </c>
      <c r="M1557" s="16">
        <f>IF(NOT(Paths!$C$147=1),0,IF(Paths!$P$147="Complete",IF(AND(Paths!$D$147="EV",Paths!$E$147&lt;120,Paths!$E$147+'Operating costs'!$B$65&gt;Paths!$E$147,Paths!$E$147+'Operating costs'!$B$65&lt;=120,IF(Paths!$E$147+'Operating costs'!$B$65=0,C1557=0,AND(C1557&gt;0,Paths!$E$147+'Operating costs'!$B$65&gt;(C1557-1)*12,Paths!$E$147+'Operating costs'!$B$65&lt;=C1557*12))),'Operating costs'!$B$64,0)+IF(AND('Operating costs'!$B$67&gt;0,'Operating costs'!$B$67&lt;=120,OR(Paths!$D$147="ICE",'Operating costs'!$B$67&lt;=Paths!$E$147),IF('Operating costs'!$B$67=0,C1557=0,AND(C1557&gt;0,'Operating costs'!$B$67&gt;(C1557-1)*12,'Operating costs'!$B$67&lt;=C1557*12))),'Operating costs'!$B$66,0),"n.a."))</f>
        <v>0</v>
      </c>
      <c r="N1557" s="16">
        <f>IF(NOT(Paths!$C$147=1),0,IF(Paths!$P$147="Complete",SUM(G1557:I1557)-J1557-K1557-L1557+M1557+IF(C1557=0,Paths!$F$147,0)+IF(IF(Paths!$E$147=0,C1557=0,AND(C1557&gt;0,Paths!$E$147&gt;(C1557-1)*12,Paths!$E$147&lt;=C1557*12)),VLOOKUP(A1557,'Fleet register'!$A$7:$S$106,16,FALSE),0),"n.a."))</f>
        <v>0</v>
      </c>
      <c r="O1557" s="16">
        <f>IF(NOT(Paths!$C$147=1),0,IF(Paths!$P$147="Complete",N1557-IF(C1557=0,Paths!$F$147,0),"n.a."))</f>
        <v>0</v>
      </c>
      <c r="P1557" s="16">
        <f>IF(NOT(Paths!$C$147=1),0,IF(Paths!$P$147="Complete",O1557+L1557,"n.a."))</f>
        <v>0</v>
      </c>
      <c r="Q1557" s="16">
        <f>IF(NOT(Paths!$C$147=1),0,IF(Paths!$P$147="Complete",N1557*(1+'Operating costs'!$B$54)^-C1557,"n.a."))</f>
        <v>0</v>
      </c>
      <c r="R1557" s="16">
        <f>IF(NOT(Paths!$C$147=1),0,IF(Paths!$P$147="Complete",IF(AND(C1557=0,Paths!$E$147=0),I1557-J1557-K1557+VLOOKUP(A1557,'Fleet register'!$A$7:$S$106,15,FALSE)+VLOOKUP(A1557,'Fleet register'!$A$7:$S$106,16,FALSE),0),"n.a."))</f>
        <v>0</v>
      </c>
      <c r="S1557" s="1">
        <f>IF(NOT(Paths!$C$147=1),0,IF(Paths!$P$147="Complete",IF(C1557=0,0,Paths!$S$147*Paths!$R$147),"n.a."))</f>
        <v>0</v>
      </c>
      <c r="T1557" s="1">
        <f>IF(NOT(Paths!$C$147=1),0,IF(Paths!$P$147="Complete",IF(C1557=0,0,VLOOKUP(A1557,'Fleet register'!$A$7:$S$106,9,FALSE)*Paths!$R$147),"n.a."))</f>
        <v>0</v>
      </c>
    </row>
    <row r="1558" spans="1:20" ht="24" customHeight="1">
      <c r="A1558" s="1" t="str">
        <f>Paths!$A$148</f>
        <v>T036</v>
      </c>
      <c r="B1558" s="1">
        <f>Paths!$B$148</f>
        <v>1</v>
      </c>
      <c r="C1558" s="1">
        <v>0</v>
      </c>
      <c r="D1558" s="1">
        <v>148</v>
      </c>
      <c r="E1558" s="1">
        <f>IF(OR(Paths!$C$148=0,C1558=0),0,MAX(0,MIN(C1558*12,Paths!$E$148)-(C1558-1)*12))</f>
        <v>0</v>
      </c>
      <c r="F1558" s="1">
        <f>IF(OR(Paths!$C$148=0,C1558=0),0,12-E1558)</f>
        <v>0</v>
      </c>
      <c r="G1558" s="16">
        <f>IF(NOT(Paths!$C$148=1),0,IF(Paths!$P$148="Complete",E1558/12*(Paths!$J$148*(1+'Operating costs'!$B$51)^MAX(0,C1558-1)+Paths!$K$148*(1+'Operating costs'!$B$53)^MAX(0,C1558-1)),"n.a."))</f>
        <v>0</v>
      </c>
      <c r="H1558" s="16">
        <f>IF(NOT(Paths!$C$148=1),0,IF(Paths!$P$148="Complete",F1558/12*(Paths!$L$148*(1+IF(Paths!$D$148="EV",'Operating costs'!$B$52,'Operating costs'!$B$51))^MAX(0,C1558-1)+Paths!$M$148*(1+'Operating costs'!$B$53)^MAX(0,C1558-1)),"n.a."))</f>
        <v>0</v>
      </c>
      <c r="I1558" s="16">
        <f>IF(NOT(Paths!$C$148=1),0,IF(Paths!$P$148="Complete",IF(IF(Paths!$E$148=0,C1558=0,AND(C1558&gt;0,Paths!$E$148&gt;(C1558-1)*12,Paths!$E$148&lt;=C1558*12)),Paths!$G$148,0),"n.a."))</f>
        <v>0</v>
      </c>
      <c r="J1558" s="16">
        <f>IF(NOT(Paths!$C$148=1),0,IF(Paths!$P$148="Complete",IF(IF(Paths!$E$148=0,C1558=0,AND(C1558&gt;0,Paths!$E$148&gt;(C1558-1)*12,Paths!$E$148&lt;=C1558*12)),Paths!$H$148,0),"n.a."))</f>
        <v>0</v>
      </c>
      <c r="K1558" s="16">
        <f>IF(NOT(Paths!$C$148=1),0,IF(Paths!$P$148="Complete",IF(IF(Paths!$O$148=0,C1558=0,AND(C1558&gt;0,Paths!$O$148&gt;(C1558-1)*12,Paths!$O$148&lt;=C1558*12)),Paths!$N$148,0),"n.a."))</f>
        <v>0</v>
      </c>
      <c r="L1558" s="16">
        <f>IF(NOT(Paths!$C$148=1),0,IF(Paths!$P$148="Complete",IF(C1558=10,Paths!$I$148,0),"n.a."))</f>
        <v>0</v>
      </c>
      <c r="M1558" s="16">
        <f>IF(NOT(Paths!$C$148=1),0,IF(Paths!$P$148="Complete",IF(AND(Paths!$D$148="EV",Paths!$E$148&lt;120,Paths!$E$148+'Operating costs'!$B$65&gt;Paths!$E$148,Paths!$E$148+'Operating costs'!$B$65&lt;=120,IF(Paths!$E$148+'Operating costs'!$B$65=0,C1558=0,AND(C1558&gt;0,Paths!$E$148+'Operating costs'!$B$65&gt;(C1558-1)*12,Paths!$E$148+'Operating costs'!$B$65&lt;=C1558*12))),'Operating costs'!$B$64,0)+IF(AND('Operating costs'!$B$67&gt;0,'Operating costs'!$B$67&lt;=120,OR(Paths!$D$148="ICE",'Operating costs'!$B$67&lt;=Paths!$E$148),IF('Operating costs'!$B$67=0,C1558=0,AND(C1558&gt;0,'Operating costs'!$B$67&gt;(C1558-1)*12,'Operating costs'!$B$67&lt;=C1558*12))),'Operating costs'!$B$66,0),"n.a."))</f>
        <v>0</v>
      </c>
      <c r="N1558" s="16">
        <f>IF(NOT(Paths!$C$148=1),0,IF(Paths!$P$148="Complete",SUM(G1558:I1558)-J1558-K1558-L1558+M1558+IF(C1558=0,Paths!$F$148,0)+IF(IF(Paths!$E$148=0,C1558=0,AND(C1558&gt;0,Paths!$E$148&gt;(C1558-1)*12,Paths!$E$148&lt;=C1558*12)),VLOOKUP(A1558,'Fleet register'!$A$7:$S$106,16,FALSE),0),"n.a."))</f>
        <v>0</v>
      </c>
      <c r="O1558" s="16">
        <f>IF(NOT(Paths!$C$148=1),0,IF(Paths!$P$148="Complete",N1558-IF(C1558=0,Paths!$F$148,0),"n.a."))</f>
        <v>0</v>
      </c>
      <c r="P1558" s="16">
        <f>IF(NOT(Paths!$C$148=1),0,IF(Paths!$P$148="Complete",O1558+L1558,"n.a."))</f>
        <v>0</v>
      </c>
      <c r="Q1558" s="16">
        <f>IF(NOT(Paths!$C$148=1),0,IF(Paths!$P$148="Complete",N1558*(1+'Operating costs'!$B$54)^-C1558,"n.a."))</f>
        <v>0</v>
      </c>
      <c r="R1558" s="16">
        <f>IF(NOT(Paths!$C$148=1),0,IF(Paths!$P$148="Complete",IF(AND(C1558=0,Paths!$E$148=0),I1558-J1558-K1558+VLOOKUP(A1558,'Fleet register'!$A$7:$S$106,15,FALSE)+VLOOKUP(A1558,'Fleet register'!$A$7:$S$106,16,FALSE),0),"n.a."))</f>
        <v>0</v>
      </c>
      <c r="S1558" s="1">
        <f>IF(NOT(Paths!$C$148=1),0,IF(Paths!$P$148="Complete",IF(C1558=0,0,Paths!$S$148*Paths!$R$148),"n.a."))</f>
        <v>0</v>
      </c>
      <c r="T1558" s="1">
        <f>IF(NOT(Paths!$C$148=1),0,IF(Paths!$P$148="Complete",IF(C1558=0,0,VLOOKUP(A1558,'Fleet register'!$A$7:$S$106,9,FALSE)*Paths!$R$148),"n.a."))</f>
        <v>0</v>
      </c>
    </row>
    <row r="1559" spans="1:20" ht="24" customHeight="1">
      <c r="A1559" s="1" t="str">
        <f>Paths!$A$148</f>
        <v>T036</v>
      </c>
      <c r="B1559" s="1">
        <f>Paths!$B$148</f>
        <v>1</v>
      </c>
      <c r="C1559" s="1">
        <v>1</v>
      </c>
      <c r="D1559" s="1">
        <v>148</v>
      </c>
      <c r="E1559" s="1">
        <f>IF(OR(Paths!$C$148=0,C1559=0),0,MAX(0,MIN(C1559*12,Paths!$E$148)-(C1559-1)*12))</f>
        <v>0</v>
      </c>
      <c r="F1559" s="1">
        <f>IF(OR(Paths!$C$148=0,C1559=0),0,12-E1559)</f>
        <v>0</v>
      </c>
      <c r="G1559" s="16">
        <f>IF(NOT(Paths!$C$148=1),0,IF(Paths!$P$148="Complete",E1559/12*(Paths!$J$148*(1+'Operating costs'!$B$51)^MAX(0,C1559-1)+Paths!$K$148*(1+'Operating costs'!$B$53)^MAX(0,C1559-1)),"n.a."))</f>
        <v>0</v>
      </c>
      <c r="H1559" s="16">
        <f>IF(NOT(Paths!$C$148=1),0,IF(Paths!$P$148="Complete",F1559/12*(Paths!$L$148*(1+IF(Paths!$D$148="EV",'Operating costs'!$B$52,'Operating costs'!$B$51))^MAX(0,C1559-1)+Paths!$M$148*(1+'Operating costs'!$B$53)^MAX(0,C1559-1)),"n.a."))</f>
        <v>0</v>
      </c>
      <c r="I1559" s="16">
        <f>IF(NOT(Paths!$C$148=1),0,IF(Paths!$P$148="Complete",IF(IF(Paths!$E$148=0,C1559=0,AND(C1559&gt;0,Paths!$E$148&gt;(C1559-1)*12,Paths!$E$148&lt;=C1559*12)),Paths!$G$148,0),"n.a."))</f>
        <v>0</v>
      </c>
      <c r="J1559" s="16">
        <f>IF(NOT(Paths!$C$148=1),0,IF(Paths!$P$148="Complete",IF(IF(Paths!$E$148=0,C1559=0,AND(C1559&gt;0,Paths!$E$148&gt;(C1559-1)*12,Paths!$E$148&lt;=C1559*12)),Paths!$H$148,0),"n.a."))</f>
        <v>0</v>
      </c>
      <c r="K1559" s="16">
        <f>IF(NOT(Paths!$C$148=1),0,IF(Paths!$P$148="Complete",IF(IF(Paths!$O$148=0,C1559=0,AND(C1559&gt;0,Paths!$O$148&gt;(C1559-1)*12,Paths!$O$148&lt;=C1559*12)),Paths!$N$148,0),"n.a."))</f>
        <v>0</v>
      </c>
      <c r="L1559" s="16">
        <f>IF(NOT(Paths!$C$148=1),0,IF(Paths!$P$148="Complete",IF(C1559=10,Paths!$I$148,0),"n.a."))</f>
        <v>0</v>
      </c>
      <c r="M1559" s="16">
        <f>IF(NOT(Paths!$C$148=1),0,IF(Paths!$P$148="Complete",IF(AND(Paths!$D$148="EV",Paths!$E$148&lt;120,Paths!$E$148+'Operating costs'!$B$65&gt;Paths!$E$148,Paths!$E$148+'Operating costs'!$B$65&lt;=120,IF(Paths!$E$148+'Operating costs'!$B$65=0,C1559=0,AND(C1559&gt;0,Paths!$E$148+'Operating costs'!$B$65&gt;(C1559-1)*12,Paths!$E$148+'Operating costs'!$B$65&lt;=C1559*12))),'Operating costs'!$B$64,0)+IF(AND('Operating costs'!$B$67&gt;0,'Operating costs'!$B$67&lt;=120,OR(Paths!$D$148="ICE",'Operating costs'!$B$67&lt;=Paths!$E$148),IF('Operating costs'!$B$67=0,C1559=0,AND(C1559&gt;0,'Operating costs'!$B$67&gt;(C1559-1)*12,'Operating costs'!$B$67&lt;=C1559*12))),'Operating costs'!$B$66,0),"n.a."))</f>
        <v>0</v>
      </c>
      <c r="N1559" s="16">
        <f>IF(NOT(Paths!$C$148=1),0,IF(Paths!$P$148="Complete",SUM(G1559:I1559)-J1559-K1559-L1559+M1559+IF(C1559=0,Paths!$F$148,0)+IF(IF(Paths!$E$148=0,C1559=0,AND(C1559&gt;0,Paths!$E$148&gt;(C1559-1)*12,Paths!$E$148&lt;=C1559*12)),VLOOKUP(A1559,'Fleet register'!$A$7:$S$106,16,FALSE),0),"n.a."))</f>
        <v>0</v>
      </c>
      <c r="O1559" s="16">
        <f>IF(NOT(Paths!$C$148=1),0,IF(Paths!$P$148="Complete",N1559-IF(C1559=0,Paths!$F$148,0),"n.a."))</f>
        <v>0</v>
      </c>
      <c r="P1559" s="16">
        <f>IF(NOT(Paths!$C$148=1),0,IF(Paths!$P$148="Complete",O1559+L1559,"n.a."))</f>
        <v>0</v>
      </c>
      <c r="Q1559" s="16">
        <f>IF(NOT(Paths!$C$148=1),0,IF(Paths!$P$148="Complete",N1559*(1+'Operating costs'!$B$54)^-C1559,"n.a."))</f>
        <v>0</v>
      </c>
      <c r="R1559" s="16">
        <f>IF(NOT(Paths!$C$148=1),0,IF(Paths!$P$148="Complete",IF(AND(C1559=0,Paths!$E$148=0),I1559-J1559-K1559+VLOOKUP(A1559,'Fleet register'!$A$7:$S$106,15,FALSE)+VLOOKUP(A1559,'Fleet register'!$A$7:$S$106,16,FALSE),0),"n.a."))</f>
        <v>0</v>
      </c>
      <c r="S1559" s="1">
        <f>IF(NOT(Paths!$C$148=1),0,IF(Paths!$P$148="Complete",IF(C1559=0,0,Paths!$S$148*Paths!$R$148),"n.a."))</f>
        <v>0</v>
      </c>
      <c r="T1559" s="1">
        <f>IF(NOT(Paths!$C$148=1),0,IF(Paths!$P$148="Complete",IF(C1559=0,0,VLOOKUP(A1559,'Fleet register'!$A$7:$S$106,9,FALSE)*Paths!$R$148),"n.a."))</f>
        <v>0</v>
      </c>
    </row>
    <row r="1560" spans="1:20" ht="24" customHeight="1">
      <c r="A1560" s="1" t="str">
        <f>Paths!$A$148</f>
        <v>T036</v>
      </c>
      <c r="B1560" s="1">
        <f>Paths!$B$148</f>
        <v>1</v>
      </c>
      <c r="C1560" s="1">
        <v>2</v>
      </c>
      <c r="D1560" s="1">
        <v>148</v>
      </c>
      <c r="E1560" s="1">
        <f>IF(OR(Paths!$C$148=0,C1560=0),0,MAX(0,MIN(C1560*12,Paths!$E$148)-(C1560-1)*12))</f>
        <v>0</v>
      </c>
      <c r="F1560" s="1">
        <f>IF(OR(Paths!$C$148=0,C1560=0),0,12-E1560)</f>
        <v>0</v>
      </c>
      <c r="G1560" s="16">
        <f>IF(NOT(Paths!$C$148=1),0,IF(Paths!$P$148="Complete",E1560/12*(Paths!$J$148*(1+'Operating costs'!$B$51)^MAX(0,C1560-1)+Paths!$K$148*(1+'Operating costs'!$B$53)^MAX(0,C1560-1)),"n.a."))</f>
        <v>0</v>
      </c>
      <c r="H1560" s="16">
        <f>IF(NOT(Paths!$C$148=1),0,IF(Paths!$P$148="Complete",F1560/12*(Paths!$L$148*(1+IF(Paths!$D$148="EV",'Operating costs'!$B$52,'Operating costs'!$B$51))^MAX(0,C1560-1)+Paths!$M$148*(1+'Operating costs'!$B$53)^MAX(0,C1560-1)),"n.a."))</f>
        <v>0</v>
      </c>
      <c r="I1560" s="16">
        <f>IF(NOT(Paths!$C$148=1),0,IF(Paths!$P$148="Complete",IF(IF(Paths!$E$148=0,C1560=0,AND(C1560&gt;0,Paths!$E$148&gt;(C1560-1)*12,Paths!$E$148&lt;=C1560*12)),Paths!$G$148,0),"n.a."))</f>
        <v>0</v>
      </c>
      <c r="J1560" s="16">
        <f>IF(NOT(Paths!$C$148=1),0,IF(Paths!$P$148="Complete",IF(IF(Paths!$E$148=0,C1560=0,AND(C1560&gt;0,Paths!$E$148&gt;(C1560-1)*12,Paths!$E$148&lt;=C1560*12)),Paths!$H$148,0),"n.a."))</f>
        <v>0</v>
      </c>
      <c r="K1560" s="16">
        <f>IF(NOT(Paths!$C$148=1),0,IF(Paths!$P$148="Complete",IF(IF(Paths!$O$148=0,C1560=0,AND(C1560&gt;0,Paths!$O$148&gt;(C1560-1)*12,Paths!$O$148&lt;=C1560*12)),Paths!$N$148,0),"n.a."))</f>
        <v>0</v>
      </c>
      <c r="L1560" s="16">
        <f>IF(NOT(Paths!$C$148=1),0,IF(Paths!$P$148="Complete",IF(C1560=10,Paths!$I$148,0),"n.a."))</f>
        <v>0</v>
      </c>
      <c r="M1560" s="16">
        <f>IF(NOT(Paths!$C$148=1),0,IF(Paths!$P$148="Complete",IF(AND(Paths!$D$148="EV",Paths!$E$148&lt;120,Paths!$E$148+'Operating costs'!$B$65&gt;Paths!$E$148,Paths!$E$148+'Operating costs'!$B$65&lt;=120,IF(Paths!$E$148+'Operating costs'!$B$65=0,C1560=0,AND(C1560&gt;0,Paths!$E$148+'Operating costs'!$B$65&gt;(C1560-1)*12,Paths!$E$148+'Operating costs'!$B$65&lt;=C1560*12))),'Operating costs'!$B$64,0)+IF(AND('Operating costs'!$B$67&gt;0,'Operating costs'!$B$67&lt;=120,OR(Paths!$D$148="ICE",'Operating costs'!$B$67&lt;=Paths!$E$148),IF('Operating costs'!$B$67=0,C1560=0,AND(C1560&gt;0,'Operating costs'!$B$67&gt;(C1560-1)*12,'Operating costs'!$B$67&lt;=C1560*12))),'Operating costs'!$B$66,0),"n.a."))</f>
        <v>0</v>
      </c>
      <c r="N1560" s="16">
        <f>IF(NOT(Paths!$C$148=1),0,IF(Paths!$P$148="Complete",SUM(G1560:I1560)-J1560-K1560-L1560+M1560+IF(C1560=0,Paths!$F$148,0)+IF(IF(Paths!$E$148=0,C1560=0,AND(C1560&gt;0,Paths!$E$148&gt;(C1560-1)*12,Paths!$E$148&lt;=C1560*12)),VLOOKUP(A1560,'Fleet register'!$A$7:$S$106,16,FALSE),0),"n.a."))</f>
        <v>0</v>
      </c>
      <c r="O1560" s="16">
        <f>IF(NOT(Paths!$C$148=1),0,IF(Paths!$P$148="Complete",N1560-IF(C1560=0,Paths!$F$148,0),"n.a."))</f>
        <v>0</v>
      </c>
      <c r="P1560" s="16">
        <f>IF(NOT(Paths!$C$148=1),0,IF(Paths!$P$148="Complete",O1560+L1560,"n.a."))</f>
        <v>0</v>
      </c>
      <c r="Q1560" s="16">
        <f>IF(NOT(Paths!$C$148=1),0,IF(Paths!$P$148="Complete",N1560*(1+'Operating costs'!$B$54)^-C1560,"n.a."))</f>
        <v>0</v>
      </c>
      <c r="R1560" s="16">
        <f>IF(NOT(Paths!$C$148=1),0,IF(Paths!$P$148="Complete",IF(AND(C1560=0,Paths!$E$148=0),I1560-J1560-K1560+VLOOKUP(A1560,'Fleet register'!$A$7:$S$106,15,FALSE)+VLOOKUP(A1560,'Fleet register'!$A$7:$S$106,16,FALSE),0),"n.a."))</f>
        <v>0</v>
      </c>
      <c r="S1560" s="1">
        <f>IF(NOT(Paths!$C$148=1),0,IF(Paths!$P$148="Complete",IF(C1560=0,0,Paths!$S$148*Paths!$R$148),"n.a."))</f>
        <v>0</v>
      </c>
      <c r="T1560" s="1">
        <f>IF(NOT(Paths!$C$148=1),0,IF(Paths!$P$148="Complete",IF(C1560=0,0,VLOOKUP(A1560,'Fleet register'!$A$7:$S$106,9,FALSE)*Paths!$R$148),"n.a."))</f>
        <v>0</v>
      </c>
    </row>
    <row r="1561" spans="1:20" ht="24" customHeight="1">
      <c r="A1561" s="1" t="str">
        <f>Paths!$A$148</f>
        <v>T036</v>
      </c>
      <c r="B1561" s="1">
        <f>Paths!$B$148</f>
        <v>1</v>
      </c>
      <c r="C1561" s="1">
        <v>3</v>
      </c>
      <c r="D1561" s="1">
        <v>148</v>
      </c>
      <c r="E1561" s="1">
        <f>IF(OR(Paths!$C$148=0,C1561=0),0,MAX(0,MIN(C1561*12,Paths!$E$148)-(C1561-1)*12))</f>
        <v>0</v>
      </c>
      <c r="F1561" s="1">
        <f>IF(OR(Paths!$C$148=0,C1561=0),0,12-E1561)</f>
        <v>0</v>
      </c>
      <c r="G1561" s="16">
        <f>IF(NOT(Paths!$C$148=1),0,IF(Paths!$P$148="Complete",E1561/12*(Paths!$J$148*(1+'Operating costs'!$B$51)^MAX(0,C1561-1)+Paths!$K$148*(1+'Operating costs'!$B$53)^MAX(0,C1561-1)),"n.a."))</f>
        <v>0</v>
      </c>
      <c r="H1561" s="16">
        <f>IF(NOT(Paths!$C$148=1),0,IF(Paths!$P$148="Complete",F1561/12*(Paths!$L$148*(1+IF(Paths!$D$148="EV",'Operating costs'!$B$52,'Operating costs'!$B$51))^MAX(0,C1561-1)+Paths!$M$148*(1+'Operating costs'!$B$53)^MAX(0,C1561-1)),"n.a."))</f>
        <v>0</v>
      </c>
      <c r="I1561" s="16">
        <f>IF(NOT(Paths!$C$148=1),0,IF(Paths!$P$148="Complete",IF(IF(Paths!$E$148=0,C1561=0,AND(C1561&gt;0,Paths!$E$148&gt;(C1561-1)*12,Paths!$E$148&lt;=C1561*12)),Paths!$G$148,0),"n.a."))</f>
        <v>0</v>
      </c>
      <c r="J1561" s="16">
        <f>IF(NOT(Paths!$C$148=1),0,IF(Paths!$P$148="Complete",IF(IF(Paths!$E$148=0,C1561=0,AND(C1561&gt;0,Paths!$E$148&gt;(C1561-1)*12,Paths!$E$148&lt;=C1561*12)),Paths!$H$148,0),"n.a."))</f>
        <v>0</v>
      </c>
      <c r="K1561" s="16">
        <f>IF(NOT(Paths!$C$148=1),0,IF(Paths!$P$148="Complete",IF(IF(Paths!$O$148=0,C1561=0,AND(C1561&gt;0,Paths!$O$148&gt;(C1561-1)*12,Paths!$O$148&lt;=C1561*12)),Paths!$N$148,0),"n.a."))</f>
        <v>0</v>
      </c>
      <c r="L1561" s="16">
        <f>IF(NOT(Paths!$C$148=1),0,IF(Paths!$P$148="Complete",IF(C1561=10,Paths!$I$148,0),"n.a."))</f>
        <v>0</v>
      </c>
      <c r="M1561" s="16">
        <f>IF(NOT(Paths!$C$148=1),0,IF(Paths!$P$148="Complete",IF(AND(Paths!$D$148="EV",Paths!$E$148&lt;120,Paths!$E$148+'Operating costs'!$B$65&gt;Paths!$E$148,Paths!$E$148+'Operating costs'!$B$65&lt;=120,IF(Paths!$E$148+'Operating costs'!$B$65=0,C1561=0,AND(C1561&gt;0,Paths!$E$148+'Operating costs'!$B$65&gt;(C1561-1)*12,Paths!$E$148+'Operating costs'!$B$65&lt;=C1561*12))),'Operating costs'!$B$64,0)+IF(AND('Operating costs'!$B$67&gt;0,'Operating costs'!$B$67&lt;=120,OR(Paths!$D$148="ICE",'Operating costs'!$B$67&lt;=Paths!$E$148),IF('Operating costs'!$B$67=0,C1561=0,AND(C1561&gt;0,'Operating costs'!$B$67&gt;(C1561-1)*12,'Operating costs'!$B$67&lt;=C1561*12))),'Operating costs'!$B$66,0),"n.a."))</f>
        <v>0</v>
      </c>
      <c r="N1561" s="16">
        <f>IF(NOT(Paths!$C$148=1),0,IF(Paths!$P$148="Complete",SUM(G1561:I1561)-J1561-K1561-L1561+M1561+IF(C1561=0,Paths!$F$148,0)+IF(IF(Paths!$E$148=0,C1561=0,AND(C1561&gt;0,Paths!$E$148&gt;(C1561-1)*12,Paths!$E$148&lt;=C1561*12)),VLOOKUP(A1561,'Fleet register'!$A$7:$S$106,16,FALSE),0),"n.a."))</f>
        <v>0</v>
      </c>
      <c r="O1561" s="16">
        <f>IF(NOT(Paths!$C$148=1),0,IF(Paths!$P$148="Complete",N1561-IF(C1561=0,Paths!$F$148,0),"n.a."))</f>
        <v>0</v>
      </c>
      <c r="P1561" s="16">
        <f>IF(NOT(Paths!$C$148=1),0,IF(Paths!$P$148="Complete",O1561+L1561,"n.a."))</f>
        <v>0</v>
      </c>
      <c r="Q1561" s="16">
        <f>IF(NOT(Paths!$C$148=1),0,IF(Paths!$P$148="Complete",N1561*(1+'Operating costs'!$B$54)^-C1561,"n.a."))</f>
        <v>0</v>
      </c>
      <c r="R1561" s="16">
        <f>IF(NOT(Paths!$C$148=1),0,IF(Paths!$P$148="Complete",IF(AND(C1561=0,Paths!$E$148=0),I1561-J1561-K1561+VLOOKUP(A1561,'Fleet register'!$A$7:$S$106,15,FALSE)+VLOOKUP(A1561,'Fleet register'!$A$7:$S$106,16,FALSE),0),"n.a."))</f>
        <v>0</v>
      </c>
      <c r="S1561" s="1">
        <f>IF(NOT(Paths!$C$148=1),0,IF(Paths!$P$148="Complete",IF(C1561=0,0,Paths!$S$148*Paths!$R$148),"n.a."))</f>
        <v>0</v>
      </c>
      <c r="T1561" s="1">
        <f>IF(NOT(Paths!$C$148=1),0,IF(Paths!$P$148="Complete",IF(C1561=0,0,VLOOKUP(A1561,'Fleet register'!$A$7:$S$106,9,FALSE)*Paths!$R$148),"n.a."))</f>
        <v>0</v>
      </c>
    </row>
    <row r="1562" spans="1:20" ht="24" customHeight="1">
      <c r="A1562" s="1" t="str">
        <f>Paths!$A$148</f>
        <v>T036</v>
      </c>
      <c r="B1562" s="1">
        <f>Paths!$B$148</f>
        <v>1</v>
      </c>
      <c r="C1562" s="1">
        <v>4</v>
      </c>
      <c r="D1562" s="1">
        <v>148</v>
      </c>
      <c r="E1562" s="1">
        <f>IF(OR(Paths!$C$148=0,C1562=0),0,MAX(0,MIN(C1562*12,Paths!$E$148)-(C1562-1)*12))</f>
        <v>0</v>
      </c>
      <c r="F1562" s="1">
        <f>IF(OR(Paths!$C$148=0,C1562=0),0,12-E1562)</f>
        <v>0</v>
      </c>
      <c r="G1562" s="16">
        <f>IF(NOT(Paths!$C$148=1),0,IF(Paths!$P$148="Complete",E1562/12*(Paths!$J$148*(1+'Operating costs'!$B$51)^MAX(0,C1562-1)+Paths!$K$148*(1+'Operating costs'!$B$53)^MAX(0,C1562-1)),"n.a."))</f>
        <v>0</v>
      </c>
      <c r="H1562" s="16">
        <f>IF(NOT(Paths!$C$148=1),0,IF(Paths!$P$148="Complete",F1562/12*(Paths!$L$148*(1+IF(Paths!$D$148="EV",'Operating costs'!$B$52,'Operating costs'!$B$51))^MAX(0,C1562-1)+Paths!$M$148*(1+'Operating costs'!$B$53)^MAX(0,C1562-1)),"n.a."))</f>
        <v>0</v>
      </c>
      <c r="I1562" s="16">
        <f>IF(NOT(Paths!$C$148=1),0,IF(Paths!$P$148="Complete",IF(IF(Paths!$E$148=0,C1562=0,AND(C1562&gt;0,Paths!$E$148&gt;(C1562-1)*12,Paths!$E$148&lt;=C1562*12)),Paths!$G$148,0),"n.a."))</f>
        <v>0</v>
      </c>
      <c r="J1562" s="16">
        <f>IF(NOT(Paths!$C$148=1),0,IF(Paths!$P$148="Complete",IF(IF(Paths!$E$148=0,C1562=0,AND(C1562&gt;0,Paths!$E$148&gt;(C1562-1)*12,Paths!$E$148&lt;=C1562*12)),Paths!$H$148,0),"n.a."))</f>
        <v>0</v>
      </c>
      <c r="K1562" s="16">
        <f>IF(NOT(Paths!$C$148=1),0,IF(Paths!$P$148="Complete",IF(IF(Paths!$O$148=0,C1562=0,AND(C1562&gt;0,Paths!$O$148&gt;(C1562-1)*12,Paths!$O$148&lt;=C1562*12)),Paths!$N$148,0),"n.a."))</f>
        <v>0</v>
      </c>
      <c r="L1562" s="16">
        <f>IF(NOT(Paths!$C$148=1),0,IF(Paths!$P$148="Complete",IF(C1562=10,Paths!$I$148,0),"n.a."))</f>
        <v>0</v>
      </c>
      <c r="M1562" s="16">
        <f>IF(NOT(Paths!$C$148=1),0,IF(Paths!$P$148="Complete",IF(AND(Paths!$D$148="EV",Paths!$E$148&lt;120,Paths!$E$148+'Operating costs'!$B$65&gt;Paths!$E$148,Paths!$E$148+'Operating costs'!$B$65&lt;=120,IF(Paths!$E$148+'Operating costs'!$B$65=0,C1562=0,AND(C1562&gt;0,Paths!$E$148+'Operating costs'!$B$65&gt;(C1562-1)*12,Paths!$E$148+'Operating costs'!$B$65&lt;=C1562*12))),'Operating costs'!$B$64,0)+IF(AND('Operating costs'!$B$67&gt;0,'Operating costs'!$B$67&lt;=120,OR(Paths!$D$148="ICE",'Operating costs'!$B$67&lt;=Paths!$E$148),IF('Operating costs'!$B$67=0,C1562=0,AND(C1562&gt;0,'Operating costs'!$B$67&gt;(C1562-1)*12,'Operating costs'!$B$67&lt;=C1562*12))),'Operating costs'!$B$66,0),"n.a."))</f>
        <v>0</v>
      </c>
      <c r="N1562" s="16">
        <f>IF(NOT(Paths!$C$148=1),0,IF(Paths!$P$148="Complete",SUM(G1562:I1562)-J1562-K1562-L1562+M1562+IF(C1562=0,Paths!$F$148,0)+IF(IF(Paths!$E$148=0,C1562=0,AND(C1562&gt;0,Paths!$E$148&gt;(C1562-1)*12,Paths!$E$148&lt;=C1562*12)),VLOOKUP(A1562,'Fleet register'!$A$7:$S$106,16,FALSE),0),"n.a."))</f>
        <v>0</v>
      </c>
      <c r="O1562" s="16">
        <f>IF(NOT(Paths!$C$148=1),0,IF(Paths!$P$148="Complete",N1562-IF(C1562=0,Paths!$F$148,0),"n.a."))</f>
        <v>0</v>
      </c>
      <c r="P1562" s="16">
        <f>IF(NOT(Paths!$C$148=1),0,IF(Paths!$P$148="Complete",O1562+L1562,"n.a."))</f>
        <v>0</v>
      </c>
      <c r="Q1562" s="16">
        <f>IF(NOT(Paths!$C$148=1),0,IF(Paths!$P$148="Complete",N1562*(1+'Operating costs'!$B$54)^-C1562,"n.a."))</f>
        <v>0</v>
      </c>
      <c r="R1562" s="16">
        <f>IF(NOT(Paths!$C$148=1),0,IF(Paths!$P$148="Complete",IF(AND(C1562=0,Paths!$E$148=0),I1562-J1562-K1562+VLOOKUP(A1562,'Fleet register'!$A$7:$S$106,15,FALSE)+VLOOKUP(A1562,'Fleet register'!$A$7:$S$106,16,FALSE),0),"n.a."))</f>
        <v>0</v>
      </c>
      <c r="S1562" s="1">
        <f>IF(NOT(Paths!$C$148=1),0,IF(Paths!$P$148="Complete",IF(C1562=0,0,Paths!$S$148*Paths!$R$148),"n.a."))</f>
        <v>0</v>
      </c>
      <c r="T1562" s="1">
        <f>IF(NOT(Paths!$C$148=1),0,IF(Paths!$P$148="Complete",IF(C1562=0,0,VLOOKUP(A1562,'Fleet register'!$A$7:$S$106,9,FALSE)*Paths!$R$148),"n.a."))</f>
        <v>0</v>
      </c>
    </row>
    <row r="1563" spans="1:20" ht="24" customHeight="1">
      <c r="A1563" s="1" t="str">
        <f>Paths!$A$148</f>
        <v>T036</v>
      </c>
      <c r="B1563" s="1">
        <f>Paths!$B$148</f>
        <v>1</v>
      </c>
      <c r="C1563" s="1">
        <v>5</v>
      </c>
      <c r="D1563" s="1">
        <v>148</v>
      </c>
      <c r="E1563" s="1">
        <f>IF(OR(Paths!$C$148=0,C1563=0),0,MAX(0,MIN(C1563*12,Paths!$E$148)-(C1563-1)*12))</f>
        <v>0</v>
      </c>
      <c r="F1563" s="1">
        <f>IF(OR(Paths!$C$148=0,C1563=0),0,12-E1563)</f>
        <v>0</v>
      </c>
      <c r="G1563" s="16">
        <f>IF(NOT(Paths!$C$148=1),0,IF(Paths!$P$148="Complete",E1563/12*(Paths!$J$148*(1+'Operating costs'!$B$51)^MAX(0,C1563-1)+Paths!$K$148*(1+'Operating costs'!$B$53)^MAX(0,C1563-1)),"n.a."))</f>
        <v>0</v>
      </c>
      <c r="H1563" s="16">
        <f>IF(NOT(Paths!$C$148=1),0,IF(Paths!$P$148="Complete",F1563/12*(Paths!$L$148*(1+IF(Paths!$D$148="EV",'Operating costs'!$B$52,'Operating costs'!$B$51))^MAX(0,C1563-1)+Paths!$M$148*(1+'Operating costs'!$B$53)^MAX(0,C1563-1)),"n.a."))</f>
        <v>0</v>
      </c>
      <c r="I1563" s="16">
        <f>IF(NOT(Paths!$C$148=1),0,IF(Paths!$P$148="Complete",IF(IF(Paths!$E$148=0,C1563=0,AND(C1563&gt;0,Paths!$E$148&gt;(C1563-1)*12,Paths!$E$148&lt;=C1563*12)),Paths!$G$148,0),"n.a."))</f>
        <v>0</v>
      </c>
      <c r="J1563" s="16">
        <f>IF(NOT(Paths!$C$148=1),0,IF(Paths!$P$148="Complete",IF(IF(Paths!$E$148=0,C1563=0,AND(C1563&gt;0,Paths!$E$148&gt;(C1563-1)*12,Paths!$E$148&lt;=C1563*12)),Paths!$H$148,0),"n.a."))</f>
        <v>0</v>
      </c>
      <c r="K1563" s="16">
        <f>IF(NOT(Paths!$C$148=1),0,IF(Paths!$P$148="Complete",IF(IF(Paths!$O$148=0,C1563=0,AND(C1563&gt;0,Paths!$O$148&gt;(C1563-1)*12,Paths!$O$148&lt;=C1563*12)),Paths!$N$148,0),"n.a."))</f>
        <v>0</v>
      </c>
      <c r="L1563" s="16">
        <f>IF(NOT(Paths!$C$148=1),0,IF(Paths!$P$148="Complete",IF(C1563=10,Paths!$I$148,0),"n.a."))</f>
        <v>0</v>
      </c>
      <c r="M1563" s="16">
        <f>IF(NOT(Paths!$C$148=1),0,IF(Paths!$P$148="Complete",IF(AND(Paths!$D$148="EV",Paths!$E$148&lt;120,Paths!$E$148+'Operating costs'!$B$65&gt;Paths!$E$148,Paths!$E$148+'Operating costs'!$B$65&lt;=120,IF(Paths!$E$148+'Operating costs'!$B$65=0,C1563=0,AND(C1563&gt;0,Paths!$E$148+'Operating costs'!$B$65&gt;(C1563-1)*12,Paths!$E$148+'Operating costs'!$B$65&lt;=C1563*12))),'Operating costs'!$B$64,0)+IF(AND('Operating costs'!$B$67&gt;0,'Operating costs'!$B$67&lt;=120,OR(Paths!$D$148="ICE",'Operating costs'!$B$67&lt;=Paths!$E$148),IF('Operating costs'!$B$67=0,C1563=0,AND(C1563&gt;0,'Operating costs'!$B$67&gt;(C1563-1)*12,'Operating costs'!$B$67&lt;=C1563*12))),'Operating costs'!$B$66,0),"n.a."))</f>
        <v>0</v>
      </c>
      <c r="N1563" s="16">
        <f>IF(NOT(Paths!$C$148=1),0,IF(Paths!$P$148="Complete",SUM(G1563:I1563)-J1563-K1563-L1563+M1563+IF(C1563=0,Paths!$F$148,0)+IF(IF(Paths!$E$148=0,C1563=0,AND(C1563&gt;0,Paths!$E$148&gt;(C1563-1)*12,Paths!$E$148&lt;=C1563*12)),VLOOKUP(A1563,'Fleet register'!$A$7:$S$106,16,FALSE),0),"n.a."))</f>
        <v>0</v>
      </c>
      <c r="O1563" s="16">
        <f>IF(NOT(Paths!$C$148=1),0,IF(Paths!$P$148="Complete",N1563-IF(C1563=0,Paths!$F$148,0),"n.a."))</f>
        <v>0</v>
      </c>
      <c r="P1563" s="16">
        <f>IF(NOT(Paths!$C$148=1),0,IF(Paths!$P$148="Complete",O1563+L1563,"n.a."))</f>
        <v>0</v>
      </c>
      <c r="Q1563" s="16">
        <f>IF(NOT(Paths!$C$148=1),0,IF(Paths!$P$148="Complete",N1563*(1+'Operating costs'!$B$54)^-C1563,"n.a."))</f>
        <v>0</v>
      </c>
      <c r="R1563" s="16">
        <f>IF(NOT(Paths!$C$148=1),0,IF(Paths!$P$148="Complete",IF(AND(C1563=0,Paths!$E$148=0),I1563-J1563-K1563+VLOOKUP(A1563,'Fleet register'!$A$7:$S$106,15,FALSE)+VLOOKUP(A1563,'Fleet register'!$A$7:$S$106,16,FALSE),0),"n.a."))</f>
        <v>0</v>
      </c>
      <c r="S1563" s="1">
        <f>IF(NOT(Paths!$C$148=1),0,IF(Paths!$P$148="Complete",IF(C1563=0,0,Paths!$S$148*Paths!$R$148),"n.a."))</f>
        <v>0</v>
      </c>
      <c r="T1563" s="1">
        <f>IF(NOT(Paths!$C$148=1),0,IF(Paths!$P$148="Complete",IF(C1563=0,0,VLOOKUP(A1563,'Fleet register'!$A$7:$S$106,9,FALSE)*Paths!$R$148),"n.a."))</f>
        <v>0</v>
      </c>
    </row>
    <row r="1564" spans="1:20" ht="24" customHeight="1">
      <c r="A1564" s="1" t="str">
        <f>Paths!$A$148</f>
        <v>T036</v>
      </c>
      <c r="B1564" s="1">
        <f>Paths!$B$148</f>
        <v>1</v>
      </c>
      <c r="C1564" s="1">
        <v>6</v>
      </c>
      <c r="D1564" s="1">
        <v>148</v>
      </c>
      <c r="E1564" s="1">
        <f>IF(OR(Paths!$C$148=0,C1564=0),0,MAX(0,MIN(C1564*12,Paths!$E$148)-(C1564-1)*12))</f>
        <v>0</v>
      </c>
      <c r="F1564" s="1">
        <f>IF(OR(Paths!$C$148=0,C1564=0),0,12-E1564)</f>
        <v>0</v>
      </c>
      <c r="G1564" s="16">
        <f>IF(NOT(Paths!$C$148=1),0,IF(Paths!$P$148="Complete",E1564/12*(Paths!$J$148*(1+'Operating costs'!$B$51)^MAX(0,C1564-1)+Paths!$K$148*(1+'Operating costs'!$B$53)^MAX(0,C1564-1)),"n.a."))</f>
        <v>0</v>
      </c>
      <c r="H1564" s="16">
        <f>IF(NOT(Paths!$C$148=1),0,IF(Paths!$P$148="Complete",F1564/12*(Paths!$L$148*(1+IF(Paths!$D$148="EV",'Operating costs'!$B$52,'Operating costs'!$B$51))^MAX(0,C1564-1)+Paths!$M$148*(1+'Operating costs'!$B$53)^MAX(0,C1564-1)),"n.a."))</f>
        <v>0</v>
      </c>
      <c r="I1564" s="16">
        <f>IF(NOT(Paths!$C$148=1),0,IF(Paths!$P$148="Complete",IF(IF(Paths!$E$148=0,C1564=0,AND(C1564&gt;0,Paths!$E$148&gt;(C1564-1)*12,Paths!$E$148&lt;=C1564*12)),Paths!$G$148,0),"n.a."))</f>
        <v>0</v>
      </c>
      <c r="J1564" s="16">
        <f>IF(NOT(Paths!$C$148=1),0,IF(Paths!$P$148="Complete",IF(IF(Paths!$E$148=0,C1564=0,AND(C1564&gt;0,Paths!$E$148&gt;(C1564-1)*12,Paths!$E$148&lt;=C1564*12)),Paths!$H$148,0),"n.a."))</f>
        <v>0</v>
      </c>
      <c r="K1564" s="16">
        <f>IF(NOT(Paths!$C$148=1),0,IF(Paths!$P$148="Complete",IF(IF(Paths!$O$148=0,C1564=0,AND(C1564&gt;0,Paths!$O$148&gt;(C1564-1)*12,Paths!$O$148&lt;=C1564*12)),Paths!$N$148,0),"n.a."))</f>
        <v>0</v>
      </c>
      <c r="L1564" s="16">
        <f>IF(NOT(Paths!$C$148=1),0,IF(Paths!$P$148="Complete",IF(C1564=10,Paths!$I$148,0),"n.a."))</f>
        <v>0</v>
      </c>
      <c r="M1564" s="16">
        <f>IF(NOT(Paths!$C$148=1),0,IF(Paths!$P$148="Complete",IF(AND(Paths!$D$148="EV",Paths!$E$148&lt;120,Paths!$E$148+'Operating costs'!$B$65&gt;Paths!$E$148,Paths!$E$148+'Operating costs'!$B$65&lt;=120,IF(Paths!$E$148+'Operating costs'!$B$65=0,C1564=0,AND(C1564&gt;0,Paths!$E$148+'Operating costs'!$B$65&gt;(C1564-1)*12,Paths!$E$148+'Operating costs'!$B$65&lt;=C1564*12))),'Operating costs'!$B$64,0)+IF(AND('Operating costs'!$B$67&gt;0,'Operating costs'!$B$67&lt;=120,OR(Paths!$D$148="ICE",'Operating costs'!$B$67&lt;=Paths!$E$148),IF('Operating costs'!$B$67=0,C1564=0,AND(C1564&gt;0,'Operating costs'!$B$67&gt;(C1564-1)*12,'Operating costs'!$B$67&lt;=C1564*12))),'Operating costs'!$B$66,0),"n.a."))</f>
        <v>0</v>
      </c>
      <c r="N1564" s="16">
        <f>IF(NOT(Paths!$C$148=1),0,IF(Paths!$P$148="Complete",SUM(G1564:I1564)-J1564-K1564-L1564+M1564+IF(C1564=0,Paths!$F$148,0)+IF(IF(Paths!$E$148=0,C1564=0,AND(C1564&gt;0,Paths!$E$148&gt;(C1564-1)*12,Paths!$E$148&lt;=C1564*12)),VLOOKUP(A1564,'Fleet register'!$A$7:$S$106,16,FALSE),0),"n.a."))</f>
        <v>0</v>
      </c>
      <c r="O1564" s="16">
        <f>IF(NOT(Paths!$C$148=1),0,IF(Paths!$P$148="Complete",N1564-IF(C1564=0,Paths!$F$148,0),"n.a."))</f>
        <v>0</v>
      </c>
      <c r="P1564" s="16">
        <f>IF(NOT(Paths!$C$148=1),0,IF(Paths!$P$148="Complete",O1564+L1564,"n.a."))</f>
        <v>0</v>
      </c>
      <c r="Q1564" s="16">
        <f>IF(NOT(Paths!$C$148=1),0,IF(Paths!$P$148="Complete",N1564*(1+'Operating costs'!$B$54)^-C1564,"n.a."))</f>
        <v>0</v>
      </c>
      <c r="R1564" s="16">
        <f>IF(NOT(Paths!$C$148=1),0,IF(Paths!$P$148="Complete",IF(AND(C1564=0,Paths!$E$148=0),I1564-J1564-K1564+VLOOKUP(A1564,'Fleet register'!$A$7:$S$106,15,FALSE)+VLOOKUP(A1564,'Fleet register'!$A$7:$S$106,16,FALSE),0),"n.a."))</f>
        <v>0</v>
      </c>
      <c r="S1564" s="1">
        <f>IF(NOT(Paths!$C$148=1),0,IF(Paths!$P$148="Complete",IF(C1564=0,0,Paths!$S$148*Paths!$R$148),"n.a."))</f>
        <v>0</v>
      </c>
      <c r="T1564" s="1">
        <f>IF(NOT(Paths!$C$148=1),0,IF(Paths!$P$148="Complete",IF(C1564=0,0,VLOOKUP(A1564,'Fleet register'!$A$7:$S$106,9,FALSE)*Paths!$R$148),"n.a."))</f>
        <v>0</v>
      </c>
    </row>
    <row r="1565" spans="1:20" ht="24" customHeight="1">
      <c r="A1565" s="1" t="str">
        <f>Paths!$A$148</f>
        <v>T036</v>
      </c>
      <c r="B1565" s="1">
        <f>Paths!$B$148</f>
        <v>1</v>
      </c>
      <c r="C1565" s="1">
        <v>7</v>
      </c>
      <c r="D1565" s="1">
        <v>148</v>
      </c>
      <c r="E1565" s="1">
        <f>IF(OR(Paths!$C$148=0,C1565=0),0,MAX(0,MIN(C1565*12,Paths!$E$148)-(C1565-1)*12))</f>
        <v>0</v>
      </c>
      <c r="F1565" s="1">
        <f>IF(OR(Paths!$C$148=0,C1565=0),0,12-E1565)</f>
        <v>0</v>
      </c>
      <c r="G1565" s="16">
        <f>IF(NOT(Paths!$C$148=1),0,IF(Paths!$P$148="Complete",E1565/12*(Paths!$J$148*(1+'Operating costs'!$B$51)^MAX(0,C1565-1)+Paths!$K$148*(1+'Operating costs'!$B$53)^MAX(0,C1565-1)),"n.a."))</f>
        <v>0</v>
      </c>
      <c r="H1565" s="16">
        <f>IF(NOT(Paths!$C$148=1),0,IF(Paths!$P$148="Complete",F1565/12*(Paths!$L$148*(1+IF(Paths!$D$148="EV",'Operating costs'!$B$52,'Operating costs'!$B$51))^MAX(0,C1565-1)+Paths!$M$148*(1+'Operating costs'!$B$53)^MAX(0,C1565-1)),"n.a."))</f>
        <v>0</v>
      </c>
      <c r="I1565" s="16">
        <f>IF(NOT(Paths!$C$148=1),0,IF(Paths!$P$148="Complete",IF(IF(Paths!$E$148=0,C1565=0,AND(C1565&gt;0,Paths!$E$148&gt;(C1565-1)*12,Paths!$E$148&lt;=C1565*12)),Paths!$G$148,0),"n.a."))</f>
        <v>0</v>
      </c>
      <c r="J1565" s="16">
        <f>IF(NOT(Paths!$C$148=1),0,IF(Paths!$P$148="Complete",IF(IF(Paths!$E$148=0,C1565=0,AND(C1565&gt;0,Paths!$E$148&gt;(C1565-1)*12,Paths!$E$148&lt;=C1565*12)),Paths!$H$148,0),"n.a."))</f>
        <v>0</v>
      </c>
      <c r="K1565" s="16">
        <f>IF(NOT(Paths!$C$148=1),0,IF(Paths!$P$148="Complete",IF(IF(Paths!$O$148=0,C1565=0,AND(C1565&gt;0,Paths!$O$148&gt;(C1565-1)*12,Paths!$O$148&lt;=C1565*12)),Paths!$N$148,0),"n.a."))</f>
        <v>0</v>
      </c>
      <c r="L1565" s="16">
        <f>IF(NOT(Paths!$C$148=1),0,IF(Paths!$P$148="Complete",IF(C1565=10,Paths!$I$148,0),"n.a."))</f>
        <v>0</v>
      </c>
      <c r="M1565" s="16">
        <f>IF(NOT(Paths!$C$148=1),0,IF(Paths!$P$148="Complete",IF(AND(Paths!$D$148="EV",Paths!$E$148&lt;120,Paths!$E$148+'Operating costs'!$B$65&gt;Paths!$E$148,Paths!$E$148+'Operating costs'!$B$65&lt;=120,IF(Paths!$E$148+'Operating costs'!$B$65=0,C1565=0,AND(C1565&gt;0,Paths!$E$148+'Operating costs'!$B$65&gt;(C1565-1)*12,Paths!$E$148+'Operating costs'!$B$65&lt;=C1565*12))),'Operating costs'!$B$64,0)+IF(AND('Operating costs'!$B$67&gt;0,'Operating costs'!$B$67&lt;=120,OR(Paths!$D$148="ICE",'Operating costs'!$B$67&lt;=Paths!$E$148),IF('Operating costs'!$B$67=0,C1565=0,AND(C1565&gt;0,'Operating costs'!$B$67&gt;(C1565-1)*12,'Operating costs'!$B$67&lt;=C1565*12))),'Operating costs'!$B$66,0),"n.a."))</f>
        <v>0</v>
      </c>
      <c r="N1565" s="16">
        <f>IF(NOT(Paths!$C$148=1),0,IF(Paths!$P$148="Complete",SUM(G1565:I1565)-J1565-K1565-L1565+M1565+IF(C1565=0,Paths!$F$148,0)+IF(IF(Paths!$E$148=0,C1565=0,AND(C1565&gt;0,Paths!$E$148&gt;(C1565-1)*12,Paths!$E$148&lt;=C1565*12)),VLOOKUP(A1565,'Fleet register'!$A$7:$S$106,16,FALSE),0),"n.a."))</f>
        <v>0</v>
      </c>
      <c r="O1565" s="16">
        <f>IF(NOT(Paths!$C$148=1),0,IF(Paths!$P$148="Complete",N1565-IF(C1565=0,Paths!$F$148,0),"n.a."))</f>
        <v>0</v>
      </c>
      <c r="P1565" s="16">
        <f>IF(NOT(Paths!$C$148=1),0,IF(Paths!$P$148="Complete",O1565+L1565,"n.a."))</f>
        <v>0</v>
      </c>
      <c r="Q1565" s="16">
        <f>IF(NOT(Paths!$C$148=1),0,IF(Paths!$P$148="Complete",N1565*(1+'Operating costs'!$B$54)^-C1565,"n.a."))</f>
        <v>0</v>
      </c>
      <c r="R1565" s="16">
        <f>IF(NOT(Paths!$C$148=1),0,IF(Paths!$P$148="Complete",IF(AND(C1565=0,Paths!$E$148=0),I1565-J1565-K1565+VLOOKUP(A1565,'Fleet register'!$A$7:$S$106,15,FALSE)+VLOOKUP(A1565,'Fleet register'!$A$7:$S$106,16,FALSE),0),"n.a."))</f>
        <v>0</v>
      </c>
      <c r="S1565" s="1">
        <f>IF(NOT(Paths!$C$148=1),0,IF(Paths!$P$148="Complete",IF(C1565=0,0,Paths!$S$148*Paths!$R$148),"n.a."))</f>
        <v>0</v>
      </c>
      <c r="T1565" s="1">
        <f>IF(NOT(Paths!$C$148=1),0,IF(Paths!$P$148="Complete",IF(C1565=0,0,VLOOKUP(A1565,'Fleet register'!$A$7:$S$106,9,FALSE)*Paths!$R$148),"n.a."))</f>
        <v>0</v>
      </c>
    </row>
    <row r="1566" spans="1:20" ht="24" customHeight="1">
      <c r="A1566" s="1" t="str">
        <f>Paths!$A$148</f>
        <v>T036</v>
      </c>
      <c r="B1566" s="1">
        <f>Paths!$B$148</f>
        <v>1</v>
      </c>
      <c r="C1566" s="1">
        <v>8</v>
      </c>
      <c r="D1566" s="1">
        <v>148</v>
      </c>
      <c r="E1566" s="1">
        <f>IF(OR(Paths!$C$148=0,C1566=0),0,MAX(0,MIN(C1566*12,Paths!$E$148)-(C1566-1)*12))</f>
        <v>0</v>
      </c>
      <c r="F1566" s="1">
        <f>IF(OR(Paths!$C$148=0,C1566=0),0,12-E1566)</f>
        <v>0</v>
      </c>
      <c r="G1566" s="16">
        <f>IF(NOT(Paths!$C$148=1),0,IF(Paths!$P$148="Complete",E1566/12*(Paths!$J$148*(1+'Operating costs'!$B$51)^MAX(0,C1566-1)+Paths!$K$148*(1+'Operating costs'!$B$53)^MAX(0,C1566-1)),"n.a."))</f>
        <v>0</v>
      </c>
      <c r="H1566" s="16">
        <f>IF(NOT(Paths!$C$148=1),0,IF(Paths!$P$148="Complete",F1566/12*(Paths!$L$148*(1+IF(Paths!$D$148="EV",'Operating costs'!$B$52,'Operating costs'!$B$51))^MAX(0,C1566-1)+Paths!$M$148*(1+'Operating costs'!$B$53)^MAX(0,C1566-1)),"n.a."))</f>
        <v>0</v>
      </c>
      <c r="I1566" s="16">
        <f>IF(NOT(Paths!$C$148=1),0,IF(Paths!$P$148="Complete",IF(IF(Paths!$E$148=0,C1566=0,AND(C1566&gt;0,Paths!$E$148&gt;(C1566-1)*12,Paths!$E$148&lt;=C1566*12)),Paths!$G$148,0),"n.a."))</f>
        <v>0</v>
      </c>
      <c r="J1566" s="16">
        <f>IF(NOT(Paths!$C$148=1),0,IF(Paths!$P$148="Complete",IF(IF(Paths!$E$148=0,C1566=0,AND(C1566&gt;0,Paths!$E$148&gt;(C1566-1)*12,Paths!$E$148&lt;=C1566*12)),Paths!$H$148,0),"n.a."))</f>
        <v>0</v>
      </c>
      <c r="K1566" s="16">
        <f>IF(NOT(Paths!$C$148=1),0,IF(Paths!$P$148="Complete",IF(IF(Paths!$O$148=0,C1566=0,AND(C1566&gt;0,Paths!$O$148&gt;(C1566-1)*12,Paths!$O$148&lt;=C1566*12)),Paths!$N$148,0),"n.a."))</f>
        <v>0</v>
      </c>
      <c r="L1566" s="16">
        <f>IF(NOT(Paths!$C$148=1),0,IF(Paths!$P$148="Complete",IF(C1566=10,Paths!$I$148,0),"n.a."))</f>
        <v>0</v>
      </c>
      <c r="M1566" s="16">
        <f>IF(NOT(Paths!$C$148=1),0,IF(Paths!$P$148="Complete",IF(AND(Paths!$D$148="EV",Paths!$E$148&lt;120,Paths!$E$148+'Operating costs'!$B$65&gt;Paths!$E$148,Paths!$E$148+'Operating costs'!$B$65&lt;=120,IF(Paths!$E$148+'Operating costs'!$B$65=0,C1566=0,AND(C1566&gt;0,Paths!$E$148+'Operating costs'!$B$65&gt;(C1566-1)*12,Paths!$E$148+'Operating costs'!$B$65&lt;=C1566*12))),'Operating costs'!$B$64,0)+IF(AND('Operating costs'!$B$67&gt;0,'Operating costs'!$B$67&lt;=120,OR(Paths!$D$148="ICE",'Operating costs'!$B$67&lt;=Paths!$E$148),IF('Operating costs'!$B$67=0,C1566=0,AND(C1566&gt;0,'Operating costs'!$B$67&gt;(C1566-1)*12,'Operating costs'!$B$67&lt;=C1566*12))),'Operating costs'!$B$66,0),"n.a."))</f>
        <v>0</v>
      </c>
      <c r="N1566" s="16">
        <f>IF(NOT(Paths!$C$148=1),0,IF(Paths!$P$148="Complete",SUM(G1566:I1566)-J1566-K1566-L1566+M1566+IF(C1566=0,Paths!$F$148,0)+IF(IF(Paths!$E$148=0,C1566=0,AND(C1566&gt;0,Paths!$E$148&gt;(C1566-1)*12,Paths!$E$148&lt;=C1566*12)),VLOOKUP(A1566,'Fleet register'!$A$7:$S$106,16,FALSE),0),"n.a."))</f>
        <v>0</v>
      </c>
      <c r="O1566" s="16">
        <f>IF(NOT(Paths!$C$148=1),0,IF(Paths!$P$148="Complete",N1566-IF(C1566=0,Paths!$F$148,0),"n.a."))</f>
        <v>0</v>
      </c>
      <c r="P1566" s="16">
        <f>IF(NOT(Paths!$C$148=1),0,IF(Paths!$P$148="Complete",O1566+L1566,"n.a."))</f>
        <v>0</v>
      </c>
      <c r="Q1566" s="16">
        <f>IF(NOT(Paths!$C$148=1),0,IF(Paths!$P$148="Complete",N1566*(1+'Operating costs'!$B$54)^-C1566,"n.a."))</f>
        <v>0</v>
      </c>
      <c r="R1566" s="16">
        <f>IF(NOT(Paths!$C$148=1),0,IF(Paths!$P$148="Complete",IF(AND(C1566=0,Paths!$E$148=0),I1566-J1566-K1566+VLOOKUP(A1566,'Fleet register'!$A$7:$S$106,15,FALSE)+VLOOKUP(A1566,'Fleet register'!$A$7:$S$106,16,FALSE),0),"n.a."))</f>
        <v>0</v>
      </c>
      <c r="S1566" s="1">
        <f>IF(NOT(Paths!$C$148=1),0,IF(Paths!$P$148="Complete",IF(C1566=0,0,Paths!$S$148*Paths!$R$148),"n.a."))</f>
        <v>0</v>
      </c>
      <c r="T1566" s="1">
        <f>IF(NOT(Paths!$C$148=1),0,IF(Paths!$P$148="Complete",IF(C1566=0,0,VLOOKUP(A1566,'Fleet register'!$A$7:$S$106,9,FALSE)*Paths!$R$148),"n.a."))</f>
        <v>0</v>
      </c>
    </row>
    <row r="1567" spans="1:20" ht="24" customHeight="1">
      <c r="A1567" s="1" t="str">
        <f>Paths!$A$148</f>
        <v>T036</v>
      </c>
      <c r="B1567" s="1">
        <f>Paths!$B$148</f>
        <v>1</v>
      </c>
      <c r="C1567" s="1">
        <v>9</v>
      </c>
      <c r="D1567" s="1">
        <v>148</v>
      </c>
      <c r="E1567" s="1">
        <f>IF(OR(Paths!$C$148=0,C1567=0),0,MAX(0,MIN(C1567*12,Paths!$E$148)-(C1567-1)*12))</f>
        <v>0</v>
      </c>
      <c r="F1567" s="1">
        <f>IF(OR(Paths!$C$148=0,C1567=0),0,12-E1567)</f>
        <v>0</v>
      </c>
      <c r="G1567" s="16">
        <f>IF(NOT(Paths!$C$148=1),0,IF(Paths!$P$148="Complete",E1567/12*(Paths!$J$148*(1+'Operating costs'!$B$51)^MAX(0,C1567-1)+Paths!$K$148*(1+'Operating costs'!$B$53)^MAX(0,C1567-1)),"n.a."))</f>
        <v>0</v>
      </c>
      <c r="H1567" s="16">
        <f>IF(NOT(Paths!$C$148=1),0,IF(Paths!$P$148="Complete",F1567/12*(Paths!$L$148*(1+IF(Paths!$D$148="EV",'Operating costs'!$B$52,'Operating costs'!$B$51))^MAX(0,C1567-1)+Paths!$M$148*(1+'Operating costs'!$B$53)^MAX(0,C1567-1)),"n.a."))</f>
        <v>0</v>
      </c>
      <c r="I1567" s="16">
        <f>IF(NOT(Paths!$C$148=1),0,IF(Paths!$P$148="Complete",IF(IF(Paths!$E$148=0,C1567=0,AND(C1567&gt;0,Paths!$E$148&gt;(C1567-1)*12,Paths!$E$148&lt;=C1567*12)),Paths!$G$148,0),"n.a."))</f>
        <v>0</v>
      </c>
      <c r="J1567" s="16">
        <f>IF(NOT(Paths!$C$148=1),0,IF(Paths!$P$148="Complete",IF(IF(Paths!$E$148=0,C1567=0,AND(C1567&gt;0,Paths!$E$148&gt;(C1567-1)*12,Paths!$E$148&lt;=C1567*12)),Paths!$H$148,0),"n.a."))</f>
        <v>0</v>
      </c>
      <c r="K1567" s="16">
        <f>IF(NOT(Paths!$C$148=1),0,IF(Paths!$P$148="Complete",IF(IF(Paths!$O$148=0,C1567=0,AND(C1567&gt;0,Paths!$O$148&gt;(C1567-1)*12,Paths!$O$148&lt;=C1567*12)),Paths!$N$148,0),"n.a."))</f>
        <v>0</v>
      </c>
      <c r="L1567" s="16">
        <f>IF(NOT(Paths!$C$148=1),0,IF(Paths!$P$148="Complete",IF(C1567=10,Paths!$I$148,0),"n.a."))</f>
        <v>0</v>
      </c>
      <c r="M1567" s="16">
        <f>IF(NOT(Paths!$C$148=1),0,IF(Paths!$P$148="Complete",IF(AND(Paths!$D$148="EV",Paths!$E$148&lt;120,Paths!$E$148+'Operating costs'!$B$65&gt;Paths!$E$148,Paths!$E$148+'Operating costs'!$B$65&lt;=120,IF(Paths!$E$148+'Operating costs'!$B$65=0,C1567=0,AND(C1567&gt;0,Paths!$E$148+'Operating costs'!$B$65&gt;(C1567-1)*12,Paths!$E$148+'Operating costs'!$B$65&lt;=C1567*12))),'Operating costs'!$B$64,0)+IF(AND('Operating costs'!$B$67&gt;0,'Operating costs'!$B$67&lt;=120,OR(Paths!$D$148="ICE",'Operating costs'!$B$67&lt;=Paths!$E$148),IF('Operating costs'!$B$67=0,C1567=0,AND(C1567&gt;0,'Operating costs'!$B$67&gt;(C1567-1)*12,'Operating costs'!$B$67&lt;=C1567*12))),'Operating costs'!$B$66,0),"n.a."))</f>
        <v>0</v>
      </c>
      <c r="N1567" s="16">
        <f>IF(NOT(Paths!$C$148=1),0,IF(Paths!$P$148="Complete",SUM(G1567:I1567)-J1567-K1567-L1567+M1567+IF(C1567=0,Paths!$F$148,0)+IF(IF(Paths!$E$148=0,C1567=0,AND(C1567&gt;0,Paths!$E$148&gt;(C1567-1)*12,Paths!$E$148&lt;=C1567*12)),VLOOKUP(A1567,'Fleet register'!$A$7:$S$106,16,FALSE),0),"n.a."))</f>
        <v>0</v>
      </c>
      <c r="O1567" s="16">
        <f>IF(NOT(Paths!$C$148=1),0,IF(Paths!$P$148="Complete",N1567-IF(C1567=0,Paths!$F$148,0),"n.a."))</f>
        <v>0</v>
      </c>
      <c r="P1567" s="16">
        <f>IF(NOT(Paths!$C$148=1),0,IF(Paths!$P$148="Complete",O1567+L1567,"n.a."))</f>
        <v>0</v>
      </c>
      <c r="Q1567" s="16">
        <f>IF(NOT(Paths!$C$148=1),0,IF(Paths!$P$148="Complete",N1567*(1+'Operating costs'!$B$54)^-C1567,"n.a."))</f>
        <v>0</v>
      </c>
      <c r="R1567" s="16">
        <f>IF(NOT(Paths!$C$148=1),0,IF(Paths!$P$148="Complete",IF(AND(C1567=0,Paths!$E$148=0),I1567-J1567-K1567+VLOOKUP(A1567,'Fleet register'!$A$7:$S$106,15,FALSE)+VLOOKUP(A1567,'Fleet register'!$A$7:$S$106,16,FALSE),0),"n.a."))</f>
        <v>0</v>
      </c>
      <c r="S1567" s="1">
        <f>IF(NOT(Paths!$C$148=1),0,IF(Paths!$P$148="Complete",IF(C1567=0,0,Paths!$S$148*Paths!$R$148),"n.a."))</f>
        <v>0</v>
      </c>
      <c r="T1567" s="1">
        <f>IF(NOT(Paths!$C$148=1),0,IF(Paths!$P$148="Complete",IF(C1567=0,0,VLOOKUP(A1567,'Fleet register'!$A$7:$S$106,9,FALSE)*Paths!$R$148),"n.a."))</f>
        <v>0</v>
      </c>
    </row>
    <row r="1568" spans="1:20" ht="24" customHeight="1">
      <c r="A1568" s="1" t="str">
        <f>Paths!$A$148</f>
        <v>T036</v>
      </c>
      <c r="B1568" s="1">
        <f>Paths!$B$148</f>
        <v>1</v>
      </c>
      <c r="C1568" s="1">
        <v>10</v>
      </c>
      <c r="D1568" s="1">
        <v>148</v>
      </c>
      <c r="E1568" s="1">
        <f>IF(OR(Paths!$C$148=0,C1568=0),0,MAX(0,MIN(C1568*12,Paths!$E$148)-(C1568-1)*12))</f>
        <v>0</v>
      </c>
      <c r="F1568" s="1">
        <f>IF(OR(Paths!$C$148=0,C1568=0),0,12-E1568)</f>
        <v>0</v>
      </c>
      <c r="G1568" s="16">
        <f>IF(NOT(Paths!$C$148=1),0,IF(Paths!$P$148="Complete",E1568/12*(Paths!$J$148*(1+'Operating costs'!$B$51)^MAX(0,C1568-1)+Paths!$K$148*(1+'Operating costs'!$B$53)^MAX(0,C1568-1)),"n.a."))</f>
        <v>0</v>
      </c>
      <c r="H1568" s="16">
        <f>IF(NOT(Paths!$C$148=1),0,IF(Paths!$P$148="Complete",F1568/12*(Paths!$L$148*(1+IF(Paths!$D$148="EV",'Operating costs'!$B$52,'Operating costs'!$B$51))^MAX(0,C1568-1)+Paths!$M$148*(1+'Operating costs'!$B$53)^MAX(0,C1568-1)),"n.a."))</f>
        <v>0</v>
      </c>
      <c r="I1568" s="16">
        <f>IF(NOT(Paths!$C$148=1),0,IF(Paths!$P$148="Complete",IF(IF(Paths!$E$148=0,C1568=0,AND(C1568&gt;0,Paths!$E$148&gt;(C1568-1)*12,Paths!$E$148&lt;=C1568*12)),Paths!$G$148,0),"n.a."))</f>
        <v>0</v>
      </c>
      <c r="J1568" s="16">
        <f>IF(NOT(Paths!$C$148=1),0,IF(Paths!$P$148="Complete",IF(IF(Paths!$E$148=0,C1568=0,AND(C1568&gt;0,Paths!$E$148&gt;(C1568-1)*12,Paths!$E$148&lt;=C1568*12)),Paths!$H$148,0),"n.a."))</f>
        <v>0</v>
      </c>
      <c r="K1568" s="16">
        <f>IF(NOT(Paths!$C$148=1),0,IF(Paths!$P$148="Complete",IF(IF(Paths!$O$148=0,C1568=0,AND(C1568&gt;0,Paths!$O$148&gt;(C1568-1)*12,Paths!$O$148&lt;=C1568*12)),Paths!$N$148,0),"n.a."))</f>
        <v>0</v>
      </c>
      <c r="L1568" s="16">
        <f>IF(NOT(Paths!$C$148=1),0,IF(Paths!$P$148="Complete",IF(C1568=10,Paths!$I$148,0),"n.a."))</f>
        <v>0</v>
      </c>
      <c r="M1568" s="16">
        <f>IF(NOT(Paths!$C$148=1),0,IF(Paths!$P$148="Complete",IF(AND(Paths!$D$148="EV",Paths!$E$148&lt;120,Paths!$E$148+'Operating costs'!$B$65&gt;Paths!$E$148,Paths!$E$148+'Operating costs'!$B$65&lt;=120,IF(Paths!$E$148+'Operating costs'!$B$65=0,C1568=0,AND(C1568&gt;0,Paths!$E$148+'Operating costs'!$B$65&gt;(C1568-1)*12,Paths!$E$148+'Operating costs'!$B$65&lt;=C1568*12))),'Operating costs'!$B$64,0)+IF(AND('Operating costs'!$B$67&gt;0,'Operating costs'!$B$67&lt;=120,OR(Paths!$D$148="ICE",'Operating costs'!$B$67&lt;=Paths!$E$148),IF('Operating costs'!$B$67=0,C1568=0,AND(C1568&gt;0,'Operating costs'!$B$67&gt;(C1568-1)*12,'Operating costs'!$B$67&lt;=C1568*12))),'Operating costs'!$B$66,0),"n.a."))</f>
        <v>0</v>
      </c>
      <c r="N1568" s="16">
        <f>IF(NOT(Paths!$C$148=1),0,IF(Paths!$P$148="Complete",SUM(G1568:I1568)-J1568-K1568-L1568+M1568+IF(C1568=0,Paths!$F$148,0)+IF(IF(Paths!$E$148=0,C1568=0,AND(C1568&gt;0,Paths!$E$148&gt;(C1568-1)*12,Paths!$E$148&lt;=C1568*12)),VLOOKUP(A1568,'Fleet register'!$A$7:$S$106,16,FALSE),0),"n.a."))</f>
        <v>0</v>
      </c>
      <c r="O1568" s="16">
        <f>IF(NOT(Paths!$C$148=1),0,IF(Paths!$P$148="Complete",N1568-IF(C1568=0,Paths!$F$148,0),"n.a."))</f>
        <v>0</v>
      </c>
      <c r="P1568" s="16">
        <f>IF(NOT(Paths!$C$148=1),0,IF(Paths!$P$148="Complete",O1568+L1568,"n.a."))</f>
        <v>0</v>
      </c>
      <c r="Q1568" s="16">
        <f>IF(NOT(Paths!$C$148=1),0,IF(Paths!$P$148="Complete",N1568*(1+'Operating costs'!$B$54)^-C1568,"n.a."))</f>
        <v>0</v>
      </c>
      <c r="R1568" s="16">
        <f>IF(NOT(Paths!$C$148=1),0,IF(Paths!$P$148="Complete",IF(AND(C1568=0,Paths!$E$148=0),I1568-J1568-K1568+VLOOKUP(A1568,'Fleet register'!$A$7:$S$106,15,FALSE)+VLOOKUP(A1568,'Fleet register'!$A$7:$S$106,16,FALSE),0),"n.a."))</f>
        <v>0</v>
      </c>
      <c r="S1568" s="1">
        <f>IF(NOT(Paths!$C$148=1),0,IF(Paths!$P$148="Complete",IF(C1568=0,0,Paths!$S$148*Paths!$R$148),"n.a."))</f>
        <v>0</v>
      </c>
      <c r="T1568" s="1">
        <f>IF(NOT(Paths!$C$148=1),0,IF(Paths!$P$148="Complete",IF(C1568=0,0,VLOOKUP(A1568,'Fleet register'!$A$7:$S$106,9,FALSE)*Paths!$R$148),"n.a."))</f>
        <v>0</v>
      </c>
    </row>
    <row r="1569" spans="1:20" ht="24" customHeight="1">
      <c r="A1569" s="1" t="str">
        <f>Paths!$A$149</f>
        <v>T036</v>
      </c>
      <c r="B1569" s="1">
        <f>Paths!$B$149</f>
        <v>2</v>
      </c>
      <c r="C1569" s="1">
        <v>0</v>
      </c>
      <c r="D1569" s="1">
        <v>149</v>
      </c>
      <c r="E1569" s="1">
        <f>IF(OR(Paths!$C$149=0,C1569=0),0,MAX(0,MIN(C1569*12,Paths!$E$149)-(C1569-1)*12))</f>
        <v>0</v>
      </c>
      <c r="F1569" s="1">
        <f>IF(OR(Paths!$C$149=0,C1569=0),0,12-E1569)</f>
        <v>0</v>
      </c>
      <c r="G1569" s="16">
        <f>IF(NOT(Paths!$C$149=1),0,IF(Paths!$P$149="Complete",E1569/12*(Paths!$J$149*(1+'Operating costs'!$B$51)^MAX(0,C1569-1)+Paths!$K$149*(1+'Operating costs'!$B$53)^MAX(0,C1569-1)),"n.a."))</f>
        <v>0</v>
      </c>
      <c r="H1569" s="16">
        <f>IF(NOT(Paths!$C$149=1),0,IF(Paths!$P$149="Complete",F1569/12*(Paths!$L$149*(1+IF(Paths!$D$149="EV",'Operating costs'!$B$52,'Operating costs'!$B$51))^MAX(0,C1569-1)+Paths!$M$149*(1+'Operating costs'!$B$53)^MAX(0,C1569-1)),"n.a."))</f>
        <v>0</v>
      </c>
      <c r="I1569" s="16">
        <f>IF(NOT(Paths!$C$149=1),0,IF(Paths!$P$149="Complete",IF(IF(Paths!$E$149=0,C1569=0,AND(C1569&gt;0,Paths!$E$149&gt;(C1569-1)*12,Paths!$E$149&lt;=C1569*12)),Paths!$G$149,0),"n.a."))</f>
        <v>0</v>
      </c>
      <c r="J1569" s="16">
        <f>IF(NOT(Paths!$C$149=1),0,IF(Paths!$P$149="Complete",IF(IF(Paths!$E$149=0,C1569=0,AND(C1569&gt;0,Paths!$E$149&gt;(C1569-1)*12,Paths!$E$149&lt;=C1569*12)),Paths!$H$149,0),"n.a."))</f>
        <v>0</v>
      </c>
      <c r="K1569" s="16">
        <f>IF(NOT(Paths!$C$149=1),0,IF(Paths!$P$149="Complete",IF(IF(Paths!$O$149=0,C1569=0,AND(C1569&gt;0,Paths!$O$149&gt;(C1569-1)*12,Paths!$O$149&lt;=C1569*12)),Paths!$N$149,0),"n.a."))</f>
        <v>0</v>
      </c>
      <c r="L1569" s="16">
        <f>IF(NOT(Paths!$C$149=1),0,IF(Paths!$P$149="Complete",IF(C1569=10,Paths!$I$149,0),"n.a."))</f>
        <v>0</v>
      </c>
      <c r="M1569" s="16">
        <f>IF(NOT(Paths!$C$149=1),0,IF(Paths!$P$149="Complete",IF(AND(Paths!$D$149="EV",Paths!$E$149&lt;120,Paths!$E$149+'Operating costs'!$B$65&gt;Paths!$E$149,Paths!$E$149+'Operating costs'!$B$65&lt;=120,IF(Paths!$E$149+'Operating costs'!$B$65=0,C1569=0,AND(C1569&gt;0,Paths!$E$149+'Operating costs'!$B$65&gt;(C1569-1)*12,Paths!$E$149+'Operating costs'!$B$65&lt;=C1569*12))),'Operating costs'!$B$64,0)+IF(AND('Operating costs'!$B$67&gt;0,'Operating costs'!$B$67&lt;=120,OR(Paths!$D$149="ICE",'Operating costs'!$B$67&lt;=Paths!$E$149),IF('Operating costs'!$B$67=0,C1569=0,AND(C1569&gt;0,'Operating costs'!$B$67&gt;(C1569-1)*12,'Operating costs'!$B$67&lt;=C1569*12))),'Operating costs'!$B$66,0),"n.a."))</f>
        <v>0</v>
      </c>
      <c r="N1569" s="16">
        <f>IF(NOT(Paths!$C$149=1),0,IF(Paths!$P$149="Complete",SUM(G1569:I1569)-J1569-K1569-L1569+M1569+IF(C1569=0,Paths!$F$149,0)+IF(IF(Paths!$E$149=0,C1569=0,AND(C1569&gt;0,Paths!$E$149&gt;(C1569-1)*12,Paths!$E$149&lt;=C1569*12)),VLOOKUP(A1569,'Fleet register'!$A$7:$S$106,16,FALSE),0),"n.a."))</f>
        <v>0</v>
      </c>
      <c r="O1569" s="16">
        <f>IF(NOT(Paths!$C$149=1),0,IF(Paths!$P$149="Complete",N1569-IF(C1569=0,Paths!$F$149,0),"n.a."))</f>
        <v>0</v>
      </c>
      <c r="P1569" s="16">
        <f>IF(NOT(Paths!$C$149=1),0,IF(Paths!$P$149="Complete",O1569+L1569,"n.a."))</f>
        <v>0</v>
      </c>
      <c r="Q1569" s="16">
        <f>IF(NOT(Paths!$C$149=1),0,IF(Paths!$P$149="Complete",N1569*(1+'Operating costs'!$B$54)^-C1569,"n.a."))</f>
        <v>0</v>
      </c>
      <c r="R1569" s="16">
        <f>IF(NOT(Paths!$C$149=1),0,IF(Paths!$P$149="Complete",IF(AND(C1569=0,Paths!$E$149=0),I1569-J1569-K1569+VLOOKUP(A1569,'Fleet register'!$A$7:$S$106,15,FALSE)+VLOOKUP(A1569,'Fleet register'!$A$7:$S$106,16,FALSE),0),"n.a."))</f>
        <v>0</v>
      </c>
      <c r="S1569" s="1">
        <f>IF(NOT(Paths!$C$149=1),0,IF(Paths!$P$149="Complete",IF(C1569=0,0,Paths!$S$149*Paths!$R$149),"n.a."))</f>
        <v>0</v>
      </c>
      <c r="T1569" s="1">
        <f>IF(NOT(Paths!$C$149=1),0,IF(Paths!$P$149="Complete",IF(C1569=0,0,VLOOKUP(A1569,'Fleet register'!$A$7:$S$106,9,FALSE)*Paths!$R$149),"n.a."))</f>
        <v>0</v>
      </c>
    </row>
    <row r="1570" spans="1:20" ht="24" customHeight="1">
      <c r="A1570" s="1" t="str">
        <f>Paths!$A$149</f>
        <v>T036</v>
      </c>
      <c r="B1570" s="1">
        <f>Paths!$B$149</f>
        <v>2</v>
      </c>
      <c r="C1570" s="1">
        <v>1</v>
      </c>
      <c r="D1570" s="1">
        <v>149</v>
      </c>
      <c r="E1570" s="1">
        <f>IF(OR(Paths!$C$149=0,C1570=0),0,MAX(0,MIN(C1570*12,Paths!$E$149)-(C1570-1)*12))</f>
        <v>0</v>
      </c>
      <c r="F1570" s="1">
        <f>IF(OR(Paths!$C$149=0,C1570=0),0,12-E1570)</f>
        <v>0</v>
      </c>
      <c r="G1570" s="16">
        <f>IF(NOT(Paths!$C$149=1),0,IF(Paths!$P$149="Complete",E1570/12*(Paths!$J$149*(1+'Operating costs'!$B$51)^MAX(0,C1570-1)+Paths!$K$149*(1+'Operating costs'!$B$53)^MAX(0,C1570-1)),"n.a."))</f>
        <v>0</v>
      </c>
      <c r="H1570" s="16">
        <f>IF(NOT(Paths!$C$149=1),0,IF(Paths!$P$149="Complete",F1570/12*(Paths!$L$149*(1+IF(Paths!$D$149="EV",'Operating costs'!$B$52,'Operating costs'!$B$51))^MAX(0,C1570-1)+Paths!$M$149*(1+'Operating costs'!$B$53)^MAX(0,C1570-1)),"n.a."))</f>
        <v>0</v>
      </c>
      <c r="I1570" s="16">
        <f>IF(NOT(Paths!$C$149=1),0,IF(Paths!$P$149="Complete",IF(IF(Paths!$E$149=0,C1570=0,AND(C1570&gt;0,Paths!$E$149&gt;(C1570-1)*12,Paths!$E$149&lt;=C1570*12)),Paths!$G$149,0),"n.a."))</f>
        <v>0</v>
      </c>
      <c r="J1570" s="16">
        <f>IF(NOT(Paths!$C$149=1),0,IF(Paths!$P$149="Complete",IF(IF(Paths!$E$149=0,C1570=0,AND(C1570&gt;0,Paths!$E$149&gt;(C1570-1)*12,Paths!$E$149&lt;=C1570*12)),Paths!$H$149,0),"n.a."))</f>
        <v>0</v>
      </c>
      <c r="K1570" s="16">
        <f>IF(NOT(Paths!$C$149=1),0,IF(Paths!$P$149="Complete",IF(IF(Paths!$O$149=0,C1570=0,AND(C1570&gt;0,Paths!$O$149&gt;(C1570-1)*12,Paths!$O$149&lt;=C1570*12)),Paths!$N$149,0),"n.a."))</f>
        <v>0</v>
      </c>
      <c r="L1570" s="16">
        <f>IF(NOT(Paths!$C$149=1),0,IF(Paths!$P$149="Complete",IF(C1570=10,Paths!$I$149,0),"n.a."))</f>
        <v>0</v>
      </c>
      <c r="M1570" s="16">
        <f>IF(NOT(Paths!$C$149=1),0,IF(Paths!$P$149="Complete",IF(AND(Paths!$D$149="EV",Paths!$E$149&lt;120,Paths!$E$149+'Operating costs'!$B$65&gt;Paths!$E$149,Paths!$E$149+'Operating costs'!$B$65&lt;=120,IF(Paths!$E$149+'Operating costs'!$B$65=0,C1570=0,AND(C1570&gt;0,Paths!$E$149+'Operating costs'!$B$65&gt;(C1570-1)*12,Paths!$E$149+'Operating costs'!$B$65&lt;=C1570*12))),'Operating costs'!$B$64,0)+IF(AND('Operating costs'!$B$67&gt;0,'Operating costs'!$B$67&lt;=120,OR(Paths!$D$149="ICE",'Operating costs'!$B$67&lt;=Paths!$E$149),IF('Operating costs'!$B$67=0,C1570=0,AND(C1570&gt;0,'Operating costs'!$B$67&gt;(C1570-1)*12,'Operating costs'!$B$67&lt;=C1570*12))),'Operating costs'!$B$66,0),"n.a."))</f>
        <v>0</v>
      </c>
      <c r="N1570" s="16">
        <f>IF(NOT(Paths!$C$149=1),0,IF(Paths!$P$149="Complete",SUM(G1570:I1570)-J1570-K1570-L1570+M1570+IF(C1570=0,Paths!$F$149,0)+IF(IF(Paths!$E$149=0,C1570=0,AND(C1570&gt;0,Paths!$E$149&gt;(C1570-1)*12,Paths!$E$149&lt;=C1570*12)),VLOOKUP(A1570,'Fleet register'!$A$7:$S$106,16,FALSE),0),"n.a."))</f>
        <v>0</v>
      </c>
      <c r="O1570" s="16">
        <f>IF(NOT(Paths!$C$149=1),0,IF(Paths!$P$149="Complete",N1570-IF(C1570=0,Paths!$F$149,0),"n.a."))</f>
        <v>0</v>
      </c>
      <c r="P1570" s="16">
        <f>IF(NOT(Paths!$C$149=1),0,IF(Paths!$P$149="Complete",O1570+L1570,"n.a."))</f>
        <v>0</v>
      </c>
      <c r="Q1570" s="16">
        <f>IF(NOT(Paths!$C$149=1),0,IF(Paths!$P$149="Complete",N1570*(1+'Operating costs'!$B$54)^-C1570,"n.a."))</f>
        <v>0</v>
      </c>
      <c r="R1570" s="16">
        <f>IF(NOT(Paths!$C$149=1),0,IF(Paths!$P$149="Complete",IF(AND(C1570=0,Paths!$E$149=0),I1570-J1570-K1570+VLOOKUP(A1570,'Fleet register'!$A$7:$S$106,15,FALSE)+VLOOKUP(A1570,'Fleet register'!$A$7:$S$106,16,FALSE),0),"n.a."))</f>
        <v>0</v>
      </c>
      <c r="S1570" s="1">
        <f>IF(NOT(Paths!$C$149=1),0,IF(Paths!$P$149="Complete",IF(C1570=0,0,Paths!$S$149*Paths!$R$149),"n.a."))</f>
        <v>0</v>
      </c>
      <c r="T1570" s="1">
        <f>IF(NOT(Paths!$C$149=1),0,IF(Paths!$P$149="Complete",IF(C1570=0,0,VLOOKUP(A1570,'Fleet register'!$A$7:$S$106,9,FALSE)*Paths!$R$149),"n.a."))</f>
        <v>0</v>
      </c>
    </row>
    <row r="1571" spans="1:20" ht="24" customHeight="1">
      <c r="A1571" s="1" t="str">
        <f>Paths!$A$149</f>
        <v>T036</v>
      </c>
      <c r="B1571" s="1">
        <f>Paths!$B$149</f>
        <v>2</v>
      </c>
      <c r="C1571" s="1">
        <v>2</v>
      </c>
      <c r="D1571" s="1">
        <v>149</v>
      </c>
      <c r="E1571" s="1">
        <f>IF(OR(Paths!$C$149=0,C1571=0),0,MAX(0,MIN(C1571*12,Paths!$E$149)-(C1571-1)*12))</f>
        <v>0</v>
      </c>
      <c r="F1571" s="1">
        <f>IF(OR(Paths!$C$149=0,C1571=0),0,12-E1571)</f>
        <v>0</v>
      </c>
      <c r="G1571" s="16">
        <f>IF(NOT(Paths!$C$149=1),0,IF(Paths!$P$149="Complete",E1571/12*(Paths!$J$149*(1+'Operating costs'!$B$51)^MAX(0,C1571-1)+Paths!$K$149*(1+'Operating costs'!$B$53)^MAX(0,C1571-1)),"n.a."))</f>
        <v>0</v>
      </c>
      <c r="H1571" s="16">
        <f>IF(NOT(Paths!$C$149=1),0,IF(Paths!$P$149="Complete",F1571/12*(Paths!$L$149*(1+IF(Paths!$D$149="EV",'Operating costs'!$B$52,'Operating costs'!$B$51))^MAX(0,C1571-1)+Paths!$M$149*(1+'Operating costs'!$B$53)^MAX(0,C1571-1)),"n.a."))</f>
        <v>0</v>
      </c>
      <c r="I1571" s="16">
        <f>IF(NOT(Paths!$C$149=1),0,IF(Paths!$P$149="Complete",IF(IF(Paths!$E$149=0,C1571=0,AND(C1571&gt;0,Paths!$E$149&gt;(C1571-1)*12,Paths!$E$149&lt;=C1571*12)),Paths!$G$149,0),"n.a."))</f>
        <v>0</v>
      </c>
      <c r="J1571" s="16">
        <f>IF(NOT(Paths!$C$149=1),0,IF(Paths!$P$149="Complete",IF(IF(Paths!$E$149=0,C1571=0,AND(C1571&gt;0,Paths!$E$149&gt;(C1571-1)*12,Paths!$E$149&lt;=C1571*12)),Paths!$H$149,0),"n.a."))</f>
        <v>0</v>
      </c>
      <c r="K1571" s="16">
        <f>IF(NOT(Paths!$C$149=1),0,IF(Paths!$P$149="Complete",IF(IF(Paths!$O$149=0,C1571=0,AND(C1571&gt;0,Paths!$O$149&gt;(C1571-1)*12,Paths!$O$149&lt;=C1571*12)),Paths!$N$149,0),"n.a."))</f>
        <v>0</v>
      </c>
      <c r="L1571" s="16">
        <f>IF(NOT(Paths!$C$149=1),0,IF(Paths!$P$149="Complete",IF(C1571=10,Paths!$I$149,0),"n.a."))</f>
        <v>0</v>
      </c>
      <c r="M1571" s="16">
        <f>IF(NOT(Paths!$C$149=1),0,IF(Paths!$P$149="Complete",IF(AND(Paths!$D$149="EV",Paths!$E$149&lt;120,Paths!$E$149+'Operating costs'!$B$65&gt;Paths!$E$149,Paths!$E$149+'Operating costs'!$B$65&lt;=120,IF(Paths!$E$149+'Operating costs'!$B$65=0,C1571=0,AND(C1571&gt;0,Paths!$E$149+'Operating costs'!$B$65&gt;(C1571-1)*12,Paths!$E$149+'Operating costs'!$B$65&lt;=C1571*12))),'Operating costs'!$B$64,0)+IF(AND('Operating costs'!$B$67&gt;0,'Operating costs'!$B$67&lt;=120,OR(Paths!$D$149="ICE",'Operating costs'!$B$67&lt;=Paths!$E$149),IF('Operating costs'!$B$67=0,C1571=0,AND(C1571&gt;0,'Operating costs'!$B$67&gt;(C1571-1)*12,'Operating costs'!$B$67&lt;=C1571*12))),'Operating costs'!$B$66,0),"n.a."))</f>
        <v>0</v>
      </c>
      <c r="N1571" s="16">
        <f>IF(NOT(Paths!$C$149=1),0,IF(Paths!$P$149="Complete",SUM(G1571:I1571)-J1571-K1571-L1571+M1571+IF(C1571=0,Paths!$F$149,0)+IF(IF(Paths!$E$149=0,C1571=0,AND(C1571&gt;0,Paths!$E$149&gt;(C1571-1)*12,Paths!$E$149&lt;=C1571*12)),VLOOKUP(A1571,'Fleet register'!$A$7:$S$106,16,FALSE),0),"n.a."))</f>
        <v>0</v>
      </c>
      <c r="O1571" s="16">
        <f>IF(NOT(Paths!$C$149=1),0,IF(Paths!$P$149="Complete",N1571-IF(C1571=0,Paths!$F$149,0),"n.a."))</f>
        <v>0</v>
      </c>
      <c r="P1571" s="16">
        <f>IF(NOT(Paths!$C$149=1),0,IF(Paths!$P$149="Complete",O1571+L1571,"n.a."))</f>
        <v>0</v>
      </c>
      <c r="Q1571" s="16">
        <f>IF(NOT(Paths!$C$149=1),0,IF(Paths!$P$149="Complete",N1571*(1+'Operating costs'!$B$54)^-C1571,"n.a."))</f>
        <v>0</v>
      </c>
      <c r="R1571" s="16">
        <f>IF(NOT(Paths!$C$149=1),0,IF(Paths!$P$149="Complete",IF(AND(C1571=0,Paths!$E$149=0),I1571-J1571-K1571+VLOOKUP(A1571,'Fleet register'!$A$7:$S$106,15,FALSE)+VLOOKUP(A1571,'Fleet register'!$A$7:$S$106,16,FALSE),0),"n.a."))</f>
        <v>0</v>
      </c>
      <c r="S1571" s="1">
        <f>IF(NOT(Paths!$C$149=1),0,IF(Paths!$P$149="Complete",IF(C1571=0,0,Paths!$S$149*Paths!$R$149),"n.a."))</f>
        <v>0</v>
      </c>
      <c r="T1571" s="1">
        <f>IF(NOT(Paths!$C$149=1),0,IF(Paths!$P$149="Complete",IF(C1571=0,0,VLOOKUP(A1571,'Fleet register'!$A$7:$S$106,9,FALSE)*Paths!$R$149),"n.a."))</f>
        <v>0</v>
      </c>
    </row>
    <row r="1572" spans="1:20" ht="24" customHeight="1">
      <c r="A1572" s="1" t="str">
        <f>Paths!$A$149</f>
        <v>T036</v>
      </c>
      <c r="B1572" s="1">
        <f>Paths!$B$149</f>
        <v>2</v>
      </c>
      <c r="C1572" s="1">
        <v>3</v>
      </c>
      <c r="D1572" s="1">
        <v>149</v>
      </c>
      <c r="E1572" s="1">
        <f>IF(OR(Paths!$C$149=0,C1572=0),0,MAX(0,MIN(C1572*12,Paths!$E$149)-(C1572-1)*12))</f>
        <v>0</v>
      </c>
      <c r="F1572" s="1">
        <f>IF(OR(Paths!$C$149=0,C1572=0),0,12-E1572)</f>
        <v>0</v>
      </c>
      <c r="G1572" s="16">
        <f>IF(NOT(Paths!$C$149=1),0,IF(Paths!$P$149="Complete",E1572/12*(Paths!$J$149*(1+'Operating costs'!$B$51)^MAX(0,C1572-1)+Paths!$K$149*(1+'Operating costs'!$B$53)^MAX(0,C1572-1)),"n.a."))</f>
        <v>0</v>
      </c>
      <c r="H1572" s="16">
        <f>IF(NOT(Paths!$C$149=1),0,IF(Paths!$P$149="Complete",F1572/12*(Paths!$L$149*(1+IF(Paths!$D$149="EV",'Operating costs'!$B$52,'Operating costs'!$B$51))^MAX(0,C1572-1)+Paths!$M$149*(1+'Operating costs'!$B$53)^MAX(0,C1572-1)),"n.a."))</f>
        <v>0</v>
      </c>
      <c r="I1572" s="16">
        <f>IF(NOT(Paths!$C$149=1),0,IF(Paths!$P$149="Complete",IF(IF(Paths!$E$149=0,C1572=0,AND(C1572&gt;0,Paths!$E$149&gt;(C1572-1)*12,Paths!$E$149&lt;=C1572*12)),Paths!$G$149,0),"n.a."))</f>
        <v>0</v>
      </c>
      <c r="J1572" s="16">
        <f>IF(NOT(Paths!$C$149=1),0,IF(Paths!$P$149="Complete",IF(IF(Paths!$E$149=0,C1572=0,AND(C1572&gt;0,Paths!$E$149&gt;(C1572-1)*12,Paths!$E$149&lt;=C1572*12)),Paths!$H$149,0),"n.a."))</f>
        <v>0</v>
      </c>
      <c r="K1572" s="16">
        <f>IF(NOT(Paths!$C$149=1),0,IF(Paths!$P$149="Complete",IF(IF(Paths!$O$149=0,C1572=0,AND(C1572&gt;0,Paths!$O$149&gt;(C1572-1)*12,Paths!$O$149&lt;=C1572*12)),Paths!$N$149,0),"n.a."))</f>
        <v>0</v>
      </c>
      <c r="L1572" s="16">
        <f>IF(NOT(Paths!$C$149=1),0,IF(Paths!$P$149="Complete",IF(C1572=10,Paths!$I$149,0),"n.a."))</f>
        <v>0</v>
      </c>
      <c r="M1572" s="16">
        <f>IF(NOT(Paths!$C$149=1),0,IF(Paths!$P$149="Complete",IF(AND(Paths!$D$149="EV",Paths!$E$149&lt;120,Paths!$E$149+'Operating costs'!$B$65&gt;Paths!$E$149,Paths!$E$149+'Operating costs'!$B$65&lt;=120,IF(Paths!$E$149+'Operating costs'!$B$65=0,C1572=0,AND(C1572&gt;0,Paths!$E$149+'Operating costs'!$B$65&gt;(C1572-1)*12,Paths!$E$149+'Operating costs'!$B$65&lt;=C1572*12))),'Operating costs'!$B$64,0)+IF(AND('Operating costs'!$B$67&gt;0,'Operating costs'!$B$67&lt;=120,OR(Paths!$D$149="ICE",'Operating costs'!$B$67&lt;=Paths!$E$149),IF('Operating costs'!$B$67=0,C1572=0,AND(C1572&gt;0,'Operating costs'!$B$67&gt;(C1572-1)*12,'Operating costs'!$B$67&lt;=C1572*12))),'Operating costs'!$B$66,0),"n.a."))</f>
        <v>0</v>
      </c>
      <c r="N1572" s="16">
        <f>IF(NOT(Paths!$C$149=1),0,IF(Paths!$P$149="Complete",SUM(G1572:I1572)-J1572-K1572-L1572+M1572+IF(C1572=0,Paths!$F$149,0)+IF(IF(Paths!$E$149=0,C1572=0,AND(C1572&gt;0,Paths!$E$149&gt;(C1572-1)*12,Paths!$E$149&lt;=C1572*12)),VLOOKUP(A1572,'Fleet register'!$A$7:$S$106,16,FALSE),0),"n.a."))</f>
        <v>0</v>
      </c>
      <c r="O1572" s="16">
        <f>IF(NOT(Paths!$C$149=1),0,IF(Paths!$P$149="Complete",N1572-IF(C1572=0,Paths!$F$149,0),"n.a."))</f>
        <v>0</v>
      </c>
      <c r="P1572" s="16">
        <f>IF(NOT(Paths!$C$149=1),0,IF(Paths!$P$149="Complete",O1572+L1572,"n.a."))</f>
        <v>0</v>
      </c>
      <c r="Q1572" s="16">
        <f>IF(NOT(Paths!$C$149=1),0,IF(Paths!$P$149="Complete",N1572*(1+'Operating costs'!$B$54)^-C1572,"n.a."))</f>
        <v>0</v>
      </c>
      <c r="R1572" s="16">
        <f>IF(NOT(Paths!$C$149=1),0,IF(Paths!$P$149="Complete",IF(AND(C1572=0,Paths!$E$149=0),I1572-J1572-K1572+VLOOKUP(A1572,'Fleet register'!$A$7:$S$106,15,FALSE)+VLOOKUP(A1572,'Fleet register'!$A$7:$S$106,16,FALSE),0),"n.a."))</f>
        <v>0</v>
      </c>
      <c r="S1572" s="1">
        <f>IF(NOT(Paths!$C$149=1),0,IF(Paths!$P$149="Complete",IF(C1572=0,0,Paths!$S$149*Paths!$R$149),"n.a."))</f>
        <v>0</v>
      </c>
      <c r="T1572" s="1">
        <f>IF(NOT(Paths!$C$149=1),0,IF(Paths!$P$149="Complete",IF(C1572=0,0,VLOOKUP(A1572,'Fleet register'!$A$7:$S$106,9,FALSE)*Paths!$R$149),"n.a."))</f>
        <v>0</v>
      </c>
    </row>
    <row r="1573" spans="1:20" ht="24" customHeight="1">
      <c r="A1573" s="1" t="str">
        <f>Paths!$A$149</f>
        <v>T036</v>
      </c>
      <c r="B1573" s="1">
        <f>Paths!$B$149</f>
        <v>2</v>
      </c>
      <c r="C1573" s="1">
        <v>4</v>
      </c>
      <c r="D1573" s="1">
        <v>149</v>
      </c>
      <c r="E1573" s="1">
        <f>IF(OR(Paths!$C$149=0,C1573=0),0,MAX(0,MIN(C1573*12,Paths!$E$149)-(C1573-1)*12))</f>
        <v>0</v>
      </c>
      <c r="F1573" s="1">
        <f>IF(OR(Paths!$C$149=0,C1573=0),0,12-E1573)</f>
        <v>0</v>
      </c>
      <c r="G1573" s="16">
        <f>IF(NOT(Paths!$C$149=1),0,IF(Paths!$P$149="Complete",E1573/12*(Paths!$J$149*(1+'Operating costs'!$B$51)^MAX(0,C1573-1)+Paths!$K$149*(1+'Operating costs'!$B$53)^MAX(0,C1573-1)),"n.a."))</f>
        <v>0</v>
      </c>
      <c r="H1573" s="16">
        <f>IF(NOT(Paths!$C$149=1),0,IF(Paths!$P$149="Complete",F1573/12*(Paths!$L$149*(1+IF(Paths!$D$149="EV",'Operating costs'!$B$52,'Operating costs'!$B$51))^MAX(0,C1573-1)+Paths!$M$149*(1+'Operating costs'!$B$53)^MAX(0,C1573-1)),"n.a."))</f>
        <v>0</v>
      </c>
      <c r="I1573" s="16">
        <f>IF(NOT(Paths!$C$149=1),0,IF(Paths!$P$149="Complete",IF(IF(Paths!$E$149=0,C1573=0,AND(C1573&gt;0,Paths!$E$149&gt;(C1573-1)*12,Paths!$E$149&lt;=C1573*12)),Paths!$G$149,0),"n.a."))</f>
        <v>0</v>
      </c>
      <c r="J1573" s="16">
        <f>IF(NOT(Paths!$C$149=1),0,IF(Paths!$P$149="Complete",IF(IF(Paths!$E$149=0,C1573=0,AND(C1573&gt;0,Paths!$E$149&gt;(C1573-1)*12,Paths!$E$149&lt;=C1573*12)),Paths!$H$149,0),"n.a."))</f>
        <v>0</v>
      </c>
      <c r="K1573" s="16">
        <f>IF(NOT(Paths!$C$149=1),0,IF(Paths!$P$149="Complete",IF(IF(Paths!$O$149=0,C1573=0,AND(C1573&gt;0,Paths!$O$149&gt;(C1573-1)*12,Paths!$O$149&lt;=C1573*12)),Paths!$N$149,0),"n.a."))</f>
        <v>0</v>
      </c>
      <c r="L1573" s="16">
        <f>IF(NOT(Paths!$C$149=1),0,IF(Paths!$P$149="Complete",IF(C1573=10,Paths!$I$149,0),"n.a."))</f>
        <v>0</v>
      </c>
      <c r="M1573" s="16">
        <f>IF(NOT(Paths!$C$149=1),0,IF(Paths!$P$149="Complete",IF(AND(Paths!$D$149="EV",Paths!$E$149&lt;120,Paths!$E$149+'Operating costs'!$B$65&gt;Paths!$E$149,Paths!$E$149+'Operating costs'!$B$65&lt;=120,IF(Paths!$E$149+'Operating costs'!$B$65=0,C1573=0,AND(C1573&gt;0,Paths!$E$149+'Operating costs'!$B$65&gt;(C1573-1)*12,Paths!$E$149+'Operating costs'!$B$65&lt;=C1573*12))),'Operating costs'!$B$64,0)+IF(AND('Operating costs'!$B$67&gt;0,'Operating costs'!$B$67&lt;=120,OR(Paths!$D$149="ICE",'Operating costs'!$B$67&lt;=Paths!$E$149),IF('Operating costs'!$B$67=0,C1573=0,AND(C1573&gt;0,'Operating costs'!$B$67&gt;(C1573-1)*12,'Operating costs'!$B$67&lt;=C1573*12))),'Operating costs'!$B$66,0),"n.a."))</f>
        <v>0</v>
      </c>
      <c r="N1573" s="16">
        <f>IF(NOT(Paths!$C$149=1),0,IF(Paths!$P$149="Complete",SUM(G1573:I1573)-J1573-K1573-L1573+M1573+IF(C1573=0,Paths!$F$149,0)+IF(IF(Paths!$E$149=0,C1573=0,AND(C1573&gt;0,Paths!$E$149&gt;(C1573-1)*12,Paths!$E$149&lt;=C1573*12)),VLOOKUP(A1573,'Fleet register'!$A$7:$S$106,16,FALSE),0),"n.a."))</f>
        <v>0</v>
      </c>
      <c r="O1573" s="16">
        <f>IF(NOT(Paths!$C$149=1),0,IF(Paths!$P$149="Complete",N1573-IF(C1573=0,Paths!$F$149,0),"n.a."))</f>
        <v>0</v>
      </c>
      <c r="P1573" s="16">
        <f>IF(NOT(Paths!$C$149=1),0,IF(Paths!$P$149="Complete",O1573+L1573,"n.a."))</f>
        <v>0</v>
      </c>
      <c r="Q1573" s="16">
        <f>IF(NOT(Paths!$C$149=1),0,IF(Paths!$P$149="Complete",N1573*(1+'Operating costs'!$B$54)^-C1573,"n.a."))</f>
        <v>0</v>
      </c>
      <c r="R1573" s="16">
        <f>IF(NOT(Paths!$C$149=1),0,IF(Paths!$P$149="Complete",IF(AND(C1573=0,Paths!$E$149=0),I1573-J1573-K1573+VLOOKUP(A1573,'Fleet register'!$A$7:$S$106,15,FALSE)+VLOOKUP(A1573,'Fleet register'!$A$7:$S$106,16,FALSE),0),"n.a."))</f>
        <v>0</v>
      </c>
      <c r="S1573" s="1">
        <f>IF(NOT(Paths!$C$149=1),0,IF(Paths!$P$149="Complete",IF(C1573=0,0,Paths!$S$149*Paths!$R$149),"n.a."))</f>
        <v>0</v>
      </c>
      <c r="T1573" s="1">
        <f>IF(NOT(Paths!$C$149=1),0,IF(Paths!$P$149="Complete",IF(C1573=0,0,VLOOKUP(A1573,'Fleet register'!$A$7:$S$106,9,FALSE)*Paths!$R$149),"n.a."))</f>
        <v>0</v>
      </c>
    </row>
    <row r="1574" spans="1:20" ht="24" customHeight="1">
      <c r="A1574" s="1" t="str">
        <f>Paths!$A$149</f>
        <v>T036</v>
      </c>
      <c r="B1574" s="1">
        <f>Paths!$B$149</f>
        <v>2</v>
      </c>
      <c r="C1574" s="1">
        <v>5</v>
      </c>
      <c r="D1574" s="1">
        <v>149</v>
      </c>
      <c r="E1574" s="1">
        <f>IF(OR(Paths!$C$149=0,C1574=0),0,MAX(0,MIN(C1574*12,Paths!$E$149)-(C1574-1)*12))</f>
        <v>0</v>
      </c>
      <c r="F1574" s="1">
        <f>IF(OR(Paths!$C$149=0,C1574=0),0,12-E1574)</f>
        <v>0</v>
      </c>
      <c r="G1574" s="16">
        <f>IF(NOT(Paths!$C$149=1),0,IF(Paths!$P$149="Complete",E1574/12*(Paths!$J$149*(1+'Operating costs'!$B$51)^MAX(0,C1574-1)+Paths!$K$149*(1+'Operating costs'!$B$53)^MAX(0,C1574-1)),"n.a."))</f>
        <v>0</v>
      </c>
      <c r="H1574" s="16">
        <f>IF(NOT(Paths!$C$149=1),0,IF(Paths!$P$149="Complete",F1574/12*(Paths!$L$149*(1+IF(Paths!$D$149="EV",'Operating costs'!$B$52,'Operating costs'!$B$51))^MAX(0,C1574-1)+Paths!$M$149*(1+'Operating costs'!$B$53)^MAX(0,C1574-1)),"n.a."))</f>
        <v>0</v>
      </c>
      <c r="I1574" s="16">
        <f>IF(NOT(Paths!$C$149=1),0,IF(Paths!$P$149="Complete",IF(IF(Paths!$E$149=0,C1574=0,AND(C1574&gt;0,Paths!$E$149&gt;(C1574-1)*12,Paths!$E$149&lt;=C1574*12)),Paths!$G$149,0),"n.a."))</f>
        <v>0</v>
      </c>
      <c r="J1574" s="16">
        <f>IF(NOT(Paths!$C$149=1),0,IF(Paths!$P$149="Complete",IF(IF(Paths!$E$149=0,C1574=0,AND(C1574&gt;0,Paths!$E$149&gt;(C1574-1)*12,Paths!$E$149&lt;=C1574*12)),Paths!$H$149,0),"n.a."))</f>
        <v>0</v>
      </c>
      <c r="K1574" s="16">
        <f>IF(NOT(Paths!$C$149=1),0,IF(Paths!$P$149="Complete",IF(IF(Paths!$O$149=0,C1574=0,AND(C1574&gt;0,Paths!$O$149&gt;(C1574-1)*12,Paths!$O$149&lt;=C1574*12)),Paths!$N$149,0),"n.a."))</f>
        <v>0</v>
      </c>
      <c r="L1574" s="16">
        <f>IF(NOT(Paths!$C$149=1),0,IF(Paths!$P$149="Complete",IF(C1574=10,Paths!$I$149,0),"n.a."))</f>
        <v>0</v>
      </c>
      <c r="M1574" s="16">
        <f>IF(NOT(Paths!$C$149=1),0,IF(Paths!$P$149="Complete",IF(AND(Paths!$D$149="EV",Paths!$E$149&lt;120,Paths!$E$149+'Operating costs'!$B$65&gt;Paths!$E$149,Paths!$E$149+'Operating costs'!$B$65&lt;=120,IF(Paths!$E$149+'Operating costs'!$B$65=0,C1574=0,AND(C1574&gt;0,Paths!$E$149+'Operating costs'!$B$65&gt;(C1574-1)*12,Paths!$E$149+'Operating costs'!$B$65&lt;=C1574*12))),'Operating costs'!$B$64,0)+IF(AND('Operating costs'!$B$67&gt;0,'Operating costs'!$B$67&lt;=120,OR(Paths!$D$149="ICE",'Operating costs'!$B$67&lt;=Paths!$E$149),IF('Operating costs'!$B$67=0,C1574=0,AND(C1574&gt;0,'Operating costs'!$B$67&gt;(C1574-1)*12,'Operating costs'!$B$67&lt;=C1574*12))),'Operating costs'!$B$66,0),"n.a."))</f>
        <v>0</v>
      </c>
      <c r="N1574" s="16">
        <f>IF(NOT(Paths!$C$149=1),0,IF(Paths!$P$149="Complete",SUM(G1574:I1574)-J1574-K1574-L1574+M1574+IF(C1574=0,Paths!$F$149,0)+IF(IF(Paths!$E$149=0,C1574=0,AND(C1574&gt;0,Paths!$E$149&gt;(C1574-1)*12,Paths!$E$149&lt;=C1574*12)),VLOOKUP(A1574,'Fleet register'!$A$7:$S$106,16,FALSE),0),"n.a."))</f>
        <v>0</v>
      </c>
      <c r="O1574" s="16">
        <f>IF(NOT(Paths!$C$149=1),0,IF(Paths!$P$149="Complete",N1574-IF(C1574=0,Paths!$F$149,0),"n.a."))</f>
        <v>0</v>
      </c>
      <c r="P1574" s="16">
        <f>IF(NOT(Paths!$C$149=1),0,IF(Paths!$P$149="Complete",O1574+L1574,"n.a."))</f>
        <v>0</v>
      </c>
      <c r="Q1574" s="16">
        <f>IF(NOT(Paths!$C$149=1),0,IF(Paths!$P$149="Complete",N1574*(1+'Operating costs'!$B$54)^-C1574,"n.a."))</f>
        <v>0</v>
      </c>
      <c r="R1574" s="16">
        <f>IF(NOT(Paths!$C$149=1),0,IF(Paths!$P$149="Complete",IF(AND(C1574=0,Paths!$E$149=0),I1574-J1574-K1574+VLOOKUP(A1574,'Fleet register'!$A$7:$S$106,15,FALSE)+VLOOKUP(A1574,'Fleet register'!$A$7:$S$106,16,FALSE),0),"n.a."))</f>
        <v>0</v>
      </c>
      <c r="S1574" s="1">
        <f>IF(NOT(Paths!$C$149=1),0,IF(Paths!$P$149="Complete",IF(C1574=0,0,Paths!$S$149*Paths!$R$149),"n.a."))</f>
        <v>0</v>
      </c>
      <c r="T1574" s="1">
        <f>IF(NOT(Paths!$C$149=1),0,IF(Paths!$P$149="Complete",IF(C1574=0,0,VLOOKUP(A1574,'Fleet register'!$A$7:$S$106,9,FALSE)*Paths!$R$149),"n.a."))</f>
        <v>0</v>
      </c>
    </row>
    <row r="1575" spans="1:20" ht="24" customHeight="1">
      <c r="A1575" s="1" t="str">
        <f>Paths!$A$149</f>
        <v>T036</v>
      </c>
      <c r="B1575" s="1">
        <f>Paths!$B$149</f>
        <v>2</v>
      </c>
      <c r="C1575" s="1">
        <v>6</v>
      </c>
      <c r="D1575" s="1">
        <v>149</v>
      </c>
      <c r="E1575" s="1">
        <f>IF(OR(Paths!$C$149=0,C1575=0),0,MAX(0,MIN(C1575*12,Paths!$E$149)-(C1575-1)*12))</f>
        <v>0</v>
      </c>
      <c r="F1575" s="1">
        <f>IF(OR(Paths!$C$149=0,C1575=0),0,12-E1575)</f>
        <v>0</v>
      </c>
      <c r="G1575" s="16">
        <f>IF(NOT(Paths!$C$149=1),0,IF(Paths!$P$149="Complete",E1575/12*(Paths!$J$149*(1+'Operating costs'!$B$51)^MAX(0,C1575-1)+Paths!$K$149*(1+'Operating costs'!$B$53)^MAX(0,C1575-1)),"n.a."))</f>
        <v>0</v>
      </c>
      <c r="H1575" s="16">
        <f>IF(NOT(Paths!$C$149=1),0,IF(Paths!$P$149="Complete",F1575/12*(Paths!$L$149*(1+IF(Paths!$D$149="EV",'Operating costs'!$B$52,'Operating costs'!$B$51))^MAX(0,C1575-1)+Paths!$M$149*(1+'Operating costs'!$B$53)^MAX(0,C1575-1)),"n.a."))</f>
        <v>0</v>
      </c>
      <c r="I1575" s="16">
        <f>IF(NOT(Paths!$C$149=1),0,IF(Paths!$P$149="Complete",IF(IF(Paths!$E$149=0,C1575=0,AND(C1575&gt;0,Paths!$E$149&gt;(C1575-1)*12,Paths!$E$149&lt;=C1575*12)),Paths!$G$149,0),"n.a."))</f>
        <v>0</v>
      </c>
      <c r="J1575" s="16">
        <f>IF(NOT(Paths!$C$149=1),0,IF(Paths!$P$149="Complete",IF(IF(Paths!$E$149=0,C1575=0,AND(C1575&gt;0,Paths!$E$149&gt;(C1575-1)*12,Paths!$E$149&lt;=C1575*12)),Paths!$H$149,0),"n.a."))</f>
        <v>0</v>
      </c>
      <c r="K1575" s="16">
        <f>IF(NOT(Paths!$C$149=1),0,IF(Paths!$P$149="Complete",IF(IF(Paths!$O$149=0,C1575=0,AND(C1575&gt;0,Paths!$O$149&gt;(C1575-1)*12,Paths!$O$149&lt;=C1575*12)),Paths!$N$149,0),"n.a."))</f>
        <v>0</v>
      </c>
      <c r="L1575" s="16">
        <f>IF(NOT(Paths!$C$149=1),0,IF(Paths!$P$149="Complete",IF(C1575=10,Paths!$I$149,0),"n.a."))</f>
        <v>0</v>
      </c>
      <c r="M1575" s="16">
        <f>IF(NOT(Paths!$C$149=1),0,IF(Paths!$P$149="Complete",IF(AND(Paths!$D$149="EV",Paths!$E$149&lt;120,Paths!$E$149+'Operating costs'!$B$65&gt;Paths!$E$149,Paths!$E$149+'Operating costs'!$B$65&lt;=120,IF(Paths!$E$149+'Operating costs'!$B$65=0,C1575=0,AND(C1575&gt;0,Paths!$E$149+'Operating costs'!$B$65&gt;(C1575-1)*12,Paths!$E$149+'Operating costs'!$B$65&lt;=C1575*12))),'Operating costs'!$B$64,0)+IF(AND('Operating costs'!$B$67&gt;0,'Operating costs'!$B$67&lt;=120,OR(Paths!$D$149="ICE",'Operating costs'!$B$67&lt;=Paths!$E$149),IF('Operating costs'!$B$67=0,C1575=0,AND(C1575&gt;0,'Operating costs'!$B$67&gt;(C1575-1)*12,'Operating costs'!$B$67&lt;=C1575*12))),'Operating costs'!$B$66,0),"n.a."))</f>
        <v>0</v>
      </c>
      <c r="N1575" s="16">
        <f>IF(NOT(Paths!$C$149=1),0,IF(Paths!$P$149="Complete",SUM(G1575:I1575)-J1575-K1575-L1575+M1575+IF(C1575=0,Paths!$F$149,0)+IF(IF(Paths!$E$149=0,C1575=0,AND(C1575&gt;0,Paths!$E$149&gt;(C1575-1)*12,Paths!$E$149&lt;=C1575*12)),VLOOKUP(A1575,'Fleet register'!$A$7:$S$106,16,FALSE),0),"n.a."))</f>
        <v>0</v>
      </c>
      <c r="O1575" s="16">
        <f>IF(NOT(Paths!$C$149=1),0,IF(Paths!$P$149="Complete",N1575-IF(C1575=0,Paths!$F$149,0),"n.a."))</f>
        <v>0</v>
      </c>
      <c r="P1575" s="16">
        <f>IF(NOT(Paths!$C$149=1),0,IF(Paths!$P$149="Complete",O1575+L1575,"n.a."))</f>
        <v>0</v>
      </c>
      <c r="Q1575" s="16">
        <f>IF(NOT(Paths!$C$149=1),0,IF(Paths!$P$149="Complete",N1575*(1+'Operating costs'!$B$54)^-C1575,"n.a."))</f>
        <v>0</v>
      </c>
      <c r="R1575" s="16">
        <f>IF(NOT(Paths!$C$149=1),0,IF(Paths!$P$149="Complete",IF(AND(C1575=0,Paths!$E$149=0),I1575-J1575-K1575+VLOOKUP(A1575,'Fleet register'!$A$7:$S$106,15,FALSE)+VLOOKUP(A1575,'Fleet register'!$A$7:$S$106,16,FALSE),0),"n.a."))</f>
        <v>0</v>
      </c>
      <c r="S1575" s="1">
        <f>IF(NOT(Paths!$C$149=1),0,IF(Paths!$P$149="Complete",IF(C1575=0,0,Paths!$S$149*Paths!$R$149),"n.a."))</f>
        <v>0</v>
      </c>
      <c r="T1575" s="1">
        <f>IF(NOT(Paths!$C$149=1),0,IF(Paths!$P$149="Complete",IF(C1575=0,0,VLOOKUP(A1575,'Fleet register'!$A$7:$S$106,9,FALSE)*Paths!$R$149),"n.a."))</f>
        <v>0</v>
      </c>
    </row>
    <row r="1576" spans="1:20" ht="24" customHeight="1">
      <c r="A1576" s="1" t="str">
        <f>Paths!$A$149</f>
        <v>T036</v>
      </c>
      <c r="B1576" s="1">
        <f>Paths!$B$149</f>
        <v>2</v>
      </c>
      <c r="C1576" s="1">
        <v>7</v>
      </c>
      <c r="D1576" s="1">
        <v>149</v>
      </c>
      <c r="E1576" s="1">
        <f>IF(OR(Paths!$C$149=0,C1576=0),0,MAX(0,MIN(C1576*12,Paths!$E$149)-(C1576-1)*12))</f>
        <v>0</v>
      </c>
      <c r="F1576" s="1">
        <f>IF(OR(Paths!$C$149=0,C1576=0),0,12-E1576)</f>
        <v>0</v>
      </c>
      <c r="G1576" s="16">
        <f>IF(NOT(Paths!$C$149=1),0,IF(Paths!$P$149="Complete",E1576/12*(Paths!$J$149*(1+'Operating costs'!$B$51)^MAX(0,C1576-1)+Paths!$K$149*(1+'Operating costs'!$B$53)^MAX(0,C1576-1)),"n.a."))</f>
        <v>0</v>
      </c>
      <c r="H1576" s="16">
        <f>IF(NOT(Paths!$C$149=1),0,IF(Paths!$P$149="Complete",F1576/12*(Paths!$L$149*(1+IF(Paths!$D$149="EV",'Operating costs'!$B$52,'Operating costs'!$B$51))^MAX(0,C1576-1)+Paths!$M$149*(1+'Operating costs'!$B$53)^MAX(0,C1576-1)),"n.a."))</f>
        <v>0</v>
      </c>
      <c r="I1576" s="16">
        <f>IF(NOT(Paths!$C$149=1),0,IF(Paths!$P$149="Complete",IF(IF(Paths!$E$149=0,C1576=0,AND(C1576&gt;0,Paths!$E$149&gt;(C1576-1)*12,Paths!$E$149&lt;=C1576*12)),Paths!$G$149,0),"n.a."))</f>
        <v>0</v>
      </c>
      <c r="J1576" s="16">
        <f>IF(NOT(Paths!$C$149=1),0,IF(Paths!$P$149="Complete",IF(IF(Paths!$E$149=0,C1576=0,AND(C1576&gt;0,Paths!$E$149&gt;(C1576-1)*12,Paths!$E$149&lt;=C1576*12)),Paths!$H$149,0),"n.a."))</f>
        <v>0</v>
      </c>
      <c r="K1576" s="16">
        <f>IF(NOT(Paths!$C$149=1),0,IF(Paths!$P$149="Complete",IF(IF(Paths!$O$149=0,C1576=0,AND(C1576&gt;0,Paths!$O$149&gt;(C1576-1)*12,Paths!$O$149&lt;=C1576*12)),Paths!$N$149,0),"n.a."))</f>
        <v>0</v>
      </c>
      <c r="L1576" s="16">
        <f>IF(NOT(Paths!$C$149=1),0,IF(Paths!$P$149="Complete",IF(C1576=10,Paths!$I$149,0),"n.a."))</f>
        <v>0</v>
      </c>
      <c r="M1576" s="16">
        <f>IF(NOT(Paths!$C$149=1),0,IF(Paths!$P$149="Complete",IF(AND(Paths!$D$149="EV",Paths!$E$149&lt;120,Paths!$E$149+'Operating costs'!$B$65&gt;Paths!$E$149,Paths!$E$149+'Operating costs'!$B$65&lt;=120,IF(Paths!$E$149+'Operating costs'!$B$65=0,C1576=0,AND(C1576&gt;0,Paths!$E$149+'Operating costs'!$B$65&gt;(C1576-1)*12,Paths!$E$149+'Operating costs'!$B$65&lt;=C1576*12))),'Operating costs'!$B$64,0)+IF(AND('Operating costs'!$B$67&gt;0,'Operating costs'!$B$67&lt;=120,OR(Paths!$D$149="ICE",'Operating costs'!$B$67&lt;=Paths!$E$149),IF('Operating costs'!$B$67=0,C1576=0,AND(C1576&gt;0,'Operating costs'!$B$67&gt;(C1576-1)*12,'Operating costs'!$B$67&lt;=C1576*12))),'Operating costs'!$B$66,0),"n.a."))</f>
        <v>0</v>
      </c>
      <c r="N1576" s="16">
        <f>IF(NOT(Paths!$C$149=1),0,IF(Paths!$P$149="Complete",SUM(G1576:I1576)-J1576-K1576-L1576+M1576+IF(C1576=0,Paths!$F$149,0)+IF(IF(Paths!$E$149=0,C1576=0,AND(C1576&gt;0,Paths!$E$149&gt;(C1576-1)*12,Paths!$E$149&lt;=C1576*12)),VLOOKUP(A1576,'Fleet register'!$A$7:$S$106,16,FALSE),0),"n.a."))</f>
        <v>0</v>
      </c>
      <c r="O1576" s="16">
        <f>IF(NOT(Paths!$C$149=1),0,IF(Paths!$P$149="Complete",N1576-IF(C1576=0,Paths!$F$149,0),"n.a."))</f>
        <v>0</v>
      </c>
      <c r="P1576" s="16">
        <f>IF(NOT(Paths!$C$149=1),0,IF(Paths!$P$149="Complete",O1576+L1576,"n.a."))</f>
        <v>0</v>
      </c>
      <c r="Q1576" s="16">
        <f>IF(NOT(Paths!$C$149=1),0,IF(Paths!$P$149="Complete",N1576*(1+'Operating costs'!$B$54)^-C1576,"n.a."))</f>
        <v>0</v>
      </c>
      <c r="R1576" s="16">
        <f>IF(NOT(Paths!$C$149=1),0,IF(Paths!$P$149="Complete",IF(AND(C1576=0,Paths!$E$149=0),I1576-J1576-K1576+VLOOKUP(A1576,'Fleet register'!$A$7:$S$106,15,FALSE)+VLOOKUP(A1576,'Fleet register'!$A$7:$S$106,16,FALSE),0),"n.a."))</f>
        <v>0</v>
      </c>
      <c r="S1576" s="1">
        <f>IF(NOT(Paths!$C$149=1),0,IF(Paths!$P$149="Complete",IF(C1576=0,0,Paths!$S$149*Paths!$R$149),"n.a."))</f>
        <v>0</v>
      </c>
      <c r="T1576" s="1">
        <f>IF(NOT(Paths!$C$149=1),0,IF(Paths!$P$149="Complete",IF(C1576=0,0,VLOOKUP(A1576,'Fleet register'!$A$7:$S$106,9,FALSE)*Paths!$R$149),"n.a."))</f>
        <v>0</v>
      </c>
    </row>
    <row r="1577" spans="1:20" ht="24" customHeight="1">
      <c r="A1577" s="1" t="str">
        <f>Paths!$A$149</f>
        <v>T036</v>
      </c>
      <c r="B1577" s="1">
        <f>Paths!$B$149</f>
        <v>2</v>
      </c>
      <c r="C1577" s="1">
        <v>8</v>
      </c>
      <c r="D1577" s="1">
        <v>149</v>
      </c>
      <c r="E1577" s="1">
        <f>IF(OR(Paths!$C$149=0,C1577=0),0,MAX(0,MIN(C1577*12,Paths!$E$149)-(C1577-1)*12))</f>
        <v>0</v>
      </c>
      <c r="F1577" s="1">
        <f>IF(OR(Paths!$C$149=0,C1577=0),0,12-E1577)</f>
        <v>0</v>
      </c>
      <c r="G1577" s="16">
        <f>IF(NOT(Paths!$C$149=1),0,IF(Paths!$P$149="Complete",E1577/12*(Paths!$J$149*(1+'Operating costs'!$B$51)^MAX(0,C1577-1)+Paths!$K$149*(1+'Operating costs'!$B$53)^MAX(0,C1577-1)),"n.a."))</f>
        <v>0</v>
      </c>
      <c r="H1577" s="16">
        <f>IF(NOT(Paths!$C$149=1),0,IF(Paths!$P$149="Complete",F1577/12*(Paths!$L$149*(1+IF(Paths!$D$149="EV",'Operating costs'!$B$52,'Operating costs'!$B$51))^MAX(0,C1577-1)+Paths!$M$149*(1+'Operating costs'!$B$53)^MAX(0,C1577-1)),"n.a."))</f>
        <v>0</v>
      </c>
      <c r="I1577" s="16">
        <f>IF(NOT(Paths!$C$149=1),0,IF(Paths!$P$149="Complete",IF(IF(Paths!$E$149=0,C1577=0,AND(C1577&gt;0,Paths!$E$149&gt;(C1577-1)*12,Paths!$E$149&lt;=C1577*12)),Paths!$G$149,0),"n.a."))</f>
        <v>0</v>
      </c>
      <c r="J1577" s="16">
        <f>IF(NOT(Paths!$C$149=1),0,IF(Paths!$P$149="Complete",IF(IF(Paths!$E$149=0,C1577=0,AND(C1577&gt;0,Paths!$E$149&gt;(C1577-1)*12,Paths!$E$149&lt;=C1577*12)),Paths!$H$149,0),"n.a."))</f>
        <v>0</v>
      </c>
      <c r="K1577" s="16">
        <f>IF(NOT(Paths!$C$149=1),0,IF(Paths!$P$149="Complete",IF(IF(Paths!$O$149=0,C1577=0,AND(C1577&gt;0,Paths!$O$149&gt;(C1577-1)*12,Paths!$O$149&lt;=C1577*12)),Paths!$N$149,0),"n.a."))</f>
        <v>0</v>
      </c>
      <c r="L1577" s="16">
        <f>IF(NOT(Paths!$C$149=1),0,IF(Paths!$P$149="Complete",IF(C1577=10,Paths!$I$149,0),"n.a."))</f>
        <v>0</v>
      </c>
      <c r="M1577" s="16">
        <f>IF(NOT(Paths!$C$149=1),0,IF(Paths!$P$149="Complete",IF(AND(Paths!$D$149="EV",Paths!$E$149&lt;120,Paths!$E$149+'Operating costs'!$B$65&gt;Paths!$E$149,Paths!$E$149+'Operating costs'!$B$65&lt;=120,IF(Paths!$E$149+'Operating costs'!$B$65=0,C1577=0,AND(C1577&gt;0,Paths!$E$149+'Operating costs'!$B$65&gt;(C1577-1)*12,Paths!$E$149+'Operating costs'!$B$65&lt;=C1577*12))),'Operating costs'!$B$64,0)+IF(AND('Operating costs'!$B$67&gt;0,'Operating costs'!$B$67&lt;=120,OR(Paths!$D$149="ICE",'Operating costs'!$B$67&lt;=Paths!$E$149),IF('Operating costs'!$B$67=0,C1577=0,AND(C1577&gt;0,'Operating costs'!$B$67&gt;(C1577-1)*12,'Operating costs'!$B$67&lt;=C1577*12))),'Operating costs'!$B$66,0),"n.a."))</f>
        <v>0</v>
      </c>
      <c r="N1577" s="16">
        <f>IF(NOT(Paths!$C$149=1),0,IF(Paths!$P$149="Complete",SUM(G1577:I1577)-J1577-K1577-L1577+M1577+IF(C1577=0,Paths!$F$149,0)+IF(IF(Paths!$E$149=0,C1577=0,AND(C1577&gt;0,Paths!$E$149&gt;(C1577-1)*12,Paths!$E$149&lt;=C1577*12)),VLOOKUP(A1577,'Fleet register'!$A$7:$S$106,16,FALSE),0),"n.a."))</f>
        <v>0</v>
      </c>
      <c r="O1577" s="16">
        <f>IF(NOT(Paths!$C$149=1),0,IF(Paths!$P$149="Complete",N1577-IF(C1577=0,Paths!$F$149,0),"n.a."))</f>
        <v>0</v>
      </c>
      <c r="P1577" s="16">
        <f>IF(NOT(Paths!$C$149=1),0,IF(Paths!$P$149="Complete",O1577+L1577,"n.a."))</f>
        <v>0</v>
      </c>
      <c r="Q1577" s="16">
        <f>IF(NOT(Paths!$C$149=1),0,IF(Paths!$P$149="Complete",N1577*(1+'Operating costs'!$B$54)^-C1577,"n.a."))</f>
        <v>0</v>
      </c>
      <c r="R1577" s="16">
        <f>IF(NOT(Paths!$C$149=1),0,IF(Paths!$P$149="Complete",IF(AND(C1577=0,Paths!$E$149=0),I1577-J1577-K1577+VLOOKUP(A1577,'Fleet register'!$A$7:$S$106,15,FALSE)+VLOOKUP(A1577,'Fleet register'!$A$7:$S$106,16,FALSE),0),"n.a."))</f>
        <v>0</v>
      </c>
      <c r="S1577" s="1">
        <f>IF(NOT(Paths!$C$149=1),0,IF(Paths!$P$149="Complete",IF(C1577=0,0,Paths!$S$149*Paths!$R$149),"n.a."))</f>
        <v>0</v>
      </c>
      <c r="T1577" s="1">
        <f>IF(NOT(Paths!$C$149=1),0,IF(Paths!$P$149="Complete",IF(C1577=0,0,VLOOKUP(A1577,'Fleet register'!$A$7:$S$106,9,FALSE)*Paths!$R$149),"n.a."))</f>
        <v>0</v>
      </c>
    </row>
    <row r="1578" spans="1:20" ht="24" customHeight="1">
      <c r="A1578" s="1" t="str">
        <f>Paths!$A$149</f>
        <v>T036</v>
      </c>
      <c r="B1578" s="1">
        <f>Paths!$B$149</f>
        <v>2</v>
      </c>
      <c r="C1578" s="1">
        <v>9</v>
      </c>
      <c r="D1578" s="1">
        <v>149</v>
      </c>
      <c r="E1578" s="1">
        <f>IF(OR(Paths!$C$149=0,C1578=0),0,MAX(0,MIN(C1578*12,Paths!$E$149)-(C1578-1)*12))</f>
        <v>0</v>
      </c>
      <c r="F1578" s="1">
        <f>IF(OR(Paths!$C$149=0,C1578=0),0,12-E1578)</f>
        <v>0</v>
      </c>
      <c r="G1578" s="16">
        <f>IF(NOT(Paths!$C$149=1),0,IF(Paths!$P$149="Complete",E1578/12*(Paths!$J$149*(1+'Operating costs'!$B$51)^MAX(0,C1578-1)+Paths!$K$149*(1+'Operating costs'!$B$53)^MAX(0,C1578-1)),"n.a."))</f>
        <v>0</v>
      </c>
      <c r="H1578" s="16">
        <f>IF(NOT(Paths!$C$149=1),0,IF(Paths!$P$149="Complete",F1578/12*(Paths!$L$149*(1+IF(Paths!$D$149="EV",'Operating costs'!$B$52,'Operating costs'!$B$51))^MAX(0,C1578-1)+Paths!$M$149*(1+'Operating costs'!$B$53)^MAX(0,C1578-1)),"n.a."))</f>
        <v>0</v>
      </c>
      <c r="I1578" s="16">
        <f>IF(NOT(Paths!$C$149=1),0,IF(Paths!$P$149="Complete",IF(IF(Paths!$E$149=0,C1578=0,AND(C1578&gt;0,Paths!$E$149&gt;(C1578-1)*12,Paths!$E$149&lt;=C1578*12)),Paths!$G$149,0),"n.a."))</f>
        <v>0</v>
      </c>
      <c r="J1578" s="16">
        <f>IF(NOT(Paths!$C$149=1),0,IF(Paths!$P$149="Complete",IF(IF(Paths!$E$149=0,C1578=0,AND(C1578&gt;0,Paths!$E$149&gt;(C1578-1)*12,Paths!$E$149&lt;=C1578*12)),Paths!$H$149,0),"n.a."))</f>
        <v>0</v>
      </c>
      <c r="K1578" s="16">
        <f>IF(NOT(Paths!$C$149=1),0,IF(Paths!$P$149="Complete",IF(IF(Paths!$O$149=0,C1578=0,AND(C1578&gt;0,Paths!$O$149&gt;(C1578-1)*12,Paths!$O$149&lt;=C1578*12)),Paths!$N$149,0),"n.a."))</f>
        <v>0</v>
      </c>
      <c r="L1578" s="16">
        <f>IF(NOT(Paths!$C$149=1),0,IF(Paths!$P$149="Complete",IF(C1578=10,Paths!$I$149,0),"n.a."))</f>
        <v>0</v>
      </c>
      <c r="M1578" s="16">
        <f>IF(NOT(Paths!$C$149=1),0,IF(Paths!$P$149="Complete",IF(AND(Paths!$D$149="EV",Paths!$E$149&lt;120,Paths!$E$149+'Operating costs'!$B$65&gt;Paths!$E$149,Paths!$E$149+'Operating costs'!$B$65&lt;=120,IF(Paths!$E$149+'Operating costs'!$B$65=0,C1578=0,AND(C1578&gt;0,Paths!$E$149+'Operating costs'!$B$65&gt;(C1578-1)*12,Paths!$E$149+'Operating costs'!$B$65&lt;=C1578*12))),'Operating costs'!$B$64,0)+IF(AND('Operating costs'!$B$67&gt;0,'Operating costs'!$B$67&lt;=120,OR(Paths!$D$149="ICE",'Operating costs'!$B$67&lt;=Paths!$E$149),IF('Operating costs'!$B$67=0,C1578=0,AND(C1578&gt;0,'Operating costs'!$B$67&gt;(C1578-1)*12,'Operating costs'!$B$67&lt;=C1578*12))),'Operating costs'!$B$66,0),"n.a."))</f>
        <v>0</v>
      </c>
      <c r="N1578" s="16">
        <f>IF(NOT(Paths!$C$149=1),0,IF(Paths!$P$149="Complete",SUM(G1578:I1578)-J1578-K1578-L1578+M1578+IF(C1578=0,Paths!$F$149,0)+IF(IF(Paths!$E$149=0,C1578=0,AND(C1578&gt;0,Paths!$E$149&gt;(C1578-1)*12,Paths!$E$149&lt;=C1578*12)),VLOOKUP(A1578,'Fleet register'!$A$7:$S$106,16,FALSE),0),"n.a."))</f>
        <v>0</v>
      </c>
      <c r="O1578" s="16">
        <f>IF(NOT(Paths!$C$149=1),0,IF(Paths!$P$149="Complete",N1578-IF(C1578=0,Paths!$F$149,0),"n.a."))</f>
        <v>0</v>
      </c>
      <c r="P1578" s="16">
        <f>IF(NOT(Paths!$C$149=1),0,IF(Paths!$P$149="Complete",O1578+L1578,"n.a."))</f>
        <v>0</v>
      </c>
      <c r="Q1578" s="16">
        <f>IF(NOT(Paths!$C$149=1),0,IF(Paths!$P$149="Complete",N1578*(1+'Operating costs'!$B$54)^-C1578,"n.a."))</f>
        <v>0</v>
      </c>
      <c r="R1578" s="16">
        <f>IF(NOT(Paths!$C$149=1),0,IF(Paths!$P$149="Complete",IF(AND(C1578=0,Paths!$E$149=0),I1578-J1578-K1578+VLOOKUP(A1578,'Fleet register'!$A$7:$S$106,15,FALSE)+VLOOKUP(A1578,'Fleet register'!$A$7:$S$106,16,FALSE),0),"n.a."))</f>
        <v>0</v>
      </c>
      <c r="S1578" s="1">
        <f>IF(NOT(Paths!$C$149=1),0,IF(Paths!$P$149="Complete",IF(C1578=0,0,Paths!$S$149*Paths!$R$149),"n.a."))</f>
        <v>0</v>
      </c>
      <c r="T1578" s="1">
        <f>IF(NOT(Paths!$C$149=1),0,IF(Paths!$P$149="Complete",IF(C1578=0,0,VLOOKUP(A1578,'Fleet register'!$A$7:$S$106,9,FALSE)*Paths!$R$149),"n.a."))</f>
        <v>0</v>
      </c>
    </row>
    <row r="1579" spans="1:20" ht="24" customHeight="1">
      <c r="A1579" s="1" t="str">
        <f>Paths!$A$149</f>
        <v>T036</v>
      </c>
      <c r="B1579" s="1">
        <f>Paths!$B$149</f>
        <v>2</v>
      </c>
      <c r="C1579" s="1">
        <v>10</v>
      </c>
      <c r="D1579" s="1">
        <v>149</v>
      </c>
      <c r="E1579" s="1">
        <f>IF(OR(Paths!$C$149=0,C1579=0),0,MAX(0,MIN(C1579*12,Paths!$E$149)-(C1579-1)*12))</f>
        <v>0</v>
      </c>
      <c r="F1579" s="1">
        <f>IF(OR(Paths!$C$149=0,C1579=0),0,12-E1579)</f>
        <v>0</v>
      </c>
      <c r="G1579" s="16">
        <f>IF(NOT(Paths!$C$149=1),0,IF(Paths!$P$149="Complete",E1579/12*(Paths!$J$149*(1+'Operating costs'!$B$51)^MAX(0,C1579-1)+Paths!$K$149*(1+'Operating costs'!$B$53)^MAX(0,C1579-1)),"n.a."))</f>
        <v>0</v>
      </c>
      <c r="H1579" s="16">
        <f>IF(NOT(Paths!$C$149=1),0,IF(Paths!$P$149="Complete",F1579/12*(Paths!$L$149*(1+IF(Paths!$D$149="EV",'Operating costs'!$B$52,'Operating costs'!$B$51))^MAX(0,C1579-1)+Paths!$M$149*(1+'Operating costs'!$B$53)^MAX(0,C1579-1)),"n.a."))</f>
        <v>0</v>
      </c>
      <c r="I1579" s="16">
        <f>IF(NOT(Paths!$C$149=1),0,IF(Paths!$P$149="Complete",IF(IF(Paths!$E$149=0,C1579=0,AND(C1579&gt;0,Paths!$E$149&gt;(C1579-1)*12,Paths!$E$149&lt;=C1579*12)),Paths!$G$149,0),"n.a."))</f>
        <v>0</v>
      </c>
      <c r="J1579" s="16">
        <f>IF(NOT(Paths!$C$149=1),0,IF(Paths!$P$149="Complete",IF(IF(Paths!$E$149=0,C1579=0,AND(C1579&gt;0,Paths!$E$149&gt;(C1579-1)*12,Paths!$E$149&lt;=C1579*12)),Paths!$H$149,0),"n.a."))</f>
        <v>0</v>
      </c>
      <c r="K1579" s="16">
        <f>IF(NOT(Paths!$C$149=1),0,IF(Paths!$P$149="Complete",IF(IF(Paths!$O$149=0,C1579=0,AND(C1579&gt;0,Paths!$O$149&gt;(C1579-1)*12,Paths!$O$149&lt;=C1579*12)),Paths!$N$149,0),"n.a."))</f>
        <v>0</v>
      </c>
      <c r="L1579" s="16">
        <f>IF(NOT(Paths!$C$149=1),0,IF(Paths!$P$149="Complete",IF(C1579=10,Paths!$I$149,0),"n.a."))</f>
        <v>0</v>
      </c>
      <c r="M1579" s="16">
        <f>IF(NOT(Paths!$C$149=1),0,IF(Paths!$P$149="Complete",IF(AND(Paths!$D$149="EV",Paths!$E$149&lt;120,Paths!$E$149+'Operating costs'!$B$65&gt;Paths!$E$149,Paths!$E$149+'Operating costs'!$B$65&lt;=120,IF(Paths!$E$149+'Operating costs'!$B$65=0,C1579=0,AND(C1579&gt;0,Paths!$E$149+'Operating costs'!$B$65&gt;(C1579-1)*12,Paths!$E$149+'Operating costs'!$B$65&lt;=C1579*12))),'Operating costs'!$B$64,0)+IF(AND('Operating costs'!$B$67&gt;0,'Operating costs'!$B$67&lt;=120,OR(Paths!$D$149="ICE",'Operating costs'!$B$67&lt;=Paths!$E$149),IF('Operating costs'!$B$67=0,C1579=0,AND(C1579&gt;0,'Operating costs'!$B$67&gt;(C1579-1)*12,'Operating costs'!$B$67&lt;=C1579*12))),'Operating costs'!$B$66,0),"n.a."))</f>
        <v>0</v>
      </c>
      <c r="N1579" s="16">
        <f>IF(NOT(Paths!$C$149=1),0,IF(Paths!$P$149="Complete",SUM(G1579:I1579)-J1579-K1579-L1579+M1579+IF(C1579=0,Paths!$F$149,0)+IF(IF(Paths!$E$149=0,C1579=0,AND(C1579&gt;0,Paths!$E$149&gt;(C1579-1)*12,Paths!$E$149&lt;=C1579*12)),VLOOKUP(A1579,'Fleet register'!$A$7:$S$106,16,FALSE),0),"n.a."))</f>
        <v>0</v>
      </c>
      <c r="O1579" s="16">
        <f>IF(NOT(Paths!$C$149=1),0,IF(Paths!$P$149="Complete",N1579-IF(C1579=0,Paths!$F$149,0),"n.a."))</f>
        <v>0</v>
      </c>
      <c r="P1579" s="16">
        <f>IF(NOT(Paths!$C$149=1),0,IF(Paths!$P$149="Complete",O1579+L1579,"n.a."))</f>
        <v>0</v>
      </c>
      <c r="Q1579" s="16">
        <f>IF(NOT(Paths!$C$149=1),0,IF(Paths!$P$149="Complete",N1579*(1+'Operating costs'!$B$54)^-C1579,"n.a."))</f>
        <v>0</v>
      </c>
      <c r="R1579" s="16">
        <f>IF(NOT(Paths!$C$149=1),0,IF(Paths!$P$149="Complete",IF(AND(C1579=0,Paths!$E$149=0),I1579-J1579-K1579+VLOOKUP(A1579,'Fleet register'!$A$7:$S$106,15,FALSE)+VLOOKUP(A1579,'Fleet register'!$A$7:$S$106,16,FALSE),0),"n.a."))</f>
        <v>0</v>
      </c>
      <c r="S1579" s="1">
        <f>IF(NOT(Paths!$C$149=1),0,IF(Paths!$P$149="Complete",IF(C1579=0,0,Paths!$S$149*Paths!$R$149),"n.a."))</f>
        <v>0</v>
      </c>
      <c r="T1579" s="1">
        <f>IF(NOT(Paths!$C$149=1),0,IF(Paths!$P$149="Complete",IF(C1579=0,0,VLOOKUP(A1579,'Fleet register'!$A$7:$S$106,9,FALSE)*Paths!$R$149),"n.a."))</f>
        <v>0</v>
      </c>
    </row>
    <row r="1580" spans="1:20" ht="24" customHeight="1">
      <c r="A1580" s="1" t="str">
        <f>Paths!$A$150</f>
        <v>T036</v>
      </c>
      <c r="B1580" s="1">
        <f>Paths!$B$150</f>
        <v>3</v>
      </c>
      <c r="C1580" s="1">
        <v>0</v>
      </c>
      <c r="D1580" s="1">
        <v>150</v>
      </c>
      <c r="E1580" s="1">
        <f>IF(OR(Paths!$C$150=0,C1580=0),0,MAX(0,MIN(C1580*12,Paths!$E$150)-(C1580-1)*12))</f>
        <v>0</v>
      </c>
      <c r="F1580" s="1">
        <f>IF(OR(Paths!$C$150=0,C1580=0),0,12-E1580)</f>
        <v>0</v>
      </c>
      <c r="G1580" s="16">
        <f>IF(NOT(Paths!$C$150=1),0,IF(Paths!$P$150="Complete",E1580/12*(Paths!$J$150*(1+'Operating costs'!$B$51)^MAX(0,C1580-1)+Paths!$K$150*(1+'Operating costs'!$B$53)^MAX(0,C1580-1)),"n.a."))</f>
        <v>0</v>
      </c>
      <c r="H1580" s="16">
        <f>IF(NOT(Paths!$C$150=1),0,IF(Paths!$P$150="Complete",F1580/12*(Paths!$L$150*(1+IF(Paths!$D$150="EV",'Operating costs'!$B$52,'Operating costs'!$B$51))^MAX(0,C1580-1)+Paths!$M$150*(1+'Operating costs'!$B$53)^MAX(0,C1580-1)),"n.a."))</f>
        <v>0</v>
      </c>
      <c r="I1580" s="16">
        <f>IF(NOT(Paths!$C$150=1),0,IF(Paths!$P$150="Complete",IF(IF(Paths!$E$150=0,C1580=0,AND(C1580&gt;0,Paths!$E$150&gt;(C1580-1)*12,Paths!$E$150&lt;=C1580*12)),Paths!$G$150,0),"n.a."))</f>
        <v>0</v>
      </c>
      <c r="J1580" s="16">
        <f>IF(NOT(Paths!$C$150=1),0,IF(Paths!$P$150="Complete",IF(IF(Paths!$E$150=0,C1580=0,AND(C1580&gt;0,Paths!$E$150&gt;(C1580-1)*12,Paths!$E$150&lt;=C1580*12)),Paths!$H$150,0),"n.a."))</f>
        <v>0</v>
      </c>
      <c r="K1580" s="16">
        <f>IF(NOT(Paths!$C$150=1),0,IF(Paths!$P$150="Complete",IF(IF(Paths!$O$150=0,C1580=0,AND(C1580&gt;0,Paths!$O$150&gt;(C1580-1)*12,Paths!$O$150&lt;=C1580*12)),Paths!$N$150,0),"n.a."))</f>
        <v>0</v>
      </c>
      <c r="L1580" s="16">
        <f>IF(NOT(Paths!$C$150=1),0,IF(Paths!$P$150="Complete",IF(C1580=10,Paths!$I$150,0),"n.a."))</f>
        <v>0</v>
      </c>
      <c r="M1580" s="16">
        <f>IF(NOT(Paths!$C$150=1),0,IF(Paths!$P$150="Complete",IF(AND(Paths!$D$150="EV",Paths!$E$150&lt;120,Paths!$E$150+'Operating costs'!$B$65&gt;Paths!$E$150,Paths!$E$150+'Operating costs'!$B$65&lt;=120,IF(Paths!$E$150+'Operating costs'!$B$65=0,C1580=0,AND(C1580&gt;0,Paths!$E$150+'Operating costs'!$B$65&gt;(C1580-1)*12,Paths!$E$150+'Operating costs'!$B$65&lt;=C1580*12))),'Operating costs'!$B$64,0)+IF(AND('Operating costs'!$B$67&gt;0,'Operating costs'!$B$67&lt;=120,OR(Paths!$D$150="ICE",'Operating costs'!$B$67&lt;=Paths!$E$150),IF('Operating costs'!$B$67=0,C1580=0,AND(C1580&gt;0,'Operating costs'!$B$67&gt;(C1580-1)*12,'Operating costs'!$B$67&lt;=C1580*12))),'Operating costs'!$B$66,0),"n.a."))</f>
        <v>0</v>
      </c>
      <c r="N1580" s="16">
        <f>IF(NOT(Paths!$C$150=1),0,IF(Paths!$P$150="Complete",SUM(G1580:I1580)-J1580-K1580-L1580+M1580+IF(C1580=0,Paths!$F$150,0)+IF(IF(Paths!$E$150=0,C1580=0,AND(C1580&gt;0,Paths!$E$150&gt;(C1580-1)*12,Paths!$E$150&lt;=C1580*12)),VLOOKUP(A1580,'Fleet register'!$A$7:$S$106,16,FALSE),0),"n.a."))</f>
        <v>0</v>
      </c>
      <c r="O1580" s="16">
        <f>IF(NOT(Paths!$C$150=1),0,IF(Paths!$P$150="Complete",N1580-IF(C1580=0,Paths!$F$150,0),"n.a."))</f>
        <v>0</v>
      </c>
      <c r="P1580" s="16">
        <f>IF(NOT(Paths!$C$150=1),0,IF(Paths!$P$150="Complete",O1580+L1580,"n.a."))</f>
        <v>0</v>
      </c>
      <c r="Q1580" s="16">
        <f>IF(NOT(Paths!$C$150=1),0,IF(Paths!$P$150="Complete",N1580*(1+'Operating costs'!$B$54)^-C1580,"n.a."))</f>
        <v>0</v>
      </c>
      <c r="R1580" s="16">
        <f>IF(NOT(Paths!$C$150=1),0,IF(Paths!$P$150="Complete",IF(AND(C1580=0,Paths!$E$150=0),I1580-J1580-K1580+VLOOKUP(A1580,'Fleet register'!$A$7:$S$106,15,FALSE)+VLOOKUP(A1580,'Fleet register'!$A$7:$S$106,16,FALSE),0),"n.a."))</f>
        <v>0</v>
      </c>
      <c r="S1580" s="1">
        <f>IF(NOT(Paths!$C$150=1),0,IF(Paths!$P$150="Complete",IF(C1580=0,0,Paths!$S$150*Paths!$R$150),"n.a."))</f>
        <v>0</v>
      </c>
      <c r="T1580" s="1">
        <f>IF(NOT(Paths!$C$150=1),0,IF(Paths!$P$150="Complete",IF(C1580=0,0,VLOOKUP(A1580,'Fleet register'!$A$7:$S$106,9,FALSE)*Paths!$R$150),"n.a."))</f>
        <v>0</v>
      </c>
    </row>
    <row r="1581" spans="1:20" ht="24" customHeight="1">
      <c r="A1581" s="1" t="str">
        <f>Paths!$A$150</f>
        <v>T036</v>
      </c>
      <c r="B1581" s="1">
        <f>Paths!$B$150</f>
        <v>3</v>
      </c>
      <c r="C1581" s="1">
        <v>1</v>
      </c>
      <c r="D1581" s="1">
        <v>150</v>
      </c>
      <c r="E1581" s="1">
        <f>IF(OR(Paths!$C$150=0,C1581=0),0,MAX(0,MIN(C1581*12,Paths!$E$150)-(C1581-1)*12))</f>
        <v>0</v>
      </c>
      <c r="F1581" s="1">
        <f>IF(OR(Paths!$C$150=0,C1581=0),0,12-E1581)</f>
        <v>0</v>
      </c>
      <c r="G1581" s="16">
        <f>IF(NOT(Paths!$C$150=1),0,IF(Paths!$P$150="Complete",E1581/12*(Paths!$J$150*(1+'Operating costs'!$B$51)^MAX(0,C1581-1)+Paths!$K$150*(1+'Operating costs'!$B$53)^MAX(0,C1581-1)),"n.a."))</f>
        <v>0</v>
      </c>
      <c r="H1581" s="16">
        <f>IF(NOT(Paths!$C$150=1),0,IF(Paths!$P$150="Complete",F1581/12*(Paths!$L$150*(1+IF(Paths!$D$150="EV",'Operating costs'!$B$52,'Operating costs'!$B$51))^MAX(0,C1581-1)+Paths!$M$150*(1+'Operating costs'!$B$53)^MAX(0,C1581-1)),"n.a."))</f>
        <v>0</v>
      </c>
      <c r="I1581" s="16">
        <f>IF(NOT(Paths!$C$150=1),0,IF(Paths!$P$150="Complete",IF(IF(Paths!$E$150=0,C1581=0,AND(C1581&gt;0,Paths!$E$150&gt;(C1581-1)*12,Paths!$E$150&lt;=C1581*12)),Paths!$G$150,0),"n.a."))</f>
        <v>0</v>
      </c>
      <c r="J1581" s="16">
        <f>IF(NOT(Paths!$C$150=1),0,IF(Paths!$P$150="Complete",IF(IF(Paths!$E$150=0,C1581=0,AND(C1581&gt;0,Paths!$E$150&gt;(C1581-1)*12,Paths!$E$150&lt;=C1581*12)),Paths!$H$150,0),"n.a."))</f>
        <v>0</v>
      </c>
      <c r="K1581" s="16">
        <f>IF(NOT(Paths!$C$150=1),0,IF(Paths!$P$150="Complete",IF(IF(Paths!$O$150=0,C1581=0,AND(C1581&gt;0,Paths!$O$150&gt;(C1581-1)*12,Paths!$O$150&lt;=C1581*12)),Paths!$N$150,0),"n.a."))</f>
        <v>0</v>
      </c>
      <c r="L1581" s="16">
        <f>IF(NOT(Paths!$C$150=1),0,IF(Paths!$P$150="Complete",IF(C1581=10,Paths!$I$150,0),"n.a."))</f>
        <v>0</v>
      </c>
      <c r="M1581" s="16">
        <f>IF(NOT(Paths!$C$150=1),0,IF(Paths!$P$150="Complete",IF(AND(Paths!$D$150="EV",Paths!$E$150&lt;120,Paths!$E$150+'Operating costs'!$B$65&gt;Paths!$E$150,Paths!$E$150+'Operating costs'!$B$65&lt;=120,IF(Paths!$E$150+'Operating costs'!$B$65=0,C1581=0,AND(C1581&gt;0,Paths!$E$150+'Operating costs'!$B$65&gt;(C1581-1)*12,Paths!$E$150+'Operating costs'!$B$65&lt;=C1581*12))),'Operating costs'!$B$64,0)+IF(AND('Operating costs'!$B$67&gt;0,'Operating costs'!$B$67&lt;=120,OR(Paths!$D$150="ICE",'Operating costs'!$B$67&lt;=Paths!$E$150),IF('Operating costs'!$B$67=0,C1581=0,AND(C1581&gt;0,'Operating costs'!$B$67&gt;(C1581-1)*12,'Operating costs'!$B$67&lt;=C1581*12))),'Operating costs'!$B$66,0),"n.a."))</f>
        <v>0</v>
      </c>
      <c r="N1581" s="16">
        <f>IF(NOT(Paths!$C$150=1),0,IF(Paths!$P$150="Complete",SUM(G1581:I1581)-J1581-K1581-L1581+M1581+IF(C1581=0,Paths!$F$150,0)+IF(IF(Paths!$E$150=0,C1581=0,AND(C1581&gt;0,Paths!$E$150&gt;(C1581-1)*12,Paths!$E$150&lt;=C1581*12)),VLOOKUP(A1581,'Fleet register'!$A$7:$S$106,16,FALSE),0),"n.a."))</f>
        <v>0</v>
      </c>
      <c r="O1581" s="16">
        <f>IF(NOT(Paths!$C$150=1),0,IF(Paths!$P$150="Complete",N1581-IF(C1581=0,Paths!$F$150,0),"n.a."))</f>
        <v>0</v>
      </c>
      <c r="P1581" s="16">
        <f>IF(NOT(Paths!$C$150=1),0,IF(Paths!$P$150="Complete",O1581+L1581,"n.a."))</f>
        <v>0</v>
      </c>
      <c r="Q1581" s="16">
        <f>IF(NOT(Paths!$C$150=1),0,IF(Paths!$P$150="Complete",N1581*(1+'Operating costs'!$B$54)^-C1581,"n.a."))</f>
        <v>0</v>
      </c>
      <c r="R1581" s="16">
        <f>IF(NOT(Paths!$C$150=1),0,IF(Paths!$P$150="Complete",IF(AND(C1581=0,Paths!$E$150=0),I1581-J1581-K1581+VLOOKUP(A1581,'Fleet register'!$A$7:$S$106,15,FALSE)+VLOOKUP(A1581,'Fleet register'!$A$7:$S$106,16,FALSE),0),"n.a."))</f>
        <v>0</v>
      </c>
      <c r="S1581" s="1">
        <f>IF(NOT(Paths!$C$150=1),0,IF(Paths!$P$150="Complete",IF(C1581=0,0,Paths!$S$150*Paths!$R$150),"n.a."))</f>
        <v>0</v>
      </c>
      <c r="T1581" s="1">
        <f>IF(NOT(Paths!$C$150=1),0,IF(Paths!$P$150="Complete",IF(C1581=0,0,VLOOKUP(A1581,'Fleet register'!$A$7:$S$106,9,FALSE)*Paths!$R$150),"n.a."))</f>
        <v>0</v>
      </c>
    </row>
    <row r="1582" spans="1:20" ht="24" customHeight="1">
      <c r="A1582" s="1" t="str">
        <f>Paths!$A$150</f>
        <v>T036</v>
      </c>
      <c r="B1582" s="1">
        <f>Paths!$B$150</f>
        <v>3</v>
      </c>
      <c r="C1582" s="1">
        <v>2</v>
      </c>
      <c r="D1582" s="1">
        <v>150</v>
      </c>
      <c r="E1582" s="1">
        <f>IF(OR(Paths!$C$150=0,C1582=0),0,MAX(0,MIN(C1582*12,Paths!$E$150)-(C1582-1)*12))</f>
        <v>0</v>
      </c>
      <c r="F1582" s="1">
        <f>IF(OR(Paths!$C$150=0,C1582=0),0,12-E1582)</f>
        <v>0</v>
      </c>
      <c r="G1582" s="16">
        <f>IF(NOT(Paths!$C$150=1),0,IF(Paths!$P$150="Complete",E1582/12*(Paths!$J$150*(1+'Operating costs'!$B$51)^MAX(0,C1582-1)+Paths!$K$150*(1+'Operating costs'!$B$53)^MAX(0,C1582-1)),"n.a."))</f>
        <v>0</v>
      </c>
      <c r="H1582" s="16">
        <f>IF(NOT(Paths!$C$150=1),0,IF(Paths!$P$150="Complete",F1582/12*(Paths!$L$150*(1+IF(Paths!$D$150="EV",'Operating costs'!$B$52,'Operating costs'!$B$51))^MAX(0,C1582-1)+Paths!$M$150*(1+'Operating costs'!$B$53)^MAX(0,C1582-1)),"n.a."))</f>
        <v>0</v>
      </c>
      <c r="I1582" s="16">
        <f>IF(NOT(Paths!$C$150=1),0,IF(Paths!$P$150="Complete",IF(IF(Paths!$E$150=0,C1582=0,AND(C1582&gt;0,Paths!$E$150&gt;(C1582-1)*12,Paths!$E$150&lt;=C1582*12)),Paths!$G$150,0),"n.a."))</f>
        <v>0</v>
      </c>
      <c r="J1582" s="16">
        <f>IF(NOT(Paths!$C$150=1),0,IF(Paths!$P$150="Complete",IF(IF(Paths!$E$150=0,C1582=0,AND(C1582&gt;0,Paths!$E$150&gt;(C1582-1)*12,Paths!$E$150&lt;=C1582*12)),Paths!$H$150,0),"n.a."))</f>
        <v>0</v>
      </c>
      <c r="K1582" s="16">
        <f>IF(NOT(Paths!$C$150=1),0,IF(Paths!$P$150="Complete",IF(IF(Paths!$O$150=0,C1582=0,AND(C1582&gt;0,Paths!$O$150&gt;(C1582-1)*12,Paths!$O$150&lt;=C1582*12)),Paths!$N$150,0),"n.a."))</f>
        <v>0</v>
      </c>
      <c r="L1582" s="16">
        <f>IF(NOT(Paths!$C$150=1),0,IF(Paths!$P$150="Complete",IF(C1582=10,Paths!$I$150,0),"n.a."))</f>
        <v>0</v>
      </c>
      <c r="M1582" s="16">
        <f>IF(NOT(Paths!$C$150=1),0,IF(Paths!$P$150="Complete",IF(AND(Paths!$D$150="EV",Paths!$E$150&lt;120,Paths!$E$150+'Operating costs'!$B$65&gt;Paths!$E$150,Paths!$E$150+'Operating costs'!$B$65&lt;=120,IF(Paths!$E$150+'Operating costs'!$B$65=0,C1582=0,AND(C1582&gt;0,Paths!$E$150+'Operating costs'!$B$65&gt;(C1582-1)*12,Paths!$E$150+'Operating costs'!$B$65&lt;=C1582*12))),'Operating costs'!$B$64,0)+IF(AND('Operating costs'!$B$67&gt;0,'Operating costs'!$B$67&lt;=120,OR(Paths!$D$150="ICE",'Operating costs'!$B$67&lt;=Paths!$E$150),IF('Operating costs'!$B$67=0,C1582=0,AND(C1582&gt;0,'Operating costs'!$B$67&gt;(C1582-1)*12,'Operating costs'!$B$67&lt;=C1582*12))),'Operating costs'!$B$66,0),"n.a."))</f>
        <v>0</v>
      </c>
      <c r="N1582" s="16">
        <f>IF(NOT(Paths!$C$150=1),0,IF(Paths!$P$150="Complete",SUM(G1582:I1582)-J1582-K1582-L1582+M1582+IF(C1582=0,Paths!$F$150,0)+IF(IF(Paths!$E$150=0,C1582=0,AND(C1582&gt;0,Paths!$E$150&gt;(C1582-1)*12,Paths!$E$150&lt;=C1582*12)),VLOOKUP(A1582,'Fleet register'!$A$7:$S$106,16,FALSE),0),"n.a."))</f>
        <v>0</v>
      </c>
      <c r="O1582" s="16">
        <f>IF(NOT(Paths!$C$150=1),0,IF(Paths!$P$150="Complete",N1582-IF(C1582=0,Paths!$F$150,0),"n.a."))</f>
        <v>0</v>
      </c>
      <c r="P1582" s="16">
        <f>IF(NOT(Paths!$C$150=1),0,IF(Paths!$P$150="Complete",O1582+L1582,"n.a."))</f>
        <v>0</v>
      </c>
      <c r="Q1582" s="16">
        <f>IF(NOT(Paths!$C$150=1),0,IF(Paths!$P$150="Complete",N1582*(1+'Operating costs'!$B$54)^-C1582,"n.a."))</f>
        <v>0</v>
      </c>
      <c r="R1582" s="16">
        <f>IF(NOT(Paths!$C$150=1),0,IF(Paths!$P$150="Complete",IF(AND(C1582=0,Paths!$E$150=0),I1582-J1582-K1582+VLOOKUP(A1582,'Fleet register'!$A$7:$S$106,15,FALSE)+VLOOKUP(A1582,'Fleet register'!$A$7:$S$106,16,FALSE),0),"n.a."))</f>
        <v>0</v>
      </c>
      <c r="S1582" s="1">
        <f>IF(NOT(Paths!$C$150=1),0,IF(Paths!$P$150="Complete",IF(C1582=0,0,Paths!$S$150*Paths!$R$150),"n.a."))</f>
        <v>0</v>
      </c>
      <c r="T1582" s="1">
        <f>IF(NOT(Paths!$C$150=1),0,IF(Paths!$P$150="Complete",IF(C1582=0,0,VLOOKUP(A1582,'Fleet register'!$A$7:$S$106,9,FALSE)*Paths!$R$150),"n.a."))</f>
        <v>0</v>
      </c>
    </row>
    <row r="1583" spans="1:20" ht="24" customHeight="1">
      <c r="A1583" s="1" t="str">
        <f>Paths!$A$150</f>
        <v>T036</v>
      </c>
      <c r="B1583" s="1">
        <f>Paths!$B$150</f>
        <v>3</v>
      </c>
      <c r="C1583" s="1">
        <v>3</v>
      </c>
      <c r="D1583" s="1">
        <v>150</v>
      </c>
      <c r="E1583" s="1">
        <f>IF(OR(Paths!$C$150=0,C1583=0),0,MAX(0,MIN(C1583*12,Paths!$E$150)-(C1583-1)*12))</f>
        <v>0</v>
      </c>
      <c r="F1583" s="1">
        <f>IF(OR(Paths!$C$150=0,C1583=0),0,12-E1583)</f>
        <v>0</v>
      </c>
      <c r="G1583" s="16">
        <f>IF(NOT(Paths!$C$150=1),0,IF(Paths!$P$150="Complete",E1583/12*(Paths!$J$150*(1+'Operating costs'!$B$51)^MAX(0,C1583-1)+Paths!$K$150*(1+'Operating costs'!$B$53)^MAX(0,C1583-1)),"n.a."))</f>
        <v>0</v>
      </c>
      <c r="H1583" s="16">
        <f>IF(NOT(Paths!$C$150=1),0,IF(Paths!$P$150="Complete",F1583/12*(Paths!$L$150*(1+IF(Paths!$D$150="EV",'Operating costs'!$B$52,'Operating costs'!$B$51))^MAX(0,C1583-1)+Paths!$M$150*(1+'Operating costs'!$B$53)^MAX(0,C1583-1)),"n.a."))</f>
        <v>0</v>
      </c>
      <c r="I1583" s="16">
        <f>IF(NOT(Paths!$C$150=1),0,IF(Paths!$P$150="Complete",IF(IF(Paths!$E$150=0,C1583=0,AND(C1583&gt;0,Paths!$E$150&gt;(C1583-1)*12,Paths!$E$150&lt;=C1583*12)),Paths!$G$150,0),"n.a."))</f>
        <v>0</v>
      </c>
      <c r="J1583" s="16">
        <f>IF(NOT(Paths!$C$150=1),0,IF(Paths!$P$150="Complete",IF(IF(Paths!$E$150=0,C1583=0,AND(C1583&gt;0,Paths!$E$150&gt;(C1583-1)*12,Paths!$E$150&lt;=C1583*12)),Paths!$H$150,0),"n.a."))</f>
        <v>0</v>
      </c>
      <c r="K1583" s="16">
        <f>IF(NOT(Paths!$C$150=1),0,IF(Paths!$P$150="Complete",IF(IF(Paths!$O$150=0,C1583=0,AND(C1583&gt;0,Paths!$O$150&gt;(C1583-1)*12,Paths!$O$150&lt;=C1583*12)),Paths!$N$150,0),"n.a."))</f>
        <v>0</v>
      </c>
      <c r="L1583" s="16">
        <f>IF(NOT(Paths!$C$150=1),0,IF(Paths!$P$150="Complete",IF(C1583=10,Paths!$I$150,0),"n.a."))</f>
        <v>0</v>
      </c>
      <c r="M1583" s="16">
        <f>IF(NOT(Paths!$C$150=1),0,IF(Paths!$P$150="Complete",IF(AND(Paths!$D$150="EV",Paths!$E$150&lt;120,Paths!$E$150+'Operating costs'!$B$65&gt;Paths!$E$150,Paths!$E$150+'Operating costs'!$B$65&lt;=120,IF(Paths!$E$150+'Operating costs'!$B$65=0,C1583=0,AND(C1583&gt;0,Paths!$E$150+'Operating costs'!$B$65&gt;(C1583-1)*12,Paths!$E$150+'Operating costs'!$B$65&lt;=C1583*12))),'Operating costs'!$B$64,0)+IF(AND('Operating costs'!$B$67&gt;0,'Operating costs'!$B$67&lt;=120,OR(Paths!$D$150="ICE",'Operating costs'!$B$67&lt;=Paths!$E$150),IF('Operating costs'!$B$67=0,C1583=0,AND(C1583&gt;0,'Operating costs'!$B$67&gt;(C1583-1)*12,'Operating costs'!$B$67&lt;=C1583*12))),'Operating costs'!$B$66,0),"n.a."))</f>
        <v>0</v>
      </c>
      <c r="N1583" s="16">
        <f>IF(NOT(Paths!$C$150=1),0,IF(Paths!$P$150="Complete",SUM(G1583:I1583)-J1583-K1583-L1583+M1583+IF(C1583=0,Paths!$F$150,0)+IF(IF(Paths!$E$150=0,C1583=0,AND(C1583&gt;0,Paths!$E$150&gt;(C1583-1)*12,Paths!$E$150&lt;=C1583*12)),VLOOKUP(A1583,'Fleet register'!$A$7:$S$106,16,FALSE),0),"n.a."))</f>
        <v>0</v>
      </c>
      <c r="O1583" s="16">
        <f>IF(NOT(Paths!$C$150=1),0,IF(Paths!$P$150="Complete",N1583-IF(C1583=0,Paths!$F$150,0),"n.a."))</f>
        <v>0</v>
      </c>
      <c r="P1583" s="16">
        <f>IF(NOT(Paths!$C$150=1),0,IF(Paths!$P$150="Complete",O1583+L1583,"n.a."))</f>
        <v>0</v>
      </c>
      <c r="Q1583" s="16">
        <f>IF(NOT(Paths!$C$150=1),0,IF(Paths!$P$150="Complete",N1583*(1+'Operating costs'!$B$54)^-C1583,"n.a."))</f>
        <v>0</v>
      </c>
      <c r="R1583" s="16">
        <f>IF(NOT(Paths!$C$150=1),0,IF(Paths!$P$150="Complete",IF(AND(C1583=0,Paths!$E$150=0),I1583-J1583-K1583+VLOOKUP(A1583,'Fleet register'!$A$7:$S$106,15,FALSE)+VLOOKUP(A1583,'Fleet register'!$A$7:$S$106,16,FALSE),0),"n.a."))</f>
        <v>0</v>
      </c>
      <c r="S1583" s="1">
        <f>IF(NOT(Paths!$C$150=1),0,IF(Paths!$P$150="Complete",IF(C1583=0,0,Paths!$S$150*Paths!$R$150),"n.a."))</f>
        <v>0</v>
      </c>
      <c r="T1583" s="1">
        <f>IF(NOT(Paths!$C$150=1),0,IF(Paths!$P$150="Complete",IF(C1583=0,0,VLOOKUP(A1583,'Fleet register'!$A$7:$S$106,9,FALSE)*Paths!$R$150),"n.a."))</f>
        <v>0</v>
      </c>
    </row>
    <row r="1584" spans="1:20" ht="24" customHeight="1">
      <c r="A1584" s="1" t="str">
        <f>Paths!$A$150</f>
        <v>T036</v>
      </c>
      <c r="B1584" s="1">
        <f>Paths!$B$150</f>
        <v>3</v>
      </c>
      <c r="C1584" s="1">
        <v>4</v>
      </c>
      <c r="D1584" s="1">
        <v>150</v>
      </c>
      <c r="E1584" s="1">
        <f>IF(OR(Paths!$C$150=0,C1584=0),0,MAX(0,MIN(C1584*12,Paths!$E$150)-(C1584-1)*12))</f>
        <v>0</v>
      </c>
      <c r="F1584" s="1">
        <f>IF(OR(Paths!$C$150=0,C1584=0),0,12-E1584)</f>
        <v>0</v>
      </c>
      <c r="G1584" s="16">
        <f>IF(NOT(Paths!$C$150=1),0,IF(Paths!$P$150="Complete",E1584/12*(Paths!$J$150*(1+'Operating costs'!$B$51)^MAX(0,C1584-1)+Paths!$K$150*(1+'Operating costs'!$B$53)^MAX(0,C1584-1)),"n.a."))</f>
        <v>0</v>
      </c>
      <c r="H1584" s="16">
        <f>IF(NOT(Paths!$C$150=1),0,IF(Paths!$P$150="Complete",F1584/12*(Paths!$L$150*(1+IF(Paths!$D$150="EV",'Operating costs'!$B$52,'Operating costs'!$B$51))^MAX(0,C1584-1)+Paths!$M$150*(1+'Operating costs'!$B$53)^MAX(0,C1584-1)),"n.a."))</f>
        <v>0</v>
      </c>
      <c r="I1584" s="16">
        <f>IF(NOT(Paths!$C$150=1),0,IF(Paths!$P$150="Complete",IF(IF(Paths!$E$150=0,C1584=0,AND(C1584&gt;0,Paths!$E$150&gt;(C1584-1)*12,Paths!$E$150&lt;=C1584*12)),Paths!$G$150,0),"n.a."))</f>
        <v>0</v>
      </c>
      <c r="J1584" s="16">
        <f>IF(NOT(Paths!$C$150=1),0,IF(Paths!$P$150="Complete",IF(IF(Paths!$E$150=0,C1584=0,AND(C1584&gt;0,Paths!$E$150&gt;(C1584-1)*12,Paths!$E$150&lt;=C1584*12)),Paths!$H$150,0),"n.a."))</f>
        <v>0</v>
      </c>
      <c r="K1584" s="16">
        <f>IF(NOT(Paths!$C$150=1),0,IF(Paths!$P$150="Complete",IF(IF(Paths!$O$150=0,C1584=0,AND(C1584&gt;0,Paths!$O$150&gt;(C1584-1)*12,Paths!$O$150&lt;=C1584*12)),Paths!$N$150,0),"n.a."))</f>
        <v>0</v>
      </c>
      <c r="L1584" s="16">
        <f>IF(NOT(Paths!$C$150=1),0,IF(Paths!$P$150="Complete",IF(C1584=10,Paths!$I$150,0),"n.a."))</f>
        <v>0</v>
      </c>
      <c r="M1584" s="16">
        <f>IF(NOT(Paths!$C$150=1),0,IF(Paths!$P$150="Complete",IF(AND(Paths!$D$150="EV",Paths!$E$150&lt;120,Paths!$E$150+'Operating costs'!$B$65&gt;Paths!$E$150,Paths!$E$150+'Operating costs'!$B$65&lt;=120,IF(Paths!$E$150+'Operating costs'!$B$65=0,C1584=0,AND(C1584&gt;0,Paths!$E$150+'Operating costs'!$B$65&gt;(C1584-1)*12,Paths!$E$150+'Operating costs'!$B$65&lt;=C1584*12))),'Operating costs'!$B$64,0)+IF(AND('Operating costs'!$B$67&gt;0,'Operating costs'!$B$67&lt;=120,OR(Paths!$D$150="ICE",'Operating costs'!$B$67&lt;=Paths!$E$150),IF('Operating costs'!$B$67=0,C1584=0,AND(C1584&gt;0,'Operating costs'!$B$67&gt;(C1584-1)*12,'Operating costs'!$B$67&lt;=C1584*12))),'Operating costs'!$B$66,0),"n.a."))</f>
        <v>0</v>
      </c>
      <c r="N1584" s="16">
        <f>IF(NOT(Paths!$C$150=1),0,IF(Paths!$P$150="Complete",SUM(G1584:I1584)-J1584-K1584-L1584+M1584+IF(C1584=0,Paths!$F$150,0)+IF(IF(Paths!$E$150=0,C1584=0,AND(C1584&gt;0,Paths!$E$150&gt;(C1584-1)*12,Paths!$E$150&lt;=C1584*12)),VLOOKUP(A1584,'Fleet register'!$A$7:$S$106,16,FALSE),0),"n.a."))</f>
        <v>0</v>
      </c>
      <c r="O1584" s="16">
        <f>IF(NOT(Paths!$C$150=1),0,IF(Paths!$P$150="Complete",N1584-IF(C1584=0,Paths!$F$150,0),"n.a."))</f>
        <v>0</v>
      </c>
      <c r="P1584" s="16">
        <f>IF(NOT(Paths!$C$150=1),0,IF(Paths!$P$150="Complete",O1584+L1584,"n.a."))</f>
        <v>0</v>
      </c>
      <c r="Q1584" s="16">
        <f>IF(NOT(Paths!$C$150=1),0,IF(Paths!$P$150="Complete",N1584*(1+'Operating costs'!$B$54)^-C1584,"n.a."))</f>
        <v>0</v>
      </c>
      <c r="R1584" s="16">
        <f>IF(NOT(Paths!$C$150=1),0,IF(Paths!$P$150="Complete",IF(AND(C1584=0,Paths!$E$150=0),I1584-J1584-K1584+VLOOKUP(A1584,'Fleet register'!$A$7:$S$106,15,FALSE)+VLOOKUP(A1584,'Fleet register'!$A$7:$S$106,16,FALSE),0),"n.a."))</f>
        <v>0</v>
      </c>
      <c r="S1584" s="1">
        <f>IF(NOT(Paths!$C$150=1),0,IF(Paths!$P$150="Complete",IF(C1584=0,0,Paths!$S$150*Paths!$R$150),"n.a."))</f>
        <v>0</v>
      </c>
      <c r="T1584" s="1">
        <f>IF(NOT(Paths!$C$150=1),0,IF(Paths!$P$150="Complete",IF(C1584=0,0,VLOOKUP(A1584,'Fleet register'!$A$7:$S$106,9,FALSE)*Paths!$R$150),"n.a."))</f>
        <v>0</v>
      </c>
    </row>
    <row r="1585" spans="1:20" ht="24" customHeight="1">
      <c r="A1585" s="1" t="str">
        <f>Paths!$A$150</f>
        <v>T036</v>
      </c>
      <c r="B1585" s="1">
        <f>Paths!$B$150</f>
        <v>3</v>
      </c>
      <c r="C1585" s="1">
        <v>5</v>
      </c>
      <c r="D1585" s="1">
        <v>150</v>
      </c>
      <c r="E1585" s="1">
        <f>IF(OR(Paths!$C$150=0,C1585=0),0,MAX(0,MIN(C1585*12,Paths!$E$150)-(C1585-1)*12))</f>
        <v>0</v>
      </c>
      <c r="F1585" s="1">
        <f>IF(OR(Paths!$C$150=0,C1585=0),0,12-E1585)</f>
        <v>0</v>
      </c>
      <c r="G1585" s="16">
        <f>IF(NOT(Paths!$C$150=1),0,IF(Paths!$P$150="Complete",E1585/12*(Paths!$J$150*(1+'Operating costs'!$B$51)^MAX(0,C1585-1)+Paths!$K$150*(1+'Operating costs'!$B$53)^MAX(0,C1585-1)),"n.a."))</f>
        <v>0</v>
      </c>
      <c r="H1585" s="16">
        <f>IF(NOT(Paths!$C$150=1),0,IF(Paths!$P$150="Complete",F1585/12*(Paths!$L$150*(1+IF(Paths!$D$150="EV",'Operating costs'!$B$52,'Operating costs'!$B$51))^MAX(0,C1585-1)+Paths!$M$150*(1+'Operating costs'!$B$53)^MAX(0,C1585-1)),"n.a."))</f>
        <v>0</v>
      </c>
      <c r="I1585" s="16">
        <f>IF(NOT(Paths!$C$150=1),0,IF(Paths!$P$150="Complete",IF(IF(Paths!$E$150=0,C1585=0,AND(C1585&gt;0,Paths!$E$150&gt;(C1585-1)*12,Paths!$E$150&lt;=C1585*12)),Paths!$G$150,0),"n.a."))</f>
        <v>0</v>
      </c>
      <c r="J1585" s="16">
        <f>IF(NOT(Paths!$C$150=1),0,IF(Paths!$P$150="Complete",IF(IF(Paths!$E$150=0,C1585=0,AND(C1585&gt;0,Paths!$E$150&gt;(C1585-1)*12,Paths!$E$150&lt;=C1585*12)),Paths!$H$150,0),"n.a."))</f>
        <v>0</v>
      </c>
      <c r="K1585" s="16">
        <f>IF(NOT(Paths!$C$150=1),0,IF(Paths!$P$150="Complete",IF(IF(Paths!$O$150=0,C1585=0,AND(C1585&gt;0,Paths!$O$150&gt;(C1585-1)*12,Paths!$O$150&lt;=C1585*12)),Paths!$N$150,0),"n.a."))</f>
        <v>0</v>
      </c>
      <c r="L1585" s="16">
        <f>IF(NOT(Paths!$C$150=1),0,IF(Paths!$P$150="Complete",IF(C1585=10,Paths!$I$150,0),"n.a."))</f>
        <v>0</v>
      </c>
      <c r="M1585" s="16">
        <f>IF(NOT(Paths!$C$150=1),0,IF(Paths!$P$150="Complete",IF(AND(Paths!$D$150="EV",Paths!$E$150&lt;120,Paths!$E$150+'Operating costs'!$B$65&gt;Paths!$E$150,Paths!$E$150+'Operating costs'!$B$65&lt;=120,IF(Paths!$E$150+'Operating costs'!$B$65=0,C1585=0,AND(C1585&gt;0,Paths!$E$150+'Operating costs'!$B$65&gt;(C1585-1)*12,Paths!$E$150+'Operating costs'!$B$65&lt;=C1585*12))),'Operating costs'!$B$64,0)+IF(AND('Operating costs'!$B$67&gt;0,'Operating costs'!$B$67&lt;=120,OR(Paths!$D$150="ICE",'Operating costs'!$B$67&lt;=Paths!$E$150),IF('Operating costs'!$B$67=0,C1585=0,AND(C1585&gt;0,'Operating costs'!$B$67&gt;(C1585-1)*12,'Operating costs'!$B$67&lt;=C1585*12))),'Operating costs'!$B$66,0),"n.a."))</f>
        <v>0</v>
      </c>
      <c r="N1585" s="16">
        <f>IF(NOT(Paths!$C$150=1),0,IF(Paths!$P$150="Complete",SUM(G1585:I1585)-J1585-K1585-L1585+M1585+IF(C1585=0,Paths!$F$150,0)+IF(IF(Paths!$E$150=0,C1585=0,AND(C1585&gt;0,Paths!$E$150&gt;(C1585-1)*12,Paths!$E$150&lt;=C1585*12)),VLOOKUP(A1585,'Fleet register'!$A$7:$S$106,16,FALSE),0),"n.a."))</f>
        <v>0</v>
      </c>
      <c r="O1585" s="16">
        <f>IF(NOT(Paths!$C$150=1),0,IF(Paths!$P$150="Complete",N1585-IF(C1585=0,Paths!$F$150,0),"n.a."))</f>
        <v>0</v>
      </c>
      <c r="P1585" s="16">
        <f>IF(NOT(Paths!$C$150=1),0,IF(Paths!$P$150="Complete",O1585+L1585,"n.a."))</f>
        <v>0</v>
      </c>
      <c r="Q1585" s="16">
        <f>IF(NOT(Paths!$C$150=1),0,IF(Paths!$P$150="Complete",N1585*(1+'Operating costs'!$B$54)^-C1585,"n.a."))</f>
        <v>0</v>
      </c>
      <c r="R1585" s="16">
        <f>IF(NOT(Paths!$C$150=1),0,IF(Paths!$P$150="Complete",IF(AND(C1585=0,Paths!$E$150=0),I1585-J1585-K1585+VLOOKUP(A1585,'Fleet register'!$A$7:$S$106,15,FALSE)+VLOOKUP(A1585,'Fleet register'!$A$7:$S$106,16,FALSE),0),"n.a."))</f>
        <v>0</v>
      </c>
      <c r="S1585" s="1">
        <f>IF(NOT(Paths!$C$150=1),0,IF(Paths!$P$150="Complete",IF(C1585=0,0,Paths!$S$150*Paths!$R$150),"n.a."))</f>
        <v>0</v>
      </c>
      <c r="T1585" s="1">
        <f>IF(NOT(Paths!$C$150=1),0,IF(Paths!$P$150="Complete",IF(C1585=0,0,VLOOKUP(A1585,'Fleet register'!$A$7:$S$106,9,FALSE)*Paths!$R$150),"n.a."))</f>
        <v>0</v>
      </c>
    </row>
    <row r="1586" spans="1:20" ht="24" customHeight="1">
      <c r="A1586" s="1" t="str">
        <f>Paths!$A$150</f>
        <v>T036</v>
      </c>
      <c r="B1586" s="1">
        <f>Paths!$B$150</f>
        <v>3</v>
      </c>
      <c r="C1586" s="1">
        <v>6</v>
      </c>
      <c r="D1586" s="1">
        <v>150</v>
      </c>
      <c r="E1586" s="1">
        <f>IF(OR(Paths!$C$150=0,C1586=0),0,MAX(0,MIN(C1586*12,Paths!$E$150)-(C1586-1)*12))</f>
        <v>0</v>
      </c>
      <c r="F1586" s="1">
        <f>IF(OR(Paths!$C$150=0,C1586=0),0,12-E1586)</f>
        <v>0</v>
      </c>
      <c r="G1586" s="16">
        <f>IF(NOT(Paths!$C$150=1),0,IF(Paths!$P$150="Complete",E1586/12*(Paths!$J$150*(1+'Operating costs'!$B$51)^MAX(0,C1586-1)+Paths!$K$150*(1+'Operating costs'!$B$53)^MAX(0,C1586-1)),"n.a."))</f>
        <v>0</v>
      </c>
      <c r="H1586" s="16">
        <f>IF(NOT(Paths!$C$150=1),0,IF(Paths!$P$150="Complete",F1586/12*(Paths!$L$150*(1+IF(Paths!$D$150="EV",'Operating costs'!$B$52,'Operating costs'!$B$51))^MAX(0,C1586-1)+Paths!$M$150*(1+'Operating costs'!$B$53)^MAX(0,C1586-1)),"n.a."))</f>
        <v>0</v>
      </c>
      <c r="I1586" s="16">
        <f>IF(NOT(Paths!$C$150=1),0,IF(Paths!$P$150="Complete",IF(IF(Paths!$E$150=0,C1586=0,AND(C1586&gt;0,Paths!$E$150&gt;(C1586-1)*12,Paths!$E$150&lt;=C1586*12)),Paths!$G$150,0),"n.a."))</f>
        <v>0</v>
      </c>
      <c r="J1586" s="16">
        <f>IF(NOT(Paths!$C$150=1),0,IF(Paths!$P$150="Complete",IF(IF(Paths!$E$150=0,C1586=0,AND(C1586&gt;0,Paths!$E$150&gt;(C1586-1)*12,Paths!$E$150&lt;=C1586*12)),Paths!$H$150,0),"n.a."))</f>
        <v>0</v>
      </c>
      <c r="K1586" s="16">
        <f>IF(NOT(Paths!$C$150=1),0,IF(Paths!$P$150="Complete",IF(IF(Paths!$O$150=0,C1586=0,AND(C1586&gt;0,Paths!$O$150&gt;(C1586-1)*12,Paths!$O$150&lt;=C1586*12)),Paths!$N$150,0),"n.a."))</f>
        <v>0</v>
      </c>
      <c r="L1586" s="16">
        <f>IF(NOT(Paths!$C$150=1),0,IF(Paths!$P$150="Complete",IF(C1586=10,Paths!$I$150,0),"n.a."))</f>
        <v>0</v>
      </c>
      <c r="M1586" s="16">
        <f>IF(NOT(Paths!$C$150=1),0,IF(Paths!$P$150="Complete",IF(AND(Paths!$D$150="EV",Paths!$E$150&lt;120,Paths!$E$150+'Operating costs'!$B$65&gt;Paths!$E$150,Paths!$E$150+'Operating costs'!$B$65&lt;=120,IF(Paths!$E$150+'Operating costs'!$B$65=0,C1586=0,AND(C1586&gt;0,Paths!$E$150+'Operating costs'!$B$65&gt;(C1586-1)*12,Paths!$E$150+'Operating costs'!$B$65&lt;=C1586*12))),'Operating costs'!$B$64,0)+IF(AND('Operating costs'!$B$67&gt;0,'Operating costs'!$B$67&lt;=120,OR(Paths!$D$150="ICE",'Operating costs'!$B$67&lt;=Paths!$E$150),IF('Operating costs'!$B$67=0,C1586=0,AND(C1586&gt;0,'Operating costs'!$B$67&gt;(C1586-1)*12,'Operating costs'!$B$67&lt;=C1586*12))),'Operating costs'!$B$66,0),"n.a."))</f>
        <v>0</v>
      </c>
      <c r="N1586" s="16">
        <f>IF(NOT(Paths!$C$150=1),0,IF(Paths!$P$150="Complete",SUM(G1586:I1586)-J1586-K1586-L1586+M1586+IF(C1586=0,Paths!$F$150,0)+IF(IF(Paths!$E$150=0,C1586=0,AND(C1586&gt;0,Paths!$E$150&gt;(C1586-1)*12,Paths!$E$150&lt;=C1586*12)),VLOOKUP(A1586,'Fleet register'!$A$7:$S$106,16,FALSE),0),"n.a."))</f>
        <v>0</v>
      </c>
      <c r="O1586" s="16">
        <f>IF(NOT(Paths!$C$150=1),0,IF(Paths!$P$150="Complete",N1586-IF(C1586=0,Paths!$F$150,0),"n.a."))</f>
        <v>0</v>
      </c>
      <c r="P1586" s="16">
        <f>IF(NOT(Paths!$C$150=1),0,IF(Paths!$P$150="Complete",O1586+L1586,"n.a."))</f>
        <v>0</v>
      </c>
      <c r="Q1586" s="16">
        <f>IF(NOT(Paths!$C$150=1),0,IF(Paths!$P$150="Complete",N1586*(1+'Operating costs'!$B$54)^-C1586,"n.a."))</f>
        <v>0</v>
      </c>
      <c r="R1586" s="16">
        <f>IF(NOT(Paths!$C$150=1),0,IF(Paths!$P$150="Complete",IF(AND(C1586=0,Paths!$E$150=0),I1586-J1586-K1586+VLOOKUP(A1586,'Fleet register'!$A$7:$S$106,15,FALSE)+VLOOKUP(A1586,'Fleet register'!$A$7:$S$106,16,FALSE),0),"n.a."))</f>
        <v>0</v>
      </c>
      <c r="S1586" s="1">
        <f>IF(NOT(Paths!$C$150=1),0,IF(Paths!$P$150="Complete",IF(C1586=0,0,Paths!$S$150*Paths!$R$150),"n.a."))</f>
        <v>0</v>
      </c>
      <c r="T1586" s="1">
        <f>IF(NOT(Paths!$C$150=1),0,IF(Paths!$P$150="Complete",IF(C1586=0,0,VLOOKUP(A1586,'Fleet register'!$A$7:$S$106,9,FALSE)*Paths!$R$150),"n.a."))</f>
        <v>0</v>
      </c>
    </row>
    <row r="1587" spans="1:20" ht="24" customHeight="1">
      <c r="A1587" s="1" t="str">
        <f>Paths!$A$150</f>
        <v>T036</v>
      </c>
      <c r="B1587" s="1">
        <f>Paths!$B$150</f>
        <v>3</v>
      </c>
      <c r="C1587" s="1">
        <v>7</v>
      </c>
      <c r="D1587" s="1">
        <v>150</v>
      </c>
      <c r="E1587" s="1">
        <f>IF(OR(Paths!$C$150=0,C1587=0),0,MAX(0,MIN(C1587*12,Paths!$E$150)-(C1587-1)*12))</f>
        <v>0</v>
      </c>
      <c r="F1587" s="1">
        <f>IF(OR(Paths!$C$150=0,C1587=0),0,12-E1587)</f>
        <v>0</v>
      </c>
      <c r="G1587" s="16">
        <f>IF(NOT(Paths!$C$150=1),0,IF(Paths!$P$150="Complete",E1587/12*(Paths!$J$150*(1+'Operating costs'!$B$51)^MAX(0,C1587-1)+Paths!$K$150*(1+'Operating costs'!$B$53)^MAX(0,C1587-1)),"n.a."))</f>
        <v>0</v>
      </c>
      <c r="H1587" s="16">
        <f>IF(NOT(Paths!$C$150=1),0,IF(Paths!$P$150="Complete",F1587/12*(Paths!$L$150*(1+IF(Paths!$D$150="EV",'Operating costs'!$B$52,'Operating costs'!$B$51))^MAX(0,C1587-1)+Paths!$M$150*(1+'Operating costs'!$B$53)^MAX(0,C1587-1)),"n.a."))</f>
        <v>0</v>
      </c>
      <c r="I1587" s="16">
        <f>IF(NOT(Paths!$C$150=1),0,IF(Paths!$P$150="Complete",IF(IF(Paths!$E$150=0,C1587=0,AND(C1587&gt;0,Paths!$E$150&gt;(C1587-1)*12,Paths!$E$150&lt;=C1587*12)),Paths!$G$150,0),"n.a."))</f>
        <v>0</v>
      </c>
      <c r="J1587" s="16">
        <f>IF(NOT(Paths!$C$150=1),0,IF(Paths!$P$150="Complete",IF(IF(Paths!$E$150=0,C1587=0,AND(C1587&gt;0,Paths!$E$150&gt;(C1587-1)*12,Paths!$E$150&lt;=C1587*12)),Paths!$H$150,0),"n.a."))</f>
        <v>0</v>
      </c>
      <c r="K1587" s="16">
        <f>IF(NOT(Paths!$C$150=1),0,IF(Paths!$P$150="Complete",IF(IF(Paths!$O$150=0,C1587=0,AND(C1587&gt;0,Paths!$O$150&gt;(C1587-1)*12,Paths!$O$150&lt;=C1587*12)),Paths!$N$150,0),"n.a."))</f>
        <v>0</v>
      </c>
      <c r="L1587" s="16">
        <f>IF(NOT(Paths!$C$150=1),0,IF(Paths!$P$150="Complete",IF(C1587=10,Paths!$I$150,0),"n.a."))</f>
        <v>0</v>
      </c>
      <c r="M1587" s="16">
        <f>IF(NOT(Paths!$C$150=1),0,IF(Paths!$P$150="Complete",IF(AND(Paths!$D$150="EV",Paths!$E$150&lt;120,Paths!$E$150+'Operating costs'!$B$65&gt;Paths!$E$150,Paths!$E$150+'Operating costs'!$B$65&lt;=120,IF(Paths!$E$150+'Operating costs'!$B$65=0,C1587=0,AND(C1587&gt;0,Paths!$E$150+'Operating costs'!$B$65&gt;(C1587-1)*12,Paths!$E$150+'Operating costs'!$B$65&lt;=C1587*12))),'Operating costs'!$B$64,0)+IF(AND('Operating costs'!$B$67&gt;0,'Operating costs'!$B$67&lt;=120,OR(Paths!$D$150="ICE",'Operating costs'!$B$67&lt;=Paths!$E$150),IF('Operating costs'!$B$67=0,C1587=0,AND(C1587&gt;0,'Operating costs'!$B$67&gt;(C1587-1)*12,'Operating costs'!$B$67&lt;=C1587*12))),'Operating costs'!$B$66,0),"n.a."))</f>
        <v>0</v>
      </c>
      <c r="N1587" s="16">
        <f>IF(NOT(Paths!$C$150=1),0,IF(Paths!$P$150="Complete",SUM(G1587:I1587)-J1587-K1587-L1587+M1587+IF(C1587=0,Paths!$F$150,0)+IF(IF(Paths!$E$150=0,C1587=0,AND(C1587&gt;0,Paths!$E$150&gt;(C1587-1)*12,Paths!$E$150&lt;=C1587*12)),VLOOKUP(A1587,'Fleet register'!$A$7:$S$106,16,FALSE),0),"n.a."))</f>
        <v>0</v>
      </c>
      <c r="O1587" s="16">
        <f>IF(NOT(Paths!$C$150=1),0,IF(Paths!$P$150="Complete",N1587-IF(C1587=0,Paths!$F$150,0),"n.a."))</f>
        <v>0</v>
      </c>
      <c r="P1587" s="16">
        <f>IF(NOT(Paths!$C$150=1),0,IF(Paths!$P$150="Complete",O1587+L1587,"n.a."))</f>
        <v>0</v>
      </c>
      <c r="Q1587" s="16">
        <f>IF(NOT(Paths!$C$150=1),0,IF(Paths!$P$150="Complete",N1587*(1+'Operating costs'!$B$54)^-C1587,"n.a."))</f>
        <v>0</v>
      </c>
      <c r="R1587" s="16">
        <f>IF(NOT(Paths!$C$150=1),0,IF(Paths!$P$150="Complete",IF(AND(C1587=0,Paths!$E$150=0),I1587-J1587-K1587+VLOOKUP(A1587,'Fleet register'!$A$7:$S$106,15,FALSE)+VLOOKUP(A1587,'Fleet register'!$A$7:$S$106,16,FALSE),0),"n.a."))</f>
        <v>0</v>
      </c>
      <c r="S1587" s="1">
        <f>IF(NOT(Paths!$C$150=1),0,IF(Paths!$P$150="Complete",IF(C1587=0,0,Paths!$S$150*Paths!$R$150),"n.a."))</f>
        <v>0</v>
      </c>
      <c r="T1587" s="1">
        <f>IF(NOT(Paths!$C$150=1),0,IF(Paths!$P$150="Complete",IF(C1587=0,0,VLOOKUP(A1587,'Fleet register'!$A$7:$S$106,9,FALSE)*Paths!$R$150),"n.a."))</f>
        <v>0</v>
      </c>
    </row>
    <row r="1588" spans="1:20" ht="24" customHeight="1">
      <c r="A1588" s="1" t="str">
        <f>Paths!$A$150</f>
        <v>T036</v>
      </c>
      <c r="B1588" s="1">
        <f>Paths!$B$150</f>
        <v>3</v>
      </c>
      <c r="C1588" s="1">
        <v>8</v>
      </c>
      <c r="D1588" s="1">
        <v>150</v>
      </c>
      <c r="E1588" s="1">
        <f>IF(OR(Paths!$C$150=0,C1588=0),0,MAX(0,MIN(C1588*12,Paths!$E$150)-(C1588-1)*12))</f>
        <v>0</v>
      </c>
      <c r="F1588" s="1">
        <f>IF(OR(Paths!$C$150=0,C1588=0),0,12-E1588)</f>
        <v>0</v>
      </c>
      <c r="G1588" s="16">
        <f>IF(NOT(Paths!$C$150=1),0,IF(Paths!$P$150="Complete",E1588/12*(Paths!$J$150*(1+'Operating costs'!$B$51)^MAX(0,C1588-1)+Paths!$K$150*(1+'Operating costs'!$B$53)^MAX(0,C1588-1)),"n.a."))</f>
        <v>0</v>
      </c>
      <c r="H1588" s="16">
        <f>IF(NOT(Paths!$C$150=1),0,IF(Paths!$P$150="Complete",F1588/12*(Paths!$L$150*(1+IF(Paths!$D$150="EV",'Operating costs'!$B$52,'Operating costs'!$B$51))^MAX(0,C1588-1)+Paths!$M$150*(1+'Operating costs'!$B$53)^MAX(0,C1588-1)),"n.a."))</f>
        <v>0</v>
      </c>
      <c r="I1588" s="16">
        <f>IF(NOT(Paths!$C$150=1),0,IF(Paths!$P$150="Complete",IF(IF(Paths!$E$150=0,C1588=0,AND(C1588&gt;0,Paths!$E$150&gt;(C1588-1)*12,Paths!$E$150&lt;=C1588*12)),Paths!$G$150,0),"n.a."))</f>
        <v>0</v>
      </c>
      <c r="J1588" s="16">
        <f>IF(NOT(Paths!$C$150=1),0,IF(Paths!$P$150="Complete",IF(IF(Paths!$E$150=0,C1588=0,AND(C1588&gt;0,Paths!$E$150&gt;(C1588-1)*12,Paths!$E$150&lt;=C1588*12)),Paths!$H$150,0),"n.a."))</f>
        <v>0</v>
      </c>
      <c r="K1588" s="16">
        <f>IF(NOT(Paths!$C$150=1),0,IF(Paths!$P$150="Complete",IF(IF(Paths!$O$150=0,C1588=0,AND(C1588&gt;0,Paths!$O$150&gt;(C1588-1)*12,Paths!$O$150&lt;=C1588*12)),Paths!$N$150,0),"n.a."))</f>
        <v>0</v>
      </c>
      <c r="L1588" s="16">
        <f>IF(NOT(Paths!$C$150=1),0,IF(Paths!$P$150="Complete",IF(C1588=10,Paths!$I$150,0),"n.a."))</f>
        <v>0</v>
      </c>
      <c r="M1588" s="16">
        <f>IF(NOT(Paths!$C$150=1),0,IF(Paths!$P$150="Complete",IF(AND(Paths!$D$150="EV",Paths!$E$150&lt;120,Paths!$E$150+'Operating costs'!$B$65&gt;Paths!$E$150,Paths!$E$150+'Operating costs'!$B$65&lt;=120,IF(Paths!$E$150+'Operating costs'!$B$65=0,C1588=0,AND(C1588&gt;0,Paths!$E$150+'Operating costs'!$B$65&gt;(C1588-1)*12,Paths!$E$150+'Operating costs'!$B$65&lt;=C1588*12))),'Operating costs'!$B$64,0)+IF(AND('Operating costs'!$B$67&gt;0,'Operating costs'!$B$67&lt;=120,OR(Paths!$D$150="ICE",'Operating costs'!$B$67&lt;=Paths!$E$150),IF('Operating costs'!$B$67=0,C1588=0,AND(C1588&gt;0,'Operating costs'!$B$67&gt;(C1588-1)*12,'Operating costs'!$B$67&lt;=C1588*12))),'Operating costs'!$B$66,0),"n.a."))</f>
        <v>0</v>
      </c>
      <c r="N1588" s="16">
        <f>IF(NOT(Paths!$C$150=1),0,IF(Paths!$P$150="Complete",SUM(G1588:I1588)-J1588-K1588-L1588+M1588+IF(C1588=0,Paths!$F$150,0)+IF(IF(Paths!$E$150=0,C1588=0,AND(C1588&gt;0,Paths!$E$150&gt;(C1588-1)*12,Paths!$E$150&lt;=C1588*12)),VLOOKUP(A1588,'Fleet register'!$A$7:$S$106,16,FALSE),0),"n.a."))</f>
        <v>0</v>
      </c>
      <c r="O1588" s="16">
        <f>IF(NOT(Paths!$C$150=1),0,IF(Paths!$P$150="Complete",N1588-IF(C1588=0,Paths!$F$150,0),"n.a."))</f>
        <v>0</v>
      </c>
      <c r="P1588" s="16">
        <f>IF(NOT(Paths!$C$150=1),0,IF(Paths!$P$150="Complete",O1588+L1588,"n.a."))</f>
        <v>0</v>
      </c>
      <c r="Q1588" s="16">
        <f>IF(NOT(Paths!$C$150=1),0,IF(Paths!$P$150="Complete",N1588*(1+'Operating costs'!$B$54)^-C1588,"n.a."))</f>
        <v>0</v>
      </c>
      <c r="R1588" s="16">
        <f>IF(NOT(Paths!$C$150=1),0,IF(Paths!$P$150="Complete",IF(AND(C1588=0,Paths!$E$150=0),I1588-J1588-K1588+VLOOKUP(A1588,'Fleet register'!$A$7:$S$106,15,FALSE)+VLOOKUP(A1588,'Fleet register'!$A$7:$S$106,16,FALSE),0),"n.a."))</f>
        <v>0</v>
      </c>
      <c r="S1588" s="1">
        <f>IF(NOT(Paths!$C$150=1),0,IF(Paths!$P$150="Complete",IF(C1588=0,0,Paths!$S$150*Paths!$R$150),"n.a."))</f>
        <v>0</v>
      </c>
      <c r="T1588" s="1">
        <f>IF(NOT(Paths!$C$150=1),0,IF(Paths!$P$150="Complete",IF(C1588=0,0,VLOOKUP(A1588,'Fleet register'!$A$7:$S$106,9,FALSE)*Paths!$R$150),"n.a."))</f>
        <v>0</v>
      </c>
    </row>
    <row r="1589" spans="1:20" ht="24" customHeight="1">
      <c r="A1589" s="1" t="str">
        <f>Paths!$A$150</f>
        <v>T036</v>
      </c>
      <c r="B1589" s="1">
        <f>Paths!$B$150</f>
        <v>3</v>
      </c>
      <c r="C1589" s="1">
        <v>9</v>
      </c>
      <c r="D1589" s="1">
        <v>150</v>
      </c>
      <c r="E1589" s="1">
        <f>IF(OR(Paths!$C$150=0,C1589=0),0,MAX(0,MIN(C1589*12,Paths!$E$150)-(C1589-1)*12))</f>
        <v>0</v>
      </c>
      <c r="F1589" s="1">
        <f>IF(OR(Paths!$C$150=0,C1589=0),0,12-E1589)</f>
        <v>0</v>
      </c>
      <c r="G1589" s="16">
        <f>IF(NOT(Paths!$C$150=1),0,IF(Paths!$P$150="Complete",E1589/12*(Paths!$J$150*(1+'Operating costs'!$B$51)^MAX(0,C1589-1)+Paths!$K$150*(1+'Operating costs'!$B$53)^MAX(0,C1589-1)),"n.a."))</f>
        <v>0</v>
      </c>
      <c r="H1589" s="16">
        <f>IF(NOT(Paths!$C$150=1),0,IF(Paths!$P$150="Complete",F1589/12*(Paths!$L$150*(1+IF(Paths!$D$150="EV",'Operating costs'!$B$52,'Operating costs'!$B$51))^MAX(0,C1589-1)+Paths!$M$150*(1+'Operating costs'!$B$53)^MAX(0,C1589-1)),"n.a."))</f>
        <v>0</v>
      </c>
      <c r="I1589" s="16">
        <f>IF(NOT(Paths!$C$150=1),0,IF(Paths!$P$150="Complete",IF(IF(Paths!$E$150=0,C1589=0,AND(C1589&gt;0,Paths!$E$150&gt;(C1589-1)*12,Paths!$E$150&lt;=C1589*12)),Paths!$G$150,0),"n.a."))</f>
        <v>0</v>
      </c>
      <c r="J1589" s="16">
        <f>IF(NOT(Paths!$C$150=1),0,IF(Paths!$P$150="Complete",IF(IF(Paths!$E$150=0,C1589=0,AND(C1589&gt;0,Paths!$E$150&gt;(C1589-1)*12,Paths!$E$150&lt;=C1589*12)),Paths!$H$150,0),"n.a."))</f>
        <v>0</v>
      </c>
      <c r="K1589" s="16">
        <f>IF(NOT(Paths!$C$150=1),0,IF(Paths!$P$150="Complete",IF(IF(Paths!$O$150=0,C1589=0,AND(C1589&gt;0,Paths!$O$150&gt;(C1589-1)*12,Paths!$O$150&lt;=C1589*12)),Paths!$N$150,0),"n.a."))</f>
        <v>0</v>
      </c>
      <c r="L1589" s="16">
        <f>IF(NOT(Paths!$C$150=1),0,IF(Paths!$P$150="Complete",IF(C1589=10,Paths!$I$150,0),"n.a."))</f>
        <v>0</v>
      </c>
      <c r="M1589" s="16">
        <f>IF(NOT(Paths!$C$150=1),0,IF(Paths!$P$150="Complete",IF(AND(Paths!$D$150="EV",Paths!$E$150&lt;120,Paths!$E$150+'Operating costs'!$B$65&gt;Paths!$E$150,Paths!$E$150+'Operating costs'!$B$65&lt;=120,IF(Paths!$E$150+'Operating costs'!$B$65=0,C1589=0,AND(C1589&gt;0,Paths!$E$150+'Operating costs'!$B$65&gt;(C1589-1)*12,Paths!$E$150+'Operating costs'!$B$65&lt;=C1589*12))),'Operating costs'!$B$64,0)+IF(AND('Operating costs'!$B$67&gt;0,'Operating costs'!$B$67&lt;=120,OR(Paths!$D$150="ICE",'Operating costs'!$B$67&lt;=Paths!$E$150),IF('Operating costs'!$B$67=0,C1589=0,AND(C1589&gt;0,'Operating costs'!$B$67&gt;(C1589-1)*12,'Operating costs'!$B$67&lt;=C1589*12))),'Operating costs'!$B$66,0),"n.a."))</f>
        <v>0</v>
      </c>
      <c r="N1589" s="16">
        <f>IF(NOT(Paths!$C$150=1),0,IF(Paths!$P$150="Complete",SUM(G1589:I1589)-J1589-K1589-L1589+M1589+IF(C1589=0,Paths!$F$150,0)+IF(IF(Paths!$E$150=0,C1589=0,AND(C1589&gt;0,Paths!$E$150&gt;(C1589-1)*12,Paths!$E$150&lt;=C1589*12)),VLOOKUP(A1589,'Fleet register'!$A$7:$S$106,16,FALSE),0),"n.a."))</f>
        <v>0</v>
      </c>
      <c r="O1589" s="16">
        <f>IF(NOT(Paths!$C$150=1),0,IF(Paths!$P$150="Complete",N1589-IF(C1589=0,Paths!$F$150,0),"n.a."))</f>
        <v>0</v>
      </c>
      <c r="P1589" s="16">
        <f>IF(NOT(Paths!$C$150=1),0,IF(Paths!$P$150="Complete",O1589+L1589,"n.a."))</f>
        <v>0</v>
      </c>
      <c r="Q1589" s="16">
        <f>IF(NOT(Paths!$C$150=1),0,IF(Paths!$P$150="Complete",N1589*(1+'Operating costs'!$B$54)^-C1589,"n.a."))</f>
        <v>0</v>
      </c>
      <c r="R1589" s="16">
        <f>IF(NOT(Paths!$C$150=1),0,IF(Paths!$P$150="Complete",IF(AND(C1589=0,Paths!$E$150=0),I1589-J1589-K1589+VLOOKUP(A1589,'Fleet register'!$A$7:$S$106,15,FALSE)+VLOOKUP(A1589,'Fleet register'!$A$7:$S$106,16,FALSE),0),"n.a."))</f>
        <v>0</v>
      </c>
      <c r="S1589" s="1">
        <f>IF(NOT(Paths!$C$150=1),0,IF(Paths!$P$150="Complete",IF(C1589=0,0,Paths!$S$150*Paths!$R$150),"n.a."))</f>
        <v>0</v>
      </c>
      <c r="T1589" s="1">
        <f>IF(NOT(Paths!$C$150=1),0,IF(Paths!$P$150="Complete",IF(C1589=0,0,VLOOKUP(A1589,'Fleet register'!$A$7:$S$106,9,FALSE)*Paths!$R$150),"n.a."))</f>
        <v>0</v>
      </c>
    </row>
    <row r="1590" spans="1:20" ht="24" customHeight="1">
      <c r="A1590" s="1" t="str">
        <f>Paths!$A$150</f>
        <v>T036</v>
      </c>
      <c r="B1590" s="1">
        <f>Paths!$B$150</f>
        <v>3</v>
      </c>
      <c r="C1590" s="1">
        <v>10</v>
      </c>
      <c r="D1590" s="1">
        <v>150</v>
      </c>
      <c r="E1590" s="1">
        <f>IF(OR(Paths!$C$150=0,C1590=0),0,MAX(0,MIN(C1590*12,Paths!$E$150)-(C1590-1)*12))</f>
        <v>0</v>
      </c>
      <c r="F1590" s="1">
        <f>IF(OR(Paths!$C$150=0,C1590=0),0,12-E1590)</f>
        <v>0</v>
      </c>
      <c r="G1590" s="16">
        <f>IF(NOT(Paths!$C$150=1),0,IF(Paths!$P$150="Complete",E1590/12*(Paths!$J$150*(1+'Operating costs'!$B$51)^MAX(0,C1590-1)+Paths!$K$150*(1+'Operating costs'!$B$53)^MAX(0,C1590-1)),"n.a."))</f>
        <v>0</v>
      </c>
      <c r="H1590" s="16">
        <f>IF(NOT(Paths!$C$150=1),0,IF(Paths!$P$150="Complete",F1590/12*(Paths!$L$150*(1+IF(Paths!$D$150="EV",'Operating costs'!$B$52,'Operating costs'!$B$51))^MAX(0,C1590-1)+Paths!$M$150*(1+'Operating costs'!$B$53)^MAX(0,C1590-1)),"n.a."))</f>
        <v>0</v>
      </c>
      <c r="I1590" s="16">
        <f>IF(NOT(Paths!$C$150=1),0,IF(Paths!$P$150="Complete",IF(IF(Paths!$E$150=0,C1590=0,AND(C1590&gt;0,Paths!$E$150&gt;(C1590-1)*12,Paths!$E$150&lt;=C1590*12)),Paths!$G$150,0),"n.a."))</f>
        <v>0</v>
      </c>
      <c r="J1590" s="16">
        <f>IF(NOT(Paths!$C$150=1),0,IF(Paths!$P$150="Complete",IF(IF(Paths!$E$150=0,C1590=0,AND(C1590&gt;0,Paths!$E$150&gt;(C1590-1)*12,Paths!$E$150&lt;=C1590*12)),Paths!$H$150,0),"n.a."))</f>
        <v>0</v>
      </c>
      <c r="K1590" s="16">
        <f>IF(NOT(Paths!$C$150=1),0,IF(Paths!$P$150="Complete",IF(IF(Paths!$O$150=0,C1590=0,AND(C1590&gt;0,Paths!$O$150&gt;(C1590-1)*12,Paths!$O$150&lt;=C1590*12)),Paths!$N$150,0),"n.a."))</f>
        <v>0</v>
      </c>
      <c r="L1590" s="16">
        <f>IF(NOT(Paths!$C$150=1),0,IF(Paths!$P$150="Complete",IF(C1590=10,Paths!$I$150,0),"n.a."))</f>
        <v>0</v>
      </c>
      <c r="M1590" s="16">
        <f>IF(NOT(Paths!$C$150=1),0,IF(Paths!$P$150="Complete",IF(AND(Paths!$D$150="EV",Paths!$E$150&lt;120,Paths!$E$150+'Operating costs'!$B$65&gt;Paths!$E$150,Paths!$E$150+'Operating costs'!$B$65&lt;=120,IF(Paths!$E$150+'Operating costs'!$B$65=0,C1590=0,AND(C1590&gt;0,Paths!$E$150+'Operating costs'!$B$65&gt;(C1590-1)*12,Paths!$E$150+'Operating costs'!$B$65&lt;=C1590*12))),'Operating costs'!$B$64,0)+IF(AND('Operating costs'!$B$67&gt;0,'Operating costs'!$B$67&lt;=120,OR(Paths!$D$150="ICE",'Operating costs'!$B$67&lt;=Paths!$E$150),IF('Operating costs'!$B$67=0,C1590=0,AND(C1590&gt;0,'Operating costs'!$B$67&gt;(C1590-1)*12,'Operating costs'!$B$67&lt;=C1590*12))),'Operating costs'!$B$66,0),"n.a."))</f>
        <v>0</v>
      </c>
      <c r="N1590" s="16">
        <f>IF(NOT(Paths!$C$150=1),0,IF(Paths!$P$150="Complete",SUM(G1590:I1590)-J1590-K1590-L1590+M1590+IF(C1590=0,Paths!$F$150,0)+IF(IF(Paths!$E$150=0,C1590=0,AND(C1590&gt;0,Paths!$E$150&gt;(C1590-1)*12,Paths!$E$150&lt;=C1590*12)),VLOOKUP(A1590,'Fleet register'!$A$7:$S$106,16,FALSE),0),"n.a."))</f>
        <v>0</v>
      </c>
      <c r="O1590" s="16">
        <f>IF(NOT(Paths!$C$150=1),0,IF(Paths!$P$150="Complete",N1590-IF(C1590=0,Paths!$F$150,0),"n.a."))</f>
        <v>0</v>
      </c>
      <c r="P1590" s="16">
        <f>IF(NOT(Paths!$C$150=1),0,IF(Paths!$P$150="Complete",O1590+L1590,"n.a."))</f>
        <v>0</v>
      </c>
      <c r="Q1590" s="16">
        <f>IF(NOT(Paths!$C$150=1),0,IF(Paths!$P$150="Complete",N1590*(1+'Operating costs'!$B$54)^-C1590,"n.a."))</f>
        <v>0</v>
      </c>
      <c r="R1590" s="16">
        <f>IF(NOT(Paths!$C$150=1),0,IF(Paths!$P$150="Complete",IF(AND(C1590=0,Paths!$E$150=0),I1590-J1590-K1590+VLOOKUP(A1590,'Fleet register'!$A$7:$S$106,15,FALSE)+VLOOKUP(A1590,'Fleet register'!$A$7:$S$106,16,FALSE),0),"n.a."))</f>
        <v>0</v>
      </c>
      <c r="S1590" s="1">
        <f>IF(NOT(Paths!$C$150=1),0,IF(Paths!$P$150="Complete",IF(C1590=0,0,Paths!$S$150*Paths!$R$150),"n.a."))</f>
        <v>0</v>
      </c>
      <c r="T1590" s="1">
        <f>IF(NOT(Paths!$C$150=1),0,IF(Paths!$P$150="Complete",IF(C1590=0,0,VLOOKUP(A1590,'Fleet register'!$A$7:$S$106,9,FALSE)*Paths!$R$150),"n.a."))</f>
        <v>0</v>
      </c>
    </row>
    <row r="1591" spans="1:20" ht="24" customHeight="1">
      <c r="A1591" s="1" t="str">
        <f>Paths!$A$151</f>
        <v>T037</v>
      </c>
      <c r="B1591" s="1">
        <f>Paths!$B$151</f>
        <v>0</v>
      </c>
      <c r="C1591" s="1">
        <v>0</v>
      </c>
      <c r="D1591" s="1">
        <v>151</v>
      </c>
      <c r="E1591" s="1">
        <f>IF(OR(Paths!$C$151=0,C1591=0),0,MAX(0,MIN(C1591*12,Paths!$E$151)-(C1591-1)*12))</f>
        <v>0</v>
      </c>
      <c r="F1591" s="1">
        <f>IF(OR(Paths!$C$151=0,C1591=0),0,12-E1591)</f>
        <v>0</v>
      </c>
      <c r="G1591" s="16">
        <f>IF(NOT(Paths!$C$151=1),0,IF(Paths!$P$151="Complete",E1591/12*(Paths!$J$151*(1+'Operating costs'!$B$51)^MAX(0,C1591-1)+Paths!$K$151*(1+'Operating costs'!$B$53)^MAX(0,C1591-1)),"n.a."))</f>
        <v>0</v>
      </c>
      <c r="H1591" s="16">
        <f>IF(NOT(Paths!$C$151=1),0,IF(Paths!$P$151="Complete",F1591/12*(Paths!$L$151*(1+IF(Paths!$D$151="EV",'Operating costs'!$B$52,'Operating costs'!$B$51))^MAX(0,C1591-1)+Paths!$M$151*(1+'Operating costs'!$B$53)^MAX(0,C1591-1)),"n.a."))</f>
        <v>0</v>
      </c>
      <c r="I1591" s="16">
        <f>IF(NOT(Paths!$C$151=1),0,IF(Paths!$P$151="Complete",IF(IF(Paths!$E$151=0,C1591=0,AND(C1591&gt;0,Paths!$E$151&gt;(C1591-1)*12,Paths!$E$151&lt;=C1591*12)),Paths!$G$151,0),"n.a."))</f>
        <v>0</v>
      </c>
      <c r="J1591" s="16">
        <f>IF(NOT(Paths!$C$151=1),0,IF(Paths!$P$151="Complete",IF(IF(Paths!$E$151=0,C1591=0,AND(C1591&gt;0,Paths!$E$151&gt;(C1591-1)*12,Paths!$E$151&lt;=C1591*12)),Paths!$H$151,0),"n.a."))</f>
        <v>0</v>
      </c>
      <c r="K1591" s="16">
        <f>IF(NOT(Paths!$C$151=1),0,IF(Paths!$P$151="Complete",IF(IF(Paths!$O$151=0,C1591=0,AND(C1591&gt;0,Paths!$O$151&gt;(C1591-1)*12,Paths!$O$151&lt;=C1591*12)),Paths!$N$151,0),"n.a."))</f>
        <v>0</v>
      </c>
      <c r="L1591" s="16">
        <f>IF(NOT(Paths!$C$151=1),0,IF(Paths!$P$151="Complete",IF(C1591=10,Paths!$I$151,0),"n.a."))</f>
        <v>0</v>
      </c>
      <c r="M1591" s="16">
        <f>IF(NOT(Paths!$C$151=1),0,IF(Paths!$P$151="Complete",IF(AND(Paths!$D$151="EV",Paths!$E$151&lt;120,Paths!$E$151+'Operating costs'!$B$65&gt;Paths!$E$151,Paths!$E$151+'Operating costs'!$B$65&lt;=120,IF(Paths!$E$151+'Operating costs'!$B$65=0,C1591=0,AND(C1591&gt;0,Paths!$E$151+'Operating costs'!$B$65&gt;(C1591-1)*12,Paths!$E$151+'Operating costs'!$B$65&lt;=C1591*12))),'Operating costs'!$B$64,0)+IF(AND('Operating costs'!$B$67&gt;0,'Operating costs'!$B$67&lt;=120,OR(Paths!$D$151="ICE",'Operating costs'!$B$67&lt;=Paths!$E$151),IF('Operating costs'!$B$67=0,C1591=0,AND(C1591&gt;0,'Operating costs'!$B$67&gt;(C1591-1)*12,'Operating costs'!$B$67&lt;=C1591*12))),'Operating costs'!$B$66,0),"n.a."))</f>
        <v>0</v>
      </c>
      <c r="N1591" s="16">
        <f>IF(NOT(Paths!$C$151=1),0,IF(Paths!$P$151="Complete",SUM(G1591:I1591)-J1591-K1591-L1591+M1591+IF(C1591=0,Paths!$F$151,0)+IF(IF(Paths!$E$151=0,C1591=0,AND(C1591&gt;0,Paths!$E$151&gt;(C1591-1)*12,Paths!$E$151&lt;=C1591*12)),VLOOKUP(A1591,'Fleet register'!$A$7:$S$106,16,FALSE),0),"n.a."))</f>
        <v>0</v>
      </c>
      <c r="O1591" s="16">
        <f>IF(NOT(Paths!$C$151=1),0,IF(Paths!$P$151="Complete",N1591-IF(C1591=0,Paths!$F$151,0),"n.a."))</f>
        <v>0</v>
      </c>
      <c r="P1591" s="16">
        <f>IF(NOT(Paths!$C$151=1),0,IF(Paths!$P$151="Complete",O1591+L1591,"n.a."))</f>
        <v>0</v>
      </c>
      <c r="Q1591" s="16">
        <f>IF(NOT(Paths!$C$151=1),0,IF(Paths!$P$151="Complete",N1591*(1+'Operating costs'!$B$54)^-C1591,"n.a."))</f>
        <v>0</v>
      </c>
      <c r="R1591" s="16">
        <f>IF(NOT(Paths!$C$151=1),0,IF(Paths!$P$151="Complete",IF(AND(C1591=0,Paths!$E$151=0),I1591-J1591-K1591+VLOOKUP(A1591,'Fleet register'!$A$7:$S$106,15,FALSE)+VLOOKUP(A1591,'Fleet register'!$A$7:$S$106,16,FALSE),0),"n.a."))</f>
        <v>0</v>
      </c>
      <c r="S1591" s="1">
        <f>IF(NOT(Paths!$C$151=1),0,IF(Paths!$P$151="Complete",IF(C1591=0,0,Paths!$S$151*Paths!$R$151),"n.a."))</f>
        <v>0</v>
      </c>
      <c r="T1591" s="1">
        <f>IF(NOT(Paths!$C$151=1),0,IF(Paths!$P$151="Complete",IF(C1591=0,0,VLOOKUP(A1591,'Fleet register'!$A$7:$S$106,9,FALSE)*Paths!$R$151),"n.a."))</f>
        <v>0</v>
      </c>
    </row>
    <row r="1592" spans="1:20" ht="24" customHeight="1">
      <c r="A1592" s="1" t="str">
        <f>Paths!$A$151</f>
        <v>T037</v>
      </c>
      <c r="B1592" s="1">
        <f>Paths!$B$151</f>
        <v>0</v>
      </c>
      <c r="C1592" s="1">
        <v>1</v>
      </c>
      <c r="D1592" s="1">
        <v>151</v>
      </c>
      <c r="E1592" s="1">
        <f>IF(OR(Paths!$C$151=0,C1592=0),0,MAX(0,MIN(C1592*12,Paths!$E$151)-(C1592-1)*12))</f>
        <v>0</v>
      </c>
      <c r="F1592" s="1">
        <f>IF(OR(Paths!$C$151=0,C1592=0),0,12-E1592)</f>
        <v>0</v>
      </c>
      <c r="G1592" s="16">
        <f>IF(NOT(Paths!$C$151=1),0,IF(Paths!$P$151="Complete",E1592/12*(Paths!$J$151*(1+'Operating costs'!$B$51)^MAX(0,C1592-1)+Paths!$K$151*(1+'Operating costs'!$B$53)^MAX(0,C1592-1)),"n.a."))</f>
        <v>0</v>
      </c>
      <c r="H1592" s="16">
        <f>IF(NOT(Paths!$C$151=1),0,IF(Paths!$P$151="Complete",F1592/12*(Paths!$L$151*(1+IF(Paths!$D$151="EV",'Operating costs'!$B$52,'Operating costs'!$B$51))^MAX(0,C1592-1)+Paths!$M$151*(1+'Operating costs'!$B$53)^MAX(0,C1592-1)),"n.a."))</f>
        <v>0</v>
      </c>
      <c r="I1592" s="16">
        <f>IF(NOT(Paths!$C$151=1),0,IF(Paths!$P$151="Complete",IF(IF(Paths!$E$151=0,C1592=0,AND(C1592&gt;0,Paths!$E$151&gt;(C1592-1)*12,Paths!$E$151&lt;=C1592*12)),Paths!$G$151,0),"n.a."))</f>
        <v>0</v>
      </c>
      <c r="J1592" s="16">
        <f>IF(NOT(Paths!$C$151=1),0,IF(Paths!$P$151="Complete",IF(IF(Paths!$E$151=0,C1592=0,AND(C1592&gt;0,Paths!$E$151&gt;(C1592-1)*12,Paths!$E$151&lt;=C1592*12)),Paths!$H$151,0),"n.a."))</f>
        <v>0</v>
      </c>
      <c r="K1592" s="16">
        <f>IF(NOT(Paths!$C$151=1),0,IF(Paths!$P$151="Complete",IF(IF(Paths!$O$151=0,C1592=0,AND(C1592&gt;0,Paths!$O$151&gt;(C1592-1)*12,Paths!$O$151&lt;=C1592*12)),Paths!$N$151,0),"n.a."))</f>
        <v>0</v>
      </c>
      <c r="L1592" s="16">
        <f>IF(NOT(Paths!$C$151=1),0,IF(Paths!$P$151="Complete",IF(C1592=10,Paths!$I$151,0),"n.a."))</f>
        <v>0</v>
      </c>
      <c r="M1592" s="16">
        <f>IF(NOT(Paths!$C$151=1),0,IF(Paths!$P$151="Complete",IF(AND(Paths!$D$151="EV",Paths!$E$151&lt;120,Paths!$E$151+'Operating costs'!$B$65&gt;Paths!$E$151,Paths!$E$151+'Operating costs'!$B$65&lt;=120,IF(Paths!$E$151+'Operating costs'!$B$65=0,C1592=0,AND(C1592&gt;0,Paths!$E$151+'Operating costs'!$B$65&gt;(C1592-1)*12,Paths!$E$151+'Operating costs'!$B$65&lt;=C1592*12))),'Operating costs'!$B$64,0)+IF(AND('Operating costs'!$B$67&gt;0,'Operating costs'!$B$67&lt;=120,OR(Paths!$D$151="ICE",'Operating costs'!$B$67&lt;=Paths!$E$151),IF('Operating costs'!$B$67=0,C1592=0,AND(C1592&gt;0,'Operating costs'!$B$67&gt;(C1592-1)*12,'Operating costs'!$B$67&lt;=C1592*12))),'Operating costs'!$B$66,0),"n.a."))</f>
        <v>0</v>
      </c>
      <c r="N1592" s="16">
        <f>IF(NOT(Paths!$C$151=1),0,IF(Paths!$P$151="Complete",SUM(G1592:I1592)-J1592-K1592-L1592+M1592+IF(C1592=0,Paths!$F$151,0)+IF(IF(Paths!$E$151=0,C1592=0,AND(C1592&gt;0,Paths!$E$151&gt;(C1592-1)*12,Paths!$E$151&lt;=C1592*12)),VLOOKUP(A1592,'Fleet register'!$A$7:$S$106,16,FALSE),0),"n.a."))</f>
        <v>0</v>
      </c>
      <c r="O1592" s="16">
        <f>IF(NOT(Paths!$C$151=1),0,IF(Paths!$P$151="Complete",N1592-IF(C1592=0,Paths!$F$151,0),"n.a."))</f>
        <v>0</v>
      </c>
      <c r="P1592" s="16">
        <f>IF(NOT(Paths!$C$151=1),0,IF(Paths!$P$151="Complete",O1592+L1592,"n.a."))</f>
        <v>0</v>
      </c>
      <c r="Q1592" s="16">
        <f>IF(NOT(Paths!$C$151=1),0,IF(Paths!$P$151="Complete",N1592*(1+'Operating costs'!$B$54)^-C1592,"n.a."))</f>
        <v>0</v>
      </c>
      <c r="R1592" s="16">
        <f>IF(NOT(Paths!$C$151=1),0,IF(Paths!$P$151="Complete",IF(AND(C1592=0,Paths!$E$151=0),I1592-J1592-K1592+VLOOKUP(A1592,'Fleet register'!$A$7:$S$106,15,FALSE)+VLOOKUP(A1592,'Fleet register'!$A$7:$S$106,16,FALSE),0),"n.a."))</f>
        <v>0</v>
      </c>
      <c r="S1592" s="1">
        <f>IF(NOT(Paths!$C$151=1),0,IF(Paths!$P$151="Complete",IF(C1592=0,0,Paths!$S$151*Paths!$R$151),"n.a."))</f>
        <v>0</v>
      </c>
      <c r="T1592" s="1">
        <f>IF(NOT(Paths!$C$151=1),0,IF(Paths!$P$151="Complete",IF(C1592=0,0,VLOOKUP(A1592,'Fleet register'!$A$7:$S$106,9,FALSE)*Paths!$R$151),"n.a."))</f>
        <v>0</v>
      </c>
    </row>
    <row r="1593" spans="1:20" ht="24" customHeight="1">
      <c r="A1593" s="1" t="str">
        <f>Paths!$A$151</f>
        <v>T037</v>
      </c>
      <c r="B1593" s="1">
        <f>Paths!$B$151</f>
        <v>0</v>
      </c>
      <c r="C1593" s="1">
        <v>2</v>
      </c>
      <c r="D1593" s="1">
        <v>151</v>
      </c>
      <c r="E1593" s="1">
        <f>IF(OR(Paths!$C$151=0,C1593=0),0,MAX(0,MIN(C1593*12,Paths!$E$151)-(C1593-1)*12))</f>
        <v>0</v>
      </c>
      <c r="F1593" s="1">
        <f>IF(OR(Paths!$C$151=0,C1593=0),0,12-E1593)</f>
        <v>0</v>
      </c>
      <c r="G1593" s="16">
        <f>IF(NOT(Paths!$C$151=1),0,IF(Paths!$P$151="Complete",E1593/12*(Paths!$J$151*(1+'Operating costs'!$B$51)^MAX(0,C1593-1)+Paths!$K$151*(1+'Operating costs'!$B$53)^MAX(0,C1593-1)),"n.a."))</f>
        <v>0</v>
      </c>
      <c r="H1593" s="16">
        <f>IF(NOT(Paths!$C$151=1),0,IF(Paths!$P$151="Complete",F1593/12*(Paths!$L$151*(1+IF(Paths!$D$151="EV",'Operating costs'!$B$52,'Operating costs'!$B$51))^MAX(0,C1593-1)+Paths!$M$151*(1+'Operating costs'!$B$53)^MAX(0,C1593-1)),"n.a."))</f>
        <v>0</v>
      </c>
      <c r="I1593" s="16">
        <f>IF(NOT(Paths!$C$151=1),0,IF(Paths!$P$151="Complete",IF(IF(Paths!$E$151=0,C1593=0,AND(C1593&gt;0,Paths!$E$151&gt;(C1593-1)*12,Paths!$E$151&lt;=C1593*12)),Paths!$G$151,0),"n.a."))</f>
        <v>0</v>
      </c>
      <c r="J1593" s="16">
        <f>IF(NOT(Paths!$C$151=1),0,IF(Paths!$P$151="Complete",IF(IF(Paths!$E$151=0,C1593=0,AND(C1593&gt;0,Paths!$E$151&gt;(C1593-1)*12,Paths!$E$151&lt;=C1593*12)),Paths!$H$151,0),"n.a."))</f>
        <v>0</v>
      </c>
      <c r="K1593" s="16">
        <f>IF(NOT(Paths!$C$151=1),0,IF(Paths!$P$151="Complete",IF(IF(Paths!$O$151=0,C1593=0,AND(C1593&gt;0,Paths!$O$151&gt;(C1593-1)*12,Paths!$O$151&lt;=C1593*12)),Paths!$N$151,0),"n.a."))</f>
        <v>0</v>
      </c>
      <c r="L1593" s="16">
        <f>IF(NOT(Paths!$C$151=1),0,IF(Paths!$P$151="Complete",IF(C1593=10,Paths!$I$151,0),"n.a."))</f>
        <v>0</v>
      </c>
      <c r="M1593" s="16">
        <f>IF(NOT(Paths!$C$151=1),0,IF(Paths!$P$151="Complete",IF(AND(Paths!$D$151="EV",Paths!$E$151&lt;120,Paths!$E$151+'Operating costs'!$B$65&gt;Paths!$E$151,Paths!$E$151+'Operating costs'!$B$65&lt;=120,IF(Paths!$E$151+'Operating costs'!$B$65=0,C1593=0,AND(C1593&gt;0,Paths!$E$151+'Operating costs'!$B$65&gt;(C1593-1)*12,Paths!$E$151+'Operating costs'!$B$65&lt;=C1593*12))),'Operating costs'!$B$64,0)+IF(AND('Operating costs'!$B$67&gt;0,'Operating costs'!$B$67&lt;=120,OR(Paths!$D$151="ICE",'Operating costs'!$B$67&lt;=Paths!$E$151),IF('Operating costs'!$B$67=0,C1593=0,AND(C1593&gt;0,'Operating costs'!$B$67&gt;(C1593-1)*12,'Operating costs'!$B$67&lt;=C1593*12))),'Operating costs'!$B$66,0),"n.a."))</f>
        <v>0</v>
      </c>
      <c r="N1593" s="16">
        <f>IF(NOT(Paths!$C$151=1),0,IF(Paths!$P$151="Complete",SUM(G1593:I1593)-J1593-K1593-L1593+M1593+IF(C1593=0,Paths!$F$151,0)+IF(IF(Paths!$E$151=0,C1593=0,AND(C1593&gt;0,Paths!$E$151&gt;(C1593-1)*12,Paths!$E$151&lt;=C1593*12)),VLOOKUP(A1593,'Fleet register'!$A$7:$S$106,16,FALSE),0),"n.a."))</f>
        <v>0</v>
      </c>
      <c r="O1593" s="16">
        <f>IF(NOT(Paths!$C$151=1),0,IF(Paths!$P$151="Complete",N1593-IF(C1593=0,Paths!$F$151,0),"n.a."))</f>
        <v>0</v>
      </c>
      <c r="P1593" s="16">
        <f>IF(NOT(Paths!$C$151=1),0,IF(Paths!$P$151="Complete",O1593+L1593,"n.a."))</f>
        <v>0</v>
      </c>
      <c r="Q1593" s="16">
        <f>IF(NOT(Paths!$C$151=1),0,IF(Paths!$P$151="Complete",N1593*(1+'Operating costs'!$B$54)^-C1593,"n.a."))</f>
        <v>0</v>
      </c>
      <c r="R1593" s="16">
        <f>IF(NOT(Paths!$C$151=1),0,IF(Paths!$P$151="Complete",IF(AND(C1593=0,Paths!$E$151=0),I1593-J1593-K1593+VLOOKUP(A1593,'Fleet register'!$A$7:$S$106,15,FALSE)+VLOOKUP(A1593,'Fleet register'!$A$7:$S$106,16,FALSE),0),"n.a."))</f>
        <v>0</v>
      </c>
      <c r="S1593" s="1">
        <f>IF(NOT(Paths!$C$151=1),0,IF(Paths!$P$151="Complete",IF(C1593=0,0,Paths!$S$151*Paths!$R$151),"n.a."))</f>
        <v>0</v>
      </c>
      <c r="T1593" s="1">
        <f>IF(NOT(Paths!$C$151=1),0,IF(Paths!$P$151="Complete",IF(C1593=0,0,VLOOKUP(A1593,'Fleet register'!$A$7:$S$106,9,FALSE)*Paths!$R$151),"n.a."))</f>
        <v>0</v>
      </c>
    </row>
    <row r="1594" spans="1:20" ht="24" customHeight="1">
      <c r="A1594" s="1" t="str">
        <f>Paths!$A$151</f>
        <v>T037</v>
      </c>
      <c r="B1594" s="1">
        <f>Paths!$B$151</f>
        <v>0</v>
      </c>
      <c r="C1594" s="1">
        <v>3</v>
      </c>
      <c r="D1594" s="1">
        <v>151</v>
      </c>
      <c r="E1594" s="1">
        <f>IF(OR(Paths!$C$151=0,C1594=0),0,MAX(0,MIN(C1594*12,Paths!$E$151)-(C1594-1)*12))</f>
        <v>0</v>
      </c>
      <c r="F1594" s="1">
        <f>IF(OR(Paths!$C$151=0,C1594=0),0,12-E1594)</f>
        <v>0</v>
      </c>
      <c r="G1594" s="16">
        <f>IF(NOT(Paths!$C$151=1),0,IF(Paths!$P$151="Complete",E1594/12*(Paths!$J$151*(1+'Operating costs'!$B$51)^MAX(0,C1594-1)+Paths!$K$151*(1+'Operating costs'!$B$53)^MAX(0,C1594-1)),"n.a."))</f>
        <v>0</v>
      </c>
      <c r="H1594" s="16">
        <f>IF(NOT(Paths!$C$151=1),0,IF(Paths!$P$151="Complete",F1594/12*(Paths!$L$151*(1+IF(Paths!$D$151="EV",'Operating costs'!$B$52,'Operating costs'!$B$51))^MAX(0,C1594-1)+Paths!$M$151*(1+'Operating costs'!$B$53)^MAX(0,C1594-1)),"n.a."))</f>
        <v>0</v>
      </c>
      <c r="I1594" s="16">
        <f>IF(NOT(Paths!$C$151=1),0,IF(Paths!$P$151="Complete",IF(IF(Paths!$E$151=0,C1594=0,AND(C1594&gt;0,Paths!$E$151&gt;(C1594-1)*12,Paths!$E$151&lt;=C1594*12)),Paths!$G$151,0),"n.a."))</f>
        <v>0</v>
      </c>
      <c r="J1594" s="16">
        <f>IF(NOT(Paths!$C$151=1),0,IF(Paths!$P$151="Complete",IF(IF(Paths!$E$151=0,C1594=0,AND(C1594&gt;0,Paths!$E$151&gt;(C1594-1)*12,Paths!$E$151&lt;=C1594*12)),Paths!$H$151,0),"n.a."))</f>
        <v>0</v>
      </c>
      <c r="K1594" s="16">
        <f>IF(NOT(Paths!$C$151=1),0,IF(Paths!$P$151="Complete",IF(IF(Paths!$O$151=0,C1594=0,AND(C1594&gt;0,Paths!$O$151&gt;(C1594-1)*12,Paths!$O$151&lt;=C1594*12)),Paths!$N$151,0),"n.a."))</f>
        <v>0</v>
      </c>
      <c r="L1594" s="16">
        <f>IF(NOT(Paths!$C$151=1),0,IF(Paths!$P$151="Complete",IF(C1594=10,Paths!$I$151,0),"n.a."))</f>
        <v>0</v>
      </c>
      <c r="M1594" s="16">
        <f>IF(NOT(Paths!$C$151=1),0,IF(Paths!$P$151="Complete",IF(AND(Paths!$D$151="EV",Paths!$E$151&lt;120,Paths!$E$151+'Operating costs'!$B$65&gt;Paths!$E$151,Paths!$E$151+'Operating costs'!$B$65&lt;=120,IF(Paths!$E$151+'Operating costs'!$B$65=0,C1594=0,AND(C1594&gt;0,Paths!$E$151+'Operating costs'!$B$65&gt;(C1594-1)*12,Paths!$E$151+'Operating costs'!$B$65&lt;=C1594*12))),'Operating costs'!$B$64,0)+IF(AND('Operating costs'!$B$67&gt;0,'Operating costs'!$B$67&lt;=120,OR(Paths!$D$151="ICE",'Operating costs'!$B$67&lt;=Paths!$E$151),IF('Operating costs'!$B$67=0,C1594=0,AND(C1594&gt;0,'Operating costs'!$B$67&gt;(C1594-1)*12,'Operating costs'!$B$67&lt;=C1594*12))),'Operating costs'!$B$66,0),"n.a."))</f>
        <v>0</v>
      </c>
      <c r="N1594" s="16">
        <f>IF(NOT(Paths!$C$151=1),0,IF(Paths!$P$151="Complete",SUM(G1594:I1594)-J1594-K1594-L1594+M1594+IF(C1594=0,Paths!$F$151,0)+IF(IF(Paths!$E$151=0,C1594=0,AND(C1594&gt;0,Paths!$E$151&gt;(C1594-1)*12,Paths!$E$151&lt;=C1594*12)),VLOOKUP(A1594,'Fleet register'!$A$7:$S$106,16,FALSE),0),"n.a."))</f>
        <v>0</v>
      </c>
      <c r="O1594" s="16">
        <f>IF(NOT(Paths!$C$151=1),0,IF(Paths!$P$151="Complete",N1594-IF(C1594=0,Paths!$F$151,0),"n.a."))</f>
        <v>0</v>
      </c>
      <c r="P1594" s="16">
        <f>IF(NOT(Paths!$C$151=1),0,IF(Paths!$P$151="Complete",O1594+L1594,"n.a."))</f>
        <v>0</v>
      </c>
      <c r="Q1594" s="16">
        <f>IF(NOT(Paths!$C$151=1),0,IF(Paths!$P$151="Complete",N1594*(1+'Operating costs'!$B$54)^-C1594,"n.a."))</f>
        <v>0</v>
      </c>
      <c r="R1594" s="16">
        <f>IF(NOT(Paths!$C$151=1),0,IF(Paths!$P$151="Complete",IF(AND(C1594=0,Paths!$E$151=0),I1594-J1594-K1594+VLOOKUP(A1594,'Fleet register'!$A$7:$S$106,15,FALSE)+VLOOKUP(A1594,'Fleet register'!$A$7:$S$106,16,FALSE),0),"n.a."))</f>
        <v>0</v>
      </c>
      <c r="S1594" s="1">
        <f>IF(NOT(Paths!$C$151=1),0,IF(Paths!$P$151="Complete",IF(C1594=0,0,Paths!$S$151*Paths!$R$151),"n.a."))</f>
        <v>0</v>
      </c>
      <c r="T1594" s="1">
        <f>IF(NOT(Paths!$C$151=1),0,IF(Paths!$P$151="Complete",IF(C1594=0,0,VLOOKUP(A1594,'Fleet register'!$A$7:$S$106,9,FALSE)*Paths!$R$151),"n.a."))</f>
        <v>0</v>
      </c>
    </row>
    <row r="1595" spans="1:20" ht="24" customHeight="1">
      <c r="A1595" s="1" t="str">
        <f>Paths!$A$151</f>
        <v>T037</v>
      </c>
      <c r="B1595" s="1">
        <f>Paths!$B$151</f>
        <v>0</v>
      </c>
      <c r="C1595" s="1">
        <v>4</v>
      </c>
      <c r="D1595" s="1">
        <v>151</v>
      </c>
      <c r="E1595" s="1">
        <f>IF(OR(Paths!$C$151=0,C1595=0),0,MAX(0,MIN(C1595*12,Paths!$E$151)-(C1595-1)*12))</f>
        <v>0</v>
      </c>
      <c r="F1595" s="1">
        <f>IF(OR(Paths!$C$151=0,C1595=0),0,12-E1595)</f>
        <v>0</v>
      </c>
      <c r="G1595" s="16">
        <f>IF(NOT(Paths!$C$151=1),0,IF(Paths!$P$151="Complete",E1595/12*(Paths!$J$151*(1+'Operating costs'!$B$51)^MAX(0,C1595-1)+Paths!$K$151*(1+'Operating costs'!$B$53)^MAX(0,C1595-1)),"n.a."))</f>
        <v>0</v>
      </c>
      <c r="H1595" s="16">
        <f>IF(NOT(Paths!$C$151=1),0,IF(Paths!$P$151="Complete",F1595/12*(Paths!$L$151*(1+IF(Paths!$D$151="EV",'Operating costs'!$B$52,'Operating costs'!$B$51))^MAX(0,C1595-1)+Paths!$M$151*(1+'Operating costs'!$B$53)^MAX(0,C1595-1)),"n.a."))</f>
        <v>0</v>
      </c>
      <c r="I1595" s="16">
        <f>IF(NOT(Paths!$C$151=1),0,IF(Paths!$P$151="Complete",IF(IF(Paths!$E$151=0,C1595=0,AND(C1595&gt;0,Paths!$E$151&gt;(C1595-1)*12,Paths!$E$151&lt;=C1595*12)),Paths!$G$151,0),"n.a."))</f>
        <v>0</v>
      </c>
      <c r="J1595" s="16">
        <f>IF(NOT(Paths!$C$151=1),0,IF(Paths!$P$151="Complete",IF(IF(Paths!$E$151=0,C1595=0,AND(C1595&gt;0,Paths!$E$151&gt;(C1595-1)*12,Paths!$E$151&lt;=C1595*12)),Paths!$H$151,0),"n.a."))</f>
        <v>0</v>
      </c>
      <c r="K1595" s="16">
        <f>IF(NOT(Paths!$C$151=1),0,IF(Paths!$P$151="Complete",IF(IF(Paths!$O$151=0,C1595=0,AND(C1595&gt;0,Paths!$O$151&gt;(C1595-1)*12,Paths!$O$151&lt;=C1595*12)),Paths!$N$151,0),"n.a."))</f>
        <v>0</v>
      </c>
      <c r="L1595" s="16">
        <f>IF(NOT(Paths!$C$151=1),0,IF(Paths!$P$151="Complete",IF(C1595=10,Paths!$I$151,0),"n.a."))</f>
        <v>0</v>
      </c>
      <c r="M1595" s="16">
        <f>IF(NOT(Paths!$C$151=1),0,IF(Paths!$P$151="Complete",IF(AND(Paths!$D$151="EV",Paths!$E$151&lt;120,Paths!$E$151+'Operating costs'!$B$65&gt;Paths!$E$151,Paths!$E$151+'Operating costs'!$B$65&lt;=120,IF(Paths!$E$151+'Operating costs'!$B$65=0,C1595=0,AND(C1595&gt;0,Paths!$E$151+'Operating costs'!$B$65&gt;(C1595-1)*12,Paths!$E$151+'Operating costs'!$B$65&lt;=C1595*12))),'Operating costs'!$B$64,0)+IF(AND('Operating costs'!$B$67&gt;0,'Operating costs'!$B$67&lt;=120,OR(Paths!$D$151="ICE",'Operating costs'!$B$67&lt;=Paths!$E$151),IF('Operating costs'!$B$67=0,C1595=0,AND(C1595&gt;0,'Operating costs'!$B$67&gt;(C1595-1)*12,'Operating costs'!$B$67&lt;=C1595*12))),'Operating costs'!$B$66,0),"n.a."))</f>
        <v>0</v>
      </c>
      <c r="N1595" s="16">
        <f>IF(NOT(Paths!$C$151=1),0,IF(Paths!$P$151="Complete",SUM(G1595:I1595)-J1595-K1595-L1595+M1595+IF(C1595=0,Paths!$F$151,0)+IF(IF(Paths!$E$151=0,C1595=0,AND(C1595&gt;0,Paths!$E$151&gt;(C1595-1)*12,Paths!$E$151&lt;=C1595*12)),VLOOKUP(A1595,'Fleet register'!$A$7:$S$106,16,FALSE),0),"n.a."))</f>
        <v>0</v>
      </c>
      <c r="O1595" s="16">
        <f>IF(NOT(Paths!$C$151=1),0,IF(Paths!$P$151="Complete",N1595-IF(C1595=0,Paths!$F$151,0),"n.a."))</f>
        <v>0</v>
      </c>
      <c r="P1595" s="16">
        <f>IF(NOT(Paths!$C$151=1),0,IF(Paths!$P$151="Complete",O1595+L1595,"n.a."))</f>
        <v>0</v>
      </c>
      <c r="Q1595" s="16">
        <f>IF(NOT(Paths!$C$151=1),0,IF(Paths!$P$151="Complete",N1595*(1+'Operating costs'!$B$54)^-C1595,"n.a."))</f>
        <v>0</v>
      </c>
      <c r="R1595" s="16">
        <f>IF(NOT(Paths!$C$151=1),0,IF(Paths!$P$151="Complete",IF(AND(C1595=0,Paths!$E$151=0),I1595-J1595-K1595+VLOOKUP(A1595,'Fleet register'!$A$7:$S$106,15,FALSE)+VLOOKUP(A1595,'Fleet register'!$A$7:$S$106,16,FALSE),0),"n.a."))</f>
        <v>0</v>
      </c>
      <c r="S1595" s="1">
        <f>IF(NOT(Paths!$C$151=1),0,IF(Paths!$P$151="Complete",IF(C1595=0,0,Paths!$S$151*Paths!$R$151),"n.a."))</f>
        <v>0</v>
      </c>
      <c r="T1595" s="1">
        <f>IF(NOT(Paths!$C$151=1),0,IF(Paths!$P$151="Complete",IF(C1595=0,0,VLOOKUP(A1595,'Fleet register'!$A$7:$S$106,9,FALSE)*Paths!$R$151),"n.a."))</f>
        <v>0</v>
      </c>
    </row>
    <row r="1596" spans="1:20" ht="24" customHeight="1">
      <c r="A1596" s="1" t="str">
        <f>Paths!$A$151</f>
        <v>T037</v>
      </c>
      <c r="B1596" s="1">
        <f>Paths!$B$151</f>
        <v>0</v>
      </c>
      <c r="C1596" s="1">
        <v>5</v>
      </c>
      <c r="D1596" s="1">
        <v>151</v>
      </c>
      <c r="E1596" s="1">
        <f>IF(OR(Paths!$C$151=0,C1596=0),0,MAX(0,MIN(C1596*12,Paths!$E$151)-(C1596-1)*12))</f>
        <v>0</v>
      </c>
      <c r="F1596" s="1">
        <f>IF(OR(Paths!$C$151=0,C1596=0),0,12-E1596)</f>
        <v>0</v>
      </c>
      <c r="G1596" s="16">
        <f>IF(NOT(Paths!$C$151=1),0,IF(Paths!$P$151="Complete",E1596/12*(Paths!$J$151*(1+'Operating costs'!$B$51)^MAX(0,C1596-1)+Paths!$K$151*(1+'Operating costs'!$B$53)^MAX(0,C1596-1)),"n.a."))</f>
        <v>0</v>
      </c>
      <c r="H1596" s="16">
        <f>IF(NOT(Paths!$C$151=1),0,IF(Paths!$P$151="Complete",F1596/12*(Paths!$L$151*(1+IF(Paths!$D$151="EV",'Operating costs'!$B$52,'Operating costs'!$B$51))^MAX(0,C1596-1)+Paths!$M$151*(1+'Operating costs'!$B$53)^MAX(0,C1596-1)),"n.a."))</f>
        <v>0</v>
      </c>
      <c r="I1596" s="16">
        <f>IF(NOT(Paths!$C$151=1),0,IF(Paths!$P$151="Complete",IF(IF(Paths!$E$151=0,C1596=0,AND(C1596&gt;0,Paths!$E$151&gt;(C1596-1)*12,Paths!$E$151&lt;=C1596*12)),Paths!$G$151,0),"n.a."))</f>
        <v>0</v>
      </c>
      <c r="J1596" s="16">
        <f>IF(NOT(Paths!$C$151=1),0,IF(Paths!$P$151="Complete",IF(IF(Paths!$E$151=0,C1596=0,AND(C1596&gt;0,Paths!$E$151&gt;(C1596-1)*12,Paths!$E$151&lt;=C1596*12)),Paths!$H$151,0),"n.a."))</f>
        <v>0</v>
      </c>
      <c r="K1596" s="16">
        <f>IF(NOT(Paths!$C$151=1),0,IF(Paths!$P$151="Complete",IF(IF(Paths!$O$151=0,C1596=0,AND(C1596&gt;0,Paths!$O$151&gt;(C1596-1)*12,Paths!$O$151&lt;=C1596*12)),Paths!$N$151,0),"n.a."))</f>
        <v>0</v>
      </c>
      <c r="L1596" s="16">
        <f>IF(NOT(Paths!$C$151=1),0,IF(Paths!$P$151="Complete",IF(C1596=10,Paths!$I$151,0),"n.a."))</f>
        <v>0</v>
      </c>
      <c r="M1596" s="16">
        <f>IF(NOT(Paths!$C$151=1),0,IF(Paths!$P$151="Complete",IF(AND(Paths!$D$151="EV",Paths!$E$151&lt;120,Paths!$E$151+'Operating costs'!$B$65&gt;Paths!$E$151,Paths!$E$151+'Operating costs'!$B$65&lt;=120,IF(Paths!$E$151+'Operating costs'!$B$65=0,C1596=0,AND(C1596&gt;0,Paths!$E$151+'Operating costs'!$B$65&gt;(C1596-1)*12,Paths!$E$151+'Operating costs'!$B$65&lt;=C1596*12))),'Operating costs'!$B$64,0)+IF(AND('Operating costs'!$B$67&gt;0,'Operating costs'!$B$67&lt;=120,OR(Paths!$D$151="ICE",'Operating costs'!$B$67&lt;=Paths!$E$151),IF('Operating costs'!$B$67=0,C1596=0,AND(C1596&gt;0,'Operating costs'!$B$67&gt;(C1596-1)*12,'Operating costs'!$B$67&lt;=C1596*12))),'Operating costs'!$B$66,0),"n.a."))</f>
        <v>0</v>
      </c>
      <c r="N1596" s="16">
        <f>IF(NOT(Paths!$C$151=1),0,IF(Paths!$P$151="Complete",SUM(G1596:I1596)-J1596-K1596-L1596+M1596+IF(C1596=0,Paths!$F$151,0)+IF(IF(Paths!$E$151=0,C1596=0,AND(C1596&gt;0,Paths!$E$151&gt;(C1596-1)*12,Paths!$E$151&lt;=C1596*12)),VLOOKUP(A1596,'Fleet register'!$A$7:$S$106,16,FALSE),0),"n.a."))</f>
        <v>0</v>
      </c>
      <c r="O1596" s="16">
        <f>IF(NOT(Paths!$C$151=1),0,IF(Paths!$P$151="Complete",N1596-IF(C1596=0,Paths!$F$151,0),"n.a."))</f>
        <v>0</v>
      </c>
      <c r="P1596" s="16">
        <f>IF(NOT(Paths!$C$151=1),0,IF(Paths!$P$151="Complete",O1596+L1596,"n.a."))</f>
        <v>0</v>
      </c>
      <c r="Q1596" s="16">
        <f>IF(NOT(Paths!$C$151=1),0,IF(Paths!$P$151="Complete",N1596*(1+'Operating costs'!$B$54)^-C1596,"n.a."))</f>
        <v>0</v>
      </c>
      <c r="R1596" s="16">
        <f>IF(NOT(Paths!$C$151=1),0,IF(Paths!$P$151="Complete",IF(AND(C1596=0,Paths!$E$151=0),I1596-J1596-K1596+VLOOKUP(A1596,'Fleet register'!$A$7:$S$106,15,FALSE)+VLOOKUP(A1596,'Fleet register'!$A$7:$S$106,16,FALSE),0),"n.a."))</f>
        <v>0</v>
      </c>
      <c r="S1596" s="1">
        <f>IF(NOT(Paths!$C$151=1),0,IF(Paths!$P$151="Complete",IF(C1596=0,0,Paths!$S$151*Paths!$R$151),"n.a."))</f>
        <v>0</v>
      </c>
      <c r="T1596" s="1">
        <f>IF(NOT(Paths!$C$151=1),0,IF(Paths!$P$151="Complete",IF(C1596=0,0,VLOOKUP(A1596,'Fleet register'!$A$7:$S$106,9,FALSE)*Paths!$R$151),"n.a."))</f>
        <v>0</v>
      </c>
    </row>
    <row r="1597" spans="1:20" ht="24" customHeight="1">
      <c r="A1597" s="1" t="str">
        <f>Paths!$A$151</f>
        <v>T037</v>
      </c>
      <c r="B1597" s="1">
        <f>Paths!$B$151</f>
        <v>0</v>
      </c>
      <c r="C1597" s="1">
        <v>6</v>
      </c>
      <c r="D1597" s="1">
        <v>151</v>
      </c>
      <c r="E1597" s="1">
        <f>IF(OR(Paths!$C$151=0,C1597=0),0,MAX(0,MIN(C1597*12,Paths!$E$151)-(C1597-1)*12))</f>
        <v>0</v>
      </c>
      <c r="F1597" s="1">
        <f>IF(OR(Paths!$C$151=0,C1597=0),0,12-E1597)</f>
        <v>0</v>
      </c>
      <c r="G1597" s="16">
        <f>IF(NOT(Paths!$C$151=1),0,IF(Paths!$P$151="Complete",E1597/12*(Paths!$J$151*(1+'Operating costs'!$B$51)^MAX(0,C1597-1)+Paths!$K$151*(1+'Operating costs'!$B$53)^MAX(0,C1597-1)),"n.a."))</f>
        <v>0</v>
      </c>
      <c r="H1597" s="16">
        <f>IF(NOT(Paths!$C$151=1),0,IF(Paths!$P$151="Complete",F1597/12*(Paths!$L$151*(1+IF(Paths!$D$151="EV",'Operating costs'!$B$52,'Operating costs'!$B$51))^MAX(0,C1597-1)+Paths!$M$151*(1+'Operating costs'!$B$53)^MAX(0,C1597-1)),"n.a."))</f>
        <v>0</v>
      </c>
      <c r="I1597" s="16">
        <f>IF(NOT(Paths!$C$151=1),0,IF(Paths!$P$151="Complete",IF(IF(Paths!$E$151=0,C1597=0,AND(C1597&gt;0,Paths!$E$151&gt;(C1597-1)*12,Paths!$E$151&lt;=C1597*12)),Paths!$G$151,0),"n.a."))</f>
        <v>0</v>
      </c>
      <c r="J1597" s="16">
        <f>IF(NOT(Paths!$C$151=1),0,IF(Paths!$P$151="Complete",IF(IF(Paths!$E$151=0,C1597=0,AND(C1597&gt;0,Paths!$E$151&gt;(C1597-1)*12,Paths!$E$151&lt;=C1597*12)),Paths!$H$151,0),"n.a."))</f>
        <v>0</v>
      </c>
      <c r="K1597" s="16">
        <f>IF(NOT(Paths!$C$151=1),0,IF(Paths!$P$151="Complete",IF(IF(Paths!$O$151=0,C1597=0,AND(C1597&gt;0,Paths!$O$151&gt;(C1597-1)*12,Paths!$O$151&lt;=C1597*12)),Paths!$N$151,0),"n.a."))</f>
        <v>0</v>
      </c>
      <c r="L1597" s="16">
        <f>IF(NOT(Paths!$C$151=1),0,IF(Paths!$P$151="Complete",IF(C1597=10,Paths!$I$151,0),"n.a."))</f>
        <v>0</v>
      </c>
      <c r="M1597" s="16">
        <f>IF(NOT(Paths!$C$151=1),0,IF(Paths!$P$151="Complete",IF(AND(Paths!$D$151="EV",Paths!$E$151&lt;120,Paths!$E$151+'Operating costs'!$B$65&gt;Paths!$E$151,Paths!$E$151+'Operating costs'!$B$65&lt;=120,IF(Paths!$E$151+'Operating costs'!$B$65=0,C1597=0,AND(C1597&gt;0,Paths!$E$151+'Operating costs'!$B$65&gt;(C1597-1)*12,Paths!$E$151+'Operating costs'!$B$65&lt;=C1597*12))),'Operating costs'!$B$64,0)+IF(AND('Operating costs'!$B$67&gt;0,'Operating costs'!$B$67&lt;=120,OR(Paths!$D$151="ICE",'Operating costs'!$B$67&lt;=Paths!$E$151),IF('Operating costs'!$B$67=0,C1597=0,AND(C1597&gt;0,'Operating costs'!$B$67&gt;(C1597-1)*12,'Operating costs'!$B$67&lt;=C1597*12))),'Operating costs'!$B$66,0),"n.a."))</f>
        <v>0</v>
      </c>
      <c r="N1597" s="16">
        <f>IF(NOT(Paths!$C$151=1),0,IF(Paths!$P$151="Complete",SUM(G1597:I1597)-J1597-K1597-L1597+M1597+IF(C1597=0,Paths!$F$151,0)+IF(IF(Paths!$E$151=0,C1597=0,AND(C1597&gt;0,Paths!$E$151&gt;(C1597-1)*12,Paths!$E$151&lt;=C1597*12)),VLOOKUP(A1597,'Fleet register'!$A$7:$S$106,16,FALSE),0),"n.a."))</f>
        <v>0</v>
      </c>
      <c r="O1597" s="16">
        <f>IF(NOT(Paths!$C$151=1),0,IF(Paths!$P$151="Complete",N1597-IF(C1597=0,Paths!$F$151,0),"n.a."))</f>
        <v>0</v>
      </c>
      <c r="P1597" s="16">
        <f>IF(NOT(Paths!$C$151=1),0,IF(Paths!$P$151="Complete",O1597+L1597,"n.a."))</f>
        <v>0</v>
      </c>
      <c r="Q1597" s="16">
        <f>IF(NOT(Paths!$C$151=1),0,IF(Paths!$P$151="Complete",N1597*(1+'Operating costs'!$B$54)^-C1597,"n.a."))</f>
        <v>0</v>
      </c>
      <c r="R1597" s="16">
        <f>IF(NOT(Paths!$C$151=1),0,IF(Paths!$P$151="Complete",IF(AND(C1597=0,Paths!$E$151=0),I1597-J1597-K1597+VLOOKUP(A1597,'Fleet register'!$A$7:$S$106,15,FALSE)+VLOOKUP(A1597,'Fleet register'!$A$7:$S$106,16,FALSE),0),"n.a."))</f>
        <v>0</v>
      </c>
      <c r="S1597" s="1">
        <f>IF(NOT(Paths!$C$151=1),0,IF(Paths!$P$151="Complete",IF(C1597=0,0,Paths!$S$151*Paths!$R$151),"n.a."))</f>
        <v>0</v>
      </c>
      <c r="T1597" s="1">
        <f>IF(NOT(Paths!$C$151=1),0,IF(Paths!$P$151="Complete",IF(C1597=0,0,VLOOKUP(A1597,'Fleet register'!$A$7:$S$106,9,FALSE)*Paths!$R$151),"n.a."))</f>
        <v>0</v>
      </c>
    </row>
    <row r="1598" spans="1:20" ht="24" customHeight="1">
      <c r="A1598" s="1" t="str">
        <f>Paths!$A$151</f>
        <v>T037</v>
      </c>
      <c r="B1598" s="1">
        <f>Paths!$B$151</f>
        <v>0</v>
      </c>
      <c r="C1598" s="1">
        <v>7</v>
      </c>
      <c r="D1598" s="1">
        <v>151</v>
      </c>
      <c r="E1598" s="1">
        <f>IF(OR(Paths!$C$151=0,C1598=0),0,MAX(0,MIN(C1598*12,Paths!$E$151)-(C1598-1)*12))</f>
        <v>0</v>
      </c>
      <c r="F1598" s="1">
        <f>IF(OR(Paths!$C$151=0,C1598=0),0,12-E1598)</f>
        <v>0</v>
      </c>
      <c r="G1598" s="16">
        <f>IF(NOT(Paths!$C$151=1),0,IF(Paths!$P$151="Complete",E1598/12*(Paths!$J$151*(1+'Operating costs'!$B$51)^MAX(0,C1598-1)+Paths!$K$151*(1+'Operating costs'!$B$53)^MAX(0,C1598-1)),"n.a."))</f>
        <v>0</v>
      </c>
      <c r="H1598" s="16">
        <f>IF(NOT(Paths!$C$151=1),0,IF(Paths!$P$151="Complete",F1598/12*(Paths!$L$151*(1+IF(Paths!$D$151="EV",'Operating costs'!$B$52,'Operating costs'!$B$51))^MAX(0,C1598-1)+Paths!$M$151*(1+'Operating costs'!$B$53)^MAX(0,C1598-1)),"n.a."))</f>
        <v>0</v>
      </c>
      <c r="I1598" s="16">
        <f>IF(NOT(Paths!$C$151=1),0,IF(Paths!$P$151="Complete",IF(IF(Paths!$E$151=0,C1598=0,AND(C1598&gt;0,Paths!$E$151&gt;(C1598-1)*12,Paths!$E$151&lt;=C1598*12)),Paths!$G$151,0),"n.a."))</f>
        <v>0</v>
      </c>
      <c r="J1598" s="16">
        <f>IF(NOT(Paths!$C$151=1),0,IF(Paths!$P$151="Complete",IF(IF(Paths!$E$151=0,C1598=0,AND(C1598&gt;0,Paths!$E$151&gt;(C1598-1)*12,Paths!$E$151&lt;=C1598*12)),Paths!$H$151,0),"n.a."))</f>
        <v>0</v>
      </c>
      <c r="K1598" s="16">
        <f>IF(NOT(Paths!$C$151=1),0,IF(Paths!$P$151="Complete",IF(IF(Paths!$O$151=0,C1598=0,AND(C1598&gt;0,Paths!$O$151&gt;(C1598-1)*12,Paths!$O$151&lt;=C1598*12)),Paths!$N$151,0),"n.a."))</f>
        <v>0</v>
      </c>
      <c r="L1598" s="16">
        <f>IF(NOT(Paths!$C$151=1),0,IF(Paths!$P$151="Complete",IF(C1598=10,Paths!$I$151,0),"n.a."))</f>
        <v>0</v>
      </c>
      <c r="M1598" s="16">
        <f>IF(NOT(Paths!$C$151=1),0,IF(Paths!$P$151="Complete",IF(AND(Paths!$D$151="EV",Paths!$E$151&lt;120,Paths!$E$151+'Operating costs'!$B$65&gt;Paths!$E$151,Paths!$E$151+'Operating costs'!$B$65&lt;=120,IF(Paths!$E$151+'Operating costs'!$B$65=0,C1598=0,AND(C1598&gt;0,Paths!$E$151+'Operating costs'!$B$65&gt;(C1598-1)*12,Paths!$E$151+'Operating costs'!$B$65&lt;=C1598*12))),'Operating costs'!$B$64,0)+IF(AND('Operating costs'!$B$67&gt;0,'Operating costs'!$B$67&lt;=120,OR(Paths!$D$151="ICE",'Operating costs'!$B$67&lt;=Paths!$E$151),IF('Operating costs'!$B$67=0,C1598=0,AND(C1598&gt;0,'Operating costs'!$B$67&gt;(C1598-1)*12,'Operating costs'!$B$67&lt;=C1598*12))),'Operating costs'!$B$66,0),"n.a."))</f>
        <v>0</v>
      </c>
      <c r="N1598" s="16">
        <f>IF(NOT(Paths!$C$151=1),0,IF(Paths!$P$151="Complete",SUM(G1598:I1598)-J1598-K1598-L1598+M1598+IF(C1598=0,Paths!$F$151,0)+IF(IF(Paths!$E$151=0,C1598=0,AND(C1598&gt;0,Paths!$E$151&gt;(C1598-1)*12,Paths!$E$151&lt;=C1598*12)),VLOOKUP(A1598,'Fleet register'!$A$7:$S$106,16,FALSE),0),"n.a."))</f>
        <v>0</v>
      </c>
      <c r="O1598" s="16">
        <f>IF(NOT(Paths!$C$151=1),0,IF(Paths!$P$151="Complete",N1598-IF(C1598=0,Paths!$F$151,0),"n.a."))</f>
        <v>0</v>
      </c>
      <c r="P1598" s="16">
        <f>IF(NOT(Paths!$C$151=1),0,IF(Paths!$P$151="Complete",O1598+L1598,"n.a."))</f>
        <v>0</v>
      </c>
      <c r="Q1598" s="16">
        <f>IF(NOT(Paths!$C$151=1),0,IF(Paths!$P$151="Complete",N1598*(1+'Operating costs'!$B$54)^-C1598,"n.a."))</f>
        <v>0</v>
      </c>
      <c r="R1598" s="16">
        <f>IF(NOT(Paths!$C$151=1),0,IF(Paths!$P$151="Complete",IF(AND(C1598=0,Paths!$E$151=0),I1598-J1598-K1598+VLOOKUP(A1598,'Fleet register'!$A$7:$S$106,15,FALSE)+VLOOKUP(A1598,'Fleet register'!$A$7:$S$106,16,FALSE),0),"n.a."))</f>
        <v>0</v>
      </c>
      <c r="S1598" s="1">
        <f>IF(NOT(Paths!$C$151=1),0,IF(Paths!$P$151="Complete",IF(C1598=0,0,Paths!$S$151*Paths!$R$151),"n.a."))</f>
        <v>0</v>
      </c>
      <c r="T1598" s="1">
        <f>IF(NOT(Paths!$C$151=1),0,IF(Paths!$P$151="Complete",IF(C1598=0,0,VLOOKUP(A1598,'Fleet register'!$A$7:$S$106,9,FALSE)*Paths!$R$151),"n.a."))</f>
        <v>0</v>
      </c>
    </row>
    <row r="1599" spans="1:20" ht="24" customHeight="1">
      <c r="A1599" s="1" t="str">
        <f>Paths!$A$151</f>
        <v>T037</v>
      </c>
      <c r="B1599" s="1">
        <f>Paths!$B$151</f>
        <v>0</v>
      </c>
      <c r="C1599" s="1">
        <v>8</v>
      </c>
      <c r="D1599" s="1">
        <v>151</v>
      </c>
      <c r="E1599" s="1">
        <f>IF(OR(Paths!$C$151=0,C1599=0),0,MAX(0,MIN(C1599*12,Paths!$E$151)-(C1599-1)*12))</f>
        <v>0</v>
      </c>
      <c r="F1599" s="1">
        <f>IF(OR(Paths!$C$151=0,C1599=0),0,12-E1599)</f>
        <v>0</v>
      </c>
      <c r="G1599" s="16">
        <f>IF(NOT(Paths!$C$151=1),0,IF(Paths!$P$151="Complete",E1599/12*(Paths!$J$151*(1+'Operating costs'!$B$51)^MAX(0,C1599-1)+Paths!$K$151*(1+'Operating costs'!$B$53)^MAX(0,C1599-1)),"n.a."))</f>
        <v>0</v>
      </c>
      <c r="H1599" s="16">
        <f>IF(NOT(Paths!$C$151=1),0,IF(Paths!$P$151="Complete",F1599/12*(Paths!$L$151*(1+IF(Paths!$D$151="EV",'Operating costs'!$B$52,'Operating costs'!$B$51))^MAX(0,C1599-1)+Paths!$M$151*(1+'Operating costs'!$B$53)^MAX(0,C1599-1)),"n.a."))</f>
        <v>0</v>
      </c>
      <c r="I1599" s="16">
        <f>IF(NOT(Paths!$C$151=1),0,IF(Paths!$P$151="Complete",IF(IF(Paths!$E$151=0,C1599=0,AND(C1599&gt;0,Paths!$E$151&gt;(C1599-1)*12,Paths!$E$151&lt;=C1599*12)),Paths!$G$151,0),"n.a."))</f>
        <v>0</v>
      </c>
      <c r="J1599" s="16">
        <f>IF(NOT(Paths!$C$151=1),0,IF(Paths!$P$151="Complete",IF(IF(Paths!$E$151=0,C1599=0,AND(C1599&gt;0,Paths!$E$151&gt;(C1599-1)*12,Paths!$E$151&lt;=C1599*12)),Paths!$H$151,0),"n.a."))</f>
        <v>0</v>
      </c>
      <c r="K1599" s="16">
        <f>IF(NOT(Paths!$C$151=1),0,IF(Paths!$P$151="Complete",IF(IF(Paths!$O$151=0,C1599=0,AND(C1599&gt;0,Paths!$O$151&gt;(C1599-1)*12,Paths!$O$151&lt;=C1599*12)),Paths!$N$151,0),"n.a."))</f>
        <v>0</v>
      </c>
      <c r="L1599" s="16">
        <f>IF(NOT(Paths!$C$151=1),0,IF(Paths!$P$151="Complete",IF(C1599=10,Paths!$I$151,0),"n.a."))</f>
        <v>0</v>
      </c>
      <c r="M1599" s="16">
        <f>IF(NOT(Paths!$C$151=1),0,IF(Paths!$P$151="Complete",IF(AND(Paths!$D$151="EV",Paths!$E$151&lt;120,Paths!$E$151+'Operating costs'!$B$65&gt;Paths!$E$151,Paths!$E$151+'Operating costs'!$B$65&lt;=120,IF(Paths!$E$151+'Operating costs'!$B$65=0,C1599=0,AND(C1599&gt;0,Paths!$E$151+'Operating costs'!$B$65&gt;(C1599-1)*12,Paths!$E$151+'Operating costs'!$B$65&lt;=C1599*12))),'Operating costs'!$B$64,0)+IF(AND('Operating costs'!$B$67&gt;0,'Operating costs'!$B$67&lt;=120,OR(Paths!$D$151="ICE",'Operating costs'!$B$67&lt;=Paths!$E$151),IF('Operating costs'!$B$67=0,C1599=0,AND(C1599&gt;0,'Operating costs'!$B$67&gt;(C1599-1)*12,'Operating costs'!$B$67&lt;=C1599*12))),'Operating costs'!$B$66,0),"n.a."))</f>
        <v>0</v>
      </c>
      <c r="N1599" s="16">
        <f>IF(NOT(Paths!$C$151=1),0,IF(Paths!$P$151="Complete",SUM(G1599:I1599)-J1599-K1599-L1599+M1599+IF(C1599=0,Paths!$F$151,0)+IF(IF(Paths!$E$151=0,C1599=0,AND(C1599&gt;0,Paths!$E$151&gt;(C1599-1)*12,Paths!$E$151&lt;=C1599*12)),VLOOKUP(A1599,'Fleet register'!$A$7:$S$106,16,FALSE),0),"n.a."))</f>
        <v>0</v>
      </c>
      <c r="O1599" s="16">
        <f>IF(NOT(Paths!$C$151=1),0,IF(Paths!$P$151="Complete",N1599-IF(C1599=0,Paths!$F$151,0),"n.a."))</f>
        <v>0</v>
      </c>
      <c r="P1599" s="16">
        <f>IF(NOT(Paths!$C$151=1),0,IF(Paths!$P$151="Complete",O1599+L1599,"n.a."))</f>
        <v>0</v>
      </c>
      <c r="Q1599" s="16">
        <f>IF(NOT(Paths!$C$151=1),0,IF(Paths!$P$151="Complete",N1599*(1+'Operating costs'!$B$54)^-C1599,"n.a."))</f>
        <v>0</v>
      </c>
      <c r="R1599" s="16">
        <f>IF(NOT(Paths!$C$151=1),0,IF(Paths!$P$151="Complete",IF(AND(C1599=0,Paths!$E$151=0),I1599-J1599-K1599+VLOOKUP(A1599,'Fleet register'!$A$7:$S$106,15,FALSE)+VLOOKUP(A1599,'Fleet register'!$A$7:$S$106,16,FALSE),0),"n.a."))</f>
        <v>0</v>
      </c>
      <c r="S1599" s="1">
        <f>IF(NOT(Paths!$C$151=1),0,IF(Paths!$P$151="Complete",IF(C1599=0,0,Paths!$S$151*Paths!$R$151),"n.a."))</f>
        <v>0</v>
      </c>
      <c r="T1599" s="1">
        <f>IF(NOT(Paths!$C$151=1),0,IF(Paths!$P$151="Complete",IF(C1599=0,0,VLOOKUP(A1599,'Fleet register'!$A$7:$S$106,9,FALSE)*Paths!$R$151),"n.a."))</f>
        <v>0</v>
      </c>
    </row>
    <row r="1600" spans="1:20" ht="24" customHeight="1">
      <c r="A1600" s="1" t="str">
        <f>Paths!$A$151</f>
        <v>T037</v>
      </c>
      <c r="B1600" s="1">
        <f>Paths!$B$151</f>
        <v>0</v>
      </c>
      <c r="C1600" s="1">
        <v>9</v>
      </c>
      <c r="D1600" s="1">
        <v>151</v>
      </c>
      <c r="E1600" s="1">
        <f>IF(OR(Paths!$C$151=0,C1600=0),0,MAX(0,MIN(C1600*12,Paths!$E$151)-(C1600-1)*12))</f>
        <v>0</v>
      </c>
      <c r="F1600" s="1">
        <f>IF(OR(Paths!$C$151=0,C1600=0),0,12-E1600)</f>
        <v>0</v>
      </c>
      <c r="G1600" s="16">
        <f>IF(NOT(Paths!$C$151=1),0,IF(Paths!$P$151="Complete",E1600/12*(Paths!$J$151*(1+'Operating costs'!$B$51)^MAX(0,C1600-1)+Paths!$K$151*(1+'Operating costs'!$B$53)^MAX(0,C1600-1)),"n.a."))</f>
        <v>0</v>
      </c>
      <c r="H1600" s="16">
        <f>IF(NOT(Paths!$C$151=1),0,IF(Paths!$P$151="Complete",F1600/12*(Paths!$L$151*(1+IF(Paths!$D$151="EV",'Operating costs'!$B$52,'Operating costs'!$B$51))^MAX(0,C1600-1)+Paths!$M$151*(1+'Operating costs'!$B$53)^MAX(0,C1600-1)),"n.a."))</f>
        <v>0</v>
      </c>
      <c r="I1600" s="16">
        <f>IF(NOT(Paths!$C$151=1),0,IF(Paths!$P$151="Complete",IF(IF(Paths!$E$151=0,C1600=0,AND(C1600&gt;0,Paths!$E$151&gt;(C1600-1)*12,Paths!$E$151&lt;=C1600*12)),Paths!$G$151,0),"n.a."))</f>
        <v>0</v>
      </c>
      <c r="J1600" s="16">
        <f>IF(NOT(Paths!$C$151=1),0,IF(Paths!$P$151="Complete",IF(IF(Paths!$E$151=0,C1600=0,AND(C1600&gt;0,Paths!$E$151&gt;(C1600-1)*12,Paths!$E$151&lt;=C1600*12)),Paths!$H$151,0),"n.a."))</f>
        <v>0</v>
      </c>
      <c r="K1600" s="16">
        <f>IF(NOT(Paths!$C$151=1),0,IF(Paths!$P$151="Complete",IF(IF(Paths!$O$151=0,C1600=0,AND(C1600&gt;0,Paths!$O$151&gt;(C1600-1)*12,Paths!$O$151&lt;=C1600*12)),Paths!$N$151,0),"n.a."))</f>
        <v>0</v>
      </c>
      <c r="L1600" s="16">
        <f>IF(NOT(Paths!$C$151=1),0,IF(Paths!$P$151="Complete",IF(C1600=10,Paths!$I$151,0),"n.a."))</f>
        <v>0</v>
      </c>
      <c r="M1600" s="16">
        <f>IF(NOT(Paths!$C$151=1),0,IF(Paths!$P$151="Complete",IF(AND(Paths!$D$151="EV",Paths!$E$151&lt;120,Paths!$E$151+'Operating costs'!$B$65&gt;Paths!$E$151,Paths!$E$151+'Operating costs'!$B$65&lt;=120,IF(Paths!$E$151+'Operating costs'!$B$65=0,C1600=0,AND(C1600&gt;0,Paths!$E$151+'Operating costs'!$B$65&gt;(C1600-1)*12,Paths!$E$151+'Operating costs'!$B$65&lt;=C1600*12))),'Operating costs'!$B$64,0)+IF(AND('Operating costs'!$B$67&gt;0,'Operating costs'!$B$67&lt;=120,OR(Paths!$D$151="ICE",'Operating costs'!$B$67&lt;=Paths!$E$151),IF('Operating costs'!$B$67=0,C1600=0,AND(C1600&gt;0,'Operating costs'!$B$67&gt;(C1600-1)*12,'Operating costs'!$B$67&lt;=C1600*12))),'Operating costs'!$B$66,0),"n.a."))</f>
        <v>0</v>
      </c>
      <c r="N1600" s="16">
        <f>IF(NOT(Paths!$C$151=1),0,IF(Paths!$P$151="Complete",SUM(G1600:I1600)-J1600-K1600-L1600+M1600+IF(C1600=0,Paths!$F$151,0)+IF(IF(Paths!$E$151=0,C1600=0,AND(C1600&gt;0,Paths!$E$151&gt;(C1600-1)*12,Paths!$E$151&lt;=C1600*12)),VLOOKUP(A1600,'Fleet register'!$A$7:$S$106,16,FALSE),0),"n.a."))</f>
        <v>0</v>
      </c>
      <c r="O1600" s="16">
        <f>IF(NOT(Paths!$C$151=1),0,IF(Paths!$P$151="Complete",N1600-IF(C1600=0,Paths!$F$151,0),"n.a."))</f>
        <v>0</v>
      </c>
      <c r="P1600" s="16">
        <f>IF(NOT(Paths!$C$151=1),0,IF(Paths!$P$151="Complete",O1600+L1600,"n.a."))</f>
        <v>0</v>
      </c>
      <c r="Q1600" s="16">
        <f>IF(NOT(Paths!$C$151=1),0,IF(Paths!$P$151="Complete",N1600*(1+'Operating costs'!$B$54)^-C1600,"n.a."))</f>
        <v>0</v>
      </c>
      <c r="R1600" s="16">
        <f>IF(NOT(Paths!$C$151=1),0,IF(Paths!$P$151="Complete",IF(AND(C1600=0,Paths!$E$151=0),I1600-J1600-K1600+VLOOKUP(A1600,'Fleet register'!$A$7:$S$106,15,FALSE)+VLOOKUP(A1600,'Fleet register'!$A$7:$S$106,16,FALSE),0),"n.a."))</f>
        <v>0</v>
      </c>
      <c r="S1600" s="1">
        <f>IF(NOT(Paths!$C$151=1),0,IF(Paths!$P$151="Complete",IF(C1600=0,0,Paths!$S$151*Paths!$R$151),"n.a."))</f>
        <v>0</v>
      </c>
      <c r="T1600" s="1">
        <f>IF(NOT(Paths!$C$151=1),0,IF(Paths!$P$151="Complete",IF(C1600=0,0,VLOOKUP(A1600,'Fleet register'!$A$7:$S$106,9,FALSE)*Paths!$R$151),"n.a."))</f>
        <v>0</v>
      </c>
    </row>
    <row r="1601" spans="1:20" ht="24" customHeight="1">
      <c r="A1601" s="1" t="str">
        <f>Paths!$A$151</f>
        <v>T037</v>
      </c>
      <c r="B1601" s="1">
        <f>Paths!$B$151</f>
        <v>0</v>
      </c>
      <c r="C1601" s="1">
        <v>10</v>
      </c>
      <c r="D1601" s="1">
        <v>151</v>
      </c>
      <c r="E1601" s="1">
        <f>IF(OR(Paths!$C$151=0,C1601=0),0,MAX(0,MIN(C1601*12,Paths!$E$151)-(C1601-1)*12))</f>
        <v>0</v>
      </c>
      <c r="F1601" s="1">
        <f>IF(OR(Paths!$C$151=0,C1601=0),0,12-E1601)</f>
        <v>0</v>
      </c>
      <c r="G1601" s="16">
        <f>IF(NOT(Paths!$C$151=1),0,IF(Paths!$P$151="Complete",E1601/12*(Paths!$J$151*(1+'Operating costs'!$B$51)^MAX(0,C1601-1)+Paths!$K$151*(1+'Operating costs'!$B$53)^MAX(0,C1601-1)),"n.a."))</f>
        <v>0</v>
      </c>
      <c r="H1601" s="16">
        <f>IF(NOT(Paths!$C$151=1),0,IF(Paths!$P$151="Complete",F1601/12*(Paths!$L$151*(1+IF(Paths!$D$151="EV",'Operating costs'!$B$52,'Operating costs'!$B$51))^MAX(0,C1601-1)+Paths!$M$151*(1+'Operating costs'!$B$53)^MAX(0,C1601-1)),"n.a."))</f>
        <v>0</v>
      </c>
      <c r="I1601" s="16">
        <f>IF(NOT(Paths!$C$151=1),0,IF(Paths!$P$151="Complete",IF(IF(Paths!$E$151=0,C1601=0,AND(C1601&gt;0,Paths!$E$151&gt;(C1601-1)*12,Paths!$E$151&lt;=C1601*12)),Paths!$G$151,0),"n.a."))</f>
        <v>0</v>
      </c>
      <c r="J1601" s="16">
        <f>IF(NOT(Paths!$C$151=1),0,IF(Paths!$P$151="Complete",IF(IF(Paths!$E$151=0,C1601=0,AND(C1601&gt;0,Paths!$E$151&gt;(C1601-1)*12,Paths!$E$151&lt;=C1601*12)),Paths!$H$151,0),"n.a."))</f>
        <v>0</v>
      </c>
      <c r="K1601" s="16">
        <f>IF(NOT(Paths!$C$151=1),0,IF(Paths!$P$151="Complete",IF(IF(Paths!$O$151=0,C1601=0,AND(C1601&gt;0,Paths!$O$151&gt;(C1601-1)*12,Paths!$O$151&lt;=C1601*12)),Paths!$N$151,0),"n.a."))</f>
        <v>0</v>
      </c>
      <c r="L1601" s="16">
        <f>IF(NOT(Paths!$C$151=1),0,IF(Paths!$P$151="Complete",IF(C1601=10,Paths!$I$151,0),"n.a."))</f>
        <v>0</v>
      </c>
      <c r="M1601" s="16">
        <f>IF(NOT(Paths!$C$151=1),0,IF(Paths!$P$151="Complete",IF(AND(Paths!$D$151="EV",Paths!$E$151&lt;120,Paths!$E$151+'Operating costs'!$B$65&gt;Paths!$E$151,Paths!$E$151+'Operating costs'!$B$65&lt;=120,IF(Paths!$E$151+'Operating costs'!$B$65=0,C1601=0,AND(C1601&gt;0,Paths!$E$151+'Operating costs'!$B$65&gt;(C1601-1)*12,Paths!$E$151+'Operating costs'!$B$65&lt;=C1601*12))),'Operating costs'!$B$64,0)+IF(AND('Operating costs'!$B$67&gt;0,'Operating costs'!$B$67&lt;=120,OR(Paths!$D$151="ICE",'Operating costs'!$B$67&lt;=Paths!$E$151),IF('Operating costs'!$B$67=0,C1601=0,AND(C1601&gt;0,'Operating costs'!$B$67&gt;(C1601-1)*12,'Operating costs'!$B$67&lt;=C1601*12))),'Operating costs'!$B$66,0),"n.a."))</f>
        <v>0</v>
      </c>
      <c r="N1601" s="16">
        <f>IF(NOT(Paths!$C$151=1),0,IF(Paths!$P$151="Complete",SUM(G1601:I1601)-J1601-K1601-L1601+M1601+IF(C1601=0,Paths!$F$151,0)+IF(IF(Paths!$E$151=0,C1601=0,AND(C1601&gt;0,Paths!$E$151&gt;(C1601-1)*12,Paths!$E$151&lt;=C1601*12)),VLOOKUP(A1601,'Fleet register'!$A$7:$S$106,16,FALSE),0),"n.a."))</f>
        <v>0</v>
      </c>
      <c r="O1601" s="16">
        <f>IF(NOT(Paths!$C$151=1),0,IF(Paths!$P$151="Complete",N1601-IF(C1601=0,Paths!$F$151,0),"n.a."))</f>
        <v>0</v>
      </c>
      <c r="P1601" s="16">
        <f>IF(NOT(Paths!$C$151=1),0,IF(Paths!$P$151="Complete",O1601+L1601,"n.a."))</f>
        <v>0</v>
      </c>
      <c r="Q1601" s="16">
        <f>IF(NOT(Paths!$C$151=1),0,IF(Paths!$P$151="Complete",N1601*(1+'Operating costs'!$B$54)^-C1601,"n.a."))</f>
        <v>0</v>
      </c>
      <c r="R1601" s="16">
        <f>IF(NOT(Paths!$C$151=1),0,IF(Paths!$P$151="Complete",IF(AND(C1601=0,Paths!$E$151=0),I1601-J1601-K1601+VLOOKUP(A1601,'Fleet register'!$A$7:$S$106,15,FALSE)+VLOOKUP(A1601,'Fleet register'!$A$7:$S$106,16,FALSE),0),"n.a."))</f>
        <v>0</v>
      </c>
      <c r="S1601" s="1">
        <f>IF(NOT(Paths!$C$151=1),0,IF(Paths!$P$151="Complete",IF(C1601=0,0,Paths!$S$151*Paths!$R$151),"n.a."))</f>
        <v>0</v>
      </c>
      <c r="T1601" s="1">
        <f>IF(NOT(Paths!$C$151=1),0,IF(Paths!$P$151="Complete",IF(C1601=0,0,VLOOKUP(A1601,'Fleet register'!$A$7:$S$106,9,FALSE)*Paths!$R$151),"n.a."))</f>
        <v>0</v>
      </c>
    </row>
    <row r="1602" spans="1:20" ht="24" customHeight="1">
      <c r="A1602" s="1" t="str">
        <f>Paths!$A$152</f>
        <v>T037</v>
      </c>
      <c r="B1602" s="1">
        <f>Paths!$B$152</f>
        <v>1</v>
      </c>
      <c r="C1602" s="1">
        <v>0</v>
      </c>
      <c r="D1602" s="1">
        <v>152</v>
      </c>
      <c r="E1602" s="1">
        <f>IF(OR(Paths!$C$152=0,C1602=0),0,MAX(0,MIN(C1602*12,Paths!$E$152)-(C1602-1)*12))</f>
        <v>0</v>
      </c>
      <c r="F1602" s="1">
        <f>IF(OR(Paths!$C$152=0,C1602=0),0,12-E1602)</f>
        <v>0</v>
      </c>
      <c r="G1602" s="16">
        <f>IF(NOT(Paths!$C$152=1),0,IF(Paths!$P$152="Complete",E1602/12*(Paths!$J$152*(1+'Operating costs'!$B$51)^MAX(0,C1602-1)+Paths!$K$152*(1+'Operating costs'!$B$53)^MAX(0,C1602-1)),"n.a."))</f>
        <v>0</v>
      </c>
      <c r="H1602" s="16">
        <f>IF(NOT(Paths!$C$152=1),0,IF(Paths!$P$152="Complete",F1602/12*(Paths!$L$152*(1+IF(Paths!$D$152="EV",'Operating costs'!$B$52,'Operating costs'!$B$51))^MAX(0,C1602-1)+Paths!$M$152*(1+'Operating costs'!$B$53)^MAX(0,C1602-1)),"n.a."))</f>
        <v>0</v>
      </c>
      <c r="I1602" s="16">
        <f>IF(NOT(Paths!$C$152=1),0,IF(Paths!$P$152="Complete",IF(IF(Paths!$E$152=0,C1602=0,AND(C1602&gt;0,Paths!$E$152&gt;(C1602-1)*12,Paths!$E$152&lt;=C1602*12)),Paths!$G$152,0),"n.a."))</f>
        <v>0</v>
      </c>
      <c r="J1602" s="16">
        <f>IF(NOT(Paths!$C$152=1),0,IF(Paths!$P$152="Complete",IF(IF(Paths!$E$152=0,C1602=0,AND(C1602&gt;0,Paths!$E$152&gt;(C1602-1)*12,Paths!$E$152&lt;=C1602*12)),Paths!$H$152,0),"n.a."))</f>
        <v>0</v>
      </c>
      <c r="K1602" s="16">
        <f>IF(NOT(Paths!$C$152=1),0,IF(Paths!$P$152="Complete",IF(IF(Paths!$O$152=0,C1602=0,AND(C1602&gt;0,Paths!$O$152&gt;(C1602-1)*12,Paths!$O$152&lt;=C1602*12)),Paths!$N$152,0),"n.a."))</f>
        <v>0</v>
      </c>
      <c r="L1602" s="16">
        <f>IF(NOT(Paths!$C$152=1),0,IF(Paths!$P$152="Complete",IF(C1602=10,Paths!$I$152,0),"n.a."))</f>
        <v>0</v>
      </c>
      <c r="M1602" s="16">
        <f>IF(NOT(Paths!$C$152=1),0,IF(Paths!$P$152="Complete",IF(AND(Paths!$D$152="EV",Paths!$E$152&lt;120,Paths!$E$152+'Operating costs'!$B$65&gt;Paths!$E$152,Paths!$E$152+'Operating costs'!$B$65&lt;=120,IF(Paths!$E$152+'Operating costs'!$B$65=0,C1602=0,AND(C1602&gt;0,Paths!$E$152+'Operating costs'!$B$65&gt;(C1602-1)*12,Paths!$E$152+'Operating costs'!$B$65&lt;=C1602*12))),'Operating costs'!$B$64,0)+IF(AND('Operating costs'!$B$67&gt;0,'Operating costs'!$B$67&lt;=120,OR(Paths!$D$152="ICE",'Operating costs'!$B$67&lt;=Paths!$E$152),IF('Operating costs'!$B$67=0,C1602=0,AND(C1602&gt;0,'Operating costs'!$B$67&gt;(C1602-1)*12,'Operating costs'!$B$67&lt;=C1602*12))),'Operating costs'!$B$66,0),"n.a."))</f>
        <v>0</v>
      </c>
      <c r="N1602" s="16">
        <f>IF(NOT(Paths!$C$152=1),0,IF(Paths!$P$152="Complete",SUM(G1602:I1602)-J1602-K1602-L1602+M1602+IF(C1602=0,Paths!$F$152,0)+IF(IF(Paths!$E$152=0,C1602=0,AND(C1602&gt;0,Paths!$E$152&gt;(C1602-1)*12,Paths!$E$152&lt;=C1602*12)),VLOOKUP(A1602,'Fleet register'!$A$7:$S$106,16,FALSE),0),"n.a."))</f>
        <v>0</v>
      </c>
      <c r="O1602" s="16">
        <f>IF(NOT(Paths!$C$152=1),0,IF(Paths!$P$152="Complete",N1602-IF(C1602=0,Paths!$F$152,0),"n.a."))</f>
        <v>0</v>
      </c>
      <c r="P1602" s="16">
        <f>IF(NOT(Paths!$C$152=1),0,IF(Paths!$P$152="Complete",O1602+L1602,"n.a."))</f>
        <v>0</v>
      </c>
      <c r="Q1602" s="16">
        <f>IF(NOT(Paths!$C$152=1),0,IF(Paths!$P$152="Complete",N1602*(1+'Operating costs'!$B$54)^-C1602,"n.a."))</f>
        <v>0</v>
      </c>
      <c r="R1602" s="16">
        <f>IF(NOT(Paths!$C$152=1),0,IF(Paths!$P$152="Complete",IF(AND(C1602=0,Paths!$E$152=0),I1602-J1602-K1602+VLOOKUP(A1602,'Fleet register'!$A$7:$S$106,15,FALSE)+VLOOKUP(A1602,'Fleet register'!$A$7:$S$106,16,FALSE),0),"n.a."))</f>
        <v>0</v>
      </c>
      <c r="S1602" s="1">
        <f>IF(NOT(Paths!$C$152=1),0,IF(Paths!$P$152="Complete",IF(C1602=0,0,Paths!$S$152*Paths!$R$152),"n.a."))</f>
        <v>0</v>
      </c>
      <c r="T1602" s="1">
        <f>IF(NOT(Paths!$C$152=1),0,IF(Paths!$P$152="Complete",IF(C1602=0,0,VLOOKUP(A1602,'Fleet register'!$A$7:$S$106,9,FALSE)*Paths!$R$152),"n.a."))</f>
        <v>0</v>
      </c>
    </row>
    <row r="1603" spans="1:20" ht="24" customHeight="1">
      <c r="A1603" s="1" t="str">
        <f>Paths!$A$152</f>
        <v>T037</v>
      </c>
      <c r="B1603" s="1">
        <f>Paths!$B$152</f>
        <v>1</v>
      </c>
      <c r="C1603" s="1">
        <v>1</v>
      </c>
      <c r="D1603" s="1">
        <v>152</v>
      </c>
      <c r="E1603" s="1">
        <f>IF(OR(Paths!$C$152=0,C1603=0),0,MAX(0,MIN(C1603*12,Paths!$E$152)-(C1603-1)*12))</f>
        <v>0</v>
      </c>
      <c r="F1603" s="1">
        <f>IF(OR(Paths!$C$152=0,C1603=0),0,12-E1603)</f>
        <v>0</v>
      </c>
      <c r="G1603" s="16">
        <f>IF(NOT(Paths!$C$152=1),0,IF(Paths!$P$152="Complete",E1603/12*(Paths!$J$152*(1+'Operating costs'!$B$51)^MAX(0,C1603-1)+Paths!$K$152*(1+'Operating costs'!$B$53)^MAX(0,C1603-1)),"n.a."))</f>
        <v>0</v>
      </c>
      <c r="H1603" s="16">
        <f>IF(NOT(Paths!$C$152=1),0,IF(Paths!$P$152="Complete",F1603/12*(Paths!$L$152*(1+IF(Paths!$D$152="EV",'Operating costs'!$B$52,'Operating costs'!$B$51))^MAX(0,C1603-1)+Paths!$M$152*(1+'Operating costs'!$B$53)^MAX(0,C1603-1)),"n.a."))</f>
        <v>0</v>
      </c>
      <c r="I1603" s="16">
        <f>IF(NOT(Paths!$C$152=1),0,IF(Paths!$P$152="Complete",IF(IF(Paths!$E$152=0,C1603=0,AND(C1603&gt;0,Paths!$E$152&gt;(C1603-1)*12,Paths!$E$152&lt;=C1603*12)),Paths!$G$152,0),"n.a."))</f>
        <v>0</v>
      </c>
      <c r="J1603" s="16">
        <f>IF(NOT(Paths!$C$152=1),0,IF(Paths!$P$152="Complete",IF(IF(Paths!$E$152=0,C1603=0,AND(C1603&gt;0,Paths!$E$152&gt;(C1603-1)*12,Paths!$E$152&lt;=C1603*12)),Paths!$H$152,0),"n.a."))</f>
        <v>0</v>
      </c>
      <c r="K1603" s="16">
        <f>IF(NOT(Paths!$C$152=1),0,IF(Paths!$P$152="Complete",IF(IF(Paths!$O$152=0,C1603=0,AND(C1603&gt;0,Paths!$O$152&gt;(C1603-1)*12,Paths!$O$152&lt;=C1603*12)),Paths!$N$152,0),"n.a."))</f>
        <v>0</v>
      </c>
      <c r="L1603" s="16">
        <f>IF(NOT(Paths!$C$152=1),0,IF(Paths!$P$152="Complete",IF(C1603=10,Paths!$I$152,0),"n.a."))</f>
        <v>0</v>
      </c>
      <c r="M1603" s="16">
        <f>IF(NOT(Paths!$C$152=1),0,IF(Paths!$P$152="Complete",IF(AND(Paths!$D$152="EV",Paths!$E$152&lt;120,Paths!$E$152+'Operating costs'!$B$65&gt;Paths!$E$152,Paths!$E$152+'Operating costs'!$B$65&lt;=120,IF(Paths!$E$152+'Operating costs'!$B$65=0,C1603=0,AND(C1603&gt;0,Paths!$E$152+'Operating costs'!$B$65&gt;(C1603-1)*12,Paths!$E$152+'Operating costs'!$B$65&lt;=C1603*12))),'Operating costs'!$B$64,0)+IF(AND('Operating costs'!$B$67&gt;0,'Operating costs'!$B$67&lt;=120,OR(Paths!$D$152="ICE",'Operating costs'!$B$67&lt;=Paths!$E$152),IF('Operating costs'!$B$67=0,C1603=0,AND(C1603&gt;0,'Operating costs'!$B$67&gt;(C1603-1)*12,'Operating costs'!$B$67&lt;=C1603*12))),'Operating costs'!$B$66,0),"n.a."))</f>
        <v>0</v>
      </c>
      <c r="N1603" s="16">
        <f>IF(NOT(Paths!$C$152=1),0,IF(Paths!$P$152="Complete",SUM(G1603:I1603)-J1603-K1603-L1603+M1603+IF(C1603=0,Paths!$F$152,0)+IF(IF(Paths!$E$152=0,C1603=0,AND(C1603&gt;0,Paths!$E$152&gt;(C1603-1)*12,Paths!$E$152&lt;=C1603*12)),VLOOKUP(A1603,'Fleet register'!$A$7:$S$106,16,FALSE),0),"n.a."))</f>
        <v>0</v>
      </c>
      <c r="O1603" s="16">
        <f>IF(NOT(Paths!$C$152=1),0,IF(Paths!$P$152="Complete",N1603-IF(C1603=0,Paths!$F$152,0),"n.a."))</f>
        <v>0</v>
      </c>
      <c r="P1603" s="16">
        <f>IF(NOT(Paths!$C$152=1),0,IF(Paths!$P$152="Complete",O1603+L1603,"n.a."))</f>
        <v>0</v>
      </c>
      <c r="Q1603" s="16">
        <f>IF(NOT(Paths!$C$152=1),0,IF(Paths!$P$152="Complete",N1603*(1+'Operating costs'!$B$54)^-C1603,"n.a."))</f>
        <v>0</v>
      </c>
      <c r="R1603" s="16">
        <f>IF(NOT(Paths!$C$152=1),0,IF(Paths!$P$152="Complete",IF(AND(C1603=0,Paths!$E$152=0),I1603-J1603-K1603+VLOOKUP(A1603,'Fleet register'!$A$7:$S$106,15,FALSE)+VLOOKUP(A1603,'Fleet register'!$A$7:$S$106,16,FALSE),0),"n.a."))</f>
        <v>0</v>
      </c>
      <c r="S1603" s="1">
        <f>IF(NOT(Paths!$C$152=1),0,IF(Paths!$P$152="Complete",IF(C1603=0,0,Paths!$S$152*Paths!$R$152),"n.a."))</f>
        <v>0</v>
      </c>
      <c r="T1603" s="1">
        <f>IF(NOT(Paths!$C$152=1),0,IF(Paths!$P$152="Complete",IF(C1603=0,0,VLOOKUP(A1603,'Fleet register'!$A$7:$S$106,9,FALSE)*Paths!$R$152),"n.a."))</f>
        <v>0</v>
      </c>
    </row>
    <row r="1604" spans="1:20" ht="24" customHeight="1">
      <c r="A1604" s="1" t="str">
        <f>Paths!$A$152</f>
        <v>T037</v>
      </c>
      <c r="B1604" s="1">
        <f>Paths!$B$152</f>
        <v>1</v>
      </c>
      <c r="C1604" s="1">
        <v>2</v>
      </c>
      <c r="D1604" s="1">
        <v>152</v>
      </c>
      <c r="E1604" s="1">
        <f>IF(OR(Paths!$C$152=0,C1604=0),0,MAX(0,MIN(C1604*12,Paths!$E$152)-(C1604-1)*12))</f>
        <v>0</v>
      </c>
      <c r="F1604" s="1">
        <f>IF(OR(Paths!$C$152=0,C1604=0),0,12-E1604)</f>
        <v>0</v>
      </c>
      <c r="G1604" s="16">
        <f>IF(NOT(Paths!$C$152=1),0,IF(Paths!$P$152="Complete",E1604/12*(Paths!$J$152*(1+'Operating costs'!$B$51)^MAX(0,C1604-1)+Paths!$K$152*(1+'Operating costs'!$B$53)^MAX(0,C1604-1)),"n.a."))</f>
        <v>0</v>
      </c>
      <c r="H1604" s="16">
        <f>IF(NOT(Paths!$C$152=1),0,IF(Paths!$P$152="Complete",F1604/12*(Paths!$L$152*(1+IF(Paths!$D$152="EV",'Operating costs'!$B$52,'Operating costs'!$B$51))^MAX(0,C1604-1)+Paths!$M$152*(1+'Operating costs'!$B$53)^MAX(0,C1604-1)),"n.a."))</f>
        <v>0</v>
      </c>
      <c r="I1604" s="16">
        <f>IF(NOT(Paths!$C$152=1),0,IF(Paths!$P$152="Complete",IF(IF(Paths!$E$152=0,C1604=0,AND(C1604&gt;0,Paths!$E$152&gt;(C1604-1)*12,Paths!$E$152&lt;=C1604*12)),Paths!$G$152,0),"n.a."))</f>
        <v>0</v>
      </c>
      <c r="J1604" s="16">
        <f>IF(NOT(Paths!$C$152=1),0,IF(Paths!$P$152="Complete",IF(IF(Paths!$E$152=0,C1604=0,AND(C1604&gt;0,Paths!$E$152&gt;(C1604-1)*12,Paths!$E$152&lt;=C1604*12)),Paths!$H$152,0),"n.a."))</f>
        <v>0</v>
      </c>
      <c r="K1604" s="16">
        <f>IF(NOT(Paths!$C$152=1),0,IF(Paths!$P$152="Complete",IF(IF(Paths!$O$152=0,C1604=0,AND(C1604&gt;0,Paths!$O$152&gt;(C1604-1)*12,Paths!$O$152&lt;=C1604*12)),Paths!$N$152,0),"n.a."))</f>
        <v>0</v>
      </c>
      <c r="L1604" s="16">
        <f>IF(NOT(Paths!$C$152=1),0,IF(Paths!$P$152="Complete",IF(C1604=10,Paths!$I$152,0),"n.a."))</f>
        <v>0</v>
      </c>
      <c r="M1604" s="16">
        <f>IF(NOT(Paths!$C$152=1),0,IF(Paths!$P$152="Complete",IF(AND(Paths!$D$152="EV",Paths!$E$152&lt;120,Paths!$E$152+'Operating costs'!$B$65&gt;Paths!$E$152,Paths!$E$152+'Operating costs'!$B$65&lt;=120,IF(Paths!$E$152+'Operating costs'!$B$65=0,C1604=0,AND(C1604&gt;0,Paths!$E$152+'Operating costs'!$B$65&gt;(C1604-1)*12,Paths!$E$152+'Operating costs'!$B$65&lt;=C1604*12))),'Operating costs'!$B$64,0)+IF(AND('Operating costs'!$B$67&gt;0,'Operating costs'!$B$67&lt;=120,OR(Paths!$D$152="ICE",'Operating costs'!$B$67&lt;=Paths!$E$152),IF('Operating costs'!$B$67=0,C1604=0,AND(C1604&gt;0,'Operating costs'!$B$67&gt;(C1604-1)*12,'Operating costs'!$B$67&lt;=C1604*12))),'Operating costs'!$B$66,0),"n.a."))</f>
        <v>0</v>
      </c>
      <c r="N1604" s="16">
        <f>IF(NOT(Paths!$C$152=1),0,IF(Paths!$P$152="Complete",SUM(G1604:I1604)-J1604-K1604-L1604+M1604+IF(C1604=0,Paths!$F$152,0)+IF(IF(Paths!$E$152=0,C1604=0,AND(C1604&gt;0,Paths!$E$152&gt;(C1604-1)*12,Paths!$E$152&lt;=C1604*12)),VLOOKUP(A1604,'Fleet register'!$A$7:$S$106,16,FALSE),0),"n.a."))</f>
        <v>0</v>
      </c>
      <c r="O1604" s="16">
        <f>IF(NOT(Paths!$C$152=1),0,IF(Paths!$P$152="Complete",N1604-IF(C1604=0,Paths!$F$152,0),"n.a."))</f>
        <v>0</v>
      </c>
      <c r="P1604" s="16">
        <f>IF(NOT(Paths!$C$152=1),0,IF(Paths!$P$152="Complete",O1604+L1604,"n.a."))</f>
        <v>0</v>
      </c>
      <c r="Q1604" s="16">
        <f>IF(NOT(Paths!$C$152=1),0,IF(Paths!$P$152="Complete",N1604*(1+'Operating costs'!$B$54)^-C1604,"n.a."))</f>
        <v>0</v>
      </c>
      <c r="R1604" s="16">
        <f>IF(NOT(Paths!$C$152=1),0,IF(Paths!$P$152="Complete",IF(AND(C1604=0,Paths!$E$152=0),I1604-J1604-K1604+VLOOKUP(A1604,'Fleet register'!$A$7:$S$106,15,FALSE)+VLOOKUP(A1604,'Fleet register'!$A$7:$S$106,16,FALSE),0),"n.a."))</f>
        <v>0</v>
      </c>
      <c r="S1604" s="1">
        <f>IF(NOT(Paths!$C$152=1),0,IF(Paths!$P$152="Complete",IF(C1604=0,0,Paths!$S$152*Paths!$R$152),"n.a."))</f>
        <v>0</v>
      </c>
      <c r="T1604" s="1">
        <f>IF(NOT(Paths!$C$152=1),0,IF(Paths!$P$152="Complete",IF(C1604=0,0,VLOOKUP(A1604,'Fleet register'!$A$7:$S$106,9,FALSE)*Paths!$R$152),"n.a."))</f>
        <v>0</v>
      </c>
    </row>
    <row r="1605" spans="1:20" ht="24" customHeight="1">
      <c r="A1605" s="1" t="str">
        <f>Paths!$A$152</f>
        <v>T037</v>
      </c>
      <c r="B1605" s="1">
        <f>Paths!$B$152</f>
        <v>1</v>
      </c>
      <c r="C1605" s="1">
        <v>3</v>
      </c>
      <c r="D1605" s="1">
        <v>152</v>
      </c>
      <c r="E1605" s="1">
        <f>IF(OR(Paths!$C$152=0,C1605=0),0,MAX(0,MIN(C1605*12,Paths!$E$152)-(C1605-1)*12))</f>
        <v>0</v>
      </c>
      <c r="F1605" s="1">
        <f>IF(OR(Paths!$C$152=0,C1605=0),0,12-E1605)</f>
        <v>0</v>
      </c>
      <c r="G1605" s="16">
        <f>IF(NOT(Paths!$C$152=1),0,IF(Paths!$P$152="Complete",E1605/12*(Paths!$J$152*(1+'Operating costs'!$B$51)^MAX(0,C1605-1)+Paths!$K$152*(1+'Operating costs'!$B$53)^MAX(0,C1605-1)),"n.a."))</f>
        <v>0</v>
      </c>
      <c r="H1605" s="16">
        <f>IF(NOT(Paths!$C$152=1),0,IF(Paths!$P$152="Complete",F1605/12*(Paths!$L$152*(1+IF(Paths!$D$152="EV",'Operating costs'!$B$52,'Operating costs'!$B$51))^MAX(0,C1605-1)+Paths!$M$152*(1+'Operating costs'!$B$53)^MAX(0,C1605-1)),"n.a."))</f>
        <v>0</v>
      </c>
      <c r="I1605" s="16">
        <f>IF(NOT(Paths!$C$152=1),0,IF(Paths!$P$152="Complete",IF(IF(Paths!$E$152=0,C1605=0,AND(C1605&gt;0,Paths!$E$152&gt;(C1605-1)*12,Paths!$E$152&lt;=C1605*12)),Paths!$G$152,0),"n.a."))</f>
        <v>0</v>
      </c>
      <c r="J1605" s="16">
        <f>IF(NOT(Paths!$C$152=1),0,IF(Paths!$P$152="Complete",IF(IF(Paths!$E$152=0,C1605=0,AND(C1605&gt;0,Paths!$E$152&gt;(C1605-1)*12,Paths!$E$152&lt;=C1605*12)),Paths!$H$152,0),"n.a."))</f>
        <v>0</v>
      </c>
      <c r="K1605" s="16">
        <f>IF(NOT(Paths!$C$152=1),0,IF(Paths!$P$152="Complete",IF(IF(Paths!$O$152=0,C1605=0,AND(C1605&gt;0,Paths!$O$152&gt;(C1605-1)*12,Paths!$O$152&lt;=C1605*12)),Paths!$N$152,0),"n.a."))</f>
        <v>0</v>
      </c>
      <c r="L1605" s="16">
        <f>IF(NOT(Paths!$C$152=1),0,IF(Paths!$P$152="Complete",IF(C1605=10,Paths!$I$152,0),"n.a."))</f>
        <v>0</v>
      </c>
      <c r="M1605" s="16">
        <f>IF(NOT(Paths!$C$152=1),0,IF(Paths!$P$152="Complete",IF(AND(Paths!$D$152="EV",Paths!$E$152&lt;120,Paths!$E$152+'Operating costs'!$B$65&gt;Paths!$E$152,Paths!$E$152+'Operating costs'!$B$65&lt;=120,IF(Paths!$E$152+'Operating costs'!$B$65=0,C1605=0,AND(C1605&gt;0,Paths!$E$152+'Operating costs'!$B$65&gt;(C1605-1)*12,Paths!$E$152+'Operating costs'!$B$65&lt;=C1605*12))),'Operating costs'!$B$64,0)+IF(AND('Operating costs'!$B$67&gt;0,'Operating costs'!$B$67&lt;=120,OR(Paths!$D$152="ICE",'Operating costs'!$B$67&lt;=Paths!$E$152),IF('Operating costs'!$B$67=0,C1605=0,AND(C1605&gt;0,'Operating costs'!$B$67&gt;(C1605-1)*12,'Operating costs'!$B$67&lt;=C1605*12))),'Operating costs'!$B$66,0),"n.a."))</f>
        <v>0</v>
      </c>
      <c r="N1605" s="16">
        <f>IF(NOT(Paths!$C$152=1),0,IF(Paths!$P$152="Complete",SUM(G1605:I1605)-J1605-K1605-L1605+M1605+IF(C1605=0,Paths!$F$152,0)+IF(IF(Paths!$E$152=0,C1605=0,AND(C1605&gt;0,Paths!$E$152&gt;(C1605-1)*12,Paths!$E$152&lt;=C1605*12)),VLOOKUP(A1605,'Fleet register'!$A$7:$S$106,16,FALSE),0),"n.a."))</f>
        <v>0</v>
      </c>
      <c r="O1605" s="16">
        <f>IF(NOT(Paths!$C$152=1),0,IF(Paths!$P$152="Complete",N1605-IF(C1605=0,Paths!$F$152,0),"n.a."))</f>
        <v>0</v>
      </c>
      <c r="P1605" s="16">
        <f>IF(NOT(Paths!$C$152=1),0,IF(Paths!$P$152="Complete",O1605+L1605,"n.a."))</f>
        <v>0</v>
      </c>
      <c r="Q1605" s="16">
        <f>IF(NOT(Paths!$C$152=1),0,IF(Paths!$P$152="Complete",N1605*(1+'Operating costs'!$B$54)^-C1605,"n.a."))</f>
        <v>0</v>
      </c>
      <c r="R1605" s="16">
        <f>IF(NOT(Paths!$C$152=1),0,IF(Paths!$P$152="Complete",IF(AND(C1605=0,Paths!$E$152=0),I1605-J1605-K1605+VLOOKUP(A1605,'Fleet register'!$A$7:$S$106,15,FALSE)+VLOOKUP(A1605,'Fleet register'!$A$7:$S$106,16,FALSE),0),"n.a."))</f>
        <v>0</v>
      </c>
      <c r="S1605" s="1">
        <f>IF(NOT(Paths!$C$152=1),0,IF(Paths!$P$152="Complete",IF(C1605=0,0,Paths!$S$152*Paths!$R$152),"n.a."))</f>
        <v>0</v>
      </c>
      <c r="T1605" s="1">
        <f>IF(NOT(Paths!$C$152=1),0,IF(Paths!$P$152="Complete",IF(C1605=0,0,VLOOKUP(A1605,'Fleet register'!$A$7:$S$106,9,FALSE)*Paths!$R$152),"n.a."))</f>
        <v>0</v>
      </c>
    </row>
    <row r="1606" spans="1:20" ht="24" customHeight="1">
      <c r="A1606" s="1" t="str">
        <f>Paths!$A$152</f>
        <v>T037</v>
      </c>
      <c r="B1606" s="1">
        <f>Paths!$B$152</f>
        <v>1</v>
      </c>
      <c r="C1606" s="1">
        <v>4</v>
      </c>
      <c r="D1606" s="1">
        <v>152</v>
      </c>
      <c r="E1606" s="1">
        <f>IF(OR(Paths!$C$152=0,C1606=0),0,MAX(0,MIN(C1606*12,Paths!$E$152)-(C1606-1)*12))</f>
        <v>0</v>
      </c>
      <c r="F1606" s="1">
        <f>IF(OR(Paths!$C$152=0,C1606=0),0,12-E1606)</f>
        <v>0</v>
      </c>
      <c r="G1606" s="16">
        <f>IF(NOT(Paths!$C$152=1),0,IF(Paths!$P$152="Complete",E1606/12*(Paths!$J$152*(1+'Operating costs'!$B$51)^MAX(0,C1606-1)+Paths!$K$152*(1+'Operating costs'!$B$53)^MAX(0,C1606-1)),"n.a."))</f>
        <v>0</v>
      </c>
      <c r="H1606" s="16">
        <f>IF(NOT(Paths!$C$152=1),0,IF(Paths!$P$152="Complete",F1606/12*(Paths!$L$152*(1+IF(Paths!$D$152="EV",'Operating costs'!$B$52,'Operating costs'!$B$51))^MAX(0,C1606-1)+Paths!$M$152*(1+'Operating costs'!$B$53)^MAX(0,C1606-1)),"n.a."))</f>
        <v>0</v>
      </c>
      <c r="I1606" s="16">
        <f>IF(NOT(Paths!$C$152=1),0,IF(Paths!$P$152="Complete",IF(IF(Paths!$E$152=0,C1606=0,AND(C1606&gt;0,Paths!$E$152&gt;(C1606-1)*12,Paths!$E$152&lt;=C1606*12)),Paths!$G$152,0),"n.a."))</f>
        <v>0</v>
      </c>
      <c r="J1606" s="16">
        <f>IF(NOT(Paths!$C$152=1),0,IF(Paths!$P$152="Complete",IF(IF(Paths!$E$152=0,C1606=0,AND(C1606&gt;0,Paths!$E$152&gt;(C1606-1)*12,Paths!$E$152&lt;=C1606*12)),Paths!$H$152,0),"n.a."))</f>
        <v>0</v>
      </c>
      <c r="K1606" s="16">
        <f>IF(NOT(Paths!$C$152=1),0,IF(Paths!$P$152="Complete",IF(IF(Paths!$O$152=0,C1606=0,AND(C1606&gt;0,Paths!$O$152&gt;(C1606-1)*12,Paths!$O$152&lt;=C1606*12)),Paths!$N$152,0),"n.a."))</f>
        <v>0</v>
      </c>
      <c r="L1606" s="16">
        <f>IF(NOT(Paths!$C$152=1),0,IF(Paths!$P$152="Complete",IF(C1606=10,Paths!$I$152,0),"n.a."))</f>
        <v>0</v>
      </c>
      <c r="M1606" s="16">
        <f>IF(NOT(Paths!$C$152=1),0,IF(Paths!$P$152="Complete",IF(AND(Paths!$D$152="EV",Paths!$E$152&lt;120,Paths!$E$152+'Operating costs'!$B$65&gt;Paths!$E$152,Paths!$E$152+'Operating costs'!$B$65&lt;=120,IF(Paths!$E$152+'Operating costs'!$B$65=0,C1606=0,AND(C1606&gt;0,Paths!$E$152+'Operating costs'!$B$65&gt;(C1606-1)*12,Paths!$E$152+'Operating costs'!$B$65&lt;=C1606*12))),'Operating costs'!$B$64,0)+IF(AND('Operating costs'!$B$67&gt;0,'Operating costs'!$B$67&lt;=120,OR(Paths!$D$152="ICE",'Operating costs'!$B$67&lt;=Paths!$E$152),IF('Operating costs'!$B$67=0,C1606=0,AND(C1606&gt;0,'Operating costs'!$B$67&gt;(C1606-1)*12,'Operating costs'!$B$67&lt;=C1606*12))),'Operating costs'!$B$66,0),"n.a."))</f>
        <v>0</v>
      </c>
      <c r="N1606" s="16">
        <f>IF(NOT(Paths!$C$152=1),0,IF(Paths!$P$152="Complete",SUM(G1606:I1606)-J1606-K1606-L1606+M1606+IF(C1606=0,Paths!$F$152,0)+IF(IF(Paths!$E$152=0,C1606=0,AND(C1606&gt;0,Paths!$E$152&gt;(C1606-1)*12,Paths!$E$152&lt;=C1606*12)),VLOOKUP(A1606,'Fleet register'!$A$7:$S$106,16,FALSE),0),"n.a."))</f>
        <v>0</v>
      </c>
      <c r="O1606" s="16">
        <f>IF(NOT(Paths!$C$152=1),0,IF(Paths!$P$152="Complete",N1606-IF(C1606=0,Paths!$F$152,0),"n.a."))</f>
        <v>0</v>
      </c>
      <c r="P1606" s="16">
        <f>IF(NOT(Paths!$C$152=1),0,IF(Paths!$P$152="Complete",O1606+L1606,"n.a."))</f>
        <v>0</v>
      </c>
      <c r="Q1606" s="16">
        <f>IF(NOT(Paths!$C$152=1),0,IF(Paths!$P$152="Complete",N1606*(1+'Operating costs'!$B$54)^-C1606,"n.a."))</f>
        <v>0</v>
      </c>
      <c r="R1606" s="16">
        <f>IF(NOT(Paths!$C$152=1),0,IF(Paths!$P$152="Complete",IF(AND(C1606=0,Paths!$E$152=0),I1606-J1606-K1606+VLOOKUP(A1606,'Fleet register'!$A$7:$S$106,15,FALSE)+VLOOKUP(A1606,'Fleet register'!$A$7:$S$106,16,FALSE),0),"n.a."))</f>
        <v>0</v>
      </c>
      <c r="S1606" s="1">
        <f>IF(NOT(Paths!$C$152=1),0,IF(Paths!$P$152="Complete",IF(C1606=0,0,Paths!$S$152*Paths!$R$152),"n.a."))</f>
        <v>0</v>
      </c>
      <c r="T1606" s="1">
        <f>IF(NOT(Paths!$C$152=1),0,IF(Paths!$P$152="Complete",IF(C1606=0,0,VLOOKUP(A1606,'Fleet register'!$A$7:$S$106,9,FALSE)*Paths!$R$152),"n.a."))</f>
        <v>0</v>
      </c>
    </row>
    <row r="1607" spans="1:20" ht="24" customHeight="1">
      <c r="A1607" s="1" t="str">
        <f>Paths!$A$152</f>
        <v>T037</v>
      </c>
      <c r="B1607" s="1">
        <f>Paths!$B$152</f>
        <v>1</v>
      </c>
      <c r="C1607" s="1">
        <v>5</v>
      </c>
      <c r="D1607" s="1">
        <v>152</v>
      </c>
      <c r="E1607" s="1">
        <f>IF(OR(Paths!$C$152=0,C1607=0),0,MAX(0,MIN(C1607*12,Paths!$E$152)-(C1607-1)*12))</f>
        <v>0</v>
      </c>
      <c r="F1607" s="1">
        <f>IF(OR(Paths!$C$152=0,C1607=0),0,12-E1607)</f>
        <v>0</v>
      </c>
      <c r="G1607" s="16">
        <f>IF(NOT(Paths!$C$152=1),0,IF(Paths!$P$152="Complete",E1607/12*(Paths!$J$152*(1+'Operating costs'!$B$51)^MAX(0,C1607-1)+Paths!$K$152*(1+'Operating costs'!$B$53)^MAX(0,C1607-1)),"n.a."))</f>
        <v>0</v>
      </c>
      <c r="H1607" s="16">
        <f>IF(NOT(Paths!$C$152=1),0,IF(Paths!$P$152="Complete",F1607/12*(Paths!$L$152*(1+IF(Paths!$D$152="EV",'Operating costs'!$B$52,'Operating costs'!$B$51))^MAX(0,C1607-1)+Paths!$M$152*(1+'Operating costs'!$B$53)^MAX(0,C1607-1)),"n.a."))</f>
        <v>0</v>
      </c>
      <c r="I1607" s="16">
        <f>IF(NOT(Paths!$C$152=1),0,IF(Paths!$P$152="Complete",IF(IF(Paths!$E$152=0,C1607=0,AND(C1607&gt;0,Paths!$E$152&gt;(C1607-1)*12,Paths!$E$152&lt;=C1607*12)),Paths!$G$152,0),"n.a."))</f>
        <v>0</v>
      </c>
      <c r="J1607" s="16">
        <f>IF(NOT(Paths!$C$152=1),0,IF(Paths!$P$152="Complete",IF(IF(Paths!$E$152=0,C1607=0,AND(C1607&gt;0,Paths!$E$152&gt;(C1607-1)*12,Paths!$E$152&lt;=C1607*12)),Paths!$H$152,0),"n.a."))</f>
        <v>0</v>
      </c>
      <c r="K1607" s="16">
        <f>IF(NOT(Paths!$C$152=1),0,IF(Paths!$P$152="Complete",IF(IF(Paths!$O$152=0,C1607=0,AND(C1607&gt;0,Paths!$O$152&gt;(C1607-1)*12,Paths!$O$152&lt;=C1607*12)),Paths!$N$152,0),"n.a."))</f>
        <v>0</v>
      </c>
      <c r="L1607" s="16">
        <f>IF(NOT(Paths!$C$152=1),0,IF(Paths!$P$152="Complete",IF(C1607=10,Paths!$I$152,0),"n.a."))</f>
        <v>0</v>
      </c>
      <c r="M1607" s="16">
        <f>IF(NOT(Paths!$C$152=1),0,IF(Paths!$P$152="Complete",IF(AND(Paths!$D$152="EV",Paths!$E$152&lt;120,Paths!$E$152+'Operating costs'!$B$65&gt;Paths!$E$152,Paths!$E$152+'Operating costs'!$B$65&lt;=120,IF(Paths!$E$152+'Operating costs'!$B$65=0,C1607=0,AND(C1607&gt;0,Paths!$E$152+'Operating costs'!$B$65&gt;(C1607-1)*12,Paths!$E$152+'Operating costs'!$B$65&lt;=C1607*12))),'Operating costs'!$B$64,0)+IF(AND('Operating costs'!$B$67&gt;0,'Operating costs'!$B$67&lt;=120,OR(Paths!$D$152="ICE",'Operating costs'!$B$67&lt;=Paths!$E$152),IF('Operating costs'!$B$67=0,C1607=0,AND(C1607&gt;0,'Operating costs'!$B$67&gt;(C1607-1)*12,'Operating costs'!$B$67&lt;=C1607*12))),'Operating costs'!$B$66,0),"n.a."))</f>
        <v>0</v>
      </c>
      <c r="N1607" s="16">
        <f>IF(NOT(Paths!$C$152=1),0,IF(Paths!$P$152="Complete",SUM(G1607:I1607)-J1607-K1607-L1607+M1607+IF(C1607=0,Paths!$F$152,0)+IF(IF(Paths!$E$152=0,C1607=0,AND(C1607&gt;0,Paths!$E$152&gt;(C1607-1)*12,Paths!$E$152&lt;=C1607*12)),VLOOKUP(A1607,'Fleet register'!$A$7:$S$106,16,FALSE),0),"n.a."))</f>
        <v>0</v>
      </c>
      <c r="O1607" s="16">
        <f>IF(NOT(Paths!$C$152=1),0,IF(Paths!$P$152="Complete",N1607-IF(C1607=0,Paths!$F$152,0),"n.a."))</f>
        <v>0</v>
      </c>
      <c r="P1607" s="16">
        <f>IF(NOT(Paths!$C$152=1),0,IF(Paths!$P$152="Complete",O1607+L1607,"n.a."))</f>
        <v>0</v>
      </c>
      <c r="Q1607" s="16">
        <f>IF(NOT(Paths!$C$152=1),0,IF(Paths!$P$152="Complete",N1607*(1+'Operating costs'!$B$54)^-C1607,"n.a."))</f>
        <v>0</v>
      </c>
      <c r="R1607" s="16">
        <f>IF(NOT(Paths!$C$152=1),0,IF(Paths!$P$152="Complete",IF(AND(C1607=0,Paths!$E$152=0),I1607-J1607-K1607+VLOOKUP(A1607,'Fleet register'!$A$7:$S$106,15,FALSE)+VLOOKUP(A1607,'Fleet register'!$A$7:$S$106,16,FALSE),0),"n.a."))</f>
        <v>0</v>
      </c>
      <c r="S1607" s="1">
        <f>IF(NOT(Paths!$C$152=1),0,IF(Paths!$P$152="Complete",IF(C1607=0,0,Paths!$S$152*Paths!$R$152),"n.a."))</f>
        <v>0</v>
      </c>
      <c r="T1607" s="1">
        <f>IF(NOT(Paths!$C$152=1),0,IF(Paths!$P$152="Complete",IF(C1607=0,0,VLOOKUP(A1607,'Fleet register'!$A$7:$S$106,9,FALSE)*Paths!$R$152),"n.a."))</f>
        <v>0</v>
      </c>
    </row>
    <row r="1608" spans="1:20" ht="24" customHeight="1">
      <c r="A1608" s="1" t="str">
        <f>Paths!$A$152</f>
        <v>T037</v>
      </c>
      <c r="B1608" s="1">
        <f>Paths!$B$152</f>
        <v>1</v>
      </c>
      <c r="C1608" s="1">
        <v>6</v>
      </c>
      <c r="D1608" s="1">
        <v>152</v>
      </c>
      <c r="E1608" s="1">
        <f>IF(OR(Paths!$C$152=0,C1608=0),0,MAX(0,MIN(C1608*12,Paths!$E$152)-(C1608-1)*12))</f>
        <v>0</v>
      </c>
      <c r="F1608" s="1">
        <f>IF(OR(Paths!$C$152=0,C1608=0),0,12-E1608)</f>
        <v>0</v>
      </c>
      <c r="G1608" s="16">
        <f>IF(NOT(Paths!$C$152=1),0,IF(Paths!$P$152="Complete",E1608/12*(Paths!$J$152*(1+'Operating costs'!$B$51)^MAX(0,C1608-1)+Paths!$K$152*(1+'Operating costs'!$B$53)^MAX(0,C1608-1)),"n.a."))</f>
        <v>0</v>
      </c>
      <c r="H1608" s="16">
        <f>IF(NOT(Paths!$C$152=1),0,IF(Paths!$P$152="Complete",F1608/12*(Paths!$L$152*(1+IF(Paths!$D$152="EV",'Operating costs'!$B$52,'Operating costs'!$B$51))^MAX(0,C1608-1)+Paths!$M$152*(1+'Operating costs'!$B$53)^MAX(0,C1608-1)),"n.a."))</f>
        <v>0</v>
      </c>
      <c r="I1608" s="16">
        <f>IF(NOT(Paths!$C$152=1),0,IF(Paths!$P$152="Complete",IF(IF(Paths!$E$152=0,C1608=0,AND(C1608&gt;0,Paths!$E$152&gt;(C1608-1)*12,Paths!$E$152&lt;=C1608*12)),Paths!$G$152,0),"n.a."))</f>
        <v>0</v>
      </c>
      <c r="J1608" s="16">
        <f>IF(NOT(Paths!$C$152=1),0,IF(Paths!$P$152="Complete",IF(IF(Paths!$E$152=0,C1608=0,AND(C1608&gt;0,Paths!$E$152&gt;(C1608-1)*12,Paths!$E$152&lt;=C1608*12)),Paths!$H$152,0),"n.a."))</f>
        <v>0</v>
      </c>
      <c r="K1608" s="16">
        <f>IF(NOT(Paths!$C$152=1),0,IF(Paths!$P$152="Complete",IF(IF(Paths!$O$152=0,C1608=0,AND(C1608&gt;0,Paths!$O$152&gt;(C1608-1)*12,Paths!$O$152&lt;=C1608*12)),Paths!$N$152,0),"n.a."))</f>
        <v>0</v>
      </c>
      <c r="L1608" s="16">
        <f>IF(NOT(Paths!$C$152=1),0,IF(Paths!$P$152="Complete",IF(C1608=10,Paths!$I$152,0),"n.a."))</f>
        <v>0</v>
      </c>
      <c r="M1608" s="16">
        <f>IF(NOT(Paths!$C$152=1),0,IF(Paths!$P$152="Complete",IF(AND(Paths!$D$152="EV",Paths!$E$152&lt;120,Paths!$E$152+'Operating costs'!$B$65&gt;Paths!$E$152,Paths!$E$152+'Operating costs'!$B$65&lt;=120,IF(Paths!$E$152+'Operating costs'!$B$65=0,C1608=0,AND(C1608&gt;0,Paths!$E$152+'Operating costs'!$B$65&gt;(C1608-1)*12,Paths!$E$152+'Operating costs'!$B$65&lt;=C1608*12))),'Operating costs'!$B$64,0)+IF(AND('Operating costs'!$B$67&gt;0,'Operating costs'!$B$67&lt;=120,OR(Paths!$D$152="ICE",'Operating costs'!$B$67&lt;=Paths!$E$152),IF('Operating costs'!$B$67=0,C1608=0,AND(C1608&gt;0,'Operating costs'!$B$67&gt;(C1608-1)*12,'Operating costs'!$B$67&lt;=C1608*12))),'Operating costs'!$B$66,0),"n.a."))</f>
        <v>0</v>
      </c>
      <c r="N1608" s="16">
        <f>IF(NOT(Paths!$C$152=1),0,IF(Paths!$P$152="Complete",SUM(G1608:I1608)-J1608-K1608-L1608+M1608+IF(C1608=0,Paths!$F$152,0)+IF(IF(Paths!$E$152=0,C1608=0,AND(C1608&gt;0,Paths!$E$152&gt;(C1608-1)*12,Paths!$E$152&lt;=C1608*12)),VLOOKUP(A1608,'Fleet register'!$A$7:$S$106,16,FALSE),0),"n.a."))</f>
        <v>0</v>
      </c>
      <c r="O1608" s="16">
        <f>IF(NOT(Paths!$C$152=1),0,IF(Paths!$P$152="Complete",N1608-IF(C1608=0,Paths!$F$152,0),"n.a."))</f>
        <v>0</v>
      </c>
      <c r="P1608" s="16">
        <f>IF(NOT(Paths!$C$152=1),0,IF(Paths!$P$152="Complete",O1608+L1608,"n.a."))</f>
        <v>0</v>
      </c>
      <c r="Q1608" s="16">
        <f>IF(NOT(Paths!$C$152=1),0,IF(Paths!$P$152="Complete",N1608*(1+'Operating costs'!$B$54)^-C1608,"n.a."))</f>
        <v>0</v>
      </c>
      <c r="R1608" s="16">
        <f>IF(NOT(Paths!$C$152=1),0,IF(Paths!$P$152="Complete",IF(AND(C1608=0,Paths!$E$152=0),I1608-J1608-K1608+VLOOKUP(A1608,'Fleet register'!$A$7:$S$106,15,FALSE)+VLOOKUP(A1608,'Fleet register'!$A$7:$S$106,16,FALSE),0),"n.a."))</f>
        <v>0</v>
      </c>
      <c r="S1608" s="1">
        <f>IF(NOT(Paths!$C$152=1),0,IF(Paths!$P$152="Complete",IF(C1608=0,0,Paths!$S$152*Paths!$R$152),"n.a."))</f>
        <v>0</v>
      </c>
      <c r="T1608" s="1">
        <f>IF(NOT(Paths!$C$152=1),0,IF(Paths!$P$152="Complete",IF(C1608=0,0,VLOOKUP(A1608,'Fleet register'!$A$7:$S$106,9,FALSE)*Paths!$R$152),"n.a."))</f>
        <v>0</v>
      </c>
    </row>
    <row r="1609" spans="1:20" ht="24" customHeight="1">
      <c r="A1609" s="1" t="str">
        <f>Paths!$A$152</f>
        <v>T037</v>
      </c>
      <c r="B1609" s="1">
        <f>Paths!$B$152</f>
        <v>1</v>
      </c>
      <c r="C1609" s="1">
        <v>7</v>
      </c>
      <c r="D1609" s="1">
        <v>152</v>
      </c>
      <c r="E1609" s="1">
        <f>IF(OR(Paths!$C$152=0,C1609=0),0,MAX(0,MIN(C1609*12,Paths!$E$152)-(C1609-1)*12))</f>
        <v>0</v>
      </c>
      <c r="F1609" s="1">
        <f>IF(OR(Paths!$C$152=0,C1609=0),0,12-E1609)</f>
        <v>0</v>
      </c>
      <c r="G1609" s="16">
        <f>IF(NOT(Paths!$C$152=1),0,IF(Paths!$P$152="Complete",E1609/12*(Paths!$J$152*(1+'Operating costs'!$B$51)^MAX(0,C1609-1)+Paths!$K$152*(1+'Operating costs'!$B$53)^MAX(0,C1609-1)),"n.a."))</f>
        <v>0</v>
      </c>
      <c r="H1609" s="16">
        <f>IF(NOT(Paths!$C$152=1),0,IF(Paths!$P$152="Complete",F1609/12*(Paths!$L$152*(1+IF(Paths!$D$152="EV",'Operating costs'!$B$52,'Operating costs'!$B$51))^MAX(0,C1609-1)+Paths!$M$152*(1+'Operating costs'!$B$53)^MAX(0,C1609-1)),"n.a."))</f>
        <v>0</v>
      </c>
      <c r="I1609" s="16">
        <f>IF(NOT(Paths!$C$152=1),0,IF(Paths!$P$152="Complete",IF(IF(Paths!$E$152=0,C1609=0,AND(C1609&gt;0,Paths!$E$152&gt;(C1609-1)*12,Paths!$E$152&lt;=C1609*12)),Paths!$G$152,0),"n.a."))</f>
        <v>0</v>
      </c>
      <c r="J1609" s="16">
        <f>IF(NOT(Paths!$C$152=1),0,IF(Paths!$P$152="Complete",IF(IF(Paths!$E$152=0,C1609=0,AND(C1609&gt;0,Paths!$E$152&gt;(C1609-1)*12,Paths!$E$152&lt;=C1609*12)),Paths!$H$152,0),"n.a."))</f>
        <v>0</v>
      </c>
      <c r="K1609" s="16">
        <f>IF(NOT(Paths!$C$152=1),0,IF(Paths!$P$152="Complete",IF(IF(Paths!$O$152=0,C1609=0,AND(C1609&gt;0,Paths!$O$152&gt;(C1609-1)*12,Paths!$O$152&lt;=C1609*12)),Paths!$N$152,0),"n.a."))</f>
        <v>0</v>
      </c>
      <c r="L1609" s="16">
        <f>IF(NOT(Paths!$C$152=1),0,IF(Paths!$P$152="Complete",IF(C1609=10,Paths!$I$152,0),"n.a."))</f>
        <v>0</v>
      </c>
      <c r="M1609" s="16">
        <f>IF(NOT(Paths!$C$152=1),0,IF(Paths!$P$152="Complete",IF(AND(Paths!$D$152="EV",Paths!$E$152&lt;120,Paths!$E$152+'Operating costs'!$B$65&gt;Paths!$E$152,Paths!$E$152+'Operating costs'!$B$65&lt;=120,IF(Paths!$E$152+'Operating costs'!$B$65=0,C1609=0,AND(C1609&gt;0,Paths!$E$152+'Operating costs'!$B$65&gt;(C1609-1)*12,Paths!$E$152+'Operating costs'!$B$65&lt;=C1609*12))),'Operating costs'!$B$64,0)+IF(AND('Operating costs'!$B$67&gt;0,'Operating costs'!$B$67&lt;=120,OR(Paths!$D$152="ICE",'Operating costs'!$B$67&lt;=Paths!$E$152),IF('Operating costs'!$B$67=0,C1609=0,AND(C1609&gt;0,'Operating costs'!$B$67&gt;(C1609-1)*12,'Operating costs'!$B$67&lt;=C1609*12))),'Operating costs'!$B$66,0),"n.a."))</f>
        <v>0</v>
      </c>
      <c r="N1609" s="16">
        <f>IF(NOT(Paths!$C$152=1),0,IF(Paths!$P$152="Complete",SUM(G1609:I1609)-J1609-K1609-L1609+M1609+IF(C1609=0,Paths!$F$152,0)+IF(IF(Paths!$E$152=0,C1609=0,AND(C1609&gt;0,Paths!$E$152&gt;(C1609-1)*12,Paths!$E$152&lt;=C1609*12)),VLOOKUP(A1609,'Fleet register'!$A$7:$S$106,16,FALSE),0),"n.a."))</f>
        <v>0</v>
      </c>
      <c r="O1609" s="16">
        <f>IF(NOT(Paths!$C$152=1),0,IF(Paths!$P$152="Complete",N1609-IF(C1609=0,Paths!$F$152,0),"n.a."))</f>
        <v>0</v>
      </c>
      <c r="P1609" s="16">
        <f>IF(NOT(Paths!$C$152=1),0,IF(Paths!$P$152="Complete",O1609+L1609,"n.a."))</f>
        <v>0</v>
      </c>
      <c r="Q1609" s="16">
        <f>IF(NOT(Paths!$C$152=1),0,IF(Paths!$P$152="Complete",N1609*(1+'Operating costs'!$B$54)^-C1609,"n.a."))</f>
        <v>0</v>
      </c>
      <c r="R1609" s="16">
        <f>IF(NOT(Paths!$C$152=1),0,IF(Paths!$P$152="Complete",IF(AND(C1609=0,Paths!$E$152=0),I1609-J1609-K1609+VLOOKUP(A1609,'Fleet register'!$A$7:$S$106,15,FALSE)+VLOOKUP(A1609,'Fleet register'!$A$7:$S$106,16,FALSE),0),"n.a."))</f>
        <v>0</v>
      </c>
      <c r="S1609" s="1">
        <f>IF(NOT(Paths!$C$152=1),0,IF(Paths!$P$152="Complete",IF(C1609=0,0,Paths!$S$152*Paths!$R$152),"n.a."))</f>
        <v>0</v>
      </c>
      <c r="T1609" s="1">
        <f>IF(NOT(Paths!$C$152=1),0,IF(Paths!$P$152="Complete",IF(C1609=0,0,VLOOKUP(A1609,'Fleet register'!$A$7:$S$106,9,FALSE)*Paths!$R$152),"n.a."))</f>
        <v>0</v>
      </c>
    </row>
    <row r="1610" spans="1:20" ht="24" customHeight="1">
      <c r="A1610" s="1" t="str">
        <f>Paths!$A$152</f>
        <v>T037</v>
      </c>
      <c r="B1610" s="1">
        <f>Paths!$B$152</f>
        <v>1</v>
      </c>
      <c r="C1610" s="1">
        <v>8</v>
      </c>
      <c r="D1610" s="1">
        <v>152</v>
      </c>
      <c r="E1610" s="1">
        <f>IF(OR(Paths!$C$152=0,C1610=0),0,MAX(0,MIN(C1610*12,Paths!$E$152)-(C1610-1)*12))</f>
        <v>0</v>
      </c>
      <c r="F1610" s="1">
        <f>IF(OR(Paths!$C$152=0,C1610=0),0,12-E1610)</f>
        <v>0</v>
      </c>
      <c r="G1610" s="16">
        <f>IF(NOT(Paths!$C$152=1),0,IF(Paths!$P$152="Complete",E1610/12*(Paths!$J$152*(1+'Operating costs'!$B$51)^MAX(0,C1610-1)+Paths!$K$152*(1+'Operating costs'!$B$53)^MAX(0,C1610-1)),"n.a."))</f>
        <v>0</v>
      </c>
      <c r="H1610" s="16">
        <f>IF(NOT(Paths!$C$152=1),0,IF(Paths!$P$152="Complete",F1610/12*(Paths!$L$152*(1+IF(Paths!$D$152="EV",'Operating costs'!$B$52,'Operating costs'!$B$51))^MAX(0,C1610-1)+Paths!$M$152*(1+'Operating costs'!$B$53)^MAX(0,C1610-1)),"n.a."))</f>
        <v>0</v>
      </c>
      <c r="I1610" s="16">
        <f>IF(NOT(Paths!$C$152=1),0,IF(Paths!$P$152="Complete",IF(IF(Paths!$E$152=0,C1610=0,AND(C1610&gt;0,Paths!$E$152&gt;(C1610-1)*12,Paths!$E$152&lt;=C1610*12)),Paths!$G$152,0),"n.a."))</f>
        <v>0</v>
      </c>
      <c r="J1610" s="16">
        <f>IF(NOT(Paths!$C$152=1),0,IF(Paths!$P$152="Complete",IF(IF(Paths!$E$152=0,C1610=0,AND(C1610&gt;0,Paths!$E$152&gt;(C1610-1)*12,Paths!$E$152&lt;=C1610*12)),Paths!$H$152,0),"n.a."))</f>
        <v>0</v>
      </c>
      <c r="K1610" s="16">
        <f>IF(NOT(Paths!$C$152=1),0,IF(Paths!$P$152="Complete",IF(IF(Paths!$O$152=0,C1610=0,AND(C1610&gt;0,Paths!$O$152&gt;(C1610-1)*12,Paths!$O$152&lt;=C1610*12)),Paths!$N$152,0),"n.a."))</f>
        <v>0</v>
      </c>
      <c r="L1610" s="16">
        <f>IF(NOT(Paths!$C$152=1),0,IF(Paths!$P$152="Complete",IF(C1610=10,Paths!$I$152,0),"n.a."))</f>
        <v>0</v>
      </c>
      <c r="M1610" s="16">
        <f>IF(NOT(Paths!$C$152=1),0,IF(Paths!$P$152="Complete",IF(AND(Paths!$D$152="EV",Paths!$E$152&lt;120,Paths!$E$152+'Operating costs'!$B$65&gt;Paths!$E$152,Paths!$E$152+'Operating costs'!$B$65&lt;=120,IF(Paths!$E$152+'Operating costs'!$B$65=0,C1610=0,AND(C1610&gt;0,Paths!$E$152+'Operating costs'!$B$65&gt;(C1610-1)*12,Paths!$E$152+'Operating costs'!$B$65&lt;=C1610*12))),'Operating costs'!$B$64,0)+IF(AND('Operating costs'!$B$67&gt;0,'Operating costs'!$B$67&lt;=120,OR(Paths!$D$152="ICE",'Operating costs'!$B$67&lt;=Paths!$E$152),IF('Operating costs'!$B$67=0,C1610=0,AND(C1610&gt;0,'Operating costs'!$B$67&gt;(C1610-1)*12,'Operating costs'!$B$67&lt;=C1610*12))),'Operating costs'!$B$66,0),"n.a."))</f>
        <v>0</v>
      </c>
      <c r="N1610" s="16">
        <f>IF(NOT(Paths!$C$152=1),0,IF(Paths!$P$152="Complete",SUM(G1610:I1610)-J1610-K1610-L1610+M1610+IF(C1610=0,Paths!$F$152,0)+IF(IF(Paths!$E$152=0,C1610=0,AND(C1610&gt;0,Paths!$E$152&gt;(C1610-1)*12,Paths!$E$152&lt;=C1610*12)),VLOOKUP(A1610,'Fleet register'!$A$7:$S$106,16,FALSE),0),"n.a."))</f>
        <v>0</v>
      </c>
      <c r="O1610" s="16">
        <f>IF(NOT(Paths!$C$152=1),0,IF(Paths!$P$152="Complete",N1610-IF(C1610=0,Paths!$F$152,0),"n.a."))</f>
        <v>0</v>
      </c>
      <c r="P1610" s="16">
        <f>IF(NOT(Paths!$C$152=1),0,IF(Paths!$P$152="Complete",O1610+L1610,"n.a."))</f>
        <v>0</v>
      </c>
      <c r="Q1610" s="16">
        <f>IF(NOT(Paths!$C$152=1),0,IF(Paths!$P$152="Complete",N1610*(1+'Operating costs'!$B$54)^-C1610,"n.a."))</f>
        <v>0</v>
      </c>
      <c r="R1610" s="16">
        <f>IF(NOT(Paths!$C$152=1),0,IF(Paths!$P$152="Complete",IF(AND(C1610=0,Paths!$E$152=0),I1610-J1610-K1610+VLOOKUP(A1610,'Fleet register'!$A$7:$S$106,15,FALSE)+VLOOKUP(A1610,'Fleet register'!$A$7:$S$106,16,FALSE),0),"n.a."))</f>
        <v>0</v>
      </c>
      <c r="S1610" s="1">
        <f>IF(NOT(Paths!$C$152=1),0,IF(Paths!$P$152="Complete",IF(C1610=0,0,Paths!$S$152*Paths!$R$152),"n.a."))</f>
        <v>0</v>
      </c>
      <c r="T1610" s="1">
        <f>IF(NOT(Paths!$C$152=1),0,IF(Paths!$P$152="Complete",IF(C1610=0,0,VLOOKUP(A1610,'Fleet register'!$A$7:$S$106,9,FALSE)*Paths!$R$152),"n.a."))</f>
        <v>0</v>
      </c>
    </row>
    <row r="1611" spans="1:20" ht="24" customHeight="1">
      <c r="A1611" s="1" t="str">
        <f>Paths!$A$152</f>
        <v>T037</v>
      </c>
      <c r="B1611" s="1">
        <f>Paths!$B$152</f>
        <v>1</v>
      </c>
      <c r="C1611" s="1">
        <v>9</v>
      </c>
      <c r="D1611" s="1">
        <v>152</v>
      </c>
      <c r="E1611" s="1">
        <f>IF(OR(Paths!$C$152=0,C1611=0),0,MAX(0,MIN(C1611*12,Paths!$E$152)-(C1611-1)*12))</f>
        <v>0</v>
      </c>
      <c r="F1611" s="1">
        <f>IF(OR(Paths!$C$152=0,C1611=0),0,12-E1611)</f>
        <v>0</v>
      </c>
      <c r="G1611" s="16">
        <f>IF(NOT(Paths!$C$152=1),0,IF(Paths!$P$152="Complete",E1611/12*(Paths!$J$152*(1+'Operating costs'!$B$51)^MAX(0,C1611-1)+Paths!$K$152*(1+'Operating costs'!$B$53)^MAX(0,C1611-1)),"n.a."))</f>
        <v>0</v>
      </c>
      <c r="H1611" s="16">
        <f>IF(NOT(Paths!$C$152=1),0,IF(Paths!$P$152="Complete",F1611/12*(Paths!$L$152*(1+IF(Paths!$D$152="EV",'Operating costs'!$B$52,'Operating costs'!$B$51))^MAX(0,C1611-1)+Paths!$M$152*(1+'Operating costs'!$B$53)^MAX(0,C1611-1)),"n.a."))</f>
        <v>0</v>
      </c>
      <c r="I1611" s="16">
        <f>IF(NOT(Paths!$C$152=1),0,IF(Paths!$P$152="Complete",IF(IF(Paths!$E$152=0,C1611=0,AND(C1611&gt;0,Paths!$E$152&gt;(C1611-1)*12,Paths!$E$152&lt;=C1611*12)),Paths!$G$152,0),"n.a."))</f>
        <v>0</v>
      </c>
      <c r="J1611" s="16">
        <f>IF(NOT(Paths!$C$152=1),0,IF(Paths!$P$152="Complete",IF(IF(Paths!$E$152=0,C1611=0,AND(C1611&gt;0,Paths!$E$152&gt;(C1611-1)*12,Paths!$E$152&lt;=C1611*12)),Paths!$H$152,0),"n.a."))</f>
        <v>0</v>
      </c>
      <c r="K1611" s="16">
        <f>IF(NOT(Paths!$C$152=1),0,IF(Paths!$P$152="Complete",IF(IF(Paths!$O$152=0,C1611=0,AND(C1611&gt;0,Paths!$O$152&gt;(C1611-1)*12,Paths!$O$152&lt;=C1611*12)),Paths!$N$152,0),"n.a."))</f>
        <v>0</v>
      </c>
      <c r="L1611" s="16">
        <f>IF(NOT(Paths!$C$152=1),0,IF(Paths!$P$152="Complete",IF(C1611=10,Paths!$I$152,0),"n.a."))</f>
        <v>0</v>
      </c>
      <c r="M1611" s="16">
        <f>IF(NOT(Paths!$C$152=1),0,IF(Paths!$P$152="Complete",IF(AND(Paths!$D$152="EV",Paths!$E$152&lt;120,Paths!$E$152+'Operating costs'!$B$65&gt;Paths!$E$152,Paths!$E$152+'Operating costs'!$B$65&lt;=120,IF(Paths!$E$152+'Operating costs'!$B$65=0,C1611=0,AND(C1611&gt;0,Paths!$E$152+'Operating costs'!$B$65&gt;(C1611-1)*12,Paths!$E$152+'Operating costs'!$B$65&lt;=C1611*12))),'Operating costs'!$B$64,0)+IF(AND('Operating costs'!$B$67&gt;0,'Operating costs'!$B$67&lt;=120,OR(Paths!$D$152="ICE",'Operating costs'!$B$67&lt;=Paths!$E$152),IF('Operating costs'!$B$67=0,C1611=0,AND(C1611&gt;0,'Operating costs'!$B$67&gt;(C1611-1)*12,'Operating costs'!$B$67&lt;=C1611*12))),'Operating costs'!$B$66,0),"n.a."))</f>
        <v>0</v>
      </c>
      <c r="N1611" s="16">
        <f>IF(NOT(Paths!$C$152=1),0,IF(Paths!$P$152="Complete",SUM(G1611:I1611)-J1611-K1611-L1611+M1611+IF(C1611=0,Paths!$F$152,0)+IF(IF(Paths!$E$152=0,C1611=0,AND(C1611&gt;0,Paths!$E$152&gt;(C1611-1)*12,Paths!$E$152&lt;=C1611*12)),VLOOKUP(A1611,'Fleet register'!$A$7:$S$106,16,FALSE),0),"n.a."))</f>
        <v>0</v>
      </c>
      <c r="O1611" s="16">
        <f>IF(NOT(Paths!$C$152=1),0,IF(Paths!$P$152="Complete",N1611-IF(C1611=0,Paths!$F$152,0),"n.a."))</f>
        <v>0</v>
      </c>
      <c r="P1611" s="16">
        <f>IF(NOT(Paths!$C$152=1),0,IF(Paths!$P$152="Complete",O1611+L1611,"n.a."))</f>
        <v>0</v>
      </c>
      <c r="Q1611" s="16">
        <f>IF(NOT(Paths!$C$152=1),0,IF(Paths!$P$152="Complete",N1611*(1+'Operating costs'!$B$54)^-C1611,"n.a."))</f>
        <v>0</v>
      </c>
      <c r="R1611" s="16">
        <f>IF(NOT(Paths!$C$152=1),0,IF(Paths!$P$152="Complete",IF(AND(C1611=0,Paths!$E$152=0),I1611-J1611-K1611+VLOOKUP(A1611,'Fleet register'!$A$7:$S$106,15,FALSE)+VLOOKUP(A1611,'Fleet register'!$A$7:$S$106,16,FALSE),0),"n.a."))</f>
        <v>0</v>
      </c>
      <c r="S1611" s="1">
        <f>IF(NOT(Paths!$C$152=1),0,IF(Paths!$P$152="Complete",IF(C1611=0,0,Paths!$S$152*Paths!$R$152),"n.a."))</f>
        <v>0</v>
      </c>
      <c r="T1611" s="1">
        <f>IF(NOT(Paths!$C$152=1),0,IF(Paths!$P$152="Complete",IF(C1611=0,0,VLOOKUP(A1611,'Fleet register'!$A$7:$S$106,9,FALSE)*Paths!$R$152),"n.a."))</f>
        <v>0</v>
      </c>
    </row>
    <row r="1612" spans="1:20" ht="24" customHeight="1">
      <c r="A1612" s="1" t="str">
        <f>Paths!$A$152</f>
        <v>T037</v>
      </c>
      <c r="B1612" s="1">
        <f>Paths!$B$152</f>
        <v>1</v>
      </c>
      <c r="C1612" s="1">
        <v>10</v>
      </c>
      <c r="D1612" s="1">
        <v>152</v>
      </c>
      <c r="E1612" s="1">
        <f>IF(OR(Paths!$C$152=0,C1612=0),0,MAX(0,MIN(C1612*12,Paths!$E$152)-(C1612-1)*12))</f>
        <v>0</v>
      </c>
      <c r="F1612" s="1">
        <f>IF(OR(Paths!$C$152=0,C1612=0),0,12-E1612)</f>
        <v>0</v>
      </c>
      <c r="G1612" s="16">
        <f>IF(NOT(Paths!$C$152=1),0,IF(Paths!$P$152="Complete",E1612/12*(Paths!$J$152*(1+'Operating costs'!$B$51)^MAX(0,C1612-1)+Paths!$K$152*(1+'Operating costs'!$B$53)^MAX(0,C1612-1)),"n.a."))</f>
        <v>0</v>
      </c>
      <c r="H1612" s="16">
        <f>IF(NOT(Paths!$C$152=1),0,IF(Paths!$P$152="Complete",F1612/12*(Paths!$L$152*(1+IF(Paths!$D$152="EV",'Operating costs'!$B$52,'Operating costs'!$B$51))^MAX(0,C1612-1)+Paths!$M$152*(1+'Operating costs'!$B$53)^MAX(0,C1612-1)),"n.a."))</f>
        <v>0</v>
      </c>
      <c r="I1612" s="16">
        <f>IF(NOT(Paths!$C$152=1),0,IF(Paths!$P$152="Complete",IF(IF(Paths!$E$152=0,C1612=0,AND(C1612&gt;0,Paths!$E$152&gt;(C1612-1)*12,Paths!$E$152&lt;=C1612*12)),Paths!$G$152,0),"n.a."))</f>
        <v>0</v>
      </c>
      <c r="J1612" s="16">
        <f>IF(NOT(Paths!$C$152=1),0,IF(Paths!$P$152="Complete",IF(IF(Paths!$E$152=0,C1612=0,AND(C1612&gt;0,Paths!$E$152&gt;(C1612-1)*12,Paths!$E$152&lt;=C1612*12)),Paths!$H$152,0),"n.a."))</f>
        <v>0</v>
      </c>
      <c r="K1612" s="16">
        <f>IF(NOT(Paths!$C$152=1),0,IF(Paths!$P$152="Complete",IF(IF(Paths!$O$152=0,C1612=0,AND(C1612&gt;0,Paths!$O$152&gt;(C1612-1)*12,Paths!$O$152&lt;=C1612*12)),Paths!$N$152,0),"n.a."))</f>
        <v>0</v>
      </c>
      <c r="L1612" s="16">
        <f>IF(NOT(Paths!$C$152=1),0,IF(Paths!$P$152="Complete",IF(C1612=10,Paths!$I$152,0),"n.a."))</f>
        <v>0</v>
      </c>
      <c r="M1612" s="16">
        <f>IF(NOT(Paths!$C$152=1),0,IF(Paths!$P$152="Complete",IF(AND(Paths!$D$152="EV",Paths!$E$152&lt;120,Paths!$E$152+'Operating costs'!$B$65&gt;Paths!$E$152,Paths!$E$152+'Operating costs'!$B$65&lt;=120,IF(Paths!$E$152+'Operating costs'!$B$65=0,C1612=0,AND(C1612&gt;0,Paths!$E$152+'Operating costs'!$B$65&gt;(C1612-1)*12,Paths!$E$152+'Operating costs'!$B$65&lt;=C1612*12))),'Operating costs'!$B$64,0)+IF(AND('Operating costs'!$B$67&gt;0,'Operating costs'!$B$67&lt;=120,OR(Paths!$D$152="ICE",'Operating costs'!$B$67&lt;=Paths!$E$152),IF('Operating costs'!$B$67=0,C1612=0,AND(C1612&gt;0,'Operating costs'!$B$67&gt;(C1612-1)*12,'Operating costs'!$B$67&lt;=C1612*12))),'Operating costs'!$B$66,0),"n.a."))</f>
        <v>0</v>
      </c>
      <c r="N1612" s="16">
        <f>IF(NOT(Paths!$C$152=1),0,IF(Paths!$P$152="Complete",SUM(G1612:I1612)-J1612-K1612-L1612+M1612+IF(C1612=0,Paths!$F$152,0)+IF(IF(Paths!$E$152=0,C1612=0,AND(C1612&gt;0,Paths!$E$152&gt;(C1612-1)*12,Paths!$E$152&lt;=C1612*12)),VLOOKUP(A1612,'Fleet register'!$A$7:$S$106,16,FALSE),0),"n.a."))</f>
        <v>0</v>
      </c>
      <c r="O1612" s="16">
        <f>IF(NOT(Paths!$C$152=1),0,IF(Paths!$P$152="Complete",N1612-IF(C1612=0,Paths!$F$152,0),"n.a."))</f>
        <v>0</v>
      </c>
      <c r="P1612" s="16">
        <f>IF(NOT(Paths!$C$152=1),0,IF(Paths!$P$152="Complete",O1612+L1612,"n.a."))</f>
        <v>0</v>
      </c>
      <c r="Q1612" s="16">
        <f>IF(NOT(Paths!$C$152=1),0,IF(Paths!$P$152="Complete",N1612*(1+'Operating costs'!$B$54)^-C1612,"n.a."))</f>
        <v>0</v>
      </c>
      <c r="R1612" s="16">
        <f>IF(NOT(Paths!$C$152=1),0,IF(Paths!$P$152="Complete",IF(AND(C1612=0,Paths!$E$152=0),I1612-J1612-K1612+VLOOKUP(A1612,'Fleet register'!$A$7:$S$106,15,FALSE)+VLOOKUP(A1612,'Fleet register'!$A$7:$S$106,16,FALSE),0),"n.a."))</f>
        <v>0</v>
      </c>
      <c r="S1612" s="1">
        <f>IF(NOT(Paths!$C$152=1),0,IF(Paths!$P$152="Complete",IF(C1612=0,0,Paths!$S$152*Paths!$R$152),"n.a."))</f>
        <v>0</v>
      </c>
      <c r="T1612" s="1">
        <f>IF(NOT(Paths!$C$152=1),0,IF(Paths!$P$152="Complete",IF(C1612=0,0,VLOOKUP(A1612,'Fleet register'!$A$7:$S$106,9,FALSE)*Paths!$R$152),"n.a."))</f>
        <v>0</v>
      </c>
    </row>
    <row r="1613" spans="1:20" ht="24" customHeight="1">
      <c r="A1613" s="1" t="str">
        <f>Paths!$A$153</f>
        <v>T037</v>
      </c>
      <c r="B1613" s="1">
        <f>Paths!$B$153</f>
        <v>2</v>
      </c>
      <c r="C1613" s="1">
        <v>0</v>
      </c>
      <c r="D1613" s="1">
        <v>153</v>
      </c>
      <c r="E1613" s="1">
        <f>IF(OR(Paths!$C$153=0,C1613=0),0,MAX(0,MIN(C1613*12,Paths!$E$153)-(C1613-1)*12))</f>
        <v>0</v>
      </c>
      <c r="F1613" s="1">
        <f>IF(OR(Paths!$C$153=0,C1613=0),0,12-E1613)</f>
        <v>0</v>
      </c>
      <c r="G1613" s="16">
        <f>IF(NOT(Paths!$C$153=1),0,IF(Paths!$P$153="Complete",E1613/12*(Paths!$J$153*(1+'Operating costs'!$B$51)^MAX(0,C1613-1)+Paths!$K$153*(1+'Operating costs'!$B$53)^MAX(0,C1613-1)),"n.a."))</f>
        <v>0</v>
      </c>
      <c r="H1613" s="16">
        <f>IF(NOT(Paths!$C$153=1),0,IF(Paths!$P$153="Complete",F1613/12*(Paths!$L$153*(1+IF(Paths!$D$153="EV",'Operating costs'!$B$52,'Operating costs'!$B$51))^MAX(0,C1613-1)+Paths!$M$153*(1+'Operating costs'!$B$53)^MAX(0,C1613-1)),"n.a."))</f>
        <v>0</v>
      </c>
      <c r="I1613" s="16">
        <f>IF(NOT(Paths!$C$153=1),0,IF(Paths!$P$153="Complete",IF(IF(Paths!$E$153=0,C1613=0,AND(C1613&gt;0,Paths!$E$153&gt;(C1613-1)*12,Paths!$E$153&lt;=C1613*12)),Paths!$G$153,0),"n.a."))</f>
        <v>0</v>
      </c>
      <c r="J1613" s="16">
        <f>IF(NOT(Paths!$C$153=1),0,IF(Paths!$P$153="Complete",IF(IF(Paths!$E$153=0,C1613=0,AND(C1613&gt;0,Paths!$E$153&gt;(C1613-1)*12,Paths!$E$153&lt;=C1613*12)),Paths!$H$153,0),"n.a."))</f>
        <v>0</v>
      </c>
      <c r="K1613" s="16">
        <f>IF(NOT(Paths!$C$153=1),0,IF(Paths!$P$153="Complete",IF(IF(Paths!$O$153=0,C1613=0,AND(C1613&gt;0,Paths!$O$153&gt;(C1613-1)*12,Paths!$O$153&lt;=C1613*12)),Paths!$N$153,0),"n.a."))</f>
        <v>0</v>
      </c>
      <c r="L1613" s="16">
        <f>IF(NOT(Paths!$C$153=1),0,IF(Paths!$P$153="Complete",IF(C1613=10,Paths!$I$153,0),"n.a."))</f>
        <v>0</v>
      </c>
      <c r="M1613" s="16">
        <f>IF(NOT(Paths!$C$153=1),0,IF(Paths!$P$153="Complete",IF(AND(Paths!$D$153="EV",Paths!$E$153&lt;120,Paths!$E$153+'Operating costs'!$B$65&gt;Paths!$E$153,Paths!$E$153+'Operating costs'!$B$65&lt;=120,IF(Paths!$E$153+'Operating costs'!$B$65=0,C1613=0,AND(C1613&gt;0,Paths!$E$153+'Operating costs'!$B$65&gt;(C1613-1)*12,Paths!$E$153+'Operating costs'!$B$65&lt;=C1613*12))),'Operating costs'!$B$64,0)+IF(AND('Operating costs'!$B$67&gt;0,'Operating costs'!$B$67&lt;=120,OR(Paths!$D$153="ICE",'Operating costs'!$B$67&lt;=Paths!$E$153),IF('Operating costs'!$B$67=0,C1613=0,AND(C1613&gt;0,'Operating costs'!$B$67&gt;(C1613-1)*12,'Operating costs'!$B$67&lt;=C1613*12))),'Operating costs'!$B$66,0),"n.a."))</f>
        <v>0</v>
      </c>
      <c r="N1613" s="16">
        <f>IF(NOT(Paths!$C$153=1),0,IF(Paths!$P$153="Complete",SUM(G1613:I1613)-J1613-K1613-L1613+M1613+IF(C1613=0,Paths!$F$153,0)+IF(IF(Paths!$E$153=0,C1613=0,AND(C1613&gt;0,Paths!$E$153&gt;(C1613-1)*12,Paths!$E$153&lt;=C1613*12)),VLOOKUP(A1613,'Fleet register'!$A$7:$S$106,16,FALSE),0),"n.a."))</f>
        <v>0</v>
      </c>
      <c r="O1613" s="16">
        <f>IF(NOT(Paths!$C$153=1),0,IF(Paths!$P$153="Complete",N1613-IF(C1613=0,Paths!$F$153,0),"n.a."))</f>
        <v>0</v>
      </c>
      <c r="P1613" s="16">
        <f>IF(NOT(Paths!$C$153=1),0,IF(Paths!$P$153="Complete",O1613+L1613,"n.a."))</f>
        <v>0</v>
      </c>
      <c r="Q1613" s="16">
        <f>IF(NOT(Paths!$C$153=1),0,IF(Paths!$P$153="Complete",N1613*(1+'Operating costs'!$B$54)^-C1613,"n.a."))</f>
        <v>0</v>
      </c>
      <c r="R1613" s="16">
        <f>IF(NOT(Paths!$C$153=1),0,IF(Paths!$P$153="Complete",IF(AND(C1613=0,Paths!$E$153=0),I1613-J1613-K1613+VLOOKUP(A1613,'Fleet register'!$A$7:$S$106,15,FALSE)+VLOOKUP(A1613,'Fleet register'!$A$7:$S$106,16,FALSE),0),"n.a."))</f>
        <v>0</v>
      </c>
      <c r="S1613" s="1">
        <f>IF(NOT(Paths!$C$153=1),0,IF(Paths!$P$153="Complete",IF(C1613=0,0,Paths!$S$153*Paths!$R$153),"n.a."))</f>
        <v>0</v>
      </c>
      <c r="T1613" s="1">
        <f>IF(NOT(Paths!$C$153=1),0,IF(Paths!$P$153="Complete",IF(C1613=0,0,VLOOKUP(A1613,'Fleet register'!$A$7:$S$106,9,FALSE)*Paths!$R$153),"n.a."))</f>
        <v>0</v>
      </c>
    </row>
    <row r="1614" spans="1:20" ht="24" customHeight="1">
      <c r="A1614" s="1" t="str">
        <f>Paths!$A$153</f>
        <v>T037</v>
      </c>
      <c r="B1614" s="1">
        <f>Paths!$B$153</f>
        <v>2</v>
      </c>
      <c r="C1614" s="1">
        <v>1</v>
      </c>
      <c r="D1614" s="1">
        <v>153</v>
      </c>
      <c r="E1614" s="1">
        <f>IF(OR(Paths!$C$153=0,C1614=0),0,MAX(0,MIN(C1614*12,Paths!$E$153)-(C1614-1)*12))</f>
        <v>0</v>
      </c>
      <c r="F1614" s="1">
        <f>IF(OR(Paths!$C$153=0,C1614=0),0,12-E1614)</f>
        <v>0</v>
      </c>
      <c r="G1614" s="16">
        <f>IF(NOT(Paths!$C$153=1),0,IF(Paths!$P$153="Complete",E1614/12*(Paths!$J$153*(1+'Operating costs'!$B$51)^MAX(0,C1614-1)+Paths!$K$153*(1+'Operating costs'!$B$53)^MAX(0,C1614-1)),"n.a."))</f>
        <v>0</v>
      </c>
      <c r="H1614" s="16">
        <f>IF(NOT(Paths!$C$153=1),0,IF(Paths!$P$153="Complete",F1614/12*(Paths!$L$153*(1+IF(Paths!$D$153="EV",'Operating costs'!$B$52,'Operating costs'!$B$51))^MAX(0,C1614-1)+Paths!$M$153*(1+'Operating costs'!$B$53)^MAX(0,C1614-1)),"n.a."))</f>
        <v>0</v>
      </c>
      <c r="I1614" s="16">
        <f>IF(NOT(Paths!$C$153=1),0,IF(Paths!$P$153="Complete",IF(IF(Paths!$E$153=0,C1614=0,AND(C1614&gt;0,Paths!$E$153&gt;(C1614-1)*12,Paths!$E$153&lt;=C1614*12)),Paths!$G$153,0),"n.a."))</f>
        <v>0</v>
      </c>
      <c r="J1614" s="16">
        <f>IF(NOT(Paths!$C$153=1),0,IF(Paths!$P$153="Complete",IF(IF(Paths!$E$153=0,C1614=0,AND(C1614&gt;0,Paths!$E$153&gt;(C1614-1)*12,Paths!$E$153&lt;=C1614*12)),Paths!$H$153,0),"n.a."))</f>
        <v>0</v>
      </c>
      <c r="K1614" s="16">
        <f>IF(NOT(Paths!$C$153=1),0,IF(Paths!$P$153="Complete",IF(IF(Paths!$O$153=0,C1614=0,AND(C1614&gt;0,Paths!$O$153&gt;(C1614-1)*12,Paths!$O$153&lt;=C1614*12)),Paths!$N$153,0),"n.a."))</f>
        <v>0</v>
      </c>
      <c r="L1614" s="16">
        <f>IF(NOT(Paths!$C$153=1),0,IF(Paths!$P$153="Complete",IF(C1614=10,Paths!$I$153,0),"n.a."))</f>
        <v>0</v>
      </c>
      <c r="M1614" s="16">
        <f>IF(NOT(Paths!$C$153=1),0,IF(Paths!$P$153="Complete",IF(AND(Paths!$D$153="EV",Paths!$E$153&lt;120,Paths!$E$153+'Operating costs'!$B$65&gt;Paths!$E$153,Paths!$E$153+'Operating costs'!$B$65&lt;=120,IF(Paths!$E$153+'Operating costs'!$B$65=0,C1614=0,AND(C1614&gt;0,Paths!$E$153+'Operating costs'!$B$65&gt;(C1614-1)*12,Paths!$E$153+'Operating costs'!$B$65&lt;=C1614*12))),'Operating costs'!$B$64,0)+IF(AND('Operating costs'!$B$67&gt;0,'Operating costs'!$B$67&lt;=120,OR(Paths!$D$153="ICE",'Operating costs'!$B$67&lt;=Paths!$E$153),IF('Operating costs'!$B$67=0,C1614=0,AND(C1614&gt;0,'Operating costs'!$B$67&gt;(C1614-1)*12,'Operating costs'!$B$67&lt;=C1614*12))),'Operating costs'!$B$66,0),"n.a."))</f>
        <v>0</v>
      </c>
      <c r="N1614" s="16">
        <f>IF(NOT(Paths!$C$153=1),0,IF(Paths!$P$153="Complete",SUM(G1614:I1614)-J1614-K1614-L1614+M1614+IF(C1614=0,Paths!$F$153,0)+IF(IF(Paths!$E$153=0,C1614=0,AND(C1614&gt;0,Paths!$E$153&gt;(C1614-1)*12,Paths!$E$153&lt;=C1614*12)),VLOOKUP(A1614,'Fleet register'!$A$7:$S$106,16,FALSE),0),"n.a."))</f>
        <v>0</v>
      </c>
      <c r="O1614" s="16">
        <f>IF(NOT(Paths!$C$153=1),0,IF(Paths!$P$153="Complete",N1614-IF(C1614=0,Paths!$F$153,0),"n.a."))</f>
        <v>0</v>
      </c>
      <c r="P1614" s="16">
        <f>IF(NOT(Paths!$C$153=1),0,IF(Paths!$P$153="Complete",O1614+L1614,"n.a."))</f>
        <v>0</v>
      </c>
      <c r="Q1614" s="16">
        <f>IF(NOT(Paths!$C$153=1),0,IF(Paths!$P$153="Complete",N1614*(1+'Operating costs'!$B$54)^-C1614,"n.a."))</f>
        <v>0</v>
      </c>
      <c r="R1614" s="16">
        <f>IF(NOT(Paths!$C$153=1),0,IF(Paths!$P$153="Complete",IF(AND(C1614=0,Paths!$E$153=0),I1614-J1614-K1614+VLOOKUP(A1614,'Fleet register'!$A$7:$S$106,15,FALSE)+VLOOKUP(A1614,'Fleet register'!$A$7:$S$106,16,FALSE),0),"n.a."))</f>
        <v>0</v>
      </c>
      <c r="S1614" s="1">
        <f>IF(NOT(Paths!$C$153=1),0,IF(Paths!$P$153="Complete",IF(C1614=0,0,Paths!$S$153*Paths!$R$153),"n.a."))</f>
        <v>0</v>
      </c>
      <c r="T1614" s="1">
        <f>IF(NOT(Paths!$C$153=1),0,IF(Paths!$P$153="Complete",IF(C1614=0,0,VLOOKUP(A1614,'Fleet register'!$A$7:$S$106,9,FALSE)*Paths!$R$153),"n.a."))</f>
        <v>0</v>
      </c>
    </row>
    <row r="1615" spans="1:20" ht="24" customHeight="1">
      <c r="A1615" s="1" t="str">
        <f>Paths!$A$153</f>
        <v>T037</v>
      </c>
      <c r="B1615" s="1">
        <f>Paths!$B$153</f>
        <v>2</v>
      </c>
      <c r="C1615" s="1">
        <v>2</v>
      </c>
      <c r="D1615" s="1">
        <v>153</v>
      </c>
      <c r="E1615" s="1">
        <f>IF(OR(Paths!$C$153=0,C1615=0),0,MAX(0,MIN(C1615*12,Paths!$E$153)-(C1615-1)*12))</f>
        <v>0</v>
      </c>
      <c r="F1615" s="1">
        <f>IF(OR(Paths!$C$153=0,C1615=0),0,12-E1615)</f>
        <v>0</v>
      </c>
      <c r="G1615" s="16">
        <f>IF(NOT(Paths!$C$153=1),0,IF(Paths!$P$153="Complete",E1615/12*(Paths!$J$153*(1+'Operating costs'!$B$51)^MAX(0,C1615-1)+Paths!$K$153*(1+'Operating costs'!$B$53)^MAX(0,C1615-1)),"n.a."))</f>
        <v>0</v>
      </c>
      <c r="H1615" s="16">
        <f>IF(NOT(Paths!$C$153=1),0,IF(Paths!$P$153="Complete",F1615/12*(Paths!$L$153*(1+IF(Paths!$D$153="EV",'Operating costs'!$B$52,'Operating costs'!$B$51))^MAX(0,C1615-1)+Paths!$M$153*(1+'Operating costs'!$B$53)^MAX(0,C1615-1)),"n.a."))</f>
        <v>0</v>
      </c>
      <c r="I1615" s="16">
        <f>IF(NOT(Paths!$C$153=1),0,IF(Paths!$P$153="Complete",IF(IF(Paths!$E$153=0,C1615=0,AND(C1615&gt;0,Paths!$E$153&gt;(C1615-1)*12,Paths!$E$153&lt;=C1615*12)),Paths!$G$153,0),"n.a."))</f>
        <v>0</v>
      </c>
      <c r="J1615" s="16">
        <f>IF(NOT(Paths!$C$153=1),0,IF(Paths!$P$153="Complete",IF(IF(Paths!$E$153=0,C1615=0,AND(C1615&gt;0,Paths!$E$153&gt;(C1615-1)*12,Paths!$E$153&lt;=C1615*12)),Paths!$H$153,0),"n.a."))</f>
        <v>0</v>
      </c>
      <c r="K1615" s="16">
        <f>IF(NOT(Paths!$C$153=1),0,IF(Paths!$P$153="Complete",IF(IF(Paths!$O$153=0,C1615=0,AND(C1615&gt;0,Paths!$O$153&gt;(C1615-1)*12,Paths!$O$153&lt;=C1615*12)),Paths!$N$153,0),"n.a."))</f>
        <v>0</v>
      </c>
      <c r="L1615" s="16">
        <f>IF(NOT(Paths!$C$153=1),0,IF(Paths!$P$153="Complete",IF(C1615=10,Paths!$I$153,0),"n.a."))</f>
        <v>0</v>
      </c>
      <c r="M1615" s="16">
        <f>IF(NOT(Paths!$C$153=1),0,IF(Paths!$P$153="Complete",IF(AND(Paths!$D$153="EV",Paths!$E$153&lt;120,Paths!$E$153+'Operating costs'!$B$65&gt;Paths!$E$153,Paths!$E$153+'Operating costs'!$B$65&lt;=120,IF(Paths!$E$153+'Operating costs'!$B$65=0,C1615=0,AND(C1615&gt;0,Paths!$E$153+'Operating costs'!$B$65&gt;(C1615-1)*12,Paths!$E$153+'Operating costs'!$B$65&lt;=C1615*12))),'Operating costs'!$B$64,0)+IF(AND('Operating costs'!$B$67&gt;0,'Operating costs'!$B$67&lt;=120,OR(Paths!$D$153="ICE",'Operating costs'!$B$67&lt;=Paths!$E$153),IF('Operating costs'!$B$67=0,C1615=0,AND(C1615&gt;0,'Operating costs'!$B$67&gt;(C1615-1)*12,'Operating costs'!$B$67&lt;=C1615*12))),'Operating costs'!$B$66,0),"n.a."))</f>
        <v>0</v>
      </c>
      <c r="N1615" s="16">
        <f>IF(NOT(Paths!$C$153=1),0,IF(Paths!$P$153="Complete",SUM(G1615:I1615)-J1615-K1615-L1615+M1615+IF(C1615=0,Paths!$F$153,0)+IF(IF(Paths!$E$153=0,C1615=0,AND(C1615&gt;0,Paths!$E$153&gt;(C1615-1)*12,Paths!$E$153&lt;=C1615*12)),VLOOKUP(A1615,'Fleet register'!$A$7:$S$106,16,FALSE),0),"n.a."))</f>
        <v>0</v>
      </c>
      <c r="O1615" s="16">
        <f>IF(NOT(Paths!$C$153=1),0,IF(Paths!$P$153="Complete",N1615-IF(C1615=0,Paths!$F$153,0),"n.a."))</f>
        <v>0</v>
      </c>
      <c r="P1615" s="16">
        <f>IF(NOT(Paths!$C$153=1),0,IF(Paths!$P$153="Complete",O1615+L1615,"n.a."))</f>
        <v>0</v>
      </c>
      <c r="Q1615" s="16">
        <f>IF(NOT(Paths!$C$153=1),0,IF(Paths!$P$153="Complete",N1615*(1+'Operating costs'!$B$54)^-C1615,"n.a."))</f>
        <v>0</v>
      </c>
      <c r="R1615" s="16">
        <f>IF(NOT(Paths!$C$153=1),0,IF(Paths!$P$153="Complete",IF(AND(C1615=0,Paths!$E$153=0),I1615-J1615-K1615+VLOOKUP(A1615,'Fleet register'!$A$7:$S$106,15,FALSE)+VLOOKUP(A1615,'Fleet register'!$A$7:$S$106,16,FALSE),0),"n.a."))</f>
        <v>0</v>
      </c>
      <c r="S1615" s="1">
        <f>IF(NOT(Paths!$C$153=1),0,IF(Paths!$P$153="Complete",IF(C1615=0,0,Paths!$S$153*Paths!$R$153),"n.a."))</f>
        <v>0</v>
      </c>
      <c r="T1615" s="1">
        <f>IF(NOT(Paths!$C$153=1),0,IF(Paths!$P$153="Complete",IF(C1615=0,0,VLOOKUP(A1615,'Fleet register'!$A$7:$S$106,9,FALSE)*Paths!$R$153),"n.a."))</f>
        <v>0</v>
      </c>
    </row>
    <row r="1616" spans="1:20" ht="24" customHeight="1">
      <c r="A1616" s="1" t="str">
        <f>Paths!$A$153</f>
        <v>T037</v>
      </c>
      <c r="B1616" s="1">
        <f>Paths!$B$153</f>
        <v>2</v>
      </c>
      <c r="C1616" s="1">
        <v>3</v>
      </c>
      <c r="D1616" s="1">
        <v>153</v>
      </c>
      <c r="E1616" s="1">
        <f>IF(OR(Paths!$C$153=0,C1616=0),0,MAX(0,MIN(C1616*12,Paths!$E$153)-(C1616-1)*12))</f>
        <v>0</v>
      </c>
      <c r="F1616" s="1">
        <f>IF(OR(Paths!$C$153=0,C1616=0),0,12-E1616)</f>
        <v>0</v>
      </c>
      <c r="G1616" s="16">
        <f>IF(NOT(Paths!$C$153=1),0,IF(Paths!$P$153="Complete",E1616/12*(Paths!$J$153*(1+'Operating costs'!$B$51)^MAX(0,C1616-1)+Paths!$K$153*(1+'Operating costs'!$B$53)^MAX(0,C1616-1)),"n.a."))</f>
        <v>0</v>
      </c>
      <c r="H1616" s="16">
        <f>IF(NOT(Paths!$C$153=1),0,IF(Paths!$P$153="Complete",F1616/12*(Paths!$L$153*(1+IF(Paths!$D$153="EV",'Operating costs'!$B$52,'Operating costs'!$B$51))^MAX(0,C1616-1)+Paths!$M$153*(1+'Operating costs'!$B$53)^MAX(0,C1616-1)),"n.a."))</f>
        <v>0</v>
      </c>
      <c r="I1616" s="16">
        <f>IF(NOT(Paths!$C$153=1),0,IF(Paths!$P$153="Complete",IF(IF(Paths!$E$153=0,C1616=0,AND(C1616&gt;0,Paths!$E$153&gt;(C1616-1)*12,Paths!$E$153&lt;=C1616*12)),Paths!$G$153,0),"n.a."))</f>
        <v>0</v>
      </c>
      <c r="J1616" s="16">
        <f>IF(NOT(Paths!$C$153=1),0,IF(Paths!$P$153="Complete",IF(IF(Paths!$E$153=0,C1616=0,AND(C1616&gt;0,Paths!$E$153&gt;(C1616-1)*12,Paths!$E$153&lt;=C1616*12)),Paths!$H$153,0),"n.a."))</f>
        <v>0</v>
      </c>
      <c r="K1616" s="16">
        <f>IF(NOT(Paths!$C$153=1),0,IF(Paths!$P$153="Complete",IF(IF(Paths!$O$153=0,C1616=0,AND(C1616&gt;0,Paths!$O$153&gt;(C1616-1)*12,Paths!$O$153&lt;=C1616*12)),Paths!$N$153,0),"n.a."))</f>
        <v>0</v>
      </c>
      <c r="L1616" s="16">
        <f>IF(NOT(Paths!$C$153=1),0,IF(Paths!$P$153="Complete",IF(C1616=10,Paths!$I$153,0),"n.a."))</f>
        <v>0</v>
      </c>
      <c r="M1616" s="16">
        <f>IF(NOT(Paths!$C$153=1),0,IF(Paths!$P$153="Complete",IF(AND(Paths!$D$153="EV",Paths!$E$153&lt;120,Paths!$E$153+'Operating costs'!$B$65&gt;Paths!$E$153,Paths!$E$153+'Operating costs'!$B$65&lt;=120,IF(Paths!$E$153+'Operating costs'!$B$65=0,C1616=0,AND(C1616&gt;0,Paths!$E$153+'Operating costs'!$B$65&gt;(C1616-1)*12,Paths!$E$153+'Operating costs'!$B$65&lt;=C1616*12))),'Operating costs'!$B$64,0)+IF(AND('Operating costs'!$B$67&gt;0,'Operating costs'!$B$67&lt;=120,OR(Paths!$D$153="ICE",'Operating costs'!$B$67&lt;=Paths!$E$153),IF('Operating costs'!$B$67=0,C1616=0,AND(C1616&gt;0,'Operating costs'!$B$67&gt;(C1616-1)*12,'Operating costs'!$B$67&lt;=C1616*12))),'Operating costs'!$B$66,0),"n.a."))</f>
        <v>0</v>
      </c>
      <c r="N1616" s="16">
        <f>IF(NOT(Paths!$C$153=1),0,IF(Paths!$P$153="Complete",SUM(G1616:I1616)-J1616-K1616-L1616+M1616+IF(C1616=0,Paths!$F$153,0)+IF(IF(Paths!$E$153=0,C1616=0,AND(C1616&gt;0,Paths!$E$153&gt;(C1616-1)*12,Paths!$E$153&lt;=C1616*12)),VLOOKUP(A1616,'Fleet register'!$A$7:$S$106,16,FALSE),0),"n.a."))</f>
        <v>0</v>
      </c>
      <c r="O1616" s="16">
        <f>IF(NOT(Paths!$C$153=1),0,IF(Paths!$P$153="Complete",N1616-IF(C1616=0,Paths!$F$153,0),"n.a."))</f>
        <v>0</v>
      </c>
      <c r="P1616" s="16">
        <f>IF(NOT(Paths!$C$153=1),0,IF(Paths!$P$153="Complete",O1616+L1616,"n.a."))</f>
        <v>0</v>
      </c>
      <c r="Q1616" s="16">
        <f>IF(NOT(Paths!$C$153=1),0,IF(Paths!$P$153="Complete",N1616*(1+'Operating costs'!$B$54)^-C1616,"n.a."))</f>
        <v>0</v>
      </c>
      <c r="R1616" s="16">
        <f>IF(NOT(Paths!$C$153=1),0,IF(Paths!$P$153="Complete",IF(AND(C1616=0,Paths!$E$153=0),I1616-J1616-K1616+VLOOKUP(A1616,'Fleet register'!$A$7:$S$106,15,FALSE)+VLOOKUP(A1616,'Fleet register'!$A$7:$S$106,16,FALSE),0),"n.a."))</f>
        <v>0</v>
      </c>
      <c r="S1616" s="1">
        <f>IF(NOT(Paths!$C$153=1),0,IF(Paths!$P$153="Complete",IF(C1616=0,0,Paths!$S$153*Paths!$R$153),"n.a."))</f>
        <v>0</v>
      </c>
      <c r="T1616" s="1">
        <f>IF(NOT(Paths!$C$153=1),0,IF(Paths!$P$153="Complete",IF(C1616=0,0,VLOOKUP(A1616,'Fleet register'!$A$7:$S$106,9,FALSE)*Paths!$R$153),"n.a."))</f>
        <v>0</v>
      </c>
    </row>
    <row r="1617" spans="1:20" ht="24" customHeight="1">
      <c r="A1617" s="1" t="str">
        <f>Paths!$A$153</f>
        <v>T037</v>
      </c>
      <c r="B1617" s="1">
        <f>Paths!$B$153</f>
        <v>2</v>
      </c>
      <c r="C1617" s="1">
        <v>4</v>
      </c>
      <c r="D1617" s="1">
        <v>153</v>
      </c>
      <c r="E1617" s="1">
        <f>IF(OR(Paths!$C$153=0,C1617=0),0,MAX(0,MIN(C1617*12,Paths!$E$153)-(C1617-1)*12))</f>
        <v>0</v>
      </c>
      <c r="F1617" s="1">
        <f>IF(OR(Paths!$C$153=0,C1617=0),0,12-E1617)</f>
        <v>0</v>
      </c>
      <c r="G1617" s="16">
        <f>IF(NOT(Paths!$C$153=1),0,IF(Paths!$P$153="Complete",E1617/12*(Paths!$J$153*(1+'Operating costs'!$B$51)^MAX(0,C1617-1)+Paths!$K$153*(1+'Operating costs'!$B$53)^MAX(0,C1617-1)),"n.a."))</f>
        <v>0</v>
      </c>
      <c r="H1617" s="16">
        <f>IF(NOT(Paths!$C$153=1),0,IF(Paths!$P$153="Complete",F1617/12*(Paths!$L$153*(1+IF(Paths!$D$153="EV",'Operating costs'!$B$52,'Operating costs'!$B$51))^MAX(0,C1617-1)+Paths!$M$153*(1+'Operating costs'!$B$53)^MAX(0,C1617-1)),"n.a."))</f>
        <v>0</v>
      </c>
      <c r="I1617" s="16">
        <f>IF(NOT(Paths!$C$153=1),0,IF(Paths!$P$153="Complete",IF(IF(Paths!$E$153=0,C1617=0,AND(C1617&gt;0,Paths!$E$153&gt;(C1617-1)*12,Paths!$E$153&lt;=C1617*12)),Paths!$G$153,0),"n.a."))</f>
        <v>0</v>
      </c>
      <c r="J1617" s="16">
        <f>IF(NOT(Paths!$C$153=1),0,IF(Paths!$P$153="Complete",IF(IF(Paths!$E$153=0,C1617=0,AND(C1617&gt;0,Paths!$E$153&gt;(C1617-1)*12,Paths!$E$153&lt;=C1617*12)),Paths!$H$153,0),"n.a."))</f>
        <v>0</v>
      </c>
      <c r="K1617" s="16">
        <f>IF(NOT(Paths!$C$153=1),0,IF(Paths!$P$153="Complete",IF(IF(Paths!$O$153=0,C1617=0,AND(C1617&gt;0,Paths!$O$153&gt;(C1617-1)*12,Paths!$O$153&lt;=C1617*12)),Paths!$N$153,0),"n.a."))</f>
        <v>0</v>
      </c>
      <c r="L1617" s="16">
        <f>IF(NOT(Paths!$C$153=1),0,IF(Paths!$P$153="Complete",IF(C1617=10,Paths!$I$153,0),"n.a."))</f>
        <v>0</v>
      </c>
      <c r="M1617" s="16">
        <f>IF(NOT(Paths!$C$153=1),0,IF(Paths!$P$153="Complete",IF(AND(Paths!$D$153="EV",Paths!$E$153&lt;120,Paths!$E$153+'Operating costs'!$B$65&gt;Paths!$E$153,Paths!$E$153+'Operating costs'!$B$65&lt;=120,IF(Paths!$E$153+'Operating costs'!$B$65=0,C1617=0,AND(C1617&gt;0,Paths!$E$153+'Operating costs'!$B$65&gt;(C1617-1)*12,Paths!$E$153+'Operating costs'!$B$65&lt;=C1617*12))),'Operating costs'!$B$64,0)+IF(AND('Operating costs'!$B$67&gt;0,'Operating costs'!$B$67&lt;=120,OR(Paths!$D$153="ICE",'Operating costs'!$B$67&lt;=Paths!$E$153),IF('Operating costs'!$B$67=0,C1617=0,AND(C1617&gt;0,'Operating costs'!$B$67&gt;(C1617-1)*12,'Operating costs'!$B$67&lt;=C1617*12))),'Operating costs'!$B$66,0),"n.a."))</f>
        <v>0</v>
      </c>
      <c r="N1617" s="16">
        <f>IF(NOT(Paths!$C$153=1),0,IF(Paths!$P$153="Complete",SUM(G1617:I1617)-J1617-K1617-L1617+M1617+IF(C1617=0,Paths!$F$153,0)+IF(IF(Paths!$E$153=0,C1617=0,AND(C1617&gt;0,Paths!$E$153&gt;(C1617-1)*12,Paths!$E$153&lt;=C1617*12)),VLOOKUP(A1617,'Fleet register'!$A$7:$S$106,16,FALSE),0),"n.a."))</f>
        <v>0</v>
      </c>
      <c r="O1617" s="16">
        <f>IF(NOT(Paths!$C$153=1),0,IF(Paths!$P$153="Complete",N1617-IF(C1617=0,Paths!$F$153,0),"n.a."))</f>
        <v>0</v>
      </c>
      <c r="P1617" s="16">
        <f>IF(NOT(Paths!$C$153=1),0,IF(Paths!$P$153="Complete",O1617+L1617,"n.a."))</f>
        <v>0</v>
      </c>
      <c r="Q1617" s="16">
        <f>IF(NOT(Paths!$C$153=1),0,IF(Paths!$P$153="Complete",N1617*(1+'Operating costs'!$B$54)^-C1617,"n.a."))</f>
        <v>0</v>
      </c>
      <c r="R1617" s="16">
        <f>IF(NOT(Paths!$C$153=1),0,IF(Paths!$P$153="Complete",IF(AND(C1617=0,Paths!$E$153=0),I1617-J1617-K1617+VLOOKUP(A1617,'Fleet register'!$A$7:$S$106,15,FALSE)+VLOOKUP(A1617,'Fleet register'!$A$7:$S$106,16,FALSE),0),"n.a."))</f>
        <v>0</v>
      </c>
      <c r="S1617" s="1">
        <f>IF(NOT(Paths!$C$153=1),0,IF(Paths!$P$153="Complete",IF(C1617=0,0,Paths!$S$153*Paths!$R$153),"n.a."))</f>
        <v>0</v>
      </c>
      <c r="T1617" s="1">
        <f>IF(NOT(Paths!$C$153=1),0,IF(Paths!$P$153="Complete",IF(C1617=0,0,VLOOKUP(A1617,'Fleet register'!$A$7:$S$106,9,FALSE)*Paths!$R$153),"n.a."))</f>
        <v>0</v>
      </c>
    </row>
    <row r="1618" spans="1:20" ht="24" customHeight="1">
      <c r="A1618" s="1" t="str">
        <f>Paths!$A$153</f>
        <v>T037</v>
      </c>
      <c r="B1618" s="1">
        <f>Paths!$B$153</f>
        <v>2</v>
      </c>
      <c r="C1618" s="1">
        <v>5</v>
      </c>
      <c r="D1618" s="1">
        <v>153</v>
      </c>
      <c r="E1618" s="1">
        <f>IF(OR(Paths!$C$153=0,C1618=0),0,MAX(0,MIN(C1618*12,Paths!$E$153)-(C1618-1)*12))</f>
        <v>0</v>
      </c>
      <c r="F1618" s="1">
        <f>IF(OR(Paths!$C$153=0,C1618=0),0,12-E1618)</f>
        <v>0</v>
      </c>
      <c r="G1618" s="16">
        <f>IF(NOT(Paths!$C$153=1),0,IF(Paths!$P$153="Complete",E1618/12*(Paths!$J$153*(1+'Operating costs'!$B$51)^MAX(0,C1618-1)+Paths!$K$153*(1+'Operating costs'!$B$53)^MAX(0,C1618-1)),"n.a."))</f>
        <v>0</v>
      </c>
      <c r="H1618" s="16">
        <f>IF(NOT(Paths!$C$153=1),0,IF(Paths!$P$153="Complete",F1618/12*(Paths!$L$153*(1+IF(Paths!$D$153="EV",'Operating costs'!$B$52,'Operating costs'!$B$51))^MAX(0,C1618-1)+Paths!$M$153*(1+'Operating costs'!$B$53)^MAX(0,C1618-1)),"n.a."))</f>
        <v>0</v>
      </c>
      <c r="I1618" s="16">
        <f>IF(NOT(Paths!$C$153=1),0,IF(Paths!$P$153="Complete",IF(IF(Paths!$E$153=0,C1618=0,AND(C1618&gt;0,Paths!$E$153&gt;(C1618-1)*12,Paths!$E$153&lt;=C1618*12)),Paths!$G$153,0),"n.a."))</f>
        <v>0</v>
      </c>
      <c r="J1618" s="16">
        <f>IF(NOT(Paths!$C$153=1),0,IF(Paths!$P$153="Complete",IF(IF(Paths!$E$153=0,C1618=0,AND(C1618&gt;0,Paths!$E$153&gt;(C1618-1)*12,Paths!$E$153&lt;=C1618*12)),Paths!$H$153,0),"n.a."))</f>
        <v>0</v>
      </c>
      <c r="K1618" s="16">
        <f>IF(NOT(Paths!$C$153=1),0,IF(Paths!$P$153="Complete",IF(IF(Paths!$O$153=0,C1618=0,AND(C1618&gt;0,Paths!$O$153&gt;(C1618-1)*12,Paths!$O$153&lt;=C1618*12)),Paths!$N$153,0),"n.a."))</f>
        <v>0</v>
      </c>
      <c r="L1618" s="16">
        <f>IF(NOT(Paths!$C$153=1),0,IF(Paths!$P$153="Complete",IF(C1618=10,Paths!$I$153,0),"n.a."))</f>
        <v>0</v>
      </c>
      <c r="M1618" s="16">
        <f>IF(NOT(Paths!$C$153=1),0,IF(Paths!$P$153="Complete",IF(AND(Paths!$D$153="EV",Paths!$E$153&lt;120,Paths!$E$153+'Operating costs'!$B$65&gt;Paths!$E$153,Paths!$E$153+'Operating costs'!$B$65&lt;=120,IF(Paths!$E$153+'Operating costs'!$B$65=0,C1618=0,AND(C1618&gt;0,Paths!$E$153+'Operating costs'!$B$65&gt;(C1618-1)*12,Paths!$E$153+'Operating costs'!$B$65&lt;=C1618*12))),'Operating costs'!$B$64,0)+IF(AND('Operating costs'!$B$67&gt;0,'Operating costs'!$B$67&lt;=120,OR(Paths!$D$153="ICE",'Operating costs'!$B$67&lt;=Paths!$E$153),IF('Operating costs'!$B$67=0,C1618=0,AND(C1618&gt;0,'Operating costs'!$B$67&gt;(C1618-1)*12,'Operating costs'!$B$67&lt;=C1618*12))),'Operating costs'!$B$66,0),"n.a."))</f>
        <v>0</v>
      </c>
      <c r="N1618" s="16">
        <f>IF(NOT(Paths!$C$153=1),0,IF(Paths!$P$153="Complete",SUM(G1618:I1618)-J1618-K1618-L1618+M1618+IF(C1618=0,Paths!$F$153,0)+IF(IF(Paths!$E$153=0,C1618=0,AND(C1618&gt;0,Paths!$E$153&gt;(C1618-1)*12,Paths!$E$153&lt;=C1618*12)),VLOOKUP(A1618,'Fleet register'!$A$7:$S$106,16,FALSE),0),"n.a."))</f>
        <v>0</v>
      </c>
      <c r="O1618" s="16">
        <f>IF(NOT(Paths!$C$153=1),0,IF(Paths!$P$153="Complete",N1618-IF(C1618=0,Paths!$F$153,0),"n.a."))</f>
        <v>0</v>
      </c>
      <c r="P1618" s="16">
        <f>IF(NOT(Paths!$C$153=1),0,IF(Paths!$P$153="Complete",O1618+L1618,"n.a."))</f>
        <v>0</v>
      </c>
      <c r="Q1618" s="16">
        <f>IF(NOT(Paths!$C$153=1),0,IF(Paths!$P$153="Complete",N1618*(1+'Operating costs'!$B$54)^-C1618,"n.a."))</f>
        <v>0</v>
      </c>
      <c r="R1618" s="16">
        <f>IF(NOT(Paths!$C$153=1),0,IF(Paths!$P$153="Complete",IF(AND(C1618=0,Paths!$E$153=0),I1618-J1618-K1618+VLOOKUP(A1618,'Fleet register'!$A$7:$S$106,15,FALSE)+VLOOKUP(A1618,'Fleet register'!$A$7:$S$106,16,FALSE),0),"n.a."))</f>
        <v>0</v>
      </c>
      <c r="S1618" s="1">
        <f>IF(NOT(Paths!$C$153=1),0,IF(Paths!$P$153="Complete",IF(C1618=0,0,Paths!$S$153*Paths!$R$153),"n.a."))</f>
        <v>0</v>
      </c>
      <c r="T1618" s="1">
        <f>IF(NOT(Paths!$C$153=1),0,IF(Paths!$P$153="Complete",IF(C1618=0,0,VLOOKUP(A1618,'Fleet register'!$A$7:$S$106,9,FALSE)*Paths!$R$153),"n.a."))</f>
        <v>0</v>
      </c>
    </row>
    <row r="1619" spans="1:20" ht="24" customHeight="1">
      <c r="A1619" s="1" t="str">
        <f>Paths!$A$153</f>
        <v>T037</v>
      </c>
      <c r="B1619" s="1">
        <f>Paths!$B$153</f>
        <v>2</v>
      </c>
      <c r="C1619" s="1">
        <v>6</v>
      </c>
      <c r="D1619" s="1">
        <v>153</v>
      </c>
      <c r="E1619" s="1">
        <f>IF(OR(Paths!$C$153=0,C1619=0),0,MAX(0,MIN(C1619*12,Paths!$E$153)-(C1619-1)*12))</f>
        <v>0</v>
      </c>
      <c r="F1619" s="1">
        <f>IF(OR(Paths!$C$153=0,C1619=0),0,12-E1619)</f>
        <v>0</v>
      </c>
      <c r="G1619" s="16">
        <f>IF(NOT(Paths!$C$153=1),0,IF(Paths!$P$153="Complete",E1619/12*(Paths!$J$153*(1+'Operating costs'!$B$51)^MAX(0,C1619-1)+Paths!$K$153*(1+'Operating costs'!$B$53)^MAX(0,C1619-1)),"n.a."))</f>
        <v>0</v>
      </c>
      <c r="H1619" s="16">
        <f>IF(NOT(Paths!$C$153=1),0,IF(Paths!$P$153="Complete",F1619/12*(Paths!$L$153*(1+IF(Paths!$D$153="EV",'Operating costs'!$B$52,'Operating costs'!$B$51))^MAX(0,C1619-1)+Paths!$M$153*(1+'Operating costs'!$B$53)^MAX(0,C1619-1)),"n.a."))</f>
        <v>0</v>
      </c>
      <c r="I1619" s="16">
        <f>IF(NOT(Paths!$C$153=1),0,IF(Paths!$P$153="Complete",IF(IF(Paths!$E$153=0,C1619=0,AND(C1619&gt;0,Paths!$E$153&gt;(C1619-1)*12,Paths!$E$153&lt;=C1619*12)),Paths!$G$153,0),"n.a."))</f>
        <v>0</v>
      </c>
      <c r="J1619" s="16">
        <f>IF(NOT(Paths!$C$153=1),0,IF(Paths!$P$153="Complete",IF(IF(Paths!$E$153=0,C1619=0,AND(C1619&gt;0,Paths!$E$153&gt;(C1619-1)*12,Paths!$E$153&lt;=C1619*12)),Paths!$H$153,0),"n.a."))</f>
        <v>0</v>
      </c>
      <c r="K1619" s="16">
        <f>IF(NOT(Paths!$C$153=1),0,IF(Paths!$P$153="Complete",IF(IF(Paths!$O$153=0,C1619=0,AND(C1619&gt;0,Paths!$O$153&gt;(C1619-1)*12,Paths!$O$153&lt;=C1619*12)),Paths!$N$153,0),"n.a."))</f>
        <v>0</v>
      </c>
      <c r="L1619" s="16">
        <f>IF(NOT(Paths!$C$153=1),0,IF(Paths!$P$153="Complete",IF(C1619=10,Paths!$I$153,0),"n.a."))</f>
        <v>0</v>
      </c>
      <c r="M1619" s="16">
        <f>IF(NOT(Paths!$C$153=1),0,IF(Paths!$P$153="Complete",IF(AND(Paths!$D$153="EV",Paths!$E$153&lt;120,Paths!$E$153+'Operating costs'!$B$65&gt;Paths!$E$153,Paths!$E$153+'Operating costs'!$B$65&lt;=120,IF(Paths!$E$153+'Operating costs'!$B$65=0,C1619=0,AND(C1619&gt;0,Paths!$E$153+'Operating costs'!$B$65&gt;(C1619-1)*12,Paths!$E$153+'Operating costs'!$B$65&lt;=C1619*12))),'Operating costs'!$B$64,0)+IF(AND('Operating costs'!$B$67&gt;0,'Operating costs'!$B$67&lt;=120,OR(Paths!$D$153="ICE",'Operating costs'!$B$67&lt;=Paths!$E$153),IF('Operating costs'!$B$67=0,C1619=0,AND(C1619&gt;0,'Operating costs'!$B$67&gt;(C1619-1)*12,'Operating costs'!$B$67&lt;=C1619*12))),'Operating costs'!$B$66,0),"n.a."))</f>
        <v>0</v>
      </c>
      <c r="N1619" s="16">
        <f>IF(NOT(Paths!$C$153=1),0,IF(Paths!$P$153="Complete",SUM(G1619:I1619)-J1619-K1619-L1619+M1619+IF(C1619=0,Paths!$F$153,0)+IF(IF(Paths!$E$153=0,C1619=0,AND(C1619&gt;0,Paths!$E$153&gt;(C1619-1)*12,Paths!$E$153&lt;=C1619*12)),VLOOKUP(A1619,'Fleet register'!$A$7:$S$106,16,FALSE),0),"n.a."))</f>
        <v>0</v>
      </c>
      <c r="O1619" s="16">
        <f>IF(NOT(Paths!$C$153=1),0,IF(Paths!$P$153="Complete",N1619-IF(C1619=0,Paths!$F$153,0),"n.a."))</f>
        <v>0</v>
      </c>
      <c r="P1619" s="16">
        <f>IF(NOT(Paths!$C$153=1),0,IF(Paths!$P$153="Complete",O1619+L1619,"n.a."))</f>
        <v>0</v>
      </c>
      <c r="Q1619" s="16">
        <f>IF(NOT(Paths!$C$153=1),0,IF(Paths!$P$153="Complete",N1619*(1+'Operating costs'!$B$54)^-C1619,"n.a."))</f>
        <v>0</v>
      </c>
      <c r="R1619" s="16">
        <f>IF(NOT(Paths!$C$153=1),0,IF(Paths!$P$153="Complete",IF(AND(C1619=0,Paths!$E$153=0),I1619-J1619-K1619+VLOOKUP(A1619,'Fleet register'!$A$7:$S$106,15,FALSE)+VLOOKUP(A1619,'Fleet register'!$A$7:$S$106,16,FALSE),0),"n.a."))</f>
        <v>0</v>
      </c>
      <c r="S1619" s="1">
        <f>IF(NOT(Paths!$C$153=1),0,IF(Paths!$P$153="Complete",IF(C1619=0,0,Paths!$S$153*Paths!$R$153),"n.a."))</f>
        <v>0</v>
      </c>
      <c r="T1619" s="1">
        <f>IF(NOT(Paths!$C$153=1),0,IF(Paths!$P$153="Complete",IF(C1619=0,0,VLOOKUP(A1619,'Fleet register'!$A$7:$S$106,9,FALSE)*Paths!$R$153),"n.a."))</f>
        <v>0</v>
      </c>
    </row>
    <row r="1620" spans="1:20" ht="24" customHeight="1">
      <c r="A1620" s="1" t="str">
        <f>Paths!$A$153</f>
        <v>T037</v>
      </c>
      <c r="B1620" s="1">
        <f>Paths!$B$153</f>
        <v>2</v>
      </c>
      <c r="C1620" s="1">
        <v>7</v>
      </c>
      <c r="D1620" s="1">
        <v>153</v>
      </c>
      <c r="E1620" s="1">
        <f>IF(OR(Paths!$C$153=0,C1620=0),0,MAX(0,MIN(C1620*12,Paths!$E$153)-(C1620-1)*12))</f>
        <v>0</v>
      </c>
      <c r="F1620" s="1">
        <f>IF(OR(Paths!$C$153=0,C1620=0),0,12-E1620)</f>
        <v>0</v>
      </c>
      <c r="G1620" s="16">
        <f>IF(NOT(Paths!$C$153=1),0,IF(Paths!$P$153="Complete",E1620/12*(Paths!$J$153*(1+'Operating costs'!$B$51)^MAX(0,C1620-1)+Paths!$K$153*(1+'Operating costs'!$B$53)^MAX(0,C1620-1)),"n.a."))</f>
        <v>0</v>
      </c>
      <c r="H1620" s="16">
        <f>IF(NOT(Paths!$C$153=1),0,IF(Paths!$P$153="Complete",F1620/12*(Paths!$L$153*(1+IF(Paths!$D$153="EV",'Operating costs'!$B$52,'Operating costs'!$B$51))^MAX(0,C1620-1)+Paths!$M$153*(1+'Operating costs'!$B$53)^MAX(0,C1620-1)),"n.a."))</f>
        <v>0</v>
      </c>
      <c r="I1620" s="16">
        <f>IF(NOT(Paths!$C$153=1),0,IF(Paths!$P$153="Complete",IF(IF(Paths!$E$153=0,C1620=0,AND(C1620&gt;0,Paths!$E$153&gt;(C1620-1)*12,Paths!$E$153&lt;=C1620*12)),Paths!$G$153,0),"n.a."))</f>
        <v>0</v>
      </c>
      <c r="J1620" s="16">
        <f>IF(NOT(Paths!$C$153=1),0,IF(Paths!$P$153="Complete",IF(IF(Paths!$E$153=0,C1620=0,AND(C1620&gt;0,Paths!$E$153&gt;(C1620-1)*12,Paths!$E$153&lt;=C1620*12)),Paths!$H$153,0),"n.a."))</f>
        <v>0</v>
      </c>
      <c r="K1620" s="16">
        <f>IF(NOT(Paths!$C$153=1),0,IF(Paths!$P$153="Complete",IF(IF(Paths!$O$153=0,C1620=0,AND(C1620&gt;0,Paths!$O$153&gt;(C1620-1)*12,Paths!$O$153&lt;=C1620*12)),Paths!$N$153,0),"n.a."))</f>
        <v>0</v>
      </c>
      <c r="L1620" s="16">
        <f>IF(NOT(Paths!$C$153=1),0,IF(Paths!$P$153="Complete",IF(C1620=10,Paths!$I$153,0),"n.a."))</f>
        <v>0</v>
      </c>
      <c r="M1620" s="16">
        <f>IF(NOT(Paths!$C$153=1),0,IF(Paths!$P$153="Complete",IF(AND(Paths!$D$153="EV",Paths!$E$153&lt;120,Paths!$E$153+'Operating costs'!$B$65&gt;Paths!$E$153,Paths!$E$153+'Operating costs'!$B$65&lt;=120,IF(Paths!$E$153+'Operating costs'!$B$65=0,C1620=0,AND(C1620&gt;0,Paths!$E$153+'Operating costs'!$B$65&gt;(C1620-1)*12,Paths!$E$153+'Operating costs'!$B$65&lt;=C1620*12))),'Operating costs'!$B$64,0)+IF(AND('Operating costs'!$B$67&gt;0,'Operating costs'!$B$67&lt;=120,OR(Paths!$D$153="ICE",'Operating costs'!$B$67&lt;=Paths!$E$153),IF('Operating costs'!$B$67=0,C1620=0,AND(C1620&gt;0,'Operating costs'!$B$67&gt;(C1620-1)*12,'Operating costs'!$B$67&lt;=C1620*12))),'Operating costs'!$B$66,0),"n.a."))</f>
        <v>0</v>
      </c>
      <c r="N1620" s="16">
        <f>IF(NOT(Paths!$C$153=1),0,IF(Paths!$P$153="Complete",SUM(G1620:I1620)-J1620-K1620-L1620+M1620+IF(C1620=0,Paths!$F$153,0)+IF(IF(Paths!$E$153=0,C1620=0,AND(C1620&gt;0,Paths!$E$153&gt;(C1620-1)*12,Paths!$E$153&lt;=C1620*12)),VLOOKUP(A1620,'Fleet register'!$A$7:$S$106,16,FALSE),0),"n.a."))</f>
        <v>0</v>
      </c>
      <c r="O1620" s="16">
        <f>IF(NOT(Paths!$C$153=1),0,IF(Paths!$P$153="Complete",N1620-IF(C1620=0,Paths!$F$153,0),"n.a."))</f>
        <v>0</v>
      </c>
      <c r="P1620" s="16">
        <f>IF(NOT(Paths!$C$153=1),0,IF(Paths!$P$153="Complete",O1620+L1620,"n.a."))</f>
        <v>0</v>
      </c>
      <c r="Q1620" s="16">
        <f>IF(NOT(Paths!$C$153=1),0,IF(Paths!$P$153="Complete",N1620*(1+'Operating costs'!$B$54)^-C1620,"n.a."))</f>
        <v>0</v>
      </c>
      <c r="R1620" s="16">
        <f>IF(NOT(Paths!$C$153=1),0,IF(Paths!$P$153="Complete",IF(AND(C1620=0,Paths!$E$153=0),I1620-J1620-K1620+VLOOKUP(A1620,'Fleet register'!$A$7:$S$106,15,FALSE)+VLOOKUP(A1620,'Fleet register'!$A$7:$S$106,16,FALSE),0),"n.a."))</f>
        <v>0</v>
      </c>
      <c r="S1620" s="1">
        <f>IF(NOT(Paths!$C$153=1),0,IF(Paths!$P$153="Complete",IF(C1620=0,0,Paths!$S$153*Paths!$R$153),"n.a."))</f>
        <v>0</v>
      </c>
      <c r="T1620" s="1">
        <f>IF(NOT(Paths!$C$153=1),0,IF(Paths!$P$153="Complete",IF(C1620=0,0,VLOOKUP(A1620,'Fleet register'!$A$7:$S$106,9,FALSE)*Paths!$R$153),"n.a."))</f>
        <v>0</v>
      </c>
    </row>
    <row r="1621" spans="1:20" ht="24" customHeight="1">
      <c r="A1621" s="1" t="str">
        <f>Paths!$A$153</f>
        <v>T037</v>
      </c>
      <c r="B1621" s="1">
        <f>Paths!$B$153</f>
        <v>2</v>
      </c>
      <c r="C1621" s="1">
        <v>8</v>
      </c>
      <c r="D1621" s="1">
        <v>153</v>
      </c>
      <c r="E1621" s="1">
        <f>IF(OR(Paths!$C$153=0,C1621=0),0,MAX(0,MIN(C1621*12,Paths!$E$153)-(C1621-1)*12))</f>
        <v>0</v>
      </c>
      <c r="F1621" s="1">
        <f>IF(OR(Paths!$C$153=0,C1621=0),0,12-E1621)</f>
        <v>0</v>
      </c>
      <c r="G1621" s="16">
        <f>IF(NOT(Paths!$C$153=1),0,IF(Paths!$P$153="Complete",E1621/12*(Paths!$J$153*(1+'Operating costs'!$B$51)^MAX(0,C1621-1)+Paths!$K$153*(1+'Operating costs'!$B$53)^MAX(0,C1621-1)),"n.a."))</f>
        <v>0</v>
      </c>
      <c r="H1621" s="16">
        <f>IF(NOT(Paths!$C$153=1),0,IF(Paths!$P$153="Complete",F1621/12*(Paths!$L$153*(1+IF(Paths!$D$153="EV",'Operating costs'!$B$52,'Operating costs'!$B$51))^MAX(0,C1621-1)+Paths!$M$153*(1+'Operating costs'!$B$53)^MAX(0,C1621-1)),"n.a."))</f>
        <v>0</v>
      </c>
      <c r="I1621" s="16">
        <f>IF(NOT(Paths!$C$153=1),0,IF(Paths!$P$153="Complete",IF(IF(Paths!$E$153=0,C1621=0,AND(C1621&gt;0,Paths!$E$153&gt;(C1621-1)*12,Paths!$E$153&lt;=C1621*12)),Paths!$G$153,0),"n.a."))</f>
        <v>0</v>
      </c>
      <c r="J1621" s="16">
        <f>IF(NOT(Paths!$C$153=1),0,IF(Paths!$P$153="Complete",IF(IF(Paths!$E$153=0,C1621=0,AND(C1621&gt;0,Paths!$E$153&gt;(C1621-1)*12,Paths!$E$153&lt;=C1621*12)),Paths!$H$153,0),"n.a."))</f>
        <v>0</v>
      </c>
      <c r="K1621" s="16">
        <f>IF(NOT(Paths!$C$153=1),0,IF(Paths!$P$153="Complete",IF(IF(Paths!$O$153=0,C1621=0,AND(C1621&gt;0,Paths!$O$153&gt;(C1621-1)*12,Paths!$O$153&lt;=C1621*12)),Paths!$N$153,0),"n.a."))</f>
        <v>0</v>
      </c>
      <c r="L1621" s="16">
        <f>IF(NOT(Paths!$C$153=1),0,IF(Paths!$P$153="Complete",IF(C1621=10,Paths!$I$153,0),"n.a."))</f>
        <v>0</v>
      </c>
      <c r="M1621" s="16">
        <f>IF(NOT(Paths!$C$153=1),0,IF(Paths!$P$153="Complete",IF(AND(Paths!$D$153="EV",Paths!$E$153&lt;120,Paths!$E$153+'Operating costs'!$B$65&gt;Paths!$E$153,Paths!$E$153+'Operating costs'!$B$65&lt;=120,IF(Paths!$E$153+'Operating costs'!$B$65=0,C1621=0,AND(C1621&gt;0,Paths!$E$153+'Operating costs'!$B$65&gt;(C1621-1)*12,Paths!$E$153+'Operating costs'!$B$65&lt;=C1621*12))),'Operating costs'!$B$64,0)+IF(AND('Operating costs'!$B$67&gt;0,'Operating costs'!$B$67&lt;=120,OR(Paths!$D$153="ICE",'Operating costs'!$B$67&lt;=Paths!$E$153),IF('Operating costs'!$B$67=0,C1621=0,AND(C1621&gt;0,'Operating costs'!$B$67&gt;(C1621-1)*12,'Operating costs'!$B$67&lt;=C1621*12))),'Operating costs'!$B$66,0),"n.a."))</f>
        <v>0</v>
      </c>
      <c r="N1621" s="16">
        <f>IF(NOT(Paths!$C$153=1),0,IF(Paths!$P$153="Complete",SUM(G1621:I1621)-J1621-K1621-L1621+M1621+IF(C1621=0,Paths!$F$153,0)+IF(IF(Paths!$E$153=0,C1621=0,AND(C1621&gt;0,Paths!$E$153&gt;(C1621-1)*12,Paths!$E$153&lt;=C1621*12)),VLOOKUP(A1621,'Fleet register'!$A$7:$S$106,16,FALSE),0),"n.a."))</f>
        <v>0</v>
      </c>
      <c r="O1621" s="16">
        <f>IF(NOT(Paths!$C$153=1),0,IF(Paths!$P$153="Complete",N1621-IF(C1621=0,Paths!$F$153,0),"n.a."))</f>
        <v>0</v>
      </c>
      <c r="P1621" s="16">
        <f>IF(NOT(Paths!$C$153=1),0,IF(Paths!$P$153="Complete",O1621+L1621,"n.a."))</f>
        <v>0</v>
      </c>
      <c r="Q1621" s="16">
        <f>IF(NOT(Paths!$C$153=1),0,IF(Paths!$P$153="Complete",N1621*(1+'Operating costs'!$B$54)^-C1621,"n.a."))</f>
        <v>0</v>
      </c>
      <c r="R1621" s="16">
        <f>IF(NOT(Paths!$C$153=1),0,IF(Paths!$P$153="Complete",IF(AND(C1621=0,Paths!$E$153=0),I1621-J1621-K1621+VLOOKUP(A1621,'Fleet register'!$A$7:$S$106,15,FALSE)+VLOOKUP(A1621,'Fleet register'!$A$7:$S$106,16,FALSE),0),"n.a."))</f>
        <v>0</v>
      </c>
      <c r="S1621" s="1">
        <f>IF(NOT(Paths!$C$153=1),0,IF(Paths!$P$153="Complete",IF(C1621=0,0,Paths!$S$153*Paths!$R$153),"n.a."))</f>
        <v>0</v>
      </c>
      <c r="T1621" s="1">
        <f>IF(NOT(Paths!$C$153=1),0,IF(Paths!$P$153="Complete",IF(C1621=0,0,VLOOKUP(A1621,'Fleet register'!$A$7:$S$106,9,FALSE)*Paths!$R$153),"n.a."))</f>
        <v>0</v>
      </c>
    </row>
    <row r="1622" spans="1:20" ht="24" customHeight="1">
      <c r="A1622" s="1" t="str">
        <f>Paths!$A$153</f>
        <v>T037</v>
      </c>
      <c r="B1622" s="1">
        <f>Paths!$B$153</f>
        <v>2</v>
      </c>
      <c r="C1622" s="1">
        <v>9</v>
      </c>
      <c r="D1622" s="1">
        <v>153</v>
      </c>
      <c r="E1622" s="1">
        <f>IF(OR(Paths!$C$153=0,C1622=0),0,MAX(0,MIN(C1622*12,Paths!$E$153)-(C1622-1)*12))</f>
        <v>0</v>
      </c>
      <c r="F1622" s="1">
        <f>IF(OR(Paths!$C$153=0,C1622=0),0,12-E1622)</f>
        <v>0</v>
      </c>
      <c r="G1622" s="16">
        <f>IF(NOT(Paths!$C$153=1),0,IF(Paths!$P$153="Complete",E1622/12*(Paths!$J$153*(1+'Operating costs'!$B$51)^MAX(0,C1622-1)+Paths!$K$153*(1+'Operating costs'!$B$53)^MAX(0,C1622-1)),"n.a."))</f>
        <v>0</v>
      </c>
      <c r="H1622" s="16">
        <f>IF(NOT(Paths!$C$153=1),0,IF(Paths!$P$153="Complete",F1622/12*(Paths!$L$153*(1+IF(Paths!$D$153="EV",'Operating costs'!$B$52,'Operating costs'!$B$51))^MAX(0,C1622-1)+Paths!$M$153*(1+'Operating costs'!$B$53)^MAX(0,C1622-1)),"n.a."))</f>
        <v>0</v>
      </c>
      <c r="I1622" s="16">
        <f>IF(NOT(Paths!$C$153=1),0,IF(Paths!$P$153="Complete",IF(IF(Paths!$E$153=0,C1622=0,AND(C1622&gt;0,Paths!$E$153&gt;(C1622-1)*12,Paths!$E$153&lt;=C1622*12)),Paths!$G$153,0),"n.a."))</f>
        <v>0</v>
      </c>
      <c r="J1622" s="16">
        <f>IF(NOT(Paths!$C$153=1),0,IF(Paths!$P$153="Complete",IF(IF(Paths!$E$153=0,C1622=0,AND(C1622&gt;0,Paths!$E$153&gt;(C1622-1)*12,Paths!$E$153&lt;=C1622*12)),Paths!$H$153,0),"n.a."))</f>
        <v>0</v>
      </c>
      <c r="K1622" s="16">
        <f>IF(NOT(Paths!$C$153=1),0,IF(Paths!$P$153="Complete",IF(IF(Paths!$O$153=0,C1622=0,AND(C1622&gt;0,Paths!$O$153&gt;(C1622-1)*12,Paths!$O$153&lt;=C1622*12)),Paths!$N$153,0),"n.a."))</f>
        <v>0</v>
      </c>
      <c r="L1622" s="16">
        <f>IF(NOT(Paths!$C$153=1),0,IF(Paths!$P$153="Complete",IF(C1622=10,Paths!$I$153,0),"n.a."))</f>
        <v>0</v>
      </c>
      <c r="M1622" s="16">
        <f>IF(NOT(Paths!$C$153=1),0,IF(Paths!$P$153="Complete",IF(AND(Paths!$D$153="EV",Paths!$E$153&lt;120,Paths!$E$153+'Operating costs'!$B$65&gt;Paths!$E$153,Paths!$E$153+'Operating costs'!$B$65&lt;=120,IF(Paths!$E$153+'Operating costs'!$B$65=0,C1622=0,AND(C1622&gt;0,Paths!$E$153+'Operating costs'!$B$65&gt;(C1622-1)*12,Paths!$E$153+'Operating costs'!$B$65&lt;=C1622*12))),'Operating costs'!$B$64,0)+IF(AND('Operating costs'!$B$67&gt;0,'Operating costs'!$B$67&lt;=120,OR(Paths!$D$153="ICE",'Operating costs'!$B$67&lt;=Paths!$E$153),IF('Operating costs'!$B$67=0,C1622=0,AND(C1622&gt;0,'Operating costs'!$B$67&gt;(C1622-1)*12,'Operating costs'!$B$67&lt;=C1622*12))),'Operating costs'!$B$66,0),"n.a."))</f>
        <v>0</v>
      </c>
      <c r="N1622" s="16">
        <f>IF(NOT(Paths!$C$153=1),0,IF(Paths!$P$153="Complete",SUM(G1622:I1622)-J1622-K1622-L1622+M1622+IF(C1622=0,Paths!$F$153,0)+IF(IF(Paths!$E$153=0,C1622=0,AND(C1622&gt;0,Paths!$E$153&gt;(C1622-1)*12,Paths!$E$153&lt;=C1622*12)),VLOOKUP(A1622,'Fleet register'!$A$7:$S$106,16,FALSE),0),"n.a."))</f>
        <v>0</v>
      </c>
      <c r="O1622" s="16">
        <f>IF(NOT(Paths!$C$153=1),0,IF(Paths!$P$153="Complete",N1622-IF(C1622=0,Paths!$F$153,0),"n.a."))</f>
        <v>0</v>
      </c>
      <c r="P1622" s="16">
        <f>IF(NOT(Paths!$C$153=1),0,IF(Paths!$P$153="Complete",O1622+L1622,"n.a."))</f>
        <v>0</v>
      </c>
      <c r="Q1622" s="16">
        <f>IF(NOT(Paths!$C$153=1),0,IF(Paths!$P$153="Complete",N1622*(1+'Operating costs'!$B$54)^-C1622,"n.a."))</f>
        <v>0</v>
      </c>
      <c r="R1622" s="16">
        <f>IF(NOT(Paths!$C$153=1),0,IF(Paths!$P$153="Complete",IF(AND(C1622=0,Paths!$E$153=0),I1622-J1622-K1622+VLOOKUP(A1622,'Fleet register'!$A$7:$S$106,15,FALSE)+VLOOKUP(A1622,'Fleet register'!$A$7:$S$106,16,FALSE),0),"n.a."))</f>
        <v>0</v>
      </c>
      <c r="S1622" s="1">
        <f>IF(NOT(Paths!$C$153=1),0,IF(Paths!$P$153="Complete",IF(C1622=0,0,Paths!$S$153*Paths!$R$153),"n.a."))</f>
        <v>0</v>
      </c>
      <c r="T1622" s="1">
        <f>IF(NOT(Paths!$C$153=1),0,IF(Paths!$P$153="Complete",IF(C1622=0,0,VLOOKUP(A1622,'Fleet register'!$A$7:$S$106,9,FALSE)*Paths!$R$153),"n.a."))</f>
        <v>0</v>
      </c>
    </row>
    <row r="1623" spans="1:20" ht="24" customHeight="1">
      <c r="A1623" s="1" t="str">
        <f>Paths!$A$153</f>
        <v>T037</v>
      </c>
      <c r="B1623" s="1">
        <f>Paths!$B$153</f>
        <v>2</v>
      </c>
      <c r="C1623" s="1">
        <v>10</v>
      </c>
      <c r="D1623" s="1">
        <v>153</v>
      </c>
      <c r="E1623" s="1">
        <f>IF(OR(Paths!$C$153=0,C1623=0),0,MAX(0,MIN(C1623*12,Paths!$E$153)-(C1623-1)*12))</f>
        <v>0</v>
      </c>
      <c r="F1623" s="1">
        <f>IF(OR(Paths!$C$153=0,C1623=0),0,12-E1623)</f>
        <v>0</v>
      </c>
      <c r="G1623" s="16">
        <f>IF(NOT(Paths!$C$153=1),0,IF(Paths!$P$153="Complete",E1623/12*(Paths!$J$153*(1+'Operating costs'!$B$51)^MAX(0,C1623-1)+Paths!$K$153*(1+'Operating costs'!$B$53)^MAX(0,C1623-1)),"n.a."))</f>
        <v>0</v>
      </c>
      <c r="H1623" s="16">
        <f>IF(NOT(Paths!$C$153=1),0,IF(Paths!$P$153="Complete",F1623/12*(Paths!$L$153*(1+IF(Paths!$D$153="EV",'Operating costs'!$B$52,'Operating costs'!$B$51))^MAX(0,C1623-1)+Paths!$M$153*(1+'Operating costs'!$B$53)^MAX(0,C1623-1)),"n.a."))</f>
        <v>0</v>
      </c>
      <c r="I1623" s="16">
        <f>IF(NOT(Paths!$C$153=1),0,IF(Paths!$P$153="Complete",IF(IF(Paths!$E$153=0,C1623=0,AND(C1623&gt;0,Paths!$E$153&gt;(C1623-1)*12,Paths!$E$153&lt;=C1623*12)),Paths!$G$153,0),"n.a."))</f>
        <v>0</v>
      </c>
      <c r="J1623" s="16">
        <f>IF(NOT(Paths!$C$153=1),0,IF(Paths!$P$153="Complete",IF(IF(Paths!$E$153=0,C1623=0,AND(C1623&gt;0,Paths!$E$153&gt;(C1623-1)*12,Paths!$E$153&lt;=C1623*12)),Paths!$H$153,0),"n.a."))</f>
        <v>0</v>
      </c>
      <c r="K1623" s="16">
        <f>IF(NOT(Paths!$C$153=1),0,IF(Paths!$P$153="Complete",IF(IF(Paths!$O$153=0,C1623=0,AND(C1623&gt;0,Paths!$O$153&gt;(C1623-1)*12,Paths!$O$153&lt;=C1623*12)),Paths!$N$153,0),"n.a."))</f>
        <v>0</v>
      </c>
      <c r="L1623" s="16">
        <f>IF(NOT(Paths!$C$153=1),0,IF(Paths!$P$153="Complete",IF(C1623=10,Paths!$I$153,0),"n.a."))</f>
        <v>0</v>
      </c>
      <c r="M1623" s="16">
        <f>IF(NOT(Paths!$C$153=1),0,IF(Paths!$P$153="Complete",IF(AND(Paths!$D$153="EV",Paths!$E$153&lt;120,Paths!$E$153+'Operating costs'!$B$65&gt;Paths!$E$153,Paths!$E$153+'Operating costs'!$B$65&lt;=120,IF(Paths!$E$153+'Operating costs'!$B$65=0,C1623=0,AND(C1623&gt;0,Paths!$E$153+'Operating costs'!$B$65&gt;(C1623-1)*12,Paths!$E$153+'Operating costs'!$B$65&lt;=C1623*12))),'Operating costs'!$B$64,0)+IF(AND('Operating costs'!$B$67&gt;0,'Operating costs'!$B$67&lt;=120,OR(Paths!$D$153="ICE",'Operating costs'!$B$67&lt;=Paths!$E$153),IF('Operating costs'!$B$67=0,C1623=0,AND(C1623&gt;0,'Operating costs'!$B$67&gt;(C1623-1)*12,'Operating costs'!$B$67&lt;=C1623*12))),'Operating costs'!$B$66,0),"n.a."))</f>
        <v>0</v>
      </c>
      <c r="N1623" s="16">
        <f>IF(NOT(Paths!$C$153=1),0,IF(Paths!$P$153="Complete",SUM(G1623:I1623)-J1623-K1623-L1623+M1623+IF(C1623=0,Paths!$F$153,0)+IF(IF(Paths!$E$153=0,C1623=0,AND(C1623&gt;0,Paths!$E$153&gt;(C1623-1)*12,Paths!$E$153&lt;=C1623*12)),VLOOKUP(A1623,'Fleet register'!$A$7:$S$106,16,FALSE),0),"n.a."))</f>
        <v>0</v>
      </c>
      <c r="O1623" s="16">
        <f>IF(NOT(Paths!$C$153=1),0,IF(Paths!$P$153="Complete",N1623-IF(C1623=0,Paths!$F$153,0),"n.a."))</f>
        <v>0</v>
      </c>
      <c r="P1623" s="16">
        <f>IF(NOT(Paths!$C$153=1),0,IF(Paths!$P$153="Complete",O1623+L1623,"n.a."))</f>
        <v>0</v>
      </c>
      <c r="Q1623" s="16">
        <f>IF(NOT(Paths!$C$153=1),0,IF(Paths!$P$153="Complete",N1623*(1+'Operating costs'!$B$54)^-C1623,"n.a."))</f>
        <v>0</v>
      </c>
      <c r="R1623" s="16">
        <f>IF(NOT(Paths!$C$153=1),0,IF(Paths!$P$153="Complete",IF(AND(C1623=0,Paths!$E$153=0),I1623-J1623-K1623+VLOOKUP(A1623,'Fleet register'!$A$7:$S$106,15,FALSE)+VLOOKUP(A1623,'Fleet register'!$A$7:$S$106,16,FALSE),0),"n.a."))</f>
        <v>0</v>
      </c>
      <c r="S1623" s="1">
        <f>IF(NOT(Paths!$C$153=1),0,IF(Paths!$P$153="Complete",IF(C1623=0,0,Paths!$S$153*Paths!$R$153),"n.a."))</f>
        <v>0</v>
      </c>
      <c r="T1623" s="1">
        <f>IF(NOT(Paths!$C$153=1),0,IF(Paths!$P$153="Complete",IF(C1623=0,0,VLOOKUP(A1623,'Fleet register'!$A$7:$S$106,9,FALSE)*Paths!$R$153),"n.a."))</f>
        <v>0</v>
      </c>
    </row>
    <row r="1624" spans="1:20" ht="24" customHeight="1">
      <c r="A1624" s="1" t="str">
        <f>Paths!$A$154</f>
        <v>T037</v>
      </c>
      <c r="B1624" s="1">
        <f>Paths!$B$154</f>
        <v>3</v>
      </c>
      <c r="C1624" s="1">
        <v>0</v>
      </c>
      <c r="D1624" s="1">
        <v>154</v>
      </c>
      <c r="E1624" s="1">
        <f>IF(OR(Paths!$C$154=0,C1624=0),0,MAX(0,MIN(C1624*12,Paths!$E$154)-(C1624-1)*12))</f>
        <v>0</v>
      </c>
      <c r="F1624" s="1">
        <f>IF(OR(Paths!$C$154=0,C1624=0),0,12-E1624)</f>
        <v>0</v>
      </c>
      <c r="G1624" s="16">
        <f>IF(NOT(Paths!$C$154=1),0,IF(Paths!$P$154="Complete",E1624/12*(Paths!$J$154*(1+'Operating costs'!$B$51)^MAX(0,C1624-1)+Paths!$K$154*(1+'Operating costs'!$B$53)^MAX(0,C1624-1)),"n.a."))</f>
        <v>0</v>
      </c>
      <c r="H1624" s="16">
        <f>IF(NOT(Paths!$C$154=1),0,IF(Paths!$P$154="Complete",F1624/12*(Paths!$L$154*(1+IF(Paths!$D$154="EV",'Operating costs'!$B$52,'Operating costs'!$B$51))^MAX(0,C1624-1)+Paths!$M$154*(1+'Operating costs'!$B$53)^MAX(0,C1624-1)),"n.a."))</f>
        <v>0</v>
      </c>
      <c r="I1624" s="16">
        <f>IF(NOT(Paths!$C$154=1),0,IF(Paths!$P$154="Complete",IF(IF(Paths!$E$154=0,C1624=0,AND(C1624&gt;0,Paths!$E$154&gt;(C1624-1)*12,Paths!$E$154&lt;=C1624*12)),Paths!$G$154,0),"n.a."))</f>
        <v>0</v>
      </c>
      <c r="J1624" s="16">
        <f>IF(NOT(Paths!$C$154=1),0,IF(Paths!$P$154="Complete",IF(IF(Paths!$E$154=0,C1624=0,AND(C1624&gt;0,Paths!$E$154&gt;(C1624-1)*12,Paths!$E$154&lt;=C1624*12)),Paths!$H$154,0),"n.a."))</f>
        <v>0</v>
      </c>
      <c r="K1624" s="16">
        <f>IF(NOT(Paths!$C$154=1),0,IF(Paths!$P$154="Complete",IF(IF(Paths!$O$154=0,C1624=0,AND(C1624&gt;0,Paths!$O$154&gt;(C1624-1)*12,Paths!$O$154&lt;=C1624*12)),Paths!$N$154,0),"n.a."))</f>
        <v>0</v>
      </c>
      <c r="L1624" s="16">
        <f>IF(NOT(Paths!$C$154=1),0,IF(Paths!$P$154="Complete",IF(C1624=10,Paths!$I$154,0),"n.a."))</f>
        <v>0</v>
      </c>
      <c r="M1624" s="16">
        <f>IF(NOT(Paths!$C$154=1),0,IF(Paths!$P$154="Complete",IF(AND(Paths!$D$154="EV",Paths!$E$154&lt;120,Paths!$E$154+'Operating costs'!$B$65&gt;Paths!$E$154,Paths!$E$154+'Operating costs'!$B$65&lt;=120,IF(Paths!$E$154+'Operating costs'!$B$65=0,C1624=0,AND(C1624&gt;0,Paths!$E$154+'Operating costs'!$B$65&gt;(C1624-1)*12,Paths!$E$154+'Operating costs'!$B$65&lt;=C1624*12))),'Operating costs'!$B$64,0)+IF(AND('Operating costs'!$B$67&gt;0,'Operating costs'!$B$67&lt;=120,OR(Paths!$D$154="ICE",'Operating costs'!$B$67&lt;=Paths!$E$154),IF('Operating costs'!$B$67=0,C1624=0,AND(C1624&gt;0,'Operating costs'!$B$67&gt;(C1624-1)*12,'Operating costs'!$B$67&lt;=C1624*12))),'Operating costs'!$B$66,0),"n.a."))</f>
        <v>0</v>
      </c>
      <c r="N1624" s="16">
        <f>IF(NOT(Paths!$C$154=1),0,IF(Paths!$P$154="Complete",SUM(G1624:I1624)-J1624-K1624-L1624+M1624+IF(C1624=0,Paths!$F$154,0)+IF(IF(Paths!$E$154=0,C1624=0,AND(C1624&gt;0,Paths!$E$154&gt;(C1624-1)*12,Paths!$E$154&lt;=C1624*12)),VLOOKUP(A1624,'Fleet register'!$A$7:$S$106,16,FALSE),0),"n.a."))</f>
        <v>0</v>
      </c>
      <c r="O1624" s="16">
        <f>IF(NOT(Paths!$C$154=1),0,IF(Paths!$P$154="Complete",N1624-IF(C1624=0,Paths!$F$154,0),"n.a."))</f>
        <v>0</v>
      </c>
      <c r="P1624" s="16">
        <f>IF(NOT(Paths!$C$154=1),0,IF(Paths!$P$154="Complete",O1624+L1624,"n.a."))</f>
        <v>0</v>
      </c>
      <c r="Q1624" s="16">
        <f>IF(NOT(Paths!$C$154=1),0,IF(Paths!$P$154="Complete",N1624*(1+'Operating costs'!$B$54)^-C1624,"n.a."))</f>
        <v>0</v>
      </c>
      <c r="R1624" s="16">
        <f>IF(NOT(Paths!$C$154=1),0,IF(Paths!$P$154="Complete",IF(AND(C1624=0,Paths!$E$154=0),I1624-J1624-K1624+VLOOKUP(A1624,'Fleet register'!$A$7:$S$106,15,FALSE)+VLOOKUP(A1624,'Fleet register'!$A$7:$S$106,16,FALSE),0),"n.a."))</f>
        <v>0</v>
      </c>
      <c r="S1624" s="1">
        <f>IF(NOT(Paths!$C$154=1),0,IF(Paths!$P$154="Complete",IF(C1624=0,0,Paths!$S$154*Paths!$R$154),"n.a."))</f>
        <v>0</v>
      </c>
      <c r="T1624" s="1">
        <f>IF(NOT(Paths!$C$154=1),0,IF(Paths!$P$154="Complete",IF(C1624=0,0,VLOOKUP(A1624,'Fleet register'!$A$7:$S$106,9,FALSE)*Paths!$R$154),"n.a."))</f>
        <v>0</v>
      </c>
    </row>
    <row r="1625" spans="1:20" ht="24" customHeight="1">
      <c r="A1625" s="1" t="str">
        <f>Paths!$A$154</f>
        <v>T037</v>
      </c>
      <c r="B1625" s="1">
        <f>Paths!$B$154</f>
        <v>3</v>
      </c>
      <c r="C1625" s="1">
        <v>1</v>
      </c>
      <c r="D1625" s="1">
        <v>154</v>
      </c>
      <c r="E1625" s="1">
        <f>IF(OR(Paths!$C$154=0,C1625=0),0,MAX(0,MIN(C1625*12,Paths!$E$154)-(C1625-1)*12))</f>
        <v>0</v>
      </c>
      <c r="F1625" s="1">
        <f>IF(OR(Paths!$C$154=0,C1625=0),0,12-E1625)</f>
        <v>0</v>
      </c>
      <c r="G1625" s="16">
        <f>IF(NOT(Paths!$C$154=1),0,IF(Paths!$P$154="Complete",E1625/12*(Paths!$J$154*(1+'Operating costs'!$B$51)^MAX(0,C1625-1)+Paths!$K$154*(1+'Operating costs'!$B$53)^MAX(0,C1625-1)),"n.a."))</f>
        <v>0</v>
      </c>
      <c r="H1625" s="16">
        <f>IF(NOT(Paths!$C$154=1),0,IF(Paths!$P$154="Complete",F1625/12*(Paths!$L$154*(1+IF(Paths!$D$154="EV",'Operating costs'!$B$52,'Operating costs'!$B$51))^MAX(0,C1625-1)+Paths!$M$154*(1+'Operating costs'!$B$53)^MAX(0,C1625-1)),"n.a."))</f>
        <v>0</v>
      </c>
      <c r="I1625" s="16">
        <f>IF(NOT(Paths!$C$154=1),0,IF(Paths!$P$154="Complete",IF(IF(Paths!$E$154=0,C1625=0,AND(C1625&gt;0,Paths!$E$154&gt;(C1625-1)*12,Paths!$E$154&lt;=C1625*12)),Paths!$G$154,0),"n.a."))</f>
        <v>0</v>
      </c>
      <c r="J1625" s="16">
        <f>IF(NOT(Paths!$C$154=1),0,IF(Paths!$P$154="Complete",IF(IF(Paths!$E$154=0,C1625=0,AND(C1625&gt;0,Paths!$E$154&gt;(C1625-1)*12,Paths!$E$154&lt;=C1625*12)),Paths!$H$154,0),"n.a."))</f>
        <v>0</v>
      </c>
      <c r="K1625" s="16">
        <f>IF(NOT(Paths!$C$154=1),0,IF(Paths!$P$154="Complete",IF(IF(Paths!$O$154=0,C1625=0,AND(C1625&gt;0,Paths!$O$154&gt;(C1625-1)*12,Paths!$O$154&lt;=C1625*12)),Paths!$N$154,0),"n.a."))</f>
        <v>0</v>
      </c>
      <c r="L1625" s="16">
        <f>IF(NOT(Paths!$C$154=1),0,IF(Paths!$P$154="Complete",IF(C1625=10,Paths!$I$154,0),"n.a."))</f>
        <v>0</v>
      </c>
      <c r="M1625" s="16">
        <f>IF(NOT(Paths!$C$154=1),0,IF(Paths!$P$154="Complete",IF(AND(Paths!$D$154="EV",Paths!$E$154&lt;120,Paths!$E$154+'Operating costs'!$B$65&gt;Paths!$E$154,Paths!$E$154+'Operating costs'!$B$65&lt;=120,IF(Paths!$E$154+'Operating costs'!$B$65=0,C1625=0,AND(C1625&gt;0,Paths!$E$154+'Operating costs'!$B$65&gt;(C1625-1)*12,Paths!$E$154+'Operating costs'!$B$65&lt;=C1625*12))),'Operating costs'!$B$64,0)+IF(AND('Operating costs'!$B$67&gt;0,'Operating costs'!$B$67&lt;=120,OR(Paths!$D$154="ICE",'Operating costs'!$B$67&lt;=Paths!$E$154),IF('Operating costs'!$B$67=0,C1625=0,AND(C1625&gt;0,'Operating costs'!$B$67&gt;(C1625-1)*12,'Operating costs'!$B$67&lt;=C1625*12))),'Operating costs'!$B$66,0),"n.a."))</f>
        <v>0</v>
      </c>
      <c r="N1625" s="16">
        <f>IF(NOT(Paths!$C$154=1),0,IF(Paths!$P$154="Complete",SUM(G1625:I1625)-J1625-K1625-L1625+M1625+IF(C1625=0,Paths!$F$154,0)+IF(IF(Paths!$E$154=0,C1625=0,AND(C1625&gt;0,Paths!$E$154&gt;(C1625-1)*12,Paths!$E$154&lt;=C1625*12)),VLOOKUP(A1625,'Fleet register'!$A$7:$S$106,16,FALSE),0),"n.a."))</f>
        <v>0</v>
      </c>
      <c r="O1625" s="16">
        <f>IF(NOT(Paths!$C$154=1),0,IF(Paths!$P$154="Complete",N1625-IF(C1625=0,Paths!$F$154,0),"n.a."))</f>
        <v>0</v>
      </c>
      <c r="P1625" s="16">
        <f>IF(NOT(Paths!$C$154=1),0,IF(Paths!$P$154="Complete",O1625+L1625,"n.a."))</f>
        <v>0</v>
      </c>
      <c r="Q1625" s="16">
        <f>IF(NOT(Paths!$C$154=1),0,IF(Paths!$P$154="Complete",N1625*(1+'Operating costs'!$B$54)^-C1625,"n.a."))</f>
        <v>0</v>
      </c>
      <c r="R1625" s="16">
        <f>IF(NOT(Paths!$C$154=1),0,IF(Paths!$P$154="Complete",IF(AND(C1625=0,Paths!$E$154=0),I1625-J1625-K1625+VLOOKUP(A1625,'Fleet register'!$A$7:$S$106,15,FALSE)+VLOOKUP(A1625,'Fleet register'!$A$7:$S$106,16,FALSE),0),"n.a."))</f>
        <v>0</v>
      </c>
      <c r="S1625" s="1">
        <f>IF(NOT(Paths!$C$154=1),0,IF(Paths!$P$154="Complete",IF(C1625=0,0,Paths!$S$154*Paths!$R$154),"n.a."))</f>
        <v>0</v>
      </c>
      <c r="T1625" s="1">
        <f>IF(NOT(Paths!$C$154=1),0,IF(Paths!$P$154="Complete",IF(C1625=0,0,VLOOKUP(A1625,'Fleet register'!$A$7:$S$106,9,FALSE)*Paths!$R$154),"n.a."))</f>
        <v>0</v>
      </c>
    </row>
    <row r="1626" spans="1:20" ht="24" customHeight="1">
      <c r="A1626" s="1" t="str">
        <f>Paths!$A$154</f>
        <v>T037</v>
      </c>
      <c r="B1626" s="1">
        <f>Paths!$B$154</f>
        <v>3</v>
      </c>
      <c r="C1626" s="1">
        <v>2</v>
      </c>
      <c r="D1626" s="1">
        <v>154</v>
      </c>
      <c r="E1626" s="1">
        <f>IF(OR(Paths!$C$154=0,C1626=0),0,MAX(0,MIN(C1626*12,Paths!$E$154)-(C1626-1)*12))</f>
        <v>0</v>
      </c>
      <c r="F1626" s="1">
        <f>IF(OR(Paths!$C$154=0,C1626=0),0,12-E1626)</f>
        <v>0</v>
      </c>
      <c r="G1626" s="16">
        <f>IF(NOT(Paths!$C$154=1),0,IF(Paths!$P$154="Complete",E1626/12*(Paths!$J$154*(1+'Operating costs'!$B$51)^MAX(0,C1626-1)+Paths!$K$154*(1+'Operating costs'!$B$53)^MAX(0,C1626-1)),"n.a."))</f>
        <v>0</v>
      </c>
      <c r="H1626" s="16">
        <f>IF(NOT(Paths!$C$154=1),0,IF(Paths!$P$154="Complete",F1626/12*(Paths!$L$154*(1+IF(Paths!$D$154="EV",'Operating costs'!$B$52,'Operating costs'!$B$51))^MAX(0,C1626-1)+Paths!$M$154*(1+'Operating costs'!$B$53)^MAX(0,C1626-1)),"n.a."))</f>
        <v>0</v>
      </c>
      <c r="I1626" s="16">
        <f>IF(NOT(Paths!$C$154=1),0,IF(Paths!$P$154="Complete",IF(IF(Paths!$E$154=0,C1626=0,AND(C1626&gt;0,Paths!$E$154&gt;(C1626-1)*12,Paths!$E$154&lt;=C1626*12)),Paths!$G$154,0),"n.a."))</f>
        <v>0</v>
      </c>
      <c r="J1626" s="16">
        <f>IF(NOT(Paths!$C$154=1),0,IF(Paths!$P$154="Complete",IF(IF(Paths!$E$154=0,C1626=0,AND(C1626&gt;0,Paths!$E$154&gt;(C1626-1)*12,Paths!$E$154&lt;=C1626*12)),Paths!$H$154,0),"n.a."))</f>
        <v>0</v>
      </c>
      <c r="K1626" s="16">
        <f>IF(NOT(Paths!$C$154=1),0,IF(Paths!$P$154="Complete",IF(IF(Paths!$O$154=0,C1626=0,AND(C1626&gt;0,Paths!$O$154&gt;(C1626-1)*12,Paths!$O$154&lt;=C1626*12)),Paths!$N$154,0),"n.a."))</f>
        <v>0</v>
      </c>
      <c r="L1626" s="16">
        <f>IF(NOT(Paths!$C$154=1),0,IF(Paths!$P$154="Complete",IF(C1626=10,Paths!$I$154,0),"n.a."))</f>
        <v>0</v>
      </c>
      <c r="M1626" s="16">
        <f>IF(NOT(Paths!$C$154=1),0,IF(Paths!$P$154="Complete",IF(AND(Paths!$D$154="EV",Paths!$E$154&lt;120,Paths!$E$154+'Operating costs'!$B$65&gt;Paths!$E$154,Paths!$E$154+'Operating costs'!$B$65&lt;=120,IF(Paths!$E$154+'Operating costs'!$B$65=0,C1626=0,AND(C1626&gt;0,Paths!$E$154+'Operating costs'!$B$65&gt;(C1626-1)*12,Paths!$E$154+'Operating costs'!$B$65&lt;=C1626*12))),'Operating costs'!$B$64,0)+IF(AND('Operating costs'!$B$67&gt;0,'Operating costs'!$B$67&lt;=120,OR(Paths!$D$154="ICE",'Operating costs'!$B$67&lt;=Paths!$E$154),IF('Operating costs'!$B$67=0,C1626=0,AND(C1626&gt;0,'Operating costs'!$B$67&gt;(C1626-1)*12,'Operating costs'!$B$67&lt;=C1626*12))),'Operating costs'!$B$66,0),"n.a."))</f>
        <v>0</v>
      </c>
      <c r="N1626" s="16">
        <f>IF(NOT(Paths!$C$154=1),0,IF(Paths!$P$154="Complete",SUM(G1626:I1626)-J1626-K1626-L1626+M1626+IF(C1626=0,Paths!$F$154,0)+IF(IF(Paths!$E$154=0,C1626=0,AND(C1626&gt;0,Paths!$E$154&gt;(C1626-1)*12,Paths!$E$154&lt;=C1626*12)),VLOOKUP(A1626,'Fleet register'!$A$7:$S$106,16,FALSE),0),"n.a."))</f>
        <v>0</v>
      </c>
      <c r="O1626" s="16">
        <f>IF(NOT(Paths!$C$154=1),0,IF(Paths!$P$154="Complete",N1626-IF(C1626=0,Paths!$F$154,0),"n.a."))</f>
        <v>0</v>
      </c>
      <c r="P1626" s="16">
        <f>IF(NOT(Paths!$C$154=1),0,IF(Paths!$P$154="Complete",O1626+L1626,"n.a."))</f>
        <v>0</v>
      </c>
      <c r="Q1626" s="16">
        <f>IF(NOT(Paths!$C$154=1),0,IF(Paths!$P$154="Complete",N1626*(1+'Operating costs'!$B$54)^-C1626,"n.a."))</f>
        <v>0</v>
      </c>
      <c r="R1626" s="16">
        <f>IF(NOT(Paths!$C$154=1),0,IF(Paths!$P$154="Complete",IF(AND(C1626=0,Paths!$E$154=0),I1626-J1626-K1626+VLOOKUP(A1626,'Fleet register'!$A$7:$S$106,15,FALSE)+VLOOKUP(A1626,'Fleet register'!$A$7:$S$106,16,FALSE),0),"n.a."))</f>
        <v>0</v>
      </c>
      <c r="S1626" s="1">
        <f>IF(NOT(Paths!$C$154=1),0,IF(Paths!$P$154="Complete",IF(C1626=0,0,Paths!$S$154*Paths!$R$154),"n.a."))</f>
        <v>0</v>
      </c>
      <c r="T1626" s="1">
        <f>IF(NOT(Paths!$C$154=1),0,IF(Paths!$P$154="Complete",IF(C1626=0,0,VLOOKUP(A1626,'Fleet register'!$A$7:$S$106,9,FALSE)*Paths!$R$154),"n.a."))</f>
        <v>0</v>
      </c>
    </row>
    <row r="1627" spans="1:20" ht="24" customHeight="1">
      <c r="A1627" s="1" t="str">
        <f>Paths!$A$154</f>
        <v>T037</v>
      </c>
      <c r="B1627" s="1">
        <f>Paths!$B$154</f>
        <v>3</v>
      </c>
      <c r="C1627" s="1">
        <v>3</v>
      </c>
      <c r="D1627" s="1">
        <v>154</v>
      </c>
      <c r="E1627" s="1">
        <f>IF(OR(Paths!$C$154=0,C1627=0),0,MAX(0,MIN(C1627*12,Paths!$E$154)-(C1627-1)*12))</f>
        <v>0</v>
      </c>
      <c r="F1627" s="1">
        <f>IF(OR(Paths!$C$154=0,C1627=0),0,12-E1627)</f>
        <v>0</v>
      </c>
      <c r="G1627" s="16">
        <f>IF(NOT(Paths!$C$154=1),0,IF(Paths!$P$154="Complete",E1627/12*(Paths!$J$154*(1+'Operating costs'!$B$51)^MAX(0,C1627-1)+Paths!$K$154*(1+'Operating costs'!$B$53)^MAX(0,C1627-1)),"n.a."))</f>
        <v>0</v>
      </c>
      <c r="H1627" s="16">
        <f>IF(NOT(Paths!$C$154=1),0,IF(Paths!$P$154="Complete",F1627/12*(Paths!$L$154*(1+IF(Paths!$D$154="EV",'Operating costs'!$B$52,'Operating costs'!$B$51))^MAX(0,C1627-1)+Paths!$M$154*(1+'Operating costs'!$B$53)^MAX(0,C1627-1)),"n.a."))</f>
        <v>0</v>
      </c>
      <c r="I1627" s="16">
        <f>IF(NOT(Paths!$C$154=1),0,IF(Paths!$P$154="Complete",IF(IF(Paths!$E$154=0,C1627=0,AND(C1627&gt;0,Paths!$E$154&gt;(C1627-1)*12,Paths!$E$154&lt;=C1627*12)),Paths!$G$154,0),"n.a."))</f>
        <v>0</v>
      </c>
      <c r="J1627" s="16">
        <f>IF(NOT(Paths!$C$154=1),0,IF(Paths!$P$154="Complete",IF(IF(Paths!$E$154=0,C1627=0,AND(C1627&gt;0,Paths!$E$154&gt;(C1627-1)*12,Paths!$E$154&lt;=C1627*12)),Paths!$H$154,0),"n.a."))</f>
        <v>0</v>
      </c>
      <c r="K1627" s="16">
        <f>IF(NOT(Paths!$C$154=1),0,IF(Paths!$P$154="Complete",IF(IF(Paths!$O$154=0,C1627=0,AND(C1627&gt;0,Paths!$O$154&gt;(C1627-1)*12,Paths!$O$154&lt;=C1627*12)),Paths!$N$154,0),"n.a."))</f>
        <v>0</v>
      </c>
      <c r="L1627" s="16">
        <f>IF(NOT(Paths!$C$154=1),0,IF(Paths!$P$154="Complete",IF(C1627=10,Paths!$I$154,0),"n.a."))</f>
        <v>0</v>
      </c>
      <c r="M1627" s="16">
        <f>IF(NOT(Paths!$C$154=1),0,IF(Paths!$P$154="Complete",IF(AND(Paths!$D$154="EV",Paths!$E$154&lt;120,Paths!$E$154+'Operating costs'!$B$65&gt;Paths!$E$154,Paths!$E$154+'Operating costs'!$B$65&lt;=120,IF(Paths!$E$154+'Operating costs'!$B$65=0,C1627=0,AND(C1627&gt;0,Paths!$E$154+'Operating costs'!$B$65&gt;(C1627-1)*12,Paths!$E$154+'Operating costs'!$B$65&lt;=C1627*12))),'Operating costs'!$B$64,0)+IF(AND('Operating costs'!$B$67&gt;0,'Operating costs'!$B$67&lt;=120,OR(Paths!$D$154="ICE",'Operating costs'!$B$67&lt;=Paths!$E$154),IF('Operating costs'!$B$67=0,C1627=0,AND(C1627&gt;0,'Operating costs'!$B$67&gt;(C1627-1)*12,'Operating costs'!$B$67&lt;=C1627*12))),'Operating costs'!$B$66,0),"n.a."))</f>
        <v>0</v>
      </c>
      <c r="N1627" s="16">
        <f>IF(NOT(Paths!$C$154=1),0,IF(Paths!$P$154="Complete",SUM(G1627:I1627)-J1627-K1627-L1627+M1627+IF(C1627=0,Paths!$F$154,0)+IF(IF(Paths!$E$154=0,C1627=0,AND(C1627&gt;0,Paths!$E$154&gt;(C1627-1)*12,Paths!$E$154&lt;=C1627*12)),VLOOKUP(A1627,'Fleet register'!$A$7:$S$106,16,FALSE),0),"n.a."))</f>
        <v>0</v>
      </c>
      <c r="O1627" s="16">
        <f>IF(NOT(Paths!$C$154=1),0,IF(Paths!$P$154="Complete",N1627-IF(C1627=0,Paths!$F$154,0),"n.a."))</f>
        <v>0</v>
      </c>
      <c r="P1627" s="16">
        <f>IF(NOT(Paths!$C$154=1),0,IF(Paths!$P$154="Complete",O1627+L1627,"n.a."))</f>
        <v>0</v>
      </c>
      <c r="Q1627" s="16">
        <f>IF(NOT(Paths!$C$154=1),0,IF(Paths!$P$154="Complete",N1627*(1+'Operating costs'!$B$54)^-C1627,"n.a."))</f>
        <v>0</v>
      </c>
      <c r="R1627" s="16">
        <f>IF(NOT(Paths!$C$154=1),0,IF(Paths!$P$154="Complete",IF(AND(C1627=0,Paths!$E$154=0),I1627-J1627-K1627+VLOOKUP(A1627,'Fleet register'!$A$7:$S$106,15,FALSE)+VLOOKUP(A1627,'Fleet register'!$A$7:$S$106,16,FALSE),0),"n.a."))</f>
        <v>0</v>
      </c>
      <c r="S1627" s="1">
        <f>IF(NOT(Paths!$C$154=1),0,IF(Paths!$P$154="Complete",IF(C1627=0,0,Paths!$S$154*Paths!$R$154),"n.a."))</f>
        <v>0</v>
      </c>
      <c r="T1627" s="1">
        <f>IF(NOT(Paths!$C$154=1),0,IF(Paths!$P$154="Complete",IF(C1627=0,0,VLOOKUP(A1627,'Fleet register'!$A$7:$S$106,9,FALSE)*Paths!$R$154),"n.a."))</f>
        <v>0</v>
      </c>
    </row>
    <row r="1628" spans="1:20" ht="24" customHeight="1">
      <c r="A1628" s="1" t="str">
        <f>Paths!$A$154</f>
        <v>T037</v>
      </c>
      <c r="B1628" s="1">
        <f>Paths!$B$154</f>
        <v>3</v>
      </c>
      <c r="C1628" s="1">
        <v>4</v>
      </c>
      <c r="D1628" s="1">
        <v>154</v>
      </c>
      <c r="E1628" s="1">
        <f>IF(OR(Paths!$C$154=0,C1628=0),0,MAX(0,MIN(C1628*12,Paths!$E$154)-(C1628-1)*12))</f>
        <v>0</v>
      </c>
      <c r="F1628" s="1">
        <f>IF(OR(Paths!$C$154=0,C1628=0),0,12-E1628)</f>
        <v>0</v>
      </c>
      <c r="G1628" s="16">
        <f>IF(NOT(Paths!$C$154=1),0,IF(Paths!$P$154="Complete",E1628/12*(Paths!$J$154*(1+'Operating costs'!$B$51)^MAX(0,C1628-1)+Paths!$K$154*(1+'Operating costs'!$B$53)^MAX(0,C1628-1)),"n.a."))</f>
        <v>0</v>
      </c>
      <c r="H1628" s="16">
        <f>IF(NOT(Paths!$C$154=1),0,IF(Paths!$P$154="Complete",F1628/12*(Paths!$L$154*(1+IF(Paths!$D$154="EV",'Operating costs'!$B$52,'Operating costs'!$B$51))^MAX(0,C1628-1)+Paths!$M$154*(1+'Operating costs'!$B$53)^MAX(0,C1628-1)),"n.a."))</f>
        <v>0</v>
      </c>
      <c r="I1628" s="16">
        <f>IF(NOT(Paths!$C$154=1),0,IF(Paths!$P$154="Complete",IF(IF(Paths!$E$154=0,C1628=0,AND(C1628&gt;0,Paths!$E$154&gt;(C1628-1)*12,Paths!$E$154&lt;=C1628*12)),Paths!$G$154,0),"n.a."))</f>
        <v>0</v>
      </c>
      <c r="J1628" s="16">
        <f>IF(NOT(Paths!$C$154=1),0,IF(Paths!$P$154="Complete",IF(IF(Paths!$E$154=0,C1628=0,AND(C1628&gt;0,Paths!$E$154&gt;(C1628-1)*12,Paths!$E$154&lt;=C1628*12)),Paths!$H$154,0),"n.a."))</f>
        <v>0</v>
      </c>
      <c r="K1628" s="16">
        <f>IF(NOT(Paths!$C$154=1),0,IF(Paths!$P$154="Complete",IF(IF(Paths!$O$154=0,C1628=0,AND(C1628&gt;0,Paths!$O$154&gt;(C1628-1)*12,Paths!$O$154&lt;=C1628*12)),Paths!$N$154,0),"n.a."))</f>
        <v>0</v>
      </c>
      <c r="L1628" s="16">
        <f>IF(NOT(Paths!$C$154=1),0,IF(Paths!$P$154="Complete",IF(C1628=10,Paths!$I$154,0),"n.a."))</f>
        <v>0</v>
      </c>
      <c r="M1628" s="16">
        <f>IF(NOT(Paths!$C$154=1),0,IF(Paths!$P$154="Complete",IF(AND(Paths!$D$154="EV",Paths!$E$154&lt;120,Paths!$E$154+'Operating costs'!$B$65&gt;Paths!$E$154,Paths!$E$154+'Operating costs'!$B$65&lt;=120,IF(Paths!$E$154+'Operating costs'!$B$65=0,C1628=0,AND(C1628&gt;0,Paths!$E$154+'Operating costs'!$B$65&gt;(C1628-1)*12,Paths!$E$154+'Operating costs'!$B$65&lt;=C1628*12))),'Operating costs'!$B$64,0)+IF(AND('Operating costs'!$B$67&gt;0,'Operating costs'!$B$67&lt;=120,OR(Paths!$D$154="ICE",'Operating costs'!$B$67&lt;=Paths!$E$154),IF('Operating costs'!$B$67=0,C1628=0,AND(C1628&gt;0,'Operating costs'!$B$67&gt;(C1628-1)*12,'Operating costs'!$B$67&lt;=C1628*12))),'Operating costs'!$B$66,0),"n.a."))</f>
        <v>0</v>
      </c>
      <c r="N1628" s="16">
        <f>IF(NOT(Paths!$C$154=1),0,IF(Paths!$P$154="Complete",SUM(G1628:I1628)-J1628-K1628-L1628+M1628+IF(C1628=0,Paths!$F$154,0)+IF(IF(Paths!$E$154=0,C1628=0,AND(C1628&gt;0,Paths!$E$154&gt;(C1628-1)*12,Paths!$E$154&lt;=C1628*12)),VLOOKUP(A1628,'Fleet register'!$A$7:$S$106,16,FALSE),0),"n.a."))</f>
        <v>0</v>
      </c>
      <c r="O1628" s="16">
        <f>IF(NOT(Paths!$C$154=1),0,IF(Paths!$P$154="Complete",N1628-IF(C1628=0,Paths!$F$154,0),"n.a."))</f>
        <v>0</v>
      </c>
      <c r="P1628" s="16">
        <f>IF(NOT(Paths!$C$154=1),0,IF(Paths!$P$154="Complete",O1628+L1628,"n.a."))</f>
        <v>0</v>
      </c>
      <c r="Q1628" s="16">
        <f>IF(NOT(Paths!$C$154=1),0,IF(Paths!$P$154="Complete",N1628*(1+'Operating costs'!$B$54)^-C1628,"n.a."))</f>
        <v>0</v>
      </c>
      <c r="R1628" s="16">
        <f>IF(NOT(Paths!$C$154=1),0,IF(Paths!$P$154="Complete",IF(AND(C1628=0,Paths!$E$154=0),I1628-J1628-K1628+VLOOKUP(A1628,'Fleet register'!$A$7:$S$106,15,FALSE)+VLOOKUP(A1628,'Fleet register'!$A$7:$S$106,16,FALSE),0),"n.a."))</f>
        <v>0</v>
      </c>
      <c r="S1628" s="1">
        <f>IF(NOT(Paths!$C$154=1),0,IF(Paths!$P$154="Complete",IF(C1628=0,0,Paths!$S$154*Paths!$R$154),"n.a."))</f>
        <v>0</v>
      </c>
      <c r="T1628" s="1">
        <f>IF(NOT(Paths!$C$154=1),0,IF(Paths!$P$154="Complete",IF(C1628=0,0,VLOOKUP(A1628,'Fleet register'!$A$7:$S$106,9,FALSE)*Paths!$R$154),"n.a."))</f>
        <v>0</v>
      </c>
    </row>
    <row r="1629" spans="1:20" ht="24" customHeight="1">
      <c r="A1629" s="1" t="str">
        <f>Paths!$A$154</f>
        <v>T037</v>
      </c>
      <c r="B1629" s="1">
        <f>Paths!$B$154</f>
        <v>3</v>
      </c>
      <c r="C1629" s="1">
        <v>5</v>
      </c>
      <c r="D1629" s="1">
        <v>154</v>
      </c>
      <c r="E1629" s="1">
        <f>IF(OR(Paths!$C$154=0,C1629=0),0,MAX(0,MIN(C1629*12,Paths!$E$154)-(C1629-1)*12))</f>
        <v>0</v>
      </c>
      <c r="F1629" s="1">
        <f>IF(OR(Paths!$C$154=0,C1629=0),0,12-E1629)</f>
        <v>0</v>
      </c>
      <c r="G1629" s="16">
        <f>IF(NOT(Paths!$C$154=1),0,IF(Paths!$P$154="Complete",E1629/12*(Paths!$J$154*(1+'Operating costs'!$B$51)^MAX(0,C1629-1)+Paths!$K$154*(1+'Operating costs'!$B$53)^MAX(0,C1629-1)),"n.a."))</f>
        <v>0</v>
      </c>
      <c r="H1629" s="16">
        <f>IF(NOT(Paths!$C$154=1),0,IF(Paths!$P$154="Complete",F1629/12*(Paths!$L$154*(1+IF(Paths!$D$154="EV",'Operating costs'!$B$52,'Operating costs'!$B$51))^MAX(0,C1629-1)+Paths!$M$154*(1+'Operating costs'!$B$53)^MAX(0,C1629-1)),"n.a."))</f>
        <v>0</v>
      </c>
      <c r="I1629" s="16">
        <f>IF(NOT(Paths!$C$154=1),0,IF(Paths!$P$154="Complete",IF(IF(Paths!$E$154=0,C1629=0,AND(C1629&gt;0,Paths!$E$154&gt;(C1629-1)*12,Paths!$E$154&lt;=C1629*12)),Paths!$G$154,0),"n.a."))</f>
        <v>0</v>
      </c>
      <c r="J1629" s="16">
        <f>IF(NOT(Paths!$C$154=1),0,IF(Paths!$P$154="Complete",IF(IF(Paths!$E$154=0,C1629=0,AND(C1629&gt;0,Paths!$E$154&gt;(C1629-1)*12,Paths!$E$154&lt;=C1629*12)),Paths!$H$154,0),"n.a."))</f>
        <v>0</v>
      </c>
      <c r="K1629" s="16">
        <f>IF(NOT(Paths!$C$154=1),0,IF(Paths!$P$154="Complete",IF(IF(Paths!$O$154=0,C1629=0,AND(C1629&gt;0,Paths!$O$154&gt;(C1629-1)*12,Paths!$O$154&lt;=C1629*12)),Paths!$N$154,0),"n.a."))</f>
        <v>0</v>
      </c>
      <c r="L1629" s="16">
        <f>IF(NOT(Paths!$C$154=1),0,IF(Paths!$P$154="Complete",IF(C1629=10,Paths!$I$154,0),"n.a."))</f>
        <v>0</v>
      </c>
      <c r="M1629" s="16">
        <f>IF(NOT(Paths!$C$154=1),0,IF(Paths!$P$154="Complete",IF(AND(Paths!$D$154="EV",Paths!$E$154&lt;120,Paths!$E$154+'Operating costs'!$B$65&gt;Paths!$E$154,Paths!$E$154+'Operating costs'!$B$65&lt;=120,IF(Paths!$E$154+'Operating costs'!$B$65=0,C1629=0,AND(C1629&gt;0,Paths!$E$154+'Operating costs'!$B$65&gt;(C1629-1)*12,Paths!$E$154+'Operating costs'!$B$65&lt;=C1629*12))),'Operating costs'!$B$64,0)+IF(AND('Operating costs'!$B$67&gt;0,'Operating costs'!$B$67&lt;=120,OR(Paths!$D$154="ICE",'Operating costs'!$B$67&lt;=Paths!$E$154),IF('Operating costs'!$B$67=0,C1629=0,AND(C1629&gt;0,'Operating costs'!$B$67&gt;(C1629-1)*12,'Operating costs'!$B$67&lt;=C1629*12))),'Operating costs'!$B$66,0),"n.a."))</f>
        <v>0</v>
      </c>
      <c r="N1629" s="16">
        <f>IF(NOT(Paths!$C$154=1),0,IF(Paths!$P$154="Complete",SUM(G1629:I1629)-J1629-K1629-L1629+M1629+IF(C1629=0,Paths!$F$154,0)+IF(IF(Paths!$E$154=0,C1629=0,AND(C1629&gt;0,Paths!$E$154&gt;(C1629-1)*12,Paths!$E$154&lt;=C1629*12)),VLOOKUP(A1629,'Fleet register'!$A$7:$S$106,16,FALSE),0),"n.a."))</f>
        <v>0</v>
      </c>
      <c r="O1629" s="16">
        <f>IF(NOT(Paths!$C$154=1),0,IF(Paths!$P$154="Complete",N1629-IF(C1629=0,Paths!$F$154,0),"n.a."))</f>
        <v>0</v>
      </c>
      <c r="P1629" s="16">
        <f>IF(NOT(Paths!$C$154=1),0,IF(Paths!$P$154="Complete",O1629+L1629,"n.a."))</f>
        <v>0</v>
      </c>
      <c r="Q1629" s="16">
        <f>IF(NOT(Paths!$C$154=1),0,IF(Paths!$P$154="Complete",N1629*(1+'Operating costs'!$B$54)^-C1629,"n.a."))</f>
        <v>0</v>
      </c>
      <c r="R1629" s="16">
        <f>IF(NOT(Paths!$C$154=1),0,IF(Paths!$P$154="Complete",IF(AND(C1629=0,Paths!$E$154=0),I1629-J1629-K1629+VLOOKUP(A1629,'Fleet register'!$A$7:$S$106,15,FALSE)+VLOOKUP(A1629,'Fleet register'!$A$7:$S$106,16,FALSE),0),"n.a."))</f>
        <v>0</v>
      </c>
      <c r="S1629" s="1">
        <f>IF(NOT(Paths!$C$154=1),0,IF(Paths!$P$154="Complete",IF(C1629=0,0,Paths!$S$154*Paths!$R$154),"n.a."))</f>
        <v>0</v>
      </c>
      <c r="T1629" s="1">
        <f>IF(NOT(Paths!$C$154=1),0,IF(Paths!$P$154="Complete",IF(C1629=0,0,VLOOKUP(A1629,'Fleet register'!$A$7:$S$106,9,FALSE)*Paths!$R$154),"n.a."))</f>
        <v>0</v>
      </c>
    </row>
    <row r="1630" spans="1:20" ht="24" customHeight="1">
      <c r="A1630" s="1" t="str">
        <f>Paths!$A$154</f>
        <v>T037</v>
      </c>
      <c r="B1630" s="1">
        <f>Paths!$B$154</f>
        <v>3</v>
      </c>
      <c r="C1630" s="1">
        <v>6</v>
      </c>
      <c r="D1630" s="1">
        <v>154</v>
      </c>
      <c r="E1630" s="1">
        <f>IF(OR(Paths!$C$154=0,C1630=0),0,MAX(0,MIN(C1630*12,Paths!$E$154)-(C1630-1)*12))</f>
        <v>0</v>
      </c>
      <c r="F1630" s="1">
        <f>IF(OR(Paths!$C$154=0,C1630=0),0,12-E1630)</f>
        <v>0</v>
      </c>
      <c r="G1630" s="16">
        <f>IF(NOT(Paths!$C$154=1),0,IF(Paths!$P$154="Complete",E1630/12*(Paths!$J$154*(1+'Operating costs'!$B$51)^MAX(0,C1630-1)+Paths!$K$154*(1+'Operating costs'!$B$53)^MAX(0,C1630-1)),"n.a."))</f>
        <v>0</v>
      </c>
      <c r="H1630" s="16">
        <f>IF(NOT(Paths!$C$154=1),0,IF(Paths!$P$154="Complete",F1630/12*(Paths!$L$154*(1+IF(Paths!$D$154="EV",'Operating costs'!$B$52,'Operating costs'!$B$51))^MAX(0,C1630-1)+Paths!$M$154*(1+'Operating costs'!$B$53)^MAX(0,C1630-1)),"n.a."))</f>
        <v>0</v>
      </c>
      <c r="I1630" s="16">
        <f>IF(NOT(Paths!$C$154=1),0,IF(Paths!$P$154="Complete",IF(IF(Paths!$E$154=0,C1630=0,AND(C1630&gt;0,Paths!$E$154&gt;(C1630-1)*12,Paths!$E$154&lt;=C1630*12)),Paths!$G$154,0),"n.a."))</f>
        <v>0</v>
      </c>
      <c r="J1630" s="16">
        <f>IF(NOT(Paths!$C$154=1),0,IF(Paths!$P$154="Complete",IF(IF(Paths!$E$154=0,C1630=0,AND(C1630&gt;0,Paths!$E$154&gt;(C1630-1)*12,Paths!$E$154&lt;=C1630*12)),Paths!$H$154,0),"n.a."))</f>
        <v>0</v>
      </c>
      <c r="K1630" s="16">
        <f>IF(NOT(Paths!$C$154=1),0,IF(Paths!$P$154="Complete",IF(IF(Paths!$O$154=0,C1630=0,AND(C1630&gt;0,Paths!$O$154&gt;(C1630-1)*12,Paths!$O$154&lt;=C1630*12)),Paths!$N$154,0),"n.a."))</f>
        <v>0</v>
      </c>
      <c r="L1630" s="16">
        <f>IF(NOT(Paths!$C$154=1),0,IF(Paths!$P$154="Complete",IF(C1630=10,Paths!$I$154,0),"n.a."))</f>
        <v>0</v>
      </c>
      <c r="M1630" s="16">
        <f>IF(NOT(Paths!$C$154=1),0,IF(Paths!$P$154="Complete",IF(AND(Paths!$D$154="EV",Paths!$E$154&lt;120,Paths!$E$154+'Operating costs'!$B$65&gt;Paths!$E$154,Paths!$E$154+'Operating costs'!$B$65&lt;=120,IF(Paths!$E$154+'Operating costs'!$B$65=0,C1630=0,AND(C1630&gt;0,Paths!$E$154+'Operating costs'!$B$65&gt;(C1630-1)*12,Paths!$E$154+'Operating costs'!$B$65&lt;=C1630*12))),'Operating costs'!$B$64,0)+IF(AND('Operating costs'!$B$67&gt;0,'Operating costs'!$B$67&lt;=120,OR(Paths!$D$154="ICE",'Operating costs'!$B$67&lt;=Paths!$E$154),IF('Operating costs'!$B$67=0,C1630=0,AND(C1630&gt;0,'Operating costs'!$B$67&gt;(C1630-1)*12,'Operating costs'!$B$67&lt;=C1630*12))),'Operating costs'!$B$66,0),"n.a."))</f>
        <v>0</v>
      </c>
      <c r="N1630" s="16">
        <f>IF(NOT(Paths!$C$154=1),0,IF(Paths!$P$154="Complete",SUM(G1630:I1630)-J1630-K1630-L1630+M1630+IF(C1630=0,Paths!$F$154,0)+IF(IF(Paths!$E$154=0,C1630=0,AND(C1630&gt;0,Paths!$E$154&gt;(C1630-1)*12,Paths!$E$154&lt;=C1630*12)),VLOOKUP(A1630,'Fleet register'!$A$7:$S$106,16,FALSE),0),"n.a."))</f>
        <v>0</v>
      </c>
      <c r="O1630" s="16">
        <f>IF(NOT(Paths!$C$154=1),0,IF(Paths!$P$154="Complete",N1630-IF(C1630=0,Paths!$F$154,0),"n.a."))</f>
        <v>0</v>
      </c>
      <c r="P1630" s="16">
        <f>IF(NOT(Paths!$C$154=1),0,IF(Paths!$P$154="Complete",O1630+L1630,"n.a."))</f>
        <v>0</v>
      </c>
      <c r="Q1630" s="16">
        <f>IF(NOT(Paths!$C$154=1),0,IF(Paths!$P$154="Complete",N1630*(1+'Operating costs'!$B$54)^-C1630,"n.a."))</f>
        <v>0</v>
      </c>
      <c r="R1630" s="16">
        <f>IF(NOT(Paths!$C$154=1),0,IF(Paths!$P$154="Complete",IF(AND(C1630=0,Paths!$E$154=0),I1630-J1630-K1630+VLOOKUP(A1630,'Fleet register'!$A$7:$S$106,15,FALSE)+VLOOKUP(A1630,'Fleet register'!$A$7:$S$106,16,FALSE),0),"n.a."))</f>
        <v>0</v>
      </c>
      <c r="S1630" s="1">
        <f>IF(NOT(Paths!$C$154=1),0,IF(Paths!$P$154="Complete",IF(C1630=0,0,Paths!$S$154*Paths!$R$154),"n.a."))</f>
        <v>0</v>
      </c>
      <c r="T1630" s="1">
        <f>IF(NOT(Paths!$C$154=1),0,IF(Paths!$P$154="Complete",IF(C1630=0,0,VLOOKUP(A1630,'Fleet register'!$A$7:$S$106,9,FALSE)*Paths!$R$154),"n.a."))</f>
        <v>0</v>
      </c>
    </row>
    <row r="1631" spans="1:20" ht="24" customHeight="1">
      <c r="A1631" s="1" t="str">
        <f>Paths!$A$154</f>
        <v>T037</v>
      </c>
      <c r="B1631" s="1">
        <f>Paths!$B$154</f>
        <v>3</v>
      </c>
      <c r="C1631" s="1">
        <v>7</v>
      </c>
      <c r="D1631" s="1">
        <v>154</v>
      </c>
      <c r="E1631" s="1">
        <f>IF(OR(Paths!$C$154=0,C1631=0),0,MAX(0,MIN(C1631*12,Paths!$E$154)-(C1631-1)*12))</f>
        <v>0</v>
      </c>
      <c r="F1631" s="1">
        <f>IF(OR(Paths!$C$154=0,C1631=0),0,12-E1631)</f>
        <v>0</v>
      </c>
      <c r="G1631" s="16">
        <f>IF(NOT(Paths!$C$154=1),0,IF(Paths!$P$154="Complete",E1631/12*(Paths!$J$154*(1+'Operating costs'!$B$51)^MAX(0,C1631-1)+Paths!$K$154*(1+'Operating costs'!$B$53)^MAX(0,C1631-1)),"n.a."))</f>
        <v>0</v>
      </c>
      <c r="H1631" s="16">
        <f>IF(NOT(Paths!$C$154=1),0,IF(Paths!$P$154="Complete",F1631/12*(Paths!$L$154*(1+IF(Paths!$D$154="EV",'Operating costs'!$B$52,'Operating costs'!$B$51))^MAX(0,C1631-1)+Paths!$M$154*(1+'Operating costs'!$B$53)^MAX(0,C1631-1)),"n.a."))</f>
        <v>0</v>
      </c>
      <c r="I1631" s="16">
        <f>IF(NOT(Paths!$C$154=1),0,IF(Paths!$P$154="Complete",IF(IF(Paths!$E$154=0,C1631=0,AND(C1631&gt;0,Paths!$E$154&gt;(C1631-1)*12,Paths!$E$154&lt;=C1631*12)),Paths!$G$154,0),"n.a."))</f>
        <v>0</v>
      </c>
      <c r="J1631" s="16">
        <f>IF(NOT(Paths!$C$154=1),0,IF(Paths!$P$154="Complete",IF(IF(Paths!$E$154=0,C1631=0,AND(C1631&gt;0,Paths!$E$154&gt;(C1631-1)*12,Paths!$E$154&lt;=C1631*12)),Paths!$H$154,0),"n.a."))</f>
        <v>0</v>
      </c>
      <c r="K1631" s="16">
        <f>IF(NOT(Paths!$C$154=1),0,IF(Paths!$P$154="Complete",IF(IF(Paths!$O$154=0,C1631=0,AND(C1631&gt;0,Paths!$O$154&gt;(C1631-1)*12,Paths!$O$154&lt;=C1631*12)),Paths!$N$154,0),"n.a."))</f>
        <v>0</v>
      </c>
      <c r="L1631" s="16">
        <f>IF(NOT(Paths!$C$154=1),0,IF(Paths!$P$154="Complete",IF(C1631=10,Paths!$I$154,0),"n.a."))</f>
        <v>0</v>
      </c>
      <c r="M1631" s="16">
        <f>IF(NOT(Paths!$C$154=1),0,IF(Paths!$P$154="Complete",IF(AND(Paths!$D$154="EV",Paths!$E$154&lt;120,Paths!$E$154+'Operating costs'!$B$65&gt;Paths!$E$154,Paths!$E$154+'Operating costs'!$B$65&lt;=120,IF(Paths!$E$154+'Operating costs'!$B$65=0,C1631=0,AND(C1631&gt;0,Paths!$E$154+'Operating costs'!$B$65&gt;(C1631-1)*12,Paths!$E$154+'Operating costs'!$B$65&lt;=C1631*12))),'Operating costs'!$B$64,0)+IF(AND('Operating costs'!$B$67&gt;0,'Operating costs'!$B$67&lt;=120,OR(Paths!$D$154="ICE",'Operating costs'!$B$67&lt;=Paths!$E$154),IF('Operating costs'!$B$67=0,C1631=0,AND(C1631&gt;0,'Operating costs'!$B$67&gt;(C1631-1)*12,'Operating costs'!$B$67&lt;=C1631*12))),'Operating costs'!$B$66,0),"n.a."))</f>
        <v>0</v>
      </c>
      <c r="N1631" s="16">
        <f>IF(NOT(Paths!$C$154=1),0,IF(Paths!$P$154="Complete",SUM(G1631:I1631)-J1631-K1631-L1631+M1631+IF(C1631=0,Paths!$F$154,0)+IF(IF(Paths!$E$154=0,C1631=0,AND(C1631&gt;0,Paths!$E$154&gt;(C1631-1)*12,Paths!$E$154&lt;=C1631*12)),VLOOKUP(A1631,'Fleet register'!$A$7:$S$106,16,FALSE),0),"n.a."))</f>
        <v>0</v>
      </c>
      <c r="O1631" s="16">
        <f>IF(NOT(Paths!$C$154=1),0,IF(Paths!$P$154="Complete",N1631-IF(C1631=0,Paths!$F$154,0),"n.a."))</f>
        <v>0</v>
      </c>
      <c r="P1631" s="16">
        <f>IF(NOT(Paths!$C$154=1),0,IF(Paths!$P$154="Complete",O1631+L1631,"n.a."))</f>
        <v>0</v>
      </c>
      <c r="Q1631" s="16">
        <f>IF(NOT(Paths!$C$154=1),0,IF(Paths!$P$154="Complete",N1631*(1+'Operating costs'!$B$54)^-C1631,"n.a."))</f>
        <v>0</v>
      </c>
      <c r="R1631" s="16">
        <f>IF(NOT(Paths!$C$154=1),0,IF(Paths!$P$154="Complete",IF(AND(C1631=0,Paths!$E$154=0),I1631-J1631-K1631+VLOOKUP(A1631,'Fleet register'!$A$7:$S$106,15,FALSE)+VLOOKUP(A1631,'Fleet register'!$A$7:$S$106,16,FALSE),0),"n.a."))</f>
        <v>0</v>
      </c>
      <c r="S1631" s="1">
        <f>IF(NOT(Paths!$C$154=1),0,IF(Paths!$P$154="Complete",IF(C1631=0,0,Paths!$S$154*Paths!$R$154),"n.a."))</f>
        <v>0</v>
      </c>
      <c r="T1631" s="1">
        <f>IF(NOT(Paths!$C$154=1),0,IF(Paths!$P$154="Complete",IF(C1631=0,0,VLOOKUP(A1631,'Fleet register'!$A$7:$S$106,9,FALSE)*Paths!$R$154),"n.a."))</f>
        <v>0</v>
      </c>
    </row>
    <row r="1632" spans="1:20" ht="24" customHeight="1">
      <c r="A1632" s="1" t="str">
        <f>Paths!$A$154</f>
        <v>T037</v>
      </c>
      <c r="B1632" s="1">
        <f>Paths!$B$154</f>
        <v>3</v>
      </c>
      <c r="C1632" s="1">
        <v>8</v>
      </c>
      <c r="D1632" s="1">
        <v>154</v>
      </c>
      <c r="E1632" s="1">
        <f>IF(OR(Paths!$C$154=0,C1632=0),0,MAX(0,MIN(C1632*12,Paths!$E$154)-(C1632-1)*12))</f>
        <v>0</v>
      </c>
      <c r="F1632" s="1">
        <f>IF(OR(Paths!$C$154=0,C1632=0),0,12-E1632)</f>
        <v>0</v>
      </c>
      <c r="G1632" s="16">
        <f>IF(NOT(Paths!$C$154=1),0,IF(Paths!$P$154="Complete",E1632/12*(Paths!$J$154*(1+'Operating costs'!$B$51)^MAX(0,C1632-1)+Paths!$K$154*(1+'Operating costs'!$B$53)^MAX(0,C1632-1)),"n.a."))</f>
        <v>0</v>
      </c>
      <c r="H1632" s="16">
        <f>IF(NOT(Paths!$C$154=1),0,IF(Paths!$P$154="Complete",F1632/12*(Paths!$L$154*(1+IF(Paths!$D$154="EV",'Operating costs'!$B$52,'Operating costs'!$B$51))^MAX(0,C1632-1)+Paths!$M$154*(1+'Operating costs'!$B$53)^MAX(0,C1632-1)),"n.a."))</f>
        <v>0</v>
      </c>
      <c r="I1632" s="16">
        <f>IF(NOT(Paths!$C$154=1),0,IF(Paths!$P$154="Complete",IF(IF(Paths!$E$154=0,C1632=0,AND(C1632&gt;0,Paths!$E$154&gt;(C1632-1)*12,Paths!$E$154&lt;=C1632*12)),Paths!$G$154,0),"n.a."))</f>
        <v>0</v>
      </c>
      <c r="J1632" s="16">
        <f>IF(NOT(Paths!$C$154=1),0,IF(Paths!$P$154="Complete",IF(IF(Paths!$E$154=0,C1632=0,AND(C1632&gt;0,Paths!$E$154&gt;(C1632-1)*12,Paths!$E$154&lt;=C1632*12)),Paths!$H$154,0),"n.a."))</f>
        <v>0</v>
      </c>
      <c r="K1632" s="16">
        <f>IF(NOT(Paths!$C$154=1),0,IF(Paths!$P$154="Complete",IF(IF(Paths!$O$154=0,C1632=0,AND(C1632&gt;0,Paths!$O$154&gt;(C1632-1)*12,Paths!$O$154&lt;=C1632*12)),Paths!$N$154,0),"n.a."))</f>
        <v>0</v>
      </c>
      <c r="L1632" s="16">
        <f>IF(NOT(Paths!$C$154=1),0,IF(Paths!$P$154="Complete",IF(C1632=10,Paths!$I$154,0),"n.a."))</f>
        <v>0</v>
      </c>
      <c r="M1632" s="16">
        <f>IF(NOT(Paths!$C$154=1),0,IF(Paths!$P$154="Complete",IF(AND(Paths!$D$154="EV",Paths!$E$154&lt;120,Paths!$E$154+'Operating costs'!$B$65&gt;Paths!$E$154,Paths!$E$154+'Operating costs'!$B$65&lt;=120,IF(Paths!$E$154+'Operating costs'!$B$65=0,C1632=0,AND(C1632&gt;0,Paths!$E$154+'Operating costs'!$B$65&gt;(C1632-1)*12,Paths!$E$154+'Operating costs'!$B$65&lt;=C1632*12))),'Operating costs'!$B$64,0)+IF(AND('Operating costs'!$B$67&gt;0,'Operating costs'!$B$67&lt;=120,OR(Paths!$D$154="ICE",'Operating costs'!$B$67&lt;=Paths!$E$154),IF('Operating costs'!$B$67=0,C1632=0,AND(C1632&gt;0,'Operating costs'!$B$67&gt;(C1632-1)*12,'Operating costs'!$B$67&lt;=C1632*12))),'Operating costs'!$B$66,0),"n.a."))</f>
        <v>0</v>
      </c>
      <c r="N1632" s="16">
        <f>IF(NOT(Paths!$C$154=1),0,IF(Paths!$P$154="Complete",SUM(G1632:I1632)-J1632-K1632-L1632+M1632+IF(C1632=0,Paths!$F$154,0)+IF(IF(Paths!$E$154=0,C1632=0,AND(C1632&gt;0,Paths!$E$154&gt;(C1632-1)*12,Paths!$E$154&lt;=C1632*12)),VLOOKUP(A1632,'Fleet register'!$A$7:$S$106,16,FALSE),0),"n.a."))</f>
        <v>0</v>
      </c>
      <c r="O1632" s="16">
        <f>IF(NOT(Paths!$C$154=1),0,IF(Paths!$P$154="Complete",N1632-IF(C1632=0,Paths!$F$154,0),"n.a."))</f>
        <v>0</v>
      </c>
      <c r="P1632" s="16">
        <f>IF(NOT(Paths!$C$154=1),0,IF(Paths!$P$154="Complete",O1632+L1632,"n.a."))</f>
        <v>0</v>
      </c>
      <c r="Q1632" s="16">
        <f>IF(NOT(Paths!$C$154=1),0,IF(Paths!$P$154="Complete",N1632*(1+'Operating costs'!$B$54)^-C1632,"n.a."))</f>
        <v>0</v>
      </c>
      <c r="R1632" s="16">
        <f>IF(NOT(Paths!$C$154=1),0,IF(Paths!$P$154="Complete",IF(AND(C1632=0,Paths!$E$154=0),I1632-J1632-K1632+VLOOKUP(A1632,'Fleet register'!$A$7:$S$106,15,FALSE)+VLOOKUP(A1632,'Fleet register'!$A$7:$S$106,16,FALSE),0),"n.a."))</f>
        <v>0</v>
      </c>
      <c r="S1632" s="1">
        <f>IF(NOT(Paths!$C$154=1),0,IF(Paths!$P$154="Complete",IF(C1632=0,0,Paths!$S$154*Paths!$R$154),"n.a."))</f>
        <v>0</v>
      </c>
      <c r="T1632" s="1">
        <f>IF(NOT(Paths!$C$154=1),0,IF(Paths!$P$154="Complete",IF(C1632=0,0,VLOOKUP(A1632,'Fleet register'!$A$7:$S$106,9,FALSE)*Paths!$R$154),"n.a."))</f>
        <v>0</v>
      </c>
    </row>
    <row r="1633" spans="1:20" ht="24" customHeight="1">
      <c r="A1633" s="1" t="str">
        <f>Paths!$A$154</f>
        <v>T037</v>
      </c>
      <c r="B1633" s="1">
        <f>Paths!$B$154</f>
        <v>3</v>
      </c>
      <c r="C1633" s="1">
        <v>9</v>
      </c>
      <c r="D1633" s="1">
        <v>154</v>
      </c>
      <c r="E1633" s="1">
        <f>IF(OR(Paths!$C$154=0,C1633=0),0,MAX(0,MIN(C1633*12,Paths!$E$154)-(C1633-1)*12))</f>
        <v>0</v>
      </c>
      <c r="F1633" s="1">
        <f>IF(OR(Paths!$C$154=0,C1633=0),0,12-E1633)</f>
        <v>0</v>
      </c>
      <c r="G1633" s="16">
        <f>IF(NOT(Paths!$C$154=1),0,IF(Paths!$P$154="Complete",E1633/12*(Paths!$J$154*(1+'Operating costs'!$B$51)^MAX(0,C1633-1)+Paths!$K$154*(1+'Operating costs'!$B$53)^MAX(0,C1633-1)),"n.a."))</f>
        <v>0</v>
      </c>
      <c r="H1633" s="16">
        <f>IF(NOT(Paths!$C$154=1),0,IF(Paths!$P$154="Complete",F1633/12*(Paths!$L$154*(1+IF(Paths!$D$154="EV",'Operating costs'!$B$52,'Operating costs'!$B$51))^MAX(0,C1633-1)+Paths!$M$154*(1+'Operating costs'!$B$53)^MAX(0,C1633-1)),"n.a."))</f>
        <v>0</v>
      </c>
      <c r="I1633" s="16">
        <f>IF(NOT(Paths!$C$154=1),0,IF(Paths!$P$154="Complete",IF(IF(Paths!$E$154=0,C1633=0,AND(C1633&gt;0,Paths!$E$154&gt;(C1633-1)*12,Paths!$E$154&lt;=C1633*12)),Paths!$G$154,0),"n.a."))</f>
        <v>0</v>
      </c>
      <c r="J1633" s="16">
        <f>IF(NOT(Paths!$C$154=1),0,IF(Paths!$P$154="Complete",IF(IF(Paths!$E$154=0,C1633=0,AND(C1633&gt;0,Paths!$E$154&gt;(C1633-1)*12,Paths!$E$154&lt;=C1633*12)),Paths!$H$154,0),"n.a."))</f>
        <v>0</v>
      </c>
      <c r="K1633" s="16">
        <f>IF(NOT(Paths!$C$154=1),0,IF(Paths!$P$154="Complete",IF(IF(Paths!$O$154=0,C1633=0,AND(C1633&gt;0,Paths!$O$154&gt;(C1633-1)*12,Paths!$O$154&lt;=C1633*12)),Paths!$N$154,0),"n.a."))</f>
        <v>0</v>
      </c>
      <c r="L1633" s="16">
        <f>IF(NOT(Paths!$C$154=1),0,IF(Paths!$P$154="Complete",IF(C1633=10,Paths!$I$154,0),"n.a."))</f>
        <v>0</v>
      </c>
      <c r="M1633" s="16">
        <f>IF(NOT(Paths!$C$154=1),0,IF(Paths!$P$154="Complete",IF(AND(Paths!$D$154="EV",Paths!$E$154&lt;120,Paths!$E$154+'Operating costs'!$B$65&gt;Paths!$E$154,Paths!$E$154+'Operating costs'!$B$65&lt;=120,IF(Paths!$E$154+'Operating costs'!$B$65=0,C1633=0,AND(C1633&gt;0,Paths!$E$154+'Operating costs'!$B$65&gt;(C1633-1)*12,Paths!$E$154+'Operating costs'!$B$65&lt;=C1633*12))),'Operating costs'!$B$64,0)+IF(AND('Operating costs'!$B$67&gt;0,'Operating costs'!$B$67&lt;=120,OR(Paths!$D$154="ICE",'Operating costs'!$B$67&lt;=Paths!$E$154),IF('Operating costs'!$B$67=0,C1633=0,AND(C1633&gt;0,'Operating costs'!$B$67&gt;(C1633-1)*12,'Operating costs'!$B$67&lt;=C1633*12))),'Operating costs'!$B$66,0),"n.a."))</f>
        <v>0</v>
      </c>
      <c r="N1633" s="16">
        <f>IF(NOT(Paths!$C$154=1),0,IF(Paths!$P$154="Complete",SUM(G1633:I1633)-J1633-K1633-L1633+M1633+IF(C1633=0,Paths!$F$154,0)+IF(IF(Paths!$E$154=0,C1633=0,AND(C1633&gt;0,Paths!$E$154&gt;(C1633-1)*12,Paths!$E$154&lt;=C1633*12)),VLOOKUP(A1633,'Fleet register'!$A$7:$S$106,16,FALSE),0),"n.a."))</f>
        <v>0</v>
      </c>
      <c r="O1633" s="16">
        <f>IF(NOT(Paths!$C$154=1),0,IF(Paths!$P$154="Complete",N1633-IF(C1633=0,Paths!$F$154,0),"n.a."))</f>
        <v>0</v>
      </c>
      <c r="P1633" s="16">
        <f>IF(NOT(Paths!$C$154=1),0,IF(Paths!$P$154="Complete",O1633+L1633,"n.a."))</f>
        <v>0</v>
      </c>
      <c r="Q1633" s="16">
        <f>IF(NOT(Paths!$C$154=1),0,IF(Paths!$P$154="Complete",N1633*(1+'Operating costs'!$B$54)^-C1633,"n.a."))</f>
        <v>0</v>
      </c>
      <c r="R1633" s="16">
        <f>IF(NOT(Paths!$C$154=1),0,IF(Paths!$P$154="Complete",IF(AND(C1633=0,Paths!$E$154=0),I1633-J1633-K1633+VLOOKUP(A1633,'Fleet register'!$A$7:$S$106,15,FALSE)+VLOOKUP(A1633,'Fleet register'!$A$7:$S$106,16,FALSE),0),"n.a."))</f>
        <v>0</v>
      </c>
      <c r="S1633" s="1">
        <f>IF(NOT(Paths!$C$154=1),0,IF(Paths!$P$154="Complete",IF(C1633=0,0,Paths!$S$154*Paths!$R$154),"n.a."))</f>
        <v>0</v>
      </c>
      <c r="T1633" s="1">
        <f>IF(NOT(Paths!$C$154=1),0,IF(Paths!$P$154="Complete",IF(C1633=0,0,VLOOKUP(A1633,'Fleet register'!$A$7:$S$106,9,FALSE)*Paths!$R$154),"n.a."))</f>
        <v>0</v>
      </c>
    </row>
    <row r="1634" spans="1:20" ht="24" customHeight="1">
      <c r="A1634" s="1" t="str">
        <f>Paths!$A$154</f>
        <v>T037</v>
      </c>
      <c r="B1634" s="1">
        <f>Paths!$B$154</f>
        <v>3</v>
      </c>
      <c r="C1634" s="1">
        <v>10</v>
      </c>
      <c r="D1634" s="1">
        <v>154</v>
      </c>
      <c r="E1634" s="1">
        <f>IF(OR(Paths!$C$154=0,C1634=0),0,MAX(0,MIN(C1634*12,Paths!$E$154)-(C1634-1)*12))</f>
        <v>0</v>
      </c>
      <c r="F1634" s="1">
        <f>IF(OR(Paths!$C$154=0,C1634=0),0,12-E1634)</f>
        <v>0</v>
      </c>
      <c r="G1634" s="16">
        <f>IF(NOT(Paths!$C$154=1),0,IF(Paths!$P$154="Complete",E1634/12*(Paths!$J$154*(1+'Operating costs'!$B$51)^MAX(0,C1634-1)+Paths!$K$154*(1+'Operating costs'!$B$53)^MAX(0,C1634-1)),"n.a."))</f>
        <v>0</v>
      </c>
      <c r="H1634" s="16">
        <f>IF(NOT(Paths!$C$154=1),0,IF(Paths!$P$154="Complete",F1634/12*(Paths!$L$154*(1+IF(Paths!$D$154="EV",'Operating costs'!$B$52,'Operating costs'!$B$51))^MAX(0,C1634-1)+Paths!$M$154*(1+'Operating costs'!$B$53)^MAX(0,C1634-1)),"n.a."))</f>
        <v>0</v>
      </c>
      <c r="I1634" s="16">
        <f>IF(NOT(Paths!$C$154=1),0,IF(Paths!$P$154="Complete",IF(IF(Paths!$E$154=0,C1634=0,AND(C1634&gt;0,Paths!$E$154&gt;(C1634-1)*12,Paths!$E$154&lt;=C1634*12)),Paths!$G$154,0),"n.a."))</f>
        <v>0</v>
      </c>
      <c r="J1634" s="16">
        <f>IF(NOT(Paths!$C$154=1),0,IF(Paths!$P$154="Complete",IF(IF(Paths!$E$154=0,C1634=0,AND(C1634&gt;0,Paths!$E$154&gt;(C1634-1)*12,Paths!$E$154&lt;=C1634*12)),Paths!$H$154,0),"n.a."))</f>
        <v>0</v>
      </c>
      <c r="K1634" s="16">
        <f>IF(NOT(Paths!$C$154=1),0,IF(Paths!$P$154="Complete",IF(IF(Paths!$O$154=0,C1634=0,AND(C1634&gt;0,Paths!$O$154&gt;(C1634-1)*12,Paths!$O$154&lt;=C1634*12)),Paths!$N$154,0),"n.a."))</f>
        <v>0</v>
      </c>
      <c r="L1634" s="16">
        <f>IF(NOT(Paths!$C$154=1),0,IF(Paths!$P$154="Complete",IF(C1634=10,Paths!$I$154,0),"n.a."))</f>
        <v>0</v>
      </c>
      <c r="M1634" s="16">
        <f>IF(NOT(Paths!$C$154=1),0,IF(Paths!$P$154="Complete",IF(AND(Paths!$D$154="EV",Paths!$E$154&lt;120,Paths!$E$154+'Operating costs'!$B$65&gt;Paths!$E$154,Paths!$E$154+'Operating costs'!$B$65&lt;=120,IF(Paths!$E$154+'Operating costs'!$B$65=0,C1634=0,AND(C1634&gt;0,Paths!$E$154+'Operating costs'!$B$65&gt;(C1634-1)*12,Paths!$E$154+'Operating costs'!$B$65&lt;=C1634*12))),'Operating costs'!$B$64,0)+IF(AND('Operating costs'!$B$67&gt;0,'Operating costs'!$B$67&lt;=120,OR(Paths!$D$154="ICE",'Operating costs'!$B$67&lt;=Paths!$E$154),IF('Operating costs'!$B$67=0,C1634=0,AND(C1634&gt;0,'Operating costs'!$B$67&gt;(C1634-1)*12,'Operating costs'!$B$67&lt;=C1634*12))),'Operating costs'!$B$66,0),"n.a."))</f>
        <v>0</v>
      </c>
      <c r="N1634" s="16">
        <f>IF(NOT(Paths!$C$154=1),0,IF(Paths!$P$154="Complete",SUM(G1634:I1634)-J1634-K1634-L1634+M1634+IF(C1634=0,Paths!$F$154,0)+IF(IF(Paths!$E$154=0,C1634=0,AND(C1634&gt;0,Paths!$E$154&gt;(C1634-1)*12,Paths!$E$154&lt;=C1634*12)),VLOOKUP(A1634,'Fleet register'!$A$7:$S$106,16,FALSE),0),"n.a."))</f>
        <v>0</v>
      </c>
      <c r="O1634" s="16">
        <f>IF(NOT(Paths!$C$154=1),0,IF(Paths!$P$154="Complete",N1634-IF(C1634=0,Paths!$F$154,0),"n.a."))</f>
        <v>0</v>
      </c>
      <c r="P1634" s="16">
        <f>IF(NOT(Paths!$C$154=1),0,IF(Paths!$P$154="Complete",O1634+L1634,"n.a."))</f>
        <v>0</v>
      </c>
      <c r="Q1634" s="16">
        <f>IF(NOT(Paths!$C$154=1),0,IF(Paths!$P$154="Complete",N1634*(1+'Operating costs'!$B$54)^-C1634,"n.a."))</f>
        <v>0</v>
      </c>
      <c r="R1634" s="16">
        <f>IF(NOT(Paths!$C$154=1),0,IF(Paths!$P$154="Complete",IF(AND(C1634=0,Paths!$E$154=0),I1634-J1634-K1634+VLOOKUP(A1634,'Fleet register'!$A$7:$S$106,15,FALSE)+VLOOKUP(A1634,'Fleet register'!$A$7:$S$106,16,FALSE),0),"n.a."))</f>
        <v>0</v>
      </c>
      <c r="S1634" s="1">
        <f>IF(NOT(Paths!$C$154=1),0,IF(Paths!$P$154="Complete",IF(C1634=0,0,Paths!$S$154*Paths!$R$154),"n.a."))</f>
        <v>0</v>
      </c>
      <c r="T1634" s="1">
        <f>IF(NOT(Paths!$C$154=1),0,IF(Paths!$P$154="Complete",IF(C1634=0,0,VLOOKUP(A1634,'Fleet register'!$A$7:$S$106,9,FALSE)*Paths!$R$154),"n.a."))</f>
        <v>0</v>
      </c>
    </row>
    <row r="1635" spans="1:20" ht="24" customHeight="1">
      <c r="A1635" s="1" t="str">
        <f>Paths!$A$155</f>
        <v>T038</v>
      </c>
      <c r="B1635" s="1">
        <f>Paths!$B$155</f>
        <v>0</v>
      </c>
      <c r="C1635" s="1">
        <v>0</v>
      </c>
      <c r="D1635" s="1">
        <v>155</v>
      </c>
      <c r="E1635" s="1">
        <f>IF(OR(Paths!$C$155=0,C1635=0),0,MAX(0,MIN(C1635*12,Paths!$E$155)-(C1635-1)*12))</f>
        <v>0</v>
      </c>
      <c r="F1635" s="1">
        <f>IF(OR(Paths!$C$155=0,C1635=0),0,12-E1635)</f>
        <v>0</v>
      </c>
      <c r="G1635" s="16">
        <f>IF(NOT(Paths!$C$155=1),0,IF(Paths!$P$155="Complete",E1635/12*(Paths!$J$155*(1+'Operating costs'!$B$51)^MAX(0,C1635-1)+Paths!$K$155*(1+'Operating costs'!$B$53)^MAX(0,C1635-1)),"n.a."))</f>
        <v>0</v>
      </c>
      <c r="H1635" s="16">
        <f>IF(NOT(Paths!$C$155=1),0,IF(Paths!$P$155="Complete",F1635/12*(Paths!$L$155*(1+IF(Paths!$D$155="EV",'Operating costs'!$B$52,'Operating costs'!$B$51))^MAX(0,C1635-1)+Paths!$M$155*(1+'Operating costs'!$B$53)^MAX(0,C1635-1)),"n.a."))</f>
        <v>0</v>
      </c>
      <c r="I1635" s="16">
        <f>IF(NOT(Paths!$C$155=1),0,IF(Paths!$P$155="Complete",IF(IF(Paths!$E$155=0,C1635=0,AND(C1635&gt;0,Paths!$E$155&gt;(C1635-1)*12,Paths!$E$155&lt;=C1635*12)),Paths!$G$155,0),"n.a."))</f>
        <v>0</v>
      </c>
      <c r="J1635" s="16">
        <f>IF(NOT(Paths!$C$155=1),0,IF(Paths!$P$155="Complete",IF(IF(Paths!$E$155=0,C1635=0,AND(C1635&gt;0,Paths!$E$155&gt;(C1635-1)*12,Paths!$E$155&lt;=C1635*12)),Paths!$H$155,0),"n.a."))</f>
        <v>0</v>
      </c>
      <c r="K1635" s="16">
        <f>IF(NOT(Paths!$C$155=1),0,IF(Paths!$P$155="Complete",IF(IF(Paths!$O$155=0,C1635=0,AND(C1635&gt;0,Paths!$O$155&gt;(C1635-1)*12,Paths!$O$155&lt;=C1635*12)),Paths!$N$155,0),"n.a."))</f>
        <v>0</v>
      </c>
      <c r="L1635" s="16">
        <f>IF(NOT(Paths!$C$155=1),0,IF(Paths!$P$155="Complete",IF(C1635=10,Paths!$I$155,0),"n.a."))</f>
        <v>0</v>
      </c>
      <c r="M1635" s="16">
        <f>IF(NOT(Paths!$C$155=1),0,IF(Paths!$P$155="Complete",IF(AND(Paths!$D$155="EV",Paths!$E$155&lt;120,Paths!$E$155+'Operating costs'!$B$65&gt;Paths!$E$155,Paths!$E$155+'Operating costs'!$B$65&lt;=120,IF(Paths!$E$155+'Operating costs'!$B$65=0,C1635=0,AND(C1635&gt;0,Paths!$E$155+'Operating costs'!$B$65&gt;(C1635-1)*12,Paths!$E$155+'Operating costs'!$B$65&lt;=C1635*12))),'Operating costs'!$B$64,0)+IF(AND('Operating costs'!$B$67&gt;0,'Operating costs'!$B$67&lt;=120,OR(Paths!$D$155="ICE",'Operating costs'!$B$67&lt;=Paths!$E$155),IF('Operating costs'!$B$67=0,C1635=0,AND(C1635&gt;0,'Operating costs'!$B$67&gt;(C1635-1)*12,'Operating costs'!$B$67&lt;=C1635*12))),'Operating costs'!$B$66,0),"n.a."))</f>
        <v>0</v>
      </c>
      <c r="N1635" s="16">
        <f>IF(NOT(Paths!$C$155=1),0,IF(Paths!$P$155="Complete",SUM(G1635:I1635)-J1635-K1635-L1635+M1635+IF(C1635=0,Paths!$F$155,0)+IF(IF(Paths!$E$155=0,C1635=0,AND(C1635&gt;0,Paths!$E$155&gt;(C1635-1)*12,Paths!$E$155&lt;=C1635*12)),VLOOKUP(A1635,'Fleet register'!$A$7:$S$106,16,FALSE),0),"n.a."))</f>
        <v>0</v>
      </c>
      <c r="O1635" s="16">
        <f>IF(NOT(Paths!$C$155=1),0,IF(Paths!$P$155="Complete",N1635-IF(C1635=0,Paths!$F$155,0),"n.a."))</f>
        <v>0</v>
      </c>
      <c r="P1635" s="16">
        <f>IF(NOT(Paths!$C$155=1),0,IF(Paths!$P$155="Complete",O1635+L1635,"n.a."))</f>
        <v>0</v>
      </c>
      <c r="Q1635" s="16">
        <f>IF(NOT(Paths!$C$155=1),0,IF(Paths!$P$155="Complete",N1635*(1+'Operating costs'!$B$54)^-C1635,"n.a."))</f>
        <v>0</v>
      </c>
      <c r="R1635" s="16">
        <f>IF(NOT(Paths!$C$155=1),0,IF(Paths!$P$155="Complete",IF(AND(C1635=0,Paths!$E$155=0),I1635-J1635-K1635+VLOOKUP(A1635,'Fleet register'!$A$7:$S$106,15,FALSE)+VLOOKUP(A1635,'Fleet register'!$A$7:$S$106,16,FALSE),0),"n.a."))</f>
        <v>0</v>
      </c>
      <c r="S1635" s="1">
        <f>IF(NOT(Paths!$C$155=1),0,IF(Paths!$P$155="Complete",IF(C1635=0,0,Paths!$S$155*Paths!$R$155),"n.a."))</f>
        <v>0</v>
      </c>
      <c r="T1635" s="1">
        <f>IF(NOT(Paths!$C$155=1),0,IF(Paths!$P$155="Complete",IF(C1635=0,0,VLOOKUP(A1635,'Fleet register'!$A$7:$S$106,9,FALSE)*Paths!$R$155),"n.a."))</f>
        <v>0</v>
      </c>
    </row>
    <row r="1636" spans="1:20" ht="24" customHeight="1">
      <c r="A1636" s="1" t="str">
        <f>Paths!$A$155</f>
        <v>T038</v>
      </c>
      <c r="B1636" s="1">
        <f>Paths!$B$155</f>
        <v>0</v>
      </c>
      <c r="C1636" s="1">
        <v>1</v>
      </c>
      <c r="D1636" s="1">
        <v>155</v>
      </c>
      <c r="E1636" s="1">
        <f>IF(OR(Paths!$C$155=0,C1636=0),0,MAX(0,MIN(C1636*12,Paths!$E$155)-(C1636-1)*12))</f>
        <v>0</v>
      </c>
      <c r="F1636" s="1">
        <f>IF(OR(Paths!$C$155=0,C1636=0),0,12-E1636)</f>
        <v>0</v>
      </c>
      <c r="G1636" s="16">
        <f>IF(NOT(Paths!$C$155=1),0,IF(Paths!$P$155="Complete",E1636/12*(Paths!$J$155*(1+'Operating costs'!$B$51)^MAX(0,C1636-1)+Paths!$K$155*(1+'Operating costs'!$B$53)^MAX(0,C1636-1)),"n.a."))</f>
        <v>0</v>
      </c>
      <c r="H1636" s="16">
        <f>IF(NOT(Paths!$C$155=1),0,IF(Paths!$P$155="Complete",F1636/12*(Paths!$L$155*(1+IF(Paths!$D$155="EV",'Operating costs'!$B$52,'Operating costs'!$B$51))^MAX(0,C1636-1)+Paths!$M$155*(1+'Operating costs'!$B$53)^MAX(0,C1636-1)),"n.a."))</f>
        <v>0</v>
      </c>
      <c r="I1636" s="16">
        <f>IF(NOT(Paths!$C$155=1),0,IF(Paths!$P$155="Complete",IF(IF(Paths!$E$155=0,C1636=0,AND(C1636&gt;0,Paths!$E$155&gt;(C1636-1)*12,Paths!$E$155&lt;=C1636*12)),Paths!$G$155,0),"n.a."))</f>
        <v>0</v>
      </c>
      <c r="J1636" s="16">
        <f>IF(NOT(Paths!$C$155=1),0,IF(Paths!$P$155="Complete",IF(IF(Paths!$E$155=0,C1636=0,AND(C1636&gt;0,Paths!$E$155&gt;(C1636-1)*12,Paths!$E$155&lt;=C1636*12)),Paths!$H$155,0),"n.a."))</f>
        <v>0</v>
      </c>
      <c r="K1636" s="16">
        <f>IF(NOT(Paths!$C$155=1),0,IF(Paths!$P$155="Complete",IF(IF(Paths!$O$155=0,C1636=0,AND(C1636&gt;0,Paths!$O$155&gt;(C1636-1)*12,Paths!$O$155&lt;=C1636*12)),Paths!$N$155,0),"n.a."))</f>
        <v>0</v>
      </c>
      <c r="L1636" s="16">
        <f>IF(NOT(Paths!$C$155=1),0,IF(Paths!$P$155="Complete",IF(C1636=10,Paths!$I$155,0),"n.a."))</f>
        <v>0</v>
      </c>
      <c r="M1636" s="16">
        <f>IF(NOT(Paths!$C$155=1),0,IF(Paths!$P$155="Complete",IF(AND(Paths!$D$155="EV",Paths!$E$155&lt;120,Paths!$E$155+'Operating costs'!$B$65&gt;Paths!$E$155,Paths!$E$155+'Operating costs'!$B$65&lt;=120,IF(Paths!$E$155+'Operating costs'!$B$65=0,C1636=0,AND(C1636&gt;0,Paths!$E$155+'Operating costs'!$B$65&gt;(C1636-1)*12,Paths!$E$155+'Operating costs'!$B$65&lt;=C1636*12))),'Operating costs'!$B$64,0)+IF(AND('Operating costs'!$B$67&gt;0,'Operating costs'!$B$67&lt;=120,OR(Paths!$D$155="ICE",'Operating costs'!$B$67&lt;=Paths!$E$155),IF('Operating costs'!$B$67=0,C1636=0,AND(C1636&gt;0,'Operating costs'!$B$67&gt;(C1636-1)*12,'Operating costs'!$B$67&lt;=C1636*12))),'Operating costs'!$B$66,0),"n.a."))</f>
        <v>0</v>
      </c>
      <c r="N1636" s="16">
        <f>IF(NOT(Paths!$C$155=1),0,IF(Paths!$P$155="Complete",SUM(G1636:I1636)-J1636-K1636-L1636+M1636+IF(C1636=0,Paths!$F$155,0)+IF(IF(Paths!$E$155=0,C1636=0,AND(C1636&gt;0,Paths!$E$155&gt;(C1636-1)*12,Paths!$E$155&lt;=C1636*12)),VLOOKUP(A1636,'Fleet register'!$A$7:$S$106,16,FALSE),0),"n.a."))</f>
        <v>0</v>
      </c>
      <c r="O1636" s="16">
        <f>IF(NOT(Paths!$C$155=1),0,IF(Paths!$P$155="Complete",N1636-IF(C1636=0,Paths!$F$155,0),"n.a."))</f>
        <v>0</v>
      </c>
      <c r="P1636" s="16">
        <f>IF(NOT(Paths!$C$155=1),0,IF(Paths!$P$155="Complete",O1636+L1636,"n.a."))</f>
        <v>0</v>
      </c>
      <c r="Q1636" s="16">
        <f>IF(NOT(Paths!$C$155=1),0,IF(Paths!$P$155="Complete",N1636*(1+'Operating costs'!$B$54)^-C1636,"n.a."))</f>
        <v>0</v>
      </c>
      <c r="R1636" s="16">
        <f>IF(NOT(Paths!$C$155=1),0,IF(Paths!$P$155="Complete",IF(AND(C1636=0,Paths!$E$155=0),I1636-J1636-K1636+VLOOKUP(A1636,'Fleet register'!$A$7:$S$106,15,FALSE)+VLOOKUP(A1636,'Fleet register'!$A$7:$S$106,16,FALSE),0),"n.a."))</f>
        <v>0</v>
      </c>
      <c r="S1636" s="1">
        <f>IF(NOT(Paths!$C$155=1),0,IF(Paths!$P$155="Complete",IF(C1636=0,0,Paths!$S$155*Paths!$R$155),"n.a."))</f>
        <v>0</v>
      </c>
      <c r="T1636" s="1">
        <f>IF(NOT(Paths!$C$155=1),0,IF(Paths!$P$155="Complete",IF(C1636=0,0,VLOOKUP(A1636,'Fleet register'!$A$7:$S$106,9,FALSE)*Paths!$R$155),"n.a."))</f>
        <v>0</v>
      </c>
    </row>
    <row r="1637" spans="1:20" ht="24" customHeight="1">
      <c r="A1637" s="1" t="str">
        <f>Paths!$A$155</f>
        <v>T038</v>
      </c>
      <c r="B1637" s="1">
        <f>Paths!$B$155</f>
        <v>0</v>
      </c>
      <c r="C1637" s="1">
        <v>2</v>
      </c>
      <c r="D1637" s="1">
        <v>155</v>
      </c>
      <c r="E1637" s="1">
        <f>IF(OR(Paths!$C$155=0,C1637=0),0,MAX(0,MIN(C1637*12,Paths!$E$155)-(C1637-1)*12))</f>
        <v>0</v>
      </c>
      <c r="F1637" s="1">
        <f>IF(OR(Paths!$C$155=0,C1637=0),0,12-E1637)</f>
        <v>0</v>
      </c>
      <c r="G1637" s="16">
        <f>IF(NOT(Paths!$C$155=1),0,IF(Paths!$P$155="Complete",E1637/12*(Paths!$J$155*(1+'Operating costs'!$B$51)^MAX(0,C1637-1)+Paths!$K$155*(1+'Operating costs'!$B$53)^MAX(0,C1637-1)),"n.a."))</f>
        <v>0</v>
      </c>
      <c r="H1637" s="16">
        <f>IF(NOT(Paths!$C$155=1),0,IF(Paths!$P$155="Complete",F1637/12*(Paths!$L$155*(1+IF(Paths!$D$155="EV",'Operating costs'!$B$52,'Operating costs'!$B$51))^MAX(0,C1637-1)+Paths!$M$155*(1+'Operating costs'!$B$53)^MAX(0,C1637-1)),"n.a."))</f>
        <v>0</v>
      </c>
      <c r="I1637" s="16">
        <f>IF(NOT(Paths!$C$155=1),0,IF(Paths!$P$155="Complete",IF(IF(Paths!$E$155=0,C1637=0,AND(C1637&gt;0,Paths!$E$155&gt;(C1637-1)*12,Paths!$E$155&lt;=C1637*12)),Paths!$G$155,0),"n.a."))</f>
        <v>0</v>
      </c>
      <c r="J1637" s="16">
        <f>IF(NOT(Paths!$C$155=1),0,IF(Paths!$P$155="Complete",IF(IF(Paths!$E$155=0,C1637=0,AND(C1637&gt;0,Paths!$E$155&gt;(C1637-1)*12,Paths!$E$155&lt;=C1637*12)),Paths!$H$155,0),"n.a."))</f>
        <v>0</v>
      </c>
      <c r="K1637" s="16">
        <f>IF(NOT(Paths!$C$155=1),0,IF(Paths!$P$155="Complete",IF(IF(Paths!$O$155=0,C1637=0,AND(C1637&gt;0,Paths!$O$155&gt;(C1637-1)*12,Paths!$O$155&lt;=C1637*12)),Paths!$N$155,0),"n.a."))</f>
        <v>0</v>
      </c>
      <c r="L1637" s="16">
        <f>IF(NOT(Paths!$C$155=1),0,IF(Paths!$P$155="Complete",IF(C1637=10,Paths!$I$155,0),"n.a."))</f>
        <v>0</v>
      </c>
      <c r="M1637" s="16">
        <f>IF(NOT(Paths!$C$155=1),0,IF(Paths!$P$155="Complete",IF(AND(Paths!$D$155="EV",Paths!$E$155&lt;120,Paths!$E$155+'Operating costs'!$B$65&gt;Paths!$E$155,Paths!$E$155+'Operating costs'!$B$65&lt;=120,IF(Paths!$E$155+'Operating costs'!$B$65=0,C1637=0,AND(C1637&gt;0,Paths!$E$155+'Operating costs'!$B$65&gt;(C1637-1)*12,Paths!$E$155+'Operating costs'!$B$65&lt;=C1637*12))),'Operating costs'!$B$64,0)+IF(AND('Operating costs'!$B$67&gt;0,'Operating costs'!$B$67&lt;=120,OR(Paths!$D$155="ICE",'Operating costs'!$B$67&lt;=Paths!$E$155),IF('Operating costs'!$B$67=0,C1637=0,AND(C1637&gt;0,'Operating costs'!$B$67&gt;(C1637-1)*12,'Operating costs'!$B$67&lt;=C1637*12))),'Operating costs'!$B$66,0),"n.a."))</f>
        <v>0</v>
      </c>
      <c r="N1637" s="16">
        <f>IF(NOT(Paths!$C$155=1),0,IF(Paths!$P$155="Complete",SUM(G1637:I1637)-J1637-K1637-L1637+M1637+IF(C1637=0,Paths!$F$155,0)+IF(IF(Paths!$E$155=0,C1637=0,AND(C1637&gt;0,Paths!$E$155&gt;(C1637-1)*12,Paths!$E$155&lt;=C1637*12)),VLOOKUP(A1637,'Fleet register'!$A$7:$S$106,16,FALSE),0),"n.a."))</f>
        <v>0</v>
      </c>
      <c r="O1637" s="16">
        <f>IF(NOT(Paths!$C$155=1),0,IF(Paths!$P$155="Complete",N1637-IF(C1637=0,Paths!$F$155,0),"n.a."))</f>
        <v>0</v>
      </c>
      <c r="P1637" s="16">
        <f>IF(NOT(Paths!$C$155=1),0,IF(Paths!$P$155="Complete",O1637+L1637,"n.a."))</f>
        <v>0</v>
      </c>
      <c r="Q1637" s="16">
        <f>IF(NOT(Paths!$C$155=1),0,IF(Paths!$P$155="Complete",N1637*(1+'Operating costs'!$B$54)^-C1637,"n.a."))</f>
        <v>0</v>
      </c>
      <c r="R1637" s="16">
        <f>IF(NOT(Paths!$C$155=1),0,IF(Paths!$P$155="Complete",IF(AND(C1637=0,Paths!$E$155=0),I1637-J1637-K1637+VLOOKUP(A1637,'Fleet register'!$A$7:$S$106,15,FALSE)+VLOOKUP(A1637,'Fleet register'!$A$7:$S$106,16,FALSE),0),"n.a."))</f>
        <v>0</v>
      </c>
      <c r="S1637" s="1">
        <f>IF(NOT(Paths!$C$155=1),0,IF(Paths!$P$155="Complete",IF(C1637=0,0,Paths!$S$155*Paths!$R$155),"n.a."))</f>
        <v>0</v>
      </c>
      <c r="T1637" s="1">
        <f>IF(NOT(Paths!$C$155=1),0,IF(Paths!$P$155="Complete",IF(C1637=0,0,VLOOKUP(A1637,'Fleet register'!$A$7:$S$106,9,FALSE)*Paths!$R$155),"n.a."))</f>
        <v>0</v>
      </c>
    </row>
    <row r="1638" spans="1:20" ht="24" customHeight="1">
      <c r="A1638" s="1" t="str">
        <f>Paths!$A$155</f>
        <v>T038</v>
      </c>
      <c r="B1638" s="1">
        <f>Paths!$B$155</f>
        <v>0</v>
      </c>
      <c r="C1638" s="1">
        <v>3</v>
      </c>
      <c r="D1638" s="1">
        <v>155</v>
      </c>
      <c r="E1638" s="1">
        <f>IF(OR(Paths!$C$155=0,C1638=0),0,MAX(0,MIN(C1638*12,Paths!$E$155)-(C1638-1)*12))</f>
        <v>0</v>
      </c>
      <c r="F1638" s="1">
        <f>IF(OR(Paths!$C$155=0,C1638=0),0,12-E1638)</f>
        <v>0</v>
      </c>
      <c r="G1638" s="16">
        <f>IF(NOT(Paths!$C$155=1),0,IF(Paths!$P$155="Complete",E1638/12*(Paths!$J$155*(1+'Operating costs'!$B$51)^MAX(0,C1638-1)+Paths!$K$155*(1+'Operating costs'!$B$53)^MAX(0,C1638-1)),"n.a."))</f>
        <v>0</v>
      </c>
      <c r="H1638" s="16">
        <f>IF(NOT(Paths!$C$155=1),0,IF(Paths!$P$155="Complete",F1638/12*(Paths!$L$155*(1+IF(Paths!$D$155="EV",'Operating costs'!$B$52,'Operating costs'!$B$51))^MAX(0,C1638-1)+Paths!$M$155*(1+'Operating costs'!$B$53)^MAX(0,C1638-1)),"n.a."))</f>
        <v>0</v>
      </c>
      <c r="I1638" s="16">
        <f>IF(NOT(Paths!$C$155=1),0,IF(Paths!$P$155="Complete",IF(IF(Paths!$E$155=0,C1638=0,AND(C1638&gt;0,Paths!$E$155&gt;(C1638-1)*12,Paths!$E$155&lt;=C1638*12)),Paths!$G$155,0),"n.a."))</f>
        <v>0</v>
      </c>
      <c r="J1638" s="16">
        <f>IF(NOT(Paths!$C$155=1),0,IF(Paths!$P$155="Complete",IF(IF(Paths!$E$155=0,C1638=0,AND(C1638&gt;0,Paths!$E$155&gt;(C1638-1)*12,Paths!$E$155&lt;=C1638*12)),Paths!$H$155,0),"n.a."))</f>
        <v>0</v>
      </c>
      <c r="K1638" s="16">
        <f>IF(NOT(Paths!$C$155=1),0,IF(Paths!$P$155="Complete",IF(IF(Paths!$O$155=0,C1638=0,AND(C1638&gt;0,Paths!$O$155&gt;(C1638-1)*12,Paths!$O$155&lt;=C1638*12)),Paths!$N$155,0),"n.a."))</f>
        <v>0</v>
      </c>
      <c r="L1638" s="16">
        <f>IF(NOT(Paths!$C$155=1),0,IF(Paths!$P$155="Complete",IF(C1638=10,Paths!$I$155,0),"n.a."))</f>
        <v>0</v>
      </c>
      <c r="M1638" s="16">
        <f>IF(NOT(Paths!$C$155=1),0,IF(Paths!$P$155="Complete",IF(AND(Paths!$D$155="EV",Paths!$E$155&lt;120,Paths!$E$155+'Operating costs'!$B$65&gt;Paths!$E$155,Paths!$E$155+'Operating costs'!$B$65&lt;=120,IF(Paths!$E$155+'Operating costs'!$B$65=0,C1638=0,AND(C1638&gt;0,Paths!$E$155+'Operating costs'!$B$65&gt;(C1638-1)*12,Paths!$E$155+'Operating costs'!$B$65&lt;=C1638*12))),'Operating costs'!$B$64,0)+IF(AND('Operating costs'!$B$67&gt;0,'Operating costs'!$B$67&lt;=120,OR(Paths!$D$155="ICE",'Operating costs'!$B$67&lt;=Paths!$E$155),IF('Operating costs'!$B$67=0,C1638=0,AND(C1638&gt;0,'Operating costs'!$B$67&gt;(C1638-1)*12,'Operating costs'!$B$67&lt;=C1638*12))),'Operating costs'!$B$66,0),"n.a."))</f>
        <v>0</v>
      </c>
      <c r="N1638" s="16">
        <f>IF(NOT(Paths!$C$155=1),0,IF(Paths!$P$155="Complete",SUM(G1638:I1638)-J1638-K1638-L1638+M1638+IF(C1638=0,Paths!$F$155,0)+IF(IF(Paths!$E$155=0,C1638=0,AND(C1638&gt;0,Paths!$E$155&gt;(C1638-1)*12,Paths!$E$155&lt;=C1638*12)),VLOOKUP(A1638,'Fleet register'!$A$7:$S$106,16,FALSE),0),"n.a."))</f>
        <v>0</v>
      </c>
      <c r="O1638" s="16">
        <f>IF(NOT(Paths!$C$155=1),0,IF(Paths!$P$155="Complete",N1638-IF(C1638=0,Paths!$F$155,0),"n.a."))</f>
        <v>0</v>
      </c>
      <c r="P1638" s="16">
        <f>IF(NOT(Paths!$C$155=1),0,IF(Paths!$P$155="Complete",O1638+L1638,"n.a."))</f>
        <v>0</v>
      </c>
      <c r="Q1638" s="16">
        <f>IF(NOT(Paths!$C$155=1),0,IF(Paths!$P$155="Complete",N1638*(1+'Operating costs'!$B$54)^-C1638,"n.a."))</f>
        <v>0</v>
      </c>
      <c r="R1638" s="16">
        <f>IF(NOT(Paths!$C$155=1),0,IF(Paths!$P$155="Complete",IF(AND(C1638=0,Paths!$E$155=0),I1638-J1638-K1638+VLOOKUP(A1638,'Fleet register'!$A$7:$S$106,15,FALSE)+VLOOKUP(A1638,'Fleet register'!$A$7:$S$106,16,FALSE),0),"n.a."))</f>
        <v>0</v>
      </c>
      <c r="S1638" s="1">
        <f>IF(NOT(Paths!$C$155=1),0,IF(Paths!$P$155="Complete",IF(C1638=0,0,Paths!$S$155*Paths!$R$155),"n.a."))</f>
        <v>0</v>
      </c>
      <c r="T1638" s="1">
        <f>IF(NOT(Paths!$C$155=1),0,IF(Paths!$P$155="Complete",IF(C1638=0,0,VLOOKUP(A1638,'Fleet register'!$A$7:$S$106,9,FALSE)*Paths!$R$155),"n.a."))</f>
        <v>0</v>
      </c>
    </row>
    <row r="1639" spans="1:20" ht="24" customHeight="1">
      <c r="A1639" s="1" t="str">
        <f>Paths!$A$155</f>
        <v>T038</v>
      </c>
      <c r="B1639" s="1">
        <f>Paths!$B$155</f>
        <v>0</v>
      </c>
      <c r="C1639" s="1">
        <v>4</v>
      </c>
      <c r="D1639" s="1">
        <v>155</v>
      </c>
      <c r="E1639" s="1">
        <f>IF(OR(Paths!$C$155=0,C1639=0),0,MAX(0,MIN(C1639*12,Paths!$E$155)-(C1639-1)*12))</f>
        <v>0</v>
      </c>
      <c r="F1639" s="1">
        <f>IF(OR(Paths!$C$155=0,C1639=0),0,12-E1639)</f>
        <v>0</v>
      </c>
      <c r="G1639" s="16">
        <f>IF(NOT(Paths!$C$155=1),0,IF(Paths!$P$155="Complete",E1639/12*(Paths!$J$155*(1+'Operating costs'!$B$51)^MAX(0,C1639-1)+Paths!$K$155*(1+'Operating costs'!$B$53)^MAX(0,C1639-1)),"n.a."))</f>
        <v>0</v>
      </c>
      <c r="H1639" s="16">
        <f>IF(NOT(Paths!$C$155=1),0,IF(Paths!$P$155="Complete",F1639/12*(Paths!$L$155*(1+IF(Paths!$D$155="EV",'Operating costs'!$B$52,'Operating costs'!$B$51))^MAX(0,C1639-1)+Paths!$M$155*(1+'Operating costs'!$B$53)^MAX(0,C1639-1)),"n.a."))</f>
        <v>0</v>
      </c>
      <c r="I1639" s="16">
        <f>IF(NOT(Paths!$C$155=1),0,IF(Paths!$P$155="Complete",IF(IF(Paths!$E$155=0,C1639=0,AND(C1639&gt;0,Paths!$E$155&gt;(C1639-1)*12,Paths!$E$155&lt;=C1639*12)),Paths!$G$155,0),"n.a."))</f>
        <v>0</v>
      </c>
      <c r="J1639" s="16">
        <f>IF(NOT(Paths!$C$155=1),0,IF(Paths!$P$155="Complete",IF(IF(Paths!$E$155=0,C1639=0,AND(C1639&gt;0,Paths!$E$155&gt;(C1639-1)*12,Paths!$E$155&lt;=C1639*12)),Paths!$H$155,0),"n.a."))</f>
        <v>0</v>
      </c>
      <c r="K1639" s="16">
        <f>IF(NOT(Paths!$C$155=1),0,IF(Paths!$P$155="Complete",IF(IF(Paths!$O$155=0,C1639=0,AND(C1639&gt;0,Paths!$O$155&gt;(C1639-1)*12,Paths!$O$155&lt;=C1639*12)),Paths!$N$155,0),"n.a."))</f>
        <v>0</v>
      </c>
      <c r="L1639" s="16">
        <f>IF(NOT(Paths!$C$155=1),0,IF(Paths!$P$155="Complete",IF(C1639=10,Paths!$I$155,0),"n.a."))</f>
        <v>0</v>
      </c>
      <c r="M1639" s="16">
        <f>IF(NOT(Paths!$C$155=1),0,IF(Paths!$P$155="Complete",IF(AND(Paths!$D$155="EV",Paths!$E$155&lt;120,Paths!$E$155+'Operating costs'!$B$65&gt;Paths!$E$155,Paths!$E$155+'Operating costs'!$B$65&lt;=120,IF(Paths!$E$155+'Operating costs'!$B$65=0,C1639=0,AND(C1639&gt;0,Paths!$E$155+'Operating costs'!$B$65&gt;(C1639-1)*12,Paths!$E$155+'Operating costs'!$B$65&lt;=C1639*12))),'Operating costs'!$B$64,0)+IF(AND('Operating costs'!$B$67&gt;0,'Operating costs'!$B$67&lt;=120,OR(Paths!$D$155="ICE",'Operating costs'!$B$67&lt;=Paths!$E$155),IF('Operating costs'!$B$67=0,C1639=0,AND(C1639&gt;0,'Operating costs'!$B$67&gt;(C1639-1)*12,'Operating costs'!$B$67&lt;=C1639*12))),'Operating costs'!$B$66,0),"n.a."))</f>
        <v>0</v>
      </c>
      <c r="N1639" s="16">
        <f>IF(NOT(Paths!$C$155=1),0,IF(Paths!$P$155="Complete",SUM(G1639:I1639)-J1639-K1639-L1639+M1639+IF(C1639=0,Paths!$F$155,0)+IF(IF(Paths!$E$155=0,C1639=0,AND(C1639&gt;0,Paths!$E$155&gt;(C1639-1)*12,Paths!$E$155&lt;=C1639*12)),VLOOKUP(A1639,'Fleet register'!$A$7:$S$106,16,FALSE),0),"n.a."))</f>
        <v>0</v>
      </c>
      <c r="O1639" s="16">
        <f>IF(NOT(Paths!$C$155=1),0,IF(Paths!$P$155="Complete",N1639-IF(C1639=0,Paths!$F$155,0),"n.a."))</f>
        <v>0</v>
      </c>
      <c r="P1639" s="16">
        <f>IF(NOT(Paths!$C$155=1),0,IF(Paths!$P$155="Complete",O1639+L1639,"n.a."))</f>
        <v>0</v>
      </c>
      <c r="Q1639" s="16">
        <f>IF(NOT(Paths!$C$155=1),0,IF(Paths!$P$155="Complete",N1639*(1+'Operating costs'!$B$54)^-C1639,"n.a."))</f>
        <v>0</v>
      </c>
      <c r="R1639" s="16">
        <f>IF(NOT(Paths!$C$155=1),0,IF(Paths!$P$155="Complete",IF(AND(C1639=0,Paths!$E$155=0),I1639-J1639-K1639+VLOOKUP(A1639,'Fleet register'!$A$7:$S$106,15,FALSE)+VLOOKUP(A1639,'Fleet register'!$A$7:$S$106,16,FALSE),0),"n.a."))</f>
        <v>0</v>
      </c>
      <c r="S1639" s="1">
        <f>IF(NOT(Paths!$C$155=1),0,IF(Paths!$P$155="Complete",IF(C1639=0,0,Paths!$S$155*Paths!$R$155),"n.a."))</f>
        <v>0</v>
      </c>
      <c r="T1639" s="1">
        <f>IF(NOT(Paths!$C$155=1),0,IF(Paths!$P$155="Complete",IF(C1639=0,0,VLOOKUP(A1639,'Fleet register'!$A$7:$S$106,9,FALSE)*Paths!$R$155),"n.a."))</f>
        <v>0</v>
      </c>
    </row>
    <row r="1640" spans="1:20" ht="24" customHeight="1">
      <c r="A1640" s="1" t="str">
        <f>Paths!$A$155</f>
        <v>T038</v>
      </c>
      <c r="B1640" s="1">
        <f>Paths!$B$155</f>
        <v>0</v>
      </c>
      <c r="C1640" s="1">
        <v>5</v>
      </c>
      <c r="D1640" s="1">
        <v>155</v>
      </c>
      <c r="E1640" s="1">
        <f>IF(OR(Paths!$C$155=0,C1640=0),0,MAX(0,MIN(C1640*12,Paths!$E$155)-(C1640-1)*12))</f>
        <v>0</v>
      </c>
      <c r="F1640" s="1">
        <f>IF(OR(Paths!$C$155=0,C1640=0),0,12-E1640)</f>
        <v>0</v>
      </c>
      <c r="G1640" s="16">
        <f>IF(NOT(Paths!$C$155=1),0,IF(Paths!$P$155="Complete",E1640/12*(Paths!$J$155*(1+'Operating costs'!$B$51)^MAX(0,C1640-1)+Paths!$K$155*(1+'Operating costs'!$B$53)^MAX(0,C1640-1)),"n.a."))</f>
        <v>0</v>
      </c>
      <c r="H1640" s="16">
        <f>IF(NOT(Paths!$C$155=1),0,IF(Paths!$P$155="Complete",F1640/12*(Paths!$L$155*(1+IF(Paths!$D$155="EV",'Operating costs'!$B$52,'Operating costs'!$B$51))^MAX(0,C1640-1)+Paths!$M$155*(1+'Operating costs'!$B$53)^MAX(0,C1640-1)),"n.a."))</f>
        <v>0</v>
      </c>
      <c r="I1640" s="16">
        <f>IF(NOT(Paths!$C$155=1),0,IF(Paths!$P$155="Complete",IF(IF(Paths!$E$155=0,C1640=0,AND(C1640&gt;0,Paths!$E$155&gt;(C1640-1)*12,Paths!$E$155&lt;=C1640*12)),Paths!$G$155,0),"n.a."))</f>
        <v>0</v>
      </c>
      <c r="J1640" s="16">
        <f>IF(NOT(Paths!$C$155=1),0,IF(Paths!$P$155="Complete",IF(IF(Paths!$E$155=0,C1640=0,AND(C1640&gt;0,Paths!$E$155&gt;(C1640-1)*12,Paths!$E$155&lt;=C1640*12)),Paths!$H$155,0),"n.a."))</f>
        <v>0</v>
      </c>
      <c r="K1640" s="16">
        <f>IF(NOT(Paths!$C$155=1),0,IF(Paths!$P$155="Complete",IF(IF(Paths!$O$155=0,C1640=0,AND(C1640&gt;0,Paths!$O$155&gt;(C1640-1)*12,Paths!$O$155&lt;=C1640*12)),Paths!$N$155,0),"n.a."))</f>
        <v>0</v>
      </c>
      <c r="L1640" s="16">
        <f>IF(NOT(Paths!$C$155=1),0,IF(Paths!$P$155="Complete",IF(C1640=10,Paths!$I$155,0),"n.a."))</f>
        <v>0</v>
      </c>
      <c r="M1640" s="16">
        <f>IF(NOT(Paths!$C$155=1),0,IF(Paths!$P$155="Complete",IF(AND(Paths!$D$155="EV",Paths!$E$155&lt;120,Paths!$E$155+'Operating costs'!$B$65&gt;Paths!$E$155,Paths!$E$155+'Operating costs'!$B$65&lt;=120,IF(Paths!$E$155+'Operating costs'!$B$65=0,C1640=0,AND(C1640&gt;0,Paths!$E$155+'Operating costs'!$B$65&gt;(C1640-1)*12,Paths!$E$155+'Operating costs'!$B$65&lt;=C1640*12))),'Operating costs'!$B$64,0)+IF(AND('Operating costs'!$B$67&gt;0,'Operating costs'!$B$67&lt;=120,OR(Paths!$D$155="ICE",'Operating costs'!$B$67&lt;=Paths!$E$155),IF('Operating costs'!$B$67=0,C1640=0,AND(C1640&gt;0,'Operating costs'!$B$67&gt;(C1640-1)*12,'Operating costs'!$B$67&lt;=C1640*12))),'Operating costs'!$B$66,0),"n.a."))</f>
        <v>0</v>
      </c>
      <c r="N1640" s="16">
        <f>IF(NOT(Paths!$C$155=1),0,IF(Paths!$P$155="Complete",SUM(G1640:I1640)-J1640-K1640-L1640+M1640+IF(C1640=0,Paths!$F$155,0)+IF(IF(Paths!$E$155=0,C1640=0,AND(C1640&gt;0,Paths!$E$155&gt;(C1640-1)*12,Paths!$E$155&lt;=C1640*12)),VLOOKUP(A1640,'Fleet register'!$A$7:$S$106,16,FALSE),0),"n.a."))</f>
        <v>0</v>
      </c>
      <c r="O1640" s="16">
        <f>IF(NOT(Paths!$C$155=1),0,IF(Paths!$P$155="Complete",N1640-IF(C1640=0,Paths!$F$155,0),"n.a."))</f>
        <v>0</v>
      </c>
      <c r="P1640" s="16">
        <f>IF(NOT(Paths!$C$155=1),0,IF(Paths!$P$155="Complete",O1640+L1640,"n.a."))</f>
        <v>0</v>
      </c>
      <c r="Q1640" s="16">
        <f>IF(NOT(Paths!$C$155=1),0,IF(Paths!$P$155="Complete",N1640*(1+'Operating costs'!$B$54)^-C1640,"n.a."))</f>
        <v>0</v>
      </c>
      <c r="R1640" s="16">
        <f>IF(NOT(Paths!$C$155=1),0,IF(Paths!$P$155="Complete",IF(AND(C1640=0,Paths!$E$155=0),I1640-J1640-K1640+VLOOKUP(A1640,'Fleet register'!$A$7:$S$106,15,FALSE)+VLOOKUP(A1640,'Fleet register'!$A$7:$S$106,16,FALSE),0),"n.a."))</f>
        <v>0</v>
      </c>
      <c r="S1640" s="1">
        <f>IF(NOT(Paths!$C$155=1),0,IF(Paths!$P$155="Complete",IF(C1640=0,0,Paths!$S$155*Paths!$R$155),"n.a."))</f>
        <v>0</v>
      </c>
      <c r="T1640" s="1">
        <f>IF(NOT(Paths!$C$155=1),0,IF(Paths!$P$155="Complete",IF(C1640=0,0,VLOOKUP(A1640,'Fleet register'!$A$7:$S$106,9,FALSE)*Paths!$R$155),"n.a."))</f>
        <v>0</v>
      </c>
    </row>
    <row r="1641" spans="1:20" ht="24" customHeight="1">
      <c r="A1641" s="1" t="str">
        <f>Paths!$A$155</f>
        <v>T038</v>
      </c>
      <c r="B1641" s="1">
        <f>Paths!$B$155</f>
        <v>0</v>
      </c>
      <c r="C1641" s="1">
        <v>6</v>
      </c>
      <c r="D1641" s="1">
        <v>155</v>
      </c>
      <c r="E1641" s="1">
        <f>IF(OR(Paths!$C$155=0,C1641=0),0,MAX(0,MIN(C1641*12,Paths!$E$155)-(C1641-1)*12))</f>
        <v>0</v>
      </c>
      <c r="F1641" s="1">
        <f>IF(OR(Paths!$C$155=0,C1641=0),0,12-E1641)</f>
        <v>0</v>
      </c>
      <c r="G1641" s="16">
        <f>IF(NOT(Paths!$C$155=1),0,IF(Paths!$P$155="Complete",E1641/12*(Paths!$J$155*(1+'Operating costs'!$B$51)^MAX(0,C1641-1)+Paths!$K$155*(1+'Operating costs'!$B$53)^MAX(0,C1641-1)),"n.a."))</f>
        <v>0</v>
      </c>
      <c r="H1641" s="16">
        <f>IF(NOT(Paths!$C$155=1),0,IF(Paths!$P$155="Complete",F1641/12*(Paths!$L$155*(1+IF(Paths!$D$155="EV",'Operating costs'!$B$52,'Operating costs'!$B$51))^MAX(0,C1641-1)+Paths!$M$155*(1+'Operating costs'!$B$53)^MAX(0,C1641-1)),"n.a."))</f>
        <v>0</v>
      </c>
      <c r="I1641" s="16">
        <f>IF(NOT(Paths!$C$155=1),0,IF(Paths!$P$155="Complete",IF(IF(Paths!$E$155=0,C1641=0,AND(C1641&gt;0,Paths!$E$155&gt;(C1641-1)*12,Paths!$E$155&lt;=C1641*12)),Paths!$G$155,0),"n.a."))</f>
        <v>0</v>
      </c>
      <c r="J1641" s="16">
        <f>IF(NOT(Paths!$C$155=1),0,IF(Paths!$P$155="Complete",IF(IF(Paths!$E$155=0,C1641=0,AND(C1641&gt;0,Paths!$E$155&gt;(C1641-1)*12,Paths!$E$155&lt;=C1641*12)),Paths!$H$155,0),"n.a."))</f>
        <v>0</v>
      </c>
      <c r="K1641" s="16">
        <f>IF(NOT(Paths!$C$155=1),0,IF(Paths!$P$155="Complete",IF(IF(Paths!$O$155=0,C1641=0,AND(C1641&gt;0,Paths!$O$155&gt;(C1641-1)*12,Paths!$O$155&lt;=C1641*12)),Paths!$N$155,0),"n.a."))</f>
        <v>0</v>
      </c>
      <c r="L1641" s="16">
        <f>IF(NOT(Paths!$C$155=1),0,IF(Paths!$P$155="Complete",IF(C1641=10,Paths!$I$155,0),"n.a."))</f>
        <v>0</v>
      </c>
      <c r="M1641" s="16">
        <f>IF(NOT(Paths!$C$155=1),0,IF(Paths!$P$155="Complete",IF(AND(Paths!$D$155="EV",Paths!$E$155&lt;120,Paths!$E$155+'Operating costs'!$B$65&gt;Paths!$E$155,Paths!$E$155+'Operating costs'!$B$65&lt;=120,IF(Paths!$E$155+'Operating costs'!$B$65=0,C1641=0,AND(C1641&gt;0,Paths!$E$155+'Operating costs'!$B$65&gt;(C1641-1)*12,Paths!$E$155+'Operating costs'!$B$65&lt;=C1641*12))),'Operating costs'!$B$64,0)+IF(AND('Operating costs'!$B$67&gt;0,'Operating costs'!$B$67&lt;=120,OR(Paths!$D$155="ICE",'Operating costs'!$B$67&lt;=Paths!$E$155),IF('Operating costs'!$B$67=0,C1641=0,AND(C1641&gt;0,'Operating costs'!$B$67&gt;(C1641-1)*12,'Operating costs'!$B$67&lt;=C1641*12))),'Operating costs'!$B$66,0),"n.a."))</f>
        <v>0</v>
      </c>
      <c r="N1641" s="16">
        <f>IF(NOT(Paths!$C$155=1),0,IF(Paths!$P$155="Complete",SUM(G1641:I1641)-J1641-K1641-L1641+M1641+IF(C1641=0,Paths!$F$155,0)+IF(IF(Paths!$E$155=0,C1641=0,AND(C1641&gt;0,Paths!$E$155&gt;(C1641-1)*12,Paths!$E$155&lt;=C1641*12)),VLOOKUP(A1641,'Fleet register'!$A$7:$S$106,16,FALSE),0),"n.a."))</f>
        <v>0</v>
      </c>
      <c r="O1641" s="16">
        <f>IF(NOT(Paths!$C$155=1),0,IF(Paths!$P$155="Complete",N1641-IF(C1641=0,Paths!$F$155,0),"n.a."))</f>
        <v>0</v>
      </c>
      <c r="P1641" s="16">
        <f>IF(NOT(Paths!$C$155=1),0,IF(Paths!$P$155="Complete",O1641+L1641,"n.a."))</f>
        <v>0</v>
      </c>
      <c r="Q1641" s="16">
        <f>IF(NOT(Paths!$C$155=1),0,IF(Paths!$P$155="Complete",N1641*(1+'Operating costs'!$B$54)^-C1641,"n.a."))</f>
        <v>0</v>
      </c>
      <c r="R1641" s="16">
        <f>IF(NOT(Paths!$C$155=1),0,IF(Paths!$P$155="Complete",IF(AND(C1641=0,Paths!$E$155=0),I1641-J1641-K1641+VLOOKUP(A1641,'Fleet register'!$A$7:$S$106,15,FALSE)+VLOOKUP(A1641,'Fleet register'!$A$7:$S$106,16,FALSE),0),"n.a."))</f>
        <v>0</v>
      </c>
      <c r="S1641" s="1">
        <f>IF(NOT(Paths!$C$155=1),0,IF(Paths!$P$155="Complete",IF(C1641=0,0,Paths!$S$155*Paths!$R$155),"n.a."))</f>
        <v>0</v>
      </c>
      <c r="T1641" s="1">
        <f>IF(NOT(Paths!$C$155=1),0,IF(Paths!$P$155="Complete",IF(C1641=0,0,VLOOKUP(A1641,'Fleet register'!$A$7:$S$106,9,FALSE)*Paths!$R$155),"n.a."))</f>
        <v>0</v>
      </c>
    </row>
    <row r="1642" spans="1:20" ht="24" customHeight="1">
      <c r="A1642" s="1" t="str">
        <f>Paths!$A$155</f>
        <v>T038</v>
      </c>
      <c r="B1642" s="1">
        <f>Paths!$B$155</f>
        <v>0</v>
      </c>
      <c r="C1642" s="1">
        <v>7</v>
      </c>
      <c r="D1642" s="1">
        <v>155</v>
      </c>
      <c r="E1642" s="1">
        <f>IF(OR(Paths!$C$155=0,C1642=0),0,MAX(0,MIN(C1642*12,Paths!$E$155)-(C1642-1)*12))</f>
        <v>0</v>
      </c>
      <c r="F1642" s="1">
        <f>IF(OR(Paths!$C$155=0,C1642=0),0,12-E1642)</f>
        <v>0</v>
      </c>
      <c r="G1642" s="16">
        <f>IF(NOT(Paths!$C$155=1),0,IF(Paths!$P$155="Complete",E1642/12*(Paths!$J$155*(1+'Operating costs'!$B$51)^MAX(0,C1642-1)+Paths!$K$155*(1+'Operating costs'!$B$53)^MAX(0,C1642-1)),"n.a."))</f>
        <v>0</v>
      </c>
      <c r="H1642" s="16">
        <f>IF(NOT(Paths!$C$155=1),0,IF(Paths!$P$155="Complete",F1642/12*(Paths!$L$155*(1+IF(Paths!$D$155="EV",'Operating costs'!$B$52,'Operating costs'!$B$51))^MAX(0,C1642-1)+Paths!$M$155*(1+'Operating costs'!$B$53)^MAX(0,C1642-1)),"n.a."))</f>
        <v>0</v>
      </c>
      <c r="I1642" s="16">
        <f>IF(NOT(Paths!$C$155=1),0,IF(Paths!$P$155="Complete",IF(IF(Paths!$E$155=0,C1642=0,AND(C1642&gt;0,Paths!$E$155&gt;(C1642-1)*12,Paths!$E$155&lt;=C1642*12)),Paths!$G$155,0),"n.a."))</f>
        <v>0</v>
      </c>
      <c r="J1642" s="16">
        <f>IF(NOT(Paths!$C$155=1),0,IF(Paths!$P$155="Complete",IF(IF(Paths!$E$155=0,C1642=0,AND(C1642&gt;0,Paths!$E$155&gt;(C1642-1)*12,Paths!$E$155&lt;=C1642*12)),Paths!$H$155,0),"n.a."))</f>
        <v>0</v>
      </c>
      <c r="K1642" s="16">
        <f>IF(NOT(Paths!$C$155=1),0,IF(Paths!$P$155="Complete",IF(IF(Paths!$O$155=0,C1642=0,AND(C1642&gt;0,Paths!$O$155&gt;(C1642-1)*12,Paths!$O$155&lt;=C1642*12)),Paths!$N$155,0),"n.a."))</f>
        <v>0</v>
      </c>
      <c r="L1642" s="16">
        <f>IF(NOT(Paths!$C$155=1),0,IF(Paths!$P$155="Complete",IF(C1642=10,Paths!$I$155,0),"n.a."))</f>
        <v>0</v>
      </c>
      <c r="M1642" s="16">
        <f>IF(NOT(Paths!$C$155=1),0,IF(Paths!$P$155="Complete",IF(AND(Paths!$D$155="EV",Paths!$E$155&lt;120,Paths!$E$155+'Operating costs'!$B$65&gt;Paths!$E$155,Paths!$E$155+'Operating costs'!$B$65&lt;=120,IF(Paths!$E$155+'Operating costs'!$B$65=0,C1642=0,AND(C1642&gt;0,Paths!$E$155+'Operating costs'!$B$65&gt;(C1642-1)*12,Paths!$E$155+'Operating costs'!$B$65&lt;=C1642*12))),'Operating costs'!$B$64,0)+IF(AND('Operating costs'!$B$67&gt;0,'Operating costs'!$B$67&lt;=120,OR(Paths!$D$155="ICE",'Operating costs'!$B$67&lt;=Paths!$E$155),IF('Operating costs'!$B$67=0,C1642=0,AND(C1642&gt;0,'Operating costs'!$B$67&gt;(C1642-1)*12,'Operating costs'!$B$67&lt;=C1642*12))),'Operating costs'!$B$66,0),"n.a."))</f>
        <v>0</v>
      </c>
      <c r="N1642" s="16">
        <f>IF(NOT(Paths!$C$155=1),0,IF(Paths!$P$155="Complete",SUM(G1642:I1642)-J1642-K1642-L1642+M1642+IF(C1642=0,Paths!$F$155,0)+IF(IF(Paths!$E$155=0,C1642=0,AND(C1642&gt;0,Paths!$E$155&gt;(C1642-1)*12,Paths!$E$155&lt;=C1642*12)),VLOOKUP(A1642,'Fleet register'!$A$7:$S$106,16,FALSE),0),"n.a."))</f>
        <v>0</v>
      </c>
      <c r="O1642" s="16">
        <f>IF(NOT(Paths!$C$155=1),0,IF(Paths!$P$155="Complete",N1642-IF(C1642=0,Paths!$F$155,0),"n.a."))</f>
        <v>0</v>
      </c>
      <c r="P1642" s="16">
        <f>IF(NOT(Paths!$C$155=1),0,IF(Paths!$P$155="Complete",O1642+L1642,"n.a."))</f>
        <v>0</v>
      </c>
      <c r="Q1642" s="16">
        <f>IF(NOT(Paths!$C$155=1),0,IF(Paths!$P$155="Complete",N1642*(1+'Operating costs'!$B$54)^-C1642,"n.a."))</f>
        <v>0</v>
      </c>
      <c r="R1642" s="16">
        <f>IF(NOT(Paths!$C$155=1),0,IF(Paths!$P$155="Complete",IF(AND(C1642=0,Paths!$E$155=0),I1642-J1642-K1642+VLOOKUP(A1642,'Fleet register'!$A$7:$S$106,15,FALSE)+VLOOKUP(A1642,'Fleet register'!$A$7:$S$106,16,FALSE),0),"n.a."))</f>
        <v>0</v>
      </c>
      <c r="S1642" s="1">
        <f>IF(NOT(Paths!$C$155=1),0,IF(Paths!$P$155="Complete",IF(C1642=0,0,Paths!$S$155*Paths!$R$155),"n.a."))</f>
        <v>0</v>
      </c>
      <c r="T1642" s="1">
        <f>IF(NOT(Paths!$C$155=1),0,IF(Paths!$P$155="Complete",IF(C1642=0,0,VLOOKUP(A1642,'Fleet register'!$A$7:$S$106,9,FALSE)*Paths!$R$155),"n.a."))</f>
        <v>0</v>
      </c>
    </row>
    <row r="1643" spans="1:20" ht="24" customHeight="1">
      <c r="A1643" s="1" t="str">
        <f>Paths!$A$155</f>
        <v>T038</v>
      </c>
      <c r="B1643" s="1">
        <f>Paths!$B$155</f>
        <v>0</v>
      </c>
      <c r="C1643" s="1">
        <v>8</v>
      </c>
      <c r="D1643" s="1">
        <v>155</v>
      </c>
      <c r="E1643" s="1">
        <f>IF(OR(Paths!$C$155=0,C1643=0),0,MAX(0,MIN(C1643*12,Paths!$E$155)-(C1643-1)*12))</f>
        <v>0</v>
      </c>
      <c r="F1643" s="1">
        <f>IF(OR(Paths!$C$155=0,C1643=0),0,12-E1643)</f>
        <v>0</v>
      </c>
      <c r="G1643" s="16">
        <f>IF(NOT(Paths!$C$155=1),0,IF(Paths!$P$155="Complete",E1643/12*(Paths!$J$155*(1+'Operating costs'!$B$51)^MAX(0,C1643-1)+Paths!$K$155*(1+'Operating costs'!$B$53)^MAX(0,C1643-1)),"n.a."))</f>
        <v>0</v>
      </c>
      <c r="H1643" s="16">
        <f>IF(NOT(Paths!$C$155=1),0,IF(Paths!$P$155="Complete",F1643/12*(Paths!$L$155*(1+IF(Paths!$D$155="EV",'Operating costs'!$B$52,'Operating costs'!$B$51))^MAX(0,C1643-1)+Paths!$M$155*(1+'Operating costs'!$B$53)^MAX(0,C1643-1)),"n.a."))</f>
        <v>0</v>
      </c>
      <c r="I1643" s="16">
        <f>IF(NOT(Paths!$C$155=1),0,IF(Paths!$P$155="Complete",IF(IF(Paths!$E$155=0,C1643=0,AND(C1643&gt;0,Paths!$E$155&gt;(C1643-1)*12,Paths!$E$155&lt;=C1643*12)),Paths!$G$155,0),"n.a."))</f>
        <v>0</v>
      </c>
      <c r="J1643" s="16">
        <f>IF(NOT(Paths!$C$155=1),0,IF(Paths!$P$155="Complete",IF(IF(Paths!$E$155=0,C1643=0,AND(C1643&gt;0,Paths!$E$155&gt;(C1643-1)*12,Paths!$E$155&lt;=C1643*12)),Paths!$H$155,0),"n.a."))</f>
        <v>0</v>
      </c>
      <c r="K1643" s="16">
        <f>IF(NOT(Paths!$C$155=1),0,IF(Paths!$P$155="Complete",IF(IF(Paths!$O$155=0,C1643=0,AND(C1643&gt;0,Paths!$O$155&gt;(C1643-1)*12,Paths!$O$155&lt;=C1643*12)),Paths!$N$155,0),"n.a."))</f>
        <v>0</v>
      </c>
      <c r="L1643" s="16">
        <f>IF(NOT(Paths!$C$155=1),0,IF(Paths!$P$155="Complete",IF(C1643=10,Paths!$I$155,0),"n.a."))</f>
        <v>0</v>
      </c>
      <c r="M1643" s="16">
        <f>IF(NOT(Paths!$C$155=1),0,IF(Paths!$P$155="Complete",IF(AND(Paths!$D$155="EV",Paths!$E$155&lt;120,Paths!$E$155+'Operating costs'!$B$65&gt;Paths!$E$155,Paths!$E$155+'Operating costs'!$B$65&lt;=120,IF(Paths!$E$155+'Operating costs'!$B$65=0,C1643=0,AND(C1643&gt;0,Paths!$E$155+'Operating costs'!$B$65&gt;(C1643-1)*12,Paths!$E$155+'Operating costs'!$B$65&lt;=C1643*12))),'Operating costs'!$B$64,0)+IF(AND('Operating costs'!$B$67&gt;0,'Operating costs'!$B$67&lt;=120,OR(Paths!$D$155="ICE",'Operating costs'!$B$67&lt;=Paths!$E$155),IF('Operating costs'!$B$67=0,C1643=0,AND(C1643&gt;0,'Operating costs'!$B$67&gt;(C1643-1)*12,'Operating costs'!$B$67&lt;=C1643*12))),'Operating costs'!$B$66,0),"n.a."))</f>
        <v>0</v>
      </c>
      <c r="N1643" s="16">
        <f>IF(NOT(Paths!$C$155=1),0,IF(Paths!$P$155="Complete",SUM(G1643:I1643)-J1643-K1643-L1643+M1643+IF(C1643=0,Paths!$F$155,0)+IF(IF(Paths!$E$155=0,C1643=0,AND(C1643&gt;0,Paths!$E$155&gt;(C1643-1)*12,Paths!$E$155&lt;=C1643*12)),VLOOKUP(A1643,'Fleet register'!$A$7:$S$106,16,FALSE),0),"n.a."))</f>
        <v>0</v>
      </c>
      <c r="O1643" s="16">
        <f>IF(NOT(Paths!$C$155=1),0,IF(Paths!$P$155="Complete",N1643-IF(C1643=0,Paths!$F$155,0),"n.a."))</f>
        <v>0</v>
      </c>
      <c r="P1643" s="16">
        <f>IF(NOT(Paths!$C$155=1),0,IF(Paths!$P$155="Complete",O1643+L1643,"n.a."))</f>
        <v>0</v>
      </c>
      <c r="Q1643" s="16">
        <f>IF(NOT(Paths!$C$155=1),0,IF(Paths!$P$155="Complete",N1643*(1+'Operating costs'!$B$54)^-C1643,"n.a."))</f>
        <v>0</v>
      </c>
      <c r="R1643" s="16">
        <f>IF(NOT(Paths!$C$155=1),0,IF(Paths!$P$155="Complete",IF(AND(C1643=0,Paths!$E$155=0),I1643-J1643-K1643+VLOOKUP(A1643,'Fleet register'!$A$7:$S$106,15,FALSE)+VLOOKUP(A1643,'Fleet register'!$A$7:$S$106,16,FALSE),0),"n.a."))</f>
        <v>0</v>
      </c>
      <c r="S1643" s="1">
        <f>IF(NOT(Paths!$C$155=1),0,IF(Paths!$P$155="Complete",IF(C1643=0,0,Paths!$S$155*Paths!$R$155),"n.a."))</f>
        <v>0</v>
      </c>
      <c r="T1643" s="1">
        <f>IF(NOT(Paths!$C$155=1),0,IF(Paths!$P$155="Complete",IF(C1643=0,0,VLOOKUP(A1643,'Fleet register'!$A$7:$S$106,9,FALSE)*Paths!$R$155),"n.a."))</f>
        <v>0</v>
      </c>
    </row>
    <row r="1644" spans="1:20" ht="24" customHeight="1">
      <c r="A1644" s="1" t="str">
        <f>Paths!$A$155</f>
        <v>T038</v>
      </c>
      <c r="B1644" s="1">
        <f>Paths!$B$155</f>
        <v>0</v>
      </c>
      <c r="C1644" s="1">
        <v>9</v>
      </c>
      <c r="D1644" s="1">
        <v>155</v>
      </c>
      <c r="E1644" s="1">
        <f>IF(OR(Paths!$C$155=0,C1644=0),0,MAX(0,MIN(C1644*12,Paths!$E$155)-(C1644-1)*12))</f>
        <v>0</v>
      </c>
      <c r="F1644" s="1">
        <f>IF(OR(Paths!$C$155=0,C1644=0),0,12-E1644)</f>
        <v>0</v>
      </c>
      <c r="G1644" s="16">
        <f>IF(NOT(Paths!$C$155=1),0,IF(Paths!$P$155="Complete",E1644/12*(Paths!$J$155*(1+'Operating costs'!$B$51)^MAX(0,C1644-1)+Paths!$K$155*(1+'Operating costs'!$B$53)^MAX(0,C1644-1)),"n.a."))</f>
        <v>0</v>
      </c>
      <c r="H1644" s="16">
        <f>IF(NOT(Paths!$C$155=1),0,IF(Paths!$P$155="Complete",F1644/12*(Paths!$L$155*(1+IF(Paths!$D$155="EV",'Operating costs'!$B$52,'Operating costs'!$B$51))^MAX(0,C1644-1)+Paths!$M$155*(1+'Operating costs'!$B$53)^MAX(0,C1644-1)),"n.a."))</f>
        <v>0</v>
      </c>
      <c r="I1644" s="16">
        <f>IF(NOT(Paths!$C$155=1),0,IF(Paths!$P$155="Complete",IF(IF(Paths!$E$155=0,C1644=0,AND(C1644&gt;0,Paths!$E$155&gt;(C1644-1)*12,Paths!$E$155&lt;=C1644*12)),Paths!$G$155,0),"n.a."))</f>
        <v>0</v>
      </c>
      <c r="J1644" s="16">
        <f>IF(NOT(Paths!$C$155=1),0,IF(Paths!$P$155="Complete",IF(IF(Paths!$E$155=0,C1644=0,AND(C1644&gt;0,Paths!$E$155&gt;(C1644-1)*12,Paths!$E$155&lt;=C1644*12)),Paths!$H$155,0),"n.a."))</f>
        <v>0</v>
      </c>
      <c r="K1644" s="16">
        <f>IF(NOT(Paths!$C$155=1),0,IF(Paths!$P$155="Complete",IF(IF(Paths!$O$155=0,C1644=0,AND(C1644&gt;0,Paths!$O$155&gt;(C1644-1)*12,Paths!$O$155&lt;=C1644*12)),Paths!$N$155,0),"n.a."))</f>
        <v>0</v>
      </c>
      <c r="L1644" s="16">
        <f>IF(NOT(Paths!$C$155=1),0,IF(Paths!$P$155="Complete",IF(C1644=10,Paths!$I$155,0),"n.a."))</f>
        <v>0</v>
      </c>
      <c r="M1644" s="16">
        <f>IF(NOT(Paths!$C$155=1),0,IF(Paths!$P$155="Complete",IF(AND(Paths!$D$155="EV",Paths!$E$155&lt;120,Paths!$E$155+'Operating costs'!$B$65&gt;Paths!$E$155,Paths!$E$155+'Operating costs'!$B$65&lt;=120,IF(Paths!$E$155+'Operating costs'!$B$65=0,C1644=0,AND(C1644&gt;0,Paths!$E$155+'Operating costs'!$B$65&gt;(C1644-1)*12,Paths!$E$155+'Operating costs'!$B$65&lt;=C1644*12))),'Operating costs'!$B$64,0)+IF(AND('Operating costs'!$B$67&gt;0,'Operating costs'!$B$67&lt;=120,OR(Paths!$D$155="ICE",'Operating costs'!$B$67&lt;=Paths!$E$155),IF('Operating costs'!$B$67=0,C1644=0,AND(C1644&gt;0,'Operating costs'!$B$67&gt;(C1644-1)*12,'Operating costs'!$B$67&lt;=C1644*12))),'Operating costs'!$B$66,0),"n.a."))</f>
        <v>0</v>
      </c>
      <c r="N1644" s="16">
        <f>IF(NOT(Paths!$C$155=1),0,IF(Paths!$P$155="Complete",SUM(G1644:I1644)-J1644-K1644-L1644+M1644+IF(C1644=0,Paths!$F$155,0)+IF(IF(Paths!$E$155=0,C1644=0,AND(C1644&gt;0,Paths!$E$155&gt;(C1644-1)*12,Paths!$E$155&lt;=C1644*12)),VLOOKUP(A1644,'Fleet register'!$A$7:$S$106,16,FALSE),0),"n.a."))</f>
        <v>0</v>
      </c>
      <c r="O1644" s="16">
        <f>IF(NOT(Paths!$C$155=1),0,IF(Paths!$P$155="Complete",N1644-IF(C1644=0,Paths!$F$155,0),"n.a."))</f>
        <v>0</v>
      </c>
      <c r="P1644" s="16">
        <f>IF(NOT(Paths!$C$155=1),0,IF(Paths!$P$155="Complete",O1644+L1644,"n.a."))</f>
        <v>0</v>
      </c>
      <c r="Q1644" s="16">
        <f>IF(NOT(Paths!$C$155=1),0,IF(Paths!$P$155="Complete",N1644*(1+'Operating costs'!$B$54)^-C1644,"n.a."))</f>
        <v>0</v>
      </c>
      <c r="R1644" s="16">
        <f>IF(NOT(Paths!$C$155=1),0,IF(Paths!$P$155="Complete",IF(AND(C1644=0,Paths!$E$155=0),I1644-J1644-K1644+VLOOKUP(A1644,'Fleet register'!$A$7:$S$106,15,FALSE)+VLOOKUP(A1644,'Fleet register'!$A$7:$S$106,16,FALSE),0),"n.a."))</f>
        <v>0</v>
      </c>
      <c r="S1644" s="1">
        <f>IF(NOT(Paths!$C$155=1),0,IF(Paths!$P$155="Complete",IF(C1644=0,0,Paths!$S$155*Paths!$R$155),"n.a."))</f>
        <v>0</v>
      </c>
      <c r="T1644" s="1">
        <f>IF(NOT(Paths!$C$155=1),0,IF(Paths!$P$155="Complete",IF(C1644=0,0,VLOOKUP(A1644,'Fleet register'!$A$7:$S$106,9,FALSE)*Paths!$R$155),"n.a."))</f>
        <v>0</v>
      </c>
    </row>
    <row r="1645" spans="1:20" ht="24" customHeight="1">
      <c r="A1645" s="1" t="str">
        <f>Paths!$A$155</f>
        <v>T038</v>
      </c>
      <c r="B1645" s="1">
        <f>Paths!$B$155</f>
        <v>0</v>
      </c>
      <c r="C1645" s="1">
        <v>10</v>
      </c>
      <c r="D1645" s="1">
        <v>155</v>
      </c>
      <c r="E1645" s="1">
        <f>IF(OR(Paths!$C$155=0,C1645=0),0,MAX(0,MIN(C1645*12,Paths!$E$155)-(C1645-1)*12))</f>
        <v>0</v>
      </c>
      <c r="F1645" s="1">
        <f>IF(OR(Paths!$C$155=0,C1645=0),0,12-E1645)</f>
        <v>0</v>
      </c>
      <c r="G1645" s="16">
        <f>IF(NOT(Paths!$C$155=1),0,IF(Paths!$P$155="Complete",E1645/12*(Paths!$J$155*(1+'Operating costs'!$B$51)^MAX(0,C1645-1)+Paths!$K$155*(1+'Operating costs'!$B$53)^MAX(0,C1645-1)),"n.a."))</f>
        <v>0</v>
      </c>
      <c r="H1645" s="16">
        <f>IF(NOT(Paths!$C$155=1),0,IF(Paths!$P$155="Complete",F1645/12*(Paths!$L$155*(1+IF(Paths!$D$155="EV",'Operating costs'!$B$52,'Operating costs'!$B$51))^MAX(0,C1645-1)+Paths!$M$155*(1+'Operating costs'!$B$53)^MAX(0,C1645-1)),"n.a."))</f>
        <v>0</v>
      </c>
      <c r="I1645" s="16">
        <f>IF(NOT(Paths!$C$155=1),0,IF(Paths!$P$155="Complete",IF(IF(Paths!$E$155=0,C1645=0,AND(C1645&gt;0,Paths!$E$155&gt;(C1645-1)*12,Paths!$E$155&lt;=C1645*12)),Paths!$G$155,0),"n.a."))</f>
        <v>0</v>
      </c>
      <c r="J1645" s="16">
        <f>IF(NOT(Paths!$C$155=1),0,IF(Paths!$P$155="Complete",IF(IF(Paths!$E$155=0,C1645=0,AND(C1645&gt;0,Paths!$E$155&gt;(C1645-1)*12,Paths!$E$155&lt;=C1645*12)),Paths!$H$155,0),"n.a."))</f>
        <v>0</v>
      </c>
      <c r="K1645" s="16">
        <f>IF(NOT(Paths!$C$155=1),0,IF(Paths!$P$155="Complete",IF(IF(Paths!$O$155=0,C1645=0,AND(C1645&gt;0,Paths!$O$155&gt;(C1645-1)*12,Paths!$O$155&lt;=C1645*12)),Paths!$N$155,0),"n.a."))</f>
        <v>0</v>
      </c>
      <c r="L1645" s="16">
        <f>IF(NOT(Paths!$C$155=1),0,IF(Paths!$P$155="Complete",IF(C1645=10,Paths!$I$155,0),"n.a."))</f>
        <v>0</v>
      </c>
      <c r="M1645" s="16">
        <f>IF(NOT(Paths!$C$155=1),0,IF(Paths!$P$155="Complete",IF(AND(Paths!$D$155="EV",Paths!$E$155&lt;120,Paths!$E$155+'Operating costs'!$B$65&gt;Paths!$E$155,Paths!$E$155+'Operating costs'!$B$65&lt;=120,IF(Paths!$E$155+'Operating costs'!$B$65=0,C1645=0,AND(C1645&gt;0,Paths!$E$155+'Operating costs'!$B$65&gt;(C1645-1)*12,Paths!$E$155+'Operating costs'!$B$65&lt;=C1645*12))),'Operating costs'!$B$64,0)+IF(AND('Operating costs'!$B$67&gt;0,'Operating costs'!$B$67&lt;=120,OR(Paths!$D$155="ICE",'Operating costs'!$B$67&lt;=Paths!$E$155),IF('Operating costs'!$B$67=0,C1645=0,AND(C1645&gt;0,'Operating costs'!$B$67&gt;(C1645-1)*12,'Operating costs'!$B$67&lt;=C1645*12))),'Operating costs'!$B$66,0),"n.a."))</f>
        <v>0</v>
      </c>
      <c r="N1645" s="16">
        <f>IF(NOT(Paths!$C$155=1),0,IF(Paths!$P$155="Complete",SUM(G1645:I1645)-J1645-K1645-L1645+M1645+IF(C1645=0,Paths!$F$155,0)+IF(IF(Paths!$E$155=0,C1645=0,AND(C1645&gt;0,Paths!$E$155&gt;(C1645-1)*12,Paths!$E$155&lt;=C1645*12)),VLOOKUP(A1645,'Fleet register'!$A$7:$S$106,16,FALSE),0),"n.a."))</f>
        <v>0</v>
      </c>
      <c r="O1645" s="16">
        <f>IF(NOT(Paths!$C$155=1),0,IF(Paths!$P$155="Complete",N1645-IF(C1645=0,Paths!$F$155,0),"n.a."))</f>
        <v>0</v>
      </c>
      <c r="P1645" s="16">
        <f>IF(NOT(Paths!$C$155=1),0,IF(Paths!$P$155="Complete",O1645+L1645,"n.a."))</f>
        <v>0</v>
      </c>
      <c r="Q1645" s="16">
        <f>IF(NOT(Paths!$C$155=1),0,IF(Paths!$P$155="Complete",N1645*(1+'Operating costs'!$B$54)^-C1645,"n.a."))</f>
        <v>0</v>
      </c>
      <c r="R1645" s="16">
        <f>IF(NOT(Paths!$C$155=1),0,IF(Paths!$P$155="Complete",IF(AND(C1645=0,Paths!$E$155=0),I1645-J1645-K1645+VLOOKUP(A1645,'Fleet register'!$A$7:$S$106,15,FALSE)+VLOOKUP(A1645,'Fleet register'!$A$7:$S$106,16,FALSE),0),"n.a."))</f>
        <v>0</v>
      </c>
      <c r="S1645" s="1">
        <f>IF(NOT(Paths!$C$155=1),0,IF(Paths!$P$155="Complete",IF(C1645=0,0,Paths!$S$155*Paths!$R$155),"n.a."))</f>
        <v>0</v>
      </c>
      <c r="T1645" s="1">
        <f>IF(NOT(Paths!$C$155=1),0,IF(Paths!$P$155="Complete",IF(C1645=0,0,VLOOKUP(A1645,'Fleet register'!$A$7:$S$106,9,FALSE)*Paths!$R$155),"n.a."))</f>
        <v>0</v>
      </c>
    </row>
    <row r="1646" spans="1:20" ht="24" customHeight="1">
      <c r="A1646" s="1" t="str">
        <f>Paths!$A$156</f>
        <v>T038</v>
      </c>
      <c r="B1646" s="1">
        <f>Paths!$B$156</f>
        <v>1</v>
      </c>
      <c r="C1646" s="1">
        <v>0</v>
      </c>
      <c r="D1646" s="1">
        <v>156</v>
      </c>
      <c r="E1646" s="1">
        <f>IF(OR(Paths!$C$156=0,C1646=0),0,MAX(0,MIN(C1646*12,Paths!$E$156)-(C1646-1)*12))</f>
        <v>0</v>
      </c>
      <c r="F1646" s="1">
        <f>IF(OR(Paths!$C$156=0,C1646=0),0,12-E1646)</f>
        <v>0</v>
      </c>
      <c r="G1646" s="16">
        <f>IF(NOT(Paths!$C$156=1),0,IF(Paths!$P$156="Complete",E1646/12*(Paths!$J$156*(1+'Operating costs'!$B$51)^MAX(0,C1646-1)+Paths!$K$156*(1+'Operating costs'!$B$53)^MAX(0,C1646-1)),"n.a."))</f>
        <v>0</v>
      </c>
      <c r="H1646" s="16">
        <f>IF(NOT(Paths!$C$156=1),0,IF(Paths!$P$156="Complete",F1646/12*(Paths!$L$156*(1+IF(Paths!$D$156="EV",'Operating costs'!$B$52,'Operating costs'!$B$51))^MAX(0,C1646-1)+Paths!$M$156*(1+'Operating costs'!$B$53)^MAX(0,C1646-1)),"n.a."))</f>
        <v>0</v>
      </c>
      <c r="I1646" s="16">
        <f>IF(NOT(Paths!$C$156=1),0,IF(Paths!$P$156="Complete",IF(IF(Paths!$E$156=0,C1646=0,AND(C1646&gt;0,Paths!$E$156&gt;(C1646-1)*12,Paths!$E$156&lt;=C1646*12)),Paths!$G$156,0),"n.a."))</f>
        <v>0</v>
      </c>
      <c r="J1646" s="16">
        <f>IF(NOT(Paths!$C$156=1),0,IF(Paths!$P$156="Complete",IF(IF(Paths!$E$156=0,C1646=0,AND(C1646&gt;0,Paths!$E$156&gt;(C1646-1)*12,Paths!$E$156&lt;=C1646*12)),Paths!$H$156,0),"n.a."))</f>
        <v>0</v>
      </c>
      <c r="K1646" s="16">
        <f>IF(NOT(Paths!$C$156=1),0,IF(Paths!$P$156="Complete",IF(IF(Paths!$O$156=0,C1646=0,AND(C1646&gt;0,Paths!$O$156&gt;(C1646-1)*12,Paths!$O$156&lt;=C1646*12)),Paths!$N$156,0),"n.a."))</f>
        <v>0</v>
      </c>
      <c r="L1646" s="16">
        <f>IF(NOT(Paths!$C$156=1),0,IF(Paths!$P$156="Complete",IF(C1646=10,Paths!$I$156,0),"n.a."))</f>
        <v>0</v>
      </c>
      <c r="M1646" s="16">
        <f>IF(NOT(Paths!$C$156=1),0,IF(Paths!$P$156="Complete",IF(AND(Paths!$D$156="EV",Paths!$E$156&lt;120,Paths!$E$156+'Operating costs'!$B$65&gt;Paths!$E$156,Paths!$E$156+'Operating costs'!$B$65&lt;=120,IF(Paths!$E$156+'Operating costs'!$B$65=0,C1646=0,AND(C1646&gt;0,Paths!$E$156+'Operating costs'!$B$65&gt;(C1646-1)*12,Paths!$E$156+'Operating costs'!$B$65&lt;=C1646*12))),'Operating costs'!$B$64,0)+IF(AND('Operating costs'!$B$67&gt;0,'Operating costs'!$B$67&lt;=120,OR(Paths!$D$156="ICE",'Operating costs'!$B$67&lt;=Paths!$E$156),IF('Operating costs'!$B$67=0,C1646=0,AND(C1646&gt;0,'Operating costs'!$B$67&gt;(C1646-1)*12,'Operating costs'!$B$67&lt;=C1646*12))),'Operating costs'!$B$66,0),"n.a."))</f>
        <v>0</v>
      </c>
      <c r="N1646" s="16">
        <f>IF(NOT(Paths!$C$156=1),0,IF(Paths!$P$156="Complete",SUM(G1646:I1646)-J1646-K1646-L1646+M1646+IF(C1646=0,Paths!$F$156,0)+IF(IF(Paths!$E$156=0,C1646=0,AND(C1646&gt;0,Paths!$E$156&gt;(C1646-1)*12,Paths!$E$156&lt;=C1646*12)),VLOOKUP(A1646,'Fleet register'!$A$7:$S$106,16,FALSE),0),"n.a."))</f>
        <v>0</v>
      </c>
      <c r="O1646" s="16">
        <f>IF(NOT(Paths!$C$156=1),0,IF(Paths!$P$156="Complete",N1646-IF(C1646=0,Paths!$F$156,0),"n.a."))</f>
        <v>0</v>
      </c>
      <c r="P1646" s="16">
        <f>IF(NOT(Paths!$C$156=1),0,IF(Paths!$P$156="Complete",O1646+L1646,"n.a."))</f>
        <v>0</v>
      </c>
      <c r="Q1646" s="16">
        <f>IF(NOT(Paths!$C$156=1),0,IF(Paths!$P$156="Complete",N1646*(1+'Operating costs'!$B$54)^-C1646,"n.a."))</f>
        <v>0</v>
      </c>
      <c r="R1646" s="16">
        <f>IF(NOT(Paths!$C$156=1),0,IF(Paths!$P$156="Complete",IF(AND(C1646=0,Paths!$E$156=0),I1646-J1646-K1646+VLOOKUP(A1646,'Fleet register'!$A$7:$S$106,15,FALSE)+VLOOKUP(A1646,'Fleet register'!$A$7:$S$106,16,FALSE),0),"n.a."))</f>
        <v>0</v>
      </c>
      <c r="S1646" s="1">
        <f>IF(NOT(Paths!$C$156=1),0,IF(Paths!$P$156="Complete",IF(C1646=0,0,Paths!$S$156*Paths!$R$156),"n.a."))</f>
        <v>0</v>
      </c>
      <c r="T1646" s="1">
        <f>IF(NOT(Paths!$C$156=1),0,IF(Paths!$P$156="Complete",IF(C1646=0,0,VLOOKUP(A1646,'Fleet register'!$A$7:$S$106,9,FALSE)*Paths!$R$156),"n.a."))</f>
        <v>0</v>
      </c>
    </row>
    <row r="1647" spans="1:20" ht="24" customHeight="1">
      <c r="A1647" s="1" t="str">
        <f>Paths!$A$156</f>
        <v>T038</v>
      </c>
      <c r="B1647" s="1">
        <f>Paths!$B$156</f>
        <v>1</v>
      </c>
      <c r="C1647" s="1">
        <v>1</v>
      </c>
      <c r="D1647" s="1">
        <v>156</v>
      </c>
      <c r="E1647" s="1">
        <f>IF(OR(Paths!$C$156=0,C1647=0),0,MAX(0,MIN(C1647*12,Paths!$E$156)-(C1647-1)*12))</f>
        <v>0</v>
      </c>
      <c r="F1647" s="1">
        <f>IF(OR(Paths!$C$156=0,C1647=0),0,12-E1647)</f>
        <v>0</v>
      </c>
      <c r="G1647" s="16">
        <f>IF(NOT(Paths!$C$156=1),0,IF(Paths!$P$156="Complete",E1647/12*(Paths!$J$156*(1+'Operating costs'!$B$51)^MAX(0,C1647-1)+Paths!$K$156*(1+'Operating costs'!$B$53)^MAX(0,C1647-1)),"n.a."))</f>
        <v>0</v>
      </c>
      <c r="H1647" s="16">
        <f>IF(NOT(Paths!$C$156=1),0,IF(Paths!$P$156="Complete",F1647/12*(Paths!$L$156*(1+IF(Paths!$D$156="EV",'Operating costs'!$B$52,'Operating costs'!$B$51))^MAX(0,C1647-1)+Paths!$M$156*(1+'Operating costs'!$B$53)^MAX(0,C1647-1)),"n.a."))</f>
        <v>0</v>
      </c>
      <c r="I1647" s="16">
        <f>IF(NOT(Paths!$C$156=1),0,IF(Paths!$P$156="Complete",IF(IF(Paths!$E$156=0,C1647=0,AND(C1647&gt;0,Paths!$E$156&gt;(C1647-1)*12,Paths!$E$156&lt;=C1647*12)),Paths!$G$156,0),"n.a."))</f>
        <v>0</v>
      </c>
      <c r="J1647" s="16">
        <f>IF(NOT(Paths!$C$156=1),0,IF(Paths!$P$156="Complete",IF(IF(Paths!$E$156=0,C1647=0,AND(C1647&gt;0,Paths!$E$156&gt;(C1647-1)*12,Paths!$E$156&lt;=C1647*12)),Paths!$H$156,0),"n.a."))</f>
        <v>0</v>
      </c>
      <c r="K1647" s="16">
        <f>IF(NOT(Paths!$C$156=1),0,IF(Paths!$P$156="Complete",IF(IF(Paths!$O$156=0,C1647=0,AND(C1647&gt;0,Paths!$O$156&gt;(C1647-1)*12,Paths!$O$156&lt;=C1647*12)),Paths!$N$156,0),"n.a."))</f>
        <v>0</v>
      </c>
      <c r="L1647" s="16">
        <f>IF(NOT(Paths!$C$156=1),0,IF(Paths!$P$156="Complete",IF(C1647=10,Paths!$I$156,0),"n.a."))</f>
        <v>0</v>
      </c>
      <c r="M1647" s="16">
        <f>IF(NOT(Paths!$C$156=1),0,IF(Paths!$P$156="Complete",IF(AND(Paths!$D$156="EV",Paths!$E$156&lt;120,Paths!$E$156+'Operating costs'!$B$65&gt;Paths!$E$156,Paths!$E$156+'Operating costs'!$B$65&lt;=120,IF(Paths!$E$156+'Operating costs'!$B$65=0,C1647=0,AND(C1647&gt;0,Paths!$E$156+'Operating costs'!$B$65&gt;(C1647-1)*12,Paths!$E$156+'Operating costs'!$B$65&lt;=C1647*12))),'Operating costs'!$B$64,0)+IF(AND('Operating costs'!$B$67&gt;0,'Operating costs'!$B$67&lt;=120,OR(Paths!$D$156="ICE",'Operating costs'!$B$67&lt;=Paths!$E$156),IF('Operating costs'!$B$67=0,C1647=0,AND(C1647&gt;0,'Operating costs'!$B$67&gt;(C1647-1)*12,'Operating costs'!$B$67&lt;=C1647*12))),'Operating costs'!$B$66,0),"n.a."))</f>
        <v>0</v>
      </c>
      <c r="N1647" s="16">
        <f>IF(NOT(Paths!$C$156=1),0,IF(Paths!$P$156="Complete",SUM(G1647:I1647)-J1647-K1647-L1647+M1647+IF(C1647=0,Paths!$F$156,0)+IF(IF(Paths!$E$156=0,C1647=0,AND(C1647&gt;0,Paths!$E$156&gt;(C1647-1)*12,Paths!$E$156&lt;=C1647*12)),VLOOKUP(A1647,'Fleet register'!$A$7:$S$106,16,FALSE),0),"n.a."))</f>
        <v>0</v>
      </c>
      <c r="O1647" s="16">
        <f>IF(NOT(Paths!$C$156=1),0,IF(Paths!$P$156="Complete",N1647-IF(C1647=0,Paths!$F$156,0),"n.a."))</f>
        <v>0</v>
      </c>
      <c r="P1647" s="16">
        <f>IF(NOT(Paths!$C$156=1),0,IF(Paths!$P$156="Complete",O1647+L1647,"n.a."))</f>
        <v>0</v>
      </c>
      <c r="Q1647" s="16">
        <f>IF(NOT(Paths!$C$156=1),0,IF(Paths!$P$156="Complete",N1647*(1+'Operating costs'!$B$54)^-C1647,"n.a."))</f>
        <v>0</v>
      </c>
      <c r="R1647" s="16">
        <f>IF(NOT(Paths!$C$156=1),0,IF(Paths!$P$156="Complete",IF(AND(C1647=0,Paths!$E$156=0),I1647-J1647-K1647+VLOOKUP(A1647,'Fleet register'!$A$7:$S$106,15,FALSE)+VLOOKUP(A1647,'Fleet register'!$A$7:$S$106,16,FALSE),0),"n.a."))</f>
        <v>0</v>
      </c>
      <c r="S1647" s="1">
        <f>IF(NOT(Paths!$C$156=1),0,IF(Paths!$P$156="Complete",IF(C1647=0,0,Paths!$S$156*Paths!$R$156),"n.a."))</f>
        <v>0</v>
      </c>
      <c r="T1647" s="1">
        <f>IF(NOT(Paths!$C$156=1),0,IF(Paths!$P$156="Complete",IF(C1647=0,0,VLOOKUP(A1647,'Fleet register'!$A$7:$S$106,9,FALSE)*Paths!$R$156),"n.a."))</f>
        <v>0</v>
      </c>
    </row>
    <row r="1648" spans="1:20" ht="24" customHeight="1">
      <c r="A1648" s="1" t="str">
        <f>Paths!$A$156</f>
        <v>T038</v>
      </c>
      <c r="B1648" s="1">
        <f>Paths!$B$156</f>
        <v>1</v>
      </c>
      <c r="C1648" s="1">
        <v>2</v>
      </c>
      <c r="D1648" s="1">
        <v>156</v>
      </c>
      <c r="E1648" s="1">
        <f>IF(OR(Paths!$C$156=0,C1648=0),0,MAX(0,MIN(C1648*12,Paths!$E$156)-(C1648-1)*12))</f>
        <v>0</v>
      </c>
      <c r="F1648" s="1">
        <f>IF(OR(Paths!$C$156=0,C1648=0),0,12-E1648)</f>
        <v>0</v>
      </c>
      <c r="G1648" s="16">
        <f>IF(NOT(Paths!$C$156=1),0,IF(Paths!$P$156="Complete",E1648/12*(Paths!$J$156*(1+'Operating costs'!$B$51)^MAX(0,C1648-1)+Paths!$K$156*(1+'Operating costs'!$B$53)^MAX(0,C1648-1)),"n.a."))</f>
        <v>0</v>
      </c>
      <c r="H1648" s="16">
        <f>IF(NOT(Paths!$C$156=1),0,IF(Paths!$P$156="Complete",F1648/12*(Paths!$L$156*(1+IF(Paths!$D$156="EV",'Operating costs'!$B$52,'Operating costs'!$B$51))^MAX(0,C1648-1)+Paths!$M$156*(1+'Operating costs'!$B$53)^MAX(0,C1648-1)),"n.a."))</f>
        <v>0</v>
      </c>
      <c r="I1648" s="16">
        <f>IF(NOT(Paths!$C$156=1),0,IF(Paths!$P$156="Complete",IF(IF(Paths!$E$156=0,C1648=0,AND(C1648&gt;0,Paths!$E$156&gt;(C1648-1)*12,Paths!$E$156&lt;=C1648*12)),Paths!$G$156,0),"n.a."))</f>
        <v>0</v>
      </c>
      <c r="J1648" s="16">
        <f>IF(NOT(Paths!$C$156=1),0,IF(Paths!$P$156="Complete",IF(IF(Paths!$E$156=0,C1648=0,AND(C1648&gt;0,Paths!$E$156&gt;(C1648-1)*12,Paths!$E$156&lt;=C1648*12)),Paths!$H$156,0),"n.a."))</f>
        <v>0</v>
      </c>
      <c r="K1648" s="16">
        <f>IF(NOT(Paths!$C$156=1),0,IF(Paths!$P$156="Complete",IF(IF(Paths!$O$156=0,C1648=0,AND(C1648&gt;0,Paths!$O$156&gt;(C1648-1)*12,Paths!$O$156&lt;=C1648*12)),Paths!$N$156,0),"n.a."))</f>
        <v>0</v>
      </c>
      <c r="L1648" s="16">
        <f>IF(NOT(Paths!$C$156=1),0,IF(Paths!$P$156="Complete",IF(C1648=10,Paths!$I$156,0),"n.a."))</f>
        <v>0</v>
      </c>
      <c r="M1648" s="16">
        <f>IF(NOT(Paths!$C$156=1),0,IF(Paths!$P$156="Complete",IF(AND(Paths!$D$156="EV",Paths!$E$156&lt;120,Paths!$E$156+'Operating costs'!$B$65&gt;Paths!$E$156,Paths!$E$156+'Operating costs'!$B$65&lt;=120,IF(Paths!$E$156+'Operating costs'!$B$65=0,C1648=0,AND(C1648&gt;0,Paths!$E$156+'Operating costs'!$B$65&gt;(C1648-1)*12,Paths!$E$156+'Operating costs'!$B$65&lt;=C1648*12))),'Operating costs'!$B$64,0)+IF(AND('Operating costs'!$B$67&gt;0,'Operating costs'!$B$67&lt;=120,OR(Paths!$D$156="ICE",'Operating costs'!$B$67&lt;=Paths!$E$156),IF('Operating costs'!$B$67=0,C1648=0,AND(C1648&gt;0,'Operating costs'!$B$67&gt;(C1648-1)*12,'Operating costs'!$B$67&lt;=C1648*12))),'Operating costs'!$B$66,0),"n.a."))</f>
        <v>0</v>
      </c>
      <c r="N1648" s="16">
        <f>IF(NOT(Paths!$C$156=1),0,IF(Paths!$P$156="Complete",SUM(G1648:I1648)-J1648-K1648-L1648+M1648+IF(C1648=0,Paths!$F$156,0)+IF(IF(Paths!$E$156=0,C1648=0,AND(C1648&gt;0,Paths!$E$156&gt;(C1648-1)*12,Paths!$E$156&lt;=C1648*12)),VLOOKUP(A1648,'Fleet register'!$A$7:$S$106,16,FALSE),0),"n.a."))</f>
        <v>0</v>
      </c>
      <c r="O1648" s="16">
        <f>IF(NOT(Paths!$C$156=1),0,IF(Paths!$P$156="Complete",N1648-IF(C1648=0,Paths!$F$156,0),"n.a."))</f>
        <v>0</v>
      </c>
      <c r="P1648" s="16">
        <f>IF(NOT(Paths!$C$156=1),0,IF(Paths!$P$156="Complete",O1648+L1648,"n.a."))</f>
        <v>0</v>
      </c>
      <c r="Q1648" s="16">
        <f>IF(NOT(Paths!$C$156=1),0,IF(Paths!$P$156="Complete",N1648*(1+'Operating costs'!$B$54)^-C1648,"n.a."))</f>
        <v>0</v>
      </c>
      <c r="R1648" s="16">
        <f>IF(NOT(Paths!$C$156=1),0,IF(Paths!$P$156="Complete",IF(AND(C1648=0,Paths!$E$156=0),I1648-J1648-K1648+VLOOKUP(A1648,'Fleet register'!$A$7:$S$106,15,FALSE)+VLOOKUP(A1648,'Fleet register'!$A$7:$S$106,16,FALSE),0),"n.a."))</f>
        <v>0</v>
      </c>
      <c r="S1648" s="1">
        <f>IF(NOT(Paths!$C$156=1),0,IF(Paths!$P$156="Complete",IF(C1648=0,0,Paths!$S$156*Paths!$R$156),"n.a."))</f>
        <v>0</v>
      </c>
      <c r="T1648" s="1">
        <f>IF(NOT(Paths!$C$156=1),0,IF(Paths!$P$156="Complete",IF(C1648=0,0,VLOOKUP(A1648,'Fleet register'!$A$7:$S$106,9,FALSE)*Paths!$R$156),"n.a."))</f>
        <v>0</v>
      </c>
    </row>
    <row r="1649" spans="1:20" ht="24" customHeight="1">
      <c r="A1649" s="1" t="str">
        <f>Paths!$A$156</f>
        <v>T038</v>
      </c>
      <c r="B1649" s="1">
        <f>Paths!$B$156</f>
        <v>1</v>
      </c>
      <c r="C1649" s="1">
        <v>3</v>
      </c>
      <c r="D1649" s="1">
        <v>156</v>
      </c>
      <c r="E1649" s="1">
        <f>IF(OR(Paths!$C$156=0,C1649=0),0,MAX(0,MIN(C1649*12,Paths!$E$156)-(C1649-1)*12))</f>
        <v>0</v>
      </c>
      <c r="F1649" s="1">
        <f>IF(OR(Paths!$C$156=0,C1649=0),0,12-E1649)</f>
        <v>0</v>
      </c>
      <c r="G1649" s="16">
        <f>IF(NOT(Paths!$C$156=1),0,IF(Paths!$P$156="Complete",E1649/12*(Paths!$J$156*(1+'Operating costs'!$B$51)^MAX(0,C1649-1)+Paths!$K$156*(1+'Operating costs'!$B$53)^MAX(0,C1649-1)),"n.a."))</f>
        <v>0</v>
      </c>
      <c r="H1649" s="16">
        <f>IF(NOT(Paths!$C$156=1),0,IF(Paths!$P$156="Complete",F1649/12*(Paths!$L$156*(1+IF(Paths!$D$156="EV",'Operating costs'!$B$52,'Operating costs'!$B$51))^MAX(0,C1649-1)+Paths!$M$156*(1+'Operating costs'!$B$53)^MAX(0,C1649-1)),"n.a."))</f>
        <v>0</v>
      </c>
      <c r="I1649" s="16">
        <f>IF(NOT(Paths!$C$156=1),0,IF(Paths!$P$156="Complete",IF(IF(Paths!$E$156=0,C1649=0,AND(C1649&gt;0,Paths!$E$156&gt;(C1649-1)*12,Paths!$E$156&lt;=C1649*12)),Paths!$G$156,0),"n.a."))</f>
        <v>0</v>
      </c>
      <c r="J1649" s="16">
        <f>IF(NOT(Paths!$C$156=1),0,IF(Paths!$P$156="Complete",IF(IF(Paths!$E$156=0,C1649=0,AND(C1649&gt;0,Paths!$E$156&gt;(C1649-1)*12,Paths!$E$156&lt;=C1649*12)),Paths!$H$156,0),"n.a."))</f>
        <v>0</v>
      </c>
      <c r="K1649" s="16">
        <f>IF(NOT(Paths!$C$156=1),0,IF(Paths!$P$156="Complete",IF(IF(Paths!$O$156=0,C1649=0,AND(C1649&gt;0,Paths!$O$156&gt;(C1649-1)*12,Paths!$O$156&lt;=C1649*12)),Paths!$N$156,0),"n.a."))</f>
        <v>0</v>
      </c>
      <c r="L1649" s="16">
        <f>IF(NOT(Paths!$C$156=1),0,IF(Paths!$P$156="Complete",IF(C1649=10,Paths!$I$156,0),"n.a."))</f>
        <v>0</v>
      </c>
      <c r="M1649" s="16">
        <f>IF(NOT(Paths!$C$156=1),0,IF(Paths!$P$156="Complete",IF(AND(Paths!$D$156="EV",Paths!$E$156&lt;120,Paths!$E$156+'Operating costs'!$B$65&gt;Paths!$E$156,Paths!$E$156+'Operating costs'!$B$65&lt;=120,IF(Paths!$E$156+'Operating costs'!$B$65=0,C1649=0,AND(C1649&gt;0,Paths!$E$156+'Operating costs'!$B$65&gt;(C1649-1)*12,Paths!$E$156+'Operating costs'!$B$65&lt;=C1649*12))),'Operating costs'!$B$64,0)+IF(AND('Operating costs'!$B$67&gt;0,'Operating costs'!$B$67&lt;=120,OR(Paths!$D$156="ICE",'Operating costs'!$B$67&lt;=Paths!$E$156),IF('Operating costs'!$B$67=0,C1649=0,AND(C1649&gt;0,'Operating costs'!$B$67&gt;(C1649-1)*12,'Operating costs'!$B$67&lt;=C1649*12))),'Operating costs'!$B$66,0),"n.a."))</f>
        <v>0</v>
      </c>
      <c r="N1649" s="16">
        <f>IF(NOT(Paths!$C$156=1),0,IF(Paths!$P$156="Complete",SUM(G1649:I1649)-J1649-K1649-L1649+M1649+IF(C1649=0,Paths!$F$156,0)+IF(IF(Paths!$E$156=0,C1649=0,AND(C1649&gt;0,Paths!$E$156&gt;(C1649-1)*12,Paths!$E$156&lt;=C1649*12)),VLOOKUP(A1649,'Fleet register'!$A$7:$S$106,16,FALSE),0),"n.a."))</f>
        <v>0</v>
      </c>
      <c r="O1649" s="16">
        <f>IF(NOT(Paths!$C$156=1),0,IF(Paths!$P$156="Complete",N1649-IF(C1649=0,Paths!$F$156,0),"n.a."))</f>
        <v>0</v>
      </c>
      <c r="P1649" s="16">
        <f>IF(NOT(Paths!$C$156=1),0,IF(Paths!$P$156="Complete",O1649+L1649,"n.a."))</f>
        <v>0</v>
      </c>
      <c r="Q1649" s="16">
        <f>IF(NOT(Paths!$C$156=1),0,IF(Paths!$P$156="Complete",N1649*(1+'Operating costs'!$B$54)^-C1649,"n.a."))</f>
        <v>0</v>
      </c>
      <c r="R1649" s="16">
        <f>IF(NOT(Paths!$C$156=1),0,IF(Paths!$P$156="Complete",IF(AND(C1649=0,Paths!$E$156=0),I1649-J1649-K1649+VLOOKUP(A1649,'Fleet register'!$A$7:$S$106,15,FALSE)+VLOOKUP(A1649,'Fleet register'!$A$7:$S$106,16,FALSE),0),"n.a."))</f>
        <v>0</v>
      </c>
      <c r="S1649" s="1">
        <f>IF(NOT(Paths!$C$156=1),0,IF(Paths!$P$156="Complete",IF(C1649=0,0,Paths!$S$156*Paths!$R$156),"n.a."))</f>
        <v>0</v>
      </c>
      <c r="T1649" s="1">
        <f>IF(NOT(Paths!$C$156=1),0,IF(Paths!$P$156="Complete",IF(C1649=0,0,VLOOKUP(A1649,'Fleet register'!$A$7:$S$106,9,FALSE)*Paths!$R$156),"n.a."))</f>
        <v>0</v>
      </c>
    </row>
    <row r="1650" spans="1:20" ht="24" customHeight="1">
      <c r="A1650" s="1" t="str">
        <f>Paths!$A$156</f>
        <v>T038</v>
      </c>
      <c r="B1650" s="1">
        <f>Paths!$B$156</f>
        <v>1</v>
      </c>
      <c r="C1650" s="1">
        <v>4</v>
      </c>
      <c r="D1650" s="1">
        <v>156</v>
      </c>
      <c r="E1650" s="1">
        <f>IF(OR(Paths!$C$156=0,C1650=0),0,MAX(0,MIN(C1650*12,Paths!$E$156)-(C1650-1)*12))</f>
        <v>0</v>
      </c>
      <c r="F1650" s="1">
        <f>IF(OR(Paths!$C$156=0,C1650=0),0,12-E1650)</f>
        <v>0</v>
      </c>
      <c r="G1650" s="16">
        <f>IF(NOT(Paths!$C$156=1),0,IF(Paths!$P$156="Complete",E1650/12*(Paths!$J$156*(1+'Operating costs'!$B$51)^MAX(0,C1650-1)+Paths!$K$156*(1+'Operating costs'!$B$53)^MAX(0,C1650-1)),"n.a."))</f>
        <v>0</v>
      </c>
      <c r="H1650" s="16">
        <f>IF(NOT(Paths!$C$156=1),0,IF(Paths!$P$156="Complete",F1650/12*(Paths!$L$156*(1+IF(Paths!$D$156="EV",'Operating costs'!$B$52,'Operating costs'!$B$51))^MAX(0,C1650-1)+Paths!$M$156*(1+'Operating costs'!$B$53)^MAX(0,C1650-1)),"n.a."))</f>
        <v>0</v>
      </c>
      <c r="I1650" s="16">
        <f>IF(NOT(Paths!$C$156=1),0,IF(Paths!$P$156="Complete",IF(IF(Paths!$E$156=0,C1650=0,AND(C1650&gt;0,Paths!$E$156&gt;(C1650-1)*12,Paths!$E$156&lt;=C1650*12)),Paths!$G$156,0),"n.a."))</f>
        <v>0</v>
      </c>
      <c r="J1650" s="16">
        <f>IF(NOT(Paths!$C$156=1),0,IF(Paths!$P$156="Complete",IF(IF(Paths!$E$156=0,C1650=0,AND(C1650&gt;0,Paths!$E$156&gt;(C1650-1)*12,Paths!$E$156&lt;=C1650*12)),Paths!$H$156,0),"n.a."))</f>
        <v>0</v>
      </c>
      <c r="K1650" s="16">
        <f>IF(NOT(Paths!$C$156=1),0,IF(Paths!$P$156="Complete",IF(IF(Paths!$O$156=0,C1650=0,AND(C1650&gt;0,Paths!$O$156&gt;(C1650-1)*12,Paths!$O$156&lt;=C1650*12)),Paths!$N$156,0),"n.a."))</f>
        <v>0</v>
      </c>
      <c r="L1650" s="16">
        <f>IF(NOT(Paths!$C$156=1),0,IF(Paths!$P$156="Complete",IF(C1650=10,Paths!$I$156,0),"n.a."))</f>
        <v>0</v>
      </c>
      <c r="M1650" s="16">
        <f>IF(NOT(Paths!$C$156=1),0,IF(Paths!$P$156="Complete",IF(AND(Paths!$D$156="EV",Paths!$E$156&lt;120,Paths!$E$156+'Operating costs'!$B$65&gt;Paths!$E$156,Paths!$E$156+'Operating costs'!$B$65&lt;=120,IF(Paths!$E$156+'Operating costs'!$B$65=0,C1650=0,AND(C1650&gt;0,Paths!$E$156+'Operating costs'!$B$65&gt;(C1650-1)*12,Paths!$E$156+'Operating costs'!$B$65&lt;=C1650*12))),'Operating costs'!$B$64,0)+IF(AND('Operating costs'!$B$67&gt;0,'Operating costs'!$B$67&lt;=120,OR(Paths!$D$156="ICE",'Operating costs'!$B$67&lt;=Paths!$E$156),IF('Operating costs'!$B$67=0,C1650=0,AND(C1650&gt;0,'Operating costs'!$B$67&gt;(C1650-1)*12,'Operating costs'!$B$67&lt;=C1650*12))),'Operating costs'!$B$66,0),"n.a."))</f>
        <v>0</v>
      </c>
      <c r="N1650" s="16">
        <f>IF(NOT(Paths!$C$156=1),0,IF(Paths!$P$156="Complete",SUM(G1650:I1650)-J1650-K1650-L1650+M1650+IF(C1650=0,Paths!$F$156,0)+IF(IF(Paths!$E$156=0,C1650=0,AND(C1650&gt;0,Paths!$E$156&gt;(C1650-1)*12,Paths!$E$156&lt;=C1650*12)),VLOOKUP(A1650,'Fleet register'!$A$7:$S$106,16,FALSE),0),"n.a."))</f>
        <v>0</v>
      </c>
      <c r="O1650" s="16">
        <f>IF(NOT(Paths!$C$156=1),0,IF(Paths!$P$156="Complete",N1650-IF(C1650=0,Paths!$F$156,0),"n.a."))</f>
        <v>0</v>
      </c>
      <c r="P1650" s="16">
        <f>IF(NOT(Paths!$C$156=1),0,IF(Paths!$P$156="Complete",O1650+L1650,"n.a."))</f>
        <v>0</v>
      </c>
      <c r="Q1650" s="16">
        <f>IF(NOT(Paths!$C$156=1),0,IF(Paths!$P$156="Complete",N1650*(1+'Operating costs'!$B$54)^-C1650,"n.a."))</f>
        <v>0</v>
      </c>
      <c r="R1650" s="16">
        <f>IF(NOT(Paths!$C$156=1),0,IF(Paths!$P$156="Complete",IF(AND(C1650=0,Paths!$E$156=0),I1650-J1650-K1650+VLOOKUP(A1650,'Fleet register'!$A$7:$S$106,15,FALSE)+VLOOKUP(A1650,'Fleet register'!$A$7:$S$106,16,FALSE),0),"n.a."))</f>
        <v>0</v>
      </c>
      <c r="S1650" s="1">
        <f>IF(NOT(Paths!$C$156=1),0,IF(Paths!$P$156="Complete",IF(C1650=0,0,Paths!$S$156*Paths!$R$156),"n.a."))</f>
        <v>0</v>
      </c>
      <c r="T1650" s="1">
        <f>IF(NOT(Paths!$C$156=1),0,IF(Paths!$P$156="Complete",IF(C1650=0,0,VLOOKUP(A1650,'Fleet register'!$A$7:$S$106,9,FALSE)*Paths!$R$156),"n.a."))</f>
        <v>0</v>
      </c>
    </row>
    <row r="1651" spans="1:20" ht="24" customHeight="1">
      <c r="A1651" s="1" t="str">
        <f>Paths!$A$156</f>
        <v>T038</v>
      </c>
      <c r="B1651" s="1">
        <f>Paths!$B$156</f>
        <v>1</v>
      </c>
      <c r="C1651" s="1">
        <v>5</v>
      </c>
      <c r="D1651" s="1">
        <v>156</v>
      </c>
      <c r="E1651" s="1">
        <f>IF(OR(Paths!$C$156=0,C1651=0),0,MAX(0,MIN(C1651*12,Paths!$E$156)-(C1651-1)*12))</f>
        <v>0</v>
      </c>
      <c r="F1651" s="1">
        <f>IF(OR(Paths!$C$156=0,C1651=0),0,12-E1651)</f>
        <v>0</v>
      </c>
      <c r="G1651" s="16">
        <f>IF(NOT(Paths!$C$156=1),0,IF(Paths!$P$156="Complete",E1651/12*(Paths!$J$156*(1+'Operating costs'!$B$51)^MAX(0,C1651-1)+Paths!$K$156*(1+'Operating costs'!$B$53)^MAX(0,C1651-1)),"n.a."))</f>
        <v>0</v>
      </c>
      <c r="H1651" s="16">
        <f>IF(NOT(Paths!$C$156=1),0,IF(Paths!$P$156="Complete",F1651/12*(Paths!$L$156*(1+IF(Paths!$D$156="EV",'Operating costs'!$B$52,'Operating costs'!$B$51))^MAX(0,C1651-1)+Paths!$M$156*(1+'Operating costs'!$B$53)^MAX(0,C1651-1)),"n.a."))</f>
        <v>0</v>
      </c>
      <c r="I1651" s="16">
        <f>IF(NOT(Paths!$C$156=1),0,IF(Paths!$P$156="Complete",IF(IF(Paths!$E$156=0,C1651=0,AND(C1651&gt;0,Paths!$E$156&gt;(C1651-1)*12,Paths!$E$156&lt;=C1651*12)),Paths!$G$156,0),"n.a."))</f>
        <v>0</v>
      </c>
      <c r="J1651" s="16">
        <f>IF(NOT(Paths!$C$156=1),0,IF(Paths!$P$156="Complete",IF(IF(Paths!$E$156=0,C1651=0,AND(C1651&gt;0,Paths!$E$156&gt;(C1651-1)*12,Paths!$E$156&lt;=C1651*12)),Paths!$H$156,0),"n.a."))</f>
        <v>0</v>
      </c>
      <c r="K1651" s="16">
        <f>IF(NOT(Paths!$C$156=1),0,IF(Paths!$P$156="Complete",IF(IF(Paths!$O$156=0,C1651=0,AND(C1651&gt;0,Paths!$O$156&gt;(C1651-1)*12,Paths!$O$156&lt;=C1651*12)),Paths!$N$156,0),"n.a."))</f>
        <v>0</v>
      </c>
      <c r="L1651" s="16">
        <f>IF(NOT(Paths!$C$156=1),0,IF(Paths!$P$156="Complete",IF(C1651=10,Paths!$I$156,0),"n.a."))</f>
        <v>0</v>
      </c>
      <c r="M1651" s="16">
        <f>IF(NOT(Paths!$C$156=1),0,IF(Paths!$P$156="Complete",IF(AND(Paths!$D$156="EV",Paths!$E$156&lt;120,Paths!$E$156+'Operating costs'!$B$65&gt;Paths!$E$156,Paths!$E$156+'Operating costs'!$B$65&lt;=120,IF(Paths!$E$156+'Operating costs'!$B$65=0,C1651=0,AND(C1651&gt;0,Paths!$E$156+'Operating costs'!$B$65&gt;(C1651-1)*12,Paths!$E$156+'Operating costs'!$B$65&lt;=C1651*12))),'Operating costs'!$B$64,0)+IF(AND('Operating costs'!$B$67&gt;0,'Operating costs'!$B$67&lt;=120,OR(Paths!$D$156="ICE",'Operating costs'!$B$67&lt;=Paths!$E$156),IF('Operating costs'!$B$67=0,C1651=0,AND(C1651&gt;0,'Operating costs'!$B$67&gt;(C1651-1)*12,'Operating costs'!$B$67&lt;=C1651*12))),'Operating costs'!$B$66,0),"n.a."))</f>
        <v>0</v>
      </c>
      <c r="N1651" s="16">
        <f>IF(NOT(Paths!$C$156=1),0,IF(Paths!$P$156="Complete",SUM(G1651:I1651)-J1651-K1651-L1651+M1651+IF(C1651=0,Paths!$F$156,0)+IF(IF(Paths!$E$156=0,C1651=0,AND(C1651&gt;0,Paths!$E$156&gt;(C1651-1)*12,Paths!$E$156&lt;=C1651*12)),VLOOKUP(A1651,'Fleet register'!$A$7:$S$106,16,FALSE),0),"n.a."))</f>
        <v>0</v>
      </c>
      <c r="O1651" s="16">
        <f>IF(NOT(Paths!$C$156=1),0,IF(Paths!$P$156="Complete",N1651-IF(C1651=0,Paths!$F$156,0),"n.a."))</f>
        <v>0</v>
      </c>
      <c r="P1651" s="16">
        <f>IF(NOT(Paths!$C$156=1),0,IF(Paths!$P$156="Complete",O1651+L1651,"n.a."))</f>
        <v>0</v>
      </c>
      <c r="Q1651" s="16">
        <f>IF(NOT(Paths!$C$156=1),0,IF(Paths!$P$156="Complete",N1651*(1+'Operating costs'!$B$54)^-C1651,"n.a."))</f>
        <v>0</v>
      </c>
      <c r="R1651" s="16">
        <f>IF(NOT(Paths!$C$156=1),0,IF(Paths!$P$156="Complete",IF(AND(C1651=0,Paths!$E$156=0),I1651-J1651-K1651+VLOOKUP(A1651,'Fleet register'!$A$7:$S$106,15,FALSE)+VLOOKUP(A1651,'Fleet register'!$A$7:$S$106,16,FALSE),0),"n.a."))</f>
        <v>0</v>
      </c>
      <c r="S1651" s="1">
        <f>IF(NOT(Paths!$C$156=1),0,IF(Paths!$P$156="Complete",IF(C1651=0,0,Paths!$S$156*Paths!$R$156),"n.a."))</f>
        <v>0</v>
      </c>
      <c r="T1651" s="1">
        <f>IF(NOT(Paths!$C$156=1),0,IF(Paths!$P$156="Complete",IF(C1651=0,0,VLOOKUP(A1651,'Fleet register'!$A$7:$S$106,9,FALSE)*Paths!$R$156),"n.a."))</f>
        <v>0</v>
      </c>
    </row>
    <row r="1652" spans="1:20" ht="24" customHeight="1">
      <c r="A1652" s="1" t="str">
        <f>Paths!$A$156</f>
        <v>T038</v>
      </c>
      <c r="B1652" s="1">
        <f>Paths!$B$156</f>
        <v>1</v>
      </c>
      <c r="C1652" s="1">
        <v>6</v>
      </c>
      <c r="D1652" s="1">
        <v>156</v>
      </c>
      <c r="E1652" s="1">
        <f>IF(OR(Paths!$C$156=0,C1652=0),0,MAX(0,MIN(C1652*12,Paths!$E$156)-(C1652-1)*12))</f>
        <v>0</v>
      </c>
      <c r="F1652" s="1">
        <f>IF(OR(Paths!$C$156=0,C1652=0),0,12-E1652)</f>
        <v>0</v>
      </c>
      <c r="G1652" s="16">
        <f>IF(NOT(Paths!$C$156=1),0,IF(Paths!$P$156="Complete",E1652/12*(Paths!$J$156*(1+'Operating costs'!$B$51)^MAX(0,C1652-1)+Paths!$K$156*(1+'Operating costs'!$B$53)^MAX(0,C1652-1)),"n.a."))</f>
        <v>0</v>
      </c>
      <c r="H1652" s="16">
        <f>IF(NOT(Paths!$C$156=1),0,IF(Paths!$P$156="Complete",F1652/12*(Paths!$L$156*(1+IF(Paths!$D$156="EV",'Operating costs'!$B$52,'Operating costs'!$B$51))^MAX(0,C1652-1)+Paths!$M$156*(1+'Operating costs'!$B$53)^MAX(0,C1652-1)),"n.a."))</f>
        <v>0</v>
      </c>
      <c r="I1652" s="16">
        <f>IF(NOT(Paths!$C$156=1),0,IF(Paths!$P$156="Complete",IF(IF(Paths!$E$156=0,C1652=0,AND(C1652&gt;0,Paths!$E$156&gt;(C1652-1)*12,Paths!$E$156&lt;=C1652*12)),Paths!$G$156,0),"n.a."))</f>
        <v>0</v>
      </c>
      <c r="J1652" s="16">
        <f>IF(NOT(Paths!$C$156=1),0,IF(Paths!$P$156="Complete",IF(IF(Paths!$E$156=0,C1652=0,AND(C1652&gt;0,Paths!$E$156&gt;(C1652-1)*12,Paths!$E$156&lt;=C1652*12)),Paths!$H$156,0),"n.a."))</f>
        <v>0</v>
      </c>
      <c r="K1652" s="16">
        <f>IF(NOT(Paths!$C$156=1),0,IF(Paths!$P$156="Complete",IF(IF(Paths!$O$156=0,C1652=0,AND(C1652&gt;0,Paths!$O$156&gt;(C1652-1)*12,Paths!$O$156&lt;=C1652*12)),Paths!$N$156,0),"n.a."))</f>
        <v>0</v>
      </c>
      <c r="L1652" s="16">
        <f>IF(NOT(Paths!$C$156=1),0,IF(Paths!$P$156="Complete",IF(C1652=10,Paths!$I$156,0),"n.a."))</f>
        <v>0</v>
      </c>
      <c r="M1652" s="16">
        <f>IF(NOT(Paths!$C$156=1),0,IF(Paths!$P$156="Complete",IF(AND(Paths!$D$156="EV",Paths!$E$156&lt;120,Paths!$E$156+'Operating costs'!$B$65&gt;Paths!$E$156,Paths!$E$156+'Operating costs'!$B$65&lt;=120,IF(Paths!$E$156+'Operating costs'!$B$65=0,C1652=0,AND(C1652&gt;0,Paths!$E$156+'Operating costs'!$B$65&gt;(C1652-1)*12,Paths!$E$156+'Operating costs'!$B$65&lt;=C1652*12))),'Operating costs'!$B$64,0)+IF(AND('Operating costs'!$B$67&gt;0,'Operating costs'!$B$67&lt;=120,OR(Paths!$D$156="ICE",'Operating costs'!$B$67&lt;=Paths!$E$156),IF('Operating costs'!$B$67=0,C1652=0,AND(C1652&gt;0,'Operating costs'!$B$67&gt;(C1652-1)*12,'Operating costs'!$B$67&lt;=C1652*12))),'Operating costs'!$B$66,0),"n.a."))</f>
        <v>0</v>
      </c>
      <c r="N1652" s="16">
        <f>IF(NOT(Paths!$C$156=1),0,IF(Paths!$P$156="Complete",SUM(G1652:I1652)-J1652-K1652-L1652+M1652+IF(C1652=0,Paths!$F$156,0)+IF(IF(Paths!$E$156=0,C1652=0,AND(C1652&gt;0,Paths!$E$156&gt;(C1652-1)*12,Paths!$E$156&lt;=C1652*12)),VLOOKUP(A1652,'Fleet register'!$A$7:$S$106,16,FALSE),0),"n.a."))</f>
        <v>0</v>
      </c>
      <c r="O1652" s="16">
        <f>IF(NOT(Paths!$C$156=1),0,IF(Paths!$P$156="Complete",N1652-IF(C1652=0,Paths!$F$156,0),"n.a."))</f>
        <v>0</v>
      </c>
      <c r="P1652" s="16">
        <f>IF(NOT(Paths!$C$156=1),0,IF(Paths!$P$156="Complete",O1652+L1652,"n.a."))</f>
        <v>0</v>
      </c>
      <c r="Q1652" s="16">
        <f>IF(NOT(Paths!$C$156=1),0,IF(Paths!$P$156="Complete",N1652*(1+'Operating costs'!$B$54)^-C1652,"n.a."))</f>
        <v>0</v>
      </c>
      <c r="R1652" s="16">
        <f>IF(NOT(Paths!$C$156=1),0,IF(Paths!$P$156="Complete",IF(AND(C1652=0,Paths!$E$156=0),I1652-J1652-K1652+VLOOKUP(A1652,'Fleet register'!$A$7:$S$106,15,FALSE)+VLOOKUP(A1652,'Fleet register'!$A$7:$S$106,16,FALSE),0),"n.a."))</f>
        <v>0</v>
      </c>
      <c r="S1652" s="1">
        <f>IF(NOT(Paths!$C$156=1),0,IF(Paths!$P$156="Complete",IF(C1652=0,0,Paths!$S$156*Paths!$R$156),"n.a."))</f>
        <v>0</v>
      </c>
      <c r="T1652" s="1">
        <f>IF(NOT(Paths!$C$156=1),0,IF(Paths!$P$156="Complete",IF(C1652=0,0,VLOOKUP(A1652,'Fleet register'!$A$7:$S$106,9,FALSE)*Paths!$R$156),"n.a."))</f>
        <v>0</v>
      </c>
    </row>
    <row r="1653" spans="1:20" ht="24" customHeight="1">
      <c r="A1653" s="1" t="str">
        <f>Paths!$A$156</f>
        <v>T038</v>
      </c>
      <c r="B1653" s="1">
        <f>Paths!$B$156</f>
        <v>1</v>
      </c>
      <c r="C1653" s="1">
        <v>7</v>
      </c>
      <c r="D1653" s="1">
        <v>156</v>
      </c>
      <c r="E1653" s="1">
        <f>IF(OR(Paths!$C$156=0,C1653=0),0,MAX(0,MIN(C1653*12,Paths!$E$156)-(C1653-1)*12))</f>
        <v>0</v>
      </c>
      <c r="F1653" s="1">
        <f>IF(OR(Paths!$C$156=0,C1653=0),0,12-E1653)</f>
        <v>0</v>
      </c>
      <c r="G1653" s="16">
        <f>IF(NOT(Paths!$C$156=1),0,IF(Paths!$P$156="Complete",E1653/12*(Paths!$J$156*(1+'Operating costs'!$B$51)^MAX(0,C1653-1)+Paths!$K$156*(1+'Operating costs'!$B$53)^MAX(0,C1653-1)),"n.a."))</f>
        <v>0</v>
      </c>
      <c r="H1653" s="16">
        <f>IF(NOT(Paths!$C$156=1),0,IF(Paths!$P$156="Complete",F1653/12*(Paths!$L$156*(1+IF(Paths!$D$156="EV",'Operating costs'!$B$52,'Operating costs'!$B$51))^MAX(0,C1653-1)+Paths!$M$156*(1+'Operating costs'!$B$53)^MAX(0,C1653-1)),"n.a."))</f>
        <v>0</v>
      </c>
      <c r="I1653" s="16">
        <f>IF(NOT(Paths!$C$156=1),0,IF(Paths!$P$156="Complete",IF(IF(Paths!$E$156=0,C1653=0,AND(C1653&gt;0,Paths!$E$156&gt;(C1653-1)*12,Paths!$E$156&lt;=C1653*12)),Paths!$G$156,0),"n.a."))</f>
        <v>0</v>
      </c>
      <c r="J1653" s="16">
        <f>IF(NOT(Paths!$C$156=1),0,IF(Paths!$P$156="Complete",IF(IF(Paths!$E$156=0,C1653=0,AND(C1653&gt;0,Paths!$E$156&gt;(C1653-1)*12,Paths!$E$156&lt;=C1653*12)),Paths!$H$156,0),"n.a."))</f>
        <v>0</v>
      </c>
      <c r="K1653" s="16">
        <f>IF(NOT(Paths!$C$156=1),0,IF(Paths!$P$156="Complete",IF(IF(Paths!$O$156=0,C1653=0,AND(C1653&gt;0,Paths!$O$156&gt;(C1653-1)*12,Paths!$O$156&lt;=C1653*12)),Paths!$N$156,0),"n.a."))</f>
        <v>0</v>
      </c>
      <c r="L1653" s="16">
        <f>IF(NOT(Paths!$C$156=1),0,IF(Paths!$P$156="Complete",IF(C1653=10,Paths!$I$156,0),"n.a."))</f>
        <v>0</v>
      </c>
      <c r="M1653" s="16">
        <f>IF(NOT(Paths!$C$156=1),0,IF(Paths!$P$156="Complete",IF(AND(Paths!$D$156="EV",Paths!$E$156&lt;120,Paths!$E$156+'Operating costs'!$B$65&gt;Paths!$E$156,Paths!$E$156+'Operating costs'!$B$65&lt;=120,IF(Paths!$E$156+'Operating costs'!$B$65=0,C1653=0,AND(C1653&gt;0,Paths!$E$156+'Operating costs'!$B$65&gt;(C1653-1)*12,Paths!$E$156+'Operating costs'!$B$65&lt;=C1653*12))),'Operating costs'!$B$64,0)+IF(AND('Operating costs'!$B$67&gt;0,'Operating costs'!$B$67&lt;=120,OR(Paths!$D$156="ICE",'Operating costs'!$B$67&lt;=Paths!$E$156),IF('Operating costs'!$B$67=0,C1653=0,AND(C1653&gt;0,'Operating costs'!$B$67&gt;(C1653-1)*12,'Operating costs'!$B$67&lt;=C1653*12))),'Operating costs'!$B$66,0),"n.a."))</f>
        <v>0</v>
      </c>
      <c r="N1653" s="16">
        <f>IF(NOT(Paths!$C$156=1),0,IF(Paths!$P$156="Complete",SUM(G1653:I1653)-J1653-K1653-L1653+M1653+IF(C1653=0,Paths!$F$156,0)+IF(IF(Paths!$E$156=0,C1653=0,AND(C1653&gt;0,Paths!$E$156&gt;(C1653-1)*12,Paths!$E$156&lt;=C1653*12)),VLOOKUP(A1653,'Fleet register'!$A$7:$S$106,16,FALSE),0),"n.a."))</f>
        <v>0</v>
      </c>
      <c r="O1653" s="16">
        <f>IF(NOT(Paths!$C$156=1),0,IF(Paths!$P$156="Complete",N1653-IF(C1653=0,Paths!$F$156,0),"n.a."))</f>
        <v>0</v>
      </c>
      <c r="P1653" s="16">
        <f>IF(NOT(Paths!$C$156=1),0,IF(Paths!$P$156="Complete",O1653+L1653,"n.a."))</f>
        <v>0</v>
      </c>
      <c r="Q1653" s="16">
        <f>IF(NOT(Paths!$C$156=1),0,IF(Paths!$P$156="Complete",N1653*(1+'Operating costs'!$B$54)^-C1653,"n.a."))</f>
        <v>0</v>
      </c>
      <c r="R1653" s="16">
        <f>IF(NOT(Paths!$C$156=1),0,IF(Paths!$P$156="Complete",IF(AND(C1653=0,Paths!$E$156=0),I1653-J1653-K1653+VLOOKUP(A1653,'Fleet register'!$A$7:$S$106,15,FALSE)+VLOOKUP(A1653,'Fleet register'!$A$7:$S$106,16,FALSE),0),"n.a."))</f>
        <v>0</v>
      </c>
      <c r="S1653" s="1">
        <f>IF(NOT(Paths!$C$156=1),0,IF(Paths!$P$156="Complete",IF(C1653=0,0,Paths!$S$156*Paths!$R$156),"n.a."))</f>
        <v>0</v>
      </c>
      <c r="T1653" s="1">
        <f>IF(NOT(Paths!$C$156=1),0,IF(Paths!$P$156="Complete",IF(C1653=0,0,VLOOKUP(A1653,'Fleet register'!$A$7:$S$106,9,FALSE)*Paths!$R$156),"n.a."))</f>
        <v>0</v>
      </c>
    </row>
    <row r="1654" spans="1:20" ht="24" customHeight="1">
      <c r="A1654" s="1" t="str">
        <f>Paths!$A$156</f>
        <v>T038</v>
      </c>
      <c r="B1654" s="1">
        <f>Paths!$B$156</f>
        <v>1</v>
      </c>
      <c r="C1654" s="1">
        <v>8</v>
      </c>
      <c r="D1654" s="1">
        <v>156</v>
      </c>
      <c r="E1654" s="1">
        <f>IF(OR(Paths!$C$156=0,C1654=0),0,MAX(0,MIN(C1654*12,Paths!$E$156)-(C1654-1)*12))</f>
        <v>0</v>
      </c>
      <c r="F1654" s="1">
        <f>IF(OR(Paths!$C$156=0,C1654=0),0,12-E1654)</f>
        <v>0</v>
      </c>
      <c r="G1654" s="16">
        <f>IF(NOT(Paths!$C$156=1),0,IF(Paths!$P$156="Complete",E1654/12*(Paths!$J$156*(1+'Operating costs'!$B$51)^MAX(0,C1654-1)+Paths!$K$156*(1+'Operating costs'!$B$53)^MAX(0,C1654-1)),"n.a."))</f>
        <v>0</v>
      </c>
      <c r="H1654" s="16">
        <f>IF(NOT(Paths!$C$156=1),0,IF(Paths!$P$156="Complete",F1654/12*(Paths!$L$156*(1+IF(Paths!$D$156="EV",'Operating costs'!$B$52,'Operating costs'!$B$51))^MAX(0,C1654-1)+Paths!$M$156*(1+'Operating costs'!$B$53)^MAX(0,C1654-1)),"n.a."))</f>
        <v>0</v>
      </c>
      <c r="I1654" s="16">
        <f>IF(NOT(Paths!$C$156=1),0,IF(Paths!$P$156="Complete",IF(IF(Paths!$E$156=0,C1654=0,AND(C1654&gt;0,Paths!$E$156&gt;(C1654-1)*12,Paths!$E$156&lt;=C1654*12)),Paths!$G$156,0),"n.a."))</f>
        <v>0</v>
      </c>
      <c r="J1654" s="16">
        <f>IF(NOT(Paths!$C$156=1),0,IF(Paths!$P$156="Complete",IF(IF(Paths!$E$156=0,C1654=0,AND(C1654&gt;0,Paths!$E$156&gt;(C1654-1)*12,Paths!$E$156&lt;=C1654*12)),Paths!$H$156,0),"n.a."))</f>
        <v>0</v>
      </c>
      <c r="K1654" s="16">
        <f>IF(NOT(Paths!$C$156=1),0,IF(Paths!$P$156="Complete",IF(IF(Paths!$O$156=0,C1654=0,AND(C1654&gt;0,Paths!$O$156&gt;(C1654-1)*12,Paths!$O$156&lt;=C1654*12)),Paths!$N$156,0),"n.a."))</f>
        <v>0</v>
      </c>
      <c r="L1654" s="16">
        <f>IF(NOT(Paths!$C$156=1),0,IF(Paths!$P$156="Complete",IF(C1654=10,Paths!$I$156,0),"n.a."))</f>
        <v>0</v>
      </c>
      <c r="M1654" s="16">
        <f>IF(NOT(Paths!$C$156=1),0,IF(Paths!$P$156="Complete",IF(AND(Paths!$D$156="EV",Paths!$E$156&lt;120,Paths!$E$156+'Operating costs'!$B$65&gt;Paths!$E$156,Paths!$E$156+'Operating costs'!$B$65&lt;=120,IF(Paths!$E$156+'Operating costs'!$B$65=0,C1654=0,AND(C1654&gt;0,Paths!$E$156+'Operating costs'!$B$65&gt;(C1654-1)*12,Paths!$E$156+'Operating costs'!$B$65&lt;=C1654*12))),'Operating costs'!$B$64,0)+IF(AND('Operating costs'!$B$67&gt;0,'Operating costs'!$B$67&lt;=120,OR(Paths!$D$156="ICE",'Operating costs'!$B$67&lt;=Paths!$E$156),IF('Operating costs'!$B$67=0,C1654=0,AND(C1654&gt;0,'Operating costs'!$B$67&gt;(C1654-1)*12,'Operating costs'!$B$67&lt;=C1654*12))),'Operating costs'!$B$66,0),"n.a."))</f>
        <v>0</v>
      </c>
      <c r="N1654" s="16">
        <f>IF(NOT(Paths!$C$156=1),0,IF(Paths!$P$156="Complete",SUM(G1654:I1654)-J1654-K1654-L1654+M1654+IF(C1654=0,Paths!$F$156,0)+IF(IF(Paths!$E$156=0,C1654=0,AND(C1654&gt;0,Paths!$E$156&gt;(C1654-1)*12,Paths!$E$156&lt;=C1654*12)),VLOOKUP(A1654,'Fleet register'!$A$7:$S$106,16,FALSE),0),"n.a."))</f>
        <v>0</v>
      </c>
      <c r="O1654" s="16">
        <f>IF(NOT(Paths!$C$156=1),0,IF(Paths!$P$156="Complete",N1654-IF(C1654=0,Paths!$F$156,0),"n.a."))</f>
        <v>0</v>
      </c>
      <c r="P1654" s="16">
        <f>IF(NOT(Paths!$C$156=1),0,IF(Paths!$P$156="Complete",O1654+L1654,"n.a."))</f>
        <v>0</v>
      </c>
      <c r="Q1654" s="16">
        <f>IF(NOT(Paths!$C$156=1),0,IF(Paths!$P$156="Complete",N1654*(1+'Operating costs'!$B$54)^-C1654,"n.a."))</f>
        <v>0</v>
      </c>
      <c r="R1654" s="16">
        <f>IF(NOT(Paths!$C$156=1),0,IF(Paths!$P$156="Complete",IF(AND(C1654=0,Paths!$E$156=0),I1654-J1654-K1654+VLOOKUP(A1654,'Fleet register'!$A$7:$S$106,15,FALSE)+VLOOKUP(A1654,'Fleet register'!$A$7:$S$106,16,FALSE),0),"n.a."))</f>
        <v>0</v>
      </c>
      <c r="S1654" s="1">
        <f>IF(NOT(Paths!$C$156=1),0,IF(Paths!$P$156="Complete",IF(C1654=0,0,Paths!$S$156*Paths!$R$156),"n.a."))</f>
        <v>0</v>
      </c>
      <c r="T1654" s="1">
        <f>IF(NOT(Paths!$C$156=1),0,IF(Paths!$P$156="Complete",IF(C1654=0,0,VLOOKUP(A1654,'Fleet register'!$A$7:$S$106,9,FALSE)*Paths!$R$156),"n.a."))</f>
        <v>0</v>
      </c>
    </row>
    <row r="1655" spans="1:20" ht="24" customHeight="1">
      <c r="A1655" s="1" t="str">
        <f>Paths!$A$156</f>
        <v>T038</v>
      </c>
      <c r="B1655" s="1">
        <f>Paths!$B$156</f>
        <v>1</v>
      </c>
      <c r="C1655" s="1">
        <v>9</v>
      </c>
      <c r="D1655" s="1">
        <v>156</v>
      </c>
      <c r="E1655" s="1">
        <f>IF(OR(Paths!$C$156=0,C1655=0),0,MAX(0,MIN(C1655*12,Paths!$E$156)-(C1655-1)*12))</f>
        <v>0</v>
      </c>
      <c r="F1655" s="1">
        <f>IF(OR(Paths!$C$156=0,C1655=0),0,12-E1655)</f>
        <v>0</v>
      </c>
      <c r="G1655" s="16">
        <f>IF(NOT(Paths!$C$156=1),0,IF(Paths!$P$156="Complete",E1655/12*(Paths!$J$156*(1+'Operating costs'!$B$51)^MAX(0,C1655-1)+Paths!$K$156*(1+'Operating costs'!$B$53)^MAX(0,C1655-1)),"n.a."))</f>
        <v>0</v>
      </c>
      <c r="H1655" s="16">
        <f>IF(NOT(Paths!$C$156=1),0,IF(Paths!$P$156="Complete",F1655/12*(Paths!$L$156*(1+IF(Paths!$D$156="EV",'Operating costs'!$B$52,'Operating costs'!$B$51))^MAX(0,C1655-1)+Paths!$M$156*(1+'Operating costs'!$B$53)^MAX(0,C1655-1)),"n.a."))</f>
        <v>0</v>
      </c>
      <c r="I1655" s="16">
        <f>IF(NOT(Paths!$C$156=1),0,IF(Paths!$P$156="Complete",IF(IF(Paths!$E$156=0,C1655=0,AND(C1655&gt;0,Paths!$E$156&gt;(C1655-1)*12,Paths!$E$156&lt;=C1655*12)),Paths!$G$156,0),"n.a."))</f>
        <v>0</v>
      </c>
      <c r="J1655" s="16">
        <f>IF(NOT(Paths!$C$156=1),0,IF(Paths!$P$156="Complete",IF(IF(Paths!$E$156=0,C1655=0,AND(C1655&gt;0,Paths!$E$156&gt;(C1655-1)*12,Paths!$E$156&lt;=C1655*12)),Paths!$H$156,0),"n.a."))</f>
        <v>0</v>
      </c>
      <c r="K1655" s="16">
        <f>IF(NOT(Paths!$C$156=1),0,IF(Paths!$P$156="Complete",IF(IF(Paths!$O$156=0,C1655=0,AND(C1655&gt;0,Paths!$O$156&gt;(C1655-1)*12,Paths!$O$156&lt;=C1655*12)),Paths!$N$156,0),"n.a."))</f>
        <v>0</v>
      </c>
      <c r="L1655" s="16">
        <f>IF(NOT(Paths!$C$156=1),0,IF(Paths!$P$156="Complete",IF(C1655=10,Paths!$I$156,0),"n.a."))</f>
        <v>0</v>
      </c>
      <c r="M1655" s="16">
        <f>IF(NOT(Paths!$C$156=1),0,IF(Paths!$P$156="Complete",IF(AND(Paths!$D$156="EV",Paths!$E$156&lt;120,Paths!$E$156+'Operating costs'!$B$65&gt;Paths!$E$156,Paths!$E$156+'Operating costs'!$B$65&lt;=120,IF(Paths!$E$156+'Operating costs'!$B$65=0,C1655=0,AND(C1655&gt;0,Paths!$E$156+'Operating costs'!$B$65&gt;(C1655-1)*12,Paths!$E$156+'Operating costs'!$B$65&lt;=C1655*12))),'Operating costs'!$B$64,0)+IF(AND('Operating costs'!$B$67&gt;0,'Operating costs'!$B$67&lt;=120,OR(Paths!$D$156="ICE",'Operating costs'!$B$67&lt;=Paths!$E$156),IF('Operating costs'!$B$67=0,C1655=0,AND(C1655&gt;0,'Operating costs'!$B$67&gt;(C1655-1)*12,'Operating costs'!$B$67&lt;=C1655*12))),'Operating costs'!$B$66,0),"n.a."))</f>
        <v>0</v>
      </c>
      <c r="N1655" s="16">
        <f>IF(NOT(Paths!$C$156=1),0,IF(Paths!$P$156="Complete",SUM(G1655:I1655)-J1655-K1655-L1655+M1655+IF(C1655=0,Paths!$F$156,0)+IF(IF(Paths!$E$156=0,C1655=0,AND(C1655&gt;0,Paths!$E$156&gt;(C1655-1)*12,Paths!$E$156&lt;=C1655*12)),VLOOKUP(A1655,'Fleet register'!$A$7:$S$106,16,FALSE),0),"n.a."))</f>
        <v>0</v>
      </c>
      <c r="O1655" s="16">
        <f>IF(NOT(Paths!$C$156=1),0,IF(Paths!$P$156="Complete",N1655-IF(C1655=0,Paths!$F$156,0),"n.a."))</f>
        <v>0</v>
      </c>
      <c r="P1655" s="16">
        <f>IF(NOT(Paths!$C$156=1),0,IF(Paths!$P$156="Complete",O1655+L1655,"n.a."))</f>
        <v>0</v>
      </c>
      <c r="Q1655" s="16">
        <f>IF(NOT(Paths!$C$156=1),0,IF(Paths!$P$156="Complete",N1655*(1+'Operating costs'!$B$54)^-C1655,"n.a."))</f>
        <v>0</v>
      </c>
      <c r="R1655" s="16">
        <f>IF(NOT(Paths!$C$156=1),0,IF(Paths!$P$156="Complete",IF(AND(C1655=0,Paths!$E$156=0),I1655-J1655-K1655+VLOOKUP(A1655,'Fleet register'!$A$7:$S$106,15,FALSE)+VLOOKUP(A1655,'Fleet register'!$A$7:$S$106,16,FALSE),0),"n.a."))</f>
        <v>0</v>
      </c>
      <c r="S1655" s="1">
        <f>IF(NOT(Paths!$C$156=1),0,IF(Paths!$P$156="Complete",IF(C1655=0,0,Paths!$S$156*Paths!$R$156),"n.a."))</f>
        <v>0</v>
      </c>
      <c r="T1655" s="1">
        <f>IF(NOT(Paths!$C$156=1),0,IF(Paths!$P$156="Complete",IF(C1655=0,0,VLOOKUP(A1655,'Fleet register'!$A$7:$S$106,9,FALSE)*Paths!$R$156),"n.a."))</f>
        <v>0</v>
      </c>
    </row>
    <row r="1656" spans="1:20" ht="24" customHeight="1">
      <c r="A1656" s="1" t="str">
        <f>Paths!$A$156</f>
        <v>T038</v>
      </c>
      <c r="B1656" s="1">
        <f>Paths!$B$156</f>
        <v>1</v>
      </c>
      <c r="C1656" s="1">
        <v>10</v>
      </c>
      <c r="D1656" s="1">
        <v>156</v>
      </c>
      <c r="E1656" s="1">
        <f>IF(OR(Paths!$C$156=0,C1656=0),0,MAX(0,MIN(C1656*12,Paths!$E$156)-(C1656-1)*12))</f>
        <v>0</v>
      </c>
      <c r="F1656" s="1">
        <f>IF(OR(Paths!$C$156=0,C1656=0),0,12-E1656)</f>
        <v>0</v>
      </c>
      <c r="G1656" s="16">
        <f>IF(NOT(Paths!$C$156=1),0,IF(Paths!$P$156="Complete",E1656/12*(Paths!$J$156*(1+'Operating costs'!$B$51)^MAX(0,C1656-1)+Paths!$K$156*(1+'Operating costs'!$B$53)^MAX(0,C1656-1)),"n.a."))</f>
        <v>0</v>
      </c>
      <c r="H1656" s="16">
        <f>IF(NOT(Paths!$C$156=1),0,IF(Paths!$P$156="Complete",F1656/12*(Paths!$L$156*(1+IF(Paths!$D$156="EV",'Operating costs'!$B$52,'Operating costs'!$B$51))^MAX(0,C1656-1)+Paths!$M$156*(1+'Operating costs'!$B$53)^MAX(0,C1656-1)),"n.a."))</f>
        <v>0</v>
      </c>
      <c r="I1656" s="16">
        <f>IF(NOT(Paths!$C$156=1),0,IF(Paths!$P$156="Complete",IF(IF(Paths!$E$156=0,C1656=0,AND(C1656&gt;0,Paths!$E$156&gt;(C1656-1)*12,Paths!$E$156&lt;=C1656*12)),Paths!$G$156,0),"n.a."))</f>
        <v>0</v>
      </c>
      <c r="J1656" s="16">
        <f>IF(NOT(Paths!$C$156=1),0,IF(Paths!$P$156="Complete",IF(IF(Paths!$E$156=0,C1656=0,AND(C1656&gt;0,Paths!$E$156&gt;(C1656-1)*12,Paths!$E$156&lt;=C1656*12)),Paths!$H$156,0),"n.a."))</f>
        <v>0</v>
      </c>
      <c r="K1656" s="16">
        <f>IF(NOT(Paths!$C$156=1),0,IF(Paths!$P$156="Complete",IF(IF(Paths!$O$156=0,C1656=0,AND(C1656&gt;0,Paths!$O$156&gt;(C1656-1)*12,Paths!$O$156&lt;=C1656*12)),Paths!$N$156,0),"n.a."))</f>
        <v>0</v>
      </c>
      <c r="L1656" s="16">
        <f>IF(NOT(Paths!$C$156=1),0,IF(Paths!$P$156="Complete",IF(C1656=10,Paths!$I$156,0),"n.a."))</f>
        <v>0</v>
      </c>
      <c r="M1656" s="16">
        <f>IF(NOT(Paths!$C$156=1),0,IF(Paths!$P$156="Complete",IF(AND(Paths!$D$156="EV",Paths!$E$156&lt;120,Paths!$E$156+'Operating costs'!$B$65&gt;Paths!$E$156,Paths!$E$156+'Operating costs'!$B$65&lt;=120,IF(Paths!$E$156+'Operating costs'!$B$65=0,C1656=0,AND(C1656&gt;0,Paths!$E$156+'Operating costs'!$B$65&gt;(C1656-1)*12,Paths!$E$156+'Operating costs'!$B$65&lt;=C1656*12))),'Operating costs'!$B$64,0)+IF(AND('Operating costs'!$B$67&gt;0,'Operating costs'!$B$67&lt;=120,OR(Paths!$D$156="ICE",'Operating costs'!$B$67&lt;=Paths!$E$156),IF('Operating costs'!$B$67=0,C1656=0,AND(C1656&gt;0,'Operating costs'!$B$67&gt;(C1656-1)*12,'Operating costs'!$B$67&lt;=C1656*12))),'Operating costs'!$B$66,0),"n.a."))</f>
        <v>0</v>
      </c>
      <c r="N1656" s="16">
        <f>IF(NOT(Paths!$C$156=1),0,IF(Paths!$P$156="Complete",SUM(G1656:I1656)-J1656-K1656-L1656+M1656+IF(C1656=0,Paths!$F$156,0)+IF(IF(Paths!$E$156=0,C1656=0,AND(C1656&gt;0,Paths!$E$156&gt;(C1656-1)*12,Paths!$E$156&lt;=C1656*12)),VLOOKUP(A1656,'Fleet register'!$A$7:$S$106,16,FALSE),0),"n.a."))</f>
        <v>0</v>
      </c>
      <c r="O1656" s="16">
        <f>IF(NOT(Paths!$C$156=1),0,IF(Paths!$P$156="Complete",N1656-IF(C1656=0,Paths!$F$156,0),"n.a."))</f>
        <v>0</v>
      </c>
      <c r="P1656" s="16">
        <f>IF(NOT(Paths!$C$156=1),0,IF(Paths!$P$156="Complete",O1656+L1656,"n.a."))</f>
        <v>0</v>
      </c>
      <c r="Q1656" s="16">
        <f>IF(NOT(Paths!$C$156=1),0,IF(Paths!$P$156="Complete",N1656*(1+'Operating costs'!$B$54)^-C1656,"n.a."))</f>
        <v>0</v>
      </c>
      <c r="R1656" s="16">
        <f>IF(NOT(Paths!$C$156=1),0,IF(Paths!$P$156="Complete",IF(AND(C1656=0,Paths!$E$156=0),I1656-J1656-K1656+VLOOKUP(A1656,'Fleet register'!$A$7:$S$106,15,FALSE)+VLOOKUP(A1656,'Fleet register'!$A$7:$S$106,16,FALSE),0),"n.a."))</f>
        <v>0</v>
      </c>
      <c r="S1656" s="1">
        <f>IF(NOT(Paths!$C$156=1),0,IF(Paths!$P$156="Complete",IF(C1656=0,0,Paths!$S$156*Paths!$R$156),"n.a."))</f>
        <v>0</v>
      </c>
      <c r="T1656" s="1">
        <f>IF(NOT(Paths!$C$156=1),0,IF(Paths!$P$156="Complete",IF(C1656=0,0,VLOOKUP(A1656,'Fleet register'!$A$7:$S$106,9,FALSE)*Paths!$R$156),"n.a."))</f>
        <v>0</v>
      </c>
    </row>
    <row r="1657" spans="1:20" ht="24" customHeight="1">
      <c r="A1657" s="1" t="str">
        <f>Paths!$A$157</f>
        <v>T038</v>
      </c>
      <c r="B1657" s="1">
        <f>Paths!$B$157</f>
        <v>2</v>
      </c>
      <c r="C1657" s="1">
        <v>0</v>
      </c>
      <c r="D1657" s="1">
        <v>157</v>
      </c>
      <c r="E1657" s="1">
        <f>IF(OR(Paths!$C$157=0,C1657=0),0,MAX(0,MIN(C1657*12,Paths!$E$157)-(C1657-1)*12))</f>
        <v>0</v>
      </c>
      <c r="F1657" s="1">
        <f>IF(OR(Paths!$C$157=0,C1657=0),0,12-E1657)</f>
        <v>0</v>
      </c>
      <c r="G1657" s="16">
        <f>IF(NOT(Paths!$C$157=1),0,IF(Paths!$P$157="Complete",E1657/12*(Paths!$J$157*(1+'Operating costs'!$B$51)^MAX(0,C1657-1)+Paths!$K$157*(1+'Operating costs'!$B$53)^MAX(0,C1657-1)),"n.a."))</f>
        <v>0</v>
      </c>
      <c r="H1657" s="16">
        <f>IF(NOT(Paths!$C$157=1),0,IF(Paths!$P$157="Complete",F1657/12*(Paths!$L$157*(1+IF(Paths!$D$157="EV",'Operating costs'!$B$52,'Operating costs'!$B$51))^MAX(0,C1657-1)+Paths!$M$157*(1+'Operating costs'!$B$53)^MAX(0,C1657-1)),"n.a."))</f>
        <v>0</v>
      </c>
      <c r="I1657" s="16">
        <f>IF(NOT(Paths!$C$157=1),0,IF(Paths!$P$157="Complete",IF(IF(Paths!$E$157=0,C1657=0,AND(C1657&gt;0,Paths!$E$157&gt;(C1657-1)*12,Paths!$E$157&lt;=C1657*12)),Paths!$G$157,0),"n.a."))</f>
        <v>0</v>
      </c>
      <c r="J1657" s="16">
        <f>IF(NOT(Paths!$C$157=1),0,IF(Paths!$P$157="Complete",IF(IF(Paths!$E$157=0,C1657=0,AND(C1657&gt;0,Paths!$E$157&gt;(C1657-1)*12,Paths!$E$157&lt;=C1657*12)),Paths!$H$157,0),"n.a."))</f>
        <v>0</v>
      </c>
      <c r="K1657" s="16">
        <f>IF(NOT(Paths!$C$157=1),0,IF(Paths!$P$157="Complete",IF(IF(Paths!$O$157=0,C1657=0,AND(C1657&gt;0,Paths!$O$157&gt;(C1657-1)*12,Paths!$O$157&lt;=C1657*12)),Paths!$N$157,0),"n.a."))</f>
        <v>0</v>
      </c>
      <c r="L1657" s="16">
        <f>IF(NOT(Paths!$C$157=1),0,IF(Paths!$P$157="Complete",IF(C1657=10,Paths!$I$157,0),"n.a."))</f>
        <v>0</v>
      </c>
      <c r="M1657" s="16">
        <f>IF(NOT(Paths!$C$157=1),0,IF(Paths!$P$157="Complete",IF(AND(Paths!$D$157="EV",Paths!$E$157&lt;120,Paths!$E$157+'Operating costs'!$B$65&gt;Paths!$E$157,Paths!$E$157+'Operating costs'!$B$65&lt;=120,IF(Paths!$E$157+'Operating costs'!$B$65=0,C1657=0,AND(C1657&gt;0,Paths!$E$157+'Operating costs'!$B$65&gt;(C1657-1)*12,Paths!$E$157+'Operating costs'!$B$65&lt;=C1657*12))),'Operating costs'!$B$64,0)+IF(AND('Operating costs'!$B$67&gt;0,'Operating costs'!$B$67&lt;=120,OR(Paths!$D$157="ICE",'Operating costs'!$B$67&lt;=Paths!$E$157),IF('Operating costs'!$B$67=0,C1657=0,AND(C1657&gt;0,'Operating costs'!$B$67&gt;(C1657-1)*12,'Operating costs'!$B$67&lt;=C1657*12))),'Operating costs'!$B$66,0),"n.a."))</f>
        <v>0</v>
      </c>
      <c r="N1657" s="16">
        <f>IF(NOT(Paths!$C$157=1),0,IF(Paths!$P$157="Complete",SUM(G1657:I1657)-J1657-K1657-L1657+M1657+IF(C1657=0,Paths!$F$157,0)+IF(IF(Paths!$E$157=0,C1657=0,AND(C1657&gt;0,Paths!$E$157&gt;(C1657-1)*12,Paths!$E$157&lt;=C1657*12)),VLOOKUP(A1657,'Fleet register'!$A$7:$S$106,16,FALSE),0),"n.a."))</f>
        <v>0</v>
      </c>
      <c r="O1657" s="16">
        <f>IF(NOT(Paths!$C$157=1),0,IF(Paths!$P$157="Complete",N1657-IF(C1657=0,Paths!$F$157,0),"n.a."))</f>
        <v>0</v>
      </c>
      <c r="P1657" s="16">
        <f>IF(NOT(Paths!$C$157=1),0,IF(Paths!$P$157="Complete",O1657+L1657,"n.a."))</f>
        <v>0</v>
      </c>
      <c r="Q1657" s="16">
        <f>IF(NOT(Paths!$C$157=1),0,IF(Paths!$P$157="Complete",N1657*(1+'Operating costs'!$B$54)^-C1657,"n.a."))</f>
        <v>0</v>
      </c>
      <c r="R1657" s="16">
        <f>IF(NOT(Paths!$C$157=1),0,IF(Paths!$P$157="Complete",IF(AND(C1657=0,Paths!$E$157=0),I1657-J1657-K1657+VLOOKUP(A1657,'Fleet register'!$A$7:$S$106,15,FALSE)+VLOOKUP(A1657,'Fleet register'!$A$7:$S$106,16,FALSE),0),"n.a."))</f>
        <v>0</v>
      </c>
      <c r="S1657" s="1">
        <f>IF(NOT(Paths!$C$157=1),0,IF(Paths!$P$157="Complete",IF(C1657=0,0,Paths!$S$157*Paths!$R$157),"n.a."))</f>
        <v>0</v>
      </c>
      <c r="T1657" s="1">
        <f>IF(NOT(Paths!$C$157=1),0,IF(Paths!$P$157="Complete",IF(C1657=0,0,VLOOKUP(A1657,'Fleet register'!$A$7:$S$106,9,FALSE)*Paths!$R$157),"n.a."))</f>
        <v>0</v>
      </c>
    </row>
    <row r="1658" spans="1:20" ht="24" customHeight="1">
      <c r="A1658" s="1" t="str">
        <f>Paths!$A$157</f>
        <v>T038</v>
      </c>
      <c r="B1658" s="1">
        <f>Paths!$B$157</f>
        <v>2</v>
      </c>
      <c r="C1658" s="1">
        <v>1</v>
      </c>
      <c r="D1658" s="1">
        <v>157</v>
      </c>
      <c r="E1658" s="1">
        <f>IF(OR(Paths!$C$157=0,C1658=0),0,MAX(0,MIN(C1658*12,Paths!$E$157)-(C1658-1)*12))</f>
        <v>0</v>
      </c>
      <c r="F1658" s="1">
        <f>IF(OR(Paths!$C$157=0,C1658=0),0,12-E1658)</f>
        <v>0</v>
      </c>
      <c r="G1658" s="16">
        <f>IF(NOT(Paths!$C$157=1),0,IF(Paths!$P$157="Complete",E1658/12*(Paths!$J$157*(1+'Operating costs'!$B$51)^MAX(0,C1658-1)+Paths!$K$157*(1+'Operating costs'!$B$53)^MAX(0,C1658-1)),"n.a."))</f>
        <v>0</v>
      </c>
      <c r="H1658" s="16">
        <f>IF(NOT(Paths!$C$157=1),0,IF(Paths!$P$157="Complete",F1658/12*(Paths!$L$157*(1+IF(Paths!$D$157="EV",'Operating costs'!$B$52,'Operating costs'!$B$51))^MAX(0,C1658-1)+Paths!$M$157*(1+'Operating costs'!$B$53)^MAX(0,C1658-1)),"n.a."))</f>
        <v>0</v>
      </c>
      <c r="I1658" s="16">
        <f>IF(NOT(Paths!$C$157=1),0,IF(Paths!$P$157="Complete",IF(IF(Paths!$E$157=0,C1658=0,AND(C1658&gt;0,Paths!$E$157&gt;(C1658-1)*12,Paths!$E$157&lt;=C1658*12)),Paths!$G$157,0),"n.a."))</f>
        <v>0</v>
      </c>
      <c r="J1658" s="16">
        <f>IF(NOT(Paths!$C$157=1),0,IF(Paths!$P$157="Complete",IF(IF(Paths!$E$157=0,C1658=0,AND(C1658&gt;0,Paths!$E$157&gt;(C1658-1)*12,Paths!$E$157&lt;=C1658*12)),Paths!$H$157,0),"n.a."))</f>
        <v>0</v>
      </c>
      <c r="K1658" s="16">
        <f>IF(NOT(Paths!$C$157=1),0,IF(Paths!$P$157="Complete",IF(IF(Paths!$O$157=0,C1658=0,AND(C1658&gt;0,Paths!$O$157&gt;(C1658-1)*12,Paths!$O$157&lt;=C1658*12)),Paths!$N$157,0),"n.a."))</f>
        <v>0</v>
      </c>
      <c r="L1658" s="16">
        <f>IF(NOT(Paths!$C$157=1),0,IF(Paths!$P$157="Complete",IF(C1658=10,Paths!$I$157,0),"n.a."))</f>
        <v>0</v>
      </c>
      <c r="M1658" s="16">
        <f>IF(NOT(Paths!$C$157=1),0,IF(Paths!$P$157="Complete",IF(AND(Paths!$D$157="EV",Paths!$E$157&lt;120,Paths!$E$157+'Operating costs'!$B$65&gt;Paths!$E$157,Paths!$E$157+'Operating costs'!$B$65&lt;=120,IF(Paths!$E$157+'Operating costs'!$B$65=0,C1658=0,AND(C1658&gt;0,Paths!$E$157+'Operating costs'!$B$65&gt;(C1658-1)*12,Paths!$E$157+'Operating costs'!$B$65&lt;=C1658*12))),'Operating costs'!$B$64,0)+IF(AND('Operating costs'!$B$67&gt;0,'Operating costs'!$B$67&lt;=120,OR(Paths!$D$157="ICE",'Operating costs'!$B$67&lt;=Paths!$E$157),IF('Operating costs'!$B$67=0,C1658=0,AND(C1658&gt;0,'Operating costs'!$B$67&gt;(C1658-1)*12,'Operating costs'!$B$67&lt;=C1658*12))),'Operating costs'!$B$66,0),"n.a."))</f>
        <v>0</v>
      </c>
      <c r="N1658" s="16">
        <f>IF(NOT(Paths!$C$157=1),0,IF(Paths!$P$157="Complete",SUM(G1658:I1658)-J1658-K1658-L1658+M1658+IF(C1658=0,Paths!$F$157,0)+IF(IF(Paths!$E$157=0,C1658=0,AND(C1658&gt;0,Paths!$E$157&gt;(C1658-1)*12,Paths!$E$157&lt;=C1658*12)),VLOOKUP(A1658,'Fleet register'!$A$7:$S$106,16,FALSE),0),"n.a."))</f>
        <v>0</v>
      </c>
      <c r="O1658" s="16">
        <f>IF(NOT(Paths!$C$157=1),0,IF(Paths!$P$157="Complete",N1658-IF(C1658=0,Paths!$F$157,0),"n.a."))</f>
        <v>0</v>
      </c>
      <c r="P1658" s="16">
        <f>IF(NOT(Paths!$C$157=1),0,IF(Paths!$P$157="Complete",O1658+L1658,"n.a."))</f>
        <v>0</v>
      </c>
      <c r="Q1658" s="16">
        <f>IF(NOT(Paths!$C$157=1),0,IF(Paths!$P$157="Complete",N1658*(1+'Operating costs'!$B$54)^-C1658,"n.a."))</f>
        <v>0</v>
      </c>
      <c r="R1658" s="16">
        <f>IF(NOT(Paths!$C$157=1),0,IF(Paths!$P$157="Complete",IF(AND(C1658=0,Paths!$E$157=0),I1658-J1658-K1658+VLOOKUP(A1658,'Fleet register'!$A$7:$S$106,15,FALSE)+VLOOKUP(A1658,'Fleet register'!$A$7:$S$106,16,FALSE),0),"n.a."))</f>
        <v>0</v>
      </c>
      <c r="S1658" s="1">
        <f>IF(NOT(Paths!$C$157=1),0,IF(Paths!$P$157="Complete",IF(C1658=0,0,Paths!$S$157*Paths!$R$157),"n.a."))</f>
        <v>0</v>
      </c>
      <c r="T1658" s="1">
        <f>IF(NOT(Paths!$C$157=1),0,IF(Paths!$P$157="Complete",IF(C1658=0,0,VLOOKUP(A1658,'Fleet register'!$A$7:$S$106,9,FALSE)*Paths!$R$157),"n.a."))</f>
        <v>0</v>
      </c>
    </row>
    <row r="1659" spans="1:20" ht="24" customHeight="1">
      <c r="A1659" s="1" t="str">
        <f>Paths!$A$157</f>
        <v>T038</v>
      </c>
      <c r="B1659" s="1">
        <f>Paths!$B$157</f>
        <v>2</v>
      </c>
      <c r="C1659" s="1">
        <v>2</v>
      </c>
      <c r="D1659" s="1">
        <v>157</v>
      </c>
      <c r="E1659" s="1">
        <f>IF(OR(Paths!$C$157=0,C1659=0),0,MAX(0,MIN(C1659*12,Paths!$E$157)-(C1659-1)*12))</f>
        <v>0</v>
      </c>
      <c r="F1659" s="1">
        <f>IF(OR(Paths!$C$157=0,C1659=0),0,12-E1659)</f>
        <v>0</v>
      </c>
      <c r="G1659" s="16">
        <f>IF(NOT(Paths!$C$157=1),0,IF(Paths!$P$157="Complete",E1659/12*(Paths!$J$157*(1+'Operating costs'!$B$51)^MAX(0,C1659-1)+Paths!$K$157*(1+'Operating costs'!$B$53)^MAX(0,C1659-1)),"n.a."))</f>
        <v>0</v>
      </c>
      <c r="H1659" s="16">
        <f>IF(NOT(Paths!$C$157=1),0,IF(Paths!$P$157="Complete",F1659/12*(Paths!$L$157*(1+IF(Paths!$D$157="EV",'Operating costs'!$B$52,'Operating costs'!$B$51))^MAX(0,C1659-1)+Paths!$M$157*(1+'Operating costs'!$B$53)^MAX(0,C1659-1)),"n.a."))</f>
        <v>0</v>
      </c>
      <c r="I1659" s="16">
        <f>IF(NOT(Paths!$C$157=1),0,IF(Paths!$P$157="Complete",IF(IF(Paths!$E$157=0,C1659=0,AND(C1659&gt;0,Paths!$E$157&gt;(C1659-1)*12,Paths!$E$157&lt;=C1659*12)),Paths!$G$157,0),"n.a."))</f>
        <v>0</v>
      </c>
      <c r="J1659" s="16">
        <f>IF(NOT(Paths!$C$157=1),0,IF(Paths!$P$157="Complete",IF(IF(Paths!$E$157=0,C1659=0,AND(C1659&gt;0,Paths!$E$157&gt;(C1659-1)*12,Paths!$E$157&lt;=C1659*12)),Paths!$H$157,0),"n.a."))</f>
        <v>0</v>
      </c>
      <c r="K1659" s="16">
        <f>IF(NOT(Paths!$C$157=1),0,IF(Paths!$P$157="Complete",IF(IF(Paths!$O$157=0,C1659=0,AND(C1659&gt;0,Paths!$O$157&gt;(C1659-1)*12,Paths!$O$157&lt;=C1659*12)),Paths!$N$157,0),"n.a."))</f>
        <v>0</v>
      </c>
      <c r="L1659" s="16">
        <f>IF(NOT(Paths!$C$157=1),0,IF(Paths!$P$157="Complete",IF(C1659=10,Paths!$I$157,0),"n.a."))</f>
        <v>0</v>
      </c>
      <c r="M1659" s="16">
        <f>IF(NOT(Paths!$C$157=1),0,IF(Paths!$P$157="Complete",IF(AND(Paths!$D$157="EV",Paths!$E$157&lt;120,Paths!$E$157+'Operating costs'!$B$65&gt;Paths!$E$157,Paths!$E$157+'Operating costs'!$B$65&lt;=120,IF(Paths!$E$157+'Operating costs'!$B$65=0,C1659=0,AND(C1659&gt;0,Paths!$E$157+'Operating costs'!$B$65&gt;(C1659-1)*12,Paths!$E$157+'Operating costs'!$B$65&lt;=C1659*12))),'Operating costs'!$B$64,0)+IF(AND('Operating costs'!$B$67&gt;0,'Operating costs'!$B$67&lt;=120,OR(Paths!$D$157="ICE",'Operating costs'!$B$67&lt;=Paths!$E$157),IF('Operating costs'!$B$67=0,C1659=0,AND(C1659&gt;0,'Operating costs'!$B$67&gt;(C1659-1)*12,'Operating costs'!$B$67&lt;=C1659*12))),'Operating costs'!$B$66,0),"n.a."))</f>
        <v>0</v>
      </c>
      <c r="N1659" s="16">
        <f>IF(NOT(Paths!$C$157=1),0,IF(Paths!$P$157="Complete",SUM(G1659:I1659)-J1659-K1659-L1659+M1659+IF(C1659=0,Paths!$F$157,0)+IF(IF(Paths!$E$157=0,C1659=0,AND(C1659&gt;0,Paths!$E$157&gt;(C1659-1)*12,Paths!$E$157&lt;=C1659*12)),VLOOKUP(A1659,'Fleet register'!$A$7:$S$106,16,FALSE),0),"n.a."))</f>
        <v>0</v>
      </c>
      <c r="O1659" s="16">
        <f>IF(NOT(Paths!$C$157=1),0,IF(Paths!$P$157="Complete",N1659-IF(C1659=0,Paths!$F$157,0),"n.a."))</f>
        <v>0</v>
      </c>
      <c r="P1659" s="16">
        <f>IF(NOT(Paths!$C$157=1),0,IF(Paths!$P$157="Complete",O1659+L1659,"n.a."))</f>
        <v>0</v>
      </c>
      <c r="Q1659" s="16">
        <f>IF(NOT(Paths!$C$157=1),0,IF(Paths!$P$157="Complete",N1659*(1+'Operating costs'!$B$54)^-C1659,"n.a."))</f>
        <v>0</v>
      </c>
      <c r="R1659" s="16">
        <f>IF(NOT(Paths!$C$157=1),0,IF(Paths!$P$157="Complete",IF(AND(C1659=0,Paths!$E$157=0),I1659-J1659-K1659+VLOOKUP(A1659,'Fleet register'!$A$7:$S$106,15,FALSE)+VLOOKUP(A1659,'Fleet register'!$A$7:$S$106,16,FALSE),0),"n.a."))</f>
        <v>0</v>
      </c>
      <c r="S1659" s="1">
        <f>IF(NOT(Paths!$C$157=1),0,IF(Paths!$P$157="Complete",IF(C1659=0,0,Paths!$S$157*Paths!$R$157),"n.a."))</f>
        <v>0</v>
      </c>
      <c r="T1659" s="1">
        <f>IF(NOT(Paths!$C$157=1),0,IF(Paths!$P$157="Complete",IF(C1659=0,0,VLOOKUP(A1659,'Fleet register'!$A$7:$S$106,9,FALSE)*Paths!$R$157),"n.a."))</f>
        <v>0</v>
      </c>
    </row>
    <row r="1660" spans="1:20" ht="24" customHeight="1">
      <c r="A1660" s="1" t="str">
        <f>Paths!$A$157</f>
        <v>T038</v>
      </c>
      <c r="B1660" s="1">
        <f>Paths!$B$157</f>
        <v>2</v>
      </c>
      <c r="C1660" s="1">
        <v>3</v>
      </c>
      <c r="D1660" s="1">
        <v>157</v>
      </c>
      <c r="E1660" s="1">
        <f>IF(OR(Paths!$C$157=0,C1660=0),0,MAX(0,MIN(C1660*12,Paths!$E$157)-(C1660-1)*12))</f>
        <v>0</v>
      </c>
      <c r="F1660" s="1">
        <f>IF(OR(Paths!$C$157=0,C1660=0),0,12-E1660)</f>
        <v>0</v>
      </c>
      <c r="G1660" s="16">
        <f>IF(NOT(Paths!$C$157=1),0,IF(Paths!$P$157="Complete",E1660/12*(Paths!$J$157*(1+'Operating costs'!$B$51)^MAX(0,C1660-1)+Paths!$K$157*(1+'Operating costs'!$B$53)^MAX(0,C1660-1)),"n.a."))</f>
        <v>0</v>
      </c>
      <c r="H1660" s="16">
        <f>IF(NOT(Paths!$C$157=1),0,IF(Paths!$P$157="Complete",F1660/12*(Paths!$L$157*(1+IF(Paths!$D$157="EV",'Operating costs'!$B$52,'Operating costs'!$B$51))^MAX(0,C1660-1)+Paths!$M$157*(1+'Operating costs'!$B$53)^MAX(0,C1660-1)),"n.a."))</f>
        <v>0</v>
      </c>
      <c r="I1660" s="16">
        <f>IF(NOT(Paths!$C$157=1),0,IF(Paths!$P$157="Complete",IF(IF(Paths!$E$157=0,C1660=0,AND(C1660&gt;0,Paths!$E$157&gt;(C1660-1)*12,Paths!$E$157&lt;=C1660*12)),Paths!$G$157,0),"n.a."))</f>
        <v>0</v>
      </c>
      <c r="J1660" s="16">
        <f>IF(NOT(Paths!$C$157=1),0,IF(Paths!$P$157="Complete",IF(IF(Paths!$E$157=0,C1660=0,AND(C1660&gt;0,Paths!$E$157&gt;(C1660-1)*12,Paths!$E$157&lt;=C1660*12)),Paths!$H$157,0),"n.a."))</f>
        <v>0</v>
      </c>
      <c r="K1660" s="16">
        <f>IF(NOT(Paths!$C$157=1),0,IF(Paths!$P$157="Complete",IF(IF(Paths!$O$157=0,C1660=0,AND(C1660&gt;0,Paths!$O$157&gt;(C1660-1)*12,Paths!$O$157&lt;=C1660*12)),Paths!$N$157,0),"n.a."))</f>
        <v>0</v>
      </c>
      <c r="L1660" s="16">
        <f>IF(NOT(Paths!$C$157=1),0,IF(Paths!$P$157="Complete",IF(C1660=10,Paths!$I$157,0),"n.a."))</f>
        <v>0</v>
      </c>
      <c r="M1660" s="16">
        <f>IF(NOT(Paths!$C$157=1),0,IF(Paths!$P$157="Complete",IF(AND(Paths!$D$157="EV",Paths!$E$157&lt;120,Paths!$E$157+'Operating costs'!$B$65&gt;Paths!$E$157,Paths!$E$157+'Operating costs'!$B$65&lt;=120,IF(Paths!$E$157+'Operating costs'!$B$65=0,C1660=0,AND(C1660&gt;0,Paths!$E$157+'Operating costs'!$B$65&gt;(C1660-1)*12,Paths!$E$157+'Operating costs'!$B$65&lt;=C1660*12))),'Operating costs'!$B$64,0)+IF(AND('Operating costs'!$B$67&gt;0,'Operating costs'!$B$67&lt;=120,OR(Paths!$D$157="ICE",'Operating costs'!$B$67&lt;=Paths!$E$157),IF('Operating costs'!$B$67=0,C1660=0,AND(C1660&gt;0,'Operating costs'!$B$67&gt;(C1660-1)*12,'Operating costs'!$B$67&lt;=C1660*12))),'Operating costs'!$B$66,0),"n.a."))</f>
        <v>0</v>
      </c>
      <c r="N1660" s="16">
        <f>IF(NOT(Paths!$C$157=1),0,IF(Paths!$P$157="Complete",SUM(G1660:I1660)-J1660-K1660-L1660+M1660+IF(C1660=0,Paths!$F$157,0)+IF(IF(Paths!$E$157=0,C1660=0,AND(C1660&gt;0,Paths!$E$157&gt;(C1660-1)*12,Paths!$E$157&lt;=C1660*12)),VLOOKUP(A1660,'Fleet register'!$A$7:$S$106,16,FALSE),0),"n.a."))</f>
        <v>0</v>
      </c>
      <c r="O1660" s="16">
        <f>IF(NOT(Paths!$C$157=1),0,IF(Paths!$P$157="Complete",N1660-IF(C1660=0,Paths!$F$157,0),"n.a."))</f>
        <v>0</v>
      </c>
      <c r="P1660" s="16">
        <f>IF(NOT(Paths!$C$157=1),0,IF(Paths!$P$157="Complete",O1660+L1660,"n.a."))</f>
        <v>0</v>
      </c>
      <c r="Q1660" s="16">
        <f>IF(NOT(Paths!$C$157=1),0,IF(Paths!$P$157="Complete",N1660*(1+'Operating costs'!$B$54)^-C1660,"n.a."))</f>
        <v>0</v>
      </c>
      <c r="R1660" s="16">
        <f>IF(NOT(Paths!$C$157=1),0,IF(Paths!$P$157="Complete",IF(AND(C1660=0,Paths!$E$157=0),I1660-J1660-K1660+VLOOKUP(A1660,'Fleet register'!$A$7:$S$106,15,FALSE)+VLOOKUP(A1660,'Fleet register'!$A$7:$S$106,16,FALSE),0),"n.a."))</f>
        <v>0</v>
      </c>
      <c r="S1660" s="1">
        <f>IF(NOT(Paths!$C$157=1),0,IF(Paths!$P$157="Complete",IF(C1660=0,0,Paths!$S$157*Paths!$R$157),"n.a."))</f>
        <v>0</v>
      </c>
      <c r="T1660" s="1">
        <f>IF(NOT(Paths!$C$157=1),0,IF(Paths!$P$157="Complete",IF(C1660=0,0,VLOOKUP(A1660,'Fleet register'!$A$7:$S$106,9,FALSE)*Paths!$R$157),"n.a."))</f>
        <v>0</v>
      </c>
    </row>
    <row r="1661" spans="1:20" ht="24" customHeight="1">
      <c r="A1661" s="1" t="str">
        <f>Paths!$A$157</f>
        <v>T038</v>
      </c>
      <c r="B1661" s="1">
        <f>Paths!$B$157</f>
        <v>2</v>
      </c>
      <c r="C1661" s="1">
        <v>4</v>
      </c>
      <c r="D1661" s="1">
        <v>157</v>
      </c>
      <c r="E1661" s="1">
        <f>IF(OR(Paths!$C$157=0,C1661=0),0,MAX(0,MIN(C1661*12,Paths!$E$157)-(C1661-1)*12))</f>
        <v>0</v>
      </c>
      <c r="F1661" s="1">
        <f>IF(OR(Paths!$C$157=0,C1661=0),0,12-E1661)</f>
        <v>0</v>
      </c>
      <c r="G1661" s="16">
        <f>IF(NOT(Paths!$C$157=1),0,IF(Paths!$P$157="Complete",E1661/12*(Paths!$J$157*(1+'Operating costs'!$B$51)^MAX(0,C1661-1)+Paths!$K$157*(1+'Operating costs'!$B$53)^MAX(0,C1661-1)),"n.a."))</f>
        <v>0</v>
      </c>
      <c r="H1661" s="16">
        <f>IF(NOT(Paths!$C$157=1),0,IF(Paths!$P$157="Complete",F1661/12*(Paths!$L$157*(1+IF(Paths!$D$157="EV",'Operating costs'!$B$52,'Operating costs'!$B$51))^MAX(0,C1661-1)+Paths!$M$157*(1+'Operating costs'!$B$53)^MAX(0,C1661-1)),"n.a."))</f>
        <v>0</v>
      </c>
      <c r="I1661" s="16">
        <f>IF(NOT(Paths!$C$157=1),0,IF(Paths!$P$157="Complete",IF(IF(Paths!$E$157=0,C1661=0,AND(C1661&gt;0,Paths!$E$157&gt;(C1661-1)*12,Paths!$E$157&lt;=C1661*12)),Paths!$G$157,0),"n.a."))</f>
        <v>0</v>
      </c>
      <c r="J1661" s="16">
        <f>IF(NOT(Paths!$C$157=1),0,IF(Paths!$P$157="Complete",IF(IF(Paths!$E$157=0,C1661=0,AND(C1661&gt;0,Paths!$E$157&gt;(C1661-1)*12,Paths!$E$157&lt;=C1661*12)),Paths!$H$157,0),"n.a."))</f>
        <v>0</v>
      </c>
      <c r="K1661" s="16">
        <f>IF(NOT(Paths!$C$157=1),0,IF(Paths!$P$157="Complete",IF(IF(Paths!$O$157=0,C1661=0,AND(C1661&gt;0,Paths!$O$157&gt;(C1661-1)*12,Paths!$O$157&lt;=C1661*12)),Paths!$N$157,0),"n.a."))</f>
        <v>0</v>
      </c>
      <c r="L1661" s="16">
        <f>IF(NOT(Paths!$C$157=1),0,IF(Paths!$P$157="Complete",IF(C1661=10,Paths!$I$157,0),"n.a."))</f>
        <v>0</v>
      </c>
      <c r="M1661" s="16">
        <f>IF(NOT(Paths!$C$157=1),0,IF(Paths!$P$157="Complete",IF(AND(Paths!$D$157="EV",Paths!$E$157&lt;120,Paths!$E$157+'Operating costs'!$B$65&gt;Paths!$E$157,Paths!$E$157+'Operating costs'!$B$65&lt;=120,IF(Paths!$E$157+'Operating costs'!$B$65=0,C1661=0,AND(C1661&gt;0,Paths!$E$157+'Operating costs'!$B$65&gt;(C1661-1)*12,Paths!$E$157+'Operating costs'!$B$65&lt;=C1661*12))),'Operating costs'!$B$64,0)+IF(AND('Operating costs'!$B$67&gt;0,'Operating costs'!$B$67&lt;=120,OR(Paths!$D$157="ICE",'Operating costs'!$B$67&lt;=Paths!$E$157),IF('Operating costs'!$B$67=0,C1661=0,AND(C1661&gt;0,'Operating costs'!$B$67&gt;(C1661-1)*12,'Operating costs'!$B$67&lt;=C1661*12))),'Operating costs'!$B$66,0),"n.a."))</f>
        <v>0</v>
      </c>
      <c r="N1661" s="16">
        <f>IF(NOT(Paths!$C$157=1),0,IF(Paths!$P$157="Complete",SUM(G1661:I1661)-J1661-K1661-L1661+M1661+IF(C1661=0,Paths!$F$157,0)+IF(IF(Paths!$E$157=0,C1661=0,AND(C1661&gt;0,Paths!$E$157&gt;(C1661-1)*12,Paths!$E$157&lt;=C1661*12)),VLOOKUP(A1661,'Fleet register'!$A$7:$S$106,16,FALSE),0),"n.a."))</f>
        <v>0</v>
      </c>
      <c r="O1661" s="16">
        <f>IF(NOT(Paths!$C$157=1),0,IF(Paths!$P$157="Complete",N1661-IF(C1661=0,Paths!$F$157,0),"n.a."))</f>
        <v>0</v>
      </c>
      <c r="P1661" s="16">
        <f>IF(NOT(Paths!$C$157=1),0,IF(Paths!$P$157="Complete",O1661+L1661,"n.a."))</f>
        <v>0</v>
      </c>
      <c r="Q1661" s="16">
        <f>IF(NOT(Paths!$C$157=1),0,IF(Paths!$P$157="Complete",N1661*(1+'Operating costs'!$B$54)^-C1661,"n.a."))</f>
        <v>0</v>
      </c>
      <c r="R1661" s="16">
        <f>IF(NOT(Paths!$C$157=1),0,IF(Paths!$P$157="Complete",IF(AND(C1661=0,Paths!$E$157=0),I1661-J1661-K1661+VLOOKUP(A1661,'Fleet register'!$A$7:$S$106,15,FALSE)+VLOOKUP(A1661,'Fleet register'!$A$7:$S$106,16,FALSE),0),"n.a."))</f>
        <v>0</v>
      </c>
      <c r="S1661" s="1">
        <f>IF(NOT(Paths!$C$157=1),0,IF(Paths!$P$157="Complete",IF(C1661=0,0,Paths!$S$157*Paths!$R$157),"n.a."))</f>
        <v>0</v>
      </c>
      <c r="T1661" s="1">
        <f>IF(NOT(Paths!$C$157=1),0,IF(Paths!$P$157="Complete",IF(C1661=0,0,VLOOKUP(A1661,'Fleet register'!$A$7:$S$106,9,FALSE)*Paths!$R$157),"n.a."))</f>
        <v>0</v>
      </c>
    </row>
    <row r="1662" spans="1:20" ht="24" customHeight="1">
      <c r="A1662" s="1" t="str">
        <f>Paths!$A$157</f>
        <v>T038</v>
      </c>
      <c r="B1662" s="1">
        <f>Paths!$B$157</f>
        <v>2</v>
      </c>
      <c r="C1662" s="1">
        <v>5</v>
      </c>
      <c r="D1662" s="1">
        <v>157</v>
      </c>
      <c r="E1662" s="1">
        <f>IF(OR(Paths!$C$157=0,C1662=0),0,MAX(0,MIN(C1662*12,Paths!$E$157)-(C1662-1)*12))</f>
        <v>0</v>
      </c>
      <c r="F1662" s="1">
        <f>IF(OR(Paths!$C$157=0,C1662=0),0,12-E1662)</f>
        <v>0</v>
      </c>
      <c r="G1662" s="16">
        <f>IF(NOT(Paths!$C$157=1),0,IF(Paths!$P$157="Complete",E1662/12*(Paths!$J$157*(1+'Operating costs'!$B$51)^MAX(0,C1662-1)+Paths!$K$157*(1+'Operating costs'!$B$53)^MAX(0,C1662-1)),"n.a."))</f>
        <v>0</v>
      </c>
      <c r="H1662" s="16">
        <f>IF(NOT(Paths!$C$157=1),0,IF(Paths!$P$157="Complete",F1662/12*(Paths!$L$157*(1+IF(Paths!$D$157="EV",'Operating costs'!$B$52,'Operating costs'!$B$51))^MAX(0,C1662-1)+Paths!$M$157*(1+'Operating costs'!$B$53)^MAX(0,C1662-1)),"n.a."))</f>
        <v>0</v>
      </c>
      <c r="I1662" s="16">
        <f>IF(NOT(Paths!$C$157=1),0,IF(Paths!$P$157="Complete",IF(IF(Paths!$E$157=0,C1662=0,AND(C1662&gt;0,Paths!$E$157&gt;(C1662-1)*12,Paths!$E$157&lt;=C1662*12)),Paths!$G$157,0),"n.a."))</f>
        <v>0</v>
      </c>
      <c r="J1662" s="16">
        <f>IF(NOT(Paths!$C$157=1),0,IF(Paths!$P$157="Complete",IF(IF(Paths!$E$157=0,C1662=0,AND(C1662&gt;0,Paths!$E$157&gt;(C1662-1)*12,Paths!$E$157&lt;=C1662*12)),Paths!$H$157,0),"n.a."))</f>
        <v>0</v>
      </c>
      <c r="K1662" s="16">
        <f>IF(NOT(Paths!$C$157=1),0,IF(Paths!$P$157="Complete",IF(IF(Paths!$O$157=0,C1662=0,AND(C1662&gt;0,Paths!$O$157&gt;(C1662-1)*12,Paths!$O$157&lt;=C1662*12)),Paths!$N$157,0),"n.a."))</f>
        <v>0</v>
      </c>
      <c r="L1662" s="16">
        <f>IF(NOT(Paths!$C$157=1),0,IF(Paths!$P$157="Complete",IF(C1662=10,Paths!$I$157,0),"n.a."))</f>
        <v>0</v>
      </c>
      <c r="M1662" s="16">
        <f>IF(NOT(Paths!$C$157=1),0,IF(Paths!$P$157="Complete",IF(AND(Paths!$D$157="EV",Paths!$E$157&lt;120,Paths!$E$157+'Operating costs'!$B$65&gt;Paths!$E$157,Paths!$E$157+'Operating costs'!$B$65&lt;=120,IF(Paths!$E$157+'Operating costs'!$B$65=0,C1662=0,AND(C1662&gt;0,Paths!$E$157+'Operating costs'!$B$65&gt;(C1662-1)*12,Paths!$E$157+'Operating costs'!$B$65&lt;=C1662*12))),'Operating costs'!$B$64,0)+IF(AND('Operating costs'!$B$67&gt;0,'Operating costs'!$B$67&lt;=120,OR(Paths!$D$157="ICE",'Operating costs'!$B$67&lt;=Paths!$E$157),IF('Operating costs'!$B$67=0,C1662=0,AND(C1662&gt;0,'Operating costs'!$B$67&gt;(C1662-1)*12,'Operating costs'!$B$67&lt;=C1662*12))),'Operating costs'!$B$66,0),"n.a."))</f>
        <v>0</v>
      </c>
      <c r="N1662" s="16">
        <f>IF(NOT(Paths!$C$157=1),0,IF(Paths!$P$157="Complete",SUM(G1662:I1662)-J1662-K1662-L1662+M1662+IF(C1662=0,Paths!$F$157,0)+IF(IF(Paths!$E$157=0,C1662=0,AND(C1662&gt;0,Paths!$E$157&gt;(C1662-1)*12,Paths!$E$157&lt;=C1662*12)),VLOOKUP(A1662,'Fleet register'!$A$7:$S$106,16,FALSE),0),"n.a."))</f>
        <v>0</v>
      </c>
      <c r="O1662" s="16">
        <f>IF(NOT(Paths!$C$157=1),0,IF(Paths!$P$157="Complete",N1662-IF(C1662=0,Paths!$F$157,0),"n.a."))</f>
        <v>0</v>
      </c>
      <c r="P1662" s="16">
        <f>IF(NOT(Paths!$C$157=1),0,IF(Paths!$P$157="Complete",O1662+L1662,"n.a."))</f>
        <v>0</v>
      </c>
      <c r="Q1662" s="16">
        <f>IF(NOT(Paths!$C$157=1),0,IF(Paths!$P$157="Complete",N1662*(1+'Operating costs'!$B$54)^-C1662,"n.a."))</f>
        <v>0</v>
      </c>
      <c r="R1662" s="16">
        <f>IF(NOT(Paths!$C$157=1),0,IF(Paths!$P$157="Complete",IF(AND(C1662=0,Paths!$E$157=0),I1662-J1662-K1662+VLOOKUP(A1662,'Fleet register'!$A$7:$S$106,15,FALSE)+VLOOKUP(A1662,'Fleet register'!$A$7:$S$106,16,FALSE),0),"n.a."))</f>
        <v>0</v>
      </c>
      <c r="S1662" s="1">
        <f>IF(NOT(Paths!$C$157=1),0,IF(Paths!$P$157="Complete",IF(C1662=0,0,Paths!$S$157*Paths!$R$157),"n.a."))</f>
        <v>0</v>
      </c>
      <c r="T1662" s="1">
        <f>IF(NOT(Paths!$C$157=1),0,IF(Paths!$P$157="Complete",IF(C1662=0,0,VLOOKUP(A1662,'Fleet register'!$A$7:$S$106,9,FALSE)*Paths!$R$157),"n.a."))</f>
        <v>0</v>
      </c>
    </row>
    <row r="1663" spans="1:20" ht="24" customHeight="1">
      <c r="A1663" s="1" t="str">
        <f>Paths!$A$157</f>
        <v>T038</v>
      </c>
      <c r="B1663" s="1">
        <f>Paths!$B$157</f>
        <v>2</v>
      </c>
      <c r="C1663" s="1">
        <v>6</v>
      </c>
      <c r="D1663" s="1">
        <v>157</v>
      </c>
      <c r="E1663" s="1">
        <f>IF(OR(Paths!$C$157=0,C1663=0),0,MAX(0,MIN(C1663*12,Paths!$E$157)-(C1663-1)*12))</f>
        <v>0</v>
      </c>
      <c r="F1663" s="1">
        <f>IF(OR(Paths!$C$157=0,C1663=0),0,12-E1663)</f>
        <v>0</v>
      </c>
      <c r="G1663" s="16">
        <f>IF(NOT(Paths!$C$157=1),0,IF(Paths!$P$157="Complete",E1663/12*(Paths!$J$157*(1+'Operating costs'!$B$51)^MAX(0,C1663-1)+Paths!$K$157*(1+'Operating costs'!$B$53)^MAX(0,C1663-1)),"n.a."))</f>
        <v>0</v>
      </c>
      <c r="H1663" s="16">
        <f>IF(NOT(Paths!$C$157=1),0,IF(Paths!$P$157="Complete",F1663/12*(Paths!$L$157*(1+IF(Paths!$D$157="EV",'Operating costs'!$B$52,'Operating costs'!$B$51))^MAX(0,C1663-1)+Paths!$M$157*(1+'Operating costs'!$B$53)^MAX(0,C1663-1)),"n.a."))</f>
        <v>0</v>
      </c>
      <c r="I1663" s="16">
        <f>IF(NOT(Paths!$C$157=1),0,IF(Paths!$P$157="Complete",IF(IF(Paths!$E$157=0,C1663=0,AND(C1663&gt;0,Paths!$E$157&gt;(C1663-1)*12,Paths!$E$157&lt;=C1663*12)),Paths!$G$157,0),"n.a."))</f>
        <v>0</v>
      </c>
      <c r="J1663" s="16">
        <f>IF(NOT(Paths!$C$157=1),0,IF(Paths!$P$157="Complete",IF(IF(Paths!$E$157=0,C1663=0,AND(C1663&gt;0,Paths!$E$157&gt;(C1663-1)*12,Paths!$E$157&lt;=C1663*12)),Paths!$H$157,0),"n.a."))</f>
        <v>0</v>
      </c>
      <c r="K1663" s="16">
        <f>IF(NOT(Paths!$C$157=1),0,IF(Paths!$P$157="Complete",IF(IF(Paths!$O$157=0,C1663=0,AND(C1663&gt;0,Paths!$O$157&gt;(C1663-1)*12,Paths!$O$157&lt;=C1663*12)),Paths!$N$157,0),"n.a."))</f>
        <v>0</v>
      </c>
      <c r="L1663" s="16">
        <f>IF(NOT(Paths!$C$157=1),0,IF(Paths!$P$157="Complete",IF(C1663=10,Paths!$I$157,0),"n.a."))</f>
        <v>0</v>
      </c>
      <c r="M1663" s="16">
        <f>IF(NOT(Paths!$C$157=1),0,IF(Paths!$P$157="Complete",IF(AND(Paths!$D$157="EV",Paths!$E$157&lt;120,Paths!$E$157+'Operating costs'!$B$65&gt;Paths!$E$157,Paths!$E$157+'Operating costs'!$B$65&lt;=120,IF(Paths!$E$157+'Operating costs'!$B$65=0,C1663=0,AND(C1663&gt;0,Paths!$E$157+'Operating costs'!$B$65&gt;(C1663-1)*12,Paths!$E$157+'Operating costs'!$B$65&lt;=C1663*12))),'Operating costs'!$B$64,0)+IF(AND('Operating costs'!$B$67&gt;0,'Operating costs'!$B$67&lt;=120,OR(Paths!$D$157="ICE",'Operating costs'!$B$67&lt;=Paths!$E$157),IF('Operating costs'!$B$67=0,C1663=0,AND(C1663&gt;0,'Operating costs'!$B$67&gt;(C1663-1)*12,'Operating costs'!$B$67&lt;=C1663*12))),'Operating costs'!$B$66,0),"n.a."))</f>
        <v>0</v>
      </c>
      <c r="N1663" s="16">
        <f>IF(NOT(Paths!$C$157=1),0,IF(Paths!$P$157="Complete",SUM(G1663:I1663)-J1663-K1663-L1663+M1663+IF(C1663=0,Paths!$F$157,0)+IF(IF(Paths!$E$157=0,C1663=0,AND(C1663&gt;0,Paths!$E$157&gt;(C1663-1)*12,Paths!$E$157&lt;=C1663*12)),VLOOKUP(A1663,'Fleet register'!$A$7:$S$106,16,FALSE),0),"n.a."))</f>
        <v>0</v>
      </c>
      <c r="O1663" s="16">
        <f>IF(NOT(Paths!$C$157=1),0,IF(Paths!$P$157="Complete",N1663-IF(C1663=0,Paths!$F$157,0),"n.a."))</f>
        <v>0</v>
      </c>
      <c r="P1663" s="16">
        <f>IF(NOT(Paths!$C$157=1),0,IF(Paths!$P$157="Complete",O1663+L1663,"n.a."))</f>
        <v>0</v>
      </c>
      <c r="Q1663" s="16">
        <f>IF(NOT(Paths!$C$157=1),0,IF(Paths!$P$157="Complete",N1663*(1+'Operating costs'!$B$54)^-C1663,"n.a."))</f>
        <v>0</v>
      </c>
      <c r="R1663" s="16">
        <f>IF(NOT(Paths!$C$157=1),0,IF(Paths!$P$157="Complete",IF(AND(C1663=0,Paths!$E$157=0),I1663-J1663-K1663+VLOOKUP(A1663,'Fleet register'!$A$7:$S$106,15,FALSE)+VLOOKUP(A1663,'Fleet register'!$A$7:$S$106,16,FALSE),0),"n.a."))</f>
        <v>0</v>
      </c>
      <c r="S1663" s="1">
        <f>IF(NOT(Paths!$C$157=1),0,IF(Paths!$P$157="Complete",IF(C1663=0,0,Paths!$S$157*Paths!$R$157),"n.a."))</f>
        <v>0</v>
      </c>
      <c r="T1663" s="1">
        <f>IF(NOT(Paths!$C$157=1),0,IF(Paths!$P$157="Complete",IF(C1663=0,0,VLOOKUP(A1663,'Fleet register'!$A$7:$S$106,9,FALSE)*Paths!$R$157),"n.a."))</f>
        <v>0</v>
      </c>
    </row>
    <row r="1664" spans="1:20" ht="24" customHeight="1">
      <c r="A1664" s="1" t="str">
        <f>Paths!$A$157</f>
        <v>T038</v>
      </c>
      <c r="B1664" s="1">
        <f>Paths!$B$157</f>
        <v>2</v>
      </c>
      <c r="C1664" s="1">
        <v>7</v>
      </c>
      <c r="D1664" s="1">
        <v>157</v>
      </c>
      <c r="E1664" s="1">
        <f>IF(OR(Paths!$C$157=0,C1664=0),0,MAX(0,MIN(C1664*12,Paths!$E$157)-(C1664-1)*12))</f>
        <v>0</v>
      </c>
      <c r="F1664" s="1">
        <f>IF(OR(Paths!$C$157=0,C1664=0),0,12-E1664)</f>
        <v>0</v>
      </c>
      <c r="G1664" s="16">
        <f>IF(NOT(Paths!$C$157=1),0,IF(Paths!$P$157="Complete",E1664/12*(Paths!$J$157*(1+'Operating costs'!$B$51)^MAX(0,C1664-1)+Paths!$K$157*(1+'Operating costs'!$B$53)^MAX(0,C1664-1)),"n.a."))</f>
        <v>0</v>
      </c>
      <c r="H1664" s="16">
        <f>IF(NOT(Paths!$C$157=1),0,IF(Paths!$P$157="Complete",F1664/12*(Paths!$L$157*(1+IF(Paths!$D$157="EV",'Operating costs'!$B$52,'Operating costs'!$B$51))^MAX(0,C1664-1)+Paths!$M$157*(1+'Operating costs'!$B$53)^MAX(0,C1664-1)),"n.a."))</f>
        <v>0</v>
      </c>
      <c r="I1664" s="16">
        <f>IF(NOT(Paths!$C$157=1),0,IF(Paths!$P$157="Complete",IF(IF(Paths!$E$157=0,C1664=0,AND(C1664&gt;0,Paths!$E$157&gt;(C1664-1)*12,Paths!$E$157&lt;=C1664*12)),Paths!$G$157,0),"n.a."))</f>
        <v>0</v>
      </c>
      <c r="J1664" s="16">
        <f>IF(NOT(Paths!$C$157=1),0,IF(Paths!$P$157="Complete",IF(IF(Paths!$E$157=0,C1664=0,AND(C1664&gt;0,Paths!$E$157&gt;(C1664-1)*12,Paths!$E$157&lt;=C1664*12)),Paths!$H$157,0),"n.a."))</f>
        <v>0</v>
      </c>
      <c r="K1664" s="16">
        <f>IF(NOT(Paths!$C$157=1),0,IF(Paths!$P$157="Complete",IF(IF(Paths!$O$157=0,C1664=0,AND(C1664&gt;0,Paths!$O$157&gt;(C1664-1)*12,Paths!$O$157&lt;=C1664*12)),Paths!$N$157,0),"n.a."))</f>
        <v>0</v>
      </c>
      <c r="L1664" s="16">
        <f>IF(NOT(Paths!$C$157=1),0,IF(Paths!$P$157="Complete",IF(C1664=10,Paths!$I$157,0),"n.a."))</f>
        <v>0</v>
      </c>
      <c r="M1664" s="16">
        <f>IF(NOT(Paths!$C$157=1),0,IF(Paths!$P$157="Complete",IF(AND(Paths!$D$157="EV",Paths!$E$157&lt;120,Paths!$E$157+'Operating costs'!$B$65&gt;Paths!$E$157,Paths!$E$157+'Operating costs'!$B$65&lt;=120,IF(Paths!$E$157+'Operating costs'!$B$65=0,C1664=0,AND(C1664&gt;0,Paths!$E$157+'Operating costs'!$B$65&gt;(C1664-1)*12,Paths!$E$157+'Operating costs'!$B$65&lt;=C1664*12))),'Operating costs'!$B$64,0)+IF(AND('Operating costs'!$B$67&gt;0,'Operating costs'!$B$67&lt;=120,OR(Paths!$D$157="ICE",'Operating costs'!$B$67&lt;=Paths!$E$157),IF('Operating costs'!$B$67=0,C1664=0,AND(C1664&gt;0,'Operating costs'!$B$67&gt;(C1664-1)*12,'Operating costs'!$B$67&lt;=C1664*12))),'Operating costs'!$B$66,0),"n.a."))</f>
        <v>0</v>
      </c>
      <c r="N1664" s="16">
        <f>IF(NOT(Paths!$C$157=1),0,IF(Paths!$P$157="Complete",SUM(G1664:I1664)-J1664-K1664-L1664+M1664+IF(C1664=0,Paths!$F$157,0)+IF(IF(Paths!$E$157=0,C1664=0,AND(C1664&gt;0,Paths!$E$157&gt;(C1664-1)*12,Paths!$E$157&lt;=C1664*12)),VLOOKUP(A1664,'Fleet register'!$A$7:$S$106,16,FALSE),0),"n.a."))</f>
        <v>0</v>
      </c>
      <c r="O1664" s="16">
        <f>IF(NOT(Paths!$C$157=1),0,IF(Paths!$P$157="Complete",N1664-IF(C1664=0,Paths!$F$157,0),"n.a."))</f>
        <v>0</v>
      </c>
      <c r="P1664" s="16">
        <f>IF(NOT(Paths!$C$157=1),0,IF(Paths!$P$157="Complete",O1664+L1664,"n.a."))</f>
        <v>0</v>
      </c>
      <c r="Q1664" s="16">
        <f>IF(NOT(Paths!$C$157=1),0,IF(Paths!$P$157="Complete",N1664*(1+'Operating costs'!$B$54)^-C1664,"n.a."))</f>
        <v>0</v>
      </c>
      <c r="R1664" s="16">
        <f>IF(NOT(Paths!$C$157=1),0,IF(Paths!$P$157="Complete",IF(AND(C1664=0,Paths!$E$157=0),I1664-J1664-K1664+VLOOKUP(A1664,'Fleet register'!$A$7:$S$106,15,FALSE)+VLOOKUP(A1664,'Fleet register'!$A$7:$S$106,16,FALSE),0),"n.a."))</f>
        <v>0</v>
      </c>
      <c r="S1664" s="1">
        <f>IF(NOT(Paths!$C$157=1),0,IF(Paths!$P$157="Complete",IF(C1664=0,0,Paths!$S$157*Paths!$R$157),"n.a."))</f>
        <v>0</v>
      </c>
      <c r="T1664" s="1">
        <f>IF(NOT(Paths!$C$157=1),0,IF(Paths!$P$157="Complete",IF(C1664=0,0,VLOOKUP(A1664,'Fleet register'!$A$7:$S$106,9,FALSE)*Paths!$R$157),"n.a."))</f>
        <v>0</v>
      </c>
    </row>
    <row r="1665" spans="1:20" ht="24" customHeight="1">
      <c r="A1665" s="1" t="str">
        <f>Paths!$A$157</f>
        <v>T038</v>
      </c>
      <c r="B1665" s="1">
        <f>Paths!$B$157</f>
        <v>2</v>
      </c>
      <c r="C1665" s="1">
        <v>8</v>
      </c>
      <c r="D1665" s="1">
        <v>157</v>
      </c>
      <c r="E1665" s="1">
        <f>IF(OR(Paths!$C$157=0,C1665=0),0,MAX(0,MIN(C1665*12,Paths!$E$157)-(C1665-1)*12))</f>
        <v>0</v>
      </c>
      <c r="F1665" s="1">
        <f>IF(OR(Paths!$C$157=0,C1665=0),0,12-E1665)</f>
        <v>0</v>
      </c>
      <c r="G1665" s="16">
        <f>IF(NOT(Paths!$C$157=1),0,IF(Paths!$P$157="Complete",E1665/12*(Paths!$J$157*(1+'Operating costs'!$B$51)^MAX(0,C1665-1)+Paths!$K$157*(1+'Operating costs'!$B$53)^MAX(0,C1665-1)),"n.a."))</f>
        <v>0</v>
      </c>
      <c r="H1665" s="16">
        <f>IF(NOT(Paths!$C$157=1),0,IF(Paths!$P$157="Complete",F1665/12*(Paths!$L$157*(1+IF(Paths!$D$157="EV",'Operating costs'!$B$52,'Operating costs'!$B$51))^MAX(0,C1665-1)+Paths!$M$157*(1+'Operating costs'!$B$53)^MAX(0,C1665-1)),"n.a."))</f>
        <v>0</v>
      </c>
      <c r="I1665" s="16">
        <f>IF(NOT(Paths!$C$157=1),0,IF(Paths!$P$157="Complete",IF(IF(Paths!$E$157=0,C1665=0,AND(C1665&gt;0,Paths!$E$157&gt;(C1665-1)*12,Paths!$E$157&lt;=C1665*12)),Paths!$G$157,0),"n.a."))</f>
        <v>0</v>
      </c>
      <c r="J1665" s="16">
        <f>IF(NOT(Paths!$C$157=1),0,IF(Paths!$P$157="Complete",IF(IF(Paths!$E$157=0,C1665=0,AND(C1665&gt;0,Paths!$E$157&gt;(C1665-1)*12,Paths!$E$157&lt;=C1665*12)),Paths!$H$157,0),"n.a."))</f>
        <v>0</v>
      </c>
      <c r="K1665" s="16">
        <f>IF(NOT(Paths!$C$157=1),0,IF(Paths!$P$157="Complete",IF(IF(Paths!$O$157=0,C1665=0,AND(C1665&gt;0,Paths!$O$157&gt;(C1665-1)*12,Paths!$O$157&lt;=C1665*12)),Paths!$N$157,0),"n.a."))</f>
        <v>0</v>
      </c>
      <c r="L1665" s="16">
        <f>IF(NOT(Paths!$C$157=1),0,IF(Paths!$P$157="Complete",IF(C1665=10,Paths!$I$157,0),"n.a."))</f>
        <v>0</v>
      </c>
      <c r="M1665" s="16">
        <f>IF(NOT(Paths!$C$157=1),0,IF(Paths!$P$157="Complete",IF(AND(Paths!$D$157="EV",Paths!$E$157&lt;120,Paths!$E$157+'Operating costs'!$B$65&gt;Paths!$E$157,Paths!$E$157+'Operating costs'!$B$65&lt;=120,IF(Paths!$E$157+'Operating costs'!$B$65=0,C1665=0,AND(C1665&gt;0,Paths!$E$157+'Operating costs'!$B$65&gt;(C1665-1)*12,Paths!$E$157+'Operating costs'!$B$65&lt;=C1665*12))),'Operating costs'!$B$64,0)+IF(AND('Operating costs'!$B$67&gt;0,'Operating costs'!$B$67&lt;=120,OR(Paths!$D$157="ICE",'Operating costs'!$B$67&lt;=Paths!$E$157),IF('Operating costs'!$B$67=0,C1665=0,AND(C1665&gt;0,'Operating costs'!$B$67&gt;(C1665-1)*12,'Operating costs'!$B$67&lt;=C1665*12))),'Operating costs'!$B$66,0),"n.a."))</f>
        <v>0</v>
      </c>
      <c r="N1665" s="16">
        <f>IF(NOT(Paths!$C$157=1),0,IF(Paths!$P$157="Complete",SUM(G1665:I1665)-J1665-K1665-L1665+M1665+IF(C1665=0,Paths!$F$157,0)+IF(IF(Paths!$E$157=0,C1665=0,AND(C1665&gt;0,Paths!$E$157&gt;(C1665-1)*12,Paths!$E$157&lt;=C1665*12)),VLOOKUP(A1665,'Fleet register'!$A$7:$S$106,16,FALSE),0),"n.a."))</f>
        <v>0</v>
      </c>
      <c r="O1665" s="16">
        <f>IF(NOT(Paths!$C$157=1),0,IF(Paths!$P$157="Complete",N1665-IF(C1665=0,Paths!$F$157,0),"n.a."))</f>
        <v>0</v>
      </c>
      <c r="P1665" s="16">
        <f>IF(NOT(Paths!$C$157=1),0,IF(Paths!$P$157="Complete",O1665+L1665,"n.a."))</f>
        <v>0</v>
      </c>
      <c r="Q1665" s="16">
        <f>IF(NOT(Paths!$C$157=1),0,IF(Paths!$P$157="Complete",N1665*(1+'Operating costs'!$B$54)^-C1665,"n.a."))</f>
        <v>0</v>
      </c>
      <c r="R1665" s="16">
        <f>IF(NOT(Paths!$C$157=1),0,IF(Paths!$P$157="Complete",IF(AND(C1665=0,Paths!$E$157=0),I1665-J1665-K1665+VLOOKUP(A1665,'Fleet register'!$A$7:$S$106,15,FALSE)+VLOOKUP(A1665,'Fleet register'!$A$7:$S$106,16,FALSE),0),"n.a."))</f>
        <v>0</v>
      </c>
      <c r="S1665" s="1">
        <f>IF(NOT(Paths!$C$157=1),0,IF(Paths!$P$157="Complete",IF(C1665=0,0,Paths!$S$157*Paths!$R$157),"n.a."))</f>
        <v>0</v>
      </c>
      <c r="T1665" s="1">
        <f>IF(NOT(Paths!$C$157=1),0,IF(Paths!$P$157="Complete",IF(C1665=0,0,VLOOKUP(A1665,'Fleet register'!$A$7:$S$106,9,FALSE)*Paths!$R$157),"n.a."))</f>
        <v>0</v>
      </c>
    </row>
    <row r="1666" spans="1:20" ht="24" customHeight="1">
      <c r="A1666" s="1" t="str">
        <f>Paths!$A$157</f>
        <v>T038</v>
      </c>
      <c r="B1666" s="1">
        <f>Paths!$B$157</f>
        <v>2</v>
      </c>
      <c r="C1666" s="1">
        <v>9</v>
      </c>
      <c r="D1666" s="1">
        <v>157</v>
      </c>
      <c r="E1666" s="1">
        <f>IF(OR(Paths!$C$157=0,C1666=0),0,MAX(0,MIN(C1666*12,Paths!$E$157)-(C1666-1)*12))</f>
        <v>0</v>
      </c>
      <c r="F1666" s="1">
        <f>IF(OR(Paths!$C$157=0,C1666=0),0,12-E1666)</f>
        <v>0</v>
      </c>
      <c r="G1666" s="16">
        <f>IF(NOT(Paths!$C$157=1),0,IF(Paths!$P$157="Complete",E1666/12*(Paths!$J$157*(1+'Operating costs'!$B$51)^MAX(0,C1666-1)+Paths!$K$157*(1+'Operating costs'!$B$53)^MAX(0,C1666-1)),"n.a."))</f>
        <v>0</v>
      </c>
      <c r="H1666" s="16">
        <f>IF(NOT(Paths!$C$157=1),0,IF(Paths!$P$157="Complete",F1666/12*(Paths!$L$157*(1+IF(Paths!$D$157="EV",'Operating costs'!$B$52,'Operating costs'!$B$51))^MAX(0,C1666-1)+Paths!$M$157*(1+'Operating costs'!$B$53)^MAX(0,C1666-1)),"n.a."))</f>
        <v>0</v>
      </c>
      <c r="I1666" s="16">
        <f>IF(NOT(Paths!$C$157=1),0,IF(Paths!$P$157="Complete",IF(IF(Paths!$E$157=0,C1666=0,AND(C1666&gt;0,Paths!$E$157&gt;(C1666-1)*12,Paths!$E$157&lt;=C1666*12)),Paths!$G$157,0),"n.a."))</f>
        <v>0</v>
      </c>
      <c r="J1666" s="16">
        <f>IF(NOT(Paths!$C$157=1),0,IF(Paths!$P$157="Complete",IF(IF(Paths!$E$157=0,C1666=0,AND(C1666&gt;0,Paths!$E$157&gt;(C1666-1)*12,Paths!$E$157&lt;=C1666*12)),Paths!$H$157,0),"n.a."))</f>
        <v>0</v>
      </c>
      <c r="K1666" s="16">
        <f>IF(NOT(Paths!$C$157=1),0,IF(Paths!$P$157="Complete",IF(IF(Paths!$O$157=0,C1666=0,AND(C1666&gt;0,Paths!$O$157&gt;(C1666-1)*12,Paths!$O$157&lt;=C1666*12)),Paths!$N$157,0),"n.a."))</f>
        <v>0</v>
      </c>
      <c r="L1666" s="16">
        <f>IF(NOT(Paths!$C$157=1),0,IF(Paths!$P$157="Complete",IF(C1666=10,Paths!$I$157,0),"n.a."))</f>
        <v>0</v>
      </c>
      <c r="M1666" s="16">
        <f>IF(NOT(Paths!$C$157=1),0,IF(Paths!$P$157="Complete",IF(AND(Paths!$D$157="EV",Paths!$E$157&lt;120,Paths!$E$157+'Operating costs'!$B$65&gt;Paths!$E$157,Paths!$E$157+'Operating costs'!$B$65&lt;=120,IF(Paths!$E$157+'Operating costs'!$B$65=0,C1666=0,AND(C1666&gt;0,Paths!$E$157+'Operating costs'!$B$65&gt;(C1666-1)*12,Paths!$E$157+'Operating costs'!$B$65&lt;=C1666*12))),'Operating costs'!$B$64,0)+IF(AND('Operating costs'!$B$67&gt;0,'Operating costs'!$B$67&lt;=120,OR(Paths!$D$157="ICE",'Operating costs'!$B$67&lt;=Paths!$E$157),IF('Operating costs'!$B$67=0,C1666=0,AND(C1666&gt;0,'Operating costs'!$B$67&gt;(C1666-1)*12,'Operating costs'!$B$67&lt;=C1666*12))),'Operating costs'!$B$66,0),"n.a."))</f>
        <v>0</v>
      </c>
      <c r="N1666" s="16">
        <f>IF(NOT(Paths!$C$157=1),0,IF(Paths!$P$157="Complete",SUM(G1666:I1666)-J1666-K1666-L1666+M1666+IF(C1666=0,Paths!$F$157,0)+IF(IF(Paths!$E$157=0,C1666=0,AND(C1666&gt;0,Paths!$E$157&gt;(C1666-1)*12,Paths!$E$157&lt;=C1666*12)),VLOOKUP(A1666,'Fleet register'!$A$7:$S$106,16,FALSE),0),"n.a."))</f>
        <v>0</v>
      </c>
      <c r="O1666" s="16">
        <f>IF(NOT(Paths!$C$157=1),0,IF(Paths!$P$157="Complete",N1666-IF(C1666=0,Paths!$F$157,0),"n.a."))</f>
        <v>0</v>
      </c>
      <c r="P1666" s="16">
        <f>IF(NOT(Paths!$C$157=1),0,IF(Paths!$P$157="Complete",O1666+L1666,"n.a."))</f>
        <v>0</v>
      </c>
      <c r="Q1666" s="16">
        <f>IF(NOT(Paths!$C$157=1),0,IF(Paths!$P$157="Complete",N1666*(1+'Operating costs'!$B$54)^-C1666,"n.a."))</f>
        <v>0</v>
      </c>
      <c r="R1666" s="16">
        <f>IF(NOT(Paths!$C$157=1),0,IF(Paths!$P$157="Complete",IF(AND(C1666=0,Paths!$E$157=0),I1666-J1666-K1666+VLOOKUP(A1666,'Fleet register'!$A$7:$S$106,15,FALSE)+VLOOKUP(A1666,'Fleet register'!$A$7:$S$106,16,FALSE),0),"n.a."))</f>
        <v>0</v>
      </c>
      <c r="S1666" s="1">
        <f>IF(NOT(Paths!$C$157=1),0,IF(Paths!$P$157="Complete",IF(C1666=0,0,Paths!$S$157*Paths!$R$157),"n.a."))</f>
        <v>0</v>
      </c>
      <c r="T1666" s="1">
        <f>IF(NOT(Paths!$C$157=1),0,IF(Paths!$P$157="Complete",IF(C1666=0,0,VLOOKUP(A1666,'Fleet register'!$A$7:$S$106,9,FALSE)*Paths!$R$157),"n.a."))</f>
        <v>0</v>
      </c>
    </row>
    <row r="1667" spans="1:20" ht="24" customHeight="1">
      <c r="A1667" s="1" t="str">
        <f>Paths!$A$157</f>
        <v>T038</v>
      </c>
      <c r="B1667" s="1">
        <f>Paths!$B$157</f>
        <v>2</v>
      </c>
      <c r="C1667" s="1">
        <v>10</v>
      </c>
      <c r="D1667" s="1">
        <v>157</v>
      </c>
      <c r="E1667" s="1">
        <f>IF(OR(Paths!$C$157=0,C1667=0),0,MAX(0,MIN(C1667*12,Paths!$E$157)-(C1667-1)*12))</f>
        <v>0</v>
      </c>
      <c r="F1667" s="1">
        <f>IF(OR(Paths!$C$157=0,C1667=0),0,12-E1667)</f>
        <v>0</v>
      </c>
      <c r="G1667" s="16">
        <f>IF(NOT(Paths!$C$157=1),0,IF(Paths!$P$157="Complete",E1667/12*(Paths!$J$157*(1+'Operating costs'!$B$51)^MAX(0,C1667-1)+Paths!$K$157*(1+'Operating costs'!$B$53)^MAX(0,C1667-1)),"n.a."))</f>
        <v>0</v>
      </c>
      <c r="H1667" s="16">
        <f>IF(NOT(Paths!$C$157=1),0,IF(Paths!$P$157="Complete",F1667/12*(Paths!$L$157*(1+IF(Paths!$D$157="EV",'Operating costs'!$B$52,'Operating costs'!$B$51))^MAX(0,C1667-1)+Paths!$M$157*(1+'Operating costs'!$B$53)^MAX(0,C1667-1)),"n.a."))</f>
        <v>0</v>
      </c>
      <c r="I1667" s="16">
        <f>IF(NOT(Paths!$C$157=1),0,IF(Paths!$P$157="Complete",IF(IF(Paths!$E$157=0,C1667=0,AND(C1667&gt;0,Paths!$E$157&gt;(C1667-1)*12,Paths!$E$157&lt;=C1667*12)),Paths!$G$157,0),"n.a."))</f>
        <v>0</v>
      </c>
      <c r="J1667" s="16">
        <f>IF(NOT(Paths!$C$157=1),0,IF(Paths!$P$157="Complete",IF(IF(Paths!$E$157=0,C1667=0,AND(C1667&gt;0,Paths!$E$157&gt;(C1667-1)*12,Paths!$E$157&lt;=C1667*12)),Paths!$H$157,0),"n.a."))</f>
        <v>0</v>
      </c>
      <c r="K1667" s="16">
        <f>IF(NOT(Paths!$C$157=1),0,IF(Paths!$P$157="Complete",IF(IF(Paths!$O$157=0,C1667=0,AND(C1667&gt;0,Paths!$O$157&gt;(C1667-1)*12,Paths!$O$157&lt;=C1667*12)),Paths!$N$157,0),"n.a."))</f>
        <v>0</v>
      </c>
      <c r="L1667" s="16">
        <f>IF(NOT(Paths!$C$157=1),0,IF(Paths!$P$157="Complete",IF(C1667=10,Paths!$I$157,0),"n.a."))</f>
        <v>0</v>
      </c>
      <c r="M1667" s="16">
        <f>IF(NOT(Paths!$C$157=1),0,IF(Paths!$P$157="Complete",IF(AND(Paths!$D$157="EV",Paths!$E$157&lt;120,Paths!$E$157+'Operating costs'!$B$65&gt;Paths!$E$157,Paths!$E$157+'Operating costs'!$B$65&lt;=120,IF(Paths!$E$157+'Operating costs'!$B$65=0,C1667=0,AND(C1667&gt;0,Paths!$E$157+'Operating costs'!$B$65&gt;(C1667-1)*12,Paths!$E$157+'Operating costs'!$B$65&lt;=C1667*12))),'Operating costs'!$B$64,0)+IF(AND('Operating costs'!$B$67&gt;0,'Operating costs'!$B$67&lt;=120,OR(Paths!$D$157="ICE",'Operating costs'!$B$67&lt;=Paths!$E$157),IF('Operating costs'!$B$67=0,C1667=0,AND(C1667&gt;0,'Operating costs'!$B$67&gt;(C1667-1)*12,'Operating costs'!$B$67&lt;=C1667*12))),'Operating costs'!$B$66,0),"n.a."))</f>
        <v>0</v>
      </c>
      <c r="N1667" s="16">
        <f>IF(NOT(Paths!$C$157=1),0,IF(Paths!$P$157="Complete",SUM(G1667:I1667)-J1667-K1667-L1667+M1667+IF(C1667=0,Paths!$F$157,0)+IF(IF(Paths!$E$157=0,C1667=0,AND(C1667&gt;0,Paths!$E$157&gt;(C1667-1)*12,Paths!$E$157&lt;=C1667*12)),VLOOKUP(A1667,'Fleet register'!$A$7:$S$106,16,FALSE),0),"n.a."))</f>
        <v>0</v>
      </c>
      <c r="O1667" s="16">
        <f>IF(NOT(Paths!$C$157=1),0,IF(Paths!$P$157="Complete",N1667-IF(C1667=0,Paths!$F$157,0),"n.a."))</f>
        <v>0</v>
      </c>
      <c r="P1667" s="16">
        <f>IF(NOT(Paths!$C$157=1),0,IF(Paths!$P$157="Complete",O1667+L1667,"n.a."))</f>
        <v>0</v>
      </c>
      <c r="Q1667" s="16">
        <f>IF(NOT(Paths!$C$157=1),0,IF(Paths!$P$157="Complete",N1667*(1+'Operating costs'!$B$54)^-C1667,"n.a."))</f>
        <v>0</v>
      </c>
      <c r="R1667" s="16">
        <f>IF(NOT(Paths!$C$157=1),0,IF(Paths!$P$157="Complete",IF(AND(C1667=0,Paths!$E$157=0),I1667-J1667-K1667+VLOOKUP(A1667,'Fleet register'!$A$7:$S$106,15,FALSE)+VLOOKUP(A1667,'Fleet register'!$A$7:$S$106,16,FALSE),0),"n.a."))</f>
        <v>0</v>
      </c>
      <c r="S1667" s="1">
        <f>IF(NOT(Paths!$C$157=1),0,IF(Paths!$P$157="Complete",IF(C1667=0,0,Paths!$S$157*Paths!$R$157),"n.a."))</f>
        <v>0</v>
      </c>
      <c r="T1667" s="1">
        <f>IF(NOT(Paths!$C$157=1),0,IF(Paths!$P$157="Complete",IF(C1667=0,0,VLOOKUP(A1667,'Fleet register'!$A$7:$S$106,9,FALSE)*Paths!$R$157),"n.a."))</f>
        <v>0</v>
      </c>
    </row>
    <row r="1668" spans="1:20" ht="24" customHeight="1">
      <c r="A1668" s="1" t="str">
        <f>Paths!$A$158</f>
        <v>T038</v>
      </c>
      <c r="B1668" s="1">
        <f>Paths!$B$158</f>
        <v>3</v>
      </c>
      <c r="C1668" s="1">
        <v>0</v>
      </c>
      <c r="D1668" s="1">
        <v>158</v>
      </c>
      <c r="E1668" s="1">
        <f>IF(OR(Paths!$C$158=0,C1668=0),0,MAX(0,MIN(C1668*12,Paths!$E$158)-(C1668-1)*12))</f>
        <v>0</v>
      </c>
      <c r="F1668" s="1">
        <f>IF(OR(Paths!$C$158=0,C1668=0),0,12-E1668)</f>
        <v>0</v>
      </c>
      <c r="G1668" s="16">
        <f>IF(NOT(Paths!$C$158=1),0,IF(Paths!$P$158="Complete",E1668/12*(Paths!$J$158*(1+'Operating costs'!$B$51)^MAX(0,C1668-1)+Paths!$K$158*(1+'Operating costs'!$B$53)^MAX(0,C1668-1)),"n.a."))</f>
        <v>0</v>
      </c>
      <c r="H1668" s="16">
        <f>IF(NOT(Paths!$C$158=1),0,IF(Paths!$P$158="Complete",F1668/12*(Paths!$L$158*(1+IF(Paths!$D$158="EV",'Operating costs'!$B$52,'Operating costs'!$B$51))^MAX(0,C1668-1)+Paths!$M$158*(1+'Operating costs'!$B$53)^MAX(0,C1668-1)),"n.a."))</f>
        <v>0</v>
      </c>
      <c r="I1668" s="16">
        <f>IF(NOT(Paths!$C$158=1),0,IF(Paths!$P$158="Complete",IF(IF(Paths!$E$158=0,C1668=0,AND(C1668&gt;0,Paths!$E$158&gt;(C1668-1)*12,Paths!$E$158&lt;=C1668*12)),Paths!$G$158,0),"n.a."))</f>
        <v>0</v>
      </c>
      <c r="J1668" s="16">
        <f>IF(NOT(Paths!$C$158=1),0,IF(Paths!$P$158="Complete",IF(IF(Paths!$E$158=0,C1668=0,AND(C1668&gt;0,Paths!$E$158&gt;(C1668-1)*12,Paths!$E$158&lt;=C1668*12)),Paths!$H$158,0),"n.a."))</f>
        <v>0</v>
      </c>
      <c r="K1668" s="16">
        <f>IF(NOT(Paths!$C$158=1),0,IF(Paths!$P$158="Complete",IF(IF(Paths!$O$158=0,C1668=0,AND(C1668&gt;0,Paths!$O$158&gt;(C1668-1)*12,Paths!$O$158&lt;=C1668*12)),Paths!$N$158,0),"n.a."))</f>
        <v>0</v>
      </c>
      <c r="L1668" s="16">
        <f>IF(NOT(Paths!$C$158=1),0,IF(Paths!$P$158="Complete",IF(C1668=10,Paths!$I$158,0),"n.a."))</f>
        <v>0</v>
      </c>
      <c r="M1668" s="16">
        <f>IF(NOT(Paths!$C$158=1),0,IF(Paths!$P$158="Complete",IF(AND(Paths!$D$158="EV",Paths!$E$158&lt;120,Paths!$E$158+'Operating costs'!$B$65&gt;Paths!$E$158,Paths!$E$158+'Operating costs'!$B$65&lt;=120,IF(Paths!$E$158+'Operating costs'!$B$65=0,C1668=0,AND(C1668&gt;0,Paths!$E$158+'Operating costs'!$B$65&gt;(C1668-1)*12,Paths!$E$158+'Operating costs'!$B$65&lt;=C1668*12))),'Operating costs'!$B$64,0)+IF(AND('Operating costs'!$B$67&gt;0,'Operating costs'!$B$67&lt;=120,OR(Paths!$D$158="ICE",'Operating costs'!$B$67&lt;=Paths!$E$158),IF('Operating costs'!$B$67=0,C1668=0,AND(C1668&gt;0,'Operating costs'!$B$67&gt;(C1668-1)*12,'Operating costs'!$B$67&lt;=C1668*12))),'Operating costs'!$B$66,0),"n.a."))</f>
        <v>0</v>
      </c>
      <c r="N1668" s="16">
        <f>IF(NOT(Paths!$C$158=1),0,IF(Paths!$P$158="Complete",SUM(G1668:I1668)-J1668-K1668-L1668+M1668+IF(C1668=0,Paths!$F$158,0)+IF(IF(Paths!$E$158=0,C1668=0,AND(C1668&gt;0,Paths!$E$158&gt;(C1668-1)*12,Paths!$E$158&lt;=C1668*12)),VLOOKUP(A1668,'Fleet register'!$A$7:$S$106,16,FALSE),0),"n.a."))</f>
        <v>0</v>
      </c>
      <c r="O1668" s="16">
        <f>IF(NOT(Paths!$C$158=1),0,IF(Paths!$P$158="Complete",N1668-IF(C1668=0,Paths!$F$158,0),"n.a."))</f>
        <v>0</v>
      </c>
      <c r="P1668" s="16">
        <f>IF(NOT(Paths!$C$158=1),0,IF(Paths!$P$158="Complete",O1668+L1668,"n.a."))</f>
        <v>0</v>
      </c>
      <c r="Q1668" s="16">
        <f>IF(NOT(Paths!$C$158=1),0,IF(Paths!$P$158="Complete",N1668*(1+'Operating costs'!$B$54)^-C1668,"n.a."))</f>
        <v>0</v>
      </c>
      <c r="R1668" s="16">
        <f>IF(NOT(Paths!$C$158=1),0,IF(Paths!$P$158="Complete",IF(AND(C1668=0,Paths!$E$158=0),I1668-J1668-K1668+VLOOKUP(A1668,'Fleet register'!$A$7:$S$106,15,FALSE)+VLOOKUP(A1668,'Fleet register'!$A$7:$S$106,16,FALSE),0),"n.a."))</f>
        <v>0</v>
      </c>
      <c r="S1668" s="1">
        <f>IF(NOT(Paths!$C$158=1),0,IF(Paths!$P$158="Complete",IF(C1668=0,0,Paths!$S$158*Paths!$R$158),"n.a."))</f>
        <v>0</v>
      </c>
      <c r="T1668" s="1">
        <f>IF(NOT(Paths!$C$158=1),0,IF(Paths!$P$158="Complete",IF(C1668=0,0,VLOOKUP(A1668,'Fleet register'!$A$7:$S$106,9,FALSE)*Paths!$R$158),"n.a."))</f>
        <v>0</v>
      </c>
    </row>
    <row r="1669" spans="1:20" ht="24" customHeight="1">
      <c r="A1669" s="1" t="str">
        <f>Paths!$A$158</f>
        <v>T038</v>
      </c>
      <c r="B1669" s="1">
        <f>Paths!$B$158</f>
        <v>3</v>
      </c>
      <c r="C1669" s="1">
        <v>1</v>
      </c>
      <c r="D1669" s="1">
        <v>158</v>
      </c>
      <c r="E1669" s="1">
        <f>IF(OR(Paths!$C$158=0,C1669=0),0,MAX(0,MIN(C1669*12,Paths!$E$158)-(C1669-1)*12))</f>
        <v>0</v>
      </c>
      <c r="F1669" s="1">
        <f>IF(OR(Paths!$C$158=0,C1669=0),0,12-E1669)</f>
        <v>0</v>
      </c>
      <c r="G1669" s="16">
        <f>IF(NOT(Paths!$C$158=1),0,IF(Paths!$P$158="Complete",E1669/12*(Paths!$J$158*(1+'Operating costs'!$B$51)^MAX(0,C1669-1)+Paths!$K$158*(1+'Operating costs'!$B$53)^MAX(0,C1669-1)),"n.a."))</f>
        <v>0</v>
      </c>
      <c r="H1669" s="16">
        <f>IF(NOT(Paths!$C$158=1),0,IF(Paths!$P$158="Complete",F1669/12*(Paths!$L$158*(1+IF(Paths!$D$158="EV",'Operating costs'!$B$52,'Operating costs'!$B$51))^MAX(0,C1669-1)+Paths!$M$158*(1+'Operating costs'!$B$53)^MAX(0,C1669-1)),"n.a."))</f>
        <v>0</v>
      </c>
      <c r="I1669" s="16">
        <f>IF(NOT(Paths!$C$158=1),0,IF(Paths!$P$158="Complete",IF(IF(Paths!$E$158=0,C1669=0,AND(C1669&gt;0,Paths!$E$158&gt;(C1669-1)*12,Paths!$E$158&lt;=C1669*12)),Paths!$G$158,0),"n.a."))</f>
        <v>0</v>
      </c>
      <c r="J1669" s="16">
        <f>IF(NOT(Paths!$C$158=1),0,IF(Paths!$P$158="Complete",IF(IF(Paths!$E$158=0,C1669=0,AND(C1669&gt;0,Paths!$E$158&gt;(C1669-1)*12,Paths!$E$158&lt;=C1669*12)),Paths!$H$158,0),"n.a."))</f>
        <v>0</v>
      </c>
      <c r="K1669" s="16">
        <f>IF(NOT(Paths!$C$158=1),0,IF(Paths!$P$158="Complete",IF(IF(Paths!$O$158=0,C1669=0,AND(C1669&gt;0,Paths!$O$158&gt;(C1669-1)*12,Paths!$O$158&lt;=C1669*12)),Paths!$N$158,0),"n.a."))</f>
        <v>0</v>
      </c>
      <c r="L1669" s="16">
        <f>IF(NOT(Paths!$C$158=1),0,IF(Paths!$P$158="Complete",IF(C1669=10,Paths!$I$158,0),"n.a."))</f>
        <v>0</v>
      </c>
      <c r="M1669" s="16">
        <f>IF(NOT(Paths!$C$158=1),0,IF(Paths!$P$158="Complete",IF(AND(Paths!$D$158="EV",Paths!$E$158&lt;120,Paths!$E$158+'Operating costs'!$B$65&gt;Paths!$E$158,Paths!$E$158+'Operating costs'!$B$65&lt;=120,IF(Paths!$E$158+'Operating costs'!$B$65=0,C1669=0,AND(C1669&gt;0,Paths!$E$158+'Operating costs'!$B$65&gt;(C1669-1)*12,Paths!$E$158+'Operating costs'!$B$65&lt;=C1669*12))),'Operating costs'!$B$64,0)+IF(AND('Operating costs'!$B$67&gt;0,'Operating costs'!$B$67&lt;=120,OR(Paths!$D$158="ICE",'Operating costs'!$B$67&lt;=Paths!$E$158),IF('Operating costs'!$B$67=0,C1669=0,AND(C1669&gt;0,'Operating costs'!$B$67&gt;(C1669-1)*12,'Operating costs'!$B$67&lt;=C1669*12))),'Operating costs'!$B$66,0),"n.a."))</f>
        <v>0</v>
      </c>
      <c r="N1669" s="16">
        <f>IF(NOT(Paths!$C$158=1),0,IF(Paths!$P$158="Complete",SUM(G1669:I1669)-J1669-K1669-L1669+M1669+IF(C1669=0,Paths!$F$158,0)+IF(IF(Paths!$E$158=0,C1669=0,AND(C1669&gt;0,Paths!$E$158&gt;(C1669-1)*12,Paths!$E$158&lt;=C1669*12)),VLOOKUP(A1669,'Fleet register'!$A$7:$S$106,16,FALSE),0),"n.a."))</f>
        <v>0</v>
      </c>
      <c r="O1669" s="16">
        <f>IF(NOT(Paths!$C$158=1),0,IF(Paths!$P$158="Complete",N1669-IF(C1669=0,Paths!$F$158,0),"n.a."))</f>
        <v>0</v>
      </c>
      <c r="P1669" s="16">
        <f>IF(NOT(Paths!$C$158=1),0,IF(Paths!$P$158="Complete",O1669+L1669,"n.a."))</f>
        <v>0</v>
      </c>
      <c r="Q1669" s="16">
        <f>IF(NOT(Paths!$C$158=1),0,IF(Paths!$P$158="Complete",N1669*(1+'Operating costs'!$B$54)^-C1669,"n.a."))</f>
        <v>0</v>
      </c>
      <c r="R1669" s="16">
        <f>IF(NOT(Paths!$C$158=1),0,IF(Paths!$P$158="Complete",IF(AND(C1669=0,Paths!$E$158=0),I1669-J1669-K1669+VLOOKUP(A1669,'Fleet register'!$A$7:$S$106,15,FALSE)+VLOOKUP(A1669,'Fleet register'!$A$7:$S$106,16,FALSE),0),"n.a."))</f>
        <v>0</v>
      </c>
      <c r="S1669" s="1">
        <f>IF(NOT(Paths!$C$158=1),0,IF(Paths!$P$158="Complete",IF(C1669=0,0,Paths!$S$158*Paths!$R$158),"n.a."))</f>
        <v>0</v>
      </c>
      <c r="T1669" s="1">
        <f>IF(NOT(Paths!$C$158=1),0,IF(Paths!$P$158="Complete",IF(C1669=0,0,VLOOKUP(A1669,'Fleet register'!$A$7:$S$106,9,FALSE)*Paths!$R$158),"n.a."))</f>
        <v>0</v>
      </c>
    </row>
    <row r="1670" spans="1:20" ht="24" customHeight="1">
      <c r="A1670" s="1" t="str">
        <f>Paths!$A$158</f>
        <v>T038</v>
      </c>
      <c r="B1670" s="1">
        <f>Paths!$B$158</f>
        <v>3</v>
      </c>
      <c r="C1670" s="1">
        <v>2</v>
      </c>
      <c r="D1670" s="1">
        <v>158</v>
      </c>
      <c r="E1670" s="1">
        <f>IF(OR(Paths!$C$158=0,C1670=0),0,MAX(0,MIN(C1670*12,Paths!$E$158)-(C1670-1)*12))</f>
        <v>0</v>
      </c>
      <c r="F1670" s="1">
        <f>IF(OR(Paths!$C$158=0,C1670=0),0,12-E1670)</f>
        <v>0</v>
      </c>
      <c r="G1670" s="16">
        <f>IF(NOT(Paths!$C$158=1),0,IF(Paths!$P$158="Complete",E1670/12*(Paths!$J$158*(1+'Operating costs'!$B$51)^MAX(0,C1670-1)+Paths!$K$158*(1+'Operating costs'!$B$53)^MAX(0,C1670-1)),"n.a."))</f>
        <v>0</v>
      </c>
      <c r="H1670" s="16">
        <f>IF(NOT(Paths!$C$158=1),0,IF(Paths!$P$158="Complete",F1670/12*(Paths!$L$158*(1+IF(Paths!$D$158="EV",'Operating costs'!$B$52,'Operating costs'!$B$51))^MAX(0,C1670-1)+Paths!$M$158*(1+'Operating costs'!$B$53)^MAX(0,C1670-1)),"n.a."))</f>
        <v>0</v>
      </c>
      <c r="I1670" s="16">
        <f>IF(NOT(Paths!$C$158=1),0,IF(Paths!$P$158="Complete",IF(IF(Paths!$E$158=0,C1670=0,AND(C1670&gt;0,Paths!$E$158&gt;(C1670-1)*12,Paths!$E$158&lt;=C1670*12)),Paths!$G$158,0),"n.a."))</f>
        <v>0</v>
      </c>
      <c r="J1670" s="16">
        <f>IF(NOT(Paths!$C$158=1),0,IF(Paths!$P$158="Complete",IF(IF(Paths!$E$158=0,C1670=0,AND(C1670&gt;0,Paths!$E$158&gt;(C1670-1)*12,Paths!$E$158&lt;=C1670*12)),Paths!$H$158,0),"n.a."))</f>
        <v>0</v>
      </c>
      <c r="K1670" s="16">
        <f>IF(NOT(Paths!$C$158=1),0,IF(Paths!$P$158="Complete",IF(IF(Paths!$O$158=0,C1670=0,AND(C1670&gt;0,Paths!$O$158&gt;(C1670-1)*12,Paths!$O$158&lt;=C1670*12)),Paths!$N$158,0),"n.a."))</f>
        <v>0</v>
      </c>
      <c r="L1670" s="16">
        <f>IF(NOT(Paths!$C$158=1),0,IF(Paths!$P$158="Complete",IF(C1670=10,Paths!$I$158,0),"n.a."))</f>
        <v>0</v>
      </c>
      <c r="M1670" s="16">
        <f>IF(NOT(Paths!$C$158=1),0,IF(Paths!$P$158="Complete",IF(AND(Paths!$D$158="EV",Paths!$E$158&lt;120,Paths!$E$158+'Operating costs'!$B$65&gt;Paths!$E$158,Paths!$E$158+'Operating costs'!$B$65&lt;=120,IF(Paths!$E$158+'Operating costs'!$B$65=0,C1670=0,AND(C1670&gt;0,Paths!$E$158+'Operating costs'!$B$65&gt;(C1670-1)*12,Paths!$E$158+'Operating costs'!$B$65&lt;=C1670*12))),'Operating costs'!$B$64,0)+IF(AND('Operating costs'!$B$67&gt;0,'Operating costs'!$B$67&lt;=120,OR(Paths!$D$158="ICE",'Operating costs'!$B$67&lt;=Paths!$E$158),IF('Operating costs'!$B$67=0,C1670=0,AND(C1670&gt;0,'Operating costs'!$B$67&gt;(C1670-1)*12,'Operating costs'!$B$67&lt;=C1670*12))),'Operating costs'!$B$66,0),"n.a."))</f>
        <v>0</v>
      </c>
      <c r="N1670" s="16">
        <f>IF(NOT(Paths!$C$158=1),0,IF(Paths!$P$158="Complete",SUM(G1670:I1670)-J1670-K1670-L1670+M1670+IF(C1670=0,Paths!$F$158,0)+IF(IF(Paths!$E$158=0,C1670=0,AND(C1670&gt;0,Paths!$E$158&gt;(C1670-1)*12,Paths!$E$158&lt;=C1670*12)),VLOOKUP(A1670,'Fleet register'!$A$7:$S$106,16,FALSE),0),"n.a."))</f>
        <v>0</v>
      </c>
      <c r="O1670" s="16">
        <f>IF(NOT(Paths!$C$158=1),0,IF(Paths!$P$158="Complete",N1670-IF(C1670=0,Paths!$F$158,0),"n.a."))</f>
        <v>0</v>
      </c>
      <c r="P1670" s="16">
        <f>IF(NOT(Paths!$C$158=1),0,IF(Paths!$P$158="Complete",O1670+L1670,"n.a."))</f>
        <v>0</v>
      </c>
      <c r="Q1670" s="16">
        <f>IF(NOT(Paths!$C$158=1),0,IF(Paths!$P$158="Complete",N1670*(1+'Operating costs'!$B$54)^-C1670,"n.a."))</f>
        <v>0</v>
      </c>
      <c r="R1670" s="16">
        <f>IF(NOT(Paths!$C$158=1),0,IF(Paths!$P$158="Complete",IF(AND(C1670=0,Paths!$E$158=0),I1670-J1670-K1670+VLOOKUP(A1670,'Fleet register'!$A$7:$S$106,15,FALSE)+VLOOKUP(A1670,'Fleet register'!$A$7:$S$106,16,FALSE),0),"n.a."))</f>
        <v>0</v>
      </c>
      <c r="S1670" s="1">
        <f>IF(NOT(Paths!$C$158=1),0,IF(Paths!$P$158="Complete",IF(C1670=0,0,Paths!$S$158*Paths!$R$158),"n.a."))</f>
        <v>0</v>
      </c>
      <c r="T1670" s="1">
        <f>IF(NOT(Paths!$C$158=1),0,IF(Paths!$P$158="Complete",IF(C1670=0,0,VLOOKUP(A1670,'Fleet register'!$A$7:$S$106,9,FALSE)*Paths!$R$158),"n.a."))</f>
        <v>0</v>
      </c>
    </row>
    <row r="1671" spans="1:20" ht="24" customHeight="1">
      <c r="A1671" s="1" t="str">
        <f>Paths!$A$158</f>
        <v>T038</v>
      </c>
      <c r="B1671" s="1">
        <f>Paths!$B$158</f>
        <v>3</v>
      </c>
      <c r="C1671" s="1">
        <v>3</v>
      </c>
      <c r="D1671" s="1">
        <v>158</v>
      </c>
      <c r="E1671" s="1">
        <f>IF(OR(Paths!$C$158=0,C1671=0),0,MAX(0,MIN(C1671*12,Paths!$E$158)-(C1671-1)*12))</f>
        <v>0</v>
      </c>
      <c r="F1671" s="1">
        <f>IF(OR(Paths!$C$158=0,C1671=0),0,12-E1671)</f>
        <v>0</v>
      </c>
      <c r="G1671" s="16">
        <f>IF(NOT(Paths!$C$158=1),0,IF(Paths!$P$158="Complete",E1671/12*(Paths!$J$158*(1+'Operating costs'!$B$51)^MAX(0,C1671-1)+Paths!$K$158*(1+'Operating costs'!$B$53)^MAX(0,C1671-1)),"n.a."))</f>
        <v>0</v>
      </c>
      <c r="H1671" s="16">
        <f>IF(NOT(Paths!$C$158=1),0,IF(Paths!$P$158="Complete",F1671/12*(Paths!$L$158*(1+IF(Paths!$D$158="EV",'Operating costs'!$B$52,'Operating costs'!$B$51))^MAX(0,C1671-1)+Paths!$M$158*(1+'Operating costs'!$B$53)^MAX(0,C1671-1)),"n.a."))</f>
        <v>0</v>
      </c>
      <c r="I1671" s="16">
        <f>IF(NOT(Paths!$C$158=1),0,IF(Paths!$P$158="Complete",IF(IF(Paths!$E$158=0,C1671=0,AND(C1671&gt;0,Paths!$E$158&gt;(C1671-1)*12,Paths!$E$158&lt;=C1671*12)),Paths!$G$158,0),"n.a."))</f>
        <v>0</v>
      </c>
      <c r="J1671" s="16">
        <f>IF(NOT(Paths!$C$158=1),0,IF(Paths!$P$158="Complete",IF(IF(Paths!$E$158=0,C1671=0,AND(C1671&gt;0,Paths!$E$158&gt;(C1671-1)*12,Paths!$E$158&lt;=C1671*12)),Paths!$H$158,0),"n.a."))</f>
        <v>0</v>
      </c>
      <c r="K1671" s="16">
        <f>IF(NOT(Paths!$C$158=1),0,IF(Paths!$P$158="Complete",IF(IF(Paths!$O$158=0,C1671=0,AND(C1671&gt;0,Paths!$O$158&gt;(C1671-1)*12,Paths!$O$158&lt;=C1671*12)),Paths!$N$158,0),"n.a."))</f>
        <v>0</v>
      </c>
      <c r="L1671" s="16">
        <f>IF(NOT(Paths!$C$158=1),0,IF(Paths!$P$158="Complete",IF(C1671=10,Paths!$I$158,0),"n.a."))</f>
        <v>0</v>
      </c>
      <c r="M1671" s="16">
        <f>IF(NOT(Paths!$C$158=1),0,IF(Paths!$P$158="Complete",IF(AND(Paths!$D$158="EV",Paths!$E$158&lt;120,Paths!$E$158+'Operating costs'!$B$65&gt;Paths!$E$158,Paths!$E$158+'Operating costs'!$B$65&lt;=120,IF(Paths!$E$158+'Operating costs'!$B$65=0,C1671=0,AND(C1671&gt;0,Paths!$E$158+'Operating costs'!$B$65&gt;(C1671-1)*12,Paths!$E$158+'Operating costs'!$B$65&lt;=C1671*12))),'Operating costs'!$B$64,0)+IF(AND('Operating costs'!$B$67&gt;0,'Operating costs'!$B$67&lt;=120,OR(Paths!$D$158="ICE",'Operating costs'!$B$67&lt;=Paths!$E$158),IF('Operating costs'!$B$67=0,C1671=0,AND(C1671&gt;0,'Operating costs'!$B$67&gt;(C1671-1)*12,'Operating costs'!$B$67&lt;=C1671*12))),'Operating costs'!$B$66,0),"n.a."))</f>
        <v>0</v>
      </c>
      <c r="N1671" s="16">
        <f>IF(NOT(Paths!$C$158=1),0,IF(Paths!$P$158="Complete",SUM(G1671:I1671)-J1671-K1671-L1671+M1671+IF(C1671=0,Paths!$F$158,0)+IF(IF(Paths!$E$158=0,C1671=0,AND(C1671&gt;0,Paths!$E$158&gt;(C1671-1)*12,Paths!$E$158&lt;=C1671*12)),VLOOKUP(A1671,'Fleet register'!$A$7:$S$106,16,FALSE),0),"n.a."))</f>
        <v>0</v>
      </c>
      <c r="O1671" s="16">
        <f>IF(NOT(Paths!$C$158=1),0,IF(Paths!$P$158="Complete",N1671-IF(C1671=0,Paths!$F$158,0),"n.a."))</f>
        <v>0</v>
      </c>
      <c r="P1671" s="16">
        <f>IF(NOT(Paths!$C$158=1),0,IF(Paths!$P$158="Complete",O1671+L1671,"n.a."))</f>
        <v>0</v>
      </c>
      <c r="Q1671" s="16">
        <f>IF(NOT(Paths!$C$158=1),0,IF(Paths!$P$158="Complete",N1671*(1+'Operating costs'!$B$54)^-C1671,"n.a."))</f>
        <v>0</v>
      </c>
      <c r="R1671" s="16">
        <f>IF(NOT(Paths!$C$158=1),0,IF(Paths!$P$158="Complete",IF(AND(C1671=0,Paths!$E$158=0),I1671-J1671-K1671+VLOOKUP(A1671,'Fleet register'!$A$7:$S$106,15,FALSE)+VLOOKUP(A1671,'Fleet register'!$A$7:$S$106,16,FALSE),0),"n.a."))</f>
        <v>0</v>
      </c>
      <c r="S1671" s="1">
        <f>IF(NOT(Paths!$C$158=1),0,IF(Paths!$P$158="Complete",IF(C1671=0,0,Paths!$S$158*Paths!$R$158),"n.a."))</f>
        <v>0</v>
      </c>
      <c r="T1671" s="1">
        <f>IF(NOT(Paths!$C$158=1),0,IF(Paths!$P$158="Complete",IF(C1671=0,0,VLOOKUP(A1671,'Fleet register'!$A$7:$S$106,9,FALSE)*Paths!$R$158),"n.a."))</f>
        <v>0</v>
      </c>
    </row>
    <row r="1672" spans="1:20" ht="24" customHeight="1">
      <c r="A1672" s="1" t="str">
        <f>Paths!$A$158</f>
        <v>T038</v>
      </c>
      <c r="B1672" s="1">
        <f>Paths!$B$158</f>
        <v>3</v>
      </c>
      <c r="C1672" s="1">
        <v>4</v>
      </c>
      <c r="D1672" s="1">
        <v>158</v>
      </c>
      <c r="E1672" s="1">
        <f>IF(OR(Paths!$C$158=0,C1672=0),0,MAX(0,MIN(C1672*12,Paths!$E$158)-(C1672-1)*12))</f>
        <v>0</v>
      </c>
      <c r="F1672" s="1">
        <f>IF(OR(Paths!$C$158=0,C1672=0),0,12-E1672)</f>
        <v>0</v>
      </c>
      <c r="G1672" s="16">
        <f>IF(NOT(Paths!$C$158=1),0,IF(Paths!$P$158="Complete",E1672/12*(Paths!$J$158*(1+'Operating costs'!$B$51)^MAX(0,C1672-1)+Paths!$K$158*(1+'Operating costs'!$B$53)^MAX(0,C1672-1)),"n.a."))</f>
        <v>0</v>
      </c>
      <c r="H1672" s="16">
        <f>IF(NOT(Paths!$C$158=1),0,IF(Paths!$P$158="Complete",F1672/12*(Paths!$L$158*(1+IF(Paths!$D$158="EV",'Operating costs'!$B$52,'Operating costs'!$B$51))^MAX(0,C1672-1)+Paths!$M$158*(1+'Operating costs'!$B$53)^MAX(0,C1672-1)),"n.a."))</f>
        <v>0</v>
      </c>
      <c r="I1672" s="16">
        <f>IF(NOT(Paths!$C$158=1),0,IF(Paths!$P$158="Complete",IF(IF(Paths!$E$158=0,C1672=0,AND(C1672&gt;0,Paths!$E$158&gt;(C1672-1)*12,Paths!$E$158&lt;=C1672*12)),Paths!$G$158,0),"n.a."))</f>
        <v>0</v>
      </c>
      <c r="J1672" s="16">
        <f>IF(NOT(Paths!$C$158=1),0,IF(Paths!$P$158="Complete",IF(IF(Paths!$E$158=0,C1672=0,AND(C1672&gt;0,Paths!$E$158&gt;(C1672-1)*12,Paths!$E$158&lt;=C1672*12)),Paths!$H$158,0),"n.a."))</f>
        <v>0</v>
      </c>
      <c r="K1672" s="16">
        <f>IF(NOT(Paths!$C$158=1),0,IF(Paths!$P$158="Complete",IF(IF(Paths!$O$158=0,C1672=0,AND(C1672&gt;0,Paths!$O$158&gt;(C1672-1)*12,Paths!$O$158&lt;=C1672*12)),Paths!$N$158,0),"n.a."))</f>
        <v>0</v>
      </c>
      <c r="L1672" s="16">
        <f>IF(NOT(Paths!$C$158=1),0,IF(Paths!$P$158="Complete",IF(C1672=10,Paths!$I$158,0),"n.a."))</f>
        <v>0</v>
      </c>
      <c r="M1672" s="16">
        <f>IF(NOT(Paths!$C$158=1),0,IF(Paths!$P$158="Complete",IF(AND(Paths!$D$158="EV",Paths!$E$158&lt;120,Paths!$E$158+'Operating costs'!$B$65&gt;Paths!$E$158,Paths!$E$158+'Operating costs'!$B$65&lt;=120,IF(Paths!$E$158+'Operating costs'!$B$65=0,C1672=0,AND(C1672&gt;0,Paths!$E$158+'Operating costs'!$B$65&gt;(C1672-1)*12,Paths!$E$158+'Operating costs'!$B$65&lt;=C1672*12))),'Operating costs'!$B$64,0)+IF(AND('Operating costs'!$B$67&gt;0,'Operating costs'!$B$67&lt;=120,OR(Paths!$D$158="ICE",'Operating costs'!$B$67&lt;=Paths!$E$158),IF('Operating costs'!$B$67=0,C1672=0,AND(C1672&gt;0,'Operating costs'!$B$67&gt;(C1672-1)*12,'Operating costs'!$B$67&lt;=C1672*12))),'Operating costs'!$B$66,0),"n.a."))</f>
        <v>0</v>
      </c>
      <c r="N1672" s="16">
        <f>IF(NOT(Paths!$C$158=1),0,IF(Paths!$P$158="Complete",SUM(G1672:I1672)-J1672-K1672-L1672+M1672+IF(C1672=0,Paths!$F$158,0)+IF(IF(Paths!$E$158=0,C1672=0,AND(C1672&gt;0,Paths!$E$158&gt;(C1672-1)*12,Paths!$E$158&lt;=C1672*12)),VLOOKUP(A1672,'Fleet register'!$A$7:$S$106,16,FALSE),0),"n.a."))</f>
        <v>0</v>
      </c>
      <c r="O1672" s="16">
        <f>IF(NOT(Paths!$C$158=1),0,IF(Paths!$P$158="Complete",N1672-IF(C1672=0,Paths!$F$158,0),"n.a."))</f>
        <v>0</v>
      </c>
      <c r="P1672" s="16">
        <f>IF(NOT(Paths!$C$158=1),0,IF(Paths!$P$158="Complete",O1672+L1672,"n.a."))</f>
        <v>0</v>
      </c>
      <c r="Q1672" s="16">
        <f>IF(NOT(Paths!$C$158=1),0,IF(Paths!$P$158="Complete",N1672*(1+'Operating costs'!$B$54)^-C1672,"n.a."))</f>
        <v>0</v>
      </c>
      <c r="R1672" s="16">
        <f>IF(NOT(Paths!$C$158=1),0,IF(Paths!$P$158="Complete",IF(AND(C1672=0,Paths!$E$158=0),I1672-J1672-K1672+VLOOKUP(A1672,'Fleet register'!$A$7:$S$106,15,FALSE)+VLOOKUP(A1672,'Fleet register'!$A$7:$S$106,16,FALSE),0),"n.a."))</f>
        <v>0</v>
      </c>
      <c r="S1672" s="1">
        <f>IF(NOT(Paths!$C$158=1),0,IF(Paths!$P$158="Complete",IF(C1672=0,0,Paths!$S$158*Paths!$R$158),"n.a."))</f>
        <v>0</v>
      </c>
      <c r="T1672" s="1">
        <f>IF(NOT(Paths!$C$158=1),0,IF(Paths!$P$158="Complete",IF(C1672=0,0,VLOOKUP(A1672,'Fleet register'!$A$7:$S$106,9,FALSE)*Paths!$R$158),"n.a."))</f>
        <v>0</v>
      </c>
    </row>
    <row r="1673" spans="1:20" ht="24" customHeight="1">
      <c r="A1673" s="1" t="str">
        <f>Paths!$A$158</f>
        <v>T038</v>
      </c>
      <c r="B1673" s="1">
        <f>Paths!$B$158</f>
        <v>3</v>
      </c>
      <c r="C1673" s="1">
        <v>5</v>
      </c>
      <c r="D1673" s="1">
        <v>158</v>
      </c>
      <c r="E1673" s="1">
        <f>IF(OR(Paths!$C$158=0,C1673=0),0,MAX(0,MIN(C1673*12,Paths!$E$158)-(C1673-1)*12))</f>
        <v>0</v>
      </c>
      <c r="F1673" s="1">
        <f>IF(OR(Paths!$C$158=0,C1673=0),0,12-E1673)</f>
        <v>0</v>
      </c>
      <c r="G1673" s="16">
        <f>IF(NOT(Paths!$C$158=1),0,IF(Paths!$P$158="Complete",E1673/12*(Paths!$J$158*(1+'Operating costs'!$B$51)^MAX(0,C1673-1)+Paths!$K$158*(1+'Operating costs'!$B$53)^MAX(0,C1673-1)),"n.a."))</f>
        <v>0</v>
      </c>
      <c r="H1673" s="16">
        <f>IF(NOT(Paths!$C$158=1),0,IF(Paths!$P$158="Complete",F1673/12*(Paths!$L$158*(1+IF(Paths!$D$158="EV",'Operating costs'!$B$52,'Operating costs'!$B$51))^MAX(0,C1673-1)+Paths!$M$158*(1+'Operating costs'!$B$53)^MAX(0,C1673-1)),"n.a."))</f>
        <v>0</v>
      </c>
      <c r="I1673" s="16">
        <f>IF(NOT(Paths!$C$158=1),0,IF(Paths!$P$158="Complete",IF(IF(Paths!$E$158=0,C1673=0,AND(C1673&gt;0,Paths!$E$158&gt;(C1673-1)*12,Paths!$E$158&lt;=C1673*12)),Paths!$G$158,0),"n.a."))</f>
        <v>0</v>
      </c>
      <c r="J1673" s="16">
        <f>IF(NOT(Paths!$C$158=1),0,IF(Paths!$P$158="Complete",IF(IF(Paths!$E$158=0,C1673=0,AND(C1673&gt;0,Paths!$E$158&gt;(C1673-1)*12,Paths!$E$158&lt;=C1673*12)),Paths!$H$158,0),"n.a."))</f>
        <v>0</v>
      </c>
      <c r="K1673" s="16">
        <f>IF(NOT(Paths!$C$158=1),0,IF(Paths!$P$158="Complete",IF(IF(Paths!$O$158=0,C1673=0,AND(C1673&gt;0,Paths!$O$158&gt;(C1673-1)*12,Paths!$O$158&lt;=C1673*12)),Paths!$N$158,0),"n.a."))</f>
        <v>0</v>
      </c>
      <c r="L1673" s="16">
        <f>IF(NOT(Paths!$C$158=1),0,IF(Paths!$P$158="Complete",IF(C1673=10,Paths!$I$158,0),"n.a."))</f>
        <v>0</v>
      </c>
      <c r="M1673" s="16">
        <f>IF(NOT(Paths!$C$158=1),0,IF(Paths!$P$158="Complete",IF(AND(Paths!$D$158="EV",Paths!$E$158&lt;120,Paths!$E$158+'Operating costs'!$B$65&gt;Paths!$E$158,Paths!$E$158+'Operating costs'!$B$65&lt;=120,IF(Paths!$E$158+'Operating costs'!$B$65=0,C1673=0,AND(C1673&gt;0,Paths!$E$158+'Operating costs'!$B$65&gt;(C1673-1)*12,Paths!$E$158+'Operating costs'!$B$65&lt;=C1673*12))),'Operating costs'!$B$64,0)+IF(AND('Operating costs'!$B$67&gt;0,'Operating costs'!$B$67&lt;=120,OR(Paths!$D$158="ICE",'Operating costs'!$B$67&lt;=Paths!$E$158),IF('Operating costs'!$B$67=0,C1673=0,AND(C1673&gt;0,'Operating costs'!$B$67&gt;(C1673-1)*12,'Operating costs'!$B$67&lt;=C1673*12))),'Operating costs'!$B$66,0),"n.a."))</f>
        <v>0</v>
      </c>
      <c r="N1673" s="16">
        <f>IF(NOT(Paths!$C$158=1),0,IF(Paths!$P$158="Complete",SUM(G1673:I1673)-J1673-K1673-L1673+M1673+IF(C1673=0,Paths!$F$158,0)+IF(IF(Paths!$E$158=0,C1673=0,AND(C1673&gt;0,Paths!$E$158&gt;(C1673-1)*12,Paths!$E$158&lt;=C1673*12)),VLOOKUP(A1673,'Fleet register'!$A$7:$S$106,16,FALSE),0),"n.a."))</f>
        <v>0</v>
      </c>
      <c r="O1673" s="16">
        <f>IF(NOT(Paths!$C$158=1),0,IF(Paths!$P$158="Complete",N1673-IF(C1673=0,Paths!$F$158,0),"n.a."))</f>
        <v>0</v>
      </c>
      <c r="P1673" s="16">
        <f>IF(NOT(Paths!$C$158=1),0,IF(Paths!$P$158="Complete",O1673+L1673,"n.a."))</f>
        <v>0</v>
      </c>
      <c r="Q1673" s="16">
        <f>IF(NOT(Paths!$C$158=1),0,IF(Paths!$P$158="Complete",N1673*(1+'Operating costs'!$B$54)^-C1673,"n.a."))</f>
        <v>0</v>
      </c>
      <c r="R1673" s="16">
        <f>IF(NOT(Paths!$C$158=1),0,IF(Paths!$P$158="Complete",IF(AND(C1673=0,Paths!$E$158=0),I1673-J1673-K1673+VLOOKUP(A1673,'Fleet register'!$A$7:$S$106,15,FALSE)+VLOOKUP(A1673,'Fleet register'!$A$7:$S$106,16,FALSE),0),"n.a."))</f>
        <v>0</v>
      </c>
      <c r="S1673" s="1">
        <f>IF(NOT(Paths!$C$158=1),0,IF(Paths!$P$158="Complete",IF(C1673=0,0,Paths!$S$158*Paths!$R$158),"n.a."))</f>
        <v>0</v>
      </c>
      <c r="T1673" s="1">
        <f>IF(NOT(Paths!$C$158=1),0,IF(Paths!$P$158="Complete",IF(C1673=0,0,VLOOKUP(A1673,'Fleet register'!$A$7:$S$106,9,FALSE)*Paths!$R$158),"n.a."))</f>
        <v>0</v>
      </c>
    </row>
    <row r="1674" spans="1:20" ht="24" customHeight="1">
      <c r="A1674" s="1" t="str">
        <f>Paths!$A$158</f>
        <v>T038</v>
      </c>
      <c r="B1674" s="1">
        <f>Paths!$B$158</f>
        <v>3</v>
      </c>
      <c r="C1674" s="1">
        <v>6</v>
      </c>
      <c r="D1674" s="1">
        <v>158</v>
      </c>
      <c r="E1674" s="1">
        <f>IF(OR(Paths!$C$158=0,C1674=0),0,MAX(0,MIN(C1674*12,Paths!$E$158)-(C1674-1)*12))</f>
        <v>0</v>
      </c>
      <c r="F1674" s="1">
        <f>IF(OR(Paths!$C$158=0,C1674=0),0,12-E1674)</f>
        <v>0</v>
      </c>
      <c r="G1674" s="16">
        <f>IF(NOT(Paths!$C$158=1),0,IF(Paths!$P$158="Complete",E1674/12*(Paths!$J$158*(1+'Operating costs'!$B$51)^MAX(0,C1674-1)+Paths!$K$158*(1+'Operating costs'!$B$53)^MAX(0,C1674-1)),"n.a."))</f>
        <v>0</v>
      </c>
      <c r="H1674" s="16">
        <f>IF(NOT(Paths!$C$158=1),0,IF(Paths!$P$158="Complete",F1674/12*(Paths!$L$158*(1+IF(Paths!$D$158="EV",'Operating costs'!$B$52,'Operating costs'!$B$51))^MAX(0,C1674-1)+Paths!$M$158*(1+'Operating costs'!$B$53)^MAX(0,C1674-1)),"n.a."))</f>
        <v>0</v>
      </c>
      <c r="I1674" s="16">
        <f>IF(NOT(Paths!$C$158=1),0,IF(Paths!$P$158="Complete",IF(IF(Paths!$E$158=0,C1674=0,AND(C1674&gt;0,Paths!$E$158&gt;(C1674-1)*12,Paths!$E$158&lt;=C1674*12)),Paths!$G$158,0),"n.a."))</f>
        <v>0</v>
      </c>
      <c r="J1674" s="16">
        <f>IF(NOT(Paths!$C$158=1),0,IF(Paths!$P$158="Complete",IF(IF(Paths!$E$158=0,C1674=0,AND(C1674&gt;0,Paths!$E$158&gt;(C1674-1)*12,Paths!$E$158&lt;=C1674*12)),Paths!$H$158,0),"n.a."))</f>
        <v>0</v>
      </c>
      <c r="K1674" s="16">
        <f>IF(NOT(Paths!$C$158=1),0,IF(Paths!$P$158="Complete",IF(IF(Paths!$O$158=0,C1674=0,AND(C1674&gt;0,Paths!$O$158&gt;(C1674-1)*12,Paths!$O$158&lt;=C1674*12)),Paths!$N$158,0),"n.a."))</f>
        <v>0</v>
      </c>
      <c r="L1674" s="16">
        <f>IF(NOT(Paths!$C$158=1),0,IF(Paths!$P$158="Complete",IF(C1674=10,Paths!$I$158,0),"n.a."))</f>
        <v>0</v>
      </c>
      <c r="M1674" s="16">
        <f>IF(NOT(Paths!$C$158=1),0,IF(Paths!$P$158="Complete",IF(AND(Paths!$D$158="EV",Paths!$E$158&lt;120,Paths!$E$158+'Operating costs'!$B$65&gt;Paths!$E$158,Paths!$E$158+'Operating costs'!$B$65&lt;=120,IF(Paths!$E$158+'Operating costs'!$B$65=0,C1674=0,AND(C1674&gt;0,Paths!$E$158+'Operating costs'!$B$65&gt;(C1674-1)*12,Paths!$E$158+'Operating costs'!$B$65&lt;=C1674*12))),'Operating costs'!$B$64,0)+IF(AND('Operating costs'!$B$67&gt;0,'Operating costs'!$B$67&lt;=120,OR(Paths!$D$158="ICE",'Operating costs'!$B$67&lt;=Paths!$E$158),IF('Operating costs'!$B$67=0,C1674=0,AND(C1674&gt;0,'Operating costs'!$B$67&gt;(C1674-1)*12,'Operating costs'!$B$67&lt;=C1674*12))),'Operating costs'!$B$66,0),"n.a."))</f>
        <v>0</v>
      </c>
      <c r="N1674" s="16">
        <f>IF(NOT(Paths!$C$158=1),0,IF(Paths!$P$158="Complete",SUM(G1674:I1674)-J1674-K1674-L1674+M1674+IF(C1674=0,Paths!$F$158,0)+IF(IF(Paths!$E$158=0,C1674=0,AND(C1674&gt;0,Paths!$E$158&gt;(C1674-1)*12,Paths!$E$158&lt;=C1674*12)),VLOOKUP(A1674,'Fleet register'!$A$7:$S$106,16,FALSE),0),"n.a."))</f>
        <v>0</v>
      </c>
      <c r="O1674" s="16">
        <f>IF(NOT(Paths!$C$158=1),0,IF(Paths!$P$158="Complete",N1674-IF(C1674=0,Paths!$F$158,0),"n.a."))</f>
        <v>0</v>
      </c>
      <c r="P1674" s="16">
        <f>IF(NOT(Paths!$C$158=1),0,IF(Paths!$P$158="Complete",O1674+L1674,"n.a."))</f>
        <v>0</v>
      </c>
      <c r="Q1674" s="16">
        <f>IF(NOT(Paths!$C$158=1),0,IF(Paths!$P$158="Complete",N1674*(1+'Operating costs'!$B$54)^-C1674,"n.a."))</f>
        <v>0</v>
      </c>
      <c r="R1674" s="16">
        <f>IF(NOT(Paths!$C$158=1),0,IF(Paths!$P$158="Complete",IF(AND(C1674=0,Paths!$E$158=0),I1674-J1674-K1674+VLOOKUP(A1674,'Fleet register'!$A$7:$S$106,15,FALSE)+VLOOKUP(A1674,'Fleet register'!$A$7:$S$106,16,FALSE),0),"n.a."))</f>
        <v>0</v>
      </c>
      <c r="S1674" s="1">
        <f>IF(NOT(Paths!$C$158=1),0,IF(Paths!$P$158="Complete",IF(C1674=0,0,Paths!$S$158*Paths!$R$158),"n.a."))</f>
        <v>0</v>
      </c>
      <c r="T1674" s="1">
        <f>IF(NOT(Paths!$C$158=1),0,IF(Paths!$P$158="Complete",IF(C1674=0,0,VLOOKUP(A1674,'Fleet register'!$A$7:$S$106,9,FALSE)*Paths!$R$158),"n.a."))</f>
        <v>0</v>
      </c>
    </row>
    <row r="1675" spans="1:20" ht="24" customHeight="1">
      <c r="A1675" s="1" t="str">
        <f>Paths!$A$158</f>
        <v>T038</v>
      </c>
      <c r="B1675" s="1">
        <f>Paths!$B$158</f>
        <v>3</v>
      </c>
      <c r="C1675" s="1">
        <v>7</v>
      </c>
      <c r="D1675" s="1">
        <v>158</v>
      </c>
      <c r="E1675" s="1">
        <f>IF(OR(Paths!$C$158=0,C1675=0),0,MAX(0,MIN(C1675*12,Paths!$E$158)-(C1675-1)*12))</f>
        <v>0</v>
      </c>
      <c r="F1675" s="1">
        <f>IF(OR(Paths!$C$158=0,C1675=0),0,12-E1675)</f>
        <v>0</v>
      </c>
      <c r="G1675" s="16">
        <f>IF(NOT(Paths!$C$158=1),0,IF(Paths!$P$158="Complete",E1675/12*(Paths!$J$158*(1+'Operating costs'!$B$51)^MAX(0,C1675-1)+Paths!$K$158*(1+'Operating costs'!$B$53)^MAX(0,C1675-1)),"n.a."))</f>
        <v>0</v>
      </c>
      <c r="H1675" s="16">
        <f>IF(NOT(Paths!$C$158=1),0,IF(Paths!$P$158="Complete",F1675/12*(Paths!$L$158*(1+IF(Paths!$D$158="EV",'Operating costs'!$B$52,'Operating costs'!$B$51))^MAX(0,C1675-1)+Paths!$M$158*(1+'Operating costs'!$B$53)^MAX(0,C1675-1)),"n.a."))</f>
        <v>0</v>
      </c>
      <c r="I1675" s="16">
        <f>IF(NOT(Paths!$C$158=1),0,IF(Paths!$P$158="Complete",IF(IF(Paths!$E$158=0,C1675=0,AND(C1675&gt;0,Paths!$E$158&gt;(C1675-1)*12,Paths!$E$158&lt;=C1675*12)),Paths!$G$158,0),"n.a."))</f>
        <v>0</v>
      </c>
      <c r="J1675" s="16">
        <f>IF(NOT(Paths!$C$158=1),0,IF(Paths!$P$158="Complete",IF(IF(Paths!$E$158=0,C1675=0,AND(C1675&gt;0,Paths!$E$158&gt;(C1675-1)*12,Paths!$E$158&lt;=C1675*12)),Paths!$H$158,0),"n.a."))</f>
        <v>0</v>
      </c>
      <c r="K1675" s="16">
        <f>IF(NOT(Paths!$C$158=1),0,IF(Paths!$P$158="Complete",IF(IF(Paths!$O$158=0,C1675=0,AND(C1675&gt;0,Paths!$O$158&gt;(C1675-1)*12,Paths!$O$158&lt;=C1675*12)),Paths!$N$158,0),"n.a."))</f>
        <v>0</v>
      </c>
      <c r="L1675" s="16">
        <f>IF(NOT(Paths!$C$158=1),0,IF(Paths!$P$158="Complete",IF(C1675=10,Paths!$I$158,0),"n.a."))</f>
        <v>0</v>
      </c>
      <c r="M1675" s="16">
        <f>IF(NOT(Paths!$C$158=1),0,IF(Paths!$P$158="Complete",IF(AND(Paths!$D$158="EV",Paths!$E$158&lt;120,Paths!$E$158+'Operating costs'!$B$65&gt;Paths!$E$158,Paths!$E$158+'Operating costs'!$B$65&lt;=120,IF(Paths!$E$158+'Operating costs'!$B$65=0,C1675=0,AND(C1675&gt;0,Paths!$E$158+'Operating costs'!$B$65&gt;(C1675-1)*12,Paths!$E$158+'Operating costs'!$B$65&lt;=C1675*12))),'Operating costs'!$B$64,0)+IF(AND('Operating costs'!$B$67&gt;0,'Operating costs'!$B$67&lt;=120,OR(Paths!$D$158="ICE",'Operating costs'!$B$67&lt;=Paths!$E$158),IF('Operating costs'!$B$67=0,C1675=0,AND(C1675&gt;0,'Operating costs'!$B$67&gt;(C1675-1)*12,'Operating costs'!$B$67&lt;=C1675*12))),'Operating costs'!$B$66,0),"n.a."))</f>
        <v>0</v>
      </c>
      <c r="N1675" s="16">
        <f>IF(NOT(Paths!$C$158=1),0,IF(Paths!$P$158="Complete",SUM(G1675:I1675)-J1675-K1675-L1675+M1675+IF(C1675=0,Paths!$F$158,0)+IF(IF(Paths!$E$158=0,C1675=0,AND(C1675&gt;0,Paths!$E$158&gt;(C1675-1)*12,Paths!$E$158&lt;=C1675*12)),VLOOKUP(A1675,'Fleet register'!$A$7:$S$106,16,FALSE),0),"n.a."))</f>
        <v>0</v>
      </c>
      <c r="O1675" s="16">
        <f>IF(NOT(Paths!$C$158=1),0,IF(Paths!$P$158="Complete",N1675-IF(C1675=0,Paths!$F$158,0),"n.a."))</f>
        <v>0</v>
      </c>
      <c r="P1675" s="16">
        <f>IF(NOT(Paths!$C$158=1),0,IF(Paths!$P$158="Complete",O1675+L1675,"n.a."))</f>
        <v>0</v>
      </c>
      <c r="Q1675" s="16">
        <f>IF(NOT(Paths!$C$158=1),0,IF(Paths!$P$158="Complete",N1675*(1+'Operating costs'!$B$54)^-C1675,"n.a."))</f>
        <v>0</v>
      </c>
      <c r="R1675" s="16">
        <f>IF(NOT(Paths!$C$158=1),0,IF(Paths!$P$158="Complete",IF(AND(C1675=0,Paths!$E$158=0),I1675-J1675-K1675+VLOOKUP(A1675,'Fleet register'!$A$7:$S$106,15,FALSE)+VLOOKUP(A1675,'Fleet register'!$A$7:$S$106,16,FALSE),0),"n.a."))</f>
        <v>0</v>
      </c>
      <c r="S1675" s="1">
        <f>IF(NOT(Paths!$C$158=1),0,IF(Paths!$P$158="Complete",IF(C1675=0,0,Paths!$S$158*Paths!$R$158),"n.a."))</f>
        <v>0</v>
      </c>
      <c r="T1675" s="1">
        <f>IF(NOT(Paths!$C$158=1),0,IF(Paths!$P$158="Complete",IF(C1675=0,0,VLOOKUP(A1675,'Fleet register'!$A$7:$S$106,9,FALSE)*Paths!$R$158),"n.a."))</f>
        <v>0</v>
      </c>
    </row>
    <row r="1676" spans="1:20" ht="24" customHeight="1">
      <c r="A1676" s="1" t="str">
        <f>Paths!$A$158</f>
        <v>T038</v>
      </c>
      <c r="B1676" s="1">
        <f>Paths!$B$158</f>
        <v>3</v>
      </c>
      <c r="C1676" s="1">
        <v>8</v>
      </c>
      <c r="D1676" s="1">
        <v>158</v>
      </c>
      <c r="E1676" s="1">
        <f>IF(OR(Paths!$C$158=0,C1676=0),0,MAX(0,MIN(C1676*12,Paths!$E$158)-(C1676-1)*12))</f>
        <v>0</v>
      </c>
      <c r="F1676" s="1">
        <f>IF(OR(Paths!$C$158=0,C1676=0),0,12-E1676)</f>
        <v>0</v>
      </c>
      <c r="G1676" s="16">
        <f>IF(NOT(Paths!$C$158=1),0,IF(Paths!$P$158="Complete",E1676/12*(Paths!$J$158*(1+'Operating costs'!$B$51)^MAX(0,C1676-1)+Paths!$K$158*(1+'Operating costs'!$B$53)^MAX(0,C1676-1)),"n.a."))</f>
        <v>0</v>
      </c>
      <c r="H1676" s="16">
        <f>IF(NOT(Paths!$C$158=1),0,IF(Paths!$P$158="Complete",F1676/12*(Paths!$L$158*(1+IF(Paths!$D$158="EV",'Operating costs'!$B$52,'Operating costs'!$B$51))^MAX(0,C1676-1)+Paths!$M$158*(1+'Operating costs'!$B$53)^MAX(0,C1676-1)),"n.a."))</f>
        <v>0</v>
      </c>
      <c r="I1676" s="16">
        <f>IF(NOT(Paths!$C$158=1),0,IF(Paths!$P$158="Complete",IF(IF(Paths!$E$158=0,C1676=0,AND(C1676&gt;0,Paths!$E$158&gt;(C1676-1)*12,Paths!$E$158&lt;=C1676*12)),Paths!$G$158,0),"n.a."))</f>
        <v>0</v>
      </c>
      <c r="J1676" s="16">
        <f>IF(NOT(Paths!$C$158=1),0,IF(Paths!$P$158="Complete",IF(IF(Paths!$E$158=0,C1676=0,AND(C1676&gt;0,Paths!$E$158&gt;(C1676-1)*12,Paths!$E$158&lt;=C1676*12)),Paths!$H$158,0),"n.a."))</f>
        <v>0</v>
      </c>
      <c r="K1676" s="16">
        <f>IF(NOT(Paths!$C$158=1),0,IF(Paths!$P$158="Complete",IF(IF(Paths!$O$158=0,C1676=0,AND(C1676&gt;0,Paths!$O$158&gt;(C1676-1)*12,Paths!$O$158&lt;=C1676*12)),Paths!$N$158,0),"n.a."))</f>
        <v>0</v>
      </c>
      <c r="L1676" s="16">
        <f>IF(NOT(Paths!$C$158=1),0,IF(Paths!$P$158="Complete",IF(C1676=10,Paths!$I$158,0),"n.a."))</f>
        <v>0</v>
      </c>
      <c r="M1676" s="16">
        <f>IF(NOT(Paths!$C$158=1),0,IF(Paths!$P$158="Complete",IF(AND(Paths!$D$158="EV",Paths!$E$158&lt;120,Paths!$E$158+'Operating costs'!$B$65&gt;Paths!$E$158,Paths!$E$158+'Operating costs'!$B$65&lt;=120,IF(Paths!$E$158+'Operating costs'!$B$65=0,C1676=0,AND(C1676&gt;0,Paths!$E$158+'Operating costs'!$B$65&gt;(C1676-1)*12,Paths!$E$158+'Operating costs'!$B$65&lt;=C1676*12))),'Operating costs'!$B$64,0)+IF(AND('Operating costs'!$B$67&gt;0,'Operating costs'!$B$67&lt;=120,OR(Paths!$D$158="ICE",'Operating costs'!$B$67&lt;=Paths!$E$158),IF('Operating costs'!$B$67=0,C1676=0,AND(C1676&gt;0,'Operating costs'!$B$67&gt;(C1676-1)*12,'Operating costs'!$B$67&lt;=C1676*12))),'Operating costs'!$B$66,0),"n.a."))</f>
        <v>0</v>
      </c>
      <c r="N1676" s="16">
        <f>IF(NOT(Paths!$C$158=1),0,IF(Paths!$P$158="Complete",SUM(G1676:I1676)-J1676-K1676-L1676+M1676+IF(C1676=0,Paths!$F$158,0)+IF(IF(Paths!$E$158=0,C1676=0,AND(C1676&gt;0,Paths!$E$158&gt;(C1676-1)*12,Paths!$E$158&lt;=C1676*12)),VLOOKUP(A1676,'Fleet register'!$A$7:$S$106,16,FALSE),0),"n.a."))</f>
        <v>0</v>
      </c>
      <c r="O1676" s="16">
        <f>IF(NOT(Paths!$C$158=1),0,IF(Paths!$P$158="Complete",N1676-IF(C1676=0,Paths!$F$158,0),"n.a."))</f>
        <v>0</v>
      </c>
      <c r="P1676" s="16">
        <f>IF(NOT(Paths!$C$158=1),0,IF(Paths!$P$158="Complete",O1676+L1676,"n.a."))</f>
        <v>0</v>
      </c>
      <c r="Q1676" s="16">
        <f>IF(NOT(Paths!$C$158=1),0,IF(Paths!$P$158="Complete",N1676*(1+'Operating costs'!$B$54)^-C1676,"n.a."))</f>
        <v>0</v>
      </c>
      <c r="R1676" s="16">
        <f>IF(NOT(Paths!$C$158=1),0,IF(Paths!$P$158="Complete",IF(AND(C1676=0,Paths!$E$158=0),I1676-J1676-K1676+VLOOKUP(A1676,'Fleet register'!$A$7:$S$106,15,FALSE)+VLOOKUP(A1676,'Fleet register'!$A$7:$S$106,16,FALSE),0),"n.a."))</f>
        <v>0</v>
      </c>
      <c r="S1676" s="1">
        <f>IF(NOT(Paths!$C$158=1),0,IF(Paths!$P$158="Complete",IF(C1676=0,0,Paths!$S$158*Paths!$R$158),"n.a."))</f>
        <v>0</v>
      </c>
      <c r="T1676" s="1">
        <f>IF(NOT(Paths!$C$158=1),0,IF(Paths!$P$158="Complete",IF(C1676=0,0,VLOOKUP(A1676,'Fleet register'!$A$7:$S$106,9,FALSE)*Paths!$R$158),"n.a."))</f>
        <v>0</v>
      </c>
    </row>
    <row r="1677" spans="1:20" ht="24" customHeight="1">
      <c r="A1677" s="1" t="str">
        <f>Paths!$A$158</f>
        <v>T038</v>
      </c>
      <c r="B1677" s="1">
        <f>Paths!$B$158</f>
        <v>3</v>
      </c>
      <c r="C1677" s="1">
        <v>9</v>
      </c>
      <c r="D1677" s="1">
        <v>158</v>
      </c>
      <c r="E1677" s="1">
        <f>IF(OR(Paths!$C$158=0,C1677=0),0,MAX(0,MIN(C1677*12,Paths!$E$158)-(C1677-1)*12))</f>
        <v>0</v>
      </c>
      <c r="F1677" s="1">
        <f>IF(OR(Paths!$C$158=0,C1677=0),0,12-E1677)</f>
        <v>0</v>
      </c>
      <c r="G1677" s="16">
        <f>IF(NOT(Paths!$C$158=1),0,IF(Paths!$P$158="Complete",E1677/12*(Paths!$J$158*(1+'Operating costs'!$B$51)^MAX(0,C1677-1)+Paths!$K$158*(1+'Operating costs'!$B$53)^MAX(0,C1677-1)),"n.a."))</f>
        <v>0</v>
      </c>
      <c r="H1677" s="16">
        <f>IF(NOT(Paths!$C$158=1),0,IF(Paths!$P$158="Complete",F1677/12*(Paths!$L$158*(1+IF(Paths!$D$158="EV",'Operating costs'!$B$52,'Operating costs'!$B$51))^MAX(0,C1677-1)+Paths!$M$158*(1+'Operating costs'!$B$53)^MAX(0,C1677-1)),"n.a."))</f>
        <v>0</v>
      </c>
      <c r="I1677" s="16">
        <f>IF(NOT(Paths!$C$158=1),0,IF(Paths!$P$158="Complete",IF(IF(Paths!$E$158=0,C1677=0,AND(C1677&gt;0,Paths!$E$158&gt;(C1677-1)*12,Paths!$E$158&lt;=C1677*12)),Paths!$G$158,0),"n.a."))</f>
        <v>0</v>
      </c>
      <c r="J1677" s="16">
        <f>IF(NOT(Paths!$C$158=1),0,IF(Paths!$P$158="Complete",IF(IF(Paths!$E$158=0,C1677=0,AND(C1677&gt;0,Paths!$E$158&gt;(C1677-1)*12,Paths!$E$158&lt;=C1677*12)),Paths!$H$158,0),"n.a."))</f>
        <v>0</v>
      </c>
      <c r="K1677" s="16">
        <f>IF(NOT(Paths!$C$158=1),0,IF(Paths!$P$158="Complete",IF(IF(Paths!$O$158=0,C1677=0,AND(C1677&gt;0,Paths!$O$158&gt;(C1677-1)*12,Paths!$O$158&lt;=C1677*12)),Paths!$N$158,0),"n.a."))</f>
        <v>0</v>
      </c>
      <c r="L1677" s="16">
        <f>IF(NOT(Paths!$C$158=1),0,IF(Paths!$P$158="Complete",IF(C1677=10,Paths!$I$158,0),"n.a."))</f>
        <v>0</v>
      </c>
      <c r="M1677" s="16">
        <f>IF(NOT(Paths!$C$158=1),0,IF(Paths!$P$158="Complete",IF(AND(Paths!$D$158="EV",Paths!$E$158&lt;120,Paths!$E$158+'Operating costs'!$B$65&gt;Paths!$E$158,Paths!$E$158+'Operating costs'!$B$65&lt;=120,IF(Paths!$E$158+'Operating costs'!$B$65=0,C1677=0,AND(C1677&gt;0,Paths!$E$158+'Operating costs'!$B$65&gt;(C1677-1)*12,Paths!$E$158+'Operating costs'!$B$65&lt;=C1677*12))),'Operating costs'!$B$64,0)+IF(AND('Operating costs'!$B$67&gt;0,'Operating costs'!$B$67&lt;=120,OR(Paths!$D$158="ICE",'Operating costs'!$B$67&lt;=Paths!$E$158),IF('Operating costs'!$B$67=0,C1677=0,AND(C1677&gt;0,'Operating costs'!$B$67&gt;(C1677-1)*12,'Operating costs'!$B$67&lt;=C1677*12))),'Operating costs'!$B$66,0),"n.a."))</f>
        <v>0</v>
      </c>
      <c r="N1677" s="16">
        <f>IF(NOT(Paths!$C$158=1),0,IF(Paths!$P$158="Complete",SUM(G1677:I1677)-J1677-K1677-L1677+M1677+IF(C1677=0,Paths!$F$158,0)+IF(IF(Paths!$E$158=0,C1677=0,AND(C1677&gt;0,Paths!$E$158&gt;(C1677-1)*12,Paths!$E$158&lt;=C1677*12)),VLOOKUP(A1677,'Fleet register'!$A$7:$S$106,16,FALSE),0),"n.a."))</f>
        <v>0</v>
      </c>
      <c r="O1677" s="16">
        <f>IF(NOT(Paths!$C$158=1),0,IF(Paths!$P$158="Complete",N1677-IF(C1677=0,Paths!$F$158,0),"n.a."))</f>
        <v>0</v>
      </c>
      <c r="P1677" s="16">
        <f>IF(NOT(Paths!$C$158=1),0,IF(Paths!$P$158="Complete",O1677+L1677,"n.a."))</f>
        <v>0</v>
      </c>
      <c r="Q1677" s="16">
        <f>IF(NOT(Paths!$C$158=1),0,IF(Paths!$P$158="Complete",N1677*(1+'Operating costs'!$B$54)^-C1677,"n.a."))</f>
        <v>0</v>
      </c>
      <c r="R1677" s="16">
        <f>IF(NOT(Paths!$C$158=1),0,IF(Paths!$P$158="Complete",IF(AND(C1677=0,Paths!$E$158=0),I1677-J1677-K1677+VLOOKUP(A1677,'Fleet register'!$A$7:$S$106,15,FALSE)+VLOOKUP(A1677,'Fleet register'!$A$7:$S$106,16,FALSE),0),"n.a."))</f>
        <v>0</v>
      </c>
      <c r="S1677" s="1">
        <f>IF(NOT(Paths!$C$158=1),0,IF(Paths!$P$158="Complete",IF(C1677=0,0,Paths!$S$158*Paths!$R$158),"n.a."))</f>
        <v>0</v>
      </c>
      <c r="T1677" s="1">
        <f>IF(NOT(Paths!$C$158=1),0,IF(Paths!$P$158="Complete",IF(C1677=0,0,VLOOKUP(A1677,'Fleet register'!$A$7:$S$106,9,FALSE)*Paths!$R$158),"n.a."))</f>
        <v>0</v>
      </c>
    </row>
    <row r="1678" spans="1:20" ht="24" customHeight="1">
      <c r="A1678" s="1" t="str">
        <f>Paths!$A$158</f>
        <v>T038</v>
      </c>
      <c r="B1678" s="1">
        <f>Paths!$B$158</f>
        <v>3</v>
      </c>
      <c r="C1678" s="1">
        <v>10</v>
      </c>
      <c r="D1678" s="1">
        <v>158</v>
      </c>
      <c r="E1678" s="1">
        <f>IF(OR(Paths!$C$158=0,C1678=0),0,MAX(0,MIN(C1678*12,Paths!$E$158)-(C1678-1)*12))</f>
        <v>0</v>
      </c>
      <c r="F1678" s="1">
        <f>IF(OR(Paths!$C$158=0,C1678=0),0,12-E1678)</f>
        <v>0</v>
      </c>
      <c r="G1678" s="16">
        <f>IF(NOT(Paths!$C$158=1),0,IF(Paths!$P$158="Complete",E1678/12*(Paths!$J$158*(1+'Operating costs'!$B$51)^MAX(0,C1678-1)+Paths!$K$158*(1+'Operating costs'!$B$53)^MAX(0,C1678-1)),"n.a."))</f>
        <v>0</v>
      </c>
      <c r="H1678" s="16">
        <f>IF(NOT(Paths!$C$158=1),0,IF(Paths!$P$158="Complete",F1678/12*(Paths!$L$158*(1+IF(Paths!$D$158="EV",'Operating costs'!$B$52,'Operating costs'!$B$51))^MAX(0,C1678-1)+Paths!$M$158*(1+'Operating costs'!$B$53)^MAX(0,C1678-1)),"n.a."))</f>
        <v>0</v>
      </c>
      <c r="I1678" s="16">
        <f>IF(NOT(Paths!$C$158=1),0,IF(Paths!$P$158="Complete",IF(IF(Paths!$E$158=0,C1678=0,AND(C1678&gt;0,Paths!$E$158&gt;(C1678-1)*12,Paths!$E$158&lt;=C1678*12)),Paths!$G$158,0),"n.a."))</f>
        <v>0</v>
      </c>
      <c r="J1678" s="16">
        <f>IF(NOT(Paths!$C$158=1),0,IF(Paths!$P$158="Complete",IF(IF(Paths!$E$158=0,C1678=0,AND(C1678&gt;0,Paths!$E$158&gt;(C1678-1)*12,Paths!$E$158&lt;=C1678*12)),Paths!$H$158,0),"n.a."))</f>
        <v>0</v>
      </c>
      <c r="K1678" s="16">
        <f>IF(NOT(Paths!$C$158=1),0,IF(Paths!$P$158="Complete",IF(IF(Paths!$O$158=0,C1678=0,AND(C1678&gt;0,Paths!$O$158&gt;(C1678-1)*12,Paths!$O$158&lt;=C1678*12)),Paths!$N$158,0),"n.a."))</f>
        <v>0</v>
      </c>
      <c r="L1678" s="16">
        <f>IF(NOT(Paths!$C$158=1),0,IF(Paths!$P$158="Complete",IF(C1678=10,Paths!$I$158,0),"n.a."))</f>
        <v>0</v>
      </c>
      <c r="M1678" s="16">
        <f>IF(NOT(Paths!$C$158=1),0,IF(Paths!$P$158="Complete",IF(AND(Paths!$D$158="EV",Paths!$E$158&lt;120,Paths!$E$158+'Operating costs'!$B$65&gt;Paths!$E$158,Paths!$E$158+'Operating costs'!$B$65&lt;=120,IF(Paths!$E$158+'Operating costs'!$B$65=0,C1678=0,AND(C1678&gt;0,Paths!$E$158+'Operating costs'!$B$65&gt;(C1678-1)*12,Paths!$E$158+'Operating costs'!$B$65&lt;=C1678*12))),'Operating costs'!$B$64,0)+IF(AND('Operating costs'!$B$67&gt;0,'Operating costs'!$B$67&lt;=120,OR(Paths!$D$158="ICE",'Operating costs'!$B$67&lt;=Paths!$E$158),IF('Operating costs'!$B$67=0,C1678=0,AND(C1678&gt;0,'Operating costs'!$B$67&gt;(C1678-1)*12,'Operating costs'!$B$67&lt;=C1678*12))),'Operating costs'!$B$66,0),"n.a."))</f>
        <v>0</v>
      </c>
      <c r="N1678" s="16">
        <f>IF(NOT(Paths!$C$158=1),0,IF(Paths!$P$158="Complete",SUM(G1678:I1678)-J1678-K1678-L1678+M1678+IF(C1678=0,Paths!$F$158,0)+IF(IF(Paths!$E$158=0,C1678=0,AND(C1678&gt;0,Paths!$E$158&gt;(C1678-1)*12,Paths!$E$158&lt;=C1678*12)),VLOOKUP(A1678,'Fleet register'!$A$7:$S$106,16,FALSE),0),"n.a."))</f>
        <v>0</v>
      </c>
      <c r="O1678" s="16">
        <f>IF(NOT(Paths!$C$158=1),0,IF(Paths!$P$158="Complete",N1678-IF(C1678=0,Paths!$F$158,0),"n.a."))</f>
        <v>0</v>
      </c>
      <c r="P1678" s="16">
        <f>IF(NOT(Paths!$C$158=1),0,IF(Paths!$P$158="Complete",O1678+L1678,"n.a."))</f>
        <v>0</v>
      </c>
      <c r="Q1678" s="16">
        <f>IF(NOT(Paths!$C$158=1),0,IF(Paths!$P$158="Complete",N1678*(1+'Operating costs'!$B$54)^-C1678,"n.a."))</f>
        <v>0</v>
      </c>
      <c r="R1678" s="16">
        <f>IF(NOT(Paths!$C$158=1),0,IF(Paths!$P$158="Complete",IF(AND(C1678=0,Paths!$E$158=0),I1678-J1678-K1678+VLOOKUP(A1678,'Fleet register'!$A$7:$S$106,15,FALSE)+VLOOKUP(A1678,'Fleet register'!$A$7:$S$106,16,FALSE),0),"n.a."))</f>
        <v>0</v>
      </c>
      <c r="S1678" s="1">
        <f>IF(NOT(Paths!$C$158=1),0,IF(Paths!$P$158="Complete",IF(C1678=0,0,Paths!$S$158*Paths!$R$158),"n.a."))</f>
        <v>0</v>
      </c>
      <c r="T1678" s="1">
        <f>IF(NOT(Paths!$C$158=1),0,IF(Paths!$P$158="Complete",IF(C1678=0,0,VLOOKUP(A1678,'Fleet register'!$A$7:$S$106,9,FALSE)*Paths!$R$158),"n.a."))</f>
        <v>0</v>
      </c>
    </row>
    <row r="1679" spans="1:20" ht="24" customHeight="1">
      <c r="A1679" s="1" t="str">
        <f>Paths!$A$159</f>
        <v>T039</v>
      </c>
      <c r="B1679" s="1">
        <f>Paths!$B$159</f>
        <v>0</v>
      </c>
      <c r="C1679" s="1">
        <v>0</v>
      </c>
      <c r="D1679" s="1">
        <v>159</v>
      </c>
      <c r="E1679" s="1">
        <f>IF(OR(Paths!$C$159=0,C1679=0),0,MAX(0,MIN(C1679*12,Paths!$E$159)-(C1679-1)*12))</f>
        <v>0</v>
      </c>
      <c r="F1679" s="1">
        <f>IF(OR(Paths!$C$159=0,C1679=0),0,12-E1679)</f>
        <v>0</v>
      </c>
      <c r="G1679" s="16">
        <f>IF(NOT(Paths!$C$159=1),0,IF(Paths!$P$159="Complete",E1679/12*(Paths!$J$159*(1+'Operating costs'!$B$51)^MAX(0,C1679-1)+Paths!$K$159*(1+'Operating costs'!$B$53)^MAX(0,C1679-1)),"n.a."))</f>
        <v>0</v>
      </c>
      <c r="H1679" s="16">
        <f>IF(NOT(Paths!$C$159=1),0,IF(Paths!$P$159="Complete",F1679/12*(Paths!$L$159*(1+IF(Paths!$D$159="EV",'Operating costs'!$B$52,'Operating costs'!$B$51))^MAX(0,C1679-1)+Paths!$M$159*(1+'Operating costs'!$B$53)^MAX(0,C1679-1)),"n.a."))</f>
        <v>0</v>
      </c>
      <c r="I1679" s="16">
        <f>IF(NOT(Paths!$C$159=1),0,IF(Paths!$P$159="Complete",IF(IF(Paths!$E$159=0,C1679=0,AND(C1679&gt;0,Paths!$E$159&gt;(C1679-1)*12,Paths!$E$159&lt;=C1679*12)),Paths!$G$159,0),"n.a."))</f>
        <v>0</v>
      </c>
      <c r="J1679" s="16">
        <f>IF(NOT(Paths!$C$159=1),0,IF(Paths!$P$159="Complete",IF(IF(Paths!$E$159=0,C1679=0,AND(C1679&gt;0,Paths!$E$159&gt;(C1679-1)*12,Paths!$E$159&lt;=C1679*12)),Paths!$H$159,0),"n.a."))</f>
        <v>0</v>
      </c>
      <c r="K1679" s="16">
        <f>IF(NOT(Paths!$C$159=1),0,IF(Paths!$P$159="Complete",IF(IF(Paths!$O$159=0,C1679=0,AND(C1679&gt;0,Paths!$O$159&gt;(C1679-1)*12,Paths!$O$159&lt;=C1679*12)),Paths!$N$159,0),"n.a."))</f>
        <v>0</v>
      </c>
      <c r="L1679" s="16">
        <f>IF(NOT(Paths!$C$159=1),0,IF(Paths!$P$159="Complete",IF(C1679=10,Paths!$I$159,0),"n.a."))</f>
        <v>0</v>
      </c>
      <c r="M1679" s="16">
        <f>IF(NOT(Paths!$C$159=1),0,IF(Paths!$P$159="Complete",IF(AND(Paths!$D$159="EV",Paths!$E$159&lt;120,Paths!$E$159+'Operating costs'!$B$65&gt;Paths!$E$159,Paths!$E$159+'Operating costs'!$B$65&lt;=120,IF(Paths!$E$159+'Operating costs'!$B$65=0,C1679=0,AND(C1679&gt;0,Paths!$E$159+'Operating costs'!$B$65&gt;(C1679-1)*12,Paths!$E$159+'Operating costs'!$B$65&lt;=C1679*12))),'Operating costs'!$B$64,0)+IF(AND('Operating costs'!$B$67&gt;0,'Operating costs'!$B$67&lt;=120,OR(Paths!$D$159="ICE",'Operating costs'!$B$67&lt;=Paths!$E$159),IF('Operating costs'!$B$67=0,C1679=0,AND(C1679&gt;0,'Operating costs'!$B$67&gt;(C1679-1)*12,'Operating costs'!$B$67&lt;=C1679*12))),'Operating costs'!$B$66,0),"n.a."))</f>
        <v>0</v>
      </c>
      <c r="N1679" s="16">
        <f>IF(NOT(Paths!$C$159=1),0,IF(Paths!$P$159="Complete",SUM(G1679:I1679)-J1679-K1679-L1679+M1679+IF(C1679=0,Paths!$F$159,0)+IF(IF(Paths!$E$159=0,C1679=0,AND(C1679&gt;0,Paths!$E$159&gt;(C1679-1)*12,Paths!$E$159&lt;=C1679*12)),VLOOKUP(A1679,'Fleet register'!$A$7:$S$106,16,FALSE),0),"n.a."))</f>
        <v>0</v>
      </c>
      <c r="O1679" s="16">
        <f>IF(NOT(Paths!$C$159=1),0,IF(Paths!$P$159="Complete",N1679-IF(C1679=0,Paths!$F$159,0),"n.a."))</f>
        <v>0</v>
      </c>
      <c r="P1679" s="16">
        <f>IF(NOT(Paths!$C$159=1),0,IF(Paths!$P$159="Complete",O1679+L1679,"n.a."))</f>
        <v>0</v>
      </c>
      <c r="Q1679" s="16">
        <f>IF(NOT(Paths!$C$159=1),0,IF(Paths!$P$159="Complete",N1679*(1+'Operating costs'!$B$54)^-C1679,"n.a."))</f>
        <v>0</v>
      </c>
      <c r="R1679" s="16">
        <f>IF(NOT(Paths!$C$159=1),0,IF(Paths!$P$159="Complete",IF(AND(C1679=0,Paths!$E$159=0),I1679-J1679-K1679+VLOOKUP(A1679,'Fleet register'!$A$7:$S$106,15,FALSE)+VLOOKUP(A1679,'Fleet register'!$A$7:$S$106,16,FALSE),0),"n.a."))</f>
        <v>0</v>
      </c>
      <c r="S1679" s="1">
        <f>IF(NOT(Paths!$C$159=1),0,IF(Paths!$P$159="Complete",IF(C1679=0,0,Paths!$S$159*Paths!$R$159),"n.a."))</f>
        <v>0</v>
      </c>
      <c r="T1679" s="1">
        <f>IF(NOT(Paths!$C$159=1),0,IF(Paths!$P$159="Complete",IF(C1679=0,0,VLOOKUP(A1679,'Fleet register'!$A$7:$S$106,9,FALSE)*Paths!$R$159),"n.a."))</f>
        <v>0</v>
      </c>
    </row>
    <row r="1680" spans="1:20" ht="24" customHeight="1">
      <c r="A1680" s="1" t="str">
        <f>Paths!$A$159</f>
        <v>T039</v>
      </c>
      <c r="B1680" s="1">
        <f>Paths!$B$159</f>
        <v>0</v>
      </c>
      <c r="C1680" s="1">
        <v>1</v>
      </c>
      <c r="D1680" s="1">
        <v>159</v>
      </c>
      <c r="E1680" s="1">
        <f>IF(OR(Paths!$C$159=0,C1680=0),0,MAX(0,MIN(C1680*12,Paths!$E$159)-(C1680-1)*12))</f>
        <v>0</v>
      </c>
      <c r="F1680" s="1">
        <f>IF(OR(Paths!$C$159=0,C1680=0),0,12-E1680)</f>
        <v>0</v>
      </c>
      <c r="G1680" s="16">
        <f>IF(NOT(Paths!$C$159=1),0,IF(Paths!$P$159="Complete",E1680/12*(Paths!$J$159*(1+'Operating costs'!$B$51)^MAX(0,C1680-1)+Paths!$K$159*(1+'Operating costs'!$B$53)^MAX(0,C1680-1)),"n.a."))</f>
        <v>0</v>
      </c>
      <c r="H1680" s="16">
        <f>IF(NOT(Paths!$C$159=1),0,IF(Paths!$P$159="Complete",F1680/12*(Paths!$L$159*(1+IF(Paths!$D$159="EV",'Operating costs'!$B$52,'Operating costs'!$B$51))^MAX(0,C1680-1)+Paths!$M$159*(1+'Operating costs'!$B$53)^MAX(0,C1680-1)),"n.a."))</f>
        <v>0</v>
      </c>
      <c r="I1680" s="16">
        <f>IF(NOT(Paths!$C$159=1),0,IF(Paths!$P$159="Complete",IF(IF(Paths!$E$159=0,C1680=0,AND(C1680&gt;0,Paths!$E$159&gt;(C1680-1)*12,Paths!$E$159&lt;=C1680*12)),Paths!$G$159,0),"n.a."))</f>
        <v>0</v>
      </c>
      <c r="J1680" s="16">
        <f>IF(NOT(Paths!$C$159=1),0,IF(Paths!$P$159="Complete",IF(IF(Paths!$E$159=0,C1680=0,AND(C1680&gt;0,Paths!$E$159&gt;(C1680-1)*12,Paths!$E$159&lt;=C1680*12)),Paths!$H$159,0),"n.a."))</f>
        <v>0</v>
      </c>
      <c r="K1680" s="16">
        <f>IF(NOT(Paths!$C$159=1),0,IF(Paths!$P$159="Complete",IF(IF(Paths!$O$159=0,C1680=0,AND(C1680&gt;0,Paths!$O$159&gt;(C1680-1)*12,Paths!$O$159&lt;=C1680*12)),Paths!$N$159,0),"n.a."))</f>
        <v>0</v>
      </c>
      <c r="L1680" s="16">
        <f>IF(NOT(Paths!$C$159=1),0,IF(Paths!$P$159="Complete",IF(C1680=10,Paths!$I$159,0),"n.a."))</f>
        <v>0</v>
      </c>
      <c r="M1680" s="16">
        <f>IF(NOT(Paths!$C$159=1),0,IF(Paths!$P$159="Complete",IF(AND(Paths!$D$159="EV",Paths!$E$159&lt;120,Paths!$E$159+'Operating costs'!$B$65&gt;Paths!$E$159,Paths!$E$159+'Operating costs'!$B$65&lt;=120,IF(Paths!$E$159+'Operating costs'!$B$65=0,C1680=0,AND(C1680&gt;0,Paths!$E$159+'Operating costs'!$B$65&gt;(C1680-1)*12,Paths!$E$159+'Operating costs'!$B$65&lt;=C1680*12))),'Operating costs'!$B$64,0)+IF(AND('Operating costs'!$B$67&gt;0,'Operating costs'!$B$67&lt;=120,OR(Paths!$D$159="ICE",'Operating costs'!$B$67&lt;=Paths!$E$159),IF('Operating costs'!$B$67=0,C1680=0,AND(C1680&gt;0,'Operating costs'!$B$67&gt;(C1680-1)*12,'Operating costs'!$B$67&lt;=C1680*12))),'Operating costs'!$B$66,0),"n.a."))</f>
        <v>0</v>
      </c>
      <c r="N1680" s="16">
        <f>IF(NOT(Paths!$C$159=1),0,IF(Paths!$P$159="Complete",SUM(G1680:I1680)-J1680-K1680-L1680+M1680+IF(C1680=0,Paths!$F$159,0)+IF(IF(Paths!$E$159=0,C1680=0,AND(C1680&gt;0,Paths!$E$159&gt;(C1680-1)*12,Paths!$E$159&lt;=C1680*12)),VLOOKUP(A1680,'Fleet register'!$A$7:$S$106,16,FALSE),0),"n.a."))</f>
        <v>0</v>
      </c>
      <c r="O1680" s="16">
        <f>IF(NOT(Paths!$C$159=1),0,IF(Paths!$P$159="Complete",N1680-IF(C1680=0,Paths!$F$159,0),"n.a."))</f>
        <v>0</v>
      </c>
      <c r="P1680" s="16">
        <f>IF(NOT(Paths!$C$159=1),0,IF(Paths!$P$159="Complete",O1680+L1680,"n.a."))</f>
        <v>0</v>
      </c>
      <c r="Q1680" s="16">
        <f>IF(NOT(Paths!$C$159=1),0,IF(Paths!$P$159="Complete",N1680*(1+'Operating costs'!$B$54)^-C1680,"n.a."))</f>
        <v>0</v>
      </c>
      <c r="R1680" s="16">
        <f>IF(NOT(Paths!$C$159=1),0,IF(Paths!$P$159="Complete",IF(AND(C1680=0,Paths!$E$159=0),I1680-J1680-K1680+VLOOKUP(A1680,'Fleet register'!$A$7:$S$106,15,FALSE)+VLOOKUP(A1680,'Fleet register'!$A$7:$S$106,16,FALSE),0),"n.a."))</f>
        <v>0</v>
      </c>
      <c r="S1680" s="1">
        <f>IF(NOT(Paths!$C$159=1),0,IF(Paths!$P$159="Complete",IF(C1680=0,0,Paths!$S$159*Paths!$R$159),"n.a."))</f>
        <v>0</v>
      </c>
      <c r="T1680" s="1">
        <f>IF(NOT(Paths!$C$159=1),0,IF(Paths!$P$159="Complete",IF(C1680=0,0,VLOOKUP(A1680,'Fleet register'!$A$7:$S$106,9,FALSE)*Paths!$R$159),"n.a."))</f>
        <v>0</v>
      </c>
    </row>
    <row r="1681" spans="1:20" ht="24" customHeight="1">
      <c r="A1681" s="1" t="str">
        <f>Paths!$A$159</f>
        <v>T039</v>
      </c>
      <c r="B1681" s="1">
        <f>Paths!$B$159</f>
        <v>0</v>
      </c>
      <c r="C1681" s="1">
        <v>2</v>
      </c>
      <c r="D1681" s="1">
        <v>159</v>
      </c>
      <c r="E1681" s="1">
        <f>IF(OR(Paths!$C$159=0,C1681=0),0,MAX(0,MIN(C1681*12,Paths!$E$159)-(C1681-1)*12))</f>
        <v>0</v>
      </c>
      <c r="F1681" s="1">
        <f>IF(OR(Paths!$C$159=0,C1681=0),0,12-E1681)</f>
        <v>0</v>
      </c>
      <c r="G1681" s="16">
        <f>IF(NOT(Paths!$C$159=1),0,IF(Paths!$P$159="Complete",E1681/12*(Paths!$J$159*(1+'Operating costs'!$B$51)^MAX(0,C1681-1)+Paths!$K$159*(1+'Operating costs'!$B$53)^MAX(0,C1681-1)),"n.a."))</f>
        <v>0</v>
      </c>
      <c r="H1681" s="16">
        <f>IF(NOT(Paths!$C$159=1),0,IF(Paths!$P$159="Complete",F1681/12*(Paths!$L$159*(1+IF(Paths!$D$159="EV",'Operating costs'!$B$52,'Operating costs'!$B$51))^MAX(0,C1681-1)+Paths!$M$159*(1+'Operating costs'!$B$53)^MAX(0,C1681-1)),"n.a."))</f>
        <v>0</v>
      </c>
      <c r="I1681" s="16">
        <f>IF(NOT(Paths!$C$159=1),0,IF(Paths!$P$159="Complete",IF(IF(Paths!$E$159=0,C1681=0,AND(C1681&gt;0,Paths!$E$159&gt;(C1681-1)*12,Paths!$E$159&lt;=C1681*12)),Paths!$G$159,0),"n.a."))</f>
        <v>0</v>
      </c>
      <c r="J1681" s="16">
        <f>IF(NOT(Paths!$C$159=1),0,IF(Paths!$P$159="Complete",IF(IF(Paths!$E$159=0,C1681=0,AND(C1681&gt;0,Paths!$E$159&gt;(C1681-1)*12,Paths!$E$159&lt;=C1681*12)),Paths!$H$159,0),"n.a."))</f>
        <v>0</v>
      </c>
      <c r="K1681" s="16">
        <f>IF(NOT(Paths!$C$159=1),0,IF(Paths!$P$159="Complete",IF(IF(Paths!$O$159=0,C1681=0,AND(C1681&gt;0,Paths!$O$159&gt;(C1681-1)*12,Paths!$O$159&lt;=C1681*12)),Paths!$N$159,0),"n.a."))</f>
        <v>0</v>
      </c>
      <c r="L1681" s="16">
        <f>IF(NOT(Paths!$C$159=1),0,IF(Paths!$P$159="Complete",IF(C1681=10,Paths!$I$159,0),"n.a."))</f>
        <v>0</v>
      </c>
      <c r="M1681" s="16">
        <f>IF(NOT(Paths!$C$159=1),0,IF(Paths!$P$159="Complete",IF(AND(Paths!$D$159="EV",Paths!$E$159&lt;120,Paths!$E$159+'Operating costs'!$B$65&gt;Paths!$E$159,Paths!$E$159+'Operating costs'!$B$65&lt;=120,IF(Paths!$E$159+'Operating costs'!$B$65=0,C1681=0,AND(C1681&gt;0,Paths!$E$159+'Operating costs'!$B$65&gt;(C1681-1)*12,Paths!$E$159+'Operating costs'!$B$65&lt;=C1681*12))),'Operating costs'!$B$64,0)+IF(AND('Operating costs'!$B$67&gt;0,'Operating costs'!$B$67&lt;=120,OR(Paths!$D$159="ICE",'Operating costs'!$B$67&lt;=Paths!$E$159),IF('Operating costs'!$B$67=0,C1681=0,AND(C1681&gt;0,'Operating costs'!$B$67&gt;(C1681-1)*12,'Operating costs'!$B$67&lt;=C1681*12))),'Operating costs'!$B$66,0),"n.a."))</f>
        <v>0</v>
      </c>
      <c r="N1681" s="16">
        <f>IF(NOT(Paths!$C$159=1),0,IF(Paths!$P$159="Complete",SUM(G1681:I1681)-J1681-K1681-L1681+M1681+IF(C1681=0,Paths!$F$159,0)+IF(IF(Paths!$E$159=0,C1681=0,AND(C1681&gt;0,Paths!$E$159&gt;(C1681-1)*12,Paths!$E$159&lt;=C1681*12)),VLOOKUP(A1681,'Fleet register'!$A$7:$S$106,16,FALSE),0),"n.a."))</f>
        <v>0</v>
      </c>
      <c r="O1681" s="16">
        <f>IF(NOT(Paths!$C$159=1),0,IF(Paths!$P$159="Complete",N1681-IF(C1681=0,Paths!$F$159,0),"n.a."))</f>
        <v>0</v>
      </c>
      <c r="P1681" s="16">
        <f>IF(NOT(Paths!$C$159=1),0,IF(Paths!$P$159="Complete",O1681+L1681,"n.a."))</f>
        <v>0</v>
      </c>
      <c r="Q1681" s="16">
        <f>IF(NOT(Paths!$C$159=1),0,IF(Paths!$P$159="Complete",N1681*(1+'Operating costs'!$B$54)^-C1681,"n.a."))</f>
        <v>0</v>
      </c>
      <c r="R1681" s="16">
        <f>IF(NOT(Paths!$C$159=1),0,IF(Paths!$P$159="Complete",IF(AND(C1681=0,Paths!$E$159=0),I1681-J1681-K1681+VLOOKUP(A1681,'Fleet register'!$A$7:$S$106,15,FALSE)+VLOOKUP(A1681,'Fleet register'!$A$7:$S$106,16,FALSE),0),"n.a."))</f>
        <v>0</v>
      </c>
      <c r="S1681" s="1">
        <f>IF(NOT(Paths!$C$159=1),0,IF(Paths!$P$159="Complete",IF(C1681=0,0,Paths!$S$159*Paths!$R$159),"n.a."))</f>
        <v>0</v>
      </c>
      <c r="T1681" s="1">
        <f>IF(NOT(Paths!$C$159=1),0,IF(Paths!$P$159="Complete",IF(C1681=0,0,VLOOKUP(A1681,'Fleet register'!$A$7:$S$106,9,FALSE)*Paths!$R$159),"n.a."))</f>
        <v>0</v>
      </c>
    </row>
    <row r="1682" spans="1:20" ht="24" customHeight="1">
      <c r="A1682" s="1" t="str">
        <f>Paths!$A$159</f>
        <v>T039</v>
      </c>
      <c r="B1682" s="1">
        <f>Paths!$B$159</f>
        <v>0</v>
      </c>
      <c r="C1682" s="1">
        <v>3</v>
      </c>
      <c r="D1682" s="1">
        <v>159</v>
      </c>
      <c r="E1682" s="1">
        <f>IF(OR(Paths!$C$159=0,C1682=0),0,MAX(0,MIN(C1682*12,Paths!$E$159)-(C1682-1)*12))</f>
        <v>0</v>
      </c>
      <c r="F1682" s="1">
        <f>IF(OR(Paths!$C$159=0,C1682=0),0,12-E1682)</f>
        <v>0</v>
      </c>
      <c r="G1682" s="16">
        <f>IF(NOT(Paths!$C$159=1),0,IF(Paths!$P$159="Complete",E1682/12*(Paths!$J$159*(1+'Operating costs'!$B$51)^MAX(0,C1682-1)+Paths!$K$159*(1+'Operating costs'!$B$53)^MAX(0,C1682-1)),"n.a."))</f>
        <v>0</v>
      </c>
      <c r="H1682" s="16">
        <f>IF(NOT(Paths!$C$159=1),0,IF(Paths!$P$159="Complete",F1682/12*(Paths!$L$159*(1+IF(Paths!$D$159="EV",'Operating costs'!$B$52,'Operating costs'!$B$51))^MAX(0,C1682-1)+Paths!$M$159*(1+'Operating costs'!$B$53)^MAX(0,C1682-1)),"n.a."))</f>
        <v>0</v>
      </c>
      <c r="I1682" s="16">
        <f>IF(NOT(Paths!$C$159=1),0,IF(Paths!$P$159="Complete",IF(IF(Paths!$E$159=0,C1682=0,AND(C1682&gt;0,Paths!$E$159&gt;(C1682-1)*12,Paths!$E$159&lt;=C1682*12)),Paths!$G$159,0),"n.a."))</f>
        <v>0</v>
      </c>
      <c r="J1682" s="16">
        <f>IF(NOT(Paths!$C$159=1),0,IF(Paths!$P$159="Complete",IF(IF(Paths!$E$159=0,C1682=0,AND(C1682&gt;0,Paths!$E$159&gt;(C1682-1)*12,Paths!$E$159&lt;=C1682*12)),Paths!$H$159,0),"n.a."))</f>
        <v>0</v>
      </c>
      <c r="K1682" s="16">
        <f>IF(NOT(Paths!$C$159=1),0,IF(Paths!$P$159="Complete",IF(IF(Paths!$O$159=0,C1682=0,AND(C1682&gt;0,Paths!$O$159&gt;(C1682-1)*12,Paths!$O$159&lt;=C1682*12)),Paths!$N$159,0),"n.a."))</f>
        <v>0</v>
      </c>
      <c r="L1682" s="16">
        <f>IF(NOT(Paths!$C$159=1),0,IF(Paths!$P$159="Complete",IF(C1682=10,Paths!$I$159,0),"n.a."))</f>
        <v>0</v>
      </c>
      <c r="M1682" s="16">
        <f>IF(NOT(Paths!$C$159=1),0,IF(Paths!$P$159="Complete",IF(AND(Paths!$D$159="EV",Paths!$E$159&lt;120,Paths!$E$159+'Operating costs'!$B$65&gt;Paths!$E$159,Paths!$E$159+'Operating costs'!$B$65&lt;=120,IF(Paths!$E$159+'Operating costs'!$B$65=0,C1682=0,AND(C1682&gt;0,Paths!$E$159+'Operating costs'!$B$65&gt;(C1682-1)*12,Paths!$E$159+'Operating costs'!$B$65&lt;=C1682*12))),'Operating costs'!$B$64,0)+IF(AND('Operating costs'!$B$67&gt;0,'Operating costs'!$B$67&lt;=120,OR(Paths!$D$159="ICE",'Operating costs'!$B$67&lt;=Paths!$E$159),IF('Operating costs'!$B$67=0,C1682=0,AND(C1682&gt;0,'Operating costs'!$B$67&gt;(C1682-1)*12,'Operating costs'!$B$67&lt;=C1682*12))),'Operating costs'!$B$66,0),"n.a."))</f>
        <v>0</v>
      </c>
      <c r="N1682" s="16">
        <f>IF(NOT(Paths!$C$159=1),0,IF(Paths!$P$159="Complete",SUM(G1682:I1682)-J1682-K1682-L1682+M1682+IF(C1682=0,Paths!$F$159,0)+IF(IF(Paths!$E$159=0,C1682=0,AND(C1682&gt;0,Paths!$E$159&gt;(C1682-1)*12,Paths!$E$159&lt;=C1682*12)),VLOOKUP(A1682,'Fleet register'!$A$7:$S$106,16,FALSE),0),"n.a."))</f>
        <v>0</v>
      </c>
      <c r="O1682" s="16">
        <f>IF(NOT(Paths!$C$159=1),0,IF(Paths!$P$159="Complete",N1682-IF(C1682=0,Paths!$F$159,0),"n.a."))</f>
        <v>0</v>
      </c>
      <c r="P1682" s="16">
        <f>IF(NOT(Paths!$C$159=1),0,IF(Paths!$P$159="Complete",O1682+L1682,"n.a."))</f>
        <v>0</v>
      </c>
      <c r="Q1682" s="16">
        <f>IF(NOT(Paths!$C$159=1),0,IF(Paths!$P$159="Complete",N1682*(1+'Operating costs'!$B$54)^-C1682,"n.a."))</f>
        <v>0</v>
      </c>
      <c r="R1682" s="16">
        <f>IF(NOT(Paths!$C$159=1),0,IF(Paths!$P$159="Complete",IF(AND(C1682=0,Paths!$E$159=0),I1682-J1682-K1682+VLOOKUP(A1682,'Fleet register'!$A$7:$S$106,15,FALSE)+VLOOKUP(A1682,'Fleet register'!$A$7:$S$106,16,FALSE),0),"n.a."))</f>
        <v>0</v>
      </c>
      <c r="S1682" s="1">
        <f>IF(NOT(Paths!$C$159=1),0,IF(Paths!$P$159="Complete",IF(C1682=0,0,Paths!$S$159*Paths!$R$159),"n.a."))</f>
        <v>0</v>
      </c>
      <c r="T1682" s="1">
        <f>IF(NOT(Paths!$C$159=1),0,IF(Paths!$P$159="Complete",IF(C1682=0,0,VLOOKUP(A1682,'Fleet register'!$A$7:$S$106,9,FALSE)*Paths!$R$159),"n.a."))</f>
        <v>0</v>
      </c>
    </row>
    <row r="1683" spans="1:20" ht="24" customHeight="1">
      <c r="A1683" s="1" t="str">
        <f>Paths!$A$159</f>
        <v>T039</v>
      </c>
      <c r="B1683" s="1">
        <f>Paths!$B$159</f>
        <v>0</v>
      </c>
      <c r="C1683" s="1">
        <v>4</v>
      </c>
      <c r="D1683" s="1">
        <v>159</v>
      </c>
      <c r="E1683" s="1">
        <f>IF(OR(Paths!$C$159=0,C1683=0),0,MAX(0,MIN(C1683*12,Paths!$E$159)-(C1683-1)*12))</f>
        <v>0</v>
      </c>
      <c r="F1683" s="1">
        <f>IF(OR(Paths!$C$159=0,C1683=0),0,12-E1683)</f>
        <v>0</v>
      </c>
      <c r="G1683" s="16">
        <f>IF(NOT(Paths!$C$159=1),0,IF(Paths!$P$159="Complete",E1683/12*(Paths!$J$159*(1+'Operating costs'!$B$51)^MAX(0,C1683-1)+Paths!$K$159*(1+'Operating costs'!$B$53)^MAX(0,C1683-1)),"n.a."))</f>
        <v>0</v>
      </c>
      <c r="H1683" s="16">
        <f>IF(NOT(Paths!$C$159=1),0,IF(Paths!$P$159="Complete",F1683/12*(Paths!$L$159*(1+IF(Paths!$D$159="EV",'Operating costs'!$B$52,'Operating costs'!$B$51))^MAX(0,C1683-1)+Paths!$M$159*(1+'Operating costs'!$B$53)^MAX(0,C1683-1)),"n.a."))</f>
        <v>0</v>
      </c>
      <c r="I1683" s="16">
        <f>IF(NOT(Paths!$C$159=1),0,IF(Paths!$P$159="Complete",IF(IF(Paths!$E$159=0,C1683=0,AND(C1683&gt;0,Paths!$E$159&gt;(C1683-1)*12,Paths!$E$159&lt;=C1683*12)),Paths!$G$159,0),"n.a."))</f>
        <v>0</v>
      </c>
      <c r="J1683" s="16">
        <f>IF(NOT(Paths!$C$159=1),0,IF(Paths!$P$159="Complete",IF(IF(Paths!$E$159=0,C1683=0,AND(C1683&gt;0,Paths!$E$159&gt;(C1683-1)*12,Paths!$E$159&lt;=C1683*12)),Paths!$H$159,0),"n.a."))</f>
        <v>0</v>
      </c>
      <c r="K1683" s="16">
        <f>IF(NOT(Paths!$C$159=1),0,IF(Paths!$P$159="Complete",IF(IF(Paths!$O$159=0,C1683=0,AND(C1683&gt;0,Paths!$O$159&gt;(C1683-1)*12,Paths!$O$159&lt;=C1683*12)),Paths!$N$159,0),"n.a."))</f>
        <v>0</v>
      </c>
      <c r="L1683" s="16">
        <f>IF(NOT(Paths!$C$159=1),0,IF(Paths!$P$159="Complete",IF(C1683=10,Paths!$I$159,0),"n.a."))</f>
        <v>0</v>
      </c>
      <c r="M1683" s="16">
        <f>IF(NOT(Paths!$C$159=1),0,IF(Paths!$P$159="Complete",IF(AND(Paths!$D$159="EV",Paths!$E$159&lt;120,Paths!$E$159+'Operating costs'!$B$65&gt;Paths!$E$159,Paths!$E$159+'Operating costs'!$B$65&lt;=120,IF(Paths!$E$159+'Operating costs'!$B$65=0,C1683=0,AND(C1683&gt;0,Paths!$E$159+'Operating costs'!$B$65&gt;(C1683-1)*12,Paths!$E$159+'Operating costs'!$B$65&lt;=C1683*12))),'Operating costs'!$B$64,0)+IF(AND('Operating costs'!$B$67&gt;0,'Operating costs'!$B$67&lt;=120,OR(Paths!$D$159="ICE",'Operating costs'!$B$67&lt;=Paths!$E$159),IF('Operating costs'!$B$67=0,C1683=0,AND(C1683&gt;0,'Operating costs'!$B$67&gt;(C1683-1)*12,'Operating costs'!$B$67&lt;=C1683*12))),'Operating costs'!$B$66,0),"n.a."))</f>
        <v>0</v>
      </c>
      <c r="N1683" s="16">
        <f>IF(NOT(Paths!$C$159=1),0,IF(Paths!$P$159="Complete",SUM(G1683:I1683)-J1683-K1683-L1683+M1683+IF(C1683=0,Paths!$F$159,0)+IF(IF(Paths!$E$159=0,C1683=0,AND(C1683&gt;0,Paths!$E$159&gt;(C1683-1)*12,Paths!$E$159&lt;=C1683*12)),VLOOKUP(A1683,'Fleet register'!$A$7:$S$106,16,FALSE),0),"n.a."))</f>
        <v>0</v>
      </c>
      <c r="O1683" s="16">
        <f>IF(NOT(Paths!$C$159=1),0,IF(Paths!$P$159="Complete",N1683-IF(C1683=0,Paths!$F$159,0),"n.a."))</f>
        <v>0</v>
      </c>
      <c r="P1683" s="16">
        <f>IF(NOT(Paths!$C$159=1),0,IF(Paths!$P$159="Complete",O1683+L1683,"n.a."))</f>
        <v>0</v>
      </c>
      <c r="Q1683" s="16">
        <f>IF(NOT(Paths!$C$159=1),0,IF(Paths!$P$159="Complete",N1683*(1+'Operating costs'!$B$54)^-C1683,"n.a."))</f>
        <v>0</v>
      </c>
      <c r="R1683" s="16">
        <f>IF(NOT(Paths!$C$159=1),0,IF(Paths!$P$159="Complete",IF(AND(C1683=0,Paths!$E$159=0),I1683-J1683-K1683+VLOOKUP(A1683,'Fleet register'!$A$7:$S$106,15,FALSE)+VLOOKUP(A1683,'Fleet register'!$A$7:$S$106,16,FALSE),0),"n.a."))</f>
        <v>0</v>
      </c>
      <c r="S1683" s="1">
        <f>IF(NOT(Paths!$C$159=1),0,IF(Paths!$P$159="Complete",IF(C1683=0,0,Paths!$S$159*Paths!$R$159),"n.a."))</f>
        <v>0</v>
      </c>
      <c r="T1683" s="1">
        <f>IF(NOT(Paths!$C$159=1),0,IF(Paths!$P$159="Complete",IF(C1683=0,0,VLOOKUP(A1683,'Fleet register'!$A$7:$S$106,9,FALSE)*Paths!$R$159),"n.a."))</f>
        <v>0</v>
      </c>
    </row>
    <row r="1684" spans="1:20" ht="24" customHeight="1">
      <c r="A1684" s="1" t="str">
        <f>Paths!$A$159</f>
        <v>T039</v>
      </c>
      <c r="B1684" s="1">
        <f>Paths!$B$159</f>
        <v>0</v>
      </c>
      <c r="C1684" s="1">
        <v>5</v>
      </c>
      <c r="D1684" s="1">
        <v>159</v>
      </c>
      <c r="E1684" s="1">
        <f>IF(OR(Paths!$C$159=0,C1684=0),0,MAX(0,MIN(C1684*12,Paths!$E$159)-(C1684-1)*12))</f>
        <v>0</v>
      </c>
      <c r="F1684" s="1">
        <f>IF(OR(Paths!$C$159=0,C1684=0),0,12-E1684)</f>
        <v>0</v>
      </c>
      <c r="G1684" s="16">
        <f>IF(NOT(Paths!$C$159=1),0,IF(Paths!$P$159="Complete",E1684/12*(Paths!$J$159*(1+'Operating costs'!$B$51)^MAX(0,C1684-1)+Paths!$K$159*(1+'Operating costs'!$B$53)^MAX(0,C1684-1)),"n.a."))</f>
        <v>0</v>
      </c>
      <c r="H1684" s="16">
        <f>IF(NOT(Paths!$C$159=1),0,IF(Paths!$P$159="Complete",F1684/12*(Paths!$L$159*(1+IF(Paths!$D$159="EV",'Operating costs'!$B$52,'Operating costs'!$B$51))^MAX(0,C1684-1)+Paths!$M$159*(1+'Operating costs'!$B$53)^MAX(0,C1684-1)),"n.a."))</f>
        <v>0</v>
      </c>
      <c r="I1684" s="16">
        <f>IF(NOT(Paths!$C$159=1),0,IF(Paths!$P$159="Complete",IF(IF(Paths!$E$159=0,C1684=0,AND(C1684&gt;0,Paths!$E$159&gt;(C1684-1)*12,Paths!$E$159&lt;=C1684*12)),Paths!$G$159,0),"n.a."))</f>
        <v>0</v>
      </c>
      <c r="J1684" s="16">
        <f>IF(NOT(Paths!$C$159=1),0,IF(Paths!$P$159="Complete",IF(IF(Paths!$E$159=0,C1684=0,AND(C1684&gt;0,Paths!$E$159&gt;(C1684-1)*12,Paths!$E$159&lt;=C1684*12)),Paths!$H$159,0),"n.a."))</f>
        <v>0</v>
      </c>
      <c r="K1684" s="16">
        <f>IF(NOT(Paths!$C$159=1),0,IF(Paths!$P$159="Complete",IF(IF(Paths!$O$159=0,C1684=0,AND(C1684&gt;0,Paths!$O$159&gt;(C1684-1)*12,Paths!$O$159&lt;=C1684*12)),Paths!$N$159,0),"n.a."))</f>
        <v>0</v>
      </c>
      <c r="L1684" s="16">
        <f>IF(NOT(Paths!$C$159=1),0,IF(Paths!$P$159="Complete",IF(C1684=10,Paths!$I$159,0),"n.a."))</f>
        <v>0</v>
      </c>
      <c r="M1684" s="16">
        <f>IF(NOT(Paths!$C$159=1),0,IF(Paths!$P$159="Complete",IF(AND(Paths!$D$159="EV",Paths!$E$159&lt;120,Paths!$E$159+'Operating costs'!$B$65&gt;Paths!$E$159,Paths!$E$159+'Operating costs'!$B$65&lt;=120,IF(Paths!$E$159+'Operating costs'!$B$65=0,C1684=0,AND(C1684&gt;0,Paths!$E$159+'Operating costs'!$B$65&gt;(C1684-1)*12,Paths!$E$159+'Operating costs'!$B$65&lt;=C1684*12))),'Operating costs'!$B$64,0)+IF(AND('Operating costs'!$B$67&gt;0,'Operating costs'!$B$67&lt;=120,OR(Paths!$D$159="ICE",'Operating costs'!$B$67&lt;=Paths!$E$159),IF('Operating costs'!$B$67=0,C1684=0,AND(C1684&gt;0,'Operating costs'!$B$67&gt;(C1684-1)*12,'Operating costs'!$B$67&lt;=C1684*12))),'Operating costs'!$B$66,0),"n.a."))</f>
        <v>0</v>
      </c>
      <c r="N1684" s="16">
        <f>IF(NOT(Paths!$C$159=1),0,IF(Paths!$P$159="Complete",SUM(G1684:I1684)-J1684-K1684-L1684+M1684+IF(C1684=0,Paths!$F$159,0)+IF(IF(Paths!$E$159=0,C1684=0,AND(C1684&gt;0,Paths!$E$159&gt;(C1684-1)*12,Paths!$E$159&lt;=C1684*12)),VLOOKUP(A1684,'Fleet register'!$A$7:$S$106,16,FALSE),0),"n.a."))</f>
        <v>0</v>
      </c>
      <c r="O1684" s="16">
        <f>IF(NOT(Paths!$C$159=1),0,IF(Paths!$P$159="Complete",N1684-IF(C1684=0,Paths!$F$159,0),"n.a."))</f>
        <v>0</v>
      </c>
      <c r="P1684" s="16">
        <f>IF(NOT(Paths!$C$159=1),0,IF(Paths!$P$159="Complete",O1684+L1684,"n.a."))</f>
        <v>0</v>
      </c>
      <c r="Q1684" s="16">
        <f>IF(NOT(Paths!$C$159=1),0,IF(Paths!$P$159="Complete",N1684*(1+'Operating costs'!$B$54)^-C1684,"n.a."))</f>
        <v>0</v>
      </c>
      <c r="R1684" s="16">
        <f>IF(NOT(Paths!$C$159=1),0,IF(Paths!$P$159="Complete",IF(AND(C1684=0,Paths!$E$159=0),I1684-J1684-K1684+VLOOKUP(A1684,'Fleet register'!$A$7:$S$106,15,FALSE)+VLOOKUP(A1684,'Fleet register'!$A$7:$S$106,16,FALSE),0),"n.a."))</f>
        <v>0</v>
      </c>
      <c r="S1684" s="1">
        <f>IF(NOT(Paths!$C$159=1),0,IF(Paths!$P$159="Complete",IF(C1684=0,0,Paths!$S$159*Paths!$R$159),"n.a."))</f>
        <v>0</v>
      </c>
      <c r="T1684" s="1">
        <f>IF(NOT(Paths!$C$159=1),0,IF(Paths!$P$159="Complete",IF(C1684=0,0,VLOOKUP(A1684,'Fleet register'!$A$7:$S$106,9,FALSE)*Paths!$R$159),"n.a."))</f>
        <v>0</v>
      </c>
    </row>
    <row r="1685" spans="1:20" ht="24" customHeight="1">
      <c r="A1685" s="1" t="str">
        <f>Paths!$A$159</f>
        <v>T039</v>
      </c>
      <c r="B1685" s="1">
        <f>Paths!$B$159</f>
        <v>0</v>
      </c>
      <c r="C1685" s="1">
        <v>6</v>
      </c>
      <c r="D1685" s="1">
        <v>159</v>
      </c>
      <c r="E1685" s="1">
        <f>IF(OR(Paths!$C$159=0,C1685=0),0,MAX(0,MIN(C1685*12,Paths!$E$159)-(C1685-1)*12))</f>
        <v>0</v>
      </c>
      <c r="F1685" s="1">
        <f>IF(OR(Paths!$C$159=0,C1685=0),0,12-E1685)</f>
        <v>0</v>
      </c>
      <c r="G1685" s="16">
        <f>IF(NOT(Paths!$C$159=1),0,IF(Paths!$P$159="Complete",E1685/12*(Paths!$J$159*(1+'Operating costs'!$B$51)^MAX(0,C1685-1)+Paths!$K$159*(1+'Operating costs'!$B$53)^MAX(0,C1685-1)),"n.a."))</f>
        <v>0</v>
      </c>
      <c r="H1685" s="16">
        <f>IF(NOT(Paths!$C$159=1),0,IF(Paths!$P$159="Complete",F1685/12*(Paths!$L$159*(1+IF(Paths!$D$159="EV",'Operating costs'!$B$52,'Operating costs'!$B$51))^MAX(0,C1685-1)+Paths!$M$159*(1+'Operating costs'!$B$53)^MAX(0,C1685-1)),"n.a."))</f>
        <v>0</v>
      </c>
      <c r="I1685" s="16">
        <f>IF(NOT(Paths!$C$159=1),0,IF(Paths!$P$159="Complete",IF(IF(Paths!$E$159=0,C1685=0,AND(C1685&gt;0,Paths!$E$159&gt;(C1685-1)*12,Paths!$E$159&lt;=C1685*12)),Paths!$G$159,0),"n.a."))</f>
        <v>0</v>
      </c>
      <c r="J1685" s="16">
        <f>IF(NOT(Paths!$C$159=1),0,IF(Paths!$P$159="Complete",IF(IF(Paths!$E$159=0,C1685=0,AND(C1685&gt;0,Paths!$E$159&gt;(C1685-1)*12,Paths!$E$159&lt;=C1685*12)),Paths!$H$159,0),"n.a."))</f>
        <v>0</v>
      </c>
      <c r="K1685" s="16">
        <f>IF(NOT(Paths!$C$159=1),0,IF(Paths!$P$159="Complete",IF(IF(Paths!$O$159=0,C1685=0,AND(C1685&gt;0,Paths!$O$159&gt;(C1685-1)*12,Paths!$O$159&lt;=C1685*12)),Paths!$N$159,0),"n.a."))</f>
        <v>0</v>
      </c>
      <c r="L1685" s="16">
        <f>IF(NOT(Paths!$C$159=1),0,IF(Paths!$P$159="Complete",IF(C1685=10,Paths!$I$159,0),"n.a."))</f>
        <v>0</v>
      </c>
      <c r="M1685" s="16">
        <f>IF(NOT(Paths!$C$159=1),0,IF(Paths!$P$159="Complete",IF(AND(Paths!$D$159="EV",Paths!$E$159&lt;120,Paths!$E$159+'Operating costs'!$B$65&gt;Paths!$E$159,Paths!$E$159+'Operating costs'!$B$65&lt;=120,IF(Paths!$E$159+'Operating costs'!$B$65=0,C1685=0,AND(C1685&gt;0,Paths!$E$159+'Operating costs'!$B$65&gt;(C1685-1)*12,Paths!$E$159+'Operating costs'!$B$65&lt;=C1685*12))),'Operating costs'!$B$64,0)+IF(AND('Operating costs'!$B$67&gt;0,'Operating costs'!$B$67&lt;=120,OR(Paths!$D$159="ICE",'Operating costs'!$B$67&lt;=Paths!$E$159),IF('Operating costs'!$B$67=0,C1685=0,AND(C1685&gt;0,'Operating costs'!$B$67&gt;(C1685-1)*12,'Operating costs'!$B$67&lt;=C1685*12))),'Operating costs'!$B$66,0),"n.a."))</f>
        <v>0</v>
      </c>
      <c r="N1685" s="16">
        <f>IF(NOT(Paths!$C$159=1),0,IF(Paths!$P$159="Complete",SUM(G1685:I1685)-J1685-K1685-L1685+M1685+IF(C1685=0,Paths!$F$159,0)+IF(IF(Paths!$E$159=0,C1685=0,AND(C1685&gt;0,Paths!$E$159&gt;(C1685-1)*12,Paths!$E$159&lt;=C1685*12)),VLOOKUP(A1685,'Fleet register'!$A$7:$S$106,16,FALSE),0),"n.a."))</f>
        <v>0</v>
      </c>
      <c r="O1685" s="16">
        <f>IF(NOT(Paths!$C$159=1),0,IF(Paths!$P$159="Complete",N1685-IF(C1685=0,Paths!$F$159,0),"n.a."))</f>
        <v>0</v>
      </c>
      <c r="P1685" s="16">
        <f>IF(NOT(Paths!$C$159=1),0,IF(Paths!$P$159="Complete",O1685+L1685,"n.a."))</f>
        <v>0</v>
      </c>
      <c r="Q1685" s="16">
        <f>IF(NOT(Paths!$C$159=1),0,IF(Paths!$P$159="Complete",N1685*(1+'Operating costs'!$B$54)^-C1685,"n.a."))</f>
        <v>0</v>
      </c>
      <c r="R1685" s="16">
        <f>IF(NOT(Paths!$C$159=1),0,IF(Paths!$P$159="Complete",IF(AND(C1685=0,Paths!$E$159=0),I1685-J1685-K1685+VLOOKUP(A1685,'Fleet register'!$A$7:$S$106,15,FALSE)+VLOOKUP(A1685,'Fleet register'!$A$7:$S$106,16,FALSE),0),"n.a."))</f>
        <v>0</v>
      </c>
      <c r="S1685" s="1">
        <f>IF(NOT(Paths!$C$159=1),0,IF(Paths!$P$159="Complete",IF(C1685=0,0,Paths!$S$159*Paths!$R$159),"n.a."))</f>
        <v>0</v>
      </c>
      <c r="T1685" s="1">
        <f>IF(NOT(Paths!$C$159=1),0,IF(Paths!$P$159="Complete",IF(C1685=0,0,VLOOKUP(A1685,'Fleet register'!$A$7:$S$106,9,FALSE)*Paths!$R$159),"n.a."))</f>
        <v>0</v>
      </c>
    </row>
    <row r="1686" spans="1:20" ht="24" customHeight="1">
      <c r="A1686" s="1" t="str">
        <f>Paths!$A$159</f>
        <v>T039</v>
      </c>
      <c r="B1686" s="1">
        <f>Paths!$B$159</f>
        <v>0</v>
      </c>
      <c r="C1686" s="1">
        <v>7</v>
      </c>
      <c r="D1686" s="1">
        <v>159</v>
      </c>
      <c r="E1686" s="1">
        <f>IF(OR(Paths!$C$159=0,C1686=0),0,MAX(0,MIN(C1686*12,Paths!$E$159)-(C1686-1)*12))</f>
        <v>0</v>
      </c>
      <c r="F1686" s="1">
        <f>IF(OR(Paths!$C$159=0,C1686=0),0,12-E1686)</f>
        <v>0</v>
      </c>
      <c r="G1686" s="16">
        <f>IF(NOT(Paths!$C$159=1),0,IF(Paths!$P$159="Complete",E1686/12*(Paths!$J$159*(1+'Operating costs'!$B$51)^MAX(0,C1686-1)+Paths!$K$159*(1+'Operating costs'!$B$53)^MAX(0,C1686-1)),"n.a."))</f>
        <v>0</v>
      </c>
      <c r="H1686" s="16">
        <f>IF(NOT(Paths!$C$159=1),0,IF(Paths!$P$159="Complete",F1686/12*(Paths!$L$159*(1+IF(Paths!$D$159="EV",'Operating costs'!$B$52,'Operating costs'!$B$51))^MAX(0,C1686-1)+Paths!$M$159*(1+'Operating costs'!$B$53)^MAX(0,C1686-1)),"n.a."))</f>
        <v>0</v>
      </c>
      <c r="I1686" s="16">
        <f>IF(NOT(Paths!$C$159=1),0,IF(Paths!$P$159="Complete",IF(IF(Paths!$E$159=0,C1686=0,AND(C1686&gt;0,Paths!$E$159&gt;(C1686-1)*12,Paths!$E$159&lt;=C1686*12)),Paths!$G$159,0),"n.a."))</f>
        <v>0</v>
      </c>
      <c r="J1686" s="16">
        <f>IF(NOT(Paths!$C$159=1),0,IF(Paths!$P$159="Complete",IF(IF(Paths!$E$159=0,C1686=0,AND(C1686&gt;0,Paths!$E$159&gt;(C1686-1)*12,Paths!$E$159&lt;=C1686*12)),Paths!$H$159,0),"n.a."))</f>
        <v>0</v>
      </c>
      <c r="K1686" s="16">
        <f>IF(NOT(Paths!$C$159=1),0,IF(Paths!$P$159="Complete",IF(IF(Paths!$O$159=0,C1686=0,AND(C1686&gt;0,Paths!$O$159&gt;(C1686-1)*12,Paths!$O$159&lt;=C1686*12)),Paths!$N$159,0),"n.a."))</f>
        <v>0</v>
      </c>
      <c r="L1686" s="16">
        <f>IF(NOT(Paths!$C$159=1),0,IF(Paths!$P$159="Complete",IF(C1686=10,Paths!$I$159,0),"n.a."))</f>
        <v>0</v>
      </c>
      <c r="M1686" s="16">
        <f>IF(NOT(Paths!$C$159=1),0,IF(Paths!$P$159="Complete",IF(AND(Paths!$D$159="EV",Paths!$E$159&lt;120,Paths!$E$159+'Operating costs'!$B$65&gt;Paths!$E$159,Paths!$E$159+'Operating costs'!$B$65&lt;=120,IF(Paths!$E$159+'Operating costs'!$B$65=0,C1686=0,AND(C1686&gt;0,Paths!$E$159+'Operating costs'!$B$65&gt;(C1686-1)*12,Paths!$E$159+'Operating costs'!$B$65&lt;=C1686*12))),'Operating costs'!$B$64,0)+IF(AND('Operating costs'!$B$67&gt;0,'Operating costs'!$B$67&lt;=120,OR(Paths!$D$159="ICE",'Operating costs'!$B$67&lt;=Paths!$E$159),IF('Operating costs'!$B$67=0,C1686=0,AND(C1686&gt;0,'Operating costs'!$B$67&gt;(C1686-1)*12,'Operating costs'!$B$67&lt;=C1686*12))),'Operating costs'!$B$66,0),"n.a."))</f>
        <v>0</v>
      </c>
      <c r="N1686" s="16">
        <f>IF(NOT(Paths!$C$159=1),0,IF(Paths!$P$159="Complete",SUM(G1686:I1686)-J1686-K1686-L1686+M1686+IF(C1686=0,Paths!$F$159,0)+IF(IF(Paths!$E$159=0,C1686=0,AND(C1686&gt;0,Paths!$E$159&gt;(C1686-1)*12,Paths!$E$159&lt;=C1686*12)),VLOOKUP(A1686,'Fleet register'!$A$7:$S$106,16,FALSE),0),"n.a."))</f>
        <v>0</v>
      </c>
      <c r="O1686" s="16">
        <f>IF(NOT(Paths!$C$159=1),0,IF(Paths!$P$159="Complete",N1686-IF(C1686=0,Paths!$F$159,0),"n.a."))</f>
        <v>0</v>
      </c>
      <c r="P1686" s="16">
        <f>IF(NOT(Paths!$C$159=1),0,IF(Paths!$P$159="Complete",O1686+L1686,"n.a."))</f>
        <v>0</v>
      </c>
      <c r="Q1686" s="16">
        <f>IF(NOT(Paths!$C$159=1),0,IF(Paths!$P$159="Complete",N1686*(1+'Operating costs'!$B$54)^-C1686,"n.a."))</f>
        <v>0</v>
      </c>
      <c r="R1686" s="16">
        <f>IF(NOT(Paths!$C$159=1),0,IF(Paths!$P$159="Complete",IF(AND(C1686=0,Paths!$E$159=0),I1686-J1686-K1686+VLOOKUP(A1686,'Fleet register'!$A$7:$S$106,15,FALSE)+VLOOKUP(A1686,'Fleet register'!$A$7:$S$106,16,FALSE),0),"n.a."))</f>
        <v>0</v>
      </c>
      <c r="S1686" s="1">
        <f>IF(NOT(Paths!$C$159=1),0,IF(Paths!$P$159="Complete",IF(C1686=0,0,Paths!$S$159*Paths!$R$159),"n.a."))</f>
        <v>0</v>
      </c>
      <c r="T1686" s="1">
        <f>IF(NOT(Paths!$C$159=1),0,IF(Paths!$P$159="Complete",IF(C1686=0,0,VLOOKUP(A1686,'Fleet register'!$A$7:$S$106,9,FALSE)*Paths!$R$159),"n.a."))</f>
        <v>0</v>
      </c>
    </row>
    <row r="1687" spans="1:20" ht="24" customHeight="1">
      <c r="A1687" s="1" t="str">
        <f>Paths!$A$159</f>
        <v>T039</v>
      </c>
      <c r="B1687" s="1">
        <f>Paths!$B$159</f>
        <v>0</v>
      </c>
      <c r="C1687" s="1">
        <v>8</v>
      </c>
      <c r="D1687" s="1">
        <v>159</v>
      </c>
      <c r="E1687" s="1">
        <f>IF(OR(Paths!$C$159=0,C1687=0),0,MAX(0,MIN(C1687*12,Paths!$E$159)-(C1687-1)*12))</f>
        <v>0</v>
      </c>
      <c r="F1687" s="1">
        <f>IF(OR(Paths!$C$159=0,C1687=0),0,12-E1687)</f>
        <v>0</v>
      </c>
      <c r="G1687" s="16">
        <f>IF(NOT(Paths!$C$159=1),0,IF(Paths!$P$159="Complete",E1687/12*(Paths!$J$159*(1+'Operating costs'!$B$51)^MAX(0,C1687-1)+Paths!$K$159*(1+'Operating costs'!$B$53)^MAX(0,C1687-1)),"n.a."))</f>
        <v>0</v>
      </c>
      <c r="H1687" s="16">
        <f>IF(NOT(Paths!$C$159=1),0,IF(Paths!$P$159="Complete",F1687/12*(Paths!$L$159*(1+IF(Paths!$D$159="EV",'Operating costs'!$B$52,'Operating costs'!$B$51))^MAX(0,C1687-1)+Paths!$M$159*(1+'Operating costs'!$B$53)^MAX(0,C1687-1)),"n.a."))</f>
        <v>0</v>
      </c>
      <c r="I1687" s="16">
        <f>IF(NOT(Paths!$C$159=1),0,IF(Paths!$P$159="Complete",IF(IF(Paths!$E$159=0,C1687=0,AND(C1687&gt;0,Paths!$E$159&gt;(C1687-1)*12,Paths!$E$159&lt;=C1687*12)),Paths!$G$159,0),"n.a."))</f>
        <v>0</v>
      </c>
      <c r="J1687" s="16">
        <f>IF(NOT(Paths!$C$159=1),0,IF(Paths!$P$159="Complete",IF(IF(Paths!$E$159=0,C1687=0,AND(C1687&gt;0,Paths!$E$159&gt;(C1687-1)*12,Paths!$E$159&lt;=C1687*12)),Paths!$H$159,0),"n.a."))</f>
        <v>0</v>
      </c>
      <c r="K1687" s="16">
        <f>IF(NOT(Paths!$C$159=1),0,IF(Paths!$P$159="Complete",IF(IF(Paths!$O$159=0,C1687=0,AND(C1687&gt;0,Paths!$O$159&gt;(C1687-1)*12,Paths!$O$159&lt;=C1687*12)),Paths!$N$159,0),"n.a."))</f>
        <v>0</v>
      </c>
      <c r="L1687" s="16">
        <f>IF(NOT(Paths!$C$159=1),0,IF(Paths!$P$159="Complete",IF(C1687=10,Paths!$I$159,0),"n.a."))</f>
        <v>0</v>
      </c>
      <c r="M1687" s="16">
        <f>IF(NOT(Paths!$C$159=1),0,IF(Paths!$P$159="Complete",IF(AND(Paths!$D$159="EV",Paths!$E$159&lt;120,Paths!$E$159+'Operating costs'!$B$65&gt;Paths!$E$159,Paths!$E$159+'Operating costs'!$B$65&lt;=120,IF(Paths!$E$159+'Operating costs'!$B$65=0,C1687=0,AND(C1687&gt;0,Paths!$E$159+'Operating costs'!$B$65&gt;(C1687-1)*12,Paths!$E$159+'Operating costs'!$B$65&lt;=C1687*12))),'Operating costs'!$B$64,0)+IF(AND('Operating costs'!$B$67&gt;0,'Operating costs'!$B$67&lt;=120,OR(Paths!$D$159="ICE",'Operating costs'!$B$67&lt;=Paths!$E$159),IF('Operating costs'!$B$67=0,C1687=0,AND(C1687&gt;0,'Operating costs'!$B$67&gt;(C1687-1)*12,'Operating costs'!$B$67&lt;=C1687*12))),'Operating costs'!$B$66,0),"n.a."))</f>
        <v>0</v>
      </c>
      <c r="N1687" s="16">
        <f>IF(NOT(Paths!$C$159=1),0,IF(Paths!$P$159="Complete",SUM(G1687:I1687)-J1687-K1687-L1687+M1687+IF(C1687=0,Paths!$F$159,0)+IF(IF(Paths!$E$159=0,C1687=0,AND(C1687&gt;0,Paths!$E$159&gt;(C1687-1)*12,Paths!$E$159&lt;=C1687*12)),VLOOKUP(A1687,'Fleet register'!$A$7:$S$106,16,FALSE),0),"n.a."))</f>
        <v>0</v>
      </c>
      <c r="O1687" s="16">
        <f>IF(NOT(Paths!$C$159=1),0,IF(Paths!$P$159="Complete",N1687-IF(C1687=0,Paths!$F$159,0),"n.a."))</f>
        <v>0</v>
      </c>
      <c r="P1687" s="16">
        <f>IF(NOT(Paths!$C$159=1),0,IF(Paths!$P$159="Complete",O1687+L1687,"n.a."))</f>
        <v>0</v>
      </c>
      <c r="Q1687" s="16">
        <f>IF(NOT(Paths!$C$159=1),0,IF(Paths!$P$159="Complete",N1687*(1+'Operating costs'!$B$54)^-C1687,"n.a."))</f>
        <v>0</v>
      </c>
      <c r="R1687" s="16">
        <f>IF(NOT(Paths!$C$159=1),0,IF(Paths!$P$159="Complete",IF(AND(C1687=0,Paths!$E$159=0),I1687-J1687-K1687+VLOOKUP(A1687,'Fleet register'!$A$7:$S$106,15,FALSE)+VLOOKUP(A1687,'Fleet register'!$A$7:$S$106,16,FALSE),0),"n.a."))</f>
        <v>0</v>
      </c>
      <c r="S1687" s="1">
        <f>IF(NOT(Paths!$C$159=1),0,IF(Paths!$P$159="Complete",IF(C1687=0,0,Paths!$S$159*Paths!$R$159),"n.a."))</f>
        <v>0</v>
      </c>
      <c r="T1687" s="1">
        <f>IF(NOT(Paths!$C$159=1),0,IF(Paths!$P$159="Complete",IF(C1687=0,0,VLOOKUP(A1687,'Fleet register'!$A$7:$S$106,9,FALSE)*Paths!$R$159),"n.a."))</f>
        <v>0</v>
      </c>
    </row>
    <row r="1688" spans="1:20" ht="24" customHeight="1">
      <c r="A1688" s="1" t="str">
        <f>Paths!$A$159</f>
        <v>T039</v>
      </c>
      <c r="B1688" s="1">
        <f>Paths!$B$159</f>
        <v>0</v>
      </c>
      <c r="C1688" s="1">
        <v>9</v>
      </c>
      <c r="D1688" s="1">
        <v>159</v>
      </c>
      <c r="E1688" s="1">
        <f>IF(OR(Paths!$C$159=0,C1688=0),0,MAX(0,MIN(C1688*12,Paths!$E$159)-(C1688-1)*12))</f>
        <v>0</v>
      </c>
      <c r="F1688" s="1">
        <f>IF(OR(Paths!$C$159=0,C1688=0),0,12-E1688)</f>
        <v>0</v>
      </c>
      <c r="G1688" s="16">
        <f>IF(NOT(Paths!$C$159=1),0,IF(Paths!$P$159="Complete",E1688/12*(Paths!$J$159*(1+'Operating costs'!$B$51)^MAX(0,C1688-1)+Paths!$K$159*(1+'Operating costs'!$B$53)^MAX(0,C1688-1)),"n.a."))</f>
        <v>0</v>
      </c>
      <c r="H1688" s="16">
        <f>IF(NOT(Paths!$C$159=1),0,IF(Paths!$P$159="Complete",F1688/12*(Paths!$L$159*(1+IF(Paths!$D$159="EV",'Operating costs'!$B$52,'Operating costs'!$B$51))^MAX(0,C1688-1)+Paths!$M$159*(1+'Operating costs'!$B$53)^MAX(0,C1688-1)),"n.a."))</f>
        <v>0</v>
      </c>
      <c r="I1688" s="16">
        <f>IF(NOT(Paths!$C$159=1),0,IF(Paths!$P$159="Complete",IF(IF(Paths!$E$159=0,C1688=0,AND(C1688&gt;0,Paths!$E$159&gt;(C1688-1)*12,Paths!$E$159&lt;=C1688*12)),Paths!$G$159,0),"n.a."))</f>
        <v>0</v>
      </c>
      <c r="J1688" s="16">
        <f>IF(NOT(Paths!$C$159=1),0,IF(Paths!$P$159="Complete",IF(IF(Paths!$E$159=0,C1688=0,AND(C1688&gt;0,Paths!$E$159&gt;(C1688-1)*12,Paths!$E$159&lt;=C1688*12)),Paths!$H$159,0),"n.a."))</f>
        <v>0</v>
      </c>
      <c r="K1688" s="16">
        <f>IF(NOT(Paths!$C$159=1),0,IF(Paths!$P$159="Complete",IF(IF(Paths!$O$159=0,C1688=0,AND(C1688&gt;0,Paths!$O$159&gt;(C1688-1)*12,Paths!$O$159&lt;=C1688*12)),Paths!$N$159,0),"n.a."))</f>
        <v>0</v>
      </c>
      <c r="L1688" s="16">
        <f>IF(NOT(Paths!$C$159=1),0,IF(Paths!$P$159="Complete",IF(C1688=10,Paths!$I$159,0),"n.a."))</f>
        <v>0</v>
      </c>
      <c r="M1688" s="16">
        <f>IF(NOT(Paths!$C$159=1),0,IF(Paths!$P$159="Complete",IF(AND(Paths!$D$159="EV",Paths!$E$159&lt;120,Paths!$E$159+'Operating costs'!$B$65&gt;Paths!$E$159,Paths!$E$159+'Operating costs'!$B$65&lt;=120,IF(Paths!$E$159+'Operating costs'!$B$65=0,C1688=0,AND(C1688&gt;0,Paths!$E$159+'Operating costs'!$B$65&gt;(C1688-1)*12,Paths!$E$159+'Operating costs'!$B$65&lt;=C1688*12))),'Operating costs'!$B$64,0)+IF(AND('Operating costs'!$B$67&gt;0,'Operating costs'!$B$67&lt;=120,OR(Paths!$D$159="ICE",'Operating costs'!$B$67&lt;=Paths!$E$159),IF('Operating costs'!$B$67=0,C1688=0,AND(C1688&gt;0,'Operating costs'!$B$67&gt;(C1688-1)*12,'Operating costs'!$B$67&lt;=C1688*12))),'Operating costs'!$B$66,0),"n.a."))</f>
        <v>0</v>
      </c>
      <c r="N1688" s="16">
        <f>IF(NOT(Paths!$C$159=1),0,IF(Paths!$P$159="Complete",SUM(G1688:I1688)-J1688-K1688-L1688+M1688+IF(C1688=0,Paths!$F$159,0)+IF(IF(Paths!$E$159=0,C1688=0,AND(C1688&gt;0,Paths!$E$159&gt;(C1688-1)*12,Paths!$E$159&lt;=C1688*12)),VLOOKUP(A1688,'Fleet register'!$A$7:$S$106,16,FALSE),0),"n.a."))</f>
        <v>0</v>
      </c>
      <c r="O1688" s="16">
        <f>IF(NOT(Paths!$C$159=1),0,IF(Paths!$P$159="Complete",N1688-IF(C1688=0,Paths!$F$159,0),"n.a."))</f>
        <v>0</v>
      </c>
      <c r="P1688" s="16">
        <f>IF(NOT(Paths!$C$159=1),0,IF(Paths!$P$159="Complete",O1688+L1688,"n.a."))</f>
        <v>0</v>
      </c>
      <c r="Q1688" s="16">
        <f>IF(NOT(Paths!$C$159=1),0,IF(Paths!$P$159="Complete",N1688*(1+'Operating costs'!$B$54)^-C1688,"n.a."))</f>
        <v>0</v>
      </c>
      <c r="R1688" s="16">
        <f>IF(NOT(Paths!$C$159=1),0,IF(Paths!$P$159="Complete",IF(AND(C1688=0,Paths!$E$159=0),I1688-J1688-K1688+VLOOKUP(A1688,'Fleet register'!$A$7:$S$106,15,FALSE)+VLOOKUP(A1688,'Fleet register'!$A$7:$S$106,16,FALSE),0),"n.a."))</f>
        <v>0</v>
      </c>
      <c r="S1688" s="1">
        <f>IF(NOT(Paths!$C$159=1),0,IF(Paths!$P$159="Complete",IF(C1688=0,0,Paths!$S$159*Paths!$R$159),"n.a."))</f>
        <v>0</v>
      </c>
      <c r="T1688" s="1">
        <f>IF(NOT(Paths!$C$159=1),0,IF(Paths!$P$159="Complete",IF(C1688=0,0,VLOOKUP(A1688,'Fleet register'!$A$7:$S$106,9,FALSE)*Paths!$R$159),"n.a."))</f>
        <v>0</v>
      </c>
    </row>
    <row r="1689" spans="1:20" ht="24" customHeight="1">
      <c r="A1689" s="1" t="str">
        <f>Paths!$A$159</f>
        <v>T039</v>
      </c>
      <c r="B1689" s="1">
        <f>Paths!$B$159</f>
        <v>0</v>
      </c>
      <c r="C1689" s="1">
        <v>10</v>
      </c>
      <c r="D1689" s="1">
        <v>159</v>
      </c>
      <c r="E1689" s="1">
        <f>IF(OR(Paths!$C$159=0,C1689=0),0,MAX(0,MIN(C1689*12,Paths!$E$159)-(C1689-1)*12))</f>
        <v>0</v>
      </c>
      <c r="F1689" s="1">
        <f>IF(OR(Paths!$C$159=0,C1689=0),0,12-E1689)</f>
        <v>0</v>
      </c>
      <c r="G1689" s="16">
        <f>IF(NOT(Paths!$C$159=1),0,IF(Paths!$P$159="Complete",E1689/12*(Paths!$J$159*(1+'Operating costs'!$B$51)^MAX(0,C1689-1)+Paths!$K$159*(1+'Operating costs'!$B$53)^MAX(0,C1689-1)),"n.a."))</f>
        <v>0</v>
      </c>
      <c r="H1689" s="16">
        <f>IF(NOT(Paths!$C$159=1),0,IF(Paths!$P$159="Complete",F1689/12*(Paths!$L$159*(1+IF(Paths!$D$159="EV",'Operating costs'!$B$52,'Operating costs'!$B$51))^MAX(0,C1689-1)+Paths!$M$159*(1+'Operating costs'!$B$53)^MAX(0,C1689-1)),"n.a."))</f>
        <v>0</v>
      </c>
      <c r="I1689" s="16">
        <f>IF(NOT(Paths!$C$159=1),0,IF(Paths!$P$159="Complete",IF(IF(Paths!$E$159=0,C1689=0,AND(C1689&gt;0,Paths!$E$159&gt;(C1689-1)*12,Paths!$E$159&lt;=C1689*12)),Paths!$G$159,0),"n.a."))</f>
        <v>0</v>
      </c>
      <c r="J1689" s="16">
        <f>IF(NOT(Paths!$C$159=1),0,IF(Paths!$P$159="Complete",IF(IF(Paths!$E$159=0,C1689=0,AND(C1689&gt;0,Paths!$E$159&gt;(C1689-1)*12,Paths!$E$159&lt;=C1689*12)),Paths!$H$159,0),"n.a."))</f>
        <v>0</v>
      </c>
      <c r="K1689" s="16">
        <f>IF(NOT(Paths!$C$159=1),0,IF(Paths!$P$159="Complete",IF(IF(Paths!$O$159=0,C1689=0,AND(C1689&gt;0,Paths!$O$159&gt;(C1689-1)*12,Paths!$O$159&lt;=C1689*12)),Paths!$N$159,0),"n.a."))</f>
        <v>0</v>
      </c>
      <c r="L1689" s="16">
        <f>IF(NOT(Paths!$C$159=1),0,IF(Paths!$P$159="Complete",IF(C1689=10,Paths!$I$159,0),"n.a."))</f>
        <v>0</v>
      </c>
      <c r="M1689" s="16">
        <f>IF(NOT(Paths!$C$159=1),0,IF(Paths!$P$159="Complete",IF(AND(Paths!$D$159="EV",Paths!$E$159&lt;120,Paths!$E$159+'Operating costs'!$B$65&gt;Paths!$E$159,Paths!$E$159+'Operating costs'!$B$65&lt;=120,IF(Paths!$E$159+'Operating costs'!$B$65=0,C1689=0,AND(C1689&gt;0,Paths!$E$159+'Operating costs'!$B$65&gt;(C1689-1)*12,Paths!$E$159+'Operating costs'!$B$65&lt;=C1689*12))),'Operating costs'!$B$64,0)+IF(AND('Operating costs'!$B$67&gt;0,'Operating costs'!$B$67&lt;=120,OR(Paths!$D$159="ICE",'Operating costs'!$B$67&lt;=Paths!$E$159),IF('Operating costs'!$B$67=0,C1689=0,AND(C1689&gt;0,'Operating costs'!$B$67&gt;(C1689-1)*12,'Operating costs'!$B$67&lt;=C1689*12))),'Operating costs'!$B$66,0),"n.a."))</f>
        <v>0</v>
      </c>
      <c r="N1689" s="16">
        <f>IF(NOT(Paths!$C$159=1),0,IF(Paths!$P$159="Complete",SUM(G1689:I1689)-J1689-K1689-L1689+M1689+IF(C1689=0,Paths!$F$159,0)+IF(IF(Paths!$E$159=0,C1689=0,AND(C1689&gt;0,Paths!$E$159&gt;(C1689-1)*12,Paths!$E$159&lt;=C1689*12)),VLOOKUP(A1689,'Fleet register'!$A$7:$S$106,16,FALSE),0),"n.a."))</f>
        <v>0</v>
      </c>
      <c r="O1689" s="16">
        <f>IF(NOT(Paths!$C$159=1),0,IF(Paths!$P$159="Complete",N1689-IF(C1689=0,Paths!$F$159,0),"n.a."))</f>
        <v>0</v>
      </c>
      <c r="P1689" s="16">
        <f>IF(NOT(Paths!$C$159=1),0,IF(Paths!$P$159="Complete",O1689+L1689,"n.a."))</f>
        <v>0</v>
      </c>
      <c r="Q1689" s="16">
        <f>IF(NOT(Paths!$C$159=1),0,IF(Paths!$P$159="Complete",N1689*(1+'Operating costs'!$B$54)^-C1689,"n.a."))</f>
        <v>0</v>
      </c>
      <c r="R1689" s="16">
        <f>IF(NOT(Paths!$C$159=1),0,IF(Paths!$P$159="Complete",IF(AND(C1689=0,Paths!$E$159=0),I1689-J1689-K1689+VLOOKUP(A1689,'Fleet register'!$A$7:$S$106,15,FALSE)+VLOOKUP(A1689,'Fleet register'!$A$7:$S$106,16,FALSE),0),"n.a."))</f>
        <v>0</v>
      </c>
      <c r="S1689" s="1">
        <f>IF(NOT(Paths!$C$159=1),0,IF(Paths!$P$159="Complete",IF(C1689=0,0,Paths!$S$159*Paths!$R$159),"n.a."))</f>
        <v>0</v>
      </c>
      <c r="T1689" s="1">
        <f>IF(NOT(Paths!$C$159=1),0,IF(Paths!$P$159="Complete",IF(C1689=0,0,VLOOKUP(A1689,'Fleet register'!$A$7:$S$106,9,FALSE)*Paths!$R$159),"n.a."))</f>
        <v>0</v>
      </c>
    </row>
    <row r="1690" spans="1:20" ht="24" customHeight="1">
      <c r="A1690" s="1" t="str">
        <f>Paths!$A$160</f>
        <v>T039</v>
      </c>
      <c r="B1690" s="1">
        <f>Paths!$B$160</f>
        <v>1</v>
      </c>
      <c r="C1690" s="1">
        <v>0</v>
      </c>
      <c r="D1690" s="1">
        <v>160</v>
      </c>
      <c r="E1690" s="1">
        <f>IF(OR(Paths!$C$160=0,C1690=0),0,MAX(0,MIN(C1690*12,Paths!$E$160)-(C1690-1)*12))</f>
        <v>0</v>
      </c>
      <c r="F1690" s="1">
        <f>IF(OR(Paths!$C$160=0,C1690=0),0,12-E1690)</f>
        <v>0</v>
      </c>
      <c r="G1690" s="16">
        <f>IF(NOT(Paths!$C$160=1),0,IF(Paths!$P$160="Complete",E1690/12*(Paths!$J$160*(1+'Operating costs'!$B$51)^MAX(0,C1690-1)+Paths!$K$160*(1+'Operating costs'!$B$53)^MAX(0,C1690-1)),"n.a."))</f>
        <v>0</v>
      </c>
      <c r="H1690" s="16">
        <f>IF(NOT(Paths!$C$160=1),0,IF(Paths!$P$160="Complete",F1690/12*(Paths!$L$160*(1+IF(Paths!$D$160="EV",'Operating costs'!$B$52,'Operating costs'!$B$51))^MAX(0,C1690-1)+Paths!$M$160*(1+'Operating costs'!$B$53)^MAX(0,C1690-1)),"n.a."))</f>
        <v>0</v>
      </c>
      <c r="I1690" s="16">
        <f>IF(NOT(Paths!$C$160=1),0,IF(Paths!$P$160="Complete",IF(IF(Paths!$E$160=0,C1690=0,AND(C1690&gt;0,Paths!$E$160&gt;(C1690-1)*12,Paths!$E$160&lt;=C1690*12)),Paths!$G$160,0),"n.a."))</f>
        <v>0</v>
      </c>
      <c r="J1690" s="16">
        <f>IF(NOT(Paths!$C$160=1),0,IF(Paths!$P$160="Complete",IF(IF(Paths!$E$160=0,C1690=0,AND(C1690&gt;0,Paths!$E$160&gt;(C1690-1)*12,Paths!$E$160&lt;=C1690*12)),Paths!$H$160,0),"n.a."))</f>
        <v>0</v>
      </c>
      <c r="K1690" s="16">
        <f>IF(NOT(Paths!$C$160=1),0,IF(Paths!$P$160="Complete",IF(IF(Paths!$O$160=0,C1690=0,AND(C1690&gt;0,Paths!$O$160&gt;(C1690-1)*12,Paths!$O$160&lt;=C1690*12)),Paths!$N$160,0),"n.a."))</f>
        <v>0</v>
      </c>
      <c r="L1690" s="16">
        <f>IF(NOT(Paths!$C$160=1),0,IF(Paths!$P$160="Complete",IF(C1690=10,Paths!$I$160,0),"n.a."))</f>
        <v>0</v>
      </c>
      <c r="M1690" s="16">
        <f>IF(NOT(Paths!$C$160=1),0,IF(Paths!$P$160="Complete",IF(AND(Paths!$D$160="EV",Paths!$E$160&lt;120,Paths!$E$160+'Operating costs'!$B$65&gt;Paths!$E$160,Paths!$E$160+'Operating costs'!$B$65&lt;=120,IF(Paths!$E$160+'Operating costs'!$B$65=0,C1690=0,AND(C1690&gt;0,Paths!$E$160+'Operating costs'!$B$65&gt;(C1690-1)*12,Paths!$E$160+'Operating costs'!$B$65&lt;=C1690*12))),'Operating costs'!$B$64,0)+IF(AND('Operating costs'!$B$67&gt;0,'Operating costs'!$B$67&lt;=120,OR(Paths!$D$160="ICE",'Operating costs'!$B$67&lt;=Paths!$E$160),IF('Operating costs'!$B$67=0,C1690=0,AND(C1690&gt;0,'Operating costs'!$B$67&gt;(C1690-1)*12,'Operating costs'!$B$67&lt;=C1690*12))),'Operating costs'!$B$66,0),"n.a."))</f>
        <v>0</v>
      </c>
      <c r="N1690" s="16">
        <f>IF(NOT(Paths!$C$160=1),0,IF(Paths!$P$160="Complete",SUM(G1690:I1690)-J1690-K1690-L1690+M1690+IF(C1690=0,Paths!$F$160,0)+IF(IF(Paths!$E$160=0,C1690=0,AND(C1690&gt;0,Paths!$E$160&gt;(C1690-1)*12,Paths!$E$160&lt;=C1690*12)),VLOOKUP(A1690,'Fleet register'!$A$7:$S$106,16,FALSE),0),"n.a."))</f>
        <v>0</v>
      </c>
      <c r="O1690" s="16">
        <f>IF(NOT(Paths!$C$160=1),0,IF(Paths!$P$160="Complete",N1690-IF(C1690=0,Paths!$F$160,0),"n.a."))</f>
        <v>0</v>
      </c>
      <c r="P1690" s="16">
        <f>IF(NOT(Paths!$C$160=1),0,IF(Paths!$P$160="Complete",O1690+L1690,"n.a."))</f>
        <v>0</v>
      </c>
      <c r="Q1690" s="16">
        <f>IF(NOT(Paths!$C$160=1),0,IF(Paths!$P$160="Complete",N1690*(1+'Operating costs'!$B$54)^-C1690,"n.a."))</f>
        <v>0</v>
      </c>
      <c r="R1690" s="16">
        <f>IF(NOT(Paths!$C$160=1),0,IF(Paths!$P$160="Complete",IF(AND(C1690=0,Paths!$E$160=0),I1690-J1690-K1690+VLOOKUP(A1690,'Fleet register'!$A$7:$S$106,15,FALSE)+VLOOKUP(A1690,'Fleet register'!$A$7:$S$106,16,FALSE),0),"n.a."))</f>
        <v>0</v>
      </c>
      <c r="S1690" s="1">
        <f>IF(NOT(Paths!$C$160=1),0,IF(Paths!$P$160="Complete",IF(C1690=0,0,Paths!$S$160*Paths!$R$160),"n.a."))</f>
        <v>0</v>
      </c>
      <c r="T1690" s="1">
        <f>IF(NOT(Paths!$C$160=1),0,IF(Paths!$P$160="Complete",IF(C1690=0,0,VLOOKUP(A1690,'Fleet register'!$A$7:$S$106,9,FALSE)*Paths!$R$160),"n.a."))</f>
        <v>0</v>
      </c>
    </row>
    <row r="1691" spans="1:20" ht="24" customHeight="1">
      <c r="A1691" s="1" t="str">
        <f>Paths!$A$160</f>
        <v>T039</v>
      </c>
      <c r="B1691" s="1">
        <f>Paths!$B$160</f>
        <v>1</v>
      </c>
      <c r="C1691" s="1">
        <v>1</v>
      </c>
      <c r="D1691" s="1">
        <v>160</v>
      </c>
      <c r="E1691" s="1">
        <f>IF(OR(Paths!$C$160=0,C1691=0),0,MAX(0,MIN(C1691*12,Paths!$E$160)-(C1691-1)*12))</f>
        <v>0</v>
      </c>
      <c r="F1691" s="1">
        <f>IF(OR(Paths!$C$160=0,C1691=0),0,12-E1691)</f>
        <v>0</v>
      </c>
      <c r="G1691" s="16">
        <f>IF(NOT(Paths!$C$160=1),0,IF(Paths!$P$160="Complete",E1691/12*(Paths!$J$160*(1+'Operating costs'!$B$51)^MAX(0,C1691-1)+Paths!$K$160*(1+'Operating costs'!$B$53)^MAX(0,C1691-1)),"n.a."))</f>
        <v>0</v>
      </c>
      <c r="H1691" s="16">
        <f>IF(NOT(Paths!$C$160=1),0,IF(Paths!$P$160="Complete",F1691/12*(Paths!$L$160*(1+IF(Paths!$D$160="EV",'Operating costs'!$B$52,'Operating costs'!$B$51))^MAX(0,C1691-1)+Paths!$M$160*(1+'Operating costs'!$B$53)^MAX(0,C1691-1)),"n.a."))</f>
        <v>0</v>
      </c>
      <c r="I1691" s="16">
        <f>IF(NOT(Paths!$C$160=1),0,IF(Paths!$P$160="Complete",IF(IF(Paths!$E$160=0,C1691=0,AND(C1691&gt;0,Paths!$E$160&gt;(C1691-1)*12,Paths!$E$160&lt;=C1691*12)),Paths!$G$160,0),"n.a."))</f>
        <v>0</v>
      </c>
      <c r="J1691" s="16">
        <f>IF(NOT(Paths!$C$160=1),0,IF(Paths!$P$160="Complete",IF(IF(Paths!$E$160=0,C1691=0,AND(C1691&gt;0,Paths!$E$160&gt;(C1691-1)*12,Paths!$E$160&lt;=C1691*12)),Paths!$H$160,0),"n.a."))</f>
        <v>0</v>
      </c>
      <c r="K1691" s="16">
        <f>IF(NOT(Paths!$C$160=1),0,IF(Paths!$P$160="Complete",IF(IF(Paths!$O$160=0,C1691=0,AND(C1691&gt;0,Paths!$O$160&gt;(C1691-1)*12,Paths!$O$160&lt;=C1691*12)),Paths!$N$160,0),"n.a."))</f>
        <v>0</v>
      </c>
      <c r="L1691" s="16">
        <f>IF(NOT(Paths!$C$160=1),0,IF(Paths!$P$160="Complete",IF(C1691=10,Paths!$I$160,0),"n.a."))</f>
        <v>0</v>
      </c>
      <c r="M1691" s="16">
        <f>IF(NOT(Paths!$C$160=1),0,IF(Paths!$P$160="Complete",IF(AND(Paths!$D$160="EV",Paths!$E$160&lt;120,Paths!$E$160+'Operating costs'!$B$65&gt;Paths!$E$160,Paths!$E$160+'Operating costs'!$B$65&lt;=120,IF(Paths!$E$160+'Operating costs'!$B$65=0,C1691=0,AND(C1691&gt;0,Paths!$E$160+'Operating costs'!$B$65&gt;(C1691-1)*12,Paths!$E$160+'Operating costs'!$B$65&lt;=C1691*12))),'Operating costs'!$B$64,0)+IF(AND('Operating costs'!$B$67&gt;0,'Operating costs'!$B$67&lt;=120,OR(Paths!$D$160="ICE",'Operating costs'!$B$67&lt;=Paths!$E$160),IF('Operating costs'!$B$67=0,C1691=0,AND(C1691&gt;0,'Operating costs'!$B$67&gt;(C1691-1)*12,'Operating costs'!$B$67&lt;=C1691*12))),'Operating costs'!$B$66,0),"n.a."))</f>
        <v>0</v>
      </c>
      <c r="N1691" s="16">
        <f>IF(NOT(Paths!$C$160=1),0,IF(Paths!$P$160="Complete",SUM(G1691:I1691)-J1691-K1691-L1691+M1691+IF(C1691=0,Paths!$F$160,0)+IF(IF(Paths!$E$160=0,C1691=0,AND(C1691&gt;0,Paths!$E$160&gt;(C1691-1)*12,Paths!$E$160&lt;=C1691*12)),VLOOKUP(A1691,'Fleet register'!$A$7:$S$106,16,FALSE),0),"n.a."))</f>
        <v>0</v>
      </c>
      <c r="O1691" s="16">
        <f>IF(NOT(Paths!$C$160=1),0,IF(Paths!$P$160="Complete",N1691-IF(C1691=0,Paths!$F$160,0),"n.a."))</f>
        <v>0</v>
      </c>
      <c r="P1691" s="16">
        <f>IF(NOT(Paths!$C$160=1),0,IF(Paths!$P$160="Complete",O1691+L1691,"n.a."))</f>
        <v>0</v>
      </c>
      <c r="Q1691" s="16">
        <f>IF(NOT(Paths!$C$160=1),0,IF(Paths!$P$160="Complete",N1691*(1+'Operating costs'!$B$54)^-C1691,"n.a."))</f>
        <v>0</v>
      </c>
      <c r="R1691" s="16">
        <f>IF(NOT(Paths!$C$160=1),0,IF(Paths!$P$160="Complete",IF(AND(C1691=0,Paths!$E$160=0),I1691-J1691-K1691+VLOOKUP(A1691,'Fleet register'!$A$7:$S$106,15,FALSE)+VLOOKUP(A1691,'Fleet register'!$A$7:$S$106,16,FALSE),0),"n.a."))</f>
        <v>0</v>
      </c>
      <c r="S1691" s="1">
        <f>IF(NOT(Paths!$C$160=1),0,IF(Paths!$P$160="Complete",IF(C1691=0,0,Paths!$S$160*Paths!$R$160),"n.a."))</f>
        <v>0</v>
      </c>
      <c r="T1691" s="1">
        <f>IF(NOT(Paths!$C$160=1),0,IF(Paths!$P$160="Complete",IF(C1691=0,0,VLOOKUP(A1691,'Fleet register'!$A$7:$S$106,9,FALSE)*Paths!$R$160),"n.a."))</f>
        <v>0</v>
      </c>
    </row>
    <row r="1692" spans="1:20" ht="24" customHeight="1">
      <c r="A1692" s="1" t="str">
        <f>Paths!$A$160</f>
        <v>T039</v>
      </c>
      <c r="B1692" s="1">
        <f>Paths!$B$160</f>
        <v>1</v>
      </c>
      <c r="C1692" s="1">
        <v>2</v>
      </c>
      <c r="D1692" s="1">
        <v>160</v>
      </c>
      <c r="E1692" s="1">
        <f>IF(OR(Paths!$C$160=0,C1692=0),0,MAX(0,MIN(C1692*12,Paths!$E$160)-(C1692-1)*12))</f>
        <v>0</v>
      </c>
      <c r="F1692" s="1">
        <f>IF(OR(Paths!$C$160=0,C1692=0),0,12-E1692)</f>
        <v>0</v>
      </c>
      <c r="G1692" s="16">
        <f>IF(NOT(Paths!$C$160=1),0,IF(Paths!$P$160="Complete",E1692/12*(Paths!$J$160*(1+'Operating costs'!$B$51)^MAX(0,C1692-1)+Paths!$K$160*(1+'Operating costs'!$B$53)^MAX(0,C1692-1)),"n.a."))</f>
        <v>0</v>
      </c>
      <c r="H1692" s="16">
        <f>IF(NOT(Paths!$C$160=1),0,IF(Paths!$P$160="Complete",F1692/12*(Paths!$L$160*(1+IF(Paths!$D$160="EV",'Operating costs'!$B$52,'Operating costs'!$B$51))^MAX(0,C1692-1)+Paths!$M$160*(1+'Operating costs'!$B$53)^MAX(0,C1692-1)),"n.a."))</f>
        <v>0</v>
      </c>
      <c r="I1692" s="16">
        <f>IF(NOT(Paths!$C$160=1),0,IF(Paths!$P$160="Complete",IF(IF(Paths!$E$160=0,C1692=0,AND(C1692&gt;0,Paths!$E$160&gt;(C1692-1)*12,Paths!$E$160&lt;=C1692*12)),Paths!$G$160,0),"n.a."))</f>
        <v>0</v>
      </c>
      <c r="J1692" s="16">
        <f>IF(NOT(Paths!$C$160=1),0,IF(Paths!$P$160="Complete",IF(IF(Paths!$E$160=0,C1692=0,AND(C1692&gt;0,Paths!$E$160&gt;(C1692-1)*12,Paths!$E$160&lt;=C1692*12)),Paths!$H$160,0),"n.a."))</f>
        <v>0</v>
      </c>
      <c r="K1692" s="16">
        <f>IF(NOT(Paths!$C$160=1),0,IF(Paths!$P$160="Complete",IF(IF(Paths!$O$160=0,C1692=0,AND(C1692&gt;0,Paths!$O$160&gt;(C1692-1)*12,Paths!$O$160&lt;=C1692*12)),Paths!$N$160,0),"n.a."))</f>
        <v>0</v>
      </c>
      <c r="L1692" s="16">
        <f>IF(NOT(Paths!$C$160=1),0,IF(Paths!$P$160="Complete",IF(C1692=10,Paths!$I$160,0),"n.a."))</f>
        <v>0</v>
      </c>
      <c r="M1692" s="16">
        <f>IF(NOT(Paths!$C$160=1),0,IF(Paths!$P$160="Complete",IF(AND(Paths!$D$160="EV",Paths!$E$160&lt;120,Paths!$E$160+'Operating costs'!$B$65&gt;Paths!$E$160,Paths!$E$160+'Operating costs'!$B$65&lt;=120,IF(Paths!$E$160+'Operating costs'!$B$65=0,C1692=0,AND(C1692&gt;0,Paths!$E$160+'Operating costs'!$B$65&gt;(C1692-1)*12,Paths!$E$160+'Operating costs'!$B$65&lt;=C1692*12))),'Operating costs'!$B$64,0)+IF(AND('Operating costs'!$B$67&gt;0,'Operating costs'!$B$67&lt;=120,OR(Paths!$D$160="ICE",'Operating costs'!$B$67&lt;=Paths!$E$160),IF('Operating costs'!$B$67=0,C1692=0,AND(C1692&gt;0,'Operating costs'!$B$67&gt;(C1692-1)*12,'Operating costs'!$B$67&lt;=C1692*12))),'Operating costs'!$B$66,0),"n.a."))</f>
        <v>0</v>
      </c>
      <c r="N1692" s="16">
        <f>IF(NOT(Paths!$C$160=1),0,IF(Paths!$P$160="Complete",SUM(G1692:I1692)-J1692-K1692-L1692+M1692+IF(C1692=0,Paths!$F$160,0)+IF(IF(Paths!$E$160=0,C1692=0,AND(C1692&gt;0,Paths!$E$160&gt;(C1692-1)*12,Paths!$E$160&lt;=C1692*12)),VLOOKUP(A1692,'Fleet register'!$A$7:$S$106,16,FALSE),0),"n.a."))</f>
        <v>0</v>
      </c>
      <c r="O1692" s="16">
        <f>IF(NOT(Paths!$C$160=1),0,IF(Paths!$P$160="Complete",N1692-IF(C1692=0,Paths!$F$160,0),"n.a."))</f>
        <v>0</v>
      </c>
      <c r="P1692" s="16">
        <f>IF(NOT(Paths!$C$160=1),0,IF(Paths!$P$160="Complete",O1692+L1692,"n.a."))</f>
        <v>0</v>
      </c>
      <c r="Q1692" s="16">
        <f>IF(NOT(Paths!$C$160=1),0,IF(Paths!$P$160="Complete",N1692*(1+'Operating costs'!$B$54)^-C1692,"n.a."))</f>
        <v>0</v>
      </c>
      <c r="R1692" s="16">
        <f>IF(NOT(Paths!$C$160=1),0,IF(Paths!$P$160="Complete",IF(AND(C1692=0,Paths!$E$160=0),I1692-J1692-K1692+VLOOKUP(A1692,'Fleet register'!$A$7:$S$106,15,FALSE)+VLOOKUP(A1692,'Fleet register'!$A$7:$S$106,16,FALSE),0),"n.a."))</f>
        <v>0</v>
      </c>
      <c r="S1692" s="1">
        <f>IF(NOT(Paths!$C$160=1),0,IF(Paths!$P$160="Complete",IF(C1692=0,0,Paths!$S$160*Paths!$R$160),"n.a."))</f>
        <v>0</v>
      </c>
      <c r="T1692" s="1">
        <f>IF(NOT(Paths!$C$160=1),0,IF(Paths!$P$160="Complete",IF(C1692=0,0,VLOOKUP(A1692,'Fleet register'!$A$7:$S$106,9,FALSE)*Paths!$R$160),"n.a."))</f>
        <v>0</v>
      </c>
    </row>
    <row r="1693" spans="1:20" ht="24" customHeight="1">
      <c r="A1693" s="1" t="str">
        <f>Paths!$A$160</f>
        <v>T039</v>
      </c>
      <c r="B1693" s="1">
        <f>Paths!$B$160</f>
        <v>1</v>
      </c>
      <c r="C1693" s="1">
        <v>3</v>
      </c>
      <c r="D1693" s="1">
        <v>160</v>
      </c>
      <c r="E1693" s="1">
        <f>IF(OR(Paths!$C$160=0,C1693=0),0,MAX(0,MIN(C1693*12,Paths!$E$160)-(C1693-1)*12))</f>
        <v>0</v>
      </c>
      <c r="F1693" s="1">
        <f>IF(OR(Paths!$C$160=0,C1693=0),0,12-E1693)</f>
        <v>0</v>
      </c>
      <c r="G1693" s="16">
        <f>IF(NOT(Paths!$C$160=1),0,IF(Paths!$P$160="Complete",E1693/12*(Paths!$J$160*(1+'Operating costs'!$B$51)^MAX(0,C1693-1)+Paths!$K$160*(1+'Operating costs'!$B$53)^MAX(0,C1693-1)),"n.a."))</f>
        <v>0</v>
      </c>
      <c r="H1693" s="16">
        <f>IF(NOT(Paths!$C$160=1),0,IF(Paths!$P$160="Complete",F1693/12*(Paths!$L$160*(1+IF(Paths!$D$160="EV",'Operating costs'!$B$52,'Operating costs'!$B$51))^MAX(0,C1693-1)+Paths!$M$160*(1+'Operating costs'!$B$53)^MAX(0,C1693-1)),"n.a."))</f>
        <v>0</v>
      </c>
      <c r="I1693" s="16">
        <f>IF(NOT(Paths!$C$160=1),0,IF(Paths!$P$160="Complete",IF(IF(Paths!$E$160=0,C1693=0,AND(C1693&gt;0,Paths!$E$160&gt;(C1693-1)*12,Paths!$E$160&lt;=C1693*12)),Paths!$G$160,0),"n.a."))</f>
        <v>0</v>
      </c>
      <c r="J1693" s="16">
        <f>IF(NOT(Paths!$C$160=1),0,IF(Paths!$P$160="Complete",IF(IF(Paths!$E$160=0,C1693=0,AND(C1693&gt;0,Paths!$E$160&gt;(C1693-1)*12,Paths!$E$160&lt;=C1693*12)),Paths!$H$160,0),"n.a."))</f>
        <v>0</v>
      </c>
      <c r="K1693" s="16">
        <f>IF(NOT(Paths!$C$160=1),0,IF(Paths!$P$160="Complete",IF(IF(Paths!$O$160=0,C1693=0,AND(C1693&gt;0,Paths!$O$160&gt;(C1693-1)*12,Paths!$O$160&lt;=C1693*12)),Paths!$N$160,0),"n.a."))</f>
        <v>0</v>
      </c>
      <c r="L1693" s="16">
        <f>IF(NOT(Paths!$C$160=1),0,IF(Paths!$P$160="Complete",IF(C1693=10,Paths!$I$160,0),"n.a."))</f>
        <v>0</v>
      </c>
      <c r="M1693" s="16">
        <f>IF(NOT(Paths!$C$160=1),0,IF(Paths!$P$160="Complete",IF(AND(Paths!$D$160="EV",Paths!$E$160&lt;120,Paths!$E$160+'Operating costs'!$B$65&gt;Paths!$E$160,Paths!$E$160+'Operating costs'!$B$65&lt;=120,IF(Paths!$E$160+'Operating costs'!$B$65=0,C1693=0,AND(C1693&gt;0,Paths!$E$160+'Operating costs'!$B$65&gt;(C1693-1)*12,Paths!$E$160+'Operating costs'!$B$65&lt;=C1693*12))),'Operating costs'!$B$64,0)+IF(AND('Operating costs'!$B$67&gt;0,'Operating costs'!$B$67&lt;=120,OR(Paths!$D$160="ICE",'Operating costs'!$B$67&lt;=Paths!$E$160),IF('Operating costs'!$B$67=0,C1693=0,AND(C1693&gt;0,'Operating costs'!$B$67&gt;(C1693-1)*12,'Operating costs'!$B$67&lt;=C1693*12))),'Operating costs'!$B$66,0),"n.a."))</f>
        <v>0</v>
      </c>
      <c r="N1693" s="16">
        <f>IF(NOT(Paths!$C$160=1),0,IF(Paths!$P$160="Complete",SUM(G1693:I1693)-J1693-K1693-L1693+M1693+IF(C1693=0,Paths!$F$160,0)+IF(IF(Paths!$E$160=0,C1693=0,AND(C1693&gt;0,Paths!$E$160&gt;(C1693-1)*12,Paths!$E$160&lt;=C1693*12)),VLOOKUP(A1693,'Fleet register'!$A$7:$S$106,16,FALSE),0),"n.a."))</f>
        <v>0</v>
      </c>
      <c r="O1693" s="16">
        <f>IF(NOT(Paths!$C$160=1),0,IF(Paths!$P$160="Complete",N1693-IF(C1693=0,Paths!$F$160,0),"n.a."))</f>
        <v>0</v>
      </c>
      <c r="P1693" s="16">
        <f>IF(NOT(Paths!$C$160=1),0,IF(Paths!$P$160="Complete",O1693+L1693,"n.a."))</f>
        <v>0</v>
      </c>
      <c r="Q1693" s="16">
        <f>IF(NOT(Paths!$C$160=1),0,IF(Paths!$P$160="Complete",N1693*(1+'Operating costs'!$B$54)^-C1693,"n.a."))</f>
        <v>0</v>
      </c>
      <c r="R1693" s="16">
        <f>IF(NOT(Paths!$C$160=1),0,IF(Paths!$P$160="Complete",IF(AND(C1693=0,Paths!$E$160=0),I1693-J1693-K1693+VLOOKUP(A1693,'Fleet register'!$A$7:$S$106,15,FALSE)+VLOOKUP(A1693,'Fleet register'!$A$7:$S$106,16,FALSE),0),"n.a."))</f>
        <v>0</v>
      </c>
      <c r="S1693" s="1">
        <f>IF(NOT(Paths!$C$160=1),0,IF(Paths!$P$160="Complete",IF(C1693=0,0,Paths!$S$160*Paths!$R$160),"n.a."))</f>
        <v>0</v>
      </c>
      <c r="T1693" s="1">
        <f>IF(NOT(Paths!$C$160=1),0,IF(Paths!$P$160="Complete",IF(C1693=0,0,VLOOKUP(A1693,'Fleet register'!$A$7:$S$106,9,FALSE)*Paths!$R$160),"n.a."))</f>
        <v>0</v>
      </c>
    </row>
    <row r="1694" spans="1:20" ht="24" customHeight="1">
      <c r="A1694" s="1" t="str">
        <f>Paths!$A$160</f>
        <v>T039</v>
      </c>
      <c r="B1694" s="1">
        <f>Paths!$B$160</f>
        <v>1</v>
      </c>
      <c r="C1694" s="1">
        <v>4</v>
      </c>
      <c r="D1694" s="1">
        <v>160</v>
      </c>
      <c r="E1694" s="1">
        <f>IF(OR(Paths!$C$160=0,C1694=0),0,MAX(0,MIN(C1694*12,Paths!$E$160)-(C1694-1)*12))</f>
        <v>0</v>
      </c>
      <c r="F1694" s="1">
        <f>IF(OR(Paths!$C$160=0,C1694=0),0,12-E1694)</f>
        <v>0</v>
      </c>
      <c r="G1694" s="16">
        <f>IF(NOT(Paths!$C$160=1),0,IF(Paths!$P$160="Complete",E1694/12*(Paths!$J$160*(1+'Operating costs'!$B$51)^MAX(0,C1694-1)+Paths!$K$160*(1+'Operating costs'!$B$53)^MAX(0,C1694-1)),"n.a."))</f>
        <v>0</v>
      </c>
      <c r="H1694" s="16">
        <f>IF(NOT(Paths!$C$160=1),0,IF(Paths!$P$160="Complete",F1694/12*(Paths!$L$160*(1+IF(Paths!$D$160="EV",'Operating costs'!$B$52,'Operating costs'!$B$51))^MAX(0,C1694-1)+Paths!$M$160*(1+'Operating costs'!$B$53)^MAX(0,C1694-1)),"n.a."))</f>
        <v>0</v>
      </c>
      <c r="I1694" s="16">
        <f>IF(NOT(Paths!$C$160=1),0,IF(Paths!$P$160="Complete",IF(IF(Paths!$E$160=0,C1694=0,AND(C1694&gt;0,Paths!$E$160&gt;(C1694-1)*12,Paths!$E$160&lt;=C1694*12)),Paths!$G$160,0),"n.a."))</f>
        <v>0</v>
      </c>
      <c r="J1694" s="16">
        <f>IF(NOT(Paths!$C$160=1),0,IF(Paths!$P$160="Complete",IF(IF(Paths!$E$160=0,C1694=0,AND(C1694&gt;0,Paths!$E$160&gt;(C1694-1)*12,Paths!$E$160&lt;=C1694*12)),Paths!$H$160,0),"n.a."))</f>
        <v>0</v>
      </c>
      <c r="K1694" s="16">
        <f>IF(NOT(Paths!$C$160=1),0,IF(Paths!$P$160="Complete",IF(IF(Paths!$O$160=0,C1694=0,AND(C1694&gt;0,Paths!$O$160&gt;(C1694-1)*12,Paths!$O$160&lt;=C1694*12)),Paths!$N$160,0),"n.a."))</f>
        <v>0</v>
      </c>
      <c r="L1694" s="16">
        <f>IF(NOT(Paths!$C$160=1),0,IF(Paths!$P$160="Complete",IF(C1694=10,Paths!$I$160,0),"n.a."))</f>
        <v>0</v>
      </c>
      <c r="M1694" s="16">
        <f>IF(NOT(Paths!$C$160=1),0,IF(Paths!$P$160="Complete",IF(AND(Paths!$D$160="EV",Paths!$E$160&lt;120,Paths!$E$160+'Operating costs'!$B$65&gt;Paths!$E$160,Paths!$E$160+'Operating costs'!$B$65&lt;=120,IF(Paths!$E$160+'Operating costs'!$B$65=0,C1694=0,AND(C1694&gt;0,Paths!$E$160+'Operating costs'!$B$65&gt;(C1694-1)*12,Paths!$E$160+'Operating costs'!$B$65&lt;=C1694*12))),'Operating costs'!$B$64,0)+IF(AND('Operating costs'!$B$67&gt;0,'Operating costs'!$B$67&lt;=120,OR(Paths!$D$160="ICE",'Operating costs'!$B$67&lt;=Paths!$E$160),IF('Operating costs'!$B$67=0,C1694=0,AND(C1694&gt;0,'Operating costs'!$B$67&gt;(C1694-1)*12,'Operating costs'!$B$67&lt;=C1694*12))),'Operating costs'!$B$66,0),"n.a."))</f>
        <v>0</v>
      </c>
      <c r="N1694" s="16">
        <f>IF(NOT(Paths!$C$160=1),0,IF(Paths!$P$160="Complete",SUM(G1694:I1694)-J1694-K1694-L1694+M1694+IF(C1694=0,Paths!$F$160,0)+IF(IF(Paths!$E$160=0,C1694=0,AND(C1694&gt;0,Paths!$E$160&gt;(C1694-1)*12,Paths!$E$160&lt;=C1694*12)),VLOOKUP(A1694,'Fleet register'!$A$7:$S$106,16,FALSE),0),"n.a."))</f>
        <v>0</v>
      </c>
      <c r="O1694" s="16">
        <f>IF(NOT(Paths!$C$160=1),0,IF(Paths!$P$160="Complete",N1694-IF(C1694=0,Paths!$F$160,0),"n.a."))</f>
        <v>0</v>
      </c>
      <c r="P1694" s="16">
        <f>IF(NOT(Paths!$C$160=1),0,IF(Paths!$P$160="Complete",O1694+L1694,"n.a."))</f>
        <v>0</v>
      </c>
      <c r="Q1694" s="16">
        <f>IF(NOT(Paths!$C$160=1),0,IF(Paths!$P$160="Complete",N1694*(1+'Operating costs'!$B$54)^-C1694,"n.a."))</f>
        <v>0</v>
      </c>
      <c r="R1694" s="16">
        <f>IF(NOT(Paths!$C$160=1),0,IF(Paths!$P$160="Complete",IF(AND(C1694=0,Paths!$E$160=0),I1694-J1694-K1694+VLOOKUP(A1694,'Fleet register'!$A$7:$S$106,15,FALSE)+VLOOKUP(A1694,'Fleet register'!$A$7:$S$106,16,FALSE),0),"n.a."))</f>
        <v>0</v>
      </c>
      <c r="S1694" s="1">
        <f>IF(NOT(Paths!$C$160=1),0,IF(Paths!$P$160="Complete",IF(C1694=0,0,Paths!$S$160*Paths!$R$160),"n.a."))</f>
        <v>0</v>
      </c>
      <c r="T1694" s="1">
        <f>IF(NOT(Paths!$C$160=1),0,IF(Paths!$P$160="Complete",IF(C1694=0,0,VLOOKUP(A1694,'Fleet register'!$A$7:$S$106,9,FALSE)*Paths!$R$160),"n.a."))</f>
        <v>0</v>
      </c>
    </row>
    <row r="1695" spans="1:20" ht="24" customHeight="1">
      <c r="A1695" s="1" t="str">
        <f>Paths!$A$160</f>
        <v>T039</v>
      </c>
      <c r="B1695" s="1">
        <f>Paths!$B$160</f>
        <v>1</v>
      </c>
      <c r="C1695" s="1">
        <v>5</v>
      </c>
      <c r="D1695" s="1">
        <v>160</v>
      </c>
      <c r="E1695" s="1">
        <f>IF(OR(Paths!$C$160=0,C1695=0),0,MAX(0,MIN(C1695*12,Paths!$E$160)-(C1695-1)*12))</f>
        <v>0</v>
      </c>
      <c r="F1695" s="1">
        <f>IF(OR(Paths!$C$160=0,C1695=0),0,12-E1695)</f>
        <v>0</v>
      </c>
      <c r="G1695" s="16">
        <f>IF(NOT(Paths!$C$160=1),0,IF(Paths!$P$160="Complete",E1695/12*(Paths!$J$160*(1+'Operating costs'!$B$51)^MAX(0,C1695-1)+Paths!$K$160*(1+'Operating costs'!$B$53)^MAX(0,C1695-1)),"n.a."))</f>
        <v>0</v>
      </c>
      <c r="H1695" s="16">
        <f>IF(NOT(Paths!$C$160=1),0,IF(Paths!$P$160="Complete",F1695/12*(Paths!$L$160*(1+IF(Paths!$D$160="EV",'Operating costs'!$B$52,'Operating costs'!$B$51))^MAX(0,C1695-1)+Paths!$M$160*(1+'Operating costs'!$B$53)^MAX(0,C1695-1)),"n.a."))</f>
        <v>0</v>
      </c>
      <c r="I1695" s="16">
        <f>IF(NOT(Paths!$C$160=1),0,IF(Paths!$P$160="Complete",IF(IF(Paths!$E$160=0,C1695=0,AND(C1695&gt;0,Paths!$E$160&gt;(C1695-1)*12,Paths!$E$160&lt;=C1695*12)),Paths!$G$160,0),"n.a."))</f>
        <v>0</v>
      </c>
      <c r="J1695" s="16">
        <f>IF(NOT(Paths!$C$160=1),0,IF(Paths!$P$160="Complete",IF(IF(Paths!$E$160=0,C1695=0,AND(C1695&gt;0,Paths!$E$160&gt;(C1695-1)*12,Paths!$E$160&lt;=C1695*12)),Paths!$H$160,0),"n.a."))</f>
        <v>0</v>
      </c>
      <c r="K1695" s="16">
        <f>IF(NOT(Paths!$C$160=1),0,IF(Paths!$P$160="Complete",IF(IF(Paths!$O$160=0,C1695=0,AND(C1695&gt;0,Paths!$O$160&gt;(C1695-1)*12,Paths!$O$160&lt;=C1695*12)),Paths!$N$160,0),"n.a."))</f>
        <v>0</v>
      </c>
      <c r="L1695" s="16">
        <f>IF(NOT(Paths!$C$160=1),0,IF(Paths!$P$160="Complete",IF(C1695=10,Paths!$I$160,0),"n.a."))</f>
        <v>0</v>
      </c>
      <c r="M1695" s="16">
        <f>IF(NOT(Paths!$C$160=1),0,IF(Paths!$P$160="Complete",IF(AND(Paths!$D$160="EV",Paths!$E$160&lt;120,Paths!$E$160+'Operating costs'!$B$65&gt;Paths!$E$160,Paths!$E$160+'Operating costs'!$B$65&lt;=120,IF(Paths!$E$160+'Operating costs'!$B$65=0,C1695=0,AND(C1695&gt;0,Paths!$E$160+'Operating costs'!$B$65&gt;(C1695-1)*12,Paths!$E$160+'Operating costs'!$B$65&lt;=C1695*12))),'Operating costs'!$B$64,0)+IF(AND('Operating costs'!$B$67&gt;0,'Operating costs'!$B$67&lt;=120,OR(Paths!$D$160="ICE",'Operating costs'!$B$67&lt;=Paths!$E$160),IF('Operating costs'!$B$67=0,C1695=0,AND(C1695&gt;0,'Operating costs'!$B$67&gt;(C1695-1)*12,'Operating costs'!$B$67&lt;=C1695*12))),'Operating costs'!$B$66,0),"n.a."))</f>
        <v>0</v>
      </c>
      <c r="N1695" s="16">
        <f>IF(NOT(Paths!$C$160=1),0,IF(Paths!$P$160="Complete",SUM(G1695:I1695)-J1695-K1695-L1695+M1695+IF(C1695=0,Paths!$F$160,0)+IF(IF(Paths!$E$160=0,C1695=0,AND(C1695&gt;0,Paths!$E$160&gt;(C1695-1)*12,Paths!$E$160&lt;=C1695*12)),VLOOKUP(A1695,'Fleet register'!$A$7:$S$106,16,FALSE),0),"n.a."))</f>
        <v>0</v>
      </c>
      <c r="O1695" s="16">
        <f>IF(NOT(Paths!$C$160=1),0,IF(Paths!$P$160="Complete",N1695-IF(C1695=0,Paths!$F$160,0),"n.a."))</f>
        <v>0</v>
      </c>
      <c r="P1695" s="16">
        <f>IF(NOT(Paths!$C$160=1),0,IF(Paths!$P$160="Complete",O1695+L1695,"n.a."))</f>
        <v>0</v>
      </c>
      <c r="Q1695" s="16">
        <f>IF(NOT(Paths!$C$160=1),0,IF(Paths!$P$160="Complete",N1695*(1+'Operating costs'!$B$54)^-C1695,"n.a."))</f>
        <v>0</v>
      </c>
      <c r="R1695" s="16">
        <f>IF(NOT(Paths!$C$160=1),0,IF(Paths!$P$160="Complete",IF(AND(C1695=0,Paths!$E$160=0),I1695-J1695-K1695+VLOOKUP(A1695,'Fleet register'!$A$7:$S$106,15,FALSE)+VLOOKUP(A1695,'Fleet register'!$A$7:$S$106,16,FALSE),0),"n.a."))</f>
        <v>0</v>
      </c>
      <c r="S1695" s="1">
        <f>IF(NOT(Paths!$C$160=1),0,IF(Paths!$P$160="Complete",IF(C1695=0,0,Paths!$S$160*Paths!$R$160),"n.a."))</f>
        <v>0</v>
      </c>
      <c r="T1695" s="1">
        <f>IF(NOT(Paths!$C$160=1),0,IF(Paths!$P$160="Complete",IF(C1695=0,0,VLOOKUP(A1695,'Fleet register'!$A$7:$S$106,9,FALSE)*Paths!$R$160),"n.a."))</f>
        <v>0</v>
      </c>
    </row>
    <row r="1696" spans="1:20" ht="24" customHeight="1">
      <c r="A1696" s="1" t="str">
        <f>Paths!$A$160</f>
        <v>T039</v>
      </c>
      <c r="B1696" s="1">
        <f>Paths!$B$160</f>
        <v>1</v>
      </c>
      <c r="C1696" s="1">
        <v>6</v>
      </c>
      <c r="D1696" s="1">
        <v>160</v>
      </c>
      <c r="E1696" s="1">
        <f>IF(OR(Paths!$C$160=0,C1696=0),0,MAX(0,MIN(C1696*12,Paths!$E$160)-(C1696-1)*12))</f>
        <v>0</v>
      </c>
      <c r="F1696" s="1">
        <f>IF(OR(Paths!$C$160=0,C1696=0),0,12-E1696)</f>
        <v>0</v>
      </c>
      <c r="G1696" s="16">
        <f>IF(NOT(Paths!$C$160=1),0,IF(Paths!$P$160="Complete",E1696/12*(Paths!$J$160*(1+'Operating costs'!$B$51)^MAX(0,C1696-1)+Paths!$K$160*(1+'Operating costs'!$B$53)^MAX(0,C1696-1)),"n.a."))</f>
        <v>0</v>
      </c>
      <c r="H1696" s="16">
        <f>IF(NOT(Paths!$C$160=1),0,IF(Paths!$P$160="Complete",F1696/12*(Paths!$L$160*(1+IF(Paths!$D$160="EV",'Operating costs'!$B$52,'Operating costs'!$B$51))^MAX(0,C1696-1)+Paths!$M$160*(1+'Operating costs'!$B$53)^MAX(0,C1696-1)),"n.a."))</f>
        <v>0</v>
      </c>
      <c r="I1696" s="16">
        <f>IF(NOT(Paths!$C$160=1),0,IF(Paths!$P$160="Complete",IF(IF(Paths!$E$160=0,C1696=0,AND(C1696&gt;0,Paths!$E$160&gt;(C1696-1)*12,Paths!$E$160&lt;=C1696*12)),Paths!$G$160,0),"n.a."))</f>
        <v>0</v>
      </c>
      <c r="J1696" s="16">
        <f>IF(NOT(Paths!$C$160=1),0,IF(Paths!$P$160="Complete",IF(IF(Paths!$E$160=0,C1696=0,AND(C1696&gt;0,Paths!$E$160&gt;(C1696-1)*12,Paths!$E$160&lt;=C1696*12)),Paths!$H$160,0),"n.a."))</f>
        <v>0</v>
      </c>
      <c r="K1696" s="16">
        <f>IF(NOT(Paths!$C$160=1),0,IF(Paths!$P$160="Complete",IF(IF(Paths!$O$160=0,C1696=0,AND(C1696&gt;0,Paths!$O$160&gt;(C1696-1)*12,Paths!$O$160&lt;=C1696*12)),Paths!$N$160,0),"n.a."))</f>
        <v>0</v>
      </c>
      <c r="L1696" s="16">
        <f>IF(NOT(Paths!$C$160=1),0,IF(Paths!$P$160="Complete",IF(C1696=10,Paths!$I$160,0),"n.a."))</f>
        <v>0</v>
      </c>
      <c r="M1696" s="16">
        <f>IF(NOT(Paths!$C$160=1),0,IF(Paths!$P$160="Complete",IF(AND(Paths!$D$160="EV",Paths!$E$160&lt;120,Paths!$E$160+'Operating costs'!$B$65&gt;Paths!$E$160,Paths!$E$160+'Operating costs'!$B$65&lt;=120,IF(Paths!$E$160+'Operating costs'!$B$65=0,C1696=0,AND(C1696&gt;0,Paths!$E$160+'Operating costs'!$B$65&gt;(C1696-1)*12,Paths!$E$160+'Operating costs'!$B$65&lt;=C1696*12))),'Operating costs'!$B$64,0)+IF(AND('Operating costs'!$B$67&gt;0,'Operating costs'!$B$67&lt;=120,OR(Paths!$D$160="ICE",'Operating costs'!$B$67&lt;=Paths!$E$160),IF('Operating costs'!$B$67=0,C1696=0,AND(C1696&gt;0,'Operating costs'!$B$67&gt;(C1696-1)*12,'Operating costs'!$B$67&lt;=C1696*12))),'Operating costs'!$B$66,0),"n.a."))</f>
        <v>0</v>
      </c>
      <c r="N1696" s="16">
        <f>IF(NOT(Paths!$C$160=1),0,IF(Paths!$P$160="Complete",SUM(G1696:I1696)-J1696-K1696-L1696+M1696+IF(C1696=0,Paths!$F$160,0)+IF(IF(Paths!$E$160=0,C1696=0,AND(C1696&gt;0,Paths!$E$160&gt;(C1696-1)*12,Paths!$E$160&lt;=C1696*12)),VLOOKUP(A1696,'Fleet register'!$A$7:$S$106,16,FALSE),0),"n.a."))</f>
        <v>0</v>
      </c>
      <c r="O1696" s="16">
        <f>IF(NOT(Paths!$C$160=1),0,IF(Paths!$P$160="Complete",N1696-IF(C1696=0,Paths!$F$160,0),"n.a."))</f>
        <v>0</v>
      </c>
      <c r="P1696" s="16">
        <f>IF(NOT(Paths!$C$160=1),0,IF(Paths!$P$160="Complete",O1696+L1696,"n.a."))</f>
        <v>0</v>
      </c>
      <c r="Q1696" s="16">
        <f>IF(NOT(Paths!$C$160=1),0,IF(Paths!$P$160="Complete",N1696*(1+'Operating costs'!$B$54)^-C1696,"n.a."))</f>
        <v>0</v>
      </c>
      <c r="R1696" s="16">
        <f>IF(NOT(Paths!$C$160=1),0,IF(Paths!$P$160="Complete",IF(AND(C1696=0,Paths!$E$160=0),I1696-J1696-K1696+VLOOKUP(A1696,'Fleet register'!$A$7:$S$106,15,FALSE)+VLOOKUP(A1696,'Fleet register'!$A$7:$S$106,16,FALSE),0),"n.a."))</f>
        <v>0</v>
      </c>
      <c r="S1696" s="1">
        <f>IF(NOT(Paths!$C$160=1),0,IF(Paths!$P$160="Complete",IF(C1696=0,0,Paths!$S$160*Paths!$R$160),"n.a."))</f>
        <v>0</v>
      </c>
      <c r="T1696" s="1">
        <f>IF(NOT(Paths!$C$160=1),0,IF(Paths!$P$160="Complete",IF(C1696=0,0,VLOOKUP(A1696,'Fleet register'!$A$7:$S$106,9,FALSE)*Paths!$R$160),"n.a."))</f>
        <v>0</v>
      </c>
    </row>
    <row r="1697" spans="1:20" ht="24" customHeight="1">
      <c r="A1697" s="1" t="str">
        <f>Paths!$A$160</f>
        <v>T039</v>
      </c>
      <c r="B1697" s="1">
        <f>Paths!$B$160</f>
        <v>1</v>
      </c>
      <c r="C1697" s="1">
        <v>7</v>
      </c>
      <c r="D1697" s="1">
        <v>160</v>
      </c>
      <c r="E1697" s="1">
        <f>IF(OR(Paths!$C$160=0,C1697=0),0,MAX(0,MIN(C1697*12,Paths!$E$160)-(C1697-1)*12))</f>
        <v>0</v>
      </c>
      <c r="F1697" s="1">
        <f>IF(OR(Paths!$C$160=0,C1697=0),0,12-E1697)</f>
        <v>0</v>
      </c>
      <c r="G1697" s="16">
        <f>IF(NOT(Paths!$C$160=1),0,IF(Paths!$P$160="Complete",E1697/12*(Paths!$J$160*(1+'Operating costs'!$B$51)^MAX(0,C1697-1)+Paths!$K$160*(1+'Operating costs'!$B$53)^MAX(0,C1697-1)),"n.a."))</f>
        <v>0</v>
      </c>
      <c r="H1697" s="16">
        <f>IF(NOT(Paths!$C$160=1),0,IF(Paths!$P$160="Complete",F1697/12*(Paths!$L$160*(1+IF(Paths!$D$160="EV",'Operating costs'!$B$52,'Operating costs'!$B$51))^MAX(0,C1697-1)+Paths!$M$160*(1+'Operating costs'!$B$53)^MAX(0,C1697-1)),"n.a."))</f>
        <v>0</v>
      </c>
      <c r="I1697" s="16">
        <f>IF(NOT(Paths!$C$160=1),0,IF(Paths!$P$160="Complete",IF(IF(Paths!$E$160=0,C1697=0,AND(C1697&gt;0,Paths!$E$160&gt;(C1697-1)*12,Paths!$E$160&lt;=C1697*12)),Paths!$G$160,0),"n.a."))</f>
        <v>0</v>
      </c>
      <c r="J1697" s="16">
        <f>IF(NOT(Paths!$C$160=1),0,IF(Paths!$P$160="Complete",IF(IF(Paths!$E$160=0,C1697=0,AND(C1697&gt;0,Paths!$E$160&gt;(C1697-1)*12,Paths!$E$160&lt;=C1697*12)),Paths!$H$160,0),"n.a."))</f>
        <v>0</v>
      </c>
      <c r="K1697" s="16">
        <f>IF(NOT(Paths!$C$160=1),0,IF(Paths!$P$160="Complete",IF(IF(Paths!$O$160=0,C1697=0,AND(C1697&gt;0,Paths!$O$160&gt;(C1697-1)*12,Paths!$O$160&lt;=C1697*12)),Paths!$N$160,0),"n.a."))</f>
        <v>0</v>
      </c>
      <c r="L1697" s="16">
        <f>IF(NOT(Paths!$C$160=1),0,IF(Paths!$P$160="Complete",IF(C1697=10,Paths!$I$160,0),"n.a."))</f>
        <v>0</v>
      </c>
      <c r="M1697" s="16">
        <f>IF(NOT(Paths!$C$160=1),0,IF(Paths!$P$160="Complete",IF(AND(Paths!$D$160="EV",Paths!$E$160&lt;120,Paths!$E$160+'Operating costs'!$B$65&gt;Paths!$E$160,Paths!$E$160+'Operating costs'!$B$65&lt;=120,IF(Paths!$E$160+'Operating costs'!$B$65=0,C1697=0,AND(C1697&gt;0,Paths!$E$160+'Operating costs'!$B$65&gt;(C1697-1)*12,Paths!$E$160+'Operating costs'!$B$65&lt;=C1697*12))),'Operating costs'!$B$64,0)+IF(AND('Operating costs'!$B$67&gt;0,'Operating costs'!$B$67&lt;=120,OR(Paths!$D$160="ICE",'Operating costs'!$B$67&lt;=Paths!$E$160),IF('Operating costs'!$B$67=0,C1697=0,AND(C1697&gt;0,'Operating costs'!$B$67&gt;(C1697-1)*12,'Operating costs'!$B$67&lt;=C1697*12))),'Operating costs'!$B$66,0),"n.a."))</f>
        <v>0</v>
      </c>
      <c r="N1697" s="16">
        <f>IF(NOT(Paths!$C$160=1),0,IF(Paths!$P$160="Complete",SUM(G1697:I1697)-J1697-K1697-L1697+M1697+IF(C1697=0,Paths!$F$160,0)+IF(IF(Paths!$E$160=0,C1697=0,AND(C1697&gt;0,Paths!$E$160&gt;(C1697-1)*12,Paths!$E$160&lt;=C1697*12)),VLOOKUP(A1697,'Fleet register'!$A$7:$S$106,16,FALSE),0),"n.a."))</f>
        <v>0</v>
      </c>
      <c r="O1697" s="16">
        <f>IF(NOT(Paths!$C$160=1),0,IF(Paths!$P$160="Complete",N1697-IF(C1697=0,Paths!$F$160,0),"n.a."))</f>
        <v>0</v>
      </c>
      <c r="P1697" s="16">
        <f>IF(NOT(Paths!$C$160=1),0,IF(Paths!$P$160="Complete",O1697+L1697,"n.a."))</f>
        <v>0</v>
      </c>
      <c r="Q1697" s="16">
        <f>IF(NOT(Paths!$C$160=1),0,IF(Paths!$P$160="Complete",N1697*(1+'Operating costs'!$B$54)^-C1697,"n.a."))</f>
        <v>0</v>
      </c>
      <c r="R1697" s="16">
        <f>IF(NOT(Paths!$C$160=1),0,IF(Paths!$P$160="Complete",IF(AND(C1697=0,Paths!$E$160=0),I1697-J1697-K1697+VLOOKUP(A1697,'Fleet register'!$A$7:$S$106,15,FALSE)+VLOOKUP(A1697,'Fleet register'!$A$7:$S$106,16,FALSE),0),"n.a."))</f>
        <v>0</v>
      </c>
      <c r="S1697" s="1">
        <f>IF(NOT(Paths!$C$160=1),0,IF(Paths!$P$160="Complete",IF(C1697=0,0,Paths!$S$160*Paths!$R$160),"n.a."))</f>
        <v>0</v>
      </c>
      <c r="T1697" s="1">
        <f>IF(NOT(Paths!$C$160=1),0,IF(Paths!$P$160="Complete",IF(C1697=0,0,VLOOKUP(A1697,'Fleet register'!$A$7:$S$106,9,FALSE)*Paths!$R$160),"n.a."))</f>
        <v>0</v>
      </c>
    </row>
    <row r="1698" spans="1:20" ht="24" customHeight="1">
      <c r="A1698" s="1" t="str">
        <f>Paths!$A$160</f>
        <v>T039</v>
      </c>
      <c r="B1698" s="1">
        <f>Paths!$B$160</f>
        <v>1</v>
      </c>
      <c r="C1698" s="1">
        <v>8</v>
      </c>
      <c r="D1698" s="1">
        <v>160</v>
      </c>
      <c r="E1698" s="1">
        <f>IF(OR(Paths!$C$160=0,C1698=0),0,MAX(0,MIN(C1698*12,Paths!$E$160)-(C1698-1)*12))</f>
        <v>0</v>
      </c>
      <c r="F1698" s="1">
        <f>IF(OR(Paths!$C$160=0,C1698=0),0,12-E1698)</f>
        <v>0</v>
      </c>
      <c r="G1698" s="16">
        <f>IF(NOT(Paths!$C$160=1),0,IF(Paths!$P$160="Complete",E1698/12*(Paths!$J$160*(1+'Operating costs'!$B$51)^MAX(0,C1698-1)+Paths!$K$160*(1+'Operating costs'!$B$53)^MAX(0,C1698-1)),"n.a."))</f>
        <v>0</v>
      </c>
      <c r="H1698" s="16">
        <f>IF(NOT(Paths!$C$160=1),0,IF(Paths!$P$160="Complete",F1698/12*(Paths!$L$160*(1+IF(Paths!$D$160="EV",'Operating costs'!$B$52,'Operating costs'!$B$51))^MAX(0,C1698-1)+Paths!$M$160*(1+'Operating costs'!$B$53)^MAX(0,C1698-1)),"n.a."))</f>
        <v>0</v>
      </c>
      <c r="I1698" s="16">
        <f>IF(NOT(Paths!$C$160=1),0,IF(Paths!$P$160="Complete",IF(IF(Paths!$E$160=0,C1698=0,AND(C1698&gt;0,Paths!$E$160&gt;(C1698-1)*12,Paths!$E$160&lt;=C1698*12)),Paths!$G$160,0),"n.a."))</f>
        <v>0</v>
      </c>
      <c r="J1698" s="16">
        <f>IF(NOT(Paths!$C$160=1),0,IF(Paths!$P$160="Complete",IF(IF(Paths!$E$160=0,C1698=0,AND(C1698&gt;0,Paths!$E$160&gt;(C1698-1)*12,Paths!$E$160&lt;=C1698*12)),Paths!$H$160,0),"n.a."))</f>
        <v>0</v>
      </c>
      <c r="K1698" s="16">
        <f>IF(NOT(Paths!$C$160=1),0,IF(Paths!$P$160="Complete",IF(IF(Paths!$O$160=0,C1698=0,AND(C1698&gt;0,Paths!$O$160&gt;(C1698-1)*12,Paths!$O$160&lt;=C1698*12)),Paths!$N$160,0),"n.a."))</f>
        <v>0</v>
      </c>
      <c r="L1698" s="16">
        <f>IF(NOT(Paths!$C$160=1),0,IF(Paths!$P$160="Complete",IF(C1698=10,Paths!$I$160,0),"n.a."))</f>
        <v>0</v>
      </c>
      <c r="M1698" s="16">
        <f>IF(NOT(Paths!$C$160=1),0,IF(Paths!$P$160="Complete",IF(AND(Paths!$D$160="EV",Paths!$E$160&lt;120,Paths!$E$160+'Operating costs'!$B$65&gt;Paths!$E$160,Paths!$E$160+'Operating costs'!$B$65&lt;=120,IF(Paths!$E$160+'Operating costs'!$B$65=0,C1698=0,AND(C1698&gt;0,Paths!$E$160+'Operating costs'!$B$65&gt;(C1698-1)*12,Paths!$E$160+'Operating costs'!$B$65&lt;=C1698*12))),'Operating costs'!$B$64,0)+IF(AND('Operating costs'!$B$67&gt;0,'Operating costs'!$B$67&lt;=120,OR(Paths!$D$160="ICE",'Operating costs'!$B$67&lt;=Paths!$E$160),IF('Operating costs'!$B$67=0,C1698=0,AND(C1698&gt;0,'Operating costs'!$B$67&gt;(C1698-1)*12,'Operating costs'!$B$67&lt;=C1698*12))),'Operating costs'!$B$66,0),"n.a."))</f>
        <v>0</v>
      </c>
      <c r="N1698" s="16">
        <f>IF(NOT(Paths!$C$160=1),0,IF(Paths!$P$160="Complete",SUM(G1698:I1698)-J1698-K1698-L1698+M1698+IF(C1698=0,Paths!$F$160,0)+IF(IF(Paths!$E$160=0,C1698=0,AND(C1698&gt;0,Paths!$E$160&gt;(C1698-1)*12,Paths!$E$160&lt;=C1698*12)),VLOOKUP(A1698,'Fleet register'!$A$7:$S$106,16,FALSE),0),"n.a."))</f>
        <v>0</v>
      </c>
      <c r="O1698" s="16">
        <f>IF(NOT(Paths!$C$160=1),0,IF(Paths!$P$160="Complete",N1698-IF(C1698=0,Paths!$F$160,0),"n.a."))</f>
        <v>0</v>
      </c>
      <c r="P1698" s="16">
        <f>IF(NOT(Paths!$C$160=1),0,IF(Paths!$P$160="Complete",O1698+L1698,"n.a."))</f>
        <v>0</v>
      </c>
      <c r="Q1698" s="16">
        <f>IF(NOT(Paths!$C$160=1),0,IF(Paths!$P$160="Complete",N1698*(1+'Operating costs'!$B$54)^-C1698,"n.a."))</f>
        <v>0</v>
      </c>
      <c r="R1698" s="16">
        <f>IF(NOT(Paths!$C$160=1),0,IF(Paths!$P$160="Complete",IF(AND(C1698=0,Paths!$E$160=0),I1698-J1698-K1698+VLOOKUP(A1698,'Fleet register'!$A$7:$S$106,15,FALSE)+VLOOKUP(A1698,'Fleet register'!$A$7:$S$106,16,FALSE),0),"n.a."))</f>
        <v>0</v>
      </c>
      <c r="S1698" s="1">
        <f>IF(NOT(Paths!$C$160=1),0,IF(Paths!$P$160="Complete",IF(C1698=0,0,Paths!$S$160*Paths!$R$160),"n.a."))</f>
        <v>0</v>
      </c>
      <c r="T1698" s="1">
        <f>IF(NOT(Paths!$C$160=1),0,IF(Paths!$P$160="Complete",IF(C1698=0,0,VLOOKUP(A1698,'Fleet register'!$A$7:$S$106,9,FALSE)*Paths!$R$160),"n.a."))</f>
        <v>0</v>
      </c>
    </row>
    <row r="1699" spans="1:20" ht="24" customHeight="1">
      <c r="A1699" s="1" t="str">
        <f>Paths!$A$160</f>
        <v>T039</v>
      </c>
      <c r="B1699" s="1">
        <f>Paths!$B$160</f>
        <v>1</v>
      </c>
      <c r="C1699" s="1">
        <v>9</v>
      </c>
      <c r="D1699" s="1">
        <v>160</v>
      </c>
      <c r="E1699" s="1">
        <f>IF(OR(Paths!$C$160=0,C1699=0),0,MAX(0,MIN(C1699*12,Paths!$E$160)-(C1699-1)*12))</f>
        <v>0</v>
      </c>
      <c r="F1699" s="1">
        <f>IF(OR(Paths!$C$160=0,C1699=0),0,12-E1699)</f>
        <v>0</v>
      </c>
      <c r="G1699" s="16">
        <f>IF(NOT(Paths!$C$160=1),0,IF(Paths!$P$160="Complete",E1699/12*(Paths!$J$160*(1+'Operating costs'!$B$51)^MAX(0,C1699-1)+Paths!$K$160*(1+'Operating costs'!$B$53)^MAX(0,C1699-1)),"n.a."))</f>
        <v>0</v>
      </c>
      <c r="H1699" s="16">
        <f>IF(NOT(Paths!$C$160=1),0,IF(Paths!$P$160="Complete",F1699/12*(Paths!$L$160*(1+IF(Paths!$D$160="EV",'Operating costs'!$B$52,'Operating costs'!$B$51))^MAX(0,C1699-1)+Paths!$M$160*(1+'Operating costs'!$B$53)^MAX(0,C1699-1)),"n.a."))</f>
        <v>0</v>
      </c>
      <c r="I1699" s="16">
        <f>IF(NOT(Paths!$C$160=1),0,IF(Paths!$P$160="Complete",IF(IF(Paths!$E$160=0,C1699=0,AND(C1699&gt;0,Paths!$E$160&gt;(C1699-1)*12,Paths!$E$160&lt;=C1699*12)),Paths!$G$160,0),"n.a."))</f>
        <v>0</v>
      </c>
      <c r="J1699" s="16">
        <f>IF(NOT(Paths!$C$160=1),0,IF(Paths!$P$160="Complete",IF(IF(Paths!$E$160=0,C1699=0,AND(C1699&gt;0,Paths!$E$160&gt;(C1699-1)*12,Paths!$E$160&lt;=C1699*12)),Paths!$H$160,0),"n.a."))</f>
        <v>0</v>
      </c>
      <c r="K1699" s="16">
        <f>IF(NOT(Paths!$C$160=1),0,IF(Paths!$P$160="Complete",IF(IF(Paths!$O$160=0,C1699=0,AND(C1699&gt;0,Paths!$O$160&gt;(C1699-1)*12,Paths!$O$160&lt;=C1699*12)),Paths!$N$160,0),"n.a."))</f>
        <v>0</v>
      </c>
      <c r="L1699" s="16">
        <f>IF(NOT(Paths!$C$160=1),0,IF(Paths!$P$160="Complete",IF(C1699=10,Paths!$I$160,0),"n.a."))</f>
        <v>0</v>
      </c>
      <c r="M1699" s="16">
        <f>IF(NOT(Paths!$C$160=1),0,IF(Paths!$P$160="Complete",IF(AND(Paths!$D$160="EV",Paths!$E$160&lt;120,Paths!$E$160+'Operating costs'!$B$65&gt;Paths!$E$160,Paths!$E$160+'Operating costs'!$B$65&lt;=120,IF(Paths!$E$160+'Operating costs'!$B$65=0,C1699=0,AND(C1699&gt;0,Paths!$E$160+'Operating costs'!$B$65&gt;(C1699-1)*12,Paths!$E$160+'Operating costs'!$B$65&lt;=C1699*12))),'Operating costs'!$B$64,0)+IF(AND('Operating costs'!$B$67&gt;0,'Operating costs'!$B$67&lt;=120,OR(Paths!$D$160="ICE",'Operating costs'!$B$67&lt;=Paths!$E$160),IF('Operating costs'!$B$67=0,C1699=0,AND(C1699&gt;0,'Operating costs'!$B$67&gt;(C1699-1)*12,'Operating costs'!$B$67&lt;=C1699*12))),'Operating costs'!$B$66,0),"n.a."))</f>
        <v>0</v>
      </c>
      <c r="N1699" s="16">
        <f>IF(NOT(Paths!$C$160=1),0,IF(Paths!$P$160="Complete",SUM(G1699:I1699)-J1699-K1699-L1699+M1699+IF(C1699=0,Paths!$F$160,0)+IF(IF(Paths!$E$160=0,C1699=0,AND(C1699&gt;0,Paths!$E$160&gt;(C1699-1)*12,Paths!$E$160&lt;=C1699*12)),VLOOKUP(A1699,'Fleet register'!$A$7:$S$106,16,FALSE),0),"n.a."))</f>
        <v>0</v>
      </c>
      <c r="O1699" s="16">
        <f>IF(NOT(Paths!$C$160=1),0,IF(Paths!$P$160="Complete",N1699-IF(C1699=0,Paths!$F$160,0),"n.a."))</f>
        <v>0</v>
      </c>
      <c r="P1699" s="16">
        <f>IF(NOT(Paths!$C$160=1),0,IF(Paths!$P$160="Complete",O1699+L1699,"n.a."))</f>
        <v>0</v>
      </c>
      <c r="Q1699" s="16">
        <f>IF(NOT(Paths!$C$160=1),0,IF(Paths!$P$160="Complete",N1699*(1+'Operating costs'!$B$54)^-C1699,"n.a."))</f>
        <v>0</v>
      </c>
      <c r="R1699" s="16">
        <f>IF(NOT(Paths!$C$160=1),0,IF(Paths!$P$160="Complete",IF(AND(C1699=0,Paths!$E$160=0),I1699-J1699-K1699+VLOOKUP(A1699,'Fleet register'!$A$7:$S$106,15,FALSE)+VLOOKUP(A1699,'Fleet register'!$A$7:$S$106,16,FALSE),0),"n.a."))</f>
        <v>0</v>
      </c>
      <c r="S1699" s="1">
        <f>IF(NOT(Paths!$C$160=1),0,IF(Paths!$P$160="Complete",IF(C1699=0,0,Paths!$S$160*Paths!$R$160),"n.a."))</f>
        <v>0</v>
      </c>
      <c r="T1699" s="1">
        <f>IF(NOT(Paths!$C$160=1),0,IF(Paths!$P$160="Complete",IF(C1699=0,0,VLOOKUP(A1699,'Fleet register'!$A$7:$S$106,9,FALSE)*Paths!$R$160),"n.a."))</f>
        <v>0</v>
      </c>
    </row>
    <row r="1700" spans="1:20" ht="24" customHeight="1">
      <c r="A1700" s="1" t="str">
        <f>Paths!$A$160</f>
        <v>T039</v>
      </c>
      <c r="B1700" s="1">
        <f>Paths!$B$160</f>
        <v>1</v>
      </c>
      <c r="C1700" s="1">
        <v>10</v>
      </c>
      <c r="D1700" s="1">
        <v>160</v>
      </c>
      <c r="E1700" s="1">
        <f>IF(OR(Paths!$C$160=0,C1700=0),0,MAX(0,MIN(C1700*12,Paths!$E$160)-(C1700-1)*12))</f>
        <v>0</v>
      </c>
      <c r="F1700" s="1">
        <f>IF(OR(Paths!$C$160=0,C1700=0),0,12-E1700)</f>
        <v>0</v>
      </c>
      <c r="G1700" s="16">
        <f>IF(NOT(Paths!$C$160=1),0,IF(Paths!$P$160="Complete",E1700/12*(Paths!$J$160*(1+'Operating costs'!$B$51)^MAX(0,C1700-1)+Paths!$K$160*(1+'Operating costs'!$B$53)^MAX(0,C1700-1)),"n.a."))</f>
        <v>0</v>
      </c>
      <c r="H1700" s="16">
        <f>IF(NOT(Paths!$C$160=1),0,IF(Paths!$P$160="Complete",F1700/12*(Paths!$L$160*(1+IF(Paths!$D$160="EV",'Operating costs'!$B$52,'Operating costs'!$B$51))^MAX(0,C1700-1)+Paths!$M$160*(1+'Operating costs'!$B$53)^MAX(0,C1700-1)),"n.a."))</f>
        <v>0</v>
      </c>
      <c r="I1700" s="16">
        <f>IF(NOT(Paths!$C$160=1),0,IF(Paths!$P$160="Complete",IF(IF(Paths!$E$160=0,C1700=0,AND(C1700&gt;0,Paths!$E$160&gt;(C1700-1)*12,Paths!$E$160&lt;=C1700*12)),Paths!$G$160,0),"n.a."))</f>
        <v>0</v>
      </c>
      <c r="J1700" s="16">
        <f>IF(NOT(Paths!$C$160=1),0,IF(Paths!$P$160="Complete",IF(IF(Paths!$E$160=0,C1700=0,AND(C1700&gt;0,Paths!$E$160&gt;(C1700-1)*12,Paths!$E$160&lt;=C1700*12)),Paths!$H$160,0),"n.a."))</f>
        <v>0</v>
      </c>
      <c r="K1700" s="16">
        <f>IF(NOT(Paths!$C$160=1),0,IF(Paths!$P$160="Complete",IF(IF(Paths!$O$160=0,C1700=0,AND(C1700&gt;0,Paths!$O$160&gt;(C1700-1)*12,Paths!$O$160&lt;=C1700*12)),Paths!$N$160,0),"n.a."))</f>
        <v>0</v>
      </c>
      <c r="L1700" s="16">
        <f>IF(NOT(Paths!$C$160=1),0,IF(Paths!$P$160="Complete",IF(C1700=10,Paths!$I$160,0),"n.a."))</f>
        <v>0</v>
      </c>
      <c r="M1700" s="16">
        <f>IF(NOT(Paths!$C$160=1),0,IF(Paths!$P$160="Complete",IF(AND(Paths!$D$160="EV",Paths!$E$160&lt;120,Paths!$E$160+'Operating costs'!$B$65&gt;Paths!$E$160,Paths!$E$160+'Operating costs'!$B$65&lt;=120,IF(Paths!$E$160+'Operating costs'!$B$65=0,C1700=0,AND(C1700&gt;0,Paths!$E$160+'Operating costs'!$B$65&gt;(C1700-1)*12,Paths!$E$160+'Operating costs'!$B$65&lt;=C1700*12))),'Operating costs'!$B$64,0)+IF(AND('Operating costs'!$B$67&gt;0,'Operating costs'!$B$67&lt;=120,OR(Paths!$D$160="ICE",'Operating costs'!$B$67&lt;=Paths!$E$160),IF('Operating costs'!$B$67=0,C1700=0,AND(C1700&gt;0,'Operating costs'!$B$67&gt;(C1700-1)*12,'Operating costs'!$B$67&lt;=C1700*12))),'Operating costs'!$B$66,0),"n.a."))</f>
        <v>0</v>
      </c>
      <c r="N1700" s="16">
        <f>IF(NOT(Paths!$C$160=1),0,IF(Paths!$P$160="Complete",SUM(G1700:I1700)-J1700-K1700-L1700+M1700+IF(C1700=0,Paths!$F$160,0)+IF(IF(Paths!$E$160=0,C1700=0,AND(C1700&gt;0,Paths!$E$160&gt;(C1700-1)*12,Paths!$E$160&lt;=C1700*12)),VLOOKUP(A1700,'Fleet register'!$A$7:$S$106,16,FALSE),0),"n.a."))</f>
        <v>0</v>
      </c>
      <c r="O1700" s="16">
        <f>IF(NOT(Paths!$C$160=1),0,IF(Paths!$P$160="Complete",N1700-IF(C1700=0,Paths!$F$160,0),"n.a."))</f>
        <v>0</v>
      </c>
      <c r="P1700" s="16">
        <f>IF(NOT(Paths!$C$160=1),0,IF(Paths!$P$160="Complete",O1700+L1700,"n.a."))</f>
        <v>0</v>
      </c>
      <c r="Q1700" s="16">
        <f>IF(NOT(Paths!$C$160=1),0,IF(Paths!$P$160="Complete",N1700*(1+'Operating costs'!$B$54)^-C1700,"n.a."))</f>
        <v>0</v>
      </c>
      <c r="R1700" s="16">
        <f>IF(NOT(Paths!$C$160=1),0,IF(Paths!$P$160="Complete",IF(AND(C1700=0,Paths!$E$160=0),I1700-J1700-K1700+VLOOKUP(A1700,'Fleet register'!$A$7:$S$106,15,FALSE)+VLOOKUP(A1700,'Fleet register'!$A$7:$S$106,16,FALSE),0),"n.a."))</f>
        <v>0</v>
      </c>
      <c r="S1700" s="1">
        <f>IF(NOT(Paths!$C$160=1),0,IF(Paths!$P$160="Complete",IF(C1700=0,0,Paths!$S$160*Paths!$R$160),"n.a."))</f>
        <v>0</v>
      </c>
      <c r="T1700" s="1">
        <f>IF(NOT(Paths!$C$160=1),0,IF(Paths!$P$160="Complete",IF(C1700=0,0,VLOOKUP(A1700,'Fleet register'!$A$7:$S$106,9,FALSE)*Paths!$R$160),"n.a."))</f>
        <v>0</v>
      </c>
    </row>
    <row r="1701" spans="1:20" ht="24" customHeight="1">
      <c r="A1701" s="1" t="str">
        <f>Paths!$A$161</f>
        <v>T039</v>
      </c>
      <c r="B1701" s="1">
        <f>Paths!$B$161</f>
        <v>2</v>
      </c>
      <c r="C1701" s="1">
        <v>0</v>
      </c>
      <c r="D1701" s="1">
        <v>161</v>
      </c>
      <c r="E1701" s="1">
        <f>IF(OR(Paths!$C$161=0,C1701=0),0,MAX(0,MIN(C1701*12,Paths!$E$161)-(C1701-1)*12))</f>
        <v>0</v>
      </c>
      <c r="F1701" s="1">
        <f>IF(OR(Paths!$C$161=0,C1701=0),0,12-E1701)</f>
        <v>0</v>
      </c>
      <c r="G1701" s="16">
        <f>IF(NOT(Paths!$C$161=1),0,IF(Paths!$P$161="Complete",E1701/12*(Paths!$J$161*(1+'Operating costs'!$B$51)^MAX(0,C1701-1)+Paths!$K$161*(1+'Operating costs'!$B$53)^MAX(0,C1701-1)),"n.a."))</f>
        <v>0</v>
      </c>
      <c r="H1701" s="16">
        <f>IF(NOT(Paths!$C$161=1),0,IF(Paths!$P$161="Complete",F1701/12*(Paths!$L$161*(1+IF(Paths!$D$161="EV",'Operating costs'!$B$52,'Operating costs'!$B$51))^MAX(0,C1701-1)+Paths!$M$161*(1+'Operating costs'!$B$53)^MAX(0,C1701-1)),"n.a."))</f>
        <v>0</v>
      </c>
      <c r="I1701" s="16">
        <f>IF(NOT(Paths!$C$161=1),0,IF(Paths!$P$161="Complete",IF(IF(Paths!$E$161=0,C1701=0,AND(C1701&gt;0,Paths!$E$161&gt;(C1701-1)*12,Paths!$E$161&lt;=C1701*12)),Paths!$G$161,0),"n.a."))</f>
        <v>0</v>
      </c>
      <c r="J1701" s="16">
        <f>IF(NOT(Paths!$C$161=1),0,IF(Paths!$P$161="Complete",IF(IF(Paths!$E$161=0,C1701=0,AND(C1701&gt;0,Paths!$E$161&gt;(C1701-1)*12,Paths!$E$161&lt;=C1701*12)),Paths!$H$161,0),"n.a."))</f>
        <v>0</v>
      </c>
      <c r="K1701" s="16">
        <f>IF(NOT(Paths!$C$161=1),0,IF(Paths!$P$161="Complete",IF(IF(Paths!$O$161=0,C1701=0,AND(C1701&gt;0,Paths!$O$161&gt;(C1701-1)*12,Paths!$O$161&lt;=C1701*12)),Paths!$N$161,0),"n.a."))</f>
        <v>0</v>
      </c>
      <c r="L1701" s="16">
        <f>IF(NOT(Paths!$C$161=1),0,IF(Paths!$P$161="Complete",IF(C1701=10,Paths!$I$161,0),"n.a."))</f>
        <v>0</v>
      </c>
      <c r="M1701" s="16">
        <f>IF(NOT(Paths!$C$161=1),0,IF(Paths!$P$161="Complete",IF(AND(Paths!$D$161="EV",Paths!$E$161&lt;120,Paths!$E$161+'Operating costs'!$B$65&gt;Paths!$E$161,Paths!$E$161+'Operating costs'!$B$65&lt;=120,IF(Paths!$E$161+'Operating costs'!$B$65=0,C1701=0,AND(C1701&gt;0,Paths!$E$161+'Operating costs'!$B$65&gt;(C1701-1)*12,Paths!$E$161+'Operating costs'!$B$65&lt;=C1701*12))),'Operating costs'!$B$64,0)+IF(AND('Operating costs'!$B$67&gt;0,'Operating costs'!$B$67&lt;=120,OR(Paths!$D$161="ICE",'Operating costs'!$B$67&lt;=Paths!$E$161),IF('Operating costs'!$B$67=0,C1701=0,AND(C1701&gt;0,'Operating costs'!$B$67&gt;(C1701-1)*12,'Operating costs'!$B$67&lt;=C1701*12))),'Operating costs'!$B$66,0),"n.a."))</f>
        <v>0</v>
      </c>
      <c r="N1701" s="16">
        <f>IF(NOT(Paths!$C$161=1),0,IF(Paths!$P$161="Complete",SUM(G1701:I1701)-J1701-K1701-L1701+M1701+IF(C1701=0,Paths!$F$161,0)+IF(IF(Paths!$E$161=0,C1701=0,AND(C1701&gt;0,Paths!$E$161&gt;(C1701-1)*12,Paths!$E$161&lt;=C1701*12)),VLOOKUP(A1701,'Fleet register'!$A$7:$S$106,16,FALSE),0),"n.a."))</f>
        <v>0</v>
      </c>
      <c r="O1701" s="16">
        <f>IF(NOT(Paths!$C$161=1),0,IF(Paths!$P$161="Complete",N1701-IF(C1701=0,Paths!$F$161,0),"n.a."))</f>
        <v>0</v>
      </c>
      <c r="P1701" s="16">
        <f>IF(NOT(Paths!$C$161=1),0,IF(Paths!$P$161="Complete",O1701+L1701,"n.a."))</f>
        <v>0</v>
      </c>
      <c r="Q1701" s="16">
        <f>IF(NOT(Paths!$C$161=1),0,IF(Paths!$P$161="Complete",N1701*(1+'Operating costs'!$B$54)^-C1701,"n.a."))</f>
        <v>0</v>
      </c>
      <c r="R1701" s="16">
        <f>IF(NOT(Paths!$C$161=1),0,IF(Paths!$P$161="Complete",IF(AND(C1701=0,Paths!$E$161=0),I1701-J1701-K1701+VLOOKUP(A1701,'Fleet register'!$A$7:$S$106,15,FALSE)+VLOOKUP(A1701,'Fleet register'!$A$7:$S$106,16,FALSE),0),"n.a."))</f>
        <v>0</v>
      </c>
      <c r="S1701" s="1">
        <f>IF(NOT(Paths!$C$161=1),0,IF(Paths!$P$161="Complete",IF(C1701=0,0,Paths!$S$161*Paths!$R$161),"n.a."))</f>
        <v>0</v>
      </c>
      <c r="T1701" s="1">
        <f>IF(NOT(Paths!$C$161=1),0,IF(Paths!$P$161="Complete",IF(C1701=0,0,VLOOKUP(A1701,'Fleet register'!$A$7:$S$106,9,FALSE)*Paths!$R$161),"n.a."))</f>
        <v>0</v>
      </c>
    </row>
    <row r="1702" spans="1:20" ht="24" customHeight="1">
      <c r="A1702" s="1" t="str">
        <f>Paths!$A$161</f>
        <v>T039</v>
      </c>
      <c r="B1702" s="1">
        <f>Paths!$B$161</f>
        <v>2</v>
      </c>
      <c r="C1702" s="1">
        <v>1</v>
      </c>
      <c r="D1702" s="1">
        <v>161</v>
      </c>
      <c r="E1702" s="1">
        <f>IF(OR(Paths!$C$161=0,C1702=0),0,MAX(0,MIN(C1702*12,Paths!$E$161)-(C1702-1)*12))</f>
        <v>0</v>
      </c>
      <c r="F1702" s="1">
        <f>IF(OR(Paths!$C$161=0,C1702=0),0,12-E1702)</f>
        <v>0</v>
      </c>
      <c r="G1702" s="16">
        <f>IF(NOT(Paths!$C$161=1),0,IF(Paths!$P$161="Complete",E1702/12*(Paths!$J$161*(1+'Operating costs'!$B$51)^MAX(0,C1702-1)+Paths!$K$161*(1+'Operating costs'!$B$53)^MAX(0,C1702-1)),"n.a."))</f>
        <v>0</v>
      </c>
      <c r="H1702" s="16">
        <f>IF(NOT(Paths!$C$161=1),0,IF(Paths!$P$161="Complete",F1702/12*(Paths!$L$161*(1+IF(Paths!$D$161="EV",'Operating costs'!$B$52,'Operating costs'!$B$51))^MAX(0,C1702-1)+Paths!$M$161*(1+'Operating costs'!$B$53)^MAX(0,C1702-1)),"n.a."))</f>
        <v>0</v>
      </c>
      <c r="I1702" s="16">
        <f>IF(NOT(Paths!$C$161=1),0,IF(Paths!$P$161="Complete",IF(IF(Paths!$E$161=0,C1702=0,AND(C1702&gt;0,Paths!$E$161&gt;(C1702-1)*12,Paths!$E$161&lt;=C1702*12)),Paths!$G$161,0),"n.a."))</f>
        <v>0</v>
      </c>
      <c r="J1702" s="16">
        <f>IF(NOT(Paths!$C$161=1),0,IF(Paths!$P$161="Complete",IF(IF(Paths!$E$161=0,C1702=0,AND(C1702&gt;0,Paths!$E$161&gt;(C1702-1)*12,Paths!$E$161&lt;=C1702*12)),Paths!$H$161,0),"n.a."))</f>
        <v>0</v>
      </c>
      <c r="K1702" s="16">
        <f>IF(NOT(Paths!$C$161=1),0,IF(Paths!$P$161="Complete",IF(IF(Paths!$O$161=0,C1702=0,AND(C1702&gt;0,Paths!$O$161&gt;(C1702-1)*12,Paths!$O$161&lt;=C1702*12)),Paths!$N$161,0),"n.a."))</f>
        <v>0</v>
      </c>
      <c r="L1702" s="16">
        <f>IF(NOT(Paths!$C$161=1),0,IF(Paths!$P$161="Complete",IF(C1702=10,Paths!$I$161,0),"n.a."))</f>
        <v>0</v>
      </c>
      <c r="M1702" s="16">
        <f>IF(NOT(Paths!$C$161=1),0,IF(Paths!$P$161="Complete",IF(AND(Paths!$D$161="EV",Paths!$E$161&lt;120,Paths!$E$161+'Operating costs'!$B$65&gt;Paths!$E$161,Paths!$E$161+'Operating costs'!$B$65&lt;=120,IF(Paths!$E$161+'Operating costs'!$B$65=0,C1702=0,AND(C1702&gt;0,Paths!$E$161+'Operating costs'!$B$65&gt;(C1702-1)*12,Paths!$E$161+'Operating costs'!$B$65&lt;=C1702*12))),'Operating costs'!$B$64,0)+IF(AND('Operating costs'!$B$67&gt;0,'Operating costs'!$B$67&lt;=120,OR(Paths!$D$161="ICE",'Operating costs'!$B$67&lt;=Paths!$E$161),IF('Operating costs'!$B$67=0,C1702=0,AND(C1702&gt;0,'Operating costs'!$B$67&gt;(C1702-1)*12,'Operating costs'!$B$67&lt;=C1702*12))),'Operating costs'!$B$66,0),"n.a."))</f>
        <v>0</v>
      </c>
      <c r="N1702" s="16">
        <f>IF(NOT(Paths!$C$161=1),0,IF(Paths!$P$161="Complete",SUM(G1702:I1702)-J1702-K1702-L1702+M1702+IF(C1702=0,Paths!$F$161,0)+IF(IF(Paths!$E$161=0,C1702=0,AND(C1702&gt;0,Paths!$E$161&gt;(C1702-1)*12,Paths!$E$161&lt;=C1702*12)),VLOOKUP(A1702,'Fleet register'!$A$7:$S$106,16,FALSE),0),"n.a."))</f>
        <v>0</v>
      </c>
      <c r="O1702" s="16">
        <f>IF(NOT(Paths!$C$161=1),0,IF(Paths!$P$161="Complete",N1702-IF(C1702=0,Paths!$F$161,0),"n.a."))</f>
        <v>0</v>
      </c>
      <c r="P1702" s="16">
        <f>IF(NOT(Paths!$C$161=1),0,IF(Paths!$P$161="Complete",O1702+L1702,"n.a."))</f>
        <v>0</v>
      </c>
      <c r="Q1702" s="16">
        <f>IF(NOT(Paths!$C$161=1),0,IF(Paths!$P$161="Complete",N1702*(1+'Operating costs'!$B$54)^-C1702,"n.a."))</f>
        <v>0</v>
      </c>
      <c r="R1702" s="16">
        <f>IF(NOT(Paths!$C$161=1),0,IF(Paths!$P$161="Complete",IF(AND(C1702=0,Paths!$E$161=0),I1702-J1702-K1702+VLOOKUP(A1702,'Fleet register'!$A$7:$S$106,15,FALSE)+VLOOKUP(A1702,'Fleet register'!$A$7:$S$106,16,FALSE),0),"n.a."))</f>
        <v>0</v>
      </c>
      <c r="S1702" s="1">
        <f>IF(NOT(Paths!$C$161=1),0,IF(Paths!$P$161="Complete",IF(C1702=0,0,Paths!$S$161*Paths!$R$161),"n.a."))</f>
        <v>0</v>
      </c>
      <c r="T1702" s="1">
        <f>IF(NOT(Paths!$C$161=1),0,IF(Paths!$P$161="Complete",IF(C1702=0,0,VLOOKUP(A1702,'Fleet register'!$A$7:$S$106,9,FALSE)*Paths!$R$161),"n.a."))</f>
        <v>0</v>
      </c>
    </row>
    <row r="1703" spans="1:20" ht="24" customHeight="1">
      <c r="A1703" s="1" t="str">
        <f>Paths!$A$161</f>
        <v>T039</v>
      </c>
      <c r="B1703" s="1">
        <f>Paths!$B$161</f>
        <v>2</v>
      </c>
      <c r="C1703" s="1">
        <v>2</v>
      </c>
      <c r="D1703" s="1">
        <v>161</v>
      </c>
      <c r="E1703" s="1">
        <f>IF(OR(Paths!$C$161=0,C1703=0),0,MAX(0,MIN(C1703*12,Paths!$E$161)-(C1703-1)*12))</f>
        <v>0</v>
      </c>
      <c r="F1703" s="1">
        <f>IF(OR(Paths!$C$161=0,C1703=0),0,12-E1703)</f>
        <v>0</v>
      </c>
      <c r="G1703" s="16">
        <f>IF(NOT(Paths!$C$161=1),0,IF(Paths!$P$161="Complete",E1703/12*(Paths!$J$161*(1+'Operating costs'!$B$51)^MAX(0,C1703-1)+Paths!$K$161*(1+'Operating costs'!$B$53)^MAX(0,C1703-1)),"n.a."))</f>
        <v>0</v>
      </c>
      <c r="H1703" s="16">
        <f>IF(NOT(Paths!$C$161=1),0,IF(Paths!$P$161="Complete",F1703/12*(Paths!$L$161*(1+IF(Paths!$D$161="EV",'Operating costs'!$B$52,'Operating costs'!$B$51))^MAX(0,C1703-1)+Paths!$M$161*(1+'Operating costs'!$B$53)^MAX(0,C1703-1)),"n.a."))</f>
        <v>0</v>
      </c>
      <c r="I1703" s="16">
        <f>IF(NOT(Paths!$C$161=1),0,IF(Paths!$P$161="Complete",IF(IF(Paths!$E$161=0,C1703=0,AND(C1703&gt;0,Paths!$E$161&gt;(C1703-1)*12,Paths!$E$161&lt;=C1703*12)),Paths!$G$161,0),"n.a."))</f>
        <v>0</v>
      </c>
      <c r="J1703" s="16">
        <f>IF(NOT(Paths!$C$161=1),0,IF(Paths!$P$161="Complete",IF(IF(Paths!$E$161=0,C1703=0,AND(C1703&gt;0,Paths!$E$161&gt;(C1703-1)*12,Paths!$E$161&lt;=C1703*12)),Paths!$H$161,0),"n.a."))</f>
        <v>0</v>
      </c>
      <c r="K1703" s="16">
        <f>IF(NOT(Paths!$C$161=1),0,IF(Paths!$P$161="Complete",IF(IF(Paths!$O$161=0,C1703=0,AND(C1703&gt;0,Paths!$O$161&gt;(C1703-1)*12,Paths!$O$161&lt;=C1703*12)),Paths!$N$161,0),"n.a."))</f>
        <v>0</v>
      </c>
      <c r="L1703" s="16">
        <f>IF(NOT(Paths!$C$161=1),0,IF(Paths!$P$161="Complete",IF(C1703=10,Paths!$I$161,0),"n.a."))</f>
        <v>0</v>
      </c>
      <c r="M1703" s="16">
        <f>IF(NOT(Paths!$C$161=1),0,IF(Paths!$P$161="Complete",IF(AND(Paths!$D$161="EV",Paths!$E$161&lt;120,Paths!$E$161+'Operating costs'!$B$65&gt;Paths!$E$161,Paths!$E$161+'Operating costs'!$B$65&lt;=120,IF(Paths!$E$161+'Operating costs'!$B$65=0,C1703=0,AND(C1703&gt;0,Paths!$E$161+'Operating costs'!$B$65&gt;(C1703-1)*12,Paths!$E$161+'Operating costs'!$B$65&lt;=C1703*12))),'Operating costs'!$B$64,0)+IF(AND('Operating costs'!$B$67&gt;0,'Operating costs'!$B$67&lt;=120,OR(Paths!$D$161="ICE",'Operating costs'!$B$67&lt;=Paths!$E$161),IF('Operating costs'!$B$67=0,C1703=0,AND(C1703&gt;0,'Operating costs'!$B$67&gt;(C1703-1)*12,'Operating costs'!$B$67&lt;=C1703*12))),'Operating costs'!$B$66,0),"n.a."))</f>
        <v>0</v>
      </c>
      <c r="N1703" s="16">
        <f>IF(NOT(Paths!$C$161=1),0,IF(Paths!$P$161="Complete",SUM(G1703:I1703)-J1703-K1703-L1703+M1703+IF(C1703=0,Paths!$F$161,0)+IF(IF(Paths!$E$161=0,C1703=0,AND(C1703&gt;0,Paths!$E$161&gt;(C1703-1)*12,Paths!$E$161&lt;=C1703*12)),VLOOKUP(A1703,'Fleet register'!$A$7:$S$106,16,FALSE),0),"n.a."))</f>
        <v>0</v>
      </c>
      <c r="O1703" s="16">
        <f>IF(NOT(Paths!$C$161=1),0,IF(Paths!$P$161="Complete",N1703-IF(C1703=0,Paths!$F$161,0),"n.a."))</f>
        <v>0</v>
      </c>
      <c r="P1703" s="16">
        <f>IF(NOT(Paths!$C$161=1),0,IF(Paths!$P$161="Complete",O1703+L1703,"n.a."))</f>
        <v>0</v>
      </c>
      <c r="Q1703" s="16">
        <f>IF(NOT(Paths!$C$161=1),0,IF(Paths!$P$161="Complete",N1703*(1+'Operating costs'!$B$54)^-C1703,"n.a."))</f>
        <v>0</v>
      </c>
      <c r="R1703" s="16">
        <f>IF(NOT(Paths!$C$161=1),0,IF(Paths!$P$161="Complete",IF(AND(C1703=0,Paths!$E$161=0),I1703-J1703-K1703+VLOOKUP(A1703,'Fleet register'!$A$7:$S$106,15,FALSE)+VLOOKUP(A1703,'Fleet register'!$A$7:$S$106,16,FALSE),0),"n.a."))</f>
        <v>0</v>
      </c>
      <c r="S1703" s="1">
        <f>IF(NOT(Paths!$C$161=1),0,IF(Paths!$P$161="Complete",IF(C1703=0,0,Paths!$S$161*Paths!$R$161),"n.a."))</f>
        <v>0</v>
      </c>
      <c r="T1703" s="1">
        <f>IF(NOT(Paths!$C$161=1),0,IF(Paths!$P$161="Complete",IF(C1703=0,0,VLOOKUP(A1703,'Fleet register'!$A$7:$S$106,9,FALSE)*Paths!$R$161),"n.a."))</f>
        <v>0</v>
      </c>
    </row>
    <row r="1704" spans="1:20" ht="24" customHeight="1">
      <c r="A1704" s="1" t="str">
        <f>Paths!$A$161</f>
        <v>T039</v>
      </c>
      <c r="B1704" s="1">
        <f>Paths!$B$161</f>
        <v>2</v>
      </c>
      <c r="C1704" s="1">
        <v>3</v>
      </c>
      <c r="D1704" s="1">
        <v>161</v>
      </c>
      <c r="E1704" s="1">
        <f>IF(OR(Paths!$C$161=0,C1704=0),0,MAX(0,MIN(C1704*12,Paths!$E$161)-(C1704-1)*12))</f>
        <v>0</v>
      </c>
      <c r="F1704" s="1">
        <f>IF(OR(Paths!$C$161=0,C1704=0),0,12-E1704)</f>
        <v>0</v>
      </c>
      <c r="G1704" s="16">
        <f>IF(NOT(Paths!$C$161=1),0,IF(Paths!$P$161="Complete",E1704/12*(Paths!$J$161*(1+'Operating costs'!$B$51)^MAX(0,C1704-1)+Paths!$K$161*(1+'Operating costs'!$B$53)^MAX(0,C1704-1)),"n.a."))</f>
        <v>0</v>
      </c>
      <c r="H1704" s="16">
        <f>IF(NOT(Paths!$C$161=1),0,IF(Paths!$P$161="Complete",F1704/12*(Paths!$L$161*(1+IF(Paths!$D$161="EV",'Operating costs'!$B$52,'Operating costs'!$B$51))^MAX(0,C1704-1)+Paths!$M$161*(1+'Operating costs'!$B$53)^MAX(0,C1704-1)),"n.a."))</f>
        <v>0</v>
      </c>
      <c r="I1704" s="16">
        <f>IF(NOT(Paths!$C$161=1),0,IF(Paths!$P$161="Complete",IF(IF(Paths!$E$161=0,C1704=0,AND(C1704&gt;0,Paths!$E$161&gt;(C1704-1)*12,Paths!$E$161&lt;=C1704*12)),Paths!$G$161,0),"n.a."))</f>
        <v>0</v>
      </c>
      <c r="J1704" s="16">
        <f>IF(NOT(Paths!$C$161=1),0,IF(Paths!$P$161="Complete",IF(IF(Paths!$E$161=0,C1704=0,AND(C1704&gt;0,Paths!$E$161&gt;(C1704-1)*12,Paths!$E$161&lt;=C1704*12)),Paths!$H$161,0),"n.a."))</f>
        <v>0</v>
      </c>
      <c r="K1704" s="16">
        <f>IF(NOT(Paths!$C$161=1),0,IF(Paths!$P$161="Complete",IF(IF(Paths!$O$161=0,C1704=0,AND(C1704&gt;0,Paths!$O$161&gt;(C1704-1)*12,Paths!$O$161&lt;=C1704*12)),Paths!$N$161,0),"n.a."))</f>
        <v>0</v>
      </c>
      <c r="L1704" s="16">
        <f>IF(NOT(Paths!$C$161=1),0,IF(Paths!$P$161="Complete",IF(C1704=10,Paths!$I$161,0),"n.a."))</f>
        <v>0</v>
      </c>
      <c r="M1704" s="16">
        <f>IF(NOT(Paths!$C$161=1),0,IF(Paths!$P$161="Complete",IF(AND(Paths!$D$161="EV",Paths!$E$161&lt;120,Paths!$E$161+'Operating costs'!$B$65&gt;Paths!$E$161,Paths!$E$161+'Operating costs'!$B$65&lt;=120,IF(Paths!$E$161+'Operating costs'!$B$65=0,C1704=0,AND(C1704&gt;0,Paths!$E$161+'Operating costs'!$B$65&gt;(C1704-1)*12,Paths!$E$161+'Operating costs'!$B$65&lt;=C1704*12))),'Operating costs'!$B$64,0)+IF(AND('Operating costs'!$B$67&gt;0,'Operating costs'!$B$67&lt;=120,OR(Paths!$D$161="ICE",'Operating costs'!$B$67&lt;=Paths!$E$161),IF('Operating costs'!$B$67=0,C1704=0,AND(C1704&gt;0,'Operating costs'!$B$67&gt;(C1704-1)*12,'Operating costs'!$B$67&lt;=C1704*12))),'Operating costs'!$B$66,0),"n.a."))</f>
        <v>0</v>
      </c>
      <c r="N1704" s="16">
        <f>IF(NOT(Paths!$C$161=1),0,IF(Paths!$P$161="Complete",SUM(G1704:I1704)-J1704-K1704-L1704+M1704+IF(C1704=0,Paths!$F$161,0)+IF(IF(Paths!$E$161=0,C1704=0,AND(C1704&gt;0,Paths!$E$161&gt;(C1704-1)*12,Paths!$E$161&lt;=C1704*12)),VLOOKUP(A1704,'Fleet register'!$A$7:$S$106,16,FALSE),0),"n.a."))</f>
        <v>0</v>
      </c>
      <c r="O1704" s="16">
        <f>IF(NOT(Paths!$C$161=1),0,IF(Paths!$P$161="Complete",N1704-IF(C1704=0,Paths!$F$161,0),"n.a."))</f>
        <v>0</v>
      </c>
      <c r="P1704" s="16">
        <f>IF(NOT(Paths!$C$161=1),0,IF(Paths!$P$161="Complete",O1704+L1704,"n.a."))</f>
        <v>0</v>
      </c>
      <c r="Q1704" s="16">
        <f>IF(NOT(Paths!$C$161=1),0,IF(Paths!$P$161="Complete",N1704*(1+'Operating costs'!$B$54)^-C1704,"n.a."))</f>
        <v>0</v>
      </c>
      <c r="R1704" s="16">
        <f>IF(NOT(Paths!$C$161=1),0,IF(Paths!$P$161="Complete",IF(AND(C1704=0,Paths!$E$161=0),I1704-J1704-K1704+VLOOKUP(A1704,'Fleet register'!$A$7:$S$106,15,FALSE)+VLOOKUP(A1704,'Fleet register'!$A$7:$S$106,16,FALSE),0),"n.a."))</f>
        <v>0</v>
      </c>
      <c r="S1704" s="1">
        <f>IF(NOT(Paths!$C$161=1),0,IF(Paths!$P$161="Complete",IF(C1704=0,0,Paths!$S$161*Paths!$R$161),"n.a."))</f>
        <v>0</v>
      </c>
      <c r="T1704" s="1">
        <f>IF(NOT(Paths!$C$161=1),0,IF(Paths!$P$161="Complete",IF(C1704=0,0,VLOOKUP(A1704,'Fleet register'!$A$7:$S$106,9,FALSE)*Paths!$R$161),"n.a."))</f>
        <v>0</v>
      </c>
    </row>
    <row r="1705" spans="1:20" ht="24" customHeight="1">
      <c r="A1705" s="1" t="str">
        <f>Paths!$A$161</f>
        <v>T039</v>
      </c>
      <c r="B1705" s="1">
        <f>Paths!$B$161</f>
        <v>2</v>
      </c>
      <c r="C1705" s="1">
        <v>4</v>
      </c>
      <c r="D1705" s="1">
        <v>161</v>
      </c>
      <c r="E1705" s="1">
        <f>IF(OR(Paths!$C$161=0,C1705=0),0,MAX(0,MIN(C1705*12,Paths!$E$161)-(C1705-1)*12))</f>
        <v>0</v>
      </c>
      <c r="F1705" s="1">
        <f>IF(OR(Paths!$C$161=0,C1705=0),0,12-E1705)</f>
        <v>0</v>
      </c>
      <c r="G1705" s="16">
        <f>IF(NOT(Paths!$C$161=1),0,IF(Paths!$P$161="Complete",E1705/12*(Paths!$J$161*(1+'Operating costs'!$B$51)^MAX(0,C1705-1)+Paths!$K$161*(1+'Operating costs'!$B$53)^MAX(0,C1705-1)),"n.a."))</f>
        <v>0</v>
      </c>
      <c r="H1705" s="16">
        <f>IF(NOT(Paths!$C$161=1),0,IF(Paths!$P$161="Complete",F1705/12*(Paths!$L$161*(1+IF(Paths!$D$161="EV",'Operating costs'!$B$52,'Operating costs'!$B$51))^MAX(0,C1705-1)+Paths!$M$161*(1+'Operating costs'!$B$53)^MAX(0,C1705-1)),"n.a."))</f>
        <v>0</v>
      </c>
      <c r="I1705" s="16">
        <f>IF(NOT(Paths!$C$161=1),0,IF(Paths!$P$161="Complete",IF(IF(Paths!$E$161=0,C1705=0,AND(C1705&gt;0,Paths!$E$161&gt;(C1705-1)*12,Paths!$E$161&lt;=C1705*12)),Paths!$G$161,0),"n.a."))</f>
        <v>0</v>
      </c>
      <c r="J1705" s="16">
        <f>IF(NOT(Paths!$C$161=1),0,IF(Paths!$P$161="Complete",IF(IF(Paths!$E$161=0,C1705=0,AND(C1705&gt;0,Paths!$E$161&gt;(C1705-1)*12,Paths!$E$161&lt;=C1705*12)),Paths!$H$161,0),"n.a."))</f>
        <v>0</v>
      </c>
      <c r="K1705" s="16">
        <f>IF(NOT(Paths!$C$161=1),0,IF(Paths!$P$161="Complete",IF(IF(Paths!$O$161=0,C1705=0,AND(C1705&gt;0,Paths!$O$161&gt;(C1705-1)*12,Paths!$O$161&lt;=C1705*12)),Paths!$N$161,0),"n.a."))</f>
        <v>0</v>
      </c>
      <c r="L1705" s="16">
        <f>IF(NOT(Paths!$C$161=1),0,IF(Paths!$P$161="Complete",IF(C1705=10,Paths!$I$161,0),"n.a."))</f>
        <v>0</v>
      </c>
      <c r="M1705" s="16">
        <f>IF(NOT(Paths!$C$161=1),0,IF(Paths!$P$161="Complete",IF(AND(Paths!$D$161="EV",Paths!$E$161&lt;120,Paths!$E$161+'Operating costs'!$B$65&gt;Paths!$E$161,Paths!$E$161+'Operating costs'!$B$65&lt;=120,IF(Paths!$E$161+'Operating costs'!$B$65=0,C1705=0,AND(C1705&gt;0,Paths!$E$161+'Operating costs'!$B$65&gt;(C1705-1)*12,Paths!$E$161+'Operating costs'!$B$65&lt;=C1705*12))),'Operating costs'!$B$64,0)+IF(AND('Operating costs'!$B$67&gt;0,'Operating costs'!$B$67&lt;=120,OR(Paths!$D$161="ICE",'Operating costs'!$B$67&lt;=Paths!$E$161),IF('Operating costs'!$B$67=0,C1705=0,AND(C1705&gt;0,'Operating costs'!$B$67&gt;(C1705-1)*12,'Operating costs'!$B$67&lt;=C1705*12))),'Operating costs'!$B$66,0),"n.a."))</f>
        <v>0</v>
      </c>
      <c r="N1705" s="16">
        <f>IF(NOT(Paths!$C$161=1),0,IF(Paths!$P$161="Complete",SUM(G1705:I1705)-J1705-K1705-L1705+M1705+IF(C1705=0,Paths!$F$161,0)+IF(IF(Paths!$E$161=0,C1705=0,AND(C1705&gt;0,Paths!$E$161&gt;(C1705-1)*12,Paths!$E$161&lt;=C1705*12)),VLOOKUP(A1705,'Fleet register'!$A$7:$S$106,16,FALSE),0),"n.a."))</f>
        <v>0</v>
      </c>
      <c r="O1705" s="16">
        <f>IF(NOT(Paths!$C$161=1),0,IF(Paths!$P$161="Complete",N1705-IF(C1705=0,Paths!$F$161,0),"n.a."))</f>
        <v>0</v>
      </c>
      <c r="P1705" s="16">
        <f>IF(NOT(Paths!$C$161=1),0,IF(Paths!$P$161="Complete",O1705+L1705,"n.a."))</f>
        <v>0</v>
      </c>
      <c r="Q1705" s="16">
        <f>IF(NOT(Paths!$C$161=1),0,IF(Paths!$P$161="Complete",N1705*(1+'Operating costs'!$B$54)^-C1705,"n.a."))</f>
        <v>0</v>
      </c>
      <c r="R1705" s="16">
        <f>IF(NOT(Paths!$C$161=1),0,IF(Paths!$P$161="Complete",IF(AND(C1705=0,Paths!$E$161=0),I1705-J1705-K1705+VLOOKUP(A1705,'Fleet register'!$A$7:$S$106,15,FALSE)+VLOOKUP(A1705,'Fleet register'!$A$7:$S$106,16,FALSE),0),"n.a."))</f>
        <v>0</v>
      </c>
      <c r="S1705" s="1">
        <f>IF(NOT(Paths!$C$161=1),0,IF(Paths!$P$161="Complete",IF(C1705=0,0,Paths!$S$161*Paths!$R$161),"n.a."))</f>
        <v>0</v>
      </c>
      <c r="T1705" s="1">
        <f>IF(NOT(Paths!$C$161=1),0,IF(Paths!$P$161="Complete",IF(C1705=0,0,VLOOKUP(A1705,'Fleet register'!$A$7:$S$106,9,FALSE)*Paths!$R$161),"n.a."))</f>
        <v>0</v>
      </c>
    </row>
    <row r="1706" spans="1:20" ht="24" customHeight="1">
      <c r="A1706" s="1" t="str">
        <f>Paths!$A$161</f>
        <v>T039</v>
      </c>
      <c r="B1706" s="1">
        <f>Paths!$B$161</f>
        <v>2</v>
      </c>
      <c r="C1706" s="1">
        <v>5</v>
      </c>
      <c r="D1706" s="1">
        <v>161</v>
      </c>
      <c r="E1706" s="1">
        <f>IF(OR(Paths!$C$161=0,C1706=0),0,MAX(0,MIN(C1706*12,Paths!$E$161)-(C1706-1)*12))</f>
        <v>0</v>
      </c>
      <c r="F1706" s="1">
        <f>IF(OR(Paths!$C$161=0,C1706=0),0,12-E1706)</f>
        <v>0</v>
      </c>
      <c r="G1706" s="16">
        <f>IF(NOT(Paths!$C$161=1),0,IF(Paths!$P$161="Complete",E1706/12*(Paths!$J$161*(1+'Operating costs'!$B$51)^MAX(0,C1706-1)+Paths!$K$161*(1+'Operating costs'!$B$53)^MAX(0,C1706-1)),"n.a."))</f>
        <v>0</v>
      </c>
      <c r="H1706" s="16">
        <f>IF(NOT(Paths!$C$161=1),0,IF(Paths!$P$161="Complete",F1706/12*(Paths!$L$161*(1+IF(Paths!$D$161="EV",'Operating costs'!$B$52,'Operating costs'!$B$51))^MAX(0,C1706-1)+Paths!$M$161*(1+'Operating costs'!$B$53)^MAX(0,C1706-1)),"n.a."))</f>
        <v>0</v>
      </c>
      <c r="I1706" s="16">
        <f>IF(NOT(Paths!$C$161=1),0,IF(Paths!$P$161="Complete",IF(IF(Paths!$E$161=0,C1706=0,AND(C1706&gt;0,Paths!$E$161&gt;(C1706-1)*12,Paths!$E$161&lt;=C1706*12)),Paths!$G$161,0),"n.a."))</f>
        <v>0</v>
      </c>
      <c r="J1706" s="16">
        <f>IF(NOT(Paths!$C$161=1),0,IF(Paths!$P$161="Complete",IF(IF(Paths!$E$161=0,C1706=0,AND(C1706&gt;0,Paths!$E$161&gt;(C1706-1)*12,Paths!$E$161&lt;=C1706*12)),Paths!$H$161,0),"n.a."))</f>
        <v>0</v>
      </c>
      <c r="K1706" s="16">
        <f>IF(NOT(Paths!$C$161=1),0,IF(Paths!$P$161="Complete",IF(IF(Paths!$O$161=0,C1706=0,AND(C1706&gt;0,Paths!$O$161&gt;(C1706-1)*12,Paths!$O$161&lt;=C1706*12)),Paths!$N$161,0),"n.a."))</f>
        <v>0</v>
      </c>
      <c r="L1706" s="16">
        <f>IF(NOT(Paths!$C$161=1),0,IF(Paths!$P$161="Complete",IF(C1706=10,Paths!$I$161,0),"n.a."))</f>
        <v>0</v>
      </c>
      <c r="M1706" s="16">
        <f>IF(NOT(Paths!$C$161=1),0,IF(Paths!$P$161="Complete",IF(AND(Paths!$D$161="EV",Paths!$E$161&lt;120,Paths!$E$161+'Operating costs'!$B$65&gt;Paths!$E$161,Paths!$E$161+'Operating costs'!$B$65&lt;=120,IF(Paths!$E$161+'Operating costs'!$B$65=0,C1706=0,AND(C1706&gt;0,Paths!$E$161+'Operating costs'!$B$65&gt;(C1706-1)*12,Paths!$E$161+'Operating costs'!$B$65&lt;=C1706*12))),'Operating costs'!$B$64,0)+IF(AND('Operating costs'!$B$67&gt;0,'Operating costs'!$B$67&lt;=120,OR(Paths!$D$161="ICE",'Operating costs'!$B$67&lt;=Paths!$E$161),IF('Operating costs'!$B$67=0,C1706=0,AND(C1706&gt;0,'Operating costs'!$B$67&gt;(C1706-1)*12,'Operating costs'!$B$67&lt;=C1706*12))),'Operating costs'!$B$66,0),"n.a."))</f>
        <v>0</v>
      </c>
      <c r="N1706" s="16">
        <f>IF(NOT(Paths!$C$161=1),0,IF(Paths!$P$161="Complete",SUM(G1706:I1706)-J1706-K1706-L1706+M1706+IF(C1706=0,Paths!$F$161,0)+IF(IF(Paths!$E$161=0,C1706=0,AND(C1706&gt;0,Paths!$E$161&gt;(C1706-1)*12,Paths!$E$161&lt;=C1706*12)),VLOOKUP(A1706,'Fleet register'!$A$7:$S$106,16,FALSE),0),"n.a."))</f>
        <v>0</v>
      </c>
      <c r="O1706" s="16">
        <f>IF(NOT(Paths!$C$161=1),0,IF(Paths!$P$161="Complete",N1706-IF(C1706=0,Paths!$F$161,0),"n.a."))</f>
        <v>0</v>
      </c>
      <c r="P1706" s="16">
        <f>IF(NOT(Paths!$C$161=1),0,IF(Paths!$P$161="Complete",O1706+L1706,"n.a."))</f>
        <v>0</v>
      </c>
      <c r="Q1706" s="16">
        <f>IF(NOT(Paths!$C$161=1),0,IF(Paths!$P$161="Complete",N1706*(1+'Operating costs'!$B$54)^-C1706,"n.a."))</f>
        <v>0</v>
      </c>
      <c r="R1706" s="16">
        <f>IF(NOT(Paths!$C$161=1),0,IF(Paths!$P$161="Complete",IF(AND(C1706=0,Paths!$E$161=0),I1706-J1706-K1706+VLOOKUP(A1706,'Fleet register'!$A$7:$S$106,15,FALSE)+VLOOKUP(A1706,'Fleet register'!$A$7:$S$106,16,FALSE),0),"n.a."))</f>
        <v>0</v>
      </c>
      <c r="S1706" s="1">
        <f>IF(NOT(Paths!$C$161=1),0,IF(Paths!$P$161="Complete",IF(C1706=0,0,Paths!$S$161*Paths!$R$161),"n.a."))</f>
        <v>0</v>
      </c>
      <c r="T1706" s="1">
        <f>IF(NOT(Paths!$C$161=1),0,IF(Paths!$P$161="Complete",IF(C1706=0,0,VLOOKUP(A1706,'Fleet register'!$A$7:$S$106,9,FALSE)*Paths!$R$161),"n.a."))</f>
        <v>0</v>
      </c>
    </row>
    <row r="1707" spans="1:20" ht="24" customHeight="1">
      <c r="A1707" s="1" t="str">
        <f>Paths!$A$161</f>
        <v>T039</v>
      </c>
      <c r="B1707" s="1">
        <f>Paths!$B$161</f>
        <v>2</v>
      </c>
      <c r="C1707" s="1">
        <v>6</v>
      </c>
      <c r="D1707" s="1">
        <v>161</v>
      </c>
      <c r="E1707" s="1">
        <f>IF(OR(Paths!$C$161=0,C1707=0),0,MAX(0,MIN(C1707*12,Paths!$E$161)-(C1707-1)*12))</f>
        <v>0</v>
      </c>
      <c r="F1707" s="1">
        <f>IF(OR(Paths!$C$161=0,C1707=0),0,12-E1707)</f>
        <v>0</v>
      </c>
      <c r="G1707" s="16">
        <f>IF(NOT(Paths!$C$161=1),0,IF(Paths!$P$161="Complete",E1707/12*(Paths!$J$161*(1+'Operating costs'!$B$51)^MAX(0,C1707-1)+Paths!$K$161*(1+'Operating costs'!$B$53)^MAX(0,C1707-1)),"n.a."))</f>
        <v>0</v>
      </c>
      <c r="H1707" s="16">
        <f>IF(NOT(Paths!$C$161=1),0,IF(Paths!$P$161="Complete",F1707/12*(Paths!$L$161*(1+IF(Paths!$D$161="EV",'Operating costs'!$B$52,'Operating costs'!$B$51))^MAX(0,C1707-1)+Paths!$M$161*(1+'Operating costs'!$B$53)^MAX(0,C1707-1)),"n.a."))</f>
        <v>0</v>
      </c>
      <c r="I1707" s="16">
        <f>IF(NOT(Paths!$C$161=1),0,IF(Paths!$P$161="Complete",IF(IF(Paths!$E$161=0,C1707=0,AND(C1707&gt;0,Paths!$E$161&gt;(C1707-1)*12,Paths!$E$161&lt;=C1707*12)),Paths!$G$161,0),"n.a."))</f>
        <v>0</v>
      </c>
      <c r="J1707" s="16">
        <f>IF(NOT(Paths!$C$161=1),0,IF(Paths!$P$161="Complete",IF(IF(Paths!$E$161=0,C1707=0,AND(C1707&gt;0,Paths!$E$161&gt;(C1707-1)*12,Paths!$E$161&lt;=C1707*12)),Paths!$H$161,0),"n.a."))</f>
        <v>0</v>
      </c>
      <c r="K1707" s="16">
        <f>IF(NOT(Paths!$C$161=1),0,IF(Paths!$P$161="Complete",IF(IF(Paths!$O$161=0,C1707=0,AND(C1707&gt;0,Paths!$O$161&gt;(C1707-1)*12,Paths!$O$161&lt;=C1707*12)),Paths!$N$161,0),"n.a."))</f>
        <v>0</v>
      </c>
      <c r="L1707" s="16">
        <f>IF(NOT(Paths!$C$161=1),0,IF(Paths!$P$161="Complete",IF(C1707=10,Paths!$I$161,0),"n.a."))</f>
        <v>0</v>
      </c>
      <c r="M1707" s="16">
        <f>IF(NOT(Paths!$C$161=1),0,IF(Paths!$P$161="Complete",IF(AND(Paths!$D$161="EV",Paths!$E$161&lt;120,Paths!$E$161+'Operating costs'!$B$65&gt;Paths!$E$161,Paths!$E$161+'Operating costs'!$B$65&lt;=120,IF(Paths!$E$161+'Operating costs'!$B$65=0,C1707=0,AND(C1707&gt;0,Paths!$E$161+'Operating costs'!$B$65&gt;(C1707-1)*12,Paths!$E$161+'Operating costs'!$B$65&lt;=C1707*12))),'Operating costs'!$B$64,0)+IF(AND('Operating costs'!$B$67&gt;0,'Operating costs'!$B$67&lt;=120,OR(Paths!$D$161="ICE",'Operating costs'!$B$67&lt;=Paths!$E$161),IF('Operating costs'!$B$67=0,C1707=0,AND(C1707&gt;0,'Operating costs'!$B$67&gt;(C1707-1)*12,'Operating costs'!$B$67&lt;=C1707*12))),'Operating costs'!$B$66,0),"n.a."))</f>
        <v>0</v>
      </c>
      <c r="N1707" s="16">
        <f>IF(NOT(Paths!$C$161=1),0,IF(Paths!$P$161="Complete",SUM(G1707:I1707)-J1707-K1707-L1707+M1707+IF(C1707=0,Paths!$F$161,0)+IF(IF(Paths!$E$161=0,C1707=0,AND(C1707&gt;0,Paths!$E$161&gt;(C1707-1)*12,Paths!$E$161&lt;=C1707*12)),VLOOKUP(A1707,'Fleet register'!$A$7:$S$106,16,FALSE),0),"n.a."))</f>
        <v>0</v>
      </c>
      <c r="O1707" s="16">
        <f>IF(NOT(Paths!$C$161=1),0,IF(Paths!$P$161="Complete",N1707-IF(C1707=0,Paths!$F$161,0),"n.a."))</f>
        <v>0</v>
      </c>
      <c r="P1707" s="16">
        <f>IF(NOT(Paths!$C$161=1),0,IF(Paths!$P$161="Complete",O1707+L1707,"n.a."))</f>
        <v>0</v>
      </c>
      <c r="Q1707" s="16">
        <f>IF(NOT(Paths!$C$161=1),0,IF(Paths!$P$161="Complete",N1707*(1+'Operating costs'!$B$54)^-C1707,"n.a."))</f>
        <v>0</v>
      </c>
      <c r="R1707" s="16">
        <f>IF(NOT(Paths!$C$161=1),0,IF(Paths!$P$161="Complete",IF(AND(C1707=0,Paths!$E$161=0),I1707-J1707-K1707+VLOOKUP(A1707,'Fleet register'!$A$7:$S$106,15,FALSE)+VLOOKUP(A1707,'Fleet register'!$A$7:$S$106,16,FALSE),0),"n.a."))</f>
        <v>0</v>
      </c>
      <c r="S1707" s="1">
        <f>IF(NOT(Paths!$C$161=1),0,IF(Paths!$P$161="Complete",IF(C1707=0,0,Paths!$S$161*Paths!$R$161),"n.a."))</f>
        <v>0</v>
      </c>
      <c r="T1707" s="1">
        <f>IF(NOT(Paths!$C$161=1),0,IF(Paths!$P$161="Complete",IF(C1707=0,0,VLOOKUP(A1707,'Fleet register'!$A$7:$S$106,9,FALSE)*Paths!$R$161),"n.a."))</f>
        <v>0</v>
      </c>
    </row>
    <row r="1708" spans="1:20" ht="24" customHeight="1">
      <c r="A1708" s="1" t="str">
        <f>Paths!$A$161</f>
        <v>T039</v>
      </c>
      <c r="B1708" s="1">
        <f>Paths!$B$161</f>
        <v>2</v>
      </c>
      <c r="C1708" s="1">
        <v>7</v>
      </c>
      <c r="D1708" s="1">
        <v>161</v>
      </c>
      <c r="E1708" s="1">
        <f>IF(OR(Paths!$C$161=0,C1708=0),0,MAX(0,MIN(C1708*12,Paths!$E$161)-(C1708-1)*12))</f>
        <v>0</v>
      </c>
      <c r="F1708" s="1">
        <f>IF(OR(Paths!$C$161=0,C1708=0),0,12-E1708)</f>
        <v>0</v>
      </c>
      <c r="G1708" s="16">
        <f>IF(NOT(Paths!$C$161=1),0,IF(Paths!$P$161="Complete",E1708/12*(Paths!$J$161*(1+'Operating costs'!$B$51)^MAX(0,C1708-1)+Paths!$K$161*(1+'Operating costs'!$B$53)^MAX(0,C1708-1)),"n.a."))</f>
        <v>0</v>
      </c>
      <c r="H1708" s="16">
        <f>IF(NOT(Paths!$C$161=1),0,IF(Paths!$P$161="Complete",F1708/12*(Paths!$L$161*(1+IF(Paths!$D$161="EV",'Operating costs'!$B$52,'Operating costs'!$B$51))^MAX(0,C1708-1)+Paths!$M$161*(1+'Operating costs'!$B$53)^MAX(0,C1708-1)),"n.a."))</f>
        <v>0</v>
      </c>
      <c r="I1708" s="16">
        <f>IF(NOT(Paths!$C$161=1),0,IF(Paths!$P$161="Complete",IF(IF(Paths!$E$161=0,C1708=0,AND(C1708&gt;0,Paths!$E$161&gt;(C1708-1)*12,Paths!$E$161&lt;=C1708*12)),Paths!$G$161,0),"n.a."))</f>
        <v>0</v>
      </c>
      <c r="J1708" s="16">
        <f>IF(NOT(Paths!$C$161=1),0,IF(Paths!$P$161="Complete",IF(IF(Paths!$E$161=0,C1708=0,AND(C1708&gt;0,Paths!$E$161&gt;(C1708-1)*12,Paths!$E$161&lt;=C1708*12)),Paths!$H$161,0),"n.a."))</f>
        <v>0</v>
      </c>
      <c r="K1708" s="16">
        <f>IF(NOT(Paths!$C$161=1),0,IF(Paths!$P$161="Complete",IF(IF(Paths!$O$161=0,C1708=0,AND(C1708&gt;0,Paths!$O$161&gt;(C1708-1)*12,Paths!$O$161&lt;=C1708*12)),Paths!$N$161,0),"n.a."))</f>
        <v>0</v>
      </c>
      <c r="L1708" s="16">
        <f>IF(NOT(Paths!$C$161=1),0,IF(Paths!$P$161="Complete",IF(C1708=10,Paths!$I$161,0),"n.a."))</f>
        <v>0</v>
      </c>
      <c r="M1708" s="16">
        <f>IF(NOT(Paths!$C$161=1),0,IF(Paths!$P$161="Complete",IF(AND(Paths!$D$161="EV",Paths!$E$161&lt;120,Paths!$E$161+'Operating costs'!$B$65&gt;Paths!$E$161,Paths!$E$161+'Operating costs'!$B$65&lt;=120,IF(Paths!$E$161+'Operating costs'!$B$65=0,C1708=0,AND(C1708&gt;0,Paths!$E$161+'Operating costs'!$B$65&gt;(C1708-1)*12,Paths!$E$161+'Operating costs'!$B$65&lt;=C1708*12))),'Operating costs'!$B$64,0)+IF(AND('Operating costs'!$B$67&gt;0,'Operating costs'!$B$67&lt;=120,OR(Paths!$D$161="ICE",'Operating costs'!$B$67&lt;=Paths!$E$161),IF('Operating costs'!$B$67=0,C1708=0,AND(C1708&gt;0,'Operating costs'!$B$67&gt;(C1708-1)*12,'Operating costs'!$B$67&lt;=C1708*12))),'Operating costs'!$B$66,0),"n.a."))</f>
        <v>0</v>
      </c>
      <c r="N1708" s="16">
        <f>IF(NOT(Paths!$C$161=1),0,IF(Paths!$P$161="Complete",SUM(G1708:I1708)-J1708-K1708-L1708+M1708+IF(C1708=0,Paths!$F$161,0)+IF(IF(Paths!$E$161=0,C1708=0,AND(C1708&gt;0,Paths!$E$161&gt;(C1708-1)*12,Paths!$E$161&lt;=C1708*12)),VLOOKUP(A1708,'Fleet register'!$A$7:$S$106,16,FALSE),0),"n.a."))</f>
        <v>0</v>
      </c>
      <c r="O1708" s="16">
        <f>IF(NOT(Paths!$C$161=1),0,IF(Paths!$P$161="Complete",N1708-IF(C1708=0,Paths!$F$161,0),"n.a."))</f>
        <v>0</v>
      </c>
      <c r="P1708" s="16">
        <f>IF(NOT(Paths!$C$161=1),0,IF(Paths!$P$161="Complete",O1708+L1708,"n.a."))</f>
        <v>0</v>
      </c>
      <c r="Q1708" s="16">
        <f>IF(NOT(Paths!$C$161=1),0,IF(Paths!$P$161="Complete",N1708*(1+'Operating costs'!$B$54)^-C1708,"n.a."))</f>
        <v>0</v>
      </c>
      <c r="R1708" s="16">
        <f>IF(NOT(Paths!$C$161=1),0,IF(Paths!$P$161="Complete",IF(AND(C1708=0,Paths!$E$161=0),I1708-J1708-K1708+VLOOKUP(A1708,'Fleet register'!$A$7:$S$106,15,FALSE)+VLOOKUP(A1708,'Fleet register'!$A$7:$S$106,16,FALSE),0),"n.a."))</f>
        <v>0</v>
      </c>
      <c r="S1708" s="1">
        <f>IF(NOT(Paths!$C$161=1),0,IF(Paths!$P$161="Complete",IF(C1708=0,0,Paths!$S$161*Paths!$R$161),"n.a."))</f>
        <v>0</v>
      </c>
      <c r="T1708" s="1">
        <f>IF(NOT(Paths!$C$161=1),0,IF(Paths!$P$161="Complete",IF(C1708=0,0,VLOOKUP(A1708,'Fleet register'!$A$7:$S$106,9,FALSE)*Paths!$R$161),"n.a."))</f>
        <v>0</v>
      </c>
    </row>
    <row r="1709" spans="1:20" ht="24" customHeight="1">
      <c r="A1709" s="1" t="str">
        <f>Paths!$A$161</f>
        <v>T039</v>
      </c>
      <c r="B1709" s="1">
        <f>Paths!$B$161</f>
        <v>2</v>
      </c>
      <c r="C1709" s="1">
        <v>8</v>
      </c>
      <c r="D1709" s="1">
        <v>161</v>
      </c>
      <c r="E1709" s="1">
        <f>IF(OR(Paths!$C$161=0,C1709=0),0,MAX(0,MIN(C1709*12,Paths!$E$161)-(C1709-1)*12))</f>
        <v>0</v>
      </c>
      <c r="F1709" s="1">
        <f>IF(OR(Paths!$C$161=0,C1709=0),0,12-E1709)</f>
        <v>0</v>
      </c>
      <c r="G1709" s="16">
        <f>IF(NOT(Paths!$C$161=1),0,IF(Paths!$P$161="Complete",E1709/12*(Paths!$J$161*(1+'Operating costs'!$B$51)^MAX(0,C1709-1)+Paths!$K$161*(1+'Operating costs'!$B$53)^MAX(0,C1709-1)),"n.a."))</f>
        <v>0</v>
      </c>
      <c r="H1709" s="16">
        <f>IF(NOT(Paths!$C$161=1),0,IF(Paths!$P$161="Complete",F1709/12*(Paths!$L$161*(1+IF(Paths!$D$161="EV",'Operating costs'!$B$52,'Operating costs'!$B$51))^MAX(0,C1709-1)+Paths!$M$161*(1+'Operating costs'!$B$53)^MAX(0,C1709-1)),"n.a."))</f>
        <v>0</v>
      </c>
      <c r="I1709" s="16">
        <f>IF(NOT(Paths!$C$161=1),0,IF(Paths!$P$161="Complete",IF(IF(Paths!$E$161=0,C1709=0,AND(C1709&gt;0,Paths!$E$161&gt;(C1709-1)*12,Paths!$E$161&lt;=C1709*12)),Paths!$G$161,0),"n.a."))</f>
        <v>0</v>
      </c>
      <c r="J1709" s="16">
        <f>IF(NOT(Paths!$C$161=1),0,IF(Paths!$P$161="Complete",IF(IF(Paths!$E$161=0,C1709=0,AND(C1709&gt;0,Paths!$E$161&gt;(C1709-1)*12,Paths!$E$161&lt;=C1709*12)),Paths!$H$161,0),"n.a."))</f>
        <v>0</v>
      </c>
      <c r="K1709" s="16">
        <f>IF(NOT(Paths!$C$161=1),0,IF(Paths!$P$161="Complete",IF(IF(Paths!$O$161=0,C1709=0,AND(C1709&gt;0,Paths!$O$161&gt;(C1709-1)*12,Paths!$O$161&lt;=C1709*12)),Paths!$N$161,0),"n.a."))</f>
        <v>0</v>
      </c>
      <c r="L1709" s="16">
        <f>IF(NOT(Paths!$C$161=1),0,IF(Paths!$P$161="Complete",IF(C1709=10,Paths!$I$161,0),"n.a."))</f>
        <v>0</v>
      </c>
      <c r="M1709" s="16">
        <f>IF(NOT(Paths!$C$161=1),0,IF(Paths!$P$161="Complete",IF(AND(Paths!$D$161="EV",Paths!$E$161&lt;120,Paths!$E$161+'Operating costs'!$B$65&gt;Paths!$E$161,Paths!$E$161+'Operating costs'!$B$65&lt;=120,IF(Paths!$E$161+'Operating costs'!$B$65=0,C1709=0,AND(C1709&gt;0,Paths!$E$161+'Operating costs'!$B$65&gt;(C1709-1)*12,Paths!$E$161+'Operating costs'!$B$65&lt;=C1709*12))),'Operating costs'!$B$64,0)+IF(AND('Operating costs'!$B$67&gt;0,'Operating costs'!$B$67&lt;=120,OR(Paths!$D$161="ICE",'Operating costs'!$B$67&lt;=Paths!$E$161),IF('Operating costs'!$B$67=0,C1709=0,AND(C1709&gt;0,'Operating costs'!$B$67&gt;(C1709-1)*12,'Operating costs'!$B$67&lt;=C1709*12))),'Operating costs'!$B$66,0),"n.a."))</f>
        <v>0</v>
      </c>
      <c r="N1709" s="16">
        <f>IF(NOT(Paths!$C$161=1),0,IF(Paths!$P$161="Complete",SUM(G1709:I1709)-J1709-K1709-L1709+M1709+IF(C1709=0,Paths!$F$161,0)+IF(IF(Paths!$E$161=0,C1709=0,AND(C1709&gt;0,Paths!$E$161&gt;(C1709-1)*12,Paths!$E$161&lt;=C1709*12)),VLOOKUP(A1709,'Fleet register'!$A$7:$S$106,16,FALSE),0),"n.a."))</f>
        <v>0</v>
      </c>
      <c r="O1709" s="16">
        <f>IF(NOT(Paths!$C$161=1),0,IF(Paths!$P$161="Complete",N1709-IF(C1709=0,Paths!$F$161,0),"n.a."))</f>
        <v>0</v>
      </c>
      <c r="P1709" s="16">
        <f>IF(NOT(Paths!$C$161=1),0,IF(Paths!$P$161="Complete",O1709+L1709,"n.a."))</f>
        <v>0</v>
      </c>
      <c r="Q1709" s="16">
        <f>IF(NOT(Paths!$C$161=1),0,IF(Paths!$P$161="Complete",N1709*(1+'Operating costs'!$B$54)^-C1709,"n.a."))</f>
        <v>0</v>
      </c>
      <c r="R1709" s="16">
        <f>IF(NOT(Paths!$C$161=1),0,IF(Paths!$P$161="Complete",IF(AND(C1709=0,Paths!$E$161=0),I1709-J1709-K1709+VLOOKUP(A1709,'Fleet register'!$A$7:$S$106,15,FALSE)+VLOOKUP(A1709,'Fleet register'!$A$7:$S$106,16,FALSE),0),"n.a."))</f>
        <v>0</v>
      </c>
      <c r="S1709" s="1">
        <f>IF(NOT(Paths!$C$161=1),0,IF(Paths!$P$161="Complete",IF(C1709=0,0,Paths!$S$161*Paths!$R$161),"n.a."))</f>
        <v>0</v>
      </c>
      <c r="T1709" s="1">
        <f>IF(NOT(Paths!$C$161=1),0,IF(Paths!$P$161="Complete",IF(C1709=0,0,VLOOKUP(A1709,'Fleet register'!$A$7:$S$106,9,FALSE)*Paths!$R$161),"n.a."))</f>
        <v>0</v>
      </c>
    </row>
    <row r="1710" spans="1:20" ht="24" customHeight="1">
      <c r="A1710" s="1" t="str">
        <f>Paths!$A$161</f>
        <v>T039</v>
      </c>
      <c r="B1710" s="1">
        <f>Paths!$B$161</f>
        <v>2</v>
      </c>
      <c r="C1710" s="1">
        <v>9</v>
      </c>
      <c r="D1710" s="1">
        <v>161</v>
      </c>
      <c r="E1710" s="1">
        <f>IF(OR(Paths!$C$161=0,C1710=0),0,MAX(0,MIN(C1710*12,Paths!$E$161)-(C1710-1)*12))</f>
        <v>0</v>
      </c>
      <c r="F1710" s="1">
        <f>IF(OR(Paths!$C$161=0,C1710=0),0,12-E1710)</f>
        <v>0</v>
      </c>
      <c r="G1710" s="16">
        <f>IF(NOT(Paths!$C$161=1),0,IF(Paths!$P$161="Complete",E1710/12*(Paths!$J$161*(1+'Operating costs'!$B$51)^MAX(0,C1710-1)+Paths!$K$161*(1+'Operating costs'!$B$53)^MAX(0,C1710-1)),"n.a."))</f>
        <v>0</v>
      </c>
      <c r="H1710" s="16">
        <f>IF(NOT(Paths!$C$161=1),0,IF(Paths!$P$161="Complete",F1710/12*(Paths!$L$161*(1+IF(Paths!$D$161="EV",'Operating costs'!$B$52,'Operating costs'!$B$51))^MAX(0,C1710-1)+Paths!$M$161*(1+'Operating costs'!$B$53)^MAX(0,C1710-1)),"n.a."))</f>
        <v>0</v>
      </c>
      <c r="I1710" s="16">
        <f>IF(NOT(Paths!$C$161=1),0,IF(Paths!$P$161="Complete",IF(IF(Paths!$E$161=0,C1710=0,AND(C1710&gt;0,Paths!$E$161&gt;(C1710-1)*12,Paths!$E$161&lt;=C1710*12)),Paths!$G$161,0),"n.a."))</f>
        <v>0</v>
      </c>
      <c r="J1710" s="16">
        <f>IF(NOT(Paths!$C$161=1),0,IF(Paths!$P$161="Complete",IF(IF(Paths!$E$161=0,C1710=0,AND(C1710&gt;0,Paths!$E$161&gt;(C1710-1)*12,Paths!$E$161&lt;=C1710*12)),Paths!$H$161,0),"n.a."))</f>
        <v>0</v>
      </c>
      <c r="K1710" s="16">
        <f>IF(NOT(Paths!$C$161=1),0,IF(Paths!$P$161="Complete",IF(IF(Paths!$O$161=0,C1710=0,AND(C1710&gt;0,Paths!$O$161&gt;(C1710-1)*12,Paths!$O$161&lt;=C1710*12)),Paths!$N$161,0),"n.a."))</f>
        <v>0</v>
      </c>
      <c r="L1710" s="16">
        <f>IF(NOT(Paths!$C$161=1),0,IF(Paths!$P$161="Complete",IF(C1710=10,Paths!$I$161,0),"n.a."))</f>
        <v>0</v>
      </c>
      <c r="M1710" s="16">
        <f>IF(NOT(Paths!$C$161=1),0,IF(Paths!$P$161="Complete",IF(AND(Paths!$D$161="EV",Paths!$E$161&lt;120,Paths!$E$161+'Operating costs'!$B$65&gt;Paths!$E$161,Paths!$E$161+'Operating costs'!$B$65&lt;=120,IF(Paths!$E$161+'Operating costs'!$B$65=0,C1710=0,AND(C1710&gt;0,Paths!$E$161+'Operating costs'!$B$65&gt;(C1710-1)*12,Paths!$E$161+'Operating costs'!$B$65&lt;=C1710*12))),'Operating costs'!$B$64,0)+IF(AND('Operating costs'!$B$67&gt;0,'Operating costs'!$B$67&lt;=120,OR(Paths!$D$161="ICE",'Operating costs'!$B$67&lt;=Paths!$E$161),IF('Operating costs'!$B$67=0,C1710=0,AND(C1710&gt;0,'Operating costs'!$B$67&gt;(C1710-1)*12,'Operating costs'!$B$67&lt;=C1710*12))),'Operating costs'!$B$66,0),"n.a."))</f>
        <v>0</v>
      </c>
      <c r="N1710" s="16">
        <f>IF(NOT(Paths!$C$161=1),0,IF(Paths!$P$161="Complete",SUM(G1710:I1710)-J1710-K1710-L1710+M1710+IF(C1710=0,Paths!$F$161,0)+IF(IF(Paths!$E$161=0,C1710=0,AND(C1710&gt;0,Paths!$E$161&gt;(C1710-1)*12,Paths!$E$161&lt;=C1710*12)),VLOOKUP(A1710,'Fleet register'!$A$7:$S$106,16,FALSE),0),"n.a."))</f>
        <v>0</v>
      </c>
      <c r="O1710" s="16">
        <f>IF(NOT(Paths!$C$161=1),0,IF(Paths!$P$161="Complete",N1710-IF(C1710=0,Paths!$F$161,0),"n.a."))</f>
        <v>0</v>
      </c>
      <c r="P1710" s="16">
        <f>IF(NOT(Paths!$C$161=1),0,IF(Paths!$P$161="Complete",O1710+L1710,"n.a."))</f>
        <v>0</v>
      </c>
      <c r="Q1710" s="16">
        <f>IF(NOT(Paths!$C$161=1),0,IF(Paths!$P$161="Complete",N1710*(1+'Operating costs'!$B$54)^-C1710,"n.a."))</f>
        <v>0</v>
      </c>
      <c r="R1710" s="16">
        <f>IF(NOT(Paths!$C$161=1),0,IF(Paths!$P$161="Complete",IF(AND(C1710=0,Paths!$E$161=0),I1710-J1710-K1710+VLOOKUP(A1710,'Fleet register'!$A$7:$S$106,15,FALSE)+VLOOKUP(A1710,'Fleet register'!$A$7:$S$106,16,FALSE),0),"n.a."))</f>
        <v>0</v>
      </c>
      <c r="S1710" s="1">
        <f>IF(NOT(Paths!$C$161=1),0,IF(Paths!$P$161="Complete",IF(C1710=0,0,Paths!$S$161*Paths!$R$161),"n.a."))</f>
        <v>0</v>
      </c>
      <c r="T1710" s="1">
        <f>IF(NOT(Paths!$C$161=1),0,IF(Paths!$P$161="Complete",IF(C1710=0,0,VLOOKUP(A1710,'Fleet register'!$A$7:$S$106,9,FALSE)*Paths!$R$161),"n.a."))</f>
        <v>0</v>
      </c>
    </row>
    <row r="1711" spans="1:20" ht="24" customHeight="1">
      <c r="A1711" s="1" t="str">
        <f>Paths!$A$161</f>
        <v>T039</v>
      </c>
      <c r="B1711" s="1">
        <f>Paths!$B$161</f>
        <v>2</v>
      </c>
      <c r="C1711" s="1">
        <v>10</v>
      </c>
      <c r="D1711" s="1">
        <v>161</v>
      </c>
      <c r="E1711" s="1">
        <f>IF(OR(Paths!$C$161=0,C1711=0),0,MAX(0,MIN(C1711*12,Paths!$E$161)-(C1711-1)*12))</f>
        <v>0</v>
      </c>
      <c r="F1711" s="1">
        <f>IF(OR(Paths!$C$161=0,C1711=0),0,12-E1711)</f>
        <v>0</v>
      </c>
      <c r="G1711" s="16">
        <f>IF(NOT(Paths!$C$161=1),0,IF(Paths!$P$161="Complete",E1711/12*(Paths!$J$161*(1+'Operating costs'!$B$51)^MAX(0,C1711-1)+Paths!$K$161*(1+'Operating costs'!$B$53)^MAX(0,C1711-1)),"n.a."))</f>
        <v>0</v>
      </c>
      <c r="H1711" s="16">
        <f>IF(NOT(Paths!$C$161=1),0,IF(Paths!$P$161="Complete",F1711/12*(Paths!$L$161*(1+IF(Paths!$D$161="EV",'Operating costs'!$B$52,'Operating costs'!$B$51))^MAX(0,C1711-1)+Paths!$M$161*(1+'Operating costs'!$B$53)^MAX(0,C1711-1)),"n.a."))</f>
        <v>0</v>
      </c>
      <c r="I1711" s="16">
        <f>IF(NOT(Paths!$C$161=1),0,IF(Paths!$P$161="Complete",IF(IF(Paths!$E$161=0,C1711=0,AND(C1711&gt;0,Paths!$E$161&gt;(C1711-1)*12,Paths!$E$161&lt;=C1711*12)),Paths!$G$161,0),"n.a."))</f>
        <v>0</v>
      </c>
      <c r="J1711" s="16">
        <f>IF(NOT(Paths!$C$161=1),0,IF(Paths!$P$161="Complete",IF(IF(Paths!$E$161=0,C1711=0,AND(C1711&gt;0,Paths!$E$161&gt;(C1711-1)*12,Paths!$E$161&lt;=C1711*12)),Paths!$H$161,0),"n.a."))</f>
        <v>0</v>
      </c>
      <c r="K1711" s="16">
        <f>IF(NOT(Paths!$C$161=1),0,IF(Paths!$P$161="Complete",IF(IF(Paths!$O$161=0,C1711=0,AND(C1711&gt;0,Paths!$O$161&gt;(C1711-1)*12,Paths!$O$161&lt;=C1711*12)),Paths!$N$161,0),"n.a."))</f>
        <v>0</v>
      </c>
      <c r="L1711" s="16">
        <f>IF(NOT(Paths!$C$161=1),0,IF(Paths!$P$161="Complete",IF(C1711=10,Paths!$I$161,0),"n.a."))</f>
        <v>0</v>
      </c>
      <c r="M1711" s="16">
        <f>IF(NOT(Paths!$C$161=1),0,IF(Paths!$P$161="Complete",IF(AND(Paths!$D$161="EV",Paths!$E$161&lt;120,Paths!$E$161+'Operating costs'!$B$65&gt;Paths!$E$161,Paths!$E$161+'Operating costs'!$B$65&lt;=120,IF(Paths!$E$161+'Operating costs'!$B$65=0,C1711=0,AND(C1711&gt;0,Paths!$E$161+'Operating costs'!$B$65&gt;(C1711-1)*12,Paths!$E$161+'Operating costs'!$B$65&lt;=C1711*12))),'Operating costs'!$B$64,0)+IF(AND('Operating costs'!$B$67&gt;0,'Operating costs'!$B$67&lt;=120,OR(Paths!$D$161="ICE",'Operating costs'!$B$67&lt;=Paths!$E$161),IF('Operating costs'!$B$67=0,C1711=0,AND(C1711&gt;0,'Operating costs'!$B$67&gt;(C1711-1)*12,'Operating costs'!$B$67&lt;=C1711*12))),'Operating costs'!$B$66,0),"n.a."))</f>
        <v>0</v>
      </c>
      <c r="N1711" s="16">
        <f>IF(NOT(Paths!$C$161=1),0,IF(Paths!$P$161="Complete",SUM(G1711:I1711)-J1711-K1711-L1711+M1711+IF(C1711=0,Paths!$F$161,0)+IF(IF(Paths!$E$161=0,C1711=0,AND(C1711&gt;0,Paths!$E$161&gt;(C1711-1)*12,Paths!$E$161&lt;=C1711*12)),VLOOKUP(A1711,'Fleet register'!$A$7:$S$106,16,FALSE),0),"n.a."))</f>
        <v>0</v>
      </c>
      <c r="O1711" s="16">
        <f>IF(NOT(Paths!$C$161=1),0,IF(Paths!$P$161="Complete",N1711-IF(C1711=0,Paths!$F$161,0),"n.a."))</f>
        <v>0</v>
      </c>
      <c r="P1711" s="16">
        <f>IF(NOT(Paths!$C$161=1),0,IF(Paths!$P$161="Complete",O1711+L1711,"n.a."))</f>
        <v>0</v>
      </c>
      <c r="Q1711" s="16">
        <f>IF(NOT(Paths!$C$161=1),0,IF(Paths!$P$161="Complete",N1711*(1+'Operating costs'!$B$54)^-C1711,"n.a."))</f>
        <v>0</v>
      </c>
      <c r="R1711" s="16">
        <f>IF(NOT(Paths!$C$161=1),0,IF(Paths!$P$161="Complete",IF(AND(C1711=0,Paths!$E$161=0),I1711-J1711-K1711+VLOOKUP(A1711,'Fleet register'!$A$7:$S$106,15,FALSE)+VLOOKUP(A1711,'Fleet register'!$A$7:$S$106,16,FALSE),0),"n.a."))</f>
        <v>0</v>
      </c>
      <c r="S1711" s="1">
        <f>IF(NOT(Paths!$C$161=1),0,IF(Paths!$P$161="Complete",IF(C1711=0,0,Paths!$S$161*Paths!$R$161),"n.a."))</f>
        <v>0</v>
      </c>
      <c r="T1711" s="1">
        <f>IF(NOT(Paths!$C$161=1),0,IF(Paths!$P$161="Complete",IF(C1711=0,0,VLOOKUP(A1711,'Fleet register'!$A$7:$S$106,9,FALSE)*Paths!$R$161),"n.a."))</f>
        <v>0</v>
      </c>
    </row>
    <row r="1712" spans="1:20" ht="24" customHeight="1">
      <c r="A1712" s="1" t="str">
        <f>Paths!$A$162</f>
        <v>T039</v>
      </c>
      <c r="B1712" s="1">
        <f>Paths!$B$162</f>
        <v>3</v>
      </c>
      <c r="C1712" s="1">
        <v>0</v>
      </c>
      <c r="D1712" s="1">
        <v>162</v>
      </c>
      <c r="E1712" s="1">
        <f>IF(OR(Paths!$C$162=0,C1712=0),0,MAX(0,MIN(C1712*12,Paths!$E$162)-(C1712-1)*12))</f>
        <v>0</v>
      </c>
      <c r="F1712" s="1">
        <f>IF(OR(Paths!$C$162=0,C1712=0),0,12-E1712)</f>
        <v>0</v>
      </c>
      <c r="G1712" s="16">
        <f>IF(NOT(Paths!$C$162=1),0,IF(Paths!$P$162="Complete",E1712/12*(Paths!$J$162*(1+'Operating costs'!$B$51)^MAX(0,C1712-1)+Paths!$K$162*(1+'Operating costs'!$B$53)^MAX(0,C1712-1)),"n.a."))</f>
        <v>0</v>
      </c>
      <c r="H1712" s="16">
        <f>IF(NOT(Paths!$C$162=1),0,IF(Paths!$P$162="Complete",F1712/12*(Paths!$L$162*(1+IF(Paths!$D$162="EV",'Operating costs'!$B$52,'Operating costs'!$B$51))^MAX(0,C1712-1)+Paths!$M$162*(1+'Operating costs'!$B$53)^MAX(0,C1712-1)),"n.a."))</f>
        <v>0</v>
      </c>
      <c r="I1712" s="16">
        <f>IF(NOT(Paths!$C$162=1),0,IF(Paths!$P$162="Complete",IF(IF(Paths!$E$162=0,C1712=0,AND(C1712&gt;0,Paths!$E$162&gt;(C1712-1)*12,Paths!$E$162&lt;=C1712*12)),Paths!$G$162,0),"n.a."))</f>
        <v>0</v>
      </c>
      <c r="J1712" s="16">
        <f>IF(NOT(Paths!$C$162=1),0,IF(Paths!$P$162="Complete",IF(IF(Paths!$E$162=0,C1712=0,AND(C1712&gt;0,Paths!$E$162&gt;(C1712-1)*12,Paths!$E$162&lt;=C1712*12)),Paths!$H$162,0),"n.a."))</f>
        <v>0</v>
      </c>
      <c r="K1712" s="16">
        <f>IF(NOT(Paths!$C$162=1),0,IF(Paths!$P$162="Complete",IF(IF(Paths!$O$162=0,C1712=0,AND(C1712&gt;0,Paths!$O$162&gt;(C1712-1)*12,Paths!$O$162&lt;=C1712*12)),Paths!$N$162,0),"n.a."))</f>
        <v>0</v>
      </c>
      <c r="L1712" s="16">
        <f>IF(NOT(Paths!$C$162=1),0,IF(Paths!$P$162="Complete",IF(C1712=10,Paths!$I$162,0),"n.a."))</f>
        <v>0</v>
      </c>
      <c r="M1712" s="16">
        <f>IF(NOT(Paths!$C$162=1),0,IF(Paths!$P$162="Complete",IF(AND(Paths!$D$162="EV",Paths!$E$162&lt;120,Paths!$E$162+'Operating costs'!$B$65&gt;Paths!$E$162,Paths!$E$162+'Operating costs'!$B$65&lt;=120,IF(Paths!$E$162+'Operating costs'!$B$65=0,C1712=0,AND(C1712&gt;0,Paths!$E$162+'Operating costs'!$B$65&gt;(C1712-1)*12,Paths!$E$162+'Operating costs'!$B$65&lt;=C1712*12))),'Operating costs'!$B$64,0)+IF(AND('Operating costs'!$B$67&gt;0,'Operating costs'!$B$67&lt;=120,OR(Paths!$D$162="ICE",'Operating costs'!$B$67&lt;=Paths!$E$162),IF('Operating costs'!$B$67=0,C1712=0,AND(C1712&gt;0,'Operating costs'!$B$67&gt;(C1712-1)*12,'Operating costs'!$B$67&lt;=C1712*12))),'Operating costs'!$B$66,0),"n.a."))</f>
        <v>0</v>
      </c>
      <c r="N1712" s="16">
        <f>IF(NOT(Paths!$C$162=1),0,IF(Paths!$P$162="Complete",SUM(G1712:I1712)-J1712-K1712-L1712+M1712+IF(C1712=0,Paths!$F$162,0)+IF(IF(Paths!$E$162=0,C1712=0,AND(C1712&gt;0,Paths!$E$162&gt;(C1712-1)*12,Paths!$E$162&lt;=C1712*12)),VLOOKUP(A1712,'Fleet register'!$A$7:$S$106,16,FALSE),0),"n.a."))</f>
        <v>0</v>
      </c>
      <c r="O1712" s="16">
        <f>IF(NOT(Paths!$C$162=1),0,IF(Paths!$P$162="Complete",N1712-IF(C1712=0,Paths!$F$162,0),"n.a."))</f>
        <v>0</v>
      </c>
      <c r="P1712" s="16">
        <f>IF(NOT(Paths!$C$162=1),0,IF(Paths!$P$162="Complete",O1712+L1712,"n.a."))</f>
        <v>0</v>
      </c>
      <c r="Q1712" s="16">
        <f>IF(NOT(Paths!$C$162=1),0,IF(Paths!$P$162="Complete",N1712*(1+'Operating costs'!$B$54)^-C1712,"n.a."))</f>
        <v>0</v>
      </c>
      <c r="R1712" s="16">
        <f>IF(NOT(Paths!$C$162=1),0,IF(Paths!$P$162="Complete",IF(AND(C1712=0,Paths!$E$162=0),I1712-J1712-K1712+VLOOKUP(A1712,'Fleet register'!$A$7:$S$106,15,FALSE)+VLOOKUP(A1712,'Fleet register'!$A$7:$S$106,16,FALSE),0),"n.a."))</f>
        <v>0</v>
      </c>
      <c r="S1712" s="1">
        <f>IF(NOT(Paths!$C$162=1),0,IF(Paths!$P$162="Complete",IF(C1712=0,0,Paths!$S$162*Paths!$R$162),"n.a."))</f>
        <v>0</v>
      </c>
      <c r="T1712" s="1">
        <f>IF(NOT(Paths!$C$162=1),0,IF(Paths!$P$162="Complete",IF(C1712=0,0,VLOOKUP(A1712,'Fleet register'!$A$7:$S$106,9,FALSE)*Paths!$R$162),"n.a."))</f>
        <v>0</v>
      </c>
    </row>
    <row r="1713" spans="1:20" ht="24" customHeight="1">
      <c r="A1713" s="1" t="str">
        <f>Paths!$A$162</f>
        <v>T039</v>
      </c>
      <c r="B1713" s="1">
        <f>Paths!$B$162</f>
        <v>3</v>
      </c>
      <c r="C1713" s="1">
        <v>1</v>
      </c>
      <c r="D1713" s="1">
        <v>162</v>
      </c>
      <c r="E1713" s="1">
        <f>IF(OR(Paths!$C$162=0,C1713=0),0,MAX(0,MIN(C1713*12,Paths!$E$162)-(C1713-1)*12))</f>
        <v>0</v>
      </c>
      <c r="F1713" s="1">
        <f>IF(OR(Paths!$C$162=0,C1713=0),0,12-E1713)</f>
        <v>0</v>
      </c>
      <c r="G1713" s="16">
        <f>IF(NOT(Paths!$C$162=1),0,IF(Paths!$P$162="Complete",E1713/12*(Paths!$J$162*(1+'Operating costs'!$B$51)^MAX(0,C1713-1)+Paths!$K$162*(1+'Operating costs'!$B$53)^MAX(0,C1713-1)),"n.a."))</f>
        <v>0</v>
      </c>
      <c r="H1713" s="16">
        <f>IF(NOT(Paths!$C$162=1),0,IF(Paths!$P$162="Complete",F1713/12*(Paths!$L$162*(1+IF(Paths!$D$162="EV",'Operating costs'!$B$52,'Operating costs'!$B$51))^MAX(0,C1713-1)+Paths!$M$162*(1+'Operating costs'!$B$53)^MAX(0,C1713-1)),"n.a."))</f>
        <v>0</v>
      </c>
      <c r="I1713" s="16">
        <f>IF(NOT(Paths!$C$162=1),0,IF(Paths!$P$162="Complete",IF(IF(Paths!$E$162=0,C1713=0,AND(C1713&gt;0,Paths!$E$162&gt;(C1713-1)*12,Paths!$E$162&lt;=C1713*12)),Paths!$G$162,0),"n.a."))</f>
        <v>0</v>
      </c>
      <c r="J1713" s="16">
        <f>IF(NOT(Paths!$C$162=1),0,IF(Paths!$P$162="Complete",IF(IF(Paths!$E$162=0,C1713=0,AND(C1713&gt;0,Paths!$E$162&gt;(C1713-1)*12,Paths!$E$162&lt;=C1713*12)),Paths!$H$162,0),"n.a."))</f>
        <v>0</v>
      </c>
      <c r="K1713" s="16">
        <f>IF(NOT(Paths!$C$162=1),0,IF(Paths!$P$162="Complete",IF(IF(Paths!$O$162=0,C1713=0,AND(C1713&gt;0,Paths!$O$162&gt;(C1713-1)*12,Paths!$O$162&lt;=C1713*12)),Paths!$N$162,0),"n.a."))</f>
        <v>0</v>
      </c>
      <c r="L1713" s="16">
        <f>IF(NOT(Paths!$C$162=1),0,IF(Paths!$P$162="Complete",IF(C1713=10,Paths!$I$162,0),"n.a."))</f>
        <v>0</v>
      </c>
      <c r="M1713" s="16">
        <f>IF(NOT(Paths!$C$162=1),0,IF(Paths!$P$162="Complete",IF(AND(Paths!$D$162="EV",Paths!$E$162&lt;120,Paths!$E$162+'Operating costs'!$B$65&gt;Paths!$E$162,Paths!$E$162+'Operating costs'!$B$65&lt;=120,IF(Paths!$E$162+'Operating costs'!$B$65=0,C1713=0,AND(C1713&gt;0,Paths!$E$162+'Operating costs'!$B$65&gt;(C1713-1)*12,Paths!$E$162+'Operating costs'!$B$65&lt;=C1713*12))),'Operating costs'!$B$64,0)+IF(AND('Operating costs'!$B$67&gt;0,'Operating costs'!$B$67&lt;=120,OR(Paths!$D$162="ICE",'Operating costs'!$B$67&lt;=Paths!$E$162),IF('Operating costs'!$B$67=0,C1713=0,AND(C1713&gt;0,'Operating costs'!$B$67&gt;(C1713-1)*12,'Operating costs'!$B$67&lt;=C1713*12))),'Operating costs'!$B$66,0),"n.a."))</f>
        <v>0</v>
      </c>
      <c r="N1713" s="16">
        <f>IF(NOT(Paths!$C$162=1),0,IF(Paths!$P$162="Complete",SUM(G1713:I1713)-J1713-K1713-L1713+M1713+IF(C1713=0,Paths!$F$162,0)+IF(IF(Paths!$E$162=0,C1713=0,AND(C1713&gt;0,Paths!$E$162&gt;(C1713-1)*12,Paths!$E$162&lt;=C1713*12)),VLOOKUP(A1713,'Fleet register'!$A$7:$S$106,16,FALSE),0),"n.a."))</f>
        <v>0</v>
      </c>
      <c r="O1713" s="16">
        <f>IF(NOT(Paths!$C$162=1),0,IF(Paths!$P$162="Complete",N1713-IF(C1713=0,Paths!$F$162,0),"n.a."))</f>
        <v>0</v>
      </c>
      <c r="P1713" s="16">
        <f>IF(NOT(Paths!$C$162=1),0,IF(Paths!$P$162="Complete",O1713+L1713,"n.a."))</f>
        <v>0</v>
      </c>
      <c r="Q1713" s="16">
        <f>IF(NOT(Paths!$C$162=1),0,IF(Paths!$P$162="Complete",N1713*(1+'Operating costs'!$B$54)^-C1713,"n.a."))</f>
        <v>0</v>
      </c>
      <c r="R1713" s="16">
        <f>IF(NOT(Paths!$C$162=1),0,IF(Paths!$P$162="Complete",IF(AND(C1713=0,Paths!$E$162=0),I1713-J1713-K1713+VLOOKUP(A1713,'Fleet register'!$A$7:$S$106,15,FALSE)+VLOOKUP(A1713,'Fleet register'!$A$7:$S$106,16,FALSE),0),"n.a."))</f>
        <v>0</v>
      </c>
      <c r="S1713" s="1">
        <f>IF(NOT(Paths!$C$162=1),0,IF(Paths!$P$162="Complete",IF(C1713=0,0,Paths!$S$162*Paths!$R$162),"n.a."))</f>
        <v>0</v>
      </c>
      <c r="T1713" s="1">
        <f>IF(NOT(Paths!$C$162=1),0,IF(Paths!$P$162="Complete",IF(C1713=0,0,VLOOKUP(A1713,'Fleet register'!$A$7:$S$106,9,FALSE)*Paths!$R$162),"n.a."))</f>
        <v>0</v>
      </c>
    </row>
    <row r="1714" spans="1:20" ht="24" customHeight="1">
      <c r="A1714" s="1" t="str">
        <f>Paths!$A$162</f>
        <v>T039</v>
      </c>
      <c r="B1714" s="1">
        <f>Paths!$B$162</f>
        <v>3</v>
      </c>
      <c r="C1714" s="1">
        <v>2</v>
      </c>
      <c r="D1714" s="1">
        <v>162</v>
      </c>
      <c r="E1714" s="1">
        <f>IF(OR(Paths!$C$162=0,C1714=0),0,MAX(0,MIN(C1714*12,Paths!$E$162)-(C1714-1)*12))</f>
        <v>0</v>
      </c>
      <c r="F1714" s="1">
        <f>IF(OR(Paths!$C$162=0,C1714=0),0,12-E1714)</f>
        <v>0</v>
      </c>
      <c r="G1714" s="16">
        <f>IF(NOT(Paths!$C$162=1),0,IF(Paths!$P$162="Complete",E1714/12*(Paths!$J$162*(1+'Operating costs'!$B$51)^MAX(0,C1714-1)+Paths!$K$162*(1+'Operating costs'!$B$53)^MAX(0,C1714-1)),"n.a."))</f>
        <v>0</v>
      </c>
      <c r="H1714" s="16">
        <f>IF(NOT(Paths!$C$162=1),0,IF(Paths!$P$162="Complete",F1714/12*(Paths!$L$162*(1+IF(Paths!$D$162="EV",'Operating costs'!$B$52,'Operating costs'!$B$51))^MAX(0,C1714-1)+Paths!$M$162*(1+'Operating costs'!$B$53)^MAX(0,C1714-1)),"n.a."))</f>
        <v>0</v>
      </c>
      <c r="I1714" s="16">
        <f>IF(NOT(Paths!$C$162=1),0,IF(Paths!$P$162="Complete",IF(IF(Paths!$E$162=0,C1714=0,AND(C1714&gt;0,Paths!$E$162&gt;(C1714-1)*12,Paths!$E$162&lt;=C1714*12)),Paths!$G$162,0),"n.a."))</f>
        <v>0</v>
      </c>
      <c r="J1714" s="16">
        <f>IF(NOT(Paths!$C$162=1),0,IF(Paths!$P$162="Complete",IF(IF(Paths!$E$162=0,C1714=0,AND(C1714&gt;0,Paths!$E$162&gt;(C1714-1)*12,Paths!$E$162&lt;=C1714*12)),Paths!$H$162,0),"n.a."))</f>
        <v>0</v>
      </c>
      <c r="K1714" s="16">
        <f>IF(NOT(Paths!$C$162=1),0,IF(Paths!$P$162="Complete",IF(IF(Paths!$O$162=0,C1714=0,AND(C1714&gt;0,Paths!$O$162&gt;(C1714-1)*12,Paths!$O$162&lt;=C1714*12)),Paths!$N$162,0),"n.a."))</f>
        <v>0</v>
      </c>
      <c r="L1714" s="16">
        <f>IF(NOT(Paths!$C$162=1),0,IF(Paths!$P$162="Complete",IF(C1714=10,Paths!$I$162,0),"n.a."))</f>
        <v>0</v>
      </c>
      <c r="M1714" s="16">
        <f>IF(NOT(Paths!$C$162=1),0,IF(Paths!$P$162="Complete",IF(AND(Paths!$D$162="EV",Paths!$E$162&lt;120,Paths!$E$162+'Operating costs'!$B$65&gt;Paths!$E$162,Paths!$E$162+'Operating costs'!$B$65&lt;=120,IF(Paths!$E$162+'Operating costs'!$B$65=0,C1714=0,AND(C1714&gt;0,Paths!$E$162+'Operating costs'!$B$65&gt;(C1714-1)*12,Paths!$E$162+'Operating costs'!$B$65&lt;=C1714*12))),'Operating costs'!$B$64,0)+IF(AND('Operating costs'!$B$67&gt;0,'Operating costs'!$B$67&lt;=120,OR(Paths!$D$162="ICE",'Operating costs'!$B$67&lt;=Paths!$E$162),IF('Operating costs'!$B$67=0,C1714=0,AND(C1714&gt;0,'Operating costs'!$B$67&gt;(C1714-1)*12,'Operating costs'!$B$67&lt;=C1714*12))),'Operating costs'!$B$66,0),"n.a."))</f>
        <v>0</v>
      </c>
      <c r="N1714" s="16">
        <f>IF(NOT(Paths!$C$162=1),0,IF(Paths!$P$162="Complete",SUM(G1714:I1714)-J1714-K1714-L1714+M1714+IF(C1714=0,Paths!$F$162,0)+IF(IF(Paths!$E$162=0,C1714=0,AND(C1714&gt;0,Paths!$E$162&gt;(C1714-1)*12,Paths!$E$162&lt;=C1714*12)),VLOOKUP(A1714,'Fleet register'!$A$7:$S$106,16,FALSE),0),"n.a."))</f>
        <v>0</v>
      </c>
      <c r="O1714" s="16">
        <f>IF(NOT(Paths!$C$162=1),0,IF(Paths!$P$162="Complete",N1714-IF(C1714=0,Paths!$F$162,0),"n.a."))</f>
        <v>0</v>
      </c>
      <c r="P1714" s="16">
        <f>IF(NOT(Paths!$C$162=1),0,IF(Paths!$P$162="Complete",O1714+L1714,"n.a."))</f>
        <v>0</v>
      </c>
      <c r="Q1714" s="16">
        <f>IF(NOT(Paths!$C$162=1),0,IF(Paths!$P$162="Complete",N1714*(1+'Operating costs'!$B$54)^-C1714,"n.a."))</f>
        <v>0</v>
      </c>
      <c r="R1714" s="16">
        <f>IF(NOT(Paths!$C$162=1),0,IF(Paths!$P$162="Complete",IF(AND(C1714=0,Paths!$E$162=0),I1714-J1714-K1714+VLOOKUP(A1714,'Fleet register'!$A$7:$S$106,15,FALSE)+VLOOKUP(A1714,'Fleet register'!$A$7:$S$106,16,FALSE),0),"n.a."))</f>
        <v>0</v>
      </c>
      <c r="S1714" s="1">
        <f>IF(NOT(Paths!$C$162=1),0,IF(Paths!$P$162="Complete",IF(C1714=0,0,Paths!$S$162*Paths!$R$162),"n.a."))</f>
        <v>0</v>
      </c>
      <c r="T1714" s="1">
        <f>IF(NOT(Paths!$C$162=1),0,IF(Paths!$P$162="Complete",IF(C1714=0,0,VLOOKUP(A1714,'Fleet register'!$A$7:$S$106,9,FALSE)*Paths!$R$162),"n.a."))</f>
        <v>0</v>
      </c>
    </row>
    <row r="1715" spans="1:20" ht="24" customHeight="1">
      <c r="A1715" s="1" t="str">
        <f>Paths!$A$162</f>
        <v>T039</v>
      </c>
      <c r="B1715" s="1">
        <f>Paths!$B$162</f>
        <v>3</v>
      </c>
      <c r="C1715" s="1">
        <v>3</v>
      </c>
      <c r="D1715" s="1">
        <v>162</v>
      </c>
      <c r="E1715" s="1">
        <f>IF(OR(Paths!$C$162=0,C1715=0),0,MAX(0,MIN(C1715*12,Paths!$E$162)-(C1715-1)*12))</f>
        <v>0</v>
      </c>
      <c r="F1715" s="1">
        <f>IF(OR(Paths!$C$162=0,C1715=0),0,12-E1715)</f>
        <v>0</v>
      </c>
      <c r="G1715" s="16">
        <f>IF(NOT(Paths!$C$162=1),0,IF(Paths!$P$162="Complete",E1715/12*(Paths!$J$162*(1+'Operating costs'!$B$51)^MAX(0,C1715-1)+Paths!$K$162*(1+'Operating costs'!$B$53)^MAX(0,C1715-1)),"n.a."))</f>
        <v>0</v>
      </c>
      <c r="H1715" s="16">
        <f>IF(NOT(Paths!$C$162=1),0,IF(Paths!$P$162="Complete",F1715/12*(Paths!$L$162*(1+IF(Paths!$D$162="EV",'Operating costs'!$B$52,'Operating costs'!$B$51))^MAX(0,C1715-1)+Paths!$M$162*(1+'Operating costs'!$B$53)^MAX(0,C1715-1)),"n.a."))</f>
        <v>0</v>
      </c>
      <c r="I1715" s="16">
        <f>IF(NOT(Paths!$C$162=1),0,IF(Paths!$P$162="Complete",IF(IF(Paths!$E$162=0,C1715=0,AND(C1715&gt;0,Paths!$E$162&gt;(C1715-1)*12,Paths!$E$162&lt;=C1715*12)),Paths!$G$162,0),"n.a."))</f>
        <v>0</v>
      </c>
      <c r="J1715" s="16">
        <f>IF(NOT(Paths!$C$162=1),0,IF(Paths!$P$162="Complete",IF(IF(Paths!$E$162=0,C1715=0,AND(C1715&gt;0,Paths!$E$162&gt;(C1715-1)*12,Paths!$E$162&lt;=C1715*12)),Paths!$H$162,0),"n.a."))</f>
        <v>0</v>
      </c>
      <c r="K1715" s="16">
        <f>IF(NOT(Paths!$C$162=1),0,IF(Paths!$P$162="Complete",IF(IF(Paths!$O$162=0,C1715=0,AND(C1715&gt;0,Paths!$O$162&gt;(C1715-1)*12,Paths!$O$162&lt;=C1715*12)),Paths!$N$162,0),"n.a."))</f>
        <v>0</v>
      </c>
      <c r="L1715" s="16">
        <f>IF(NOT(Paths!$C$162=1),0,IF(Paths!$P$162="Complete",IF(C1715=10,Paths!$I$162,0),"n.a."))</f>
        <v>0</v>
      </c>
      <c r="M1715" s="16">
        <f>IF(NOT(Paths!$C$162=1),0,IF(Paths!$P$162="Complete",IF(AND(Paths!$D$162="EV",Paths!$E$162&lt;120,Paths!$E$162+'Operating costs'!$B$65&gt;Paths!$E$162,Paths!$E$162+'Operating costs'!$B$65&lt;=120,IF(Paths!$E$162+'Operating costs'!$B$65=0,C1715=0,AND(C1715&gt;0,Paths!$E$162+'Operating costs'!$B$65&gt;(C1715-1)*12,Paths!$E$162+'Operating costs'!$B$65&lt;=C1715*12))),'Operating costs'!$B$64,0)+IF(AND('Operating costs'!$B$67&gt;0,'Operating costs'!$B$67&lt;=120,OR(Paths!$D$162="ICE",'Operating costs'!$B$67&lt;=Paths!$E$162),IF('Operating costs'!$B$67=0,C1715=0,AND(C1715&gt;0,'Operating costs'!$B$67&gt;(C1715-1)*12,'Operating costs'!$B$67&lt;=C1715*12))),'Operating costs'!$B$66,0),"n.a."))</f>
        <v>0</v>
      </c>
      <c r="N1715" s="16">
        <f>IF(NOT(Paths!$C$162=1),0,IF(Paths!$P$162="Complete",SUM(G1715:I1715)-J1715-K1715-L1715+M1715+IF(C1715=0,Paths!$F$162,0)+IF(IF(Paths!$E$162=0,C1715=0,AND(C1715&gt;0,Paths!$E$162&gt;(C1715-1)*12,Paths!$E$162&lt;=C1715*12)),VLOOKUP(A1715,'Fleet register'!$A$7:$S$106,16,FALSE),0),"n.a."))</f>
        <v>0</v>
      </c>
      <c r="O1715" s="16">
        <f>IF(NOT(Paths!$C$162=1),0,IF(Paths!$P$162="Complete",N1715-IF(C1715=0,Paths!$F$162,0),"n.a."))</f>
        <v>0</v>
      </c>
      <c r="P1715" s="16">
        <f>IF(NOT(Paths!$C$162=1),0,IF(Paths!$P$162="Complete",O1715+L1715,"n.a."))</f>
        <v>0</v>
      </c>
      <c r="Q1715" s="16">
        <f>IF(NOT(Paths!$C$162=1),0,IF(Paths!$P$162="Complete",N1715*(1+'Operating costs'!$B$54)^-C1715,"n.a."))</f>
        <v>0</v>
      </c>
      <c r="R1715" s="16">
        <f>IF(NOT(Paths!$C$162=1),0,IF(Paths!$P$162="Complete",IF(AND(C1715=0,Paths!$E$162=0),I1715-J1715-K1715+VLOOKUP(A1715,'Fleet register'!$A$7:$S$106,15,FALSE)+VLOOKUP(A1715,'Fleet register'!$A$7:$S$106,16,FALSE),0),"n.a."))</f>
        <v>0</v>
      </c>
      <c r="S1715" s="1">
        <f>IF(NOT(Paths!$C$162=1),0,IF(Paths!$P$162="Complete",IF(C1715=0,0,Paths!$S$162*Paths!$R$162),"n.a."))</f>
        <v>0</v>
      </c>
      <c r="T1715" s="1">
        <f>IF(NOT(Paths!$C$162=1),0,IF(Paths!$P$162="Complete",IF(C1715=0,0,VLOOKUP(A1715,'Fleet register'!$A$7:$S$106,9,FALSE)*Paths!$R$162),"n.a."))</f>
        <v>0</v>
      </c>
    </row>
    <row r="1716" spans="1:20" ht="24" customHeight="1">
      <c r="A1716" s="1" t="str">
        <f>Paths!$A$162</f>
        <v>T039</v>
      </c>
      <c r="B1716" s="1">
        <f>Paths!$B$162</f>
        <v>3</v>
      </c>
      <c r="C1716" s="1">
        <v>4</v>
      </c>
      <c r="D1716" s="1">
        <v>162</v>
      </c>
      <c r="E1716" s="1">
        <f>IF(OR(Paths!$C$162=0,C1716=0),0,MAX(0,MIN(C1716*12,Paths!$E$162)-(C1716-1)*12))</f>
        <v>0</v>
      </c>
      <c r="F1716" s="1">
        <f>IF(OR(Paths!$C$162=0,C1716=0),0,12-E1716)</f>
        <v>0</v>
      </c>
      <c r="G1716" s="16">
        <f>IF(NOT(Paths!$C$162=1),0,IF(Paths!$P$162="Complete",E1716/12*(Paths!$J$162*(1+'Operating costs'!$B$51)^MAX(0,C1716-1)+Paths!$K$162*(1+'Operating costs'!$B$53)^MAX(0,C1716-1)),"n.a."))</f>
        <v>0</v>
      </c>
      <c r="H1716" s="16">
        <f>IF(NOT(Paths!$C$162=1),0,IF(Paths!$P$162="Complete",F1716/12*(Paths!$L$162*(1+IF(Paths!$D$162="EV",'Operating costs'!$B$52,'Operating costs'!$B$51))^MAX(0,C1716-1)+Paths!$M$162*(1+'Operating costs'!$B$53)^MAX(0,C1716-1)),"n.a."))</f>
        <v>0</v>
      </c>
      <c r="I1716" s="16">
        <f>IF(NOT(Paths!$C$162=1),0,IF(Paths!$P$162="Complete",IF(IF(Paths!$E$162=0,C1716=0,AND(C1716&gt;0,Paths!$E$162&gt;(C1716-1)*12,Paths!$E$162&lt;=C1716*12)),Paths!$G$162,0),"n.a."))</f>
        <v>0</v>
      </c>
      <c r="J1716" s="16">
        <f>IF(NOT(Paths!$C$162=1),0,IF(Paths!$P$162="Complete",IF(IF(Paths!$E$162=0,C1716=0,AND(C1716&gt;0,Paths!$E$162&gt;(C1716-1)*12,Paths!$E$162&lt;=C1716*12)),Paths!$H$162,0),"n.a."))</f>
        <v>0</v>
      </c>
      <c r="K1716" s="16">
        <f>IF(NOT(Paths!$C$162=1),0,IF(Paths!$P$162="Complete",IF(IF(Paths!$O$162=0,C1716=0,AND(C1716&gt;0,Paths!$O$162&gt;(C1716-1)*12,Paths!$O$162&lt;=C1716*12)),Paths!$N$162,0),"n.a."))</f>
        <v>0</v>
      </c>
      <c r="L1716" s="16">
        <f>IF(NOT(Paths!$C$162=1),0,IF(Paths!$P$162="Complete",IF(C1716=10,Paths!$I$162,0),"n.a."))</f>
        <v>0</v>
      </c>
      <c r="M1716" s="16">
        <f>IF(NOT(Paths!$C$162=1),0,IF(Paths!$P$162="Complete",IF(AND(Paths!$D$162="EV",Paths!$E$162&lt;120,Paths!$E$162+'Operating costs'!$B$65&gt;Paths!$E$162,Paths!$E$162+'Operating costs'!$B$65&lt;=120,IF(Paths!$E$162+'Operating costs'!$B$65=0,C1716=0,AND(C1716&gt;0,Paths!$E$162+'Operating costs'!$B$65&gt;(C1716-1)*12,Paths!$E$162+'Operating costs'!$B$65&lt;=C1716*12))),'Operating costs'!$B$64,0)+IF(AND('Operating costs'!$B$67&gt;0,'Operating costs'!$B$67&lt;=120,OR(Paths!$D$162="ICE",'Operating costs'!$B$67&lt;=Paths!$E$162),IF('Operating costs'!$B$67=0,C1716=0,AND(C1716&gt;0,'Operating costs'!$B$67&gt;(C1716-1)*12,'Operating costs'!$B$67&lt;=C1716*12))),'Operating costs'!$B$66,0),"n.a."))</f>
        <v>0</v>
      </c>
      <c r="N1716" s="16">
        <f>IF(NOT(Paths!$C$162=1),0,IF(Paths!$P$162="Complete",SUM(G1716:I1716)-J1716-K1716-L1716+M1716+IF(C1716=0,Paths!$F$162,0)+IF(IF(Paths!$E$162=0,C1716=0,AND(C1716&gt;0,Paths!$E$162&gt;(C1716-1)*12,Paths!$E$162&lt;=C1716*12)),VLOOKUP(A1716,'Fleet register'!$A$7:$S$106,16,FALSE),0),"n.a."))</f>
        <v>0</v>
      </c>
      <c r="O1716" s="16">
        <f>IF(NOT(Paths!$C$162=1),0,IF(Paths!$P$162="Complete",N1716-IF(C1716=0,Paths!$F$162,0),"n.a."))</f>
        <v>0</v>
      </c>
      <c r="P1716" s="16">
        <f>IF(NOT(Paths!$C$162=1),0,IF(Paths!$P$162="Complete",O1716+L1716,"n.a."))</f>
        <v>0</v>
      </c>
      <c r="Q1716" s="16">
        <f>IF(NOT(Paths!$C$162=1),0,IF(Paths!$P$162="Complete",N1716*(1+'Operating costs'!$B$54)^-C1716,"n.a."))</f>
        <v>0</v>
      </c>
      <c r="R1716" s="16">
        <f>IF(NOT(Paths!$C$162=1),0,IF(Paths!$P$162="Complete",IF(AND(C1716=0,Paths!$E$162=0),I1716-J1716-K1716+VLOOKUP(A1716,'Fleet register'!$A$7:$S$106,15,FALSE)+VLOOKUP(A1716,'Fleet register'!$A$7:$S$106,16,FALSE),0),"n.a."))</f>
        <v>0</v>
      </c>
      <c r="S1716" s="1">
        <f>IF(NOT(Paths!$C$162=1),0,IF(Paths!$P$162="Complete",IF(C1716=0,0,Paths!$S$162*Paths!$R$162),"n.a."))</f>
        <v>0</v>
      </c>
      <c r="T1716" s="1">
        <f>IF(NOT(Paths!$C$162=1),0,IF(Paths!$P$162="Complete",IF(C1716=0,0,VLOOKUP(A1716,'Fleet register'!$A$7:$S$106,9,FALSE)*Paths!$R$162),"n.a."))</f>
        <v>0</v>
      </c>
    </row>
    <row r="1717" spans="1:20" ht="24" customHeight="1">
      <c r="A1717" s="1" t="str">
        <f>Paths!$A$162</f>
        <v>T039</v>
      </c>
      <c r="B1717" s="1">
        <f>Paths!$B$162</f>
        <v>3</v>
      </c>
      <c r="C1717" s="1">
        <v>5</v>
      </c>
      <c r="D1717" s="1">
        <v>162</v>
      </c>
      <c r="E1717" s="1">
        <f>IF(OR(Paths!$C$162=0,C1717=0),0,MAX(0,MIN(C1717*12,Paths!$E$162)-(C1717-1)*12))</f>
        <v>0</v>
      </c>
      <c r="F1717" s="1">
        <f>IF(OR(Paths!$C$162=0,C1717=0),0,12-E1717)</f>
        <v>0</v>
      </c>
      <c r="G1717" s="16">
        <f>IF(NOT(Paths!$C$162=1),0,IF(Paths!$P$162="Complete",E1717/12*(Paths!$J$162*(1+'Operating costs'!$B$51)^MAX(0,C1717-1)+Paths!$K$162*(1+'Operating costs'!$B$53)^MAX(0,C1717-1)),"n.a."))</f>
        <v>0</v>
      </c>
      <c r="H1717" s="16">
        <f>IF(NOT(Paths!$C$162=1),0,IF(Paths!$P$162="Complete",F1717/12*(Paths!$L$162*(1+IF(Paths!$D$162="EV",'Operating costs'!$B$52,'Operating costs'!$B$51))^MAX(0,C1717-1)+Paths!$M$162*(1+'Operating costs'!$B$53)^MAX(0,C1717-1)),"n.a."))</f>
        <v>0</v>
      </c>
      <c r="I1717" s="16">
        <f>IF(NOT(Paths!$C$162=1),0,IF(Paths!$P$162="Complete",IF(IF(Paths!$E$162=0,C1717=0,AND(C1717&gt;0,Paths!$E$162&gt;(C1717-1)*12,Paths!$E$162&lt;=C1717*12)),Paths!$G$162,0),"n.a."))</f>
        <v>0</v>
      </c>
      <c r="J1717" s="16">
        <f>IF(NOT(Paths!$C$162=1),0,IF(Paths!$P$162="Complete",IF(IF(Paths!$E$162=0,C1717=0,AND(C1717&gt;0,Paths!$E$162&gt;(C1717-1)*12,Paths!$E$162&lt;=C1717*12)),Paths!$H$162,0),"n.a."))</f>
        <v>0</v>
      </c>
      <c r="K1717" s="16">
        <f>IF(NOT(Paths!$C$162=1),0,IF(Paths!$P$162="Complete",IF(IF(Paths!$O$162=0,C1717=0,AND(C1717&gt;0,Paths!$O$162&gt;(C1717-1)*12,Paths!$O$162&lt;=C1717*12)),Paths!$N$162,0),"n.a."))</f>
        <v>0</v>
      </c>
      <c r="L1717" s="16">
        <f>IF(NOT(Paths!$C$162=1),0,IF(Paths!$P$162="Complete",IF(C1717=10,Paths!$I$162,0),"n.a."))</f>
        <v>0</v>
      </c>
      <c r="M1717" s="16">
        <f>IF(NOT(Paths!$C$162=1),0,IF(Paths!$P$162="Complete",IF(AND(Paths!$D$162="EV",Paths!$E$162&lt;120,Paths!$E$162+'Operating costs'!$B$65&gt;Paths!$E$162,Paths!$E$162+'Operating costs'!$B$65&lt;=120,IF(Paths!$E$162+'Operating costs'!$B$65=0,C1717=0,AND(C1717&gt;0,Paths!$E$162+'Operating costs'!$B$65&gt;(C1717-1)*12,Paths!$E$162+'Operating costs'!$B$65&lt;=C1717*12))),'Operating costs'!$B$64,0)+IF(AND('Operating costs'!$B$67&gt;0,'Operating costs'!$B$67&lt;=120,OR(Paths!$D$162="ICE",'Operating costs'!$B$67&lt;=Paths!$E$162),IF('Operating costs'!$B$67=0,C1717=0,AND(C1717&gt;0,'Operating costs'!$B$67&gt;(C1717-1)*12,'Operating costs'!$B$67&lt;=C1717*12))),'Operating costs'!$B$66,0),"n.a."))</f>
        <v>0</v>
      </c>
      <c r="N1717" s="16">
        <f>IF(NOT(Paths!$C$162=1),0,IF(Paths!$P$162="Complete",SUM(G1717:I1717)-J1717-K1717-L1717+M1717+IF(C1717=0,Paths!$F$162,0)+IF(IF(Paths!$E$162=0,C1717=0,AND(C1717&gt;0,Paths!$E$162&gt;(C1717-1)*12,Paths!$E$162&lt;=C1717*12)),VLOOKUP(A1717,'Fleet register'!$A$7:$S$106,16,FALSE),0),"n.a."))</f>
        <v>0</v>
      </c>
      <c r="O1717" s="16">
        <f>IF(NOT(Paths!$C$162=1),0,IF(Paths!$P$162="Complete",N1717-IF(C1717=0,Paths!$F$162,0),"n.a."))</f>
        <v>0</v>
      </c>
      <c r="P1717" s="16">
        <f>IF(NOT(Paths!$C$162=1),0,IF(Paths!$P$162="Complete",O1717+L1717,"n.a."))</f>
        <v>0</v>
      </c>
      <c r="Q1717" s="16">
        <f>IF(NOT(Paths!$C$162=1),0,IF(Paths!$P$162="Complete",N1717*(1+'Operating costs'!$B$54)^-C1717,"n.a."))</f>
        <v>0</v>
      </c>
      <c r="R1717" s="16">
        <f>IF(NOT(Paths!$C$162=1),0,IF(Paths!$P$162="Complete",IF(AND(C1717=0,Paths!$E$162=0),I1717-J1717-K1717+VLOOKUP(A1717,'Fleet register'!$A$7:$S$106,15,FALSE)+VLOOKUP(A1717,'Fleet register'!$A$7:$S$106,16,FALSE),0),"n.a."))</f>
        <v>0</v>
      </c>
      <c r="S1717" s="1">
        <f>IF(NOT(Paths!$C$162=1),0,IF(Paths!$P$162="Complete",IF(C1717=0,0,Paths!$S$162*Paths!$R$162),"n.a."))</f>
        <v>0</v>
      </c>
      <c r="T1717" s="1">
        <f>IF(NOT(Paths!$C$162=1),0,IF(Paths!$P$162="Complete",IF(C1717=0,0,VLOOKUP(A1717,'Fleet register'!$A$7:$S$106,9,FALSE)*Paths!$R$162),"n.a."))</f>
        <v>0</v>
      </c>
    </row>
    <row r="1718" spans="1:20" ht="24" customHeight="1">
      <c r="A1718" s="1" t="str">
        <f>Paths!$A$162</f>
        <v>T039</v>
      </c>
      <c r="B1718" s="1">
        <f>Paths!$B$162</f>
        <v>3</v>
      </c>
      <c r="C1718" s="1">
        <v>6</v>
      </c>
      <c r="D1718" s="1">
        <v>162</v>
      </c>
      <c r="E1718" s="1">
        <f>IF(OR(Paths!$C$162=0,C1718=0),0,MAX(0,MIN(C1718*12,Paths!$E$162)-(C1718-1)*12))</f>
        <v>0</v>
      </c>
      <c r="F1718" s="1">
        <f>IF(OR(Paths!$C$162=0,C1718=0),0,12-E1718)</f>
        <v>0</v>
      </c>
      <c r="G1718" s="16">
        <f>IF(NOT(Paths!$C$162=1),0,IF(Paths!$P$162="Complete",E1718/12*(Paths!$J$162*(1+'Operating costs'!$B$51)^MAX(0,C1718-1)+Paths!$K$162*(1+'Operating costs'!$B$53)^MAX(0,C1718-1)),"n.a."))</f>
        <v>0</v>
      </c>
      <c r="H1718" s="16">
        <f>IF(NOT(Paths!$C$162=1),0,IF(Paths!$P$162="Complete",F1718/12*(Paths!$L$162*(1+IF(Paths!$D$162="EV",'Operating costs'!$B$52,'Operating costs'!$B$51))^MAX(0,C1718-1)+Paths!$M$162*(1+'Operating costs'!$B$53)^MAX(0,C1718-1)),"n.a."))</f>
        <v>0</v>
      </c>
      <c r="I1718" s="16">
        <f>IF(NOT(Paths!$C$162=1),0,IF(Paths!$P$162="Complete",IF(IF(Paths!$E$162=0,C1718=0,AND(C1718&gt;0,Paths!$E$162&gt;(C1718-1)*12,Paths!$E$162&lt;=C1718*12)),Paths!$G$162,0),"n.a."))</f>
        <v>0</v>
      </c>
      <c r="J1718" s="16">
        <f>IF(NOT(Paths!$C$162=1),0,IF(Paths!$P$162="Complete",IF(IF(Paths!$E$162=0,C1718=0,AND(C1718&gt;0,Paths!$E$162&gt;(C1718-1)*12,Paths!$E$162&lt;=C1718*12)),Paths!$H$162,0),"n.a."))</f>
        <v>0</v>
      </c>
      <c r="K1718" s="16">
        <f>IF(NOT(Paths!$C$162=1),0,IF(Paths!$P$162="Complete",IF(IF(Paths!$O$162=0,C1718=0,AND(C1718&gt;0,Paths!$O$162&gt;(C1718-1)*12,Paths!$O$162&lt;=C1718*12)),Paths!$N$162,0),"n.a."))</f>
        <v>0</v>
      </c>
      <c r="L1718" s="16">
        <f>IF(NOT(Paths!$C$162=1),0,IF(Paths!$P$162="Complete",IF(C1718=10,Paths!$I$162,0),"n.a."))</f>
        <v>0</v>
      </c>
      <c r="M1718" s="16">
        <f>IF(NOT(Paths!$C$162=1),0,IF(Paths!$P$162="Complete",IF(AND(Paths!$D$162="EV",Paths!$E$162&lt;120,Paths!$E$162+'Operating costs'!$B$65&gt;Paths!$E$162,Paths!$E$162+'Operating costs'!$B$65&lt;=120,IF(Paths!$E$162+'Operating costs'!$B$65=0,C1718=0,AND(C1718&gt;0,Paths!$E$162+'Operating costs'!$B$65&gt;(C1718-1)*12,Paths!$E$162+'Operating costs'!$B$65&lt;=C1718*12))),'Operating costs'!$B$64,0)+IF(AND('Operating costs'!$B$67&gt;0,'Operating costs'!$B$67&lt;=120,OR(Paths!$D$162="ICE",'Operating costs'!$B$67&lt;=Paths!$E$162),IF('Operating costs'!$B$67=0,C1718=0,AND(C1718&gt;0,'Operating costs'!$B$67&gt;(C1718-1)*12,'Operating costs'!$B$67&lt;=C1718*12))),'Operating costs'!$B$66,0),"n.a."))</f>
        <v>0</v>
      </c>
      <c r="N1718" s="16">
        <f>IF(NOT(Paths!$C$162=1),0,IF(Paths!$P$162="Complete",SUM(G1718:I1718)-J1718-K1718-L1718+M1718+IF(C1718=0,Paths!$F$162,0)+IF(IF(Paths!$E$162=0,C1718=0,AND(C1718&gt;0,Paths!$E$162&gt;(C1718-1)*12,Paths!$E$162&lt;=C1718*12)),VLOOKUP(A1718,'Fleet register'!$A$7:$S$106,16,FALSE),0),"n.a."))</f>
        <v>0</v>
      </c>
      <c r="O1718" s="16">
        <f>IF(NOT(Paths!$C$162=1),0,IF(Paths!$P$162="Complete",N1718-IF(C1718=0,Paths!$F$162,0),"n.a."))</f>
        <v>0</v>
      </c>
      <c r="P1718" s="16">
        <f>IF(NOT(Paths!$C$162=1),0,IF(Paths!$P$162="Complete",O1718+L1718,"n.a."))</f>
        <v>0</v>
      </c>
      <c r="Q1718" s="16">
        <f>IF(NOT(Paths!$C$162=1),0,IF(Paths!$P$162="Complete",N1718*(1+'Operating costs'!$B$54)^-C1718,"n.a."))</f>
        <v>0</v>
      </c>
      <c r="R1718" s="16">
        <f>IF(NOT(Paths!$C$162=1),0,IF(Paths!$P$162="Complete",IF(AND(C1718=0,Paths!$E$162=0),I1718-J1718-K1718+VLOOKUP(A1718,'Fleet register'!$A$7:$S$106,15,FALSE)+VLOOKUP(A1718,'Fleet register'!$A$7:$S$106,16,FALSE),0),"n.a."))</f>
        <v>0</v>
      </c>
      <c r="S1718" s="1">
        <f>IF(NOT(Paths!$C$162=1),0,IF(Paths!$P$162="Complete",IF(C1718=0,0,Paths!$S$162*Paths!$R$162),"n.a."))</f>
        <v>0</v>
      </c>
      <c r="T1718" s="1">
        <f>IF(NOT(Paths!$C$162=1),0,IF(Paths!$P$162="Complete",IF(C1718=0,0,VLOOKUP(A1718,'Fleet register'!$A$7:$S$106,9,FALSE)*Paths!$R$162),"n.a."))</f>
        <v>0</v>
      </c>
    </row>
    <row r="1719" spans="1:20" ht="24" customHeight="1">
      <c r="A1719" s="1" t="str">
        <f>Paths!$A$162</f>
        <v>T039</v>
      </c>
      <c r="B1719" s="1">
        <f>Paths!$B$162</f>
        <v>3</v>
      </c>
      <c r="C1719" s="1">
        <v>7</v>
      </c>
      <c r="D1719" s="1">
        <v>162</v>
      </c>
      <c r="E1719" s="1">
        <f>IF(OR(Paths!$C$162=0,C1719=0),0,MAX(0,MIN(C1719*12,Paths!$E$162)-(C1719-1)*12))</f>
        <v>0</v>
      </c>
      <c r="F1719" s="1">
        <f>IF(OR(Paths!$C$162=0,C1719=0),0,12-E1719)</f>
        <v>0</v>
      </c>
      <c r="G1719" s="16">
        <f>IF(NOT(Paths!$C$162=1),0,IF(Paths!$P$162="Complete",E1719/12*(Paths!$J$162*(1+'Operating costs'!$B$51)^MAX(0,C1719-1)+Paths!$K$162*(1+'Operating costs'!$B$53)^MAX(0,C1719-1)),"n.a."))</f>
        <v>0</v>
      </c>
      <c r="H1719" s="16">
        <f>IF(NOT(Paths!$C$162=1),0,IF(Paths!$P$162="Complete",F1719/12*(Paths!$L$162*(1+IF(Paths!$D$162="EV",'Operating costs'!$B$52,'Operating costs'!$B$51))^MAX(0,C1719-1)+Paths!$M$162*(1+'Operating costs'!$B$53)^MAX(0,C1719-1)),"n.a."))</f>
        <v>0</v>
      </c>
      <c r="I1719" s="16">
        <f>IF(NOT(Paths!$C$162=1),0,IF(Paths!$P$162="Complete",IF(IF(Paths!$E$162=0,C1719=0,AND(C1719&gt;0,Paths!$E$162&gt;(C1719-1)*12,Paths!$E$162&lt;=C1719*12)),Paths!$G$162,0),"n.a."))</f>
        <v>0</v>
      </c>
      <c r="J1719" s="16">
        <f>IF(NOT(Paths!$C$162=1),0,IF(Paths!$P$162="Complete",IF(IF(Paths!$E$162=0,C1719=0,AND(C1719&gt;0,Paths!$E$162&gt;(C1719-1)*12,Paths!$E$162&lt;=C1719*12)),Paths!$H$162,0),"n.a."))</f>
        <v>0</v>
      </c>
      <c r="K1719" s="16">
        <f>IF(NOT(Paths!$C$162=1),0,IF(Paths!$P$162="Complete",IF(IF(Paths!$O$162=0,C1719=0,AND(C1719&gt;0,Paths!$O$162&gt;(C1719-1)*12,Paths!$O$162&lt;=C1719*12)),Paths!$N$162,0),"n.a."))</f>
        <v>0</v>
      </c>
      <c r="L1719" s="16">
        <f>IF(NOT(Paths!$C$162=1),0,IF(Paths!$P$162="Complete",IF(C1719=10,Paths!$I$162,0),"n.a."))</f>
        <v>0</v>
      </c>
      <c r="M1719" s="16">
        <f>IF(NOT(Paths!$C$162=1),0,IF(Paths!$P$162="Complete",IF(AND(Paths!$D$162="EV",Paths!$E$162&lt;120,Paths!$E$162+'Operating costs'!$B$65&gt;Paths!$E$162,Paths!$E$162+'Operating costs'!$B$65&lt;=120,IF(Paths!$E$162+'Operating costs'!$B$65=0,C1719=0,AND(C1719&gt;0,Paths!$E$162+'Operating costs'!$B$65&gt;(C1719-1)*12,Paths!$E$162+'Operating costs'!$B$65&lt;=C1719*12))),'Operating costs'!$B$64,0)+IF(AND('Operating costs'!$B$67&gt;0,'Operating costs'!$B$67&lt;=120,OR(Paths!$D$162="ICE",'Operating costs'!$B$67&lt;=Paths!$E$162),IF('Operating costs'!$B$67=0,C1719=0,AND(C1719&gt;0,'Operating costs'!$B$67&gt;(C1719-1)*12,'Operating costs'!$B$67&lt;=C1719*12))),'Operating costs'!$B$66,0),"n.a."))</f>
        <v>0</v>
      </c>
      <c r="N1719" s="16">
        <f>IF(NOT(Paths!$C$162=1),0,IF(Paths!$P$162="Complete",SUM(G1719:I1719)-J1719-K1719-L1719+M1719+IF(C1719=0,Paths!$F$162,0)+IF(IF(Paths!$E$162=0,C1719=0,AND(C1719&gt;0,Paths!$E$162&gt;(C1719-1)*12,Paths!$E$162&lt;=C1719*12)),VLOOKUP(A1719,'Fleet register'!$A$7:$S$106,16,FALSE),0),"n.a."))</f>
        <v>0</v>
      </c>
      <c r="O1719" s="16">
        <f>IF(NOT(Paths!$C$162=1),0,IF(Paths!$P$162="Complete",N1719-IF(C1719=0,Paths!$F$162,0),"n.a."))</f>
        <v>0</v>
      </c>
      <c r="P1719" s="16">
        <f>IF(NOT(Paths!$C$162=1),0,IF(Paths!$P$162="Complete",O1719+L1719,"n.a."))</f>
        <v>0</v>
      </c>
      <c r="Q1719" s="16">
        <f>IF(NOT(Paths!$C$162=1),0,IF(Paths!$P$162="Complete",N1719*(1+'Operating costs'!$B$54)^-C1719,"n.a."))</f>
        <v>0</v>
      </c>
      <c r="R1719" s="16">
        <f>IF(NOT(Paths!$C$162=1),0,IF(Paths!$P$162="Complete",IF(AND(C1719=0,Paths!$E$162=0),I1719-J1719-K1719+VLOOKUP(A1719,'Fleet register'!$A$7:$S$106,15,FALSE)+VLOOKUP(A1719,'Fleet register'!$A$7:$S$106,16,FALSE),0),"n.a."))</f>
        <v>0</v>
      </c>
      <c r="S1719" s="1">
        <f>IF(NOT(Paths!$C$162=1),0,IF(Paths!$P$162="Complete",IF(C1719=0,0,Paths!$S$162*Paths!$R$162),"n.a."))</f>
        <v>0</v>
      </c>
      <c r="T1719" s="1">
        <f>IF(NOT(Paths!$C$162=1),0,IF(Paths!$P$162="Complete",IF(C1719=0,0,VLOOKUP(A1719,'Fleet register'!$A$7:$S$106,9,FALSE)*Paths!$R$162),"n.a."))</f>
        <v>0</v>
      </c>
    </row>
    <row r="1720" spans="1:20" ht="24" customHeight="1">
      <c r="A1720" s="1" t="str">
        <f>Paths!$A$162</f>
        <v>T039</v>
      </c>
      <c r="B1720" s="1">
        <f>Paths!$B$162</f>
        <v>3</v>
      </c>
      <c r="C1720" s="1">
        <v>8</v>
      </c>
      <c r="D1720" s="1">
        <v>162</v>
      </c>
      <c r="E1720" s="1">
        <f>IF(OR(Paths!$C$162=0,C1720=0),0,MAX(0,MIN(C1720*12,Paths!$E$162)-(C1720-1)*12))</f>
        <v>0</v>
      </c>
      <c r="F1720" s="1">
        <f>IF(OR(Paths!$C$162=0,C1720=0),0,12-E1720)</f>
        <v>0</v>
      </c>
      <c r="G1720" s="16">
        <f>IF(NOT(Paths!$C$162=1),0,IF(Paths!$P$162="Complete",E1720/12*(Paths!$J$162*(1+'Operating costs'!$B$51)^MAX(0,C1720-1)+Paths!$K$162*(1+'Operating costs'!$B$53)^MAX(0,C1720-1)),"n.a."))</f>
        <v>0</v>
      </c>
      <c r="H1720" s="16">
        <f>IF(NOT(Paths!$C$162=1),0,IF(Paths!$P$162="Complete",F1720/12*(Paths!$L$162*(1+IF(Paths!$D$162="EV",'Operating costs'!$B$52,'Operating costs'!$B$51))^MAX(0,C1720-1)+Paths!$M$162*(1+'Operating costs'!$B$53)^MAX(0,C1720-1)),"n.a."))</f>
        <v>0</v>
      </c>
      <c r="I1720" s="16">
        <f>IF(NOT(Paths!$C$162=1),0,IF(Paths!$P$162="Complete",IF(IF(Paths!$E$162=0,C1720=0,AND(C1720&gt;0,Paths!$E$162&gt;(C1720-1)*12,Paths!$E$162&lt;=C1720*12)),Paths!$G$162,0),"n.a."))</f>
        <v>0</v>
      </c>
      <c r="J1720" s="16">
        <f>IF(NOT(Paths!$C$162=1),0,IF(Paths!$P$162="Complete",IF(IF(Paths!$E$162=0,C1720=0,AND(C1720&gt;0,Paths!$E$162&gt;(C1720-1)*12,Paths!$E$162&lt;=C1720*12)),Paths!$H$162,0),"n.a."))</f>
        <v>0</v>
      </c>
      <c r="K1720" s="16">
        <f>IF(NOT(Paths!$C$162=1),0,IF(Paths!$P$162="Complete",IF(IF(Paths!$O$162=0,C1720=0,AND(C1720&gt;0,Paths!$O$162&gt;(C1720-1)*12,Paths!$O$162&lt;=C1720*12)),Paths!$N$162,0),"n.a."))</f>
        <v>0</v>
      </c>
      <c r="L1720" s="16">
        <f>IF(NOT(Paths!$C$162=1),0,IF(Paths!$P$162="Complete",IF(C1720=10,Paths!$I$162,0),"n.a."))</f>
        <v>0</v>
      </c>
      <c r="M1720" s="16">
        <f>IF(NOT(Paths!$C$162=1),0,IF(Paths!$P$162="Complete",IF(AND(Paths!$D$162="EV",Paths!$E$162&lt;120,Paths!$E$162+'Operating costs'!$B$65&gt;Paths!$E$162,Paths!$E$162+'Operating costs'!$B$65&lt;=120,IF(Paths!$E$162+'Operating costs'!$B$65=0,C1720=0,AND(C1720&gt;0,Paths!$E$162+'Operating costs'!$B$65&gt;(C1720-1)*12,Paths!$E$162+'Operating costs'!$B$65&lt;=C1720*12))),'Operating costs'!$B$64,0)+IF(AND('Operating costs'!$B$67&gt;0,'Operating costs'!$B$67&lt;=120,OR(Paths!$D$162="ICE",'Operating costs'!$B$67&lt;=Paths!$E$162),IF('Operating costs'!$B$67=0,C1720=0,AND(C1720&gt;0,'Operating costs'!$B$67&gt;(C1720-1)*12,'Operating costs'!$B$67&lt;=C1720*12))),'Operating costs'!$B$66,0),"n.a."))</f>
        <v>0</v>
      </c>
      <c r="N1720" s="16">
        <f>IF(NOT(Paths!$C$162=1),0,IF(Paths!$P$162="Complete",SUM(G1720:I1720)-J1720-K1720-L1720+M1720+IF(C1720=0,Paths!$F$162,0)+IF(IF(Paths!$E$162=0,C1720=0,AND(C1720&gt;0,Paths!$E$162&gt;(C1720-1)*12,Paths!$E$162&lt;=C1720*12)),VLOOKUP(A1720,'Fleet register'!$A$7:$S$106,16,FALSE),0),"n.a."))</f>
        <v>0</v>
      </c>
      <c r="O1720" s="16">
        <f>IF(NOT(Paths!$C$162=1),0,IF(Paths!$P$162="Complete",N1720-IF(C1720=0,Paths!$F$162,0),"n.a."))</f>
        <v>0</v>
      </c>
      <c r="P1720" s="16">
        <f>IF(NOT(Paths!$C$162=1),0,IF(Paths!$P$162="Complete",O1720+L1720,"n.a."))</f>
        <v>0</v>
      </c>
      <c r="Q1720" s="16">
        <f>IF(NOT(Paths!$C$162=1),0,IF(Paths!$P$162="Complete",N1720*(1+'Operating costs'!$B$54)^-C1720,"n.a."))</f>
        <v>0</v>
      </c>
      <c r="R1720" s="16">
        <f>IF(NOT(Paths!$C$162=1),0,IF(Paths!$P$162="Complete",IF(AND(C1720=0,Paths!$E$162=0),I1720-J1720-K1720+VLOOKUP(A1720,'Fleet register'!$A$7:$S$106,15,FALSE)+VLOOKUP(A1720,'Fleet register'!$A$7:$S$106,16,FALSE),0),"n.a."))</f>
        <v>0</v>
      </c>
      <c r="S1720" s="1">
        <f>IF(NOT(Paths!$C$162=1),0,IF(Paths!$P$162="Complete",IF(C1720=0,0,Paths!$S$162*Paths!$R$162),"n.a."))</f>
        <v>0</v>
      </c>
      <c r="T1720" s="1">
        <f>IF(NOT(Paths!$C$162=1),0,IF(Paths!$P$162="Complete",IF(C1720=0,0,VLOOKUP(A1720,'Fleet register'!$A$7:$S$106,9,FALSE)*Paths!$R$162),"n.a."))</f>
        <v>0</v>
      </c>
    </row>
    <row r="1721" spans="1:20" ht="24" customHeight="1">
      <c r="A1721" s="1" t="str">
        <f>Paths!$A$162</f>
        <v>T039</v>
      </c>
      <c r="B1721" s="1">
        <f>Paths!$B$162</f>
        <v>3</v>
      </c>
      <c r="C1721" s="1">
        <v>9</v>
      </c>
      <c r="D1721" s="1">
        <v>162</v>
      </c>
      <c r="E1721" s="1">
        <f>IF(OR(Paths!$C$162=0,C1721=0),0,MAX(0,MIN(C1721*12,Paths!$E$162)-(C1721-1)*12))</f>
        <v>0</v>
      </c>
      <c r="F1721" s="1">
        <f>IF(OR(Paths!$C$162=0,C1721=0),0,12-E1721)</f>
        <v>0</v>
      </c>
      <c r="G1721" s="16">
        <f>IF(NOT(Paths!$C$162=1),0,IF(Paths!$P$162="Complete",E1721/12*(Paths!$J$162*(1+'Operating costs'!$B$51)^MAX(0,C1721-1)+Paths!$K$162*(1+'Operating costs'!$B$53)^MAX(0,C1721-1)),"n.a."))</f>
        <v>0</v>
      </c>
      <c r="H1721" s="16">
        <f>IF(NOT(Paths!$C$162=1),0,IF(Paths!$P$162="Complete",F1721/12*(Paths!$L$162*(1+IF(Paths!$D$162="EV",'Operating costs'!$B$52,'Operating costs'!$B$51))^MAX(0,C1721-1)+Paths!$M$162*(1+'Operating costs'!$B$53)^MAX(0,C1721-1)),"n.a."))</f>
        <v>0</v>
      </c>
      <c r="I1721" s="16">
        <f>IF(NOT(Paths!$C$162=1),0,IF(Paths!$P$162="Complete",IF(IF(Paths!$E$162=0,C1721=0,AND(C1721&gt;0,Paths!$E$162&gt;(C1721-1)*12,Paths!$E$162&lt;=C1721*12)),Paths!$G$162,0),"n.a."))</f>
        <v>0</v>
      </c>
      <c r="J1721" s="16">
        <f>IF(NOT(Paths!$C$162=1),0,IF(Paths!$P$162="Complete",IF(IF(Paths!$E$162=0,C1721=0,AND(C1721&gt;0,Paths!$E$162&gt;(C1721-1)*12,Paths!$E$162&lt;=C1721*12)),Paths!$H$162,0),"n.a."))</f>
        <v>0</v>
      </c>
      <c r="K1721" s="16">
        <f>IF(NOT(Paths!$C$162=1),0,IF(Paths!$P$162="Complete",IF(IF(Paths!$O$162=0,C1721=0,AND(C1721&gt;0,Paths!$O$162&gt;(C1721-1)*12,Paths!$O$162&lt;=C1721*12)),Paths!$N$162,0),"n.a."))</f>
        <v>0</v>
      </c>
      <c r="L1721" s="16">
        <f>IF(NOT(Paths!$C$162=1),0,IF(Paths!$P$162="Complete",IF(C1721=10,Paths!$I$162,0),"n.a."))</f>
        <v>0</v>
      </c>
      <c r="M1721" s="16">
        <f>IF(NOT(Paths!$C$162=1),0,IF(Paths!$P$162="Complete",IF(AND(Paths!$D$162="EV",Paths!$E$162&lt;120,Paths!$E$162+'Operating costs'!$B$65&gt;Paths!$E$162,Paths!$E$162+'Operating costs'!$B$65&lt;=120,IF(Paths!$E$162+'Operating costs'!$B$65=0,C1721=0,AND(C1721&gt;0,Paths!$E$162+'Operating costs'!$B$65&gt;(C1721-1)*12,Paths!$E$162+'Operating costs'!$B$65&lt;=C1721*12))),'Operating costs'!$B$64,0)+IF(AND('Operating costs'!$B$67&gt;0,'Operating costs'!$B$67&lt;=120,OR(Paths!$D$162="ICE",'Operating costs'!$B$67&lt;=Paths!$E$162),IF('Operating costs'!$B$67=0,C1721=0,AND(C1721&gt;0,'Operating costs'!$B$67&gt;(C1721-1)*12,'Operating costs'!$B$67&lt;=C1721*12))),'Operating costs'!$B$66,0),"n.a."))</f>
        <v>0</v>
      </c>
      <c r="N1721" s="16">
        <f>IF(NOT(Paths!$C$162=1),0,IF(Paths!$P$162="Complete",SUM(G1721:I1721)-J1721-K1721-L1721+M1721+IF(C1721=0,Paths!$F$162,0)+IF(IF(Paths!$E$162=0,C1721=0,AND(C1721&gt;0,Paths!$E$162&gt;(C1721-1)*12,Paths!$E$162&lt;=C1721*12)),VLOOKUP(A1721,'Fleet register'!$A$7:$S$106,16,FALSE),0),"n.a."))</f>
        <v>0</v>
      </c>
      <c r="O1721" s="16">
        <f>IF(NOT(Paths!$C$162=1),0,IF(Paths!$P$162="Complete",N1721-IF(C1721=0,Paths!$F$162,0),"n.a."))</f>
        <v>0</v>
      </c>
      <c r="P1721" s="16">
        <f>IF(NOT(Paths!$C$162=1),0,IF(Paths!$P$162="Complete",O1721+L1721,"n.a."))</f>
        <v>0</v>
      </c>
      <c r="Q1721" s="16">
        <f>IF(NOT(Paths!$C$162=1),0,IF(Paths!$P$162="Complete",N1721*(1+'Operating costs'!$B$54)^-C1721,"n.a."))</f>
        <v>0</v>
      </c>
      <c r="R1721" s="16">
        <f>IF(NOT(Paths!$C$162=1),0,IF(Paths!$P$162="Complete",IF(AND(C1721=0,Paths!$E$162=0),I1721-J1721-K1721+VLOOKUP(A1721,'Fleet register'!$A$7:$S$106,15,FALSE)+VLOOKUP(A1721,'Fleet register'!$A$7:$S$106,16,FALSE),0),"n.a."))</f>
        <v>0</v>
      </c>
      <c r="S1721" s="1">
        <f>IF(NOT(Paths!$C$162=1),0,IF(Paths!$P$162="Complete",IF(C1721=0,0,Paths!$S$162*Paths!$R$162),"n.a."))</f>
        <v>0</v>
      </c>
      <c r="T1721" s="1">
        <f>IF(NOT(Paths!$C$162=1),0,IF(Paths!$P$162="Complete",IF(C1721=0,0,VLOOKUP(A1721,'Fleet register'!$A$7:$S$106,9,FALSE)*Paths!$R$162),"n.a."))</f>
        <v>0</v>
      </c>
    </row>
    <row r="1722" spans="1:20" ht="24" customHeight="1">
      <c r="A1722" s="1" t="str">
        <f>Paths!$A$162</f>
        <v>T039</v>
      </c>
      <c r="B1722" s="1">
        <f>Paths!$B$162</f>
        <v>3</v>
      </c>
      <c r="C1722" s="1">
        <v>10</v>
      </c>
      <c r="D1722" s="1">
        <v>162</v>
      </c>
      <c r="E1722" s="1">
        <f>IF(OR(Paths!$C$162=0,C1722=0),0,MAX(0,MIN(C1722*12,Paths!$E$162)-(C1722-1)*12))</f>
        <v>0</v>
      </c>
      <c r="F1722" s="1">
        <f>IF(OR(Paths!$C$162=0,C1722=0),0,12-E1722)</f>
        <v>0</v>
      </c>
      <c r="G1722" s="16">
        <f>IF(NOT(Paths!$C$162=1),0,IF(Paths!$P$162="Complete",E1722/12*(Paths!$J$162*(1+'Operating costs'!$B$51)^MAX(0,C1722-1)+Paths!$K$162*(1+'Operating costs'!$B$53)^MAX(0,C1722-1)),"n.a."))</f>
        <v>0</v>
      </c>
      <c r="H1722" s="16">
        <f>IF(NOT(Paths!$C$162=1),0,IF(Paths!$P$162="Complete",F1722/12*(Paths!$L$162*(1+IF(Paths!$D$162="EV",'Operating costs'!$B$52,'Operating costs'!$B$51))^MAX(0,C1722-1)+Paths!$M$162*(1+'Operating costs'!$B$53)^MAX(0,C1722-1)),"n.a."))</f>
        <v>0</v>
      </c>
      <c r="I1722" s="16">
        <f>IF(NOT(Paths!$C$162=1),0,IF(Paths!$P$162="Complete",IF(IF(Paths!$E$162=0,C1722=0,AND(C1722&gt;0,Paths!$E$162&gt;(C1722-1)*12,Paths!$E$162&lt;=C1722*12)),Paths!$G$162,0),"n.a."))</f>
        <v>0</v>
      </c>
      <c r="J1722" s="16">
        <f>IF(NOT(Paths!$C$162=1),0,IF(Paths!$P$162="Complete",IF(IF(Paths!$E$162=0,C1722=0,AND(C1722&gt;0,Paths!$E$162&gt;(C1722-1)*12,Paths!$E$162&lt;=C1722*12)),Paths!$H$162,0),"n.a."))</f>
        <v>0</v>
      </c>
      <c r="K1722" s="16">
        <f>IF(NOT(Paths!$C$162=1),0,IF(Paths!$P$162="Complete",IF(IF(Paths!$O$162=0,C1722=0,AND(C1722&gt;0,Paths!$O$162&gt;(C1722-1)*12,Paths!$O$162&lt;=C1722*12)),Paths!$N$162,0),"n.a."))</f>
        <v>0</v>
      </c>
      <c r="L1722" s="16">
        <f>IF(NOT(Paths!$C$162=1),0,IF(Paths!$P$162="Complete",IF(C1722=10,Paths!$I$162,0),"n.a."))</f>
        <v>0</v>
      </c>
      <c r="M1722" s="16">
        <f>IF(NOT(Paths!$C$162=1),0,IF(Paths!$P$162="Complete",IF(AND(Paths!$D$162="EV",Paths!$E$162&lt;120,Paths!$E$162+'Operating costs'!$B$65&gt;Paths!$E$162,Paths!$E$162+'Operating costs'!$B$65&lt;=120,IF(Paths!$E$162+'Operating costs'!$B$65=0,C1722=0,AND(C1722&gt;0,Paths!$E$162+'Operating costs'!$B$65&gt;(C1722-1)*12,Paths!$E$162+'Operating costs'!$B$65&lt;=C1722*12))),'Operating costs'!$B$64,0)+IF(AND('Operating costs'!$B$67&gt;0,'Operating costs'!$B$67&lt;=120,OR(Paths!$D$162="ICE",'Operating costs'!$B$67&lt;=Paths!$E$162),IF('Operating costs'!$B$67=0,C1722=0,AND(C1722&gt;0,'Operating costs'!$B$67&gt;(C1722-1)*12,'Operating costs'!$B$67&lt;=C1722*12))),'Operating costs'!$B$66,0),"n.a."))</f>
        <v>0</v>
      </c>
      <c r="N1722" s="16">
        <f>IF(NOT(Paths!$C$162=1),0,IF(Paths!$P$162="Complete",SUM(G1722:I1722)-J1722-K1722-L1722+M1722+IF(C1722=0,Paths!$F$162,0)+IF(IF(Paths!$E$162=0,C1722=0,AND(C1722&gt;0,Paths!$E$162&gt;(C1722-1)*12,Paths!$E$162&lt;=C1722*12)),VLOOKUP(A1722,'Fleet register'!$A$7:$S$106,16,FALSE),0),"n.a."))</f>
        <v>0</v>
      </c>
      <c r="O1722" s="16">
        <f>IF(NOT(Paths!$C$162=1),0,IF(Paths!$P$162="Complete",N1722-IF(C1722=0,Paths!$F$162,0),"n.a."))</f>
        <v>0</v>
      </c>
      <c r="P1722" s="16">
        <f>IF(NOT(Paths!$C$162=1),0,IF(Paths!$P$162="Complete",O1722+L1722,"n.a."))</f>
        <v>0</v>
      </c>
      <c r="Q1722" s="16">
        <f>IF(NOT(Paths!$C$162=1),0,IF(Paths!$P$162="Complete",N1722*(1+'Operating costs'!$B$54)^-C1722,"n.a."))</f>
        <v>0</v>
      </c>
      <c r="R1722" s="16">
        <f>IF(NOT(Paths!$C$162=1),0,IF(Paths!$P$162="Complete",IF(AND(C1722=0,Paths!$E$162=0),I1722-J1722-K1722+VLOOKUP(A1722,'Fleet register'!$A$7:$S$106,15,FALSE)+VLOOKUP(A1722,'Fleet register'!$A$7:$S$106,16,FALSE),0),"n.a."))</f>
        <v>0</v>
      </c>
      <c r="S1722" s="1">
        <f>IF(NOT(Paths!$C$162=1),0,IF(Paths!$P$162="Complete",IF(C1722=0,0,Paths!$S$162*Paths!$R$162),"n.a."))</f>
        <v>0</v>
      </c>
      <c r="T1722" s="1">
        <f>IF(NOT(Paths!$C$162=1),0,IF(Paths!$P$162="Complete",IF(C1722=0,0,VLOOKUP(A1722,'Fleet register'!$A$7:$S$106,9,FALSE)*Paths!$R$162),"n.a."))</f>
        <v>0</v>
      </c>
    </row>
    <row r="1723" spans="1:20" ht="24" customHeight="1">
      <c r="A1723" s="1" t="str">
        <f>Paths!$A$163</f>
        <v>T040</v>
      </c>
      <c r="B1723" s="1">
        <f>Paths!$B$163</f>
        <v>0</v>
      </c>
      <c r="C1723" s="1">
        <v>0</v>
      </c>
      <c r="D1723" s="1">
        <v>163</v>
      </c>
      <c r="E1723" s="1">
        <f>IF(OR(Paths!$C$163=0,C1723=0),0,MAX(0,MIN(C1723*12,Paths!$E$163)-(C1723-1)*12))</f>
        <v>0</v>
      </c>
      <c r="F1723" s="1">
        <f>IF(OR(Paths!$C$163=0,C1723=0),0,12-E1723)</f>
        <v>0</v>
      </c>
      <c r="G1723" s="16">
        <f>IF(NOT(Paths!$C$163=1),0,IF(Paths!$P$163="Complete",E1723/12*(Paths!$J$163*(1+'Operating costs'!$B$51)^MAX(0,C1723-1)+Paths!$K$163*(1+'Operating costs'!$B$53)^MAX(0,C1723-1)),"n.a."))</f>
        <v>0</v>
      </c>
      <c r="H1723" s="16">
        <f>IF(NOT(Paths!$C$163=1),0,IF(Paths!$P$163="Complete",F1723/12*(Paths!$L$163*(1+IF(Paths!$D$163="EV",'Operating costs'!$B$52,'Operating costs'!$B$51))^MAX(0,C1723-1)+Paths!$M$163*(1+'Operating costs'!$B$53)^MAX(0,C1723-1)),"n.a."))</f>
        <v>0</v>
      </c>
      <c r="I1723" s="16">
        <f>IF(NOT(Paths!$C$163=1),0,IF(Paths!$P$163="Complete",IF(IF(Paths!$E$163=0,C1723=0,AND(C1723&gt;0,Paths!$E$163&gt;(C1723-1)*12,Paths!$E$163&lt;=C1723*12)),Paths!$G$163,0),"n.a."))</f>
        <v>0</v>
      </c>
      <c r="J1723" s="16">
        <f>IF(NOT(Paths!$C$163=1),0,IF(Paths!$P$163="Complete",IF(IF(Paths!$E$163=0,C1723=0,AND(C1723&gt;0,Paths!$E$163&gt;(C1723-1)*12,Paths!$E$163&lt;=C1723*12)),Paths!$H$163,0),"n.a."))</f>
        <v>0</v>
      </c>
      <c r="K1723" s="16">
        <f>IF(NOT(Paths!$C$163=1),0,IF(Paths!$P$163="Complete",IF(IF(Paths!$O$163=0,C1723=0,AND(C1723&gt;0,Paths!$O$163&gt;(C1723-1)*12,Paths!$O$163&lt;=C1723*12)),Paths!$N$163,0),"n.a."))</f>
        <v>0</v>
      </c>
      <c r="L1723" s="16">
        <f>IF(NOT(Paths!$C$163=1),0,IF(Paths!$P$163="Complete",IF(C1723=10,Paths!$I$163,0),"n.a."))</f>
        <v>0</v>
      </c>
      <c r="M1723" s="16">
        <f>IF(NOT(Paths!$C$163=1),0,IF(Paths!$P$163="Complete",IF(AND(Paths!$D$163="EV",Paths!$E$163&lt;120,Paths!$E$163+'Operating costs'!$B$65&gt;Paths!$E$163,Paths!$E$163+'Operating costs'!$B$65&lt;=120,IF(Paths!$E$163+'Operating costs'!$B$65=0,C1723=0,AND(C1723&gt;0,Paths!$E$163+'Operating costs'!$B$65&gt;(C1723-1)*12,Paths!$E$163+'Operating costs'!$B$65&lt;=C1723*12))),'Operating costs'!$B$64,0)+IF(AND('Operating costs'!$B$67&gt;0,'Operating costs'!$B$67&lt;=120,OR(Paths!$D$163="ICE",'Operating costs'!$B$67&lt;=Paths!$E$163),IF('Operating costs'!$B$67=0,C1723=0,AND(C1723&gt;0,'Operating costs'!$B$67&gt;(C1723-1)*12,'Operating costs'!$B$67&lt;=C1723*12))),'Operating costs'!$B$66,0),"n.a."))</f>
        <v>0</v>
      </c>
      <c r="N1723" s="16">
        <f>IF(NOT(Paths!$C$163=1),0,IF(Paths!$P$163="Complete",SUM(G1723:I1723)-J1723-K1723-L1723+M1723+IF(C1723=0,Paths!$F$163,0)+IF(IF(Paths!$E$163=0,C1723=0,AND(C1723&gt;0,Paths!$E$163&gt;(C1723-1)*12,Paths!$E$163&lt;=C1723*12)),VLOOKUP(A1723,'Fleet register'!$A$7:$S$106,16,FALSE),0),"n.a."))</f>
        <v>0</v>
      </c>
      <c r="O1723" s="16">
        <f>IF(NOT(Paths!$C$163=1),0,IF(Paths!$P$163="Complete",N1723-IF(C1723=0,Paths!$F$163,0),"n.a."))</f>
        <v>0</v>
      </c>
      <c r="P1723" s="16">
        <f>IF(NOT(Paths!$C$163=1),0,IF(Paths!$P$163="Complete",O1723+L1723,"n.a."))</f>
        <v>0</v>
      </c>
      <c r="Q1723" s="16">
        <f>IF(NOT(Paths!$C$163=1),0,IF(Paths!$P$163="Complete",N1723*(1+'Operating costs'!$B$54)^-C1723,"n.a."))</f>
        <v>0</v>
      </c>
      <c r="R1723" s="16">
        <f>IF(NOT(Paths!$C$163=1),0,IF(Paths!$P$163="Complete",IF(AND(C1723=0,Paths!$E$163=0),I1723-J1723-K1723+VLOOKUP(A1723,'Fleet register'!$A$7:$S$106,15,FALSE)+VLOOKUP(A1723,'Fleet register'!$A$7:$S$106,16,FALSE),0),"n.a."))</f>
        <v>0</v>
      </c>
      <c r="S1723" s="1">
        <f>IF(NOT(Paths!$C$163=1),0,IF(Paths!$P$163="Complete",IF(C1723=0,0,Paths!$S$163*Paths!$R$163),"n.a."))</f>
        <v>0</v>
      </c>
      <c r="T1723" s="1">
        <f>IF(NOT(Paths!$C$163=1),0,IF(Paths!$P$163="Complete",IF(C1723=0,0,VLOOKUP(A1723,'Fleet register'!$A$7:$S$106,9,FALSE)*Paths!$R$163),"n.a."))</f>
        <v>0</v>
      </c>
    </row>
    <row r="1724" spans="1:20" ht="24" customHeight="1">
      <c r="A1724" s="1" t="str">
        <f>Paths!$A$163</f>
        <v>T040</v>
      </c>
      <c r="B1724" s="1">
        <f>Paths!$B$163</f>
        <v>0</v>
      </c>
      <c r="C1724" s="1">
        <v>1</v>
      </c>
      <c r="D1724" s="1">
        <v>163</v>
      </c>
      <c r="E1724" s="1">
        <f>IF(OR(Paths!$C$163=0,C1724=0),0,MAX(0,MIN(C1724*12,Paths!$E$163)-(C1724-1)*12))</f>
        <v>0</v>
      </c>
      <c r="F1724" s="1">
        <f>IF(OR(Paths!$C$163=0,C1724=0),0,12-E1724)</f>
        <v>0</v>
      </c>
      <c r="G1724" s="16">
        <f>IF(NOT(Paths!$C$163=1),0,IF(Paths!$P$163="Complete",E1724/12*(Paths!$J$163*(1+'Operating costs'!$B$51)^MAX(0,C1724-1)+Paths!$K$163*(1+'Operating costs'!$B$53)^MAX(0,C1724-1)),"n.a."))</f>
        <v>0</v>
      </c>
      <c r="H1724" s="16">
        <f>IF(NOT(Paths!$C$163=1),0,IF(Paths!$P$163="Complete",F1724/12*(Paths!$L$163*(1+IF(Paths!$D$163="EV",'Operating costs'!$B$52,'Operating costs'!$B$51))^MAX(0,C1724-1)+Paths!$M$163*(1+'Operating costs'!$B$53)^MAX(0,C1724-1)),"n.a."))</f>
        <v>0</v>
      </c>
      <c r="I1724" s="16">
        <f>IF(NOT(Paths!$C$163=1),0,IF(Paths!$P$163="Complete",IF(IF(Paths!$E$163=0,C1724=0,AND(C1724&gt;0,Paths!$E$163&gt;(C1724-1)*12,Paths!$E$163&lt;=C1724*12)),Paths!$G$163,0),"n.a."))</f>
        <v>0</v>
      </c>
      <c r="J1724" s="16">
        <f>IF(NOT(Paths!$C$163=1),0,IF(Paths!$P$163="Complete",IF(IF(Paths!$E$163=0,C1724=0,AND(C1724&gt;0,Paths!$E$163&gt;(C1724-1)*12,Paths!$E$163&lt;=C1724*12)),Paths!$H$163,0),"n.a."))</f>
        <v>0</v>
      </c>
      <c r="K1724" s="16">
        <f>IF(NOT(Paths!$C$163=1),0,IF(Paths!$P$163="Complete",IF(IF(Paths!$O$163=0,C1724=0,AND(C1724&gt;0,Paths!$O$163&gt;(C1724-1)*12,Paths!$O$163&lt;=C1724*12)),Paths!$N$163,0),"n.a."))</f>
        <v>0</v>
      </c>
      <c r="L1724" s="16">
        <f>IF(NOT(Paths!$C$163=1),0,IF(Paths!$P$163="Complete",IF(C1724=10,Paths!$I$163,0),"n.a."))</f>
        <v>0</v>
      </c>
      <c r="M1724" s="16">
        <f>IF(NOT(Paths!$C$163=1),0,IF(Paths!$P$163="Complete",IF(AND(Paths!$D$163="EV",Paths!$E$163&lt;120,Paths!$E$163+'Operating costs'!$B$65&gt;Paths!$E$163,Paths!$E$163+'Operating costs'!$B$65&lt;=120,IF(Paths!$E$163+'Operating costs'!$B$65=0,C1724=0,AND(C1724&gt;0,Paths!$E$163+'Operating costs'!$B$65&gt;(C1724-1)*12,Paths!$E$163+'Operating costs'!$B$65&lt;=C1724*12))),'Operating costs'!$B$64,0)+IF(AND('Operating costs'!$B$67&gt;0,'Operating costs'!$B$67&lt;=120,OR(Paths!$D$163="ICE",'Operating costs'!$B$67&lt;=Paths!$E$163),IF('Operating costs'!$B$67=0,C1724=0,AND(C1724&gt;0,'Operating costs'!$B$67&gt;(C1724-1)*12,'Operating costs'!$B$67&lt;=C1724*12))),'Operating costs'!$B$66,0),"n.a."))</f>
        <v>0</v>
      </c>
      <c r="N1724" s="16">
        <f>IF(NOT(Paths!$C$163=1),0,IF(Paths!$P$163="Complete",SUM(G1724:I1724)-J1724-K1724-L1724+M1724+IF(C1724=0,Paths!$F$163,0)+IF(IF(Paths!$E$163=0,C1724=0,AND(C1724&gt;0,Paths!$E$163&gt;(C1724-1)*12,Paths!$E$163&lt;=C1724*12)),VLOOKUP(A1724,'Fleet register'!$A$7:$S$106,16,FALSE),0),"n.a."))</f>
        <v>0</v>
      </c>
      <c r="O1724" s="16">
        <f>IF(NOT(Paths!$C$163=1),0,IF(Paths!$P$163="Complete",N1724-IF(C1724=0,Paths!$F$163,0),"n.a."))</f>
        <v>0</v>
      </c>
      <c r="P1724" s="16">
        <f>IF(NOT(Paths!$C$163=1),0,IF(Paths!$P$163="Complete",O1724+L1724,"n.a."))</f>
        <v>0</v>
      </c>
      <c r="Q1724" s="16">
        <f>IF(NOT(Paths!$C$163=1),0,IF(Paths!$P$163="Complete",N1724*(1+'Operating costs'!$B$54)^-C1724,"n.a."))</f>
        <v>0</v>
      </c>
      <c r="R1724" s="16">
        <f>IF(NOT(Paths!$C$163=1),0,IF(Paths!$P$163="Complete",IF(AND(C1724=0,Paths!$E$163=0),I1724-J1724-K1724+VLOOKUP(A1724,'Fleet register'!$A$7:$S$106,15,FALSE)+VLOOKUP(A1724,'Fleet register'!$A$7:$S$106,16,FALSE),0),"n.a."))</f>
        <v>0</v>
      </c>
      <c r="S1724" s="1">
        <f>IF(NOT(Paths!$C$163=1),0,IF(Paths!$P$163="Complete",IF(C1724=0,0,Paths!$S$163*Paths!$R$163),"n.a."))</f>
        <v>0</v>
      </c>
      <c r="T1724" s="1">
        <f>IF(NOT(Paths!$C$163=1),0,IF(Paths!$P$163="Complete",IF(C1724=0,0,VLOOKUP(A1724,'Fleet register'!$A$7:$S$106,9,FALSE)*Paths!$R$163),"n.a."))</f>
        <v>0</v>
      </c>
    </row>
    <row r="1725" spans="1:20" ht="24" customHeight="1">
      <c r="A1725" s="1" t="str">
        <f>Paths!$A$163</f>
        <v>T040</v>
      </c>
      <c r="B1725" s="1">
        <f>Paths!$B$163</f>
        <v>0</v>
      </c>
      <c r="C1725" s="1">
        <v>2</v>
      </c>
      <c r="D1725" s="1">
        <v>163</v>
      </c>
      <c r="E1725" s="1">
        <f>IF(OR(Paths!$C$163=0,C1725=0),0,MAX(0,MIN(C1725*12,Paths!$E$163)-(C1725-1)*12))</f>
        <v>0</v>
      </c>
      <c r="F1725" s="1">
        <f>IF(OR(Paths!$C$163=0,C1725=0),0,12-E1725)</f>
        <v>0</v>
      </c>
      <c r="G1725" s="16">
        <f>IF(NOT(Paths!$C$163=1),0,IF(Paths!$P$163="Complete",E1725/12*(Paths!$J$163*(1+'Operating costs'!$B$51)^MAX(0,C1725-1)+Paths!$K$163*(1+'Operating costs'!$B$53)^MAX(0,C1725-1)),"n.a."))</f>
        <v>0</v>
      </c>
      <c r="H1725" s="16">
        <f>IF(NOT(Paths!$C$163=1),0,IF(Paths!$P$163="Complete",F1725/12*(Paths!$L$163*(1+IF(Paths!$D$163="EV",'Operating costs'!$B$52,'Operating costs'!$B$51))^MAX(0,C1725-1)+Paths!$M$163*(1+'Operating costs'!$B$53)^MAX(0,C1725-1)),"n.a."))</f>
        <v>0</v>
      </c>
      <c r="I1725" s="16">
        <f>IF(NOT(Paths!$C$163=1),0,IF(Paths!$P$163="Complete",IF(IF(Paths!$E$163=0,C1725=0,AND(C1725&gt;0,Paths!$E$163&gt;(C1725-1)*12,Paths!$E$163&lt;=C1725*12)),Paths!$G$163,0),"n.a."))</f>
        <v>0</v>
      </c>
      <c r="J1725" s="16">
        <f>IF(NOT(Paths!$C$163=1),0,IF(Paths!$P$163="Complete",IF(IF(Paths!$E$163=0,C1725=0,AND(C1725&gt;0,Paths!$E$163&gt;(C1725-1)*12,Paths!$E$163&lt;=C1725*12)),Paths!$H$163,0),"n.a."))</f>
        <v>0</v>
      </c>
      <c r="K1725" s="16">
        <f>IF(NOT(Paths!$C$163=1),0,IF(Paths!$P$163="Complete",IF(IF(Paths!$O$163=0,C1725=0,AND(C1725&gt;0,Paths!$O$163&gt;(C1725-1)*12,Paths!$O$163&lt;=C1725*12)),Paths!$N$163,0),"n.a."))</f>
        <v>0</v>
      </c>
      <c r="L1725" s="16">
        <f>IF(NOT(Paths!$C$163=1),0,IF(Paths!$P$163="Complete",IF(C1725=10,Paths!$I$163,0),"n.a."))</f>
        <v>0</v>
      </c>
      <c r="M1725" s="16">
        <f>IF(NOT(Paths!$C$163=1),0,IF(Paths!$P$163="Complete",IF(AND(Paths!$D$163="EV",Paths!$E$163&lt;120,Paths!$E$163+'Operating costs'!$B$65&gt;Paths!$E$163,Paths!$E$163+'Operating costs'!$B$65&lt;=120,IF(Paths!$E$163+'Operating costs'!$B$65=0,C1725=0,AND(C1725&gt;0,Paths!$E$163+'Operating costs'!$B$65&gt;(C1725-1)*12,Paths!$E$163+'Operating costs'!$B$65&lt;=C1725*12))),'Operating costs'!$B$64,0)+IF(AND('Operating costs'!$B$67&gt;0,'Operating costs'!$B$67&lt;=120,OR(Paths!$D$163="ICE",'Operating costs'!$B$67&lt;=Paths!$E$163),IF('Operating costs'!$B$67=0,C1725=0,AND(C1725&gt;0,'Operating costs'!$B$67&gt;(C1725-1)*12,'Operating costs'!$B$67&lt;=C1725*12))),'Operating costs'!$B$66,0),"n.a."))</f>
        <v>0</v>
      </c>
      <c r="N1725" s="16">
        <f>IF(NOT(Paths!$C$163=1),0,IF(Paths!$P$163="Complete",SUM(G1725:I1725)-J1725-K1725-L1725+M1725+IF(C1725=0,Paths!$F$163,0)+IF(IF(Paths!$E$163=0,C1725=0,AND(C1725&gt;0,Paths!$E$163&gt;(C1725-1)*12,Paths!$E$163&lt;=C1725*12)),VLOOKUP(A1725,'Fleet register'!$A$7:$S$106,16,FALSE),0),"n.a."))</f>
        <v>0</v>
      </c>
      <c r="O1725" s="16">
        <f>IF(NOT(Paths!$C$163=1),0,IF(Paths!$P$163="Complete",N1725-IF(C1725=0,Paths!$F$163,0),"n.a."))</f>
        <v>0</v>
      </c>
      <c r="P1725" s="16">
        <f>IF(NOT(Paths!$C$163=1),0,IF(Paths!$P$163="Complete",O1725+L1725,"n.a."))</f>
        <v>0</v>
      </c>
      <c r="Q1725" s="16">
        <f>IF(NOT(Paths!$C$163=1),0,IF(Paths!$P$163="Complete",N1725*(1+'Operating costs'!$B$54)^-C1725,"n.a."))</f>
        <v>0</v>
      </c>
      <c r="R1725" s="16">
        <f>IF(NOT(Paths!$C$163=1),0,IF(Paths!$P$163="Complete",IF(AND(C1725=0,Paths!$E$163=0),I1725-J1725-K1725+VLOOKUP(A1725,'Fleet register'!$A$7:$S$106,15,FALSE)+VLOOKUP(A1725,'Fleet register'!$A$7:$S$106,16,FALSE),0),"n.a."))</f>
        <v>0</v>
      </c>
      <c r="S1725" s="1">
        <f>IF(NOT(Paths!$C$163=1),0,IF(Paths!$P$163="Complete",IF(C1725=0,0,Paths!$S$163*Paths!$R$163),"n.a."))</f>
        <v>0</v>
      </c>
      <c r="T1725" s="1">
        <f>IF(NOT(Paths!$C$163=1),0,IF(Paths!$P$163="Complete",IF(C1725=0,0,VLOOKUP(A1725,'Fleet register'!$A$7:$S$106,9,FALSE)*Paths!$R$163),"n.a."))</f>
        <v>0</v>
      </c>
    </row>
    <row r="1726" spans="1:20" ht="24" customHeight="1">
      <c r="A1726" s="1" t="str">
        <f>Paths!$A$163</f>
        <v>T040</v>
      </c>
      <c r="B1726" s="1">
        <f>Paths!$B$163</f>
        <v>0</v>
      </c>
      <c r="C1726" s="1">
        <v>3</v>
      </c>
      <c r="D1726" s="1">
        <v>163</v>
      </c>
      <c r="E1726" s="1">
        <f>IF(OR(Paths!$C$163=0,C1726=0),0,MAX(0,MIN(C1726*12,Paths!$E$163)-(C1726-1)*12))</f>
        <v>0</v>
      </c>
      <c r="F1726" s="1">
        <f>IF(OR(Paths!$C$163=0,C1726=0),0,12-E1726)</f>
        <v>0</v>
      </c>
      <c r="G1726" s="16">
        <f>IF(NOT(Paths!$C$163=1),0,IF(Paths!$P$163="Complete",E1726/12*(Paths!$J$163*(1+'Operating costs'!$B$51)^MAX(0,C1726-1)+Paths!$K$163*(1+'Operating costs'!$B$53)^MAX(0,C1726-1)),"n.a."))</f>
        <v>0</v>
      </c>
      <c r="H1726" s="16">
        <f>IF(NOT(Paths!$C$163=1),0,IF(Paths!$P$163="Complete",F1726/12*(Paths!$L$163*(1+IF(Paths!$D$163="EV",'Operating costs'!$B$52,'Operating costs'!$B$51))^MAX(0,C1726-1)+Paths!$M$163*(1+'Operating costs'!$B$53)^MAX(0,C1726-1)),"n.a."))</f>
        <v>0</v>
      </c>
      <c r="I1726" s="16">
        <f>IF(NOT(Paths!$C$163=1),0,IF(Paths!$P$163="Complete",IF(IF(Paths!$E$163=0,C1726=0,AND(C1726&gt;0,Paths!$E$163&gt;(C1726-1)*12,Paths!$E$163&lt;=C1726*12)),Paths!$G$163,0),"n.a."))</f>
        <v>0</v>
      </c>
      <c r="J1726" s="16">
        <f>IF(NOT(Paths!$C$163=1),0,IF(Paths!$P$163="Complete",IF(IF(Paths!$E$163=0,C1726=0,AND(C1726&gt;0,Paths!$E$163&gt;(C1726-1)*12,Paths!$E$163&lt;=C1726*12)),Paths!$H$163,0),"n.a."))</f>
        <v>0</v>
      </c>
      <c r="K1726" s="16">
        <f>IF(NOT(Paths!$C$163=1),0,IF(Paths!$P$163="Complete",IF(IF(Paths!$O$163=0,C1726=0,AND(C1726&gt;0,Paths!$O$163&gt;(C1726-1)*12,Paths!$O$163&lt;=C1726*12)),Paths!$N$163,0),"n.a."))</f>
        <v>0</v>
      </c>
      <c r="L1726" s="16">
        <f>IF(NOT(Paths!$C$163=1),0,IF(Paths!$P$163="Complete",IF(C1726=10,Paths!$I$163,0),"n.a."))</f>
        <v>0</v>
      </c>
      <c r="M1726" s="16">
        <f>IF(NOT(Paths!$C$163=1),0,IF(Paths!$P$163="Complete",IF(AND(Paths!$D$163="EV",Paths!$E$163&lt;120,Paths!$E$163+'Operating costs'!$B$65&gt;Paths!$E$163,Paths!$E$163+'Operating costs'!$B$65&lt;=120,IF(Paths!$E$163+'Operating costs'!$B$65=0,C1726=0,AND(C1726&gt;0,Paths!$E$163+'Operating costs'!$B$65&gt;(C1726-1)*12,Paths!$E$163+'Operating costs'!$B$65&lt;=C1726*12))),'Operating costs'!$B$64,0)+IF(AND('Operating costs'!$B$67&gt;0,'Operating costs'!$B$67&lt;=120,OR(Paths!$D$163="ICE",'Operating costs'!$B$67&lt;=Paths!$E$163),IF('Operating costs'!$B$67=0,C1726=0,AND(C1726&gt;0,'Operating costs'!$B$67&gt;(C1726-1)*12,'Operating costs'!$B$67&lt;=C1726*12))),'Operating costs'!$B$66,0),"n.a."))</f>
        <v>0</v>
      </c>
      <c r="N1726" s="16">
        <f>IF(NOT(Paths!$C$163=1),0,IF(Paths!$P$163="Complete",SUM(G1726:I1726)-J1726-K1726-L1726+M1726+IF(C1726=0,Paths!$F$163,0)+IF(IF(Paths!$E$163=0,C1726=0,AND(C1726&gt;0,Paths!$E$163&gt;(C1726-1)*12,Paths!$E$163&lt;=C1726*12)),VLOOKUP(A1726,'Fleet register'!$A$7:$S$106,16,FALSE),0),"n.a."))</f>
        <v>0</v>
      </c>
      <c r="O1726" s="16">
        <f>IF(NOT(Paths!$C$163=1),0,IF(Paths!$P$163="Complete",N1726-IF(C1726=0,Paths!$F$163,0),"n.a."))</f>
        <v>0</v>
      </c>
      <c r="P1726" s="16">
        <f>IF(NOT(Paths!$C$163=1),0,IF(Paths!$P$163="Complete",O1726+L1726,"n.a."))</f>
        <v>0</v>
      </c>
      <c r="Q1726" s="16">
        <f>IF(NOT(Paths!$C$163=1),0,IF(Paths!$P$163="Complete",N1726*(1+'Operating costs'!$B$54)^-C1726,"n.a."))</f>
        <v>0</v>
      </c>
      <c r="R1726" s="16">
        <f>IF(NOT(Paths!$C$163=1),0,IF(Paths!$P$163="Complete",IF(AND(C1726=0,Paths!$E$163=0),I1726-J1726-K1726+VLOOKUP(A1726,'Fleet register'!$A$7:$S$106,15,FALSE)+VLOOKUP(A1726,'Fleet register'!$A$7:$S$106,16,FALSE),0),"n.a."))</f>
        <v>0</v>
      </c>
      <c r="S1726" s="1">
        <f>IF(NOT(Paths!$C$163=1),0,IF(Paths!$P$163="Complete",IF(C1726=0,0,Paths!$S$163*Paths!$R$163),"n.a."))</f>
        <v>0</v>
      </c>
      <c r="T1726" s="1">
        <f>IF(NOT(Paths!$C$163=1),0,IF(Paths!$P$163="Complete",IF(C1726=0,0,VLOOKUP(A1726,'Fleet register'!$A$7:$S$106,9,FALSE)*Paths!$R$163),"n.a."))</f>
        <v>0</v>
      </c>
    </row>
    <row r="1727" spans="1:20" ht="24" customHeight="1">
      <c r="A1727" s="1" t="str">
        <f>Paths!$A$163</f>
        <v>T040</v>
      </c>
      <c r="B1727" s="1">
        <f>Paths!$B$163</f>
        <v>0</v>
      </c>
      <c r="C1727" s="1">
        <v>4</v>
      </c>
      <c r="D1727" s="1">
        <v>163</v>
      </c>
      <c r="E1727" s="1">
        <f>IF(OR(Paths!$C$163=0,C1727=0),0,MAX(0,MIN(C1727*12,Paths!$E$163)-(C1727-1)*12))</f>
        <v>0</v>
      </c>
      <c r="F1727" s="1">
        <f>IF(OR(Paths!$C$163=0,C1727=0),0,12-E1727)</f>
        <v>0</v>
      </c>
      <c r="G1727" s="16">
        <f>IF(NOT(Paths!$C$163=1),0,IF(Paths!$P$163="Complete",E1727/12*(Paths!$J$163*(1+'Operating costs'!$B$51)^MAX(0,C1727-1)+Paths!$K$163*(1+'Operating costs'!$B$53)^MAX(0,C1727-1)),"n.a."))</f>
        <v>0</v>
      </c>
      <c r="H1727" s="16">
        <f>IF(NOT(Paths!$C$163=1),0,IF(Paths!$P$163="Complete",F1727/12*(Paths!$L$163*(1+IF(Paths!$D$163="EV",'Operating costs'!$B$52,'Operating costs'!$B$51))^MAX(0,C1727-1)+Paths!$M$163*(1+'Operating costs'!$B$53)^MAX(0,C1727-1)),"n.a."))</f>
        <v>0</v>
      </c>
      <c r="I1727" s="16">
        <f>IF(NOT(Paths!$C$163=1),0,IF(Paths!$P$163="Complete",IF(IF(Paths!$E$163=0,C1727=0,AND(C1727&gt;0,Paths!$E$163&gt;(C1727-1)*12,Paths!$E$163&lt;=C1727*12)),Paths!$G$163,0),"n.a."))</f>
        <v>0</v>
      </c>
      <c r="J1727" s="16">
        <f>IF(NOT(Paths!$C$163=1),0,IF(Paths!$P$163="Complete",IF(IF(Paths!$E$163=0,C1727=0,AND(C1727&gt;0,Paths!$E$163&gt;(C1727-1)*12,Paths!$E$163&lt;=C1727*12)),Paths!$H$163,0),"n.a."))</f>
        <v>0</v>
      </c>
      <c r="K1727" s="16">
        <f>IF(NOT(Paths!$C$163=1),0,IF(Paths!$P$163="Complete",IF(IF(Paths!$O$163=0,C1727=0,AND(C1727&gt;0,Paths!$O$163&gt;(C1727-1)*12,Paths!$O$163&lt;=C1727*12)),Paths!$N$163,0),"n.a."))</f>
        <v>0</v>
      </c>
      <c r="L1727" s="16">
        <f>IF(NOT(Paths!$C$163=1),0,IF(Paths!$P$163="Complete",IF(C1727=10,Paths!$I$163,0),"n.a."))</f>
        <v>0</v>
      </c>
      <c r="M1727" s="16">
        <f>IF(NOT(Paths!$C$163=1),0,IF(Paths!$P$163="Complete",IF(AND(Paths!$D$163="EV",Paths!$E$163&lt;120,Paths!$E$163+'Operating costs'!$B$65&gt;Paths!$E$163,Paths!$E$163+'Operating costs'!$B$65&lt;=120,IF(Paths!$E$163+'Operating costs'!$B$65=0,C1727=0,AND(C1727&gt;0,Paths!$E$163+'Operating costs'!$B$65&gt;(C1727-1)*12,Paths!$E$163+'Operating costs'!$B$65&lt;=C1727*12))),'Operating costs'!$B$64,0)+IF(AND('Operating costs'!$B$67&gt;0,'Operating costs'!$B$67&lt;=120,OR(Paths!$D$163="ICE",'Operating costs'!$B$67&lt;=Paths!$E$163),IF('Operating costs'!$B$67=0,C1727=0,AND(C1727&gt;0,'Operating costs'!$B$67&gt;(C1727-1)*12,'Operating costs'!$B$67&lt;=C1727*12))),'Operating costs'!$B$66,0),"n.a."))</f>
        <v>0</v>
      </c>
      <c r="N1727" s="16">
        <f>IF(NOT(Paths!$C$163=1),0,IF(Paths!$P$163="Complete",SUM(G1727:I1727)-J1727-K1727-L1727+M1727+IF(C1727=0,Paths!$F$163,0)+IF(IF(Paths!$E$163=0,C1727=0,AND(C1727&gt;0,Paths!$E$163&gt;(C1727-1)*12,Paths!$E$163&lt;=C1727*12)),VLOOKUP(A1727,'Fleet register'!$A$7:$S$106,16,FALSE),0),"n.a."))</f>
        <v>0</v>
      </c>
      <c r="O1727" s="16">
        <f>IF(NOT(Paths!$C$163=1),0,IF(Paths!$P$163="Complete",N1727-IF(C1727=0,Paths!$F$163,0),"n.a."))</f>
        <v>0</v>
      </c>
      <c r="P1727" s="16">
        <f>IF(NOT(Paths!$C$163=1),0,IF(Paths!$P$163="Complete",O1727+L1727,"n.a."))</f>
        <v>0</v>
      </c>
      <c r="Q1727" s="16">
        <f>IF(NOT(Paths!$C$163=1),0,IF(Paths!$P$163="Complete",N1727*(1+'Operating costs'!$B$54)^-C1727,"n.a."))</f>
        <v>0</v>
      </c>
      <c r="R1727" s="16">
        <f>IF(NOT(Paths!$C$163=1),0,IF(Paths!$P$163="Complete",IF(AND(C1727=0,Paths!$E$163=0),I1727-J1727-K1727+VLOOKUP(A1727,'Fleet register'!$A$7:$S$106,15,FALSE)+VLOOKUP(A1727,'Fleet register'!$A$7:$S$106,16,FALSE),0),"n.a."))</f>
        <v>0</v>
      </c>
      <c r="S1727" s="1">
        <f>IF(NOT(Paths!$C$163=1),0,IF(Paths!$P$163="Complete",IF(C1727=0,0,Paths!$S$163*Paths!$R$163),"n.a."))</f>
        <v>0</v>
      </c>
      <c r="T1727" s="1">
        <f>IF(NOT(Paths!$C$163=1),0,IF(Paths!$P$163="Complete",IF(C1727=0,0,VLOOKUP(A1727,'Fleet register'!$A$7:$S$106,9,FALSE)*Paths!$R$163),"n.a."))</f>
        <v>0</v>
      </c>
    </row>
    <row r="1728" spans="1:20" ht="24" customHeight="1">
      <c r="A1728" s="1" t="str">
        <f>Paths!$A$163</f>
        <v>T040</v>
      </c>
      <c r="B1728" s="1">
        <f>Paths!$B$163</f>
        <v>0</v>
      </c>
      <c r="C1728" s="1">
        <v>5</v>
      </c>
      <c r="D1728" s="1">
        <v>163</v>
      </c>
      <c r="E1728" s="1">
        <f>IF(OR(Paths!$C$163=0,C1728=0),0,MAX(0,MIN(C1728*12,Paths!$E$163)-(C1728-1)*12))</f>
        <v>0</v>
      </c>
      <c r="F1728" s="1">
        <f>IF(OR(Paths!$C$163=0,C1728=0),0,12-E1728)</f>
        <v>0</v>
      </c>
      <c r="G1728" s="16">
        <f>IF(NOT(Paths!$C$163=1),0,IF(Paths!$P$163="Complete",E1728/12*(Paths!$J$163*(1+'Operating costs'!$B$51)^MAX(0,C1728-1)+Paths!$K$163*(1+'Operating costs'!$B$53)^MAX(0,C1728-1)),"n.a."))</f>
        <v>0</v>
      </c>
      <c r="H1728" s="16">
        <f>IF(NOT(Paths!$C$163=1),0,IF(Paths!$P$163="Complete",F1728/12*(Paths!$L$163*(1+IF(Paths!$D$163="EV",'Operating costs'!$B$52,'Operating costs'!$B$51))^MAX(0,C1728-1)+Paths!$M$163*(1+'Operating costs'!$B$53)^MAX(0,C1728-1)),"n.a."))</f>
        <v>0</v>
      </c>
      <c r="I1728" s="16">
        <f>IF(NOT(Paths!$C$163=1),0,IF(Paths!$P$163="Complete",IF(IF(Paths!$E$163=0,C1728=0,AND(C1728&gt;0,Paths!$E$163&gt;(C1728-1)*12,Paths!$E$163&lt;=C1728*12)),Paths!$G$163,0),"n.a."))</f>
        <v>0</v>
      </c>
      <c r="J1728" s="16">
        <f>IF(NOT(Paths!$C$163=1),0,IF(Paths!$P$163="Complete",IF(IF(Paths!$E$163=0,C1728=0,AND(C1728&gt;0,Paths!$E$163&gt;(C1728-1)*12,Paths!$E$163&lt;=C1728*12)),Paths!$H$163,0),"n.a."))</f>
        <v>0</v>
      </c>
      <c r="K1728" s="16">
        <f>IF(NOT(Paths!$C$163=1),0,IF(Paths!$P$163="Complete",IF(IF(Paths!$O$163=0,C1728=0,AND(C1728&gt;0,Paths!$O$163&gt;(C1728-1)*12,Paths!$O$163&lt;=C1728*12)),Paths!$N$163,0),"n.a."))</f>
        <v>0</v>
      </c>
      <c r="L1728" s="16">
        <f>IF(NOT(Paths!$C$163=1),0,IF(Paths!$P$163="Complete",IF(C1728=10,Paths!$I$163,0),"n.a."))</f>
        <v>0</v>
      </c>
      <c r="M1728" s="16">
        <f>IF(NOT(Paths!$C$163=1),0,IF(Paths!$P$163="Complete",IF(AND(Paths!$D$163="EV",Paths!$E$163&lt;120,Paths!$E$163+'Operating costs'!$B$65&gt;Paths!$E$163,Paths!$E$163+'Operating costs'!$B$65&lt;=120,IF(Paths!$E$163+'Operating costs'!$B$65=0,C1728=0,AND(C1728&gt;0,Paths!$E$163+'Operating costs'!$B$65&gt;(C1728-1)*12,Paths!$E$163+'Operating costs'!$B$65&lt;=C1728*12))),'Operating costs'!$B$64,0)+IF(AND('Operating costs'!$B$67&gt;0,'Operating costs'!$B$67&lt;=120,OR(Paths!$D$163="ICE",'Operating costs'!$B$67&lt;=Paths!$E$163),IF('Operating costs'!$B$67=0,C1728=0,AND(C1728&gt;0,'Operating costs'!$B$67&gt;(C1728-1)*12,'Operating costs'!$B$67&lt;=C1728*12))),'Operating costs'!$B$66,0),"n.a."))</f>
        <v>0</v>
      </c>
      <c r="N1728" s="16">
        <f>IF(NOT(Paths!$C$163=1),0,IF(Paths!$P$163="Complete",SUM(G1728:I1728)-J1728-K1728-L1728+M1728+IF(C1728=0,Paths!$F$163,0)+IF(IF(Paths!$E$163=0,C1728=0,AND(C1728&gt;0,Paths!$E$163&gt;(C1728-1)*12,Paths!$E$163&lt;=C1728*12)),VLOOKUP(A1728,'Fleet register'!$A$7:$S$106,16,FALSE),0),"n.a."))</f>
        <v>0</v>
      </c>
      <c r="O1728" s="16">
        <f>IF(NOT(Paths!$C$163=1),0,IF(Paths!$P$163="Complete",N1728-IF(C1728=0,Paths!$F$163,0),"n.a."))</f>
        <v>0</v>
      </c>
      <c r="P1728" s="16">
        <f>IF(NOT(Paths!$C$163=1),0,IF(Paths!$P$163="Complete",O1728+L1728,"n.a."))</f>
        <v>0</v>
      </c>
      <c r="Q1728" s="16">
        <f>IF(NOT(Paths!$C$163=1),0,IF(Paths!$P$163="Complete",N1728*(1+'Operating costs'!$B$54)^-C1728,"n.a."))</f>
        <v>0</v>
      </c>
      <c r="R1728" s="16">
        <f>IF(NOT(Paths!$C$163=1),0,IF(Paths!$P$163="Complete",IF(AND(C1728=0,Paths!$E$163=0),I1728-J1728-K1728+VLOOKUP(A1728,'Fleet register'!$A$7:$S$106,15,FALSE)+VLOOKUP(A1728,'Fleet register'!$A$7:$S$106,16,FALSE),0),"n.a."))</f>
        <v>0</v>
      </c>
      <c r="S1728" s="1">
        <f>IF(NOT(Paths!$C$163=1),0,IF(Paths!$P$163="Complete",IF(C1728=0,0,Paths!$S$163*Paths!$R$163),"n.a."))</f>
        <v>0</v>
      </c>
      <c r="T1728" s="1">
        <f>IF(NOT(Paths!$C$163=1),0,IF(Paths!$P$163="Complete",IF(C1728=0,0,VLOOKUP(A1728,'Fleet register'!$A$7:$S$106,9,FALSE)*Paths!$R$163),"n.a."))</f>
        <v>0</v>
      </c>
    </row>
    <row r="1729" spans="1:20" ht="24" customHeight="1">
      <c r="A1729" s="1" t="str">
        <f>Paths!$A$163</f>
        <v>T040</v>
      </c>
      <c r="B1729" s="1">
        <f>Paths!$B$163</f>
        <v>0</v>
      </c>
      <c r="C1729" s="1">
        <v>6</v>
      </c>
      <c r="D1729" s="1">
        <v>163</v>
      </c>
      <c r="E1729" s="1">
        <f>IF(OR(Paths!$C$163=0,C1729=0),0,MAX(0,MIN(C1729*12,Paths!$E$163)-(C1729-1)*12))</f>
        <v>0</v>
      </c>
      <c r="F1729" s="1">
        <f>IF(OR(Paths!$C$163=0,C1729=0),0,12-E1729)</f>
        <v>0</v>
      </c>
      <c r="G1729" s="16">
        <f>IF(NOT(Paths!$C$163=1),0,IF(Paths!$P$163="Complete",E1729/12*(Paths!$J$163*(1+'Operating costs'!$B$51)^MAX(0,C1729-1)+Paths!$K$163*(1+'Operating costs'!$B$53)^MAX(0,C1729-1)),"n.a."))</f>
        <v>0</v>
      </c>
      <c r="H1729" s="16">
        <f>IF(NOT(Paths!$C$163=1),0,IF(Paths!$P$163="Complete",F1729/12*(Paths!$L$163*(1+IF(Paths!$D$163="EV",'Operating costs'!$B$52,'Operating costs'!$B$51))^MAX(0,C1729-1)+Paths!$M$163*(1+'Operating costs'!$B$53)^MAX(0,C1729-1)),"n.a."))</f>
        <v>0</v>
      </c>
      <c r="I1729" s="16">
        <f>IF(NOT(Paths!$C$163=1),0,IF(Paths!$P$163="Complete",IF(IF(Paths!$E$163=0,C1729=0,AND(C1729&gt;0,Paths!$E$163&gt;(C1729-1)*12,Paths!$E$163&lt;=C1729*12)),Paths!$G$163,0),"n.a."))</f>
        <v>0</v>
      </c>
      <c r="J1729" s="16">
        <f>IF(NOT(Paths!$C$163=1),0,IF(Paths!$P$163="Complete",IF(IF(Paths!$E$163=0,C1729=0,AND(C1729&gt;0,Paths!$E$163&gt;(C1729-1)*12,Paths!$E$163&lt;=C1729*12)),Paths!$H$163,0),"n.a."))</f>
        <v>0</v>
      </c>
      <c r="K1729" s="16">
        <f>IF(NOT(Paths!$C$163=1),0,IF(Paths!$P$163="Complete",IF(IF(Paths!$O$163=0,C1729=0,AND(C1729&gt;0,Paths!$O$163&gt;(C1729-1)*12,Paths!$O$163&lt;=C1729*12)),Paths!$N$163,0),"n.a."))</f>
        <v>0</v>
      </c>
      <c r="L1729" s="16">
        <f>IF(NOT(Paths!$C$163=1),0,IF(Paths!$P$163="Complete",IF(C1729=10,Paths!$I$163,0),"n.a."))</f>
        <v>0</v>
      </c>
      <c r="M1729" s="16">
        <f>IF(NOT(Paths!$C$163=1),0,IF(Paths!$P$163="Complete",IF(AND(Paths!$D$163="EV",Paths!$E$163&lt;120,Paths!$E$163+'Operating costs'!$B$65&gt;Paths!$E$163,Paths!$E$163+'Operating costs'!$B$65&lt;=120,IF(Paths!$E$163+'Operating costs'!$B$65=0,C1729=0,AND(C1729&gt;0,Paths!$E$163+'Operating costs'!$B$65&gt;(C1729-1)*12,Paths!$E$163+'Operating costs'!$B$65&lt;=C1729*12))),'Operating costs'!$B$64,0)+IF(AND('Operating costs'!$B$67&gt;0,'Operating costs'!$B$67&lt;=120,OR(Paths!$D$163="ICE",'Operating costs'!$B$67&lt;=Paths!$E$163),IF('Operating costs'!$B$67=0,C1729=0,AND(C1729&gt;0,'Operating costs'!$B$67&gt;(C1729-1)*12,'Operating costs'!$B$67&lt;=C1729*12))),'Operating costs'!$B$66,0),"n.a."))</f>
        <v>0</v>
      </c>
      <c r="N1729" s="16">
        <f>IF(NOT(Paths!$C$163=1),0,IF(Paths!$P$163="Complete",SUM(G1729:I1729)-J1729-K1729-L1729+M1729+IF(C1729=0,Paths!$F$163,0)+IF(IF(Paths!$E$163=0,C1729=0,AND(C1729&gt;0,Paths!$E$163&gt;(C1729-1)*12,Paths!$E$163&lt;=C1729*12)),VLOOKUP(A1729,'Fleet register'!$A$7:$S$106,16,FALSE),0),"n.a."))</f>
        <v>0</v>
      </c>
      <c r="O1729" s="16">
        <f>IF(NOT(Paths!$C$163=1),0,IF(Paths!$P$163="Complete",N1729-IF(C1729=0,Paths!$F$163,0),"n.a."))</f>
        <v>0</v>
      </c>
      <c r="P1729" s="16">
        <f>IF(NOT(Paths!$C$163=1),0,IF(Paths!$P$163="Complete",O1729+L1729,"n.a."))</f>
        <v>0</v>
      </c>
      <c r="Q1729" s="16">
        <f>IF(NOT(Paths!$C$163=1),0,IF(Paths!$P$163="Complete",N1729*(1+'Operating costs'!$B$54)^-C1729,"n.a."))</f>
        <v>0</v>
      </c>
      <c r="R1729" s="16">
        <f>IF(NOT(Paths!$C$163=1),0,IF(Paths!$P$163="Complete",IF(AND(C1729=0,Paths!$E$163=0),I1729-J1729-K1729+VLOOKUP(A1729,'Fleet register'!$A$7:$S$106,15,FALSE)+VLOOKUP(A1729,'Fleet register'!$A$7:$S$106,16,FALSE),0),"n.a."))</f>
        <v>0</v>
      </c>
      <c r="S1729" s="1">
        <f>IF(NOT(Paths!$C$163=1),0,IF(Paths!$P$163="Complete",IF(C1729=0,0,Paths!$S$163*Paths!$R$163),"n.a."))</f>
        <v>0</v>
      </c>
      <c r="T1729" s="1">
        <f>IF(NOT(Paths!$C$163=1),0,IF(Paths!$P$163="Complete",IF(C1729=0,0,VLOOKUP(A1729,'Fleet register'!$A$7:$S$106,9,FALSE)*Paths!$R$163),"n.a."))</f>
        <v>0</v>
      </c>
    </row>
    <row r="1730" spans="1:20" ht="24" customHeight="1">
      <c r="A1730" s="1" t="str">
        <f>Paths!$A$163</f>
        <v>T040</v>
      </c>
      <c r="B1730" s="1">
        <f>Paths!$B$163</f>
        <v>0</v>
      </c>
      <c r="C1730" s="1">
        <v>7</v>
      </c>
      <c r="D1730" s="1">
        <v>163</v>
      </c>
      <c r="E1730" s="1">
        <f>IF(OR(Paths!$C$163=0,C1730=0),0,MAX(0,MIN(C1730*12,Paths!$E$163)-(C1730-1)*12))</f>
        <v>0</v>
      </c>
      <c r="F1730" s="1">
        <f>IF(OR(Paths!$C$163=0,C1730=0),0,12-E1730)</f>
        <v>0</v>
      </c>
      <c r="G1730" s="16">
        <f>IF(NOT(Paths!$C$163=1),0,IF(Paths!$P$163="Complete",E1730/12*(Paths!$J$163*(1+'Operating costs'!$B$51)^MAX(0,C1730-1)+Paths!$K$163*(1+'Operating costs'!$B$53)^MAX(0,C1730-1)),"n.a."))</f>
        <v>0</v>
      </c>
      <c r="H1730" s="16">
        <f>IF(NOT(Paths!$C$163=1),0,IF(Paths!$P$163="Complete",F1730/12*(Paths!$L$163*(1+IF(Paths!$D$163="EV",'Operating costs'!$B$52,'Operating costs'!$B$51))^MAX(0,C1730-1)+Paths!$M$163*(1+'Operating costs'!$B$53)^MAX(0,C1730-1)),"n.a."))</f>
        <v>0</v>
      </c>
      <c r="I1730" s="16">
        <f>IF(NOT(Paths!$C$163=1),0,IF(Paths!$P$163="Complete",IF(IF(Paths!$E$163=0,C1730=0,AND(C1730&gt;0,Paths!$E$163&gt;(C1730-1)*12,Paths!$E$163&lt;=C1730*12)),Paths!$G$163,0),"n.a."))</f>
        <v>0</v>
      </c>
      <c r="J1730" s="16">
        <f>IF(NOT(Paths!$C$163=1),0,IF(Paths!$P$163="Complete",IF(IF(Paths!$E$163=0,C1730=0,AND(C1730&gt;0,Paths!$E$163&gt;(C1730-1)*12,Paths!$E$163&lt;=C1730*12)),Paths!$H$163,0),"n.a."))</f>
        <v>0</v>
      </c>
      <c r="K1730" s="16">
        <f>IF(NOT(Paths!$C$163=1),0,IF(Paths!$P$163="Complete",IF(IF(Paths!$O$163=0,C1730=0,AND(C1730&gt;0,Paths!$O$163&gt;(C1730-1)*12,Paths!$O$163&lt;=C1730*12)),Paths!$N$163,0),"n.a."))</f>
        <v>0</v>
      </c>
      <c r="L1730" s="16">
        <f>IF(NOT(Paths!$C$163=1),0,IF(Paths!$P$163="Complete",IF(C1730=10,Paths!$I$163,0),"n.a."))</f>
        <v>0</v>
      </c>
      <c r="M1730" s="16">
        <f>IF(NOT(Paths!$C$163=1),0,IF(Paths!$P$163="Complete",IF(AND(Paths!$D$163="EV",Paths!$E$163&lt;120,Paths!$E$163+'Operating costs'!$B$65&gt;Paths!$E$163,Paths!$E$163+'Operating costs'!$B$65&lt;=120,IF(Paths!$E$163+'Operating costs'!$B$65=0,C1730=0,AND(C1730&gt;0,Paths!$E$163+'Operating costs'!$B$65&gt;(C1730-1)*12,Paths!$E$163+'Operating costs'!$B$65&lt;=C1730*12))),'Operating costs'!$B$64,0)+IF(AND('Operating costs'!$B$67&gt;0,'Operating costs'!$B$67&lt;=120,OR(Paths!$D$163="ICE",'Operating costs'!$B$67&lt;=Paths!$E$163),IF('Operating costs'!$B$67=0,C1730=0,AND(C1730&gt;0,'Operating costs'!$B$67&gt;(C1730-1)*12,'Operating costs'!$B$67&lt;=C1730*12))),'Operating costs'!$B$66,0),"n.a."))</f>
        <v>0</v>
      </c>
      <c r="N1730" s="16">
        <f>IF(NOT(Paths!$C$163=1),0,IF(Paths!$P$163="Complete",SUM(G1730:I1730)-J1730-K1730-L1730+M1730+IF(C1730=0,Paths!$F$163,0)+IF(IF(Paths!$E$163=0,C1730=0,AND(C1730&gt;0,Paths!$E$163&gt;(C1730-1)*12,Paths!$E$163&lt;=C1730*12)),VLOOKUP(A1730,'Fleet register'!$A$7:$S$106,16,FALSE),0),"n.a."))</f>
        <v>0</v>
      </c>
      <c r="O1730" s="16">
        <f>IF(NOT(Paths!$C$163=1),0,IF(Paths!$P$163="Complete",N1730-IF(C1730=0,Paths!$F$163,0),"n.a."))</f>
        <v>0</v>
      </c>
      <c r="P1730" s="16">
        <f>IF(NOT(Paths!$C$163=1),0,IF(Paths!$P$163="Complete",O1730+L1730,"n.a."))</f>
        <v>0</v>
      </c>
      <c r="Q1730" s="16">
        <f>IF(NOT(Paths!$C$163=1),0,IF(Paths!$P$163="Complete",N1730*(1+'Operating costs'!$B$54)^-C1730,"n.a."))</f>
        <v>0</v>
      </c>
      <c r="R1730" s="16">
        <f>IF(NOT(Paths!$C$163=1),0,IF(Paths!$P$163="Complete",IF(AND(C1730=0,Paths!$E$163=0),I1730-J1730-K1730+VLOOKUP(A1730,'Fleet register'!$A$7:$S$106,15,FALSE)+VLOOKUP(A1730,'Fleet register'!$A$7:$S$106,16,FALSE),0),"n.a."))</f>
        <v>0</v>
      </c>
      <c r="S1730" s="1">
        <f>IF(NOT(Paths!$C$163=1),0,IF(Paths!$P$163="Complete",IF(C1730=0,0,Paths!$S$163*Paths!$R$163),"n.a."))</f>
        <v>0</v>
      </c>
      <c r="T1730" s="1">
        <f>IF(NOT(Paths!$C$163=1),0,IF(Paths!$P$163="Complete",IF(C1730=0,0,VLOOKUP(A1730,'Fleet register'!$A$7:$S$106,9,FALSE)*Paths!$R$163),"n.a."))</f>
        <v>0</v>
      </c>
    </row>
    <row r="1731" spans="1:20" ht="24" customHeight="1">
      <c r="A1731" s="1" t="str">
        <f>Paths!$A$163</f>
        <v>T040</v>
      </c>
      <c r="B1731" s="1">
        <f>Paths!$B$163</f>
        <v>0</v>
      </c>
      <c r="C1731" s="1">
        <v>8</v>
      </c>
      <c r="D1731" s="1">
        <v>163</v>
      </c>
      <c r="E1731" s="1">
        <f>IF(OR(Paths!$C$163=0,C1731=0),0,MAX(0,MIN(C1731*12,Paths!$E$163)-(C1731-1)*12))</f>
        <v>0</v>
      </c>
      <c r="F1731" s="1">
        <f>IF(OR(Paths!$C$163=0,C1731=0),0,12-E1731)</f>
        <v>0</v>
      </c>
      <c r="G1731" s="16">
        <f>IF(NOT(Paths!$C$163=1),0,IF(Paths!$P$163="Complete",E1731/12*(Paths!$J$163*(1+'Operating costs'!$B$51)^MAX(0,C1731-1)+Paths!$K$163*(1+'Operating costs'!$B$53)^MAX(0,C1731-1)),"n.a."))</f>
        <v>0</v>
      </c>
      <c r="H1731" s="16">
        <f>IF(NOT(Paths!$C$163=1),0,IF(Paths!$P$163="Complete",F1731/12*(Paths!$L$163*(1+IF(Paths!$D$163="EV",'Operating costs'!$B$52,'Operating costs'!$B$51))^MAX(0,C1731-1)+Paths!$M$163*(1+'Operating costs'!$B$53)^MAX(0,C1731-1)),"n.a."))</f>
        <v>0</v>
      </c>
      <c r="I1731" s="16">
        <f>IF(NOT(Paths!$C$163=1),0,IF(Paths!$P$163="Complete",IF(IF(Paths!$E$163=0,C1731=0,AND(C1731&gt;0,Paths!$E$163&gt;(C1731-1)*12,Paths!$E$163&lt;=C1731*12)),Paths!$G$163,0),"n.a."))</f>
        <v>0</v>
      </c>
      <c r="J1731" s="16">
        <f>IF(NOT(Paths!$C$163=1),0,IF(Paths!$P$163="Complete",IF(IF(Paths!$E$163=0,C1731=0,AND(C1731&gt;0,Paths!$E$163&gt;(C1731-1)*12,Paths!$E$163&lt;=C1731*12)),Paths!$H$163,0),"n.a."))</f>
        <v>0</v>
      </c>
      <c r="K1731" s="16">
        <f>IF(NOT(Paths!$C$163=1),0,IF(Paths!$P$163="Complete",IF(IF(Paths!$O$163=0,C1731=0,AND(C1731&gt;0,Paths!$O$163&gt;(C1731-1)*12,Paths!$O$163&lt;=C1731*12)),Paths!$N$163,0),"n.a."))</f>
        <v>0</v>
      </c>
      <c r="L1731" s="16">
        <f>IF(NOT(Paths!$C$163=1),0,IF(Paths!$P$163="Complete",IF(C1731=10,Paths!$I$163,0),"n.a."))</f>
        <v>0</v>
      </c>
      <c r="M1731" s="16">
        <f>IF(NOT(Paths!$C$163=1),0,IF(Paths!$P$163="Complete",IF(AND(Paths!$D$163="EV",Paths!$E$163&lt;120,Paths!$E$163+'Operating costs'!$B$65&gt;Paths!$E$163,Paths!$E$163+'Operating costs'!$B$65&lt;=120,IF(Paths!$E$163+'Operating costs'!$B$65=0,C1731=0,AND(C1731&gt;0,Paths!$E$163+'Operating costs'!$B$65&gt;(C1731-1)*12,Paths!$E$163+'Operating costs'!$B$65&lt;=C1731*12))),'Operating costs'!$B$64,0)+IF(AND('Operating costs'!$B$67&gt;0,'Operating costs'!$B$67&lt;=120,OR(Paths!$D$163="ICE",'Operating costs'!$B$67&lt;=Paths!$E$163),IF('Operating costs'!$B$67=0,C1731=0,AND(C1731&gt;0,'Operating costs'!$B$67&gt;(C1731-1)*12,'Operating costs'!$B$67&lt;=C1731*12))),'Operating costs'!$B$66,0),"n.a."))</f>
        <v>0</v>
      </c>
      <c r="N1731" s="16">
        <f>IF(NOT(Paths!$C$163=1),0,IF(Paths!$P$163="Complete",SUM(G1731:I1731)-J1731-K1731-L1731+M1731+IF(C1731=0,Paths!$F$163,0)+IF(IF(Paths!$E$163=0,C1731=0,AND(C1731&gt;0,Paths!$E$163&gt;(C1731-1)*12,Paths!$E$163&lt;=C1731*12)),VLOOKUP(A1731,'Fleet register'!$A$7:$S$106,16,FALSE),0),"n.a."))</f>
        <v>0</v>
      </c>
      <c r="O1731" s="16">
        <f>IF(NOT(Paths!$C$163=1),0,IF(Paths!$P$163="Complete",N1731-IF(C1731=0,Paths!$F$163,0),"n.a."))</f>
        <v>0</v>
      </c>
      <c r="P1731" s="16">
        <f>IF(NOT(Paths!$C$163=1),0,IF(Paths!$P$163="Complete",O1731+L1731,"n.a."))</f>
        <v>0</v>
      </c>
      <c r="Q1731" s="16">
        <f>IF(NOT(Paths!$C$163=1),0,IF(Paths!$P$163="Complete",N1731*(1+'Operating costs'!$B$54)^-C1731,"n.a."))</f>
        <v>0</v>
      </c>
      <c r="R1731" s="16">
        <f>IF(NOT(Paths!$C$163=1),0,IF(Paths!$P$163="Complete",IF(AND(C1731=0,Paths!$E$163=0),I1731-J1731-K1731+VLOOKUP(A1731,'Fleet register'!$A$7:$S$106,15,FALSE)+VLOOKUP(A1731,'Fleet register'!$A$7:$S$106,16,FALSE),0),"n.a."))</f>
        <v>0</v>
      </c>
      <c r="S1731" s="1">
        <f>IF(NOT(Paths!$C$163=1),0,IF(Paths!$P$163="Complete",IF(C1731=0,0,Paths!$S$163*Paths!$R$163),"n.a."))</f>
        <v>0</v>
      </c>
      <c r="T1731" s="1">
        <f>IF(NOT(Paths!$C$163=1),0,IF(Paths!$P$163="Complete",IF(C1731=0,0,VLOOKUP(A1731,'Fleet register'!$A$7:$S$106,9,FALSE)*Paths!$R$163),"n.a."))</f>
        <v>0</v>
      </c>
    </row>
    <row r="1732" spans="1:20" ht="24" customHeight="1">
      <c r="A1732" s="1" t="str">
        <f>Paths!$A$163</f>
        <v>T040</v>
      </c>
      <c r="B1732" s="1">
        <f>Paths!$B$163</f>
        <v>0</v>
      </c>
      <c r="C1732" s="1">
        <v>9</v>
      </c>
      <c r="D1732" s="1">
        <v>163</v>
      </c>
      <c r="E1732" s="1">
        <f>IF(OR(Paths!$C$163=0,C1732=0),0,MAX(0,MIN(C1732*12,Paths!$E$163)-(C1732-1)*12))</f>
        <v>0</v>
      </c>
      <c r="F1732" s="1">
        <f>IF(OR(Paths!$C$163=0,C1732=0),0,12-E1732)</f>
        <v>0</v>
      </c>
      <c r="G1732" s="16">
        <f>IF(NOT(Paths!$C$163=1),0,IF(Paths!$P$163="Complete",E1732/12*(Paths!$J$163*(1+'Operating costs'!$B$51)^MAX(0,C1732-1)+Paths!$K$163*(1+'Operating costs'!$B$53)^MAX(0,C1732-1)),"n.a."))</f>
        <v>0</v>
      </c>
      <c r="H1732" s="16">
        <f>IF(NOT(Paths!$C$163=1),0,IF(Paths!$P$163="Complete",F1732/12*(Paths!$L$163*(1+IF(Paths!$D$163="EV",'Operating costs'!$B$52,'Operating costs'!$B$51))^MAX(0,C1732-1)+Paths!$M$163*(1+'Operating costs'!$B$53)^MAX(0,C1732-1)),"n.a."))</f>
        <v>0</v>
      </c>
      <c r="I1732" s="16">
        <f>IF(NOT(Paths!$C$163=1),0,IF(Paths!$P$163="Complete",IF(IF(Paths!$E$163=0,C1732=0,AND(C1732&gt;0,Paths!$E$163&gt;(C1732-1)*12,Paths!$E$163&lt;=C1732*12)),Paths!$G$163,0),"n.a."))</f>
        <v>0</v>
      </c>
      <c r="J1732" s="16">
        <f>IF(NOT(Paths!$C$163=1),0,IF(Paths!$P$163="Complete",IF(IF(Paths!$E$163=0,C1732=0,AND(C1732&gt;0,Paths!$E$163&gt;(C1732-1)*12,Paths!$E$163&lt;=C1732*12)),Paths!$H$163,0),"n.a."))</f>
        <v>0</v>
      </c>
      <c r="K1732" s="16">
        <f>IF(NOT(Paths!$C$163=1),0,IF(Paths!$P$163="Complete",IF(IF(Paths!$O$163=0,C1732=0,AND(C1732&gt;0,Paths!$O$163&gt;(C1732-1)*12,Paths!$O$163&lt;=C1732*12)),Paths!$N$163,0),"n.a."))</f>
        <v>0</v>
      </c>
      <c r="L1732" s="16">
        <f>IF(NOT(Paths!$C$163=1),0,IF(Paths!$P$163="Complete",IF(C1732=10,Paths!$I$163,0),"n.a."))</f>
        <v>0</v>
      </c>
      <c r="M1732" s="16">
        <f>IF(NOT(Paths!$C$163=1),0,IF(Paths!$P$163="Complete",IF(AND(Paths!$D$163="EV",Paths!$E$163&lt;120,Paths!$E$163+'Operating costs'!$B$65&gt;Paths!$E$163,Paths!$E$163+'Operating costs'!$B$65&lt;=120,IF(Paths!$E$163+'Operating costs'!$B$65=0,C1732=0,AND(C1732&gt;0,Paths!$E$163+'Operating costs'!$B$65&gt;(C1732-1)*12,Paths!$E$163+'Operating costs'!$B$65&lt;=C1732*12))),'Operating costs'!$B$64,0)+IF(AND('Operating costs'!$B$67&gt;0,'Operating costs'!$B$67&lt;=120,OR(Paths!$D$163="ICE",'Operating costs'!$B$67&lt;=Paths!$E$163),IF('Operating costs'!$B$67=0,C1732=0,AND(C1732&gt;0,'Operating costs'!$B$67&gt;(C1732-1)*12,'Operating costs'!$B$67&lt;=C1732*12))),'Operating costs'!$B$66,0),"n.a."))</f>
        <v>0</v>
      </c>
      <c r="N1732" s="16">
        <f>IF(NOT(Paths!$C$163=1),0,IF(Paths!$P$163="Complete",SUM(G1732:I1732)-J1732-K1732-L1732+M1732+IF(C1732=0,Paths!$F$163,0)+IF(IF(Paths!$E$163=0,C1732=0,AND(C1732&gt;0,Paths!$E$163&gt;(C1732-1)*12,Paths!$E$163&lt;=C1732*12)),VLOOKUP(A1732,'Fleet register'!$A$7:$S$106,16,FALSE),0),"n.a."))</f>
        <v>0</v>
      </c>
      <c r="O1732" s="16">
        <f>IF(NOT(Paths!$C$163=1),0,IF(Paths!$P$163="Complete",N1732-IF(C1732=0,Paths!$F$163,0),"n.a."))</f>
        <v>0</v>
      </c>
      <c r="P1732" s="16">
        <f>IF(NOT(Paths!$C$163=1),0,IF(Paths!$P$163="Complete",O1732+L1732,"n.a."))</f>
        <v>0</v>
      </c>
      <c r="Q1732" s="16">
        <f>IF(NOT(Paths!$C$163=1),0,IF(Paths!$P$163="Complete",N1732*(1+'Operating costs'!$B$54)^-C1732,"n.a."))</f>
        <v>0</v>
      </c>
      <c r="R1732" s="16">
        <f>IF(NOT(Paths!$C$163=1),0,IF(Paths!$P$163="Complete",IF(AND(C1732=0,Paths!$E$163=0),I1732-J1732-K1732+VLOOKUP(A1732,'Fleet register'!$A$7:$S$106,15,FALSE)+VLOOKUP(A1732,'Fleet register'!$A$7:$S$106,16,FALSE),0),"n.a."))</f>
        <v>0</v>
      </c>
      <c r="S1732" s="1">
        <f>IF(NOT(Paths!$C$163=1),0,IF(Paths!$P$163="Complete",IF(C1732=0,0,Paths!$S$163*Paths!$R$163),"n.a."))</f>
        <v>0</v>
      </c>
      <c r="T1732" s="1">
        <f>IF(NOT(Paths!$C$163=1),0,IF(Paths!$P$163="Complete",IF(C1732=0,0,VLOOKUP(A1732,'Fleet register'!$A$7:$S$106,9,FALSE)*Paths!$R$163),"n.a."))</f>
        <v>0</v>
      </c>
    </row>
    <row r="1733" spans="1:20" ht="24" customHeight="1">
      <c r="A1733" s="1" t="str">
        <f>Paths!$A$163</f>
        <v>T040</v>
      </c>
      <c r="B1733" s="1">
        <f>Paths!$B$163</f>
        <v>0</v>
      </c>
      <c r="C1733" s="1">
        <v>10</v>
      </c>
      <c r="D1733" s="1">
        <v>163</v>
      </c>
      <c r="E1733" s="1">
        <f>IF(OR(Paths!$C$163=0,C1733=0),0,MAX(0,MIN(C1733*12,Paths!$E$163)-(C1733-1)*12))</f>
        <v>0</v>
      </c>
      <c r="F1733" s="1">
        <f>IF(OR(Paths!$C$163=0,C1733=0),0,12-E1733)</f>
        <v>0</v>
      </c>
      <c r="G1733" s="16">
        <f>IF(NOT(Paths!$C$163=1),0,IF(Paths!$P$163="Complete",E1733/12*(Paths!$J$163*(1+'Operating costs'!$B$51)^MAX(0,C1733-1)+Paths!$K$163*(1+'Operating costs'!$B$53)^MAX(0,C1733-1)),"n.a."))</f>
        <v>0</v>
      </c>
      <c r="H1733" s="16">
        <f>IF(NOT(Paths!$C$163=1),0,IF(Paths!$P$163="Complete",F1733/12*(Paths!$L$163*(1+IF(Paths!$D$163="EV",'Operating costs'!$B$52,'Operating costs'!$B$51))^MAX(0,C1733-1)+Paths!$M$163*(1+'Operating costs'!$B$53)^MAX(0,C1733-1)),"n.a."))</f>
        <v>0</v>
      </c>
      <c r="I1733" s="16">
        <f>IF(NOT(Paths!$C$163=1),0,IF(Paths!$P$163="Complete",IF(IF(Paths!$E$163=0,C1733=0,AND(C1733&gt;0,Paths!$E$163&gt;(C1733-1)*12,Paths!$E$163&lt;=C1733*12)),Paths!$G$163,0),"n.a."))</f>
        <v>0</v>
      </c>
      <c r="J1733" s="16">
        <f>IF(NOT(Paths!$C$163=1),0,IF(Paths!$P$163="Complete",IF(IF(Paths!$E$163=0,C1733=0,AND(C1733&gt;0,Paths!$E$163&gt;(C1733-1)*12,Paths!$E$163&lt;=C1733*12)),Paths!$H$163,0),"n.a."))</f>
        <v>0</v>
      </c>
      <c r="K1733" s="16">
        <f>IF(NOT(Paths!$C$163=1),0,IF(Paths!$P$163="Complete",IF(IF(Paths!$O$163=0,C1733=0,AND(C1733&gt;0,Paths!$O$163&gt;(C1733-1)*12,Paths!$O$163&lt;=C1733*12)),Paths!$N$163,0),"n.a."))</f>
        <v>0</v>
      </c>
      <c r="L1733" s="16">
        <f>IF(NOT(Paths!$C$163=1),0,IF(Paths!$P$163="Complete",IF(C1733=10,Paths!$I$163,0),"n.a."))</f>
        <v>0</v>
      </c>
      <c r="M1733" s="16">
        <f>IF(NOT(Paths!$C$163=1),0,IF(Paths!$P$163="Complete",IF(AND(Paths!$D$163="EV",Paths!$E$163&lt;120,Paths!$E$163+'Operating costs'!$B$65&gt;Paths!$E$163,Paths!$E$163+'Operating costs'!$B$65&lt;=120,IF(Paths!$E$163+'Operating costs'!$B$65=0,C1733=0,AND(C1733&gt;0,Paths!$E$163+'Operating costs'!$B$65&gt;(C1733-1)*12,Paths!$E$163+'Operating costs'!$B$65&lt;=C1733*12))),'Operating costs'!$B$64,0)+IF(AND('Operating costs'!$B$67&gt;0,'Operating costs'!$B$67&lt;=120,OR(Paths!$D$163="ICE",'Operating costs'!$B$67&lt;=Paths!$E$163),IF('Operating costs'!$B$67=0,C1733=0,AND(C1733&gt;0,'Operating costs'!$B$67&gt;(C1733-1)*12,'Operating costs'!$B$67&lt;=C1733*12))),'Operating costs'!$B$66,0),"n.a."))</f>
        <v>0</v>
      </c>
      <c r="N1733" s="16">
        <f>IF(NOT(Paths!$C$163=1),0,IF(Paths!$P$163="Complete",SUM(G1733:I1733)-J1733-K1733-L1733+M1733+IF(C1733=0,Paths!$F$163,0)+IF(IF(Paths!$E$163=0,C1733=0,AND(C1733&gt;0,Paths!$E$163&gt;(C1733-1)*12,Paths!$E$163&lt;=C1733*12)),VLOOKUP(A1733,'Fleet register'!$A$7:$S$106,16,FALSE),0),"n.a."))</f>
        <v>0</v>
      </c>
      <c r="O1733" s="16">
        <f>IF(NOT(Paths!$C$163=1),0,IF(Paths!$P$163="Complete",N1733-IF(C1733=0,Paths!$F$163,0),"n.a."))</f>
        <v>0</v>
      </c>
      <c r="P1733" s="16">
        <f>IF(NOT(Paths!$C$163=1),0,IF(Paths!$P$163="Complete",O1733+L1733,"n.a."))</f>
        <v>0</v>
      </c>
      <c r="Q1733" s="16">
        <f>IF(NOT(Paths!$C$163=1),0,IF(Paths!$P$163="Complete",N1733*(1+'Operating costs'!$B$54)^-C1733,"n.a."))</f>
        <v>0</v>
      </c>
      <c r="R1733" s="16">
        <f>IF(NOT(Paths!$C$163=1),0,IF(Paths!$P$163="Complete",IF(AND(C1733=0,Paths!$E$163=0),I1733-J1733-K1733+VLOOKUP(A1733,'Fleet register'!$A$7:$S$106,15,FALSE)+VLOOKUP(A1733,'Fleet register'!$A$7:$S$106,16,FALSE),0),"n.a."))</f>
        <v>0</v>
      </c>
      <c r="S1733" s="1">
        <f>IF(NOT(Paths!$C$163=1),0,IF(Paths!$P$163="Complete",IF(C1733=0,0,Paths!$S$163*Paths!$R$163),"n.a."))</f>
        <v>0</v>
      </c>
      <c r="T1733" s="1">
        <f>IF(NOT(Paths!$C$163=1),0,IF(Paths!$P$163="Complete",IF(C1733=0,0,VLOOKUP(A1733,'Fleet register'!$A$7:$S$106,9,FALSE)*Paths!$R$163),"n.a."))</f>
        <v>0</v>
      </c>
    </row>
    <row r="1734" spans="1:20" ht="24" customHeight="1">
      <c r="A1734" s="1" t="str">
        <f>Paths!$A$164</f>
        <v>T040</v>
      </c>
      <c r="B1734" s="1">
        <f>Paths!$B$164</f>
        <v>1</v>
      </c>
      <c r="C1734" s="1">
        <v>0</v>
      </c>
      <c r="D1734" s="1">
        <v>164</v>
      </c>
      <c r="E1734" s="1">
        <f>IF(OR(Paths!$C$164=0,C1734=0),0,MAX(0,MIN(C1734*12,Paths!$E$164)-(C1734-1)*12))</f>
        <v>0</v>
      </c>
      <c r="F1734" s="1">
        <f>IF(OR(Paths!$C$164=0,C1734=0),0,12-E1734)</f>
        <v>0</v>
      </c>
      <c r="G1734" s="16">
        <f>IF(NOT(Paths!$C$164=1),0,IF(Paths!$P$164="Complete",E1734/12*(Paths!$J$164*(1+'Operating costs'!$B$51)^MAX(0,C1734-1)+Paths!$K$164*(1+'Operating costs'!$B$53)^MAX(0,C1734-1)),"n.a."))</f>
        <v>0</v>
      </c>
      <c r="H1734" s="16">
        <f>IF(NOT(Paths!$C$164=1),0,IF(Paths!$P$164="Complete",F1734/12*(Paths!$L$164*(1+IF(Paths!$D$164="EV",'Operating costs'!$B$52,'Operating costs'!$B$51))^MAX(0,C1734-1)+Paths!$M$164*(1+'Operating costs'!$B$53)^MAX(0,C1734-1)),"n.a."))</f>
        <v>0</v>
      </c>
      <c r="I1734" s="16">
        <f>IF(NOT(Paths!$C$164=1),0,IF(Paths!$P$164="Complete",IF(IF(Paths!$E$164=0,C1734=0,AND(C1734&gt;0,Paths!$E$164&gt;(C1734-1)*12,Paths!$E$164&lt;=C1734*12)),Paths!$G$164,0),"n.a."))</f>
        <v>0</v>
      </c>
      <c r="J1734" s="16">
        <f>IF(NOT(Paths!$C$164=1),0,IF(Paths!$P$164="Complete",IF(IF(Paths!$E$164=0,C1734=0,AND(C1734&gt;0,Paths!$E$164&gt;(C1734-1)*12,Paths!$E$164&lt;=C1734*12)),Paths!$H$164,0),"n.a."))</f>
        <v>0</v>
      </c>
      <c r="K1734" s="16">
        <f>IF(NOT(Paths!$C$164=1),0,IF(Paths!$P$164="Complete",IF(IF(Paths!$O$164=0,C1734=0,AND(C1734&gt;0,Paths!$O$164&gt;(C1734-1)*12,Paths!$O$164&lt;=C1734*12)),Paths!$N$164,0),"n.a."))</f>
        <v>0</v>
      </c>
      <c r="L1734" s="16">
        <f>IF(NOT(Paths!$C$164=1),0,IF(Paths!$P$164="Complete",IF(C1734=10,Paths!$I$164,0),"n.a."))</f>
        <v>0</v>
      </c>
      <c r="M1734" s="16">
        <f>IF(NOT(Paths!$C$164=1),0,IF(Paths!$P$164="Complete",IF(AND(Paths!$D$164="EV",Paths!$E$164&lt;120,Paths!$E$164+'Operating costs'!$B$65&gt;Paths!$E$164,Paths!$E$164+'Operating costs'!$B$65&lt;=120,IF(Paths!$E$164+'Operating costs'!$B$65=0,C1734=0,AND(C1734&gt;0,Paths!$E$164+'Operating costs'!$B$65&gt;(C1734-1)*12,Paths!$E$164+'Operating costs'!$B$65&lt;=C1734*12))),'Operating costs'!$B$64,0)+IF(AND('Operating costs'!$B$67&gt;0,'Operating costs'!$B$67&lt;=120,OR(Paths!$D$164="ICE",'Operating costs'!$B$67&lt;=Paths!$E$164),IF('Operating costs'!$B$67=0,C1734=0,AND(C1734&gt;0,'Operating costs'!$B$67&gt;(C1734-1)*12,'Operating costs'!$B$67&lt;=C1734*12))),'Operating costs'!$B$66,0),"n.a."))</f>
        <v>0</v>
      </c>
      <c r="N1734" s="16">
        <f>IF(NOT(Paths!$C$164=1),0,IF(Paths!$P$164="Complete",SUM(G1734:I1734)-J1734-K1734-L1734+M1734+IF(C1734=0,Paths!$F$164,0)+IF(IF(Paths!$E$164=0,C1734=0,AND(C1734&gt;0,Paths!$E$164&gt;(C1734-1)*12,Paths!$E$164&lt;=C1734*12)),VLOOKUP(A1734,'Fleet register'!$A$7:$S$106,16,FALSE),0),"n.a."))</f>
        <v>0</v>
      </c>
      <c r="O1734" s="16">
        <f>IF(NOT(Paths!$C$164=1),0,IF(Paths!$P$164="Complete",N1734-IF(C1734=0,Paths!$F$164,0),"n.a."))</f>
        <v>0</v>
      </c>
      <c r="P1734" s="16">
        <f>IF(NOT(Paths!$C$164=1),0,IF(Paths!$P$164="Complete",O1734+L1734,"n.a."))</f>
        <v>0</v>
      </c>
      <c r="Q1734" s="16">
        <f>IF(NOT(Paths!$C$164=1),0,IF(Paths!$P$164="Complete",N1734*(1+'Operating costs'!$B$54)^-C1734,"n.a."))</f>
        <v>0</v>
      </c>
      <c r="R1734" s="16">
        <f>IF(NOT(Paths!$C$164=1),0,IF(Paths!$P$164="Complete",IF(AND(C1734=0,Paths!$E$164=0),I1734-J1734-K1734+VLOOKUP(A1734,'Fleet register'!$A$7:$S$106,15,FALSE)+VLOOKUP(A1734,'Fleet register'!$A$7:$S$106,16,FALSE),0),"n.a."))</f>
        <v>0</v>
      </c>
      <c r="S1734" s="1">
        <f>IF(NOT(Paths!$C$164=1),0,IF(Paths!$P$164="Complete",IF(C1734=0,0,Paths!$S$164*Paths!$R$164),"n.a."))</f>
        <v>0</v>
      </c>
      <c r="T1734" s="1">
        <f>IF(NOT(Paths!$C$164=1),0,IF(Paths!$P$164="Complete",IF(C1734=0,0,VLOOKUP(A1734,'Fleet register'!$A$7:$S$106,9,FALSE)*Paths!$R$164),"n.a."))</f>
        <v>0</v>
      </c>
    </row>
    <row r="1735" spans="1:20" ht="24" customHeight="1">
      <c r="A1735" s="1" t="str">
        <f>Paths!$A$164</f>
        <v>T040</v>
      </c>
      <c r="B1735" s="1">
        <f>Paths!$B$164</f>
        <v>1</v>
      </c>
      <c r="C1735" s="1">
        <v>1</v>
      </c>
      <c r="D1735" s="1">
        <v>164</v>
      </c>
      <c r="E1735" s="1">
        <f>IF(OR(Paths!$C$164=0,C1735=0),0,MAX(0,MIN(C1735*12,Paths!$E$164)-(C1735-1)*12))</f>
        <v>0</v>
      </c>
      <c r="F1735" s="1">
        <f>IF(OR(Paths!$C$164=0,C1735=0),0,12-E1735)</f>
        <v>0</v>
      </c>
      <c r="G1735" s="16">
        <f>IF(NOT(Paths!$C$164=1),0,IF(Paths!$P$164="Complete",E1735/12*(Paths!$J$164*(1+'Operating costs'!$B$51)^MAX(0,C1735-1)+Paths!$K$164*(1+'Operating costs'!$B$53)^MAX(0,C1735-1)),"n.a."))</f>
        <v>0</v>
      </c>
      <c r="H1735" s="16">
        <f>IF(NOT(Paths!$C$164=1),0,IF(Paths!$P$164="Complete",F1735/12*(Paths!$L$164*(1+IF(Paths!$D$164="EV",'Operating costs'!$B$52,'Operating costs'!$B$51))^MAX(0,C1735-1)+Paths!$M$164*(1+'Operating costs'!$B$53)^MAX(0,C1735-1)),"n.a."))</f>
        <v>0</v>
      </c>
      <c r="I1735" s="16">
        <f>IF(NOT(Paths!$C$164=1),0,IF(Paths!$P$164="Complete",IF(IF(Paths!$E$164=0,C1735=0,AND(C1735&gt;0,Paths!$E$164&gt;(C1735-1)*12,Paths!$E$164&lt;=C1735*12)),Paths!$G$164,0),"n.a."))</f>
        <v>0</v>
      </c>
      <c r="J1735" s="16">
        <f>IF(NOT(Paths!$C$164=1),0,IF(Paths!$P$164="Complete",IF(IF(Paths!$E$164=0,C1735=0,AND(C1735&gt;0,Paths!$E$164&gt;(C1735-1)*12,Paths!$E$164&lt;=C1735*12)),Paths!$H$164,0),"n.a."))</f>
        <v>0</v>
      </c>
      <c r="K1735" s="16">
        <f>IF(NOT(Paths!$C$164=1),0,IF(Paths!$P$164="Complete",IF(IF(Paths!$O$164=0,C1735=0,AND(C1735&gt;0,Paths!$O$164&gt;(C1735-1)*12,Paths!$O$164&lt;=C1735*12)),Paths!$N$164,0),"n.a."))</f>
        <v>0</v>
      </c>
      <c r="L1735" s="16">
        <f>IF(NOT(Paths!$C$164=1),0,IF(Paths!$P$164="Complete",IF(C1735=10,Paths!$I$164,0),"n.a."))</f>
        <v>0</v>
      </c>
      <c r="M1735" s="16">
        <f>IF(NOT(Paths!$C$164=1),0,IF(Paths!$P$164="Complete",IF(AND(Paths!$D$164="EV",Paths!$E$164&lt;120,Paths!$E$164+'Operating costs'!$B$65&gt;Paths!$E$164,Paths!$E$164+'Operating costs'!$B$65&lt;=120,IF(Paths!$E$164+'Operating costs'!$B$65=0,C1735=0,AND(C1735&gt;0,Paths!$E$164+'Operating costs'!$B$65&gt;(C1735-1)*12,Paths!$E$164+'Operating costs'!$B$65&lt;=C1735*12))),'Operating costs'!$B$64,0)+IF(AND('Operating costs'!$B$67&gt;0,'Operating costs'!$B$67&lt;=120,OR(Paths!$D$164="ICE",'Operating costs'!$B$67&lt;=Paths!$E$164),IF('Operating costs'!$B$67=0,C1735=0,AND(C1735&gt;0,'Operating costs'!$B$67&gt;(C1735-1)*12,'Operating costs'!$B$67&lt;=C1735*12))),'Operating costs'!$B$66,0),"n.a."))</f>
        <v>0</v>
      </c>
      <c r="N1735" s="16">
        <f>IF(NOT(Paths!$C$164=1),0,IF(Paths!$P$164="Complete",SUM(G1735:I1735)-J1735-K1735-L1735+M1735+IF(C1735=0,Paths!$F$164,0)+IF(IF(Paths!$E$164=0,C1735=0,AND(C1735&gt;0,Paths!$E$164&gt;(C1735-1)*12,Paths!$E$164&lt;=C1735*12)),VLOOKUP(A1735,'Fleet register'!$A$7:$S$106,16,FALSE),0),"n.a."))</f>
        <v>0</v>
      </c>
      <c r="O1735" s="16">
        <f>IF(NOT(Paths!$C$164=1),0,IF(Paths!$P$164="Complete",N1735-IF(C1735=0,Paths!$F$164,0),"n.a."))</f>
        <v>0</v>
      </c>
      <c r="P1735" s="16">
        <f>IF(NOT(Paths!$C$164=1),0,IF(Paths!$P$164="Complete",O1735+L1735,"n.a."))</f>
        <v>0</v>
      </c>
      <c r="Q1735" s="16">
        <f>IF(NOT(Paths!$C$164=1),0,IF(Paths!$P$164="Complete",N1735*(1+'Operating costs'!$B$54)^-C1735,"n.a."))</f>
        <v>0</v>
      </c>
      <c r="R1735" s="16">
        <f>IF(NOT(Paths!$C$164=1),0,IF(Paths!$P$164="Complete",IF(AND(C1735=0,Paths!$E$164=0),I1735-J1735-K1735+VLOOKUP(A1735,'Fleet register'!$A$7:$S$106,15,FALSE)+VLOOKUP(A1735,'Fleet register'!$A$7:$S$106,16,FALSE),0),"n.a."))</f>
        <v>0</v>
      </c>
      <c r="S1735" s="1">
        <f>IF(NOT(Paths!$C$164=1),0,IF(Paths!$P$164="Complete",IF(C1735=0,0,Paths!$S$164*Paths!$R$164),"n.a."))</f>
        <v>0</v>
      </c>
      <c r="T1735" s="1">
        <f>IF(NOT(Paths!$C$164=1),0,IF(Paths!$P$164="Complete",IF(C1735=0,0,VLOOKUP(A1735,'Fleet register'!$A$7:$S$106,9,FALSE)*Paths!$R$164),"n.a."))</f>
        <v>0</v>
      </c>
    </row>
    <row r="1736" spans="1:20" ht="24" customHeight="1">
      <c r="A1736" s="1" t="str">
        <f>Paths!$A$164</f>
        <v>T040</v>
      </c>
      <c r="B1736" s="1">
        <f>Paths!$B$164</f>
        <v>1</v>
      </c>
      <c r="C1736" s="1">
        <v>2</v>
      </c>
      <c r="D1736" s="1">
        <v>164</v>
      </c>
      <c r="E1736" s="1">
        <f>IF(OR(Paths!$C$164=0,C1736=0),0,MAX(0,MIN(C1736*12,Paths!$E$164)-(C1736-1)*12))</f>
        <v>0</v>
      </c>
      <c r="F1736" s="1">
        <f>IF(OR(Paths!$C$164=0,C1736=0),0,12-E1736)</f>
        <v>0</v>
      </c>
      <c r="G1736" s="16">
        <f>IF(NOT(Paths!$C$164=1),0,IF(Paths!$P$164="Complete",E1736/12*(Paths!$J$164*(1+'Operating costs'!$B$51)^MAX(0,C1736-1)+Paths!$K$164*(1+'Operating costs'!$B$53)^MAX(0,C1736-1)),"n.a."))</f>
        <v>0</v>
      </c>
      <c r="H1736" s="16">
        <f>IF(NOT(Paths!$C$164=1),0,IF(Paths!$P$164="Complete",F1736/12*(Paths!$L$164*(1+IF(Paths!$D$164="EV",'Operating costs'!$B$52,'Operating costs'!$B$51))^MAX(0,C1736-1)+Paths!$M$164*(1+'Operating costs'!$B$53)^MAX(0,C1736-1)),"n.a."))</f>
        <v>0</v>
      </c>
      <c r="I1736" s="16">
        <f>IF(NOT(Paths!$C$164=1),0,IF(Paths!$P$164="Complete",IF(IF(Paths!$E$164=0,C1736=0,AND(C1736&gt;0,Paths!$E$164&gt;(C1736-1)*12,Paths!$E$164&lt;=C1736*12)),Paths!$G$164,0),"n.a."))</f>
        <v>0</v>
      </c>
      <c r="J1736" s="16">
        <f>IF(NOT(Paths!$C$164=1),0,IF(Paths!$P$164="Complete",IF(IF(Paths!$E$164=0,C1736=0,AND(C1736&gt;0,Paths!$E$164&gt;(C1736-1)*12,Paths!$E$164&lt;=C1736*12)),Paths!$H$164,0),"n.a."))</f>
        <v>0</v>
      </c>
      <c r="K1736" s="16">
        <f>IF(NOT(Paths!$C$164=1),0,IF(Paths!$P$164="Complete",IF(IF(Paths!$O$164=0,C1736=0,AND(C1736&gt;0,Paths!$O$164&gt;(C1736-1)*12,Paths!$O$164&lt;=C1736*12)),Paths!$N$164,0),"n.a."))</f>
        <v>0</v>
      </c>
      <c r="L1736" s="16">
        <f>IF(NOT(Paths!$C$164=1),0,IF(Paths!$P$164="Complete",IF(C1736=10,Paths!$I$164,0),"n.a."))</f>
        <v>0</v>
      </c>
      <c r="M1736" s="16">
        <f>IF(NOT(Paths!$C$164=1),0,IF(Paths!$P$164="Complete",IF(AND(Paths!$D$164="EV",Paths!$E$164&lt;120,Paths!$E$164+'Operating costs'!$B$65&gt;Paths!$E$164,Paths!$E$164+'Operating costs'!$B$65&lt;=120,IF(Paths!$E$164+'Operating costs'!$B$65=0,C1736=0,AND(C1736&gt;0,Paths!$E$164+'Operating costs'!$B$65&gt;(C1736-1)*12,Paths!$E$164+'Operating costs'!$B$65&lt;=C1736*12))),'Operating costs'!$B$64,0)+IF(AND('Operating costs'!$B$67&gt;0,'Operating costs'!$B$67&lt;=120,OR(Paths!$D$164="ICE",'Operating costs'!$B$67&lt;=Paths!$E$164),IF('Operating costs'!$B$67=0,C1736=0,AND(C1736&gt;0,'Operating costs'!$B$67&gt;(C1736-1)*12,'Operating costs'!$B$67&lt;=C1736*12))),'Operating costs'!$B$66,0),"n.a."))</f>
        <v>0</v>
      </c>
      <c r="N1736" s="16">
        <f>IF(NOT(Paths!$C$164=1),0,IF(Paths!$P$164="Complete",SUM(G1736:I1736)-J1736-K1736-L1736+M1736+IF(C1736=0,Paths!$F$164,0)+IF(IF(Paths!$E$164=0,C1736=0,AND(C1736&gt;0,Paths!$E$164&gt;(C1736-1)*12,Paths!$E$164&lt;=C1736*12)),VLOOKUP(A1736,'Fleet register'!$A$7:$S$106,16,FALSE),0),"n.a."))</f>
        <v>0</v>
      </c>
      <c r="O1736" s="16">
        <f>IF(NOT(Paths!$C$164=1),0,IF(Paths!$P$164="Complete",N1736-IF(C1736=0,Paths!$F$164,0),"n.a."))</f>
        <v>0</v>
      </c>
      <c r="P1736" s="16">
        <f>IF(NOT(Paths!$C$164=1),0,IF(Paths!$P$164="Complete",O1736+L1736,"n.a."))</f>
        <v>0</v>
      </c>
      <c r="Q1736" s="16">
        <f>IF(NOT(Paths!$C$164=1),0,IF(Paths!$P$164="Complete",N1736*(1+'Operating costs'!$B$54)^-C1736,"n.a."))</f>
        <v>0</v>
      </c>
      <c r="R1736" s="16">
        <f>IF(NOT(Paths!$C$164=1),0,IF(Paths!$P$164="Complete",IF(AND(C1736=0,Paths!$E$164=0),I1736-J1736-K1736+VLOOKUP(A1736,'Fleet register'!$A$7:$S$106,15,FALSE)+VLOOKUP(A1736,'Fleet register'!$A$7:$S$106,16,FALSE),0),"n.a."))</f>
        <v>0</v>
      </c>
      <c r="S1736" s="1">
        <f>IF(NOT(Paths!$C$164=1),0,IF(Paths!$P$164="Complete",IF(C1736=0,0,Paths!$S$164*Paths!$R$164),"n.a."))</f>
        <v>0</v>
      </c>
      <c r="T1736" s="1">
        <f>IF(NOT(Paths!$C$164=1),0,IF(Paths!$P$164="Complete",IF(C1736=0,0,VLOOKUP(A1736,'Fleet register'!$A$7:$S$106,9,FALSE)*Paths!$R$164),"n.a."))</f>
        <v>0</v>
      </c>
    </row>
    <row r="1737" spans="1:20" ht="24" customHeight="1">
      <c r="A1737" s="1" t="str">
        <f>Paths!$A$164</f>
        <v>T040</v>
      </c>
      <c r="B1737" s="1">
        <f>Paths!$B$164</f>
        <v>1</v>
      </c>
      <c r="C1737" s="1">
        <v>3</v>
      </c>
      <c r="D1737" s="1">
        <v>164</v>
      </c>
      <c r="E1737" s="1">
        <f>IF(OR(Paths!$C$164=0,C1737=0),0,MAX(0,MIN(C1737*12,Paths!$E$164)-(C1737-1)*12))</f>
        <v>0</v>
      </c>
      <c r="F1737" s="1">
        <f>IF(OR(Paths!$C$164=0,C1737=0),0,12-E1737)</f>
        <v>0</v>
      </c>
      <c r="G1737" s="16">
        <f>IF(NOT(Paths!$C$164=1),0,IF(Paths!$P$164="Complete",E1737/12*(Paths!$J$164*(1+'Operating costs'!$B$51)^MAX(0,C1737-1)+Paths!$K$164*(1+'Operating costs'!$B$53)^MAX(0,C1737-1)),"n.a."))</f>
        <v>0</v>
      </c>
      <c r="H1737" s="16">
        <f>IF(NOT(Paths!$C$164=1),0,IF(Paths!$P$164="Complete",F1737/12*(Paths!$L$164*(1+IF(Paths!$D$164="EV",'Operating costs'!$B$52,'Operating costs'!$B$51))^MAX(0,C1737-1)+Paths!$M$164*(1+'Operating costs'!$B$53)^MAX(0,C1737-1)),"n.a."))</f>
        <v>0</v>
      </c>
      <c r="I1737" s="16">
        <f>IF(NOT(Paths!$C$164=1),0,IF(Paths!$P$164="Complete",IF(IF(Paths!$E$164=0,C1737=0,AND(C1737&gt;0,Paths!$E$164&gt;(C1737-1)*12,Paths!$E$164&lt;=C1737*12)),Paths!$G$164,0),"n.a."))</f>
        <v>0</v>
      </c>
      <c r="J1737" s="16">
        <f>IF(NOT(Paths!$C$164=1),0,IF(Paths!$P$164="Complete",IF(IF(Paths!$E$164=0,C1737=0,AND(C1737&gt;0,Paths!$E$164&gt;(C1737-1)*12,Paths!$E$164&lt;=C1737*12)),Paths!$H$164,0),"n.a."))</f>
        <v>0</v>
      </c>
      <c r="K1737" s="16">
        <f>IF(NOT(Paths!$C$164=1),0,IF(Paths!$P$164="Complete",IF(IF(Paths!$O$164=0,C1737=0,AND(C1737&gt;0,Paths!$O$164&gt;(C1737-1)*12,Paths!$O$164&lt;=C1737*12)),Paths!$N$164,0),"n.a."))</f>
        <v>0</v>
      </c>
      <c r="L1737" s="16">
        <f>IF(NOT(Paths!$C$164=1),0,IF(Paths!$P$164="Complete",IF(C1737=10,Paths!$I$164,0),"n.a."))</f>
        <v>0</v>
      </c>
      <c r="M1737" s="16">
        <f>IF(NOT(Paths!$C$164=1),0,IF(Paths!$P$164="Complete",IF(AND(Paths!$D$164="EV",Paths!$E$164&lt;120,Paths!$E$164+'Operating costs'!$B$65&gt;Paths!$E$164,Paths!$E$164+'Operating costs'!$B$65&lt;=120,IF(Paths!$E$164+'Operating costs'!$B$65=0,C1737=0,AND(C1737&gt;0,Paths!$E$164+'Operating costs'!$B$65&gt;(C1737-1)*12,Paths!$E$164+'Operating costs'!$B$65&lt;=C1737*12))),'Operating costs'!$B$64,0)+IF(AND('Operating costs'!$B$67&gt;0,'Operating costs'!$B$67&lt;=120,OR(Paths!$D$164="ICE",'Operating costs'!$B$67&lt;=Paths!$E$164),IF('Operating costs'!$B$67=0,C1737=0,AND(C1737&gt;0,'Operating costs'!$B$67&gt;(C1737-1)*12,'Operating costs'!$B$67&lt;=C1737*12))),'Operating costs'!$B$66,0),"n.a."))</f>
        <v>0</v>
      </c>
      <c r="N1737" s="16">
        <f>IF(NOT(Paths!$C$164=1),0,IF(Paths!$P$164="Complete",SUM(G1737:I1737)-J1737-K1737-L1737+M1737+IF(C1737=0,Paths!$F$164,0)+IF(IF(Paths!$E$164=0,C1737=0,AND(C1737&gt;0,Paths!$E$164&gt;(C1737-1)*12,Paths!$E$164&lt;=C1737*12)),VLOOKUP(A1737,'Fleet register'!$A$7:$S$106,16,FALSE),0),"n.a."))</f>
        <v>0</v>
      </c>
      <c r="O1737" s="16">
        <f>IF(NOT(Paths!$C$164=1),0,IF(Paths!$P$164="Complete",N1737-IF(C1737=0,Paths!$F$164,0),"n.a."))</f>
        <v>0</v>
      </c>
      <c r="P1737" s="16">
        <f>IF(NOT(Paths!$C$164=1),0,IF(Paths!$P$164="Complete",O1737+L1737,"n.a."))</f>
        <v>0</v>
      </c>
      <c r="Q1737" s="16">
        <f>IF(NOT(Paths!$C$164=1),0,IF(Paths!$P$164="Complete",N1737*(1+'Operating costs'!$B$54)^-C1737,"n.a."))</f>
        <v>0</v>
      </c>
      <c r="R1737" s="16">
        <f>IF(NOT(Paths!$C$164=1),0,IF(Paths!$P$164="Complete",IF(AND(C1737=0,Paths!$E$164=0),I1737-J1737-K1737+VLOOKUP(A1737,'Fleet register'!$A$7:$S$106,15,FALSE)+VLOOKUP(A1737,'Fleet register'!$A$7:$S$106,16,FALSE),0),"n.a."))</f>
        <v>0</v>
      </c>
      <c r="S1737" s="1">
        <f>IF(NOT(Paths!$C$164=1),0,IF(Paths!$P$164="Complete",IF(C1737=0,0,Paths!$S$164*Paths!$R$164),"n.a."))</f>
        <v>0</v>
      </c>
      <c r="T1737" s="1">
        <f>IF(NOT(Paths!$C$164=1),0,IF(Paths!$P$164="Complete",IF(C1737=0,0,VLOOKUP(A1737,'Fleet register'!$A$7:$S$106,9,FALSE)*Paths!$R$164),"n.a."))</f>
        <v>0</v>
      </c>
    </row>
    <row r="1738" spans="1:20" ht="24" customHeight="1">
      <c r="A1738" s="1" t="str">
        <f>Paths!$A$164</f>
        <v>T040</v>
      </c>
      <c r="B1738" s="1">
        <f>Paths!$B$164</f>
        <v>1</v>
      </c>
      <c r="C1738" s="1">
        <v>4</v>
      </c>
      <c r="D1738" s="1">
        <v>164</v>
      </c>
      <c r="E1738" s="1">
        <f>IF(OR(Paths!$C$164=0,C1738=0),0,MAX(0,MIN(C1738*12,Paths!$E$164)-(C1738-1)*12))</f>
        <v>0</v>
      </c>
      <c r="F1738" s="1">
        <f>IF(OR(Paths!$C$164=0,C1738=0),0,12-E1738)</f>
        <v>0</v>
      </c>
      <c r="G1738" s="16">
        <f>IF(NOT(Paths!$C$164=1),0,IF(Paths!$P$164="Complete",E1738/12*(Paths!$J$164*(1+'Operating costs'!$B$51)^MAX(0,C1738-1)+Paths!$K$164*(1+'Operating costs'!$B$53)^MAX(0,C1738-1)),"n.a."))</f>
        <v>0</v>
      </c>
      <c r="H1738" s="16">
        <f>IF(NOT(Paths!$C$164=1),0,IF(Paths!$P$164="Complete",F1738/12*(Paths!$L$164*(1+IF(Paths!$D$164="EV",'Operating costs'!$B$52,'Operating costs'!$B$51))^MAX(0,C1738-1)+Paths!$M$164*(1+'Operating costs'!$B$53)^MAX(0,C1738-1)),"n.a."))</f>
        <v>0</v>
      </c>
      <c r="I1738" s="16">
        <f>IF(NOT(Paths!$C$164=1),0,IF(Paths!$P$164="Complete",IF(IF(Paths!$E$164=0,C1738=0,AND(C1738&gt;0,Paths!$E$164&gt;(C1738-1)*12,Paths!$E$164&lt;=C1738*12)),Paths!$G$164,0),"n.a."))</f>
        <v>0</v>
      </c>
      <c r="J1738" s="16">
        <f>IF(NOT(Paths!$C$164=1),0,IF(Paths!$P$164="Complete",IF(IF(Paths!$E$164=0,C1738=0,AND(C1738&gt;0,Paths!$E$164&gt;(C1738-1)*12,Paths!$E$164&lt;=C1738*12)),Paths!$H$164,0),"n.a."))</f>
        <v>0</v>
      </c>
      <c r="K1738" s="16">
        <f>IF(NOT(Paths!$C$164=1),0,IF(Paths!$P$164="Complete",IF(IF(Paths!$O$164=0,C1738=0,AND(C1738&gt;0,Paths!$O$164&gt;(C1738-1)*12,Paths!$O$164&lt;=C1738*12)),Paths!$N$164,0),"n.a."))</f>
        <v>0</v>
      </c>
      <c r="L1738" s="16">
        <f>IF(NOT(Paths!$C$164=1),0,IF(Paths!$P$164="Complete",IF(C1738=10,Paths!$I$164,0),"n.a."))</f>
        <v>0</v>
      </c>
      <c r="M1738" s="16">
        <f>IF(NOT(Paths!$C$164=1),0,IF(Paths!$P$164="Complete",IF(AND(Paths!$D$164="EV",Paths!$E$164&lt;120,Paths!$E$164+'Operating costs'!$B$65&gt;Paths!$E$164,Paths!$E$164+'Operating costs'!$B$65&lt;=120,IF(Paths!$E$164+'Operating costs'!$B$65=0,C1738=0,AND(C1738&gt;0,Paths!$E$164+'Operating costs'!$B$65&gt;(C1738-1)*12,Paths!$E$164+'Operating costs'!$B$65&lt;=C1738*12))),'Operating costs'!$B$64,0)+IF(AND('Operating costs'!$B$67&gt;0,'Operating costs'!$B$67&lt;=120,OR(Paths!$D$164="ICE",'Operating costs'!$B$67&lt;=Paths!$E$164),IF('Operating costs'!$B$67=0,C1738=0,AND(C1738&gt;0,'Operating costs'!$B$67&gt;(C1738-1)*12,'Operating costs'!$B$67&lt;=C1738*12))),'Operating costs'!$B$66,0),"n.a."))</f>
        <v>0</v>
      </c>
      <c r="N1738" s="16">
        <f>IF(NOT(Paths!$C$164=1),0,IF(Paths!$P$164="Complete",SUM(G1738:I1738)-J1738-K1738-L1738+M1738+IF(C1738=0,Paths!$F$164,0)+IF(IF(Paths!$E$164=0,C1738=0,AND(C1738&gt;0,Paths!$E$164&gt;(C1738-1)*12,Paths!$E$164&lt;=C1738*12)),VLOOKUP(A1738,'Fleet register'!$A$7:$S$106,16,FALSE),0),"n.a."))</f>
        <v>0</v>
      </c>
      <c r="O1738" s="16">
        <f>IF(NOT(Paths!$C$164=1),0,IF(Paths!$P$164="Complete",N1738-IF(C1738=0,Paths!$F$164,0),"n.a."))</f>
        <v>0</v>
      </c>
      <c r="P1738" s="16">
        <f>IF(NOT(Paths!$C$164=1),0,IF(Paths!$P$164="Complete",O1738+L1738,"n.a."))</f>
        <v>0</v>
      </c>
      <c r="Q1738" s="16">
        <f>IF(NOT(Paths!$C$164=1),0,IF(Paths!$P$164="Complete",N1738*(1+'Operating costs'!$B$54)^-C1738,"n.a."))</f>
        <v>0</v>
      </c>
      <c r="R1738" s="16">
        <f>IF(NOT(Paths!$C$164=1),0,IF(Paths!$P$164="Complete",IF(AND(C1738=0,Paths!$E$164=0),I1738-J1738-K1738+VLOOKUP(A1738,'Fleet register'!$A$7:$S$106,15,FALSE)+VLOOKUP(A1738,'Fleet register'!$A$7:$S$106,16,FALSE),0),"n.a."))</f>
        <v>0</v>
      </c>
      <c r="S1738" s="1">
        <f>IF(NOT(Paths!$C$164=1),0,IF(Paths!$P$164="Complete",IF(C1738=0,0,Paths!$S$164*Paths!$R$164),"n.a."))</f>
        <v>0</v>
      </c>
      <c r="T1738" s="1">
        <f>IF(NOT(Paths!$C$164=1),0,IF(Paths!$P$164="Complete",IF(C1738=0,0,VLOOKUP(A1738,'Fleet register'!$A$7:$S$106,9,FALSE)*Paths!$R$164),"n.a."))</f>
        <v>0</v>
      </c>
    </row>
    <row r="1739" spans="1:20" ht="24" customHeight="1">
      <c r="A1739" s="1" t="str">
        <f>Paths!$A$164</f>
        <v>T040</v>
      </c>
      <c r="B1739" s="1">
        <f>Paths!$B$164</f>
        <v>1</v>
      </c>
      <c r="C1739" s="1">
        <v>5</v>
      </c>
      <c r="D1739" s="1">
        <v>164</v>
      </c>
      <c r="E1739" s="1">
        <f>IF(OR(Paths!$C$164=0,C1739=0),0,MAX(0,MIN(C1739*12,Paths!$E$164)-(C1739-1)*12))</f>
        <v>0</v>
      </c>
      <c r="F1739" s="1">
        <f>IF(OR(Paths!$C$164=0,C1739=0),0,12-E1739)</f>
        <v>0</v>
      </c>
      <c r="G1739" s="16">
        <f>IF(NOT(Paths!$C$164=1),0,IF(Paths!$P$164="Complete",E1739/12*(Paths!$J$164*(1+'Operating costs'!$B$51)^MAX(0,C1739-1)+Paths!$K$164*(1+'Operating costs'!$B$53)^MAX(0,C1739-1)),"n.a."))</f>
        <v>0</v>
      </c>
      <c r="H1739" s="16">
        <f>IF(NOT(Paths!$C$164=1),0,IF(Paths!$P$164="Complete",F1739/12*(Paths!$L$164*(1+IF(Paths!$D$164="EV",'Operating costs'!$B$52,'Operating costs'!$B$51))^MAX(0,C1739-1)+Paths!$M$164*(1+'Operating costs'!$B$53)^MAX(0,C1739-1)),"n.a."))</f>
        <v>0</v>
      </c>
      <c r="I1739" s="16">
        <f>IF(NOT(Paths!$C$164=1),0,IF(Paths!$P$164="Complete",IF(IF(Paths!$E$164=0,C1739=0,AND(C1739&gt;0,Paths!$E$164&gt;(C1739-1)*12,Paths!$E$164&lt;=C1739*12)),Paths!$G$164,0),"n.a."))</f>
        <v>0</v>
      </c>
      <c r="J1739" s="16">
        <f>IF(NOT(Paths!$C$164=1),0,IF(Paths!$P$164="Complete",IF(IF(Paths!$E$164=0,C1739=0,AND(C1739&gt;0,Paths!$E$164&gt;(C1739-1)*12,Paths!$E$164&lt;=C1739*12)),Paths!$H$164,0),"n.a."))</f>
        <v>0</v>
      </c>
      <c r="K1739" s="16">
        <f>IF(NOT(Paths!$C$164=1),0,IF(Paths!$P$164="Complete",IF(IF(Paths!$O$164=0,C1739=0,AND(C1739&gt;0,Paths!$O$164&gt;(C1739-1)*12,Paths!$O$164&lt;=C1739*12)),Paths!$N$164,0),"n.a."))</f>
        <v>0</v>
      </c>
      <c r="L1739" s="16">
        <f>IF(NOT(Paths!$C$164=1),0,IF(Paths!$P$164="Complete",IF(C1739=10,Paths!$I$164,0),"n.a."))</f>
        <v>0</v>
      </c>
      <c r="M1739" s="16">
        <f>IF(NOT(Paths!$C$164=1),0,IF(Paths!$P$164="Complete",IF(AND(Paths!$D$164="EV",Paths!$E$164&lt;120,Paths!$E$164+'Operating costs'!$B$65&gt;Paths!$E$164,Paths!$E$164+'Operating costs'!$B$65&lt;=120,IF(Paths!$E$164+'Operating costs'!$B$65=0,C1739=0,AND(C1739&gt;0,Paths!$E$164+'Operating costs'!$B$65&gt;(C1739-1)*12,Paths!$E$164+'Operating costs'!$B$65&lt;=C1739*12))),'Operating costs'!$B$64,0)+IF(AND('Operating costs'!$B$67&gt;0,'Operating costs'!$B$67&lt;=120,OR(Paths!$D$164="ICE",'Operating costs'!$B$67&lt;=Paths!$E$164),IF('Operating costs'!$B$67=0,C1739=0,AND(C1739&gt;0,'Operating costs'!$B$67&gt;(C1739-1)*12,'Operating costs'!$B$67&lt;=C1739*12))),'Operating costs'!$B$66,0),"n.a."))</f>
        <v>0</v>
      </c>
      <c r="N1739" s="16">
        <f>IF(NOT(Paths!$C$164=1),0,IF(Paths!$P$164="Complete",SUM(G1739:I1739)-J1739-K1739-L1739+M1739+IF(C1739=0,Paths!$F$164,0)+IF(IF(Paths!$E$164=0,C1739=0,AND(C1739&gt;0,Paths!$E$164&gt;(C1739-1)*12,Paths!$E$164&lt;=C1739*12)),VLOOKUP(A1739,'Fleet register'!$A$7:$S$106,16,FALSE),0),"n.a."))</f>
        <v>0</v>
      </c>
      <c r="O1739" s="16">
        <f>IF(NOT(Paths!$C$164=1),0,IF(Paths!$P$164="Complete",N1739-IF(C1739=0,Paths!$F$164,0),"n.a."))</f>
        <v>0</v>
      </c>
      <c r="P1739" s="16">
        <f>IF(NOT(Paths!$C$164=1),0,IF(Paths!$P$164="Complete",O1739+L1739,"n.a."))</f>
        <v>0</v>
      </c>
      <c r="Q1739" s="16">
        <f>IF(NOT(Paths!$C$164=1),0,IF(Paths!$P$164="Complete",N1739*(1+'Operating costs'!$B$54)^-C1739,"n.a."))</f>
        <v>0</v>
      </c>
      <c r="R1739" s="16">
        <f>IF(NOT(Paths!$C$164=1),0,IF(Paths!$P$164="Complete",IF(AND(C1739=0,Paths!$E$164=0),I1739-J1739-K1739+VLOOKUP(A1739,'Fleet register'!$A$7:$S$106,15,FALSE)+VLOOKUP(A1739,'Fleet register'!$A$7:$S$106,16,FALSE),0),"n.a."))</f>
        <v>0</v>
      </c>
      <c r="S1739" s="1">
        <f>IF(NOT(Paths!$C$164=1),0,IF(Paths!$P$164="Complete",IF(C1739=0,0,Paths!$S$164*Paths!$R$164),"n.a."))</f>
        <v>0</v>
      </c>
      <c r="T1739" s="1">
        <f>IF(NOT(Paths!$C$164=1),0,IF(Paths!$P$164="Complete",IF(C1739=0,0,VLOOKUP(A1739,'Fleet register'!$A$7:$S$106,9,FALSE)*Paths!$R$164),"n.a."))</f>
        <v>0</v>
      </c>
    </row>
    <row r="1740" spans="1:20" ht="24" customHeight="1">
      <c r="A1740" s="1" t="str">
        <f>Paths!$A$164</f>
        <v>T040</v>
      </c>
      <c r="B1740" s="1">
        <f>Paths!$B$164</f>
        <v>1</v>
      </c>
      <c r="C1740" s="1">
        <v>6</v>
      </c>
      <c r="D1740" s="1">
        <v>164</v>
      </c>
      <c r="E1740" s="1">
        <f>IF(OR(Paths!$C$164=0,C1740=0),0,MAX(0,MIN(C1740*12,Paths!$E$164)-(C1740-1)*12))</f>
        <v>0</v>
      </c>
      <c r="F1740" s="1">
        <f>IF(OR(Paths!$C$164=0,C1740=0),0,12-E1740)</f>
        <v>0</v>
      </c>
      <c r="G1740" s="16">
        <f>IF(NOT(Paths!$C$164=1),0,IF(Paths!$P$164="Complete",E1740/12*(Paths!$J$164*(1+'Operating costs'!$B$51)^MAX(0,C1740-1)+Paths!$K$164*(1+'Operating costs'!$B$53)^MAX(0,C1740-1)),"n.a."))</f>
        <v>0</v>
      </c>
      <c r="H1740" s="16">
        <f>IF(NOT(Paths!$C$164=1),0,IF(Paths!$P$164="Complete",F1740/12*(Paths!$L$164*(1+IF(Paths!$D$164="EV",'Operating costs'!$B$52,'Operating costs'!$B$51))^MAX(0,C1740-1)+Paths!$M$164*(1+'Operating costs'!$B$53)^MAX(0,C1740-1)),"n.a."))</f>
        <v>0</v>
      </c>
      <c r="I1740" s="16">
        <f>IF(NOT(Paths!$C$164=1),0,IF(Paths!$P$164="Complete",IF(IF(Paths!$E$164=0,C1740=0,AND(C1740&gt;0,Paths!$E$164&gt;(C1740-1)*12,Paths!$E$164&lt;=C1740*12)),Paths!$G$164,0),"n.a."))</f>
        <v>0</v>
      </c>
      <c r="J1740" s="16">
        <f>IF(NOT(Paths!$C$164=1),0,IF(Paths!$P$164="Complete",IF(IF(Paths!$E$164=0,C1740=0,AND(C1740&gt;0,Paths!$E$164&gt;(C1740-1)*12,Paths!$E$164&lt;=C1740*12)),Paths!$H$164,0),"n.a."))</f>
        <v>0</v>
      </c>
      <c r="K1740" s="16">
        <f>IF(NOT(Paths!$C$164=1),0,IF(Paths!$P$164="Complete",IF(IF(Paths!$O$164=0,C1740=0,AND(C1740&gt;0,Paths!$O$164&gt;(C1740-1)*12,Paths!$O$164&lt;=C1740*12)),Paths!$N$164,0),"n.a."))</f>
        <v>0</v>
      </c>
      <c r="L1740" s="16">
        <f>IF(NOT(Paths!$C$164=1),0,IF(Paths!$P$164="Complete",IF(C1740=10,Paths!$I$164,0),"n.a."))</f>
        <v>0</v>
      </c>
      <c r="M1740" s="16">
        <f>IF(NOT(Paths!$C$164=1),0,IF(Paths!$P$164="Complete",IF(AND(Paths!$D$164="EV",Paths!$E$164&lt;120,Paths!$E$164+'Operating costs'!$B$65&gt;Paths!$E$164,Paths!$E$164+'Operating costs'!$B$65&lt;=120,IF(Paths!$E$164+'Operating costs'!$B$65=0,C1740=0,AND(C1740&gt;0,Paths!$E$164+'Operating costs'!$B$65&gt;(C1740-1)*12,Paths!$E$164+'Operating costs'!$B$65&lt;=C1740*12))),'Operating costs'!$B$64,0)+IF(AND('Operating costs'!$B$67&gt;0,'Operating costs'!$B$67&lt;=120,OR(Paths!$D$164="ICE",'Operating costs'!$B$67&lt;=Paths!$E$164),IF('Operating costs'!$B$67=0,C1740=0,AND(C1740&gt;0,'Operating costs'!$B$67&gt;(C1740-1)*12,'Operating costs'!$B$67&lt;=C1740*12))),'Operating costs'!$B$66,0),"n.a."))</f>
        <v>0</v>
      </c>
      <c r="N1740" s="16">
        <f>IF(NOT(Paths!$C$164=1),0,IF(Paths!$P$164="Complete",SUM(G1740:I1740)-J1740-K1740-L1740+M1740+IF(C1740=0,Paths!$F$164,0)+IF(IF(Paths!$E$164=0,C1740=0,AND(C1740&gt;0,Paths!$E$164&gt;(C1740-1)*12,Paths!$E$164&lt;=C1740*12)),VLOOKUP(A1740,'Fleet register'!$A$7:$S$106,16,FALSE),0),"n.a."))</f>
        <v>0</v>
      </c>
      <c r="O1740" s="16">
        <f>IF(NOT(Paths!$C$164=1),0,IF(Paths!$P$164="Complete",N1740-IF(C1740=0,Paths!$F$164,0),"n.a."))</f>
        <v>0</v>
      </c>
      <c r="P1740" s="16">
        <f>IF(NOT(Paths!$C$164=1),0,IF(Paths!$P$164="Complete",O1740+L1740,"n.a."))</f>
        <v>0</v>
      </c>
      <c r="Q1740" s="16">
        <f>IF(NOT(Paths!$C$164=1),0,IF(Paths!$P$164="Complete",N1740*(1+'Operating costs'!$B$54)^-C1740,"n.a."))</f>
        <v>0</v>
      </c>
      <c r="R1740" s="16">
        <f>IF(NOT(Paths!$C$164=1),0,IF(Paths!$P$164="Complete",IF(AND(C1740=0,Paths!$E$164=0),I1740-J1740-K1740+VLOOKUP(A1740,'Fleet register'!$A$7:$S$106,15,FALSE)+VLOOKUP(A1740,'Fleet register'!$A$7:$S$106,16,FALSE),0),"n.a."))</f>
        <v>0</v>
      </c>
      <c r="S1740" s="1">
        <f>IF(NOT(Paths!$C$164=1),0,IF(Paths!$P$164="Complete",IF(C1740=0,0,Paths!$S$164*Paths!$R$164),"n.a."))</f>
        <v>0</v>
      </c>
      <c r="T1740" s="1">
        <f>IF(NOT(Paths!$C$164=1),0,IF(Paths!$P$164="Complete",IF(C1740=0,0,VLOOKUP(A1740,'Fleet register'!$A$7:$S$106,9,FALSE)*Paths!$R$164),"n.a."))</f>
        <v>0</v>
      </c>
    </row>
    <row r="1741" spans="1:20" ht="24" customHeight="1">
      <c r="A1741" s="1" t="str">
        <f>Paths!$A$164</f>
        <v>T040</v>
      </c>
      <c r="B1741" s="1">
        <f>Paths!$B$164</f>
        <v>1</v>
      </c>
      <c r="C1741" s="1">
        <v>7</v>
      </c>
      <c r="D1741" s="1">
        <v>164</v>
      </c>
      <c r="E1741" s="1">
        <f>IF(OR(Paths!$C$164=0,C1741=0),0,MAX(0,MIN(C1741*12,Paths!$E$164)-(C1741-1)*12))</f>
        <v>0</v>
      </c>
      <c r="F1741" s="1">
        <f>IF(OR(Paths!$C$164=0,C1741=0),0,12-E1741)</f>
        <v>0</v>
      </c>
      <c r="G1741" s="16">
        <f>IF(NOT(Paths!$C$164=1),0,IF(Paths!$P$164="Complete",E1741/12*(Paths!$J$164*(1+'Operating costs'!$B$51)^MAX(0,C1741-1)+Paths!$K$164*(1+'Operating costs'!$B$53)^MAX(0,C1741-1)),"n.a."))</f>
        <v>0</v>
      </c>
      <c r="H1741" s="16">
        <f>IF(NOT(Paths!$C$164=1),0,IF(Paths!$P$164="Complete",F1741/12*(Paths!$L$164*(1+IF(Paths!$D$164="EV",'Operating costs'!$B$52,'Operating costs'!$B$51))^MAX(0,C1741-1)+Paths!$M$164*(1+'Operating costs'!$B$53)^MAX(0,C1741-1)),"n.a."))</f>
        <v>0</v>
      </c>
      <c r="I1741" s="16">
        <f>IF(NOT(Paths!$C$164=1),0,IF(Paths!$P$164="Complete",IF(IF(Paths!$E$164=0,C1741=0,AND(C1741&gt;0,Paths!$E$164&gt;(C1741-1)*12,Paths!$E$164&lt;=C1741*12)),Paths!$G$164,0),"n.a."))</f>
        <v>0</v>
      </c>
      <c r="J1741" s="16">
        <f>IF(NOT(Paths!$C$164=1),0,IF(Paths!$P$164="Complete",IF(IF(Paths!$E$164=0,C1741=0,AND(C1741&gt;0,Paths!$E$164&gt;(C1741-1)*12,Paths!$E$164&lt;=C1741*12)),Paths!$H$164,0),"n.a."))</f>
        <v>0</v>
      </c>
      <c r="K1741" s="16">
        <f>IF(NOT(Paths!$C$164=1),0,IF(Paths!$P$164="Complete",IF(IF(Paths!$O$164=0,C1741=0,AND(C1741&gt;0,Paths!$O$164&gt;(C1741-1)*12,Paths!$O$164&lt;=C1741*12)),Paths!$N$164,0),"n.a."))</f>
        <v>0</v>
      </c>
      <c r="L1741" s="16">
        <f>IF(NOT(Paths!$C$164=1),0,IF(Paths!$P$164="Complete",IF(C1741=10,Paths!$I$164,0),"n.a."))</f>
        <v>0</v>
      </c>
      <c r="M1741" s="16">
        <f>IF(NOT(Paths!$C$164=1),0,IF(Paths!$P$164="Complete",IF(AND(Paths!$D$164="EV",Paths!$E$164&lt;120,Paths!$E$164+'Operating costs'!$B$65&gt;Paths!$E$164,Paths!$E$164+'Operating costs'!$B$65&lt;=120,IF(Paths!$E$164+'Operating costs'!$B$65=0,C1741=0,AND(C1741&gt;0,Paths!$E$164+'Operating costs'!$B$65&gt;(C1741-1)*12,Paths!$E$164+'Operating costs'!$B$65&lt;=C1741*12))),'Operating costs'!$B$64,0)+IF(AND('Operating costs'!$B$67&gt;0,'Operating costs'!$B$67&lt;=120,OR(Paths!$D$164="ICE",'Operating costs'!$B$67&lt;=Paths!$E$164),IF('Operating costs'!$B$67=0,C1741=0,AND(C1741&gt;0,'Operating costs'!$B$67&gt;(C1741-1)*12,'Operating costs'!$B$67&lt;=C1741*12))),'Operating costs'!$B$66,0),"n.a."))</f>
        <v>0</v>
      </c>
      <c r="N1741" s="16">
        <f>IF(NOT(Paths!$C$164=1),0,IF(Paths!$P$164="Complete",SUM(G1741:I1741)-J1741-K1741-L1741+M1741+IF(C1741=0,Paths!$F$164,0)+IF(IF(Paths!$E$164=0,C1741=0,AND(C1741&gt;0,Paths!$E$164&gt;(C1741-1)*12,Paths!$E$164&lt;=C1741*12)),VLOOKUP(A1741,'Fleet register'!$A$7:$S$106,16,FALSE),0),"n.a."))</f>
        <v>0</v>
      </c>
      <c r="O1741" s="16">
        <f>IF(NOT(Paths!$C$164=1),0,IF(Paths!$P$164="Complete",N1741-IF(C1741=0,Paths!$F$164,0),"n.a."))</f>
        <v>0</v>
      </c>
      <c r="P1741" s="16">
        <f>IF(NOT(Paths!$C$164=1),0,IF(Paths!$P$164="Complete",O1741+L1741,"n.a."))</f>
        <v>0</v>
      </c>
      <c r="Q1741" s="16">
        <f>IF(NOT(Paths!$C$164=1),0,IF(Paths!$P$164="Complete",N1741*(1+'Operating costs'!$B$54)^-C1741,"n.a."))</f>
        <v>0</v>
      </c>
      <c r="R1741" s="16">
        <f>IF(NOT(Paths!$C$164=1),0,IF(Paths!$P$164="Complete",IF(AND(C1741=0,Paths!$E$164=0),I1741-J1741-K1741+VLOOKUP(A1741,'Fleet register'!$A$7:$S$106,15,FALSE)+VLOOKUP(A1741,'Fleet register'!$A$7:$S$106,16,FALSE),0),"n.a."))</f>
        <v>0</v>
      </c>
      <c r="S1741" s="1">
        <f>IF(NOT(Paths!$C$164=1),0,IF(Paths!$P$164="Complete",IF(C1741=0,0,Paths!$S$164*Paths!$R$164),"n.a."))</f>
        <v>0</v>
      </c>
      <c r="T1741" s="1">
        <f>IF(NOT(Paths!$C$164=1),0,IF(Paths!$P$164="Complete",IF(C1741=0,0,VLOOKUP(A1741,'Fleet register'!$A$7:$S$106,9,FALSE)*Paths!$R$164),"n.a."))</f>
        <v>0</v>
      </c>
    </row>
    <row r="1742" spans="1:20" ht="24" customHeight="1">
      <c r="A1742" s="1" t="str">
        <f>Paths!$A$164</f>
        <v>T040</v>
      </c>
      <c r="B1742" s="1">
        <f>Paths!$B$164</f>
        <v>1</v>
      </c>
      <c r="C1742" s="1">
        <v>8</v>
      </c>
      <c r="D1742" s="1">
        <v>164</v>
      </c>
      <c r="E1742" s="1">
        <f>IF(OR(Paths!$C$164=0,C1742=0),0,MAX(0,MIN(C1742*12,Paths!$E$164)-(C1742-1)*12))</f>
        <v>0</v>
      </c>
      <c r="F1742" s="1">
        <f>IF(OR(Paths!$C$164=0,C1742=0),0,12-E1742)</f>
        <v>0</v>
      </c>
      <c r="G1742" s="16">
        <f>IF(NOT(Paths!$C$164=1),0,IF(Paths!$P$164="Complete",E1742/12*(Paths!$J$164*(1+'Operating costs'!$B$51)^MAX(0,C1742-1)+Paths!$K$164*(1+'Operating costs'!$B$53)^MAX(0,C1742-1)),"n.a."))</f>
        <v>0</v>
      </c>
      <c r="H1742" s="16">
        <f>IF(NOT(Paths!$C$164=1),0,IF(Paths!$P$164="Complete",F1742/12*(Paths!$L$164*(1+IF(Paths!$D$164="EV",'Operating costs'!$B$52,'Operating costs'!$B$51))^MAX(0,C1742-1)+Paths!$M$164*(1+'Operating costs'!$B$53)^MAX(0,C1742-1)),"n.a."))</f>
        <v>0</v>
      </c>
      <c r="I1742" s="16">
        <f>IF(NOT(Paths!$C$164=1),0,IF(Paths!$P$164="Complete",IF(IF(Paths!$E$164=0,C1742=0,AND(C1742&gt;0,Paths!$E$164&gt;(C1742-1)*12,Paths!$E$164&lt;=C1742*12)),Paths!$G$164,0),"n.a."))</f>
        <v>0</v>
      </c>
      <c r="J1742" s="16">
        <f>IF(NOT(Paths!$C$164=1),0,IF(Paths!$P$164="Complete",IF(IF(Paths!$E$164=0,C1742=0,AND(C1742&gt;0,Paths!$E$164&gt;(C1742-1)*12,Paths!$E$164&lt;=C1742*12)),Paths!$H$164,0),"n.a."))</f>
        <v>0</v>
      </c>
      <c r="K1742" s="16">
        <f>IF(NOT(Paths!$C$164=1),0,IF(Paths!$P$164="Complete",IF(IF(Paths!$O$164=0,C1742=0,AND(C1742&gt;0,Paths!$O$164&gt;(C1742-1)*12,Paths!$O$164&lt;=C1742*12)),Paths!$N$164,0),"n.a."))</f>
        <v>0</v>
      </c>
      <c r="L1742" s="16">
        <f>IF(NOT(Paths!$C$164=1),0,IF(Paths!$P$164="Complete",IF(C1742=10,Paths!$I$164,0),"n.a."))</f>
        <v>0</v>
      </c>
      <c r="M1742" s="16">
        <f>IF(NOT(Paths!$C$164=1),0,IF(Paths!$P$164="Complete",IF(AND(Paths!$D$164="EV",Paths!$E$164&lt;120,Paths!$E$164+'Operating costs'!$B$65&gt;Paths!$E$164,Paths!$E$164+'Operating costs'!$B$65&lt;=120,IF(Paths!$E$164+'Operating costs'!$B$65=0,C1742=0,AND(C1742&gt;0,Paths!$E$164+'Operating costs'!$B$65&gt;(C1742-1)*12,Paths!$E$164+'Operating costs'!$B$65&lt;=C1742*12))),'Operating costs'!$B$64,0)+IF(AND('Operating costs'!$B$67&gt;0,'Operating costs'!$B$67&lt;=120,OR(Paths!$D$164="ICE",'Operating costs'!$B$67&lt;=Paths!$E$164),IF('Operating costs'!$B$67=0,C1742=0,AND(C1742&gt;0,'Operating costs'!$B$67&gt;(C1742-1)*12,'Operating costs'!$B$67&lt;=C1742*12))),'Operating costs'!$B$66,0),"n.a."))</f>
        <v>0</v>
      </c>
      <c r="N1742" s="16">
        <f>IF(NOT(Paths!$C$164=1),0,IF(Paths!$P$164="Complete",SUM(G1742:I1742)-J1742-K1742-L1742+M1742+IF(C1742=0,Paths!$F$164,0)+IF(IF(Paths!$E$164=0,C1742=0,AND(C1742&gt;0,Paths!$E$164&gt;(C1742-1)*12,Paths!$E$164&lt;=C1742*12)),VLOOKUP(A1742,'Fleet register'!$A$7:$S$106,16,FALSE),0),"n.a."))</f>
        <v>0</v>
      </c>
      <c r="O1742" s="16">
        <f>IF(NOT(Paths!$C$164=1),0,IF(Paths!$P$164="Complete",N1742-IF(C1742=0,Paths!$F$164,0),"n.a."))</f>
        <v>0</v>
      </c>
      <c r="P1742" s="16">
        <f>IF(NOT(Paths!$C$164=1),0,IF(Paths!$P$164="Complete",O1742+L1742,"n.a."))</f>
        <v>0</v>
      </c>
      <c r="Q1742" s="16">
        <f>IF(NOT(Paths!$C$164=1),0,IF(Paths!$P$164="Complete",N1742*(1+'Operating costs'!$B$54)^-C1742,"n.a."))</f>
        <v>0</v>
      </c>
      <c r="R1742" s="16">
        <f>IF(NOT(Paths!$C$164=1),0,IF(Paths!$P$164="Complete",IF(AND(C1742=0,Paths!$E$164=0),I1742-J1742-K1742+VLOOKUP(A1742,'Fleet register'!$A$7:$S$106,15,FALSE)+VLOOKUP(A1742,'Fleet register'!$A$7:$S$106,16,FALSE),0),"n.a."))</f>
        <v>0</v>
      </c>
      <c r="S1742" s="1">
        <f>IF(NOT(Paths!$C$164=1),0,IF(Paths!$P$164="Complete",IF(C1742=0,0,Paths!$S$164*Paths!$R$164),"n.a."))</f>
        <v>0</v>
      </c>
      <c r="T1742" s="1">
        <f>IF(NOT(Paths!$C$164=1),0,IF(Paths!$P$164="Complete",IF(C1742=0,0,VLOOKUP(A1742,'Fleet register'!$A$7:$S$106,9,FALSE)*Paths!$R$164),"n.a."))</f>
        <v>0</v>
      </c>
    </row>
    <row r="1743" spans="1:20" ht="24" customHeight="1">
      <c r="A1743" s="1" t="str">
        <f>Paths!$A$164</f>
        <v>T040</v>
      </c>
      <c r="B1743" s="1">
        <f>Paths!$B$164</f>
        <v>1</v>
      </c>
      <c r="C1743" s="1">
        <v>9</v>
      </c>
      <c r="D1743" s="1">
        <v>164</v>
      </c>
      <c r="E1743" s="1">
        <f>IF(OR(Paths!$C$164=0,C1743=0),0,MAX(0,MIN(C1743*12,Paths!$E$164)-(C1743-1)*12))</f>
        <v>0</v>
      </c>
      <c r="F1743" s="1">
        <f>IF(OR(Paths!$C$164=0,C1743=0),0,12-E1743)</f>
        <v>0</v>
      </c>
      <c r="G1743" s="16">
        <f>IF(NOT(Paths!$C$164=1),0,IF(Paths!$P$164="Complete",E1743/12*(Paths!$J$164*(1+'Operating costs'!$B$51)^MAX(0,C1743-1)+Paths!$K$164*(1+'Operating costs'!$B$53)^MAX(0,C1743-1)),"n.a."))</f>
        <v>0</v>
      </c>
      <c r="H1743" s="16">
        <f>IF(NOT(Paths!$C$164=1),0,IF(Paths!$P$164="Complete",F1743/12*(Paths!$L$164*(1+IF(Paths!$D$164="EV",'Operating costs'!$B$52,'Operating costs'!$B$51))^MAX(0,C1743-1)+Paths!$M$164*(1+'Operating costs'!$B$53)^MAX(0,C1743-1)),"n.a."))</f>
        <v>0</v>
      </c>
      <c r="I1743" s="16">
        <f>IF(NOT(Paths!$C$164=1),0,IF(Paths!$P$164="Complete",IF(IF(Paths!$E$164=0,C1743=0,AND(C1743&gt;0,Paths!$E$164&gt;(C1743-1)*12,Paths!$E$164&lt;=C1743*12)),Paths!$G$164,0),"n.a."))</f>
        <v>0</v>
      </c>
      <c r="J1743" s="16">
        <f>IF(NOT(Paths!$C$164=1),0,IF(Paths!$P$164="Complete",IF(IF(Paths!$E$164=0,C1743=0,AND(C1743&gt;0,Paths!$E$164&gt;(C1743-1)*12,Paths!$E$164&lt;=C1743*12)),Paths!$H$164,0),"n.a."))</f>
        <v>0</v>
      </c>
      <c r="K1743" s="16">
        <f>IF(NOT(Paths!$C$164=1),0,IF(Paths!$P$164="Complete",IF(IF(Paths!$O$164=0,C1743=0,AND(C1743&gt;0,Paths!$O$164&gt;(C1743-1)*12,Paths!$O$164&lt;=C1743*12)),Paths!$N$164,0),"n.a."))</f>
        <v>0</v>
      </c>
      <c r="L1743" s="16">
        <f>IF(NOT(Paths!$C$164=1),0,IF(Paths!$P$164="Complete",IF(C1743=10,Paths!$I$164,0),"n.a."))</f>
        <v>0</v>
      </c>
      <c r="M1743" s="16">
        <f>IF(NOT(Paths!$C$164=1),0,IF(Paths!$P$164="Complete",IF(AND(Paths!$D$164="EV",Paths!$E$164&lt;120,Paths!$E$164+'Operating costs'!$B$65&gt;Paths!$E$164,Paths!$E$164+'Operating costs'!$B$65&lt;=120,IF(Paths!$E$164+'Operating costs'!$B$65=0,C1743=0,AND(C1743&gt;0,Paths!$E$164+'Operating costs'!$B$65&gt;(C1743-1)*12,Paths!$E$164+'Operating costs'!$B$65&lt;=C1743*12))),'Operating costs'!$B$64,0)+IF(AND('Operating costs'!$B$67&gt;0,'Operating costs'!$B$67&lt;=120,OR(Paths!$D$164="ICE",'Operating costs'!$B$67&lt;=Paths!$E$164),IF('Operating costs'!$B$67=0,C1743=0,AND(C1743&gt;0,'Operating costs'!$B$67&gt;(C1743-1)*12,'Operating costs'!$B$67&lt;=C1743*12))),'Operating costs'!$B$66,0),"n.a."))</f>
        <v>0</v>
      </c>
      <c r="N1743" s="16">
        <f>IF(NOT(Paths!$C$164=1),0,IF(Paths!$P$164="Complete",SUM(G1743:I1743)-J1743-K1743-L1743+M1743+IF(C1743=0,Paths!$F$164,0)+IF(IF(Paths!$E$164=0,C1743=0,AND(C1743&gt;0,Paths!$E$164&gt;(C1743-1)*12,Paths!$E$164&lt;=C1743*12)),VLOOKUP(A1743,'Fleet register'!$A$7:$S$106,16,FALSE),0),"n.a."))</f>
        <v>0</v>
      </c>
      <c r="O1743" s="16">
        <f>IF(NOT(Paths!$C$164=1),0,IF(Paths!$P$164="Complete",N1743-IF(C1743=0,Paths!$F$164,0),"n.a."))</f>
        <v>0</v>
      </c>
      <c r="P1743" s="16">
        <f>IF(NOT(Paths!$C$164=1),0,IF(Paths!$P$164="Complete",O1743+L1743,"n.a."))</f>
        <v>0</v>
      </c>
      <c r="Q1743" s="16">
        <f>IF(NOT(Paths!$C$164=1),0,IF(Paths!$P$164="Complete",N1743*(1+'Operating costs'!$B$54)^-C1743,"n.a."))</f>
        <v>0</v>
      </c>
      <c r="R1743" s="16">
        <f>IF(NOT(Paths!$C$164=1),0,IF(Paths!$P$164="Complete",IF(AND(C1743=0,Paths!$E$164=0),I1743-J1743-K1743+VLOOKUP(A1743,'Fleet register'!$A$7:$S$106,15,FALSE)+VLOOKUP(A1743,'Fleet register'!$A$7:$S$106,16,FALSE),0),"n.a."))</f>
        <v>0</v>
      </c>
      <c r="S1743" s="1">
        <f>IF(NOT(Paths!$C$164=1),0,IF(Paths!$P$164="Complete",IF(C1743=0,0,Paths!$S$164*Paths!$R$164),"n.a."))</f>
        <v>0</v>
      </c>
      <c r="T1743" s="1">
        <f>IF(NOT(Paths!$C$164=1),0,IF(Paths!$P$164="Complete",IF(C1743=0,0,VLOOKUP(A1743,'Fleet register'!$A$7:$S$106,9,FALSE)*Paths!$R$164),"n.a."))</f>
        <v>0</v>
      </c>
    </row>
    <row r="1744" spans="1:20" ht="24" customHeight="1">
      <c r="A1744" s="1" t="str">
        <f>Paths!$A$164</f>
        <v>T040</v>
      </c>
      <c r="B1744" s="1">
        <f>Paths!$B$164</f>
        <v>1</v>
      </c>
      <c r="C1744" s="1">
        <v>10</v>
      </c>
      <c r="D1744" s="1">
        <v>164</v>
      </c>
      <c r="E1744" s="1">
        <f>IF(OR(Paths!$C$164=0,C1744=0),0,MAX(0,MIN(C1744*12,Paths!$E$164)-(C1744-1)*12))</f>
        <v>0</v>
      </c>
      <c r="F1744" s="1">
        <f>IF(OR(Paths!$C$164=0,C1744=0),0,12-E1744)</f>
        <v>0</v>
      </c>
      <c r="G1744" s="16">
        <f>IF(NOT(Paths!$C$164=1),0,IF(Paths!$P$164="Complete",E1744/12*(Paths!$J$164*(1+'Operating costs'!$B$51)^MAX(0,C1744-1)+Paths!$K$164*(1+'Operating costs'!$B$53)^MAX(0,C1744-1)),"n.a."))</f>
        <v>0</v>
      </c>
      <c r="H1744" s="16">
        <f>IF(NOT(Paths!$C$164=1),0,IF(Paths!$P$164="Complete",F1744/12*(Paths!$L$164*(1+IF(Paths!$D$164="EV",'Operating costs'!$B$52,'Operating costs'!$B$51))^MAX(0,C1744-1)+Paths!$M$164*(1+'Operating costs'!$B$53)^MAX(0,C1744-1)),"n.a."))</f>
        <v>0</v>
      </c>
      <c r="I1744" s="16">
        <f>IF(NOT(Paths!$C$164=1),0,IF(Paths!$P$164="Complete",IF(IF(Paths!$E$164=0,C1744=0,AND(C1744&gt;0,Paths!$E$164&gt;(C1744-1)*12,Paths!$E$164&lt;=C1744*12)),Paths!$G$164,0),"n.a."))</f>
        <v>0</v>
      </c>
      <c r="J1744" s="16">
        <f>IF(NOT(Paths!$C$164=1),0,IF(Paths!$P$164="Complete",IF(IF(Paths!$E$164=0,C1744=0,AND(C1744&gt;0,Paths!$E$164&gt;(C1744-1)*12,Paths!$E$164&lt;=C1744*12)),Paths!$H$164,0),"n.a."))</f>
        <v>0</v>
      </c>
      <c r="K1744" s="16">
        <f>IF(NOT(Paths!$C$164=1),0,IF(Paths!$P$164="Complete",IF(IF(Paths!$O$164=0,C1744=0,AND(C1744&gt;0,Paths!$O$164&gt;(C1744-1)*12,Paths!$O$164&lt;=C1744*12)),Paths!$N$164,0),"n.a."))</f>
        <v>0</v>
      </c>
      <c r="L1744" s="16">
        <f>IF(NOT(Paths!$C$164=1),0,IF(Paths!$P$164="Complete",IF(C1744=10,Paths!$I$164,0),"n.a."))</f>
        <v>0</v>
      </c>
      <c r="M1744" s="16">
        <f>IF(NOT(Paths!$C$164=1),0,IF(Paths!$P$164="Complete",IF(AND(Paths!$D$164="EV",Paths!$E$164&lt;120,Paths!$E$164+'Operating costs'!$B$65&gt;Paths!$E$164,Paths!$E$164+'Operating costs'!$B$65&lt;=120,IF(Paths!$E$164+'Operating costs'!$B$65=0,C1744=0,AND(C1744&gt;0,Paths!$E$164+'Operating costs'!$B$65&gt;(C1744-1)*12,Paths!$E$164+'Operating costs'!$B$65&lt;=C1744*12))),'Operating costs'!$B$64,0)+IF(AND('Operating costs'!$B$67&gt;0,'Operating costs'!$B$67&lt;=120,OR(Paths!$D$164="ICE",'Operating costs'!$B$67&lt;=Paths!$E$164),IF('Operating costs'!$B$67=0,C1744=0,AND(C1744&gt;0,'Operating costs'!$B$67&gt;(C1744-1)*12,'Operating costs'!$B$67&lt;=C1744*12))),'Operating costs'!$B$66,0),"n.a."))</f>
        <v>0</v>
      </c>
      <c r="N1744" s="16">
        <f>IF(NOT(Paths!$C$164=1),0,IF(Paths!$P$164="Complete",SUM(G1744:I1744)-J1744-K1744-L1744+M1744+IF(C1744=0,Paths!$F$164,0)+IF(IF(Paths!$E$164=0,C1744=0,AND(C1744&gt;0,Paths!$E$164&gt;(C1744-1)*12,Paths!$E$164&lt;=C1744*12)),VLOOKUP(A1744,'Fleet register'!$A$7:$S$106,16,FALSE),0),"n.a."))</f>
        <v>0</v>
      </c>
      <c r="O1744" s="16">
        <f>IF(NOT(Paths!$C$164=1),0,IF(Paths!$P$164="Complete",N1744-IF(C1744=0,Paths!$F$164,0),"n.a."))</f>
        <v>0</v>
      </c>
      <c r="P1744" s="16">
        <f>IF(NOT(Paths!$C$164=1),0,IF(Paths!$P$164="Complete",O1744+L1744,"n.a."))</f>
        <v>0</v>
      </c>
      <c r="Q1744" s="16">
        <f>IF(NOT(Paths!$C$164=1),0,IF(Paths!$P$164="Complete",N1744*(1+'Operating costs'!$B$54)^-C1744,"n.a."))</f>
        <v>0</v>
      </c>
      <c r="R1744" s="16">
        <f>IF(NOT(Paths!$C$164=1),0,IF(Paths!$P$164="Complete",IF(AND(C1744=0,Paths!$E$164=0),I1744-J1744-K1744+VLOOKUP(A1744,'Fleet register'!$A$7:$S$106,15,FALSE)+VLOOKUP(A1744,'Fleet register'!$A$7:$S$106,16,FALSE),0),"n.a."))</f>
        <v>0</v>
      </c>
      <c r="S1744" s="1">
        <f>IF(NOT(Paths!$C$164=1),0,IF(Paths!$P$164="Complete",IF(C1744=0,0,Paths!$S$164*Paths!$R$164),"n.a."))</f>
        <v>0</v>
      </c>
      <c r="T1744" s="1">
        <f>IF(NOT(Paths!$C$164=1),0,IF(Paths!$P$164="Complete",IF(C1744=0,0,VLOOKUP(A1744,'Fleet register'!$A$7:$S$106,9,FALSE)*Paths!$R$164),"n.a."))</f>
        <v>0</v>
      </c>
    </row>
    <row r="1745" spans="1:20" ht="24" customHeight="1">
      <c r="A1745" s="1" t="str">
        <f>Paths!$A$165</f>
        <v>T040</v>
      </c>
      <c r="B1745" s="1">
        <f>Paths!$B$165</f>
        <v>2</v>
      </c>
      <c r="C1745" s="1">
        <v>0</v>
      </c>
      <c r="D1745" s="1">
        <v>165</v>
      </c>
      <c r="E1745" s="1">
        <f>IF(OR(Paths!$C$165=0,C1745=0),0,MAX(0,MIN(C1745*12,Paths!$E$165)-(C1745-1)*12))</f>
        <v>0</v>
      </c>
      <c r="F1745" s="1">
        <f>IF(OR(Paths!$C$165=0,C1745=0),0,12-E1745)</f>
        <v>0</v>
      </c>
      <c r="G1745" s="16">
        <f>IF(NOT(Paths!$C$165=1),0,IF(Paths!$P$165="Complete",E1745/12*(Paths!$J$165*(1+'Operating costs'!$B$51)^MAX(0,C1745-1)+Paths!$K$165*(1+'Operating costs'!$B$53)^MAX(0,C1745-1)),"n.a."))</f>
        <v>0</v>
      </c>
      <c r="H1745" s="16">
        <f>IF(NOT(Paths!$C$165=1),0,IF(Paths!$P$165="Complete",F1745/12*(Paths!$L$165*(1+IF(Paths!$D$165="EV",'Operating costs'!$B$52,'Operating costs'!$B$51))^MAX(0,C1745-1)+Paths!$M$165*(1+'Operating costs'!$B$53)^MAX(0,C1745-1)),"n.a."))</f>
        <v>0</v>
      </c>
      <c r="I1745" s="16">
        <f>IF(NOT(Paths!$C$165=1),0,IF(Paths!$P$165="Complete",IF(IF(Paths!$E$165=0,C1745=0,AND(C1745&gt;0,Paths!$E$165&gt;(C1745-1)*12,Paths!$E$165&lt;=C1745*12)),Paths!$G$165,0),"n.a."))</f>
        <v>0</v>
      </c>
      <c r="J1745" s="16">
        <f>IF(NOT(Paths!$C$165=1),0,IF(Paths!$P$165="Complete",IF(IF(Paths!$E$165=0,C1745=0,AND(C1745&gt;0,Paths!$E$165&gt;(C1745-1)*12,Paths!$E$165&lt;=C1745*12)),Paths!$H$165,0),"n.a."))</f>
        <v>0</v>
      </c>
      <c r="K1745" s="16">
        <f>IF(NOT(Paths!$C$165=1),0,IF(Paths!$P$165="Complete",IF(IF(Paths!$O$165=0,C1745=0,AND(C1745&gt;0,Paths!$O$165&gt;(C1745-1)*12,Paths!$O$165&lt;=C1745*12)),Paths!$N$165,0),"n.a."))</f>
        <v>0</v>
      </c>
      <c r="L1745" s="16">
        <f>IF(NOT(Paths!$C$165=1),0,IF(Paths!$P$165="Complete",IF(C1745=10,Paths!$I$165,0),"n.a."))</f>
        <v>0</v>
      </c>
      <c r="M1745" s="16">
        <f>IF(NOT(Paths!$C$165=1),0,IF(Paths!$P$165="Complete",IF(AND(Paths!$D$165="EV",Paths!$E$165&lt;120,Paths!$E$165+'Operating costs'!$B$65&gt;Paths!$E$165,Paths!$E$165+'Operating costs'!$B$65&lt;=120,IF(Paths!$E$165+'Operating costs'!$B$65=0,C1745=0,AND(C1745&gt;0,Paths!$E$165+'Operating costs'!$B$65&gt;(C1745-1)*12,Paths!$E$165+'Operating costs'!$B$65&lt;=C1745*12))),'Operating costs'!$B$64,0)+IF(AND('Operating costs'!$B$67&gt;0,'Operating costs'!$B$67&lt;=120,OR(Paths!$D$165="ICE",'Operating costs'!$B$67&lt;=Paths!$E$165),IF('Operating costs'!$B$67=0,C1745=0,AND(C1745&gt;0,'Operating costs'!$B$67&gt;(C1745-1)*12,'Operating costs'!$B$67&lt;=C1745*12))),'Operating costs'!$B$66,0),"n.a."))</f>
        <v>0</v>
      </c>
      <c r="N1745" s="16">
        <f>IF(NOT(Paths!$C$165=1),0,IF(Paths!$P$165="Complete",SUM(G1745:I1745)-J1745-K1745-L1745+M1745+IF(C1745=0,Paths!$F$165,0)+IF(IF(Paths!$E$165=0,C1745=0,AND(C1745&gt;0,Paths!$E$165&gt;(C1745-1)*12,Paths!$E$165&lt;=C1745*12)),VLOOKUP(A1745,'Fleet register'!$A$7:$S$106,16,FALSE),0),"n.a."))</f>
        <v>0</v>
      </c>
      <c r="O1745" s="16">
        <f>IF(NOT(Paths!$C$165=1),0,IF(Paths!$P$165="Complete",N1745-IF(C1745=0,Paths!$F$165,0),"n.a."))</f>
        <v>0</v>
      </c>
      <c r="P1745" s="16">
        <f>IF(NOT(Paths!$C$165=1),0,IF(Paths!$P$165="Complete",O1745+L1745,"n.a."))</f>
        <v>0</v>
      </c>
      <c r="Q1745" s="16">
        <f>IF(NOT(Paths!$C$165=1),0,IF(Paths!$P$165="Complete",N1745*(1+'Operating costs'!$B$54)^-C1745,"n.a."))</f>
        <v>0</v>
      </c>
      <c r="R1745" s="16">
        <f>IF(NOT(Paths!$C$165=1),0,IF(Paths!$P$165="Complete",IF(AND(C1745=0,Paths!$E$165=0),I1745-J1745-K1745+VLOOKUP(A1745,'Fleet register'!$A$7:$S$106,15,FALSE)+VLOOKUP(A1745,'Fleet register'!$A$7:$S$106,16,FALSE),0),"n.a."))</f>
        <v>0</v>
      </c>
      <c r="S1745" s="1">
        <f>IF(NOT(Paths!$C$165=1),0,IF(Paths!$P$165="Complete",IF(C1745=0,0,Paths!$S$165*Paths!$R$165),"n.a."))</f>
        <v>0</v>
      </c>
      <c r="T1745" s="1">
        <f>IF(NOT(Paths!$C$165=1),0,IF(Paths!$P$165="Complete",IF(C1745=0,0,VLOOKUP(A1745,'Fleet register'!$A$7:$S$106,9,FALSE)*Paths!$R$165),"n.a."))</f>
        <v>0</v>
      </c>
    </row>
    <row r="1746" spans="1:20" ht="24" customHeight="1">
      <c r="A1746" s="1" t="str">
        <f>Paths!$A$165</f>
        <v>T040</v>
      </c>
      <c r="B1746" s="1">
        <f>Paths!$B$165</f>
        <v>2</v>
      </c>
      <c r="C1746" s="1">
        <v>1</v>
      </c>
      <c r="D1746" s="1">
        <v>165</v>
      </c>
      <c r="E1746" s="1">
        <f>IF(OR(Paths!$C$165=0,C1746=0),0,MAX(0,MIN(C1746*12,Paths!$E$165)-(C1746-1)*12))</f>
        <v>0</v>
      </c>
      <c r="F1746" s="1">
        <f>IF(OR(Paths!$C$165=0,C1746=0),0,12-E1746)</f>
        <v>0</v>
      </c>
      <c r="G1746" s="16">
        <f>IF(NOT(Paths!$C$165=1),0,IF(Paths!$P$165="Complete",E1746/12*(Paths!$J$165*(1+'Operating costs'!$B$51)^MAX(0,C1746-1)+Paths!$K$165*(1+'Operating costs'!$B$53)^MAX(0,C1746-1)),"n.a."))</f>
        <v>0</v>
      </c>
      <c r="H1746" s="16">
        <f>IF(NOT(Paths!$C$165=1),0,IF(Paths!$P$165="Complete",F1746/12*(Paths!$L$165*(1+IF(Paths!$D$165="EV",'Operating costs'!$B$52,'Operating costs'!$B$51))^MAX(0,C1746-1)+Paths!$M$165*(1+'Operating costs'!$B$53)^MAX(0,C1746-1)),"n.a."))</f>
        <v>0</v>
      </c>
      <c r="I1746" s="16">
        <f>IF(NOT(Paths!$C$165=1),0,IF(Paths!$P$165="Complete",IF(IF(Paths!$E$165=0,C1746=0,AND(C1746&gt;0,Paths!$E$165&gt;(C1746-1)*12,Paths!$E$165&lt;=C1746*12)),Paths!$G$165,0),"n.a."))</f>
        <v>0</v>
      </c>
      <c r="J1746" s="16">
        <f>IF(NOT(Paths!$C$165=1),0,IF(Paths!$P$165="Complete",IF(IF(Paths!$E$165=0,C1746=0,AND(C1746&gt;0,Paths!$E$165&gt;(C1746-1)*12,Paths!$E$165&lt;=C1746*12)),Paths!$H$165,0),"n.a."))</f>
        <v>0</v>
      </c>
      <c r="K1746" s="16">
        <f>IF(NOT(Paths!$C$165=1),0,IF(Paths!$P$165="Complete",IF(IF(Paths!$O$165=0,C1746=0,AND(C1746&gt;0,Paths!$O$165&gt;(C1746-1)*12,Paths!$O$165&lt;=C1746*12)),Paths!$N$165,0),"n.a."))</f>
        <v>0</v>
      </c>
      <c r="L1746" s="16">
        <f>IF(NOT(Paths!$C$165=1),0,IF(Paths!$P$165="Complete",IF(C1746=10,Paths!$I$165,0),"n.a."))</f>
        <v>0</v>
      </c>
      <c r="M1746" s="16">
        <f>IF(NOT(Paths!$C$165=1),0,IF(Paths!$P$165="Complete",IF(AND(Paths!$D$165="EV",Paths!$E$165&lt;120,Paths!$E$165+'Operating costs'!$B$65&gt;Paths!$E$165,Paths!$E$165+'Operating costs'!$B$65&lt;=120,IF(Paths!$E$165+'Operating costs'!$B$65=0,C1746=0,AND(C1746&gt;0,Paths!$E$165+'Operating costs'!$B$65&gt;(C1746-1)*12,Paths!$E$165+'Operating costs'!$B$65&lt;=C1746*12))),'Operating costs'!$B$64,0)+IF(AND('Operating costs'!$B$67&gt;0,'Operating costs'!$B$67&lt;=120,OR(Paths!$D$165="ICE",'Operating costs'!$B$67&lt;=Paths!$E$165),IF('Operating costs'!$B$67=0,C1746=0,AND(C1746&gt;0,'Operating costs'!$B$67&gt;(C1746-1)*12,'Operating costs'!$B$67&lt;=C1746*12))),'Operating costs'!$B$66,0),"n.a."))</f>
        <v>0</v>
      </c>
      <c r="N1746" s="16">
        <f>IF(NOT(Paths!$C$165=1),0,IF(Paths!$P$165="Complete",SUM(G1746:I1746)-J1746-K1746-L1746+M1746+IF(C1746=0,Paths!$F$165,0)+IF(IF(Paths!$E$165=0,C1746=0,AND(C1746&gt;0,Paths!$E$165&gt;(C1746-1)*12,Paths!$E$165&lt;=C1746*12)),VLOOKUP(A1746,'Fleet register'!$A$7:$S$106,16,FALSE),0),"n.a."))</f>
        <v>0</v>
      </c>
      <c r="O1746" s="16">
        <f>IF(NOT(Paths!$C$165=1),0,IF(Paths!$P$165="Complete",N1746-IF(C1746=0,Paths!$F$165,0),"n.a."))</f>
        <v>0</v>
      </c>
      <c r="P1746" s="16">
        <f>IF(NOT(Paths!$C$165=1),0,IF(Paths!$P$165="Complete",O1746+L1746,"n.a."))</f>
        <v>0</v>
      </c>
      <c r="Q1746" s="16">
        <f>IF(NOT(Paths!$C$165=1),0,IF(Paths!$P$165="Complete",N1746*(1+'Operating costs'!$B$54)^-C1746,"n.a."))</f>
        <v>0</v>
      </c>
      <c r="R1746" s="16">
        <f>IF(NOT(Paths!$C$165=1),0,IF(Paths!$P$165="Complete",IF(AND(C1746=0,Paths!$E$165=0),I1746-J1746-K1746+VLOOKUP(A1746,'Fleet register'!$A$7:$S$106,15,FALSE)+VLOOKUP(A1746,'Fleet register'!$A$7:$S$106,16,FALSE),0),"n.a."))</f>
        <v>0</v>
      </c>
      <c r="S1746" s="1">
        <f>IF(NOT(Paths!$C$165=1),0,IF(Paths!$P$165="Complete",IF(C1746=0,0,Paths!$S$165*Paths!$R$165),"n.a."))</f>
        <v>0</v>
      </c>
      <c r="T1746" s="1">
        <f>IF(NOT(Paths!$C$165=1),0,IF(Paths!$P$165="Complete",IF(C1746=0,0,VLOOKUP(A1746,'Fleet register'!$A$7:$S$106,9,FALSE)*Paths!$R$165),"n.a."))</f>
        <v>0</v>
      </c>
    </row>
    <row r="1747" spans="1:20" ht="24" customHeight="1">
      <c r="A1747" s="1" t="str">
        <f>Paths!$A$165</f>
        <v>T040</v>
      </c>
      <c r="B1747" s="1">
        <f>Paths!$B$165</f>
        <v>2</v>
      </c>
      <c r="C1747" s="1">
        <v>2</v>
      </c>
      <c r="D1747" s="1">
        <v>165</v>
      </c>
      <c r="E1747" s="1">
        <f>IF(OR(Paths!$C$165=0,C1747=0),0,MAX(0,MIN(C1747*12,Paths!$E$165)-(C1747-1)*12))</f>
        <v>0</v>
      </c>
      <c r="F1747" s="1">
        <f>IF(OR(Paths!$C$165=0,C1747=0),0,12-E1747)</f>
        <v>0</v>
      </c>
      <c r="G1747" s="16">
        <f>IF(NOT(Paths!$C$165=1),0,IF(Paths!$P$165="Complete",E1747/12*(Paths!$J$165*(1+'Operating costs'!$B$51)^MAX(0,C1747-1)+Paths!$K$165*(1+'Operating costs'!$B$53)^MAX(0,C1747-1)),"n.a."))</f>
        <v>0</v>
      </c>
      <c r="H1747" s="16">
        <f>IF(NOT(Paths!$C$165=1),0,IF(Paths!$P$165="Complete",F1747/12*(Paths!$L$165*(1+IF(Paths!$D$165="EV",'Operating costs'!$B$52,'Operating costs'!$B$51))^MAX(0,C1747-1)+Paths!$M$165*(1+'Operating costs'!$B$53)^MAX(0,C1747-1)),"n.a."))</f>
        <v>0</v>
      </c>
      <c r="I1747" s="16">
        <f>IF(NOT(Paths!$C$165=1),0,IF(Paths!$P$165="Complete",IF(IF(Paths!$E$165=0,C1747=0,AND(C1747&gt;0,Paths!$E$165&gt;(C1747-1)*12,Paths!$E$165&lt;=C1747*12)),Paths!$G$165,0),"n.a."))</f>
        <v>0</v>
      </c>
      <c r="J1747" s="16">
        <f>IF(NOT(Paths!$C$165=1),0,IF(Paths!$P$165="Complete",IF(IF(Paths!$E$165=0,C1747=0,AND(C1747&gt;0,Paths!$E$165&gt;(C1747-1)*12,Paths!$E$165&lt;=C1747*12)),Paths!$H$165,0),"n.a."))</f>
        <v>0</v>
      </c>
      <c r="K1747" s="16">
        <f>IF(NOT(Paths!$C$165=1),0,IF(Paths!$P$165="Complete",IF(IF(Paths!$O$165=0,C1747=0,AND(C1747&gt;0,Paths!$O$165&gt;(C1747-1)*12,Paths!$O$165&lt;=C1747*12)),Paths!$N$165,0),"n.a."))</f>
        <v>0</v>
      </c>
      <c r="L1747" s="16">
        <f>IF(NOT(Paths!$C$165=1),0,IF(Paths!$P$165="Complete",IF(C1747=10,Paths!$I$165,0),"n.a."))</f>
        <v>0</v>
      </c>
      <c r="M1747" s="16">
        <f>IF(NOT(Paths!$C$165=1),0,IF(Paths!$P$165="Complete",IF(AND(Paths!$D$165="EV",Paths!$E$165&lt;120,Paths!$E$165+'Operating costs'!$B$65&gt;Paths!$E$165,Paths!$E$165+'Operating costs'!$B$65&lt;=120,IF(Paths!$E$165+'Operating costs'!$B$65=0,C1747=0,AND(C1747&gt;0,Paths!$E$165+'Operating costs'!$B$65&gt;(C1747-1)*12,Paths!$E$165+'Operating costs'!$B$65&lt;=C1747*12))),'Operating costs'!$B$64,0)+IF(AND('Operating costs'!$B$67&gt;0,'Operating costs'!$B$67&lt;=120,OR(Paths!$D$165="ICE",'Operating costs'!$B$67&lt;=Paths!$E$165),IF('Operating costs'!$B$67=0,C1747=0,AND(C1747&gt;0,'Operating costs'!$B$67&gt;(C1747-1)*12,'Operating costs'!$B$67&lt;=C1747*12))),'Operating costs'!$B$66,0),"n.a."))</f>
        <v>0</v>
      </c>
      <c r="N1747" s="16">
        <f>IF(NOT(Paths!$C$165=1),0,IF(Paths!$P$165="Complete",SUM(G1747:I1747)-J1747-K1747-L1747+M1747+IF(C1747=0,Paths!$F$165,0)+IF(IF(Paths!$E$165=0,C1747=0,AND(C1747&gt;0,Paths!$E$165&gt;(C1747-1)*12,Paths!$E$165&lt;=C1747*12)),VLOOKUP(A1747,'Fleet register'!$A$7:$S$106,16,FALSE),0),"n.a."))</f>
        <v>0</v>
      </c>
      <c r="O1747" s="16">
        <f>IF(NOT(Paths!$C$165=1),0,IF(Paths!$P$165="Complete",N1747-IF(C1747=0,Paths!$F$165,0),"n.a."))</f>
        <v>0</v>
      </c>
      <c r="P1747" s="16">
        <f>IF(NOT(Paths!$C$165=1),0,IF(Paths!$P$165="Complete",O1747+L1747,"n.a."))</f>
        <v>0</v>
      </c>
      <c r="Q1747" s="16">
        <f>IF(NOT(Paths!$C$165=1),0,IF(Paths!$P$165="Complete",N1747*(1+'Operating costs'!$B$54)^-C1747,"n.a."))</f>
        <v>0</v>
      </c>
      <c r="R1747" s="16">
        <f>IF(NOT(Paths!$C$165=1),0,IF(Paths!$P$165="Complete",IF(AND(C1747=0,Paths!$E$165=0),I1747-J1747-K1747+VLOOKUP(A1747,'Fleet register'!$A$7:$S$106,15,FALSE)+VLOOKUP(A1747,'Fleet register'!$A$7:$S$106,16,FALSE),0),"n.a."))</f>
        <v>0</v>
      </c>
      <c r="S1747" s="1">
        <f>IF(NOT(Paths!$C$165=1),0,IF(Paths!$P$165="Complete",IF(C1747=0,0,Paths!$S$165*Paths!$R$165),"n.a."))</f>
        <v>0</v>
      </c>
      <c r="T1747" s="1">
        <f>IF(NOT(Paths!$C$165=1),0,IF(Paths!$P$165="Complete",IF(C1747=0,0,VLOOKUP(A1747,'Fleet register'!$A$7:$S$106,9,FALSE)*Paths!$R$165),"n.a."))</f>
        <v>0</v>
      </c>
    </row>
    <row r="1748" spans="1:20" ht="24" customHeight="1">
      <c r="A1748" s="1" t="str">
        <f>Paths!$A$165</f>
        <v>T040</v>
      </c>
      <c r="B1748" s="1">
        <f>Paths!$B$165</f>
        <v>2</v>
      </c>
      <c r="C1748" s="1">
        <v>3</v>
      </c>
      <c r="D1748" s="1">
        <v>165</v>
      </c>
      <c r="E1748" s="1">
        <f>IF(OR(Paths!$C$165=0,C1748=0),0,MAX(0,MIN(C1748*12,Paths!$E$165)-(C1748-1)*12))</f>
        <v>0</v>
      </c>
      <c r="F1748" s="1">
        <f>IF(OR(Paths!$C$165=0,C1748=0),0,12-E1748)</f>
        <v>0</v>
      </c>
      <c r="G1748" s="16">
        <f>IF(NOT(Paths!$C$165=1),0,IF(Paths!$P$165="Complete",E1748/12*(Paths!$J$165*(1+'Operating costs'!$B$51)^MAX(0,C1748-1)+Paths!$K$165*(1+'Operating costs'!$B$53)^MAX(0,C1748-1)),"n.a."))</f>
        <v>0</v>
      </c>
      <c r="H1748" s="16">
        <f>IF(NOT(Paths!$C$165=1),0,IF(Paths!$P$165="Complete",F1748/12*(Paths!$L$165*(1+IF(Paths!$D$165="EV",'Operating costs'!$B$52,'Operating costs'!$B$51))^MAX(0,C1748-1)+Paths!$M$165*(1+'Operating costs'!$B$53)^MAX(0,C1748-1)),"n.a."))</f>
        <v>0</v>
      </c>
      <c r="I1748" s="16">
        <f>IF(NOT(Paths!$C$165=1),0,IF(Paths!$P$165="Complete",IF(IF(Paths!$E$165=0,C1748=0,AND(C1748&gt;0,Paths!$E$165&gt;(C1748-1)*12,Paths!$E$165&lt;=C1748*12)),Paths!$G$165,0),"n.a."))</f>
        <v>0</v>
      </c>
      <c r="J1748" s="16">
        <f>IF(NOT(Paths!$C$165=1),0,IF(Paths!$P$165="Complete",IF(IF(Paths!$E$165=0,C1748=0,AND(C1748&gt;0,Paths!$E$165&gt;(C1748-1)*12,Paths!$E$165&lt;=C1748*12)),Paths!$H$165,0),"n.a."))</f>
        <v>0</v>
      </c>
      <c r="K1748" s="16">
        <f>IF(NOT(Paths!$C$165=1),0,IF(Paths!$P$165="Complete",IF(IF(Paths!$O$165=0,C1748=0,AND(C1748&gt;0,Paths!$O$165&gt;(C1748-1)*12,Paths!$O$165&lt;=C1748*12)),Paths!$N$165,0),"n.a."))</f>
        <v>0</v>
      </c>
      <c r="L1748" s="16">
        <f>IF(NOT(Paths!$C$165=1),0,IF(Paths!$P$165="Complete",IF(C1748=10,Paths!$I$165,0),"n.a."))</f>
        <v>0</v>
      </c>
      <c r="M1748" s="16">
        <f>IF(NOT(Paths!$C$165=1),0,IF(Paths!$P$165="Complete",IF(AND(Paths!$D$165="EV",Paths!$E$165&lt;120,Paths!$E$165+'Operating costs'!$B$65&gt;Paths!$E$165,Paths!$E$165+'Operating costs'!$B$65&lt;=120,IF(Paths!$E$165+'Operating costs'!$B$65=0,C1748=0,AND(C1748&gt;0,Paths!$E$165+'Operating costs'!$B$65&gt;(C1748-1)*12,Paths!$E$165+'Operating costs'!$B$65&lt;=C1748*12))),'Operating costs'!$B$64,0)+IF(AND('Operating costs'!$B$67&gt;0,'Operating costs'!$B$67&lt;=120,OR(Paths!$D$165="ICE",'Operating costs'!$B$67&lt;=Paths!$E$165),IF('Operating costs'!$B$67=0,C1748=0,AND(C1748&gt;0,'Operating costs'!$B$67&gt;(C1748-1)*12,'Operating costs'!$B$67&lt;=C1748*12))),'Operating costs'!$B$66,0),"n.a."))</f>
        <v>0</v>
      </c>
      <c r="N1748" s="16">
        <f>IF(NOT(Paths!$C$165=1),0,IF(Paths!$P$165="Complete",SUM(G1748:I1748)-J1748-K1748-L1748+M1748+IF(C1748=0,Paths!$F$165,0)+IF(IF(Paths!$E$165=0,C1748=0,AND(C1748&gt;0,Paths!$E$165&gt;(C1748-1)*12,Paths!$E$165&lt;=C1748*12)),VLOOKUP(A1748,'Fleet register'!$A$7:$S$106,16,FALSE),0),"n.a."))</f>
        <v>0</v>
      </c>
      <c r="O1748" s="16">
        <f>IF(NOT(Paths!$C$165=1),0,IF(Paths!$P$165="Complete",N1748-IF(C1748=0,Paths!$F$165,0),"n.a."))</f>
        <v>0</v>
      </c>
      <c r="P1748" s="16">
        <f>IF(NOT(Paths!$C$165=1),0,IF(Paths!$P$165="Complete",O1748+L1748,"n.a."))</f>
        <v>0</v>
      </c>
      <c r="Q1748" s="16">
        <f>IF(NOT(Paths!$C$165=1),0,IF(Paths!$P$165="Complete",N1748*(1+'Operating costs'!$B$54)^-C1748,"n.a."))</f>
        <v>0</v>
      </c>
      <c r="R1748" s="16">
        <f>IF(NOT(Paths!$C$165=1),0,IF(Paths!$P$165="Complete",IF(AND(C1748=0,Paths!$E$165=0),I1748-J1748-K1748+VLOOKUP(A1748,'Fleet register'!$A$7:$S$106,15,FALSE)+VLOOKUP(A1748,'Fleet register'!$A$7:$S$106,16,FALSE),0),"n.a."))</f>
        <v>0</v>
      </c>
      <c r="S1748" s="1">
        <f>IF(NOT(Paths!$C$165=1),0,IF(Paths!$P$165="Complete",IF(C1748=0,0,Paths!$S$165*Paths!$R$165),"n.a."))</f>
        <v>0</v>
      </c>
      <c r="T1748" s="1">
        <f>IF(NOT(Paths!$C$165=1),0,IF(Paths!$P$165="Complete",IF(C1748=0,0,VLOOKUP(A1748,'Fleet register'!$A$7:$S$106,9,FALSE)*Paths!$R$165),"n.a."))</f>
        <v>0</v>
      </c>
    </row>
    <row r="1749" spans="1:20" ht="24" customHeight="1">
      <c r="A1749" s="1" t="str">
        <f>Paths!$A$165</f>
        <v>T040</v>
      </c>
      <c r="B1749" s="1">
        <f>Paths!$B$165</f>
        <v>2</v>
      </c>
      <c r="C1749" s="1">
        <v>4</v>
      </c>
      <c r="D1749" s="1">
        <v>165</v>
      </c>
      <c r="E1749" s="1">
        <f>IF(OR(Paths!$C$165=0,C1749=0),0,MAX(0,MIN(C1749*12,Paths!$E$165)-(C1749-1)*12))</f>
        <v>0</v>
      </c>
      <c r="F1749" s="1">
        <f>IF(OR(Paths!$C$165=0,C1749=0),0,12-E1749)</f>
        <v>0</v>
      </c>
      <c r="G1749" s="16">
        <f>IF(NOT(Paths!$C$165=1),0,IF(Paths!$P$165="Complete",E1749/12*(Paths!$J$165*(1+'Operating costs'!$B$51)^MAX(0,C1749-1)+Paths!$K$165*(1+'Operating costs'!$B$53)^MAX(0,C1749-1)),"n.a."))</f>
        <v>0</v>
      </c>
      <c r="H1749" s="16">
        <f>IF(NOT(Paths!$C$165=1),0,IF(Paths!$P$165="Complete",F1749/12*(Paths!$L$165*(1+IF(Paths!$D$165="EV",'Operating costs'!$B$52,'Operating costs'!$B$51))^MAX(0,C1749-1)+Paths!$M$165*(1+'Operating costs'!$B$53)^MAX(0,C1749-1)),"n.a."))</f>
        <v>0</v>
      </c>
      <c r="I1749" s="16">
        <f>IF(NOT(Paths!$C$165=1),0,IF(Paths!$P$165="Complete",IF(IF(Paths!$E$165=0,C1749=0,AND(C1749&gt;0,Paths!$E$165&gt;(C1749-1)*12,Paths!$E$165&lt;=C1749*12)),Paths!$G$165,0),"n.a."))</f>
        <v>0</v>
      </c>
      <c r="J1749" s="16">
        <f>IF(NOT(Paths!$C$165=1),0,IF(Paths!$P$165="Complete",IF(IF(Paths!$E$165=0,C1749=0,AND(C1749&gt;0,Paths!$E$165&gt;(C1749-1)*12,Paths!$E$165&lt;=C1749*12)),Paths!$H$165,0),"n.a."))</f>
        <v>0</v>
      </c>
      <c r="K1749" s="16">
        <f>IF(NOT(Paths!$C$165=1),0,IF(Paths!$P$165="Complete",IF(IF(Paths!$O$165=0,C1749=0,AND(C1749&gt;0,Paths!$O$165&gt;(C1749-1)*12,Paths!$O$165&lt;=C1749*12)),Paths!$N$165,0),"n.a."))</f>
        <v>0</v>
      </c>
      <c r="L1749" s="16">
        <f>IF(NOT(Paths!$C$165=1),0,IF(Paths!$P$165="Complete",IF(C1749=10,Paths!$I$165,0),"n.a."))</f>
        <v>0</v>
      </c>
      <c r="M1749" s="16">
        <f>IF(NOT(Paths!$C$165=1),0,IF(Paths!$P$165="Complete",IF(AND(Paths!$D$165="EV",Paths!$E$165&lt;120,Paths!$E$165+'Operating costs'!$B$65&gt;Paths!$E$165,Paths!$E$165+'Operating costs'!$B$65&lt;=120,IF(Paths!$E$165+'Operating costs'!$B$65=0,C1749=0,AND(C1749&gt;0,Paths!$E$165+'Operating costs'!$B$65&gt;(C1749-1)*12,Paths!$E$165+'Operating costs'!$B$65&lt;=C1749*12))),'Operating costs'!$B$64,0)+IF(AND('Operating costs'!$B$67&gt;0,'Operating costs'!$B$67&lt;=120,OR(Paths!$D$165="ICE",'Operating costs'!$B$67&lt;=Paths!$E$165),IF('Operating costs'!$B$67=0,C1749=0,AND(C1749&gt;0,'Operating costs'!$B$67&gt;(C1749-1)*12,'Operating costs'!$B$67&lt;=C1749*12))),'Operating costs'!$B$66,0),"n.a."))</f>
        <v>0</v>
      </c>
      <c r="N1749" s="16">
        <f>IF(NOT(Paths!$C$165=1),0,IF(Paths!$P$165="Complete",SUM(G1749:I1749)-J1749-K1749-L1749+M1749+IF(C1749=0,Paths!$F$165,0)+IF(IF(Paths!$E$165=0,C1749=0,AND(C1749&gt;0,Paths!$E$165&gt;(C1749-1)*12,Paths!$E$165&lt;=C1749*12)),VLOOKUP(A1749,'Fleet register'!$A$7:$S$106,16,FALSE),0),"n.a."))</f>
        <v>0</v>
      </c>
      <c r="O1749" s="16">
        <f>IF(NOT(Paths!$C$165=1),0,IF(Paths!$P$165="Complete",N1749-IF(C1749=0,Paths!$F$165,0),"n.a."))</f>
        <v>0</v>
      </c>
      <c r="P1749" s="16">
        <f>IF(NOT(Paths!$C$165=1),0,IF(Paths!$P$165="Complete",O1749+L1749,"n.a."))</f>
        <v>0</v>
      </c>
      <c r="Q1749" s="16">
        <f>IF(NOT(Paths!$C$165=1),0,IF(Paths!$P$165="Complete",N1749*(1+'Operating costs'!$B$54)^-C1749,"n.a."))</f>
        <v>0</v>
      </c>
      <c r="R1749" s="16">
        <f>IF(NOT(Paths!$C$165=1),0,IF(Paths!$P$165="Complete",IF(AND(C1749=0,Paths!$E$165=0),I1749-J1749-K1749+VLOOKUP(A1749,'Fleet register'!$A$7:$S$106,15,FALSE)+VLOOKUP(A1749,'Fleet register'!$A$7:$S$106,16,FALSE),0),"n.a."))</f>
        <v>0</v>
      </c>
      <c r="S1749" s="1">
        <f>IF(NOT(Paths!$C$165=1),0,IF(Paths!$P$165="Complete",IF(C1749=0,0,Paths!$S$165*Paths!$R$165),"n.a."))</f>
        <v>0</v>
      </c>
      <c r="T1749" s="1">
        <f>IF(NOT(Paths!$C$165=1),0,IF(Paths!$P$165="Complete",IF(C1749=0,0,VLOOKUP(A1749,'Fleet register'!$A$7:$S$106,9,FALSE)*Paths!$R$165),"n.a."))</f>
        <v>0</v>
      </c>
    </row>
    <row r="1750" spans="1:20" ht="24" customHeight="1">
      <c r="A1750" s="1" t="str">
        <f>Paths!$A$165</f>
        <v>T040</v>
      </c>
      <c r="B1750" s="1">
        <f>Paths!$B$165</f>
        <v>2</v>
      </c>
      <c r="C1750" s="1">
        <v>5</v>
      </c>
      <c r="D1750" s="1">
        <v>165</v>
      </c>
      <c r="E1750" s="1">
        <f>IF(OR(Paths!$C$165=0,C1750=0),0,MAX(0,MIN(C1750*12,Paths!$E$165)-(C1750-1)*12))</f>
        <v>0</v>
      </c>
      <c r="F1750" s="1">
        <f>IF(OR(Paths!$C$165=0,C1750=0),0,12-E1750)</f>
        <v>0</v>
      </c>
      <c r="G1750" s="16">
        <f>IF(NOT(Paths!$C$165=1),0,IF(Paths!$P$165="Complete",E1750/12*(Paths!$J$165*(1+'Operating costs'!$B$51)^MAX(0,C1750-1)+Paths!$K$165*(1+'Operating costs'!$B$53)^MAX(0,C1750-1)),"n.a."))</f>
        <v>0</v>
      </c>
      <c r="H1750" s="16">
        <f>IF(NOT(Paths!$C$165=1),0,IF(Paths!$P$165="Complete",F1750/12*(Paths!$L$165*(1+IF(Paths!$D$165="EV",'Operating costs'!$B$52,'Operating costs'!$B$51))^MAX(0,C1750-1)+Paths!$M$165*(1+'Operating costs'!$B$53)^MAX(0,C1750-1)),"n.a."))</f>
        <v>0</v>
      </c>
      <c r="I1750" s="16">
        <f>IF(NOT(Paths!$C$165=1),0,IF(Paths!$P$165="Complete",IF(IF(Paths!$E$165=0,C1750=0,AND(C1750&gt;0,Paths!$E$165&gt;(C1750-1)*12,Paths!$E$165&lt;=C1750*12)),Paths!$G$165,0),"n.a."))</f>
        <v>0</v>
      </c>
      <c r="J1750" s="16">
        <f>IF(NOT(Paths!$C$165=1),0,IF(Paths!$P$165="Complete",IF(IF(Paths!$E$165=0,C1750=0,AND(C1750&gt;0,Paths!$E$165&gt;(C1750-1)*12,Paths!$E$165&lt;=C1750*12)),Paths!$H$165,0),"n.a."))</f>
        <v>0</v>
      </c>
      <c r="K1750" s="16">
        <f>IF(NOT(Paths!$C$165=1),0,IF(Paths!$P$165="Complete",IF(IF(Paths!$O$165=0,C1750=0,AND(C1750&gt;0,Paths!$O$165&gt;(C1750-1)*12,Paths!$O$165&lt;=C1750*12)),Paths!$N$165,0),"n.a."))</f>
        <v>0</v>
      </c>
      <c r="L1750" s="16">
        <f>IF(NOT(Paths!$C$165=1),0,IF(Paths!$P$165="Complete",IF(C1750=10,Paths!$I$165,0),"n.a."))</f>
        <v>0</v>
      </c>
      <c r="M1750" s="16">
        <f>IF(NOT(Paths!$C$165=1),0,IF(Paths!$P$165="Complete",IF(AND(Paths!$D$165="EV",Paths!$E$165&lt;120,Paths!$E$165+'Operating costs'!$B$65&gt;Paths!$E$165,Paths!$E$165+'Operating costs'!$B$65&lt;=120,IF(Paths!$E$165+'Operating costs'!$B$65=0,C1750=0,AND(C1750&gt;0,Paths!$E$165+'Operating costs'!$B$65&gt;(C1750-1)*12,Paths!$E$165+'Operating costs'!$B$65&lt;=C1750*12))),'Operating costs'!$B$64,0)+IF(AND('Operating costs'!$B$67&gt;0,'Operating costs'!$B$67&lt;=120,OR(Paths!$D$165="ICE",'Operating costs'!$B$67&lt;=Paths!$E$165),IF('Operating costs'!$B$67=0,C1750=0,AND(C1750&gt;0,'Operating costs'!$B$67&gt;(C1750-1)*12,'Operating costs'!$B$67&lt;=C1750*12))),'Operating costs'!$B$66,0),"n.a."))</f>
        <v>0</v>
      </c>
      <c r="N1750" s="16">
        <f>IF(NOT(Paths!$C$165=1),0,IF(Paths!$P$165="Complete",SUM(G1750:I1750)-J1750-K1750-L1750+M1750+IF(C1750=0,Paths!$F$165,0)+IF(IF(Paths!$E$165=0,C1750=0,AND(C1750&gt;0,Paths!$E$165&gt;(C1750-1)*12,Paths!$E$165&lt;=C1750*12)),VLOOKUP(A1750,'Fleet register'!$A$7:$S$106,16,FALSE),0),"n.a."))</f>
        <v>0</v>
      </c>
      <c r="O1750" s="16">
        <f>IF(NOT(Paths!$C$165=1),0,IF(Paths!$P$165="Complete",N1750-IF(C1750=0,Paths!$F$165,0),"n.a."))</f>
        <v>0</v>
      </c>
      <c r="P1750" s="16">
        <f>IF(NOT(Paths!$C$165=1),0,IF(Paths!$P$165="Complete",O1750+L1750,"n.a."))</f>
        <v>0</v>
      </c>
      <c r="Q1750" s="16">
        <f>IF(NOT(Paths!$C$165=1),0,IF(Paths!$P$165="Complete",N1750*(1+'Operating costs'!$B$54)^-C1750,"n.a."))</f>
        <v>0</v>
      </c>
      <c r="R1750" s="16">
        <f>IF(NOT(Paths!$C$165=1),0,IF(Paths!$P$165="Complete",IF(AND(C1750=0,Paths!$E$165=0),I1750-J1750-K1750+VLOOKUP(A1750,'Fleet register'!$A$7:$S$106,15,FALSE)+VLOOKUP(A1750,'Fleet register'!$A$7:$S$106,16,FALSE),0),"n.a."))</f>
        <v>0</v>
      </c>
      <c r="S1750" s="1">
        <f>IF(NOT(Paths!$C$165=1),0,IF(Paths!$P$165="Complete",IF(C1750=0,0,Paths!$S$165*Paths!$R$165),"n.a."))</f>
        <v>0</v>
      </c>
      <c r="T1750" s="1">
        <f>IF(NOT(Paths!$C$165=1),0,IF(Paths!$P$165="Complete",IF(C1750=0,0,VLOOKUP(A1750,'Fleet register'!$A$7:$S$106,9,FALSE)*Paths!$R$165),"n.a."))</f>
        <v>0</v>
      </c>
    </row>
    <row r="1751" spans="1:20" ht="24" customHeight="1">
      <c r="A1751" s="1" t="str">
        <f>Paths!$A$165</f>
        <v>T040</v>
      </c>
      <c r="B1751" s="1">
        <f>Paths!$B$165</f>
        <v>2</v>
      </c>
      <c r="C1751" s="1">
        <v>6</v>
      </c>
      <c r="D1751" s="1">
        <v>165</v>
      </c>
      <c r="E1751" s="1">
        <f>IF(OR(Paths!$C$165=0,C1751=0),0,MAX(0,MIN(C1751*12,Paths!$E$165)-(C1751-1)*12))</f>
        <v>0</v>
      </c>
      <c r="F1751" s="1">
        <f>IF(OR(Paths!$C$165=0,C1751=0),0,12-E1751)</f>
        <v>0</v>
      </c>
      <c r="G1751" s="16">
        <f>IF(NOT(Paths!$C$165=1),0,IF(Paths!$P$165="Complete",E1751/12*(Paths!$J$165*(1+'Operating costs'!$B$51)^MAX(0,C1751-1)+Paths!$K$165*(1+'Operating costs'!$B$53)^MAX(0,C1751-1)),"n.a."))</f>
        <v>0</v>
      </c>
      <c r="H1751" s="16">
        <f>IF(NOT(Paths!$C$165=1),0,IF(Paths!$P$165="Complete",F1751/12*(Paths!$L$165*(1+IF(Paths!$D$165="EV",'Operating costs'!$B$52,'Operating costs'!$B$51))^MAX(0,C1751-1)+Paths!$M$165*(1+'Operating costs'!$B$53)^MAX(0,C1751-1)),"n.a."))</f>
        <v>0</v>
      </c>
      <c r="I1751" s="16">
        <f>IF(NOT(Paths!$C$165=1),0,IF(Paths!$P$165="Complete",IF(IF(Paths!$E$165=0,C1751=0,AND(C1751&gt;0,Paths!$E$165&gt;(C1751-1)*12,Paths!$E$165&lt;=C1751*12)),Paths!$G$165,0),"n.a."))</f>
        <v>0</v>
      </c>
      <c r="J1751" s="16">
        <f>IF(NOT(Paths!$C$165=1),0,IF(Paths!$P$165="Complete",IF(IF(Paths!$E$165=0,C1751=0,AND(C1751&gt;0,Paths!$E$165&gt;(C1751-1)*12,Paths!$E$165&lt;=C1751*12)),Paths!$H$165,0),"n.a."))</f>
        <v>0</v>
      </c>
      <c r="K1751" s="16">
        <f>IF(NOT(Paths!$C$165=1),0,IF(Paths!$P$165="Complete",IF(IF(Paths!$O$165=0,C1751=0,AND(C1751&gt;0,Paths!$O$165&gt;(C1751-1)*12,Paths!$O$165&lt;=C1751*12)),Paths!$N$165,0),"n.a."))</f>
        <v>0</v>
      </c>
      <c r="L1751" s="16">
        <f>IF(NOT(Paths!$C$165=1),0,IF(Paths!$P$165="Complete",IF(C1751=10,Paths!$I$165,0),"n.a."))</f>
        <v>0</v>
      </c>
      <c r="M1751" s="16">
        <f>IF(NOT(Paths!$C$165=1),0,IF(Paths!$P$165="Complete",IF(AND(Paths!$D$165="EV",Paths!$E$165&lt;120,Paths!$E$165+'Operating costs'!$B$65&gt;Paths!$E$165,Paths!$E$165+'Operating costs'!$B$65&lt;=120,IF(Paths!$E$165+'Operating costs'!$B$65=0,C1751=0,AND(C1751&gt;0,Paths!$E$165+'Operating costs'!$B$65&gt;(C1751-1)*12,Paths!$E$165+'Operating costs'!$B$65&lt;=C1751*12))),'Operating costs'!$B$64,0)+IF(AND('Operating costs'!$B$67&gt;0,'Operating costs'!$B$67&lt;=120,OR(Paths!$D$165="ICE",'Operating costs'!$B$67&lt;=Paths!$E$165),IF('Operating costs'!$B$67=0,C1751=0,AND(C1751&gt;0,'Operating costs'!$B$67&gt;(C1751-1)*12,'Operating costs'!$B$67&lt;=C1751*12))),'Operating costs'!$B$66,0),"n.a."))</f>
        <v>0</v>
      </c>
      <c r="N1751" s="16">
        <f>IF(NOT(Paths!$C$165=1),0,IF(Paths!$P$165="Complete",SUM(G1751:I1751)-J1751-K1751-L1751+M1751+IF(C1751=0,Paths!$F$165,0)+IF(IF(Paths!$E$165=0,C1751=0,AND(C1751&gt;0,Paths!$E$165&gt;(C1751-1)*12,Paths!$E$165&lt;=C1751*12)),VLOOKUP(A1751,'Fleet register'!$A$7:$S$106,16,FALSE),0),"n.a."))</f>
        <v>0</v>
      </c>
      <c r="O1751" s="16">
        <f>IF(NOT(Paths!$C$165=1),0,IF(Paths!$P$165="Complete",N1751-IF(C1751=0,Paths!$F$165,0),"n.a."))</f>
        <v>0</v>
      </c>
      <c r="P1751" s="16">
        <f>IF(NOT(Paths!$C$165=1),0,IF(Paths!$P$165="Complete",O1751+L1751,"n.a."))</f>
        <v>0</v>
      </c>
      <c r="Q1751" s="16">
        <f>IF(NOT(Paths!$C$165=1),0,IF(Paths!$P$165="Complete",N1751*(1+'Operating costs'!$B$54)^-C1751,"n.a."))</f>
        <v>0</v>
      </c>
      <c r="R1751" s="16">
        <f>IF(NOT(Paths!$C$165=1),0,IF(Paths!$P$165="Complete",IF(AND(C1751=0,Paths!$E$165=0),I1751-J1751-K1751+VLOOKUP(A1751,'Fleet register'!$A$7:$S$106,15,FALSE)+VLOOKUP(A1751,'Fleet register'!$A$7:$S$106,16,FALSE),0),"n.a."))</f>
        <v>0</v>
      </c>
      <c r="S1751" s="1">
        <f>IF(NOT(Paths!$C$165=1),0,IF(Paths!$P$165="Complete",IF(C1751=0,0,Paths!$S$165*Paths!$R$165),"n.a."))</f>
        <v>0</v>
      </c>
      <c r="T1751" s="1">
        <f>IF(NOT(Paths!$C$165=1),0,IF(Paths!$P$165="Complete",IF(C1751=0,0,VLOOKUP(A1751,'Fleet register'!$A$7:$S$106,9,FALSE)*Paths!$R$165),"n.a."))</f>
        <v>0</v>
      </c>
    </row>
    <row r="1752" spans="1:20" ht="24" customHeight="1">
      <c r="A1752" s="1" t="str">
        <f>Paths!$A$165</f>
        <v>T040</v>
      </c>
      <c r="B1752" s="1">
        <f>Paths!$B$165</f>
        <v>2</v>
      </c>
      <c r="C1752" s="1">
        <v>7</v>
      </c>
      <c r="D1752" s="1">
        <v>165</v>
      </c>
      <c r="E1752" s="1">
        <f>IF(OR(Paths!$C$165=0,C1752=0),0,MAX(0,MIN(C1752*12,Paths!$E$165)-(C1752-1)*12))</f>
        <v>0</v>
      </c>
      <c r="F1752" s="1">
        <f>IF(OR(Paths!$C$165=0,C1752=0),0,12-E1752)</f>
        <v>0</v>
      </c>
      <c r="G1752" s="16">
        <f>IF(NOT(Paths!$C$165=1),0,IF(Paths!$P$165="Complete",E1752/12*(Paths!$J$165*(1+'Operating costs'!$B$51)^MAX(0,C1752-1)+Paths!$K$165*(1+'Operating costs'!$B$53)^MAX(0,C1752-1)),"n.a."))</f>
        <v>0</v>
      </c>
      <c r="H1752" s="16">
        <f>IF(NOT(Paths!$C$165=1),0,IF(Paths!$P$165="Complete",F1752/12*(Paths!$L$165*(1+IF(Paths!$D$165="EV",'Operating costs'!$B$52,'Operating costs'!$B$51))^MAX(0,C1752-1)+Paths!$M$165*(1+'Operating costs'!$B$53)^MAX(0,C1752-1)),"n.a."))</f>
        <v>0</v>
      </c>
      <c r="I1752" s="16">
        <f>IF(NOT(Paths!$C$165=1),0,IF(Paths!$P$165="Complete",IF(IF(Paths!$E$165=0,C1752=0,AND(C1752&gt;0,Paths!$E$165&gt;(C1752-1)*12,Paths!$E$165&lt;=C1752*12)),Paths!$G$165,0),"n.a."))</f>
        <v>0</v>
      </c>
      <c r="J1752" s="16">
        <f>IF(NOT(Paths!$C$165=1),0,IF(Paths!$P$165="Complete",IF(IF(Paths!$E$165=0,C1752=0,AND(C1752&gt;0,Paths!$E$165&gt;(C1752-1)*12,Paths!$E$165&lt;=C1752*12)),Paths!$H$165,0),"n.a."))</f>
        <v>0</v>
      </c>
      <c r="K1752" s="16">
        <f>IF(NOT(Paths!$C$165=1),0,IF(Paths!$P$165="Complete",IF(IF(Paths!$O$165=0,C1752=0,AND(C1752&gt;0,Paths!$O$165&gt;(C1752-1)*12,Paths!$O$165&lt;=C1752*12)),Paths!$N$165,0),"n.a."))</f>
        <v>0</v>
      </c>
      <c r="L1752" s="16">
        <f>IF(NOT(Paths!$C$165=1),0,IF(Paths!$P$165="Complete",IF(C1752=10,Paths!$I$165,0),"n.a."))</f>
        <v>0</v>
      </c>
      <c r="M1752" s="16">
        <f>IF(NOT(Paths!$C$165=1),0,IF(Paths!$P$165="Complete",IF(AND(Paths!$D$165="EV",Paths!$E$165&lt;120,Paths!$E$165+'Operating costs'!$B$65&gt;Paths!$E$165,Paths!$E$165+'Operating costs'!$B$65&lt;=120,IF(Paths!$E$165+'Operating costs'!$B$65=0,C1752=0,AND(C1752&gt;0,Paths!$E$165+'Operating costs'!$B$65&gt;(C1752-1)*12,Paths!$E$165+'Operating costs'!$B$65&lt;=C1752*12))),'Operating costs'!$B$64,0)+IF(AND('Operating costs'!$B$67&gt;0,'Operating costs'!$B$67&lt;=120,OR(Paths!$D$165="ICE",'Operating costs'!$B$67&lt;=Paths!$E$165),IF('Operating costs'!$B$67=0,C1752=0,AND(C1752&gt;0,'Operating costs'!$B$67&gt;(C1752-1)*12,'Operating costs'!$B$67&lt;=C1752*12))),'Operating costs'!$B$66,0),"n.a."))</f>
        <v>0</v>
      </c>
      <c r="N1752" s="16">
        <f>IF(NOT(Paths!$C$165=1),0,IF(Paths!$P$165="Complete",SUM(G1752:I1752)-J1752-K1752-L1752+M1752+IF(C1752=0,Paths!$F$165,0)+IF(IF(Paths!$E$165=0,C1752=0,AND(C1752&gt;0,Paths!$E$165&gt;(C1752-1)*12,Paths!$E$165&lt;=C1752*12)),VLOOKUP(A1752,'Fleet register'!$A$7:$S$106,16,FALSE),0),"n.a."))</f>
        <v>0</v>
      </c>
      <c r="O1752" s="16">
        <f>IF(NOT(Paths!$C$165=1),0,IF(Paths!$P$165="Complete",N1752-IF(C1752=0,Paths!$F$165,0),"n.a."))</f>
        <v>0</v>
      </c>
      <c r="P1752" s="16">
        <f>IF(NOT(Paths!$C$165=1),0,IF(Paths!$P$165="Complete",O1752+L1752,"n.a."))</f>
        <v>0</v>
      </c>
      <c r="Q1752" s="16">
        <f>IF(NOT(Paths!$C$165=1),0,IF(Paths!$P$165="Complete",N1752*(1+'Operating costs'!$B$54)^-C1752,"n.a."))</f>
        <v>0</v>
      </c>
      <c r="R1752" s="16">
        <f>IF(NOT(Paths!$C$165=1),0,IF(Paths!$P$165="Complete",IF(AND(C1752=0,Paths!$E$165=0),I1752-J1752-K1752+VLOOKUP(A1752,'Fleet register'!$A$7:$S$106,15,FALSE)+VLOOKUP(A1752,'Fleet register'!$A$7:$S$106,16,FALSE),0),"n.a."))</f>
        <v>0</v>
      </c>
      <c r="S1752" s="1">
        <f>IF(NOT(Paths!$C$165=1),0,IF(Paths!$P$165="Complete",IF(C1752=0,0,Paths!$S$165*Paths!$R$165),"n.a."))</f>
        <v>0</v>
      </c>
      <c r="T1752" s="1">
        <f>IF(NOT(Paths!$C$165=1),0,IF(Paths!$P$165="Complete",IF(C1752=0,0,VLOOKUP(A1752,'Fleet register'!$A$7:$S$106,9,FALSE)*Paths!$R$165),"n.a."))</f>
        <v>0</v>
      </c>
    </row>
    <row r="1753" spans="1:20" ht="24" customHeight="1">
      <c r="A1753" s="1" t="str">
        <f>Paths!$A$165</f>
        <v>T040</v>
      </c>
      <c r="B1753" s="1">
        <f>Paths!$B$165</f>
        <v>2</v>
      </c>
      <c r="C1753" s="1">
        <v>8</v>
      </c>
      <c r="D1753" s="1">
        <v>165</v>
      </c>
      <c r="E1753" s="1">
        <f>IF(OR(Paths!$C$165=0,C1753=0),0,MAX(0,MIN(C1753*12,Paths!$E$165)-(C1753-1)*12))</f>
        <v>0</v>
      </c>
      <c r="F1753" s="1">
        <f>IF(OR(Paths!$C$165=0,C1753=0),0,12-E1753)</f>
        <v>0</v>
      </c>
      <c r="G1753" s="16">
        <f>IF(NOT(Paths!$C$165=1),0,IF(Paths!$P$165="Complete",E1753/12*(Paths!$J$165*(1+'Operating costs'!$B$51)^MAX(0,C1753-1)+Paths!$K$165*(1+'Operating costs'!$B$53)^MAX(0,C1753-1)),"n.a."))</f>
        <v>0</v>
      </c>
      <c r="H1753" s="16">
        <f>IF(NOT(Paths!$C$165=1),0,IF(Paths!$P$165="Complete",F1753/12*(Paths!$L$165*(1+IF(Paths!$D$165="EV",'Operating costs'!$B$52,'Operating costs'!$B$51))^MAX(0,C1753-1)+Paths!$M$165*(1+'Operating costs'!$B$53)^MAX(0,C1753-1)),"n.a."))</f>
        <v>0</v>
      </c>
      <c r="I1753" s="16">
        <f>IF(NOT(Paths!$C$165=1),0,IF(Paths!$P$165="Complete",IF(IF(Paths!$E$165=0,C1753=0,AND(C1753&gt;0,Paths!$E$165&gt;(C1753-1)*12,Paths!$E$165&lt;=C1753*12)),Paths!$G$165,0),"n.a."))</f>
        <v>0</v>
      </c>
      <c r="J1753" s="16">
        <f>IF(NOT(Paths!$C$165=1),0,IF(Paths!$P$165="Complete",IF(IF(Paths!$E$165=0,C1753=0,AND(C1753&gt;0,Paths!$E$165&gt;(C1753-1)*12,Paths!$E$165&lt;=C1753*12)),Paths!$H$165,0),"n.a."))</f>
        <v>0</v>
      </c>
      <c r="K1753" s="16">
        <f>IF(NOT(Paths!$C$165=1),0,IF(Paths!$P$165="Complete",IF(IF(Paths!$O$165=0,C1753=0,AND(C1753&gt;0,Paths!$O$165&gt;(C1753-1)*12,Paths!$O$165&lt;=C1753*12)),Paths!$N$165,0),"n.a."))</f>
        <v>0</v>
      </c>
      <c r="L1753" s="16">
        <f>IF(NOT(Paths!$C$165=1),0,IF(Paths!$P$165="Complete",IF(C1753=10,Paths!$I$165,0),"n.a."))</f>
        <v>0</v>
      </c>
      <c r="M1753" s="16">
        <f>IF(NOT(Paths!$C$165=1),0,IF(Paths!$P$165="Complete",IF(AND(Paths!$D$165="EV",Paths!$E$165&lt;120,Paths!$E$165+'Operating costs'!$B$65&gt;Paths!$E$165,Paths!$E$165+'Operating costs'!$B$65&lt;=120,IF(Paths!$E$165+'Operating costs'!$B$65=0,C1753=0,AND(C1753&gt;0,Paths!$E$165+'Operating costs'!$B$65&gt;(C1753-1)*12,Paths!$E$165+'Operating costs'!$B$65&lt;=C1753*12))),'Operating costs'!$B$64,0)+IF(AND('Operating costs'!$B$67&gt;0,'Operating costs'!$B$67&lt;=120,OR(Paths!$D$165="ICE",'Operating costs'!$B$67&lt;=Paths!$E$165),IF('Operating costs'!$B$67=0,C1753=0,AND(C1753&gt;0,'Operating costs'!$B$67&gt;(C1753-1)*12,'Operating costs'!$B$67&lt;=C1753*12))),'Operating costs'!$B$66,0),"n.a."))</f>
        <v>0</v>
      </c>
      <c r="N1753" s="16">
        <f>IF(NOT(Paths!$C$165=1),0,IF(Paths!$P$165="Complete",SUM(G1753:I1753)-J1753-K1753-L1753+M1753+IF(C1753=0,Paths!$F$165,0)+IF(IF(Paths!$E$165=0,C1753=0,AND(C1753&gt;0,Paths!$E$165&gt;(C1753-1)*12,Paths!$E$165&lt;=C1753*12)),VLOOKUP(A1753,'Fleet register'!$A$7:$S$106,16,FALSE),0),"n.a."))</f>
        <v>0</v>
      </c>
      <c r="O1753" s="16">
        <f>IF(NOT(Paths!$C$165=1),0,IF(Paths!$P$165="Complete",N1753-IF(C1753=0,Paths!$F$165,0),"n.a."))</f>
        <v>0</v>
      </c>
      <c r="P1753" s="16">
        <f>IF(NOT(Paths!$C$165=1),0,IF(Paths!$P$165="Complete",O1753+L1753,"n.a."))</f>
        <v>0</v>
      </c>
      <c r="Q1753" s="16">
        <f>IF(NOT(Paths!$C$165=1),0,IF(Paths!$P$165="Complete",N1753*(1+'Operating costs'!$B$54)^-C1753,"n.a."))</f>
        <v>0</v>
      </c>
      <c r="R1753" s="16">
        <f>IF(NOT(Paths!$C$165=1),0,IF(Paths!$P$165="Complete",IF(AND(C1753=0,Paths!$E$165=0),I1753-J1753-K1753+VLOOKUP(A1753,'Fleet register'!$A$7:$S$106,15,FALSE)+VLOOKUP(A1753,'Fleet register'!$A$7:$S$106,16,FALSE),0),"n.a."))</f>
        <v>0</v>
      </c>
      <c r="S1753" s="1">
        <f>IF(NOT(Paths!$C$165=1),0,IF(Paths!$P$165="Complete",IF(C1753=0,0,Paths!$S$165*Paths!$R$165),"n.a."))</f>
        <v>0</v>
      </c>
      <c r="T1753" s="1">
        <f>IF(NOT(Paths!$C$165=1),0,IF(Paths!$P$165="Complete",IF(C1753=0,0,VLOOKUP(A1753,'Fleet register'!$A$7:$S$106,9,FALSE)*Paths!$R$165),"n.a."))</f>
        <v>0</v>
      </c>
    </row>
    <row r="1754" spans="1:20" ht="24" customHeight="1">
      <c r="A1754" s="1" t="str">
        <f>Paths!$A$165</f>
        <v>T040</v>
      </c>
      <c r="B1754" s="1">
        <f>Paths!$B$165</f>
        <v>2</v>
      </c>
      <c r="C1754" s="1">
        <v>9</v>
      </c>
      <c r="D1754" s="1">
        <v>165</v>
      </c>
      <c r="E1754" s="1">
        <f>IF(OR(Paths!$C$165=0,C1754=0),0,MAX(0,MIN(C1754*12,Paths!$E$165)-(C1754-1)*12))</f>
        <v>0</v>
      </c>
      <c r="F1754" s="1">
        <f>IF(OR(Paths!$C$165=0,C1754=0),0,12-E1754)</f>
        <v>0</v>
      </c>
      <c r="G1754" s="16">
        <f>IF(NOT(Paths!$C$165=1),0,IF(Paths!$P$165="Complete",E1754/12*(Paths!$J$165*(1+'Operating costs'!$B$51)^MAX(0,C1754-1)+Paths!$K$165*(1+'Operating costs'!$B$53)^MAX(0,C1754-1)),"n.a."))</f>
        <v>0</v>
      </c>
      <c r="H1754" s="16">
        <f>IF(NOT(Paths!$C$165=1),0,IF(Paths!$P$165="Complete",F1754/12*(Paths!$L$165*(1+IF(Paths!$D$165="EV",'Operating costs'!$B$52,'Operating costs'!$B$51))^MAX(0,C1754-1)+Paths!$M$165*(1+'Operating costs'!$B$53)^MAX(0,C1754-1)),"n.a."))</f>
        <v>0</v>
      </c>
      <c r="I1754" s="16">
        <f>IF(NOT(Paths!$C$165=1),0,IF(Paths!$P$165="Complete",IF(IF(Paths!$E$165=0,C1754=0,AND(C1754&gt;0,Paths!$E$165&gt;(C1754-1)*12,Paths!$E$165&lt;=C1754*12)),Paths!$G$165,0),"n.a."))</f>
        <v>0</v>
      </c>
      <c r="J1754" s="16">
        <f>IF(NOT(Paths!$C$165=1),0,IF(Paths!$P$165="Complete",IF(IF(Paths!$E$165=0,C1754=0,AND(C1754&gt;0,Paths!$E$165&gt;(C1754-1)*12,Paths!$E$165&lt;=C1754*12)),Paths!$H$165,0),"n.a."))</f>
        <v>0</v>
      </c>
      <c r="K1754" s="16">
        <f>IF(NOT(Paths!$C$165=1),0,IF(Paths!$P$165="Complete",IF(IF(Paths!$O$165=0,C1754=0,AND(C1754&gt;0,Paths!$O$165&gt;(C1754-1)*12,Paths!$O$165&lt;=C1754*12)),Paths!$N$165,0),"n.a."))</f>
        <v>0</v>
      </c>
      <c r="L1754" s="16">
        <f>IF(NOT(Paths!$C$165=1),0,IF(Paths!$P$165="Complete",IF(C1754=10,Paths!$I$165,0),"n.a."))</f>
        <v>0</v>
      </c>
      <c r="M1754" s="16">
        <f>IF(NOT(Paths!$C$165=1),0,IF(Paths!$P$165="Complete",IF(AND(Paths!$D$165="EV",Paths!$E$165&lt;120,Paths!$E$165+'Operating costs'!$B$65&gt;Paths!$E$165,Paths!$E$165+'Operating costs'!$B$65&lt;=120,IF(Paths!$E$165+'Operating costs'!$B$65=0,C1754=0,AND(C1754&gt;0,Paths!$E$165+'Operating costs'!$B$65&gt;(C1754-1)*12,Paths!$E$165+'Operating costs'!$B$65&lt;=C1754*12))),'Operating costs'!$B$64,0)+IF(AND('Operating costs'!$B$67&gt;0,'Operating costs'!$B$67&lt;=120,OR(Paths!$D$165="ICE",'Operating costs'!$B$67&lt;=Paths!$E$165),IF('Operating costs'!$B$67=0,C1754=0,AND(C1754&gt;0,'Operating costs'!$B$67&gt;(C1754-1)*12,'Operating costs'!$B$67&lt;=C1754*12))),'Operating costs'!$B$66,0),"n.a."))</f>
        <v>0</v>
      </c>
      <c r="N1754" s="16">
        <f>IF(NOT(Paths!$C$165=1),0,IF(Paths!$P$165="Complete",SUM(G1754:I1754)-J1754-K1754-L1754+M1754+IF(C1754=0,Paths!$F$165,0)+IF(IF(Paths!$E$165=0,C1754=0,AND(C1754&gt;0,Paths!$E$165&gt;(C1754-1)*12,Paths!$E$165&lt;=C1754*12)),VLOOKUP(A1754,'Fleet register'!$A$7:$S$106,16,FALSE),0),"n.a."))</f>
        <v>0</v>
      </c>
      <c r="O1754" s="16">
        <f>IF(NOT(Paths!$C$165=1),0,IF(Paths!$P$165="Complete",N1754-IF(C1754=0,Paths!$F$165,0),"n.a."))</f>
        <v>0</v>
      </c>
      <c r="P1754" s="16">
        <f>IF(NOT(Paths!$C$165=1),0,IF(Paths!$P$165="Complete",O1754+L1754,"n.a."))</f>
        <v>0</v>
      </c>
      <c r="Q1754" s="16">
        <f>IF(NOT(Paths!$C$165=1),0,IF(Paths!$P$165="Complete",N1754*(1+'Operating costs'!$B$54)^-C1754,"n.a."))</f>
        <v>0</v>
      </c>
      <c r="R1754" s="16">
        <f>IF(NOT(Paths!$C$165=1),0,IF(Paths!$P$165="Complete",IF(AND(C1754=0,Paths!$E$165=0),I1754-J1754-K1754+VLOOKUP(A1754,'Fleet register'!$A$7:$S$106,15,FALSE)+VLOOKUP(A1754,'Fleet register'!$A$7:$S$106,16,FALSE),0),"n.a."))</f>
        <v>0</v>
      </c>
      <c r="S1754" s="1">
        <f>IF(NOT(Paths!$C$165=1),0,IF(Paths!$P$165="Complete",IF(C1754=0,0,Paths!$S$165*Paths!$R$165),"n.a."))</f>
        <v>0</v>
      </c>
      <c r="T1754" s="1">
        <f>IF(NOT(Paths!$C$165=1),0,IF(Paths!$P$165="Complete",IF(C1754=0,0,VLOOKUP(A1754,'Fleet register'!$A$7:$S$106,9,FALSE)*Paths!$R$165),"n.a."))</f>
        <v>0</v>
      </c>
    </row>
    <row r="1755" spans="1:20" ht="24" customHeight="1">
      <c r="A1755" s="1" t="str">
        <f>Paths!$A$165</f>
        <v>T040</v>
      </c>
      <c r="B1755" s="1">
        <f>Paths!$B$165</f>
        <v>2</v>
      </c>
      <c r="C1755" s="1">
        <v>10</v>
      </c>
      <c r="D1755" s="1">
        <v>165</v>
      </c>
      <c r="E1755" s="1">
        <f>IF(OR(Paths!$C$165=0,C1755=0),0,MAX(0,MIN(C1755*12,Paths!$E$165)-(C1755-1)*12))</f>
        <v>0</v>
      </c>
      <c r="F1755" s="1">
        <f>IF(OR(Paths!$C$165=0,C1755=0),0,12-E1755)</f>
        <v>0</v>
      </c>
      <c r="G1755" s="16">
        <f>IF(NOT(Paths!$C$165=1),0,IF(Paths!$P$165="Complete",E1755/12*(Paths!$J$165*(1+'Operating costs'!$B$51)^MAX(0,C1755-1)+Paths!$K$165*(1+'Operating costs'!$B$53)^MAX(0,C1755-1)),"n.a."))</f>
        <v>0</v>
      </c>
      <c r="H1755" s="16">
        <f>IF(NOT(Paths!$C$165=1),0,IF(Paths!$P$165="Complete",F1755/12*(Paths!$L$165*(1+IF(Paths!$D$165="EV",'Operating costs'!$B$52,'Operating costs'!$B$51))^MAX(0,C1755-1)+Paths!$M$165*(1+'Operating costs'!$B$53)^MAX(0,C1755-1)),"n.a."))</f>
        <v>0</v>
      </c>
      <c r="I1755" s="16">
        <f>IF(NOT(Paths!$C$165=1),0,IF(Paths!$P$165="Complete",IF(IF(Paths!$E$165=0,C1755=0,AND(C1755&gt;0,Paths!$E$165&gt;(C1755-1)*12,Paths!$E$165&lt;=C1755*12)),Paths!$G$165,0),"n.a."))</f>
        <v>0</v>
      </c>
      <c r="J1755" s="16">
        <f>IF(NOT(Paths!$C$165=1),0,IF(Paths!$P$165="Complete",IF(IF(Paths!$E$165=0,C1755=0,AND(C1755&gt;0,Paths!$E$165&gt;(C1755-1)*12,Paths!$E$165&lt;=C1755*12)),Paths!$H$165,0),"n.a."))</f>
        <v>0</v>
      </c>
      <c r="K1755" s="16">
        <f>IF(NOT(Paths!$C$165=1),0,IF(Paths!$P$165="Complete",IF(IF(Paths!$O$165=0,C1755=0,AND(C1755&gt;0,Paths!$O$165&gt;(C1755-1)*12,Paths!$O$165&lt;=C1755*12)),Paths!$N$165,0),"n.a."))</f>
        <v>0</v>
      </c>
      <c r="L1755" s="16">
        <f>IF(NOT(Paths!$C$165=1),0,IF(Paths!$P$165="Complete",IF(C1755=10,Paths!$I$165,0),"n.a."))</f>
        <v>0</v>
      </c>
      <c r="M1755" s="16">
        <f>IF(NOT(Paths!$C$165=1),0,IF(Paths!$P$165="Complete",IF(AND(Paths!$D$165="EV",Paths!$E$165&lt;120,Paths!$E$165+'Operating costs'!$B$65&gt;Paths!$E$165,Paths!$E$165+'Operating costs'!$B$65&lt;=120,IF(Paths!$E$165+'Operating costs'!$B$65=0,C1755=0,AND(C1755&gt;0,Paths!$E$165+'Operating costs'!$B$65&gt;(C1755-1)*12,Paths!$E$165+'Operating costs'!$B$65&lt;=C1755*12))),'Operating costs'!$B$64,0)+IF(AND('Operating costs'!$B$67&gt;0,'Operating costs'!$B$67&lt;=120,OR(Paths!$D$165="ICE",'Operating costs'!$B$67&lt;=Paths!$E$165),IF('Operating costs'!$B$67=0,C1755=0,AND(C1755&gt;0,'Operating costs'!$B$67&gt;(C1755-1)*12,'Operating costs'!$B$67&lt;=C1755*12))),'Operating costs'!$B$66,0),"n.a."))</f>
        <v>0</v>
      </c>
      <c r="N1755" s="16">
        <f>IF(NOT(Paths!$C$165=1),0,IF(Paths!$P$165="Complete",SUM(G1755:I1755)-J1755-K1755-L1755+M1755+IF(C1755=0,Paths!$F$165,0)+IF(IF(Paths!$E$165=0,C1755=0,AND(C1755&gt;0,Paths!$E$165&gt;(C1755-1)*12,Paths!$E$165&lt;=C1755*12)),VLOOKUP(A1755,'Fleet register'!$A$7:$S$106,16,FALSE),0),"n.a."))</f>
        <v>0</v>
      </c>
      <c r="O1755" s="16">
        <f>IF(NOT(Paths!$C$165=1),0,IF(Paths!$P$165="Complete",N1755-IF(C1755=0,Paths!$F$165,0),"n.a."))</f>
        <v>0</v>
      </c>
      <c r="P1755" s="16">
        <f>IF(NOT(Paths!$C$165=1),0,IF(Paths!$P$165="Complete",O1755+L1755,"n.a."))</f>
        <v>0</v>
      </c>
      <c r="Q1755" s="16">
        <f>IF(NOT(Paths!$C$165=1),0,IF(Paths!$P$165="Complete",N1755*(1+'Operating costs'!$B$54)^-C1755,"n.a."))</f>
        <v>0</v>
      </c>
      <c r="R1755" s="16">
        <f>IF(NOT(Paths!$C$165=1),0,IF(Paths!$P$165="Complete",IF(AND(C1755=0,Paths!$E$165=0),I1755-J1755-K1755+VLOOKUP(A1755,'Fleet register'!$A$7:$S$106,15,FALSE)+VLOOKUP(A1755,'Fleet register'!$A$7:$S$106,16,FALSE),0),"n.a."))</f>
        <v>0</v>
      </c>
      <c r="S1755" s="1">
        <f>IF(NOT(Paths!$C$165=1),0,IF(Paths!$P$165="Complete",IF(C1755=0,0,Paths!$S$165*Paths!$R$165),"n.a."))</f>
        <v>0</v>
      </c>
      <c r="T1755" s="1">
        <f>IF(NOT(Paths!$C$165=1),0,IF(Paths!$P$165="Complete",IF(C1755=0,0,VLOOKUP(A1755,'Fleet register'!$A$7:$S$106,9,FALSE)*Paths!$R$165),"n.a."))</f>
        <v>0</v>
      </c>
    </row>
    <row r="1756" spans="1:20" ht="24" customHeight="1">
      <c r="A1756" s="1" t="str">
        <f>Paths!$A$166</f>
        <v>T040</v>
      </c>
      <c r="B1756" s="1">
        <f>Paths!$B$166</f>
        <v>3</v>
      </c>
      <c r="C1756" s="1">
        <v>0</v>
      </c>
      <c r="D1756" s="1">
        <v>166</v>
      </c>
      <c r="E1756" s="1">
        <f>IF(OR(Paths!$C$166=0,C1756=0),0,MAX(0,MIN(C1756*12,Paths!$E$166)-(C1756-1)*12))</f>
        <v>0</v>
      </c>
      <c r="F1756" s="1">
        <f>IF(OR(Paths!$C$166=0,C1756=0),0,12-E1756)</f>
        <v>0</v>
      </c>
      <c r="G1756" s="16">
        <f>IF(NOT(Paths!$C$166=1),0,IF(Paths!$P$166="Complete",E1756/12*(Paths!$J$166*(1+'Operating costs'!$B$51)^MAX(0,C1756-1)+Paths!$K$166*(1+'Operating costs'!$B$53)^MAX(0,C1756-1)),"n.a."))</f>
        <v>0</v>
      </c>
      <c r="H1756" s="16">
        <f>IF(NOT(Paths!$C$166=1),0,IF(Paths!$P$166="Complete",F1756/12*(Paths!$L$166*(1+IF(Paths!$D$166="EV",'Operating costs'!$B$52,'Operating costs'!$B$51))^MAX(0,C1756-1)+Paths!$M$166*(1+'Operating costs'!$B$53)^MAX(0,C1756-1)),"n.a."))</f>
        <v>0</v>
      </c>
      <c r="I1756" s="16">
        <f>IF(NOT(Paths!$C$166=1),0,IF(Paths!$P$166="Complete",IF(IF(Paths!$E$166=0,C1756=0,AND(C1756&gt;0,Paths!$E$166&gt;(C1756-1)*12,Paths!$E$166&lt;=C1756*12)),Paths!$G$166,0),"n.a."))</f>
        <v>0</v>
      </c>
      <c r="J1756" s="16">
        <f>IF(NOT(Paths!$C$166=1),0,IF(Paths!$P$166="Complete",IF(IF(Paths!$E$166=0,C1756=0,AND(C1756&gt;0,Paths!$E$166&gt;(C1756-1)*12,Paths!$E$166&lt;=C1756*12)),Paths!$H$166,0),"n.a."))</f>
        <v>0</v>
      </c>
      <c r="K1756" s="16">
        <f>IF(NOT(Paths!$C$166=1),0,IF(Paths!$P$166="Complete",IF(IF(Paths!$O$166=0,C1756=0,AND(C1756&gt;0,Paths!$O$166&gt;(C1756-1)*12,Paths!$O$166&lt;=C1756*12)),Paths!$N$166,0),"n.a."))</f>
        <v>0</v>
      </c>
      <c r="L1756" s="16">
        <f>IF(NOT(Paths!$C$166=1),0,IF(Paths!$P$166="Complete",IF(C1756=10,Paths!$I$166,0),"n.a."))</f>
        <v>0</v>
      </c>
      <c r="M1756" s="16">
        <f>IF(NOT(Paths!$C$166=1),0,IF(Paths!$P$166="Complete",IF(AND(Paths!$D$166="EV",Paths!$E$166&lt;120,Paths!$E$166+'Operating costs'!$B$65&gt;Paths!$E$166,Paths!$E$166+'Operating costs'!$B$65&lt;=120,IF(Paths!$E$166+'Operating costs'!$B$65=0,C1756=0,AND(C1756&gt;0,Paths!$E$166+'Operating costs'!$B$65&gt;(C1756-1)*12,Paths!$E$166+'Operating costs'!$B$65&lt;=C1756*12))),'Operating costs'!$B$64,0)+IF(AND('Operating costs'!$B$67&gt;0,'Operating costs'!$B$67&lt;=120,OR(Paths!$D$166="ICE",'Operating costs'!$B$67&lt;=Paths!$E$166),IF('Operating costs'!$B$67=0,C1756=0,AND(C1756&gt;0,'Operating costs'!$B$67&gt;(C1756-1)*12,'Operating costs'!$B$67&lt;=C1756*12))),'Operating costs'!$B$66,0),"n.a."))</f>
        <v>0</v>
      </c>
      <c r="N1756" s="16">
        <f>IF(NOT(Paths!$C$166=1),0,IF(Paths!$P$166="Complete",SUM(G1756:I1756)-J1756-K1756-L1756+M1756+IF(C1756=0,Paths!$F$166,0)+IF(IF(Paths!$E$166=0,C1756=0,AND(C1756&gt;0,Paths!$E$166&gt;(C1756-1)*12,Paths!$E$166&lt;=C1756*12)),VLOOKUP(A1756,'Fleet register'!$A$7:$S$106,16,FALSE),0),"n.a."))</f>
        <v>0</v>
      </c>
      <c r="O1756" s="16">
        <f>IF(NOT(Paths!$C$166=1),0,IF(Paths!$P$166="Complete",N1756-IF(C1756=0,Paths!$F$166,0),"n.a."))</f>
        <v>0</v>
      </c>
      <c r="P1756" s="16">
        <f>IF(NOT(Paths!$C$166=1),0,IF(Paths!$P$166="Complete",O1756+L1756,"n.a."))</f>
        <v>0</v>
      </c>
      <c r="Q1756" s="16">
        <f>IF(NOT(Paths!$C$166=1),0,IF(Paths!$P$166="Complete",N1756*(1+'Operating costs'!$B$54)^-C1756,"n.a."))</f>
        <v>0</v>
      </c>
      <c r="R1756" s="16">
        <f>IF(NOT(Paths!$C$166=1),0,IF(Paths!$P$166="Complete",IF(AND(C1756=0,Paths!$E$166=0),I1756-J1756-K1756+VLOOKUP(A1756,'Fleet register'!$A$7:$S$106,15,FALSE)+VLOOKUP(A1756,'Fleet register'!$A$7:$S$106,16,FALSE),0),"n.a."))</f>
        <v>0</v>
      </c>
      <c r="S1756" s="1">
        <f>IF(NOT(Paths!$C$166=1),0,IF(Paths!$P$166="Complete",IF(C1756=0,0,Paths!$S$166*Paths!$R$166),"n.a."))</f>
        <v>0</v>
      </c>
      <c r="T1756" s="1">
        <f>IF(NOT(Paths!$C$166=1),0,IF(Paths!$P$166="Complete",IF(C1756=0,0,VLOOKUP(A1756,'Fleet register'!$A$7:$S$106,9,FALSE)*Paths!$R$166),"n.a."))</f>
        <v>0</v>
      </c>
    </row>
    <row r="1757" spans="1:20" ht="24" customHeight="1">
      <c r="A1757" s="1" t="str">
        <f>Paths!$A$166</f>
        <v>T040</v>
      </c>
      <c r="B1757" s="1">
        <f>Paths!$B$166</f>
        <v>3</v>
      </c>
      <c r="C1757" s="1">
        <v>1</v>
      </c>
      <c r="D1757" s="1">
        <v>166</v>
      </c>
      <c r="E1757" s="1">
        <f>IF(OR(Paths!$C$166=0,C1757=0),0,MAX(0,MIN(C1757*12,Paths!$E$166)-(C1757-1)*12))</f>
        <v>0</v>
      </c>
      <c r="F1757" s="1">
        <f>IF(OR(Paths!$C$166=0,C1757=0),0,12-E1757)</f>
        <v>0</v>
      </c>
      <c r="G1757" s="16">
        <f>IF(NOT(Paths!$C$166=1),0,IF(Paths!$P$166="Complete",E1757/12*(Paths!$J$166*(1+'Operating costs'!$B$51)^MAX(0,C1757-1)+Paths!$K$166*(1+'Operating costs'!$B$53)^MAX(0,C1757-1)),"n.a."))</f>
        <v>0</v>
      </c>
      <c r="H1757" s="16">
        <f>IF(NOT(Paths!$C$166=1),0,IF(Paths!$P$166="Complete",F1757/12*(Paths!$L$166*(1+IF(Paths!$D$166="EV",'Operating costs'!$B$52,'Operating costs'!$B$51))^MAX(0,C1757-1)+Paths!$M$166*(1+'Operating costs'!$B$53)^MAX(0,C1757-1)),"n.a."))</f>
        <v>0</v>
      </c>
      <c r="I1757" s="16">
        <f>IF(NOT(Paths!$C$166=1),0,IF(Paths!$P$166="Complete",IF(IF(Paths!$E$166=0,C1757=0,AND(C1757&gt;0,Paths!$E$166&gt;(C1757-1)*12,Paths!$E$166&lt;=C1757*12)),Paths!$G$166,0),"n.a."))</f>
        <v>0</v>
      </c>
      <c r="J1757" s="16">
        <f>IF(NOT(Paths!$C$166=1),0,IF(Paths!$P$166="Complete",IF(IF(Paths!$E$166=0,C1757=0,AND(C1757&gt;0,Paths!$E$166&gt;(C1757-1)*12,Paths!$E$166&lt;=C1757*12)),Paths!$H$166,0),"n.a."))</f>
        <v>0</v>
      </c>
      <c r="K1757" s="16">
        <f>IF(NOT(Paths!$C$166=1),0,IF(Paths!$P$166="Complete",IF(IF(Paths!$O$166=0,C1757=0,AND(C1757&gt;0,Paths!$O$166&gt;(C1757-1)*12,Paths!$O$166&lt;=C1757*12)),Paths!$N$166,0),"n.a."))</f>
        <v>0</v>
      </c>
      <c r="L1757" s="16">
        <f>IF(NOT(Paths!$C$166=1),0,IF(Paths!$P$166="Complete",IF(C1757=10,Paths!$I$166,0),"n.a."))</f>
        <v>0</v>
      </c>
      <c r="M1757" s="16">
        <f>IF(NOT(Paths!$C$166=1),0,IF(Paths!$P$166="Complete",IF(AND(Paths!$D$166="EV",Paths!$E$166&lt;120,Paths!$E$166+'Operating costs'!$B$65&gt;Paths!$E$166,Paths!$E$166+'Operating costs'!$B$65&lt;=120,IF(Paths!$E$166+'Operating costs'!$B$65=0,C1757=0,AND(C1757&gt;0,Paths!$E$166+'Operating costs'!$B$65&gt;(C1757-1)*12,Paths!$E$166+'Operating costs'!$B$65&lt;=C1757*12))),'Operating costs'!$B$64,0)+IF(AND('Operating costs'!$B$67&gt;0,'Operating costs'!$B$67&lt;=120,OR(Paths!$D$166="ICE",'Operating costs'!$B$67&lt;=Paths!$E$166),IF('Operating costs'!$B$67=0,C1757=0,AND(C1757&gt;0,'Operating costs'!$B$67&gt;(C1757-1)*12,'Operating costs'!$B$67&lt;=C1757*12))),'Operating costs'!$B$66,0),"n.a."))</f>
        <v>0</v>
      </c>
      <c r="N1757" s="16">
        <f>IF(NOT(Paths!$C$166=1),0,IF(Paths!$P$166="Complete",SUM(G1757:I1757)-J1757-K1757-L1757+M1757+IF(C1757=0,Paths!$F$166,0)+IF(IF(Paths!$E$166=0,C1757=0,AND(C1757&gt;0,Paths!$E$166&gt;(C1757-1)*12,Paths!$E$166&lt;=C1757*12)),VLOOKUP(A1757,'Fleet register'!$A$7:$S$106,16,FALSE),0),"n.a."))</f>
        <v>0</v>
      </c>
      <c r="O1757" s="16">
        <f>IF(NOT(Paths!$C$166=1),0,IF(Paths!$P$166="Complete",N1757-IF(C1757=0,Paths!$F$166,0),"n.a."))</f>
        <v>0</v>
      </c>
      <c r="P1757" s="16">
        <f>IF(NOT(Paths!$C$166=1),0,IF(Paths!$P$166="Complete",O1757+L1757,"n.a."))</f>
        <v>0</v>
      </c>
      <c r="Q1757" s="16">
        <f>IF(NOT(Paths!$C$166=1),0,IF(Paths!$P$166="Complete",N1757*(1+'Operating costs'!$B$54)^-C1757,"n.a."))</f>
        <v>0</v>
      </c>
      <c r="R1757" s="16">
        <f>IF(NOT(Paths!$C$166=1),0,IF(Paths!$P$166="Complete",IF(AND(C1757=0,Paths!$E$166=0),I1757-J1757-K1757+VLOOKUP(A1757,'Fleet register'!$A$7:$S$106,15,FALSE)+VLOOKUP(A1757,'Fleet register'!$A$7:$S$106,16,FALSE),0),"n.a."))</f>
        <v>0</v>
      </c>
      <c r="S1757" s="1">
        <f>IF(NOT(Paths!$C$166=1),0,IF(Paths!$P$166="Complete",IF(C1757=0,0,Paths!$S$166*Paths!$R$166),"n.a."))</f>
        <v>0</v>
      </c>
      <c r="T1757" s="1">
        <f>IF(NOT(Paths!$C$166=1),0,IF(Paths!$P$166="Complete",IF(C1757=0,0,VLOOKUP(A1757,'Fleet register'!$A$7:$S$106,9,FALSE)*Paths!$R$166),"n.a."))</f>
        <v>0</v>
      </c>
    </row>
    <row r="1758" spans="1:20" ht="24" customHeight="1">
      <c r="A1758" s="1" t="str">
        <f>Paths!$A$166</f>
        <v>T040</v>
      </c>
      <c r="B1758" s="1">
        <f>Paths!$B$166</f>
        <v>3</v>
      </c>
      <c r="C1758" s="1">
        <v>2</v>
      </c>
      <c r="D1758" s="1">
        <v>166</v>
      </c>
      <c r="E1758" s="1">
        <f>IF(OR(Paths!$C$166=0,C1758=0),0,MAX(0,MIN(C1758*12,Paths!$E$166)-(C1758-1)*12))</f>
        <v>0</v>
      </c>
      <c r="F1758" s="1">
        <f>IF(OR(Paths!$C$166=0,C1758=0),0,12-E1758)</f>
        <v>0</v>
      </c>
      <c r="G1758" s="16">
        <f>IF(NOT(Paths!$C$166=1),0,IF(Paths!$P$166="Complete",E1758/12*(Paths!$J$166*(1+'Operating costs'!$B$51)^MAX(0,C1758-1)+Paths!$K$166*(1+'Operating costs'!$B$53)^MAX(0,C1758-1)),"n.a."))</f>
        <v>0</v>
      </c>
      <c r="H1758" s="16">
        <f>IF(NOT(Paths!$C$166=1),0,IF(Paths!$P$166="Complete",F1758/12*(Paths!$L$166*(1+IF(Paths!$D$166="EV",'Operating costs'!$B$52,'Operating costs'!$B$51))^MAX(0,C1758-1)+Paths!$M$166*(1+'Operating costs'!$B$53)^MAX(0,C1758-1)),"n.a."))</f>
        <v>0</v>
      </c>
      <c r="I1758" s="16">
        <f>IF(NOT(Paths!$C$166=1),0,IF(Paths!$P$166="Complete",IF(IF(Paths!$E$166=0,C1758=0,AND(C1758&gt;0,Paths!$E$166&gt;(C1758-1)*12,Paths!$E$166&lt;=C1758*12)),Paths!$G$166,0),"n.a."))</f>
        <v>0</v>
      </c>
      <c r="J1758" s="16">
        <f>IF(NOT(Paths!$C$166=1),0,IF(Paths!$P$166="Complete",IF(IF(Paths!$E$166=0,C1758=0,AND(C1758&gt;0,Paths!$E$166&gt;(C1758-1)*12,Paths!$E$166&lt;=C1758*12)),Paths!$H$166,0),"n.a."))</f>
        <v>0</v>
      </c>
      <c r="K1758" s="16">
        <f>IF(NOT(Paths!$C$166=1),0,IF(Paths!$P$166="Complete",IF(IF(Paths!$O$166=0,C1758=0,AND(C1758&gt;0,Paths!$O$166&gt;(C1758-1)*12,Paths!$O$166&lt;=C1758*12)),Paths!$N$166,0),"n.a."))</f>
        <v>0</v>
      </c>
      <c r="L1758" s="16">
        <f>IF(NOT(Paths!$C$166=1),0,IF(Paths!$P$166="Complete",IF(C1758=10,Paths!$I$166,0),"n.a."))</f>
        <v>0</v>
      </c>
      <c r="M1758" s="16">
        <f>IF(NOT(Paths!$C$166=1),0,IF(Paths!$P$166="Complete",IF(AND(Paths!$D$166="EV",Paths!$E$166&lt;120,Paths!$E$166+'Operating costs'!$B$65&gt;Paths!$E$166,Paths!$E$166+'Operating costs'!$B$65&lt;=120,IF(Paths!$E$166+'Operating costs'!$B$65=0,C1758=0,AND(C1758&gt;0,Paths!$E$166+'Operating costs'!$B$65&gt;(C1758-1)*12,Paths!$E$166+'Operating costs'!$B$65&lt;=C1758*12))),'Operating costs'!$B$64,0)+IF(AND('Operating costs'!$B$67&gt;0,'Operating costs'!$B$67&lt;=120,OR(Paths!$D$166="ICE",'Operating costs'!$B$67&lt;=Paths!$E$166),IF('Operating costs'!$B$67=0,C1758=0,AND(C1758&gt;0,'Operating costs'!$B$67&gt;(C1758-1)*12,'Operating costs'!$B$67&lt;=C1758*12))),'Operating costs'!$B$66,0),"n.a."))</f>
        <v>0</v>
      </c>
      <c r="N1758" s="16">
        <f>IF(NOT(Paths!$C$166=1),0,IF(Paths!$P$166="Complete",SUM(G1758:I1758)-J1758-K1758-L1758+M1758+IF(C1758=0,Paths!$F$166,0)+IF(IF(Paths!$E$166=0,C1758=0,AND(C1758&gt;0,Paths!$E$166&gt;(C1758-1)*12,Paths!$E$166&lt;=C1758*12)),VLOOKUP(A1758,'Fleet register'!$A$7:$S$106,16,FALSE),0),"n.a."))</f>
        <v>0</v>
      </c>
      <c r="O1758" s="16">
        <f>IF(NOT(Paths!$C$166=1),0,IF(Paths!$P$166="Complete",N1758-IF(C1758=0,Paths!$F$166,0),"n.a."))</f>
        <v>0</v>
      </c>
      <c r="P1758" s="16">
        <f>IF(NOT(Paths!$C$166=1),0,IF(Paths!$P$166="Complete",O1758+L1758,"n.a."))</f>
        <v>0</v>
      </c>
      <c r="Q1758" s="16">
        <f>IF(NOT(Paths!$C$166=1),0,IF(Paths!$P$166="Complete",N1758*(1+'Operating costs'!$B$54)^-C1758,"n.a."))</f>
        <v>0</v>
      </c>
      <c r="R1758" s="16">
        <f>IF(NOT(Paths!$C$166=1),0,IF(Paths!$P$166="Complete",IF(AND(C1758=0,Paths!$E$166=0),I1758-J1758-K1758+VLOOKUP(A1758,'Fleet register'!$A$7:$S$106,15,FALSE)+VLOOKUP(A1758,'Fleet register'!$A$7:$S$106,16,FALSE),0),"n.a."))</f>
        <v>0</v>
      </c>
      <c r="S1758" s="1">
        <f>IF(NOT(Paths!$C$166=1),0,IF(Paths!$P$166="Complete",IF(C1758=0,0,Paths!$S$166*Paths!$R$166),"n.a."))</f>
        <v>0</v>
      </c>
      <c r="T1758" s="1">
        <f>IF(NOT(Paths!$C$166=1),0,IF(Paths!$P$166="Complete",IF(C1758=0,0,VLOOKUP(A1758,'Fleet register'!$A$7:$S$106,9,FALSE)*Paths!$R$166),"n.a."))</f>
        <v>0</v>
      </c>
    </row>
    <row r="1759" spans="1:20" ht="24" customHeight="1">
      <c r="A1759" s="1" t="str">
        <f>Paths!$A$166</f>
        <v>T040</v>
      </c>
      <c r="B1759" s="1">
        <f>Paths!$B$166</f>
        <v>3</v>
      </c>
      <c r="C1759" s="1">
        <v>3</v>
      </c>
      <c r="D1759" s="1">
        <v>166</v>
      </c>
      <c r="E1759" s="1">
        <f>IF(OR(Paths!$C$166=0,C1759=0),0,MAX(0,MIN(C1759*12,Paths!$E$166)-(C1759-1)*12))</f>
        <v>0</v>
      </c>
      <c r="F1759" s="1">
        <f>IF(OR(Paths!$C$166=0,C1759=0),0,12-E1759)</f>
        <v>0</v>
      </c>
      <c r="G1759" s="16">
        <f>IF(NOT(Paths!$C$166=1),0,IF(Paths!$P$166="Complete",E1759/12*(Paths!$J$166*(1+'Operating costs'!$B$51)^MAX(0,C1759-1)+Paths!$K$166*(1+'Operating costs'!$B$53)^MAX(0,C1759-1)),"n.a."))</f>
        <v>0</v>
      </c>
      <c r="H1759" s="16">
        <f>IF(NOT(Paths!$C$166=1),0,IF(Paths!$P$166="Complete",F1759/12*(Paths!$L$166*(1+IF(Paths!$D$166="EV",'Operating costs'!$B$52,'Operating costs'!$B$51))^MAX(0,C1759-1)+Paths!$M$166*(1+'Operating costs'!$B$53)^MAX(0,C1759-1)),"n.a."))</f>
        <v>0</v>
      </c>
      <c r="I1759" s="16">
        <f>IF(NOT(Paths!$C$166=1),0,IF(Paths!$P$166="Complete",IF(IF(Paths!$E$166=0,C1759=0,AND(C1759&gt;0,Paths!$E$166&gt;(C1759-1)*12,Paths!$E$166&lt;=C1759*12)),Paths!$G$166,0),"n.a."))</f>
        <v>0</v>
      </c>
      <c r="J1759" s="16">
        <f>IF(NOT(Paths!$C$166=1),0,IF(Paths!$P$166="Complete",IF(IF(Paths!$E$166=0,C1759=0,AND(C1759&gt;0,Paths!$E$166&gt;(C1759-1)*12,Paths!$E$166&lt;=C1759*12)),Paths!$H$166,0),"n.a."))</f>
        <v>0</v>
      </c>
      <c r="K1759" s="16">
        <f>IF(NOT(Paths!$C$166=1),0,IF(Paths!$P$166="Complete",IF(IF(Paths!$O$166=0,C1759=0,AND(C1759&gt;0,Paths!$O$166&gt;(C1759-1)*12,Paths!$O$166&lt;=C1759*12)),Paths!$N$166,0),"n.a."))</f>
        <v>0</v>
      </c>
      <c r="L1759" s="16">
        <f>IF(NOT(Paths!$C$166=1),0,IF(Paths!$P$166="Complete",IF(C1759=10,Paths!$I$166,0),"n.a."))</f>
        <v>0</v>
      </c>
      <c r="M1759" s="16">
        <f>IF(NOT(Paths!$C$166=1),0,IF(Paths!$P$166="Complete",IF(AND(Paths!$D$166="EV",Paths!$E$166&lt;120,Paths!$E$166+'Operating costs'!$B$65&gt;Paths!$E$166,Paths!$E$166+'Operating costs'!$B$65&lt;=120,IF(Paths!$E$166+'Operating costs'!$B$65=0,C1759=0,AND(C1759&gt;0,Paths!$E$166+'Operating costs'!$B$65&gt;(C1759-1)*12,Paths!$E$166+'Operating costs'!$B$65&lt;=C1759*12))),'Operating costs'!$B$64,0)+IF(AND('Operating costs'!$B$67&gt;0,'Operating costs'!$B$67&lt;=120,OR(Paths!$D$166="ICE",'Operating costs'!$B$67&lt;=Paths!$E$166),IF('Operating costs'!$B$67=0,C1759=0,AND(C1759&gt;0,'Operating costs'!$B$67&gt;(C1759-1)*12,'Operating costs'!$B$67&lt;=C1759*12))),'Operating costs'!$B$66,0),"n.a."))</f>
        <v>0</v>
      </c>
      <c r="N1759" s="16">
        <f>IF(NOT(Paths!$C$166=1),0,IF(Paths!$P$166="Complete",SUM(G1759:I1759)-J1759-K1759-L1759+M1759+IF(C1759=0,Paths!$F$166,0)+IF(IF(Paths!$E$166=0,C1759=0,AND(C1759&gt;0,Paths!$E$166&gt;(C1759-1)*12,Paths!$E$166&lt;=C1759*12)),VLOOKUP(A1759,'Fleet register'!$A$7:$S$106,16,FALSE),0),"n.a."))</f>
        <v>0</v>
      </c>
      <c r="O1759" s="16">
        <f>IF(NOT(Paths!$C$166=1),0,IF(Paths!$P$166="Complete",N1759-IF(C1759=0,Paths!$F$166,0),"n.a."))</f>
        <v>0</v>
      </c>
      <c r="P1759" s="16">
        <f>IF(NOT(Paths!$C$166=1),0,IF(Paths!$P$166="Complete",O1759+L1759,"n.a."))</f>
        <v>0</v>
      </c>
      <c r="Q1759" s="16">
        <f>IF(NOT(Paths!$C$166=1),0,IF(Paths!$P$166="Complete",N1759*(1+'Operating costs'!$B$54)^-C1759,"n.a."))</f>
        <v>0</v>
      </c>
      <c r="R1759" s="16">
        <f>IF(NOT(Paths!$C$166=1),0,IF(Paths!$P$166="Complete",IF(AND(C1759=0,Paths!$E$166=0),I1759-J1759-K1759+VLOOKUP(A1759,'Fleet register'!$A$7:$S$106,15,FALSE)+VLOOKUP(A1759,'Fleet register'!$A$7:$S$106,16,FALSE),0),"n.a."))</f>
        <v>0</v>
      </c>
      <c r="S1759" s="1">
        <f>IF(NOT(Paths!$C$166=1),0,IF(Paths!$P$166="Complete",IF(C1759=0,0,Paths!$S$166*Paths!$R$166),"n.a."))</f>
        <v>0</v>
      </c>
      <c r="T1759" s="1">
        <f>IF(NOT(Paths!$C$166=1),0,IF(Paths!$P$166="Complete",IF(C1759=0,0,VLOOKUP(A1759,'Fleet register'!$A$7:$S$106,9,FALSE)*Paths!$R$166),"n.a."))</f>
        <v>0</v>
      </c>
    </row>
    <row r="1760" spans="1:20" ht="24" customHeight="1">
      <c r="A1760" s="1" t="str">
        <f>Paths!$A$166</f>
        <v>T040</v>
      </c>
      <c r="B1760" s="1">
        <f>Paths!$B$166</f>
        <v>3</v>
      </c>
      <c r="C1760" s="1">
        <v>4</v>
      </c>
      <c r="D1760" s="1">
        <v>166</v>
      </c>
      <c r="E1760" s="1">
        <f>IF(OR(Paths!$C$166=0,C1760=0),0,MAX(0,MIN(C1760*12,Paths!$E$166)-(C1760-1)*12))</f>
        <v>0</v>
      </c>
      <c r="F1760" s="1">
        <f>IF(OR(Paths!$C$166=0,C1760=0),0,12-E1760)</f>
        <v>0</v>
      </c>
      <c r="G1760" s="16">
        <f>IF(NOT(Paths!$C$166=1),0,IF(Paths!$P$166="Complete",E1760/12*(Paths!$J$166*(1+'Operating costs'!$B$51)^MAX(0,C1760-1)+Paths!$K$166*(1+'Operating costs'!$B$53)^MAX(0,C1760-1)),"n.a."))</f>
        <v>0</v>
      </c>
      <c r="H1760" s="16">
        <f>IF(NOT(Paths!$C$166=1),0,IF(Paths!$P$166="Complete",F1760/12*(Paths!$L$166*(1+IF(Paths!$D$166="EV",'Operating costs'!$B$52,'Operating costs'!$B$51))^MAX(0,C1760-1)+Paths!$M$166*(1+'Operating costs'!$B$53)^MAX(0,C1760-1)),"n.a."))</f>
        <v>0</v>
      </c>
      <c r="I1760" s="16">
        <f>IF(NOT(Paths!$C$166=1),0,IF(Paths!$P$166="Complete",IF(IF(Paths!$E$166=0,C1760=0,AND(C1760&gt;0,Paths!$E$166&gt;(C1760-1)*12,Paths!$E$166&lt;=C1760*12)),Paths!$G$166,0),"n.a."))</f>
        <v>0</v>
      </c>
      <c r="J1760" s="16">
        <f>IF(NOT(Paths!$C$166=1),0,IF(Paths!$P$166="Complete",IF(IF(Paths!$E$166=0,C1760=0,AND(C1760&gt;0,Paths!$E$166&gt;(C1760-1)*12,Paths!$E$166&lt;=C1760*12)),Paths!$H$166,0),"n.a."))</f>
        <v>0</v>
      </c>
      <c r="K1760" s="16">
        <f>IF(NOT(Paths!$C$166=1),0,IF(Paths!$P$166="Complete",IF(IF(Paths!$O$166=0,C1760=0,AND(C1760&gt;0,Paths!$O$166&gt;(C1760-1)*12,Paths!$O$166&lt;=C1760*12)),Paths!$N$166,0),"n.a."))</f>
        <v>0</v>
      </c>
      <c r="L1760" s="16">
        <f>IF(NOT(Paths!$C$166=1),0,IF(Paths!$P$166="Complete",IF(C1760=10,Paths!$I$166,0),"n.a."))</f>
        <v>0</v>
      </c>
      <c r="M1760" s="16">
        <f>IF(NOT(Paths!$C$166=1),0,IF(Paths!$P$166="Complete",IF(AND(Paths!$D$166="EV",Paths!$E$166&lt;120,Paths!$E$166+'Operating costs'!$B$65&gt;Paths!$E$166,Paths!$E$166+'Operating costs'!$B$65&lt;=120,IF(Paths!$E$166+'Operating costs'!$B$65=0,C1760=0,AND(C1760&gt;0,Paths!$E$166+'Operating costs'!$B$65&gt;(C1760-1)*12,Paths!$E$166+'Operating costs'!$B$65&lt;=C1760*12))),'Operating costs'!$B$64,0)+IF(AND('Operating costs'!$B$67&gt;0,'Operating costs'!$B$67&lt;=120,OR(Paths!$D$166="ICE",'Operating costs'!$B$67&lt;=Paths!$E$166),IF('Operating costs'!$B$67=0,C1760=0,AND(C1760&gt;0,'Operating costs'!$B$67&gt;(C1760-1)*12,'Operating costs'!$B$67&lt;=C1760*12))),'Operating costs'!$B$66,0),"n.a."))</f>
        <v>0</v>
      </c>
      <c r="N1760" s="16">
        <f>IF(NOT(Paths!$C$166=1),0,IF(Paths!$P$166="Complete",SUM(G1760:I1760)-J1760-K1760-L1760+M1760+IF(C1760=0,Paths!$F$166,0)+IF(IF(Paths!$E$166=0,C1760=0,AND(C1760&gt;0,Paths!$E$166&gt;(C1760-1)*12,Paths!$E$166&lt;=C1760*12)),VLOOKUP(A1760,'Fleet register'!$A$7:$S$106,16,FALSE),0),"n.a."))</f>
        <v>0</v>
      </c>
      <c r="O1760" s="16">
        <f>IF(NOT(Paths!$C$166=1),0,IF(Paths!$P$166="Complete",N1760-IF(C1760=0,Paths!$F$166,0),"n.a."))</f>
        <v>0</v>
      </c>
      <c r="P1760" s="16">
        <f>IF(NOT(Paths!$C$166=1),0,IF(Paths!$P$166="Complete",O1760+L1760,"n.a."))</f>
        <v>0</v>
      </c>
      <c r="Q1760" s="16">
        <f>IF(NOT(Paths!$C$166=1),0,IF(Paths!$P$166="Complete",N1760*(1+'Operating costs'!$B$54)^-C1760,"n.a."))</f>
        <v>0</v>
      </c>
      <c r="R1760" s="16">
        <f>IF(NOT(Paths!$C$166=1),0,IF(Paths!$P$166="Complete",IF(AND(C1760=0,Paths!$E$166=0),I1760-J1760-K1760+VLOOKUP(A1760,'Fleet register'!$A$7:$S$106,15,FALSE)+VLOOKUP(A1760,'Fleet register'!$A$7:$S$106,16,FALSE),0),"n.a."))</f>
        <v>0</v>
      </c>
      <c r="S1760" s="1">
        <f>IF(NOT(Paths!$C$166=1),0,IF(Paths!$P$166="Complete",IF(C1760=0,0,Paths!$S$166*Paths!$R$166),"n.a."))</f>
        <v>0</v>
      </c>
      <c r="T1760" s="1">
        <f>IF(NOT(Paths!$C$166=1),0,IF(Paths!$P$166="Complete",IF(C1760=0,0,VLOOKUP(A1760,'Fleet register'!$A$7:$S$106,9,FALSE)*Paths!$R$166),"n.a."))</f>
        <v>0</v>
      </c>
    </row>
    <row r="1761" spans="1:20" ht="24" customHeight="1">
      <c r="A1761" s="1" t="str">
        <f>Paths!$A$166</f>
        <v>T040</v>
      </c>
      <c r="B1761" s="1">
        <f>Paths!$B$166</f>
        <v>3</v>
      </c>
      <c r="C1761" s="1">
        <v>5</v>
      </c>
      <c r="D1761" s="1">
        <v>166</v>
      </c>
      <c r="E1761" s="1">
        <f>IF(OR(Paths!$C$166=0,C1761=0),0,MAX(0,MIN(C1761*12,Paths!$E$166)-(C1761-1)*12))</f>
        <v>0</v>
      </c>
      <c r="F1761" s="1">
        <f>IF(OR(Paths!$C$166=0,C1761=0),0,12-E1761)</f>
        <v>0</v>
      </c>
      <c r="G1761" s="16">
        <f>IF(NOT(Paths!$C$166=1),0,IF(Paths!$P$166="Complete",E1761/12*(Paths!$J$166*(1+'Operating costs'!$B$51)^MAX(0,C1761-1)+Paths!$K$166*(1+'Operating costs'!$B$53)^MAX(0,C1761-1)),"n.a."))</f>
        <v>0</v>
      </c>
      <c r="H1761" s="16">
        <f>IF(NOT(Paths!$C$166=1),0,IF(Paths!$P$166="Complete",F1761/12*(Paths!$L$166*(1+IF(Paths!$D$166="EV",'Operating costs'!$B$52,'Operating costs'!$B$51))^MAX(0,C1761-1)+Paths!$M$166*(1+'Operating costs'!$B$53)^MAX(0,C1761-1)),"n.a."))</f>
        <v>0</v>
      </c>
      <c r="I1761" s="16">
        <f>IF(NOT(Paths!$C$166=1),0,IF(Paths!$P$166="Complete",IF(IF(Paths!$E$166=0,C1761=0,AND(C1761&gt;0,Paths!$E$166&gt;(C1761-1)*12,Paths!$E$166&lt;=C1761*12)),Paths!$G$166,0),"n.a."))</f>
        <v>0</v>
      </c>
      <c r="J1761" s="16">
        <f>IF(NOT(Paths!$C$166=1),0,IF(Paths!$P$166="Complete",IF(IF(Paths!$E$166=0,C1761=0,AND(C1761&gt;0,Paths!$E$166&gt;(C1761-1)*12,Paths!$E$166&lt;=C1761*12)),Paths!$H$166,0),"n.a."))</f>
        <v>0</v>
      </c>
      <c r="K1761" s="16">
        <f>IF(NOT(Paths!$C$166=1),0,IF(Paths!$P$166="Complete",IF(IF(Paths!$O$166=0,C1761=0,AND(C1761&gt;0,Paths!$O$166&gt;(C1761-1)*12,Paths!$O$166&lt;=C1761*12)),Paths!$N$166,0),"n.a."))</f>
        <v>0</v>
      </c>
      <c r="L1761" s="16">
        <f>IF(NOT(Paths!$C$166=1),0,IF(Paths!$P$166="Complete",IF(C1761=10,Paths!$I$166,0),"n.a."))</f>
        <v>0</v>
      </c>
      <c r="M1761" s="16">
        <f>IF(NOT(Paths!$C$166=1),0,IF(Paths!$P$166="Complete",IF(AND(Paths!$D$166="EV",Paths!$E$166&lt;120,Paths!$E$166+'Operating costs'!$B$65&gt;Paths!$E$166,Paths!$E$166+'Operating costs'!$B$65&lt;=120,IF(Paths!$E$166+'Operating costs'!$B$65=0,C1761=0,AND(C1761&gt;0,Paths!$E$166+'Operating costs'!$B$65&gt;(C1761-1)*12,Paths!$E$166+'Operating costs'!$B$65&lt;=C1761*12))),'Operating costs'!$B$64,0)+IF(AND('Operating costs'!$B$67&gt;0,'Operating costs'!$B$67&lt;=120,OR(Paths!$D$166="ICE",'Operating costs'!$B$67&lt;=Paths!$E$166),IF('Operating costs'!$B$67=0,C1761=0,AND(C1761&gt;0,'Operating costs'!$B$67&gt;(C1761-1)*12,'Operating costs'!$B$67&lt;=C1761*12))),'Operating costs'!$B$66,0),"n.a."))</f>
        <v>0</v>
      </c>
      <c r="N1761" s="16">
        <f>IF(NOT(Paths!$C$166=1),0,IF(Paths!$P$166="Complete",SUM(G1761:I1761)-J1761-K1761-L1761+M1761+IF(C1761=0,Paths!$F$166,0)+IF(IF(Paths!$E$166=0,C1761=0,AND(C1761&gt;0,Paths!$E$166&gt;(C1761-1)*12,Paths!$E$166&lt;=C1761*12)),VLOOKUP(A1761,'Fleet register'!$A$7:$S$106,16,FALSE),0),"n.a."))</f>
        <v>0</v>
      </c>
      <c r="O1761" s="16">
        <f>IF(NOT(Paths!$C$166=1),0,IF(Paths!$P$166="Complete",N1761-IF(C1761=0,Paths!$F$166,0),"n.a."))</f>
        <v>0</v>
      </c>
      <c r="P1761" s="16">
        <f>IF(NOT(Paths!$C$166=1),0,IF(Paths!$P$166="Complete",O1761+L1761,"n.a."))</f>
        <v>0</v>
      </c>
      <c r="Q1761" s="16">
        <f>IF(NOT(Paths!$C$166=1),0,IF(Paths!$P$166="Complete",N1761*(1+'Operating costs'!$B$54)^-C1761,"n.a."))</f>
        <v>0</v>
      </c>
      <c r="R1761" s="16">
        <f>IF(NOT(Paths!$C$166=1),0,IF(Paths!$P$166="Complete",IF(AND(C1761=0,Paths!$E$166=0),I1761-J1761-K1761+VLOOKUP(A1761,'Fleet register'!$A$7:$S$106,15,FALSE)+VLOOKUP(A1761,'Fleet register'!$A$7:$S$106,16,FALSE),0),"n.a."))</f>
        <v>0</v>
      </c>
      <c r="S1761" s="1">
        <f>IF(NOT(Paths!$C$166=1),0,IF(Paths!$P$166="Complete",IF(C1761=0,0,Paths!$S$166*Paths!$R$166),"n.a."))</f>
        <v>0</v>
      </c>
      <c r="T1761" s="1">
        <f>IF(NOT(Paths!$C$166=1),0,IF(Paths!$P$166="Complete",IF(C1761=0,0,VLOOKUP(A1761,'Fleet register'!$A$7:$S$106,9,FALSE)*Paths!$R$166),"n.a."))</f>
        <v>0</v>
      </c>
    </row>
    <row r="1762" spans="1:20" ht="24" customHeight="1">
      <c r="A1762" s="1" t="str">
        <f>Paths!$A$166</f>
        <v>T040</v>
      </c>
      <c r="B1762" s="1">
        <f>Paths!$B$166</f>
        <v>3</v>
      </c>
      <c r="C1762" s="1">
        <v>6</v>
      </c>
      <c r="D1762" s="1">
        <v>166</v>
      </c>
      <c r="E1762" s="1">
        <f>IF(OR(Paths!$C$166=0,C1762=0),0,MAX(0,MIN(C1762*12,Paths!$E$166)-(C1762-1)*12))</f>
        <v>0</v>
      </c>
      <c r="F1762" s="1">
        <f>IF(OR(Paths!$C$166=0,C1762=0),0,12-E1762)</f>
        <v>0</v>
      </c>
      <c r="G1762" s="16">
        <f>IF(NOT(Paths!$C$166=1),0,IF(Paths!$P$166="Complete",E1762/12*(Paths!$J$166*(1+'Operating costs'!$B$51)^MAX(0,C1762-1)+Paths!$K$166*(1+'Operating costs'!$B$53)^MAX(0,C1762-1)),"n.a."))</f>
        <v>0</v>
      </c>
      <c r="H1762" s="16">
        <f>IF(NOT(Paths!$C$166=1),0,IF(Paths!$P$166="Complete",F1762/12*(Paths!$L$166*(1+IF(Paths!$D$166="EV",'Operating costs'!$B$52,'Operating costs'!$B$51))^MAX(0,C1762-1)+Paths!$M$166*(1+'Operating costs'!$B$53)^MAX(0,C1762-1)),"n.a."))</f>
        <v>0</v>
      </c>
      <c r="I1762" s="16">
        <f>IF(NOT(Paths!$C$166=1),0,IF(Paths!$P$166="Complete",IF(IF(Paths!$E$166=0,C1762=0,AND(C1762&gt;0,Paths!$E$166&gt;(C1762-1)*12,Paths!$E$166&lt;=C1762*12)),Paths!$G$166,0),"n.a."))</f>
        <v>0</v>
      </c>
      <c r="J1762" s="16">
        <f>IF(NOT(Paths!$C$166=1),0,IF(Paths!$P$166="Complete",IF(IF(Paths!$E$166=0,C1762=0,AND(C1762&gt;0,Paths!$E$166&gt;(C1762-1)*12,Paths!$E$166&lt;=C1762*12)),Paths!$H$166,0),"n.a."))</f>
        <v>0</v>
      </c>
      <c r="K1762" s="16">
        <f>IF(NOT(Paths!$C$166=1),0,IF(Paths!$P$166="Complete",IF(IF(Paths!$O$166=0,C1762=0,AND(C1762&gt;0,Paths!$O$166&gt;(C1762-1)*12,Paths!$O$166&lt;=C1762*12)),Paths!$N$166,0),"n.a."))</f>
        <v>0</v>
      </c>
      <c r="L1762" s="16">
        <f>IF(NOT(Paths!$C$166=1),0,IF(Paths!$P$166="Complete",IF(C1762=10,Paths!$I$166,0),"n.a."))</f>
        <v>0</v>
      </c>
      <c r="M1762" s="16">
        <f>IF(NOT(Paths!$C$166=1),0,IF(Paths!$P$166="Complete",IF(AND(Paths!$D$166="EV",Paths!$E$166&lt;120,Paths!$E$166+'Operating costs'!$B$65&gt;Paths!$E$166,Paths!$E$166+'Operating costs'!$B$65&lt;=120,IF(Paths!$E$166+'Operating costs'!$B$65=0,C1762=0,AND(C1762&gt;0,Paths!$E$166+'Operating costs'!$B$65&gt;(C1762-1)*12,Paths!$E$166+'Operating costs'!$B$65&lt;=C1762*12))),'Operating costs'!$B$64,0)+IF(AND('Operating costs'!$B$67&gt;0,'Operating costs'!$B$67&lt;=120,OR(Paths!$D$166="ICE",'Operating costs'!$B$67&lt;=Paths!$E$166),IF('Operating costs'!$B$67=0,C1762=0,AND(C1762&gt;0,'Operating costs'!$B$67&gt;(C1762-1)*12,'Operating costs'!$B$67&lt;=C1762*12))),'Operating costs'!$B$66,0),"n.a."))</f>
        <v>0</v>
      </c>
      <c r="N1762" s="16">
        <f>IF(NOT(Paths!$C$166=1),0,IF(Paths!$P$166="Complete",SUM(G1762:I1762)-J1762-K1762-L1762+M1762+IF(C1762=0,Paths!$F$166,0)+IF(IF(Paths!$E$166=0,C1762=0,AND(C1762&gt;0,Paths!$E$166&gt;(C1762-1)*12,Paths!$E$166&lt;=C1762*12)),VLOOKUP(A1762,'Fleet register'!$A$7:$S$106,16,FALSE),0),"n.a."))</f>
        <v>0</v>
      </c>
      <c r="O1762" s="16">
        <f>IF(NOT(Paths!$C$166=1),0,IF(Paths!$P$166="Complete",N1762-IF(C1762=0,Paths!$F$166,0),"n.a."))</f>
        <v>0</v>
      </c>
      <c r="P1762" s="16">
        <f>IF(NOT(Paths!$C$166=1),0,IF(Paths!$P$166="Complete",O1762+L1762,"n.a."))</f>
        <v>0</v>
      </c>
      <c r="Q1762" s="16">
        <f>IF(NOT(Paths!$C$166=1),0,IF(Paths!$P$166="Complete",N1762*(1+'Operating costs'!$B$54)^-C1762,"n.a."))</f>
        <v>0</v>
      </c>
      <c r="R1762" s="16">
        <f>IF(NOT(Paths!$C$166=1),0,IF(Paths!$P$166="Complete",IF(AND(C1762=0,Paths!$E$166=0),I1762-J1762-K1762+VLOOKUP(A1762,'Fleet register'!$A$7:$S$106,15,FALSE)+VLOOKUP(A1762,'Fleet register'!$A$7:$S$106,16,FALSE),0),"n.a."))</f>
        <v>0</v>
      </c>
      <c r="S1762" s="1">
        <f>IF(NOT(Paths!$C$166=1),0,IF(Paths!$P$166="Complete",IF(C1762=0,0,Paths!$S$166*Paths!$R$166),"n.a."))</f>
        <v>0</v>
      </c>
      <c r="T1762" s="1">
        <f>IF(NOT(Paths!$C$166=1),0,IF(Paths!$P$166="Complete",IF(C1762=0,0,VLOOKUP(A1762,'Fleet register'!$A$7:$S$106,9,FALSE)*Paths!$R$166),"n.a."))</f>
        <v>0</v>
      </c>
    </row>
    <row r="1763" spans="1:20" ht="24" customHeight="1">
      <c r="A1763" s="1" t="str">
        <f>Paths!$A$166</f>
        <v>T040</v>
      </c>
      <c r="B1763" s="1">
        <f>Paths!$B$166</f>
        <v>3</v>
      </c>
      <c r="C1763" s="1">
        <v>7</v>
      </c>
      <c r="D1763" s="1">
        <v>166</v>
      </c>
      <c r="E1763" s="1">
        <f>IF(OR(Paths!$C$166=0,C1763=0),0,MAX(0,MIN(C1763*12,Paths!$E$166)-(C1763-1)*12))</f>
        <v>0</v>
      </c>
      <c r="F1763" s="1">
        <f>IF(OR(Paths!$C$166=0,C1763=0),0,12-E1763)</f>
        <v>0</v>
      </c>
      <c r="G1763" s="16">
        <f>IF(NOT(Paths!$C$166=1),0,IF(Paths!$P$166="Complete",E1763/12*(Paths!$J$166*(1+'Operating costs'!$B$51)^MAX(0,C1763-1)+Paths!$K$166*(1+'Operating costs'!$B$53)^MAX(0,C1763-1)),"n.a."))</f>
        <v>0</v>
      </c>
      <c r="H1763" s="16">
        <f>IF(NOT(Paths!$C$166=1),0,IF(Paths!$P$166="Complete",F1763/12*(Paths!$L$166*(1+IF(Paths!$D$166="EV",'Operating costs'!$B$52,'Operating costs'!$B$51))^MAX(0,C1763-1)+Paths!$M$166*(1+'Operating costs'!$B$53)^MAX(0,C1763-1)),"n.a."))</f>
        <v>0</v>
      </c>
      <c r="I1763" s="16">
        <f>IF(NOT(Paths!$C$166=1),0,IF(Paths!$P$166="Complete",IF(IF(Paths!$E$166=0,C1763=0,AND(C1763&gt;0,Paths!$E$166&gt;(C1763-1)*12,Paths!$E$166&lt;=C1763*12)),Paths!$G$166,0),"n.a."))</f>
        <v>0</v>
      </c>
      <c r="J1763" s="16">
        <f>IF(NOT(Paths!$C$166=1),0,IF(Paths!$P$166="Complete",IF(IF(Paths!$E$166=0,C1763=0,AND(C1763&gt;0,Paths!$E$166&gt;(C1763-1)*12,Paths!$E$166&lt;=C1763*12)),Paths!$H$166,0),"n.a."))</f>
        <v>0</v>
      </c>
      <c r="K1763" s="16">
        <f>IF(NOT(Paths!$C$166=1),0,IF(Paths!$P$166="Complete",IF(IF(Paths!$O$166=0,C1763=0,AND(C1763&gt;0,Paths!$O$166&gt;(C1763-1)*12,Paths!$O$166&lt;=C1763*12)),Paths!$N$166,0),"n.a."))</f>
        <v>0</v>
      </c>
      <c r="L1763" s="16">
        <f>IF(NOT(Paths!$C$166=1),0,IF(Paths!$P$166="Complete",IF(C1763=10,Paths!$I$166,0),"n.a."))</f>
        <v>0</v>
      </c>
      <c r="M1763" s="16">
        <f>IF(NOT(Paths!$C$166=1),0,IF(Paths!$P$166="Complete",IF(AND(Paths!$D$166="EV",Paths!$E$166&lt;120,Paths!$E$166+'Operating costs'!$B$65&gt;Paths!$E$166,Paths!$E$166+'Operating costs'!$B$65&lt;=120,IF(Paths!$E$166+'Operating costs'!$B$65=0,C1763=0,AND(C1763&gt;0,Paths!$E$166+'Operating costs'!$B$65&gt;(C1763-1)*12,Paths!$E$166+'Operating costs'!$B$65&lt;=C1763*12))),'Operating costs'!$B$64,0)+IF(AND('Operating costs'!$B$67&gt;0,'Operating costs'!$B$67&lt;=120,OR(Paths!$D$166="ICE",'Operating costs'!$B$67&lt;=Paths!$E$166),IF('Operating costs'!$B$67=0,C1763=0,AND(C1763&gt;0,'Operating costs'!$B$67&gt;(C1763-1)*12,'Operating costs'!$B$67&lt;=C1763*12))),'Operating costs'!$B$66,0),"n.a."))</f>
        <v>0</v>
      </c>
      <c r="N1763" s="16">
        <f>IF(NOT(Paths!$C$166=1),0,IF(Paths!$P$166="Complete",SUM(G1763:I1763)-J1763-K1763-L1763+M1763+IF(C1763=0,Paths!$F$166,0)+IF(IF(Paths!$E$166=0,C1763=0,AND(C1763&gt;0,Paths!$E$166&gt;(C1763-1)*12,Paths!$E$166&lt;=C1763*12)),VLOOKUP(A1763,'Fleet register'!$A$7:$S$106,16,FALSE),0),"n.a."))</f>
        <v>0</v>
      </c>
      <c r="O1763" s="16">
        <f>IF(NOT(Paths!$C$166=1),0,IF(Paths!$P$166="Complete",N1763-IF(C1763=0,Paths!$F$166,0),"n.a."))</f>
        <v>0</v>
      </c>
      <c r="P1763" s="16">
        <f>IF(NOT(Paths!$C$166=1),0,IF(Paths!$P$166="Complete",O1763+L1763,"n.a."))</f>
        <v>0</v>
      </c>
      <c r="Q1763" s="16">
        <f>IF(NOT(Paths!$C$166=1),0,IF(Paths!$P$166="Complete",N1763*(1+'Operating costs'!$B$54)^-C1763,"n.a."))</f>
        <v>0</v>
      </c>
      <c r="R1763" s="16">
        <f>IF(NOT(Paths!$C$166=1),0,IF(Paths!$P$166="Complete",IF(AND(C1763=0,Paths!$E$166=0),I1763-J1763-K1763+VLOOKUP(A1763,'Fleet register'!$A$7:$S$106,15,FALSE)+VLOOKUP(A1763,'Fleet register'!$A$7:$S$106,16,FALSE),0),"n.a."))</f>
        <v>0</v>
      </c>
      <c r="S1763" s="1">
        <f>IF(NOT(Paths!$C$166=1),0,IF(Paths!$P$166="Complete",IF(C1763=0,0,Paths!$S$166*Paths!$R$166),"n.a."))</f>
        <v>0</v>
      </c>
      <c r="T1763" s="1">
        <f>IF(NOT(Paths!$C$166=1),0,IF(Paths!$P$166="Complete",IF(C1763=0,0,VLOOKUP(A1763,'Fleet register'!$A$7:$S$106,9,FALSE)*Paths!$R$166),"n.a."))</f>
        <v>0</v>
      </c>
    </row>
    <row r="1764" spans="1:20" ht="24" customHeight="1">
      <c r="A1764" s="1" t="str">
        <f>Paths!$A$166</f>
        <v>T040</v>
      </c>
      <c r="B1764" s="1">
        <f>Paths!$B$166</f>
        <v>3</v>
      </c>
      <c r="C1764" s="1">
        <v>8</v>
      </c>
      <c r="D1764" s="1">
        <v>166</v>
      </c>
      <c r="E1764" s="1">
        <f>IF(OR(Paths!$C$166=0,C1764=0),0,MAX(0,MIN(C1764*12,Paths!$E$166)-(C1764-1)*12))</f>
        <v>0</v>
      </c>
      <c r="F1764" s="1">
        <f>IF(OR(Paths!$C$166=0,C1764=0),0,12-E1764)</f>
        <v>0</v>
      </c>
      <c r="G1764" s="16">
        <f>IF(NOT(Paths!$C$166=1),0,IF(Paths!$P$166="Complete",E1764/12*(Paths!$J$166*(1+'Operating costs'!$B$51)^MAX(0,C1764-1)+Paths!$K$166*(1+'Operating costs'!$B$53)^MAX(0,C1764-1)),"n.a."))</f>
        <v>0</v>
      </c>
      <c r="H1764" s="16">
        <f>IF(NOT(Paths!$C$166=1),0,IF(Paths!$P$166="Complete",F1764/12*(Paths!$L$166*(1+IF(Paths!$D$166="EV",'Operating costs'!$B$52,'Operating costs'!$B$51))^MAX(0,C1764-1)+Paths!$M$166*(1+'Operating costs'!$B$53)^MAX(0,C1764-1)),"n.a."))</f>
        <v>0</v>
      </c>
      <c r="I1764" s="16">
        <f>IF(NOT(Paths!$C$166=1),0,IF(Paths!$P$166="Complete",IF(IF(Paths!$E$166=0,C1764=0,AND(C1764&gt;0,Paths!$E$166&gt;(C1764-1)*12,Paths!$E$166&lt;=C1764*12)),Paths!$G$166,0),"n.a."))</f>
        <v>0</v>
      </c>
      <c r="J1764" s="16">
        <f>IF(NOT(Paths!$C$166=1),0,IF(Paths!$P$166="Complete",IF(IF(Paths!$E$166=0,C1764=0,AND(C1764&gt;0,Paths!$E$166&gt;(C1764-1)*12,Paths!$E$166&lt;=C1764*12)),Paths!$H$166,0),"n.a."))</f>
        <v>0</v>
      </c>
      <c r="K1764" s="16">
        <f>IF(NOT(Paths!$C$166=1),0,IF(Paths!$P$166="Complete",IF(IF(Paths!$O$166=0,C1764=0,AND(C1764&gt;0,Paths!$O$166&gt;(C1764-1)*12,Paths!$O$166&lt;=C1764*12)),Paths!$N$166,0),"n.a."))</f>
        <v>0</v>
      </c>
      <c r="L1764" s="16">
        <f>IF(NOT(Paths!$C$166=1),0,IF(Paths!$P$166="Complete",IF(C1764=10,Paths!$I$166,0),"n.a."))</f>
        <v>0</v>
      </c>
      <c r="M1764" s="16">
        <f>IF(NOT(Paths!$C$166=1),0,IF(Paths!$P$166="Complete",IF(AND(Paths!$D$166="EV",Paths!$E$166&lt;120,Paths!$E$166+'Operating costs'!$B$65&gt;Paths!$E$166,Paths!$E$166+'Operating costs'!$B$65&lt;=120,IF(Paths!$E$166+'Operating costs'!$B$65=0,C1764=0,AND(C1764&gt;0,Paths!$E$166+'Operating costs'!$B$65&gt;(C1764-1)*12,Paths!$E$166+'Operating costs'!$B$65&lt;=C1764*12))),'Operating costs'!$B$64,0)+IF(AND('Operating costs'!$B$67&gt;0,'Operating costs'!$B$67&lt;=120,OR(Paths!$D$166="ICE",'Operating costs'!$B$67&lt;=Paths!$E$166),IF('Operating costs'!$B$67=0,C1764=0,AND(C1764&gt;0,'Operating costs'!$B$67&gt;(C1764-1)*12,'Operating costs'!$B$67&lt;=C1764*12))),'Operating costs'!$B$66,0),"n.a."))</f>
        <v>0</v>
      </c>
      <c r="N1764" s="16">
        <f>IF(NOT(Paths!$C$166=1),0,IF(Paths!$P$166="Complete",SUM(G1764:I1764)-J1764-K1764-L1764+M1764+IF(C1764=0,Paths!$F$166,0)+IF(IF(Paths!$E$166=0,C1764=0,AND(C1764&gt;0,Paths!$E$166&gt;(C1764-1)*12,Paths!$E$166&lt;=C1764*12)),VLOOKUP(A1764,'Fleet register'!$A$7:$S$106,16,FALSE),0),"n.a."))</f>
        <v>0</v>
      </c>
      <c r="O1764" s="16">
        <f>IF(NOT(Paths!$C$166=1),0,IF(Paths!$P$166="Complete",N1764-IF(C1764=0,Paths!$F$166,0),"n.a."))</f>
        <v>0</v>
      </c>
      <c r="P1764" s="16">
        <f>IF(NOT(Paths!$C$166=1),0,IF(Paths!$P$166="Complete",O1764+L1764,"n.a."))</f>
        <v>0</v>
      </c>
      <c r="Q1764" s="16">
        <f>IF(NOT(Paths!$C$166=1),0,IF(Paths!$P$166="Complete",N1764*(1+'Operating costs'!$B$54)^-C1764,"n.a."))</f>
        <v>0</v>
      </c>
      <c r="R1764" s="16">
        <f>IF(NOT(Paths!$C$166=1),0,IF(Paths!$P$166="Complete",IF(AND(C1764=0,Paths!$E$166=0),I1764-J1764-K1764+VLOOKUP(A1764,'Fleet register'!$A$7:$S$106,15,FALSE)+VLOOKUP(A1764,'Fleet register'!$A$7:$S$106,16,FALSE),0),"n.a."))</f>
        <v>0</v>
      </c>
      <c r="S1764" s="1">
        <f>IF(NOT(Paths!$C$166=1),0,IF(Paths!$P$166="Complete",IF(C1764=0,0,Paths!$S$166*Paths!$R$166),"n.a."))</f>
        <v>0</v>
      </c>
      <c r="T1764" s="1">
        <f>IF(NOT(Paths!$C$166=1),0,IF(Paths!$P$166="Complete",IF(C1764=0,0,VLOOKUP(A1764,'Fleet register'!$A$7:$S$106,9,FALSE)*Paths!$R$166),"n.a."))</f>
        <v>0</v>
      </c>
    </row>
    <row r="1765" spans="1:20" ht="24" customHeight="1">
      <c r="A1765" s="1" t="str">
        <f>Paths!$A$166</f>
        <v>T040</v>
      </c>
      <c r="B1765" s="1">
        <f>Paths!$B$166</f>
        <v>3</v>
      </c>
      <c r="C1765" s="1">
        <v>9</v>
      </c>
      <c r="D1765" s="1">
        <v>166</v>
      </c>
      <c r="E1765" s="1">
        <f>IF(OR(Paths!$C$166=0,C1765=0),0,MAX(0,MIN(C1765*12,Paths!$E$166)-(C1765-1)*12))</f>
        <v>0</v>
      </c>
      <c r="F1765" s="1">
        <f>IF(OR(Paths!$C$166=0,C1765=0),0,12-E1765)</f>
        <v>0</v>
      </c>
      <c r="G1765" s="16">
        <f>IF(NOT(Paths!$C$166=1),0,IF(Paths!$P$166="Complete",E1765/12*(Paths!$J$166*(1+'Operating costs'!$B$51)^MAX(0,C1765-1)+Paths!$K$166*(1+'Operating costs'!$B$53)^MAX(0,C1765-1)),"n.a."))</f>
        <v>0</v>
      </c>
      <c r="H1765" s="16">
        <f>IF(NOT(Paths!$C$166=1),0,IF(Paths!$P$166="Complete",F1765/12*(Paths!$L$166*(1+IF(Paths!$D$166="EV",'Operating costs'!$B$52,'Operating costs'!$B$51))^MAX(0,C1765-1)+Paths!$M$166*(1+'Operating costs'!$B$53)^MAX(0,C1765-1)),"n.a."))</f>
        <v>0</v>
      </c>
      <c r="I1765" s="16">
        <f>IF(NOT(Paths!$C$166=1),0,IF(Paths!$P$166="Complete",IF(IF(Paths!$E$166=0,C1765=0,AND(C1765&gt;0,Paths!$E$166&gt;(C1765-1)*12,Paths!$E$166&lt;=C1765*12)),Paths!$G$166,0),"n.a."))</f>
        <v>0</v>
      </c>
      <c r="J1765" s="16">
        <f>IF(NOT(Paths!$C$166=1),0,IF(Paths!$P$166="Complete",IF(IF(Paths!$E$166=0,C1765=0,AND(C1765&gt;0,Paths!$E$166&gt;(C1765-1)*12,Paths!$E$166&lt;=C1765*12)),Paths!$H$166,0),"n.a."))</f>
        <v>0</v>
      </c>
      <c r="K1765" s="16">
        <f>IF(NOT(Paths!$C$166=1),0,IF(Paths!$P$166="Complete",IF(IF(Paths!$O$166=0,C1765=0,AND(C1765&gt;0,Paths!$O$166&gt;(C1765-1)*12,Paths!$O$166&lt;=C1765*12)),Paths!$N$166,0),"n.a."))</f>
        <v>0</v>
      </c>
      <c r="L1765" s="16">
        <f>IF(NOT(Paths!$C$166=1),0,IF(Paths!$P$166="Complete",IF(C1765=10,Paths!$I$166,0),"n.a."))</f>
        <v>0</v>
      </c>
      <c r="M1765" s="16">
        <f>IF(NOT(Paths!$C$166=1),0,IF(Paths!$P$166="Complete",IF(AND(Paths!$D$166="EV",Paths!$E$166&lt;120,Paths!$E$166+'Operating costs'!$B$65&gt;Paths!$E$166,Paths!$E$166+'Operating costs'!$B$65&lt;=120,IF(Paths!$E$166+'Operating costs'!$B$65=0,C1765=0,AND(C1765&gt;0,Paths!$E$166+'Operating costs'!$B$65&gt;(C1765-1)*12,Paths!$E$166+'Operating costs'!$B$65&lt;=C1765*12))),'Operating costs'!$B$64,0)+IF(AND('Operating costs'!$B$67&gt;0,'Operating costs'!$B$67&lt;=120,OR(Paths!$D$166="ICE",'Operating costs'!$B$67&lt;=Paths!$E$166),IF('Operating costs'!$B$67=0,C1765=0,AND(C1765&gt;0,'Operating costs'!$B$67&gt;(C1765-1)*12,'Operating costs'!$B$67&lt;=C1765*12))),'Operating costs'!$B$66,0),"n.a."))</f>
        <v>0</v>
      </c>
      <c r="N1765" s="16">
        <f>IF(NOT(Paths!$C$166=1),0,IF(Paths!$P$166="Complete",SUM(G1765:I1765)-J1765-K1765-L1765+M1765+IF(C1765=0,Paths!$F$166,0)+IF(IF(Paths!$E$166=0,C1765=0,AND(C1765&gt;0,Paths!$E$166&gt;(C1765-1)*12,Paths!$E$166&lt;=C1765*12)),VLOOKUP(A1765,'Fleet register'!$A$7:$S$106,16,FALSE),0),"n.a."))</f>
        <v>0</v>
      </c>
      <c r="O1765" s="16">
        <f>IF(NOT(Paths!$C$166=1),0,IF(Paths!$P$166="Complete",N1765-IF(C1765=0,Paths!$F$166,0),"n.a."))</f>
        <v>0</v>
      </c>
      <c r="P1765" s="16">
        <f>IF(NOT(Paths!$C$166=1),0,IF(Paths!$P$166="Complete",O1765+L1765,"n.a."))</f>
        <v>0</v>
      </c>
      <c r="Q1765" s="16">
        <f>IF(NOT(Paths!$C$166=1),0,IF(Paths!$P$166="Complete",N1765*(1+'Operating costs'!$B$54)^-C1765,"n.a."))</f>
        <v>0</v>
      </c>
      <c r="R1765" s="16">
        <f>IF(NOT(Paths!$C$166=1),0,IF(Paths!$P$166="Complete",IF(AND(C1765=0,Paths!$E$166=0),I1765-J1765-K1765+VLOOKUP(A1765,'Fleet register'!$A$7:$S$106,15,FALSE)+VLOOKUP(A1765,'Fleet register'!$A$7:$S$106,16,FALSE),0),"n.a."))</f>
        <v>0</v>
      </c>
      <c r="S1765" s="1">
        <f>IF(NOT(Paths!$C$166=1),0,IF(Paths!$P$166="Complete",IF(C1765=0,0,Paths!$S$166*Paths!$R$166),"n.a."))</f>
        <v>0</v>
      </c>
      <c r="T1765" s="1">
        <f>IF(NOT(Paths!$C$166=1),0,IF(Paths!$P$166="Complete",IF(C1765=0,0,VLOOKUP(A1765,'Fleet register'!$A$7:$S$106,9,FALSE)*Paths!$R$166),"n.a."))</f>
        <v>0</v>
      </c>
    </row>
    <row r="1766" spans="1:20" ht="24" customHeight="1">
      <c r="A1766" s="1" t="str">
        <f>Paths!$A$166</f>
        <v>T040</v>
      </c>
      <c r="B1766" s="1">
        <f>Paths!$B$166</f>
        <v>3</v>
      </c>
      <c r="C1766" s="1">
        <v>10</v>
      </c>
      <c r="D1766" s="1">
        <v>166</v>
      </c>
      <c r="E1766" s="1">
        <f>IF(OR(Paths!$C$166=0,C1766=0),0,MAX(0,MIN(C1766*12,Paths!$E$166)-(C1766-1)*12))</f>
        <v>0</v>
      </c>
      <c r="F1766" s="1">
        <f>IF(OR(Paths!$C$166=0,C1766=0),0,12-E1766)</f>
        <v>0</v>
      </c>
      <c r="G1766" s="16">
        <f>IF(NOT(Paths!$C$166=1),0,IF(Paths!$P$166="Complete",E1766/12*(Paths!$J$166*(1+'Operating costs'!$B$51)^MAX(0,C1766-1)+Paths!$K$166*(1+'Operating costs'!$B$53)^MAX(0,C1766-1)),"n.a."))</f>
        <v>0</v>
      </c>
      <c r="H1766" s="16">
        <f>IF(NOT(Paths!$C$166=1),0,IF(Paths!$P$166="Complete",F1766/12*(Paths!$L$166*(1+IF(Paths!$D$166="EV",'Operating costs'!$B$52,'Operating costs'!$B$51))^MAX(0,C1766-1)+Paths!$M$166*(1+'Operating costs'!$B$53)^MAX(0,C1766-1)),"n.a."))</f>
        <v>0</v>
      </c>
      <c r="I1766" s="16">
        <f>IF(NOT(Paths!$C$166=1),0,IF(Paths!$P$166="Complete",IF(IF(Paths!$E$166=0,C1766=0,AND(C1766&gt;0,Paths!$E$166&gt;(C1766-1)*12,Paths!$E$166&lt;=C1766*12)),Paths!$G$166,0),"n.a."))</f>
        <v>0</v>
      </c>
      <c r="J1766" s="16">
        <f>IF(NOT(Paths!$C$166=1),0,IF(Paths!$P$166="Complete",IF(IF(Paths!$E$166=0,C1766=0,AND(C1766&gt;0,Paths!$E$166&gt;(C1766-1)*12,Paths!$E$166&lt;=C1766*12)),Paths!$H$166,0),"n.a."))</f>
        <v>0</v>
      </c>
      <c r="K1766" s="16">
        <f>IF(NOT(Paths!$C$166=1),0,IF(Paths!$P$166="Complete",IF(IF(Paths!$O$166=0,C1766=0,AND(C1766&gt;0,Paths!$O$166&gt;(C1766-1)*12,Paths!$O$166&lt;=C1766*12)),Paths!$N$166,0),"n.a."))</f>
        <v>0</v>
      </c>
      <c r="L1766" s="16">
        <f>IF(NOT(Paths!$C$166=1),0,IF(Paths!$P$166="Complete",IF(C1766=10,Paths!$I$166,0),"n.a."))</f>
        <v>0</v>
      </c>
      <c r="M1766" s="16">
        <f>IF(NOT(Paths!$C$166=1),0,IF(Paths!$P$166="Complete",IF(AND(Paths!$D$166="EV",Paths!$E$166&lt;120,Paths!$E$166+'Operating costs'!$B$65&gt;Paths!$E$166,Paths!$E$166+'Operating costs'!$B$65&lt;=120,IF(Paths!$E$166+'Operating costs'!$B$65=0,C1766=0,AND(C1766&gt;0,Paths!$E$166+'Operating costs'!$B$65&gt;(C1766-1)*12,Paths!$E$166+'Operating costs'!$B$65&lt;=C1766*12))),'Operating costs'!$B$64,0)+IF(AND('Operating costs'!$B$67&gt;0,'Operating costs'!$B$67&lt;=120,OR(Paths!$D$166="ICE",'Operating costs'!$B$67&lt;=Paths!$E$166),IF('Operating costs'!$B$67=0,C1766=0,AND(C1766&gt;0,'Operating costs'!$B$67&gt;(C1766-1)*12,'Operating costs'!$B$67&lt;=C1766*12))),'Operating costs'!$B$66,0),"n.a."))</f>
        <v>0</v>
      </c>
      <c r="N1766" s="16">
        <f>IF(NOT(Paths!$C$166=1),0,IF(Paths!$P$166="Complete",SUM(G1766:I1766)-J1766-K1766-L1766+M1766+IF(C1766=0,Paths!$F$166,0)+IF(IF(Paths!$E$166=0,C1766=0,AND(C1766&gt;0,Paths!$E$166&gt;(C1766-1)*12,Paths!$E$166&lt;=C1766*12)),VLOOKUP(A1766,'Fleet register'!$A$7:$S$106,16,FALSE),0),"n.a."))</f>
        <v>0</v>
      </c>
      <c r="O1766" s="16">
        <f>IF(NOT(Paths!$C$166=1),0,IF(Paths!$P$166="Complete",N1766-IF(C1766=0,Paths!$F$166,0),"n.a."))</f>
        <v>0</v>
      </c>
      <c r="P1766" s="16">
        <f>IF(NOT(Paths!$C$166=1),0,IF(Paths!$P$166="Complete",O1766+L1766,"n.a."))</f>
        <v>0</v>
      </c>
      <c r="Q1766" s="16">
        <f>IF(NOT(Paths!$C$166=1),0,IF(Paths!$P$166="Complete",N1766*(1+'Operating costs'!$B$54)^-C1766,"n.a."))</f>
        <v>0</v>
      </c>
      <c r="R1766" s="16">
        <f>IF(NOT(Paths!$C$166=1),0,IF(Paths!$P$166="Complete",IF(AND(C1766=0,Paths!$E$166=0),I1766-J1766-K1766+VLOOKUP(A1766,'Fleet register'!$A$7:$S$106,15,FALSE)+VLOOKUP(A1766,'Fleet register'!$A$7:$S$106,16,FALSE),0),"n.a."))</f>
        <v>0</v>
      </c>
      <c r="S1766" s="1">
        <f>IF(NOT(Paths!$C$166=1),0,IF(Paths!$P$166="Complete",IF(C1766=0,0,Paths!$S$166*Paths!$R$166),"n.a."))</f>
        <v>0</v>
      </c>
      <c r="T1766" s="1">
        <f>IF(NOT(Paths!$C$166=1),0,IF(Paths!$P$166="Complete",IF(C1766=0,0,VLOOKUP(A1766,'Fleet register'!$A$7:$S$106,9,FALSE)*Paths!$R$166),"n.a."))</f>
        <v>0</v>
      </c>
    </row>
    <row r="1767" spans="1:20" ht="24" customHeight="1">
      <c r="A1767" s="1" t="str">
        <f>Paths!$A$167</f>
        <v>T041</v>
      </c>
      <c r="B1767" s="1">
        <f>Paths!$B$167</f>
        <v>0</v>
      </c>
      <c r="C1767" s="1">
        <v>0</v>
      </c>
      <c r="D1767" s="1">
        <v>167</v>
      </c>
      <c r="E1767" s="1">
        <f>IF(OR(Paths!$C$167=0,C1767=0),0,MAX(0,MIN(C1767*12,Paths!$E$167)-(C1767-1)*12))</f>
        <v>0</v>
      </c>
      <c r="F1767" s="1">
        <f>IF(OR(Paths!$C$167=0,C1767=0),0,12-E1767)</f>
        <v>0</v>
      </c>
      <c r="G1767" s="16">
        <f>IF(NOT(Paths!$C$167=1),0,IF(Paths!$P$167="Complete",E1767/12*(Paths!$J$167*(1+'Operating costs'!$B$51)^MAX(0,C1767-1)+Paths!$K$167*(1+'Operating costs'!$B$53)^MAX(0,C1767-1)),"n.a."))</f>
        <v>0</v>
      </c>
      <c r="H1767" s="16">
        <f>IF(NOT(Paths!$C$167=1),0,IF(Paths!$P$167="Complete",F1767/12*(Paths!$L$167*(1+IF(Paths!$D$167="EV",'Operating costs'!$B$52,'Operating costs'!$B$51))^MAX(0,C1767-1)+Paths!$M$167*(1+'Operating costs'!$B$53)^MAX(0,C1767-1)),"n.a."))</f>
        <v>0</v>
      </c>
      <c r="I1767" s="16">
        <f>IF(NOT(Paths!$C$167=1),0,IF(Paths!$P$167="Complete",IF(IF(Paths!$E$167=0,C1767=0,AND(C1767&gt;0,Paths!$E$167&gt;(C1767-1)*12,Paths!$E$167&lt;=C1767*12)),Paths!$G$167,0),"n.a."))</f>
        <v>0</v>
      </c>
      <c r="J1767" s="16">
        <f>IF(NOT(Paths!$C$167=1),0,IF(Paths!$P$167="Complete",IF(IF(Paths!$E$167=0,C1767=0,AND(C1767&gt;0,Paths!$E$167&gt;(C1767-1)*12,Paths!$E$167&lt;=C1767*12)),Paths!$H$167,0),"n.a."))</f>
        <v>0</v>
      </c>
      <c r="K1767" s="16">
        <f>IF(NOT(Paths!$C$167=1),0,IF(Paths!$P$167="Complete",IF(IF(Paths!$O$167=0,C1767=0,AND(C1767&gt;0,Paths!$O$167&gt;(C1767-1)*12,Paths!$O$167&lt;=C1767*12)),Paths!$N$167,0),"n.a."))</f>
        <v>0</v>
      </c>
      <c r="L1767" s="16">
        <f>IF(NOT(Paths!$C$167=1),0,IF(Paths!$P$167="Complete",IF(C1767=10,Paths!$I$167,0),"n.a."))</f>
        <v>0</v>
      </c>
      <c r="M1767" s="16">
        <f>IF(NOT(Paths!$C$167=1),0,IF(Paths!$P$167="Complete",IF(AND(Paths!$D$167="EV",Paths!$E$167&lt;120,Paths!$E$167+'Operating costs'!$B$65&gt;Paths!$E$167,Paths!$E$167+'Operating costs'!$B$65&lt;=120,IF(Paths!$E$167+'Operating costs'!$B$65=0,C1767=0,AND(C1767&gt;0,Paths!$E$167+'Operating costs'!$B$65&gt;(C1767-1)*12,Paths!$E$167+'Operating costs'!$B$65&lt;=C1767*12))),'Operating costs'!$B$64,0)+IF(AND('Operating costs'!$B$67&gt;0,'Operating costs'!$B$67&lt;=120,OR(Paths!$D$167="ICE",'Operating costs'!$B$67&lt;=Paths!$E$167),IF('Operating costs'!$B$67=0,C1767=0,AND(C1767&gt;0,'Operating costs'!$B$67&gt;(C1767-1)*12,'Operating costs'!$B$67&lt;=C1767*12))),'Operating costs'!$B$66,0),"n.a."))</f>
        <v>0</v>
      </c>
      <c r="N1767" s="16">
        <f>IF(NOT(Paths!$C$167=1),0,IF(Paths!$P$167="Complete",SUM(G1767:I1767)-J1767-K1767-L1767+M1767+IF(C1767=0,Paths!$F$167,0)+IF(IF(Paths!$E$167=0,C1767=0,AND(C1767&gt;0,Paths!$E$167&gt;(C1767-1)*12,Paths!$E$167&lt;=C1767*12)),VLOOKUP(A1767,'Fleet register'!$A$7:$S$106,16,FALSE),0),"n.a."))</f>
        <v>0</v>
      </c>
      <c r="O1767" s="16">
        <f>IF(NOT(Paths!$C$167=1),0,IF(Paths!$P$167="Complete",N1767-IF(C1767=0,Paths!$F$167,0),"n.a."))</f>
        <v>0</v>
      </c>
      <c r="P1767" s="16">
        <f>IF(NOT(Paths!$C$167=1),0,IF(Paths!$P$167="Complete",O1767+L1767,"n.a."))</f>
        <v>0</v>
      </c>
      <c r="Q1767" s="16">
        <f>IF(NOT(Paths!$C$167=1),0,IF(Paths!$P$167="Complete",N1767*(1+'Operating costs'!$B$54)^-C1767,"n.a."))</f>
        <v>0</v>
      </c>
      <c r="R1767" s="16">
        <f>IF(NOT(Paths!$C$167=1),0,IF(Paths!$P$167="Complete",IF(AND(C1767=0,Paths!$E$167=0),I1767-J1767-K1767+VLOOKUP(A1767,'Fleet register'!$A$7:$S$106,15,FALSE)+VLOOKUP(A1767,'Fleet register'!$A$7:$S$106,16,FALSE),0),"n.a."))</f>
        <v>0</v>
      </c>
      <c r="S1767" s="1">
        <f>IF(NOT(Paths!$C$167=1),0,IF(Paths!$P$167="Complete",IF(C1767=0,0,Paths!$S$167*Paths!$R$167),"n.a."))</f>
        <v>0</v>
      </c>
      <c r="T1767" s="1">
        <f>IF(NOT(Paths!$C$167=1),0,IF(Paths!$P$167="Complete",IF(C1767=0,0,VLOOKUP(A1767,'Fleet register'!$A$7:$S$106,9,FALSE)*Paths!$R$167),"n.a."))</f>
        <v>0</v>
      </c>
    </row>
    <row r="1768" spans="1:20" ht="24" customHeight="1">
      <c r="A1768" s="1" t="str">
        <f>Paths!$A$167</f>
        <v>T041</v>
      </c>
      <c r="B1768" s="1">
        <f>Paths!$B$167</f>
        <v>0</v>
      </c>
      <c r="C1768" s="1">
        <v>1</v>
      </c>
      <c r="D1768" s="1">
        <v>167</v>
      </c>
      <c r="E1768" s="1">
        <f>IF(OR(Paths!$C$167=0,C1768=0),0,MAX(0,MIN(C1768*12,Paths!$E$167)-(C1768-1)*12))</f>
        <v>0</v>
      </c>
      <c r="F1768" s="1">
        <f>IF(OR(Paths!$C$167=0,C1768=0),0,12-E1768)</f>
        <v>0</v>
      </c>
      <c r="G1768" s="16">
        <f>IF(NOT(Paths!$C$167=1),0,IF(Paths!$P$167="Complete",E1768/12*(Paths!$J$167*(1+'Operating costs'!$B$51)^MAX(0,C1768-1)+Paths!$K$167*(1+'Operating costs'!$B$53)^MAX(0,C1768-1)),"n.a."))</f>
        <v>0</v>
      </c>
      <c r="H1768" s="16">
        <f>IF(NOT(Paths!$C$167=1),0,IF(Paths!$P$167="Complete",F1768/12*(Paths!$L$167*(1+IF(Paths!$D$167="EV",'Operating costs'!$B$52,'Operating costs'!$B$51))^MAX(0,C1768-1)+Paths!$M$167*(1+'Operating costs'!$B$53)^MAX(0,C1768-1)),"n.a."))</f>
        <v>0</v>
      </c>
      <c r="I1768" s="16">
        <f>IF(NOT(Paths!$C$167=1),0,IF(Paths!$P$167="Complete",IF(IF(Paths!$E$167=0,C1768=0,AND(C1768&gt;0,Paths!$E$167&gt;(C1768-1)*12,Paths!$E$167&lt;=C1768*12)),Paths!$G$167,0),"n.a."))</f>
        <v>0</v>
      </c>
      <c r="J1768" s="16">
        <f>IF(NOT(Paths!$C$167=1),0,IF(Paths!$P$167="Complete",IF(IF(Paths!$E$167=0,C1768=0,AND(C1768&gt;0,Paths!$E$167&gt;(C1768-1)*12,Paths!$E$167&lt;=C1768*12)),Paths!$H$167,0),"n.a."))</f>
        <v>0</v>
      </c>
      <c r="K1768" s="16">
        <f>IF(NOT(Paths!$C$167=1),0,IF(Paths!$P$167="Complete",IF(IF(Paths!$O$167=0,C1768=0,AND(C1768&gt;0,Paths!$O$167&gt;(C1768-1)*12,Paths!$O$167&lt;=C1768*12)),Paths!$N$167,0),"n.a."))</f>
        <v>0</v>
      </c>
      <c r="L1768" s="16">
        <f>IF(NOT(Paths!$C$167=1),0,IF(Paths!$P$167="Complete",IF(C1768=10,Paths!$I$167,0),"n.a."))</f>
        <v>0</v>
      </c>
      <c r="M1768" s="16">
        <f>IF(NOT(Paths!$C$167=1),0,IF(Paths!$P$167="Complete",IF(AND(Paths!$D$167="EV",Paths!$E$167&lt;120,Paths!$E$167+'Operating costs'!$B$65&gt;Paths!$E$167,Paths!$E$167+'Operating costs'!$B$65&lt;=120,IF(Paths!$E$167+'Operating costs'!$B$65=0,C1768=0,AND(C1768&gt;0,Paths!$E$167+'Operating costs'!$B$65&gt;(C1768-1)*12,Paths!$E$167+'Operating costs'!$B$65&lt;=C1768*12))),'Operating costs'!$B$64,0)+IF(AND('Operating costs'!$B$67&gt;0,'Operating costs'!$B$67&lt;=120,OR(Paths!$D$167="ICE",'Operating costs'!$B$67&lt;=Paths!$E$167),IF('Operating costs'!$B$67=0,C1768=0,AND(C1768&gt;0,'Operating costs'!$B$67&gt;(C1768-1)*12,'Operating costs'!$B$67&lt;=C1768*12))),'Operating costs'!$B$66,0),"n.a."))</f>
        <v>0</v>
      </c>
      <c r="N1768" s="16">
        <f>IF(NOT(Paths!$C$167=1),0,IF(Paths!$P$167="Complete",SUM(G1768:I1768)-J1768-K1768-L1768+M1768+IF(C1768=0,Paths!$F$167,0)+IF(IF(Paths!$E$167=0,C1768=0,AND(C1768&gt;0,Paths!$E$167&gt;(C1768-1)*12,Paths!$E$167&lt;=C1768*12)),VLOOKUP(A1768,'Fleet register'!$A$7:$S$106,16,FALSE),0),"n.a."))</f>
        <v>0</v>
      </c>
      <c r="O1768" s="16">
        <f>IF(NOT(Paths!$C$167=1),0,IF(Paths!$P$167="Complete",N1768-IF(C1768=0,Paths!$F$167,0),"n.a."))</f>
        <v>0</v>
      </c>
      <c r="P1768" s="16">
        <f>IF(NOT(Paths!$C$167=1),0,IF(Paths!$P$167="Complete",O1768+L1768,"n.a."))</f>
        <v>0</v>
      </c>
      <c r="Q1768" s="16">
        <f>IF(NOT(Paths!$C$167=1),0,IF(Paths!$P$167="Complete",N1768*(1+'Operating costs'!$B$54)^-C1768,"n.a."))</f>
        <v>0</v>
      </c>
      <c r="R1768" s="16">
        <f>IF(NOT(Paths!$C$167=1),0,IF(Paths!$P$167="Complete",IF(AND(C1768=0,Paths!$E$167=0),I1768-J1768-K1768+VLOOKUP(A1768,'Fleet register'!$A$7:$S$106,15,FALSE)+VLOOKUP(A1768,'Fleet register'!$A$7:$S$106,16,FALSE),0),"n.a."))</f>
        <v>0</v>
      </c>
      <c r="S1768" s="1">
        <f>IF(NOT(Paths!$C$167=1),0,IF(Paths!$P$167="Complete",IF(C1768=0,0,Paths!$S$167*Paths!$R$167),"n.a."))</f>
        <v>0</v>
      </c>
      <c r="T1768" s="1">
        <f>IF(NOT(Paths!$C$167=1),0,IF(Paths!$P$167="Complete",IF(C1768=0,0,VLOOKUP(A1768,'Fleet register'!$A$7:$S$106,9,FALSE)*Paths!$R$167),"n.a."))</f>
        <v>0</v>
      </c>
    </row>
    <row r="1769" spans="1:20" ht="24" customHeight="1">
      <c r="A1769" s="1" t="str">
        <f>Paths!$A$167</f>
        <v>T041</v>
      </c>
      <c r="B1769" s="1">
        <f>Paths!$B$167</f>
        <v>0</v>
      </c>
      <c r="C1769" s="1">
        <v>2</v>
      </c>
      <c r="D1769" s="1">
        <v>167</v>
      </c>
      <c r="E1769" s="1">
        <f>IF(OR(Paths!$C$167=0,C1769=0),0,MAX(0,MIN(C1769*12,Paths!$E$167)-(C1769-1)*12))</f>
        <v>0</v>
      </c>
      <c r="F1769" s="1">
        <f>IF(OR(Paths!$C$167=0,C1769=0),0,12-E1769)</f>
        <v>0</v>
      </c>
      <c r="G1769" s="16">
        <f>IF(NOT(Paths!$C$167=1),0,IF(Paths!$P$167="Complete",E1769/12*(Paths!$J$167*(1+'Operating costs'!$B$51)^MAX(0,C1769-1)+Paths!$K$167*(1+'Operating costs'!$B$53)^MAX(0,C1769-1)),"n.a."))</f>
        <v>0</v>
      </c>
      <c r="H1769" s="16">
        <f>IF(NOT(Paths!$C$167=1),0,IF(Paths!$P$167="Complete",F1769/12*(Paths!$L$167*(1+IF(Paths!$D$167="EV",'Operating costs'!$B$52,'Operating costs'!$B$51))^MAX(0,C1769-1)+Paths!$M$167*(1+'Operating costs'!$B$53)^MAX(0,C1769-1)),"n.a."))</f>
        <v>0</v>
      </c>
      <c r="I1769" s="16">
        <f>IF(NOT(Paths!$C$167=1),0,IF(Paths!$P$167="Complete",IF(IF(Paths!$E$167=0,C1769=0,AND(C1769&gt;0,Paths!$E$167&gt;(C1769-1)*12,Paths!$E$167&lt;=C1769*12)),Paths!$G$167,0),"n.a."))</f>
        <v>0</v>
      </c>
      <c r="J1769" s="16">
        <f>IF(NOT(Paths!$C$167=1),0,IF(Paths!$P$167="Complete",IF(IF(Paths!$E$167=0,C1769=0,AND(C1769&gt;0,Paths!$E$167&gt;(C1769-1)*12,Paths!$E$167&lt;=C1769*12)),Paths!$H$167,0),"n.a."))</f>
        <v>0</v>
      </c>
      <c r="K1769" s="16">
        <f>IF(NOT(Paths!$C$167=1),0,IF(Paths!$P$167="Complete",IF(IF(Paths!$O$167=0,C1769=0,AND(C1769&gt;0,Paths!$O$167&gt;(C1769-1)*12,Paths!$O$167&lt;=C1769*12)),Paths!$N$167,0),"n.a."))</f>
        <v>0</v>
      </c>
      <c r="L1769" s="16">
        <f>IF(NOT(Paths!$C$167=1),0,IF(Paths!$P$167="Complete",IF(C1769=10,Paths!$I$167,0),"n.a."))</f>
        <v>0</v>
      </c>
      <c r="M1769" s="16">
        <f>IF(NOT(Paths!$C$167=1),0,IF(Paths!$P$167="Complete",IF(AND(Paths!$D$167="EV",Paths!$E$167&lt;120,Paths!$E$167+'Operating costs'!$B$65&gt;Paths!$E$167,Paths!$E$167+'Operating costs'!$B$65&lt;=120,IF(Paths!$E$167+'Operating costs'!$B$65=0,C1769=0,AND(C1769&gt;0,Paths!$E$167+'Operating costs'!$B$65&gt;(C1769-1)*12,Paths!$E$167+'Operating costs'!$B$65&lt;=C1769*12))),'Operating costs'!$B$64,0)+IF(AND('Operating costs'!$B$67&gt;0,'Operating costs'!$B$67&lt;=120,OR(Paths!$D$167="ICE",'Operating costs'!$B$67&lt;=Paths!$E$167),IF('Operating costs'!$B$67=0,C1769=0,AND(C1769&gt;0,'Operating costs'!$B$67&gt;(C1769-1)*12,'Operating costs'!$B$67&lt;=C1769*12))),'Operating costs'!$B$66,0),"n.a."))</f>
        <v>0</v>
      </c>
      <c r="N1769" s="16">
        <f>IF(NOT(Paths!$C$167=1),0,IF(Paths!$P$167="Complete",SUM(G1769:I1769)-J1769-K1769-L1769+M1769+IF(C1769=0,Paths!$F$167,0)+IF(IF(Paths!$E$167=0,C1769=0,AND(C1769&gt;0,Paths!$E$167&gt;(C1769-1)*12,Paths!$E$167&lt;=C1769*12)),VLOOKUP(A1769,'Fleet register'!$A$7:$S$106,16,FALSE),0),"n.a."))</f>
        <v>0</v>
      </c>
      <c r="O1769" s="16">
        <f>IF(NOT(Paths!$C$167=1),0,IF(Paths!$P$167="Complete",N1769-IF(C1769=0,Paths!$F$167,0),"n.a."))</f>
        <v>0</v>
      </c>
      <c r="P1769" s="16">
        <f>IF(NOT(Paths!$C$167=1),0,IF(Paths!$P$167="Complete",O1769+L1769,"n.a."))</f>
        <v>0</v>
      </c>
      <c r="Q1769" s="16">
        <f>IF(NOT(Paths!$C$167=1),0,IF(Paths!$P$167="Complete",N1769*(1+'Operating costs'!$B$54)^-C1769,"n.a."))</f>
        <v>0</v>
      </c>
      <c r="R1769" s="16">
        <f>IF(NOT(Paths!$C$167=1),0,IF(Paths!$P$167="Complete",IF(AND(C1769=0,Paths!$E$167=0),I1769-J1769-K1769+VLOOKUP(A1769,'Fleet register'!$A$7:$S$106,15,FALSE)+VLOOKUP(A1769,'Fleet register'!$A$7:$S$106,16,FALSE),0),"n.a."))</f>
        <v>0</v>
      </c>
      <c r="S1769" s="1">
        <f>IF(NOT(Paths!$C$167=1),0,IF(Paths!$P$167="Complete",IF(C1769=0,0,Paths!$S$167*Paths!$R$167),"n.a."))</f>
        <v>0</v>
      </c>
      <c r="T1769" s="1">
        <f>IF(NOT(Paths!$C$167=1),0,IF(Paths!$P$167="Complete",IF(C1769=0,0,VLOOKUP(A1769,'Fleet register'!$A$7:$S$106,9,FALSE)*Paths!$R$167),"n.a."))</f>
        <v>0</v>
      </c>
    </row>
    <row r="1770" spans="1:20" ht="24" customHeight="1">
      <c r="A1770" s="1" t="str">
        <f>Paths!$A$167</f>
        <v>T041</v>
      </c>
      <c r="B1770" s="1">
        <f>Paths!$B$167</f>
        <v>0</v>
      </c>
      <c r="C1770" s="1">
        <v>3</v>
      </c>
      <c r="D1770" s="1">
        <v>167</v>
      </c>
      <c r="E1770" s="1">
        <f>IF(OR(Paths!$C$167=0,C1770=0),0,MAX(0,MIN(C1770*12,Paths!$E$167)-(C1770-1)*12))</f>
        <v>0</v>
      </c>
      <c r="F1770" s="1">
        <f>IF(OR(Paths!$C$167=0,C1770=0),0,12-E1770)</f>
        <v>0</v>
      </c>
      <c r="G1770" s="16">
        <f>IF(NOT(Paths!$C$167=1),0,IF(Paths!$P$167="Complete",E1770/12*(Paths!$J$167*(1+'Operating costs'!$B$51)^MAX(0,C1770-1)+Paths!$K$167*(1+'Operating costs'!$B$53)^MAX(0,C1770-1)),"n.a."))</f>
        <v>0</v>
      </c>
      <c r="H1770" s="16">
        <f>IF(NOT(Paths!$C$167=1),0,IF(Paths!$P$167="Complete",F1770/12*(Paths!$L$167*(1+IF(Paths!$D$167="EV",'Operating costs'!$B$52,'Operating costs'!$B$51))^MAX(0,C1770-1)+Paths!$M$167*(1+'Operating costs'!$B$53)^MAX(0,C1770-1)),"n.a."))</f>
        <v>0</v>
      </c>
      <c r="I1770" s="16">
        <f>IF(NOT(Paths!$C$167=1),0,IF(Paths!$P$167="Complete",IF(IF(Paths!$E$167=0,C1770=0,AND(C1770&gt;0,Paths!$E$167&gt;(C1770-1)*12,Paths!$E$167&lt;=C1770*12)),Paths!$G$167,0),"n.a."))</f>
        <v>0</v>
      </c>
      <c r="J1770" s="16">
        <f>IF(NOT(Paths!$C$167=1),0,IF(Paths!$P$167="Complete",IF(IF(Paths!$E$167=0,C1770=0,AND(C1770&gt;0,Paths!$E$167&gt;(C1770-1)*12,Paths!$E$167&lt;=C1770*12)),Paths!$H$167,0),"n.a."))</f>
        <v>0</v>
      </c>
      <c r="K1770" s="16">
        <f>IF(NOT(Paths!$C$167=1),0,IF(Paths!$P$167="Complete",IF(IF(Paths!$O$167=0,C1770=0,AND(C1770&gt;0,Paths!$O$167&gt;(C1770-1)*12,Paths!$O$167&lt;=C1770*12)),Paths!$N$167,0),"n.a."))</f>
        <v>0</v>
      </c>
      <c r="L1770" s="16">
        <f>IF(NOT(Paths!$C$167=1),0,IF(Paths!$P$167="Complete",IF(C1770=10,Paths!$I$167,0),"n.a."))</f>
        <v>0</v>
      </c>
      <c r="M1770" s="16">
        <f>IF(NOT(Paths!$C$167=1),0,IF(Paths!$P$167="Complete",IF(AND(Paths!$D$167="EV",Paths!$E$167&lt;120,Paths!$E$167+'Operating costs'!$B$65&gt;Paths!$E$167,Paths!$E$167+'Operating costs'!$B$65&lt;=120,IF(Paths!$E$167+'Operating costs'!$B$65=0,C1770=0,AND(C1770&gt;0,Paths!$E$167+'Operating costs'!$B$65&gt;(C1770-1)*12,Paths!$E$167+'Operating costs'!$B$65&lt;=C1770*12))),'Operating costs'!$B$64,0)+IF(AND('Operating costs'!$B$67&gt;0,'Operating costs'!$B$67&lt;=120,OR(Paths!$D$167="ICE",'Operating costs'!$B$67&lt;=Paths!$E$167),IF('Operating costs'!$B$67=0,C1770=0,AND(C1770&gt;0,'Operating costs'!$B$67&gt;(C1770-1)*12,'Operating costs'!$B$67&lt;=C1770*12))),'Operating costs'!$B$66,0),"n.a."))</f>
        <v>0</v>
      </c>
      <c r="N1770" s="16">
        <f>IF(NOT(Paths!$C$167=1),0,IF(Paths!$P$167="Complete",SUM(G1770:I1770)-J1770-K1770-L1770+M1770+IF(C1770=0,Paths!$F$167,0)+IF(IF(Paths!$E$167=0,C1770=0,AND(C1770&gt;0,Paths!$E$167&gt;(C1770-1)*12,Paths!$E$167&lt;=C1770*12)),VLOOKUP(A1770,'Fleet register'!$A$7:$S$106,16,FALSE),0),"n.a."))</f>
        <v>0</v>
      </c>
      <c r="O1770" s="16">
        <f>IF(NOT(Paths!$C$167=1),0,IF(Paths!$P$167="Complete",N1770-IF(C1770=0,Paths!$F$167,0),"n.a."))</f>
        <v>0</v>
      </c>
      <c r="P1770" s="16">
        <f>IF(NOT(Paths!$C$167=1),0,IF(Paths!$P$167="Complete",O1770+L1770,"n.a."))</f>
        <v>0</v>
      </c>
      <c r="Q1770" s="16">
        <f>IF(NOT(Paths!$C$167=1),0,IF(Paths!$P$167="Complete",N1770*(1+'Operating costs'!$B$54)^-C1770,"n.a."))</f>
        <v>0</v>
      </c>
      <c r="R1770" s="16">
        <f>IF(NOT(Paths!$C$167=1),0,IF(Paths!$P$167="Complete",IF(AND(C1770=0,Paths!$E$167=0),I1770-J1770-K1770+VLOOKUP(A1770,'Fleet register'!$A$7:$S$106,15,FALSE)+VLOOKUP(A1770,'Fleet register'!$A$7:$S$106,16,FALSE),0),"n.a."))</f>
        <v>0</v>
      </c>
      <c r="S1770" s="1">
        <f>IF(NOT(Paths!$C$167=1),0,IF(Paths!$P$167="Complete",IF(C1770=0,0,Paths!$S$167*Paths!$R$167),"n.a."))</f>
        <v>0</v>
      </c>
      <c r="T1770" s="1">
        <f>IF(NOT(Paths!$C$167=1),0,IF(Paths!$P$167="Complete",IF(C1770=0,0,VLOOKUP(A1770,'Fleet register'!$A$7:$S$106,9,FALSE)*Paths!$R$167),"n.a."))</f>
        <v>0</v>
      </c>
    </row>
    <row r="1771" spans="1:20" ht="24" customHeight="1">
      <c r="A1771" s="1" t="str">
        <f>Paths!$A$167</f>
        <v>T041</v>
      </c>
      <c r="B1771" s="1">
        <f>Paths!$B$167</f>
        <v>0</v>
      </c>
      <c r="C1771" s="1">
        <v>4</v>
      </c>
      <c r="D1771" s="1">
        <v>167</v>
      </c>
      <c r="E1771" s="1">
        <f>IF(OR(Paths!$C$167=0,C1771=0),0,MAX(0,MIN(C1771*12,Paths!$E$167)-(C1771-1)*12))</f>
        <v>0</v>
      </c>
      <c r="F1771" s="1">
        <f>IF(OR(Paths!$C$167=0,C1771=0),0,12-E1771)</f>
        <v>0</v>
      </c>
      <c r="G1771" s="16">
        <f>IF(NOT(Paths!$C$167=1),0,IF(Paths!$P$167="Complete",E1771/12*(Paths!$J$167*(1+'Operating costs'!$B$51)^MAX(0,C1771-1)+Paths!$K$167*(1+'Operating costs'!$B$53)^MAX(0,C1771-1)),"n.a."))</f>
        <v>0</v>
      </c>
      <c r="H1771" s="16">
        <f>IF(NOT(Paths!$C$167=1),0,IF(Paths!$P$167="Complete",F1771/12*(Paths!$L$167*(1+IF(Paths!$D$167="EV",'Operating costs'!$B$52,'Operating costs'!$B$51))^MAX(0,C1771-1)+Paths!$M$167*(1+'Operating costs'!$B$53)^MAX(0,C1771-1)),"n.a."))</f>
        <v>0</v>
      </c>
      <c r="I1771" s="16">
        <f>IF(NOT(Paths!$C$167=1),0,IF(Paths!$P$167="Complete",IF(IF(Paths!$E$167=0,C1771=0,AND(C1771&gt;0,Paths!$E$167&gt;(C1771-1)*12,Paths!$E$167&lt;=C1771*12)),Paths!$G$167,0),"n.a."))</f>
        <v>0</v>
      </c>
      <c r="J1771" s="16">
        <f>IF(NOT(Paths!$C$167=1),0,IF(Paths!$P$167="Complete",IF(IF(Paths!$E$167=0,C1771=0,AND(C1771&gt;0,Paths!$E$167&gt;(C1771-1)*12,Paths!$E$167&lt;=C1771*12)),Paths!$H$167,0),"n.a."))</f>
        <v>0</v>
      </c>
      <c r="K1771" s="16">
        <f>IF(NOT(Paths!$C$167=1),0,IF(Paths!$P$167="Complete",IF(IF(Paths!$O$167=0,C1771=0,AND(C1771&gt;0,Paths!$O$167&gt;(C1771-1)*12,Paths!$O$167&lt;=C1771*12)),Paths!$N$167,0),"n.a."))</f>
        <v>0</v>
      </c>
      <c r="L1771" s="16">
        <f>IF(NOT(Paths!$C$167=1),0,IF(Paths!$P$167="Complete",IF(C1771=10,Paths!$I$167,0),"n.a."))</f>
        <v>0</v>
      </c>
      <c r="M1771" s="16">
        <f>IF(NOT(Paths!$C$167=1),0,IF(Paths!$P$167="Complete",IF(AND(Paths!$D$167="EV",Paths!$E$167&lt;120,Paths!$E$167+'Operating costs'!$B$65&gt;Paths!$E$167,Paths!$E$167+'Operating costs'!$B$65&lt;=120,IF(Paths!$E$167+'Operating costs'!$B$65=0,C1771=0,AND(C1771&gt;0,Paths!$E$167+'Operating costs'!$B$65&gt;(C1771-1)*12,Paths!$E$167+'Operating costs'!$B$65&lt;=C1771*12))),'Operating costs'!$B$64,0)+IF(AND('Operating costs'!$B$67&gt;0,'Operating costs'!$B$67&lt;=120,OR(Paths!$D$167="ICE",'Operating costs'!$B$67&lt;=Paths!$E$167),IF('Operating costs'!$B$67=0,C1771=0,AND(C1771&gt;0,'Operating costs'!$B$67&gt;(C1771-1)*12,'Operating costs'!$B$67&lt;=C1771*12))),'Operating costs'!$B$66,0),"n.a."))</f>
        <v>0</v>
      </c>
      <c r="N1771" s="16">
        <f>IF(NOT(Paths!$C$167=1),0,IF(Paths!$P$167="Complete",SUM(G1771:I1771)-J1771-K1771-L1771+M1771+IF(C1771=0,Paths!$F$167,0)+IF(IF(Paths!$E$167=0,C1771=0,AND(C1771&gt;0,Paths!$E$167&gt;(C1771-1)*12,Paths!$E$167&lt;=C1771*12)),VLOOKUP(A1771,'Fleet register'!$A$7:$S$106,16,FALSE),0),"n.a."))</f>
        <v>0</v>
      </c>
      <c r="O1771" s="16">
        <f>IF(NOT(Paths!$C$167=1),0,IF(Paths!$P$167="Complete",N1771-IF(C1771=0,Paths!$F$167,0),"n.a."))</f>
        <v>0</v>
      </c>
      <c r="P1771" s="16">
        <f>IF(NOT(Paths!$C$167=1),0,IF(Paths!$P$167="Complete",O1771+L1771,"n.a."))</f>
        <v>0</v>
      </c>
      <c r="Q1771" s="16">
        <f>IF(NOT(Paths!$C$167=1),0,IF(Paths!$P$167="Complete",N1771*(1+'Operating costs'!$B$54)^-C1771,"n.a."))</f>
        <v>0</v>
      </c>
      <c r="R1771" s="16">
        <f>IF(NOT(Paths!$C$167=1),0,IF(Paths!$P$167="Complete",IF(AND(C1771=0,Paths!$E$167=0),I1771-J1771-K1771+VLOOKUP(A1771,'Fleet register'!$A$7:$S$106,15,FALSE)+VLOOKUP(A1771,'Fleet register'!$A$7:$S$106,16,FALSE),0),"n.a."))</f>
        <v>0</v>
      </c>
      <c r="S1771" s="1">
        <f>IF(NOT(Paths!$C$167=1),0,IF(Paths!$P$167="Complete",IF(C1771=0,0,Paths!$S$167*Paths!$R$167),"n.a."))</f>
        <v>0</v>
      </c>
      <c r="T1771" s="1">
        <f>IF(NOT(Paths!$C$167=1),0,IF(Paths!$P$167="Complete",IF(C1771=0,0,VLOOKUP(A1771,'Fleet register'!$A$7:$S$106,9,FALSE)*Paths!$R$167),"n.a."))</f>
        <v>0</v>
      </c>
    </row>
    <row r="1772" spans="1:20" ht="24" customHeight="1">
      <c r="A1772" s="1" t="str">
        <f>Paths!$A$167</f>
        <v>T041</v>
      </c>
      <c r="B1772" s="1">
        <f>Paths!$B$167</f>
        <v>0</v>
      </c>
      <c r="C1772" s="1">
        <v>5</v>
      </c>
      <c r="D1772" s="1">
        <v>167</v>
      </c>
      <c r="E1772" s="1">
        <f>IF(OR(Paths!$C$167=0,C1772=0),0,MAX(0,MIN(C1772*12,Paths!$E$167)-(C1772-1)*12))</f>
        <v>0</v>
      </c>
      <c r="F1772" s="1">
        <f>IF(OR(Paths!$C$167=0,C1772=0),0,12-E1772)</f>
        <v>0</v>
      </c>
      <c r="G1772" s="16">
        <f>IF(NOT(Paths!$C$167=1),0,IF(Paths!$P$167="Complete",E1772/12*(Paths!$J$167*(1+'Operating costs'!$B$51)^MAX(0,C1772-1)+Paths!$K$167*(1+'Operating costs'!$B$53)^MAX(0,C1772-1)),"n.a."))</f>
        <v>0</v>
      </c>
      <c r="H1772" s="16">
        <f>IF(NOT(Paths!$C$167=1),0,IF(Paths!$P$167="Complete",F1772/12*(Paths!$L$167*(1+IF(Paths!$D$167="EV",'Operating costs'!$B$52,'Operating costs'!$B$51))^MAX(0,C1772-1)+Paths!$M$167*(1+'Operating costs'!$B$53)^MAX(0,C1772-1)),"n.a."))</f>
        <v>0</v>
      </c>
      <c r="I1772" s="16">
        <f>IF(NOT(Paths!$C$167=1),0,IF(Paths!$P$167="Complete",IF(IF(Paths!$E$167=0,C1772=0,AND(C1772&gt;0,Paths!$E$167&gt;(C1772-1)*12,Paths!$E$167&lt;=C1772*12)),Paths!$G$167,0),"n.a."))</f>
        <v>0</v>
      </c>
      <c r="J1772" s="16">
        <f>IF(NOT(Paths!$C$167=1),0,IF(Paths!$P$167="Complete",IF(IF(Paths!$E$167=0,C1772=0,AND(C1772&gt;0,Paths!$E$167&gt;(C1772-1)*12,Paths!$E$167&lt;=C1772*12)),Paths!$H$167,0),"n.a."))</f>
        <v>0</v>
      </c>
      <c r="K1772" s="16">
        <f>IF(NOT(Paths!$C$167=1),0,IF(Paths!$P$167="Complete",IF(IF(Paths!$O$167=0,C1772=0,AND(C1772&gt;0,Paths!$O$167&gt;(C1772-1)*12,Paths!$O$167&lt;=C1772*12)),Paths!$N$167,0),"n.a."))</f>
        <v>0</v>
      </c>
      <c r="L1772" s="16">
        <f>IF(NOT(Paths!$C$167=1),0,IF(Paths!$P$167="Complete",IF(C1772=10,Paths!$I$167,0),"n.a."))</f>
        <v>0</v>
      </c>
      <c r="M1772" s="16">
        <f>IF(NOT(Paths!$C$167=1),0,IF(Paths!$P$167="Complete",IF(AND(Paths!$D$167="EV",Paths!$E$167&lt;120,Paths!$E$167+'Operating costs'!$B$65&gt;Paths!$E$167,Paths!$E$167+'Operating costs'!$B$65&lt;=120,IF(Paths!$E$167+'Operating costs'!$B$65=0,C1772=0,AND(C1772&gt;0,Paths!$E$167+'Operating costs'!$B$65&gt;(C1772-1)*12,Paths!$E$167+'Operating costs'!$B$65&lt;=C1772*12))),'Operating costs'!$B$64,0)+IF(AND('Operating costs'!$B$67&gt;0,'Operating costs'!$B$67&lt;=120,OR(Paths!$D$167="ICE",'Operating costs'!$B$67&lt;=Paths!$E$167),IF('Operating costs'!$B$67=0,C1772=0,AND(C1772&gt;0,'Operating costs'!$B$67&gt;(C1772-1)*12,'Operating costs'!$B$67&lt;=C1772*12))),'Operating costs'!$B$66,0),"n.a."))</f>
        <v>0</v>
      </c>
      <c r="N1772" s="16">
        <f>IF(NOT(Paths!$C$167=1),0,IF(Paths!$P$167="Complete",SUM(G1772:I1772)-J1772-K1772-L1772+M1772+IF(C1772=0,Paths!$F$167,0)+IF(IF(Paths!$E$167=0,C1772=0,AND(C1772&gt;0,Paths!$E$167&gt;(C1772-1)*12,Paths!$E$167&lt;=C1772*12)),VLOOKUP(A1772,'Fleet register'!$A$7:$S$106,16,FALSE),0),"n.a."))</f>
        <v>0</v>
      </c>
      <c r="O1772" s="16">
        <f>IF(NOT(Paths!$C$167=1),0,IF(Paths!$P$167="Complete",N1772-IF(C1772=0,Paths!$F$167,0),"n.a."))</f>
        <v>0</v>
      </c>
      <c r="P1772" s="16">
        <f>IF(NOT(Paths!$C$167=1),0,IF(Paths!$P$167="Complete",O1772+L1772,"n.a."))</f>
        <v>0</v>
      </c>
      <c r="Q1772" s="16">
        <f>IF(NOT(Paths!$C$167=1),0,IF(Paths!$P$167="Complete",N1772*(1+'Operating costs'!$B$54)^-C1772,"n.a."))</f>
        <v>0</v>
      </c>
      <c r="R1772" s="16">
        <f>IF(NOT(Paths!$C$167=1),0,IF(Paths!$P$167="Complete",IF(AND(C1772=0,Paths!$E$167=0),I1772-J1772-K1772+VLOOKUP(A1772,'Fleet register'!$A$7:$S$106,15,FALSE)+VLOOKUP(A1772,'Fleet register'!$A$7:$S$106,16,FALSE),0),"n.a."))</f>
        <v>0</v>
      </c>
      <c r="S1772" s="1">
        <f>IF(NOT(Paths!$C$167=1),0,IF(Paths!$P$167="Complete",IF(C1772=0,0,Paths!$S$167*Paths!$R$167),"n.a."))</f>
        <v>0</v>
      </c>
      <c r="T1772" s="1">
        <f>IF(NOT(Paths!$C$167=1),0,IF(Paths!$P$167="Complete",IF(C1772=0,0,VLOOKUP(A1772,'Fleet register'!$A$7:$S$106,9,FALSE)*Paths!$R$167),"n.a."))</f>
        <v>0</v>
      </c>
    </row>
    <row r="1773" spans="1:20" ht="24" customHeight="1">
      <c r="A1773" s="1" t="str">
        <f>Paths!$A$167</f>
        <v>T041</v>
      </c>
      <c r="B1773" s="1">
        <f>Paths!$B$167</f>
        <v>0</v>
      </c>
      <c r="C1773" s="1">
        <v>6</v>
      </c>
      <c r="D1773" s="1">
        <v>167</v>
      </c>
      <c r="E1773" s="1">
        <f>IF(OR(Paths!$C$167=0,C1773=0),0,MAX(0,MIN(C1773*12,Paths!$E$167)-(C1773-1)*12))</f>
        <v>0</v>
      </c>
      <c r="F1773" s="1">
        <f>IF(OR(Paths!$C$167=0,C1773=0),0,12-E1773)</f>
        <v>0</v>
      </c>
      <c r="G1773" s="16">
        <f>IF(NOT(Paths!$C$167=1),0,IF(Paths!$P$167="Complete",E1773/12*(Paths!$J$167*(1+'Operating costs'!$B$51)^MAX(0,C1773-1)+Paths!$K$167*(1+'Operating costs'!$B$53)^MAX(0,C1773-1)),"n.a."))</f>
        <v>0</v>
      </c>
      <c r="H1773" s="16">
        <f>IF(NOT(Paths!$C$167=1),0,IF(Paths!$P$167="Complete",F1773/12*(Paths!$L$167*(1+IF(Paths!$D$167="EV",'Operating costs'!$B$52,'Operating costs'!$B$51))^MAX(0,C1773-1)+Paths!$M$167*(1+'Operating costs'!$B$53)^MAX(0,C1773-1)),"n.a."))</f>
        <v>0</v>
      </c>
      <c r="I1773" s="16">
        <f>IF(NOT(Paths!$C$167=1),0,IF(Paths!$P$167="Complete",IF(IF(Paths!$E$167=0,C1773=0,AND(C1773&gt;0,Paths!$E$167&gt;(C1773-1)*12,Paths!$E$167&lt;=C1773*12)),Paths!$G$167,0),"n.a."))</f>
        <v>0</v>
      </c>
      <c r="J1773" s="16">
        <f>IF(NOT(Paths!$C$167=1),0,IF(Paths!$P$167="Complete",IF(IF(Paths!$E$167=0,C1773=0,AND(C1773&gt;0,Paths!$E$167&gt;(C1773-1)*12,Paths!$E$167&lt;=C1773*12)),Paths!$H$167,0),"n.a."))</f>
        <v>0</v>
      </c>
      <c r="K1773" s="16">
        <f>IF(NOT(Paths!$C$167=1),0,IF(Paths!$P$167="Complete",IF(IF(Paths!$O$167=0,C1773=0,AND(C1773&gt;0,Paths!$O$167&gt;(C1773-1)*12,Paths!$O$167&lt;=C1773*12)),Paths!$N$167,0),"n.a."))</f>
        <v>0</v>
      </c>
      <c r="L1773" s="16">
        <f>IF(NOT(Paths!$C$167=1),0,IF(Paths!$P$167="Complete",IF(C1773=10,Paths!$I$167,0),"n.a."))</f>
        <v>0</v>
      </c>
      <c r="M1773" s="16">
        <f>IF(NOT(Paths!$C$167=1),0,IF(Paths!$P$167="Complete",IF(AND(Paths!$D$167="EV",Paths!$E$167&lt;120,Paths!$E$167+'Operating costs'!$B$65&gt;Paths!$E$167,Paths!$E$167+'Operating costs'!$B$65&lt;=120,IF(Paths!$E$167+'Operating costs'!$B$65=0,C1773=0,AND(C1773&gt;0,Paths!$E$167+'Operating costs'!$B$65&gt;(C1773-1)*12,Paths!$E$167+'Operating costs'!$B$65&lt;=C1773*12))),'Operating costs'!$B$64,0)+IF(AND('Operating costs'!$B$67&gt;0,'Operating costs'!$B$67&lt;=120,OR(Paths!$D$167="ICE",'Operating costs'!$B$67&lt;=Paths!$E$167),IF('Operating costs'!$B$67=0,C1773=0,AND(C1773&gt;0,'Operating costs'!$B$67&gt;(C1773-1)*12,'Operating costs'!$B$67&lt;=C1773*12))),'Operating costs'!$B$66,0),"n.a."))</f>
        <v>0</v>
      </c>
      <c r="N1773" s="16">
        <f>IF(NOT(Paths!$C$167=1),0,IF(Paths!$P$167="Complete",SUM(G1773:I1773)-J1773-K1773-L1773+M1773+IF(C1773=0,Paths!$F$167,0)+IF(IF(Paths!$E$167=0,C1773=0,AND(C1773&gt;0,Paths!$E$167&gt;(C1773-1)*12,Paths!$E$167&lt;=C1773*12)),VLOOKUP(A1773,'Fleet register'!$A$7:$S$106,16,FALSE),0),"n.a."))</f>
        <v>0</v>
      </c>
      <c r="O1773" s="16">
        <f>IF(NOT(Paths!$C$167=1),0,IF(Paths!$P$167="Complete",N1773-IF(C1773=0,Paths!$F$167,0),"n.a."))</f>
        <v>0</v>
      </c>
      <c r="P1773" s="16">
        <f>IF(NOT(Paths!$C$167=1),0,IF(Paths!$P$167="Complete",O1773+L1773,"n.a."))</f>
        <v>0</v>
      </c>
      <c r="Q1773" s="16">
        <f>IF(NOT(Paths!$C$167=1),0,IF(Paths!$P$167="Complete",N1773*(1+'Operating costs'!$B$54)^-C1773,"n.a."))</f>
        <v>0</v>
      </c>
      <c r="R1773" s="16">
        <f>IF(NOT(Paths!$C$167=1),0,IF(Paths!$P$167="Complete",IF(AND(C1773=0,Paths!$E$167=0),I1773-J1773-K1773+VLOOKUP(A1773,'Fleet register'!$A$7:$S$106,15,FALSE)+VLOOKUP(A1773,'Fleet register'!$A$7:$S$106,16,FALSE),0),"n.a."))</f>
        <v>0</v>
      </c>
      <c r="S1773" s="1">
        <f>IF(NOT(Paths!$C$167=1),0,IF(Paths!$P$167="Complete",IF(C1773=0,0,Paths!$S$167*Paths!$R$167),"n.a."))</f>
        <v>0</v>
      </c>
      <c r="T1773" s="1">
        <f>IF(NOT(Paths!$C$167=1),0,IF(Paths!$P$167="Complete",IF(C1773=0,0,VLOOKUP(A1773,'Fleet register'!$A$7:$S$106,9,FALSE)*Paths!$R$167),"n.a."))</f>
        <v>0</v>
      </c>
    </row>
    <row r="1774" spans="1:20" ht="24" customHeight="1">
      <c r="A1774" s="1" t="str">
        <f>Paths!$A$167</f>
        <v>T041</v>
      </c>
      <c r="B1774" s="1">
        <f>Paths!$B$167</f>
        <v>0</v>
      </c>
      <c r="C1774" s="1">
        <v>7</v>
      </c>
      <c r="D1774" s="1">
        <v>167</v>
      </c>
      <c r="E1774" s="1">
        <f>IF(OR(Paths!$C$167=0,C1774=0),0,MAX(0,MIN(C1774*12,Paths!$E$167)-(C1774-1)*12))</f>
        <v>0</v>
      </c>
      <c r="F1774" s="1">
        <f>IF(OR(Paths!$C$167=0,C1774=0),0,12-E1774)</f>
        <v>0</v>
      </c>
      <c r="G1774" s="16">
        <f>IF(NOT(Paths!$C$167=1),0,IF(Paths!$P$167="Complete",E1774/12*(Paths!$J$167*(1+'Operating costs'!$B$51)^MAX(0,C1774-1)+Paths!$K$167*(1+'Operating costs'!$B$53)^MAX(0,C1774-1)),"n.a."))</f>
        <v>0</v>
      </c>
      <c r="H1774" s="16">
        <f>IF(NOT(Paths!$C$167=1),0,IF(Paths!$P$167="Complete",F1774/12*(Paths!$L$167*(1+IF(Paths!$D$167="EV",'Operating costs'!$B$52,'Operating costs'!$B$51))^MAX(0,C1774-1)+Paths!$M$167*(1+'Operating costs'!$B$53)^MAX(0,C1774-1)),"n.a."))</f>
        <v>0</v>
      </c>
      <c r="I1774" s="16">
        <f>IF(NOT(Paths!$C$167=1),0,IF(Paths!$P$167="Complete",IF(IF(Paths!$E$167=0,C1774=0,AND(C1774&gt;0,Paths!$E$167&gt;(C1774-1)*12,Paths!$E$167&lt;=C1774*12)),Paths!$G$167,0),"n.a."))</f>
        <v>0</v>
      </c>
      <c r="J1774" s="16">
        <f>IF(NOT(Paths!$C$167=1),0,IF(Paths!$P$167="Complete",IF(IF(Paths!$E$167=0,C1774=0,AND(C1774&gt;0,Paths!$E$167&gt;(C1774-1)*12,Paths!$E$167&lt;=C1774*12)),Paths!$H$167,0),"n.a."))</f>
        <v>0</v>
      </c>
      <c r="K1774" s="16">
        <f>IF(NOT(Paths!$C$167=1),0,IF(Paths!$P$167="Complete",IF(IF(Paths!$O$167=0,C1774=0,AND(C1774&gt;0,Paths!$O$167&gt;(C1774-1)*12,Paths!$O$167&lt;=C1774*12)),Paths!$N$167,0),"n.a."))</f>
        <v>0</v>
      </c>
      <c r="L1774" s="16">
        <f>IF(NOT(Paths!$C$167=1),0,IF(Paths!$P$167="Complete",IF(C1774=10,Paths!$I$167,0),"n.a."))</f>
        <v>0</v>
      </c>
      <c r="M1774" s="16">
        <f>IF(NOT(Paths!$C$167=1),0,IF(Paths!$P$167="Complete",IF(AND(Paths!$D$167="EV",Paths!$E$167&lt;120,Paths!$E$167+'Operating costs'!$B$65&gt;Paths!$E$167,Paths!$E$167+'Operating costs'!$B$65&lt;=120,IF(Paths!$E$167+'Operating costs'!$B$65=0,C1774=0,AND(C1774&gt;0,Paths!$E$167+'Operating costs'!$B$65&gt;(C1774-1)*12,Paths!$E$167+'Operating costs'!$B$65&lt;=C1774*12))),'Operating costs'!$B$64,0)+IF(AND('Operating costs'!$B$67&gt;0,'Operating costs'!$B$67&lt;=120,OR(Paths!$D$167="ICE",'Operating costs'!$B$67&lt;=Paths!$E$167),IF('Operating costs'!$B$67=0,C1774=0,AND(C1774&gt;0,'Operating costs'!$B$67&gt;(C1774-1)*12,'Operating costs'!$B$67&lt;=C1774*12))),'Operating costs'!$B$66,0),"n.a."))</f>
        <v>0</v>
      </c>
      <c r="N1774" s="16">
        <f>IF(NOT(Paths!$C$167=1),0,IF(Paths!$P$167="Complete",SUM(G1774:I1774)-J1774-K1774-L1774+M1774+IF(C1774=0,Paths!$F$167,0)+IF(IF(Paths!$E$167=0,C1774=0,AND(C1774&gt;0,Paths!$E$167&gt;(C1774-1)*12,Paths!$E$167&lt;=C1774*12)),VLOOKUP(A1774,'Fleet register'!$A$7:$S$106,16,FALSE),0),"n.a."))</f>
        <v>0</v>
      </c>
      <c r="O1774" s="16">
        <f>IF(NOT(Paths!$C$167=1),0,IF(Paths!$P$167="Complete",N1774-IF(C1774=0,Paths!$F$167,0),"n.a."))</f>
        <v>0</v>
      </c>
      <c r="P1774" s="16">
        <f>IF(NOT(Paths!$C$167=1),0,IF(Paths!$P$167="Complete",O1774+L1774,"n.a."))</f>
        <v>0</v>
      </c>
      <c r="Q1774" s="16">
        <f>IF(NOT(Paths!$C$167=1),0,IF(Paths!$P$167="Complete",N1774*(1+'Operating costs'!$B$54)^-C1774,"n.a."))</f>
        <v>0</v>
      </c>
      <c r="R1774" s="16">
        <f>IF(NOT(Paths!$C$167=1),0,IF(Paths!$P$167="Complete",IF(AND(C1774=0,Paths!$E$167=0),I1774-J1774-K1774+VLOOKUP(A1774,'Fleet register'!$A$7:$S$106,15,FALSE)+VLOOKUP(A1774,'Fleet register'!$A$7:$S$106,16,FALSE),0),"n.a."))</f>
        <v>0</v>
      </c>
      <c r="S1774" s="1">
        <f>IF(NOT(Paths!$C$167=1),0,IF(Paths!$P$167="Complete",IF(C1774=0,0,Paths!$S$167*Paths!$R$167),"n.a."))</f>
        <v>0</v>
      </c>
      <c r="T1774" s="1">
        <f>IF(NOT(Paths!$C$167=1),0,IF(Paths!$P$167="Complete",IF(C1774=0,0,VLOOKUP(A1774,'Fleet register'!$A$7:$S$106,9,FALSE)*Paths!$R$167),"n.a."))</f>
        <v>0</v>
      </c>
    </row>
    <row r="1775" spans="1:20" ht="24" customHeight="1">
      <c r="A1775" s="1" t="str">
        <f>Paths!$A$167</f>
        <v>T041</v>
      </c>
      <c r="B1775" s="1">
        <f>Paths!$B$167</f>
        <v>0</v>
      </c>
      <c r="C1775" s="1">
        <v>8</v>
      </c>
      <c r="D1775" s="1">
        <v>167</v>
      </c>
      <c r="E1775" s="1">
        <f>IF(OR(Paths!$C$167=0,C1775=0),0,MAX(0,MIN(C1775*12,Paths!$E$167)-(C1775-1)*12))</f>
        <v>0</v>
      </c>
      <c r="F1775" s="1">
        <f>IF(OR(Paths!$C$167=0,C1775=0),0,12-E1775)</f>
        <v>0</v>
      </c>
      <c r="G1775" s="16">
        <f>IF(NOT(Paths!$C$167=1),0,IF(Paths!$P$167="Complete",E1775/12*(Paths!$J$167*(1+'Operating costs'!$B$51)^MAX(0,C1775-1)+Paths!$K$167*(1+'Operating costs'!$B$53)^MAX(0,C1775-1)),"n.a."))</f>
        <v>0</v>
      </c>
      <c r="H1775" s="16">
        <f>IF(NOT(Paths!$C$167=1),0,IF(Paths!$P$167="Complete",F1775/12*(Paths!$L$167*(1+IF(Paths!$D$167="EV",'Operating costs'!$B$52,'Operating costs'!$B$51))^MAX(0,C1775-1)+Paths!$M$167*(1+'Operating costs'!$B$53)^MAX(0,C1775-1)),"n.a."))</f>
        <v>0</v>
      </c>
      <c r="I1775" s="16">
        <f>IF(NOT(Paths!$C$167=1),0,IF(Paths!$P$167="Complete",IF(IF(Paths!$E$167=0,C1775=0,AND(C1775&gt;0,Paths!$E$167&gt;(C1775-1)*12,Paths!$E$167&lt;=C1775*12)),Paths!$G$167,0),"n.a."))</f>
        <v>0</v>
      </c>
      <c r="J1775" s="16">
        <f>IF(NOT(Paths!$C$167=1),0,IF(Paths!$P$167="Complete",IF(IF(Paths!$E$167=0,C1775=0,AND(C1775&gt;0,Paths!$E$167&gt;(C1775-1)*12,Paths!$E$167&lt;=C1775*12)),Paths!$H$167,0),"n.a."))</f>
        <v>0</v>
      </c>
      <c r="K1775" s="16">
        <f>IF(NOT(Paths!$C$167=1),0,IF(Paths!$P$167="Complete",IF(IF(Paths!$O$167=0,C1775=0,AND(C1775&gt;0,Paths!$O$167&gt;(C1775-1)*12,Paths!$O$167&lt;=C1775*12)),Paths!$N$167,0),"n.a."))</f>
        <v>0</v>
      </c>
      <c r="L1775" s="16">
        <f>IF(NOT(Paths!$C$167=1),0,IF(Paths!$P$167="Complete",IF(C1775=10,Paths!$I$167,0),"n.a."))</f>
        <v>0</v>
      </c>
      <c r="M1775" s="16">
        <f>IF(NOT(Paths!$C$167=1),0,IF(Paths!$P$167="Complete",IF(AND(Paths!$D$167="EV",Paths!$E$167&lt;120,Paths!$E$167+'Operating costs'!$B$65&gt;Paths!$E$167,Paths!$E$167+'Operating costs'!$B$65&lt;=120,IF(Paths!$E$167+'Operating costs'!$B$65=0,C1775=0,AND(C1775&gt;0,Paths!$E$167+'Operating costs'!$B$65&gt;(C1775-1)*12,Paths!$E$167+'Operating costs'!$B$65&lt;=C1775*12))),'Operating costs'!$B$64,0)+IF(AND('Operating costs'!$B$67&gt;0,'Operating costs'!$B$67&lt;=120,OR(Paths!$D$167="ICE",'Operating costs'!$B$67&lt;=Paths!$E$167),IF('Operating costs'!$B$67=0,C1775=0,AND(C1775&gt;0,'Operating costs'!$B$67&gt;(C1775-1)*12,'Operating costs'!$B$67&lt;=C1775*12))),'Operating costs'!$B$66,0),"n.a."))</f>
        <v>0</v>
      </c>
      <c r="N1775" s="16">
        <f>IF(NOT(Paths!$C$167=1),0,IF(Paths!$P$167="Complete",SUM(G1775:I1775)-J1775-K1775-L1775+M1775+IF(C1775=0,Paths!$F$167,0)+IF(IF(Paths!$E$167=0,C1775=0,AND(C1775&gt;0,Paths!$E$167&gt;(C1775-1)*12,Paths!$E$167&lt;=C1775*12)),VLOOKUP(A1775,'Fleet register'!$A$7:$S$106,16,FALSE),0),"n.a."))</f>
        <v>0</v>
      </c>
      <c r="O1775" s="16">
        <f>IF(NOT(Paths!$C$167=1),0,IF(Paths!$P$167="Complete",N1775-IF(C1775=0,Paths!$F$167,0),"n.a."))</f>
        <v>0</v>
      </c>
      <c r="P1775" s="16">
        <f>IF(NOT(Paths!$C$167=1),0,IF(Paths!$P$167="Complete",O1775+L1775,"n.a."))</f>
        <v>0</v>
      </c>
      <c r="Q1775" s="16">
        <f>IF(NOT(Paths!$C$167=1),0,IF(Paths!$P$167="Complete",N1775*(1+'Operating costs'!$B$54)^-C1775,"n.a."))</f>
        <v>0</v>
      </c>
      <c r="R1775" s="16">
        <f>IF(NOT(Paths!$C$167=1),0,IF(Paths!$P$167="Complete",IF(AND(C1775=0,Paths!$E$167=0),I1775-J1775-K1775+VLOOKUP(A1775,'Fleet register'!$A$7:$S$106,15,FALSE)+VLOOKUP(A1775,'Fleet register'!$A$7:$S$106,16,FALSE),0),"n.a."))</f>
        <v>0</v>
      </c>
      <c r="S1775" s="1">
        <f>IF(NOT(Paths!$C$167=1),0,IF(Paths!$P$167="Complete",IF(C1775=0,0,Paths!$S$167*Paths!$R$167),"n.a."))</f>
        <v>0</v>
      </c>
      <c r="T1775" s="1">
        <f>IF(NOT(Paths!$C$167=1),0,IF(Paths!$P$167="Complete",IF(C1775=0,0,VLOOKUP(A1775,'Fleet register'!$A$7:$S$106,9,FALSE)*Paths!$R$167),"n.a."))</f>
        <v>0</v>
      </c>
    </row>
    <row r="1776" spans="1:20" ht="24" customHeight="1">
      <c r="A1776" s="1" t="str">
        <f>Paths!$A$167</f>
        <v>T041</v>
      </c>
      <c r="B1776" s="1">
        <f>Paths!$B$167</f>
        <v>0</v>
      </c>
      <c r="C1776" s="1">
        <v>9</v>
      </c>
      <c r="D1776" s="1">
        <v>167</v>
      </c>
      <c r="E1776" s="1">
        <f>IF(OR(Paths!$C$167=0,C1776=0),0,MAX(0,MIN(C1776*12,Paths!$E$167)-(C1776-1)*12))</f>
        <v>0</v>
      </c>
      <c r="F1776" s="1">
        <f>IF(OR(Paths!$C$167=0,C1776=0),0,12-E1776)</f>
        <v>0</v>
      </c>
      <c r="G1776" s="16">
        <f>IF(NOT(Paths!$C$167=1),0,IF(Paths!$P$167="Complete",E1776/12*(Paths!$J$167*(1+'Operating costs'!$B$51)^MAX(0,C1776-1)+Paths!$K$167*(1+'Operating costs'!$B$53)^MAX(0,C1776-1)),"n.a."))</f>
        <v>0</v>
      </c>
      <c r="H1776" s="16">
        <f>IF(NOT(Paths!$C$167=1),0,IF(Paths!$P$167="Complete",F1776/12*(Paths!$L$167*(1+IF(Paths!$D$167="EV",'Operating costs'!$B$52,'Operating costs'!$B$51))^MAX(0,C1776-1)+Paths!$M$167*(1+'Operating costs'!$B$53)^MAX(0,C1776-1)),"n.a."))</f>
        <v>0</v>
      </c>
      <c r="I1776" s="16">
        <f>IF(NOT(Paths!$C$167=1),0,IF(Paths!$P$167="Complete",IF(IF(Paths!$E$167=0,C1776=0,AND(C1776&gt;0,Paths!$E$167&gt;(C1776-1)*12,Paths!$E$167&lt;=C1776*12)),Paths!$G$167,0),"n.a."))</f>
        <v>0</v>
      </c>
      <c r="J1776" s="16">
        <f>IF(NOT(Paths!$C$167=1),0,IF(Paths!$P$167="Complete",IF(IF(Paths!$E$167=0,C1776=0,AND(C1776&gt;0,Paths!$E$167&gt;(C1776-1)*12,Paths!$E$167&lt;=C1776*12)),Paths!$H$167,0),"n.a."))</f>
        <v>0</v>
      </c>
      <c r="K1776" s="16">
        <f>IF(NOT(Paths!$C$167=1),0,IF(Paths!$P$167="Complete",IF(IF(Paths!$O$167=0,C1776=0,AND(C1776&gt;0,Paths!$O$167&gt;(C1776-1)*12,Paths!$O$167&lt;=C1776*12)),Paths!$N$167,0),"n.a."))</f>
        <v>0</v>
      </c>
      <c r="L1776" s="16">
        <f>IF(NOT(Paths!$C$167=1),0,IF(Paths!$P$167="Complete",IF(C1776=10,Paths!$I$167,0),"n.a."))</f>
        <v>0</v>
      </c>
      <c r="M1776" s="16">
        <f>IF(NOT(Paths!$C$167=1),0,IF(Paths!$P$167="Complete",IF(AND(Paths!$D$167="EV",Paths!$E$167&lt;120,Paths!$E$167+'Operating costs'!$B$65&gt;Paths!$E$167,Paths!$E$167+'Operating costs'!$B$65&lt;=120,IF(Paths!$E$167+'Operating costs'!$B$65=0,C1776=0,AND(C1776&gt;0,Paths!$E$167+'Operating costs'!$B$65&gt;(C1776-1)*12,Paths!$E$167+'Operating costs'!$B$65&lt;=C1776*12))),'Operating costs'!$B$64,0)+IF(AND('Operating costs'!$B$67&gt;0,'Operating costs'!$B$67&lt;=120,OR(Paths!$D$167="ICE",'Operating costs'!$B$67&lt;=Paths!$E$167),IF('Operating costs'!$B$67=0,C1776=0,AND(C1776&gt;0,'Operating costs'!$B$67&gt;(C1776-1)*12,'Operating costs'!$B$67&lt;=C1776*12))),'Operating costs'!$B$66,0),"n.a."))</f>
        <v>0</v>
      </c>
      <c r="N1776" s="16">
        <f>IF(NOT(Paths!$C$167=1),0,IF(Paths!$P$167="Complete",SUM(G1776:I1776)-J1776-K1776-L1776+M1776+IF(C1776=0,Paths!$F$167,0)+IF(IF(Paths!$E$167=0,C1776=0,AND(C1776&gt;0,Paths!$E$167&gt;(C1776-1)*12,Paths!$E$167&lt;=C1776*12)),VLOOKUP(A1776,'Fleet register'!$A$7:$S$106,16,FALSE),0),"n.a."))</f>
        <v>0</v>
      </c>
      <c r="O1776" s="16">
        <f>IF(NOT(Paths!$C$167=1),0,IF(Paths!$P$167="Complete",N1776-IF(C1776=0,Paths!$F$167,0),"n.a."))</f>
        <v>0</v>
      </c>
      <c r="P1776" s="16">
        <f>IF(NOT(Paths!$C$167=1),0,IF(Paths!$P$167="Complete",O1776+L1776,"n.a."))</f>
        <v>0</v>
      </c>
      <c r="Q1776" s="16">
        <f>IF(NOT(Paths!$C$167=1),0,IF(Paths!$P$167="Complete",N1776*(1+'Operating costs'!$B$54)^-C1776,"n.a."))</f>
        <v>0</v>
      </c>
      <c r="R1776" s="16">
        <f>IF(NOT(Paths!$C$167=1),0,IF(Paths!$P$167="Complete",IF(AND(C1776=0,Paths!$E$167=0),I1776-J1776-K1776+VLOOKUP(A1776,'Fleet register'!$A$7:$S$106,15,FALSE)+VLOOKUP(A1776,'Fleet register'!$A$7:$S$106,16,FALSE),0),"n.a."))</f>
        <v>0</v>
      </c>
      <c r="S1776" s="1">
        <f>IF(NOT(Paths!$C$167=1),0,IF(Paths!$P$167="Complete",IF(C1776=0,0,Paths!$S$167*Paths!$R$167),"n.a."))</f>
        <v>0</v>
      </c>
      <c r="T1776" s="1">
        <f>IF(NOT(Paths!$C$167=1),0,IF(Paths!$P$167="Complete",IF(C1776=0,0,VLOOKUP(A1776,'Fleet register'!$A$7:$S$106,9,FALSE)*Paths!$R$167),"n.a."))</f>
        <v>0</v>
      </c>
    </row>
    <row r="1777" spans="1:20" ht="24" customHeight="1">
      <c r="A1777" s="1" t="str">
        <f>Paths!$A$167</f>
        <v>T041</v>
      </c>
      <c r="B1777" s="1">
        <f>Paths!$B$167</f>
        <v>0</v>
      </c>
      <c r="C1777" s="1">
        <v>10</v>
      </c>
      <c r="D1777" s="1">
        <v>167</v>
      </c>
      <c r="E1777" s="1">
        <f>IF(OR(Paths!$C$167=0,C1777=0),0,MAX(0,MIN(C1777*12,Paths!$E$167)-(C1777-1)*12))</f>
        <v>0</v>
      </c>
      <c r="F1777" s="1">
        <f>IF(OR(Paths!$C$167=0,C1777=0),0,12-E1777)</f>
        <v>0</v>
      </c>
      <c r="G1777" s="16">
        <f>IF(NOT(Paths!$C$167=1),0,IF(Paths!$P$167="Complete",E1777/12*(Paths!$J$167*(1+'Operating costs'!$B$51)^MAX(0,C1777-1)+Paths!$K$167*(1+'Operating costs'!$B$53)^MAX(0,C1777-1)),"n.a."))</f>
        <v>0</v>
      </c>
      <c r="H1777" s="16">
        <f>IF(NOT(Paths!$C$167=1),0,IF(Paths!$P$167="Complete",F1777/12*(Paths!$L$167*(1+IF(Paths!$D$167="EV",'Operating costs'!$B$52,'Operating costs'!$B$51))^MAX(0,C1777-1)+Paths!$M$167*(1+'Operating costs'!$B$53)^MAX(0,C1777-1)),"n.a."))</f>
        <v>0</v>
      </c>
      <c r="I1777" s="16">
        <f>IF(NOT(Paths!$C$167=1),0,IF(Paths!$P$167="Complete",IF(IF(Paths!$E$167=0,C1777=0,AND(C1777&gt;0,Paths!$E$167&gt;(C1777-1)*12,Paths!$E$167&lt;=C1777*12)),Paths!$G$167,0),"n.a."))</f>
        <v>0</v>
      </c>
      <c r="J1777" s="16">
        <f>IF(NOT(Paths!$C$167=1),0,IF(Paths!$P$167="Complete",IF(IF(Paths!$E$167=0,C1777=0,AND(C1777&gt;0,Paths!$E$167&gt;(C1777-1)*12,Paths!$E$167&lt;=C1777*12)),Paths!$H$167,0),"n.a."))</f>
        <v>0</v>
      </c>
      <c r="K1777" s="16">
        <f>IF(NOT(Paths!$C$167=1),0,IF(Paths!$P$167="Complete",IF(IF(Paths!$O$167=0,C1777=0,AND(C1777&gt;0,Paths!$O$167&gt;(C1777-1)*12,Paths!$O$167&lt;=C1777*12)),Paths!$N$167,0),"n.a."))</f>
        <v>0</v>
      </c>
      <c r="L1777" s="16">
        <f>IF(NOT(Paths!$C$167=1),0,IF(Paths!$P$167="Complete",IF(C1777=10,Paths!$I$167,0),"n.a."))</f>
        <v>0</v>
      </c>
      <c r="M1777" s="16">
        <f>IF(NOT(Paths!$C$167=1),0,IF(Paths!$P$167="Complete",IF(AND(Paths!$D$167="EV",Paths!$E$167&lt;120,Paths!$E$167+'Operating costs'!$B$65&gt;Paths!$E$167,Paths!$E$167+'Operating costs'!$B$65&lt;=120,IF(Paths!$E$167+'Operating costs'!$B$65=0,C1777=0,AND(C1777&gt;0,Paths!$E$167+'Operating costs'!$B$65&gt;(C1777-1)*12,Paths!$E$167+'Operating costs'!$B$65&lt;=C1777*12))),'Operating costs'!$B$64,0)+IF(AND('Operating costs'!$B$67&gt;0,'Operating costs'!$B$67&lt;=120,OR(Paths!$D$167="ICE",'Operating costs'!$B$67&lt;=Paths!$E$167),IF('Operating costs'!$B$67=0,C1777=0,AND(C1777&gt;0,'Operating costs'!$B$67&gt;(C1777-1)*12,'Operating costs'!$B$67&lt;=C1777*12))),'Operating costs'!$B$66,0),"n.a."))</f>
        <v>0</v>
      </c>
      <c r="N1777" s="16">
        <f>IF(NOT(Paths!$C$167=1),0,IF(Paths!$P$167="Complete",SUM(G1777:I1777)-J1777-K1777-L1777+M1777+IF(C1777=0,Paths!$F$167,0)+IF(IF(Paths!$E$167=0,C1777=0,AND(C1777&gt;0,Paths!$E$167&gt;(C1777-1)*12,Paths!$E$167&lt;=C1777*12)),VLOOKUP(A1777,'Fleet register'!$A$7:$S$106,16,FALSE),0),"n.a."))</f>
        <v>0</v>
      </c>
      <c r="O1777" s="16">
        <f>IF(NOT(Paths!$C$167=1),0,IF(Paths!$P$167="Complete",N1777-IF(C1777=0,Paths!$F$167,0),"n.a."))</f>
        <v>0</v>
      </c>
      <c r="P1777" s="16">
        <f>IF(NOT(Paths!$C$167=1),0,IF(Paths!$P$167="Complete",O1777+L1777,"n.a."))</f>
        <v>0</v>
      </c>
      <c r="Q1777" s="16">
        <f>IF(NOT(Paths!$C$167=1),0,IF(Paths!$P$167="Complete",N1777*(1+'Operating costs'!$B$54)^-C1777,"n.a."))</f>
        <v>0</v>
      </c>
      <c r="R1777" s="16">
        <f>IF(NOT(Paths!$C$167=1),0,IF(Paths!$P$167="Complete",IF(AND(C1777=0,Paths!$E$167=0),I1777-J1777-K1777+VLOOKUP(A1777,'Fleet register'!$A$7:$S$106,15,FALSE)+VLOOKUP(A1777,'Fleet register'!$A$7:$S$106,16,FALSE),0),"n.a."))</f>
        <v>0</v>
      </c>
      <c r="S1777" s="1">
        <f>IF(NOT(Paths!$C$167=1),0,IF(Paths!$P$167="Complete",IF(C1777=0,0,Paths!$S$167*Paths!$R$167),"n.a."))</f>
        <v>0</v>
      </c>
      <c r="T1777" s="1">
        <f>IF(NOT(Paths!$C$167=1),0,IF(Paths!$P$167="Complete",IF(C1777=0,0,VLOOKUP(A1777,'Fleet register'!$A$7:$S$106,9,FALSE)*Paths!$R$167),"n.a."))</f>
        <v>0</v>
      </c>
    </row>
    <row r="1778" spans="1:20" ht="24" customHeight="1">
      <c r="A1778" s="1" t="str">
        <f>Paths!$A$168</f>
        <v>T041</v>
      </c>
      <c r="B1778" s="1">
        <f>Paths!$B$168</f>
        <v>1</v>
      </c>
      <c r="C1778" s="1">
        <v>0</v>
      </c>
      <c r="D1778" s="1">
        <v>168</v>
      </c>
      <c r="E1778" s="1">
        <f>IF(OR(Paths!$C$168=0,C1778=0),0,MAX(0,MIN(C1778*12,Paths!$E$168)-(C1778-1)*12))</f>
        <v>0</v>
      </c>
      <c r="F1778" s="1">
        <f>IF(OR(Paths!$C$168=0,C1778=0),0,12-E1778)</f>
        <v>0</v>
      </c>
      <c r="G1778" s="16">
        <f>IF(NOT(Paths!$C$168=1),0,IF(Paths!$P$168="Complete",E1778/12*(Paths!$J$168*(1+'Operating costs'!$B$51)^MAX(0,C1778-1)+Paths!$K$168*(1+'Operating costs'!$B$53)^MAX(0,C1778-1)),"n.a."))</f>
        <v>0</v>
      </c>
      <c r="H1778" s="16">
        <f>IF(NOT(Paths!$C$168=1),0,IF(Paths!$P$168="Complete",F1778/12*(Paths!$L$168*(1+IF(Paths!$D$168="EV",'Operating costs'!$B$52,'Operating costs'!$B$51))^MAX(0,C1778-1)+Paths!$M$168*(1+'Operating costs'!$B$53)^MAX(0,C1778-1)),"n.a."))</f>
        <v>0</v>
      </c>
      <c r="I1778" s="16">
        <f>IF(NOT(Paths!$C$168=1),0,IF(Paths!$P$168="Complete",IF(IF(Paths!$E$168=0,C1778=0,AND(C1778&gt;0,Paths!$E$168&gt;(C1778-1)*12,Paths!$E$168&lt;=C1778*12)),Paths!$G$168,0),"n.a."))</f>
        <v>0</v>
      </c>
      <c r="J1778" s="16">
        <f>IF(NOT(Paths!$C$168=1),0,IF(Paths!$P$168="Complete",IF(IF(Paths!$E$168=0,C1778=0,AND(C1778&gt;0,Paths!$E$168&gt;(C1778-1)*12,Paths!$E$168&lt;=C1778*12)),Paths!$H$168,0),"n.a."))</f>
        <v>0</v>
      </c>
      <c r="K1778" s="16">
        <f>IF(NOT(Paths!$C$168=1),0,IF(Paths!$P$168="Complete",IF(IF(Paths!$O$168=0,C1778=0,AND(C1778&gt;0,Paths!$O$168&gt;(C1778-1)*12,Paths!$O$168&lt;=C1778*12)),Paths!$N$168,0),"n.a."))</f>
        <v>0</v>
      </c>
      <c r="L1778" s="16">
        <f>IF(NOT(Paths!$C$168=1),0,IF(Paths!$P$168="Complete",IF(C1778=10,Paths!$I$168,0),"n.a."))</f>
        <v>0</v>
      </c>
      <c r="M1778" s="16">
        <f>IF(NOT(Paths!$C$168=1),0,IF(Paths!$P$168="Complete",IF(AND(Paths!$D$168="EV",Paths!$E$168&lt;120,Paths!$E$168+'Operating costs'!$B$65&gt;Paths!$E$168,Paths!$E$168+'Operating costs'!$B$65&lt;=120,IF(Paths!$E$168+'Operating costs'!$B$65=0,C1778=0,AND(C1778&gt;0,Paths!$E$168+'Operating costs'!$B$65&gt;(C1778-1)*12,Paths!$E$168+'Operating costs'!$B$65&lt;=C1778*12))),'Operating costs'!$B$64,0)+IF(AND('Operating costs'!$B$67&gt;0,'Operating costs'!$B$67&lt;=120,OR(Paths!$D$168="ICE",'Operating costs'!$B$67&lt;=Paths!$E$168),IF('Operating costs'!$B$67=0,C1778=0,AND(C1778&gt;0,'Operating costs'!$B$67&gt;(C1778-1)*12,'Operating costs'!$B$67&lt;=C1778*12))),'Operating costs'!$B$66,0),"n.a."))</f>
        <v>0</v>
      </c>
      <c r="N1778" s="16">
        <f>IF(NOT(Paths!$C$168=1),0,IF(Paths!$P$168="Complete",SUM(G1778:I1778)-J1778-K1778-L1778+M1778+IF(C1778=0,Paths!$F$168,0)+IF(IF(Paths!$E$168=0,C1778=0,AND(C1778&gt;0,Paths!$E$168&gt;(C1778-1)*12,Paths!$E$168&lt;=C1778*12)),VLOOKUP(A1778,'Fleet register'!$A$7:$S$106,16,FALSE),0),"n.a."))</f>
        <v>0</v>
      </c>
      <c r="O1778" s="16">
        <f>IF(NOT(Paths!$C$168=1),0,IF(Paths!$P$168="Complete",N1778-IF(C1778=0,Paths!$F$168,0),"n.a."))</f>
        <v>0</v>
      </c>
      <c r="P1778" s="16">
        <f>IF(NOT(Paths!$C$168=1),0,IF(Paths!$P$168="Complete",O1778+L1778,"n.a."))</f>
        <v>0</v>
      </c>
      <c r="Q1778" s="16">
        <f>IF(NOT(Paths!$C$168=1),0,IF(Paths!$P$168="Complete",N1778*(1+'Operating costs'!$B$54)^-C1778,"n.a."))</f>
        <v>0</v>
      </c>
      <c r="R1778" s="16">
        <f>IF(NOT(Paths!$C$168=1),0,IF(Paths!$P$168="Complete",IF(AND(C1778=0,Paths!$E$168=0),I1778-J1778-K1778+VLOOKUP(A1778,'Fleet register'!$A$7:$S$106,15,FALSE)+VLOOKUP(A1778,'Fleet register'!$A$7:$S$106,16,FALSE),0),"n.a."))</f>
        <v>0</v>
      </c>
      <c r="S1778" s="1">
        <f>IF(NOT(Paths!$C$168=1),0,IF(Paths!$P$168="Complete",IF(C1778=0,0,Paths!$S$168*Paths!$R$168),"n.a."))</f>
        <v>0</v>
      </c>
      <c r="T1778" s="1">
        <f>IF(NOT(Paths!$C$168=1),0,IF(Paths!$P$168="Complete",IF(C1778=0,0,VLOOKUP(A1778,'Fleet register'!$A$7:$S$106,9,FALSE)*Paths!$R$168),"n.a."))</f>
        <v>0</v>
      </c>
    </row>
    <row r="1779" spans="1:20" ht="24" customHeight="1">
      <c r="A1779" s="1" t="str">
        <f>Paths!$A$168</f>
        <v>T041</v>
      </c>
      <c r="B1779" s="1">
        <f>Paths!$B$168</f>
        <v>1</v>
      </c>
      <c r="C1779" s="1">
        <v>1</v>
      </c>
      <c r="D1779" s="1">
        <v>168</v>
      </c>
      <c r="E1779" s="1">
        <f>IF(OR(Paths!$C$168=0,C1779=0),0,MAX(0,MIN(C1779*12,Paths!$E$168)-(C1779-1)*12))</f>
        <v>0</v>
      </c>
      <c r="F1779" s="1">
        <f>IF(OR(Paths!$C$168=0,C1779=0),0,12-E1779)</f>
        <v>0</v>
      </c>
      <c r="G1779" s="16">
        <f>IF(NOT(Paths!$C$168=1),0,IF(Paths!$P$168="Complete",E1779/12*(Paths!$J$168*(1+'Operating costs'!$B$51)^MAX(0,C1779-1)+Paths!$K$168*(1+'Operating costs'!$B$53)^MAX(0,C1779-1)),"n.a."))</f>
        <v>0</v>
      </c>
      <c r="H1779" s="16">
        <f>IF(NOT(Paths!$C$168=1),0,IF(Paths!$P$168="Complete",F1779/12*(Paths!$L$168*(1+IF(Paths!$D$168="EV",'Operating costs'!$B$52,'Operating costs'!$B$51))^MAX(0,C1779-1)+Paths!$M$168*(1+'Operating costs'!$B$53)^MAX(0,C1779-1)),"n.a."))</f>
        <v>0</v>
      </c>
      <c r="I1779" s="16">
        <f>IF(NOT(Paths!$C$168=1),0,IF(Paths!$P$168="Complete",IF(IF(Paths!$E$168=0,C1779=0,AND(C1779&gt;0,Paths!$E$168&gt;(C1779-1)*12,Paths!$E$168&lt;=C1779*12)),Paths!$G$168,0),"n.a."))</f>
        <v>0</v>
      </c>
      <c r="J1779" s="16">
        <f>IF(NOT(Paths!$C$168=1),0,IF(Paths!$P$168="Complete",IF(IF(Paths!$E$168=0,C1779=0,AND(C1779&gt;0,Paths!$E$168&gt;(C1779-1)*12,Paths!$E$168&lt;=C1779*12)),Paths!$H$168,0),"n.a."))</f>
        <v>0</v>
      </c>
      <c r="K1779" s="16">
        <f>IF(NOT(Paths!$C$168=1),0,IF(Paths!$P$168="Complete",IF(IF(Paths!$O$168=0,C1779=0,AND(C1779&gt;0,Paths!$O$168&gt;(C1779-1)*12,Paths!$O$168&lt;=C1779*12)),Paths!$N$168,0),"n.a."))</f>
        <v>0</v>
      </c>
      <c r="L1779" s="16">
        <f>IF(NOT(Paths!$C$168=1),0,IF(Paths!$P$168="Complete",IF(C1779=10,Paths!$I$168,0),"n.a."))</f>
        <v>0</v>
      </c>
      <c r="M1779" s="16">
        <f>IF(NOT(Paths!$C$168=1),0,IF(Paths!$P$168="Complete",IF(AND(Paths!$D$168="EV",Paths!$E$168&lt;120,Paths!$E$168+'Operating costs'!$B$65&gt;Paths!$E$168,Paths!$E$168+'Operating costs'!$B$65&lt;=120,IF(Paths!$E$168+'Operating costs'!$B$65=0,C1779=0,AND(C1779&gt;0,Paths!$E$168+'Operating costs'!$B$65&gt;(C1779-1)*12,Paths!$E$168+'Operating costs'!$B$65&lt;=C1779*12))),'Operating costs'!$B$64,0)+IF(AND('Operating costs'!$B$67&gt;0,'Operating costs'!$B$67&lt;=120,OR(Paths!$D$168="ICE",'Operating costs'!$B$67&lt;=Paths!$E$168),IF('Operating costs'!$B$67=0,C1779=0,AND(C1779&gt;0,'Operating costs'!$B$67&gt;(C1779-1)*12,'Operating costs'!$B$67&lt;=C1779*12))),'Operating costs'!$B$66,0),"n.a."))</f>
        <v>0</v>
      </c>
      <c r="N1779" s="16">
        <f>IF(NOT(Paths!$C$168=1),0,IF(Paths!$P$168="Complete",SUM(G1779:I1779)-J1779-K1779-L1779+M1779+IF(C1779=0,Paths!$F$168,0)+IF(IF(Paths!$E$168=0,C1779=0,AND(C1779&gt;0,Paths!$E$168&gt;(C1779-1)*12,Paths!$E$168&lt;=C1779*12)),VLOOKUP(A1779,'Fleet register'!$A$7:$S$106,16,FALSE),0),"n.a."))</f>
        <v>0</v>
      </c>
      <c r="O1779" s="16">
        <f>IF(NOT(Paths!$C$168=1),0,IF(Paths!$P$168="Complete",N1779-IF(C1779=0,Paths!$F$168,0),"n.a."))</f>
        <v>0</v>
      </c>
      <c r="P1779" s="16">
        <f>IF(NOT(Paths!$C$168=1),0,IF(Paths!$P$168="Complete",O1779+L1779,"n.a."))</f>
        <v>0</v>
      </c>
      <c r="Q1779" s="16">
        <f>IF(NOT(Paths!$C$168=1),0,IF(Paths!$P$168="Complete",N1779*(1+'Operating costs'!$B$54)^-C1779,"n.a."))</f>
        <v>0</v>
      </c>
      <c r="R1779" s="16">
        <f>IF(NOT(Paths!$C$168=1),0,IF(Paths!$P$168="Complete",IF(AND(C1779=0,Paths!$E$168=0),I1779-J1779-K1779+VLOOKUP(A1779,'Fleet register'!$A$7:$S$106,15,FALSE)+VLOOKUP(A1779,'Fleet register'!$A$7:$S$106,16,FALSE),0),"n.a."))</f>
        <v>0</v>
      </c>
      <c r="S1779" s="1">
        <f>IF(NOT(Paths!$C$168=1),0,IF(Paths!$P$168="Complete",IF(C1779=0,0,Paths!$S$168*Paths!$R$168),"n.a."))</f>
        <v>0</v>
      </c>
      <c r="T1779" s="1">
        <f>IF(NOT(Paths!$C$168=1),0,IF(Paths!$P$168="Complete",IF(C1779=0,0,VLOOKUP(A1779,'Fleet register'!$A$7:$S$106,9,FALSE)*Paths!$R$168),"n.a."))</f>
        <v>0</v>
      </c>
    </row>
    <row r="1780" spans="1:20" ht="24" customHeight="1">
      <c r="A1780" s="1" t="str">
        <f>Paths!$A$168</f>
        <v>T041</v>
      </c>
      <c r="B1780" s="1">
        <f>Paths!$B$168</f>
        <v>1</v>
      </c>
      <c r="C1780" s="1">
        <v>2</v>
      </c>
      <c r="D1780" s="1">
        <v>168</v>
      </c>
      <c r="E1780" s="1">
        <f>IF(OR(Paths!$C$168=0,C1780=0),0,MAX(0,MIN(C1780*12,Paths!$E$168)-(C1780-1)*12))</f>
        <v>0</v>
      </c>
      <c r="F1780" s="1">
        <f>IF(OR(Paths!$C$168=0,C1780=0),0,12-E1780)</f>
        <v>0</v>
      </c>
      <c r="G1780" s="16">
        <f>IF(NOT(Paths!$C$168=1),0,IF(Paths!$P$168="Complete",E1780/12*(Paths!$J$168*(1+'Operating costs'!$B$51)^MAX(0,C1780-1)+Paths!$K$168*(1+'Operating costs'!$B$53)^MAX(0,C1780-1)),"n.a."))</f>
        <v>0</v>
      </c>
      <c r="H1780" s="16">
        <f>IF(NOT(Paths!$C$168=1),0,IF(Paths!$P$168="Complete",F1780/12*(Paths!$L$168*(1+IF(Paths!$D$168="EV",'Operating costs'!$B$52,'Operating costs'!$B$51))^MAX(0,C1780-1)+Paths!$M$168*(1+'Operating costs'!$B$53)^MAX(0,C1780-1)),"n.a."))</f>
        <v>0</v>
      </c>
      <c r="I1780" s="16">
        <f>IF(NOT(Paths!$C$168=1),0,IF(Paths!$P$168="Complete",IF(IF(Paths!$E$168=0,C1780=0,AND(C1780&gt;0,Paths!$E$168&gt;(C1780-1)*12,Paths!$E$168&lt;=C1780*12)),Paths!$G$168,0),"n.a."))</f>
        <v>0</v>
      </c>
      <c r="J1780" s="16">
        <f>IF(NOT(Paths!$C$168=1),0,IF(Paths!$P$168="Complete",IF(IF(Paths!$E$168=0,C1780=0,AND(C1780&gt;0,Paths!$E$168&gt;(C1780-1)*12,Paths!$E$168&lt;=C1780*12)),Paths!$H$168,0),"n.a."))</f>
        <v>0</v>
      </c>
      <c r="K1780" s="16">
        <f>IF(NOT(Paths!$C$168=1),0,IF(Paths!$P$168="Complete",IF(IF(Paths!$O$168=0,C1780=0,AND(C1780&gt;0,Paths!$O$168&gt;(C1780-1)*12,Paths!$O$168&lt;=C1780*12)),Paths!$N$168,0),"n.a."))</f>
        <v>0</v>
      </c>
      <c r="L1780" s="16">
        <f>IF(NOT(Paths!$C$168=1),0,IF(Paths!$P$168="Complete",IF(C1780=10,Paths!$I$168,0),"n.a."))</f>
        <v>0</v>
      </c>
      <c r="M1780" s="16">
        <f>IF(NOT(Paths!$C$168=1),0,IF(Paths!$P$168="Complete",IF(AND(Paths!$D$168="EV",Paths!$E$168&lt;120,Paths!$E$168+'Operating costs'!$B$65&gt;Paths!$E$168,Paths!$E$168+'Operating costs'!$B$65&lt;=120,IF(Paths!$E$168+'Operating costs'!$B$65=0,C1780=0,AND(C1780&gt;0,Paths!$E$168+'Operating costs'!$B$65&gt;(C1780-1)*12,Paths!$E$168+'Operating costs'!$B$65&lt;=C1780*12))),'Operating costs'!$B$64,0)+IF(AND('Operating costs'!$B$67&gt;0,'Operating costs'!$B$67&lt;=120,OR(Paths!$D$168="ICE",'Operating costs'!$B$67&lt;=Paths!$E$168),IF('Operating costs'!$B$67=0,C1780=0,AND(C1780&gt;0,'Operating costs'!$B$67&gt;(C1780-1)*12,'Operating costs'!$B$67&lt;=C1780*12))),'Operating costs'!$B$66,0),"n.a."))</f>
        <v>0</v>
      </c>
      <c r="N1780" s="16">
        <f>IF(NOT(Paths!$C$168=1),0,IF(Paths!$P$168="Complete",SUM(G1780:I1780)-J1780-K1780-L1780+M1780+IF(C1780=0,Paths!$F$168,0)+IF(IF(Paths!$E$168=0,C1780=0,AND(C1780&gt;0,Paths!$E$168&gt;(C1780-1)*12,Paths!$E$168&lt;=C1780*12)),VLOOKUP(A1780,'Fleet register'!$A$7:$S$106,16,FALSE),0),"n.a."))</f>
        <v>0</v>
      </c>
      <c r="O1780" s="16">
        <f>IF(NOT(Paths!$C$168=1),0,IF(Paths!$P$168="Complete",N1780-IF(C1780=0,Paths!$F$168,0),"n.a."))</f>
        <v>0</v>
      </c>
      <c r="P1780" s="16">
        <f>IF(NOT(Paths!$C$168=1),0,IF(Paths!$P$168="Complete",O1780+L1780,"n.a."))</f>
        <v>0</v>
      </c>
      <c r="Q1780" s="16">
        <f>IF(NOT(Paths!$C$168=1),0,IF(Paths!$P$168="Complete",N1780*(1+'Operating costs'!$B$54)^-C1780,"n.a."))</f>
        <v>0</v>
      </c>
      <c r="R1780" s="16">
        <f>IF(NOT(Paths!$C$168=1),0,IF(Paths!$P$168="Complete",IF(AND(C1780=0,Paths!$E$168=0),I1780-J1780-K1780+VLOOKUP(A1780,'Fleet register'!$A$7:$S$106,15,FALSE)+VLOOKUP(A1780,'Fleet register'!$A$7:$S$106,16,FALSE),0),"n.a."))</f>
        <v>0</v>
      </c>
      <c r="S1780" s="1">
        <f>IF(NOT(Paths!$C$168=1),0,IF(Paths!$P$168="Complete",IF(C1780=0,0,Paths!$S$168*Paths!$R$168),"n.a."))</f>
        <v>0</v>
      </c>
      <c r="T1780" s="1">
        <f>IF(NOT(Paths!$C$168=1),0,IF(Paths!$P$168="Complete",IF(C1780=0,0,VLOOKUP(A1780,'Fleet register'!$A$7:$S$106,9,FALSE)*Paths!$R$168),"n.a."))</f>
        <v>0</v>
      </c>
    </row>
    <row r="1781" spans="1:20" ht="24" customHeight="1">
      <c r="A1781" s="1" t="str">
        <f>Paths!$A$168</f>
        <v>T041</v>
      </c>
      <c r="B1781" s="1">
        <f>Paths!$B$168</f>
        <v>1</v>
      </c>
      <c r="C1781" s="1">
        <v>3</v>
      </c>
      <c r="D1781" s="1">
        <v>168</v>
      </c>
      <c r="E1781" s="1">
        <f>IF(OR(Paths!$C$168=0,C1781=0),0,MAX(0,MIN(C1781*12,Paths!$E$168)-(C1781-1)*12))</f>
        <v>0</v>
      </c>
      <c r="F1781" s="1">
        <f>IF(OR(Paths!$C$168=0,C1781=0),0,12-E1781)</f>
        <v>0</v>
      </c>
      <c r="G1781" s="16">
        <f>IF(NOT(Paths!$C$168=1),0,IF(Paths!$P$168="Complete",E1781/12*(Paths!$J$168*(1+'Operating costs'!$B$51)^MAX(0,C1781-1)+Paths!$K$168*(1+'Operating costs'!$B$53)^MAX(0,C1781-1)),"n.a."))</f>
        <v>0</v>
      </c>
      <c r="H1781" s="16">
        <f>IF(NOT(Paths!$C$168=1),0,IF(Paths!$P$168="Complete",F1781/12*(Paths!$L$168*(1+IF(Paths!$D$168="EV",'Operating costs'!$B$52,'Operating costs'!$B$51))^MAX(0,C1781-1)+Paths!$M$168*(1+'Operating costs'!$B$53)^MAX(0,C1781-1)),"n.a."))</f>
        <v>0</v>
      </c>
      <c r="I1781" s="16">
        <f>IF(NOT(Paths!$C$168=1),0,IF(Paths!$P$168="Complete",IF(IF(Paths!$E$168=0,C1781=0,AND(C1781&gt;0,Paths!$E$168&gt;(C1781-1)*12,Paths!$E$168&lt;=C1781*12)),Paths!$G$168,0),"n.a."))</f>
        <v>0</v>
      </c>
      <c r="J1781" s="16">
        <f>IF(NOT(Paths!$C$168=1),0,IF(Paths!$P$168="Complete",IF(IF(Paths!$E$168=0,C1781=0,AND(C1781&gt;0,Paths!$E$168&gt;(C1781-1)*12,Paths!$E$168&lt;=C1781*12)),Paths!$H$168,0),"n.a."))</f>
        <v>0</v>
      </c>
      <c r="K1781" s="16">
        <f>IF(NOT(Paths!$C$168=1),0,IF(Paths!$P$168="Complete",IF(IF(Paths!$O$168=0,C1781=0,AND(C1781&gt;0,Paths!$O$168&gt;(C1781-1)*12,Paths!$O$168&lt;=C1781*12)),Paths!$N$168,0),"n.a."))</f>
        <v>0</v>
      </c>
      <c r="L1781" s="16">
        <f>IF(NOT(Paths!$C$168=1),0,IF(Paths!$P$168="Complete",IF(C1781=10,Paths!$I$168,0),"n.a."))</f>
        <v>0</v>
      </c>
      <c r="M1781" s="16">
        <f>IF(NOT(Paths!$C$168=1),0,IF(Paths!$P$168="Complete",IF(AND(Paths!$D$168="EV",Paths!$E$168&lt;120,Paths!$E$168+'Operating costs'!$B$65&gt;Paths!$E$168,Paths!$E$168+'Operating costs'!$B$65&lt;=120,IF(Paths!$E$168+'Operating costs'!$B$65=0,C1781=0,AND(C1781&gt;0,Paths!$E$168+'Operating costs'!$B$65&gt;(C1781-1)*12,Paths!$E$168+'Operating costs'!$B$65&lt;=C1781*12))),'Operating costs'!$B$64,0)+IF(AND('Operating costs'!$B$67&gt;0,'Operating costs'!$B$67&lt;=120,OR(Paths!$D$168="ICE",'Operating costs'!$B$67&lt;=Paths!$E$168),IF('Operating costs'!$B$67=0,C1781=0,AND(C1781&gt;0,'Operating costs'!$B$67&gt;(C1781-1)*12,'Operating costs'!$B$67&lt;=C1781*12))),'Operating costs'!$B$66,0),"n.a."))</f>
        <v>0</v>
      </c>
      <c r="N1781" s="16">
        <f>IF(NOT(Paths!$C$168=1),0,IF(Paths!$P$168="Complete",SUM(G1781:I1781)-J1781-K1781-L1781+M1781+IF(C1781=0,Paths!$F$168,0)+IF(IF(Paths!$E$168=0,C1781=0,AND(C1781&gt;0,Paths!$E$168&gt;(C1781-1)*12,Paths!$E$168&lt;=C1781*12)),VLOOKUP(A1781,'Fleet register'!$A$7:$S$106,16,FALSE),0),"n.a."))</f>
        <v>0</v>
      </c>
      <c r="O1781" s="16">
        <f>IF(NOT(Paths!$C$168=1),0,IF(Paths!$P$168="Complete",N1781-IF(C1781=0,Paths!$F$168,0),"n.a."))</f>
        <v>0</v>
      </c>
      <c r="P1781" s="16">
        <f>IF(NOT(Paths!$C$168=1),0,IF(Paths!$P$168="Complete",O1781+L1781,"n.a."))</f>
        <v>0</v>
      </c>
      <c r="Q1781" s="16">
        <f>IF(NOT(Paths!$C$168=1),0,IF(Paths!$P$168="Complete",N1781*(1+'Operating costs'!$B$54)^-C1781,"n.a."))</f>
        <v>0</v>
      </c>
      <c r="R1781" s="16">
        <f>IF(NOT(Paths!$C$168=1),0,IF(Paths!$P$168="Complete",IF(AND(C1781=0,Paths!$E$168=0),I1781-J1781-K1781+VLOOKUP(A1781,'Fleet register'!$A$7:$S$106,15,FALSE)+VLOOKUP(A1781,'Fleet register'!$A$7:$S$106,16,FALSE),0),"n.a."))</f>
        <v>0</v>
      </c>
      <c r="S1781" s="1">
        <f>IF(NOT(Paths!$C$168=1),0,IF(Paths!$P$168="Complete",IF(C1781=0,0,Paths!$S$168*Paths!$R$168),"n.a."))</f>
        <v>0</v>
      </c>
      <c r="T1781" s="1">
        <f>IF(NOT(Paths!$C$168=1),0,IF(Paths!$P$168="Complete",IF(C1781=0,0,VLOOKUP(A1781,'Fleet register'!$A$7:$S$106,9,FALSE)*Paths!$R$168),"n.a."))</f>
        <v>0</v>
      </c>
    </row>
    <row r="1782" spans="1:20" ht="24" customHeight="1">
      <c r="A1782" s="1" t="str">
        <f>Paths!$A$168</f>
        <v>T041</v>
      </c>
      <c r="B1782" s="1">
        <f>Paths!$B$168</f>
        <v>1</v>
      </c>
      <c r="C1782" s="1">
        <v>4</v>
      </c>
      <c r="D1782" s="1">
        <v>168</v>
      </c>
      <c r="E1782" s="1">
        <f>IF(OR(Paths!$C$168=0,C1782=0),0,MAX(0,MIN(C1782*12,Paths!$E$168)-(C1782-1)*12))</f>
        <v>0</v>
      </c>
      <c r="F1782" s="1">
        <f>IF(OR(Paths!$C$168=0,C1782=0),0,12-E1782)</f>
        <v>0</v>
      </c>
      <c r="G1782" s="16">
        <f>IF(NOT(Paths!$C$168=1),0,IF(Paths!$P$168="Complete",E1782/12*(Paths!$J$168*(1+'Operating costs'!$B$51)^MAX(0,C1782-1)+Paths!$K$168*(1+'Operating costs'!$B$53)^MAX(0,C1782-1)),"n.a."))</f>
        <v>0</v>
      </c>
      <c r="H1782" s="16">
        <f>IF(NOT(Paths!$C$168=1),0,IF(Paths!$P$168="Complete",F1782/12*(Paths!$L$168*(1+IF(Paths!$D$168="EV",'Operating costs'!$B$52,'Operating costs'!$B$51))^MAX(0,C1782-1)+Paths!$M$168*(1+'Operating costs'!$B$53)^MAX(0,C1782-1)),"n.a."))</f>
        <v>0</v>
      </c>
      <c r="I1782" s="16">
        <f>IF(NOT(Paths!$C$168=1),0,IF(Paths!$P$168="Complete",IF(IF(Paths!$E$168=0,C1782=0,AND(C1782&gt;0,Paths!$E$168&gt;(C1782-1)*12,Paths!$E$168&lt;=C1782*12)),Paths!$G$168,0),"n.a."))</f>
        <v>0</v>
      </c>
      <c r="J1782" s="16">
        <f>IF(NOT(Paths!$C$168=1),0,IF(Paths!$P$168="Complete",IF(IF(Paths!$E$168=0,C1782=0,AND(C1782&gt;0,Paths!$E$168&gt;(C1782-1)*12,Paths!$E$168&lt;=C1782*12)),Paths!$H$168,0),"n.a."))</f>
        <v>0</v>
      </c>
      <c r="K1782" s="16">
        <f>IF(NOT(Paths!$C$168=1),0,IF(Paths!$P$168="Complete",IF(IF(Paths!$O$168=0,C1782=0,AND(C1782&gt;0,Paths!$O$168&gt;(C1782-1)*12,Paths!$O$168&lt;=C1782*12)),Paths!$N$168,0),"n.a."))</f>
        <v>0</v>
      </c>
      <c r="L1782" s="16">
        <f>IF(NOT(Paths!$C$168=1),0,IF(Paths!$P$168="Complete",IF(C1782=10,Paths!$I$168,0),"n.a."))</f>
        <v>0</v>
      </c>
      <c r="M1782" s="16">
        <f>IF(NOT(Paths!$C$168=1),0,IF(Paths!$P$168="Complete",IF(AND(Paths!$D$168="EV",Paths!$E$168&lt;120,Paths!$E$168+'Operating costs'!$B$65&gt;Paths!$E$168,Paths!$E$168+'Operating costs'!$B$65&lt;=120,IF(Paths!$E$168+'Operating costs'!$B$65=0,C1782=0,AND(C1782&gt;0,Paths!$E$168+'Operating costs'!$B$65&gt;(C1782-1)*12,Paths!$E$168+'Operating costs'!$B$65&lt;=C1782*12))),'Operating costs'!$B$64,0)+IF(AND('Operating costs'!$B$67&gt;0,'Operating costs'!$B$67&lt;=120,OR(Paths!$D$168="ICE",'Operating costs'!$B$67&lt;=Paths!$E$168),IF('Operating costs'!$B$67=0,C1782=0,AND(C1782&gt;0,'Operating costs'!$B$67&gt;(C1782-1)*12,'Operating costs'!$B$67&lt;=C1782*12))),'Operating costs'!$B$66,0),"n.a."))</f>
        <v>0</v>
      </c>
      <c r="N1782" s="16">
        <f>IF(NOT(Paths!$C$168=1),0,IF(Paths!$P$168="Complete",SUM(G1782:I1782)-J1782-K1782-L1782+M1782+IF(C1782=0,Paths!$F$168,0)+IF(IF(Paths!$E$168=0,C1782=0,AND(C1782&gt;0,Paths!$E$168&gt;(C1782-1)*12,Paths!$E$168&lt;=C1782*12)),VLOOKUP(A1782,'Fleet register'!$A$7:$S$106,16,FALSE),0),"n.a."))</f>
        <v>0</v>
      </c>
      <c r="O1782" s="16">
        <f>IF(NOT(Paths!$C$168=1),0,IF(Paths!$P$168="Complete",N1782-IF(C1782=0,Paths!$F$168,0),"n.a."))</f>
        <v>0</v>
      </c>
      <c r="P1782" s="16">
        <f>IF(NOT(Paths!$C$168=1),0,IF(Paths!$P$168="Complete",O1782+L1782,"n.a."))</f>
        <v>0</v>
      </c>
      <c r="Q1782" s="16">
        <f>IF(NOT(Paths!$C$168=1),0,IF(Paths!$P$168="Complete",N1782*(1+'Operating costs'!$B$54)^-C1782,"n.a."))</f>
        <v>0</v>
      </c>
      <c r="R1782" s="16">
        <f>IF(NOT(Paths!$C$168=1),0,IF(Paths!$P$168="Complete",IF(AND(C1782=0,Paths!$E$168=0),I1782-J1782-K1782+VLOOKUP(A1782,'Fleet register'!$A$7:$S$106,15,FALSE)+VLOOKUP(A1782,'Fleet register'!$A$7:$S$106,16,FALSE),0),"n.a."))</f>
        <v>0</v>
      </c>
      <c r="S1782" s="1">
        <f>IF(NOT(Paths!$C$168=1),0,IF(Paths!$P$168="Complete",IF(C1782=0,0,Paths!$S$168*Paths!$R$168),"n.a."))</f>
        <v>0</v>
      </c>
      <c r="T1782" s="1">
        <f>IF(NOT(Paths!$C$168=1),0,IF(Paths!$P$168="Complete",IF(C1782=0,0,VLOOKUP(A1782,'Fleet register'!$A$7:$S$106,9,FALSE)*Paths!$R$168),"n.a."))</f>
        <v>0</v>
      </c>
    </row>
    <row r="1783" spans="1:20" ht="24" customHeight="1">
      <c r="A1783" s="1" t="str">
        <f>Paths!$A$168</f>
        <v>T041</v>
      </c>
      <c r="B1783" s="1">
        <f>Paths!$B$168</f>
        <v>1</v>
      </c>
      <c r="C1783" s="1">
        <v>5</v>
      </c>
      <c r="D1783" s="1">
        <v>168</v>
      </c>
      <c r="E1783" s="1">
        <f>IF(OR(Paths!$C$168=0,C1783=0),0,MAX(0,MIN(C1783*12,Paths!$E$168)-(C1783-1)*12))</f>
        <v>0</v>
      </c>
      <c r="F1783" s="1">
        <f>IF(OR(Paths!$C$168=0,C1783=0),0,12-E1783)</f>
        <v>0</v>
      </c>
      <c r="G1783" s="16">
        <f>IF(NOT(Paths!$C$168=1),0,IF(Paths!$P$168="Complete",E1783/12*(Paths!$J$168*(1+'Operating costs'!$B$51)^MAX(0,C1783-1)+Paths!$K$168*(1+'Operating costs'!$B$53)^MAX(0,C1783-1)),"n.a."))</f>
        <v>0</v>
      </c>
      <c r="H1783" s="16">
        <f>IF(NOT(Paths!$C$168=1),0,IF(Paths!$P$168="Complete",F1783/12*(Paths!$L$168*(1+IF(Paths!$D$168="EV",'Operating costs'!$B$52,'Operating costs'!$B$51))^MAX(0,C1783-1)+Paths!$M$168*(1+'Operating costs'!$B$53)^MAX(0,C1783-1)),"n.a."))</f>
        <v>0</v>
      </c>
      <c r="I1783" s="16">
        <f>IF(NOT(Paths!$C$168=1),0,IF(Paths!$P$168="Complete",IF(IF(Paths!$E$168=0,C1783=0,AND(C1783&gt;0,Paths!$E$168&gt;(C1783-1)*12,Paths!$E$168&lt;=C1783*12)),Paths!$G$168,0),"n.a."))</f>
        <v>0</v>
      </c>
      <c r="J1783" s="16">
        <f>IF(NOT(Paths!$C$168=1),0,IF(Paths!$P$168="Complete",IF(IF(Paths!$E$168=0,C1783=0,AND(C1783&gt;0,Paths!$E$168&gt;(C1783-1)*12,Paths!$E$168&lt;=C1783*12)),Paths!$H$168,0),"n.a."))</f>
        <v>0</v>
      </c>
      <c r="K1783" s="16">
        <f>IF(NOT(Paths!$C$168=1),0,IF(Paths!$P$168="Complete",IF(IF(Paths!$O$168=0,C1783=0,AND(C1783&gt;0,Paths!$O$168&gt;(C1783-1)*12,Paths!$O$168&lt;=C1783*12)),Paths!$N$168,0),"n.a."))</f>
        <v>0</v>
      </c>
      <c r="L1783" s="16">
        <f>IF(NOT(Paths!$C$168=1),0,IF(Paths!$P$168="Complete",IF(C1783=10,Paths!$I$168,0),"n.a."))</f>
        <v>0</v>
      </c>
      <c r="M1783" s="16">
        <f>IF(NOT(Paths!$C$168=1),0,IF(Paths!$P$168="Complete",IF(AND(Paths!$D$168="EV",Paths!$E$168&lt;120,Paths!$E$168+'Operating costs'!$B$65&gt;Paths!$E$168,Paths!$E$168+'Operating costs'!$B$65&lt;=120,IF(Paths!$E$168+'Operating costs'!$B$65=0,C1783=0,AND(C1783&gt;0,Paths!$E$168+'Operating costs'!$B$65&gt;(C1783-1)*12,Paths!$E$168+'Operating costs'!$B$65&lt;=C1783*12))),'Operating costs'!$B$64,0)+IF(AND('Operating costs'!$B$67&gt;0,'Operating costs'!$B$67&lt;=120,OR(Paths!$D$168="ICE",'Operating costs'!$B$67&lt;=Paths!$E$168),IF('Operating costs'!$B$67=0,C1783=0,AND(C1783&gt;0,'Operating costs'!$B$67&gt;(C1783-1)*12,'Operating costs'!$B$67&lt;=C1783*12))),'Operating costs'!$B$66,0),"n.a."))</f>
        <v>0</v>
      </c>
      <c r="N1783" s="16">
        <f>IF(NOT(Paths!$C$168=1),0,IF(Paths!$P$168="Complete",SUM(G1783:I1783)-J1783-K1783-L1783+M1783+IF(C1783=0,Paths!$F$168,0)+IF(IF(Paths!$E$168=0,C1783=0,AND(C1783&gt;0,Paths!$E$168&gt;(C1783-1)*12,Paths!$E$168&lt;=C1783*12)),VLOOKUP(A1783,'Fleet register'!$A$7:$S$106,16,FALSE),0),"n.a."))</f>
        <v>0</v>
      </c>
      <c r="O1783" s="16">
        <f>IF(NOT(Paths!$C$168=1),0,IF(Paths!$P$168="Complete",N1783-IF(C1783=0,Paths!$F$168,0),"n.a."))</f>
        <v>0</v>
      </c>
      <c r="P1783" s="16">
        <f>IF(NOT(Paths!$C$168=1),0,IF(Paths!$P$168="Complete",O1783+L1783,"n.a."))</f>
        <v>0</v>
      </c>
      <c r="Q1783" s="16">
        <f>IF(NOT(Paths!$C$168=1),0,IF(Paths!$P$168="Complete",N1783*(1+'Operating costs'!$B$54)^-C1783,"n.a."))</f>
        <v>0</v>
      </c>
      <c r="R1783" s="16">
        <f>IF(NOT(Paths!$C$168=1),0,IF(Paths!$P$168="Complete",IF(AND(C1783=0,Paths!$E$168=0),I1783-J1783-K1783+VLOOKUP(A1783,'Fleet register'!$A$7:$S$106,15,FALSE)+VLOOKUP(A1783,'Fleet register'!$A$7:$S$106,16,FALSE),0),"n.a."))</f>
        <v>0</v>
      </c>
      <c r="S1783" s="1">
        <f>IF(NOT(Paths!$C$168=1),0,IF(Paths!$P$168="Complete",IF(C1783=0,0,Paths!$S$168*Paths!$R$168),"n.a."))</f>
        <v>0</v>
      </c>
      <c r="T1783" s="1">
        <f>IF(NOT(Paths!$C$168=1),0,IF(Paths!$P$168="Complete",IF(C1783=0,0,VLOOKUP(A1783,'Fleet register'!$A$7:$S$106,9,FALSE)*Paths!$R$168),"n.a."))</f>
        <v>0</v>
      </c>
    </row>
    <row r="1784" spans="1:20" ht="24" customHeight="1">
      <c r="A1784" s="1" t="str">
        <f>Paths!$A$168</f>
        <v>T041</v>
      </c>
      <c r="B1784" s="1">
        <f>Paths!$B$168</f>
        <v>1</v>
      </c>
      <c r="C1784" s="1">
        <v>6</v>
      </c>
      <c r="D1784" s="1">
        <v>168</v>
      </c>
      <c r="E1784" s="1">
        <f>IF(OR(Paths!$C$168=0,C1784=0),0,MAX(0,MIN(C1784*12,Paths!$E$168)-(C1784-1)*12))</f>
        <v>0</v>
      </c>
      <c r="F1784" s="1">
        <f>IF(OR(Paths!$C$168=0,C1784=0),0,12-E1784)</f>
        <v>0</v>
      </c>
      <c r="G1784" s="16">
        <f>IF(NOT(Paths!$C$168=1),0,IF(Paths!$P$168="Complete",E1784/12*(Paths!$J$168*(1+'Operating costs'!$B$51)^MAX(0,C1784-1)+Paths!$K$168*(1+'Operating costs'!$B$53)^MAX(0,C1784-1)),"n.a."))</f>
        <v>0</v>
      </c>
      <c r="H1784" s="16">
        <f>IF(NOT(Paths!$C$168=1),0,IF(Paths!$P$168="Complete",F1784/12*(Paths!$L$168*(1+IF(Paths!$D$168="EV",'Operating costs'!$B$52,'Operating costs'!$B$51))^MAX(0,C1784-1)+Paths!$M$168*(1+'Operating costs'!$B$53)^MAX(0,C1784-1)),"n.a."))</f>
        <v>0</v>
      </c>
      <c r="I1784" s="16">
        <f>IF(NOT(Paths!$C$168=1),0,IF(Paths!$P$168="Complete",IF(IF(Paths!$E$168=0,C1784=0,AND(C1784&gt;0,Paths!$E$168&gt;(C1784-1)*12,Paths!$E$168&lt;=C1784*12)),Paths!$G$168,0),"n.a."))</f>
        <v>0</v>
      </c>
      <c r="J1784" s="16">
        <f>IF(NOT(Paths!$C$168=1),0,IF(Paths!$P$168="Complete",IF(IF(Paths!$E$168=0,C1784=0,AND(C1784&gt;0,Paths!$E$168&gt;(C1784-1)*12,Paths!$E$168&lt;=C1784*12)),Paths!$H$168,0),"n.a."))</f>
        <v>0</v>
      </c>
      <c r="K1784" s="16">
        <f>IF(NOT(Paths!$C$168=1),0,IF(Paths!$P$168="Complete",IF(IF(Paths!$O$168=0,C1784=0,AND(C1784&gt;0,Paths!$O$168&gt;(C1784-1)*12,Paths!$O$168&lt;=C1784*12)),Paths!$N$168,0),"n.a."))</f>
        <v>0</v>
      </c>
      <c r="L1784" s="16">
        <f>IF(NOT(Paths!$C$168=1),0,IF(Paths!$P$168="Complete",IF(C1784=10,Paths!$I$168,0),"n.a."))</f>
        <v>0</v>
      </c>
      <c r="M1784" s="16">
        <f>IF(NOT(Paths!$C$168=1),0,IF(Paths!$P$168="Complete",IF(AND(Paths!$D$168="EV",Paths!$E$168&lt;120,Paths!$E$168+'Operating costs'!$B$65&gt;Paths!$E$168,Paths!$E$168+'Operating costs'!$B$65&lt;=120,IF(Paths!$E$168+'Operating costs'!$B$65=0,C1784=0,AND(C1784&gt;0,Paths!$E$168+'Operating costs'!$B$65&gt;(C1784-1)*12,Paths!$E$168+'Operating costs'!$B$65&lt;=C1784*12))),'Operating costs'!$B$64,0)+IF(AND('Operating costs'!$B$67&gt;0,'Operating costs'!$B$67&lt;=120,OR(Paths!$D$168="ICE",'Operating costs'!$B$67&lt;=Paths!$E$168),IF('Operating costs'!$B$67=0,C1784=0,AND(C1784&gt;0,'Operating costs'!$B$67&gt;(C1784-1)*12,'Operating costs'!$B$67&lt;=C1784*12))),'Operating costs'!$B$66,0),"n.a."))</f>
        <v>0</v>
      </c>
      <c r="N1784" s="16">
        <f>IF(NOT(Paths!$C$168=1),0,IF(Paths!$P$168="Complete",SUM(G1784:I1784)-J1784-K1784-L1784+M1784+IF(C1784=0,Paths!$F$168,0)+IF(IF(Paths!$E$168=0,C1784=0,AND(C1784&gt;0,Paths!$E$168&gt;(C1784-1)*12,Paths!$E$168&lt;=C1784*12)),VLOOKUP(A1784,'Fleet register'!$A$7:$S$106,16,FALSE),0),"n.a."))</f>
        <v>0</v>
      </c>
      <c r="O1784" s="16">
        <f>IF(NOT(Paths!$C$168=1),0,IF(Paths!$P$168="Complete",N1784-IF(C1784=0,Paths!$F$168,0),"n.a."))</f>
        <v>0</v>
      </c>
      <c r="P1784" s="16">
        <f>IF(NOT(Paths!$C$168=1),0,IF(Paths!$P$168="Complete",O1784+L1784,"n.a."))</f>
        <v>0</v>
      </c>
      <c r="Q1784" s="16">
        <f>IF(NOT(Paths!$C$168=1),0,IF(Paths!$P$168="Complete",N1784*(1+'Operating costs'!$B$54)^-C1784,"n.a."))</f>
        <v>0</v>
      </c>
      <c r="R1784" s="16">
        <f>IF(NOT(Paths!$C$168=1),0,IF(Paths!$P$168="Complete",IF(AND(C1784=0,Paths!$E$168=0),I1784-J1784-K1784+VLOOKUP(A1784,'Fleet register'!$A$7:$S$106,15,FALSE)+VLOOKUP(A1784,'Fleet register'!$A$7:$S$106,16,FALSE),0),"n.a."))</f>
        <v>0</v>
      </c>
      <c r="S1784" s="1">
        <f>IF(NOT(Paths!$C$168=1),0,IF(Paths!$P$168="Complete",IF(C1784=0,0,Paths!$S$168*Paths!$R$168),"n.a."))</f>
        <v>0</v>
      </c>
      <c r="T1784" s="1">
        <f>IF(NOT(Paths!$C$168=1),0,IF(Paths!$P$168="Complete",IF(C1784=0,0,VLOOKUP(A1784,'Fleet register'!$A$7:$S$106,9,FALSE)*Paths!$R$168),"n.a."))</f>
        <v>0</v>
      </c>
    </row>
    <row r="1785" spans="1:20" ht="24" customHeight="1">
      <c r="A1785" s="1" t="str">
        <f>Paths!$A$168</f>
        <v>T041</v>
      </c>
      <c r="B1785" s="1">
        <f>Paths!$B$168</f>
        <v>1</v>
      </c>
      <c r="C1785" s="1">
        <v>7</v>
      </c>
      <c r="D1785" s="1">
        <v>168</v>
      </c>
      <c r="E1785" s="1">
        <f>IF(OR(Paths!$C$168=0,C1785=0),0,MAX(0,MIN(C1785*12,Paths!$E$168)-(C1785-1)*12))</f>
        <v>0</v>
      </c>
      <c r="F1785" s="1">
        <f>IF(OR(Paths!$C$168=0,C1785=0),0,12-E1785)</f>
        <v>0</v>
      </c>
      <c r="G1785" s="16">
        <f>IF(NOT(Paths!$C$168=1),0,IF(Paths!$P$168="Complete",E1785/12*(Paths!$J$168*(1+'Operating costs'!$B$51)^MAX(0,C1785-1)+Paths!$K$168*(1+'Operating costs'!$B$53)^MAX(0,C1785-1)),"n.a."))</f>
        <v>0</v>
      </c>
      <c r="H1785" s="16">
        <f>IF(NOT(Paths!$C$168=1),0,IF(Paths!$P$168="Complete",F1785/12*(Paths!$L$168*(1+IF(Paths!$D$168="EV",'Operating costs'!$B$52,'Operating costs'!$B$51))^MAX(0,C1785-1)+Paths!$M$168*(1+'Operating costs'!$B$53)^MAX(0,C1785-1)),"n.a."))</f>
        <v>0</v>
      </c>
      <c r="I1785" s="16">
        <f>IF(NOT(Paths!$C$168=1),0,IF(Paths!$P$168="Complete",IF(IF(Paths!$E$168=0,C1785=0,AND(C1785&gt;0,Paths!$E$168&gt;(C1785-1)*12,Paths!$E$168&lt;=C1785*12)),Paths!$G$168,0),"n.a."))</f>
        <v>0</v>
      </c>
      <c r="J1785" s="16">
        <f>IF(NOT(Paths!$C$168=1),0,IF(Paths!$P$168="Complete",IF(IF(Paths!$E$168=0,C1785=0,AND(C1785&gt;0,Paths!$E$168&gt;(C1785-1)*12,Paths!$E$168&lt;=C1785*12)),Paths!$H$168,0),"n.a."))</f>
        <v>0</v>
      </c>
      <c r="K1785" s="16">
        <f>IF(NOT(Paths!$C$168=1),0,IF(Paths!$P$168="Complete",IF(IF(Paths!$O$168=0,C1785=0,AND(C1785&gt;0,Paths!$O$168&gt;(C1785-1)*12,Paths!$O$168&lt;=C1785*12)),Paths!$N$168,0),"n.a."))</f>
        <v>0</v>
      </c>
      <c r="L1785" s="16">
        <f>IF(NOT(Paths!$C$168=1),0,IF(Paths!$P$168="Complete",IF(C1785=10,Paths!$I$168,0),"n.a."))</f>
        <v>0</v>
      </c>
      <c r="M1785" s="16">
        <f>IF(NOT(Paths!$C$168=1),0,IF(Paths!$P$168="Complete",IF(AND(Paths!$D$168="EV",Paths!$E$168&lt;120,Paths!$E$168+'Operating costs'!$B$65&gt;Paths!$E$168,Paths!$E$168+'Operating costs'!$B$65&lt;=120,IF(Paths!$E$168+'Operating costs'!$B$65=0,C1785=0,AND(C1785&gt;0,Paths!$E$168+'Operating costs'!$B$65&gt;(C1785-1)*12,Paths!$E$168+'Operating costs'!$B$65&lt;=C1785*12))),'Operating costs'!$B$64,0)+IF(AND('Operating costs'!$B$67&gt;0,'Operating costs'!$B$67&lt;=120,OR(Paths!$D$168="ICE",'Operating costs'!$B$67&lt;=Paths!$E$168),IF('Operating costs'!$B$67=0,C1785=0,AND(C1785&gt;0,'Operating costs'!$B$67&gt;(C1785-1)*12,'Operating costs'!$B$67&lt;=C1785*12))),'Operating costs'!$B$66,0),"n.a."))</f>
        <v>0</v>
      </c>
      <c r="N1785" s="16">
        <f>IF(NOT(Paths!$C$168=1),0,IF(Paths!$P$168="Complete",SUM(G1785:I1785)-J1785-K1785-L1785+M1785+IF(C1785=0,Paths!$F$168,0)+IF(IF(Paths!$E$168=0,C1785=0,AND(C1785&gt;0,Paths!$E$168&gt;(C1785-1)*12,Paths!$E$168&lt;=C1785*12)),VLOOKUP(A1785,'Fleet register'!$A$7:$S$106,16,FALSE),0),"n.a."))</f>
        <v>0</v>
      </c>
      <c r="O1785" s="16">
        <f>IF(NOT(Paths!$C$168=1),0,IF(Paths!$P$168="Complete",N1785-IF(C1785=0,Paths!$F$168,0),"n.a."))</f>
        <v>0</v>
      </c>
      <c r="P1785" s="16">
        <f>IF(NOT(Paths!$C$168=1),0,IF(Paths!$P$168="Complete",O1785+L1785,"n.a."))</f>
        <v>0</v>
      </c>
      <c r="Q1785" s="16">
        <f>IF(NOT(Paths!$C$168=1),0,IF(Paths!$P$168="Complete",N1785*(1+'Operating costs'!$B$54)^-C1785,"n.a."))</f>
        <v>0</v>
      </c>
      <c r="R1785" s="16">
        <f>IF(NOT(Paths!$C$168=1),0,IF(Paths!$P$168="Complete",IF(AND(C1785=0,Paths!$E$168=0),I1785-J1785-K1785+VLOOKUP(A1785,'Fleet register'!$A$7:$S$106,15,FALSE)+VLOOKUP(A1785,'Fleet register'!$A$7:$S$106,16,FALSE),0),"n.a."))</f>
        <v>0</v>
      </c>
      <c r="S1785" s="1">
        <f>IF(NOT(Paths!$C$168=1),0,IF(Paths!$P$168="Complete",IF(C1785=0,0,Paths!$S$168*Paths!$R$168),"n.a."))</f>
        <v>0</v>
      </c>
      <c r="T1785" s="1">
        <f>IF(NOT(Paths!$C$168=1),0,IF(Paths!$P$168="Complete",IF(C1785=0,0,VLOOKUP(A1785,'Fleet register'!$A$7:$S$106,9,FALSE)*Paths!$R$168),"n.a."))</f>
        <v>0</v>
      </c>
    </row>
    <row r="1786" spans="1:20" ht="24" customHeight="1">
      <c r="A1786" s="1" t="str">
        <f>Paths!$A$168</f>
        <v>T041</v>
      </c>
      <c r="B1786" s="1">
        <f>Paths!$B$168</f>
        <v>1</v>
      </c>
      <c r="C1786" s="1">
        <v>8</v>
      </c>
      <c r="D1786" s="1">
        <v>168</v>
      </c>
      <c r="E1786" s="1">
        <f>IF(OR(Paths!$C$168=0,C1786=0),0,MAX(0,MIN(C1786*12,Paths!$E$168)-(C1786-1)*12))</f>
        <v>0</v>
      </c>
      <c r="F1786" s="1">
        <f>IF(OR(Paths!$C$168=0,C1786=0),0,12-E1786)</f>
        <v>0</v>
      </c>
      <c r="G1786" s="16">
        <f>IF(NOT(Paths!$C$168=1),0,IF(Paths!$P$168="Complete",E1786/12*(Paths!$J$168*(1+'Operating costs'!$B$51)^MAX(0,C1786-1)+Paths!$K$168*(1+'Operating costs'!$B$53)^MAX(0,C1786-1)),"n.a."))</f>
        <v>0</v>
      </c>
      <c r="H1786" s="16">
        <f>IF(NOT(Paths!$C$168=1),0,IF(Paths!$P$168="Complete",F1786/12*(Paths!$L$168*(1+IF(Paths!$D$168="EV",'Operating costs'!$B$52,'Operating costs'!$B$51))^MAX(0,C1786-1)+Paths!$M$168*(1+'Operating costs'!$B$53)^MAX(0,C1786-1)),"n.a."))</f>
        <v>0</v>
      </c>
      <c r="I1786" s="16">
        <f>IF(NOT(Paths!$C$168=1),0,IF(Paths!$P$168="Complete",IF(IF(Paths!$E$168=0,C1786=0,AND(C1786&gt;0,Paths!$E$168&gt;(C1786-1)*12,Paths!$E$168&lt;=C1786*12)),Paths!$G$168,0),"n.a."))</f>
        <v>0</v>
      </c>
      <c r="J1786" s="16">
        <f>IF(NOT(Paths!$C$168=1),0,IF(Paths!$P$168="Complete",IF(IF(Paths!$E$168=0,C1786=0,AND(C1786&gt;0,Paths!$E$168&gt;(C1786-1)*12,Paths!$E$168&lt;=C1786*12)),Paths!$H$168,0),"n.a."))</f>
        <v>0</v>
      </c>
      <c r="K1786" s="16">
        <f>IF(NOT(Paths!$C$168=1),0,IF(Paths!$P$168="Complete",IF(IF(Paths!$O$168=0,C1786=0,AND(C1786&gt;0,Paths!$O$168&gt;(C1786-1)*12,Paths!$O$168&lt;=C1786*12)),Paths!$N$168,0),"n.a."))</f>
        <v>0</v>
      </c>
      <c r="L1786" s="16">
        <f>IF(NOT(Paths!$C$168=1),0,IF(Paths!$P$168="Complete",IF(C1786=10,Paths!$I$168,0),"n.a."))</f>
        <v>0</v>
      </c>
      <c r="M1786" s="16">
        <f>IF(NOT(Paths!$C$168=1),0,IF(Paths!$P$168="Complete",IF(AND(Paths!$D$168="EV",Paths!$E$168&lt;120,Paths!$E$168+'Operating costs'!$B$65&gt;Paths!$E$168,Paths!$E$168+'Operating costs'!$B$65&lt;=120,IF(Paths!$E$168+'Operating costs'!$B$65=0,C1786=0,AND(C1786&gt;0,Paths!$E$168+'Operating costs'!$B$65&gt;(C1786-1)*12,Paths!$E$168+'Operating costs'!$B$65&lt;=C1786*12))),'Operating costs'!$B$64,0)+IF(AND('Operating costs'!$B$67&gt;0,'Operating costs'!$B$67&lt;=120,OR(Paths!$D$168="ICE",'Operating costs'!$B$67&lt;=Paths!$E$168),IF('Operating costs'!$B$67=0,C1786=0,AND(C1786&gt;0,'Operating costs'!$B$67&gt;(C1786-1)*12,'Operating costs'!$B$67&lt;=C1786*12))),'Operating costs'!$B$66,0),"n.a."))</f>
        <v>0</v>
      </c>
      <c r="N1786" s="16">
        <f>IF(NOT(Paths!$C$168=1),0,IF(Paths!$P$168="Complete",SUM(G1786:I1786)-J1786-K1786-L1786+M1786+IF(C1786=0,Paths!$F$168,0)+IF(IF(Paths!$E$168=0,C1786=0,AND(C1786&gt;0,Paths!$E$168&gt;(C1786-1)*12,Paths!$E$168&lt;=C1786*12)),VLOOKUP(A1786,'Fleet register'!$A$7:$S$106,16,FALSE),0),"n.a."))</f>
        <v>0</v>
      </c>
      <c r="O1786" s="16">
        <f>IF(NOT(Paths!$C$168=1),0,IF(Paths!$P$168="Complete",N1786-IF(C1786=0,Paths!$F$168,0),"n.a."))</f>
        <v>0</v>
      </c>
      <c r="P1786" s="16">
        <f>IF(NOT(Paths!$C$168=1),0,IF(Paths!$P$168="Complete",O1786+L1786,"n.a."))</f>
        <v>0</v>
      </c>
      <c r="Q1786" s="16">
        <f>IF(NOT(Paths!$C$168=1),0,IF(Paths!$P$168="Complete",N1786*(1+'Operating costs'!$B$54)^-C1786,"n.a."))</f>
        <v>0</v>
      </c>
      <c r="R1786" s="16">
        <f>IF(NOT(Paths!$C$168=1),0,IF(Paths!$P$168="Complete",IF(AND(C1786=0,Paths!$E$168=0),I1786-J1786-K1786+VLOOKUP(A1786,'Fleet register'!$A$7:$S$106,15,FALSE)+VLOOKUP(A1786,'Fleet register'!$A$7:$S$106,16,FALSE),0),"n.a."))</f>
        <v>0</v>
      </c>
      <c r="S1786" s="1">
        <f>IF(NOT(Paths!$C$168=1),0,IF(Paths!$P$168="Complete",IF(C1786=0,0,Paths!$S$168*Paths!$R$168),"n.a."))</f>
        <v>0</v>
      </c>
      <c r="T1786" s="1">
        <f>IF(NOT(Paths!$C$168=1),0,IF(Paths!$P$168="Complete",IF(C1786=0,0,VLOOKUP(A1786,'Fleet register'!$A$7:$S$106,9,FALSE)*Paths!$R$168),"n.a."))</f>
        <v>0</v>
      </c>
    </row>
    <row r="1787" spans="1:20" ht="24" customHeight="1">
      <c r="A1787" s="1" t="str">
        <f>Paths!$A$168</f>
        <v>T041</v>
      </c>
      <c r="B1787" s="1">
        <f>Paths!$B$168</f>
        <v>1</v>
      </c>
      <c r="C1787" s="1">
        <v>9</v>
      </c>
      <c r="D1787" s="1">
        <v>168</v>
      </c>
      <c r="E1787" s="1">
        <f>IF(OR(Paths!$C$168=0,C1787=0),0,MAX(0,MIN(C1787*12,Paths!$E$168)-(C1787-1)*12))</f>
        <v>0</v>
      </c>
      <c r="F1787" s="1">
        <f>IF(OR(Paths!$C$168=0,C1787=0),0,12-E1787)</f>
        <v>0</v>
      </c>
      <c r="G1787" s="16">
        <f>IF(NOT(Paths!$C$168=1),0,IF(Paths!$P$168="Complete",E1787/12*(Paths!$J$168*(1+'Operating costs'!$B$51)^MAX(0,C1787-1)+Paths!$K$168*(1+'Operating costs'!$B$53)^MAX(0,C1787-1)),"n.a."))</f>
        <v>0</v>
      </c>
      <c r="H1787" s="16">
        <f>IF(NOT(Paths!$C$168=1),0,IF(Paths!$P$168="Complete",F1787/12*(Paths!$L$168*(1+IF(Paths!$D$168="EV",'Operating costs'!$B$52,'Operating costs'!$B$51))^MAX(0,C1787-1)+Paths!$M$168*(1+'Operating costs'!$B$53)^MAX(0,C1787-1)),"n.a."))</f>
        <v>0</v>
      </c>
      <c r="I1787" s="16">
        <f>IF(NOT(Paths!$C$168=1),0,IF(Paths!$P$168="Complete",IF(IF(Paths!$E$168=0,C1787=0,AND(C1787&gt;0,Paths!$E$168&gt;(C1787-1)*12,Paths!$E$168&lt;=C1787*12)),Paths!$G$168,0),"n.a."))</f>
        <v>0</v>
      </c>
      <c r="J1787" s="16">
        <f>IF(NOT(Paths!$C$168=1),0,IF(Paths!$P$168="Complete",IF(IF(Paths!$E$168=0,C1787=0,AND(C1787&gt;0,Paths!$E$168&gt;(C1787-1)*12,Paths!$E$168&lt;=C1787*12)),Paths!$H$168,0),"n.a."))</f>
        <v>0</v>
      </c>
      <c r="K1787" s="16">
        <f>IF(NOT(Paths!$C$168=1),0,IF(Paths!$P$168="Complete",IF(IF(Paths!$O$168=0,C1787=0,AND(C1787&gt;0,Paths!$O$168&gt;(C1787-1)*12,Paths!$O$168&lt;=C1787*12)),Paths!$N$168,0),"n.a."))</f>
        <v>0</v>
      </c>
      <c r="L1787" s="16">
        <f>IF(NOT(Paths!$C$168=1),0,IF(Paths!$P$168="Complete",IF(C1787=10,Paths!$I$168,0),"n.a."))</f>
        <v>0</v>
      </c>
      <c r="M1787" s="16">
        <f>IF(NOT(Paths!$C$168=1),0,IF(Paths!$P$168="Complete",IF(AND(Paths!$D$168="EV",Paths!$E$168&lt;120,Paths!$E$168+'Operating costs'!$B$65&gt;Paths!$E$168,Paths!$E$168+'Operating costs'!$B$65&lt;=120,IF(Paths!$E$168+'Operating costs'!$B$65=0,C1787=0,AND(C1787&gt;0,Paths!$E$168+'Operating costs'!$B$65&gt;(C1787-1)*12,Paths!$E$168+'Operating costs'!$B$65&lt;=C1787*12))),'Operating costs'!$B$64,0)+IF(AND('Operating costs'!$B$67&gt;0,'Operating costs'!$B$67&lt;=120,OR(Paths!$D$168="ICE",'Operating costs'!$B$67&lt;=Paths!$E$168),IF('Operating costs'!$B$67=0,C1787=0,AND(C1787&gt;0,'Operating costs'!$B$67&gt;(C1787-1)*12,'Operating costs'!$B$67&lt;=C1787*12))),'Operating costs'!$B$66,0),"n.a."))</f>
        <v>0</v>
      </c>
      <c r="N1787" s="16">
        <f>IF(NOT(Paths!$C$168=1),0,IF(Paths!$P$168="Complete",SUM(G1787:I1787)-J1787-K1787-L1787+M1787+IF(C1787=0,Paths!$F$168,0)+IF(IF(Paths!$E$168=0,C1787=0,AND(C1787&gt;0,Paths!$E$168&gt;(C1787-1)*12,Paths!$E$168&lt;=C1787*12)),VLOOKUP(A1787,'Fleet register'!$A$7:$S$106,16,FALSE),0),"n.a."))</f>
        <v>0</v>
      </c>
      <c r="O1787" s="16">
        <f>IF(NOT(Paths!$C$168=1),0,IF(Paths!$P$168="Complete",N1787-IF(C1787=0,Paths!$F$168,0),"n.a."))</f>
        <v>0</v>
      </c>
      <c r="P1787" s="16">
        <f>IF(NOT(Paths!$C$168=1),0,IF(Paths!$P$168="Complete",O1787+L1787,"n.a."))</f>
        <v>0</v>
      </c>
      <c r="Q1787" s="16">
        <f>IF(NOT(Paths!$C$168=1),0,IF(Paths!$P$168="Complete",N1787*(1+'Operating costs'!$B$54)^-C1787,"n.a."))</f>
        <v>0</v>
      </c>
      <c r="R1787" s="16">
        <f>IF(NOT(Paths!$C$168=1),0,IF(Paths!$P$168="Complete",IF(AND(C1787=0,Paths!$E$168=0),I1787-J1787-K1787+VLOOKUP(A1787,'Fleet register'!$A$7:$S$106,15,FALSE)+VLOOKUP(A1787,'Fleet register'!$A$7:$S$106,16,FALSE),0),"n.a."))</f>
        <v>0</v>
      </c>
      <c r="S1787" s="1">
        <f>IF(NOT(Paths!$C$168=1),0,IF(Paths!$P$168="Complete",IF(C1787=0,0,Paths!$S$168*Paths!$R$168),"n.a."))</f>
        <v>0</v>
      </c>
      <c r="T1787" s="1">
        <f>IF(NOT(Paths!$C$168=1),0,IF(Paths!$P$168="Complete",IF(C1787=0,0,VLOOKUP(A1787,'Fleet register'!$A$7:$S$106,9,FALSE)*Paths!$R$168),"n.a."))</f>
        <v>0</v>
      </c>
    </row>
    <row r="1788" spans="1:20" ht="24" customHeight="1">
      <c r="A1788" s="1" t="str">
        <f>Paths!$A$168</f>
        <v>T041</v>
      </c>
      <c r="B1788" s="1">
        <f>Paths!$B$168</f>
        <v>1</v>
      </c>
      <c r="C1788" s="1">
        <v>10</v>
      </c>
      <c r="D1788" s="1">
        <v>168</v>
      </c>
      <c r="E1788" s="1">
        <f>IF(OR(Paths!$C$168=0,C1788=0),0,MAX(0,MIN(C1788*12,Paths!$E$168)-(C1788-1)*12))</f>
        <v>0</v>
      </c>
      <c r="F1788" s="1">
        <f>IF(OR(Paths!$C$168=0,C1788=0),0,12-E1788)</f>
        <v>0</v>
      </c>
      <c r="G1788" s="16">
        <f>IF(NOT(Paths!$C$168=1),0,IF(Paths!$P$168="Complete",E1788/12*(Paths!$J$168*(1+'Operating costs'!$B$51)^MAX(0,C1788-1)+Paths!$K$168*(1+'Operating costs'!$B$53)^MAX(0,C1788-1)),"n.a."))</f>
        <v>0</v>
      </c>
      <c r="H1788" s="16">
        <f>IF(NOT(Paths!$C$168=1),0,IF(Paths!$P$168="Complete",F1788/12*(Paths!$L$168*(1+IF(Paths!$D$168="EV",'Operating costs'!$B$52,'Operating costs'!$B$51))^MAX(0,C1788-1)+Paths!$M$168*(1+'Operating costs'!$B$53)^MAX(0,C1788-1)),"n.a."))</f>
        <v>0</v>
      </c>
      <c r="I1788" s="16">
        <f>IF(NOT(Paths!$C$168=1),0,IF(Paths!$P$168="Complete",IF(IF(Paths!$E$168=0,C1788=0,AND(C1788&gt;0,Paths!$E$168&gt;(C1788-1)*12,Paths!$E$168&lt;=C1788*12)),Paths!$G$168,0),"n.a."))</f>
        <v>0</v>
      </c>
      <c r="J1788" s="16">
        <f>IF(NOT(Paths!$C$168=1),0,IF(Paths!$P$168="Complete",IF(IF(Paths!$E$168=0,C1788=0,AND(C1788&gt;0,Paths!$E$168&gt;(C1788-1)*12,Paths!$E$168&lt;=C1788*12)),Paths!$H$168,0),"n.a."))</f>
        <v>0</v>
      </c>
      <c r="K1788" s="16">
        <f>IF(NOT(Paths!$C$168=1),0,IF(Paths!$P$168="Complete",IF(IF(Paths!$O$168=0,C1788=0,AND(C1788&gt;0,Paths!$O$168&gt;(C1788-1)*12,Paths!$O$168&lt;=C1788*12)),Paths!$N$168,0),"n.a."))</f>
        <v>0</v>
      </c>
      <c r="L1788" s="16">
        <f>IF(NOT(Paths!$C$168=1),0,IF(Paths!$P$168="Complete",IF(C1788=10,Paths!$I$168,0),"n.a."))</f>
        <v>0</v>
      </c>
      <c r="M1788" s="16">
        <f>IF(NOT(Paths!$C$168=1),0,IF(Paths!$P$168="Complete",IF(AND(Paths!$D$168="EV",Paths!$E$168&lt;120,Paths!$E$168+'Operating costs'!$B$65&gt;Paths!$E$168,Paths!$E$168+'Operating costs'!$B$65&lt;=120,IF(Paths!$E$168+'Operating costs'!$B$65=0,C1788=0,AND(C1788&gt;0,Paths!$E$168+'Operating costs'!$B$65&gt;(C1788-1)*12,Paths!$E$168+'Operating costs'!$B$65&lt;=C1788*12))),'Operating costs'!$B$64,0)+IF(AND('Operating costs'!$B$67&gt;0,'Operating costs'!$B$67&lt;=120,OR(Paths!$D$168="ICE",'Operating costs'!$B$67&lt;=Paths!$E$168),IF('Operating costs'!$B$67=0,C1788=0,AND(C1788&gt;0,'Operating costs'!$B$67&gt;(C1788-1)*12,'Operating costs'!$B$67&lt;=C1788*12))),'Operating costs'!$B$66,0),"n.a."))</f>
        <v>0</v>
      </c>
      <c r="N1788" s="16">
        <f>IF(NOT(Paths!$C$168=1),0,IF(Paths!$P$168="Complete",SUM(G1788:I1788)-J1788-K1788-L1788+M1788+IF(C1788=0,Paths!$F$168,0)+IF(IF(Paths!$E$168=0,C1788=0,AND(C1788&gt;0,Paths!$E$168&gt;(C1788-1)*12,Paths!$E$168&lt;=C1788*12)),VLOOKUP(A1788,'Fleet register'!$A$7:$S$106,16,FALSE),0),"n.a."))</f>
        <v>0</v>
      </c>
      <c r="O1788" s="16">
        <f>IF(NOT(Paths!$C$168=1),0,IF(Paths!$P$168="Complete",N1788-IF(C1788=0,Paths!$F$168,0),"n.a."))</f>
        <v>0</v>
      </c>
      <c r="P1788" s="16">
        <f>IF(NOT(Paths!$C$168=1),0,IF(Paths!$P$168="Complete",O1788+L1788,"n.a."))</f>
        <v>0</v>
      </c>
      <c r="Q1788" s="16">
        <f>IF(NOT(Paths!$C$168=1),0,IF(Paths!$P$168="Complete",N1788*(1+'Operating costs'!$B$54)^-C1788,"n.a."))</f>
        <v>0</v>
      </c>
      <c r="R1788" s="16">
        <f>IF(NOT(Paths!$C$168=1),0,IF(Paths!$P$168="Complete",IF(AND(C1788=0,Paths!$E$168=0),I1788-J1788-K1788+VLOOKUP(A1788,'Fleet register'!$A$7:$S$106,15,FALSE)+VLOOKUP(A1788,'Fleet register'!$A$7:$S$106,16,FALSE),0),"n.a."))</f>
        <v>0</v>
      </c>
      <c r="S1788" s="1">
        <f>IF(NOT(Paths!$C$168=1),0,IF(Paths!$P$168="Complete",IF(C1788=0,0,Paths!$S$168*Paths!$R$168),"n.a."))</f>
        <v>0</v>
      </c>
      <c r="T1788" s="1">
        <f>IF(NOT(Paths!$C$168=1),0,IF(Paths!$P$168="Complete",IF(C1788=0,0,VLOOKUP(A1788,'Fleet register'!$A$7:$S$106,9,FALSE)*Paths!$R$168),"n.a."))</f>
        <v>0</v>
      </c>
    </row>
    <row r="1789" spans="1:20" ht="24" customHeight="1">
      <c r="A1789" s="1" t="str">
        <f>Paths!$A$169</f>
        <v>T041</v>
      </c>
      <c r="B1789" s="1">
        <f>Paths!$B$169</f>
        <v>2</v>
      </c>
      <c r="C1789" s="1">
        <v>0</v>
      </c>
      <c r="D1789" s="1">
        <v>169</v>
      </c>
      <c r="E1789" s="1">
        <f>IF(OR(Paths!$C$169=0,C1789=0),0,MAX(0,MIN(C1789*12,Paths!$E$169)-(C1789-1)*12))</f>
        <v>0</v>
      </c>
      <c r="F1789" s="1">
        <f>IF(OR(Paths!$C$169=0,C1789=0),0,12-E1789)</f>
        <v>0</v>
      </c>
      <c r="G1789" s="16">
        <f>IF(NOT(Paths!$C$169=1),0,IF(Paths!$P$169="Complete",E1789/12*(Paths!$J$169*(1+'Operating costs'!$B$51)^MAX(0,C1789-1)+Paths!$K$169*(1+'Operating costs'!$B$53)^MAX(0,C1789-1)),"n.a."))</f>
        <v>0</v>
      </c>
      <c r="H1789" s="16">
        <f>IF(NOT(Paths!$C$169=1),0,IF(Paths!$P$169="Complete",F1789/12*(Paths!$L$169*(1+IF(Paths!$D$169="EV",'Operating costs'!$B$52,'Operating costs'!$B$51))^MAX(0,C1789-1)+Paths!$M$169*(1+'Operating costs'!$B$53)^MAX(0,C1789-1)),"n.a."))</f>
        <v>0</v>
      </c>
      <c r="I1789" s="16">
        <f>IF(NOT(Paths!$C$169=1),0,IF(Paths!$P$169="Complete",IF(IF(Paths!$E$169=0,C1789=0,AND(C1789&gt;0,Paths!$E$169&gt;(C1789-1)*12,Paths!$E$169&lt;=C1789*12)),Paths!$G$169,0),"n.a."))</f>
        <v>0</v>
      </c>
      <c r="J1789" s="16">
        <f>IF(NOT(Paths!$C$169=1),0,IF(Paths!$P$169="Complete",IF(IF(Paths!$E$169=0,C1789=0,AND(C1789&gt;0,Paths!$E$169&gt;(C1789-1)*12,Paths!$E$169&lt;=C1789*12)),Paths!$H$169,0),"n.a."))</f>
        <v>0</v>
      </c>
      <c r="K1789" s="16">
        <f>IF(NOT(Paths!$C$169=1),0,IF(Paths!$P$169="Complete",IF(IF(Paths!$O$169=0,C1789=0,AND(C1789&gt;0,Paths!$O$169&gt;(C1789-1)*12,Paths!$O$169&lt;=C1789*12)),Paths!$N$169,0),"n.a."))</f>
        <v>0</v>
      </c>
      <c r="L1789" s="16">
        <f>IF(NOT(Paths!$C$169=1),0,IF(Paths!$P$169="Complete",IF(C1789=10,Paths!$I$169,0),"n.a."))</f>
        <v>0</v>
      </c>
      <c r="M1789" s="16">
        <f>IF(NOT(Paths!$C$169=1),0,IF(Paths!$P$169="Complete",IF(AND(Paths!$D$169="EV",Paths!$E$169&lt;120,Paths!$E$169+'Operating costs'!$B$65&gt;Paths!$E$169,Paths!$E$169+'Operating costs'!$B$65&lt;=120,IF(Paths!$E$169+'Operating costs'!$B$65=0,C1789=0,AND(C1789&gt;0,Paths!$E$169+'Operating costs'!$B$65&gt;(C1789-1)*12,Paths!$E$169+'Operating costs'!$B$65&lt;=C1789*12))),'Operating costs'!$B$64,0)+IF(AND('Operating costs'!$B$67&gt;0,'Operating costs'!$B$67&lt;=120,OR(Paths!$D$169="ICE",'Operating costs'!$B$67&lt;=Paths!$E$169),IF('Operating costs'!$B$67=0,C1789=0,AND(C1789&gt;0,'Operating costs'!$B$67&gt;(C1789-1)*12,'Operating costs'!$B$67&lt;=C1789*12))),'Operating costs'!$B$66,0),"n.a."))</f>
        <v>0</v>
      </c>
      <c r="N1789" s="16">
        <f>IF(NOT(Paths!$C$169=1),0,IF(Paths!$P$169="Complete",SUM(G1789:I1789)-J1789-K1789-L1789+M1789+IF(C1789=0,Paths!$F$169,0)+IF(IF(Paths!$E$169=0,C1789=0,AND(C1789&gt;0,Paths!$E$169&gt;(C1789-1)*12,Paths!$E$169&lt;=C1789*12)),VLOOKUP(A1789,'Fleet register'!$A$7:$S$106,16,FALSE),0),"n.a."))</f>
        <v>0</v>
      </c>
      <c r="O1789" s="16">
        <f>IF(NOT(Paths!$C$169=1),0,IF(Paths!$P$169="Complete",N1789-IF(C1789=0,Paths!$F$169,0),"n.a."))</f>
        <v>0</v>
      </c>
      <c r="P1789" s="16">
        <f>IF(NOT(Paths!$C$169=1),0,IF(Paths!$P$169="Complete",O1789+L1789,"n.a."))</f>
        <v>0</v>
      </c>
      <c r="Q1789" s="16">
        <f>IF(NOT(Paths!$C$169=1),0,IF(Paths!$P$169="Complete",N1789*(1+'Operating costs'!$B$54)^-C1789,"n.a."))</f>
        <v>0</v>
      </c>
      <c r="R1789" s="16">
        <f>IF(NOT(Paths!$C$169=1),0,IF(Paths!$P$169="Complete",IF(AND(C1789=0,Paths!$E$169=0),I1789-J1789-K1789+VLOOKUP(A1789,'Fleet register'!$A$7:$S$106,15,FALSE)+VLOOKUP(A1789,'Fleet register'!$A$7:$S$106,16,FALSE),0),"n.a."))</f>
        <v>0</v>
      </c>
      <c r="S1789" s="1">
        <f>IF(NOT(Paths!$C$169=1),0,IF(Paths!$P$169="Complete",IF(C1789=0,0,Paths!$S$169*Paths!$R$169),"n.a."))</f>
        <v>0</v>
      </c>
      <c r="T1789" s="1">
        <f>IF(NOT(Paths!$C$169=1),0,IF(Paths!$P$169="Complete",IF(C1789=0,0,VLOOKUP(A1789,'Fleet register'!$A$7:$S$106,9,FALSE)*Paths!$R$169),"n.a."))</f>
        <v>0</v>
      </c>
    </row>
    <row r="1790" spans="1:20" ht="24" customHeight="1">
      <c r="A1790" s="1" t="str">
        <f>Paths!$A$169</f>
        <v>T041</v>
      </c>
      <c r="B1790" s="1">
        <f>Paths!$B$169</f>
        <v>2</v>
      </c>
      <c r="C1790" s="1">
        <v>1</v>
      </c>
      <c r="D1790" s="1">
        <v>169</v>
      </c>
      <c r="E1790" s="1">
        <f>IF(OR(Paths!$C$169=0,C1790=0),0,MAX(0,MIN(C1790*12,Paths!$E$169)-(C1790-1)*12))</f>
        <v>0</v>
      </c>
      <c r="F1790" s="1">
        <f>IF(OR(Paths!$C$169=0,C1790=0),0,12-E1790)</f>
        <v>0</v>
      </c>
      <c r="G1790" s="16">
        <f>IF(NOT(Paths!$C$169=1),0,IF(Paths!$P$169="Complete",E1790/12*(Paths!$J$169*(1+'Operating costs'!$B$51)^MAX(0,C1790-1)+Paths!$K$169*(1+'Operating costs'!$B$53)^MAX(0,C1790-1)),"n.a."))</f>
        <v>0</v>
      </c>
      <c r="H1790" s="16">
        <f>IF(NOT(Paths!$C$169=1),0,IF(Paths!$P$169="Complete",F1790/12*(Paths!$L$169*(1+IF(Paths!$D$169="EV",'Operating costs'!$B$52,'Operating costs'!$B$51))^MAX(0,C1790-1)+Paths!$M$169*(1+'Operating costs'!$B$53)^MAX(0,C1790-1)),"n.a."))</f>
        <v>0</v>
      </c>
      <c r="I1790" s="16">
        <f>IF(NOT(Paths!$C$169=1),0,IF(Paths!$P$169="Complete",IF(IF(Paths!$E$169=0,C1790=0,AND(C1790&gt;0,Paths!$E$169&gt;(C1790-1)*12,Paths!$E$169&lt;=C1790*12)),Paths!$G$169,0),"n.a."))</f>
        <v>0</v>
      </c>
      <c r="J1790" s="16">
        <f>IF(NOT(Paths!$C$169=1),0,IF(Paths!$P$169="Complete",IF(IF(Paths!$E$169=0,C1790=0,AND(C1790&gt;0,Paths!$E$169&gt;(C1790-1)*12,Paths!$E$169&lt;=C1790*12)),Paths!$H$169,0),"n.a."))</f>
        <v>0</v>
      </c>
      <c r="K1790" s="16">
        <f>IF(NOT(Paths!$C$169=1),0,IF(Paths!$P$169="Complete",IF(IF(Paths!$O$169=0,C1790=0,AND(C1790&gt;0,Paths!$O$169&gt;(C1790-1)*12,Paths!$O$169&lt;=C1790*12)),Paths!$N$169,0),"n.a."))</f>
        <v>0</v>
      </c>
      <c r="L1790" s="16">
        <f>IF(NOT(Paths!$C$169=1),0,IF(Paths!$P$169="Complete",IF(C1790=10,Paths!$I$169,0),"n.a."))</f>
        <v>0</v>
      </c>
      <c r="M1790" s="16">
        <f>IF(NOT(Paths!$C$169=1),0,IF(Paths!$P$169="Complete",IF(AND(Paths!$D$169="EV",Paths!$E$169&lt;120,Paths!$E$169+'Operating costs'!$B$65&gt;Paths!$E$169,Paths!$E$169+'Operating costs'!$B$65&lt;=120,IF(Paths!$E$169+'Operating costs'!$B$65=0,C1790=0,AND(C1790&gt;0,Paths!$E$169+'Operating costs'!$B$65&gt;(C1790-1)*12,Paths!$E$169+'Operating costs'!$B$65&lt;=C1790*12))),'Operating costs'!$B$64,0)+IF(AND('Operating costs'!$B$67&gt;0,'Operating costs'!$B$67&lt;=120,OR(Paths!$D$169="ICE",'Operating costs'!$B$67&lt;=Paths!$E$169),IF('Operating costs'!$B$67=0,C1790=0,AND(C1790&gt;0,'Operating costs'!$B$67&gt;(C1790-1)*12,'Operating costs'!$B$67&lt;=C1790*12))),'Operating costs'!$B$66,0),"n.a."))</f>
        <v>0</v>
      </c>
      <c r="N1790" s="16">
        <f>IF(NOT(Paths!$C$169=1),0,IF(Paths!$P$169="Complete",SUM(G1790:I1790)-J1790-K1790-L1790+M1790+IF(C1790=0,Paths!$F$169,0)+IF(IF(Paths!$E$169=0,C1790=0,AND(C1790&gt;0,Paths!$E$169&gt;(C1790-1)*12,Paths!$E$169&lt;=C1790*12)),VLOOKUP(A1790,'Fleet register'!$A$7:$S$106,16,FALSE),0),"n.a."))</f>
        <v>0</v>
      </c>
      <c r="O1790" s="16">
        <f>IF(NOT(Paths!$C$169=1),0,IF(Paths!$P$169="Complete",N1790-IF(C1790=0,Paths!$F$169,0),"n.a."))</f>
        <v>0</v>
      </c>
      <c r="P1790" s="16">
        <f>IF(NOT(Paths!$C$169=1),0,IF(Paths!$P$169="Complete",O1790+L1790,"n.a."))</f>
        <v>0</v>
      </c>
      <c r="Q1790" s="16">
        <f>IF(NOT(Paths!$C$169=1),0,IF(Paths!$P$169="Complete",N1790*(1+'Operating costs'!$B$54)^-C1790,"n.a."))</f>
        <v>0</v>
      </c>
      <c r="R1790" s="16">
        <f>IF(NOT(Paths!$C$169=1),0,IF(Paths!$P$169="Complete",IF(AND(C1790=0,Paths!$E$169=0),I1790-J1790-K1790+VLOOKUP(A1790,'Fleet register'!$A$7:$S$106,15,FALSE)+VLOOKUP(A1790,'Fleet register'!$A$7:$S$106,16,FALSE),0),"n.a."))</f>
        <v>0</v>
      </c>
      <c r="S1790" s="1">
        <f>IF(NOT(Paths!$C$169=1),0,IF(Paths!$P$169="Complete",IF(C1790=0,0,Paths!$S$169*Paths!$R$169),"n.a."))</f>
        <v>0</v>
      </c>
      <c r="T1790" s="1">
        <f>IF(NOT(Paths!$C$169=1),0,IF(Paths!$P$169="Complete",IF(C1790=0,0,VLOOKUP(A1790,'Fleet register'!$A$7:$S$106,9,FALSE)*Paths!$R$169),"n.a."))</f>
        <v>0</v>
      </c>
    </row>
    <row r="1791" spans="1:20" ht="24" customHeight="1">
      <c r="A1791" s="1" t="str">
        <f>Paths!$A$169</f>
        <v>T041</v>
      </c>
      <c r="B1791" s="1">
        <f>Paths!$B$169</f>
        <v>2</v>
      </c>
      <c r="C1791" s="1">
        <v>2</v>
      </c>
      <c r="D1791" s="1">
        <v>169</v>
      </c>
      <c r="E1791" s="1">
        <f>IF(OR(Paths!$C$169=0,C1791=0),0,MAX(0,MIN(C1791*12,Paths!$E$169)-(C1791-1)*12))</f>
        <v>0</v>
      </c>
      <c r="F1791" s="1">
        <f>IF(OR(Paths!$C$169=0,C1791=0),0,12-E1791)</f>
        <v>0</v>
      </c>
      <c r="G1791" s="16">
        <f>IF(NOT(Paths!$C$169=1),0,IF(Paths!$P$169="Complete",E1791/12*(Paths!$J$169*(1+'Operating costs'!$B$51)^MAX(0,C1791-1)+Paths!$K$169*(1+'Operating costs'!$B$53)^MAX(0,C1791-1)),"n.a."))</f>
        <v>0</v>
      </c>
      <c r="H1791" s="16">
        <f>IF(NOT(Paths!$C$169=1),0,IF(Paths!$P$169="Complete",F1791/12*(Paths!$L$169*(1+IF(Paths!$D$169="EV",'Operating costs'!$B$52,'Operating costs'!$B$51))^MAX(0,C1791-1)+Paths!$M$169*(1+'Operating costs'!$B$53)^MAX(0,C1791-1)),"n.a."))</f>
        <v>0</v>
      </c>
      <c r="I1791" s="16">
        <f>IF(NOT(Paths!$C$169=1),0,IF(Paths!$P$169="Complete",IF(IF(Paths!$E$169=0,C1791=0,AND(C1791&gt;0,Paths!$E$169&gt;(C1791-1)*12,Paths!$E$169&lt;=C1791*12)),Paths!$G$169,0),"n.a."))</f>
        <v>0</v>
      </c>
      <c r="J1791" s="16">
        <f>IF(NOT(Paths!$C$169=1),0,IF(Paths!$P$169="Complete",IF(IF(Paths!$E$169=0,C1791=0,AND(C1791&gt;0,Paths!$E$169&gt;(C1791-1)*12,Paths!$E$169&lt;=C1791*12)),Paths!$H$169,0),"n.a."))</f>
        <v>0</v>
      </c>
      <c r="K1791" s="16">
        <f>IF(NOT(Paths!$C$169=1),0,IF(Paths!$P$169="Complete",IF(IF(Paths!$O$169=0,C1791=0,AND(C1791&gt;0,Paths!$O$169&gt;(C1791-1)*12,Paths!$O$169&lt;=C1791*12)),Paths!$N$169,0),"n.a."))</f>
        <v>0</v>
      </c>
      <c r="L1791" s="16">
        <f>IF(NOT(Paths!$C$169=1),0,IF(Paths!$P$169="Complete",IF(C1791=10,Paths!$I$169,0),"n.a."))</f>
        <v>0</v>
      </c>
      <c r="M1791" s="16">
        <f>IF(NOT(Paths!$C$169=1),0,IF(Paths!$P$169="Complete",IF(AND(Paths!$D$169="EV",Paths!$E$169&lt;120,Paths!$E$169+'Operating costs'!$B$65&gt;Paths!$E$169,Paths!$E$169+'Operating costs'!$B$65&lt;=120,IF(Paths!$E$169+'Operating costs'!$B$65=0,C1791=0,AND(C1791&gt;0,Paths!$E$169+'Operating costs'!$B$65&gt;(C1791-1)*12,Paths!$E$169+'Operating costs'!$B$65&lt;=C1791*12))),'Operating costs'!$B$64,0)+IF(AND('Operating costs'!$B$67&gt;0,'Operating costs'!$B$67&lt;=120,OR(Paths!$D$169="ICE",'Operating costs'!$B$67&lt;=Paths!$E$169),IF('Operating costs'!$B$67=0,C1791=0,AND(C1791&gt;0,'Operating costs'!$B$67&gt;(C1791-1)*12,'Operating costs'!$B$67&lt;=C1791*12))),'Operating costs'!$B$66,0),"n.a."))</f>
        <v>0</v>
      </c>
      <c r="N1791" s="16">
        <f>IF(NOT(Paths!$C$169=1),0,IF(Paths!$P$169="Complete",SUM(G1791:I1791)-J1791-K1791-L1791+M1791+IF(C1791=0,Paths!$F$169,0)+IF(IF(Paths!$E$169=0,C1791=0,AND(C1791&gt;0,Paths!$E$169&gt;(C1791-1)*12,Paths!$E$169&lt;=C1791*12)),VLOOKUP(A1791,'Fleet register'!$A$7:$S$106,16,FALSE),0),"n.a."))</f>
        <v>0</v>
      </c>
      <c r="O1791" s="16">
        <f>IF(NOT(Paths!$C$169=1),0,IF(Paths!$P$169="Complete",N1791-IF(C1791=0,Paths!$F$169,0),"n.a."))</f>
        <v>0</v>
      </c>
      <c r="P1791" s="16">
        <f>IF(NOT(Paths!$C$169=1),0,IF(Paths!$P$169="Complete",O1791+L1791,"n.a."))</f>
        <v>0</v>
      </c>
      <c r="Q1791" s="16">
        <f>IF(NOT(Paths!$C$169=1),0,IF(Paths!$P$169="Complete",N1791*(1+'Operating costs'!$B$54)^-C1791,"n.a."))</f>
        <v>0</v>
      </c>
      <c r="R1791" s="16">
        <f>IF(NOT(Paths!$C$169=1),0,IF(Paths!$P$169="Complete",IF(AND(C1791=0,Paths!$E$169=0),I1791-J1791-K1791+VLOOKUP(A1791,'Fleet register'!$A$7:$S$106,15,FALSE)+VLOOKUP(A1791,'Fleet register'!$A$7:$S$106,16,FALSE),0),"n.a."))</f>
        <v>0</v>
      </c>
      <c r="S1791" s="1">
        <f>IF(NOT(Paths!$C$169=1),0,IF(Paths!$P$169="Complete",IF(C1791=0,0,Paths!$S$169*Paths!$R$169),"n.a."))</f>
        <v>0</v>
      </c>
      <c r="T1791" s="1">
        <f>IF(NOT(Paths!$C$169=1),0,IF(Paths!$P$169="Complete",IF(C1791=0,0,VLOOKUP(A1791,'Fleet register'!$A$7:$S$106,9,FALSE)*Paths!$R$169),"n.a."))</f>
        <v>0</v>
      </c>
    </row>
    <row r="1792" spans="1:20" ht="24" customHeight="1">
      <c r="A1792" s="1" t="str">
        <f>Paths!$A$169</f>
        <v>T041</v>
      </c>
      <c r="B1792" s="1">
        <f>Paths!$B$169</f>
        <v>2</v>
      </c>
      <c r="C1792" s="1">
        <v>3</v>
      </c>
      <c r="D1792" s="1">
        <v>169</v>
      </c>
      <c r="E1792" s="1">
        <f>IF(OR(Paths!$C$169=0,C1792=0),0,MAX(0,MIN(C1792*12,Paths!$E$169)-(C1792-1)*12))</f>
        <v>0</v>
      </c>
      <c r="F1792" s="1">
        <f>IF(OR(Paths!$C$169=0,C1792=0),0,12-E1792)</f>
        <v>0</v>
      </c>
      <c r="G1792" s="16">
        <f>IF(NOT(Paths!$C$169=1),0,IF(Paths!$P$169="Complete",E1792/12*(Paths!$J$169*(1+'Operating costs'!$B$51)^MAX(0,C1792-1)+Paths!$K$169*(1+'Operating costs'!$B$53)^MAX(0,C1792-1)),"n.a."))</f>
        <v>0</v>
      </c>
      <c r="H1792" s="16">
        <f>IF(NOT(Paths!$C$169=1),0,IF(Paths!$P$169="Complete",F1792/12*(Paths!$L$169*(1+IF(Paths!$D$169="EV",'Operating costs'!$B$52,'Operating costs'!$B$51))^MAX(0,C1792-1)+Paths!$M$169*(1+'Operating costs'!$B$53)^MAX(0,C1792-1)),"n.a."))</f>
        <v>0</v>
      </c>
      <c r="I1792" s="16">
        <f>IF(NOT(Paths!$C$169=1),0,IF(Paths!$P$169="Complete",IF(IF(Paths!$E$169=0,C1792=0,AND(C1792&gt;0,Paths!$E$169&gt;(C1792-1)*12,Paths!$E$169&lt;=C1792*12)),Paths!$G$169,0),"n.a."))</f>
        <v>0</v>
      </c>
      <c r="J1792" s="16">
        <f>IF(NOT(Paths!$C$169=1),0,IF(Paths!$P$169="Complete",IF(IF(Paths!$E$169=0,C1792=0,AND(C1792&gt;0,Paths!$E$169&gt;(C1792-1)*12,Paths!$E$169&lt;=C1792*12)),Paths!$H$169,0),"n.a."))</f>
        <v>0</v>
      </c>
      <c r="K1792" s="16">
        <f>IF(NOT(Paths!$C$169=1),0,IF(Paths!$P$169="Complete",IF(IF(Paths!$O$169=0,C1792=0,AND(C1792&gt;0,Paths!$O$169&gt;(C1792-1)*12,Paths!$O$169&lt;=C1792*12)),Paths!$N$169,0),"n.a."))</f>
        <v>0</v>
      </c>
      <c r="L1792" s="16">
        <f>IF(NOT(Paths!$C$169=1),0,IF(Paths!$P$169="Complete",IF(C1792=10,Paths!$I$169,0),"n.a."))</f>
        <v>0</v>
      </c>
      <c r="M1792" s="16">
        <f>IF(NOT(Paths!$C$169=1),0,IF(Paths!$P$169="Complete",IF(AND(Paths!$D$169="EV",Paths!$E$169&lt;120,Paths!$E$169+'Operating costs'!$B$65&gt;Paths!$E$169,Paths!$E$169+'Operating costs'!$B$65&lt;=120,IF(Paths!$E$169+'Operating costs'!$B$65=0,C1792=0,AND(C1792&gt;0,Paths!$E$169+'Operating costs'!$B$65&gt;(C1792-1)*12,Paths!$E$169+'Operating costs'!$B$65&lt;=C1792*12))),'Operating costs'!$B$64,0)+IF(AND('Operating costs'!$B$67&gt;0,'Operating costs'!$B$67&lt;=120,OR(Paths!$D$169="ICE",'Operating costs'!$B$67&lt;=Paths!$E$169),IF('Operating costs'!$B$67=0,C1792=0,AND(C1792&gt;0,'Operating costs'!$B$67&gt;(C1792-1)*12,'Operating costs'!$B$67&lt;=C1792*12))),'Operating costs'!$B$66,0),"n.a."))</f>
        <v>0</v>
      </c>
      <c r="N1792" s="16">
        <f>IF(NOT(Paths!$C$169=1),0,IF(Paths!$P$169="Complete",SUM(G1792:I1792)-J1792-K1792-L1792+M1792+IF(C1792=0,Paths!$F$169,0)+IF(IF(Paths!$E$169=0,C1792=0,AND(C1792&gt;0,Paths!$E$169&gt;(C1792-1)*12,Paths!$E$169&lt;=C1792*12)),VLOOKUP(A1792,'Fleet register'!$A$7:$S$106,16,FALSE),0),"n.a."))</f>
        <v>0</v>
      </c>
      <c r="O1792" s="16">
        <f>IF(NOT(Paths!$C$169=1),0,IF(Paths!$P$169="Complete",N1792-IF(C1792=0,Paths!$F$169,0),"n.a."))</f>
        <v>0</v>
      </c>
      <c r="P1792" s="16">
        <f>IF(NOT(Paths!$C$169=1),0,IF(Paths!$P$169="Complete",O1792+L1792,"n.a."))</f>
        <v>0</v>
      </c>
      <c r="Q1792" s="16">
        <f>IF(NOT(Paths!$C$169=1),0,IF(Paths!$P$169="Complete",N1792*(1+'Operating costs'!$B$54)^-C1792,"n.a."))</f>
        <v>0</v>
      </c>
      <c r="R1792" s="16">
        <f>IF(NOT(Paths!$C$169=1),0,IF(Paths!$P$169="Complete",IF(AND(C1792=0,Paths!$E$169=0),I1792-J1792-K1792+VLOOKUP(A1792,'Fleet register'!$A$7:$S$106,15,FALSE)+VLOOKUP(A1792,'Fleet register'!$A$7:$S$106,16,FALSE),0),"n.a."))</f>
        <v>0</v>
      </c>
      <c r="S1792" s="1">
        <f>IF(NOT(Paths!$C$169=1),0,IF(Paths!$P$169="Complete",IF(C1792=0,0,Paths!$S$169*Paths!$R$169),"n.a."))</f>
        <v>0</v>
      </c>
      <c r="T1792" s="1">
        <f>IF(NOT(Paths!$C$169=1),0,IF(Paths!$P$169="Complete",IF(C1792=0,0,VLOOKUP(A1792,'Fleet register'!$A$7:$S$106,9,FALSE)*Paths!$R$169),"n.a."))</f>
        <v>0</v>
      </c>
    </row>
    <row r="1793" spans="1:20" ht="24" customHeight="1">
      <c r="A1793" s="1" t="str">
        <f>Paths!$A$169</f>
        <v>T041</v>
      </c>
      <c r="B1793" s="1">
        <f>Paths!$B$169</f>
        <v>2</v>
      </c>
      <c r="C1793" s="1">
        <v>4</v>
      </c>
      <c r="D1793" s="1">
        <v>169</v>
      </c>
      <c r="E1793" s="1">
        <f>IF(OR(Paths!$C$169=0,C1793=0),0,MAX(0,MIN(C1793*12,Paths!$E$169)-(C1793-1)*12))</f>
        <v>0</v>
      </c>
      <c r="F1793" s="1">
        <f>IF(OR(Paths!$C$169=0,C1793=0),0,12-E1793)</f>
        <v>0</v>
      </c>
      <c r="G1793" s="16">
        <f>IF(NOT(Paths!$C$169=1),0,IF(Paths!$P$169="Complete",E1793/12*(Paths!$J$169*(1+'Operating costs'!$B$51)^MAX(0,C1793-1)+Paths!$K$169*(1+'Operating costs'!$B$53)^MAX(0,C1793-1)),"n.a."))</f>
        <v>0</v>
      </c>
      <c r="H1793" s="16">
        <f>IF(NOT(Paths!$C$169=1),0,IF(Paths!$P$169="Complete",F1793/12*(Paths!$L$169*(1+IF(Paths!$D$169="EV",'Operating costs'!$B$52,'Operating costs'!$B$51))^MAX(0,C1793-1)+Paths!$M$169*(1+'Operating costs'!$B$53)^MAX(0,C1793-1)),"n.a."))</f>
        <v>0</v>
      </c>
      <c r="I1793" s="16">
        <f>IF(NOT(Paths!$C$169=1),0,IF(Paths!$P$169="Complete",IF(IF(Paths!$E$169=0,C1793=0,AND(C1793&gt;0,Paths!$E$169&gt;(C1793-1)*12,Paths!$E$169&lt;=C1793*12)),Paths!$G$169,0),"n.a."))</f>
        <v>0</v>
      </c>
      <c r="J1793" s="16">
        <f>IF(NOT(Paths!$C$169=1),0,IF(Paths!$P$169="Complete",IF(IF(Paths!$E$169=0,C1793=0,AND(C1793&gt;0,Paths!$E$169&gt;(C1793-1)*12,Paths!$E$169&lt;=C1793*12)),Paths!$H$169,0),"n.a."))</f>
        <v>0</v>
      </c>
      <c r="K1793" s="16">
        <f>IF(NOT(Paths!$C$169=1),0,IF(Paths!$P$169="Complete",IF(IF(Paths!$O$169=0,C1793=0,AND(C1793&gt;0,Paths!$O$169&gt;(C1793-1)*12,Paths!$O$169&lt;=C1793*12)),Paths!$N$169,0),"n.a."))</f>
        <v>0</v>
      </c>
      <c r="L1793" s="16">
        <f>IF(NOT(Paths!$C$169=1),0,IF(Paths!$P$169="Complete",IF(C1793=10,Paths!$I$169,0),"n.a."))</f>
        <v>0</v>
      </c>
      <c r="M1793" s="16">
        <f>IF(NOT(Paths!$C$169=1),0,IF(Paths!$P$169="Complete",IF(AND(Paths!$D$169="EV",Paths!$E$169&lt;120,Paths!$E$169+'Operating costs'!$B$65&gt;Paths!$E$169,Paths!$E$169+'Operating costs'!$B$65&lt;=120,IF(Paths!$E$169+'Operating costs'!$B$65=0,C1793=0,AND(C1793&gt;0,Paths!$E$169+'Operating costs'!$B$65&gt;(C1793-1)*12,Paths!$E$169+'Operating costs'!$B$65&lt;=C1793*12))),'Operating costs'!$B$64,0)+IF(AND('Operating costs'!$B$67&gt;0,'Operating costs'!$B$67&lt;=120,OR(Paths!$D$169="ICE",'Operating costs'!$B$67&lt;=Paths!$E$169),IF('Operating costs'!$B$67=0,C1793=0,AND(C1793&gt;0,'Operating costs'!$B$67&gt;(C1793-1)*12,'Operating costs'!$B$67&lt;=C1793*12))),'Operating costs'!$B$66,0),"n.a."))</f>
        <v>0</v>
      </c>
      <c r="N1793" s="16">
        <f>IF(NOT(Paths!$C$169=1),0,IF(Paths!$P$169="Complete",SUM(G1793:I1793)-J1793-K1793-L1793+M1793+IF(C1793=0,Paths!$F$169,0)+IF(IF(Paths!$E$169=0,C1793=0,AND(C1793&gt;0,Paths!$E$169&gt;(C1793-1)*12,Paths!$E$169&lt;=C1793*12)),VLOOKUP(A1793,'Fleet register'!$A$7:$S$106,16,FALSE),0),"n.a."))</f>
        <v>0</v>
      </c>
      <c r="O1793" s="16">
        <f>IF(NOT(Paths!$C$169=1),0,IF(Paths!$P$169="Complete",N1793-IF(C1793=0,Paths!$F$169,0),"n.a."))</f>
        <v>0</v>
      </c>
      <c r="P1793" s="16">
        <f>IF(NOT(Paths!$C$169=1),0,IF(Paths!$P$169="Complete",O1793+L1793,"n.a."))</f>
        <v>0</v>
      </c>
      <c r="Q1793" s="16">
        <f>IF(NOT(Paths!$C$169=1),0,IF(Paths!$P$169="Complete",N1793*(1+'Operating costs'!$B$54)^-C1793,"n.a."))</f>
        <v>0</v>
      </c>
      <c r="R1793" s="16">
        <f>IF(NOT(Paths!$C$169=1),0,IF(Paths!$P$169="Complete",IF(AND(C1793=0,Paths!$E$169=0),I1793-J1793-K1793+VLOOKUP(A1793,'Fleet register'!$A$7:$S$106,15,FALSE)+VLOOKUP(A1793,'Fleet register'!$A$7:$S$106,16,FALSE),0),"n.a."))</f>
        <v>0</v>
      </c>
      <c r="S1793" s="1">
        <f>IF(NOT(Paths!$C$169=1),0,IF(Paths!$P$169="Complete",IF(C1793=0,0,Paths!$S$169*Paths!$R$169),"n.a."))</f>
        <v>0</v>
      </c>
      <c r="T1793" s="1">
        <f>IF(NOT(Paths!$C$169=1),0,IF(Paths!$P$169="Complete",IF(C1793=0,0,VLOOKUP(A1793,'Fleet register'!$A$7:$S$106,9,FALSE)*Paths!$R$169),"n.a."))</f>
        <v>0</v>
      </c>
    </row>
    <row r="1794" spans="1:20" ht="24" customHeight="1">
      <c r="A1794" s="1" t="str">
        <f>Paths!$A$169</f>
        <v>T041</v>
      </c>
      <c r="B1794" s="1">
        <f>Paths!$B$169</f>
        <v>2</v>
      </c>
      <c r="C1794" s="1">
        <v>5</v>
      </c>
      <c r="D1794" s="1">
        <v>169</v>
      </c>
      <c r="E1794" s="1">
        <f>IF(OR(Paths!$C$169=0,C1794=0),0,MAX(0,MIN(C1794*12,Paths!$E$169)-(C1794-1)*12))</f>
        <v>0</v>
      </c>
      <c r="F1794" s="1">
        <f>IF(OR(Paths!$C$169=0,C1794=0),0,12-E1794)</f>
        <v>0</v>
      </c>
      <c r="G1794" s="16">
        <f>IF(NOT(Paths!$C$169=1),0,IF(Paths!$P$169="Complete",E1794/12*(Paths!$J$169*(1+'Operating costs'!$B$51)^MAX(0,C1794-1)+Paths!$K$169*(1+'Operating costs'!$B$53)^MAX(0,C1794-1)),"n.a."))</f>
        <v>0</v>
      </c>
      <c r="H1794" s="16">
        <f>IF(NOT(Paths!$C$169=1),0,IF(Paths!$P$169="Complete",F1794/12*(Paths!$L$169*(1+IF(Paths!$D$169="EV",'Operating costs'!$B$52,'Operating costs'!$B$51))^MAX(0,C1794-1)+Paths!$M$169*(1+'Operating costs'!$B$53)^MAX(0,C1794-1)),"n.a."))</f>
        <v>0</v>
      </c>
      <c r="I1794" s="16">
        <f>IF(NOT(Paths!$C$169=1),0,IF(Paths!$P$169="Complete",IF(IF(Paths!$E$169=0,C1794=0,AND(C1794&gt;0,Paths!$E$169&gt;(C1794-1)*12,Paths!$E$169&lt;=C1794*12)),Paths!$G$169,0),"n.a."))</f>
        <v>0</v>
      </c>
      <c r="J1794" s="16">
        <f>IF(NOT(Paths!$C$169=1),0,IF(Paths!$P$169="Complete",IF(IF(Paths!$E$169=0,C1794=0,AND(C1794&gt;0,Paths!$E$169&gt;(C1794-1)*12,Paths!$E$169&lt;=C1794*12)),Paths!$H$169,0),"n.a."))</f>
        <v>0</v>
      </c>
      <c r="K1794" s="16">
        <f>IF(NOT(Paths!$C$169=1),0,IF(Paths!$P$169="Complete",IF(IF(Paths!$O$169=0,C1794=0,AND(C1794&gt;0,Paths!$O$169&gt;(C1794-1)*12,Paths!$O$169&lt;=C1794*12)),Paths!$N$169,0),"n.a."))</f>
        <v>0</v>
      </c>
      <c r="L1794" s="16">
        <f>IF(NOT(Paths!$C$169=1),0,IF(Paths!$P$169="Complete",IF(C1794=10,Paths!$I$169,0),"n.a."))</f>
        <v>0</v>
      </c>
      <c r="M1794" s="16">
        <f>IF(NOT(Paths!$C$169=1),0,IF(Paths!$P$169="Complete",IF(AND(Paths!$D$169="EV",Paths!$E$169&lt;120,Paths!$E$169+'Operating costs'!$B$65&gt;Paths!$E$169,Paths!$E$169+'Operating costs'!$B$65&lt;=120,IF(Paths!$E$169+'Operating costs'!$B$65=0,C1794=0,AND(C1794&gt;0,Paths!$E$169+'Operating costs'!$B$65&gt;(C1794-1)*12,Paths!$E$169+'Operating costs'!$B$65&lt;=C1794*12))),'Operating costs'!$B$64,0)+IF(AND('Operating costs'!$B$67&gt;0,'Operating costs'!$B$67&lt;=120,OR(Paths!$D$169="ICE",'Operating costs'!$B$67&lt;=Paths!$E$169),IF('Operating costs'!$B$67=0,C1794=0,AND(C1794&gt;0,'Operating costs'!$B$67&gt;(C1794-1)*12,'Operating costs'!$B$67&lt;=C1794*12))),'Operating costs'!$B$66,0),"n.a."))</f>
        <v>0</v>
      </c>
      <c r="N1794" s="16">
        <f>IF(NOT(Paths!$C$169=1),0,IF(Paths!$P$169="Complete",SUM(G1794:I1794)-J1794-K1794-L1794+M1794+IF(C1794=0,Paths!$F$169,0)+IF(IF(Paths!$E$169=0,C1794=0,AND(C1794&gt;0,Paths!$E$169&gt;(C1794-1)*12,Paths!$E$169&lt;=C1794*12)),VLOOKUP(A1794,'Fleet register'!$A$7:$S$106,16,FALSE),0),"n.a."))</f>
        <v>0</v>
      </c>
      <c r="O1794" s="16">
        <f>IF(NOT(Paths!$C$169=1),0,IF(Paths!$P$169="Complete",N1794-IF(C1794=0,Paths!$F$169,0),"n.a."))</f>
        <v>0</v>
      </c>
      <c r="P1794" s="16">
        <f>IF(NOT(Paths!$C$169=1),0,IF(Paths!$P$169="Complete",O1794+L1794,"n.a."))</f>
        <v>0</v>
      </c>
      <c r="Q1794" s="16">
        <f>IF(NOT(Paths!$C$169=1),0,IF(Paths!$P$169="Complete",N1794*(1+'Operating costs'!$B$54)^-C1794,"n.a."))</f>
        <v>0</v>
      </c>
      <c r="R1794" s="16">
        <f>IF(NOT(Paths!$C$169=1),0,IF(Paths!$P$169="Complete",IF(AND(C1794=0,Paths!$E$169=0),I1794-J1794-K1794+VLOOKUP(A1794,'Fleet register'!$A$7:$S$106,15,FALSE)+VLOOKUP(A1794,'Fleet register'!$A$7:$S$106,16,FALSE),0),"n.a."))</f>
        <v>0</v>
      </c>
      <c r="S1794" s="1">
        <f>IF(NOT(Paths!$C$169=1),0,IF(Paths!$P$169="Complete",IF(C1794=0,0,Paths!$S$169*Paths!$R$169),"n.a."))</f>
        <v>0</v>
      </c>
      <c r="T1794" s="1">
        <f>IF(NOT(Paths!$C$169=1),0,IF(Paths!$P$169="Complete",IF(C1794=0,0,VLOOKUP(A1794,'Fleet register'!$A$7:$S$106,9,FALSE)*Paths!$R$169),"n.a."))</f>
        <v>0</v>
      </c>
    </row>
    <row r="1795" spans="1:20" ht="24" customHeight="1">
      <c r="A1795" s="1" t="str">
        <f>Paths!$A$169</f>
        <v>T041</v>
      </c>
      <c r="B1795" s="1">
        <f>Paths!$B$169</f>
        <v>2</v>
      </c>
      <c r="C1795" s="1">
        <v>6</v>
      </c>
      <c r="D1795" s="1">
        <v>169</v>
      </c>
      <c r="E1795" s="1">
        <f>IF(OR(Paths!$C$169=0,C1795=0),0,MAX(0,MIN(C1795*12,Paths!$E$169)-(C1795-1)*12))</f>
        <v>0</v>
      </c>
      <c r="F1795" s="1">
        <f>IF(OR(Paths!$C$169=0,C1795=0),0,12-E1795)</f>
        <v>0</v>
      </c>
      <c r="G1795" s="16">
        <f>IF(NOT(Paths!$C$169=1),0,IF(Paths!$P$169="Complete",E1795/12*(Paths!$J$169*(1+'Operating costs'!$B$51)^MAX(0,C1795-1)+Paths!$K$169*(1+'Operating costs'!$B$53)^MAX(0,C1795-1)),"n.a."))</f>
        <v>0</v>
      </c>
      <c r="H1795" s="16">
        <f>IF(NOT(Paths!$C$169=1),0,IF(Paths!$P$169="Complete",F1795/12*(Paths!$L$169*(1+IF(Paths!$D$169="EV",'Operating costs'!$B$52,'Operating costs'!$B$51))^MAX(0,C1795-1)+Paths!$M$169*(1+'Operating costs'!$B$53)^MAX(0,C1795-1)),"n.a."))</f>
        <v>0</v>
      </c>
      <c r="I1795" s="16">
        <f>IF(NOT(Paths!$C$169=1),0,IF(Paths!$P$169="Complete",IF(IF(Paths!$E$169=0,C1795=0,AND(C1795&gt;0,Paths!$E$169&gt;(C1795-1)*12,Paths!$E$169&lt;=C1795*12)),Paths!$G$169,0),"n.a."))</f>
        <v>0</v>
      </c>
      <c r="J1795" s="16">
        <f>IF(NOT(Paths!$C$169=1),0,IF(Paths!$P$169="Complete",IF(IF(Paths!$E$169=0,C1795=0,AND(C1795&gt;0,Paths!$E$169&gt;(C1795-1)*12,Paths!$E$169&lt;=C1795*12)),Paths!$H$169,0),"n.a."))</f>
        <v>0</v>
      </c>
      <c r="K1795" s="16">
        <f>IF(NOT(Paths!$C$169=1),0,IF(Paths!$P$169="Complete",IF(IF(Paths!$O$169=0,C1795=0,AND(C1795&gt;0,Paths!$O$169&gt;(C1795-1)*12,Paths!$O$169&lt;=C1795*12)),Paths!$N$169,0),"n.a."))</f>
        <v>0</v>
      </c>
      <c r="L1795" s="16">
        <f>IF(NOT(Paths!$C$169=1),0,IF(Paths!$P$169="Complete",IF(C1795=10,Paths!$I$169,0),"n.a."))</f>
        <v>0</v>
      </c>
      <c r="M1795" s="16">
        <f>IF(NOT(Paths!$C$169=1),0,IF(Paths!$P$169="Complete",IF(AND(Paths!$D$169="EV",Paths!$E$169&lt;120,Paths!$E$169+'Operating costs'!$B$65&gt;Paths!$E$169,Paths!$E$169+'Operating costs'!$B$65&lt;=120,IF(Paths!$E$169+'Operating costs'!$B$65=0,C1795=0,AND(C1795&gt;0,Paths!$E$169+'Operating costs'!$B$65&gt;(C1795-1)*12,Paths!$E$169+'Operating costs'!$B$65&lt;=C1795*12))),'Operating costs'!$B$64,0)+IF(AND('Operating costs'!$B$67&gt;0,'Operating costs'!$B$67&lt;=120,OR(Paths!$D$169="ICE",'Operating costs'!$B$67&lt;=Paths!$E$169),IF('Operating costs'!$B$67=0,C1795=0,AND(C1795&gt;0,'Operating costs'!$B$67&gt;(C1795-1)*12,'Operating costs'!$B$67&lt;=C1795*12))),'Operating costs'!$B$66,0),"n.a."))</f>
        <v>0</v>
      </c>
      <c r="N1795" s="16">
        <f>IF(NOT(Paths!$C$169=1),0,IF(Paths!$P$169="Complete",SUM(G1795:I1795)-J1795-K1795-L1795+M1795+IF(C1795=0,Paths!$F$169,0)+IF(IF(Paths!$E$169=0,C1795=0,AND(C1795&gt;0,Paths!$E$169&gt;(C1795-1)*12,Paths!$E$169&lt;=C1795*12)),VLOOKUP(A1795,'Fleet register'!$A$7:$S$106,16,FALSE),0),"n.a."))</f>
        <v>0</v>
      </c>
      <c r="O1795" s="16">
        <f>IF(NOT(Paths!$C$169=1),0,IF(Paths!$P$169="Complete",N1795-IF(C1795=0,Paths!$F$169,0),"n.a."))</f>
        <v>0</v>
      </c>
      <c r="P1795" s="16">
        <f>IF(NOT(Paths!$C$169=1),0,IF(Paths!$P$169="Complete",O1795+L1795,"n.a."))</f>
        <v>0</v>
      </c>
      <c r="Q1795" s="16">
        <f>IF(NOT(Paths!$C$169=1),0,IF(Paths!$P$169="Complete",N1795*(1+'Operating costs'!$B$54)^-C1795,"n.a."))</f>
        <v>0</v>
      </c>
      <c r="R1795" s="16">
        <f>IF(NOT(Paths!$C$169=1),0,IF(Paths!$P$169="Complete",IF(AND(C1795=0,Paths!$E$169=0),I1795-J1795-K1795+VLOOKUP(A1795,'Fleet register'!$A$7:$S$106,15,FALSE)+VLOOKUP(A1795,'Fleet register'!$A$7:$S$106,16,FALSE),0),"n.a."))</f>
        <v>0</v>
      </c>
      <c r="S1795" s="1">
        <f>IF(NOT(Paths!$C$169=1),0,IF(Paths!$P$169="Complete",IF(C1795=0,0,Paths!$S$169*Paths!$R$169),"n.a."))</f>
        <v>0</v>
      </c>
      <c r="T1795" s="1">
        <f>IF(NOT(Paths!$C$169=1),0,IF(Paths!$P$169="Complete",IF(C1795=0,0,VLOOKUP(A1795,'Fleet register'!$A$7:$S$106,9,FALSE)*Paths!$R$169),"n.a."))</f>
        <v>0</v>
      </c>
    </row>
    <row r="1796" spans="1:20" ht="24" customHeight="1">
      <c r="A1796" s="1" t="str">
        <f>Paths!$A$169</f>
        <v>T041</v>
      </c>
      <c r="B1796" s="1">
        <f>Paths!$B$169</f>
        <v>2</v>
      </c>
      <c r="C1796" s="1">
        <v>7</v>
      </c>
      <c r="D1796" s="1">
        <v>169</v>
      </c>
      <c r="E1796" s="1">
        <f>IF(OR(Paths!$C$169=0,C1796=0),0,MAX(0,MIN(C1796*12,Paths!$E$169)-(C1796-1)*12))</f>
        <v>0</v>
      </c>
      <c r="F1796" s="1">
        <f>IF(OR(Paths!$C$169=0,C1796=0),0,12-E1796)</f>
        <v>0</v>
      </c>
      <c r="G1796" s="16">
        <f>IF(NOT(Paths!$C$169=1),0,IF(Paths!$P$169="Complete",E1796/12*(Paths!$J$169*(1+'Operating costs'!$B$51)^MAX(0,C1796-1)+Paths!$K$169*(1+'Operating costs'!$B$53)^MAX(0,C1796-1)),"n.a."))</f>
        <v>0</v>
      </c>
      <c r="H1796" s="16">
        <f>IF(NOT(Paths!$C$169=1),0,IF(Paths!$P$169="Complete",F1796/12*(Paths!$L$169*(1+IF(Paths!$D$169="EV",'Operating costs'!$B$52,'Operating costs'!$B$51))^MAX(0,C1796-1)+Paths!$M$169*(1+'Operating costs'!$B$53)^MAX(0,C1796-1)),"n.a."))</f>
        <v>0</v>
      </c>
      <c r="I1796" s="16">
        <f>IF(NOT(Paths!$C$169=1),0,IF(Paths!$P$169="Complete",IF(IF(Paths!$E$169=0,C1796=0,AND(C1796&gt;0,Paths!$E$169&gt;(C1796-1)*12,Paths!$E$169&lt;=C1796*12)),Paths!$G$169,0),"n.a."))</f>
        <v>0</v>
      </c>
      <c r="J1796" s="16">
        <f>IF(NOT(Paths!$C$169=1),0,IF(Paths!$P$169="Complete",IF(IF(Paths!$E$169=0,C1796=0,AND(C1796&gt;0,Paths!$E$169&gt;(C1796-1)*12,Paths!$E$169&lt;=C1796*12)),Paths!$H$169,0),"n.a."))</f>
        <v>0</v>
      </c>
      <c r="K1796" s="16">
        <f>IF(NOT(Paths!$C$169=1),0,IF(Paths!$P$169="Complete",IF(IF(Paths!$O$169=0,C1796=0,AND(C1796&gt;0,Paths!$O$169&gt;(C1796-1)*12,Paths!$O$169&lt;=C1796*12)),Paths!$N$169,0),"n.a."))</f>
        <v>0</v>
      </c>
      <c r="L1796" s="16">
        <f>IF(NOT(Paths!$C$169=1),0,IF(Paths!$P$169="Complete",IF(C1796=10,Paths!$I$169,0),"n.a."))</f>
        <v>0</v>
      </c>
      <c r="M1796" s="16">
        <f>IF(NOT(Paths!$C$169=1),0,IF(Paths!$P$169="Complete",IF(AND(Paths!$D$169="EV",Paths!$E$169&lt;120,Paths!$E$169+'Operating costs'!$B$65&gt;Paths!$E$169,Paths!$E$169+'Operating costs'!$B$65&lt;=120,IF(Paths!$E$169+'Operating costs'!$B$65=0,C1796=0,AND(C1796&gt;0,Paths!$E$169+'Operating costs'!$B$65&gt;(C1796-1)*12,Paths!$E$169+'Operating costs'!$B$65&lt;=C1796*12))),'Operating costs'!$B$64,0)+IF(AND('Operating costs'!$B$67&gt;0,'Operating costs'!$B$67&lt;=120,OR(Paths!$D$169="ICE",'Operating costs'!$B$67&lt;=Paths!$E$169),IF('Operating costs'!$B$67=0,C1796=0,AND(C1796&gt;0,'Operating costs'!$B$67&gt;(C1796-1)*12,'Operating costs'!$B$67&lt;=C1796*12))),'Operating costs'!$B$66,0),"n.a."))</f>
        <v>0</v>
      </c>
      <c r="N1796" s="16">
        <f>IF(NOT(Paths!$C$169=1),0,IF(Paths!$P$169="Complete",SUM(G1796:I1796)-J1796-K1796-L1796+M1796+IF(C1796=0,Paths!$F$169,0)+IF(IF(Paths!$E$169=0,C1796=0,AND(C1796&gt;0,Paths!$E$169&gt;(C1796-1)*12,Paths!$E$169&lt;=C1796*12)),VLOOKUP(A1796,'Fleet register'!$A$7:$S$106,16,FALSE),0),"n.a."))</f>
        <v>0</v>
      </c>
      <c r="O1796" s="16">
        <f>IF(NOT(Paths!$C$169=1),0,IF(Paths!$P$169="Complete",N1796-IF(C1796=0,Paths!$F$169,0),"n.a."))</f>
        <v>0</v>
      </c>
      <c r="P1796" s="16">
        <f>IF(NOT(Paths!$C$169=1),0,IF(Paths!$P$169="Complete",O1796+L1796,"n.a."))</f>
        <v>0</v>
      </c>
      <c r="Q1796" s="16">
        <f>IF(NOT(Paths!$C$169=1),0,IF(Paths!$P$169="Complete",N1796*(1+'Operating costs'!$B$54)^-C1796,"n.a."))</f>
        <v>0</v>
      </c>
      <c r="R1796" s="16">
        <f>IF(NOT(Paths!$C$169=1),0,IF(Paths!$P$169="Complete",IF(AND(C1796=0,Paths!$E$169=0),I1796-J1796-K1796+VLOOKUP(A1796,'Fleet register'!$A$7:$S$106,15,FALSE)+VLOOKUP(A1796,'Fleet register'!$A$7:$S$106,16,FALSE),0),"n.a."))</f>
        <v>0</v>
      </c>
      <c r="S1796" s="1">
        <f>IF(NOT(Paths!$C$169=1),0,IF(Paths!$P$169="Complete",IF(C1796=0,0,Paths!$S$169*Paths!$R$169),"n.a."))</f>
        <v>0</v>
      </c>
      <c r="T1796" s="1">
        <f>IF(NOT(Paths!$C$169=1),0,IF(Paths!$P$169="Complete",IF(C1796=0,0,VLOOKUP(A1796,'Fleet register'!$A$7:$S$106,9,FALSE)*Paths!$R$169),"n.a."))</f>
        <v>0</v>
      </c>
    </row>
    <row r="1797" spans="1:20" ht="24" customHeight="1">
      <c r="A1797" s="1" t="str">
        <f>Paths!$A$169</f>
        <v>T041</v>
      </c>
      <c r="B1797" s="1">
        <f>Paths!$B$169</f>
        <v>2</v>
      </c>
      <c r="C1797" s="1">
        <v>8</v>
      </c>
      <c r="D1797" s="1">
        <v>169</v>
      </c>
      <c r="E1797" s="1">
        <f>IF(OR(Paths!$C$169=0,C1797=0),0,MAX(0,MIN(C1797*12,Paths!$E$169)-(C1797-1)*12))</f>
        <v>0</v>
      </c>
      <c r="F1797" s="1">
        <f>IF(OR(Paths!$C$169=0,C1797=0),0,12-E1797)</f>
        <v>0</v>
      </c>
      <c r="G1797" s="16">
        <f>IF(NOT(Paths!$C$169=1),0,IF(Paths!$P$169="Complete",E1797/12*(Paths!$J$169*(1+'Operating costs'!$B$51)^MAX(0,C1797-1)+Paths!$K$169*(1+'Operating costs'!$B$53)^MAX(0,C1797-1)),"n.a."))</f>
        <v>0</v>
      </c>
      <c r="H1797" s="16">
        <f>IF(NOT(Paths!$C$169=1),0,IF(Paths!$P$169="Complete",F1797/12*(Paths!$L$169*(1+IF(Paths!$D$169="EV",'Operating costs'!$B$52,'Operating costs'!$B$51))^MAX(0,C1797-1)+Paths!$M$169*(1+'Operating costs'!$B$53)^MAX(0,C1797-1)),"n.a."))</f>
        <v>0</v>
      </c>
      <c r="I1797" s="16">
        <f>IF(NOT(Paths!$C$169=1),0,IF(Paths!$P$169="Complete",IF(IF(Paths!$E$169=0,C1797=0,AND(C1797&gt;0,Paths!$E$169&gt;(C1797-1)*12,Paths!$E$169&lt;=C1797*12)),Paths!$G$169,0),"n.a."))</f>
        <v>0</v>
      </c>
      <c r="J1797" s="16">
        <f>IF(NOT(Paths!$C$169=1),0,IF(Paths!$P$169="Complete",IF(IF(Paths!$E$169=0,C1797=0,AND(C1797&gt;0,Paths!$E$169&gt;(C1797-1)*12,Paths!$E$169&lt;=C1797*12)),Paths!$H$169,0),"n.a."))</f>
        <v>0</v>
      </c>
      <c r="K1797" s="16">
        <f>IF(NOT(Paths!$C$169=1),0,IF(Paths!$P$169="Complete",IF(IF(Paths!$O$169=0,C1797=0,AND(C1797&gt;0,Paths!$O$169&gt;(C1797-1)*12,Paths!$O$169&lt;=C1797*12)),Paths!$N$169,0),"n.a."))</f>
        <v>0</v>
      </c>
      <c r="L1797" s="16">
        <f>IF(NOT(Paths!$C$169=1),0,IF(Paths!$P$169="Complete",IF(C1797=10,Paths!$I$169,0),"n.a."))</f>
        <v>0</v>
      </c>
      <c r="M1797" s="16">
        <f>IF(NOT(Paths!$C$169=1),0,IF(Paths!$P$169="Complete",IF(AND(Paths!$D$169="EV",Paths!$E$169&lt;120,Paths!$E$169+'Operating costs'!$B$65&gt;Paths!$E$169,Paths!$E$169+'Operating costs'!$B$65&lt;=120,IF(Paths!$E$169+'Operating costs'!$B$65=0,C1797=0,AND(C1797&gt;0,Paths!$E$169+'Operating costs'!$B$65&gt;(C1797-1)*12,Paths!$E$169+'Operating costs'!$B$65&lt;=C1797*12))),'Operating costs'!$B$64,0)+IF(AND('Operating costs'!$B$67&gt;0,'Operating costs'!$B$67&lt;=120,OR(Paths!$D$169="ICE",'Operating costs'!$B$67&lt;=Paths!$E$169),IF('Operating costs'!$B$67=0,C1797=0,AND(C1797&gt;0,'Operating costs'!$B$67&gt;(C1797-1)*12,'Operating costs'!$B$67&lt;=C1797*12))),'Operating costs'!$B$66,0),"n.a."))</f>
        <v>0</v>
      </c>
      <c r="N1797" s="16">
        <f>IF(NOT(Paths!$C$169=1),0,IF(Paths!$P$169="Complete",SUM(G1797:I1797)-J1797-K1797-L1797+M1797+IF(C1797=0,Paths!$F$169,0)+IF(IF(Paths!$E$169=0,C1797=0,AND(C1797&gt;0,Paths!$E$169&gt;(C1797-1)*12,Paths!$E$169&lt;=C1797*12)),VLOOKUP(A1797,'Fleet register'!$A$7:$S$106,16,FALSE),0),"n.a."))</f>
        <v>0</v>
      </c>
      <c r="O1797" s="16">
        <f>IF(NOT(Paths!$C$169=1),0,IF(Paths!$P$169="Complete",N1797-IF(C1797=0,Paths!$F$169,0),"n.a."))</f>
        <v>0</v>
      </c>
      <c r="P1797" s="16">
        <f>IF(NOT(Paths!$C$169=1),0,IF(Paths!$P$169="Complete",O1797+L1797,"n.a."))</f>
        <v>0</v>
      </c>
      <c r="Q1797" s="16">
        <f>IF(NOT(Paths!$C$169=1),0,IF(Paths!$P$169="Complete",N1797*(1+'Operating costs'!$B$54)^-C1797,"n.a."))</f>
        <v>0</v>
      </c>
      <c r="R1797" s="16">
        <f>IF(NOT(Paths!$C$169=1),0,IF(Paths!$P$169="Complete",IF(AND(C1797=0,Paths!$E$169=0),I1797-J1797-K1797+VLOOKUP(A1797,'Fleet register'!$A$7:$S$106,15,FALSE)+VLOOKUP(A1797,'Fleet register'!$A$7:$S$106,16,FALSE),0),"n.a."))</f>
        <v>0</v>
      </c>
      <c r="S1797" s="1">
        <f>IF(NOT(Paths!$C$169=1),0,IF(Paths!$P$169="Complete",IF(C1797=0,0,Paths!$S$169*Paths!$R$169),"n.a."))</f>
        <v>0</v>
      </c>
      <c r="T1797" s="1">
        <f>IF(NOT(Paths!$C$169=1),0,IF(Paths!$P$169="Complete",IF(C1797=0,0,VLOOKUP(A1797,'Fleet register'!$A$7:$S$106,9,FALSE)*Paths!$R$169),"n.a."))</f>
        <v>0</v>
      </c>
    </row>
    <row r="1798" spans="1:20" ht="24" customHeight="1">
      <c r="A1798" s="1" t="str">
        <f>Paths!$A$169</f>
        <v>T041</v>
      </c>
      <c r="B1798" s="1">
        <f>Paths!$B$169</f>
        <v>2</v>
      </c>
      <c r="C1798" s="1">
        <v>9</v>
      </c>
      <c r="D1798" s="1">
        <v>169</v>
      </c>
      <c r="E1798" s="1">
        <f>IF(OR(Paths!$C$169=0,C1798=0),0,MAX(0,MIN(C1798*12,Paths!$E$169)-(C1798-1)*12))</f>
        <v>0</v>
      </c>
      <c r="F1798" s="1">
        <f>IF(OR(Paths!$C$169=0,C1798=0),0,12-E1798)</f>
        <v>0</v>
      </c>
      <c r="G1798" s="16">
        <f>IF(NOT(Paths!$C$169=1),0,IF(Paths!$P$169="Complete",E1798/12*(Paths!$J$169*(1+'Operating costs'!$B$51)^MAX(0,C1798-1)+Paths!$K$169*(1+'Operating costs'!$B$53)^MAX(0,C1798-1)),"n.a."))</f>
        <v>0</v>
      </c>
      <c r="H1798" s="16">
        <f>IF(NOT(Paths!$C$169=1),0,IF(Paths!$P$169="Complete",F1798/12*(Paths!$L$169*(1+IF(Paths!$D$169="EV",'Operating costs'!$B$52,'Operating costs'!$B$51))^MAX(0,C1798-1)+Paths!$M$169*(1+'Operating costs'!$B$53)^MAX(0,C1798-1)),"n.a."))</f>
        <v>0</v>
      </c>
      <c r="I1798" s="16">
        <f>IF(NOT(Paths!$C$169=1),0,IF(Paths!$P$169="Complete",IF(IF(Paths!$E$169=0,C1798=0,AND(C1798&gt;0,Paths!$E$169&gt;(C1798-1)*12,Paths!$E$169&lt;=C1798*12)),Paths!$G$169,0),"n.a."))</f>
        <v>0</v>
      </c>
      <c r="J1798" s="16">
        <f>IF(NOT(Paths!$C$169=1),0,IF(Paths!$P$169="Complete",IF(IF(Paths!$E$169=0,C1798=0,AND(C1798&gt;0,Paths!$E$169&gt;(C1798-1)*12,Paths!$E$169&lt;=C1798*12)),Paths!$H$169,0),"n.a."))</f>
        <v>0</v>
      </c>
      <c r="K1798" s="16">
        <f>IF(NOT(Paths!$C$169=1),0,IF(Paths!$P$169="Complete",IF(IF(Paths!$O$169=0,C1798=0,AND(C1798&gt;0,Paths!$O$169&gt;(C1798-1)*12,Paths!$O$169&lt;=C1798*12)),Paths!$N$169,0),"n.a."))</f>
        <v>0</v>
      </c>
      <c r="L1798" s="16">
        <f>IF(NOT(Paths!$C$169=1),0,IF(Paths!$P$169="Complete",IF(C1798=10,Paths!$I$169,0),"n.a."))</f>
        <v>0</v>
      </c>
      <c r="M1798" s="16">
        <f>IF(NOT(Paths!$C$169=1),0,IF(Paths!$P$169="Complete",IF(AND(Paths!$D$169="EV",Paths!$E$169&lt;120,Paths!$E$169+'Operating costs'!$B$65&gt;Paths!$E$169,Paths!$E$169+'Operating costs'!$B$65&lt;=120,IF(Paths!$E$169+'Operating costs'!$B$65=0,C1798=0,AND(C1798&gt;0,Paths!$E$169+'Operating costs'!$B$65&gt;(C1798-1)*12,Paths!$E$169+'Operating costs'!$B$65&lt;=C1798*12))),'Operating costs'!$B$64,0)+IF(AND('Operating costs'!$B$67&gt;0,'Operating costs'!$B$67&lt;=120,OR(Paths!$D$169="ICE",'Operating costs'!$B$67&lt;=Paths!$E$169),IF('Operating costs'!$B$67=0,C1798=0,AND(C1798&gt;0,'Operating costs'!$B$67&gt;(C1798-1)*12,'Operating costs'!$B$67&lt;=C1798*12))),'Operating costs'!$B$66,0),"n.a."))</f>
        <v>0</v>
      </c>
      <c r="N1798" s="16">
        <f>IF(NOT(Paths!$C$169=1),0,IF(Paths!$P$169="Complete",SUM(G1798:I1798)-J1798-K1798-L1798+M1798+IF(C1798=0,Paths!$F$169,0)+IF(IF(Paths!$E$169=0,C1798=0,AND(C1798&gt;0,Paths!$E$169&gt;(C1798-1)*12,Paths!$E$169&lt;=C1798*12)),VLOOKUP(A1798,'Fleet register'!$A$7:$S$106,16,FALSE),0),"n.a."))</f>
        <v>0</v>
      </c>
      <c r="O1798" s="16">
        <f>IF(NOT(Paths!$C$169=1),0,IF(Paths!$P$169="Complete",N1798-IF(C1798=0,Paths!$F$169,0),"n.a."))</f>
        <v>0</v>
      </c>
      <c r="P1798" s="16">
        <f>IF(NOT(Paths!$C$169=1),0,IF(Paths!$P$169="Complete",O1798+L1798,"n.a."))</f>
        <v>0</v>
      </c>
      <c r="Q1798" s="16">
        <f>IF(NOT(Paths!$C$169=1),0,IF(Paths!$P$169="Complete",N1798*(1+'Operating costs'!$B$54)^-C1798,"n.a."))</f>
        <v>0</v>
      </c>
      <c r="R1798" s="16">
        <f>IF(NOT(Paths!$C$169=1),0,IF(Paths!$P$169="Complete",IF(AND(C1798=0,Paths!$E$169=0),I1798-J1798-K1798+VLOOKUP(A1798,'Fleet register'!$A$7:$S$106,15,FALSE)+VLOOKUP(A1798,'Fleet register'!$A$7:$S$106,16,FALSE),0),"n.a."))</f>
        <v>0</v>
      </c>
      <c r="S1798" s="1">
        <f>IF(NOT(Paths!$C$169=1),0,IF(Paths!$P$169="Complete",IF(C1798=0,0,Paths!$S$169*Paths!$R$169),"n.a."))</f>
        <v>0</v>
      </c>
      <c r="T1798" s="1">
        <f>IF(NOT(Paths!$C$169=1),0,IF(Paths!$P$169="Complete",IF(C1798=0,0,VLOOKUP(A1798,'Fleet register'!$A$7:$S$106,9,FALSE)*Paths!$R$169),"n.a."))</f>
        <v>0</v>
      </c>
    </row>
    <row r="1799" spans="1:20" ht="24" customHeight="1">
      <c r="A1799" s="1" t="str">
        <f>Paths!$A$169</f>
        <v>T041</v>
      </c>
      <c r="B1799" s="1">
        <f>Paths!$B$169</f>
        <v>2</v>
      </c>
      <c r="C1799" s="1">
        <v>10</v>
      </c>
      <c r="D1799" s="1">
        <v>169</v>
      </c>
      <c r="E1799" s="1">
        <f>IF(OR(Paths!$C$169=0,C1799=0),0,MAX(0,MIN(C1799*12,Paths!$E$169)-(C1799-1)*12))</f>
        <v>0</v>
      </c>
      <c r="F1799" s="1">
        <f>IF(OR(Paths!$C$169=0,C1799=0),0,12-E1799)</f>
        <v>0</v>
      </c>
      <c r="G1799" s="16">
        <f>IF(NOT(Paths!$C$169=1),0,IF(Paths!$P$169="Complete",E1799/12*(Paths!$J$169*(1+'Operating costs'!$B$51)^MAX(0,C1799-1)+Paths!$K$169*(1+'Operating costs'!$B$53)^MAX(0,C1799-1)),"n.a."))</f>
        <v>0</v>
      </c>
      <c r="H1799" s="16">
        <f>IF(NOT(Paths!$C$169=1),0,IF(Paths!$P$169="Complete",F1799/12*(Paths!$L$169*(1+IF(Paths!$D$169="EV",'Operating costs'!$B$52,'Operating costs'!$B$51))^MAX(0,C1799-1)+Paths!$M$169*(1+'Operating costs'!$B$53)^MAX(0,C1799-1)),"n.a."))</f>
        <v>0</v>
      </c>
      <c r="I1799" s="16">
        <f>IF(NOT(Paths!$C$169=1),0,IF(Paths!$P$169="Complete",IF(IF(Paths!$E$169=0,C1799=0,AND(C1799&gt;0,Paths!$E$169&gt;(C1799-1)*12,Paths!$E$169&lt;=C1799*12)),Paths!$G$169,0),"n.a."))</f>
        <v>0</v>
      </c>
      <c r="J1799" s="16">
        <f>IF(NOT(Paths!$C$169=1),0,IF(Paths!$P$169="Complete",IF(IF(Paths!$E$169=0,C1799=0,AND(C1799&gt;0,Paths!$E$169&gt;(C1799-1)*12,Paths!$E$169&lt;=C1799*12)),Paths!$H$169,0),"n.a."))</f>
        <v>0</v>
      </c>
      <c r="K1799" s="16">
        <f>IF(NOT(Paths!$C$169=1),0,IF(Paths!$P$169="Complete",IF(IF(Paths!$O$169=0,C1799=0,AND(C1799&gt;0,Paths!$O$169&gt;(C1799-1)*12,Paths!$O$169&lt;=C1799*12)),Paths!$N$169,0),"n.a."))</f>
        <v>0</v>
      </c>
      <c r="L1799" s="16">
        <f>IF(NOT(Paths!$C$169=1),0,IF(Paths!$P$169="Complete",IF(C1799=10,Paths!$I$169,0),"n.a."))</f>
        <v>0</v>
      </c>
      <c r="M1799" s="16">
        <f>IF(NOT(Paths!$C$169=1),0,IF(Paths!$P$169="Complete",IF(AND(Paths!$D$169="EV",Paths!$E$169&lt;120,Paths!$E$169+'Operating costs'!$B$65&gt;Paths!$E$169,Paths!$E$169+'Operating costs'!$B$65&lt;=120,IF(Paths!$E$169+'Operating costs'!$B$65=0,C1799=0,AND(C1799&gt;0,Paths!$E$169+'Operating costs'!$B$65&gt;(C1799-1)*12,Paths!$E$169+'Operating costs'!$B$65&lt;=C1799*12))),'Operating costs'!$B$64,0)+IF(AND('Operating costs'!$B$67&gt;0,'Operating costs'!$B$67&lt;=120,OR(Paths!$D$169="ICE",'Operating costs'!$B$67&lt;=Paths!$E$169),IF('Operating costs'!$B$67=0,C1799=0,AND(C1799&gt;0,'Operating costs'!$B$67&gt;(C1799-1)*12,'Operating costs'!$B$67&lt;=C1799*12))),'Operating costs'!$B$66,0),"n.a."))</f>
        <v>0</v>
      </c>
      <c r="N1799" s="16">
        <f>IF(NOT(Paths!$C$169=1),0,IF(Paths!$P$169="Complete",SUM(G1799:I1799)-J1799-K1799-L1799+M1799+IF(C1799=0,Paths!$F$169,0)+IF(IF(Paths!$E$169=0,C1799=0,AND(C1799&gt;0,Paths!$E$169&gt;(C1799-1)*12,Paths!$E$169&lt;=C1799*12)),VLOOKUP(A1799,'Fleet register'!$A$7:$S$106,16,FALSE),0),"n.a."))</f>
        <v>0</v>
      </c>
      <c r="O1799" s="16">
        <f>IF(NOT(Paths!$C$169=1),0,IF(Paths!$P$169="Complete",N1799-IF(C1799=0,Paths!$F$169,0),"n.a."))</f>
        <v>0</v>
      </c>
      <c r="P1799" s="16">
        <f>IF(NOT(Paths!$C$169=1),0,IF(Paths!$P$169="Complete",O1799+L1799,"n.a."))</f>
        <v>0</v>
      </c>
      <c r="Q1799" s="16">
        <f>IF(NOT(Paths!$C$169=1),0,IF(Paths!$P$169="Complete",N1799*(1+'Operating costs'!$B$54)^-C1799,"n.a."))</f>
        <v>0</v>
      </c>
      <c r="R1799" s="16">
        <f>IF(NOT(Paths!$C$169=1),0,IF(Paths!$P$169="Complete",IF(AND(C1799=0,Paths!$E$169=0),I1799-J1799-K1799+VLOOKUP(A1799,'Fleet register'!$A$7:$S$106,15,FALSE)+VLOOKUP(A1799,'Fleet register'!$A$7:$S$106,16,FALSE),0),"n.a."))</f>
        <v>0</v>
      </c>
      <c r="S1799" s="1">
        <f>IF(NOT(Paths!$C$169=1),0,IF(Paths!$P$169="Complete",IF(C1799=0,0,Paths!$S$169*Paths!$R$169),"n.a."))</f>
        <v>0</v>
      </c>
      <c r="T1799" s="1">
        <f>IF(NOT(Paths!$C$169=1),0,IF(Paths!$P$169="Complete",IF(C1799=0,0,VLOOKUP(A1799,'Fleet register'!$A$7:$S$106,9,FALSE)*Paths!$R$169),"n.a."))</f>
        <v>0</v>
      </c>
    </row>
    <row r="1800" spans="1:20" ht="24" customHeight="1">
      <c r="A1800" s="1" t="str">
        <f>Paths!$A$170</f>
        <v>T041</v>
      </c>
      <c r="B1800" s="1">
        <f>Paths!$B$170</f>
        <v>3</v>
      </c>
      <c r="C1800" s="1">
        <v>0</v>
      </c>
      <c r="D1800" s="1">
        <v>170</v>
      </c>
      <c r="E1800" s="1">
        <f>IF(OR(Paths!$C$170=0,C1800=0),0,MAX(0,MIN(C1800*12,Paths!$E$170)-(C1800-1)*12))</f>
        <v>0</v>
      </c>
      <c r="F1800" s="1">
        <f>IF(OR(Paths!$C$170=0,C1800=0),0,12-E1800)</f>
        <v>0</v>
      </c>
      <c r="G1800" s="16">
        <f>IF(NOT(Paths!$C$170=1),0,IF(Paths!$P$170="Complete",E1800/12*(Paths!$J$170*(1+'Operating costs'!$B$51)^MAX(0,C1800-1)+Paths!$K$170*(1+'Operating costs'!$B$53)^MAX(0,C1800-1)),"n.a."))</f>
        <v>0</v>
      </c>
      <c r="H1800" s="16">
        <f>IF(NOT(Paths!$C$170=1),0,IF(Paths!$P$170="Complete",F1800/12*(Paths!$L$170*(1+IF(Paths!$D$170="EV",'Operating costs'!$B$52,'Operating costs'!$B$51))^MAX(0,C1800-1)+Paths!$M$170*(1+'Operating costs'!$B$53)^MAX(0,C1800-1)),"n.a."))</f>
        <v>0</v>
      </c>
      <c r="I1800" s="16">
        <f>IF(NOT(Paths!$C$170=1),0,IF(Paths!$P$170="Complete",IF(IF(Paths!$E$170=0,C1800=0,AND(C1800&gt;0,Paths!$E$170&gt;(C1800-1)*12,Paths!$E$170&lt;=C1800*12)),Paths!$G$170,0),"n.a."))</f>
        <v>0</v>
      </c>
      <c r="J1800" s="16">
        <f>IF(NOT(Paths!$C$170=1),0,IF(Paths!$P$170="Complete",IF(IF(Paths!$E$170=0,C1800=0,AND(C1800&gt;0,Paths!$E$170&gt;(C1800-1)*12,Paths!$E$170&lt;=C1800*12)),Paths!$H$170,0),"n.a."))</f>
        <v>0</v>
      </c>
      <c r="K1800" s="16">
        <f>IF(NOT(Paths!$C$170=1),0,IF(Paths!$P$170="Complete",IF(IF(Paths!$O$170=0,C1800=0,AND(C1800&gt;0,Paths!$O$170&gt;(C1800-1)*12,Paths!$O$170&lt;=C1800*12)),Paths!$N$170,0),"n.a."))</f>
        <v>0</v>
      </c>
      <c r="L1800" s="16">
        <f>IF(NOT(Paths!$C$170=1),0,IF(Paths!$P$170="Complete",IF(C1800=10,Paths!$I$170,0),"n.a."))</f>
        <v>0</v>
      </c>
      <c r="M1800" s="16">
        <f>IF(NOT(Paths!$C$170=1),0,IF(Paths!$P$170="Complete",IF(AND(Paths!$D$170="EV",Paths!$E$170&lt;120,Paths!$E$170+'Operating costs'!$B$65&gt;Paths!$E$170,Paths!$E$170+'Operating costs'!$B$65&lt;=120,IF(Paths!$E$170+'Operating costs'!$B$65=0,C1800=0,AND(C1800&gt;0,Paths!$E$170+'Operating costs'!$B$65&gt;(C1800-1)*12,Paths!$E$170+'Operating costs'!$B$65&lt;=C1800*12))),'Operating costs'!$B$64,0)+IF(AND('Operating costs'!$B$67&gt;0,'Operating costs'!$B$67&lt;=120,OR(Paths!$D$170="ICE",'Operating costs'!$B$67&lt;=Paths!$E$170),IF('Operating costs'!$B$67=0,C1800=0,AND(C1800&gt;0,'Operating costs'!$B$67&gt;(C1800-1)*12,'Operating costs'!$B$67&lt;=C1800*12))),'Operating costs'!$B$66,0),"n.a."))</f>
        <v>0</v>
      </c>
      <c r="N1800" s="16">
        <f>IF(NOT(Paths!$C$170=1),0,IF(Paths!$P$170="Complete",SUM(G1800:I1800)-J1800-K1800-L1800+M1800+IF(C1800=0,Paths!$F$170,0)+IF(IF(Paths!$E$170=0,C1800=0,AND(C1800&gt;0,Paths!$E$170&gt;(C1800-1)*12,Paths!$E$170&lt;=C1800*12)),VLOOKUP(A1800,'Fleet register'!$A$7:$S$106,16,FALSE),0),"n.a."))</f>
        <v>0</v>
      </c>
      <c r="O1800" s="16">
        <f>IF(NOT(Paths!$C$170=1),0,IF(Paths!$P$170="Complete",N1800-IF(C1800=0,Paths!$F$170,0),"n.a."))</f>
        <v>0</v>
      </c>
      <c r="P1800" s="16">
        <f>IF(NOT(Paths!$C$170=1),0,IF(Paths!$P$170="Complete",O1800+L1800,"n.a."))</f>
        <v>0</v>
      </c>
      <c r="Q1800" s="16">
        <f>IF(NOT(Paths!$C$170=1),0,IF(Paths!$P$170="Complete",N1800*(1+'Operating costs'!$B$54)^-C1800,"n.a."))</f>
        <v>0</v>
      </c>
      <c r="R1800" s="16">
        <f>IF(NOT(Paths!$C$170=1),0,IF(Paths!$P$170="Complete",IF(AND(C1800=0,Paths!$E$170=0),I1800-J1800-K1800+VLOOKUP(A1800,'Fleet register'!$A$7:$S$106,15,FALSE)+VLOOKUP(A1800,'Fleet register'!$A$7:$S$106,16,FALSE),0),"n.a."))</f>
        <v>0</v>
      </c>
      <c r="S1800" s="1">
        <f>IF(NOT(Paths!$C$170=1),0,IF(Paths!$P$170="Complete",IF(C1800=0,0,Paths!$S$170*Paths!$R$170),"n.a."))</f>
        <v>0</v>
      </c>
      <c r="T1800" s="1">
        <f>IF(NOT(Paths!$C$170=1),0,IF(Paths!$P$170="Complete",IF(C1800=0,0,VLOOKUP(A1800,'Fleet register'!$A$7:$S$106,9,FALSE)*Paths!$R$170),"n.a."))</f>
        <v>0</v>
      </c>
    </row>
    <row r="1801" spans="1:20" ht="24" customHeight="1">
      <c r="A1801" s="1" t="str">
        <f>Paths!$A$170</f>
        <v>T041</v>
      </c>
      <c r="B1801" s="1">
        <f>Paths!$B$170</f>
        <v>3</v>
      </c>
      <c r="C1801" s="1">
        <v>1</v>
      </c>
      <c r="D1801" s="1">
        <v>170</v>
      </c>
      <c r="E1801" s="1">
        <f>IF(OR(Paths!$C$170=0,C1801=0),0,MAX(0,MIN(C1801*12,Paths!$E$170)-(C1801-1)*12))</f>
        <v>0</v>
      </c>
      <c r="F1801" s="1">
        <f>IF(OR(Paths!$C$170=0,C1801=0),0,12-E1801)</f>
        <v>0</v>
      </c>
      <c r="G1801" s="16">
        <f>IF(NOT(Paths!$C$170=1),0,IF(Paths!$P$170="Complete",E1801/12*(Paths!$J$170*(1+'Operating costs'!$B$51)^MAX(0,C1801-1)+Paths!$K$170*(1+'Operating costs'!$B$53)^MAX(0,C1801-1)),"n.a."))</f>
        <v>0</v>
      </c>
      <c r="H1801" s="16">
        <f>IF(NOT(Paths!$C$170=1),0,IF(Paths!$P$170="Complete",F1801/12*(Paths!$L$170*(1+IF(Paths!$D$170="EV",'Operating costs'!$B$52,'Operating costs'!$B$51))^MAX(0,C1801-1)+Paths!$M$170*(1+'Operating costs'!$B$53)^MAX(0,C1801-1)),"n.a."))</f>
        <v>0</v>
      </c>
      <c r="I1801" s="16">
        <f>IF(NOT(Paths!$C$170=1),0,IF(Paths!$P$170="Complete",IF(IF(Paths!$E$170=0,C1801=0,AND(C1801&gt;0,Paths!$E$170&gt;(C1801-1)*12,Paths!$E$170&lt;=C1801*12)),Paths!$G$170,0),"n.a."))</f>
        <v>0</v>
      </c>
      <c r="J1801" s="16">
        <f>IF(NOT(Paths!$C$170=1),0,IF(Paths!$P$170="Complete",IF(IF(Paths!$E$170=0,C1801=0,AND(C1801&gt;0,Paths!$E$170&gt;(C1801-1)*12,Paths!$E$170&lt;=C1801*12)),Paths!$H$170,0),"n.a."))</f>
        <v>0</v>
      </c>
      <c r="K1801" s="16">
        <f>IF(NOT(Paths!$C$170=1),0,IF(Paths!$P$170="Complete",IF(IF(Paths!$O$170=0,C1801=0,AND(C1801&gt;0,Paths!$O$170&gt;(C1801-1)*12,Paths!$O$170&lt;=C1801*12)),Paths!$N$170,0),"n.a."))</f>
        <v>0</v>
      </c>
      <c r="L1801" s="16">
        <f>IF(NOT(Paths!$C$170=1),0,IF(Paths!$P$170="Complete",IF(C1801=10,Paths!$I$170,0),"n.a."))</f>
        <v>0</v>
      </c>
      <c r="M1801" s="16">
        <f>IF(NOT(Paths!$C$170=1),0,IF(Paths!$P$170="Complete",IF(AND(Paths!$D$170="EV",Paths!$E$170&lt;120,Paths!$E$170+'Operating costs'!$B$65&gt;Paths!$E$170,Paths!$E$170+'Operating costs'!$B$65&lt;=120,IF(Paths!$E$170+'Operating costs'!$B$65=0,C1801=0,AND(C1801&gt;0,Paths!$E$170+'Operating costs'!$B$65&gt;(C1801-1)*12,Paths!$E$170+'Operating costs'!$B$65&lt;=C1801*12))),'Operating costs'!$B$64,0)+IF(AND('Operating costs'!$B$67&gt;0,'Operating costs'!$B$67&lt;=120,OR(Paths!$D$170="ICE",'Operating costs'!$B$67&lt;=Paths!$E$170),IF('Operating costs'!$B$67=0,C1801=0,AND(C1801&gt;0,'Operating costs'!$B$67&gt;(C1801-1)*12,'Operating costs'!$B$67&lt;=C1801*12))),'Operating costs'!$B$66,0),"n.a."))</f>
        <v>0</v>
      </c>
      <c r="N1801" s="16">
        <f>IF(NOT(Paths!$C$170=1),0,IF(Paths!$P$170="Complete",SUM(G1801:I1801)-J1801-K1801-L1801+M1801+IF(C1801=0,Paths!$F$170,0)+IF(IF(Paths!$E$170=0,C1801=0,AND(C1801&gt;0,Paths!$E$170&gt;(C1801-1)*12,Paths!$E$170&lt;=C1801*12)),VLOOKUP(A1801,'Fleet register'!$A$7:$S$106,16,FALSE),0),"n.a."))</f>
        <v>0</v>
      </c>
      <c r="O1801" s="16">
        <f>IF(NOT(Paths!$C$170=1),0,IF(Paths!$P$170="Complete",N1801-IF(C1801=0,Paths!$F$170,0),"n.a."))</f>
        <v>0</v>
      </c>
      <c r="P1801" s="16">
        <f>IF(NOT(Paths!$C$170=1),0,IF(Paths!$P$170="Complete",O1801+L1801,"n.a."))</f>
        <v>0</v>
      </c>
      <c r="Q1801" s="16">
        <f>IF(NOT(Paths!$C$170=1),0,IF(Paths!$P$170="Complete",N1801*(1+'Operating costs'!$B$54)^-C1801,"n.a."))</f>
        <v>0</v>
      </c>
      <c r="R1801" s="16">
        <f>IF(NOT(Paths!$C$170=1),0,IF(Paths!$P$170="Complete",IF(AND(C1801=0,Paths!$E$170=0),I1801-J1801-K1801+VLOOKUP(A1801,'Fleet register'!$A$7:$S$106,15,FALSE)+VLOOKUP(A1801,'Fleet register'!$A$7:$S$106,16,FALSE),0),"n.a."))</f>
        <v>0</v>
      </c>
      <c r="S1801" s="1">
        <f>IF(NOT(Paths!$C$170=1),0,IF(Paths!$P$170="Complete",IF(C1801=0,0,Paths!$S$170*Paths!$R$170),"n.a."))</f>
        <v>0</v>
      </c>
      <c r="T1801" s="1">
        <f>IF(NOT(Paths!$C$170=1),0,IF(Paths!$P$170="Complete",IF(C1801=0,0,VLOOKUP(A1801,'Fleet register'!$A$7:$S$106,9,FALSE)*Paths!$R$170),"n.a."))</f>
        <v>0</v>
      </c>
    </row>
    <row r="1802" spans="1:20" ht="24" customHeight="1">
      <c r="A1802" s="1" t="str">
        <f>Paths!$A$170</f>
        <v>T041</v>
      </c>
      <c r="B1802" s="1">
        <f>Paths!$B$170</f>
        <v>3</v>
      </c>
      <c r="C1802" s="1">
        <v>2</v>
      </c>
      <c r="D1802" s="1">
        <v>170</v>
      </c>
      <c r="E1802" s="1">
        <f>IF(OR(Paths!$C$170=0,C1802=0),0,MAX(0,MIN(C1802*12,Paths!$E$170)-(C1802-1)*12))</f>
        <v>0</v>
      </c>
      <c r="F1802" s="1">
        <f>IF(OR(Paths!$C$170=0,C1802=0),0,12-E1802)</f>
        <v>0</v>
      </c>
      <c r="G1802" s="16">
        <f>IF(NOT(Paths!$C$170=1),0,IF(Paths!$P$170="Complete",E1802/12*(Paths!$J$170*(1+'Operating costs'!$B$51)^MAX(0,C1802-1)+Paths!$K$170*(1+'Operating costs'!$B$53)^MAX(0,C1802-1)),"n.a."))</f>
        <v>0</v>
      </c>
      <c r="H1802" s="16">
        <f>IF(NOT(Paths!$C$170=1),0,IF(Paths!$P$170="Complete",F1802/12*(Paths!$L$170*(1+IF(Paths!$D$170="EV",'Operating costs'!$B$52,'Operating costs'!$B$51))^MAX(0,C1802-1)+Paths!$M$170*(1+'Operating costs'!$B$53)^MAX(0,C1802-1)),"n.a."))</f>
        <v>0</v>
      </c>
      <c r="I1802" s="16">
        <f>IF(NOT(Paths!$C$170=1),0,IF(Paths!$P$170="Complete",IF(IF(Paths!$E$170=0,C1802=0,AND(C1802&gt;0,Paths!$E$170&gt;(C1802-1)*12,Paths!$E$170&lt;=C1802*12)),Paths!$G$170,0),"n.a."))</f>
        <v>0</v>
      </c>
      <c r="J1802" s="16">
        <f>IF(NOT(Paths!$C$170=1),0,IF(Paths!$P$170="Complete",IF(IF(Paths!$E$170=0,C1802=0,AND(C1802&gt;0,Paths!$E$170&gt;(C1802-1)*12,Paths!$E$170&lt;=C1802*12)),Paths!$H$170,0),"n.a."))</f>
        <v>0</v>
      </c>
      <c r="K1802" s="16">
        <f>IF(NOT(Paths!$C$170=1),0,IF(Paths!$P$170="Complete",IF(IF(Paths!$O$170=0,C1802=0,AND(C1802&gt;0,Paths!$O$170&gt;(C1802-1)*12,Paths!$O$170&lt;=C1802*12)),Paths!$N$170,0),"n.a."))</f>
        <v>0</v>
      </c>
      <c r="L1802" s="16">
        <f>IF(NOT(Paths!$C$170=1),0,IF(Paths!$P$170="Complete",IF(C1802=10,Paths!$I$170,0),"n.a."))</f>
        <v>0</v>
      </c>
      <c r="M1802" s="16">
        <f>IF(NOT(Paths!$C$170=1),0,IF(Paths!$P$170="Complete",IF(AND(Paths!$D$170="EV",Paths!$E$170&lt;120,Paths!$E$170+'Operating costs'!$B$65&gt;Paths!$E$170,Paths!$E$170+'Operating costs'!$B$65&lt;=120,IF(Paths!$E$170+'Operating costs'!$B$65=0,C1802=0,AND(C1802&gt;0,Paths!$E$170+'Operating costs'!$B$65&gt;(C1802-1)*12,Paths!$E$170+'Operating costs'!$B$65&lt;=C1802*12))),'Operating costs'!$B$64,0)+IF(AND('Operating costs'!$B$67&gt;0,'Operating costs'!$B$67&lt;=120,OR(Paths!$D$170="ICE",'Operating costs'!$B$67&lt;=Paths!$E$170),IF('Operating costs'!$B$67=0,C1802=0,AND(C1802&gt;0,'Operating costs'!$B$67&gt;(C1802-1)*12,'Operating costs'!$B$67&lt;=C1802*12))),'Operating costs'!$B$66,0),"n.a."))</f>
        <v>0</v>
      </c>
      <c r="N1802" s="16">
        <f>IF(NOT(Paths!$C$170=1),0,IF(Paths!$P$170="Complete",SUM(G1802:I1802)-J1802-K1802-L1802+M1802+IF(C1802=0,Paths!$F$170,0)+IF(IF(Paths!$E$170=0,C1802=0,AND(C1802&gt;0,Paths!$E$170&gt;(C1802-1)*12,Paths!$E$170&lt;=C1802*12)),VLOOKUP(A1802,'Fleet register'!$A$7:$S$106,16,FALSE),0),"n.a."))</f>
        <v>0</v>
      </c>
      <c r="O1802" s="16">
        <f>IF(NOT(Paths!$C$170=1),0,IF(Paths!$P$170="Complete",N1802-IF(C1802=0,Paths!$F$170,0),"n.a."))</f>
        <v>0</v>
      </c>
      <c r="P1802" s="16">
        <f>IF(NOT(Paths!$C$170=1),0,IF(Paths!$P$170="Complete",O1802+L1802,"n.a."))</f>
        <v>0</v>
      </c>
      <c r="Q1802" s="16">
        <f>IF(NOT(Paths!$C$170=1),0,IF(Paths!$P$170="Complete",N1802*(1+'Operating costs'!$B$54)^-C1802,"n.a."))</f>
        <v>0</v>
      </c>
      <c r="R1802" s="16">
        <f>IF(NOT(Paths!$C$170=1),0,IF(Paths!$P$170="Complete",IF(AND(C1802=0,Paths!$E$170=0),I1802-J1802-K1802+VLOOKUP(A1802,'Fleet register'!$A$7:$S$106,15,FALSE)+VLOOKUP(A1802,'Fleet register'!$A$7:$S$106,16,FALSE),0),"n.a."))</f>
        <v>0</v>
      </c>
      <c r="S1802" s="1">
        <f>IF(NOT(Paths!$C$170=1),0,IF(Paths!$P$170="Complete",IF(C1802=0,0,Paths!$S$170*Paths!$R$170),"n.a."))</f>
        <v>0</v>
      </c>
      <c r="T1802" s="1">
        <f>IF(NOT(Paths!$C$170=1),0,IF(Paths!$P$170="Complete",IF(C1802=0,0,VLOOKUP(A1802,'Fleet register'!$A$7:$S$106,9,FALSE)*Paths!$R$170),"n.a."))</f>
        <v>0</v>
      </c>
    </row>
    <row r="1803" spans="1:20" ht="24" customHeight="1">
      <c r="A1803" s="1" t="str">
        <f>Paths!$A$170</f>
        <v>T041</v>
      </c>
      <c r="B1803" s="1">
        <f>Paths!$B$170</f>
        <v>3</v>
      </c>
      <c r="C1803" s="1">
        <v>3</v>
      </c>
      <c r="D1803" s="1">
        <v>170</v>
      </c>
      <c r="E1803" s="1">
        <f>IF(OR(Paths!$C$170=0,C1803=0),0,MAX(0,MIN(C1803*12,Paths!$E$170)-(C1803-1)*12))</f>
        <v>0</v>
      </c>
      <c r="F1803" s="1">
        <f>IF(OR(Paths!$C$170=0,C1803=0),0,12-E1803)</f>
        <v>0</v>
      </c>
      <c r="G1803" s="16">
        <f>IF(NOT(Paths!$C$170=1),0,IF(Paths!$P$170="Complete",E1803/12*(Paths!$J$170*(1+'Operating costs'!$B$51)^MAX(0,C1803-1)+Paths!$K$170*(1+'Operating costs'!$B$53)^MAX(0,C1803-1)),"n.a."))</f>
        <v>0</v>
      </c>
      <c r="H1803" s="16">
        <f>IF(NOT(Paths!$C$170=1),0,IF(Paths!$P$170="Complete",F1803/12*(Paths!$L$170*(1+IF(Paths!$D$170="EV",'Operating costs'!$B$52,'Operating costs'!$B$51))^MAX(0,C1803-1)+Paths!$M$170*(1+'Operating costs'!$B$53)^MAX(0,C1803-1)),"n.a."))</f>
        <v>0</v>
      </c>
      <c r="I1803" s="16">
        <f>IF(NOT(Paths!$C$170=1),0,IF(Paths!$P$170="Complete",IF(IF(Paths!$E$170=0,C1803=0,AND(C1803&gt;0,Paths!$E$170&gt;(C1803-1)*12,Paths!$E$170&lt;=C1803*12)),Paths!$G$170,0),"n.a."))</f>
        <v>0</v>
      </c>
      <c r="J1803" s="16">
        <f>IF(NOT(Paths!$C$170=1),0,IF(Paths!$P$170="Complete",IF(IF(Paths!$E$170=0,C1803=0,AND(C1803&gt;0,Paths!$E$170&gt;(C1803-1)*12,Paths!$E$170&lt;=C1803*12)),Paths!$H$170,0),"n.a."))</f>
        <v>0</v>
      </c>
      <c r="K1803" s="16">
        <f>IF(NOT(Paths!$C$170=1),0,IF(Paths!$P$170="Complete",IF(IF(Paths!$O$170=0,C1803=0,AND(C1803&gt;0,Paths!$O$170&gt;(C1803-1)*12,Paths!$O$170&lt;=C1803*12)),Paths!$N$170,0),"n.a."))</f>
        <v>0</v>
      </c>
      <c r="L1803" s="16">
        <f>IF(NOT(Paths!$C$170=1),0,IF(Paths!$P$170="Complete",IF(C1803=10,Paths!$I$170,0),"n.a."))</f>
        <v>0</v>
      </c>
      <c r="M1803" s="16">
        <f>IF(NOT(Paths!$C$170=1),0,IF(Paths!$P$170="Complete",IF(AND(Paths!$D$170="EV",Paths!$E$170&lt;120,Paths!$E$170+'Operating costs'!$B$65&gt;Paths!$E$170,Paths!$E$170+'Operating costs'!$B$65&lt;=120,IF(Paths!$E$170+'Operating costs'!$B$65=0,C1803=0,AND(C1803&gt;0,Paths!$E$170+'Operating costs'!$B$65&gt;(C1803-1)*12,Paths!$E$170+'Operating costs'!$B$65&lt;=C1803*12))),'Operating costs'!$B$64,0)+IF(AND('Operating costs'!$B$67&gt;0,'Operating costs'!$B$67&lt;=120,OR(Paths!$D$170="ICE",'Operating costs'!$B$67&lt;=Paths!$E$170),IF('Operating costs'!$B$67=0,C1803=0,AND(C1803&gt;0,'Operating costs'!$B$67&gt;(C1803-1)*12,'Operating costs'!$B$67&lt;=C1803*12))),'Operating costs'!$B$66,0),"n.a."))</f>
        <v>0</v>
      </c>
      <c r="N1803" s="16">
        <f>IF(NOT(Paths!$C$170=1),0,IF(Paths!$P$170="Complete",SUM(G1803:I1803)-J1803-K1803-L1803+M1803+IF(C1803=0,Paths!$F$170,0)+IF(IF(Paths!$E$170=0,C1803=0,AND(C1803&gt;0,Paths!$E$170&gt;(C1803-1)*12,Paths!$E$170&lt;=C1803*12)),VLOOKUP(A1803,'Fleet register'!$A$7:$S$106,16,FALSE),0),"n.a."))</f>
        <v>0</v>
      </c>
      <c r="O1803" s="16">
        <f>IF(NOT(Paths!$C$170=1),0,IF(Paths!$P$170="Complete",N1803-IF(C1803=0,Paths!$F$170,0),"n.a."))</f>
        <v>0</v>
      </c>
      <c r="P1803" s="16">
        <f>IF(NOT(Paths!$C$170=1),0,IF(Paths!$P$170="Complete",O1803+L1803,"n.a."))</f>
        <v>0</v>
      </c>
      <c r="Q1803" s="16">
        <f>IF(NOT(Paths!$C$170=1),0,IF(Paths!$P$170="Complete",N1803*(1+'Operating costs'!$B$54)^-C1803,"n.a."))</f>
        <v>0</v>
      </c>
      <c r="R1803" s="16">
        <f>IF(NOT(Paths!$C$170=1),0,IF(Paths!$P$170="Complete",IF(AND(C1803=0,Paths!$E$170=0),I1803-J1803-K1803+VLOOKUP(A1803,'Fleet register'!$A$7:$S$106,15,FALSE)+VLOOKUP(A1803,'Fleet register'!$A$7:$S$106,16,FALSE),0),"n.a."))</f>
        <v>0</v>
      </c>
      <c r="S1803" s="1">
        <f>IF(NOT(Paths!$C$170=1),0,IF(Paths!$P$170="Complete",IF(C1803=0,0,Paths!$S$170*Paths!$R$170),"n.a."))</f>
        <v>0</v>
      </c>
      <c r="T1803" s="1">
        <f>IF(NOT(Paths!$C$170=1),0,IF(Paths!$P$170="Complete",IF(C1803=0,0,VLOOKUP(A1803,'Fleet register'!$A$7:$S$106,9,FALSE)*Paths!$R$170),"n.a."))</f>
        <v>0</v>
      </c>
    </row>
    <row r="1804" spans="1:20" ht="24" customHeight="1">
      <c r="A1804" s="1" t="str">
        <f>Paths!$A$170</f>
        <v>T041</v>
      </c>
      <c r="B1804" s="1">
        <f>Paths!$B$170</f>
        <v>3</v>
      </c>
      <c r="C1804" s="1">
        <v>4</v>
      </c>
      <c r="D1804" s="1">
        <v>170</v>
      </c>
      <c r="E1804" s="1">
        <f>IF(OR(Paths!$C$170=0,C1804=0),0,MAX(0,MIN(C1804*12,Paths!$E$170)-(C1804-1)*12))</f>
        <v>0</v>
      </c>
      <c r="F1804" s="1">
        <f>IF(OR(Paths!$C$170=0,C1804=0),0,12-E1804)</f>
        <v>0</v>
      </c>
      <c r="G1804" s="16">
        <f>IF(NOT(Paths!$C$170=1),0,IF(Paths!$P$170="Complete",E1804/12*(Paths!$J$170*(1+'Operating costs'!$B$51)^MAX(0,C1804-1)+Paths!$K$170*(1+'Operating costs'!$B$53)^MAX(0,C1804-1)),"n.a."))</f>
        <v>0</v>
      </c>
      <c r="H1804" s="16">
        <f>IF(NOT(Paths!$C$170=1),0,IF(Paths!$P$170="Complete",F1804/12*(Paths!$L$170*(1+IF(Paths!$D$170="EV",'Operating costs'!$B$52,'Operating costs'!$B$51))^MAX(0,C1804-1)+Paths!$M$170*(1+'Operating costs'!$B$53)^MAX(0,C1804-1)),"n.a."))</f>
        <v>0</v>
      </c>
      <c r="I1804" s="16">
        <f>IF(NOT(Paths!$C$170=1),0,IF(Paths!$P$170="Complete",IF(IF(Paths!$E$170=0,C1804=0,AND(C1804&gt;0,Paths!$E$170&gt;(C1804-1)*12,Paths!$E$170&lt;=C1804*12)),Paths!$G$170,0),"n.a."))</f>
        <v>0</v>
      </c>
      <c r="J1804" s="16">
        <f>IF(NOT(Paths!$C$170=1),0,IF(Paths!$P$170="Complete",IF(IF(Paths!$E$170=0,C1804=0,AND(C1804&gt;0,Paths!$E$170&gt;(C1804-1)*12,Paths!$E$170&lt;=C1804*12)),Paths!$H$170,0),"n.a."))</f>
        <v>0</v>
      </c>
      <c r="K1804" s="16">
        <f>IF(NOT(Paths!$C$170=1),0,IF(Paths!$P$170="Complete",IF(IF(Paths!$O$170=0,C1804=0,AND(C1804&gt;0,Paths!$O$170&gt;(C1804-1)*12,Paths!$O$170&lt;=C1804*12)),Paths!$N$170,0),"n.a."))</f>
        <v>0</v>
      </c>
      <c r="L1804" s="16">
        <f>IF(NOT(Paths!$C$170=1),0,IF(Paths!$P$170="Complete",IF(C1804=10,Paths!$I$170,0),"n.a."))</f>
        <v>0</v>
      </c>
      <c r="M1804" s="16">
        <f>IF(NOT(Paths!$C$170=1),0,IF(Paths!$P$170="Complete",IF(AND(Paths!$D$170="EV",Paths!$E$170&lt;120,Paths!$E$170+'Operating costs'!$B$65&gt;Paths!$E$170,Paths!$E$170+'Operating costs'!$B$65&lt;=120,IF(Paths!$E$170+'Operating costs'!$B$65=0,C1804=0,AND(C1804&gt;0,Paths!$E$170+'Operating costs'!$B$65&gt;(C1804-1)*12,Paths!$E$170+'Operating costs'!$B$65&lt;=C1804*12))),'Operating costs'!$B$64,0)+IF(AND('Operating costs'!$B$67&gt;0,'Operating costs'!$B$67&lt;=120,OR(Paths!$D$170="ICE",'Operating costs'!$B$67&lt;=Paths!$E$170),IF('Operating costs'!$B$67=0,C1804=0,AND(C1804&gt;0,'Operating costs'!$B$67&gt;(C1804-1)*12,'Operating costs'!$B$67&lt;=C1804*12))),'Operating costs'!$B$66,0),"n.a."))</f>
        <v>0</v>
      </c>
      <c r="N1804" s="16">
        <f>IF(NOT(Paths!$C$170=1),0,IF(Paths!$P$170="Complete",SUM(G1804:I1804)-J1804-K1804-L1804+M1804+IF(C1804=0,Paths!$F$170,0)+IF(IF(Paths!$E$170=0,C1804=0,AND(C1804&gt;0,Paths!$E$170&gt;(C1804-1)*12,Paths!$E$170&lt;=C1804*12)),VLOOKUP(A1804,'Fleet register'!$A$7:$S$106,16,FALSE),0),"n.a."))</f>
        <v>0</v>
      </c>
      <c r="O1804" s="16">
        <f>IF(NOT(Paths!$C$170=1),0,IF(Paths!$P$170="Complete",N1804-IF(C1804=0,Paths!$F$170,0),"n.a."))</f>
        <v>0</v>
      </c>
      <c r="P1804" s="16">
        <f>IF(NOT(Paths!$C$170=1),0,IF(Paths!$P$170="Complete",O1804+L1804,"n.a."))</f>
        <v>0</v>
      </c>
      <c r="Q1804" s="16">
        <f>IF(NOT(Paths!$C$170=1),0,IF(Paths!$P$170="Complete",N1804*(1+'Operating costs'!$B$54)^-C1804,"n.a."))</f>
        <v>0</v>
      </c>
      <c r="R1804" s="16">
        <f>IF(NOT(Paths!$C$170=1),0,IF(Paths!$P$170="Complete",IF(AND(C1804=0,Paths!$E$170=0),I1804-J1804-K1804+VLOOKUP(A1804,'Fleet register'!$A$7:$S$106,15,FALSE)+VLOOKUP(A1804,'Fleet register'!$A$7:$S$106,16,FALSE),0),"n.a."))</f>
        <v>0</v>
      </c>
      <c r="S1804" s="1">
        <f>IF(NOT(Paths!$C$170=1),0,IF(Paths!$P$170="Complete",IF(C1804=0,0,Paths!$S$170*Paths!$R$170),"n.a."))</f>
        <v>0</v>
      </c>
      <c r="T1804" s="1">
        <f>IF(NOT(Paths!$C$170=1),0,IF(Paths!$P$170="Complete",IF(C1804=0,0,VLOOKUP(A1804,'Fleet register'!$A$7:$S$106,9,FALSE)*Paths!$R$170),"n.a."))</f>
        <v>0</v>
      </c>
    </row>
    <row r="1805" spans="1:20" ht="24" customHeight="1">
      <c r="A1805" s="1" t="str">
        <f>Paths!$A$170</f>
        <v>T041</v>
      </c>
      <c r="B1805" s="1">
        <f>Paths!$B$170</f>
        <v>3</v>
      </c>
      <c r="C1805" s="1">
        <v>5</v>
      </c>
      <c r="D1805" s="1">
        <v>170</v>
      </c>
      <c r="E1805" s="1">
        <f>IF(OR(Paths!$C$170=0,C1805=0),0,MAX(0,MIN(C1805*12,Paths!$E$170)-(C1805-1)*12))</f>
        <v>0</v>
      </c>
      <c r="F1805" s="1">
        <f>IF(OR(Paths!$C$170=0,C1805=0),0,12-E1805)</f>
        <v>0</v>
      </c>
      <c r="G1805" s="16">
        <f>IF(NOT(Paths!$C$170=1),0,IF(Paths!$P$170="Complete",E1805/12*(Paths!$J$170*(1+'Operating costs'!$B$51)^MAX(0,C1805-1)+Paths!$K$170*(1+'Operating costs'!$B$53)^MAX(0,C1805-1)),"n.a."))</f>
        <v>0</v>
      </c>
      <c r="H1805" s="16">
        <f>IF(NOT(Paths!$C$170=1),0,IF(Paths!$P$170="Complete",F1805/12*(Paths!$L$170*(1+IF(Paths!$D$170="EV",'Operating costs'!$B$52,'Operating costs'!$B$51))^MAX(0,C1805-1)+Paths!$M$170*(1+'Operating costs'!$B$53)^MAX(0,C1805-1)),"n.a."))</f>
        <v>0</v>
      </c>
      <c r="I1805" s="16">
        <f>IF(NOT(Paths!$C$170=1),0,IF(Paths!$P$170="Complete",IF(IF(Paths!$E$170=0,C1805=0,AND(C1805&gt;0,Paths!$E$170&gt;(C1805-1)*12,Paths!$E$170&lt;=C1805*12)),Paths!$G$170,0),"n.a."))</f>
        <v>0</v>
      </c>
      <c r="J1805" s="16">
        <f>IF(NOT(Paths!$C$170=1),0,IF(Paths!$P$170="Complete",IF(IF(Paths!$E$170=0,C1805=0,AND(C1805&gt;0,Paths!$E$170&gt;(C1805-1)*12,Paths!$E$170&lt;=C1805*12)),Paths!$H$170,0),"n.a."))</f>
        <v>0</v>
      </c>
      <c r="K1805" s="16">
        <f>IF(NOT(Paths!$C$170=1),0,IF(Paths!$P$170="Complete",IF(IF(Paths!$O$170=0,C1805=0,AND(C1805&gt;0,Paths!$O$170&gt;(C1805-1)*12,Paths!$O$170&lt;=C1805*12)),Paths!$N$170,0),"n.a."))</f>
        <v>0</v>
      </c>
      <c r="L1805" s="16">
        <f>IF(NOT(Paths!$C$170=1),0,IF(Paths!$P$170="Complete",IF(C1805=10,Paths!$I$170,0),"n.a."))</f>
        <v>0</v>
      </c>
      <c r="M1805" s="16">
        <f>IF(NOT(Paths!$C$170=1),0,IF(Paths!$P$170="Complete",IF(AND(Paths!$D$170="EV",Paths!$E$170&lt;120,Paths!$E$170+'Operating costs'!$B$65&gt;Paths!$E$170,Paths!$E$170+'Operating costs'!$B$65&lt;=120,IF(Paths!$E$170+'Operating costs'!$B$65=0,C1805=0,AND(C1805&gt;0,Paths!$E$170+'Operating costs'!$B$65&gt;(C1805-1)*12,Paths!$E$170+'Operating costs'!$B$65&lt;=C1805*12))),'Operating costs'!$B$64,0)+IF(AND('Operating costs'!$B$67&gt;0,'Operating costs'!$B$67&lt;=120,OR(Paths!$D$170="ICE",'Operating costs'!$B$67&lt;=Paths!$E$170),IF('Operating costs'!$B$67=0,C1805=0,AND(C1805&gt;0,'Operating costs'!$B$67&gt;(C1805-1)*12,'Operating costs'!$B$67&lt;=C1805*12))),'Operating costs'!$B$66,0),"n.a."))</f>
        <v>0</v>
      </c>
      <c r="N1805" s="16">
        <f>IF(NOT(Paths!$C$170=1),0,IF(Paths!$P$170="Complete",SUM(G1805:I1805)-J1805-K1805-L1805+M1805+IF(C1805=0,Paths!$F$170,0)+IF(IF(Paths!$E$170=0,C1805=0,AND(C1805&gt;0,Paths!$E$170&gt;(C1805-1)*12,Paths!$E$170&lt;=C1805*12)),VLOOKUP(A1805,'Fleet register'!$A$7:$S$106,16,FALSE),0),"n.a."))</f>
        <v>0</v>
      </c>
      <c r="O1805" s="16">
        <f>IF(NOT(Paths!$C$170=1),0,IF(Paths!$P$170="Complete",N1805-IF(C1805=0,Paths!$F$170,0),"n.a."))</f>
        <v>0</v>
      </c>
      <c r="P1805" s="16">
        <f>IF(NOT(Paths!$C$170=1),0,IF(Paths!$P$170="Complete",O1805+L1805,"n.a."))</f>
        <v>0</v>
      </c>
      <c r="Q1805" s="16">
        <f>IF(NOT(Paths!$C$170=1),0,IF(Paths!$P$170="Complete",N1805*(1+'Operating costs'!$B$54)^-C1805,"n.a."))</f>
        <v>0</v>
      </c>
      <c r="R1805" s="16">
        <f>IF(NOT(Paths!$C$170=1),0,IF(Paths!$P$170="Complete",IF(AND(C1805=0,Paths!$E$170=0),I1805-J1805-K1805+VLOOKUP(A1805,'Fleet register'!$A$7:$S$106,15,FALSE)+VLOOKUP(A1805,'Fleet register'!$A$7:$S$106,16,FALSE),0),"n.a."))</f>
        <v>0</v>
      </c>
      <c r="S1805" s="1">
        <f>IF(NOT(Paths!$C$170=1),0,IF(Paths!$P$170="Complete",IF(C1805=0,0,Paths!$S$170*Paths!$R$170),"n.a."))</f>
        <v>0</v>
      </c>
      <c r="T1805" s="1">
        <f>IF(NOT(Paths!$C$170=1),0,IF(Paths!$P$170="Complete",IF(C1805=0,0,VLOOKUP(A1805,'Fleet register'!$A$7:$S$106,9,FALSE)*Paths!$R$170),"n.a."))</f>
        <v>0</v>
      </c>
    </row>
    <row r="1806" spans="1:20" ht="24" customHeight="1">
      <c r="A1806" s="1" t="str">
        <f>Paths!$A$170</f>
        <v>T041</v>
      </c>
      <c r="B1806" s="1">
        <f>Paths!$B$170</f>
        <v>3</v>
      </c>
      <c r="C1806" s="1">
        <v>6</v>
      </c>
      <c r="D1806" s="1">
        <v>170</v>
      </c>
      <c r="E1806" s="1">
        <f>IF(OR(Paths!$C$170=0,C1806=0),0,MAX(0,MIN(C1806*12,Paths!$E$170)-(C1806-1)*12))</f>
        <v>0</v>
      </c>
      <c r="F1806" s="1">
        <f>IF(OR(Paths!$C$170=0,C1806=0),0,12-E1806)</f>
        <v>0</v>
      </c>
      <c r="G1806" s="16">
        <f>IF(NOT(Paths!$C$170=1),0,IF(Paths!$P$170="Complete",E1806/12*(Paths!$J$170*(1+'Operating costs'!$B$51)^MAX(0,C1806-1)+Paths!$K$170*(1+'Operating costs'!$B$53)^MAX(0,C1806-1)),"n.a."))</f>
        <v>0</v>
      </c>
      <c r="H1806" s="16">
        <f>IF(NOT(Paths!$C$170=1),0,IF(Paths!$P$170="Complete",F1806/12*(Paths!$L$170*(1+IF(Paths!$D$170="EV",'Operating costs'!$B$52,'Operating costs'!$B$51))^MAX(0,C1806-1)+Paths!$M$170*(1+'Operating costs'!$B$53)^MAX(0,C1806-1)),"n.a."))</f>
        <v>0</v>
      </c>
      <c r="I1806" s="16">
        <f>IF(NOT(Paths!$C$170=1),0,IF(Paths!$P$170="Complete",IF(IF(Paths!$E$170=0,C1806=0,AND(C1806&gt;0,Paths!$E$170&gt;(C1806-1)*12,Paths!$E$170&lt;=C1806*12)),Paths!$G$170,0),"n.a."))</f>
        <v>0</v>
      </c>
      <c r="J1806" s="16">
        <f>IF(NOT(Paths!$C$170=1),0,IF(Paths!$P$170="Complete",IF(IF(Paths!$E$170=0,C1806=0,AND(C1806&gt;0,Paths!$E$170&gt;(C1806-1)*12,Paths!$E$170&lt;=C1806*12)),Paths!$H$170,0),"n.a."))</f>
        <v>0</v>
      </c>
      <c r="K1806" s="16">
        <f>IF(NOT(Paths!$C$170=1),0,IF(Paths!$P$170="Complete",IF(IF(Paths!$O$170=0,C1806=0,AND(C1806&gt;0,Paths!$O$170&gt;(C1806-1)*12,Paths!$O$170&lt;=C1806*12)),Paths!$N$170,0),"n.a."))</f>
        <v>0</v>
      </c>
      <c r="L1806" s="16">
        <f>IF(NOT(Paths!$C$170=1),0,IF(Paths!$P$170="Complete",IF(C1806=10,Paths!$I$170,0),"n.a."))</f>
        <v>0</v>
      </c>
      <c r="M1806" s="16">
        <f>IF(NOT(Paths!$C$170=1),0,IF(Paths!$P$170="Complete",IF(AND(Paths!$D$170="EV",Paths!$E$170&lt;120,Paths!$E$170+'Operating costs'!$B$65&gt;Paths!$E$170,Paths!$E$170+'Operating costs'!$B$65&lt;=120,IF(Paths!$E$170+'Operating costs'!$B$65=0,C1806=0,AND(C1806&gt;0,Paths!$E$170+'Operating costs'!$B$65&gt;(C1806-1)*12,Paths!$E$170+'Operating costs'!$B$65&lt;=C1806*12))),'Operating costs'!$B$64,0)+IF(AND('Operating costs'!$B$67&gt;0,'Operating costs'!$B$67&lt;=120,OR(Paths!$D$170="ICE",'Operating costs'!$B$67&lt;=Paths!$E$170),IF('Operating costs'!$B$67=0,C1806=0,AND(C1806&gt;0,'Operating costs'!$B$67&gt;(C1806-1)*12,'Operating costs'!$B$67&lt;=C1806*12))),'Operating costs'!$B$66,0),"n.a."))</f>
        <v>0</v>
      </c>
      <c r="N1806" s="16">
        <f>IF(NOT(Paths!$C$170=1),0,IF(Paths!$P$170="Complete",SUM(G1806:I1806)-J1806-K1806-L1806+M1806+IF(C1806=0,Paths!$F$170,0)+IF(IF(Paths!$E$170=0,C1806=0,AND(C1806&gt;0,Paths!$E$170&gt;(C1806-1)*12,Paths!$E$170&lt;=C1806*12)),VLOOKUP(A1806,'Fleet register'!$A$7:$S$106,16,FALSE),0),"n.a."))</f>
        <v>0</v>
      </c>
      <c r="O1806" s="16">
        <f>IF(NOT(Paths!$C$170=1),0,IF(Paths!$P$170="Complete",N1806-IF(C1806=0,Paths!$F$170,0),"n.a."))</f>
        <v>0</v>
      </c>
      <c r="P1806" s="16">
        <f>IF(NOT(Paths!$C$170=1),0,IF(Paths!$P$170="Complete",O1806+L1806,"n.a."))</f>
        <v>0</v>
      </c>
      <c r="Q1806" s="16">
        <f>IF(NOT(Paths!$C$170=1),0,IF(Paths!$P$170="Complete",N1806*(1+'Operating costs'!$B$54)^-C1806,"n.a."))</f>
        <v>0</v>
      </c>
      <c r="R1806" s="16">
        <f>IF(NOT(Paths!$C$170=1),0,IF(Paths!$P$170="Complete",IF(AND(C1806=0,Paths!$E$170=0),I1806-J1806-K1806+VLOOKUP(A1806,'Fleet register'!$A$7:$S$106,15,FALSE)+VLOOKUP(A1806,'Fleet register'!$A$7:$S$106,16,FALSE),0),"n.a."))</f>
        <v>0</v>
      </c>
      <c r="S1806" s="1">
        <f>IF(NOT(Paths!$C$170=1),0,IF(Paths!$P$170="Complete",IF(C1806=0,0,Paths!$S$170*Paths!$R$170),"n.a."))</f>
        <v>0</v>
      </c>
      <c r="T1806" s="1">
        <f>IF(NOT(Paths!$C$170=1),0,IF(Paths!$P$170="Complete",IF(C1806=0,0,VLOOKUP(A1806,'Fleet register'!$A$7:$S$106,9,FALSE)*Paths!$R$170),"n.a."))</f>
        <v>0</v>
      </c>
    </row>
    <row r="1807" spans="1:20" ht="24" customHeight="1">
      <c r="A1807" s="1" t="str">
        <f>Paths!$A$170</f>
        <v>T041</v>
      </c>
      <c r="B1807" s="1">
        <f>Paths!$B$170</f>
        <v>3</v>
      </c>
      <c r="C1807" s="1">
        <v>7</v>
      </c>
      <c r="D1807" s="1">
        <v>170</v>
      </c>
      <c r="E1807" s="1">
        <f>IF(OR(Paths!$C$170=0,C1807=0),0,MAX(0,MIN(C1807*12,Paths!$E$170)-(C1807-1)*12))</f>
        <v>0</v>
      </c>
      <c r="F1807" s="1">
        <f>IF(OR(Paths!$C$170=0,C1807=0),0,12-E1807)</f>
        <v>0</v>
      </c>
      <c r="G1807" s="16">
        <f>IF(NOT(Paths!$C$170=1),0,IF(Paths!$P$170="Complete",E1807/12*(Paths!$J$170*(1+'Operating costs'!$B$51)^MAX(0,C1807-1)+Paths!$K$170*(1+'Operating costs'!$B$53)^MAX(0,C1807-1)),"n.a."))</f>
        <v>0</v>
      </c>
      <c r="H1807" s="16">
        <f>IF(NOT(Paths!$C$170=1),0,IF(Paths!$P$170="Complete",F1807/12*(Paths!$L$170*(1+IF(Paths!$D$170="EV",'Operating costs'!$B$52,'Operating costs'!$B$51))^MAX(0,C1807-1)+Paths!$M$170*(1+'Operating costs'!$B$53)^MAX(0,C1807-1)),"n.a."))</f>
        <v>0</v>
      </c>
      <c r="I1807" s="16">
        <f>IF(NOT(Paths!$C$170=1),0,IF(Paths!$P$170="Complete",IF(IF(Paths!$E$170=0,C1807=0,AND(C1807&gt;0,Paths!$E$170&gt;(C1807-1)*12,Paths!$E$170&lt;=C1807*12)),Paths!$G$170,0),"n.a."))</f>
        <v>0</v>
      </c>
      <c r="J1807" s="16">
        <f>IF(NOT(Paths!$C$170=1),0,IF(Paths!$P$170="Complete",IF(IF(Paths!$E$170=0,C1807=0,AND(C1807&gt;0,Paths!$E$170&gt;(C1807-1)*12,Paths!$E$170&lt;=C1807*12)),Paths!$H$170,0),"n.a."))</f>
        <v>0</v>
      </c>
      <c r="K1807" s="16">
        <f>IF(NOT(Paths!$C$170=1),0,IF(Paths!$P$170="Complete",IF(IF(Paths!$O$170=0,C1807=0,AND(C1807&gt;0,Paths!$O$170&gt;(C1807-1)*12,Paths!$O$170&lt;=C1807*12)),Paths!$N$170,0),"n.a."))</f>
        <v>0</v>
      </c>
      <c r="L1807" s="16">
        <f>IF(NOT(Paths!$C$170=1),0,IF(Paths!$P$170="Complete",IF(C1807=10,Paths!$I$170,0),"n.a."))</f>
        <v>0</v>
      </c>
      <c r="M1807" s="16">
        <f>IF(NOT(Paths!$C$170=1),0,IF(Paths!$P$170="Complete",IF(AND(Paths!$D$170="EV",Paths!$E$170&lt;120,Paths!$E$170+'Operating costs'!$B$65&gt;Paths!$E$170,Paths!$E$170+'Operating costs'!$B$65&lt;=120,IF(Paths!$E$170+'Operating costs'!$B$65=0,C1807=0,AND(C1807&gt;0,Paths!$E$170+'Operating costs'!$B$65&gt;(C1807-1)*12,Paths!$E$170+'Operating costs'!$B$65&lt;=C1807*12))),'Operating costs'!$B$64,0)+IF(AND('Operating costs'!$B$67&gt;0,'Operating costs'!$B$67&lt;=120,OR(Paths!$D$170="ICE",'Operating costs'!$B$67&lt;=Paths!$E$170),IF('Operating costs'!$B$67=0,C1807=0,AND(C1807&gt;0,'Operating costs'!$B$67&gt;(C1807-1)*12,'Operating costs'!$B$67&lt;=C1807*12))),'Operating costs'!$B$66,0),"n.a."))</f>
        <v>0</v>
      </c>
      <c r="N1807" s="16">
        <f>IF(NOT(Paths!$C$170=1),0,IF(Paths!$P$170="Complete",SUM(G1807:I1807)-J1807-K1807-L1807+M1807+IF(C1807=0,Paths!$F$170,0)+IF(IF(Paths!$E$170=0,C1807=0,AND(C1807&gt;0,Paths!$E$170&gt;(C1807-1)*12,Paths!$E$170&lt;=C1807*12)),VLOOKUP(A1807,'Fleet register'!$A$7:$S$106,16,FALSE),0),"n.a."))</f>
        <v>0</v>
      </c>
      <c r="O1807" s="16">
        <f>IF(NOT(Paths!$C$170=1),0,IF(Paths!$P$170="Complete",N1807-IF(C1807=0,Paths!$F$170,0),"n.a."))</f>
        <v>0</v>
      </c>
      <c r="P1807" s="16">
        <f>IF(NOT(Paths!$C$170=1),0,IF(Paths!$P$170="Complete",O1807+L1807,"n.a."))</f>
        <v>0</v>
      </c>
      <c r="Q1807" s="16">
        <f>IF(NOT(Paths!$C$170=1),0,IF(Paths!$P$170="Complete",N1807*(1+'Operating costs'!$B$54)^-C1807,"n.a."))</f>
        <v>0</v>
      </c>
      <c r="R1807" s="16">
        <f>IF(NOT(Paths!$C$170=1),0,IF(Paths!$P$170="Complete",IF(AND(C1807=0,Paths!$E$170=0),I1807-J1807-K1807+VLOOKUP(A1807,'Fleet register'!$A$7:$S$106,15,FALSE)+VLOOKUP(A1807,'Fleet register'!$A$7:$S$106,16,FALSE),0),"n.a."))</f>
        <v>0</v>
      </c>
      <c r="S1807" s="1">
        <f>IF(NOT(Paths!$C$170=1),0,IF(Paths!$P$170="Complete",IF(C1807=0,0,Paths!$S$170*Paths!$R$170),"n.a."))</f>
        <v>0</v>
      </c>
      <c r="T1807" s="1">
        <f>IF(NOT(Paths!$C$170=1),0,IF(Paths!$P$170="Complete",IF(C1807=0,0,VLOOKUP(A1807,'Fleet register'!$A$7:$S$106,9,FALSE)*Paths!$R$170),"n.a."))</f>
        <v>0</v>
      </c>
    </row>
    <row r="1808" spans="1:20" ht="24" customHeight="1">
      <c r="A1808" s="1" t="str">
        <f>Paths!$A$170</f>
        <v>T041</v>
      </c>
      <c r="B1808" s="1">
        <f>Paths!$B$170</f>
        <v>3</v>
      </c>
      <c r="C1808" s="1">
        <v>8</v>
      </c>
      <c r="D1808" s="1">
        <v>170</v>
      </c>
      <c r="E1808" s="1">
        <f>IF(OR(Paths!$C$170=0,C1808=0),0,MAX(0,MIN(C1808*12,Paths!$E$170)-(C1808-1)*12))</f>
        <v>0</v>
      </c>
      <c r="F1808" s="1">
        <f>IF(OR(Paths!$C$170=0,C1808=0),0,12-E1808)</f>
        <v>0</v>
      </c>
      <c r="G1808" s="16">
        <f>IF(NOT(Paths!$C$170=1),0,IF(Paths!$P$170="Complete",E1808/12*(Paths!$J$170*(1+'Operating costs'!$B$51)^MAX(0,C1808-1)+Paths!$K$170*(1+'Operating costs'!$B$53)^MAX(0,C1808-1)),"n.a."))</f>
        <v>0</v>
      </c>
      <c r="H1808" s="16">
        <f>IF(NOT(Paths!$C$170=1),0,IF(Paths!$P$170="Complete",F1808/12*(Paths!$L$170*(1+IF(Paths!$D$170="EV",'Operating costs'!$B$52,'Operating costs'!$B$51))^MAX(0,C1808-1)+Paths!$M$170*(1+'Operating costs'!$B$53)^MAX(0,C1808-1)),"n.a."))</f>
        <v>0</v>
      </c>
      <c r="I1808" s="16">
        <f>IF(NOT(Paths!$C$170=1),0,IF(Paths!$P$170="Complete",IF(IF(Paths!$E$170=0,C1808=0,AND(C1808&gt;0,Paths!$E$170&gt;(C1808-1)*12,Paths!$E$170&lt;=C1808*12)),Paths!$G$170,0),"n.a."))</f>
        <v>0</v>
      </c>
      <c r="J1808" s="16">
        <f>IF(NOT(Paths!$C$170=1),0,IF(Paths!$P$170="Complete",IF(IF(Paths!$E$170=0,C1808=0,AND(C1808&gt;0,Paths!$E$170&gt;(C1808-1)*12,Paths!$E$170&lt;=C1808*12)),Paths!$H$170,0),"n.a."))</f>
        <v>0</v>
      </c>
      <c r="K1808" s="16">
        <f>IF(NOT(Paths!$C$170=1),0,IF(Paths!$P$170="Complete",IF(IF(Paths!$O$170=0,C1808=0,AND(C1808&gt;0,Paths!$O$170&gt;(C1808-1)*12,Paths!$O$170&lt;=C1808*12)),Paths!$N$170,0),"n.a."))</f>
        <v>0</v>
      </c>
      <c r="L1808" s="16">
        <f>IF(NOT(Paths!$C$170=1),0,IF(Paths!$P$170="Complete",IF(C1808=10,Paths!$I$170,0),"n.a."))</f>
        <v>0</v>
      </c>
      <c r="M1808" s="16">
        <f>IF(NOT(Paths!$C$170=1),0,IF(Paths!$P$170="Complete",IF(AND(Paths!$D$170="EV",Paths!$E$170&lt;120,Paths!$E$170+'Operating costs'!$B$65&gt;Paths!$E$170,Paths!$E$170+'Operating costs'!$B$65&lt;=120,IF(Paths!$E$170+'Operating costs'!$B$65=0,C1808=0,AND(C1808&gt;0,Paths!$E$170+'Operating costs'!$B$65&gt;(C1808-1)*12,Paths!$E$170+'Operating costs'!$B$65&lt;=C1808*12))),'Operating costs'!$B$64,0)+IF(AND('Operating costs'!$B$67&gt;0,'Operating costs'!$B$67&lt;=120,OR(Paths!$D$170="ICE",'Operating costs'!$B$67&lt;=Paths!$E$170),IF('Operating costs'!$B$67=0,C1808=0,AND(C1808&gt;0,'Operating costs'!$B$67&gt;(C1808-1)*12,'Operating costs'!$B$67&lt;=C1808*12))),'Operating costs'!$B$66,0),"n.a."))</f>
        <v>0</v>
      </c>
      <c r="N1808" s="16">
        <f>IF(NOT(Paths!$C$170=1),0,IF(Paths!$P$170="Complete",SUM(G1808:I1808)-J1808-K1808-L1808+M1808+IF(C1808=0,Paths!$F$170,0)+IF(IF(Paths!$E$170=0,C1808=0,AND(C1808&gt;0,Paths!$E$170&gt;(C1808-1)*12,Paths!$E$170&lt;=C1808*12)),VLOOKUP(A1808,'Fleet register'!$A$7:$S$106,16,FALSE),0),"n.a."))</f>
        <v>0</v>
      </c>
      <c r="O1808" s="16">
        <f>IF(NOT(Paths!$C$170=1),0,IF(Paths!$P$170="Complete",N1808-IF(C1808=0,Paths!$F$170,0),"n.a."))</f>
        <v>0</v>
      </c>
      <c r="P1808" s="16">
        <f>IF(NOT(Paths!$C$170=1),0,IF(Paths!$P$170="Complete",O1808+L1808,"n.a."))</f>
        <v>0</v>
      </c>
      <c r="Q1808" s="16">
        <f>IF(NOT(Paths!$C$170=1),0,IF(Paths!$P$170="Complete",N1808*(1+'Operating costs'!$B$54)^-C1808,"n.a."))</f>
        <v>0</v>
      </c>
      <c r="R1808" s="16">
        <f>IF(NOT(Paths!$C$170=1),0,IF(Paths!$P$170="Complete",IF(AND(C1808=0,Paths!$E$170=0),I1808-J1808-K1808+VLOOKUP(A1808,'Fleet register'!$A$7:$S$106,15,FALSE)+VLOOKUP(A1808,'Fleet register'!$A$7:$S$106,16,FALSE),0),"n.a."))</f>
        <v>0</v>
      </c>
      <c r="S1808" s="1">
        <f>IF(NOT(Paths!$C$170=1),0,IF(Paths!$P$170="Complete",IF(C1808=0,0,Paths!$S$170*Paths!$R$170),"n.a."))</f>
        <v>0</v>
      </c>
      <c r="T1808" s="1">
        <f>IF(NOT(Paths!$C$170=1),0,IF(Paths!$P$170="Complete",IF(C1808=0,0,VLOOKUP(A1808,'Fleet register'!$A$7:$S$106,9,FALSE)*Paths!$R$170),"n.a."))</f>
        <v>0</v>
      </c>
    </row>
    <row r="1809" spans="1:20" ht="24" customHeight="1">
      <c r="A1809" s="1" t="str">
        <f>Paths!$A$170</f>
        <v>T041</v>
      </c>
      <c r="B1809" s="1">
        <f>Paths!$B$170</f>
        <v>3</v>
      </c>
      <c r="C1809" s="1">
        <v>9</v>
      </c>
      <c r="D1809" s="1">
        <v>170</v>
      </c>
      <c r="E1809" s="1">
        <f>IF(OR(Paths!$C$170=0,C1809=0),0,MAX(0,MIN(C1809*12,Paths!$E$170)-(C1809-1)*12))</f>
        <v>0</v>
      </c>
      <c r="F1809" s="1">
        <f>IF(OR(Paths!$C$170=0,C1809=0),0,12-E1809)</f>
        <v>0</v>
      </c>
      <c r="G1809" s="16">
        <f>IF(NOT(Paths!$C$170=1),0,IF(Paths!$P$170="Complete",E1809/12*(Paths!$J$170*(1+'Operating costs'!$B$51)^MAX(0,C1809-1)+Paths!$K$170*(1+'Operating costs'!$B$53)^MAX(0,C1809-1)),"n.a."))</f>
        <v>0</v>
      </c>
      <c r="H1809" s="16">
        <f>IF(NOT(Paths!$C$170=1),0,IF(Paths!$P$170="Complete",F1809/12*(Paths!$L$170*(1+IF(Paths!$D$170="EV",'Operating costs'!$B$52,'Operating costs'!$B$51))^MAX(0,C1809-1)+Paths!$M$170*(1+'Operating costs'!$B$53)^MAX(0,C1809-1)),"n.a."))</f>
        <v>0</v>
      </c>
      <c r="I1809" s="16">
        <f>IF(NOT(Paths!$C$170=1),0,IF(Paths!$P$170="Complete",IF(IF(Paths!$E$170=0,C1809=0,AND(C1809&gt;0,Paths!$E$170&gt;(C1809-1)*12,Paths!$E$170&lt;=C1809*12)),Paths!$G$170,0),"n.a."))</f>
        <v>0</v>
      </c>
      <c r="J1809" s="16">
        <f>IF(NOT(Paths!$C$170=1),0,IF(Paths!$P$170="Complete",IF(IF(Paths!$E$170=0,C1809=0,AND(C1809&gt;0,Paths!$E$170&gt;(C1809-1)*12,Paths!$E$170&lt;=C1809*12)),Paths!$H$170,0),"n.a."))</f>
        <v>0</v>
      </c>
      <c r="K1809" s="16">
        <f>IF(NOT(Paths!$C$170=1),0,IF(Paths!$P$170="Complete",IF(IF(Paths!$O$170=0,C1809=0,AND(C1809&gt;0,Paths!$O$170&gt;(C1809-1)*12,Paths!$O$170&lt;=C1809*12)),Paths!$N$170,0),"n.a."))</f>
        <v>0</v>
      </c>
      <c r="L1809" s="16">
        <f>IF(NOT(Paths!$C$170=1),0,IF(Paths!$P$170="Complete",IF(C1809=10,Paths!$I$170,0),"n.a."))</f>
        <v>0</v>
      </c>
      <c r="M1809" s="16">
        <f>IF(NOT(Paths!$C$170=1),0,IF(Paths!$P$170="Complete",IF(AND(Paths!$D$170="EV",Paths!$E$170&lt;120,Paths!$E$170+'Operating costs'!$B$65&gt;Paths!$E$170,Paths!$E$170+'Operating costs'!$B$65&lt;=120,IF(Paths!$E$170+'Operating costs'!$B$65=0,C1809=0,AND(C1809&gt;0,Paths!$E$170+'Operating costs'!$B$65&gt;(C1809-1)*12,Paths!$E$170+'Operating costs'!$B$65&lt;=C1809*12))),'Operating costs'!$B$64,0)+IF(AND('Operating costs'!$B$67&gt;0,'Operating costs'!$B$67&lt;=120,OR(Paths!$D$170="ICE",'Operating costs'!$B$67&lt;=Paths!$E$170),IF('Operating costs'!$B$67=0,C1809=0,AND(C1809&gt;0,'Operating costs'!$B$67&gt;(C1809-1)*12,'Operating costs'!$B$67&lt;=C1809*12))),'Operating costs'!$B$66,0),"n.a."))</f>
        <v>0</v>
      </c>
      <c r="N1809" s="16">
        <f>IF(NOT(Paths!$C$170=1),0,IF(Paths!$P$170="Complete",SUM(G1809:I1809)-J1809-K1809-L1809+M1809+IF(C1809=0,Paths!$F$170,0)+IF(IF(Paths!$E$170=0,C1809=0,AND(C1809&gt;0,Paths!$E$170&gt;(C1809-1)*12,Paths!$E$170&lt;=C1809*12)),VLOOKUP(A1809,'Fleet register'!$A$7:$S$106,16,FALSE),0),"n.a."))</f>
        <v>0</v>
      </c>
      <c r="O1809" s="16">
        <f>IF(NOT(Paths!$C$170=1),0,IF(Paths!$P$170="Complete",N1809-IF(C1809=0,Paths!$F$170,0),"n.a."))</f>
        <v>0</v>
      </c>
      <c r="P1809" s="16">
        <f>IF(NOT(Paths!$C$170=1),0,IF(Paths!$P$170="Complete",O1809+L1809,"n.a."))</f>
        <v>0</v>
      </c>
      <c r="Q1809" s="16">
        <f>IF(NOT(Paths!$C$170=1),0,IF(Paths!$P$170="Complete",N1809*(1+'Operating costs'!$B$54)^-C1809,"n.a."))</f>
        <v>0</v>
      </c>
      <c r="R1809" s="16">
        <f>IF(NOT(Paths!$C$170=1),0,IF(Paths!$P$170="Complete",IF(AND(C1809=0,Paths!$E$170=0),I1809-J1809-K1809+VLOOKUP(A1809,'Fleet register'!$A$7:$S$106,15,FALSE)+VLOOKUP(A1809,'Fleet register'!$A$7:$S$106,16,FALSE),0),"n.a."))</f>
        <v>0</v>
      </c>
      <c r="S1809" s="1">
        <f>IF(NOT(Paths!$C$170=1),0,IF(Paths!$P$170="Complete",IF(C1809=0,0,Paths!$S$170*Paths!$R$170),"n.a."))</f>
        <v>0</v>
      </c>
      <c r="T1809" s="1">
        <f>IF(NOT(Paths!$C$170=1),0,IF(Paths!$P$170="Complete",IF(C1809=0,0,VLOOKUP(A1809,'Fleet register'!$A$7:$S$106,9,FALSE)*Paths!$R$170),"n.a."))</f>
        <v>0</v>
      </c>
    </row>
    <row r="1810" spans="1:20" ht="24" customHeight="1">
      <c r="A1810" s="1" t="str">
        <f>Paths!$A$170</f>
        <v>T041</v>
      </c>
      <c r="B1810" s="1">
        <f>Paths!$B$170</f>
        <v>3</v>
      </c>
      <c r="C1810" s="1">
        <v>10</v>
      </c>
      <c r="D1810" s="1">
        <v>170</v>
      </c>
      <c r="E1810" s="1">
        <f>IF(OR(Paths!$C$170=0,C1810=0),0,MAX(0,MIN(C1810*12,Paths!$E$170)-(C1810-1)*12))</f>
        <v>0</v>
      </c>
      <c r="F1810" s="1">
        <f>IF(OR(Paths!$C$170=0,C1810=0),0,12-E1810)</f>
        <v>0</v>
      </c>
      <c r="G1810" s="16">
        <f>IF(NOT(Paths!$C$170=1),0,IF(Paths!$P$170="Complete",E1810/12*(Paths!$J$170*(1+'Operating costs'!$B$51)^MAX(0,C1810-1)+Paths!$K$170*(1+'Operating costs'!$B$53)^MAX(0,C1810-1)),"n.a."))</f>
        <v>0</v>
      </c>
      <c r="H1810" s="16">
        <f>IF(NOT(Paths!$C$170=1),0,IF(Paths!$P$170="Complete",F1810/12*(Paths!$L$170*(1+IF(Paths!$D$170="EV",'Operating costs'!$B$52,'Operating costs'!$B$51))^MAX(0,C1810-1)+Paths!$M$170*(1+'Operating costs'!$B$53)^MAX(0,C1810-1)),"n.a."))</f>
        <v>0</v>
      </c>
      <c r="I1810" s="16">
        <f>IF(NOT(Paths!$C$170=1),0,IF(Paths!$P$170="Complete",IF(IF(Paths!$E$170=0,C1810=0,AND(C1810&gt;0,Paths!$E$170&gt;(C1810-1)*12,Paths!$E$170&lt;=C1810*12)),Paths!$G$170,0),"n.a."))</f>
        <v>0</v>
      </c>
      <c r="J1810" s="16">
        <f>IF(NOT(Paths!$C$170=1),0,IF(Paths!$P$170="Complete",IF(IF(Paths!$E$170=0,C1810=0,AND(C1810&gt;0,Paths!$E$170&gt;(C1810-1)*12,Paths!$E$170&lt;=C1810*12)),Paths!$H$170,0),"n.a."))</f>
        <v>0</v>
      </c>
      <c r="K1810" s="16">
        <f>IF(NOT(Paths!$C$170=1),0,IF(Paths!$P$170="Complete",IF(IF(Paths!$O$170=0,C1810=0,AND(C1810&gt;0,Paths!$O$170&gt;(C1810-1)*12,Paths!$O$170&lt;=C1810*12)),Paths!$N$170,0),"n.a."))</f>
        <v>0</v>
      </c>
      <c r="L1810" s="16">
        <f>IF(NOT(Paths!$C$170=1),0,IF(Paths!$P$170="Complete",IF(C1810=10,Paths!$I$170,0),"n.a."))</f>
        <v>0</v>
      </c>
      <c r="M1810" s="16">
        <f>IF(NOT(Paths!$C$170=1),0,IF(Paths!$P$170="Complete",IF(AND(Paths!$D$170="EV",Paths!$E$170&lt;120,Paths!$E$170+'Operating costs'!$B$65&gt;Paths!$E$170,Paths!$E$170+'Operating costs'!$B$65&lt;=120,IF(Paths!$E$170+'Operating costs'!$B$65=0,C1810=0,AND(C1810&gt;0,Paths!$E$170+'Operating costs'!$B$65&gt;(C1810-1)*12,Paths!$E$170+'Operating costs'!$B$65&lt;=C1810*12))),'Operating costs'!$B$64,0)+IF(AND('Operating costs'!$B$67&gt;0,'Operating costs'!$B$67&lt;=120,OR(Paths!$D$170="ICE",'Operating costs'!$B$67&lt;=Paths!$E$170),IF('Operating costs'!$B$67=0,C1810=0,AND(C1810&gt;0,'Operating costs'!$B$67&gt;(C1810-1)*12,'Operating costs'!$B$67&lt;=C1810*12))),'Operating costs'!$B$66,0),"n.a."))</f>
        <v>0</v>
      </c>
      <c r="N1810" s="16">
        <f>IF(NOT(Paths!$C$170=1),0,IF(Paths!$P$170="Complete",SUM(G1810:I1810)-J1810-K1810-L1810+M1810+IF(C1810=0,Paths!$F$170,0)+IF(IF(Paths!$E$170=0,C1810=0,AND(C1810&gt;0,Paths!$E$170&gt;(C1810-1)*12,Paths!$E$170&lt;=C1810*12)),VLOOKUP(A1810,'Fleet register'!$A$7:$S$106,16,FALSE),0),"n.a."))</f>
        <v>0</v>
      </c>
      <c r="O1810" s="16">
        <f>IF(NOT(Paths!$C$170=1),0,IF(Paths!$P$170="Complete",N1810-IF(C1810=0,Paths!$F$170,0),"n.a."))</f>
        <v>0</v>
      </c>
      <c r="P1810" s="16">
        <f>IF(NOT(Paths!$C$170=1),0,IF(Paths!$P$170="Complete",O1810+L1810,"n.a."))</f>
        <v>0</v>
      </c>
      <c r="Q1810" s="16">
        <f>IF(NOT(Paths!$C$170=1),0,IF(Paths!$P$170="Complete",N1810*(1+'Operating costs'!$B$54)^-C1810,"n.a."))</f>
        <v>0</v>
      </c>
      <c r="R1810" s="16">
        <f>IF(NOT(Paths!$C$170=1),0,IF(Paths!$P$170="Complete",IF(AND(C1810=0,Paths!$E$170=0),I1810-J1810-K1810+VLOOKUP(A1810,'Fleet register'!$A$7:$S$106,15,FALSE)+VLOOKUP(A1810,'Fleet register'!$A$7:$S$106,16,FALSE),0),"n.a."))</f>
        <v>0</v>
      </c>
      <c r="S1810" s="1">
        <f>IF(NOT(Paths!$C$170=1),0,IF(Paths!$P$170="Complete",IF(C1810=0,0,Paths!$S$170*Paths!$R$170),"n.a."))</f>
        <v>0</v>
      </c>
      <c r="T1810" s="1">
        <f>IF(NOT(Paths!$C$170=1),0,IF(Paths!$P$170="Complete",IF(C1810=0,0,VLOOKUP(A1810,'Fleet register'!$A$7:$S$106,9,FALSE)*Paths!$R$170),"n.a."))</f>
        <v>0</v>
      </c>
    </row>
    <row r="1811" spans="1:20" ht="24" customHeight="1">
      <c r="A1811" s="1" t="str">
        <f>Paths!$A$171</f>
        <v>T042</v>
      </c>
      <c r="B1811" s="1">
        <f>Paths!$B$171</f>
        <v>0</v>
      </c>
      <c r="C1811" s="1">
        <v>0</v>
      </c>
      <c r="D1811" s="1">
        <v>171</v>
      </c>
      <c r="E1811" s="1">
        <f>IF(OR(Paths!$C$171=0,C1811=0),0,MAX(0,MIN(C1811*12,Paths!$E$171)-(C1811-1)*12))</f>
        <v>0</v>
      </c>
      <c r="F1811" s="1">
        <f>IF(OR(Paths!$C$171=0,C1811=0),0,12-E1811)</f>
        <v>0</v>
      </c>
      <c r="G1811" s="16">
        <f>IF(NOT(Paths!$C$171=1),0,IF(Paths!$P$171="Complete",E1811/12*(Paths!$J$171*(1+'Operating costs'!$B$51)^MAX(0,C1811-1)+Paths!$K$171*(1+'Operating costs'!$B$53)^MAX(0,C1811-1)),"n.a."))</f>
        <v>0</v>
      </c>
      <c r="H1811" s="16">
        <f>IF(NOT(Paths!$C$171=1),0,IF(Paths!$P$171="Complete",F1811/12*(Paths!$L$171*(1+IF(Paths!$D$171="EV",'Operating costs'!$B$52,'Operating costs'!$B$51))^MAX(0,C1811-1)+Paths!$M$171*(1+'Operating costs'!$B$53)^MAX(0,C1811-1)),"n.a."))</f>
        <v>0</v>
      </c>
      <c r="I1811" s="16">
        <f>IF(NOT(Paths!$C$171=1),0,IF(Paths!$P$171="Complete",IF(IF(Paths!$E$171=0,C1811=0,AND(C1811&gt;0,Paths!$E$171&gt;(C1811-1)*12,Paths!$E$171&lt;=C1811*12)),Paths!$G$171,0),"n.a."))</f>
        <v>0</v>
      </c>
      <c r="J1811" s="16">
        <f>IF(NOT(Paths!$C$171=1),0,IF(Paths!$P$171="Complete",IF(IF(Paths!$E$171=0,C1811=0,AND(C1811&gt;0,Paths!$E$171&gt;(C1811-1)*12,Paths!$E$171&lt;=C1811*12)),Paths!$H$171,0),"n.a."))</f>
        <v>0</v>
      </c>
      <c r="K1811" s="16">
        <f>IF(NOT(Paths!$C$171=1),0,IF(Paths!$P$171="Complete",IF(IF(Paths!$O$171=0,C1811=0,AND(C1811&gt;0,Paths!$O$171&gt;(C1811-1)*12,Paths!$O$171&lt;=C1811*12)),Paths!$N$171,0),"n.a."))</f>
        <v>0</v>
      </c>
      <c r="L1811" s="16">
        <f>IF(NOT(Paths!$C$171=1),0,IF(Paths!$P$171="Complete",IF(C1811=10,Paths!$I$171,0),"n.a."))</f>
        <v>0</v>
      </c>
      <c r="M1811" s="16">
        <f>IF(NOT(Paths!$C$171=1),0,IF(Paths!$P$171="Complete",IF(AND(Paths!$D$171="EV",Paths!$E$171&lt;120,Paths!$E$171+'Operating costs'!$B$65&gt;Paths!$E$171,Paths!$E$171+'Operating costs'!$B$65&lt;=120,IF(Paths!$E$171+'Operating costs'!$B$65=0,C1811=0,AND(C1811&gt;0,Paths!$E$171+'Operating costs'!$B$65&gt;(C1811-1)*12,Paths!$E$171+'Operating costs'!$B$65&lt;=C1811*12))),'Operating costs'!$B$64,0)+IF(AND('Operating costs'!$B$67&gt;0,'Operating costs'!$B$67&lt;=120,OR(Paths!$D$171="ICE",'Operating costs'!$B$67&lt;=Paths!$E$171),IF('Operating costs'!$B$67=0,C1811=0,AND(C1811&gt;0,'Operating costs'!$B$67&gt;(C1811-1)*12,'Operating costs'!$B$67&lt;=C1811*12))),'Operating costs'!$B$66,0),"n.a."))</f>
        <v>0</v>
      </c>
      <c r="N1811" s="16">
        <f>IF(NOT(Paths!$C$171=1),0,IF(Paths!$P$171="Complete",SUM(G1811:I1811)-J1811-K1811-L1811+M1811+IF(C1811=0,Paths!$F$171,0)+IF(IF(Paths!$E$171=0,C1811=0,AND(C1811&gt;0,Paths!$E$171&gt;(C1811-1)*12,Paths!$E$171&lt;=C1811*12)),VLOOKUP(A1811,'Fleet register'!$A$7:$S$106,16,FALSE),0),"n.a."))</f>
        <v>0</v>
      </c>
      <c r="O1811" s="16">
        <f>IF(NOT(Paths!$C$171=1),0,IF(Paths!$P$171="Complete",N1811-IF(C1811=0,Paths!$F$171,0),"n.a."))</f>
        <v>0</v>
      </c>
      <c r="P1811" s="16">
        <f>IF(NOT(Paths!$C$171=1),0,IF(Paths!$P$171="Complete",O1811+L1811,"n.a."))</f>
        <v>0</v>
      </c>
      <c r="Q1811" s="16">
        <f>IF(NOT(Paths!$C$171=1),0,IF(Paths!$P$171="Complete",N1811*(1+'Operating costs'!$B$54)^-C1811,"n.a."))</f>
        <v>0</v>
      </c>
      <c r="R1811" s="16">
        <f>IF(NOT(Paths!$C$171=1),0,IF(Paths!$P$171="Complete",IF(AND(C1811=0,Paths!$E$171=0),I1811-J1811-K1811+VLOOKUP(A1811,'Fleet register'!$A$7:$S$106,15,FALSE)+VLOOKUP(A1811,'Fleet register'!$A$7:$S$106,16,FALSE),0),"n.a."))</f>
        <v>0</v>
      </c>
      <c r="S1811" s="1">
        <f>IF(NOT(Paths!$C$171=1),0,IF(Paths!$P$171="Complete",IF(C1811=0,0,Paths!$S$171*Paths!$R$171),"n.a."))</f>
        <v>0</v>
      </c>
      <c r="T1811" s="1">
        <f>IF(NOT(Paths!$C$171=1),0,IF(Paths!$P$171="Complete",IF(C1811=0,0,VLOOKUP(A1811,'Fleet register'!$A$7:$S$106,9,FALSE)*Paths!$R$171),"n.a."))</f>
        <v>0</v>
      </c>
    </row>
    <row r="1812" spans="1:20" ht="24" customHeight="1">
      <c r="A1812" s="1" t="str">
        <f>Paths!$A$171</f>
        <v>T042</v>
      </c>
      <c r="B1812" s="1">
        <f>Paths!$B$171</f>
        <v>0</v>
      </c>
      <c r="C1812" s="1">
        <v>1</v>
      </c>
      <c r="D1812" s="1">
        <v>171</v>
      </c>
      <c r="E1812" s="1">
        <f>IF(OR(Paths!$C$171=0,C1812=0),0,MAX(0,MIN(C1812*12,Paths!$E$171)-(C1812-1)*12))</f>
        <v>0</v>
      </c>
      <c r="F1812" s="1">
        <f>IF(OR(Paths!$C$171=0,C1812=0),0,12-E1812)</f>
        <v>0</v>
      </c>
      <c r="G1812" s="16">
        <f>IF(NOT(Paths!$C$171=1),0,IF(Paths!$P$171="Complete",E1812/12*(Paths!$J$171*(1+'Operating costs'!$B$51)^MAX(0,C1812-1)+Paths!$K$171*(1+'Operating costs'!$B$53)^MAX(0,C1812-1)),"n.a."))</f>
        <v>0</v>
      </c>
      <c r="H1812" s="16">
        <f>IF(NOT(Paths!$C$171=1),0,IF(Paths!$P$171="Complete",F1812/12*(Paths!$L$171*(1+IF(Paths!$D$171="EV",'Operating costs'!$B$52,'Operating costs'!$B$51))^MAX(0,C1812-1)+Paths!$M$171*(1+'Operating costs'!$B$53)^MAX(0,C1812-1)),"n.a."))</f>
        <v>0</v>
      </c>
      <c r="I1812" s="16">
        <f>IF(NOT(Paths!$C$171=1),0,IF(Paths!$P$171="Complete",IF(IF(Paths!$E$171=0,C1812=0,AND(C1812&gt;0,Paths!$E$171&gt;(C1812-1)*12,Paths!$E$171&lt;=C1812*12)),Paths!$G$171,0),"n.a."))</f>
        <v>0</v>
      </c>
      <c r="J1812" s="16">
        <f>IF(NOT(Paths!$C$171=1),0,IF(Paths!$P$171="Complete",IF(IF(Paths!$E$171=0,C1812=0,AND(C1812&gt;0,Paths!$E$171&gt;(C1812-1)*12,Paths!$E$171&lt;=C1812*12)),Paths!$H$171,0),"n.a."))</f>
        <v>0</v>
      </c>
      <c r="K1812" s="16">
        <f>IF(NOT(Paths!$C$171=1),0,IF(Paths!$P$171="Complete",IF(IF(Paths!$O$171=0,C1812=0,AND(C1812&gt;0,Paths!$O$171&gt;(C1812-1)*12,Paths!$O$171&lt;=C1812*12)),Paths!$N$171,0),"n.a."))</f>
        <v>0</v>
      </c>
      <c r="L1812" s="16">
        <f>IF(NOT(Paths!$C$171=1),0,IF(Paths!$P$171="Complete",IF(C1812=10,Paths!$I$171,0),"n.a."))</f>
        <v>0</v>
      </c>
      <c r="M1812" s="16">
        <f>IF(NOT(Paths!$C$171=1),0,IF(Paths!$P$171="Complete",IF(AND(Paths!$D$171="EV",Paths!$E$171&lt;120,Paths!$E$171+'Operating costs'!$B$65&gt;Paths!$E$171,Paths!$E$171+'Operating costs'!$B$65&lt;=120,IF(Paths!$E$171+'Operating costs'!$B$65=0,C1812=0,AND(C1812&gt;0,Paths!$E$171+'Operating costs'!$B$65&gt;(C1812-1)*12,Paths!$E$171+'Operating costs'!$B$65&lt;=C1812*12))),'Operating costs'!$B$64,0)+IF(AND('Operating costs'!$B$67&gt;0,'Operating costs'!$B$67&lt;=120,OR(Paths!$D$171="ICE",'Operating costs'!$B$67&lt;=Paths!$E$171),IF('Operating costs'!$B$67=0,C1812=0,AND(C1812&gt;0,'Operating costs'!$B$67&gt;(C1812-1)*12,'Operating costs'!$B$67&lt;=C1812*12))),'Operating costs'!$B$66,0),"n.a."))</f>
        <v>0</v>
      </c>
      <c r="N1812" s="16">
        <f>IF(NOT(Paths!$C$171=1),0,IF(Paths!$P$171="Complete",SUM(G1812:I1812)-J1812-K1812-L1812+M1812+IF(C1812=0,Paths!$F$171,0)+IF(IF(Paths!$E$171=0,C1812=0,AND(C1812&gt;0,Paths!$E$171&gt;(C1812-1)*12,Paths!$E$171&lt;=C1812*12)),VLOOKUP(A1812,'Fleet register'!$A$7:$S$106,16,FALSE),0),"n.a."))</f>
        <v>0</v>
      </c>
      <c r="O1812" s="16">
        <f>IF(NOT(Paths!$C$171=1),0,IF(Paths!$P$171="Complete",N1812-IF(C1812=0,Paths!$F$171,0),"n.a."))</f>
        <v>0</v>
      </c>
      <c r="P1812" s="16">
        <f>IF(NOT(Paths!$C$171=1),0,IF(Paths!$P$171="Complete",O1812+L1812,"n.a."))</f>
        <v>0</v>
      </c>
      <c r="Q1812" s="16">
        <f>IF(NOT(Paths!$C$171=1),0,IF(Paths!$P$171="Complete",N1812*(1+'Operating costs'!$B$54)^-C1812,"n.a."))</f>
        <v>0</v>
      </c>
      <c r="R1812" s="16">
        <f>IF(NOT(Paths!$C$171=1),0,IF(Paths!$P$171="Complete",IF(AND(C1812=0,Paths!$E$171=0),I1812-J1812-K1812+VLOOKUP(A1812,'Fleet register'!$A$7:$S$106,15,FALSE)+VLOOKUP(A1812,'Fleet register'!$A$7:$S$106,16,FALSE),0),"n.a."))</f>
        <v>0</v>
      </c>
      <c r="S1812" s="1">
        <f>IF(NOT(Paths!$C$171=1),0,IF(Paths!$P$171="Complete",IF(C1812=0,0,Paths!$S$171*Paths!$R$171),"n.a."))</f>
        <v>0</v>
      </c>
      <c r="T1812" s="1">
        <f>IF(NOT(Paths!$C$171=1),0,IF(Paths!$P$171="Complete",IF(C1812=0,0,VLOOKUP(A1812,'Fleet register'!$A$7:$S$106,9,FALSE)*Paths!$R$171),"n.a."))</f>
        <v>0</v>
      </c>
    </row>
    <row r="1813" spans="1:20" ht="24" customHeight="1">
      <c r="A1813" s="1" t="str">
        <f>Paths!$A$171</f>
        <v>T042</v>
      </c>
      <c r="B1813" s="1">
        <f>Paths!$B$171</f>
        <v>0</v>
      </c>
      <c r="C1813" s="1">
        <v>2</v>
      </c>
      <c r="D1813" s="1">
        <v>171</v>
      </c>
      <c r="E1813" s="1">
        <f>IF(OR(Paths!$C$171=0,C1813=0),0,MAX(0,MIN(C1813*12,Paths!$E$171)-(C1813-1)*12))</f>
        <v>0</v>
      </c>
      <c r="F1813" s="1">
        <f>IF(OR(Paths!$C$171=0,C1813=0),0,12-E1813)</f>
        <v>0</v>
      </c>
      <c r="G1813" s="16">
        <f>IF(NOT(Paths!$C$171=1),0,IF(Paths!$P$171="Complete",E1813/12*(Paths!$J$171*(1+'Operating costs'!$B$51)^MAX(0,C1813-1)+Paths!$K$171*(1+'Operating costs'!$B$53)^MAX(0,C1813-1)),"n.a."))</f>
        <v>0</v>
      </c>
      <c r="H1813" s="16">
        <f>IF(NOT(Paths!$C$171=1),0,IF(Paths!$P$171="Complete",F1813/12*(Paths!$L$171*(1+IF(Paths!$D$171="EV",'Operating costs'!$B$52,'Operating costs'!$B$51))^MAX(0,C1813-1)+Paths!$M$171*(1+'Operating costs'!$B$53)^MAX(0,C1813-1)),"n.a."))</f>
        <v>0</v>
      </c>
      <c r="I1813" s="16">
        <f>IF(NOT(Paths!$C$171=1),0,IF(Paths!$P$171="Complete",IF(IF(Paths!$E$171=0,C1813=0,AND(C1813&gt;0,Paths!$E$171&gt;(C1813-1)*12,Paths!$E$171&lt;=C1813*12)),Paths!$G$171,0),"n.a."))</f>
        <v>0</v>
      </c>
      <c r="J1813" s="16">
        <f>IF(NOT(Paths!$C$171=1),0,IF(Paths!$P$171="Complete",IF(IF(Paths!$E$171=0,C1813=0,AND(C1813&gt;0,Paths!$E$171&gt;(C1813-1)*12,Paths!$E$171&lt;=C1813*12)),Paths!$H$171,0),"n.a."))</f>
        <v>0</v>
      </c>
      <c r="K1813" s="16">
        <f>IF(NOT(Paths!$C$171=1),0,IF(Paths!$P$171="Complete",IF(IF(Paths!$O$171=0,C1813=0,AND(C1813&gt;0,Paths!$O$171&gt;(C1813-1)*12,Paths!$O$171&lt;=C1813*12)),Paths!$N$171,0),"n.a."))</f>
        <v>0</v>
      </c>
      <c r="L1813" s="16">
        <f>IF(NOT(Paths!$C$171=1),0,IF(Paths!$P$171="Complete",IF(C1813=10,Paths!$I$171,0),"n.a."))</f>
        <v>0</v>
      </c>
      <c r="M1813" s="16">
        <f>IF(NOT(Paths!$C$171=1),0,IF(Paths!$P$171="Complete",IF(AND(Paths!$D$171="EV",Paths!$E$171&lt;120,Paths!$E$171+'Operating costs'!$B$65&gt;Paths!$E$171,Paths!$E$171+'Operating costs'!$B$65&lt;=120,IF(Paths!$E$171+'Operating costs'!$B$65=0,C1813=0,AND(C1813&gt;0,Paths!$E$171+'Operating costs'!$B$65&gt;(C1813-1)*12,Paths!$E$171+'Operating costs'!$B$65&lt;=C1813*12))),'Operating costs'!$B$64,0)+IF(AND('Operating costs'!$B$67&gt;0,'Operating costs'!$B$67&lt;=120,OR(Paths!$D$171="ICE",'Operating costs'!$B$67&lt;=Paths!$E$171),IF('Operating costs'!$B$67=0,C1813=0,AND(C1813&gt;0,'Operating costs'!$B$67&gt;(C1813-1)*12,'Operating costs'!$B$67&lt;=C1813*12))),'Operating costs'!$B$66,0),"n.a."))</f>
        <v>0</v>
      </c>
      <c r="N1813" s="16">
        <f>IF(NOT(Paths!$C$171=1),0,IF(Paths!$P$171="Complete",SUM(G1813:I1813)-J1813-K1813-L1813+M1813+IF(C1813=0,Paths!$F$171,0)+IF(IF(Paths!$E$171=0,C1813=0,AND(C1813&gt;0,Paths!$E$171&gt;(C1813-1)*12,Paths!$E$171&lt;=C1813*12)),VLOOKUP(A1813,'Fleet register'!$A$7:$S$106,16,FALSE),0),"n.a."))</f>
        <v>0</v>
      </c>
      <c r="O1813" s="16">
        <f>IF(NOT(Paths!$C$171=1),0,IF(Paths!$P$171="Complete",N1813-IF(C1813=0,Paths!$F$171,0),"n.a."))</f>
        <v>0</v>
      </c>
      <c r="P1813" s="16">
        <f>IF(NOT(Paths!$C$171=1),0,IF(Paths!$P$171="Complete",O1813+L1813,"n.a."))</f>
        <v>0</v>
      </c>
      <c r="Q1813" s="16">
        <f>IF(NOT(Paths!$C$171=1),0,IF(Paths!$P$171="Complete",N1813*(1+'Operating costs'!$B$54)^-C1813,"n.a."))</f>
        <v>0</v>
      </c>
      <c r="R1813" s="16">
        <f>IF(NOT(Paths!$C$171=1),0,IF(Paths!$P$171="Complete",IF(AND(C1813=0,Paths!$E$171=0),I1813-J1813-K1813+VLOOKUP(A1813,'Fleet register'!$A$7:$S$106,15,FALSE)+VLOOKUP(A1813,'Fleet register'!$A$7:$S$106,16,FALSE),0),"n.a."))</f>
        <v>0</v>
      </c>
      <c r="S1813" s="1">
        <f>IF(NOT(Paths!$C$171=1),0,IF(Paths!$P$171="Complete",IF(C1813=0,0,Paths!$S$171*Paths!$R$171),"n.a."))</f>
        <v>0</v>
      </c>
      <c r="T1813" s="1">
        <f>IF(NOT(Paths!$C$171=1),0,IF(Paths!$P$171="Complete",IF(C1813=0,0,VLOOKUP(A1813,'Fleet register'!$A$7:$S$106,9,FALSE)*Paths!$R$171),"n.a."))</f>
        <v>0</v>
      </c>
    </row>
    <row r="1814" spans="1:20" ht="24" customHeight="1">
      <c r="A1814" s="1" t="str">
        <f>Paths!$A$171</f>
        <v>T042</v>
      </c>
      <c r="B1814" s="1">
        <f>Paths!$B$171</f>
        <v>0</v>
      </c>
      <c r="C1814" s="1">
        <v>3</v>
      </c>
      <c r="D1814" s="1">
        <v>171</v>
      </c>
      <c r="E1814" s="1">
        <f>IF(OR(Paths!$C$171=0,C1814=0),0,MAX(0,MIN(C1814*12,Paths!$E$171)-(C1814-1)*12))</f>
        <v>0</v>
      </c>
      <c r="F1814" s="1">
        <f>IF(OR(Paths!$C$171=0,C1814=0),0,12-E1814)</f>
        <v>0</v>
      </c>
      <c r="G1814" s="16">
        <f>IF(NOT(Paths!$C$171=1),0,IF(Paths!$P$171="Complete",E1814/12*(Paths!$J$171*(1+'Operating costs'!$B$51)^MAX(0,C1814-1)+Paths!$K$171*(1+'Operating costs'!$B$53)^MAX(0,C1814-1)),"n.a."))</f>
        <v>0</v>
      </c>
      <c r="H1814" s="16">
        <f>IF(NOT(Paths!$C$171=1),0,IF(Paths!$P$171="Complete",F1814/12*(Paths!$L$171*(1+IF(Paths!$D$171="EV",'Operating costs'!$B$52,'Operating costs'!$B$51))^MAX(0,C1814-1)+Paths!$M$171*(1+'Operating costs'!$B$53)^MAX(0,C1814-1)),"n.a."))</f>
        <v>0</v>
      </c>
      <c r="I1814" s="16">
        <f>IF(NOT(Paths!$C$171=1),0,IF(Paths!$P$171="Complete",IF(IF(Paths!$E$171=0,C1814=0,AND(C1814&gt;0,Paths!$E$171&gt;(C1814-1)*12,Paths!$E$171&lt;=C1814*12)),Paths!$G$171,0),"n.a."))</f>
        <v>0</v>
      </c>
      <c r="J1814" s="16">
        <f>IF(NOT(Paths!$C$171=1),0,IF(Paths!$P$171="Complete",IF(IF(Paths!$E$171=0,C1814=0,AND(C1814&gt;0,Paths!$E$171&gt;(C1814-1)*12,Paths!$E$171&lt;=C1814*12)),Paths!$H$171,0),"n.a."))</f>
        <v>0</v>
      </c>
      <c r="K1814" s="16">
        <f>IF(NOT(Paths!$C$171=1),0,IF(Paths!$P$171="Complete",IF(IF(Paths!$O$171=0,C1814=0,AND(C1814&gt;0,Paths!$O$171&gt;(C1814-1)*12,Paths!$O$171&lt;=C1814*12)),Paths!$N$171,0),"n.a."))</f>
        <v>0</v>
      </c>
      <c r="L1814" s="16">
        <f>IF(NOT(Paths!$C$171=1),0,IF(Paths!$P$171="Complete",IF(C1814=10,Paths!$I$171,0),"n.a."))</f>
        <v>0</v>
      </c>
      <c r="M1814" s="16">
        <f>IF(NOT(Paths!$C$171=1),0,IF(Paths!$P$171="Complete",IF(AND(Paths!$D$171="EV",Paths!$E$171&lt;120,Paths!$E$171+'Operating costs'!$B$65&gt;Paths!$E$171,Paths!$E$171+'Operating costs'!$B$65&lt;=120,IF(Paths!$E$171+'Operating costs'!$B$65=0,C1814=0,AND(C1814&gt;0,Paths!$E$171+'Operating costs'!$B$65&gt;(C1814-1)*12,Paths!$E$171+'Operating costs'!$B$65&lt;=C1814*12))),'Operating costs'!$B$64,0)+IF(AND('Operating costs'!$B$67&gt;0,'Operating costs'!$B$67&lt;=120,OR(Paths!$D$171="ICE",'Operating costs'!$B$67&lt;=Paths!$E$171),IF('Operating costs'!$B$67=0,C1814=0,AND(C1814&gt;0,'Operating costs'!$B$67&gt;(C1814-1)*12,'Operating costs'!$B$67&lt;=C1814*12))),'Operating costs'!$B$66,0),"n.a."))</f>
        <v>0</v>
      </c>
      <c r="N1814" s="16">
        <f>IF(NOT(Paths!$C$171=1),0,IF(Paths!$P$171="Complete",SUM(G1814:I1814)-J1814-K1814-L1814+M1814+IF(C1814=0,Paths!$F$171,0)+IF(IF(Paths!$E$171=0,C1814=0,AND(C1814&gt;0,Paths!$E$171&gt;(C1814-1)*12,Paths!$E$171&lt;=C1814*12)),VLOOKUP(A1814,'Fleet register'!$A$7:$S$106,16,FALSE),0),"n.a."))</f>
        <v>0</v>
      </c>
      <c r="O1814" s="16">
        <f>IF(NOT(Paths!$C$171=1),0,IF(Paths!$P$171="Complete",N1814-IF(C1814=0,Paths!$F$171,0),"n.a."))</f>
        <v>0</v>
      </c>
      <c r="P1814" s="16">
        <f>IF(NOT(Paths!$C$171=1),0,IF(Paths!$P$171="Complete",O1814+L1814,"n.a."))</f>
        <v>0</v>
      </c>
      <c r="Q1814" s="16">
        <f>IF(NOT(Paths!$C$171=1),0,IF(Paths!$P$171="Complete",N1814*(1+'Operating costs'!$B$54)^-C1814,"n.a."))</f>
        <v>0</v>
      </c>
      <c r="R1814" s="16">
        <f>IF(NOT(Paths!$C$171=1),0,IF(Paths!$P$171="Complete",IF(AND(C1814=0,Paths!$E$171=0),I1814-J1814-K1814+VLOOKUP(A1814,'Fleet register'!$A$7:$S$106,15,FALSE)+VLOOKUP(A1814,'Fleet register'!$A$7:$S$106,16,FALSE),0),"n.a."))</f>
        <v>0</v>
      </c>
      <c r="S1814" s="1">
        <f>IF(NOT(Paths!$C$171=1),0,IF(Paths!$P$171="Complete",IF(C1814=0,0,Paths!$S$171*Paths!$R$171),"n.a."))</f>
        <v>0</v>
      </c>
      <c r="T1814" s="1">
        <f>IF(NOT(Paths!$C$171=1),0,IF(Paths!$P$171="Complete",IF(C1814=0,0,VLOOKUP(A1814,'Fleet register'!$A$7:$S$106,9,FALSE)*Paths!$R$171),"n.a."))</f>
        <v>0</v>
      </c>
    </row>
    <row r="1815" spans="1:20" ht="24" customHeight="1">
      <c r="A1815" s="1" t="str">
        <f>Paths!$A$171</f>
        <v>T042</v>
      </c>
      <c r="B1815" s="1">
        <f>Paths!$B$171</f>
        <v>0</v>
      </c>
      <c r="C1815" s="1">
        <v>4</v>
      </c>
      <c r="D1815" s="1">
        <v>171</v>
      </c>
      <c r="E1815" s="1">
        <f>IF(OR(Paths!$C$171=0,C1815=0),0,MAX(0,MIN(C1815*12,Paths!$E$171)-(C1815-1)*12))</f>
        <v>0</v>
      </c>
      <c r="F1815" s="1">
        <f>IF(OR(Paths!$C$171=0,C1815=0),0,12-E1815)</f>
        <v>0</v>
      </c>
      <c r="G1815" s="16">
        <f>IF(NOT(Paths!$C$171=1),0,IF(Paths!$P$171="Complete",E1815/12*(Paths!$J$171*(1+'Operating costs'!$B$51)^MAX(0,C1815-1)+Paths!$K$171*(1+'Operating costs'!$B$53)^MAX(0,C1815-1)),"n.a."))</f>
        <v>0</v>
      </c>
      <c r="H1815" s="16">
        <f>IF(NOT(Paths!$C$171=1),0,IF(Paths!$P$171="Complete",F1815/12*(Paths!$L$171*(1+IF(Paths!$D$171="EV",'Operating costs'!$B$52,'Operating costs'!$B$51))^MAX(0,C1815-1)+Paths!$M$171*(1+'Operating costs'!$B$53)^MAX(0,C1815-1)),"n.a."))</f>
        <v>0</v>
      </c>
      <c r="I1815" s="16">
        <f>IF(NOT(Paths!$C$171=1),0,IF(Paths!$P$171="Complete",IF(IF(Paths!$E$171=0,C1815=0,AND(C1815&gt;0,Paths!$E$171&gt;(C1815-1)*12,Paths!$E$171&lt;=C1815*12)),Paths!$G$171,0),"n.a."))</f>
        <v>0</v>
      </c>
      <c r="J1815" s="16">
        <f>IF(NOT(Paths!$C$171=1),0,IF(Paths!$P$171="Complete",IF(IF(Paths!$E$171=0,C1815=0,AND(C1815&gt;0,Paths!$E$171&gt;(C1815-1)*12,Paths!$E$171&lt;=C1815*12)),Paths!$H$171,0),"n.a."))</f>
        <v>0</v>
      </c>
      <c r="K1815" s="16">
        <f>IF(NOT(Paths!$C$171=1),0,IF(Paths!$P$171="Complete",IF(IF(Paths!$O$171=0,C1815=0,AND(C1815&gt;0,Paths!$O$171&gt;(C1815-1)*12,Paths!$O$171&lt;=C1815*12)),Paths!$N$171,0),"n.a."))</f>
        <v>0</v>
      </c>
      <c r="L1815" s="16">
        <f>IF(NOT(Paths!$C$171=1),0,IF(Paths!$P$171="Complete",IF(C1815=10,Paths!$I$171,0),"n.a."))</f>
        <v>0</v>
      </c>
      <c r="M1815" s="16">
        <f>IF(NOT(Paths!$C$171=1),0,IF(Paths!$P$171="Complete",IF(AND(Paths!$D$171="EV",Paths!$E$171&lt;120,Paths!$E$171+'Operating costs'!$B$65&gt;Paths!$E$171,Paths!$E$171+'Operating costs'!$B$65&lt;=120,IF(Paths!$E$171+'Operating costs'!$B$65=0,C1815=0,AND(C1815&gt;0,Paths!$E$171+'Operating costs'!$B$65&gt;(C1815-1)*12,Paths!$E$171+'Operating costs'!$B$65&lt;=C1815*12))),'Operating costs'!$B$64,0)+IF(AND('Operating costs'!$B$67&gt;0,'Operating costs'!$B$67&lt;=120,OR(Paths!$D$171="ICE",'Operating costs'!$B$67&lt;=Paths!$E$171),IF('Operating costs'!$B$67=0,C1815=0,AND(C1815&gt;0,'Operating costs'!$B$67&gt;(C1815-1)*12,'Operating costs'!$B$67&lt;=C1815*12))),'Operating costs'!$B$66,0),"n.a."))</f>
        <v>0</v>
      </c>
      <c r="N1815" s="16">
        <f>IF(NOT(Paths!$C$171=1),0,IF(Paths!$P$171="Complete",SUM(G1815:I1815)-J1815-K1815-L1815+M1815+IF(C1815=0,Paths!$F$171,0)+IF(IF(Paths!$E$171=0,C1815=0,AND(C1815&gt;0,Paths!$E$171&gt;(C1815-1)*12,Paths!$E$171&lt;=C1815*12)),VLOOKUP(A1815,'Fleet register'!$A$7:$S$106,16,FALSE),0),"n.a."))</f>
        <v>0</v>
      </c>
      <c r="O1815" s="16">
        <f>IF(NOT(Paths!$C$171=1),0,IF(Paths!$P$171="Complete",N1815-IF(C1815=0,Paths!$F$171,0),"n.a."))</f>
        <v>0</v>
      </c>
      <c r="P1815" s="16">
        <f>IF(NOT(Paths!$C$171=1),0,IF(Paths!$P$171="Complete",O1815+L1815,"n.a."))</f>
        <v>0</v>
      </c>
      <c r="Q1815" s="16">
        <f>IF(NOT(Paths!$C$171=1),0,IF(Paths!$P$171="Complete",N1815*(1+'Operating costs'!$B$54)^-C1815,"n.a."))</f>
        <v>0</v>
      </c>
      <c r="R1815" s="16">
        <f>IF(NOT(Paths!$C$171=1),0,IF(Paths!$P$171="Complete",IF(AND(C1815=0,Paths!$E$171=0),I1815-J1815-K1815+VLOOKUP(A1815,'Fleet register'!$A$7:$S$106,15,FALSE)+VLOOKUP(A1815,'Fleet register'!$A$7:$S$106,16,FALSE),0),"n.a."))</f>
        <v>0</v>
      </c>
      <c r="S1815" s="1">
        <f>IF(NOT(Paths!$C$171=1),0,IF(Paths!$P$171="Complete",IF(C1815=0,0,Paths!$S$171*Paths!$R$171),"n.a."))</f>
        <v>0</v>
      </c>
      <c r="T1815" s="1">
        <f>IF(NOT(Paths!$C$171=1),0,IF(Paths!$P$171="Complete",IF(C1815=0,0,VLOOKUP(A1815,'Fleet register'!$A$7:$S$106,9,FALSE)*Paths!$R$171),"n.a."))</f>
        <v>0</v>
      </c>
    </row>
    <row r="1816" spans="1:20" ht="24" customHeight="1">
      <c r="A1816" s="1" t="str">
        <f>Paths!$A$171</f>
        <v>T042</v>
      </c>
      <c r="B1816" s="1">
        <f>Paths!$B$171</f>
        <v>0</v>
      </c>
      <c r="C1816" s="1">
        <v>5</v>
      </c>
      <c r="D1816" s="1">
        <v>171</v>
      </c>
      <c r="E1816" s="1">
        <f>IF(OR(Paths!$C$171=0,C1816=0),0,MAX(0,MIN(C1816*12,Paths!$E$171)-(C1816-1)*12))</f>
        <v>0</v>
      </c>
      <c r="F1816" s="1">
        <f>IF(OR(Paths!$C$171=0,C1816=0),0,12-E1816)</f>
        <v>0</v>
      </c>
      <c r="G1816" s="16">
        <f>IF(NOT(Paths!$C$171=1),0,IF(Paths!$P$171="Complete",E1816/12*(Paths!$J$171*(1+'Operating costs'!$B$51)^MAX(0,C1816-1)+Paths!$K$171*(1+'Operating costs'!$B$53)^MAX(0,C1816-1)),"n.a."))</f>
        <v>0</v>
      </c>
      <c r="H1816" s="16">
        <f>IF(NOT(Paths!$C$171=1),0,IF(Paths!$P$171="Complete",F1816/12*(Paths!$L$171*(1+IF(Paths!$D$171="EV",'Operating costs'!$B$52,'Operating costs'!$B$51))^MAX(0,C1816-1)+Paths!$M$171*(1+'Operating costs'!$B$53)^MAX(0,C1816-1)),"n.a."))</f>
        <v>0</v>
      </c>
      <c r="I1816" s="16">
        <f>IF(NOT(Paths!$C$171=1),0,IF(Paths!$P$171="Complete",IF(IF(Paths!$E$171=0,C1816=0,AND(C1816&gt;0,Paths!$E$171&gt;(C1816-1)*12,Paths!$E$171&lt;=C1816*12)),Paths!$G$171,0),"n.a."))</f>
        <v>0</v>
      </c>
      <c r="J1816" s="16">
        <f>IF(NOT(Paths!$C$171=1),0,IF(Paths!$P$171="Complete",IF(IF(Paths!$E$171=0,C1816=0,AND(C1816&gt;0,Paths!$E$171&gt;(C1816-1)*12,Paths!$E$171&lt;=C1816*12)),Paths!$H$171,0),"n.a."))</f>
        <v>0</v>
      </c>
      <c r="K1816" s="16">
        <f>IF(NOT(Paths!$C$171=1),0,IF(Paths!$P$171="Complete",IF(IF(Paths!$O$171=0,C1816=0,AND(C1816&gt;0,Paths!$O$171&gt;(C1816-1)*12,Paths!$O$171&lt;=C1816*12)),Paths!$N$171,0),"n.a."))</f>
        <v>0</v>
      </c>
      <c r="L1816" s="16">
        <f>IF(NOT(Paths!$C$171=1),0,IF(Paths!$P$171="Complete",IF(C1816=10,Paths!$I$171,0),"n.a."))</f>
        <v>0</v>
      </c>
      <c r="M1816" s="16">
        <f>IF(NOT(Paths!$C$171=1),0,IF(Paths!$P$171="Complete",IF(AND(Paths!$D$171="EV",Paths!$E$171&lt;120,Paths!$E$171+'Operating costs'!$B$65&gt;Paths!$E$171,Paths!$E$171+'Operating costs'!$B$65&lt;=120,IF(Paths!$E$171+'Operating costs'!$B$65=0,C1816=0,AND(C1816&gt;0,Paths!$E$171+'Operating costs'!$B$65&gt;(C1816-1)*12,Paths!$E$171+'Operating costs'!$B$65&lt;=C1816*12))),'Operating costs'!$B$64,0)+IF(AND('Operating costs'!$B$67&gt;0,'Operating costs'!$B$67&lt;=120,OR(Paths!$D$171="ICE",'Operating costs'!$B$67&lt;=Paths!$E$171),IF('Operating costs'!$B$67=0,C1816=0,AND(C1816&gt;0,'Operating costs'!$B$67&gt;(C1816-1)*12,'Operating costs'!$B$67&lt;=C1816*12))),'Operating costs'!$B$66,0),"n.a."))</f>
        <v>0</v>
      </c>
      <c r="N1816" s="16">
        <f>IF(NOT(Paths!$C$171=1),0,IF(Paths!$P$171="Complete",SUM(G1816:I1816)-J1816-K1816-L1816+M1816+IF(C1816=0,Paths!$F$171,0)+IF(IF(Paths!$E$171=0,C1816=0,AND(C1816&gt;0,Paths!$E$171&gt;(C1816-1)*12,Paths!$E$171&lt;=C1816*12)),VLOOKUP(A1816,'Fleet register'!$A$7:$S$106,16,FALSE),0),"n.a."))</f>
        <v>0</v>
      </c>
      <c r="O1816" s="16">
        <f>IF(NOT(Paths!$C$171=1),0,IF(Paths!$P$171="Complete",N1816-IF(C1816=0,Paths!$F$171,0),"n.a."))</f>
        <v>0</v>
      </c>
      <c r="P1816" s="16">
        <f>IF(NOT(Paths!$C$171=1),0,IF(Paths!$P$171="Complete",O1816+L1816,"n.a."))</f>
        <v>0</v>
      </c>
      <c r="Q1816" s="16">
        <f>IF(NOT(Paths!$C$171=1),0,IF(Paths!$P$171="Complete",N1816*(1+'Operating costs'!$B$54)^-C1816,"n.a."))</f>
        <v>0</v>
      </c>
      <c r="R1816" s="16">
        <f>IF(NOT(Paths!$C$171=1),0,IF(Paths!$P$171="Complete",IF(AND(C1816=0,Paths!$E$171=0),I1816-J1816-K1816+VLOOKUP(A1816,'Fleet register'!$A$7:$S$106,15,FALSE)+VLOOKUP(A1816,'Fleet register'!$A$7:$S$106,16,FALSE),0),"n.a."))</f>
        <v>0</v>
      </c>
      <c r="S1816" s="1">
        <f>IF(NOT(Paths!$C$171=1),0,IF(Paths!$P$171="Complete",IF(C1816=0,0,Paths!$S$171*Paths!$R$171),"n.a."))</f>
        <v>0</v>
      </c>
      <c r="T1816" s="1">
        <f>IF(NOT(Paths!$C$171=1),0,IF(Paths!$P$171="Complete",IF(C1816=0,0,VLOOKUP(A1816,'Fleet register'!$A$7:$S$106,9,FALSE)*Paths!$R$171),"n.a."))</f>
        <v>0</v>
      </c>
    </row>
    <row r="1817" spans="1:20" ht="24" customHeight="1">
      <c r="A1817" s="1" t="str">
        <f>Paths!$A$171</f>
        <v>T042</v>
      </c>
      <c r="B1817" s="1">
        <f>Paths!$B$171</f>
        <v>0</v>
      </c>
      <c r="C1817" s="1">
        <v>6</v>
      </c>
      <c r="D1817" s="1">
        <v>171</v>
      </c>
      <c r="E1817" s="1">
        <f>IF(OR(Paths!$C$171=0,C1817=0),0,MAX(0,MIN(C1817*12,Paths!$E$171)-(C1817-1)*12))</f>
        <v>0</v>
      </c>
      <c r="F1817" s="1">
        <f>IF(OR(Paths!$C$171=0,C1817=0),0,12-E1817)</f>
        <v>0</v>
      </c>
      <c r="G1817" s="16">
        <f>IF(NOT(Paths!$C$171=1),0,IF(Paths!$P$171="Complete",E1817/12*(Paths!$J$171*(1+'Operating costs'!$B$51)^MAX(0,C1817-1)+Paths!$K$171*(1+'Operating costs'!$B$53)^MAX(0,C1817-1)),"n.a."))</f>
        <v>0</v>
      </c>
      <c r="H1817" s="16">
        <f>IF(NOT(Paths!$C$171=1),0,IF(Paths!$P$171="Complete",F1817/12*(Paths!$L$171*(1+IF(Paths!$D$171="EV",'Operating costs'!$B$52,'Operating costs'!$B$51))^MAX(0,C1817-1)+Paths!$M$171*(1+'Operating costs'!$B$53)^MAX(0,C1817-1)),"n.a."))</f>
        <v>0</v>
      </c>
      <c r="I1817" s="16">
        <f>IF(NOT(Paths!$C$171=1),0,IF(Paths!$P$171="Complete",IF(IF(Paths!$E$171=0,C1817=0,AND(C1817&gt;0,Paths!$E$171&gt;(C1817-1)*12,Paths!$E$171&lt;=C1817*12)),Paths!$G$171,0),"n.a."))</f>
        <v>0</v>
      </c>
      <c r="J1817" s="16">
        <f>IF(NOT(Paths!$C$171=1),0,IF(Paths!$P$171="Complete",IF(IF(Paths!$E$171=0,C1817=0,AND(C1817&gt;0,Paths!$E$171&gt;(C1817-1)*12,Paths!$E$171&lt;=C1817*12)),Paths!$H$171,0),"n.a."))</f>
        <v>0</v>
      </c>
      <c r="K1817" s="16">
        <f>IF(NOT(Paths!$C$171=1),0,IF(Paths!$P$171="Complete",IF(IF(Paths!$O$171=0,C1817=0,AND(C1817&gt;0,Paths!$O$171&gt;(C1817-1)*12,Paths!$O$171&lt;=C1817*12)),Paths!$N$171,0),"n.a."))</f>
        <v>0</v>
      </c>
      <c r="L1817" s="16">
        <f>IF(NOT(Paths!$C$171=1),0,IF(Paths!$P$171="Complete",IF(C1817=10,Paths!$I$171,0),"n.a."))</f>
        <v>0</v>
      </c>
      <c r="M1817" s="16">
        <f>IF(NOT(Paths!$C$171=1),0,IF(Paths!$P$171="Complete",IF(AND(Paths!$D$171="EV",Paths!$E$171&lt;120,Paths!$E$171+'Operating costs'!$B$65&gt;Paths!$E$171,Paths!$E$171+'Operating costs'!$B$65&lt;=120,IF(Paths!$E$171+'Operating costs'!$B$65=0,C1817=0,AND(C1817&gt;0,Paths!$E$171+'Operating costs'!$B$65&gt;(C1817-1)*12,Paths!$E$171+'Operating costs'!$B$65&lt;=C1817*12))),'Operating costs'!$B$64,0)+IF(AND('Operating costs'!$B$67&gt;0,'Operating costs'!$B$67&lt;=120,OR(Paths!$D$171="ICE",'Operating costs'!$B$67&lt;=Paths!$E$171),IF('Operating costs'!$B$67=0,C1817=0,AND(C1817&gt;0,'Operating costs'!$B$67&gt;(C1817-1)*12,'Operating costs'!$B$67&lt;=C1817*12))),'Operating costs'!$B$66,0),"n.a."))</f>
        <v>0</v>
      </c>
      <c r="N1817" s="16">
        <f>IF(NOT(Paths!$C$171=1),0,IF(Paths!$P$171="Complete",SUM(G1817:I1817)-J1817-K1817-L1817+M1817+IF(C1817=0,Paths!$F$171,0)+IF(IF(Paths!$E$171=0,C1817=0,AND(C1817&gt;0,Paths!$E$171&gt;(C1817-1)*12,Paths!$E$171&lt;=C1817*12)),VLOOKUP(A1817,'Fleet register'!$A$7:$S$106,16,FALSE),0),"n.a."))</f>
        <v>0</v>
      </c>
      <c r="O1817" s="16">
        <f>IF(NOT(Paths!$C$171=1),0,IF(Paths!$P$171="Complete",N1817-IF(C1817=0,Paths!$F$171,0),"n.a."))</f>
        <v>0</v>
      </c>
      <c r="P1817" s="16">
        <f>IF(NOT(Paths!$C$171=1),0,IF(Paths!$P$171="Complete",O1817+L1817,"n.a."))</f>
        <v>0</v>
      </c>
      <c r="Q1817" s="16">
        <f>IF(NOT(Paths!$C$171=1),0,IF(Paths!$P$171="Complete",N1817*(1+'Operating costs'!$B$54)^-C1817,"n.a."))</f>
        <v>0</v>
      </c>
      <c r="R1817" s="16">
        <f>IF(NOT(Paths!$C$171=1),0,IF(Paths!$P$171="Complete",IF(AND(C1817=0,Paths!$E$171=0),I1817-J1817-K1817+VLOOKUP(A1817,'Fleet register'!$A$7:$S$106,15,FALSE)+VLOOKUP(A1817,'Fleet register'!$A$7:$S$106,16,FALSE),0),"n.a."))</f>
        <v>0</v>
      </c>
      <c r="S1817" s="1">
        <f>IF(NOT(Paths!$C$171=1),0,IF(Paths!$P$171="Complete",IF(C1817=0,0,Paths!$S$171*Paths!$R$171),"n.a."))</f>
        <v>0</v>
      </c>
      <c r="T1817" s="1">
        <f>IF(NOT(Paths!$C$171=1),0,IF(Paths!$P$171="Complete",IF(C1817=0,0,VLOOKUP(A1817,'Fleet register'!$A$7:$S$106,9,FALSE)*Paths!$R$171),"n.a."))</f>
        <v>0</v>
      </c>
    </row>
    <row r="1818" spans="1:20" ht="24" customHeight="1">
      <c r="A1818" s="1" t="str">
        <f>Paths!$A$171</f>
        <v>T042</v>
      </c>
      <c r="B1818" s="1">
        <f>Paths!$B$171</f>
        <v>0</v>
      </c>
      <c r="C1818" s="1">
        <v>7</v>
      </c>
      <c r="D1818" s="1">
        <v>171</v>
      </c>
      <c r="E1818" s="1">
        <f>IF(OR(Paths!$C$171=0,C1818=0),0,MAX(0,MIN(C1818*12,Paths!$E$171)-(C1818-1)*12))</f>
        <v>0</v>
      </c>
      <c r="F1818" s="1">
        <f>IF(OR(Paths!$C$171=0,C1818=0),0,12-E1818)</f>
        <v>0</v>
      </c>
      <c r="G1818" s="16">
        <f>IF(NOT(Paths!$C$171=1),0,IF(Paths!$P$171="Complete",E1818/12*(Paths!$J$171*(1+'Operating costs'!$B$51)^MAX(0,C1818-1)+Paths!$K$171*(1+'Operating costs'!$B$53)^MAX(0,C1818-1)),"n.a."))</f>
        <v>0</v>
      </c>
      <c r="H1818" s="16">
        <f>IF(NOT(Paths!$C$171=1),0,IF(Paths!$P$171="Complete",F1818/12*(Paths!$L$171*(1+IF(Paths!$D$171="EV",'Operating costs'!$B$52,'Operating costs'!$B$51))^MAX(0,C1818-1)+Paths!$M$171*(1+'Operating costs'!$B$53)^MAX(0,C1818-1)),"n.a."))</f>
        <v>0</v>
      </c>
      <c r="I1818" s="16">
        <f>IF(NOT(Paths!$C$171=1),0,IF(Paths!$P$171="Complete",IF(IF(Paths!$E$171=0,C1818=0,AND(C1818&gt;0,Paths!$E$171&gt;(C1818-1)*12,Paths!$E$171&lt;=C1818*12)),Paths!$G$171,0),"n.a."))</f>
        <v>0</v>
      </c>
      <c r="J1818" s="16">
        <f>IF(NOT(Paths!$C$171=1),0,IF(Paths!$P$171="Complete",IF(IF(Paths!$E$171=0,C1818=0,AND(C1818&gt;0,Paths!$E$171&gt;(C1818-1)*12,Paths!$E$171&lt;=C1818*12)),Paths!$H$171,0),"n.a."))</f>
        <v>0</v>
      </c>
      <c r="K1818" s="16">
        <f>IF(NOT(Paths!$C$171=1),0,IF(Paths!$P$171="Complete",IF(IF(Paths!$O$171=0,C1818=0,AND(C1818&gt;0,Paths!$O$171&gt;(C1818-1)*12,Paths!$O$171&lt;=C1818*12)),Paths!$N$171,0),"n.a."))</f>
        <v>0</v>
      </c>
      <c r="L1818" s="16">
        <f>IF(NOT(Paths!$C$171=1),0,IF(Paths!$P$171="Complete",IF(C1818=10,Paths!$I$171,0),"n.a."))</f>
        <v>0</v>
      </c>
      <c r="M1818" s="16">
        <f>IF(NOT(Paths!$C$171=1),0,IF(Paths!$P$171="Complete",IF(AND(Paths!$D$171="EV",Paths!$E$171&lt;120,Paths!$E$171+'Operating costs'!$B$65&gt;Paths!$E$171,Paths!$E$171+'Operating costs'!$B$65&lt;=120,IF(Paths!$E$171+'Operating costs'!$B$65=0,C1818=0,AND(C1818&gt;0,Paths!$E$171+'Operating costs'!$B$65&gt;(C1818-1)*12,Paths!$E$171+'Operating costs'!$B$65&lt;=C1818*12))),'Operating costs'!$B$64,0)+IF(AND('Operating costs'!$B$67&gt;0,'Operating costs'!$B$67&lt;=120,OR(Paths!$D$171="ICE",'Operating costs'!$B$67&lt;=Paths!$E$171),IF('Operating costs'!$B$67=0,C1818=0,AND(C1818&gt;0,'Operating costs'!$B$67&gt;(C1818-1)*12,'Operating costs'!$B$67&lt;=C1818*12))),'Operating costs'!$B$66,0),"n.a."))</f>
        <v>0</v>
      </c>
      <c r="N1818" s="16">
        <f>IF(NOT(Paths!$C$171=1),0,IF(Paths!$P$171="Complete",SUM(G1818:I1818)-J1818-K1818-L1818+M1818+IF(C1818=0,Paths!$F$171,0)+IF(IF(Paths!$E$171=0,C1818=0,AND(C1818&gt;0,Paths!$E$171&gt;(C1818-1)*12,Paths!$E$171&lt;=C1818*12)),VLOOKUP(A1818,'Fleet register'!$A$7:$S$106,16,FALSE),0),"n.a."))</f>
        <v>0</v>
      </c>
      <c r="O1818" s="16">
        <f>IF(NOT(Paths!$C$171=1),0,IF(Paths!$P$171="Complete",N1818-IF(C1818=0,Paths!$F$171,0),"n.a."))</f>
        <v>0</v>
      </c>
      <c r="P1818" s="16">
        <f>IF(NOT(Paths!$C$171=1),0,IF(Paths!$P$171="Complete",O1818+L1818,"n.a."))</f>
        <v>0</v>
      </c>
      <c r="Q1818" s="16">
        <f>IF(NOT(Paths!$C$171=1),0,IF(Paths!$P$171="Complete",N1818*(1+'Operating costs'!$B$54)^-C1818,"n.a."))</f>
        <v>0</v>
      </c>
      <c r="R1818" s="16">
        <f>IF(NOT(Paths!$C$171=1),0,IF(Paths!$P$171="Complete",IF(AND(C1818=0,Paths!$E$171=0),I1818-J1818-K1818+VLOOKUP(A1818,'Fleet register'!$A$7:$S$106,15,FALSE)+VLOOKUP(A1818,'Fleet register'!$A$7:$S$106,16,FALSE),0),"n.a."))</f>
        <v>0</v>
      </c>
      <c r="S1818" s="1">
        <f>IF(NOT(Paths!$C$171=1),0,IF(Paths!$P$171="Complete",IF(C1818=0,0,Paths!$S$171*Paths!$R$171),"n.a."))</f>
        <v>0</v>
      </c>
      <c r="T1818" s="1">
        <f>IF(NOT(Paths!$C$171=1),0,IF(Paths!$P$171="Complete",IF(C1818=0,0,VLOOKUP(A1818,'Fleet register'!$A$7:$S$106,9,FALSE)*Paths!$R$171),"n.a."))</f>
        <v>0</v>
      </c>
    </row>
    <row r="1819" spans="1:20" ht="24" customHeight="1">
      <c r="A1819" s="1" t="str">
        <f>Paths!$A$171</f>
        <v>T042</v>
      </c>
      <c r="B1819" s="1">
        <f>Paths!$B$171</f>
        <v>0</v>
      </c>
      <c r="C1819" s="1">
        <v>8</v>
      </c>
      <c r="D1819" s="1">
        <v>171</v>
      </c>
      <c r="E1819" s="1">
        <f>IF(OR(Paths!$C$171=0,C1819=0),0,MAX(0,MIN(C1819*12,Paths!$E$171)-(C1819-1)*12))</f>
        <v>0</v>
      </c>
      <c r="F1819" s="1">
        <f>IF(OR(Paths!$C$171=0,C1819=0),0,12-E1819)</f>
        <v>0</v>
      </c>
      <c r="G1819" s="16">
        <f>IF(NOT(Paths!$C$171=1),0,IF(Paths!$P$171="Complete",E1819/12*(Paths!$J$171*(1+'Operating costs'!$B$51)^MAX(0,C1819-1)+Paths!$K$171*(1+'Operating costs'!$B$53)^MAX(0,C1819-1)),"n.a."))</f>
        <v>0</v>
      </c>
      <c r="H1819" s="16">
        <f>IF(NOT(Paths!$C$171=1),0,IF(Paths!$P$171="Complete",F1819/12*(Paths!$L$171*(1+IF(Paths!$D$171="EV",'Operating costs'!$B$52,'Operating costs'!$B$51))^MAX(0,C1819-1)+Paths!$M$171*(1+'Operating costs'!$B$53)^MAX(0,C1819-1)),"n.a."))</f>
        <v>0</v>
      </c>
      <c r="I1819" s="16">
        <f>IF(NOT(Paths!$C$171=1),0,IF(Paths!$P$171="Complete",IF(IF(Paths!$E$171=0,C1819=0,AND(C1819&gt;0,Paths!$E$171&gt;(C1819-1)*12,Paths!$E$171&lt;=C1819*12)),Paths!$G$171,0),"n.a."))</f>
        <v>0</v>
      </c>
      <c r="J1819" s="16">
        <f>IF(NOT(Paths!$C$171=1),0,IF(Paths!$P$171="Complete",IF(IF(Paths!$E$171=0,C1819=0,AND(C1819&gt;0,Paths!$E$171&gt;(C1819-1)*12,Paths!$E$171&lt;=C1819*12)),Paths!$H$171,0),"n.a."))</f>
        <v>0</v>
      </c>
      <c r="K1819" s="16">
        <f>IF(NOT(Paths!$C$171=1),0,IF(Paths!$P$171="Complete",IF(IF(Paths!$O$171=0,C1819=0,AND(C1819&gt;0,Paths!$O$171&gt;(C1819-1)*12,Paths!$O$171&lt;=C1819*12)),Paths!$N$171,0),"n.a."))</f>
        <v>0</v>
      </c>
      <c r="L1819" s="16">
        <f>IF(NOT(Paths!$C$171=1),0,IF(Paths!$P$171="Complete",IF(C1819=10,Paths!$I$171,0),"n.a."))</f>
        <v>0</v>
      </c>
      <c r="M1819" s="16">
        <f>IF(NOT(Paths!$C$171=1),0,IF(Paths!$P$171="Complete",IF(AND(Paths!$D$171="EV",Paths!$E$171&lt;120,Paths!$E$171+'Operating costs'!$B$65&gt;Paths!$E$171,Paths!$E$171+'Operating costs'!$B$65&lt;=120,IF(Paths!$E$171+'Operating costs'!$B$65=0,C1819=0,AND(C1819&gt;0,Paths!$E$171+'Operating costs'!$B$65&gt;(C1819-1)*12,Paths!$E$171+'Operating costs'!$B$65&lt;=C1819*12))),'Operating costs'!$B$64,0)+IF(AND('Operating costs'!$B$67&gt;0,'Operating costs'!$B$67&lt;=120,OR(Paths!$D$171="ICE",'Operating costs'!$B$67&lt;=Paths!$E$171),IF('Operating costs'!$B$67=0,C1819=0,AND(C1819&gt;0,'Operating costs'!$B$67&gt;(C1819-1)*12,'Operating costs'!$B$67&lt;=C1819*12))),'Operating costs'!$B$66,0),"n.a."))</f>
        <v>0</v>
      </c>
      <c r="N1819" s="16">
        <f>IF(NOT(Paths!$C$171=1),0,IF(Paths!$P$171="Complete",SUM(G1819:I1819)-J1819-K1819-L1819+M1819+IF(C1819=0,Paths!$F$171,0)+IF(IF(Paths!$E$171=0,C1819=0,AND(C1819&gt;0,Paths!$E$171&gt;(C1819-1)*12,Paths!$E$171&lt;=C1819*12)),VLOOKUP(A1819,'Fleet register'!$A$7:$S$106,16,FALSE),0),"n.a."))</f>
        <v>0</v>
      </c>
      <c r="O1819" s="16">
        <f>IF(NOT(Paths!$C$171=1),0,IF(Paths!$P$171="Complete",N1819-IF(C1819=0,Paths!$F$171,0),"n.a."))</f>
        <v>0</v>
      </c>
      <c r="P1819" s="16">
        <f>IF(NOT(Paths!$C$171=1),0,IF(Paths!$P$171="Complete",O1819+L1819,"n.a."))</f>
        <v>0</v>
      </c>
      <c r="Q1819" s="16">
        <f>IF(NOT(Paths!$C$171=1),0,IF(Paths!$P$171="Complete",N1819*(1+'Operating costs'!$B$54)^-C1819,"n.a."))</f>
        <v>0</v>
      </c>
      <c r="R1819" s="16">
        <f>IF(NOT(Paths!$C$171=1),0,IF(Paths!$P$171="Complete",IF(AND(C1819=0,Paths!$E$171=0),I1819-J1819-K1819+VLOOKUP(A1819,'Fleet register'!$A$7:$S$106,15,FALSE)+VLOOKUP(A1819,'Fleet register'!$A$7:$S$106,16,FALSE),0),"n.a."))</f>
        <v>0</v>
      </c>
      <c r="S1819" s="1">
        <f>IF(NOT(Paths!$C$171=1),0,IF(Paths!$P$171="Complete",IF(C1819=0,0,Paths!$S$171*Paths!$R$171),"n.a."))</f>
        <v>0</v>
      </c>
      <c r="T1819" s="1">
        <f>IF(NOT(Paths!$C$171=1),0,IF(Paths!$P$171="Complete",IF(C1819=0,0,VLOOKUP(A1819,'Fleet register'!$A$7:$S$106,9,FALSE)*Paths!$R$171),"n.a."))</f>
        <v>0</v>
      </c>
    </row>
    <row r="1820" spans="1:20" ht="24" customHeight="1">
      <c r="A1820" s="1" t="str">
        <f>Paths!$A$171</f>
        <v>T042</v>
      </c>
      <c r="B1820" s="1">
        <f>Paths!$B$171</f>
        <v>0</v>
      </c>
      <c r="C1820" s="1">
        <v>9</v>
      </c>
      <c r="D1820" s="1">
        <v>171</v>
      </c>
      <c r="E1820" s="1">
        <f>IF(OR(Paths!$C$171=0,C1820=0),0,MAX(0,MIN(C1820*12,Paths!$E$171)-(C1820-1)*12))</f>
        <v>0</v>
      </c>
      <c r="F1820" s="1">
        <f>IF(OR(Paths!$C$171=0,C1820=0),0,12-E1820)</f>
        <v>0</v>
      </c>
      <c r="G1820" s="16">
        <f>IF(NOT(Paths!$C$171=1),0,IF(Paths!$P$171="Complete",E1820/12*(Paths!$J$171*(1+'Operating costs'!$B$51)^MAX(0,C1820-1)+Paths!$K$171*(1+'Operating costs'!$B$53)^MAX(0,C1820-1)),"n.a."))</f>
        <v>0</v>
      </c>
      <c r="H1820" s="16">
        <f>IF(NOT(Paths!$C$171=1),0,IF(Paths!$P$171="Complete",F1820/12*(Paths!$L$171*(1+IF(Paths!$D$171="EV",'Operating costs'!$B$52,'Operating costs'!$B$51))^MAX(0,C1820-1)+Paths!$M$171*(1+'Operating costs'!$B$53)^MAX(0,C1820-1)),"n.a."))</f>
        <v>0</v>
      </c>
      <c r="I1820" s="16">
        <f>IF(NOT(Paths!$C$171=1),0,IF(Paths!$P$171="Complete",IF(IF(Paths!$E$171=0,C1820=0,AND(C1820&gt;0,Paths!$E$171&gt;(C1820-1)*12,Paths!$E$171&lt;=C1820*12)),Paths!$G$171,0),"n.a."))</f>
        <v>0</v>
      </c>
      <c r="J1820" s="16">
        <f>IF(NOT(Paths!$C$171=1),0,IF(Paths!$P$171="Complete",IF(IF(Paths!$E$171=0,C1820=0,AND(C1820&gt;0,Paths!$E$171&gt;(C1820-1)*12,Paths!$E$171&lt;=C1820*12)),Paths!$H$171,0),"n.a."))</f>
        <v>0</v>
      </c>
      <c r="K1820" s="16">
        <f>IF(NOT(Paths!$C$171=1),0,IF(Paths!$P$171="Complete",IF(IF(Paths!$O$171=0,C1820=0,AND(C1820&gt;0,Paths!$O$171&gt;(C1820-1)*12,Paths!$O$171&lt;=C1820*12)),Paths!$N$171,0),"n.a."))</f>
        <v>0</v>
      </c>
      <c r="L1820" s="16">
        <f>IF(NOT(Paths!$C$171=1),0,IF(Paths!$P$171="Complete",IF(C1820=10,Paths!$I$171,0),"n.a."))</f>
        <v>0</v>
      </c>
      <c r="M1820" s="16">
        <f>IF(NOT(Paths!$C$171=1),0,IF(Paths!$P$171="Complete",IF(AND(Paths!$D$171="EV",Paths!$E$171&lt;120,Paths!$E$171+'Operating costs'!$B$65&gt;Paths!$E$171,Paths!$E$171+'Operating costs'!$B$65&lt;=120,IF(Paths!$E$171+'Operating costs'!$B$65=0,C1820=0,AND(C1820&gt;0,Paths!$E$171+'Operating costs'!$B$65&gt;(C1820-1)*12,Paths!$E$171+'Operating costs'!$B$65&lt;=C1820*12))),'Operating costs'!$B$64,0)+IF(AND('Operating costs'!$B$67&gt;0,'Operating costs'!$B$67&lt;=120,OR(Paths!$D$171="ICE",'Operating costs'!$B$67&lt;=Paths!$E$171),IF('Operating costs'!$B$67=0,C1820=0,AND(C1820&gt;0,'Operating costs'!$B$67&gt;(C1820-1)*12,'Operating costs'!$B$67&lt;=C1820*12))),'Operating costs'!$B$66,0),"n.a."))</f>
        <v>0</v>
      </c>
      <c r="N1820" s="16">
        <f>IF(NOT(Paths!$C$171=1),0,IF(Paths!$P$171="Complete",SUM(G1820:I1820)-J1820-K1820-L1820+M1820+IF(C1820=0,Paths!$F$171,0)+IF(IF(Paths!$E$171=0,C1820=0,AND(C1820&gt;0,Paths!$E$171&gt;(C1820-1)*12,Paths!$E$171&lt;=C1820*12)),VLOOKUP(A1820,'Fleet register'!$A$7:$S$106,16,FALSE),0),"n.a."))</f>
        <v>0</v>
      </c>
      <c r="O1820" s="16">
        <f>IF(NOT(Paths!$C$171=1),0,IF(Paths!$P$171="Complete",N1820-IF(C1820=0,Paths!$F$171,0),"n.a."))</f>
        <v>0</v>
      </c>
      <c r="P1820" s="16">
        <f>IF(NOT(Paths!$C$171=1),0,IF(Paths!$P$171="Complete",O1820+L1820,"n.a."))</f>
        <v>0</v>
      </c>
      <c r="Q1820" s="16">
        <f>IF(NOT(Paths!$C$171=1),0,IF(Paths!$P$171="Complete",N1820*(1+'Operating costs'!$B$54)^-C1820,"n.a."))</f>
        <v>0</v>
      </c>
      <c r="R1820" s="16">
        <f>IF(NOT(Paths!$C$171=1),0,IF(Paths!$P$171="Complete",IF(AND(C1820=0,Paths!$E$171=0),I1820-J1820-K1820+VLOOKUP(A1820,'Fleet register'!$A$7:$S$106,15,FALSE)+VLOOKUP(A1820,'Fleet register'!$A$7:$S$106,16,FALSE),0),"n.a."))</f>
        <v>0</v>
      </c>
      <c r="S1820" s="1">
        <f>IF(NOT(Paths!$C$171=1),0,IF(Paths!$P$171="Complete",IF(C1820=0,0,Paths!$S$171*Paths!$R$171),"n.a."))</f>
        <v>0</v>
      </c>
      <c r="T1820" s="1">
        <f>IF(NOT(Paths!$C$171=1),0,IF(Paths!$P$171="Complete",IF(C1820=0,0,VLOOKUP(A1820,'Fleet register'!$A$7:$S$106,9,FALSE)*Paths!$R$171),"n.a."))</f>
        <v>0</v>
      </c>
    </row>
    <row r="1821" spans="1:20" ht="24" customHeight="1">
      <c r="A1821" s="1" t="str">
        <f>Paths!$A$171</f>
        <v>T042</v>
      </c>
      <c r="B1821" s="1">
        <f>Paths!$B$171</f>
        <v>0</v>
      </c>
      <c r="C1821" s="1">
        <v>10</v>
      </c>
      <c r="D1821" s="1">
        <v>171</v>
      </c>
      <c r="E1821" s="1">
        <f>IF(OR(Paths!$C$171=0,C1821=0),0,MAX(0,MIN(C1821*12,Paths!$E$171)-(C1821-1)*12))</f>
        <v>0</v>
      </c>
      <c r="F1821" s="1">
        <f>IF(OR(Paths!$C$171=0,C1821=0),0,12-E1821)</f>
        <v>0</v>
      </c>
      <c r="G1821" s="16">
        <f>IF(NOT(Paths!$C$171=1),0,IF(Paths!$P$171="Complete",E1821/12*(Paths!$J$171*(1+'Operating costs'!$B$51)^MAX(0,C1821-1)+Paths!$K$171*(1+'Operating costs'!$B$53)^MAX(0,C1821-1)),"n.a."))</f>
        <v>0</v>
      </c>
      <c r="H1821" s="16">
        <f>IF(NOT(Paths!$C$171=1),0,IF(Paths!$P$171="Complete",F1821/12*(Paths!$L$171*(1+IF(Paths!$D$171="EV",'Operating costs'!$B$52,'Operating costs'!$B$51))^MAX(0,C1821-1)+Paths!$M$171*(1+'Operating costs'!$B$53)^MAX(0,C1821-1)),"n.a."))</f>
        <v>0</v>
      </c>
      <c r="I1821" s="16">
        <f>IF(NOT(Paths!$C$171=1),0,IF(Paths!$P$171="Complete",IF(IF(Paths!$E$171=0,C1821=0,AND(C1821&gt;0,Paths!$E$171&gt;(C1821-1)*12,Paths!$E$171&lt;=C1821*12)),Paths!$G$171,0),"n.a."))</f>
        <v>0</v>
      </c>
      <c r="J1821" s="16">
        <f>IF(NOT(Paths!$C$171=1),0,IF(Paths!$P$171="Complete",IF(IF(Paths!$E$171=0,C1821=0,AND(C1821&gt;0,Paths!$E$171&gt;(C1821-1)*12,Paths!$E$171&lt;=C1821*12)),Paths!$H$171,0),"n.a."))</f>
        <v>0</v>
      </c>
      <c r="K1821" s="16">
        <f>IF(NOT(Paths!$C$171=1),0,IF(Paths!$P$171="Complete",IF(IF(Paths!$O$171=0,C1821=0,AND(C1821&gt;0,Paths!$O$171&gt;(C1821-1)*12,Paths!$O$171&lt;=C1821*12)),Paths!$N$171,0),"n.a."))</f>
        <v>0</v>
      </c>
      <c r="L1821" s="16">
        <f>IF(NOT(Paths!$C$171=1),0,IF(Paths!$P$171="Complete",IF(C1821=10,Paths!$I$171,0),"n.a."))</f>
        <v>0</v>
      </c>
      <c r="M1821" s="16">
        <f>IF(NOT(Paths!$C$171=1),0,IF(Paths!$P$171="Complete",IF(AND(Paths!$D$171="EV",Paths!$E$171&lt;120,Paths!$E$171+'Operating costs'!$B$65&gt;Paths!$E$171,Paths!$E$171+'Operating costs'!$B$65&lt;=120,IF(Paths!$E$171+'Operating costs'!$B$65=0,C1821=0,AND(C1821&gt;0,Paths!$E$171+'Operating costs'!$B$65&gt;(C1821-1)*12,Paths!$E$171+'Operating costs'!$B$65&lt;=C1821*12))),'Operating costs'!$B$64,0)+IF(AND('Operating costs'!$B$67&gt;0,'Operating costs'!$B$67&lt;=120,OR(Paths!$D$171="ICE",'Operating costs'!$B$67&lt;=Paths!$E$171),IF('Operating costs'!$B$67=0,C1821=0,AND(C1821&gt;0,'Operating costs'!$B$67&gt;(C1821-1)*12,'Operating costs'!$B$67&lt;=C1821*12))),'Operating costs'!$B$66,0),"n.a."))</f>
        <v>0</v>
      </c>
      <c r="N1821" s="16">
        <f>IF(NOT(Paths!$C$171=1),0,IF(Paths!$P$171="Complete",SUM(G1821:I1821)-J1821-K1821-L1821+M1821+IF(C1821=0,Paths!$F$171,0)+IF(IF(Paths!$E$171=0,C1821=0,AND(C1821&gt;0,Paths!$E$171&gt;(C1821-1)*12,Paths!$E$171&lt;=C1821*12)),VLOOKUP(A1821,'Fleet register'!$A$7:$S$106,16,FALSE),0),"n.a."))</f>
        <v>0</v>
      </c>
      <c r="O1821" s="16">
        <f>IF(NOT(Paths!$C$171=1),0,IF(Paths!$P$171="Complete",N1821-IF(C1821=0,Paths!$F$171,0),"n.a."))</f>
        <v>0</v>
      </c>
      <c r="P1821" s="16">
        <f>IF(NOT(Paths!$C$171=1),0,IF(Paths!$P$171="Complete",O1821+L1821,"n.a."))</f>
        <v>0</v>
      </c>
      <c r="Q1821" s="16">
        <f>IF(NOT(Paths!$C$171=1),0,IF(Paths!$P$171="Complete",N1821*(1+'Operating costs'!$B$54)^-C1821,"n.a."))</f>
        <v>0</v>
      </c>
      <c r="R1821" s="16">
        <f>IF(NOT(Paths!$C$171=1),0,IF(Paths!$P$171="Complete",IF(AND(C1821=0,Paths!$E$171=0),I1821-J1821-K1821+VLOOKUP(A1821,'Fleet register'!$A$7:$S$106,15,FALSE)+VLOOKUP(A1821,'Fleet register'!$A$7:$S$106,16,FALSE),0),"n.a."))</f>
        <v>0</v>
      </c>
      <c r="S1821" s="1">
        <f>IF(NOT(Paths!$C$171=1),0,IF(Paths!$P$171="Complete",IF(C1821=0,0,Paths!$S$171*Paths!$R$171),"n.a."))</f>
        <v>0</v>
      </c>
      <c r="T1821" s="1">
        <f>IF(NOT(Paths!$C$171=1),0,IF(Paths!$P$171="Complete",IF(C1821=0,0,VLOOKUP(A1821,'Fleet register'!$A$7:$S$106,9,FALSE)*Paths!$R$171),"n.a."))</f>
        <v>0</v>
      </c>
    </row>
    <row r="1822" spans="1:20" ht="24" customHeight="1">
      <c r="A1822" s="1" t="str">
        <f>Paths!$A$172</f>
        <v>T042</v>
      </c>
      <c r="B1822" s="1">
        <f>Paths!$B$172</f>
        <v>1</v>
      </c>
      <c r="C1822" s="1">
        <v>0</v>
      </c>
      <c r="D1822" s="1">
        <v>172</v>
      </c>
      <c r="E1822" s="1">
        <f>IF(OR(Paths!$C$172=0,C1822=0),0,MAX(0,MIN(C1822*12,Paths!$E$172)-(C1822-1)*12))</f>
        <v>0</v>
      </c>
      <c r="F1822" s="1">
        <f>IF(OR(Paths!$C$172=0,C1822=0),0,12-E1822)</f>
        <v>0</v>
      </c>
      <c r="G1822" s="16">
        <f>IF(NOT(Paths!$C$172=1),0,IF(Paths!$P$172="Complete",E1822/12*(Paths!$J$172*(1+'Operating costs'!$B$51)^MAX(0,C1822-1)+Paths!$K$172*(1+'Operating costs'!$B$53)^MAX(0,C1822-1)),"n.a."))</f>
        <v>0</v>
      </c>
      <c r="H1822" s="16">
        <f>IF(NOT(Paths!$C$172=1),0,IF(Paths!$P$172="Complete",F1822/12*(Paths!$L$172*(1+IF(Paths!$D$172="EV",'Operating costs'!$B$52,'Operating costs'!$B$51))^MAX(0,C1822-1)+Paths!$M$172*(1+'Operating costs'!$B$53)^MAX(0,C1822-1)),"n.a."))</f>
        <v>0</v>
      </c>
      <c r="I1822" s="16">
        <f>IF(NOT(Paths!$C$172=1),0,IF(Paths!$P$172="Complete",IF(IF(Paths!$E$172=0,C1822=0,AND(C1822&gt;0,Paths!$E$172&gt;(C1822-1)*12,Paths!$E$172&lt;=C1822*12)),Paths!$G$172,0),"n.a."))</f>
        <v>0</v>
      </c>
      <c r="J1822" s="16">
        <f>IF(NOT(Paths!$C$172=1),0,IF(Paths!$P$172="Complete",IF(IF(Paths!$E$172=0,C1822=0,AND(C1822&gt;0,Paths!$E$172&gt;(C1822-1)*12,Paths!$E$172&lt;=C1822*12)),Paths!$H$172,0),"n.a."))</f>
        <v>0</v>
      </c>
      <c r="K1822" s="16">
        <f>IF(NOT(Paths!$C$172=1),0,IF(Paths!$P$172="Complete",IF(IF(Paths!$O$172=0,C1822=0,AND(C1822&gt;0,Paths!$O$172&gt;(C1822-1)*12,Paths!$O$172&lt;=C1822*12)),Paths!$N$172,0),"n.a."))</f>
        <v>0</v>
      </c>
      <c r="L1822" s="16">
        <f>IF(NOT(Paths!$C$172=1),0,IF(Paths!$P$172="Complete",IF(C1822=10,Paths!$I$172,0),"n.a."))</f>
        <v>0</v>
      </c>
      <c r="M1822" s="16">
        <f>IF(NOT(Paths!$C$172=1),0,IF(Paths!$P$172="Complete",IF(AND(Paths!$D$172="EV",Paths!$E$172&lt;120,Paths!$E$172+'Operating costs'!$B$65&gt;Paths!$E$172,Paths!$E$172+'Operating costs'!$B$65&lt;=120,IF(Paths!$E$172+'Operating costs'!$B$65=0,C1822=0,AND(C1822&gt;0,Paths!$E$172+'Operating costs'!$B$65&gt;(C1822-1)*12,Paths!$E$172+'Operating costs'!$B$65&lt;=C1822*12))),'Operating costs'!$B$64,0)+IF(AND('Operating costs'!$B$67&gt;0,'Operating costs'!$B$67&lt;=120,OR(Paths!$D$172="ICE",'Operating costs'!$B$67&lt;=Paths!$E$172),IF('Operating costs'!$B$67=0,C1822=0,AND(C1822&gt;0,'Operating costs'!$B$67&gt;(C1822-1)*12,'Operating costs'!$B$67&lt;=C1822*12))),'Operating costs'!$B$66,0),"n.a."))</f>
        <v>0</v>
      </c>
      <c r="N1822" s="16">
        <f>IF(NOT(Paths!$C$172=1),0,IF(Paths!$P$172="Complete",SUM(G1822:I1822)-J1822-K1822-L1822+M1822+IF(C1822=0,Paths!$F$172,0)+IF(IF(Paths!$E$172=0,C1822=0,AND(C1822&gt;0,Paths!$E$172&gt;(C1822-1)*12,Paths!$E$172&lt;=C1822*12)),VLOOKUP(A1822,'Fleet register'!$A$7:$S$106,16,FALSE),0),"n.a."))</f>
        <v>0</v>
      </c>
      <c r="O1822" s="16">
        <f>IF(NOT(Paths!$C$172=1),0,IF(Paths!$P$172="Complete",N1822-IF(C1822=0,Paths!$F$172,0),"n.a."))</f>
        <v>0</v>
      </c>
      <c r="P1822" s="16">
        <f>IF(NOT(Paths!$C$172=1),0,IF(Paths!$P$172="Complete",O1822+L1822,"n.a."))</f>
        <v>0</v>
      </c>
      <c r="Q1822" s="16">
        <f>IF(NOT(Paths!$C$172=1),0,IF(Paths!$P$172="Complete",N1822*(1+'Operating costs'!$B$54)^-C1822,"n.a."))</f>
        <v>0</v>
      </c>
      <c r="R1822" s="16">
        <f>IF(NOT(Paths!$C$172=1),0,IF(Paths!$P$172="Complete",IF(AND(C1822=0,Paths!$E$172=0),I1822-J1822-K1822+VLOOKUP(A1822,'Fleet register'!$A$7:$S$106,15,FALSE)+VLOOKUP(A1822,'Fleet register'!$A$7:$S$106,16,FALSE),0),"n.a."))</f>
        <v>0</v>
      </c>
      <c r="S1822" s="1">
        <f>IF(NOT(Paths!$C$172=1),0,IF(Paths!$P$172="Complete",IF(C1822=0,0,Paths!$S$172*Paths!$R$172),"n.a."))</f>
        <v>0</v>
      </c>
      <c r="T1822" s="1">
        <f>IF(NOT(Paths!$C$172=1),0,IF(Paths!$P$172="Complete",IF(C1822=0,0,VLOOKUP(A1822,'Fleet register'!$A$7:$S$106,9,FALSE)*Paths!$R$172),"n.a."))</f>
        <v>0</v>
      </c>
    </row>
    <row r="1823" spans="1:20" ht="24" customHeight="1">
      <c r="A1823" s="1" t="str">
        <f>Paths!$A$172</f>
        <v>T042</v>
      </c>
      <c r="B1823" s="1">
        <f>Paths!$B$172</f>
        <v>1</v>
      </c>
      <c r="C1823" s="1">
        <v>1</v>
      </c>
      <c r="D1823" s="1">
        <v>172</v>
      </c>
      <c r="E1823" s="1">
        <f>IF(OR(Paths!$C$172=0,C1823=0),0,MAX(0,MIN(C1823*12,Paths!$E$172)-(C1823-1)*12))</f>
        <v>0</v>
      </c>
      <c r="F1823" s="1">
        <f>IF(OR(Paths!$C$172=0,C1823=0),0,12-E1823)</f>
        <v>0</v>
      </c>
      <c r="G1823" s="16">
        <f>IF(NOT(Paths!$C$172=1),0,IF(Paths!$P$172="Complete",E1823/12*(Paths!$J$172*(1+'Operating costs'!$B$51)^MAX(0,C1823-1)+Paths!$K$172*(1+'Operating costs'!$B$53)^MAX(0,C1823-1)),"n.a."))</f>
        <v>0</v>
      </c>
      <c r="H1823" s="16">
        <f>IF(NOT(Paths!$C$172=1),0,IF(Paths!$P$172="Complete",F1823/12*(Paths!$L$172*(1+IF(Paths!$D$172="EV",'Operating costs'!$B$52,'Operating costs'!$B$51))^MAX(0,C1823-1)+Paths!$M$172*(1+'Operating costs'!$B$53)^MAX(0,C1823-1)),"n.a."))</f>
        <v>0</v>
      </c>
      <c r="I1823" s="16">
        <f>IF(NOT(Paths!$C$172=1),0,IF(Paths!$P$172="Complete",IF(IF(Paths!$E$172=0,C1823=0,AND(C1823&gt;0,Paths!$E$172&gt;(C1823-1)*12,Paths!$E$172&lt;=C1823*12)),Paths!$G$172,0),"n.a."))</f>
        <v>0</v>
      </c>
      <c r="J1823" s="16">
        <f>IF(NOT(Paths!$C$172=1),0,IF(Paths!$P$172="Complete",IF(IF(Paths!$E$172=0,C1823=0,AND(C1823&gt;0,Paths!$E$172&gt;(C1823-1)*12,Paths!$E$172&lt;=C1823*12)),Paths!$H$172,0),"n.a."))</f>
        <v>0</v>
      </c>
      <c r="K1823" s="16">
        <f>IF(NOT(Paths!$C$172=1),0,IF(Paths!$P$172="Complete",IF(IF(Paths!$O$172=0,C1823=0,AND(C1823&gt;0,Paths!$O$172&gt;(C1823-1)*12,Paths!$O$172&lt;=C1823*12)),Paths!$N$172,0),"n.a."))</f>
        <v>0</v>
      </c>
      <c r="L1823" s="16">
        <f>IF(NOT(Paths!$C$172=1),0,IF(Paths!$P$172="Complete",IF(C1823=10,Paths!$I$172,0),"n.a."))</f>
        <v>0</v>
      </c>
      <c r="M1823" s="16">
        <f>IF(NOT(Paths!$C$172=1),0,IF(Paths!$P$172="Complete",IF(AND(Paths!$D$172="EV",Paths!$E$172&lt;120,Paths!$E$172+'Operating costs'!$B$65&gt;Paths!$E$172,Paths!$E$172+'Operating costs'!$B$65&lt;=120,IF(Paths!$E$172+'Operating costs'!$B$65=0,C1823=0,AND(C1823&gt;0,Paths!$E$172+'Operating costs'!$B$65&gt;(C1823-1)*12,Paths!$E$172+'Operating costs'!$B$65&lt;=C1823*12))),'Operating costs'!$B$64,0)+IF(AND('Operating costs'!$B$67&gt;0,'Operating costs'!$B$67&lt;=120,OR(Paths!$D$172="ICE",'Operating costs'!$B$67&lt;=Paths!$E$172),IF('Operating costs'!$B$67=0,C1823=0,AND(C1823&gt;0,'Operating costs'!$B$67&gt;(C1823-1)*12,'Operating costs'!$B$67&lt;=C1823*12))),'Operating costs'!$B$66,0),"n.a."))</f>
        <v>0</v>
      </c>
      <c r="N1823" s="16">
        <f>IF(NOT(Paths!$C$172=1),0,IF(Paths!$P$172="Complete",SUM(G1823:I1823)-J1823-K1823-L1823+M1823+IF(C1823=0,Paths!$F$172,0)+IF(IF(Paths!$E$172=0,C1823=0,AND(C1823&gt;0,Paths!$E$172&gt;(C1823-1)*12,Paths!$E$172&lt;=C1823*12)),VLOOKUP(A1823,'Fleet register'!$A$7:$S$106,16,FALSE),0),"n.a."))</f>
        <v>0</v>
      </c>
      <c r="O1823" s="16">
        <f>IF(NOT(Paths!$C$172=1),0,IF(Paths!$P$172="Complete",N1823-IF(C1823=0,Paths!$F$172,0),"n.a."))</f>
        <v>0</v>
      </c>
      <c r="P1823" s="16">
        <f>IF(NOT(Paths!$C$172=1),0,IF(Paths!$P$172="Complete",O1823+L1823,"n.a."))</f>
        <v>0</v>
      </c>
      <c r="Q1823" s="16">
        <f>IF(NOT(Paths!$C$172=1),0,IF(Paths!$P$172="Complete",N1823*(1+'Operating costs'!$B$54)^-C1823,"n.a."))</f>
        <v>0</v>
      </c>
      <c r="R1823" s="16">
        <f>IF(NOT(Paths!$C$172=1),0,IF(Paths!$P$172="Complete",IF(AND(C1823=0,Paths!$E$172=0),I1823-J1823-K1823+VLOOKUP(A1823,'Fleet register'!$A$7:$S$106,15,FALSE)+VLOOKUP(A1823,'Fleet register'!$A$7:$S$106,16,FALSE),0),"n.a."))</f>
        <v>0</v>
      </c>
      <c r="S1823" s="1">
        <f>IF(NOT(Paths!$C$172=1),0,IF(Paths!$P$172="Complete",IF(C1823=0,0,Paths!$S$172*Paths!$R$172),"n.a."))</f>
        <v>0</v>
      </c>
      <c r="T1823" s="1">
        <f>IF(NOT(Paths!$C$172=1),0,IF(Paths!$P$172="Complete",IF(C1823=0,0,VLOOKUP(A1823,'Fleet register'!$A$7:$S$106,9,FALSE)*Paths!$R$172),"n.a."))</f>
        <v>0</v>
      </c>
    </row>
    <row r="1824" spans="1:20" ht="24" customHeight="1">
      <c r="A1824" s="1" t="str">
        <f>Paths!$A$172</f>
        <v>T042</v>
      </c>
      <c r="B1824" s="1">
        <f>Paths!$B$172</f>
        <v>1</v>
      </c>
      <c r="C1824" s="1">
        <v>2</v>
      </c>
      <c r="D1824" s="1">
        <v>172</v>
      </c>
      <c r="E1824" s="1">
        <f>IF(OR(Paths!$C$172=0,C1824=0),0,MAX(0,MIN(C1824*12,Paths!$E$172)-(C1824-1)*12))</f>
        <v>0</v>
      </c>
      <c r="F1824" s="1">
        <f>IF(OR(Paths!$C$172=0,C1824=0),0,12-E1824)</f>
        <v>0</v>
      </c>
      <c r="G1824" s="16">
        <f>IF(NOT(Paths!$C$172=1),0,IF(Paths!$P$172="Complete",E1824/12*(Paths!$J$172*(1+'Operating costs'!$B$51)^MAX(0,C1824-1)+Paths!$K$172*(1+'Operating costs'!$B$53)^MAX(0,C1824-1)),"n.a."))</f>
        <v>0</v>
      </c>
      <c r="H1824" s="16">
        <f>IF(NOT(Paths!$C$172=1),0,IF(Paths!$P$172="Complete",F1824/12*(Paths!$L$172*(1+IF(Paths!$D$172="EV",'Operating costs'!$B$52,'Operating costs'!$B$51))^MAX(0,C1824-1)+Paths!$M$172*(1+'Operating costs'!$B$53)^MAX(0,C1824-1)),"n.a."))</f>
        <v>0</v>
      </c>
      <c r="I1824" s="16">
        <f>IF(NOT(Paths!$C$172=1),0,IF(Paths!$P$172="Complete",IF(IF(Paths!$E$172=0,C1824=0,AND(C1824&gt;0,Paths!$E$172&gt;(C1824-1)*12,Paths!$E$172&lt;=C1824*12)),Paths!$G$172,0),"n.a."))</f>
        <v>0</v>
      </c>
      <c r="J1824" s="16">
        <f>IF(NOT(Paths!$C$172=1),0,IF(Paths!$P$172="Complete",IF(IF(Paths!$E$172=0,C1824=0,AND(C1824&gt;0,Paths!$E$172&gt;(C1824-1)*12,Paths!$E$172&lt;=C1824*12)),Paths!$H$172,0),"n.a."))</f>
        <v>0</v>
      </c>
      <c r="K1824" s="16">
        <f>IF(NOT(Paths!$C$172=1),0,IF(Paths!$P$172="Complete",IF(IF(Paths!$O$172=0,C1824=0,AND(C1824&gt;0,Paths!$O$172&gt;(C1824-1)*12,Paths!$O$172&lt;=C1824*12)),Paths!$N$172,0),"n.a."))</f>
        <v>0</v>
      </c>
      <c r="L1824" s="16">
        <f>IF(NOT(Paths!$C$172=1),0,IF(Paths!$P$172="Complete",IF(C1824=10,Paths!$I$172,0),"n.a."))</f>
        <v>0</v>
      </c>
      <c r="M1824" s="16">
        <f>IF(NOT(Paths!$C$172=1),0,IF(Paths!$P$172="Complete",IF(AND(Paths!$D$172="EV",Paths!$E$172&lt;120,Paths!$E$172+'Operating costs'!$B$65&gt;Paths!$E$172,Paths!$E$172+'Operating costs'!$B$65&lt;=120,IF(Paths!$E$172+'Operating costs'!$B$65=0,C1824=0,AND(C1824&gt;0,Paths!$E$172+'Operating costs'!$B$65&gt;(C1824-1)*12,Paths!$E$172+'Operating costs'!$B$65&lt;=C1824*12))),'Operating costs'!$B$64,0)+IF(AND('Operating costs'!$B$67&gt;0,'Operating costs'!$B$67&lt;=120,OR(Paths!$D$172="ICE",'Operating costs'!$B$67&lt;=Paths!$E$172),IF('Operating costs'!$B$67=0,C1824=0,AND(C1824&gt;0,'Operating costs'!$B$67&gt;(C1824-1)*12,'Operating costs'!$B$67&lt;=C1824*12))),'Operating costs'!$B$66,0),"n.a."))</f>
        <v>0</v>
      </c>
      <c r="N1824" s="16">
        <f>IF(NOT(Paths!$C$172=1),0,IF(Paths!$P$172="Complete",SUM(G1824:I1824)-J1824-K1824-L1824+M1824+IF(C1824=0,Paths!$F$172,0)+IF(IF(Paths!$E$172=0,C1824=0,AND(C1824&gt;0,Paths!$E$172&gt;(C1824-1)*12,Paths!$E$172&lt;=C1824*12)),VLOOKUP(A1824,'Fleet register'!$A$7:$S$106,16,FALSE),0),"n.a."))</f>
        <v>0</v>
      </c>
      <c r="O1824" s="16">
        <f>IF(NOT(Paths!$C$172=1),0,IF(Paths!$P$172="Complete",N1824-IF(C1824=0,Paths!$F$172,0),"n.a."))</f>
        <v>0</v>
      </c>
      <c r="P1824" s="16">
        <f>IF(NOT(Paths!$C$172=1),0,IF(Paths!$P$172="Complete",O1824+L1824,"n.a."))</f>
        <v>0</v>
      </c>
      <c r="Q1824" s="16">
        <f>IF(NOT(Paths!$C$172=1),0,IF(Paths!$P$172="Complete",N1824*(1+'Operating costs'!$B$54)^-C1824,"n.a."))</f>
        <v>0</v>
      </c>
      <c r="R1824" s="16">
        <f>IF(NOT(Paths!$C$172=1),0,IF(Paths!$P$172="Complete",IF(AND(C1824=0,Paths!$E$172=0),I1824-J1824-K1824+VLOOKUP(A1824,'Fleet register'!$A$7:$S$106,15,FALSE)+VLOOKUP(A1824,'Fleet register'!$A$7:$S$106,16,FALSE),0),"n.a."))</f>
        <v>0</v>
      </c>
      <c r="S1824" s="1">
        <f>IF(NOT(Paths!$C$172=1),0,IF(Paths!$P$172="Complete",IF(C1824=0,0,Paths!$S$172*Paths!$R$172),"n.a."))</f>
        <v>0</v>
      </c>
      <c r="T1824" s="1">
        <f>IF(NOT(Paths!$C$172=1),0,IF(Paths!$P$172="Complete",IF(C1824=0,0,VLOOKUP(A1824,'Fleet register'!$A$7:$S$106,9,FALSE)*Paths!$R$172),"n.a."))</f>
        <v>0</v>
      </c>
    </row>
    <row r="1825" spans="1:20" ht="24" customHeight="1">
      <c r="A1825" s="1" t="str">
        <f>Paths!$A$172</f>
        <v>T042</v>
      </c>
      <c r="B1825" s="1">
        <f>Paths!$B$172</f>
        <v>1</v>
      </c>
      <c r="C1825" s="1">
        <v>3</v>
      </c>
      <c r="D1825" s="1">
        <v>172</v>
      </c>
      <c r="E1825" s="1">
        <f>IF(OR(Paths!$C$172=0,C1825=0),0,MAX(0,MIN(C1825*12,Paths!$E$172)-(C1825-1)*12))</f>
        <v>0</v>
      </c>
      <c r="F1825" s="1">
        <f>IF(OR(Paths!$C$172=0,C1825=0),0,12-E1825)</f>
        <v>0</v>
      </c>
      <c r="G1825" s="16">
        <f>IF(NOT(Paths!$C$172=1),0,IF(Paths!$P$172="Complete",E1825/12*(Paths!$J$172*(1+'Operating costs'!$B$51)^MAX(0,C1825-1)+Paths!$K$172*(1+'Operating costs'!$B$53)^MAX(0,C1825-1)),"n.a."))</f>
        <v>0</v>
      </c>
      <c r="H1825" s="16">
        <f>IF(NOT(Paths!$C$172=1),0,IF(Paths!$P$172="Complete",F1825/12*(Paths!$L$172*(1+IF(Paths!$D$172="EV",'Operating costs'!$B$52,'Operating costs'!$B$51))^MAX(0,C1825-1)+Paths!$M$172*(1+'Operating costs'!$B$53)^MAX(0,C1825-1)),"n.a."))</f>
        <v>0</v>
      </c>
      <c r="I1825" s="16">
        <f>IF(NOT(Paths!$C$172=1),0,IF(Paths!$P$172="Complete",IF(IF(Paths!$E$172=0,C1825=0,AND(C1825&gt;0,Paths!$E$172&gt;(C1825-1)*12,Paths!$E$172&lt;=C1825*12)),Paths!$G$172,0),"n.a."))</f>
        <v>0</v>
      </c>
      <c r="J1825" s="16">
        <f>IF(NOT(Paths!$C$172=1),0,IF(Paths!$P$172="Complete",IF(IF(Paths!$E$172=0,C1825=0,AND(C1825&gt;0,Paths!$E$172&gt;(C1825-1)*12,Paths!$E$172&lt;=C1825*12)),Paths!$H$172,0),"n.a."))</f>
        <v>0</v>
      </c>
      <c r="K1825" s="16">
        <f>IF(NOT(Paths!$C$172=1),0,IF(Paths!$P$172="Complete",IF(IF(Paths!$O$172=0,C1825=0,AND(C1825&gt;0,Paths!$O$172&gt;(C1825-1)*12,Paths!$O$172&lt;=C1825*12)),Paths!$N$172,0),"n.a."))</f>
        <v>0</v>
      </c>
      <c r="L1825" s="16">
        <f>IF(NOT(Paths!$C$172=1),0,IF(Paths!$P$172="Complete",IF(C1825=10,Paths!$I$172,0),"n.a."))</f>
        <v>0</v>
      </c>
      <c r="M1825" s="16">
        <f>IF(NOT(Paths!$C$172=1),0,IF(Paths!$P$172="Complete",IF(AND(Paths!$D$172="EV",Paths!$E$172&lt;120,Paths!$E$172+'Operating costs'!$B$65&gt;Paths!$E$172,Paths!$E$172+'Operating costs'!$B$65&lt;=120,IF(Paths!$E$172+'Operating costs'!$B$65=0,C1825=0,AND(C1825&gt;0,Paths!$E$172+'Operating costs'!$B$65&gt;(C1825-1)*12,Paths!$E$172+'Operating costs'!$B$65&lt;=C1825*12))),'Operating costs'!$B$64,0)+IF(AND('Operating costs'!$B$67&gt;0,'Operating costs'!$B$67&lt;=120,OR(Paths!$D$172="ICE",'Operating costs'!$B$67&lt;=Paths!$E$172),IF('Operating costs'!$B$67=0,C1825=0,AND(C1825&gt;0,'Operating costs'!$B$67&gt;(C1825-1)*12,'Operating costs'!$B$67&lt;=C1825*12))),'Operating costs'!$B$66,0),"n.a."))</f>
        <v>0</v>
      </c>
      <c r="N1825" s="16">
        <f>IF(NOT(Paths!$C$172=1),0,IF(Paths!$P$172="Complete",SUM(G1825:I1825)-J1825-K1825-L1825+M1825+IF(C1825=0,Paths!$F$172,0)+IF(IF(Paths!$E$172=0,C1825=0,AND(C1825&gt;0,Paths!$E$172&gt;(C1825-1)*12,Paths!$E$172&lt;=C1825*12)),VLOOKUP(A1825,'Fleet register'!$A$7:$S$106,16,FALSE),0),"n.a."))</f>
        <v>0</v>
      </c>
      <c r="O1825" s="16">
        <f>IF(NOT(Paths!$C$172=1),0,IF(Paths!$P$172="Complete",N1825-IF(C1825=0,Paths!$F$172,0),"n.a."))</f>
        <v>0</v>
      </c>
      <c r="P1825" s="16">
        <f>IF(NOT(Paths!$C$172=1),0,IF(Paths!$P$172="Complete",O1825+L1825,"n.a."))</f>
        <v>0</v>
      </c>
      <c r="Q1825" s="16">
        <f>IF(NOT(Paths!$C$172=1),0,IF(Paths!$P$172="Complete",N1825*(1+'Operating costs'!$B$54)^-C1825,"n.a."))</f>
        <v>0</v>
      </c>
      <c r="R1825" s="16">
        <f>IF(NOT(Paths!$C$172=1),0,IF(Paths!$P$172="Complete",IF(AND(C1825=0,Paths!$E$172=0),I1825-J1825-K1825+VLOOKUP(A1825,'Fleet register'!$A$7:$S$106,15,FALSE)+VLOOKUP(A1825,'Fleet register'!$A$7:$S$106,16,FALSE),0),"n.a."))</f>
        <v>0</v>
      </c>
      <c r="S1825" s="1">
        <f>IF(NOT(Paths!$C$172=1),0,IF(Paths!$P$172="Complete",IF(C1825=0,0,Paths!$S$172*Paths!$R$172),"n.a."))</f>
        <v>0</v>
      </c>
      <c r="T1825" s="1">
        <f>IF(NOT(Paths!$C$172=1),0,IF(Paths!$P$172="Complete",IF(C1825=0,0,VLOOKUP(A1825,'Fleet register'!$A$7:$S$106,9,FALSE)*Paths!$R$172),"n.a."))</f>
        <v>0</v>
      </c>
    </row>
    <row r="1826" spans="1:20" ht="24" customHeight="1">
      <c r="A1826" s="1" t="str">
        <f>Paths!$A$172</f>
        <v>T042</v>
      </c>
      <c r="B1826" s="1">
        <f>Paths!$B$172</f>
        <v>1</v>
      </c>
      <c r="C1826" s="1">
        <v>4</v>
      </c>
      <c r="D1826" s="1">
        <v>172</v>
      </c>
      <c r="E1826" s="1">
        <f>IF(OR(Paths!$C$172=0,C1826=0),0,MAX(0,MIN(C1826*12,Paths!$E$172)-(C1826-1)*12))</f>
        <v>0</v>
      </c>
      <c r="F1826" s="1">
        <f>IF(OR(Paths!$C$172=0,C1826=0),0,12-E1826)</f>
        <v>0</v>
      </c>
      <c r="G1826" s="16">
        <f>IF(NOT(Paths!$C$172=1),0,IF(Paths!$P$172="Complete",E1826/12*(Paths!$J$172*(1+'Operating costs'!$B$51)^MAX(0,C1826-1)+Paths!$K$172*(1+'Operating costs'!$B$53)^MAX(0,C1826-1)),"n.a."))</f>
        <v>0</v>
      </c>
      <c r="H1826" s="16">
        <f>IF(NOT(Paths!$C$172=1),0,IF(Paths!$P$172="Complete",F1826/12*(Paths!$L$172*(1+IF(Paths!$D$172="EV",'Operating costs'!$B$52,'Operating costs'!$B$51))^MAX(0,C1826-1)+Paths!$M$172*(1+'Operating costs'!$B$53)^MAX(0,C1826-1)),"n.a."))</f>
        <v>0</v>
      </c>
      <c r="I1826" s="16">
        <f>IF(NOT(Paths!$C$172=1),0,IF(Paths!$P$172="Complete",IF(IF(Paths!$E$172=0,C1826=0,AND(C1826&gt;0,Paths!$E$172&gt;(C1826-1)*12,Paths!$E$172&lt;=C1826*12)),Paths!$G$172,0),"n.a."))</f>
        <v>0</v>
      </c>
      <c r="J1826" s="16">
        <f>IF(NOT(Paths!$C$172=1),0,IF(Paths!$P$172="Complete",IF(IF(Paths!$E$172=0,C1826=0,AND(C1826&gt;0,Paths!$E$172&gt;(C1826-1)*12,Paths!$E$172&lt;=C1826*12)),Paths!$H$172,0),"n.a."))</f>
        <v>0</v>
      </c>
      <c r="K1826" s="16">
        <f>IF(NOT(Paths!$C$172=1),0,IF(Paths!$P$172="Complete",IF(IF(Paths!$O$172=0,C1826=0,AND(C1826&gt;0,Paths!$O$172&gt;(C1826-1)*12,Paths!$O$172&lt;=C1826*12)),Paths!$N$172,0),"n.a."))</f>
        <v>0</v>
      </c>
      <c r="L1826" s="16">
        <f>IF(NOT(Paths!$C$172=1),0,IF(Paths!$P$172="Complete",IF(C1826=10,Paths!$I$172,0),"n.a."))</f>
        <v>0</v>
      </c>
      <c r="M1826" s="16">
        <f>IF(NOT(Paths!$C$172=1),0,IF(Paths!$P$172="Complete",IF(AND(Paths!$D$172="EV",Paths!$E$172&lt;120,Paths!$E$172+'Operating costs'!$B$65&gt;Paths!$E$172,Paths!$E$172+'Operating costs'!$B$65&lt;=120,IF(Paths!$E$172+'Operating costs'!$B$65=0,C1826=0,AND(C1826&gt;0,Paths!$E$172+'Operating costs'!$B$65&gt;(C1826-1)*12,Paths!$E$172+'Operating costs'!$B$65&lt;=C1826*12))),'Operating costs'!$B$64,0)+IF(AND('Operating costs'!$B$67&gt;0,'Operating costs'!$B$67&lt;=120,OR(Paths!$D$172="ICE",'Operating costs'!$B$67&lt;=Paths!$E$172),IF('Operating costs'!$B$67=0,C1826=0,AND(C1826&gt;0,'Operating costs'!$B$67&gt;(C1826-1)*12,'Operating costs'!$B$67&lt;=C1826*12))),'Operating costs'!$B$66,0),"n.a."))</f>
        <v>0</v>
      </c>
      <c r="N1826" s="16">
        <f>IF(NOT(Paths!$C$172=1),0,IF(Paths!$P$172="Complete",SUM(G1826:I1826)-J1826-K1826-L1826+M1826+IF(C1826=0,Paths!$F$172,0)+IF(IF(Paths!$E$172=0,C1826=0,AND(C1826&gt;0,Paths!$E$172&gt;(C1826-1)*12,Paths!$E$172&lt;=C1826*12)),VLOOKUP(A1826,'Fleet register'!$A$7:$S$106,16,FALSE),0),"n.a."))</f>
        <v>0</v>
      </c>
      <c r="O1826" s="16">
        <f>IF(NOT(Paths!$C$172=1),0,IF(Paths!$P$172="Complete",N1826-IF(C1826=0,Paths!$F$172,0),"n.a."))</f>
        <v>0</v>
      </c>
      <c r="P1826" s="16">
        <f>IF(NOT(Paths!$C$172=1),0,IF(Paths!$P$172="Complete",O1826+L1826,"n.a."))</f>
        <v>0</v>
      </c>
      <c r="Q1826" s="16">
        <f>IF(NOT(Paths!$C$172=1),0,IF(Paths!$P$172="Complete",N1826*(1+'Operating costs'!$B$54)^-C1826,"n.a."))</f>
        <v>0</v>
      </c>
      <c r="R1826" s="16">
        <f>IF(NOT(Paths!$C$172=1),0,IF(Paths!$P$172="Complete",IF(AND(C1826=0,Paths!$E$172=0),I1826-J1826-K1826+VLOOKUP(A1826,'Fleet register'!$A$7:$S$106,15,FALSE)+VLOOKUP(A1826,'Fleet register'!$A$7:$S$106,16,FALSE),0),"n.a."))</f>
        <v>0</v>
      </c>
      <c r="S1826" s="1">
        <f>IF(NOT(Paths!$C$172=1),0,IF(Paths!$P$172="Complete",IF(C1826=0,0,Paths!$S$172*Paths!$R$172),"n.a."))</f>
        <v>0</v>
      </c>
      <c r="T1826" s="1">
        <f>IF(NOT(Paths!$C$172=1),0,IF(Paths!$P$172="Complete",IF(C1826=0,0,VLOOKUP(A1826,'Fleet register'!$A$7:$S$106,9,FALSE)*Paths!$R$172),"n.a."))</f>
        <v>0</v>
      </c>
    </row>
    <row r="1827" spans="1:20" ht="24" customHeight="1">
      <c r="A1827" s="1" t="str">
        <f>Paths!$A$172</f>
        <v>T042</v>
      </c>
      <c r="B1827" s="1">
        <f>Paths!$B$172</f>
        <v>1</v>
      </c>
      <c r="C1827" s="1">
        <v>5</v>
      </c>
      <c r="D1827" s="1">
        <v>172</v>
      </c>
      <c r="E1827" s="1">
        <f>IF(OR(Paths!$C$172=0,C1827=0),0,MAX(0,MIN(C1827*12,Paths!$E$172)-(C1827-1)*12))</f>
        <v>0</v>
      </c>
      <c r="F1827" s="1">
        <f>IF(OR(Paths!$C$172=0,C1827=0),0,12-E1827)</f>
        <v>0</v>
      </c>
      <c r="G1827" s="16">
        <f>IF(NOT(Paths!$C$172=1),0,IF(Paths!$P$172="Complete",E1827/12*(Paths!$J$172*(1+'Operating costs'!$B$51)^MAX(0,C1827-1)+Paths!$K$172*(1+'Operating costs'!$B$53)^MAX(0,C1827-1)),"n.a."))</f>
        <v>0</v>
      </c>
      <c r="H1827" s="16">
        <f>IF(NOT(Paths!$C$172=1),0,IF(Paths!$P$172="Complete",F1827/12*(Paths!$L$172*(1+IF(Paths!$D$172="EV",'Operating costs'!$B$52,'Operating costs'!$B$51))^MAX(0,C1827-1)+Paths!$M$172*(1+'Operating costs'!$B$53)^MAX(0,C1827-1)),"n.a."))</f>
        <v>0</v>
      </c>
      <c r="I1827" s="16">
        <f>IF(NOT(Paths!$C$172=1),0,IF(Paths!$P$172="Complete",IF(IF(Paths!$E$172=0,C1827=0,AND(C1827&gt;0,Paths!$E$172&gt;(C1827-1)*12,Paths!$E$172&lt;=C1827*12)),Paths!$G$172,0),"n.a."))</f>
        <v>0</v>
      </c>
      <c r="J1827" s="16">
        <f>IF(NOT(Paths!$C$172=1),0,IF(Paths!$P$172="Complete",IF(IF(Paths!$E$172=0,C1827=0,AND(C1827&gt;0,Paths!$E$172&gt;(C1827-1)*12,Paths!$E$172&lt;=C1827*12)),Paths!$H$172,0),"n.a."))</f>
        <v>0</v>
      </c>
      <c r="K1827" s="16">
        <f>IF(NOT(Paths!$C$172=1),0,IF(Paths!$P$172="Complete",IF(IF(Paths!$O$172=0,C1827=0,AND(C1827&gt;0,Paths!$O$172&gt;(C1827-1)*12,Paths!$O$172&lt;=C1827*12)),Paths!$N$172,0),"n.a."))</f>
        <v>0</v>
      </c>
      <c r="L1827" s="16">
        <f>IF(NOT(Paths!$C$172=1),0,IF(Paths!$P$172="Complete",IF(C1827=10,Paths!$I$172,0),"n.a."))</f>
        <v>0</v>
      </c>
      <c r="M1827" s="16">
        <f>IF(NOT(Paths!$C$172=1),0,IF(Paths!$P$172="Complete",IF(AND(Paths!$D$172="EV",Paths!$E$172&lt;120,Paths!$E$172+'Operating costs'!$B$65&gt;Paths!$E$172,Paths!$E$172+'Operating costs'!$B$65&lt;=120,IF(Paths!$E$172+'Operating costs'!$B$65=0,C1827=0,AND(C1827&gt;0,Paths!$E$172+'Operating costs'!$B$65&gt;(C1827-1)*12,Paths!$E$172+'Operating costs'!$B$65&lt;=C1827*12))),'Operating costs'!$B$64,0)+IF(AND('Operating costs'!$B$67&gt;0,'Operating costs'!$B$67&lt;=120,OR(Paths!$D$172="ICE",'Operating costs'!$B$67&lt;=Paths!$E$172),IF('Operating costs'!$B$67=0,C1827=0,AND(C1827&gt;0,'Operating costs'!$B$67&gt;(C1827-1)*12,'Operating costs'!$B$67&lt;=C1827*12))),'Operating costs'!$B$66,0),"n.a."))</f>
        <v>0</v>
      </c>
      <c r="N1827" s="16">
        <f>IF(NOT(Paths!$C$172=1),0,IF(Paths!$P$172="Complete",SUM(G1827:I1827)-J1827-K1827-L1827+M1827+IF(C1827=0,Paths!$F$172,0)+IF(IF(Paths!$E$172=0,C1827=0,AND(C1827&gt;0,Paths!$E$172&gt;(C1827-1)*12,Paths!$E$172&lt;=C1827*12)),VLOOKUP(A1827,'Fleet register'!$A$7:$S$106,16,FALSE),0),"n.a."))</f>
        <v>0</v>
      </c>
      <c r="O1827" s="16">
        <f>IF(NOT(Paths!$C$172=1),0,IF(Paths!$P$172="Complete",N1827-IF(C1827=0,Paths!$F$172,0),"n.a."))</f>
        <v>0</v>
      </c>
      <c r="P1827" s="16">
        <f>IF(NOT(Paths!$C$172=1),0,IF(Paths!$P$172="Complete",O1827+L1827,"n.a."))</f>
        <v>0</v>
      </c>
      <c r="Q1827" s="16">
        <f>IF(NOT(Paths!$C$172=1),0,IF(Paths!$P$172="Complete",N1827*(1+'Operating costs'!$B$54)^-C1827,"n.a."))</f>
        <v>0</v>
      </c>
      <c r="R1827" s="16">
        <f>IF(NOT(Paths!$C$172=1),0,IF(Paths!$P$172="Complete",IF(AND(C1827=0,Paths!$E$172=0),I1827-J1827-K1827+VLOOKUP(A1827,'Fleet register'!$A$7:$S$106,15,FALSE)+VLOOKUP(A1827,'Fleet register'!$A$7:$S$106,16,FALSE),0),"n.a."))</f>
        <v>0</v>
      </c>
      <c r="S1827" s="1">
        <f>IF(NOT(Paths!$C$172=1),0,IF(Paths!$P$172="Complete",IF(C1827=0,0,Paths!$S$172*Paths!$R$172),"n.a."))</f>
        <v>0</v>
      </c>
      <c r="T1827" s="1">
        <f>IF(NOT(Paths!$C$172=1),0,IF(Paths!$P$172="Complete",IF(C1827=0,0,VLOOKUP(A1827,'Fleet register'!$A$7:$S$106,9,FALSE)*Paths!$R$172),"n.a."))</f>
        <v>0</v>
      </c>
    </row>
    <row r="1828" spans="1:20" ht="24" customHeight="1">
      <c r="A1828" s="1" t="str">
        <f>Paths!$A$172</f>
        <v>T042</v>
      </c>
      <c r="B1828" s="1">
        <f>Paths!$B$172</f>
        <v>1</v>
      </c>
      <c r="C1828" s="1">
        <v>6</v>
      </c>
      <c r="D1828" s="1">
        <v>172</v>
      </c>
      <c r="E1828" s="1">
        <f>IF(OR(Paths!$C$172=0,C1828=0),0,MAX(0,MIN(C1828*12,Paths!$E$172)-(C1828-1)*12))</f>
        <v>0</v>
      </c>
      <c r="F1828" s="1">
        <f>IF(OR(Paths!$C$172=0,C1828=0),0,12-E1828)</f>
        <v>0</v>
      </c>
      <c r="G1828" s="16">
        <f>IF(NOT(Paths!$C$172=1),0,IF(Paths!$P$172="Complete",E1828/12*(Paths!$J$172*(1+'Operating costs'!$B$51)^MAX(0,C1828-1)+Paths!$K$172*(1+'Operating costs'!$B$53)^MAX(0,C1828-1)),"n.a."))</f>
        <v>0</v>
      </c>
      <c r="H1828" s="16">
        <f>IF(NOT(Paths!$C$172=1),0,IF(Paths!$P$172="Complete",F1828/12*(Paths!$L$172*(1+IF(Paths!$D$172="EV",'Operating costs'!$B$52,'Operating costs'!$B$51))^MAX(0,C1828-1)+Paths!$M$172*(1+'Operating costs'!$B$53)^MAX(0,C1828-1)),"n.a."))</f>
        <v>0</v>
      </c>
      <c r="I1828" s="16">
        <f>IF(NOT(Paths!$C$172=1),0,IF(Paths!$P$172="Complete",IF(IF(Paths!$E$172=0,C1828=0,AND(C1828&gt;0,Paths!$E$172&gt;(C1828-1)*12,Paths!$E$172&lt;=C1828*12)),Paths!$G$172,0),"n.a."))</f>
        <v>0</v>
      </c>
      <c r="J1828" s="16">
        <f>IF(NOT(Paths!$C$172=1),0,IF(Paths!$P$172="Complete",IF(IF(Paths!$E$172=0,C1828=0,AND(C1828&gt;0,Paths!$E$172&gt;(C1828-1)*12,Paths!$E$172&lt;=C1828*12)),Paths!$H$172,0),"n.a."))</f>
        <v>0</v>
      </c>
      <c r="K1828" s="16">
        <f>IF(NOT(Paths!$C$172=1),0,IF(Paths!$P$172="Complete",IF(IF(Paths!$O$172=0,C1828=0,AND(C1828&gt;0,Paths!$O$172&gt;(C1828-1)*12,Paths!$O$172&lt;=C1828*12)),Paths!$N$172,0),"n.a."))</f>
        <v>0</v>
      </c>
      <c r="L1828" s="16">
        <f>IF(NOT(Paths!$C$172=1),0,IF(Paths!$P$172="Complete",IF(C1828=10,Paths!$I$172,0),"n.a."))</f>
        <v>0</v>
      </c>
      <c r="M1828" s="16">
        <f>IF(NOT(Paths!$C$172=1),0,IF(Paths!$P$172="Complete",IF(AND(Paths!$D$172="EV",Paths!$E$172&lt;120,Paths!$E$172+'Operating costs'!$B$65&gt;Paths!$E$172,Paths!$E$172+'Operating costs'!$B$65&lt;=120,IF(Paths!$E$172+'Operating costs'!$B$65=0,C1828=0,AND(C1828&gt;0,Paths!$E$172+'Operating costs'!$B$65&gt;(C1828-1)*12,Paths!$E$172+'Operating costs'!$B$65&lt;=C1828*12))),'Operating costs'!$B$64,0)+IF(AND('Operating costs'!$B$67&gt;0,'Operating costs'!$B$67&lt;=120,OR(Paths!$D$172="ICE",'Operating costs'!$B$67&lt;=Paths!$E$172),IF('Operating costs'!$B$67=0,C1828=0,AND(C1828&gt;0,'Operating costs'!$B$67&gt;(C1828-1)*12,'Operating costs'!$B$67&lt;=C1828*12))),'Operating costs'!$B$66,0),"n.a."))</f>
        <v>0</v>
      </c>
      <c r="N1828" s="16">
        <f>IF(NOT(Paths!$C$172=1),0,IF(Paths!$P$172="Complete",SUM(G1828:I1828)-J1828-K1828-L1828+M1828+IF(C1828=0,Paths!$F$172,0)+IF(IF(Paths!$E$172=0,C1828=0,AND(C1828&gt;0,Paths!$E$172&gt;(C1828-1)*12,Paths!$E$172&lt;=C1828*12)),VLOOKUP(A1828,'Fleet register'!$A$7:$S$106,16,FALSE),0),"n.a."))</f>
        <v>0</v>
      </c>
      <c r="O1828" s="16">
        <f>IF(NOT(Paths!$C$172=1),0,IF(Paths!$P$172="Complete",N1828-IF(C1828=0,Paths!$F$172,0),"n.a."))</f>
        <v>0</v>
      </c>
      <c r="P1828" s="16">
        <f>IF(NOT(Paths!$C$172=1),0,IF(Paths!$P$172="Complete",O1828+L1828,"n.a."))</f>
        <v>0</v>
      </c>
      <c r="Q1828" s="16">
        <f>IF(NOT(Paths!$C$172=1),0,IF(Paths!$P$172="Complete",N1828*(1+'Operating costs'!$B$54)^-C1828,"n.a."))</f>
        <v>0</v>
      </c>
      <c r="R1828" s="16">
        <f>IF(NOT(Paths!$C$172=1),0,IF(Paths!$P$172="Complete",IF(AND(C1828=0,Paths!$E$172=0),I1828-J1828-K1828+VLOOKUP(A1828,'Fleet register'!$A$7:$S$106,15,FALSE)+VLOOKUP(A1828,'Fleet register'!$A$7:$S$106,16,FALSE),0),"n.a."))</f>
        <v>0</v>
      </c>
      <c r="S1828" s="1">
        <f>IF(NOT(Paths!$C$172=1),0,IF(Paths!$P$172="Complete",IF(C1828=0,0,Paths!$S$172*Paths!$R$172),"n.a."))</f>
        <v>0</v>
      </c>
      <c r="T1828" s="1">
        <f>IF(NOT(Paths!$C$172=1),0,IF(Paths!$P$172="Complete",IF(C1828=0,0,VLOOKUP(A1828,'Fleet register'!$A$7:$S$106,9,FALSE)*Paths!$R$172),"n.a."))</f>
        <v>0</v>
      </c>
    </row>
    <row r="1829" spans="1:20" ht="24" customHeight="1">
      <c r="A1829" s="1" t="str">
        <f>Paths!$A$172</f>
        <v>T042</v>
      </c>
      <c r="B1829" s="1">
        <f>Paths!$B$172</f>
        <v>1</v>
      </c>
      <c r="C1829" s="1">
        <v>7</v>
      </c>
      <c r="D1829" s="1">
        <v>172</v>
      </c>
      <c r="E1829" s="1">
        <f>IF(OR(Paths!$C$172=0,C1829=0),0,MAX(0,MIN(C1829*12,Paths!$E$172)-(C1829-1)*12))</f>
        <v>0</v>
      </c>
      <c r="F1829" s="1">
        <f>IF(OR(Paths!$C$172=0,C1829=0),0,12-E1829)</f>
        <v>0</v>
      </c>
      <c r="G1829" s="16">
        <f>IF(NOT(Paths!$C$172=1),0,IF(Paths!$P$172="Complete",E1829/12*(Paths!$J$172*(1+'Operating costs'!$B$51)^MAX(0,C1829-1)+Paths!$K$172*(1+'Operating costs'!$B$53)^MAX(0,C1829-1)),"n.a."))</f>
        <v>0</v>
      </c>
      <c r="H1829" s="16">
        <f>IF(NOT(Paths!$C$172=1),0,IF(Paths!$P$172="Complete",F1829/12*(Paths!$L$172*(1+IF(Paths!$D$172="EV",'Operating costs'!$B$52,'Operating costs'!$B$51))^MAX(0,C1829-1)+Paths!$M$172*(1+'Operating costs'!$B$53)^MAX(0,C1829-1)),"n.a."))</f>
        <v>0</v>
      </c>
      <c r="I1829" s="16">
        <f>IF(NOT(Paths!$C$172=1),0,IF(Paths!$P$172="Complete",IF(IF(Paths!$E$172=0,C1829=0,AND(C1829&gt;0,Paths!$E$172&gt;(C1829-1)*12,Paths!$E$172&lt;=C1829*12)),Paths!$G$172,0),"n.a."))</f>
        <v>0</v>
      </c>
      <c r="J1829" s="16">
        <f>IF(NOT(Paths!$C$172=1),0,IF(Paths!$P$172="Complete",IF(IF(Paths!$E$172=0,C1829=0,AND(C1829&gt;0,Paths!$E$172&gt;(C1829-1)*12,Paths!$E$172&lt;=C1829*12)),Paths!$H$172,0),"n.a."))</f>
        <v>0</v>
      </c>
      <c r="K1829" s="16">
        <f>IF(NOT(Paths!$C$172=1),0,IF(Paths!$P$172="Complete",IF(IF(Paths!$O$172=0,C1829=0,AND(C1829&gt;0,Paths!$O$172&gt;(C1829-1)*12,Paths!$O$172&lt;=C1829*12)),Paths!$N$172,0),"n.a."))</f>
        <v>0</v>
      </c>
      <c r="L1829" s="16">
        <f>IF(NOT(Paths!$C$172=1),0,IF(Paths!$P$172="Complete",IF(C1829=10,Paths!$I$172,0),"n.a."))</f>
        <v>0</v>
      </c>
      <c r="M1829" s="16">
        <f>IF(NOT(Paths!$C$172=1),0,IF(Paths!$P$172="Complete",IF(AND(Paths!$D$172="EV",Paths!$E$172&lt;120,Paths!$E$172+'Operating costs'!$B$65&gt;Paths!$E$172,Paths!$E$172+'Operating costs'!$B$65&lt;=120,IF(Paths!$E$172+'Operating costs'!$B$65=0,C1829=0,AND(C1829&gt;0,Paths!$E$172+'Operating costs'!$B$65&gt;(C1829-1)*12,Paths!$E$172+'Operating costs'!$B$65&lt;=C1829*12))),'Operating costs'!$B$64,0)+IF(AND('Operating costs'!$B$67&gt;0,'Operating costs'!$B$67&lt;=120,OR(Paths!$D$172="ICE",'Operating costs'!$B$67&lt;=Paths!$E$172),IF('Operating costs'!$B$67=0,C1829=0,AND(C1829&gt;0,'Operating costs'!$B$67&gt;(C1829-1)*12,'Operating costs'!$B$67&lt;=C1829*12))),'Operating costs'!$B$66,0),"n.a."))</f>
        <v>0</v>
      </c>
      <c r="N1829" s="16">
        <f>IF(NOT(Paths!$C$172=1),0,IF(Paths!$P$172="Complete",SUM(G1829:I1829)-J1829-K1829-L1829+M1829+IF(C1829=0,Paths!$F$172,0)+IF(IF(Paths!$E$172=0,C1829=0,AND(C1829&gt;0,Paths!$E$172&gt;(C1829-1)*12,Paths!$E$172&lt;=C1829*12)),VLOOKUP(A1829,'Fleet register'!$A$7:$S$106,16,FALSE),0),"n.a."))</f>
        <v>0</v>
      </c>
      <c r="O1829" s="16">
        <f>IF(NOT(Paths!$C$172=1),0,IF(Paths!$P$172="Complete",N1829-IF(C1829=0,Paths!$F$172,0),"n.a."))</f>
        <v>0</v>
      </c>
      <c r="P1829" s="16">
        <f>IF(NOT(Paths!$C$172=1),0,IF(Paths!$P$172="Complete",O1829+L1829,"n.a."))</f>
        <v>0</v>
      </c>
      <c r="Q1829" s="16">
        <f>IF(NOT(Paths!$C$172=1),0,IF(Paths!$P$172="Complete",N1829*(1+'Operating costs'!$B$54)^-C1829,"n.a."))</f>
        <v>0</v>
      </c>
      <c r="R1829" s="16">
        <f>IF(NOT(Paths!$C$172=1),0,IF(Paths!$P$172="Complete",IF(AND(C1829=0,Paths!$E$172=0),I1829-J1829-K1829+VLOOKUP(A1829,'Fleet register'!$A$7:$S$106,15,FALSE)+VLOOKUP(A1829,'Fleet register'!$A$7:$S$106,16,FALSE),0),"n.a."))</f>
        <v>0</v>
      </c>
      <c r="S1829" s="1">
        <f>IF(NOT(Paths!$C$172=1),0,IF(Paths!$P$172="Complete",IF(C1829=0,0,Paths!$S$172*Paths!$R$172),"n.a."))</f>
        <v>0</v>
      </c>
      <c r="T1829" s="1">
        <f>IF(NOT(Paths!$C$172=1),0,IF(Paths!$P$172="Complete",IF(C1829=0,0,VLOOKUP(A1829,'Fleet register'!$A$7:$S$106,9,FALSE)*Paths!$R$172),"n.a."))</f>
        <v>0</v>
      </c>
    </row>
    <row r="1830" spans="1:20" ht="24" customHeight="1">
      <c r="A1830" s="1" t="str">
        <f>Paths!$A$172</f>
        <v>T042</v>
      </c>
      <c r="B1830" s="1">
        <f>Paths!$B$172</f>
        <v>1</v>
      </c>
      <c r="C1830" s="1">
        <v>8</v>
      </c>
      <c r="D1830" s="1">
        <v>172</v>
      </c>
      <c r="E1830" s="1">
        <f>IF(OR(Paths!$C$172=0,C1830=0),0,MAX(0,MIN(C1830*12,Paths!$E$172)-(C1830-1)*12))</f>
        <v>0</v>
      </c>
      <c r="F1830" s="1">
        <f>IF(OR(Paths!$C$172=0,C1830=0),0,12-E1830)</f>
        <v>0</v>
      </c>
      <c r="G1830" s="16">
        <f>IF(NOT(Paths!$C$172=1),0,IF(Paths!$P$172="Complete",E1830/12*(Paths!$J$172*(1+'Operating costs'!$B$51)^MAX(0,C1830-1)+Paths!$K$172*(1+'Operating costs'!$B$53)^MAX(0,C1830-1)),"n.a."))</f>
        <v>0</v>
      </c>
      <c r="H1830" s="16">
        <f>IF(NOT(Paths!$C$172=1),0,IF(Paths!$P$172="Complete",F1830/12*(Paths!$L$172*(1+IF(Paths!$D$172="EV",'Operating costs'!$B$52,'Operating costs'!$B$51))^MAX(0,C1830-1)+Paths!$M$172*(1+'Operating costs'!$B$53)^MAX(0,C1830-1)),"n.a."))</f>
        <v>0</v>
      </c>
      <c r="I1830" s="16">
        <f>IF(NOT(Paths!$C$172=1),0,IF(Paths!$P$172="Complete",IF(IF(Paths!$E$172=0,C1830=0,AND(C1830&gt;0,Paths!$E$172&gt;(C1830-1)*12,Paths!$E$172&lt;=C1830*12)),Paths!$G$172,0),"n.a."))</f>
        <v>0</v>
      </c>
      <c r="J1830" s="16">
        <f>IF(NOT(Paths!$C$172=1),0,IF(Paths!$P$172="Complete",IF(IF(Paths!$E$172=0,C1830=0,AND(C1830&gt;0,Paths!$E$172&gt;(C1830-1)*12,Paths!$E$172&lt;=C1830*12)),Paths!$H$172,0),"n.a."))</f>
        <v>0</v>
      </c>
      <c r="K1830" s="16">
        <f>IF(NOT(Paths!$C$172=1),0,IF(Paths!$P$172="Complete",IF(IF(Paths!$O$172=0,C1830=0,AND(C1830&gt;0,Paths!$O$172&gt;(C1830-1)*12,Paths!$O$172&lt;=C1830*12)),Paths!$N$172,0),"n.a."))</f>
        <v>0</v>
      </c>
      <c r="L1830" s="16">
        <f>IF(NOT(Paths!$C$172=1),0,IF(Paths!$P$172="Complete",IF(C1830=10,Paths!$I$172,0),"n.a."))</f>
        <v>0</v>
      </c>
      <c r="M1830" s="16">
        <f>IF(NOT(Paths!$C$172=1),0,IF(Paths!$P$172="Complete",IF(AND(Paths!$D$172="EV",Paths!$E$172&lt;120,Paths!$E$172+'Operating costs'!$B$65&gt;Paths!$E$172,Paths!$E$172+'Operating costs'!$B$65&lt;=120,IF(Paths!$E$172+'Operating costs'!$B$65=0,C1830=0,AND(C1830&gt;0,Paths!$E$172+'Operating costs'!$B$65&gt;(C1830-1)*12,Paths!$E$172+'Operating costs'!$B$65&lt;=C1830*12))),'Operating costs'!$B$64,0)+IF(AND('Operating costs'!$B$67&gt;0,'Operating costs'!$B$67&lt;=120,OR(Paths!$D$172="ICE",'Operating costs'!$B$67&lt;=Paths!$E$172),IF('Operating costs'!$B$67=0,C1830=0,AND(C1830&gt;0,'Operating costs'!$B$67&gt;(C1830-1)*12,'Operating costs'!$B$67&lt;=C1830*12))),'Operating costs'!$B$66,0),"n.a."))</f>
        <v>0</v>
      </c>
      <c r="N1830" s="16">
        <f>IF(NOT(Paths!$C$172=1),0,IF(Paths!$P$172="Complete",SUM(G1830:I1830)-J1830-K1830-L1830+M1830+IF(C1830=0,Paths!$F$172,0)+IF(IF(Paths!$E$172=0,C1830=0,AND(C1830&gt;0,Paths!$E$172&gt;(C1830-1)*12,Paths!$E$172&lt;=C1830*12)),VLOOKUP(A1830,'Fleet register'!$A$7:$S$106,16,FALSE),0),"n.a."))</f>
        <v>0</v>
      </c>
      <c r="O1830" s="16">
        <f>IF(NOT(Paths!$C$172=1),0,IF(Paths!$P$172="Complete",N1830-IF(C1830=0,Paths!$F$172,0),"n.a."))</f>
        <v>0</v>
      </c>
      <c r="P1830" s="16">
        <f>IF(NOT(Paths!$C$172=1),0,IF(Paths!$P$172="Complete",O1830+L1830,"n.a."))</f>
        <v>0</v>
      </c>
      <c r="Q1830" s="16">
        <f>IF(NOT(Paths!$C$172=1),0,IF(Paths!$P$172="Complete",N1830*(1+'Operating costs'!$B$54)^-C1830,"n.a."))</f>
        <v>0</v>
      </c>
      <c r="R1830" s="16">
        <f>IF(NOT(Paths!$C$172=1),0,IF(Paths!$P$172="Complete",IF(AND(C1830=0,Paths!$E$172=0),I1830-J1830-K1830+VLOOKUP(A1830,'Fleet register'!$A$7:$S$106,15,FALSE)+VLOOKUP(A1830,'Fleet register'!$A$7:$S$106,16,FALSE),0),"n.a."))</f>
        <v>0</v>
      </c>
      <c r="S1830" s="1">
        <f>IF(NOT(Paths!$C$172=1),0,IF(Paths!$P$172="Complete",IF(C1830=0,0,Paths!$S$172*Paths!$R$172),"n.a."))</f>
        <v>0</v>
      </c>
      <c r="T1830" s="1">
        <f>IF(NOT(Paths!$C$172=1),0,IF(Paths!$P$172="Complete",IF(C1830=0,0,VLOOKUP(A1830,'Fleet register'!$A$7:$S$106,9,FALSE)*Paths!$R$172),"n.a."))</f>
        <v>0</v>
      </c>
    </row>
    <row r="1831" spans="1:20" ht="24" customHeight="1">
      <c r="A1831" s="1" t="str">
        <f>Paths!$A$172</f>
        <v>T042</v>
      </c>
      <c r="B1831" s="1">
        <f>Paths!$B$172</f>
        <v>1</v>
      </c>
      <c r="C1831" s="1">
        <v>9</v>
      </c>
      <c r="D1831" s="1">
        <v>172</v>
      </c>
      <c r="E1831" s="1">
        <f>IF(OR(Paths!$C$172=0,C1831=0),0,MAX(0,MIN(C1831*12,Paths!$E$172)-(C1831-1)*12))</f>
        <v>0</v>
      </c>
      <c r="F1831" s="1">
        <f>IF(OR(Paths!$C$172=0,C1831=0),0,12-E1831)</f>
        <v>0</v>
      </c>
      <c r="G1831" s="16">
        <f>IF(NOT(Paths!$C$172=1),0,IF(Paths!$P$172="Complete",E1831/12*(Paths!$J$172*(1+'Operating costs'!$B$51)^MAX(0,C1831-1)+Paths!$K$172*(1+'Operating costs'!$B$53)^MAX(0,C1831-1)),"n.a."))</f>
        <v>0</v>
      </c>
      <c r="H1831" s="16">
        <f>IF(NOT(Paths!$C$172=1),0,IF(Paths!$P$172="Complete",F1831/12*(Paths!$L$172*(1+IF(Paths!$D$172="EV",'Operating costs'!$B$52,'Operating costs'!$B$51))^MAX(0,C1831-1)+Paths!$M$172*(1+'Operating costs'!$B$53)^MAX(0,C1831-1)),"n.a."))</f>
        <v>0</v>
      </c>
      <c r="I1831" s="16">
        <f>IF(NOT(Paths!$C$172=1),0,IF(Paths!$P$172="Complete",IF(IF(Paths!$E$172=0,C1831=0,AND(C1831&gt;0,Paths!$E$172&gt;(C1831-1)*12,Paths!$E$172&lt;=C1831*12)),Paths!$G$172,0),"n.a."))</f>
        <v>0</v>
      </c>
      <c r="J1831" s="16">
        <f>IF(NOT(Paths!$C$172=1),0,IF(Paths!$P$172="Complete",IF(IF(Paths!$E$172=0,C1831=0,AND(C1831&gt;0,Paths!$E$172&gt;(C1831-1)*12,Paths!$E$172&lt;=C1831*12)),Paths!$H$172,0),"n.a."))</f>
        <v>0</v>
      </c>
      <c r="K1831" s="16">
        <f>IF(NOT(Paths!$C$172=1),0,IF(Paths!$P$172="Complete",IF(IF(Paths!$O$172=0,C1831=0,AND(C1831&gt;0,Paths!$O$172&gt;(C1831-1)*12,Paths!$O$172&lt;=C1831*12)),Paths!$N$172,0),"n.a."))</f>
        <v>0</v>
      </c>
      <c r="L1831" s="16">
        <f>IF(NOT(Paths!$C$172=1),0,IF(Paths!$P$172="Complete",IF(C1831=10,Paths!$I$172,0),"n.a."))</f>
        <v>0</v>
      </c>
      <c r="M1831" s="16">
        <f>IF(NOT(Paths!$C$172=1),0,IF(Paths!$P$172="Complete",IF(AND(Paths!$D$172="EV",Paths!$E$172&lt;120,Paths!$E$172+'Operating costs'!$B$65&gt;Paths!$E$172,Paths!$E$172+'Operating costs'!$B$65&lt;=120,IF(Paths!$E$172+'Operating costs'!$B$65=0,C1831=0,AND(C1831&gt;0,Paths!$E$172+'Operating costs'!$B$65&gt;(C1831-1)*12,Paths!$E$172+'Operating costs'!$B$65&lt;=C1831*12))),'Operating costs'!$B$64,0)+IF(AND('Operating costs'!$B$67&gt;0,'Operating costs'!$B$67&lt;=120,OR(Paths!$D$172="ICE",'Operating costs'!$B$67&lt;=Paths!$E$172),IF('Operating costs'!$B$67=0,C1831=0,AND(C1831&gt;0,'Operating costs'!$B$67&gt;(C1831-1)*12,'Operating costs'!$B$67&lt;=C1831*12))),'Operating costs'!$B$66,0),"n.a."))</f>
        <v>0</v>
      </c>
      <c r="N1831" s="16">
        <f>IF(NOT(Paths!$C$172=1),0,IF(Paths!$P$172="Complete",SUM(G1831:I1831)-J1831-K1831-L1831+M1831+IF(C1831=0,Paths!$F$172,0)+IF(IF(Paths!$E$172=0,C1831=0,AND(C1831&gt;0,Paths!$E$172&gt;(C1831-1)*12,Paths!$E$172&lt;=C1831*12)),VLOOKUP(A1831,'Fleet register'!$A$7:$S$106,16,FALSE),0),"n.a."))</f>
        <v>0</v>
      </c>
      <c r="O1831" s="16">
        <f>IF(NOT(Paths!$C$172=1),0,IF(Paths!$P$172="Complete",N1831-IF(C1831=0,Paths!$F$172,0),"n.a."))</f>
        <v>0</v>
      </c>
      <c r="P1831" s="16">
        <f>IF(NOT(Paths!$C$172=1),0,IF(Paths!$P$172="Complete",O1831+L1831,"n.a."))</f>
        <v>0</v>
      </c>
      <c r="Q1831" s="16">
        <f>IF(NOT(Paths!$C$172=1),0,IF(Paths!$P$172="Complete",N1831*(1+'Operating costs'!$B$54)^-C1831,"n.a."))</f>
        <v>0</v>
      </c>
      <c r="R1831" s="16">
        <f>IF(NOT(Paths!$C$172=1),0,IF(Paths!$P$172="Complete",IF(AND(C1831=0,Paths!$E$172=0),I1831-J1831-K1831+VLOOKUP(A1831,'Fleet register'!$A$7:$S$106,15,FALSE)+VLOOKUP(A1831,'Fleet register'!$A$7:$S$106,16,FALSE),0),"n.a."))</f>
        <v>0</v>
      </c>
      <c r="S1831" s="1">
        <f>IF(NOT(Paths!$C$172=1),0,IF(Paths!$P$172="Complete",IF(C1831=0,0,Paths!$S$172*Paths!$R$172),"n.a."))</f>
        <v>0</v>
      </c>
      <c r="T1831" s="1">
        <f>IF(NOT(Paths!$C$172=1),0,IF(Paths!$P$172="Complete",IF(C1831=0,0,VLOOKUP(A1831,'Fleet register'!$A$7:$S$106,9,FALSE)*Paths!$R$172),"n.a."))</f>
        <v>0</v>
      </c>
    </row>
    <row r="1832" spans="1:20" ht="24" customHeight="1">
      <c r="A1832" s="1" t="str">
        <f>Paths!$A$172</f>
        <v>T042</v>
      </c>
      <c r="B1832" s="1">
        <f>Paths!$B$172</f>
        <v>1</v>
      </c>
      <c r="C1832" s="1">
        <v>10</v>
      </c>
      <c r="D1832" s="1">
        <v>172</v>
      </c>
      <c r="E1832" s="1">
        <f>IF(OR(Paths!$C$172=0,C1832=0),0,MAX(0,MIN(C1832*12,Paths!$E$172)-(C1832-1)*12))</f>
        <v>0</v>
      </c>
      <c r="F1832" s="1">
        <f>IF(OR(Paths!$C$172=0,C1832=0),0,12-E1832)</f>
        <v>0</v>
      </c>
      <c r="G1832" s="16">
        <f>IF(NOT(Paths!$C$172=1),0,IF(Paths!$P$172="Complete",E1832/12*(Paths!$J$172*(1+'Operating costs'!$B$51)^MAX(0,C1832-1)+Paths!$K$172*(1+'Operating costs'!$B$53)^MAX(0,C1832-1)),"n.a."))</f>
        <v>0</v>
      </c>
      <c r="H1832" s="16">
        <f>IF(NOT(Paths!$C$172=1),0,IF(Paths!$P$172="Complete",F1832/12*(Paths!$L$172*(1+IF(Paths!$D$172="EV",'Operating costs'!$B$52,'Operating costs'!$B$51))^MAX(0,C1832-1)+Paths!$M$172*(1+'Operating costs'!$B$53)^MAX(0,C1832-1)),"n.a."))</f>
        <v>0</v>
      </c>
      <c r="I1832" s="16">
        <f>IF(NOT(Paths!$C$172=1),0,IF(Paths!$P$172="Complete",IF(IF(Paths!$E$172=0,C1832=0,AND(C1832&gt;0,Paths!$E$172&gt;(C1832-1)*12,Paths!$E$172&lt;=C1832*12)),Paths!$G$172,0),"n.a."))</f>
        <v>0</v>
      </c>
      <c r="J1832" s="16">
        <f>IF(NOT(Paths!$C$172=1),0,IF(Paths!$P$172="Complete",IF(IF(Paths!$E$172=0,C1832=0,AND(C1832&gt;0,Paths!$E$172&gt;(C1832-1)*12,Paths!$E$172&lt;=C1832*12)),Paths!$H$172,0),"n.a."))</f>
        <v>0</v>
      </c>
      <c r="K1832" s="16">
        <f>IF(NOT(Paths!$C$172=1),0,IF(Paths!$P$172="Complete",IF(IF(Paths!$O$172=0,C1832=0,AND(C1832&gt;0,Paths!$O$172&gt;(C1832-1)*12,Paths!$O$172&lt;=C1832*12)),Paths!$N$172,0),"n.a."))</f>
        <v>0</v>
      </c>
      <c r="L1832" s="16">
        <f>IF(NOT(Paths!$C$172=1),0,IF(Paths!$P$172="Complete",IF(C1832=10,Paths!$I$172,0),"n.a."))</f>
        <v>0</v>
      </c>
      <c r="M1832" s="16">
        <f>IF(NOT(Paths!$C$172=1),0,IF(Paths!$P$172="Complete",IF(AND(Paths!$D$172="EV",Paths!$E$172&lt;120,Paths!$E$172+'Operating costs'!$B$65&gt;Paths!$E$172,Paths!$E$172+'Operating costs'!$B$65&lt;=120,IF(Paths!$E$172+'Operating costs'!$B$65=0,C1832=0,AND(C1832&gt;0,Paths!$E$172+'Operating costs'!$B$65&gt;(C1832-1)*12,Paths!$E$172+'Operating costs'!$B$65&lt;=C1832*12))),'Operating costs'!$B$64,0)+IF(AND('Operating costs'!$B$67&gt;0,'Operating costs'!$B$67&lt;=120,OR(Paths!$D$172="ICE",'Operating costs'!$B$67&lt;=Paths!$E$172),IF('Operating costs'!$B$67=0,C1832=0,AND(C1832&gt;0,'Operating costs'!$B$67&gt;(C1832-1)*12,'Operating costs'!$B$67&lt;=C1832*12))),'Operating costs'!$B$66,0),"n.a."))</f>
        <v>0</v>
      </c>
      <c r="N1832" s="16">
        <f>IF(NOT(Paths!$C$172=1),0,IF(Paths!$P$172="Complete",SUM(G1832:I1832)-J1832-K1832-L1832+M1832+IF(C1832=0,Paths!$F$172,0)+IF(IF(Paths!$E$172=0,C1832=0,AND(C1832&gt;0,Paths!$E$172&gt;(C1832-1)*12,Paths!$E$172&lt;=C1832*12)),VLOOKUP(A1832,'Fleet register'!$A$7:$S$106,16,FALSE),0),"n.a."))</f>
        <v>0</v>
      </c>
      <c r="O1832" s="16">
        <f>IF(NOT(Paths!$C$172=1),0,IF(Paths!$P$172="Complete",N1832-IF(C1832=0,Paths!$F$172,0),"n.a."))</f>
        <v>0</v>
      </c>
      <c r="P1832" s="16">
        <f>IF(NOT(Paths!$C$172=1),0,IF(Paths!$P$172="Complete",O1832+L1832,"n.a."))</f>
        <v>0</v>
      </c>
      <c r="Q1832" s="16">
        <f>IF(NOT(Paths!$C$172=1),0,IF(Paths!$P$172="Complete",N1832*(1+'Operating costs'!$B$54)^-C1832,"n.a."))</f>
        <v>0</v>
      </c>
      <c r="R1832" s="16">
        <f>IF(NOT(Paths!$C$172=1),0,IF(Paths!$P$172="Complete",IF(AND(C1832=0,Paths!$E$172=0),I1832-J1832-K1832+VLOOKUP(A1832,'Fleet register'!$A$7:$S$106,15,FALSE)+VLOOKUP(A1832,'Fleet register'!$A$7:$S$106,16,FALSE),0),"n.a."))</f>
        <v>0</v>
      </c>
      <c r="S1832" s="1">
        <f>IF(NOT(Paths!$C$172=1),0,IF(Paths!$P$172="Complete",IF(C1832=0,0,Paths!$S$172*Paths!$R$172),"n.a."))</f>
        <v>0</v>
      </c>
      <c r="T1832" s="1">
        <f>IF(NOT(Paths!$C$172=1),0,IF(Paths!$P$172="Complete",IF(C1832=0,0,VLOOKUP(A1832,'Fleet register'!$A$7:$S$106,9,FALSE)*Paths!$R$172),"n.a."))</f>
        <v>0</v>
      </c>
    </row>
    <row r="1833" spans="1:20" ht="24" customHeight="1">
      <c r="A1833" s="1" t="str">
        <f>Paths!$A$173</f>
        <v>T042</v>
      </c>
      <c r="B1833" s="1">
        <f>Paths!$B$173</f>
        <v>2</v>
      </c>
      <c r="C1833" s="1">
        <v>0</v>
      </c>
      <c r="D1833" s="1">
        <v>173</v>
      </c>
      <c r="E1833" s="1">
        <f>IF(OR(Paths!$C$173=0,C1833=0),0,MAX(0,MIN(C1833*12,Paths!$E$173)-(C1833-1)*12))</f>
        <v>0</v>
      </c>
      <c r="F1833" s="1">
        <f>IF(OR(Paths!$C$173=0,C1833=0),0,12-E1833)</f>
        <v>0</v>
      </c>
      <c r="G1833" s="16">
        <f>IF(NOT(Paths!$C$173=1),0,IF(Paths!$P$173="Complete",E1833/12*(Paths!$J$173*(1+'Operating costs'!$B$51)^MAX(0,C1833-1)+Paths!$K$173*(1+'Operating costs'!$B$53)^MAX(0,C1833-1)),"n.a."))</f>
        <v>0</v>
      </c>
      <c r="H1833" s="16">
        <f>IF(NOT(Paths!$C$173=1),0,IF(Paths!$P$173="Complete",F1833/12*(Paths!$L$173*(1+IF(Paths!$D$173="EV",'Operating costs'!$B$52,'Operating costs'!$B$51))^MAX(0,C1833-1)+Paths!$M$173*(1+'Operating costs'!$B$53)^MAX(0,C1833-1)),"n.a."))</f>
        <v>0</v>
      </c>
      <c r="I1833" s="16">
        <f>IF(NOT(Paths!$C$173=1),0,IF(Paths!$P$173="Complete",IF(IF(Paths!$E$173=0,C1833=0,AND(C1833&gt;0,Paths!$E$173&gt;(C1833-1)*12,Paths!$E$173&lt;=C1833*12)),Paths!$G$173,0),"n.a."))</f>
        <v>0</v>
      </c>
      <c r="J1833" s="16">
        <f>IF(NOT(Paths!$C$173=1),0,IF(Paths!$P$173="Complete",IF(IF(Paths!$E$173=0,C1833=0,AND(C1833&gt;0,Paths!$E$173&gt;(C1833-1)*12,Paths!$E$173&lt;=C1833*12)),Paths!$H$173,0),"n.a."))</f>
        <v>0</v>
      </c>
      <c r="K1833" s="16">
        <f>IF(NOT(Paths!$C$173=1),0,IF(Paths!$P$173="Complete",IF(IF(Paths!$O$173=0,C1833=0,AND(C1833&gt;0,Paths!$O$173&gt;(C1833-1)*12,Paths!$O$173&lt;=C1833*12)),Paths!$N$173,0),"n.a."))</f>
        <v>0</v>
      </c>
      <c r="L1833" s="16">
        <f>IF(NOT(Paths!$C$173=1),0,IF(Paths!$P$173="Complete",IF(C1833=10,Paths!$I$173,0),"n.a."))</f>
        <v>0</v>
      </c>
      <c r="M1833" s="16">
        <f>IF(NOT(Paths!$C$173=1),0,IF(Paths!$P$173="Complete",IF(AND(Paths!$D$173="EV",Paths!$E$173&lt;120,Paths!$E$173+'Operating costs'!$B$65&gt;Paths!$E$173,Paths!$E$173+'Operating costs'!$B$65&lt;=120,IF(Paths!$E$173+'Operating costs'!$B$65=0,C1833=0,AND(C1833&gt;0,Paths!$E$173+'Operating costs'!$B$65&gt;(C1833-1)*12,Paths!$E$173+'Operating costs'!$B$65&lt;=C1833*12))),'Operating costs'!$B$64,0)+IF(AND('Operating costs'!$B$67&gt;0,'Operating costs'!$B$67&lt;=120,OR(Paths!$D$173="ICE",'Operating costs'!$B$67&lt;=Paths!$E$173),IF('Operating costs'!$B$67=0,C1833=0,AND(C1833&gt;0,'Operating costs'!$B$67&gt;(C1833-1)*12,'Operating costs'!$B$67&lt;=C1833*12))),'Operating costs'!$B$66,0),"n.a."))</f>
        <v>0</v>
      </c>
      <c r="N1833" s="16">
        <f>IF(NOT(Paths!$C$173=1),0,IF(Paths!$P$173="Complete",SUM(G1833:I1833)-J1833-K1833-L1833+M1833+IF(C1833=0,Paths!$F$173,0)+IF(IF(Paths!$E$173=0,C1833=0,AND(C1833&gt;0,Paths!$E$173&gt;(C1833-1)*12,Paths!$E$173&lt;=C1833*12)),VLOOKUP(A1833,'Fleet register'!$A$7:$S$106,16,FALSE),0),"n.a."))</f>
        <v>0</v>
      </c>
      <c r="O1833" s="16">
        <f>IF(NOT(Paths!$C$173=1),0,IF(Paths!$P$173="Complete",N1833-IF(C1833=0,Paths!$F$173,0),"n.a."))</f>
        <v>0</v>
      </c>
      <c r="P1833" s="16">
        <f>IF(NOT(Paths!$C$173=1),0,IF(Paths!$P$173="Complete",O1833+L1833,"n.a."))</f>
        <v>0</v>
      </c>
      <c r="Q1833" s="16">
        <f>IF(NOT(Paths!$C$173=1),0,IF(Paths!$P$173="Complete",N1833*(1+'Operating costs'!$B$54)^-C1833,"n.a."))</f>
        <v>0</v>
      </c>
      <c r="R1833" s="16">
        <f>IF(NOT(Paths!$C$173=1),0,IF(Paths!$P$173="Complete",IF(AND(C1833=0,Paths!$E$173=0),I1833-J1833-K1833+VLOOKUP(A1833,'Fleet register'!$A$7:$S$106,15,FALSE)+VLOOKUP(A1833,'Fleet register'!$A$7:$S$106,16,FALSE),0),"n.a."))</f>
        <v>0</v>
      </c>
      <c r="S1833" s="1">
        <f>IF(NOT(Paths!$C$173=1),0,IF(Paths!$P$173="Complete",IF(C1833=0,0,Paths!$S$173*Paths!$R$173),"n.a."))</f>
        <v>0</v>
      </c>
      <c r="T1833" s="1">
        <f>IF(NOT(Paths!$C$173=1),0,IF(Paths!$P$173="Complete",IF(C1833=0,0,VLOOKUP(A1833,'Fleet register'!$A$7:$S$106,9,FALSE)*Paths!$R$173),"n.a."))</f>
        <v>0</v>
      </c>
    </row>
    <row r="1834" spans="1:20" ht="24" customHeight="1">
      <c r="A1834" s="1" t="str">
        <f>Paths!$A$173</f>
        <v>T042</v>
      </c>
      <c r="B1834" s="1">
        <f>Paths!$B$173</f>
        <v>2</v>
      </c>
      <c r="C1834" s="1">
        <v>1</v>
      </c>
      <c r="D1834" s="1">
        <v>173</v>
      </c>
      <c r="E1834" s="1">
        <f>IF(OR(Paths!$C$173=0,C1834=0),0,MAX(0,MIN(C1834*12,Paths!$E$173)-(C1834-1)*12))</f>
        <v>0</v>
      </c>
      <c r="F1834" s="1">
        <f>IF(OR(Paths!$C$173=0,C1834=0),0,12-E1834)</f>
        <v>0</v>
      </c>
      <c r="G1834" s="16">
        <f>IF(NOT(Paths!$C$173=1),0,IF(Paths!$P$173="Complete",E1834/12*(Paths!$J$173*(1+'Operating costs'!$B$51)^MAX(0,C1834-1)+Paths!$K$173*(1+'Operating costs'!$B$53)^MAX(0,C1834-1)),"n.a."))</f>
        <v>0</v>
      </c>
      <c r="H1834" s="16">
        <f>IF(NOT(Paths!$C$173=1),0,IF(Paths!$P$173="Complete",F1834/12*(Paths!$L$173*(1+IF(Paths!$D$173="EV",'Operating costs'!$B$52,'Operating costs'!$B$51))^MAX(0,C1834-1)+Paths!$M$173*(1+'Operating costs'!$B$53)^MAX(0,C1834-1)),"n.a."))</f>
        <v>0</v>
      </c>
      <c r="I1834" s="16">
        <f>IF(NOT(Paths!$C$173=1),0,IF(Paths!$P$173="Complete",IF(IF(Paths!$E$173=0,C1834=0,AND(C1834&gt;0,Paths!$E$173&gt;(C1834-1)*12,Paths!$E$173&lt;=C1834*12)),Paths!$G$173,0),"n.a."))</f>
        <v>0</v>
      </c>
      <c r="J1834" s="16">
        <f>IF(NOT(Paths!$C$173=1),0,IF(Paths!$P$173="Complete",IF(IF(Paths!$E$173=0,C1834=0,AND(C1834&gt;0,Paths!$E$173&gt;(C1834-1)*12,Paths!$E$173&lt;=C1834*12)),Paths!$H$173,0),"n.a."))</f>
        <v>0</v>
      </c>
      <c r="K1834" s="16">
        <f>IF(NOT(Paths!$C$173=1),0,IF(Paths!$P$173="Complete",IF(IF(Paths!$O$173=0,C1834=0,AND(C1834&gt;0,Paths!$O$173&gt;(C1834-1)*12,Paths!$O$173&lt;=C1834*12)),Paths!$N$173,0),"n.a."))</f>
        <v>0</v>
      </c>
      <c r="L1834" s="16">
        <f>IF(NOT(Paths!$C$173=1),0,IF(Paths!$P$173="Complete",IF(C1834=10,Paths!$I$173,0),"n.a."))</f>
        <v>0</v>
      </c>
      <c r="M1834" s="16">
        <f>IF(NOT(Paths!$C$173=1),0,IF(Paths!$P$173="Complete",IF(AND(Paths!$D$173="EV",Paths!$E$173&lt;120,Paths!$E$173+'Operating costs'!$B$65&gt;Paths!$E$173,Paths!$E$173+'Operating costs'!$B$65&lt;=120,IF(Paths!$E$173+'Operating costs'!$B$65=0,C1834=0,AND(C1834&gt;0,Paths!$E$173+'Operating costs'!$B$65&gt;(C1834-1)*12,Paths!$E$173+'Operating costs'!$B$65&lt;=C1834*12))),'Operating costs'!$B$64,0)+IF(AND('Operating costs'!$B$67&gt;0,'Operating costs'!$B$67&lt;=120,OR(Paths!$D$173="ICE",'Operating costs'!$B$67&lt;=Paths!$E$173),IF('Operating costs'!$B$67=0,C1834=0,AND(C1834&gt;0,'Operating costs'!$B$67&gt;(C1834-1)*12,'Operating costs'!$B$67&lt;=C1834*12))),'Operating costs'!$B$66,0),"n.a."))</f>
        <v>0</v>
      </c>
      <c r="N1834" s="16">
        <f>IF(NOT(Paths!$C$173=1),0,IF(Paths!$P$173="Complete",SUM(G1834:I1834)-J1834-K1834-L1834+M1834+IF(C1834=0,Paths!$F$173,0)+IF(IF(Paths!$E$173=0,C1834=0,AND(C1834&gt;0,Paths!$E$173&gt;(C1834-1)*12,Paths!$E$173&lt;=C1834*12)),VLOOKUP(A1834,'Fleet register'!$A$7:$S$106,16,FALSE),0),"n.a."))</f>
        <v>0</v>
      </c>
      <c r="O1834" s="16">
        <f>IF(NOT(Paths!$C$173=1),0,IF(Paths!$P$173="Complete",N1834-IF(C1834=0,Paths!$F$173,0),"n.a."))</f>
        <v>0</v>
      </c>
      <c r="P1834" s="16">
        <f>IF(NOT(Paths!$C$173=1),0,IF(Paths!$P$173="Complete",O1834+L1834,"n.a."))</f>
        <v>0</v>
      </c>
      <c r="Q1834" s="16">
        <f>IF(NOT(Paths!$C$173=1),0,IF(Paths!$P$173="Complete",N1834*(1+'Operating costs'!$B$54)^-C1834,"n.a."))</f>
        <v>0</v>
      </c>
      <c r="R1834" s="16">
        <f>IF(NOT(Paths!$C$173=1),0,IF(Paths!$P$173="Complete",IF(AND(C1834=0,Paths!$E$173=0),I1834-J1834-K1834+VLOOKUP(A1834,'Fleet register'!$A$7:$S$106,15,FALSE)+VLOOKUP(A1834,'Fleet register'!$A$7:$S$106,16,FALSE),0),"n.a."))</f>
        <v>0</v>
      </c>
      <c r="S1834" s="1">
        <f>IF(NOT(Paths!$C$173=1),0,IF(Paths!$P$173="Complete",IF(C1834=0,0,Paths!$S$173*Paths!$R$173),"n.a."))</f>
        <v>0</v>
      </c>
      <c r="T1834" s="1">
        <f>IF(NOT(Paths!$C$173=1),0,IF(Paths!$P$173="Complete",IF(C1834=0,0,VLOOKUP(A1834,'Fleet register'!$A$7:$S$106,9,FALSE)*Paths!$R$173),"n.a."))</f>
        <v>0</v>
      </c>
    </row>
    <row r="1835" spans="1:20" ht="24" customHeight="1">
      <c r="A1835" s="1" t="str">
        <f>Paths!$A$173</f>
        <v>T042</v>
      </c>
      <c r="B1835" s="1">
        <f>Paths!$B$173</f>
        <v>2</v>
      </c>
      <c r="C1835" s="1">
        <v>2</v>
      </c>
      <c r="D1835" s="1">
        <v>173</v>
      </c>
      <c r="E1835" s="1">
        <f>IF(OR(Paths!$C$173=0,C1835=0),0,MAX(0,MIN(C1835*12,Paths!$E$173)-(C1835-1)*12))</f>
        <v>0</v>
      </c>
      <c r="F1835" s="1">
        <f>IF(OR(Paths!$C$173=0,C1835=0),0,12-E1835)</f>
        <v>0</v>
      </c>
      <c r="G1835" s="16">
        <f>IF(NOT(Paths!$C$173=1),0,IF(Paths!$P$173="Complete",E1835/12*(Paths!$J$173*(1+'Operating costs'!$B$51)^MAX(0,C1835-1)+Paths!$K$173*(1+'Operating costs'!$B$53)^MAX(0,C1835-1)),"n.a."))</f>
        <v>0</v>
      </c>
      <c r="H1835" s="16">
        <f>IF(NOT(Paths!$C$173=1),0,IF(Paths!$P$173="Complete",F1835/12*(Paths!$L$173*(1+IF(Paths!$D$173="EV",'Operating costs'!$B$52,'Operating costs'!$B$51))^MAX(0,C1835-1)+Paths!$M$173*(1+'Operating costs'!$B$53)^MAX(0,C1835-1)),"n.a."))</f>
        <v>0</v>
      </c>
      <c r="I1835" s="16">
        <f>IF(NOT(Paths!$C$173=1),0,IF(Paths!$P$173="Complete",IF(IF(Paths!$E$173=0,C1835=0,AND(C1835&gt;0,Paths!$E$173&gt;(C1835-1)*12,Paths!$E$173&lt;=C1835*12)),Paths!$G$173,0),"n.a."))</f>
        <v>0</v>
      </c>
      <c r="J1835" s="16">
        <f>IF(NOT(Paths!$C$173=1),0,IF(Paths!$P$173="Complete",IF(IF(Paths!$E$173=0,C1835=0,AND(C1835&gt;0,Paths!$E$173&gt;(C1835-1)*12,Paths!$E$173&lt;=C1835*12)),Paths!$H$173,0),"n.a."))</f>
        <v>0</v>
      </c>
      <c r="K1835" s="16">
        <f>IF(NOT(Paths!$C$173=1),0,IF(Paths!$P$173="Complete",IF(IF(Paths!$O$173=0,C1835=0,AND(C1835&gt;0,Paths!$O$173&gt;(C1835-1)*12,Paths!$O$173&lt;=C1835*12)),Paths!$N$173,0),"n.a."))</f>
        <v>0</v>
      </c>
      <c r="L1835" s="16">
        <f>IF(NOT(Paths!$C$173=1),0,IF(Paths!$P$173="Complete",IF(C1835=10,Paths!$I$173,0),"n.a."))</f>
        <v>0</v>
      </c>
      <c r="M1835" s="16">
        <f>IF(NOT(Paths!$C$173=1),0,IF(Paths!$P$173="Complete",IF(AND(Paths!$D$173="EV",Paths!$E$173&lt;120,Paths!$E$173+'Operating costs'!$B$65&gt;Paths!$E$173,Paths!$E$173+'Operating costs'!$B$65&lt;=120,IF(Paths!$E$173+'Operating costs'!$B$65=0,C1835=0,AND(C1835&gt;0,Paths!$E$173+'Operating costs'!$B$65&gt;(C1835-1)*12,Paths!$E$173+'Operating costs'!$B$65&lt;=C1835*12))),'Operating costs'!$B$64,0)+IF(AND('Operating costs'!$B$67&gt;0,'Operating costs'!$B$67&lt;=120,OR(Paths!$D$173="ICE",'Operating costs'!$B$67&lt;=Paths!$E$173),IF('Operating costs'!$B$67=0,C1835=0,AND(C1835&gt;0,'Operating costs'!$B$67&gt;(C1835-1)*12,'Operating costs'!$B$67&lt;=C1835*12))),'Operating costs'!$B$66,0),"n.a."))</f>
        <v>0</v>
      </c>
      <c r="N1835" s="16">
        <f>IF(NOT(Paths!$C$173=1),0,IF(Paths!$P$173="Complete",SUM(G1835:I1835)-J1835-K1835-L1835+M1835+IF(C1835=0,Paths!$F$173,0)+IF(IF(Paths!$E$173=0,C1835=0,AND(C1835&gt;0,Paths!$E$173&gt;(C1835-1)*12,Paths!$E$173&lt;=C1835*12)),VLOOKUP(A1835,'Fleet register'!$A$7:$S$106,16,FALSE),0),"n.a."))</f>
        <v>0</v>
      </c>
      <c r="O1835" s="16">
        <f>IF(NOT(Paths!$C$173=1),0,IF(Paths!$P$173="Complete",N1835-IF(C1835=0,Paths!$F$173,0),"n.a."))</f>
        <v>0</v>
      </c>
      <c r="P1835" s="16">
        <f>IF(NOT(Paths!$C$173=1),0,IF(Paths!$P$173="Complete",O1835+L1835,"n.a."))</f>
        <v>0</v>
      </c>
      <c r="Q1835" s="16">
        <f>IF(NOT(Paths!$C$173=1),0,IF(Paths!$P$173="Complete",N1835*(1+'Operating costs'!$B$54)^-C1835,"n.a."))</f>
        <v>0</v>
      </c>
      <c r="R1835" s="16">
        <f>IF(NOT(Paths!$C$173=1),0,IF(Paths!$P$173="Complete",IF(AND(C1835=0,Paths!$E$173=0),I1835-J1835-K1835+VLOOKUP(A1835,'Fleet register'!$A$7:$S$106,15,FALSE)+VLOOKUP(A1835,'Fleet register'!$A$7:$S$106,16,FALSE),0),"n.a."))</f>
        <v>0</v>
      </c>
      <c r="S1835" s="1">
        <f>IF(NOT(Paths!$C$173=1),0,IF(Paths!$P$173="Complete",IF(C1835=0,0,Paths!$S$173*Paths!$R$173),"n.a."))</f>
        <v>0</v>
      </c>
      <c r="T1835" s="1">
        <f>IF(NOT(Paths!$C$173=1),0,IF(Paths!$P$173="Complete",IF(C1835=0,0,VLOOKUP(A1835,'Fleet register'!$A$7:$S$106,9,FALSE)*Paths!$R$173),"n.a."))</f>
        <v>0</v>
      </c>
    </row>
    <row r="1836" spans="1:20" ht="24" customHeight="1">
      <c r="A1836" s="1" t="str">
        <f>Paths!$A$173</f>
        <v>T042</v>
      </c>
      <c r="B1836" s="1">
        <f>Paths!$B$173</f>
        <v>2</v>
      </c>
      <c r="C1836" s="1">
        <v>3</v>
      </c>
      <c r="D1836" s="1">
        <v>173</v>
      </c>
      <c r="E1836" s="1">
        <f>IF(OR(Paths!$C$173=0,C1836=0),0,MAX(0,MIN(C1836*12,Paths!$E$173)-(C1836-1)*12))</f>
        <v>0</v>
      </c>
      <c r="F1836" s="1">
        <f>IF(OR(Paths!$C$173=0,C1836=0),0,12-E1836)</f>
        <v>0</v>
      </c>
      <c r="G1836" s="16">
        <f>IF(NOT(Paths!$C$173=1),0,IF(Paths!$P$173="Complete",E1836/12*(Paths!$J$173*(1+'Operating costs'!$B$51)^MAX(0,C1836-1)+Paths!$K$173*(1+'Operating costs'!$B$53)^MAX(0,C1836-1)),"n.a."))</f>
        <v>0</v>
      </c>
      <c r="H1836" s="16">
        <f>IF(NOT(Paths!$C$173=1),0,IF(Paths!$P$173="Complete",F1836/12*(Paths!$L$173*(1+IF(Paths!$D$173="EV",'Operating costs'!$B$52,'Operating costs'!$B$51))^MAX(0,C1836-1)+Paths!$M$173*(1+'Operating costs'!$B$53)^MAX(0,C1836-1)),"n.a."))</f>
        <v>0</v>
      </c>
      <c r="I1836" s="16">
        <f>IF(NOT(Paths!$C$173=1),0,IF(Paths!$P$173="Complete",IF(IF(Paths!$E$173=0,C1836=0,AND(C1836&gt;0,Paths!$E$173&gt;(C1836-1)*12,Paths!$E$173&lt;=C1836*12)),Paths!$G$173,0),"n.a."))</f>
        <v>0</v>
      </c>
      <c r="J1836" s="16">
        <f>IF(NOT(Paths!$C$173=1),0,IF(Paths!$P$173="Complete",IF(IF(Paths!$E$173=0,C1836=0,AND(C1836&gt;0,Paths!$E$173&gt;(C1836-1)*12,Paths!$E$173&lt;=C1836*12)),Paths!$H$173,0),"n.a."))</f>
        <v>0</v>
      </c>
      <c r="K1836" s="16">
        <f>IF(NOT(Paths!$C$173=1),0,IF(Paths!$P$173="Complete",IF(IF(Paths!$O$173=0,C1836=0,AND(C1836&gt;0,Paths!$O$173&gt;(C1836-1)*12,Paths!$O$173&lt;=C1836*12)),Paths!$N$173,0),"n.a."))</f>
        <v>0</v>
      </c>
      <c r="L1836" s="16">
        <f>IF(NOT(Paths!$C$173=1),0,IF(Paths!$P$173="Complete",IF(C1836=10,Paths!$I$173,0),"n.a."))</f>
        <v>0</v>
      </c>
      <c r="M1836" s="16">
        <f>IF(NOT(Paths!$C$173=1),0,IF(Paths!$P$173="Complete",IF(AND(Paths!$D$173="EV",Paths!$E$173&lt;120,Paths!$E$173+'Operating costs'!$B$65&gt;Paths!$E$173,Paths!$E$173+'Operating costs'!$B$65&lt;=120,IF(Paths!$E$173+'Operating costs'!$B$65=0,C1836=0,AND(C1836&gt;0,Paths!$E$173+'Operating costs'!$B$65&gt;(C1836-1)*12,Paths!$E$173+'Operating costs'!$B$65&lt;=C1836*12))),'Operating costs'!$B$64,0)+IF(AND('Operating costs'!$B$67&gt;0,'Operating costs'!$B$67&lt;=120,OR(Paths!$D$173="ICE",'Operating costs'!$B$67&lt;=Paths!$E$173),IF('Operating costs'!$B$67=0,C1836=0,AND(C1836&gt;0,'Operating costs'!$B$67&gt;(C1836-1)*12,'Operating costs'!$B$67&lt;=C1836*12))),'Operating costs'!$B$66,0),"n.a."))</f>
        <v>0</v>
      </c>
      <c r="N1836" s="16">
        <f>IF(NOT(Paths!$C$173=1),0,IF(Paths!$P$173="Complete",SUM(G1836:I1836)-J1836-K1836-L1836+M1836+IF(C1836=0,Paths!$F$173,0)+IF(IF(Paths!$E$173=0,C1836=0,AND(C1836&gt;0,Paths!$E$173&gt;(C1836-1)*12,Paths!$E$173&lt;=C1836*12)),VLOOKUP(A1836,'Fleet register'!$A$7:$S$106,16,FALSE),0),"n.a."))</f>
        <v>0</v>
      </c>
      <c r="O1836" s="16">
        <f>IF(NOT(Paths!$C$173=1),0,IF(Paths!$P$173="Complete",N1836-IF(C1836=0,Paths!$F$173,0),"n.a."))</f>
        <v>0</v>
      </c>
      <c r="P1836" s="16">
        <f>IF(NOT(Paths!$C$173=1),0,IF(Paths!$P$173="Complete",O1836+L1836,"n.a."))</f>
        <v>0</v>
      </c>
      <c r="Q1836" s="16">
        <f>IF(NOT(Paths!$C$173=1),0,IF(Paths!$P$173="Complete",N1836*(1+'Operating costs'!$B$54)^-C1836,"n.a."))</f>
        <v>0</v>
      </c>
      <c r="R1836" s="16">
        <f>IF(NOT(Paths!$C$173=1),0,IF(Paths!$P$173="Complete",IF(AND(C1836=0,Paths!$E$173=0),I1836-J1836-K1836+VLOOKUP(A1836,'Fleet register'!$A$7:$S$106,15,FALSE)+VLOOKUP(A1836,'Fleet register'!$A$7:$S$106,16,FALSE),0),"n.a."))</f>
        <v>0</v>
      </c>
      <c r="S1836" s="1">
        <f>IF(NOT(Paths!$C$173=1),0,IF(Paths!$P$173="Complete",IF(C1836=0,0,Paths!$S$173*Paths!$R$173),"n.a."))</f>
        <v>0</v>
      </c>
      <c r="T1836" s="1">
        <f>IF(NOT(Paths!$C$173=1),0,IF(Paths!$P$173="Complete",IF(C1836=0,0,VLOOKUP(A1836,'Fleet register'!$A$7:$S$106,9,FALSE)*Paths!$R$173),"n.a."))</f>
        <v>0</v>
      </c>
    </row>
    <row r="1837" spans="1:20" ht="24" customHeight="1">
      <c r="A1837" s="1" t="str">
        <f>Paths!$A$173</f>
        <v>T042</v>
      </c>
      <c r="B1837" s="1">
        <f>Paths!$B$173</f>
        <v>2</v>
      </c>
      <c r="C1837" s="1">
        <v>4</v>
      </c>
      <c r="D1837" s="1">
        <v>173</v>
      </c>
      <c r="E1837" s="1">
        <f>IF(OR(Paths!$C$173=0,C1837=0),0,MAX(0,MIN(C1837*12,Paths!$E$173)-(C1837-1)*12))</f>
        <v>0</v>
      </c>
      <c r="F1837" s="1">
        <f>IF(OR(Paths!$C$173=0,C1837=0),0,12-E1837)</f>
        <v>0</v>
      </c>
      <c r="G1837" s="16">
        <f>IF(NOT(Paths!$C$173=1),0,IF(Paths!$P$173="Complete",E1837/12*(Paths!$J$173*(1+'Operating costs'!$B$51)^MAX(0,C1837-1)+Paths!$K$173*(1+'Operating costs'!$B$53)^MAX(0,C1837-1)),"n.a."))</f>
        <v>0</v>
      </c>
      <c r="H1837" s="16">
        <f>IF(NOT(Paths!$C$173=1),0,IF(Paths!$P$173="Complete",F1837/12*(Paths!$L$173*(1+IF(Paths!$D$173="EV",'Operating costs'!$B$52,'Operating costs'!$B$51))^MAX(0,C1837-1)+Paths!$M$173*(1+'Operating costs'!$B$53)^MAX(0,C1837-1)),"n.a."))</f>
        <v>0</v>
      </c>
      <c r="I1837" s="16">
        <f>IF(NOT(Paths!$C$173=1),0,IF(Paths!$P$173="Complete",IF(IF(Paths!$E$173=0,C1837=0,AND(C1837&gt;0,Paths!$E$173&gt;(C1837-1)*12,Paths!$E$173&lt;=C1837*12)),Paths!$G$173,0),"n.a."))</f>
        <v>0</v>
      </c>
      <c r="J1837" s="16">
        <f>IF(NOT(Paths!$C$173=1),0,IF(Paths!$P$173="Complete",IF(IF(Paths!$E$173=0,C1837=0,AND(C1837&gt;0,Paths!$E$173&gt;(C1837-1)*12,Paths!$E$173&lt;=C1837*12)),Paths!$H$173,0),"n.a."))</f>
        <v>0</v>
      </c>
      <c r="K1837" s="16">
        <f>IF(NOT(Paths!$C$173=1),0,IF(Paths!$P$173="Complete",IF(IF(Paths!$O$173=0,C1837=0,AND(C1837&gt;0,Paths!$O$173&gt;(C1837-1)*12,Paths!$O$173&lt;=C1837*12)),Paths!$N$173,0),"n.a."))</f>
        <v>0</v>
      </c>
      <c r="L1837" s="16">
        <f>IF(NOT(Paths!$C$173=1),0,IF(Paths!$P$173="Complete",IF(C1837=10,Paths!$I$173,0),"n.a."))</f>
        <v>0</v>
      </c>
      <c r="M1837" s="16">
        <f>IF(NOT(Paths!$C$173=1),0,IF(Paths!$P$173="Complete",IF(AND(Paths!$D$173="EV",Paths!$E$173&lt;120,Paths!$E$173+'Operating costs'!$B$65&gt;Paths!$E$173,Paths!$E$173+'Operating costs'!$B$65&lt;=120,IF(Paths!$E$173+'Operating costs'!$B$65=0,C1837=0,AND(C1837&gt;0,Paths!$E$173+'Operating costs'!$B$65&gt;(C1837-1)*12,Paths!$E$173+'Operating costs'!$B$65&lt;=C1837*12))),'Operating costs'!$B$64,0)+IF(AND('Operating costs'!$B$67&gt;0,'Operating costs'!$B$67&lt;=120,OR(Paths!$D$173="ICE",'Operating costs'!$B$67&lt;=Paths!$E$173),IF('Operating costs'!$B$67=0,C1837=0,AND(C1837&gt;0,'Operating costs'!$B$67&gt;(C1837-1)*12,'Operating costs'!$B$67&lt;=C1837*12))),'Operating costs'!$B$66,0),"n.a."))</f>
        <v>0</v>
      </c>
      <c r="N1837" s="16">
        <f>IF(NOT(Paths!$C$173=1),0,IF(Paths!$P$173="Complete",SUM(G1837:I1837)-J1837-K1837-L1837+M1837+IF(C1837=0,Paths!$F$173,0)+IF(IF(Paths!$E$173=0,C1837=0,AND(C1837&gt;0,Paths!$E$173&gt;(C1837-1)*12,Paths!$E$173&lt;=C1837*12)),VLOOKUP(A1837,'Fleet register'!$A$7:$S$106,16,FALSE),0),"n.a."))</f>
        <v>0</v>
      </c>
      <c r="O1837" s="16">
        <f>IF(NOT(Paths!$C$173=1),0,IF(Paths!$P$173="Complete",N1837-IF(C1837=0,Paths!$F$173,0),"n.a."))</f>
        <v>0</v>
      </c>
      <c r="P1837" s="16">
        <f>IF(NOT(Paths!$C$173=1),0,IF(Paths!$P$173="Complete",O1837+L1837,"n.a."))</f>
        <v>0</v>
      </c>
      <c r="Q1837" s="16">
        <f>IF(NOT(Paths!$C$173=1),0,IF(Paths!$P$173="Complete",N1837*(1+'Operating costs'!$B$54)^-C1837,"n.a."))</f>
        <v>0</v>
      </c>
      <c r="R1837" s="16">
        <f>IF(NOT(Paths!$C$173=1),0,IF(Paths!$P$173="Complete",IF(AND(C1837=0,Paths!$E$173=0),I1837-J1837-K1837+VLOOKUP(A1837,'Fleet register'!$A$7:$S$106,15,FALSE)+VLOOKUP(A1837,'Fleet register'!$A$7:$S$106,16,FALSE),0),"n.a."))</f>
        <v>0</v>
      </c>
      <c r="S1837" s="1">
        <f>IF(NOT(Paths!$C$173=1),0,IF(Paths!$P$173="Complete",IF(C1837=0,0,Paths!$S$173*Paths!$R$173),"n.a."))</f>
        <v>0</v>
      </c>
      <c r="T1837" s="1">
        <f>IF(NOT(Paths!$C$173=1),0,IF(Paths!$P$173="Complete",IF(C1837=0,0,VLOOKUP(A1837,'Fleet register'!$A$7:$S$106,9,FALSE)*Paths!$R$173),"n.a."))</f>
        <v>0</v>
      </c>
    </row>
    <row r="1838" spans="1:20" ht="24" customHeight="1">
      <c r="A1838" s="1" t="str">
        <f>Paths!$A$173</f>
        <v>T042</v>
      </c>
      <c r="B1838" s="1">
        <f>Paths!$B$173</f>
        <v>2</v>
      </c>
      <c r="C1838" s="1">
        <v>5</v>
      </c>
      <c r="D1838" s="1">
        <v>173</v>
      </c>
      <c r="E1838" s="1">
        <f>IF(OR(Paths!$C$173=0,C1838=0),0,MAX(0,MIN(C1838*12,Paths!$E$173)-(C1838-1)*12))</f>
        <v>0</v>
      </c>
      <c r="F1838" s="1">
        <f>IF(OR(Paths!$C$173=0,C1838=0),0,12-E1838)</f>
        <v>0</v>
      </c>
      <c r="G1838" s="16">
        <f>IF(NOT(Paths!$C$173=1),0,IF(Paths!$P$173="Complete",E1838/12*(Paths!$J$173*(1+'Operating costs'!$B$51)^MAX(0,C1838-1)+Paths!$K$173*(1+'Operating costs'!$B$53)^MAX(0,C1838-1)),"n.a."))</f>
        <v>0</v>
      </c>
      <c r="H1838" s="16">
        <f>IF(NOT(Paths!$C$173=1),0,IF(Paths!$P$173="Complete",F1838/12*(Paths!$L$173*(1+IF(Paths!$D$173="EV",'Operating costs'!$B$52,'Operating costs'!$B$51))^MAX(0,C1838-1)+Paths!$M$173*(1+'Operating costs'!$B$53)^MAX(0,C1838-1)),"n.a."))</f>
        <v>0</v>
      </c>
      <c r="I1838" s="16">
        <f>IF(NOT(Paths!$C$173=1),0,IF(Paths!$P$173="Complete",IF(IF(Paths!$E$173=0,C1838=0,AND(C1838&gt;0,Paths!$E$173&gt;(C1838-1)*12,Paths!$E$173&lt;=C1838*12)),Paths!$G$173,0),"n.a."))</f>
        <v>0</v>
      </c>
      <c r="J1838" s="16">
        <f>IF(NOT(Paths!$C$173=1),0,IF(Paths!$P$173="Complete",IF(IF(Paths!$E$173=0,C1838=0,AND(C1838&gt;0,Paths!$E$173&gt;(C1838-1)*12,Paths!$E$173&lt;=C1838*12)),Paths!$H$173,0),"n.a."))</f>
        <v>0</v>
      </c>
      <c r="K1838" s="16">
        <f>IF(NOT(Paths!$C$173=1),0,IF(Paths!$P$173="Complete",IF(IF(Paths!$O$173=0,C1838=0,AND(C1838&gt;0,Paths!$O$173&gt;(C1838-1)*12,Paths!$O$173&lt;=C1838*12)),Paths!$N$173,0),"n.a."))</f>
        <v>0</v>
      </c>
      <c r="L1838" s="16">
        <f>IF(NOT(Paths!$C$173=1),0,IF(Paths!$P$173="Complete",IF(C1838=10,Paths!$I$173,0),"n.a."))</f>
        <v>0</v>
      </c>
      <c r="M1838" s="16">
        <f>IF(NOT(Paths!$C$173=1),0,IF(Paths!$P$173="Complete",IF(AND(Paths!$D$173="EV",Paths!$E$173&lt;120,Paths!$E$173+'Operating costs'!$B$65&gt;Paths!$E$173,Paths!$E$173+'Operating costs'!$B$65&lt;=120,IF(Paths!$E$173+'Operating costs'!$B$65=0,C1838=0,AND(C1838&gt;0,Paths!$E$173+'Operating costs'!$B$65&gt;(C1838-1)*12,Paths!$E$173+'Operating costs'!$B$65&lt;=C1838*12))),'Operating costs'!$B$64,0)+IF(AND('Operating costs'!$B$67&gt;0,'Operating costs'!$B$67&lt;=120,OR(Paths!$D$173="ICE",'Operating costs'!$B$67&lt;=Paths!$E$173),IF('Operating costs'!$B$67=0,C1838=0,AND(C1838&gt;0,'Operating costs'!$B$67&gt;(C1838-1)*12,'Operating costs'!$B$67&lt;=C1838*12))),'Operating costs'!$B$66,0),"n.a."))</f>
        <v>0</v>
      </c>
      <c r="N1838" s="16">
        <f>IF(NOT(Paths!$C$173=1),0,IF(Paths!$P$173="Complete",SUM(G1838:I1838)-J1838-K1838-L1838+M1838+IF(C1838=0,Paths!$F$173,0)+IF(IF(Paths!$E$173=0,C1838=0,AND(C1838&gt;0,Paths!$E$173&gt;(C1838-1)*12,Paths!$E$173&lt;=C1838*12)),VLOOKUP(A1838,'Fleet register'!$A$7:$S$106,16,FALSE),0),"n.a."))</f>
        <v>0</v>
      </c>
      <c r="O1838" s="16">
        <f>IF(NOT(Paths!$C$173=1),0,IF(Paths!$P$173="Complete",N1838-IF(C1838=0,Paths!$F$173,0),"n.a."))</f>
        <v>0</v>
      </c>
      <c r="P1838" s="16">
        <f>IF(NOT(Paths!$C$173=1),0,IF(Paths!$P$173="Complete",O1838+L1838,"n.a."))</f>
        <v>0</v>
      </c>
      <c r="Q1838" s="16">
        <f>IF(NOT(Paths!$C$173=1),0,IF(Paths!$P$173="Complete",N1838*(1+'Operating costs'!$B$54)^-C1838,"n.a."))</f>
        <v>0</v>
      </c>
      <c r="R1838" s="16">
        <f>IF(NOT(Paths!$C$173=1),0,IF(Paths!$P$173="Complete",IF(AND(C1838=0,Paths!$E$173=0),I1838-J1838-K1838+VLOOKUP(A1838,'Fleet register'!$A$7:$S$106,15,FALSE)+VLOOKUP(A1838,'Fleet register'!$A$7:$S$106,16,FALSE),0),"n.a."))</f>
        <v>0</v>
      </c>
      <c r="S1838" s="1">
        <f>IF(NOT(Paths!$C$173=1),0,IF(Paths!$P$173="Complete",IF(C1838=0,0,Paths!$S$173*Paths!$R$173),"n.a."))</f>
        <v>0</v>
      </c>
      <c r="T1838" s="1">
        <f>IF(NOT(Paths!$C$173=1),0,IF(Paths!$P$173="Complete",IF(C1838=0,0,VLOOKUP(A1838,'Fleet register'!$A$7:$S$106,9,FALSE)*Paths!$R$173),"n.a."))</f>
        <v>0</v>
      </c>
    </row>
    <row r="1839" spans="1:20" ht="24" customHeight="1">
      <c r="A1839" s="1" t="str">
        <f>Paths!$A$173</f>
        <v>T042</v>
      </c>
      <c r="B1839" s="1">
        <f>Paths!$B$173</f>
        <v>2</v>
      </c>
      <c r="C1839" s="1">
        <v>6</v>
      </c>
      <c r="D1839" s="1">
        <v>173</v>
      </c>
      <c r="E1839" s="1">
        <f>IF(OR(Paths!$C$173=0,C1839=0),0,MAX(0,MIN(C1839*12,Paths!$E$173)-(C1839-1)*12))</f>
        <v>0</v>
      </c>
      <c r="F1839" s="1">
        <f>IF(OR(Paths!$C$173=0,C1839=0),0,12-E1839)</f>
        <v>0</v>
      </c>
      <c r="G1839" s="16">
        <f>IF(NOT(Paths!$C$173=1),0,IF(Paths!$P$173="Complete",E1839/12*(Paths!$J$173*(1+'Operating costs'!$B$51)^MAX(0,C1839-1)+Paths!$K$173*(1+'Operating costs'!$B$53)^MAX(0,C1839-1)),"n.a."))</f>
        <v>0</v>
      </c>
      <c r="H1839" s="16">
        <f>IF(NOT(Paths!$C$173=1),0,IF(Paths!$P$173="Complete",F1839/12*(Paths!$L$173*(1+IF(Paths!$D$173="EV",'Operating costs'!$B$52,'Operating costs'!$B$51))^MAX(0,C1839-1)+Paths!$M$173*(1+'Operating costs'!$B$53)^MAX(0,C1839-1)),"n.a."))</f>
        <v>0</v>
      </c>
      <c r="I1839" s="16">
        <f>IF(NOT(Paths!$C$173=1),0,IF(Paths!$P$173="Complete",IF(IF(Paths!$E$173=0,C1839=0,AND(C1839&gt;0,Paths!$E$173&gt;(C1839-1)*12,Paths!$E$173&lt;=C1839*12)),Paths!$G$173,0),"n.a."))</f>
        <v>0</v>
      </c>
      <c r="J1839" s="16">
        <f>IF(NOT(Paths!$C$173=1),0,IF(Paths!$P$173="Complete",IF(IF(Paths!$E$173=0,C1839=0,AND(C1839&gt;0,Paths!$E$173&gt;(C1839-1)*12,Paths!$E$173&lt;=C1839*12)),Paths!$H$173,0),"n.a."))</f>
        <v>0</v>
      </c>
      <c r="K1839" s="16">
        <f>IF(NOT(Paths!$C$173=1),0,IF(Paths!$P$173="Complete",IF(IF(Paths!$O$173=0,C1839=0,AND(C1839&gt;0,Paths!$O$173&gt;(C1839-1)*12,Paths!$O$173&lt;=C1839*12)),Paths!$N$173,0),"n.a."))</f>
        <v>0</v>
      </c>
      <c r="L1839" s="16">
        <f>IF(NOT(Paths!$C$173=1),0,IF(Paths!$P$173="Complete",IF(C1839=10,Paths!$I$173,0),"n.a."))</f>
        <v>0</v>
      </c>
      <c r="M1839" s="16">
        <f>IF(NOT(Paths!$C$173=1),0,IF(Paths!$P$173="Complete",IF(AND(Paths!$D$173="EV",Paths!$E$173&lt;120,Paths!$E$173+'Operating costs'!$B$65&gt;Paths!$E$173,Paths!$E$173+'Operating costs'!$B$65&lt;=120,IF(Paths!$E$173+'Operating costs'!$B$65=0,C1839=0,AND(C1839&gt;0,Paths!$E$173+'Operating costs'!$B$65&gt;(C1839-1)*12,Paths!$E$173+'Operating costs'!$B$65&lt;=C1839*12))),'Operating costs'!$B$64,0)+IF(AND('Operating costs'!$B$67&gt;0,'Operating costs'!$B$67&lt;=120,OR(Paths!$D$173="ICE",'Operating costs'!$B$67&lt;=Paths!$E$173),IF('Operating costs'!$B$67=0,C1839=0,AND(C1839&gt;0,'Operating costs'!$B$67&gt;(C1839-1)*12,'Operating costs'!$B$67&lt;=C1839*12))),'Operating costs'!$B$66,0),"n.a."))</f>
        <v>0</v>
      </c>
      <c r="N1839" s="16">
        <f>IF(NOT(Paths!$C$173=1),0,IF(Paths!$P$173="Complete",SUM(G1839:I1839)-J1839-K1839-L1839+M1839+IF(C1839=0,Paths!$F$173,0)+IF(IF(Paths!$E$173=0,C1839=0,AND(C1839&gt;0,Paths!$E$173&gt;(C1839-1)*12,Paths!$E$173&lt;=C1839*12)),VLOOKUP(A1839,'Fleet register'!$A$7:$S$106,16,FALSE),0),"n.a."))</f>
        <v>0</v>
      </c>
      <c r="O1839" s="16">
        <f>IF(NOT(Paths!$C$173=1),0,IF(Paths!$P$173="Complete",N1839-IF(C1839=0,Paths!$F$173,0),"n.a."))</f>
        <v>0</v>
      </c>
      <c r="P1839" s="16">
        <f>IF(NOT(Paths!$C$173=1),0,IF(Paths!$P$173="Complete",O1839+L1839,"n.a."))</f>
        <v>0</v>
      </c>
      <c r="Q1839" s="16">
        <f>IF(NOT(Paths!$C$173=1),0,IF(Paths!$P$173="Complete",N1839*(1+'Operating costs'!$B$54)^-C1839,"n.a."))</f>
        <v>0</v>
      </c>
      <c r="R1839" s="16">
        <f>IF(NOT(Paths!$C$173=1),0,IF(Paths!$P$173="Complete",IF(AND(C1839=0,Paths!$E$173=0),I1839-J1839-K1839+VLOOKUP(A1839,'Fleet register'!$A$7:$S$106,15,FALSE)+VLOOKUP(A1839,'Fleet register'!$A$7:$S$106,16,FALSE),0),"n.a."))</f>
        <v>0</v>
      </c>
      <c r="S1839" s="1">
        <f>IF(NOT(Paths!$C$173=1),0,IF(Paths!$P$173="Complete",IF(C1839=0,0,Paths!$S$173*Paths!$R$173),"n.a."))</f>
        <v>0</v>
      </c>
      <c r="T1839" s="1">
        <f>IF(NOT(Paths!$C$173=1),0,IF(Paths!$P$173="Complete",IF(C1839=0,0,VLOOKUP(A1839,'Fleet register'!$A$7:$S$106,9,FALSE)*Paths!$R$173),"n.a."))</f>
        <v>0</v>
      </c>
    </row>
    <row r="1840" spans="1:20" ht="24" customHeight="1">
      <c r="A1840" s="1" t="str">
        <f>Paths!$A$173</f>
        <v>T042</v>
      </c>
      <c r="B1840" s="1">
        <f>Paths!$B$173</f>
        <v>2</v>
      </c>
      <c r="C1840" s="1">
        <v>7</v>
      </c>
      <c r="D1840" s="1">
        <v>173</v>
      </c>
      <c r="E1840" s="1">
        <f>IF(OR(Paths!$C$173=0,C1840=0),0,MAX(0,MIN(C1840*12,Paths!$E$173)-(C1840-1)*12))</f>
        <v>0</v>
      </c>
      <c r="F1840" s="1">
        <f>IF(OR(Paths!$C$173=0,C1840=0),0,12-E1840)</f>
        <v>0</v>
      </c>
      <c r="G1840" s="16">
        <f>IF(NOT(Paths!$C$173=1),0,IF(Paths!$P$173="Complete",E1840/12*(Paths!$J$173*(1+'Operating costs'!$B$51)^MAX(0,C1840-1)+Paths!$K$173*(1+'Operating costs'!$B$53)^MAX(0,C1840-1)),"n.a."))</f>
        <v>0</v>
      </c>
      <c r="H1840" s="16">
        <f>IF(NOT(Paths!$C$173=1),0,IF(Paths!$P$173="Complete",F1840/12*(Paths!$L$173*(1+IF(Paths!$D$173="EV",'Operating costs'!$B$52,'Operating costs'!$B$51))^MAX(0,C1840-1)+Paths!$M$173*(1+'Operating costs'!$B$53)^MAX(0,C1840-1)),"n.a."))</f>
        <v>0</v>
      </c>
      <c r="I1840" s="16">
        <f>IF(NOT(Paths!$C$173=1),0,IF(Paths!$P$173="Complete",IF(IF(Paths!$E$173=0,C1840=0,AND(C1840&gt;0,Paths!$E$173&gt;(C1840-1)*12,Paths!$E$173&lt;=C1840*12)),Paths!$G$173,0),"n.a."))</f>
        <v>0</v>
      </c>
      <c r="J1840" s="16">
        <f>IF(NOT(Paths!$C$173=1),0,IF(Paths!$P$173="Complete",IF(IF(Paths!$E$173=0,C1840=0,AND(C1840&gt;0,Paths!$E$173&gt;(C1840-1)*12,Paths!$E$173&lt;=C1840*12)),Paths!$H$173,0),"n.a."))</f>
        <v>0</v>
      </c>
      <c r="K1840" s="16">
        <f>IF(NOT(Paths!$C$173=1),0,IF(Paths!$P$173="Complete",IF(IF(Paths!$O$173=0,C1840=0,AND(C1840&gt;0,Paths!$O$173&gt;(C1840-1)*12,Paths!$O$173&lt;=C1840*12)),Paths!$N$173,0),"n.a."))</f>
        <v>0</v>
      </c>
      <c r="L1840" s="16">
        <f>IF(NOT(Paths!$C$173=1),0,IF(Paths!$P$173="Complete",IF(C1840=10,Paths!$I$173,0),"n.a."))</f>
        <v>0</v>
      </c>
      <c r="M1840" s="16">
        <f>IF(NOT(Paths!$C$173=1),0,IF(Paths!$P$173="Complete",IF(AND(Paths!$D$173="EV",Paths!$E$173&lt;120,Paths!$E$173+'Operating costs'!$B$65&gt;Paths!$E$173,Paths!$E$173+'Operating costs'!$B$65&lt;=120,IF(Paths!$E$173+'Operating costs'!$B$65=0,C1840=0,AND(C1840&gt;0,Paths!$E$173+'Operating costs'!$B$65&gt;(C1840-1)*12,Paths!$E$173+'Operating costs'!$B$65&lt;=C1840*12))),'Operating costs'!$B$64,0)+IF(AND('Operating costs'!$B$67&gt;0,'Operating costs'!$B$67&lt;=120,OR(Paths!$D$173="ICE",'Operating costs'!$B$67&lt;=Paths!$E$173),IF('Operating costs'!$B$67=0,C1840=0,AND(C1840&gt;0,'Operating costs'!$B$67&gt;(C1840-1)*12,'Operating costs'!$B$67&lt;=C1840*12))),'Operating costs'!$B$66,0),"n.a."))</f>
        <v>0</v>
      </c>
      <c r="N1840" s="16">
        <f>IF(NOT(Paths!$C$173=1),0,IF(Paths!$P$173="Complete",SUM(G1840:I1840)-J1840-K1840-L1840+M1840+IF(C1840=0,Paths!$F$173,0)+IF(IF(Paths!$E$173=0,C1840=0,AND(C1840&gt;0,Paths!$E$173&gt;(C1840-1)*12,Paths!$E$173&lt;=C1840*12)),VLOOKUP(A1840,'Fleet register'!$A$7:$S$106,16,FALSE),0),"n.a."))</f>
        <v>0</v>
      </c>
      <c r="O1840" s="16">
        <f>IF(NOT(Paths!$C$173=1),0,IF(Paths!$P$173="Complete",N1840-IF(C1840=0,Paths!$F$173,0),"n.a."))</f>
        <v>0</v>
      </c>
      <c r="P1840" s="16">
        <f>IF(NOT(Paths!$C$173=1),0,IF(Paths!$P$173="Complete",O1840+L1840,"n.a."))</f>
        <v>0</v>
      </c>
      <c r="Q1840" s="16">
        <f>IF(NOT(Paths!$C$173=1),0,IF(Paths!$P$173="Complete",N1840*(1+'Operating costs'!$B$54)^-C1840,"n.a."))</f>
        <v>0</v>
      </c>
      <c r="R1840" s="16">
        <f>IF(NOT(Paths!$C$173=1),0,IF(Paths!$P$173="Complete",IF(AND(C1840=0,Paths!$E$173=0),I1840-J1840-K1840+VLOOKUP(A1840,'Fleet register'!$A$7:$S$106,15,FALSE)+VLOOKUP(A1840,'Fleet register'!$A$7:$S$106,16,FALSE),0),"n.a."))</f>
        <v>0</v>
      </c>
      <c r="S1840" s="1">
        <f>IF(NOT(Paths!$C$173=1),0,IF(Paths!$P$173="Complete",IF(C1840=0,0,Paths!$S$173*Paths!$R$173),"n.a."))</f>
        <v>0</v>
      </c>
      <c r="T1840" s="1">
        <f>IF(NOT(Paths!$C$173=1),0,IF(Paths!$P$173="Complete",IF(C1840=0,0,VLOOKUP(A1840,'Fleet register'!$A$7:$S$106,9,FALSE)*Paths!$R$173),"n.a."))</f>
        <v>0</v>
      </c>
    </row>
    <row r="1841" spans="1:20" ht="24" customHeight="1">
      <c r="A1841" s="1" t="str">
        <f>Paths!$A$173</f>
        <v>T042</v>
      </c>
      <c r="B1841" s="1">
        <f>Paths!$B$173</f>
        <v>2</v>
      </c>
      <c r="C1841" s="1">
        <v>8</v>
      </c>
      <c r="D1841" s="1">
        <v>173</v>
      </c>
      <c r="E1841" s="1">
        <f>IF(OR(Paths!$C$173=0,C1841=0),0,MAX(0,MIN(C1841*12,Paths!$E$173)-(C1841-1)*12))</f>
        <v>0</v>
      </c>
      <c r="F1841" s="1">
        <f>IF(OR(Paths!$C$173=0,C1841=0),0,12-E1841)</f>
        <v>0</v>
      </c>
      <c r="G1841" s="16">
        <f>IF(NOT(Paths!$C$173=1),0,IF(Paths!$P$173="Complete",E1841/12*(Paths!$J$173*(1+'Operating costs'!$B$51)^MAX(0,C1841-1)+Paths!$K$173*(1+'Operating costs'!$B$53)^MAX(0,C1841-1)),"n.a."))</f>
        <v>0</v>
      </c>
      <c r="H1841" s="16">
        <f>IF(NOT(Paths!$C$173=1),0,IF(Paths!$P$173="Complete",F1841/12*(Paths!$L$173*(1+IF(Paths!$D$173="EV",'Operating costs'!$B$52,'Operating costs'!$B$51))^MAX(0,C1841-1)+Paths!$M$173*(1+'Operating costs'!$B$53)^MAX(0,C1841-1)),"n.a."))</f>
        <v>0</v>
      </c>
      <c r="I1841" s="16">
        <f>IF(NOT(Paths!$C$173=1),0,IF(Paths!$P$173="Complete",IF(IF(Paths!$E$173=0,C1841=0,AND(C1841&gt;0,Paths!$E$173&gt;(C1841-1)*12,Paths!$E$173&lt;=C1841*12)),Paths!$G$173,0),"n.a."))</f>
        <v>0</v>
      </c>
      <c r="J1841" s="16">
        <f>IF(NOT(Paths!$C$173=1),0,IF(Paths!$P$173="Complete",IF(IF(Paths!$E$173=0,C1841=0,AND(C1841&gt;0,Paths!$E$173&gt;(C1841-1)*12,Paths!$E$173&lt;=C1841*12)),Paths!$H$173,0),"n.a."))</f>
        <v>0</v>
      </c>
      <c r="K1841" s="16">
        <f>IF(NOT(Paths!$C$173=1),0,IF(Paths!$P$173="Complete",IF(IF(Paths!$O$173=0,C1841=0,AND(C1841&gt;0,Paths!$O$173&gt;(C1841-1)*12,Paths!$O$173&lt;=C1841*12)),Paths!$N$173,0),"n.a."))</f>
        <v>0</v>
      </c>
      <c r="L1841" s="16">
        <f>IF(NOT(Paths!$C$173=1),0,IF(Paths!$P$173="Complete",IF(C1841=10,Paths!$I$173,0),"n.a."))</f>
        <v>0</v>
      </c>
      <c r="M1841" s="16">
        <f>IF(NOT(Paths!$C$173=1),0,IF(Paths!$P$173="Complete",IF(AND(Paths!$D$173="EV",Paths!$E$173&lt;120,Paths!$E$173+'Operating costs'!$B$65&gt;Paths!$E$173,Paths!$E$173+'Operating costs'!$B$65&lt;=120,IF(Paths!$E$173+'Operating costs'!$B$65=0,C1841=0,AND(C1841&gt;0,Paths!$E$173+'Operating costs'!$B$65&gt;(C1841-1)*12,Paths!$E$173+'Operating costs'!$B$65&lt;=C1841*12))),'Operating costs'!$B$64,0)+IF(AND('Operating costs'!$B$67&gt;0,'Operating costs'!$B$67&lt;=120,OR(Paths!$D$173="ICE",'Operating costs'!$B$67&lt;=Paths!$E$173),IF('Operating costs'!$B$67=0,C1841=0,AND(C1841&gt;0,'Operating costs'!$B$67&gt;(C1841-1)*12,'Operating costs'!$B$67&lt;=C1841*12))),'Operating costs'!$B$66,0),"n.a."))</f>
        <v>0</v>
      </c>
      <c r="N1841" s="16">
        <f>IF(NOT(Paths!$C$173=1),0,IF(Paths!$P$173="Complete",SUM(G1841:I1841)-J1841-K1841-L1841+M1841+IF(C1841=0,Paths!$F$173,0)+IF(IF(Paths!$E$173=0,C1841=0,AND(C1841&gt;0,Paths!$E$173&gt;(C1841-1)*12,Paths!$E$173&lt;=C1841*12)),VLOOKUP(A1841,'Fleet register'!$A$7:$S$106,16,FALSE),0),"n.a."))</f>
        <v>0</v>
      </c>
      <c r="O1841" s="16">
        <f>IF(NOT(Paths!$C$173=1),0,IF(Paths!$P$173="Complete",N1841-IF(C1841=0,Paths!$F$173,0),"n.a."))</f>
        <v>0</v>
      </c>
      <c r="P1841" s="16">
        <f>IF(NOT(Paths!$C$173=1),0,IF(Paths!$P$173="Complete",O1841+L1841,"n.a."))</f>
        <v>0</v>
      </c>
      <c r="Q1841" s="16">
        <f>IF(NOT(Paths!$C$173=1),0,IF(Paths!$P$173="Complete",N1841*(1+'Operating costs'!$B$54)^-C1841,"n.a."))</f>
        <v>0</v>
      </c>
      <c r="R1841" s="16">
        <f>IF(NOT(Paths!$C$173=1),0,IF(Paths!$P$173="Complete",IF(AND(C1841=0,Paths!$E$173=0),I1841-J1841-K1841+VLOOKUP(A1841,'Fleet register'!$A$7:$S$106,15,FALSE)+VLOOKUP(A1841,'Fleet register'!$A$7:$S$106,16,FALSE),0),"n.a."))</f>
        <v>0</v>
      </c>
      <c r="S1841" s="1">
        <f>IF(NOT(Paths!$C$173=1),0,IF(Paths!$P$173="Complete",IF(C1841=0,0,Paths!$S$173*Paths!$R$173),"n.a."))</f>
        <v>0</v>
      </c>
      <c r="T1841" s="1">
        <f>IF(NOT(Paths!$C$173=1),0,IF(Paths!$P$173="Complete",IF(C1841=0,0,VLOOKUP(A1841,'Fleet register'!$A$7:$S$106,9,FALSE)*Paths!$R$173),"n.a."))</f>
        <v>0</v>
      </c>
    </row>
    <row r="1842" spans="1:20" ht="24" customHeight="1">
      <c r="A1842" s="1" t="str">
        <f>Paths!$A$173</f>
        <v>T042</v>
      </c>
      <c r="B1842" s="1">
        <f>Paths!$B$173</f>
        <v>2</v>
      </c>
      <c r="C1842" s="1">
        <v>9</v>
      </c>
      <c r="D1842" s="1">
        <v>173</v>
      </c>
      <c r="E1842" s="1">
        <f>IF(OR(Paths!$C$173=0,C1842=0),0,MAX(0,MIN(C1842*12,Paths!$E$173)-(C1842-1)*12))</f>
        <v>0</v>
      </c>
      <c r="F1842" s="1">
        <f>IF(OR(Paths!$C$173=0,C1842=0),0,12-E1842)</f>
        <v>0</v>
      </c>
      <c r="G1842" s="16">
        <f>IF(NOT(Paths!$C$173=1),0,IF(Paths!$P$173="Complete",E1842/12*(Paths!$J$173*(1+'Operating costs'!$B$51)^MAX(0,C1842-1)+Paths!$K$173*(1+'Operating costs'!$B$53)^MAX(0,C1842-1)),"n.a."))</f>
        <v>0</v>
      </c>
      <c r="H1842" s="16">
        <f>IF(NOT(Paths!$C$173=1),0,IF(Paths!$P$173="Complete",F1842/12*(Paths!$L$173*(1+IF(Paths!$D$173="EV",'Operating costs'!$B$52,'Operating costs'!$B$51))^MAX(0,C1842-1)+Paths!$M$173*(1+'Operating costs'!$B$53)^MAX(0,C1842-1)),"n.a."))</f>
        <v>0</v>
      </c>
      <c r="I1842" s="16">
        <f>IF(NOT(Paths!$C$173=1),0,IF(Paths!$P$173="Complete",IF(IF(Paths!$E$173=0,C1842=0,AND(C1842&gt;0,Paths!$E$173&gt;(C1842-1)*12,Paths!$E$173&lt;=C1842*12)),Paths!$G$173,0),"n.a."))</f>
        <v>0</v>
      </c>
      <c r="J1842" s="16">
        <f>IF(NOT(Paths!$C$173=1),0,IF(Paths!$P$173="Complete",IF(IF(Paths!$E$173=0,C1842=0,AND(C1842&gt;0,Paths!$E$173&gt;(C1842-1)*12,Paths!$E$173&lt;=C1842*12)),Paths!$H$173,0),"n.a."))</f>
        <v>0</v>
      </c>
      <c r="K1842" s="16">
        <f>IF(NOT(Paths!$C$173=1),0,IF(Paths!$P$173="Complete",IF(IF(Paths!$O$173=0,C1842=0,AND(C1842&gt;0,Paths!$O$173&gt;(C1842-1)*12,Paths!$O$173&lt;=C1842*12)),Paths!$N$173,0),"n.a."))</f>
        <v>0</v>
      </c>
      <c r="L1842" s="16">
        <f>IF(NOT(Paths!$C$173=1),0,IF(Paths!$P$173="Complete",IF(C1842=10,Paths!$I$173,0),"n.a."))</f>
        <v>0</v>
      </c>
      <c r="M1842" s="16">
        <f>IF(NOT(Paths!$C$173=1),0,IF(Paths!$P$173="Complete",IF(AND(Paths!$D$173="EV",Paths!$E$173&lt;120,Paths!$E$173+'Operating costs'!$B$65&gt;Paths!$E$173,Paths!$E$173+'Operating costs'!$B$65&lt;=120,IF(Paths!$E$173+'Operating costs'!$B$65=0,C1842=0,AND(C1842&gt;0,Paths!$E$173+'Operating costs'!$B$65&gt;(C1842-1)*12,Paths!$E$173+'Operating costs'!$B$65&lt;=C1842*12))),'Operating costs'!$B$64,0)+IF(AND('Operating costs'!$B$67&gt;0,'Operating costs'!$B$67&lt;=120,OR(Paths!$D$173="ICE",'Operating costs'!$B$67&lt;=Paths!$E$173),IF('Operating costs'!$B$67=0,C1842=0,AND(C1842&gt;0,'Operating costs'!$B$67&gt;(C1842-1)*12,'Operating costs'!$B$67&lt;=C1842*12))),'Operating costs'!$B$66,0),"n.a."))</f>
        <v>0</v>
      </c>
      <c r="N1842" s="16">
        <f>IF(NOT(Paths!$C$173=1),0,IF(Paths!$P$173="Complete",SUM(G1842:I1842)-J1842-K1842-L1842+M1842+IF(C1842=0,Paths!$F$173,0)+IF(IF(Paths!$E$173=0,C1842=0,AND(C1842&gt;0,Paths!$E$173&gt;(C1842-1)*12,Paths!$E$173&lt;=C1842*12)),VLOOKUP(A1842,'Fleet register'!$A$7:$S$106,16,FALSE),0),"n.a."))</f>
        <v>0</v>
      </c>
      <c r="O1842" s="16">
        <f>IF(NOT(Paths!$C$173=1),0,IF(Paths!$P$173="Complete",N1842-IF(C1842=0,Paths!$F$173,0),"n.a."))</f>
        <v>0</v>
      </c>
      <c r="P1842" s="16">
        <f>IF(NOT(Paths!$C$173=1),0,IF(Paths!$P$173="Complete",O1842+L1842,"n.a."))</f>
        <v>0</v>
      </c>
      <c r="Q1842" s="16">
        <f>IF(NOT(Paths!$C$173=1),0,IF(Paths!$P$173="Complete",N1842*(1+'Operating costs'!$B$54)^-C1842,"n.a."))</f>
        <v>0</v>
      </c>
      <c r="R1842" s="16">
        <f>IF(NOT(Paths!$C$173=1),0,IF(Paths!$P$173="Complete",IF(AND(C1842=0,Paths!$E$173=0),I1842-J1842-K1842+VLOOKUP(A1842,'Fleet register'!$A$7:$S$106,15,FALSE)+VLOOKUP(A1842,'Fleet register'!$A$7:$S$106,16,FALSE),0),"n.a."))</f>
        <v>0</v>
      </c>
      <c r="S1842" s="1">
        <f>IF(NOT(Paths!$C$173=1),0,IF(Paths!$P$173="Complete",IF(C1842=0,0,Paths!$S$173*Paths!$R$173),"n.a."))</f>
        <v>0</v>
      </c>
      <c r="T1842" s="1">
        <f>IF(NOT(Paths!$C$173=1),0,IF(Paths!$P$173="Complete",IF(C1842=0,0,VLOOKUP(A1842,'Fleet register'!$A$7:$S$106,9,FALSE)*Paths!$R$173),"n.a."))</f>
        <v>0</v>
      </c>
    </row>
    <row r="1843" spans="1:20" ht="24" customHeight="1">
      <c r="A1843" s="1" t="str">
        <f>Paths!$A$173</f>
        <v>T042</v>
      </c>
      <c r="B1843" s="1">
        <f>Paths!$B$173</f>
        <v>2</v>
      </c>
      <c r="C1843" s="1">
        <v>10</v>
      </c>
      <c r="D1843" s="1">
        <v>173</v>
      </c>
      <c r="E1843" s="1">
        <f>IF(OR(Paths!$C$173=0,C1843=0),0,MAX(0,MIN(C1843*12,Paths!$E$173)-(C1843-1)*12))</f>
        <v>0</v>
      </c>
      <c r="F1843" s="1">
        <f>IF(OR(Paths!$C$173=0,C1843=0),0,12-E1843)</f>
        <v>0</v>
      </c>
      <c r="G1843" s="16">
        <f>IF(NOT(Paths!$C$173=1),0,IF(Paths!$P$173="Complete",E1843/12*(Paths!$J$173*(1+'Operating costs'!$B$51)^MAX(0,C1843-1)+Paths!$K$173*(1+'Operating costs'!$B$53)^MAX(0,C1843-1)),"n.a."))</f>
        <v>0</v>
      </c>
      <c r="H1843" s="16">
        <f>IF(NOT(Paths!$C$173=1),0,IF(Paths!$P$173="Complete",F1843/12*(Paths!$L$173*(1+IF(Paths!$D$173="EV",'Operating costs'!$B$52,'Operating costs'!$B$51))^MAX(0,C1843-1)+Paths!$M$173*(1+'Operating costs'!$B$53)^MAX(0,C1843-1)),"n.a."))</f>
        <v>0</v>
      </c>
      <c r="I1843" s="16">
        <f>IF(NOT(Paths!$C$173=1),0,IF(Paths!$P$173="Complete",IF(IF(Paths!$E$173=0,C1843=0,AND(C1843&gt;0,Paths!$E$173&gt;(C1843-1)*12,Paths!$E$173&lt;=C1843*12)),Paths!$G$173,0),"n.a."))</f>
        <v>0</v>
      </c>
      <c r="J1843" s="16">
        <f>IF(NOT(Paths!$C$173=1),0,IF(Paths!$P$173="Complete",IF(IF(Paths!$E$173=0,C1843=0,AND(C1843&gt;0,Paths!$E$173&gt;(C1843-1)*12,Paths!$E$173&lt;=C1843*12)),Paths!$H$173,0),"n.a."))</f>
        <v>0</v>
      </c>
      <c r="K1843" s="16">
        <f>IF(NOT(Paths!$C$173=1),0,IF(Paths!$P$173="Complete",IF(IF(Paths!$O$173=0,C1843=0,AND(C1843&gt;0,Paths!$O$173&gt;(C1843-1)*12,Paths!$O$173&lt;=C1843*12)),Paths!$N$173,0),"n.a."))</f>
        <v>0</v>
      </c>
      <c r="L1843" s="16">
        <f>IF(NOT(Paths!$C$173=1),0,IF(Paths!$P$173="Complete",IF(C1843=10,Paths!$I$173,0),"n.a."))</f>
        <v>0</v>
      </c>
      <c r="M1843" s="16">
        <f>IF(NOT(Paths!$C$173=1),0,IF(Paths!$P$173="Complete",IF(AND(Paths!$D$173="EV",Paths!$E$173&lt;120,Paths!$E$173+'Operating costs'!$B$65&gt;Paths!$E$173,Paths!$E$173+'Operating costs'!$B$65&lt;=120,IF(Paths!$E$173+'Operating costs'!$B$65=0,C1843=0,AND(C1843&gt;0,Paths!$E$173+'Operating costs'!$B$65&gt;(C1843-1)*12,Paths!$E$173+'Operating costs'!$B$65&lt;=C1843*12))),'Operating costs'!$B$64,0)+IF(AND('Operating costs'!$B$67&gt;0,'Operating costs'!$B$67&lt;=120,OR(Paths!$D$173="ICE",'Operating costs'!$B$67&lt;=Paths!$E$173),IF('Operating costs'!$B$67=0,C1843=0,AND(C1843&gt;0,'Operating costs'!$B$67&gt;(C1843-1)*12,'Operating costs'!$B$67&lt;=C1843*12))),'Operating costs'!$B$66,0),"n.a."))</f>
        <v>0</v>
      </c>
      <c r="N1843" s="16">
        <f>IF(NOT(Paths!$C$173=1),0,IF(Paths!$P$173="Complete",SUM(G1843:I1843)-J1843-K1843-L1843+M1843+IF(C1843=0,Paths!$F$173,0)+IF(IF(Paths!$E$173=0,C1843=0,AND(C1843&gt;0,Paths!$E$173&gt;(C1843-1)*12,Paths!$E$173&lt;=C1843*12)),VLOOKUP(A1843,'Fleet register'!$A$7:$S$106,16,FALSE),0),"n.a."))</f>
        <v>0</v>
      </c>
      <c r="O1843" s="16">
        <f>IF(NOT(Paths!$C$173=1),0,IF(Paths!$P$173="Complete",N1843-IF(C1843=0,Paths!$F$173,0),"n.a."))</f>
        <v>0</v>
      </c>
      <c r="P1843" s="16">
        <f>IF(NOT(Paths!$C$173=1),0,IF(Paths!$P$173="Complete",O1843+L1843,"n.a."))</f>
        <v>0</v>
      </c>
      <c r="Q1843" s="16">
        <f>IF(NOT(Paths!$C$173=1),0,IF(Paths!$P$173="Complete",N1843*(1+'Operating costs'!$B$54)^-C1843,"n.a."))</f>
        <v>0</v>
      </c>
      <c r="R1843" s="16">
        <f>IF(NOT(Paths!$C$173=1),0,IF(Paths!$P$173="Complete",IF(AND(C1843=0,Paths!$E$173=0),I1843-J1843-K1843+VLOOKUP(A1843,'Fleet register'!$A$7:$S$106,15,FALSE)+VLOOKUP(A1843,'Fleet register'!$A$7:$S$106,16,FALSE),0),"n.a."))</f>
        <v>0</v>
      </c>
      <c r="S1843" s="1">
        <f>IF(NOT(Paths!$C$173=1),0,IF(Paths!$P$173="Complete",IF(C1843=0,0,Paths!$S$173*Paths!$R$173),"n.a."))</f>
        <v>0</v>
      </c>
      <c r="T1843" s="1">
        <f>IF(NOT(Paths!$C$173=1),0,IF(Paths!$P$173="Complete",IF(C1843=0,0,VLOOKUP(A1843,'Fleet register'!$A$7:$S$106,9,FALSE)*Paths!$R$173),"n.a."))</f>
        <v>0</v>
      </c>
    </row>
    <row r="1844" spans="1:20" ht="24" customHeight="1">
      <c r="A1844" s="1" t="str">
        <f>Paths!$A$174</f>
        <v>T042</v>
      </c>
      <c r="B1844" s="1">
        <f>Paths!$B$174</f>
        <v>3</v>
      </c>
      <c r="C1844" s="1">
        <v>0</v>
      </c>
      <c r="D1844" s="1">
        <v>174</v>
      </c>
      <c r="E1844" s="1">
        <f>IF(OR(Paths!$C$174=0,C1844=0),0,MAX(0,MIN(C1844*12,Paths!$E$174)-(C1844-1)*12))</f>
        <v>0</v>
      </c>
      <c r="F1844" s="1">
        <f>IF(OR(Paths!$C$174=0,C1844=0),0,12-E1844)</f>
        <v>0</v>
      </c>
      <c r="G1844" s="16">
        <f>IF(NOT(Paths!$C$174=1),0,IF(Paths!$P$174="Complete",E1844/12*(Paths!$J$174*(1+'Operating costs'!$B$51)^MAX(0,C1844-1)+Paths!$K$174*(1+'Operating costs'!$B$53)^MAX(0,C1844-1)),"n.a."))</f>
        <v>0</v>
      </c>
      <c r="H1844" s="16">
        <f>IF(NOT(Paths!$C$174=1),0,IF(Paths!$P$174="Complete",F1844/12*(Paths!$L$174*(1+IF(Paths!$D$174="EV",'Operating costs'!$B$52,'Operating costs'!$B$51))^MAX(0,C1844-1)+Paths!$M$174*(1+'Operating costs'!$B$53)^MAX(0,C1844-1)),"n.a."))</f>
        <v>0</v>
      </c>
      <c r="I1844" s="16">
        <f>IF(NOT(Paths!$C$174=1),0,IF(Paths!$P$174="Complete",IF(IF(Paths!$E$174=0,C1844=0,AND(C1844&gt;0,Paths!$E$174&gt;(C1844-1)*12,Paths!$E$174&lt;=C1844*12)),Paths!$G$174,0),"n.a."))</f>
        <v>0</v>
      </c>
      <c r="J1844" s="16">
        <f>IF(NOT(Paths!$C$174=1),0,IF(Paths!$P$174="Complete",IF(IF(Paths!$E$174=0,C1844=0,AND(C1844&gt;0,Paths!$E$174&gt;(C1844-1)*12,Paths!$E$174&lt;=C1844*12)),Paths!$H$174,0),"n.a."))</f>
        <v>0</v>
      </c>
      <c r="K1844" s="16">
        <f>IF(NOT(Paths!$C$174=1),0,IF(Paths!$P$174="Complete",IF(IF(Paths!$O$174=0,C1844=0,AND(C1844&gt;0,Paths!$O$174&gt;(C1844-1)*12,Paths!$O$174&lt;=C1844*12)),Paths!$N$174,0),"n.a."))</f>
        <v>0</v>
      </c>
      <c r="L1844" s="16">
        <f>IF(NOT(Paths!$C$174=1),0,IF(Paths!$P$174="Complete",IF(C1844=10,Paths!$I$174,0),"n.a."))</f>
        <v>0</v>
      </c>
      <c r="M1844" s="16">
        <f>IF(NOT(Paths!$C$174=1),0,IF(Paths!$P$174="Complete",IF(AND(Paths!$D$174="EV",Paths!$E$174&lt;120,Paths!$E$174+'Operating costs'!$B$65&gt;Paths!$E$174,Paths!$E$174+'Operating costs'!$B$65&lt;=120,IF(Paths!$E$174+'Operating costs'!$B$65=0,C1844=0,AND(C1844&gt;0,Paths!$E$174+'Operating costs'!$B$65&gt;(C1844-1)*12,Paths!$E$174+'Operating costs'!$B$65&lt;=C1844*12))),'Operating costs'!$B$64,0)+IF(AND('Operating costs'!$B$67&gt;0,'Operating costs'!$B$67&lt;=120,OR(Paths!$D$174="ICE",'Operating costs'!$B$67&lt;=Paths!$E$174),IF('Operating costs'!$B$67=0,C1844=0,AND(C1844&gt;0,'Operating costs'!$B$67&gt;(C1844-1)*12,'Operating costs'!$B$67&lt;=C1844*12))),'Operating costs'!$B$66,0),"n.a."))</f>
        <v>0</v>
      </c>
      <c r="N1844" s="16">
        <f>IF(NOT(Paths!$C$174=1),0,IF(Paths!$P$174="Complete",SUM(G1844:I1844)-J1844-K1844-L1844+M1844+IF(C1844=0,Paths!$F$174,0)+IF(IF(Paths!$E$174=0,C1844=0,AND(C1844&gt;0,Paths!$E$174&gt;(C1844-1)*12,Paths!$E$174&lt;=C1844*12)),VLOOKUP(A1844,'Fleet register'!$A$7:$S$106,16,FALSE),0),"n.a."))</f>
        <v>0</v>
      </c>
      <c r="O1844" s="16">
        <f>IF(NOT(Paths!$C$174=1),0,IF(Paths!$P$174="Complete",N1844-IF(C1844=0,Paths!$F$174,0),"n.a."))</f>
        <v>0</v>
      </c>
      <c r="P1844" s="16">
        <f>IF(NOT(Paths!$C$174=1),0,IF(Paths!$P$174="Complete",O1844+L1844,"n.a."))</f>
        <v>0</v>
      </c>
      <c r="Q1844" s="16">
        <f>IF(NOT(Paths!$C$174=1),0,IF(Paths!$P$174="Complete",N1844*(1+'Operating costs'!$B$54)^-C1844,"n.a."))</f>
        <v>0</v>
      </c>
      <c r="R1844" s="16">
        <f>IF(NOT(Paths!$C$174=1),0,IF(Paths!$P$174="Complete",IF(AND(C1844=0,Paths!$E$174=0),I1844-J1844-K1844+VLOOKUP(A1844,'Fleet register'!$A$7:$S$106,15,FALSE)+VLOOKUP(A1844,'Fleet register'!$A$7:$S$106,16,FALSE),0),"n.a."))</f>
        <v>0</v>
      </c>
      <c r="S1844" s="1">
        <f>IF(NOT(Paths!$C$174=1),0,IF(Paths!$P$174="Complete",IF(C1844=0,0,Paths!$S$174*Paths!$R$174),"n.a."))</f>
        <v>0</v>
      </c>
      <c r="T1844" s="1">
        <f>IF(NOT(Paths!$C$174=1),0,IF(Paths!$P$174="Complete",IF(C1844=0,0,VLOOKUP(A1844,'Fleet register'!$A$7:$S$106,9,FALSE)*Paths!$R$174),"n.a."))</f>
        <v>0</v>
      </c>
    </row>
    <row r="1845" spans="1:20" ht="24" customHeight="1">
      <c r="A1845" s="1" t="str">
        <f>Paths!$A$174</f>
        <v>T042</v>
      </c>
      <c r="B1845" s="1">
        <f>Paths!$B$174</f>
        <v>3</v>
      </c>
      <c r="C1845" s="1">
        <v>1</v>
      </c>
      <c r="D1845" s="1">
        <v>174</v>
      </c>
      <c r="E1845" s="1">
        <f>IF(OR(Paths!$C$174=0,C1845=0),0,MAX(0,MIN(C1845*12,Paths!$E$174)-(C1845-1)*12))</f>
        <v>0</v>
      </c>
      <c r="F1845" s="1">
        <f>IF(OR(Paths!$C$174=0,C1845=0),0,12-E1845)</f>
        <v>0</v>
      </c>
      <c r="G1845" s="16">
        <f>IF(NOT(Paths!$C$174=1),0,IF(Paths!$P$174="Complete",E1845/12*(Paths!$J$174*(1+'Operating costs'!$B$51)^MAX(0,C1845-1)+Paths!$K$174*(1+'Operating costs'!$B$53)^MAX(0,C1845-1)),"n.a."))</f>
        <v>0</v>
      </c>
      <c r="H1845" s="16">
        <f>IF(NOT(Paths!$C$174=1),0,IF(Paths!$P$174="Complete",F1845/12*(Paths!$L$174*(1+IF(Paths!$D$174="EV",'Operating costs'!$B$52,'Operating costs'!$B$51))^MAX(0,C1845-1)+Paths!$M$174*(1+'Operating costs'!$B$53)^MAX(0,C1845-1)),"n.a."))</f>
        <v>0</v>
      </c>
      <c r="I1845" s="16">
        <f>IF(NOT(Paths!$C$174=1),0,IF(Paths!$P$174="Complete",IF(IF(Paths!$E$174=0,C1845=0,AND(C1845&gt;0,Paths!$E$174&gt;(C1845-1)*12,Paths!$E$174&lt;=C1845*12)),Paths!$G$174,0),"n.a."))</f>
        <v>0</v>
      </c>
      <c r="J1845" s="16">
        <f>IF(NOT(Paths!$C$174=1),0,IF(Paths!$P$174="Complete",IF(IF(Paths!$E$174=0,C1845=0,AND(C1845&gt;0,Paths!$E$174&gt;(C1845-1)*12,Paths!$E$174&lt;=C1845*12)),Paths!$H$174,0),"n.a."))</f>
        <v>0</v>
      </c>
      <c r="K1845" s="16">
        <f>IF(NOT(Paths!$C$174=1),0,IF(Paths!$P$174="Complete",IF(IF(Paths!$O$174=0,C1845=0,AND(C1845&gt;0,Paths!$O$174&gt;(C1845-1)*12,Paths!$O$174&lt;=C1845*12)),Paths!$N$174,0),"n.a."))</f>
        <v>0</v>
      </c>
      <c r="L1845" s="16">
        <f>IF(NOT(Paths!$C$174=1),0,IF(Paths!$P$174="Complete",IF(C1845=10,Paths!$I$174,0),"n.a."))</f>
        <v>0</v>
      </c>
      <c r="M1845" s="16">
        <f>IF(NOT(Paths!$C$174=1),0,IF(Paths!$P$174="Complete",IF(AND(Paths!$D$174="EV",Paths!$E$174&lt;120,Paths!$E$174+'Operating costs'!$B$65&gt;Paths!$E$174,Paths!$E$174+'Operating costs'!$B$65&lt;=120,IF(Paths!$E$174+'Operating costs'!$B$65=0,C1845=0,AND(C1845&gt;0,Paths!$E$174+'Operating costs'!$B$65&gt;(C1845-1)*12,Paths!$E$174+'Operating costs'!$B$65&lt;=C1845*12))),'Operating costs'!$B$64,0)+IF(AND('Operating costs'!$B$67&gt;0,'Operating costs'!$B$67&lt;=120,OR(Paths!$D$174="ICE",'Operating costs'!$B$67&lt;=Paths!$E$174),IF('Operating costs'!$B$67=0,C1845=0,AND(C1845&gt;0,'Operating costs'!$B$67&gt;(C1845-1)*12,'Operating costs'!$B$67&lt;=C1845*12))),'Operating costs'!$B$66,0),"n.a."))</f>
        <v>0</v>
      </c>
      <c r="N1845" s="16">
        <f>IF(NOT(Paths!$C$174=1),0,IF(Paths!$P$174="Complete",SUM(G1845:I1845)-J1845-K1845-L1845+M1845+IF(C1845=0,Paths!$F$174,0)+IF(IF(Paths!$E$174=0,C1845=0,AND(C1845&gt;0,Paths!$E$174&gt;(C1845-1)*12,Paths!$E$174&lt;=C1845*12)),VLOOKUP(A1845,'Fleet register'!$A$7:$S$106,16,FALSE),0),"n.a."))</f>
        <v>0</v>
      </c>
      <c r="O1845" s="16">
        <f>IF(NOT(Paths!$C$174=1),0,IF(Paths!$P$174="Complete",N1845-IF(C1845=0,Paths!$F$174,0),"n.a."))</f>
        <v>0</v>
      </c>
      <c r="P1845" s="16">
        <f>IF(NOT(Paths!$C$174=1),0,IF(Paths!$P$174="Complete",O1845+L1845,"n.a."))</f>
        <v>0</v>
      </c>
      <c r="Q1845" s="16">
        <f>IF(NOT(Paths!$C$174=1),0,IF(Paths!$P$174="Complete",N1845*(1+'Operating costs'!$B$54)^-C1845,"n.a."))</f>
        <v>0</v>
      </c>
      <c r="R1845" s="16">
        <f>IF(NOT(Paths!$C$174=1),0,IF(Paths!$P$174="Complete",IF(AND(C1845=0,Paths!$E$174=0),I1845-J1845-K1845+VLOOKUP(A1845,'Fleet register'!$A$7:$S$106,15,FALSE)+VLOOKUP(A1845,'Fleet register'!$A$7:$S$106,16,FALSE),0),"n.a."))</f>
        <v>0</v>
      </c>
      <c r="S1845" s="1">
        <f>IF(NOT(Paths!$C$174=1),0,IF(Paths!$P$174="Complete",IF(C1845=0,0,Paths!$S$174*Paths!$R$174),"n.a."))</f>
        <v>0</v>
      </c>
      <c r="T1845" s="1">
        <f>IF(NOT(Paths!$C$174=1),0,IF(Paths!$P$174="Complete",IF(C1845=0,0,VLOOKUP(A1845,'Fleet register'!$A$7:$S$106,9,FALSE)*Paths!$R$174),"n.a."))</f>
        <v>0</v>
      </c>
    </row>
    <row r="1846" spans="1:20" ht="24" customHeight="1">
      <c r="A1846" s="1" t="str">
        <f>Paths!$A$174</f>
        <v>T042</v>
      </c>
      <c r="B1846" s="1">
        <f>Paths!$B$174</f>
        <v>3</v>
      </c>
      <c r="C1846" s="1">
        <v>2</v>
      </c>
      <c r="D1846" s="1">
        <v>174</v>
      </c>
      <c r="E1846" s="1">
        <f>IF(OR(Paths!$C$174=0,C1846=0),0,MAX(0,MIN(C1846*12,Paths!$E$174)-(C1846-1)*12))</f>
        <v>0</v>
      </c>
      <c r="F1846" s="1">
        <f>IF(OR(Paths!$C$174=0,C1846=0),0,12-E1846)</f>
        <v>0</v>
      </c>
      <c r="G1846" s="16">
        <f>IF(NOT(Paths!$C$174=1),0,IF(Paths!$P$174="Complete",E1846/12*(Paths!$J$174*(1+'Operating costs'!$B$51)^MAX(0,C1846-1)+Paths!$K$174*(1+'Operating costs'!$B$53)^MAX(0,C1846-1)),"n.a."))</f>
        <v>0</v>
      </c>
      <c r="H1846" s="16">
        <f>IF(NOT(Paths!$C$174=1),0,IF(Paths!$P$174="Complete",F1846/12*(Paths!$L$174*(1+IF(Paths!$D$174="EV",'Operating costs'!$B$52,'Operating costs'!$B$51))^MAX(0,C1846-1)+Paths!$M$174*(1+'Operating costs'!$B$53)^MAX(0,C1846-1)),"n.a."))</f>
        <v>0</v>
      </c>
      <c r="I1846" s="16">
        <f>IF(NOT(Paths!$C$174=1),0,IF(Paths!$P$174="Complete",IF(IF(Paths!$E$174=0,C1846=0,AND(C1846&gt;0,Paths!$E$174&gt;(C1846-1)*12,Paths!$E$174&lt;=C1846*12)),Paths!$G$174,0),"n.a."))</f>
        <v>0</v>
      </c>
      <c r="J1846" s="16">
        <f>IF(NOT(Paths!$C$174=1),0,IF(Paths!$P$174="Complete",IF(IF(Paths!$E$174=0,C1846=0,AND(C1846&gt;0,Paths!$E$174&gt;(C1846-1)*12,Paths!$E$174&lt;=C1846*12)),Paths!$H$174,0),"n.a."))</f>
        <v>0</v>
      </c>
      <c r="K1846" s="16">
        <f>IF(NOT(Paths!$C$174=1),0,IF(Paths!$P$174="Complete",IF(IF(Paths!$O$174=0,C1846=0,AND(C1846&gt;0,Paths!$O$174&gt;(C1846-1)*12,Paths!$O$174&lt;=C1846*12)),Paths!$N$174,0),"n.a."))</f>
        <v>0</v>
      </c>
      <c r="L1846" s="16">
        <f>IF(NOT(Paths!$C$174=1),0,IF(Paths!$P$174="Complete",IF(C1846=10,Paths!$I$174,0),"n.a."))</f>
        <v>0</v>
      </c>
      <c r="M1846" s="16">
        <f>IF(NOT(Paths!$C$174=1),0,IF(Paths!$P$174="Complete",IF(AND(Paths!$D$174="EV",Paths!$E$174&lt;120,Paths!$E$174+'Operating costs'!$B$65&gt;Paths!$E$174,Paths!$E$174+'Operating costs'!$B$65&lt;=120,IF(Paths!$E$174+'Operating costs'!$B$65=0,C1846=0,AND(C1846&gt;0,Paths!$E$174+'Operating costs'!$B$65&gt;(C1846-1)*12,Paths!$E$174+'Operating costs'!$B$65&lt;=C1846*12))),'Operating costs'!$B$64,0)+IF(AND('Operating costs'!$B$67&gt;0,'Operating costs'!$B$67&lt;=120,OR(Paths!$D$174="ICE",'Operating costs'!$B$67&lt;=Paths!$E$174),IF('Operating costs'!$B$67=0,C1846=0,AND(C1846&gt;0,'Operating costs'!$B$67&gt;(C1846-1)*12,'Operating costs'!$B$67&lt;=C1846*12))),'Operating costs'!$B$66,0),"n.a."))</f>
        <v>0</v>
      </c>
      <c r="N1846" s="16">
        <f>IF(NOT(Paths!$C$174=1),0,IF(Paths!$P$174="Complete",SUM(G1846:I1846)-J1846-K1846-L1846+M1846+IF(C1846=0,Paths!$F$174,0)+IF(IF(Paths!$E$174=0,C1846=0,AND(C1846&gt;0,Paths!$E$174&gt;(C1846-1)*12,Paths!$E$174&lt;=C1846*12)),VLOOKUP(A1846,'Fleet register'!$A$7:$S$106,16,FALSE),0),"n.a."))</f>
        <v>0</v>
      </c>
      <c r="O1846" s="16">
        <f>IF(NOT(Paths!$C$174=1),0,IF(Paths!$P$174="Complete",N1846-IF(C1846=0,Paths!$F$174,0),"n.a."))</f>
        <v>0</v>
      </c>
      <c r="P1846" s="16">
        <f>IF(NOT(Paths!$C$174=1),0,IF(Paths!$P$174="Complete",O1846+L1846,"n.a."))</f>
        <v>0</v>
      </c>
      <c r="Q1846" s="16">
        <f>IF(NOT(Paths!$C$174=1),0,IF(Paths!$P$174="Complete",N1846*(1+'Operating costs'!$B$54)^-C1846,"n.a."))</f>
        <v>0</v>
      </c>
      <c r="R1846" s="16">
        <f>IF(NOT(Paths!$C$174=1),0,IF(Paths!$P$174="Complete",IF(AND(C1846=0,Paths!$E$174=0),I1846-J1846-K1846+VLOOKUP(A1846,'Fleet register'!$A$7:$S$106,15,FALSE)+VLOOKUP(A1846,'Fleet register'!$A$7:$S$106,16,FALSE),0),"n.a."))</f>
        <v>0</v>
      </c>
      <c r="S1846" s="1">
        <f>IF(NOT(Paths!$C$174=1),0,IF(Paths!$P$174="Complete",IF(C1846=0,0,Paths!$S$174*Paths!$R$174),"n.a."))</f>
        <v>0</v>
      </c>
      <c r="T1846" s="1">
        <f>IF(NOT(Paths!$C$174=1),0,IF(Paths!$P$174="Complete",IF(C1846=0,0,VLOOKUP(A1846,'Fleet register'!$A$7:$S$106,9,FALSE)*Paths!$R$174),"n.a."))</f>
        <v>0</v>
      </c>
    </row>
    <row r="1847" spans="1:20" ht="24" customHeight="1">
      <c r="A1847" s="1" t="str">
        <f>Paths!$A$174</f>
        <v>T042</v>
      </c>
      <c r="B1847" s="1">
        <f>Paths!$B$174</f>
        <v>3</v>
      </c>
      <c r="C1847" s="1">
        <v>3</v>
      </c>
      <c r="D1847" s="1">
        <v>174</v>
      </c>
      <c r="E1847" s="1">
        <f>IF(OR(Paths!$C$174=0,C1847=0),0,MAX(0,MIN(C1847*12,Paths!$E$174)-(C1847-1)*12))</f>
        <v>0</v>
      </c>
      <c r="F1847" s="1">
        <f>IF(OR(Paths!$C$174=0,C1847=0),0,12-E1847)</f>
        <v>0</v>
      </c>
      <c r="G1847" s="16">
        <f>IF(NOT(Paths!$C$174=1),0,IF(Paths!$P$174="Complete",E1847/12*(Paths!$J$174*(1+'Operating costs'!$B$51)^MAX(0,C1847-1)+Paths!$K$174*(1+'Operating costs'!$B$53)^MAX(0,C1847-1)),"n.a."))</f>
        <v>0</v>
      </c>
      <c r="H1847" s="16">
        <f>IF(NOT(Paths!$C$174=1),0,IF(Paths!$P$174="Complete",F1847/12*(Paths!$L$174*(1+IF(Paths!$D$174="EV",'Operating costs'!$B$52,'Operating costs'!$B$51))^MAX(0,C1847-1)+Paths!$M$174*(1+'Operating costs'!$B$53)^MAX(0,C1847-1)),"n.a."))</f>
        <v>0</v>
      </c>
      <c r="I1847" s="16">
        <f>IF(NOT(Paths!$C$174=1),0,IF(Paths!$P$174="Complete",IF(IF(Paths!$E$174=0,C1847=0,AND(C1847&gt;0,Paths!$E$174&gt;(C1847-1)*12,Paths!$E$174&lt;=C1847*12)),Paths!$G$174,0),"n.a."))</f>
        <v>0</v>
      </c>
      <c r="J1847" s="16">
        <f>IF(NOT(Paths!$C$174=1),0,IF(Paths!$P$174="Complete",IF(IF(Paths!$E$174=0,C1847=0,AND(C1847&gt;0,Paths!$E$174&gt;(C1847-1)*12,Paths!$E$174&lt;=C1847*12)),Paths!$H$174,0),"n.a."))</f>
        <v>0</v>
      </c>
      <c r="K1847" s="16">
        <f>IF(NOT(Paths!$C$174=1),0,IF(Paths!$P$174="Complete",IF(IF(Paths!$O$174=0,C1847=0,AND(C1847&gt;0,Paths!$O$174&gt;(C1847-1)*12,Paths!$O$174&lt;=C1847*12)),Paths!$N$174,0),"n.a."))</f>
        <v>0</v>
      </c>
      <c r="L1847" s="16">
        <f>IF(NOT(Paths!$C$174=1),0,IF(Paths!$P$174="Complete",IF(C1847=10,Paths!$I$174,0),"n.a."))</f>
        <v>0</v>
      </c>
      <c r="M1847" s="16">
        <f>IF(NOT(Paths!$C$174=1),0,IF(Paths!$P$174="Complete",IF(AND(Paths!$D$174="EV",Paths!$E$174&lt;120,Paths!$E$174+'Operating costs'!$B$65&gt;Paths!$E$174,Paths!$E$174+'Operating costs'!$B$65&lt;=120,IF(Paths!$E$174+'Operating costs'!$B$65=0,C1847=0,AND(C1847&gt;0,Paths!$E$174+'Operating costs'!$B$65&gt;(C1847-1)*12,Paths!$E$174+'Operating costs'!$B$65&lt;=C1847*12))),'Operating costs'!$B$64,0)+IF(AND('Operating costs'!$B$67&gt;0,'Operating costs'!$B$67&lt;=120,OR(Paths!$D$174="ICE",'Operating costs'!$B$67&lt;=Paths!$E$174),IF('Operating costs'!$B$67=0,C1847=0,AND(C1847&gt;0,'Operating costs'!$B$67&gt;(C1847-1)*12,'Operating costs'!$B$67&lt;=C1847*12))),'Operating costs'!$B$66,0),"n.a."))</f>
        <v>0</v>
      </c>
      <c r="N1847" s="16">
        <f>IF(NOT(Paths!$C$174=1),0,IF(Paths!$P$174="Complete",SUM(G1847:I1847)-J1847-K1847-L1847+M1847+IF(C1847=0,Paths!$F$174,0)+IF(IF(Paths!$E$174=0,C1847=0,AND(C1847&gt;0,Paths!$E$174&gt;(C1847-1)*12,Paths!$E$174&lt;=C1847*12)),VLOOKUP(A1847,'Fleet register'!$A$7:$S$106,16,FALSE),0),"n.a."))</f>
        <v>0</v>
      </c>
      <c r="O1847" s="16">
        <f>IF(NOT(Paths!$C$174=1),0,IF(Paths!$P$174="Complete",N1847-IF(C1847=0,Paths!$F$174,0),"n.a."))</f>
        <v>0</v>
      </c>
      <c r="P1847" s="16">
        <f>IF(NOT(Paths!$C$174=1),0,IF(Paths!$P$174="Complete",O1847+L1847,"n.a."))</f>
        <v>0</v>
      </c>
      <c r="Q1847" s="16">
        <f>IF(NOT(Paths!$C$174=1),0,IF(Paths!$P$174="Complete",N1847*(1+'Operating costs'!$B$54)^-C1847,"n.a."))</f>
        <v>0</v>
      </c>
      <c r="R1847" s="16">
        <f>IF(NOT(Paths!$C$174=1),0,IF(Paths!$P$174="Complete",IF(AND(C1847=0,Paths!$E$174=0),I1847-J1847-K1847+VLOOKUP(A1847,'Fleet register'!$A$7:$S$106,15,FALSE)+VLOOKUP(A1847,'Fleet register'!$A$7:$S$106,16,FALSE),0),"n.a."))</f>
        <v>0</v>
      </c>
      <c r="S1847" s="1">
        <f>IF(NOT(Paths!$C$174=1),0,IF(Paths!$P$174="Complete",IF(C1847=0,0,Paths!$S$174*Paths!$R$174),"n.a."))</f>
        <v>0</v>
      </c>
      <c r="T1847" s="1">
        <f>IF(NOT(Paths!$C$174=1),0,IF(Paths!$P$174="Complete",IF(C1847=0,0,VLOOKUP(A1847,'Fleet register'!$A$7:$S$106,9,FALSE)*Paths!$R$174),"n.a."))</f>
        <v>0</v>
      </c>
    </row>
    <row r="1848" spans="1:20" ht="24" customHeight="1">
      <c r="A1848" s="1" t="str">
        <f>Paths!$A$174</f>
        <v>T042</v>
      </c>
      <c r="B1848" s="1">
        <f>Paths!$B$174</f>
        <v>3</v>
      </c>
      <c r="C1848" s="1">
        <v>4</v>
      </c>
      <c r="D1848" s="1">
        <v>174</v>
      </c>
      <c r="E1848" s="1">
        <f>IF(OR(Paths!$C$174=0,C1848=0),0,MAX(0,MIN(C1848*12,Paths!$E$174)-(C1848-1)*12))</f>
        <v>0</v>
      </c>
      <c r="F1848" s="1">
        <f>IF(OR(Paths!$C$174=0,C1848=0),0,12-E1848)</f>
        <v>0</v>
      </c>
      <c r="G1848" s="16">
        <f>IF(NOT(Paths!$C$174=1),0,IF(Paths!$P$174="Complete",E1848/12*(Paths!$J$174*(1+'Operating costs'!$B$51)^MAX(0,C1848-1)+Paths!$K$174*(1+'Operating costs'!$B$53)^MAX(0,C1848-1)),"n.a."))</f>
        <v>0</v>
      </c>
      <c r="H1848" s="16">
        <f>IF(NOT(Paths!$C$174=1),0,IF(Paths!$P$174="Complete",F1848/12*(Paths!$L$174*(1+IF(Paths!$D$174="EV",'Operating costs'!$B$52,'Operating costs'!$B$51))^MAX(0,C1848-1)+Paths!$M$174*(1+'Operating costs'!$B$53)^MAX(0,C1848-1)),"n.a."))</f>
        <v>0</v>
      </c>
      <c r="I1848" s="16">
        <f>IF(NOT(Paths!$C$174=1),0,IF(Paths!$P$174="Complete",IF(IF(Paths!$E$174=0,C1848=0,AND(C1848&gt;0,Paths!$E$174&gt;(C1848-1)*12,Paths!$E$174&lt;=C1848*12)),Paths!$G$174,0),"n.a."))</f>
        <v>0</v>
      </c>
      <c r="J1848" s="16">
        <f>IF(NOT(Paths!$C$174=1),0,IF(Paths!$P$174="Complete",IF(IF(Paths!$E$174=0,C1848=0,AND(C1848&gt;0,Paths!$E$174&gt;(C1848-1)*12,Paths!$E$174&lt;=C1848*12)),Paths!$H$174,0),"n.a."))</f>
        <v>0</v>
      </c>
      <c r="K1848" s="16">
        <f>IF(NOT(Paths!$C$174=1),0,IF(Paths!$P$174="Complete",IF(IF(Paths!$O$174=0,C1848=0,AND(C1848&gt;0,Paths!$O$174&gt;(C1848-1)*12,Paths!$O$174&lt;=C1848*12)),Paths!$N$174,0),"n.a."))</f>
        <v>0</v>
      </c>
      <c r="L1848" s="16">
        <f>IF(NOT(Paths!$C$174=1),0,IF(Paths!$P$174="Complete",IF(C1848=10,Paths!$I$174,0),"n.a."))</f>
        <v>0</v>
      </c>
      <c r="M1848" s="16">
        <f>IF(NOT(Paths!$C$174=1),0,IF(Paths!$P$174="Complete",IF(AND(Paths!$D$174="EV",Paths!$E$174&lt;120,Paths!$E$174+'Operating costs'!$B$65&gt;Paths!$E$174,Paths!$E$174+'Operating costs'!$B$65&lt;=120,IF(Paths!$E$174+'Operating costs'!$B$65=0,C1848=0,AND(C1848&gt;0,Paths!$E$174+'Operating costs'!$B$65&gt;(C1848-1)*12,Paths!$E$174+'Operating costs'!$B$65&lt;=C1848*12))),'Operating costs'!$B$64,0)+IF(AND('Operating costs'!$B$67&gt;0,'Operating costs'!$B$67&lt;=120,OR(Paths!$D$174="ICE",'Operating costs'!$B$67&lt;=Paths!$E$174),IF('Operating costs'!$B$67=0,C1848=0,AND(C1848&gt;0,'Operating costs'!$B$67&gt;(C1848-1)*12,'Operating costs'!$B$67&lt;=C1848*12))),'Operating costs'!$B$66,0),"n.a."))</f>
        <v>0</v>
      </c>
      <c r="N1848" s="16">
        <f>IF(NOT(Paths!$C$174=1),0,IF(Paths!$P$174="Complete",SUM(G1848:I1848)-J1848-K1848-L1848+M1848+IF(C1848=0,Paths!$F$174,0)+IF(IF(Paths!$E$174=0,C1848=0,AND(C1848&gt;0,Paths!$E$174&gt;(C1848-1)*12,Paths!$E$174&lt;=C1848*12)),VLOOKUP(A1848,'Fleet register'!$A$7:$S$106,16,FALSE),0),"n.a."))</f>
        <v>0</v>
      </c>
      <c r="O1848" s="16">
        <f>IF(NOT(Paths!$C$174=1),0,IF(Paths!$P$174="Complete",N1848-IF(C1848=0,Paths!$F$174,0),"n.a."))</f>
        <v>0</v>
      </c>
      <c r="P1848" s="16">
        <f>IF(NOT(Paths!$C$174=1),0,IF(Paths!$P$174="Complete",O1848+L1848,"n.a."))</f>
        <v>0</v>
      </c>
      <c r="Q1848" s="16">
        <f>IF(NOT(Paths!$C$174=1),0,IF(Paths!$P$174="Complete",N1848*(1+'Operating costs'!$B$54)^-C1848,"n.a."))</f>
        <v>0</v>
      </c>
      <c r="R1848" s="16">
        <f>IF(NOT(Paths!$C$174=1),0,IF(Paths!$P$174="Complete",IF(AND(C1848=0,Paths!$E$174=0),I1848-J1848-K1848+VLOOKUP(A1848,'Fleet register'!$A$7:$S$106,15,FALSE)+VLOOKUP(A1848,'Fleet register'!$A$7:$S$106,16,FALSE),0),"n.a."))</f>
        <v>0</v>
      </c>
      <c r="S1848" s="1">
        <f>IF(NOT(Paths!$C$174=1),0,IF(Paths!$P$174="Complete",IF(C1848=0,0,Paths!$S$174*Paths!$R$174),"n.a."))</f>
        <v>0</v>
      </c>
      <c r="T1848" s="1">
        <f>IF(NOT(Paths!$C$174=1),0,IF(Paths!$P$174="Complete",IF(C1848=0,0,VLOOKUP(A1848,'Fleet register'!$A$7:$S$106,9,FALSE)*Paths!$R$174),"n.a."))</f>
        <v>0</v>
      </c>
    </row>
    <row r="1849" spans="1:20" ht="24" customHeight="1">
      <c r="A1849" s="1" t="str">
        <f>Paths!$A$174</f>
        <v>T042</v>
      </c>
      <c r="B1849" s="1">
        <f>Paths!$B$174</f>
        <v>3</v>
      </c>
      <c r="C1849" s="1">
        <v>5</v>
      </c>
      <c r="D1849" s="1">
        <v>174</v>
      </c>
      <c r="E1849" s="1">
        <f>IF(OR(Paths!$C$174=0,C1849=0),0,MAX(0,MIN(C1849*12,Paths!$E$174)-(C1849-1)*12))</f>
        <v>0</v>
      </c>
      <c r="F1849" s="1">
        <f>IF(OR(Paths!$C$174=0,C1849=0),0,12-E1849)</f>
        <v>0</v>
      </c>
      <c r="G1849" s="16">
        <f>IF(NOT(Paths!$C$174=1),0,IF(Paths!$P$174="Complete",E1849/12*(Paths!$J$174*(1+'Operating costs'!$B$51)^MAX(0,C1849-1)+Paths!$K$174*(1+'Operating costs'!$B$53)^MAX(0,C1849-1)),"n.a."))</f>
        <v>0</v>
      </c>
      <c r="H1849" s="16">
        <f>IF(NOT(Paths!$C$174=1),0,IF(Paths!$P$174="Complete",F1849/12*(Paths!$L$174*(1+IF(Paths!$D$174="EV",'Operating costs'!$B$52,'Operating costs'!$B$51))^MAX(0,C1849-1)+Paths!$M$174*(1+'Operating costs'!$B$53)^MAX(0,C1849-1)),"n.a."))</f>
        <v>0</v>
      </c>
      <c r="I1849" s="16">
        <f>IF(NOT(Paths!$C$174=1),0,IF(Paths!$P$174="Complete",IF(IF(Paths!$E$174=0,C1849=0,AND(C1849&gt;0,Paths!$E$174&gt;(C1849-1)*12,Paths!$E$174&lt;=C1849*12)),Paths!$G$174,0),"n.a."))</f>
        <v>0</v>
      </c>
      <c r="J1849" s="16">
        <f>IF(NOT(Paths!$C$174=1),0,IF(Paths!$P$174="Complete",IF(IF(Paths!$E$174=0,C1849=0,AND(C1849&gt;0,Paths!$E$174&gt;(C1849-1)*12,Paths!$E$174&lt;=C1849*12)),Paths!$H$174,0),"n.a."))</f>
        <v>0</v>
      </c>
      <c r="K1849" s="16">
        <f>IF(NOT(Paths!$C$174=1),0,IF(Paths!$P$174="Complete",IF(IF(Paths!$O$174=0,C1849=0,AND(C1849&gt;0,Paths!$O$174&gt;(C1849-1)*12,Paths!$O$174&lt;=C1849*12)),Paths!$N$174,0),"n.a."))</f>
        <v>0</v>
      </c>
      <c r="L1849" s="16">
        <f>IF(NOT(Paths!$C$174=1),0,IF(Paths!$P$174="Complete",IF(C1849=10,Paths!$I$174,0),"n.a."))</f>
        <v>0</v>
      </c>
      <c r="M1849" s="16">
        <f>IF(NOT(Paths!$C$174=1),0,IF(Paths!$P$174="Complete",IF(AND(Paths!$D$174="EV",Paths!$E$174&lt;120,Paths!$E$174+'Operating costs'!$B$65&gt;Paths!$E$174,Paths!$E$174+'Operating costs'!$B$65&lt;=120,IF(Paths!$E$174+'Operating costs'!$B$65=0,C1849=0,AND(C1849&gt;0,Paths!$E$174+'Operating costs'!$B$65&gt;(C1849-1)*12,Paths!$E$174+'Operating costs'!$B$65&lt;=C1849*12))),'Operating costs'!$B$64,0)+IF(AND('Operating costs'!$B$67&gt;0,'Operating costs'!$B$67&lt;=120,OR(Paths!$D$174="ICE",'Operating costs'!$B$67&lt;=Paths!$E$174),IF('Operating costs'!$B$67=0,C1849=0,AND(C1849&gt;0,'Operating costs'!$B$67&gt;(C1849-1)*12,'Operating costs'!$B$67&lt;=C1849*12))),'Operating costs'!$B$66,0),"n.a."))</f>
        <v>0</v>
      </c>
      <c r="N1849" s="16">
        <f>IF(NOT(Paths!$C$174=1),0,IF(Paths!$P$174="Complete",SUM(G1849:I1849)-J1849-K1849-L1849+M1849+IF(C1849=0,Paths!$F$174,0)+IF(IF(Paths!$E$174=0,C1849=0,AND(C1849&gt;0,Paths!$E$174&gt;(C1849-1)*12,Paths!$E$174&lt;=C1849*12)),VLOOKUP(A1849,'Fleet register'!$A$7:$S$106,16,FALSE),0),"n.a."))</f>
        <v>0</v>
      </c>
      <c r="O1849" s="16">
        <f>IF(NOT(Paths!$C$174=1),0,IF(Paths!$P$174="Complete",N1849-IF(C1849=0,Paths!$F$174,0),"n.a."))</f>
        <v>0</v>
      </c>
      <c r="P1849" s="16">
        <f>IF(NOT(Paths!$C$174=1),0,IF(Paths!$P$174="Complete",O1849+L1849,"n.a."))</f>
        <v>0</v>
      </c>
      <c r="Q1849" s="16">
        <f>IF(NOT(Paths!$C$174=1),0,IF(Paths!$P$174="Complete",N1849*(1+'Operating costs'!$B$54)^-C1849,"n.a."))</f>
        <v>0</v>
      </c>
      <c r="R1849" s="16">
        <f>IF(NOT(Paths!$C$174=1),0,IF(Paths!$P$174="Complete",IF(AND(C1849=0,Paths!$E$174=0),I1849-J1849-K1849+VLOOKUP(A1849,'Fleet register'!$A$7:$S$106,15,FALSE)+VLOOKUP(A1849,'Fleet register'!$A$7:$S$106,16,FALSE),0),"n.a."))</f>
        <v>0</v>
      </c>
      <c r="S1849" s="1">
        <f>IF(NOT(Paths!$C$174=1),0,IF(Paths!$P$174="Complete",IF(C1849=0,0,Paths!$S$174*Paths!$R$174),"n.a."))</f>
        <v>0</v>
      </c>
      <c r="T1849" s="1">
        <f>IF(NOT(Paths!$C$174=1),0,IF(Paths!$P$174="Complete",IF(C1849=0,0,VLOOKUP(A1849,'Fleet register'!$A$7:$S$106,9,FALSE)*Paths!$R$174),"n.a."))</f>
        <v>0</v>
      </c>
    </row>
    <row r="1850" spans="1:20" ht="24" customHeight="1">
      <c r="A1850" s="1" t="str">
        <f>Paths!$A$174</f>
        <v>T042</v>
      </c>
      <c r="B1850" s="1">
        <f>Paths!$B$174</f>
        <v>3</v>
      </c>
      <c r="C1850" s="1">
        <v>6</v>
      </c>
      <c r="D1850" s="1">
        <v>174</v>
      </c>
      <c r="E1850" s="1">
        <f>IF(OR(Paths!$C$174=0,C1850=0),0,MAX(0,MIN(C1850*12,Paths!$E$174)-(C1850-1)*12))</f>
        <v>0</v>
      </c>
      <c r="F1850" s="1">
        <f>IF(OR(Paths!$C$174=0,C1850=0),0,12-E1850)</f>
        <v>0</v>
      </c>
      <c r="G1850" s="16">
        <f>IF(NOT(Paths!$C$174=1),0,IF(Paths!$P$174="Complete",E1850/12*(Paths!$J$174*(1+'Operating costs'!$B$51)^MAX(0,C1850-1)+Paths!$K$174*(1+'Operating costs'!$B$53)^MAX(0,C1850-1)),"n.a."))</f>
        <v>0</v>
      </c>
      <c r="H1850" s="16">
        <f>IF(NOT(Paths!$C$174=1),0,IF(Paths!$P$174="Complete",F1850/12*(Paths!$L$174*(1+IF(Paths!$D$174="EV",'Operating costs'!$B$52,'Operating costs'!$B$51))^MAX(0,C1850-1)+Paths!$M$174*(1+'Operating costs'!$B$53)^MAX(0,C1850-1)),"n.a."))</f>
        <v>0</v>
      </c>
      <c r="I1850" s="16">
        <f>IF(NOT(Paths!$C$174=1),0,IF(Paths!$P$174="Complete",IF(IF(Paths!$E$174=0,C1850=0,AND(C1850&gt;0,Paths!$E$174&gt;(C1850-1)*12,Paths!$E$174&lt;=C1850*12)),Paths!$G$174,0),"n.a."))</f>
        <v>0</v>
      </c>
      <c r="J1850" s="16">
        <f>IF(NOT(Paths!$C$174=1),0,IF(Paths!$P$174="Complete",IF(IF(Paths!$E$174=0,C1850=0,AND(C1850&gt;0,Paths!$E$174&gt;(C1850-1)*12,Paths!$E$174&lt;=C1850*12)),Paths!$H$174,0),"n.a."))</f>
        <v>0</v>
      </c>
      <c r="K1850" s="16">
        <f>IF(NOT(Paths!$C$174=1),0,IF(Paths!$P$174="Complete",IF(IF(Paths!$O$174=0,C1850=0,AND(C1850&gt;0,Paths!$O$174&gt;(C1850-1)*12,Paths!$O$174&lt;=C1850*12)),Paths!$N$174,0),"n.a."))</f>
        <v>0</v>
      </c>
      <c r="L1850" s="16">
        <f>IF(NOT(Paths!$C$174=1),0,IF(Paths!$P$174="Complete",IF(C1850=10,Paths!$I$174,0),"n.a."))</f>
        <v>0</v>
      </c>
      <c r="M1850" s="16">
        <f>IF(NOT(Paths!$C$174=1),0,IF(Paths!$P$174="Complete",IF(AND(Paths!$D$174="EV",Paths!$E$174&lt;120,Paths!$E$174+'Operating costs'!$B$65&gt;Paths!$E$174,Paths!$E$174+'Operating costs'!$B$65&lt;=120,IF(Paths!$E$174+'Operating costs'!$B$65=0,C1850=0,AND(C1850&gt;0,Paths!$E$174+'Operating costs'!$B$65&gt;(C1850-1)*12,Paths!$E$174+'Operating costs'!$B$65&lt;=C1850*12))),'Operating costs'!$B$64,0)+IF(AND('Operating costs'!$B$67&gt;0,'Operating costs'!$B$67&lt;=120,OR(Paths!$D$174="ICE",'Operating costs'!$B$67&lt;=Paths!$E$174),IF('Operating costs'!$B$67=0,C1850=0,AND(C1850&gt;0,'Operating costs'!$B$67&gt;(C1850-1)*12,'Operating costs'!$B$67&lt;=C1850*12))),'Operating costs'!$B$66,0),"n.a."))</f>
        <v>0</v>
      </c>
      <c r="N1850" s="16">
        <f>IF(NOT(Paths!$C$174=1),0,IF(Paths!$P$174="Complete",SUM(G1850:I1850)-J1850-K1850-L1850+M1850+IF(C1850=0,Paths!$F$174,0)+IF(IF(Paths!$E$174=0,C1850=0,AND(C1850&gt;0,Paths!$E$174&gt;(C1850-1)*12,Paths!$E$174&lt;=C1850*12)),VLOOKUP(A1850,'Fleet register'!$A$7:$S$106,16,FALSE),0),"n.a."))</f>
        <v>0</v>
      </c>
      <c r="O1850" s="16">
        <f>IF(NOT(Paths!$C$174=1),0,IF(Paths!$P$174="Complete",N1850-IF(C1850=0,Paths!$F$174,0),"n.a."))</f>
        <v>0</v>
      </c>
      <c r="P1850" s="16">
        <f>IF(NOT(Paths!$C$174=1),0,IF(Paths!$P$174="Complete",O1850+L1850,"n.a."))</f>
        <v>0</v>
      </c>
      <c r="Q1850" s="16">
        <f>IF(NOT(Paths!$C$174=1),0,IF(Paths!$P$174="Complete",N1850*(1+'Operating costs'!$B$54)^-C1850,"n.a."))</f>
        <v>0</v>
      </c>
      <c r="R1850" s="16">
        <f>IF(NOT(Paths!$C$174=1),0,IF(Paths!$P$174="Complete",IF(AND(C1850=0,Paths!$E$174=0),I1850-J1850-K1850+VLOOKUP(A1850,'Fleet register'!$A$7:$S$106,15,FALSE)+VLOOKUP(A1850,'Fleet register'!$A$7:$S$106,16,FALSE),0),"n.a."))</f>
        <v>0</v>
      </c>
      <c r="S1850" s="1">
        <f>IF(NOT(Paths!$C$174=1),0,IF(Paths!$P$174="Complete",IF(C1850=0,0,Paths!$S$174*Paths!$R$174),"n.a."))</f>
        <v>0</v>
      </c>
      <c r="T1850" s="1">
        <f>IF(NOT(Paths!$C$174=1),0,IF(Paths!$P$174="Complete",IF(C1850=0,0,VLOOKUP(A1850,'Fleet register'!$A$7:$S$106,9,FALSE)*Paths!$R$174),"n.a."))</f>
        <v>0</v>
      </c>
    </row>
    <row r="1851" spans="1:20" ht="24" customHeight="1">
      <c r="A1851" s="1" t="str">
        <f>Paths!$A$174</f>
        <v>T042</v>
      </c>
      <c r="B1851" s="1">
        <f>Paths!$B$174</f>
        <v>3</v>
      </c>
      <c r="C1851" s="1">
        <v>7</v>
      </c>
      <c r="D1851" s="1">
        <v>174</v>
      </c>
      <c r="E1851" s="1">
        <f>IF(OR(Paths!$C$174=0,C1851=0),0,MAX(0,MIN(C1851*12,Paths!$E$174)-(C1851-1)*12))</f>
        <v>0</v>
      </c>
      <c r="F1851" s="1">
        <f>IF(OR(Paths!$C$174=0,C1851=0),0,12-E1851)</f>
        <v>0</v>
      </c>
      <c r="G1851" s="16">
        <f>IF(NOT(Paths!$C$174=1),0,IF(Paths!$P$174="Complete",E1851/12*(Paths!$J$174*(1+'Operating costs'!$B$51)^MAX(0,C1851-1)+Paths!$K$174*(1+'Operating costs'!$B$53)^MAX(0,C1851-1)),"n.a."))</f>
        <v>0</v>
      </c>
      <c r="H1851" s="16">
        <f>IF(NOT(Paths!$C$174=1),0,IF(Paths!$P$174="Complete",F1851/12*(Paths!$L$174*(1+IF(Paths!$D$174="EV",'Operating costs'!$B$52,'Operating costs'!$B$51))^MAX(0,C1851-1)+Paths!$M$174*(1+'Operating costs'!$B$53)^MAX(0,C1851-1)),"n.a."))</f>
        <v>0</v>
      </c>
      <c r="I1851" s="16">
        <f>IF(NOT(Paths!$C$174=1),0,IF(Paths!$P$174="Complete",IF(IF(Paths!$E$174=0,C1851=0,AND(C1851&gt;0,Paths!$E$174&gt;(C1851-1)*12,Paths!$E$174&lt;=C1851*12)),Paths!$G$174,0),"n.a."))</f>
        <v>0</v>
      </c>
      <c r="J1851" s="16">
        <f>IF(NOT(Paths!$C$174=1),0,IF(Paths!$P$174="Complete",IF(IF(Paths!$E$174=0,C1851=0,AND(C1851&gt;0,Paths!$E$174&gt;(C1851-1)*12,Paths!$E$174&lt;=C1851*12)),Paths!$H$174,0),"n.a."))</f>
        <v>0</v>
      </c>
      <c r="K1851" s="16">
        <f>IF(NOT(Paths!$C$174=1),0,IF(Paths!$P$174="Complete",IF(IF(Paths!$O$174=0,C1851=0,AND(C1851&gt;0,Paths!$O$174&gt;(C1851-1)*12,Paths!$O$174&lt;=C1851*12)),Paths!$N$174,0),"n.a."))</f>
        <v>0</v>
      </c>
      <c r="L1851" s="16">
        <f>IF(NOT(Paths!$C$174=1),0,IF(Paths!$P$174="Complete",IF(C1851=10,Paths!$I$174,0),"n.a."))</f>
        <v>0</v>
      </c>
      <c r="M1851" s="16">
        <f>IF(NOT(Paths!$C$174=1),0,IF(Paths!$P$174="Complete",IF(AND(Paths!$D$174="EV",Paths!$E$174&lt;120,Paths!$E$174+'Operating costs'!$B$65&gt;Paths!$E$174,Paths!$E$174+'Operating costs'!$B$65&lt;=120,IF(Paths!$E$174+'Operating costs'!$B$65=0,C1851=0,AND(C1851&gt;0,Paths!$E$174+'Operating costs'!$B$65&gt;(C1851-1)*12,Paths!$E$174+'Operating costs'!$B$65&lt;=C1851*12))),'Operating costs'!$B$64,0)+IF(AND('Operating costs'!$B$67&gt;0,'Operating costs'!$B$67&lt;=120,OR(Paths!$D$174="ICE",'Operating costs'!$B$67&lt;=Paths!$E$174),IF('Operating costs'!$B$67=0,C1851=0,AND(C1851&gt;0,'Operating costs'!$B$67&gt;(C1851-1)*12,'Operating costs'!$B$67&lt;=C1851*12))),'Operating costs'!$B$66,0),"n.a."))</f>
        <v>0</v>
      </c>
      <c r="N1851" s="16">
        <f>IF(NOT(Paths!$C$174=1),0,IF(Paths!$P$174="Complete",SUM(G1851:I1851)-J1851-K1851-L1851+M1851+IF(C1851=0,Paths!$F$174,0)+IF(IF(Paths!$E$174=0,C1851=0,AND(C1851&gt;0,Paths!$E$174&gt;(C1851-1)*12,Paths!$E$174&lt;=C1851*12)),VLOOKUP(A1851,'Fleet register'!$A$7:$S$106,16,FALSE),0),"n.a."))</f>
        <v>0</v>
      </c>
      <c r="O1851" s="16">
        <f>IF(NOT(Paths!$C$174=1),0,IF(Paths!$P$174="Complete",N1851-IF(C1851=0,Paths!$F$174,0),"n.a."))</f>
        <v>0</v>
      </c>
      <c r="P1851" s="16">
        <f>IF(NOT(Paths!$C$174=1),0,IF(Paths!$P$174="Complete",O1851+L1851,"n.a."))</f>
        <v>0</v>
      </c>
      <c r="Q1851" s="16">
        <f>IF(NOT(Paths!$C$174=1),0,IF(Paths!$P$174="Complete",N1851*(1+'Operating costs'!$B$54)^-C1851,"n.a."))</f>
        <v>0</v>
      </c>
      <c r="R1851" s="16">
        <f>IF(NOT(Paths!$C$174=1),0,IF(Paths!$P$174="Complete",IF(AND(C1851=0,Paths!$E$174=0),I1851-J1851-K1851+VLOOKUP(A1851,'Fleet register'!$A$7:$S$106,15,FALSE)+VLOOKUP(A1851,'Fleet register'!$A$7:$S$106,16,FALSE),0),"n.a."))</f>
        <v>0</v>
      </c>
      <c r="S1851" s="1">
        <f>IF(NOT(Paths!$C$174=1),0,IF(Paths!$P$174="Complete",IF(C1851=0,0,Paths!$S$174*Paths!$R$174),"n.a."))</f>
        <v>0</v>
      </c>
      <c r="T1851" s="1">
        <f>IF(NOT(Paths!$C$174=1),0,IF(Paths!$P$174="Complete",IF(C1851=0,0,VLOOKUP(A1851,'Fleet register'!$A$7:$S$106,9,FALSE)*Paths!$R$174),"n.a."))</f>
        <v>0</v>
      </c>
    </row>
    <row r="1852" spans="1:20" ht="24" customHeight="1">
      <c r="A1852" s="1" t="str">
        <f>Paths!$A$174</f>
        <v>T042</v>
      </c>
      <c r="B1852" s="1">
        <f>Paths!$B$174</f>
        <v>3</v>
      </c>
      <c r="C1852" s="1">
        <v>8</v>
      </c>
      <c r="D1852" s="1">
        <v>174</v>
      </c>
      <c r="E1852" s="1">
        <f>IF(OR(Paths!$C$174=0,C1852=0),0,MAX(0,MIN(C1852*12,Paths!$E$174)-(C1852-1)*12))</f>
        <v>0</v>
      </c>
      <c r="F1852" s="1">
        <f>IF(OR(Paths!$C$174=0,C1852=0),0,12-E1852)</f>
        <v>0</v>
      </c>
      <c r="G1852" s="16">
        <f>IF(NOT(Paths!$C$174=1),0,IF(Paths!$P$174="Complete",E1852/12*(Paths!$J$174*(1+'Operating costs'!$B$51)^MAX(0,C1852-1)+Paths!$K$174*(1+'Operating costs'!$B$53)^MAX(0,C1852-1)),"n.a."))</f>
        <v>0</v>
      </c>
      <c r="H1852" s="16">
        <f>IF(NOT(Paths!$C$174=1),0,IF(Paths!$P$174="Complete",F1852/12*(Paths!$L$174*(1+IF(Paths!$D$174="EV",'Operating costs'!$B$52,'Operating costs'!$B$51))^MAX(0,C1852-1)+Paths!$M$174*(1+'Operating costs'!$B$53)^MAX(0,C1852-1)),"n.a."))</f>
        <v>0</v>
      </c>
      <c r="I1852" s="16">
        <f>IF(NOT(Paths!$C$174=1),0,IF(Paths!$P$174="Complete",IF(IF(Paths!$E$174=0,C1852=0,AND(C1852&gt;0,Paths!$E$174&gt;(C1852-1)*12,Paths!$E$174&lt;=C1852*12)),Paths!$G$174,0),"n.a."))</f>
        <v>0</v>
      </c>
      <c r="J1852" s="16">
        <f>IF(NOT(Paths!$C$174=1),0,IF(Paths!$P$174="Complete",IF(IF(Paths!$E$174=0,C1852=0,AND(C1852&gt;0,Paths!$E$174&gt;(C1852-1)*12,Paths!$E$174&lt;=C1852*12)),Paths!$H$174,0),"n.a."))</f>
        <v>0</v>
      </c>
      <c r="K1852" s="16">
        <f>IF(NOT(Paths!$C$174=1),0,IF(Paths!$P$174="Complete",IF(IF(Paths!$O$174=0,C1852=0,AND(C1852&gt;0,Paths!$O$174&gt;(C1852-1)*12,Paths!$O$174&lt;=C1852*12)),Paths!$N$174,0),"n.a."))</f>
        <v>0</v>
      </c>
      <c r="L1852" s="16">
        <f>IF(NOT(Paths!$C$174=1),0,IF(Paths!$P$174="Complete",IF(C1852=10,Paths!$I$174,0),"n.a."))</f>
        <v>0</v>
      </c>
      <c r="M1852" s="16">
        <f>IF(NOT(Paths!$C$174=1),0,IF(Paths!$P$174="Complete",IF(AND(Paths!$D$174="EV",Paths!$E$174&lt;120,Paths!$E$174+'Operating costs'!$B$65&gt;Paths!$E$174,Paths!$E$174+'Operating costs'!$B$65&lt;=120,IF(Paths!$E$174+'Operating costs'!$B$65=0,C1852=0,AND(C1852&gt;0,Paths!$E$174+'Operating costs'!$B$65&gt;(C1852-1)*12,Paths!$E$174+'Operating costs'!$B$65&lt;=C1852*12))),'Operating costs'!$B$64,0)+IF(AND('Operating costs'!$B$67&gt;0,'Operating costs'!$B$67&lt;=120,OR(Paths!$D$174="ICE",'Operating costs'!$B$67&lt;=Paths!$E$174),IF('Operating costs'!$B$67=0,C1852=0,AND(C1852&gt;0,'Operating costs'!$B$67&gt;(C1852-1)*12,'Operating costs'!$B$67&lt;=C1852*12))),'Operating costs'!$B$66,0),"n.a."))</f>
        <v>0</v>
      </c>
      <c r="N1852" s="16">
        <f>IF(NOT(Paths!$C$174=1),0,IF(Paths!$P$174="Complete",SUM(G1852:I1852)-J1852-K1852-L1852+M1852+IF(C1852=0,Paths!$F$174,0)+IF(IF(Paths!$E$174=0,C1852=0,AND(C1852&gt;0,Paths!$E$174&gt;(C1852-1)*12,Paths!$E$174&lt;=C1852*12)),VLOOKUP(A1852,'Fleet register'!$A$7:$S$106,16,FALSE),0),"n.a."))</f>
        <v>0</v>
      </c>
      <c r="O1852" s="16">
        <f>IF(NOT(Paths!$C$174=1),0,IF(Paths!$P$174="Complete",N1852-IF(C1852=0,Paths!$F$174,0),"n.a."))</f>
        <v>0</v>
      </c>
      <c r="P1852" s="16">
        <f>IF(NOT(Paths!$C$174=1),0,IF(Paths!$P$174="Complete",O1852+L1852,"n.a."))</f>
        <v>0</v>
      </c>
      <c r="Q1852" s="16">
        <f>IF(NOT(Paths!$C$174=1),0,IF(Paths!$P$174="Complete",N1852*(1+'Operating costs'!$B$54)^-C1852,"n.a."))</f>
        <v>0</v>
      </c>
      <c r="R1852" s="16">
        <f>IF(NOT(Paths!$C$174=1),0,IF(Paths!$P$174="Complete",IF(AND(C1852=0,Paths!$E$174=0),I1852-J1852-K1852+VLOOKUP(A1852,'Fleet register'!$A$7:$S$106,15,FALSE)+VLOOKUP(A1852,'Fleet register'!$A$7:$S$106,16,FALSE),0),"n.a."))</f>
        <v>0</v>
      </c>
      <c r="S1852" s="1">
        <f>IF(NOT(Paths!$C$174=1),0,IF(Paths!$P$174="Complete",IF(C1852=0,0,Paths!$S$174*Paths!$R$174),"n.a."))</f>
        <v>0</v>
      </c>
      <c r="T1852" s="1">
        <f>IF(NOT(Paths!$C$174=1),0,IF(Paths!$P$174="Complete",IF(C1852=0,0,VLOOKUP(A1852,'Fleet register'!$A$7:$S$106,9,FALSE)*Paths!$R$174),"n.a."))</f>
        <v>0</v>
      </c>
    </row>
    <row r="1853" spans="1:20" ht="24" customHeight="1">
      <c r="A1853" s="1" t="str">
        <f>Paths!$A$174</f>
        <v>T042</v>
      </c>
      <c r="B1853" s="1">
        <f>Paths!$B$174</f>
        <v>3</v>
      </c>
      <c r="C1853" s="1">
        <v>9</v>
      </c>
      <c r="D1853" s="1">
        <v>174</v>
      </c>
      <c r="E1853" s="1">
        <f>IF(OR(Paths!$C$174=0,C1853=0),0,MAX(0,MIN(C1853*12,Paths!$E$174)-(C1853-1)*12))</f>
        <v>0</v>
      </c>
      <c r="F1853" s="1">
        <f>IF(OR(Paths!$C$174=0,C1853=0),0,12-E1853)</f>
        <v>0</v>
      </c>
      <c r="G1853" s="16">
        <f>IF(NOT(Paths!$C$174=1),0,IF(Paths!$P$174="Complete",E1853/12*(Paths!$J$174*(1+'Operating costs'!$B$51)^MAX(0,C1853-1)+Paths!$K$174*(1+'Operating costs'!$B$53)^MAX(0,C1853-1)),"n.a."))</f>
        <v>0</v>
      </c>
      <c r="H1853" s="16">
        <f>IF(NOT(Paths!$C$174=1),0,IF(Paths!$P$174="Complete",F1853/12*(Paths!$L$174*(1+IF(Paths!$D$174="EV",'Operating costs'!$B$52,'Operating costs'!$B$51))^MAX(0,C1853-1)+Paths!$M$174*(1+'Operating costs'!$B$53)^MAX(0,C1853-1)),"n.a."))</f>
        <v>0</v>
      </c>
      <c r="I1853" s="16">
        <f>IF(NOT(Paths!$C$174=1),0,IF(Paths!$P$174="Complete",IF(IF(Paths!$E$174=0,C1853=0,AND(C1853&gt;0,Paths!$E$174&gt;(C1853-1)*12,Paths!$E$174&lt;=C1853*12)),Paths!$G$174,0),"n.a."))</f>
        <v>0</v>
      </c>
      <c r="J1853" s="16">
        <f>IF(NOT(Paths!$C$174=1),0,IF(Paths!$P$174="Complete",IF(IF(Paths!$E$174=0,C1853=0,AND(C1853&gt;0,Paths!$E$174&gt;(C1853-1)*12,Paths!$E$174&lt;=C1853*12)),Paths!$H$174,0),"n.a."))</f>
        <v>0</v>
      </c>
      <c r="K1853" s="16">
        <f>IF(NOT(Paths!$C$174=1),0,IF(Paths!$P$174="Complete",IF(IF(Paths!$O$174=0,C1853=0,AND(C1853&gt;0,Paths!$O$174&gt;(C1853-1)*12,Paths!$O$174&lt;=C1853*12)),Paths!$N$174,0),"n.a."))</f>
        <v>0</v>
      </c>
      <c r="L1853" s="16">
        <f>IF(NOT(Paths!$C$174=1),0,IF(Paths!$P$174="Complete",IF(C1853=10,Paths!$I$174,0),"n.a."))</f>
        <v>0</v>
      </c>
      <c r="M1853" s="16">
        <f>IF(NOT(Paths!$C$174=1),0,IF(Paths!$P$174="Complete",IF(AND(Paths!$D$174="EV",Paths!$E$174&lt;120,Paths!$E$174+'Operating costs'!$B$65&gt;Paths!$E$174,Paths!$E$174+'Operating costs'!$B$65&lt;=120,IF(Paths!$E$174+'Operating costs'!$B$65=0,C1853=0,AND(C1853&gt;0,Paths!$E$174+'Operating costs'!$B$65&gt;(C1853-1)*12,Paths!$E$174+'Operating costs'!$B$65&lt;=C1853*12))),'Operating costs'!$B$64,0)+IF(AND('Operating costs'!$B$67&gt;0,'Operating costs'!$B$67&lt;=120,OR(Paths!$D$174="ICE",'Operating costs'!$B$67&lt;=Paths!$E$174),IF('Operating costs'!$B$67=0,C1853=0,AND(C1853&gt;0,'Operating costs'!$B$67&gt;(C1853-1)*12,'Operating costs'!$B$67&lt;=C1853*12))),'Operating costs'!$B$66,0),"n.a."))</f>
        <v>0</v>
      </c>
      <c r="N1853" s="16">
        <f>IF(NOT(Paths!$C$174=1),0,IF(Paths!$P$174="Complete",SUM(G1853:I1853)-J1853-K1853-L1853+M1853+IF(C1853=0,Paths!$F$174,0)+IF(IF(Paths!$E$174=0,C1853=0,AND(C1853&gt;0,Paths!$E$174&gt;(C1853-1)*12,Paths!$E$174&lt;=C1853*12)),VLOOKUP(A1853,'Fleet register'!$A$7:$S$106,16,FALSE),0),"n.a."))</f>
        <v>0</v>
      </c>
      <c r="O1853" s="16">
        <f>IF(NOT(Paths!$C$174=1),0,IF(Paths!$P$174="Complete",N1853-IF(C1853=0,Paths!$F$174,0),"n.a."))</f>
        <v>0</v>
      </c>
      <c r="P1853" s="16">
        <f>IF(NOT(Paths!$C$174=1),0,IF(Paths!$P$174="Complete",O1853+L1853,"n.a."))</f>
        <v>0</v>
      </c>
      <c r="Q1853" s="16">
        <f>IF(NOT(Paths!$C$174=1),0,IF(Paths!$P$174="Complete",N1853*(1+'Operating costs'!$B$54)^-C1853,"n.a."))</f>
        <v>0</v>
      </c>
      <c r="R1853" s="16">
        <f>IF(NOT(Paths!$C$174=1),0,IF(Paths!$P$174="Complete",IF(AND(C1853=0,Paths!$E$174=0),I1853-J1853-K1853+VLOOKUP(A1853,'Fleet register'!$A$7:$S$106,15,FALSE)+VLOOKUP(A1853,'Fleet register'!$A$7:$S$106,16,FALSE),0),"n.a."))</f>
        <v>0</v>
      </c>
      <c r="S1853" s="1">
        <f>IF(NOT(Paths!$C$174=1),0,IF(Paths!$P$174="Complete",IF(C1853=0,0,Paths!$S$174*Paths!$R$174),"n.a."))</f>
        <v>0</v>
      </c>
      <c r="T1853" s="1">
        <f>IF(NOT(Paths!$C$174=1),0,IF(Paths!$P$174="Complete",IF(C1853=0,0,VLOOKUP(A1853,'Fleet register'!$A$7:$S$106,9,FALSE)*Paths!$R$174),"n.a."))</f>
        <v>0</v>
      </c>
    </row>
    <row r="1854" spans="1:20" ht="24" customHeight="1">
      <c r="A1854" s="1" t="str">
        <f>Paths!$A$174</f>
        <v>T042</v>
      </c>
      <c r="B1854" s="1">
        <f>Paths!$B$174</f>
        <v>3</v>
      </c>
      <c r="C1854" s="1">
        <v>10</v>
      </c>
      <c r="D1854" s="1">
        <v>174</v>
      </c>
      <c r="E1854" s="1">
        <f>IF(OR(Paths!$C$174=0,C1854=0),0,MAX(0,MIN(C1854*12,Paths!$E$174)-(C1854-1)*12))</f>
        <v>0</v>
      </c>
      <c r="F1854" s="1">
        <f>IF(OR(Paths!$C$174=0,C1854=0),0,12-E1854)</f>
        <v>0</v>
      </c>
      <c r="G1854" s="16">
        <f>IF(NOT(Paths!$C$174=1),0,IF(Paths!$P$174="Complete",E1854/12*(Paths!$J$174*(1+'Operating costs'!$B$51)^MAX(0,C1854-1)+Paths!$K$174*(1+'Operating costs'!$B$53)^MAX(0,C1854-1)),"n.a."))</f>
        <v>0</v>
      </c>
      <c r="H1854" s="16">
        <f>IF(NOT(Paths!$C$174=1),0,IF(Paths!$P$174="Complete",F1854/12*(Paths!$L$174*(1+IF(Paths!$D$174="EV",'Operating costs'!$B$52,'Operating costs'!$B$51))^MAX(0,C1854-1)+Paths!$M$174*(1+'Operating costs'!$B$53)^MAX(0,C1854-1)),"n.a."))</f>
        <v>0</v>
      </c>
      <c r="I1854" s="16">
        <f>IF(NOT(Paths!$C$174=1),0,IF(Paths!$P$174="Complete",IF(IF(Paths!$E$174=0,C1854=0,AND(C1854&gt;0,Paths!$E$174&gt;(C1854-1)*12,Paths!$E$174&lt;=C1854*12)),Paths!$G$174,0),"n.a."))</f>
        <v>0</v>
      </c>
      <c r="J1854" s="16">
        <f>IF(NOT(Paths!$C$174=1),0,IF(Paths!$P$174="Complete",IF(IF(Paths!$E$174=0,C1854=0,AND(C1854&gt;0,Paths!$E$174&gt;(C1854-1)*12,Paths!$E$174&lt;=C1854*12)),Paths!$H$174,0),"n.a."))</f>
        <v>0</v>
      </c>
      <c r="K1854" s="16">
        <f>IF(NOT(Paths!$C$174=1),0,IF(Paths!$P$174="Complete",IF(IF(Paths!$O$174=0,C1854=0,AND(C1854&gt;0,Paths!$O$174&gt;(C1854-1)*12,Paths!$O$174&lt;=C1854*12)),Paths!$N$174,0),"n.a."))</f>
        <v>0</v>
      </c>
      <c r="L1854" s="16">
        <f>IF(NOT(Paths!$C$174=1),0,IF(Paths!$P$174="Complete",IF(C1854=10,Paths!$I$174,0),"n.a."))</f>
        <v>0</v>
      </c>
      <c r="M1854" s="16">
        <f>IF(NOT(Paths!$C$174=1),0,IF(Paths!$P$174="Complete",IF(AND(Paths!$D$174="EV",Paths!$E$174&lt;120,Paths!$E$174+'Operating costs'!$B$65&gt;Paths!$E$174,Paths!$E$174+'Operating costs'!$B$65&lt;=120,IF(Paths!$E$174+'Operating costs'!$B$65=0,C1854=0,AND(C1854&gt;0,Paths!$E$174+'Operating costs'!$B$65&gt;(C1854-1)*12,Paths!$E$174+'Operating costs'!$B$65&lt;=C1854*12))),'Operating costs'!$B$64,0)+IF(AND('Operating costs'!$B$67&gt;0,'Operating costs'!$B$67&lt;=120,OR(Paths!$D$174="ICE",'Operating costs'!$B$67&lt;=Paths!$E$174),IF('Operating costs'!$B$67=0,C1854=0,AND(C1854&gt;0,'Operating costs'!$B$67&gt;(C1854-1)*12,'Operating costs'!$B$67&lt;=C1854*12))),'Operating costs'!$B$66,0),"n.a."))</f>
        <v>0</v>
      </c>
      <c r="N1854" s="16">
        <f>IF(NOT(Paths!$C$174=1),0,IF(Paths!$P$174="Complete",SUM(G1854:I1854)-J1854-K1854-L1854+M1854+IF(C1854=0,Paths!$F$174,0)+IF(IF(Paths!$E$174=0,C1854=0,AND(C1854&gt;0,Paths!$E$174&gt;(C1854-1)*12,Paths!$E$174&lt;=C1854*12)),VLOOKUP(A1854,'Fleet register'!$A$7:$S$106,16,FALSE),0),"n.a."))</f>
        <v>0</v>
      </c>
      <c r="O1854" s="16">
        <f>IF(NOT(Paths!$C$174=1),0,IF(Paths!$P$174="Complete",N1854-IF(C1854=0,Paths!$F$174,0),"n.a."))</f>
        <v>0</v>
      </c>
      <c r="P1854" s="16">
        <f>IF(NOT(Paths!$C$174=1),0,IF(Paths!$P$174="Complete",O1854+L1854,"n.a."))</f>
        <v>0</v>
      </c>
      <c r="Q1854" s="16">
        <f>IF(NOT(Paths!$C$174=1),0,IF(Paths!$P$174="Complete",N1854*(1+'Operating costs'!$B$54)^-C1854,"n.a."))</f>
        <v>0</v>
      </c>
      <c r="R1854" s="16">
        <f>IF(NOT(Paths!$C$174=1),0,IF(Paths!$P$174="Complete",IF(AND(C1854=0,Paths!$E$174=0),I1854-J1854-K1854+VLOOKUP(A1854,'Fleet register'!$A$7:$S$106,15,FALSE)+VLOOKUP(A1854,'Fleet register'!$A$7:$S$106,16,FALSE),0),"n.a."))</f>
        <v>0</v>
      </c>
      <c r="S1854" s="1">
        <f>IF(NOT(Paths!$C$174=1),0,IF(Paths!$P$174="Complete",IF(C1854=0,0,Paths!$S$174*Paths!$R$174),"n.a."))</f>
        <v>0</v>
      </c>
      <c r="T1854" s="1">
        <f>IF(NOT(Paths!$C$174=1),0,IF(Paths!$P$174="Complete",IF(C1854=0,0,VLOOKUP(A1854,'Fleet register'!$A$7:$S$106,9,FALSE)*Paths!$R$174),"n.a."))</f>
        <v>0</v>
      </c>
    </row>
    <row r="1855" spans="1:20" ht="24" customHeight="1">
      <c r="A1855" s="1" t="str">
        <f>Paths!$A$175</f>
        <v>T043</v>
      </c>
      <c r="B1855" s="1">
        <f>Paths!$B$175</f>
        <v>0</v>
      </c>
      <c r="C1855" s="1">
        <v>0</v>
      </c>
      <c r="D1855" s="1">
        <v>175</v>
      </c>
      <c r="E1855" s="1">
        <f>IF(OR(Paths!$C$175=0,C1855=0),0,MAX(0,MIN(C1855*12,Paths!$E$175)-(C1855-1)*12))</f>
        <v>0</v>
      </c>
      <c r="F1855" s="1">
        <f>IF(OR(Paths!$C$175=0,C1855=0),0,12-E1855)</f>
        <v>0</v>
      </c>
      <c r="G1855" s="16">
        <f>IF(NOT(Paths!$C$175=1),0,IF(Paths!$P$175="Complete",E1855/12*(Paths!$J$175*(1+'Operating costs'!$B$51)^MAX(0,C1855-1)+Paths!$K$175*(1+'Operating costs'!$B$53)^MAX(0,C1855-1)),"n.a."))</f>
        <v>0</v>
      </c>
      <c r="H1855" s="16">
        <f>IF(NOT(Paths!$C$175=1),0,IF(Paths!$P$175="Complete",F1855/12*(Paths!$L$175*(1+IF(Paths!$D$175="EV",'Operating costs'!$B$52,'Operating costs'!$B$51))^MAX(0,C1855-1)+Paths!$M$175*(1+'Operating costs'!$B$53)^MAX(0,C1855-1)),"n.a."))</f>
        <v>0</v>
      </c>
      <c r="I1855" s="16">
        <f>IF(NOT(Paths!$C$175=1),0,IF(Paths!$P$175="Complete",IF(IF(Paths!$E$175=0,C1855=0,AND(C1855&gt;0,Paths!$E$175&gt;(C1855-1)*12,Paths!$E$175&lt;=C1855*12)),Paths!$G$175,0),"n.a."))</f>
        <v>0</v>
      </c>
      <c r="J1855" s="16">
        <f>IF(NOT(Paths!$C$175=1),0,IF(Paths!$P$175="Complete",IF(IF(Paths!$E$175=0,C1855=0,AND(C1855&gt;0,Paths!$E$175&gt;(C1855-1)*12,Paths!$E$175&lt;=C1855*12)),Paths!$H$175,0),"n.a."))</f>
        <v>0</v>
      </c>
      <c r="K1855" s="16">
        <f>IF(NOT(Paths!$C$175=1),0,IF(Paths!$P$175="Complete",IF(IF(Paths!$O$175=0,C1855=0,AND(C1855&gt;0,Paths!$O$175&gt;(C1855-1)*12,Paths!$O$175&lt;=C1855*12)),Paths!$N$175,0),"n.a."))</f>
        <v>0</v>
      </c>
      <c r="L1855" s="16">
        <f>IF(NOT(Paths!$C$175=1),0,IF(Paths!$P$175="Complete",IF(C1855=10,Paths!$I$175,0),"n.a."))</f>
        <v>0</v>
      </c>
      <c r="M1855" s="16">
        <f>IF(NOT(Paths!$C$175=1),0,IF(Paths!$P$175="Complete",IF(AND(Paths!$D$175="EV",Paths!$E$175&lt;120,Paths!$E$175+'Operating costs'!$B$65&gt;Paths!$E$175,Paths!$E$175+'Operating costs'!$B$65&lt;=120,IF(Paths!$E$175+'Operating costs'!$B$65=0,C1855=0,AND(C1855&gt;0,Paths!$E$175+'Operating costs'!$B$65&gt;(C1855-1)*12,Paths!$E$175+'Operating costs'!$B$65&lt;=C1855*12))),'Operating costs'!$B$64,0)+IF(AND('Operating costs'!$B$67&gt;0,'Operating costs'!$B$67&lt;=120,OR(Paths!$D$175="ICE",'Operating costs'!$B$67&lt;=Paths!$E$175),IF('Operating costs'!$B$67=0,C1855=0,AND(C1855&gt;0,'Operating costs'!$B$67&gt;(C1855-1)*12,'Operating costs'!$B$67&lt;=C1855*12))),'Operating costs'!$B$66,0),"n.a."))</f>
        <v>0</v>
      </c>
      <c r="N1855" s="16">
        <f>IF(NOT(Paths!$C$175=1),0,IF(Paths!$P$175="Complete",SUM(G1855:I1855)-J1855-K1855-L1855+M1855+IF(C1855=0,Paths!$F$175,0)+IF(IF(Paths!$E$175=0,C1855=0,AND(C1855&gt;0,Paths!$E$175&gt;(C1855-1)*12,Paths!$E$175&lt;=C1855*12)),VLOOKUP(A1855,'Fleet register'!$A$7:$S$106,16,FALSE),0),"n.a."))</f>
        <v>0</v>
      </c>
      <c r="O1855" s="16">
        <f>IF(NOT(Paths!$C$175=1),0,IF(Paths!$P$175="Complete",N1855-IF(C1855=0,Paths!$F$175,0),"n.a."))</f>
        <v>0</v>
      </c>
      <c r="P1855" s="16">
        <f>IF(NOT(Paths!$C$175=1),0,IF(Paths!$P$175="Complete",O1855+L1855,"n.a."))</f>
        <v>0</v>
      </c>
      <c r="Q1855" s="16">
        <f>IF(NOT(Paths!$C$175=1),0,IF(Paths!$P$175="Complete",N1855*(1+'Operating costs'!$B$54)^-C1855,"n.a."))</f>
        <v>0</v>
      </c>
      <c r="R1855" s="16">
        <f>IF(NOT(Paths!$C$175=1),0,IF(Paths!$P$175="Complete",IF(AND(C1855=0,Paths!$E$175=0),I1855-J1855-K1855+VLOOKUP(A1855,'Fleet register'!$A$7:$S$106,15,FALSE)+VLOOKUP(A1855,'Fleet register'!$A$7:$S$106,16,FALSE),0),"n.a."))</f>
        <v>0</v>
      </c>
      <c r="S1855" s="1">
        <f>IF(NOT(Paths!$C$175=1),0,IF(Paths!$P$175="Complete",IF(C1855=0,0,Paths!$S$175*Paths!$R$175),"n.a."))</f>
        <v>0</v>
      </c>
      <c r="T1855" s="1">
        <f>IF(NOT(Paths!$C$175=1),0,IF(Paths!$P$175="Complete",IF(C1855=0,0,VLOOKUP(A1855,'Fleet register'!$A$7:$S$106,9,FALSE)*Paths!$R$175),"n.a."))</f>
        <v>0</v>
      </c>
    </row>
    <row r="1856" spans="1:20" ht="24" customHeight="1">
      <c r="A1856" s="1" t="str">
        <f>Paths!$A$175</f>
        <v>T043</v>
      </c>
      <c r="B1856" s="1">
        <f>Paths!$B$175</f>
        <v>0</v>
      </c>
      <c r="C1856" s="1">
        <v>1</v>
      </c>
      <c r="D1856" s="1">
        <v>175</v>
      </c>
      <c r="E1856" s="1">
        <f>IF(OR(Paths!$C$175=0,C1856=0),0,MAX(0,MIN(C1856*12,Paths!$E$175)-(C1856-1)*12))</f>
        <v>0</v>
      </c>
      <c r="F1856" s="1">
        <f>IF(OR(Paths!$C$175=0,C1856=0),0,12-E1856)</f>
        <v>0</v>
      </c>
      <c r="G1856" s="16">
        <f>IF(NOT(Paths!$C$175=1),0,IF(Paths!$P$175="Complete",E1856/12*(Paths!$J$175*(1+'Operating costs'!$B$51)^MAX(0,C1856-1)+Paths!$K$175*(1+'Operating costs'!$B$53)^MAX(0,C1856-1)),"n.a."))</f>
        <v>0</v>
      </c>
      <c r="H1856" s="16">
        <f>IF(NOT(Paths!$C$175=1),0,IF(Paths!$P$175="Complete",F1856/12*(Paths!$L$175*(1+IF(Paths!$D$175="EV",'Operating costs'!$B$52,'Operating costs'!$B$51))^MAX(0,C1856-1)+Paths!$M$175*(1+'Operating costs'!$B$53)^MAX(0,C1856-1)),"n.a."))</f>
        <v>0</v>
      </c>
      <c r="I1856" s="16">
        <f>IF(NOT(Paths!$C$175=1),0,IF(Paths!$P$175="Complete",IF(IF(Paths!$E$175=0,C1856=0,AND(C1856&gt;0,Paths!$E$175&gt;(C1856-1)*12,Paths!$E$175&lt;=C1856*12)),Paths!$G$175,0),"n.a."))</f>
        <v>0</v>
      </c>
      <c r="J1856" s="16">
        <f>IF(NOT(Paths!$C$175=1),0,IF(Paths!$P$175="Complete",IF(IF(Paths!$E$175=0,C1856=0,AND(C1856&gt;0,Paths!$E$175&gt;(C1856-1)*12,Paths!$E$175&lt;=C1856*12)),Paths!$H$175,0),"n.a."))</f>
        <v>0</v>
      </c>
      <c r="K1856" s="16">
        <f>IF(NOT(Paths!$C$175=1),0,IF(Paths!$P$175="Complete",IF(IF(Paths!$O$175=0,C1856=0,AND(C1856&gt;0,Paths!$O$175&gt;(C1856-1)*12,Paths!$O$175&lt;=C1856*12)),Paths!$N$175,0),"n.a."))</f>
        <v>0</v>
      </c>
      <c r="L1856" s="16">
        <f>IF(NOT(Paths!$C$175=1),0,IF(Paths!$P$175="Complete",IF(C1856=10,Paths!$I$175,0),"n.a."))</f>
        <v>0</v>
      </c>
      <c r="M1856" s="16">
        <f>IF(NOT(Paths!$C$175=1),0,IF(Paths!$P$175="Complete",IF(AND(Paths!$D$175="EV",Paths!$E$175&lt;120,Paths!$E$175+'Operating costs'!$B$65&gt;Paths!$E$175,Paths!$E$175+'Operating costs'!$B$65&lt;=120,IF(Paths!$E$175+'Operating costs'!$B$65=0,C1856=0,AND(C1856&gt;0,Paths!$E$175+'Operating costs'!$B$65&gt;(C1856-1)*12,Paths!$E$175+'Operating costs'!$B$65&lt;=C1856*12))),'Operating costs'!$B$64,0)+IF(AND('Operating costs'!$B$67&gt;0,'Operating costs'!$B$67&lt;=120,OR(Paths!$D$175="ICE",'Operating costs'!$B$67&lt;=Paths!$E$175),IF('Operating costs'!$B$67=0,C1856=0,AND(C1856&gt;0,'Operating costs'!$B$67&gt;(C1856-1)*12,'Operating costs'!$B$67&lt;=C1856*12))),'Operating costs'!$B$66,0),"n.a."))</f>
        <v>0</v>
      </c>
      <c r="N1856" s="16">
        <f>IF(NOT(Paths!$C$175=1),0,IF(Paths!$P$175="Complete",SUM(G1856:I1856)-J1856-K1856-L1856+M1856+IF(C1856=0,Paths!$F$175,0)+IF(IF(Paths!$E$175=0,C1856=0,AND(C1856&gt;0,Paths!$E$175&gt;(C1856-1)*12,Paths!$E$175&lt;=C1856*12)),VLOOKUP(A1856,'Fleet register'!$A$7:$S$106,16,FALSE),0),"n.a."))</f>
        <v>0</v>
      </c>
      <c r="O1856" s="16">
        <f>IF(NOT(Paths!$C$175=1),0,IF(Paths!$P$175="Complete",N1856-IF(C1856=0,Paths!$F$175,0),"n.a."))</f>
        <v>0</v>
      </c>
      <c r="P1856" s="16">
        <f>IF(NOT(Paths!$C$175=1),0,IF(Paths!$P$175="Complete",O1856+L1856,"n.a."))</f>
        <v>0</v>
      </c>
      <c r="Q1856" s="16">
        <f>IF(NOT(Paths!$C$175=1),0,IF(Paths!$P$175="Complete",N1856*(1+'Operating costs'!$B$54)^-C1856,"n.a."))</f>
        <v>0</v>
      </c>
      <c r="R1856" s="16">
        <f>IF(NOT(Paths!$C$175=1),0,IF(Paths!$P$175="Complete",IF(AND(C1856=0,Paths!$E$175=0),I1856-J1856-K1856+VLOOKUP(A1856,'Fleet register'!$A$7:$S$106,15,FALSE)+VLOOKUP(A1856,'Fleet register'!$A$7:$S$106,16,FALSE),0),"n.a."))</f>
        <v>0</v>
      </c>
      <c r="S1856" s="1">
        <f>IF(NOT(Paths!$C$175=1),0,IF(Paths!$P$175="Complete",IF(C1856=0,0,Paths!$S$175*Paths!$R$175),"n.a."))</f>
        <v>0</v>
      </c>
      <c r="T1856" s="1">
        <f>IF(NOT(Paths!$C$175=1),0,IF(Paths!$P$175="Complete",IF(C1856=0,0,VLOOKUP(A1856,'Fleet register'!$A$7:$S$106,9,FALSE)*Paths!$R$175),"n.a."))</f>
        <v>0</v>
      </c>
    </row>
    <row r="1857" spans="1:20" ht="24" customHeight="1">
      <c r="A1857" s="1" t="str">
        <f>Paths!$A$175</f>
        <v>T043</v>
      </c>
      <c r="B1857" s="1">
        <f>Paths!$B$175</f>
        <v>0</v>
      </c>
      <c r="C1857" s="1">
        <v>2</v>
      </c>
      <c r="D1857" s="1">
        <v>175</v>
      </c>
      <c r="E1857" s="1">
        <f>IF(OR(Paths!$C$175=0,C1857=0),0,MAX(0,MIN(C1857*12,Paths!$E$175)-(C1857-1)*12))</f>
        <v>0</v>
      </c>
      <c r="F1857" s="1">
        <f>IF(OR(Paths!$C$175=0,C1857=0),0,12-E1857)</f>
        <v>0</v>
      </c>
      <c r="G1857" s="16">
        <f>IF(NOT(Paths!$C$175=1),0,IF(Paths!$P$175="Complete",E1857/12*(Paths!$J$175*(1+'Operating costs'!$B$51)^MAX(0,C1857-1)+Paths!$K$175*(1+'Operating costs'!$B$53)^MAX(0,C1857-1)),"n.a."))</f>
        <v>0</v>
      </c>
      <c r="H1857" s="16">
        <f>IF(NOT(Paths!$C$175=1),0,IF(Paths!$P$175="Complete",F1857/12*(Paths!$L$175*(1+IF(Paths!$D$175="EV",'Operating costs'!$B$52,'Operating costs'!$B$51))^MAX(0,C1857-1)+Paths!$M$175*(1+'Operating costs'!$B$53)^MAX(0,C1857-1)),"n.a."))</f>
        <v>0</v>
      </c>
      <c r="I1857" s="16">
        <f>IF(NOT(Paths!$C$175=1),0,IF(Paths!$P$175="Complete",IF(IF(Paths!$E$175=0,C1857=0,AND(C1857&gt;0,Paths!$E$175&gt;(C1857-1)*12,Paths!$E$175&lt;=C1857*12)),Paths!$G$175,0),"n.a."))</f>
        <v>0</v>
      </c>
      <c r="J1857" s="16">
        <f>IF(NOT(Paths!$C$175=1),0,IF(Paths!$P$175="Complete",IF(IF(Paths!$E$175=0,C1857=0,AND(C1857&gt;0,Paths!$E$175&gt;(C1857-1)*12,Paths!$E$175&lt;=C1857*12)),Paths!$H$175,0),"n.a."))</f>
        <v>0</v>
      </c>
      <c r="K1857" s="16">
        <f>IF(NOT(Paths!$C$175=1),0,IF(Paths!$P$175="Complete",IF(IF(Paths!$O$175=0,C1857=0,AND(C1857&gt;0,Paths!$O$175&gt;(C1857-1)*12,Paths!$O$175&lt;=C1857*12)),Paths!$N$175,0),"n.a."))</f>
        <v>0</v>
      </c>
      <c r="L1857" s="16">
        <f>IF(NOT(Paths!$C$175=1),0,IF(Paths!$P$175="Complete",IF(C1857=10,Paths!$I$175,0),"n.a."))</f>
        <v>0</v>
      </c>
      <c r="M1857" s="16">
        <f>IF(NOT(Paths!$C$175=1),0,IF(Paths!$P$175="Complete",IF(AND(Paths!$D$175="EV",Paths!$E$175&lt;120,Paths!$E$175+'Operating costs'!$B$65&gt;Paths!$E$175,Paths!$E$175+'Operating costs'!$B$65&lt;=120,IF(Paths!$E$175+'Operating costs'!$B$65=0,C1857=0,AND(C1857&gt;0,Paths!$E$175+'Operating costs'!$B$65&gt;(C1857-1)*12,Paths!$E$175+'Operating costs'!$B$65&lt;=C1857*12))),'Operating costs'!$B$64,0)+IF(AND('Operating costs'!$B$67&gt;0,'Operating costs'!$B$67&lt;=120,OR(Paths!$D$175="ICE",'Operating costs'!$B$67&lt;=Paths!$E$175),IF('Operating costs'!$B$67=0,C1857=0,AND(C1857&gt;0,'Operating costs'!$B$67&gt;(C1857-1)*12,'Operating costs'!$B$67&lt;=C1857*12))),'Operating costs'!$B$66,0),"n.a."))</f>
        <v>0</v>
      </c>
      <c r="N1857" s="16">
        <f>IF(NOT(Paths!$C$175=1),0,IF(Paths!$P$175="Complete",SUM(G1857:I1857)-J1857-K1857-L1857+M1857+IF(C1857=0,Paths!$F$175,0)+IF(IF(Paths!$E$175=0,C1857=0,AND(C1857&gt;0,Paths!$E$175&gt;(C1857-1)*12,Paths!$E$175&lt;=C1857*12)),VLOOKUP(A1857,'Fleet register'!$A$7:$S$106,16,FALSE),0),"n.a."))</f>
        <v>0</v>
      </c>
      <c r="O1857" s="16">
        <f>IF(NOT(Paths!$C$175=1),0,IF(Paths!$P$175="Complete",N1857-IF(C1857=0,Paths!$F$175,0),"n.a."))</f>
        <v>0</v>
      </c>
      <c r="P1857" s="16">
        <f>IF(NOT(Paths!$C$175=1),0,IF(Paths!$P$175="Complete",O1857+L1857,"n.a."))</f>
        <v>0</v>
      </c>
      <c r="Q1857" s="16">
        <f>IF(NOT(Paths!$C$175=1),0,IF(Paths!$P$175="Complete",N1857*(1+'Operating costs'!$B$54)^-C1857,"n.a."))</f>
        <v>0</v>
      </c>
      <c r="R1857" s="16">
        <f>IF(NOT(Paths!$C$175=1),0,IF(Paths!$P$175="Complete",IF(AND(C1857=0,Paths!$E$175=0),I1857-J1857-K1857+VLOOKUP(A1857,'Fleet register'!$A$7:$S$106,15,FALSE)+VLOOKUP(A1857,'Fleet register'!$A$7:$S$106,16,FALSE),0),"n.a."))</f>
        <v>0</v>
      </c>
      <c r="S1857" s="1">
        <f>IF(NOT(Paths!$C$175=1),0,IF(Paths!$P$175="Complete",IF(C1857=0,0,Paths!$S$175*Paths!$R$175),"n.a."))</f>
        <v>0</v>
      </c>
      <c r="T1857" s="1">
        <f>IF(NOT(Paths!$C$175=1),0,IF(Paths!$P$175="Complete",IF(C1857=0,0,VLOOKUP(A1857,'Fleet register'!$A$7:$S$106,9,FALSE)*Paths!$R$175),"n.a."))</f>
        <v>0</v>
      </c>
    </row>
    <row r="1858" spans="1:20" ht="24" customHeight="1">
      <c r="A1858" s="1" t="str">
        <f>Paths!$A$175</f>
        <v>T043</v>
      </c>
      <c r="B1858" s="1">
        <f>Paths!$B$175</f>
        <v>0</v>
      </c>
      <c r="C1858" s="1">
        <v>3</v>
      </c>
      <c r="D1858" s="1">
        <v>175</v>
      </c>
      <c r="E1858" s="1">
        <f>IF(OR(Paths!$C$175=0,C1858=0),0,MAX(0,MIN(C1858*12,Paths!$E$175)-(C1858-1)*12))</f>
        <v>0</v>
      </c>
      <c r="F1858" s="1">
        <f>IF(OR(Paths!$C$175=0,C1858=0),0,12-E1858)</f>
        <v>0</v>
      </c>
      <c r="G1858" s="16">
        <f>IF(NOT(Paths!$C$175=1),0,IF(Paths!$P$175="Complete",E1858/12*(Paths!$J$175*(1+'Operating costs'!$B$51)^MAX(0,C1858-1)+Paths!$K$175*(1+'Operating costs'!$B$53)^MAX(0,C1858-1)),"n.a."))</f>
        <v>0</v>
      </c>
      <c r="H1858" s="16">
        <f>IF(NOT(Paths!$C$175=1),0,IF(Paths!$P$175="Complete",F1858/12*(Paths!$L$175*(1+IF(Paths!$D$175="EV",'Operating costs'!$B$52,'Operating costs'!$B$51))^MAX(0,C1858-1)+Paths!$M$175*(1+'Operating costs'!$B$53)^MAX(0,C1858-1)),"n.a."))</f>
        <v>0</v>
      </c>
      <c r="I1858" s="16">
        <f>IF(NOT(Paths!$C$175=1),0,IF(Paths!$P$175="Complete",IF(IF(Paths!$E$175=0,C1858=0,AND(C1858&gt;0,Paths!$E$175&gt;(C1858-1)*12,Paths!$E$175&lt;=C1858*12)),Paths!$G$175,0),"n.a."))</f>
        <v>0</v>
      </c>
      <c r="J1858" s="16">
        <f>IF(NOT(Paths!$C$175=1),0,IF(Paths!$P$175="Complete",IF(IF(Paths!$E$175=0,C1858=0,AND(C1858&gt;0,Paths!$E$175&gt;(C1858-1)*12,Paths!$E$175&lt;=C1858*12)),Paths!$H$175,0),"n.a."))</f>
        <v>0</v>
      </c>
      <c r="K1858" s="16">
        <f>IF(NOT(Paths!$C$175=1),0,IF(Paths!$P$175="Complete",IF(IF(Paths!$O$175=0,C1858=0,AND(C1858&gt;0,Paths!$O$175&gt;(C1858-1)*12,Paths!$O$175&lt;=C1858*12)),Paths!$N$175,0),"n.a."))</f>
        <v>0</v>
      </c>
      <c r="L1858" s="16">
        <f>IF(NOT(Paths!$C$175=1),0,IF(Paths!$P$175="Complete",IF(C1858=10,Paths!$I$175,0),"n.a."))</f>
        <v>0</v>
      </c>
      <c r="M1858" s="16">
        <f>IF(NOT(Paths!$C$175=1),0,IF(Paths!$P$175="Complete",IF(AND(Paths!$D$175="EV",Paths!$E$175&lt;120,Paths!$E$175+'Operating costs'!$B$65&gt;Paths!$E$175,Paths!$E$175+'Operating costs'!$B$65&lt;=120,IF(Paths!$E$175+'Operating costs'!$B$65=0,C1858=0,AND(C1858&gt;0,Paths!$E$175+'Operating costs'!$B$65&gt;(C1858-1)*12,Paths!$E$175+'Operating costs'!$B$65&lt;=C1858*12))),'Operating costs'!$B$64,0)+IF(AND('Operating costs'!$B$67&gt;0,'Operating costs'!$B$67&lt;=120,OR(Paths!$D$175="ICE",'Operating costs'!$B$67&lt;=Paths!$E$175),IF('Operating costs'!$B$67=0,C1858=0,AND(C1858&gt;0,'Operating costs'!$B$67&gt;(C1858-1)*12,'Operating costs'!$B$67&lt;=C1858*12))),'Operating costs'!$B$66,0),"n.a."))</f>
        <v>0</v>
      </c>
      <c r="N1858" s="16">
        <f>IF(NOT(Paths!$C$175=1),0,IF(Paths!$P$175="Complete",SUM(G1858:I1858)-J1858-K1858-L1858+M1858+IF(C1858=0,Paths!$F$175,0)+IF(IF(Paths!$E$175=0,C1858=0,AND(C1858&gt;0,Paths!$E$175&gt;(C1858-1)*12,Paths!$E$175&lt;=C1858*12)),VLOOKUP(A1858,'Fleet register'!$A$7:$S$106,16,FALSE),0),"n.a."))</f>
        <v>0</v>
      </c>
      <c r="O1858" s="16">
        <f>IF(NOT(Paths!$C$175=1),0,IF(Paths!$P$175="Complete",N1858-IF(C1858=0,Paths!$F$175,0),"n.a."))</f>
        <v>0</v>
      </c>
      <c r="P1858" s="16">
        <f>IF(NOT(Paths!$C$175=1),0,IF(Paths!$P$175="Complete",O1858+L1858,"n.a."))</f>
        <v>0</v>
      </c>
      <c r="Q1858" s="16">
        <f>IF(NOT(Paths!$C$175=1),0,IF(Paths!$P$175="Complete",N1858*(1+'Operating costs'!$B$54)^-C1858,"n.a."))</f>
        <v>0</v>
      </c>
      <c r="R1858" s="16">
        <f>IF(NOT(Paths!$C$175=1),0,IF(Paths!$P$175="Complete",IF(AND(C1858=0,Paths!$E$175=0),I1858-J1858-K1858+VLOOKUP(A1858,'Fleet register'!$A$7:$S$106,15,FALSE)+VLOOKUP(A1858,'Fleet register'!$A$7:$S$106,16,FALSE),0),"n.a."))</f>
        <v>0</v>
      </c>
      <c r="S1858" s="1">
        <f>IF(NOT(Paths!$C$175=1),0,IF(Paths!$P$175="Complete",IF(C1858=0,0,Paths!$S$175*Paths!$R$175),"n.a."))</f>
        <v>0</v>
      </c>
      <c r="T1858" s="1">
        <f>IF(NOT(Paths!$C$175=1),0,IF(Paths!$P$175="Complete",IF(C1858=0,0,VLOOKUP(A1858,'Fleet register'!$A$7:$S$106,9,FALSE)*Paths!$R$175),"n.a."))</f>
        <v>0</v>
      </c>
    </row>
    <row r="1859" spans="1:20" ht="24" customHeight="1">
      <c r="A1859" s="1" t="str">
        <f>Paths!$A$175</f>
        <v>T043</v>
      </c>
      <c r="B1859" s="1">
        <f>Paths!$B$175</f>
        <v>0</v>
      </c>
      <c r="C1859" s="1">
        <v>4</v>
      </c>
      <c r="D1859" s="1">
        <v>175</v>
      </c>
      <c r="E1859" s="1">
        <f>IF(OR(Paths!$C$175=0,C1859=0),0,MAX(0,MIN(C1859*12,Paths!$E$175)-(C1859-1)*12))</f>
        <v>0</v>
      </c>
      <c r="F1859" s="1">
        <f>IF(OR(Paths!$C$175=0,C1859=0),0,12-E1859)</f>
        <v>0</v>
      </c>
      <c r="G1859" s="16">
        <f>IF(NOT(Paths!$C$175=1),0,IF(Paths!$P$175="Complete",E1859/12*(Paths!$J$175*(1+'Operating costs'!$B$51)^MAX(0,C1859-1)+Paths!$K$175*(1+'Operating costs'!$B$53)^MAX(0,C1859-1)),"n.a."))</f>
        <v>0</v>
      </c>
      <c r="H1859" s="16">
        <f>IF(NOT(Paths!$C$175=1),0,IF(Paths!$P$175="Complete",F1859/12*(Paths!$L$175*(1+IF(Paths!$D$175="EV",'Operating costs'!$B$52,'Operating costs'!$B$51))^MAX(0,C1859-1)+Paths!$M$175*(1+'Operating costs'!$B$53)^MAX(0,C1859-1)),"n.a."))</f>
        <v>0</v>
      </c>
      <c r="I1859" s="16">
        <f>IF(NOT(Paths!$C$175=1),0,IF(Paths!$P$175="Complete",IF(IF(Paths!$E$175=0,C1859=0,AND(C1859&gt;0,Paths!$E$175&gt;(C1859-1)*12,Paths!$E$175&lt;=C1859*12)),Paths!$G$175,0),"n.a."))</f>
        <v>0</v>
      </c>
      <c r="J1859" s="16">
        <f>IF(NOT(Paths!$C$175=1),0,IF(Paths!$P$175="Complete",IF(IF(Paths!$E$175=0,C1859=0,AND(C1859&gt;0,Paths!$E$175&gt;(C1859-1)*12,Paths!$E$175&lt;=C1859*12)),Paths!$H$175,0),"n.a."))</f>
        <v>0</v>
      </c>
      <c r="K1859" s="16">
        <f>IF(NOT(Paths!$C$175=1),0,IF(Paths!$P$175="Complete",IF(IF(Paths!$O$175=0,C1859=0,AND(C1859&gt;0,Paths!$O$175&gt;(C1859-1)*12,Paths!$O$175&lt;=C1859*12)),Paths!$N$175,0),"n.a."))</f>
        <v>0</v>
      </c>
      <c r="L1859" s="16">
        <f>IF(NOT(Paths!$C$175=1),0,IF(Paths!$P$175="Complete",IF(C1859=10,Paths!$I$175,0),"n.a."))</f>
        <v>0</v>
      </c>
      <c r="M1859" s="16">
        <f>IF(NOT(Paths!$C$175=1),0,IF(Paths!$P$175="Complete",IF(AND(Paths!$D$175="EV",Paths!$E$175&lt;120,Paths!$E$175+'Operating costs'!$B$65&gt;Paths!$E$175,Paths!$E$175+'Operating costs'!$B$65&lt;=120,IF(Paths!$E$175+'Operating costs'!$B$65=0,C1859=0,AND(C1859&gt;0,Paths!$E$175+'Operating costs'!$B$65&gt;(C1859-1)*12,Paths!$E$175+'Operating costs'!$B$65&lt;=C1859*12))),'Operating costs'!$B$64,0)+IF(AND('Operating costs'!$B$67&gt;0,'Operating costs'!$B$67&lt;=120,OR(Paths!$D$175="ICE",'Operating costs'!$B$67&lt;=Paths!$E$175),IF('Operating costs'!$B$67=0,C1859=0,AND(C1859&gt;0,'Operating costs'!$B$67&gt;(C1859-1)*12,'Operating costs'!$B$67&lt;=C1859*12))),'Operating costs'!$B$66,0),"n.a."))</f>
        <v>0</v>
      </c>
      <c r="N1859" s="16">
        <f>IF(NOT(Paths!$C$175=1),0,IF(Paths!$P$175="Complete",SUM(G1859:I1859)-J1859-K1859-L1859+M1859+IF(C1859=0,Paths!$F$175,0)+IF(IF(Paths!$E$175=0,C1859=0,AND(C1859&gt;0,Paths!$E$175&gt;(C1859-1)*12,Paths!$E$175&lt;=C1859*12)),VLOOKUP(A1859,'Fleet register'!$A$7:$S$106,16,FALSE),0),"n.a."))</f>
        <v>0</v>
      </c>
      <c r="O1859" s="16">
        <f>IF(NOT(Paths!$C$175=1),0,IF(Paths!$P$175="Complete",N1859-IF(C1859=0,Paths!$F$175,0),"n.a."))</f>
        <v>0</v>
      </c>
      <c r="P1859" s="16">
        <f>IF(NOT(Paths!$C$175=1),0,IF(Paths!$P$175="Complete",O1859+L1859,"n.a."))</f>
        <v>0</v>
      </c>
      <c r="Q1859" s="16">
        <f>IF(NOT(Paths!$C$175=1),0,IF(Paths!$P$175="Complete",N1859*(1+'Operating costs'!$B$54)^-C1859,"n.a."))</f>
        <v>0</v>
      </c>
      <c r="R1859" s="16">
        <f>IF(NOT(Paths!$C$175=1),0,IF(Paths!$P$175="Complete",IF(AND(C1859=0,Paths!$E$175=0),I1859-J1859-K1859+VLOOKUP(A1859,'Fleet register'!$A$7:$S$106,15,FALSE)+VLOOKUP(A1859,'Fleet register'!$A$7:$S$106,16,FALSE),0),"n.a."))</f>
        <v>0</v>
      </c>
      <c r="S1859" s="1">
        <f>IF(NOT(Paths!$C$175=1),0,IF(Paths!$P$175="Complete",IF(C1859=0,0,Paths!$S$175*Paths!$R$175),"n.a."))</f>
        <v>0</v>
      </c>
      <c r="T1859" s="1">
        <f>IF(NOT(Paths!$C$175=1),0,IF(Paths!$P$175="Complete",IF(C1859=0,0,VLOOKUP(A1859,'Fleet register'!$A$7:$S$106,9,FALSE)*Paths!$R$175),"n.a."))</f>
        <v>0</v>
      </c>
    </row>
    <row r="1860" spans="1:20" ht="24" customHeight="1">
      <c r="A1860" s="1" t="str">
        <f>Paths!$A$175</f>
        <v>T043</v>
      </c>
      <c r="B1860" s="1">
        <f>Paths!$B$175</f>
        <v>0</v>
      </c>
      <c r="C1860" s="1">
        <v>5</v>
      </c>
      <c r="D1860" s="1">
        <v>175</v>
      </c>
      <c r="E1860" s="1">
        <f>IF(OR(Paths!$C$175=0,C1860=0),0,MAX(0,MIN(C1860*12,Paths!$E$175)-(C1860-1)*12))</f>
        <v>0</v>
      </c>
      <c r="F1860" s="1">
        <f>IF(OR(Paths!$C$175=0,C1860=0),0,12-E1860)</f>
        <v>0</v>
      </c>
      <c r="G1860" s="16">
        <f>IF(NOT(Paths!$C$175=1),0,IF(Paths!$P$175="Complete",E1860/12*(Paths!$J$175*(1+'Operating costs'!$B$51)^MAX(0,C1860-1)+Paths!$K$175*(1+'Operating costs'!$B$53)^MAX(0,C1860-1)),"n.a."))</f>
        <v>0</v>
      </c>
      <c r="H1860" s="16">
        <f>IF(NOT(Paths!$C$175=1),0,IF(Paths!$P$175="Complete",F1860/12*(Paths!$L$175*(1+IF(Paths!$D$175="EV",'Operating costs'!$B$52,'Operating costs'!$B$51))^MAX(0,C1860-1)+Paths!$M$175*(1+'Operating costs'!$B$53)^MAX(0,C1860-1)),"n.a."))</f>
        <v>0</v>
      </c>
      <c r="I1860" s="16">
        <f>IF(NOT(Paths!$C$175=1),0,IF(Paths!$P$175="Complete",IF(IF(Paths!$E$175=0,C1860=0,AND(C1860&gt;0,Paths!$E$175&gt;(C1860-1)*12,Paths!$E$175&lt;=C1860*12)),Paths!$G$175,0),"n.a."))</f>
        <v>0</v>
      </c>
      <c r="J1860" s="16">
        <f>IF(NOT(Paths!$C$175=1),0,IF(Paths!$P$175="Complete",IF(IF(Paths!$E$175=0,C1860=0,AND(C1860&gt;0,Paths!$E$175&gt;(C1860-1)*12,Paths!$E$175&lt;=C1860*12)),Paths!$H$175,0),"n.a."))</f>
        <v>0</v>
      </c>
      <c r="K1860" s="16">
        <f>IF(NOT(Paths!$C$175=1),0,IF(Paths!$P$175="Complete",IF(IF(Paths!$O$175=0,C1860=0,AND(C1860&gt;0,Paths!$O$175&gt;(C1860-1)*12,Paths!$O$175&lt;=C1860*12)),Paths!$N$175,0),"n.a."))</f>
        <v>0</v>
      </c>
      <c r="L1860" s="16">
        <f>IF(NOT(Paths!$C$175=1),0,IF(Paths!$P$175="Complete",IF(C1860=10,Paths!$I$175,0),"n.a."))</f>
        <v>0</v>
      </c>
      <c r="M1860" s="16">
        <f>IF(NOT(Paths!$C$175=1),0,IF(Paths!$P$175="Complete",IF(AND(Paths!$D$175="EV",Paths!$E$175&lt;120,Paths!$E$175+'Operating costs'!$B$65&gt;Paths!$E$175,Paths!$E$175+'Operating costs'!$B$65&lt;=120,IF(Paths!$E$175+'Operating costs'!$B$65=0,C1860=0,AND(C1860&gt;0,Paths!$E$175+'Operating costs'!$B$65&gt;(C1860-1)*12,Paths!$E$175+'Operating costs'!$B$65&lt;=C1860*12))),'Operating costs'!$B$64,0)+IF(AND('Operating costs'!$B$67&gt;0,'Operating costs'!$B$67&lt;=120,OR(Paths!$D$175="ICE",'Operating costs'!$B$67&lt;=Paths!$E$175),IF('Operating costs'!$B$67=0,C1860=0,AND(C1860&gt;0,'Operating costs'!$B$67&gt;(C1860-1)*12,'Operating costs'!$B$67&lt;=C1860*12))),'Operating costs'!$B$66,0),"n.a."))</f>
        <v>0</v>
      </c>
      <c r="N1860" s="16">
        <f>IF(NOT(Paths!$C$175=1),0,IF(Paths!$P$175="Complete",SUM(G1860:I1860)-J1860-K1860-L1860+M1860+IF(C1860=0,Paths!$F$175,0)+IF(IF(Paths!$E$175=0,C1860=0,AND(C1860&gt;0,Paths!$E$175&gt;(C1860-1)*12,Paths!$E$175&lt;=C1860*12)),VLOOKUP(A1860,'Fleet register'!$A$7:$S$106,16,FALSE),0),"n.a."))</f>
        <v>0</v>
      </c>
      <c r="O1860" s="16">
        <f>IF(NOT(Paths!$C$175=1),0,IF(Paths!$P$175="Complete",N1860-IF(C1860=0,Paths!$F$175,0),"n.a."))</f>
        <v>0</v>
      </c>
      <c r="P1860" s="16">
        <f>IF(NOT(Paths!$C$175=1),0,IF(Paths!$P$175="Complete",O1860+L1860,"n.a."))</f>
        <v>0</v>
      </c>
      <c r="Q1860" s="16">
        <f>IF(NOT(Paths!$C$175=1),0,IF(Paths!$P$175="Complete",N1860*(1+'Operating costs'!$B$54)^-C1860,"n.a."))</f>
        <v>0</v>
      </c>
      <c r="R1860" s="16">
        <f>IF(NOT(Paths!$C$175=1),0,IF(Paths!$P$175="Complete",IF(AND(C1860=0,Paths!$E$175=0),I1860-J1860-K1860+VLOOKUP(A1860,'Fleet register'!$A$7:$S$106,15,FALSE)+VLOOKUP(A1860,'Fleet register'!$A$7:$S$106,16,FALSE),0),"n.a."))</f>
        <v>0</v>
      </c>
      <c r="S1860" s="1">
        <f>IF(NOT(Paths!$C$175=1),0,IF(Paths!$P$175="Complete",IF(C1860=0,0,Paths!$S$175*Paths!$R$175),"n.a."))</f>
        <v>0</v>
      </c>
      <c r="T1860" s="1">
        <f>IF(NOT(Paths!$C$175=1),0,IF(Paths!$P$175="Complete",IF(C1860=0,0,VLOOKUP(A1860,'Fleet register'!$A$7:$S$106,9,FALSE)*Paths!$R$175),"n.a."))</f>
        <v>0</v>
      </c>
    </row>
    <row r="1861" spans="1:20" ht="24" customHeight="1">
      <c r="A1861" s="1" t="str">
        <f>Paths!$A$175</f>
        <v>T043</v>
      </c>
      <c r="B1861" s="1">
        <f>Paths!$B$175</f>
        <v>0</v>
      </c>
      <c r="C1861" s="1">
        <v>6</v>
      </c>
      <c r="D1861" s="1">
        <v>175</v>
      </c>
      <c r="E1861" s="1">
        <f>IF(OR(Paths!$C$175=0,C1861=0),0,MAX(0,MIN(C1861*12,Paths!$E$175)-(C1861-1)*12))</f>
        <v>0</v>
      </c>
      <c r="F1861" s="1">
        <f>IF(OR(Paths!$C$175=0,C1861=0),0,12-E1861)</f>
        <v>0</v>
      </c>
      <c r="G1861" s="16">
        <f>IF(NOT(Paths!$C$175=1),0,IF(Paths!$P$175="Complete",E1861/12*(Paths!$J$175*(1+'Operating costs'!$B$51)^MAX(0,C1861-1)+Paths!$K$175*(1+'Operating costs'!$B$53)^MAX(0,C1861-1)),"n.a."))</f>
        <v>0</v>
      </c>
      <c r="H1861" s="16">
        <f>IF(NOT(Paths!$C$175=1),0,IF(Paths!$P$175="Complete",F1861/12*(Paths!$L$175*(1+IF(Paths!$D$175="EV",'Operating costs'!$B$52,'Operating costs'!$B$51))^MAX(0,C1861-1)+Paths!$M$175*(1+'Operating costs'!$B$53)^MAX(0,C1861-1)),"n.a."))</f>
        <v>0</v>
      </c>
      <c r="I1861" s="16">
        <f>IF(NOT(Paths!$C$175=1),0,IF(Paths!$P$175="Complete",IF(IF(Paths!$E$175=0,C1861=0,AND(C1861&gt;0,Paths!$E$175&gt;(C1861-1)*12,Paths!$E$175&lt;=C1861*12)),Paths!$G$175,0),"n.a."))</f>
        <v>0</v>
      </c>
      <c r="J1861" s="16">
        <f>IF(NOT(Paths!$C$175=1),0,IF(Paths!$P$175="Complete",IF(IF(Paths!$E$175=0,C1861=0,AND(C1861&gt;0,Paths!$E$175&gt;(C1861-1)*12,Paths!$E$175&lt;=C1861*12)),Paths!$H$175,0),"n.a."))</f>
        <v>0</v>
      </c>
      <c r="K1861" s="16">
        <f>IF(NOT(Paths!$C$175=1),0,IF(Paths!$P$175="Complete",IF(IF(Paths!$O$175=0,C1861=0,AND(C1861&gt;0,Paths!$O$175&gt;(C1861-1)*12,Paths!$O$175&lt;=C1861*12)),Paths!$N$175,0),"n.a."))</f>
        <v>0</v>
      </c>
      <c r="L1861" s="16">
        <f>IF(NOT(Paths!$C$175=1),0,IF(Paths!$P$175="Complete",IF(C1861=10,Paths!$I$175,0),"n.a."))</f>
        <v>0</v>
      </c>
      <c r="M1861" s="16">
        <f>IF(NOT(Paths!$C$175=1),0,IF(Paths!$P$175="Complete",IF(AND(Paths!$D$175="EV",Paths!$E$175&lt;120,Paths!$E$175+'Operating costs'!$B$65&gt;Paths!$E$175,Paths!$E$175+'Operating costs'!$B$65&lt;=120,IF(Paths!$E$175+'Operating costs'!$B$65=0,C1861=0,AND(C1861&gt;0,Paths!$E$175+'Operating costs'!$B$65&gt;(C1861-1)*12,Paths!$E$175+'Operating costs'!$B$65&lt;=C1861*12))),'Operating costs'!$B$64,0)+IF(AND('Operating costs'!$B$67&gt;0,'Operating costs'!$B$67&lt;=120,OR(Paths!$D$175="ICE",'Operating costs'!$B$67&lt;=Paths!$E$175),IF('Operating costs'!$B$67=0,C1861=0,AND(C1861&gt;0,'Operating costs'!$B$67&gt;(C1861-1)*12,'Operating costs'!$B$67&lt;=C1861*12))),'Operating costs'!$B$66,0),"n.a."))</f>
        <v>0</v>
      </c>
      <c r="N1861" s="16">
        <f>IF(NOT(Paths!$C$175=1),0,IF(Paths!$P$175="Complete",SUM(G1861:I1861)-J1861-K1861-L1861+M1861+IF(C1861=0,Paths!$F$175,0)+IF(IF(Paths!$E$175=0,C1861=0,AND(C1861&gt;0,Paths!$E$175&gt;(C1861-1)*12,Paths!$E$175&lt;=C1861*12)),VLOOKUP(A1861,'Fleet register'!$A$7:$S$106,16,FALSE),0),"n.a."))</f>
        <v>0</v>
      </c>
      <c r="O1861" s="16">
        <f>IF(NOT(Paths!$C$175=1),0,IF(Paths!$P$175="Complete",N1861-IF(C1861=0,Paths!$F$175,0),"n.a."))</f>
        <v>0</v>
      </c>
      <c r="P1861" s="16">
        <f>IF(NOT(Paths!$C$175=1),0,IF(Paths!$P$175="Complete",O1861+L1861,"n.a."))</f>
        <v>0</v>
      </c>
      <c r="Q1861" s="16">
        <f>IF(NOT(Paths!$C$175=1),0,IF(Paths!$P$175="Complete",N1861*(1+'Operating costs'!$B$54)^-C1861,"n.a."))</f>
        <v>0</v>
      </c>
      <c r="R1861" s="16">
        <f>IF(NOT(Paths!$C$175=1),0,IF(Paths!$P$175="Complete",IF(AND(C1861=0,Paths!$E$175=0),I1861-J1861-K1861+VLOOKUP(A1861,'Fleet register'!$A$7:$S$106,15,FALSE)+VLOOKUP(A1861,'Fleet register'!$A$7:$S$106,16,FALSE),0),"n.a."))</f>
        <v>0</v>
      </c>
      <c r="S1861" s="1">
        <f>IF(NOT(Paths!$C$175=1),0,IF(Paths!$P$175="Complete",IF(C1861=0,0,Paths!$S$175*Paths!$R$175),"n.a."))</f>
        <v>0</v>
      </c>
      <c r="T1861" s="1">
        <f>IF(NOT(Paths!$C$175=1),0,IF(Paths!$P$175="Complete",IF(C1861=0,0,VLOOKUP(A1861,'Fleet register'!$A$7:$S$106,9,FALSE)*Paths!$R$175),"n.a."))</f>
        <v>0</v>
      </c>
    </row>
    <row r="1862" spans="1:20" ht="24" customHeight="1">
      <c r="A1862" s="1" t="str">
        <f>Paths!$A$175</f>
        <v>T043</v>
      </c>
      <c r="B1862" s="1">
        <f>Paths!$B$175</f>
        <v>0</v>
      </c>
      <c r="C1862" s="1">
        <v>7</v>
      </c>
      <c r="D1862" s="1">
        <v>175</v>
      </c>
      <c r="E1862" s="1">
        <f>IF(OR(Paths!$C$175=0,C1862=0),0,MAX(0,MIN(C1862*12,Paths!$E$175)-(C1862-1)*12))</f>
        <v>0</v>
      </c>
      <c r="F1862" s="1">
        <f>IF(OR(Paths!$C$175=0,C1862=0),0,12-E1862)</f>
        <v>0</v>
      </c>
      <c r="G1862" s="16">
        <f>IF(NOT(Paths!$C$175=1),0,IF(Paths!$P$175="Complete",E1862/12*(Paths!$J$175*(1+'Operating costs'!$B$51)^MAX(0,C1862-1)+Paths!$K$175*(1+'Operating costs'!$B$53)^MAX(0,C1862-1)),"n.a."))</f>
        <v>0</v>
      </c>
      <c r="H1862" s="16">
        <f>IF(NOT(Paths!$C$175=1),0,IF(Paths!$P$175="Complete",F1862/12*(Paths!$L$175*(1+IF(Paths!$D$175="EV",'Operating costs'!$B$52,'Operating costs'!$B$51))^MAX(0,C1862-1)+Paths!$M$175*(1+'Operating costs'!$B$53)^MAX(0,C1862-1)),"n.a."))</f>
        <v>0</v>
      </c>
      <c r="I1862" s="16">
        <f>IF(NOT(Paths!$C$175=1),0,IF(Paths!$P$175="Complete",IF(IF(Paths!$E$175=0,C1862=0,AND(C1862&gt;0,Paths!$E$175&gt;(C1862-1)*12,Paths!$E$175&lt;=C1862*12)),Paths!$G$175,0),"n.a."))</f>
        <v>0</v>
      </c>
      <c r="J1862" s="16">
        <f>IF(NOT(Paths!$C$175=1),0,IF(Paths!$P$175="Complete",IF(IF(Paths!$E$175=0,C1862=0,AND(C1862&gt;0,Paths!$E$175&gt;(C1862-1)*12,Paths!$E$175&lt;=C1862*12)),Paths!$H$175,0),"n.a."))</f>
        <v>0</v>
      </c>
      <c r="K1862" s="16">
        <f>IF(NOT(Paths!$C$175=1),0,IF(Paths!$P$175="Complete",IF(IF(Paths!$O$175=0,C1862=0,AND(C1862&gt;0,Paths!$O$175&gt;(C1862-1)*12,Paths!$O$175&lt;=C1862*12)),Paths!$N$175,0),"n.a."))</f>
        <v>0</v>
      </c>
      <c r="L1862" s="16">
        <f>IF(NOT(Paths!$C$175=1),0,IF(Paths!$P$175="Complete",IF(C1862=10,Paths!$I$175,0),"n.a."))</f>
        <v>0</v>
      </c>
      <c r="M1862" s="16">
        <f>IF(NOT(Paths!$C$175=1),0,IF(Paths!$P$175="Complete",IF(AND(Paths!$D$175="EV",Paths!$E$175&lt;120,Paths!$E$175+'Operating costs'!$B$65&gt;Paths!$E$175,Paths!$E$175+'Operating costs'!$B$65&lt;=120,IF(Paths!$E$175+'Operating costs'!$B$65=0,C1862=0,AND(C1862&gt;0,Paths!$E$175+'Operating costs'!$B$65&gt;(C1862-1)*12,Paths!$E$175+'Operating costs'!$B$65&lt;=C1862*12))),'Operating costs'!$B$64,0)+IF(AND('Operating costs'!$B$67&gt;0,'Operating costs'!$B$67&lt;=120,OR(Paths!$D$175="ICE",'Operating costs'!$B$67&lt;=Paths!$E$175),IF('Operating costs'!$B$67=0,C1862=0,AND(C1862&gt;0,'Operating costs'!$B$67&gt;(C1862-1)*12,'Operating costs'!$B$67&lt;=C1862*12))),'Operating costs'!$B$66,0),"n.a."))</f>
        <v>0</v>
      </c>
      <c r="N1862" s="16">
        <f>IF(NOT(Paths!$C$175=1),0,IF(Paths!$P$175="Complete",SUM(G1862:I1862)-J1862-K1862-L1862+M1862+IF(C1862=0,Paths!$F$175,0)+IF(IF(Paths!$E$175=0,C1862=0,AND(C1862&gt;0,Paths!$E$175&gt;(C1862-1)*12,Paths!$E$175&lt;=C1862*12)),VLOOKUP(A1862,'Fleet register'!$A$7:$S$106,16,FALSE),0),"n.a."))</f>
        <v>0</v>
      </c>
      <c r="O1862" s="16">
        <f>IF(NOT(Paths!$C$175=1),0,IF(Paths!$P$175="Complete",N1862-IF(C1862=0,Paths!$F$175,0),"n.a."))</f>
        <v>0</v>
      </c>
      <c r="P1862" s="16">
        <f>IF(NOT(Paths!$C$175=1),0,IF(Paths!$P$175="Complete",O1862+L1862,"n.a."))</f>
        <v>0</v>
      </c>
      <c r="Q1862" s="16">
        <f>IF(NOT(Paths!$C$175=1),0,IF(Paths!$P$175="Complete",N1862*(1+'Operating costs'!$B$54)^-C1862,"n.a."))</f>
        <v>0</v>
      </c>
      <c r="R1862" s="16">
        <f>IF(NOT(Paths!$C$175=1),0,IF(Paths!$P$175="Complete",IF(AND(C1862=0,Paths!$E$175=0),I1862-J1862-K1862+VLOOKUP(A1862,'Fleet register'!$A$7:$S$106,15,FALSE)+VLOOKUP(A1862,'Fleet register'!$A$7:$S$106,16,FALSE),0),"n.a."))</f>
        <v>0</v>
      </c>
      <c r="S1862" s="1">
        <f>IF(NOT(Paths!$C$175=1),0,IF(Paths!$P$175="Complete",IF(C1862=0,0,Paths!$S$175*Paths!$R$175),"n.a."))</f>
        <v>0</v>
      </c>
      <c r="T1862" s="1">
        <f>IF(NOT(Paths!$C$175=1),0,IF(Paths!$P$175="Complete",IF(C1862=0,0,VLOOKUP(A1862,'Fleet register'!$A$7:$S$106,9,FALSE)*Paths!$R$175),"n.a."))</f>
        <v>0</v>
      </c>
    </row>
    <row r="1863" spans="1:20" ht="24" customHeight="1">
      <c r="A1863" s="1" t="str">
        <f>Paths!$A$175</f>
        <v>T043</v>
      </c>
      <c r="B1863" s="1">
        <f>Paths!$B$175</f>
        <v>0</v>
      </c>
      <c r="C1863" s="1">
        <v>8</v>
      </c>
      <c r="D1863" s="1">
        <v>175</v>
      </c>
      <c r="E1863" s="1">
        <f>IF(OR(Paths!$C$175=0,C1863=0),0,MAX(0,MIN(C1863*12,Paths!$E$175)-(C1863-1)*12))</f>
        <v>0</v>
      </c>
      <c r="F1863" s="1">
        <f>IF(OR(Paths!$C$175=0,C1863=0),0,12-E1863)</f>
        <v>0</v>
      </c>
      <c r="G1863" s="16">
        <f>IF(NOT(Paths!$C$175=1),0,IF(Paths!$P$175="Complete",E1863/12*(Paths!$J$175*(1+'Operating costs'!$B$51)^MAX(0,C1863-1)+Paths!$K$175*(1+'Operating costs'!$B$53)^MAX(0,C1863-1)),"n.a."))</f>
        <v>0</v>
      </c>
      <c r="H1863" s="16">
        <f>IF(NOT(Paths!$C$175=1),0,IF(Paths!$P$175="Complete",F1863/12*(Paths!$L$175*(1+IF(Paths!$D$175="EV",'Operating costs'!$B$52,'Operating costs'!$B$51))^MAX(0,C1863-1)+Paths!$M$175*(1+'Operating costs'!$B$53)^MAX(0,C1863-1)),"n.a."))</f>
        <v>0</v>
      </c>
      <c r="I1863" s="16">
        <f>IF(NOT(Paths!$C$175=1),0,IF(Paths!$P$175="Complete",IF(IF(Paths!$E$175=0,C1863=0,AND(C1863&gt;0,Paths!$E$175&gt;(C1863-1)*12,Paths!$E$175&lt;=C1863*12)),Paths!$G$175,0),"n.a."))</f>
        <v>0</v>
      </c>
      <c r="J1863" s="16">
        <f>IF(NOT(Paths!$C$175=1),0,IF(Paths!$P$175="Complete",IF(IF(Paths!$E$175=0,C1863=0,AND(C1863&gt;0,Paths!$E$175&gt;(C1863-1)*12,Paths!$E$175&lt;=C1863*12)),Paths!$H$175,0),"n.a."))</f>
        <v>0</v>
      </c>
      <c r="K1863" s="16">
        <f>IF(NOT(Paths!$C$175=1),0,IF(Paths!$P$175="Complete",IF(IF(Paths!$O$175=0,C1863=0,AND(C1863&gt;0,Paths!$O$175&gt;(C1863-1)*12,Paths!$O$175&lt;=C1863*12)),Paths!$N$175,0),"n.a."))</f>
        <v>0</v>
      </c>
      <c r="L1863" s="16">
        <f>IF(NOT(Paths!$C$175=1),0,IF(Paths!$P$175="Complete",IF(C1863=10,Paths!$I$175,0),"n.a."))</f>
        <v>0</v>
      </c>
      <c r="M1863" s="16">
        <f>IF(NOT(Paths!$C$175=1),0,IF(Paths!$P$175="Complete",IF(AND(Paths!$D$175="EV",Paths!$E$175&lt;120,Paths!$E$175+'Operating costs'!$B$65&gt;Paths!$E$175,Paths!$E$175+'Operating costs'!$B$65&lt;=120,IF(Paths!$E$175+'Operating costs'!$B$65=0,C1863=0,AND(C1863&gt;0,Paths!$E$175+'Operating costs'!$B$65&gt;(C1863-1)*12,Paths!$E$175+'Operating costs'!$B$65&lt;=C1863*12))),'Operating costs'!$B$64,0)+IF(AND('Operating costs'!$B$67&gt;0,'Operating costs'!$B$67&lt;=120,OR(Paths!$D$175="ICE",'Operating costs'!$B$67&lt;=Paths!$E$175),IF('Operating costs'!$B$67=0,C1863=0,AND(C1863&gt;0,'Operating costs'!$B$67&gt;(C1863-1)*12,'Operating costs'!$B$67&lt;=C1863*12))),'Operating costs'!$B$66,0),"n.a."))</f>
        <v>0</v>
      </c>
      <c r="N1863" s="16">
        <f>IF(NOT(Paths!$C$175=1),0,IF(Paths!$P$175="Complete",SUM(G1863:I1863)-J1863-K1863-L1863+M1863+IF(C1863=0,Paths!$F$175,0)+IF(IF(Paths!$E$175=0,C1863=0,AND(C1863&gt;0,Paths!$E$175&gt;(C1863-1)*12,Paths!$E$175&lt;=C1863*12)),VLOOKUP(A1863,'Fleet register'!$A$7:$S$106,16,FALSE),0),"n.a."))</f>
        <v>0</v>
      </c>
      <c r="O1863" s="16">
        <f>IF(NOT(Paths!$C$175=1),0,IF(Paths!$P$175="Complete",N1863-IF(C1863=0,Paths!$F$175,0),"n.a."))</f>
        <v>0</v>
      </c>
      <c r="P1863" s="16">
        <f>IF(NOT(Paths!$C$175=1),0,IF(Paths!$P$175="Complete",O1863+L1863,"n.a."))</f>
        <v>0</v>
      </c>
      <c r="Q1863" s="16">
        <f>IF(NOT(Paths!$C$175=1),0,IF(Paths!$P$175="Complete",N1863*(1+'Operating costs'!$B$54)^-C1863,"n.a."))</f>
        <v>0</v>
      </c>
      <c r="R1863" s="16">
        <f>IF(NOT(Paths!$C$175=1),0,IF(Paths!$P$175="Complete",IF(AND(C1863=0,Paths!$E$175=0),I1863-J1863-K1863+VLOOKUP(A1863,'Fleet register'!$A$7:$S$106,15,FALSE)+VLOOKUP(A1863,'Fleet register'!$A$7:$S$106,16,FALSE),0),"n.a."))</f>
        <v>0</v>
      </c>
      <c r="S1863" s="1">
        <f>IF(NOT(Paths!$C$175=1),0,IF(Paths!$P$175="Complete",IF(C1863=0,0,Paths!$S$175*Paths!$R$175),"n.a."))</f>
        <v>0</v>
      </c>
      <c r="T1863" s="1">
        <f>IF(NOT(Paths!$C$175=1),0,IF(Paths!$P$175="Complete",IF(C1863=0,0,VLOOKUP(A1863,'Fleet register'!$A$7:$S$106,9,FALSE)*Paths!$R$175),"n.a."))</f>
        <v>0</v>
      </c>
    </row>
    <row r="1864" spans="1:20" ht="24" customHeight="1">
      <c r="A1864" s="1" t="str">
        <f>Paths!$A$175</f>
        <v>T043</v>
      </c>
      <c r="B1864" s="1">
        <f>Paths!$B$175</f>
        <v>0</v>
      </c>
      <c r="C1864" s="1">
        <v>9</v>
      </c>
      <c r="D1864" s="1">
        <v>175</v>
      </c>
      <c r="E1864" s="1">
        <f>IF(OR(Paths!$C$175=0,C1864=0),0,MAX(0,MIN(C1864*12,Paths!$E$175)-(C1864-1)*12))</f>
        <v>0</v>
      </c>
      <c r="F1864" s="1">
        <f>IF(OR(Paths!$C$175=0,C1864=0),0,12-E1864)</f>
        <v>0</v>
      </c>
      <c r="G1864" s="16">
        <f>IF(NOT(Paths!$C$175=1),0,IF(Paths!$P$175="Complete",E1864/12*(Paths!$J$175*(1+'Operating costs'!$B$51)^MAX(0,C1864-1)+Paths!$K$175*(1+'Operating costs'!$B$53)^MAX(0,C1864-1)),"n.a."))</f>
        <v>0</v>
      </c>
      <c r="H1864" s="16">
        <f>IF(NOT(Paths!$C$175=1),0,IF(Paths!$P$175="Complete",F1864/12*(Paths!$L$175*(1+IF(Paths!$D$175="EV",'Operating costs'!$B$52,'Operating costs'!$B$51))^MAX(0,C1864-1)+Paths!$M$175*(1+'Operating costs'!$B$53)^MAX(0,C1864-1)),"n.a."))</f>
        <v>0</v>
      </c>
      <c r="I1864" s="16">
        <f>IF(NOT(Paths!$C$175=1),0,IF(Paths!$P$175="Complete",IF(IF(Paths!$E$175=0,C1864=0,AND(C1864&gt;0,Paths!$E$175&gt;(C1864-1)*12,Paths!$E$175&lt;=C1864*12)),Paths!$G$175,0),"n.a."))</f>
        <v>0</v>
      </c>
      <c r="J1864" s="16">
        <f>IF(NOT(Paths!$C$175=1),0,IF(Paths!$P$175="Complete",IF(IF(Paths!$E$175=0,C1864=0,AND(C1864&gt;0,Paths!$E$175&gt;(C1864-1)*12,Paths!$E$175&lt;=C1864*12)),Paths!$H$175,0),"n.a."))</f>
        <v>0</v>
      </c>
      <c r="K1864" s="16">
        <f>IF(NOT(Paths!$C$175=1),0,IF(Paths!$P$175="Complete",IF(IF(Paths!$O$175=0,C1864=0,AND(C1864&gt;0,Paths!$O$175&gt;(C1864-1)*12,Paths!$O$175&lt;=C1864*12)),Paths!$N$175,0),"n.a."))</f>
        <v>0</v>
      </c>
      <c r="L1864" s="16">
        <f>IF(NOT(Paths!$C$175=1),0,IF(Paths!$P$175="Complete",IF(C1864=10,Paths!$I$175,0),"n.a."))</f>
        <v>0</v>
      </c>
      <c r="M1864" s="16">
        <f>IF(NOT(Paths!$C$175=1),0,IF(Paths!$P$175="Complete",IF(AND(Paths!$D$175="EV",Paths!$E$175&lt;120,Paths!$E$175+'Operating costs'!$B$65&gt;Paths!$E$175,Paths!$E$175+'Operating costs'!$B$65&lt;=120,IF(Paths!$E$175+'Operating costs'!$B$65=0,C1864=0,AND(C1864&gt;0,Paths!$E$175+'Operating costs'!$B$65&gt;(C1864-1)*12,Paths!$E$175+'Operating costs'!$B$65&lt;=C1864*12))),'Operating costs'!$B$64,0)+IF(AND('Operating costs'!$B$67&gt;0,'Operating costs'!$B$67&lt;=120,OR(Paths!$D$175="ICE",'Operating costs'!$B$67&lt;=Paths!$E$175),IF('Operating costs'!$B$67=0,C1864=0,AND(C1864&gt;0,'Operating costs'!$B$67&gt;(C1864-1)*12,'Operating costs'!$B$67&lt;=C1864*12))),'Operating costs'!$B$66,0),"n.a."))</f>
        <v>0</v>
      </c>
      <c r="N1864" s="16">
        <f>IF(NOT(Paths!$C$175=1),0,IF(Paths!$P$175="Complete",SUM(G1864:I1864)-J1864-K1864-L1864+M1864+IF(C1864=0,Paths!$F$175,0)+IF(IF(Paths!$E$175=0,C1864=0,AND(C1864&gt;0,Paths!$E$175&gt;(C1864-1)*12,Paths!$E$175&lt;=C1864*12)),VLOOKUP(A1864,'Fleet register'!$A$7:$S$106,16,FALSE),0),"n.a."))</f>
        <v>0</v>
      </c>
      <c r="O1864" s="16">
        <f>IF(NOT(Paths!$C$175=1),0,IF(Paths!$P$175="Complete",N1864-IF(C1864=0,Paths!$F$175,0),"n.a."))</f>
        <v>0</v>
      </c>
      <c r="P1864" s="16">
        <f>IF(NOT(Paths!$C$175=1),0,IF(Paths!$P$175="Complete",O1864+L1864,"n.a."))</f>
        <v>0</v>
      </c>
      <c r="Q1864" s="16">
        <f>IF(NOT(Paths!$C$175=1),0,IF(Paths!$P$175="Complete",N1864*(1+'Operating costs'!$B$54)^-C1864,"n.a."))</f>
        <v>0</v>
      </c>
      <c r="R1864" s="16">
        <f>IF(NOT(Paths!$C$175=1),0,IF(Paths!$P$175="Complete",IF(AND(C1864=0,Paths!$E$175=0),I1864-J1864-K1864+VLOOKUP(A1864,'Fleet register'!$A$7:$S$106,15,FALSE)+VLOOKUP(A1864,'Fleet register'!$A$7:$S$106,16,FALSE),0),"n.a."))</f>
        <v>0</v>
      </c>
      <c r="S1864" s="1">
        <f>IF(NOT(Paths!$C$175=1),0,IF(Paths!$P$175="Complete",IF(C1864=0,0,Paths!$S$175*Paths!$R$175),"n.a."))</f>
        <v>0</v>
      </c>
      <c r="T1864" s="1">
        <f>IF(NOT(Paths!$C$175=1),0,IF(Paths!$P$175="Complete",IF(C1864=0,0,VLOOKUP(A1864,'Fleet register'!$A$7:$S$106,9,FALSE)*Paths!$R$175),"n.a."))</f>
        <v>0</v>
      </c>
    </row>
    <row r="1865" spans="1:20" ht="24" customHeight="1">
      <c r="A1865" s="1" t="str">
        <f>Paths!$A$175</f>
        <v>T043</v>
      </c>
      <c r="B1865" s="1">
        <f>Paths!$B$175</f>
        <v>0</v>
      </c>
      <c r="C1865" s="1">
        <v>10</v>
      </c>
      <c r="D1865" s="1">
        <v>175</v>
      </c>
      <c r="E1865" s="1">
        <f>IF(OR(Paths!$C$175=0,C1865=0),0,MAX(0,MIN(C1865*12,Paths!$E$175)-(C1865-1)*12))</f>
        <v>0</v>
      </c>
      <c r="F1865" s="1">
        <f>IF(OR(Paths!$C$175=0,C1865=0),0,12-E1865)</f>
        <v>0</v>
      </c>
      <c r="G1865" s="16">
        <f>IF(NOT(Paths!$C$175=1),0,IF(Paths!$P$175="Complete",E1865/12*(Paths!$J$175*(1+'Operating costs'!$B$51)^MAX(0,C1865-1)+Paths!$K$175*(1+'Operating costs'!$B$53)^MAX(0,C1865-1)),"n.a."))</f>
        <v>0</v>
      </c>
      <c r="H1865" s="16">
        <f>IF(NOT(Paths!$C$175=1),0,IF(Paths!$P$175="Complete",F1865/12*(Paths!$L$175*(1+IF(Paths!$D$175="EV",'Operating costs'!$B$52,'Operating costs'!$B$51))^MAX(0,C1865-1)+Paths!$M$175*(1+'Operating costs'!$B$53)^MAX(0,C1865-1)),"n.a."))</f>
        <v>0</v>
      </c>
      <c r="I1865" s="16">
        <f>IF(NOT(Paths!$C$175=1),0,IF(Paths!$P$175="Complete",IF(IF(Paths!$E$175=0,C1865=0,AND(C1865&gt;0,Paths!$E$175&gt;(C1865-1)*12,Paths!$E$175&lt;=C1865*12)),Paths!$G$175,0),"n.a."))</f>
        <v>0</v>
      </c>
      <c r="J1865" s="16">
        <f>IF(NOT(Paths!$C$175=1),0,IF(Paths!$P$175="Complete",IF(IF(Paths!$E$175=0,C1865=0,AND(C1865&gt;0,Paths!$E$175&gt;(C1865-1)*12,Paths!$E$175&lt;=C1865*12)),Paths!$H$175,0),"n.a."))</f>
        <v>0</v>
      </c>
      <c r="K1865" s="16">
        <f>IF(NOT(Paths!$C$175=1),0,IF(Paths!$P$175="Complete",IF(IF(Paths!$O$175=0,C1865=0,AND(C1865&gt;0,Paths!$O$175&gt;(C1865-1)*12,Paths!$O$175&lt;=C1865*12)),Paths!$N$175,0),"n.a."))</f>
        <v>0</v>
      </c>
      <c r="L1865" s="16">
        <f>IF(NOT(Paths!$C$175=1),0,IF(Paths!$P$175="Complete",IF(C1865=10,Paths!$I$175,0),"n.a."))</f>
        <v>0</v>
      </c>
      <c r="M1865" s="16">
        <f>IF(NOT(Paths!$C$175=1),0,IF(Paths!$P$175="Complete",IF(AND(Paths!$D$175="EV",Paths!$E$175&lt;120,Paths!$E$175+'Operating costs'!$B$65&gt;Paths!$E$175,Paths!$E$175+'Operating costs'!$B$65&lt;=120,IF(Paths!$E$175+'Operating costs'!$B$65=0,C1865=0,AND(C1865&gt;0,Paths!$E$175+'Operating costs'!$B$65&gt;(C1865-1)*12,Paths!$E$175+'Operating costs'!$B$65&lt;=C1865*12))),'Operating costs'!$B$64,0)+IF(AND('Operating costs'!$B$67&gt;0,'Operating costs'!$B$67&lt;=120,OR(Paths!$D$175="ICE",'Operating costs'!$B$67&lt;=Paths!$E$175),IF('Operating costs'!$B$67=0,C1865=0,AND(C1865&gt;0,'Operating costs'!$B$67&gt;(C1865-1)*12,'Operating costs'!$B$67&lt;=C1865*12))),'Operating costs'!$B$66,0),"n.a."))</f>
        <v>0</v>
      </c>
      <c r="N1865" s="16">
        <f>IF(NOT(Paths!$C$175=1),0,IF(Paths!$P$175="Complete",SUM(G1865:I1865)-J1865-K1865-L1865+M1865+IF(C1865=0,Paths!$F$175,0)+IF(IF(Paths!$E$175=0,C1865=0,AND(C1865&gt;0,Paths!$E$175&gt;(C1865-1)*12,Paths!$E$175&lt;=C1865*12)),VLOOKUP(A1865,'Fleet register'!$A$7:$S$106,16,FALSE),0),"n.a."))</f>
        <v>0</v>
      </c>
      <c r="O1865" s="16">
        <f>IF(NOT(Paths!$C$175=1),0,IF(Paths!$P$175="Complete",N1865-IF(C1865=0,Paths!$F$175,0),"n.a."))</f>
        <v>0</v>
      </c>
      <c r="P1865" s="16">
        <f>IF(NOT(Paths!$C$175=1),0,IF(Paths!$P$175="Complete",O1865+L1865,"n.a."))</f>
        <v>0</v>
      </c>
      <c r="Q1865" s="16">
        <f>IF(NOT(Paths!$C$175=1),0,IF(Paths!$P$175="Complete",N1865*(1+'Operating costs'!$B$54)^-C1865,"n.a."))</f>
        <v>0</v>
      </c>
      <c r="R1865" s="16">
        <f>IF(NOT(Paths!$C$175=1),0,IF(Paths!$P$175="Complete",IF(AND(C1865=0,Paths!$E$175=0),I1865-J1865-K1865+VLOOKUP(A1865,'Fleet register'!$A$7:$S$106,15,FALSE)+VLOOKUP(A1865,'Fleet register'!$A$7:$S$106,16,FALSE),0),"n.a."))</f>
        <v>0</v>
      </c>
      <c r="S1865" s="1">
        <f>IF(NOT(Paths!$C$175=1),0,IF(Paths!$P$175="Complete",IF(C1865=0,0,Paths!$S$175*Paths!$R$175),"n.a."))</f>
        <v>0</v>
      </c>
      <c r="T1865" s="1">
        <f>IF(NOT(Paths!$C$175=1),0,IF(Paths!$P$175="Complete",IF(C1865=0,0,VLOOKUP(A1865,'Fleet register'!$A$7:$S$106,9,FALSE)*Paths!$R$175),"n.a."))</f>
        <v>0</v>
      </c>
    </row>
    <row r="1866" spans="1:20" ht="24" customHeight="1">
      <c r="A1866" s="1" t="str">
        <f>Paths!$A$176</f>
        <v>T043</v>
      </c>
      <c r="B1866" s="1">
        <f>Paths!$B$176</f>
        <v>1</v>
      </c>
      <c r="C1866" s="1">
        <v>0</v>
      </c>
      <c r="D1866" s="1">
        <v>176</v>
      </c>
      <c r="E1866" s="1">
        <f>IF(OR(Paths!$C$176=0,C1866=0),0,MAX(0,MIN(C1866*12,Paths!$E$176)-(C1866-1)*12))</f>
        <v>0</v>
      </c>
      <c r="F1866" s="1">
        <f>IF(OR(Paths!$C$176=0,C1866=0),0,12-E1866)</f>
        <v>0</v>
      </c>
      <c r="G1866" s="16">
        <f>IF(NOT(Paths!$C$176=1),0,IF(Paths!$P$176="Complete",E1866/12*(Paths!$J$176*(1+'Operating costs'!$B$51)^MAX(0,C1866-1)+Paths!$K$176*(1+'Operating costs'!$B$53)^MAX(0,C1866-1)),"n.a."))</f>
        <v>0</v>
      </c>
      <c r="H1866" s="16">
        <f>IF(NOT(Paths!$C$176=1),0,IF(Paths!$P$176="Complete",F1866/12*(Paths!$L$176*(1+IF(Paths!$D$176="EV",'Operating costs'!$B$52,'Operating costs'!$B$51))^MAX(0,C1866-1)+Paths!$M$176*(1+'Operating costs'!$B$53)^MAX(0,C1866-1)),"n.a."))</f>
        <v>0</v>
      </c>
      <c r="I1866" s="16">
        <f>IF(NOT(Paths!$C$176=1),0,IF(Paths!$P$176="Complete",IF(IF(Paths!$E$176=0,C1866=0,AND(C1866&gt;0,Paths!$E$176&gt;(C1866-1)*12,Paths!$E$176&lt;=C1866*12)),Paths!$G$176,0),"n.a."))</f>
        <v>0</v>
      </c>
      <c r="J1866" s="16">
        <f>IF(NOT(Paths!$C$176=1),0,IF(Paths!$P$176="Complete",IF(IF(Paths!$E$176=0,C1866=0,AND(C1866&gt;0,Paths!$E$176&gt;(C1866-1)*12,Paths!$E$176&lt;=C1866*12)),Paths!$H$176,0),"n.a."))</f>
        <v>0</v>
      </c>
      <c r="K1866" s="16">
        <f>IF(NOT(Paths!$C$176=1),0,IF(Paths!$P$176="Complete",IF(IF(Paths!$O$176=0,C1866=0,AND(C1866&gt;0,Paths!$O$176&gt;(C1866-1)*12,Paths!$O$176&lt;=C1866*12)),Paths!$N$176,0),"n.a."))</f>
        <v>0</v>
      </c>
      <c r="L1866" s="16">
        <f>IF(NOT(Paths!$C$176=1),0,IF(Paths!$P$176="Complete",IF(C1866=10,Paths!$I$176,0),"n.a."))</f>
        <v>0</v>
      </c>
      <c r="M1866" s="16">
        <f>IF(NOT(Paths!$C$176=1),0,IF(Paths!$P$176="Complete",IF(AND(Paths!$D$176="EV",Paths!$E$176&lt;120,Paths!$E$176+'Operating costs'!$B$65&gt;Paths!$E$176,Paths!$E$176+'Operating costs'!$B$65&lt;=120,IF(Paths!$E$176+'Operating costs'!$B$65=0,C1866=0,AND(C1866&gt;0,Paths!$E$176+'Operating costs'!$B$65&gt;(C1866-1)*12,Paths!$E$176+'Operating costs'!$B$65&lt;=C1866*12))),'Operating costs'!$B$64,0)+IF(AND('Operating costs'!$B$67&gt;0,'Operating costs'!$B$67&lt;=120,OR(Paths!$D$176="ICE",'Operating costs'!$B$67&lt;=Paths!$E$176),IF('Operating costs'!$B$67=0,C1866=0,AND(C1866&gt;0,'Operating costs'!$B$67&gt;(C1866-1)*12,'Operating costs'!$B$67&lt;=C1866*12))),'Operating costs'!$B$66,0),"n.a."))</f>
        <v>0</v>
      </c>
      <c r="N1866" s="16">
        <f>IF(NOT(Paths!$C$176=1),0,IF(Paths!$P$176="Complete",SUM(G1866:I1866)-J1866-K1866-L1866+M1866+IF(C1866=0,Paths!$F$176,0)+IF(IF(Paths!$E$176=0,C1866=0,AND(C1866&gt;0,Paths!$E$176&gt;(C1866-1)*12,Paths!$E$176&lt;=C1866*12)),VLOOKUP(A1866,'Fleet register'!$A$7:$S$106,16,FALSE),0),"n.a."))</f>
        <v>0</v>
      </c>
      <c r="O1866" s="16">
        <f>IF(NOT(Paths!$C$176=1),0,IF(Paths!$P$176="Complete",N1866-IF(C1866=0,Paths!$F$176,0),"n.a."))</f>
        <v>0</v>
      </c>
      <c r="P1866" s="16">
        <f>IF(NOT(Paths!$C$176=1),0,IF(Paths!$P$176="Complete",O1866+L1866,"n.a."))</f>
        <v>0</v>
      </c>
      <c r="Q1866" s="16">
        <f>IF(NOT(Paths!$C$176=1),0,IF(Paths!$P$176="Complete",N1866*(1+'Operating costs'!$B$54)^-C1866,"n.a."))</f>
        <v>0</v>
      </c>
      <c r="R1866" s="16">
        <f>IF(NOT(Paths!$C$176=1),0,IF(Paths!$P$176="Complete",IF(AND(C1866=0,Paths!$E$176=0),I1866-J1866-K1866+VLOOKUP(A1866,'Fleet register'!$A$7:$S$106,15,FALSE)+VLOOKUP(A1866,'Fleet register'!$A$7:$S$106,16,FALSE),0),"n.a."))</f>
        <v>0</v>
      </c>
      <c r="S1866" s="1">
        <f>IF(NOT(Paths!$C$176=1),0,IF(Paths!$P$176="Complete",IF(C1866=0,0,Paths!$S$176*Paths!$R$176),"n.a."))</f>
        <v>0</v>
      </c>
      <c r="T1866" s="1">
        <f>IF(NOT(Paths!$C$176=1),0,IF(Paths!$P$176="Complete",IF(C1866=0,0,VLOOKUP(A1866,'Fleet register'!$A$7:$S$106,9,FALSE)*Paths!$R$176),"n.a."))</f>
        <v>0</v>
      </c>
    </row>
    <row r="1867" spans="1:20" ht="24" customHeight="1">
      <c r="A1867" s="1" t="str">
        <f>Paths!$A$176</f>
        <v>T043</v>
      </c>
      <c r="B1867" s="1">
        <f>Paths!$B$176</f>
        <v>1</v>
      </c>
      <c r="C1867" s="1">
        <v>1</v>
      </c>
      <c r="D1867" s="1">
        <v>176</v>
      </c>
      <c r="E1867" s="1">
        <f>IF(OR(Paths!$C$176=0,C1867=0),0,MAX(0,MIN(C1867*12,Paths!$E$176)-(C1867-1)*12))</f>
        <v>0</v>
      </c>
      <c r="F1867" s="1">
        <f>IF(OR(Paths!$C$176=0,C1867=0),0,12-E1867)</f>
        <v>0</v>
      </c>
      <c r="G1867" s="16">
        <f>IF(NOT(Paths!$C$176=1),0,IF(Paths!$P$176="Complete",E1867/12*(Paths!$J$176*(1+'Operating costs'!$B$51)^MAX(0,C1867-1)+Paths!$K$176*(1+'Operating costs'!$B$53)^MAX(0,C1867-1)),"n.a."))</f>
        <v>0</v>
      </c>
      <c r="H1867" s="16">
        <f>IF(NOT(Paths!$C$176=1),0,IF(Paths!$P$176="Complete",F1867/12*(Paths!$L$176*(1+IF(Paths!$D$176="EV",'Operating costs'!$B$52,'Operating costs'!$B$51))^MAX(0,C1867-1)+Paths!$M$176*(1+'Operating costs'!$B$53)^MAX(0,C1867-1)),"n.a."))</f>
        <v>0</v>
      </c>
      <c r="I1867" s="16">
        <f>IF(NOT(Paths!$C$176=1),0,IF(Paths!$P$176="Complete",IF(IF(Paths!$E$176=0,C1867=0,AND(C1867&gt;0,Paths!$E$176&gt;(C1867-1)*12,Paths!$E$176&lt;=C1867*12)),Paths!$G$176,0),"n.a."))</f>
        <v>0</v>
      </c>
      <c r="J1867" s="16">
        <f>IF(NOT(Paths!$C$176=1),0,IF(Paths!$P$176="Complete",IF(IF(Paths!$E$176=0,C1867=0,AND(C1867&gt;0,Paths!$E$176&gt;(C1867-1)*12,Paths!$E$176&lt;=C1867*12)),Paths!$H$176,0),"n.a."))</f>
        <v>0</v>
      </c>
      <c r="K1867" s="16">
        <f>IF(NOT(Paths!$C$176=1),0,IF(Paths!$P$176="Complete",IF(IF(Paths!$O$176=0,C1867=0,AND(C1867&gt;0,Paths!$O$176&gt;(C1867-1)*12,Paths!$O$176&lt;=C1867*12)),Paths!$N$176,0),"n.a."))</f>
        <v>0</v>
      </c>
      <c r="L1867" s="16">
        <f>IF(NOT(Paths!$C$176=1),0,IF(Paths!$P$176="Complete",IF(C1867=10,Paths!$I$176,0),"n.a."))</f>
        <v>0</v>
      </c>
      <c r="M1867" s="16">
        <f>IF(NOT(Paths!$C$176=1),0,IF(Paths!$P$176="Complete",IF(AND(Paths!$D$176="EV",Paths!$E$176&lt;120,Paths!$E$176+'Operating costs'!$B$65&gt;Paths!$E$176,Paths!$E$176+'Operating costs'!$B$65&lt;=120,IF(Paths!$E$176+'Operating costs'!$B$65=0,C1867=0,AND(C1867&gt;0,Paths!$E$176+'Operating costs'!$B$65&gt;(C1867-1)*12,Paths!$E$176+'Operating costs'!$B$65&lt;=C1867*12))),'Operating costs'!$B$64,0)+IF(AND('Operating costs'!$B$67&gt;0,'Operating costs'!$B$67&lt;=120,OR(Paths!$D$176="ICE",'Operating costs'!$B$67&lt;=Paths!$E$176),IF('Operating costs'!$B$67=0,C1867=0,AND(C1867&gt;0,'Operating costs'!$B$67&gt;(C1867-1)*12,'Operating costs'!$B$67&lt;=C1867*12))),'Operating costs'!$B$66,0),"n.a."))</f>
        <v>0</v>
      </c>
      <c r="N1867" s="16">
        <f>IF(NOT(Paths!$C$176=1),0,IF(Paths!$P$176="Complete",SUM(G1867:I1867)-J1867-K1867-L1867+M1867+IF(C1867=0,Paths!$F$176,0)+IF(IF(Paths!$E$176=0,C1867=0,AND(C1867&gt;0,Paths!$E$176&gt;(C1867-1)*12,Paths!$E$176&lt;=C1867*12)),VLOOKUP(A1867,'Fleet register'!$A$7:$S$106,16,FALSE),0),"n.a."))</f>
        <v>0</v>
      </c>
      <c r="O1867" s="16">
        <f>IF(NOT(Paths!$C$176=1),0,IF(Paths!$P$176="Complete",N1867-IF(C1867=0,Paths!$F$176,0),"n.a."))</f>
        <v>0</v>
      </c>
      <c r="P1867" s="16">
        <f>IF(NOT(Paths!$C$176=1),0,IF(Paths!$P$176="Complete",O1867+L1867,"n.a."))</f>
        <v>0</v>
      </c>
      <c r="Q1867" s="16">
        <f>IF(NOT(Paths!$C$176=1),0,IF(Paths!$P$176="Complete",N1867*(1+'Operating costs'!$B$54)^-C1867,"n.a."))</f>
        <v>0</v>
      </c>
      <c r="R1867" s="16">
        <f>IF(NOT(Paths!$C$176=1),0,IF(Paths!$P$176="Complete",IF(AND(C1867=0,Paths!$E$176=0),I1867-J1867-K1867+VLOOKUP(A1867,'Fleet register'!$A$7:$S$106,15,FALSE)+VLOOKUP(A1867,'Fleet register'!$A$7:$S$106,16,FALSE),0),"n.a."))</f>
        <v>0</v>
      </c>
      <c r="S1867" s="1">
        <f>IF(NOT(Paths!$C$176=1),0,IF(Paths!$P$176="Complete",IF(C1867=0,0,Paths!$S$176*Paths!$R$176),"n.a."))</f>
        <v>0</v>
      </c>
      <c r="T1867" s="1">
        <f>IF(NOT(Paths!$C$176=1),0,IF(Paths!$P$176="Complete",IF(C1867=0,0,VLOOKUP(A1867,'Fleet register'!$A$7:$S$106,9,FALSE)*Paths!$R$176),"n.a."))</f>
        <v>0</v>
      </c>
    </row>
    <row r="1868" spans="1:20" ht="24" customHeight="1">
      <c r="A1868" s="1" t="str">
        <f>Paths!$A$176</f>
        <v>T043</v>
      </c>
      <c r="B1868" s="1">
        <f>Paths!$B$176</f>
        <v>1</v>
      </c>
      <c r="C1868" s="1">
        <v>2</v>
      </c>
      <c r="D1868" s="1">
        <v>176</v>
      </c>
      <c r="E1868" s="1">
        <f>IF(OR(Paths!$C$176=0,C1868=0),0,MAX(0,MIN(C1868*12,Paths!$E$176)-(C1868-1)*12))</f>
        <v>0</v>
      </c>
      <c r="F1868" s="1">
        <f>IF(OR(Paths!$C$176=0,C1868=0),0,12-E1868)</f>
        <v>0</v>
      </c>
      <c r="G1868" s="16">
        <f>IF(NOT(Paths!$C$176=1),0,IF(Paths!$P$176="Complete",E1868/12*(Paths!$J$176*(1+'Operating costs'!$B$51)^MAX(0,C1868-1)+Paths!$K$176*(1+'Operating costs'!$B$53)^MAX(0,C1868-1)),"n.a."))</f>
        <v>0</v>
      </c>
      <c r="H1868" s="16">
        <f>IF(NOT(Paths!$C$176=1),0,IF(Paths!$P$176="Complete",F1868/12*(Paths!$L$176*(1+IF(Paths!$D$176="EV",'Operating costs'!$B$52,'Operating costs'!$B$51))^MAX(0,C1868-1)+Paths!$M$176*(1+'Operating costs'!$B$53)^MAX(0,C1868-1)),"n.a."))</f>
        <v>0</v>
      </c>
      <c r="I1868" s="16">
        <f>IF(NOT(Paths!$C$176=1),0,IF(Paths!$P$176="Complete",IF(IF(Paths!$E$176=0,C1868=0,AND(C1868&gt;0,Paths!$E$176&gt;(C1868-1)*12,Paths!$E$176&lt;=C1868*12)),Paths!$G$176,0),"n.a."))</f>
        <v>0</v>
      </c>
      <c r="J1868" s="16">
        <f>IF(NOT(Paths!$C$176=1),0,IF(Paths!$P$176="Complete",IF(IF(Paths!$E$176=0,C1868=0,AND(C1868&gt;0,Paths!$E$176&gt;(C1868-1)*12,Paths!$E$176&lt;=C1868*12)),Paths!$H$176,0),"n.a."))</f>
        <v>0</v>
      </c>
      <c r="K1868" s="16">
        <f>IF(NOT(Paths!$C$176=1),0,IF(Paths!$P$176="Complete",IF(IF(Paths!$O$176=0,C1868=0,AND(C1868&gt;0,Paths!$O$176&gt;(C1868-1)*12,Paths!$O$176&lt;=C1868*12)),Paths!$N$176,0),"n.a."))</f>
        <v>0</v>
      </c>
      <c r="L1868" s="16">
        <f>IF(NOT(Paths!$C$176=1),0,IF(Paths!$P$176="Complete",IF(C1868=10,Paths!$I$176,0),"n.a."))</f>
        <v>0</v>
      </c>
      <c r="M1868" s="16">
        <f>IF(NOT(Paths!$C$176=1),0,IF(Paths!$P$176="Complete",IF(AND(Paths!$D$176="EV",Paths!$E$176&lt;120,Paths!$E$176+'Operating costs'!$B$65&gt;Paths!$E$176,Paths!$E$176+'Operating costs'!$B$65&lt;=120,IF(Paths!$E$176+'Operating costs'!$B$65=0,C1868=0,AND(C1868&gt;0,Paths!$E$176+'Operating costs'!$B$65&gt;(C1868-1)*12,Paths!$E$176+'Operating costs'!$B$65&lt;=C1868*12))),'Operating costs'!$B$64,0)+IF(AND('Operating costs'!$B$67&gt;0,'Operating costs'!$B$67&lt;=120,OR(Paths!$D$176="ICE",'Operating costs'!$B$67&lt;=Paths!$E$176),IF('Operating costs'!$B$67=0,C1868=0,AND(C1868&gt;0,'Operating costs'!$B$67&gt;(C1868-1)*12,'Operating costs'!$B$67&lt;=C1868*12))),'Operating costs'!$B$66,0),"n.a."))</f>
        <v>0</v>
      </c>
      <c r="N1868" s="16">
        <f>IF(NOT(Paths!$C$176=1),0,IF(Paths!$P$176="Complete",SUM(G1868:I1868)-J1868-K1868-L1868+M1868+IF(C1868=0,Paths!$F$176,0)+IF(IF(Paths!$E$176=0,C1868=0,AND(C1868&gt;0,Paths!$E$176&gt;(C1868-1)*12,Paths!$E$176&lt;=C1868*12)),VLOOKUP(A1868,'Fleet register'!$A$7:$S$106,16,FALSE),0),"n.a."))</f>
        <v>0</v>
      </c>
      <c r="O1868" s="16">
        <f>IF(NOT(Paths!$C$176=1),0,IF(Paths!$P$176="Complete",N1868-IF(C1868=0,Paths!$F$176,0),"n.a."))</f>
        <v>0</v>
      </c>
      <c r="P1868" s="16">
        <f>IF(NOT(Paths!$C$176=1),0,IF(Paths!$P$176="Complete",O1868+L1868,"n.a."))</f>
        <v>0</v>
      </c>
      <c r="Q1868" s="16">
        <f>IF(NOT(Paths!$C$176=1),0,IF(Paths!$P$176="Complete",N1868*(1+'Operating costs'!$B$54)^-C1868,"n.a."))</f>
        <v>0</v>
      </c>
      <c r="R1868" s="16">
        <f>IF(NOT(Paths!$C$176=1),0,IF(Paths!$P$176="Complete",IF(AND(C1868=0,Paths!$E$176=0),I1868-J1868-K1868+VLOOKUP(A1868,'Fleet register'!$A$7:$S$106,15,FALSE)+VLOOKUP(A1868,'Fleet register'!$A$7:$S$106,16,FALSE),0),"n.a."))</f>
        <v>0</v>
      </c>
      <c r="S1868" s="1">
        <f>IF(NOT(Paths!$C$176=1),0,IF(Paths!$P$176="Complete",IF(C1868=0,0,Paths!$S$176*Paths!$R$176),"n.a."))</f>
        <v>0</v>
      </c>
      <c r="T1868" s="1">
        <f>IF(NOT(Paths!$C$176=1),0,IF(Paths!$P$176="Complete",IF(C1868=0,0,VLOOKUP(A1868,'Fleet register'!$A$7:$S$106,9,FALSE)*Paths!$R$176),"n.a."))</f>
        <v>0</v>
      </c>
    </row>
    <row r="1869" spans="1:20" ht="24" customHeight="1">
      <c r="A1869" s="1" t="str">
        <f>Paths!$A$176</f>
        <v>T043</v>
      </c>
      <c r="B1869" s="1">
        <f>Paths!$B$176</f>
        <v>1</v>
      </c>
      <c r="C1869" s="1">
        <v>3</v>
      </c>
      <c r="D1869" s="1">
        <v>176</v>
      </c>
      <c r="E1869" s="1">
        <f>IF(OR(Paths!$C$176=0,C1869=0),0,MAX(0,MIN(C1869*12,Paths!$E$176)-(C1869-1)*12))</f>
        <v>0</v>
      </c>
      <c r="F1869" s="1">
        <f>IF(OR(Paths!$C$176=0,C1869=0),0,12-E1869)</f>
        <v>0</v>
      </c>
      <c r="G1869" s="16">
        <f>IF(NOT(Paths!$C$176=1),0,IF(Paths!$P$176="Complete",E1869/12*(Paths!$J$176*(1+'Operating costs'!$B$51)^MAX(0,C1869-1)+Paths!$K$176*(1+'Operating costs'!$B$53)^MAX(0,C1869-1)),"n.a."))</f>
        <v>0</v>
      </c>
      <c r="H1869" s="16">
        <f>IF(NOT(Paths!$C$176=1),0,IF(Paths!$P$176="Complete",F1869/12*(Paths!$L$176*(1+IF(Paths!$D$176="EV",'Operating costs'!$B$52,'Operating costs'!$B$51))^MAX(0,C1869-1)+Paths!$M$176*(1+'Operating costs'!$B$53)^MAX(0,C1869-1)),"n.a."))</f>
        <v>0</v>
      </c>
      <c r="I1869" s="16">
        <f>IF(NOT(Paths!$C$176=1),0,IF(Paths!$P$176="Complete",IF(IF(Paths!$E$176=0,C1869=0,AND(C1869&gt;0,Paths!$E$176&gt;(C1869-1)*12,Paths!$E$176&lt;=C1869*12)),Paths!$G$176,0),"n.a."))</f>
        <v>0</v>
      </c>
      <c r="J1869" s="16">
        <f>IF(NOT(Paths!$C$176=1),0,IF(Paths!$P$176="Complete",IF(IF(Paths!$E$176=0,C1869=0,AND(C1869&gt;0,Paths!$E$176&gt;(C1869-1)*12,Paths!$E$176&lt;=C1869*12)),Paths!$H$176,0),"n.a."))</f>
        <v>0</v>
      </c>
      <c r="K1869" s="16">
        <f>IF(NOT(Paths!$C$176=1),0,IF(Paths!$P$176="Complete",IF(IF(Paths!$O$176=0,C1869=0,AND(C1869&gt;0,Paths!$O$176&gt;(C1869-1)*12,Paths!$O$176&lt;=C1869*12)),Paths!$N$176,0),"n.a."))</f>
        <v>0</v>
      </c>
      <c r="L1869" s="16">
        <f>IF(NOT(Paths!$C$176=1),0,IF(Paths!$P$176="Complete",IF(C1869=10,Paths!$I$176,0),"n.a."))</f>
        <v>0</v>
      </c>
      <c r="M1869" s="16">
        <f>IF(NOT(Paths!$C$176=1),0,IF(Paths!$P$176="Complete",IF(AND(Paths!$D$176="EV",Paths!$E$176&lt;120,Paths!$E$176+'Operating costs'!$B$65&gt;Paths!$E$176,Paths!$E$176+'Operating costs'!$B$65&lt;=120,IF(Paths!$E$176+'Operating costs'!$B$65=0,C1869=0,AND(C1869&gt;0,Paths!$E$176+'Operating costs'!$B$65&gt;(C1869-1)*12,Paths!$E$176+'Operating costs'!$B$65&lt;=C1869*12))),'Operating costs'!$B$64,0)+IF(AND('Operating costs'!$B$67&gt;0,'Operating costs'!$B$67&lt;=120,OR(Paths!$D$176="ICE",'Operating costs'!$B$67&lt;=Paths!$E$176),IF('Operating costs'!$B$67=0,C1869=0,AND(C1869&gt;0,'Operating costs'!$B$67&gt;(C1869-1)*12,'Operating costs'!$B$67&lt;=C1869*12))),'Operating costs'!$B$66,0),"n.a."))</f>
        <v>0</v>
      </c>
      <c r="N1869" s="16">
        <f>IF(NOT(Paths!$C$176=1),0,IF(Paths!$P$176="Complete",SUM(G1869:I1869)-J1869-K1869-L1869+M1869+IF(C1869=0,Paths!$F$176,0)+IF(IF(Paths!$E$176=0,C1869=0,AND(C1869&gt;0,Paths!$E$176&gt;(C1869-1)*12,Paths!$E$176&lt;=C1869*12)),VLOOKUP(A1869,'Fleet register'!$A$7:$S$106,16,FALSE),0),"n.a."))</f>
        <v>0</v>
      </c>
      <c r="O1869" s="16">
        <f>IF(NOT(Paths!$C$176=1),0,IF(Paths!$P$176="Complete",N1869-IF(C1869=0,Paths!$F$176,0),"n.a."))</f>
        <v>0</v>
      </c>
      <c r="P1869" s="16">
        <f>IF(NOT(Paths!$C$176=1),0,IF(Paths!$P$176="Complete",O1869+L1869,"n.a."))</f>
        <v>0</v>
      </c>
      <c r="Q1869" s="16">
        <f>IF(NOT(Paths!$C$176=1),0,IF(Paths!$P$176="Complete",N1869*(1+'Operating costs'!$B$54)^-C1869,"n.a."))</f>
        <v>0</v>
      </c>
      <c r="R1869" s="16">
        <f>IF(NOT(Paths!$C$176=1),0,IF(Paths!$P$176="Complete",IF(AND(C1869=0,Paths!$E$176=0),I1869-J1869-K1869+VLOOKUP(A1869,'Fleet register'!$A$7:$S$106,15,FALSE)+VLOOKUP(A1869,'Fleet register'!$A$7:$S$106,16,FALSE),0),"n.a."))</f>
        <v>0</v>
      </c>
      <c r="S1869" s="1">
        <f>IF(NOT(Paths!$C$176=1),0,IF(Paths!$P$176="Complete",IF(C1869=0,0,Paths!$S$176*Paths!$R$176),"n.a."))</f>
        <v>0</v>
      </c>
      <c r="T1869" s="1">
        <f>IF(NOT(Paths!$C$176=1),0,IF(Paths!$P$176="Complete",IF(C1869=0,0,VLOOKUP(A1869,'Fleet register'!$A$7:$S$106,9,FALSE)*Paths!$R$176),"n.a."))</f>
        <v>0</v>
      </c>
    </row>
    <row r="1870" spans="1:20" ht="24" customHeight="1">
      <c r="A1870" s="1" t="str">
        <f>Paths!$A$176</f>
        <v>T043</v>
      </c>
      <c r="B1870" s="1">
        <f>Paths!$B$176</f>
        <v>1</v>
      </c>
      <c r="C1870" s="1">
        <v>4</v>
      </c>
      <c r="D1870" s="1">
        <v>176</v>
      </c>
      <c r="E1870" s="1">
        <f>IF(OR(Paths!$C$176=0,C1870=0),0,MAX(0,MIN(C1870*12,Paths!$E$176)-(C1870-1)*12))</f>
        <v>0</v>
      </c>
      <c r="F1870" s="1">
        <f>IF(OR(Paths!$C$176=0,C1870=0),0,12-E1870)</f>
        <v>0</v>
      </c>
      <c r="G1870" s="16">
        <f>IF(NOT(Paths!$C$176=1),0,IF(Paths!$P$176="Complete",E1870/12*(Paths!$J$176*(1+'Operating costs'!$B$51)^MAX(0,C1870-1)+Paths!$K$176*(1+'Operating costs'!$B$53)^MAX(0,C1870-1)),"n.a."))</f>
        <v>0</v>
      </c>
      <c r="H1870" s="16">
        <f>IF(NOT(Paths!$C$176=1),0,IF(Paths!$P$176="Complete",F1870/12*(Paths!$L$176*(1+IF(Paths!$D$176="EV",'Operating costs'!$B$52,'Operating costs'!$B$51))^MAX(0,C1870-1)+Paths!$M$176*(1+'Operating costs'!$B$53)^MAX(0,C1870-1)),"n.a."))</f>
        <v>0</v>
      </c>
      <c r="I1870" s="16">
        <f>IF(NOT(Paths!$C$176=1),0,IF(Paths!$P$176="Complete",IF(IF(Paths!$E$176=0,C1870=0,AND(C1870&gt;0,Paths!$E$176&gt;(C1870-1)*12,Paths!$E$176&lt;=C1870*12)),Paths!$G$176,0),"n.a."))</f>
        <v>0</v>
      </c>
      <c r="J1870" s="16">
        <f>IF(NOT(Paths!$C$176=1),0,IF(Paths!$P$176="Complete",IF(IF(Paths!$E$176=0,C1870=0,AND(C1870&gt;0,Paths!$E$176&gt;(C1870-1)*12,Paths!$E$176&lt;=C1870*12)),Paths!$H$176,0),"n.a."))</f>
        <v>0</v>
      </c>
      <c r="K1870" s="16">
        <f>IF(NOT(Paths!$C$176=1),0,IF(Paths!$P$176="Complete",IF(IF(Paths!$O$176=0,C1870=0,AND(C1870&gt;0,Paths!$O$176&gt;(C1870-1)*12,Paths!$O$176&lt;=C1870*12)),Paths!$N$176,0),"n.a."))</f>
        <v>0</v>
      </c>
      <c r="L1870" s="16">
        <f>IF(NOT(Paths!$C$176=1),0,IF(Paths!$P$176="Complete",IF(C1870=10,Paths!$I$176,0),"n.a."))</f>
        <v>0</v>
      </c>
      <c r="M1870" s="16">
        <f>IF(NOT(Paths!$C$176=1),0,IF(Paths!$P$176="Complete",IF(AND(Paths!$D$176="EV",Paths!$E$176&lt;120,Paths!$E$176+'Operating costs'!$B$65&gt;Paths!$E$176,Paths!$E$176+'Operating costs'!$B$65&lt;=120,IF(Paths!$E$176+'Operating costs'!$B$65=0,C1870=0,AND(C1870&gt;0,Paths!$E$176+'Operating costs'!$B$65&gt;(C1870-1)*12,Paths!$E$176+'Operating costs'!$B$65&lt;=C1870*12))),'Operating costs'!$B$64,0)+IF(AND('Operating costs'!$B$67&gt;0,'Operating costs'!$B$67&lt;=120,OR(Paths!$D$176="ICE",'Operating costs'!$B$67&lt;=Paths!$E$176),IF('Operating costs'!$B$67=0,C1870=0,AND(C1870&gt;0,'Operating costs'!$B$67&gt;(C1870-1)*12,'Operating costs'!$B$67&lt;=C1870*12))),'Operating costs'!$B$66,0),"n.a."))</f>
        <v>0</v>
      </c>
      <c r="N1870" s="16">
        <f>IF(NOT(Paths!$C$176=1),0,IF(Paths!$P$176="Complete",SUM(G1870:I1870)-J1870-K1870-L1870+M1870+IF(C1870=0,Paths!$F$176,0)+IF(IF(Paths!$E$176=0,C1870=0,AND(C1870&gt;0,Paths!$E$176&gt;(C1870-1)*12,Paths!$E$176&lt;=C1870*12)),VLOOKUP(A1870,'Fleet register'!$A$7:$S$106,16,FALSE),0),"n.a."))</f>
        <v>0</v>
      </c>
      <c r="O1870" s="16">
        <f>IF(NOT(Paths!$C$176=1),0,IF(Paths!$P$176="Complete",N1870-IF(C1870=0,Paths!$F$176,0),"n.a."))</f>
        <v>0</v>
      </c>
      <c r="P1870" s="16">
        <f>IF(NOT(Paths!$C$176=1),0,IF(Paths!$P$176="Complete",O1870+L1870,"n.a."))</f>
        <v>0</v>
      </c>
      <c r="Q1870" s="16">
        <f>IF(NOT(Paths!$C$176=1),0,IF(Paths!$P$176="Complete",N1870*(1+'Operating costs'!$B$54)^-C1870,"n.a."))</f>
        <v>0</v>
      </c>
      <c r="R1870" s="16">
        <f>IF(NOT(Paths!$C$176=1),0,IF(Paths!$P$176="Complete",IF(AND(C1870=0,Paths!$E$176=0),I1870-J1870-K1870+VLOOKUP(A1870,'Fleet register'!$A$7:$S$106,15,FALSE)+VLOOKUP(A1870,'Fleet register'!$A$7:$S$106,16,FALSE),0),"n.a."))</f>
        <v>0</v>
      </c>
      <c r="S1870" s="1">
        <f>IF(NOT(Paths!$C$176=1),0,IF(Paths!$P$176="Complete",IF(C1870=0,0,Paths!$S$176*Paths!$R$176),"n.a."))</f>
        <v>0</v>
      </c>
      <c r="T1870" s="1">
        <f>IF(NOT(Paths!$C$176=1),0,IF(Paths!$P$176="Complete",IF(C1870=0,0,VLOOKUP(A1870,'Fleet register'!$A$7:$S$106,9,FALSE)*Paths!$R$176),"n.a."))</f>
        <v>0</v>
      </c>
    </row>
    <row r="1871" spans="1:20" ht="24" customHeight="1">
      <c r="A1871" s="1" t="str">
        <f>Paths!$A$176</f>
        <v>T043</v>
      </c>
      <c r="B1871" s="1">
        <f>Paths!$B$176</f>
        <v>1</v>
      </c>
      <c r="C1871" s="1">
        <v>5</v>
      </c>
      <c r="D1871" s="1">
        <v>176</v>
      </c>
      <c r="E1871" s="1">
        <f>IF(OR(Paths!$C$176=0,C1871=0),0,MAX(0,MIN(C1871*12,Paths!$E$176)-(C1871-1)*12))</f>
        <v>0</v>
      </c>
      <c r="F1871" s="1">
        <f>IF(OR(Paths!$C$176=0,C1871=0),0,12-E1871)</f>
        <v>0</v>
      </c>
      <c r="G1871" s="16">
        <f>IF(NOT(Paths!$C$176=1),0,IF(Paths!$P$176="Complete",E1871/12*(Paths!$J$176*(1+'Operating costs'!$B$51)^MAX(0,C1871-1)+Paths!$K$176*(1+'Operating costs'!$B$53)^MAX(0,C1871-1)),"n.a."))</f>
        <v>0</v>
      </c>
      <c r="H1871" s="16">
        <f>IF(NOT(Paths!$C$176=1),0,IF(Paths!$P$176="Complete",F1871/12*(Paths!$L$176*(1+IF(Paths!$D$176="EV",'Operating costs'!$B$52,'Operating costs'!$B$51))^MAX(0,C1871-1)+Paths!$M$176*(1+'Operating costs'!$B$53)^MAX(0,C1871-1)),"n.a."))</f>
        <v>0</v>
      </c>
      <c r="I1871" s="16">
        <f>IF(NOT(Paths!$C$176=1),0,IF(Paths!$P$176="Complete",IF(IF(Paths!$E$176=0,C1871=0,AND(C1871&gt;0,Paths!$E$176&gt;(C1871-1)*12,Paths!$E$176&lt;=C1871*12)),Paths!$G$176,0),"n.a."))</f>
        <v>0</v>
      </c>
      <c r="J1871" s="16">
        <f>IF(NOT(Paths!$C$176=1),0,IF(Paths!$P$176="Complete",IF(IF(Paths!$E$176=0,C1871=0,AND(C1871&gt;0,Paths!$E$176&gt;(C1871-1)*12,Paths!$E$176&lt;=C1871*12)),Paths!$H$176,0),"n.a."))</f>
        <v>0</v>
      </c>
      <c r="K1871" s="16">
        <f>IF(NOT(Paths!$C$176=1),0,IF(Paths!$P$176="Complete",IF(IF(Paths!$O$176=0,C1871=0,AND(C1871&gt;0,Paths!$O$176&gt;(C1871-1)*12,Paths!$O$176&lt;=C1871*12)),Paths!$N$176,0),"n.a."))</f>
        <v>0</v>
      </c>
      <c r="L1871" s="16">
        <f>IF(NOT(Paths!$C$176=1),0,IF(Paths!$P$176="Complete",IF(C1871=10,Paths!$I$176,0),"n.a."))</f>
        <v>0</v>
      </c>
      <c r="M1871" s="16">
        <f>IF(NOT(Paths!$C$176=1),0,IF(Paths!$P$176="Complete",IF(AND(Paths!$D$176="EV",Paths!$E$176&lt;120,Paths!$E$176+'Operating costs'!$B$65&gt;Paths!$E$176,Paths!$E$176+'Operating costs'!$B$65&lt;=120,IF(Paths!$E$176+'Operating costs'!$B$65=0,C1871=0,AND(C1871&gt;0,Paths!$E$176+'Operating costs'!$B$65&gt;(C1871-1)*12,Paths!$E$176+'Operating costs'!$B$65&lt;=C1871*12))),'Operating costs'!$B$64,0)+IF(AND('Operating costs'!$B$67&gt;0,'Operating costs'!$B$67&lt;=120,OR(Paths!$D$176="ICE",'Operating costs'!$B$67&lt;=Paths!$E$176),IF('Operating costs'!$B$67=0,C1871=0,AND(C1871&gt;0,'Operating costs'!$B$67&gt;(C1871-1)*12,'Operating costs'!$B$67&lt;=C1871*12))),'Operating costs'!$B$66,0),"n.a."))</f>
        <v>0</v>
      </c>
      <c r="N1871" s="16">
        <f>IF(NOT(Paths!$C$176=1),0,IF(Paths!$P$176="Complete",SUM(G1871:I1871)-J1871-K1871-L1871+M1871+IF(C1871=0,Paths!$F$176,0)+IF(IF(Paths!$E$176=0,C1871=0,AND(C1871&gt;0,Paths!$E$176&gt;(C1871-1)*12,Paths!$E$176&lt;=C1871*12)),VLOOKUP(A1871,'Fleet register'!$A$7:$S$106,16,FALSE),0),"n.a."))</f>
        <v>0</v>
      </c>
      <c r="O1871" s="16">
        <f>IF(NOT(Paths!$C$176=1),0,IF(Paths!$P$176="Complete",N1871-IF(C1871=0,Paths!$F$176,0),"n.a."))</f>
        <v>0</v>
      </c>
      <c r="P1871" s="16">
        <f>IF(NOT(Paths!$C$176=1),0,IF(Paths!$P$176="Complete",O1871+L1871,"n.a."))</f>
        <v>0</v>
      </c>
      <c r="Q1871" s="16">
        <f>IF(NOT(Paths!$C$176=1),0,IF(Paths!$P$176="Complete",N1871*(1+'Operating costs'!$B$54)^-C1871,"n.a."))</f>
        <v>0</v>
      </c>
      <c r="R1871" s="16">
        <f>IF(NOT(Paths!$C$176=1),0,IF(Paths!$P$176="Complete",IF(AND(C1871=0,Paths!$E$176=0),I1871-J1871-K1871+VLOOKUP(A1871,'Fleet register'!$A$7:$S$106,15,FALSE)+VLOOKUP(A1871,'Fleet register'!$A$7:$S$106,16,FALSE),0),"n.a."))</f>
        <v>0</v>
      </c>
      <c r="S1871" s="1">
        <f>IF(NOT(Paths!$C$176=1),0,IF(Paths!$P$176="Complete",IF(C1871=0,0,Paths!$S$176*Paths!$R$176),"n.a."))</f>
        <v>0</v>
      </c>
      <c r="T1871" s="1">
        <f>IF(NOT(Paths!$C$176=1),0,IF(Paths!$P$176="Complete",IF(C1871=0,0,VLOOKUP(A1871,'Fleet register'!$A$7:$S$106,9,FALSE)*Paths!$R$176),"n.a."))</f>
        <v>0</v>
      </c>
    </row>
    <row r="1872" spans="1:20" ht="24" customHeight="1">
      <c r="A1872" s="1" t="str">
        <f>Paths!$A$176</f>
        <v>T043</v>
      </c>
      <c r="B1872" s="1">
        <f>Paths!$B$176</f>
        <v>1</v>
      </c>
      <c r="C1872" s="1">
        <v>6</v>
      </c>
      <c r="D1872" s="1">
        <v>176</v>
      </c>
      <c r="E1872" s="1">
        <f>IF(OR(Paths!$C$176=0,C1872=0),0,MAX(0,MIN(C1872*12,Paths!$E$176)-(C1872-1)*12))</f>
        <v>0</v>
      </c>
      <c r="F1872" s="1">
        <f>IF(OR(Paths!$C$176=0,C1872=0),0,12-E1872)</f>
        <v>0</v>
      </c>
      <c r="G1872" s="16">
        <f>IF(NOT(Paths!$C$176=1),0,IF(Paths!$P$176="Complete",E1872/12*(Paths!$J$176*(1+'Operating costs'!$B$51)^MAX(0,C1872-1)+Paths!$K$176*(1+'Operating costs'!$B$53)^MAX(0,C1872-1)),"n.a."))</f>
        <v>0</v>
      </c>
      <c r="H1872" s="16">
        <f>IF(NOT(Paths!$C$176=1),0,IF(Paths!$P$176="Complete",F1872/12*(Paths!$L$176*(1+IF(Paths!$D$176="EV",'Operating costs'!$B$52,'Operating costs'!$B$51))^MAX(0,C1872-1)+Paths!$M$176*(1+'Operating costs'!$B$53)^MAX(0,C1872-1)),"n.a."))</f>
        <v>0</v>
      </c>
      <c r="I1872" s="16">
        <f>IF(NOT(Paths!$C$176=1),0,IF(Paths!$P$176="Complete",IF(IF(Paths!$E$176=0,C1872=0,AND(C1872&gt;0,Paths!$E$176&gt;(C1872-1)*12,Paths!$E$176&lt;=C1872*12)),Paths!$G$176,0),"n.a."))</f>
        <v>0</v>
      </c>
      <c r="J1872" s="16">
        <f>IF(NOT(Paths!$C$176=1),0,IF(Paths!$P$176="Complete",IF(IF(Paths!$E$176=0,C1872=0,AND(C1872&gt;0,Paths!$E$176&gt;(C1872-1)*12,Paths!$E$176&lt;=C1872*12)),Paths!$H$176,0),"n.a."))</f>
        <v>0</v>
      </c>
      <c r="K1872" s="16">
        <f>IF(NOT(Paths!$C$176=1),0,IF(Paths!$P$176="Complete",IF(IF(Paths!$O$176=0,C1872=0,AND(C1872&gt;0,Paths!$O$176&gt;(C1872-1)*12,Paths!$O$176&lt;=C1872*12)),Paths!$N$176,0),"n.a."))</f>
        <v>0</v>
      </c>
      <c r="L1872" s="16">
        <f>IF(NOT(Paths!$C$176=1),0,IF(Paths!$P$176="Complete",IF(C1872=10,Paths!$I$176,0),"n.a."))</f>
        <v>0</v>
      </c>
      <c r="M1872" s="16">
        <f>IF(NOT(Paths!$C$176=1),0,IF(Paths!$P$176="Complete",IF(AND(Paths!$D$176="EV",Paths!$E$176&lt;120,Paths!$E$176+'Operating costs'!$B$65&gt;Paths!$E$176,Paths!$E$176+'Operating costs'!$B$65&lt;=120,IF(Paths!$E$176+'Operating costs'!$B$65=0,C1872=0,AND(C1872&gt;0,Paths!$E$176+'Operating costs'!$B$65&gt;(C1872-1)*12,Paths!$E$176+'Operating costs'!$B$65&lt;=C1872*12))),'Operating costs'!$B$64,0)+IF(AND('Operating costs'!$B$67&gt;0,'Operating costs'!$B$67&lt;=120,OR(Paths!$D$176="ICE",'Operating costs'!$B$67&lt;=Paths!$E$176),IF('Operating costs'!$B$67=0,C1872=0,AND(C1872&gt;0,'Operating costs'!$B$67&gt;(C1872-1)*12,'Operating costs'!$B$67&lt;=C1872*12))),'Operating costs'!$B$66,0),"n.a."))</f>
        <v>0</v>
      </c>
      <c r="N1872" s="16">
        <f>IF(NOT(Paths!$C$176=1),0,IF(Paths!$P$176="Complete",SUM(G1872:I1872)-J1872-K1872-L1872+M1872+IF(C1872=0,Paths!$F$176,0)+IF(IF(Paths!$E$176=0,C1872=0,AND(C1872&gt;0,Paths!$E$176&gt;(C1872-1)*12,Paths!$E$176&lt;=C1872*12)),VLOOKUP(A1872,'Fleet register'!$A$7:$S$106,16,FALSE),0),"n.a."))</f>
        <v>0</v>
      </c>
      <c r="O1872" s="16">
        <f>IF(NOT(Paths!$C$176=1),0,IF(Paths!$P$176="Complete",N1872-IF(C1872=0,Paths!$F$176,0),"n.a."))</f>
        <v>0</v>
      </c>
      <c r="P1872" s="16">
        <f>IF(NOT(Paths!$C$176=1),0,IF(Paths!$P$176="Complete",O1872+L1872,"n.a."))</f>
        <v>0</v>
      </c>
      <c r="Q1872" s="16">
        <f>IF(NOT(Paths!$C$176=1),0,IF(Paths!$P$176="Complete",N1872*(1+'Operating costs'!$B$54)^-C1872,"n.a."))</f>
        <v>0</v>
      </c>
      <c r="R1872" s="16">
        <f>IF(NOT(Paths!$C$176=1),0,IF(Paths!$P$176="Complete",IF(AND(C1872=0,Paths!$E$176=0),I1872-J1872-K1872+VLOOKUP(A1872,'Fleet register'!$A$7:$S$106,15,FALSE)+VLOOKUP(A1872,'Fleet register'!$A$7:$S$106,16,FALSE),0),"n.a."))</f>
        <v>0</v>
      </c>
      <c r="S1872" s="1">
        <f>IF(NOT(Paths!$C$176=1),0,IF(Paths!$P$176="Complete",IF(C1872=0,0,Paths!$S$176*Paths!$R$176),"n.a."))</f>
        <v>0</v>
      </c>
      <c r="T1872" s="1">
        <f>IF(NOT(Paths!$C$176=1),0,IF(Paths!$P$176="Complete",IF(C1872=0,0,VLOOKUP(A1872,'Fleet register'!$A$7:$S$106,9,FALSE)*Paths!$R$176),"n.a."))</f>
        <v>0</v>
      </c>
    </row>
    <row r="1873" spans="1:20" ht="24" customHeight="1">
      <c r="A1873" s="1" t="str">
        <f>Paths!$A$176</f>
        <v>T043</v>
      </c>
      <c r="B1873" s="1">
        <f>Paths!$B$176</f>
        <v>1</v>
      </c>
      <c r="C1873" s="1">
        <v>7</v>
      </c>
      <c r="D1873" s="1">
        <v>176</v>
      </c>
      <c r="E1873" s="1">
        <f>IF(OR(Paths!$C$176=0,C1873=0),0,MAX(0,MIN(C1873*12,Paths!$E$176)-(C1873-1)*12))</f>
        <v>0</v>
      </c>
      <c r="F1873" s="1">
        <f>IF(OR(Paths!$C$176=0,C1873=0),0,12-E1873)</f>
        <v>0</v>
      </c>
      <c r="G1873" s="16">
        <f>IF(NOT(Paths!$C$176=1),0,IF(Paths!$P$176="Complete",E1873/12*(Paths!$J$176*(1+'Operating costs'!$B$51)^MAX(0,C1873-1)+Paths!$K$176*(1+'Operating costs'!$B$53)^MAX(0,C1873-1)),"n.a."))</f>
        <v>0</v>
      </c>
      <c r="H1873" s="16">
        <f>IF(NOT(Paths!$C$176=1),0,IF(Paths!$P$176="Complete",F1873/12*(Paths!$L$176*(1+IF(Paths!$D$176="EV",'Operating costs'!$B$52,'Operating costs'!$B$51))^MAX(0,C1873-1)+Paths!$M$176*(1+'Operating costs'!$B$53)^MAX(0,C1873-1)),"n.a."))</f>
        <v>0</v>
      </c>
      <c r="I1873" s="16">
        <f>IF(NOT(Paths!$C$176=1),0,IF(Paths!$P$176="Complete",IF(IF(Paths!$E$176=0,C1873=0,AND(C1873&gt;0,Paths!$E$176&gt;(C1873-1)*12,Paths!$E$176&lt;=C1873*12)),Paths!$G$176,0),"n.a."))</f>
        <v>0</v>
      </c>
      <c r="J1873" s="16">
        <f>IF(NOT(Paths!$C$176=1),0,IF(Paths!$P$176="Complete",IF(IF(Paths!$E$176=0,C1873=0,AND(C1873&gt;0,Paths!$E$176&gt;(C1873-1)*12,Paths!$E$176&lt;=C1873*12)),Paths!$H$176,0),"n.a."))</f>
        <v>0</v>
      </c>
      <c r="K1873" s="16">
        <f>IF(NOT(Paths!$C$176=1),0,IF(Paths!$P$176="Complete",IF(IF(Paths!$O$176=0,C1873=0,AND(C1873&gt;0,Paths!$O$176&gt;(C1873-1)*12,Paths!$O$176&lt;=C1873*12)),Paths!$N$176,0),"n.a."))</f>
        <v>0</v>
      </c>
      <c r="L1873" s="16">
        <f>IF(NOT(Paths!$C$176=1),0,IF(Paths!$P$176="Complete",IF(C1873=10,Paths!$I$176,0),"n.a."))</f>
        <v>0</v>
      </c>
      <c r="M1873" s="16">
        <f>IF(NOT(Paths!$C$176=1),0,IF(Paths!$P$176="Complete",IF(AND(Paths!$D$176="EV",Paths!$E$176&lt;120,Paths!$E$176+'Operating costs'!$B$65&gt;Paths!$E$176,Paths!$E$176+'Operating costs'!$B$65&lt;=120,IF(Paths!$E$176+'Operating costs'!$B$65=0,C1873=0,AND(C1873&gt;0,Paths!$E$176+'Operating costs'!$B$65&gt;(C1873-1)*12,Paths!$E$176+'Operating costs'!$B$65&lt;=C1873*12))),'Operating costs'!$B$64,0)+IF(AND('Operating costs'!$B$67&gt;0,'Operating costs'!$B$67&lt;=120,OR(Paths!$D$176="ICE",'Operating costs'!$B$67&lt;=Paths!$E$176),IF('Operating costs'!$B$67=0,C1873=0,AND(C1873&gt;0,'Operating costs'!$B$67&gt;(C1873-1)*12,'Operating costs'!$B$67&lt;=C1873*12))),'Operating costs'!$B$66,0),"n.a."))</f>
        <v>0</v>
      </c>
      <c r="N1873" s="16">
        <f>IF(NOT(Paths!$C$176=1),0,IF(Paths!$P$176="Complete",SUM(G1873:I1873)-J1873-K1873-L1873+M1873+IF(C1873=0,Paths!$F$176,0)+IF(IF(Paths!$E$176=0,C1873=0,AND(C1873&gt;0,Paths!$E$176&gt;(C1873-1)*12,Paths!$E$176&lt;=C1873*12)),VLOOKUP(A1873,'Fleet register'!$A$7:$S$106,16,FALSE),0),"n.a."))</f>
        <v>0</v>
      </c>
      <c r="O1873" s="16">
        <f>IF(NOT(Paths!$C$176=1),0,IF(Paths!$P$176="Complete",N1873-IF(C1873=0,Paths!$F$176,0),"n.a."))</f>
        <v>0</v>
      </c>
      <c r="P1873" s="16">
        <f>IF(NOT(Paths!$C$176=1),0,IF(Paths!$P$176="Complete",O1873+L1873,"n.a."))</f>
        <v>0</v>
      </c>
      <c r="Q1873" s="16">
        <f>IF(NOT(Paths!$C$176=1),0,IF(Paths!$P$176="Complete",N1873*(1+'Operating costs'!$B$54)^-C1873,"n.a."))</f>
        <v>0</v>
      </c>
      <c r="R1873" s="16">
        <f>IF(NOT(Paths!$C$176=1),0,IF(Paths!$P$176="Complete",IF(AND(C1873=0,Paths!$E$176=0),I1873-J1873-K1873+VLOOKUP(A1873,'Fleet register'!$A$7:$S$106,15,FALSE)+VLOOKUP(A1873,'Fleet register'!$A$7:$S$106,16,FALSE),0),"n.a."))</f>
        <v>0</v>
      </c>
      <c r="S1873" s="1">
        <f>IF(NOT(Paths!$C$176=1),0,IF(Paths!$P$176="Complete",IF(C1873=0,0,Paths!$S$176*Paths!$R$176),"n.a."))</f>
        <v>0</v>
      </c>
      <c r="T1873" s="1">
        <f>IF(NOT(Paths!$C$176=1),0,IF(Paths!$P$176="Complete",IF(C1873=0,0,VLOOKUP(A1873,'Fleet register'!$A$7:$S$106,9,FALSE)*Paths!$R$176),"n.a."))</f>
        <v>0</v>
      </c>
    </row>
    <row r="1874" spans="1:20" ht="24" customHeight="1">
      <c r="A1874" s="1" t="str">
        <f>Paths!$A$176</f>
        <v>T043</v>
      </c>
      <c r="B1874" s="1">
        <f>Paths!$B$176</f>
        <v>1</v>
      </c>
      <c r="C1874" s="1">
        <v>8</v>
      </c>
      <c r="D1874" s="1">
        <v>176</v>
      </c>
      <c r="E1874" s="1">
        <f>IF(OR(Paths!$C$176=0,C1874=0),0,MAX(0,MIN(C1874*12,Paths!$E$176)-(C1874-1)*12))</f>
        <v>0</v>
      </c>
      <c r="F1874" s="1">
        <f>IF(OR(Paths!$C$176=0,C1874=0),0,12-E1874)</f>
        <v>0</v>
      </c>
      <c r="G1874" s="16">
        <f>IF(NOT(Paths!$C$176=1),0,IF(Paths!$P$176="Complete",E1874/12*(Paths!$J$176*(1+'Operating costs'!$B$51)^MAX(0,C1874-1)+Paths!$K$176*(1+'Operating costs'!$B$53)^MAX(0,C1874-1)),"n.a."))</f>
        <v>0</v>
      </c>
      <c r="H1874" s="16">
        <f>IF(NOT(Paths!$C$176=1),0,IF(Paths!$P$176="Complete",F1874/12*(Paths!$L$176*(1+IF(Paths!$D$176="EV",'Operating costs'!$B$52,'Operating costs'!$B$51))^MAX(0,C1874-1)+Paths!$M$176*(1+'Operating costs'!$B$53)^MAX(0,C1874-1)),"n.a."))</f>
        <v>0</v>
      </c>
      <c r="I1874" s="16">
        <f>IF(NOT(Paths!$C$176=1),0,IF(Paths!$P$176="Complete",IF(IF(Paths!$E$176=0,C1874=0,AND(C1874&gt;0,Paths!$E$176&gt;(C1874-1)*12,Paths!$E$176&lt;=C1874*12)),Paths!$G$176,0),"n.a."))</f>
        <v>0</v>
      </c>
      <c r="J1874" s="16">
        <f>IF(NOT(Paths!$C$176=1),0,IF(Paths!$P$176="Complete",IF(IF(Paths!$E$176=0,C1874=0,AND(C1874&gt;0,Paths!$E$176&gt;(C1874-1)*12,Paths!$E$176&lt;=C1874*12)),Paths!$H$176,0),"n.a."))</f>
        <v>0</v>
      </c>
      <c r="K1874" s="16">
        <f>IF(NOT(Paths!$C$176=1),0,IF(Paths!$P$176="Complete",IF(IF(Paths!$O$176=0,C1874=0,AND(C1874&gt;0,Paths!$O$176&gt;(C1874-1)*12,Paths!$O$176&lt;=C1874*12)),Paths!$N$176,0),"n.a."))</f>
        <v>0</v>
      </c>
      <c r="L1874" s="16">
        <f>IF(NOT(Paths!$C$176=1),0,IF(Paths!$P$176="Complete",IF(C1874=10,Paths!$I$176,0),"n.a."))</f>
        <v>0</v>
      </c>
      <c r="M1874" s="16">
        <f>IF(NOT(Paths!$C$176=1),0,IF(Paths!$P$176="Complete",IF(AND(Paths!$D$176="EV",Paths!$E$176&lt;120,Paths!$E$176+'Operating costs'!$B$65&gt;Paths!$E$176,Paths!$E$176+'Operating costs'!$B$65&lt;=120,IF(Paths!$E$176+'Operating costs'!$B$65=0,C1874=0,AND(C1874&gt;0,Paths!$E$176+'Operating costs'!$B$65&gt;(C1874-1)*12,Paths!$E$176+'Operating costs'!$B$65&lt;=C1874*12))),'Operating costs'!$B$64,0)+IF(AND('Operating costs'!$B$67&gt;0,'Operating costs'!$B$67&lt;=120,OR(Paths!$D$176="ICE",'Operating costs'!$B$67&lt;=Paths!$E$176),IF('Operating costs'!$B$67=0,C1874=0,AND(C1874&gt;0,'Operating costs'!$B$67&gt;(C1874-1)*12,'Operating costs'!$B$67&lt;=C1874*12))),'Operating costs'!$B$66,0),"n.a."))</f>
        <v>0</v>
      </c>
      <c r="N1874" s="16">
        <f>IF(NOT(Paths!$C$176=1),0,IF(Paths!$P$176="Complete",SUM(G1874:I1874)-J1874-K1874-L1874+M1874+IF(C1874=0,Paths!$F$176,0)+IF(IF(Paths!$E$176=0,C1874=0,AND(C1874&gt;0,Paths!$E$176&gt;(C1874-1)*12,Paths!$E$176&lt;=C1874*12)),VLOOKUP(A1874,'Fleet register'!$A$7:$S$106,16,FALSE),0),"n.a."))</f>
        <v>0</v>
      </c>
      <c r="O1874" s="16">
        <f>IF(NOT(Paths!$C$176=1),0,IF(Paths!$P$176="Complete",N1874-IF(C1874=0,Paths!$F$176,0),"n.a."))</f>
        <v>0</v>
      </c>
      <c r="P1874" s="16">
        <f>IF(NOT(Paths!$C$176=1),0,IF(Paths!$P$176="Complete",O1874+L1874,"n.a."))</f>
        <v>0</v>
      </c>
      <c r="Q1874" s="16">
        <f>IF(NOT(Paths!$C$176=1),0,IF(Paths!$P$176="Complete",N1874*(1+'Operating costs'!$B$54)^-C1874,"n.a."))</f>
        <v>0</v>
      </c>
      <c r="R1874" s="16">
        <f>IF(NOT(Paths!$C$176=1),0,IF(Paths!$P$176="Complete",IF(AND(C1874=0,Paths!$E$176=0),I1874-J1874-K1874+VLOOKUP(A1874,'Fleet register'!$A$7:$S$106,15,FALSE)+VLOOKUP(A1874,'Fleet register'!$A$7:$S$106,16,FALSE),0),"n.a."))</f>
        <v>0</v>
      </c>
      <c r="S1874" s="1">
        <f>IF(NOT(Paths!$C$176=1),0,IF(Paths!$P$176="Complete",IF(C1874=0,0,Paths!$S$176*Paths!$R$176),"n.a."))</f>
        <v>0</v>
      </c>
      <c r="T1874" s="1">
        <f>IF(NOT(Paths!$C$176=1),0,IF(Paths!$P$176="Complete",IF(C1874=0,0,VLOOKUP(A1874,'Fleet register'!$A$7:$S$106,9,FALSE)*Paths!$R$176),"n.a."))</f>
        <v>0</v>
      </c>
    </row>
    <row r="1875" spans="1:20" ht="24" customHeight="1">
      <c r="A1875" s="1" t="str">
        <f>Paths!$A$176</f>
        <v>T043</v>
      </c>
      <c r="B1875" s="1">
        <f>Paths!$B$176</f>
        <v>1</v>
      </c>
      <c r="C1875" s="1">
        <v>9</v>
      </c>
      <c r="D1875" s="1">
        <v>176</v>
      </c>
      <c r="E1875" s="1">
        <f>IF(OR(Paths!$C$176=0,C1875=0),0,MAX(0,MIN(C1875*12,Paths!$E$176)-(C1875-1)*12))</f>
        <v>0</v>
      </c>
      <c r="F1875" s="1">
        <f>IF(OR(Paths!$C$176=0,C1875=0),0,12-E1875)</f>
        <v>0</v>
      </c>
      <c r="G1875" s="16">
        <f>IF(NOT(Paths!$C$176=1),0,IF(Paths!$P$176="Complete",E1875/12*(Paths!$J$176*(1+'Operating costs'!$B$51)^MAX(0,C1875-1)+Paths!$K$176*(1+'Operating costs'!$B$53)^MAX(0,C1875-1)),"n.a."))</f>
        <v>0</v>
      </c>
      <c r="H1875" s="16">
        <f>IF(NOT(Paths!$C$176=1),0,IF(Paths!$P$176="Complete",F1875/12*(Paths!$L$176*(1+IF(Paths!$D$176="EV",'Operating costs'!$B$52,'Operating costs'!$B$51))^MAX(0,C1875-1)+Paths!$M$176*(1+'Operating costs'!$B$53)^MAX(0,C1875-1)),"n.a."))</f>
        <v>0</v>
      </c>
      <c r="I1875" s="16">
        <f>IF(NOT(Paths!$C$176=1),0,IF(Paths!$P$176="Complete",IF(IF(Paths!$E$176=0,C1875=0,AND(C1875&gt;0,Paths!$E$176&gt;(C1875-1)*12,Paths!$E$176&lt;=C1875*12)),Paths!$G$176,0),"n.a."))</f>
        <v>0</v>
      </c>
      <c r="J1875" s="16">
        <f>IF(NOT(Paths!$C$176=1),0,IF(Paths!$P$176="Complete",IF(IF(Paths!$E$176=0,C1875=0,AND(C1875&gt;0,Paths!$E$176&gt;(C1875-1)*12,Paths!$E$176&lt;=C1875*12)),Paths!$H$176,0),"n.a."))</f>
        <v>0</v>
      </c>
      <c r="K1875" s="16">
        <f>IF(NOT(Paths!$C$176=1),0,IF(Paths!$P$176="Complete",IF(IF(Paths!$O$176=0,C1875=0,AND(C1875&gt;0,Paths!$O$176&gt;(C1875-1)*12,Paths!$O$176&lt;=C1875*12)),Paths!$N$176,0),"n.a."))</f>
        <v>0</v>
      </c>
      <c r="L1875" s="16">
        <f>IF(NOT(Paths!$C$176=1),0,IF(Paths!$P$176="Complete",IF(C1875=10,Paths!$I$176,0),"n.a."))</f>
        <v>0</v>
      </c>
      <c r="M1875" s="16">
        <f>IF(NOT(Paths!$C$176=1),0,IF(Paths!$P$176="Complete",IF(AND(Paths!$D$176="EV",Paths!$E$176&lt;120,Paths!$E$176+'Operating costs'!$B$65&gt;Paths!$E$176,Paths!$E$176+'Operating costs'!$B$65&lt;=120,IF(Paths!$E$176+'Operating costs'!$B$65=0,C1875=0,AND(C1875&gt;0,Paths!$E$176+'Operating costs'!$B$65&gt;(C1875-1)*12,Paths!$E$176+'Operating costs'!$B$65&lt;=C1875*12))),'Operating costs'!$B$64,0)+IF(AND('Operating costs'!$B$67&gt;0,'Operating costs'!$B$67&lt;=120,OR(Paths!$D$176="ICE",'Operating costs'!$B$67&lt;=Paths!$E$176),IF('Operating costs'!$B$67=0,C1875=0,AND(C1875&gt;0,'Operating costs'!$B$67&gt;(C1875-1)*12,'Operating costs'!$B$67&lt;=C1875*12))),'Operating costs'!$B$66,0),"n.a."))</f>
        <v>0</v>
      </c>
      <c r="N1875" s="16">
        <f>IF(NOT(Paths!$C$176=1),0,IF(Paths!$P$176="Complete",SUM(G1875:I1875)-J1875-K1875-L1875+M1875+IF(C1875=0,Paths!$F$176,0)+IF(IF(Paths!$E$176=0,C1875=0,AND(C1875&gt;0,Paths!$E$176&gt;(C1875-1)*12,Paths!$E$176&lt;=C1875*12)),VLOOKUP(A1875,'Fleet register'!$A$7:$S$106,16,FALSE),0),"n.a."))</f>
        <v>0</v>
      </c>
      <c r="O1875" s="16">
        <f>IF(NOT(Paths!$C$176=1),0,IF(Paths!$P$176="Complete",N1875-IF(C1875=0,Paths!$F$176,0),"n.a."))</f>
        <v>0</v>
      </c>
      <c r="P1875" s="16">
        <f>IF(NOT(Paths!$C$176=1),0,IF(Paths!$P$176="Complete",O1875+L1875,"n.a."))</f>
        <v>0</v>
      </c>
      <c r="Q1875" s="16">
        <f>IF(NOT(Paths!$C$176=1),0,IF(Paths!$P$176="Complete",N1875*(1+'Operating costs'!$B$54)^-C1875,"n.a."))</f>
        <v>0</v>
      </c>
      <c r="R1875" s="16">
        <f>IF(NOT(Paths!$C$176=1),0,IF(Paths!$P$176="Complete",IF(AND(C1875=0,Paths!$E$176=0),I1875-J1875-K1875+VLOOKUP(A1875,'Fleet register'!$A$7:$S$106,15,FALSE)+VLOOKUP(A1875,'Fleet register'!$A$7:$S$106,16,FALSE),0),"n.a."))</f>
        <v>0</v>
      </c>
      <c r="S1875" s="1">
        <f>IF(NOT(Paths!$C$176=1),0,IF(Paths!$P$176="Complete",IF(C1875=0,0,Paths!$S$176*Paths!$R$176),"n.a."))</f>
        <v>0</v>
      </c>
      <c r="T1875" s="1">
        <f>IF(NOT(Paths!$C$176=1),0,IF(Paths!$P$176="Complete",IF(C1875=0,0,VLOOKUP(A1875,'Fleet register'!$A$7:$S$106,9,FALSE)*Paths!$R$176),"n.a."))</f>
        <v>0</v>
      </c>
    </row>
    <row r="1876" spans="1:20" ht="24" customHeight="1">
      <c r="A1876" s="1" t="str">
        <f>Paths!$A$176</f>
        <v>T043</v>
      </c>
      <c r="B1876" s="1">
        <f>Paths!$B$176</f>
        <v>1</v>
      </c>
      <c r="C1876" s="1">
        <v>10</v>
      </c>
      <c r="D1876" s="1">
        <v>176</v>
      </c>
      <c r="E1876" s="1">
        <f>IF(OR(Paths!$C$176=0,C1876=0),0,MAX(0,MIN(C1876*12,Paths!$E$176)-(C1876-1)*12))</f>
        <v>0</v>
      </c>
      <c r="F1876" s="1">
        <f>IF(OR(Paths!$C$176=0,C1876=0),0,12-E1876)</f>
        <v>0</v>
      </c>
      <c r="G1876" s="16">
        <f>IF(NOT(Paths!$C$176=1),0,IF(Paths!$P$176="Complete",E1876/12*(Paths!$J$176*(1+'Operating costs'!$B$51)^MAX(0,C1876-1)+Paths!$K$176*(1+'Operating costs'!$B$53)^MAX(0,C1876-1)),"n.a."))</f>
        <v>0</v>
      </c>
      <c r="H1876" s="16">
        <f>IF(NOT(Paths!$C$176=1),0,IF(Paths!$P$176="Complete",F1876/12*(Paths!$L$176*(1+IF(Paths!$D$176="EV",'Operating costs'!$B$52,'Operating costs'!$B$51))^MAX(0,C1876-1)+Paths!$M$176*(1+'Operating costs'!$B$53)^MAX(0,C1876-1)),"n.a."))</f>
        <v>0</v>
      </c>
      <c r="I1876" s="16">
        <f>IF(NOT(Paths!$C$176=1),0,IF(Paths!$P$176="Complete",IF(IF(Paths!$E$176=0,C1876=0,AND(C1876&gt;0,Paths!$E$176&gt;(C1876-1)*12,Paths!$E$176&lt;=C1876*12)),Paths!$G$176,0),"n.a."))</f>
        <v>0</v>
      </c>
      <c r="J1876" s="16">
        <f>IF(NOT(Paths!$C$176=1),0,IF(Paths!$P$176="Complete",IF(IF(Paths!$E$176=0,C1876=0,AND(C1876&gt;0,Paths!$E$176&gt;(C1876-1)*12,Paths!$E$176&lt;=C1876*12)),Paths!$H$176,0),"n.a."))</f>
        <v>0</v>
      </c>
      <c r="K1876" s="16">
        <f>IF(NOT(Paths!$C$176=1),0,IF(Paths!$P$176="Complete",IF(IF(Paths!$O$176=0,C1876=0,AND(C1876&gt;0,Paths!$O$176&gt;(C1876-1)*12,Paths!$O$176&lt;=C1876*12)),Paths!$N$176,0),"n.a."))</f>
        <v>0</v>
      </c>
      <c r="L1876" s="16">
        <f>IF(NOT(Paths!$C$176=1),0,IF(Paths!$P$176="Complete",IF(C1876=10,Paths!$I$176,0),"n.a."))</f>
        <v>0</v>
      </c>
      <c r="M1876" s="16">
        <f>IF(NOT(Paths!$C$176=1),0,IF(Paths!$P$176="Complete",IF(AND(Paths!$D$176="EV",Paths!$E$176&lt;120,Paths!$E$176+'Operating costs'!$B$65&gt;Paths!$E$176,Paths!$E$176+'Operating costs'!$B$65&lt;=120,IF(Paths!$E$176+'Operating costs'!$B$65=0,C1876=0,AND(C1876&gt;0,Paths!$E$176+'Operating costs'!$B$65&gt;(C1876-1)*12,Paths!$E$176+'Operating costs'!$B$65&lt;=C1876*12))),'Operating costs'!$B$64,0)+IF(AND('Operating costs'!$B$67&gt;0,'Operating costs'!$B$67&lt;=120,OR(Paths!$D$176="ICE",'Operating costs'!$B$67&lt;=Paths!$E$176),IF('Operating costs'!$B$67=0,C1876=0,AND(C1876&gt;0,'Operating costs'!$B$67&gt;(C1876-1)*12,'Operating costs'!$B$67&lt;=C1876*12))),'Operating costs'!$B$66,0),"n.a."))</f>
        <v>0</v>
      </c>
      <c r="N1876" s="16">
        <f>IF(NOT(Paths!$C$176=1),0,IF(Paths!$P$176="Complete",SUM(G1876:I1876)-J1876-K1876-L1876+M1876+IF(C1876=0,Paths!$F$176,0)+IF(IF(Paths!$E$176=0,C1876=0,AND(C1876&gt;0,Paths!$E$176&gt;(C1876-1)*12,Paths!$E$176&lt;=C1876*12)),VLOOKUP(A1876,'Fleet register'!$A$7:$S$106,16,FALSE),0),"n.a."))</f>
        <v>0</v>
      </c>
      <c r="O1876" s="16">
        <f>IF(NOT(Paths!$C$176=1),0,IF(Paths!$P$176="Complete",N1876-IF(C1876=0,Paths!$F$176,0),"n.a."))</f>
        <v>0</v>
      </c>
      <c r="P1876" s="16">
        <f>IF(NOT(Paths!$C$176=1),0,IF(Paths!$P$176="Complete",O1876+L1876,"n.a."))</f>
        <v>0</v>
      </c>
      <c r="Q1876" s="16">
        <f>IF(NOT(Paths!$C$176=1),0,IF(Paths!$P$176="Complete",N1876*(1+'Operating costs'!$B$54)^-C1876,"n.a."))</f>
        <v>0</v>
      </c>
      <c r="R1876" s="16">
        <f>IF(NOT(Paths!$C$176=1),0,IF(Paths!$P$176="Complete",IF(AND(C1876=0,Paths!$E$176=0),I1876-J1876-K1876+VLOOKUP(A1876,'Fleet register'!$A$7:$S$106,15,FALSE)+VLOOKUP(A1876,'Fleet register'!$A$7:$S$106,16,FALSE),0),"n.a."))</f>
        <v>0</v>
      </c>
      <c r="S1876" s="1">
        <f>IF(NOT(Paths!$C$176=1),0,IF(Paths!$P$176="Complete",IF(C1876=0,0,Paths!$S$176*Paths!$R$176),"n.a."))</f>
        <v>0</v>
      </c>
      <c r="T1876" s="1">
        <f>IF(NOT(Paths!$C$176=1),0,IF(Paths!$P$176="Complete",IF(C1876=0,0,VLOOKUP(A1876,'Fleet register'!$A$7:$S$106,9,FALSE)*Paths!$R$176),"n.a."))</f>
        <v>0</v>
      </c>
    </row>
    <row r="1877" spans="1:20" ht="24" customHeight="1">
      <c r="A1877" s="1" t="str">
        <f>Paths!$A$177</f>
        <v>T043</v>
      </c>
      <c r="B1877" s="1">
        <f>Paths!$B$177</f>
        <v>2</v>
      </c>
      <c r="C1877" s="1">
        <v>0</v>
      </c>
      <c r="D1877" s="1">
        <v>177</v>
      </c>
      <c r="E1877" s="1">
        <f>IF(OR(Paths!$C$177=0,C1877=0),0,MAX(0,MIN(C1877*12,Paths!$E$177)-(C1877-1)*12))</f>
        <v>0</v>
      </c>
      <c r="F1877" s="1">
        <f>IF(OR(Paths!$C$177=0,C1877=0),0,12-E1877)</f>
        <v>0</v>
      </c>
      <c r="G1877" s="16">
        <f>IF(NOT(Paths!$C$177=1),0,IF(Paths!$P$177="Complete",E1877/12*(Paths!$J$177*(1+'Operating costs'!$B$51)^MAX(0,C1877-1)+Paths!$K$177*(1+'Operating costs'!$B$53)^MAX(0,C1877-1)),"n.a."))</f>
        <v>0</v>
      </c>
      <c r="H1877" s="16">
        <f>IF(NOT(Paths!$C$177=1),0,IF(Paths!$P$177="Complete",F1877/12*(Paths!$L$177*(1+IF(Paths!$D$177="EV",'Operating costs'!$B$52,'Operating costs'!$B$51))^MAX(0,C1877-1)+Paths!$M$177*(1+'Operating costs'!$B$53)^MAX(0,C1877-1)),"n.a."))</f>
        <v>0</v>
      </c>
      <c r="I1877" s="16">
        <f>IF(NOT(Paths!$C$177=1),0,IF(Paths!$P$177="Complete",IF(IF(Paths!$E$177=0,C1877=0,AND(C1877&gt;0,Paths!$E$177&gt;(C1877-1)*12,Paths!$E$177&lt;=C1877*12)),Paths!$G$177,0),"n.a."))</f>
        <v>0</v>
      </c>
      <c r="J1877" s="16">
        <f>IF(NOT(Paths!$C$177=1),0,IF(Paths!$P$177="Complete",IF(IF(Paths!$E$177=0,C1877=0,AND(C1877&gt;0,Paths!$E$177&gt;(C1877-1)*12,Paths!$E$177&lt;=C1877*12)),Paths!$H$177,0),"n.a."))</f>
        <v>0</v>
      </c>
      <c r="K1877" s="16">
        <f>IF(NOT(Paths!$C$177=1),0,IF(Paths!$P$177="Complete",IF(IF(Paths!$O$177=0,C1877=0,AND(C1877&gt;0,Paths!$O$177&gt;(C1877-1)*12,Paths!$O$177&lt;=C1877*12)),Paths!$N$177,0),"n.a."))</f>
        <v>0</v>
      </c>
      <c r="L1877" s="16">
        <f>IF(NOT(Paths!$C$177=1),0,IF(Paths!$P$177="Complete",IF(C1877=10,Paths!$I$177,0),"n.a."))</f>
        <v>0</v>
      </c>
      <c r="M1877" s="16">
        <f>IF(NOT(Paths!$C$177=1),0,IF(Paths!$P$177="Complete",IF(AND(Paths!$D$177="EV",Paths!$E$177&lt;120,Paths!$E$177+'Operating costs'!$B$65&gt;Paths!$E$177,Paths!$E$177+'Operating costs'!$B$65&lt;=120,IF(Paths!$E$177+'Operating costs'!$B$65=0,C1877=0,AND(C1877&gt;0,Paths!$E$177+'Operating costs'!$B$65&gt;(C1877-1)*12,Paths!$E$177+'Operating costs'!$B$65&lt;=C1877*12))),'Operating costs'!$B$64,0)+IF(AND('Operating costs'!$B$67&gt;0,'Operating costs'!$B$67&lt;=120,OR(Paths!$D$177="ICE",'Operating costs'!$B$67&lt;=Paths!$E$177),IF('Operating costs'!$B$67=0,C1877=0,AND(C1877&gt;0,'Operating costs'!$B$67&gt;(C1877-1)*12,'Operating costs'!$B$67&lt;=C1877*12))),'Operating costs'!$B$66,0),"n.a."))</f>
        <v>0</v>
      </c>
      <c r="N1877" s="16">
        <f>IF(NOT(Paths!$C$177=1),0,IF(Paths!$P$177="Complete",SUM(G1877:I1877)-J1877-K1877-L1877+M1877+IF(C1877=0,Paths!$F$177,0)+IF(IF(Paths!$E$177=0,C1877=0,AND(C1877&gt;0,Paths!$E$177&gt;(C1877-1)*12,Paths!$E$177&lt;=C1877*12)),VLOOKUP(A1877,'Fleet register'!$A$7:$S$106,16,FALSE),0),"n.a."))</f>
        <v>0</v>
      </c>
      <c r="O1877" s="16">
        <f>IF(NOT(Paths!$C$177=1),0,IF(Paths!$P$177="Complete",N1877-IF(C1877=0,Paths!$F$177,0),"n.a."))</f>
        <v>0</v>
      </c>
      <c r="P1877" s="16">
        <f>IF(NOT(Paths!$C$177=1),0,IF(Paths!$P$177="Complete",O1877+L1877,"n.a."))</f>
        <v>0</v>
      </c>
      <c r="Q1877" s="16">
        <f>IF(NOT(Paths!$C$177=1),0,IF(Paths!$P$177="Complete",N1877*(1+'Operating costs'!$B$54)^-C1877,"n.a."))</f>
        <v>0</v>
      </c>
      <c r="R1877" s="16">
        <f>IF(NOT(Paths!$C$177=1),0,IF(Paths!$P$177="Complete",IF(AND(C1877=0,Paths!$E$177=0),I1877-J1877-K1877+VLOOKUP(A1877,'Fleet register'!$A$7:$S$106,15,FALSE)+VLOOKUP(A1877,'Fleet register'!$A$7:$S$106,16,FALSE),0),"n.a."))</f>
        <v>0</v>
      </c>
      <c r="S1877" s="1">
        <f>IF(NOT(Paths!$C$177=1),0,IF(Paths!$P$177="Complete",IF(C1877=0,0,Paths!$S$177*Paths!$R$177),"n.a."))</f>
        <v>0</v>
      </c>
      <c r="T1877" s="1">
        <f>IF(NOT(Paths!$C$177=1),0,IF(Paths!$P$177="Complete",IF(C1877=0,0,VLOOKUP(A1877,'Fleet register'!$A$7:$S$106,9,FALSE)*Paths!$R$177),"n.a."))</f>
        <v>0</v>
      </c>
    </row>
    <row r="1878" spans="1:20" ht="24" customHeight="1">
      <c r="A1878" s="1" t="str">
        <f>Paths!$A$177</f>
        <v>T043</v>
      </c>
      <c r="B1878" s="1">
        <f>Paths!$B$177</f>
        <v>2</v>
      </c>
      <c r="C1878" s="1">
        <v>1</v>
      </c>
      <c r="D1878" s="1">
        <v>177</v>
      </c>
      <c r="E1878" s="1">
        <f>IF(OR(Paths!$C$177=0,C1878=0),0,MAX(0,MIN(C1878*12,Paths!$E$177)-(C1878-1)*12))</f>
        <v>0</v>
      </c>
      <c r="F1878" s="1">
        <f>IF(OR(Paths!$C$177=0,C1878=0),0,12-E1878)</f>
        <v>0</v>
      </c>
      <c r="G1878" s="16">
        <f>IF(NOT(Paths!$C$177=1),0,IF(Paths!$P$177="Complete",E1878/12*(Paths!$J$177*(1+'Operating costs'!$B$51)^MAX(0,C1878-1)+Paths!$K$177*(1+'Operating costs'!$B$53)^MAX(0,C1878-1)),"n.a."))</f>
        <v>0</v>
      </c>
      <c r="H1878" s="16">
        <f>IF(NOT(Paths!$C$177=1),0,IF(Paths!$P$177="Complete",F1878/12*(Paths!$L$177*(1+IF(Paths!$D$177="EV",'Operating costs'!$B$52,'Operating costs'!$B$51))^MAX(0,C1878-1)+Paths!$M$177*(1+'Operating costs'!$B$53)^MAX(0,C1878-1)),"n.a."))</f>
        <v>0</v>
      </c>
      <c r="I1878" s="16">
        <f>IF(NOT(Paths!$C$177=1),0,IF(Paths!$P$177="Complete",IF(IF(Paths!$E$177=0,C1878=0,AND(C1878&gt;0,Paths!$E$177&gt;(C1878-1)*12,Paths!$E$177&lt;=C1878*12)),Paths!$G$177,0),"n.a."))</f>
        <v>0</v>
      </c>
      <c r="J1878" s="16">
        <f>IF(NOT(Paths!$C$177=1),0,IF(Paths!$P$177="Complete",IF(IF(Paths!$E$177=0,C1878=0,AND(C1878&gt;0,Paths!$E$177&gt;(C1878-1)*12,Paths!$E$177&lt;=C1878*12)),Paths!$H$177,0),"n.a."))</f>
        <v>0</v>
      </c>
      <c r="K1878" s="16">
        <f>IF(NOT(Paths!$C$177=1),0,IF(Paths!$P$177="Complete",IF(IF(Paths!$O$177=0,C1878=0,AND(C1878&gt;0,Paths!$O$177&gt;(C1878-1)*12,Paths!$O$177&lt;=C1878*12)),Paths!$N$177,0),"n.a."))</f>
        <v>0</v>
      </c>
      <c r="L1878" s="16">
        <f>IF(NOT(Paths!$C$177=1),0,IF(Paths!$P$177="Complete",IF(C1878=10,Paths!$I$177,0),"n.a."))</f>
        <v>0</v>
      </c>
      <c r="M1878" s="16">
        <f>IF(NOT(Paths!$C$177=1),0,IF(Paths!$P$177="Complete",IF(AND(Paths!$D$177="EV",Paths!$E$177&lt;120,Paths!$E$177+'Operating costs'!$B$65&gt;Paths!$E$177,Paths!$E$177+'Operating costs'!$B$65&lt;=120,IF(Paths!$E$177+'Operating costs'!$B$65=0,C1878=0,AND(C1878&gt;0,Paths!$E$177+'Operating costs'!$B$65&gt;(C1878-1)*12,Paths!$E$177+'Operating costs'!$B$65&lt;=C1878*12))),'Operating costs'!$B$64,0)+IF(AND('Operating costs'!$B$67&gt;0,'Operating costs'!$B$67&lt;=120,OR(Paths!$D$177="ICE",'Operating costs'!$B$67&lt;=Paths!$E$177),IF('Operating costs'!$B$67=0,C1878=0,AND(C1878&gt;0,'Operating costs'!$B$67&gt;(C1878-1)*12,'Operating costs'!$B$67&lt;=C1878*12))),'Operating costs'!$B$66,0),"n.a."))</f>
        <v>0</v>
      </c>
      <c r="N1878" s="16">
        <f>IF(NOT(Paths!$C$177=1),0,IF(Paths!$P$177="Complete",SUM(G1878:I1878)-J1878-K1878-L1878+M1878+IF(C1878=0,Paths!$F$177,0)+IF(IF(Paths!$E$177=0,C1878=0,AND(C1878&gt;0,Paths!$E$177&gt;(C1878-1)*12,Paths!$E$177&lt;=C1878*12)),VLOOKUP(A1878,'Fleet register'!$A$7:$S$106,16,FALSE),0),"n.a."))</f>
        <v>0</v>
      </c>
      <c r="O1878" s="16">
        <f>IF(NOT(Paths!$C$177=1),0,IF(Paths!$P$177="Complete",N1878-IF(C1878=0,Paths!$F$177,0),"n.a."))</f>
        <v>0</v>
      </c>
      <c r="P1878" s="16">
        <f>IF(NOT(Paths!$C$177=1),0,IF(Paths!$P$177="Complete",O1878+L1878,"n.a."))</f>
        <v>0</v>
      </c>
      <c r="Q1878" s="16">
        <f>IF(NOT(Paths!$C$177=1),0,IF(Paths!$P$177="Complete",N1878*(1+'Operating costs'!$B$54)^-C1878,"n.a."))</f>
        <v>0</v>
      </c>
      <c r="R1878" s="16">
        <f>IF(NOT(Paths!$C$177=1),0,IF(Paths!$P$177="Complete",IF(AND(C1878=0,Paths!$E$177=0),I1878-J1878-K1878+VLOOKUP(A1878,'Fleet register'!$A$7:$S$106,15,FALSE)+VLOOKUP(A1878,'Fleet register'!$A$7:$S$106,16,FALSE),0),"n.a."))</f>
        <v>0</v>
      </c>
      <c r="S1878" s="1">
        <f>IF(NOT(Paths!$C$177=1),0,IF(Paths!$P$177="Complete",IF(C1878=0,0,Paths!$S$177*Paths!$R$177),"n.a."))</f>
        <v>0</v>
      </c>
      <c r="T1878" s="1">
        <f>IF(NOT(Paths!$C$177=1),0,IF(Paths!$P$177="Complete",IF(C1878=0,0,VLOOKUP(A1878,'Fleet register'!$A$7:$S$106,9,FALSE)*Paths!$R$177),"n.a."))</f>
        <v>0</v>
      </c>
    </row>
    <row r="1879" spans="1:20" ht="24" customHeight="1">
      <c r="A1879" s="1" t="str">
        <f>Paths!$A$177</f>
        <v>T043</v>
      </c>
      <c r="B1879" s="1">
        <f>Paths!$B$177</f>
        <v>2</v>
      </c>
      <c r="C1879" s="1">
        <v>2</v>
      </c>
      <c r="D1879" s="1">
        <v>177</v>
      </c>
      <c r="E1879" s="1">
        <f>IF(OR(Paths!$C$177=0,C1879=0),0,MAX(0,MIN(C1879*12,Paths!$E$177)-(C1879-1)*12))</f>
        <v>0</v>
      </c>
      <c r="F1879" s="1">
        <f>IF(OR(Paths!$C$177=0,C1879=0),0,12-E1879)</f>
        <v>0</v>
      </c>
      <c r="G1879" s="16">
        <f>IF(NOT(Paths!$C$177=1),0,IF(Paths!$P$177="Complete",E1879/12*(Paths!$J$177*(1+'Operating costs'!$B$51)^MAX(0,C1879-1)+Paths!$K$177*(1+'Operating costs'!$B$53)^MAX(0,C1879-1)),"n.a."))</f>
        <v>0</v>
      </c>
      <c r="H1879" s="16">
        <f>IF(NOT(Paths!$C$177=1),0,IF(Paths!$P$177="Complete",F1879/12*(Paths!$L$177*(1+IF(Paths!$D$177="EV",'Operating costs'!$B$52,'Operating costs'!$B$51))^MAX(0,C1879-1)+Paths!$M$177*(1+'Operating costs'!$B$53)^MAX(0,C1879-1)),"n.a."))</f>
        <v>0</v>
      </c>
      <c r="I1879" s="16">
        <f>IF(NOT(Paths!$C$177=1),0,IF(Paths!$P$177="Complete",IF(IF(Paths!$E$177=0,C1879=0,AND(C1879&gt;0,Paths!$E$177&gt;(C1879-1)*12,Paths!$E$177&lt;=C1879*12)),Paths!$G$177,0),"n.a."))</f>
        <v>0</v>
      </c>
      <c r="J1879" s="16">
        <f>IF(NOT(Paths!$C$177=1),0,IF(Paths!$P$177="Complete",IF(IF(Paths!$E$177=0,C1879=0,AND(C1879&gt;0,Paths!$E$177&gt;(C1879-1)*12,Paths!$E$177&lt;=C1879*12)),Paths!$H$177,0),"n.a."))</f>
        <v>0</v>
      </c>
      <c r="K1879" s="16">
        <f>IF(NOT(Paths!$C$177=1),0,IF(Paths!$P$177="Complete",IF(IF(Paths!$O$177=0,C1879=0,AND(C1879&gt;0,Paths!$O$177&gt;(C1879-1)*12,Paths!$O$177&lt;=C1879*12)),Paths!$N$177,0),"n.a."))</f>
        <v>0</v>
      </c>
      <c r="L1879" s="16">
        <f>IF(NOT(Paths!$C$177=1),0,IF(Paths!$P$177="Complete",IF(C1879=10,Paths!$I$177,0),"n.a."))</f>
        <v>0</v>
      </c>
      <c r="M1879" s="16">
        <f>IF(NOT(Paths!$C$177=1),0,IF(Paths!$P$177="Complete",IF(AND(Paths!$D$177="EV",Paths!$E$177&lt;120,Paths!$E$177+'Operating costs'!$B$65&gt;Paths!$E$177,Paths!$E$177+'Operating costs'!$B$65&lt;=120,IF(Paths!$E$177+'Operating costs'!$B$65=0,C1879=0,AND(C1879&gt;0,Paths!$E$177+'Operating costs'!$B$65&gt;(C1879-1)*12,Paths!$E$177+'Operating costs'!$B$65&lt;=C1879*12))),'Operating costs'!$B$64,0)+IF(AND('Operating costs'!$B$67&gt;0,'Operating costs'!$B$67&lt;=120,OR(Paths!$D$177="ICE",'Operating costs'!$B$67&lt;=Paths!$E$177),IF('Operating costs'!$B$67=0,C1879=0,AND(C1879&gt;0,'Operating costs'!$B$67&gt;(C1879-1)*12,'Operating costs'!$B$67&lt;=C1879*12))),'Operating costs'!$B$66,0),"n.a."))</f>
        <v>0</v>
      </c>
      <c r="N1879" s="16">
        <f>IF(NOT(Paths!$C$177=1),0,IF(Paths!$P$177="Complete",SUM(G1879:I1879)-J1879-K1879-L1879+M1879+IF(C1879=0,Paths!$F$177,0)+IF(IF(Paths!$E$177=0,C1879=0,AND(C1879&gt;0,Paths!$E$177&gt;(C1879-1)*12,Paths!$E$177&lt;=C1879*12)),VLOOKUP(A1879,'Fleet register'!$A$7:$S$106,16,FALSE),0),"n.a."))</f>
        <v>0</v>
      </c>
      <c r="O1879" s="16">
        <f>IF(NOT(Paths!$C$177=1),0,IF(Paths!$P$177="Complete",N1879-IF(C1879=0,Paths!$F$177,0),"n.a."))</f>
        <v>0</v>
      </c>
      <c r="P1879" s="16">
        <f>IF(NOT(Paths!$C$177=1),0,IF(Paths!$P$177="Complete",O1879+L1879,"n.a."))</f>
        <v>0</v>
      </c>
      <c r="Q1879" s="16">
        <f>IF(NOT(Paths!$C$177=1),0,IF(Paths!$P$177="Complete",N1879*(1+'Operating costs'!$B$54)^-C1879,"n.a."))</f>
        <v>0</v>
      </c>
      <c r="R1879" s="16">
        <f>IF(NOT(Paths!$C$177=1),0,IF(Paths!$P$177="Complete",IF(AND(C1879=0,Paths!$E$177=0),I1879-J1879-K1879+VLOOKUP(A1879,'Fleet register'!$A$7:$S$106,15,FALSE)+VLOOKUP(A1879,'Fleet register'!$A$7:$S$106,16,FALSE),0),"n.a."))</f>
        <v>0</v>
      </c>
      <c r="S1879" s="1">
        <f>IF(NOT(Paths!$C$177=1),0,IF(Paths!$P$177="Complete",IF(C1879=0,0,Paths!$S$177*Paths!$R$177),"n.a."))</f>
        <v>0</v>
      </c>
      <c r="T1879" s="1">
        <f>IF(NOT(Paths!$C$177=1),0,IF(Paths!$P$177="Complete",IF(C1879=0,0,VLOOKUP(A1879,'Fleet register'!$A$7:$S$106,9,FALSE)*Paths!$R$177),"n.a."))</f>
        <v>0</v>
      </c>
    </row>
    <row r="1880" spans="1:20" ht="24" customHeight="1">
      <c r="A1880" s="1" t="str">
        <f>Paths!$A$177</f>
        <v>T043</v>
      </c>
      <c r="B1880" s="1">
        <f>Paths!$B$177</f>
        <v>2</v>
      </c>
      <c r="C1880" s="1">
        <v>3</v>
      </c>
      <c r="D1880" s="1">
        <v>177</v>
      </c>
      <c r="E1880" s="1">
        <f>IF(OR(Paths!$C$177=0,C1880=0),0,MAX(0,MIN(C1880*12,Paths!$E$177)-(C1880-1)*12))</f>
        <v>0</v>
      </c>
      <c r="F1880" s="1">
        <f>IF(OR(Paths!$C$177=0,C1880=0),0,12-E1880)</f>
        <v>0</v>
      </c>
      <c r="G1880" s="16">
        <f>IF(NOT(Paths!$C$177=1),0,IF(Paths!$P$177="Complete",E1880/12*(Paths!$J$177*(1+'Operating costs'!$B$51)^MAX(0,C1880-1)+Paths!$K$177*(1+'Operating costs'!$B$53)^MAX(0,C1880-1)),"n.a."))</f>
        <v>0</v>
      </c>
      <c r="H1880" s="16">
        <f>IF(NOT(Paths!$C$177=1),0,IF(Paths!$P$177="Complete",F1880/12*(Paths!$L$177*(1+IF(Paths!$D$177="EV",'Operating costs'!$B$52,'Operating costs'!$B$51))^MAX(0,C1880-1)+Paths!$M$177*(1+'Operating costs'!$B$53)^MAX(0,C1880-1)),"n.a."))</f>
        <v>0</v>
      </c>
      <c r="I1880" s="16">
        <f>IF(NOT(Paths!$C$177=1),0,IF(Paths!$P$177="Complete",IF(IF(Paths!$E$177=0,C1880=0,AND(C1880&gt;0,Paths!$E$177&gt;(C1880-1)*12,Paths!$E$177&lt;=C1880*12)),Paths!$G$177,0),"n.a."))</f>
        <v>0</v>
      </c>
      <c r="J1880" s="16">
        <f>IF(NOT(Paths!$C$177=1),0,IF(Paths!$P$177="Complete",IF(IF(Paths!$E$177=0,C1880=0,AND(C1880&gt;0,Paths!$E$177&gt;(C1880-1)*12,Paths!$E$177&lt;=C1880*12)),Paths!$H$177,0),"n.a."))</f>
        <v>0</v>
      </c>
      <c r="K1880" s="16">
        <f>IF(NOT(Paths!$C$177=1),0,IF(Paths!$P$177="Complete",IF(IF(Paths!$O$177=0,C1880=0,AND(C1880&gt;0,Paths!$O$177&gt;(C1880-1)*12,Paths!$O$177&lt;=C1880*12)),Paths!$N$177,0),"n.a."))</f>
        <v>0</v>
      </c>
      <c r="L1880" s="16">
        <f>IF(NOT(Paths!$C$177=1),0,IF(Paths!$P$177="Complete",IF(C1880=10,Paths!$I$177,0),"n.a."))</f>
        <v>0</v>
      </c>
      <c r="M1880" s="16">
        <f>IF(NOT(Paths!$C$177=1),0,IF(Paths!$P$177="Complete",IF(AND(Paths!$D$177="EV",Paths!$E$177&lt;120,Paths!$E$177+'Operating costs'!$B$65&gt;Paths!$E$177,Paths!$E$177+'Operating costs'!$B$65&lt;=120,IF(Paths!$E$177+'Operating costs'!$B$65=0,C1880=0,AND(C1880&gt;0,Paths!$E$177+'Operating costs'!$B$65&gt;(C1880-1)*12,Paths!$E$177+'Operating costs'!$B$65&lt;=C1880*12))),'Operating costs'!$B$64,0)+IF(AND('Operating costs'!$B$67&gt;0,'Operating costs'!$B$67&lt;=120,OR(Paths!$D$177="ICE",'Operating costs'!$B$67&lt;=Paths!$E$177),IF('Operating costs'!$B$67=0,C1880=0,AND(C1880&gt;0,'Operating costs'!$B$67&gt;(C1880-1)*12,'Operating costs'!$B$67&lt;=C1880*12))),'Operating costs'!$B$66,0),"n.a."))</f>
        <v>0</v>
      </c>
      <c r="N1880" s="16">
        <f>IF(NOT(Paths!$C$177=1),0,IF(Paths!$P$177="Complete",SUM(G1880:I1880)-J1880-K1880-L1880+M1880+IF(C1880=0,Paths!$F$177,0)+IF(IF(Paths!$E$177=0,C1880=0,AND(C1880&gt;0,Paths!$E$177&gt;(C1880-1)*12,Paths!$E$177&lt;=C1880*12)),VLOOKUP(A1880,'Fleet register'!$A$7:$S$106,16,FALSE),0),"n.a."))</f>
        <v>0</v>
      </c>
      <c r="O1880" s="16">
        <f>IF(NOT(Paths!$C$177=1),0,IF(Paths!$P$177="Complete",N1880-IF(C1880=0,Paths!$F$177,0),"n.a."))</f>
        <v>0</v>
      </c>
      <c r="P1880" s="16">
        <f>IF(NOT(Paths!$C$177=1),0,IF(Paths!$P$177="Complete",O1880+L1880,"n.a."))</f>
        <v>0</v>
      </c>
      <c r="Q1880" s="16">
        <f>IF(NOT(Paths!$C$177=1),0,IF(Paths!$P$177="Complete",N1880*(1+'Operating costs'!$B$54)^-C1880,"n.a."))</f>
        <v>0</v>
      </c>
      <c r="R1880" s="16">
        <f>IF(NOT(Paths!$C$177=1),0,IF(Paths!$P$177="Complete",IF(AND(C1880=0,Paths!$E$177=0),I1880-J1880-K1880+VLOOKUP(A1880,'Fleet register'!$A$7:$S$106,15,FALSE)+VLOOKUP(A1880,'Fleet register'!$A$7:$S$106,16,FALSE),0),"n.a."))</f>
        <v>0</v>
      </c>
      <c r="S1880" s="1">
        <f>IF(NOT(Paths!$C$177=1),0,IF(Paths!$P$177="Complete",IF(C1880=0,0,Paths!$S$177*Paths!$R$177),"n.a."))</f>
        <v>0</v>
      </c>
      <c r="T1880" s="1">
        <f>IF(NOT(Paths!$C$177=1),0,IF(Paths!$P$177="Complete",IF(C1880=0,0,VLOOKUP(A1880,'Fleet register'!$A$7:$S$106,9,FALSE)*Paths!$R$177),"n.a."))</f>
        <v>0</v>
      </c>
    </row>
    <row r="1881" spans="1:20" ht="24" customHeight="1">
      <c r="A1881" s="1" t="str">
        <f>Paths!$A$177</f>
        <v>T043</v>
      </c>
      <c r="B1881" s="1">
        <f>Paths!$B$177</f>
        <v>2</v>
      </c>
      <c r="C1881" s="1">
        <v>4</v>
      </c>
      <c r="D1881" s="1">
        <v>177</v>
      </c>
      <c r="E1881" s="1">
        <f>IF(OR(Paths!$C$177=0,C1881=0),0,MAX(0,MIN(C1881*12,Paths!$E$177)-(C1881-1)*12))</f>
        <v>0</v>
      </c>
      <c r="F1881" s="1">
        <f>IF(OR(Paths!$C$177=0,C1881=0),0,12-E1881)</f>
        <v>0</v>
      </c>
      <c r="G1881" s="16">
        <f>IF(NOT(Paths!$C$177=1),0,IF(Paths!$P$177="Complete",E1881/12*(Paths!$J$177*(1+'Operating costs'!$B$51)^MAX(0,C1881-1)+Paths!$K$177*(1+'Operating costs'!$B$53)^MAX(0,C1881-1)),"n.a."))</f>
        <v>0</v>
      </c>
      <c r="H1881" s="16">
        <f>IF(NOT(Paths!$C$177=1),0,IF(Paths!$P$177="Complete",F1881/12*(Paths!$L$177*(1+IF(Paths!$D$177="EV",'Operating costs'!$B$52,'Operating costs'!$B$51))^MAX(0,C1881-1)+Paths!$M$177*(1+'Operating costs'!$B$53)^MAX(0,C1881-1)),"n.a."))</f>
        <v>0</v>
      </c>
      <c r="I1881" s="16">
        <f>IF(NOT(Paths!$C$177=1),0,IF(Paths!$P$177="Complete",IF(IF(Paths!$E$177=0,C1881=0,AND(C1881&gt;0,Paths!$E$177&gt;(C1881-1)*12,Paths!$E$177&lt;=C1881*12)),Paths!$G$177,0),"n.a."))</f>
        <v>0</v>
      </c>
      <c r="J1881" s="16">
        <f>IF(NOT(Paths!$C$177=1),0,IF(Paths!$P$177="Complete",IF(IF(Paths!$E$177=0,C1881=0,AND(C1881&gt;0,Paths!$E$177&gt;(C1881-1)*12,Paths!$E$177&lt;=C1881*12)),Paths!$H$177,0),"n.a."))</f>
        <v>0</v>
      </c>
      <c r="K1881" s="16">
        <f>IF(NOT(Paths!$C$177=1),0,IF(Paths!$P$177="Complete",IF(IF(Paths!$O$177=0,C1881=0,AND(C1881&gt;0,Paths!$O$177&gt;(C1881-1)*12,Paths!$O$177&lt;=C1881*12)),Paths!$N$177,0),"n.a."))</f>
        <v>0</v>
      </c>
      <c r="L1881" s="16">
        <f>IF(NOT(Paths!$C$177=1),0,IF(Paths!$P$177="Complete",IF(C1881=10,Paths!$I$177,0),"n.a."))</f>
        <v>0</v>
      </c>
      <c r="M1881" s="16">
        <f>IF(NOT(Paths!$C$177=1),0,IF(Paths!$P$177="Complete",IF(AND(Paths!$D$177="EV",Paths!$E$177&lt;120,Paths!$E$177+'Operating costs'!$B$65&gt;Paths!$E$177,Paths!$E$177+'Operating costs'!$B$65&lt;=120,IF(Paths!$E$177+'Operating costs'!$B$65=0,C1881=0,AND(C1881&gt;0,Paths!$E$177+'Operating costs'!$B$65&gt;(C1881-1)*12,Paths!$E$177+'Operating costs'!$B$65&lt;=C1881*12))),'Operating costs'!$B$64,0)+IF(AND('Operating costs'!$B$67&gt;0,'Operating costs'!$B$67&lt;=120,OR(Paths!$D$177="ICE",'Operating costs'!$B$67&lt;=Paths!$E$177),IF('Operating costs'!$B$67=0,C1881=0,AND(C1881&gt;0,'Operating costs'!$B$67&gt;(C1881-1)*12,'Operating costs'!$B$67&lt;=C1881*12))),'Operating costs'!$B$66,0),"n.a."))</f>
        <v>0</v>
      </c>
      <c r="N1881" s="16">
        <f>IF(NOT(Paths!$C$177=1),0,IF(Paths!$P$177="Complete",SUM(G1881:I1881)-J1881-K1881-L1881+M1881+IF(C1881=0,Paths!$F$177,0)+IF(IF(Paths!$E$177=0,C1881=0,AND(C1881&gt;0,Paths!$E$177&gt;(C1881-1)*12,Paths!$E$177&lt;=C1881*12)),VLOOKUP(A1881,'Fleet register'!$A$7:$S$106,16,FALSE),0),"n.a."))</f>
        <v>0</v>
      </c>
      <c r="O1881" s="16">
        <f>IF(NOT(Paths!$C$177=1),0,IF(Paths!$P$177="Complete",N1881-IF(C1881=0,Paths!$F$177,0),"n.a."))</f>
        <v>0</v>
      </c>
      <c r="P1881" s="16">
        <f>IF(NOT(Paths!$C$177=1),0,IF(Paths!$P$177="Complete",O1881+L1881,"n.a."))</f>
        <v>0</v>
      </c>
      <c r="Q1881" s="16">
        <f>IF(NOT(Paths!$C$177=1),0,IF(Paths!$P$177="Complete",N1881*(1+'Operating costs'!$B$54)^-C1881,"n.a."))</f>
        <v>0</v>
      </c>
      <c r="R1881" s="16">
        <f>IF(NOT(Paths!$C$177=1),0,IF(Paths!$P$177="Complete",IF(AND(C1881=0,Paths!$E$177=0),I1881-J1881-K1881+VLOOKUP(A1881,'Fleet register'!$A$7:$S$106,15,FALSE)+VLOOKUP(A1881,'Fleet register'!$A$7:$S$106,16,FALSE),0),"n.a."))</f>
        <v>0</v>
      </c>
      <c r="S1881" s="1">
        <f>IF(NOT(Paths!$C$177=1),0,IF(Paths!$P$177="Complete",IF(C1881=0,0,Paths!$S$177*Paths!$R$177),"n.a."))</f>
        <v>0</v>
      </c>
      <c r="T1881" s="1">
        <f>IF(NOT(Paths!$C$177=1),0,IF(Paths!$P$177="Complete",IF(C1881=0,0,VLOOKUP(A1881,'Fleet register'!$A$7:$S$106,9,FALSE)*Paths!$R$177),"n.a."))</f>
        <v>0</v>
      </c>
    </row>
    <row r="1882" spans="1:20" ht="24" customHeight="1">
      <c r="A1882" s="1" t="str">
        <f>Paths!$A$177</f>
        <v>T043</v>
      </c>
      <c r="B1882" s="1">
        <f>Paths!$B$177</f>
        <v>2</v>
      </c>
      <c r="C1882" s="1">
        <v>5</v>
      </c>
      <c r="D1882" s="1">
        <v>177</v>
      </c>
      <c r="E1882" s="1">
        <f>IF(OR(Paths!$C$177=0,C1882=0),0,MAX(0,MIN(C1882*12,Paths!$E$177)-(C1882-1)*12))</f>
        <v>0</v>
      </c>
      <c r="F1882" s="1">
        <f>IF(OR(Paths!$C$177=0,C1882=0),0,12-E1882)</f>
        <v>0</v>
      </c>
      <c r="G1882" s="16">
        <f>IF(NOT(Paths!$C$177=1),0,IF(Paths!$P$177="Complete",E1882/12*(Paths!$J$177*(1+'Operating costs'!$B$51)^MAX(0,C1882-1)+Paths!$K$177*(1+'Operating costs'!$B$53)^MAX(0,C1882-1)),"n.a."))</f>
        <v>0</v>
      </c>
      <c r="H1882" s="16">
        <f>IF(NOT(Paths!$C$177=1),0,IF(Paths!$P$177="Complete",F1882/12*(Paths!$L$177*(1+IF(Paths!$D$177="EV",'Operating costs'!$B$52,'Operating costs'!$B$51))^MAX(0,C1882-1)+Paths!$M$177*(1+'Operating costs'!$B$53)^MAX(0,C1882-1)),"n.a."))</f>
        <v>0</v>
      </c>
      <c r="I1882" s="16">
        <f>IF(NOT(Paths!$C$177=1),0,IF(Paths!$P$177="Complete",IF(IF(Paths!$E$177=0,C1882=0,AND(C1882&gt;0,Paths!$E$177&gt;(C1882-1)*12,Paths!$E$177&lt;=C1882*12)),Paths!$G$177,0),"n.a."))</f>
        <v>0</v>
      </c>
      <c r="J1882" s="16">
        <f>IF(NOT(Paths!$C$177=1),0,IF(Paths!$P$177="Complete",IF(IF(Paths!$E$177=0,C1882=0,AND(C1882&gt;0,Paths!$E$177&gt;(C1882-1)*12,Paths!$E$177&lt;=C1882*12)),Paths!$H$177,0),"n.a."))</f>
        <v>0</v>
      </c>
      <c r="K1882" s="16">
        <f>IF(NOT(Paths!$C$177=1),0,IF(Paths!$P$177="Complete",IF(IF(Paths!$O$177=0,C1882=0,AND(C1882&gt;0,Paths!$O$177&gt;(C1882-1)*12,Paths!$O$177&lt;=C1882*12)),Paths!$N$177,0),"n.a."))</f>
        <v>0</v>
      </c>
      <c r="L1882" s="16">
        <f>IF(NOT(Paths!$C$177=1),0,IF(Paths!$P$177="Complete",IF(C1882=10,Paths!$I$177,0),"n.a."))</f>
        <v>0</v>
      </c>
      <c r="M1882" s="16">
        <f>IF(NOT(Paths!$C$177=1),0,IF(Paths!$P$177="Complete",IF(AND(Paths!$D$177="EV",Paths!$E$177&lt;120,Paths!$E$177+'Operating costs'!$B$65&gt;Paths!$E$177,Paths!$E$177+'Operating costs'!$B$65&lt;=120,IF(Paths!$E$177+'Operating costs'!$B$65=0,C1882=0,AND(C1882&gt;0,Paths!$E$177+'Operating costs'!$B$65&gt;(C1882-1)*12,Paths!$E$177+'Operating costs'!$B$65&lt;=C1882*12))),'Operating costs'!$B$64,0)+IF(AND('Operating costs'!$B$67&gt;0,'Operating costs'!$B$67&lt;=120,OR(Paths!$D$177="ICE",'Operating costs'!$B$67&lt;=Paths!$E$177),IF('Operating costs'!$B$67=0,C1882=0,AND(C1882&gt;0,'Operating costs'!$B$67&gt;(C1882-1)*12,'Operating costs'!$B$67&lt;=C1882*12))),'Operating costs'!$B$66,0),"n.a."))</f>
        <v>0</v>
      </c>
      <c r="N1882" s="16">
        <f>IF(NOT(Paths!$C$177=1),0,IF(Paths!$P$177="Complete",SUM(G1882:I1882)-J1882-K1882-L1882+M1882+IF(C1882=0,Paths!$F$177,0)+IF(IF(Paths!$E$177=0,C1882=0,AND(C1882&gt;0,Paths!$E$177&gt;(C1882-1)*12,Paths!$E$177&lt;=C1882*12)),VLOOKUP(A1882,'Fleet register'!$A$7:$S$106,16,FALSE),0),"n.a."))</f>
        <v>0</v>
      </c>
      <c r="O1882" s="16">
        <f>IF(NOT(Paths!$C$177=1),0,IF(Paths!$P$177="Complete",N1882-IF(C1882=0,Paths!$F$177,0),"n.a."))</f>
        <v>0</v>
      </c>
      <c r="P1882" s="16">
        <f>IF(NOT(Paths!$C$177=1),0,IF(Paths!$P$177="Complete",O1882+L1882,"n.a."))</f>
        <v>0</v>
      </c>
      <c r="Q1882" s="16">
        <f>IF(NOT(Paths!$C$177=1),0,IF(Paths!$P$177="Complete",N1882*(1+'Operating costs'!$B$54)^-C1882,"n.a."))</f>
        <v>0</v>
      </c>
      <c r="R1882" s="16">
        <f>IF(NOT(Paths!$C$177=1),0,IF(Paths!$P$177="Complete",IF(AND(C1882=0,Paths!$E$177=0),I1882-J1882-K1882+VLOOKUP(A1882,'Fleet register'!$A$7:$S$106,15,FALSE)+VLOOKUP(A1882,'Fleet register'!$A$7:$S$106,16,FALSE),0),"n.a."))</f>
        <v>0</v>
      </c>
      <c r="S1882" s="1">
        <f>IF(NOT(Paths!$C$177=1),0,IF(Paths!$P$177="Complete",IF(C1882=0,0,Paths!$S$177*Paths!$R$177),"n.a."))</f>
        <v>0</v>
      </c>
      <c r="T1882" s="1">
        <f>IF(NOT(Paths!$C$177=1),0,IF(Paths!$P$177="Complete",IF(C1882=0,0,VLOOKUP(A1882,'Fleet register'!$A$7:$S$106,9,FALSE)*Paths!$R$177),"n.a."))</f>
        <v>0</v>
      </c>
    </row>
    <row r="1883" spans="1:20" ht="24" customHeight="1">
      <c r="A1883" s="1" t="str">
        <f>Paths!$A$177</f>
        <v>T043</v>
      </c>
      <c r="B1883" s="1">
        <f>Paths!$B$177</f>
        <v>2</v>
      </c>
      <c r="C1883" s="1">
        <v>6</v>
      </c>
      <c r="D1883" s="1">
        <v>177</v>
      </c>
      <c r="E1883" s="1">
        <f>IF(OR(Paths!$C$177=0,C1883=0),0,MAX(0,MIN(C1883*12,Paths!$E$177)-(C1883-1)*12))</f>
        <v>0</v>
      </c>
      <c r="F1883" s="1">
        <f>IF(OR(Paths!$C$177=0,C1883=0),0,12-E1883)</f>
        <v>0</v>
      </c>
      <c r="G1883" s="16">
        <f>IF(NOT(Paths!$C$177=1),0,IF(Paths!$P$177="Complete",E1883/12*(Paths!$J$177*(1+'Operating costs'!$B$51)^MAX(0,C1883-1)+Paths!$K$177*(1+'Operating costs'!$B$53)^MAX(0,C1883-1)),"n.a."))</f>
        <v>0</v>
      </c>
      <c r="H1883" s="16">
        <f>IF(NOT(Paths!$C$177=1),0,IF(Paths!$P$177="Complete",F1883/12*(Paths!$L$177*(1+IF(Paths!$D$177="EV",'Operating costs'!$B$52,'Operating costs'!$B$51))^MAX(0,C1883-1)+Paths!$M$177*(1+'Operating costs'!$B$53)^MAX(0,C1883-1)),"n.a."))</f>
        <v>0</v>
      </c>
      <c r="I1883" s="16">
        <f>IF(NOT(Paths!$C$177=1),0,IF(Paths!$P$177="Complete",IF(IF(Paths!$E$177=0,C1883=0,AND(C1883&gt;0,Paths!$E$177&gt;(C1883-1)*12,Paths!$E$177&lt;=C1883*12)),Paths!$G$177,0),"n.a."))</f>
        <v>0</v>
      </c>
      <c r="J1883" s="16">
        <f>IF(NOT(Paths!$C$177=1),0,IF(Paths!$P$177="Complete",IF(IF(Paths!$E$177=0,C1883=0,AND(C1883&gt;0,Paths!$E$177&gt;(C1883-1)*12,Paths!$E$177&lt;=C1883*12)),Paths!$H$177,0),"n.a."))</f>
        <v>0</v>
      </c>
      <c r="K1883" s="16">
        <f>IF(NOT(Paths!$C$177=1),0,IF(Paths!$P$177="Complete",IF(IF(Paths!$O$177=0,C1883=0,AND(C1883&gt;0,Paths!$O$177&gt;(C1883-1)*12,Paths!$O$177&lt;=C1883*12)),Paths!$N$177,0),"n.a."))</f>
        <v>0</v>
      </c>
      <c r="L1883" s="16">
        <f>IF(NOT(Paths!$C$177=1),0,IF(Paths!$P$177="Complete",IF(C1883=10,Paths!$I$177,0),"n.a."))</f>
        <v>0</v>
      </c>
      <c r="M1883" s="16">
        <f>IF(NOT(Paths!$C$177=1),0,IF(Paths!$P$177="Complete",IF(AND(Paths!$D$177="EV",Paths!$E$177&lt;120,Paths!$E$177+'Operating costs'!$B$65&gt;Paths!$E$177,Paths!$E$177+'Operating costs'!$B$65&lt;=120,IF(Paths!$E$177+'Operating costs'!$B$65=0,C1883=0,AND(C1883&gt;0,Paths!$E$177+'Operating costs'!$B$65&gt;(C1883-1)*12,Paths!$E$177+'Operating costs'!$B$65&lt;=C1883*12))),'Operating costs'!$B$64,0)+IF(AND('Operating costs'!$B$67&gt;0,'Operating costs'!$B$67&lt;=120,OR(Paths!$D$177="ICE",'Operating costs'!$B$67&lt;=Paths!$E$177),IF('Operating costs'!$B$67=0,C1883=0,AND(C1883&gt;0,'Operating costs'!$B$67&gt;(C1883-1)*12,'Operating costs'!$B$67&lt;=C1883*12))),'Operating costs'!$B$66,0),"n.a."))</f>
        <v>0</v>
      </c>
      <c r="N1883" s="16">
        <f>IF(NOT(Paths!$C$177=1),0,IF(Paths!$P$177="Complete",SUM(G1883:I1883)-J1883-K1883-L1883+M1883+IF(C1883=0,Paths!$F$177,0)+IF(IF(Paths!$E$177=0,C1883=0,AND(C1883&gt;0,Paths!$E$177&gt;(C1883-1)*12,Paths!$E$177&lt;=C1883*12)),VLOOKUP(A1883,'Fleet register'!$A$7:$S$106,16,FALSE),0),"n.a."))</f>
        <v>0</v>
      </c>
      <c r="O1883" s="16">
        <f>IF(NOT(Paths!$C$177=1),0,IF(Paths!$P$177="Complete",N1883-IF(C1883=0,Paths!$F$177,0),"n.a."))</f>
        <v>0</v>
      </c>
      <c r="P1883" s="16">
        <f>IF(NOT(Paths!$C$177=1),0,IF(Paths!$P$177="Complete",O1883+L1883,"n.a."))</f>
        <v>0</v>
      </c>
      <c r="Q1883" s="16">
        <f>IF(NOT(Paths!$C$177=1),0,IF(Paths!$P$177="Complete",N1883*(1+'Operating costs'!$B$54)^-C1883,"n.a."))</f>
        <v>0</v>
      </c>
      <c r="R1883" s="16">
        <f>IF(NOT(Paths!$C$177=1),0,IF(Paths!$P$177="Complete",IF(AND(C1883=0,Paths!$E$177=0),I1883-J1883-K1883+VLOOKUP(A1883,'Fleet register'!$A$7:$S$106,15,FALSE)+VLOOKUP(A1883,'Fleet register'!$A$7:$S$106,16,FALSE),0),"n.a."))</f>
        <v>0</v>
      </c>
      <c r="S1883" s="1">
        <f>IF(NOT(Paths!$C$177=1),0,IF(Paths!$P$177="Complete",IF(C1883=0,0,Paths!$S$177*Paths!$R$177),"n.a."))</f>
        <v>0</v>
      </c>
      <c r="T1883" s="1">
        <f>IF(NOT(Paths!$C$177=1),0,IF(Paths!$P$177="Complete",IF(C1883=0,0,VLOOKUP(A1883,'Fleet register'!$A$7:$S$106,9,FALSE)*Paths!$R$177),"n.a."))</f>
        <v>0</v>
      </c>
    </row>
    <row r="1884" spans="1:20" ht="24" customHeight="1">
      <c r="A1884" s="1" t="str">
        <f>Paths!$A$177</f>
        <v>T043</v>
      </c>
      <c r="B1884" s="1">
        <f>Paths!$B$177</f>
        <v>2</v>
      </c>
      <c r="C1884" s="1">
        <v>7</v>
      </c>
      <c r="D1884" s="1">
        <v>177</v>
      </c>
      <c r="E1884" s="1">
        <f>IF(OR(Paths!$C$177=0,C1884=0),0,MAX(0,MIN(C1884*12,Paths!$E$177)-(C1884-1)*12))</f>
        <v>0</v>
      </c>
      <c r="F1884" s="1">
        <f>IF(OR(Paths!$C$177=0,C1884=0),0,12-E1884)</f>
        <v>0</v>
      </c>
      <c r="G1884" s="16">
        <f>IF(NOT(Paths!$C$177=1),0,IF(Paths!$P$177="Complete",E1884/12*(Paths!$J$177*(1+'Operating costs'!$B$51)^MAX(0,C1884-1)+Paths!$K$177*(1+'Operating costs'!$B$53)^MAX(0,C1884-1)),"n.a."))</f>
        <v>0</v>
      </c>
      <c r="H1884" s="16">
        <f>IF(NOT(Paths!$C$177=1),0,IF(Paths!$P$177="Complete",F1884/12*(Paths!$L$177*(1+IF(Paths!$D$177="EV",'Operating costs'!$B$52,'Operating costs'!$B$51))^MAX(0,C1884-1)+Paths!$M$177*(1+'Operating costs'!$B$53)^MAX(0,C1884-1)),"n.a."))</f>
        <v>0</v>
      </c>
      <c r="I1884" s="16">
        <f>IF(NOT(Paths!$C$177=1),0,IF(Paths!$P$177="Complete",IF(IF(Paths!$E$177=0,C1884=0,AND(C1884&gt;0,Paths!$E$177&gt;(C1884-1)*12,Paths!$E$177&lt;=C1884*12)),Paths!$G$177,0),"n.a."))</f>
        <v>0</v>
      </c>
      <c r="J1884" s="16">
        <f>IF(NOT(Paths!$C$177=1),0,IF(Paths!$P$177="Complete",IF(IF(Paths!$E$177=0,C1884=0,AND(C1884&gt;0,Paths!$E$177&gt;(C1884-1)*12,Paths!$E$177&lt;=C1884*12)),Paths!$H$177,0),"n.a."))</f>
        <v>0</v>
      </c>
      <c r="K1884" s="16">
        <f>IF(NOT(Paths!$C$177=1),0,IF(Paths!$P$177="Complete",IF(IF(Paths!$O$177=0,C1884=0,AND(C1884&gt;0,Paths!$O$177&gt;(C1884-1)*12,Paths!$O$177&lt;=C1884*12)),Paths!$N$177,0),"n.a."))</f>
        <v>0</v>
      </c>
      <c r="L1884" s="16">
        <f>IF(NOT(Paths!$C$177=1),0,IF(Paths!$P$177="Complete",IF(C1884=10,Paths!$I$177,0),"n.a."))</f>
        <v>0</v>
      </c>
      <c r="M1884" s="16">
        <f>IF(NOT(Paths!$C$177=1),0,IF(Paths!$P$177="Complete",IF(AND(Paths!$D$177="EV",Paths!$E$177&lt;120,Paths!$E$177+'Operating costs'!$B$65&gt;Paths!$E$177,Paths!$E$177+'Operating costs'!$B$65&lt;=120,IF(Paths!$E$177+'Operating costs'!$B$65=0,C1884=0,AND(C1884&gt;0,Paths!$E$177+'Operating costs'!$B$65&gt;(C1884-1)*12,Paths!$E$177+'Operating costs'!$B$65&lt;=C1884*12))),'Operating costs'!$B$64,0)+IF(AND('Operating costs'!$B$67&gt;0,'Operating costs'!$B$67&lt;=120,OR(Paths!$D$177="ICE",'Operating costs'!$B$67&lt;=Paths!$E$177),IF('Operating costs'!$B$67=0,C1884=0,AND(C1884&gt;0,'Operating costs'!$B$67&gt;(C1884-1)*12,'Operating costs'!$B$67&lt;=C1884*12))),'Operating costs'!$B$66,0),"n.a."))</f>
        <v>0</v>
      </c>
      <c r="N1884" s="16">
        <f>IF(NOT(Paths!$C$177=1),0,IF(Paths!$P$177="Complete",SUM(G1884:I1884)-J1884-K1884-L1884+M1884+IF(C1884=0,Paths!$F$177,0)+IF(IF(Paths!$E$177=0,C1884=0,AND(C1884&gt;0,Paths!$E$177&gt;(C1884-1)*12,Paths!$E$177&lt;=C1884*12)),VLOOKUP(A1884,'Fleet register'!$A$7:$S$106,16,FALSE),0),"n.a."))</f>
        <v>0</v>
      </c>
      <c r="O1884" s="16">
        <f>IF(NOT(Paths!$C$177=1),0,IF(Paths!$P$177="Complete",N1884-IF(C1884=0,Paths!$F$177,0),"n.a."))</f>
        <v>0</v>
      </c>
      <c r="P1884" s="16">
        <f>IF(NOT(Paths!$C$177=1),0,IF(Paths!$P$177="Complete",O1884+L1884,"n.a."))</f>
        <v>0</v>
      </c>
      <c r="Q1884" s="16">
        <f>IF(NOT(Paths!$C$177=1),0,IF(Paths!$P$177="Complete",N1884*(1+'Operating costs'!$B$54)^-C1884,"n.a."))</f>
        <v>0</v>
      </c>
      <c r="R1884" s="16">
        <f>IF(NOT(Paths!$C$177=1),0,IF(Paths!$P$177="Complete",IF(AND(C1884=0,Paths!$E$177=0),I1884-J1884-K1884+VLOOKUP(A1884,'Fleet register'!$A$7:$S$106,15,FALSE)+VLOOKUP(A1884,'Fleet register'!$A$7:$S$106,16,FALSE),0),"n.a."))</f>
        <v>0</v>
      </c>
      <c r="S1884" s="1">
        <f>IF(NOT(Paths!$C$177=1),0,IF(Paths!$P$177="Complete",IF(C1884=0,0,Paths!$S$177*Paths!$R$177),"n.a."))</f>
        <v>0</v>
      </c>
      <c r="T1884" s="1">
        <f>IF(NOT(Paths!$C$177=1),0,IF(Paths!$P$177="Complete",IF(C1884=0,0,VLOOKUP(A1884,'Fleet register'!$A$7:$S$106,9,FALSE)*Paths!$R$177),"n.a."))</f>
        <v>0</v>
      </c>
    </row>
    <row r="1885" spans="1:20" ht="24" customHeight="1">
      <c r="A1885" s="1" t="str">
        <f>Paths!$A$177</f>
        <v>T043</v>
      </c>
      <c r="B1885" s="1">
        <f>Paths!$B$177</f>
        <v>2</v>
      </c>
      <c r="C1885" s="1">
        <v>8</v>
      </c>
      <c r="D1885" s="1">
        <v>177</v>
      </c>
      <c r="E1885" s="1">
        <f>IF(OR(Paths!$C$177=0,C1885=0),0,MAX(0,MIN(C1885*12,Paths!$E$177)-(C1885-1)*12))</f>
        <v>0</v>
      </c>
      <c r="F1885" s="1">
        <f>IF(OR(Paths!$C$177=0,C1885=0),0,12-E1885)</f>
        <v>0</v>
      </c>
      <c r="G1885" s="16">
        <f>IF(NOT(Paths!$C$177=1),0,IF(Paths!$P$177="Complete",E1885/12*(Paths!$J$177*(1+'Operating costs'!$B$51)^MAX(0,C1885-1)+Paths!$K$177*(1+'Operating costs'!$B$53)^MAX(0,C1885-1)),"n.a."))</f>
        <v>0</v>
      </c>
      <c r="H1885" s="16">
        <f>IF(NOT(Paths!$C$177=1),0,IF(Paths!$P$177="Complete",F1885/12*(Paths!$L$177*(1+IF(Paths!$D$177="EV",'Operating costs'!$B$52,'Operating costs'!$B$51))^MAX(0,C1885-1)+Paths!$M$177*(1+'Operating costs'!$B$53)^MAX(0,C1885-1)),"n.a."))</f>
        <v>0</v>
      </c>
      <c r="I1885" s="16">
        <f>IF(NOT(Paths!$C$177=1),0,IF(Paths!$P$177="Complete",IF(IF(Paths!$E$177=0,C1885=0,AND(C1885&gt;0,Paths!$E$177&gt;(C1885-1)*12,Paths!$E$177&lt;=C1885*12)),Paths!$G$177,0),"n.a."))</f>
        <v>0</v>
      </c>
      <c r="J1885" s="16">
        <f>IF(NOT(Paths!$C$177=1),0,IF(Paths!$P$177="Complete",IF(IF(Paths!$E$177=0,C1885=0,AND(C1885&gt;0,Paths!$E$177&gt;(C1885-1)*12,Paths!$E$177&lt;=C1885*12)),Paths!$H$177,0),"n.a."))</f>
        <v>0</v>
      </c>
      <c r="K1885" s="16">
        <f>IF(NOT(Paths!$C$177=1),0,IF(Paths!$P$177="Complete",IF(IF(Paths!$O$177=0,C1885=0,AND(C1885&gt;0,Paths!$O$177&gt;(C1885-1)*12,Paths!$O$177&lt;=C1885*12)),Paths!$N$177,0),"n.a."))</f>
        <v>0</v>
      </c>
      <c r="L1885" s="16">
        <f>IF(NOT(Paths!$C$177=1),0,IF(Paths!$P$177="Complete",IF(C1885=10,Paths!$I$177,0),"n.a."))</f>
        <v>0</v>
      </c>
      <c r="M1885" s="16">
        <f>IF(NOT(Paths!$C$177=1),0,IF(Paths!$P$177="Complete",IF(AND(Paths!$D$177="EV",Paths!$E$177&lt;120,Paths!$E$177+'Operating costs'!$B$65&gt;Paths!$E$177,Paths!$E$177+'Operating costs'!$B$65&lt;=120,IF(Paths!$E$177+'Operating costs'!$B$65=0,C1885=0,AND(C1885&gt;0,Paths!$E$177+'Operating costs'!$B$65&gt;(C1885-1)*12,Paths!$E$177+'Operating costs'!$B$65&lt;=C1885*12))),'Operating costs'!$B$64,0)+IF(AND('Operating costs'!$B$67&gt;0,'Operating costs'!$B$67&lt;=120,OR(Paths!$D$177="ICE",'Operating costs'!$B$67&lt;=Paths!$E$177),IF('Operating costs'!$B$67=0,C1885=0,AND(C1885&gt;0,'Operating costs'!$B$67&gt;(C1885-1)*12,'Operating costs'!$B$67&lt;=C1885*12))),'Operating costs'!$B$66,0),"n.a."))</f>
        <v>0</v>
      </c>
      <c r="N1885" s="16">
        <f>IF(NOT(Paths!$C$177=1),0,IF(Paths!$P$177="Complete",SUM(G1885:I1885)-J1885-K1885-L1885+M1885+IF(C1885=0,Paths!$F$177,0)+IF(IF(Paths!$E$177=0,C1885=0,AND(C1885&gt;0,Paths!$E$177&gt;(C1885-1)*12,Paths!$E$177&lt;=C1885*12)),VLOOKUP(A1885,'Fleet register'!$A$7:$S$106,16,FALSE),0),"n.a."))</f>
        <v>0</v>
      </c>
      <c r="O1885" s="16">
        <f>IF(NOT(Paths!$C$177=1),0,IF(Paths!$P$177="Complete",N1885-IF(C1885=0,Paths!$F$177,0),"n.a."))</f>
        <v>0</v>
      </c>
      <c r="P1885" s="16">
        <f>IF(NOT(Paths!$C$177=1),0,IF(Paths!$P$177="Complete",O1885+L1885,"n.a."))</f>
        <v>0</v>
      </c>
      <c r="Q1885" s="16">
        <f>IF(NOT(Paths!$C$177=1),0,IF(Paths!$P$177="Complete",N1885*(1+'Operating costs'!$B$54)^-C1885,"n.a."))</f>
        <v>0</v>
      </c>
      <c r="R1885" s="16">
        <f>IF(NOT(Paths!$C$177=1),0,IF(Paths!$P$177="Complete",IF(AND(C1885=0,Paths!$E$177=0),I1885-J1885-K1885+VLOOKUP(A1885,'Fleet register'!$A$7:$S$106,15,FALSE)+VLOOKUP(A1885,'Fleet register'!$A$7:$S$106,16,FALSE),0),"n.a."))</f>
        <v>0</v>
      </c>
      <c r="S1885" s="1">
        <f>IF(NOT(Paths!$C$177=1),0,IF(Paths!$P$177="Complete",IF(C1885=0,0,Paths!$S$177*Paths!$R$177),"n.a."))</f>
        <v>0</v>
      </c>
      <c r="T1885" s="1">
        <f>IF(NOT(Paths!$C$177=1),0,IF(Paths!$P$177="Complete",IF(C1885=0,0,VLOOKUP(A1885,'Fleet register'!$A$7:$S$106,9,FALSE)*Paths!$R$177),"n.a."))</f>
        <v>0</v>
      </c>
    </row>
    <row r="1886" spans="1:20" ht="24" customHeight="1">
      <c r="A1886" s="1" t="str">
        <f>Paths!$A$177</f>
        <v>T043</v>
      </c>
      <c r="B1886" s="1">
        <f>Paths!$B$177</f>
        <v>2</v>
      </c>
      <c r="C1886" s="1">
        <v>9</v>
      </c>
      <c r="D1886" s="1">
        <v>177</v>
      </c>
      <c r="E1886" s="1">
        <f>IF(OR(Paths!$C$177=0,C1886=0),0,MAX(0,MIN(C1886*12,Paths!$E$177)-(C1886-1)*12))</f>
        <v>0</v>
      </c>
      <c r="F1886" s="1">
        <f>IF(OR(Paths!$C$177=0,C1886=0),0,12-E1886)</f>
        <v>0</v>
      </c>
      <c r="G1886" s="16">
        <f>IF(NOT(Paths!$C$177=1),0,IF(Paths!$P$177="Complete",E1886/12*(Paths!$J$177*(1+'Operating costs'!$B$51)^MAX(0,C1886-1)+Paths!$K$177*(1+'Operating costs'!$B$53)^MAX(0,C1886-1)),"n.a."))</f>
        <v>0</v>
      </c>
      <c r="H1886" s="16">
        <f>IF(NOT(Paths!$C$177=1),0,IF(Paths!$P$177="Complete",F1886/12*(Paths!$L$177*(1+IF(Paths!$D$177="EV",'Operating costs'!$B$52,'Operating costs'!$B$51))^MAX(0,C1886-1)+Paths!$M$177*(1+'Operating costs'!$B$53)^MAX(0,C1886-1)),"n.a."))</f>
        <v>0</v>
      </c>
      <c r="I1886" s="16">
        <f>IF(NOT(Paths!$C$177=1),0,IF(Paths!$P$177="Complete",IF(IF(Paths!$E$177=0,C1886=0,AND(C1886&gt;0,Paths!$E$177&gt;(C1886-1)*12,Paths!$E$177&lt;=C1886*12)),Paths!$G$177,0),"n.a."))</f>
        <v>0</v>
      </c>
      <c r="J1886" s="16">
        <f>IF(NOT(Paths!$C$177=1),0,IF(Paths!$P$177="Complete",IF(IF(Paths!$E$177=0,C1886=0,AND(C1886&gt;0,Paths!$E$177&gt;(C1886-1)*12,Paths!$E$177&lt;=C1886*12)),Paths!$H$177,0),"n.a."))</f>
        <v>0</v>
      </c>
      <c r="K1886" s="16">
        <f>IF(NOT(Paths!$C$177=1),0,IF(Paths!$P$177="Complete",IF(IF(Paths!$O$177=0,C1886=0,AND(C1886&gt;0,Paths!$O$177&gt;(C1886-1)*12,Paths!$O$177&lt;=C1886*12)),Paths!$N$177,0),"n.a."))</f>
        <v>0</v>
      </c>
      <c r="L1886" s="16">
        <f>IF(NOT(Paths!$C$177=1),0,IF(Paths!$P$177="Complete",IF(C1886=10,Paths!$I$177,0),"n.a."))</f>
        <v>0</v>
      </c>
      <c r="M1886" s="16">
        <f>IF(NOT(Paths!$C$177=1),0,IF(Paths!$P$177="Complete",IF(AND(Paths!$D$177="EV",Paths!$E$177&lt;120,Paths!$E$177+'Operating costs'!$B$65&gt;Paths!$E$177,Paths!$E$177+'Operating costs'!$B$65&lt;=120,IF(Paths!$E$177+'Operating costs'!$B$65=0,C1886=0,AND(C1886&gt;0,Paths!$E$177+'Operating costs'!$B$65&gt;(C1886-1)*12,Paths!$E$177+'Operating costs'!$B$65&lt;=C1886*12))),'Operating costs'!$B$64,0)+IF(AND('Operating costs'!$B$67&gt;0,'Operating costs'!$B$67&lt;=120,OR(Paths!$D$177="ICE",'Operating costs'!$B$67&lt;=Paths!$E$177),IF('Operating costs'!$B$67=0,C1886=0,AND(C1886&gt;0,'Operating costs'!$B$67&gt;(C1886-1)*12,'Operating costs'!$B$67&lt;=C1886*12))),'Operating costs'!$B$66,0),"n.a."))</f>
        <v>0</v>
      </c>
      <c r="N1886" s="16">
        <f>IF(NOT(Paths!$C$177=1),0,IF(Paths!$P$177="Complete",SUM(G1886:I1886)-J1886-K1886-L1886+M1886+IF(C1886=0,Paths!$F$177,0)+IF(IF(Paths!$E$177=0,C1886=0,AND(C1886&gt;0,Paths!$E$177&gt;(C1886-1)*12,Paths!$E$177&lt;=C1886*12)),VLOOKUP(A1886,'Fleet register'!$A$7:$S$106,16,FALSE),0),"n.a."))</f>
        <v>0</v>
      </c>
      <c r="O1886" s="16">
        <f>IF(NOT(Paths!$C$177=1),0,IF(Paths!$P$177="Complete",N1886-IF(C1886=0,Paths!$F$177,0),"n.a."))</f>
        <v>0</v>
      </c>
      <c r="P1886" s="16">
        <f>IF(NOT(Paths!$C$177=1),0,IF(Paths!$P$177="Complete",O1886+L1886,"n.a."))</f>
        <v>0</v>
      </c>
      <c r="Q1886" s="16">
        <f>IF(NOT(Paths!$C$177=1),0,IF(Paths!$P$177="Complete",N1886*(1+'Operating costs'!$B$54)^-C1886,"n.a."))</f>
        <v>0</v>
      </c>
      <c r="R1886" s="16">
        <f>IF(NOT(Paths!$C$177=1),0,IF(Paths!$P$177="Complete",IF(AND(C1886=0,Paths!$E$177=0),I1886-J1886-K1886+VLOOKUP(A1886,'Fleet register'!$A$7:$S$106,15,FALSE)+VLOOKUP(A1886,'Fleet register'!$A$7:$S$106,16,FALSE),0),"n.a."))</f>
        <v>0</v>
      </c>
      <c r="S1886" s="1">
        <f>IF(NOT(Paths!$C$177=1),0,IF(Paths!$P$177="Complete",IF(C1886=0,0,Paths!$S$177*Paths!$R$177),"n.a."))</f>
        <v>0</v>
      </c>
      <c r="T1886" s="1">
        <f>IF(NOT(Paths!$C$177=1),0,IF(Paths!$P$177="Complete",IF(C1886=0,0,VLOOKUP(A1886,'Fleet register'!$A$7:$S$106,9,FALSE)*Paths!$R$177),"n.a."))</f>
        <v>0</v>
      </c>
    </row>
    <row r="1887" spans="1:20" ht="24" customHeight="1">
      <c r="A1887" s="1" t="str">
        <f>Paths!$A$177</f>
        <v>T043</v>
      </c>
      <c r="B1887" s="1">
        <f>Paths!$B$177</f>
        <v>2</v>
      </c>
      <c r="C1887" s="1">
        <v>10</v>
      </c>
      <c r="D1887" s="1">
        <v>177</v>
      </c>
      <c r="E1887" s="1">
        <f>IF(OR(Paths!$C$177=0,C1887=0),0,MAX(0,MIN(C1887*12,Paths!$E$177)-(C1887-1)*12))</f>
        <v>0</v>
      </c>
      <c r="F1887" s="1">
        <f>IF(OR(Paths!$C$177=0,C1887=0),0,12-E1887)</f>
        <v>0</v>
      </c>
      <c r="G1887" s="16">
        <f>IF(NOT(Paths!$C$177=1),0,IF(Paths!$P$177="Complete",E1887/12*(Paths!$J$177*(1+'Operating costs'!$B$51)^MAX(0,C1887-1)+Paths!$K$177*(1+'Operating costs'!$B$53)^MAX(0,C1887-1)),"n.a."))</f>
        <v>0</v>
      </c>
      <c r="H1887" s="16">
        <f>IF(NOT(Paths!$C$177=1),0,IF(Paths!$P$177="Complete",F1887/12*(Paths!$L$177*(1+IF(Paths!$D$177="EV",'Operating costs'!$B$52,'Operating costs'!$B$51))^MAX(0,C1887-1)+Paths!$M$177*(1+'Operating costs'!$B$53)^MAX(0,C1887-1)),"n.a."))</f>
        <v>0</v>
      </c>
      <c r="I1887" s="16">
        <f>IF(NOT(Paths!$C$177=1),0,IF(Paths!$P$177="Complete",IF(IF(Paths!$E$177=0,C1887=0,AND(C1887&gt;0,Paths!$E$177&gt;(C1887-1)*12,Paths!$E$177&lt;=C1887*12)),Paths!$G$177,0),"n.a."))</f>
        <v>0</v>
      </c>
      <c r="J1887" s="16">
        <f>IF(NOT(Paths!$C$177=1),0,IF(Paths!$P$177="Complete",IF(IF(Paths!$E$177=0,C1887=0,AND(C1887&gt;0,Paths!$E$177&gt;(C1887-1)*12,Paths!$E$177&lt;=C1887*12)),Paths!$H$177,0),"n.a."))</f>
        <v>0</v>
      </c>
      <c r="K1887" s="16">
        <f>IF(NOT(Paths!$C$177=1),0,IF(Paths!$P$177="Complete",IF(IF(Paths!$O$177=0,C1887=0,AND(C1887&gt;0,Paths!$O$177&gt;(C1887-1)*12,Paths!$O$177&lt;=C1887*12)),Paths!$N$177,0),"n.a."))</f>
        <v>0</v>
      </c>
      <c r="L1887" s="16">
        <f>IF(NOT(Paths!$C$177=1),0,IF(Paths!$P$177="Complete",IF(C1887=10,Paths!$I$177,0),"n.a."))</f>
        <v>0</v>
      </c>
      <c r="M1887" s="16">
        <f>IF(NOT(Paths!$C$177=1),0,IF(Paths!$P$177="Complete",IF(AND(Paths!$D$177="EV",Paths!$E$177&lt;120,Paths!$E$177+'Operating costs'!$B$65&gt;Paths!$E$177,Paths!$E$177+'Operating costs'!$B$65&lt;=120,IF(Paths!$E$177+'Operating costs'!$B$65=0,C1887=0,AND(C1887&gt;0,Paths!$E$177+'Operating costs'!$B$65&gt;(C1887-1)*12,Paths!$E$177+'Operating costs'!$B$65&lt;=C1887*12))),'Operating costs'!$B$64,0)+IF(AND('Operating costs'!$B$67&gt;0,'Operating costs'!$B$67&lt;=120,OR(Paths!$D$177="ICE",'Operating costs'!$B$67&lt;=Paths!$E$177),IF('Operating costs'!$B$67=0,C1887=0,AND(C1887&gt;0,'Operating costs'!$B$67&gt;(C1887-1)*12,'Operating costs'!$B$67&lt;=C1887*12))),'Operating costs'!$B$66,0),"n.a."))</f>
        <v>0</v>
      </c>
      <c r="N1887" s="16">
        <f>IF(NOT(Paths!$C$177=1),0,IF(Paths!$P$177="Complete",SUM(G1887:I1887)-J1887-K1887-L1887+M1887+IF(C1887=0,Paths!$F$177,0)+IF(IF(Paths!$E$177=0,C1887=0,AND(C1887&gt;0,Paths!$E$177&gt;(C1887-1)*12,Paths!$E$177&lt;=C1887*12)),VLOOKUP(A1887,'Fleet register'!$A$7:$S$106,16,FALSE),0),"n.a."))</f>
        <v>0</v>
      </c>
      <c r="O1887" s="16">
        <f>IF(NOT(Paths!$C$177=1),0,IF(Paths!$P$177="Complete",N1887-IF(C1887=0,Paths!$F$177,0),"n.a."))</f>
        <v>0</v>
      </c>
      <c r="P1887" s="16">
        <f>IF(NOT(Paths!$C$177=1),0,IF(Paths!$P$177="Complete",O1887+L1887,"n.a."))</f>
        <v>0</v>
      </c>
      <c r="Q1887" s="16">
        <f>IF(NOT(Paths!$C$177=1),0,IF(Paths!$P$177="Complete",N1887*(1+'Operating costs'!$B$54)^-C1887,"n.a."))</f>
        <v>0</v>
      </c>
      <c r="R1887" s="16">
        <f>IF(NOT(Paths!$C$177=1),0,IF(Paths!$P$177="Complete",IF(AND(C1887=0,Paths!$E$177=0),I1887-J1887-K1887+VLOOKUP(A1887,'Fleet register'!$A$7:$S$106,15,FALSE)+VLOOKUP(A1887,'Fleet register'!$A$7:$S$106,16,FALSE),0),"n.a."))</f>
        <v>0</v>
      </c>
      <c r="S1887" s="1">
        <f>IF(NOT(Paths!$C$177=1),0,IF(Paths!$P$177="Complete",IF(C1887=0,0,Paths!$S$177*Paths!$R$177),"n.a."))</f>
        <v>0</v>
      </c>
      <c r="T1887" s="1">
        <f>IF(NOT(Paths!$C$177=1),0,IF(Paths!$P$177="Complete",IF(C1887=0,0,VLOOKUP(A1887,'Fleet register'!$A$7:$S$106,9,FALSE)*Paths!$R$177),"n.a."))</f>
        <v>0</v>
      </c>
    </row>
    <row r="1888" spans="1:20" ht="24" customHeight="1">
      <c r="A1888" s="1" t="str">
        <f>Paths!$A$178</f>
        <v>T043</v>
      </c>
      <c r="B1888" s="1">
        <f>Paths!$B$178</f>
        <v>3</v>
      </c>
      <c r="C1888" s="1">
        <v>0</v>
      </c>
      <c r="D1888" s="1">
        <v>178</v>
      </c>
      <c r="E1888" s="1">
        <f>IF(OR(Paths!$C$178=0,C1888=0),0,MAX(0,MIN(C1888*12,Paths!$E$178)-(C1888-1)*12))</f>
        <v>0</v>
      </c>
      <c r="F1888" s="1">
        <f>IF(OR(Paths!$C$178=0,C1888=0),0,12-E1888)</f>
        <v>0</v>
      </c>
      <c r="G1888" s="16">
        <f>IF(NOT(Paths!$C$178=1),0,IF(Paths!$P$178="Complete",E1888/12*(Paths!$J$178*(1+'Operating costs'!$B$51)^MAX(0,C1888-1)+Paths!$K$178*(1+'Operating costs'!$B$53)^MAX(0,C1888-1)),"n.a."))</f>
        <v>0</v>
      </c>
      <c r="H1888" s="16">
        <f>IF(NOT(Paths!$C$178=1),0,IF(Paths!$P$178="Complete",F1888/12*(Paths!$L$178*(1+IF(Paths!$D$178="EV",'Operating costs'!$B$52,'Operating costs'!$B$51))^MAX(0,C1888-1)+Paths!$M$178*(1+'Operating costs'!$B$53)^MAX(0,C1888-1)),"n.a."))</f>
        <v>0</v>
      </c>
      <c r="I1888" s="16">
        <f>IF(NOT(Paths!$C$178=1),0,IF(Paths!$P$178="Complete",IF(IF(Paths!$E$178=0,C1888=0,AND(C1888&gt;0,Paths!$E$178&gt;(C1888-1)*12,Paths!$E$178&lt;=C1888*12)),Paths!$G$178,0),"n.a."))</f>
        <v>0</v>
      </c>
      <c r="J1888" s="16">
        <f>IF(NOT(Paths!$C$178=1),0,IF(Paths!$P$178="Complete",IF(IF(Paths!$E$178=0,C1888=0,AND(C1888&gt;0,Paths!$E$178&gt;(C1888-1)*12,Paths!$E$178&lt;=C1888*12)),Paths!$H$178,0),"n.a."))</f>
        <v>0</v>
      </c>
      <c r="K1888" s="16">
        <f>IF(NOT(Paths!$C$178=1),0,IF(Paths!$P$178="Complete",IF(IF(Paths!$O$178=0,C1888=0,AND(C1888&gt;0,Paths!$O$178&gt;(C1888-1)*12,Paths!$O$178&lt;=C1888*12)),Paths!$N$178,0),"n.a."))</f>
        <v>0</v>
      </c>
      <c r="L1888" s="16">
        <f>IF(NOT(Paths!$C$178=1),0,IF(Paths!$P$178="Complete",IF(C1888=10,Paths!$I$178,0),"n.a."))</f>
        <v>0</v>
      </c>
      <c r="M1888" s="16">
        <f>IF(NOT(Paths!$C$178=1),0,IF(Paths!$P$178="Complete",IF(AND(Paths!$D$178="EV",Paths!$E$178&lt;120,Paths!$E$178+'Operating costs'!$B$65&gt;Paths!$E$178,Paths!$E$178+'Operating costs'!$B$65&lt;=120,IF(Paths!$E$178+'Operating costs'!$B$65=0,C1888=0,AND(C1888&gt;0,Paths!$E$178+'Operating costs'!$B$65&gt;(C1888-1)*12,Paths!$E$178+'Operating costs'!$B$65&lt;=C1888*12))),'Operating costs'!$B$64,0)+IF(AND('Operating costs'!$B$67&gt;0,'Operating costs'!$B$67&lt;=120,OR(Paths!$D$178="ICE",'Operating costs'!$B$67&lt;=Paths!$E$178),IF('Operating costs'!$B$67=0,C1888=0,AND(C1888&gt;0,'Operating costs'!$B$67&gt;(C1888-1)*12,'Operating costs'!$B$67&lt;=C1888*12))),'Operating costs'!$B$66,0),"n.a."))</f>
        <v>0</v>
      </c>
      <c r="N1888" s="16">
        <f>IF(NOT(Paths!$C$178=1),0,IF(Paths!$P$178="Complete",SUM(G1888:I1888)-J1888-K1888-L1888+M1888+IF(C1888=0,Paths!$F$178,0)+IF(IF(Paths!$E$178=0,C1888=0,AND(C1888&gt;0,Paths!$E$178&gt;(C1888-1)*12,Paths!$E$178&lt;=C1888*12)),VLOOKUP(A1888,'Fleet register'!$A$7:$S$106,16,FALSE),0),"n.a."))</f>
        <v>0</v>
      </c>
      <c r="O1888" s="16">
        <f>IF(NOT(Paths!$C$178=1),0,IF(Paths!$P$178="Complete",N1888-IF(C1888=0,Paths!$F$178,0),"n.a."))</f>
        <v>0</v>
      </c>
      <c r="P1888" s="16">
        <f>IF(NOT(Paths!$C$178=1),0,IF(Paths!$P$178="Complete",O1888+L1888,"n.a."))</f>
        <v>0</v>
      </c>
      <c r="Q1888" s="16">
        <f>IF(NOT(Paths!$C$178=1),0,IF(Paths!$P$178="Complete",N1888*(1+'Operating costs'!$B$54)^-C1888,"n.a."))</f>
        <v>0</v>
      </c>
      <c r="R1888" s="16">
        <f>IF(NOT(Paths!$C$178=1),0,IF(Paths!$P$178="Complete",IF(AND(C1888=0,Paths!$E$178=0),I1888-J1888-K1888+VLOOKUP(A1888,'Fleet register'!$A$7:$S$106,15,FALSE)+VLOOKUP(A1888,'Fleet register'!$A$7:$S$106,16,FALSE),0),"n.a."))</f>
        <v>0</v>
      </c>
      <c r="S1888" s="1">
        <f>IF(NOT(Paths!$C$178=1),0,IF(Paths!$P$178="Complete",IF(C1888=0,0,Paths!$S$178*Paths!$R$178),"n.a."))</f>
        <v>0</v>
      </c>
      <c r="T1888" s="1">
        <f>IF(NOT(Paths!$C$178=1),0,IF(Paths!$P$178="Complete",IF(C1888=0,0,VLOOKUP(A1888,'Fleet register'!$A$7:$S$106,9,FALSE)*Paths!$R$178),"n.a."))</f>
        <v>0</v>
      </c>
    </row>
    <row r="1889" spans="1:20" ht="24" customHeight="1">
      <c r="A1889" s="1" t="str">
        <f>Paths!$A$178</f>
        <v>T043</v>
      </c>
      <c r="B1889" s="1">
        <f>Paths!$B$178</f>
        <v>3</v>
      </c>
      <c r="C1889" s="1">
        <v>1</v>
      </c>
      <c r="D1889" s="1">
        <v>178</v>
      </c>
      <c r="E1889" s="1">
        <f>IF(OR(Paths!$C$178=0,C1889=0),0,MAX(0,MIN(C1889*12,Paths!$E$178)-(C1889-1)*12))</f>
        <v>0</v>
      </c>
      <c r="F1889" s="1">
        <f>IF(OR(Paths!$C$178=0,C1889=0),0,12-E1889)</f>
        <v>0</v>
      </c>
      <c r="G1889" s="16">
        <f>IF(NOT(Paths!$C$178=1),0,IF(Paths!$P$178="Complete",E1889/12*(Paths!$J$178*(1+'Operating costs'!$B$51)^MAX(0,C1889-1)+Paths!$K$178*(1+'Operating costs'!$B$53)^MAX(0,C1889-1)),"n.a."))</f>
        <v>0</v>
      </c>
      <c r="H1889" s="16">
        <f>IF(NOT(Paths!$C$178=1),0,IF(Paths!$P$178="Complete",F1889/12*(Paths!$L$178*(1+IF(Paths!$D$178="EV",'Operating costs'!$B$52,'Operating costs'!$B$51))^MAX(0,C1889-1)+Paths!$M$178*(1+'Operating costs'!$B$53)^MAX(0,C1889-1)),"n.a."))</f>
        <v>0</v>
      </c>
      <c r="I1889" s="16">
        <f>IF(NOT(Paths!$C$178=1),0,IF(Paths!$P$178="Complete",IF(IF(Paths!$E$178=0,C1889=0,AND(C1889&gt;0,Paths!$E$178&gt;(C1889-1)*12,Paths!$E$178&lt;=C1889*12)),Paths!$G$178,0),"n.a."))</f>
        <v>0</v>
      </c>
      <c r="J1889" s="16">
        <f>IF(NOT(Paths!$C$178=1),0,IF(Paths!$P$178="Complete",IF(IF(Paths!$E$178=0,C1889=0,AND(C1889&gt;0,Paths!$E$178&gt;(C1889-1)*12,Paths!$E$178&lt;=C1889*12)),Paths!$H$178,0),"n.a."))</f>
        <v>0</v>
      </c>
      <c r="K1889" s="16">
        <f>IF(NOT(Paths!$C$178=1),0,IF(Paths!$P$178="Complete",IF(IF(Paths!$O$178=0,C1889=0,AND(C1889&gt;0,Paths!$O$178&gt;(C1889-1)*12,Paths!$O$178&lt;=C1889*12)),Paths!$N$178,0),"n.a."))</f>
        <v>0</v>
      </c>
      <c r="L1889" s="16">
        <f>IF(NOT(Paths!$C$178=1),0,IF(Paths!$P$178="Complete",IF(C1889=10,Paths!$I$178,0),"n.a."))</f>
        <v>0</v>
      </c>
      <c r="M1889" s="16">
        <f>IF(NOT(Paths!$C$178=1),0,IF(Paths!$P$178="Complete",IF(AND(Paths!$D$178="EV",Paths!$E$178&lt;120,Paths!$E$178+'Operating costs'!$B$65&gt;Paths!$E$178,Paths!$E$178+'Operating costs'!$B$65&lt;=120,IF(Paths!$E$178+'Operating costs'!$B$65=0,C1889=0,AND(C1889&gt;0,Paths!$E$178+'Operating costs'!$B$65&gt;(C1889-1)*12,Paths!$E$178+'Operating costs'!$B$65&lt;=C1889*12))),'Operating costs'!$B$64,0)+IF(AND('Operating costs'!$B$67&gt;0,'Operating costs'!$B$67&lt;=120,OR(Paths!$D$178="ICE",'Operating costs'!$B$67&lt;=Paths!$E$178),IF('Operating costs'!$B$67=0,C1889=0,AND(C1889&gt;0,'Operating costs'!$B$67&gt;(C1889-1)*12,'Operating costs'!$B$67&lt;=C1889*12))),'Operating costs'!$B$66,0),"n.a."))</f>
        <v>0</v>
      </c>
      <c r="N1889" s="16">
        <f>IF(NOT(Paths!$C$178=1),0,IF(Paths!$P$178="Complete",SUM(G1889:I1889)-J1889-K1889-L1889+M1889+IF(C1889=0,Paths!$F$178,0)+IF(IF(Paths!$E$178=0,C1889=0,AND(C1889&gt;0,Paths!$E$178&gt;(C1889-1)*12,Paths!$E$178&lt;=C1889*12)),VLOOKUP(A1889,'Fleet register'!$A$7:$S$106,16,FALSE),0),"n.a."))</f>
        <v>0</v>
      </c>
      <c r="O1889" s="16">
        <f>IF(NOT(Paths!$C$178=1),0,IF(Paths!$P$178="Complete",N1889-IF(C1889=0,Paths!$F$178,0),"n.a."))</f>
        <v>0</v>
      </c>
      <c r="P1889" s="16">
        <f>IF(NOT(Paths!$C$178=1),0,IF(Paths!$P$178="Complete",O1889+L1889,"n.a."))</f>
        <v>0</v>
      </c>
      <c r="Q1889" s="16">
        <f>IF(NOT(Paths!$C$178=1),0,IF(Paths!$P$178="Complete",N1889*(1+'Operating costs'!$B$54)^-C1889,"n.a."))</f>
        <v>0</v>
      </c>
      <c r="R1889" s="16">
        <f>IF(NOT(Paths!$C$178=1),0,IF(Paths!$P$178="Complete",IF(AND(C1889=0,Paths!$E$178=0),I1889-J1889-K1889+VLOOKUP(A1889,'Fleet register'!$A$7:$S$106,15,FALSE)+VLOOKUP(A1889,'Fleet register'!$A$7:$S$106,16,FALSE),0),"n.a."))</f>
        <v>0</v>
      </c>
      <c r="S1889" s="1">
        <f>IF(NOT(Paths!$C$178=1),0,IF(Paths!$P$178="Complete",IF(C1889=0,0,Paths!$S$178*Paths!$R$178),"n.a."))</f>
        <v>0</v>
      </c>
      <c r="T1889" s="1">
        <f>IF(NOT(Paths!$C$178=1),0,IF(Paths!$P$178="Complete",IF(C1889=0,0,VLOOKUP(A1889,'Fleet register'!$A$7:$S$106,9,FALSE)*Paths!$R$178),"n.a."))</f>
        <v>0</v>
      </c>
    </row>
    <row r="1890" spans="1:20" ht="24" customHeight="1">
      <c r="A1890" s="1" t="str">
        <f>Paths!$A$178</f>
        <v>T043</v>
      </c>
      <c r="B1890" s="1">
        <f>Paths!$B$178</f>
        <v>3</v>
      </c>
      <c r="C1890" s="1">
        <v>2</v>
      </c>
      <c r="D1890" s="1">
        <v>178</v>
      </c>
      <c r="E1890" s="1">
        <f>IF(OR(Paths!$C$178=0,C1890=0),0,MAX(0,MIN(C1890*12,Paths!$E$178)-(C1890-1)*12))</f>
        <v>0</v>
      </c>
      <c r="F1890" s="1">
        <f>IF(OR(Paths!$C$178=0,C1890=0),0,12-E1890)</f>
        <v>0</v>
      </c>
      <c r="G1890" s="16">
        <f>IF(NOT(Paths!$C$178=1),0,IF(Paths!$P$178="Complete",E1890/12*(Paths!$J$178*(1+'Operating costs'!$B$51)^MAX(0,C1890-1)+Paths!$K$178*(1+'Operating costs'!$B$53)^MAX(0,C1890-1)),"n.a."))</f>
        <v>0</v>
      </c>
      <c r="H1890" s="16">
        <f>IF(NOT(Paths!$C$178=1),0,IF(Paths!$P$178="Complete",F1890/12*(Paths!$L$178*(1+IF(Paths!$D$178="EV",'Operating costs'!$B$52,'Operating costs'!$B$51))^MAX(0,C1890-1)+Paths!$M$178*(1+'Operating costs'!$B$53)^MAX(0,C1890-1)),"n.a."))</f>
        <v>0</v>
      </c>
      <c r="I1890" s="16">
        <f>IF(NOT(Paths!$C$178=1),0,IF(Paths!$P$178="Complete",IF(IF(Paths!$E$178=0,C1890=0,AND(C1890&gt;0,Paths!$E$178&gt;(C1890-1)*12,Paths!$E$178&lt;=C1890*12)),Paths!$G$178,0),"n.a."))</f>
        <v>0</v>
      </c>
      <c r="J1890" s="16">
        <f>IF(NOT(Paths!$C$178=1),0,IF(Paths!$P$178="Complete",IF(IF(Paths!$E$178=0,C1890=0,AND(C1890&gt;0,Paths!$E$178&gt;(C1890-1)*12,Paths!$E$178&lt;=C1890*12)),Paths!$H$178,0),"n.a."))</f>
        <v>0</v>
      </c>
      <c r="K1890" s="16">
        <f>IF(NOT(Paths!$C$178=1),0,IF(Paths!$P$178="Complete",IF(IF(Paths!$O$178=0,C1890=0,AND(C1890&gt;0,Paths!$O$178&gt;(C1890-1)*12,Paths!$O$178&lt;=C1890*12)),Paths!$N$178,0),"n.a."))</f>
        <v>0</v>
      </c>
      <c r="L1890" s="16">
        <f>IF(NOT(Paths!$C$178=1),0,IF(Paths!$P$178="Complete",IF(C1890=10,Paths!$I$178,0),"n.a."))</f>
        <v>0</v>
      </c>
      <c r="M1890" s="16">
        <f>IF(NOT(Paths!$C$178=1),0,IF(Paths!$P$178="Complete",IF(AND(Paths!$D$178="EV",Paths!$E$178&lt;120,Paths!$E$178+'Operating costs'!$B$65&gt;Paths!$E$178,Paths!$E$178+'Operating costs'!$B$65&lt;=120,IF(Paths!$E$178+'Operating costs'!$B$65=0,C1890=0,AND(C1890&gt;0,Paths!$E$178+'Operating costs'!$B$65&gt;(C1890-1)*12,Paths!$E$178+'Operating costs'!$B$65&lt;=C1890*12))),'Operating costs'!$B$64,0)+IF(AND('Operating costs'!$B$67&gt;0,'Operating costs'!$B$67&lt;=120,OR(Paths!$D$178="ICE",'Operating costs'!$B$67&lt;=Paths!$E$178),IF('Operating costs'!$B$67=0,C1890=0,AND(C1890&gt;0,'Operating costs'!$B$67&gt;(C1890-1)*12,'Operating costs'!$B$67&lt;=C1890*12))),'Operating costs'!$B$66,0),"n.a."))</f>
        <v>0</v>
      </c>
      <c r="N1890" s="16">
        <f>IF(NOT(Paths!$C$178=1),0,IF(Paths!$P$178="Complete",SUM(G1890:I1890)-J1890-K1890-L1890+M1890+IF(C1890=0,Paths!$F$178,0)+IF(IF(Paths!$E$178=0,C1890=0,AND(C1890&gt;0,Paths!$E$178&gt;(C1890-1)*12,Paths!$E$178&lt;=C1890*12)),VLOOKUP(A1890,'Fleet register'!$A$7:$S$106,16,FALSE),0),"n.a."))</f>
        <v>0</v>
      </c>
      <c r="O1890" s="16">
        <f>IF(NOT(Paths!$C$178=1),0,IF(Paths!$P$178="Complete",N1890-IF(C1890=0,Paths!$F$178,0),"n.a."))</f>
        <v>0</v>
      </c>
      <c r="P1890" s="16">
        <f>IF(NOT(Paths!$C$178=1),0,IF(Paths!$P$178="Complete",O1890+L1890,"n.a."))</f>
        <v>0</v>
      </c>
      <c r="Q1890" s="16">
        <f>IF(NOT(Paths!$C$178=1),0,IF(Paths!$P$178="Complete",N1890*(1+'Operating costs'!$B$54)^-C1890,"n.a."))</f>
        <v>0</v>
      </c>
      <c r="R1890" s="16">
        <f>IF(NOT(Paths!$C$178=1),0,IF(Paths!$P$178="Complete",IF(AND(C1890=0,Paths!$E$178=0),I1890-J1890-K1890+VLOOKUP(A1890,'Fleet register'!$A$7:$S$106,15,FALSE)+VLOOKUP(A1890,'Fleet register'!$A$7:$S$106,16,FALSE),0),"n.a."))</f>
        <v>0</v>
      </c>
      <c r="S1890" s="1">
        <f>IF(NOT(Paths!$C$178=1),0,IF(Paths!$P$178="Complete",IF(C1890=0,0,Paths!$S$178*Paths!$R$178),"n.a."))</f>
        <v>0</v>
      </c>
      <c r="T1890" s="1">
        <f>IF(NOT(Paths!$C$178=1),0,IF(Paths!$P$178="Complete",IF(C1890=0,0,VLOOKUP(A1890,'Fleet register'!$A$7:$S$106,9,FALSE)*Paths!$R$178),"n.a."))</f>
        <v>0</v>
      </c>
    </row>
    <row r="1891" spans="1:20" ht="24" customHeight="1">
      <c r="A1891" s="1" t="str">
        <f>Paths!$A$178</f>
        <v>T043</v>
      </c>
      <c r="B1891" s="1">
        <f>Paths!$B$178</f>
        <v>3</v>
      </c>
      <c r="C1891" s="1">
        <v>3</v>
      </c>
      <c r="D1891" s="1">
        <v>178</v>
      </c>
      <c r="E1891" s="1">
        <f>IF(OR(Paths!$C$178=0,C1891=0),0,MAX(0,MIN(C1891*12,Paths!$E$178)-(C1891-1)*12))</f>
        <v>0</v>
      </c>
      <c r="F1891" s="1">
        <f>IF(OR(Paths!$C$178=0,C1891=0),0,12-E1891)</f>
        <v>0</v>
      </c>
      <c r="G1891" s="16">
        <f>IF(NOT(Paths!$C$178=1),0,IF(Paths!$P$178="Complete",E1891/12*(Paths!$J$178*(1+'Operating costs'!$B$51)^MAX(0,C1891-1)+Paths!$K$178*(1+'Operating costs'!$B$53)^MAX(0,C1891-1)),"n.a."))</f>
        <v>0</v>
      </c>
      <c r="H1891" s="16">
        <f>IF(NOT(Paths!$C$178=1),0,IF(Paths!$P$178="Complete",F1891/12*(Paths!$L$178*(1+IF(Paths!$D$178="EV",'Operating costs'!$B$52,'Operating costs'!$B$51))^MAX(0,C1891-1)+Paths!$M$178*(1+'Operating costs'!$B$53)^MAX(0,C1891-1)),"n.a."))</f>
        <v>0</v>
      </c>
      <c r="I1891" s="16">
        <f>IF(NOT(Paths!$C$178=1),0,IF(Paths!$P$178="Complete",IF(IF(Paths!$E$178=0,C1891=0,AND(C1891&gt;0,Paths!$E$178&gt;(C1891-1)*12,Paths!$E$178&lt;=C1891*12)),Paths!$G$178,0),"n.a."))</f>
        <v>0</v>
      </c>
      <c r="J1891" s="16">
        <f>IF(NOT(Paths!$C$178=1),0,IF(Paths!$P$178="Complete",IF(IF(Paths!$E$178=0,C1891=0,AND(C1891&gt;0,Paths!$E$178&gt;(C1891-1)*12,Paths!$E$178&lt;=C1891*12)),Paths!$H$178,0),"n.a."))</f>
        <v>0</v>
      </c>
      <c r="K1891" s="16">
        <f>IF(NOT(Paths!$C$178=1),0,IF(Paths!$P$178="Complete",IF(IF(Paths!$O$178=0,C1891=0,AND(C1891&gt;0,Paths!$O$178&gt;(C1891-1)*12,Paths!$O$178&lt;=C1891*12)),Paths!$N$178,0),"n.a."))</f>
        <v>0</v>
      </c>
      <c r="L1891" s="16">
        <f>IF(NOT(Paths!$C$178=1),0,IF(Paths!$P$178="Complete",IF(C1891=10,Paths!$I$178,0),"n.a."))</f>
        <v>0</v>
      </c>
      <c r="M1891" s="16">
        <f>IF(NOT(Paths!$C$178=1),0,IF(Paths!$P$178="Complete",IF(AND(Paths!$D$178="EV",Paths!$E$178&lt;120,Paths!$E$178+'Operating costs'!$B$65&gt;Paths!$E$178,Paths!$E$178+'Operating costs'!$B$65&lt;=120,IF(Paths!$E$178+'Operating costs'!$B$65=0,C1891=0,AND(C1891&gt;0,Paths!$E$178+'Operating costs'!$B$65&gt;(C1891-1)*12,Paths!$E$178+'Operating costs'!$B$65&lt;=C1891*12))),'Operating costs'!$B$64,0)+IF(AND('Operating costs'!$B$67&gt;0,'Operating costs'!$B$67&lt;=120,OR(Paths!$D$178="ICE",'Operating costs'!$B$67&lt;=Paths!$E$178),IF('Operating costs'!$B$67=0,C1891=0,AND(C1891&gt;0,'Operating costs'!$B$67&gt;(C1891-1)*12,'Operating costs'!$B$67&lt;=C1891*12))),'Operating costs'!$B$66,0),"n.a."))</f>
        <v>0</v>
      </c>
      <c r="N1891" s="16">
        <f>IF(NOT(Paths!$C$178=1),0,IF(Paths!$P$178="Complete",SUM(G1891:I1891)-J1891-K1891-L1891+M1891+IF(C1891=0,Paths!$F$178,0)+IF(IF(Paths!$E$178=0,C1891=0,AND(C1891&gt;0,Paths!$E$178&gt;(C1891-1)*12,Paths!$E$178&lt;=C1891*12)),VLOOKUP(A1891,'Fleet register'!$A$7:$S$106,16,FALSE),0),"n.a."))</f>
        <v>0</v>
      </c>
      <c r="O1891" s="16">
        <f>IF(NOT(Paths!$C$178=1),0,IF(Paths!$P$178="Complete",N1891-IF(C1891=0,Paths!$F$178,0),"n.a."))</f>
        <v>0</v>
      </c>
      <c r="P1891" s="16">
        <f>IF(NOT(Paths!$C$178=1),0,IF(Paths!$P$178="Complete",O1891+L1891,"n.a."))</f>
        <v>0</v>
      </c>
      <c r="Q1891" s="16">
        <f>IF(NOT(Paths!$C$178=1),0,IF(Paths!$P$178="Complete",N1891*(1+'Operating costs'!$B$54)^-C1891,"n.a."))</f>
        <v>0</v>
      </c>
      <c r="R1891" s="16">
        <f>IF(NOT(Paths!$C$178=1),0,IF(Paths!$P$178="Complete",IF(AND(C1891=0,Paths!$E$178=0),I1891-J1891-K1891+VLOOKUP(A1891,'Fleet register'!$A$7:$S$106,15,FALSE)+VLOOKUP(A1891,'Fleet register'!$A$7:$S$106,16,FALSE),0),"n.a."))</f>
        <v>0</v>
      </c>
      <c r="S1891" s="1">
        <f>IF(NOT(Paths!$C$178=1),0,IF(Paths!$P$178="Complete",IF(C1891=0,0,Paths!$S$178*Paths!$R$178),"n.a."))</f>
        <v>0</v>
      </c>
      <c r="T1891" s="1">
        <f>IF(NOT(Paths!$C$178=1),0,IF(Paths!$P$178="Complete",IF(C1891=0,0,VLOOKUP(A1891,'Fleet register'!$A$7:$S$106,9,FALSE)*Paths!$R$178),"n.a."))</f>
        <v>0</v>
      </c>
    </row>
    <row r="1892" spans="1:20" ht="24" customHeight="1">
      <c r="A1892" s="1" t="str">
        <f>Paths!$A$178</f>
        <v>T043</v>
      </c>
      <c r="B1892" s="1">
        <f>Paths!$B$178</f>
        <v>3</v>
      </c>
      <c r="C1892" s="1">
        <v>4</v>
      </c>
      <c r="D1892" s="1">
        <v>178</v>
      </c>
      <c r="E1892" s="1">
        <f>IF(OR(Paths!$C$178=0,C1892=0),0,MAX(0,MIN(C1892*12,Paths!$E$178)-(C1892-1)*12))</f>
        <v>0</v>
      </c>
      <c r="F1892" s="1">
        <f>IF(OR(Paths!$C$178=0,C1892=0),0,12-E1892)</f>
        <v>0</v>
      </c>
      <c r="G1892" s="16">
        <f>IF(NOT(Paths!$C$178=1),0,IF(Paths!$P$178="Complete",E1892/12*(Paths!$J$178*(1+'Operating costs'!$B$51)^MAX(0,C1892-1)+Paths!$K$178*(1+'Operating costs'!$B$53)^MAX(0,C1892-1)),"n.a."))</f>
        <v>0</v>
      </c>
      <c r="H1892" s="16">
        <f>IF(NOT(Paths!$C$178=1),0,IF(Paths!$P$178="Complete",F1892/12*(Paths!$L$178*(1+IF(Paths!$D$178="EV",'Operating costs'!$B$52,'Operating costs'!$B$51))^MAX(0,C1892-1)+Paths!$M$178*(1+'Operating costs'!$B$53)^MAX(0,C1892-1)),"n.a."))</f>
        <v>0</v>
      </c>
      <c r="I1892" s="16">
        <f>IF(NOT(Paths!$C$178=1),0,IF(Paths!$P$178="Complete",IF(IF(Paths!$E$178=0,C1892=0,AND(C1892&gt;0,Paths!$E$178&gt;(C1892-1)*12,Paths!$E$178&lt;=C1892*12)),Paths!$G$178,0),"n.a."))</f>
        <v>0</v>
      </c>
      <c r="J1892" s="16">
        <f>IF(NOT(Paths!$C$178=1),0,IF(Paths!$P$178="Complete",IF(IF(Paths!$E$178=0,C1892=0,AND(C1892&gt;0,Paths!$E$178&gt;(C1892-1)*12,Paths!$E$178&lt;=C1892*12)),Paths!$H$178,0),"n.a."))</f>
        <v>0</v>
      </c>
      <c r="K1892" s="16">
        <f>IF(NOT(Paths!$C$178=1),0,IF(Paths!$P$178="Complete",IF(IF(Paths!$O$178=0,C1892=0,AND(C1892&gt;0,Paths!$O$178&gt;(C1892-1)*12,Paths!$O$178&lt;=C1892*12)),Paths!$N$178,0),"n.a."))</f>
        <v>0</v>
      </c>
      <c r="L1892" s="16">
        <f>IF(NOT(Paths!$C$178=1),0,IF(Paths!$P$178="Complete",IF(C1892=10,Paths!$I$178,0),"n.a."))</f>
        <v>0</v>
      </c>
      <c r="M1892" s="16">
        <f>IF(NOT(Paths!$C$178=1),0,IF(Paths!$P$178="Complete",IF(AND(Paths!$D$178="EV",Paths!$E$178&lt;120,Paths!$E$178+'Operating costs'!$B$65&gt;Paths!$E$178,Paths!$E$178+'Operating costs'!$B$65&lt;=120,IF(Paths!$E$178+'Operating costs'!$B$65=0,C1892=0,AND(C1892&gt;0,Paths!$E$178+'Operating costs'!$B$65&gt;(C1892-1)*12,Paths!$E$178+'Operating costs'!$B$65&lt;=C1892*12))),'Operating costs'!$B$64,0)+IF(AND('Operating costs'!$B$67&gt;0,'Operating costs'!$B$67&lt;=120,OR(Paths!$D$178="ICE",'Operating costs'!$B$67&lt;=Paths!$E$178),IF('Operating costs'!$B$67=0,C1892=0,AND(C1892&gt;0,'Operating costs'!$B$67&gt;(C1892-1)*12,'Operating costs'!$B$67&lt;=C1892*12))),'Operating costs'!$B$66,0),"n.a."))</f>
        <v>0</v>
      </c>
      <c r="N1892" s="16">
        <f>IF(NOT(Paths!$C$178=1),0,IF(Paths!$P$178="Complete",SUM(G1892:I1892)-J1892-K1892-L1892+M1892+IF(C1892=0,Paths!$F$178,0)+IF(IF(Paths!$E$178=0,C1892=0,AND(C1892&gt;0,Paths!$E$178&gt;(C1892-1)*12,Paths!$E$178&lt;=C1892*12)),VLOOKUP(A1892,'Fleet register'!$A$7:$S$106,16,FALSE),0),"n.a."))</f>
        <v>0</v>
      </c>
      <c r="O1892" s="16">
        <f>IF(NOT(Paths!$C$178=1),0,IF(Paths!$P$178="Complete",N1892-IF(C1892=0,Paths!$F$178,0),"n.a."))</f>
        <v>0</v>
      </c>
      <c r="P1892" s="16">
        <f>IF(NOT(Paths!$C$178=1),0,IF(Paths!$P$178="Complete",O1892+L1892,"n.a."))</f>
        <v>0</v>
      </c>
      <c r="Q1892" s="16">
        <f>IF(NOT(Paths!$C$178=1),0,IF(Paths!$P$178="Complete",N1892*(1+'Operating costs'!$B$54)^-C1892,"n.a."))</f>
        <v>0</v>
      </c>
      <c r="R1892" s="16">
        <f>IF(NOT(Paths!$C$178=1),0,IF(Paths!$P$178="Complete",IF(AND(C1892=0,Paths!$E$178=0),I1892-J1892-K1892+VLOOKUP(A1892,'Fleet register'!$A$7:$S$106,15,FALSE)+VLOOKUP(A1892,'Fleet register'!$A$7:$S$106,16,FALSE),0),"n.a."))</f>
        <v>0</v>
      </c>
      <c r="S1892" s="1">
        <f>IF(NOT(Paths!$C$178=1),0,IF(Paths!$P$178="Complete",IF(C1892=0,0,Paths!$S$178*Paths!$R$178),"n.a."))</f>
        <v>0</v>
      </c>
      <c r="T1892" s="1">
        <f>IF(NOT(Paths!$C$178=1),0,IF(Paths!$P$178="Complete",IF(C1892=0,0,VLOOKUP(A1892,'Fleet register'!$A$7:$S$106,9,FALSE)*Paths!$R$178),"n.a."))</f>
        <v>0</v>
      </c>
    </row>
    <row r="1893" spans="1:20" ht="24" customHeight="1">
      <c r="A1893" s="1" t="str">
        <f>Paths!$A$178</f>
        <v>T043</v>
      </c>
      <c r="B1893" s="1">
        <f>Paths!$B$178</f>
        <v>3</v>
      </c>
      <c r="C1893" s="1">
        <v>5</v>
      </c>
      <c r="D1893" s="1">
        <v>178</v>
      </c>
      <c r="E1893" s="1">
        <f>IF(OR(Paths!$C$178=0,C1893=0),0,MAX(0,MIN(C1893*12,Paths!$E$178)-(C1893-1)*12))</f>
        <v>0</v>
      </c>
      <c r="F1893" s="1">
        <f>IF(OR(Paths!$C$178=0,C1893=0),0,12-E1893)</f>
        <v>0</v>
      </c>
      <c r="G1893" s="16">
        <f>IF(NOT(Paths!$C$178=1),0,IF(Paths!$P$178="Complete",E1893/12*(Paths!$J$178*(1+'Operating costs'!$B$51)^MAX(0,C1893-1)+Paths!$K$178*(1+'Operating costs'!$B$53)^MAX(0,C1893-1)),"n.a."))</f>
        <v>0</v>
      </c>
      <c r="H1893" s="16">
        <f>IF(NOT(Paths!$C$178=1),0,IF(Paths!$P$178="Complete",F1893/12*(Paths!$L$178*(1+IF(Paths!$D$178="EV",'Operating costs'!$B$52,'Operating costs'!$B$51))^MAX(0,C1893-1)+Paths!$M$178*(1+'Operating costs'!$B$53)^MAX(0,C1893-1)),"n.a."))</f>
        <v>0</v>
      </c>
      <c r="I1893" s="16">
        <f>IF(NOT(Paths!$C$178=1),0,IF(Paths!$P$178="Complete",IF(IF(Paths!$E$178=0,C1893=0,AND(C1893&gt;0,Paths!$E$178&gt;(C1893-1)*12,Paths!$E$178&lt;=C1893*12)),Paths!$G$178,0),"n.a."))</f>
        <v>0</v>
      </c>
      <c r="J1893" s="16">
        <f>IF(NOT(Paths!$C$178=1),0,IF(Paths!$P$178="Complete",IF(IF(Paths!$E$178=0,C1893=0,AND(C1893&gt;0,Paths!$E$178&gt;(C1893-1)*12,Paths!$E$178&lt;=C1893*12)),Paths!$H$178,0),"n.a."))</f>
        <v>0</v>
      </c>
      <c r="K1893" s="16">
        <f>IF(NOT(Paths!$C$178=1),0,IF(Paths!$P$178="Complete",IF(IF(Paths!$O$178=0,C1893=0,AND(C1893&gt;0,Paths!$O$178&gt;(C1893-1)*12,Paths!$O$178&lt;=C1893*12)),Paths!$N$178,0),"n.a."))</f>
        <v>0</v>
      </c>
      <c r="L1893" s="16">
        <f>IF(NOT(Paths!$C$178=1),0,IF(Paths!$P$178="Complete",IF(C1893=10,Paths!$I$178,0),"n.a."))</f>
        <v>0</v>
      </c>
      <c r="M1893" s="16">
        <f>IF(NOT(Paths!$C$178=1),0,IF(Paths!$P$178="Complete",IF(AND(Paths!$D$178="EV",Paths!$E$178&lt;120,Paths!$E$178+'Operating costs'!$B$65&gt;Paths!$E$178,Paths!$E$178+'Operating costs'!$B$65&lt;=120,IF(Paths!$E$178+'Operating costs'!$B$65=0,C1893=0,AND(C1893&gt;0,Paths!$E$178+'Operating costs'!$B$65&gt;(C1893-1)*12,Paths!$E$178+'Operating costs'!$B$65&lt;=C1893*12))),'Operating costs'!$B$64,0)+IF(AND('Operating costs'!$B$67&gt;0,'Operating costs'!$B$67&lt;=120,OR(Paths!$D$178="ICE",'Operating costs'!$B$67&lt;=Paths!$E$178),IF('Operating costs'!$B$67=0,C1893=0,AND(C1893&gt;0,'Operating costs'!$B$67&gt;(C1893-1)*12,'Operating costs'!$B$67&lt;=C1893*12))),'Operating costs'!$B$66,0),"n.a."))</f>
        <v>0</v>
      </c>
      <c r="N1893" s="16">
        <f>IF(NOT(Paths!$C$178=1),0,IF(Paths!$P$178="Complete",SUM(G1893:I1893)-J1893-K1893-L1893+M1893+IF(C1893=0,Paths!$F$178,0)+IF(IF(Paths!$E$178=0,C1893=0,AND(C1893&gt;0,Paths!$E$178&gt;(C1893-1)*12,Paths!$E$178&lt;=C1893*12)),VLOOKUP(A1893,'Fleet register'!$A$7:$S$106,16,FALSE),0),"n.a."))</f>
        <v>0</v>
      </c>
      <c r="O1893" s="16">
        <f>IF(NOT(Paths!$C$178=1),0,IF(Paths!$P$178="Complete",N1893-IF(C1893=0,Paths!$F$178,0),"n.a."))</f>
        <v>0</v>
      </c>
      <c r="P1893" s="16">
        <f>IF(NOT(Paths!$C$178=1),0,IF(Paths!$P$178="Complete",O1893+L1893,"n.a."))</f>
        <v>0</v>
      </c>
      <c r="Q1893" s="16">
        <f>IF(NOT(Paths!$C$178=1),0,IF(Paths!$P$178="Complete",N1893*(1+'Operating costs'!$B$54)^-C1893,"n.a."))</f>
        <v>0</v>
      </c>
      <c r="R1893" s="16">
        <f>IF(NOT(Paths!$C$178=1),0,IF(Paths!$P$178="Complete",IF(AND(C1893=0,Paths!$E$178=0),I1893-J1893-K1893+VLOOKUP(A1893,'Fleet register'!$A$7:$S$106,15,FALSE)+VLOOKUP(A1893,'Fleet register'!$A$7:$S$106,16,FALSE),0),"n.a."))</f>
        <v>0</v>
      </c>
      <c r="S1893" s="1">
        <f>IF(NOT(Paths!$C$178=1),0,IF(Paths!$P$178="Complete",IF(C1893=0,0,Paths!$S$178*Paths!$R$178),"n.a."))</f>
        <v>0</v>
      </c>
      <c r="T1893" s="1">
        <f>IF(NOT(Paths!$C$178=1),0,IF(Paths!$P$178="Complete",IF(C1893=0,0,VLOOKUP(A1893,'Fleet register'!$A$7:$S$106,9,FALSE)*Paths!$R$178),"n.a."))</f>
        <v>0</v>
      </c>
    </row>
    <row r="1894" spans="1:20" ht="24" customHeight="1">
      <c r="A1894" s="1" t="str">
        <f>Paths!$A$178</f>
        <v>T043</v>
      </c>
      <c r="B1894" s="1">
        <f>Paths!$B$178</f>
        <v>3</v>
      </c>
      <c r="C1894" s="1">
        <v>6</v>
      </c>
      <c r="D1894" s="1">
        <v>178</v>
      </c>
      <c r="E1894" s="1">
        <f>IF(OR(Paths!$C$178=0,C1894=0),0,MAX(0,MIN(C1894*12,Paths!$E$178)-(C1894-1)*12))</f>
        <v>0</v>
      </c>
      <c r="F1894" s="1">
        <f>IF(OR(Paths!$C$178=0,C1894=0),0,12-E1894)</f>
        <v>0</v>
      </c>
      <c r="G1894" s="16">
        <f>IF(NOT(Paths!$C$178=1),0,IF(Paths!$P$178="Complete",E1894/12*(Paths!$J$178*(1+'Operating costs'!$B$51)^MAX(0,C1894-1)+Paths!$K$178*(1+'Operating costs'!$B$53)^MAX(0,C1894-1)),"n.a."))</f>
        <v>0</v>
      </c>
      <c r="H1894" s="16">
        <f>IF(NOT(Paths!$C$178=1),0,IF(Paths!$P$178="Complete",F1894/12*(Paths!$L$178*(1+IF(Paths!$D$178="EV",'Operating costs'!$B$52,'Operating costs'!$B$51))^MAX(0,C1894-1)+Paths!$M$178*(1+'Operating costs'!$B$53)^MAX(0,C1894-1)),"n.a."))</f>
        <v>0</v>
      </c>
      <c r="I1894" s="16">
        <f>IF(NOT(Paths!$C$178=1),0,IF(Paths!$P$178="Complete",IF(IF(Paths!$E$178=0,C1894=0,AND(C1894&gt;0,Paths!$E$178&gt;(C1894-1)*12,Paths!$E$178&lt;=C1894*12)),Paths!$G$178,0),"n.a."))</f>
        <v>0</v>
      </c>
      <c r="J1894" s="16">
        <f>IF(NOT(Paths!$C$178=1),0,IF(Paths!$P$178="Complete",IF(IF(Paths!$E$178=0,C1894=0,AND(C1894&gt;0,Paths!$E$178&gt;(C1894-1)*12,Paths!$E$178&lt;=C1894*12)),Paths!$H$178,0),"n.a."))</f>
        <v>0</v>
      </c>
      <c r="K1894" s="16">
        <f>IF(NOT(Paths!$C$178=1),0,IF(Paths!$P$178="Complete",IF(IF(Paths!$O$178=0,C1894=0,AND(C1894&gt;0,Paths!$O$178&gt;(C1894-1)*12,Paths!$O$178&lt;=C1894*12)),Paths!$N$178,0),"n.a."))</f>
        <v>0</v>
      </c>
      <c r="L1894" s="16">
        <f>IF(NOT(Paths!$C$178=1),0,IF(Paths!$P$178="Complete",IF(C1894=10,Paths!$I$178,0),"n.a."))</f>
        <v>0</v>
      </c>
      <c r="M1894" s="16">
        <f>IF(NOT(Paths!$C$178=1),0,IF(Paths!$P$178="Complete",IF(AND(Paths!$D$178="EV",Paths!$E$178&lt;120,Paths!$E$178+'Operating costs'!$B$65&gt;Paths!$E$178,Paths!$E$178+'Operating costs'!$B$65&lt;=120,IF(Paths!$E$178+'Operating costs'!$B$65=0,C1894=0,AND(C1894&gt;0,Paths!$E$178+'Operating costs'!$B$65&gt;(C1894-1)*12,Paths!$E$178+'Operating costs'!$B$65&lt;=C1894*12))),'Operating costs'!$B$64,0)+IF(AND('Operating costs'!$B$67&gt;0,'Operating costs'!$B$67&lt;=120,OR(Paths!$D$178="ICE",'Operating costs'!$B$67&lt;=Paths!$E$178),IF('Operating costs'!$B$67=0,C1894=0,AND(C1894&gt;0,'Operating costs'!$B$67&gt;(C1894-1)*12,'Operating costs'!$B$67&lt;=C1894*12))),'Operating costs'!$B$66,0),"n.a."))</f>
        <v>0</v>
      </c>
      <c r="N1894" s="16">
        <f>IF(NOT(Paths!$C$178=1),0,IF(Paths!$P$178="Complete",SUM(G1894:I1894)-J1894-K1894-L1894+M1894+IF(C1894=0,Paths!$F$178,0)+IF(IF(Paths!$E$178=0,C1894=0,AND(C1894&gt;0,Paths!$E$178&gt;(C1894-1)*12,Paths!$E$178&lt;=C1894*12)),VLOOKUP(A1894,'Fleet register'!$A$7:$S$106,16,FALSE),0),"n.a."))</f>
        <v>0</v>
      </c>
      <c r="O1894" s="16">
        <f>IF(NOT(Paths!$C$178=1),0,IF(Paths!$P$178="Complete",N1894-IF(C1894=0,Paths!$F$178,0),"n.a."))</f>
        <v>0</v>
      </c>
      <c r="P1894" s="16">
        <f>IF(NOT(Paths!$C$178=1),0,IF(Paths!$P$178="Complete",O1894+L1894,"n.a."))</f>
        <v>0</v>
      </c>
      <c r="Q1894" s="16">
        <f>IF(NOT(Paths!$C$178=1),0,IF(Paths!$P$178="Complete",N1894*(1+'Operating costs'!$B$54)^-C1894,"n.a."))</f>
        <v>0</v>
      </c>
      <c r="R1894" s="16">
        <f>IF(NOT(Paths!$C$178=1),0,IF(Paths!$P$178="Complete",IF(AND(C1894=0,Paths!$E$178=0),I1894-J1894-K1894+VLOOKUP(A1894,'Fleet register'!$A$7:$S$106,15,FALSE)+VLOOKUP(A1894,'Fleet register'!$A$7:$S$106,16,FALSE),0),"n.a."))</f>
        <v>0</v>
      </c>
      <c r="S1894" s="1">
        <f>IF(NOT(Paths!$C$178=1),0,IF(Paths!$P$178="Complete",IF(C1894=0,0,Paths!$S$178*Paths!$R$178),"n.a."))</f>
        <v>0</v>
      </c>
      <c r="T1894" s="1">
        <f>IF(NOT(Paths!$C$178=1),0,IF(Paths!$P$178="Complete",IF(C1894=0,0,VLOOKUP(A1894,'Fleet register'!$A$7:$S$106,9,FALSE)*Paths!$R$178),"n.a."))</f>
        <v>0</v>
      </c>
    </row>
    <row r="1895" spans="1:20" ht="24" customHeight="1">
      <c r="A1895" s="1" t="str">
        <f>Paths!$A$178</f>
        <v>T043</v>
      </c>
      <c r="B1895" s="1">
        <f>Paths!$B$178</f>
        <v>3</v>
      </c>
      <c r="C1895" s="1">
        <v>7</v>
      </c>
      <c r="D1895" s="1">
        <v>178</v>
      </c>
      <c r="E1895" s="1">
        <f>IF(OR(Paths!$C$178=0,C1895=0),0,MAX(0,MIN(C1895*12,Paths!$E$178)-(C1895-1)*12))</f>
        <v>0</v>
      </c>
      <c r="F1895" s="1">
        <f>IF(OR(Paths!$C$178=0,C1895=0),0,12-E1895)</f>
        <v>0</v>
      </c>
      <c r="G1895" s="16">
        <f>IF(NOT(Paths!$C$178=1),0,IF(Paths!$P$178="Complete",E1895/12*(Paths!$J$178*(1+'Operating costs'!$B$51)^MAX(0,C1895-1)+Paths!$K$178*(1+'Operating costs'!$B$53)^MAX(0,C1895-1)),"n.a."))</f>
        <v>0</v>
      </c>
      <c r="H1895" s="16">
        <f>IF(NOT(Paths!$C$178=1),0,IF(Paths!$P$178="Complete",F1895/12*(Paths!$L$178*(1+IF(Paths!$D$178="EV",'Operating costs'!$B$52,'Operating costs'!$B$51))^MAX(0,C1895-1)+Paths!$M$178*(1+'Operating costs'!$B$53)^MAX(0,C1895-1)),"n.a."))</f>
        <v>0</v>
      </c>
      <c r="I1895" s="16">
        <f>IF(NOT(Paths!$C$178=1),0,IF(Paths!$P$178="Complete",IF(IF(Paths!$E$178=0,C1895=0,AND(C1895&gt;0,Paths!$E$178&gt;(C1895-1)*12,Paths!$E$178&lt;=C1895*12)),Paths!$G$178,0),"n.a."))</f>
        <v>0</v>
      </c>
      <c r="J1895" s="16">
        <f>IF(NOT(Paths!$C$178=1),0,IF(Paths!$P$178="Complete",IF(IF(Paths!$E$178=0,C1895=0,AND(C1895&gt;0,Paths!$E$178&gt;(C1895-1)*12,Paths!$E$178&lt;=C1895*12)),Paths!$H$178,0),"n.a."))</f>
        <v>0</v>
      </c>
      <c r="K1895" s="16">
        <f>IF(NOT(Paths!$C$178=1),0,IF(Paths!$P$178="Complete",IF(IF(Paths!$O$178=0,C1895=0,AND(C1895&gt;0,Paths!$O$178&gt;(C1895-1)*12,Paths!$O$178&lt;=C1895*12)),Paths!$N$178,0),"n.a."))</f>
        <v>0</v>
      </c>
      <c r="L1895" s="16">
        <f>IF(NOT(Paths!$C$178=1),0,IF(Paths!$P$178="Complete",IF(C1895=10,Paths!$I$178,0),"n.a."))</f>
        <v>0</v>
      </c>
      <c r="M1895" s="16">
        <f>IF(NOT(Paths!$C$178=1),0,IF(Paths!$P$178="Complete",IF(AND(Paths!$D$178="EV",Paths!$E$178&lt;120,Paths!$E$178+'Operating costs'!$B$65&gt;Paths!$E$178,Paths!$E$178+'Operating costs'!$B$65&lt;=120,IF(Paths!$E$178+'Operating costs'!$B$65=0,C1895=0,AND(C1895&gt;0,Paths!$E$178+'Operating costs'!$B$65&gt;(C1895-1)*12,Paths!$E$178+'Operating costs'!$B$65&lt;=C1895*12))),'Operating costs'!$B$64,0)+IF(AND('Operating costs'!$B$67&gt;0,'Operating costs'!$B$67&lt;=120,OR(Paths!$D$178="ICE",'Operating costs'!$B$67&lt;=Paths!$E$178),IF('Operating costs'!$B$67=0,C1895=0,AND(C1895&gt;0,'Operating costs'!$B$67&gt;(C1895-1)*12,'Operating costs'!$B$67&lt;=C1895*12))),'Operating costs'!$B$66,0),"n.a."))</f>
        <v>0</v>
      </c>
      <c r="N1895" s="16">
        <f>IF(NOT(Paths!$C$178=1),0,IF(Paths!$P$178="Complete",SUM(G1895:I1895)-J1895-K1895-L1895+M1895+IF(C1895=0,Paths!$F$178,0)+IF(IF(Paths!$E$178=0,C1895=0,AND(C1895&gt;0,Paths!$E$178&gt;(C1895-1)*12,Paths!$E$178&lt;=C1895*12)),VLOOKUP(A1895,'Fleet register'!$A$7:$S$106,16,FALSE),0),"n.a."))</f>
        <v>0</v>
      </c>
      <c r="O1895" s="16">
        <f>IF(NOT(Paths!$C$178=1),0,IF(Paths!$P$178="Complete",N1895-IF(C1895=0,Paths!$F$178,0),"n.a."))</f>
        <v>0</v>
      </c>
      <c r="P1895" s="16">
        <f>IF(NOT(Paths!$C$178=1),0,IF(Paths!$P$178="Complete",O1895+L1895,"n.a."))</f>
        <v>0</v>
      </c>
      <c r="Q1895" s="16">
        <f>IF(NOT(Paths!$C$178=1),0,IF(Paths!$P$178="Complete",N1895*(1+'Operating costs'!$B$54)^-C1895,"n.a."))</f>
        <v>0</v>
      </c>
      <c r="R1895" s="16">
        <f>IF(NOT(Paths!$C$178=1),0,IF(Paths!$P$178="Complete",IF(AND(C1895=0,Paths!$E$178=0),I1895-J1895-K1895+VLOOKUP(A1895,'Fleet register'!$A$7:$S$106,15,FALSE)+VLOOKUP(A1895,'Fleet register'!$A$7:$S$106,16,FALSE),0),"n.a."))</f>
        <v>0</v>
      </c>
      <c r="S1895" s="1">
        <f>IF(NOT(Paths!$C$178=1),0,IF(Paths!$P$178="Complete",IF(C1895=0,0,Paths!$S$178*Paths!$R$178),"n.a."))</f>
        <v>0</v>
      </c>
      <c r="T1895" s="1">
        <f>IF(NOT(Paths!$C$178=1),0,IF(Paths!$P$178="Complete",IF(C1895=0,0,VLOOKUP(A1895,'Fleet register'!$A$7:$S$106,9,FALSE)*Paths!$R$178),"n.a."))</f>
        <v>0</v>
      </c>
    </row>
    <row r="1896" spans="1:20" ht="24" customHeight="1">
      <c r="A1896" s="1" t="str">
        <f>Paths!$A$178</f>
        <v>T043</v>
      </c>
      <c r="B1896" s="1">
        <f>Paths!$B$178</f>
        <v>3</v>
      </c>
      <c r="C1896" s="1">
        <v>8</v>
      </c>
      <c r="D1896" s="1">
        <v>178</v>
      </c>
      <c r="E1896" s="1">
        <f>IF(OR(Paths!$C$178=0,C1896=0),0,MAX(0,MIN(C1896*12,Paths!$E$178)-(C1896-1)*12))</f>
        <v>0</v>
      </c>
      <c r="F1896" s="1">
        <f>IF(OR(Paths!$C$178=0,C1896=0),0,12-E1896)</f>
        <v>0</v>
      </c>
      <c r="G1896" s="16">
        <f>IF(NOT(Paths!$C$178=1),0,IF(Paths!$P$178="Complete",E1896/12*(Paths!$J$178*(1+'Operating costs'!$B$51)^MAX(0,C1896-1)+Paths!$K$178*(1+'Operating costs'!$B$53)^MAX(0,C1896-1)),"n.a."))</f>
        <v>0</v>
      </c>
      <c r="H1896" s="16">
        <f>IF(NOT(Paths!$C$178=1),0,IF(Paths!$P$178="Complete",F1896/12*(Paths!$L$178*(1+IF(Paths!$D$178="EV",'Operating costs'!$B$52,'Operating costs'!$B$51))^MAX(0,C1896-1)+Paths!$M$178*(1+'Operating costs'!$B$53)^MAX(0,C1896-1)),"n.a."))</f>
        <v>0</v>
      </c>
      <c r="I1896" s="16">
        <f>IF(NOT(Paths!$C$178=1),0,IF(Paths!$P$178="Complete",IF(IF(Paths!$E$178=0,C1896=0,AND(C1896&gt;0,Paths!$E$178&gt;(C1896-1)*12,Paths!$E$178&lt;=C1896*12)),Paths!$G$178,0),"n.a."))</f>
        <v>0</v>
      </c>
      <c r="J1896" s="16">
        <f>IF(NOT(Paths!$C$178=1),0,IF(Paths!$P$178="Complete",IF(IF(Paths!$E$178=0,C1896=0,AND(C1896&gt;0,Paths!$E$178&gt;(C1896-1)*12,Paths!$E$178&lt;=C1896*12)),Paths!$H$178,0),"n.a."))</f>
        <v>0</v>
      </c>
      <c r="K1896" s="16">
        <f>IF(NOT(Paths!$C$178=1),0,IF(Paths!$P$178="Complete",IF(IF(Paths!$O$178=0,C1896=0,AND(C1896&gt;0,Paths!$O$178&gt;(C1896-1)*12,Paths!$O$178&lt;=C1896*12)),Paths!$N$178,0),"n.a."))</f>
        <v>0</v>
      </c>
      <c r="L1896" s="16">
        <f>IF(NOT(Paths!$C$178=1),0,IF(Paths!$P$178="Complete",IF(C1896=10,Paths!$I$178,0),"n.a."))</f>
        <v>0</v>
      </c>
      <c r="M1896" s="16">
        <f>IF(NOT(Paths!$C$178=1),0,IF(Paths!$P$178="Complete",IF(AND(Paths!$D$178="EV",Paths!$E$178&lt;120,Paths!$E$178+'Operating costs'!$B$65&gt;Paths!$E$178,Paths!$E$178+'Operating costs'!$B$65&lt;=120,IF(Paths!$E$178+'Operating costs'!$B$65=0,C1896=0,AND(C1896&gt;0,Paths!$E$178+'Operating costs'!$B$65&gt;(C1896-1)*12,Paths!$E$178+'Operating costs'!$B$65&lt;=C1896*12))),'Operating costs'!$B$64,0)+IF(AND('Operating costs'!$B$67&gt;0,'Operating costs'!$B$67&lt;=120,OR(Paths!$D$178="ICE",'Operating costs'!$B$67&lt;=Paths!$E$178),IF('Operating costs'!$B$67=0,C1896=0,AND(C1896&gt;0,'Operating costs'!$B$67&gt;(C1896-1)*12,'Operating costs'!$B$67&lt;=C1896*12))),'Operating costs'!$B$66,0),"n.a."))</f>
        <v>0</v>
      </c>
      <c r="N1896" s="16">
        <f>IF(NOT(Paths!$C$178=1),0,IF(Paths!$P$178="Complete",SUM(G1896:I1896)-J1896-K1896-L1896+M1896+IF(C1896=0,Paths!$F$178,0)+IF(IF(Paths!$E$178=0,C1896=0,AND(C1896&gt;0,Paths!$E$178&gt;(C1896-1)*12,Paths!$E$178&lt;=C1896*12)),VLOOKUP(A1896,'Fleet register'!$A$7:$S$106,16,FALSE),0),"n.a."))</f>
        <v>0</v>
      </c>
      <c r="O1896" s="16">
        <f>IF(NOT(Paths!$C$178=1),0,IF(Paths!$P$178="Complete",N1896-IF(C1896=0,Paths!$F$178,0),"n.a."))</f>
        <v>0</v>
      </c>
      <c r="P1896" s="16">
        <f>IF(NOT(Paths!$C$178=1),0,IF(Paths!$P$178="Complete",O1896+L1896,"n.a."))</f>
        <v>0</v>
      </c>
      <c r="Q1896" s="16">
        <f>IF(NOT(Paths!$C$178=1),0,IF(Paths!$P$178="Complete",N1896*(1+'Operating costs'!$B$54)^-C1896,"n.a."))</f>
        <v>0</v>
      </c>
      <c r="R1896" s="16">
        <f>IF(NOT(Paths!$C$178=1),0,IF(Paths!$P$178="Complete",IF(AND(C1896=0,Paths!$E$178=0),I1896-J1896-K1896+VLOOKUP(A1896,'Fleet register'!$A$7:$S$106,15,FALSE)+VLOOKUP(A1896,'Fleet register'!$A$7:$S$106,16,FALSE),0),"n.a."))</f>
        <v>0</v>
      </c>
      <c r="S1896" s="1">
        <f>IF(NOT(Paths!$C$178=1),0,IF(Paths!$P$178="Complete",IF(C1896=0,0,Paths!$S$178*Paths!$R$178),"n.a."))</f>
        <v>0</v>
      </c>
      <c r="T1896" s="1">
        <f>IF(NOT(Paths!$C$178=1),0,IF(Paths!$P$178="Complete",IF(C1896=0,0,VLOOKUP(A1896,'Fleet register'!$A$7:$S$106,9,FALSE)*Paths!$R$178),"n.a."))</f>
        <v>0</v>
      </c>
    </row>
    <row r="1897" spans="1:20" ht="24" customHeight="1">
      <c r="A1897" s="1" t="str">
        <f>Paths!$A$178</f>
        <v>T043</v>
      </c>
      <c r="B1897" s="1">
        <f>Paths!$B$178</f>
        <v>3</v>
      </c>
      <c r="C1897" s="1">
        <v>9</v>
      </c>
      <c r="D1897" s="1">
        <v>178</v>
      </c>
      <c r="E1897" s="1">
        <f>IF(OR(Paths!$C$178=0,C1897=0),0,MAX(0,MIN(C1897*12,Paths!$E$178)-(C1897-1)*12))</f>
        <v>0</v>
      </c>
      <c r="F1897" s="1">
        <f>IF(OR(Paths!$C$178=0,C1897=0),0,12-E1897)</f>
        <v>0</v>
      </c>
      <c r="G1897" s="16">
        <f>IF(NOT(Paths!$C$178=1),0,IF(Paths!$P$178="Complete",E1897/12*(Paths!$J$178*(1+'Operating costs'!$B$51)^MAX(0,C1897-1)+Paths!$K$178*(1+'Operating costs'!$B$53)^MAX(0,C1897-1)),"n.a."))</f>
        <v>0</v>
      </c>
      <c r="H1897" s="16">
        <f>IF(NOT(Paths!$C$178=1),0,IF(Paths!$P$178="Complete",F1897/12*(Paths!$L$178*(1+IF(Paths!$D$178="EV",'Operating costs'!$B$52,'Operating costs'!$B$51))^MAX(0,C1897-1)+Paths!$M$178*(1+'Operating costs'!$B$53)^MAX(0,C1897-1)),"n.a."))</f>
        <v>0</v>
      </c>
      <c r="I1897" s="16">
        <f>IF(NOT(Paths!$C$178=1),0,IF(Paths!$P$178="Complete",IF(IF(Paths!$E$178=0,C1897=0,AND(C1897&gt;0,Paths!$E$178&gt;(C1897-1)*12,Paths!$E$178&lt;=C1897*12)),Paths!$G$178,0),"n.a."))</f>
        <v>0</v>
      </c>
      <c r="J1897" s="16">
        <f>IF(NOT(Paths!$C$178=1),0,IF(Paths!$P$178="Complete",IF(IF(Paths!$E$178=0,C1897=0,AND(C1897&gt;0,Paths!$E$178&gt;(C1897-1)*12,Paths!$E$178&lt;=C1897*12)),Paths!$H$178,0),"n.a."))</f>
        <v>0</v>
      </c>
      <c r="K1897" s="16">
        <f>IF(NOT(Paths!$C$178=1),0,IF(Paths!$P$178="Complete",IF(IF(Paths!$O$178=0,C1897=0,AND(C1897&gt;0,Paths!$O$178&gt;(C1897-1)*12,Paths!$O$178&lt;=C1897*12)),Paths!$N$178,0),"n.a."))</f>
        <v>0</v>
      </c>
      <c r="L1897" s="16">
        <f>IF(NOT(Paths!$C$178=1),0,IF(Paths!$P$178="Complete",IF(C1897=10,Paths!$I$178,0),"n.a."))</f>
        <v>0</v>
      </c>
      <c r="M1897" s="16">
        <f>IF(NOT(Paths!$C$178=1),0,IF(Paths!$P$178="Complete",IF(AND(Paths!$D$178="EV",Paths!$E$178&lt;120,Paths!$E$178+'Operating costs'!$B$65&gt;Paths!$E$178,Paths!$E$178+'Operating costs'!$B$65&lt;=120,IF(Paths!$E$178+'Operating costs'!$B$65=0,C1897=0,AND(C1897&gt;0,Paths!$E$178+'Operating costs'!$B$65&gt;(C1897-1)*12,Paths!$E$178+'Operating costs'!$B$65&lt;=C1897*12))),'Operating costs'!$B$64,0)+IF(AND('Operating costs'!$B$67&gt;0,'Operating costs'!$B$67&lt;=120,OR(Paths!$D$178="ICE",'Operating costs'!$B$67&lt;=Paths!$E$178),IF('Operating costs'!$B$67=0,C1897=0,AND(C1897&gt;0,'Operating costs'!$B$67&gt;(C1897-1)*12,'Operating costs'!$B$67&lt;=C1897*12))),'Operating costs'!$B$66,0),"n.a."))</f>
        <v>0</v>
      </c>
      <c r="N1897" s="16">
        <f>IF(NOT(Paths!$C$178=1),0,IF(Paths!$P$178="Complete",SUM(G1897:I1897)-J1897-K1897-L1897+M1897+IF(C1897=0,Paths!$F$178,0)+IF(IF(Paths!$E$178=0,C1897=0,AND(C1897&gt;0,Paths!$E$178&gt;(C1897-1)*12,Paths!$E$178&lt;=C1897*12)),VLOOKUP(A1897,'Fleet register'!$A$7:$S$106,16,FALSE),0),"n.a."))</f>
        <v>0</v>
      </c>
      <c r="O1897" s="16">
        <f>IF(NOT(Paths!$C$178=1),0,IF(Paths!$P$178="Complete",N1897-IF(C1897=0,Paths!$F$178,0),"n.a."))</f>
        <v>0</v>
      </c>
      <c r="P1897" s="16">
        <f>IF(NOT(Paths!$C$178=1),0,IF(Paths!$P$178="Complete",O1897+L1897,"n.a."))</f>
        <v>0</v>
      </c>
      <c r="Q1897" s="16">
        <f>IF(NOT(Paths!$C$178=1),0,IF(Paths!$P$178="Complete",N1897*(1+'Operating costs'!$B$54)^-C1897,"n.a."))</f>
        <v>0</v>
      </c>
      <c r="R1897" s="16">
        <f>IF(NOT(Paths!$C$178=1),0,IF(Paths!$P$178="Complete",IF(AND(C1897=0,Paths!$E$178=0),I1897-J1897-K1897+VLOOKUP(A1897,'Fleet register'!$A$7:$S$106,15,FALSE)+VLOOKUP(A1897,'Fleet register'!$A$7:$S$106,16,FALSE),0),"n.a."))</f>
        <v>0</v>
      </c>
      <c r="S1897" s="1">
        <f>IF(NOT(Paths!$C$178=1),0,IF(Paths!$P$178="Complete",IF(C1897=0,0,Paths!$S$178*Paths!$R$178),"n.a."))</f>
        <v>0</v>
      </c>
      <c r="T1897" s="1">
        <f>IF(NOT(Paths!$C$178=1),0,IF(Paths!$P$178="Complete",IF(C1897=0,0,VLOOKUP(A1897,'Fleet register'!$A$7:$S$106,9,FALSE)*Paths!$R$178),"n.a."))</f>
        <v>0</v>
      </c>
    </row>
    <row r="1898" spans="1:20" ht="24" customHeight="1">
      <c r="A1898" s="1" t="str">
        <f>Paths!$A$178</f>
        <v>T043</v>
      </c>
      <c r="B1898" s="1">
        <f>Paths!$B$178</f>
        <v>3</v>
      </c>
      <c r="C1898" s="1">
        <v>10</v>
      </c>
      <c r="D1898" s="1">
        <v>178</v>
      </c>
      <c r="E1898" s="1">
        <f>IF(OR(Paths!$C$178=0,C1898=0),0,MAX(0,MIN(C1898*12,Paths!$E$178)-(C1898-1)*12))</f>
        <v>0</v>
      </c>
      <c r="F1898" s="1">
        <f>IF(OR(Paths!$C$178=0,C1898=0),0,12-E1898)</f>
        <v>0</v>
      </c>
      <c r="G1898" s="16">
        <f>IF(NOT(Paths!$C$178=1),0,IF(Paths!$P$178="Complete",E1898/12*(Paths!$J$178*(1+'Operating costs'!$B$51)^MAX(0,C1898-1)+Paths!$K$178*(1+'Operating costs'!$B$53)^MAX(0,C1898-1)),"n.a."))</f>
        <v>0</v>
      </c>
      <c r="H1898" s="16">
        <f>IF(NOT(Paths!$C$178=1),0,IF(Paths!$P$178="Complete",F1898/12*(Paths!$L$178*(1+IF(Paths!$D$178="EV",'Operating costs'!$B$52,'Operating costs'!$B$51))^MAX(0,C1898-1)+Paths!$M$178*(1+'Operating costs'!$B$53)^MAX(0,C1898-1)),"n.a."))</f>
        <v>0</v>
      </c>
      <c r="I1898" s="16">
        <f>IF(NOT(Paths!$C$178=1),0,IF(Paths!$P$178="Complete",IF(IF(Paths!$E$178=0,C1898=0,AND(C1898&gt;0,Paths!$E$178&gt;(C1898-1)*12,Paths!$E$178&lt;=C1898*12)),Paths!$G$178,0),"n.a."))</f>
        <v>0</v>
      </c>
      <c r="J1898" s="16">
        <f>IF(NOT(Paths!$C$178=1),0,IF(Paths!$P$178="Complete",IF(IF(Paths!$E$178=0,C1898=0,AND(C1898&gt;0,Paths!$E$178&gt;(C1898-1)*12,Paths!$E$178&lt;=C1898*12)),Paths!$H$178,0),"n.a."))</f>
        <v>0</v>
      </c>
      <c r="K1898" s="16">
        <f>IF(NOT(Paths!$C$178=1),0,IF(Paths!$P$178="Complete",IF(IF(Paths!$O$178=0,C1898=0,AND(C1898&gt;0,Paths!$O$178&gt;(C1898-1)*12,Paths!$O$178&lt;=C1898*12)),Paths!$N$178,0),"n.a."))</f>
        <v>0</v>
      </c>
      <c r="L1898" s="16">
        <f>IF(NOT(Paths!$C$178=1),0,IF(Paths!$P$178="Complete",IF(C1898=10,Paths!$I$178,0),"n.a."))</f>
        <v>0</v>
      </c>
      <c r="M1898" s="16">
        <f>IF(NOT(Paths!$C$178=1),0,IF(Paths!$P$178="Complete",IF(AND(Paths!$D$178="EV",Paths!$E$178&lt;120,Paths!$E$178+'Operating costs'!$B$65&gt;Paths!$E$178,Paths!$E$178+'Operating costs'!$B$65&lt;=120,IF(Paths!$E$178+'Operating costs'!$B$65=0,C1898=0,AND(C1898&gt;0,Paths!$E$178+'Operating costs'!$B$65&gt;(C1898-1)*12,Paths!$E$178+'Operating costs'!$B$65&lt;=C1898*12))),'Operating costs'!$B$64,0)+IF(AND('Operating costs'!$B$67&gt;0,'Operating costs'!$B$67&lt;=120,OR(Paths!$D$178="ICE",'Operating costs'!$B$67&lt;=Paths!$E$178),IF('Operating costs'!$B$67=0,C1898=0,AND(C1898&gt;0,'Operating costs'!$B$67&gt;(C1898-1)*12,'Operating costs'!$B$67&lt;=C1898*12))),'Operating costs'!$B$66,0),"n.a."))</f>
        <v>0</v>
      </c>
      <c r="N1898" s="16">
        <f>IF(NOT(Paths!$C$178=1),0,IF(Paths!$P$178="Complete",SUM(G1898:I1898)-J1898-K1898-L1898+M1898+IF(C1898=0,Paths!$F$178,0)+IF(IF(Paths!$E$178=0,C1898=0,AND(C1898&gt;0,Paths!$E$178&gt;(C1898-1)*12,Paths!$E$178&lt;=C1898*12)),VLOOKUP(A1898,'Fleet register'!$A$7:$S$106,16,FALSE),0),"n.a."))</f>
        <v>0</v>
      </c>
      <c r="O1898" s="16">
        <f>IF(NOT(Paths!$C$178=1),0,IF(Paths!$P$178="Complete",N1898-IF(C1898=0,Paths!$F$178,0),"n.a."))</f>
        <v>0</v>
      </c>
      <c r="P1898" s="16">
        <f>IF(NOT(Paths!$C$178=1),0,IF(Paths!$P$178="Complete",O1898+L1898,"n.a."))</f>
        <v>0</v>
      </c>
      <c r="Q1898" s="16">
        <f>IF(NOT(Paths!$C$178=1),0,IF(Paths!$P$178="Complete",N1898*(1+'Operating costs'!$B$54)^-C1898,"n.a."))</f>
        <v>0</v>
      </c>
      <c r="R1898" s="16">
        <f>IF(NOT(Paths!$C$178=1),0,IF(Paths!$P$178="Complete",IF(AND(C1898=0,Paths!$E$178=0),I1898-J1898-K1898+VLOOKUP(A1898,'Fleet register'!$A$7:$S$106,15,FALSE)+VLOOKUP(A1898,'Fleet register'!$A$7:$S$106,16,FALSE),0),"n.a."))</f>
        <v>0</v>
      </c>
      <c r="S1898" s="1">
        <f>IF(NOT(Paths!$C$178=1),0,IF(Paths!$P$178="Complete",IF(C1898=0,0,Paths!$S$178*Paths!$R$178),"n.a."))</f>
        <v>0</v>
      </c>
      <c r="T1898" s="1">
        <f>IF(NOT(Paths!$C$178=1),0,IF(Paths!$P$178="Complete",IF(C1898=0,0,VLOOKUP(A1898,'Fleet register'!$A$7:$S$106,9,FALSE)*Paths!$R$178),"n.a."))</f>
        <v>0</v>
      </c>
    </row>
    <row r="1899" spans="1:20" ht="24" customHeight="1">
      <c r="A1899" s="1" t="str">
        <f>Paths!$A$179</f>
        <v>T044</v>
      </c>
      <c r="B1899" s="1">
        <f>Paths!$B$179</f>
        <v>0</v>
      </c>
      <c r="C1899" s="1">
        <v>0</v>
      </c>
      <c r="D1899" s="1">
        <v>179</v>
      </c>
      <c r="E1899" s="1">
        <f>IF(OR(Paths!$C$179=0,C1899=0),0,MAX(0,MIN(C1899*12,Paths!$E$179)-(C1899-1)*12))</f>
        <v>0</v>
      </c>
      <c r="F1899" s="1">
        <f>IF(OR(Paths!$C$179=0,C1899=0),0,12-E1899)</f>
        <v>0</v>
      </c>
      <c r="G1899" s="16">
        <f>IF(NOT(Paths!$C$179=1),0,IF(Paths!$P$179="Complete",E1899/12*(Paths!$J$179*(1+'Operating costs'!$B$51)^MAX(0,C1899-1)+Paths!$K$179*(1+'Operating costs'!$B$53)^MAX(0,C1899-1)),"n.a."))</f>
        <v>0</v>
      </c>
      <c r="H1899" s="16">
        <f>IF(NOT(Paths!$C$179=1),0,IF(Paths!$P$179="Complete",F1899/12*(Paths!$L$179*(1+IF(Paths!$D$179="EV",'Operating costs'!$B$52,'Operating costs'!$B$51))^MAX(0,C1899-1)+Paths!$M$179*(1+'Operating costs'!$B$53)^MAX(0,C1899-1)),"n.a."))</f>
        <v>0</v>
      </c>
      <c r="I1899" s="16">
        <f>IF(NOT(Paths!$C$179=1),0,IF(Paths!$P$179="Complete",IF(IF(Paths!$E$179=0,C1899=0,AND(C1899&gt;0,Paths!$E$179&gt;(C1899-1)*12,Paths!$E$179&lt;=C1899*12)),Paths!$G$179,0),"n.a."))</f>
        <v>0</v>
      </c>
      <c r="J1899" s="16">
        <f>IF(NOT(Paths!$C$179=1),0,IF(Paths!$P$179="Complete",IF(IF(Paths!$E$179=0,C1899=0,AND(C1899&gt;0,Paths!$E$179&gt;(C1899-1)*12,Paths!$E$179&lt;=C1899*12)),Paths!$H$179,0),"n.a."))</f>
        <v>0</v>
      </c>
      <c r="K1899" s="16">
        <f>IF(NOT(Paths!$C$179=1),0,IF(Paths!$P$179="Complete",IF(IF(Paths!$O$179=0,C1899=0,AND(C1899&gt;0,Paths!$O$179&gt;(C1899-1)*12,Paths!$O$179&lt;=C1899*12)),Paths!$N$179,0),"n.a."))</f>
        <v>0</v>
      </c>
      <c r="L1899" s="16">
        <f>IF(NOT(Paths!$C$179=1),0,IF(Paths!$P$179="Complete",IF(C1899=10,Paths!$I$179,0),"n.a."))</f>
        <v>0</v>
      </c>
      <c r="M1899" s="16">
        <f>IF(NOT(Paths!$C$179=1),0,IF(Paths!$P$179="Complete",IF(AND(Paths!$D$179="EV",Paths!$E$179&lt;120,Paths!$E$179+'Operating costs'!$B$65&gt;Paths!$E$179,Paths!$E$179+'Operating costs'!$B$65&lt;=120,IF(Paths!$E$179+'Operating costs'!$B$65=0,C1899=0,AND(C1899&gt;0,Paths!$E$179+'Operating costs'!$B$65&gt;(C1899-1)*12,Paths!$E$179+'Operating costs'!$B$65&lt;=C1899*12))),'Operating costs'!$B$64,0)+IF(AND('Operating costs'!$B$67&gt;0,'Operating costs'!$B$67&lt;=120,OR(Paths!$D$179="ICE",'Operating costs'!$B$67&lt;=Paths!$E$179),IF('Operating costs'!$B$67=0,C1899=0,AND(C1899&gt;0,'Operating costs'!$B$67&gt;(C1899-1)*12,'Operating costs'!$B$67&lt;=C1899*12))),'Operating costs'!$B$66,0),"n.a."))</f>
        <v>0</v>
      </c>
      <c r="N1899" s="16">
        <f>IF(NOT(Paths!$C$179=1),0,IF(Paths!$P$179="Complete",SUM(G1899:I1899)-J1899-K1899-L1899+M1899+IF(C1899=0,Paths!$F$179,0)+IF(IF(Paths!$E$179=0,C1899=0,AND(C1899&gt;0,Paths!$E$179&gt;(C1899-1)*12,Paths!$E$179&lt;=C1899*12)),VLOOKUP(A1899,'Fleet register'!$A$7:$S$106,16,FALSE),0),"n.a."))</f>
        <v>0</v>
      </c>
      <c r="O1899" s="16">
        <f>IF(NOT(Paths!$C$179=1),0,IF(Paths!$P$179="Complete",N1899-IF(C1899=0,Paths!$F$179,0),"n.a."))</f>
        <v>0</v>
      </c>
      <c r="P1899" s="16">
        <f>IF(NOT(Paths!$C$179=1),0,IF(Paths!$P$179="Complete",O1899+L1899,"n.a."))</f>
        <v>0</v>
      </c>
      <c r="Q1899" s="16">
        <f>IF(NOT(Paths!$C$179=1),0,IF(Paths!$P$179="Complete",N1899*(1+'Operating costs'!$B$54)^-C1899,"n.a."))</f>
        <v>0</v>
      </c>
      <c r="R1899" s="16">
        <f>IF(NOT(Paths!$C$179=1),0,IF(Paths!$P$179="Complete",IF(AND(C1899=0,Paths!$E$179=0),I1899-J1899-K1899+VLOOKUP(A1899,'Fleet register'!$A$7:$S$106,15,FALSE)+VLOOKUP(A1899,'Fleet register'!$A$7:$S$106,16,FALSE),0),"n.a."))</f>
        <v>0</v>
      </c>
      <c r="S1899" s="1">
        <f>IF(NOT(Paths!$C$179=1),0,IF(Paths!$P$179="Complete",IF(C1899=0,0,Paths!$S$179*Paths!$R$179),"n.a."))</f>
        <v>0</v>
      </c>
      <c r="T1899" s="1">
        <f>IF(NOT(Paths!$C$179=1),0,IF(Paths!$P$179="Complete",IF(C1899=0,0,VLOOKUP(A1899,'Fleet register'!$A$7:$S$106,9,FALSE)*Paths!$R$179),"n.a."))</f>
        <v>0</v>
      </c>
    </row>
    <row r="1900" spans="1:20" ht="24" customHeight="1">
      <c r="A1900" s="1" t="str">
        <f>Paths!$A$179</f>
        <v>T044</v>
      </c>
      <c r="B1900" s="1">
        <f>Paths!$B$179</f>
        <v>0</v>
      </c>
      <c r="C1900" s="1">
        <v>1</v>
      </c>
      <c r="D1900" s="1">
        <v>179</v>
      </c>
      <c r="E1900" s="1">
        <f>IF(OR(Paths!$C$179=0,C1900=0),0,MAX(0,MIN(C1900*12,Paths!$E$179)-(C1900-1)*12))</f>
        <v>0</v>
      </c>
      <c r="F1900" s="1">
        <f>IF(OR(Paths!$C$179=0,C1900=0),0,12-E1900)</f>
        <v>0</v>
      </c>
      <c r="G1900" s="16">
        <f>IF(NOT(Paths!$C$179=1),0,IF(Paths!$P$179="Complete",E1900/12*(Paths!$J$179*(1+'Operating costs'!$B$51)^MAX(0,C1900-1)+Paths!$K$179*(1+'Operating costs'!$B$53)^MAX(0,C1900-1)),"n.a."))</f>
        <v>0</v>
      </c>
      <c r="H1900" s="16">
        <f>IF(NOT(Paths!$C$179=1),0,IF(Paths!$P$179="Complete",F1900/12*(Paths!$L$179*(1+IF(Paths!$D$179="EV",'Operating costs'!$B$52,'Operating costs'!$B$51))^MAX(0,C1900-1)+Paths!$M$179*(1+'Operating costs'!$B$53)^MAX(0,C1900-1)),"n.a."))</f>
        <v>0</v>
      </c>
      <c r="I1900" s="16">
        <f>IF(NOT(Paths!$C$179=1),0,IF(Paths!$P$179="Complete",IF(IF(Paths!$E$179=0,C1900=0,AND(C1900&gt;0,Paths!$E$179&gt;(C1900-1)*12,Paths!$E$179&lt;=C1900*12)),Paths!$G$179,0),"n.a."))</f>
        <v>0</v>
      </c>
      <c r="J1900" s="16">
        <f>IF(NOT(Paths!$C$179=1),0,IF(Paths!$P$179="Complete",IF(IF(Paths!$E$179=0,C1900=0,AND(C1900&gt;0,Paths!$E$179&gt;(C1900-1)*12,Paths!$E$179&lt;=C1900*12)),Paths!$H$179,0),"n.a."))</f>
        <v>0</v>
      </c>
      <c r="K1900" s="16">
        <f>IF(NOT(Paths!$C$179=1),0,IF(Paths!$P$179="Complete",IF(IF(Paths!$O$179=0,C1900=0,AND(C1900&gt;0,Paths!$O$179&gt;(C1900-1)*12,Paths!$O$179&lt;=C1900*12)),Paths!$N$179,0),"n.a."))</f>
        <v>0</v>
      </c>
      <c r="L1900" s="16">
        <f>IF(NOT(Paths!$C$179=1),0,IF(Paths!$P$179="Complete",IF(C1900=10,Paths!$I$179,0),"n.a."))</f>
        <v>0</v>
      </c>
      <c r="M1900" s="16">
        <f>IF(NOT(Paths!$C$179=1),0,IF(Paths!$P$179="Complete",IF(AND(Paths!$D$179="EV",Paths!$E$179&lt;120,Paths!$E$179+'Operating costs'!$B$65&gt;Paths!$E$179,Paths!$E$179+'Operating costs'!$B$65&lt;=120,IF(Paths!$E$179+'Operating costs'!$B$65=0,C1900=0,AND(C1900&gt;0,Paths!$E$179+'Operating costs'!$B$65&gt;(C1900-1)*12,Paths!$E$179+'Operating costs'!$B$65&lt;=C1900*12))),'Operating costs'!$B$64,0)+IF(AND('Operating costs'!$B$67&gt;0,'Operating costs'!$B$67&lt;=120,OR(Paths!$D$179="ICE",'Operating costs'!$B$67&lt;=Paths!$E$179),IF('Operating costs'!$B$67=0,C1900=0,AND(C1900&gt;0,'Operating costs'!$B$67&gt;(C1900-1)*12,'Operating costs'!$B$67&lt;=C1900*12))),'Operating costs'!$B$66,0),"n.a."))</f>
        <v>0</v>
      </c>
      <c r="N1900" s="16">
        <f>IF(NOT(Paths!$C$179=1),0,IF(Paths!$P$179="Complete",SUM(G1900:I1900)-J1900-K1900-L1900+M1900+IF(C1900=0,Paths!$F$179,0)+IF(IF(Paths!$E$179=0,C1900=0,AND(C1900&gt;0,Paths!$E$179&gt;(C1900-1)*12,Paths!$E$179&lt;=C1900*12)),VLOOKUP(A1900,'Fleet register'!$A$7:$S$106,16,FALSE),0),"n.a."))</f>
        <v>0</v>
      </c>
      <c r="O1900" s="16">
        <f>IF(NOT(Paths!$C$179=1),0,IF(Paths!$P$179="Complete",N1900-IF(C1900=0,Paths!$F$179,0),"n.a."))</f>
        <v>0</v>
      </c>
      <c r="P1900" s="16">
        <f>IF(NOT(Paths!$C$179=1),0,IF(Paths!$P$179="Complete",O1900+L1900,"n.a."))</f>
        <v>0</v>
      </c>
      <c r="Q1900" s="16">
        <f>IF(NOT(Paths!$C$179=1),0,IF(Paths!$P$179="Complete",N1900*(1+'Operating costs'!$B$54)^-C1900,"n.a."))</f>
        <v>0</v>
      </c>
      <c r="R1900" s="16">
        <f>IF(NOT(Paths!$C$179=1),0,IF(Paths!$P$179="Complete",IF(AND(C1900=0,Paths!$E$179=0),I1900-J1900-K1900+VLOOKUP(A1900,'Fleet register'!$A$7:$S$106,15,FALSE)+VLOOKUP(A1900,'Fleet register'!$A$7:$S$106,16,FALSE),0),"n.a."))</f>
        <v>0</v>
      </c>
      <c r="S1900" s="1">
        <f>IF(NOT(Paths!$C$179=1),0,IF(Paths!$P$179="Complete",IF(C1900=0,0,Paths!$S$179*Paths!$R$179),"n.a."))</f>
        <v>0</v>
      </c>
      <c r="T1900" s="1">
        <f>IF(NOT(Paths!$C$179=1),0,IF(Paths!$P$179="Complete",IF(C1900=0,0,VLOOKUP(A1900,'Fleet register'!$A$7:$S$106,9,FALSE)*Paths!$R$179),"n.a."))</f>
        <v>0</v>
      </c>
    </row>
    <row r="1901" spans="1:20" ht="24" customHeight="1">
      <c r="A1901" s="1" t="str">
        <f>Paths!$A$179</f>
        <v>T044</v>
      </c>
      <c r="B1901" s="1">
        <f>Paths!$B$179</f>
        <v>0</v>
      </c>
      <c r="C1901" s="1">
        <v>2</v>
      </c>
      <c r="D1901" s="1">
        <v>179</v>
      </c>
      <c r="E1901" s="1">
        <f>IF(OR(Paths!$C$179=0,C1901=0),0,MAX(0,MIN(C1901*12,Paths!$E$179)-(C1901-1)*12))</f>
        <v>0</v>
      </c>
      <c r="F1901" s="1">
        <f>IF(OR(Paths!$C$179=0,C1901=0),0,12-E1901)</f>
        <v>0</v>
      </c>
      <c r="G1901" s="16">
        <f>IF(NOT(Paths!$C$179=1),0,IF(Paths!$P$179="Complete",E1901/12*(Paths!$J$179*(1+'Operating costs'!$B$51)^MAX(0,C1901-1)+Paths!$K$179*(1+'Operating costs'!$B$53)^MAX(0,C1901-1)),"n.a."))</f>
        <v>0</v>
      </c>
      <c r="H1901" s="16">
        <f>IF(NOT(Paths!$C$179=1),0,IF(Paths!$P$179="Complete",F1901/12*(Paths!$L$179*(1+IF(Paths!$D$179="EV",'Operating costs'!$B$52,'Operating costs'!$B$51))^MAX(0,C1901-1)+Paths!$M$179*(1+'Operating costs'!$B$53)^MAX(0,C1901-1)),"n.a."))</f>
        <v>0</v>
      </c>
      <c r="I1901" s="16">
        <f>IF(NOT(Paths!$C$179=1),0,IF(Paths!$P$179="Complete",IF(IF(Paths!$E$179=0,C1901=0,AND(C1901&gt;0,Paths!$E$179&gt;(C1901-1)*12,Paths!$E$179&lt;=C1901*12)),Paths!$G$179,0),"n.a."))</f>
        <v>0</v>
      </c>
      <c r="J1901" s="16">
        <f>IF(NOT(Paths!$C$179=1),0,IF(Paths!$P$179="Complete",IF(IF(Paths!$E$179=0,C1901=0,AND(C1901&gt;0,Paths!$E$179&gt;(C1901-1)*12,Paths!$E$179&lt;=C1901*12)),Paths!$H$179,0),"n.a."))</f>
        <v>0</v>
      </c>
      <c r="K1901" s="16">
        <f>IF(NOT(Paths!$C$179=1),0,IF(Paths!$P$179="Complete",IF(IF(Paths!$O$179=0,C1901=0,AND(C1901&gt;0,Paths!$O$179&gt;(C1901-1)*12,Paths!$O$179&lt;=C1901*12)),Paths!$N$179,0),"n.a."))</f>
        <v>0</v>
      </c>
      <c r="L1901" s="16">
        <f>IF(NOT(Paths!$C$179=1),0,IF(Paths!$P$179="Complete",IF(C1901=10,Paths!$I$179,0),"n.a."))</f>
        <v>0</v>
      </c>
      <c r="M1901" s="16">
        <f>IF(NOT(Paths!$C$179=1),0,IF(Paths!$P$179="Complete",IF(AND(Paths!$D$179="EV",Paths!$E$179&lt;120,Paths!$E$179+'Operating costs'!$B$65&gt;Paths!$E$179,Paths!$E$179+'Operating costs'!$B$65&lt;=120,IF(Paths!$E$179+'Operating costs'!$B$65=0,C1901=0,AND(C1901&gt;0,Paths!$E$179+'Operating costs'!$B$65&gt;(C1901-1)*12,Paths!$E$179+'Operating costs'!$B$65&lt;=C1901*12))),'Operating costs'!$B$64,0)+IF(AND('Operating costs'!$B$67&gt;0,'Operating costs'!$B$67&lt;=120,OR(Paths!$D$179="ICE",'Operating costs'!$B$67&lt;=Paths!$E$179),IF('Operating costs'!$B$67=0,C1901=0,AND(C1901&gt;0,'Operating costs'!$B$67&gt;(C1901-1)*12,'Operating costs'!$B$67&lt;=C1901*12))),'Operating costs'!$B$66,0),"n.a."))</f>
        <v>0</v>
      </c>
      <c r="N1901" s="16">
        <f>IF(NOT(Paths!$C$179=1),0,IF(Paths!$P$179="Complete",SUM(G1901:I1901)-J1901-K1901-L1901+M1901+IF(C1901=0,Paths!$F$179,0)+IF(IF(Paths!$E$179=0,C1901=0,AND(C1901&gt;0,Paths!$E$179&gt;(C1901-1)*12,Paths!$E$179&lt;=C1901*12)),VLOOKUP(A1901,'Fleet register'!$A$7:$S$106,16,FALSE),0),"n.a."))</f>
        <v>0</v>
      </c>
      <c r="O1901" s="16">
        <f>IF(NOT(Paths!$C$179=1),0,IF(Paths!$P$179="Complete",N1901-IF(C1901=0,Paths!$F$179,0),"n.a."))</f>
        <v>0</v>
      </c>
      <c r="P1901" s="16">
        <f>IF(NOT(Paths!$C$179=1),0,IF(Paths!$P$179="Complete",O1901+L1901,"n.a."))</f>
        <v>0</v>
      </c>
      <c r="Q1901" s="16">
        <f>IF(NOT(Paths!$C$179=1),0,IF(Paths!$P$179="Complete",N1901*(1+'Operating costs'!$B$54)^-C1901,"n.a."))</f>
        <v>0</v>
      </c>
      <c r="R1901" s="16">
        <f>IF(NOT(Paths!$C$179=1),0,IF(Paths!$P$179="Complete",IF(AND(C1901=0,Paths!$E$179=0),I1901-J1901-K1901+VLOOKUP(A1901,'Fleet register'!$A$7:$S$106,15,FALSE)+VLOOKUP(A1901,'Fleet register'!$A$7:$S$106,16,FALSE),0),"n.a."))</f>
        <v>0</v>
      </c>
      <c r="S1901" s="1">
        <f>IF(NOT(Paths!$C$179=1),0,IF(Paths!$P$179="Complete",IF(C1901=0,0,Paths!$S$179*Paths!$R$179),"n.a."))</f>
        <v>0</v>
      </c>
      <c r="T1901" s="1">
        <f>IF(NOT(Paths!$C$179=1),0,IF(Paths!$P$179="Complete",IF(C1901=0,0,VLOOKUP(A1901,'Fleet register'!$A$7:$S$106,9,FALSE)*Paths!$R$179),"n.a."))</f>
        <v>0</v>
      </c>
    </row>
    <row r="1902" spans="1:20" ht="24" customHeight="1">
      <c r="A1902" s="1" t="str">
        <f>Paths!$A$179</f>
        <v>T044</v>
      </c>
      <c r="B1902" s="1">
        <f>Paths!$B$179</f>
        <v>0</v>
      </c>
      <c r="C1902" s="1">
        <v>3</v>
      </c>
      <c r="D1902" s="1">
        <v>179</v>
      </c>
      <c r="E1902" s="1">
        <f>IF(OR(Paths!$C$179=0,C1902=0),0,MAX(0,MIN(C1902*12,Paths!$E$179)-(C1902-1)*12))</f>
        <v>0</v>
      </c>
      <c r="F1902" s="1">
        <f>IF(OR(Paths!$C$179=0,C1902=0),0,12-E1902)</f>
        <v>0</v>
      </c>
      <c r="G1902" s="16">
        <f>IF(NOT(Paths!$C$179=1),0,IF(Paths!$P$179="Complete",E1902/12*(Paths!$J$179*(1+'Operating costs'!$B$51)^MAX(0,C1902-1)+Paths!$K$179*(1+'Operating costs'!$B$53)^MAX(0,C1902-1)),"n.a."))</f>
        <v>0</v>
      </c>
      <c r="H1902" s="16">
        <f>IF(NOT(Paths!$C$179=1),0,IF(Paths!$P$179="Complete",F1902/12*(Paths!$L$179*(1+IF(Paths!$D$179="EV",'Operating costs'!$B$52,'Operating costs'!$B$51))^MAX(0,C1902-1)+Paths!$M$179*(1+'Operating costs'!$B$53)^MAX(0,C1902-1)),"n.a."))</f>
        <v>0</v>
      </c>
      <c r="I1902" s="16">
        <f>IF(NOT(Paths!$C$179=1),0,IF(Paths!$P$179="Complete",IF(IF(Paths!$E$179=0,C1902=0,AND(C1902&gt;0,Paths!$E$179&gt;(C1902-1)*12,Paths!$E$179&lt;=C1902*12)),Paths!$G$179,0),"n.a."))</f>
        <v>0</v>
      </c>
      <c r="J1902" s="16">
        <f>IF(NOT(Paths!$C$179=1),0,IF(Paths!$P$179="Complete",IF(IF(Paths!$E$179=0,C1902=0,AND(C1902&gt;0,Paths!$E$179&gt;(C1902-1)*12,Paths!$E$179&lt;=C1902*12)),Paths!$H$179,0),"n.a."))</f>
        <v>0</v>
      </c>
      <c r="K1902" s="16">
        <f>IF(NOT(Paths!$C$179=1),0,IF(Paths!$P$179="Complete",IF(IF(Paths!$O$179=0,C1902=0,AND(C1902&gt;0,Paths!$O$179&gt;(C1902-1)*12,Paths!$O$179&lt;=C1902*12)),Paths!$N$179,0),"n.a."))</f>
        <v>0</v>
      </c>
      <c r="L1902" s="16">
        <f>IF(NOT(Paths!$C$179=1),0,IF(Paths!$P$179="Complete",IF(C1902=10,Paths!$I$179,0),"n.a."))</f>
        <v>0</v>
      </c>
      <c r="M1902" s="16">
        <f>IF(NOT(Paths!$C$179=1),0,IF(Paths!$P$179="Complete",IF(AND(Paths!$D$179="EV",Paths!$E$179&lt;120,Paths!$E$179+'Operating costs'!$B$65&gt;Paths!$E$179,Paths!$E$179+'Operating costs'!$B$65&lt;=120,IF(Paths!$E$179+'Operating costs'!$B$65=0,C1902=0,AND(C1902&gt;0,Paths!$E$179+'Operating costs'!$B$65&gt;(C1902-1)*12,Paths!$E$179+'Operating costs'!$B$65&lt;=C1902*12))),'Operating costs'!$B$64,0)+IF(AND('Operating costs'!$B$67&gt;0,'Operating costs'!$B$67&lt;=120,OR(Paths!$D$179="ICE",'Operating costs'!$B$67&lt;=Paths!$E$179),IF('Operating costs'!$B$67=0,C1902=0,AND(C1902&gt;0,'Operating costs'!$B$67&gt;(C1902-1)*12,'Operating costs'!$B$67&lt;=C1902*12))),'Operating costs'!$B$66,0),"n.a."))</f>
        <v>0</v>
      </c>
      <c r="N1902" s="16">
        <f>IF(NOT(Paths!$C$179=1),0,IF(Paths!$P$179="Complete",SUM(G1902:I1902)-J1902-K1902-L1902+M1902+IF(C1902=0,Paths!$F$179,0)+IF(IF(Paths!$E$179=0,C1902=0,AND(C1902&gt;0,Paths!$E$179&gt;(C1902-1)*12,Paths!$E$179&lt;=C1902*12)),VLOOKUP(A1902,'Fleet register'!$A$7:$S$106,16,FALSE),0),"n.a."))</f>
        <v>0</v>
      </c>
      <c r="O1902" s="16">
        <f>IF(NOT(Paths!$C$179=1),0,IF(Paths!$P$179="Complete",N1902-IF(C1902=0,Paths!$F$179,0),"n.a."))</f>
        <v>0</v>
      </c>
      <c r="P1902" s="16">
        <f>IF(NOT(Paths!$C$179=1),0,IF(Paths!$P$179="Complete",O1902+L1902,"n.a."))</f>
        <v>0</v>
      </c>
      <c r="Q1902" s="16">
        <f>IF(NOT(Paths!$C$179=1),0,IF(Paths!$P$179="Complete",N1902*(1+'Operating costs'!$B$54)^-C1902,"n.a."))</f>
        <v>0</v>
      </c>
      <c r="R1902" s="16">
        <f>IF(NOT(Paths!$C$179=1),0,IF(Paths!$P$179="Complete",IF(AND(C1902=0,Paths!$E$179=0),I1902-J1902-K1902+VLOOKUP(A1902,'Fleet register'!$A$7:$S$106,15,FALSE)+VLOOKUP(A1902,'Fleet register'!$A$7:$S$106,16,FALSE),0),"n.a."))</f>
        <v>0</v>
      </c>
      <c r="S1902" s="1">
        <f>IF(NOT(Paths!$C$179=1),0,IF(Paths!$P$179="Complete",IF(C1902=0,0,Paths!$S$179*Paths!$R$179),"n.a."))</f>
        <v>0</v>
      </c>
      <c r="T1902" s="1">
        <f>IF(NOT(Paths!$C$179=1),0,IF(Paths!$P$179="Complete",IF(C1902=0,0,VLOOKUP(A1902,'Fleet register'!$A$7:$S$106,9,FALSE)*Paths!$R$179),"n.a."))</f>
        <v>0</v>
      </c>
    </row>
    <row r="1903" spans="1:20" ht="24" customHeight="1">
      <c r="A1903" s="1" t="str">
        <f>Paths!$A$179</f>
        <v>T044</v>
      </c>
      <c r="B1903" s="1">
        <f>Paths!$B$179</f>
        <v>0</v>
      </c>
      <c r="C1903" s="1">
        <v>4</v>
      </c>
      <c r="D1903" s="1">
        <v>179</v>
      </c>
      <c r="E1903" s="1">
        <f>IF(OR(Paths!$C$179=0,C1903=0),0,MAX(0,MIN(C1903*12,Paths!$E$179)-(C1903-1)*12))</f>
        <v>0</v>
      </c>
      <c r="F1903" s="1">
        <f>IF(OR(Paths!$C$179=0,C1903=0),0,12-E1903)</f>
        <v>0</v>
      </c>
      <c r="G1903" s="16">
        <f>IF(NOT(Paths!$C$179=1),0,IF(Paths!$P$179="Complete",E1903/12*(Paths!$J$179*(1+'Operating costs'!$B$51)^MAX(0,C1903-1)+Paths!$K$179*(1+'Operating costs'!$B$53)^MAX(0,C1903-1)),"n.a."))</f>
        <v>0</v>
      </c>
      <c r="H1903" s="16">
        <f>IF(NOT(Paths!$C$179=1),0,IF(Paths!$P$179="Complete",F1903/12*(Paths!$L$179*(1+IF(Paths!$D$179="EV",'Operating costs'!$B$52,'Operating costs'!$B$51))^MAX(0,C1903-1)+Paths!$M$179*(1+'Operating costs'!$B$53)^MAX(0,C1903-1)),"n.a."))</f>
        <v>0</v>
      </c>
      <c r="I1903" s="16">
        <f>IF(NOT(Paths!$C$179=1),0,IF(Paths!$P$179="Complete",IF(IF(Paths!$E$179=0,C1903=0,AND(C1903&gt;0,Paths!$E$179&gt;(C1903-1)*12,Paths!$E$179&lt;=C1903*12)),Paths!$G$179,0),"n.a."))</f>
        <v>0</v>
      </c>
      <c r="J1903" s="16">
        <f>IF(NOT(Paths!$C$179=1),0,IF(Paths!$P$179="Complete",IF(IF(Paths!$E$179=0,C1903=0,AND(C1903&gt;0,Paths!$E$179&gt;(C1903-1)*12,Paths!$E$179&lt;=C1903*12)),Paths!$H$179,0),"n.a."))</f>
        <v>0</v>
      </c>
      <c r="K1903" s="16">
        <f>IF(NOT(Paths!$C$179=1),0,IF(Paths!$P$179="Complete",IF(IF(Paths!$O$179=0,C1903=0,AND(C1903&gt;0,Paths!$O$179&gt;(C1903-1)*12,Paths!$O$179&lt;=C1903*12)),Paths!$N$179,0),"n.a."))</f>
        <v>0</v>
      </c>
      <c r="L1903" s="16">
        <f>IF(NOT(Paths!$C$179=1),0,IF(Paths!$P$179="Complete",IF(C1903=10,Paths!$I$179,0),"n.a."))</f>
        <v>0</v>
      </c>
      <c r="M1903" s="16">
        <f>IF(NOT(Paths!$C$179=1),0,IF(Paths!$P$179="Complete",IF(AND(Paths!$D$179="EV",Paths!$E$179&lt;120,Paths!$E$179+'Operating costs'!$B$65&gt;Paths!$E$179,Paths!$E$179+'Operating costs'!$B$65&lt;=120,IF(Paths!$E$179+'Operating costs'!$B$65=0,C1903=0,AND(C1903&gt;0,Paths!$E$179+'Operating costs'!$B$65&gt;(C1903-1)*12,Paths!$E$179+'Operating costs'!$B$65&lt;=C1903*12))),'Operating costs'!$B$64,0)+IF(AND('Operating costs'!$B$67&gt;0,'Operating costs'!$B$67&lt;=120,OR(Paths!$D$179="ICE",'Operating costs'!$B$67&lt;=Paths!$E$179),IF('Operating costs'!$B$67=0,C1903=0,AND(C1903&gt;0,'Operating costs'!$B$67&gt;(C1903-1)*12,'Operating costs'!$B$67&lt;=C1903*12))),'Operating costs'!$B$66,0),"n.a."))</f>
        <v>0</v>
      </c>
      <c r="N1903" s="16">
        <f>IF(NOT(Paths!$C$179=1),0,IF(Paths!$P$179="Complete",SUM(G1903:I1903)-J1903-K1903-L1903+M1903+IF(C1903=0,Paths!$F$179,0)+IF(IF(Paths!$E$179=0,C1903=0,AND(C1903&gt;0,Paths!$E$179&gt;(C1903-1)*12,Paths!$E$179&lt;=C1903*12)),VLOOKUP(A1903,'Fleet register'!$A$7:$S$106,16,FALSE),0),"n.a."))</f>
        <v>0</v>
      </c>
      <c r="O1903" s="16">
        <f>IF(NOT(Paths!$C$179=1),0,IF(Paths!$P$179="Complete",N1903-IF(C1903=0,Paths!$F$179,0),"n.a."))</f>
        <v>0</v>
      </c>
      <c r="P1903" s="16">
        <f>IF(NOT(Paths!$C$179=1),0,IF(Paths!$P$179="Complete",O1903+L1903,"n.a."))</f>
        <v>0</v>
      </c>
      <c r="Q1903" s="16">
        <f>IF(NOT(Paths!$C$179=1),0,IF(Paths!$P$179="Complete",N1903*(1+'Operating costs'!$B$54)^-C1903,"n.a."))</f>
        <v>0</v>
      </c>
      <c r="R1903" s="16">
        <f>IF(NOT(Paths!$C$179=1),0,IF(Paths!$P$179="Complete",IF(AND(C1903=0,Paths!$E$179=0),I1903-J1903-K1903+VLOOKUP(A1903,'Fleet register'!$A$7:$S$106,15,FALSE)+VLOOKUP(A1903,'Fleet register'!$A$7:$S$106,16,FALSE),0),"n.a."))</f>
        <v>0</v>
      </c>
      <c r="S1903" s="1">
        <f>IF(NOT(Paths!$C$179=1),0,IF(Paths!$P$179="Complete",IF(C1903=0,0,Paths!$S$179*Paths!$R$179),"n.a."))</f>
        <v>0</v>
      </c>
      <c r="T1903" s="1">
        <f>IF(NOT(Paths!$C$179=1),0,IF(Paths!$P$179="Complete",IF(C1903=0,0,VLOOKUP(A1903,'Fleet register'!$A$7:$S$106,9,FALSE)*Paths!$R$179),"n.a."))</f>
        <v>0</v>
      </c>
    </row>
    <row r="1904" spans="1:20" ht="24" customHeight="1">
      <c r="A1904" s="1" t="str">
        <f>Paths!$A$179</f>
        <v>T044</v>
      </c>
      <c r="B1904" s="1">
        <f>Paths!$B$179</f>
        <v>0</v>
      </c>
      <c r="C1904" s="1">
        <v>5</v>
      </c>
      <c r="D1904" s="1">
        <v>179</v>
      </c>
      <c r="E1904" s="1">
        <f>IF(OR(Paths!$C$179=0,C1904=0),0,MAX(0,MIN(C1904*12,Paths!$E$179)-(C1904-1)*12))</f>
        <v>0</v>
      </c>
      <c r="F1904" s="1">
        <f>IF(OR(Paths!$C$179=0,C1904=0),0,12-E1904)</f>
        <v>0</v>
      </c>
      <c r="G1904" s="16">
        <f>IF(NOT(Paths!$C$179=1),0,IF(Paths!$P$179="Complete",E1904/12*(Paths!$J$179*(1+'Operating costs'!$B$51)^MAX(0,C1904-1)+Paths!$K$179*(1+'Operating costs'!$B$53)^MAX(0,C1904-1)),"n.a."))</f>
        <v>0</v>
      </c>
      <c r="H1904" s="16">
        <f>IF(NOT(Paths!$C$179=1),0,IF(Paths!$P$179="Complete",F1904/12*(Paths!$L$179*(1+IF(Paths!$D$179="EV",'Operating costs'!$B$52,'Operating costs'!$B$51))^MAX(0,C1904-1)+Paths!$M$179*(1+'Operating costs'!$B$53)^MAX(0,C1904-1)),"n.a."))</f>
        <v>0</v>
      </c>
      <c r="I1904" s="16">
        <f>IF(NOT(Paths!$C$179=1),0,IF(Paths!$P$179="Complete",IF(IF(Paths!$E$179=0,C1904=0,AND(C1904&gt;0,Paths!$E$179&gt;(C1904-1)*12,Paths!$E$179&lt;=C1904*12)),Paths!$G$179,0),"n.a."))</f>
        <v>0</v>
      </c>
      <c r="J1904" s="16">
        <f>IF(NOT(Paths!$C$179=1),0,IF(Paths!$P$179="Complete",IF(IF(Paths!$E$179=0,C1904=0,AND(C1904&gt;0,Paths!$E$179&gt;(C1904-1)*12,Paths!$E$179&lt;=C1904*12)),Paths!$H$179,0),"n.a."))</f>
        <v>0</v>
      </c>
      <c r="K1904" s="16">
        <f>IF(NOT(Paths!$C$179=1),0,IF(Paths!$P$179="Complete",IF(IF(Paths!$O$179=0,C1904=0,AND(C1904&gt;0,Paths!$O$179&gt;(C1904-1)*12,Paths!$O$179&lt;=C1904*12)),Paths!$N$179,0),"n.a."))</f>
        <v>0</v>
      </c>
      <c r="L1904" s="16">
        <f>IF(NOT(Paths!$C$179=1),0,IF(Paths!$P$179="Complete",IF(C1904=10,Paths!$I$179,0),"n.a."))</f>
        <v>0</v>
      </c>
      <c r="M1904" s="16">
        <f>IF(NOT(Paths!$C$179=1),0,IF(Paths!$P$179="Complete",IF(AND(Paths!$D$179="EV",Paths!$E$179&lt;120,Paths!$E$179+'Operating costs'!$B$65&gt;Paths!$E$179,Paths!$E$179+'Operating costs'!$B$65&lt;=120,IF(Paths!$E$179+'Operating costs'!$B$65=0,C1904=0,AND(C1904&gt;0,Paths!$E$179+'Operating costs'!$B$65&gt;(C1904-1)*12,Paths!$E$179+'Operating costs'!$B$65&lt;=C1904*12))),'Operating costs'!$B$64,0)+IF(AND('Operating costs'!$B$67&gt;0,'Operating costs'!$B$67&lt;=120,OR(Paths!$D$179="ICE",'Operating costs'!$B$67&lt;=Paths!$E$179),IF('Operating costs'!$B$67=0,C1904=0,AND(C1904&gt;0,'Operating costs'!$B$67&gt;(C1904-1)*12,'Operating costs'!$B$67&lt;=C1904*12))),'Operating costs'!$B$66,0),"n.a."))</f>
        <v>0</v>
      </c>
      <c r="N1904" s="16">
        <f>IF(NOT(Paths!$C$179=1),0,IF(Paths!$P$179="Complete",SUM(G1904:I1904)-J1904-K1904-L1904+M1904+IF(C1904=0,Paths!$F$179,0)+IF(IF(Paths!$E$179=0,C1904=0,AND(C1904&gt;0,Paths!$E$179&gt;(C1904-1)*12,Paths!$E$179&lt;=C1904*12)),VLOOKUP(A1904,'Fleet register'!$A$7:$S$106,16,FALSE),0),"n.a."))</f>
        <v>0</v>
      </c>
      <c r="O1904" s="16">
        <f>IF(NOT(Paths!$C$179=1),0,IF(Paths!$P$179="Complete",N1904-IF(C1904=0,Paths!$F$179,0),"n.a."))</f>
        <v>0</v>
      </c>
      <c r="P1904" s="16">
        <f>IF(NOT(Paths!$C$179=1),0,IF(Paths!$P$179="Complete",O1904+L1904,"n.a."))</f>
        <v>0</v>
      </c>
      <c r="Q1904" s="16">
        <f>IF(NOT(Paths!$C$179=1),0,IF(Paths!$P$179="Complete",N1904*(1+'Operating costs'!$B$54)^-C1904,"n.a."))</f>
        <v>0</v>
      </c>
      <c r="R1904" s="16">
        <f>IF(NOT(Paths!$C$179=1),0,IF(Paths!$P$179="Complete",IF(AND(C1904=0,Paths!$E$179=0),I1904-J1904-K1904+VLOOKUP(A1904,'Fleet register'!$A$7:$S$106,15,FALSE)+VLOOKUP(A1904,'Fleet register'!$A$7:$S$106,16,FALSE),0),"n.a."))</f>
        <v>0</v>
      </c>
      <c r="S1904" s="1">
        <f>IF(NOT(Paths!$C$179=1),0,IF(Paths!$P$179="Complete",IF(C1904=0,0,Paths!$S$179*Paths!$R$179),"n.a."))</f>
        <v>0</v>
      </c>
      <c r="T1904" s="1">
        <f>IF(NOT(Paths!$C$179=1),0,IF(Paths!$P$179="Complete",IF(C1904=0,0,VLOOKUP(A1904,'Fleet register'!$A$7:$S$106,9,FALSE)*Paths!$R$179),"n.a."))</f>
        <v>0</v>
      </c>
    </row>
    <row r="1905" spans="1:20" ht="24" customHeight="1">
      <c r="A1905" s="1" t="str">
        <f>Paths!$A$179</f>
        <v>T044</v>
      </c>
      <c r="B1905" s="1">
        <f>Paths!$B$179</f>
        <v>0</v>
      </c>
      <c r="C1905" s="1">
        <v>6</v>
      </c>
      <c r="D1905" s="1">
        <v>179</v>
      </c>
      <c r="E1905" s="1">
        <f>IF(OR(Paths!$C$179=0,C1905=0),0,MAX(0,MIN(C1905*12,Paths!$E$179)-(C1905-1)*12))</f>
        <v>0</v>
      </c>
      <c r="F1905" s="1">
        <f>IF(OR(Paths!$C$179=0,C1905=0),0,12-E1905)</f>
        <v>0</v>
      </c>
      <c r="G1905" s="16">
        <f>IF(NOT(Paths!$C$179=1),0,IF(Paths!$P$179="Complete",E1905/12*(Paths!$J$179*(1+'Operating costs'!$B$51)^MAX(0,C1905-1)+Paths!$K$179*(1+'Operating costs'!$B$53)^MAX(0,C1905-1)),"n.a."))</f>
        <v>0</v>
      </c>
      <c r="H1905" s="16">
        <f>IF(NOT(Paths!$C$179=1),0,IF(Paths!$P$179="Complete",F1905/12*(Paths!$L$179*(1+IF(Paths!$D$179="EV",'Operating costs'!$B$52,'Operating costs'!$B$51))^MAX(0,C1905-1)+Paths!$M$179*(1+'Operating costs'!$B$53)^MAX(0,C1905-1)),"n.a."))</f>
        <v>0</v>
      </c>
      <c r="I1905" s="16">
        <f>IF(NOT(Paths!$C$179=1),0,IF(Paths!$P$179="Complete",IF(IF(Paths!$E$179=0,C1905=0,AND(C1905&gt;0,Paths!$E$179&gt;(C1905-1)*12,Paths!$E$179&lt;=C1905*12)),Paths!$G$179,0),"n.a."))</f>
        <v>0</v>
      </c>
      <c r="J1905" s="16">
        <f>IF(NOT(Paths!$C$179=1),0,IF(Paths!$P$179="Complete",IF(IF(Paths!$E$179=0,C1905=0,AND(C1905&gt;0,Paths!$E$179&gt;(C1905-1)*12,Paths!$E$179&lt;=C1905*12)),Paths!$H$179,0),"n.a."))</f>
        <v>0</v>
      </c>
      <c r="K1905" s="16">
        <f>IF(NOT(Paths!$C$179=1),0,IF(Paths!$P$179="Complete",IF(IF(Paths!$O$179=0,C1905=0,AND(C1905&gt;0,Paths!$O$179&gt;(C1905-1)*12,Paths!$O$179&lt;=C1905*12)),Paths!$N$179,0),"n.a."))</f>
        <v>0</v>
      </c>
      <c r="L1905" s="16">
        <f>IF(NOT(Paths!$C$179=1),0,IF(Paths!$P$179="Complete",IF(C1905=10,Paths!$I$179,0),"n.a."))</f>
        <v>0</v>
      </c>
      <c r="M1905" s="16">
        <f>IF(NOT(Paths!$C$179=1),0,IF(Paths!$P$179="Complete",IF(AND(Paths!$D$179="EV",Paths!$E$179&lt;120,Paths!$E$179+'Operating costs'!$B$65&gt;Paths!$E$179,Paths!$E$179+'Operating costs'!$B$65&lt;=120,IF(Paths!$E$179+'Operating costs'!$B$65=0,C1905=0,AND(C1905&gt;0,Paths!$E$179+'Operating costs'!$B$65&gt;(C1905-1)*12,Paths!$E$179+'Operating costs'!$B$65&lt;=C1905*12))),'Operating costs'!$B$64,0)+IF(AND('Operating costs'!$B$67&gt;0,'Operating costs'!$B$67&lt;=120,OR(Paths!$D$179="ICE",'Operating costs'!$B$67&lt;=Paths!$E$179),IF('Operating costs'!$B$67=0,C1905=0,AND(C1905&gt;0,'Operating costs'!$B$67&gt;(C1905-1)*12,'Operating costs'!$B$67&lt;=C1905*12))),'Operating costs'!$B$66,0),"n.a."))</f>
        <v>0</v>
      </c>
      <c r="N1905" s="16">
        <f>IF(NOT(Paths!$C$179=1),0,IF(Paths!$P$179="Complete",SUM(G1905:I1905)-J1905-K1905-L1905+M1905+IF(C1905=0,Paths!$F$179,0)+IF(IF(Paths!$E$179=0,C1905=0,AND(C1905&gt;0,Paths!$E$179&gt;(C1905-1)*12,Paths!$E$179&lt;=C1905*12)),VLOOKUP(A1905,'Fleet register'!$A$7:$S$106,16,FALSE),0),"n.a."))</f>
        <v>0</v>
      </c>
      <c r="O1905" s="16">
        <f>IF(NOT(Paths!$C$179=1),0,IF(Paths!$P$179="Complete",N1905-IF(C1905=0,Paths!$F$179,0),"n.a."))</f>
        <v>0</v>
      </c>
      <c r="P1905" s="16">
        <f>IF(NOT(Paths!$C$179=1),0,IF(Paths!$P$179="Complete",O1905+L1905,"n.a."))</f>
        <v>0</v>
      </c>
      <c r="Q1905" s="16">
        <f>IF(NOT(Paths!$C$179=1),0,IF(Paths!$P$179="Complete",N1905*(1+'Operating costs'!$B$54)^-C1905,"n.a."))</f>
        <v>0</v>
      </c>
      <c r="R1905" s="16">
        <f>IF(NOT(Paths!$C$179=1),0,IF(Paths!$P$179="Complete",IF(AND(C1905=0,Paths!$E$179=0),I1905-J1905-K1905+VLOOKUP(A1905,'Fleet register'!$A$7:$S$106,15,FALSE)+VLOOKUP(A1905,'Fleet register'!$A$7:$S$106,16,FALSE),0),"n.a."))</f>
        <v>0</v>
      </c>
      <c r="S1905" s="1">
        <f>IF(NOT(Paths!$C$179=1),0,IF(Paths!$P$179="Complete",IF(C1905=0,0,Paths!$S$179*Paths!$R$179),"n.a."))</f>
        <v>0</v>
      </c>
      <c r="T1905" s="1">
        <f>IF(NOT(Paths!$C$179=1),0,IF(Paths!$P$179="Complete",IF(C1905=0,0,VLOOKUP(A1905,'Fleet register'!$A$7:$S$106,9,FALSE)*Paths!$R$179),"n.a."))</f>
        <v>0</v>
      </c>
    </row>
    <row r="1906" spans="1:20" ht="24" customHeight="1">
      <c r="A1906" s="1" t="str">
        <f>Paths!$A$179</f>
        <v>T044</v>
      </c>
      <c r="B1906" s="1">
        <f>Paths!$B$179</f>
        <v>0</v>
      </c>
      <c r="C1906" s="1">
        <v>7</v>
      </c>
      <c r="D1906" s="1">
        <v>179</v>
      </c>
      <c r="E1906" s="1">
        <f>IF(OR(Paths!$C$179=0,C1906=0),0,MAX(0,MIN(C1906*12,Paths!$E$179)-(C1906-1)*12))</f>
        <v>0</v>
      </c>
      <c r="F1906" s="1">
        <f>IF(OR(Paths!$C$179=0,C1906=0),0,12-E1906)</f>
        <v>0</v>
      </c>
      <c r="G1906" s="16">
        <f>IF(NOT(Paths!$C$179=1),0,IF(Paths!$P$179="Complete",E1906/12*(Paths!$J$179*(1+'Operating costs'!$B$51)^MAX(0,C1906-1)+Paths!$K$179*(1+'Operating costs'!$B$53)^MAX(0,C1906-1)),"n.a."))</f>
        <v>0</v>
      </c>
      <c r="H1906" s="16">
        <f>IF(NOT(Paths!$C$179=1),0,IF(Paths!$P$179="Complete",F1906/12*(Paths!$L$179*(1+IF(Paths!$D$179="EV",'Operating costs'!$B$52,'Operating costs'!$B$51))^MAX(0,C1906-1)+Paths!$M$179*(1+'Operating costs'!$B$53)^MAX(0,C1906-1)),"n.a."))</f>
        <v>0</v>
      </c>
      <c r="I1906" s="16">
        <f>IF(NOT(Paths!$C$179=1),0,IF(Paths!$P$179="Complete",IF(IF(Paths!$E$179=0,C1906=0,AND(C1906&gt;0,Paths!$E$179&gt;(C1906-1)*12,Paths!$E$179&lt;=C1906*12)),Paths!$G$179,0),"n.a."))</f>
        <v>0</v>
      </c>
      <c r="J1906" s="16">
        <f>IF(NOT(Paths!$C$179=1),0,IF(Paths!$P$179="Complete",IF(IF(Paths!$E$179=0,C1906=0,AND(C1906&gt;0,Paths!$E$179&gt;(C1906-1)*12,Paths!$E$179&lt;=C1906*12)),Paths!$H$179,0),"n.a."))</f>
        <v>0</v>
      </c>
      <c r="K1906" s="16">
        <f>IF(NOT(Paths!$C$179=1),0,IF(Paths!$P$179="Complete",IF(IF(Paths!$O$179=0,C1906=0,AND(C1906&gt;0,Paths!$O$179&gt;(C1906-1)*12,Paths!$O$179&lt;=C1906*12)),Paths!$N$179,0),"n.a."))</f>
        <v>0</v>
      </c>
      <c r="L1906" s="16">
        <f>IF(NOT(Paths!$C$179=1),0,IF(Paths!$P$179="Complete",IF(C1906=10,Paths!$I$179,0),"n.a."))</f>
        <v>0</v>
      </c>
      <c r="M1906" s="16">
        <f>IF(NOT(Paths!$C$179=1),0,IF(Paths!$P$179="Complete",IF(AND(Paths!$D$179="EV",Paths!$E$179&lt;120,Paths!$E$179+'Operating costs'!$B$65&gt;Paths!$E$179,Paths!$E$179+'Operating costs'!$B$65&lt;=120,IF(Paths!$E$179+'Operating costs'!$B$65=0,C1906=0,AND(C1906&gt;0,Paths!$E$179+'Operating costs'!$B$65&gt;(C1906-1)*12,Paths!$E$179+'Operating costs'!$B$65&lt;=C1906*12))),'Operating costs'!$B$64,0)+IF(AND('Operating costs'!$B$67&gt;0,'Operating costs'!$B$67&lt;=120,OR(Paths!$D$179="ICE",'Operating costs'!$B$67&lt;=Paths!$E$179),IF('Operating costs'!$B$67=0,C1906=0,AND(C1906&gt;0,'Operating costs'!$B$67&gt;(C1906-1)*12,'Operating costs'!$B$67&lt;=C1906*12))),'Operating costs'!$B$66,0),"n.a."))</f>
        <v>0</v>
      </c>
      <c r="N1906" s="16">
        <f>IF(NOT(Paths!$C$179=1),0,IF(Paths!$P$179="Complete",SUM(G1906:I1906)-J1906-K1906-L1906+M1906+IF(C1906=0,Paths!$F$179,0)+IF(IF(Paths!$E$179=0,C1906=0,AND(C1906&gt;0,Paths!$E$179&gt;(C1906-1)*12,Paths!$E$179&lt;=C1906*12)),VLOOKUP(A1906,'Fleet register'!$A$7:$S$106,16,FALSE),0),"n.a."))</f>
        <v>0</v>
      </c>
      <c r="O1906" s="16">
        <f>IF(NOT(Paths!$C$179=1),0,IF(Paths!$P$179="Complete",N1906-IF(C1906=0,Paths!$F$179,0),"n.a."))</f>
        <v>0</v>
      </c>
      <c r="P1906" s="16">
        <f>IF(NOT(Paths!$C$179=1),0,IF(Paths!$P$179="Complete",O1906+L1906,"n.a."))</f>
        <v>0</v>
      </c>
      <c r="Q1906" s="16">
        <f>IF(NOT(Paths!$C$179=1),0,IF(Paths!$P$179="Complete",N1906*(1+'Operating costs'!$B$54)^-C1906,"n.a."))</f>
        <v>0</v>
      </c>
      <c r="R1906" s="16">
        <f>IF(NOT(Paths!$C$179=1),0,IF(Paths!$P$179="Complete",IF(AND(C1906=0,Paths!$E$179=0),I1906-J1906-K1906+VLOOKUP(A1906,'Fleet register'!$A$7:$S$106,15,FALSE)+VLOOKUP(A1906,'Fleet register'!$A$7:$S$106,16,FALSE),0),"n.a."))</f>
        <v>0</v>
      </c>
      <c r="S1906" s="1">
        <f>IF(NOT(Paths!$C$179=1),0,IF(Paths!$P$179="Complete",IF(C1906=0,0,Paths!$S$179*Paths!$R$179),"n.a."))</f>
        <v>0</v>
      </c>
      <c r="T1906" s="1">
        <f>IF(NOT(Paths!$C$179=1),0,IF(Paths!$P$179="Complete",IF(C1906=0,0,VLOOKUP(A1906,'Fleet register'!$A$7:$S$106,9,FALSE)*Paths!$R$179),"n.a."))</f>
        <v>0</v>
      </c>
    </row>
    <row r="1907" spans="1:20" ht="24" customHeight="1">
      <c r="A1907" s="1" t="str">
        <f>Paths!$A$179</f>
        <v>T044</v>
      </c>
      <c r="B1907" s="1">
        <f>Paths!$B$179</f>
        <v>0</v>
      </c>
      <c r="C1907" s="1">
        <v>8</v>
      </c>
      <c r="D1907" s="1">
        <v>179</v>
      </c>
      <c r="E1907" s="1">
        <f>IF(OR(Paths!$C$179=0,C1907=0),0,MAX(0,MIN(C1907*12,Paths!$E$179)-(C1907-1)*12))</f>
        <v>0</v>
      </c>
      <c r="F1907" s="1">
        <f>IF(OR(Paths!$C$179=0,C1907=0),0,12-E1907)</f>
        <v>0</v>
      </c>
      <c r="G1907" s="16">
        <f>IF(NOT(Paths!$C$179=1),0,IF(Paths!$P$179="Complete",E1907/12*(Paths!$J$179*(1+'Operating costs'!$B$51)^MAX(0,C1907-1)+Paths!$K$179*(1+'Operating costs'!$B$53)^MAX(0,C1907-1)),"n.a."))</f>
        <v>0</v>
      </c>
      <c r="H1907" s="16">
        <f>IF(NOT(Paths!$C$179=1),0,IF(Paths!$P$179="Complete",F1907/12*(Paths!$L$179*(1+IF(Paths!$D$179="EV",'Operating costs'!$B$52,'Operating costs'!$B$51))^MAX(0,C1907-1)+Paths!$M$179*(1+'Operating costs'!$B$53)^MAX(0,C1907-1)),"n.a."))</f>
        <v>0</v>
      </c>
      <c r="I1907" s="16">
        <f>IF(NOT(Paths!$C$179=1),0,IF(Paths!$P$179="Complete",IF(IF(Paths!$E$179=0,C1907=0,AND(C1907&gt;0,Paths!$E$179&gt;(C1907-1)*12,Paths!$E$179&lt;=C1907*12)),Paths!$G$179,0),"n.a."))</f>
        <v>0</v>
      </c>
      <c r="J1907" s="16">
        <f>IF(NOT(Paths!$C$179=1),0,IF(Paths!$P$179="Complete",IF(IF(Paths!$E$179=0,C1907=0,AND(C1907&gt;0,Paths!$E$179&gt;(C1907-1)*12,Paths!$E$179&lt;=C1907*12)),Paths!$H$179,0),"n.a."))</f>
        <v>0</v>
      </c>
      <c r="K1907" s="16">
        <f>IF(NOT(Paths!$C$179=1),0,IF(Paths!$P$179="Complete",IF(IF(Paths!$O$179=0,C1907=0,AND(C1907&gt;0,Paths!$O$179&gt;(C1907-1)*12,Paths!$O$179&lt;=C1907*12)),Paths!$N$179,0),"n.a."))</f>
        <v>0</v>
      </c>
      <c r="L1907" s="16">
        <f>IF(NOT(Paths!$C$179=1),0,IF(Paths!$P$179="Complete",IF(C1907=10,Paths!$I$179,0),"n.a."))</f>
        <v>0</v>
      </c>
      <c r="M1907" s="16">
        <f>IF(NOT(Paths!$C$179=1),0,IF(Paths!$P$179="Complete",IF(AND(Paths!$D$179="EV",Paths!$E$179&lt;120,Paths!$E$179+'Operating costs'!$B$65&gt;Paths!$E$179,Paths!$E$179+'Operating costs'!$B$65&lt;=120,IF(Paths!$E$179+'Operating costs'!$B$65=0,C1907=0,AND(C1907&gt;0,Paths!$E$179+'Operating costs'!$B$65&gt;(C1907-1)*12,Paths!$E$179+'Operating costs'!$B$65&lt;=C1907*12))),'Operating costs'!$B$64,0)+IF(AND('Operating costs'!$B$67&gt;0,'Operating costs'!$B$67&lt;=120,OR(Paths!$D$179="ICE",'Operating costs'!$B$67&lt;=Paths!$E$179),IF('Operating costs'!$B$67=0,C1907=0,AND(C1907&gt;0,'Operating costs'!$B$67&gt;(C1907-1)*12,'Operating costs'!$B$67&lt;=C1907*12))),'Operating costs'!$B$66,0),"n.a."))</f>
        <v>0</v>
      </c>
      <c r="N1907" s="16">
        <f>IF(NOT(Paths!$C$179=1),0,IF(Paths!$P$179="Complete",SUM(G1907:I1907)-J1907-K1907-L1907+M1907+IF(C1907=0,Paths!$F$179,0)+IF(IF(Paths!$E$179=0,C1907=0,AND(C1907&gt;0,Paths!$E$179&gt;(C1907-1)*12,Paths!$E$179&lt;=C1907*12)),VLOOKUP(A1907,'Fleet register'!$A$7:$S$106,16,FALSE),0),"n.a."))</f>
        <v>0</v>
      </c>
      <c r="O1907" s="16">
        <f>IF(NOT(Paths!$C$179=1),0,IF(Paths!$P$179="Complete",N1907-IF(C1907=0,Paths!$F$179,0),"n.a."))</f>
        <v>0</v>
      </c>
      <c r="P1907" s="16">
        <f>IF(NOT(Paths!$C$179=1),0,IF(Paths!$P$179="Complete",O1907+L1907,"n.a."))</f>
        <v>0</v>
      </c>
      <c r="Q1907" s="16">
        <f>IF(NOT(Paths!$C$179=1),0,IF(Paths!$P$179="Complete",N1907*(1+'Operating costs'!$B$54)^-C1907,"n.a."))</f>
        <v>0</v>
      </c>
      <c r="R1907" s="16">
        <f>IF(NOT(Paths!$C$179=1),0,IF(Paths!$P$179="Complete",IF(AND(C1907=0,Paths!$E$179=0),I1907-J1907-K1907+VLOOKUP(A1907,'Fleet register'!$A$7:$S$106,15,FALSE)+VLOOKUP(A1907,'Fleet register'!$A$7:$S$106,16,FALSE),0),"n.a."))</f>
        <v>0</v>
      </c>
      <c r="S1907" s="1">
        <f>IF(NOT(Paths!$C$179=1),0,IF(Paths!$P$179="Complete",IF(C1907=0,0,Paths!$S$179*Paths!$R$179),"n.a."))</f>
        <v>0</v>
      </c>
      <c r="T1907" s="1">
        <f>IF(NOT(Paths!$C$179=1),0,IF(Paths!$P$179="Complete",IF(C1907=0,0,VLOOKUP(A1907,'Fleet register'!$A$7:$S$106,9,FALSE)*Paths!$R$179),"n.a."))</f>
        <v>0</v>
      </c>
    </row>
    <row r="1908" spans="1:20" ht="24" customHeight="1">
      <c r="A1908" s="1" t="str">
        <f>Paths!$A$179</f>
        <v>T044</v>
      </c>
      <c r="B1908" s="1">
        <f>Paths!$B$179</f>
        <v>0</v>
      </c>
      <c r="C1908" s="1">
        <v>9</v>
      </c>
      <c r="D1908" s="1">
        <v>179</v>
      </c>
      <c r="E1908" s="1">
        <f>IF(OR(Paths!$C$179=0,C1908=0),0,MAX(0,MIN(C1908*12,Paths!$E$179)-(C1908-1)*12))</f>
        <v>0</v>
      </c>
      <c r="F1908" s="1">
        <f>IF(OR(Paths!$C$179=0,C1908=0),0,12-E1908)</f>
        <v>0</v>
      </c>
      <c r="G1908" s="16">
        <f>IF(NOT(Paths!$C$179=1),0,IF(Paths!$P$179="Complete",E1908/12*(Paths!$J$179*(1+'Operating costs'!$B$51)^MAX(0,C1908-1)+Paths!$K$179*(1+'Operating costs'!$B$53)^MAX(0,C1908-1)),"n.a."))</f>
        <v>0</v>
      </c>
      <c r="H1908" s="16">
        <f>IF(NOT(Paths!$C$179=1),0,IF(Paths!$P$179="Complete",F1908/12*(Paths!$L$179*(1+IF(Paths!$D$179="EV",'Operating costs'!$B$52,'Operating costs'!$B$51))^MAX(0,C1908-1)+Paths!$M$179*(1+'Operating costs'!$B$53)^MAX(0,C1908-1)),"n.a."))</f>
        <v>0</v>
      </c>
      <c r="I1908" s="16">
        <f>IF(NOT(Paths!$C$179=1),0,IF(Paths!$P$179="Complete",IF(IF(Paths!$E$179=0,C1908=0,AND(C1908&gt;0,Paths!$E$179&gt;(C1908-1)*12,Paths!$E$179&lt;=C1908*12)),Paths!$G$179,0),"n.a."))</f>
        <v>0</v>
      </c>
      <c r="J1908" s="16">
        <f>IF(NOT(Paths!$C$179=1),0,IF(Paths!$P$179="Complete",IF(IF(Paths!$E$179=0,C1908=0,AND(C1908&gt;0,Paths!$E$179&gt;(C1908-1)*12,Paths!$E$179&lt;=C1908*12)),Paths!$H$179,0),"n.a."))</f>
        <v>0</v>
      </c>
      <c r="K1908" s="16">
        <f>IF(NOT(Paths!$C$179=1),0,IF(Paths!$P$179="Complete",IF(IF(Paths!$O$179=0,C1908=0,AND(C1908&gt;0,Paths!$O$179&gt;(C1908-1)*12,Paths!$O$179&lt;=C1908*12)),Paths!$N$179,0),"n.a."))</f>
        <v>0</v>
      </c>
      <c r="L1908" s="16">
        <f>IF(NOT(Paths!$C$179=1),0,IF(Paths!$P$179="Complete",IF(C1908=10,Paths!$I$179,0),"n.a."))</f>
        <v>0</v>
      </c>
      <c r="M1908" s="16">
        <f>IF(NOT(Paths!$C$179=1),0,IF(Paths!$P$179="Complete",IF(AND(Paths!$D$179="EV",Paths!$E$179&lt;120,Paths!$E$179+'Operating costs'!$B$65&gt;Paths!$E$179,Paths!$E$179+'Operating costs'!$B$65&lt;=120,IF(Paths!$E$179+'Operating costs'!$B$65=0,C1908=0,AND(C1908&gt;0,Paths!$E$179+'Operating costs'!$B$65&gt;(C1908-1)*12,Paths!$E$179+'Operating costs'!$B$65&lt;=C1908*12))),'Operating costs'!$B$64,0)+IF(AND('Operating costs'!$B$67&gt;0,'Operating costs'!$B$67&lt;=120,OR(Paths!$D$179="ICE",'Operating costs'!$B$67&lt;=Paths!$E$179),IF('Operating costs'!$B$67=0,C1908=0,AND(C1908&gt;0,'Operating costs'!$B$67&gt;(C1908-1)*12,'Operating costs'!$B$67&lt;=C1908*12))),'Operating costs'!$B$66,0),"n.a."))</f>
        <v>0</v>
      </c>
      <c r="N1908" s="16">
        <f>IF(NOT(Paths!$C$179=1),0,IF(Paths!$P$179="Complete",SUM(G1908:I1908)-J1908-K1908-L1908+M1908+IF(C1908=0,Paths!$F$179,0)+IF(IF(Paths!$E$179=0,C1908=0,AND(C1908&gt;0,Paths!$E$179&gt;(C1908-1)*12,Paths!$E$179&lt;=C1908*12)),VLOOKUP(A1908,'Fleet register'!$A$7:$S$106,16,FALSE),0),"n.a."))</f>
        <v>0</v>
      </c>
      <c r="O1908" s="16">
        <f>IF(NOT(Paths!$C$179=1),0,IF(Paths!$P$179="Complete",N1908-IF(C1908=0,Paths!$F$179,0),"n.a."))</f>
        <v>0</v>
      </c>
      <c r="P1908" s="16">
        <f>IF(NOT(Paths!$C$179=1),0,IF(Paths!$P$179="Complete",O1908+L1908,"n.a."))</f>
        <v>0</v>
      </c>
      <c r="Q1908" s="16">
        <f>IF(NOT(Paths!$C$179=1),0,IF(Paths!$P$179="Complete",N1908*(1+'Operating costs'!$B$54)^-C1908,"n.a."))</f>
        <v>0</v>
      </c>
      <c r="R1908" s="16">
        <f>IF(NOT(Paths!$C$179=1),0,IF(Paths!$P$179="Complete",IF(AND(C1908=0,Paths!$E$179=0),I1908-J1908-K1908+VLOOKUP(A1908,'Fleet register'!$A$7:$S$106,15,FALSE)+VLOOKUP(A1908,'Fleet register'!$A$7:$S$106,16,FALSE),0),"n.a."))</f>
        <v>0</v>
      </c>
      <c r="S1908" s="1">
        <f>IF(NOT(Paths!$C$179=1),0,IF(Paths!$P$179="Complete",IF(C1908=0,0,Paths!$S$179*Paths!$R$179),"n.a."))</f>
        <v>0</v>
      </c>
      <c r="T1908" s="1">
        <f>IF(NOT(Paths!$C$179=1),0,IF(Paths!$P$179="Complete",IF(C1908=0,0,VLOOKUP(A1908,'Fleet register'!$A$7:$S$106,9,FALSE)*Paths!$R$179),"n.a."))</f>
        <v>0</v>
      </c>
    </row>
    <row r="1909" spans="1:20" ht="24" customHeight="1">
      <c r="A1909" s="1" t="str">
        <f>Paths!$A$179</f>
        <v>T044</v>
      </c>
      <c r="B1909" s="1">
        <f>Paths!$B$179</f>
        <v>0</v>
      </c>
      <c r="C1909" s="1">
        <v>10</v>
      </c>
      <c r="D1909" s="1">
        <v>179</v>
      </c>
      <c r="E1909" s="1">
        <f>IF(OR(Paths!$C$179=0,C1909=0),0,MAX(0,MIN(C1909*12,Paths!$E$179)-(C1909-1)*12))</f>
        <v>0</v>
      </c>
      <c r="F1909" s="1">
        <f>IF(OR(Paths!$C$179=0,C1909=0),0,12-E1909)</f>
        <v>0</v>
      </c>
      <c r="G1909" s="16">
        <f>IF(NOT(Paths!$C$179=1),0,IF(Paths!$P$179="Complete",E1909/12*(Paths!$J$179*(1+'Operating costs'!$B$51)^MAX(0,C1909-1)+Paths!$K$179*(1+'Operating costs'!$B$53)^MAX(0,C1909-1)),"n.a."))</f>
        <v>0</v>
      </c>
      <c r="H1909" s="16">
        <f>IF(NOT(Paths!$C$179=1),0,IF(Paths!$P$179="Complete",F1909/12*(Paths!$L$179*(1+IF(Paths!$D$179="EV",'Operating costs'!$B$52,'Operating costs'!$B$51))^MAX(0,C1909-1)+Paths!$M$179*(1+'Operating costs'!$B$53)^MAX(0,C1909-1)),"n.a."))</f>
        <v>0</v>
      </c>
      <c r="I1909" s="16">
        <f>IF(NOT(Paths!$C$179=1),0,IF(Paths!$P$179="Complete",IF(IF(Paths!$E$179=0,C1909=0,AND(C1909&gt;0,Paths!$E$179&gt;(C1909-1)*12,Paths!$E$179&lt;=C1909*12)),Paths!$G$179,0),"n.a."))</f>
        <v>0</v>
      </c>
      <c r="J1909" s="16">
        <f>IF(NOT(Paths!$C$179=1),0,IF(Paths!$P$179="Complete",IF(IF(Paths!$E$179=0,C1909=0,AND(C1909&gt;0,Paths!$E$179&gt;(C1909-1)*12,Paths!$E$179&lt;=C1909*12)),Paths!$H$179,0),"n.a."))</f>
        <v>0</v>
      </c>
      <c r="K1909" s="16">
        <f>IF(NOT(Paths!$C$179=1),0,IF(Paths!$P$179="Complete",IF(IF(Paths!$O$179=0,C1909=0,AND(C1909&gt;0,Paths!$O$179&gt;(C1909-1)*12,Paths!$O$179&lt;=C1909*12)),Paths!$N$179,0),"n.a."))</f>
        <v>0</v>
      </c>
      <c r="L1909" s="16">
        <f>IF(NOT(Paths!$C$179=1),0,IF(Paths!$P$179="Complete",IF(C1909=10,Paths!$I$179,0),"n.a."))</f>
        <v>0</v>
      </c>
      <c r="M1909" s="16">
        <f>IF(NOT(Paths!$C$179=1),0,IF(Paths!$P$179="Complete",IF(AND(Paths!$D$179="EV",Paths!$E$179&lt;120,Paths!$E$179+'Operating costs'!$B$65&gt;Paths!$E$179,Paths!$E$179+'Operating costs'!$B$65&lt;=120,IF(Paths!$E$179+'Operating costs'!$B$65=0,C1909=0,AND(C1909&gt;0,Paths!$E$179+'Operating costs'!$B$65&gt;(C1909-1)*12,Paths!$E$179+'Operating costs'!$B$65&lt;=C1909*12))),'Operating costs'!$B$64,0)+IF(AND('Operating costs'!$B$67&gt;0,'Operating costs'!$B$67&lt;=120,OR(Paths!$D$179="ICE",'Operating costs'!$B$67&lt;=Paths!$E$179),IF('Operating costs'!$B$67=0,C1909=0,AND(C1909&gt;0,'Operating costs'!$B$67&gt;(C1909-1)*12,'Operating costs'!$B$67&lt;=C1909*12))),'Operating costs'!$B$66,0),"n.a."))</f>
        <v>0</v>
      </c>
      <c r="N1909" s="16">
        <f>IF(NOT(Paths!$C$179=1),0,IF(Paths!$P$179="Complete",SUM(G1909:I1909)-J1909-K1909-L1909+M1909+IF(C1909=0,Paths!$F$179,0)+IF(IF(Paths!$E$179=0,C1909=0,AND(C1909&gt;0,Paths!$E$179&gt;(C1909-1)*12,Paths!$E$179&lt;=C1909*12)),VLOOKUP(A1909,'Fleet register'!$A$7:$S$106,16,FALSE),0),"n.a."))</f>
        <v>0</v>
      </c>
      <c r="O1909" s="16">
        <f>IF(NOT(Paths!$C$179=1),0,IF(Paths!$P$179="Complete",N1909-IF(C1909=0,Paths!$F$179,0),"n.a."))</f>
        <v>0</v>
      </c>
      <c r="P1909" s="16">
        <f>IF(NOT(Paths!$C$179=1),0,IF(Paths!$P$179="Complete",O1909+L1909,"n.a."))</f>
        <v>0</v>
      </c>
      <c r="Q1909" s="16">
        <f>IF(NOT(Paths!$C$179=1),0,IF(Paths!$P$179="Complete",N1909*(1+'Operating costs'!$B$54)^-C1909,"n.a."))</f>
        <v>0</v>
      </c>
      <c r="R1909" s="16">
        <f>IF(NOT(Paths!$C$179=1),0,IF(Paths!$P$179="Complete",IF(AND(C1909=0,Paths!$E$179=0),I1909-J1909-K1909+VLOOKUP(A1909,'Fleet register'!$A$7:$S$106,15,FALSE)+VLOOKUP(A1909,'Fleet register'!$A$7:$S$106,16,FALSE),0),"n.a."))</f>
        <v>0</v>
      </c>
      <c r="S1909" s="1">
        <f>IF(NOT(Paths!$C$179=1),0,IF(Paths!$P$179="Complete",IF(C1909=0,0,Paths!$S$179*Paths!$R$179),"n.a."))</f>
        <v>0</v>
      </c>
      <c r="T1909" s="1">
        <f>IF(NOT(Paths!$C$179=1),0,IF(Paths!$P$179="Complete",IF(C1909=0,0,VLOOKUP(A1909,'Fleet register'!$A$7:$S$106,9,FALSE)*Paths!$R$179),"n.a."))</f>
        <v>0</v>
      </c>
    </row>
    <row r="1910" spans="1:20" ht="24" customHeight="1">
      <c r="A1910" s="1" t="str">
        <f>Paths!$A$180</f>
        <v>T044</v>
      </c>
      <c r="B1910" s="1">
        <f>Paths!$B$180</f>
        <v>1</v>
      </c>
      <c r="C1910" s="1">
        <v>0</v>
      </c>
      <c r="D1910" s="1">
        <v>180</v>
      </c>
      <c r="E1910" s="1">
        <f>IF(OR(Paths!$C$180=0,C1910=0),0,MAX(0,MIN(C1910*12,Paths!$E$180)-(C1910-1)*12))</f>
        <v>0</v>
      </c>
      <c r="F1910" s="1">
        <f>IF(OR(Paths!$C$180=0,C1910=0),0,12-E1910)</f>
        <v>0</v>
      </c>
      <c r="G1910" s="16">
        <f>IF(NOT(Paths!$C$180=1),0,IF(Paths!$P$180="Complete",E1910/12*(Paths!$J$180*(1+'Operating costs'!$B$51)^MAX(0,C1910-1)+Paths!$K$180*(1+'Operating costs'!$B$53)^MAX(0,C1910-1)),"n.a."))</f>
        <v>0</v>
      </c>
      <c r="H1910" s="16">
        <f>IF(NOT(Paths!$C$180=1),0,IF(Paths!$P$180="Complete",F1910/12*(Paths!$L$180*(1+IF(Paths!$D$180="EV",'Operating costs'!$B$52,'Operating costs'!$B$51))^MAX(0,C1910-1)+Paths!$M$180*(1+'Operating costs'!$B$53)^MAX(0,C1910-1)),"n.a."))</f>
        <v>0</v>
      </c>
      <c r="I1910" s="16">
        <f>IF(NOT(Paths!$C$180=1),0,IF(Paths!$P$180="Complete",IF(IF(Paths!$E$180=0,C1910=0,AND(C1910&gt;0,Paths!$E$180&gt;(C1910-1)*12,Paths!$E$180&lt;=C1910*12)),Paths!$G$180,0),"n.a."))</f>
        <v>0</v>
      </c>
      <c r="J1910" s="16">
        <f>IF(NOT(Paths!$C$180=1),0,IF(Paths!$P$180="Complete",IF(IF(Paths!$E$180=0,C1910=0,AND(C1910&gt;0,Paths!$E$180&gt;(C1910-1)*12,Paths!$E$180&lt;=C1910*12)),Paths!$H$180,0),"n.a."))</f>
        <v>0</v>
      </c>
      <c r="K1910" s="16">
        <f>IF(NOT(Paths!$C$180=1),0,IF(Paths!$P$180="Complete",IF(IF(Paths!$O$180=0,C1910=0,AND(C1910&gt;0,Paths!$O$180&gt;(C1910-1)*12,Paths!$O$180&lt;=C1910*12)),Paths!$N$180,0),"n.a."))</f>
        <v>0</v>
      </c>
      <c r="L1910" s="16">
        <f>IF(NOT(Paths!$C$180=1),0,IF(Paths!$P$180="Complete",IF(C1910=10,Paths!$I$180,0),"n.a."))</f>
        <v>0</v>
      </c>
      <c r="M1910" s="16">
        <f>IF(NOT(Paths!$C$180=1),0,IF(Paths!$P$180="Complete",IF(AND(Paths!$D$180="EV",Paths!$E$180&lt;120,Paths!$E$180+'Operating costs'!$B$65&gt;Paths!$E$180,Paths!$E$180+'Operating costs'!$B$65&lt;=120,IF(Paths!$E$180+'Operating costs'!$B$65=0,C1910=0,AND(C1910&gt;0,Paths!$E$180+'Operating costs'!$B$65&gt;(C1910-1)*12,Paths!$E$180+'Operating costs'!$B$65&lt;=C1910*12))),'Operating costs'!$B$64,0)+IF(AND('Operating costs'!$B$67&gt;0,'Operating costs'!$B$67&lt;=120,OR(Paths!$D$180="ICE",'Operating costs'!$B$67&lt;=Paths!$E$180),IF('Operating costs'!$B$67=0,C1910=0,AND(C1910&gt;0,'Operating costs'!$B$67&gt;(C1910-1)*12,'Operating costs'!$B$67&lt;=C1910*12))),'Operating costs'!$B$66,0),"n.a."))</f>
        <v>0</v>
      </c>
      <c r="N1910" s="16">
        <f>IF(NOT(Paths!$C$180=1),0,IF(Paths!$P$180="Complete",SUM(G1910:I1910)-J1910-K1910-L1910+M1910+IF(C1910=0,Paths!$F$180,0)+IF(IF(Paths!$E$180=0,C1910=0,AND(C1910&gt;0,Paths!$E$180&gt;(C1910-1)*12,Paths!$E$180&lt;=C1910*12)),VLOOKUP(A1910,'Fleet register'!$A$7:$S$106,16,FALSE),0),"n.a."))</f>
        <v>0</v>
      </c>
      <c r="O1910" s="16">
        <f>IF(NOT(Paths!$C$180=1),0,IF(Paths!$P$180="Complete",N1910-IF(C1910=0,Paths!$F$180,0),"n.a."))</f>
        <v>0</v>
      </c>
      <c r="P1910" s="16">
        <f>IF(NOT(Paths!$C$180=1),0,IF(Paths!$P$180="Complete",O1910+L1910,"n.a."))</f>
        <v>0</v>
      </c>
      <c r="Q1910" s="16">
        <f>IF(NOT(Paths!$C$180=1),0,IF(Paths!$P$180="Complete",N1910*(1+'Operating costs'!$B$54)^-C1910,"n.a."))</f>
        <v>0</v>
      </c>
      <c r="R1910" s="16">
        <f>IF(NOT(Paths!$C$180=1),0,IF(Paths!$P$180="Complete",IF(AND(C1910=0,Paths!$E$180=0),I1910-J1910-K1910+VLOOKUP(A1910,'Fleet register'!$A$7:$S$106,15,FALSE)+VLOOKUP(A1910,'Fleet register'!$A$7:$S$106,16,FALSE),0),"n.a."))</f>
        <v>0</v>
      </c>
      <c r="S1910" s="1">
        <f>IF(NOT(Paths!$C$180=1),0,IF(Paths!$P$180="Complete",IF(C1910=0,0,Paths!$S$180*Paths!$R$180),"n.a."))</f>
        <v>0</v>
      </c>
      <c r="T1910" s="1">
        <f>IF(NOT(Paths!$C$180=1),0,IF(Paths!$P$180="Complete",IF(C1910=0,0,VLOOKUP(A1910,'Fleet register'!$A$7:$S$106,9,FALSE)*Paths!$R$180),"n.a."))</f>
        <v>0</v>
      </c>
    </row>
    <row r="1911" spans="1:20" ht="24" customHeight="1">
      <c r="A1911" s="1" t="str">
        <f>Paths!$A$180</f>
        <v>T044</v>
      </c>
      <c r="B1911" s="1">
        <f>Paths!$B$180</f>
        <v>1</v>
      </c>
      <c r="C1911" s="1">
        <v>1</v>
      </c>
      <c r="D1911" s="1">
        <v>180</v>
      </c>
      <c r="E1911" s="1">
        <f>IF(OR(Paths!$C$180=0,C1911=0),0,MAX(0,MIN(C1911*12,Paths!$E$180)-(C1911-1)*12))</f>
        <v>0</v>
      </c>
      <c r="F1911" s="1">
        <f>IF(OR(Paths!$C$180=0,C1911=0),0,12-E1911)</f>
        <v>0</v>
      </c>
      <c r="G1911" s="16">
        <f>IF(NOT(Paths!$C$180=1),0,IF(Paths!$P$180="Complete",E1911/12*(Paths!$J$180*(1+'Operating costs'!$B$51)^MAX(0,C1911-1)+Paths!$K$180*(1+'Operating costs'!$B$53)^MAX(0,C1911-1)),"n.a."))</f>
        <v>0</v>
      </c>
      <c r="H1911" s="16">
        <f>IF(NOT(Paths!$C$180=1),0,IF(Paths!$P$180="Complete",F1911/12*(Paths!$L$180*(1+IF(Paths!$D$180="EV",'Operating costs'!$B$52,'Operating costs'!$B$51))^MAX(0,C1911-1)+Paths!$M$180*(1+'Operating costs'!$B$53)^MAX(0,C1911-1)),"n.a."))</f>
        <v>0</v>
      </c>
      <c r="I1911" s="16">
        <f>IF(NOT(Paths!$C$180=1),0,IF(Paths!$P$180="Complete",IF(IF(Paths!$E$180=0,C1911=0,AND(C1911&gt;0,Paths!$E$180&gt;(C1911-1)*12,Paths!$E$180&lt;=C1911*12)),Paths!$G$180,0),"n.a."))</f>
        <v>0</v>
      </c>
      <c r="J1911" s="16">
        <f>IF(NOT(Paths!$C$180=1),0,IF(Paths!$P$180="Complete",IF(IF(Paths!$E$180=0,C1911=0,AND(C1911&gt;0,Paths!$E$180&gt;(C1911-1)*12,Paths!$E$180&lt;=C1911*12)),Paths!$H$180,0),"n.a."))</f>
        <v>0</v>
      </c>
      <c r="K1911" s="16">
        <f>IF(NOT(Paths!$C$180=1),0,IF(Paths!$P$180="Complete",IF(IF(Paths!$O$180=0,C1911=0,AND(C1911&gt;0,Paths!$O$180&gt;(C1911-1)*12,Paths!$O$180&lt;=C1911*12)),Paths!$N$180,0),"n.a."))</f>
        <v>0</v>
      </c>
      <c r="L1911" s="16">
        <f>IF(NOT(Paths!$C$180=1),0,IF(Paths!$P$180="Complete",IF(C1911=10,Paths!$I$180,0),"n.a."))</f>
        <v>0</v>
      </c>
      <c r="M1911" s="16">
        <f>IF(NOT(Paths!$C$180=1),0,IF(Paths!$P$180="Complete",IF(AND(Paths!$D$180="EV",Paths!$E$180&lt;120,Paths!$E$180+'Operating costs'!$B$65&gt;Paths!$E$180,Paths!$E$180+'Operating costs'!$B$65&lt;=120,IF(Paths!$E$180+'Operating costs'!$B$65=0,C1911=0,AND(C1911&gt;0,Paths!$E$180+'Operating costs'!$B$65&gt;(C1911-1)*12,Paths!$E$180+'Operating costs'!$B$65&lt;=C1911*12))),'Operating costs'!$B$64,0)+IF(AND('Operating costs'!$B$67&gt;0,'Operating costs'!$B$67&lt;=120,OR(Paths!$D$180="ICE",'Operating costs'!$B$67&lt;=Paths!$E$180),IF('Operating costs'!$B$67=0,C1911=0,AND(C1911&gt;0,'Operating costs'!$B$67&gt;(C1911-1)*12,'Operating costs'!$B$67&lt;=C1911*12))),'Operating costs'!$B$66,0),"n.a."))</f>
        <v>0</v>
      </c>
      <c r="N1911" s="16">
        <f>IF(NOT(Paths!$C$180=1),0,IF(Paths!$P$180="Complete",SUM(G1911:I1911)-J1911-K1911-L1911+M1911+IF(C1911=0,Paths!$F$180,0)+IF(IF(Paths!$E$180=0,C1911=0,AND(C1911&gt;0,Paths!$E$180&gt;(C1911-1)*12,Paths!$E$180&lt;=C1911*12)),VLOOKUP(A1911,'Fleet register'!$A$7:$S$106,16,FALSE),0),"n.a."))</f>
        <v>0</v>
      </c>
      <c r="O1911" s="16">
        <f>IF(NOT(Paths!$C$180=1),0,IF(Paths!$P$180="Complete",N1911-IF(C1911=0,Paths!$F$180,0),"n.a."))</f>
        <v>0</v>
      </c>
      <c r="P1911" s="16">
        <f>IF(NOT(Paths!$C$180=1),0,IF(Paths!$P$180="Complete",O1911+L1911,"n.a."))</f>
        <v>0</v>
      </c>
      <c r="Q1911" s="16">
        <f>IF(NOT(Paths!$C$180=1),0,IF(Paths!$P$180="Complete",N1911*(1+'Operating costs'!$B$54)^-C1911,"n.a."))</f>
        <v>0</v>
      </c>
      <c r="R1911" s="16">
        <f>IF(NOT(Paths!$C$180=1),0,IF(Paths!$P$180="Complete",IF(AND(C1911=0,Paths!$E$180=0),I1911-J1911-K1911+VLOOKUP(A1911,'Fleet register'!$A$7:$S$106,15,FALSE)+VLOOKUP(A1911,'Fleet register'!$A$7:$S$106,16,FALSE),0),"n.a."))</f>
        <v>0</v>
      </c>
      <c r="S1911" s="1">
        <f>IF(NOT(Paths!$C$180=1),0,IF(Paths!$P$180="Complete",IF(C1911=0,0,Paths!$S$180*Paths!$R$180),"n.a."))</f>
        <v>0</v>
      </c>
      <c r="T1911" s="1">
        <f>IF(NOT(Paths!$C$180=1),0,IF(Paths!$P$180="Complete",IF(C1911=0,0,VLOOKUP(A1911,'Fleet register'!$A$7:$S$106,9,FALSE)*Paths!$R$180),"n.a."))</f>
        <v>0</v>
      </c>
    </row>
    <row r="1912" spans="1:20" ht="24" customHeight="1">
      <c r="A1912" s="1" t="str">
        <f>Paths!$A$180</f>
        <v>T044</v>
      </c>
      <c r="B1912" s="1">
        <f>Paths!$B$180</f>
        <v>1</v>
      </c>
      <c r="C1912" s="1">
        <v>2</v>
      </c>
      <c r="D1912" s="1">
        <v>180</v>
      </c>
      <c r="E1912" s="1">
        <f>IF(OR(Paths!$C$180=0,C1912=0),0,MAX(0,MIN(C1912*12,Paths!$E$180)-(C1912-1)*12))</f>
        <v>0</v>
      </c>
      <c r="F1912" s="1">
        <f>IF(OR(Paths!$C$180=0,C1912=0),0,12-E1912)</f>
        <v>0</v>
      </c>
      <c r="G1912" s="16">
        <f>IF(NOT(Paths!$C$180=1),0,IF(Paths!$P$180="Complete",E1912/12*(Paths!$J$180*(1+'Operating costs'!$B$51)^MAX(0,C1912-1)+Paths!$K$180*(1+'Operating costs'!$B$53)^MAX(0,C1912-1)),"n.a."))</f>
        <v>0</v>
      </c>
      <c r="H1912" s="16">
        <f>IF(NOT(Paths!$C$180=1),0,IF(Paths!$P$180="Complete",F1912/12*(Paths!$L$180*(1+IF(Paths!$D$180="EV",'Operating costs'!$B$52,'Operating costs'!$B$51))^MAX(0,C1912-1)+Paths!$M$180*(1+'Operating costs'!$B$53)^MAX(0,C1912-1)),"n.a."))</f>
        <v>0</v>
      </c>
      <c r="I1912" s="16">
        <f>IF(NOT(Paths!$C$180=1),0,IF(Paths!$P$180="Complete",IF(IF(Paths!$E$180=0,C1912=0,AND(C1912&gt;0,Paths!$E$180&gt;(C1912-1)*12,Paths!$E$180&lt;=C1912*12)),Paths!$G$180,0),"n.a."))</f>
        <v>0</v>
      </c>
      <c r="J1912" s="16">
        <f>IF(NOT(Paths!$C$180=1),0,IF(Paths!$P$180="Complete",IF(IF(Paths!$E$180=0,C1912=0,AND(C1912&gt;0,Paths!$E$180&gt;(C1912-1)*12,Paths!$E$180&lt;=C1912*12)),Paths!$H$180,0),"n.a."))</f>
        <v>0</v>
      </c>
      <c r="K1912" s="16">
        <f>IF(NOT(Paths!$C$180=1),0,IF(Paths!$P$180="Complete",IF(IF(Paths!$O$180=0,C1912=0,AND(C1912&gt;0,Paths!$O$180&gt;(C1912-1)*12,Paths!$O$180&lt;=C1912*12)),Paths!$N$180,0),"n.a."))</f>
        <v>0</v>
      </c>
      <c r="L1912" s="16">
        <f>IF(NOT(Paths!$C$180=1),0,IF(Paths!$P$180="Complete",IF(C1912=10,Paths!$I$180,0),"n.a."))</f>
        <v>0</v>
      </c>
      <c r="M1912" s="16">
        <f>IF(NOT(Paths!$C$180=1),0,IF(Paths!$P$180="Complete",IF(AND(Paths!$D$180="EV",Paths!$E$180&lt;120,Paths!$E$180+'Operating costs'!$B$65&gt;Paths!$E$180,Paths!$E$180+'Operating costs'!$B$65&lt;=120,IF(Paths!$E$180+'Operating costs'!$B$65=0,C1912=0,AND(C1912&gt;0,Paths!$E$180+'Operating costs'!$B$65&gt;(C1912-1)*12,Paths!$E$180+'Operating costs'!$B$65&lt;=C1912*12))),'Operating costs'!$B$64,0)+IF(AND('Operating costs'!$B$67&gt;0,'Operating costs'!$B$67&lt;=120,OR(Paths!$D$180="ICE",'Operating costs'!$B$67&lt;=Paths!$E$180),IF('Operating costs'!$B$67=0,C1912=0,AND(C1912&gt;0,'Operating costs'!$B$67&gt;(C1912-1)*12,'Operating costs'!$B$67&lt;=C1912*12))),'Operating costs'!$B$66,0),"n.a."))</f>
        <v>0</v>
      </c>
      <c r="N1912" s="16">
        <f>IF(NOT(Paths!$C$180=1),0,IF(Paths!$P$180="Complete",SUM(G1912:I1912)-J1912-K1912-L1912+M1912+IF(C1912=0,Paths!$F$180,0)+IF(IF(Paths!$E$180=0,C1912=0,AND(C1912&gt;0,Paths!$E$180&gt;(C1912-1)*12,Paths!$E$180&lt;=C1912*12)),VLOOKUP(A1912,'Fleet register'!$A$7:$S$106,16,FALSE),0),"n.a."))</f>
        <v>0</v>
      </c>
      <c r="O1912" s="16">
        <f>IF(NOT(Paths!$C$180=1),0,IF(Paths!$P$180="Complete",N1912-IF(C1912=0,Paths!$F$180,0),"n.a."))</f>
        <v>0</v>
      </c>
      <c r="P1912" s="16">
        <f>IF(NOT(Paths!$C$180=1),0,IF(Paths!$P$180="Complete",O1912+L1912,"n.a."))</f>
        <v>0</v>
      </c>
      <c r="Q1912" s="16">
        <f>IF(NOT(Paths!$C$180=1),0,IF(Paths!$P$180="Complete",N1912*(1+'Operating costs'!$B$54)^-C1912,"n.a."))</f>
        <v>0</v>
      </c>
      <c r="R1912" s="16">
        <f>IF(NOT(Paths!$C$180=1),0,IF(Paths!$P$180="Complete",IF(AND(C1912=0,Paths!$E$180=0),I1912-J1912-K1912+VLOOKUP(A1912,'Fleet register'!$A$7:$S$106,15,FALSE)+VLOOKUP(A1912,'Fleet register'!$A$7:$S$106,16,FALSE),0),"n.a."))</f>
        <v>0</v>
      </c>
      <c r="S1912" s="1">
        <f>IF(NOT(Paths!$C$180=1),0,IF(Paths!$P$180="Complete",IF(C1912=0,0,Paths!$S$180*Paths!$R$180),"n.a."))</f>
        <v>0</v>
      </c>
      <c r="T1912" s="1">
        <f>IF(NOT(Paths!$C$180=1),0,IF(Paths!$P$180="Complete",IF(C1912=0,0,VLOOKUP(A1912,'Fleet register'!$A$7:$S$106,9,FALSE)*Paths!$R$180),"n.a."))</f>
        <v>0</v>
      </c>
    </row>
    <row r="1913" spans="1:20" ht="24" customHeight="1">
      <c r="A1913" s="1" t="str">
        <f>Paths!$A$180</f>
        <v>T044</v>
      </c>
      <c r="B1913" s="1">
        <f>Paths!$B$180</f>
        <v>1</v>
      </c>
      <c r="C1913" s="1">
        <v>3</v>
      </c>
      <c r="D1913" s="1">
        <v>180</v>
      </c>
      <c r="E1913" s="1">
        <f>IF(OR(Paths!$C$180=0,C1913=0),0,MAX(0,MIN(C1913*12,Paths!$E$180)-(C1913-1)*12))</f>
        <v>0</v>
      </c>
      <c r="F1913" s="1">
        <f>IF(OR(Paths!$C$180=0,C1913=0),0,12-E1913)</f>
        <v>0</v>
      </c>
      <c r="G1913" s="16">
        <f>IF(NOT(Paths!$C$180=1),0,IF(Paths!$P$180="Complete",E1913/12*(Paths!$J$180*(1+'Operating costs'!$B$51)^MAX(0,C1913-1)+Paths!$K$180*(1+'Operating costs'!$B$53)^MAX(0,C1913-1)),"n.a."))</f>
        <v>0</v>
      </c>
      <c r="H1913" s="16">
        <f>IF(NOT(Paths!$C$180=1),0,IF(Paths!$P$180="Complete",F1913/12*(Paths!$L$180*(1+IF(Paths!$D$180="EV",'Operating costs'!$B$52,'Operating costs'!$B$51))^MAX(0,C1913-1)+Paths!$M$180*(1+'Operating costs'!$B$53)^MAX(0,C1913-1)),"n.a."))</f>
        <v>0</v>
      </c>
      <c r="I1913" s="16">
        <f>IF(NOT(Paths!$C$180=1),0,IF(Paths!$P$180="Complete",IF(IF(Paths!$E$180=0,C1913=0,AND(C1913&gt;0,Paths!$E$180&gt;(C1913-1)*12,Paths!$E$180&lt;=C1913*12)),Paths!$G$180,0),"n.a."))</f>
        <v>0</v>
      </c>
      <c r="J1913" s="16">
        <f>IF(NOT(Paths!$C$180=1),0,IF(Paths!$P$180="Complete",IF(IF(Paths!$E$180=0,C1913=0,AND(C1913&gt;0,Paths!$E$180&gt;(C1913-1)*12,Paths!$E$180&lt;=C1913*12)),Paths!$H$180,0),"n.a."))</f>
        <v>0</v>
      </c>
      <c r="K1913" s="16">
        <f>IF(NOT(Paths!$C$180=1),0,IF(Paths!$P$180="Complete",IF(IF(Paths!$O$180=0,C1913=0,AND(C1913&gt;0,Paths!$O$180&gt;(C1913-1)*12,Paths!$O$180&lt;=C1913*12)),Paths!$N$180,0),"n.a."))</f>
        <v>0</v>
      </c>
      <c r="L1913" s="16">
        <f>IF(NOT(Paths!$C$180=1),0,IF(Paths!$P$180="Complete",IF(C1913=10,Paths!$I$180,0),"n.a."))</f>
        <v>0</v>
      </c>
      <c r="M1913" s="16">
        <f>IF(NOT(Paths!$C$180=1),0,IF(Paths!$P$180="Complete",IF(AND(Paths!$D$180="EV",Paths!$E$180&lt;120,Paths!$E$180+'Operating costs'!$B$65&gt;Paths!$E$180,Paths!$E$180+'Operating costs'!$B$65&lt;=120,IF(Paths!$E$180+'Operating costs'!$B$65=0,C1913=0,AND(C1913&gt;0,Paths!$E$180+'Operating costs'!$B$65&gt;(C1913-1)*12,Paths!$E$180+'Operating costs'!$B$65&lt;=C1913*12))),'Operating costs'!$B$64,0)+IF(AND('Operating costs'!$B$67&gt;0,'Operating costs'!$B$67&lt;=120,OR(Paths!$D$180="ICE",'Operating costs'!$B$67&lt;=Paths!$E$180),IF('Operating costs'!$B$67=0,C1913=0,AND(C1913&gt;0,'Operating costs'!$B$67&gt;(C1913-1)*12,'Operating costs'!$B$67&lt;=C1913*12))),'Operating costs'!$B$66,0),"n.a."))</f>
        <v>0</v>
      </c>
      <c r="N1913" s="16">
        <f>IF(NOT(Paths!$C$180=1),0,IF(Paths!$P$180="Complete",SUM(G1913:I1913)-J1913-K1913-L1913+M1913+IF(C1913=0,Paths!$F$180,0)+IF(IF(Paths!$E$180=0,C1913=0,AND(C1913&gt;0,Paths!$E$180&gt;(C1913-1)*12,Paths!$E$180&lt;=C1913*12)),VLOOKUP(A1913,'Fleet register'!$A$7:$S$106,16,FALSE),0),"n.a."))</f>
        <v>0</v>
      </c>
      <c r="O1913" s="16">
        <f>IF(NOT(Paths!$C$180=1),0,IF(Paths!$P$180="Complete",N1913-IF(C1913=0,Paths!$F$180,0),"n.a."))</f>
        <v>0</v>
      </c>
      <c r="P1913" s="16">
        <f>IF(NOT(Paths!$C$180=1),0,IF(Paths!$P$180="Complete",O1913+L1913,"n.a."))</f>
        <v>0</v>
      </c>
      <c r="Q1913" s="16">
        <f>IF(NOT(Paths!$C$180=1),0,IF(Paths!$P$180="Complete",N1913*(1+'Operating costs'!$B$54)^-C1913,"n.a."))</f>
        <v>0</v>
      </c>
      <c r="R1913" s="16">
        <f>IF(NOT(Paths!$C$180=1),0,IF(Paths!$P$180="Complete",IF(AND(C1913=0,Paths!$E$180=0),I1913-J1913-K1913+VLOOKUP(A1913,'Fleet register'!$A$7:$S$106,15,FALSE)+VLOOKUP(A1913,'Fleet register'!$A$7:$S$106,16,FALSE),0),"n.a."))</f>
        <v>0</v>
      </c>
      <c r="S1913" s="1">
        <f>IF(NOT(Paths!$C$180=1),0,IF(Paths!$P$180="Complete",IF(C1913=0,0,Paths!$S$180*Paths!$R$180),"n.a."))</f>
        <v>0</v>
      </c>
      <c r="T1913" s="1">
        <f>IF(NOT(Paths!$C$180=1),0,IF(Paths!$P$180="Complete",IF(C1913=0,0,VLOOKUP(A1913,'Fleet register'!$A$7:$S$106,9,FALSE)*Paths!$R$180),"n.a."))</f>
        <v>0</v>
      </c>
    </row>
    <row r="1914" spans="1:20" ht="24" customHeight="1">
      <c r="A1914" s="1" t="str">
        <f>Paths!$A$180</f>
        <v>T044</v>
      </c>
      <c r="B1914" s="1">
        <f>Paths!$B$180</f>
        <v>1</v>
      </c>
      <c r="C1914" s="1">
        <v>4</v>
      </c>
      <c r="D1914" s="1">
        <v>180</v>
      </c>
      <c r="E1914" s="1">
        <f>IF(OR(Paths!$C$180=0,C1914=0),0,MAX(0,MIN(C1914*12,Paths!$E$180)-(C1914-1)*12))</f>
        <v>0</v>
      </c>
      <c r="F1914" s="1">
        <f>IF(OR(Paths!$C$180=0,C1914=0),0,12-E1914)</f>
        <v>0</v>
      </c>
      <c r="G1914" s="16">
        <f>IF(NOT(Paths!$C$180=1),0,IF(Paths!$P$180="Complete",E1914/12*(Paths!$J$180*(1+'Operating costs'!$B$51)^MAX(0,C1914-1)+Paths!$K$180*(1+'Operating costs'!$B$53)^MAX(0,C1914-1)),"n.a."))</f>
        <v>0</v>
      </c>
      <c r="H1914" s="16">
        <f>IF(NOT(Paths!$C$180=1),0,IF(Paths!$P$180="Complete",F1914/12*(Paths!$L$180*(1+IF(Paths!$D$180="EV",'Operating costs'!$B$52,'Operating costs'!$B$51))^MAX(0,C1914-1)+Paths!$M$180*(1+'Operating costs'!$B$53)^MAX(0,C1914-1)),"n.a."))</f>
        <v>0</v>
      </c>
      <c r="I1914" s="16">
        <f>IF(NOT(Paths!$C$180=1),0,IF(Paths!$P$180="Complete",IF(IF(Paths!$E$180=0,C1914=0,AND(C1914&gt;0,Paths!$E$180&gt;(C1914-1)*12,Paths!$E$180&lt;=C1914*12)),Paths!$G$180,0),"n.a."))</f>
        <v>0</v>
      </c>
      <c r="J1914" s="16">
        <f>IF(NOT(Paths!$C$180=1),0,IF(Paths!$P$180="Complete",IF(IF(Paths!$E$180=0,C1914=0,AND(C1914&gt;0,Paths!$E$180&gt;(C1914-1)*12,Paths!$E$180&lt;=C1914*12)),Paths!$H$180,0),"n.a."))</f>
        <v>0</v>
      </c>
      <c r="K1914" s="16">
        <f>IF(NOT(Paths!$C$180=1),0,IF(Paths!$P$180="Complete",IF(IF(Paths!$O$180=0,C1914=0,AND(C1914&gt;0,Paths!$O$180&gt;(C1914-1)*12,Paths!$O$180&lt;=C1914*12)),Paths!$N$180,0),"n.a."))</f>
        <v>0</v>
      </c>
      <c r="L1914" s="16">
        <f>IF(NOT(Paths!$C$180=1),0,IF(Paths!$P$180="Complete",IF(C1914=10,Paths!$I$180,0),"n.a."))</f>
        <v>0</v>
      </c>
      <c r="M1914" s="16">
        <f>IF(NOT(Paths!$C$180=1),0,IF(Paths!$P$180="Complete",IF(AND(Paths!$D$180="EV",Paths!$E$180&lt;120,Paths!$E$180+'Operating costs'!$B$65&gt;Paths!$E$180,Paths!$E$180+'Operating costs'!$B$65&lt;=120,IF(Paths!$E$180+'Operating costs'!$B$65=0,C1914=0,AND(C1914&gt;0,Paths!$E$180+'Operating costs'!$B$65&gt;(C1914-1)*12,Paths!$E$180+'Operating costs'!$B$65&lt;=C1914*12))),'Operating costs'!$B$64,0)+IF(AND('Operating costs'!$B$67&gt;0,'Operating costs'!$B$67&lt;=120,OR(Paths!$D$180="ICE",'Operating costs'!$B$67&lt;=Paths!$E$180),IF('Operating costs'!$B$67=0,C1914=0,AND(C1914&gt;0,'Operating costs'!$B$67&gt;(C1914-1)*12,'Operating costs'!$B$67&lt;=C1914*12))),'Operating costs'!$B$66,0),"n.a."))</f>
        <v>0</v>
      </c>
      <c r="N1914" s="16">
        <f>IF(NOT(Paths!$C$180=1),0,IF(Paths!$P$180="Complete",SUM(G1914:I1914)-J1914-K1914-L1914+M1914+IF(C1914=0,Paths!$F$180,0)+IF(IF(Paths!$E$180=0,C1914=0,AND(C1914&gt;0,Paths!$E$180&gt;(C1914-1)*12,Paths!$E$180&lt;=C1914*12)),VLOOKUP(A1914,'Fleet register'!$A$7:$S$106,16,FALSE),0),"n.a."))</f>
        <v>0</v>
      </c>
      <c r="O1914" s="16">
        <f>IF(NOT(Paths!$C$180=1),0,IF(Paths!$P$180="Complete",N1914-IF(C1914=0,Paths!$F$180,0),"n.a."))</f>
        <v>0</v>
      </c>
      <c r="P1914" s="16">
        <f>IF(NOT(Paths!$C$180=1),0,IF(Paths!$P$180="Complete",O1914+L1914,"n.a."))</f>
        <v>0</v>
      </c>
      <c r="Q1914" s="16">
        <f>IF(NOT(Paths!$C$180=1),0,IF(Paths!$P$180="Complete",N1914*(1+'Operating costs'!$B$54)^-C1914,"n.a."))</f>
        <v>0</v>
      </c>
      <c r="R1914" s="16">
        <f>IF(NOT(Paths!$C$180=1),0,IF(Paths!$P$180="Complete",IF(AND(C1914=0,Paths!$E$180=0),I1914-J1914-K1914+VLOOKUP(A1914,'Fleet register'!$A$7:$S$106,15,FALSE)+VLOOKUP(A1914,'Fleet register'!$A$7:$S$106,16,FALSE),0),"n.a."))</f>
        <v>0</v>
      </c>
      <c r="S1914" s="1">
        <f>IF(NOT(Paths!$C$180=1),0,IF(Paths!$P$180="Complete",IF(C1914=0,0,Paths!$S$180*Paths!$R$180),"n.a."))</f>
        <v>0</v>
      </c>
      <c r="T1914" s="1">
        <f>IF(NOT(Paths!$C$180=1),0,IF(Paths!$P$180="Complete",IF(C1914=0,0,VLOOKUP(A1914,'Fleet register'!$A$7:$S$106,9,FALSE)*Paths!$R$180),"n.a."))</f>
        <v>0</v>
      </c>
    </row>
    <row r="1915" spans="1:20" ht="24" customHeight="1">
      <c r="A1915" s="1" t="str">
        <f>Paths!$A$180</f>
        <v>T044</v>
      </c>
      <c r="B1915" s="1">
        <f>Paths!$B$180</f>
        <v>1</v>
      </c>
      <c r="C1915" s="1">
        <v>5</v>
      </c>
      <c r="D1915" s="1">
        <v>180</v>
      </c>
      <c r="E1915" s="1">
        <f>IF(OR(Paths!$C$180=0,C1915=0),0,MAX(0,MIN(C1915*12,Paths!$E$180)-(C1915-1)*12))</f>
        <v>0</v>
      </c>
      <c r="F1915" s="1">
        <f>IF(OR(Paths!$C$180=0,C1915=0),0,12-E1915)</f>
        <v>0</v>
      </c>
      <c r="G1915" s="16">
        <f>IF(NOT(Paths!$C$180=1),0,IF(Paths!$P$180="Complete",E1915/12*(Paths!$J$180*(1+'Operating costs'!$B$51)^MAX(0,C1915-1)+Paths!$K$180*(1+'Operating costs'!$B$53)^MAX(0,C1915-1)),"n.a."))</f>
        <v>0</v>
      </c>
      <c r="H1915" s="16">
        <f>IF(NOT(Paths!$C$180=1),0,IF(Paths!$P$180="Complete",F1915/12*(Paths!$L$180*(1+IF(Paths!$D$180="EV",'Operating costs'!$B$52,'Operating costs'!$B$51))^MAX(0,C1915-1)+Paths!$M$180*(1+'Operating costs'!$B$53)^MAX(0,C1915-1)),"n.a."))</f>
        <v>0</v>
      </c>
      <c r="I1915" s="16">
        <f>IF(NOT(Paths!$C$180=1),0,IF(Paths!$P$180="Complete",IF(IF(Paths!$E$180=0,C1915=0,AND(C1915&gt;0,Paths!$E$180&gt;(C1915-1)*12,Paths!$E$180&lt;=C1915*12)),Paths!$G$180,0),"n.a."))</f>
        <v>0</v>
      </c>
      <c r="J1915" s="16">
        <f>IF(NOT(Paths!$C$180=1),0,IF(Paths!$P$180="Complete",IF(IF(Paths!$E$180=0,C1915=0,AND(C1915&gt;0,Paths!$E$180&gt;(C1915-1)*12,Paths!$E$180&lt;=C1915*12)),Paths!$H$180,0),"n.a."))</f>
        <v>0</v>
      </c>
      <c r="K1915" s="16">
        <f>IF(NOT(Paths!$C$180=1),0,IF(Paths!$P$180="Complete",IF(IF(Paths!$O$180=0,C1915=0,AND(C1915&gt;0,Paths!$O$180&gt;(C1915-1)*12,Paths!$O$180&lt;=C1915*12)),Paths!$N$180,0),"n.a."))</f>
        <v>0</v>
      </c>
      <c r="L1915" s="16">
        <f>IF(NOT(Paths!$C$180=1),0,IF(Paths!$P$180="Complete",IF(C1915=10,Paths!$I$180,0),"n.a."))</f>
        <v>0</v>
      </c>
      <c r="M1915" s="16">
        <f>IF(NOT(Paths!$C$180=1),0,IF(Paths!$P$180="Complete",IF(AND(Paths!$D$180="EV",Paths!$E$180&lt;120,Paths!$E$180+'Operating costs'!$B$65&gt;Paths!$E$180,Paths!$E$180+'Operating costs'!$B$65&lt;=120,IF(Paths!$E$180+'Operating costs'!$B$65=0,C1915=0,AND(C1915&gt;0,Paths!$E$180+'Operating costs'!$B$65&gt;(C1915-1)*12,Paths!$E$180+'Operating costs'!$B$65&lt;=C1915*12))),'Operating costs'!$B$64,0)+IF(AND('Operating costs'!$B$67&gt;0,'Operating costs'!$B$67&lt;=120,OR(Paths!$D$180="ICE",'Operating costs'!$B$67&lt;=Paths!$E$180),IF('Operating costs'!$B$67=0,C1915=0,AND(C1915&gt;0,'Operating costs'!$B$67&gt;(C1915-1)*12,'Operating costs'!$B$67&lt;=C1915*12))),'Operating costs'!$B$66,0),"n.a."))</f>
        <v>0</v>
      </c>
      <c r="N1915" s="16">
        <f>IF(NOT(Paths!$C$180=1),0,IF(Paths!$P$180="Complete",SUM(G1915:I1915)-J1915-K1915-L1915+M1915+IF(C1915=0,Paths!$F$180,0)+IF(IF(Paths!$E$180=0,C1915=0,AND(C1915&gt;0,Paths!$E$180&gt;(C1915-1)*12,Paths!$E$180&lt;=C1915*12)),VLOOKUP(A1915,'Fleet register'!$A$7:$S$106,16,FALSE),0),"n.a."))</f>
        <v>0</v>
      </c>
      <c r="O1915" s="16">
        <f>IF(NOT(Paths!$C$180=1),0,IF(Paths!$P$180="Complete",N1915-IF(C1915=0,Paths!$F$180,0),"n.a."))</f>
        <v>0</v>
      </c>
      <c r="P1915" s="16">
        <f>IF(NOT(Paths!$C$180=1),0,IF(Paths!$P$180="Complete",O1915+L1915,"n.a."))</f>
        <v>0</v>
      </c>
      <c r="Q1915" s="16">
        <f>IF(NOT(Paths!$C$180=1),0,IF(Paths!$P$180="Complete",N1915*(1+'Operating costs'!$B$54)^-C1915,"n.a."))</f>
        <v>0</v>
      </c>
      <c r="R1915" s="16">
        <f>IF(NOT(Paths!$C$180=1),0,IF(Paths!$P$180="Complete",IF(AND(C1915=0,Paths!$E$180=0),I1915-J1915-K1915+VLOOKUP(A1915,'Fleet register'!$A$7:$S$106,15,FALSE)+VLOOKUP(A1915,'Fleet register'!$A$7:$S$106,16,FALSE),0),"n.a."))</f>
        <v>0</v>
      </c>
      <c r="S1915" s="1">
        <f>IF(NOT(Paths!$C$180=1),0,IF(Paths!$P$180="Complete",IF(C1915=0,0,Paths!$S$180*Paths!$R$180),"n.a."))</f>
        <v>0</v>
      </c>
      <c r="T1915" s="1">
        <f>IF(NOT(Paths!$C$180=1),0,IF(Paths!$P$180="Complete",IF(C1915=0,0,VLOOKUP(A1915,'Fleet register'!$A$7:$S$106,9,FALSE)*Paths!$R$180),"n.a."))</f>
        <v>0</v>
      </c>
    </row>
    <row r="1916" spans="1:20" ht="24" customHeight="1">
      <c r="A1916" s="1" t="str">
        <f>Paths!$A$180</f>
        <v>T044</v>
      </c>
      <c r="B1916" s="1">
        <f>Paths!$B$180</f>
        <v>1</v>
      </c>
      <c r="C1916" s="1">
        <v>6</v>
      </c>
      <c r="D1916" s="1">
        <v>180</v>
      </c>
      <c r="E1916" s="1">
        <f>IF(OR(Paths!$C$180=0,C1916=0),0,MAX(0,MIN(C1916*12,Paths!$E$180)-(C1916-1)*12))</f>
        <v>0</v>
      </c>
      <c r="F1916" s="1">
        <f>IF(OR(Paths!$C$180=0,C1916=0),0,12-E1916)</f>
        <v>0</v>
      </c>
      <c r="G1916" s="16">
        <f>IF(NOT(Paths!$C$180=1),0,IF(Paths!$P$180="Complete",E1916/12*(Paths!$J$180*(1+'Operating costs'!$B$51)^MAX(0,C1916-1)+Paths!$K$180*(1+'Operating costs'!$B$53)^MAX(0,C1916-1)),"n.a."))</f>
        <v>0</v>
      </c>
      <c r="H1916" s="16">
        <f>IF(NOT(Paths!$C$180=1),0,IF(Paths!$P$180="Complete",F1916/12*(Paths!$L$180*(1+IF(Paths!$D$180="EV",'Operating costs'!$B$52,'Operating costs'!$B$51))^MAX(0,C1916-1)+Paths!$M$180*(1+'Operating costs'!$B$53)^MAX(0,C1916-1)),"n.a."))</f>
        <v>0</v>
      </c>
      <c r="I1916" s="16">
        <f>IF(NOT(Paths!$C$180=1),0,IF(Paths!$P$180="Complete",IF(IF(Paths!$E$180=0,C1916=0,AND(C1916&gt;0,Paths!$E$180&gt;(C1916-1)*12,Paths!$E$180&lt;=C1916*12)),Paths!$G$180,0),"n.a."))</f>
        <v>0</v>
      </c>
      <c r="J1916" s="16">
        <f>IF(NOT(Paths!$C$180=1),0,IF(Paths!$P$180="Complete",IF(IF(Paths!$E$180=0,C1916=0,AND(C1916&gt;0,Paths!$E$180&gt;(C1916-1)*12,Paths!$E$180&lt;=C1916*12)),Paths!$H$180,0),"n.a."))</f>
        <v>0</v>
      </c>
      <c r="K1916" s="16">
        <f>IF(NOT(Paths!$C$180=1),0,IF(Paths!$P$180="Complete",IF(IF(Paths!$O$180=0,C1916=0,AND(C1916&gt;0,Paths!$O$180&gt;(C1916-1)*12,Paths!$O$180&lt;=C1916*12)),Paths!$N$180,0),"n.a."))</f>
        <v>0</v>
      </c>
      <c r="L1916" s="16">
        <f>IF(NOT(Paths!$C$180=1),0,IF(Paths!$P$180="Complete",IF(C1916=10,Paths!$I$180,0),"n.a."))</f>
        <v>0</v>
      </c>
      <c r="M1916" s="16">
        <f>IF(NOT(Paths!$C$180=1),0,IF(Paths!$P$180="Complete",IF(AND(Paths!$D$180="EV",Paths!$E$180&lt;120,Paths!$E$180+'Operating costs'!$B$65&gt;Paths!$E$180,Paths!$E$180+'Operating costs'!$B$65&lt;=120,IF(Paths!$E$180+'Operating costs'!$B$65=0,C1916=0,AND(C1916&gt;0,Paths!$E$180+'Operating costs'!$B$65&gt;(C1916-1)*12,Paths!$E$180+'Operating costs'!$B$65&lt;=C1916*12))),'Operating costs'!$B$64,0)+IF(AND('Operating costs'!$B$67&gt;0,'Operating costs'!$B$67&lt;=120,OR(Paths!$D$180="ICE",'Operating costs'!$B$67&lt;=Paths!$E$180),IF('Operating costs'!$B$67=0,C1916=0,AND(C1916&gt;0,'Operating costs'!$B$67&gt;(C1916-1)*12,'Operating costs'!$B$67&lt;=C1916*12))),'Operating costs'!$B$66,0),"n.a."))</f>
        <v>0</v>
      </c>
      <c r="N1916" s="16">
        <f>IF(NOT(Paths!$C$180=1),0,IF(Paths!$P$180="Complete",SUM(G1916:I1916)-J1916-K1916-L1916+M1916+IF(C1916=0,Paths!$F$180,0)+IF(IF(Paths!$E$180=0,C1916=0,AND(C1916&gt;0,Paths!$E$180&gt;(C1916-1)*12,Paths!$E$180&lt;=C1916*12)),VLOOKUP(A1916,'Fleet register'!$A$7:$S$106,16,FALSE),0),"n.a."))</f>
        <v>0</v>
      </c>
      <c r="O1916" s="16">
        <f>IF(NOT(Paths!$C$180=1),0,IF(Paths!$P$180="Complete",N1916-IF(C1916=0,Paths!$F$180,0),"n.a."))</f>
        <v>0</v>
      </c>
      <c r="P1916" s="16">
        <f>IF(NOT(Paths!$C$180=1),0,IF(Paths!$P$180="Complete",O1916+L1916,"n.a."))</f>
        <v>0</v>
      </c>
      <c r="Q1916" s="16">
        <f>IF(NOT(Paths!$C$180=1),0,IF(Paths!$P$180="Complete",N1916*(1+'Operating costs'!$B$54)^-C1916,"n.a."))</f>
        <v>0</v>
      </c>
      <c r="R1916" s="16">
        <f>IF(NOT(Paths!$C$180=1),0,IF(Paths!$P$180="Complete",IF(AND(C1916=0,Paths!$E$180=0),I1916-J1916-K1916+VLOOKUP(A1916,'Fleet register'!$A$7:$S$106,15,FALSE)+VLOOKUP(A1916,'Fleet register'!$A$7:$S$106,16,FALSE),0),"n.a."))</f>
        <v>0</v>
      </c>
      <c r="S1916" s="1">
        <f>IF(NOT(Paths!$C$180=1),0,IF(Paths!$P$180="Complete",IF(C1916=0,0,Paths!$S$180*Paths!$R$180),"n.a."))</f>
        <v>0</v>
      </c>
      <c r="T1916" s="1">
        <f>IF(NOT(Paths!$C$180=1),0,IF(Paths!$P$180="Complete",IF(C1916=0,0,VLOOKUP(A1916,'Fleet register'!$A$7:$S$106,9,FALSE)*Paths!$R$180),"n.a."))</f>
        <v>0</v>
      </c>
    </row>
    <row r="1917" spans="1:20" ht="24" customHeight="1">
      <c r="A1917" s="1" t="str">
        <f>Paths!$A$180</f>
        <v>T044</v>
      </c>
      <c r="B1917" s="1">
        <f>Paths!$B$180</f>
        <v>1</v>
      </c>
      <c r="C1917" s="1">
        <v>7</v>
      </c>
      <c r="D1917" s="1">
        <v>180</v>
      </c>
      <c r="E1917" s="1">
        <f>IF(OR(Paths!$C$180=0,C1917=0),0,MAX(0,MIN(C1917*12,Paths!$E$180)-(C1917-1)*12))</f>
        <v>0</v>
      </c>
      <c r="F1917" s="1">
        <f>IF(OR(Paths!$C$180=0,C1917=0),0,12-E1917)</f>
        <v>0</v>
      </c>
      <c r="G1917" s="16">
        <f>IF(NOT(Paths!$C$180=1),0,IF(Paths!$P$180="Complete",E1917/12*(Paths!$J$180*(1+'Operating costs'!$B$51)^MAX(0,C1917-1)+Paths!$K$180*(1+'Operating costs'!$B$53)^MAX(0,C1917-1)),"n.a."))</f>
        <v>0</v>
      </c>
      <c r="H1917" s="16">
        <f>IF(NOT(Paths!$C$180=1),0,IF(Paths!$P$180="Complete",F1917/12*(Paths!$L$180*(1+IF(Paths!$D$180="EV",'Operating costs'!$B$52,'Operating costs'!$B$51))^MAX(0,C1917-1)+Paths!$M$180*(1+'Operating costs'!$B$53)^MAX(0,C1917-1)),"n.a."))</f>
        <v>0</v>
      </c>
      <c r="I1917" s="16">
        <f>IF(NOT(Paths!$C$180=1),0,IF(Paths!$P$180="Complete",IF(IF(Paths!$E$180=0,C1917=0,AND(C1917&gt;0,Paths!$E$180&gt;(C1917-1)*12,Paths!$E$180&lt;=C1917*12)),Paths!$G$180,0),"n.a."))</f>
        <v>0</v>
      </c>
      <c r="J1917" s="16">
        <f>IF(NOT(Paths!$C$180=1),0,IF(Paths!$P$180="Complete",IF(IF(Paths!$E$180=0,C1917=0,AND(C1917&gt;0,Paths!$E$180&gt;(C1917-1)*12,Paths!$E$180&lt;=C1917*12)),Paths!$H$180,0),"n.a."))</f>
        <v>0</v>
      </c>
      <c r="K1917" s="16">
        <f>IF(NOT(Paths!$C$180=1),0,IF(Paths!$P$180="Complete",IF(IF(Paths!$O$180=0,C1917=0,AND(C1917&gt;0,Paths!$O$180&gt;(C1917-1)*12,Paths!$O$180&lt;=C1917*12)),Paths!$N$180,0),"n.a."))</f>
        <v>0</v>
      </c>
      <c r="L1917" s="16">
        <f>IF(NOT(Paths!$C$180=1),0,IF(Paths!$P$180="Complete",IF(C1917=10,Paths!$I$180,0),"n.a."))</f>
        <v>0</v>
      </c>
      <c r="M1917" s="16">
        <f>IF(NOT(Paths!$C$180=1),0,IF(Paths!$P$180="Complete",IF(AND(Paths!$D$180="EV",Paths!$E$180&lt;120,Paths!$E$180+'Operating costs'!$B$65&gt;Paths!$E$180,Paths!$E$180+'Operating costs'!$B$65&lt;=120,IF(Paths!$E$180+'Operating costs'!$B$65=0,C1917=0,AND(C1917&gt;0,Paths!$E$180+'Operating costs'!$B$65&gt;(C1917-1)*12,Paths!$E$180+'Operating costs'!$B$65&lt;=C1917*12))),'Operating costs'!$B$64,0)+IF(AND('Operating costs'!$B$67&gt;0,'Operating costs'!$B$67&lt;=120,OR(Paths!$D$180="ICE",'Operating costs'!$B$67&lt;=Paths!$E$180),IF('Operating costs'!$B$67=0,C1917=0,AND(C1917&gt;0,'Operating costs'!$B$67&gt;(C1917-1)*12,'Operating costs'!$B$67&lt;=C1917*12))),'Operating costs'!$B$66,0),"n.a."))</f>
        <v>0</v>
      </c>
      <c r="N1917" s="16">
        <f>IF(NOT(Paths!$C$180=1),0,IF(Paths!$P$180="Complete",SUM(G1917:I1917)-J1917-K1917-L1917+M1917+IF(C1917=0,Paths!$F$180,0)+IF(IF(Paths!$E$180=0,C1917=0,AND(C1917&gt;0,Paths!$E$180&gt;(C1917-1)*12,Paths!$E$180&lt;=C1917*12)),VLOOKUP(A1917,'Fleet register'!$A$7:$S$106,16,FALSE),0),"n.a."))</f>
        <v>0</v>
      </c>
      <c r="O1917" s="16">
        <f>IF(NOT(Paths!$C$180=1),0,IF(Paths!$P$180="Complete",N1917-IF(C1917=0,Paths!$F$180,0),"n.a."))</f>
        <v>0</v>
      </c>
      <c r="P1917" s="16">
        <f>IF(NOT(Paths!$C$180=1),0,IF(Paths!$P$180="Complete",O1917+L1917,"n.a."))</f>
        <v>0</v>
      </c>
      <c r="Q1917" s="16">
        <f>IF(NOT(Paths!$C$180=1),0,IF(Paths!$P$180="Complete",N1917*(1+'Operating costs'!$B$54)^-C1917,"n.a."))</f>
        <v>0</v>
      </c>
      <c r="R1917" s="16">
        <f>IF(NOT(Paths!$C$180=1),0,IF(Paths!$P$180="Complete",IF(AND(C1917=0,Paths!$E$180=0),I1917-J1917-K1917+VLOOKUP(A1917,'Fleet register'!$A$7:$S$106,15,FALSE)+VLOOKUP(A1917,'Fleet register'!$A$7:$S$106,16,FALSE),0),"n.a."))</f>
        <v>0</v>
      </c>
      <c r="S1917" s="1">
        <f>IF(NOT(Paths!$C$180=1),0,IF(Paths!$P$180="Complete",IF(C1917=0,0,Paths!$S$180*Paths!$R$180),"n.a."))</f>
        <v>0</v>
      </c>
      <c r="T1917" s="1">
        <f>IF(NOT(Paths!$C$180=1),0,IF(Paths!$P$180="Complete",IF(C1917=0,0,VLOOKUP(A1917,'Fleet register'!$A$7:$S$106,9,FALSE)*Paths!$R$180),"n.a."))</f>
        <v>0</v>
      </c>
    </row>
    <row r="1918" spans="1:20" ht="24" customHeight="1">
      <c r="A1918" s="1" t="str">
        <f>Paths!$A$180</f>
        <v>T044</v>
      </c>
      <c r="B1918" s="1">
        <f>Paths!$B$180</f>
        <v>1</v>
      </c>
      <c r="C1918" s="1">
        <v>8</v>
      </c>
      <c r="D1918" s="1">
        <v>180</v>
      </c>
      <c r="E1918" s="1">
        <f>IF(OR(Paths!$C$180=0,C1918=0),0,MAX(0,MIN(C1918*12,Paths!$E$180)-(C1918-1)*12))</f>
        <v>0</v>
      </c>
      <c r="F1918" s="1">
        <f>IF(OR(Paths!$C$180=0,C1918=0),0,12-E1918)</f>
        <v>0</v>
      </c>
      <c r="G1918" s="16">
        <f>IF(NOT(Paths!$C$180=1),0,IF(Paths!$P$180="Complete",E1918/12*(Paths!$J$180*(1+'Operating costs'!$B$51)^MAX(0,C1918-1)+Paths!$K$180*(1+'Operating costs'!$B$53)^MAX(0,C1918-1)),"n.a."))</f>
        <v>0</v>
      </c>
      <c r="H1918" s="16">
        <f>IF(NOT(Paths!$C$180=1),0,IF(Paths!$P$180="Complete",F1918/12*(Paths!$L$180*(1+IF(Paths!$D$180="EV",'Operating costs'!$B$52,'Operating costs'!$B$51))^MAX(0,C1918-1)+Paths!$M$180*(1+'Operating costs'!$B$53)^MAX(0,C1918-1)),"n.a."))</f>
        <v>0</v>
      </c>
      <c r="I1918" s="16">
        <f>IF(NOT(Paths!$C$180=1),0,IF(Paths!$P$180="Complete",IF(IF(Paths!$E$180=0,C1918=0,AND(C1918&gt;0,Paths!$E$180&gt;(C1918-1)*12,Paths!$E$180&lt;=C1918*12)),Paths!$G$180,0),"n.a."))</f>
        <v>0</v>
      </c>
      <c r="J1918" s="16">
        <f>IF(NOT(Paths!$C$180=1),0,IF(Paths!$P$180="Complete",IF(IF(Paths!$E$180=0,C1918=0,AND(C1918&gt;0,Paths!$E$180&gt;(C1918-1)*12,Paths!$E$180&lt;=C1918*12)),Paths!$H$180,0),"n.a."))</f>
        <v>0</v>
      </c>
      <c r="K1918" s="16">
        <f>IF(NOT(Paths!$C$180=1),0,IF(Paths!$P$180="Complete",IF(IF(Paths!$O$180=0,C1918=0,AND(C1918&gt;0,Paths!$O$180&gt;(C1918-1)*12,Paths!$O$180&lt;=C1918*12)),Paths!$N$180,0),"n.a."))</f>
        <v>0</v>
      </c>
      <c r="L1918" s="16">
        <f>IF(NOT(Paths!$C$180=1),0,IF(Paths!$P$180="Complete",IF(C1918=10,Paths!$I$180,0),"n.a."))</f>
        <v>0</v>
      </c>
      <c r="M1918" s="16">
        <f>IF(NOT(Paths!$C$180=1),0,IF(Paths!$P$180="Complete",IF(AND(Paths!$D$180="EV",Paths!$E$180&lt;120,Paths!$E$180+'Operating costs'!$B$65&gt;Paths!$E$180,Paths!$E$180+'Operating costs'!$B$65&lt;=120,IF(Paths!$E$180+'Operating costs'!$B$65=0,C1918=0,AND(C1918&gt;0,Paths!$E$180+'Operating costs'!$B$65&gt;(C1918-1)*12,Paths!$E$180+'Operating costs'!$B$65&lt;=C1918*12))),'Operating costs'!$B$64,0)+IF(AND('Operating costs'!$B$67&gt;0,'Operating costs'!$B$67&lt;=120,OR(Paths!$D$180="ICE",'Operating costs'!$B$67&lt;=Paths!$E$180),IF('Operating costs'!$B$67=0,C1918=0,AND(C1918&gt;0,'Operating costs'!$B$67&gt;(C1918-1)*12,'Operating costs'!$B$67&lt;=C1918*12))),'Operating costs'!$B$66,0),"n.a."))</f>
        <v>0</v>
      </c>
      <c r="N1918" s="16">
        <f>IF(NOT(Paths!$C$180=1),0,IF(Paths!$P$180="Complete",SUM(G1918:I1918)-J1918-K1918-L1918+M1918+IF(C1918=0,Paths!$F$180,0)+IF(IF(Paths!$E$180=0,C1918=0,AND(C1918&gt;0,Paths!$E$180&gt;(C1918-1)*12,Paths!$E$180&lt;=C1918*12)),VLOOKUP(A1918,'Fleet register'!$A$7:$S$106,16,FALSE),0),"n.a."))</f>
        <v>0</v>
      </c>
      <c r="O1918" s="16">
        <f>IF(NOT(Paths!$C$180=1),0,IF(Paths!$P$180="Complete",N1918-IF(C1918=0,Paths!$F$180,0),"n.a."))</f>
        <v>0</v>
      </c>
      <c r="P1918" s="16">
        <f>IF(NOT(Paths!$C$180=1),0,IF(Paths!$P$180="Complete",O1918+L1918,"n.a."))</f>
        <v>0</v>
      </c>
      <c r="Q1918" s="16">
        <f>IF(NOT(Paths!$C$180=1),0,IF(Paths!$P$180="Complete",N1918*(1+'Operating costs'!$B$54)^-C1918,"n.a."))</f>
        <v>0</v>
      </c>
      <c r="R1918" s="16">
        <f>IF(NOT(Paths!$C$180=1),0,IF(Paths!$P$180="Complete",IF(AND(C1918=0,Paths!$E$180=0),I1918-J1918-K1918+VLOOKUP(A1918,'Fleet register'!$A$7:$S$106,15,FALSE)+VLOOKUP(A1918,'Fleet register'!$A$7:$S$106,16,FALSE),0),"n.a."))</f>
        <v>0</v>
      </c>
      <c r="S1918" s="1">
        <f>IF(NOT(Paths!$C$180=1),0,IF(Paths!$P$180="Complete",IF(C1918=0,0,Paths!$S$180*Paths!$R$180),"n.a."))</f>
        <v>0</v>
      </c>
      <c r="T1918" s="1">
        <f>IF(NOT(Paths!$C$180=1),0,IF(Paths!$P$180="Complete",IF(C1918=0,0,VLOOKUP(A1918,'Fleet register'!$A$7:$S$106,9,FALSE)*Paths!$R$180),"n.a."))</f>
        <v>0</v>
      </c>
    </row>
    <row r="1919" spans="1:20" ht="24" customHeight="1">
      <c r="A1919" s="1" t="str">
        <f>Paths!$A$180</f>
        <v>T044</v>
      </c>
      <c r="B1919" s="1">
        <f>Paths!$B$180</f>
        <v>1</v>
      </c>
      <c r="C1919" s="1">
        <v>9</v>
      </c>
      <c r="D1919" s="1">
        <v>180</v>
      </c>
      <c r="E1919" s="1">
        <f>IF(OR(Paths!$C$180=0,C1919=0),0,MAX(0,MIN(C1919*12,Paths!$E$180)-(C1919-1)*12))</f>
        <v>0</v>
      </c>
      <c r="F1919" s="1">
        <f>IF(OR(Paths!$C$180=0,C1919=0),0,12-E1919)</f>
        <v>0</v>
      </c>
      <c r="G1919" s="16">
        <f>IF(NOT(Paths!$C$180=1),0,IF(Paths!$P$180="Complete",E1919/12*(Paths!$J$180*(1+'Operating costs'!$B$51)^MAX(0,C1919-1)+Paths!$K$180*(1+'Operating costs'!$B$53)^MAX(0,C1919-1)),"n.a."))</f>
        <v>0</v>
      </c>
      <c r="H1919" s="16">
        <f>IF(NOT(Paths!$C$180=1),0,IF(Paths!$P$180="Complete",F1919/12*(Paths!$L$180*(1+IF(Paths!$D$180="EV",'Operating costs'!$B$52,'Operating costs'!$B$51))^MAX(0,C1919-1)+Paths!$M$180*(1+'Operating costs'!$B$53)^MAX(0,C1919-1)),"n.a."))</f>
        <v>0</v>
      </c>
      <c r="I1919" s="16">
        <f>IF(NOT(Paths!$C$180=1),0,IF(Paths!$P$180="Complete",IF(IF(Paths!$E$180=0,C1919=0,AND(C1919&gt;0,Paths!$E$180&gt;(C1919-1)*12,Paths!$E$180&lt;=C1919*12)),Paths!$G$180,0),"n.a."))</f>
        <v>0</v>
      </c>
      <c r="J1919" s="16">
        <f>IF(NOT(Paths!$C$180=1),0,IF(Paths!$P$180="Complete",IF(IF(Paths!$E$180=0,C1919=0,AND(C1919&gt;0,Paths!$E$180&gt;(C1919-1)*12,Paths!$E$180&lt;=C1919*12)),Paths!$H$180,0),"n.a."))</f>
        <v>0</v>
      </c>
      <c r="K1919" s="16">
        <f>IF(NOT(Paths!$C$180=1),0,IF(Paths!$P$180="Complete",IF(IF(Paths!$O$180=0,C1919=0,AND(C1919&gt;0,Paths!$O$180&gt;(C1919-1)*12,Paths!$O$180&lt;=C1919*12)),Paths!$N$180,0),"n.a."))</f>
        <v>0</v>
      </c>
      <c r="L1919" s="16">
        <f>IF(NOT(Paths!$C$180=1),0,IF(Paths!$P$180="Complete",IF(C1919=10,Paths!$I$180,0),"n.a."))</f>
        <v>0</v>
      </c>
      <c r="M1919" s="16">
        <f>IF(NOT(Paths!$C$180=1),0,IF(Paths!$P$180="Complete",IF(AND(Paths!$D$180="EV",Paths!$E$180&lt;120,Paths!$E$180+'Operating costs'!$B$65&gt;Paths!$E$180,Paths!$E$180+'Operating costs'!$B$65&lt;=120,IF(Paths!$E$180+'Operating costs'!$B$65=0,C1919=0,AND(C1919&gt;0,Paths!$E$180+'Operating costs'!$B$65&gt;(C1919-1)*12,Paths!$E$180+'Operating costs'!$B$65&lt;=C1919*12))),'Operating costs'!$B$64,0)+IF(AND('Operating costs'!$B$67&gt;0,'Operating costs'!$B$67&lt;=120,OR(Paths!$D$180="ICE",'Operating costs'!$B$67&lt;=Paths!$E$180),IF('Operating costs'!$B$67=0,C1919=0,AND(C1919&gt;0,'Operating costs'!$B$67&gt;(C1919-1)*12,'Operating costs'!$B$67&lt;=C1919*12))),'Operating costs'!$B$66,0),"n.a."))</f>
        <v>0</v>
      </c>
      <c r="N1919" s="16">
        <f>IF(NOT(Paths!$C$180=1),0,IF(Paths!$P$180="Complete",SUM(G1919:I1919)-J1919-K1919-L1919+M1919+IF(C1919=0,Paths!$F$180,0)+IF(IF(Paths!$E$180=0,C1919=0,AND(C1919&gt;0,Paths!$E$180&gt;(C1919-1)*12,Paths!$E$180&lt;=C1919*12)),VLOOKUP(A1919,'Fleet register'!$A$7:$S$106,16,FALSE),0),"n.a."))</f>
        <v>0</v>
      </c>
      <c r="O1919" s="16">
        <f>IF(NOT(Paths!$C$180=1),0,IF(Paths!$P$180="Complete",N1919-IF(C1919=0,Paths!$F$180,0),"n.a."))</f>
        <v>0</v>
      </c>
      <c r="P1919" s="16">
        <f>IF(NOT(Paths!$C$180=1),0,IF(Paths!$P$180="Complete",O1919+L1919,"n.a."))</f>
        <v>0</v>
      </c>
      <c r="Q1919" s="16">
        <f>IF(NOT(Paths!$C$180=1),0,IF(Paths!$P$180="Complete",N1919*(1+'Operating costs'!$B$54)^-C1919,"n.a."))</f>
        <v>0</v>
      </c>
      <c r="R1919" s="16">
        <f>IF(NOT(Paths!$C$180=1),0,IF(Paths!$P$180="Complete",IF(AND(C1919=0,Paths!$E$180=0),I1919-J1919-K1919+VLOOKUP(A1919,'Fleet register'!$A$7:$S$106,15,FALSE)+VLOOKUP(A1919,'Fleet register'!$A$7:$S$106,16,FALSE),0),"n.a."))</f>
        <v>0</v>
      </c>
      <c r="S1919" s="1">
        <f>IF(NOT(Paths!$C$180=1),0,IF(Paths!$P$180="Complete",IF(C1919=0,0,Paths!$S$180*Paths!$R$180),"n.a."))</f>
        <v>0</v>
      </c>
      <c r="T1919" s="1">
        <f>IF(NOT(Paths!$C$180=1),0,IF(Paths!$P$180="Complete",IF(C1919=0,0,VLOOKUP(A1919,'Fleet register'!$A$7:$S$106,9,FALSE)*Paths!$R$180),"n.a."))</f>
        <v>0</v>
      </c>
    </row>
    <row r="1920" spans="1:20" ht="24" customHeight="1">
      <c r="A1920" s="1" t="str">
        <f>Paths!$A$180</f>
        <v>T044</v>
      </c>
      <c r="B1920" s="1">
        <f>Paths!$B$180</f>
        <v>1</v>
      </c>
      <c r="C1920" s="1">
        <v>10</v>
      </c>
      <c r="D1920" s="1">
        <v>180</v>
      </c>
      <c r="E1920" s="1">
        <f>IF(OR(Paths!$C$180=0,C1920=0),0,MAX(0,MIN(C1920*12,Paths!$E$180)-(C1920-1)*12))</f>
        <v>0</v>
      </c>
      <c r="F1920" s="1">
        <f>IF(OR(Paths!$C$180=0,C1920=0),0,12-E1920)</f>
        <v>0</v>
      </c>
      <c r="G1920" s="16">
        <f>IF(NOT(Paths!$C$180=1),0,IF(Paths!$P$180="Complete",E1920/12*(Paths!$J$180*(1+'Operating costs'!$B$51)^MAX(0,C1920-1)+Paths!$K$180*(1+'Operating costs'!$B$53)^MAX(0,C1920-1)),"n.a."))</f>
        <v>0</v>
      </c>
      <c r="H1920" s="16">
        <f>IF(NOT(Paths!$C$180=1),0,IF(Paths!$P$180="Complete",F1920/12*(Paths!$L$180*(1+IF(Paths!$D$180="EV",'Operating costs'!$B$52,'Operating costs'!$B$51))^MAX(0,C1920-1)+Paths!$M$180*(1+'Operating costs'!$B$53)^MAX(0,C1920-1)),"n.a."))</f>
        <v>0</v>
      </c>
      <c r="I1920" s="16">
        <f>IF(NOT(Paths!$C$180=1),0,IF(Paths!$P$180="Complete",IF(IF(Paths!$E$180=0,C1920=0,AND(C1920&gt;0,Paths!$E$180&gt;(C1920-1)*12,Paths!$E$180&lt;=C1920*12)),Paths!$G$180,0),"n.a."))</f>
        <v>0</v>
      </c>
      <c r="J1920" s="16">
        <f>IF(NOT(Paths!$C$180=1),0,IF(Paths!$P$180="Complete",IF(IF(Paths!$E$180=0,C1920=0,AND(C1920&gt;0,Paths!$E$180&gt;(C1920-1)*12,Paths!$E$180&lt;=C1920*12)),Paths!$H$180,0),"n.a."))</f>
        <v>0</v>
      </c>
      <c r="K1920" s="16">
        <f>IF(NOT(Paths!$C$180=1),0,IF(Paths!$P$180="Complete",IF(IF(Paths!$O$180=0,C1920=0,AND(C1920&gt;0,Paths!$O$180&gt;(C1920-1)*12,Paths!$O$180&lt;=C1920*12)),Paths!$N$180,0),"n.a."))</f>
        <v>0</v>
      </c>
      <c r="L1920" s="16">
        <f>IF(NOT(Paths!$C$180=1),0,IF(Paths!$P$180="Complete",IF(C1920=10,Paths!$I$180,0),"n.a."))</f>
        <v>0</v>
      </c>
      <c r="M1920" s="16">
        <f>IF(NOT(Paths!$C$180=1),0,IF(Paths!$P$180="Complete",IF(AND(Paths!$D$180="EV",Paths!$E$180&lt;120,Paths!$E$180+'Operating costs'!$B$65&gt;Paths!$E$180,Paths!$E$180+'Operating costs'!$B$65&lt;=120,IF(Paths!$E$180+'Operating costs'!$B$65=0,C1920=0,AND(C1920&gt;0,Paths!$E$180+'Operating costs'!$B$65&gt;(C1920-1)*12,Paths!$E$180+'Operating costs'!$B$65&lt;=C1920*12))),'Operating costs'!$B$64,0)+IF(AND('Operating costs'!$B$67&gt;0,'Operating costs'!$B$67&lt;=120,OR(Paths!$D$180="ICE",'Operating costs'!$B$67&lt;=Paths!$E$180),IF('Operating costs'!$B$67=0,C1920=0,AND(C1920&gt;0,'Operating costs'!$B$67&gt;(C1920-1)*12,'Operating costs'!$B$67&lt;=C1920*12))),'Operating costs'!$B$66,0),"n.a."))</f>
        <v>0</v>
      </c>
      <c r="N1920" s="16">
        <f>IF(NOT(Paths!$C$180=1),0,IF(Paths!$P$180="Complete",SUM(G1920:I1920)-J1920-K1920-L1920+M1920+IF(C1920=0,Paths!$F$180,0)+IF(IF(Paths!$E$180=0,C1920=0,AND(C1920&gt;0,Paths!$E$180&gt;(C1920-1)*12,Paths!$E$180&lt;=C1920*12)),VLOOKUP(A1920,'Fleet register'!$A$7:$S$106,16,FALSE),0),"n.a."))</f>
        <v>0</v>
      </c>
      <c r="O1920" s="16">
        <f>IF(NOT(Paths!$C$180=1),0,IF(Paths!$P$180="Complete",N1920-IF(C1920=0,Paths!$F$180,0),"n.a."))</f>
        <v>0</v>
      </c>
      <c r="P1920" s="16">
        <f>IF(NOT(Paths!$C$180=1),0,IF(Paths!$P$180="Complete",O1920+L1920,"n.a."))</f>
        <v>0</v>
      </c>
      <c r="Q1920" s="16">
        <f>IF(NOT(Paths!$C$180=1),0,IF(Paths!$P$180="Complete",N1920*(1+'Operating costs'!$B$54)^-C1920,"n.a."))</f>
        <v>0</v>
      </c>
      <c r="R1920" s="16">
        <f>IF(NOT(Paths!$C$180=1),0,IF(Paths!$P$180="Complete",IF(AND(C1920=0,Paths!$E$180=0),I1920-J1920-K1920+VLOOKUP(A1920,'Fleet register'!$A$7:$S$106,15,FALSE)+VLOOKUP(A1920,'Fleet register'!$A$7:$S$106,16,FALSE),0),"n.a."))</f>
        <v>0</v>
      </c>
      <c r="S1920" s="1">
        <f>IF(NOT(Paths!$C$180=1),0,IF(Paths!$P$180="Complete",IF(C1920=0,0,Paths!$S$180*Paths!$R$180),"n.a."))</f>
        <v>0</v>
      </c>
      <c r="T1920" s="1">
        <f>IF(NOT(Paths!$C$180=1),0,IF(Paths!$P$180="Complete",IF(C1920=0,0,VLOOKUP(A1920,'Fleet register'!$A$7:$S$106,9,FALSE)*Paths!$R$180),"n.a."))</f>
        <v>0</v>
      </c>
    </row>
    <row r="1921" spans="1:20" ht="24" customHeight="1">
      <c r="A1921" s="1" t="str">
        <f>Paths!$A$181</f>
        <v>T044</v>
      </c>
      <c r="B1921" s="1">
        <f>Paths!$B$181</f>
        <v>2</v>
      </c>
      <c r="C1921" s="1">
        <v>0</v>
      </c>
      <c r="D1921" s="1">
        <v>181</v>
      </c>
      <c r="E1921" s="1">
        <f>IF(OR(Paths!$C$181=0,C1921=0),0,MAX(0,MIN(C1921*12,Paths!$E$181)-(C1921-1)*12))</f>
        <v>0</v>
      </c>
      <c r="F1921" s="1">
        <f>IF(OR(Paths!$C$181=0,C1921=0),0,12-E1921)</f>
        <v>0</v>
      </c>
      <c r="G1921" s="16">
        <f>IF(NOT(Paths!$C$181=1),0,IF(Paths!$P$181="Complete",E1921/12*(Paths!$J$181*(1+'Operating costs'!$B$51)^MAX(0,C1921-1)+Paths!$K$181*(1+'Operating costs'!$B$53)^MAX(0,C1921-1)),"n.a."))</f>
        <v>0</v>
      </c>
      <c r="H1921" s="16">
        <f>IF(NOT(Paths!$C$181=1),0,IF(Paths!$P$181="Complete",F1921/12*(Paths!$L$181*(1+IF(Paths!$D$181="EV",'Operating costs'!$B$52,'Operating costs'!$B$51))^MAX(0,C1921-1)+Paths!$M$181*(1+'Operating costs'!$B$53)^MAX(0,C1921-1)),"n.a."))</f>
        <v>0</v>
      </c>
      <c r="I1921" s="16">
        <f>IF(NOT(Paths!$C$181=1),0,IF(Paths!$P$181="Complete",IF(IF(Paths!$E$181=0,C1921=0,AND(C1921&gt;0,Paths!$E$181&gt;(C1921-1)*12,Paths!$E$181&lt;=C1921*12)),Paths!$G$181,0),"n.a."))</f>
        <v>0</v>
      </c>
      <c r="J1921" s="16">
        <f>IF(NOT(Paths!$C$181=1),0,IF(Paths!$P$181="Complete",IF(IF(Paths!$E$181=0,C1921=0,AND(C1921&gt;0,Paths!$E$181&gt;(C1921-1)*12,Paths!$E$181&lt;=C1921*12)),Paths!$H$181,0),"n.a."))</f>
        <v>0</v>
      </c>
      <c r="K1921" s="16">
        <f>IF(NOT(Paths!$C$181=1),0,IF(Paths!$P$181="Complete",IF(IF(Paths!$O$181=0,C1921=0,AND(C1921&gt;0,Paths!$O$181&gt;(C1921-1)*12,Paths!$O$181&lt;=C1921*12)),Paths!$N$181,0),"n.a."))</f>
        <v>0</v>
      </c>
      <c r="L1921" s="16">
        <f>IF(NOT(Paths!$C$181=1),0,IF(Paths!$P$181="Complete",IF(C1921=10,Paths!$I$181,0),"n.a."))</f>
        <v>0</v>
      </c>
      <c r="M1921" s="16">
        <f>IF(NOT(Paths!$C$181=1),0,IF(Paths!$P$181="Complete",IF(AND(Paths!$D$181="EV",Paths!$E$181&lt;120,Paths!$E$181+'Operating costs'!$B$65&gt;Paths!$E$181,Paths!$E$181+'Operating costs'!$B$65&lt;=120,IF(Paths!$E$181+'Operating costs'!$B$65=0,C1921=0,AND(C1921&gt;0,Paths!$E$181+'Operating costs'!$B$65&gt;(C1921-1)*12,Paths!$E$181+'Operating costs'!$B$65&lt;=C1921*12))),'Operating costs'!$B$64,0)+IF(AND('Operating costs'!$B$67&gt;0,'Operating costs'!$B$67&lt;=120,OR(Paths!$D$181="ICE",'Operating costs'!$B$67&lt;=Paths!$E$181),IF('Operating costs'!$B$67=0,C1921=0,AND(C1921&gt;0,'Operating costs'!$B$67&gt;(C1921-1)*12,'Operating costs'!$B$67&lt;=C1921*12))),'Operating costs'!$B$66,0),"n.a."))</f>
        <v>0</v>
      </c>
      <c r="N1921" s="16">
        <f>IF(NOT(Paths!$C$181=1),0,IF(Paths!$P$181="Complete",SUM(G1921:I1921)-J1921-K1921-L1921+M1921+IF(C1921=0,Paths!$F$181,0)+IF(IF(Paths!$E$181=0,C1921=0,AND(C1921&gt;0,Paths!$E$181&gt;(C1921-1)*12,Paths!$E$181&lt;=C1921*12)),VLOOKUP(A1921,'Fleet register'!$A$7:$S$106,16,FALSE),0),"n.a."))</f>
        <v>0</v>
      </c>
      <c r="O1921" s="16">
        <f>IF(NOT(Paths!$C$181=1),0,IF(Paths!$P$181="Complete",N1921-IF(C1921=0,Paths!$F$181,0),"n.a."))</f>
        <v>0</v>
      </c>
      <c r="P1921" s="16">
        <f>IF(NOT(Paths!$C$181=1),0,IF(Paths!$P$181="Complete",O1921+L1921,"n.a."))</f>
        <v>0</v>
      </c>
      <c r="Q1921" s="16">
        <f>IF(NOT(Paths!$C$181=1),0,IF(Paths!$P$181="Complete",N1921*(1+'Operating costs'!$B$54)^-C1921,"n.a."))</f>
        <v>0</v>
      </c>
      <c r="R1921" s="16">
        <f>IF(NOT(Paths!$C$181=1),0,IF(Paths!$P$181="Complete",IF(AND(C1921=0,Paths!$E$181=0),I1921-J1921-K1921+VLOOKUP(A1921,'Fleet register'!$A$7:$S$106,15,FALSE)+VLOOKUP(A1921,'Fleet register'!$A$7:$S$106,16,FALSE),0),"n.a."))</f>
        <v>0</v>
      </c>
      <c r="S1921" s="1">
        <f>IF(NOT(Paths!$C$181=1),0,IF(Paths!$P$181="Complete",IF(C1921=0,0,Paths!$S$181*Paths!$R$181),"n.a."))</f>
        <v>0</v>
      </c>
      <c r="T1921" s="1">
        <f>IF(NOT(Paths!$C$181=1),0,IF(Paths!$P$181="Complete",IF(C1921=0,0,VLOOKUP(A1921,'Fleet register'!$A$7:$S$106,9,FALSE)*Paths!$R$181),"n.a."))</f>
        <v>0</v>
      </c>
    </row>
    <row r="1922" spans="1:20" ht="24" customHeight="1">
      <c r="A1922" s="1" t="str">
        <f>Paths!$A$181</f>
        <v>T044</v>
      </c>
      <c r="B1922" s="1">
        <f>Paths!$B$181</f>
        <v>2</v>
      </c>
      <c r="C1922" s="1">
        <v>1</v>
      </c>
      <c r="D1922" s="1">
        <v>181</v>
      </c>
      <c r="E1922" s="1">
        <f>IF(OR(Paths!$C$181=0,C1922=0),0,MAX(0,MIN(C1922*12,Paths!$E$181)-(C1922-1)*12))</f>
        <v>0</v>
      </c>
      <c r="F1922" s="1">
        <f>IF(OR(Paths!$C$181=0,C1922=0),0,12-E1922)</f>
        <v>0</v>
      </c>
      <c r="G1922" s="16">
        <f>IF(NOT(Paths!$C$181=1),0,IF(Paths!$P$181="Complete",E1922/12*(Paths!$J$181*(1+'Operating costs'!$B$51)^MAX(0,C1922-1)+Paths!$K$181*(1+'Operating costs'!$B$53)^MAX(0,C1922-1)),"n.a."))</f>
        <v>0</v>
      </c>
      <c r="H1922" s="16">
        <f>IF(NOT(Paths!$C$181=1),0,IF(Paths!$P$181="Complete",F1922/12*(Paths!$L$181*(1+IF(Paths!$D$181="EV",'Operating costs'!$B$52,'Operating costs'!$B$51))^MAX(0,C1922-1)+Paths!$M$181*(1+'Operating costs'!$B$53)^MAX(0,C1922-1)),"n.a."))</f>
        <v>0</v>
      </c>
      <c r="I1922" s="16">
        <f>IF(NOT(Paths!$C$181=1),0,IF(Paths!$P$181="Complete",IF(IF(Paths!$E$181=0,C1922=0,AND(C1922&gt;0,Paths!$E$181&gt;(C1922-1)*12,Paths!$E$181&lt;=C1922*12)),Paths!$G$181,0),"n.a."))</f>
        <v>0</v>
      </c>
      <c r="J1922" s="16">
        <f>IF(NOT(Paths!$C$181=1),0,IF(Paths!$P$181="Complete",IF(IF(Paths!$E$181=0,C1922=0,AND(C1922&gt;0,Paths!$E$181&gt;(C1922-1)*12,Paths!$E$181&lt;=C1922*12)),Paths!$H$181,0),"n.a."))</f>
        <v>0</v>
      </c>
      <c r="K1922" s="16">
        <f>IF(NOT(Paths!$C$181=1),0,IF(Paths!$P$181="Complete",IF(IF(Paths!$O$181=0,C1922=0,AND(C1922&gt;0,Paths!$O$181&gt;(C1922-1)*12,Paths!$O$181&lt;=C1922*12)),Paths!$N$181,0),"n.a."))</f>
        <v>0</v>
      </c>
      <c r="L1922" s="16">
        <f>IF(NOT(Paths!$C$181=1),0,IF(Paths!$P$181="Complete",IF(C1922=10,Paths!$I$181,0),"n.a."))</f>
        <v>0</v>
      </c>
      <c r="M1922" s="16">
        <f>IF(NOT(Paths!$C$181=1),0,IF(Paths!$P$181="Complete",IF(AND(Paths!$D$181="EV",Paths!$E$181&lt;120,Paths!$E$181+'Operating costs'!$B$65&gt;Paths!$E$181,Paths!$E$181+'Operating costs'!$B$65&lt;=120,IF(Paths!$E$181+'Operating costs'!$B$65=0,C1922=0,AND(C1922&gt;0,Paths!$E$181+'Operating costs'!$B$65&gt;(C1922-1)*12,Paths!$E$181+'Operating costs'!$B$65&lt;=C1922*12))),'Operating costs'!$B$64,0)+IF(AND('Operating costs'!$B$67&gt;0,'Operating costs'!$B$67&lt;=120,OR(Paths!$D$181="ICE",'Operating costs'!$B$67&lt;=Paths!$E$181),IF('Operating costs'!$B$67=0,C1922=0,AND(C1922&gt;0,'Operating costs'!$B$67&gt;(C1922-1)*12,'Operating costs'!$B$67&lt;=C1922*12))),'Operating costs'!$B$66,0),"n.a."))</f>
        <v>0</v>
      </c>
      <c r="N1922" s="16">
        <f>IF(NOT(Paths!$C$181=1),0,IF(Paths!$P$181="Complete",SUM(G1922:I1922)-J1922-K1922-L1922+M1922+IF(C1922=0,Paths!$F$181,0)+IF(IF(Paths!$E$181=0,C1922=0,AND(C1922&gt;0,Paths!$E$181&gt;(C1922-1)*12,Paths!$E$181&lt;=C1922*12)),VLOOKUP(A1922,'Fleet register'!$A$7:$S$106,16,FALSE),0),"n.a."))</f>
        <v>0</v>
      </c>
      <c r="O1922" s="16">
        <f>IF(NOT(Paths!$C$181=1),0,IF(Paths!$P$181="Complete",N1922-IF(C1922=0,Paths!$F$181,0),"n.a."))</f>
        <v>0</v>
      </c>
      <c r="P1922" s="16">
        <f>IF(NOT(Paths!$C$181=1),0,IF(Paths!$P$181="Complete",O1922+L1922,"n.a."))</f>
        <v>0</v>
      </c>
      <c r="Q1922" s="16">
        <f>IF(NOT(Paths!$C$181=1),0,IF(Paths!$P$181="Complete",N1922*(1+'Operating costs'!$B$54)^-C1922,"n.a."))</f>
        <v>0</v>
      </c>
      <c r="R1922" s="16">
        <f>IF(NOT(Paths!$C$181=1),0,IF(Paths!$P$181="Complete",IF(AND(C1922=0,Paths!$E$181=0),I1922-J1922-K1922+VLOOKUP(A1922,'Fleet register'!$A$7:$S$106,15,FALSE)+VLOOKUP(A1922,'Fleet register'!$A$7:$S$106,16,FALSE),0),"n.a."))</f>
        <v>0</v>
      </c>
      <c r="S1922" s="1">
        <f>IF(NOT(Paths!$C$181=1),0,IF(Paths!$P$181="Complete",IF(C1922=0,0,Paths!$S$181*Paths!$R$181),"n.a."))</f>
        <v>0</v>
      </c>
      <c r="T1922" s="1">
        <f>IF(NOT(Paths!$C$181=1),0,IF(Paths!$P$181="Complete",IF(C1922=0,0,VLOOKUP(A1922,'Fleet register'!$A$7:$S$106,9,FALSE)*Paths!$R$181),"n.a."))</f>
        <v>0</v>
      </c>
    </row>
    <row r="1923" spans="1:20" ht="24" customHeight="1">
      <c r="A1923" s="1" t="str">
        <f>Paths!$A$181</f>
        <v>T044</v>
      </c>
      <c r="B1923" s="1">
        <f>Paths!$B$181</f>
        <v>2</v>
      </c>
      <c r="C1923" s="1">
        <v>2</v>
      </c>
      <c r="D1923" s="1">
        <v>181</v>
      </c>
      <c r="E1923" s="1">
        <f>IF(OR(Paths!$C$181=0,C1923=0),0,MAX(0,MIN(C1923*12,Paths!$E$181)-(C1923-1)*12))</f>
        <v>0</v>
      </c>
      <c r="F1923" s="1">
        <f>IF(OR(Paths!$C$181=0,C1923=0),0,12-E1923)</f>
        <v>0</v>
      </c>
      <c r="G1923" s="16">
        <f>IF(NOT(Paths!$C$181=1),0,IF(Paths!$P$181="Complete",E1923/12*(Paths!$J$181*(1+'Operating costs'!$B$51)^MAX(0,C1923-1)+Paths!$K$181*(1+'Operating costs'!$B$53)^MAX(0,C1923-1)),"n.a."))</f>
        <v>0</v>
      </c>
      <c r="H1923" s="16">
        <f>IF(NOT(Paths!$C$181=1),0,IF(Paths!$P$181="Complete",F1923/12*(Paths!$L$181*(1+IF(Paths!$D$181="EV",'Operating costs'!$B$52,'Operating costs'!$B$51))^MAX(0,C1923-1)+Paths!$M$181*(1+'Operating costs'!$B$53)^MAX(0,C1923-1)),"n.a."))</f>
        <v>0</v>
      </c>
      <c r="I1923" s="16">
        <f>IF(NOT(Paths!$C$181=1),0,IF(Paths!$P$181="Complete",IF(IF(Paths!$E$181=0,C1923=0,AND(C1923&gt;0,Paths!$E$181&gt;(C1923-1)*12,Paths!$E$181&lt;=C1923*12)),Paths!$G$181,0),"n.a."))</f>
        <v>0</v>
      </c>
      <c r="J1923" s="16">
        <f>IF(NOT(Paths!$C$181=1),0,IF(Paths!$P$181="Complete",IF(IF(Paths!$E$181=0,C1923=0,AND(C1923&gt;0,Paths!$E$181&gt;(C1923-1)*12,Paths!$E$181&lt;=C1923*12)),Paths!$H$181,0),"n.a."))</f>
        <v>0</v>
      </c>
      <c r="K1923" s="16">
        <f>IF(NOT(Paths!$C$181=1),0,IF(Paths!$P$181="Complete",IF(IF(Paths!$O$181=0,C1923=0,AND(C1923&gt;0,Paths!$O$181&gt;(C1923-1)*12,Paths!$O$181&lt;=C1923*12)),Paths!$N$181,0),"n.a."))</f>
        <v>0</v>
      </c>
      <c r="L1923" s="16">
        <f>IF(NOT(Paths!$C$181=1),0,IF(Paths!$P$181="Complete",IF(C1923=10,Paths!$I$181,0),"n.a."))</f>
        <v>0</v>
      </c>
      <c r="M1923" s="16">
        <f>IF(NOT(Paths!$C$181=1),0,IF(Paths!$P$181="Complete",IF(AND(Paths!$D$181="EV",Paths!$E$181&lt;120,Paths!$E$181+'Operating costs'!$B$65&gt;Paths!$E$181,Paths!$E$181+'Operating costs'!$B$65&lt;=120,IF(Paths!$E$181+'Operating costs'!$B$65=0,C1923=0,AND(C1923&gt;0,Paths!$E$181+'Operating costs'!$B$65&gt;(C1923-1)*12,Paths!$E$181+'Operating costs'!$B$65&lt;=C1923*12))),'Operating costs'!$B$64,0)+IF(AND('Operating costs'!$B$67&gt;0,'Operating costs'!$B$67&lt;=120,OR(Paths!$D$181="ICE",'Operating costs'!$B$67&lt;=Paths!$E$181),IF('Operating costs'!$B$67=0,C1923=0,AND(C1923&gt;0,'Operating costs'!$B$67&gt;(C1923-1)*12,'Operating costs'!$B$67&lt;=C1923*12))),'Operating costs'!$B$66,0),"n.a."))</f>
        <v>0</v>
      </c>
      <c r="N1923" s="16">
        <f>IF(NOT(Paths!$C$181=1),0,IF(Paths!$P$181="Complete",SUM(G1923:I1923)-J1923-K1923-L1923+M1923+IF(C1923=0,Paths!$F$181,0)+IF(IF(Paths!$E$181=0,C1923=0,AND(C1923&gt;0,Paths!$E$181&gt;(C1923-1)*12,Paths!$E$181&lt;=C1923*12)),VLOOKUP(A1923,'Fleet register'!$A$7:$S$106,16,FALSE),0),"n.a."))</f>
        <v>0</v>
      </c>
      <c r="O1923" s="16">
        <f>IF(NOT(Paths!$C$181=1),0,IF(Paths!$P$181="Complete",N1923-IF(C1923=0,Paths!$F$181,0),"n.a."))</f>
        <v>0</v>
      </c>
      <c r="P1923" s="16">
        <f>IF(NOT(Paths!$C$181=1),0,IF(Paths!$P$181="Complete",O1923+L1923,"n.a."))</f>
        <v>0</v>
      </c>
      <c r="Q1923" s="16">
        <f>IF(NOT(Paths!$C$181=1),0,IF(Paths!$P$181="Complete",N1923*(1+'Operating costs'!$B$54)^-C1923,"n.a."))</f>
        <v>0</v>
      </c>
      <c r="R1923" s="16">
        <f>IF(NOT(Paths!$C$181=1),0,IF(Paths!$P$181="Complete",IF(AND(C1923=0,Paths!$E$181=0),I1923-J1923-K1923+VLOOKUP(A1923,'Fleet register'!$A$7:$S$106,15,FALSE)+VLOOKUP(A1923,'Fleet register'!$A$7:$S$106,16,FALSE),0),"n.a."))</f>
        <v>0</v>
      </c>
      <c r="S1923" s="1">
        <f>IF(NOT(Paths!$C$181=1),0,IF(Paths!$P$181="Complete",IF(C1923=0,0,Paths!$S$181*Paths!$R$181),"n.a."))</f>
        <v>0</v>
      </c>
      <c r="T1923" s="1">
        <f>IF(NOT(Paths!$C$181=1),0,IF(Paths!$P$181="Complete",IF(C1923=0,0,VLOOKUP(A1923,'Fleet register'!$A$7:$S$106,9,FALSE)*Paths!$R$181),"n.a."))</f>
        <v>0</v>
      </c>
    </row>
    <row r="1924" spans="1:20" ht="24" customHeight="1">
      <c r="A1924" s="1" t="str">
        <f>Paths!$A$181</f>
        <v>T044</v>
      </c>
      <c r="B1924" s="1">
        <f>Paths!$B$181</f>
        <v>2</v>
      </c>
      <c r="C1924" s="1">
        <v>3</v>
      </c>
      <c r="D1924" s="1">
        <v>181</v>
      </c>
      <c r="E1924" s="1">
        <f>IF(OR(Paths!$C$181=0,C1924=0),0,MAX(0,MIN(C1924*12,Paths!$E$181)-(C1924-1)*12))</f>
        <v>0</v>
      </c>
      <c r="F1924" s="1">
        <f>IF(OR(Paths!$C$181=0,C1924=0),0,12-E1924)</f>
        <v>0</v>
      </c>
      <c r="G1924" s="16">
        <f>IF(NOT(Paths!$C$181=1),0,IF(Paths!$P$181="Complete",E1924/12*(Paths!$J$181*(1+'Operating costs'!$B$51)^MAX(0,C1924-1)+Paths!$K$181*(1+'Operating costs'!$B$53)^MAX(0,C1924-1)),"n.a."))</f>
        <v>0</v>
      </c>
      <c r="H1924" s="16">
        <f>IF(NOT(Paths!$C$181=1),0,IF(Paths!$P$181="Complete",F1924/12*(Paths!$L$181*(1+IF(Paths!$D$181="EV",'Operating costs'!$B$52,'Operating costs'!$B$51))^MAX(0,C1924-1)+Paths!$M$181*(1+'Operating costs'!$B$53)^MAX(0,C1924-1)),"n.a."))</f>
        <v>0</v>
      </c>
      <c r="I1924" s="16">
        <f>IF(NOT(Paths!$C$181=1),0,IF(Paths!$P$181="Complete",IF(IF(Paths!$E$181=0,C1924=0,AND(C1924&gt;0,Paths!$E$181&gt;(C1924-1)*12,Paths!$E$181&lt;=C1924*12)),Paths!$G$181,0),"n.a."))</f>
        <v>0</v>
      </c>
      <c r="J1924" s="16">
        <f>IF(NOT(Paths!$C$181=1),0,IF(Paths!$P$181="Complete",IF(IF(Paths!$E$181=0,C1924=0,AND(C1924&gt;0,Paths!$E$181&gt;(C1924-1)*12,Paths!$E$181&lt;=C1924*12)),Paths!$H$181,0),"n.a."))</f>
        <v>0</v>
      </c>
      <c r="K1924" s="16">
        <f>IF(NOT(Paths!$C$181=1),0,IF(Paths!$P$181="Complete",IF(IF(Paths!$O$181=0,C1924=0,AND(C1924&gt;0,Paths!$O$181&gt;(C1924-1)*12,Paths!$O$181&lt;=C1924*12)),Paths!$N$181,0),"n.a."))</f>
        <v>0</v>
      </c>
      <c r="L1924" s="16">
        <f>IF(NOT(Paths!$C$181=1),0,IF(Paths!$P$181="Complete",IF(C1924=10,Paths!$I$181,0),"n.a."))</f>
        <v>0</v>
      </c>
      <c r="M1924" s="16">
        <f>IF(NOT(Paths!$C$181=1),0,IF(Paths!$P$181="Complete",IF(AND(Paths!$D$181="EV",Paths!$E$181&lt;120,Paths!$E$181+'Operating costs'!$B$65&gt;Paths!$E$181,Paths!$E$181+'Operating costs'!$B$65&lt;=120,IF(Paths!$E$181+'Operating costs'!$B$65=0,C1924=0,AND(C1924&gt;0,Paths!$E$181+'Operating costs'!$B$65&gt;(C1924-1)*12,Paths!$E$181+'Operating costs'!$B$65&lt;=C1924*12))),'Operating costs'!$B$64,0)+IF(AND('Operating costs'!$B$67&gt;0,'Operating costs'!$B$67&lt;=120,OR(Paths!$D$181="ICE",'Operating costs'!$B$67&lt;=Paths!$E$181),IF('Operating costs'!$B$67=0,C1924=0,AND(C1924&gt;0,'Operating costs'!$B$67&gt;(C1924-1)*12,'Operating costs'!$B$67&lt;=C1924*12))),'Operating costs'!$B$66,0),"n.a."))</f>
        <v>0</v>
      </c>
      <c r="N1924" s="16">
        <f>IF(NOT(Paths!$C$181=1),0,IF(Paths!$P$181="Complete",SUM(G1924:I1924)-J1924-K1924-L1924+M1924+IF(C1924=0,Paths!$F$181,0)+IF(IF(Paths!$E$181=0,C1924=0,AND(C1924&gt;0,Paths!$E$181&gt;(C1924-1)*12,Paths!$E$181&lt;=C1924*12)),VLOOKUP(A1924,'Fleet register'!$A$7:$S$106,16,FALSE),0),"n.a."))</f>
        <v>0</v>
      </c>
      <c r="O1924" s="16">
        <f>IF(NOT(Paths!$C$181=1),0,IF(Paths!$P$181="Complete",N1924-IF(C1924=0,Paths!$F$181,0),"n.a."))</f>
        <v>0</v>
      </c>
      <c r="P1924" s="16">
        <f>IF(NOT(Paths!$C$181=1),0,IF(Paths!$P$181="Complete",O1924+L1924,"n.a."))</f>
        <v>0</v>
      </c>
      <c r="Q1924" s="16">
        <f>IF(NOT(Paths!$C$181=1),0,IF(Paths!$P$181="Complete",N1924*(1+'Operating costs'!$B$54)^-C1924,"n.a."))</f>
        <v>0</v>
      </c>
      <c r="R1924" s="16">
        <f>IF(NOT(Paths!$C$181=1),0,IF(Paths!$P$181="Complete",IF(AND(C1924=0,Paths!$E$181=0),I1924-J1924-K1924+VLOOKUP(A1924,'Fleet register'!$A$7:$S$106,15,FALSE)+VLOOKUP(A1924,'Fleet register'!$A$7:$S$106,16,FALSE),0),"n.a."))</f>
        <v>0</v>
      </c>
      <c r="S1924" s="1">
        <f>IF(NOT(Paths!$C$181=1),0,IF(Paths!$P$181="Complete",IF(C1924=0,0,Paths!$S$181*Paths!$R$181),"n.a."))</f>
        <v>0</v>
      </c>
      <c r="T1924" s="1">
        <f>IF(NOT(Paths!$C$181=1),0,IF(Paths!$P$181="Complete",IF(C1924=0,0,VLOOKUP(A1924,'Fleet register'!$A$7:$S$106,9,FALSE)*Paths!$R$181),"n.a."))</f>
        <v>0</v>
      </c>
    </row>
    <row r="1925" spans="1:20" ht="24" customHeight="1">
      <c r="A1925" s="1" t="str">
        <f>Paths!$A$181</f>
        <v>T044</v>
      </c>
      <c r="B1925" s="1">
        <f>Paths!$B$181</f>
        <v>2</v>
      </c>
      <c r="C1925" s="1">
        <v>4</v>
      </c>
      <c r="D1925" s="1">
        <v>181</v>
      </c>
      <c r="E1925" s="1">
        <f>IF(OR(Paths!$C$181=0,C1925=0),0,MAX(0,MIN(C1925*12,Paths!$E$181)-(C1925-1)*12))</f>
        <v>0</v>
      </c>
      <c r="F1925" s="1">
        <f>IF(OR(Paths!$C$181=0,C1925=0),0,12-E1925)</f>
        <v>0</v>
      </c>
      <c r="G1925" s="16">
        <f>IF(NOT(Paths!$C$181=1),0,IF(Paths!$P$181="Complete",E1925/12*(Paths!$J$181*(1+'Operating costs'!$B$51)^MAX(0,C1925-1)+Paths!$K$181*(1+'Operating costs'!$B$53)^MAX(0,C1925-1)),"n.a."))</f>
        <v>0</v>
      </c>
      <c r="H1925" s="16">
        <f>IF(NOT(Paths!$C$181=1),0,IF(Paths!$P$181="Complete",F1925/12*(Paths!$L$181*(1+IF(Paths!$D$181="EV",'Operating costs'!$B$52,'Operating costs'!$B$51))^MAX(0,C1925-1)+Paths!$M$181*(1+'Operating costs'!$B$53)^MAX(0,C1925-1)),"n.a."))</f>
        <v>0</v>
      </c>
      <c r="I1925" s="16">
        <f>IF(NOT(Paths!$C$181=1),0,IF(Paths!$P$181="Complete",IF(IF(Paths!$E$181=0,C1925=0,AND(C1925&gt;0,Paths!$E$181&gt;(C1925-1)*12,Paths!$E$181&lt;=C1925*12)),Paths!$G$181,0),"n.a."))</f>
        <v>0</v>
      </c>
      <c r="J1925" s="16">
        <f>IF(NOT(Paths!$C$181=1),0,IF(Paths!$P$181="Complete",IF(IF(Paths!$E$181=0,C1925=0,AND(C1925&gt;0,Paths!$E$181&gt;(C1925-1)*12,Paths!$E$181&lt;=C1925*12)),Paths!$H$181,0),"n.a."))</f>
        <v>0</v>
      </c>
      <c r="K1925" s="16">
        <f>IF(NOT(Paths!$C$181=1),0,IF(Paths!$P$181="Complete",IF(IF(Paths!$O$181=0,C1925=0,AND(C1925&gt;0,Paths!$O$181&gt;(C1925-1)*12,Paths!$O$181&lt;=C1925*12)),Paths!$N$181,0),"n.a."))</f>
        <v>0</v>
      </c>
      <c r="L1925" s="16">
        <f>IF(NOT(Paths!$C$181=1),0,IF(Paths!$P$181="Complete",IF(C1925=10,Paths!$I$181,0),"n.a."))</f>
        <v>0</v>
      </c>
      <c r="M1925" s="16">
        <f>IF(NOT(Paths!$C$181=1),0,IF(Paths!$P$181="Complete",IF(AND(Paths!$D$181="EV",Paths!$E$181&lt;120,Paths!$E$181+'Operating costs'!$B$65&gt;Paths!$E$181,Paths!$E$181+'Operating costs'!$B$65&lt;=120,IF(Paths!$E$181+'Operating costs'!$B$65=0,C1925=0,AND(C1925&gt;0,Paths!$E$181+'Operating costs'!$B$65&gt;(C1925-1)*12,Paths!$E$181+'Operating costs'!$B$65&lt;=C1925*12))),'Operating costs'!$B$64,0)+IF(AND('Operating costs'!$B$67&gt;0,'Operating costs'!$B$67&lt;=120,OR(Paths!$D$181="ICE",'Operating costs'!$B$67&lt;=Paths!$E$181),IF('Operating costs'!$B$67=0,C1925=0,AND(C1925&gt;0,'Operating costs'!$B$67&gt;(C1925-1)*12,'Operating costs'!$B$67&lt;=C1925*12))),'Operating costs'!$B$66,0),"n.a."))</f>
        <v>0</v>
      </c>
      <c r="N1925" s="16">
        <f>IF(NOT(Paths!$C$181=1),0,IF(Paths!$P$181="Complete",SUM(G1925:I1925)-J1925-K1925-L1925+M1925+IF(C1925=0,Paths!$F$181,0)+IF(IF(Paths!$E$181=0,C1925=0,AND(C1925&gt;0,Paths!$E$181&gt;(C1925-1)*12,Paths!$E$181&lt;=C1925*12)),VLOOKUP(A1925,'Fleet register'!$A$7:$S$106,16,FALSE),0),"n.a."))</f>
        <v>0</v>
      </c>
      <c r="O1925" s="16">
        <f>IF(NOT(Paths!$C$181=1),0,IF(Paths!$P$181="Complete",N1925-IF(C1925=0,Paths!$F$181,0),"n.a."))</f>
        <v>0</v>
      </c>
      <c r="P1925" s="16">
        <f>IF(NOT(Paths!$C$181=1),0,IF(Paths!$P$181="Complete",O1925+L1925,"n.a."))</f>
        <v>0</v>
      </c>
      <c r="Q1925" s="16">
        <f>IF(NOT(Paths!$C$181=1),0,IF(Paths!$P$181="Complete",N1925*(1+'Operating costs'!$B$54)^-C1925,"n.a."))</f>
        <v>0</v>
      </c>
      <c r="R1925" s="16">
        <f>IF(NOT(Paths!$C$181=1),0,IF(Paths!$P$181="Complete",IF(AND(C1925=0,Paths!$E$181=0),I1925-J1925-K1925+VLOOKUP(A1925,'Fleet register'!$A$7:$S$106,15,FALSE)+VLOOKUP(A1925,'Fleet register'!$A$7:$S$106,16,FALSE),0),"n.a."))</f>
        <v>0</v>
      </c>
      <c r="S1925" s="1">
        <f>IF(NOT(Paths!$C$181=1),0,IF(Paths!$P$181="Complete",IF(C1925=0,0,Paths!$S$181*Paths!$R$181),"n.a."))</f>
        <v>0</v>
      </c>
      <c r="T1925" s="1">
        <f>IF(NOT(Paths!$C$181=1),0,IF(Paths!$P$181="Complete",IF(C1925=0,0,VLOOKUP(A1925,'Fleet register'!$A$7:$S$106,9,FALSE)*Paths!$R$181),"n.a."))</f>
        <v>0</v>
      </c>
    </row>
    <row r="1926" spans="1:20" ht="24" customHeight="1">
      <c r="A1926" s="1" t="str">
        <f>Paths!$A$181</f>
        <v>T044</v>
      </c>
      <c r="B1926" s="1">
        <f>Paths!$B$181</f>
        <v>2</v>
      </c>
      <c r="C1926" s="1">
        <v>5</v>
      </c>
      <c r="D1926" s="1">
        <v>181</v>
      </c>
      <c r="E1926" s="1">
        <f>IF(OR(Paths!$C$181=0,C1926=0),0,MAX(0,MIN(C1926*12,Paths!$E$181)-(C1926-1)*12))</f>
        <v>0</v>
      </c>
      <c r="F1926" s="1">
        <f>IF(OR(Paths!$C$181=0,C1926=0),0,12-E1926)</f>
        <v>0</v>
      </c>
      <c r="G1926" s="16">
        <f>IF(NOT(Paths!$C$181=1),0,IF(Paths!$P$181="Complete",E1926/12*(Paths!$J$181*(1+'Operating costs'!$B$51)^MAX(0,C1926-1)+Paths!$K$181*(1+'Operating costs'!$B$53)^MAX(0,C1926-1)),"n.a."))</f>
        <v>0</v>
      </c>
      <c r="H1926" s="16">
        <f>IF(NOT(Paths!$C$181=1),0,IF(Paths!$P$181="Complete",F1926/12*(Paths!$L$181*(1+IF(Paths!$D$181="EV",'Operating costs'!$B$52,'Operating costs'!$B$51))^MAX(0,C1926-1)+Paths!$M$181*(1+'Operating costs'!$B$53)^MAX(0,C1926-1)),"n.a."))</f>
        <v>0</v>
      </c>
      <c r="I1926" s="16">
        <f>IF(NOT(Paths!$C$181=1),0,IF(Paths!$P$181="Complete",IF(IF(Paths!$E$181=0,C1926=0,AND(C1926&gt;0,Paths!$E$181&gt;(C1926-1)*12,Paths!$E$181&lt;=C1926*12)),Paths!$G$181,0),"n.a."))</f>
        <v>0</v>
      </c>
      <c r="J1926" s="16">
        <f>IF(NOT(Paths!$C$181=1),0,IF(Paths!$P$181="Complete",IF(IF(Paths!$E$181=0,C1926=0,AND(C1926&gt;0,Paths!$E$181&gt;(C1926-1)*12,Paths!$E$181&lt;=C1926*12)),Paths!$H$181,0),"n.a."))</f>
        <v>0</v>
      </c>
      <c r="K1926" s="16">
        <f>IF(NOT(Paths!$C$181=1),0,IF(Paths!$P$181="Complete",IF(IF(Paths!$O$181=0,C1926=0,AND(C1926&gt;0,Paths!$O$181&gt;(C1926-1)*12,Paths!$O$181&lt;=C1926*12)),Paths!$N$181,0),"n.a."))</f>
        <v>0</v>
      </c>
      <c r="L1926" s="16">
        <f>IF(NOT(Paths!$C$181=1),0,IF(Paths!$P$181="Complete",IF(C1926=10,Paths!$I$181,0),"n.a."))</f>
        <v>0</v>
      </c>
      <c r="M1926" s="16">
        <f>IF(NOT(Paths!$C$181=1),0,IF(Paths!$P$181="Complete",IF(AND(Paths!$D$181="EV",Paths!$E$181&lt;120,Paths!$E$181+'Operating costs'!$B$65&gt;Paths!$E$181,Paths!$E$181+'Operating costs'!$B$65&lt;=120,IF(Paths!$E$181+'Operating costs'!$B$65=0,C1926=0,AND(C1926&gt;0,Paths!$E$181+'Operating costs'!$B$65&gt;(C1926-1)*12,Paths!$E$181+'Operating costs'!$B$65&lt;=C1926*12))),'Operating costs'!$B$64,0)+IF(AND('Operating costs'!$B$67&gt;0,'Operating costs'!$B$67&lt;=120,OR(Paths!$D$181="ICE",'Operating costs'!$B$67&lt;=Paths!$E$181),IF('Operating costs'!$B$67=0,C1926=0,AND(C1926&gt;0,'Operating costs'!$B$67&gt;(C1926-1)*12,'Operating costs'!$B$67&lt;=C1926*12))),'Operating costs'!$B$66,0),"n.a."))</f>
        <v>0</v>
      </c>
      <c r="N1926" s="16">
        <f>IF(NOT(Paths!$C$181=1),0,IF(Paths!$P$181="Complete",SUM(G1926:I1926)-J1926-K1926-L1926+M1926+IF(C1926=0,Paths!$F$181,0)+IF(IF(Paths!$E$181=0,C1926=0,AND(C1926&gt;0,Paths!$E$181&gt;(C1926-1)*12,Paths!$E$181&lt;=C1926*12)),VLOOKUP(A1926,'Fleet register'!$A$7:$S$106,16,FALSE),0),"n.a."))</f>
        <v>0</v>
      </c>
      <c r="O1926" s="16">
        <f>IF(NOT(Paths!$C$181=1),0,IF(Paths!$P$181="Complete",N1926-IF(C1926=0,Paths!$F$181,0),"n.a."))</f>
        <v>0</v>
      </c>
      <c r="P1926" s="16">
        <f>IF(NOT(Paths!$C$181=1),0,IF(Paths!$P$181="Complete",O1926+L1926,"n.a."))</f>
        <v>0</v>
      </c>
      <c r="Q1926" s="16">
        <f>IF(NOT(Paths!$C$181=1),0,IF(Paths!$P$181="Complete",N1926*(1+'Operating costs'!$B$54)^-C1926,"n.a."))</f>
        <v>0</v>
      </c>
      <c r="R1926" s="16">
        <f>IF(NOT(Paths!$C$181=1),0,IF(Paths!$P$181="Complete",IF(AND(C1926=0,Paths!$E$181=0),I1926-J1926-K1926+VLOOKUP(A1926,'Fleet register'!$A$7:$S$106,15,FALSE)+VLOOKUP(A1926,'Fleet register'!$A$7:$S$106,16,FALSE),0),"n.a."))</f>
        <v>0</v>
      </c>
      <c r="S1926" s="1">
        <f>IF(NOT(Paths!$C$181=1),0,IF(Paths!$P$181="Complete",IF(C1926=0,0,Paths!$S$181*Paths!$R$181),"n.a."))</f>
        <v>0</v>
      </c>
      <c r="T1926" s="1">
        <f>IF(NOT(Paths!$C$181=1),0,IF(Paths!$P$181="Complete",IF(C1926=0,0,VLOOKUP(A1926,'Fleet register'!$A$7:$S$106,9,FALSE)*Paths!$R$181),"n.a."))</f>
        <v>0</v>
      </c>
    </row>
    <row r="1927" spans="1:20" ht="24" customHeight="1">
      <c r="A1927" s="1" t="str">
        <f>Paths!$A$181</f>
        <v>T044</v>
      </c>
      <c r="B1927" s="1">
        <f>Paths!$B$181</f>
        <v>2</v>
      </c>
      <c r="C1927" s="1">
        <v>6</v>
      </c>
      <c r="D1927" s="1">
        <v>181</v>
      </c>
      <c r="E1927" s="1">
        <f>IF(OR(Paths!$C$181=0,C1927=0),0,MAX(0,MIN(C1927*12,Paths!$E$181)-(C1927-1)*12))</f>
        <v>0</v>
      </c>
      <c r="F1927" s="1">
        <f>IF(OR(Paths!$C$181=0,C1927=0),0,12-E1927)</f>
        <v>0</v>
      </c>
      <c r="G1927" s="16">
        <f>IF(NOT(Paths!$C$181=1),0,IF(Paths!$P$181="Complete",E1927/12*(Paths!$J$181*(1+'Operating costs'!$B$51)^MAX(0,C1927-1)+Paths!$K$181*(1+'Operating costs'!$B$53)^MAX(0,C1927-1)),"n.a."))</f>
        <v>0</v>
      </c>
      <c r="H1927" s="16">
        <f>IF(NOT(Paths!$C$181=1),0,IF(Paths!$P$181="Complete",F1927/12*(Paths!$L$181*(1+IF(Paths!$D$181="EV",'Operating costs'!$B$52,'Operating costs'!$B$51))^MAX(0,C1927-1)+Paths!$M$181*(1+'Operating costs'!$B$53)^MAX(0,C1927-1)),"n.a."))</f>
        <v>0</v>
      </c>
      <c r="I1927" s="16">
        <f>IF(NOT(Paths!$C$181=1),0,IF(Paths!$P$181="Complete",IF(IF(Paths!$E$181=0,C1927=0,AND(C1927&gt;0,Paths!$E$181&gt;(C1927-1)*12,Paths!$E$181&lt;=C1927*12)),Paths!$G$181,0),"n.a."))</f>
        <v>0</v>
      </c>
      <c r="J1927" s="16">
        <f>IF(NOT(Paths!$C$181=1),0,IF(Paths!$P$181="Complete",IF(IF(Paths!$E$181=0,C1927=0,AND(C1927&gt;0,Paths!$E$181&gt;(C1927-1)*12,Paths!$E$181&lt;=C1927*12)),Paths!$H$181,0),"n.a."))</f>
        <v>0</v>
      </c>
      <c r="K1927" s="16">
        <f>IF(NOT(Paths!$C$181=1),0,IF(Paths!$P$181="Complete",IF(IF(Paths!$O$181=0,C1927=0,AND(C1927&gt;0,Paths!$O$181&gt;(C1927-1)*12,Paths!$O$181&lt;=C1927*12)),Paths!$N$181,0),"n.a."))</f>
        <v>0</v>
      </c>
      <c r="L1927" s="16">
        <f>IF(NOT(Paths!$C$181=1),0,IF(Paths!$P$181="Complete",IF(C1927=10,Paths!$I$181,0),"n.a."))</f>
        <v>0</v>
      </c>
      <c r="M1927" s="16">
        <f>IF(NOT(Paths!$C$181=1),0,IF(Paths!$P$181="Complete",IF(AND(Paths!$D$181="EV",Paths!$E$181&lt;120,Paths!$E$181+'Operating costs'!$B$65&gt;Paths!$E$181,Paths!$E$181+'Operating costs'!$B$65&lt;=120,IF(Paths!$E$181+'Operating costs'!$B$65=0,C1927=0,AND(C1927&gt;0,Paths!$E$181+'Operating costs'!$B$65&gt;(C1927-1)*12,Paths!$E$181+'Operating costs'!$B$65&lt;=C1927*12))),'Operating costs'!$B$64,0)+IF(AND('Operating costs'!$B$67&gt;0,'Operating costs'!$B$67&lt;=120,OR(Paths!$D$181="ICE",'Operating costs'!$B$67&lt;=Paths!$E$181),IF('Operating costs'!$B$67=0,C1927=0,AND(C1927&gt;0,'Operating costs'!$B$67&gt;(C1927-1)*12,'Operating costs'!$B$67&lt;=C1927*12))),'Operating costs'!$B$66,0),"n.a."))</f>
        <v>0</v>
      </c>
      <c r="N1927" s="16">
        <f>IF(NOT(Paths!$C$181=1),0,IF(Paths!$P$181="Complete",SUM(G1927:I1927)-J1927-K1927-L1927+M1927+IF(C1927=0,Paths!$F$181,0)+IF(IF(Paths!$E$181=0,C1927=0,AND(C1927&gt;0,Paths!$E$181&gt;(C1927-1)*12,Paths!$E$181&lt;=C1927*12)),VLOOKUP(A1927,'Fleet register'!$A$7:$S$106,16,FALSE),0),"n.a."))</f>
        <v>0</v>
      </c>
      <c r="O1927" s="16">
        <f>IF(NOT(Paths!$C$181=1),0,IF(Paths!$P$181="Complete",N1927-IF(C1927=0,Paths!$F$181,0),"n.a."))</f>
        <v>0</v>
      </c>
      <c r="P1927" s="16">
        <f>IF(NOT(Paths!$C$181=1),0,IF(Paths!$P$181="Complete",O1927+L1927,"n.a."))</f>
        <v>0</v>
      </c>
      <c r="Q1927" s="16">
        <f>IF(NOT(Paths!$C$181=1),0,IF(Paths!$P$181="Complete",N1927*(1+'Operating costs'!$B$54)^-C1927,"n.a."))</f>
        <v>0</v>
      </c>
      <c r="R1927" s="16">
        <f>IF(NOT(Paths!$C$181=1),0,IF(Paths!$P$181="Complete",IF(AND(C1927=0,Paths!$E$181=0),I1927-J1927-K1927+VLOOKUP(A1927,'Fleet register'!$A$7:$S$106,15,FALSE)+VLOOKUP(A1927,'Fleet register'!$A$7:$S$106,16,FALSE),0),"n.a."))</f>
        <v>0</v>
      </c>
      <c r="S1927" s="1">
        <f>IF(NOT(Paths!$C$181=1),0,IF(Paths!$P$181="Complete",IF(C1927=0,0,Paths!$S$181*Paths!$R$181),"n.a."))</f>
        <v>0</v>
      </c>
      <c r="T1927" s="1">
        <f>IF(NOT(Paths!$C$181=1),0,IF(Paths!$P$181="Complete",IF(C1927=0,0,VLOOKUP(A1927,'Fleet register'!$A$7:$S$106,9,FALSE)*Paths!$R$181),"n.a."))</f>
        <v>0</v>
      </c>
    </row>
    <row r="1928" spans="1:20" ht="24" customHeight="1">
      <c r="A1928" s="1" t="str">
        <f>Paths!$A$181</f>
        <v>T044</v>
      </c>
      <c r="B1928" s="1">
        <f>Paths!$B$181</f>
        <v>2</v>
      </c>
      <c r="C1928" s="1">
        <v>7</v>
      </c>
      <c r="D1928" s="1">
        <v>181</v>
      </c>
      <c r="E1928" s="1">
        <f>IF(OR(Paths!$C$181=0,C1928=0),0,MAX(0,MIN(C1928*12,Paths!$E$181)-(C1928-1)*12))</f>
        <v>0</v>
      </c>
      <c r="F1928" s="1">
        <f>IF(OR(Paths!$C$181=0,C1928=0),0,12-E1928)</f>
        <v>0</v>
      </c>
      <c r="G1928" s="16">
        <f>IF(NOT(Paths!$C$181=1),0,IF(Paths!$P$181="Complete",E1928/12*(Paths!$J$181*(1+'Operating costs'!$B$51)^MAX(0,C1928-1)+Paths!$K$181*(1+'Operating costs'!$B$53)^MAX(0,C1928-1)),"n.a."))</f>
        <v>0</v>
      </c>
      <c r="H1928" s="16">
        <f>IF(NOT(Paths!$C$181=1),0,IF(Paths!$P$181="Complete",F1928/12*(Paths!$L$181*(1+IF(Paths!$D$181="EV",'Operating costs'!$B$52,'Operating costs'!$B$51))^MAX(0,C1928-1)+Paths!$M$181*(1+'Operating costs'!$B$53)^MAX(0,C1928-1)),"n.a."))</f>
        <v>0</v>
      </c>
      <c r="I1928" s="16">
        <f>IF(NOT(Paths!$C$181=1),0,IF(Paths!$P$181="Complete",IF(IF(Paths!$E$181=0,C1928=0,AND(C1928&gt;0,Paths!$E$181&gt;(C1928-1)*12,Paths!$E$181&lt;=C1928*12)),Paths!$G$181,0),"n.a."))</f>
        <v>0</v>
      </c>
      <c r="J1928" s="16">
        <f>IF(NOT(Paths!$C$181=1),0,IF(Paths!$P$181="Complete",IF(IF(Paths!$E$181=0,C1928=0,AND(C1928&gt;0,Paths!$E$181&gt;(C1928-1)*12,Paths!$E$181&lt;=C1928*12)),Paths!$H$181,0),"n.a."))</f>
        <v>0</v>
      </c>
      <c r="K1928" s="16">
        <f>IF(NOT(Paths!$C$181=1),0,IF(Paths!$P$181="Complete",IF(IF(Paths!$O$181=0,C1928=0,AND(C1928&gt;0,Paths!$O$181&gt;(C1928-1)*12,Paths!$O$181&lt;=C1928*12)),Paths!$N$181,0),"n.a."))</f>
        <v>0</v>
      </c>
      <c r="L1928" s="16">
        <f>IF(NOT(Paths!$C$181=1),0,IF(Paths!$P$181="Complete",IF(C1928=10,Paths!$I$181,0),"n.a."))</f>
        <v>0</v>
      </c>
      <c r="M1928" s="16">
        <f>IF(NOT(Paths!$C$181=1),0,IF(Paths!$P$181="Complete",IF(AND(Paths!$D$181="EV",Paths!$E$181&lt;120,Paths!$E$181+'Operating costs'!$B$65&gt;Paths!$E$181,Paths!$E$181+'Operating costs'!$B$65&lt;=120,IF(Paths!$E$181+'Operating costs'!$B$65=0,C1928=0,AND(C1928&gt;0,Paths!$E$181+'Operating costs'!$B$65&gt;(C1928-1)*12,Paths!$E$181+'Operating costs'!$B$65&lt;=C1928*12))),'Operating costs'!$B$64,0)+IF(AND('Operating costs'!$B$67&gt;0,'Operating costs'!$B$67&lt;=120,OR(Paths!$D$181="ICE",'Operating costs'!$B$67&lt;=Paths!$E$181),IF('Operating costs'!$B$67=0,C1928=0,AND(C1928&gt;0,'Operating costs'!$B$67&gt;(C1928-1)*12,'Operating costs'!$B$67&lt;=C1928*12))),'Operating costs'!$B$66,0),"n.a."))</f>
        <v>0</v>
      </c>
      <c r="N1928" s="16">
        <f>IF(NOT(Paths!$C$181=1),0,IF(Paths!$P$181="Complete",SUM(G1928:I1928)-J1928-K1928-L1928+M1928+IF(C1928=0,Paths!$F$181,0)+IF(IF(Paths!$E$181=0,C1928=0,AND(C1928&gt;0,Paths!$E$181&gt;(C1928-1)*12,Paths!$E$181&lt;=C1928*12)),VLOOKUP(A1928,'Fleet register'!$A$7:$S$106,16,FALSE),0),"n.a."))</f>
        <v>0</v>
      </c>
      <c r="O1928" s="16">
        <f>IF(NOT(Paths!$C$181=1),0,IF(Paths!$P$181="Complete",N1928-IF(C1928=0,Paths!$F$181,0),"n.a."))</f>
        <v>0</v>
      </c>
      <c r="P1928" s="16">
        <f>IF(NOT(Paths!$C$181=1),0,IF(Paths!$P$181="Complete",O1928+L1928,"n.a."))</f>
        <v>0</v>
      </c>
      <c r="Q1928" s="16">
        <f>IF(NOT(Paths!$C$181=1),0,IF(Paths!$P$181="Complete",N1928*(1+'Operating costs'!$B$54)^-C1928,"n.a."))</f>
        <v>0</v>
      </c>
      <c r="R1928" s="16">
        <f>IF(NOT(Paths!$C$181=1),0,IF(Paths!$P$181="Complete",IF(AND(C1928=0,Paths!$E$181=0),I1928-J1928-K1928+VLOOKUP(A1928,'Fleet register'!$A$7:$S$106,15,FALSE)+VLOOKUP(A1928,'Fleet register'!$A$7:$S$106,16,FALSE),0),"n.a."))</f>
        <v>0</v>
      </c>
      <c r="S1928" s="1">
        <f>IF(NOT(Paths!$C$181=1),0,IF(Paths!$P$181="Complete",IF(C1928=0,0,Paths!$S$181*Paths!$R$181),"n.a."))</f>
        <v>0</v>
      </c>
      <c r="T1928" s="1">
        <f>IF(NOT(Paths!$C$181=1),0,IF(Paths!$P$181="Complete",IF(C1928=0,0,VLOOKUP(A1928,'Fleet register'!$A$7:$S$106,9,FALSE)*Paths!$R$181),"n.a."))</f>
        <v>0</v>
      </c>
    </row>
    <row r="1929" spans="1:20" ht="24" customHeight="1">
      <c r="A1929" s="1" t="str">
        <f>Paths!$A$181</f>
        <v>T044</v>
      </c>
      <c r="B1929" s="1">
        <f>Paths!$B$181</f>
        <v>2</v>
      </c>
      <c r="C1929" s="1">
        <v>8</v>
      </c>
      <c r="D1929" s="1">
        <v>181</v>
      </c>
      <c r="E1929" s="1">
        <f>IF(OR(Paths!$C$181=0,C1929=0),0,MAX(0,MIN(C1929*12,Paths!$E$181)-(C1929-1)*12))</f>
        <v>0</v>
      </c>
      <c r="F1929" s="1">
        <f>IF(OR(Paths!$C$181=0,C1929=0),0,12-E1929)</f>
        <v>0</v>
      </c>
      <c r="G1929" s="16">
        <f>IF(NOT(Paths!$C$181=1),0,IF(Paths!$P$181="Complete",E1929/12*(Paths!$J$181*(1+'Operating costs'!$B$51)^MAX(0,C1929-1)+Paths!$K$181*(1+'Operating costs'!$B$53)^MAX(0,C1929-1)),"n.a."))</f>
        <v>0</v>
      </c>
      <c r="H1929" s="16">
        <f>IF(NOT(Paths!$C$181=1),0,IF(Paths!$P$181="Complete",F1929/12*(Paths!$L$181*(1+IF(Paths!$D$181="EV",'Operating costs'!$B$52,'Operating costs'!$B$51))^MAX(0,C1929-1)+Paths!$M$181*(1+'Operating costs'!$B$53)^MAX(0,C1929-1)),"n.a."))</f>
        <v>0</v>
      </c>
      <c r="I1929" s="16">
        <f>IF(NOT(Paths!$C$181=1),0,IF(Paths!$P$181="Complete",IF(IF(Paths!$E$181=0,C1929=0,AND(C1929&gt;0,Paths!$E$181&gt;(C1929-1)*12,Paths!$E$181&lt;=C1929*12)),Paths!$G$181,0),"n.a."))</f>
        <v>0</v>
      </c>
      <c r="J1929" s="16">
        <f>IF(NOT(Paths!$C$181=1),0,IF(Paths!$P$181="Complete",IF(IF(Paths!$E$181=0,C1929=0,AND(C1929&gt;0,Paths!$E$181&gt;(C1929-1)*12,Paths!$E$181&lt;=C1929*12)),Paths!$H$181,0),"n.a."))</f>
        <v>0</v>
      </c>
      <c r="K1929" s="16">
        <f>IF(NOT(Paths!$C$181=1),0,IF(Paths!$P$181="Complete",IF(IF(Paths!$O$181=0,C1929=0,AND(C1929&gt;0,Paths!$O$181&gt;(C1929-1)*12,Paths!$O$181&lt;=C1929*12)),Paths!$N$181,0),"n.a."))</f>
        <v>0</v>
      </c>
      <c r="L1929" s="16">
        <f>IF(NOT(Paths!$C$181=1),0,IF(Paths!$P$181="Complete",IF(C1929=10,Paths!$I$181,0),"n.a."))</f>
        <v>0</v>
      </c>
      <c r="M1929" s="16">
        <f>IF(NOT(Paths!$C$181=1),0,IF(Paths!$P$181="Complete",IF(AND(Paths!$D$181="EV",Paths!$E$181&lt;120,Paths!$E$181+'Operating costs'!$B$65&gt;Paths!$E$181,Paths!$E$181+'Operating costs'!$B$65&lt;=120,IF(Paths!$E$181+'Operating costs'!$B$65=0,C1929=0,AND(C1929&gt;0,Paths!$E$181+'Operating costs'!$B$65&gt;(C1929-1)*12,Paths!$E$181+'Operating costs'!$B$65&lt;=C1929*12))),'Operating costs'!$B$64,0)+IF(AND('Operating costs'!$B$67&gt;0,'Operating costs'!$B$67&lt;=120,OR(Paths!$D$181="ICE",'Operating costs'!$B$67&lt;=Paths!$E$181),IF('Operating costs'!$B$67=0,C1929=0,AND(C1929&gt;0,'Operating costs'!$B$67&gt;(C1929-1)*12,'Operating costs'!$B$67&lt;=C1929*12))),'Operating costs'!$B$66,0),"n.a."))</f>
        <v>0</v>
      </c>
      <c r="N1929" s="16">
        <f>IF(NOT(Paths!$C$181=1),0,IF(Paths!$P$181="Complete",SUM(G1929:I1929)-J1929-K1929-L1929+M1929+IF(C1929=0,Paths!$F$181,0)+IF(IF(Paths!$E$181=0,C1929=0,AND(C1929&gt;0,Paths!$E$181&gt;(C1929-1)*12,Paths!$E$181&lt;=C1929*12)),VLOOKUP(A1929,'Fleet register'!$A$7:$S$106,16,FALSE),0),"n.a."))</f>
        <v>0</v>
      </c>
      <c r="O1929" s="16">
        <f>IF(NOT(Paths!$C$181=1),0,IF(Paths!$P$181="Complete",N1929-IF(C1929=0,Paths!$F$181,0),"n.a."))</f>
        <v>0</v>
      </c>
      <c r="P1929" s="16">
        <f>IF(NOT(Paths!$C$181=1),0,IF(Paths!$P$181="Complete",O1929+L1929,"n.a."))</f>
        <v>0</v>
      </c>
      <c r="Q1929" s="16">
        <f>IF(NOT(Paths!$C$181=1),0,IF(Paths!$P$181="Complete",N1929*(1+'Operating costs'!$B$54)^-C1929,"n.a."))</f>
        <v>0</v>
      </c>
      <c r="R1929" s="16">
        <f>IF(NOT(Paths!$C$181=1),0,IF(Paths!$P$181="Complete",IF(AND(C1929=0,Paths!$E$181=0),I1929-J1929-K1929+VLOOKUP(A1929,'Fleet register'!$A$7:$S$106,15,FALSE)+VLOOKUP(A1929,'Fleet register'!$A$7:$S$106,16,FALSE),0),"n.a."))</f>
        <v>0</v>
      </c>
      <c r="S1929" s="1">
        <f>IF(NOT(Paths!$C$181=1),0,IF(Paths!$P$181="Complete",IF(C1929=0,0,Paths!$S$181*Paths!$R$181),"n.a."))</f>
        <v>0</v>
      </c>
      <c r="T1929" s="1">
        <f>IF(NOT(Paths!$C$181=1),0,IF(Paths!$P$181="Complete",IF(C1929=0,0,VLOOKUP(A1929,'Fleet register'!$A$7:$S$106,9,FALSE)*Paths!$R$181),"n.a."))</f>
        <v>0</v>
      </c>
    </row>
    <row r="1930" spans="1:20" ht="24" customHeight="1">
      <c r="A1930" s="1" t="str">
        <f>Paths!$A$181</f>
        <v>T044</v>
      </c>
      <c r="B1930" s="1">
        <f>Paths!$B$181</f>
        <v>2</v>
      </c>
      <c r="C1930" s="1">
        <v>9</v>
      </c>
      <c r="D1930" s="1">
        <v>181</v>
      </c>
      <c r="E1930" s="1">
        <f>IF(OR(Paths!$C$181=0,C1930=0),0,MAX(0,MIN(C1930*12,Paths!$E$181)-(C1930-1)*12))</f>
        <v>0</v>
      </c>
      <c r="F1930" s="1">
        <f>IF(OR(Paths!$C$181=0,C1930=0),0,12-E1930)</f>
        <v>0</v>
      </c>
      <c r="G1930" s="16">
        <f>IF(NOT(Paths!$C$181=1),0,IF(Paths!$P$181="Complete",E1930/12*(Paths!$J$181*(1+'Operating costs'!$B$51)^MAX(0,C1930-1)+Paths!$K$181*(1+'Operating costs'!$B$53)^MAX(0,C1930-1)),"n.a."))</f>
        <v>0</v>
      </c>
      <c r="H1930" s="16">
        <f>IF(NOT(Paths!$C$181=1),0,IF(Paths!$P$181="Complete",F1930/12*(Paths!$L$181*(1+IF(Paths!$D$181="EV",'Operating costs'!$B$52,'Operating costs'!$B$51))^MAX(0,C1930-1)+Paths!$M$181*(1+'Operating costs'!$B$53)^MAX(0,C1930-1)),"n.a."))</f>
        <v>0</v>
      </c>
      <c r="I1930" s="16">
        <f>IF(NOT(Paths!$C$181=1),0,IF(Paths!$P$181="Complete",IF(IF(Paths!$E$181=0,C1930=0,AND(C1930&gt;0,Paths!$E$181&gt;(C1930-1)*12,Paths!$E$181&lt;=C1930*12)),Paths!$G$181,0),"n.a."))</f>
        <v>0</v>
      </c>
      <c r="J1930" s="16">
        <f>IF(NOT(Paths!$C$181=1),0,IF(Paths!$P$181="Complete",IF(IF(Paths!$E$181=0,C1930=0,AND(C1930&gt;0,Paths!$E$181&gt;(C1930-1)*12,Paths!$E$181&lt;=C1930*12)),Paths!$H$181,0),"n.a."))</f>
        <v>0</v>
      </c>
      <c r="K1930" s="16">
        <f>IF(NOT(Paths!$C$181=1),0,IF(Paths!$P$181="Complete",IF(IF(Paths!$O$181=0,C1930=0,AND(C1930&gt;0,Paths!$O$181&gt;(C1930-1)*12,Paths!$O$181&lt;=C1930*12)),Paths!$N$181,0),"n.a."))</f>
        <v>0</v>
      </c>
      <c r="L1930" s="16">
        <f>IF(NOT(Paths!$C$181=1),0,IF(Paths!$P$181="Complete",IF(C1930=10,Paths!$I$181,0),"n.a."))</f>
        <v>0</v>
      </c>
      <c r="M1930" s="16">
        <f>IF(NOT(Paths!$C$181=1),0,IF(Paths!$P$181="Complete",IF(AND(Paths!$D$181="EV",Paths!$E$181&lt;120,Paths!$E$181+'Operating costs'!$B$65&gt;Paths!$E$181,Paths!$E$181+'Operating costs'!$B$65&lt;=120,IF(Paths!$E$181+'Operating costs'!$B$65=0,C1930=0,AND(C1930&gt;0,Paths!$E$181+'Operating costs'!$B$65&gt;(C1930-1)*12,Paths!$E$181+'Operating costs'!$B$65&lt;=C1930*12))),'Operating costs'!$B$64,0)+IF(AND('Operating costs'!$B$67&gt;0,'Operating costs'!$B$67&lt;=120,OR(Paths!$D$181="ICE",'Operating costs'!$B$67&lt;=Paths!$E$181),IF('Operating costs'!$B$67=0,C1930=0,AND(C1930&gt;0,'Operating costs'!$B$67&gt;(C1930-1)*12,'Operating costs'!$B$67&lt;=C1930*12))),'Operating costs'!$B$66,0),"n.a."))</f>
        <v>0</v>
      </c>
      <c r="N1930" s="16">
        <f>IF(NOT(Paths!$C$181=1),0,IF(Paths!$P$181="Complete",SUM(G1930:I1930)-J1930-K1930-L1930+M1930+IF(C1930=0,Paths!$F$181,0)+IF(IF(Paths!$E$181=0,C1930=0,AND(C1930&gt;0,Paths!$E$181&gt;(C1930-1)*12,Paths!$E$181&lt;=C1930*12)),VLOOKUP(A1930,'Fleet register'!$A$7:$S$106,16,FALSE),0),"n.a."))</f>
        <v>0</v>
      </c>
      <c r="O1930" s="16">
        <f>IF(NOT(Paths!$C$181=1),0,IF(Paths!$P$181="Complete",N1930-IF(C1930=0,Paths!$F$181,0),"n.a."))</f>
        <v>0</v>
      </c>
      <c r="P1930" s="16">
        <f>IF(NOT(Paths!$C$181=1),0,IF(Paths!$P$181="Complete",O1930+L1930,"n.a."))</f>
        <v>0</v>
      </c>
      <c r="Q1930" s="16">
        <f>IF(NOT(Paths!$C$181=1),0,IF(Paths!$P$181="Complete",N1930*(1+'Operating costs'!$B$54)^-C1930,"n.a."))</f>
        <v>0</v>
      </c>
      <c r="R1930" s="16">
        <f>IF(NOT(Paths!$C$181=1),0,IF(Paths!$P$181="Complete",IF(AND(C1930=0,Paths!$E$181=0),I1930-J1930-K1930+VLOOKUP(A1930,'Fleet register'!$A$7:$S$106,15,FALSE)+VLOOKUP(A1930,'Fleet register'!$A$7:$S$106,16,FALSE),0),"n.a."))</f>
        <v>0</v>
      </c>
      <c r="S1930" s="1">
        <f>IF(NOT(Paths!$C$181=1),0,IF(Paths!$P$181="Complete",IF(C1930=0,0,Paths!$S$181*Paths!$R$181),"n.a."))</f>
        <v>0</v>
      </c>
      <c r="T1930" s="1">
        <f>IF(NOT(Paths!$C$181=1),0,IF(Paths!$P$181="Complete",IF(C1930=0,0,VLOOKUP(A1930,'Fleet register'!$A$7:$S$106,9,FALSE)*Paths!$R$181),"n.a."))</f>
        <v>0</v>
      </c>
    </row>
    <row r="1931" spans="1:20" ht="24" customHeight="1">
      <c r="A1931" s="1" t="str">
        <f>Paths!$A$181</f>
        <v>T044</v>
      </c>
      <c r="B1931" s="1">
        <f>Paths!$B$181</f>
        <v>2</v>
      </c>
      <c r="C1931" s="1">
        <v>10</v>
      </c>
      <c r="D1931" s="1">
        <v>181</v>
      </c>
      <c r="E1931" s="1">
        <f>IF(OR(Paths!$C$181=0,C1931=0),0,MAX(0,MIN(C1931*12,Paths!$E$181)-(C1931-1)*12))</f>
        <v>0</v>
      </c>
      <c r="F1931" s="1">
        <f>IF(OR(Paths!$C$181=0,C1931=0),0,12-E1931)</f>
        <v>0</v>
      </c>
      <c r="G1931" s="16">
        <f>IF(NOT(Paths!$C$181=1),0,IF(Paths!$P$181="Complete",E1931/12*(Paths!$J$181*(1+'Operating costs'!$B$51)^MAX(0,C1931-1)+Paths!$K$181*(1+'Operating costs'!$B$53)^MAX(0,C1931-1)),"n.a."))</f>
        <v>0</v>
      </c>
      <c r="H1931" s="16">
        <f>IF(NOT(Paths!$C$181=1),0,IF(Paths!$P$181="Complete",F1931/12*(Paths!$L$181*(1+IF(Paths!$D$181="EV",'Operating costs'!$B$52,'Operating costs'!$B$51))^MAX(0,C1931-1)+Paths!$M$181*(1+'Operating costs'!$B$53)^MAX(0,C1931-1)),"n.a."))</f>
        <v>0</v>
      </c>
      <c r="I1931" s="16">
        <f>IF(NOT(Paths!$C$181=1),0,IF(Paths!$P$181="Complete",IF(IF(Paths!$E$181=0,C1931=0,AND(C1931&gt;0,Paths!$E$181&gt;(C1931-1)*12,Paths!$E$181&lt;=C1931*12)),Paths!$G$181,0),"n.a."))</f>
        <v>0</v>
      </c>
      <c r="J1931" s="16">
        <f>IF(NOT(Paths!$C$181=1),0,IF(Paths!$P$181="Complete",IF(IF(Paths!$E$181=0,C1931=0,AND(C1931&gt;0,Paths!$E$181&gt;(C1931-1)*12,Paths!$E$181&lt;=C1931*12)),Paths!$H$181,0),"n.a."))</f>
        <v>0</v>
      </c>
      <c r="K1931" s="16">
        <f>IF(NOT(Paths!$C$181=1),0,IF(Paths!$P$181="Complete",IF(IF(Paths!$O$181=0,C1931=0,AND(C1931&gt;0,Paths!$O$181&gt;(C1931-1)*12,Paths!$O$181&lt;=C1931*12)),Paths!$N$181,0),"n.a."))</f>
        <v>0</v>
      </c>
      <c r="L1931" s="16">
        <f>IF(NOT(Paths!$C$181=1),0,IF(Paths!$P$181="Complete",IF(C1931=10,Paths!$I$181,0),"n.a."))</f>
        <v>0</v>
      </c>
      <c r="M1931" s="16">
        <f>IF(NOT(Paths!$C$181=1),0,IF(Paths!$P$181="Complete",IF(AND(Paths!$D$181="EV",Paths!$E$181&lt;120,Paths!$E$181+'Operating costs'!$B$65&gt;Paths!$E$181,Paths!$E$181+'Operating costs'!$B$65&lt;=120,IF(Paths!$E$181+'Operating costs'!$B$65=0,C1931=0,AND(C1931&gt;0,Paths!$E$181+'Operating costs'!$B$65&gt;(C1931-1)*12,Paths!$E$181+'Operating costs'!$B$65&lt;=C1931*12))),'Operating costs'!$B$64,0)+IF(AND('Operating costs'!$B$67&gt;0,'Operating costs'!$B$67&lt;=120,OR(Paths!$D$181="ICE",'Operating costs'!$B$67&lt;=Paths!$E$181),IF('Operating costs'!$B$67=0,C1931=0,AND(C1931&gt;0,'Operating costs'!$B$67&gt;(C1931-1)*12,'Operating costs'!$B$67&lt;=C1931*12))),'Operating costs'!$B$66,0),"n.a."))</f>
        <v>0</v>
      </c>
      <c r="N1931" s="16">
        <f>IF(NOT(Paths!$C$181=1),0,IF(Paths!$P$181="Complete",SUM(G1931:I1931)-J1931-K1931-L1931+M1931+IF(C1931=0,Paths!$F$181,0)+IF(IF(Paths!$E$181=0,C1931=0,AND(C1931&gt;0,Paths!$E$181&gt;(C1931-1)*12,Paths!$E$181&lt;=C1931*12)),VLOOKUP(A1931,'Fleet register'!$A$7:$S$106,16,FALSE),0),"n.a."))</f>
        <v>0</v>
      </c>
      <c r="O1931" s="16">
        <f>IF(NOT(Paths!$C$181=1),0,IF(Paths!$P$181="Complete",N1931-IF(C1931=0,Paths!$F$181,0),"n.a."))</f>
        <v>0</v>
      </c>
      <c r="P1931" s="16">
        <f>IF(NOT(Paths!$C$181=1),0,IF(Paths!$P$181="Complete",O1931+L1931,"n.a."))</f>
        <v>0</v>
      </c>
      <c r="Q1931" s="16">
        <f>IF(NOT(Paths!$C$181=1),0,IF(Paths!$P$181="Complete",N1931*(1+'Operating costs'!$B$54)^-C1931,"n.a."))</f>
        <v>0</v>
      </c>
      <c r="R1931" s="16">
        <f>IF(NOT(Paths!$C$181=1),0,IF(Paths!$P$181="Complete",IF(AND(C1931=0,Paths!$E$181=0),I1931-J1931-K1931+VLOOKUP(A1931,'Fleet register'!$A$7:$S$106,15,FALSE)+VLOOKUP(A1931,'Fleet register'!$A$7:$S$106,16,FALSE),0),"n.a."))</f>
        <v>0</v>
      </c>
      <c r="S1931" s="1">
        <f>IF(NOT(Paths!$C$181=1),0,IF(Paths!$P$181="Complete",IF(C1931=0,0,Paths!$S$181*Paths!$R$181),"n.a."))</f>
        <v>0</v>
      </c>
      <c r="T1931" s="1">
        <f>IF(NOT(Paths!$C$181=1),0,IF(Paths!$P$181="Complete",IF(C1931=0,0,VLOOKUP(A1931,'Fleet register'!$A$7:$S$106,9,FALSE)*Paths!$R$181),"n.a."))</f>
        <v>0</v>
      </c>
    </row>
    <row r="1932" spans="1:20" ht="24" customHeight="1">
      <c r="A1932" s="1" t="str">
        <f>Paths!$A$182</f>
        <v>T044</v>
      </c>
      <c r="B1932" s="1">
        <f>Paths!$B$182</f>
        <v>3</v>
      </c>
      <c r="C1932" s="1">
        <v>0</v>
      </c>
      <c r="D1932" s="1">
        <v>182</v>
      </c>
      <c r="E1932" s="1">
        <f>IF(OR(Paths!$C$182=0,C1932=0),0,MAX(0,MIN(C1932*12,Paths!$E$182)-(C1932-1)*12))</f>
        <v>0</v>
      </c>
      <c r="F1932" s="1">
        <f>IF(OR(Paths!$C$182=0,C1932=0),0,12-E1932)</f>
        <v>0</v>
      </c>
      <c r="G1932" s="16">
        <f>IF(NOT(Paths!$C$182=1),0,IF(Paths!$P$182="Complete",E1932/12*(Paths!$J$182*(1+'Operating costs'!$B$51)^MAX(0,C1932-1)+Paths!$K$182*(1+'Operating costs'!$B$53)^MAX(0,C1932-1)),"n.a."))</f>
        <v>0</v>
      </c>
      <c r="H1932" s="16">
        <f>IF(NOT(Paths!$C$182=1),0,IF(Paths!$P$182="Complete",F1932/12*(Paths!$L$182*(1+IF(Paths!$D$182="EV",'Operating costs'!$B$52,'Operating costs'!$B$51))^MAX(0,C1932-1)+Paths!$M$182*(1+'Operating costs'!$B$53)^MAX(0,C1932-1)),"n.a."))</f>
        <v>0</v>
      </c>
      <c r="I1932" s="16">
        <f>IF(NOT(Paths!$C$182=1),0,IF(Paths!$P$182="Complete",IF(IF(Paths!$E$182=0,C1932=0,AND(C1932&gt;0,Paths!$E$182&gt;(C1932-1)*12,Paths!$E$182&lt;=C1932*12)),Paths!$G$182,0),"n.a."))</f>
        <v>0</v>
      </c>
      <c r="J1932" s="16">
        <f>IF(NOT(Paths!$C$182=1),0,IF(Paths!$P$182="Complete",IF(IF(Paths!$E$182=0,C1932=0,AND(C1932&gt;0,Paths!$E$182&gt;(C1932-1)*12,Paths!$E$182&lt;=C1932*12)),Paths!$H$182,0),"n.a."))</f>
        <v>0</v>
      </c>
      <c r="K1932" s="16">
        <f>IF(NOT(Paths!$C$182=1),0,IF(Paths!$P$182="Complete",IF(IF(Paths!$O$182=0,C1932=0,AND(C1932&gt;0,Paths!$O$182&gt;(C1932-1)*12,Paths!$O$182&lt;=C1932*12)),Paths!$N$182,0),"n.a."))</f>
        <v>0</v>
      </c>
      <c r="L1932" s="16">
        <f>IF(NOT(Paths!$C$182=1),0,IF(Paths!$P$182="Complete",IF(C1932=10,Paths!$I$182,0),"n.a."))</f>
        <v>0</v>
      </c>
      <c r="M1932" s="16">
        <f>IF(NOT(Paths!$C$182=1),0,IF(Paths!$P$182="Complete",IF(AND(Paths!$D$182="EV",Paths!$E$182&lt;120,Paths!$E$182+'Operating costs'!$B$65&gt;Paths!$E$182,Paths!$E$182+'Operating costs'!$B$65&lt;=120,IF(Paths!$E$182+'Operating costs'!$B$65=0,C1932=0,AND(C1932&gt;0,Paths!$E$182+'Operating costs'!$B$65&gt;(C1932-1)*12,Paths!$E$182+'Operating costs'!$B$65&lt;=C1932*12))),'Operating costs'!$B$64,0)+IF(AND('Operating costs'!$B$67&gt;0,'Operating costs'!$B$67&lt;=120,OR(Paths!$D$182="ICE",'Operating costs'!$B$67&lt;=Paths!$E$182),IF('Operating costs'!$B$67=0,C1932=0,AND(C1932&gt;0,'Operating costs'!$B$67&gt;(C1932-1)*12,'Operating costs'!$B$67&lt;=C1932*12))),'Operating costs'!$B$66,0),"n.a."))</f>
        <v>0</v>
      </c>
      <c r="N1932" s="16">
        <f>IF(NOT(Paths!$C$182=1),0,IF(Paths!$P$182="Complete",SUM(G1932:I1932)-J1932-K1932-L1932+M1932+IF(C1932=0,Paths!$F$182,0)+IF(IF(Paths!$E$182=0,C1932=0,AND(C1932&gt;0,Paths!$E$182&gt;(C1932-1)*12,Paths!$E$182&lt;=C1932*12)),VLOOKUP(A1932,'Fleet register'!$A$7:$S$106,16,FALSE),0),"n.a."))</f>
        <v>0</v>
      </c>
      <c r="O1932" s="16">
        <f>IF(NOT(Paths!$C$182=1),0,IF(Paths!$P$182="Complete",N1932-IF(C1932=0,Paths!$F$182,0),"n.a."))</f>
        <v>0</v>
      </c>
      <c r="P1932" s="16">
        <f>IF(NOT(Paths!$C$182=1),0,IF(Paths!$P$182="Complete",O1932+L1932,"n.a."))</f>
        <v>0</v>
      </c>
      <c r="Q1932" s="16">
        <f>IF(NOT(Paths!$C$182=1),0,IF(Paths!$P$182="Complete",N1932*(1+'Operating costs'!$B$54)^-C1932,"n.a."))</f>
        <v>0</v>
      </c>
      <c r="R1932" s="16">
        <f>IF(NOT(Paths!$C$182=1),0,IF(Paths!$P$182="Complete",IF(AND(C1932=0,Paths!$E$182=0),I1932-J1932-K1932+VLOOKUP(A1932,'Fleet register'!$A$7:$S$106,15,FALSE)+VLOOKUP(A1932,'Fleet register'!$A$7:$S$106,16,FALSE),0),"n.a."))</f>
        <v>0</v>
      </c>
      <c r="S1932" s="1">
        <f>IF(NOT(Paths!$C$182=1),0,IF(Paths!$P$182="Complete",IF(C1932=0,0,Paths!$S$182*Paths!$R$182),"n.a."))</f>
        <v>0</v>
      </c>
      <c r="T1932" s="1">
        <f>IF(NOT(Paths!$C$182=1),0,IF(Paths!$P$182="Complete",IF(C1932=0,0,VLOOKUP(A1932,'Fleet register'!$A$7:$S$106,9,FALSE)*Paths!$R$182),"n.a."))</f>
        <v>0</v>
      </c>
    </row>
    <row r="1933" spans="1:20" ht="24" customHeight="1">
      <c r="A1933" s="1" t="str">
        <f>Paths!$A$182</f>
        <v>T044</v>
      </c>
      <c r="B1933" s="1">
        <f>Paths!$B$182</f>
        <v>3</v>
      </c>
      <c r="C1933" s="1">
        <v>1</v>
      </c>
      <c r="D1933" s="1">
        <v>182</v>
      </c>
      <c r="E1933" s="1">
        <f>IF(OR(Paths!$C$182=0,C1933=0),0,MAX(0,MIN(C1933*12,Paths!$E$182)-(C1933-1)*12))</f>
        <v>0</v>
      </c>
      <c r="F1933" s="1">
        <f>IF(OR(Paths!$C$182=0,C1933=0),0,12-E1933)</f>
        <v>0</v>
      </c>
      <c r="G1933" s="16">
        <f>IF(NOT(Paths!$C$182=1),0,IF(Paths!$P$182="Complete",E1933/12*(Paths!$J$182*(1+'Operating costs'!$B$51)^MAX(0,C1933-1)+Paths!$K$182*(1+'Operating costs'!$B$53)^MAX(0,C1933-1)),"n.a."))</f>
        <v>0</v>
      </c>
      <c r="H1933" s="16">
        <f>IF(NOT(Paths!$C$182=1),0,IF(Paths!$P$182="Complete",F1933/12*(Paths!$L$182*(1+IF(Paths!$D$182="EV",'Operating costs'!$B$52,'Operating costs'!$B$51))^MAX(0,C1933-1)+Paths!$M$182*(1+'Operating costs'!$B$53)^MAX(0,C1933-1)),"n.a."))</f>
        <v>0</v>
      </c>
      <c r="I1933" s="16">
        <f>IF(NOT(Paths!$C$182=1),0,IF(Paths!$P$182="Complete",IF(IF(Paths!$E$182=0,C1933=0,AND(C1933&gt;0,Paths!$E$182&gt;(C1933-1)*12,Paths!$E$182&lt;=C1933*12)),Paths!$G$182,0),"n.a."))</f>
        <v>0</v>
      </c>
      <c r="J1933" s="16">
        <f>IF(NOT(Paths!$C$182=1),0,IF(Paths!$P$182="Complete",IF(IF(Paths!$E$182=0,C1933=0,AND(C1933&gt;0,Paths!$E$182&gt;(C1933-1)*12,Paths!$E$182&lt;=C1933*12)),Paths!$H$182,0),"n.a."))</f>
        <v>0</v>
      </c>
      <c r="K1933" s="16">
        <f>IF(NOT(Paths!$C$182=1),0,IF(Paths!$P$182="Complete",IF(IF(Paths!$O$182=0,C1933=0,AND(C1933&gt;0,Paths!$O$182&gt;(C1933-1)*12,Paths!$O$182&lt;=C1933*12)),Paths!$N$182,0),"n.a."))</f>
        <v>0</v>
      </c>
      <c r="L1933" s="16">
        <f>IF(NOT(Paths!$C$182=1),0,IF(Paths!$P$182="Complete",IF(C1933=10,Paths!$I$182,0),"n.a."))</f>
        <v>0</v>
      </c>
      <c r="M1933" s="16">
        <f>IF(NOT(Paths!$C$182=1),0,IF(Paths!$P$182="Complete",IF(AND(Paths!$D$182="EV",Paths!$E$182&lt;120,Paths!$E$182+'Operating costs'!$B$65&gt;Paths!$E$182,Paths!$E$182+'Operating costs'!$B$65&lt;=120,IF(Paths!$E$182+'Operating costs'!$B$65=0,C1933=0,AND(C1933&gt;0,Paths!$E$182+'Operating costs'!$B$65&gt;(C1933-1)*12,Paths!$E$182+'Operating costs'!$B$65&lt;=C1933*12))),'Operating costs'!$B$64,0)+IF(AND('Operating costs'!$B$67&gt;0,'Operating costs'!$B$67&lt;=120,OR(Paths!$D$182="ICE",'Operating costs'!$B$67&lt;=Paths!$E$182),IF('Operating costs'!$B$67=0,C1933=0,AND(C1933&gt;0,'Operating costs'!$B$67&gt;(C1933-1)*12,'Operating costs'!$B$67&lt;=C1933*12))),'Operating costs'!$B$66,0),"n.a."))</f>
        <v>0</v>
      </c>
      <c r="N1933" s="16">
        <f>IF(NOT(Paths!$C$182=1),0,IF(Paths!$P$182="Complete",SUM(G1933:I1933)-J1933-K1933-L1933+M1933+IF(C1933=0,Paths!$F$182,0)+IF(IF(Paths!$E$182=0,C1933=0,AND(C1933&gt;0,Paths!$E$182&gt;(C1933-1)*12,Paths!$E$182&lt;=C1933*12)),VLOOKUP(A1933,'Fleet register'!$A$7:$S$106,16,FALSE),0),"n.a."))</f>
        <v>0</v>
      </c>
      <c r="O1933" s="16">
        <f>IF(NOT(Paths!$C$182=1),0,IF(Paths!$P$182="Complete",N1933-IF(C1933=0,Paths!$F$182,0),"n.a."))</f>
        <v>0</v>
      </c>
      <c r="P1933" s="16">
        <f>IF(NOT(Paths!$C$182=1),0,IF(Paths!$P$182="Complete",O1933+L1933,"n.a."))</f>
        <v>0</v>
      </c>
      <c r="Q1933" s="16">
        <f>IF(NOT(Paths!$C$182=1),0,IF(Paths!$P$182="Complete",N1933*(1+'Operating costs'!$B$54)^-C1933,"n.a."))</f>
        <v>0</v>
      </c>
      <c r="R1933" s="16">
        <f>IF(NOT(Paths!$C$182=1),0,IF(Paths!$P$182="Complete",IF(AND(C1933=0,Paths!$E$182=0),I1933-J1933-K1933+VLOOKUP(A1933,'Fleet register'!$A$7:$S$106,15,FALSE)+VLOOKUP(A1933,'Fleet register'!$A$7:$S$106,16,FALSE),0),"n.a."))</f>
        <v>0</v>
      </c>
      <c r="S1933" s="1">
        <f>IF(NOT(Paths!$C$182=1),0,IF(Paths!$P$182="Complete",IF(C1933=0,0,Paths!$S$182*Paths!$R$182),"n.a."))</f>
        <v>0</v>
      </c>
      <c r="T1933" s="1">
        <f>IF(NOT(Paths!$C$182=1),0,IF(Paths!$P$182="Complete",IF(C1933=0,0,VLOOKUP(A1933,'Fleet register'!$A$7:$S$106,9,FALSE)*Paths!$R$182),"n.a."))</f>
        <v>0</v>
      </c>
    </row>
    <row r="1934" spans="1:20" ht="24" customHeight="1">
      <c r="A1934" s="1" t="str">
        <f>Paths!$A$182</f>
        <v>T044</v>
      </c>
      <c r="B1934" s="1">
        <f>Paths!$B$182</f>
        <v>3</v>
      </c>
      <c r="C1934" s="1">
        <v>2</v>
      </c>
      <c r="D1934" s="1">
        <v>182</v>
      </c>
      <c r="E1934" s="1">
        <f>IF(OR(Paths!$C$182=0,C1934=0),0,MAX(0,MIN(C1934*12,Paths!$E$182)-(C1934-1)*12))</f>
        <v>0</v>
      </c>
      <c r="F1934" s="1">
        <f>IF(OR(Paths!$C$182=0,C1934=0),0,12-E1934)</f>
        <v>0</v>
      </c>
      <c r="G1934" s="16">
        <f>IF(NOT(Paths!$C$182=1),0,IF(Paths!$P$182="Complete",E1934/12*(Paths!$J$182*(1+'Operating costs'!$B$51)^MAX(0,C1934-1)+Paths!$K$182*(1+'Operating costs'!$B$53)^MAX(0,C1934-1)),"n.a."))</f>
        <v>0</v>
      </c>
      <c r="H1934" s="16">
        <f>IF(NOT(Paths!$C$182=1),0,IF(Paths!$P$182="Complete",F1934/12*(Paths!$L$182*(1+IF(Paths!$D$182="EV",'Operating costs'!$B$52,'Operating costs'!$B$51))^MAX(0,C1934-1)+Paths!$M$182*(1+'Operating costs'!$B$53)^MAX(0,C1934-1)),"n.a."))</f>
        <v>0</v>
      </c>
      <c r="I1934" s="16">
        <f>IF(NOT(Paths!$C$182=1),0,IF(Paths!$P$182="Complete",IF(IF(Paths!$E$182=0,C1934=0,AND(C1934&gt;0,Paths!$E$182&gt;(C1934-1)*12,Paths!$E$182&lt;=C1934*12)),Paths!$G$182,0),"n.a."))</f>
        <v>0</v>
      </c>
      <c r="J1934" s="16">
        <f>IF(NOT(Paths!$C$182=1),0,IF(Paths!$P$182="Complete",IF(IF(Paths!$E$182=0,C1934=0,AND(C1934&gt;0,Paths!$E$182&gt;(C1934-1)*12,Paths!$E$182&lt;=C1934*12)),Paths!$H$182,0),"n.a."))</f>
        <v>0</v>
      </c>
      <c r="K1934" s="16">
        <f>IF(NOT(Paths!$C$182=1),0,IF(Paths!$P$182="Complete",IF(IF(Paths!$O$182=0,C1934=0,AND(C1934&gt;0,Paths!$O$182&gt;(C1934-1)*12,Paths!$O$182&lt;=C1934*12)),Paths!$N$182,0),"n.a."))</f>
        <v>0</v>
      </c>
      <c r="L1934" s="16">
        <f>IF(NOT(Paths!$C$182=1),0,IF(Paths!$P$182="Complete",IF(C1934=10,Paths!$I$182,0),"n.a."))</f>
        <v>0</v>
      </c>
      <c r="M1934" s="16">
        <f>IF(NOT(Paths!$C$182=1),0,IF(Paths!$P$182="Complete",IF(AND(Paths!$D$182="EV",Paths!$E$182&lt;120,Paths!$E$182+'Operating costs'!$B$65&gt;Paths!$E$182,Paths!$E$182+'Operating costs'!$B$65&lt;=120,IF(Paths!$E$182+'Operating costs'!$B$65=0,C1934=0,AND(C1934&gt;0,Paths!$E$182+'Operating costs'!$B$65&gt;(C1934-1)*12,Paths!$E$182+'Operating costs'!$B$65&lt;=C1934*12))),'Operating costs'!$B$64,0)+IF(AND('Operating costs'!$B$67&gt;0,'Operating costs'!$B$67&lt;=120,OR(Paths!$D$182="ICE",'Operating costs'!$B$67&lt;=Paths!$E$182),IF('Operating costs'!$B$67=0,C1934=0,AND(C1934&gt;0,'Operating costs'!$B$67&gt;(C1934-1)*12,'Operating costs'!$B$67&lt;=C1934*12))),'Operating costs'!$B$66,0),"n.a."))</f>
        <v>0</v>
      </c>
      <c r="N1934" s="16">
        <f>IF(NOT(Paths!$C$182=1),0,IF(Paths!$P$182="Complete",SUM(G1934:I1934)-J1934-K1934-L1934+M1934+IF(C1934=0,Paths!$F$182,0)+IF(IF(Paths!$E$182=0,C1934=0,AND(C1934&gt;0,Paths!$E$182&gt;(C1934-1)*12,Paths!$E$182&lt;=C1934*12)),VLOOKUP(A1934,'Fleet register'!$A$7:$S$106,16,FALSE),0),"n.a."))</f>
        <v>0</v>
      </c>
      <c r="O1934" s="16">
        <f>IF(NOT(Paths!$C$182=1),0,IF(Paths!$P$182="Complete",N1934-IF(C1934=0,Paths!$F$182,0),"n.a."))</f>
        <v>0</v>
      </c>
      <c r="P1934" s="16">
        <f>IF(NOT(Paths!$C$182=1),0,IF(Paths!$P$182="Complete",O1934+L1934,"n.a."))</f>
        <v>0</v>
      </c>
      <c r="Q1934" s="16">
        <f>IF(NOT(Paths!$C$182=1),0,IF(Paths!$P$182="Complete",N1934*(1+'Operating costs'!$B$54)^-C1934,"n.a."))</f>
        <v>0</v>
      </c>
      <c r="R1934" s="16">
        <f>IF(NOT(Paths!$C$182=1),0,IF(Paths!$P$182="Complete",IF(AND(C1934=0,Paths!$E$182=0),I1934-J1934-K1934+VLOOKUP(A1934,'Fleet register'!$A$7:$S$106,15,FALSE)+VLOOKUP(A1934,'Fleet register'!$A$7:$S$106,16,FALSE),0),"n.a."))</f>
        <v>0</v>
      </c>
      <c r="S1934" s="1">
        <f>IF(NOT(Paths!$C$182=1),0,IF(Paths!$P$182="Complete",IF(C1934=0,0,Paths!$S$182*Paths!$R$182),"n.a."))</f>
        <v>0</v>
      </c>
      <c r="T1934" s="1">
        <f>IF(NOT(Paths!$C$182=1),0,IF(Paths!$P$182="Complete",IF(C1934=0,0,VLOOKUP(A1934,'Fleet register'!$A$7:$S$106,9,FALSE)*Paths!$R$182),"n.a."))</f>
        <v>0</v>
      </c>
    </row>
    <row r="1935" spans="1:20" ht="24" customHeight="1">
      <c r="A1935" s="1" t="str">
        <f>Paths!$A$182</f>
        <v>T044</v>
      </c>
      <c r="B1935" s="1">
        <f>Paths!$B$182</f>
        <v>3</v>
      </c>
      <c r="C1935" s="1">
        <v>3</v>
      </c>
      <c r="D1935" s="1">
        <v>182</v>
      </c>
      <c r="E1935" s="1">
        <f>IF(OR(Paths!$C$182=0,C1935=0),0,MAX(0,MIN(C1935*12,Paths!$E$182)-(C1935-1)*12))</f>
        <v>0</v>
      </c>
      <c r="F1935" s="1">
        <f>IF(OR(Paths!$C$182=0,C1935=0),0,12-E1935)</f>
        <v>0</v>
      </c>
      <c r="G1935" s="16">
        <f>IF(NOT(Paths!$C$182=1),0,IF(Paths!$P$182="Complete",E1935/12*(Paths!$J$182*(1+'Operating costs'!$B$51)^MAX(0,C1935-1)+Paths!$K$182*(1+'Operating costs'!$B$53)^MAX(0,C1935-1)),"n.a."))</f>
        <v>0</v>
      </c>
      <c r="H1935" s="16">
        <f>IF(NOT(Paths!$C$182=1),0,IF(Paths!$P$182="Complete",F1935/12*(Paths!$L$182*(1+IF(Paths!$D$182="EV",'Operating costs'!$B$52,'Operating costs'!$B$51))^MAX(0,C1935-1)+Paths!$M$182*(1+'Operating costs'!$B$53)^MAX(0,C1935-1)),"n.a."))</f>
        <v>0</v>
      </c>
      <c r="I1935" s="16">
        <f>IF(NOT(Paths!$C$182=1),0,IF(Paths!$P$182="Complete",IF(IF(Paths!$E$182=0,C1935=0,AND(C1935&gt;0,Paths!$E$182&gt;(C1935-1)*12,Paths!$E$182&lt;=C1935*12)),Paths!$G$182,0),"n.a."))</f>
        <v>0</v>
      </c>
      <c r="J1935" s="16">
        <f>IF(NOT(Paths!$C$182=1),0,IF(Paths!$P$182="Complete",IF(IF(Paths!$E$182=0,C1935=0,AND(C1935&gt;0,Paths!$E$182&gt;(C1935-1)*12,Paths!$E$182&lt;=C1935*12)),Paths!$H$182,0),"n.a."))</f>
        <v>0</v>
      </c>
      <c r="K1935" s="16">
        <f>IF(NOT(Paths!$C$182=1),0,IF(Paths!$P$182="Complete",IF(IF(Paths!$O$182=0,C1935=0,AND(C1935&gt;0,Paths!$O$182&gt;(C1935-1)*12,Paths!$O$182&lt;=C1935*12)),Paths!$N$182,0),"n.a."))</f>
        <v>0</v>
      </c>
      <c r="L1935" s="16">
        <f>IF(NOT(Paths!$C$182=1),0,IF(Paths!$P$182="Complete",IF(C1935=10,Paths!$I$182,0),"n.a."))</f>
        <v>0</v>
      </c>
      <c r="M1935" s="16">
        <f>IF(NOT(Paths!$C$182=1),0,IF(Paths!$P$182="Complete",IF(AND(Paths!$D$182="EV",Paths!$E$182&lt;120,Paths!$E$182+'Operating costs'!$B$65&gt;Paths!$E$182,Paths!$E$182+'Operating costs'!$B$65&lt;=120,IF(Paths!$E$182+'Operating costs'!$B$65=0,C1935=0,AND(C1935&gt;0,Paths!$E$182+'Operating costs'!$B$65&gt;(C1935-1)*12,Paths!$E$182+'Operating costs'!$B$65&lt;=C1935*12))),'Operating costs'!$B$64,0)+IF(AND('Operating costs'!$B$67&gt;0,'Operating costs'!$B$67&lt;=120,OR(Paths!$D$182="ICE",'Operating costs'!$B$67&lt;=Paths!$E$182),IF('Operating costs'!$B$67=0,C1935=0,AND(C1935&gt;0,'Operating costs'!$B$67&gt;(C1935-1)*12,'Operating costs'!$B$67&lt;=C1935*12))),'Operating costs'!$B$66,0),"n.a."))</f>
        <v>0</v>
      </c>
      <c r="N1935" s="16">
        <f>IF(NOT(Paths!$C$182=1),0,IF(Paths!$P$182="Complete",SUM(G1935:I1935)-J1935-K1935-L1935+M1935+IF(C1935=0,Paths!$F$182,0)+IF(IF(Paths!$E$182=0,C1935=0,AND(C1935&gt;0,Paths!$E$182&gt;(C1935-1)*12,Paths!$E$182&lt;=C1935*12)),VLOOKUP(A1935,'Fleet register'!$A$7:$S$106,16,FALSE),0),"n.a."))</f>
        <v>0</v>
      </c>
      <c r="O1935" s="16">
        <f>IF(NOT(Paths!$C$182=1),0,IF(Paths!$P$182="Complete",N1935-IF(C1935=0,Paths!$F$182,0),"n.a."))</f>
        <v>0</v>
      </c>
      <c r="P1935" s="16">
        <f>IF(NOT(Paths!$C$182=1),0,IF(Paths!$P$182="Complete",O1935+L1935,"n.a."))</f>
        <v>0</v>
      </c>
      <c r="Q1935" s="16">
        <f>IF(NOT(Paths!$C$182=1),0,IF(Paths!$P$182="Complete",N1935*(1+'Operating costs'!$B$54)^-C1935,"n.a."))</f>
        <v>0</v>
      </c>
      <c r="R1935" s="16">
        <f>IF(NOT(Paths!$C$182=1),0,IF(Paths!$P$182="Complete",IF(AND(C1935=0,Paths!$E$182=0),I1935-J1935-K1935+VLOOKUP(A1935,'Fleet register'!$A$7:$S$106,15,FALSE)+VLOOKUP(A1935,'Fleet register'!$A$7:$S$106,16,FALSE),0),"n.a."))</f>
        <v>0</v>
      </c>
      <c r="S1935" s="1">
        <f>IF(NOT(Paths!$C$182=1),0,IF(Paths!$P$182="Complete",IF(C1935=0,0,Paths!$S$182*Paths!$R$182),"n.a."))</f>
        <v>0</v>
      </c>
      <c r="T1935" s="1">
        <f>IF(NOT(Paths!$C$182=1),0,IF(Paths!$P$182="Complete",IF(C1935=0,0,VLOOKUP(A1935,'Fleet register'!$A$7:$S$106,9,FALSE)*Paths!$R$182),"n.a."))</f>
        <v>0</v>
      </c>
    </row>
    <row r="1936" spans="1:20" ht="24" customHeight="1">
      <c r="A1936" s="1" t="str">
        <f>Paths!$A$182</f>
        <v>T044</v>
      </c>
      <c r="B1936" s="1">
        <f>Paths!$B$182</f>
        <v>3</v>
      </c>
      <c r="C1936" s="1">
        <v>4</v>
      </c>
      <c r="D1936" s="1">
        <v>182</v>
      </c>
      <c r="E1936" s="1">
        <f>IF(OR(Paths!$C$182=0,C1936=0),0,MAX(0,MIN(C1936*12,Paths!$E$182)-(C1936-1)*12))</f>
        <v>0</v>
      </c>
      <c r="F1936" s="1">
        <f>IF(OR(Paths!$C$182=0,C1936=0),0,12-E1936)</f>
        <v>0</v>
      </c>
      <c r="G1936" s="16">
        <f>IF(NOT(Paths!$C$182=1),0,IF(Paths!$P$182="Complete",E1936/12*(Paths!$J$182*(1+'Operating costs'!$B$51)^MAX(0,C1936-1)+Paths!$K$182*(1+'Operating costs'!$B$53)^MAX(0,C1936-1)),"n.a."))</f>
        <v>0</v>
      </c>
      <c r="H1936" s="16">
        <f>IF(NOT(Paths!$C$182=1),0,IF(Paths!$P$182="Complete",F1936/12*(Paths!$L$182*(1+IF(Paths!$D$182="EV",'Operating costs'!$B$52,'Operating costs'!$B$51))^MAX(0,C1936-1)+Paths!$M$182*(1+'Operating costs'!$B$53)^MAX(0,C1936-1)),"n.a."))</f>
        <v>0</v>
      </c>
      <c r="I1936" s="16">
        <f>IF(NOT(Paths!$C$182=1),0,IF(Paths!$P$182="Complete",IF(IF(Paths!$E$182=0,C1936=0,AND(C1936&gt;0,Paths!$E$182&gt;(C1936-1)*12,Paths!$E$182&lt;=C1936*12)),Paths!$G$182,0),"n.a."))</f>
        <v>0</v>
      </c>
      <c r="J1936" s="16">
        <f>IF(NOT(Paths!$C$182=1),0,IF(Paths!$P$182="Complete",IF(IF(Paths!$E$182=0,C1936=0,AND(C1936&gt;0,Paths!$E$182&gt;(C1936-1)*12,Paths!$E$182&lt;=C1936*12)),Paths!$H$182,0),"n.a."))</f>
        <v>0</v>
      </c>
      <c r="K1936" s="16">
        <f>IF(NOT(Paths!$C$182=1),0,IF(Paths!$P$182="Complete",IF(IF(Paths!$O$182=0,C1936=0,AND(C1936&gt;0,Paths!$O$182&gt;(C1936-1)*12,Paths!$O$182&lt;=C1936*12)),Paths!$N$182,0),"n.a."))</f>
        <v>0</v>
      </c>
      <c r="L1936" s="16">
        <f>IF(NOT(Paths!$C$182=1),0,IF(Paths!$P$182="Complete",IF(C1936=10,Paths!$I$182,0),"n.a."))</f>
        <v>0</v>
      </c>
      <c r="M1936" s="16">
        <f>IF(NOT(Paths!$C$182=1),0,IF(Paths!$P$182="Complete",IF(AND(Paths!$D$182="EV",Paths!$E$182&lt;120,Paths!$E$182+'Operating costs'!$B$65&gt;Paths!$E$182,Paths!$E$182+'Operating costs'!$B$65&lt;=120,IF(Paths!$E$182+'Operating costs'!$B$65=0,C1936=0,AND(C1936&gt;0,Paths!$E$182+'Operating costs'!$B$65&gt;(C1936-1)*12,Paths!$E$182+'Operating costs'!$B$65&lt;=C1936*12))),'Operating costs'!$B$64,0)+IF(AND('Operating costs'!$B$67&gt;0,'Operating costs'!$B$67&lt;=120,OR(Paths!$D$182="ICE",'Operating costs'!$B$67&lt;=Paths!$E$182),IF('Operating costs'!$B$67=0,C1936=0,AND(C1936&gt;0,'Operating costs'!$B$67&gt;(C1936-1)*12,'Operating costs'!$B$67&lt;=C1936*12))),'Operating costs'!$B$66,0),"n.a."))</f>
        <v>0</v>
      </c>
      <c r="N1936" s="16">
        <f>IF(NOT(Paths!$C$182=1),0,IF(Paths!$P$182="Complete",SUM(G1936:I1936)-J1936-K1936-L1936+M1936+IF(C1936=0,Paths!$F$182,0)+IF(IF(Paths!$E$182=0,C1936=0,AND(C1936&gt;0,Paths!$E$182&gt;(C1936-1)*12,Paths!$E$182&lt;=C1936*12)),VLOOKUP(A1936,'Fleet register'!$A$7:$S$106,16,FALSE),0),"n.a."))</f>
        <v>0</v>
      </c>
      <c r="O1936" s="16">
        <f>IF(NOT(Paths!$C$182=1),0,IF(Paths!$P$182="Complete",N1936-IF(C1936=0,Paths!$F$182,0),"n.a."))</f>
        <v>0</v>
      </c>
      <c r="P1936" s="16">
        <f>IF(NOT(Paths!$C$182=1),0,IF(Paths!$P$182="Complete",O1936+L1936,"n.a."))</f>
        <v>0</v>
      </c>
      <c r="Q1936" s="16">
        <f>IF(NOT(Paths!$C$182=1),0,IF(Paths!$P$182="Complete",N1936*(1+'Operating costs'!$B$54)^-C1936,"n.a."))</f>
        <v>0</v>
      </c>
      <c r="R1936" s="16">
        <f>IF(NOT(Paths!$C$182=1),0,IF(Paths!$P$182="Complete",IF(AND(C1936=0,Paths!$E$182=0),I1936-J1936-K1936+VLOOKUP(A1936,'Fleet register'!$A$7:$S$106,15,FALSE)+VLOOKUP(A1936,'Fleet register'!$A$7:$S$106,16,FALSE),0),"n.a."))</f>
        <v>0</v>
      </c>
      <c r="S1936" s="1">
        <f>IF(NOT(Paths!$C$182=1),0,IF(Paths!$P$182="Complete",IF(C1936=0,0,Paths!$S$182*Paths!$R$182),"n.a."))</f>
        <v>0</v>
      </c>
      <c r="T1936" s="1">
        <f>IF(NOT(Paths!$C$182=1),0,IF(Paths!$P$182="Complete",IF(C1936=0,0,VLOOKUP(A1936,'Fleet register'!$A$7:$S$106,9,FALSE)*Paths!$R$182),"n.a."))</f>
        <v>0</v>
      </c>
    </row>
    <row r="1937" spans="1:20" ht="24" customHeight="1">
      <c r="A1937" s="1" t="str">
        <f>Paths!$A$182</f>
        <v>T044</v>
      </c>
      <c r="B1937" s="1">
        <f>Paths!$B$182</f>
        <v>3</v>
      </c>
      <c r="C1937" s="1">
        <v>5</v>
      </c>
      <c r="D1937" s="1">
        <v>182</v>
      </c>
      <c r="E1937" s="1">
        <f>IF(OR(Paths!$C$182=0,C1937=0),0,MAX(0,MIN(C1937*12,Paths!$E$182)-(C1937-1)*12))</f>
        <v>0</v>
      </c>
      <c r="F1937" s="1">
        <f>IF(OR(Paths!$C$182=0,C1937=0),0,12-E1937)</f>
        <v>0</v>
      </c>
      <c r="G1937" s="16">
        <f>IF(NOT(Paths!$C$182=1),0,IF(Paths!$P$182="Complete",E1937/12*(Paths!$J$182*(1+'Operating costs'!$B$51)^MAX(0,C1937-1)+Paths!$K$182*(1+'Operating costs'!$B$53)^MAX(0,C1937-1)),"n.a."))</f>
        <v>0</v>
      </c>
      <c r="H1937" s="16">
        <f>IF(NOT(Paths!$C$182=1),0,IF(Paths!$P$182="Complete",F1937/12*(Paths!$L$182*(1+IF(Paths!$D$182="EV",'Operating costs'!$B$52,'Operating costs'!$B$51))^MAX(0,C1937-1)+Paths!$M$182*(1+'Operating costs'!$B$53)^MAX(0,C1937-1)),"n.a."))</f>
        <v>0</v>
      </c>
      <c r="I1937" s="16">
        <f>IF(NOT(Paths!$C$182=1),0,IF(Paths!$P$182="Complete",IF(IF(Paths!$E$182=0,C1937=0,AND(C1937&gt;0,Paths!$E$182&gt;(C1937-1)*12,Paths!$E$182&lt;=C1937*12)),Paths!$G$182,0),"n.a."))</f>
        <v>0</v>
      </c>
      <c r="J1937" s="16">
        <f>IF(NOT(Paths!$C$182=1),0,IF(Paths!$P$182="Complete",IF(IF(Paths!$E$182=0,C1937=0,AND(C1937&gt;0,Paths!$E$182&gt;(C1937-1)*12,Paths!$E$182&lt;=C1937*12)),Paths!$H$182,0),"n.a."))</f>
        <v>0</v>
      </c>
      <c r="K1937" s="16">
        <f>IF(NOT(Paths!$C$182=1),0,IF(Paths!$P$182="Complete",IF(IF(Paths!$O$182=0,C1937=0,AND(C1937&gt;0,Paths!$O$182&gt;(C1937-1)*12,Paths!$O$182&lt;=C1937*12)),Paths!$N$182,0),"n.a."))</f>
        <v>0</v>
      </c>
      <c r="L1937" s="16">
        <f>IF(NOT(Paths!$C$182=1),0,IF(Paths!$P$182="Complete",IF(C1937=10,Paths!$I$182,0),"n.a."))</f>
        <v>0</v>
      </c>
      <c r="M1937" s="16">
        <f>IF(NOT(Paths!$C$182=1),0,IF(Paths!$P$182="Complete",IF(AND(Paths!$D$182="EV",Paths!$E$182&lt;120,Paths!$E$182+'Operating costs'!$B$65&gt;Paths!$E$182,Paths!$E$182+'Operating costs'!$B$65&lt;=120,IF(Paths!$E$182+'Operating costs'!$B$65=0,C1937=0,AND(C1937&gt;0,Paths!$E$182+'Operating costs'!$B$65&gt;(C1937-1)*12,Paths!$E$182+'Operating costs'!$B$65&lt;=C1937*12))),'Operating costs'!$B$64,0)+IF(AND('Operating costs'!$B$67&gt;0,'Operating costs'!$B$67&lt;=120,OR(Paths!$D$182="ICE",'Operating costs'!$B$67&lt;=Paths!$E$182),IF('Operating costs'!$B$67=0,C1937=0,AND(C1937&gt;0,'Operating costs'!$B$67&gt;(C1937-1)*12,'Operating costs'!$B$67&lt;=C1937*12))),'Operating costs'!$B$66,0),"n.a."))</f>
        <v>0</v>
      </c>
      <c r="N1937" s="16">
        <f>IF(NOT(Paths!$C$182=1),0,IF(Paths!$P$182="Complete",SUM(G1937:I1937)-J1937-K1937-L1937+M1937+IF(C1937=0,Paths!$F$182,0)+IF(IF(Paths!$E$182=0,C1937=0,AND(C1937&gt;0,Paths!$E$182&gt;(C1937-1)*12,Paths!$E$182&lt;=C1937*12)),VLOOKUP(A1937,'Fleet register'!$A$7:$S$106,16,FALSE),0),"n.a."))</f>
        <v>0</v>
      </c>
      <c r="O1937" s="16">
        <f>IF(NOT(Paths!$C$182=1),0,IF(Paths!$P$182="Complete",N1937-IF(C1937=0,Paths!$F$182,0),"n.a."))</f>
        <v>0</v>
      </c>
      <c r="P1937" s="16">
        <f>IF(NOT(Paths!$C$182=1),0,IF(Paths!$P$182="Complete",O1937+L1937,"n.a."))</f>
        <v>0</v>
      </c>
      <c r="Q1937" s="16">
        <f>IF(NOT(Paths!$C$182=1),0,IF(Paths!$P$182="Complete",N1937*(1+'Operating costs'!$B$54)^-C1937,"n.a."))</f>
        <v>0</v>
      </c>
      <c r="R1937" s="16">
        <f>IF(NOT(Paths!$C$182=1),0,IF(Paths!$P$182="Complete",IF(AND(C1937=0,Paths!$E$182=0),I1937-J1937-K1937+VLOOKUP(A1937,'Fleet register'!$A$7:$S$106,15,FALSE)+VLOOKUP(A1937,'Fleet register'!$A$7:$S$106,16,FALSE),0),"n.a."))</f>
        <v>0</v>
      </c>
      <c r="S1937" s="1">
        <f>IF(NOT(Paths!$C$182=1),0,IF(Paths!$P$182="Complete",IF(C1937=0,0,Paths!$S$182*Paths!$R$182),"n.a."))</f>
        <v>0</v>
      </c>
      <c r="T1937" s="1">
        <f>IF(NOT(Paths!$C$182=1),0,IF(Paths!$P$182="Complete",IF(C1937=0,0,VLOOKUP(A1937,'Fleet register'!$A$7:$S$106,9,FALSE)*Paths!$R$182),"n.a."))</f>
        <v>0</v>
      </c>
    </row>
    <row r="1938" spans="1:20" ht="24" customHeight="1">
      <c r="A1938" s="1" t="str">
        <f>Paths!$A$182</f>
        <v>T044</v>
      </c>
      <c r="B1938" s="1">
        <f>Paths!$B$182</f>
        <v>3</v>
      </c>
      <c r="C1938" s="1">
        <v>6</v>
      </c>
      <c r="D1938" s="1">
        <v>182</v>
      </c>
      <c r="E1938" s="1">
        <f>IF(OR(Paths!$C$182=0,C1938=0),0,MAX(0,MIN(C1938*12,Paths!$E$182)-(C1938-1)*12))</f>
        <v>0</v>
      </c>
      <c r="F1938" s="1">
        <f>IF(OR(Paths!$C$182=0,C1938=0),0,12-E1938)</f>
        <v>0</v>
      </c>
      <c r="G1938" s="16">
        <f>IF(NOT(Paths!$C$182=1),0,IF(Paths!$P$182="Complete",E1938/12*(Paths!$J$182*(1+'Operating costs'!$B$51)^MAX(0,C1938-1)+Paths!$K$182*(1+'Operating costs'!$B$53)^MAX(0,C1938-1)),"n.a."))</f>
        <v>0</v>
      </c>
      <c r="H1938" s="16">
        <f>IF(NOT(Paths!$C$182=1),0,IF(Paths!$P$182="Complete",F1938/12*(Paths!$L$182*(1+IF(Paths!$D$182="EV",'Operating costs'!$B$52,'Operating costs'!$B$51))^MAX(0,C1938-1)+Paths!$M$182*(1+'Operating costs'!$B$53)^MAX(0,C1938-1)),"n.a."))</f>
        <v>0</v>
      </c>
      <c r="I1938" s="16">
        <f>IF(NOT(Paths!$C$182=1),0,IF(Paths!$P$182="Complete",IF(IF(Paths!$E$182=0,C1938=0,AND(C1938&gt;0,Paths!$E$182&gt;(C1938-1)*12,Paths!$E$182&lt;=C1938*12)),Paths!$G$182,0),"n.a."))</f>
        <v>0</v>
      </c>
      <c r="J1938" s="16">
        <f>IF(NOT(Paths!$C$182=1),0,IF(Paths!$P$182="Complete",IF(IF(Paths!$E$182=0,C1938=0,AND(C1938&gt;0,Paths!$E$182&gt;(C1938-1)*12,Paths!$E$182&lt;=C1938*12)),Paths!$H$182,0),"n.a."))</f>
        <v>0</v>
      </c>
      <c r="K1938" s="16">
        <f>IF(NOT(Paths!$C$182=1),0,IF(Paths!$P$182="Complete",IF(IF(Paths!$O$182=0,C1938=0,AND(C1938&gt;0,Paths!$O$182&gt;(C1938-1)*12,Paths!$O$182&lt;=C1938*12)),Paths!$N$182,0),"n.a."))</f>
        <v>0</v>
      </c>
      <c r="L1938" s="16">
        <f>IF(NOT(Paths!$C$182=1),0,IF(Paths!$P$182="Complete",IF(C1938=10,Paths!$I$182,0),"n.a."))</f>
        <v>0</v>
      </c>
      <c r="M1938" s="16">
        <f>IF(NOT(Paths!$C$182=1),0,IF(Paths!$P$182="Complete",IF(AND(Paths!$D$182="EV",Paths!$E$182&lt;120,Paths!$E$182+'Operating costs'!$B$65&gt;Paths!$E$182,Paths!$E$182+'Operating costs'!$B$65&lt;=120,IF(Paths!$E$182+'Operating costs'!$B$65=0,C1938=0,AND(C1938&gt;0,Paths!$E$182+'Operating costs'!$B$65&gt;(C1938-1)*12,Paths!$E$182+'Operating costs'!$B$65&lt;=C1938*12))),'Operating costs'!$B$64,0)+IF(AND('Operating costs'!$B$67&gt;0,'Operating costs'!$B$67&lt;=120,OR(Paths!$D$182="ICE",'Operating costs'!$B$67&lt;=Paths!$E$182),IF('Operating costs'!$B$67=0,C1938=0,AND(C1938&gt;0,'Operating costs'!$B$67&gt;(C1938-1)*12,'Operating costs'!$B$67&lt;=C1938*12))),'Operating costs'!$B$66,0),"n.a."))</f>
        <v>0</v>
      </c>
      <c r="N1938" s="16">
        <f>IF(NOT(Paths!$C$182=1),0,IF(Paths!$P$182="Complete",SUM(G1938:I1938)-J1938-K1938-L1938+M1938+IF(C1938=0,Paths!$F$182,0)+IF(IF(Paths!$E$182=0,C1938=0,AND(C1938&gt;0,Paths!$E$182&gt;(C1938-1)*12,Paths!$E$182&lt;=C1938*12)),VLOOKUP(A1938,'Fleet register'!$A$7:$S$106,16,FALSE),0),"n.a."))</f>
        <v>0</v>
      </c>
      <c r="O1938" s="16">
        <f>IF(NOT(Paths!$C$182=1),0,IF(Paths!$P$182="Complete",N1938-IF(C1938=0,Paths!$F$182,0),"n.a."))</f>
        <v>0</v>
      </c>
      <c r="P1938" s="16">
        <f>IF(NOT(Paths!$C$182=1),0,IF(Paths!$P$182="Complete",O1938+L1938,"n.a."))</f>
        <v>0</v>
      </c>
      <c r="Q1938" s="16">
        <f>IF(NOT(Paths!$C$182=1),0,IF(Paths!$P$182="Complete",N1938*(1+'Operating costs'!$B$54)^-C1938,"n.a."))</f>
        <v>0</v>
      </c>
      <c r="R1938" s="16">
        <f>IF(NOT(Paths!$C$182=1),0,IF(Paths!$P$182="Complete",IF(AND(C1938=0,Paths!$E$182=0),I1938-J1938-K1938+VLOOKUP(A1938,'Fleet register'!$A$7:$S$106,15,FALSE)+VLOOKUP(A1938,'Fleet register'!$A$7:$S$106,16,FALSE),0),"n.a."))</f>
        <v>0</v>
      </c>
      <c r="S1938" s="1">
        <f>IF(NOT(Paths!$C$182=1),0,IF(Paths!$P$182="Complete",IF(C1938=0,0,Paths!$S$182*Paths!$R$182),"n.a."))</f>
        <v>0</v>
      </c>
      <c r="T1938" s="1">
        <f>IF(NOT(Paths!$C$182=1),0,IF(Paths!$P$182="Complete",IF(C1938=0,0,VLOOKUP(A1938,'Fleet register'!$A$7:$S$106,9,FALSE)*Paths!$R$182),"n.a."))</f>
        <v>0</v>
      </c>
    </row>
    <row r="1939" spans="1:20" ht="24" customHeight="1">
      <c r="A1939" s="1" t="str">
        <f>Paths!$A$182</f>
        <v>T044</v>
      </c>
      <c r="B1939" s="1">
        <f>Paths!$B$182</f>
        <v>3</v>
      </c>
      <c r="C1939" s="1">
        <v>7</v>
      </c>
      <c r="D1939" s="1">
        <v>182</v>
      </c>
      <c r="E1939" s="1">
        <f>IF(OR(Paths!$C$182=0,C1939=0),0,MAX(0,MIN(C1939*12,Paths!$E$182)-(C1939-1)*12))</f>
        <v>0</v>
      </c>
      <c r="F1939" s="1">
        <f>IF(OR(Paths!$C$182=0,C1939=0),0,12-E1939)</f>
        <v>0</v>
      </c>
      <c r="G1939" s="16">
        <f>IF(NOT(Paths!$C$182=1),0,IF(Paths!$P$182="Complete",E1939/12*(Paths!$J$182*(1+'Operating costs'!$B$51)^MAX(0,C1939-1)+Paths!$K$182*(1+'Operating costs'!$B$53)^MAX(0,C1939-1)),"n.a."))</f>
        <v>0</v>
      </c>
      <c r="H1939" s="16">
        <f>IF(NOT(Paths!$C$182=1),0,IF(Paths!$P$182="Complete",F1939/12*(Paths!$L$182*(1+IF(Paths!$D$182="EV",'Operating costs'!$B$52,'Operating costs'!$B$51))^MAX(0,C1939-1)+Paths!$M$182*(1+'Operating costs'!$B$53)^MAX(0,C1939-1)),"n.a."))</f>
        <v>0</v>
      </c>
      <c r="I1939" s="16">
        <f>IF(NOT(Paths!$C$182=1),0,IF(Paths!$P$182="Complete",IF(IF(Paths!$E$182=0,C1939=0,AND(C1939&gt;0,Paths!$E$182&gt;(C1939-1)*12,Paths!$E$182&lt;=C1939*12)),Paths!$G$182,0),"n.a."))</f>
        <v>0</v>
      </c>
      <c r="J1939" s="16">
        <f>IF(NOT(Paths!$C$182=1),0,IF(Paths!$P$182="Complete",IF(IF(Paths!$E$182=0,C1939=0,AND(C1939&gt;0,Paths!$E$182&gt;(C1939-1)*12,Paths!$E$182&lt;=C1939*12)),Paths!$H$182,0),"n.a."))</f>
        <v>0</v>
      </c>
      <c r="K1939" s="16">
        <f>IF(NOT(Paths!$C$182=1),0,IF(Paths!$P$182="Complete",IF(IF(Paths!$O$182=0,C1939=0,AND(C1939&gt;0,Paths!$O$182&gt;(C1939-1)*12,Paths!$O$182&lt;=C1939*12)),Paths!$N$182,0),"n.a."))</f>
        <v>0</v>
      </c>
      <c r="L1939" s="16">
        <f>IF(NOT(Paths!$C$182=1),0,IF(Paths!$P$182="Complete",IF(C1939=10,Paths!$I$182,0),"n.a."))</f>
        <v>0</v>
      </c>
      <c r="M1939" s="16">
        <f>IF(NOT(Paths!$C$182=1),0,IF(Paths!$P$182="Complete",IF(AND(Paths!$D$182="EV",Paths!$E$182&lt;120,Paths!$E$182+'Operating costs'!$B$65&gt;Paths!$E$182,Paths!$E$182+'Operating costs'!$B$65&lt;=120,IF(Paths!$E$182+'Operating costs'!$B$65=0,C1939=0,AND(C1939&gt;0,Paths!$E$182+'Operating costs'!$B$65&gt;(C1939-1)*12,Paths!$E$182+'Operating costs'!$B$65&lt;=C1939*12))),'Operating costs'!$B$64,0)+IF(AND('Operating costs'!$B$67&gt;0,'Operating costs'!$B$67&lt;=120,OR(Paths!$D$182="ICE",'Operating costs'!$B$67&lt;=Paths!$E$182),IF('Operating costs'!$B$67=0,C1939=0,AND(C1939&gt;0,'Operating costs'!$B$67&gt;(C1939-1)*12,'Operating costs'!$B$67&lt;=C1939*12))),'Operating costs'!$B$66,0),"n.a."))</f>
        <v>0</v>
      </c>
      <c r="N1939" s="16">
        <f>IF(NOT(Paths!$C$182=1),0,IF(Paths!$P$182="Complete",SUM(G1939:I1939)-J1939-K1939-L1939+M1939+IF(C1939=0,Paths!$F$182,0)+IF(IF(Paths!$E$182=0,C1939=0,AND(C1939&gt;0,Paths!$E$182&gt;(C1939-1)*12,Paths!$E$182&lt;=C1939*12)),VLOOKUP(A1939,'Fleet register'!$A$7:$S$106,16,FALSE),0),"n.a."))</f>
        <v>0</v>
      </c>
      <c r="O1939" s="16">
        <f>IF(NOT(Paths!$C$182=1),0,IF(Paths!$P$182="Complete",N1939-IF(C1939=0,Paths!$F$182,0),"n.a."))</f>
        <v>0</v>
      </c>
      <c r="P1939" s="16">
        <f>IF(NOT(Paths!$C$182=1),0,IF(Paths!$P$182="Complete",O1939+L1939,"n.a."))</f>
        <v>0</v>
      </c>
      <c r="Q1939" s="16">
        <f>IF(NOT(Paths!$C$182=1),0,IF(Paths!$P$182="Complete",N1939*(1+'Operating costs'!$B$54)^-C1939,"n.a."))</f>
        <v>0</v>
      </c>
      <c r="R1939" s="16">
        <f>IF(NOT(Paths!$C$182=1),0,IF(Paths!$P$182="Complete",IF(AND(C1939=0,Paths!$E$182=0),I1939-J1939-K1939+VLOOKUP(A1939,'Fleet register'!$A$7:$S$106,15,FALSE)+VLOOKUP(A1939,'Fleet register'!$A$7:$S$106,16,FALSE),0),"n.a."))</f>
        <v>0</v>
      </c>
      <c r="S1939" s="1">
        <f>IF(NOT(Paths!$C$182=1),0,IF(Paths!$P$182="Complete",IF(C1939=0,0,Paths!$S$182*Paths!$R$182),"n.a."))</f>
        <v>0</v>
      </c>
      <c r="T1939" s="1">
        <f>IF(NOT(Paths!$C$182=1),0,IF(Paths!$P$182="Complete",IF(C1939=0,0,VLOOKUP(A1939,'Fleet register'!$A$7:$S$106,9,FALSE)*Paths!$R$182),"n.a."))</f>
        <v>0</v>
      </c>
    </row>
    <row r="1940" spans="1:20" ht="24" customHeight="1">
      <c r="A1940" s="1" t="str">
        <f>Paths!$A$182</f>
        <v>T044</v>
      </c>
      <c r="B1940" s="1">
        <f>Paths!$B$182</f>
        <v>3</v>
      </c>
      <c r="C1940" s="1">
        <v>8</v>
      </c>
      <c r="D1940" s="1">
        <v>182</v>
      </c>
      <c r="E1940" s="1">
        <f>IF(OR(Paths!$C$182=0,C1940=0),0,MAX(0,MIN(C1940*12,Paths!$E$182)-(C1940-1)*12))</f>
        <v>0</v>
      </c>
      <c r="F1940" s="1">
        <f>IF(OR(Paths!$C$182=0,C1940=0),0,12-E1940)</f>
        <v>0</v>
      </c>
      <c r="G1940" s="16">
        <f>IF(NOT(Paths!$C$182=1),0,IF(Paths!$P$182="Complete",E1940/12*(Paths!$J$182*(1+'Operating costs'!$B$51)^MAX(0,C1940-1)+Paths!$K$182*(1+'Operating costs'!$B$53)^MAX(0,C1940-1)),"n.a."))</f>
        <v>0</v>
      </c>
      <c r="H1940" s="16">
        <f>IF(NOT(Paths!$C$182=1),0,IF(Paths!$P$182="Complete",F1940/12*(Paths!$L$182*(1+IF(Paths!$D$182="EV",'Operating costs'!$B$52,'Operating costs'!$B$51))^MAX(0,C1940-1)+Paths!$M$182*(1+'Operating costs'!$B$53)^MAX(0,C1940-1)),"n.a."))</f>
        <v>0</v>
      </c>
      <c r="I1940" s="16">
        <f>IF(NOT(Paths!$C$182=1),0,IF(Paths!$P$182="Complete",IF(IF(Paths!$E$182=0,C1940=0,AND(C1940&gt;0,Paths!$E$182&gt;(C1940-1)*12,Paths!$E$182&lt;=C1940*12)),Paths!$G$182,0),"n.a."))</f>
        <v>0</v>
      </c>
      <c r="J1940" s="16">
        <f>IF(NOT(Paths!$C$182=1),0,IF(Paths!$P$182="Complete",IF(IF(Paths!$E$182=0,C1940=0,AND(C1940&gt;0,Paths!$E$182&gt;(C1940-1)*12,Paths!$E$182&lt;=C1940*12)),Paths!$H$182,0),"n.a."))</f>
        <v>0</v>
      </c>
      <c r="K1940" s="16">
        <f>IF(NOT(Paths!$C$182=1),0,IF(Paths!$P$182="Complete",IF(IF(Paths!$O$182=0,C1940=0,AND(C1940&gt;0,Paths!$O$182&gt;(C1940-1)*12,Paths!$O$182&lt;=C1940*12)),Paths!$N$182,0),"n.a."))</f>
        <v>0</v>
      </c>
      <c r="L1940" s="16">
        <f>IF(NOT(Paths!$C$182=1),0,IF(Paths!$P$182="Complete",IF(C1940=10,Paths!$I$182,0),"n.a."))</f>
        <v>0</v>
      </c>
      <c r="M1940" s="16">
        <f>IF(NOT(Paths!$C$182=1),0,IF(Paths!$P$182="Complete",IF(AND(Paths!$D$182="EV",Paths!$E$182&lt;120,Paths!$E$182+'Operating costs'!$B$65&gt;Paths!$E$182,Paths!$E$182+'Operating costs'!$B$65&lt;=120,IF(Paths!$E$182+'Operating costs'!$B$65=0,C1940=0,AND(C1940&gt;0,Paths!$E$182+'Operating costs'!$B$65&gt;(C1940-1)*12,Paths!$E$182+'Operating costs'!$B$65&lt;=C1940*12))),'Operating costs'!$B$64,0)+IF(AND('Operating costs'!$B$67&gt;0,'Operating costs'!$B$67&lt;=120,OR(Paths!$D$182="ICE",'Operating costs'!$B$67&lt;=Paths!$E$182),IF('Operating costs'!$B$67=0,C1940=0,AND(C1940&gt;0,'Operating costs'!$B$67&gt;(C1940-1)*12,'Operating costs'!$B$67&lt;=C1940*12))),'Operating costs'!$B$66,0),"n.a."))</f>
        <v>0</v>
      </c>
      <c r="N1940" s="16">
        <f>IF(NOT(Paths!$C$182=1),0,IF(Paths!$P$182="Complete",SUM(G1940:I1940)-J1940-K1940-L1940+M1940+IF(C1940=0,Paths!$F$182,0)+IF(IF(Paths!$E$182=0,C1940=0,AND(C1940&gt;0,Paths!$E$182&gt;(C1940-1)*12,Paths!$E$182&lt;=C1940*12)),VLOOKUP(A1940,'Fleet register'!$A$7:$S$106,16,FALSE),0),"n.a."))</f>
        <v>0</v>
      </c>
      <c r="O1940" s="16">
        <f>IF(NOT(Paths!$C$182=1),0,IF(Paths!$P$182="Complete",N1940-IF(C1940=0,Paths!$F$182,0),"n.a."))</f>
        <v>0</v>
      </c>
      <c r="P1940" s="16">
        <f>IF(NOT(Paths!$C$182=1),0,IF(Paths!$P$182="Complete",O1940+L1940,"n.a."))</f>
        <v>0</v>
      </c>
      <c r="Q1940" s="16">
        <f>IF(NOT(Paths!$C$182=1),0,IF(Paths!$P$182="Complete",N1940*(1+'Operating costs'!$B$54)^-C1940,"n.a."))</f>
        <v>0</v>
      </c>
      <c r="R1940" s="16">
        <f>IF(NOT(Paths!$C$182=1),0,IF(Paths!$P$182="Complete",IF(AND(C1940=0,Paths!$E$182=0),I1940-J1940-K1940+VLOOKUP(A1940,'Fleet register'!$A$7:$S$106,15,FALSE)+VLOOKUP(A1940,'Fleet register'!$A$7:$S$106,16,FALSE),0),"n.a."))</f>
        <v>0</v>
      </c>
      <c r="S1940" s="1">
        <f>IF(NOT(Paths!$C$182=1),0,IF(Paths!$P$182="Complete",IF(C1940=0,0,Paths!$S$182*Paths!$R$182),"n.a."))</f>
        <v>0</v>
      </c>
      <c r="T1940" s="1">
        <f>IF(NOT(Paths!$C$182=1),0,IF(Paths!$P$182="Complete",IF(C1940=0,0,VLOOKUP(A1940,'Fleet register'!$A$7:$S$106,9,FALSE)*Paths!$R$182),"n.a."))</f>
        <v>0</v>
      </c>
    </row>
    <row r="1941" spans="1:20" ht="24" customHeight="1">
      <c r="A1941" s="1" t="str">
        <f>Paths!$A$182</f>
        <v>T044</v>
      </c>
      <c r="B1941" s="1">
        <f>Paths!$B$182</f>
        <v>3</v>
      </c>
      <c r="C1941" s="1">
        <v>9</v>
      </c>
      <c r="D1941" s="1">
        <v>182</v>
      </c>
      <c r="E1941" s="1">
        <f>IF(OR(Paths!$C$182=0,C1941=0),0,MAX(0,MIN(C1941*12,Paths!$E$182)-(C1941-1)*12))</f>
        <v>0</v>
      </c>
      <c r="F1941" s="1">
        <f>IF(OR(Paths!$C$182=0,C1941=0),0,12-E1941)</f>
        <v>0</v>
      </c>
      <c r="G1941" s="16">
        <f>IF(NOT(Paths!$C$182=1),0,IF(Paths!$P$182="Complete",E1941/12*(Paths!$J$182*(1+'Operating costs'!$B$51)^MAX(0,C1941-1)+Paths!$K$182*(1+'Operating costs'!$B$53)^MAX(0,C1941-1)),"n.a."))</f>
        <v>0</v>
      </c>
      <c r="H1941" s="16">
        <f>IF(NOT(Paths!$C$182=1),0,IF(Paths!$P$182="Complete",F1941/12*(Paths!$L$182*(1+IF(Paths!$D$182="EV",'Operating costs'!$B$52,'Operating costs'!$B$51))^MAX(0,C1941-1)+Paths!$M$182*(1+'Operating costs'!$B$53)^MAX(0,C1941-1)),"n.a."))</f>
        <v>0</v>
      </c>
      <c r="I1941" s="16">
        <f>IF(NOT(Paths!$C$182=1),0,IF(Paths!$P$182="Complete",IF(IF(Paths!$E$182=0,C1941=0,AND(C1941&gt;0,Paths!$E$182&gt;(C1941-1)*12,Paths!$E$182&lt;=C1941*12)),Paths!$G$182,0),"n.a."))</f>
        <v>0</v>
      </c>
      <c r="J1941" s="16">
        <f>IF(NOT(Paths!$C$182=1),0,IF(Paths!$P$182="Complete",IF(IF(Paths!$E$182=0,C1941=0,AND(C1941&gt;0,Paths!$E$182&gt;(C1941-1)*12,Paths!$E$182&lt;=C1941*12)),Paths!$H$182,0),"n.a."))</f>
        <v>0</v>
      </c>
      <c r="K1941" s="16">
        <f>IF(NOT(Paths!$C$182=1),0,IF(Paths!$P$182="Complete",IF(IF(Paths!$O$182=0,C1941=0,AND(C1941&gt;0,Paths!$O$182&gt;(C1941-1)*12,Paths!$O$182&lt;=C1941*12)),Paths!$N$182,0),"n.a."))</f>
        <v>0</v>
      </c>
      <c r="L1941" s="16">
        <f>IF(NOT(Paths!$C$182=1),0,IF(Paths!$P$182="Complete",IF(C1941=10,Paths!$I$182,0),"n.a."))</f>
        <v>0</v>
      </c>
      <c r="M1941" s="16">
        <f>IF(NOT(Paths!$C$182=1),0,IF(Paths!$P$182="Complete",IF(AND(Paths!$D$182="EV",Paths!$E$182&lt;120,Paths!$E$182+'Operating costs'!$B$65&gt;Paths!$E$182,Paths!$E$182+'Operating costs'!$B$65&lt;=120,IF(Paths!$E$182+'Operating costs'!$B$65=0,C1941=0,AND(C1941&gt;0,Paths!$E$182+'Operating costs'!$B$65&gt;(C1941-1)*12,Paths!$E$182+'Operating costs'!$B$65&lt;=C1941*12))),'Operating costs'!$B$64,0)+IF(AND('Operating costs'!$B$67&gt;0,'Operating costs'!$B$67&lt;=120,OR(Paths!$D$182="ICE",'Operating costs'!$B$67&lt;=Paths!$E$182),IF('Operating costs'!$B$67=0,C1941=0,AND(C1941&gt;0,'Operating costs'!$B$67&gt;(C1941-1)*12,'Operating costs'!$B$67&lt;=C1941*12))),'Operating costs'!$B$66,0),"n.a."))</f>
        <v>0</v>
      </c>
      <c r="N1941" s="16">
        <f>IF(NOT(Paths!$C$182=1),0,IF(Paths!$P$182="Complete",SUM(G1941:I1941)-J1941-K1941-L1941+M1941+IF(C1941=0,Paths!$F$182,0)+IF(IF(Paths!$E$182=0,C1941=0,AND(C1941&gt;0,Paths!$E$182&gt;(C1941-1)*12,Paths!$E$182&lt;=C1941*12)),VLOOKUP(A1941,'Fleet register'!$A$7:$S$106,16,FALSE),0),"n.a."))</f>
        <v>0</v>
      </c>
      <c r="O1941" s="16">
        <f>IF(NOT(Paths!$C$182=1),0,IF(Paths!$P$182="Complete",N1941-IF(C1941=0,Paths!$F$182,0),"n.a."))</f>
        <v>0</v>
      </c>
      <c r="P1941" s="16">
        <f>IF(NOT(Paths!$C$182=1),0,IF(Paths!$P$182="Complete",O1941+L1941,"n.a."))</f>
        <v>0</v>
      </c>
      <c r="Q1941" s="16">
        <f>IF(NOT(Paths!$C$182=1),0,IF(Paths!$P$182="Complete",N1941*(1+'Operating costs'!$B$54)^-C1941,"n.a."))</f>
        <v>0</v>
      </c>
      <c r="R1941" s="16">
        <f>IF(NOT(Paths!$C$182=1),0,IF(Paths!$P$182="Complete",IF(AND(C1941=0,Paths!$E$182=0),I1941-J1941-K1941+VLOOKUP(A1941,'Fleet register'!$A$7:$S$106,15,FALSE)+VLOOKUP(A1941,'Fleet register'!$A$7:$S$106,16,FALSE),0),"n.a."))</f>
        <v>0</v>
      </c>
      <c r="S1941" s="1">
        <f>IF(NOT(Paths!$C$182=1),0,IF(Paths!$P$182="Complete",IF(C1941=0,0,Paths!$S$182*Paths!$R$182),"n.a."))</f>
        <v>0</v>
      </c>
      <c r="T1941" s="1">
        <f>IF(NOT(Paths!$C$182=1),0,IF(Paths!$P$182="Complete",IF(C1941=0,0,VLOOKUP(A1941,'Fleet register'!$A$7:$S$106,9,FALSE)*Paths!$R$182),"n.a."))</f>
        <v>0</v>
      </c>
    </row>
    <row r="1942" spans="1:20" ht="24" customHeight="1">
      <c r="A1942" s="1" t="str">
        <f>Paths!$A$182</f>
        <v>T044</v>
      </c>
      <c r="B1942" s="1">
        <f>Paths!$B$182</f>
        <v>3</v>
      </c>
      <c r="C1942" s="1">
        <v>10</v>
      </c>
      <c r="D1942" s="1">
        <v>182</v>
      </c>
      <c r="E1942" s="1">
        <f>IF(OR(Paths!$C$182=0,C1942=0),0,MAX(0,MIN(C1942*12,Paths!$E$182)-(C1942-1)*12))</f>
        <v>0</v>
      </c>
      <c r="F1942" s="1">
        <f>IF(OR(Paths!$C$182=0,C1942=0),0,12-E1942)</f>
        <v>0</v>
      </c>
      <c r="G1942" s="16">
        <f>IF(NOT(Paths!$C$182=1),0,IF(Paths!$P$182="Complete",E1942/12*(Paths!$J$182*(1+'Operating costs'!$B$51)^MAX(0,C1942-1)+Paths!$K$182*(1+'Operating costs'!$B$53)^MAX(0,C1942-1)),"n.a."))</f>
        <v>0</v>
      </c>
      <c r="H1942" s="16">
        <f>IF(NOT(Paths!$C$182=1),0,IF(Paths!$P$182="Complete",F1942/12*(Paths!$L$182*(1+IF(Paths!$D$182="EV",'Operating costs'!$B$52,'Operating costs'!$B$51))^MAX(0,C1942-1)+Paths!$M$182*(1+'Operating costs'!$B$53)^MAX(0,C1942-1)),"n.a."))</f>
        <v>0</v>
      </c>
      <c r="I1942" s="16">
        <f>IF(NOT(Paths!$C$182=1),0,IF(Paths!$P$182="Complete",IF(IF(Paths!$E$182=0,C1942=0,AND(C1942&gt;0,Paths!$E$182&gt;(C1942-1)*12,Paths!$E$182&lt;=C1942*12)),Paths!$G$182,0),"n.a."))</f>
        <v>0</v>
      </c>
      <c r="J1942" s="16">
        <f>IF(NOT(Paths!$C$182=1),0,IF(Paths!$P$182="Complete",IF(IF(Paths!$E$182=0,C1942=0,AND(C1942&gt;0,Paths!$E$182&gt;(C1942-1)*12,Paths!$E$182&lt;=C1942*12)),Paths!$H$182,0),"n.a."))</f>
        <v>0</v>
      </c>
      <c r="K1942" s="16">
        <f>IF(NOT(Paths!$C$182=1),0,IF(Paths!$P$182="Complete",IF(IF(Paths!$O$182=0,C1942=0,AND(C1942&gt;0,Paths!$O$182&gt;(C1942-1)*12,Paths!$O$182&lt;=C1942*12)),Paths!$N$182,0),"n.a."))</f>
        <v>0</v>
      </c>
      <c r="L1942" s="16">
        <f>IF(NOT(Paths!$C$182=1),0,IF(Paths!$P$182="Complete",IF(C1942=10,Paths!$I$182,0),"n.a."))</f>
        <v>0</v>
      </c>
      <c r="M1942" s="16">
        <f>IF(NOT(Paths!$C$182=1),0,IF(Paths!$P$182="Complete",IF(AND(Paths!$D$182="EV",Paths!$E$182&lt;120,Paths!$E$182+'Operating costs'!$B$65&gt;Paths!$E$182,Paths!$E$182+'Operating costs'!$B$65&lt;=120,IF(Paths!$E$182+'Operating costs'!$B$65=0,C1942=0,AND(C1942&gt;0,Paths!$E$182+'Operating costs'!$B$65&gt;(C1942-1)*12,Paths!$E$182+'Operating costs'!$B$65&lt;=C1942*12))),'Operating costs'!$B$64,0)+IF(AND('Operating costs'!$B$67&gt;0,'Operating costs'!$B$67&lt;=120,OR(Paths!$D$182="ICE",'Operating costs'!$B$67&lt;=Paths!$E$182),IF('Operating costs'!$B$67=0,C1942=0,AND(C1942&gt;0,'Operating costs'!$B$67&gt;(C1942-1)*12,'Operating costs'!$B$67&lt;=C1942*12))),'Operating costs'!$B$66,0),"n.a."))</f>
        <v>0</v>
      </c>
      <c r="N1942" s="16">
        <f>IF(NOT(Paths!$C$182=1),0,IF(Paths!$P$182="Complete",SUM(G1942:I1942)-J1942-K1942-L1942+M1942+IF(C1942=0,Paths!$F$182,0)+IF(IF(Paths!$E$182=0,C1942=0,AND(C1942&gt;0,Paths!$E$182&gt;(C1942-1)*12,Paths!$E$182&lt;=C1942*12)),VLOOKUP(A1942,'Fleet register'!$A$7:$S$106,16,FALSE),0),"n.a."))</f>
        <v>0</v>
      </c>
      <c r="O1942" s="16">
        <f>IF(NOT(Paths!$C$182=1),0,IF(Paths!$P$182="Complete",N1942-IF(C1942=0,Paths!$F$182,0),"n.a."))</f>
        <v>0</v>
      </c>
      <c r="P1942" s="16">
        <f>IF(NOT(Paths!$C$182=1),0,IF(Paths!$P$182="Complete",O1942+L1942,"n.a."))</f>
        <v>0</v>
      </c>
      <c r="Q1942" s="16">
        <f>IF(NOT(Paths!$C$182=1),0,IF(Paths!$P$182="Complete",N1942*(1+'Operating costs'!$B$54)^-C1942,"n.a."))</f>
        <v>0</v>
      </c>
      <c r="R1942" s="16">
        <f>IF(NOT(Paths!$C$182=1),0,IF(Paths!$P$182="Complete",IF(AND(C1942=0,Paths!$E$182=0),I1942-J1942-K1942+VLOOKUP(A1942,'Fleet register'!$A$7:$S$106,15,FALSE)+VLOOKUP(A1942,'Fleet register'!$A$7:$S$106,16,FALSE),0),"n.a."))</f>
        <v>0</v>
      </c>
      <c r="S1942" s="1">
        <f>IF(NOT(Paths!$C$182=1),0,IF(Paths!$P$182="Complete",IF(C1942=0,0,Paths!$S$182*Paths!$R$182),"n.a."))</f>
        <v>0</v>
      </c>
      <c r="T1942" s="1">
        <f>IF(NOT(Paths!$C$182=1),0,IF(Paths!$P$182="Complete",IF(C1942=0,0,VLOOKUP(A1942,'Fleet register'!$A$7:$S$106,9,FALSE)*Paths!$R$182),"n.a."))</f>
        <v>0</v>
      </c>
    </row>
    <row r="1943" spans="1:20" ht="24" customHeight="1">
      <c r="A1943" s="1" t="str">
        <f>Paths!$A$183</f>
        <v>T045</v>
      </c>
      <c r="B1943" s="1">
        <f>Paths!$B$183</f>
        <v>0</v>
      </c>
      <c r="C1943" s="1">
        <v>0</v>
      </c>
      <c r="D1943" s="1">
        <v>183</v>
      </c>
      <c r="E1943" s="1">
        <f>IF(OR(Paths!$C$183=0,C1943=0),0,MAX(0,MIN(C1943*12,Paths!$E$183)-(C1943-1)*12))</f>
        <v>0</v>
      </c>
      <c r="F1943" s="1">
        <f>IF(OR(Paths!$C$183=0,C1943=0),0,12-E1943)</f>
        <v>0</v>
      </c>
      <c r="G1943" s="16">
        <f>IF(NOT(Paths!$C$183=1),0,IF(Paths!$P$183="Complete",E1943/12*(Paths!$J$183*(1+'Operating costs'!$B$51)^MAX(0,C1943-1)+Paths!$K$183*(1+'Operating costs'!$B$53)^MAX(0,C1943-1)),"n.a."))</f>
        <v>0</v>
      </c>
      <c r="H1943" s="16">
        <f>IF(NOT(Paths!$C$183=1),0,IF(Paths!$P$183="Complete",F1943/12*(Paths!$L$183*(1+IF(Paths!$D$183="EV",'Operating costs'!$B$52,'Operating costs'!$B$51))^MAX(0,C1943-1)+Paths!$M$183*(1+'Operating costs'!$B$53)^MAX(0,C1943-1)),"n.a."))</f>
        <v>0</v>
      </c>
      <c r="I1943" s="16">
        <f>IF(NOT(Paths!$C$183=1),0,IF(Paths!$P$183="Complete",IF(IF(Paths!$E$183=0,C1943=0,AND(C1943&gt;0,Paths!$E$183&gt;(C1943-1)*12,Paths!$E$183&lt;=C1943*12)),Paths!$G$183,0),"n.a."))</f>
        <v>0</v>
      </c>
      <c r="J1943" s="16">
        <f>IF(NOT(Paths!$C$183=1),0,IF(Paths!$P$183="Complete",IF(IF(Paths!$E$183=0,C1943=0,AND(C1943&gt;0,Paths!$E$183&gt;(C1943-1)*12,Paths!$E$183&lt;=C1943*12)),Paths!$H$183,0),"n.a."))</f>
        <v>0</v>
      </c>
      <c r="K1943" s="16">
        <f>IF(NOT(Paths!$C$183=1),0,IF(Paths!$P$183="Complete",IF(IF(Paths!$O$183=0,C1943=0,AND(C1943&gt;0,Paths!$O$183&gt;(C1943-1)*12,Paths!$O$183&lt;=C1943*12)),Paths!$N$183,0),"n.a."))</f>
        <v>0</v>
      </c>
      <c r="L1943" s="16">
        <f>IF(NOT(Paths!$C$183=1),0,IF(Paths!$P$183="Complete",IF(C1943=10,Paths!$I$183,0),"n.a."))</f>
        <v>0</v>
      </c>
      <c r="M1943" s="16">
        <f>IF(NOT(Paths!$C$183=1),0,IF(Paths!$P$183="Complete",IF(AND(Paths!$D$183="EV",Paths!$E$183&lt;120,Paths!$E$183+'Operating costs'!$B$65&gt;Paths!$E$183,Paths!$E$183+'Operating costs'!$B$65&lt;=120,IF(Paths!$E$183+'Operating costs'!$B$65=0,C1943=0,AND(C1943&gt;0,Paths!$E$183+'Operating costs'!$B$65&gt;(C1943-1)*12,Paths!$E$183+'Operating costs'!$B$65&lt;=C1943*12))),'Operating costs'!$B$64,0)+IF(AND('Operating costs'!$B$67&gt;0,'Operating costs'!$B$67&lt;=120,OR(Paths!$D$183="ICE",'Operating costs'!$B$67&lt;=Paths!$E$183),IF('Operating costs'!$B$67=0,C1943=0,AND(C1943&gt;0,'Operating costs'!$B$67&gt;(C1943-1)*12,'Operating costs'!$B$67&lt;=C1943*12))),'Operating costs'!$B$66,0),"n.a."))</f>
        <v>0</v>
      </c>
      <c r="N1943" s="16">
        <f>IF(NOT(Paths!$C$183=1),0,IF(Paths!$P$183="Complete",SUM(G1943:I1943)-J1943-K1943-L1943+M1943+IF(C1943=0,Paths!$F$183,0)+IF(IF(Paths!$E$183=0,C1943=0,AND(C1943&gt;0,Paths!$E$183&gt;(C1943-1)*12,Paths!$E$183&lt;=C1943*12)),VLOOKUP(A1943,'Fleet register'!$A$7:$S$106,16,FALSE),0),"n.a."))</f>
        <v>0</v>
      </c>
      <c r="O1943" s="16">
        <f>IF(NOT(Paths!$C$183=1),0,IF(Paths!$P$183="Complete",N1943-IF(C1943=0,Paths!$F$183,0),"n.a."))</f>
        <v>0</v>
      </c>
      <c r="P1943" s="16">
        <f>IF(NOT(Paths!$C$183=1),0,IF(Paths!$P$183="Complete",O1943+L1943,"n.a."))</f>
        <v>0</v>
      </c>
      <c r="Q1943" s="16">
        <f>IF(NOT(Paths!$C$183=1),0,IF(Paths!$P$183="Complete",N1943*(1+'Operating costs'!$B$54)^-C1943,"n.a."))</f>
        <v>0</v>
      </c>
      <c r="R1943" s="16">
        <f>IF(NOT(Paths!$C$183=1),0,IF(Paths!$P$183="Complete",IF(AND(C1943=0,Paths!$E$183=0),I1943-J1943-K1943+VLOOKUP(A1943,'Fleet register'!$A$7:$S$106,15,FALSE)+VLOOKUP(A1943,'Fleet register'!$A$7:$S$106,16,FALSE),0),"n.a."))</f>
        <v>0</v>
      </c>
      <c r="S1943" s="1">
        <f>IF(NOT(Paths!$C$183=1),0,IF(Paths!$P$183="Complete",IF(C1943=0,0,Paths!$S$183*Paths!$R$183),"n.a."))</f>
        <v>0</v>
      </c>
      <c r="T1943" s="1">
        <f>IF(NOT(Paths!$C$183=1),0,IF(Paths!$P$183="Complete",IF(C1943=0,0,VLOOKUP(A1943,'Fleet register'!$A$7:$S$106,9,FALSE)*Paths!$R$183),"n.a."))</f>
        <v>0</v>
      </c>
    </row>
    <row r="1944" spans="1:20" ht="24" customHeight="1">
      <c r="A1944" s="1" t="str">
        <f>Paths!$A$183</f>
        <v>T045</v>
      </c>
      <c r="B1944" s="1">
        <f>Paths!$B$183</f>
        <v>0</v>
      </c>
      <c r="C1944" s="1">
        <v>1</v>
      </c>
      <c r="D1944" s="1">
        <v>183</v>
      </c>
      <c r="E1944" s="1">
        <f>IF(OR(Paths!$C$183=0,C1944=0),0,MAX(0,MIN(C1944*12,Paths!$E$183)-(C1944-1)*12))</f>
        <v>0</v>
      </c>
      <c r="F1944" s="1">
        <f>IF(OR(Paths!$C$183=0,C1944=0),0,12-E1944)</f>
        <v>0</v>
      </c>
      <c r="G1944" s="16">
        <f>IF(NOT(Paths!$C$183=1),0,IF(Paths!$P$183="Complete",E1944/12*(Paths!$J$183*(1+'Operating costs'!$B$51)^MAX(0,C1944-1)+Paths!$K$183*(1+'Operating costs'!$B$53)^MAX(0,C1944-1)),"n.a."))</f>
        <v>0</v>
      </c>
      <c r="H1944" s="16">
        <f>IF(NOT(Paths!$C$183=1),0,IF(Paths!$P$183="Complete",F1944/12*(Paths!$L$183*(1+IF(Paths!$D$183="EV",'Operating costs'!$B$52,'Operating costs'!$B$51))^MAX(0,C1944-1)+Paths!$M$183*(1+'Operating costs'!$B$53)^MAX(0,C1944-1)),"n.a."))</f>
        <v>0</v>
      </c>
      <c r="I1944" s="16">
        <f>IF(NOT(Paths!$C$183=1),0,IF(Paths!$P$183="Complete",IF(IF(Paths!$E$183=0,C1944=0,AND(C1944&gt;0,Paths!$E$183&gt;(C1944-1)*12,Paths!$E$183&lt;=C1944*12)),Paths!$G$183,0),"n.a."))</f>
        <v>0</v>
      </c>
      <c r="J1944" s="16">
        <f>IF(NOT(Paths!$C$183=1),0,IF(Paths!$P$183="Complete",IF(IF(Paths!$E$183=0,C1944=0,AND(C1944&gt;0,Paths!$E$183&gt;(C1944-1)*12,Paths!$E$183&lt;=C1944*12)),Paths!$H$183,0),"n.a."))</f>
        <v>0</v>
      </c>
      <c r="K1944" s="16">
        <f>IF(NOT(Paths!$C$183=1),0,IF(Paths!$P$183="Complete",IF(IF(Paths!$O$183=0,C1944=0,AND(C1944&gt;0,Paths!$O$183&gt;(C1944-1)*12,Paths!$O$183&lt;=C1944*12)),Paths!$N$183,0),"n.a."))</f>
        <v>0</v>
      </c>
      <c r="L1944" s="16">
        <f>IF(NOT(Paths!$C$183=1),0,IF(Paths!$P$183="Complete",IF(C1944=10,Paths!$I$183,0),"n.a."))</f>
        <v>0</v>
      </c>
      <c r="M1944" s="16">
        <f>IF(NOT(Paths!$C$183=1),0,IF(Paths!$P$183="Complete",IF(AND(Paths!$D$183="EV",Paths!$E$183&lt;120,Paths!$E$183+'Operating costs'!$B$65&gt;Paths!$E$183,Paths!$E$183+'Operating costs'!$B$65&lt;=120,IF(Paths!$E$183+'Operating costs'!$B$65=0,C1944=0,AND(C1944&gt;0,Paths!$E$183+'Operating costs'!$B$65&gt;(C1944-1)*12,Paths!$E$183+'Operating costs'!$B$65&lt;=C1944*12))),'Operating costs'!$B$64,0)+IF(AND('Operating costs'!$B$67&gt;0,'Operating costs'!$B$67&lt;=120,OR(Paths!$D$183="ICE",'Operating costs'!$B$67&lt;=Paths!$E$183),IF('Operating costs'!$B$67=0,C1944=0,AND(C1944&gt;0,'Operating costs'!$B$67&gt;(C1944-1)*12,'Operating costs'!$B$67&lt;=C1944*12))),'Operating costs'!$B$66,0),"n.a."))</f>
        <v>0</v>
      </c>
      <c r="N1944" s="16">
        <f>IF(NOT(Paths!$C$183=1),0,IF(Paths!$P$183="Complete",SUM(G1944:I1944)-J1944-K1944-L1944+M1944+IF(C1944=0,Paths!$F$183,0)+IF(IF(Paths!$E$183=0,C1944=0,AND(C1944&gt;0,Paths!$E$183&gt;(C1944-1)*12,Paths!$E$183&lt;=C1944*12)),VLOOKUP(A1944,'Fleet register'!$A$7:$S$106,16,FALSE),0),"n.a."))</f>
        <v>0</v>
      </c>
      <c r="O1944" s="16">
        <f>IF(NOT(Paths!$C$183=1),0,IF(Paths!$P$183="Complete",N1944-IF(C1944=0,Paths!$F$183,0),"n.a."))</f>
        <v>0</v>
      </c>
      <c r="P1944" s="16">
        <f>IF(NOT(Paths!$C$183=1),0,IF(Paths!$P$183="Complete",O1944+L1944,"n.a."))</f>
        <v>0</v>
      </c>
      <c r="Q1944" s="16">
        <f>IF(NOT(Paths!$C$183=1),0,IF(Paths!$P$183="Complete",N1944*(1+'Operating costs'!$B$54)^-C1944,"n.a."))</f>
        <v>0</v>
      </c>
      <c r="R1944" s="16">
        <f>IF(NOT(Paths!$C$183=1),0,IF(Paths!$P$183="Complete",IF(AND(C1944=0,Paths!$E$183=0),I1944-J1944-K1944+VLOOKUP(A1944,'Fleet register'!$A$7:$S$106,15,FALSE)+VLOOKUP(A1944,'Fleet register'!$A$7:$S$106,16,FALSE),0),"n.a."))</f>
        <v>0</v>
      </c>
      <c r="S1944" s="1">
        <f>IF(NOT(Paths!$C$183=1),0,IF(Paths!$P$183="Complete",IF(C1944=0,0,Paths!$S$183*Paths!$R$183),"n.a."))</f>
        <v>0</v>
      </c>
      <c r="T1944" s="1">
        <f>IF(NOT(Paths!$C$183=1),0,IF(Paths!$P$183="Complete",IF(C1944=0,0,VLOOKUP(A1944,'Fleet register'!$A$7:$S$106,9,FALSE)*Paths!$R$183),"n.a."))</f>
        <v>0</v>
      </c>
    </row>
    <row r="1945" spans="1:20" ht="24" customHeight="1">
      <c r="A1945" s="1" t="str">
        <f>Paths!$A$183</f>
        <v>T045</v>
      </c>
      <c r="B1945" s="1">
        <f>Paths!$B$183</f>
        <v>0</v>
      </c>
      <c r="C1945" s="1">
        <v>2</v>
      </c>
      <c r="D1945" s="1">
        <v>183</v>
      </c>
      <c r="E1945" s="1">
        <f>IF(OR(Paths!$C$183=0,C1945=0),0,MAX(0,MIN(C1945*12,Paths!$E$183)-(C1945-1)*12))</f>
        <v>0</v>
      </c>
      <c r="F1945" s="1">
        <f>IF(OR(Paths!$C$183=0,C1945=0),0,12-E1945)</f>
        <v>0</v>
      </c>
      <c r="G1945" s="16">
        <f>IF(NOT(Paths!$C$183=1),0,IF(Paths!$P$183="Complete",E1945/12*(Paths!$J$183*(1+'Operating costs'!$B$51)^MAX(0,C1945-1)+Paths!$K$183*(1+'Operating costs'!$B$53)^MAX(0,C1945-1)),"n.a."))</f>
        <v>0</v>
      </c>
      <c r="H1945" s="16">
        <f>IF(NOT(Paths!$C$183=1),0,IF(Paths!$P$183="Complete",F1945/12*(Paths!$L$183*(1+IF(Paths!$D$183="EV",'Operating costs'!$B$52,'Operating costs'!$B$51))^MAX(0,C1945-1)+Paths!$M$183*(1+'Operating costs'!$B$53)^MAX(0,C1945-1)),"n.a."))</f>
        <v>0</v>
      </c>
      <c r="I1945" s="16">
        <f>IF(NOT(Paths!$C$183=1),0,IF(Paths!$P$183="Complete",IF(IF(Paths!$E$183=0,C1945=0,AND(C1945&gt;0,Paths!$E$183&gt;(C1945-1)*12,Paths!$E$183&lt;=C1945*12)),Paths!$G$183,0),"n.a."))</f>
        <v>0</v>
      </c>
      <c r="J1945" s="16">
        <f>IF(NOT(Paths!$C$183=1),0,IF(Paths!$P$183="Complete",IF(IF(Paths!$E$183=0,C1945=0,AND(C1945&gt;0,Paths!$E$183&gt;(C1945-1)*12,Paths!$E$183&lt;=C1945*12)),Paths!$H$183,0),"n.a."))</f>
        <v>0</v>
      </c>
      <c r="K1945" s="16">
        <f>IF(NOT(Paths!$C$183=1),0,IF(Paths!$P$183="Complete",IF(IF(Paths!$O$183=0,C1945=0,AND(C1945&gt;0,Paths!$O$183&gt;(C1945-1)*12,Paths!$O$183&lt;=C1945*12)),Paths!$N$183,0),"n.a."))</f>
        <v>0</v>
      </c>
      <c r="L1945" s="16">
        <f>IF(NOT(Paths!$C$183=1),0,IF(Paths!$P$183="Complete",IF(C1945=10,Paths!$I$183,0),"n.a."))</f>
        <v>0</v>
      </c>
      <c r="M1945" s="16">
        <f>IF(NOT(Paths!$C$183=1),0,IF(Paths!$P$183="Complete",IF(AND(Paths!$D$183="EV",Paths!$E$183&lt;120,Paths!$E$183+'Operating costs'!$B$65&gt;Paths!$E$183,Paths!$E$183+'Operating costs'!$B$65&lt;=120,IF(Paths!$E$183+'Operating costs'!$B$65=0,C1945=0,AND(C1945&gt;0,Paths!$E$183+'Operating costs'!$B$65&gt;(C1945-1)*12,Paths!$E$183+'Operating costs'!$B$65&lt;=C1945*12))),'Operating costs'!$B$64,0)+IF(AND('Operating costs'!$B$67&gt;0,'Operating costs'!$B$67&lt;=120,OR(Paths!$D$183="ICE",'Operating costs'!$B$67&lt;=Paths!$E$183),IF('Operating costs'!$B$67=0,C1945=0,AND(C1945&gt;0,'Operating costs'!$B$67&gt;(C1945-1)*12,'Operating costs'!$B$67&lt;=C1945*12))),'Operating costs'!$B$66,0),"n.a."))</f>
        <v>0</v>
      </c>
      <c r="N1945" s="16">
        <f>IF(NOT(Paths!$C$183=1),0,IF(Paths!$P$183="Complete",SUM(G1945:I1945)-J1945-K1945-L1945+M1945+IF(C1945=0,Paths!$F$183,0)+IF(IF(Paths!$E$183=0,C1945=0,AND(C1945&gt;0,Paths!$E$183&gt;(C1945-1)*12,Paths!$E$183&lt;=C1945*12)),VLOOKUP(A1945,'Fleet register'!$A$7:$S$106,16,FALSE),0),"n.a."))</f>
        <v>0</v>
      </c>
      <c r="O1945" s="16">
        <f>IF(NOT(Paths!$C$183=1),0,IF(Paths!$P$183="Complete",N1945-IF(C1945=0,Paths!$F$183,0),"n.a."))</f>
        <v>0</v>
      </c>
      <c r="P1945" s="16">
        <f>IF(NOT(Paths!$C$183=1),0,IF(Paths!$P$183="Complete",O1945+L1945,"n.a."))</f>
        <v>0</v>
      </c>
      <c r="Q1945" s="16">
        <f>IF(NOT(Paths!$C$183=1),0,IF(Paths!$P$183="Complete",N1945*(1+'Operating costs'!$B$54)^-C1945,"n.a."))</f>
        <v>0</v>
      </c>
      <c r="R1945" s="16">
        <f>IF(NOT(Paths!$C$183=1),0,IF(Paths!$P$183="Complete",IF(AND(C1945=0,Paths!$E$183=0),I1945-J1945-K1945+VLOOKUP(A1945,'Fleet register'!$A$7:$S$106,15,FALSE)+VLOOKUP(A1945,'Fleet register'!$A$7:$S$106,16,FALSE),0),"n.a."))</f>
        <v>0</v>
      </c>
      <c r="S1945" s="1">
        <f>IF(NOT(Paths!$C$183=1),0,IF(Paths!$P$183="Complete",IF(C1945=0,0,Paths!$S$183*Paths!$R$183),"n.a."))</f>
        <v>0</v>
      </c>
      <c r="T1945" s="1">
        <f>IF(NOT(Paths!$C$183=1),0,IF(Paths!$P$183="Complete",IF(C1945=0,0,VLOOKUP(A1945,'Fleet register'!$A$7:$S$106,9,FALSE)*Paths!$R$183),"n.a."))</f>
        <v>0</v>
      </c>
    </row>
    <row r="1946" spans="1:20" ht="24" customHeight="1">
      <c r="A1946" s="1" t="str">
        <f>Paths!$A$183</f>
        <v>T045</v>
      </c>
      <c r="B1946" s="1">
        <f>Paths!$B$183</f>
        <v>0</v>
      </c>
      <c r="C1946" s="1">
        <v>3</v>
      </c>
      <c r="D1946" s="1">
        <v>183</v>
      </c>
      <c r="E1946" s="1">
        <f>IF(OR(Paths!$C$183=0,C1946=0),0,MAX(0,MIN(C1946*12,Paths!$E$183)-(C1946-1)*12))</f>
        <v>0</v>
      </c>
      <c r="F1946" s="1">
        <f>IF(OR(Paths!$C$183=0,C1946=0),0,12-E1946)</f>
        <v>0</v>
      </c>
      <c r="G1946" s="16">
        <f>IF(NOT(Paths!$C$183=1),0,IF(Paths!$P$183="Complete",E1946/12*(Paths!$J$183*(1+'Operating costs'!$B$51)^MAX(0,C1946-1)+Paths!$K$183*(1+'Operating costs'!$B$53)^MAX(0,C1946-1)),"n.a."))</f>
        <v>0</v>
      </c>
      <c r="H1946" s="16">
        <f>IF(NOT(Paths!$C$183=1),0,IF(Paths!$P$183="Complete",F1946/12*(Paths!$L$183*(1+IF(Paths!$D$183="EV",'Operating costs'!$B$52,'Operating costs'!$B$51))^MAX(0,C1946-1)+Paths!$M$183*(1+'Operating costs'!$B$53)^MAX(0,C1946-1)),"n.a."))</f>
        <v>0</v>
      </c>
      <c r="I1946" s="16">
        <f>IF(NOT(Paths!$C$183=1),0,IF(Paths!$P$183="Complete",IF(IF(Paths!$E$183=0,C1946=0,AND(C1946&gt;0,Paths!$E$183&gt;(C1946-1)*12,Paths!$E$183&lt;=C1946*12)),Paths!$G$183,0),"n.a."))</f>
        <v>0</v>
      </c>
      <c r="J1946" s="16">
        <f>IF(NOT(Paths!$C$183=1),0,IF(Paths!$P$183="Complete",IF(IF(Paths!$E$183=0,C1946=0,AND(C1946&gt;0,Paths!$E$183&gt;(C1946-1)*12,Paths!$E$183&lt;=C1946*12)),Paths!$H$183,0),"n.a."))</f>
        <v>0</v>
      </c>
      <c r="K1946" s="16">
        <f>IF(NOT(Paths!$C$183=1),0,IF(Paths!$P$183="Complete",IF(IF(Paths!$O$183=0,C1946=0,AND(C1946&gt;0,Paths!$O$183&gt;(C1946-1)*12,Paths!$O$183&lt;=C1946*12)),Paths!$N$183,0),"n.a."))</f>
        <v>0</v>
      </c>
      <c r="L1946" s="16">
        <f>IF(NOT(Paths!$C$183=1),0,IF(Paths!$P$183="Complete",IF(C1946=10,Paths!$I$183,0),"n.a."))</f>
        <v>0</v>
      </c>
      <c r="M1946" s="16">
        <f>IF(NOT(Paths!$C$183=1),0,IF(Paths!$P$183="Complete",IF(AND(Paths!$D$183="EV",Paths!$E$183&lt;120,Paths!$E$183+'Operating costs'!$B$65&gt;Paths!$E$183,Paths!$E$183+'Operating costs'!$B$65&lt;=120,IF(Paths!$E$183+'Operating costs'!$B$65=0,C1946=0,AND(C1946&gt;0,Paths!$E$183+'Operating costs'!$B$65&gt;(C1946-1)*12,Paths!$E$183+'Operating costs'!$B$65&lt;=C1946*12))),'Operating costs'!$B$64,0)+IF(AND('Operating costs'!$B$67&gt;0,'Operating costs'!$B$67&lt;=120,OR(Paths!$D$183="ICE",'Operating costs'!$B$67&lt;=Paths!$E$183),IF('Operating costs'!$B$67=0,C1946=0,AND(C1946&gt;0,'Operating costs'!$B$67&gt;(C1946-1)*12,'Operating costs'!$B$67&lt;=C1946*12))),'Operating costs'!$B$66,0),"n.a."))</f>
        <v>0</v>
      </c>
      <c r="N1946" s="16">
        <f>IF(NOT(Paths!$C$183=1),0,IF(Paths!$P$183="Complete",SUM(G1946:I1946)-J1946-K1946-L1946+M1946+IF(C1946=0,Paths!$F$183,0)+IF(IF(Paths!$E$183=0,C1946=0,AND(C1946&gt;0,Paths!$E$183&gt;(C1946-1)*12,Paths!$E$183&lt;=C1946*12)),VLOOKUP(A1946,'Fleet register'!$A$7:$S$106,16,FALSE),0),"n.a."))</f>
        <v>0</v>
      </c>
      <c r="O1946" s="16">
        <f>IF(NOT(Paths!$C$183=1),0,IF(Paths!$P$183="Complete",N1946-IF(C1946=0,Paths!$F$183,0),"n.a."))</f>
        <v>0</v>
      </c>
      <c r="P1946" s="16">
        <f>IF(NOT(Paths!$C$183=1),0,IF(Paths!$P$183="Complete",O1946+L1946,"n.a."))</f>
        <v>0</v>
      </c>
      <c r="Q1946" s="16">
        <f>IF(NOT(Paths!$C$183=1),0,IF(Paths!$P$183="Complete",N1946*(1+'Operating costs'!$B$54)^-C1946,"n.a."))</f>
        <v>0</v>
      </c>
      <c r="R1946" s="16">
        <f>IF(NOT(Paths!$C$183=1),0,IF(Paths!$P$183="Complete",IF(AND(C1946=0,Paths!$E$183=0),I1946-J1946-K1946+VLOOKUP(A1946,'Fleet register'!$A$7:$S$106,15,FALSE)+VLOOKUP(A1946,'Fleet register'!$A$7:$S$106,16,FALSE),0),"n.a."))</f>
        <v>0</v>
      </c>
      <c r="S1946" s="1">
        <f>IF(NOT(Paths!$C$183=1),0,IF(Paths!$P$183="Complete",IF(C1946=0,0,Paths!$S$183*Paths!$R$183),"n.a."))</f>
        <v>0</v>
      </c>
      <c r="T1946" s="1">
        <f>IF(NOT(Paths!$C$183=1),0,IF(Paths!$P$183="Complete",IF(C1946=0,0,VLOOKUP(A1946,'Fleet register'!$A$7:$S$106,9,FALSE)*Paths!$R$183),"n.a."))</f>
        <v>0</v>
      </c>
    </row>
    <row r="1947" spans="1:20" ht="24" customHeight="1">
      <c r="A1947" s="1" t="str">
        <f>Paths!$A$183</f>
        <v>T045</v>
      </c>
      <c r="B1947" s="1">
        <f>Paths!$B$183</f>
        <v>0</v>
      </c>
      <c r="C1947" s="1">
        <v>4</v>
      </c>
      <c r="D1947" s="1">
        <v>183</v>
      </c>
      <c r="E1947" s="1">
        <f>IF(OR(Paths!$C$183=0,C1947=0),0,MAX(0,MIN(C1947*12,Paths!$E$183)-(C1947-1)*12))</f>
        <v>0</v>
      </c>
      <c r="F1947" s="1">
        <f>IF(OR(Paths!$C$183=0,C1947=0),0,12-E1947)</f>
        <v>0</v>
      </c>
      <c r="G1947" s="16">
        <f>IF(NOT(Paths!$C$183=1),0,IF(Paths!$P$183="Complete",E1947/12*(Paths!$J$183*(1+'Operating costs'!$B$51)^MAX(0,C1947-1)+Paths!$K$183*(1+'Operating costs'!$B$53)^MAX(0,C1947-1)),"n.a."))</f>
        <v>0</v>
      </c>
      <c r="H1947" s="16">
        <f>IF(NOT(Paths!$C$183=1),0,IF(Paths!$P$183="Complete",F1947/12*(Paths!$L$183*(1+IF(Paths!$D$183="EV",'Operating costs'!$B$52,'Operating costs'!$B$51))^MAX(0,C1947-1)+Paths!$M$183*(1+'Operating costs'!$B$53)^MAX(0,C1947-1)),"n.a."))</f>
        <v>0</v>
      </c>
      <c r="I1947" s="16">
        <f>IF(NOT(Paths!$C$183=1),0,IF(Paths!$P$183="Complete",IF(IF(Paths!$E$183=0,C1947=0,AND(C1947&gt;0,Paths!$E$183&gt;(C1947-1)*12,Paths!$E$183&lt;=C1947*12)),Paths!$G$183,0),"n.a."))</f>
        <v>0</v>
      </c>
      <c r="J1947" s="16">
        <f>IF(NOT(Paths!$C$183=1),0,IF(Paths!$P$183="Complete",IF(IF(Paths!$E$183=0,C1947=0,AND(C1947&gt;0,Paths!$E$183&gt;(C1947-1)*12,Paths!$E$183&lt;=C1947*12)),Paths!$H$183,0),"n.a."))</f>
        <v>0</v>
      </c>
      <c r="K1947" s="16">
        <f>IF(NOT(Paths!$C$183=1),0,IF(Paths!$P$183="Complete",IF(IF(Paths!$O$183=0,C1947=0,AND(C1947&gt;0,Paths!$O$183&gt;(C1947-1)*12,Paths!$O$183&lt;=C1947*12)),Paths!$N$183,0),"n.a."))</f>
        <v>0</v>
      </c>
      <c r="L1947" s="16">
        <f>IF(NOT(Paths!$C$183=1),0,IF(Paths!$P$183="Complete",IF(C1947=10,Paths!$I$183,0),"n.a."))</f>
        <v>0</v>
      </c>
      <c r="M1947" s="16">
        <f>IF(NOT(Paths!$C$183=1),0,IF(Paths!$P$183="Complete",IF(AND(Paths!$D$183="EV",Paths!$E$183&lt;120,Paths!$E$183+'Operating costs'!$B$65&gt;Paths!$E$183,Paths!$E$183+'Operating costs'!$B$65&lt;=120,IF(Paths!$E$183+'Operating costs'!$B$65=0,C1947=0,AND(C1947&gt;0,Paths!$E$183+'Operating costs'!$B$65&gt;(C1947-1)*12,Paths!$E$183+'Operating costs'!$B$65&lt;=C1947*12))),'Operating costs'!$B$64,0)+IF(AND('Operating costs'!$B$67&gt;0,'Operating costs'!$B$67&lt;=120,OR(Paths!$D$183="ICE",'Operating costs'!$B$67&lt;=Paths!$E$183),IF('Operating costs'!$B$67=0,C1947=0,AND(C1947&gt;0,'Operating costs'!$B$67&gt;(C1947-1)*12,'Operating costs'!$B$67&lt;=C1947*12))),'Operating costs'!$B$66,0),"n.a."))</f>
        <v>0</v>
      </c>
      <c r="N1947" s="16">
        <f>IF(NOT(Paths!$C$183=1),0,IF(Paths!$P$183="Complete",SUM(G1947:I1947)-J1947-K1947-L1947+M1947+IF(C1947=0,Paths!$F$183,0)+IF(IF(Paths!$E$183=0,C1947=0,AND(C1947&gt;0,Paths!$E$183&gt;(C1947-1)*12,Paths!$E$183&lt;=C1947*12)),VLOOKUP(A1947,'Fleet register'!$A$7:$S$106,16,FALSE),0),"n.a."))</f>
        <v>0</v>
      </c>
      <c r="O1947" s="16">
        <f>IF(NOT(Paths!$C$183=1),0,IF(Paths!$P$183="Complete",N1947-IF(C1947=0,Paths!$F$183,0),"n.a."))</f>
        <v>0</v>
      </c>
      <c r="P1947" s="16">
        <f>IF(NOT(Paths!$C$183=1),0,IF(Paths!$P$183="Complete",O1947+L1947,"n.a."))</f>
        <v>0</v>
      </c>
      <c r="Q1947" s="16">
        <f>IF(NOT(Paths!$C$183=1),0,IF(Paths!$P$183="Complete",N1947*(1+'Operating costs'!$B$54)^-C1947,"n.a."))</f>
        <v>0</v>
      </c>
      <c r="R1947" s="16">
        <f>IF(NOT(Paths!$C$183=1),0,IF(Paths!$P$183="Complete",IF(AND(C1947=0,Paths!$E$183=0),I1947-J1947-K1947+VLOOKUP(A1947,'Fleet register'!$A$7:$S$106,15,FALSE)+VLOOKUP(A1947,'Fleet register'!$A$7:$S$106,16,FALSE),0),"n.a."))</f>
        <v>0</v>
      </c>
      <c r="S1947" s="1">
        <f>IF(NOT(Paths!$C$183=1),0,IF(Paths!$P$183="Complete",IF(C1947=0,0,Paths!$S$183*Paths!$R$183),"n.a."))</f>
        <v>0</v>
      </c>
      <c r="T1947" s="1">
        <f>IF(NOT(Paths!$C$183=1),0,IF(Paths!$P$183="Complete",IF(C1947=0,0,VLOOKUP(A1947,'Fleet register'!$A$7:$S$106,9,FALSE)*Paths!$R$183),"n.a."))</f>
        <v>0</v>
      </c>
    </row>
    <row r="1948" spans="1:20" ht="24" customHeight="1">
      <c r="A1948" s="1" t="str">
        <f>Paths!$A$183</f>
        <v>T045</v>
      </c>
      <c r="B1948" s="1">
        <f>Paths!$B$183</f>
        <v>0</v>
      </c>
      <c r="C1948" s="1">
        <v>5</v>
      </c>
      <c r="D1948" s="1">
        <v>183</v>
      </c>
      <c r="E1948" s="1">
        <f>IF(OR(Paths!$C$183=0,C1948=0),0,MAX(0,MIN(C1948*12,Paths!$E$183)-(C1948-1)*12))</f>
        <v>0</v>
      </c>
      <c r="F1948" s="1">
        <f>IF(OR(Paths!$C$183=0,C1948=0),0,12-E1948)</f>
        <v>0</v>
      </c>
      <c r="G1948" s="16">
        <f>IF(NOT(Paths!$C$183=1),0,IF(Paths!$P$183="Complete",E1948/12*(Paths!$J$183*(1+'Operating costs'!$B$51)^MAX(0,C1948-1)+Paths!$K$183*(1+'Operating costs'!$B$53)^MAX(0,C1948-1)),"n.a."))</f>
        <v>0</v>
      </c>
      <c r="H1948" s="16">
        <f>IF(NOT(Paths!$C$183=1),0,IF(Paths!$P$183="Complete",F1948/12*(Paths!$L$183*(1+IF(Paths!$D$183="EV",'Operating costs'!$B$52,'Operating costs'!$B$51))^MAX(0,C1948-1)+Paths!$M$183*(1+'Operating costs'!$B$53)^MAX(0,C1948-1)),"n.a."))</f>
        <v>0</v>
      </c>
      <c r="I1948" s="16">
        <f>IF(NOT(Paths!$C$183=1),0,IF(Paths!$P$183="Complete",IF(IF(Paths!$E$183=0,C1948=0,AND(C1948&gt;0,Paths!$E$183&gt;(C1948-1)*12,Paths!$E$183&lt;=C1948*12)),Paths!$G$183,0),"n.a."))</f>
        <v>0</v>
      </c>
      <c r="J1948" s="16">
        <f>IF(NOT(Paths!$C$183=1),0,IF(Paths!$P$183="Complete",IF(IF(Paths!$E$183=0,C1948=0,AND(C1948&gt;0,Paths!$E$183&gt;(C1948-1)*12,Paths!$E$183&lt;=C1948*12)),Paths!$H$183,0),"n.a."))</f>
        <v>0</v>
      </c>
      <c r="K1948" s="16">
        <f>IF(NOT(Paths!$C$183=1),0,IF(Paths!$P$183="Complete",IF(IF(Paths!$O$183=0,C1948=0,AND(C1948&gt;0,Paths!$O$183&gt;(C1948-1)*12,Paths!$O$183&lt;=C1948*12)),Paths!$N$183,0),"n.a."))</f>
        <v>0</v>
      </c>
      <c r="L1948" s="16">
        <f>IF(NOT(Paths!$C$183=1),0,IF(Paths!$P$183="Complete",IF(C1948=10,Paths!$I$183,0),"n.a."))</f>
        <v>0</v>
      </c>
      <c r="M1948" s="16">
        <f>IF(NOT(Paths!$C$183=1),0,IF(Paths!$P$183="Complete",IF(AND(Paths!$D$183="EV",Paths!$E$183&lt;120,Paths!$E$183+'Operating costs'!$B$65&gt;Paths!$E$183,Paths!$E$183+'Operating costs'!$B$65&lt;=120,IF(Paths!$E$183+'Operating costs'!$B$65=0,C1948=0,AND(C1948&gt;0,Paths!$E$183+'Operating costs'!$B$65&gt;(C1948-1)*12,Paths!$E$183+'Operating costs'!$B$65&lt;=C1948*12))),'Operating costs'!$B$64,0)+IF(AND('Operating costs'!$B$67&gt;0,'Operating costs'!$B$67&lt;=120,OR(Paths!$D$183="ICE",'Operating costs'!$B$67&lt;=Paths!$E$183),IF('Operating costs'!$B$67=0,C1948=0,AND(C1948&gt;0,'Operating costs'!$B$67&gt;(C1948-1)*12,'Operating costs'!$B$67&lt;=C1948*12))),'Operating costs'!$B$66,0),"n.a."))</f>
        <v>0</v>
      </c>
      <c r="N1948" s="16">
        <f>IF(NOT(Paths!$C$183=1),0,IF(Paths!$P$183="Complete",SUM(G1948:I1948)-J1948-K1948-L1948+M1948+IF(C1948=0,Paths!$F$183,0)+IF(IF(Paths!$E$183=0,C1948=0,AND(C1948&gt;0,Paths!$E$183&gt;(C1948-1)*12,Paths!$E$183&lt;=C1948*12)),VLOOKUP(A1948,'Fleet register'!$A$7:$S$106,16,FALSE),0),"n.a."))</f>
        <v>0</v>
      </c>
      <c r="O1948" s="16">
        <f>IF(NOT(Paths!$C$183=1),0,IF(Paths!$P$183="Complete",N1948-IF(C1948=0,Paths!$F$183,0),"n.a."))</f>
        <v>0</v>
      </c>
      <c r="P1948" s="16">
        <f>IF(NOT(Paths!$C$183=1),0,IF(Paths!$P$183="Complete",O1948+L1948,"n.a."))</f>
        <v>0</v>
      </c>
      <c r="Q1948" s="16">
        <f>IF(NOT(Paths!$C$183=1),0,IF(Paths!$P$183="Complete",N1948*(1+'Operating costs'!$B$54)^-C1948,"n.a."))</f>
        <v>0</v>
      </c>
      <c r="R1948" s="16">
        <f>IF(NOT(Paths!$C$183=1),0,IF(Paths!$P$183="Complete",IF(AND(C1948=0,Paths!$E$183=0),I1948-J1948-K1948+VLOOKUP(A1948,'Fleet register'!$A$7:$S$106,15,FALSE)+VLOOKUP(A1948,'Fleet register'!$A$7:$S$106,16,FALSE),0),"n.a."))</f>
        <v>0</v>
      </c>
      <c r="S1948" s="1">
        <f>IF(NOT(Paths!$C$183=1),0,IF(Paths!$P$183="Complete",IF(C1948=0,0,Paths!$S$183*Paths!$R$183),"n.a."))</f>
        <v>0</v>
      </c>
      <c r="T1948" s="1">
        <f>IF(NOT(Paths!$C$183=1),0,IF(Paths!$P$183="Complete",IF(C1948=0,0,VLOOKUP(A1948,'Fleet register'!$A$7:$S$106,9,FALSE)*Paths!$R$183),"n.a."))</f>
        <v>0</v>
      </c>
    </row>
    <row r="1949" spans="1:20" ht="24" customHeight="1">
      <c r="A1949" s="1" t="str">
        <f>Paths!$A$183</f>
        <v>T045</v>
      </c>
      <c r="B1949" s="1">
        <f>Paths!$B$183</f>
        <v>0</v>
      </c>
      <c r="C1949" s="1">
        <v>6</v>
      </c>
      <c r="D1949" s="1">
        <v>183</v>
      </c>
      <c r="E1949" s="1">
        <f>IF(OR(Paths!$C$183=0,C1949=0),0,MAX(0,MIN(C1949*12,Paths!$E$183)-(C1949-1)*12))</f>
        <v>0</v>
      </c>
      <c r="F1949" s="1">
        <f>IF(OR(Paths!$C$183=0,C1949=0),0,12-E1949)</f>
        <v>0</v>
      </c>
      <c r="G1949" s="16">
        <f>IF(NOT(Paths!$C$183=1),0,IF(Paths!$P$183="Complete",E1949/12*(Paths!$J$183*(1+'Operating costs'!$B$51)^MAX(0,C1949-1)+Paths!$K$183*(1+'Operating costs'!$B$53)^MAX(0,C1949-1)),"n.a."))</f>
        <v>0</v>
      </c>
      <c r="H1949" s="16">
        <f>IF(NOT(Paths!$C$183=1),0,IF(Paths!$P$183="Complete",F1949/12*(Paths!$L$183*(1+IF(Paths!$D$183="EV",'Operating costs'!$B$52,'Operating costs'!$B$51))^MAX(0,C1949-1)+Paths!$M$183*(1+'Operating costs'!$B$53)^MAX(0,C1949-1)),"n.a."))</f>
        <v>0</v>
      </c>
      <c r="I1949" s="16">
        <f>IF(NOT(Paths!$C$183=1),0,IF(Paths!$P$183="Complete",IF(IF(Paths!$E$183=0,C1949=0,AND(C1949&gt;0,Paths!$E$183&gt;(C1949-1)*12,Paths!$E$183&lt;=C1949*12)),Paths!$G$183,0),"n.a."))</f>
        <v>0</v>
      </c>
      <c r="J1949" s="16">
        <f>IF(NOT(Paths!$C$183=1),0,IF(Paths!$P$183="Complete",IF(IF(Paths!$E$183=0,C1949=0,AND(C1949&gt;0,Paths!$E$183&gt;(C1949-1)*12,Paths!$E$183&lt;=C1949*12)),Paths!$H$183,0),"n.a."))</f>
        <v>0</v>
      </c>
      <c r="K1949" s="16">
        <f>IF(NOT(Paths!$C$183=1),0,IF(Paths!$P$183="Complete",IF(IF(Paths!$O$183=0,C1949=0,AND(C1949&gt;0,Paths!$O$183&gt;(C1949-1)*12,Paths!$O$183&lt;=C1949*12)),Paths!$N$183,0),"n.a."))</f>
        <v>0</v>
      </c>
      <c r="L1949" s="16">
        <f>IF(NOT(Paths!$C$183=1),0,IF(Paths!$P$183="Complete",IF(C1949=10,Paths!$I$183,0),"n.a."))</f>
        <v>0</v>
      </c>
      <c r="M1949" s="16">
        <f>IF(NOT(Paths!$C$183=1),0,IF(Paths!$P$183="Complete",IF(AND(Paths!$D$183="EV",Paths!$E$183&lt;120,Paths!$E$183+'Operating costs'!$B$65&gt;Paths!$E$183,Paths!$E$183+'Operating costs'!$B$65&lt;=120,IF(Paths!$E$183+'Operating costs'!$B$65=0,C1949=0,AND(C1949&gt;0,Paths!$E$183+'Operating costs'!$B$65&gt;(C1949-1)*12,Paths!$E$183+'Operating costs'!$B$65&lt;=C1949*12))),'Operating costs'!$B$64,0)+IF(AND('Operating costs'!$B$67&gt;0,'Operating costs'!$B$67&lt;=120,OR(Paths!$D$183="ICE",'Operating costs'!$B$67&lt;=Paths!$E$183),IF('Operating costs'!$B$67=0,C1949=0,AND(C1949&gt;0,'Operating costs'!$B$67&gt;(C1949-1)*12,'Operating costs'!$B$67&lt;=C1949*12))),'Operating costs'!$B$66,0),"n.a."))</f>
        <v>0</v>
      </c>
      <c r="N1949" s="16">
        <f>IF(NOT(Paths!$C$183=1),0,IF(Paths!$P$183="Complete",SUM(G1949:I1949)-J1949-K1949-L1949+M1949+IF(C1949=0,Paths!$F$183,0)+IF(IF(Paths!$E$183=0,C1949=0,AND(C1949&gt;0,Paths!$E$183&gt;(C1949-1)*12,Paths!$E$183&lt;=C1949*12)),VLOOKUP(A1949,'Fleet register'!$A$7:$S$106,16,FALSE),0),"n.a."))</f>
        <v>0</v>
      </c>
      <c r="O1949" s="16">
        <f>IF(NOT(Paths!$C$183=1),0,IF(Paths!$P$183="Complete",N1949-IF(C1949=0,Paths!$F$183,0),"n.a."))</f>
        <v>0</v>
      </c>
      <c r="P1949" s="16">
        <f>IF(NOT(Paths!$C$183=1),0,IF(Paths!$P$183="Complete",O1949+L1949,"n.a."))</f>
        <v>0</v>
      </c>
      <c r="Q1949" s="16">
        <f>IF(NOT(Paths!$C$183=1),0,IF(Paths!$P$183="Complete",N1949*(1+'Operating costs'!$B$54)^-C1949,"n.a."))</f>
        <v>0</v>
      </c>
      <c r="R1949" s="16">
        <f>IF(NOT(Paths!$C$183=1),0,IF(Paths!$P$183="Complete",IF(AND(C1949=0,Paths!$E$183=0),I1949-J1949-K1949+VLOOKUP(A1949,'Fleet register'!$A$7:$S$106,15,FALSE)+VLOOKUP(A1949,'Fleet register'!$A$7:$S$106,16,FALSE),0),"n.a."))</f>
        <v>0</v>
      </c>
      <c r="S1949" s="1">
        <f>IF(NOT(Paths!$C$183=1),0,IF(Paths!$P$183="Complete",IF(C1949=0,0,Paths!$S$183*Paths!$R$183),"n.a."))</f>
        <v>0</v>
      </c>
      <c r="T1949" s="1">
        <f>IF(NOT(Paths!$C$183=1),0,IF(Paths!$P$183="Complete",IF(C1949=0,0,VLOOKUP(A1949,'Fleet register'!$A$7:$S$106,9,FALSE)*Paths!$R$183),"n.a."))</f>
        <v>0</v>
      </c>
    </row>
    <row r="1950" spans="1:20" ht="24" customHeight="1">
      <c r="A1950" s="1" t="str">
        <f>Paths!$A$183</f>
        <v>T045</v>
      </c>
      <c r="B1950" s="1">
        <f>Paths!$B$183</f>
        <v>0</v>
      </c>
      <c r="C1950" s="1">
        <v>7</v>
      </c>
      <c r="D1950" s="1">
        <v>183</v>
      </c>
      <c r="E1950" s="1">
        <f>IF(OR(Paths!$C$183=0,C1950=0),0,MAX(0,MIN(C1950*12,Paths!$E$183)-(C1950-1)*12))</f>
        <v>0</v>
      </c>
      <c r="F1950" s="1">
        <f>IF(OR(Paths!$C$183=0,C1950=0),0,12-E1950)</f>
        <v>0</v>
      </c>
      <c r="G1950" s="16">
        <f>IF(NOT(Paths!$C$183=1),0,IF(Paths!$P$183="Complete",E1950/12*(Paths!$J$183*(1+'Operating costs'!$B$51)^MAX(0,C1950-1)+Paths!$K$183*(1+'Operating costs'!$B$53)^MAX(0,C1950-1)),"n.a."))</f>
        <v>0</v>
      </c>
      <c r="H1950" s="16">
        <f>IF(NOT(Paths!$C$183=1),0,IF(Paths!$P$183="Complete",F1950/12*(Paths!$L$183*(1+IF(Paths!$D$183="EV",'Operating costs'!$B$52,'Operating costs'!$B$51))^MAX(0,C1950-1)+Paths!$M$183*(1+'Operating costs'!$B$53)^MAX(0,C1950-1)),"n.a."))</f>
        <v>0</v>
      </c>
      <c r="I1950" s="16">
        <f>IF(NOT(Paths!$C$183=1),0,IF(Paths!$P$183="Complete",IF(IF(Paths!$E$183=0,C1950=0,AND(C1950&gt;0,Paths!$E$183&gt;(C1950-1)*12,Paths!$E$183&lt;=C1950*12)),Paths!$G$183,0),"n.a."))</f>
        <v>0</v>
      </c>
      <c r="J1950" s="16">
        <f>IF(NOT(Paths!$C$183=1),0,IF(Paths!$P$183="Complete",IF(IF(Paths!$E$183=0,C1950=0,AND(C1950&gt;0,Paths!$E$183&gt;(C1950-1)*12,Paths!$E$183&lt;=C1950*12)),Paths!$H$183,0),"n.a."))</f>
        <v>0</v>
      </c>
      <c r="K1950" s="16">
        <f>IF(NOT(Paths!$C$183=1),0,IF(Paths!$P$183="Complete",IF(IF(Paths!$O$183=0,C1950=0,AND(C1950&gt;0,Paths!$O$183&gt;(C1950-1)*12,Paths!$O$183&lt;=C1950*12)),Paths!$N$183,0),"n.a."))</f>
        <v>0</v>
      </c>
      <c r="L1950" s="16">
        <f>IF(NOT(Paths!$C$183=1),0,IF(Paths!$P$183="Complete",IF(C1950=10,Paths!$I$183,0),"n.a."))</f>
        <v>0</v>
      </c>
      <c r="M1950" s="16">
        <f>IF(NOT(Paths!$C$183=1),0,IF(Paths!$P$183="Complete",IF(AND(Paths!$D$183="EV",Paths!$E$183&lt;120,Paths!$E$183+'Operating costs'!$B$65&gt;Paths!$E$183,Paths!$E$183+'Operating costs'!$B$65&lt;=120,IF(Paths!$E$183+'Operating costs'!$B$65=0,C1950=0,AND(C1950&gt;0,Paths!$E$183+'Operating costs'!$B$65&gt;(C1950-1)*12,Paths!$E$183+'Operating costs'!$B$65&lt;=C1950*12))),'Operating costs'!$B$64,0)+IF(AND('Operating costs'!$B$67&gt;0,'Operating costs'!$B$67&lt;=120,OR(Paths!$D$183="ICE",'Operating costs'!$B$67&lt;=Paths!$E$183),IF('Operating costs'!$B$67=0,C1950=0,AND(C1950&gt;0,'Operating costs'!$B$67&gt;(C1950-1)*12,'Operating costs'!$B$67&lt;=C1950*12))),'Operating costs'!$B$66,0),"n.a."))</f>
        <v>0</v>
      </c>
      <c r="N1950" s="16">
        <f>IF(NOT(Paths!$C$183=1),0,IF(Paths!$P$183="Complete",SUM(G1950:I1950)-J1950-K1950-L1950+M1950+IF(C1950=0,Paths!$F$183,0)+IF(IF(Paths!$E$183=0,C1950=0,AND(C1950&gt;0,Paths!$E$183&gt;(C1950-1)*12,Paths!$E$183&lt;=C1950*12)),VLOOKUP(A1950,'Fleet register'!$A$7:$S$106,16,FALSE),0),"n.a."))</f>
        <v>0</v>
      </c>
      <c r="O1950" s="16">
        <f>IF(NOT(Paths!$C$183=1),0,IF(Paths!$P$183="Complete",N1950-IF(C1950=0,Paths!$F$183,0),"n.a."))</f>
        <v>0</v>
      </c>
      <c r="P1950" s="16">
        <f>IF(NOT(Paths!$C$183=1),0,IF(Paths!$P$183="Complete",O1950+L1950,"n.a."))</f>
        <v>0</v>
      </c>
      <c r="Q1950" s="16">
        <f>IF(NOT(Paths!$C$183=1),0,IF(Paths!$P$183="Complete",N1950*(1+'Operating costs'!$B$54)^-C1950,"n.a."))</f>
        <v>0</v>
      </c>
      <c r="R1950" s="16">
        <f>IF(NOT(Paths!$C$183=1),0,IF(Paths!$P$183="Complete",IF(AND(C1950=0,Paths!$E$183=0),I1950-J1950-K1950+VLOOKUP(A1950,'Fleet register'!$A$7:$S$106,15,FALSE)+VLOOKUP(A1950,'Fleet register'!$A$7:$S$106,16,FALSE),0),"n.a."))</f>
        <v>0</v>
      </c>
      <c r="S1950" s="1">
        <f>IF(NOT(Paths!$C$183=1),0,IF(Paths!$P$183="Complete",IF(C1950=0,0,Paths!$S$183*Paths!$R$183),"n.a."))</f>
        <v>0</v>
      </c>
      <c r="T1950" s="1">
        <f>IF(NOT(Paths!$C$183=1),0,IF(Paths!$P$183="Complete",IF(C1950=0,0,VLOOKUP(A1950,'Fleet register'!$A$7:$S$106,9,FALSE)*Paths!$R$183),"n.a."))</f>
        <v>0</v>
      </c>
    </row>
    <row r="1951" spans="1:20" ht="24" customHeight="1">
      <c r="A1951" s="1" t="str">
        <f>Paths!$A$183</f>
        <v>T045</v>
      </c>
      <c r="B1951" s="1">
        <f>Paths!$B$183</f>
        <v>0</v>
      </c>
      <c r="C1951" s="1">
        <v>8</v>
      </c>
      <c r="D1951" s="1">
        <v>183</v>
      </c>
      <c r="E1951" s="1">
        <f>IF(OR(Paths!$C$183=0,C1951=0),0,MAX(0,MIN(C1951*12,Paths!$E$183)-(C1951-1)*12))</f>
        <v>0</v>
      </c>
      <c r="F1951" s="1">
        <f>IF(OR(Paths!$C$183=0,C1951=0),0,12-E1951)</f>
        <v>0</v>
      </c>
      <c r="G1951" s="16">
        <f>IF(NOT(Paths!$C$183=1),0,IF(Paths!$P$183="Complete",E1951/12*(Paths!$J$183*(1+'Operating costs'!$B$51)^MAX(0,C1951-1)+Paths!$K$183*(1+'Operating costs'!$B$53)^MAX(0,C1951-1)),"n.a."))</f>
        <v>0</v>
      </c>
      <c r="H1951" s="16">
        <f>IF(NOT(Paths!$C$183=1),0,IF(Paths!$P$183="Complete",F1951/12*(Paths!$L$183*(1+IF(Paths!$D$183="EV",'Operating costs'!$B$52,'Operating costs'!$B$51))^MAX(0,C1951-1)+Paths!$M$183*(1+'Operating costs'!$B$53)^MAX(0,C1951-1)),"n.a."))</f>
        <v>0</v>
      </c>
      <c r="I1951" s="16">
        <f>IF(NOT(Paths!$C$183=1),0,IF(Paths!$P$183="Complete",IF(IF(Paths!$E$183=0,C1951=0,AND(C1951&gt;0,Paths!$E$183&gt;(C1951-1)*12,Paths!$E$183&lt;=C1951*12)),Paths!$G$183,0),"n.a."))</f>
        <v>0</v>
      </c>
      <c r="J1951" s="16">
        <f>IF(NOT(Paths!$C$183=1),0,IF(Paths!$P$183="Complete",IF(IF(Paths!$E$183=0,C1951=0,AND(C1951&gt;0,Paths!$E$183&gt;(C1951-1)*12,Paths!$E$183&lt;=C1951*12)),Paths!$H$183,0),"n.a."))</f>
        <v>0</v>
      </c>
      <c r="K1951" s="16">
        <f>IF(NOT(Paths!$C$183=1),0,IF(Paths!$P$183="Complete",IF(IF(Paths!$O$183=0,C1951=0,AND(C1951&gt;0,Paths!$O$183&gt;(C1951-1)*12,Paths!$O$183&lt;=C1951*12)),Paths!$N$183,0),"n.a."))</f>
        <v>0</v>
      </c>
      <c r="L1951" s="16">
        <f>IF(NOT(Paths!$C$183=1),0,IF(Paths!$P$183="Complete",IF(C1951=10,Paths!$I$183,0),"n.a."))</f>
        <v>0</v>
      </c>
      <c r="M1951" s="16">
        <f>IF(NOT(Paths!$C$183=1),0,IF(Paths!$P$183="Complete",IF(AND(Paths!$D$183="EV",Paths!$E$183&lt;120,Paths!$E$183+'Operating costs'!$B$65&gt;Paths!$E$183,Paths!$E$183+'Operating costs'!$B$65&lt;=120,IF(Paths!$E$183+'Operating costs'!$B$65=0,C1951=0,AND(C1951&gt;0,Paths!$E$183+'Operating costs'!$B$65&gt;(C1951-1)*12,Paths!$E$183+'Operating costs'!$B$65&lt;=C1951*12))),'Operating costs'!$B$64,0)+IF(AND('Operating costs'!$B$67&gt;0,'Operating costs'!$B$67&lt;=120,OR(Paths!$D$183="ICE",'Operating costs'!$B$67&lt;=Paths!$E$183),IF('Operating costs'!$B$67=0,C1951=0,AND(C1951&gt;0,'Operating costs'!$B$67&gt;(C1951-1)*12,'Operating costs'!$B$67&lt;=C1951*12))),'Operating costs'!$B$66,0),"n.a."))</f>
        <v>0</v>
      </c>
      <c r="N1951" s="16">
        <f>IF(NOT(Paths!$C$183=1),0,IF(Paths!$P$183="Complete",SUM(G1951:I1951)-J1951-K1951-L1951+M1951+IF(C1951=0,Paths!$F$183,0)+IF(IF(Paths!$E$183=0,C1951=0,AND(C1951&gt;0,Paths!$E$183&gt;(C1951-1)*12,Paths!$E$183&lt;=C1951*12)),VLOOKUP(A1951,'Fleet register'!$A$7:$S$106,16,FALSE),0),"n.a."))</f>
        <v>0</v>
      </c>
      <c r="O1951" s="16">
        <f>IF(NOT(Paths!$C$183=1),0,IF(Paths!$P$183="Complete",N1951-IF(C1951=0,Paths!$F$183,0),"n.a."))</f>
        <v>0</v>
      </c>
      <c r="P1951" s="16">
        <f>IF(NOT(Paths!$C$183=1),0,IF(Paths!$P$183="Complete",O1951+L1951,"n.a."))</f>
        <v>0</v>
      </c>
      <c r="Q1951" s="16">
        <f>IF(NOT(Paths!$C$183=1),0,IF(Paths!$P$183="Complete",N1951*(1+'Operating costs'!$B$54)^-C1951,"n.a."))</f>
        <v>0</v>
      </c>
      <c r="R1951" s="16">
        <f>IF(NOT(Paths!$C$183=1),0,IF(Paths!$P$183="Complete",IF(AND(C1951=0,Paths!$E$183=0),I1951-J1951-K1951+VLOOKUP(A1951,'Fleet register'!$A$7:$S$106,15,FALSE)+VLOOKUP(A1951,'Fleet register'!$A$7:$S$106,16,FALSE),0),"n.a."))</f>
        <v>0</v>
      </c>
      <c r="S1951" s="1">
        <f>IF(NOT(Paths!$C$183=1),0,IF(Paths!$P$183="Complete",IF(C1951=0,0,Paths!$S$183*Paths!$R$183),"n.a."))</f>
        <v>0</v>
      </c>
      <c r="T1951" s="1">
        <f>IF(NOT(Paths!$C$183=1),0,IF(Paths!$P$183="Complete",IF(C1951=0,0,VLOOKUP(A1951,'Fleet register'!$A$7:$S$106,9,FALSE)*Paths!$R$183),"n.a."))</f>
        <v>0</v>
      </c>
    </row>
    <row r="1952" spans="1:20" ht="24" customHeight="1">
      <c r="A1952" s="1" t="str">
        <f>Paths!$A$183</f>
        <v>T045</v>
      </c>
      <c r="B1952" s="1">
        <f>Paths!$B$183</f>
        <v>0</v>
      </c>
      <c r="C1952" s="1">
        <v>9</v>
      </c>
      <c r="D1952" s="1">
        <v>183</v>
      </c>
      <c r="E1952" s="1">
        <f>IF(OR(Paths!$C$183=0,C1952=0),0,MAX(0,MIN(C1952*12,Paths!$E$183)-(C1952-1)*12))</f>
        <v>0</v>
      </c>
      <c r="F1952" s="1">
        <f>IF(OR(Paths!$C$183=0,C1952=0),0,12-E1952)</f>
        <v>0</v>
      </c>
      <c r="G1952" s="16">
        <f>IF(NOT(Paths!$C$183=1),0,IF(Paths!$P$183="Complete",E1952/12*(Paths!$J$183*(1+'Operating costs'!$B$51)^MAX(0,C1952-1)+Paths!$K$183*(1+'Operating costs'!$B$53)^MAX(0,C1952-1)),"n.a."))</f>
        <v>0</v>
      </c>
      <c r="H1952" s="16">
        <f>IF(NOT(Paths!$C$183=1),0,IF(Paths!$P$183="Complete",F1952/12*(Paths!$L$183*(1+IF(Paths!$D$183="EV",'Operating costs'!$B$52,'Operating costs'!$B$51))^MAX(0,C1952-1)+Paths!$M$183*(1+'Operating costs'!$B$53)^MAX(0,C1952-1)),"n.a."))</f>
        <v>0</v>
      </c>
      <c r="I1952" s="16">
        <f>IF(NOT(Paths!$C$183=1),0,IF(Paths!$P$183="Complete",IF(IF(Paths!$E$183=0,C1952=0,AND(C1952&gt;0,Paths!$E$183&gt;(C1952-1)*12,Paths!$E$183&lt;=C1952*12)),Paths!$G$183,0),"n.a."))</f>
        <v>0</v>
      </c>
      <c r="J1952" s="16">
        <f>IF(NOT(Paths!$C$183=1),0,IF(Paths!$P$183="Complete",IF(IF(Paths!$E$183=0,C1952=0,AND(C1952&gt;0,Paths!$E$183&gt;(C1952-1)*12,Paths!$E$183&lt;=C1952*12)),Paths!$H$183,0),"n.a."))</f>
        <v>0</v>
      </c>
      <c r="K1952" s="16">
        <f>IF(NOT(Paths!$C$183=1),0,IF(Paths!$P$183="Complete",IF(IF(Paths!$O$183=0,C1952=0,AND(C1952&gt;0,Paths!$O$183&gt;(C1952-1)*12,Paths!$O$183&lt;=C1952*12)),Paths!$N$183,0),"n.a."))</f>
        <v>0</v>
      </c>
      <c r="L1952" s="16">
        <f>IF(NOT(Paths!$C$183=1),0,IF(Paths!$P$183="Complete",IF(C1952=10,Paths!$I$183,0),"n.a."))</f>
        <v>0</v>
      </c>
      <c r="M1952" s="16">
        <f>IF(NOT(Paths!$C$183=1),0,IF(Paths!$P$183="Complete",IF(AND(Paths!$D$183="EV",Paths!$E$183&lt;120,Paths!$E$183+'Operating costs'!$B$65&gt;Paths!$E$183,Paths!$E$183+'Operating costs'!$B$65&lt;=120,IF(Paths!$E$183+'Operating costs'!$B$65=0,C1952=0,AND(C1952&gt;0,Paths!$E$183+'Operating costs'!$B$65&gt;(C1952-1)*12,Paths!$E$183+'Operating costs'!$B$65&lt;=C1952*12))),'Operating costs'!$B$64,0)+IF(AND('Operating costs'!$B$67&gt;0,'Operating costs'!$B$67&lt;=120,OR(Paths!$D$183="ICE",'Operating costs'!$B$67&lt;=Paths!$E$183),IF('Operating costs'!$B$67=0,C1952=0,AND(C1952&gt;0,'Operating costs'!$B$67&gt;(C1952-1)*12,'Operating costs'!$B$67&lt;=C1952*12))),'Operating costs'!$B$66,0),"n.a."))</f>
        <v>0</v>
      </c>
      <c r="N1952" s="16">
        <f>IF(NOT(Paths!$C$183=1),0,IF(Paths!$P$183="Complete",SUM(G1952:I1952)-J1952-K1952-L1952+M1952+IF(C1952=0,Paths!$F$183,0)+IF(IF(Paths!$E$183=0,C1952=0,AND(C1952&gt;0,Paths!$E$183&gt;(C1952-1)*12,Paths!$E$183&lt;=C1952*12)),VLOOKUP(A1952,'Fleet register'!$A$7:$S$106,16,FALSE),0),"n.a."))</f>
        <v>0</v>
      </c>
      <c r="O1952" s="16">
        <f>IF(NOT(Paths!$C$183=1),0,IF(Paths!$P$183="Complete",N1952-IF(C1952=0,Paths!$F$183,0),"n.a."))</f>
        <v>0</v>
      </c>
      <c r="P1952" s="16">
        <f>IF(NOT(Paths!$C$183=1),0,IF(Paths!$P$183="Complete",O1952+L1952,"n.a."))</f>
        <v>0</v>
      </c>
      <c r="Q1952" s="16">
        <f>IF(NOT(Paths!$C$183=1),0,IF(Paths!$P$183="Complete",N1952*(1+'Operating costs'!$B$54)^-C1952,"n.a."))</f>
        <v>0</v>
      </c>
      <c r="R1952" s="16">
        <f>IF(NOT(Paths!$C$183=1),0,IF(Paths!$P$183="Complete",IF(AND(C1952=0,Paths!$E$183=0),I1952-J1952-K1952+VLOOKUP(A1952,'Fleet register'!$A$7:$S$106,15,FALSE)+VLOOKUP(A1952,'Fleet register'!$A$7:$S$106,16,FALSE),0),"n.a."))</f>
        <v>0</v>
      </c>
      <c r="S1952" s="1">
        <f>IF(NOT(Paths!$C$183=1),0,IF(Paths!$P$183="Complete",IF(C1952=0,0,Paths!$S$183*Paths!$R$183),"n.a."))</f>
        <v>0</v>
      </c>
      <c r="T1952" s="1">
        <f>IF(NOT(Paths!$C$183=1),0,IF(Paths!$P$183="Complete",IF(C1952=0,0,VLOOKUP(A1952,'Fleet register'!$A$7:$S$106,9,FALSE)*Paths!$R$183),"n.a."))</f>
        <v>0</v>
      </c>
    </row>
    <row r="1953" spans="1:20" ht="24" customHeight="1">
      <c r="A1953" s="1" t="str">
        <f>Paths!$A$183</f>
        <v>T045</v>
      </c>
      <c r="B1953" s="1">
        <f>Paths!$B$183</f>
        <v>0</v>
      </c>
      <c r="C1953" s="1">
        <v>10</v>
      </c>
      <c r="D1953" s="1">
        <v>183</v>
      </c>
      <c r="E1953" s="1">
        <f>IF(OR(Paths!$C$183=0,C1953=0),0,MAX(0,MIN(C1953*12,Paths!$E$183)-(C1953-1)*12))</f>
        <v>0</v>
      </c>
      <c r="F1953" s="1">
        <f>IF(OR(Paths!$C$183=0,C1953=0),0,12-E1953)</f>
        <v>0</v>
      </c>
      <c r="G1953" s="16">
        <f>IF(NOT(Paths!$C$183=1),0,IF(Paths!$P$183="Complete",E1953/12*(Paths!$J$183*(1+'Operating costs'!$B$51)^MAX(0,C1953-1)+Paths!$K$183*(1+'Operating costs'!$B$53)^MAX(0,C1953-1)),"n.a."))</f>
        <v>0</v>
      </c>
      <c r="H1953" s="16">
        <f>IF(NOT(Paths!$C$183=1),0,IF(Paths!$P$183="Complete",F1953/12*(Paths!$L$183*(1+IF(Paths!$D$183="EV",'Operating costs'!$B$52,'Operating costs'!$B$51))^MAX(0,C1953-1)+Paths!$M$183*(1+'Operating costs'!$B$53)^MAX(0,C1953-1)),"n.a."))</f>
        <v>0</v>
      </c>
      <c r="I1953" s="16">
        <f>IF(NOT(Paths!$C$183=1),0,IF(Paths!$P$183="Complete",IF(IF(Paths!$E$183=0,C1953=0,AND(C1953&gt;0,Paths!$E$183&gt;(C1953-1)*12,Paths!$E$183&lt;=C1953*12)),Paths!$G$183,0),"n.a."))</f>
        <v>0</v>
      </c>
      <c r="J1953" s="16">
        <f>IF(NOT(Paths!$C$183=1),0,IF(Paths!$P$183="Complete",IF(IF(Paths!$E$183=0,C1953=0,AND(C1953&gt;0,Paths!$E$183&gt;(C1953-1)*12,Paths!$E$183&lt;=C1953*12)),Paths!$H$183,0),"n.a."))</f>
        <v>0</v>
      </c>
      <c r="K1953" s="16">
        <f>IF(NOT(Paths!$C$183=1),0,IF(Paths!$P$183="Complete",IF(IF(Paths!$O$183=0,C1953=0,AND(C1953&gt;0,Paths!$O$183&gt;(C1953-1)*12,Paths!$O$183&lt;=C1953*12)),Paths!$N$183,0),"n.a."))</f>
        <v>0</v>
      </c>
      <c r="L1953" s="16">
        <f>IF(NOT(Paths!$C$183=1),0,IF(Paths!$P$183="Complete",IF(C1953=10,Paths!$I$183,0),"n.a."))</f>
        <v>0</v>
      </c>
      <c r="M1953" s="16">
        <f>IF(NOT(Paths!$C$183=1),0,IF(Paths!$P$183="Complete",IF(AND(Paths!$D$183="EV",Paths!$E$183&lt;120,Paths!$E$183+'Operating costs'!$B$65&gt;Paths!$E$183,Paths!$E$183+'Operating costs'!$B$65&lt;=120,IF(Paths!$E$183+'Operating costs'!$B$65=0,C1953=0,AND(C1953&gt;0,Paths!$E$183+'Operating costs'!$B$65&gt;(C1953-1)*12,Paths!$E$183+'Operating costs'!$B$65&lt;=C1953*12))),'Operating costs'!$B$64,0)+IF(AND('Operating costs'!$B$67&gt;0,'Operating costs'!$B$67&lt;=120,OR(Paths!$D$183="ICE",'Operating costs'!$B$67&lt;=Paths!$E$183),IF('Operating costs'!$B$67=0,C1953=0,AND(C1953&gt;0,'Operating costs'!$B$67&gt;(C1953-1)*12,'Operating costs'!$B$67&lt;=C1953*12))),'Operating costs'!$B$66,0),"n.a."))</f>
        <v>0</v>
      </c>
      <c r="N1953" s="16">
        <f>IF(NOT(Paths!$C$183=1),0,IF(Paths!$P$183="Complete",SUM(G1953:I1953)-J1953-K1953-L1953+M1953+IF(C1953=0,Paths!$F$183,0)+IF(IF(Paths!$E$183=0,C1953=0,AND(C1953&gt;0,Paths!$E$183&gt;(C1953-1)*12,Paths!$E$183&lt;=C1953*12)),VLOOKUP(A1953,'Fleet register'!$A$7:$S$106,16,FALSE),0),"n.a."))</f>
        <v>0</v>
      </c>
      <c r="O1953" s="16">
        <f>IF(NOT(Paths!$C$183=1),0,IF(Paths!$P$183="Complete",N1953-IF(C1953=0,Paths!$F$183,0),"n.a."))</f>
        <v>0</v>
      </c>
      <c r="P1953" s="16">
        <f>IF(NOT(Paths!$C$183=1),0,IF(Paths!$P$183="Complete",O1953+L1953,"n.a."))</f>
        <v>0</v>
      </c>
      <c r="Q1953" s="16">
        <f>IF(NOT(Paths!$C$183=1),0,IF(Paths!$P$183="Complete",N1953*(1+'Operating costs'!$B$54)^-C1953,"n.a."))</f>
        <v>0</v>
      </c>
      <c r="R1953" s="16">
        <f>IF(NOT(Paths!$C$183=1),0,IF(Paths!$P$183="Complete",IF(AND(C1953=0,Paths!$E$183=0),I1953-J1953-K1953+VLOOKUP(A1953,'Fleet register'!$A$7:$S$106,15,FALSE)+VLOOKUP(A1953,'Fleet register'!$A$7:$S$106,16,FALSE),0),"n.a."))</f>
        <v>0</v>
      </c>
      <c r="S1953" s="1">
        <f>IF(NOT(Paths!$C$183=1),0,IF(Paths!$P$183="Complete",IF(C1953=0,0,Paths!$S$183*Paths!$R$183),"n.a."))</f>
        <v>0</v>
      </c>
      <c r="T1953" s="1">
        <f>IF(NOT(Paths!$C$183=1),0,IF(Paths!$P$183="Complete",IF(C1953=0,0,VLOOKUP(A1953,'Fleet register'!$A$7:$S$106,9,FALSE)*Paths!$R$183),"n.a."))</f>
        <v>0</v>
      </c>
    </row>
    <row r="1954" spans="1:20" ht="24" customHeight="1">
      <c r="A1954" s="1" t="str">
        <f>Paths!$A$184</f>
        <v>T045</v>
      </c>
      <c r="B1954" s="1">
        <f>Paths!$B$184</f>
        <v>1</v>
      </c>
      <c r="C1954" s="1">
        <v>0</v>
      </c>
      <c r="D1954" s="1">
        <v>184</v>
      </c>
      <c r="E1954" s="1">
        <f>IF(OR(Paths!$C$184=0,C1954=0),0,MAX(0,MIN(C1954*12,Paths!$E$184)-(C1954-1)*12))</f>
        <v>0</v>
      </c>
      <c r="F1954" s="1">
        <f>IF(OR(Paths!$C$184=0,C1954=0),0,12-E1954)</f>
        <v>0</v>
      </c>
      <c r="G1954" s="16">
        <f>IF(NOT(Paths!$C$184=1),0,IF(Paths!$P$184="Complete",E1954/12*(Paths!$J$184*(1+'Operating costs'!$B$51)^MAX(0,C1954-1)+Paths!$K$184*(1+'Operating costs'!$B$53)^MAX(0,C1954-1)),"n.a."))</f>
        <v>0</v>
      </c>
      <c r="H1954" s="16">
        <f>IF(NOT(Paths!$C$184=1),0,IF(Paths!$P$184="Complete",F1954/12*(Paths!$L$184*(1+IF(Paths!$D$184="EV",'Operating costs'!$B$52,'Operating costs'!$B$51))^MAX(0,C1954-1)+Paths!$M$184*(1+'Operating costs'!$B$53)^MAX(0,C1954-1)),"n.a."))</f>
        <v>0</v>
      </c>
      <c r="I1954" s="16">
        <f>IF(NOT(Paths!$C$184=1),0,IF(Paths!$P$184="Complete",IF(IF(Paths!$E$184=0,C1954=0,AND(C1954&gt;0,Paths!$E$184&gt;(C1954-1)*12,Paths!$E$184&lt;=C1954*12)),Paths!$G$184,0),"n.a."))</f>
        <v>0</v>
      </c>
      <c r="J1954" s="16">
        <f>IF(NOT(Paths!$C$184=1),0,IF(Paths!$P$184="Complete",IF(IF(Paths!$E$184=0,C1954=0,AND(C1954&gt;0,Paths!$E$184&gt;(C1954-1)*12,Paths!$E$184&lt;=C1954*12)),Paths!$H$184,0),"n.a."))</f>
        <v>0</v>
      </c>
      <c r="K1954" s="16">
        <f>IF(NOT(Paths!$C$184=1),0,IF(Paths!$P$184="Complete",IF(IF(Paths!$O$184=0,C1954=0,AND(C1954&gt;0,Paths!$O$184&gt;(C1954-1)*12,Paths!$O$184&lt;=C1954*12)),Paths!$N$184,0),"n.a."))</f>
        <v>0</v>
      </c>
      <c r="L1954" s="16">
        <f>IF(NOT(Paths!$C$184=1),0,IF(Paths!$P$184="Complete",IF(C1954=10,Paths!$I$184,0),"n.a."))</f>
        <v>0</v>
      </c>
      <c r="M1954" s="16">
        <f>IF(NOT(Paths!$C$184=1),0,IF(Paths!$P$184="Complete",IF(AND(Paths!$D$184="EV",Paths!$E$184&lt;120,Paths!$E$184+'Operating costs'!$B$65&gt;Paths!$E$184,Paths!$E$184+'Operating costs'!$B$65&lt;=120,IF(Paths!$E$184+'Operating costs'!$B$65=0,C1954=0,AND(C1954&gt;0,Paths!$E$184+'Operating costs'!$B$65&gt;(C1954-1)*12,Paths!$E$184+'Operating costs'!$B$65&lt;=C1954*12))),'Operating costs'!$B$64,0)+IF(AND('Operating costs'!$B$67&gt;0,'Operating costs'!$B$67&lt;=120,OR(Paths!$D$184="ICE",'Operating costs'!$B$67&lt;=Paths!$E$184),IF('Operating costs'!$B$67=0,C1954=0,AND(C1954&gt;0,'Operating costs'!$B$67&gt;(C1954-1)*12,'Operating costs'!$B$67&lt;=C1954*12))),'Operating costs'!$B$66,0),"n.a."))</f>
        <v>0</v>
      </c>
      <c r="N1954" s="16">
        <f>IF(NOT(Paths!$C$184=1),0,IF(Paths!$P$184="Complete",SUM(G1954:I1954)-J1954-K1954-L1954+M1954+IF(C1954=0,Paths!$F$184,0)+IF(IF(Paths!$E$184=0,C1954=0,AND(C1954&gt;0,Paths!$E$184&gt;(C1954-1)*12,Paths!$E$184&lt;=C1954*12)),VLOOKUP(A1954,'Fleet register'!$A$7:$S$106,16,FALSE),0),"n.a."))</f>
        <v>0</v>
      </c>
      <c r="O1954" s="16">
        <f>IF(NOT(Paths!$C$184=1),0,IF(Paths!$P$184="Complete",N1954-IF(C1954=0,Paths!$F$184,0),"n.a."))</f>
        <v>0</v>
      </c>
      <c r="P1954" s="16">
        <f>IF(NOT(Paths!$C$184=1),0,IF(Paths!$P$184="Complete",O1954+L1954,"n.a."))</f>
        <v>0</v>
      </c>
      <c r="Q1954" s="16">
        <f>IF(NOT(Paths!$C$184=1),0,IF(Paths!$P$184="Complete",N1954*(1+'Operating costs'!$B$54)^-C1954,"n.a."))</f>
        <v>0</v>
      </c>
      <c r="R1954" s="16">
        <f>IF(NOT(Paths!$C$184=1),0,IF(Paths!$P$184="Complete",IF(AND(C1954=0,Paths!$E$184=0),I1954-J1954-K1954+VLOOKUP(A1954,'Fleet register'!$A$7:$S$106,15,FALSE)+VLOOKUP(A1954,'Fleet register'!$A$7:$S$106,16,FALSE),0),"n.a."))</f>
        <v>0</v>
      </c>
      <c r="S1954" s="1">
        <f>IF(NOT(Paths!$C$184=1),0,IF(Paths!$P$184="Complete",IF(C1954=0,0,Paths!$S$184*Paths!$R$184),"n.a."))</f>
        <v>0</v>
      </c>
      <c r="T1954" s="1">
        <f>IF(NOT(Paths!$C$184=1),0,IF(Paths!$P$184="Complete",IF(C1954=0,0,VLOOKUP(A1954,'Fleet register'!$A$7:$S$106,9,FALSE)*Paths!$R$184),"n.a."))</f>
        <v>0</v>
      </c>
    </row>
    <row r="1955" spans="1:20" ht="24" customHeight="1">
      <c r="A1955" s="1" t="str">
        <f>Paths!$A$184</f>
        <v>T045</v>
      </c>
      <c r="B1955" s="1">
        <f>Paths!$B$184</f>
        <v>1</v>
      </c>
      <c r="C1955" s="1">
        <v>1</v>
      </c>
      <c r="D1955" s="1">
        <v>184</v>
      </c>
      <c r="E1955" s="1">
        <f>IF(OR(Paths!$C$184=0,C1955=0),0,MAX(0,MIN(C1955*12,Paths!$E$184)-(C1955-1)*12))</f>
        <v>0</v>
      </c>
      <c r="F1955" s="1">
        <f>IF(OR(Paths!$C$184=0,C1955=0),0,12-E1955)</f>
        <v>0</v>
      </c>
      <c r="G1955" s="16">
        <f>IF(NOT(Paths!$C$184=1),0,IF(Paths!$P$184="Complete",E1955/12*(Paths!$J$184*(1+'Operating costs'!$B$51)^MAX(0,C1955-1)+Paths!$K$184*(1+'Operating costs'!$B$53)^MAX(0,C1955-1)),"n.a."))</f>
        <v>0</v>
      </c>
      <c r="H1955" s="16">
        <f>IF(NOT(Paths!$C$184=1),0,IF(Paths!$P$184="Complete",F1955/12*(Paths!$L$184*(1+IF(Paths!$D$184="EV",'Operating costs'!$B$52,'Operating costs'!$B$51))^MAX(0,C1955-1)+Paths!$M$184*(1+'Operating costs'!$B$53)^MAX(0,C1955-1)),"n.a."))</f>
        <v>0</v>
      </c>
      <c r="I1955" s="16">
        <f>IF(NOT(Paths!$C$184=1),0,IF(Paths!$P$184="Complete",IF(IF(Paths!$E$184=0,C1955=0,AND(C1955&gt;0,Paths!$E$184&gt;(C1955-1)*12,Paths!$E$184&lt;=C1955*12)),Paths!$G$184,0),"n.a."))</f>
        <v>0</v>
      </c>
      <c r="J1955" s="16">
        <f>IF(NOT(Paths!$C$184=1),0,IF(Paths!$P$184="Complete",IF(IF(Paths!$E$184=0,C1955=0,AND(C1955&gt;0,Paths!$E$184&gt;(C1955-1)*12,Paths!$E$184&lt;=C1955*12)),Paths!$H$184,0),"n.a."))</f>
        <v>0</v>
      </c>
      <c r="K1955" s="16">
        <f>IF(NOT(Paths!$C$184=1),0,IF(Paths!$P$184="Complete",IF(IF(Paths!$O$184=0,C1955=0,AND(C1955&gt;0,Paths!$O$184&gt;(C1955-1)*12,Paths!$O$184&lt;=C1955*12)),Paths!$N$184,0),"n.a."))</f>
        <v>0</v>
      </c>
      <c r="L1955" s="16">
        <f>IF(NOT(Paths!$C$184=1),0,IF(Paths!$P$184="Complete",IF(C1955=10,Paths!$I$184,0),"n.a."))</f>
        <v>0</v>
      </c>
      <c r="M1955" s="16">
        <f>IF(NOT(Paths!$C$184=1),0,IF(Paths!$P$184="Complete",IF(AND(Paths!$D$184="EV",Paths!$E$184&lt;120,Paths!$E$184+'Operating costs'!$B$65&gt;Paths!$E$184,Paths!$E$184+'Operating costs'!$B$65&lt;=120,IF(Paths!$E$184+'Operating costs'!$B$65=0,C1955=0,AND(C1955&gt;0,Paths!$E$184+'Operating costs'!$B$65&gt;(C1955-1)*12,Paths!$E$184+'Operating costs'!$B$65&lt;=C1955*12))),'Operating costs'!$B$64,0)+IF(AND('Operating costs'!$B$67&gt;0,'Operating costs'!$B$67&lt;=120,OR(Paths!$D$184="ICE",'Operating costs'!$B$67&lt;=Paths!$E$184),IF('Operating costs'!$B$67=0,C1955=0,AND(C1955&gt;0,'Operating costs'!$B$67&gt;(C1955-1)*12,'Operating costs'!$B$67&lt;=C1955*12))),'Operating costs'!$B$66,0),"n.a."))</f>
        <v>0</v>
      </c>
      <c r="N1955" s="16">
        <f>IF(NOT(Paths!$C$184=1),0,IF(Paths!$P$184="Complete",SUM(G1955:I1955)-J1955-K1955-L1955+M1955+IF(C1955=0,Paths!$F$184,0)+IF(IF(Paths!$E$184=0,C1955=0,AND(C1955&gt;0,Paths!$E$184&gt;(C1955-1)*12,Paths!$E$184&lt;=C1955*12)),VLOOKUP(A1955,'Fleet register'!$A$7:$S$106,16,FALSE),0),"n.a."))</f>
        <v>0</v>
      </c>
      <c r="O1955" s="16">
        <f>IF(NOT(Paths!$C$184=1),0,IF(Paths!$P$184="Complete",N1955-IF(C1955=0,Paths!$F$184,0),"n.a."))</f>
        <v>0</v>
      </c>
      <c r="P1955" s="16">
        <f>IF(NOT(Paths!$C$184=1),0,IF(Paths!$P$184="Complete",O1955+L1955,"n.a."))</f>
        <v>0</v>
      </c>
      <c r="Q1955" s="16">
        <f>IF(NOT(Paths!$C$184=1),0,IF(Paths!$P$184="Complete",N1955*(1+'Operating costs'!$B$54)^-C1955,"n.a."))</f>
        <v>0</v>
      </c>
      <c r="R1955" s="16">
        <f>IF(NOT(Paths!$C$184=1),0,IF(Paths!$P$184="Complete",IF(AND(C1955=0,Paths!$E$184=0),I1955-J1955-K1955+VLOOKUP(A1955,'Fleet register'!$A$7:$S$106,15,FALSE)+VLOOKUP(A1955,'Fleet register'!$A$7:$S$106,16,FALSE),0),"n.a."))</f>
        <v>0</v>
      </c>
      <c r="S1955" s="1">
        <f>IF(NOT(Paths!$C$184=1),0,IF(Paths!$P$184="Complete",IF(C1955=0,0,Paths!$S$184*Paths!$R$184),"n.a."))</f>
        <v>0</v>
      </c>
      <c r="T1955" s="1">
        <f>IF(NOT(Paths!$C$184=1),0,IF(Paths!$P$184="Complete",IF(C1955=0,0,VLOOKUP(A1955,'Fleet register'!$A$7:$S$106,9,FALSE)*Paths!$R$184),"n.a."))</f>
        <v>0</v>
      </c>
    </row>
    <row r="1956" spans="1:20" ht="24" customHeight="1">
      <c r="A1956" s="1" t="str">
        <f>Paths!$A$184</f>
        <v>T045</v>
      </c>
      <c r="B1956" s="1">
        <f>Paths!$B$184</f>
        <v>1</v>
      </c>
      <c r="C1956" s="1">
        <v>2</v>
      </c>
      <c r="D1956" s="1">
        <v>184</v>
      </c>
      <c r="E1956" s="1">
        <f>IF(OR(Paths!$C$184=0,C1956=0),0,MAX(0,MIN(C1956*12,Paths!$E$184)-(C1956-1)*12))</f>
        <v>0</v>
      </c>
      <c r="F1956" s="1">
        <f>IF(OR(Paths!$C$184=0,C1956=0),0,12-E1956)</f>
        <v>0</v>
      </c>
      <c r="G1956" s="16">
        <f>IF(NOT(Paths!$C$184=1),0,IF(Paths!$P$184="Complete",E1956/12*(Paths!$J$184*(1+'Operating costs'!$B$51)^MAX(0,C1956-1)+Paths!$K$184*(1+'Operating costs'!$B$53)^MAX(0,C1956-1)),"n.a."))</f>
        <v>0</v>
      </c>
      <c r="H1956" s="16">
        <f>IF(NOT(Paths!$C$184=1),0,IF(Paths!$P$184="Complete",F1956/12*(Paths!$L$184*(1+IF(Paths!$D$184="EV",'Operating costs'!$B$52,'Operating costs'!$B$51))^MAX(0,C1956-1)+Paths!$M$184*(1+'Operating costs'!$B$53)^MAX(0,C1956-1)),"n.a."))</f>
        <v>0</v>
      </c>
      <c r="I1956" s="16">
        <f>IF(NOT(Paths!$C$184=1),0,IF(Paths!$P$184="Complete",IF(IF(Paths!$E$184=0,C1956=0,AND(C1956&gt;0,Paths!$E$184&gt;(C1956-1)*12,Paths!$E$184&lt;=C1956*12)),Paths!$G$184,0),"n.a."))</f>
        <v>0</v>
      </c>
      <c r="J1956" s="16">
        <f>IF(NOT(Paths!$C$184=1),0,IF(Paths!$P$184="Complete",IF(IF(Paths!$E$184=0,C1956=0,AND(C1956&gt;0,Paths!$E$184&gt;(C1956-1)*12,Paths!$E$184&lt;=C1956*12)),Paths!$H$184,0),"n.a."))</f>
        <v>0</v>
      </c>
      <c r="K1956" s="16">
        <f>IF(NOT(Paths!$C$184=1),0,IF(Paths!$P$184="Complete",IF(IF(Paths!$O$184=0,C1956=0,AND(C1956&gt;0,Paths!$O$184&gt;(C1956-1)*12,Paths!$O$184&lt;=C1956*12)),Paths!$N$184,0),"n.a."))</f>
        <v>0</v>
      </c>
      <c r="L1956" s="16">
        <f>IF(NOT(Paths!$C$184=1),0,IF(Paths!$P$184="Complete",IF(C1956=10,Paths!$I$184,0),"n.a."))</f>
        <v>0</v>
      </c>
      <c r="M1956" s="16">
        <f>IF(NOT(Paths!$C$184=1),0,IF(Paths!$P$184="Complete",IF(AND(Paths!$D$184="EV",Paths!$E$184&lt;120,Paths!$E$184+'Operating costs'!$B$65&gt;Paths!$E$184,Paths!$E$184+'Operating costs'!$B$65&lt;=120,IF(Paths!$E$184+'Operating costs'!$B$65=0,C1956=0,AND(C1956&gt;0,Paths!$E$184+'Operating costs'!$B$65&gt;(C1956-1)*12,Paths!$E$184+'Operating costs'!$B$65&lt;=C1956*12))),'Operating costs'!$B$64,0)+IF(AND('Operating costs'!$B$67&gt;0,'Operating costs'!$B$67&lt;=120,OR(Paths!$D$184="ICE",'Operating costs'!$B$67&lt;=Paths!$E$184),IF('Operating costs'!$B$67=0,C1956=0,AND(C1956&gt;0,'Operating costs'!$B$67&gt;(C1956-1)*12,'Operating costs'!$B$67&lt;=C1956*12))),'Operating costs'!$B$66,0),"n.a."))</f>
        <v>0</v>
      </c>
      <c r="N1956" s="16">
        <f>IF(NOT(Paths!$C$184=1),0,IF(Paths!$P$184="Complete",SUM(G1956:I1956)-J1956-K1956-L1956+M1956+IF(C1956=0,Paths!$F$184,0)+IF(IF(Paths!$E$184=0,C1956=0,AND(C1956&gt;0,Paths!$E$184&gt;(C1956-1)*12,Paths!$E$184&lt;=C1956*12)),VLOOKUP(A1956,'Fleet register'!$A$7:$S$106,16,FALSE),0),"n.a."))</f>
        <v>0</v>
      </c>
      <c r="O1956" s="16">
        <f>IF(NOT(Paths!$C$184=1),0,IF(Paths!$P$184="Complete",N1956-IF(C1956=0,Paths!$F$184,0),"n.a."))</f>
        <v>0</v>
      </c>
      <c r="P1956" s="16">
        <f>IF(NOT(Paths!$C$184=1),0,IF(Paths!$P$184="Complete",O1956+L1956,"n.a."))</f>
        <v>0</v>
      </c>
      <c r="Q1956" s="16">
        <f>IF(NOT(Paths!$C$184=1),0,IF(Paths!$P$184="Complete",N1956*(1+'Operating costs'!$B$54)^-C1956,"n.a."))</f>
        <v>0</v>
      </c>
      <c r="R1956" s="16">
        <f>IF(NOT(Paths!$C$184=1),0,IF(Paths!$P$184="Complete",IF(AND(C1956=0,Paths!$E$184=0),I1956-J1956-K1956+VLOOKUP(A1956,'Fleet register'!$A$7:$S$106,15,FALSE)+VLOOKUP(A1956,'Fleet register'!$A$7:$S$106,16,FALSE),0),"n.a."))</f>
        <v>0</v>
      </c>
      <c r="S1956" s="1">
        <f>IF(NOT(Paths!$C$184=1),0,IF(Paths!$P$184="Complete",IF(C1956=0,0,Paths!$S$184*Paths!$R$184),"n.a."))</f>
        <v>0</v>
      </c>
      <c r="T1956" s="1">
        <f>IF(NOT(Paths!$C$184=1),0,IF(Paths!$P$184="Complete",IF(C1956=0,0,VLOOKUP(A1956,'Fleet register'!$A$7:$S$106,9,FALSE)*Paths!$R$184),"n.a."))</f>
        <v>0</v>
      </c>
    </row>
    <row r="1957" spans="1:20" ht="24" customHeight="1">
      <c r="A1957" s="1" t="str">
        <f>Paths!$A$184</f>
        <v>T045</v>
      </c>
      <c r="B1957" s="1">
        <f>Paths!$B$184</f>
        <v>1</v>
      </c>
      <c r="C1957" s="1">
        <v>3</v>
      </c>
      <c r="D1957" s="1">
        <v>184</v>
      </c>
      <c r="E1957" s="1">
        <f>IF(OR(Paths!$C$184=0,C1957=0),0,MAX(0,MIN(C1957*12,Paths!$E$184)-(C1957-1)*12))</f>
        <v>0</v>
      </c>
      <c r="F1957" s="1">
        <f>IF(OR(Paths!$C$184=0,C1957=0),0,12-E1957)</f>
        <v>0</v>
      </c>
      <c r="G1957" s="16">
        <f>IF(NOT(Paths!$C$184=1),0,IF(Paths!$P$184="Complete",E1957/12*(Paths!$J$184*(1+'Operating costs'!$B$51)^MAX(0,C1957-1)+Paths!$K$184*(1+'Operating costs'!$B$53)^MAX(0,C1957-1)),"n.a."))</f>
        <v>0</v>
      </c>
      <c r="H1957" s="16">
        <f>IF(NOT(Paths!$C$184=1),0,IF(Paths!$P$184="Complete",F1957/12*(Paths!$L$184*(1+IF(Paths!$D$184="EV",'Operating costs'!$B$52,'Operating costs'!$B$51))^MAX(0,C1957-1)+Paths!$M$184*(1+'Operating costs'!$B$53)^MAX(0,C1957-1)),"n.a."))</f>
        <v>0</v>
      </c>
      <c r="I1957" s="16">
        <f>IF(NOT(Paths!$C$184=1),0,IF(Paths!$P$184="Complete",IF(IF(Paths!$E$184=0,C1957=0,AND(C1957&gt;0,Paths!$E$184&gt;(C1957-1)*12,Paths!$E$184&lt;=C1957*12)),Paths!$G$184,0),"n.a."))</f>
        <v>0</v>
      </c>
      <c r="J1957" s="16">
        <f>IF(NOT(Paths!$C$184=1),0,IF(Paths!$P$184="Complete",IF(IF(Paths!$E$184=0,C1957=0,AND(C1957&gt;0,Paths!$E$184&gt;(C1957-1)*12,Paths!$E$184&lt;=C1957*12)),Paths!$H$184,0),"n.a."))</f>
        <v>0</v>
      </c>
      <c r="K1957" s="16">
        <f>IF(NOT(Paths!$C$184=1),0,IF(Paths!$P$184="Complete",IF(IF(Paths!$O$184=0,C1957=0,AND(C1957&gt;0,Paths!$O$184&gt;(C1957-1)*12,Paths!$O$184&lt;=C1957*12)),Paths!$N$184,0),"n.a."))</f>
        <v>0</v>
      </c>
      <c r="L1957" s="16">
        <f>IF(NOT(Paths!$C$184=1),0,IF(Paths!$P$184="Complete",IF(C1957=10,Paths!$I$184,0),"n.a."))</f>
        <v>0</v>
      </c>
      <c r="M1957" s="16">
        <f>IF(NOT(Paths!$C$184=1),0,IF(Paths!$P$184="Complete",IF(AND(Paths!$D$184="EV",Paths!$E$184&lt;120,Paths!$E$184+'Operating costs'!$B$65&gt;Paths!$E$184,Paths!$E$184+'Operating costs'!$B$65&lt;=120,IF(Paths!$E$184+'Operating costs'!$B$65=0,C1957=0,AND(C1957&gt;0,Paths!$E$184+'Operating costs'!$B$65&gt;(C1957-1)*12,Paths!$E$184+'Operating costs'!$B$65&lt;=C1957*12))),'Operating costs'!$B$64,0)+IF(AND('Operating costs'!$B$67&gt;0,'Operating costs'!$B$67&lt;=120,OR(Paths!$D$184="ICE",'Operating costs'!$B$67&lt;=Paths!$E$184),IF('Operating costs'!$B$67=0,C1957=0,AND(C1957&gt;0,'Operating costs'!$B$67&gt;(C1957-1)*12,'Operating costs'!$B$67&lt;=C1957*12))),'Operating costs'!$B$66,0),"n.a."))</f>
        <v>0</v>
      </c>
      <c r="N1957" s="16">
        <f>IF(NOT(Paths!$C$184=1),0,IF(Paths!$P$184="Complete",SUM(G1957:I1957)-J1957-K1957-L1957+M1957+IF(C1957=0,Paths!$F$184,0)+IF(IF(Paths!$E$184=0,C1957=0,AND(C1957&gt;0,Paths!$E$184&gt;(C1957-1)*12,Paths!$E$184&lt;=C1957*12)),VLOOKUP(A1957,'Fleet register'!$A$7:$S$106,16,FALSE),0),"n.a."))</f>
        <v>0</v>
      </c>
      <c r="O1957" s="16">
        <f>IF(NOT(Paths!$C$184=1),0,IF(Paths!$P$184="Complete",N1957-IF(C1957=0,Paths!$F$184,0),"n.a."))</f>
        <v>0</v>
      </c>
      <c r="P1957" s="16">
        <f>IF(NOT(Paths!$C$184=1),0,IF(Paths!$P$184="Complete",O1957+L1957,"n.a."))</f>
        <v>0</v>
      </c>
      <c r="Q1957" s="16">
        <f>IF(NOT(Paths!$C$184=1),0,IF(Paths!$P$184="Complete",N1957*(1+'Operating costs'!$B$54)^-C1957,"n.a."))</f>
        <v>0</v>
      </c>
      <c r="R1957" s="16">
        <f>IF(NOT(Paths!$C$184=1),0,IF(Paths!$P$184="Complete",IF(AND(C1957=0,Paths!$E$184=0),I1957-J1957-K1957+VLOOKUP(A1957,'Fleet register'!$A$7:$S$106,15,FALSE)+VLOOKUP(A1957,'Fleet register'!$A$7:$S$106,16,FALSE),0),"n.a."))</f>
        <v>0</v>
      </c>
      <c r="S1957" s="1">
        <f>IF(NOT(Paths!$C$184=1),0,IF(Paths!$P$184="Complete",IF(C1957=0,0,Paths!$S$184*Paths!$R$184),"n.a."))</f>
        <v>0</v>
      </c>
      <c r="T1957" s="1">
        <f>IF(NOT(Paths!$C$184=1),0,IF(Paths!$P$184="Complete",IF(C1957=0,0,VLOOKUP(A1957,'Fleet register'!$A$7:$S$106,9,FALSE)*Paths!$R$184),"n.a."))</f>
        <v>0</v>
      </c>
    </row>
    <row r="1958" spans="1:20" ht="24" customHeight="1">
      <c r="A1958" s="1" t="str">
        <f>Paths!$A$184</f>
        <v>T045</v>
      </c>
      <c r="B1958" s="1">
        <f>Paths!$B$184</f>
        <v>1</v>
      </c>
      <c r="C1958" s="1">
        <v>4</v>
      </c>
      <c r="D1958" s="1">
        <v>184</v>
      </c>
      <c r="E1958" s="1">
        <f>IF(OR(Paths!$C$184=0,C1958=0),0,MAX(0,MIN(C1958*12,Paths!$E$184)-(C1958-1)*12))</f>
        <v>0</v>
      </c>
      <c r="F1958" s="1">
        <f>IF(OR(Paths!$C$184=0,C1958=0),0,12-E1958)</f>
        <v>0</v>
      </c>
      <c r="G1958" s="16">
        <f>IF(NOT(Paths!$C$184=1),0,IF(Paths!$P$184="Complete",E1958/12*(Paths!$J$184*(1+'Operating costs'!$B$51)^MAX(0,C1958-1)+Paths!$K$184*(1+'Operating costs'!$B$53)^MAX(0,C1958-1)),"n.a."))</f>
        <v>0</v>
      </c>
      <c r="H1958" s="16">
        <f>IF(NOT(Paths!$C$184=1),0,IF(Paths!$P$184="Complete",F1958/12*(Paths!$L$184*(1+IF(Paths!$D$184="EV",'Operating costs'!$B$52,'Operating costs'!$B$51))^MAX(0,C1958-1)+Paths!$M$184*(1+'Operating costs'!$B$53)^MAX(0,C1958-1)),"n.a."))</f>
        <v>0</v>
      </c>
      <c r="I1958" s="16">
        <f>IF(NOT(Paths!$C$184=1),0,IF(Paths!$P$184="Complete",IF(IF(Paths!$E$184=0,C1958=0,AND(C1958&gt;0,Paths!$E$184&gt;(C1958-1)*12,Paths!$E$184&lt;=C1958*12)),Paths!$G$184,0),"n.a."))</f>
        <v>0</v>
      </c>
      <c r="J1958" s="16">
        <f>IF(NOT(Paths!$C$184=1),0,IF(Paths!$P$184="Complete",IF(IF(Paths!$E$184=0,C1958=0,AND(C1958&gt;0,Paths!$E$184&gt;(C1958-1)*12,Paths!$E$184&lt;=C1958*12)),Paths!$H$184,0),"n.a."))</f>
        <v>0</v>
      </c>
      <c r="K1958" s="16">
        <f>IF(NOT(Paths!$C$184=1),0,IF(Paths!$P$184="Complete",IF(IF(Paths!$O$184=0,C1958=0,AND(C1958&gt;0,Paths!$O$184&gt;(C1958-1)*12,Paths!$O$184&lt;=C1958*12)),Paths!$N$184,0),"n.a."))</f>
        <v>0</v>
      </c>
      <c r="L1958" s="16">
        <f>IF(NOT(Paths!$C$184=1),0,IF(Paths!$P$184="Complete",IF(C1958=10,Paths!$I$184,0),"n.a."))</f>
        <v>0</v>
      </c>
      <c r="M1958" s="16">
        <f>IF(NOT(Paths!$C$184=1),0,IF(Paths!$P$184="Complete",IF(AND(Paths!$D$184="EV",Paths!$E$184&lt;120,Paths!$E$184+'Operating costs'!$B$65&gt;Paths!$E$184,Paths!$E$184+'Operating costs'!$B$65&lt;=120,IF(Paths!$E$184+'Operating costs'!$B$65=0,C1958=0,AND(C1958&gt;0,Paths!$E$184+'Operating costs'!$B$65&gt;(C1958-1)*12,Paths!$E$184+'Operating costs'!$B$65&lt;=C1958*12))),'Operating costs'!$B$64,0)+IF(AND('Operating costs'!$B$67&gt;0,'Operating costs'!$B$67&lt;=120,OR(Paths!$D$184="ICE",'Operating costs'!$B$67&lt;=Paths!$E$184),IF('Operating costs'!$B$67=0,C1958=0,AND(C1958&gt;0,'Operating costs'!$B$67&gt;(C1958-1)*12,'Operating costs'!$B$67&lt;=C1958*12))),'Operating costs'!$B$66,0),"n.a."))</f>
        <v>0</v>
      </c>
      <c r="N1958" s="16">
        <f>IF(NOT(Paths!$C$184=1),0,IF(Paths!$P$184="Complete",SUM(G1958:I1958)-J1958-K1958-L1958+M1958+IF(C1958=0,Paths!$F$184,0)+IF(IF(Paths!$E$184=0,C1958=0,AND(C1958&gt;0,Paths!$E$184&gt;(C1958-1)*12,Paths!$E$184&lt;=C1958*12)),VLOOKUP(A1958,'Fleet register'!$A$7:$S$106,16,FALSE),0),"n.a."))</f>
        <v>0</v>
      </c>
      <c r="O1958" s="16">
        <f>IF(NOT(Paths!$C$184=1),0,IF(Paths!$P$184="Complete",N1958-IF(C1958=0,Paths!$F$184,0),"n.a."))</f>
        <v>0</v>
      </c>
      <c r="P1958" s="16">
        <f>IF(NOT(Paths!$C$184=1),0,IF(Paths!$P$184="Complete",O1958+L1958,"n.a."))</f>
        <v>0</v>
      </c>
      <c r="Q1958" s="16">
        <f>IF(NOT(Paths!$C$184=1),0,IF(Paths!$P$184="Complete",N1958*(1+'Operating costs'!$B$54)^-C1958,"n.a."))</f>
        <v>0</v>
      </c>
      <c r="R1958" s="16">
        <f>IF(NOT(Paths!$C$184=1),0,IF(Paths!$P$184="Complete",IF(AND(C1958=0,Paths!$E$184=0),I1958-J1958-K1958+VLOOKUP(A1958,'Fleet register'!$A$7:$S$106,15,FALSE)+VLOOKUP(A1958,'Fleet register'!$A$7:$S$106,16,FALSE),0),"n.a."))</f>
        <v>0</v>
      </c>
      <c r="S1958" s="1">
        <f>IF(NOT(Paths!$C$184=1),0,IF(Paths!$P$184="Complete",IF(C1958=0,0,Paths!$S$184*Paths!$R$184),"n.a."))</f>
        <v>0</v>
      </c>
      <c r="T1958" s="1">
        <f>IF(NOT(Paths!$C$184=1),0,IF(Paths!$P$184="Complete",IF(C1958=0,0,VLOOKUP(A1958,'Fleet register'!$A$7:$S$106,9,FALSE)*Paths!$R$184),"n.a."))</f>
        <v>0</v>
      </c>
    </row>
    <row r="1959" spans="1:20" ht="24" customHeight="1">
      <c r="A1959" s="1" t="str">
        <f>Paths!$A$184</f>
        <v>T045</v>
      </c>
      <c r="B1959" s="1">
        <f>Paths!$B$184</f>
        <v>1</v>
      </c>
      <c r="C1959" s="1">
        <v>5</v>
      </c>
      <c r="D1959" s="1">
        <v>184</v>
      </c>
      <c r="E1959" s="1">
        <f>IF(OR(Paths!$C$184=0,C1959=0),0,MAX(0,MIN(C1959*12,Paths!$E$184)-(C1959-1)*12))</f>
        <v>0</v>
      </c>
      <c r="F1959" s="1">
        <f>IF(OR(Paths!$C$184=0,C1959=0),0,12-E1959)</f>
        <v>0</v>
      </c>
      <c r="G1959" s="16">
        <f>IF(NOT(Paths!$C$184=1),0,IF(Paths!$P$184="Complete",E1959/12*(Paths!$J$184*(1+'Operating costs'!$B$51)^MAX(0,C1959-1)+Paths!$K$184*(1+'Operating costs'!$B$53)^MAX(0,C1959-1)),"n.a."))</f>
        <v>0</v>
      </c>
      <c r="H1959" s="16">
        <f>IF(NOT(Paths!$C$184=1),0,IF(Paths!$P$184="Complete",F1959/12*(Paths!$L$184*(1+IF(Paths!$D$184="EV",'Operating costs'!$B$52,'Operating costs'!$B$51))^MAX(0,C1959-1)+Paths!$M$184*(1+'Operating costs'!$B$53)^MAX(0,C1959-1)),"n.a."))</f>
        <v>0</v>
      </c>
      <c r="I1959" s="16">
        <f>IF(NOT(Paths!$C$184=1),0,IF(Paths!$P$184="Complete",IF(IF(Paths!$E$184=0,C1959=0,AND(C1959&gt;0,Paths!$E$184&gt;(C1959-1)*12,Paths!$E$184&lt;=C1959*12)),Paths!$G$184,0),"n.a."))</f>
        <v>0</v>
      </c>
      <c r="J1959" s="16">
        <f>IF(NOT(Paths!$C$184=1),0,IF(Paths!$P$184="Complete",IF(IF(Paths!$E$184=0,C1959=0,AND(C1959&gt;0,Paths!$E$184&gt;(C1959-1)*12,Paths!$E$184&lt;=C1959*12)),Paths!$H$184,0),"n.a."))</f>
        <v>0</v>
      </c>
      <c r="K1959" s="16">
        <f>IF(NOT(Paths!$C$184=1),0,IF(Paths!$P$184="Complete",IF(IF(Paths!$O$184=0,C1959=0,AND(C1959&gt;0,Paths!$O$184&gt;(C1959-1)*12,Paths!$O$184&lt;=C1959*12)),Paths!$N$184,0),"n.a."))</f>
        <v>0</v>
      </c>
      <c r="L1959" s="16">
        <f>IF(NOT(Paths!$C$184=1),0,IF(Paths!$P$184="Complete",IF(C1959=10,Paths!$I$184,0),"n.a."))</f>
        <v>0</v>
      </c>
      <c r="M1959" s="16">
        <f>IF(NOT(Paths!$C$184=1),0,IF(Paths!$P$184="Complete",IF(AND(Paths!$D$184="EV",Paths!$E$184&lt;120,Paths!$E$184+'Operating costs'!$B$65&gt;Paths!$E$184,Paths!$E$184+'Operating costs'!$B$65&lt;=120,IF(Paths!$E$184+'Operating costs'!$B$65=0,C1959=0,AND(C1959&gt;0,Paths!$E$184+'Operating costs'!$B$65&gt;(C1959-1)*12,Paths!$E$184+'Operating costs'!$B$65&lt;=C1959*12))),'Operating costs'!$B$64,0)+IF(AND('Operating costs'!$B$67&gt;0,'Operating costs'!$B$67&lt;=120,OR(Paths!$D$184="ICE",'Operating costs'!$B$67&lt;=Paths!$E$184),IF('Operating costs'!$B$67=0,C1959=0,AND(C1959&gt;0,'Operating costs'!$B$67&gt;(C1959-1)*12,'Operating costs'!$B$67&lt;=C1959*12))),'Operating costs'!$B$66,0),"n.a."))</f>
        <v>0</v>
      </c>
      <c r="N1959" s="16">
        <f>IF(NOT(Paths!$C$184=1),0,IF(Paths!$P$184="Complete",SUM(G1959:I1959)-J1959-K1959-L1959+M1959+IF(C1959=0,Paths!$F$184,0)+IF(IF(Paths!$E$184=0,C1959=0,AND(C1959&gt;0,Paths!$E$184&gt;(C1959-1)*12,Paths!$E$184&lt;=C1959*12)),VLOOKUP(A1959,'Fleet register'!$A$7:$S$106,16,FALSE),0),"n.a."))</f>
        <v>0</v>
      </c>
      <c r="O1959" s="16">
        <f>IF(NOT(Paths!$C$184=1),0,IF(Paths!$P$184="Complete",N1959-IF(C1959=0,Paths!$F$184,0),"n.a."))</f>
        <v>0</v>
      </c>
      <c r="P1959" s="16">
        <f>IF(NOT(Paths!$C$184=1),0,IF(Paths!$P$184="Complete",O1959+L1959,"n.a."))</f>
        <v>0</v>
      </c>
      <c r="Q1959" s="16">
        <f>IF(NOT(Paths!$C$184=1),0,IF(Paths!$P$184="Complete",N1959*(1+'Operating costs'!$B$54)^-C1959,"n.a."))</f>
        <v>0</v>
      </c>
      <c r="R1959" s="16">
        <f>IF(NOT(Paths!$C$184=1),0,IF(Paths!$P$184="Complete",IF(AND(C1959=0,Paths!$E$184=0),I1959-J1959-K1959+VLOOKUP(A1959,'Fleet register'!$A$7:$S$106,15,FALSE)+VLOOKUP(A1959,'Fleet register'!$A$7:$S$106,16,FALSE),0),"n.a."))</f>
        <v>0</v>
      </c>
      <c r="S1959" s="1">
        <f>IF(NOT(Paths!$C$184=1),0,IF(Paths!$P$184="Complete",IF(C1959=0,0,Paths!$S$184*Paths!$R$184),"n.a."))</f>
        <v>0</v>
      </c>
      <c r="T1959" s="1">
        <f>IF(NOT(Paths!$C$184=1),0,IF(Paths!$P$184="Complete",IF(C1959=0,0,VLOOKUP(A1959,'Fleet register'!$A$7:$S$106,9,FALSE)*Paths!$R$184),"n.a."))</f>
        <v>0</v>
      </c>
    </row>
    <row r="1960" spans="1:20" ht="24" customHeight="1">
      <c r="A1960" s="1" t="str">
        <f>Paths!$A$184</f>
        <v>T045</v>
      </c>
      <c r="B1960" s="1">
        <f>Paths!$B$184</f>
        <v>1</v>
      </c>
      <c r="C1960" s="1">
        <v>6</v>
      </c>
      <c r="D1960" s="1">
        <v>184</v>
      </c>
      <c r="E1960" s="1">
        <f>IF(OR(Paths!$C$184=0,C1960=0),0,MAX(0,MIN(C1960*12,Paths!$E$184)-(C1960-1)*12))</f>
        <v>0</v>
      </c>
      <c r="F1960" s="1">
        <f>IF(OR(Paths!$C$184=0,C1960=0),0,12-E1960)</f>
        <v>0</v>
      </c>
      <c r="G1960" s="16">
        <f>IF(NOT(Paths!$C$184=1),0,IF(Paths!$P$184="Complete",E1960/12*(Paths!$J$184*(1+'Operating costs'!$B$51)^MAX(0,C1960-1)+Paths!$K$184*(1+'Operating costs'!$B$53)^MAX(0,C1960-1)),"n.a."))</f>
        <v>0</v>
      </c>
      <c r="H1960" s="16">
        <f>IF(NOT(Paths!$C$184=1),0,IF(Paths!$P$184="Complete",F1960/12*(Paths!$L$184*(1+IF(Paths!$D$184="EV",'Operating costs'!$B$52,'Operating costs'!$B$51))^MAX(0,C1960-1)+Paths!$M$184*(1+'Operating costs'!$B$53)^MAX(0,C1960-1)),"n.a."))</f>
        <v>0</v>
      </c>
      <c r="I1960" s="16">
        <f>IF(NOT(Paths!$C$184=1),0,IF(Paths!$P$184="Complete",IF(IF(Paths!$E$184=0,C1960=0,AND(C1960&gt;0,Paths!$E$184&gt;(C1960-1)*12,Paths!$E$184&lt;=C1960*12)),Paths!$G$184,0),"n.a."))</f>
        <v>0</v>
      </c>
      <c r="J1960" s="16">
        <f>IF(NOT(Paths!$C$184=1),0,IF(Paths!$P$184="Complete",IF(IF(Paths!$E$184=0,C1960=0,AND(C1960&gt;0,Paths!$E$184&gt;(C1960-1)*12,Paths!$E$184&lt;=C1960*12)),Paths!$H$184,0),"n.a."))</f>
        <v>0</v>
      </c>
      <c r="K1960" s="16">
        <f>IF(NOT(Paths!$C$184=1),0,IF(Paths!$P$184="Complete",IF(IF(Paths!$O$184=0,C1960=0,AND(C1960&gt;0,Paths!$O$184&gt;(C1960-1)*12,Paths!$O$184&lt;=C1960*12)),Paths!$N$184,0),"n.a."))</f>
        <v>0</v>
      </c>
      <c r="L1960" s="16">
        <f>IF(NOT(Paths!$C$184=1),0,IF(Paths!$P$184="Complete",IF(C1960=10,Paths!$I$184,0),"n.a."))</f>
        <v>0</v>
      </c>
      <c r="M1960" s="16">
        <f>IF(NOT(Paths!$C$184=1),0,IF(Paths!$P$184="Complete",IF(AND(Paths!$D$184="EV",Paths!$E$184&lt;120,Paths!$E$184+'Operating costs'!$B$65&gt;Paths!$E$184,Paths!$E$184+'Operating costs'!$B$65&lt;=120,IF(Paths!$E$184+'Operating costs'!$B$65=0,C1960=0,AND(C1960&gt;0,Paths!$E$184+'Operating costs'!$B$65&gt;(C1960-1)*12,Paths!$E$184+'Operating costs'!$B$65&lt;=C1960*12))),'Operating costs'!$B$64,0)+IF(AND('Operating costs'!$B$67&gt;0,'Operating costs'!$B$67&lt;=120,OR(Paths!$D$184="ICE",'Operating costs'!$B$67&lt;=Paths!$E$184),IF('Operating costs'!$B$67=0,C1960=0,AND(C1960&gt;0,'Operating costs'!$B$67&gt;(C1960-1)*12,'Operating costs'!$B$67&lt;=C1960*12))),'Operating costs'!$B$66,0),"n.a."))</f>
        <v>0</v>
      </c>
      <c r="N1960" s="16">
        <f>IF(NOT(Paths!$C$184=1),0,IF(Paths!$P$184="Complete",SUM(G1960:I1960)-J1960-K1960-L1960+M1960+IF(C1960=0,Paths!$F$184,0)+IF(IF(Paths!$E$184=0,C1960=0,AND(C1960&gt;0,Paths!$E$184&gt;(C1960-1)*12,Paths!$E$184&lt;=C1960*12)),VLOOKUP(A1960,'Fleet register'!$A$7:$S$106,16,FALSE),0),"n.a."))</f>
        <v>0</v>
      </c>
      <c r="O1960" s="16">
        <f>IF(NOT(Paths!$C$184=1),0,IF(Paths!$P$184="Complete",N1960-IF(C1960=0,Paths!$F$184,0),"n.a."))</f>
        <v>0</v>
      </c>
      <c r="P1960" s="16">
        <f>IF(NOT(Paths!$C$184=1),0,IF(Paths!$P$184="Complete",O1960+L1960,"n.a."))</f>
        <v>0</v>
      </c>
      <c r="Q1960" s="16">
        <f>IF(NOT(Paths!$C$184=1),0,IF(Paths!$P$184="Complete",N1960*(1+'Operating costs'!$B$54)^-C1960,"n.a."))</f>
        <v>0</v>
      </c>
      <c r="R1960" s="16">
        <f>IF(NOT(Paths!$C$184=1),0,IF(Paths!$P$184="Complete",IF(AND(C1960=0,Paths!$E$184=0),I1960-J1960-K1960+VLOOKUP(A1960,'Fleet register'!$A$7:$S$106,15,FALSE)+VLOOKUP(A1960,'Fleet register'!$A$7:$S$106,16,FALSE),0),"n.a."))</f>
        <v>0</v>
      </c>
      <c r="S1960" s="1">
        <f>IF(NOT(Paths!$C$184=1),0,IF(Paths!$P$184="Complete",IF(C1960=0,0,Paths!$S$184*Paths!$R$184),"n.a."))</f>
        <v>0</v>
      </c>
      <c r="T1960" s="1">
        <f>IF(NOT(Paths!$C$184=1),0,IF(Paths!$P$184="Complete",IF(C1960=0,0,VLOOKUP(A1960,'Fleet register'!$A$7:$S$106,9,FALSE)*Paths!$R$184),"n.a."))</f>
        <v>0</v>
      </c>
    </row>
    <row r="1961" spans="1:20" ht="24" customHeight="1">
      <c r="A1961" s="1" t="str">
        <f>Paths!$A$184</f>
        <v>T045</v>
      </c>
      <c r="B1961" s="1">
        <f>Paths!$B$184</f>
        <v>1</v>
      </c>
      <c r="C1961" s="1">
        <v>7</v>
      </c>
      <c r="D1961" s="1">
        <v>184</v>
      </c>
      <c r="E1961" s="1">
        <f>IF(OR(Paths!$C$184=0,C1961=0),0,MAX(0,MIN(C1961*12,Paths!$E$184)-(C1961-1)*12))</f>
        <v>0</v>
      </c>
      <c r="F1961" s="1">
        <f>IF(OR(Paths!$C$184=0,C1961=0),0,12-E1961)</f>
        <v>0</v>
      </c>
      <c r="G1961" s="16">
        <f>IF(NOT(Paths!$C$184=1),0,IF(Paths!$P$184="Complete",E1961/12*(Paths!$J$184*(1+'Operating costs'!$B$51)^MAX(0,C1961-1)+Paths!$K$184*(1+'Operating costs'!$B$53)^MAX(0,C1961-1)),"n.a."))</f>
        <v>0</v>
      </c>
      <c r="H1961" s="16">
        <f>IF(NOT(Paths!$C$184=1),0,IF(Paths!$P$184="Complete",F1961/12*(Paths!$L$184*(1+IF(Paths!$D$184="EV",'Operating costs'!$B$52,'Operating costs'!$B$51))^MAX(0,C1961-1)+Paths!$M$184*(1+'Operating costs'!$B$53)^MAX(0,C1961-1)),"n.a."))</f>
        <v>0</v>
      </c>
      <c r="I1961" s="16">
        <f>IF(NOT(Paths!$C$184=1),0,IF(Paths!$P$184="Complete",IF(IF(Paths!$E$184=0,C1961=0,AND(C1961&gt;0,Paths!$E$184&gt;(C1961-1)*12,Paths!$E$184&lt;=C1961*12)),Paths!$G$184,0),"n.a."))</f>
        <v>0</v>
      </c>
      <c r="J1961" s="16">
        <f>IF(NOT(Paths!$C$184=1),0,IF(Paths!$P$184="Complete",IF(IF(Paths!$E$184=0,C1961=0,AND(C1961&gt;0,Paths!$E$184&gt;(C1961-1)*12,Paths!$E$184&lt;=C1961*12)),Paths!$H$184,0),"n.a."))</f>
        <v>0</v>
      </c>
      <c r="K1961" s="16">
        <f>IF(NOT(Paths!$C$184=1),0,IF(Paths!$P$184="Complete",IF(IF(Paths!$O$184=0,C1961=0,AND(C1961&gt;0,Paths!$O$184&gt;(C1961-1)*12,Paths!$O$184&lt;=C1961*12)),Paths!$N$184,0),"n.a."))</f>
        <v>0</v>
      </c>
      <c r="L1961" s="16">
        <f>IF(NOT(Paths!$C$184=1),0,IF(Paths!$P$184="Complete",IF(C1961=10,Paths!$I$184,0),"n.a."))</f>
        <v>0</v>
      </c>
      <c r="M1961" s="16">
        <f>IF(NOT(Paths!$C$184=1),0,IF(Paths!$P$184="Complete",IF(AND(Paths!$D$184="EV",Paths!$E$184&lt;120,Paths!$E$184+'Operating costs'!$B$65&gt;Paths!$E$184,Paths!$E$184+'Operating costs'!$B$65&lt;=120,IF(Paths!$E$184+'Operating costs'!$B$65=0,C1961=0,AND(C1961&gt;0,Paths!$E$184+'Operating costs'!$B$65&gt;(C1961-1)*12,Paths!$E$184+'Operating costs'!$B$65&lt;=C1961*12))),'Operating costs'!$B$64,0)+IF(AND('Operating costs'!$B$67&gt;0,'Operating costs'!$B$67&lt;=120,OR(Paths!$D$184="ICE",'Operating costs'!$B$67&lt;=Paths!$E$184),IF('Operating costs'!$B$67=0,C1961=0,AND(C1961&gt;0,'Operating costs'!$B$67&gt;(C1961-1)*12,'Operating costs'!$B$67&lt;=C1961*12))),'Operating costs'!$B$66,0),"n.a."))</f>
        <v>0</v>
      </c>
      <c r="N1961" s="16">
        <f>IF(NOT(Paths!$C$184=1),0,IF(Paths!$P$184="Complete",SUM(G1961:I1961)-J1961-K1961-L1961+M1961+IF(C1961=0,Paths!$F$184,0)+IF(IF(Paths!$E$184=0,C1961=0,AND(C1961&gt;0,Paths!$E$184&gt;(C1961-1)*12,Paths!$E$184&lt;=C1961*12)),VLOOKUP(A1961,'Fleet register'!$A$7:$S$106,16,FALSE),0),"n.a."))</f>
        <v>0</v>
      </c>
      <c r="O1961" s="16">
        <f>IF(NOT(Paths!$C$184=1),0,IF(Paths!$P$184="Complete",N1961-IF(C1961=0,Paths!$F$184,0),"n.a."))</f>
        <v>0</v>
      </c>
      <c r="P1961" s="16">
        <f>IF(NOT(Paths!$C$184=1),0,IF(Paths!$P$184="Complete",O1961+L1961,"n.a."))</f>
        <v>0</v>
      </c>
      <c r="Q1961" s="16">
        <f>IF(NOT(Paths!$C$184=1),0,IF(Paths!$P$184="Complete",N1961*(1+'Operating costs'!$B$54)^-C1961,"n.a."))</f>
        <v>0</v>
      </c>
      <c r="R1961" s="16">
        <f>IF(NOT(Paths!$C$184=1),0,IF(Paths!$P$184="Complete",IF(AND(C1961=0,Paths!$E$184=0),I1961-J1961-K1961+VLOOKUP(A1961,'Fleet register'!$A$7:$S$106,15,FALSE)+VLOOKUP(A1961,'Fleet register'!$A$7:$S$106,16,FALSE),0),"n.a."))</f>
        <v>0</v>
      </c>
      <c r="S1961" s="1">
        <f>IF(NOT(Paths!$C$184=1),0,IF(Paths!$P$184="Complete",IF(C1961=0,0,Paths!$S$184*Paths!$R$184),"n.a."))</f>
        <v>0</v>
      </c>
      <c r="T1961" s="1">
        <f>IF(NOT(Paths!$C$184=1),0,IF(Paths!$P$184="Complete",IF(C1961=0,0,VLOOKUP(A1961,'Fleet register'!$A$7:$S$106,9,FALSE)*Paths!$R$184),"n.a."))</f>
        <v>0</v>
      </c>
    </row>
    <row r="1962" spans="1:20" ht="24" customHeight="1">
      <c r="A1962" s="1" t="str">
        <f>Paths!$A$184</f>
        <v>T045</v>
      </c>
      <c r="B1962" s="1">
        <f>Paths!$B$184</f>
        <v>1</v>
      </c>
      <c r="C1962" s="1">
        <v>8</v>
      </c>
      <c r="D1962" s="1">
        <v>184</v>
      </c>
      <c r="E1962" s="1">
        <f>IF(OR(Paths!$C$184=0,C1962=0),0,MAX(0,MIN(C1962*12,Paths!$E$184)-(C1962-1)*12))</f>
        <v>0</v>
      </c>
      <c r="F1962" s="1">
        <f>IF(OR(Paths!$C$184=0,C1962=0),0,12-E1962)</f>
        <v>0</v>
      </c>
      <c r="G1962" s="16">
        <f>IF(NOT(Paths!$C$184=1),0,IF(Paths!$P$184="Complete",E1962/12*(Paths!$J$184*(1+'Operating costs'!$B$51)^MAX(0,C1962-1)+Paths!$K$184*(1+'Operating costs'!$B$53)^MAX(0,C1962-1)),"n.a."))</f>
        <v>0</v>
      </c>
      <c r="H1962" s="16">
        <f>IF(NOT(Paths!$C$184=1),0,IF(Paths!$P$184="Complete",F1962/12*(Paths!$L$184*(1+IF(Paths!$D$184="EV",'Operating costs'!$B$52,'Operating costs'!$B$51))^MAX(0,C1962-1)+Paths!$M$184*(1+'Operating costs'!$B$53)^MAX(0,C1962-1)),"n.a."))</f>
        <v>0</v>
      </c>
      <c r="I1962" s="16">
        <f>IF(NOT(Paths!$C$184=1),0,IF(Paths!$P$184="Complete",IF(IF(Paths!$E$184=0,C1962=0,AND(C1962&gt;0,Paths!$E$184&gt;(C1962-1)*12,Paths!$E$184&lt;=C1962*12)),Paths!$G$184,0),"n.a."))</f>
        <v>0</v>
      </c>
      <c r="J1962" s="16">
        <f>IF(NOT(Paths!$C$184=1),0,IF(Paths!$P$184="Complete",IF(IF(Paths!$E$184=0,C1962=0,AND(C1962&gt;0,Paths!$E$184&gt;(C1962-1)*12,Paths!$E$184&lt;=C1962*12)),Paths!$H$184,0),"n.a."))</f>
        <v>0</v>
      </c>
      <c r="K1962" s="16">
        <f>IF(NOT(Paths!$C$184=1),0,IF(Paths!$P$184="Complete",IF(IF(Paths!$O$184=0,C1962=0,AND(C1962&gt;0,Paths!$O$184&gt;(C1962-1)*12,Paths!$O$184&lt;=C1962*12)),Paths!$N$184,0),"n.a."))</f>
        <v>0</v>
      </c>
      <c r="L1962" s="16">
        <f>IF(NOT(Paths!$C$184=1),0,IF(Paths!$P$184="Complete",IF(C1962=10,Paths!$I$184,0),"n.a."))</f>
        <v>0</v>
      </c>
      <c r="M1962" s="16">
        <f>IF(NOT(Paths!$C$184=1),0,IF(Paths!$P$184="Complete",IF(AND(Paths!$D$184="EV",Paths!$E$184&lt;120,Paths!$E$184+'Operating costs'!$B$65&gt;Paths!$E$184,Paths!$E$184+'Operating costs'!$B$65&lt;=120,IF(Paths!$E$184+'Operating costs'!$B$65=0,C1962=0,AND(C1962&gt;0,Paths!$E$184+'Operating costs'!$B$65&gt;(C1962-1)*12,Paths!$E$184+'Operating costs'!$B$65&lt;=C1962*12))),'Operating costs'!$B$64,0)+IF(AND('Operating costs'!$B$67&gt;0,'Operating costs'!$B$67&lt;=120,OR(Paths!$D$184="ICE",'Operating costs'!$B$67&lt;=Paths!$E$184),IF('Operating costs'!$B$67=0,C1962=0,AND(C1962&gt;0,'Operating costs'!$B$67&gt;(C1962-1)*12,'Operating costs'!$B$67&lt;=C1962*12))),'Operating costs'!$B$66,0),"n.a."))</f>
        <v>0</v>
      </c>
      <c r="N1962" s="16">
        <f>IF(NOT(Paths!$C$184=1),0,IF(Paths!$P$184="Complete",SUM(G1962:I1962)-J1962-K1962-L1962+M1962+IF(C1962=0,Paths!$F$184,0)+IF(IF(Paths!$E$184=0,C1962=0,AND(C1962&gt;0,Paths!$E$184&gt;(C1962-1)*12,Paths!$E$184&lt;=C1962*12)),VLOOKUP(A1962,'Fleet register'!$A$7:$S$106,16,FALSE),0),"n.a."))</f>
        <v>0</v>
      </c>
      <c r="O1962" s="16">
        <f>IF(NOT(Paths!$C$184=1),0,IF(Paths!$P$184="Complete",N1962-IF(C1962=0,Paths!$F$184,0),"n.a."))</f>
        <v>0</v>
      </c>
      <c r="P1962" s="16">
        <f>IF(NOT(Paths!$C$184=1),0,IF(Paths!$P$184="Complete",O1962+L1962,"n.a."))</f>
        <v>0</v>
      </c>
      <c r="Q1962" s="16">
        <f>IF(NOT(Paths!$C$184=1),0,IF(Paths!$P$184="Complete",N1962*(1+'Operating costs'!$B$54)^-C1962,"n.a."))</f>
        <v>0</v>
      </c>
      <c r="R1962" s="16">
        <f>IF(NOT(Paths!$C$184=1),0,IF(Paths!$P$184="Complete",IF(AND(C1962=0,Paths!$E$184=0),I1962-J1962-K1962+VLOOKUP(A1962,'Fleet register'!$A$7:$S$106,15,FALSE)+VLOOKUP(A1962,'Fleet register'!$A$7:$S$106,16,FALSE),0),"n.a."))</f>
        <v>0</v>
      </c>
      <c r="S1962" s="1">
        <f>IF(NOT(Paths!$C$184=1),0,IF(Paths!$P$184="Complete",IF(C1962=0,0,Paths!$S$184*Paths!$R$184),"n.a."))</f>
        <v>0</v>
      </c>
      <c r="T1962" s="1">
        <f>IF(NOT(Paths!$C$184=1),0,IF(Paths!$P$184="Complete",IF(C1962=0,0,VLOOKUP(A1962,'Fleet register'!$A$7:$S$106,9,FALSE)*Paths!$R$184),"n.a."))</f>
        <v>0</v>
      </c>
    </row>
    <row r="1963" spans="1:20" ht="24" customHeight="1">
      <c r="A1963" s="1" t="str">
        <f>Paths!$A$184</f>
        <v>T045</v>
      </c>
      <c r="B1963" s="1">
        <f>Paths!$B$184</f>
        <v>1</v>
      </c>
      <c r="C1963" s="1">
        <v>9</v>
      </c>
      <c r="D1963" s="1">
        <v>184</v>
      </c>
      <c r="E1963" s="1">
        <f>IF(OR(Paths!$C$184=0,C1963=0),0,MAX(0,MIN(C1963*12,Paths!$E$184)-(C1963-1)*12))</f>
        <v>0</v>
      </c>
      <c r="F1963" s="1">
        <f>IF(OR(Paths!$C$184=0,C1963=0),0,12-E1963)</f>
        <v>0</v>
      </c>
      <c r="G1963" s="16">
        <f>IF(NOT(Paths!$C$184=1),0,IF(Paths!$P$184="Complete",E1963/12*(Paths!$J$184*(1+'Operating costs'!$B$51)^MAX(0,C1963-1)+Paths!$K$184*(1+'Operating costs'!$B$53)^MAX(0,C1963-1)),"n.a."))</f>
        <v>0</v>
      </c>
      <c r="H1963" s="16">
        <f>IF(NOT(Paths!$C$184=1),0,IF(Paths!$P$184="Complete",F1963/12*(Paths!$L$184*(1+IF(Paths!$D$184="EV",'Operating costs'!$B$52,'Operating costs'!$B$51))^MAX(0,C1963-1)+Paths!$M$184*(1+'Operating costs'!$B$53)^MAX(0,C1963-1)),"n.a."))</f>
        <v>0</v>
      </c>
      <c r="I1963" s="16">
        <f>IF(NOT(Paths!$C$184=1),0,IF(Paths!$P$184="Complete",IF(IF(Paths!$E$184=0,C1963=0,AND(C1963&gt;0,Paths!$E$184&gt;(C1963-1)*12,Paths!$E$184&lt;=C1963*12)),Paths!$G$184,0),"n.a."))</f>
        <v>0</v>
      </c>
      <c r="J1963" s="16">
        <f>IF(NOT(Paths!$C$184=1),0,IF(Paths!$P$184="Complete",IF(IF(Paths!$E$184=0,C1963=0,AND(C1963&gt;0,Paths!$E$184&gt;(C1963-1)*12,Paths!$E$184&lt;=C1963*12)),Paths!$H$184,0),"n.a."))</f>
        <v>0</v>
      </c>
      <c r="K1963" s="16">
        <f>IF(NOT(Paths!$C$184=1),0,IF(Paths!$P$184="Complete",IF(IF(Paths!$O$184=0,C1963=0,AND(C1963&gt;0,Paths!$O$184&gt;(C1963-1)*12,Paths!$O$184&lt;=C1963*12)),Paths!$N$184,0),"n.a."))</f>
        <v>0</v>
      </c>
      <c r="L1963" s="16">
        <f>IF(NOT(Paths!$C$184=1),0,IF(Paths!$P$184="Complete",IF(C1963=10,Paths!$I$184,0),"n.a."))</f>
        <v>0</v>
      </c>
      <c r="M1963" s="16">
        <f>IF(NOT(Paths!$C$184=1),0,IF(Paths!$P$184="Complete",IF(AND(Paths!$D$184="EV",Paths!$E$184&lt;120,Paths!$E$184+'Operating costs'!$B$65&gt;Paths!$E$184,Paths!$E$184+'Operating costs'!$B$65&lt;=120,IF(Paths!$E$184+'Operating costs'!$B$65=0,C1963=0,AND(C1963&gt;0,Paths!$E$184+'Operating costs'!$B$65&gt;(C1963-1)*12,Paths!$E$184+'Operating costs'!$B$65&lt;=C1963*12))),'Operating costs'!$B$64,0)+IF(AND('Operating costs'!$B$67&gt;0,'Operating costs'!$B$67&lt;=120,OR(Paths!$D$184="ICE",'Operating costs'!$B$67&lt;=Paths!$E$184),IF('Operating costs'!$B$67=0,C1963=0,AND(C1963&gt;0,'Operating costs'!$B$67&gt;(C1963-1)*12,'Operating costs'!$B$67&lt;=C1963*12))),'Operating costs'!$B$66,0),"n.a."))</f>
        <v>0</v>
      </c>
      <c r="N1963" s="16">
        <f>IF(NOT(Paths!$C$184=1),0,IF(Paths!$P$184="Complete",SUM(G1963:I1963)-J1963-K1963-L1963+M1963+IF(C1963=0,Paths!$F$184,0)+IF(IF(Paths!$E$184=0,C1963=0,AND(C1963&gt;0,Paths!$E$184&gt;(C1963-1)*12,Paths!$E$184&lt;=C1963*12)),VLOOKUP(A1963,'Fleet register'!$A$7:$S$106,16,FALSE),0),"n.a."))</f>
        <v>0</v>
      </c>
      <c r="O1963" s="16">
        <f>IF(NOT(Paths!$C$184=1),0,IF(Paths!$P$184="Complete",N1963-IF(C1963=0,Paths!$F$184,0),"n.a."))</f>
        <v>0</v>
      </c>
      <c r="P1963" s="16">
        <f>IF(NOT(Paths!$C$184=1),0,IF(Paths!$P$184="Complete",O1963+L1963,"n.a."))</f>
        <v>0</v>
      </c>
      <c r="Q1963" s="16">
        <f>IF(NOT(Paths!$C$184=1),0,IF(Paths!$P$184="Complete",N1963*(1+'Operating costs'!$B$54)^-C1963,"n.a."))</f>
        <v>0</v>
      </c>
      <c r="R1963" s="16">
        <f>IF(NOT(Paths!$C$184=1),0,IF(Paths!$P$184="Complete",IF(AND(C1963=0,Paths!$E$184=0),I1963-J1963-K1963+VLOOKUP(A1963,'Fleet register'!$A$7:$S$106,15,FALSE)+VLOOKUP(A1963,'Fleet register'!$A$7:$S$106,16,FALSE),0),"n.a."))</f>
        <v>0</v>
      </c>
      <c r="S1963" s="1">
        <f>IF(NOT(Paths!$C$184=1),0,IF(Paths!$P$184="Complete",IF(C1963=0,0,Paths!$S$184*Paths!$R$184),"n.a."))</f>
        <v>0</v>
      </c>
      <c r="T1963" s="1">
        <f>IF(NOT(Paths!$C$184=1),0,IF(Paths!$P$184="Complete",IF(C1963=0,0,VLOOKUP(A1963,'Fleet register'!$A$7:$S$106,9,FALSE)*Paths!$R$184),"n.a."))</f>
        <v>0</v>
      </c>
    </row>
    <row r="1964" spans="1:20" ht="24" customHeight="1">
      <c r="A1964" s="1" t="str">
        <f>Paths!$A$184</f>
        <v>T045</v>
      </c>
      <c r="B1964" s="1">
        <f>Paths!$B$184</f>
        <v>1</v>
      </c>
      <c r="C1964" s="1">
        <v>10</v>
      </c>
      <c r="D1964" s="1">
        <v>184</v>
      </c>
      <c r="E1964" s="1">
        <f>IF(OR(Paths!$C$184=0,C1964=0),0,MAX(0,MIN(C1964*12,Paths!$E$184)-(C1964-1)*12))</f>
        <v>0</v>
      </c>
      <c r="F1964" s="1">
        <f>IF(OR(Paths!$C$184=0,C1964=0),0,12-E1964)</f>
        <v>0</v>
      </c>
      <c r="G1964" s="16">
        <f>IF(NOT(Paths!$C$184=1),0,IF(Paths!$P$184="Complete",E1964/12*(Paths!$J$184*(1+'Operating costs'!$B$51)^MAX(0,C1964-1)+Paths!$K$184*(1+'Operating costs'!$B$53)^MAX(0,C1964-1)),"n.a."))</f>
        <v>0</v>
      </c>
      <c r="H1964" s="16">
        <f>IF(NOT(Paths!$C$184=1),0,IF(Paths!$P$184="Complete",F1964/12*(Paths!$L$184*(1+IF(Paths!$D$184="EV",'Operating costs'!$B$52,'Operating costs'!$B$51))^MAX(0,C1964-1)+Paths!$M$184*(1+'Operating costs'!$B$53)^MAX(0,C1964-1)),"n.a."))</f>
        <v>0</v>
      </c>
      <c r="I1964" s="16">
        <f>IF(NOT(Paths!$C$184=1),0,IF(Paths!$P$184="Complete",IF(IF(Paths!$E$184=0,C1964=0,AND(C1964&gt;0,Paths!$E$184&gt;(C1964-1)*12,Paths!$E$184&lt;=C1964*12)),Paths!$G$184,0),"n.a."))</f>
        <v>0</v>
      </c>
      <c r="J1964" s="16">
        <f>IF(NOT(Paths!$C$184=1),0,IF(Paths!$P$184="Complete",IF(IF(Paths!$E$184=0,C1964=0,AND(C1964&gt;0,Paths!$E$184&gt;(C1964-1)*12,Paths!$E$184&lt;=C1964*12)),Paths!$H$184,0),"n.a."))</f>
        <v>0</v>
      </c>
      <c r="K1964" s="16">
        <f>IF(NOT(Paths!$C$184=1),0,IF(Paths!$P$184="Complete",IF(IF(Paths!$O$184=0,C1964=0,AND(C1964&gt;0,Paths!$O$184&gt;(C1964-1)*12,Paths!$O$184&lt;=C1964*12)),Paths!$N$184,0),"n.a."))</f>
        <v>0</v>
      </c>
      <c r="L1964" s="16">
        <f>IF(NOT(Paths!$C$184=1),0,IF(Paths!$P$184="Complete",IF(C1964=10,Paths!$I$184,0),"n.a."))</f>
        <v>0</v>
      </c>
      <c r="M1964" s="16">
        <f>IF(NOT(Paths!$C$184=1),0,IF(Paths!$P$184="Complete",IF(AND(Paths!$D$184="EV",Paths!$E$184&lt;120,Paths!$E$184+'Operating costs'!$B$65&gt;Paths!$E$184,Paths!$E$184+'Operating costs'!$B$65&lt;=120,IF(Paths!$E$184+'Operating costs'!$B$65=0,C1964=0,AND(C1964&gt;0,Paths!$E$184+'Operating costs'!$B$65&gt;(C1964-1)*12,Paths!$E$184+'Operating costs'!$B$65&lt;=C1964*12))),'Operating costs'!$B$64,0)+IF(AND('Operating costs'!$B$67&gt;0,'Operating costs'!$B$67&lt;=120,OR(Paths!$D$184="ICE",'Operating costs'!$B$67&lt;=Paths!$E$184),IF('Operating costs'!$B$67=0,C1964=0,AND(C1964&gt;0,'Operating costs'!$B$67&gt;(C1964-1)*12,'Operating costs'!$B$67&lt;=C1964*12))),'Operating costs'!$B$66,0),"n.a."))</f>
        <v>0</v>
      </c>
      <c r="N1964" s="16">
        <f>IF(NOT(Paths!$C$184=1),0,IF(Paths!$P$184="Complete",SUM(G1964:I1964)-J1964-K1964-L1964+M1964+IF(C1964=0,Paths!$F$184,0)+IF(IF(Paths!$E$184=0,C1964=0,AND(C1964&gt;0,Paths!$E$184&gt;(C1964-1)*12,Paths!$E$184&lt;=C1964*12)),VLOOKUP(A1964,'Fleet register'!$A$7:$S$106,16,FALSE),0),"n.a."))</f>
        <v>0</v>
      </c>
      <c r="O1964" s="16">
        <f>IF(NOT(Paths!$C$184=1),0,IF(Paths!$P$184="Complete",N1964-IF(C1964=0,Paths!$F$184,0),"n.a."))</f>
        <v>0</v>
      </c>
      <c r="P1964" s="16">
        <f>IF(NOT(Paths!$C$184=1),0,IF(Paths!$P$184="Complete",O1964+L1964,"n.a."))</f>
        <v>0</v>
      </c>
      <c r="Q1964" s="16">
        <f>IF(NOT(Paths!$C$184=1),0,IF(Paths!$P$184="Complete",N1964*(1+'Operating costs'!$B$54)^-C1964,"n.a."))</f>
        <v>0</v>
      </c>
      <c r="R1964" s="16">
        <f>IF(NOT(Paths!$C$184=1),0,IF(Paths!$P$184="Complete",IF(AND(C1964=0,Paths!$E$184=0),I1964-J1964-K1964+VLOOKUP(A1964,'Fleet register'!$A$7:$S$106,15,FALSE)+VLOOKUP(A1964,'Fleet register'!$A$7:$S$106,16,FALSE),0),"n.a."))</f>
        <v>0</v>
      </c>
      <c r="S1964" s="1">
        <f>IF(NOT(Paths!$C$184=1),0,IF(Paths!$P$184="Complete",IF(C1964=0,0,Paths!$S$184*Paths!$R$184),"n.a."))</f>
        <v>0</v>
      </c>
      <c r="T1964" s="1">
        <f>IF(NOT(Paths!$C$184=1),0,IF(Paths!$P$184="Complete",IF(C1964=0,0,VLOOKUP(A1964,'Fleet register'!$A$7:$S$106,9,FALSE)*Paths!$R$184),"n.a."))</f>
        <v>0</v>
      </c>
    </row>
    <row r="1965" spans="1:20" ht="24" customHeight="1">
      <c r="A1965" s="1" t="str">
        <f>Paths!$A$185</f>
        <v>T045</v>
      </c>
      <c r="B1965" s="1">
        <f>Paths!$B$185</f>
        <v>2</v>
      </c>
      <c r="C1965" s="1">
        <v>0</v>
      </c>
      <c r="D1965" s="1">
        <v>185</v>
      </c>
      <c r="E1965" s="1">
        <f>IF(OR(Paths!$C$185=0,C1965=0),0,MAX(0,MIN(C1965*12,Paths!$E$185)-(C1965-1)*12))</f>
        <v>0</v>
      </c>
      <c r="F1965" s="1">
        <f>IF(OR(Paths!$C$185=0,C1965=0),0,12-E1965)</f>
        <v>0</v>
      </c>
      <c r="G1965" s="16">
        <f>IF(NOT(Paths!$C$185=1),0,IF(Paths!$P$185="Complete",E1965/12*(Paths!$J$185*(1+'Operating costs'!$B$51)^MAX(0,C1965-1)+Paths!$K$185*(1+'Operating costs'!$B$53)^MAX(0,C1965-1)),"n.a."))</f>
        <v>0</v>
      </c>
      <c r="H1965" s="16">
        <f>IF(NOT(Paths!$C$185=1),0,IF(Paths!$P$185="Complete",F1965/12*(Paths!$L$185*(1+IF(Paths!$D$185="EV",'Operating costs'!$B$52,'Operating costs'!$B$51))^MAX(0,C1965-1)+Paths!$M$185*(1+'Operating costs'!$B$53)^MAX(0,C1965-1)),"n.a."))</f>
        <v>0</v>
      </c>
      <c r="I1965" s="16">
        <f>IF(NOT(Paths!$C$185=1),0,IF(Paths!$P$185="Complete",IF(IF(Paths!$E$185=0,C1965=0,AND(C1965&gt;0,Paths!$E$185&gt;(C1965-1)*12,Paths!$E$185&lt;=C1965*12)),Paths!$G$185,0),"n.a."))</f>
        <v>0</v>
      </c>
      <c r="J1965" s="16">
        <f>IF(NOT(Paths!$C$185=1),0,IF(Paths!$P$185="Complete",IF(IF(Paths!$E$185=0,C1965=0,AND(C1965&gt;0,Paths!$E$185&gt;(C1965-1)*12,Paths!$E$185&lt;=C1965*12)),Paths!$H$185,0),"n.a."))</f>
        <v>0</v>
      </c>
      <c r="K1965" s="16">
        <f>IF(NOT(Paths!$C$185=1),0,IF(Paths!$P$185="Complete",IF(IF(Paths!$O$185=0,C1965=0,AND(C1965&gt;0,Paths!$O$185&gt;(C1965-1)*12,Paths!$O$185&lt;=C1965*12)),Paths!$N$185,0),"n.a."))</f>
        <v>0</v>
      </c>
      <c r="L1965" s="16">
        <f>IF(NOT(Paths!$C$185=1),0,IF(Paths!$P$185="Complete",IF(C1965=10,Paths!$I$185,0),"n.a."))</f>
        <v>0</v>
      </c>
      <c r="M1965" s="16">
        <f>IF(NOT(Paths!$C$185=1),0,IF(Paths!$P$185="Complete",IF(AND(Paths!$D$185="EV",Paths!$E$185&lt;120,Paths!$E$185+'Operating costs'!$B$65&gt;Paths!$E$185,Paths!$E$185+'Operating costs'!$B$65&lt;=120,IF(Paths!$E$185+'Operating costs'!$B$65=0,C1965=0,AND(C1965&gt;0,Paths!$E$185+'Operating costs'!$B$65&gt;(C1965-1)*12,Paths!$E$185+'Operating costs'!$B$65&lt;=C1965*12))),'Operating costs'!$B$64,0)+IF(AND('Operating costs'!$B$67&gt;0,'Operating costs'!$B$67&lt;=120,OR(Paths!$D$185="ICE",'Operating costs'!$B$67&lt;=Paths!$E$185),IF('Operating costs'!$B$67=0,C1965=0,AND(C1965&gt;0,'Operating costs'!$B$67&gt;(C1965-1)*12,'Operating costs'!$B$67&lt;=C1965*12))),'Operating costs'!$B$66,0),"n.a."))</f>
        <v>0</v>
      </c>
      <c r="N1965" s="16">
        <f>IF(NOT(Paths!$C$185=1),0,IF(Paths!$P$185="Complete",SUM(G1965:I1965)-J1965-K1965-L1965+M1965+IF(C1965=0,Paths!$F$185,0)+IF(IF(Paths!$E$185=0,C1965=0,AND(C1965&gt;0,Paths!$E$185&gt;(C1965-1)*12,Paths!$E$185&lt;=C1965*12)),VLOOKUP(A1965,'Fleet register'!$A$7:$S$106,16,FALSE),0),"n.a."))</f>
        <v>0</v>
      </c>
      <c r="O1965" s="16">
        <f>IF(NOT(Paths!$C$185=1),0,IF(Paths!$P$185="Complete",N1965-IF(C1965=0,Paths!$F$185,0),"n.a."))</f>
        <v>0</v>
      </c>
      <c r="P1965" s="16">
        <f>IF(NOT(Paths!$C$185=1),0,IF(Paths!$P$185="Complete",O1965+L1965,"n.a."))</f>
        <v>0</v>
      </c>
      <c r="Q1965" s="16">
        <f>IF(NOT(Paths!$C$185=1),0,IF(Paths!$P$185="Complete",N1965*(1+'Operating costs'!$B$54)^-C1965,"n.a."))</f>
        <v>0</v>
      </c>
      <c r="R1965" s="16">
        <f>IF(NOT(Paths!$C$185=1),0,IF(Paths!$P$185="Complete",IF(AND(C1965=0,Paths!$E$185=0),I1965-J1965-K1965+VLOOKUP(A1965,'Fleet register'!$A$7:$S$106,15,FALSE)+VLOOKUP(A1965,'Fleet register'!$A$7:$S$106,16,FALSE),0),"n.a."))</f>
        <v>0</v>
      </c>
      <c r="S1965" s="1">
        <f>IF(NOT(Paths!$C$185=1),0,IF(Paths!$P$185="Complete",IF(C1965=0,0,Paths!$S$185*Paths!$R$185),"n.a."))</f>
        <v>0</v>
      </c>
      <c r="T1965" s="1">
        <f>IF(NOT(Paths!$C$185=1),0,IF(Paths!$P$185="Complete",IF(C1965=0,0,VLOOKUP(A1965,'Fleet register'!$A$7:$S$106,9,FALSE)*Paths!$R$185),"n.a."))</f>
        <v>0</v>
      </c>
    </row>
    <row r="1966" spans="1:20" ht="24" customHeight="1">
      <c r="A1966" s="1" t="str">
        <f>Paths!$A$185</f>
        <v>T045</v>
      </c>
      <c r="B1966" s="1">
        <f>Paths!$B$185</f>
        <v>2</v>
      </c>
      <c r="C1966" s="1">
        <v>1</v>
      </c>
      <c r="D1966" s="1">
        <v>185</v>
      </c>
      <c r="E1966" s="1">
        <f>IF(OR(Paths!$C$185=0,C1966=0),0,MAX(0,MIN(C1966*12,Paths!$E$185)-(C1966-1)*12))</f>
        <v>0</v>
      </c>
      <c r="F1966" s="1">
        <f>IF(OR(Paths!$C$185=0,C1966=0),0,12-E1966)</f>
        <v>0</v>
      </c>
      <c r="G1966" s="16">
        <f>IF(NOT(Paths!$C$185=1),0,IF(Paths!$P$185="Complete",E1966/12*(Paths!$J$185*(1+'Operating costs'!$B$51)^MAX(0,C1966-1)+Paths!$K$185*(1+'Operating costs'!$B$53)^MAX(0,C1966-1)),"n.a."))</f>
        <v>0</v>
      </c>
      <c r="H1966" s="16">
        <f>IF(NOT(Paths!$C$185=1),0,IF(Paths!$P$185="Complete",F1966/12*(Paths!$L$185*(1+IF(Paths!$D$185="EV",'Operating costs'!$B$52,'Operating costs'!$B$51))^MAX(0,C1966-1)+Paths!$M$185*(1+'Operating costs'!$B$53)^MAX(0,C1966-1)),"n.a."))</f>
        <v>0</v>
      </c>
      <c r="I1966" s="16">
        <f>IF(NOT(Paths!$C$185=1),0,IF(Paths!$P$185="Complete",IF(IF(Paths!$E$185=0,C1966=0,AND(C1966&gt;0,Paths!$E$185&gt;(C1966-1)*12,Paths!$E$185&lt;=C1966*12)),Paths!$G$185,0),"n.a."))</f>
        <v>0</v>
      </c>
      <c r="J1966" s="16">
        <f>IF(NOT(Paths!$C$185=1),0,IF(Paths!$P$185="Complete",IF(IF(Paths!$E$185=0,C1966=0,AND(C1966&gt;0,Paths!$E$185&gt;(C1966-1)*12,Paths!$E$185&lt;=C1966*12)),Paths!$H$185,0),"n.a."))</f>
        <v>0</v>
      </c>
      <c r="K1966" s="16">
        <f>IF(NOT(Paths!$C$185=1),0,IF(Paths!$P$185="Complete",IF(IF(Paths!$O$185=0,C1966=0,AND(C1966&gt;0,Paths!$O$185&gt;(C1966-1)*12,Paths!$O$185&lt;=C1966*12)),Paths!$N$185,0),"n.a."))</f>
        <v>0</v>
      </c>
      <c r="L1966" s="16">
        <f>IF(NOT(Paths!$C$185=1),0,IF(Paths!$P$185="Complete",IF(C1966=10,Paths!$I$185,0),"n.a."))</f>
        <v>0</v>
      </c>
      <c r="M1966" s="16">
        <f>IF(NOT(Paths!$C$185=1),0,IF(Paths!$P$185="Complete",IF(AND(Paths!$D$185="EV",Paths!$E$185&lt;120,Paths!$E$185+'Operating costs'!$B$65&gt;Paths!$E$185,Paths!$E$185+'Operating costs'!$B$65&lt;=120,IF(Paths!$E$185+'Operating costs'!$B$65=0,C1966=0,AND(C1966&gt;0,Paths!$E$185+'Operating costs'!$B$65&gt;(C1966-1)*12,Paths!$E$185+'Operating costs'!$B$65&lt;=C1966*12))),'Operating costs'!$B$64,0)+IF(AND('Operating costs'!$B$67&gt;0,'Operating costs'!$B$67&lt;=120,OR(Paths!$D$185="ICE",'Operating costs'!$B$67&lt;=Paths!$E$185),IF('Operating costs'!$B$67=0,C1966=0,AND(C1966&gt;0,'Operating costs'!$B$67&gt;(C1966-1)*12,'Operating costs'!$B$67&lt;=C1966*12))),'Operating costs'!$B$66,0),"n.a."))</f>
        <v>0</v>
      </c>
      <c r="N1966" s="16">
        <f>IF(NOT(Paths!$C$185=1),0,IF(Paths!$P$185="Complete",SUM(G1966:I1966)-J1966-K1966-L1966+M1966+IF(C1966=0,Paths!$F$185,0)+IF(IF(Paths!$E$185=0,C1966=0,AND(C1966&gt;0,Paths!$E$185&gt;(C1966-1)*12,Paths!$E$185&lt;=C1966*12)),VLOOKUP(A1966,'Fleet register'!$A$7:$S$106,16,FALSE),0),"n.a."))</f>
        <v>0</v>
      </c>
      <c r="O1966" s="16">
        <f>IF(NOT(Paths!$C$185=1),0,IF(Paths!$P$185="Complete",N1966-IF(C1966=0,Paths!$F$185,0),"n.a."))</f>
        <v>0</v>
      </c>
      <c r="P1966" s="16">
        <f>IF(NOT(Paths!$C$185=1),0,IF(Paths!$P$185="Complete",O1966+L1966,"n.a."))</f>
        <v>0</v>
      </c>
      <c r="Q1966" s="16">
        <f>IF(NOT(Paths!$C$185=1),0,IF(Paths!$P$185="Complete",N1966*(1+'Operating costs'!$B$54)^-C1966,"n.a."))</f>
        <v>0</v>
      </c>
      <c r="R1966" s="16">
        <f>IF(NOT(Paths!$C$185=1),0,IF(Paths!$P$185="Complete",IF(AND(C1966=0,Paths!$E$185=0),I1966-J1966-K1966+VLOOKUP(A1966,'Fleet register'!$A$7:$S$106,15,FALSE)+VLOOKUP(A1966,'Fleet register'!$A$7:$S$106,16,FALSE),0),"n.a."))</f>
        <v>0</v>
      </c>
      <c r="S1966" s="1">
        <f>IF(NOT(Paths!$C$185=1),0,IF(Paths!$P$185="Complete",IF(C1966=0,0,Paths!$S$185*Paths!$R$185),"n.a."))</f>
        <v>0</v>
      </c>
      <c r="T1966" s="1">
        <f>IF(NOT(Paths!$C$185=1),0,IF(Paths!$P$185="Complete",IF(C1966=0,0,VLOOKUP(A1966,'Fleet register'!$A$7:$S$106,9,FALSE)*Paths!$R$185),"n.a."))</f>
        <v>0</v>
      </c>
    </row>
    <row r="1967" spans="1:20" ht="24" customHeight="1">
      <c r="A1967" s="1" t="str">
        <f>Paths!$A$185</f>
        <v>T045</v>
      </c>
      <c r="B1967" s="1">
        <f>Paths!$B$185</f>
        <v>2</v>
      </c>
      <c r="C1967" s="1">
        <v>2</v>
      </c>
      <c r="D1967" s="1">
        <v>185</v>
      </c>
      <c r="E1967" s="1">
        <f>IF(OR(Paths!$C$185=0,C1967=0),0,MAX(0,MIN(C1967*12,Paths!$E$185)-(C1967-1)*12))</f>
        <v>0</v>
      </c>
      <c r="F1967" s="1">
        <f>IF(OR(Paths!$C$185=0,C1967=0),0,12-E1967)</f>
        <v>0</v>
      </c>
      <c r="G1967" s="16">
        <f>IF(NOT(Paths!$C$185=1),0,IF(Paths!$P$185="Complete",E1967/12*(Paths!$J$185*(1+'Operating costs'!$B$51)^MAX(0,C1967-1)+Paths!$K$185*(1+'Operating costs'!$B$53)^MAX(0,C1967-1)),"n.a."))</f>
        <v>0</v>
      </c>
      <c r="H1967" s="16">
        <f>IF(NOT(Paths!$C$185=1),0,IF(Paths!$P$185="Complete",F1967/12*(Paths!$L$185*(1+IF(Paths!$D$185="EV",'Operating costs'!$B$52,'Operating costs'!$B$51))^MAX(0,C1967-1)+Paths!$M$185*(1+'Operating costs'!$B$53)^MAX(0,C1967-1)),"n.a."))</f>
        <v>0</v>
      </c>
      <c r="I1967" s="16">
        <f>IF(NOT(Paths!$C$185=1),0,IF(Paths!$P$185="Complete",IF(IF(Paths!$E$185=0,C1967=0,AND(C1967&gt;0,Paths!$E$185&gt;(C1967-1)*12,Paths!$E$185&lt;=C1967*12)),Paths!$G$185,0),"n.a."))</f>
        <v>0</v>
      </c>
      <c r="J1967" s="16">
        <f>IF(NOT(Paths!$C$185=1),0,IF(Paths!$P$185="Complete",IF(IF(Paths!$E$185=0,C1967=0,AND(C1967&gt;0,Paths!$E$185&gt;(C1967-1)*12,Paths!$E$185&lt;=C1967*12)),Paths!$H$185,0),"n.a."))</f>
        <v>0</v>
      </c>
      <c r="K1967" s="16">
        <f>IF(NOT(Paths!$C$185=1),0,IF(Paths!$P$185="Complete",IF(IF(Paths!$O$185=0,C1967=0,AND(C1967&gt;0,Paths!$O$185&gt;(C1967-1)*12,Paths!$O$185&lt;=C1967*12)),Paths!$N$185,0),"n.a."))</f>
        <v>0</v>
      </c>
      <c r="L1967" s="16">
        <f>IF(NOT(Paths!$C$185=1),0,IF(Paths!$P$185="Complete",IF(C1967=10,Paths!$I$185,0),"n.a."))</f>
        <v>0</v>
      </c>
      <c r="M1967" s="16">
        <f>IF(NOT(Paths!$C$185=1),0,IF(Paths!$P$185="Complete",IF(AND(Paths!$D$185="EV",Paths!$E$185&lt;120,Paths!$E$185+'Operating costs'!$B$65&gt;Paths!$E$185,Paths!$E$185+'Operating costs'!$B$65&lt;=120,IF(Paths!$E$185+'Operating costs'!$B$65=0,C1967=0,AND(C1967&gt;0,Paths!$E$185+'Operating costs'!$B$65&gt;(C1967-1)*12,Paths!$E$185+'Operating costs'!$B$65&lt;=C1967*12))),'Operating costs'!$B$64,0)+IF(AND('Operating costs'!$B$67&gt;0,'Operating costs'!$B$67&lt;=120,OR(Paths!$D$185="ICE",'Operating costs'!$B$67&lt;=Paths!$E$185),IF('Operating costs'!$B$67=0,C1967=0,AND(C1967&gt;0,'Operating costs'!$B$67&gt;(C1967-1)*12,'Operating costs'!$B$67&lt;=C1967*12))),'Operating costs'!$B$66,0),"n.a."))</f>
        <v>0</v>
      </c>
      <c r="N1967" s="16">
        <f>IF(NOT(Paths!$C$185=1),0,IF(Paths!$P$185="Complete",SUM(G1967:I1967)-J1967-K1967-L1967+M1967+IF(C1967=0,Paths!$F$185,0)+IF(IF(Paths!$E$185=0,C1967=0,AND(C1967&gt;0,Paths!$E$185&gt;(C1967-1)*12,Paths!$E$185&lt;=C1967*12)),VLOOKUP(A1967,'Fleet register'!$A$7:$S$106,16,FALSE),0),"n.a."))</f>
        <v>0</v>
      </c>
      <c r="O1967" s="16">
        <f>IF(NOT(Paths!$C$185=1),0,IF(Paths!$P$185="Complete",N1967-IF(C1967=0,Paths!$F$185,0),"n.a."))</f>
        <v>0</v>
      </c>
      <c r="P1967" s="16">
        <f>IF(NOT(Paths!$C$185=1),0,IF(Paths!$P$185="Complete",O1967+L1967,"n.a."))</f>
        <v>0</v>
      </c>
      <c r="Q1967" s="16">
        <f>IF(NOT(Paths!$C$185=1),0,IF(Paths!$P$185="Complete",N1967*(1+'Operating costs'!$B$54)^-C1967,"n.a."))</f>
        <v>0</v>
      </c>
      <c r="R1967" s="16">
        <f>IF(NOT(Paths!$C$185=1),0,IF(Paths!$P$185="Complete",IF(AND(C1967=0,Paths!$E$185=0),I1967-J1967-K1967+VLOOKUP(A1967,'Fleet register'!$A$7:$S$106,15,FALSE)+VLOOKUP(A1967,'Fleet register'!$A$7:$S$106,16,FALSE),0),"n.a."))</f>
        <v>0</v>
      </c>
      <c r="S1967" s="1">
        <f>IF(NOT(Paths!$C$185=1),0,IF(Paths!$P$185="Complete",IF(C1967=0,0,Paths!$S$185*Paths!$R$185),"n.a."))</f>
        <v>0</v>
      </c>
      <c r="T1967" s="1">
        <f>IF(NOT(Paths!$C$185=1),0,IF(Paths!$P$185="Complete",IF(C1967=0,0,VLOOKUP(A1967,'Fleet register'!$A$7:$S$106,9,FALSE)*Paths!$R$185),"n.a."))</f>
        <v>0</v>
      </c>
    </row>
    <row r="1968" spans="1:20" ht="24" customHeight="1">
      <c r="A1968" s="1" t="str">
        <f>Paths!$A$185</f>
        <v>T045</v>
      </c>
      <c r="B1968" s="1">
        <f>Paths!$B$185</f>
        <v>2</v>
      </c>
      <c r="C1968" s="1">
        <v>3</v>
      </c>
      <c r="D1968" s="1">
        <v>185</v>
      </c>
      <c r="E1968" s="1">
        <f>IF(OR(Paths!$C$185=0,C1968=0),0,MAX(0,MIN(C1968*12,Paths!$E$185)-(C1968-1)*12))</f>
        <v>0</v>
      </c>
      <c r="F1968" s="1">
        <f>IF(OR(Paths!$C$185=0,C1968=0),0,12-E1968)</f>
        <v>0</v>
      </c>
      <c r="G1968" s="16">
        <f>IF(NOT(Paths!$C$185=1),0,IF(Paths!$P$185="Complete",E1968/12*(Paths!$J$185*(1+'Operating costs'!$B$51)^MAX(0,C1968-1)+Paths!$K$185*(1+'Operating costs'!$B$53)^MAX(0,C1968-1)),"n.a."))</f>
        <v>0</v>
      </c>
      <c r="H1968" s="16">
        <f>IF(NOT(Paths!$C$185=1),0,IF(Paths!$P$185="Complete",F1968/12*(Paths!$L$185*(1+IF(Paths!$D$185="EV",'Operating costs'!$B$52,'Operating costs'!$B$51))^MAX(0,C1968-1)+Paths!$M$185*(1+'Operating costs'!$B$53)^MAX(0,C1968-1)),"n.a."))</f>
        <v>0</v>
      </c>
      <c r="I1968" s="16">
        <f>IF(NOT(Paths!$C$185=1),0,IF(Paths!$P$185="Complete",IF(IF(Paths!$E$185=0,C1968=0,AND(C1968&gt;0,Paths!$E$185&gt;(C1968-1)*12,Paths!$E$185&lt;=C1968*12)),Paths!$G$185,0),"n.a."))</f>
        <v>0</v>
      </c>
      <c r="J1968" s="16">
        <f>IF(NOT(Paths!$C$185=1),0,IF(Paths!$P$185="Complete",IF(IF(Paths!$E$185=0,C1968=0,AND(C1968&gt;0,Paths!$E$185&gt;(C1968-1)*12,Paths!$E$185&lt;=C1968*12)),Paths!$H$185,0),"n.a."))</f>
        <v>0</v>
      </c>
      <c r="K1968" s="16">
        <f>IF(NOT(Paths!$C$185=1),0,IF(Paths!$P$185="Complete",IF(IF(Paths!$O$185=0,C1968=0,AND(C1968&gt;0,Paths!$O$185&gt;(C1968-1)*12,Paths!$O$185&lt;=C1968*12)),Paths!$N$185,0),"n.a."))</f>
        <v>0</v>
      </c>
      <c r="L1968" s="16">
        <f>IF(NOT(Paths!$C$185=1),0,IF(Paths!$P$185="Complete",IF(C1968=10,Paths!$I$185,0),"n.a."))</f>
        <v>0</v>
      </c>
      <c r="M1968" s="16">
        <f>IF(NOT(Paths!$C$185=1),0,IF(Paths!$P$185="Complete",IF(AND(Paths!$D$185="EV",Paths!$E$185&lt;120,Paths!$E$185+'Operating costs'!$B$65&gt;Paths!$E$185,Paths!$E$185+'Operating costs'!$B$65&lt;=120,IF(Paths!$E$185+'Operating costs'!$B$65=0,C1968=0,AND(C1968&gt;0,Paths!$E$185+'Operating costs'!$B$65&gt;(C1968-1)*12,Paths!$E$185+'Operating costs'!$B$65&lt;=C1968*12))),'Operating costs'!$B$64,0)+IF(AND('Operating costs'!$B$67&gt;0,'Operating costs'!$B$67&lt;=120,OR(Paths!$D$185="ICE",'Operating costs'!$B$67&lt;=Paths!$E$185),IF('Operating costs'!$B$67=0,C1968=0,AND(C1968&gt;0,'Operating costs'!$B$67&gt;(C1968-1)*12,'Operating costs'!$B$67&lt;=C1968*12))),'Operating costs'!$B$66,0),"n.a."))</f>
        <v>0</v>
      </c>
      <c r="N1968" s="16">
        <f>IF(NOT(Paths!$C$185=1),0,IF(Paths!$P$185="Complete",SUM(G1968:I1968)-J1968-K1968-L1968+M1968+IF(C1968=0,Paths!$F$185,0)+IF(IF(Paths!$E$185=0,C1968=0,AND(C1968&gt;0,Paths!$E$185&gt;(C1968-1)*12,Paths!$E$185&lt;=C1968*12)),VLOOKUP(A1968,'Fleet register'!$A$7:$S$106,16,FALSE),0),"n.a."))</f>
        <v>0</v>
      </c>
      <c r="O1968" s="16">
        <f>IF(NOT(Paths!$C$185=1),0,IF(Paths!$P$185="Complete",N1968-IF(C1968=0,Paths!$F$185,0),"n.a."))</f>
        <v>0</v>
      </c>
      <c r="P1968" s="16">
        <f>IF(NOT(Paths!$C$185=1),0,IF(Paths!$P$185="Complete",O1968+L1968,"n.a."))</f>
        <v>0</v>
      </c>
      <c r="Q1968" s="16">
        <f>IF(NOT(Paths!$C$185=1),0,IF(Paths!$P$185="Complete",N1968*(1+'Operating costs'!$B$54)^-C1968,"n.a."))</f>
        <v>0</v>
      </c>
      <c r="R1968" s="16">
        <f>IF(NOT(Paths!$C$185=1),0,IF(Paths!$P$185="Complete",IF(AND(C1968=0,Paths!$E$185=0),I1968-J1968-K1968+VLOOKUP(A1968,'Fleet register'!$A$7:$S$106,15,FALSE)+VLOOKUP(A1968,'Fleet register'!$A$7:$S$106,16,FALSE),0),"n.a."))</f>
        <v>0</v>
      </c>
      <c r="S1968" s="1">
        <f>IF(NOT(Paths!$C$185=1),0,IF(Paths!$P$185="Complete",IF(C1968=0,0,Paths!$S$185*Paths!$R$185),"n.a."))</f>
        <v>0</v>
      </c>
      <c r="T1968" s="1">
        <f>IF(NOT(Paths!$C$185=1),0,IF(Paths!$P$185="Complete",IF(C1968=0,0,VLOOKUP(A1968,'Fleet register'!$A$7:$S$106,9,FALSE)*Paths!$R$185),"n.a."))</f>
        <v>0</v>
      </c>
    </row>
    <row r="1969" spans="1:20" ht="24" customHeight="1">
      <c r="A1969" s="1" t="str">
        <f>Paths!$A$185</f>
        <v>T045</v>
      </c>
      <c r="B1969" s="1">
        <f>Paths!$B$185</f>
        <v>2</v>
      </c>
      <c r="C1969" s="1">
        <v>4</v>
      </c>
      <c r="D1969" s="1">
        <v>185</v>
      </c>
      <c r="E1969" s="1">
        <f>IF(OR(Paths!$C$185=0,C1969=0),0,MAX(0,MIN(C1969*12,Paths!$E$185)-(C1969-1)*12))</f>
        <v>0</v>
      </c>
      <c r="F1969" s="1">
        <f>IF(OR(Paths!$C$185=0,C1969=0),0,12-E1969)</f>
        <v>0</v>
      </c>
      <c r="G1969" s="16">
        <f>IF(NOT(Paths!$C$185=1),0,IF(Paths!$P$185="Complete",E1969/12*(Paths!$J$185*(1+'Operating costs'!$B$51)^MAX(0,C1969-1)+Paths!$K$185*(1+'Operating costs'!$B$53)^MAX(0,C1969-1)),"n.a."))</f>
        <v>0</v>
      </c>
      <c r="H1969" s="16">
        <f>IF(NOT(Paths!$C$185=1),0,IF(Paths!$P$185="Complete",F1969/12*(Paths!$L$185*(1+IF(Paths!$D$185="EV",'Operating costs'!$B$52,'Operating costs'!$B$51))^MAX(0,C1969-1)+Paths!$M$185*(1+'Operating costs'!$B$53)^MAX(0,C1969-1)),"n.a."))</f>
        <v>0</v>
      </c>
      <c r="I1969" s="16">
        <f>IF(NOT(Paths!$C$185=1),0,IF(Paths!$P$185="Complete",IF(IF(Paths!$E$185=0,C1969=0,AND(C1969&gt;0,Paths!$E$185&gt;(C1969-1)*12,Paths!$E$185&lt;=C1969*12)),Paths!$G$185,0),"n.a."))</f>
        <v>0</v>
      </c>
      <c r="J1969" s="16">
        <f>IF(NOT(Paths!$C$185=1),0,IF(Paths!$P$185="Complete",IF(IF(Paths!$E$185=0,C1969=0,AND(C1969&gt;0,Paths!$E$185&gt;(C1969-1)*12,Paths!$E$185&lt;=C1969*12)),Paths!$H$185,0),"n.a."))</f>
        <v>0</v>
      </c>
      <c r="K1969" s="16">
        <f>IF(NOT(Paths!$C$185=1),0,IF(Paths!$P$185="Complete",IF(IF(Paths!$O$185=0,C1969=0,AND(C1969&gt;0,Paths!$O$185&gt;(C1969-1)*12,Paths!$O$185&lt;=C1969*12)),Paths!$N$185,0),"n.a."))</f>
        <v>0</v>
      </c>
      <c r="L1969" s="16">
        <f>IF(NOT(Paths!$C$185=1),0,IF(Paths!$P$185="Complete",IF(C1969=10,Paths!$I$185,0),"n.a."))</f>
        <v>0</v>
      </c>
      <c r="M1969" s="16">
        <f>IF(NOT(Paths!$C$185=1),0,IF(Paths!$P$185="Complete",IF(AND(Paths!$D$185="EV",Paths!$E$185&lt;120,Paths!$E$185+'Operating costs'!$B$65&gt;Paths!$E$185,Paths!$E$185+'Operating costs'!$B$65&lt;=120,IF(Paths!$E$185+'Operating costs'!$B$65=0,C1969=0,AND(C1969&gt;0,Paths!$E$185+'Operating costs'!$B$65&gt;(C1969-1)*12,Paths!$E$185+'Operating costs'!$B$65&lt;=C1969*12))),'Operating costs'!$B$64,0)+IF(AND('Operating costs'!$B$67&gt;0,'Operating costs'!$B$67&lt;=120,OR(Paths!$D$185="ICE",'Operating costs'!$B$67&lt;=Paths!$E$185),IF('Operating costs'!$B$67=0,C1969=0,AND(C1969&gt;0,'Operating costs'!$B$67&gt;(C1969-1)*12,'Operating costs'!$B$67&lt;=C1969*12))),'Operating costs'!$B$66,0),"n.a."))</f>
        <v>0</v>
      </c>
      <c r="N1969" s="16">
        <f>IF(NOT(Paths!$C$185=1),0,IF(Paths!$P$185="Complete",SUM(G1969:I1969)-J1969-K1969-L1969+M1969+IF(C1969=0,Paths!$F$185,0)+IF(IF(Paths!$E$185=0,C1969=0,AND(C1969&gt;0,Paths!$E$185&gt;(C1969-1)*12,Paths!$E$185&lt;=C1969*12)),VLOOKUP(A1969,'Fleet register'!$A$7:$S$106,16,FALSE),0),"n.a."))</f>
        <v>0</v>
      </c>
      <c r="O1969" s="16">
        <f>IF(NOT(Paths!$C$185=1),0,IF(Paths!$P$185="Complete",N1969-IF(C1969=0,Paths!$F$185,0),"n.a."))</f>
        <v>0</v>
      </c>
      <c r="P1969" s="16">
        <f>IF(NOT(Paths!$C$185=1),0,IF(Paths!$P$185="Complete",O1969+L1969,"n.a."))</f>
        <v>0</v>
      </c>
      <c r="Q1969" s="16">
        <f>IF(NOT(Paths!$C$185=1),0,IF(Paths!$P$185="Complete",N1969*(1+'Operating costs'!$B$54)^-C1969,"n.a."))</f>
        <v>0</v>
      </c>
      <c r="R1969" s="16">
        <f>IF(NOT(Paths!$C$185=1),0,IF(Paths!$P$185="Complete",IF(AND(C1969=0,Paths!$E$185=0),I1969-J1969-K1969+VLOOKUP(A1969,'Fleet register'!$A$7:$S$106,15,FALSE)+VLOOKUP(A1969,'Fleet register'!$A$7:$S$106,16,FALSE),0),"n.a."))</f>
        <v>0</v>
      </c>
      <c r="S1969" s="1">
        <f>IF(NOT(Paths!$C$185=1),0,IF(Paths!$P$185="Complete",IF(C1969=0,0,Paths!$S$185*Paths!$R$185),"n.a."))</f>
        <v>0</v>
      </c>
      <c r="T1969" s="1">
        <f>IF(NOT(Paths!$C$185=1),0,IF(Paths!$P$185="Complete",IF(C1969=0,0,VLOOKUP(A1969,'Fleet register'!$A$7:$S$106,9,FALSE)*Paths!$R$185),"n.a."))</f>
        <v>0</v>
      </c>
    </row>
    <row r="1970" spans="1:20" ht="24" customHeight="1">
      <c r="A1970" s="1" t="str">
        <f>Paths!$A$185</f>
        <v>T045</v>
      </c>
      <c r="B1970" s="1">
        <f>Paths!$B$185</f>
        <v>2</v>
      </c>
      <c r="C1970" s="1">
        <v>5</v>
      </c>
      <c r="D1970" s="1">
        <v>185</v>
      </c>
      <c r="E1970" s="1">
        <f>IF(OR(Paths!$C$185=0,C1970=0),0,MAX(0,MIN(C1970*12,Paths!$E$185)-(C1970-1)*12))</f>
        <v>0</v>
      </c>
      <c r="F1970" s="1">
        <f>IF(OR(Paths!$C$185=0,C1970=0),0,12-E1970)</f>
        <v>0</v>
      </c>
      <c r="G1970" s="16">
        <f>IF(NOT(Paths!$C$185=1),0,IF(Paths!$P$185="Complete",E1970/12*(Paths!$J$185*(1+'Operating costs'!$B$51)^MAX(0,C1970-1)+Paths!$K$185*(1+'Operating costs'!$B$53)^MAX(0,C1970-1)),"n.a."))</f>
        <v>0</v>
      </c>
      <c r="H1970" s="16">
        <f>IF(NOT(Paths!$C$185=1),0,IF(Paths!$P$185="Complete",F1970/12*(Paths!$L$185*(1+IF(Paths!$D$185="EV",'Operating costs'!$B$52,'Operating costs'!$B$51))^MAX(0,C1970-1)+Paths!$M$185*(1+'Operating costs'!$B$53)^MAX(0,C1970-1)),"n.a."))</f>
        <v>0</v>
      </c>
      <c r="I1970" s="16">
        <f>IF(NOT(Paths!$C$185=1),0,IF(Paths!$P$185="Complete",IF(IF(Paths!$E$185=0,C1970=0,AND(C1970&gt;0,Paths!$E$185&gt;(C1970-1)*12,Paths!$E$185&lt;=C1970*12)),Paths!$G$185,0),"n.a."))</f>
        <v>0</v>
      </c>
      <c r="J1970" s="16">
        <f>IF(NOT(Paths!$C$185=1),0,IF(Paths!$P$185="Complete",IF(IF(Paths!$E$185=0,C1970=0,AND(C1970&gt;0,Paths!$E$185&gt;(C1970-1)*12,Paths!$E$185&lt;=C1970*12)),Paths!$H$185,0),"n.a."))</f>
        <v>0</v>
      </c>
      <c r="K1970" s="16">
        <f>IF(NOT(Paths!$C$185=1),0,IF(Paths!$P$185="Complete",IF(IF(Paths!$O$185=0,C1970=0,AND(C1970&gt;0,Paths!$O$185&gt;(C1970-1)*12,Paths!$O$185&lt;=C1970*12)),Paths!$N$185,0),"n.a."))</f>
        <v>0</v>
      </c>
      <c r="L1970" s="16">
        <f>IF(NOT(Paths!$C$185=1),0,IF(Paths!$P$185="Complete",IF(C1970=10,Paths!$I$185,0),"n.a."))</f>
        <v>0</v>
      </c>
      <c r="M1970" s="16">
        <f>IF(NOT(Paths!$C$185=1),0,IF(Paths!$P$185="Complete",IF(AND(Paths!$D$185="EV",Paths!$E$185&lt;120,Paths!$E$185+'Operating costs'!$B$65&gt;Paths!$E$185,Paths!$E$185+'Operating costs'!$B$65&lt;=120,IF(Paths!$E$185+'Operating costs'!$B$65=0,C1970=0,AND(C1970&gt;0,Paths!$E$185+'Operating costs'!$B$65&gt;(C1970-1)*12,Paths!$E$185+'Operating costs'!$B$65&lt;=C1970*12))),'Operating costs'!$B$64,0)+IF(AND('Operating costs'!$B$67&gt;0,'Operating costs'!$B$67&lt;=120,OR(Paths!$D$185="ICE",'Operating costs'!$B$67&lt;=Paths!$E$185),IF('Operating costs'!$B$67=0,C1970=0,AND(C1970&gt;0,'Operating costs'!$B$67&gt;(C1970-1)*12,'Operating costs'!$B$67&lt;=C1970*12))),'Operating costs'!$B$66,0),"n.a."))</f>
        <v>0</v>
      </c>
      <c r="N1970" s="16">
        <f>IF(NOT(Paths!$C$185=1),0,IF(Paths!$P$185="Complete",SUM(G1970:I1970)-J1970-K1970-L1970+M1970+IF(C1970=0,Paths!$F$185,0)+IF(IF(Paths!$E$185=0,C1970=0,AND(C1970&gt;0,Paths!$E$185&gt;(C1970-1)*12,Paths!$E$185&lt;=C1970*12)),VLOOKUP(A1970,'Fleet register'!$A$7:$S$106,16,FALSE),0),"n.a."))</f>
        <v>0</v>
      </c>
      <c r="O1970" s="16">
        <f>IF(NOT(Paths!$C$185=1),0,IF(Paths!$P$185="Complete",N1970-IF(C1970=0,Paths!$F$185,0),"n.a."))</f>
        <v>0</v>
      </c>
      <c r="P1970" s="16">
        <f>IF(NOT(Paths!$C$185=1),0,IF(Paths!$P$185="Complete",O1970+L1970,"n.a."))</f>
        <v>0</v>
      </c>
      <c r="Q1970" s="16">
        <f>IF(NOT(Paths!$C$185=1),0,IF(Paths!$P$185="Complete",N1970*(1+'Operating costs'!$B$54)^-C1970,"n.a."))</f>
        <v>0</v>
      </c>
      <c r="R1970" s="16">
        <f>IF(NOT(Paths!$C$185=1),0,IF(Paths!$P$185="Complete",IF(AND(C1970=0,Paths!$E$185=0),I1970-J1970-K1970+VLOOKUP(A1970,'Fleet register'!$A$7:$S$106,15,FALSE)+VLOOKUP(A1970,'Fleet register'!$A$7:$S$106,16,FALSE),0),"n.a."))</f>
        <v>0</v>
      </c>
      <c r="S1970" s="1">
        <f>IF(NOT(Paths!$C$185=1),0,IF(Paths!$P$185="Complete",IF(C1970=0,0,Paths!$S$185*Paths!$R$185),"n.a."))</f>
        <v>0</v>
      </c>
      <c r="T1970" s="1">
        <f>IF(NOT(Paths!$C$185=1),0,IF(Paths!$P$185="Complete",IF(C1970=0,0,VLOOKUP(A1970,'Fleet register'!$A$7:$S$106,9,FALSE)*Paths!$R$185),"n.a."))</f>
        <v>0</v>
      </c>
    </row>
    <row r="1971" spans="1:20" ht="24" customHeight="1">
      <c r="A1971" s="1" t="str">
        <f>Paths!$A$185</f>
        <v>T045</v>
      </c>
      <c r="B1971" s="1">
        <f>Paths!$B$185</f>
        <v>2</v>
      </c>
      <c r="C1971" s="1">
        <v>6</v>
      </c>
      <c r="D1971" s="1">
        <v>185</v>
      </c>
      <c r="E1971" s="1">
        <f>IF(OR(Paths!$C$185=0,C1971=0),0,MAX(0,MIN(C1971*12,Paths!$E$185)-(C1971-1)*12))</f>
        <v>0</v>
      </c>
      <c r="F1971" s="1">
        <f>IF(OR(Paths!$C$185=0,C1971=0),0,12-E1971)</f>
        <v>0</v>
      </c>
      <c r="G1971" s="16">
        <f>IF(NOT(Paths!$C$185=1),0,IF(Paths!$P$185="Complete",E1971/12*(Paths!$J$185*(1+'Operating costs'!$B$51)^MAX(0,C1971-1)+Paths!$K$185*(1+'Operating costs'!$B$53)^MAX(0,C1971-1)),"n.a."))</f>
        <v>0</v>
      </c>
      <c r="H1971" s="16">
        <f>IF(NOT(Paths!$C$185=1),0,IF(Paths!$P$185="Complete",F1971/12*(Paths!$L$185*(1+IF(Paths!$D$185="EV",'Operating costs'!$B$52,'Operating costs'!$B$51))^MAX(0,C1971-1)+Paths!$M$185*(1+'Operating costs'!$B$53)^MAX(0,C1971-1)),"n.a."))</f>
        <v>0</v>
      </c>
      <c r="I1971" s="16">
        <f>IF(NOT(Paths!$C$185=1),0,IF(Paths!$P$185="Complete",IF(IF(Paths!$E$185=0,C1971=0,AND(C1971&gt;0,Paths!$E$185&gt;(C1971-1)*12,Paths!$E$185&lt;=C1971*12)),Paths!$G$185,0),"n.a."))</f>
        <v>0</v>
      </c>
      <c r="J1971" s="16">
        <f>IF(NOT(Paths!$C$185=1),0,IF(Paths!$P$185="Complete",IF(IF(Paths!$E$185=0,C1971=0,AND(C1971&gt;0,Paths!$E$185&gt;(C1971-1)*12,Paths!$E$185&lt;=C1971*12)),Paths!$H$185,0),"n.a."))</f>
        <v>0</v>
      </c>
      <c r="K1971" s="16">
        <f>IF(NOT(Paths!$C$185=1),0,IF(Paths!$P$185="Complete",IF(IF(Paths!$O$185=0,C1971=0,AND(C1971&gt;0,Paths!$O$185&gt;(C1971-1)*12,Paths!$O$185&lt;=C1971*12)),Paths!$N$185,0),"n.a."))</f>
        <v>0</v>
      </c>
      <c r="L1971" s="16">
        <f>IF(NOT(Paths!$C$185=1),0,IF(Paths!$P$185="Complete",IF(C1971=10,Paths!$I$185,0),"n.a."))</f>
        <v>0</v>
      </c>
      <c r="M1971" s="16">
        <f>IF(NOT(Paths!$C$185=1),0,IF(Paths!$P$185="Complete",IF(AND(Paths!$D$185="EV",Paths!$E$185&lt;120,Paths!$E$185+'Operating costs'!$B$65&gt;Paths!$E$185,Paths!$E$185+'Operating costs'!$B$65&lt;=120,IF(Paths!$E$185+'Operating costs'!$B$65=0,C1971=0,AND(C1971&gt;0,Paths!$E$185+'Operating costs'!$B$65&gt;(C1971-1)*12,Paths!$E$185+'Operating costs'!$B$65&lt;=C1971*12))),'Operating costs'!$B$64,0)+IF(AND('Operating costs'!$B$67&gt;0,'Operating costs'!$B$67&lt;=120,OR(Paths!$D$185="ICE",'Operating costs'!$B$67&lt;=Paths!$E$185),IF('Operating costs'!$B$67=0,C1971=0,AND(C1971&gt;0,'Operating costs'!$B$67&gt;(C1971-1)*12,'Operating costs'!$B$67&lt;=C1971*12))),'Operating costs'!$B$66,0),"n.a."))</f>
        <v>0</v>
      </c>
      <c r="N1971" s="16">
        <f>IF(NOT(Paths!$C$185=1),0,IF(Paths!$P$185="Complete",SUM(G1971:I1971)-J1971-K1971-L1971+M1971+IF(C1971=0,Paths!$F$185,0)+IF(IF(Paths!$E$185=0,C1971=0,AND(C1971&gt;0,Paths!$E$185&gt;(C1971-1)*12,Paths!$E$185&lt;=C1971*12)),VLOOKUP(A1971,'Fleet register'!$A$7:$S$106,16,FALSE),0),"n.a."))</f>
        <v>0</v>
      </c>
      <c r="O1971" s="16">
        <f>IF(NOT(Paths!$C$185=1),0,IF(Paths!$P$185="Complete",N1971-IF(C1971=0,Paths!$F$185,0),"n.a."))</f>
        <v>0</v>
      </c>
      <c r="P1971" s="16">
        <f>IF(NOT(Paths!$C$185=1),0,IF(Paths!$P$185="Complete",O1971+L1971,"n.a."))</f>
        <v>0</v>
      </c>
      <c r="Q1971" s="16">
        <f>IF(NOT(Paths!$C$185=1),0,IF(Paths!$P$185="Complete",N1971*(1+'Operating costs'!$B$54)^-C1971,"n.a."))</f>
        <v>0</v>
      </c>
      <c r="R1971" s="16">
        <f>IF(NOT(Paths!$C$185=1),0,IF(Paths!$P$185="Complete",IF(AND(C1971=0,Paths!$E$185=0),I1971-J1971-K1971+VLOOKUP(A1971,'Fleet register'!$A$7:$S$106,15,FALSE)+VLOOKUP(A1971,'Fleet register'!$A$7:$S$106,16,FALSE),0),"n.a."))</f>
        <v>0</v>
      </c>
      <c r="S1971" s="1">
        <f>IF(NOT(Paths!$C$185=1),0,IF(Paths!$P$185="Complete",IF(C1971=0,0,Paths!$S$185*Paths!$R$185),"n.a."))</f>
        <v>0</v>
      </c>
      <c r="T1971" s="1">
        <f>IF(NOT(Paths!$C$185=1),0,IF(Paths!$P$185="Complete",IF(C1971=0,0,VLOOKUP(A1971,'Fleet register'!$A$7:$S$106,9,FALSE)*Paths!$R$185),"n.a."))</f>
        <v>0</v>
      </c>
    </row>
    <row r="1972" spans="1:20" ht="24" customHeight="1">
      <c r="A1972" s="1" t="str">
        <f>Paths!$A$185</f>
        <v>T045</v>
      </c>
      <c r="B1972" s="1">
        <f>Paths!$B$185</f>
        <v>2</v>
      </c>
      <c r="C1972" s="1">
        <v>7</v>
      </c>
      <c r="D1972" s="1">
        <v>185</v>
      </c>
      <c r="E1972" s="1">
        <f>IF(OR(Paths!$C$185=0,C1972=0),0,MAX(0,MIN(C1972*12,Paths!$E$185)-(C1972-1)*12))</f>
        <v>0</v>
      </c>
      <c r="F1972" s="1">
        <f>IF(OR(Paths!$C$185=0,C1972=0),0,12-E1972)</f>
        <v>0</v>
      </c>
      <c r="G1972" s="16">
        <f>IF(NOT(Paths!$C$185=1),0,IF(Paths!$P$185="Complete",E1972/12*(Paths!$J$185*(1+'Operating costs'!$B$51)^MAX(0,C1972-1)+Paths!$K$185*(1+'Operating costs'!$B$53)^MAX(0,C1972-1)),"n.a."))</f>
        <v>0</v>
      </c>
      <c r="H1972" s="16">
        <f>IF(NOT(Paths!$C$185=1),0,IF(Paths!$P$185="Complete",F1972/12*(Paths!$L$185*(1+IF(Paths!$D$185="EV",'Operating costs'!$B$52,'Operating costs'!$B$51))^MAX(0,C1972-1)+Paths!$M$185*(1+'Operating costs'!$B$53)^MAX(0,C1972-1)),"n.a."))</f>
        <v>0</v>
      </c>
      <c r="I1972" s="16">
        <f>IF(NOT(Paths!$C$185=1),0,IF(Paths!$P$185="Complete",IF(IF(Paths!$E$185=0,C1972=0,AND(C1972&gt;0,Paths!$E$185&gt;(C1972-1)*12,Paths!$E$185&lt;=C1972*12)),Paths!$G$185,0),"n.a."))</f>
        <v>0</v>
      </c>
      <c r="J1972" s="16">
        <f>IF(NOT(Paths!$C$185=1),0,IF(Paths!$P$185="Complete",IF(IF(Paths!$E$185=0,C1972=0,AND(C1972&gt;0,Paths!$E$185&gt;(C1972-1)*12,Paths!$E$185&lt;=C1972*12)),Paths!$H$185,0),"n.a."))</f>
        <v>0</v>
      </c>
      <c r="K1972" s="16">
        <f>IF(NOT(Paths!$C$185=1),0,IF(Paths!$P$185="Complete",IF(IF(Paths!$O$185=0,C1972=0,AND(C1972&gt;0,Paths!$O$185&gt;(C1972-1)*12,Paths!$O$185&lt;=C1972*12)),Paths!$N$185,0),"n.a."))</f>
        <v>0</v>
      </c>
      <c r="L1972" s="16">
        <f>IF(NOT(Paths!$C$185=1),0,IF(Paths!$P$185="Complete",IF(C1972=10,Paths!$I$185,0),"n.a."))</f>
        <v>0</v>
      </c>
      <c r="M1972" s="16">
        <f>IF(NOT(Paths!$C$185=1),0,IF(Paths!$P$185="Complete",IF(AND(Paths!$D$185="EV",Paths!$E$185&lt;120,Paths!$E$185+'Operating costs'!$B$65&gt;Paths!$E$185,Paths!$E$185+'Operating costs'!$B$65&lt;=120,IF(Paths!$E$185+'Operating costs'!$B$65=0,C1972=0,AND(C1972&gt;0,Paths!$E$185+'Operating costs'!$B$65&gt;(C1972-1)*12,Paths!$E$185+'Operating costs'!$B$65&lt;=C1972*12))),'Operating costs'!$B$64,0)+IF(AND('Operating costs'!$B$67&gt;0,'Operating costs'!$B$67&lt;=120,OR(Paths!$D$185="ICE",'Operating costs'!$B$67&lt;=Paths!$E$185),IF('Operating costs'!$B$67=0,C1972=0,AND(C1972&gt;0,'Operating costs'!$B$67&gt;(C1972-1)*12,'Operating costs'!$B$67&lt;=C1972*12))),'Operating costs'!$B$66,0),"n.a."))</f>
        <v>0</v>
      </c>
      <c r="N1972" s="16">
        <f>IF(NOT(Paths!$C$185=1),0,IF(Paths!$P$185="Complete",SUM(G1972:I1972)-J1972-K1972-L1972+M1972+IF(C1972=0,Paths!$F$185,0)+IF(IF(Paths!$E$185=0,C1972=0,AND(C1972&gt;0,Paths!$E$185&gt;(C1972-1)*12,Paths!$E$185&lt;=C1972*12)),VLOOKUP(A1972,'Fleet register'!$A$7:$S$106,16,FALSE),0),"n.a."))</f>
        <v>0</v>
      </c>
      <c r="O1972" s="16">
        <f>IF(NOT(Paths!$C$185=1),0,IF(Paths!$P$185="Complete",N1972-IF(C1972=0,Paths!$F$185,0),"n.a."))</f>
        <v>0</v>
      </c>
      <c r="P1972" s="16">
        <f>IF(NOT(Paths!$C$185=1),0,IF(Paths!$P$185="Complete",O1972+L1972,"n.a."))</f>
        <v>0</v>
      </c>
      <c r="Q1972" s="16">
        <f>IF(NOT(Paths!$C$185=1),0,IF(Paths!$P$185="Complete",N1972*(1+'Operating costs'!$B$54)^-C1972,"n.a."))</f>
        <v>0</v>
      </c>
      <c r="R1972" s="16">
        <f>IF(NOT(Paths!$C$185=1),0,IF(Paths!$P$185="Complete",IF(AND(C1972=0,Paths!$E$185=0),I1972-J1972-K1972+VLOOKUP(A1972,'Fleet register'!$A$7:$S$106,15,FALSE)+VLOOKUP(A1972,'Fleet register'!$A$7:$S$106,16,FALSE),0),"n.a."))</f>
        <v>0</v>
      </c>
      <c r="S1972" s="1">
        <f>IF(NOT(Paths!$C$185=1),0,IF(Paths!$P$185="Complete",IF(C1972=0,0,Paths!$S$185*Paths!$R$185),"n.a."))</f>
        <v>0</v>
      </c>
      <c r="T1972" s="1">
        <f>IF(NOT(Paths!$C$185=1),0,IF(Paths!$P$185="Complete",IF(C1972=0,0,VLOOKUP(A1972,'Fleet register'!$A$7:$S$106,9,FALSE)*Paths!$R$185),"n.a."))</f>
        <v>0</v>
      </c>
    </row>
    <row r="1973" spans="1:20" ht="24" customHeight="1">
      <c r="A1973" s="1" t="str">
        <f>Paths!$A$185</f>
        <v>T045</v>
      </c>
      <c r="B1973" s="1">
        <f>Paths!$B$185</f>
        <v>2</v>
      </c>
      <c r="C1973" s="1">
        <v>8</v>
      </c>
      <c r="D1973" s="1">
        <v>185</v>
      </c>
      <c r="E1973" s="1">
        <f>IF(OR(Paths!$C$185=0,C1973=0),0,MAX(0,MIN(C1973*12,Paths!$E$185)-(C1973-1)*12))</f>
        <v>0</v>
      </c>
      <c r="F1973" s="1">
        <f>IF(OR(Paths!$C$185=0,C1973=0),0,12-E1973)</f>
        <v>0</v>
      </c>
      <c r="G1973" s="16">
        <f>IF(NOT(Paths!$C$185=1),0,IF(Paths!$P$185="Complete",E1973/12*(Paths!$J$185*(1+'Operating costs'!$B$51)^MAX(0,C1973-1)+Paths!$K$185*(1+'Operating costs'!$B$53)^MAX(0,C1973-1)),"n.a."))</f>
        <v>0</v>
      </c>
      <c r="H1973" s="16">
        <f>IF(NOT(Paths!$C$185=1),0,IF(Paths!$P$185="Complete",F1973/12*(Paths!$L$185*(1+IF(Paths!$D$185="EV",'Operating costs'!$B$52,'Operating costs'!$B$51))^MAX(0,C1973-1)+Paths!$M$185*(1+'Operating costs'!$B$53)^MAX(0,C1973-1)),"n.a."))</f>
        <v>0</v>
      </c>
      <c r="I1973" s="16">
        <f>IF(NOT(Paths!$C$185=1),0,IF(Paths!$P$185="Complete",IF(IF(Paths!$E$185=0,C1973=0,AND(C1973&gt;0,Paths!$E$185&gt;(C1973-1)*12,Paths!$E$185&lt;=C1973*12)),Paths!$G$185,0),"n.a."))</f>
        <v>0</v>
      </c>
      <c r="J1973" s="16">
        <f>IF(NOT(Paths!$C$185=1),0,IF(Paths!$P$185="Complete",IF(IF(Paths!$E$185=0,C1973=0,AND(C1973&gt;0,Paths!$E$185&gt;(C1973-1)*12,Paths!$E$185&lt;=C1973*12)),Paths!$H$185,0),"n.a."))</f>
        <v>0</v>
      </c>
      <c r="K1973" s="16">
        <f>IF(NOT(Paths!$C$185=1),0,IF(Paths!$P$185="Complete",IF(IF(Paths!$O$185=0,C1973=0,AND(C1973&gt;0,Paths!$O$185&gt;(C1973-1)*12,Paths!$O$185&lt;=C1973*12)),Paths!$N$185,0),"n.a."))</f>
        <v>0</v>
      </c>
      <c r="L1973" s="16">
        <f>IF(NOT(Paths!$C$185=1),0,IF(Paths!$P$185="Complete",IF(C1973=10,Paths!$I$185,0),"n.a."))</f>
        <v>0</v>
      </c>
      <c r="M1973" s="16">
        <f>IF(NOT(Paths!$C$185=1),0,IF(Paths!$P$185="Complete",IF(AND(Paths!$D$185="EV",Paths!$E$185&lt;120,Paths!$E$185+'Operating costs'!$B$65&gt;Paths!$E$185,Paths!$E$185+'Operating costs'!$B$65&lt;=120,IF(Paths!$E$185+'Operating costs'!$B$65=0,C1973=0,AND(C1973&gt;0,Paths!$E$185+'Operating costs'!$B$65&gt;(C1973-1)*12,Paths!$E$185+'Operating costs'!$B$65&lt;=C1973*12))),'Operating costs'!$B$64,0)+IF(AND('Operating costs'!$B$67&gt;0,'Operating costs'!$B$67&lt;=120,OR(Paths!$D$185="ICE",'Operating costs'!$B$67&lt;=Paths!$E$185),IF('Operating costs'!$B$67=0,C1973=0,AND(C1973&gt;0,'Operating costs'!$B$67&gt;(C1973-1)*12,'Operating costs'!$B$67&lt;=C1973*12))),'Operating costs'!$B$66,0),"n.a."))</f>
        <v>0</v>
      </c>
      <c r="N1973" s="16">
        <f>IF(NOT(Paths!$C$185=1),0,IF(Paths!$P$185="Complete",SUM(G1973:I1973)-J1973-K1973-L1973+M1973+IF(C1973=0,Paths!$F$185,0)+IF(IF(Paths!$E$185=0,C1973=0,AND(C1973&gt;0,Paths!$E$185&gt;(C1973-1)*12,Paths!$E$185&lt;=C1973*12)),VLOOKUP(A1973,'Fleet register'!$A$7:$S$106,16,FALSE),0),"n.a."))</f>
        <v>0</v>
      </c>
      <c r="O1973" s="16">
        <f>IF(NOT(Paths!$C$185=1),0,IF(Paths!$P$185="Complete",N1973-IF(C1973=0,Paths!$F$185,0),"n.a."))</f>
        <v>0</v>
      </c>
      <c r="P1973" s="16">
        <f>IF(NOT(Paths!$C$185=1),0,IF(Paths!$P$185="Complete",O1973+L1973,"n.a."))</f>
        <v>0</v>
      </c>
      <c r="Q1973" s="16">
        <f>IF(NOT(Paths!$C$185=1),0,IF(Paths!$P$185="Complete",N1973*(1+'Operating costs'!$B$54)^-C1973,"n.a."))</f>
        <v>0</v>
      </c>
      <c r="R1973" s="16">
        <f>IF(NOT(Paths!$C$185=1),0,IF(Paths!$P$185="Complete",IF(AND(C1973=0,Paths!$E$185=0),I1973-J1973-K1973+VLOOKUP(A1973,'Fleet register'!$A$7:$S$106,15,FALSE)+VLOOKUP(A1973,'Fleet register'!$A$7:$S$106,16,FALSE),0),"n.a."))</f>
        <v>0</v>
      </c>
      <c r="S1973" s="1">
        <f>IF(NOT(Paths!$C$185=1),0,IF(Paths!$P$185="Complete",IF(C1973=0,0,Paths!$S$185*Paths!$R$185),"n.a."))</f>
        <v>0</v>
      </c>
      <c r="T1973" s="1">
        <f>IF(NOT(Paths!$C$185=1),0,IF(Paths!$P$185="Complete",IF(C1973=0,0,VLOOKUP(A1973,'Fleet register'!$A$7:$S$106,9,FALSE)*Paths!$R$185),"n.a."))</f>
        <v>0</v>
      </c>
    </row>
    <row r="1974" spans="1:20" ht="24" customHeight="1">
      <c r="A1974" s="1" t="str">
        <f>Paths!$A$185</f>
        <v>T045</v>
      </c>
      <c r="B1974" s="1">
        <f>Paths!$B$185</f>
        <v>2</v>
      </c>
      <c r="C1974" s="1">
        <v>9</v>
      </c>
      <c r="D1974" s="1">
        <v>185</v>
      </c>
      <c r="E1974" s="1">
        <f>IF(OR(Paths!$C$185=0,C1974=0),0,MAX(0,MIN(C1974*12,Paths!$E$185)-(C1974-1)*12))</f>
        <v>0</v>
      </c>
      <c r="F1974" s="1">
        <f>IF(OR(Paths!$C$185=0,C1974=0),0,12-E1974)</f>
        <v>0</v>
      </c>
      <c r="G1974" s="16">
        <f>IF(NOT(Paths!$C$185=1),0,IF(Paths!$P$185="Complete",E1974/12*(Paths!$J$185*(1+'Operating costs'!$B$51)^MAX(0,C1974-1)+Paths!$K$185*(1+'Operating costs'!$B$53)^MAX(0,C1974-1)),"n.a."))</f>
        <v>0</v>
      </c>
      <c r="H1974" s="16">
        <f>IF(NOT(Paths!$C$185=1),0,IF(Paths!$P$185="Complete",F1974/12*(Paths!$L$185*(1+IF(Paths!$D$185="EV",'Operating costs'!$B$52,'Operating costs'!$B$51))^MAX(0,C1974-1)+Paths!$M$185*(1+'Operating costs'!$B$53)^MAX(0,C1974-1)),"n.a."))</f>
        <v>0</v>
      </c>
      <c r="I1974" s="16">
        <f>IF(NOT(Paths!$C$185=1),0,IF(Paths!$P$185="Complete",IF(IF(Paths!$E$185=0,C1974=0,AND(C1974&gt;0,Paths!$E$185&gt;(C1974-1)*12,Paths!$E$185&lt;=C1974*12)),Paths!$G$185,0),"n.a."))</f>
        <v>0</v>
      </c>
      <c r="J1974" s="16">
        <f>IF(NOT(Paths!$C$185=1),0,IF(Paths!$P$185="Complete",IF(IF(Paths!$E$185=0,C1974=0,AND(C1974&gt;0,Paths!$E$185&gt;(C1974-1)*12,Paths!$E$185&lt;=C1974*12)),Paths!$H$185,0),"n.a."))</f>
        <v>0</v>
      </c>
      <c r="K1974" s="16">
        <f>IF(NOT(Paths!$C$185=1),0,IF(Paths!$P$185="Complete",IF(IF(Paths!$O$185=0,C1974=0,AND(C1974&gt;0,Paths!$O$185&gt;(C1974-1)*12,Paths!$O$185&lt;=C1974*12)),Paths!$N$185,0),"n.a."))</f>
        <v>0</v>
      </c>
      <c r="L1974" s="16">
        <f>IF(NOT(Paths!$C$185=1),0,IF(Paths!$P$185="Complete",IF(C1974=10,Paths!$I$185,0),"n.a."))</f>
        <v>0</v>
      </c>
      <c r="M1974" s="16">
        <f>IF(NOT(Paths!$C$185=1),0,IF(Paths!$P$185="Complete",IF(AND(Paths!$D$185="EV",Paths!$E$185&lt;120,Paths!$E$185+'Operating costs'!$B$65&gt;Paths!$E$185,Paths!$E$185+'Operating costs'!$B$65&lt;=120,IF(Paths!$E$185+'Operating costs'!$B$65=0,C1974=0,AND(C1974&gt;0,Paths!$E$185+'Operating costs'!$B$65&gt;(C1974-1)*12,Paths!$E$185+'Operating costs'!$B$65&lt;=C1974*12))),'Operating costs'!$B$64,0)+IF(AND('Operating costs'!$B$67&gt;0,'Operating costs'!$B$67&lt;=120,OR(Paths!$D$185="ICE",'Operating costs'!$B$67&lt;=Paths!$E$185),IF('Operating costs'!$B$67=0,C1974=0,AND(C1974&gt;0,'Operating costs'!$B$67&gt;(C1974-1)*12,'Operating costs'!$B$67&lt;=C1974*12))),'Operating costs'!$B$66,0),"n.a."))</f>
        <v>0</v>
      </c>
      <c r="N1974" s="16">
        <f>IF(NOT(Paths!$C$185=1),0,IF(Paths!$P$185="Complete",SUM(G1974:I1974)-J1974-K1974-L1974+M1974+IF(C1974=0,Paths!$F$185,0)+IF(IF(Paths!$E$185=0,C1974=0,AND(C1974&gt;0,Paths!$E$185&gt;(C1974-1)*12,Paths!$E$185&lt;=C1974*12)),VLOOKUP(A1974,'Fleet register'!$A$7:$S$106,16,FALSE),0),"n.a."))</f>
        <v>0</v>
      </c>
      <c r="O1974" s="16">
        <f>IF(NOT(Paths!$C$185=1),0,IF(Paths!$P$185="Complete",N1974-IF(C1974=0,Paths!$F$185,0),"n.a."))</f>
        <v>0</v>
      </c>
      <c r="P1974" s="16">
        <f>IF(NOT(Paths!$C$185=1),0,IF(Paths!$P$185="Complete",O1974+L1974,"n.a."))</f>
        <v>0</v>
      </c>
      <c r="Q1974" s="16">
        <f>IF(NOT(Paths!$C$185=1),0,IF(Paths!$P$185="Complete",N1974*(1+'Operating costs'!$B$54)^-C1974,"n.a."))</f>
        <v>0</v>
      </c>
      <c r="R1974" s="16">
        <f>IF(NOT(Paths!$C$185=1),0,IF(Paths!$P$185="Complete",IF(AND(C1974=0,Paths!$E$185=0),I1974-J1974-K1974+VLOOKUP(A1974,'Fleet register'!$A$7:$S$106,15,FALSE)+VLOOKUP(A1974,'Fleet register'!$A$7:$S$106,16,FALSE),0),"n.a."))</f>
        <v>0</v>
      </c>
      <c r="S1974" s="1">
        <f>IF(NOT(Paths!$C$185=1),0,IF(Paths!$P$185="Complete",IF(C1974=0,0,Paths!$S$185*Paths!$R$185),"n.a."))</f>
        <v>0</v>
      </c>
      <c r="T1974" s="1">
        <f>IF(NOT(Paths!$C$185=1),0,IF(Paths!$P$185="Complete",IF(C1974=0,0,VLOOKUP(A1974,'Fleet register'!$A$7:$S$106,9,FALSE)*Paths!$R$185),"n.a."))</f>
        <v>0</v>
      </c>
    </row>
    <row r="1975" spans="1:20" ht="24" customHeight="1">
      <c r="A1975" s="1" t="str">
        <f>Paths!$A$185</f>
        <v>T045</v>
      </c>
      <c r="B1975" s="1">
        <f>Paths!$B$185</f>
        <v>2</v>
      </c>
      <c r="C1975" s="1">
        <v>10</v>
      </c>
      <c r="D1975" s="1">
        <v>185</v>
      </c>
      <c r="E1975" s="1">
        <f>IF(OR(Paths!$C$185=0,C1975=0),0,MAX(0,MIN(C1975*12,Paths!$E$185)-(C1975-1)*12))</f>
        <v>0</v>
      </c>
      <c r="F1975" s="1">
        <f>IF(OR(Paths!$C$185=0,C1975=0),0,12-E1975)</f>
        <v>0</v>
      </c>
      <c r="G1975" s="16">
        <f>IF(NOT(Paths!$C$185=1),0,IF(Paths!$P$185="Complete",E1975/12*(Paths!$J$185*(1+'Operating costs'!$B$51)^MAX(0,C1975-1)+Paths!$K$185*(1+'Operating costs'!$B$53)^MAX(0,C1975-1)),"n.a."))</f>
        <v>0</v>
      </c>
      <c r="H1975" s="16">
        <f>IF(NOT(Paths!$C$185=1),0,IF(Paths!$P$185="Complete",F1975/12*(Paths!$L$185*(1+IF(Paths!$D$185="EV",'Operating costs'!$B$52,'Operating costs'!$B$51))^MAX(0,C1975-1)+Paths!$M$185*(1+'Operating costs'!$B$53)^MAX(0,C1975-1)),"n.a."))</f>
        <v>0</v>
      </c>
      <c r="I1975" s="16">
        <f>IF(NOT(Paths!$C$185=1),0,IF(Paths!$P$185="Complete",IF(IF(Paths!$E$185=0,C1975=0,AND(C1975&gt;0,Paths!$E$185&gt;(C1975-1)*12,Paths!$E$185&lt;=C1975*12)),Paths!$G$185,0),"n.a."))</f>
        <v>0</v>
      </c>
      <c r="J1975" s="16">
        <f>IF(NOT(Paths!$C$185=1),0,IF(Paths!$P$185="Complete",IF(IF(Paths!$E$185=0,C1975=0,AND(C1975&gt;0,Paths!$E$185&gt;(C1975-1)*12,Paths!$E$185&lt;=C1975*12)),Paths!$H$185,0),"n.a."))</f>
        <v>0</v>
      </c>
      <c r="K1975" s="16">
        <f>IF(NOT(Paths!$C$185=1),0,IF(Paths!$P$185="Complete",IF(IF(Paths!$O$185=0,C1975=0,AND(C1975&gt;0,Paths!$O$185&gt;(C1975-1)*12,Paths!$O$185&lt;=C1975*12)),Paths!$N$185,0),"n.a."))</f>
        <v>0</v>
      </c>
      <c r="L1975" s="16">
        <f>IF(NOT(Paths!$C$185=1),0,IF(Paths!$P$185="Complete",IF(C1975=10,Paths!$I$185,0),"n.a."))</f>
        <v>0</v>
      </c>
      <c r="M1975" s="16">
        <f>IF(NOT(Paths!$C$185=1),0,IF(Paths!$P$185="Complete",IF(AND(Paths!$D$185="EV",Paths!$E$185&lt;120,Paths!$E$185+'Operating costs'!$B$65&gt;Paths!$E$185,Paths!$E$185+'Operating costs'!$B$65&lt;=120,IF(Paths!$E$185+'Operating costs'!$B$65=0,C1975=0,AND(C1975&gt;0,Paths!$E$185+'Operating costs'!$B$65&gt;(C1975-1)*12,Paths!$E$185+'Operating costs'!$B$65&lt;=C1975*12))),'Operating costs'!$B$64,0)+IF(AND('Operating costs'!$B$67&gt;0,'Operating costs'!$B$67&lt;=120,OR(Paths!$D$185="ICE",'Operating costs'!$B$67&lt;=Paths!$E$185),IF('Operating costs'!$B$67=0,C1975=0,AND(C1975&gt;0,'Operating costs'!$B$67&gt;(C1975-1)*12,'Operating costs'!$B$67&lt;=C1975*12))),'Operating costs'!$B$66,0),"n.a."))</f>
        <v>0</v>
      </c>
      <c r="N1975" s="16">
        <f>IF(NOT(Paths!$C$185=1),0,IF(Paths!$P$185="Complete",SUM(G1975:I1975)-J1975-K1975-L1975+M1975+IF(C1975=0,Paths!$F$185,0)+IF(IF(Paths!$E$185=0,C1975=0,AND(C1975&gt;0,Paths!$E$185&gt;(C1975-1)*12,Paths!$E$185&lt;=C1975*12)),VLOOKUP(A1975,'Fleet register'!$A$7:$S$106,16,FALSE),0),"n.a."))</f>
        <v>0</v>
      </c>
      <c r="O1975" s="16">
        <f>IF(NOT(Paths!$C$185=1),0,IF(Paths!$P$185="Complete",N1975-IF(C1975=0,Paths!$F$185,0),"n.a."))</f>
        <v>0</v>
      </c>
      <c r="P1975" s="16">
        <f>IF(NOT(Paths!$C$185=1),0,IF(Paths!$P$185="Complete",O1975+L1975,"n.a."))</f>
        <v>0</v>
      </c>
      <c r="Q1975" s="16">
        <f>IF(NOT(Paths!$C$185=1),0,IF(Paths!$P$185="Complete",N1975*(1+'Operating costs'!$B$54)^-C1975,"n.a."))</f>
        <v>0</v>
      </c>
      <c r="R1975" s="16">
        <f>IF(NOT(Paths!$C$185=1),0,IF(Paths!$P$185="Complete",IF(AND(C1975=0,Paths!$E$185=0),I1975-J1975-K1975+VLOOKUP(A1975,'Fleet register'!$A$7:$S$106,15,FALSE)+VLOOKUP(A1975,'Fleet register'!$A$7:$S$106,16,FALSE),0),"n.a."))</f>
        <v>0</v>
      </c>
      <c r="S1975" s="1">
        <f>IF(NOT(Paths!$C$185=1),0,IF(Paths!$P$185="Complete",IF(C1975=0,0,Paths!$S$185*Paths!$R$185),"n.a."))</f>
        <v>0</v>
      </c>
      <c r="T1975" s="1">
        <f>IF(NOT(Paths!$C$185=1),0,IF(Paths!$P$185="Complete",IF(C1975=0,0,VLOOKUP(A1975,'Fleet register'!$A$7:$S$106,9,FALSE)*Paths!$R$185),"n.a."))</f>
        <v>0</v>
      </c>
    </row>
    <row r="1976" spans="1:20" ht="24" customHeight="1">
      <c r="A1976" s="1" t="str">
        <f>Paths!$A$186</f>
        <v>T045</v>
      </c>
      <c r="B1976" s="1">
        <f>Paths!$B$186</f>
        <v>3</v>
      </c>
      <c r="C1976" s="1">
        <v>0</v>
      </c>
      <c r="D1976" s="1">
        <v>186</v>
      </c>
      <c r="E1976" s="1">
        <f>IF(OR(Paths!$C$186=0,C1976=0),0,MAX(0,MIN(C1976*12,Paths!$E$186)-(C1976-1)*12))</f>
        <v>0</v>
      </c>
      <c r="F1976" s="1">
        <f>IF(OR(Paths!$C$186=0,C1976=0),0,12-E1976)</f>
        <v>0</v>
      </c>
      <c r="G1976" s="16">
        <f>IF(NOT(Paths!$C$186=1),0,IF(Paths!$P$186="Complete",E1976/12*(Paths!$J$186*(1+'Operating costs'!$B$51)^MAX(0,C1976-1)+Paths!$K$186*(1+'Operating costs'!$B$53)^MAX(0,C1976-1)),"n.a."))</f>
        <v>0</v>
      </c>
      <c r="H1976" s="16">
        <f>IF(NOT(Paths!$C$186=1),0,IF(Paths!$P$186="Complete",F1976/12*(Paths!$L$186*(1+IF(Paths!$D$186="EV",'Operating costs'!$B$52,'Operating costs'!$B$51))^MAX(0,C1976-1)+Paths!$M$186*(1+'Operating costs'!$B$53)^MAX(0,C1976-1)),"n.a."))</f>
        <v>0</v>
      </c>
      <c r="I1976" s="16">
        <f>IF(NOT(Paths!$C$186=1),0,IF(Paths!$P$186="Complete",IF(IF(Paths!$E$186=0,C1976=0,AND(C1976&gt;0,Paths!$E$186&gt;(C1976-1)*12,Paths!$E$186&lt;=C1976*12)),Paths!$G$186,0),"n.a."))</f>
        <v>0</v>
      </c>
      <c r="J1976" s="16">
        <f>IF(NOT(Paths!$C$186=1),0,IF(Paths!$P$186="Complete",IF(IF(Paths!$E$186=0,C1976=0,AND(C1976&gt;0,Paths!$E$186&gt;(C1976-1)*12,Paths!$E$186&lt;=C1976*12)),Paths!$H$186,0),"n.a."))</f>
        <v>0</v>
      </c>
      <c r="K1976" s="16">
        <f>IF(NOT(Paths!$C$186=1),0,IF(Paths!$P$186="Complete",IF(IF(Paths!$O$186=0,C1976=0,AND(C1976&gt;0,Paths!$O$186&gt;(C1976-1)*12,Paths!$O$186&lt;=C1976*12)),Paths!$N$186,0),"n.a."))</f>
        <v>0</v>
      </c>
      <c r="L1976" s="16">
        <f>IF(NOT(Paths!$C$186=1),0,IF(Paths!$P$186="Complete",IF(C1976=10,Paths!$I$186,0),"n.a."))</f>
        <v>0</v>
      </c>
      <c r="M1976" s="16">
        <f>IF(NOT(Paths!$C$186=1),0,IF(Paths!$P$186="Complete",IF(AND(Paths!$D$186="EV",Paths!$E$186&lt;120,Paths!$E$186+'Operating costs'!$B$65&gt;Paths!$E$186,Paths!$E$186+'Operating costs'!$B$65&lt;=120,IF(Paths!$E$186+'Operating costs'!$B$65=0,C1976=0,AND(C1976&gt;0,Paths!$E$186+'Operating costs'!$B$65&gt;(C1976-1)*12,Paths!$E$186+'Operating costs'!$B$65&lt;=C1976*12))),'Operating costs'!$B$64,0)+IF(AND('Operating costs'!$B$67&gt;0,'Operating costs'!$B$67&lt;=120,OR(Paths!$D$186="ICE",'Operating costs'!$B$67&lt;=Paths!$E$186),IF('Operating costs'!$B$67=0,C1976=0,AND(C1976&gt;0,'Operating costs'!$B$67&gt;(C1976-1)*12,'Operating costs'!$B$67&lt;=C1976*12))),'Operating costs'!$B$66,0),"n.a."))</f>
        <v>0</v>
      </c>
      <c r="N1976" s="16">
        <f>IF(NOT(Paths!$C$186=1),0,IF(Paths!$P$186="Complete",SUM(G1976:I1976)-J1976-K1976-L1976+M1976+IF(C1976=0,Paths!$F$186,0)+IF(IF(Paths!$E$186=0,C1976=0,AND(C1976&gt;0,Paths!$E$186&gt;(C1976-1)*12,Paths!$E$186&lt;=C1976*12)),VLOOKUP(A1976,'Fleet register'!$A$7:$S$106,16,FALSE),0),"n.a."))</f>
        <v>0</v>
      </c>
      <c r="O1976" s="16">
        <f>IF(NOT(Paths!$C$186=1),0,IF(Paths!$P$186="Complete",N1976-IF(C1976=0,Paths!$F$186,0),"n.a."))</f>
        <v>0</v>
      </c>
      <c r="P1976" s="16">
        <f>IF(NOT(Paths!$C$186=1),0,IF(Paths!$P$186="Complete",O1976+L1976,"n.a."))</f>
        <v>0</v>
      </c>
      <c r="Q1976" s="16">
        <f>IF(NOT(Paths!$C$186=1),0,IF(Paths!$P$186="Complete",N1976*(1+'Operating costs'!$B$54)^-C1976,"n.a."))</f>
        <v>0</v>
      </c>
      <c r="R1976" s="16">
        <f>IF(NOT(Paths!$C$186=1),0,IF(Paths!$P$186="Complete",IF(AND(C1976=0,Paths!$E$186=0),I1976-J1976-K1976+VLOOKUP(A1976,'Fleet register'!$A$7:$S$106,15,FALSE)+VLOOKUP(A1976,'Fleet register'!$A$7:$S$106,16,FALSE),0),"n.a."))</f>
        <v>0</v>
      </c>
      <c r="S1976" s="1">
        <f>IF(NOT(Paths!$C$186=1),0,IF(Paths!$P$186="Complete",IF(C1976=0,0,Paths!$S$186*Paths!$R$186),"n.a."))</f>
        <v>0</v>
      </c>
      <c r="T1976" s="1">
        <f>IF(NOT(Paths!$C$186=1),0,IF(Paths!$P$186="Complete",IF(C1976=0,0,VLOOKUP(A1976,'Fleet register'!$A$7:$S$106,9,FALSE)*Paths!$R$186),"n.a."))</f>
        <v>0</v>
      </c>
    </row>
    <row r="1977" spans="1:20" ht="24" customHeight="1">
      <c r="A1977" s="1" t="str">
        <f>Paths!$A$186</f>
        <v>T045</v>
      </c>
      <c r="B1977" s="1">
        <f>Paths!$B$186</f>
        <v>3</v>
      </c>
      <c r="C1977" s="1">
        <v>1</v>
      </c>
      <c r="D1977" s="1">
        <v>186</v>
      </c>
      <c r="E1977" s="1">
        <f>IF(OR(Paths!$C$186=0,C1977=0),0,MAX(0,MIN(C1977*12,Paths!$E$186)-(C1977-1)*12))</f>
        <v>0</v>
      </c>
      <c r="F1977" s="1">
        <f>IF(OR(Paths!$C$186=0,C1977=0),0,12-E1977)</f>
        <v>0</v>
      </c>
      <c r="G1977" s="16">
        <f>IF(NOT(Paths!$C$186=1),0,IF(Paths!$P$186="Complete",E1977/12*(Paths!$J$186*(1+'Operating costs'!$B$51)^MAX(0,C1977-1)+Paths!$K$186*(1+'Operating costs'!$B$53)^MAX(0,C1977-1)),"n.a."))</f>
        <v>0</v>
      </c>
      <c r="H1977" s="16">
        <f>IF(NOT(Paths!$C$186=1),0,IF(Paths!$P$186="Complete",F1977/12*(Paths!$L$186*(1+IF(Paths!$D$186="EV",'Operating costs'!$B$52,'Operating costs'!$B$51))^MAX(0,C1977-1)+Paths!$M$186*(1+'Operating costs'!$B$53)^MAX(0,C1977-1)),"n.a."))</f>
        <v>0</v>
      </c>
      <c r="I1977" s="16">
        <f>IF(NOT(Paths!$C$186=1),0,IF(Paths!$P$186="Complete",IF(IF(Paths!$E$186=0,C1977=0,AND(C1977&gt;0,Paths!$E$186&gt;(C1977-1)*12,Paths!$E$186&lt;=C1977*12)),Paths!$G$186,0),"n.a."))</f>
        <v>0</v>
      </c>
      <c r="J1977" s="16">
        <f>IF(NOT(Paths!$C$186=1),0,IF(Paths!$P$186="Complete",IF(IF(Paths!$E$186=0,C1977=0,AND(C1977&gt;0,Paths!$E$186&gt;(C1977-1)*12,Paths!$E$186&lt;=C1977*12)),Paths!$H$186,0),"n.a."))</f>
        <v>0</v>
      </c>
      <c r="K1977" s="16">
        <f>IF(NOT(Paths!$C$186=1),0,IF(Paths!$P$186="Complete",IF(IF(Paths!$O$186=0,C1977=0,AND(C1977&gt;0,Paths!$O$186&gt;(C1977-1)*12,Paths!$O$186&lt;=C1977*12)),Paths!$N$186,0),"n.a."))</f>
        <v>0</v>
      </c>
      <c r="L1977" s="16">
        <f>IF(NOT(Paths!$C$186=1),0,IF(Paths!$P$186="Complete",IF(C1977=10,Paths!$I$186,0),"n.a."))</f>
        <v>0</v>
      </c>
      <c r="M1977" s="16">
        <f>IF(NOT(Paths!$C$186=1),0,IF(Paths!$P$186="Complete",IF(AND(Paths!$D$186="EV",Paths!$E$186&lt;120,Paths!$E$186+'Operating costs'!$B$65&gt;Paths!$E$186,Paths!$E$186+'Operating costs'!$B$65&lt;=120,IF(Paths!$E$186+'Operating costs'!$B$65=0,C1977=0,AND(C1977&gt;0,Paths!$E$186+'Operating costs'!$B$65&gt;(C1977-1)*12,Paths!$E$186+'Operating costs'!$B$65&lt;=C1977*12))),'Operating costs'!$B$64,0)+IF(AND('Operating costs'!$B$67&gt;0,'Operating costs'!$B$67&lt;=120,OR(Paths!$D$186="ICE",'Operating costs'!$B$67&lt;=Paths!$E$186),IF('Operating costs'!$B$67=0,C1977=0,AND(C1977&gt;0,'Operating costs'!$B$67&gt;(C1977-1)*12,'Operating costs'!$B$67&lt;=C1977*12))),'Operating costs'!$B$66,0),"n.a."))</f>
        <v>0</v>
      </c>
      <c r="N1977" s="16">
        <f>IF(NOT(Paths!$C$186=1),0,IF(Paths!$P$186="Complete",SUM(G1977:I1977)-J1977-K1977-L1977+M1977+IF(C1977=0,Paths!$F$186,0)+IF(IF(Paths!$E$186=0,C1977=0,AND(C1977&gt;0,Paths!$E$186&gt;(C1977-1)*12,Paths!$E$186&lt;=C1977*12)),VLOOKUP(A1977,'Fleet register'!$A$7:$S$106,16,FALSE),0),"n.a."))</f>
        <v>0</v>
      </c>
      <c r="O1977" s="16">
        <f>IF(NOT(Paths!$C$186=1),0,IF(Paths!$P$186="Complete",N1977-IF(C1977=0,Paths!$F$186,0),"n.a."))</f>
        <v>0</v>
      </c>
      <c r="P1977" s="16">
        <f>IF(NOT(Paths!$C$186=1),0,IF(Paths!$P$186="Complete",O1977+L1977,"n.a."))</f>
        <v>0</v>
      </c>
      <c r="Q1977" s="16">
        <f>IF(NOT(Paths!$C$186=1),0,IF(Paths!$P$186="Complete",N1977*(1+'Operating costs'!$B$54)^-C1977,"n.a."))</f>
        <v>0</v>
      </c>
      <c r="R1977" s="16">
        <f>IF(NOT(Paths!$C$186=1),0,IF(Paths!$P$186="Complete",IF(AND(C1977=0,Paths!$E$186=0),I1977-J1977-K1977+VLOOKUP(A1977,'Fleet register'!$A$7:$S$106,15,FALSE)+VLOOKUP(A1977,'Fleet register'!$A$7:$S$106,16,FALSE),0),"n.a."))</f>
        <v>0</v>
      </c>
      <c r="S1977" s="1">
        <f>IF(NOT(Paths!$C$186=1),0,IF(Paths!$P$186="Complete",IF(C1977=0,0,Paths!$S$186*Paths!$R$186),"n.a."))</f>
        <v>0</v>
      </c>
      <c r="T1977" s="1">
        <f>IF(NOT(Paths!$C$186=1),0,IF(Paths!$P$186="Complete",IF(C1977=0,0,VLOOKUP(A1977,'Fleet register'!$A$7:$S$106,9,FALSE)*Paths!$R$186),"n.a."))</f>
        <v>0</v>
      </c>
    </row>
    <row r="1978" spans="1:20" ht="24" customHeight="1">
      <c r="A1978" s="1" t="str">
        <f>Paths!$A$186</f>
        <v>T045</v>
      </c>
      <c r="B1978" s="1">
        <f>Paths!$B$186</f>
        <v>3</v>
      </c>
      <c r="C1978" s="1">
        <v>2</v>
      </c>
      <c r="D1978" s="1">
        <v>186</v>
      </c>
      <c r="E1978" s="1">
        <f>IF(OR(Paths!$C$186=0,C1978=0),0,MAX(0,MIN(C1978*12,Paths!$E$186)-(C1978-1)*12))</f>
        <v>0</v>
      </c>
      <c r="F1978" s="1">
        <f>IF(OR(Paths!$C$186=0,C1978=0),0,12-E1978)</f>
        <v>0</v>
      </c>
      <c r="G1978" s="16">
        <f>IF(NOT(Paths!$C$186=1),0,IF(Paths!$P$186="Complete",E1978/12*(Paths!$J$186*(1+'Operating costs'!$B$51)^MAX(0,C1978-1)+Paths!$K$186*(1+'Operating costs'!$B$53)^MAX(0,C1978-1)),"n.a."))</f>
        <v>0</v>
      </c>
      <c r="H1978" s="16">
        <f>IF(NOT(Paths!$C$186=1),0,IF(Paths!$P$186="Complete",F1978/12*(Paths!$L$186*(1+IF(Paths!$D$186="EV",'Operating costs'!$B$52,'Operating costs'!$B$51))^MAX(0,C1978-1)+Paths!$M$186*(1+'Operating costs'!$B$53)^MAX(0,C1978-1)),"n.a."))</f>
        <v>0</v>
      </c>
      <c r="I1978" s="16">
        <f>IF(NOT(Paths!$C$186=1),0,IF(Paths!$P$186="Complete",IF(IF(Paths!$E$186=0,C1978=0,AND(C1978&gt;0,Paths!$E$186&gt;(C1978-1)*12,Paths!$E$186&lt;=C1978*12)),Paths!$G$186,0),"n.a."))</f>
        <v>0</v>
      </c>
      <c r="J1978" s="16">
        <f>IF(NOT(Paths!$C$186=1),0,IF(Paths!$P$186="Complete",IF(IF(Paths!$E$186=0,C1978=0,AND(C1978&gt;0,Paths!$E$186&gt;(C1978-1)*12,Paths!$E$186&lt;=C1978*12)),Paths!$H$186,0),"n.a."))</f>
        <v>0</v>
      </c>
      <c r="K1978" s="16">
        <f>IF(NOT(Paths!$C$186=1),0,IF(Paths!$P$186="Complete",IF(IF(Paths!$O$186=0,C1978=0,AND(C1978&gt;0,Paths!$O$186&gt;(C1978-1)*12,Paths!$O$186&lt;=C1978*12)),Paths!$N$186,0),"n.a."))</f>
        <v>0</v>
      </c>
      <c r="L1978" s="16">
        <f>IF(NOT(Paths!$C$186=1),0,IF(Paths!$P$186="Complete",IF(C1978=10,Paths!$I$186,0),"n.a."))</f>
        <v>0</v>
      </c>
      <c r="M1978" s="16">
        <f>IF(NOT(Paths!$C$186=1),0,IF(Paths!$P$186="Complete",IF(AND(Paths!$D$186="EV",Paths!$E$186&lt;120,Paths!$E$186+'Operating costs'!$B$65&gt;Paths!$E$186,Paths!$E$186+'Operating costs'!$B$65&lt;=120,IF(Paths!$E$186+'Operating costs'!$B$65=0,C1978=0,AND(C1978&gt;0,Paths!$E$186+'Operating costs'!$B$65&gt;(C1978-1)*12,Paths!$E$186+'Operating costs'!$B$65&lt;=C1978*12))),'Operating costs'!$B$64,0)+IF(AND('Operating costs'!$B$67&gt;0,'Operating costs'!$B$67&lt;=120,OR(Paths!$D$186="ICE",'Operating costs'!$B$67&lt;=Paths!$E$186),IF('Operating costs'!$B$67=0,C1978=0,AND(C1978&gt;0,'Operating costs'!$B$67&gt;(C1978-1)*12,'Operating costs'!$B$67&lt;=C1978*12))),'Operating costs'!$B$66,0),"n.a."))</f>
        <v>0</v>
      </c>
      <c r="N1978" s="16">
        <f>IF(NOT(Paths!$C$186=1),0,IF(Paths!$P$186="Complete",SUM(G1978:I1978)-J1978-K1978-L1978+M1978+IF(C1978=0,Paths!$F$186,0)+IF(IF(Paths!$E$186=0,C1978=0,AND(C1978&gt;0,Paths!$E$186&gt;(C1978-1)*12,Paths!$E$186&lt;=C1978*12)),VLOOKUP(A1978,'Fleet register'!$A$7:$S$106,16,FALSE),0),"n.a."))</f>
        <v>0</v>
      </c>
      <c r="O1978" s="16">
        <f>IF(NOT(Paths!$C$186=1),0,IF(Paths!$P$186="Complete",N1978-IF(C1978=0,Paths!$F$186,0),"n.a."))</f>
        <v>0</v>
      </c>
      <c r="P1978" s="16">
        <f>IF(NOT(Paths!$C$186=1),0,IF(Paths!$P$186="Complete",O1978+L1978,"n.a."))</f>
        <v>0</v>
      </c>
      <c r="Q1978" s="16">
        <f>IF(NOT(Paths!$C$186=1),0,IF(Paths!$P$186="Complete",N1978*(1+'Operating costs'!$B$54)^-C1978,"n.a."))</f>
        <v>0</v>
      </c>
      <c r="R1978" s="16">
        <f>IF(NOT(Paths!$C$186=1),0,IF(Paths!$P$186="Complete",IF(AND(C1978=0,Paths!$E$186=0),I1978-J1978-K1978+VLOOKUP(A1978,'Fleet register'!$A$7:$S$106,15,FALSE)+VLOOKUP(A1978,'Fleet register'!$A$7:$S$106,16,FALSE),0),"n.a."))</f>
        <v>0</v>
      </c>
      <c r="S1978" s="1">
        <f>IF(NOT(Paths!$C$186=1),0,IF(Paths!$P$186="Complete",IF(C1978=0,0,Paths!$S$186*Paths!$R$186),"n.a."))</f>
        <v>0</v>
      </c>
      <c r="T1978" s="1">
        <f>IF(NOT(Paths!$C$186=1),0,IF(Paths!$P$186="Complete",IF(C1978=0,0,VLOOKUP(A1978,'Fleet register'!$A$7:$S$106,9,FALSE)*Paths!$R$186),"n.a."))</f>
        <v>0</v>
      </c>
    </row>
    <row r="1979" spans="1:20" ht="24" customHeight="1">
      <c r="A1979" s="1" t="str">
        <f>Paths!$A$186</f>
        <v>T045</v>
      </c>
      <c r="B1979" s="1">
        <f>Paths!$B$186</f>
        <v>3</v>
      </c>
      <c r="C1979" s="1">
        <v>3</v>
      </c>
      <c r="D1979" s="1">
        <v>186</v>
      </c>
      <c r="E1979" s="1">
        <f>IF(OR(Paths!$C$186=0,C1979=0),0,MAX(0,MIN(C1979*12,Paths!$E$186)-(C1979-1)*12))</f>
        <v>0</v>
      </c>
      <c r="F1979" s="1">
        <f>IF(OR(Paths!$C$186=0,C1979=0),0,12-E1979)</f>
        <v>0</v>
      </c>
      <c r="G1979" s="16">
        <f>IF(NOT(Paths!$C$186=1),0,IF(Paths!$P$186="Complete",E1979/12*(Paths!$J$186*(1+'Operating costs'!$B$51)^MAX(0,C1979-1)+Paths!$K$186*(1+'Operating costs'!$B$53)^MAX(0,C1979-1)),"n.a."))</f>
        <v>0</v>
      </c>
      <c r="H1979" s="16">
        <f>IF(NOT(Paths!$C$186=1),0,IF(Paths!$P$186="Complete",F1979/12*(Paths!$L$186*(1+IF(Paths!$D$186="EV",'Operating costs'!$B$52,'Operating costs'!$B$51))^MAX(0,C1979-1)+Paths!$M$186*(1+'Operating costs'!$B$53)^MAX(0,C1979-1)),"n.a."))</f>
        <v>0</v>
      </c>
      <c r="I1979" s="16">
        <f>IF(NOT(Paths!$C$186=1),0,IF(Paths!$P$186="Complete",IF(IF(Paths!$E$186=0,C1979=0,AND(C1979&gt;0,Paths!$E$186&gt;(C1979-1)*12,Paths!$E$186&lt;=C1979*12)),Paths!$G$186,0),"n.a."))</f>
        <v>0</v>
      </c>
      <c r="J1979" s="16">
        <f>IF(NOT(Paths!$C$186=1),0,IF(Paths!$P$186="Complete",IF(IF(Paths!$E$186=0,C1979=0,AND(C1979&gt;0,Paths!$E$186&gt;(C1979-1)*12,Paths!$E$186&lt;=C1979*12)),Paths!$H$186,0),"n.a."))</f>
        <v>0</v>
      </c>
      <c r="K1979" s="16">
        <f>IF(NOT(Paths!$C$186=1),0,IF(Paths!$P$186="Complete",IF(IF(Paths!$O$186=0,C1979=0,AND(C1979&gt;0,Paths!$O$186&gt;(C1979-1)*12,Paths!$O$186&lt;=C1979*12)),Paths!$N$186,0),"n.a."))</f>
        <v>0</v>
      </c>
      <c r="L1979" s="16">
        <f>IF(NOT(Paths!$C$186=1),0,IF(Paths!$P$186="Complete",IF(C1979=10,Paths!$I$186,0),"n.a."))</f>
        <v>0</v>
      </c>
      <c r="M1979" s="16">
        <f>IF(NOT(Paths!$C$186=1),0,IF(Paths!$P$186="Complete",IF(AND(Paths!$D$186="EV",Paths!$E$186&lt;120,Paths!$E$186+'Operating costs'!$B$65&gt;Paths!$E$186,Paths!$E$186+'Operating costs'!$B$65&lt;=120,IF(Paths!$E$186+'Operating costs'!$B$65=0,C1979=0,AND(C1979&gt;0,Paths!$E$186+'Operating costs'!$B$65&gt;(C1979-1)*12,Paths!$E$186+'Operating costs'!$B$65&lt;=C1979*12))),'Operating costs'!$B$64,0)+IF(AND('Operating costs'!$B$67&gt;0,'Operating costs'!$B$67&lt;=120,OR(Paths!$D$186="ICE",'Operating costs'!$B$67&lt;=Paths!$E$186),IF('Operating costs'!$B$67=0,C1979=0,AND(C1979&gt;0,'Operating costs'!$B$67&gt;(C1979-1)*12,'Operating costs'!$B$67&lt;=C1979*12))),'Operating costs'!$B$66,0),"n.a."))</f>
        <v>0</v>
      </c>
      <c r="N1979" s="16">
        <f>IF(NOT(Paths!$C$186=1),0,IF(Paths!$P$186="Complete",SUM(G1979:I1979)-J1979-K1979-L1979+M1979+IF(C1979=0,Paths!$F$186,0)+IF(IF(Paths!$E$186=0,C1979=0,AND(C1979&gt;0,Paths!$E$186&gt;(C1979-1)*12,Paths!$E$186&lt;=C1979*12)),VLOOKUP(A1979,'Fleet register'!$A$7:$S$106,16,FALSE),0),"n.a."))</f>
        <v>0</v>
      </c>
      <c r="O1979" s="16">
        <f>IF(NOT(Paths!$C$186=1),0,IF(Paths!$P$186="Complete",N1979-IF(C1979=0,Paths!$F$186,0),"n.a."))</f>
        <v>0</v>
      </c>
      <c r="P1979" s="16">
        <f>IF(NOT(Paths!$C$186=1),0,IF(Paths!$P$186="Complete",O1979+L1979,"n.a."))</f>
        <v>0</v>
      </c>
      <c r="Q1979" s="16">
        <f>IF(NOT(Paths!$C$186=1),0,IF(Paths!$P$186="Complete",N1979*(1+'Operating costs'!$B$54)^-C1979,"n.a."))</f>
        <v>0</v>
      </c>
      <c r="R1979" s="16">
        <f>IF(NOT(Paths!$C$186=1),0,IF(Paths!$P$186="Complete",IF(AND(C1979=0,Paths!$E$186=0),I1979-J1979-K1979+VLOOKUP(A1979,'Fleet register'!$A$7:$S$106,15,FALSE)+VLOOKUP(A1979,'Fleet register'!$A$7:$S$106,16,FALSE),0),"n.a."))</f>
        <v>0</v>
      </c>
      <c r="S1979" s="1">
        <f>IF(NOT(Paths!$C$186=1),0,IF(Paths!$P$186="Complete",IF(C1979=0,0,Paths!$S$186*Paths!$R$186),"n.a."))</f>
        <v>0</v>
      </c>
      <c r="T1979" s="1">
        <f>IF(NOT(Paths!$C$186=1),0,IF(Paths!$P$186="Complete",IF(C1979=0,0,VLOOKUP(A1979,'Fleet register'!$A$7:$S$106,9,FALSE)*Paths!$R$186),"n.a."))</f>
        <v>0</v>
      </c>
    </row>
    <row r="1980" spans="1:20" ht="24" customHeight="1">
      <c r="A1980" s="1" t="str">
        <f>Paths!$A$186</f>
        <v>T045</v>
      </c>
      <c r="B1980" s="1">
        <f>Paths!$B$186</f>
        <v>3</v>
      </c>
      <c r="C1980" s="1">
        <v>4</v>
      </c>
      <c r="D1980" s="1">
        <v>186</v>
      </c>
      <c r="E1980" s="1">
        <f>IF(OR(Paths!$C$186=0,C1980=0),0,MAX(0,MIN(C1980*12,Paths!$E$186)-(C1980-1)*12))</f>
        <v>0</v>
      </c>
      <c r="F1980" s="1">
        <f>IF(OR(Paths!$C$186=0,C1980=0),0,12-E1980)</f>
        <v>0</v>
      </c>
      <c r="G1980" s="16">
        <f>IF(NOT(Paths!$C$186=1),0,IF(Paths!$P$186="Complete",E1980/12*(Paths!$J$186*(1+'Operating costs'!$B$51)^MAX(0,C1980-1)+Paths!$K$186*(1+'Operating costs'!$B$53)^MAX(0,C1980-1)),"n.a."))</f>
        <v>0</v>
      </c>
      <c r="H1980" s="16">
        <f>IF(NOT(Paths!$C$186=1),0,IF(Paths!$P$186="Complete",F1980/12*(Paths!$L$186*(1+IF(Paths!$D$186="EV",'Operating costs'!$B$52,'Operating costs'!$B$51))^MAX(0,C1980-1)+Paths!$M$186*(1+'Operating costs'!$B$53)^MAX(0,C1980-1)),"n.a."))</f>
        <v>0</v>
      </c>
      <c r="I1980" s="16">
        <f>IF(NOT(Paths!$C$186=1),0,IF(Paths!$P$186="Complete",IF(IF(Paths!$E$186=0,C1980=0,AND(C1980&gt;0,Paths!$E$186&gt;(C1980-1)*12,Paths!$E$186&lt;=C1980*12)),Paths!$G$186,0),"n.a."))</f>
        <v>0</v>
      </c>
      <c r="J1980" s="16">
        <f>IF(NOT(Paths!$C$186=1),0,IF(Paths!$P$186="Complete",IF(IF(Paths!$E$186=0,C1980=0,AND(C1980&gt;0,Paths!$E$186&gt;(C1980-1)*12,Paths!$E$186&lt;=C1980*12)),Paths!$H$186,0),"n.a."))</f>
        <v>0</v>
      </c>
      <c r="K1980" s="16">
        <f>IF(NOT(Paths!$C$186=1),0,IF(Paths!$P$186="Complete",IF(IF(Paths!$O$186=0,C1980=0,AND(C1980&gt;0,Paths!$O$186&gt;(C1980-1)*12,Paths!$O$186&lt;=C1980*12)),Paths!$N$186,0),"n.a."))</f>
        <v>0</v>
      </c>
      <c r="L1980" s="16">
        <f>IF(NOT(Paths!$C$186=1),0,IF(Paths!$P$186="Complete",IF(C1980=10,Paths!$I$186,0),"n.a."))</f>
        <v>0</v>
      </c>
      <c r="M1980" s="16">
        <f>IF(NOT(Paths!$C$186=1),0,IF(Paths!$P$186="Complete",IF(AND(Paths!$D$186="EV",Paths!$E$186&lt;120,Paths!$E$186+'Operating costs'!$B$65&gt;Paths!$E$186,Paths!$E$186+'Operating costs'!$B$65&lt;=120,IF(Paths!$E$186+'Operating costs'!$B$65=0,C1980=0,AND(C1980&gt;0,Paths!$E$186+'Operating costs'!$B$65&gt;(C1980-1)*12,Paths!$E$186+'Operating costs'!$B$65&lt;=C1980*12))),'Operating costs'!$B$64,0)+IF(AND('Operating costs'!$B$67&gt;0,'Operating costs'!$B$67&lt;=120,OR(Paths!$D$186="ICE",'Operating costs'!$B$67&lt;=Paths!$E$186),IF('Operating costs'!$B$67=0,C1980=0,AND(C1980&gt;0,'Operating costs'!$B$67&gt;(C1980-1)*12,'Operating costs'!$B$67&lt;=C1980*12))),'Operating costs'!$B$66,0),"n.a."))</f>
        <v>0</v>
      </c>
      <c r="N1980" s="16">
        <f>IF(NOT(Paths!$C$186=1),0,IF(Paths!$P$186="Complete",SUM(G1980:I1980)-J1980-K1980-L1980+M1980+IF(C1980=0,Paths!$F$186,0)+IF(IF(Paths!$E$186=0,C1980=0,AND(C1980&gt;0,Paths!$E$186&gt;(C1980-1)*12,Paths!$E$186&lt;=C1980*12)),VLOOKUP(A1980,'Fleet register'!$A$7:$S$106,16,FALSE),0),"n.a."))</f>
        <v>0</v>
      </c>
      <c r="O1980" s="16">
        <f>IF(NOT(Paths!$C$186=1),0,IF(Paths!$P$186="Complete",N1980-IF(C1980=0,Paths!$F$186,0),"n.a."))</f>
        <v>0</v>
      </c>
      <c r="P1980" s="16">
        <f>IF(NOT(Paths!$C$186=1),0,IF(Paths!$P$186="Complete",O1980+L1980,"n.a."))</f>
        <v>0</v>
      </c>
      <c r="Q1980" s="16">
        <f>IF(NOT(Paths!$C$186=1),0,IF(Paths!$P$186="Complete",N1980*(1+'Operating costs'!$B$54)^-C1980,"n.a."))</f>
        <v>0</v>
      </c>
      <c r="R1980" s="16">
        <f>IF(NOT(Paths!$C$186=1),0,IF(Paths!$P$186="Complete",IF(AND(C1980=0,Paths!$E$186=0),I1980-J1980-K1980+VLOOKUP(A1980,'Fleet register'!$A$7:$S$106,15,FALSE)+VLOOKUP(A1980,'Fleet register'!$A$7:$S$106,16,FALSE),0),"n.a."))</f>
        <v>0</v>
      </c>
      <c r="S1980" s="1">
        <f>IF(NOT(Paths!$C$186=1),0,IF(Paths!$P$186="Complete",IF(C1980=0,0,Paths!$S$186*Paths!$R$186),"n.a."))</f>
        <v>0</v>
      </c>
      <c r="T1980" s="1">
        <f>IF(NOT(Paths!$C$186=1),0,IF(Paths!$P$186="Complete",IF(C1980=0,0,VLOOKUP(A1980,'Fleet register'!$A$7:$S$106,9,FALSE)*Paths!$R$186),"n.a."))</f>
        <v>0</v>
      </c>
    </row>
    <row r="1981" spans="1:20" ht="24" customHeight="1">
      <c r="A1981" s="1" t="str">
        <f>Paths!$A$186</f>
        <v>T045</v>
      </c>
      <c r="B1981" s="1">
        <f>Paths!$B$186</f>
        <v>3</v>
      </c>
      <c r="C1981" s="1">
        <v>5</v>
      </c>
      <c r="D1981" s="1">
        <v>186</v>
      </c>
      <c r="E1981" s="1">
        <f>IF(OR(Paths!$C$186=0,C1981=0),0,MAX(0,MIN(C1981*12,Paths!$E$186)-(C1981-1)*12))</f>
        <v>0</v>
      </c>
      <c r="F1981" s="1">
        <f>IF(OR(Paths!$C$186=0,C1981=0),0,12-E1981)</f>
        <v>0</v>
      </c>
      <c r="G1981" s="16">
        <f>IF(NOT(Paths!$C$186=1),0,IF(Paths!$P$186="Complete",E1981/12*(Paths!$J$186*(1+'Operating costs'!$B$51)^MAX(0,C1981-1)+Paths!$K$186*(1+'Operating costs'!$B$53)^MAX(0,C1981-1)),"n.a."))</f>
        <v>0</v>
      </c>
      <c r="H1981" s="16">
        <f>IF(NOT(Paths!$C$186=1),0,IF(Paths!$P$186="Complete",F1981/12*(Paths!$L$186*(1+IF(Paths!$D$186="EV",'Operating costs'!$B$52,'Operating costs'!$B$51))^MAX(0,C1981-1)+Paths!$M$186*(1+'Operating costs'!$B$53)^MAX(0,C1981-1)),"n.a."))</f>
        <v>0</v>
      </c>
      <c r="I1981" s="16">
        <f>IF(NOT(Paths!$C$186=1),0,IF(Paths!$P$186="Complete",IF(IF(Paths!$E$186=0,C1981=0,AND(C1981&gt;0,Paths!$E$186&gt;(C1981-1)*12,Paths!$E$186&lt;=C1981*12)),Paths!$G$186,0),"n.a."))</f>
        <v>0</v>
      </c>
      <c r="J1981" s="16">
        <f>IF(NOT(Paths!$C$186=1),0,IF(Paths!$P$186="Complete",IF(IF(Paths!$E$186=0,C1981=0,AND(C1981&gt;0,Paths!$E$186&gt;(C1981-1)*12,Paths!$E$186&lt;=C1981*12)),Paths!$H$186,0),"n.a."))</f>
        <v>0</v>
      </c>
      <c r="K1981" s="16">
        <f>IF(NOT(Paths!$C$186=1),0,IF(Paths!$P$186="Complete",IF(IF(Paths!$O$186=0,C1981=0,AND(C1981&gt;0,Paths!$O$186&gt;(C1981-1)*12,Paths!$O$186&lt;=C1981*12)),Paths!$N$186,0),"n.a."))</f>
        <v>0</v>
      </c>
      <c r="L1981" s="16">
        <f>IF(NOT(Paths!$C$186=1),0,IF(Paths!$P$186="Complete",IF(C1981=10,Paths!$I$186,0),"n.a."))</f>
        <v>0</v>
      </c>
      <c r="M1981" s="16">
        <f>IF(NOT(Paths!$C$186=1),0,IF(Paths!$P$186="Complete",IF(AND(Paths!$D$186="EV",Paths!$E$186&lt;120,Paths!$E$186+'Operating costs'!$B$65&gt;Paths!$E$186,Paths!$E$186+'Operating costs'!$B$65&lt;=120,IF(Paths!$E$186+'Operating costs'!$B$65=0,C1981=0,AND(C1981&gt;0,Paths!$E$186+'Operating costs'!$B$65&gt;(C1981-1)*12,Paths!$E$186+'Operating costs'!$B$65&lt;=C1981*12))),'Operating costs'!$B$64,0)+IF(AND('Operating costs'!$B$67&gt;0,'Operating costs'!$B$67&lt;=120,OR(Paths!$D$186="ICE",'Operating costs'!$B$67&lt;=Paths!$E$186),IF('Operating costs'!$B$67=0,C1981=0,AND(C1981&gt;0,'Operating costs'!$B$67&gt;(C1981-1)*12,'Operating costs'!$B$67&lt;=C1981*12))),'Operating costs'!$B$66,0),"n.a."))</f>
        <v>0</v>
      </c>
      <c r="N1981" s="16">
        <f>IF(NOT(Paths!$C$186=1),0,IF(Paths!$P$186="Complete",SUM(G1981:I1981)-J1981-K1981-L1981+M1981+IF(C1981=0,Paths!$F$186,0)+IF(IF(Paths!$E$186=0,C1981=0,AND(C1981&gt;0,Paths!$E$186&gt;(C1981-1)*12,Paths!$E$186&lt;=C1981*12)),VLOOKUP(A1981,'Fleet register'!$A$7:$S$106,16,FALSE),0),"n.a."))</f>
        <v>0</v>
      </c>
      <c r="O1981" s="16">
        <f>IF(NOT(Paths!$C$186=1),0,IF(Paths!$P$186="Complete",N1981-IF(C1981=0,Paths!$F$186,0),"n.a."))</f>
        <v>0</v>
      </c>
      <c r="P1981" s="16">
        <f>IF(NOT(Paths!$C$186=1),0,IF(Paths!$P$186="Complete",O1981+L1981,"n.a."))</f>
        <v>0</v>
      </c>
      <c r="Q1981" s="16">
        <f>IF(NOT(Paths!$C$186=1),0,IF(Paths!$P$186="Complete",N1981*(1+'Operating costs'!$B$54)^-C1981,"n.a."))</f>
        <v>0</v>
      </c>
      <c r="R1981" s="16">
        <f>IF(NOT(Paths!$C$186=1),0,IF(Paths!$P$186="Complete",IF(AND(C1981=0,Paths!$E$186=0),I1981-J1981-K1981+VLOOKUP(A1981,'Fleet register'!$A$7:$S$106,15,FALSE)+VLOOKUP(A1981,'Fleet register'!$A$7:$S$106,16,FALSE),0),"n.a."))</f>
        <v>0</v>
      </c>
      <c r="S1981" s="1">
        <f>IF(NOT(Paths!$C$186=1),0,IF(Paths!$P$186="Complete",IF(C1981=0,0,Paths!$S$186*Paths!$R$186),"n.a."))</f>
        <v>0</v>
      </c>
      <c r="T1981" s="1">
        <f>IF(NOT(Paths!$C$186=1),0,IF(Paths!$P$186="Complete",IF(C1981=0,0,VLOOKUP(A1981,'Fleet register'!$A$7:$S$106,9,FALSE)*Paths!$R$186),"n.a."))</f>
        <v>0</v>
      </c>
    </row>
    <row r="1982" spans="1:20" ht="24" customHeight="1">
      <c r="A1982" s="1" t="str">
        <f>Paths!$A$186</f>
        <v>T045</v>
      </c>
      <c r="B1982" s="1">
        <f>Paths!$B$186</f>
        <v>3</v>
      </c>
      <c r="C1982" s="1">
        <v>6</v>
      </c>
      <c r="D1982" s="1">
        <v>186</v>
      </c>
      <c r="E1982" s="1">
        <f>IF(OR(Paths!$C$186=0,C1982=0),0,MAX(0,MIN(C1982*12,Paths!$E$186)-(C1982-1)*12))</f>
        <v>0</v>
      </c>
      <c r="F1982" s="1">
        <f>IF(OR(Paths!$C$186=0,C1982=0),0,12-E1982)</f>
        <v>0</v>
      </c>
      <c r="G1982" s="16">
        <f>IF(NOT(Paths!$C$186=1),0,IF(Paths!$P$186="Complete",E1982/12*(Paths!$J$186*(1+'Operating costs'!$B$51)^MAX(0,C1982-1)+Paths!$K$186*(1+'Operating costs'!$B$53)^MAX(0,C1982-1)),"n.a."))</f>
        <v>0</v>
      </c>
      <c r="H1982" s="16">
        <f>IF(NOT(Paths!$C$186=1),0,IF(Paths!$P$186="Complete",F1982/12*(Paths!$L$186*(1+IF(Paths!$D$186="EV",'Operating costs'!$B$52,'Operating costs'!$B$51))^MAX(0,C1982-1)+Paths!$M$186*(1+'Operating costs'!$B$53)^MAX(0,C1982-1)),"n.a."))</f>
        <v>0</v>
      </c>
      <c r="I1982" s="16">
        <f>IF(NOT(Paths!$C$186=1),0,IF(Paths!$P$186="Complete",IF(IF(Paths!$E$186=0,C1982=0,AND(C1982&gt;0,Paths!$E$186&gt;(C1982-1)*12,Paths!$E$186&lt;=C1982*12)),Paths!$G$186,0),"n.a."))</f>
        <v>0</v>
      </c>
      <c r="J1982" s="16">
        <f>IF(NOT(Paths!$C$186=1),0,IF(Paths!$P$186="Complete",IF(IF(Paths!$E$186=0,C1982=0,AND(C1982&gt;0,Paths!$E$186&gt;(C1982-1)*12,Paths!$E$186&lt;=C1982*12)),Paths!$H$186,0),"n.a."))</f>
        <v>0</v>
      </c>
      <c r="K1982" s="16">
        <f>IF(NOT(Paths!$C$186=1),0,IF(Paths!$P$186="Complete",IF(IF(Paths!$O$186=0,C1982=0,AND(C1982&gt;0,Paths!$O$186&gt;(C1982-1)*12,Paths!$O$186&lt;=C1982*12)),Paths!$N$186,0),"n.a."))</f>
        <v>0</v>
      </c>
      <c r="L1982" s="16">
        <f>IF(NOT(Paths!$C$186=1),0,IF(Paths!$P$186="Complete",IF(C1982=10,Paths!$I$186,0),"n.a."))</f>
        <v>0</v>
      </c>
      <c r="M1982" s="16">
        <f>IF(NOT(Paths!$C$186=1),0,IF(Paths!$P$186="Complete",IF(AND(Paths!$D$186="EV",Paths!$E$186&lt;120,Paths!$E$186+'Operating costs'!$B$65&gt;Paths!$E$186,Paths!$E$186+'Operating costs'!$B$65&lt;=120,IF(Paths!$E$186+'Operating costs'!$B$65=0,C1982=0,AND(C1982&gt;0,Paths!$E$186+'Operating costs'!$B$65&gt;(C1982-1)*12,Paths!$E$186+'Operating costs'!$B$65&lt;=C1982*12))),'Operating costs'!$B$64,0)+IF(AND('Operating costs'!$B$67&gt;0,'Operating costs'!$B$67&lt;=120,OR(Paths!$D$186="ICE",'Operating costs'!$B$67&lt;=Paths!$E$186),IF('Operating costs'!$B$67=0,C1982=0,AND(C1982&gt;0,'Operating costs'!$B$67&gt;(C1982-1)*12,'Operating costs'!$B$67&lt;=C1982*12))),'Operating costs'!$B$66,0),"n.a."))</f>
        <v>0</v>
      </c>
      <c r="N1982" s="16">
        <f>IF(NOT(Paths!$C$186=1),0,IF(Paths!$P$186="Complete",SUM(G1982:I1982)-J1982-K1982-L1982+M1982+IF(C1982=0,Paths!$F$186,0)+IF(IF(Paths!$E$186=0,C1982=0,AND(C1982&gt;0,Paths!$E$186&gt;(C1982-1)*12,Paths!$E$186&lt;=C1982*12)),VLOOKUP(A1982,'Fleet register'!$A$7:$S$106,16,FALSE),0),"n.a."))</f>
        <v>0</v>
      </c>
      <c r="O1982" s="16">
        <f>IF(NOT(Paths!$C$186=1),0,IF(Paths!$P$186="Complete",N1982-IF(C1982=0,Paths!$F$186,0),"n.a."))</f>
        <v>0</v>
      </c>
      <c r="P1982" s="16">
        <f>IF(NOT(Paths!$C$186=1),0,IF(Paths!$P$186="Complete",O1982+L1982,"n.a."))</f>
        <v>0</v>
      </c>
      <c r="Q1982" s="16">
        <f>IF(NOT(Paths!$C$186=1),0,IF(Paths!$P$186="Complete",N1982*(1+'Operating costs'!$B$54)^-C1982,"n.a."))</f>
        <v>0</v>
      </c>
      <c r="R1982" s="16">
        <f>IF(NOT(Paths!$C$186=1),0,IF(Paths!$P$186="Complete",IF(AND(C1982=0,Paths!$E$186=0),I1982-J1982-K1982+VLOOKUP(A1982,'Fleet register'!$A$7:$S$106,15,FALSE)+VLOOKUP(A1982,'Fleet register'!$A$7:$S$106,16,FALSE),0),"n.a."))</f>
        <v>0</v>
      </c>
      <c r="S1982" s="1">
        <f>IF(NOT(Paths!$C$186=1),0,IF(Paths!$P$186="Complete",IF(C1982=0,0,Paths!$S$186*Paths!$R$186),"n.a."))</f>
        <v>0</v>
      </c>
      <c r="T1982" s="1">
        <f>IF(NOT(Paths!$C$186=1),0,IF(Paths!$P$186="Complete",IF(C1982=0,0,VLOOKUP(A1982,'Fleet register'!$A$7:$S$106,9,FALSE)*Paths!$R$186),"n.a."))</f>
        <v>0</v>
      </c>
    </row>
    <row r="1983" spans="1:20" ht="24" customHeight="1">
      <c r="A1983" s="1" t="str">
        <f>Paths!$A$186</f>
        <v>T045</v>
      </c>
      <c r="B1983" s="1">
        <f>Paths!$B$186</f>
        <v>3</v>
      </c>
      <c r="C1983" s="1">
        <v>7</v>
      </c>
      <c r="D1983" s="1">
        <v>186</v>
      </c>
      <c r="E1983" s="1">
        <f>IF(OR(Paths!$C$186=0,C1983=0),0,MAX(0,MIN(C1983*12,Paths!$E$186)-(C1983-1)*12))</f>
        <v>0</v>
      </c>
      <c r="F1983" s="1">
        <f>IF(OR(Paths!$C$186=0,C1983=0),0,12-E1983)</f>
        <v>0</v>
      </c>
      <c r="G1983" s="16">
        <f>IF(NOT(Paths!$C$186=1),0,IF(Paths!$P$186="Complete",E1983/12*(Paths!$J$186*(1+'Operating costs'!$B$51)^MAX(0,C1983-1)+Paths!$K$186*(1+'Operating costs'!$B$53)^MAX(0,C1983-1)),"n.a."))</f>
        <v>0</v>
      </c>
      <c r="H1983" s="16">
        <f>IF(NOT(Paths!$C$186=1),0,IF(Paths!$P$186="Complete",F1983/12*(Paths!$L$186*(1+IF(Paths!$D$186="EV",'Operating costs'!$B$52,'Operating costs'!$B$51))^MAX(0,C1983-1)+Paths!$M$186*(1+'Operating costs'!$B$53)^MAX(0,C1983-1)),"n.a."))</f>
        <v>0</v>
      </c>
      <c r="I1983" s="16">
        <f>IF(NOT(Paths!$C$186=1),0,IF(Paths!$P$186="Complete",IF(IF(Paths!$E$186=0,C1983=0,AND(C1983&gt;0,Paths!$E$186&gt;(C1983-1)*12,Paths!$E$186&lt;=C1983*12)),Paths!$G$186,0),"n.a."))</f>
        <v>0</v>
      </c>
      <c r="J1983" s="16">
        <f>IF(NOT(Paths!$C$186=1),0,IF(Paths!$P$186="Complete",IF(IF(Paths!$E$186=0,C1983=0,AND(C1983&gt;0,Paths!$E$186&gt;(C1983-1)*12,Paths!$E$186&lt;=C1983*12)),Paths!$H$186,0),"n.a."))</f>
        <v>0</v>
      </c>
      <c r="K1983" s="16">
        <f>IF(NOT(Paths!$C$186=1),0,IF(Paths!$P$186="Complete",IF(IF(Paths!$O$186=0,C1983=0,AND(C1983&gt;0,Paths!$O$186&gt;(C1983-1)*12,Paths!$O$186&lt;=C1983*12)),Paths!$N$186,0),"n.a."))</f>
        <v>0</v>
      </c>
      <c r="L1983" s="16">
        <f>IF(NOT(Paths!$C$186=1),0,IF(Paths!$P$186="Complete",IF(C1983=10,Paths!$I$186,0),"n.a."))</f>
        <v>0</v>
      </c>
      <c r="M1983" s="16">
        <f>IF(NOT(Paths!$C$186=1),0,IF(Paths!$P$186="Complete",IF(AND(Paths!$D$186="EV",Paths!$E$186&lt;120,Paths!$E$186+'Operating costs'!$B$65&gt;Paths!$E$186,Paths!$E$186+'Operating costs'!$B$65&lt;=120,IF(Paths!$E$186+'Operating costs'!$B$65=0,C1983=0,AND(C1983&gt;0,Paths!$E$186+'Operating costs'!$B$65&gt;(C1983-1)*12,Paths!$E$186+'Operating costs'!$B$65&lt;=C1983*12))),'Operating costs'!$B$64,0)+IF(AND('Operating costs'!$B$67&gt;0,'Operating costs'!$B$67&lt;=120,OR(Paths!$D$186="ICE",'Operating costs'!$B$67&lt;=Paths!$E$186),IF('Operating costs'!$B$67=0,C1983=0,AND(C1983&gt;0,'Operating costs'!$B$67&gt;(C1983-1)*12,'Operating costs'!$B$67&lt;=C1983*12))),'Operating costs'!$B$66,0),"n.a."))</f>
        <v>0</v>
      </c>
      <c r="N1983" s="16">
        <f>IF(NOT(Paths!$C$186=1),0,IF(Paths!$P$186="Complete",SUM(G1983:I1983)-J1983-K1983-L1983+M1983+IF(C1983=0,Paths!$F$186,0)+IF(IF(Paths!$E$186=0,C1983=0,AND(C1983&gt;0,Paths!$E$186&gt;(C1983-1)*12,Paths!$E$186&lt;=C1983*12)),VLOOKUP(A1983,'Fleet register'!$A$7:$S$106,16,FALSE),0),"n.a."))</f>
        <v>0</v>
      </c>
      <c r="O1983" s="16">
        <f>IF(NOT(Paths!$C$186=1),0,IF(Paths!$P$186="Complete",N1983-IF(C1983=0,Paths!$F$186,0),"n.a."))</f>
        <v>0</v>
      </c>
      <c r="P1983" s="16">
        <f>IF(NOT(Paths!$C$186=1),0,IF(Paths!$P$186="Complete",O1983+L1983,"n.a."))</f>
        <v>0</v>
      </c>
      <c r="Q1983" s="16">
        <f>IF(NOT(Paths!$C$186=1),0,IF(Paths!$P$186="Complete",N1983*(1+'Operating costs'!$B$54)^-C1983,"n.a."))</f>
        <v>0</v>
      </c>
      <c r="R1983" s="16">
        <f>IF(NOT(Paths!$C$186=1),0,IF(Paths!$P$186="Complete",IF(AND(C1983=0,Paths!$E$186=0),I1983-J1983-K1983+VLOOKUP(A1983,'Fleet register'!$A$7:$S$106,15,FALSE)+VLOOKUP(A1983,'Fleet register'!$A$7:$S$106,16,FALSE),0),"n.a."))</f>
        <v>0</v>
      </c>
      <c r="S1983" s="1">
        <f>IF(NOT(Paths!$C$186=1),0,IF(Paths!$P$186="Complete",IF(C1983=0,0,Paths!$S$186*Paths!$R$186),"n.a."))</f>
        <v>0</v>
      </c>
      <c r="T1983" s="1">
        <f>IF(NOT(Paths!$C$186=1),0,IF(Paths!$P$186="Complete",IF(C1983=0,0,VLOOKUP(A1983,'Fleet register'!$A$7:$S$106,9,FALSE)*Paths!$R$186),"n.a."))</f>
        <v>0</v>
      </c>
    </row>
    <row r="1984" spans="1:20" ht="24" customHeight="1">
      <c r="A1984" s="1" t="str">
        <f>Paths!$A$186</f>
        <v>T045</v>
      </c>
      <c r="B1984" s="1">
        <f>Paths!$B$186</f>
        <v>3</v>
      </c>
      <c r="C1984" s="1">
        <v>8</v>
      </c>
      <c r="D1984" s="1">
        <v>186</v>
      </c>
      <c r="E1984" s="1">
        <f>IF(OR(Paths!$C$186=0,C1984=0),0,MAX(0,MIN(C1984*12,Paths!$E$186)-(C1984-1)*12))</f>
        <v>0</v>
      </c>
      <c r="F1984" s="1">
        <f>IF(OR(Paths!$C$186=0,C1984=0),0,12-E1984)</f>
        <v>0</v>
      </c>
      <c r="G1984" s="16">
        <f>IF(NOT(Paths!$C$186=1),0,IF(Paths!$P$186="Complete",E1984/12*(Paths!$J$186*(1+'Operating costs'!$B$51)^MAX(0,C1984-1)+Paths!$K$186*(1+'Operating costs'!$B$53)^MAX(0,C1984-1)),"n.a."))</f>
        <v>0</v>
      </c>
      <c r="H1984" s="16">
        <f>IF(NOT(Paths!$C$186=1),0,IF(Paths!$P$186="Complete",F1984/12*(Paths!$L$186*(1+IF(Paths!$D$186="EV",'Operating costs'!$B$52,'Operating costs'!$B$51))^MAX(0,C1984-1)+Paths!$M$186*(1+'Operating costs'!$B$53)^MAX(0,C1984-1)),"n.a."))</f>
        <v>0</v>
      </c>
      <c r="I1984" s="16">
        <f>IF(NOT(Paths!$C$186=1),0,IF(Paths!$P$186="Complete",IF(IF(Paths!$E$186=0,C1984=0,AND(C1984&gt;0,Paths!$E$186&gt;(C1984-1)*12,Paths!$E$186&lt;=C1984*12)),Paths!$G$186,0),"n.a."))</f>
        <v>0</v>
      </c>
      <c r="J1984" s="16">
        <f>IF(NOT(Paths!$C$186=1),0,IF(Paths!$P$186="Complete",IF(IF(Paths!$E$186=0,C1984=0,AND(C1984&gt;0,Paths!$E$186&gt;(C1984-1)*12,Paths!$E$186&lt;=C1984*12)),Paths!$H$186,0),"n.a."))</f>
        <v>0</v>
      </c>
      <c r="K1984" s="16">
        <f>IF(NOT(Paths!$C$186=1),0,IF(Paths!$P$186="Complete",IF(IF(Paths!$O$186=0,C1984=0,AND(C1984&gt;0,Paths!$O$186&gt;(C1984-1)*12,Paths!$O$186&lt;=C1984*12)),Paths!$N$186,0),"n.a."))</f>
        <v>0</v>
      </c>
      <c r="L1984" s="16">
        <f>IF(NOT(Paths!$C$186=1),0,IF(Paths!$P$186="Complete",IF(C1984=10,Paths!$I$186,0),"n.a."))</f>
        <v>0</v>
      </c>
      <c r="M1984" s="16">
        <f>IF(NOT(Paths!$C$186=1),0,IF(Paths!$P$186="Complete",IF(AND(Paths!$D$186="EV",Paths!$E$186&lt;120,Paths!$E$186+'Operating costs'!$B$65&gt;Paths!$E$186,Paths!$E$186+'Operating costs'!$B$65&lt;=120,IF(Paths!$E$186+'Operating costs'!$B$65=0,C1984=0,AND(C1984&gt;0,Paths!$E$186+'Operating costs'!$B$65&gt;(C1984-1)*12,Paths!$E$186+'Operating costs'!$B$65&lt;=C1984*12))),'Operating costs'!$B$64,0)+IF(AND('Operating costs'!$B$67&gt;0,'Operating costs'!$B$67&lt;=120,OR(Paths!$D$186="ICE",'Operating costs'!$B$67&lt;=Paths!$E$186),IF('Operating costs'!$B$67=0,C1984=0,AND(C1984&gt;0,'Operating costs'!$B$67&gt;(C1984-1)*12,'Operating costs'!$B$67&lt;=C1984*12))),'Operating costs'!$B$66,0),"n.a."))</f>
        <v>0</v>
      </c>
      <c r="N1984" s="16">
        <f>IF(NOT(Paths!$C$186=1),0,IF(Paths!$P$186="Complete",SUM(G1984:I1984)-J1984-K1984-L1984+M1984+IF(C1984=0,Paths!$F$186,0)+IF(IF(Paths!$E$186=0,C1984=0,AND(C1984&gt;0,Paths!$E$186&gt;(C1984-1)*12,Paths!$E$186&lt;=C1984*12)),VLOOKUP(A1984,'Fleet register'!$A$7:$S$106,16,FALSE),0),"n.a."))</f>
        <v>0</v>
      </c>
      <c r="O1984" s="16">
        <f>IF(NOT(Paths!$C$186=1),0,IF(Paths!$P$186="Complete",N1984-IF(C1984=0,Paths!$F$186,0),"n.a."))</f>
        <v>0</v>
      </c>
      <c r="P1984" s="16">
        <f>IF(NOT(Paths!$C$186=1),0,IF(Paths!$P$186="Complete",O1984+L1984,"n.a."))</f>
        <v>0</v>
      </c>
      <c r="Q1984" s="16">
        <f>IF(NOT(Paths!$C$186=1),0,IF(Paths!$P$186="Complete",N1984*(1+'Operating costs'!$B$54)^-C1984,"n.a."))</f>
        <v>0</v>
      </c>
      <c r="R1984" s="16">
        <f>IF(NOT(Paths!$C$186=1),0,IF(Paths!$P$186="Complete",IF(AND(C1984=0,Paths!$E$186=0),I1984-J1984-K1984+VLOOKUP(A1984,'Fleet register'!$A$7:$S$106,15,FALSE)+VLOOKUP(A1984,'Fleet register'!$A$7:$S$106,16,FALSE),0),"n.a."))</f>
        <v>0</v>
      </c>
      <c r="S1984" s="1">
        <f>IF(NOT(Paths!$C$186=1),0,IF(Paths!$P$186="Complete",IF(C1984=0,0,Paths!$S$186*Paths!$R$186),"n.a."))</f>
        <v>0</v>
      </c>
      <c r="T1984" s="1">
        <f>IF(NOT(Paths!$C$186=1),0,IF(Paths!$P$186="Complete",IF(C1984=0,0,VLOOKUP(A1984,'Fleet register'!$A$7:$S$106,9,FALSE)*Paths!$R$186),"n.a."))</f>
        <v>0</v>
      </c>
    </row>
    <row r="1985" spans="1:20" ht="24" customHeight="1">
      <c r="A1985" s="1" t="str">
        <f>Paths!$A$186</f>
        <v>T045</v>
      </c>
      <c r="B1985" s="1">
        <f>Paths!$B$186</f>
        <v>3</v>
      </c>
      <c r="C1985" s="1">
        <v>9</v>
      </c>
      <c r="D1985" s="1">
        <v>186</v>
      </c>
      <c r="E1985" s="1">
        <f>IF(OR(Paths!$C$186=0,C1985=0),0,MAX(0,MIN(C1985*12,Paths!$E$186)-(C1985-1)*12))</f>
        <v>0</v>
      </c>
      <c r="F1985" s="1">
        <f>IF(OR(Paths!$C$186=0,C1985=0),0,12-E1985)</f>
        <v>0</v>
      </c>
      <c r="G1985" s="16">
        <f>IF(NOT(Paths!$C$186=1),0,IF(Paths!$P$186="Complete",E1985/12*(Paths!$J$186*(1+'Operating costs'!$B$51)^MAX(0,C1985-1)+Paths!$K$186*(1+'Operating costs'!$B$53)^MAX(0,C1985-1)),"n.a."))</f>
        <v>0</v>
      </c>
      <c r="H1985" s="16">
        <f>IF(NOT(Paths!$C$186=1),0,IF(Paths!$P$186="Complete",F1985/12*(Paths!$L$186*(1+IF(Paths!$D$186="EV",'Operating costs'!$B$52,'Operating costs'!$B$51))^MAX(0,C1985-1)+Paths!$M$186*(1+'Operating costs'!$B$53)^MAX(0,C1985-1)),"n.a."))</f>
        <v>0</v>
      </c>
      <c r="I1985" s="16">
        <f>IF(NOT(Paths!$C$186=1),0,IF(Paths!$P$186="Complete",IF(IF(Paths!$E$186=0,C1985=0,AND(C1985&gt;0,Paths!$E$186&gt;(C1985-1)*12,Paths!$E$186&lt;=C1985*12)),Paths!$G$186,0),"n.a."))</f>
        <v>0</v>
      </c>
      <c r="J1985" s="16">
        <f>IF(NOT(Paths!$C$186=1),0,IF(Paths!$P$186="Complete",IF(IF(Paths!$E$186=0,C1985=0,AND(C1985&gt;0,Paths!$E$186&gt;(C1985-1)*12,Paths!$E$186&lt;=C1985*12)),Paths!$H$186,0),"n.a."))</f>
        <v>0</v>
      </c>
      <c r="K1985" s="16">
        <f>IF(NOT(Paths!$C$186=1),0,IF(Paths!$P$186="Complete",IF(IF(Paths!$O$186=0,C1985=0,AND(C1985&gt;0,Paths!$O$186&gt;(C1985-1)*12,Paths!$O$186&lt;=C1985*12)),Paths!$N$186,0),"n.a."))</f>
        <v>0</v>
      </c>
      <c r="L1985" s="16">
        <f>IF(NOT(Paths!$C$186=1),0,IF(Paths!$P$186="Complete",IF(C1985=10,Paths!$I$186,0),"n.a."))</f>
        <v>0</v>
      </c>
      <c r="M1985" s="16">
        <f>IF(NOT(Paths!$C$186=1),0,IF(Paths!$P$186="Complete",IF(AND(Paths!$D$186="EV",Paths!$E$186&lt;120,Paths!$E$186+'Operating costs'!$B$65&gt;Paths!$E$186,Paths!$E$186+'Operating costs'!$B$65&lt;=120,IF(Paths!$E$186+'Operating costs'!$B$65=0,C1985=0,AND(C1985&gt;0,Paths!$E$186+'Operating costs'!$B$65&gt;(C1985-1)*12,Paths!$E$186+'Operating costs'!$B$65&lt;=C1985*12))),'Operating costs'!$B$64,0)+IF(AND('Operating costs'!$B$67&gt;0,'Operating costs'!$B$67&lt;=120,OR(Paths!$D$186="ICE",'Operating costs'!$B$67&lt;=Paths!$E$186),IF('Operating costs'!$B$67=0,C1985=0,AND(C1985&gt;0,'Operating costs'!$B$67&gt;(C1985-1)*12,'Operating costs'!$B$67&lt;=C1985*12))),'Operating costs'!$B$66,0),"n.a."))</f>
        <v>0</v>
      </c>
      <c r="N1985" s="16">
        <f>IF(NOT(Paths!$C$186=1),0,IF(Paths!$P$186="Complete",SUM(G1985:I1985)-J1985-K1985-L1985+M1985+IF(C1985=0,Paths!$F$186,0)+IF(IF(Paths!$E$186=0,C1985=0,AND(C1985&gt;0,Paths!$E$186&gt;(C1985-1)*12,Paths!$E$186&lt;=C1985*12)),VLOOKUP(A1985,'Fleet register'!$A$7:$S$106,16,FALSE),0),"n.a."))</f>
        <v>0</v>
      </c>
      <c r="O1985" s="16">
        <f>IF(NOT(Paths!$C$186=1),0,IF(Paths!$P$186="Complete",N1985-IF(C1985=0,Paths!$F$186,0),"n.a."))</f>
        <v>0</v>
      </c>
      <c r="P1985" s="16">
        <f>IF(NOT(Paths!$C$186=1),0,IF(Paths!$P$186="Complete",O1985+L1985,"n.a."))</f>
        <v>0</v>
      </c>
      <c r="Q1985" s="16">
        <f>IF(NOT(Paths!$C$186=1),0,IF(Paths!$P$186="Complete",N1985*(1+'Operating costs'!$B$54)^-C1985,"n.a."))</f>
        <v>0</v>
      </c>
      <c r="R1985" s="16">
        <f>IF(NOT(Paths!$C$186=1),0,IF(Paths!$P$186="Complete",IF(AND(C1985=0,Paths!$E$186=0),I1985-J1985-K1985+VLOOKUP(A1985,'Fleet register'!$A$7:$S$106,15,FALSE)+VLOOKUP(A1985,'Fleet register'!$A$7:$S$106,16,FALSE),0),"n.a."))</f>
        <v>0</v>
      </c>
      <c r="S1985" s="1">
        <f>IF(NOT(Paths!$C$186=1),0,IF(Paths!$P$186="Complete",IF(C1985=0,0,Paths!$S$186*Paths!$R$186),"n.a."))</f>
        <v>0</v>
      </c>
      <c r="T1985" s="1">
        <f>IF(NOT(Paths!$C$186=1),0,IF(Paths!$P$186="Complete",IF(C1985=0,0,VLOOKUP(A1985,'Fleet register'!$A$7:$S$106,9,FALSE)*Paths!$R$186),"n.a."))</f>
        <v>0</v>
      </c>
    </row>
    <row r="1986" spans="1:20" ht="24" customHeight="1">
      <c r="A1986" s="1" t="str">
        <f>Paths!$A$186</f>
        <v>T045</v>
      </c>
      <c r="B1986" s="1">
        <f>Paths!$B$186</f>
        <v>3</v>
      </c>
      <c r="C1986" s="1">
        <v>10</v>
      </c>
      <c r="D1986" s="1">
        <v>186</v>
      </c>
      <c r="E1986" s="1">
        <f>IF(OR(Paths!$C$186=0,C1986=0),0,MAX(0,MIN(C1986*12,Paths!$E$186)-(C1986-1)*12))</f>
        <v>0</v>
      </c>
      <c r="F1986" s="1">
        <f>IF(OR(Paths!$C$186=0,C1986=0),0,12-E1986)</f>
        <v>0</v>
      </c>
      <c r="G1986" s="16">
        <f>IF(NOT(Paths!$C$186=1),0,IF(Paths!$P$186="Complete",E1986/12*(Paths!$J$186*(1+'Operating costs'!$B$51)^MAX(0,C1986-1)+Paths!$K$186*(1+'Operating costs'!$B$53)^MAX(0,C1986-1)),"n.a."))</f>
        <v>0</v>
      </c>
      <c r="H1986" s="16">
        <f>IF(NOT(Paths!$C$186=1),0,IF(Paths!$P$186="Complete",F1986/12*(Paths!$L$186*(1+IF(Paths!$D$186="EV",'Operating costs'!$B$52,'Operating costs'!$B$51))^MAX(0,C1986-1)+Paths!$M$186*(1+'Operating costs'!$B$53)^MAX(0,C1986-1)),"n.a."))</f>
        <v>0</v>
      </c>
      <c r="I1986" s="16">
        <f>IF(NOT(Paths!$C$186=1),0,IF(Paths!$P$186="Complete",IF(IF(Paths!$E$186=0,C1986=0,AND(C1986&gt;0,Paths!$E$186&gt;(C1986-1)*12,Paths!$E$186&lt;=C1986*12)),Paths!$G$186,0),"n.a."))</f>
        <v>0</v>
      </c>
      <c r="J1986" s="16">
        <f>IF(NOT(Paths!$C$186=1),0,IF(Paths!$P$186="Complete",IF(IF(Paths!$E$186=0,C1986=0,AND(C1986&gt;0,Paths!$E$186&gt;(C1986-1)*12,Paths!$E$186&lt;=C1986*12)),Paths!$H$186,0),"n.a."))</f>
        <v>0</v>
      </c>
      <c r="K1986" s="16">
        <f>IF(NOT(Paths!$C$186=1),0,IF(Paths!$P$186="Complete",IF(IF(Paths!$O$186=0,C1986=0,AND(C1986&gt;0,Paths!$O$186&gt;(C1986-1)*12,Paths!$O$186&lt;=C1986*12)),Paths!$N$186,0),"n.a."))</f>
        <v>0</v>
      </c>
      <c r="L1986" s="16">
        <f>IF(NOT(Paths!$C$186=1),0,IF(Paths!$P$186="Complete",IF(C1986=10,Paths!$I$186,0),"n.a."))</f>
        <v>0</v>
      </c>
      <c r="M1986" s="16">
        <f>IF(NOT(Paths!$C$186=1),0,IF(Paths!$P$186="Complete",IF(AND(Paths!$D$186="EV",Paths!$E$186&lt;120,Paths!$E$186+'Operating costs'!$B$65&gt;Paths!$E$186,Paths!$E$186+'Operating costs'!$B$65&lt;=120,IF(Paths!$E$186+'Operating costs'!$B$65=0,C1986=0,AND(C1986&gt;0,Paths!$E$186+'Operating costs'!$B$65&gt;(C1986-1)*12,Paths!$E$186+'Operating costs'!$B$65&lt;=C1986*12))),'Operating costs'!$B$64,0)+IF(AND('Operating costs'!$B$67&gt;0,'Operating costs'!$B$67&lt;=120,OR(Paths!$D$186="ICE",'Operating costs'!$B$67&lt;=Paths!$E$186),IF('Operating costs'!$B$67=0,C1986=0,AND(C1986&gt;0,'Operating costs'!$B$67&gt;(C1986-1)*12,'Operating costs'!$B$67&lt;=C1986*12))),'Operating costs'!$B$66,0),"n.a."))</f>
        <v>0</v>
      </c>
      <c r="N1986" s="16">
        <f>IF(NOT(Paths!$C$186=1),0,IF(Paths!$P$186="Complete",SUM(G1986:I1986)-J1986-K1986-L1986+M1986+IF(C1986=0,Paths!$F$186,0)+IF(IF(Paths!$E$186=0,C1986=0,AND(C1986&gt;0,Paths!$E$186&gt;(C1986-1)*12,Paths!$E$186&lt;=C1986*12)),VLOOKUP(A1986,'Fleet register'!$A$7:$S$106,16,FALSE),0),"n.a."))</f>
        <v>0</v>
      </c>
      <c r="O1986" s="16">
        <f>IF(NOT(Paths!$C$186=1),0,IF(Paths!$P$186="Complete",N1986-IF(C1986=0,Paths!$F$186,0),"n.a."))</f>
        <v>0</v>
      </c>
      <c r="P1986" s="16">
        <f>IF(NOT(Paths!$C$186=1),0,IF(Paths!$P$186="Complete",O1986+L1986,"n.a."))</f>
        <v>0</v>
      </c>
      <c r="Q1986" s="16">
        <f>IF(NOT(Paths!$C$186=1),0,IF(Paths!$P$186="Complete",N1986*(1+'Operating costs'!$B$54)^-C1986,"n.a."))</f>
        <v>0</v>
      </c>
      <c r="R1986" s="16">
        <f>IF(NOT(Paths!$C$186=1),0,IF(Paths!$P$186="Complete",IF(AND(C1986=0,Paths!$E$186=0),I1986-J1986-K1986+VLOOKUP(A1986,'Fleet register'!$A$7:$S$106,15,FALSE)+VLOOKUP(A1986,'Fleet register'!$A$7:$S$106,16,FALSE),0),"n.a."))</f>
        <v>0</v>
      </c>
      <c r="S1986" s="1">
        <f>IF(NOT(Paths!$C$186=1),0,IF(Paths!$P$186="Complete",IF(C1986=0,0,Paths!$S$186*Paths!$R$186),"n.a."))</f>
        <v>0</v>
      </c>
      <c r="T1986" s="1">
        <f>IF(NOT(Paths!$C$186=1),0,IF(Paths!$P$186="Complete",IF(C1986=0,0,VLOOKUP(A1986,'Fleet register'!$A$7:$S$106,9,FALSE)*Paths!$R$186),"n.a."))</f>
        <v>0</v>
      </c>
    </row>
    <row r="1987" spans="1:20" ht="24" customHeight="1">
      <c r="A1987" s="1" t="str">
        <f>Paths!$A$187</f>
        <v>T046</v>
      </c>
      <c r="B1987" s="1">
        <f>Paths!$B$187</f>
        <v>0</v>
      </c>
      <c r="C1987" s="1">
        <v>0</v>
      </c>
      <c r="D1987" s="1">
        <v>187</v>
      </c>
      <c r="E1987" s="1">
        <f>IF(OR(Paths!$C$187=0,C1987=0),0,MAX(0,MIN(C1987*12,Paths!$E$187)-(C1987-1)*12))</f>
        <v>0</v>
      </c>
      <c r="F1987" s="1">
        <f>IF(OR(Paths!$C$187=0,C1987=0),0,12-E1987)</f>
        <v>0</v>
      </c>
      <c r="G1987" s="16">
        <f>IF(NOT(Paths!$C$187=1),0,IF(Paths!$P$187="Complete",E1987/12*(Paths!$J$187*(1+'Operating costs'!$B$51)^MAX(0,C1987-1)+Paths!$K$187*(1+'Operating costs'!$B$53)^MAX(0,C1987-1)),"n.a."))</f>
        <v>0</v>
      </c>
      <c r="H1987" s="16">
        <f>IF(NOT(Paths!$C$187=1),0,IF(Paths!$P$187="Complete",F1987/12*(Paths!$L$187*(1+IF(Paths!$D$187="EV",'Operating costs'!$B$52,'Operating costs'!$B$51))^MAX(0,C1987-1)+Paths!$M$187*(1+'Operating costs'!$B$53)^MAX(0,C1987-1)),"n.a."))</f>
        <v>0</v>
      </c>
      <c r="I1987" s="16">
        <f>IF(NOT(Paths!$C$187=1),0,IF(Paths!$P$187="Complete",IF(IF(Paths!$E$187=0,C1987=0,AND(C1987&gt;0,Paths!$E$187&gt;(C1987-1)*12,Paths!$E$187&lt;=C1987*12)),Paths!$G$187,0),"n.a."))</f>
        <v>0</v>
      </c>
      <c r="J1987" s="16">
        <f>IF(NOT(Paths!$C$187=1),0,IF(Paths!$P$187="Complete",IF(IF(Paths!$E$187=0,C1987=0,AND(C1987&gt;0,Paths!$E$187&gt;(C1987-1)*12,Paths!$E$187&lt;=C1987*12)),Paths!$H$187,0),"n.a."))</f>
        <v>0</v>
      </c>
      <c r="K1987" s="16">
        <f>IF(NOT(Paths!$C$187=1),0,IF(Paths!$P$187="Complete",IF(IF(Paths!$O$187=0,C1987=0,AND(C1987&gt;0,Paths!$O$187&gt;(C1987-1)*12,Paths!$O$187&lt;=C1987*12)),Paths!$N$187,0),"n.a."))</f>
        <v>0</v>
      </c>
      <c r="L1987" s="16">
        <f>IF(NOT(Paths!$C$187=1),0,IF(Paths!$P$187="Complete",IF(C1987=10,Paths!$I$187,0),"n.a."))</f>
        <v>0</v>
      </c>
      <c r="M1987" s="16">
        <f>IF(NOT(Paths!$C$187=1),0,IF(Paths!$P$187="Complete",IF(AND(Paths!$D$187="EV",Paths!$E$187&lt;120,Paths!$E$187+'Operating costs'!$B$65&gt;Paths!$E$187,Paths!$E$187+'Operating costs'!$B$65&lt;=120,IF(Paths!$E$187+'Operating costs'!$B$65=0,C1987=0,AND(C1987&gt;0,Paths!$E$187+'Operating costs'!$B$65&gt;(C1987-1)*12,Paths!$E$187+'Operating costs'!$B$65&lt;=C1987*12))),'Operating costs'!$B$64,0)+IF(AND('Operating costs'!$B$67&gt;0,'Operating costs'!$B$67&lt;=120,OR(Paths!$D$187="ICE",'Operating costs'!$B$67&lt;=Paths!$E$187),IF('Operating costs'!$B$67=0,C1987=0,AND(C1987&gt;0,'Operating costs'!$B$67&gt;(C1987-1)*12,'Operating costs'!$B$67&lt;=C1987*12))),'Operating costs'!$B$66,0),"n.a."))</f>
        <v>0</v>
      </c>
      <c r="N1987" s="16">
        <f>IF(NOT(Paths!$C$187=1),0,IF(Paths!$P$187="Complete",SUM(G1987:I1987)-J1987-K1987-L1987+M1987+IF(C1987=0,Paths!$F$187,0)+IF(IF(Paths!$E$187=0,C1987=0,AND(C1987&gt;0,Paths!$E$187&gt;(C1987-1)*12,Paths!$E$187&lt;=C1987*12)),VLOOKUP(A1987,'Fleet register'!$A$7:$S$106,16,FALSE),0),"n.a."))</f>
        <v>0</v>
      </c>
      <c r="O1987" s="16">
        <f>IF(NOT(Paths!$C$187=1),0,IF(Paths!$P$187="Complete",N1987-IF(C1987=0,Paths!$F$187,0),"n.a."))</f>
        <v>0</v>
      </c>
      <c r="P1987" s="16">
        <f>IF(NOT(Paths!$C$187=1),0,IF(Paths!$P$187="Complete",O1987+L1987,"n.a."))</f>
        <v>0</v>
      </c>
      <c r="Q1987" s="16">
        <f>IF(NOT(Paths!$C$187=1),0,IF(Paths!$P$187="Complete",N1987*(1+'Operating costs'!$B$54)^-C1987,"n.a."))</f>
        <v>0</v>
      </c>
      <c r="R1987" s="16">
        <f>IF(NOT(Paths!$C$187=1),0,IF(Paths!$P$187="Complete",IF(AND(C1987=0,Paths!$E$187=0),I1987-J1987-K1987+VLOOKUP(A1987,'Fleet register'!$A$7:$S$106,15,FALSE)+VLOOKUP(A1987,'Fleet register'!$A$7:$S$106,16,FALSE),0),"n.a."))</f>
        <v>0</v>
      </c>
      <c r="S1987" s="1">
        <f>IF(NOT(Paths!$C$187=1),0,IF(Paths!$P$187="Complete",IF(C1987=0,0,Paths!$S$187*Paths!$R$187),"n.a."))</f>
        <v>0</v>
      </c>
      <c r="T1987" s="1">
        <f>IF(NOT(Paths!$C$187=1),0,IF(Paths!$P$187="Complete",IF(C1987=0,0,VLOOKUP(A1987,'Fleet register'!$A$7:$S$106,9,FALSE)*Paths!$R$187),"n.a."))</f>
        <v>0</v>
      </c>
    </row>
    <row r="1988" spans="1:20" ht="24" customHeight="1">
      <c r="A1988" s="1" t="str">
        <f>Paths!$A$187</f>
        <v>T046</v>
      </c>
      <c r="B1988" s="1">
        <f>Paths!$B$187</f>
        <v>0</v>
      </c>
      <c r="C1988" s="1">
        <v>1</v>
      </c>
      <c r="D1988" s="1">
        <v>187</v>
      </c>
      <c r="E1988" s="1">
        <f>IF(OR(Paths!$C$187=0,C1988=0),0,MAX(0,MIN(C1988*12,Paths!$E$187)-(C1988-1)*12))</f>
        <v>0</v>
      </c>
      <c r="F1988" s="1">
        <f>IF(OR(Paths!$C$187=0,C1988=0),0,12-E1988)</f>
        <v>0</v>
      </c>
      <c r="G1988" s="16">
        <f>IF(NOT(Paths!$C$187=1),0,IF(Paths!$P$187="Complete",E1988/12*(Paths!$J$187*(1+'Operating costs'!$B$51)^MAX(0,C1988-1)+Paths!$K$187*(1+'Operating costs'!$B$53)^MAX(0,C1988-1)),"n.a."))</f>
        <v>0</v>
      </c>
      <c r="H1988" s="16">
        <f>IF(NOT(Paths!$C$187=1),0,IF(Paths!$P$187="Complete",F1988/12*(Paths!$L$187*(1+IF(Paths!$D$187="EV",'Operating costs'!$B$52,'Operating costs'!$B$51))^MAX(0,C1988-1)+Paths!$M$187*(1+'Operating costs'!$B$53)^MAX(0,C1988-1)),"n.a."))</f>
        <v>0</v>
      </c>
      <c r="I1988" s="16">
        <f>IF(NOT(Paths!$C$187=1),0,IF(Paths!$P$187="Complete",IF(IF(Paths!$E$187=0,C1988=0,AND(C1988&gt;0,Paths!$E$187&gt;(C1988-1)*12,Paths!$E$187&lt;=C1988*12)),Paths!$G$187,0),"n.a."))</f>
        <v>0</v>
      </c>
      <c r="J1988" s="16">
        <f>IF(NOT(Paths!$C$187=1),0,IF(Paths!$P$187="Complete",IF(IF(Paths!$E$187=0,C1988=0,AND(C1988&gt;0,Paths!$E$187&gt;(C1988-1)*12,Paths!$E$187&lt;=C1988*12)),Paths!$H$187,0),"n.a."))</f>
        <v>0</v>
      </c>
      <c r="K1988" s="16">
        <f>IF(NOT(Paths!$C$187=1),0,IF(Paths!$P$187="Complete",IF(IF(Paths!$O$187=0,C1988=0,AND(C1988&gt;0,Paths!$O$187&gt;(C1988-1)*12,Paths!$O$187&lt;=C1988*12)),Paths!$N$187,0),"n.a."))</f>
        <v>0</v>
      </c>
      <c r="L1988" s="16">
        <f>IF(NOT(Paths!$C$187=1),0,IF(Paths!$P$187="Complete",IF(C1988=10,Paths!$I$187,0),"n.a."))</f>
        <v>0</v>
      </c>
      <c r="M1988" s="16">
        <f>IF(NOT(Paths!$C$187=1),0,IF(Paths!$P$187="Complete",IF(AND(Paths!$D$187="EV",Paths!$E$187&lt;120,Paths!$E$187+'Operating costs'!$B$65&gt;Paths!$E$187,Paths!$E$187+'Operating costs'!$B$65&lt;=120,IF(Paths!$E$187+'Operating costs'!$B$65=0,C1988=0,AND(C1988&gt;0,Paths!$E$187+'Operating costs'!$B$65&gt;(C1988-1)*12,Paths!$E$187+'Operating costs'!$B$65&lt;=C1988*12))),'Operating costs'!$B$64,0)+IF(AND('Operating costs'!$B$67&gt;0,'Operating costs'!$B$67&lt;=120,OR(Paths!$D$187="ICE",'Operating costs'!$B$67&lt;=Paths!$E$187),IF('Operating costs'!$B$67=0,C1988=0,AND(C1988&gt;0,'Operating costs'!$B$67&gt;(C1988-1)*12,'Operating costs'!$B$67&lt;=C1988*12))),'Operating costs'!$B$66,0),"n.a."))</f>
        <v>0</v>
      </c>
      <c r="N1988" s="16">
        <f>IF(NOT(Paths!$C$187=1),0,IF(Paths!$P$187="Complete",SUM(G1988:I1988)-J1988-K1988-L1988+M1988+IF(C1988=0,Paths!$F$187,0)+IF(IF(Paths!$E$187=0,C1988=0,AND(C1988&gt;0,Paths!$E$187&gt;(C1988-1)*12,Paths!$E$187&lt;=C1988*12)),VLOOKUP(A1988,'Fleet register'!$A$7:$S$106,16,FALSE),0),"n.a."))</f>
        <v>0</v>
      </c>
      <c r="O1988" s="16">
        <f>IF(NOT(Paths!$C$187=1),0,IF(Paths!$P$187="Complete",N1988-IF(C1988=0,Paths!$F$187,0),"n.a."))</f>
        <v>0</v>
      </c>
      <c r="P1988" s="16">
        <f>IF(NOT(Paths!$C$187=1),0,IF(Paths!$P$187="Complete",O1988+L1988,"n.a."))</f>
        <v>0</v>
      </c>
      <c r="Q1988" s="16">
        <f>IF(NOT(Paths!$C$187=1),0,IF(Paths!$P$187="Complete",N1988*(1+'Operating costs'!$B$54)^-C1988,"n.a."))</f>
        <v>0</v>
      </c>
      <c r="R1988" s="16">
        <f>IF(NOT(Paths!$C$187=1),0,IF(Paths!$P$187="Complete",IF(AND(C1988=0,Paths!$E$187=0),I1988-J1988-K1988+VLOOKUP(A1988,'Fleet register'!$A$7:$S$106,15,FALSE)+VLOOKUP(A1988,'Fleet register'!$A$7:$S$106,16,FALSE),0),"n.a."))</f>
        <v>0</v>
      </c>
      <c r="S1988" s="1">
        <f>IF(NOT(Paths!$C$187=1),0,IF(Paths!$P$187="Complete",IF(C1988=0,0,Paths!$S$187*Paths!$R$187),"n.a."))</f>
        <v>0</v>
      </c>
      <c r="T1988" s="1">
        <f>IF(NOT(Paths!$C$187=1),0,IF(Paths!$P$187="Complete",IF(C1988=0,0,VLOOKUP(A1988,'Fleet register'!$A$7:$S$106,9,FALSE)*Paths!$R$187),"n.a."))</f>
        <v>0</v>
      </c>
    </row>
    <row r="1989" spans="1:20" ht="24" customHeight="1">
      <c r="A1989" s="1" t="str">
        <f>Paths!$A$187</f>
        <v>T046</v>
      </c>
      <c r="B1989" s="1">
        <f>Paths!$B$187</f>
        <v>0</v>
      </c>
      <c r="C1989" s="1">
        <v>2</v>
      </c>
      <c r="D1989" s="1">
        <v>187</v>
      </c>
      <c r="E1989" s="1">
        <f>IF(OR(Paths!$C$187=0,C1989=0),0,MAX(0,MIN(C1989*12,Paths!$E$187)-(C1989-1)*12))</f>
        <v>0</v>
      </c>
      <c r="F1989" s="1">
        <f>IF(OR(Paths!$C$187=0,C1989=0),0,12-E1989)</f>
        <v>0</v>
      </c>
      <c r="G1989" s="16">
        <f>IF(NOT(Paths!$C$187=1),0,IF(Paths!$P$187="Complete",E1989/12*(Paths!$J$187*(1+'Operating costs'!$B$51)^MAX(0,C1989-1)+Paths!$K$187*(1+'Operating costs'!$B$53)^MAX(0,C1989-1)),"n.a."))</f>
        <v>0</v>
      </c>
      <c r="H1989" s="16">
        <f>IF(NOT(Paths!$C$187=1),0,IF(Paths!$P$187="Complete",F1989/12*(Paths!$L$187*(1+IF(Paths!$D$187="EV",'Operating costs'!$B$52,'Operating costs'!$B$51))^MAX(0,C1989-1)+Paths!$M$187*(1+'Operating costs'!$B$53)^MAX(0,C1989-1)),"n.a."))</f>
        <v>0</v>
      </c>
      <c r="I1989" s="16">
        <f>IF(NOT(Paths!$C$187=1),0,IF(Paths!$P$187="Complete",IF(IF(Paths!$E$187=0,C1989=0,AND(C1989&gt;0,Paths!$E$187&gt;(C1989-1)*12,Paths!$E$187&lt;=C1989*12)),Paths!$G$187,0),"n.a."))</f>
        <v>0</v>
      </c>
      <c r="J1989" s="16">
        <f>IF(NOT(Paths!$C$187=1),0,IF(Paths!$P$187="Complete",IF(IF(Paths!$E$187=0,C1989=0,AND(C1989&gt;0,Paths!$E$187&gt;(C1989-1)*12,Paths!$E$187&lt;=C1989*12)),Paths!$H$187,0),"n.a."))</f>
        <v>0</v>
      </c>
      <c r="K1989" s="16">
        <f>IF(NOT(Paths!$C$187=1),0,IF(Paths!$P$187="Complete",IF(IF(Paths!$O$187=0,C1989=0,AND(C1989&gt;0,Paths!$O$187&gt;(C1989-1)*12,Paths!$O$187&lt;=C1989*12)),Paths!$N$187,0),"n.a."))</f>
        <v>0</v>
      </c>
      <c r="L1989" s="16">
        <f>IF(NOT(Paths!$C$187=1),0,IF(Paths!$P$187="Complete",IF(C1989=10,Paths!$I$187,0),"n.a."))</f>
        <v>0</v>
      </c>
      <c r="M1989" s="16">
        <f>IF(NOT(Paths!$C$187=1),0,IF(Paths!$P$187="Complete",IF(AND(Paths!$D$187="EV",Paths!$E$187&lt;120,Paths!$E$187+'Operating costs'!$B$65&gt;Paths!$E$187,Paths!$E$187+'Operating costs'!$B$65&lt;=120,IF(Paths!$E$187+'Operating costs'!$B$65=0,C1989=0,AND(C1989&gt;0,Paths!$E$187+'Operating costs'!$B$65&gt;(C1989-1)*12,Paths!$E$187+'Operating costs'!$B$65&lt;=C1989*12))),'Operating costs'!$B$64,0)+IF(AND('Operating costs'!$B$67&gt;0,'Operating costs'!$B$67&lt;=120,OR(Paths!$D$187="ICE",'Operating costs'!$B$67&lt;=Paths!$E$187),IF('Operating costs'!$B$67=0,C1989=0,AND(C1989&gt;0,'Operating costs'!$B$67&gt;(C1989-1)*12,'Operating costs'!$B$67&lt;=C1989*12))),'Operating costs'!$B$66,0),"n.a."))</f>
        <v>0</v>
      </c>
      <c r="N1989" s="16">
        <f>IF(NOT(Paths!$C$187=1),0,IF(Paths!$P$187="Complete",SUM(G1989:I1989)-J1989-K1989-L1989+M1989+IF(C1989=0,Paths!$F$187,0)+IF(IF(Paths!$E$187=0,C1989=0,AND(C1989&gt;0,Paths!$E$187&gt;(C1989-1)*12,Paths!$E$187&lt;=C1989*12)),VLOOKUP(A1989,'Fleet register'!$A$7:$S$106,16,FALSE),0),"n.a."))</f>
        <v>0</v>
      </c>
      <c r="O1989" s="16">
        <f>IF(NOT(Paths!$C$187=1),0,IF(Paths!$P$187="Complete",N1989-IF(C1989=0,Paths!$F$187,0),"n.a."))</f>
        <v>0</v>
      </c>
      <c r="P1989" s="16">
        <f>IF(NOT(Paths!$C$187=1),0,IF(Paths!$P$187="Complete",O1989+L1989,"n.a."))</f>
        <v>0</v>
      </c>
      <c r="Q1989" s="16">
        <f>IF(NOT(Paths!$C$187=1),0,IF(Paths!$P$187="Complete",N1989*(1+'Operating costs'!$B$54)^-C1989,"n.a."))</f>
        <v>0</v>
      </c>
      <c r="R1989" s="16">
        <f>IF(NOT(Paths!$C$187=1),0,IF(Paths!$P$187="Complete",IF(AND(C1989=0,Paths!$E$187=0),I1989-J1989-K1989+VLOOKUP(A1989,'Fleet register'!$A$7:$S$106,15,FALSE)+VLOOKUP(A1989,'Fleet register'!$A$7:$S$106,16,FALSE),0),"n.a."))</f>
        <v>0</v>
      </c>
      <c r="S1989" s="1">
        <f>IF(NOT(Paths!$C$187=1),0,IF(Paths!$P$187="Complete",IF(C1989=0,0,Paths!$S$187*Paths!$R$187),"n.a."))</f>
        <v>0</v>
      </c>
      <c r="T1989" s="1">
        <f>IF(NOT(Paths!$C$187=1),0,IF(Paths!$P$187="Complete",IF(C1989=0,0,VLOOKUP(A1989,'Fleet register'!$A$7:$S$106,9,FALSE)*Paths!$R$187),"n.a."))</f>
        <v>0</v>
      </c>
    </row>
    <row r="1990" spans="1:20" ht="24" customHeight="1">
      <c r="A1990" s="1" t="str">
        <f>Paths!$A$187</f>
        <v>T046</v>
      </c>
      <c r="B1990" s="1">
        <f>Paths!$B$187</f>
        <v>0</v>
      </c>
      <c r="C1990" s="1">
        <v>3</v>
      </c>
      <c r="D1990" s="1">
        <v>187</v>
      </c>
      <c r="E1990" s="1">
        <f>IF(OR(Paths!$C$187=0,C1990=0),0,MAX(0,MIN(C1990*12,Paths!$E$187)-(C1990-1)*12))</f>
        <v>0</v>
      </c>
      <c r="F1990" s="1">
        <f>IF(OR(Paths!$C$187=0,C1990=0),0,12-E1990)</f>
        <v>0</v>
      </c>
      <c r="G1990" s="16">
        <f>IF(NOT(Paths!$C$187=1),0,IF(Paths!$P$187="Complete",E1990/12*(Paths!$J$187*(1+'Operating costs'!$B$51)^MAX(0,C1990-1)+Paths!$K$187*(1+'Operating costs'!$B$53)^MAX(0,C1990-1)),"n.a."))</f>
        <v>0</v>
      </c>
      <c r="H1990" s="16">
        <f>IF(NOT(Paths!$C$187=1),0,IF(Paths!$P$187="Complete",F1990/12*(Paths!$L$187*(1+IF(Paths!$D$187="EV",'Operating costs'!$B$52,'Operating costs'!$B$51))^MAX(0,C1990-1)+Paths!$M$187*(1+'Operating costs'!$B$53)^MAX(0,C1990-1)),"n.a."))</f>
        <v>0</v>
      </c>
      <c r="I1990" s="16">
        <f>IF(NOT(Paths!$C$187=1),0,IF(Paths!$P$187="Complete",IF(IF(Paths!$E$187=0,C1990=0,AND(C1990&gt;0,Paths!$E$187&gt;(C1990-1)*12,Paths!$E$187&lt;=C1990*12)),Paths!$G$187,0),"n.a."))</f>
        <v>0</v>
      </c>
      <c r="J1990" s="16">
        <f>IF(NOT(Paths!$C$187=1),0,IF(Paths!$P$187="Complete",IF(IF(Paths!$E$187=0,C1990=0,AND(C1990&gt;0,Paths!$E$187&gt;(C1990-1)*12,Paths!$E$187&lt;=C1990*12)),Paths!$H$187,0),"n.a."))</f>
        <v>0</v>
      </c>
      <c r="K1990" s="16">
        <f>IF(NOT(Paths!$C$187=1),0,IF(Paths!$P$187="Complete",IF(IF(Paths!$O$187=0,C1990=0,AND(C1990&gt;0,Paths!$O$187&gt;(C1990-1)*12,Paths!$O$187&lt;=C1990*12)),Paths!$N$187,0),"n.a."))</f>
        <v>0</v>
      </c>
      <c r="L1990" s="16">
        <f>IF(NOT(Paths!$C$187=1),0,IF(Paths!$P$187="Complete",IF(C1990=10,Paths!$I$187,0),"n.a."))</f>
        <v>0</v>
      </c>
      <c r="M1990" s="16">
        <f>IF(NOT(Paths!$C$187=1),0,IF(Paths!$P$187="Complete",IF(AND(Paths!$D$187="EV",Paths!$E$187&lt;120,Paths!$E$187+'Operating costs'!$B$65&gt;Paths!$E$187,Paths!$E$187+'Operating costs'!$B$65&lt;=120,IF(Paths!$E$187+'Operating costs'!$B$65=0,C1990=0,AND(C1990&gt;0,Paths!$E$187+'Operating costs'!$B$65&gt;(C1990-1)*12,Paths!$E$187+'Operating costs'!$B$65&lt;=C1990*12))),'Operating costs'!$B$64,0)+IF(AND('Operating costs'!$B$67&gt;0,'Operating costs'!$B$67&lt;=120,OR(Paths!$D$187="ICE",'Operating costs'!$B$67&lt;=Paths!$E$187),IF('Operating costs'!$B$67=0,C1990=0,AND(C1990&gt;0,'Operating costs'!$B$67&gt;(C1990-1)*12,'Operating costs'!$B$67&lt;=C1990*12))),'Operating costs'!$B$66,0),"n.a."))</f>
        <v>0</v>
      </c>
      <c r="N1990" s="16">
        <f>IF(NOT(Paths!$C$187=1),0,IF(Paths!$P$187="Complete",SUM(G1990:I1990)-J1990-K1990-L1990+M1990+IF(C1990=0,Paths!$F$187,0)+IF(IF(Paths!$E$187=0,C1990=0,AND(C1990&gt;0,Paths!$E$187&gt;(C1990-1)*12,Paths!$E$187&lt;=C1990*12)),VLOOKUP(A1990,'Fleet register'!$A$7:$S$106,16,FALSE),0),"n.a."))</f>
        <v>0</v>
      </c>
      <c r="O1990" s="16">
        <f>IF(NOT(Paths!$C$187=1),0,IF(Paths!$P$187="Complete",N1990-IF(C1990=0,Paths!$F$187,0),"n.a."))</f>
        <v>0</v>
      </c>
      <c r="P1990" s="16">
        <f>IF(NOT(Paths!$C$187=1),0,IF(Paths!$P$187="Complete",O1990+L1990,"n.a."))</f>
        <v>0</v>
      </c>
      <c r="Q1990" s="16">
        <f>IF(NOT(Paths!$C$187=1),0,IF(Paths!$P$187="Complete",N1990*(1+'Operating costs'!$B$54)^-C1990,"n.a."))</f>
        <v>0</v>
      </c>
      <c r="R1990" s="16">
        <f>IF(NOT(Paths!$C$187=1),0,IF(Paths!$P$187="Complete",IF(AND(C1990=0,Paths!$E$187=0),I1990-J1990-K1990+VLOOKUP(A1990,'Fleet register'!$A$7:$S$106,15,FALSE)+VLOOKUP(A1990,'Fleet register'!$A$7:$S$106,16,FALSE),0),"n.a."))</f>
        <v>0</v>
      </c>
      <c r="S1990" s="1">
        <f>IF(NOT(Paths!$C$187=1),0,IF(Paths!$P$187="Complete",IF(C1990=0,0,Paths!$S$187*Paths!$R$187),"n.a."))</f>
        <v>0</v>
      </c>
      <c r="T1990" s="1">
        <f>IF(NOT(Paths!$C$187=1),0,IF(Paths!$P$187="Complete",IF(C1990=0,0,VLOOKUP(A1990,'Fleet register'!$A$7:$S$106,9,FALSE)*Paths!$R$187),"n.a."))</f>
        <v>0</v>
      </c>
    </row>
    <row r="1991" spans="1:20" ht="24" customHeight="1">
      <c r="A1991" s="1" t="str">
        <f>Paths!$A$187</f>
        <v>T046</v>
      </c>
      <c r="B1991" s="1">
        <f>Paths!$B$187</f>
        <v>0</v>
      </c>
      <c r="C1991" s="1">
        <v>4</v>
      </c>
      <c r="D1991" s="1">
        <v>187</v>
      </c>
      <c r="E1991" s="1">
        <f>IF(OR(Paths!$C$187=0,C1991=0),0,MAX(0,MIN(C1991*12,Paths!$E$187)-(C1991-1)*12))</f>
        <v>0</v>
      </c>
      <c r="F1991" s="1">
        <f>IF(OR(Paths!$C$187=0,C1991=0),0,12-E1991)</f>
        <v>0</v>
      </c>
      <c r="G1991" s="16">
        <f>IF(NOT(Paths!$C$187=1),0,IF(Paths!$P$187="Complete",E1991/12*(Paths!$J$187*(1+'Operating costs'!$B$51)^MAX(0,C1991-1)+Paths!$K$187*(1+'Operating costs'!$B$53)^MAX(0,C1991-1)),"n.a."))</f>
        <v>0</v>
      </c>
      <c r="H1991" s="16">
        <f>IF(NOT(Paths!$C$187=1),0,IF(Paths!$P$187="Complete",F1991/12*(Paths!$L$187*(1+IF(Paths!$D$187="EV",'Operating costs'!$B$52,'Operating costs'!$B$51))^MAX(0,C1991-1)+Paths!$M$187*(1+'Operating costs'!$B$53)^MAX(0,C1991-1)),"n.a."))</f>
        <v>0</v>
      </c>
      <c r="I1991" s="16">
        <f>IF(NOT(Paths!$C$187=1),0,IF(Paths!$P$187="Complete",IF(IF(Paths!$E$187=0,C1991=0,AND(C1991&gt;0,Paths!$E$187&gt;(C1991-1)*12,Paths!$E$187&lt;=C1991*12)),Paths!$G$187,0),"n.a."))</f>
        <v>0</v>
      </c>
      <c r="J1991" s="16">
        <f>IF(NOT(Paths!$C$187=1),0,IF(Paths!$P$187="Complete",IF(IF(Paths!$E$187=0,C1991=0,AND(C1991&gt;0,Paths!$E$187&gt;(C1991-1)*12,Paths!$E$187&lt;=C1991*12)),Paths!$H$187,0),"n.a."))</f>
        <v>0</v>
      </c>
      <c r="K1991" s="16">
        <f>IF(NOT(Paths!$C$187=1),0,IF(Paths!$P$187="Complete",IF(IF(Paths!$O$187=0,C1991=0,AND(C1991&gt;0,Paths!$O$187&gt;(C1991-1)*12,Paths!$O$187&lt;=C1991*12)),Paths!$N$187,0),"n.a."))</f>
        <v>0</v>
      </c>
      <c r="L1991" s="16">
        <f>IF(NOT(Paths!$C$187=1),0,IF(Paths!$P$187="Complete",IF(C1991=10,Paths!$I$187,0),"n.a."))</f>
        <v>0</v>
      </c>
      <c r="M1991" s="16">
        <f>IF(NOT(Paths!$C$187=1),0,IF(Paths!$P$187="Complete",IF(AND(Paths!$D$187="EV",Paths!$E$187&lt;120,Paths!$E$187+'Operating costs'!$B$65&gt;Paths!$E$187,Paths!$E$187+'Operating costs'!$B$65&lt;=120,IF(Paths!$E$187+'Operating costs'!$B$65=0,C1991=0,AND(C1991&gt;0,Paths!$E$187+'Operating costs'!$B$65&gt;(C1991-1)*12,Paths!$E$187+'Operating costs'!$B$65&lt;=C1991*12))),'Operating costs'!$B$64,0)+IF(AND('Operating costs'!$B$67&gt;0,'Operating costs'!$B$67&lt;=120,OR(Paths!$D$187="ICE",'Operating costs'!$B$67&lt;=Paths!$E$187),IF('Operating costs'!$B$67=0,C1991=0,AND(C1991&gt;0,'Operating costs'!$B$67&gt;(C1991-1)*12,'Operating costs'!$B$67&lt;=C1991*12))),'Operating costs'!$B$66,0),"n.a."))</f>
        <v>0</v>
      </c>
      <c r="N1991" s="16">
        <f>IF(NOT(Paths!$C$187=1),0,IF(Paths!$P$187="Complete",SUM(G1991:I1991)-J1991-K1991-L1991+M1991+IF(C1991=0,Paths!$F$187,0)+IF(IF(Paths!$E$187=0,C1991=0,AND(C1991&gt;0,Paths!$E$187&gt;(C1991-1)*12,Paths!$E$187&lt;=C1991*12)),VLOOKUP(A1991,'Fleet register'!$A$7:$S$106,16,FALSE),0),"n.a."))</f>
        <v>0</v>
      </c>
      <c r="O1991" s="16">
        <f>IF(NOT(Paths!$C$187=1),0,IF(Paths!$P$187="Complete",N1991-IF(C1991=0,Paths!$F$187,0),"n.a."))</f>
        <v>0</v>
      </c>
      <c r="P1991" s="16">
        <f>IF(NOT(Paths!$C$187=1),0,IF(Paths!$P$187="Complete",O1991+L1991,"n.a."))</f>
        <v>0</v>
      </c>
      <c r="Q1991" s="16">
        <f>IF(NOT(Paths!$C$187=1),0,IF(Paths!$P$187="Complete",N1991*(1+'Operating costs'!$B$54)^-C1991,"n.a."))</f>
        <v>0</v>
      </c>
      <c r="R1991" s="16">
        <f>IF(NOT(Paths!$C$187=1),0,IF(Paths!$P$187="Complete",IF(AND(C1991=0,Paths!$E$187=0),I1991-J1991-K1991+VLOOKUP(A1991,'Fleet register'!$A$7:$S$106,15,FALSE)+VLOOKUP(A1991,'Fleet register'!$A$7:$S$106,16,FALSE),0),"n.a."))</f>
        <v>0</v>
      </c>
      <c r="S1991" s="1">
        <f>IF(NOT(Paths!$C$187=1),0,IF(Paths!$P$187="Complete",IF(C1991=0,0,Paths!$S$187*Paths!$R$187),"n.a."))</f>
        <v>0</v>
      </c>
      <c r="T1991" s="1">
        <f>IF(NOT(Paths!$C$187=1),0,IF(Paths!$P$187="Complete",IF(C1991=0,0,VLOOKUP(A1991,'Fleet register'!$A$7:$S$106,9,FALSE)*Paths!$R$187),"n.a."))</f>
        <v>0</v>
      </c>
    </row>
    <row r="1992" spans="1:20" ht="24" customHeight="1">
      <c r="A1992" s="1" t="str">
        <f>Paths!$A$187</f>
        <v>T046</v>
      </c>
      <c r="B1992" s="1">
        <f>Paths!$B$187</f>
        <v>0</v>
      </c>
      <c r="C1992" s="1">
        <v>5</v>
      </c>
      <c r="D1992" s="1">
        <v>187</v>
      </c>
      <c r="E1992" s="1">
        <f>IF(OR(Paths!$C$187=0,C1992=0),0,MAX(0,MIN(C1992*12,Paths!$E$187)-(C1992-1)*12))</f>
        <v>0</v>
      </c>
      <c r="F1992" s="1">
        <f>IF(OR(Paths!$C$187=0,C1992=0),0,12-E1992)</f>
        <v>0</v>
      </c>
      <c r="G1992" s="16">
        <f>IF(NOT(Paths!$C$187=1),0,IF(Paths!$P$187="Complete",E1992/12*(Paths!$J$187*(1+'Operating costs'!$B$51)^MAX(0,C1992-1)+Paths!$K$187*(1+'Operating costs'!$B$53)^MAX(0,C1992-1)),"n.a."))</f>
        <v>0</v>
      </c>
      <c r="H1992" s="16">
        <f>IF(NOT(Paths!$C$187=1),0,IF(Paths!$P$187="Complete",F1992/12*(Paths!$L$187*(1+IF(Paths!$D$187="EV",'Operating costs'!$B$52,'Operating costs'!$B$51))^MAX(0,C1992-1)+Paths!$M$187*(1+'Operating costs'!$B$53)^MAX(0,C1992-1)),"n.a."))</f>
        <v>0</v>
      </c>
      <c r="I1992" s="16">
        <f>IF(NOT(Paths!$C$187=1),0,IF(Paths!$P$187="Complete",IF(IF(Paths!$E$187=0,C1992=0,AND(C1992&gt;0,Paths!$E$187&gt;(C1992-1)*12,Paths!$E$187&lt;=C1992*12)),Paths!$G$187,0),"n.a."))</f>
        <v>0</v>
      </c>
      <c r="J1992" s="16">
        <f>IF(NOT(Paths!$C$187=1),0,IF(Paths!$P$187="Complete",IF(IF(Paths!$E$187=0,C1992=0,AND(C1992&gt;0,Paths!$E$187&gt;(C1992-1)*12,Paths!$E$187&lt;=C1992*12)),Paths!$H$187,0),"n.a."))</f>
        <v>0</v>
      </c>
      <c r="K1992" s="16">
        <f>IF(NOT(Paths!$C$187=1),0,IF(Paths!$P$187="Complete",IF(IF(Paths!$O$187=0,C1992=0,AND(C1992&gt;0,Paths!$O$187&gt;(C1992-1)*12,Paths!$O$187&lt;=C1992*12)),Paths!$N$187,0),"n.a."))</f>
        <v>0</v>
      </c>
      <c r="L1992" s="16">
        <f>IF(NOT(Paths!$C$187=1),0,IF(Paths!$P$187="Complete",IF(C1992=10,Paths!$I$187,0),"n.a."))</f>
        <v>0</v>
      </c>
      <c r="M1992" s="16">
        <f>IF(NOT(Paths!$C$187=1),0,IF(Paths!$P$187="Complete",IF(AND(Paths!$D$187="EV",Paths!$E$187&lt;120,Paths!$E$187+'Operating costs'!$B$65&gt;Paths!$E$187,Paths!$E$187+'Operating costs'!$B$65&lt;=120,IF(Paths!$E$187+'Operating costs'!$B$65=0,C1992=0,AND(C1992&gt;0,Paths!$E$187+'Operating costs'!$B$65&gt;(C1992-1)*12,Paths!$E$187+'Operating costs'!$B$65&lt;=C1992*12))),'Operating costs'!$B$64,0)+IF(AND('Operating costs'!$B$67&gt;0,'Operating costs'!$B$67&lt;=120,OR(Paths!$D$187="ICE",'Operating costs'!$B$67&lt;=Paths!$E$187),IF('Operating costs'!$B$67=0,C1992=0,AND(C1992&gt;0,'Operating costs'!$B$67&gt;(C1992-1)*12,'Operating costs'!$B$67&lt;=C1992*12))),'Operating costs'!$B$66,0),"n.a."))</f>
        <v>0</v>
      </c>
      <c r="N1992" s="16">
        <f>IF(NOT(Paths!$C$187=1),0,IF(Paths!$P$187="Complete",SUM(G1992:I1992)-J1992-K1992-L1992+M1992+IF(C1992=0,Paths!$F$187,0)+IF(IF(Paths!$E$187=0,C1992=0,AND(C1992&gt;0,Paths!$E$187&gt;(C1992-1)*12,Paths!$E$187&lt;=C1992*12)),VLOOKUP(A1992,'Fleet register'!$A$7:$S$106,16,FALSE),0),"n.a."))</f>
        <v>0</v>
      </c>
      <c r="O1992" s="16">
        <f>IF(NOT(Paths!$C$187=1),0,IF(Paths!$P$187="Complete",N1992-IF(C1992=0,Paths!$F$187,0),"n.a."))</f>
        <v>0</v>
      </c>
      <c r="P1992" s="16">
        <f>IF(NOT(Paths!$C$187=1),0,IF(Paths!$P$187="Complete",O1992+L1992,"n.a."))</f>
        <v>0</v>
      </c>
      <c r="Q1992" s="16">
        <f>IF(NOT(Paths!$C$187=1),0,IF(Paths!$P$187="Complete",N1992*(1+'Operating costs'!$B$54)^-C1992,"n.a."))</f>
        <v>0</v>
      </c>
      <c r="R1992" s="16">
        <f>IF(NOT(Paths!$C$187=1),0,IF(Paths!$P$187="Complete",IF(AND(C1992=0,Paths!$E$187=0),I1992-J1992-K1992+VLOOKUP(A1992,'Fleet register'!$A$7:$S$106,15,FALSE)+VLOOKUP(A1992,'Fleet register'!$A$7:$S$106,16,FALSE),0),"n.a."))</f>
        <v>0</v>
      </c>
      <c r="S1992" s="1">
        <f>IF(NOT(Paths!$C$187=1),0,IF(Paths!$P$187="Complete",IF(C1992=0,0,Paths!$S$187*Paths!$R$187),"n.a."))</f>
        <v>0</v>
      </c>
      <c r="T1992" s="1">
        <f>IF(NOT(Paths!$C$187=1),0,IF(Paths!$P$187="Complete",IF(C1992=0,0,VLOOKUP(A1992,'Fleet register'!$A$7:$S$106,9,FALSE)*Paths!$R$187),"n.a."))</f>
        <v>0</v>
      </c>
    </row>
    <row r="1993" spans="1:20" ht="24" customHeight="1">
      <c r="A1993" s="1" t="str">
        <f>Paths!$A$187</f>
        <v>T046</v>
      </c>
      <c r="B1993" s="1">
        <f>Paths!$B$187</f>
        <v>0</v>
      </c>
      <c r="C1993" s="1">
        <v>6</v>
      </c>
      <c r="D1993" s="1">
        <v>187</v>
      </c>
      <c r="E1993" s="1">
        <f>IF(OR(Paths!$C$187=0,C1993=0),0,MAX(0,MIN(C1993*12,Paths!$E$187)-(C1993-1)*12))</f>
        <v>0</v>
      </c>
      <c r="F1993" s="1">
        <f>IF(OR(Paths!$C$187=0,C1993=0),0,12-E1993)</f>
        <v>0</v>
      </c>
      <c r="G1993" s="16">
        <f>IF(NOT(Paths!$C$187=1),0,IF(Paths!$P$187="Complete",E1993/12*(Paths!$J$187*(1+'Operating costs'!$B$51)^MAX(0,C1993-1)+Paths!$K$187*(1+'Operating costs'!$B$53)^MAX(0,C1993-1)),"n.a."))</f>
        <v>0</v>
      </c>
      <c r="H1993" s="16">
        <f>IF(NOT(Paths!$C$187=1),0,IF(Paths!$P$187="Complete",F1993/12*(Paths!$L$187*(1+IF(Paths!$D$187="EV",'Operating costs'!$B$52,'Operating costs'!$B$51))^MAX(0,C1993-1)+Paths!$M$187*(1+'Operating costs'!$B$53)^MAX(0,C1993-1)),"n.a."))</f>
        <v>0</v>
      </c>
      <c r="I1993" s="16">
        <f>IF(NOT(Paths!$C$187=1),0,IF(Paths!$P$187="Complete",IF(IF(Paths!$E$187=0,C1993=0,AND(C1993&gt;0,Paths!$E$187&gt;(C1993-1)*12,Paths!$E$187&lt;=C1993*12)),Paths!$G$187,0),"n.a."))</f>
        <v>0</v>
      </c>
      <c r="J1993" s="16">
        <f>IF(NOT(Paths!$C$187=1),0,IF(Paths!$P$187="Complete",IF(IF(Paths!$E$187=0,C1993=0,AND(C1993&gt;0,Paths!$E$187&gt;(C1993-1)*12,Paths!$E$187&lt;=C1993*12)),Paths!$H$187,0),"n.a."))</f>
        <v>0</v>
      </c>
      <c r="K1993" s="16">
        <f>IF(NOT(Paths!$C$187=1),0,IF(Paths!$P$187="Complete",IF(IF(Paths!$O$187=0,C1993=0,AND(C1993&gt;0,Paths!$O$187&gt;(C1993-1)*12,Paths!$O$187&lt;=C1993*12)),Paths!$N$187,0),"n.a."))</f>
        <v>0</v>
      </c>
      <c r="L1993" s="16">
        <f>IF(NOT(Paths!$C$187=1),0,IF(Paths!$P$187="Complete",IF(C1993=10,Paths!$I$187,0),"n.a."))</f>
        <v>0</v>
      </c>
      <c r="M1993" s="16">
        <f>IF(NOT(Paths!$C$187=1),0,IF(Paths!$P$187="Complete",IF(AND(Paths!$D$187="EV",Paths!$E$187&lt;120,Paths!$E$187+'Operating costs'!$B$65&gt;Paths!$E$187,Paths!$E$187+'Operating costs'!$B$65&lt;=120,IF(Paths!$E$187+'Operating costs'!$B$65=0,C1993=0,AND(C1993&gt;0,Paths!$E$187+'Operating costs'!$B$65&gt;(C1993-1)*12,Paths!$E$187+'Operating costs'!$B$65&lt;=C1993*12))),'Operating costs'!$B$64,0)+IF(AND('Operating costs'!$B$67&gt;0,'Operating costs'!$B$67&lt;=120,OR(Paths!$D$187="ICE",'Operating costs'!$B$67&lt;=Paths!$E$187),IF('Operating costs'!$B$67=0,C1993=0,AND(C1993&gt;0,'Operating costs'!$B$67&gt;(C1993-1)*12,'Operating costs'!$B$67&lt;=C1993*12))),'Operating costs'!$B$66,0),"n.a."))</f>
        <v>0</v>
      </c>
      <c r="N1993" s="16">
        <f>IF(NOT(Paths!$C$187=1),0,IF(Paths!$P$187="Complete",SUM(G1993:I1993)-J1993-K1993-L1993+M1993+IF(C1993=0,Paths!$F$187,0)+IF(IF(Paths!$E$187=0,C1993=0,AND(C1993&gt;0,Paths!$E$187&gt;(C1993-1)*12,Paths!$E$187&lt;=C1993*12)),VLOOKUP(A1993,'Fleet register'!$A$7:$S$106,16,FALSE),0),"n.a."))</f>
        <v>0</v>
      </c>
      <c r="O1993" s="16">
        <f>IF(NOT(Paths!$C$187=1),0,IF(Paths!$P$187="Complete",N1993-IF(C1993=0,Paths!$F$187,0),"n.a."))</f>
        <v>0</v>
      </c>
      <c r="P1993" s="16">
        <f>IF(NOT(Paths!$C$187=1),0,IF(Paths!$P$187="Complete",O1993+L1993,"n.a."))</f>
        <v>0</v>
      </c>
      <c r="Q1993" s="16">
        <f>IF(NOT(Paths!$C$187=1),0,IF(Paths!$P$187="Complete",N1993*(1+'Operating costs'!$B$54)^-C1993,"n.a."))</f>
        <v>0</v>
      </c>
      <c r="R1993" s="16">
        <f>IF(NOT(Paths!$C$187=1),0,IF(Paths!$P$187="Complete",IF(AND(C1993=0,Paths!$E$187=0),I1993-J1993-K1993+VLOOKUP(A1993,'Fleet register'!$A$7:$S$106,15,FALSE)+VLOOKUP(A1993,'Fleet register'!$A$7:$S$106,16,FALSE),0),"n.a."))</f>
        <v>0</v>
      </c>
      <c r="S1993" s="1">
        <f>IF(NOT(Paths!$C$187=1),0,IF(Paths!$P$187="Complete",IF(C1993=0,0,Paths!$S$187*Paths!$R$187),"n.a."))</f>
        <v>0</v>
      </c>
      <c r="T1993" s="1">
        <f>IF(NOT(Paths!$C$187=1),0,IF(Paths!$P$187="Complete",IF(C1993=0,0,VLOOKUP(A1993,'Fleet register'!$A$7:$S$106,9,FALSE)*Paths!$R$187),"n.a."))</f>
        <v>0</v>
      </c>
    </row>
    <row r="1994" spans="1:20" ht="24" customHeight="1">
      <c r="A1994" s="1" t="str">
        <f>Paths!$A$187</f>
        <v>T046</v>
      </c>
      <c r="B1994" s="1">
        <f>Paths!$B$187</f>
        <v>0</v>
      </c>
      <c r="C1994" s="1">
        <v>7</v>
      </c>
      <c r="D1994" s="1">
        <v>187</v>
      </c>
      <c r="E1994" s="1">
        <f>IF(OR(Paths!$C$187=0,C1994=0),0,MAX(0,MIN(C1994*12,Paths!$E$187)-(C1994-1)*12))</f>
        <v>0</v>
      </c>
      <c r="F1994" s="1">
        <f>IF(OR(Paths!$C$187=0,C1994=0),0,12-E1994)</f>
        <v>0</v>
      </c>
      <c r="G1994" s="16">
        <f>IF(NOT(Paths!$C$187=1),0,IF(Paths!$P$187="Complete",E1994/12*(Paths!$J$187*(1+'Operating costs'!$B$51)^MAX(0,C1994-1)+Paths!$K$187*(1+'Operating costs'!$B$53)^MAX(0,C1994-1)),"n.a."))</f>
        <v>0</v>
      </c>
      <c r="H1994" s="16">
        <f>IF(NOT(Paths!$C$187=1),0,IF(Paths!$P$187="Complete",F1994/12*(Paths!$L$187*(1+IF(Paths!$D$187="EV",'Operating costs'!$B$52,'Operating costs'!$B$51))^MAX(0,C1994-1)+Paths!$M$187*(1+'Operating costs'!$B$53)^MAX(0,C1994-1)),"n.a."))</f>
        <v>0</v>
      </c>
      <c r="I1994" s="16">
        <f>IF(NOT(Paths!$C$187=1),0,IF(Paths!$P$187="Complete",IF(IF(Paths!$E$187=0,C1994=0,AND(C1994&gt;0,Paths!$E$187&gt;(C1994-1)*12,Paths!$E$187&lt;=C1994*12)),Paths!$G$187,0),"n.a."))</f>
        <v>0</v>
      </c>
      <c r="J1994" s="16">
        <f>IF(NOT(Paths!$C$187=1),0,IF(Paths!$P$187="Complete",IF(IF(Paths!$E$187=0,C1994=0,AND(C1994&gt;0,Paths!$E$187&gt;(C1994-1)*12,Paths!$E$187&lt;=C1994*12)),Paths!$H$187,0),"n.a."))</f>
        <v>0</v>
      </c>
      <c r="K1994" s="16">
        <f>IF(NOT(Paths!$C$187=1),0,IF(Paths!$P$187="Complete",IF(IF(Paths!$O$187=0,C1994=0,AND(C1994&gt;0,Paths!$O$187&gt;(C1994-1)*12,Paths!$O$187&lt;=C1994*12)),Paths!$N$187,0),"n.a."))</f>
        <v>0</v>
      </c>
      <c r="L1994" s="16">
        <f>IF(NOT(Paths!$C$187=1),0,IF(Paths!$P$187="Complete",IF(C1994=10,Paths!$I$187,0),"n.a."))</f>
        <v>0</v>
      </c>
      <c r="M1994" s="16">
        <f>IF(NOT(Paths!$C$187=1),0,IF(Paths!$P$187="Complete",IF(AND(Paths!$D$187="EV",Paths!$E$187&lt;120,Paths!$E$187+'Operating costs'!$B$65&gt;Paths!$E$187,Paths!$E$187+'Operating costs'!$B$65&lt;=120,IF(Paths!$E$187+'Operating costs'!$B$65=0,C1994=0,AND(C1994&gt;0,Paths!$E$187+'Operating costs'!$B$65&gt;(C1994-1)*12,Paths!$E$187+'Operating costs'!$B$65&lt;=C1994*12))),'Operating costs'!$B$64,0)+IF(AND('Operating costs'!$B$67&gt;0,'Operating costs'!$B$67&lt;=120,OR(Paths!$D$187="ICE",'Operating costs'!$B$67&lt;=Paths!$E$187),IF('Operating costs'!$B$67=0,C1994=0,AND(C1994&gt;0,'Operating costs'!$B$67&gt;(C1994-1)*12,'Operating costs'!$B$67&lt;=C1994*12))),'Operating costs'!$B$66,0),"n.a."))</f>
        <v>0</v>
      </c>
      <c r="N1994" s="16">
        <f>IF(NOT(Paths!$C$187=1),0,IF(Paths!$P$187="Complete",SUM(G1994:I1994)-J1994-K1994-L1994+M1994+IF(C1994=0,Paths!$F$187,0)+IF(IF(Paths!$E$187=0,C1994=0,AND(C1994&gt;0,Paths!$E$187&gt;(C1994-1)*12,Paths!$E$187&lt;=C1994*12)),VLOOKUP(A1994,'Fleet register'!$A$7:$S$106,16,FALSE),0),"n.a."))</f>
        <v>0</v>
      </c>
      <c r="O1994" s="16">
        <f>IF(NOT(Paths!$C$187=1),0,IF(Paths!$P$187="Complete",N1994-IF(C1994=0,Paths!$F$187,0),"n.a."))</f>
        <v>0</v>
      </c>
      <c r="P1994" s="16">
        <f>IF(NOT(Paths!$C$187=1),0,IF(Paths!$P$187="Complete",O1994+L1994,"n.a."))</f>
        <v>0</v>
      </c>
      <c r="Q1994" s="16">
        <f>IF(NOT(Paths!$C$187=1),0,IF(Paths!$P$187="Complete",N1994*(1+'Operating costs'!$B$54)^-C1994,"n.a."))</f>
        <v>0</v>
      </c>
      <c r="R1994" s="16">
        <f>IF(NOT(Paths!$C$187=1),0,IF(Paths!$P$187="Complete",IF(AND(C1994=0,Paths!$E$187=0),I1994-J1994-K1994+VLOOKUP(A1994,'Fleet register'!$A$7:$S$106,15,FALSE)+VLOOKUP(A1994,'Fleet register'!$A$7:$S$106,16,FALSE),0),"n.a."))</f>
        <v>0</v>
      </c>
      <c r="S1994" s="1">
        <f>IF(NOT(Paths!$C$187=1),0,IF(Paths!$P$187="Complete",IF(C1994=0,0,Paths!$S$187*Paths!$R$187),"n.a."))</f>
        <v>0</v>
      </c>
      <c r="T1994" s="1">
        <f>IF(NOT(Paths!$C$187=1),0,IF(Paths!$P$187="Complete",IF(C1994=0,0,VLOOKUP(A1994,'Fleet register'!$A$7:$S$106,9,FALSE)*Paths!$R$187),"n.a."))</f>
        <v>0</v>
      </c>
    </row>
    <row r="1995" spans="1:20" ht="24" customHeight="1">
      <c r="A1995" s="1" t="str">
        <f>Paths!$A$187</f>
        <v>T046</v>
      </c>
      <c r="B1995" s="1">
        <f>Paths!$B$187</f>
        <v>0</v>
      </c>
      <c r="C1995" s="1">
        <v>8</v>
      </c>
      <c r="D1995" s="1">
        <v>187</v>
      </c>
      <c r="E1995" s="1">
        <f>IF(OR(Paths!$C$187=0,C1995=0),0,MAX(0,MIN(C1995*12,Paths!$E$187)-(C1995-1)*12))</f>
        <v>0</v>
      </c>
      <c r="F1995" s="1">
        <f>IF(OR(Paths!$C$187=0,C1995=0),0,12-E1995)</f>
        <v>0</v>
      </c>
      <c r="G1995" s="16">
        <f>IF(NOT(Paths!$C$187=1),0,IF(Paths!$P$187="Complete",E1995/12*(Paths!$J$187*(1+'Operating costs'!$B$51)^MAX(0,C1995-1)+Paths!$K$187*(1+'Operating costs'!$B$53)^MAX(0,C1995-1)),"n.a."))</f>
        <v>0</v>
      </c>
      <c r="H1995" s="16">
        <f>IF(NOT(Paths!$C$187=1),0,IF(Paths!$P$187="Complete",F1995/12*(Paths!$L$187*(1+IF(Paths!$D$187="EV",'Operating costs'!$B$52,'Operating costs'!$B$51))^MAX(0,C1995-1)+Paths!$M$187*(1+'Operating costs'!$B$53)^MAX(0,C1995-1)),"n.a."))</f>
        <v>0</v>
      </c>
      <c r="I1995" s="16">
        <f>IF(NOT(Paths!$C$187=1),0,IF(Paths!$P$187="Complete",IF(IF(Paths!$E$187=0,C1995=0,AND(C1995&gt;0,Paths!$E$187&gt;(C1995-1)*12,Paths!$E$187&lt;=C1995*12)),Paths!$G$187,0),"n.a."))</f>
        <v>0</v>
      </c>
      <c r="J1995" s="16">
        <f>IF(NOT(Paths!$C$187=1),0,IF(Paths!$P$187="Complete",IF(IF(Paths!$E$187=0,C1995=0,AND(C1995&gt;0,Paths!$E$187&gt;(C1995-1)*12,Paths!$E$187&lt;=C1995*12)),Paths!$H$187,0),"n.a."))</f>
        <v>0</v>
      </c>
      <c r="K1995" s="16">
        <f>IF(NOT(Paths!$C$187=1),0,IF(Paths!$P$187="Complete",IF(IF(Paths!$O$187=0,C1995=0,AND(C1995&gt;0,Paths!$O$187&gt;(C1995-1)*12,Paths!$O$187&lt;=C1995*12)),Paths!$N$187,0),"n.a."))</f>
        <v>0</v>
      </c>
      <c r="L1995" s="16">
        <f>IF(NOT(Paths!$C$187=1),0,IF(Paths!$P$187="Complete",IF(C1995=10,Paths!$I$187,0),"n.a."))</f>
        <v>0</v>
      </c>
      <c r="M1995" s="16">
        <f>IF(NOT(Paths!$C$187=1),0,IF(Paths!$P$187="Complete",IF(AND(Paths!$D$187="EV",Paths!$E$187&lt;120,Paths!$E$187+'Operating costs'!$B$65&gt;Paths!$E$187,Paths!$E$187+'Operating costs'!$B$65&lt;=120,IF(Paths!$E$187+'Operating costs'!$B$65=0,C1995=0,AND(C1995&gt;0,Paths!$E$187+'Operating costs'!$B$65&gt;(C1995-1)*12,Paths!$E$187+'Operating costs'!$B$65&lt;=C1995*12))),'Operating costs'!$B$64,0)+IF(AND('Operating costs'!$B$67&gt;0,'Operating costs'!$B$67&lt;=120,OR(Paths!$D$187="ICE",'Operating costs'!$B$67&lt;=Paths!$E$187),IF('Operating costs'!$B$67=0,C1995=0,AND(C1995&gt;0,'Operating costs'!$B$67&gt;(C1995-1)*12,'Operating costs'!$B$67&lt;=C1995*12))),'Operating costs'!$B$66,0),"n.a."))</f>
        <v>0</v>
      </c>
      <c r="N1995" s="16">
        <f>IF(NOT(Paths!$C$187=1),0,IF(Paths!$P$187="Complete",SUM(G1995:I1995)-J1995-K1995-L1995+M1995+IF(C1995=0,Paths!$F$187,0)+IF(IF(Paths!$E$187=0,C1995=0,AND(C1995&gt;0,Paths!$E$187&gt;(C1995-1)*12,Paths!$E$187&lt;=C1995*12)),VLOOKUP(A1995,'Fleet register'!$A$7:$S$106,16,FALSE),0),"n.a."))</f>
        <v>0</v>
      </c>
      <c r="O1995" s="16">
        <f>IF(NOT(Paths!$C$187=1),0,IF(Paths!$P$187="Complete",N1995-IF(C1995=0,Paths!$F$187,0),"n.a."))</f>
        <v>0</v>
      </c>
      <c r="P1995" s="16">
        <f>IF(NOT(Paths!$C$187=1),0,IF(Paths!$P$187="Complete",O1995+L1995,"n.a."))</f>
        <v>0</v>
      </c>
      <c r="Q1995" s="16">
        <f>IF(NOT(Paths!$C$187=1),0,IF(Paths!$P$187="Complete",N1995*(1+'Operating costs'!$B$54)^-C1995,"n.a."))</f>
        <v>0</v>
      </c>
      <c r="R1995" s="16">
        <f>IF(NOT(Paths!$C$187=1),0,IF(Paths!$P$187="Complete",IF(AND(C1995=0,Paths!$E$187=0),I1995-J1995-K1995+VLOOKUP(A1995,'Fleet register'!$A$7:$S$106,15,FALSE)+VLOOKUP(A1995,'Fleet register'!$A$7:$S$106,16,FALSE),0),"n.a."))</f>
        <v>0</v>
      </c>
      <c r="S1995" s="1">
        <f>IF(NOT(Paths!$C$187=1),0,IF(Paths!$P$187="Complete",IF(C1995=0,0,Paths!$S$187*Paths!$R$187),"n.a."))</f>
        <v>0</v>
      </c>
      <c r="T1995" s="1">
        <f>IF(NOT(Paths!$C$187=1),0,IF(Paths!$P$187="Complete",IF(C1995=0,0,VLOOKUP(A1995,'Fleet register'!$A$7:$S$106,9,FALSE)*Paths!$R$187),"n.a."))</f>
        <v>0</v>
      </c>
    </row>
    <row r="1996" spans="1:20" ht="24" customHeight="1">
      <c r="A1996" s="1" t="str">
        <f>Paths!$A$187</f>
        <v>T046</v>
      </c>
      <c r="B1996" s="1">
        <f>Paths!$B$187</f>
        <v>0</v>
      </c>
      <c r="C1996" s="1">
        <v>9</v>
      </c>
      <c r="D1996" s="1">
        <v>187</v>
      </c>
      <c r="E1996" s="1">
        <f>IF(OR(Paths!$C$187=0,C1996=0),0,MAX(0,MIN(C1996*12,Paths!$E$187)-(C1996-1)*12))</f>
        <v>0</v>
      </c>
      <c r="F1996" s="1">
        <f>IF(OR(Paths!$C$187=0,C1996=0),0,12-E1996)</f>
        <v>0</v>
      </c>
      <c r="G1996" s="16">
        <f>IF(NOT(Paths!$C$187=1),0,IF(Paths!$P$187="Complete",E1996/12*(Paths!$J$187*(1+'Operating costs'!$B$51)^MAX(0,C1996-1)+Paths!$K$187*(1+'Operating costs'!$B$53)^MAX(0,C1996-1)),"n.a."))</f>
        <v>0</v>
      </c>
      <c r="H1996" s="16">
        <f>IF(NOT(Paths!$C$187=1),0,IF(Paths!$P$187="Complete",F1996/12*(Paths!$L$187*(1+IF(Paths!$D$187="EV",'Operating costs'!$B$52,'Operating costs'!$B$51))^MAX(0,C1996-1)+Paths!$M$187*(1+'Operating costs'!$B$53)^MAX(0,C1996-1)),"n.a."))</f>
        <v>0</v>
      </c>
      <c r="I1996" s="16">
        <f>IF(NOT(Paths!$C$187=1),0,IF(Paths!$P$187="Complete",IF(IF(Paths!$E$187=0,C1996=0,AND(C1996&gt;0,Paths!$E$187&gt;(C1996-1)*12,Paths!$E$187&lt;=C1996*12)),Paths!$G$187,0),"n.a."))</f>
        <v>0</v>
      </c>
      <c r="J1996" s="16">
        <f>IF(NOT(Paths!$C$187=1),0,IF(Paths!$P$187="Complete",IF(IF(Paths!$E$187=0,C1996=0,AND(C1996&gt;0,Paths!$E$187&gt;(C1996-1)*12,Paths!$E$187&lt;=C1996*12)),Paths!$H$187,0),"n.a."))</f>
        <v>0</v>
      </c>
      <c r="K1996" s="16">
        <f>IF(NOT(Paths!$C$187=1),0,IF(Paths!$P$187="Complete",IF(IF(Paths!$O$187=0,C1996=0,AND(C1996&gt;0,Paths!$O$187&gt;(C1996-1)*12,Paths!$O$187&lt;=C1996*12)),Paths!$N$187,0),"n.a."))</f>
        <v>0</v>
      </c>
      <c r="L1996" s="16">
        <f>IF(NOT(Paths!$C$187=1),0,IF(Paths!$P$187="Complete",IF(C1996=10,Paths!$I$187,0),"n.a."))</f>
        <v>0</v>
      </c>
      <c r="M1996" s="16">
        <f>IF(NOT(Paths!$C$187=1),0,IF(Paths!$P$187="Complete",IF(AND(Paths!$D$187="EV",Paths!$E$187&lt;120,Paths!$E$187+'Operating costs'!$B$65&gt;Paths!$E$187,Paths!$E$187+'Operating costs'!$B$65&lt;=120,IF(Paths!$E$187+'Operating costs'!$B$65=0,C1996=0,AND(C1996&gt;0,Paths!$E$187+'Operating costs'!$B$65&gt;(C1996-1)*12,Paths!$E$187+'Operating costs'!$B$65&lt;=C1996*12))),'Operating costs'!$B$64,0)+IF(AND('Operating costs'!$B$67&gt;0,'Operating costs'!$B$67&lt;=120,OR(Paths!$D$187="ICE",'Operating costs'!$B$67&lt;=Paths!$E$187),IF('Operating costs'!$B$67=0,C1996=0,AND(C1996&gt;0,'Operating costs'!$B$67&gt;(C1996-1)*12,'Operating costs'!$B$67&lt;=C1996*12))),'Operating costs'!$B$66,0),"n.a."))</f>
        <v>0</v>
      </c>
      <c r="N1996" s="16">
        <f>IF(NOT(Paths!$C$187=1),0,IF(Paths!$P$187="Complete",SUM(G1996:I1996)-J1996-K1996-L1996+M1996+IF(C1996=0,Paths!$F$187,0)+IF(IF(Paths!$E$187=0,C1996=0,AND(C1996&gt;0,Paths!$E$187&gt;(C1996-1)*12,Paths!$E$187&lt;=C1996*12)),VLOOKUP(A1996,'Fleet register'!$A$7:$S$106,16,FALSE),0),"n.a."))</f>
        <v>0</v>
      </c>
      <c r="O1996" s="16">
        <f>IF(NOT(Paths!$C$187=1),0,IF(Paths!$P$187="Complete",N1996-IF(C1996=0,Paths!$F$187,0),"n.a."))</f>
        <v>0</v>
      </c>
      <c r="P1996" s="16">
        <f>IF(NOT(Paths!$C$187=1),0,IF(Paths!$P$187="Complete",O1996+L1996,"n.a."))</f>
        <v>0</v>
      </c>
      <c r="Q1996" s="16">
        <f>IF(NOT(Paths!$C$187=1),0,IF(Paths!$P$187="Complete",N1996*(1+'Operating costs'!$B$54)^-C1996,"n.a."))</f>
        <v>0</v>
      </c>
      <c r="R1996" s="16">
        <f>IF(NOT(Paths!$C$187=1),0,IF(Paths!$P$187="Complete",IF(AND(C1996=0,Paths!$E$187=0),I1996-J1996-K1996+VLOOKUP(A1996,'Fleet register'!$A$7:$S$106,15,FALSE)+VLOOKUP(A1996,'Fleet register'!$A$7:$S$106,16,FALSE),0),"n.a."))</f>
        <v>0</v>
      </c>
      <c r="S1996" s="1">
        <f>IF(NOT(Paths!$C$187=1),0,IF(Paths!$P$187="Complete",IF(C1996=0,0,Paths!$S$187*Paths!$R$187),"n.a."))</f>
        <v>0</v>
      </c>
      <c r="T1996" s="1">
        <f>IF(NOT(Paths!$C$187=1),0,IF(Paths!$P$187="Complete",IF(C1996=0,0,VLOOKUP(A1996,'Fleet register'!$A$7:$S$106,9,FALSE)*Paths!$R$187),"n.a."))</f>
        <v>0</v>
      </c>
    </row>
    <row r="1997" spans="1:20" ht="24" customHeight="1">
      <c r="A1997" s="1" t="str">
        <f>Paths!$A$187</f>
        <v>T046</v>
      </c>
      <c r="B1997" s="1">
        <f>Paths!$B$187</f>
        <v>0</v>
      </c>
      <c r="C1997" s="1">
        <v>10</v>
      </c>
      <c r="D1997" s="1">
        <v>187</v>
      </c>
      <c r="E1997" s="1">
        <f>IF(OR(Paths!$C$187=0,C1997=0),0,MAX(0,MIN(C1997*12,Paths!$E$187)-(C1997-1)*12))</f>
        <v>0</v>
      </c>
      <c r="F1997" s="1">
        <f>IF(OR(Paths!$C$187=0,C1997=0),0,12-E1997)</f>
        <v>0</v>
      </c>
      <c r="G1997" s="16">
        <f>IF(NOT(Paths!$C$187=1),0,IF(Paths!$P$187="Complete",E1997/12*(Paths!$J$187*(1+'Operating costs'!$B$51)^MAX(0,C1997-1)+Paths!$K$187*(1+'Operating costs'!$B$53)^MAX(0,C1997-1)),"n.a."))</f>
        <v>0</v>
      </c>
      <c r="H1997" s="16">
        <f>IF(NOT(Paths!$C$187=1),0,IF(Paths!$P$187="Complete",F1997/12*(Paths!$L$187*(1+IF(Paths!$D$187="EV",'Operating costs'!$B$52,'Operating costs'!$B$51))^MAX(0,C1997-1)+Paths!$M$187*(1+'Operating costs'!$B$53)^MAX(0,C1997-1)),"n.a."))</f>
        <v>0</v>
      </c>
      <c r="I1997" s="16">
        <f>IF(NOT(Paths!$C$187=1),0,IF(Paths!$P$187="Complete",IF(IF(Paths!$E$187=0,C1997=0,AND(C1997&gt;0,Paths!$E$187&gt;(C1997-1)*12,Paths!$E$187&lt;=C1997*12)),Paths!$G$187,0),"n.a."))</f>
        <v>0</v>
      </c>
      <c r="J1997" s="16">
        <f>IF(NOT(Paths!$C$187=1),0,IF(Paths!$P$187="Complete",IF(IF(Paths!$E$187=0,C1997=0,AND(C1997&gt;0,Paths!$E$187&gt;(C1997-1)*12,Paths!$E$187&lt;=C1997*12)),Paths!$H$187,0),"n.a."))</f>
        <v>0</v>
      </c>
      <c r="K1997" s="16">
        <f>IF(NOT(Paths!$C$187=1),0,IF(Paths!$P$187="Complete",IF(IF(Paths!$O$187=0,C1997=0,AND(C1997&gt;0,Paths!$O$187&gt;(C1997-1)*12,Paths!$O$187&lt;=C1997*12)),Paths!$N$187,0),"n.a."))</f>
        <v>0</v>
      </c>
      <c r="L1997" s="16">
        <f>IF(NOT(Paths!$C$187=1),0,IF(Paths!$P$187="Complete",IF(C1997=10,Paths!$I$187,0),"n.a."))</f>
        <v>0</v>
      </c>
      <c r="M1997" s="16">
        <f>IF(NOT(Paths!$C$187=1),0,IF(Paths!$P$187="Complete",IF(AND(Paths!$D$187="EV",Paths!$E$187&lt;120,Paths!$E$187+'Operating costs'!$B$65&gt;Paths!$E$187,Paths!$E$187+'Operating costs'!$B$65&lt;=120,IF(Paths!$E$187+'Operating costs'!$B$65=0,C1997=0,AND(C1997&gt;0,Paths!$E$187+'Operating costs'!$B$65&gt;(C1997-1)*12,Paths!$E$187+'Operating costs'!$B$65&lt;=C1997*12))),'Operating costs'!$B$64,0)+IF(AND('Operating costs'!$B$67&gt;0,'Operating costs'!$B$67&lt;=120,OR(Paths!$D$187="ICE",'Operating costs'!$B$67&lt;=Paths!$E$187),IF('Operating costs'!$B$67=0,C1997=0,AND(C1997&gt;0,'Operating costs'!$B$67&gt;(C1997-1)*12,'Operating costs'!$B$67&lt;=C1997*12))),'Operating costs'!$B$66,0),"n.a."))</f>
        <v>0</v>
      </c>
      <c r="N1997" s="16">
        <f>IF(NOT(Paths!$C$187=1),0,IF(Paths!$P$187="Complete",SUM(G1997:I1997)-J1997-K1997-L1997+M1997+IF(C1997=0,Paths!$F$187,0)+IF(IF(Paths!$E$187=0,C1997=0,AND(C1997&gt;0,Paths!$E$187&gt;(C1997-1)*12,Paths!$E$187&lt;=C1997*12)),VLOOKUP(A1997,'Fleet register'!$A$7:$S$106,16,FALSE),0),"n.a."))</f>
        <v>0</v>
      </c>
      <c r="O1997" s="16">
        <f>IF(NOT(Paths!$C$187=1),0,IF(Paths!$P$187="Complete",N1997-IF(C1997=0,Paths!$F$187,0),"n.a."))</f>
        <v>0</v>
      </c>
      <c r="P1997" s="16">
        <f>IF(NOT(Paths!$C$187=1),0,IF(Paths!$P$187="Complete",O1997+L1997,"n.a."))</f>
        <v>0</v>
      </c>
      <c r="Q1997" s="16">
        <f>IF(NOT(Paths!$C$187=1),0,IF(Paths!$P$187="Complete",N1997*(1+'Operating costs'!$B$54)^-C1997,"n.a."))</f>
        <v>0</v>
      </c>
      <c r="R1997" s="16">
        <f>IF(NOT(Paths!$C$187=1),0,IF(Paths!$P$187="Complete",IF(AND(C1997=0,Paths!$E$187=0),I1997-J1997-K1997+VLOOKUP(A1997,'Fleet register'!$A$7:$S$106,15,FALSE)+VLOOKUP(A1997,'Fleet register'!$A$7:$S$106,16,FALSE),0),"n.a."))</f>
        <v>0</v>
      </c>
      <c r="S1997" s="1">
        <f>IF(NOT(Paths!$C$187=1),0,IF(Paths!$P$187="Complete",IF(C1997=0,0,Paths!$S$187*Paths!$R$187),"n.a."))</f>
        <v>0</v>
      </c>
      <c r="T1997" s="1">
        <f>IF(NOT(Paths!$C$187=1),0,IF(Paths!$P$187="Complete",IF(C1997=0,0,VLOOKUP(A1997,'Fleet register'!$A$7:$S$106,9,FALSE)*Paths!$R$187),"n.a."))</f>
        <v>0</v>
      </c>
    </row>
    <row r="1998" spans="1:20" ht="24" customHeight="1">
      <c r="A1998" s="1" t="str">
        <f>Paths!$A$188</f>
        <v>T046</v>
      </c>
      <c r="B1998" s="1">
        <f>Paths!$B$188</f>
        <v>1</v>
      </c>
      <c r="C1998" s="1">
        <v>0</v>
      </c>
      <c r="D1998" s="1">
        <v>188</v>
      </c>
      <c r="E1998" s="1">
        <f>IF(OR(Paths!$C$188=0,C1998=0),0,MAX(0,MIN(C1998*12,Paths!$E$188)-(C1998-1)*12))</f>
        <v>0</v>
      </c>
      <c r="F1998" s="1">
        <f>IF(OR(Paths!$C$188=0,C1998=0),0,12-E1998)</f>
        <v>0</v>
      </c>
      <c r="G1998" s="16">
        <f>IF(NOT(Paths!$C$188=1),0,IF(Paths!$P$188="Complete",E1998/12*(Paths!$J$188*(1+'Operating costs'!$B$51)^MAX(0,C1998-1)+Paths!$K$188*(1+'Operating costs'!$B$53)^MAX(0,C1998-1)),"n.a."))</f>
        <v>0</v>
      </c>
      <c r="H1998" s="16">
        <f>IF(NOT(Paths!$C$188=1),0,IF(Paths!$P$188="Complete",F1998/12*(Paths!$L$188*(1+IF(Paths!$D$188="EV",'Operating costs'!$B$52,'Operating costs'!$B$51))^MAX(0,C1998-1)+Paths!$M$188*(1+'Operating costs'!$B$53)^MAX(0,C1998-1)),"n.a."))</f>
        <v>0</v>
      </c>
      <c r="I1998" s="16">
        <f>IF(NOT(Paths!$C$188=1),0,IF(Paths!$P$188="Complete",IF(IF(Paths!$E$188=0,C1998=0,AND(C1998&gt;0,Paths!$E$188&gt;(C1998-1)*12,Paths!$E$188&lt;=C1998*12)),Paths!$G$188,0),"n.a."))</f>
        <v>0</v>
      </c>
      <c r="J1998" s="16">
        <f>IF(NOT(Paths!$C$188=1),0,IF(Paths!$P$188="Complete",IF(IF(Paths!$E$188=0,C1998=0,AND(C1998&gt;0,Paths!$E$188&gt;(C1998-1)*12,Paths!$E$188&lt;=C1998*12)),Paths!$H$188,0),"n.a."))</f>
        <v>0</v>
      </c>
      <c r="K1998" s="16">
        <f>IF(NOT(Paths!$C$188=1),0,IF(Paths!$P$188="Complete",IF(IF(Paths!$O$188=0,C1998=0,AND(C1998&gt;0,Paths!$O$188&gt;(C1998-1)*12,Paths!$O$188&lt;=C1998*12)),Paths!$N$188,0),"n.a."))</f>
        <v>0</v>
      </c>
      <c r="L1998" s="16">
        <f>IF(NOT(Paths!$C$188=1),0,IF(Paths!$P$188="Complete",IF(C1998=10,Paths!$I$188,0),"n.a."))</f>
        <v>0</v>
      </c>
      <c r="M1998" s="16">
        <f>IF(NOT(Paths!$C$188=1),0,IF(Paths!$P$188="Complete",IF(AND(Paths!$D$188="EV",Paths!$E$188&lt;120,Paths!$E$188+'Operating costs'!$B$65&gt;Paths!$E$188,Paths!$E$188+'Operating costs'!$B$65&lt;=120,IF(Paths!$E$188+'Operating costs'!$B$65=0,C1998=0,AND(C1998&gt;0,Paths!$E$188+'Operating costs'!$B$65&gt;(C1998-1)*12,Paths!$E$188+'Operating costs'!$B$65&lt;=C1998*12))),'Operating costs'!$B$64,0)+IF(AND('Operating costs'!$B$67&gt;0,'Operating costs'!$B$67&lt;=120,OR(Paths!$D$188="ICE",'Operating costs'!$B$67&lt;=Paths!$E$188),IF('Operating costs'!$B$67=0,C1998=0,AND(C1998&gt;0,'Operating costs'!$B$67&gt;(C1998-1)*12,'Operating costs'!$B$67&lt;=C1998*12))),'Operating costs'!$B$66,0),"n.a."))</f>
        <v>0</v>
      </c>
      <c r="N1998" s="16">
        <f>IF(NOT(Paths!$C$188=1),0,IF(Paths!$P$188="Complete",SUM(G1998:I1998)-J1998-K1998-L1998+M1998+IF(C1998=0,Paths!$F$188,0)+IF(IF(Paths!$E$188=0,C1998=0,AND(C1998&gt;0,Paths!$E$188&gt;(C1998-1)*12,Paths!$E$188&lt;=C1998*12)),VLOOKUP(A1998,'Fleet register'!$A$7:$S$106,16,FALSE),0),"n.a."))</f>
        <v>0</v>
      </c>
      <c r="O1998" s="16">
        <f>IF(NOT(Paths!$C$188=1),0,IF(Paths!$P$188="Complete",N1998-IF(C1998=0,Paths!$F$188,0),"n.a."))</f>
        <v>0</v>
      </c>
      <c r="P1998" s="16">
        <f>IF(NOT(Paths!$C$188=1),0,IF(Paths!$P$188="Complete",O1998+L1998,"n.a."))</f>
        <v>0</v>
      </c>
      <c r="Q1998" s="16">
        <f>IF(NOT(Paths!$C$188=1),0,IF(Paths!$P$188="Complete",N1998*(1+'Operating costs'!$B$54)^-C1998,"n.a."))</f>
        <v>0</v>
      </c>
      <c r="R1998" s="16">
        <f>IF(NOT(Paths!$C$188=1),0,IF(Paths!$P$188="Complete",IF(AND(C1998=0,Paths!$E$188=0),I1998-J1998-K1998+VLOOKUP(A1998,'Fleet register'!$A$7:$S$106,15,FALSE)+VLOOKUP(A1998,'Fleet register'!$A$7:$S$106,16,FALSE),0),"n.a."))</f>
        <v>0</v>
      </c>
      <c r="S1998" s="1">
        <f>IF(NOT(Paths!$C$188=1),0,IF(Paths!$P$188="Complete",IF(C1998=0,0,Paths!$S$188*Paths!$R$188),"n.a."))</f>
        <v>0</v>
      </c>
      <c r="T1998" s="1">
        <f>IF(NOT(Paths!$C$188=1),0,IF(Paths!$P$188="Complete",IF(C1998=0,0,VLOOKUP(A1998,'Fleet register'!$A$7:$S$106,9,FALSE)*Paths!$R$188),"n.a."))</f>
        <v>0</v>
      </c>
    </row>
    <row r="1999" spans="1:20" ht="24" customHeight="1">
      <c r="A1999" s="1" t="str">
        <f>Paths!$A$188</f>
        <v>T046</v>
      </c>
      <c r="B1999" s="1">
        <f>Paths!$B$188</f>
        <v>1</v>
      </c>
      <c r="C1999" s="1">
        <v>1</v>
      </c>
      <c r="D1999" s="1">
        <v>188</v>
      </c>
      <c r="E1999" s="1">
        <f>IF(OR(Paths!$C$188=0,C1999=0),0,MAX(0,MIN(C1999*12,Paths!$E$188)-(C1999-1)*12))</f>
        <v>0</v>
      </c>
      <c r="F1999" s="1">
        <f>IF(OR(Paths!$C$188=0,C1999=0),0,12-E1999)</f>
        <v>0</v>
      </c>
      <c r="G1999" s="16">
        <f>IF(NOT(Paths!$C$188=1),0,IF(Paths!$P$188="Complete",E1999/12*(Paths!$J$188*(1+'Operating costs'!$B$51)^MAX(0,C1999-1)+Paths!$K$188*(1+'Operating costs'!$B$53)^MAX(0,C1999-1)),"n.a."))</f>
        <v>0</v>
      </c>
      <c r="H1999" s="16">
        <f>IF(NOT(Paths!$C$188=1),0,IF(Paths!$P$188="Complete",F1999/12*(Paths!$L$188*(1+IF(Paths!$D$188="EV",'Operating costs'!$B$52,'Operating costs'!$B$51))^MAX(0,C1999-1)+Paths!$M$188*(1+'Operating costs'!$B$53)^MAX(0,C1999-1)),"n.a."))</f>
        <v>0</v>
      </c>
      <c r="I1999" s="16">
        <f>IF(NOT(Paths!$C$188=1),0,IF(Paths!$P$188="Complete",IF(IF(Paths!$E$188=0,C1999=0,AND(C1999&gt;0,Paths!$E$188&gt;(C1999-1)*12,Paths!$E$188&lt;=C1999*12)),Paths!$G$188,0),"n.a."))</f>
        <v>0</v>
      </c>
      <c r="J1999" s="16">
        <f>IF(NOT(Paths!$C$188=1),0,IF(Paths!$P$188="Complete",IF(IF(Paths!$E$188=0,C1999=0,AND(C1999&gt;0,Paths!$E$188&gt;(C1999-1)*12,Paths!$E$188&lt;=C1999*12)),Paths!$H$188,0),"n.a."))</f>
        <v>0</v>
      </c>
      <c r="K1999" s="16">
        <f>IF(NOT(Paths!$C$188=1),0,IF(Paths!$P$188="Complete",IF(IF(Paths!$O$188=0,C1999=0,AND(C1999&gt;0,Paths!$O$188&gt;(C1999-1)*12,Paths!$O$188&lt;=C1999*12)),Paths!$N$188,0),"n.a."))</f>
        <v>0</v>
      </c>
      <c r="L1999" s="16">
        <f>IF(NOT(Paths!$C$188=1),0,IF(Paths!$P$188="Complete",IF(C1999=10,Paths!$I$188,0),"n.a."))</f>
        <v>0</v>
      </c>
      <c r="M1999" s="16">
        <f>IF(NOT(Paths!$C$188=1),0,IF(Paths!$P$188="Complete",IF(AND(Paths!$D$188="EV",Paths!$E$188&lt;120,Paths!$E$188+'Operating costs'!$B$65&gt;Paths!$E$188,Paths!$E$188+'Operating costs'!$B$65&lt;=120,IF(Paths!$E$188+'Operating costs'!$B$65=0,C1999=0,AND(C1999&gt;0,Paths!$E$188+'Operating costs'!$B$65&gt;(C1999-1)*12,Paths!$E$188+'Operating costs'!$B$65&lt;=C1999*12))),'Operating costs'!$B$64,0)+IF(AND('Operating costs'!$B$67&gt;0,'Operating costs'!$B$67&lt;=120,OR(Paths!$D$188="ICE",'Operating costs'!$B$67&lt;=Paths!$E$188),IF('Operating costs'!$B$67=0,C1999=0,AND(C1999&gt;0,'Operating costs'!$B$67&gt;(C1999-1)*12,'Operating costs'!$B$67&lt;=C1999*12))),'Operating costs'!$B$66,0),"n.a."))</f>
        <v>0</v>
      </c>
      <c r="N1999" s="16">
        <f>IF(NOT(Paths!$C$188=1),0,IF(Paths!$P$188="Complete",SUM(G1999:I1999)-J1999-K1999-L1999+M1999+IF(C1999=0,Paths!$F$188,0)+IF(IF(Paths!$E$188=0,C1999=0,AND(C1999&gt;0,Paths!$E$188&gt;(C1999-1)*12,Paths!$E$188&lt;=C1999*12)),VLOOKUP(A1999,'Fleet register'!$A$7:$S$106,16,FALSE),0),"n.a."))</f>
        <v>0</v>
      </c>
      <c r="O1999" s="16">
        <f>IF(NOT(Paths!$C$188=1),0,IF(Paths!$P$188="Complete",N1999-IF(C1999=0,Paths!$F$188,0),"n.a."))</f>
        <v>0</v>
      </c>
      <c r="P1999" s="16">
        <f>IF(NOT(Paths!$C$188=1),0,IF(Paths!$P$188="Complete",O1999+L1999,"n.a."))</f>
        <v>0</v>
      </c>
      <c r="Q1999" s="16">
        <f>IF(NOT(Paths!$C$188=1),0,IF(Paths!$P$188="Complete",N1999*(1+'Operating costs'!$B$54)^-C1999,"n.a."))</f>
        <v>0</v>
      </c>
      <c r="R1999" s="16">
        <f>IF(NOT(Paths!$C$188=1),0,IF(Paths!$P$188="Complete",IF(AND(C1999=0,Paths!$E$188=0),I1999-J1999-K1999+VLOOKUP(A1999,'Fleet register'!$A$7:$S$106,15,FALSE)+VLOOKUP(A1999,'Fleet register'!$A$7:$S$106,16,FALSE),0),"n.a."))</f>
        <v>0</v>
      </c>
      <c r="S1999" s="1">
        <f>IF(NOT(Paths!$C$188=1),0,IF(Paths!$P$188="Complete",IF(C1999=0,0,Paths!$S$188*Paths!$R$188),"n.a."))</f>
        <v>0</v>
      </c>
      <c r="T1999" s="1">
        <f>IF(NOT(Paths!$C$188=1),0,IF(Paths!$P$188="Complete",IF(C1999=0,0,VLOOKUP(A1999,'Fleet register'!$A$7:$S$106,9,FALSE)*Paths!$R$188),"n.a."))</f>
        <v>0</v>
      </c>
    </row>
    <row r="2000" spans="1:20" ht="24" customHeight="1">
      <c r="A2000" s="1" t="str">
        <f>Paths!$A$188</f>
        <v>T046</v>
      </c>
      <c r="B2000" s="1">
        <f>Paths!$B$188</f>
        <v>1</v>
      </c>
      <c r="C2000" s="1">
        <v>2</v>
      </c>
      <c r="D2000" s="1">
        <v>188</v>
      </c>
      <c r="E2000" s="1">
        <f>IF(OR(Paths!$C$188=0,C2000=0),0,MAX(0,MIN(C2000*12,Paths!$E$188)-(C2000-1)*12))</f>
        <v>0</v>
      </c>
      <c r="F2000" s="1">
        <f>IF(OR(Paths!$C$188=0,C2000=0),0,12-E2000)</f>
        <v>0</v>
      </c>
      <c r="G2000" s="16">
        <f>IF(NOT(Paths!$C$188=1),0,IF(Paths!$P$188="Complete",E2000/12*(Paths!$J$188*(1+'Operating costs'!$B$51)^MAX(0,C2000-1)+Paths!$K$188*(1+'Operating costs'!$B$53)^MAX(0,C2000-1)),"n.a."))</f>
        <v>0</v>
      </c>
      <c r="H2000" s="16">
        <f>IF(NOT(Paths!$C$188=1),0,IF(Paths!$P$188="Complete",F2000/12*(Paths!$L$188*(1+IF(Paths!$D$188="EV",'Operating costs'!$B$52,'Operating costs'!$B$51))^MAX(0,C2000-1)+Paths!$M$188*(1+'Operating costs'!$B$53)^MAX(0,C2000-1)),"n.a."))</f>
        <v>0</v>
      </c>
      <c r="I2000" s="16">
        <f>IF(NOT(Paths!$C$188=1),0,IF(Paths!$P$188="Complete",IF(IF(Paths!$E$188=0,C2000=0,AND(C2000&gt;0,Paths!$E$188&gt;(C2000-1)*12,Paths!$E$188&lt;=C2000*12)),Paths!$G$188,0),"n.a."))</f>
        <v>0</v>
      </c>
      <c r="J2000" s="16">
        <f>IF(NOT(Paths!$C$188=1),0,IF(Paths!$P$188="Complete",IF(IF(Paths!$E$188=0,C2000=0,AND(C2000&gt;0,Paths!$E$188&gt;(C2000-1)*12,Paths!$E$188&lt;=C2000*12)),Paths!$H$188,0),"n.a."))</f>
        <v>0</v>
      </c>
      <c r="K2000" s="16">
        <f>IF(NOT(Paths!$C$188=1),0,IF(Paths!$P$188="Complete",IF(IF(Paths!$O$188=0,C2000=0,AND(C2000&gt;0,Paths!$O$188&gt;(C2000-1)*12,Paths!$O$188&lt;=C2000*12)),Paths!$N$188,0),"n.a."))</f>
        <v>0</v>
      </c>
      <c r="L2000" s="16">
        <f>IF(NOT(Paths!$C$188=1),0,IF(Paths!$P$188="Complete",IF(C2000=10,Paths!$I$188,0),"n.a."))</f>
        <v>0</v>
      </c>
      <c r="M2000" s="16">
        <f>IF(NOT(Paths!$C$188=1),0,IF(Paths!$P$188="Complete",IF(AND(Paths!$D$188="EV",Paths!$E$188&lt;120,Paths!$E$188+'Operating costs'!$B$65&gt;Paths!$E$188,Paths!$E$188+'Operating costs'!$B$65&lt;=120,IF(Paths!$E$188+'Operating costs'!$B$65=0,C2000=0,AND(C2000&gt;0,Paths!$E$188+'Operating costs'!$B$65&gt;(C2000-1)*12,Paths!$E$188+'Operating costs'!$B$65&lt;=C2000*12))),'Operating costs'!$B$64,0)+IF(AND('Operating costs'!$B$67&gt;0,'Operating costs'!$B$67&lt;=120,OR(Paths!$D$188="ICE",'Operating costs'!$B$67&lt;=Paths!$E$188),IF('Operating costs'!$B$67=0,C2000=0,AND(C2000&gt;0,'Operating costs'!$B$67&gt;(C2000-1)*12,'Operating costs'!$B$67&lt;=C2000*12))),'Operating costs'!$B$66,0),"n.a."))</f>
        <v>0</v>
      </c>
      <c r="N2000" s="16">
        <f>IF(NOT(Paths!$C$188=1),0,IF(Paths!$P$188="Complete",SUM(G2000:I2000)-J2000-K2000-L2000+M2000+IF(C2000=0,Paths!$F$188,0)+IF(IF(Paths!$E$188=0,C2000=0,AND(C2000&gt;0,Paths!$E$188&gt;(C2000-1)*12,Paths!$E$188&lt;=C2000*12)),VLOOKUP(A2000,'Fleet register'!$A$7:$S$106,16,FALSE),0),"n.a."))</f>
        <v>0</v>
      </c>
      <c r="O2000" s="16">
        <f>IF(NOT(Paths!$C$188=1),0,IF(Paths!$P$188="Complete",N2000-IF(C2000=0,Paths!$F$188,0),"n.a."))</f>
        <v>0</v>
      </c>
      <c r="P2000" s="16">
        <f>IF(NOT(Paths!$C$188=1),0,IF(Paths!$P$188="Complete",O2000+L2000,"n.a."))</f>
        <v>0</v>
      </c>
      <c r="Q2000" s="16">
        <f>IF(NOT(Paths!$C$188=1),0,IF(Paths!$P$188="Complete",N2000*(1+'Operating costs'!$B$54)^-C2000,"n.a."))</f>
        <v>0</v>
      </c>
      <c r="R2000" s="16">
        <f>IF(NOT(Paths!$C$188=1),0,IF(Paths!$P$188="Complete",IF(AND(C2000=0,Paths!$E$188=0),I2000-J2000-K2000+VLOOKUP(A2000,'Fleet register'!$A$7:$S$106,15,FALSE)+VLOOKUP(A2000,'Fleet register'!$A$7:$S$106,16,FALSE),0),"n.a."))</f>
        <v>0</v>
      </c>
      <c r="S2000" s="1">
        <f>IF(NOT(Paths!$C$188=1),0,IF(Paths!$P$188="Complete",IF(C2000=0,0,Paths!$S$188*Paths!$R$188),"n.a."))</f>
        <v>0</v>
      </c>
      <c r="T2000" s="1">
        <f>IF(NOT(Paths!$C$188=1),0,IF(Paths!$P$188="Complete",IF(C2000=0,0,VLOOKUP(A2000,'Fleet register'!$A$7:$S$106,9,FALSE)*Paths!$R$188),"n.a."))</f>
        <v>0</v>
      </c>
    </row>
    <row r="2001" spans="1:20" ht="24" customHeight="1">
      <c r="A2001" s="1" t="str">
        <f>Paths!$A$188</f>
        <v>T046</v>
      </c>
      <c r="B2001" s="1">
        <f>Paths!$B$188</f>
        <v>1</v>
      </c>
      <c r="C2001" s="1">
        <v>3</v>
      </c>
      <c r="D2001" s="1">
        <v>188</v>
      </c>
      <c r="E2001" s="1">
        <f>IF(OR(Paths!$C$188=0,C2001=0),0,MAX(0,MIN(C2001*12,Paths!$E$188)-(C2001-1)*12))</f>
        <v>0</v>
      </c>
      <c r="F2001" s="1">
        <f>IF(OR(Paths!$C$188=0,C2001=0),0,12-E2001)</f>
        <v>0</v>
      </c>
      <c r="G2001" s="16">
        <f>IF(NOT(Paths!$C$188=1),0,IF(Paths!$P$188="Complete",E2001/12*(Paths!$J$188*(1+'Operating costs'!$B$51)^MAX(0,C2001-1)+Paths!$K$188*(1+'Operating costs'!$B$53)^MAX(0,C2001-1)),"n.a."))</f>
        <v>0</v>
      </c>
      <c r="H2001" s="16">
        <f>IF(NOT(Paths!$C$188=1),0,IF(Paths!$P$188="Complete",F2001/12*(Paths!$L$188*(1+IF(Paths!$D$188="EV",'Operating costs'!$B$52,'Operating costs'!$B$51))^MAX(0,C2001-1)+Paths!$M$188*(1+'Operating costs'!$B$53)^MAX(0,C2001-1)),"n.a."))</f>
        <v>0</v>
      </c>
      <c r="I2001" s="16">
        <f>IF(NOT(Paths!$C$188=1),0,IF(Paths!$P$188="Complete",IF(IF(Paths!$E$188=0,C2001=0,AND(C2001&gt;0,Paths!$E$188&gt;(C2001-1)*12,Paths!$E$188&lt;=C2001*12)),Paths!$G$188,0),"n.a."))</f>
        <v>0</v>
      </c>
      <c r="J2001" s="16">
        <f>IF(NOT(Paths!$C$188=1),0,IF(Paths!$P$188="Complete",IF(IF(Paths!$E$188=0,C2001=0,AND(C2001&gt;0,Paths!$E$188&gt;(C2001-1)*12,Paths!$E$188&lt;=C2001*12)),Paths!$H$188,0),"n.a."))</f>
        <v>0</v>
      </c>
      <c r="K2001" s="16">
        <f>IF(NOT(Paths!$C$188=1),0,IF(Paths!$P$188="Complete",IF(IF(Paths!$O$188=0,C2001=0,AND(C2001&gt;0,Paths!$O$188&gt;(C2001-1)*12,Paths!$O$188&lt;=C2001*12)),Paths!$N$188,0),"n.a."))</f>
        <v>0</v>
      </c>
      <c r="L2001" s="16">
        <f>IF(NOT(Paths!$C$188=1),0,IF(Paths!$P$188="Complete",IF(C2001=10,Paths!$I$188,0),"n.a."))</f>
        <v>0</v>
      </c>
      <c r="M2001" s="16">
        <f>IF(NOT(Paths!$C$188=1),0,IF(Paths!$P$188="Complete",IF(AND(Paths!$D$188="EV",Paths!$E$188&lt;120,Paths!$E$188+'Operating costs'!$B$65&gt;Paths!$E$188,Paths!$E$188+'Operating costs'!$B$65&lt;=120,IF(Paths!$E$188+'Operating costs'!$B$65=0,C2001=0,AND(C2001&gt;0,Paths!$E$188+'Operating costs'!$B$65&gt;(C2001-1)*12,Paths!$E$188+'Operating costs'!$B$65&lt;=C2001*12))),'Operating costs'!$B$64,0)+IF(AND('Operating costs'!$B$67&gt;0,'Operating costs'!$B$67&lt;=120,OR(Paths!$D$188="ICE",'Operating costs'!$B$67&lt;=Paths!$E$188),IF('Operating costs'!$B$67=0,C2001=0,AND(C2001&gt;0,'Operating costs'!$B$67&gt;(C2001-1)*12,'Operating costs'!$B$67&lt;=C2001*12))),'Operating costs'!$B$66,0),"n.a."))</f>
        <v>0</v>
      </c>
      <c r="N2001" s="16">
        <f>IF(NOT(Paths!$C$188=1),0,IF(Paths!$P$188="Complete",SUM(G2001:I2001)-J2001-K2001-L2001+M2001+IF(C2001=0,Paths!$F$188,0)+IF(IF(Paths!$E$188=0,C2001=0,AND(C2001&gt;0,Paths!$E$188&gt;(C2001-1)*12,Paths!$E$188&lt;=C2001*12)),VLOOKUP(A2001,'Fleet register'!$A$7:$S$106,16,FALSE),0),"n.a."))</f>
        <v>0</v>
      </c>
      <c r="O2001" s="16">
        <f>IF(NOT(Paths!$C$188=1),0,IF(Paths!$P$188="Complete",N2001-IF(C2001=0,Paths!$F$188,0),"n.a."))</f>
        <v>0</v>
      </c>
      <c r="P2001" s="16">
        <f>IF(NOT(Paths!$C$188=1),0,IF(Paths!$P$188="Complete",O2001+L2001,"n.a."))</f>
        <v>0</v>
      </c>
      <c r="Q2001" s="16">
        <f>IF(NOT(Paths!$C$188=1),0,IF(Paths!$P$188="Complete",N2001*(1+'Operating costs'!$B$54)^-C2001,"n.a."))</f>
        <v>0</v>
      </c>
      <c r="R2001" s="16">
        <f>IF(NOT(Paths!$C$188=1),0,IF(Paths!$P$188="Complete",IF(AND(C2001=0,Paths!$E$188=0),I2001-J2001-K2001+VLOOKUP(A2001,'Fleet register'!$A$7:$S$106,15,FALSE)+VLOOKUP(A2001,'Fleet register'!$A$7:$S$106,16,FALSE),0),"n.a."))</f>
        <v>0</v>
      </c>
      <c r="S2001" s="1">
        <f>IF(NOT(Paths!$C$188=1),0,IF(Paths!$P$188="Complete",IF(C2001=0,0,Paths!$S$188*Paths!$R$188),"n.a."))</f>
        <v>0</v>
      </c>
      <c r="T2001" s="1">
        <f>IF(NOT(Paths!$C$188=1),0,IF(Paths!$P$188="Complete",IF(C2001=0,0,VLOOKUP(A2001,'Fleet register'!$A$7:$S$106,9,FALSE)*Paths!$R$188),"n.a."))</f>
        <v>0</v>
      </c>
    </row>
    <row r="2002" spans="1:20" ht="24" customHeight="1">
      <c r="A2002" s="1" t="str">
        <f>Paths!$A$188</f>
        <v>T046</v>
      </c>
      <c r="B2002" s="1">
        <f>Paths!$B$188</f>
        <v>1</v>
      </c>
      <c r="C2002" s="1">
        <v>4</v>
      </c>
      <c r="D2002" s="1">
        <v>188</v>
      </c>
      <c r="E2002" s="1">
        <f>IF(OR(Paths!$C$188=0,C2002=0),0,MAX(0,MIN(C2002*12,Paths!$E$188)-(C2002-1)*12))</f>
        <v>0</v>
      </c>
      <c r="F2002" s="1">
        <f>IF(OR(Paths!$C$188=0,C2002=0),0,12-E2002)</f>
        <v>0</v>
      </c>
      <c r="G2002" s="16">
        <f>IF(NOT(Paths!$C$188=1),0,IF(Paths!$P$188="Complete",E2002/12*(Paths!$J$188*(1+'Operating costs'!$B$51)^MAX(0,C2002-1)+Paths!$K$188*(1+'Operating costs'!$B$53)^MAX(0,C2002-1)),"n.a."))</f>
        <v>0</v>
      </c>
      <c r="H2002" s="16">
        <f>IF(NOT(Paths!$C$188=1),0,IF(Paths!$P$188="Complete",F2002/12*(Paths!$L$188*(1+IF(Paths!$D$188="EV",'Operating costs'!$B$52,'Operating costs'!$B$51))^MAX(0,C2002-1)+Paths!$M$188*(1+'Operating costs'!$B$53)^MAX(0,C2002-1)),"n.a."))</f>
        <v>0</v>
      </c>
      <c r="I2002" s="16">
        <f>IF(NOT(Paths!$C$188=1),0,IF(Paths!$P$188="Complete",IF(IF(Paths!$E$188=0,C2002=0,AND(C2002&gt;0,Paths!$E$188&gt;(C2002-1)*12,Paths!$E$188&lt;=C2002*12)),Paths!$G$188,0),"n.a."))</f>
        <v>0</v>
      </c>
      <c r="J2002" s="16">
        <f>IF(NOT(Paths!$C$188=1),0,IF(Paths!$P$188="Complete",IF(IF(Paths!$E$188=0,C2002=0,AND(C2002&gt;0,Paths!$E$188&gt;(C2002-1)*12,Paths!$E$188&lt;=C2002*12)),Paths!$H$188,0),"n.a."))</f>
        <v>0</v>
      </c>
      <c r="K2002" s="16">
        <f>IF(NOT(Paths!$C$188=1),0,IF(Paths!$P$188="Complete",IF(IF(Paths!$O$188=0,C2002=0,AND(C2002&gt;0,Paths!$O$188&gt;(C2002-1)*12,Paths!$O$188&lt;=C2002*12)),Paths!$N$188,0),"n.a."))</f>
        <v>0</v>
      </c>
      <c r="L2002" s="16">
        <f>IF(NOT(Paths!$C$188=1),0,IF(Paths!$P$188="Complete",IF(C2002=10,Paths!$I$188,0),"n.a."))</f>
        <v>0</v>
      </c>
      <c r="M2002" s="16">
        <f>IF(NOT(Paths!$C$188=1),0,IF(Paths!$P$188="Complete",IF(AND(Paths!$D$188="EV",Paths!$E$188&lt;120,Paths!$E$188+'Operating costs'!$B$65&gt;Paths!$E$188,Paths!$E$188+'Operating costs'!$B$65&lt;=120,IF(Paths!$E$188+'Operating costs'!$B$65=0,C2002=0,AND(C2002&gt;0,Paths!$E$188+'Operating costs'!$B$65&gt;(C2002-1)*12,Paths!$E$188+'Operating costs'!$B$65&lt;=C2002*12))),'Operating costs'!$B$64,0)+IF(AND('Operating costs'!$B$67&gt;0,'Operating costs'!$B$67&lt;=120,OR(Paths!$D$188="ICE",'Operating costs'!$B$67&lt;=Paths!$E$188),IF('Operating costs'!$B$67=0,C2002=0,AND(C2002&gt;0,'Operating costs'!$B$67&gt;(C2002-1)*12,'Operating costs'!$B$67&lt;=C2002*12))),'Operating costs'!$B$66,0),"n.a."))</f>
        <v>0</v>
      </c>
      <c r="N2002" s="16">
        <f>IF(NOT(Paths!$C$188=1),0,IF(Paths!$P$188="Complete",SUM(G2002:I2002)-J2002-K2002-L2002+M2002+IF(C2002=0,Paths!$F$188,0)+IF(IF(Paths!$E$188=0,C2002=0,AND(C2002&gt;0,Paths!$E$188&gt;(C2002-1)*12,Paths!$E$188&lt;=C2002*12)),VLOOKUP(A2002,'Fleet register'!$A$7:$S$106,16,FALSE),0),"n.a."))</f>
        <v>0</v>
      </c>
      <c r="O2002" s="16">
        <f>IF(NOT(Paths!$C$188=1),0,IF(Paths!$P$188="Complete",N2002-IF(C2002=0,Paths!$F$188,0),"n.a."))</f>
        <v>0</v>
      </c>
      <c r="P2002" s="16">
        <f>IF(NOT(Paths!$C$188=1),0,IF(Paths!$P$188="Complete",O2002+L2002,"n.a."))</f>
        <v>0</v>
      </c>
      <c r="Q2002" s="16">
        <f>IF(NOT(Paths!$C$188=1),0,IF(Paths!$P$188="Complete",N2002*(1+'Operating costs'!$B$54)^-C2002,"n.a."))</f>
        <v>0</v>
      </c>
      <c r="R2002" s="16">
        <f>IF(NOT(Paths!$C$188=1),0,IF(Paths!$P$188="Complete",IF(AND(C2002=0,Paths!$E$188=0),I2002-J2002-K2002+VLOOKUP(A2002,'Fleet register'!$A$7:$S$106,15,FALSE)+VLOOKUP(A2002,'Fleet register'!$A$7:$S$106,16,FALSE),0),"n.a."))</f>
        <v>0</v>
      </c>
      <c r="S2002" s="1">
        <f>IF(NOT(Paths!$C$188=1),0,IF(Paths!$P$188="Complete",IF(C2002=0,0,Paths!$S$188*Paths!$R$188),"n.a."))</f>
        <v>0</v>
      </c>
      <c r="T2002" s="1">
        <f>IF(NOT(Paths!$C$188=1),0,IF(Paths!$P$188="Complete",IF(C2002=0,0,VLOOKUP(A2002,'Fleet register'!$A$7:$S$106,9,FALSE)*Paths!$R$188),"n.a."))</f>
        <v>0</v>
      </c>
    </row>
    <row r="2003" spans="1:20" ht="24" customHeight="1">
      <c r="A2003" s="1" t="str">
        <f>Paths!$A$188</f>
        <v>T046</v>
      </c>
      <c r="B2003" s="1">
        <f>Paths!$B$188</f>
        <v>1</v>
      </c>
      <c r="C2003" s="1">
        <v>5</v>
      </c>
      <c r="D2003" s="1">
        <v>188</v>
      </c>
      <c r="E2003" s="1">
        <f>IF(OR(Paths!$C$188=0,C2003=0),0,MAX(0,MIN(C2003*12,Paths!$E$188)-(C2003-1)*12))</f>
        <v>0</v>
      </c>
      <c r="F2003" s="1">
        <f>IF(OR(Paths!$C$188=0,C2003=0),0,12-E2003)</f>
        <v>0</v>
      </c>
      <c r="G2003" s="16">
        <f>IF(NOT(Paths!$C$188=1),0,IF(Paths!$P$188="Complete",E2003/12*(Paths!$J$188*(1+'Operating costs'!$B$51)^MAX(0,C2003-1)+Paths!$K$188*(1+'Operating costs'!$B$53)^MAX(0,C2003-1)),"n.a."))</f>
        <v>0</v>
      </c>
      <c r="H2003" s="16">
        <f>IF(NOT(Paths!$C$188=1),0,IF(Paths!$P$188="Complete",F2003/12*(Paths!$L$188*(1+IF(Paths!$D$188="EV",'Operating costs'!$B$52,'Operating costs'!$B$51))^MAX(0,C2003-1)+Paths!$M$188*(1+'Operating costs'!$B$53)^MAX(0,C2003-1)),"n.a."))</f>
        <v>0</v>
      </c>
      <c r="I2003" s="16">
        <f>IF(NOT(Paths!$C$188=1),0,IF(Paths!$P$188="Complete",IF(IF(Paths!$E$188=0,C2003=0,AND(C2003&gt;0,Paths!$E$188&gt;(C2003-1)*12,Paths!$E$188&lt;=C2003*12)),Paths!$G$188,0),"n.a."))</f>
        <v>0</v>
      </c>
      <c r="J2003" s="16">
        <f>IF(NOT(Paths!$C$188=1),0,IF(Paths!$P$188="Complete",IF(IF(Paths!$E$188=0,C2003=0,AND(C2003&gt;0,Paths!$E$188&gt;(C2003-1)*12,Paths!$E$188&lt;=C2003*12)),Paths!$H$188,0),"n.a."))</f>
        <v>0</v>
      </c>
      <c r="K2003" s="16">
        <f>IF(NOT(Paths!$C$188=1),0,IF(Paths!$P$188="Complete",IF(IF(Paths!$O$188=0,C2003=0,AND(C2003&gt;0,Paths!$O$188&gt;(C2003-1)*12,Paths!$O$188&lt;=C2003*12)),Paths!$N$188,0),"n.a."))</f>
        <v>0</v>
      </c>
      <c r="L2003" s="16">
        <f>IF(NOT(Paths!$C$188=1),0,IF(Paths!$P$188="Complete",IF(C2003=10,Paths!$I$188,0),"n.a."))</f>
        <v>0</v>
      </c>
      <c r="M2003" s="16">
        <f>IF(NOT(Paths!$C$188=1),0,IF(Paths!$P$188="Complete",IF(AND(Paths!$D$188="EV",Paths!$E$188&lt;120,Paths!$E$188+'Operating costs'!$B$65&gt;Paths!$E$188,Paths!$E$188+'Operating costs'!$B$65&lt;=120,IF(Paths!$E$188+'Operating costs'!$B$65=0,C2003=0,AND(C2003&gt;0,Paths!$E$188+'Operating costs'!$B$65&gt;(C2003-1)*12,Paths!$E$188+'Operating costs'!$B$65&lt;=C2003*12))),'Operating costs'!$B$64,0)+IF(AND('Operating costs'!$B$67&gt;0,'Operating costs'!$B$67&lt;=120,OR(Paths!$D$188="ICE",'Operating costs'!$B$67&lt;=Paths!$E$188),IF('Operating costs'!$B$67=0,C2003=0,AND(C2003&gt;0,'Operating costs'!$B$67&gt;(C2003-1)*12,'Operating costs'!$B$67&lt;=C2003*12))),'Operating costs'!$B$66,0),"n.a."))</f>
        <v>0</v>
      </c>
      <c r="N2003" s="16">
        <f>IF(NOT(Paths!$C$188=1),0,IF(Paths!$P$188="Complete",SUM(G2003:I2003)-J2003-K2003-L2003+M2003+IF(C2003=0,Paths!$F$188,0)+IF(IF(Paths!$E$188=0,C2003=0,AND(C2003&gt;0,Paths!$E$188&gt;(C2003-1)*12,Paths!$E$188&lt;=C2003*12)),VLOOKUP(A2003,'Fleet register'!$A$7:$S$106,16,FALSE),0),"n.a."))</f>
        <v>0</v>
      </c>
      <c r="O2003" s="16">
        <f>IF(NOT(Paths!$C$188=1),0,IF(Paths!$P$188="Complete",N2003-IF(C2003=0,Paths!$F$188,0),"n.a."))</f>
        <v>0</v>
      </c>
      <c r="P2003" s="16">
        <f>IF(NOT(Paths!$C$188=1),0,IF(Paths!$P$188="Complete",O2003+L2003,"n.a."))</f>
        <v>0</v>
      </c>
      <c r="Q2003" s="16">
        <f>IF(NOT(Paths!$C$188=1),0,IF(Paths!$P$188="Complete",N2003*(1+'Operating costs'!$B$54)^-C2003,"n.a."))</f>
        <v>0</v>
      </c>
      <c r="R2003" s="16">
        <f>IF(NOT(Paths!$C$188=1),0,IF(Paths!$P$188="Complete",IF(AND(C2003=0,Paths!$E$188=0),I2003-J2003-K2003+VLOOKUP(A2003,'Fleet register'!$A$7:$S$106,15,FALSE)+VLOOKUP(A2003,'Fleet register'!$A$7:$S$106,16,FALSE),0),"n.a."))</f>
        <v>0</v>
      </c>
      <c r="S2003" s="1">
        <f>IF(NOT(Paths!$C$188=1),0,IF(Paths!$P$188="Complete",IF(C2003=0,0,Paths!$S$188*Paths!$R$188),"n.a."))</f>
        <v>0</v>
      </c>
      <c r="T2003" s="1">
        <f>IF(NOT(Paths!$C$188=1),0,IF(Paths!$P$188="Complete",IF(C2003=0,0,VLOOKUP(A2003,'Fleet register'!$A$7:$S$106,9,FALSE)*Paths!$R$188),"n.a."))</f>
        <v>0</v>
      </c>
    </row>
    <row r="2004" spans="1:20" ht="24" customHeight="1">
      <c r="A2004" s="1" t="str">
        <f>Paths!$A$188</f>
        <v>T046</v>
      </c>
      <c r="B2004" s="1">
        <f>Paths!$B$188</f>
        <v>1</v>
      </c>
      <c r="C2004" s="1">
        <v>6</v>
      </c>
      <c r="D2004" s="1">
        <v>188</v>
      </c>
      <c r="E2004" s="1">
        <f>IF(OR(Paths!$C$188=0,C2004=0),0,MAX(0,MIN(C2004*12,Paths!$E$188)-(C2004-1)*12))</f>
        <v>0</v>
      </c>
      <c r="F2004" s="1">
        <f>IF(OR(Paths!$C$188=0,C2004=0),0,12-E2004)</f>
        <v>0</v>
      </c>
      <c r="G2004" s="16">
        <f>IF(NOT(Paths!$C$188=1),0,IF(Paths!$P$188="Complete",E2004/12*(Paths!$J$188*(1+'Operating costs'!$B$51)^MAX(0,C2004-1)+Paths!$K$188*(1+'Operating costs'!$B$53)^MAX(0,C2004-1)),"n.a."))</f>
        <v>0</v>
      </c>
      <c r="H2004" s="16">
        <f>IF(NOT(Paths!$C$188=1),0,IF(Paths!$P$188="Complete",F2004/12*(Paths!$L$188*(1+IF(Paths!$D$188="EV",'Operating costs'!$B$52,'Operating costs'!$B$51))^MAX(0,C2004-1)+Paths!$M$188*(1+'Operating costs'!$B$53)^MAX(0,C2004-1)),"n.a."))</f>
        <v>0</v>
      </c>
      <c r="I2004" s="16">
        <f>IF(NOT(Paths!$C$188=1),0,IF(Paths!$P$188="Complete",IF(IF(Paths!$E$188=0,C2004=0,AND(C2004&gt;0,Paths!$E$188&gt;(C2004-1)*12,Paths!$E$188&lt;=C2004*12)),Paths!$G$188,0),"n.a."))</f>
        <v>0</v>
      </c>
      <c r="J2004" s="16">
        <f>IF(NOT(Paths!$C$188=1),0,IF(Paths!$P$188="Complete",IF(IF(Paths!$E$188=0,C2004=0,AND(C2004&gt;0,Paths!$E$188&gt;(C2004-1)*12,Paths!$E$188&lt;=C2004*12)),Paths!$H$188,0),"n.a."))</f>
        <v>0</v>
      </c>
      <c r="K2004" s="16">
        <f>IF(NOT(Paths!$C$188=1),0,IF(Paths!$P$188="Complete",IF(IF(Paths!$O$188=0,C2004=0,AND(C2004&gt;0,Paths!$O$188&gt;(C2004-1)*12,Paths!$O$188&lt;=C2004*12)),Paths!$N$188,0),"n.a."))</f>
        <v>0</v>
      </c>
      <c r="L2004" s="16">
        <f>IF(NOT(Paths!$C$188=1),0,IF(Paths!$P$188="Complete",IF(C2004=10,Paths!$I$188,0),"n.a."))</f>
        <v>0</v>
      </c>
      <c r="M2004" s="16">
        <f>IF(NOT(Paths!$C$188=1),0,IF(Paths!$P$188="Complete",IF(AND(Paths!$D$188="EV",Paths!$E$188&lt;120,Paths!$E$188+'Operating costs'!$B$65&gt;Paths!$E$188,Paths!$E$188+'Operating costs'!$B$65&lt;=120,IF(Paths!$E$188+'Operating costs'!$B$65=0,C2004=0,AND(C2004&gt;0,Paths!$E$188+'Operating costs'!$B$65&gt;(C2004-1)*12,Paths!$E$188+'Operating costs'!$B$65&lt;=C2004*12))),'Operating costs'!$B$64,0)+IF(AND('Operating costs'!$B$67&gt;0,'Operating costs'!$B$67&lt;=120,OR(Paths!$D$188="ICE",'Operating costs'!$B$67&lt;=Paths!$E$188),IF('Operating costs'!$B$67=0,C2004=0,AND(C2004&gt;0,'Operating costs'!$B$67&gt;(C2004-1)*12,'Operating costs'!$B$67&lt;=C2004*12))),'Operating costs'!$B$66,0),"n.a."))</f>
        <v>0</v>
      </c>
      <c r="N2004" s="16">
        <f>IF(NOT(Paths!$C$188=1),0,IF(Paths!$P$188="Complete",SUM(G2004:I2004)-J2004-K2004-L2004+M2004+IF(C2004=0,Paths!$F$188,0)+IF(IF(Paths!$E$188=0,C2004=0,AND(C2004&gt;0,Paths!$E$188&gt;(C2004-1)*12,Paths!$E$188&lt;=C2004*12)),VLOOKUP(A2004,'Fleet register'!$A$7:$S$106,16,FALSE),0),"n.a."))</f>
        <v>0</v>
      </c>
      <c r="O2004" s="16">
        <f>IF(NOT(Paths!$C$188=1),0,IF(Paths!$P$188="Complete",N2004-IF(C2004=0,Paths!$F$188,0),"n.a."))</f>
        <v>0</v>
      </c>
      <c r="P2004" s="16">
        <f>IF(NOT(Paths!$C$188=1),0,IF(Paths!$P$188="Complete",O2004+L2004,"n.a."))</f>
        <v>0</v>
      </c>
      <c r="Q2004" s="16">
        <f>IF(NOT(Paths!$C$188=1),0,IF(Paths!$P$188="Complete",N2004*(1+'Operating costs'!$B$54)^-C2004,"n.a."))</f>
        <v>0</v>
      </c>
      <c r="R2004" s="16">
        <f>IF(NOT(Paths!$C$188=1),0,IF(Paths!$P$188="Complete",IF(AND(C2004=0,Paths!$E$188=0),I2004-J2004-K2004+VLOOKUP(A2004,'Fleet register'!$A$7:$S$106,15,FALSE)+VLOOKUP(A2004,'Fleet register'!$A$7:$S$106,16,FALSE),0),"n.a."))</f>
        <v>0</v>
      </c>
      <c r="S2004" s="1">
        <f>IF(NOT(Paths!$C$188=1),0,IF(Paths!$P$188="Complete",IF(C2004=0,0,Paths!$S$188*Paths!$R$188),"n.a."))</f>
        <v>0</v>
      </c>
      <c r="T2004" s="1">
        <f>IF(NOT(Paths!$C$188=1),0,IF(Paths!$P$188="Complete",IF(C2004=0,0,VLOOKUP(A2004,'Fleet register'!$A$7:$S$106,9,FALSE)*Paths!$R$188),"n.a."))</f>
        <v>0</v>
      </c>
    </row>
    <row r="2005" spans="1:20" ht="24" customHeight="1">
      <c r="A2005" s="1" t="str">
        <f>Paths!$A$188</f>
        <v>T046</v>
      </c>
      <c r="B2005" s="1">
        <f>Paths!$B$188</f>
        <v>1</v>
      </c>
      <c r="C2005" s="1">
        <v>7</v>
      </c>
      <c r="D2005" s="1">
        <v>188</v>
      </c>
      <c r="E2005" s="1">
        <f>IF(OR(Paths!$C$188=0,C2005=0),0,MAX(0,MIN(C2005*12,Paths!$E$188)-(C2005-1)*12))</f>
        <v>0</v>
      </c>
      <c r="F2005" s="1">
        <f>IF(OR(Paths!$C$188=0,C2005=0),0,12-E2005)</f>
        <v>0</v>
      </c>
      <c r="G2005" s="16">
        <f>IF(NOT(Paths!$C$188=1),0,IF(Paths!$P$188="Complete",E2005/12*(Paths!$J$188*(1+'Operating costs'!$B$51)^MAX(0,C2005-1)+Paths!$K$188*(1+'Operating costs'!$B$53)^MAX(0,C2005-1)),"n.a."))</f>
        <v>0</v>
      </c>
      <c r="H2005" s="16">
        <f>IF(NOT(Paths!$C$188=1),0,IF(Paths!$P$188="Complete",F2005/12*(Paths!$L$188*(1+IF(Paths!$D$188="EV",'Operating costs'!$B$52,'Operating costs'!$B$51))^MAX(0,C2005-1)+Paths!$M$188*(1+'Operating costs'!$B$53)^MAX(0,C2005-1)),"n.a."))</f>
        <v>0</v>
      </c>
      <c r="I2005" s="16">
        <f>IF(NOT(Paths!$C$188=1),0,IF(Paths!$P$188="Complete",IF(IF(Paths!$E$188=0,C2005=0,AND(C2005&gt;0,Paths!$E$188&gt;(C2005-1)*12,Paths!$E$188&lt;=C2005*12)),Paths!$G$188,0),"n.a."))</f>
        <v>0</v>
      </c>
      <c r="J2005" s="16">
        <f>IF(NOT(Paths!$C$188=1),0,IF(Paths!$P$188="Complete",IF(IF(Paths!$E$188=0,C2005=0,AND(C2005&gt;0,Paths!$E$188&gt;(C2005-1)*12,Paths!$E$188&lt;=C2005*12)),Paths!$H$188,0),"n.a."))</f>
        <v>0</v>
      </c>
      <c r="K2005" s="16">
        <f>IF(NOT(Paths!$C$188=1),0,IF(Paths!$P$188="Complete",IF(IF(Paths!$O$188=0,C2005=0,AND(C2005&gt;0,Paths!$O$188&gt;(C2005-1)*12,Paths!$O$188&lt;=C2005*12)),Paths!$N$188,0),"n.a."))</f>
        <v>0</v>
      </c>
      <c r="L2005" s="16">
        <f>IF(NOT(Paths!$C$188=1),0,IF(Paths!$P$188="Complete",IF(C2005=10,Paths!$I$188,0),"n.a."))</f>
        <v>0</v>
      </c>
      <c r="M2005" s="16">
        <f>IF(NOT(Paths!$C$188=1),0,IF(Paths!$P$188="Complete",IF(AND(Paths!$D$188="EV",Paths!$E$188&lt;120,Paths!$E$188+'Operating costs'!$B$65&gt;Paths!$E$188,Paths!$E$188+'Operating costs'!$B$65&lt;=120,IF(Paths!$E$188+'Operating costs'!$B$65=0,C2005=0,AND(C2005&gt;0,Paths!$E$188+'Operating costs'!$B$65&gt;(C2005-1)*12,Paths!$E$188+'Operating costs'!$B$65&lt;=C2005*12))),'Operating costs'!$B$64,0)+IF(AND('Operating costs'!$B$67&gt;0,'Operating costs'!$B$67&lt;=120,OR(Paths!$D$188="ICE",'Operating costs'!$B$67&lt;=Paths!$E$188),IF('Operating costs'!$B$67=0,C2005=0,AND(C2005&gt;0,'Operating costs'!$B$67&gt;(C2005-1)*12,'Operating costs'!$B$67&lt;=C2005*12))),'Operating costs'!$B$66,0),"n.a."))</f>
        <v>0</v>
      </c>
      <c r="N2005" s="16">
        <f>IF(NOT(Paths!$C$188=1),0,IF(Paths!$P$188="Complete",SUM(G2005:I2005)-J2005-K2005-L2005+M2005+IF(C2005=0,Paths!$F$188,0)+IF(IF(Paths!$E$188=0,C2005=0,AND(C2005&gt;0,Paths!$E$188&gt;(C2005-1)*12,Paths!$E$188&lt;=C2005*12)),VLOOKUP(A2005,'Fleet register'!$A$7:$S$106,16,FALSE),0),"n.a."))</f>
        <v>0</v>
      </c>
      <c r="O2005" s="16">
        <f>IF(NOT(Paths!$C$188=1),0,IF(Paths!$P$188="Complete",N2005-IF(C2005=0,Paths!$F$188,0),"n.a."))</f>
        <v>0</v>
      </c>
      <c r="P2005" s="16">
        <f>IF(NOT(Paths!$C$188=1),0,IF(Paths!$P$188="Complete",O2005+L2005,"n.a."))</f>
        <v>0</v>
      </c>
      <c r="Q2005" s="16">
        <f>IF(NOT(Paths!$C$188=1),0,IF(Paths!$P$188="Complete",N2005*(1+'Operating costs'!$B$54)^-C2005,"n.a."))</f>
        <v>0</v>
      </c>
      <c r="R2005" s="16">
        <f>IF(NOT(Paths!$C$188=1),0,IF(Paths!$P$188="Complete",IF(AND(C2005=0,Paths!$E$188=0),I2005-J2005-K2005+VLOOKUP(A2005,'Fleet register'!$A$7:$S$106,15,FALSE)+VLOOKUP(A2005,'Fleet register'!$A$7:$S$106,16,FALSE),0),"n.a."))</f>
        <v>0</v>
      </c>
      <c r="S2005" s="1">
        <f>IF(NOT(Paths!$C$188=1),0,IF(Paths!$P$188="Complete",IF(C2005=0,0,Paths!$S$188*Paths!$R$188),"n.a."))</f>
        <v>0</v>
      </c>
      <c r="T2005" s="1">
        <f>IF(NOT(Paths!$C$188=1),0,IF(Paths!$P$188="Complete",IF(C2005=0,0,VLOOKUP(A2005,'Fleet register'!$A$7:$S$106,9,FALSE)*Paths!$R$188),"n.a."))</f>
        <v>0</v>
      </c>
    </row>
    <row r="2006" spans="1:20" ht="24" customHeight="1">
      <c r="A2006" s="1" t="str">
        <f>Paths!$A$188</f>
        <v>T046</v>
      </c>
      <c r="B2006" s="1">
        <f>Paths!$B$188</f>
        <v>1</v>
      </c>
      <c r="C2006" s="1">
        <v>8</v>
      </c>
      <c r="D2006" s="1">
        <v>188</v>
      </c>
      <c r="E2006" s="1">
        <f>IF(OR(Paths!$C$188=0,C2006=0),0,MAX(0,MIN(C2006*12,Paths!$E$188)-(C2006-1)*12))</f>
        <v>0</v>
      </c>
      <c r="F2006" s="1">
        <f>IF(OR(Paths!$C$188=0,C2006=0),0,12-E2006)</f>
        <v>0</v>
      </c>
      <c r="G2006" s="16">
        <f>IF(NOT(Paths!$C$188=1),0,IF(Paths!$P$188="Complete",E2006/12*(Paths!$J$188*(1+'Operating costs'!$B$51)^MAX(0,C2006-1)+Paths!$K$188*(1+'Operating costs'!$B$53)^MAX(0,C2006-1)),"n.a."))</f>
        <v>0</v>
      </c>
      <c r="H2006" s="16">
        <f>IF(NOT(Paths!$C$188=1),0,IF(Paths!$P$188="Complete",F2006/12*(Paths!$L$188*(1+IF(Paths!$D$188="EV",'Operating costs'!$B$52,'Operating costs'!$B$51))^MAX(0,C2006-1)+Paths!$M$188*(1+'Operating costs'!$B$53)^MAX(0,C2006-1)),"n.a."))</f>
        <v>0</v>
      </c>
      <c r="I2006" s="16">
        <f>IF(NOT(Paths!$C$188=1),0,IF(Paths!$P$188="Complete",IF(IF(Paths!$E$188=0,C2006=0,AND(C2006&gt;0,Paths!$E$188&gt;(C2006-1)*12,Paths!$E$188&lt;=C2006*12)),Paths!$G$188,0),"n.a."))</f>
        <v>0</v>
      </c>
      <c r="J2006" s="16">
        <f>IF(NOT(Paths!$C$188=1),0,IF(Paths!$P$188="Complete",IF(IF(Paths!$E$188=0,C2006=0,AND(C2006&gt;0,Paths!$E$188&gt;(C2006-1)*12,Paths!$E$188&lt;=C2006*12)),Paths!$H$188,0),"n.a."))</f>
        <v>0</v>
      </c>
      <c r="K2006" s="16">
        <f>IF(NOT(Paths!$C$188=1),0,IF(Paths!$P$188="Complete",IF(IF(Paths!$O$188=0,C2006=0,AND(C2006&gt;0,Paths!$O$188&gt;(C2006-1)*12,Paths!$O$188&lt;=C2006*12)),Paths!$N$188,0),"n.a."))</f>
        <v>0</v>
      </c>
      <c r="L2006" s="16">
        <f>IF(NOT(Paths!$C$188=1),0,IF(Paths!$P$188="Complete",IF(C2006=10,Paths!$I$188,0),"n.a."))</f>
        <v>0</v>
      </c>
      <c r="M2006" s="16">
        <f>IF(NOT(Paths!$C$188=1),0,IF(Paths!$P$188="Complete",IF(AND(Paths!$D$188="EV",Paths!$E$188&lt;120,Paths!$E$188+'Operating costs'!$B$65&gt;Paths!$E$188,Paths!$E$188+'Operating costs'!$B$65&lt;=120,IF(Paths!$E$188+'Operating costs'!$B$65=0,C2006=0,AND(C2006&gt;0,Paths!$E$188+'Operating costs'!$B$65&gt;(C2006-1)*12,Paths!$E$188+'Operating costs'!$B$65&lt;=C2006*12))),'Operating costs'!$B$64,0)+IF(AND('Operating costs'!$B$67&gt;0,'Operating costs'!$B$67&lt;=120,OR(Paths!$D$188="ICE",'Operating costs'!$B$67&lt;=Paths!$E$188),IF('Operating costs'!$B$67=0,C2006=0,AND(C2006&gt;0,'Operating costs'!$B$67&gt;(C2006-1)*12,'Operating costs'!$B$67&lt;=C2006*12))),'Operating costs'!$B$66,0),"n.a."))</f>
        <v>0</v>
      </c>
      <c r="N2006" s="16">
        <f>IF(NOT(Paths!$C$188=1),0,IF(Paths!$P$188="Complete",SUM(G2006:I2006)-J2006-K2006-L2006+M2006+IF(C2006=0,Paths!$F$188,0)+IF(IF(Paths!$E$188=0,C2006=0,AND(C2006&gt;0,Paths!$E$188&gt;(C2006-1)*12,Paths!$E$188&lt;=C2006*12)),VLOOKUP(A2006,'Fleet register'!$A$7:$S$106,16,FALSE),0),"n.a."))</f>
        <v>0</v>
      </c>
      <c r="O2006" s="16">
        <f>IF(NOT(Paths!$C$188=1),0,IF(Paths!$P$188="Complete",N2006-IF(C2006=0,Paths!$F$188,0),"n.a."))</f>
        <v>0</v>
      </c>
      <c r="P2006" s="16">
        <f>IF(NOT(Paths!$C$188=1),0,IF(Paths!$P$188="Complete",O2006+L2006,"n.a."))</f>
        <v>0</v>
      </c>
      <c r="Q2006" s="16">
        <f>IF(NOT(Paths!$C$188=1),0,IF(Paths!$P$188="Complete",N2006*(1+'Operating costs'!$B$54)^-C2006,"n.a."))</f>
        <v>0</v>
      </c>
      <c r="R2006" s="16">
        <f>IF(NOT(Paths!$C$188=1),0,IF(Paths!$P$188="Complete",IF(AND(C2006=0,Paths!$E$188=0),I2006-J2006-K2006+VLOOKUP(A2006,'Fleet register'!$A$7:$S$106,15,FALSE)+VLOOKUP(A2006,'Fleet register'!$A$7:$S$106,16,FALSE),0),"n.a."))</f>
        <v>0</v>
      </c>
      <c r="S2006" s="1">
        <f>IF(NOT(Paths!$C$188=1),0,IF(Paths!$P$188="Complete",IF(C2006=0,0,Paths!$S$188*Paths!$R$188),"n.a."))</f>
        <v>0</v>
      </c>
      <c r="T2006" s="1">
        <f>IF(NOT(Paths!$C$188=1),0,IF(Paths!$P$188="Complete",IF(C2006=0,0,VLOOKUP(A2006,'Fleet register'!$A$7:$S$106,9,FALSE)*Paths!$R$188),"n.a."))</f>
        <v>0</v>
      </c>
    </row>
    <row r="2007" spans="1:20" ht="24" customHeight="1">
      <c r="A2007" s="1" t="str">
        <f>Paths!$A$188</f>
        <v>T046</v>
      </c>
      <c r="B2007" s="1">
        <f>Paths!$B$188</f>
        <v>1</v>
      </c>
      <c r="C2007" s="1">
        <v>9</v>
      </c>
      <c r="D2007" s="1">
        <v>188</v>
      </c>
      <c r="E2007" s="1">
        <f>IF(OR(Paths!$C$188=0,C2007=0),0,MAX(0,MIN(C2007*12,Paths!$E$188)-(C2007-1)*12))</f>
        <v>0</v>
      </c>
      <c r="F2007" s="1">
        <f>IF(OR(Paths!$C$188=0,C2007=0),0,12-E2007)</f>
        <v>0</v>
      </c>
      <c r="G2007" s="16">
        <f>IF(NOT(Paths!$C$188=1),0,IF(Paths!$P$188="Complete",E2007/12*(Paths!$J$188*(1+'Operating costs'!$B$51)^MAX(0,C2007-1)+Paths!$K$188*(1+'Operating costs'!$B$53)^MAX(0,C2007-1)),"n.a."))</f>
        <v>0</v>
      </c>
      <c r="H2007" s="16">
        <f>IF(NOT(Paths!$C$188=1),0,IF(Paths!$P$188="Complete",F2007/12*(Paths!$L$188*(1+IF(Paths!$D$188="EV",'Operating costs'!$B$52,'Operating costs'!$B$51))^MAX(0,C2007-1)+Paths!$M$188*(1+'Operating costs'!$B$53)^MAX(0,C2007-1)),"n.a."))</f>
        <v>0</v>
      </c>
      <c r="I2007" s="16">
        <f>IF(NOT(Paths!$C$188=1),0,IF(Paths!$P$188="Complete",IF(IF(Paths!$E$188=0,C2007=0,AND(C2007&gt;0,Paths!$E$188&gt;(C2007-1)*12,Paths!$E$188&lt;=C2007*12)),Paths!$G$188,0),"n.a."))</f>
        <v>0</v>
      </c>
      <c r="J2007" s="16">
        <f>IF(NOT(Paths!$C$188=1),0,IF(Paths!$P$188="Complete",IF(IF(Paths!$E$188=0,C2007=0,AND(C2007&gt;0,Paths!$E$188&gt;(C2007-1)*12,Paths!$E$188&lt;=C2007*12)),Paths!$H$188,0),"n.a."))</f>
        <v>0</v>
      </c>
      <c r="K2007" s="16">
        <f>IF(NOT(Paths!$C$188=1),0,IF(Paths!$P$188="Complete",IF(IF(Paths!$O$188=0,C2007=0,AND(C2007&gt;0,Paths!$O$188&gt;(C2007-1)*12,Paths!$O$188&lt;=C2007*12)),Paths!$N$188,0),"n.a."))</f>
        <v>0</v>
      </c>
      <c r="L2007" s="16">
        <f>IF(NOT(Paths!$C$188=1),0,IF(Paths!$P$188="Complete",IF(C2007=10,Paths!$I$188,0),"n.a."))</f>
        <v>0</v>
      </c>
      <c r="M2007" s="16">
        <f>IF(NOT(Paths!$C$188=1),0,IF(Paths!$P$188="Complete",IF(AND(Paths!$D$188="EV",Paths!$E$188&lt;120,Paths!$E$188+'Operating costs'!$B$65&gt;Paths!$E$188,Paths!$E$188+'Operating costs'!$B$65&lt;=120,IF(Paths!$E$188+'Operating costs'!$B$65=0,C2007=0,AND(C2007&gt;0,Paths!$E$188+'Operating costs'!$B$65&gt;(C2007-1)*12,Paths!$E$188+'Operating costs'!$B$65&lt;=C2007*12))),'Operating costs'!$B$64,0)+IF(AND('Operating costs'!$B$67&gt;0,'Operating costs'!$B$67&lt;=120,OR(Paths!$D$188="ICE",'Operating costs'!$B$67&lt;=Paths!$E$188),IF('Operating costs'!$B$67=0,C2007=0,AND(C2007&gt;0,'Operating costs'!$B$67&gt;(C2007-1)*12,'Operating costs'!$B$67&lt;=C2007*12))),'Operating costs'!$B$66,0),"n.a."))</f>
        <v>0</v>
      </c>
      <c r="N2007" s="16">
        <f>IF(NOT(Paths!$C$188=1),0,IF(Paths!$P$188="Complete",SUM(G2007:I2007)-J2007-K2007-L2007+M2007+IF(C2007=0,Paths!$F$188,0)+IF(IF(Paths!$E$188=0,C2007=0,AND(C2007&gt;0,Paths!$E$188&gt;(C2007-1)*12,Paths!$E$188&lt;=C2007*12)),VLOOKUP(A2007,'Fleet register'!$A$7:$S$106,16,FALSE),0),"n.a."))</f>
        <v>0</v>
      </c>
      <c r="O2007" s="16">
        <f>IF(NOT(Paths!$C$188=1),0,IF(Paths!$P$188="Complete",N2007-IF(C2007=0,Paths!$F$188,0),"n.a."))</f>
        <v>0</v>
      </c>
      <c r="P2007" s="16">
        <f>IF(NOT(Paths!$C$188=1),0,IF(Paths!$P$188="Complete",O2007+L2007,"n.a."))</f>
        <v>0</v>
      </c>
      <c r="Q2007" s="16">
        <f>IF(NOT(Paths!$C$188=1),0,IF(Paths!$P$188="Complete",N2007*(1+'Operating costs'!$B$54)^-C2007,"n.a."))</f>
        <v>0</v>
      </c>
      <c r="R2007" s="16">
        <f>IF(NOT(Paths!$C$188=1),0,IF(Paths!$P$188="Complete",IF(AND(C2007=0,Paths!$E$188=0),I2007-J2007-K2007+VLOOKUP(A2007,'Fleet register'!$A$7:$S$106,15,FALSE)+VLOOKUP(A2007,'Fleet register'!$A$7:$S$106,16,FALSE),0),"n.a."))</f>
        <v>0</v>
      </c>
      <c r="S2007" s="1">
        <f>IF(NOT(Paths!$C$188=1),0,IF(Paths!$P$188="Complete",IF(C2007=0,0,Paths!$S$188*Paths!$R$188),"n.a."))</f>
        <v>0</v>
      </c>
      <c r="T2007" s="1">
        <f>IF(NOT(Paths!$C$188=1),0,IF(Paths!$P$188="Complete",IF(C2007=0,0,VLOOKUP(A2007,'Fleet register'!$A$7:$S$106,9,FALSE)*Paths!$R$188),"n.a."))</f>
        <v>0</v>
      </c>
    </row>
    <row r="2008" spans="1:20" ht="24" customHeight="1">
      <c r="A2008" s="1" t="str">
        <f>Paths!$A$188</f>
        <v>T046</v>
      </c>
      <c r="B2008" s="1">
        <f>Paths!$B$188</f>
        <v>1</v>
      </c>
      <c r="C2008" s="1">
        <v>10</v>
      </c>
      <c r="D2008" s="1">
        <v>188</v>
      </c>
      <c r="E2008" s="1">
        <f>IF(OR(Paths!$C$188=0,C2008=0),0,MAX(0,MIN(C2008*12,Paths!$E$188)-(C2008-1)*12))</f>
        <v>0</v>
      </c>
      <c r="F2008" s="1">
        <f>IF(OR(Paths!$C$188=0,C2008=0),0,12-E2008)</f>
        <v>0</v>
      </c>
      <c r="G2008" s="16">
        <f>IF(NOT(Paths!$C$188=1),0,IF(Paths!$P$188="Complete",E2008/12*(Paths!$J$188*(1+'Operating costs'!$B$51)^MAX(0,C2008-1)+Paths!$K$188*(1+'Operating costs'!$B$53)^MAX(0,C2008-1)),"n.a."))</f>
        <v>0</v>
      </c>
      <c r="H2008" s="16">
        <f>IF(NOT(Paths!$C$188=1),0,IF(Paths!$P$188="Complete",F2008/12*(Paths!$L$188*(1+IF(Paths!$D$188="EV",'Operating costs'!$B$52,'Operating costs'!$B$51))^MAX(0,C2008-1)+Paths!$M$188*(1+'Operating costs'!$B$53)^MAX(0,C2008-1)),"n.a."))</f>
        <v>0</v>
      </c>
      <c r="I2008" s="16">
        <f>IF(NOT(Paths!$C$188=1),0,IF(Paths!$P$188="Complete",IF(IF(Paths!$E$188=0,C2008=0,AND(C2008&gt;0,Paths!$E$188&gt;(C2008-1)*12,Paths!$E$188&lt;=C2008*12)),Paths!$G$188,0),"n.a."))</f>
        <v>0</v>
      </c>
      <c r="J2008" s="16">
        <f>IF(NOT(Paths!$C$188=1),0,IF(Paths!$P$188="Complete",IF(IF(Paths!$E$188=0,C2008=0,AND(C2008&gt;0,Paths!$E$188&gt;(C2008-1)*12,Paths!$E$188&lt;=C2008*12)),Paths!$H$188,0),"n.a."))</f>
        <v>0</v>
      </c>
      <c r="K2008" s="16">
        <f>IF(NOT(Paths!$C$188=1),0,IF(Paths!$P$188="Complete",IF(IF(Paths!$O$188=0,C2008=0,AND(C2008&gt;0,Paths!$O$188&gt;(C2008-1)*12,Paths!$O$188&lt;=C2008*12)),Paths!$N$188,0),"n.a."))</f>
        <v>0</v>
      </c>
      <c r="L2008" s="16">
        <f>IF(NOT(Paths!$C$188=1),0,IF(Paths!$P$188="Complete",IF(C2008=10,Paths!$I$188,0),"n.a."))</f>
        <v>0</v>
      </c>
      <c r="M2008" s="16">
        <f>IF(NOT(Paths!$C$188=1),0,IF(Paths!$P$188="Complete",IF(AND(Paths!$D$188="EV",Paths!$E$188&lt;120,Paths!$E$188+'Operating costs'!$B$65&gt;Paths!$E$188,Paths!$E$188+'Operating costs'!$B$65&lt;=120,IF(Paths!$E$188+'Operating costs'!$B$65=0,C2008=0,AND(C2008&gt;0,Paths!$E$188+'Operating costs'!$B$65&gt;(C2008-1)*12,Paths!$E$188+'Operating costs'!$B$65&lt;=C2008*12))),'Operating costs'!$B$64,0)+IF(AND('Operating costs'!$B$67&gt;0,'Operating costs'!$B$67&lt;=120,OR(Paths!$D$188="ICE",'Operating costs'!$B$67&lt;=Paths!$E$188),IF('Operating costs'!$B$67=0,C2008=0,AND(C2008&gt;0,'Operating costs'!$B$67&gt;(C2008-1)*12,'Operating costs'!$B$67&lt;=C2008*12))),'Operating costs'!$B$66,0),"n.a."))</f>
        <v>0</v>
      </c>
      <c r="N2008" s="16">
        <f>IF(NOT(Paths!$C$188=1),0,IF(Paths!$P$188="Complete",SUM(G2008:I2008)-J2008-K2008-L2008+M2008+IF(C2008=0,Paths!$F$188,0)+IF(IF(Paths!$E$188=0,C2008=0,AND(C2008&gt;0,Paths!$E$188&gt;(C2008-1)*12,Paths!$E$188&lt;=C2008*12)),VLOOKUP(A2008,'Fleet register'!$A$7:$S$106,16,FALSE),0),"n.a."))</f>
        <v>0</v>
      </c>
      <c r="O2008" s="16">
        <f>IF(NOT(Paths!$C$188=1),0,IF(Paths!$P$188="Complete",N2008-IF(C2008=0,Paths!$F$188,0),"n.a."))</f>
        <v>0</v>
      </c>
      <c r="P2008" s="16">
        <f>IF(NOT(Paths!$C$188=1),0,IF(Paths!$P$188="Complete",O2008+L2008,"n.a."))</f>
        <v>0</v>
      </c>
      <c r="Q2008" s="16">
        <f>IF(NOT(Paths!$C$188=1),0,IF(Paths!$P$188="Complete",N2008*(1+'Operating costs'!$B$54)^-C2008,"n.a."))</f>
        <v>0</v>
      </c>
      <c r="R2008" s="16">
        <f>IF(NOT(Paths!$C$188=1),0,IF(Paths!$P$188="Complete",IF(AND(C2008=0,Paths!$E$188=0),I2008-J2008-K2008+VLOOKUP(A2008,'Fleet register'!$A$7:$S$106,15,FALSE)+VLOOKUP(A2008,'Fleet register'!$A$7:$S$106,16,FALSE),0),"n.a."))</f>
        <v>0</v>
      </c>
      <c r="S2008" s="1">
        <f>IF(NOT(Paths!$C$188=1),0,IF(Paths!$P$188="Complete",IF(C2008=0,0,Paths!$S$188*Paths!$R$188),"n.a."))</f>
        <v>0</v>
      </c>
      <c r="T2008" s="1">
        <f>IF(NOT(Paths!$C$188=1),0,IF(Paths!$P$188="Complete",IF(C2008=0,0,VLOOKUP(A2008,'Fleet register'!$A$7:$S$106,9,FALSE)*Paths!$R$188),"n.a."))</f>
        <v>0</v>
      </c>
    </row>
    <row r="2009" spans="1:20" ht="24" customHeight="1">
      <c r="A2009" s="1" t="str">
        <f>Paths!$A$189</f>
        <v>T046</v>
      </c>
      <c r="B2009" s="1">
        <f>Paths!$B$189</f>
        <v>2</v>
      </c>
      <c r="C2009" s="1">
        <v>0</v>
      </c>
      <c r="D2009" s="1">
        <v>189</v>
      </c>
      <c r="E2009" s="1">
        <f>IF(OR(Paths!$C$189=0,C2009=0),0,MAX(0,MIN(C2009*12,Paths!$E$189)-(C2009-1)*12))</f>
        <v>0</v>
      </c>
      <c r="F2009" s="1">
        <f>IF(OR(Paths!$C$189=0,C2009=0),0,12-E2009)</f>
        <v>0</v>
      </c>
      <c r="G2009" s="16">
        <f>IF(NOT(Paths!$C$189=1),0,IF(Paths!$P$189="Complete",E2009/12*(Paths!$J$189*(1+'Operating costs'!$B$51)^MAX(0,C2009-1)+Paths!$K$189*(1+'Operating costs'!$B$53)^MAX(0,C2009-1)),"n.a."))</f>
        <v>0</v>
      </c>
      <c r="H2009" s="16">
        <f>IF(NOT(Paths!$C$189=1),0,IF(Paths!$P$189="Complete",F2009/12*(Paths!$L$189*(1+IF(Paths!$D$189="EV",'Operating costs'!$B$52,'Operating costs'!$B$51))^MAX(0,C2009-1)+Paths!$M$189*(1+'Operating costs'!$B$53)^MAX(0,C2009-1)),"n.a."))</f>
        <v>0</v>
      </c>
      <c r="I2009" s="16">
        <f>IF(NOT(Paths!$C$189=1),0,IF(Paths!$P$189="Complete",IF(IF(Paths!$E$189=0,C2009=0,AND(C2009&gt;0,Paths!$E$189&gt;(C2009-1)*12,Paths!$E$189&lt;=C2009*12)),Paths!$G$189,0),"n.a."))</f>
        <v>0</v>
      </c>
      <c r="J2009" s="16">
        <f>IF(NOT(Paths!$C$189=1),0,IF(Paths!$P$189="Complete",IF(IF(Paths!$E$189=0,C2009=0,AND(C2009&gt;0,Paths!$E$189&gt;(C2009-1)*12,Paths!$E$189&lt;=C2009*12)),Paths!$H$189,0),"n.a."))</f>
        <v>0</v>
      </c>
      <c r="K2009" s="16">
        <f>IF(NOT(Paths!$C$189=1),0,IF(Paths!$P$189="Complete",IF(IF(Paths!$O$189=0,C2009=0,AND(C2009&gt;0,Paths!$O$189&gt;(C2009-1)*12,Paths!$O$189&lt;=C2009*12)),Paths!$N$189,0),"n.a."))</f>
        <v>0</v>
      </c>
      <c r="L2009" s="16">
        <f>IF(NOT(Paths!$C$189=1),0,IF(Paths!$P$189="Complete",IF(C2009=10,Paths!$I$189,0),"n.a."))</f>
        <v>0</v>
      </c>
      <c r="M2009" s="16">
        <f>IF(NOT(Paths!$C$189=1),0,IF(Paths!$P$189="Complete",IF(AND(Paths!$D$189="EV",Paths!$E$189&lt;120,Paths!$E$189+'Operating costs'!$B$65&gt;Paths!$E$189,Paths!$E$189+'Operating costs'!$B$65&lt;=120,IF(Paths!$E$189+'Operating costs'!$B$65=0,C2009=0,AND(C2009&gt;0,Paths!$E$189+'Operating costs'!$B$65&gt;(C2009-1)*12,Paths!$E$189+'Operating costs'!$B$65&lt;=C2009*12))),'Operating costs'!$B$64,0)+IF(AND('Operating costs'!$B$67&gt;0,'Operating costs'!$B$67&lt;=120,OR(Paths!$D$189="ICE",'Operating costs'!$B$67&lt;=Paths!$E$189),IF('Operating costs'!$B$67=0,C2009=0,AND(C2009&gt;0,'Operating costs'!$B$67&gt;(C2009-1)*12,'Operating costs'!$B$67&lt;=C2009*12))),'Operating costs'!$B$66,0),"n.a."))</f>
        <v>0</v>
      </c>
      <c r="N2009" s="16">
        <f>IF(NOT(Paths!$C$189=1),0,IF(Paths!$P$189="Complete",SUM(G2009:I2009)-J2009-K2009-L2009+M2009+IF(C2009=0,Paths!$F$189,0)+IF(IF(Paths!$E$189=0,C2009=0,AND(C2009&gt;0,Paths!$E$189&gt;(C2009-1)*12,Paths!$E$189&lt;=C2009*12)),VLOOKUP(A2009,'Fleet register'!$A$7:$S$106,16,FALSE),0),"n.a."))</f>
        <v>0</v>
      </c>
      <c r="O2009" s="16">
        <f>IF(NOT(Paths!$C$189=1),0,IF(Paths!$P$189="Complete",N2009-IF(C2009=0,Paths!$F$189,0),"n.a."))</f>
        <v>0</v>
      </c>
      <c r="P2009" s="16">
        <f>IF(NOT(Paths!$C$189=1),0,IF(Paths!$P$189="Complete",O2009+L2009,"n.a."))</f>
        <v>0</v>
      </c>
      <c r="Q2009" s="16">
        <f>IF(NOT(Paths!$C$189=1),0,IF(Paths!$P$189="Complete",N2009*(1+'Operating costs'!$B$54)^-C2009,"n.a."))</f>
        <v>0</v>
      </c>
      <c r="R2009" s="16">
        <f>IF(NOT(Paths!$C$189=1),0,IF(Paths!$P$189="Complete",IF(AND(C2009=0,Paths!$E$189=0),I2009-J2009-K2009+VLOOKUP(A2009,'Fleet register'!$A$7:$S$106,15,FALSE)+VLOOKUP(A2009,'Fleet register'!$A$7:$S$106,16,FALSE),0),"n.a."))</f>
        <v>0</v>
      </c>
      <c r="S2009" s="1">
        <f>IF(NOT(Paths!$C$189=1),0,IF(Paths!$P$189="Complete",IF(C2009=0,0,Paths!$S$189*Paths!$R$189),"n.a."))</f>
        <v>0</v>
      </c>
      <c r="T2009" s="1">
        <f>IF(NOT(Paths!$C$189=1),0,IF(Paths!$P$189="Complete",IF(C2009=0,0,VLOOKUP(A2009,'Fleet register'!$A$7:$S$106,9,FALSE)*Paths!$R$189),"n.a."))</f>
        <v>0</v>
      </c>
    </row>
    <row r="2010" spans="1:20" ht="24" customHeight="1">
      <c r="A2010" s="1" t="str">
        <f>Paths!$A$189</f>
        <v>T046</v>
      </c>
      <c r="B2010" s="1">
        <f>Paths!$B$189</f>
        <v>2</v>
      </c>
      <c r="C2010" s="1">
        <v>1</v>
      </c>
      <c r="D2010" s="1">
        <v>189</v>
      </c>
      <c r="E2010" s="1">
        <f>IF(OR(Paths!$C$189=0,C2010=0),0,MAX(0,MIN(C2010*12,Paths!$E$189)-(C2010-1)*12))</f>
        <v>0</v>
      </c>
      <c r="F2010" s="1">
        <f>IF(OR(Paths!$C$189=0,C2010=0),0,12-E2010)</f>
        <v>0</v>
      </c>
      <c r="G2010" s="16">
        <f>IF(NOT(Paths!$C$189=1),0,IF(Paths!$P$189="Complete",E2010/12*(Paths!$J$189*(1+'Operating costs'!$B$51)^MAX(0,C2010-1)+Paths!$K$189*(1+'Operating costs'!$B$53)^MAX(0,C2010-1)),"n.a."))</f>
        <v>0</v>
      </c>
      <c r="H2010" s="16">
        <f>IF(NOT(Paths!$C$189=1),0,IF(Paths!$P$189="Complete",F2010/12*(Paths!$L$189*(1+IF(Paths!$D$189="EV",'Operating costs'!$B$52,'Operating costs'!$B$51))^MAX(0,C2010-1)+Paths!$M$189*(1+'Operating costs'!$B$53)^MAX(0,C2010-1)),"n.a."))</f>
        <v>0</v>
      </c>
      <c r="I2010" s="16">
        <f>IF(NOT(Paths!$C$189=1),0,IF(Paths!$P$189="Complete",IF(IF(Paths!$E$189=0,C2010=0,AND(C2010&gt;0,Paths!$E$189&gt;(C2010-1)*12,Paths!$E$189&lt;=C2010*12)),Paths!$G$189,0),"n.a."))</f>
        <v>0</v>
      </c>
      <c r="J2010" s="16">
        <f>IF(NOT(Paths!$C$189=1),0,IF(Paths!$P$189="Complete",IF(IF(Paths!$E$189=0,C2010=0,AND(C2010&gt;0,Paths!$E$189&gt;(C2010-1)*12,Paths!$E$189&lt;=C2010*12)),Paths!$H$189,0),"n.a."))</f>
        <v>0</v>
      </c>
      <c r="K2010" s="16">
        <f>IF(NOT(Paths!$C$189=1),0,IF(Paths!$P$189="Complete",IF(IF(Paths!$O$189=0,C2010=0,AND(C2010&gt;0,Paths!$O$189&gt;(C2010-1)*12,Paths!$O$189&lt;=C2010*12)),Paths!$N$189,0),"n.a."))</f>
        <v>0</v>
      </c>
      <c r="L2010" s="16">
        <f>IF(NOT(Paths!$C$189=1),0,IF(Paths!$P$189="Complete",IF(C2010=10,Paths!$I$189,0),"n.a."))</f>
        <v>0</v>
      </c>
      <c r="M2010" s="16">
        <f>IF(NOT(Paths!$C$189=1),0,IF(Paths!$P$189="Complete",IF(AND(Paths!$D$189="EV",Paths!$E$189&lt;120,Paths!$E$189+'Operating costs'!$B$65&gt;Paths!$E$189,Paths!$E$189+'Operating costs'!$B$65&lt;=120,IF(Paths!$E$189+'Operating costs'!$B$65=0,C2010=0,AND(C2010&gt;0,Paths!$E$189+'Operating costs'!$B$65&gt;(C2010-1)*12,Paths!$E$189+'Operating costs'!$B$65&lt;=C2010*12))),'Operating costs'!$B$64,0)+IF(AND('Operating costs'!$B$67&gt;0,'Operating costs'!$B$67&lt;=120,OR(Paths!$D$189="ICE",'Operating costs'!$B$67&lt;=Paths!$E$189),IF('Operating costs'!$B$67=0,C2010=0,AND(C2010&gt;0,'Operating costs'!$B$67&gt;(C2010-1)*12,'Operating costs'!$B$67&lt;=C2010*12))),'Operating costs'!$B$66,0),"n.a."))</f>
        <v>0</v>
      </c>
      <c r="N2010" s="16">
        <f>IF(NOT(Paths!$C$189=1),0,IF(Paths!$P$189="Complete",SUM(G2010:I2010)-J2010-K2010-L2010+M2010+IF(C2010=0,Paths!$F$189,0)+IF(IF(Paths!$E$189=0,C2010=0,AND(C2010&gt;0,Paths!$E$189&gt;(C2010-1)*12,Paths!$E$189&lt;=C2010*12)),VLOOKUP(A2010,'Fleet register'!$A$7:$S$106,16,FALSE),0),"n.a."))</f>
        <v>0</v>
      </c>
      <c r="O2010" s="16">
        <f>IF(NOT(Paths!$C$189=1),0,IF(Paths!$P$189="Complete",N2010-IF(C2010=0,Paths!$F$189,0),"n.a."))</f>
        <v>0</v>
      </c>
      <c r="P2010" s="16">
        <f>IF(NOT(Paths!$C$189=1),0,IF(Paths!$P$189="Complete",O2010+L2010,"n.a."))</f>
        <v>0</v>
      </c>
      <c r="Q2010" s="16">
        <f>IF(NOT(Paths!$C$189=1),0,IF(Paths!$P$189="Complete",N2010*(1+'Operating costs'!$B$54)^-C2010,"n.a."))</f>
        <v>0</v>
      </c>
      <c r="R2010" s="16">
        <f>IF(NOT(Paths!$C$189=1),0,IF(Paths!$P$189="Complete",IF(AND(C2010=0,Paths!$E$189=0),I2010-J2010-K2010+VLOOKUP(A2010,'Fleet register'!$A$7:$S$106,15,FALSE)+VLOOKUP(A2010,'Fleet register'!$A$7:$S$106,16,FALSE),0),"n.a."))</f>
        <v>0</v>
      </c>
      <c r="S2010" s="1">
        <f>IF(NOT(Paths!$C$189=1),0,IF(Paths!$P$189="Complete",IF(C2010=0,0,Paths!$S$189*Paths!$R$189),"n.a."))</f>
        <v>0</v>
      </c>
      <c r="T2010" s="1">
        <f>IF(NOT(Paths!$C$189=1),0,IF(Paths!$P$189="Complete",IF(C2010=0,0,VLOOKUP(A2010,'Fleet register'!$A$7:$S$106,9,FALSE)*Paths!$R$189),"n.a."))</f>
        <v>0</v>
      </c>
    </row>
    <row r="2011" spans="1:20" ht="24" customHeight="1">
      <c r="A2011" s="1" t="str">
        <f>Paths!$A$189</f>
        <v>T046</v>
      </c>
      <c r="B2011" s="1">
        <f>Paths!$B$189</f>
        <v>2</v>
      </c>
      <c r="C2011" s="1">
        <v>2</v>
      </c>
      <c r="D2011" s="1">
        <v>189</v>
      </c>
      <c r="E2011" s="1">
        <f>IF(OR(Paths!$C$189=0,C2011=0),0,MAX(0,MIN(C2011*12,Paths!$E$189)-(C2011-1)*12))</f>
        <v>0</v>
      </c>
      <c r="F2011" s="1">
        <f>IF(OR(Paths!$C$189=0,C2011=0),0,12-E2011)</f>
        <v>0</v>
      </c>
      <c r="G2011" s="16">
        <f>IF(NOT(Paths!$C$189=1),0,IF(Paths!$P$189="Complete",E2011/12*(Paths!$J$189*(1+'Operating costs'!$B$51)^MAX(0,C2011-1)+Paths!$K$189*(1+'Operating costs'!$B$53)^MAX(0,C2011-1)),"n.a."))</f>
        <v>0</v>
      </c>
      <c r="H2011" s="16">
        <f>IF(NOT(Paths!$C$189=1),0,IF(Paths!$P$189="Complete",F2011/12*(Paths!$L$189*(1+IF(Paths!$D$189="EV",'Operating costs'!$B$52,'Operating costs'!$B$51))^MAX(0,C2011-1)+Paths!$M$189*(1+'Operating costs'!$B$53)^MAX(0,C2011-1)),"n.a."))</f>
        <v>0</v>
      </c>
      <c r="I2011" s="16">
        <f>IF(NOT(Paths!$C$189=1),0,IF(Paths!$P$189="Complete",IF(IF(Paths!$E$189=0,C2011=0,AND(C2011&gt;0,Paths!$E$189&gt;(C2011-1)*12,Paths!$E$189&lt;=C2011*12)),Paths!$G$189,0),"n.a."))</f>
        <v>0</v>
      </c>
      <c r="J2011" s="16">
        <f>IF(NOT(Paths!$C$189=1),0,IF(Paths!$P$189="Complete",IF(IF(Paths!$E$189=0,C2011=0,AND(C2011&gt;0,Paths!$E$189&gt;(C2011-1)*12,Paths!$E$189&lt;=C2011*12)),Paths!$H$189,0),"n.a."))</f>
        <v>0</v>
      </c>
      <c r="K2011" s="16">
        <f>IF(NOT(Paths!$C$189=1),0,IF(Paths!$P$189="Complete",IF(IF(Paths!$O$189=0,C2011=0,AND(C2011&gt;0,Paths!$O$189&gt;(C2011-1)*12,Paths!$O$189&lt;=C2011*12)),Paths!$N$189,0),"n.a."))</f>
        <v>0</v>
      </c>
      <c r="L2011" s="16">
        <f>IF(NOT(Paths!$C$189=1),0,IF(Paths!$P$189="Complete",IF(C2011=10,Paths!$I$189,0),"n.a."))</f>
        <v>0</v>
      </c>
      <c r="M2011" s="16">
        <f>IF(NOT(Paths!$C$189=1),0,IF(Paths!$P$189="Complete",IF(AND(Paths!$D$189="EV",Paths!$E$189&lt;120,Paths!$E$189+'Operating costs'!$B$65&gt;Paths!$E$189,Paths!$E$189+'Operating costs'!$B$65&lt;=120,IF(Paths!$E$189+'Operating costs'!$B$65=0,C2011=0,AND(C2011&gt;0,Paths!$E$189+'Operating costs'!$B$65&gt;(C2011-1)*12,Paths!$E$189+'Operating costs'!$B$65&lt;=C2011*12))),'Operating costs'!$B$64,0)+IF(AND('Operating costs'!$B$67&gt;0,'Operating costs'!$B$67&lt;=120,OR(Paths!$D$189="ICE",'Operating costs'!$B$67&lt;=Paths!$E$189),IF('Operating costs'!$B$67=0,C2011=0,AND(C2011&gt;0,'Operating costs'!$B$67&gt;(C2011-1)*12,'Operating costs'!$B$67&lt;=C2011*12))),'Operating costs'!$B$66,0),"n.a."))</f>
        <v>0</v>
      </c>
      <c r="N2011" s="16">
        <f>IF(NOT(Paths!$C$189=1),0,IF(Paths!$P$189="Complete",SUM(G2011:I2011)-J2011-K2011-L2011+M2011+IF(C2011=0,Paths!$F$189,0)+IF(IF(Paths!$E$189=0,C2011=0,AND(C2011&gt;0,Paths!$E$189&gt;(C2011-1)*12,Paths!$E$189&lt;=C2011*12)),VLOOKUP(A2011,'Fleet register'!$A$7:$S$106,16,FALSE),0),"n.a."))</f>
        <v>0</v>
      </c>
      <c r="O2011" s="16">
        <f>IF(NOT(Paths!$C$189=1),0,IF(Paths!$P$189="Complete",N2011-IF(C2011=0,Paths!$F$189,0),"n.a."))</f>
        <v>0</v>
      </c>
      <c r="P2011" s="16">
        <f>IF(NOT(Paths!$C$189=1),0,IF(Paths!$P$189="Complete",O2011+L2011,"n.a."))</f>
        <v>0</v>
      </c>
      <c r="Q2011" s="16">
        <f>IF(NOT(Paths!$C$189=1),0,IF(Paths!$P$189="Complete",N2011*(1+'Operating costs'!$B$54)^-C2011,"n.a."))</f>
        <v>0</v>
      </c>
      <c r="R2011" s="16">
        <f>IF(NOT(Paths!$C$189=1),0,IF(Paths!$P$189="Complete",IF(AND(C2011=0,Paths!$E$189=0),I2011-J2011-K2011+VLOOKUP(A2011,'Fleet register'!$A$7:$S$106,15,FALSE)+VLOOKUP(A2011,'Fleet register'!$A$7:$S$106,16,FALSE),0),"n.a."))</f>
        <v>0</v>
      </c>
      <c r="S2011" s="1">
        <f>IF(NOT(Paths!$C$189=1),0,IF(Paths!$P$189="Complete",IF(C2011=0,0,Paths!$S$189*Paths!$R$189),"n.a."))</f>
        <v>0</v>
      </c>
      <c r="T2011" s="1">
        <f>IF(NOT(Paths!$C$189=1),0,IF(Paths!$P$189="Complete",IF(C2011=0,0,VLOOKUP(A2011,'Fleet register'!$A$7:$S$106,9,FALSE)*Paths!$R$189),"n.a."))</f>
        <v>0</v>
      </c>
    </row>
    <row r="2012" spans="1:20" ht="24" customHeight="1">
      <c r="A2012" s="1" t="str">
        <f>Paths!$A$189</f>
        <v>T046</v>
      </c>
      <c r="B2012" s="1">
        <f>Paths!$B$189</f>
        <v>2</v>
      </c>
      <c r="C2012" s="1">
        <v>3</v>
      </c>
      <c r="D2012" s="1">
        <v>189</v>
      </c>
      <c r="E2012" s="1">
        <f>IF(OR(Paths!$C$189=0,C2012=0),0,MAX(0,MIN(C2012*12,Paths!$E$189)-(C2012-1)*12))</f>
        <v>0</v>
      </c>
      <c r="F2012" s="1">
        <f>IF(OR(Paths!$C$189=0,C2012=0),0,12-E2012)</f>
        <v>0</v>
      </c>
      <c r="G2012" s="16">
        <f>IF(NOT(Paths!$C$189=1),0,IF(Paths!$P$189="Complete",E2012/12*(Paths!$J$189*(1+'Operating costs'!$B$51)^MAX(0,C2012-1)+Paths!$K$189*(1+'Operating costs'!$B$53)^MAX(0,C2012-1)),"n.a."))</f>
        <v>0</v>
      </c>
      <c r="H2012" s="16">
        <f>IF(NOT(Paths!$C$189=1),0,IF(Paths!$P$189="Complete",F2012/12*(Paths!$L$189*(1+IF(Paths!$D$189="EV",'Operating costs'!$B$52,'Operating costs'!$B$51))^MAX(0,C2012-1)+Paths!$M$189*(1+'Operating costs'!$B$53)^MAX(0,C2012-1)),"n.a."))</f>
        <v>0</v>
      </c>
      <c r="I2012" s="16">
        <f>IF(NOT(Paths!$C$189=1),0,IF(Paths!$P$189="Complete",IF(IF(Paths!$E$189=0,C2012=0,AND(C2012&gt;0,Paths!$E$189&gt;(C2012-1)*12,Paths!$E$189&lt;=C2012*12)),Paths!$G$189,0),"n.a."))</f>
        <v>0</v>
      </c>
      <c r="J2012" s="16">
        <f>IF(NOT(Paths!$C$189=1),0,IF(Paths!$P$189="Complete",IF(IF(Paths!$E$189=0,C2012=0,AND(C2012&gt;0,Paths!$E$189&gt;(C2012-1)*12,Paths!$E$189&lt;=C2012*12)),Paths!$H$189,0),"n.a."))</f>
        <v>0</v>
      </c>
      <c r="K2012" s="16">
        <f>IF(NOT(Paths!$C$189=1),0,IF(Paths!$P$189="Complete",IF(IF(Paths!$O$189=0,C2012=0,AND(C2012&gt;0,Paths!$O$189&gt;(C2012-1)*12,Paths!$O$189&lt;=C2012*12)),Paths!$N$189,0),"n.a."))</f>
        <v>0</v>
      </c>
      <c r="L2012" s="16">
        <f>IF(NOT(Paths!$C$189=1),0,IF(Paths!$P$189="Complete",IF(C2012=10,Paths!$I$189,0),"n.a."))</f>
        <v>0</v>
      </c>
      <c r="M2012" s="16">
        <f>IF(NOT(Paths!$C$189=1),0,IF(Paths!$P$189="Complete",IF(AND(Paths!$D$189="EV",Paths!$E$189&lt;120,Paths!$E$189+'Operating costs'!$B$65&gt;Paths!$E$189,Paths!$E$189+'Operating costs'!$B$65&lt;=120,IF(Paths!$E$189+'Operating costs'!$B$65=0,C2012=0,AND(C2012&gt;0,Paths!$E$189+'Operating costs'!$B$65&gt;(C2012-1)*12,Paths!$E$189+'Operating costs'!$B$65&lt;=C2012*12))),'Operating costs'!$B$64,0)+IF(AND('Operating costs'!$B$67&gt;0,'Operating costs'!$B$67&lt;=120,OR(Paths!$D$189="ICE",'Operating costs'!$B$67&lt;=Paths!$E$189),IF('Operating costs'!$B$67=0,C2012=0,AND(C2012&gt;0,'Operating costs'!$B$67&gt;(C2012-1)*12,'Operating costs'!$B$67&lt;=C2012*12))),'Operating costs'!$B$66,0),"n.a."))</f>
        <v>0</v>
      </c>
      <c r="N2012" s="16">
        <f>IF(NOT(Paths!$C$189=1),0,IF(Paths!$P$189="Complete",SUM(G2012:I2012)-J2012-K2012-L2012+M2012+IF(C2012=0,Paths!$F$189,0)+IF(IF(Paths!$E$189=0,C2012=0,AND(C2012&gt;0,Paths!$E$189&gt;(C2012-1)*12,Paths!$E$189&lt;=C2012*12)),VLOOKUP(A2012,'Fleet register'!$A$7:$S$106,16,FALSE),0),"n.a."))</f>
        <v>0</v>
      </c>
      <c r="O2012" s="16">
        <f>IF(NOT(Paths!$C$189=1),0,IF(Paths!$P$189="Complete",N2012-IF(C2012=0,Paths!$F$189,0),"n.a."))</f>
        <v>0</v>
      </c>
      <c r="P2012" s="16">
        <f>IF(NOT(Paths!$C$189=1),0,IF(Paths!$P$189="Complete",O2012+L2012,"n.a."))</f>
        <v>0</v>
      </c>
      <c r="Q2012" s="16">
        <f>IF(NOT(Paths!$C$189=1),0,IF(Paths!$P$189="Complete",N2012*(1+'Operating costs'!$B$54)^-C2012,"n.a."))</f>
        <v>0</v>
      </c>
      <c r="R2012" s="16">
        <f>IF(NOT(Paths!$C$189=1),0,IF(Paths!$P$189="Complete",IF(AND(C2012=0,Paths!$E$189=0),I2012-J2012-K2012+VLOOKUP(A2012,'Fleet register'!$A$7:$S$106,15,FALSE)+VLOOKUP(A2012,'Fleet register'!$A$7:$S$106,16,FALSE),0),"n.a."))</f>
        <v>0</v>
      </c>
      <c r="S2012" s="1">
        <f>IF(NOT(Paths!$C$189=1),0,IF(Paths!$P$189="Complete",IF(C2012=0,0,Paths!$S$189*Paths!$R$189),"n.a."))</f>
        <v>0</v>
      </c>
      <c r="T2012" s="1">
        <f>IF(NOT(Paths!$C$189=1),0,IF(Paths!$P$189="Complete",IF(C2012=0,0,VLOOKUP(A2012,'Fleet register'!$A$7:$S$106,9,FALSE)*Paths!$R$189),"n.a."))</f>
        <v>0</v>
      </c>
    </row>
    <row r="2013" spans="1:20" ht="24" customHeight="1">
      <c r="A2013" s="1" t="str">
        <f>Paths!$A$189</f>
        <v>T046</v>
      </c>
      <c r="B2013" s="1">
        <f>Paths!$B$189</f>
        <v>2</v>
      </c>
      <c r="C2013" s="1">
        <v>4</v>
      </c>
      <c r="D2013" s="1">
        <v>189</v>
      </c>
      <c r="E2013" s="1">
        <f>IF(OR(Paths!$C$189=0,C2013=0),0,MAX(0,MIN(C2013*12,Paths!$E$189)-(C2013-1)*12))</f>
        <v>0</v>
      </c>
      <c r="F2013" s="1">
        <f>IF(OR(Paths!$C$189=0,C2013=0),0,12-E2013)</f>
        <v>0</v>
      </c>
      <c r="G2013" s="16">
        <f>IF(NOT(Paths!$C$189=1),0,IF(Paths!$P$189="Complete",E2013/12*(Paths!$J$189*(1+'Operating costs'!$B$51)^MAX(0,C2013-1)+Paths!$K$189*(1+'Operating costs'!$B$53)^MAX(0,C2013-1)),"n.a."))</f>
        <v>0</v>
      </c>
      <c r="H2013" s="16">
        <f>IF(NOT(Paths!$C$189=1),0,IF(Paths!$P$189="Complete",F2013/12*(Paths!$L$189*(1+IF(Paths!$D$189="EV",'Operating costs'!$B$52,'Operating costs'!$B$51))^MAX(0,C2013-1)+Paths!$M$189*(1+'Operating costs'!$B$53)^MAX(0,C2013-1)),"n.a."))</f>
        <v>0</v>
      </c>
      <c r="I2013" s="16">
        <f>IF(NOT(Paths!$C$189=1),0,IF(Paths!$P$189="Complete",IF(IF(Paths!$E$189=0,C2013=0,AND(C2013&gt;0,Paths!$E$189&gt;(C2013-1)*12,Paths!$E$189&lt;=C2013*12)),Paths!$G$189,0),"n.a."))</f>
        <v>0</v>
      </c>
      <c r="J2013" s="16">
        <f>IF(NOT(Paths!$C$189=1),0,IF(Paths!$P$189="Complete",IF(IF(Paths!$E$189=0,C2013=0,AND(C2013&gt;0,Paths!$E$189&gt;(C2013-1)*12,Paths!$E$189&lt;=C2013*12)),Paths!$H$189,0),"n.a."))</f>
        <v>0</v>
      </c>
      <c r="K2013" s="16">
        <f>IF(NOT(Paths!$C$189=1),0,IF(Paths!$P$189="Complete",IF(IF(Paths!$O$189=0,C2013=0,AND(C2013&gt;0,Paths!$O$189&gt;(C2013-1)*12,Paths!$O$189&lt;=C2013*12)),Paths!$N$189,0),"n.a."))</f>
        <v>0</v>
      </c>
      <c r="L2013" s="16">
        <f>IF(NOT(Paths!$C$189=1),0,IF(Paths!$P$189="Complete",IF(C2013=10,Paths!$I$189,0),"n.a."))</f>
        <v>0</v>
      </c>
      <c r="M2013" s="16">
        <f>IF(NOT(Paths!$C$189=1),0,IF(Paths!$P$189="Complete",IF(AND(Paths!$D$189="EV",Paths!$E$189&lt;120,Paths!$E$189+'Operating costs'!$B$65&gt;Paths!$E$189,Paths!$E$189+'Operating costs'!$B$65&lt;=120,IF(Paths!$E$189+'Operating costs'!$B$65=0,C2013=0,AND(C2013&gt;0,Paths!$E$189+'Operating costs'!$B$65&gt;(C2013-1)*12,Paths!$E$189+'Operating costs'!$B$65&lt;=C2013*12))),'Operating costs'!$B$64,0)+IF(AND('Operating costs'!$B$67&gt;0,'Operating costs'!$B$67&lt;=120,OR(Paths!$D$189="ICE",'Operating costs'!$B$67&lt;=Paths!$E$189),IF('Operating costs'!$B$67=0,C2013=0,AND(C2013&gt;0,'Operating costs'!$B$67&gt;(C2013-1)*12,'Operating costs'!$B$67&lt;=C2013*12))),'Operating costs'!$B$66,0),"n.a."))</f>
        <v>0</v>
      </c>
      <c r="N2013" s="16">
        <f>IF(NOT(Paths!$C$189=1),0,IF(Paths!$P$189="Complete",SUM(G2013:I2013)-J2013-K2013-L2013+M2013+IF(C2013=0,Paths!$F$189,0)+IF(IF(Paths!$E$189=0,C2013=0,AND(C2013&gt;0,Paths!$E$189&gt;(C2013-1)*12,Paths!$E$189&lt;=C2013*12)),VLOOKUP(A2013,'Fleet register'!$A$7:$S$106,16,FALSE),0),"n.a."))</f>
        <v>0</v>
      </c>
      <c r="O2013" s="16">
        <f>IF(NOT(Paths!$C$189=1),0,IF(Paths!$P$189="Complete",N2013-IF(C2013=0,Paths!$F$189,0),"n.a."))</f>
        <v>0</v>
      </c>
      <c r="P2013" s="16">
        <f>IF(NOT(Paths!$C$189=1),0,IF(Paths!$P$189="Complete",O2013+L2013,"n.a."))</f>
        <v>0</v>
      </c>
      <c r="Q2013" s="16">
        <f>IF(NOT(Paths!$C$189=1),0,IF(Paths!$P$189="Complete",N2013*(1+'Operating costs'!$B$54)^-C2013,"n.a."))</f>
        <v>0</v>
      </c>
      <c r="R2013" s="16">
        <f>IF(NOT(Paths!$C$189=1),0,IF(Paths!$P$189="Complete",IF(AND(C2013=0,Paths!$E$189=0),I2013-J2013-K2013+VLOOKUP(A2013,'Fleet register'!$A$7:$S$106,15,FALSE)+VLOOKUP(A2013,'Fleet register'!$A$7:$S$106,16,FALSE),0),"n.a."))</f>
        <v>0</v>
      </c>
      <c r="S2013" s="1">
        <f>IF(NOT(Paths!$C$189=1),0,IF(Paths!$P$189="Complete",IF(C2013=0,0,Paths!$S$189*Paths!$R$189),"n.a."))</f>
        <v>0</v>
      </c>
      <c r="T2013" s="1">
        <f>IF(NOT(Paths!$C$189=1),0,IF(Paths!$P$189="Complete",IF(C2013=0,0,VLOOKUP(A2013,'Fleet register'!$A$7:$S$106,9,FALSE)*Paths!$R$189),"n.a."))</f>
        <v>0</v>
      </c>
    </row>
    <row r="2014" spans="1:20" ht="24" customHeight="1">
      <c r="A2014" s="1" t="str">
        <f>Paths!$A$189</f>
        <v>T046</v>
      </c>
      <c r="B2014" s="1">
        <f>Paths!$B$189</f>
        <v>2</v>
      </c>
      <c r="C2014" s="1">
        <v>5</v>
      </c>
      <c r="D2014" s="1">
        <v>189</v>
      </c>
      <c r="E2014" s="1">
        <f>IF(OR(Paths!$C$189=0,C2014=0),0,MAX(0,MIN(C2014*12,Paths!$E$189)-(C2014-1)*12))</f>
        <v>0</v>
      </c>
      <c r="F2014" s="1">
        <f>IF(OR(Paths!$C$189=0,C2014=0),0,12-E2014)</f>
        <v>0</v>
      </c>
      <c r="G2014" s="16">
        <f>IF(NOT(Paths!$C$189=1),0,IF(Paths!$P$189="Complete",E2014/12*(Paths!$J$189*(1+'Operating costs'!$B$51)^MAX(0,C2014-1)+Paths!$K$189*(1+'Operating costs'!$B$53)^MAX(0,C2014-1)),"n.a."))</f>
        <v>0</v>
      </c>
      <c r="H2014" s="16">
        <f>IF(NOT(Paths!$C$189=1),0,IF(Paths!$P$189="Complete",F2014/12*(Paths!$L$189*(1+IF(Paths!$D$189="EV",'Operating costs'!$B$52,'Operating costs'!$B$51))^MAX(0,C2014-1)+Paths!$M$189*(1+'Operating costs'!$B$53)^MAX(0,C2014-1)),"n.a."))</f>
        <v>0</v>
      </c>
      <c r="I2014" s="16">
        <f>IF(NOT(Paths!$C$189=1),0,IF(Paths!$P$189="Complete",IF(IF(Paths!$E$189=0,C2014=0,AND(C2014&gt;0,Paths!$E$189&gt;(C2014-1)*12,Paths!$E$189&lt;=C2014*12)),Paths!$G$189,0),"n.a."))</f>
        <v>0</v>
      </c>
      <c r="J2014" s="16">
        <f>IF(NOT(Paths!$C$189=1),0,IF(Paths!$P$189="Complete",IF(IF(Paths!$E$189=0,C2014=0,AND(C2014&gt;0,Paths!$E$189&gt;(C2014-1)*12,Paths!$E$189&lt;=C2014*12)),Paths!$H$189,0),"n.a."))</f>
        <v>0</v>
      </c>
      <c r="K2014" s="16">
        <f>IF(NOT(Paths!$C$189=1),0,IF(Paths!$P$189="Complete",IF(IF(Paths!$O$189=0,C2014=0,AND(C2014&gt;0,Paths!$O$189&gt;(C2014-1)*12,Paths!$O$189&lt;=C2014*12)),Paths!$N$189,0),"n.a."))</f>
        <v>0</v>
      </c>
      <c r="L2014" s="16">
        <f>IF(NOT(Paths!$C$189=1),0,IF(Paths!$P$189="Complete",IF(C2014=10,Paths!$I$189,0),"n.a."))</f>
        <v>0</v>
      </c>
      <c r="M2014" s="16">
        <f>IF(NOT(Paths!$C$189=1),0,IF(Paths!$P$189="Complete",IF(AND(Paths!$D$189="EV",Paths!$E$189&lt;120,Paths!$E$189+'Operating costs'!$B$65&gt;Paths!$E$189,Paths!$E$189+'Operating costs'!$B$65&lt;=120,IF(Paths!$E$189+'Operating costs'!$B$65=0,C2014=0,AND(C2014&gt;0,Paths!$E$189+'Operating costs'!$B$65&gt;(C2014-1)*12,Paths!$E$189+'Operating costs'!$B$65&lt;=C2014*12))),'Operating costs'!$B$64,0)+IF(AND('Operating costs'!$B$67&gt;0,'Operating costs'!$B$67&lt;=120,OR(Paths!$D$189="ICE",'Operating costs'!$B$67&lt;=Paths!$E$189),IF('Operating costs'!$B$67=0,C2014=0,AND(C2014&gt;0,'Operating costs'!$B$67&gt;(C2014-1)*12,'Operating costs'!$B$67&lt;=C2014*12))),'Operating costs'!$B$66,0),"n.a."))</f>
        <v>0</v>
      </c>
      <c r="N2014" s="16">
        <f>IF(NOT(Paths!$C$189=1),0,IF(Paths!$P$189="Complete",SUM(G2014:I2014)-J2014-K2014-L2014+M2014+IF(C2014=0,Paths!$F$189,0)+IF(IF(Paths!$E$189=0,C2014=0,AND(C2014&gt;0,Paths!$E$189&gt;(C2014-1)*12,Paths!$E$189&lt;=C2014*12)),VLOOKUP(A2014,'Fleet register'!$A$7:$S$106,16,FALSE),0),"n.a."))</f>
        <v>0</v>
      </c>
      <c r="O2014" s="16">
        <f>IF(NOT(Paths!$C$189=1),0,IF(Paths!$P$189="Complete",N2014-IF(C2014=0,Paths!$F$189,0),"n.a."))</f>
        <v>0</v>
      </c>
      <c r="P2014" s="16">
        <f>IF(NOT(Paths!$C$189=1),0,IF(Paths!$P$189="Complete",O2014+L2014,"n.a."))</f>
        <v>0</v>
      </c>
      <c r="Q2014" s="16">
        <f>IF(NOT(Paths!$C$189=1),0,IF(Paths!$P$189="Complete",N2014*(1+'Operating costs'!$B$54)^-C2014,"n.a."))</f>
        <v>0</v>
      </c>
      <c r="R2014" s="16">
        <f>IF(NOT(Paths!$C$189=1),0,IF(Paths!$P$189="Complete",IF(AND(C2014=0,Paths!$E$189=0),I2014-J2014-K2014+VLOOKUP(A2014,'Fleet register'!$A$7:$S$106,15,FALSE)+VLOOKUP(A2014,'Fleet register'!$A$7:$S$106,16,FALSE),0),"n.a."))</f>
        <v>0</v>
      </c>
      <c r="S2014" s="1">
        <f>IF(NOT(Paths!$C$189=1),0,IF(Paths!$P$189="Complete",IF(C2014=0,0,Paths!$S$189*Paths!$R$189),"n.a."))</f>
        <v>0</v>
      </c>
      <c r="T2014" s="1">
        <f>IF(NOT(Paths!$C$189=1),0,IF(Paths!$P$189="Complete",IF(C2014=0,0,VLOOKUP(A2014,'Fleet register'!$A$7:$S$106,9,FALSE)*Paths!$R$189),"n.a."))</f>
        <v>0</v>
      </c>
    </row>
    <row r="2015" spans="1:20" ht="24" customHeight="1">
      <c r="A2015" s="1" t="str">
        <f>Paths!$A$189</f>
        <v>T046</v>
      </c>
      <c r="B2015" s="1">
        <f>Paths!$B$189</f>
        <v>2</v>
      </c>
      <c r="C2015" s="1">
        <v>6</v>
      </c>
      <c r="D2015" s="1">
        <v>189</v>
      </c>
      <c r="E2015" s="1">
        <f>IF(OR(Paths!$C$189=0,C2015=0),0,MAX(0,MIN(C2015*12,Paths!$E$189)-(C2015-1)*12))</f>
        <v>0</v>
      </c>
      <c r="F2015" s="1">
        <f>IF(OR(Paths!$C$189=0,C2015=0),0,12-E2015)</f>
        <v>0</v>
      </c>
      <c r="G2015" s="16">
        <f>IF(NOT(Paths!$C$189=1),0,IF(Paths!$P$189="Complete",E2015/12*(Paths!$J$189*(1+'Operating costs'!$B$51)^MAX(0,C2015-1)+Paths!$K$189*(1+'Operating costs'!$B$53)^MAX(0,C2015-1)),"n.a."))</f>
        <v>0</v>
      </c>
      <c r="H2015" s="16">
        <f>IF(NOT(Paths!$C$189=1),0,IF(Paths!$P$189="Complete",F2015/12*(Paths!$L$189*(1+IF(Paths!$D$189="EV",'Operating costs'!$B$52,'Operating costs'!$B$51))^MAX(0,C2015-1)+Paths!$M$189*(1+'Operating costs'!$B$53)^MAX(0,C2015-1)),"n.a."))</f>
        <v>0</v>
      </c>
      <c r="I2015" s="16">
        <f>IF(NOT(Paths!$C$189=1),0,IF(Paths!$P$189="Complete",IF(IF(Paths!$E$189=0,C2015=0,AND(C2015&gt;0,Paths!$E$189&gt;(C2015-1)*12,Paths!$E$189&lt;=C2015*12)),Paths!$G$189,0),"n.a."))</f>
        <v>0</v>
      </c>
      <c r="J2015" s="16">
        <f>IF(NOT(Paths!$C$189=1),0,IF(Paths!$P$189="Complete",IF(IF(Paths!$E$189=0,C2015=0,AND(C2015&gt;0,Paths!$E$189&gt;(C2015-1)*12,Paths!$E$189&lt;=C2015*12)),Paths!$H$189,0),"n.a."))</f>
        <v>0</v>
      </c>
      <c r="K2015" s="16">
        <f>IF(NOT(Paths!$C$189=1),0,IF(Paths!$P$189="Complete",IF(IF(Paths!$O$189=0,C2015=0,AND(C2015&gt;0,Paths!$O$189&gt;(C2015-1)*12,Paths!$O$189&lt;=C2015*12)),Paths!$N$189,0),"n.a."))</f>
        <v>0</v>
      </c>
      <c r="L2015" s="16">
        <f>IF(NOT(Paths!$C$189=1),0,IF(Paths!$P$189="Complete",IF(C2015=10,Paths!$I$189,0),"n.a."))</f>
        <v>0</v>
      </c>
      <c r="M2015" s="16">
        <f>IF(NOT(Paths!$C$189=1),0,IF(Paths!$P$189="Complete",IF(AND(Paths!$D$189="EV",Paths!$E$189&lt;120,Paths!$E$189+'Operating costs'!$B$65&gt;Paths!$E$189,Paths!$E$189+'Operating costs'!$B$65&lt;=120,IF(Paths!$E$189+'Operating costs'!$B$65=0,C2015=0,AND(C2015&gt;0,Paths!$E$189+'Operating costs'!$B$65&gt;(C2015-1)*12,Paths!$E$189+'Operating costs'!$B$65&lt;=C2015*12))),'Operating costs'!$B$64,0)+IF(AND('Operating costs'!$B$67&gt;0,'Operating costs'!$B$67&lt;=120,OR(Paths!$D$189="ICE",'Operating costs'!$B$67&lt;=Paths!$E$189),IF('Operating costs'!$B$67=0,C2015=0,AND(C2015&gt;0,'Operating costs'!$B$67&gt;(C2015-1)*12,'Operating costs'!$B$67&lt;=C2015*12))),'Operating costs'!$B$66,0),"n.a."))</f>
        <v>0</v>
      </c>
      <c r="N2015" s="16">
        <f>IF(NOT(Paths!$C$189=1),0,IF(Paths!$P$189="Complete",SUM(G2015:I2015)-J2015-K2015-L2015+M2015+IF(C2015=0,Paths!$F$189,0)+IF(IF(Paths!$E$189=0,C2015=0,AND(C2015&gt;0,Paths!$E$189&gt;(C2015-1)*12,Paths!$E$189&lt;=C2015*12)),VLOOKUP(A2015,'Fleet register'!$A$7:$S$106,16,FALSE),0),"n.a."))</f>
        <v>0</v>
      </c>
      <c r="O2015" s="16">
        <f>IF(NOT(Paths!$C$189=1),0,IF(Paths!$P$189="Complete",N2015-IF(C2015=0,Paths!$F$189,0),"n.a."))</f>
        <v>0</v>
      </c>
      <c r="P2015" s="16">
        <f>IF(NOT(Paths!$C$189=1),0,IF(Paths!$P$189="Complete",O2015+L2015,"n.a."))</f>
        <v>0</v>
      </c>
      <c r="Q2015" s="16">
        <f>IF(NOT(Paths!$C$189=1),0,IF(Paths!$P$189="Complete",N2015*(1+'Operating costs'!$B$54)^-C2015,"n.a."))</f>
        <v>0</v>
      </c>
      <c r="R2015" s="16">
        <f>IF(NOT(Paths!$C$189=1),0,IF(Paths!$P$189="Complete",IF(AND(C2015=0,Paths!$E$189=0),I2015-J2015-K2015+VLOOKUP(A2015,'Fleet register'!$A$7:$S$106,15,FALSE)+VLOOKUP(A2015,'Fleet register'!$A$7:$S$106,16,FALSE),0),"n.a."))</f>
        <v>0</v>
      </c>
      <c r="S2015" s="1">
        <f>IF(NOT(Paths!$C$189=1),0,IF(Paths!$P$189="Complete",IF(C2015=0,0,Paths!$S$189*Paths!$R$189),"n.a."))</f>
        <v>0</v>
      </c>
      <c r="T2015" s="1">
        <f>IF(NOT(Paths!$C$189=1),0,IF(Paths!$P$189="Complete",IF(C2015=0,0,VLOOKUP(A2015,'Fleet register'!$A$7:$S$106,9,FALSE)*Paths!$R$189),"n.a."))</f>
        <v>0</v>
      </c>
    </row>
    <row r="2016" spans="1:20" ht="24" customHeight="1">
      <c r="A2016" s="1" t="str">
        <f>Paths!$A$189</f>
        <v>T046</v>
      </c>
      <c r="B2016" s="1">
        <f>Paths!$B$189</f>
        <v>2</v>
      </c>
      <c r="C2016" s="1">
        <v>7</v>
      </c>
      <c r="D2016" s="1">
        <v>189</v>
      </c>
      <c r="E2016" s="1">
        <f>IF(OR(Paths!$C$189=0,C2016=0),0,MAX(0,MIN(C2016*12,Paths!$E$189)-(C2016-1)*12))</f>
        <v>0</v>
      </c>
      <c r="F2016" s="1">
        <f>IF(OR(Paths!$C$189=0,C2016=0),0,12-E2016)</f>
        <v>0</v>
      </c>
      <c r="G2016" s="16">
        <f>IF(NOT(Paths!$C$189=1),0,IF(Paths!$P$189="Complete",E2016/12*(Paths!$J$189*(1+'Operating costs'!$B$51)^MAX(0,C2016-1)+Paths!$K$189*(1+'Operating costs'!$B$53)^MAX(0,C2016-1)),"n.a."))</f>
        <v>0</v>
      </c>
      <c r="H2016" s="16">
        <f>IF(NOT(Paths!$C$189=1),0,IF(Paths!$P$189="Complete",F2016/12*(Paths!$L$189*(1+IF(Paths!$D$189="EV",'Operating costs'!$B$52,'Operating costs'!$B$51))^MAX(0,C2016-1)+Paths!$M$189*(1+'Operating costs'!$B$53)^MAX(0,C2016-1)),"n.a."))</f>
        <v>0</v>
      </c>
      <c r="I2016" s="16">
        <f>IF(NOT(Paths!$C$189=1),0,IF(Paths!$P$189="Complete",IF(IF(Paths!$E$189=0,C2016=0,AND(C2016&gt;0,Paths!$E$189&gt;(C2016-1)*12,Paths!$E$189&lt;=C2016*12)),Paths!$G$189,0),"n.a."))</f>
        <v>0</v>
      </c>
      <c r="J2016" s="16">
        <f>IF(NOT(Paths!$C$189=1),0,IF(Paths!$P$189="Complete",IF(IF(Paths!$E$189=0,C2016=0,AND(C2016&gt;0,Paths!$E$189&gt;(C2016-1)*12,Paths!$E$189&lt;=C2016*12)),Paths!$H$189,0),"n.a."))</f>
        <v>0</v>
      </c>
      <c r="K2016" s="16">
        <f>IF(NOT(Paths!$C$189=1),0,IF(Paths!$P$189="Complete",IF(IF(Paths!$O$189=0,C2016=0,AND(C2016&gt;0,Paths!$O$189&gt;(C2016-1)*12,Paths!$O$189&lt;=C2016*12)),Paths!$N$189,0),"n.a."))</f>
        <v>0</v>
      </c>
      <c r="L2016" s="16">
        <f>IF(NOT(Paths!$C$189=1),0,IF(Paths!$P$189="Complete",IF(C2016=10,Paths!$I$189,0),"n.a."))</f>
        <v>0</v>
      </c>
      <c r="M2016" s="16">
        <f>IF(NOT(Paths!$C$189=1),0,IF(Paths!$P$189="Complete",IF(AND(Paths!$D$189="EV",Paths!$E$189&lt;120,Paths!$E$189+'Operating costs'!$B$65&gt;Paths!$E$189,Paths!$E$189+'Operating costs'!$B$65&lt;=120,IF(Paths!$E$189+'Operating costs'!$B$65=0,C2016=0,AND(C2016&gt;0,Paths!$E$189+'Operating costs'!$B$65&gt;(C2016-1)*12,Paths!$E$189+'Operating costs'!$B$65&lt;=C2016*12))),'Operating costs'!$B$64,0)+IF(AND('Operating costs'!$B$67&gt;0,'Operating costs'!$B$67&lt;=120,OR(Paths!$D$189="ICE",'Operating costs'!$B$67&lt;=Paths!$E$189),IF('Operating costs'!$B$67=0,C2016=0,AND(C2016&gt;0,'Operating costs'!$B$67&gt;(C2016-1)*12,'Operating costs'!$B$67&lt;=C2016*12))),'Operating costs'!$B$66,0),"n.a."))</f>
        <v>0</v>
      </c>
      <c r="N2016" s="16">
        <f>IF(NOT(Paths!$C$189=1),0,IF(Paths!$P$189="Complete",SUM(G2016:I2016)-J2016-K2016-L2016+M2016+IF(C2016=0,Paths!$F$189,0)+IF(IF(Paths!$E$189=0,C2016=0,AND(C2016&gt;0,Paths!$E$189&gt;(C2016-1)*12,Paths!$E$189&lt;=C2016*12)),VLOOKUP(A2016,'Fleet register'!$A$7:$S$106,16,FALSE),0),"n.a."))</f>
        <v>0</v>
      </c>
      <c r="O2016" s="16">
        <f>IF(NOT(Paths!$C$189=1),0,IF(Paths!$P$189="Complete",N2016-IF(C2016=0,Paths!$F$189,0),"n.a."))</f>
        <v>0</v>
      </c>
      <c r="P2016" s="16">
        <f>IF(NOT(Paths!$C$189=1),0,IF(Paths!$P$189="Complete",O2016+L2016,"n.a."))</f>
        <v>0</v>
      </c>
      <c r="Q2016" s="16">
        <f>IF(NOT(Paths!$C$189=1),0,IF(Paths!$P$189="Complete",N2016*(1+'Operating costs'!$B$54)^-C2016,"n.a."))</f>
        <v>0</v>
      </c>
      <c r="R2016" s="16">
        <f>IF(NOT(Paths!$C$189=1),0,IF(Paths!$P$189="Complete",IF(AND(C2016=0,Paths!$E$189=0),I2016-J2016-K2016+VLOOKUP(A2016,'Fleet register'!$A$7:$S$106,15,FALSE)+VLOOKUP(A2016,'Fleet register'!$A$7:$S$106,16,FALSE),0),"n.a."))</f>
        <v>0</v>
      </c>
      <c r="S2016" s="1">
        <f>IF(NOT(Paths!$C$189=1),0,IF(Paths!$P$189="Complete",IF(C2016=0,0,Paths!$S$189*Paths!$R$189),"n.a."))</f>
        <v>0</v>
      </c>
      <c r="T2016" s="1">
        <f>IF(NOT(Paths!$C$189=1),0,IF(Paths!$P$189="Complete",IF(C2016=0,0,VLOOKUP(A2016,'Fleet register'!$A$7:$S$106,9,FALSE)*Paths!$R$189),"n.a."))</f>
        <v>0</v>
      </c>
    </row>
    <row r="2017" spans="1:20" ht="24" customHeight="1">
      <c r="A2017" s="1" t="str">
        <f>Paths!$A$189</f>
        <v>T046</v>
      </c>
      <c r="B2017" s="1">
        <f>Paths!$B$189</f>
        <v>2</v>
      </c>
      <c r="C2017" s="1">
        <v>8</v>
      </c>
      <c r="D2017" s="1">
        <v>189</v>
      </c>
      <c r="E2017" s="1">
        <f>IF(OR(Paths!$C$189=0,C2017=0),0,MAX(0,MIN(C2017*12,Paths!$E$189)-(C2017-1)*12))</f>
        <v>0</v>
      </c>
      <c r="F2017" s="1">
        <f>IF(OR(Paths!$C$189=0,C2017=0),0,12-E2017)</f>
        <v>0</v>
      </c>
      <c r="G2017" s="16">
        <f>IF(NOT(Paths!$C$189=1),0,IF(Paths!$P$189="Complete",E2017/12*(Paths!$J$189*(1+'Operating costs'!$B$51)^MAX(0,C2017-1)+Paths!$K$189*(1+'Operating costs'!$B$53)^MAX(0,C2017-1)),"n.a."))</f>
        <v>0</v>
      </c>
      <c r="H2017" s="16">
        <f>IF(NOT(Paths!$C$189=1),0,IF(Paths!$P$189="Complete",F2017/12*(Paths!$L$189*(1+IF(Paths!$D$189="EV",'Operating costs'!$B$52,'Operating costs'!$B$51))^MAX(0,C2017-1)+Paths!$M$189*(1+'Operating costs'!$B$53)^MAX(0,C2017-1)),"n.a."))</f>
        <v>0</v>
      </c>
      <c r="I2017" s="16">
        <f>IF(NOT(Paths!$C$189=1),0,IF(Paths!$P$189="Complete",IF(IF(Paths!$E$189=0,C2017=0,AND(C2017&gt;0,Paths!$E$189&gt;(C2017-1)*12,Paths!$E$189&lt;=C2017*12)),Paths!$G$189,0),"n.a."))</f>
        <v>0</v>
      </c>
      <c r="J2017" s="16">
        <f>IF(NOT(Paths!$C$189=1),0,IF(Paths!$P$189="Complete",IF(IF(Paths!$E$189=0,C2017=0,AND(C2017&gt;0,Paths!$E$189&gt;(C2017-1)*12,Paths!$E$189&lt;=C2017*12)),Paths!$H$189,0),"n.a."))</f>
        <v>0</v>
      </c>
      <c r="K2017" s="16">
        <f>IF(NOT(Paths!$C$189=1),0,IF(Paths!$P$189="Complete",IF(IF(Paths!$O$189=0,C2017=0,AND(C2017&gt;0,Paths!$O$189&gt;(C2017-1)*12,Paths!$O$189&lt;=C2017*12)),Paths!$N$189,0),"n.a."))</f>
        <v>0</v>
      </c>
      <c r="L2017" s="16">
        <f>IF(NOT(Paths!$C$189=1),0,IF(Paths!$P$189="Complete",IF(C2017=10,Paths!$I$189,0),"n.a."))</f>
        <v>0</v>
      </c>
      <c r="M2017" s="16">
        <f>IF(NOT(Paths!$C$189=1),0,IF(Paths!$P$189="Complete",IF(AND(Paths!$D$189="EV",Paths!$E$189&lt;120,Paths!$E$189+'Operating costs'!$B$65&gt;Paths!$E$189,Paths!$E$189+'Operating costs'!$B$65&lt;=120,IF(Paths!$E$189+'Operating costs'!$B$65=0,C2017=0,AND(C2017&gt;0,Paths!$E$189+'Operating costs'!$B$65&gt;(C2017-1)*12,Paths!$E$189+'Operating costs'!$B$65&lt;=C2017*12))),'Operating costs'!$B$64,0)+IF(AND('Operating costs'!$B$67&gt;0,'Operating costs'!$B$67&lt;=120,OR(Paths!$D$189="ICE",'Operating costs'!$B$67&lt;=Paths!$E$189),IF('Operating costs'!$B$67=0,C2017=0,AND(C2017&gt;0,'Operating costs'!$B$67&gt;(C2017-1)*12,'Operating costs'!$B$67&lt;=C2017*12))),'Operating costs'!$B$66,0),"n.a."))</f>
        <v>0</v>
      </c>
      <c r="N2017" s="16">
        <f>IF(NOT(Paths!$C$189=1),0,IF(Paths!$P$189="Complete",SUM(G2017:I2017)-J2017-K2017-L2017+M2017+IF(C2017=0,Paths!$F$189,0)+IF(IF(Paths!$E$189=0,C2017=0,AND(C2017&gt;0,Paths!$E$189&gt;(C2017-1)*12,Paths!$E$189&lt;=C2017*12)),VLOOKUP(A2017,'Fleet register'!$A$7:$S$106,16,FALSE),0),"n.a."))</f>
        <v>0</v>
      </c>
      <c r="O2017" s="16">
        <f>IF(NOT(Paths!$C$189=1),0,IF(Paths!$P$189="Complete",N2017-IF(C2017=0,Paths!$F$189,0),"n.a."))</f>
        <v>0</v>
      </c>
      <c r="P2017" s="16">
        <f>IF(NOT(Paths!$C$189=1),0,IF(Paths!$P$189="Complete",O2017+L2017,"n.a."))</f>
        <v>0</v>
      </c>
      <c r="Q2017" s="16">
        <f>IF(NOT(Paths!$C$189=1),0,IF(Paths!$P$189="Complete",N2017*(1+'Operating costs'!$B$54)^-C2017,"n.a."))</f>
        <v>0</v>
      </c>
      <c r="R2017" s="16">
        <f>IF(NOT(Paths!$C$189=1),0,IF(Paths!$P$189="Complete",IF(AND(C2017=0,Paths!$E$189=0),I2017-J2017-K2017+VLOOKUP(A2017,'Fleet register'!$A$7:$S$106,15,FALSE)+VLOOKUP(A2017,'Fleet register'!$A$7:$S$106,16,FALSE),0),"n.a."))</f>
        <v>0</v>
      </c>
      <c r="S2017" s="1">
        <f>IF(NOT(Paths!$C$189=1),0,IF(Paths!$P$189="Complete",IF(C2017=0,0,Paths!$S$189*Paths!$R$189),"n.a."))</f>
        <v>0</v>
      </c>
      <c r="T2017" s="1">
        <f>IF(NOT(Paths!$C$189=1),0,IF(Paths!$P$189="Complete",IF(C2017=0,0,VLOOKUP(A2017,'Fleet register'!$A$7:$S$106,9,FALSE)*Paths!$R$189),"n.a."))</f>
        <v>0</v>
      </c>
    </row>
    <row r="2018" spans="1:20" ht="24" customHeight="1">
      <c r="A2018" s="1" t="str">
        <f>Paths!$A$189</f>
        <v>T046</v>
      </c>
      <c r="B2018" s="1">
        <f>Paths!$B$189</f>
        <v>2</v>
      </c>
      <c r="C2018" s="1">
        <v>9</v>
      </c>
      <c r="D2018" s="1">
        <v>189</v>
      </c>
      <c r="E2018" s="1">
        <f>IF(OR(Paths!$C$189=0,C2018=0),0,MAX(0,MIN(C2018*12,Paths!$E$189)-(C2018-1)*12))</f>
        <v>0</v>
      </c>
      <c r="F2018" s="1">
        <f>IF(OR(Paths!$C$189=0,C2018=0),0,12-E2018)</f>
        <v>0</v>
      </c>
      <c r="G2018" s="16">
        <f>IF(NOT(Paths!$C$189=1),0,IF(Paths!$P$189="Complete",E2018/12*(Paths!$J$189*(1+'Operating costs'!$B$51)^MAX(0,C2018-1)+Paths!$K$189*(1+'Operating costs'!$B$53)^MAX(0,C2018-1)),"n.a."))</f>
        <v>0</v>
      </c>
      <c r="H2018" s="16">
        <f>IF(NOT(Paths!$C$189=1),0,IF(Paths!$P$189="Complete",F2018/12*(Paths!$L$189*(1+IF(Paths!$D$189="EV",'Operating costs'!$B$52,'Operating costs'!$B$51))^MAX(0,C2018-1)+Paths!$M$189*(1+'Operating costs'!$B$53)^MAX(0,C2018-1)),"n.a."))</f>
        <v>0</v>
      </c>
      <c r="I2018" s="16">
        <f>IF(NOT(Paths!$C$189=1),0,IF(Paths!$P$189="Complete",IF(IF(Paths!$E$189=0,C2018=0,AND(C2018&gt;0,Paths!$E$189&gt;(C2018-1)*12,Paths!$E$189&lt;=C2018*12)),Paths!$G$189,0),"n.a."))</f>
        <v>0</v>
      </c>
      <c r="J2018" s="16">
        <f>IF(NOT(Paths!$C$189=1),0,IF(Paths!$P$189="Complete",IF(IF(Paths!$E$189=0,C2018=0,AND(C2018&gt;0,Paths!$E$189&gt;(C2018-1)*12,Paths!$E$189&lt;=C2018*12)),Paths!$H$189,0),"n.a."))</f>
        <v>0</v>
      </c>
      <c r="K2018" s="16">
        <f>IF(NOT(Paths!$C$189=1),0,IF(Paths!$P$189="Complete",IF(IF(Paths!$O$189=0,C2018=0,AND(C2018&gt;0,Paths!$O$189&gt;(C2018-1)*12,Paths!$O$189&lt;=C2018*12)),Paths!$N$189,0),"n.a."))</f>
        <v>0</v>
      </c>
      <c r="L2018" s="16">
        <f>IF(NOT(Paths!$C$189=1),0,IF(Paths!$P$189="Complete",IF(C2018=10,Paths!$I$189,0),"n.a."))</f>
        <v>0</v>
      </c>
      <c r="M2018" s="16">
        <f>IF(NOT(Paths!$C$189=1),0,IF(Paths!$P$189="Complete",IF(AND(Paths!$D$189="EV",Paths!$E$189&lt;120,Paths!$E$189+'Operating costs'!$B$65&gt;Paths!$E$189,Paths!$E$189+'Operating costs'!$B$65&lt;=120,IF(Paths!$E$189+'Operating costs'!$B$65=0,C2018=0,AND(C2018&gt;0,Paths!$E$189+'Operating costs'!$B$65&gt;(C2018-1)*12,Paths!$E$189+'Operating costs'!$B$65&lt;=C2018*12))),'Operating costs'!$B$64,0)+IF(AND('Operating costs'!$B$67&gt;0,'Operating costs'!$B$67&lt;=120,OR(Paths!$D$189="ICE",'Operating costs'!$B$67&lt;=Paths!$E$189),IF('Operating costs'!$B$67=0,C2018=0,AND(C2018&gt;0,'Operating costs'!$B$67&gt;(C2018-1)*12,'Operating costs'!$B$67&lt;=C2018*12))),'Operating costs'!$B$66,0),"n.a."))</f>
        <v>0</v>
      </c>
      <c r="N2018" s="16">
        <f>IF(NOT(Paths!$C$189=1),0,IF(Paths!$P$189="Complete",SUM(G2018:I2018)-J2018-K2018-L2018+M2018+IF(C2018=0,Paths!$F$189,0)+IF(IF(Paths!$E$189=0,C2018=0,AND(C2018&gt;0,Paths!$E$189&gt;(C2018-1)*12,Paths!$E$189&lt;=C2018*12)),VLOOKUP(A2018,'Fleet register'!$A$7:$S$106,16,FALSE),0),"n.a."))</f>
        <v>0</v>
      </c>
      <c r="O2018" s="16">
        <f>IF(NOT(Paths!$C$189=1),0,IF(Paths!$P$189="Complete",N2018-IF(C2018=0,Paths!$F$189,0),"n.a."))</f>
        <v>0</v>
      </c>
      <c r="P2018" s="16">
        <f>IF(NOT(Paths!$C$189=1),0,IF(Paths!$P$189="Complete",O2018+L2018,"n.a."))</f>
        <v>0</v>
      </c>
      <c r="Q2018" s="16">
        <f>IF(NOT(Paths!$C$189=1),0,IF(Paths!$P$189="Complete",N2018*(1+'Operating costs'!$B$54)^-C2018,"n.a."))</f>
        <v>0</v>
      </c>
      <c r="R2018" s="16">
        <f>IF(NOT(Paths!$C$189=1),0,IF(Paths!$P$189="Complete",IF(AND(C2018=0,Paths!$E$189=0),I2018-J2018-K2018+VLOOKUP(A2018,'Fleet register'!$A$7:$S$106,15,FALSE)+VLOOKUP(A2018,'Fleet register'!$A$7:$S$106,16,FALSE),0),"n.a."))</f>
        <v>0</v>
      </c>
      <c r="S2018" s="1">
        <f>IF(NOT(Paths!$C$189=1),0,IF(Paths!$P$189="Complete",IF(C2018=0,0,Paths!$S$189*Paths!$R$189),"n.a."))</f>
        <v>0</v>
      </c>
      <c r="T2018" s="1">
        <f>IF(NOT(Paths!$C$189=1),0,IF(Paths!$P$189="Complete",IF(C2018=0,0,VLOOKUP(A2018,'Fleet register'!$A$7:$S$106,9,FALSE)*Paths!$R$189),"n.a."))</f>
        <v>0</v>
      </c>
    </row>
    <row r="2019" spans="1:20" ht="24" customHeight="1">
      <c r="A2019" s="1" t="str">
        <f>Paths!$A$189</f>
        <v>T046</v>
      </c>
      <c r="B2019" s="1">
        <f>Paths!$B$189</f>
        <v>2</v>
      </c>
      <c r="C2019" s="1">
        <v>10</v>
      </c>
      <c r="D2019" s="1">
        <v>189</v>
      </c>
      <c r="E2019" s="1">
        <f>IF(OR(Paths!$C$189=0,C2019=0),0,MAX(0,MIN(C2019*12,Paths!$E$189)-(C2019-1)*12))</f>
        <v>0</v>
      </c>
      <c r="F2019" s="1">
        <f>IF(OR(Paths!$C$189=0,C2019=0),0,12-E2019)</f>
        <v>0</v>
      </c>
      <c r="G2019" s="16">
        <f>IF(NOT(Paths!$C$189=1),0,IF(Paths!$P$189="Complete",E2019/12*(Paths!$J$189*(1+'Operating costs'!$B$51)^MAX(0,C2019-1)+Paths!$K$189*(1+'Operating costs'!$B$53)^MAX(0,C2019-1)),"n.a."))</f>
        <v>0</v>
      </c>
      <c r="H2019" s="16">
        <f>IF(NOT(Paths!$C$189=1),0,IF(Paths!$P$189="Complete",F2019/12*(Paths!$L$189*(1+IF(Paths!$D$189="EV",'Operating costs'!$B$52,'Operating costs'!$B$51))^MAX(0,C2019-1)+Paths!$M$189*(1+'Operating costs'!$B$53)^MAX(0,C2019-1)),"n.a."))</f>
        <v>0</v>
      </c>
      <c r="I2019" s="16">
        <f>IF(NOT(Paths!$C$189=1),0,IF(Paths!$P$189="Complete",IF(IF(Paths!$E$189=0,C2019=0,AND(C2019&gt;0,Paths!$E$189&gt;(C2019-1)*12,Paths!$E$189&lt;=C2019*12)),Paths!$G$189,0),"n.a."))</f>
        <v>0</v>
      </c>
      <c r="J2019" s="16">
        <f>IF(NOT(Paths!$C$189=1),0,IF(Paths!$P$189="Complete",IF(IF(Paths!$E$189=0,C2019=0,AND(C2019&gt;0,Paths!$E$189&gt;(C2019-1)*12,Paths!$E$189&lt;=C2019*12)),Paths!$H$189,0),"n.a."))</f>
        <v>0</v>
      </c>
      <c r="K2019" s="16">
        <f>IF(NOT(Paths!$C$189=1),0,IF(Paths!$P$189="Complete",IF(IF(Paths!$O$189=0,C2019=0,AND(C2019&gt;0,Paths!$O$189&gt;(C2019-1)*12,Paths!$O$189&lt;=C2019*12)),Paths!$N$189,0),"n.a."))</f>
        <v>0</v>
      </c>
      <c r="L2019" s="16">
        <f>IF(NOT(Paths!$C$189=1),0,IF(Paths!$P$189="Complete",IF(C2019=10,Paths!$I$189,0),"n.a."))</f>
        <v>0</v>
      </c>
      <c r="M2019" s="16">
        <f>IF(NOT(Paths!$C$189=1),0,IF(Paths!$P$189="Complete",IF(AND(Paths!$D$189="EV",Paths!$E$189&lt;120,Paths!$E$189+'Operating costs'!$B$65&gt;Paths!$E$189,Paths!$E$189+'Operating costs'!$B$65&lt;=120,IF(Paths!$E$189+'Operating costs'!$B$65=0,C2019=0,AND(C2019&gt;0,Paths!$E$189+'Operating costs'!$B$65&gt;(C2019-1)*12,Paths!$E$189+'Operating costs'!$B$65&lt;=C2019*12))),'Operating costs'!$B$64,0)+IF(AND('Operating costs'!$B$67&gt;0,'Operating costs'!$B$67&lt;=120,OR(Paths!$D$189="ICE",'Operating costs'!$B$67&lt;=Paths!$E$189),IF('Operating costs'!$B$67=0,C2019=0,AND(C2019&gt;0,'Operating costs'!$B$67&gt;(C2019-1)*12,'Operating costs'!$B$67&lt;=C2019*12))),'Operating costs'!$B$66,0),"n.a."))</f>
        <v>0</v>
      </c>
      <c r="N2019" s="16">
        <f>IF(NOT(Paths!$C$189=1),0,IF(Paths!$P$189="Complete",SUM(G2019:I2019)-J2019-K2019-L2019+M2019+IF(C2019=0,Paths!$F$189,0)+IF(IF(Paths!$E$189=0,C2019=0,AND(C2019&gt;0,Paths!$E$189&gt;(C2019-1)*12,Paths!$E$189&lt;=C2019*12)),VLOOKUP(A2019,'Fleet register'!$A$7:$S$106,16,FALSE),0),"n.a."))</f>
        <v>0</v>
      </c>
      <c r="O2019" s="16">
        <f>IF(NOT(Paths!$C$189=1),0,IF(Paths!$P$189="Complete",N2019-IF(C2019=0,Paths!$F$189,0),"n.a."))</f>
        <v>0</v>
      </c>
      <c r="P2019" s="16">
        <f>IF(NOT(Paths!$C$189=1),0,IF(Paths!$P$189="Complete",O2019+L2019,"n.a."))</f>
        <v>0</v>
      </c>
      <c r="Q2019" s="16">
        <f>IF(NOT(Paths!$C$189=1),0,IF(Paths!$P$189="Complete",N2019*(1+'Operating costs'!$B$54)^-C2019,"n.a."))</f>
        <v>0</v>
      </c>
      <c r="R2019" s="16">
        <f>IF(NOT(Paths!$C$189=1),0,IF(Paths!$P$189="Complete",IF(AND(C2019=0,Paths!$E$189=0),I2019-J2019-K2019+VLOOKUP(A2019,'Fleet register'!$A$7:$S$106,15,FALSE)+VLOOKUP(A2019,'Fleet register'!$A$7:$S$106,16,FALSE),0),"n.a."))</f>
        <v>0</v>
      </c>
      <c r="S2019" s="1">
        <f>IF(NOT(Paths!$C$189=1),0,IF(Paths!$P$189="Complete",IF(C2019=0,0,Paths!$S$189*Paths!$R$189),"n.a."))</f>
        <v>0</v>
      </c>
      <c r="T2019" s="1">
        <f>IF(NOT(Paths!$C$189=1),0,IF(Paths!$P$189="Complete",IF(C2019=0,0,VLOOKUP(A2019,'Fleet register'!$A$7:$S$106,9,FALSE)*Paths!$R$189),"n.a."))</f>
        <v>0</v>
      </c>
    </row>
    <row r="2020" spans="1:20" ht="24" customHeight="1">
      <c r="A2020" s="1" t="str">
        <f>Paths!$A$190</f>
        <v>T046</v>
      </c>
      <c r="B2020" s="1">
        <f>Paths!$B$190</f>
        <v>3</v>
      </c>
      <c r="C2020" s="1">
        <v>0</v>
      </c>
      <c r="D2020" s="1">
        <v>190</v>
      </c>
      <c r="E2020" s="1">
        <f>IF(OR(Paths!$C$190=0,C2020=0),0,MAX(0,MIN(C2020*12,Paths!$E$190)-(C2020-1)*12))</f>
        <v>0</v>
      </c>
      <c r="F2020" s="1">
        <f>IF(OR(Paths!$C$190=0,C2020=0),0,12-E2020)</f>
        <v>0</v>
      </c>
      <c r="G2020" s="16">
        <f>IF(NOT(Paths!$C$190=1),0,IF(Paths!$P$190="Complete",E2020/12*(Paths!$J$190*(1+'Operating costs'!$B$51)^MAX(0,C2020-1)+Paths!$K$190*(1+'Operating costs'!$B$53)^MAX(0,C2020-1)),"n.a."))</f>
        <v>0</v>
      </c>
      <c r="H2020" s="16">
        <f>IF(NOT(Paths!$C$190=1),0,IF(Paths!$P$190="Complete",F2020/12*(Paths!$L$190*(1+IF(Paths!$D$190="EV",'Operating costs'!$B$52,'Operating costs'!$B$51))^MAX(0,C2020-1)+Paths!$M$190*(1+'Operating costs'!$B$53)^MAX(0,C2020-1)),"n.a."))</f>
        <v>0</v>
      </c>
      <c r="I2020" s="16">
        <f>IF(NOT(Paths!$C$190=1),0,IF(Paths!$P$190="Complete",IF(IF(Paths!$E$190=0,C2020=0,AND(C2020&gt;0,Paths!$E$190&gt;(C2020-1)*12,Paths!$E$190&lt;=C2020*12)),Paths!$G$190,0),"n.a."))</f>
        <v>0</v>
      </c>
      <c r="J2020" s="16">
        <f>IF(NOT(Paths!$C$190=1),0,IF(Paths!$P$190="Complete",IF(IF(Paths!$E$190=0,C2020=0,AND(C2020&gt;0,Paths!$E$190&gt;(C2020-1)*12,Paths!$E$190&lt;=C2020*12)),Paths!$H$190,0),"n.a."))</f>
        <v>0</v>
      </c>
      <c r="K2020" s="16">
        <f>IF(NOT(Paths!$C$190=1),0,IF(Paths!$P$190="Complete",IF(IF(Paths!$O$190=0,C2020=0,AND(C2020&gt;0,Paths!$O$190&gt;(C2020-1)*12,Paths!$O$190&lt;=C2020*12)),Paths!$N$190,0),"n.a."))</f>
        <v>0</v>
      </c>
      <c r="L2020" s="16">
        <f>IF(NOT(Paths!$C$190=1),0,IF(Paths!$P$190="Complete",IF(C2020=10,Paths!$I$190,0),"n.a."))</f>
        <v>0</v>
      </c>
      <c r="M2020" s="16">
        <f>IF(NOT(Paths!$C$190=1),0,IF(Paths!$P$190="Complete",IF(AND(Paths!$D$190="EV",Paths!$E$190&lt;120,Paths!$E$190+'Operating costs'!$B$65&gt;Paths!$E$190,Paths!$E$190+'Operating costs'!$B$65&lt;=120,IF(Paths!$E$190+'Operating costs'!$B$65=0,C2020=0,AND(C2020&gt;0,Paths!$E$190+'Operating costs'!$B$65&gt;(C2020-1)*12,Paths!$E$190+'Operating costs'!$B$65&lt;=C2020*12))),'Operating costs'!$B$64,0)+IF(AND('Operating costs'!$B$67&gt;0,'Operating costs'!$B$67&lt;=120,OR(Paths!$D$190="ICE",'Operating costs'!$B$67&lt;=Paths!$E$190),IF('Operating costs'!$B$67=0,C2020=0,AND(C2020&gt;0,'Operating costs'!$B$67&gt;(C2020-1)*12,'Operating costs'!$B$67&lt;=C2020*12))),'Operating costs'!$B$66,0),"n.a."))</f>
        <v>0</v>
      </c>
      <c r="N2020" s="16">
        <f>IF(NOT(Paths!$C$190=1),0,IF(Paths!$P$190="Complete",SUM(G2020:I2020)-J2020-K2020-L2020+M2020+IF(C2020=0,Paths!$F$190,0)+IF(IF(Paths!$E$190=0,C2020=0,AND(C2020&gt;0,Paths!$E$190&gt;(C2020-1)*12,Paths!$E$190&lt;=C2020*12)),VLOOKUP(A2020,'Fleet register'!$A$7:$S$106,16,FALSE),0),"n.a."))</f>
        <v>0</v>
      </c>
      <c r="O2020" s="16">
        <f>IF(NOT(Paths!$C$190=1),0,IF(Paths!$P$190="Complete",N2020-IF(C2020=0,Paths!$F$190,0),"n.a."))</f>
        <v>0</v>
      </c>
      <c r="P2020" s="16">
        <f>IF(NOT(Paths!$C$190=1),0,IF(Paths!$P$190="Complete",O2020+L2020,"n.a."))</f>
        <v>0</v>
      </c>
      <c r="Q2020" s="16">
        <f>IF(NOT(Paths!$C$190=1),0,IF(Paths!$P$190="Complete",N2020*(1+'Operating costs'!$B$54)^-C2020,"n.a."))</f>
        <v>0</v>
      </c>
      <c r="R2020" s="16">
        <f>IF(NOT(Paths!$C$190=1),0,IF(Paths!$P$190="Complete",IF(AND(C2020=0,Paths!$E$190=0),I2020-J2020-K2020+VLOOKUP(A2020,'Fleet register'!$A$7:$S$106,15,FALSE)+VLOOKUP(A2020,'Fleet register'!$A$7:$S$106,16,FALSE),0),"n.a."))</f>
        <v>0</v>
      </c>
      <c r="S2020" s="1">
        <f>IF(NOT(Paths!$C$190=1),0,IF(Paths!$P$190="Complete",IF(C2020=0,0,Paths!$S$190*Paths!$R$190),"n.a."))</f>
        <v>0</v>
      </c>
      <c r="T2020" s="1">
        <f>IF(NOT(Paths!$C$190=1),0,IF(Paths!$P$190="Complete",IF(C2020=0,0,VLOOKUP(A2020,'Fleet register'!$A$7:$S$106,9,FALSE)*Paths!$R$190),"n.a."))</f>
        <v>0</v>
      </c>
    </row>
    <row r="2021" spans="1:20" ht="24" customHeight="1">
      <c r="A2021" s="1" t="str">
        <f>Paths!$A$190</f>
        <v>T046</v>
      </c>
      <c r="B2021" s="1">
        <f>Paths!$B$190</f>
        <v>3</v>
      </c>
      <c r="C2021" s="1">
        <v>1</v>
      </c>
      <c r="D2021" s="1">
        <v>190</v>
      </c>
      <c r="E2021" s="1">
        <f>IF(OR(Paths!$C$190=0,C2021=0),0,MAX(0,MIN(C2021*12,Paths!$E$190)-(C2021-1)*12))</f>
        <v>0</v>
      </c>
      <c r="F2021" s="1">
        <f>IF(OR(Paths!$C$190=0,C2021=0),0,12-E2021)</f>
        <v>0</v>
      </c>
      <c r="G2021" s="16">
        <f>IF(NOT(Paths!$C$190=1),0,IF(Paths!$P$190="Complete",E2021/12*(Paths!$J$190*(1+'Operating costs'!$B$51)^MAX(0,C2021-1)+Paths!$K$190*(1+'Operating costs'!$B$53)^MAX(0,C2021-1)),"n.a."))</f>
        <v>0</v>
      </c>
      <c r="H2021" s="16">
        <f>IF(NOT(Paths!$C$190=1),0,IF(Paths!$P$190="Complete",F2021/12*(Paths!$L$190*(1+IF(Paths!$D$190="EV",'Operating costs'!$B$52,'Operating costs'!$B$51))^MAX(0,C2021-1)+Paths!$M$190*(1+'Operating costs'!$B$53)^MAX(0,C2021-1)),"n.a."))</f>
        <v>0</v>
      </c>
      <c r="I2021" s="16">
        <f>IF(NOT(Paths!$C$190=1),0,IF(Paths!$P$190="Complete",IF(IF(Paths!$E$190=0,C2021=0,AND(C2021&gt;0,Paths!$E$190&gt;(C2021-1)*12,Paths!$E$190&lt;=C2021*12)),Paths!$G$190,0),"n.a."))</f>
        <v>0</v>
      </c>
      <c r="J2021" s="16">
        <f>IF(NOT(Paths!$C$190=1),0,IF(Paths!$P$190="Complete",IF(IF(Paths!$E$190=0,C2021=0,AND(C2021&gt;0,Paths!$E$190&gt;(C2021-1)*12,Paths!$E$190&lt;=C2021*12)),Paths!$H$190,0),"n.a."))</f>
        <v>0</v>
      </c>
      <c r="K2021" s="16">
        <f>IF(NOT(Paths!$C$190=1),0,IF(Paths!$P$190="Complete",IF(IF(Paths!$O$190=0,C2021=0,AND(C2021&gt;0,Paths!$O$190&gt;(C2021-1)*12,Paths!$O$190&lt;=C2021*12)),Paths!$N$190,0),"n.a."))</f>
        <v>0</v>
      </c>
      <c r="L2021" s="16">
        <f>IF(NOT(Paths!$C$190=1),0,IF(Paths!$P$190="Complete",IF(C2021=10,Paths!$I$190,0),"n.a."))</f>
        <v>0</v>
      </c>
      <c r="M2021" s="16">
        <f>IF(NOT(Paths!$C$190=1),0,IF(Paths!$P$190="Complete",IF(AND(Paths!$D$190="EV",Paths!$E$190&lt;120,Paths!$E$190+'Operating costs'!$B$65&gt;Paths!$E$190,Paths!$E$190+'Operating costs'!$B$65&lt;=120,IF(Paths!$E$190+'Operating costs'!$B$65=0,C2021=0,AND(C2021&gt;0,Paths!$E$190+'Operating costs'!$B$65&gt;(C2021-1)*12,Paths!$E$190+'Operating costs'!$B$65&lt;=C2021*12))),'Operating costs'!$B$64,0)+IF(AND('Operating costs'!$B$67&gt;0,'Operating costs'!$B$67&lt;=120,OR(Paths!$D$190="ICE",'Operating costs'!$B$67&lt;=Paths!$E$190),IF('Operating costs'!$B$67=0,C2021=0,AND(C2021&gt;0,'Operating costs'!$B$67&gt;(C2021-1)*12,'Operating costs'!$B$67&lt;=C2021*12))),'Operating costs'!$B$66,0),"n.a."))</f>
        <v>0</v>
      </c>
      <c r="N2021" s="16">
        <f>IF(NOT(Paths!$C$190=1),0,IF(Paths!$P$190="Complete",SUM(G2021:I2021)-J2021-K2021-L2021+M2021+IF(C2021=0,Paths!$F$190,0)+IF(IF(Paths!$E$190=0,C2021=0,AND(C2021&gt;0,Paths!$E$190&gt;(C2021-1)*12,Paths!$E$190&lt;=C2021*12)),VLOOKUP(A2021,'Fleet register'!$A$7:$S$106,16,FALSE),0),"n.a."))</f>
        <v>0</v>
      </c>
      <c r="O2021" s="16">
        <f>IF(NOT(Paths!$C$190=1),0,IF(Paths!$P$190="Complete",N2021-IF(C2021=0,Paths!$F$190,0),"n.a."))</f>
        <v>0</v>
      </c>
      <c r="P2021" s="16">
        <f>IF(NOT(Paths!$C$190=1),0,IF(Paths!$P$190="Complete",O2021+L2021,"n.a."))</f>
        <v>0</v>
      </c>
      <c r="Q2021" s="16">
        <f>IF(NOT(Paths!$C$190=1),0,IF(Paths!$P$190="Complete",N2021*(1+'Operating costs'!$B$54)^-C2021,"n.a."))</f>
        <v>0</v>
      </c>
      <c r="R2021" s="16">
        <f>IF(NOT(Paths!$C$190=1),0,IF(Paths!$P$190="Complete",IF(AND(C2021=0,Paths!$E$190=0),I2021-J2021-K2021+VLOOKUP(A2021,'Fleet register'!$A$7:$S$106,15,FALSE)+VLOOKUP(A2021,'Fleet register'!$A$7:$S$106,16,FALSE),0),"n.a."))</f>
        <v>0</v>
      </c>
      <c r="S2021" s="1">
        <f>IF(NOT(Paths!$C$190=1),0,IF(Paths!$P$190="Complete",IF(C2021=0,0,Paths!$S$190*Paths!$R$190),"n.a."))</f>
        <v>0</v>
      </c>
      <c r="T2021" s="1">
        <f>IF(NOT(Paths!$C$190=1),0,IF(Paths!$P$190="Complete",IF(C2021=0,0,VLOOKUP(A2021,'Fleet register'!$A$7:$S$106,9,FALSE)*Paths!$R$190),"n.a."))</f>
        <v>0</v>
      </c>
    </row>
    <row r="2022" spans="1:20" ht="24" customHeight="1">
      <c r="A2022" s="1" t="str">
        <f>Paths!$A$190</f>
        <v>T046</v>
      </c>
      <c r="B2022" s="1">
        <f>Paths!$B$190</f>
        <v>3</v>
      </c>
      <c r="C2022" s="1">
        <v>2</v>
      </c>
      <c r="D2022" s="1">
        <v>190</v>
      </c>
      <c r="E2022" s="1">
        <f>IF(OR(Paths!$C$190=0,C2022=0),0,MAX(0,MIN(C2022*12,Paths!$E$190)-(C2022-1)*12))</f>
        <v>0</v>
      </c>
      <c r="F2022" s="1">
        <f>IF(OR(Paths!$C$190=0,C2022=0),0,12-E2022)</f>
        <v>0</v>
      </c>
      <c r="G2022" s="16">
        <f>IF(NOT(Paths!$C$190=1),0,IF(Paths!$P$190="Complete",E2022/12*(Paths!$J$190*(1+'Operating costs'!$B$51)^MAX(0,C2022-1)+Paths!$K$190*(1+'Operating costs'!$B$53)^MAX(0,C2022-1)),"n.a."))</f>
        <v>0</v>
      </c>
      <c r="H2022" s="16">
        <f>IF(NOT(Paths!$C$190=1),0,IF(Paths!$P$190="Complete",F2022/12*(Paths!$L$190*(1+IF(Paths!$D$190="EV",'Operating costs'!$B$52,'Operating costs'!$B$51))^MAX(0,C2022-1)+Paths!$M$190*(1+'Operating costs'!$B$53)^MAX(0,C2022-1)),"n.a."))</f>
        <v>0</v>
      </c>
      <c r="I2022" s="16">
        <f>IF(NOT(Paths!$C$190=1),0,IF(Paths!$P$190="Complete",IF(IF(Paths!$E$190=0,C2022=0,AND(C2022&gt;0,Paths!$E$190&gt;(C2022-1)*12,Paths!$E$190&lt;=C2022*12)),Paths!$G$190,0),"n.a."))</f>
        <v>0</v>
      </c>
      <c r="J2022" s="16">
        <f>IF(NOT(Paths!$C$190=1),0,IF(Paths!$P$190="Complete",IF(IF(Paths!$E$190=0,C2022=0,AND(C2022&gt;0,Paths!$E$190&gt;(C2022-1)*12,Paths!$E$190&lt;=C2022*12)),Paths!$H$190,0),"n.a."))</f>
        <v>0</v>
      </c>
      <c r="K2022" s="16">
        <f>IF(NOT(Paths!$C$190=1),0,IF(Paths!$P$190="Complete",IF(IF(Paths!$O$190=0,C2022=0,AND(C2022&gt;0,Paths!$O$190&gt;(C2022-1)*12,Paths!$O$190&lt;=C2022*12)),Paths!$N$190,0),"n.a."))</f>
        <v>0</v>
      </c>
      <c r="L2022" s="16">
        <f>IF(NOT(Paths!$C$190=1),0,IF(Paths!$P$190="Complete",IF(C2022=10,Paths!$I$190,0),"n.a."))</f>
        <v>0</v>
      </c>
      <c r="M2022" s="16">
        <f>IF(NOT(Paths!$C$190=1),0,IF(Paths!$P$190="Complete",IF(AND(Paths!$D$190="EV",Paths!$E$190&lt;120,Paths!$E$190+'Operating costs'!$B$65&gt;Paths!$E$190,Paths!$E$190+'Operating costs'!$B$65&lt;=120,IF(Paths!$E$190+'Operating costs'!$B$65=0,C2022=0,AND(C2022&gt;0,Paths!$E$190+'Operating costs'!$B$65&gt;(C2022-1)*12,Paths!$E$190+'Operating costs'!$B$65&lt;=C2022*12))),'Operating costs'!$B$64,0)+IF(AND('Operating costs'!$B$67&gt;0,'Operating costs'!$B$67&lt;=120,OR(Paths!$D$190="ICE",'Operating costs'!$B$67&lt;=Paths!$E$190),IF('Operating costs'!$B$67=0,C2022=0,AND(C2022&gt;0,'Operating costs'!$B$67&gt;(C2022-1)*12,'Operating costs'!$B$67&lt;=C2022*12))),'Operating costs'!$B$66,0),"n.a."))</f>
        <v>0</v>
      </c>
      <c r="N2022" s="16">
        <f>IF(NOT(Paths!$C$190=1),0,IF(Paths!$P$190="Complete",SUM(G2022:I2022)-J2022-K2022-L2022+M2022+IF(C2022=0,Paths!$F$190,0)+IF(IF(Paths!$E$190=0,C2022=0,AND(C2022&gt;0,Paths!$E$190&gt;(C2022-1)*12,Paths!$E$190&lt;=C2022*12)),VLOOKUP(A2022,'Fleet register'!$A$7:$S$106,16,FALSE),0),"n.a."))</f>
        <v>0</v>
      </c>
      <c r="O2022" s="16">
        <f>IF(NOT(Paths!$C$190=1),0,IF(Paths!$P$190="Complete",N2022-IF(C2022=0,Paths!$F$190,0),"n.a."))</f>
        <v>0</v>
      </c>
      <c r="P2022" s="16">
        <f>IF(NOT(Paths!$C$190=1),0,IF(Paths!$P$190="Complete",O2022+L2022,"n.a."))</f>
        <v>0</v>
      </c>
      <c r="Q2022" s="16">
        <f>IF(NOT(Paths!$C$190=1),0,IF(Paths!$P$190="Complete",N2022*(1+'Operating costs'!$B$54)^-C2022,"n.a."))</f>
        <v>0</v>
      </c>
      <c r="R2022" s="16">
        <f>IF(NOT(Paths!$C$190=1),0,IF(Paths!$P$190="Complete",IF(AND(C2022=0,Paths!$E$190=0),I2022-J2022-K2022+VLOOKUP(A2022,'Fleet register'!$A$7:$S$106,15,FALSE)+VLOOKUP(A2022,'Fleet register'!$A$7:$S$106,16,FALSE),0),"n.a."))</f>
        <v>0</v>
      </c>
      <c r="S2022" s="1">
        <f>IF(NOT(Paths!$C$190=1),0,IF(Paths!$P$190="Complete",IF(C2022=0,0,Paths!$S$190*Paths!$R$190),"n.a."))</f>
        <v>0</v>
      </c>
      <c r="T2022" s="1">
        <f>IF(NOT(Paths!$C$190=1),0,IF(Paths!$P$190="Complete",IF(C2022=0,0,VLOOKUP(A2022,'Fleet register'!$A$7:$S$106,9,FALSE)*Paths!$R$190),"n.a."))</f>
        <v>0</v>
      </c>
    </row>
    <row r="2023" spans="1:20" ht="24" customHeight="1">
      <c r="A2023" s="1" t="str">
        <f>Paths!$A$190</f>
        <v>T046</v>
      </c>
      <c r="B2023" s="1">
        <f>Paths!$B$190</f>
        <v>3</v>
      </c>
      <c r="C2023" s="1">
        <v>3</v>
      </c>
      <c r="D2023" s="1">
        <v>190</v>
      </c>
      <c r="E2023" s="1">
        <f>IF(OR(Paths!$C$190=0,C2023=0),0,MAX(0,MIN(C2023*12,Paths!$E$190)-(C2023-1)*12))</f>
        <v>0</v>
      </c>
      <c r="F2023" s="1">
        <f>IF(OR(Paths!$C$190=0,C2023=0),0,12-E2023)</f>
        <v>0</v>
      </c>
      <c r="G2023" s="16">
        <f>IF(NOT(Paths!$C$190=1),0,IF(Paths!$P$190="Complete",E2023/12*(Paths!$J$190*(1+'Operating costs'!$B$51)^MAX(0,C2023-1)+Paths!$K$190*(1+'Operating costs'!$B$53)^MAX(0,C2023-1)),"n.a."))</f>
        <v>0</v>
      </c>
      <c r="H2023" s="16">
        <f>IF(NOT(Paths!$C$190=1),0,IF(Paths!$P$190="Complete",F2023/12*(Paths!$L$190*(1+IF(Paths!$D$190="EV",'Operating costs'!$B$52,'Operating costs'!$B$51))^MAX(0,C2023-1)+Paths!$M$190*(1+'Operating costs'!$B$53)^MAX(0,C2023-1)),"n.a."))</f>
        <v>0</v>
      </c>
      <c r="I2023" s="16">
        <f>IF(NOT(Paths!$C$190=1),0,IF(Paths!$P$190="Complete",IF(IF(Paths!$E$190=0,C2023=0,AND(C2023&gt;0,Paths!$E$190&gt;(C2023-1)*12,Paths!$E$190&lt;=C2023*12)),Paths!$G$190,0),"n.a."))</f>
        <v>0</v>
      </c>
      <c r="J2023" s="16">
        <f>IF(NOT(Paths!$C$190=1),0,IF(Paths!$P$190="Complete",IF(IF(Paths!$E$190=0,C2023=0,AND(C2023&gt;0,Paths!$E$190&gt;(C2023-1)*12,Paths!$E$190&lt;=C2023*12)),Paths!$H$190,0),"n.a."))</f>
        <v>0</v>
      </c>
      <c r="K2023" s="16">
        <f>IF(NOT(Paths!$C$190=1),0,IF(Paths!$P$190="Complete",IF(IF(Paths!$O$190=0,C2023=0,AND(C2023&gt;0,Paths!$O$190&gt;(C2023-1)*12,Paths!$O$190&lt;=C2023*12)),Paths!$N$190,0),"n.a."))</f>
        <v>0</v>
      </c>
      <c r="L2023" s="16">
        <f>IF(NOT(Paths!$C$190=1),0,IF(Paths!$P$190="Complete",IF(C2023=10,Paths!$I$190,0),"n.a."))</f>
        <v>0</v>
      </c>
      <c r="M2023" s="16">
        <f>IF(NOT(Paths!$C$190=1),0,IF(Paths!$P$190="Complete",IF(AND(Paths!$D$190="EV",Paths!$E$190&lt;120,Paths!$E$190+'Operating costs'!$B$65&gt;Paths!$E$190,Paths!$E$190+'Operating costs'!$B$65&lt;=120,IF(Paths!$E$190+'Operating costs'!$B$65=0,C2023=0,AND(C2023&gt;0,Paths!$E$190+'Operating costs'!$B$65&gt;(C2023-1)*12,Paths!$E$190+'Operating costs'!$B$65&lt;=C2023*12))),'Operating costs'!$B$64,0)+IF(AND('Operating costs'!$B$67&gt;0,'Operating costs'!$B$67&lt;=120,OR(Paths!$D$190="ICE",'Operating costs'!$B$67&lt;=Paths!$E$190),IF('Operating costs'!$B$67=0,C2023=0,AND(C2023&gt;0,'Operating costs'!$B$67&gt;(C2023-1)*12,'Operating costs'!$B$67&lt;=C2023*12))),'Operating costs'!$B$66,0),"n.a."))</f>
        <v>0</v>
      </c>
      <c r="N2023" s="16">
        <f>IF(NOT(Paths!$C$190=1),0,IF(Paths!$P$190="Complete",SUM(G2023:I2023)-J2023-K2023-L2023+M2023+IF(C2023=0,Paths!$F$190,0)+IF(IF(Paths!$E$190=0,C2023=0,AND(C2023&gt;0,Paths!$E$190&gt;(C2023-1)*12,Paths!$E$190&lt;=C2023*12)),VLOOKUP(A2023,'Fleet register'!$A$7:$S$106,16,FALSE),0),"n.a."))</f>
        <v>0</v>
      </c>
      <c r="O2023" s="16">
        <f>IF(NOT(Paths!$C$190=1),0,IF(Paths!$P$190="Complete",N2023-IF(C2023=0,Paths!$F$190,0),"n.a."))</f>
        <v>0</v>
      </c>
      <c r="P2023" s="16">
        <f>IF(NOT(Paths!$C$190=1),0,IF(Paths!$P$190="Complete",O2023+L2023,"n.a."))</f>
        <v>0</v>
      </c>
      <c r="Q2023" s="16">
        <f>IF(NOT(Paths!$C$190=1),0,IF(Paths!$P$190="Complete",N2023*(1+'Operating costs'!$B$54)^-C2023,"n.a."))</f>
        <v>0</v>
      </c>
      <c r="R2023" s="16">
        <f>IF(NOT(Paths!$C$190=1),0,IF(Paths!$P$190="Complete",IF(AND(C2023=0,Paths!$E$190=0),I2023-J2023-K2023+VLOOKUP(A2023,'Fleet register'!$A$7:$S$106,15,FALSE)+VLOOKUP(A2023,'Fleet register'!$A$7:$S$106,16,FALSE),0),"n.a."))</f>
        <v>0</v>
      </c>
      <c r="S2023" s="1">
        <f>IF(NOT(Paths!$C$190=1),0,IF(Paths!$P$190="Complete",IF(C2023=0,0,Paths!$S$190*Paths!$R$190),"n.a."))</f>
        <v>0</v>
      </c>
      <c r="T2023" s="1">
        <f>IF(NOT(Paths!$C$190=1),0,IF(Paths!$P$190="Complete",IF(C2023=0,0,VLOOKUP(A2023,'Fleet register'!$A$7:$S$106,9,FALSE)*Paths!$R$190),"n.a."))</f>
        <v>0</v>
      </c>
    </row>
    <row r="2024" spans="1:20" ht="24" customHeight="1">
      <c r="A2024" s="1" t="str">
        <f>Paths!$A$190</f>
        <v>T046</v>
      </c>
      <c r="B2024" s="1">
        <f>Paths!$B$190</f>
        <v>3</v>
      </c>
      <c r="C2024" s="1">
        <v>4</v>
      </c>
      <c r="D2024" s="1">
        <v>190</v>
      </c>
      <c r="E2024" s="1">
        <f>IF(OR(Paths!$C$190=0,C2024=0),0,MAX(0,MIN(C2024*12,Paths!$E$190)-(C2024-1)*12))</f>
        <v>0</v>
      </c>
      <c r="F2024" s="1">
        <f>IF(OR(Paths!$C$190=0,C2024=0),0,12-E2024)</f>
        <v>0</v>
      </c>
      <c r="G2024" s="16">
        <f>IF(NOT(Paths!$C$190=1),0,IF(Paths!$P$190="Complete",E2024/12*(Paths!$J$190*(1+'Operating costs'!$B$51)^MAX(0,C2024-1)+Paths!$K$190*(1+'Operating costs'!$B$53)^MAX(0,C2024-1)),"n.a."))</f>
        <v>0</v>
      </c>
      <c r="H2024" s="16">
        <f>IF(NOT(Paths!$C$190=1),0,IF(Paths!$P$190="Complete",F2024/12*(Paths!$L$190*(1+IF(Paths!$D$190="EV",'Operating costs'!$B$52,'Operating costs'!$B$51))^MAX(0,C2024-1)+Paths!$M$190*(1+'Operating costs'!$B$53)^MAX(0,C2024-1)),"n.a."))</f>
        <v>0</v>
      </c>
      <c r="I2024" s="16">
        <f>IF(NOT(Paths!$C$190=1),0,IF(Paths!$P$190="Complete",IF(IF(Paths!$E$190=0,C2024=0,AND(C2024&gt;0,Paths!$E$190&gt;(C2024-1)*12,Paths!$E$190&lt;=C2024*12)),Paths!$G$190,0),"n.a."))</f>
        <v>0</v>
      </c>
      <c r="J2024" s="16">
        <f>IF(NOT(Paths!$C$190=1),0,IF(Paths!$P$190="Complete",IF(IF(Paths!$E$190=0,C2024=0,AND(C2024&gt;0,Paths!$E$190&gt;(C2024-1)*12,Paths!$E$190&lt;=C2024*12)),Paths!$H$190,0),"n.a."))</f>
        <v>0</v>
      </c>
      <c r="K2024" s="16">
        <f>IF(NOT(Paths!$C$190=1),0,IF(Paths!$P$190="Complete",IF(IF(Paths!$O$190=0,C2024=0,AND(C2024&gt;0,Paths!$O$190&gt;(C2024-1)*12,Paths!$O$190&lt;=C2024*12)),Paths!$N$190,0),"n.a."))</f>
        <v>0</v>
      </c>
      <c r="L2024" s="16">
        <f>IF(NOT(Paths!$C$190=1),0,IF(Paths!$P$190="Complete",IF(C2024=10,Paths!$I$190,0),"n.a."))</f>
        <v>0</v>
      </c>
      <c r="M2024" s="16">
        <f>IF(NOT(Paths!$C$190=1),0,IF(Paths!$P$190="Complete",IF(AND(Paths!$D$190="EV",Paths!$E$190&lt;120,Paths!$E$190+'Operating costs'!$B$65&gt;Paths!$E$190,Paths!$E$190+'Operating costs'!$B$65&lt;=120,IF(Paths!$E$190+'Operating costs'!$B$65=0,C2024=0,AND(C2024&gt;0,Paths!$E$190+'Operating costs'!$B$65&gt;(C2024-1)*12,Paths!$E$190+'Operating costs'!$B$65&lt;=C2024*12))),'Operating costs'!$B$64,0)+IF(AND('Operating costs'!$B$67&gt;0,'Operating costs'!$B$67&lt;=120,OR(Paths!$D$190="ICE",'Operating costs'!$B$67&lt;=Paths!$E$190),IF('Operating costs'!$B$67=0,C2024=0,AND(C2024&gt;0,'Operating costs'!$B$67&gt;(C2024-1)*12,'Operating costs'!$B$67&lt;=C2024*12))),'Operating costs'!$B$66,0),"n.a."))</f>
        <v>0</v>
      </c>
      <c r="N2024" s="16">
        <f>IF(NOT(Paths!$C$190=1),0,IF(Paths!$P$190="Complete",SUM(G2024:I2024)-J2024-K2024-L2024+M2024+IF(C2024=0,Paths!$F$190,0)+IF(IF(Paths!$E$190=0,C2024=0,AND(C2024&gt;0,Paths!$E$190&gt;(C2024-1)*12,Paths!$E$190&lt;=C2024*12)),VLOOKUP(A2024,'Fleet register'!$A$7:$S$106,16,FALSE),0),"n.a."))</f>
        <v>0</v>
      </c>
      <c r="O2024" s="16">
        <f>IF(NOT(Paths!$C$190=1),0,IF(Paths!$P$190="Complete",N2024-IF(C2024=0,Paths!$F$190,0),"n.a."))</f>
        <v>0</v>
      </c>
      <c r="P2024" s="16">
        <f>IF(NOT(Paths!$C$190=1),0,IF(Paths!$P$190="Complete",O2024+L2024,"n.a."))</f>
        <v>0</v>
      </c>
      <c r="Q2024" s="16">
        <f>IF(NOT(Paths!$C$190=1),0,IF(Paths!$P$190="Complete",N2024*(1+'Operating costs'!$B$54)^-C2024,"n.a."))</f>
        <v>0</v>
      </c>
      <c r="R2024" s="16">
        <f>IF(NOT(Paths!$C$190=1),0,IF(Paths!$P$190="Complete",IF(AND(C2024=0,Paths!$E$190=0),I2024-J2024-K2024+VLOOKUP(A2024,'Fleet register'!$A$7:$S$106,15,FALSE)+VLOOKUP(A2024,'Fleet register'!$A$7:$S$106,16,FALSE),0),"n.a."))</f>
        <v>0</v>
      </c>
      <c r="S2024" s="1">
        <f>IF(NOT(Paths!$C$190=1),0,IF(Paths!$P$190="Complete",IF(C2024=0,0,Paths!$S$190*Paths!$R$190),"n.a."))</f>
        <v>0</v>
      </c>
      <c r="T2024" s="1">
        <f>IF(NOT(Paths!$C$190=1),0,IF(Paths!$P$190="Complete",IF(C2024=0,0,VLOOKUP(A2024,'Fleet register'!$A$7:$S$106,9,FALSE)*Paths!$R$190),"n.a."))</f>
        <v>0</v>
      </c>
    </row>
    <row r="2025" spans="1:20" ht="24" customHeight="1">
      <c r="A2025" s="1" t="str">
        <f>Paths!$A$190</f>
        <v>T046</v>
      </c>
      <c r="B2025" s="1">
        <f>Paths!$B$190</f>
        <v>3</v>
      </c>
      <c r="C2025" s="1">
        <v>5</v>
      </c>
      <c r="D2025" s="1">
        <v>190</v>
      </c>
      <c r="E2025" s="1">
        <f>IF(OR(Paths!$C$190=0,C2025=0),0,MAX(0,MIN(C2025*12,Paths!$E$190)-(C2025-1)*12))</f>
        <v>0</v>
      </c>
      <c r="F2025" s="1">
        <f>IF(OR(Paths!$C$190=0,C2025=0),0,12-E2025)</f>
        <v>0</v>
      </c>
      <c r="G2025" s="16">
        <f>IF(NOT(Paths!$C$190=1),0,IF(Paths!$P$190="Complete",E2025/12*(Paths!$J$190*(1+'Operating costs'!$B$51)^MAX(0,C2025-1)+Paths!$K$190*(1+'Operating costs'!$B$53)^MAX(0,C2025-1)),"n.a."))</f>
        <v>0</v>
      </c>
      <c r="H2025" s="16">
        <f>IF(NOT(Paths!$C$190=1),0,IF(Paths!$P$190="Complete",F2025/12*(Paths!$L$190*(1+IF(Paths!$D$190="EV",'Operating costs'!$B$52,'Operating costs'!$B$51))^MAX(0,C2025-1)+Paths!$M$190*(1+'Operating costs'!$B$53)^MAX(0,C2025-1)),"n.a."))</f>
        <v>0</v>
      </c>
      <c r="I2025" s="16">
        <f>IF(NOT(Paths!$C$190=1),0,IF(Paths!$P$190="Complete",IF(IF(Paths!$E$190=0,C2025=0,AND(C2025&gt;0,Paths!$E$190&gt;(C2025-1)*12,Paths!$E$190&lt;=C2025*12)),Paths!$G$190,0),"n.a."))</f>
        <v>0</v>
      </c>
      <c r="J2025" s="16">
        <f>IF(NOT(Paths!$C$190=1),0,IF(Paths!$P$190="Complete",IF(IF(Paths!$E$190=0,C2025=0,AND(C2025&gt;0,Paths!$E$190&gt;(C2025-1)*12,Paths!$E$190&lt;=C2025*12)),Paths!$H$190,0),"n.a."))</f>
        <v>0</v>
      </c>
      <c r="K2025" s="16">
        <f>IF(NOT(Paths!$C$190=1),0,IF(Paths!$P$190="Complete",IF(IF(Paths!$O$190=0,C2025=0,AND(C2025&gt;0,Paths!$O$190&gt;(C2025-1)*12,Paths!$O$190&lt;=C2025*12)),Paths!$N$190,0),"n.a."))</f>
        <v>0</v>
      </c>
      <c r="L2025" s="16">
        <f>IF(NOT(Paths!$C$190=1),0,IF(Paths!$P$190="Complete",IF(C2025=10,Paths!$I$190,0),"n.a."))</f>
        <v>0</v>
      </c>
      <c r="M2025" s="16">
        <f>IF(NOT(Paths!$C$190=1),0,IF(Paths!$P$190="Complete",IF(AND(Paths!$D$190="EV",Paths!$E$190&lt;120,Paths!$E$190+'Operating costs'!$B$65&gt;Paths!$E$190,Paths!$E$190+'Operating costs'!$B$65&lt;=120,IF(Paths!$E$190+'Operating costs'!$B$65=0,C2025=0,AND(C2025&gt;0,Paths!$E$190+'Operating costs'!$B$65&gt;(C2025-1)*12,Paths!$E$190+'Operating costs'!$B$65&lt;=C2025*12))),'Operating costs'!$B$64,0)+IF(AND('Operating costs'!$B$67&gt;0,'Operating costs'!$B$67&lt;=120,OR(Paths!$D$190="ICE",'Operating costs'!$B$67&lt;=Paths!$E$190),IF('Operating costs'!$B$67=0,C2025=0,AND(C2025&gt;0,'Operating costs'!$B$67&gt;(C2025-1)*12,'Operating costs'!$B$67&lt;=C2025*12))),'Operating costs'!$B$66,0),"n.a."))</f>
        <v>0</v>
      </c>
      <c r="N2025" s="16">
        <f>IF(NOT(Paths!$C$190=1),0,IF(Paths!$P$190="Complete",SUM(G2025:I2025)-J2025-K2025-L2025+M2025+IF(C2025=0,Paths!$F$190,0)+IF(IF(Paths!$E$190=0,C2025=0,AND(C2025&gt;0,Paths!$E$190&gt;(C2025-1)*12,Paths!$E$190&lt;=C2025*12)),VLOOKUP(A2025,'Fleet register'!$A$7:$S$106,16,FALSE),0),"n.a."))</f>
        <v>0</v>
      </c>
      <c r="O2025" s="16">
        <f>IF(NOT(Paths!$C$190=1),0,IF(Paths!$P$190="Complete",N2025-IF(C2025=0,Paths!$F$190,0),"n.a."))</f>
        <v>0</v>
      </c>
      <c r="P2025" s="16">
        <f>IF(NOT(Paths!$C$190=1),0,IF(Paths!$P$190="Complete",O2025+L2025,"n.a."))</f>
        <v>0</v>
      </c>
      <c r="Q2025" s="16">
        <f>IF(NOT(Paths!$C$190=1),0,IF(Paths!$P$190="Complete",N2025*(1+'Operating costs'!$B$54)^-C2025,"n.a."))</f>
        <v>0</v>
      </c>
      <c r="R2025" s="16">
        <f>IF(NOT(Paths!$C$190=1),0,IF(Paths!$P$190="Complete",IF(AND(C2025=0,Paths!$E$190=0),I2025-J2025-K2025+VLOOKUP(A2025,'Fleet register'!$A$7:$S$106,15,FALSE)+VLOOKUP(A2025,'Fleet register'!$A$7:$S$106,16,FALSE),0),"n.a."))</f>
        <v>0</v>
      </c>
      <c r="S2025" s="1">
        <f>IF(NOT(Paths!$C$190=1),0,IF(Paths!$P$190="Complete",IF(C2025=0,0,Paths!$S$190*Paths!$R$190),"n.a."))</f>
        <v>0</v>
      </c>
      <c r="T2025" s="1">
        <f>IF(NOT(Paths!$C$190=1),0,IF(Paths!$P$190="Complete",IF(C2025=0,0,VLOOKUP(A2025,'Fleet register'!$A$7:$S$106,9,FALSE)*Paths!$R$190),"n.a."))</f>
        <v>0</v>
      </c>
    </row>
    <row r="2026" spans="1:20" ht="24" customHeight="1">
      <c r="A2026" s="1" t="str">
        <f>Paths!$A$190</f>
        <v>T046</v>
      </c>
      <c r="B2026" s="1">
        <f>Paths!$B$190</f>
        <v>3</v>
      </c>
      <c r="C2026" s="1">
        <v>6</v>
      </c>
      <c r="D2026" s="1">
        <v>190</v>
      </c>
      <c r="E2026" s="1">
        <f>IF(OR(Paths!$C$190=0,C2026=0),0,MAX(0,MIN(C2026*12,Paths!$E$190)-(C2026-1)*12))</f>
        <v>0</v>
      </c>
      <c r="F2026" s="1">
        <f>IF(OR(Paths!$C$190=0,C2026=0),0,12-E2026)</f>
        <v>0</v>
      </c>
      <c r="G2026" s="16">
        <f>IF(NOT(Paths!$C$190=1),0,IF(Paths!$P$190="Complete",E2026/12*(Paths!$J$190*(1+'Operating costs'!$B$51)^MAX(0,C2026-1)+Paths!$K$190*(1+'Operating costs'!$B$53)^MAX(0,C2026-1)),"n.a."))</f>
        <v>0</v>
      </c>
      <c r="H2026" s="16">
        <f>IF(NOT(Paths!$C$190=1),0,IF(Paths!$P$190="Complete",F2026/12*(Paths!$L$190*(1+IF(Paths!$D$190="EV",'Operating costs'!$B$52,'Operating costs'!$B$51))^MAX(0,C2026-1)+Paths!$M$190*(1+'Operating costs'!$B$53)^MAX(0,C2026-1)),"n.a."))</f>
        <v>0</v>
      </c>
      <c r="I2026" s="16">
        <f>IF(NOT(Paths!$C$190=1),0,IF(Paths!$P$190="Complete",IF(IF(Paths!$E$190=0,C2026=0,AND(C2026&gt;0,Paths!$E$190&gt;(C2026-1)*12,Paths!$E$190&lt;=C2026*12)),Paths!$G$190,0),"n.a."))</f>
        <v>0</v>
      </c>
      <c r="J2026" s="16">
        <f>IF(NOT(Paths!$C$190=1),0,IF(Paths!$P$190="Complete",IF(IF(Paths!$E$190=0,C2026=0,AND(C2026&gt;0,Paths!$E$190&gt;(C2026-1)*12,Paths!$E$190&lt;=C2026*12)),Paths!$H$190,0),"n.a."))</f>
        <v>0</v>
      </c>
      <c r="K2026" s="16">
        <f>IF(NOT(Paths!$C$190=1),0,IF(Paths!$P$190="Complete",IF(IF(Paths!$O$190=0,C2026=0,AND(C2026&gt;0,Paths!$O$190&gt;(C2026-1)*12,Paths!$O$190&lt;=C2026*12)),Paths!$N$190,0),"n.a."))</f>
        <v>0</v>
      </c>
      <c r="L2026" s="16">
        <f>IF(NOT(Paths!$C$190=1),0,IF(Paths!$P$190="Complete",IF(C2026=10,Paths!$I$190,0),"n.a."))</f>
        <v>0</v>
      </c>
      <c r="M2026" s="16">
        <f>IF(NOT(Paths!$C$190=1),0,IF(Paths!$P$190="Complete",IF(AND(Paths!$D$190="EV",Paths!$E$190&lt;120,Paths!$E$190+'Operating costs'!$B$65&gt;Paths!$E$190,Paths!$E$190+'Operating costs'!$B$65&lt;=120,IF(Paths!$E$190+'Operating costs'!$B$65=0,C2026=0,AND(C2026&gt;0,Paths!$E$190+'Operating costs'!$B$65&gt;(C2026-1)*12,Paths!$E$190+'Operating costs'!$B$65&lt;=C2026*12))),'Operating costs'!$B$64,0)+IF(AND('Operating costs'!$B$67&gt;0,'Operating costs'!$B$67&lt;=120,OR(Paths!$D$190="ICE",'Operating costs'!$B$67&lt;=Paths!$E$190),IF('Operating costs'!$B$67=0,C2026=0,AND(C2026&gt;0,'Operating costs'!$B$67&gt;(C2026-1)*12,'Operating costs'!$B$67&lt;=C2026*12))),'Operating costs'!$B$66,0),"n.a."))</f>
        <v>0</v>
      </c>
      <c r="N2026" s="16">
        <f>IF(NOT(Paths!$C$190=1),0,IF(Paths!$P$190="Complete",SUM(G2026:I2026)-J2026-K2026-L2026+M2026+IF(C2026=0,Paths!$F$190,0)+IF(IF(Paths!$E$190=0,C2026=0,AND(C2026&gt;0,Paths!$E$190&gt;(C2026-1)*12,Paths!$E$190&lt;=C2026*12)),VLOOKUP(A2026,'Fleet register'!$A$7:$S$106,16,FALSE),0),"n.a."))</f>
        <v>0</v>
      </c>
      <c r="O2026" s="16">
        <f>IF(NOT(Paths!$C$190=1),0,IF(Paths!$P$190="Complete",N2026-IF(C2026=0,Paths!$F$190,0),"n.a."))</f>
        <v>0</v>
      </c>
      <c r="P2026" s="16">
        <f>IF(NOT(Paths!$C$190=1),0,IF(Paths!$P$190="Complete",O2026+L2026,"n.a."))</f>
        <v>0</v>
      </c>
      <c r="Q2026" s="16">
        <f>IF(NOT(Paths!$C$190=1),0,IF(Paths!$P$190="Complete",N2026*(1+'Operating costs'!$B$54)^-C2026,"n.a."))</f>
        <v>0</v>
      </c>
      <c r="R2026" s="16">
        <f>IF(NOT(Paths!$C$190=1),0,IF(Paths!$P$190="Complete",IF(AND(C2026=0,Paths!$E$190=0),I2026-J2026-K2026+VLOOKUP(A2026,'Fleet register'!$A$7:$S$106,15,FALSE)+VLOOKUP(A2026,'Fleet register'!$A$7:$S$106,16,FALSE),0),"n.a."))</f>
        <v>0</v>
      </c>
      <c r="S2026" s="1">
        <f>IF(NOT(Paths!$C$190=1),0,IF(Paths!$P$190="Complete",IF(C2026=0,0,Paths!$S$190*Paths!$R$190),"n.a."))</f>
        <v>0</v>
      </c>
      <c r="T2026" s="1">
        <f>IF(NOT(Paths!$C$190=1),0,IF(Paths!$P$190="Complete",IF(C2026=0,0,VLOOKUP(A2026,'Fleet register'!$A$7:$S$106,9,FALSE)*Paths!$R$190),"n.a."))</f>
        <v>0</v>
      </c>
    </row>
    <row r="2027" spans="1:20" ht="24" customHeight="1">
      <c r="A2027" s="1" t="str">
        <f>Paths!$A$190</f>
        <v>T046</v>
      </c>
      <c r="B2027" s="1">
        <f>Paths!$B$190</f>
        <v>3</v>
      </c>
      <c r="C2027" s="1">
        <v>7</v>
      </c>
      <c r="D2027" s="1">
        <v>190</v>
      </c>
      <c r="E2027" s="1">
        <f>IF(OR(Paths!$C$190=0,C2027=0),0,MAX(0,MIN(C2027*12,Paths!$E$190)-(C2027-1)*12))</f>
        <v>0</v>
      </c>
      <c r="F2027" s="1">
        <f>IF(OR(Paths!$C$190=0,C2027=0),0,12-E2027)</f>
        <v>0</v>
      </c>
      <c r="G2027" s="16">
        <f>IF(NOT(Paths!$C$190=1),0,IF(Paths!$P$190="Complete",E2027/12*(Paths!$J$190*(1+'Operating costs'!$B$51)^MAX(0,C2027-1)+Paths!$K$190*(1+'Operating costs'!$B$53)^MAX(0,C2027-1)),"n.a."))</f>
        <v>0</v>
      </c>
      <c r="H2027" s="16">
        <f>IF(NOT(Paths!$C$190=1),0,IF(Paths!$P$190="Complete",F2027/12*(Paths!$L$190*(1+IF(Paths!$D$190="EV",'Operating costs'!$B$52,'Operating costs'!$B$51))^MAX(0,C2027-1)+Paths!$M$190*(1+'Operating costs'!$B$53)^MAX(0,C2027-1)),"n.a."))</f>
        <v>0</v>
      </c>
      <c r="I2027" s="16">
        <f>IF(NOT(Paths!$C$190=1),0,IF(Paths!$P$190="Complete",IF(IF(Paths!$E$190=0,C2027=0,AND(C2027&gt;0,Paths!$E$190&gt;(C2027-1)*12,Paths!$E$190&lt;=C2027*12)),Paths!$G$190,0),"n.a."))</f>
        <v>0</v>
      </c>
      <c r="J2027" s="16">
        <f>IF(NOT(Paths!$C$190=1),0,IF(Paths!$P$190="Complete",IF(IF(Paths!$E$190=0,C2027=0,AND(C2027&gt;0,Paths!$E$190&gt;(C2027-1)*12,Paths!$E$190&lt;=C2027*12)),Paths!$H$190,0),"n.a."))</f>
        <v>0</v>
      </c>
      <c r="K2027" s="16">
        <f>IF(NOT(Paths!$C$190=1),0,IF(Paths!$P$190="Complete",IF(IF(Paths!$O$190=0,C2027=0,AND(C2027&gt;0,Paths!$O$190&gt;(C2027-1)*12,Paths!$O$190&lt;=C2027*12)),Paths!$N$190,0),"n.a."))</f>
        <v>0</v>
      </c>
      <c r="L2027" s="16">
        <f>IF(NOT(Paths!$C$190=1),0,IF(Paths!$P$190="Complete",IF(C2027=10,Paths!$I$190,0),"n.a."))</f>
        <v>0</v>
      </c>
      <c r="M2027" s="16">
        <f>IF(NOT(Paths!$C$190=1),0,IF(Paths!$P$190="Complete",IF(AND(Paths!$D$190="EV",Paths!$E$190&lt;120,Paths!$E$190+'Operating costs'!$B$65&gt;Paths!$E$190,Paths!$E$190+'Operating costs'!$B$65&lt;=120,IF(Paths!$E$190+'Operating costs'!$B$65=0,C2027=0,AND(C2027&gt;0,Paths!$E$190+'Operating costs'!$B$65&gt;(C2027-1)*12,Paths!$E$190+'Operating costs'!$B$65&lt;=C2027*12))),'Operating costs'!$B$64,0)+IF(AND('Operating costs'!$B$67&gt;0,'Operating costs'!$B$67&lt;=120,OR(Paths!$D$190="ICE",'Operating costs'!$B$67&lt;=Paths!$E$190),IF('Operating costs'!$B$67=0,C2027=0,AND(C2027&gt;0,'Operating costs'!$B$67&gt;(C2027-1)*12,'Operating costs'!$B$67&lt;=C2027*12))),'Operating costs'!$B$66,0),"n.a."))</f>
        <v>0</v>
      </c>
      <c r="N2027" s="16">
        <f>IF(NOT(Paths!$C$190=1),0,IF(Paths!$P$190="Complete",SUM(G2027:I2027)-J2027-K2027-L2027+M2027+IF(C2027=0,Paths!$F$190,0)+IF(IF(Paths!$E$190=0,C2027=0,AND(C2027&gt;0,Paths!$E$190&gt;(C2027-1)*12,Paths!$E$190&lt;=C2027*12)),VLOOKUP(A2027,'Fleet register'!$A$7:$S$106,16,FALSE),0),"n.a."))</f>
        <v>0</v>
      </c>
      <c r="O2027" s="16">
        <f>IF(NOT(Paths!$C$190=1),0,IF(Paths!$P$190="Complete",N2027-IF(C2027=0,Paths!$F$190,0),"n.a."))</f>
        <v>0</v>
      </c>
      <c r="P2027" s="16">
        <f>IF(NOT(Paths!$C$190=1),0,IF(Paths!$P$190="Complete",O2027+L2027,"n.a."))</f>
        <v>0</v>
      </c>
      <c r="Q2027" s="16">
        <f>IF(NOT(Paths!$C$190=1),0,IF(Paths!$P$190="Complete",N2027*(1+'Operating costs'!$B$54)^-C2027,"n.a."))</f>
        <v>0</v>
      </c>
      <c r="R2027" s="16">
        <f>IF(NOT(Paths!$C$190=1),0,IF(Paths!$P$190="Complete",IF(AND(C2027=0,Paths!$E$190=0),I2027-J2027-K2027+VLOOKUP(A2027,'Fleet register'!$A$7:$S$106,15,FALSE)+VLOOKUP(A2027,'Fleet register'!$A$7:$S$106,16,FALSE),0),"n.a."))</f>
        <v>0</v>
      </c>
      <c r="S2027" s="1">
        <f>IF(NOT(Paths!$C$190=1),0,IF(Paths!$P$190="Complete",IF(C2027=0,0,Paths!$S$190*Paths!$R$190),"n.a."))</f>
        <v>0</v>
      </c>
      <c r="T2027" s="1">
        <f>IF(NOT(Paths!$C$190=1),0,IF(Paths!$P$190="Complete",IF(C2027=0,0,VLOOKUP(A2027,'Fleet register'!$A$7:$S$106,9,FALSE)*Paths!$R$190),"n.a."))</f>
        <v>0</v>
      </c>
    </row>
    <row r="2028" spans="1:20" ht="24" customHeight="1">
      <c r="A2028" s="1" t="str">
        <f>Paths!$A$190</f>
        <v>T046</v>
      </c>
      <c r="B2028" s="1">
        <f>Paths!$B$190</f>
        <v>3</v>
      </c>
      <c r="C2028" s="1">
        <v>8</v>
      </c>
      <c r="D2028" s="1">
        <v>190</v>
      </c>
      <c r="E2028" s="1">
        <f>IF(OR(Paths!$C$190=0,C2028=0),0,MAX(0,MIN(C2028*12,Paths!$E$190)-(C2028-1)*12))</f>
        <v>0</v>
      </c>
      <c r="F2028" s="1">
        <f>IF(OR(Paths!$C$190=0,C2028=0),0,12-E2028)</f>
        <v>0</v>
      </c>
      <c r="G2028" s="16">
        <f>IF(NOT(Paths!$C$190=1),0,IF(Paths!$P$190="Complete",E2028/12*(Paths!$J$190*(1+'Operating costs'!$B$51)^MAX(0,C2028-1)+Paths!$K$190*(1+'Operating costs'!$B$53)^MAX(0,C2028-1)),"n.a."))</f>
        <v>0</v>
      </c>
      <c r="H2028" s="16">
        <f>IF(NOT(Paths!$C$190=1),0,IF(Paths!$P$190="Complete",F2028/12*(Paths!$L$190*(1+IF(Paths!$D$190="EV",'Operating costs'!$B$52,'Operating costs'!$B$51))^MAX(0,C2028-1)+Paths!$M$190*(1+'Operating costs'!$B$53)^MAX(0,C2028-1)),"n.a."))</f>
        <v>0</v>
      </c>
      <c r="I2028" s="16">
        <f>IF(NOT(Paths!$C$190=1),0,IF(Paths!$P$190="Complete",IF(IF(Paths!$E$190=0,C2028=0,AND(C2028&gt;0,Paths!$E$190&gt;(C2028-1)*12,Paths!$E$190&lt;=C2028*12)),Paths!$G$190,0),"n.a."))</f>
        <v>0</v>
      </c>
      <c r="J2028" s="16">
        <f>IF(NOT(Paths!$C$190=1),0,IF(Paths!$P$190="Complete",IF(IF(Paths!$E$190=0,C2028=0,AND(C2028&gt;0,Paths!$E$190&gt;(C2028-1)*12,Paths!$E$190&lt;=C2028*12)),Paths!$H$190,0),"n.a."))</f>
        <v>0</v>
      </c>
      <c r="K2028" s="16">
        <f>IF(NOT(Paths!$C$190=1),0,IF(Paths!$P$190="Complete",IF(IF(Paths!$O$190=0,C2028=0,AND(C2028&gt;0,Paths!$O$190&gt;(C2028-1)*12,Paths!$O$190&lt;=C2028*12)),Paths!$N$190,0),"n.a."))</f>
        <v>0</v>
      </c>
      <c r="L2028" s="16">
        <f>IF(NOT(Paths!$C$190=1),0,IF(Paths!$P$190="Complete",IF(C2028=10,Paths!$I$190,0),"n.a."))</f>
        <v>0</v>
      </c>
      <c r="M2028" s="16">
        <f>IF(NOT(Paths!$C$190=1),0,IF(Paths!$P$190="Complete",IF(AND(Paths!$D$190="EV",Paths!$E$190&lt;120,Paths!$E$190+'Operating costs'!$B$65&gt;Paths!$E$190,Paths!$E$190+'Operating costs'!$B$65&lt;=120,IF(Paths!$E$190+'Operating costs'!$B$65=0,C2028=0,AND(C2028&gt;0,Paths!$E$190+'Operating costs'!$B$65&gt;(C2028-1)*12,Paths!$E$190+'Operating costs'!$B$65&lt;=C2028*12))),'Operating costs'!$B$64,0)+IF(AND('Operating costs'!$B$67&gt;0,'Operating costs'!$B$67&lt;=120,OR(Paths!$D$190="ICE",'Operating costs'!$B$67&lt;=Paths!$E$190),IF('Operating costs'!$B$67=0,C2028=0,AND(C2028&gt;0,'Operating costs'!$B$67&gt;(C2028-1)*12,'Operating costs'!$B$67&lt;=C2028*12))),'Operating costs'!$B$66,0),"n.a."))</f>
        <v>0</v>
      </c>
      <c r="N2028" s="16">
        <f>IF(NOT(Paths!$C$190=1),0,IF(Paths!$P$190="Complete",SUM(G2028:I2028)-J2028-K2028-L2028+M2028+IF(C2028=0,Paths!$F$190,0)+IF(IF(Paths!$E$190=0,C2028=0,AND(C2028&gt;0,Paths!$E$190&gt;(C2028-1)*12,Paths!$E$190&lt;=C2028*12)),VLOOKUP(A2028,'Fleet register'!$A$7:$S$106,16,FALSE),0),"n.a."))</f>
        <v>0</v>
      </c>
      <c r="O2028" s="16">
        <f>IF(NOT(Paths!$C$190=1),0,IF(Paths!$P$190="Complete",N2028-IF(C2028=0,Paths!$F$190,0),"n.a."))</f>
        <v>0</v>
      </c>
      <c r="P2028" s="16">
        <f>IF(NOT(Paths!$C$190=1),0,IF(Paths!$P$190="Complete",O2028+L2028,"n.a."))</f>
        <v>0</v>
      </c>
      <c r="Q2028" s="16">
        <f>IF(NOT(Paths!$C$190=1),0,IF(Paths!$P$190="Complete",N2028*(1+'Operating costs'!$B$54)^-C2028,"n.a."))</f>
        <v>0</v>
      </c>
      <c r="R2028" s="16">
        <f>IF(NOT(Paths!$C$190=1),0,IF(Paths!$P$190="Complete",IF(AND(C2028=0,Paths!$E$190=0),I2028-J2028-K2028+VLOOKUP(A2028,'Fleet register'!$A$7:$S$106,15,FALSE)+VLOOKUP(A2028,'Fleet register'!$A$7:$S$106,16,FALSE),0),"n.a."))</f>
        <v>0</v>
      </c>
      <c r="S2028" s="1">
        <f>IF(NOT(Paths!$C$190=1),0,IF(Paths!$P$190="Complete",IF(C2028=0,0,Paths!$S$190*Paths!$R$190),"n.a."))</f>
        <v>0</v>
      </c>
      <c r="T2028" s="1">
        <f>IF(NOT(Paths!$C$190=1),0,IF(Paths!$P$190="Complete",IF(C2028=0,0,VLOOKUP(A2028,'Fleet register'!$A$7:$S$106,9,FALSE)*Paths!$R$190),"n.a."))</f>
        <v>0</v>
      </c>
    </row>
    <row r="2029" spans="1:20" ht="24" customHeight="1">
      <c r="A2029" s="1" t="str">
        <f>Paths!$A$190</f>
        <v>T046</v>
      </c>
      <c r="B2029" s="1">
        <f>Paths!$B$190</f>
        <v>3</v>
      </c>
      <c r="C2029" s="1">
        <v>9</v>
      </c>
      <c r="D2029" s="1">
        <v>190</v>
      </c>
      <c r="E2029" s="1">
        <f>IF(OR(Paths!$C$190=0,C2029=0),0,MAX(0,MIN(C2029*12,Paths!$E$190)-(C2029-1)*12))</f>
        <v>0</v>
      </c>
      <c r="F2029" s="1">
        <f>IF(OR(Paths!$C$190=0,C2029=0),0,12-E2029)</f>
        <v>0</v>
      </c>
      <c r="G2029" s="16">
        <f>IF(NOT(Paths!$C$190=1),0,IF(Paths!$P$190="Complete",E2029/12*(Paths!$J$190*(1+'Operating costs'!$B$51)^MAX(0,C2029-1)+Paths!$K$190*(1+'Operating costs'!$B$53)^MAX(0,C2029-1)),"n.a."))</f>
        <v>0</v>
      </c>
      <c r="H2029" s="16">
        <f>IF(NOT(Paths!$C$190=1),0,IF(Paths!$P$190="Complete",F2029/12*(Paths!$L$190*(1+IF(Paths!$D$190="EV",'Operating costs'!$B$52,'Operating costs'!$B$51))^MAX(0,C2029-1)+Paths!$M$190*(1+'Operating costs'!$B$53)^MAX(0,C2029-1)),"n.a."))</f>
        <v>0</v>
      </c>
      <c r="I2029" s="16">
        <f>IF(NOT(Paths!$C$190=1),0,IF(Paths!$P$190="Complete",IF(IF(Paths!$E$190=0,C2029=0,AND(C2029&gt;0,Paths!$E$190&gt;(C2029-1)*12,Paths!$E$190&lt;=C2029*12)),Paths!$G$190,0),"n.a."))</f>
        <v>0</v>
      </c>
      <c r="J2029" s="16">
        <f>IF(NOT(Paths!$C$190=1),0,IF(Paths!$P$190="Complete",IF(IF(Paths!$E$190=0,C2029=0,AND(C2029&gt;0,Paths!$E$190&gt;(C2029-1)*12,Paths!$E$190&lt;=C2029*12)),Paths!$H$190,0),"n.a."))</f>
        <v>0</v>
      </c>
      <c r="K2029" s="16">
        <f>IF(NOT(Paths!$C$190=1),0,IF(Paths!$P$190="Complete",IF(IF(Paths!$O$190=0,C2029=0,AND(C2029&gt;0,Paths!$O$190&gt;(C2029-1)*12,Paths!$O$190&lt;=C2029*12)),Paths!$N$190,0),"n.a."))</f>
        <v>0</v>
      </c>
      <c r="L2029" s="16">
        <f>IF(NOT(Paths!$C$190=1),0,IF(Paths!$P$190="Complete",IF(C2029=10,Paths!$I$190,0),"n.a."))</f>
        <v>0</v>
      </c>
      <c r="M2029" s="16">
        <f>IF(NOT(Paths!$C$190=1),0,IF(Paths!$P$190="Complete",IF(AND(Paths!$D$190="EV",Paths!$E$190&lt;120,Paths!$E$190+'Operating costs'!$B$65&gt;Paths!$E$190,Paths!$E$190+'Operating costs'!$B$65&lt;=120,IF(Paths!$E$190+'Operating costs'!$B$65=0,C2029=0,AND(C2029&gt;0,Paths!$E$190+'Operating costs'!$B$65&gt;(C2029-1)*12,Paths!$E$190+'Operating costs'!$B$65&lt;=C2029*12))),'Operating costs'!$B$64,0)+IF(AND('Operating costs'!$B$67&gt;0,'Operating costs'!$B$67&lt;=120,OR(Paths!$D$190="ICE",'Operating costs'!$B$67&lt;=Paths!$E$190),IF('Operating costs'!$B$67=0,C2029=0,AND(C2029&gt;0,'Operating costs'!$B$67&gt;(C2029-1)*12,'Operating costs'!$B$67&lt;=C2029*12))),'Operating costs'!$B$66,0),"n.a."))</f>
        <v>0</v>
      </c>
      <c r="N2029" s="16">
        <f>IF(NOT(Paths!$C$190=1),0,IF(Paths!$P$190="Complete",SUM(G2029:I2029)-J2029-K2029-L2029+M2029+IF(C2029=0,Paths!$F$190,0)+IF(IF(Paths!$E$190=0,C2029=0,AND(C2029&gt;0,Paths!$E$190&gt;(C2029-1)*12,Paths!$E$190&lt;=C2029*12)),VLOOKUP(A2029,'Fleet register'!$A$7:$S$106,16,FALSE),0),"n.a."))</f>
        <v>0</v>
      </c>
      <c r="O2029" s="16">
        <f>IF(NOT(Paths!$C$190=1),0,IF(Paths!$P$190="Complete",N2029-IF(C2029=0,Paths!$F$190,0),"n.a."))</f>
        <v>0</v>
      </c>
      <c r="P2029" s="16">
        <f>IF(NOT(Paths!$C$190=1),0,IF(Paths!$P$190="Complete",O2029+L2029,"n.a."))</f>
        <v>0</v>
      </c>
      <c r="Q2029" s="16">
        <f>IF(NOT(Paths!$C$190=1),0,IF(Paths!$P$190="Complete",N2029*(1+'Operating costs'!$B$54)^-C2029,"n.a."))</f>
        <v>0</v>
      </c>
      <c r="R2029" s="16">
        <f>IF(NOT(Paths!$C$190=1),0,IF(Paths!$P$190="Complete",IF(AND(C2029=0,Paths!$E$190=0),I2029-J2029-K2029+VLOOKUP(A2029,'Fleet register'!$A$7:$S$106,15,FALSE)+VLOOKUP(A2029,'Fleet register'!$A$7:$S$106,16,FALSE),0),"n.a."))</f>
        <v>0</v>
      </c>
      <c r="S2029" s="1">
        <f>IF(NOT(Paths!$C$190=1),0,IF(Paths!$P$190="Complete",IF(C2029=0,0,Paths!$S$190*Paths!$R$190),"n.a."))</f>
        <v>0</v>
      </c>
      <c r="T2029" s="1">
        <f>IF(NOT(Paths!$C$190=1),0,IF(Paths!$P$190="Complete",IF(C2029=0,0,VLOOKUP(A2029,'Fleet register'!$A$7:$S$106,9,FALSE)*Paths!$R$190),"n.a."))</f>
        <v>0</v>
      </c>
    </row>
    <row r="2030" spans="1:20" ht="24" customHeight="1">
      <c r="A2030" s="1" t="str">
        <f>Paths!$A$190</f>
        <v>T046</v>
      </c>
      <c r="B2030" s="1">
        <f>Paths!$B$190</f>
        <v>3</v>
      </c>
      <c r="C2030" s="1">
        <v>10</v>
      </c>
      <c r="D2030" s="1">
        <v>190</v>
      </c>
      <c r="E2030" s="1">
        <f>IF(OR(Paths!$C$190=0,C2030=0),0,MAX(0,MIN(C2030*12,Paths!$E$190)-(C2030-1)*12))</f>
        <v>0</v>
      </c>
      <c r="F2030" s="1">
        <f>IF(OR(Paths!$C$190=0,C2030=0),0,12-E2030)</f>
        <v>0</v>
      </c>
      <c r="G2030" s="16">
        <f>IF(NOT(Paths!$C$190=1),0,IF(Paths!$P$190="Complete",E2030/12*(Paths!$J$190*(1+'Operating costs'!$B$51)^MAX(0,C2030-1)+Paths!$K$190*(1+'Operating costs'!$B$53)^MAX(0,C2030-1)),"n.a."))</f>
        <v>0</v>
      </c>
      <c r="H2030" s="16">
        <f>IF(NOT(Paths!$C$190=1),0,IF(Paths!$P$190="Complete",F2030/12*(Paths!$L$190*(1+IF(Paths!$D$190="EV",'Operating costs'!$B$52,'Operating costs'!$B$51))^MAX(0,C2030-1)+Paths!$M$190*(1+'Operating costs'!$B$53)^MAX(0,C2030-1)),"n.a."))</f>
        <v>0</v>
      </c>
      <c r="I2030" s="16">
        <f>IF(NOT(Paths!$C$190=1),0,IF(Paths!$P$190="Complete",IF(IF(Paths!$E$190=0,C2030=0,AND(C2030&gt;0,Paths!$E$190&gt;(C2030-1)*12,Paths!$E$190&lt;=C2030*12)),Paths!$G$190,0),"n.a."))</f>
        <v>0</v>
      </c>
      <c r="J2030" s="16">
        <f>IF(NOT(Paths!$C$190=1),0,IF(Paths!$P$190="Complete",IF(IF(Paths!$E$190=0,C2030=0,AND(C2030&gt;0,Paths!$E$190&gt;(C2030-1)*12,Paths!$E$190&lt;=C2030*12)),Paths!$H$190,0),"n.a."))</f>
        <v>0</v>
      </c>
      <c r="K2030" s="16">
        <f>IF(NOT(Paths!$C$190=1),0,IF(Paths!$P$190="Complete",IF(IF(Paths!$O$190=0,C2030=0,AND(C2030&gt;0,Paths!$O$190&gt;(C2030-1)*12,Paths!$O$190&lt;=C2030*12)),Paths!$N$190,0),"n.a."))</f>
        <v>0</v>
      </c>
      <c r="L2030" s="16">
        <f>IF(NOT(Paths!$C$190=1),0,IF(Paths!$P$190="Complete",IF(C2030=10,Paths!$I$190,0),"n.a."))</f>
        <v>0</v>
      </c>
      <c r="M2030" s="16">
        <f>IF(NOT(Paths!$C$190=1),0,IF(Paths!$P$190="Complete",IF(AND(Paths!$D$190="EV",Paths!$E$190&lt;120,Paths!$E$190+'Operating costs'!$B$65&gt;Paths!$E$190,Paths!$E$190+'Operating costs'!$B$65&lt;=120,IF(Paths!$E$190+'Operating costs'!$B$65=0,C2030=0,AND(C2030&gt;0,Paths!$E$190+'Operating costs'!$B$65&gt;(C2030-1)*12,Paths!$E$190+'Operating costs'!$B$65&lt;=C2030*12))),'Operating costs'!$B$64,0)+IF(AND('Operating costs'!$B$67&gt;0,'Operating costs'!$B$67&lt;=120,OR(Paths!$D$190="ICE",'Operating costs'!$B$67&lt;=Paths!$E$190),IF('Operating costs'!$B$67=0,C2030=0,AND(C2030&gt;0,'Operating costs'!$B$67&gt;(C2030-1)*12,'Operating costs'!$B$67&lt;=C2030*12))),'Operating costs'!$B$66,0),"n.a."))</f>
        <v>0</v>
      </c>
      <c r="N2030" s="16">
        <f>IF(NOT(Paths!$C$190=1),0,IF(Paths!$P$190="Complete",SUM(G2030:I2030)-J2030-K2030-L2030+M2030+IF(C2030=0,Paths!$F$190,0)+IF(IF(Paths!$E$190=0,C2030=0,AND(C2030&gt;0,Paths!$E$190&gt;(C2030-1)*12,Paths!$E$190&lt;=C2030*12)),VLOOKUP(A2030,'Fleet register'!$A$7:$S$106,16,FALSE),0),"n.a."))</f>
        <v>0</v>
      </c>
      <c r="O2030" s="16">
        <f>IF(NOT(Paths!$C$190=1),0,IF(Paths!$P$190="Complete",N2030-IF(C2030=0,Paths!$F$190,0),"n.a."))</f>
        <v>0</v>
      </c>
      <c r="P2030" s="16">
        <f>IF(NOT(Paths!$C$190=1),0,IF(Paths!$P$190="Complete",O2030+L2030,"n.a."))</f>
        <v>0</v>
      </c>
      <c r="Q2030" s="16">
        <f>IF(NOT(Paths!$C$190=1),0,IF(Paths!$P$190="Complete",N2030*(1+'Operating costs'!$B$54)^-C2030,"n.a."))</f>
        <v>0</v>
      </c>
      <c r="R2030" s="16">
        <f>IF(NOT(Paths!$C$190=1),0,IF(Paths!$P$190="Complete",IF(AND(C2030=0,Paths!$E$190=0),I2030-J2030-K2030+VLOOKUP(A2030,'Fleet register'!$A$7:$S$106,15,FALSE)+VLOOKUP(A2030,'Fleet register'!$A$7:$S$106,16,FALSE),0),"n.a."))</f>
        <v>0</v>
      </c>
      <c r="S2030" s="1">
        <f>IF(NOT(Paths!$C$190=1),0,IF(Paths!$P$190="Complete",IF(C2030=0,0,Paths!$S$190*Paths!$R$190),"n.a."))</f>
        <v>0</v>
      </c>
      <c r="T2030" s="1">
        <f>IF(NOT(Paths!$C$190=1),0,IF(Paths!$P$190="Complete",IF(C2030=0,0,VLOOKUP(A2030,'Fleet register'!$A$7:$S$106,9,FALSE)*Paths!$R$190),"n.a."))</f>
        <v>0</v>
      </c>
    </row>
    <row r="2031" spans="1:20" ht="24" customHeight="1">
      <c r="A2031" s="1" t="str">
        <f>Paths!$A$191</f>
        <v>T047</v>
      </c>
      <c r="B2031" s="1">
        <f>Paths!$B$191</f>
        <v>0</v>
      </c>
      <c r="C2031" s="1">
        <v>0</v>
      </c>
      <c r="D2031" s="1">
        <v>191</v>
      </c>
      <c r="E2031" s="1">
        <f>IF(OR(Paths!$C$191=0,C2031=0),0,MAX(0,MIN(C2031*12,Paths!$E$191)-(C2031-1)*12))</f>
        <v>0</v>
      </c>
      <c r="F2031" s="1">
        <f>IF(OR(Paths!$C$191=0,C2031=0),0,12-E2031)</f>
        <v>0</v>
      </c>
      <c r="G2031" s="16">
        <f>IF(NOT(Paths!$C$191=1),0,IF(Paths!$P$191="Complete",E2031/12*(Paths!$J$191*(1+'Operating costs'!$B$51)^MAX(0,C2031-1)+Paths!$K$191*(1+'Operating costs'!$B$53)^MAX(0,C2031-1)),"n.a."))</f>
        <v>0</v>
      </c>
      <c r="H2031" s="16">
        <f>IF(NOT(Paths!$C$191=1),0,IF(Paths!$P$191="Complete",F2031/12*(Paths!$L$191*(1+IF(Paths!$D$191="EV",'Operating costs'!$B$52,'Operating costs'!$B$51))^MAX(0,C2031-1)+Paths!$M$191*(1+'Operating costs'!$B$53)^MAX(0,C2031-1)),"n.a."))</f>
        <v>0</v>
      </c>
      <c r="I2031" s="16">
        <f>IF(NOT(Paths!$C$191=1),0,IF(Paths!$P$191="Complete",IF(IF(Paths!$E$191=0,C2031=0,AND(C2031&gt;0,Paths!$E$191&gt;(C2031-1)*12,Paths!$E$191&lt;=C2031*12)),Paths!$G$191,0),"n.a."))</f>
        <v>0</v>
      </c>
      <c r="J2031" s="16">
        <f>IF(NOT(Paths!$C$191=1),0,IF(Paths!$P$191="Complete",IF(IF(Paths!$E$191=0,C2031=0,AND(C2031&gt;0,Paths!$E$191&gt;(C2031-1)*12,Paths!$E$191&lt;=C2031*12)),Paths!$H$191,0),"n.a."))</f>
        <v>0</v>
      </c>
      <c r="K2031" s="16">
        <f>IF(NOT(Paths!$C$191=1),0,IF(Paths!$P$191="Complete",IF(IF(Paths!$O$191=0,C2031=0,AND(C2031&gt;0,Paths!$O$191&gt;(C2031-1)*12,Paths!$O$191&lt;=C2031*12)),Paths!$N$191,0),"n.a."))</f>
        <v>0</v>
      </c>
      <c r="L2031" s="16">
        <f>IF(NOT(Paths!$C$191=1),0,IF(Paths!$P$191="Complete",IF(C2031=10,Paths!$I$191,0),"n.a."))</f>
        <v>0</v>
      </c>
      <c r="M2031" s="16">
        <f>IF(NOT(Paths!$C$191=1),0,IF(Paths!$P$191="Complete",IF(AND(Paths!$D$191="EV",Paths!$E$191&lt;120,Paths!$E$191+'Operating costs'!$B$65&gt;Paths!$E$191,Paths!$E$191+'Operating costs'!$B$65&lt;=120,IF(Paths!$E$191+'Operating costs'!$B$65=0,C2031=0,AND(C2031&gt;0,Paths!$E$191+'Operating costs'!$B$65&gt;(C2031-1)*12,Paths!$E$191+'Operating costs'!$B$65&lt;=C2031*12))),'Operating costs'!$B$64,0)+IF(AND('Operating costs'!$B$67&gt;0,'Operating costs'!$B$67&lt;=120,OR(Paths!$D$191="ICE",'Operating costs'!$B$67&lt;=Paths!$E$191),IF('Operating costs'!$B$67=0,C2031=0,AND(C2031&gt;0,'Operating costs'!$B$67&gt;(C2031-1)*12,'Operating costs'!$B$67&lt;=C2031*12))),'Operating costs'!$B$66,0),"n.a."))</f>
        <v>0</v>
      </c>
      <c r="N2031" s="16">
        <f>IF(NOT(Paths!$C$191=1),0,IF(Paths!$P$191="Complete",SUM(G2031:I2031)-J2031-K2031-L2031+M2031+IF(C2031=0,Paths!$F$191,0)+IF(IF(Paths!$E$191=0,C2031=0,AND(C2031&gt;0,Paths!$E$191&gt;(C2031-1)*12,Paths!$E$191&lt;=C2031*12)),VLOOKUP(A2031,'Fleet register'!$A$7:$S$106,16,FALSE),0),"n.a."))</f>
        <v>0</v>
      </c>
      <c r="O2031" s="16">
        <f>IF(NOT(Paths!$C$191=1),0,IF(Paths!$P$191="Complete",N2031-IF(C2031=0,Paths!$F$191,0),"n.a."))</f>
        <v>0</v>
      </c>
      <c r="P2031" s="16">
        <f>IF(NOT(Paths!$C$191=1),0,IF(Paths!$P$191="Complete",O2031+L2031,"n.a."))</f>
        <v>0</v>
      </c>
      <c r="Q2031" s="16">
        <f>IF(NOT(Paths!$C$191=1),0,IF(Paths!$P$191="Complete",N2031*(1+'Operating costs'!$B$54)^-C2031,"n.a."))</f>
        <v>0</v>
      </c>
      <c r="R2031" s="16">
        <f>IF(NOT(Paths!$C$191=1),0,IF(Paths!$P$191="Complete",IF(AND(C2031=0,Paths!$E$191=0),I2031-J2031-K2031+VLOOKUP(A2031,'Fleet register'!$A$7:$S$106,15,FALSE)+VLOOKUP(A2031,'Fleet register'!$A$7:$S$106,16,FALSE),0),"n.a."))</f>
        <v>0</v>
      </c>
      <c r="S2031" s="1">
        <f>IF(NOT(Paths!$C$191=1),0,IF(Paths!$P$191="Complete",IF(C2031=0,0,Paths!$S$191*Paths!$R$191),"n.a."))</f>
        <v>0</v>
      </c>
      <c r="T2031" s="1">
        <f>IF(NOT(Paths!$C$191=1),0,IF(Paths!$P$191="Complete",IF(C2031=0,0,VLOOKUP(A2031,'Fleet register'!$A$7:$S$106,9,FALSE)*Paths!$R$191),"n.a."))</f>
        <v>0</v>
      </c>
    </row>
    <row r="2032" spans="1:20" ht="24" customHeight="1">
      <c r="A2032" s="1" t="str">
        <f>Paths!$A$191</f>
        <v>T047</v>
      </c>
      <c r="B2032" s="1">
        <f>Paths!$B$191</f>
        <v>0</v>
      </c>
      <c r="C2032" s="1">
        <v>1</v>
      </c>
      <c r="D2032" s="1">
        <v>191</v>
      </c>
      <c r="E2032" s="1">
        <f>IF(OR(Paths!$C$191=0,C2032=0),0,MAX(0,MIN(C2032*12,Paths!$E$191)-(C2032-1)*12))</f>
        <v>0</v>
      </c>
      <c r="F2032" s="1">
        <f>IF(OR(Paths!$C$191=0,C2032=0),0,12-E2032)</f>
        <v>0</v>
      </c>
      <c r="G2032" s="16">
        <f>IF(NOT(Paths!$C$191=1),0,IF(Paths!$P$191="Complete",E2032/12*(Paths!$J$191*(1+'Operating costs'!$B$51)^MAX(0,C2032-1)+Paths!$K$191*(1+'Operating costs'!$B$53)^MAX(0,C2032-1)),"n.a."))</f>
        <v>0</v>
      </c>
      <c r="H2032" s="16">
        <f>IF(NOT(Paths!$C$191=1),0,IF(Paths!$P$191="Complete",F2032/12*(Paths!$L$191*(1+IF(Paths!$D$191="EV",'Operating costs'!$B$52,'Operating costs'!$B$51))^MAX(0,C2032-1)+Paths!$M$191*(1+'Operating costs'!$B$53)^MAX(0,C2032-1)),"n.a."))</f>
        <v>0</v>
      </c>
      <c r="I2032" s="16">
        <f>IF(NOT(Paths!$C$191=1),0,IF(Paths!$P$191="Complete",IF(IF(Paths!$E$191=0,C2032=0,AND(C2032&gt;0,Paths!$E$191&gt;(C2032-1)*12,Paths!$E$191&lt;=C2032*12)),Paths!$G$191,0),"n.a."))</f>
        <v>0</v>
      </c>
      <c r="J2032" s="16">
        <f>IF(NOT(Paths!$C$191=1),0,IF(Paths!$P$191="Complete",IF(IF(Paths!$E$191=0,C2032=0,AND(C2032&gt;0,Paths!$E$191&gt;(C2032-1)*12,Paths!$E$191&lt;=C2032*12)),Paths!$H$191,0),"n.a."))</f>
        <v>0</v>
      </c>
      <c r="K2032" s="16">
        <f>IF(NOT(Paths!$C$191=1),0,IF(Paths!$P$191="Complete",IF(IF(Paths!$O$191=0,C2032=0,AND(C2032&gt;0,Paths!$O$191&gt;(C2032-1)*12,Paths!$O$191&lt;=C2032*12)),Paths!$N$191,0),"n.a."))</f>
        <v>0</v>
      </c>
      <c r="L2032" s="16">
        <f>IF(NOT(Paths!$C$191=1),0,IF(Paths!$P$191="Complete",IF(C2032=10,Paths!$I$191,0),"n.a."))</f>
        <v>0</v>
      </c>
      <c r="M2032" s="16">
        <f>IF(NOT(Paths!$C$191=1),0,IF(Paths!$P$191="Complete",IF(AND(Paths!$D$191="EV",Paths!$E$191&lt;120,Paths!$E$191+'Operating costs'!$B$65&gt;Paths!$E$191,Paths!$E$191+'Operating costs'!$B$65&lt;=120,IF(Paths!$E$191+'Operating costs'!$B$65=0,C2032=0,AND(C2032&gt;0,Paths!$E$191+'Operating costs'!$B$65&gt;(C2032-1)*12,Paths!$E$191+'Operating costs'!$B$65&lt;=C2032*12))),'Operating costs'!$B$64,0)+IF(AND('Operating costs'!$B$67&gt;0,'Operating costs'!$B$67&lt;=120,OR(Paths!$D$191="ICE",'Operating costs'!$B$67&lt;=Paths!$E$191),IF('Operating costs'!$B$67=0,C2032=0,AND(C2032&gt;0,'Operating costs'!$B$67&gt;(C2032-1)*12,'Operating costs'!$B$67&lt;=C2032*12))),'Operating costs'!$B$66,0),"n.a."))</f>
        <v>0</v>
      </c>
      <c r="N2032" s="16">
        <f>IF(NOT(Paths!$C$191=1),0,IF(Paths!$P$191="Complete",SUM(G2032:I2032)-J2032-K2032-L2032+M2032+IF(C2032=0,Paths!$F$191,0)+IF(IF(Paths!$E$191=0,C2032=0,AND(C2032&gt;0,Paths!$E$191&gt;(C2032-1)*12,Paths!$E$191&lt;=C2032*12)),VLOOKUP(A2032,'Fleet register'!$A$7:$S$106,16,FALSE),0),"n.a."))</f>
        <v>0</v>
      </c>
      <c r="O2032" s="16">
        <f>IF(NOT(Paths!$C$191=1),0,IF(Paths!$P$191="Complete",N2032-IF(C2032=0,Paths!$F$191,0),"n.a."))</f>
        <v>0</v>
      </c>
      <c r="P2032" s="16">
        <f>IF(NOT(Paths!$C$191=1),0,IF(Paths!$P$191="Complete",O2032+L2032,"n.a."))</f>
        <v>0</v>
      </c>
      <c r="Q2032" s="16">
        <f>IF(NOT(Paths!$C$191=1),0,IF(Paths!$P$191="Complete",N2032*(1+'Operating costs'!$B$54)^-C2032,"n.a."))</f>
        <v>0</v>
      </c>
      <c r="R2032" s="16">
        <f>IF(NOT(Paths!$C$191=1),0,IF(Paths!$P$191="Complete",IF(AND(C2032=0,Paths!$E$191=0),I2032-J2032-K2032+VLOOKUP(A2032,'Fleet register'!$A$7:$S$106,15,FALSE)+VLOOKUP(A2032,'Fleet register'!$A$7:$S$106,16,FALSE),0),"n.a."))</f>
        <v>0</v>
      </c>
      <c r="S2032" s="1">
        <f>IF(NOT(Paths!$C$191=1),0,IF(Paths!$P$191="Complete",IF(C2032=0,0,Paths!$S$191*Paths!$R$191),"n.a."))</f>
        <v>0</v>
      </c>
      <c r="T2032" s="1">
        <f>IF(NOT(Paths!$C$191=1),0,IF(Paths!$P$191="Complete",IF(C2032=0,0,VLOOKUP(A2032,'Fleet register'!$A$7:$S$106,9,FALSE)*Paths!$R$191),"n.a."))</f>
        <v>0</v>
      </c>
    </row>
    <row r="2033" spans="1:20" ht="24" customHeight="1">
      <c r="A2033" s="1" t="str">
        <f>Paths!$A$191</f>
        <v>T047</v>
      </c>
      <c r="B2033" s="1">
        <f>Paths!$B$191</f>
        <v>0</v>
      </c>
      <c r="C2033" s="1">
        <v>2</v>
      </c>
      <c r="D2033" s="1">
        <v>191</v>
      </c>
      <c r="E2033" s="1">
        <f>IF(OR(Paths!$C$191=0,C2033=0),0,MAX(0,MIN(C2033*12,Paths!$E$191)-(C2033-1)*12))</f>
        <v>0</v>
      </c>
      <c r="F2033" s="1">
        <f>IF(OR(Paths!$C$191=0,C2033=0),0,12-E2033)</f>
        <v>0</v>
      </c>
      <c r="G2033" s="16">
        <f>IF(NOT(Paths!$C$191=1),0,IF(Paths!$P$191="Complete",E2033/12*(Paths!$J$191*(1+'Operating costs'!$B$51)^MAX(0,C2033-1)+Paths!$K$191*(1+'Operating costs'!$B$53)^MAX(0,C2033-1)),"n.a."))</f>
        <v>0</v>
      </c>
      <c r="H2033" s="16">
        <f>IF(NOT(Paths!$C$191=1),0,IF(Paths!$P$191="Complete",F2033/12*(Paths!$L$191*(1+IF(Paths!$D$191="EV",'Operating costs'!$B$52,'Operating costs'!$B$51))^MAX(0,C2033-1)+Paths!$M$191*(1+'Operating costs'!$B$53)^MAX(0,C2033-1)),"n.a."))</f>
        <v>0</v>
      </c>
      <c r="I2033" s="16">
        <f>IF(NOT(Paths!$C$191=1),0,IF(Paths!$P$191="Complete",IF(IF(Paths!$E$191=0,C2033=0,AND(C2033&gt;0,Paths!$E$191&gt;(C2033-1)*12,Paths!$E$191&lt;=C2033*12)),Paths!$G$191,0),"n.a."))</f>
        <v>0</v>
      </c>
      <c r="J2033" s="16">
        <f>IF(NOT(Paths!$C$191=1),0,IF(Paths!$P$191="Complete",IF(IF(Paths!$E$191=0,C2033=0,AND(C2033&gt;0,Paths!$E$191&gt;(C2033-1)*12,Paths!$E$191&lt;=C2033*12)),Paths!$H$191,0),"n.a."))</f>
        <v>0</v>
      </c>
      <c r="K2033" s="16">
        <f>IF(NOT(Paths!$C$191=1),0,IF(Paths!$P$191="Complete",IF(IF(Paths!$O$191=0,C2033=0,AND(C2033&gt;0,Paths!$O$191&gt;(C2033-1)*12,Paths!$O$191&lt;=C2033*12)),Paths!$N$191,0),"n.a."))</f>
        <v>0</v>
      </c>
      <c r="L2033" s="16">
        <f>IF(NOT(Paths!$C$191=1),0,IF(Paths!$P$191="Complete",IF(C2033=10,Paths!$I$191,0),"n.a."))</f>
        <v>0</v>
      </c>
      <c r="M2033" s="16">
        <f>IF(NOT(Paths!$C$191=1),0,IF(Paths!$P$191="Complete",IF(AND(Paths!$D$191="EV",Paths!$E$191&lt;120,Paths!$E$191+'Operating costs'!$B$65&gt;Paths!$E$191,Paths!$E$191+'Operating costs'!$B$65&lt;=120,IF(Paths!$E$191+'Operating costs'!$B$65=0,C2033=0,AND(C2033&gt;0,Paths!$E$191+'Operating costs'!$B$65&gt;(C2033-1)*12,Paths!$E$191+'Operating costs'!$B$65&lt;=C2033*12))),'Operating costs'!$B$64,0)+IF(AND('Operating costs'!$B$67&gt;0,'Operating costs'!$B$67&lt;=120,OR(Paths!$D$191="ICE",'Operating costs'!$B$67&lt;=Paths!$E$191),IF('Operating costs'!$B$67=0,C2033=0,AND(C2033&gt;0,'Operating costs'!$B$67&gt;(C2033-1)*12,'Operating costs'!$B$67&lt;=C2033*12))),'Operating costs'!$B$66,0),"n.a."))</f>
        <v>0</v>
      </c>
      <c r="N2033" s="16">
        <f>IF(NOT(Paths!$C$191=1),0,IF(Paths!$P$191="Complete",SUM(G2033:I2033)-J2033-K2033-L2033+M2033+IF(C2033=0,Paths!$F$191,0)+IF(IF(Paths!$E$191=0,C2033=0,AND(C2033&gt;0,Paths!$E$191&gt;(C2033-1)*12,Paths!$E$191&lt;=C2033*12)),VLOOKUP(A2033,'Fleet register'!$A$7:$S$106,16,FALSE),0),"n.a."))</f>
        <v>0</v>
      </c>
      <c r="O2033" s="16">
        <f>IF(NOT(Paths!$C$191=1),0,IF(Paths!$P$191="Complete",N2033-IF(C2033=0,Paths!$F$191,0),"n.a."))</f>
        <v>0</v>
      </c>
      <c r="P2033" s="16">
        <f>IF(NOT(Paths!$C$191=1),0,IF(Paths!$P$191="Complete",O2033+L2033,"n.a."))</f>
        <v>0</v>
      </c>
      <c r="Q2033" s="16">
        <f>IF(NOT(Paths!$C$191=1),0,IF(Paths!$P$191="Complete",N2033*(1+'Operating costs'!$B$54)^-C2033,"n.a."))</f>
        <v>0</v>
      </c>
      <c r="R2033" s="16">
        <f>IF(NOT(Paths!$C$191=1),0,IF(Paths!$P$191="Complete",IF(AND(C2033=0,Paths!$E$191=0),I2033-J2033-K2033+VLOOKUP(A2033,'Fleet register'!$A$7:$S$106,15,FALSE)+VLOOKUP(A2033,'Fleet register'!$A$7:$S$106,16,FALSE),0),"n.a."))</f>
        <v>0</v>
      </c>
      <c r="S2033" s="1">
        <f>IF(NOT(Paths!$C$191=1),0,IF(Paths!$P$191="Complete",IF(C2033=0,0,Paths!$S$191*Paths!$R$191),"n.a."))</f>
        <v>0</v>
      </c>
      <c r="T2033" s="1">
        <f>IF(NOT(Paths!$C$191=1),0,IF(Paths!$P$191="Complete",IF(C2033=0,0,VLOOKUP(A2033,'Fleet register'!$A$7:$S$106,9,FALSE)*Paths!$R$191),"n.a."))</f>
        <v>0</v>
      </c>
    </row>
    <row r="2034" spans="1:20" ht="24" customHeight="1">
      <c r="A2034" s="1" t="str">
        <f>Paths!$A$191</f>
        <v>T047</v>
      </c>
      <c r="B2034" s="1">
        <f>Paths!$B$191</f>
        <v>0</v>
      </c>
      <c r="C2034" s="1">
        <v>3</v>
      </c>
      <c r="D2034" s="1">
        <v>191</v>
      </c>
      <c r="E2034" s="1">
        <f>IF(OR(Paths!$C$191=0,C2034=0),0,MAX(0,MIN(C2034*12,Paths!$E$191)-(C2034-1)*12))</f>
        <v>0</v>
      </c>
      <c r="F2034" s="1">
        <f>IF(OR(Paths!$C$191=0,C2034=0),0,12-E2034)</f>
        <v>0</v>
      </c>
      <c r="G2034" s="16">
        <f>IF(NOT(Paths!$C$191=1),0,IF(Paths!$P$191="Complete",E2034/12*(Paths!$J$191*(1+'Operating costs'!$B$51)^MAX(0,C2034-1)+Paths!$K$191*(1+'Operating costs'!$B$53)^MAX(0,C2034-1)),"n.a."))</f>
        <v>0</v>
      </c>
      <c r="H2034" s="16">
        <f>IF(NOT(Paths!$C$191=1),0,IF(Paths!$P$191="Complete",F2034/12*(Paths!$L$191*(1+IF(Paths!$D$191="EV",'Operating costs'!$B$52,'Operating costs'!$B$51))^MAX(0,C2034-1)+Paths!$M$191*(1+'Operating costs'!$B$53)^MAX(0,C2034-1)),"n.a."))</f>
        <v>0</v>
      </c>
      <c r="I2034" s="16">
        <f>IF(NOT(Paths!$C$191=1),0,IF(Paths!$P$191="Complete",IF(IF(Paths!$E$191=0,C2034=0,AND(C2034&gt;0,Paths!$E$191&gt;(C2034-1)*12,Paths!$E$191&lt;=C2034*12)),Paths!$G$191,0),"n.a."))</f>
        <v>0</v>
      </c>
      <c r="J2034" s="16">
        <f>IF(NOT(Paths!$C$191=1),0,IF(Paths!$P$191="Complete",IF(IF(Paths!$E$191=0,C2034=0,AND(C2034&gt;0,Paths!$E$191&gt;(C2034-1)*12,Paths!$E$191&lt;=C2034*12)),Paths!$H$191,0),"n.a."))</f>
        <v>0</v>
      </c>
      <c r="K2034" s="16">
        <f>IF(NOT(Paths!$C$191=1),0,IF(Paths!$P$191="Complete",IF(IF(Paths!$O$191=0,C2034=0,AND(C2034&gt;0,Paths!$O$191&gt;(C2034-1)*12,Paths!$O$191&lt;=C2034*12)),Paths!$N$191,0),"n.a."))</f>
        <v>0</v>
      </c>
      <c r="L2034" s="16">
        <f>IF(NOT(Paths!$C$191=1),0,IF(Paths!$P$191="Complete",IF(C2034=10,Paths!$I$191,0),"n.a."))</f>
        <v>0</v>
      </c>
      <c r="M2034" s="16">
        <f>IF(NOT(Paths!$C$191=1),0,IF(Paths!$P$191="Complete",IF(AND(Paths!$D$191="EV",Paths!$E$191&lt;120,Paths!$E$191+'Operating costs'!$B$65&gt;Paths!$E$191,Paths!$E$191+'Operating costs'!$B$65&lt;=120,IF(Paths!$E$191+'Operating costs'!$B$65=0,C2034=0,AND(C2034&gt;0,Paths!$E$191+'Operating costs'!$B$65&gt;(C2034-1)*12,Paths!$E$191+'Operating costs'!$B$65&lt;=C2034*12))),'Operating costs'!$B$64,0)+IF(AND('Operating costs'!$B$67&gt;0,'Operating costs'!$B$67&lt;=120,OR(Paths!$D$191="ICE",'Operating costs'!$B$67&lt;=Paths!$E$191),IF('Operating costs'!$B$67=0,C2034=0,AND(C2034&gt;0,'Operating costs'!$B$67&gt;(C2034-1)*12,'Operating costs'!$B$67&lt;=C2034*12))),'Operating costs'!$B$66,0),"n.a."))</f>
        <v>0</v>
      </c>
      <c r="N2034" s="16">
        <f>IF(NOT(Paths!$C$191=1),0,IF(Paths!$P$191="Complete",SUM(G2034:I2034)-J2034-K2034-L2034+M2034+IF(C2034=0,Paths!$F$191,0)+IF(IF(Paths!$E$191=0,C2034=0,AND(C2034&gt;0,Paths!$E$191&gt;(C2034-1)*12,Paths!$E$191&lt;=C2034*12)),VLOOKUP(A2034,'Fleet register'!$A$7:$S$106,16,FALSE),0),"n.a."))</f>
        <v>0</v>
      </c>
      <c r="O2034" s="16">
        <f>IF(NOT(Paths!$C$191=1),0,IF(Paths!$P$191="Complete",N2034-IF(C2034=0,Paths!$F$191,0),"n.a."))</f>
        <v>0</v>
      </c>
      <c r="P2034" s="16">
        <f>IF(NOT(Paths!$C$191=1),0,IF(Paths!$P$191="Complete",O2034+L2034,"n.a."))</f>
        <v>0</v>
      </c>
      <c r="Q2034" s="16">
        <f>IF(NOT(Paths!$C$191=1),0,IF(Paths!$P$191="Complete",N2034*(1+'Operating costs'!$B$54)^-C2034,"n.a."))</f>
        <v>0</v>
      </c>
      <c r="R2034" s="16">
        <f>IF(NOT(Paths!$C$191=1),0,IF(Paths!$P$191="Complete",IF(AND(C2034=0,Paths!$E$191=0),I2034-J2034-K2034+VLOOKUP(A2034,'Fleet register'!$A$7:$S$106,15,FALSE)+VLOOKUP(A2034,'Fleet register'!$A$7:$S$106,16,FALSE),0),"n.a."))</f>
        <v>0</v>
      </c>
      <c r="S2034" s="1">
        <f>IF(NOT(Paths!$C$191=1),0,IF(Paths!$P$191="Complete",IF(C2034=0,0,Paths!$S$191*Paths!$R$191),"n.a."))</f>
        <v>0</v>
      </c>
      <c r="T2034" s="1">
        <f>IF(NOT(Paths!$C$191=1),0,IF(Paths!$P$191="Complete",IF(C2034=0,0,VLOOKUP(A2034,'Fleet register'!$A$7:$S$106,9,FALSE)*Paths!$R$191),"n.a."))</f>
        <v>0</v>
      </c>
    </row>
    <row r="2035" spans="1:20" ht="24" customHeight="1">
      <c r="A2035" s="1" t="str">
        <f>Paths!$A$191</f>
        <v>T047</v>
      </c>
      <c r="B2035" s="1">
        <f>Paths!$B$191</f>
        <v>0</v>
      </c>
      <c r="C2035" s="1">
        <v>4</v>
      </c>
      <c r="D2035" s="1">
        <v>191</v>
      </c>
      <c r="E2035" s="1">
        <f>IF(OR(Paths!$C$191=0,C2035=0),0,MAX(0,MIN(C2035*12,Paths!$E$191)-(C2035-1)*12))</f>
        <v>0</v>
      </c>
      <c r="F2035" s="1">
        <f>IF(OR(Paths!$C$191=0,C2035=0),0,12-E2035)</f>
        <v>0</v>
      </c>
      <c r="G2035" s="16">
        <f>IF(NOT(Paths!$C$191=1),0,IF(Paths!$P$191="Complete",E2035/12*(Paths!$J$191*(1+'Operating costs'!$B$51)^MAX(0,C2035-1)+Paths!$K$191*(1+'Operating costs'!$B$53)^MAX(0,C2035-1)),"n.a."))</f>
        <v>0</v>
      </c>
      <c r="H2035" s="16">
        <f>IF(NOT(Paths!$C$191=1),0,IF(Paths!$P$191="Complete",F2035/12*(Paths!$L$191*(1+IF(Paths!$D$191="EV",'Operating costs'!$B$52,'Operating costs'!$B$51))^MAX(0,C2035-1)+Paths!$M$191*(1+'Operating costs'!$B$53)^MAX(0,C2035-1)),"n.a."))</f>
        <v>0</v>
      </c>
      <c r="I2035" s="16">
        <f>IF(NOT(Paths!$C$191=1),0,IF(Paths!$P$191="Complete",IF(IF(Paths!$E$191=0,C2035=0,AND(C2035&gt;0,Paths!$E$191&gt;(C2035-1)*12,Paths!$E$191&lt;=C2035*12)),Paths!$G$191,0),"n.a."))</f>
        <v>0</v>
      </c>
      <c r="J2035" s="16">
        <f>IF(NOT(Paths!$C$191=1),0,IF(Paths!$P$191="Complete",IF(IF(Paths!$E$191=0,C2035=0,AND(C2035&gt;0,Paths!$E$191&gt;(C2035-1)*12,Paths!$E$191&lt;=C2035*12)),Paths!$H$191,0),"n.a."))</f>
        <v>0</v>
      </c>
      <c r="K2035" s="16">
        <f>IF(NOT(Paths!$C$191=1),0,IF(Paths!$P$191="Complete",IF(IF(Paths!$O$191=0,C2035=0,AND(C2035&gt;0,Paths!$O$191&gt;(C2035-1)*12,Paths!$O$191&lt;=C2035*12)),Paths!$N$191,0),"n.a."))</f>
        <v>0</v>
      </c>
      <c r="L2035" s="16">
        <f>IF(NOT(Paths!$C$191=1),0,IF(Paths!$P$191="Complete",IF(C2035=10,Paths!$I$191,0),"n.a."))</f>
        <v>0</v>
      </c>
      <c r="M2035" s="16">
        <f>IF(NOT(Paths!$C$191=1),0,IF(Paths!$P$191="Complete",IF(AND(Paths!$D$191="EV",Paths!$E$191&lt;120,Paths!$E$191+'Operating costs'!$B$65&gt;Paths!$E$191,Paths!$E$191+'Operating costs'!$B$65&lt;=120,IF(Paths!$E$191+'Operating costs'!$B$65=0,C2035=0,AND(C2035&gt;0,Paths!$E$191+'Operating costs'!$B$65&gt;(C2035-1)*12,Paths!$E$191+'Operating costs'!$B$65&lt;=C2035*12))),'Operating costs'!$B$64,0)+IF(AND('Operating costs'!$B$67&gt;0,'Operating costs'!$B$67&lt;=120,OR(Paths!$D$191="ICE",'Operating costs'!$B$67&lt;=Paths!$E$191),IF('Operating costs'!$B$67=0,C2035=0,AND(C2035&gt;0,'Operating costs'!$B$67&gt;(C2035-1)*12,'Operating costs'!$B$67&lt;=C2035*12))),'Operating costs'!$B$66,0),"n.a."))</f>
        <v>0</v>
      </c>
      <c r="N2035" s="16">
        <f>IF(NOT(Paths!$C$191=1),0,IF(Paths!$P$191="Complete",SUM(G2035:I2035)-J2035-K2035-L2035+M2035+IF(C2035=0,Paths!$F$191,0)+IF(IF(Paths!$E$191=0,C2035=0,AND(C2035&gt;0,Paths!$E$191&gt;(C2035-1)*12,Paths!$E$191&lt;=C2035*12)),VLOOKUP(A2035,'Fleet register'!$A$7:$S$106,16,FALSE),0),"n.a."))</f>
        <v>0</v>
      </c>
      <c r="O2035" s="16">
        <f>IF(NOT(Paths!$C$191=1),0,IF(Paths!$P$191="Complete",N2035-IF(C2035=0,Paths!$F$191,0),"n.a."))</f>
        <v>0</v>
      </c>
      <c r="P2035" s="16">
        <f>IF(NOT(Paths!$C$191=1),0,IF(Paths!$P$191="Complete",O2035+L2035,"n.a."))</f>
        <v>0</v>
      </c>
      <c r="Q2035" s="16">
        <f>IF(NOT(Paths!$C$191=1),0,IF(Paths!$P$191="Complete",N2035*(1+'Operating costs'!$B$54)^-C2035,"n.a."))</f>
        <v>0</v>
      </c>
      <c r="R2035" s="16">
        <f>IF(NOT(Paths!$C$191=1),0,IF(Paths!$P$191="Complete",IF(AND(C2035=0,Paths!$E$191=0),I2035-J2035-K2035+VLOOKUP(A2035,'Fleet register'!$A$7:$S$106,15,FALSE)+VLOOKUP(A2035,'Fleet register'!$A$7:$S$106,16,FALSE),0),"n.a."))</f>
        <v>0</v>
      </c>
      <c r="S2035" s="1">
        <f>IF(NOT(Paths!$C$191=1),0,IF(Paths!$P$191="Complete",IF(C2035=0,0,Paths!$S$191*Paths!$R$191),"n.a."))</f>
        <v>0</v>
      </c>
      <c r="T2035" s="1">
        <f>IF(NOT(Paths!$C$191=1),0,IF(Paths!$P$191="Complete",IF(C2035=0,0,VLOOKUP(A2035,'Fleet register'!$A$7:$S$106,9,FALSE)*Paths!$R$191),"n.a."))</f>
        <v>0</v>
      </c>
    </row>
    <row r="2036" spans="1:20" ht="24" customHeight="1">
      <c r="A2036" s="1" t="str">
        <f>Paths!$A$191</f>
        <v>T047</v>
      </c>
      <c r="B2036" s="1">
        <f>Paths!$B$191</f>
        <v>0</v>
      </c>
      <c r="C2036" s="1">
        <v>5</v>
      </c>
      <c r="D2036" s="1">
        <v>191</v>
      </c>
      <c r="E2036" s="1">
        <f>IF(OR(Paths!$C$191=0,C2036=0),0,MAX(0,MIN(C2036*12,Paths!$E$191)-(C2036-1)*12))</f>
        <v>0</v>
      </c>
      <c r="F2036" s="1">
        <f>IF(OR(Paths!$C$191=0,C2036=0),0,12-E2036)</f>
        <v>0</v>
      </c>
      <c r="G2036" s="16">
        <f>IF(NOT(Paths!$C$191=1),0,IF(Paths!$P$191="Complete",E2036/12*(Paths!$J$191*(1+'Operating costs'!$B$51)^MAX(0,C2036-1)+Paths!$K$191*(1+'Operating costs'!$B$53)^MAX(0,C2036-1)),"n.a."))</f>
        <v>0</v>
      </c>
      <c r="H2036" s="16">
        <f>IF(NOT(Paths!$C$191=1),0,IF(Paths!$P$191="Complete",F2036/12*(Paths!$L$191*(1+IF(Paths!$D$191="EV",'Operating costs'!$B$52,'Operating costs'!$B$51))^MAX(0,C2036-1)+Paths!$M$191*(1+'Operating costs'!$B$53)^MAX(0,C2036-1)),"n.a."))</f>
        <v>0</v>
      </c>
      <c r="I2036" s="16">
        <f>IF(NOT(Paths!$C$191=1),0,IF(Paths!$P$191="Complete",IF(IF(Paths!$E$191=0,C2036=0,AND(C2036&gt;0,Paths!$E$191&gt;(C2036-1)*12,Paths!$E$191&lt;=C2036*12)),Paths!$G$191,0),"n.a."))</f>
        <v>0</v>
      </c>
      <c r="J2036" s="16">
        <f>IF(NOT(Paths!$C$191=1),0,IF(Paths!$P$191="Complete",IF(IF(Paths!$E$191=0,C2036=0,AND(C2036&gt;0,Paths!$E$191&gt;(C2036-1)*12,Paths!$E$191&lt;=C2036*12)),Paths!$H$191,0),"n.a."))</f>
        <v>0</v>
      </c>
      <c r="K2036" s="16">
        <f>IF(NOT(Paths!$C$191=1),0,IF(Paths!$P$191="Complete",IF(IF(Paths!$O$191=0,C2036=0,AND(C2036&gt;0,Paths!$O$191&gt;(C2036-1)*12,Paths!$O$191&lt;=C2036*12)),Paths!$N$191,0),"n.a."))</f>
        <v>0</v>
      </c>
      <c r="L2036" s="16">
        <f>IF(NOT(Paths!$C$191=1),0,IF(Paths!$P$191="Complete",IF(C2036=10,Paths!$I$191,0),"n.a."))</f>
        <v>0</v>
      </c>
      <c r="M2036" s="16">
        <f>IF(NOT(Paths!$C$191=1),0,IF(Paths!$P$191="Complete",IF(AND(Paths!$D$191="EV",Paths!$E$191&lt;120,Paths!$E$191+'Operating costs'!$B$65&gt;Paths!$E$191,Paths!$E$191+'Operating costs'!$B$65&lt;=120,IF(Paths!$E$191+'Operating costs'!$B$65=0,C2036=0,AND(C2036&gt;0,Paths!$E$191+'Operating costs'!$B$65&gt;(C2036-1)*12,Paths!$E$191+'Operating costs'!$B$65&lt;=C2036*12))),'Operating costs'!$B$64,0)+IF(AND('Operating costs'!$B$67&gt;0,'Operating costs'!$B$67&lt;=120,OR(Paths!$D$191="ICE",'Operating costs'!$B$67&lt;=Paths!$E$191),IF('Operating costs'!$B$67=0,C2036=0,AND(C2036&gt;0,'Operating costs'!$B$67&gt;(C2036-1)*12,'Operating costs'!$B$67&lt;=C2036*12))),'Operating costs'!$B$66,0),"n.a."))</f>
        <v>0</v>
      </c>
      <c r="N2036" s="16">
        <f>IF(NOT(Paths!$C$191=1),0,IF(Paths!$P$191="Complete",SUM(G2036:I2036)-J2036-K2036-L2036+M2036+IF(C2036=0,Paths!$F$191,0)+IF(IF(Paths!$E$191=0,C2036=0,AND(C2036&gt;0,Paths!$E$191&gt;(C2036-1)*12,Paths!$E$191&lt;=C2036*12)),VLOOKUP(A2036,'Fleet register'!$A$7:$S$106,16,FALSE),0),"n.a."))</f>
        <v>0</v>
      </c>
      <c r="O2036" s="16">
        <f>IF(NOT(Paths!$C$191=1),0,IF(Paths!$P$191="Complete",N2036-IF(C2036=0,Paths!$F$191,0),"n.a."))</f>
        <v>0</v>
      </c>
      <c r="P2036" s="16">
        <f>IF(NOT(Paths!$C$191=1),0,IF(Paths!$P$191="Complete",O2036+L2036,"n.a."))</f>
        <v>0</v>
      </c>
      <c r="Q2036" s="16">
        <f>IF(NOT(Paths!$C$191=1),0,IF(Paths!$P$191="Complete",N2036*(1+'Operating costs'!$B$54)^-C2036,"n.a."))</f>
        <v>0</v>
      </c>
      <c r="R2036" s="16">
        <f>IF(NOT(Paths!$C$191=1),0,IF(Paths!$P$191="Complete",IF(AND(C2036=0,Paths!$E$191=0),I2036-J2036-K2036+VLOOKUP(A2036,'Fleet register'!$A$7:$S$106,15,FALSE)+VLOOKUP(A2036,'Fleet register'!$A$7:$S$106,16,FALSE),0),"n.a."))</f>
        <v>0</v>
      </c>
      <c r="S2036" s="1">
        <f>IF(NOT(Paths!$C$191=1),0,IF(Paths!$P$191="Complete",IF(C2036=0,0,Paths!$S$191*Paths!$R$191),"n.a."))</f>
        <v>0</v>
      </c>
      <c r="T2036" s="1">
        <f>IF(NOT(Paths!$C$191=1),0,IF(Paths!$P$191="Complete",IF(C2036=0,0,VLOOKUP(A2036,'Fleet register'!$A$7:$S$106,9,FALSE)*Paths!$R$191),"n.a."))</f>
        <v>0</v>
      </c>
    </row>
    <row r="2037" spans="1:20" ht="24" customHeight="1">
      <c r="A2037" s="1" t="str">
        <f>Paths!$A$191</f>
        <v>T047</v>
      </c>
      <c r="B2037" s="1">
        <f>Paths!$B$191</f>
        <v>0</v>
      </c>
      <c r="C2037" s="1">
        <v>6</v>
      </c>
      <c r="D2037" s="1">
        <v>191</v>
      </c>
      <c r="E2037" s="1">
        <f>IF(OR(Paths!$C$191=0,C2037=0),0,MAX(0,MIN(C2037*12,Paths!$E$191)-(C2037-1)*12))</f>
        <v>0</v>
      </c>
      <c r="F2037" s="1">
        <f>IF(OR(Paths!$C$191=0,C2037=0),0,12-E2037)</f>
        <v>0</v>
      </c>
      <c r="G2037" s="16">
        <f>IF(NOT(Paths!$C$191=1),0,IF(Paths!$P$191="Complete",E2037/12*(Paths!$J$191*(1+'Operating costs'!$B$51)^MAX(0,C2037-1)+Paths!$K$191*(1+'Operating costs'!$B$53)^MAX(0,C2037-1)),"n.a."))</f>
        <v>0</v>
      </c>
      <c r="H2037" s="16">
        <f>IF(NOT(Paths!$C$191=1),0,IF(Paths!$P$191="Complete",F2037/12*(Paths!$L$191*(1+IF(Paths!$D$191="EV",'Operating costs'!$B$52,'Operating costs'!$B$51))^MAX(0,C2037-1)+Paths!$M$191*(1+'Operating costs'!$B$53)^MAX(0,C2037-1)),"n.a."))</f>
        <v>0</v>
      </c>
      <c r="I2037" s="16">
        <f>IF(NOT(Paths!$C$191=1),0,IF(Paths!$P$191="Complete",IF(IF(Paths!$E$191=0,C2037=0,AND(C2037&gt;0,Paths!$E$191&gt;(C2037-1)*12,Paths!$E$191&lt;=C2037*12)),Paths!$G$191,0),"n.a."))</f>
        <v>0</v>
      </c>
      <c r="J2037" s="16">
        <f>IF(NOT(Paths!$C$191=1),0,IF(Paths!$P$191="Complete",IF(IF(Paths!$E$191=0,C2037=0,AND(C2037&gt;0,Paths!$E$191&gt;(C2037-1)*12,Paths!$E$191&lt;=C2037*12)),Paths!$H$191,0),"n.a."))</f>
        <v>0</v>
      </c>
      <c r="K2037" s="16">
        <f>IF(NOT(Paths!$C$191=1),0,IF(Paths!$P$191="Complete",IF(IF(Paths!$O$191=0,C2037=0,AND(C2037&gt;0,Paths!$O$191&gt;(C2037-1)*12,Paths!$O$191&lt;=C2037*12)),Paths!$N$191,0),"n.a."))</f>
        <v>0</v>
      </c>
      <c r="L2037" s="16">
        <f>IF(NOT(Paths!$C$191=1),0,IF(Paths!$P$191="Complete",IF(C2037=10,Paths!$I$191,0),"n.a."))</f>
        <v>0</v>
      </c>
      <c r="M2037" s="16">
        <f>IF(NOT(Paths!$C$191=1),0,IF(Paths!$P$191="Complete",IF(AND(Paths!$D$191="EV",Paths!$E$191&lt;120,Paths!$E$191+'Operating costs'!$B$65&gt;Paths!$E$191,Paths!$E$191+'Operating costs'!$B$65&lt;=120,IF(Paths!$E$191+'Operating costs'!$B$65=0,C2037=0,AND(C2037&gt;0,Paths!$E$191+'Operating costs'!$B$65&gt;(C2037-1)*12,Paths!$E$191+'Operating costs'!$B$65&lt;=C2037*12))),'Operating costs'!$B$64,0)+IF(AND('Operating costs'!$B$67&gt;0,'Operating costs'!$B$67&lt;=120,OR(Paths!$D$191="ICE",'Operating costs'!$B$67&lt;=Paths!$E$191),IF('Operating costs'!$B$67=0,C2037=0,AND(C2037&gt;0,'Operating costs'!$B$67&gt;(C2037-1)*12,'Operating costs'!$B$67&lt;=C2037*12))),'Operating costs'!$B$66,0),"n.a."))</f>
        <v>0</v>
      </c>
      <c r="N2037" s="16">
        <f>IF(NOT(Paths!$C$191=1),0,IF(Paths!$P$191="Complete",SUM(G2037:I2037)-J2037-K2037-L2037+M2037+IF(C2037=0,Paths!$F$191,0)+IF(IF(Paths!$E$191=0,C2037=0,AND(C2037&gt;0,Paths!$E$191&gt;(C2037-1)*12,Paths!$E$191&lt;=C2037*12)),VLOOKUP(A2037,'Fleet register'!$A$7:$S$106,16,FALSE),0),"n.a."))</f>
        <v>0</v>
      </c>
      <c r="O2037" s="16">
        <f>IF(NOT(Paths!$C$191=1),0,IF(Paths!$P$191="Complete",N2037-IF(C2037=0,Paths!$F$191,0),"n.a."))</f>
        <v>0</v>
      </c>
      <c r="P2037" s="16">
        <f>IF(NOT(Paths!$C$191=1),0,IF(Paths!$P$191="Complete",O2037+L2037,"n.a."))</f>
        <v>0</v>
      </c>
      <c r="Q2037" s="16">
        <f>IF(NOT(Paths!$C$191=1),0,IF(Paths!$P$191="Complete",N2037*(1+'Operating costs'!$B$54)^-C2037,"n.a."))</f>
        <v>0</v>
      </c>
      <c r="R2037" s="16">
        <f>IF(NOT(Paths!$C$191=1),0,IF(Paths!$P$191="Complete",IF(AND(C2037=0,Paths!$E$191=0),I2037-J2037-K2037+VLOOKUP(A2037,'Fleet register'!$A$7:$S$106,15,FALSE)+VLOOKUP(A2037,'Fleet register'!$A$7:$S$106,16,FALSE),0),"n.a."))</f>
        <v>0</v>
      </c>
      <c r="S2037" s="1">
        <f>IF(NOT(Paths!$C$191=1),0,IF(Paths!$P$191="Complete",IF(C2037=0,0,Paths!$S$191*Paths!$R$191),"n.a."))</f>
        <v>0</v>
      </c>
      <c r="T2037" s="1">
        <f>IF(NOT(Paths!$C$191=1),0,IF(Paths!$P$191="Complete",IF(C2037=0,0,VLOOKUP(A2037,'Fleet register'!$A$7:$S$106,9,FALSE)*Paths!$R$191),"n.a."))</f>
        <v>0</v>
      </c>
    </row>
    <row r="2038" spans="1:20" ht="24" customHeight="1">
      <c r="A2038" s="1" t="str">
        <f>Paths!$A$191</f>
        <v>T047</v>
      </c>
      <c r="B2038" s="1">
        <f>Paths!$B$191</f>
        <v>0</v>
      </c>
      <c r="C2038" s="1">
        <v>7</v>
      </c>
      <c r="D2038" s="1">
        <v>191</v>
      </c>
      <c r="E2038" s="1">
        <f>IF(OR(Paths!$C$191=0,C2038=0),0,MAX(0,MIN(C2038*12,Paths!$E$191)-(C2038-1)*12))</f>
        <v>0</v>
      </c>
      <c r="F2038" s="1">
        <f>IF(OR(Paths!$C$191=0,C2038=0),0,12-E2038)</f>
        <v>0</v>
      </c>
      <c r="G2038" s="16">
        <f>IF(NOT(Paths!$C$191=1),0,IF(Paths!$P$191="Complete",E2038/12*(Paths!$J$191*(1+'Operating costs'!$B$51)^MAX(0,C2038-1)+Paths!$K$191*(1+'Operating costs'!$B$53)^MAX(0,C2038-1)),"n.a."))</f>
        <v>0</v>
      </c>
      <c r="H2038" s="16">
        <f>IF(NOT(Paths!$C$191=1),0,IF(Paths!$P$191="Complete",F2038/12*(Paths!$L$191*(1+IF(Paths!$D$191="EV",'Operating costs'!$B$52,'Operating costs'!$B$51))^MAX(0,C2038-1)+Paths!$M$191*(1+'Operating costs'!$B$53)^MAX(0,C2038-1)),"n.a."))</f>
        <v>0</v>
      </c>
      <c r="I2038" s="16">
        <f>IF(NOT(Paths!$C$191=1),0,IF(Paths!$P$191="Complete",IF(IF(Paths!$E$191=0,C2038=0,AND(C2038&gt;0,Paths!$E$191&gt;(C2038-1)*12,Paths!$E$191&lt;=C2038*12)),Paths!$G$191,0),"n.a."))</f>
        <v>0</v>
      </c>
      <c r="J2038" s="16">
        <f>IF(NOT(Paths!$C$191=1),0,IF(Paths!$P$191="Complete",IF(IF(Paths!$E$191=0,C2038=0,AND(C2038&gt;0,Paths!$E$191&gt;(C2038-1)*12,Paths!$E$191&lt;=C2038*12)),Paths!$H$191,0),"n.a."))</f>
        <v>0</v>
      </c>
      <c r="K2038" s="16">
        <f>IF(NOT(Paths!$C$191=1),0,IF(Paths!$P$191="Complete",IF(IF(Paths!$O$191=0,C2038=0,AND(C2038&gt;0,Paths!$O$191&gt;(C2038-1)*12,Paths!$O$191&lt;=C2038*12)),Paths!$N$191,0),"n.a."))</f>
        <v>0</v>
      </c>
      <c r="L2038" s="16">
        <f>IF(NOT(Paths!$C$191=1),0,IF(Paths!$P$191="Complete",IF(C2038=10,Paths!$I$191,0),"n.a."))</f>
        <v>0</v>
      </c>
      <c r="M2038" s="16">
        <f>IF(NOT(Paths!$C$191=1),0,IF(Paths!$P$191="Complete",IF(AND(Paths!$D$191="EV",Paths!$E$191&lt;120,Paths!$E$191+'Operating costs'!$B$65&gt;Paths!$E$191,Paths!$E$191+'Operating costs'!$B$65&lt;=120,IF(Paths!$E$191+'Operating costs'!$B$65=0,C2038=0,AND(C2038&gt;0,Paths!$E$191+'Operating costs'!$B$65&gt;(C2038-1)*12,Paths!$E$191+'Operating costs'!$B$65&lt;=C2038*12))),'Operating costs'!$B$64,0)+IF(AND('Operating costs'!$B$67&gt;0,'Operating costs'!$B$67&lt;=120,OR(Paths!$D$191="ICE",'Operating costs'!$B$67&lt;=Paths!$E$191),IF('Operating costs'!$B$67=0,C2038=0,AND(C2038&gt;0,'Operating costs'!$B$67&gt;(C2038-1)*12,'Operating costs'!$B$67&lt;=C2038*12))),'Operating costs'!$B$66,0),"n.a."))</f>
        <v>0</v>
      </c>
      <c r="N2038" s="16">
        <f>IF(NOT(Paths!$C$191=1),0,IF(Paths!$P$191="Complete",SUM(G2038:I2038)-J2038-K2038-L2038+M2038+IF(C2038=0,Paths!$F$191,0)+IF(IF(Paths!$E$191=0,C2038=0,AND(C2038&gt;0,Paths!$E$191&gt;(C2038-1)*12,Paths!$E$191&lt;=C2038*12)),VLOOKUP(A2038,'Fleet register'!$A$7:$S$106,16,FALSE),0),"n.a."))</f>
        <v>0</v>
      </c>
      <c r="O2038" s="16">
        <f>IF(NOT(Paths!$C$191=1),0,IF(Paths!$P$191="Complete",N2038-IF(C2038=0,Paths!$F$191,0),"n.a."))</f>
        <v>0</v>
      </c>
      <c r="P2038" s="16">
        <f>IF(NOT(Paths!$C$191=1),0,IF(Paths!$P$191="Complete",O2038+L2038,"n.a."))</f>
        <v>0</v>
      </c>
      <c r="Q2038" s="16">
        <f>IF(NOT(Paths!$C$191=1),0,IF(Paths!$P$191="Complete",N2038*(1+'Operating costs'!$B$54)^-C2038,"n.a."))</f>
        <v>0</v>
      </c>
      <c r="R2038" s="16">
        <f>IF(NOT(Paths!$C$191=1),0,IF(Paths!$P$191="Complete",IF(AND(C2038=0,Paths!$E$191=0),I2038-J2038-K2038+VLOOKUP(A2038,'Fleet register'!$A$7:$S$106,15,FALSE)+VLOOKUP(A2038,'Fleet register'!$A$7:$S$106,16,FALSE),0),"n.a."))</f>
        <v>0</v>
      </c>
      <c r="S2038" s="1">
        <f>IF(NOT(Paths!$C$191=1),0,IF(Paths!$P$191="Complete",IF(C2038=0,0,Paths!$S$191*Paths!$R$191),"n.a."))</f>
        <v>0</v>
      </c>
      <c r="T2038" s="1">
        <f>IF(NOT(Paths!$C$191=1),0,IF(Paths!$P$191="Complete",IF(C2038=0,0,VLOOKUP(A2038,'Fleet register'!$A$7:$S$106,9,FALSE)*Paths!$R$191),"n.a."))</f>
        <v>0</v>
      </c>
    </row>
    <row r="2039" spans="1:20" ht="24" customHeight="1">
      <c r="A2039" s="1" t="str">
        <f>Paths!$A$191</f>
        <v>T047</v>
      </c>
      <c r="B2039" s="1">
        <f>Paths!$B$191</f>
        <v>0</v>
      </c>
      <c r="C2039" s="1">
        <v>8</v>
      </c>
      <c r="D2039" s="1">
        <v>191</v>
      </c>
      <c r="E2039" s="1">
        <f>IF(OR(Paths!$C$191=0,C2039=0),0,MAX(0,MIN(C2039*12,Paths!$E$191)-(C2039-1)*12))</f>
        <v>0</v>
      </c>
      <c r="F2039" s="1">
        <f>IF(OR(Paths!$C$191=0,C2039=0),0,12-E2039)</f>
        <v>0</v>
      </c>
      <c r="G2039" s="16">
        <f>IF(NOT(Paths!$C$191=1),0,IF(Paths!$P$191="Complete",E2039/12*(Paths!$J$191*(1+'Operating costs'!$B$51)^MAX(0,C2039-1)+Paths!$K$191*(1+'Operating costs'!$B$53)^MAX(0,C2039-1)),"n.a."))</f>
        <v>0</v>
      </c>
      <c r="H2039" s="16">
        <f>IF(NOT(Paths!$C$191=1),0,IF(Paths!$P$191="Complete",F2039/12*(Paths!$L$191*(1+IF(Paths!$D$191="EV",'Operating costs'!$B$52,'Operating costs'!$B$51))^MAX(0,C2039-1)+Paths!$M$191*(1+'Operating costs'!$B$53)^MAX(0,C2039-1)),"n.a."))</f>
        <v>0</v>
      </c>
      <c r="I2039" s="16">
        <f>IF(NOT(Paths!$C$191=1),0,IF(Paths!$P$191="Complete",IF(IF(Paths!$E$191=0,C2039=0,AND(C2039&gt;0,Paths!$E$191&gt;(C2039-1)*12,Paths!$E$191&lt;=C2039*12)),Paths!$G$191,0),"n.a."))</f>
        <v>0</v>
      </c>
      <c r="J2039" s="16">
        <f>IF(NOT(Paths!$C$191=1),0,IF(Paths!$P$191="Complete",IF(IF(Paths!$E$191=0,C2039=0,AND(C2039&gt;0,Paths!$E$191&gt;(C2039-1)*12,Paths!$E$191&lt;=C2039*12)),Paths!$H$191,0),"n.a."))</f>
        <v>0</v>
      </c>
      <c r="K2039" s="16">
        <f>IF(NOT(Paths!$C$191=1),0,IF(Paths!$P$191="Complete",IF(IF(Paths!$O$191=0,C2039=0,AND(C2039&gt;0,Paths!$O$191&gt;(C2039-1)*12,Paths!$O$191&lt;=C2039*12)),Paths!$N$191,0),"n.a."))</f>
        <v>0</v>
      </c>
      <c r="L2039" s="16">
        <f>IF(NOT(Paths!$C$191=1),0,IF(Paths!$P$191="Complete",IF(C2039=10,Paths!$I$191,0),"n.a."))</f>
        <v>0</v>
      </c>
      <c r="M2039" s="16">
        <f>IF(NOT(Paths!$C$191=1),0,IF(Paths!$P$191="Complete",IF(AND(Paths!$D$191="EV",Paths!$E$191&lt;120,Paths!$E$191+'Operating costs'!$B$65&gt;Paths!$E$191,Paths!$E$191+'Operating costs'!$B$65&lt;=120,IF(Paths!$E$191+'Operating costs'!$B$65=0,C2039=0,AND(C2039&gt;0,Paths!$E$191+'Operating costs'!$B$65&gt;(C2039-1)*12,Paths!$E$191+'Operating costs'!$B$65&lt;=C2039*12))),'Operating costs'!$B$64,0)+IF(AND('Operating costs'!$B$67&gt;0,'Operating costs'!$B$67&lt;=120,OR(Paths!$D$191="ICE",'Operating costs'!$B$67&lt;=Paths!$E$191),IF('Operating costs'!$B$67=0,C2039=0,AND(C2039&gt;0,'Operating costs'!$B$67&gt;(C2039-1)*12,'Operating costs'!$B$67&lt;=C2039*12))),'Operating costs'!$B$66,0),"n.a."))</f>
        <v>0</v>
      </c>
      <c r="N2039" s="16">
        <f>IF(NOT(Paths!$C$191=1),0,IF(Paths!$P$191="Complete",SUM(G2039:I2039)-J2039-K2039-L2039+M2039+IF(C2039=0,Paths!$F$191,0)+IF(IF(Paths!$E$191=0,C2039=0,AND(C2039&gt;0,Paths!$E$191&gt;(C2039-1)*12,Paths!$E$191&lt;=C2039*12)),VLOOKUP(A2039,'Fleet register'!$A$7:$S$106,16,FALSE),0),"n.a."))</f>
        <v>0</v>
      </c>
      <c r="O2039" s="16">
        <f>IF(NOT(Paths!$C$191=1),0,IF(Paths!$P$191="Complete",N2039-IF(C2039=0,Paths!$F$191,0),"n.a."))</f>
        <v>0</v>
      </c>
      <c r="P2039" s="16">
        <f>IF(NOT(Paths!$C$191=1),0,IF(Paths!$P$191="Complete",O2039+L2039,"n.a."))</f>
        <v>0</v>
      </c>
      <c r="Q2039" s="16">
        <f>IF(NOT(Paths!$C$191=1),0,IF(Paths!$P$191="Complete",N2039*(1+'Operating costs'!$B$54)^-C2039,"n.a."))</f>
        <v>0</v>
      </c>
      <c r="R2039" s="16">
        <f>IF(NOT(Paths!$C$191=1),0,IF(Paths!$P$191="Complete",IF(AND(C2039=0,Paths!$E$191=0),I2039-J2039-K2039+VLOOKUP(A2039,'Fleet register'!$A$7:$S$106,15,FALSE)+VLOOKUP(A2039,'Fleet register'!$A$7:$S$106,16,FALSE),0),"n.a."))</f>
        <v>0</v>
      </c>
      <c r="S2039" s="1">
        <f>IF(NOT(Paths!$C$191=1),0,IF(Paths!$P$191="Complete",IF(C2039=0,0,Paths!$S$191*Paths!$R$191),"n.a."))</f>
        <v>0</v>
      </c>
      <c r="T2039" s="1">
        <f>IF(NOT(Paths!$C$191=1),0,IF(Paths!$P$191="Complete",IF(C2039=0,0,VLOOKUP(A2039,'Fleet register'!$A$7:$S$106,9,FALSE)*Paths!$R$191),"n.a."))</f>
        <v>0</v>
      </c>
    </row>
    <row r="2040" spans="1:20" ht="24" customHeight="1">
      <c r="A2040" s="1" t="str">
        <f>Paths!$A$191</f>
        <v>T047</v>
      </c>
      <c r="B2040" s="1">
        <f>Paths!$B$191</f>
        <v>0</v>
      </c>
      <c r="C2040" s="1">
        <v>9</v>
      </c>
      <c r="D2040" s="1">
        <v>191</v>
      </c>
      <c r="E2040" s="1">
        <f>IF(OR(Paths!$C$191=0,C2040=0),0,MAX(0,MIN(C2040*12,Paths!$E$191)-(C2040-1)*12))</f>
        <v>0</v>
      </c>
      <c r="F2040" s="1">
        <f>IF(OR(Paths!$C$191=0,C2040=0),0,12-E2040)</f>
        <v>0</v>
      </c>
      <c r="G2040" s="16">
        <f>IF(NOT(Paths!$C$191=1),0,IF(Paths!$P$191="Complete",E2040/12*(Paths!$J$191*(1+'Operating costs'!$B$51)^MAX(0,C2040-1)+Paths!$K$191*(1+'Operating costs'!$B$53)^MAX(0,C2040-1)),"n.a."))</f>
        <v>0</v>
      </c>
      <c r="H2040" s="16">
        <f>IF(NOT(Paths!$C$191=1),0,IF(Paths!$P$191="Complete",F2040/12*(Paths!$L$191*(1+IF(Paths!$D$191="EV",'Operating costs'!$B$52,'Operating costs'!$B$51))^MAX(0,C2040-1)+Paths!$M$191*(1+'Operating costs'!$B$53)^MAX(0,C2040-1)),"n.a."))</f>
        <v>0</v>
      </c>
      <c r="I2040" s="16">
        <f>IF(NOT(Paths!$C$191=1),0,IF(Paths!$P$191="Complete",IF(IF(Paths!$E$191=0,C2040=0,AND(C2040&gt;0,Paths!$E$191&gt;(C2040-1)*12,Paths!$E$191&lt;=C2040*12)),Paths!$G$191,0),"n.a."))</f>
        <v>0</v>
      </c>
      <c r="J2040" s="16">
        <f>IF(NOT(Paths!$C$191=1),0,IF(Paths!$P$191="Complete",IF(IF(Paths!$E$191=0,C2040=0,AND(C2040&gt;0,Paths!$E$191&gt;(C2040-1)*12,Paths!$E$191&lt;=C2040*12)),Paths!$H$191,0),"n.a."))</f>
        <v>0</v>
      </c>
      <c r="K2040" s="16">
        <f>IF(NOT(Paths!$C$191=1),0,IF(Paths!$P$191="Complete",IF(IF(Paths!$O$191=0,C2040=0,AND(C2040&gt;0,Paths!$O$191&gt;(C2040-1)*12,Paths!$O$191&lt;=C2040*12)),Paths!$N$191,0),"n.a."))</f>
        <v>0</v>
      </c>
      <c r="L2040" s="16">
        <f>IF(NOT(Paths!$C$191=1),0,IF(Paths!$P$191="Complete",IF(C2040=10,Paths!$I$191,0),"n.a."))</f>
        <v>0</v>
      </c>
      <c r="M2040" s="16">
        <f>IF(NOT(Paths!$C$191=1),0,IF(Paths!$P$191="Complete",IF(AND(Paths!$D$191="EV",Paths!$E$191&lt;120,Paths!$E$191+'Operating costs'!$B$65&gt;Paths!$E$191,Paths!$E$191+'Operating costs'!$B$65&lt;=120,IF(Paths!$E$191+'Operating costs'!$B$65=0,C2040=0,AND(C2040&gt;0,Paths!$E$191+'Operating costs'!$B$65&gt;(C2040-1)*12,Paths!$E$191+'Operating costs'!$B$65&lt;=C2040*12))),'Operating costs'!$B$64,0)+IF(AND('Operating costs'!$B$67&gt;0,'Operating costs'!$B$67&lt;=120,OR(Paths!$D$191="ICE",'Operating costs'!$B$67&lt;=Paths!$E$191),IF('Operating costs'!$B$67=0,C2040=0,AND(C2040&gt;0,'Operating costs'!$B$67&gt;(C2040-1)*12,'Operating costs'!$B$67&lt;=C2040*12))),'Operating costs'!$B$66,0),"n.a."))</f>
        <v>0</v>
      </c>
      <c r="N2040" s="16">
        <f>IF(NOT(Paths!$C$191=1),0,IF(Paths!$P$191="Complete",SUM(G2040:I2040)-J2040-K2040-L2040+M2040+IF(C2040=0,Paths!$F$191,0)+IF(IF(Paths!$E$191=0,C2040=0,AND(C2040&gt;0,Paths!$E$191&gt;(C2040-1)*12,Paths!$E$191&lt;=C2040*12)),VLOOKUP(A2040,'Fleet register'!$A$7:$S$106,16,FALSE),0),"n.a."))</f>
        <v>0</v>
      </c>
      <c r="O2040" s="16">
        <f>IF(NOT(Paths!$C$191=1),0,IF(Paths!$P$191="Complete",N2040-IF(C2040=0,Paths!$F$191,0),"n.a."))</f>
        <v>0</v>
      </c>
      <c r="P2040" s="16">
        <f>IF(NOT(Paths!$C$191=1),0,IF(Paths!$P$191="Complete",O2040+L2040,"n.a."))</f>
        <v>0</v>
      </c>
      <c r="Q2040" s="16">
        <f>IF(NOT(Paths!$C$191=1),0,IF(Paths!$P$191="Complete",N2040*(1+'Operating costs'!$B$54)^-C2040,"n.a."))</f>
        <v>0</v>
      </c>
      <c r="R2040" s="16">
        <f>IF(NOT(Paths!$C$191=1),0,IF(Paths!$P$191="Complete",IF(AND(C2040=0,Paths!$E$191=0),I2040-J2040-K2040+VLOOKUP(A2040,'Fleet register'!$A$7:$S$106,15,FALSE)+VLOOKUP(A2040,'Fleet register'!$A$7:$S$106,16,FALSE),0),"n.a."))</f>
        <v>0</v>
      </c>
      <c r="S2040" s="1">
        <f>IF(NOT(Paths!$C$191=1),0,IF(Paths!$P$191="Complete",IF(C2040=0,0,Paths!$S$191*Paths!$R$191),"n.a."))</f>
        <v>0</v>
      </c>
      <c r="T2040" s="1">
        <f>IF(NOT(Paths!$C$191=1),0,IF(Paths!$P$191="Complete",IF(C2040=0,0,VLOOKUP(A2040,'Fleet register'!$A$7:$S$106,9,FALSE)*Paths!$R$191),"n.a."))</f>
        <v>0</v>
      </c>
    </row>
    <row r="2041" spans="1:20" ht="24" customHeight="1">
      <c r="A2041" s="1" t="str">
        <f>Paths!$A$191</f>
        <v>T047</v>
      </c>
      <c r="B2041" s="1">
        <f>Paths!$B$191</f>
        <v>0</v>
      </c>
      <c r="C2041" s="1">
        <v>10</v>
      </c>
      <c r="D2041" s="1">
        <v>191</v>
      </c>
      <c r="E2041" s="1">
        <f>IF(OR(Paths!$C$191=0,C2041=0),0,MAX(0,MIN(C2041*12,Paths!$E$191)-(C2041-1)*12))</f>
        <v>0</v>
      </c>
      <c r="F2041" s="1">
        <f>IF(OR(Paths!$C$191=0,C2041=0),0,12-E2041)</f>
        <v>0</v>
      </c>
      <c r="G2041" s="16">
        <f>IF(NOT(Paths!$C$191=1),0,IF(Paths!$P$191="Complete",E2041/12*(Paths!$J$191*(1+'Operating costs'!$B$51)^MAX(0,C2041-1)+Paths!$K$191*(1+'Operating costs'!$B$53)^MAX(0,C2041-1)),"n.a."))</f>
        <v>0</v>
      </c>
      <c r="H2041" s="16">
        <f>IF(NOT(Paths!$C$191=1),0,IF(Paths!$P$191="Complete",F2041/12*(Paths!$L$191*(1+IF(Paths!$D$191="EV",'Operating costs'!$B$52,'Operating costs'!$B$51))^MAX(0,C2041-1)+Paths!$M$191*(1+'Operating costs'!$B$53)^MAX(0,C2041-1)),"n.a."))</f>
        <v>0</v>
      </c>
      <c r="I2041" s="16">
        <f>IF(NOT(Paths!$C$191=1),0,IF(Paths!$P$191="Complete",IF(IF(Paths!$E$191=0,C2041=0,AND(C2041&gt;0,Paths!$E$191&gt;(C2041-1)*12,Paths!$E$191&lt;=C2041*12)),Paths!$G$191,0),"n.a."))</f>
        <v>0</v>
      </c>
      <c r="J2041" s="16">
        <f>IF(NOT(Paths!$C$191=1),0,IF(Paths!$P$191="Complete",IF(IF(Paths!$E$191=0,C2041=0,AND(C2041&gt;0,Paths!$E$191&gt;(C2041-1)*12,Paths!$E$191&lt;=C2041*12)),Paths!$H$191,0),"n.a."))</f>
        <v>0</v>
      </c>
      <c r="K2041" s="16">
        <f>IF(NOT(Paths!$C$191=1),0,IF(Paths!$P$191="Complete",IF(IF(Paths!$O$191=0,C2041=0,AND(C2041&gt;0,Paths!$O$191&gt;(C2041-1)*12,Paths!$O$191&lt;=C2041*12)),Paths!$N$191,0),"n.a."))</f>
        <v>0</v>
      </c>
      <c r="L2041" s="16">
        <f>IF(NOT(Paths!$C$191=1),0,IF(Paths!$P$191="Complete",IF(C2041=10,Paths!$I$191,0),"n.a."))</f>
        <v>0</v>
      </c>
      <c r="M2041" s="16">
        <f>IF(NOT(Paths!$C$191=1),0,IF(Paths!$P$191="Complete",IF(AND(Paths!$D$191="EV",Paths!$E$191&lt;120,Paths!$E$191+'Operating costs'!$B$65&gt;Paths!$E$191,Paths!$E$191+'Operating costs'!$B$65&lt;=120,IF(Paths!$E$191+'Operating costs'!$B$65=0,C2041=0,AND(C2041&gt;0,Paths!$E$191+'Operating costs'!$B$65&gt;(C2041-1)*12,Paths!$E$191+'Operating costs'!$B$65&lt;=C2041*12))),'Operating costs'!$B$64,0)+IF(AND('Operating costs'!$B$67&gt;0,'Operating costs'!$B$67&lt;=120,OR(Paths!$D$191="ICE",'Operating costs'!$B$67&lt;=Paths!$E$191),IF('Operating costs'!$B$67=0,C2041=0,AND(C2041&gt;0,'Operating costs'!$B$67&gt;(C2041-1)*12,'Operating costs'!$B$67&lt;=C2041*12))),'Operating costs'!$B$66,0),"n.a."))</f>
        <v>0</v>
      </c>
      <c r="N2041" s="16">
        <f>IF(NOT(Paths!$C$191=1),0,IF(Paths!$P$191="Complete",SUM(G2041:I2041)-J2041-K2041-L2041+M2041+IF(C2041=0,Paths!$F$191,0)+IF(IF(Paths!$E$191=0,C2041=0,AND(C2041&gt;0,Paths!$E$191&gt;(C2041-1)*12,Paths!$E$191&lt;=C2041*12)),VLOOKUP(A2041,'Fleet register'!$A$7:$S$106,16,FALSE),0),"n.a."))</f>
        <v>0</v>
      </c>
      <c r="O2041" s="16">
        <f>IF(NOT(Paths!$C$191=1),0,IF(Paths!$P$191="Complete",N2041-IF(C2041=0,Paths!$F$191,0),"n.a."))</f>
        <v>0</v>
      </c>
      <c r="P2041" s="16">
        <f>IF(NOT(Paths!$C$191=1),0,IF(Paths!$P$191="Complete",O2041+L2041,"n.a."))</f>
        <v>0</v>
      </c>
      <c r="Q2041" s="16">
        <f>IF(NOT(Paths!$C$191=1),0,IF(Paths!$P$191="Complete",N2041*(1+'Operating costs'!$B$54)^-C2041,"n.a."))</f>
        <v>0</v>
      </c>
      <c r="R2041" s="16">
        <f>IF(NOT(Paths!$C$191=1),0,IF(Paths!$P$191="Complete",IF(AND(C2041=0,Paths!$E$191=0),I2041-J2041-K2041+VLOOKUP(A2041,'Fleet register'!$A$7:$S$106,15,FALSE)+VLOOKUP(A2041,'Fleet register'!$A$7:$S$106,16,FALSE),0),"n.a."))</f>
        <v>0</v>
      </c>
      <c r="S2041" s="1">
        <f>IF(NOT(Paths!$C$191=1),0,IF(Paths!$P$191="Complete",IF(C2041=0,0,Paths!$S$191*Paths!$R$191),"n.a."))</f>
        <v>0</v>
      </c>
      <c r="T2041" s="1">
        <f>IF(NOT(Paths!$C$191=1),0,IF(Paths!$P$191="Complete",IF(C2041=0,0,VLOOKUP(A2041,'Fleet register'!$A$7:$S$106,9,FALSE)*Paths!$R$191),"n.a."))</f>
        <v>0</v>
      </c>
    </row>
    <row r="2042" spans="1:20" ht="24" customHeight="1">
      <c r="A2042" s="1" t="str">
        <f>Paths!$A$192</f>
        <v>T047</v>
      </c>
      <c r="B2042" s="1">
        <f>Paths!$B$192</f>
        <v>1</v>
      </c>
      <c r="C2042" s="1">
        <v>0</v>
      </c>
      <c r="D2042" s="1">
        <v>192</v>
      </c>
      <c r="E2042" s="1">
        <f>IF(OR(Paths!$C$192=0,C2042=0),0,MAX(0,MIN(C2042*12,Paths!$E$192)-(C2042-1)*12))</f>
        <v>0</v>
      </c>
      <c r="F2042" s="1">
        <f>IF(OR(Paths!$C$192=0,C2042=0),0,12-E2042)</f>
        <v>0</v>
      </c>
      <c r="G2042" s="16">
        <f>IF(NOT(Paths!$C$192=1),0,IF(Paths!$P$192="Complete",E2042/12*(Paths!$J$192*(1+'Operating costs'!$B$51)^MAX(0,C2042-1)+Paths!$K$192*(1+'Operating costs'!$B$53)^MAX(0,C2042-1)),"n.a."))</f>
        <v>0</v>
      </c>
      <c r="H2042" s="16">
        <f>IF(NOT(Paths!$C$192=1),0,IF(Paths!$P$192="Complete",F2042/12*(Paths!$L$192*(1+IF(Paths!$D$192="EV",'Operating costs'!$B$52,'Operating costs'!$B$51))^MAX(0,C2042-1)+Paths!$M$192*(1+'Operating costs'!$B$53)^MAX(0,C2042-1)),"n.a."))</f>
        <v>0</v>
      </c>
      <c r="I2042" s="16">
        <f>IF(NOT(Paths!$C$192=1),0,IF(Paths!$P$192="Complete",IF(IF(Paths!$E$192=0,C2042=0,AND(C2042&gt;0,Paths!$E$192&gt;(C2042-1)*12,Paths!$E$192&lt;=C2042*12)),Paths!$G$192,0),"n.a."))</f>
        <v>0</v>
      </c>
      <c r="J2042" s="16">
        <f>IF(NOT(Paths!$C$192=1),0,IF(Paths!$P$192="Complete",IF(IF(Paths!$E$192=0,C2042=0,AND(C2042&gt;0,Paths!$E$192&gt;(C2042-1)*12,Paths!$E$192&lt;=C2042*12)),Paths!$H$192,0),"n.a."))</f>
        <v>0</v>
      </c>
      <c r="K2042" s="16">
        <f>IF(NOT(Paths!$C$192=1),0,IF(Paths!$P$192="Complete",IF(IF(Paths!$O$192=0,C2042=0,AND(C2042&gt;0,Paths!$O$192&gt;(C2042-1)*12,Paths!$O$192&lt;=C2042*12)),Paths!$N$192,0),"n.a."))</f>
        <v>0</v>
      </c>
      <c r="L2042" s="16">
        <f>IF(NOT(Paths!$C$192=1),0,IF(Paths!$P$192="Complete",IF(C2042=10,Paths!$I$192,0),"n.a."))</f>
        <v>0</v>
      </c>
      <c r="M2042" s="16">
        <f>IF(NOT(Paths!$C$192=1),0,IF(Paths!$P$192="Complete",IF(AND(Paths!$D$192="EV",Paths!$E$192&lt;120,Paths!$E$192+'Operating costs'!$B$65&gt;Paths!$E$192,Paths!$E$192+'Operating costs'!$B$65&lt;=120,IF(Paths!$E$192+'Operating costs'!$B$65=0,C2042=0,AND(C2042&gt;0,Paths!$E$192+'Operating costs'!$B$65&gt;(C2042-1)*12,Paths!$E$192+'Operating costs'!$B$65&lt;=C2042*12))),'Operating costs'!$B$64,0)+IF(AND('Operating costs'!$B$67&gt;0,'Operating costs'!$B$67&lt;=120,OR(Paths!$D$192="ICE",'Operating costs'!$B$67&lt;=Paths!$E$192),IF('Operating costs'!$B$67=0,C2042=0,AND(C2042&gt;0,'Operating costs'!$B$67&gt;(C2042-1)*12,'Operating costs'!$B$67&lt;=C2042*12))),'Operating costs'!$B$66,0),"n.a."))</f>
        <v>0</v>
      </c>
      <c r="N2042" s="16">
        <f>IF(NOT(Paths!$C$192=1),0,IF(Paths!$P$192="Complete",SUM(G2042:I2042)-J2042-K2042-L2042+M2042+IF(C2042=0,Paths!$F$192,0)+IF(IF(Paths!$E$192=0,C2042=0,AND(C2042&gt;0,Paths!$E$192&gt;(C2042-1)*12,Paths!$E$192&lt;=C2042*12)),VLOOKUP(A2042,'Fleet register'!$A$7:$S$106,16,FALSE),0),"n.a."))</f>
        <v>0</v>
      </c>
      <c r="O2042" s="16">
        <f>IF(NOT(Paths!$C$192=1),0,IF(Paths!$P$192="Complete",N2042-IF(C2042=0,Paths!$F$192,0),"n.a."))</f>
        <v>0</v>
      </c>
      <c r="P2042" s="16">
        <f>IF(NOT(Paths!$C$192=1),0,IF(Paths!$P$192="Complete",O2042+L2042,"n.a."))</f>
        <v>0</v>
      </c>
      <c r="Q2042" s="16">
        <f>IF(NOT(Paths!$C$192=1),0,IF(Paths!$P$192="Complete",N2042*(1+'Operating costs'!$B$54)^-C2042,"n.a."))</f>
        <v>0</v>
      </c>
      <c r="R2042" s="16">
        <f>IF(NOT(Paths!$C$192=1),0,IF(Paths!$P$192="Complete",IF(AND(C2042=0,Paths!$E$192=0),I2042-J2042-K2042+VLOOKUP(A2042,'Fleet register'!$A$7:$S$106,15,FALSE)+VLOOKUP(A2042,'Fleet register'!$A$7:$S$106,16,FALSE),0),"n.a."))</f>
        <v>0</v>
      </c>
      <c r="S2042" s="1">
        <f>IF(NOT(Paths!$C$192=1),0,IF(Paths!$P$192="Complete",IF(C2042=0,0,Paths!$S$192*Paths!$R$192),"n.a."))</f>
        <v>0</v>
      </c>
      <c r="T2042" s="1">
        <f>IF(NOT(Paths!$C$192=1),0,IF(Paths!$P$192="Complete",IF(C2042=0,0,VLOOKUP(A2042,'Fleet register'!$A$7:$S$106,9,FALSE)*Paths!$R$192),"n.a."))</f>
        <v>0</v>
      </c>
    </row>
    <row r="2043" spans="1:20" ht="24" customHeight="1">
      <c r="A2043" s="1" t="str">
        <f>Paths!$A$192</f>
        <v>T047</v>
      </c>
      <c r="B2043" s="1">
        <f>Paths!$B$192</f>
        <v>1</v>
      </c>
      <c r="C2043" s="1">
        <v>1</v>
      </c>
      <c r="D2043" s="1">
        <v>192</v>
      </c>
      <c r="E2043" s="1">
        <f>IF(OR(Paths!$C$192=0,C2043=0),0,MAX(0,MIN(C2043*12,Paths!$E$192)-(C2043-1)*12))</f>
        <v>0</v>
      </c>
      <c r="F2043" s="1">
        <f>IF(OR(Paths!$C$192=0,C2043=0),0,12-E2043)</f>
        <v>0</v>
      </c>
      <c r="G2043" s="16">
        <f>IF(NOT(Paths!$C$192=1),0,IF(Paths!$P$192="Complete",E2043/12*(Paths!$J$192*(1+'Operating costs'!$B$51)^MAX(0,C2043-1)+Paths!$K$192*(1+'Operating costs'!$B$53)^MAX(0,C2043-1)),"n.a."))</f>
        <v>0</v>
      </c>
      <c r="H2043" s="16">
        <f>IF(NOT(Paths!$C$192=1),0,IF(Paths!$P$192="Complete",F2043/12*(Paths!$L$192*(1+IF(Paths!$D$192="EV",'Operating costs'!$B$52,'Operating costs'!$B$51))^MAX(0,C2043-1)+Paths!$M$192*(1+'Operating costs'!$B$53)^MAX(0,C2043-1)),"n.a."))</f>
        <v>0</v>
      </c>
      <c r="I2043" s="16">
        <f>IF(NOT(Paths!$C$192=1),0,IF(Paths!$P$192="Complete",IF(IF(Paths!$E$192=0,C2043=0,AND(C2043&gt;0,Paths!$E$192&gt;(C2043-1)*12,Paths!$E$192&lt;=C2043*12)),Paths!$G$192,0),"n.a."))</f>
        <v>0</v>
      </c>
      <c r="J2043" s="16">
        <f>IF(NOT(Paths!$C$192=1),0,IF(Paths!$P$192="Complete",IF(IF(Paths!$E$192=0,C2043=0,AND(C2043&gt;0,Paths!$E$192&gt;(C2043-1)*12,Paths!$E$192&lt;=C2043*12)),Paths!$H$192,0),"n.a."))</f>
        <v>0</v>
      </c>
      <c r="K2043" s="16">
        <f>IF(NOT(Paths!$C$192=1),0,IF(Paths!$P$192="Complete",IF(IF(Paths!$O$192=0,C2043=0,AND(C2043&gt;0,Paths!$O$192&gt;(C2043-1)*12,Paths!$O$192&lt;=C2043*12)),Paths!$N$192,0),"n.a."))</f>
        <v>0</v>
      </c>
      <c r="L2043" s="16">
        <f>IF(NOT(Paths!$C$192=1),0,IF(Paths!$P$192="Complete",IF(C2043=10,Paths!$I$192,0),"n.a."))</f>
        <v>0</v>
      </c>
      <c r="M2043" s="16">
        <f>IF(NOT(Paths!$C$192=1),0,IF(Paths!$P$192="Complete",IF(AND(Paths!$D$192="EV",Paths!$E$192&lt;120,Paths!$E$192+'Operating costs'!$B$65&gt;Paths!$E$192,Paths!$E$192+'Operating costs'!$B$65&lt;=120,IF(Paths!$E$192+'Operating costs'!$B$65=0,C2043=0,AND(C2043&gt;0,Paths!$E$192+'Operating costs'!$B$65&gt;(C2043-1)*12,Paths!$E$192+'Operating costs'!$B$65&lt;=C2043*12))),'Operating costs'!$B$64,0)+IF(AND('Operating costs'!$B$67&gt;0,'Operating costs'!$B$67&lt;=120,OR(Paths!$D$192="ICE",'Operating costs'!$B$67&lt;=Paths!$E$192),IF('Operating costs'!$B$67=0,C2043=0,AND(C2043&gt;0,'Operating costs'!$B$67&gt;(C2043-1)*12,'Operating costs'!$B$67&lt;=C2043*12))),'Operating costs'!$B$66,0),"n.a."))</f>
        <v>0</v>
      </c>
      <c r="N2043" s="16">
        <f>IF(NOT(Paths!$C$192=1),0,IF(Paths!$P$192="Complete",SUM(G2043:I2043)-J2043-K2043-L2043+M2043+IF(C2043=0,Paths!$F$192,0)+IF(IF(Paths!$E$192=0,C2043=0,AND(C2043&gt;0,Paths!$E$192&gt;(C2043-1)*12,Paths!$E$192&lt;=C2043*12)),VLOOKUP(A2043,'Fleet register'!$A$7:$S$106,16,FALSE),0),"n.a."))</f>
        <v>0</v>
      </c>
      <c r="O2043" s="16">
        <f>IF(NOT(Paths!$C$192=1),0,IF(Paths!$P$192="Complete",N2043-IF(C2043=0,Paths!$F$192,0),"n.a."))</f>
        <v>0</v>
      </c>
      <c r="P2043" s="16">
        <f>IF(NOT(Paths!$C$192=1),0,IF(Paths!$P$192="Complete",O2043+L2043,"n.a."))</f>
        <v>0</v>
      </c>
      <c r="Q2043" s="16">
        <f>IF(NOT(Paths!$C$192=1),0,IF(Paths!$P$192="Complete",N2043*(1+'Operating costs'!$B$54)^-C2043,"n.a."))</f>
        <v>0</v>
      </c>
      <c r="R2043" s="16">
        <f>IF(NOT(Paths!$C$192=1),0,IF(Paths!$P$192="Complete",IF(AND(C2043=0,Paths!$E$192=0),I2043-J2043-K2043+VLOOKUP(A2043,'Fleet register'!$A$7:$S$106,15,FALSE)+VLOOKUP(A2043,'Fleet register'!$A$7:$S$106,16,FALSE),0),"n.a."))</f>
        <v>0</v>
      </c>
      <c r="S2043" s="1">
        <f>IF(NOT(Paths!$C$192=1),0,IF(Paths!$P$192="Complete",IF(C2043=0,0,Paths!$S$192*Paths!$R$192),"n.a."))</f>
        <v>0</v>
      </c>
      <c r="T2043" s="1">
        <f>IF(NOT(Paths!$C$192=1),0,IF(Paths!$P$192="Complete",IF(C2043=0,0,VLOOKUP(A2043,'Fleet register'!$A$7:$S$106,9,FALSE)*Paths!$R$192),"n.a."))</f>
        <v>0</v>
      </c>
    </row>
    <row r="2044" spans="1:20" ht="24" customHeight="1">
      <c r="A2044" s="1" t="str">
        <f>Paths!$A$192</f>
        <v>T047</v>
      </c>
      <c r="B2044" s="1">
        <f>Paths!$B$192</f>
        <v>1</v>
      </c>
      <c r="C2044" s="1">
        <v>2</v>
      </c>
      <c r="D2044" s="1">
        <v>192</v>
      </c>
      <c r="E2044" s="1">
        <f>IF(OR(Paths!$C$192=0,C2044=0),0,MAX(0,MIN(C2044*12,Paths!$E$192)-(C2044-1)*12))</f>
        <v>0</v>
      </c>
      <c r="F2044" s="1">
        <f>IF(OR(Paths!$C$192=0,C2044=0),0,12-E2044)</f>
        <v>0</v>
      </c>
      <c r="G2044" s="16">
        <f>IF(NOT(Paths!$C$192=1),0,IF(Paths!$P$192="Complete",E2044/12*(Paths!$J$192*(1+'Operating costs'!$B$51)^MAX(0,C2044-1)+Paths!$K$192*(1+'Operating costs'!$B$53)^MAX(0,C2044-1)),"n.a."))</f>
        <v>0</v>
      </c>
      <c r="H2044" s="16">
        <f>IF(NOT(Paths!$C$192=1),0,IF(Paths!$P$192="Complete",F2044/12*(Paths!$L$192*(1+IF(Paths!$D$192="EV",'Operating costs'!$B$52,'Operating costs'!$B$51))^MAX(0,C2044-1)+Paths!$M$192*(1+'Operating costs'!$B$53)^MAX(0,C2044-1)),"n.a."))</f>
        <v>0</v>
      </c>
      <c r="I2044" s="16">
        <f>IF(NOT(Paths!$C$192=1),0,IF(Paths!$P$192="Complete",IF(IF(Paths!$E$192=0,C2044=0,AND(C2044&gt;0,Paths!$E$192&gt;(C2044-1)*12,Paths!$E$192&lt;=C2044*12)),Paths!$G$192,0),"n.a."))</f>
        <v>0</v>
      </c>
      <c r="J2044" s="16">
        <f>IF(NOT(Paths!$C$192=1),0,IF(Paths!$P$192="Complete",IF(IF(Paths!$E$192=0,C2044=0,AND(C2044&gt;0,Paths!$E$192&gt;(C2044-1)*12,Paths!$E$192&lt;=C2044*12)),Paths!$H$192,0),"n.a."))</f>
        <v>0</v>
      </c>
      <c r="K2044" s="16">
        <f>IF(NOT(Paths!$C$192=1),0,IF(Paths!$P$192="Complete",IF(IF(Paths!$O$192=0,C2044=0,AND(C2044&gt;0,Paths!$O$192&gt;(C2044-1)*12,Paths!$O$192&lt;=C2044*12)),Paths!$N$192,0),"n.a."))</f>
        <v>0</v>
      </c>
      <c r="L2044" s="16">
        <f>IF(NOT(Paths!$C$192=1),0,IF(Paths!$P$192="Complete",IF(C2044=10,Paths!$I$192,0),"n.a."))</f>
        <v>0</v>
      </c>
      <c r="M2044" s="16">
        <f>IF(NOT(Paths!$C$192=1),0,IF(Paths!$P$192="Complete",IF(AND(Paths!$D$192="EV",Paths!$E$192&lt;120,Paths!$E$192+'Operating costs'!$B$65&gt;Paths!$E$192,Paths!$E$192+'Operating costs'!$B$65&lt;=120,IF(Paths!$E$192+'Operating costs'!$B$65=0,C2044=0,AND(C2044&gt;0,Paths!$E$192+'Operating costs'!$B$65&gt;(C2044-1)*12,Paths!$E$192+'Operating costs'!$B$65&lt;=C2044*12))),'Operating costs'!$B$64,0)+IF(AND('Operating costs'!$B$67&gt;0,'Operating costs'!$B$67&lt;=120,OR(Paths!$D$192="ICE",'Operating costs'!$B$67&lt;=Paths!$E$192),IF('Operating costs'!$B$67=0,C2044=0,AND(C2044&gt;0,'Operating costs'!$B$67&gt;(C2044-1)*12,'Operating costs'!$B$67&lt;=C2044*12))),'Operating costs'!$B$66,0),"n.a."))</f>
        <v>0</v>
      </c>
      <c r="N2044" s="16">
        <f>IF(NOT(Paths!$C$192=1),0,IF(Paths!$P$192="Complete",SUM(G2044:I2044)-J2044-K2044-L2044+M2044+IF(C2044=0,Paths!$F$192,0)+IF(IF(Paths!$E$192=0,C2044=0,AND(C2044&gt;0,Paths!$E$192&gt;(C2044-1)*12,Paths!$E$192&lt;=C2044*12)),VLOOKUP(A2044,'Fleet register'!$A$7:$S$106,16,FALSE),0),"n.a."))</f>
        <v>0</v>
      </c>
      <c r="O2044" s="16">
        <f>IF(NOT(Paths!$C$192=1),0,IF(Paths!$P$192="Complete",N2044-IF(C2044=0,Paths!$F$192,0),"n.a."))</f>
        <v>0</v>
      </c>
      <c r="P2044" s="16">
        <f>IF(NOT(Paths!$C$192=1),0,IF(Paths!$P$192="Complete",O2044+L2044,"n.a."))</f>
        <v>0</v>
      </c>
      <c r="Q2044" s="16">
        <f>IF(NOT(Paths!$C$192=1),0,IF(Paths!$P$192="Complete",N2044*(1+'Operating costs'!$B$54)^-C2044,"n.a."))</f>
        <v>0</v>
      </c>
      <c r="R2044" s="16">
        <f>IF(NOT(Paths!$C$192=1),0,IF(Paths!$P$192="Complete",IF(AND(C2044=0,Paths!$E$192=0),I2044-J2044-K2044+VLOOKUP(A2044,'Fleet register'!$A$7:$S$106,15,FALSE)+VLOOKUP(A2044,'Fleet register'!$A$7:$S$106,16,FALSE),0),"n.a."))</f>
        <v>0</v>
      </c>
      <c r="S2044" s="1">
        <f>IF(NOT(Paths!$C$192=1),0,IF(Paths!$P$192="Complete",IF(C2044=0,0,Paths!$S$192*Paths!$R$192),"n.a."))</f>
        <v>0</v>
      </c>
      <c r="T2044" s="1">
        <f>IF(NOT(Paths!$C$192=1),0,IF(Paths!$P$192="Complete",IF(C2044=0,0,VLOOKUP(A2044,'Fleet register'!$A$7:$S$106,9,FALSE)*Paths!$R$192),"n.a."))</f>
        <v>0</v>
      </c>
    </row>
    <row r="2045" spans="1:20" ht="24" customHeight="1">
      <c r="A2045" s="1" t="str">
        <f>Paths!$A$192</f>
        <v>T047</v>
      </c>
      <c r="B2045" s="1">
        <f>Paths!$B$192</f>
        <v>1</v>
      </c>
      <c r="C2045" s="1">
        <v>3</v>
      </c>
      <c r="D2045" s="1">
        <v>192</v>
      </c>
      <c r="E2045" s="1">
        <f>IF(OR(Paths!$C$192=0,C2045=0),0,MAX(0,MIN(C2045*12,Paths!$E$192)-(C2045-1)*12))</f>
        <v>0</v>
      </c>
      <c r="F2045" s="1">
        <f>IF(OR(Paths!$C$192=0,C2045=0),0,12-E2045)</f>
        <v>0</v>
      </c>
      <c r="G2045" s="16">
        <f>IF(NOT(Paths!$C$192=1),0,IF(Paths!$P$192="Complete",E2045/12*(Paths!$J$192*(1+'Operating costs'!$B$51)^MAX(0,C2045-1)+Paths!$K$192*(1+'Operating costs'!$B$53)^MAX(0,C2045-1)),"n.a."))</f>
        <v>0</v>
      </c>
      <c r="H2045" s="16">
        <f>IF(NOT(Paths!$C$192=1),0,IF(Paths!$P$192="Complete",F2045/12*(Paths!$L$192*(1+IF(Paths!$D$192="EV",'Operating costs'!$B$52,'Operating costs'!$B$51))^MAX(0,C2045-1)+Paths!$M$192*(1+'Operating costs'!$B$53)^MAX(0,C2045-1)),"n.a."))</f>
        <v>0</v>
      </c>
      <c r="I2045" s="16">
        <f>IF(NOT(Paths!$C$192=1),0,IF(Paths!$P$192="Complete",IF(IF(Paths!$E$192=0,C2045=0,AND(C2045&gt;0,Paths!$E$192&gt;(C2045-1)*12,Paths!$E$192&lt;=C2045*12)),Paths!$G$192,0),"n.a."))</f>
        <v>0</v>
      </c>
      <c r="J2045" s="16">
        <f>IF(NOT(Paths!$C$192=1),0,IF(Paths!$P$192="Complete",IF(IF(Paths!$E$192=0,C2045=0,AND(C2045&gt;0,Paths!$E$192&gt;(C2045-1)*12,Paths!$E$192&lt;=C2045*12)),Paths!$H$192,0),"n.a."))</f>
        <v>0</v>
      </c>
      <c r="K2045" s="16">
        <f>IF(NOT(Paths!$C$192=1),0,IF(Paths!$P$192="Complete",IF(IF(Paths!$O$192=0,C2045=0,AND(C2045&gt;0,Paths!$O$192&gt;(C2045-1)*12,Paths!$O$192&lt;=C2045*12)),Paths!$N$192,0),"n.a."))</f>
        <v>0</v>
      </c>
      <c r="L2045" s="16">
        <f>IF(NOT(Paths!$C$192=1),0,IF(Paths!$P$192="Complete",IF(C2045=10,Paths!$I$192,0),"n.a."))</f>
        <v>0</v>
      </c>
      <c r="M2045" s="16">
        <f>IF(NOT(Paths!$C$192=1),0,IF(Paths!$P$192="Complete",IF(AND(Paths!$D$192="EV",Paths!$E$192&lt;120,Paths!$E$192+'Operating costs'!$B$65&gt;Paths!$E$192,Paths!$E$192+'Operating costs'!$B$65&lt;=120,IF(Paths!$E$192+'Operating costs'!$B$65=0,C2045=0,AND(C2045&gt;0,Paths!$E$192+'Operating costs'!$B$65&gt;(C2045-1)*12,Paths!$E$192+'Operating costs'!$B$65&lt;=C2045*12))),'Operating costs'!$B$64,0)+IF(AND('Operating costs'!$B$67&gt;0,'Operating costs'!$B$67&lt;=120,OR(Paths!$D$192="ICE",'Operating costs'!$B$67&lt;=Paths!$E$192),IF('Operating costs'!$B$67=0,C2045=0,AND(C2045&gt;0,'Operating costs'!$B$67&gt;(C2045-1)*12,'Operating costs'!$B$67&lt;=C2045*12))),'Operating costs'!$B$66,0),"n.a."))</f>
        <v>0</v>
      </c>
      <c r="N2045" s="16">
        <f>IF(NOT(Paths!$C$192=1),0,IF(Paths!$P$192="Complete",SUM(G2045:I2045)-J2045-K2045-L2045+M2045+IF(C2045=0,Paths!$F$192,0)+IF(IF(Paths!$E$192=0,C2045=0,AND(C2045&gt;0,Paths!$E$192&gt;(C2045-1)*12,Paths!$E$192&lt;=C2045*12)),VLOOKUP(A2045,'Fleet register'!$A$7:$S$106,16,FALSE),0),"n.a."))</f>
        <v>0</v>
      </c>
      <c r="O2045" s="16">
        <f>IF(NOT(Paths!$C$192=1),0,IF(Paths!$P$192="Complete",N2045-IF(C2045=0,Paths!$F$192,0),"n.a."))</f>
        <v>0</v>
      </c>
      <c r="P2045" s="16">
        <f>IF(NOT(Paths!$C$192=1),0,IF(Paths!$P$192="Complete",O2045+L2045,"n.a."))</f>
        <v>0</v>
      </c>
      <c r="Q2045" s="16">
        <f>IF(NOT(Paths!$C$192=1),0,IF(Paths!$P$192="Complete",N2045*(1+'Operating costs'!$B$54)^-C2045,"n.a."))</f>
        <v>0</v>
      </c>
      <c r="R2045" s="16">
        <f>IF(NOT(Paths!$C$192=1),0,IF(Paths!$P$192="Complete",IF(AND(C2045=0,Paths!$E$192=0),I2045-J2045-K2045+VLOOKUP(A2045,'Fleet register'!$A$7:$S$106,15,FALSE)+VLOOKUP(A2045,'Fleet register'!$A$7:$S$106,16,FALSE),0),"n.a."))</f>
        <v>0</v>
      </c>
      <c r="S2045" s="1">
        <f>IF(NOT(Paths!$C$192=1),0,IF(Paths!$P$192="Complete",IF(C2045=0,0,Paths!$S$192*Paths!$R$192),"n.a."))</f>
        <v>0</v>
      </c>
      <c r="T2045" s="1">
        <f>IF(NOT(Paths!$C$192=1),0,IF(Paths!$P$192="Complete",IF(C2045=0,0,VLOOKUP(A2045,'Fleet register'!$A$7:$S$106,9,FALSE)*Paths!$R$192),"n.a."))</f>
        <v>0</v>
      </c>
    </row>
    <row r="2046" spans="1:20" ht="24" customHeight="1">
      <c r="A2046" s="1" t="str">
        <f>Paths!$A$192</f>
        <v>T047</v>
      </c>
      <c r="B2046" s="1">
        <f>Paths!$B$192</f>
        <v>1</v>
      </c>
      <c r="C2046" s="1">
        <v>4</v>
      </c>
      <c r="D2046" s="1">
        <v>192</v>
      </c>
      <c r="E2046" s="1">
        <f>IF(OR(Paths!$C$192=0,C2046=0),0,MAX(0,MIN(C2046*12,Paths!$E$192)-(C2046-1)*12))</f>
        <v>0</v>
      </c>
      <c r="F2046" s="1">
        <f>IF(OR(Paths!$C$192=0,C2046=0),0,12-E2046)</f>
        <v>0</v>
      </c>
      <c r="G2046" s="16">
        <f>IF(NOT(Paths!$C$192=1),0,IF(Paths!$P$192="Complete",E2046/12*(Paths!$J$192*(1+'Operating costs'!$B$51)^MAX(0,C2046-1)+Paths!$K$192*(1+'Operating costs'!$B$53)^MAX(0,C2046-1)),"n.a."))</f>
        <v>0</v>
      </c>
      <c r="H2046" s="16">
        <f>IF(NOT(Paths!$C$192=1),0,IF(Paths!$P$192="Complete",F2046/12*(Paths!$L$192*(1+IF(Paths!$D$192="EV",'Operating costs'!$B$52,'Operating costs'!$B$51))^MAX(0,C2046-1)+Paths!$M$192*(1+'Operating costs'!$B$53)^MAX(0,C2046-1)),"n.a."))</f>
        <v>0</v>
      </c>
      <c r="I2046" s="16">
        <f>IF(NOT(Paths!$C$192=1),0,IF(Paths!$P$192="Complete",IF(IF(Paths!$E$192=0,C2046=0,AND(C2046&gt;0,Paths!$E$192&gt;(C2046-1)*12,Paths!$E$192&lt;=C2046*12)),Paths!$G$192,0),"n.a."))</f>
        <v>0</v>
      </c>
      <c r="J2046" s="16">
        <f>IF(NOT(Paths!$C$192=1),0,IF(Paths!$P$192="Complete",IF(IF(Paths!$E$192=0,C2046=0,AND(C2046&gt;0,Paths!$E$192&gt;(C2046-1)*12,Paths!$E$192&lt;=C2046*12)),Paths!$H$192,0),"n.a."))</f>
        <v>0</v>
      </c>
      <c r="K2046" s="16">
        <f>IF(NOT(Paths!$C$192=1),0,IF(Paths!$P$192="Complete",IF(IF(Paths!$O$192=0,C2046=0,AND(C2046&gt;0,Paths!$O$192&gt;(C2046-1)*12,Paths!$O$192&lt;=C2046*12)),Paths!$N$192,0),"n.a."))</f>
        <v>0</v>
      </c>
      <c r="L2046" s="16">
        <f>IF(NOT(Paths!$C$192=1),0,IF(Paths!$P$192="Complete",IF(C2046=10,Paths!$I$192,0),"n.a."))</f>
        <v>0</v>
      </c>
      <c r="M2046" s="16">
        <f>IF(NOT(Paths!$C$192=1),0,IF(Paths!$P$192="Complete",IF(AND(Paths!$D$192="EV",Paths!$E$192&lt;120,Paths!$E$192+'Operating costs'!$B$65&gt;Paths!$E$192,Paths!$E$192+'Operating costs'!$B$65&lt;=120,IF(Paths!$E$192+'Operating costs'!$B$65=0,C2046=0,AND(C2046&gt;0,Paths!$E$192+'Operating costs'!$B$65&gt;(C2046-1)*12,Paths!$E$192+'Operating costs'!$B$65&lt;=C2046*12))),'Operating costs'!$B$64,0)+IF(AND('Operating costs'!$B$67&gt;0,'Operating costs'!$B$67&lt;=120,OR(Paths!$D$192="ICE",'Operating costs'!$B$67&lt;=Paths!$E$192),IF('Operating costs'!$B$67=0,C2046=0,AND(C2046&gt;0,'Operating costs'!$B$67&gt;(C2046-1)*12,'Operating costs'!$B$67&lt;=C2046*12))),'Operating costs'!$B$66,0),"n.a."))</f>
        <v>0</v>
      </c>
      <c r="N2046" s="16">
        <f>IF(NOT(Paths!$C$192=1),0,IF(Paths!$P$192="Complete",SUM(G2046:I2046)-J2046-K2046-L2046+M2046+IF(C2046=0,Paths!$F$192,0)+IF(IF(Paths!$E$192=0,C2046=0,AND(C2046&gt;0,Paths!$E$192&gt;(C2046-1)*12,Paths!$E$192&lt;=C2046*12)),VLOOKUP(A2046,'Fleet register'!$A$7:$S$106,16,FALSE),0),"n.a."))</f>
        <v>0</v>
      </c>
      <c r="O2046" s="16">
        <f>IF(NOT(Paths!$C$192=1),0,IF(Paths!$P$192="Complete",N2046-IF(C2046=0,Paths!$F$192,0),"n.a."))</f>
        <v>0</v>
      </c>
      <c r="P2046" s="16">
        <f>IF(NOT(Paths!$C$192=1),0,IF(Paths!$P$192="Complete",O2046+L2046,"n.a."))</f>
        <v>0</v>
      </c>
      <c r="Q2046" s="16">
        <f>IF(NOT(Paths!$C$192=1),0,IF(Paths!$P$192="Complete",N2046*(1+'Operating costs'!$B$54)^-C2046,"n.a."))</f>
        <v>0</v>
      </c>
      <c r="R2046" s="16">
        <f>IF(NOT(Paths!$C$192=1),0,IF(Paths!$P$192="Complete",IF(AND(C2046=0,Paths!$E$192=0),I2046-J2046-K2046+VLOOKUP(A2046,'Fleet register'!$A$7:$S$106,15,FALSE)+VLOOKUP(A2046,'Fleet register'!$A$7:$S$106,16,FALSE),0),"n.a."))</f>
        <v>0</v>
      </c>
      <c r="S2046" s="1">
        <f>IF(NOT(Paths!$C$192=1),0,IF(Paths!$P$192="Complete",IF(C2046=0,0,Paths!$S$192*Paths!$R$192),"n.a."))</f>
        <v>0</v>
      </c>
      <c r="T2046" s="1">
        <f>IF(NOT(Paths!$C$192=1),0,IF(Paths!$P$192="Complete",IF(C2046=0,0,VLOOKUP(A2046,'Fleet register'!$A$7:$S$106,9,FALSE)*Paths!$R$192),"n.a."))</f>
        <v>0</v>
      </c>
    </row>
    <row r="2047" spans="1:20" ht="24" customHeight="1">
      <c r="A2047" s="1" t="str">
        <f>Paths!$A$192</f>
        <v>T047</v>
      </c>
      <c r="B2047" s="1">
        <f>Paths!$B$192</f>
        <v>1</v>
      </c>
      <c r="C2047" s="1">
        <v>5</v>
      </c>
      <c r="D2047" s="1">
        <v>192</v>
      </c>
      <c r="E2047" s="1">
        <f>IF(OR(Paths!$C$192=0,C2047=0),0,MAX(0,MIN(C2047*12,Paths!$E$192)-(C2047-1)*12))</f>
        <v>0</v>
      </c>
      <c r="F2047" s="1">
        <f>IF(OR(Paths!$C$192=0,C2047=0),0,12-E2047)</f>
        <v>0</v>
      </c>
      <c r="G2047" s="16">
        <f>IF(NOT(Paths!$C$192=1),0,IF(Paths!$P$192="Complete",E2047/12*(Paths!$J$192*(1+'Operating costs'!$B$51)^MAX(0,C2047-1)+Paths!$K$192*(1+'Operating costs'!$B$53)^MAX(0,C2047-1)),"n.a."))</f>
        <v>0</v>
      </c>
      <c r="H2047" s="16">
        <f>IF(NOT(Paths!$C$192=1),0,IF(Paths!$P$192="Complete",F2047/12*(Paths!$L$192*(1+IF(Paths!$D$192="EV",'Operating costs'!$B$52,'Operating costs'!$B$51))^MAX(0,C2047-1)+Paths!$M$192*(1+'Operating costs'!$B$53)^MAX(0,C2047-1)),"n.a."))</f>
        <v>0</v>
      </c>
      <c r="I2047" s="16">
        <f>IF(NOT(Paths!$C$192=1),0,IF(Paths!$P$192="Complete",IF(IF(Paths!$E$192=0,C2047=0,AND(C2047&gt;0,Paths!$E$192&gt;(C2047-1)*12,Paths!$E$192&lt;=C2047*12)),Paths!$G$192,0),"n.a."))</f>
        <v>0</v>
      </c>
      <c r="J2047" s="16">
        <f>IF(NOT(Paths!$C$192=1),0,IF(Paths!$P$192="Complete",IF(IF(Paths!$E$192=0,C2047=0,AND(C2047&gt;0,Paths!$E$192&gt;(C2047-1)*12,Paths!$E$192&lt;=C2047*12)),Paths!$H$192,0),"n.a."))</f>
        <v>0</v>
      </c>
      <c r="K2047" s="16">
        <f>IF(NOT(Paths!$C$192=1),0,IF(Paths!$P$192="Complete",IF(IF(Paths!$O$192=0,C2047=0,AND(C2047&gt;0,Paths!$O$192&gt;(C2047-1)*12,Paths!$O$192&lt;=C2047*12)),Paths!$N$192,0),"n.a."))</f>
        <v>0</v>
      </c>
      <c r="L2047" s="16">
        <f>IF(NOT(Paths!$C$192=1),0,IF(Paths!$P$192="Complete",IF(C2047=10,Paths!$I$192,0),"n.a."))</f>
        <v>0</v>
      </c>
      <c r="M2047" s="16">
        <f>IF(NOT(Paths!$C$192=1),0,IF(Paths!$P$192="Complete",IF(AND(Paths!$D$192="EV",Paths!$E$192&lt;120,Paths!$E$192+'Operating costs'!$B$65&gt;Paths!$E$192,Paths!$E$192+'Operating costs'!$B$65&lt;=120,IF(Paths!$E$192+'Operating costs'!$B$65=0,C2047=0,AND(C2047&gt;0,Paths!$E$192+'Operating costs'!$B$65&gt;(C2047-1)*12,Paths!$E$192+'Operating costs'!$B$65&lt;=C2047*12))),'Operating costs'!$B$64,0)+IF(AND('Operating costs'!$B$67&gt;0,'Operating costs'!$B$67&lt;=120,OR(Paths!$D$192="ICE",'Operating costs'!$B$67&lt;=Paths!$E$192),IF('Operating costs'!$B$67=0,C2047=0,AND(C2047&gt;0,'Operating costs'!$B$67&gt;(C2047-1)*12,'Operating costs'!$B$67&lt;=C2047*12))),'Operating costs'!$B$66,0),"n.a."))</f>
        <v>0</v>
      </c>
      <c r="N2047" s="16">
        <f>IF(NOT(Paths!$C$192=1),0,IF(Paths!$P$192="Complete",SUM(G2047:I2047)-J2047-K2047-L2047+M2047+IF(C2047=0,Paths!$F$192,0)+IF(IF(Paths!$E$192=0,C2047=0,AND(C2047&gt;0,Paths!$E$192&gt;(C2047-1)*12,Paths!$E$192&lt;=C2047*12)),VLOOKUP(A2047,'Fleet register'!$A$7:$S$106,16,FALSE),0),"n.a."))</f>
        <v>0</v>
      </c>
      <c r="O2047" s="16">
        <f>IF(NOT(Paths!$C$192=1),0,IF(Paths!$P$192="Complete",N2047-IF(C2047=0,Paths!$F$192,0),"n.a."))</f>
        <v>0</v>
      </c>
      <c r="P2047" s="16">
        <f>IF(NOT(Paths!$C$192=1),0,IF(Paths!$P$192="Complete",O2047+L2047,"n.a."))</f>
        <v>0</v>
      </c>
      <c r="Q2047" s="16">
        <f>IF(NOT(Paths!$C$192=1),0,IF(Paths!$P$192="Complete",N2047*(1+'Operating costs'!$B$54)^-C2047,"n.a."))</f>
        <v>0</v>
      </c>
      <c r="R2047" s="16">
        <f>IF(NOT(Paths!$C$192=1),0,IF(Paths!$P$192="Complete",IF(AND(C2047=0,Paths!$E$192=0),I2047-J2047-K2047+VLOOKUP(A2047,'Fleet register'!$A$7:$S$106,15,FALSE)+VLOOKUP(A2047,'Fleet register'!$A$7:$S$106,16,FALSE),0),"n.a."))</f>
        <v>0</v>
      </c>
      <c r="S2047" s="1">
        <f>IF(NOT(Paths!$C$192=1),0,IF(Paths!$P$192="Complete",IF(C2047=0,0,Paths!$S$192*Paths!$R$192),"n.a."))</f>
        <v>0</v>
      </c>
      <c r="T2047" s="1">
        <f>IF(NOT(Paths!$C$192=1),0,IF(Paths!$P$192="Complete",IF(C2047=0,0,VLOOKUP(A2047,'Fleet register'!$A$7:$S$106,9,FALSE)*Paths!$R$192),"n.a."))</f>
        <v>0</v>
      </c>
    </row>
    <row r="2048" spans="1:20" ht="24" customHeight="1">
      <c r="A2048" s="1" t="str">
        <f>Paths!$A$192</f>
        <v>T047</v>
      </c>
      <c r="B2048" s="1">
        <f>Paths!$B$192</f>
        <v>1</v>
      </c>
      <c r="C2048" s="1">
        <v>6</v>
      </c>
      <c r="D2048" s="1">
        <v>192</v>
      </c>
      <c r="E2048" s="1">
        <f>IF(OR(Paths!$C$192=0,C2048=0),0,MAX(0,MIN(C2048*12,Paths!$E$192)-(C2048-1)*12))</f>
        <v>0</v>
      </c>
      <c r="F2048" s="1">
        <f>IF(OR(Paths!$C$192=0,C2048=0),0,12-E2048)</f>
        <v>0</v>
      </c>
      <c r="G2048" s="16">
        <f>IF(NOT(Paths!$C$192=1),0,IF(Paths!$P$192="Complete",E2048/12*(Paths!$J$192*(1+'Operating costs'!$B$51)^MAX(0,C2048-1)+Paths!$K$192*(1+'Operating costs'!$B$53)^MAX(0,C2048-1)),"n.a."))</f>
        <v>0</v>
      </c>
      <c r="H2048" s="16">
        <f>IF(NOT(Paths!$C$192=1),0,IF(Paths!$P$192="Complete",F2048/12*(Paths!$L$192*(1+IF(Paths!$D$192="EV",'Operating costs'!$B$52,'Operating costs'!$B$51))^MAX(0,C2048-1)+Paths!$M$192*(1+'Operating costs'!$B$53)^MAX(0,C2048-1)),"n.a."))</f>
        <v>0</v>
      </c>
      <c r="I2048" s="16">
        <f>IF(NOT(Paths!$C$192=1),0,IF(Paths!$P$192="Complete",IF(IF(Paths!$E$192=0,C2048=0,AND(C2048&gt;0,Paths!$E$192&gt;(C2048-1)*12,Paths!$E$192&lt;=C2048*12)),Paths!$G$192,0),"n.a."))</f>
        <v>0</v>
      </c>
      <c r="J2048" s="16">
        <f>IF(NOT(Paths!$C$192=1),0,IF(Paths!$P$192="Complete",IF(IF(Paths!$E$192=0,C2048=0,AND(C2048&gt;0,Paths!$E$192&gt;(C2048-1)*12,Paths!$E$192&lt;=C2048*12)),Paths!$H$192,0),"n.a."))</f>
        <v>0</v>
      </c>
      <c r="K2048" s="16">
        <f>IF(NOT(Paths!$C$192=1),0,IF(Paths!$P$192="Complete",IF(IF(Paths!$O$192=0,C2048=0,AND(C2048&gt;0,Paths!$O$192&gt;(C2048-1)*12,Paths!$O$192&lt;=C2048*12)),Paths!$N$192,0),"n.a."))</f>
        <v>0</v>
      </c>
      <c r="L2048" s="16">
        <f>IF(NOT(Paths!$C$192=1),0,IF(Paths!$P$192="Complete",IF(C2048=10,Paths!$I$192,0),"n.a."))</f>
        <v>0</v>
      </c>
      <c r="M2048" s="16">
        <f>IF(NOT(Paths!$C$192=1),0,IF(Paths!$P$192="Complete",IF(AND(Paths!$D$192="EV",Paths!$E$192&lt;120,Paths!$E$192+'Operating costs'!$B$65&gt;Paths!$E$192,Paths!$E$192+'Operating costs'!$B$65&lt;=120,IF(Paths!$E$192+'Operating costs'!$B$65=0,C2048=0,AND(C2048&gt;0,Paths!$E$192+'Operating costs'!$B$65&gt;(C2048-1)*12,Paths!$E$192+'Operating costs'!$B$65&lt;=C2048*12))),'Operating costs'!$B$64,0)+IF(AND('Operating costs'!$B$67&gt;0,'Operating costs'!$B$67&lt;=120,OR(Paths!$D$192="ICE",'Operating costs'!$B$67&lt;=Paths!$E$192),IF('Operating costs'!$B$67=0,C2048=0,AND(C2048&gt;0,'Operating costs'!$B$67&gt;(C2048-1)*12,'Operating costs'!$B$67&lt;=C2048*12))),'Operating costs'!$B$66,0),"n.a."))</f>
        <v>0</v>
      </c>
      <c r="N2048" s="16">
        <f>IF(NOT(Paths!$C$192=1),0,IF(Paths!$P$192="Complete",SUM(G2048:I2048)-J2048-K2048-L2048+M2048+IF(C2048=0,Paths!$F$192,0)+IF(IF(Paths!$E$192=0,C2048=0,AND(C2048&gt;0,Paths!$E$192&gt;(C2048-1)*12,Paths!$E$192&lt;=C2048*12)),VLOOKUP(A2048,'Fleet register'!$A$7:$S$106,16,FALSE),0),"n.a."))</f>
        <v>0</v>
      </c>
      <c r="O2048" s="16">
        <f>IF(NOT(Paths!$C$192=1),0,IF(Paths!$P$192="Complete",N2048-IF(C2048=0,Paths!$F$192,0),"n.a."))</f>
        <v>0</v>
      </c>
      <c r="P2048" s="16">
        <f>IF(NOT(Paths!$C$192=1),0,IF(Paths!$P$192="Complete",O2048+L2048,"n.a."))</f>
        <v>0</v>
      </c>
      <c r="Q2048" s="16">
        <f>IF(NOT(Paths!$C$192=1),0,IF(Paths!$P$192="Complete",N2048*(1+'Operating costs'!$B$54)^-C2048,"n.a."))</f>
        <v>0</v>
      </c>
      <c r="R2048" s="16">
        <f>IF(NOT(Paths!$C$192=1),0,IF(Paths!$P$192="Complete",IF(AND(C2048=0,Paths!$E$192=0),I2048-J2048-K2048+VLOOKUP(A2048,'Fleet register'!$A$7:$S$106,15,FALSE)+VLOOKUP(A2048,'Fleet register'!$A$7:$S$106,16,FALSE),0),"n.a."))</f>
        <v>0</v>
      </c>
      <c r="S2048" s="1">
        <f>IF(NOT(Paths!$C$192=1),0,IF(Paths!$P$192="Complete",IF(C2048=0,0,Paths!$S$192*Paths!$R$192),"n.a."))</f>
        <v>0</v>
      </c>
      <c r="T2048" s="1">
        <f>IF(NOT(Paths!$C$192=1),0,IF(Paths!$P$192="Complete",IF(C2048=0,0,VLOOKUP(A2048,'Fleet register'!$A$7:$S$106,9,FALSE)*Paths!$R$192),"n.a."))</f>
        <v>0</v>
      </c>
    </row>
    <row r="2049" spans="1:20" ht="24" customHeight="1">
      <c r="A2049" s="1" t="str">
        <f>Paths!$A$192</f>
        <v>T047</v>
      </c>
      <c r="B2049" s="1">
        <f>Paths!$B$192</f>
        <v>1</v>
      </c>
      <c r="C2049" s="1">
        <v>7</v>
      </c>
      <c r="D2049" s="1">
        <v>192</v>
      </c>
      <c r="E2049" s="1">
        <f>IF(OR(Paths!$C$192=0,C2049=0),0,MAX(0,MIN(C2049*12,Paths!$E$192)-(C2049-1)*12))</f>
        <v>0</v>
      </c>
      <c r="F2049" s="1">
        <f>IF(OR(Paths!$C$192=0,C2049=0),0,12-E2049)</f>
        <v>0</v>
      </c>
      <c r="G2049" s="16">
        <f>IF(NOT(Paths!$C$192=1),0,IF(Paths!$P$192="Complete",E2049/12*(Paths!$J$192*(1+'Operating costs'!$B$51)^MAX(0,C2049-1)+Paths!$K$192*(1+'Operating costs'!$B$53)^MAX(0,C2049-1)),"n.a."))</f>
        <v>0</v>
      </c>
      <c r="H2049" s="16">
        <f>IF(NOT(Paths!$C$192=1),0,IF(Paths!$P$192="Complete",F2049/12*(Paths!$L$192*(1+IF(Paths!$D$192="EV",'Operating costs'!$B$52,'Operating costs'!$B$51))^MAX(0,C2049-1)+Paths!$M$192*(1+'Operating costs'!$B$53)^MAX(0,C2049-1)),"n.a."))</f>
        <v>0</v>
      </c>
      <c r="I2049" s="16">
        <f>IF(NOT(Paths!$C$192=1),0,IF(Paths!$P$192="Complete",IF(IF(Paths!$E$192=0,C2049=0,AND(C2049&gt;0,Paths!$E$192&gt;(C2049-1)*12,Paths!$E$192&lt;=C2049*12)),Paths!$G$192,0),"n.a."))</f>
        <v>0</v>
      </c>
      <c r="J2049" s="16">
        <f>IF(NOT(Paths!$C$192=1),0,IF(Paths!$P$192="Complete",IF(IF(Paths!$E$192=0,C2049=0,AND(C2049&gt;0,Paths!$E$192&gt;(C2049-1)*12,Paths!$E$192&lt;=C2049*12)),Paths!$H$192,0),"n.a."))</f>
        <v>0</v>
      </c>
      <c r="K2049" s="16">
        <f>IF(NOT(Paths!$C$192=1),0,IF(Paths!$P$192="Complete",IF(IF(Paths!$O$192=0,C2049=0,AND(C2049&gt;0,Paths!$O$192&gt;(C2049-1)*12,Paths!$O$192&lt;=C2049*12)),Paths!$N$192,0),"n.a."))</f>
        <v>0</v>
      </c>
      <c r="L2049" s="16">
        <f>IF(NOT(Paths!$C$192=1),0,IF(Paths!$P$192="Complete",IF(C2049=10,Paths!$I$192,0),"n.a."))</f>
        <v>0</v>
      </c>
      <c r="M2049" s="16">
        <f>IF(NOT(Paths!$C$192=1),0,IF(Paths!$P$192="Complete",IF(AND(Paths!$D$192="EV",Paths!$E$192&lt;120,Paths!$E$192+'Operating costs'!$B$65&gt;Paths!$E$192,Paths!$E$192+'Operating costs'!$B$65&lt;=120,IF(Paths!$E$192+'Operating costs'!$B$65=0,C2049=0,AND(C2049&gt;0,Paths!$E$192+'Operating costs'!$B$65&gt;(C2049-1)*12,Paths!$E$192+'Operating costs'!$B$65&lt;=C2049*12))),'Operating costs'!$B$64,0)+IF(AND('Operating costs'!$B$67&gt;0,'Operating costs'!$B$67&lt;=120,OR(Paths!$D$192="ICE",'Operating costs'!$B$67&lt;=Paths!$E$192),IF('Operating costs'!$B$67=0,C2049=0,AND(C2049&gt;0,'Operating costs'!$B$67&gt;(C2049-1)*12,'Operating costs'!$B$67&lt;=C2049*12))),'Operating costs'!$B$66,0),"n.a."))</f>
        <v>0</v>
      </c>
      <c r="N2049" s="16">
        <f>IF(NOT(Paths!$C$192=1),0,IF(Paths!$P$192="Complete",SUM(G2049:I2049)-J2049-K2049-L2049+M2049+IF(C2049=0,Paths!$F$192,0)+IF(IF(Paths!$E$192=0,C2049=0,AND(C2049&gt;0,Paths!$E$192&gt;(C2049-1)*12,Paths!$E$192&lt;=C2049*12)),VLOOKUP(A2049,'Fleet register'!$A$7:$S$106,16,FALSE),0),"n.a."))</f>
        <v>0</v>
      </c>
      <c r="O2049" s="16">
        <f>IF(NOT(Paths!$C$192=1),0,IF(Paths!$P$192="Complete",N2049-IF(C2049=0,Paths!$F$192,0),"n.a."))</f>
        <v>0</v>
      </c>
      <c r="P2049" s="16">
        <f>IF(NOT(Paths!$C$192=1),0,IF(Paths!$P$192="Complete",O2049+L2049,"n.a."))</f>
        <v>0</v>
      </c>
      <c r="Q2049" s="16">
        <f>IF(NOT(Paths!$C$192=1),0,IF(Paths!$P$192="Complete",N2049*(1+'Operating costs'!$B$54)^-C2049,"n.a."))</f>
        <v>0</v>
      </c>
      <c r="R2049" s="16">
        <f>IF(NOT(Paths!$C$192=1),0,IF(Paths!$P$192="Complete",IF(AND(C2049=0,Paths!$E$192=0),I2049-J2049-K2049+VLOOKUP(A2049,'Fleet register'!$A$7:$S$106,15,FALSE)+VLOOKUP(A2049,'Fleet register'!$A$7:$S$106,16,FALSE),0),"n.a."))</f>
        <v>0</v>
      </c>
      <c r="S2049" s="1">
        <f>IF(NOT(Paths!$C$192=1),0,IF(Paths!$P$192="Complete",IF(C2049=0,0,Paths!$S$192*Paths!$R$192),"n.a."))</f>
        <v>0</v>
      </c>
      <c r="T2049" s="1">
        <f>IF(NOT(Paths!$C$192=1),0,IF(Paths!$P$192="Complete",IF(C2049=0,0,VLOOKUP(A2049,'Fleet register'!$A$7:$S$106,9,FALSE)*Paths!$R$192),"n.a."))</f>
        <v>0</v>
      </c>
    </row>
    <row r="2050" spans="1:20" ht="24" customHeight="1">
      <c r="A2050" s="1" t="str">
        <f>Paths!$A$192</f>
        <v>T047</v>
      </c>
      <c r="B2050" s="1">
        <f>Paths!$B$192</f>
        <v>1</v>
      </c>
      <c r="C2050" s="1">
        <v>8</v>
      </c>
      <c r="D2050" s="1">
        <v>192</v>
      </c>
      <c r="E2050" s="1">
        <f>IF(OR(Paths!$C$192=0,C2050=0),0,MAX(0,MIN(C2050*12,Paths!$E$192)-(C2050-1)*12))</f>
        <v>0</v>
      </c>
      <c r="F2050" s="1">
        <f>IF(OR(Paths!$C$192=0,C2050=0),0,12-E2050)</f>
        <v>0</v>
      </c>
      <c r="G2050" s="16">
        <f>IF(NOT(Paths!$C$192=1),0,IF(Paths!$P$192="Complete",E2050/12*(Paths!$J$192*(1+'Operating costs'!$B$51)^MAX(0,C2050-1)+Paths!$K$192*(1+'Operating costs'!$B$53)^MAX(0,C2050-1)),"n.a."))</f>
        <v>0</v>
      </c>
      <c r="H2050" s="16">
        <f>IF(NOT(Paths!$C$192=1),0,IF(Paths!$P$192="Complete",F2050/12*(Paths!$L$192*(1+IF(Paths!$D$192="EV",'Operating costs'!$B$52,'Operating costs'!$B$51))^MAX(0,C2050-1)+Paths!$M$192*(1+'Operating costs'!$B$53)^MAX(0,C2050-1)),"n.a."))</f>
        <v>0</v>
      </c>
      <c r="I2050" s="16">
        <f>IF(NOT(Paths!$C$192=1),0,IF(Paths!$P$192="Complete",IF(IF(Paths!$E$192=0,C2050=0,AND(C2050&gt;0,Paths!$E$192&gt;(C2050-1)*12,Paths!$E$192&lt;=C2050*12)),Paths!$G$192,0),"n.a."))</f>
        <v>0</v>
      </c>
      <c r="J2050" s="16">
        <f>IF(NOT(Paths!$C$192=1),0,IF(Paths!$P$192="Complete",IF(IF(Paths!$E$192=0,C2050=0,AND(C2050&gt;0,Paths!$E$192&gt;(C2050-1)*12,Paths!$E$192&lt;=C2050*12)),Paths!$H$192,0),"n.a."))</f>
        <v>0</v>
      </c>
      <c r="K2050" s="16">
        <f>IF(NOT(Paths!$C$192=1),0,IF(Paths!$P$192="Complete",IF(IF(Paths!$O$192=0,C2050=0,AND(C2050&gt;0,Paths!$O$192&gt;(C2050-1)*12,Paths!$O$192&lt;=C2050*12)),Paths!$N$192,0),"n.a."))</f>
        <v>0</v>
      </c>
      <c r="L2050" s="16">
        <f>IF(NOT(Paths!$C$192=1),0,IF(Paths!$P$192="Complete",IF(C2050=10,Paths!$I$192,0),"n.a."))</f>
        <v>0</v>
      </c>
      <c r="M2050" s="16">
        <f>IF(NOT(Paths!$C$192=1),0,IF(Paths!$P$192="Complete",IF(AND(Paths!$D$192="EV",Paths!$E$192&lt;120,Paths!$E$192+'Operating costs'!$B$65&gt;Paths!$E$192,Paths!$E$192+'Operating costs'!$B$65&lt;=120,IF(Paths!$E$192+'Operating costs'!$B$65=0,C2050=0,AND(C2050&gt;0,Paths!$E$192+'Operating costs'!$B$65&gt;(C2050-1)*12,Paths!$E$192+'Operating costs'!$B$65&lt;=C2050*12))),'Operating costs'!$B$64,0)+IF(AND('Operating costs'!$B$67&gt;0,'Operating costs'!$B$67&lt;=120,OR(Paths!$D$192="ICE",'Operating costs'!$B$67&lt;=Paths!$E$192),IF('Operating costs'!$B$67=0,C2050=0,AND(C2050&gt;0,'Operating costs'!$B$67&gt;(C2050-1)*12,'Operating costs'!$B$67&lt;=C2050*12))),'Operating costs'!$B$66,0),"n.a."))</f>
        <v>0</v>
      </c>
      <c r="N2050" s="16">
        <f>IF(NOT(Paths!$C$192=1),0,IF(Paths!$P$192="Complete",SUM(G2050:I2050)-J2050-K2050-L2050+M2050+IF(C2050=0,Paths!$F$192,0)+IF(IF(Paths!$E$192=0,C2050=0,AND(C2050&gt;0,Paths!$E$192&gt;(C2050-1)*12,Paths!$E$192&lt;=C2050*12)),VLOOKUP(A2050,'Fleet register'!$A$7:$S$106,16,FALSE),0),"n.a."))</f>
        <v>0</v>
      </c>
      <c r="O2050" s="16">
        <f>IF(NOT(Paths!$C$192=1),0,IF(Paths!$P$192="Complete",N2050-IF(C2050=0,Paths!$F$192,0),"n.a."))</f>
        <v>0</v>
      </c>
      <c r="P2050" s="16">
        <f>IF(NOT(Paths!$C$192=1),0,IF(Paths!$P$192="Complete",O2050+L2050,"n.a."))</f>
        <v>0</v>
      </c>
      <c r="Q2050" s="16">
        <f>IF(NOT(Paths!$C$192=1),0,IF(Paths!$P$192="Complete",N2050*(1+'Operating costs'!$B$54)^-C2050,"n.a."))</f>
        <v>0</v>
      </c>
      <c r="R2050" s="16">
        <f>IF(NOT(Paths!$C$192=1),0,IF(Paths!$P$192="Complete",IF(AND(C2050=0,Paths!$E$192=0),I2050-J2050-K2050+VLOOKUP(A2050,'Fleet register'!$A$7:$S$106,15,FALSE)+VLOOKUP(A2050,'Fleet register'!$A$7:$S$106,16,FALSE),0),"n.a."))</f>
        <v>0</v>
      </c>
      <c r="S2050" s="1">
        <f>IF(NOT(Paths!$C$192=1),0,IF(Paths!$P$192="Complete",IF(C2050=0,0,Paths!$S$192*Paths!$R$192),"n.a."))</f>
        <v>0</v>
      </c>
      <c r="T2050" s="1">
        <f>IF(NOT(Paths!$C$192=1),0,IF(Paths!$P$192="Complete",IF(C2050=0,0,VLOOKUP(A2050,'Fleet register'!$A$7:$S$106,9,FALSE)*Paths!$R$192),"n.a."))</f>
        <v>0</v>
      </c>
    </row>
    <row r="2051" spans="1:20" ht="24" customHeight="1">
      <c r="A2051" s="1" t="str">
        <f>Paths!$A$192</f>
        <v>T047</v>
      </c>
      <c r="B2051" s="1">
        <f>Paths!$B$192</f>
        <v>1</v>
      </c>
      <c r="C2051" s="1">
        <v>9</v>
      </c>
      <c r="D2051" s="1">
        <v>192</v>
      </c>
      <c r="E2051" s="1">
        <f>IF(OR(Paths!$C$192=0,C2051=0),0,MAX(0,MIN(C2051*12,Paths!$E$192)-(C2051-1)*12))</f>
        <v>0</v>
      </c>
      <c r="F2051" s="1">
        <f>IF(OR(Paths!$C$192=0,C2051=0),0,12-E2051)</f>
        <v>0</v>
      </c>
      <c r="G2051" s="16">
        <f>IF(NOT(Paths!$C$192=1),0,IF(Paths!$P$192="Complete",E2051/12*(Paths!$J$192*(1+'Operating costs'!$B$51)^MAX(0,C2051-1)+Paths!$K$192*(1+'Operating costs'!$B$53)^MAX(0,C2051-1)),"n.a."))</f>
        <v>0</v>
      </c>
      <c r="H2051" s="16">
        <f>IF(NOT(Paths!$C$192=1),0,IF(Paths!$P$192="Complete",F2051/12*(Paths!$L$192*(1+IF(Paths!$D$192="EV",'Operating costs'!$B$52,'Operating costs'!$B$51))^MAX(0,C2051-1)+Paths!$M$192*(1+'Operating costs'!$B$53)^MAX(0,C2051-1)),"n.a."))</f>
        <v>0</v>
      </c>
      <c r="I2051" s="16">
        <f>IF(NOT(Paths!$C$192=1),0,IF(Paths!$P$192="Complete",IF(IF(Paths!$E$192=0,C2051=0,AND(C2051&gt;0,Paths!$E$192&gt;(C2051-1)*12,Paths!$E$192&lt;=C2051*12)),Paths!$G$192,0),"n.a."))</f>
        <v>0</v>
      </c>
      <c r="J2051" s="16">
        <f>IF(NOT(Paths!$C$192=1),0,IF(Paths!$P$192="Complete",IF(IF(Paths!$E$192=0,C2051=0,AND(C2051&gt;0,Paths!$E$192&gt;(C2051-1)*12,Paths!$E$192&lt;=C2051*12)),Paths!$H$192,0),"n.a."))</f>
        <v>0</v>
      </c>
      <c r="K2051" s="16">
        <f>IF(NOT(Paths!$C$192=1),0,IF(Paths!$P$192="Complete",IF(IF(Paths!$O$192=0,C2051=0,AND(C2051&gt;0,Paths!$O$192&gt;(C2051-1)*12,Paths!$O$192&lt;=C2051*12)),Paths!$N$192,0),"n.a."))</f>
        <v>0</v>
      </c>
      <c r="L2051" s="16">
        <f>IF(NOT(Paths!$C$192=1),0,IF(Paths!$P$192="Complete",IF(C2051=10,Paths!$I$192,0),"n.a."))</f>
        <v>0</v>
      </c>
      <c r="M2051" s="16">
        <f>IF(NOT(Paths!$C$192=1),0,IF(Paths!$P$192="Complete",IF(AND(Paths!$D$192="EV",Paths!$E$192&lt;120,Paths!$E$192+'Operating costs'!$B$65&gt;Paths!$E$192,Paths!$E$192+'Operating costs'!$B$65&lt;=120,IF(Paths!$E$192+'Operating costs'!$B$65=0,C2051=0,AND(C2051&gt;0,Paths!$E$192+'Operating costs'!$B$65&gt;(C2051-1)*12,Paths!$E$192+'Operating costs'!$B$65&lt;=C2051*12))),'Operating costs'!$B$64,0)+IF(AND('Operating costs'!$B$67&gt;0,'Operating costs'!$B$67&lt;=120,OR(Paths!$D$192="ICE",'Operating costs'!$B$67&lt;=Paths!$E$192),IF('Operating costs'!$B$67=0,C2051=0,AND(C2051&gt;0,'Operating costs'!$B$67&gt;(C2051-1)*12,'Operating costs'!$B$67&lt;=C2051*12))),'Operating costs'!$B$66,0),"n.a."))</f>
        <v>0</v>
      </c>
      <c r="N2051" s="16">
        <f>IF(NOT(Paths!$C$192=1),0,IF(Paths!$P$192="Complete",SUM(G2051:I2051)-J2051-K2051-L2051+M2051+IF(C2051=0,Paths!$F$192,0)+IF(IF(Paths!$E$192=0,C2051=0,AND(C2051&gt;0,Paths!$E$192&gt;(C2051-1)*12,Paths!$E$192&lt;=C2051*12)),VLOOKUP(A2051,'Fleet register'!$A$7:$S$106,16,FALSE),0),"n.a."))</f>
        <v>0</v>
      </c>
      <c r="O2051" s="16">
        <f>IF(NOT(Paths!$C$192=1),0,IF(Paths!$P$192="Complete",N2051-IF(C2051=0,Paths!$F$192,0),"n.a."))</f>
        <v>0</v>
      </c>
      <c r="P2051" s="16">
        <f>IF(NOT(Paths!$C$192=1),0,IF(Paths!$P$192="Complete",O2051+L2051,"n.a."))</f>
        <v>0</v>
      </c>
      <c r="Q2051" s="16">
        <f>IF(NOT(Paths!$C$192=1),0,IF(Paths!$P$192="Complete",N2051*(1+'Operating costs'!$B$54)^-C2051,"n.a."))</f>
        <v>0</v>
      </c>
      <c r="R2051" s="16">
        <f>IF(NOT(Paths!$C$192=1),0,IF(Paths!$P$192="Complete",IF(AND(C2051=0,Paths!$E$192=0),I2051-J2051-K2051+VLOOKUP(A2051,'Fleet register'!$A$7:$S$106,15,FALSE)+VLOOKUP(A2051,'Fleet register'!$A$7:$S$106,16,FALSE),0),"n.a."))</f>
        <v>0</v>
      </c>
      <c r="S2051" s="1">
        <f>IF(NOT(Paths!$C$192=1),0,IF(Paths!$P$192="Complete",IF(C2051=0,0,Paths!$S$192*Paths!$R$192),"n.a."))</f>
        <v>0</v>
      </c>
      <c r="T2051" s="1">
        <f>IF(NOT(Paths!$C$192=1),0,IF(Paths!$P$192="Complete",IF(C2051=0,0,VLOOKUP(A2051,'Fleet register'!$A$7:$S$106,9,FALSE)*Paths!$R$192),"n.a."))</f>
        <v>0</v>
      </c>
    </row>
    <row r="2052" spans="1:20" ht="24" customHeight="1">
      <c r="A2052" s="1" t="str">
        <f>Paths!$A$192</f>
        <v>T047</v>
      </c>
      <c r="B2052" s="1">
        <f>Paths!$B$192</f>
        <v>1</v>
      </c>
      <c r="C2052" s="1">
        <v>10</v>
      </c>
      <c r="D2052" s="1">
        <v>192</v>
      </c>
      <c r="E2052" s="1">
        <f>IF(OR(Paths!$C$192=0,C2052=0),0,MAX(0,MIN(C2052*12,Paths!$E$192)-(C2052-1)*12))</f>
        <v>0</v>
      </c>
      <c r="F2052" s="1">
        <f>IF(OR(Paths!$C$192=0,C2052=0),0,12-E2052)</f>
        <v>0</v>
      </c>
      <c r="G2052" s="16">
        <f>IF(NOT(Paths!$C$192=1),0,IF(Paths!$P$192="Complete",E2052/12*(Paths!$J$192*(1+'Operating costs'!$B$51)^MAX(0,C2052-1)+Paths!$K$192*(1+'Operating costs'!$B$53)^MAX(0,C2052-1)),"n.a."))</f>
        <v>0</v>
      </c>
      <c r="H2052" s="16">
        <f>IF(NOT(Paths!$C$192=1),0,IF(Paths!$P$192="Complete",F2052/12*(Paths!$L$192*(1+IF(Paths!$D$192="EV",'Operating costs'!$B$52,'Operating costs'!$B$51))^MAX(0,C2052-1)+Paths!$M$192*(1+'Operating costs'!$B$53)^MAX(0,C2052-1)),"n.a."))</f>
        <v>0</v>
      </c>
      <c r="I2052" s="16">
        <f>IF(NOT(Paths!$C$192=1),0,IF(Paths!$P$192="Complete",IF(IF(Paths!$E$192=0,C2052=0,AND(C2052&gt;0,Paths!$E$192&gt;(C2052-1)*12,Paths!$E$192&lt;=C2052*12)),Paths!$G$192,0),"n.a."))</f>
        <v>0</v>
      </c>
      <c r="J2052" s="16">
        <f>IF(NOT(Paths!$C$192=1),0,IF(Paths!$P$192="Complete",IF(IF(Paths!$E$192=0,C2052=0,AND(C2052&gt;0,Paths!$E$192&gt;(C2052-1)*12,Paths!$E$192&lt;=C2052*12)),Paths!$H$192,0),"n.a."))</f>
        <v>0</v>
      </c>
      <c r="K2052" s="16">
        <f>IF(NOT(Paths!$C$192=1),0,IF(Paths!$P$192="Complete",IF(IF(Paths!$O$192=0,C2052=0,AND(C2052&gt;0,Paths!$O$192&gt;(C2052-1)*12,Paths!$O$192&lt;=C2052*12)),Paths!$N$192,0),"n.a."))</f>
        <v>0</v>
      </c>
      <c r="L2052" s="16">
        <f>IF(NOT(Paths!$C$192=1),0,IF(Paths!$P$192="Complete",IF(C2052=10,Paths!$I$192,0),"n.a."))</f>
        <v>0</v>
      </c>
      <c r="M2052" s="16">
        <f>IF(NOT(Paths!$C$192=1),0,IF(Paths!$P$192="Complete",IF(AND(Paths!$D$192="EV",Paths!$E$192&lt;120,Paths!$E$192+'Operating costs'!$B$65&gt;Paths!$E$192,Paths!$E$192+'Operating costs'!$B$65&lt;=120,IF(Paths!$E$192+'Operating costs'!$B$65=0,C2052=0,AND(C2052&gt;0,Paths!$E$192+'Operating costs'!$B$65&gt;(C2052-1)*12,Paths!$E$192+'Operating costs'!$B$65&lt;=C2052*12))),'Operating costs'!$B$64,0)+IF(AND('Operating costs'!$B$67&gt;0,'Operating costs'!$B$67&lt;=120,OR(Paths!$D$192="ICE",'Operating costs'!$B$67&lt;=Paths!$E$192),IF('Operating costs'!$B$67=0,C2052=0,AND(C2052&gt;0,'Operating costs'!$B$67&gt;(C2052-1)*12,'Operating costs'!$B$67&lt;=C2052*12))),'Operating costs'!$B$66,0),"n.a."))</f>
        <v>0</v>
      </c>
      <c r="N2052" s="16">
        <f>IF(NOT(Paths!$C$192=1),0,IF(Paths!$P$192="Complete",SUM(G2052:I2052)-J2052-K2052-L2052+M2052+IF(C2052=0,Paths!$F$192,0)+IF(IF(Paths!$E$192=0,C2052=0,AND(C2052&gt;0,Paths!$E$192&gt;(C2052-1)*12,Paths!$E$192&lt;=C2052*12)),VLOOKUP(A2052,'Fleet register'!$A$7:$S$106,16,FALSE),0),"n.a."))</f>
        <v>0</v>
      </c>
      <c r="O2052" s="16">
        <f>IF(NOT(Paths!$C$192=1),0,IF(Paths!$P$192="Complete",N2052-IF(C2052=0,Paths!$F$192,0),"n.a."))</f>
        <v>0</v>
      </c>
      <c r="P2052" s="16">
        <f>IF(NOT(Paths!$C$192=1),0,IF(Paths!$P$192="Complete",O2052+L2052,"n.a."))</f>
        <v>0</v>
      </c>
      <c r="Q2052" s="16">
        <f>IF(NOT(Paths!$C$192=1),0,IF(Paths!$P$192="Complete",N2052*(1+'Operating costs'!$B$54)^-C2052,"n.a."))</f>
        <v>0</v>
      </c>
      <c r="R2052" s="16">
        <f>IF(NOT(Paths!$C$192=1),0,IF(Paths!$P$192="Complete",IF(AND(C2052=0,Paths!$E$192=0),I2052-J2052-K2052+VLOOKUP(A2052,'Fleet register'!$A$7:$S$106,15,FALSE)+VLOOKUP(A2052,'Fleet register'!$A$7:$S$106,16,FALSE),0),"n.a."))</f>
        <v>0</v>
      </c>
      <c r="S2052" s="1">
        <f>IF(NOT(Paths!$C$192=1),0,IF(Paths!$P$192="Complete",IF(C2052=0,0,Paths!$S$192*Paths!$R$192),"n.a."))</f>
        <v>0</v>
      </c>
      <c r="T2052" s="1">
        <f>IF(NOT(Paths!$C$192=1),0,IF(Paths!$P$192="Complete",IF(C2052=0,0,VLOOKUP(A2052,'Fleet register'!$A$7:$S$106,9,FALSE)*Paths!$R$192),"n.a."))</f>
        <v>0</v>
      </c>
    </row>
    <row r="2053" spans="1:20" ht="24" customHeight="1">
      <c r="A2053" s="1" t="str">
        <f>Paths!$A$193</f>
        <v>T047</v>
      </c>
      <c r="B2053" s="1">
        <f>Paths!$B$193</f>
        <v>2</v>
      </c>
      <c r="C2053" s="1">
        <v>0</v>
      </c>
      <c r="D2053" s="1">
        <v>193</v>
      </c>
      <c r="E2053" s="1">
        <f>IF(OR(Paths!$C$193=0,C2053=0),0,MAX(0,MIN(C2053*12,Paths!$E$193)-(C2053-1)*12))</f>
        <v>0</v>
      </c>
      <c r="F2053" s="1">
        <f>IF(OR(Paths!$C$193=0,C2053=0),0,12-E2053)</f>
        <v>0</v>
      </c>
      <c r="G2053" s="16">
        <f>IF(NOT(Paths!$C$193=1),0,IF(Paths!$P$193="Complete",E2053/12*(Paths!$J$193*(1+'Operating costs'!$B$51)^MAX(0,C2053-1)+Paths!$K$193*(1+'Operating costs'!$B$53)^MAX(0,C2053-1)),"n.a."))</f>
        <v>0</v>
      </c>
      <c r="H2053" s="16">
        <f>IF(NOT(Paths!$C$193=1),0,IF(Paths!$P$193="Complete",F2053/12*(Paths!$L$193*(1+IF(Paths!$D$193="EV",'Operating costs'!$B$52,'Operating costs'!$B$51))^MAX(0,C2053-1)+Paths!$M$193*(1+'Operating costs'!$B$53)^MAX(0,C2053-1)),"n.a."))</f>
        <v>0</v>
      </c>
      <c r="I2053" s="16">
        <f>IF(NOT(Paths!$C$193=1),0,IF(Paths!$P$193="Complete",IF(IF(Paths!$E$193=0,C2053=0,AND(C2053&gt;0,Paths!$E$193&gt;(C2053-1)*12,Paths!$E$193&lt;=C2053*12)),Paths!$G$193,0),"n.a."))</f>
        <v>0</v>
      </c>
      <c r="J2053" s="16">
        <f>IF(NOT(Paths!$C$193=1),0,IF(Paths!$P$193="Complete",IF(IF(Paths!$E$193=0,C2053=0,AND(C2053&gt;0,Paths!$E$193&gt;(C2053-1)*12,Paths!$E$193&lt;=C2053*12)),Paths!$H$193,0),"n.a."))</f>
        <v>0</v>
      </c>
      <c r="K2053" s="16">
        <f>IF(NOT(Paths!$C$193=1),0,IF(Paths!$P$193="Complete",IF(IF(Paths!$O$193=0,C2053=0,AND(C2053&gt;0,Paths!$O$193&gt;(C2053-1)*12,Paths!$O$193&lt;=C2053*12)),Paths!$N$193,0),"n.a."))</f>
        <v>0</v>
      </c>
      <c r="L2053" s="16">
        <f>IF(NOT(Paths!$C$193=1),0,IF(Paths!$P$193="Complete",IF(C2053=10,Paths!$I$193,0),"n.a."))</f>
        <v>0</v>
      </c>
      <c r="M2053" s="16">
        <f>IF(NOT(Paths!$C$193=1),0,IF(Paths!$P$193="Complete",IF(AND(Paths!$D$193="EV",Paths!$E$193&lt;120,Paths!$E$193+'Operating costs'!$B$65&gt;Paths!$E$193,Paths!$E$193+'Operating costs'!$B$65&lt;=120,IF(Paths!$E$193+'Operating costs'!$B$65=0,C2053=0,AND(C2053&gt;0,Paths!$E$193+'Operating costs'!$B$65&gt;(C2053-1)*12,Paths!$E$193+'Operating costs'!$B$65&lt;=C2053*12))),'Operating costs'!$B$64,0)+IF(AND('Operating costs'!$B$67&gt;0,'Operating costs'!$B$67&lt;=120,OR(Paths!$D$193="ICE",'Operating costs'!$B$67&lt;=Paths!$E$193),IF('Operating costs'!$B$67=0,C2053=0,AND(C2053&gt;0,'Operating costs'!$B$67&gt;(C2053-1)*12,'Operating costs'!$B$67&lt;=C2053*12))),'Operating costs'!$B$66,0),"n.a."))</f>
        <v>0</v>
      </c>
      <c r="N2053" s="16">
        <f>IF(NOT(Paths!$C$193=1),0,IF(Paths!$P$193="Complete",SUM(G2053:I2053)-J2053-K2053-L2053+M2053+IF(C2053=0,Paths!$F$193,0)+IF(IF(Paths!$E$193=0,C2053=0,AND(C2053&gt;0,Paths!$E$193&gt;(C2053-1)*12,Paths!$E$193&lt;=C2053*12)),VLOOKUP(A2053,'Fleet register'!$A$7:$S$106,16,FALSE),0),"n.a."))</f>
        <v>0</v>
      </c>
      <c r="O2053" s="16">
        <f>IF(NOT(Paths!$C$193=1),0,IF(Paths!$P$193="Complete",N2053-IF(C2053=0,Paths!$F$193,0),"n.a."))</f>
        <v>0</v>
      </c>
      <c r="P2053" s="16">
        <f>IF(NOT(Paths!$C$193=1),0,IF(Paths!$P$193="Complete",O2053+L2053,"n.a."))</f>
        <v>0</v>
      </c>
      <c r="Q2053" s="16">
        <f>IF(NOT(Paths!$C$193=1),0,IF(Paths!$P$193="Complete",N2053*(1+'Operating costs'!$B$54)^-C2053,"n.a."))</f>
        <v>0</v>
      </c>
      <c r="R2053" s="16">
        <f>IF(NOT(Paths!$C$193=1),0,IF(Paths!$P$193="Complete",IF(AND(C2053=0,Paths!$E$193=0),I2053-J2053-K2053+VLOOKUP(A2053,'Fleet register'!$A$7:$S$106,15,FALSE)+VLOOKUP(A2053,'Fleet register'!$A$7:$S$106,16,FALSE),0),"n.a."))</f>
        <v>0</v>
      </c>
      <c r="S2053" s="1">
        <f>IF(NOT(Paths!$C$193=1),0,IF(Paths!$P$193="Complete",IF(C2053=0,0,Paths!$S$193*Paths!$R$193),"n.a."))</f>
        <v>0</v>
      </c>
      <c r="T2053" s="1">
        <f>IF(NOT(Paths!$C$193=1),0,IF(Paths!$P$193="Complete",IF(C2053=0,0,VLOOKUP(A2053,'Fleet register'!$A$7:$S$106,9,FALSE)*Paths!$R$193),"n.a."))</f>
        <v>0</v>
      </c>
    </row>
    <row r="2054" spans="1:20" ht="24" customHeight="1">
      <c r="A2054" s="1" t="str">
        <f>Paths!$A$193</f>
        <v>T047</v>
      </c>
      <c r="B2054" s="1">
        <f>Paths!$B$193</f>
        <v>2</v>
      </c>
      <c r="C2054" s="1">
        <v>1</v>
      </c>
      <c r="D2054" s="1">
        <v>193</v>
      </c>
      <c r="E2054" s="1">
        <f>IF(OR(Paths!$C$193=0,C2054=0),0,MAX(0,MIN(C2054*12,Paths!$E$193)-(C2054-1)*12))</f>
        <v>0</v>
      </c>
      <c r="F2054" s="1">
        <f>IF(OR(Paths!$C$193=0,C2054=0),0,12-E2054)</f>
        <v>0</v>
      </c>
      <c r="G2054" s="16">
        <f>IF(NOT(Paths!$C$193=1),0,IF(Paths!$P$193="Complete",E2054/12*(Paths!$J$193*(1+'Operating costs'!$B$51)^MAX(0,C2054-1)+Paths!$K$193*(1+'Operating costs'!$B$53)^MAX(0,C2054-1)),"n.a."))</f>
        <v>0</v>
      </c>
      <c r="H2054" s="16">
        <f>IF(NOT(Paths!$C$193=1),0,IF(Paths!$P$193="Complete",F2054/12*(Paths!$L$193*(1+IF(Paths!$D$193="EV",'Operating costs'!$B$52,'Operating costs'!$B$51))^MAX(0,C2054-1)+Paths!$M$193*(1+'Operating costs'!$B$53)^MAX(0,C2054-1)),"n.a."))</f>
        <v>0</v>
      </c>
      <c r="I2054" s="16">
        <f>IF(NOT(Paths!$C$193=1),0,IF(Paths!$P$193="Complete",IF(IF(Paths!$E$193=0,C2054=0,AND(C2054&gt;0,Paths!$E$193&gt;(C2054-1)*12,Paths!$E$193&lt;=C2054*12)),Paths!$G$193,0),"n.a."))</f>
        <v>0</v>
      </c>
      <c r="J2054" s="16">
        <f>IF(NOT(Paths!$C$193=1),0,IF(Paths!$P$193="Complete",IF(IF(Paths!$E$193=0,C2054=0,AND(C2054&gt;0,Paths!$E$193&gt;(C2054-1)*12,Paths!$E$193&lt;=C2054*12)),Paths!$H$193,0),"n.a."))</f>
        <v>0</v>
      </c>
      <c r="K2054" s="16">
        <f>IF(NOT(Paths!$C$193=1),0,IF(Paths!$P$193="Complete",IF(IF(Paths!$O$193=0,C2054=0,AND(C2054&gt;0,Paths!$O$193&gt;(C2054-1)*12,Paths!$O$193&lt;=C2054*12)),Paths!$N$193,0),"n.a."))</f>
        <v>0</v>
      </c>
      <c r="L2054" s="16">
        <f>IF(NOT(Paths!$C$193=1),0,IF(Paths!$P$193="Complete",IF(C2054=10,Paths!$I$193,0),"n.a."))</f>
        <v>0</v>
      </c>
      <c r="M2054" s="16">
        <f>IF(NOT(Paths!$C$193=1),0,IF(Paths!$P$193="Complete",IF(AND(Paths!$D$193="EV",Paths!$E$193&lt;120,Paths!$E$193+'Operating costs'!$B$65&gt;Paths!$E$193,Paths!$E$193+'Operating costs'!$B$65&lt;=120,IF(Paths!$E$193+'Operating costs'!$B$65=0,C2054=0,AND(C2054&gt;0,Paths!$E$193+'Operating costs'!$B$65&gt;(C2054-1)*12,Paths!$E$193+'Operating costs'!$B$65&lt;=C2054*12))),'Operating costs'!$B$64,0)+IF(AND('Operating costs'!$B$67&gt;0,'Operating costs'!$B$67&lt;=120,OR(Paths!$D$193="ICE",'Operating costs'!$B$67&lt;=Paths!$E$193),IF('Operating costs'!$B$67=0,C2054=0,AND(C2054&gt;0,'Operating costs'!$B$67&gt;(C2054-1)*12,'Operating costs'!$B$67&lt;=C2054*12))),'Operating costs'!$B$66,0),"n.a."))</f>
        <v>0</v>
      </c>
      <c r="N2054" s="16">
        <f>IF(NOT(Paths!$C$193=1),0,IF(Paths!$P$193="Complete",SUM(G2054:I2054)-J2054-K2054-L2054+M2054+IF(C2054=0,Paths!$F$193,0)+IF(IF(Paths!$E$193=0,C2054=0,AND(C2054&gt;0,Paths!$E$193&gt;(C2054-1)*12,Paths!$E$193&lt;=C2054*12)),VLOOKUP(A2054,'Fleet register'!$A$7:$S$106,16,FALSE),0),"n.a."))</f>
        <v>0</v>
      </c>
      <c r="O2054" s="16">
        <f>IF(NOT(Paths!$C$193=1),0,IF(Paths!$P$193="Complete",N2054-IF(C2054=0,Paths!$F$193,0),"n.a."))</f>
        <v>0</v>
      </c>
      <c r="P2054" s="16">
        <f>IF(NOT(Paths!$C$193=1),0,IF(Paths!$P$193="Complete",O2054+L2054,"n.a."))</f>
        <v>0</v>
      </c>
      <c r="Q2054" s="16">
        <f>IF(NOT(Paths!$C$193=1),0,IF(Paths!$P$193="Complete",N2054*(1+'Operating costs'!$B$54)^-C2054,"n.a."))</f>
        <v>0</v>
      </c>
      <c r="R2054" s="16">
        <f>IF(NOT(Paths!$C$193=1),0,IF(Paths!$P$193="Complete",IF(AND(C2054=0,Paths!$E$193=0),I2054-J2054-K2054+VLOOKUP(A2054,'Fleet register'!$A$7:$S$106,15,FALSE)+VLOOKUP(A2054,'Fleet register'!$A$7:$S$106,16,FALSE),0),"n.a."))</f>
        <v>0</v>
      </c>
      <c r="S2054" s="1">
        <f>IF(NOT(Paths!$C$193=1),0,IF(Paths!$P$193="Complete",IF(C2054=0,0,Paths!$S$193*Paths!$R$193),"n.a."))</f>
        <v>0</v>
      </c>
      <c r="T2054" s="1">
        <f>IF(NOT(Paths!$C$193=1),0,IF(Paths!$P$193="Complete",IF(C2054=0,0,VLOOKUP(A2054,'Fleet register'!$A$7:$S$106,9,FALSE)*Paths!$R$193),"n.a."))</f>
        <v>0</v>
      </c>
    </row>
    <row r="2055" spans="1:20" ht="24" customHeight="1">
      <c r="A2055" s="1" t="str">
        <f>Paths!$A$193</f>
        <v>T047</v>
      </c>
      <c r="B2055" s="1">
        <f>Paths!$B$193</f>
        <v>2</v>
      </c>
      <c r="C2055" s="1">
        <v>2</v>
      </c>
      <c r="D2055" s="1">
        <v>193</v>
      </c>
      <c r="E2055" s="1">
        <f>IF(OR(Paths!$C$193=0,C2055=0),0,MAX(0,MIN(C2055*12,Paths!$E$193)-(C2055-1)*12))</f>
        <v>0</v>
      </c>
      <c r="F2055" s="1">
        <f>IF(OR(Paths!$C$193=0,C2055=0),0,12-E2055)</f>
        <v>0</v>
      </c>
      <c r="G2055" s="16">
        <f>IF(NOT(Paths!$C$193=1),0,IF(Paths!$P$193="Complete",E2055/12*(Paths!$J$193*(1+'Operating costs'!$B$51)^MAX(0,C2055-1)+Paths!$K$193*(1+'Operating costs'!$B$53)^MAX(0,C2055-1)),"n.a."))</f>
        <v>0</v>
      </c>
      <c r="H2055" s="16">
        <f>IF(NOT(Paths!$C$193=1),0,IF(Paths!$P$193="Complete",F2055/12*(Paths!$L$193*(1+IF(Paths!$D$193="EV",'Operating costs'!$B$52,'Operating costs'!$B$51))^MAX(0,C2055-1)+Paths!$M$193*(1+'Operating costs'!$B$53)^MAX(0,C2055-1)),"n.a."))</f>
        <v>0</v>
      </c>
      <c r="I2055" s="16">
        <f>IF(NOT(Paths!$C$193=1),0,IF(Paths!$P$193="Complete",IF(IF(Paths!$E$193=0,C2055=0,AND(C2055&gt;0,Paths!$E$193&gt;(C2055-1)*12,Paths!$E$193&lt;=C2055*12)),Paths!$G$193,0),"n.a."))</f>
        <v>0</v>
      </c>
      <c r="J2055" s="16">
        <f>IF(NOT(Paths!$C$193=1),0,IF(Paths!$P$193="Complete",IF(IF(Paths!$E$193=0,C2055=0,AND(C2055&gt;0,Paths!$E$193&gt;(C2055-1)*12,Paths!$E$193&lt;=C2055*12)),Paths!$H$193,0),"n.a."))</f>
        <v>0</v>
      </c>
      <c r="K2055" s="16">
        <f>IF(NOT(Paths!$C$193=1),0,IF(Paths!$P$193="Complete",IF(IF(Paths!$O$193=0,C2055=0,AND(C2055&gt;0,Paths!$O$193&gt;(C2055-1)*12,Paths!$O$193&lt;=C2055*12)),Paths!$N$193,0),"n.a."))</f>
        <v>0</v>
      </c>
      <c r="L2055" s="16">
        <f>IF(NOT(Paths!$C$193=1),0,IF(Paths!$P$193="Complete",IF(C2055=10,Paths!$I$193,0),"n.a."))</f>
        <v>0</v>
      </c>
      <c r="M2055" s="16">
        <f>IF(NOT(Paths!$C$193=1),0,IF(Paths!$P$193="Complete",IF(AND(Paths!$D$193="EV",Paths!$E$193&lt;120,Paths!$E$193+'Operating costs'!$B$65&gt;Paths!$E$193,Paths!$E$193+'Operating costs'!$B$65&lt;=120,IF(Paths!$E$193+'Operating costs'!$B$65=0,C2055=0,AND(C2055&gt;0,Paths!$E$193+'Operating costs'!$B$65&gt;(C2055-1)*12,Paths!$E$193+'Operating costs'!$B$65&lt;=C2055*12))),'Operating costs'!$B$64,0)+IF(AND('Operating costs'!$B$67&gt;0,'Operating costs'!$B$67&lt;=120,OR(Paths!$D$193="ICE",'Operating costs'!$B$67&lt;=Paths!$E$193),IF('Operating costs'!$B$67=0,C2055=0,AND(C2055&gt;0,'Operating costs'!$B$67&gt;(C2055-1)*12,'Operating costs'!$B$67&lt;=C2055*12))),'Operating costs'!$B$66,0),"n.a."))</f>
        <v>0</v>
      </c>
      <c r="N2055" s="16">
        <f>IF(NOT(Paths!$C$193=1),0,IF(Paths!$P$193="Complete",SUM(G2055:I2055)-J2055-K2055-L2055+M2055+IF(C2055=0,Paths!$F$193,0)+IF(IF(Paths!$E$193=0,C2055=0,AND(C2055&gt;0,Paths!$E$193&gt;(C2055-1)*12,Paths!$E$193&lt;=C2055*12)),VLOOKUP(A2055,'Fleet register'!$A$7:$S$106,16,FALSE),0),"n.a."))</f>
        <v>0</v>
      </c>
      <c r="O2055" s="16">
        <f>IF(NOT(Paths!$C$193=1),0,IF(Paths!$P$193="Complete",N2055-IF(C2055=0,Paths!$F$193,0),"n.a."))</f>
        <v>0</v>
      </c>
      <c r="P2055" s="16">
        <f>IF(NOT(Paths!$C$193=1),0,IF(Paths!$P$193="Complete",O2055+L2055,"n.a."))</f>
        <v>0</v>
      </c>
      <c r="Q2055" s="16">
        <f>IF(NOT(Paths!$C$193=1),0,IF(Paths!$P$193="Complete",N2055*(1+'Operating costs'!$B$54)^-C2055,"n.a."))</f>
        <v>0</v>
      </c>
      <c r="R2055" s="16">
        <f>IF(NOT(Paths!$C$193=1),0,IF(Paths!$P$193="Complete",IF(AND(C2055=0,Paths!$E$193=0),I2055-J2055-K2055+VLOOKUP(A2055,'Fleet register'!$A$7:$S$106,15,FALSE)+VLOOKUP(A2055,'Fleet register'!$A$7:$S$106,16,FALSE),0),"n.a."))</f>
        <v>0</v>
      </c>
      <c r="S2055" s="1">
        <f>IF(NOT(Paths!$C$193=1),0,IF(Paths!$P$193="Complete",IF(C2055=0,0,Paths!$S$193*Paths!$R$193),"n.a."))</f>
        <v>0</v>
      </c>
      <c r="T2055" s="1">
        <f>IF(NOT(Paths!$C$193=1),0,IF(Paths!$P$193="Complete",IF(C2055=0,0,VLOOKUP(A2055,'Fleet register'!$A$7:$S$106,9,FALSE)*Paths!$R$193),"n.a."))</f>
        <v>0</v>
      </c>
    </row>
    <row r="2056" spans="1:20" ht="24" customHeight="1">
      <c r="A2056" s="1" t="str">
        <f>Paths!$A$193</f>
        <v>T047</v>
      </c>
      <c r="B2056" s="1">
        <f>Paths!$B$193</f>
        <v>2</v>
      </c>
      <c r="C2056" s="1">
        <v>3</v>
      </c>
      <c r="D2056" s="1">
        <v>193</v>
      </c>
      <c r="E2056" s="1">
        <f>IF(OR(Paths!$C$193=0,C2056=0),0,MAX(0,MIN(C2056*12,Paths!$E$193)-(C2056-1)*12))</f>
        <v>0</v>
      </c>
      <c r="F2056" s="1">
        <f>IF(OR(Paths!$C$193=0,C2056=0),0,12-E2056)</f>
        <v>0</v>
      </c>
      <c r="G2056" s="16">
        <f>IF(NOT(Paths!$C$193=1),0,IF(Paths!$P$193="Complete",E2056/12*(Paths!$J$193*(1+'Operating costs'!$B$51)^MAX(0,C2056-1)+Paths!$K$193*(1+'Operating costs'!$B$53)^MAX(0,C2056-1)),"n.a."))</f>
        <v>0</v>
      </c>
      <c r="H2056" s="16">
        <f>IF(NOT(Paths!$C$193=1),0,IF(Paths!$P$193="Complete",F2056/12*(Paths!$L$193*(1+IF(Paths!$D$193="EV",'Operating costs'!$B$52,'Operating costs'!$B$51))^MAX(0,C2056-1)+Paths!$M$193*(1+'Operating costs'!$B$53)^MAX(0,C2056-1)),"n.a."))</f>
        <v>0</v>
      </c>
      <c r="I2056" s="16">
        <f>IF(NOT(Paths!$C$193=1),0,IF(Paths!$P$193="Complete",IF(IF(Paths!$E$193=0,C2056=0,AND(C2056&gt;0,Paths!$E$193&gt;(C2056-1)*12,Paths!$E$193&lt;=C2056*12)),Paths!$G$193,0),"n.a."))</f>
        <v>0</v>
      </c>
      <c r="J2056" s="16">
        <f>IF(NOT(Paths!$C$193=1),0,IF(Paths!$P$193="Complete",IF(IF(Paths!$E$193=0,C2056=0,AND(C2056&gt;0,Paths!$E$193&gt;(C2056-1)*12,Paths!$E$193&lt;=C2056*12)),Paths!$H$193,0),"n.a."))</f>
        <v>0</v>
      </c>
      <c r="K2056" s="16">
        <f>IF(NOT(Paths!$C$193=1),0,IF(Paths!$P$193="Complete",IF(IF(Paths!$O$193=0,C2056=0,AND(C2056&gt;0,Paths!$O$193&gt;(C2056-1)*12,Paths!$O$193&lt;=C2056*12)),Paths!$N$193,0),"n.a."))</f>
        <v>0</v>
      </c>
      <c r="L2056" s="16">
        <f>IF(NOT(Paths!$C$193=1),0,IF(Paths!$P$193="Complete",IF(C2056=10,Paths!$I$193,0),"n.a."))</f>
        <v>0</v>
      </c>
      <c r="M2056" s="16">
        <f>IF(NOT(Paths!$C$193=1),0,IF(Paths!$P$193="Complete",IF(AND(Paths!$D$193="EV",Paths!$E$193&lt;120,Paths!$E$193+'Operating costs'!$B$65&gt;Paths!$E$193,Paths!$E$193+'Operating costs'!$B$65&lt;=120,IF(Paths!$E$193+'Operating costs'!$B$65=0,C2056=0,AND(C2056&gt;0,Paths!$E$193+'Operating costs'!$B$65&gt;(C2056-1)*12,Paths!$E$193+'Operating costs'!$B$65&lt;=C2056*12))),'Operating costs'!$B$64,0)+IF(AND('Operating costs'!$B$67&gt;0,'Operating costs'!$B$67&lt;=120,OR(Paths!$D$193="ICE",'Operating costs'!$B$67&lt;=Paths!$E$193),IF('Operating costs'!$B$67=0,C2056=0,AND(C2056&gt;0,'Operating costs'!$B$67&gt;(C2056-1)*12,'Operating costs'!$B$67&lt;=C2056*12))),'Operating costs'!$B$66,0),"n.a."))</f>
        <v>0</v>
      </c>
      <c r="N2056" s="16">
        <f>IF(NOT(Paths!$C$193=1),0,IF(Paths!$P$193="Complete",SUM(G2056:I2056)-J2056-K2056-L2056+M2056+IF(C2056=0,Paths!$F$193,0)+IF(IF(Paths!$E$193=0,C2056=0,AND(C2056&gt;0,Paths!$E$193&gt;(C2056-1)*12,Paths!$E$193&lt;=C2056*12)),VLOOKUP(A2056,'Fleet register'!$A$7:$S$106,16,FALSE),0),"n.a."))</f>
        <v>0</v>
      </c>
      <c r="O2056" s="16">
        <f>IF(NOT(Paths!$C$193=1),0,IF(Paths!$P$193="Complete",N2056-IF(C2056=0,Paths!$F$193,0),"n.a."))</f>
        <v>0</v>
      </c>
      <c r="P2056" s="16">
        <f>IF(NOT(Paths!$C$193=1),0,IF(Paths!$P$193="Complete",O2056+L2056,"n.a."))</f>
        <v>0</v>
      </c>
      <c r="Q2056" s="16">
        <f>IF(NOT(Paths!$C$193=1),0,IF(Paths!$P$193="Complete",N2056*(1+'Operating costs'!$B$54)^-C2056,"n.a."))</f>
        <v>0</v>
      </c>
      <c r="R2056" s="16">
        <f>IF(NOT(Paths!$C$193=1),0,IF(Paths!$P$193="Complete",IF(AND(C2056=0,Paths!$E$193=0),I2056-J2056-K2056+VLOOKUP(A2056,'Fleet register'!$A$7:$S$106,15,FALSE)+VLOOKUP(A2056,'Fleet register'!$A$7:$S$106,16,FALSE),0),"n.a."))</f>
        <v>0</v>
      </c>
      <c r="S2056" s="1">
        <f>IF(NOT(Paths!$C$193=1),0,IF(Paths!$P$193="Complete",IF(C2056=0,0,Paths!$S$193*Paths!$R$193),"n.a."))</f>
        <v>0</v>
      </c>
      <c r="T2056" s="1">
        <f>IF(NOT(Paths!$C$193=1),0,IF(Paths!$P$193="Complete",IF(C2056=0,0,VLOOKUP(A2056,'Fleet register'!$A$7:$S$106,9,FALSE)*Paths!$R$193),"n.a."))</f>
        <v>0</v>
      </c>
    </row>
    <row r="2057" spans="1:20" ht="24" customHeight="1">
      <c r="A2057" s="1" t="str">
        <f>Paths!$A$193</f>
        <v>T047</v>
      </c>
      <c r="B2057" s="1">
        <f>Paths!$B$193</f>
        <v>2</v>
      </c>
      <c r="C2057" s="1">
        <v>4</v>
      </c>
      <c r="D2057" s="1">
        <v>193</v>
      </c>
      <c r="E2057" s="1">
        <f>IF(OR(Paths!$C$193=0,C2057=0),0,MAX(0,MIN(C2057*12,Paths!$E$193)-(C2057-1)*12))</f>
        <v>0</v>
      </c>
      <c r="F2057" s="1">
        <f>IF(OR(Paths!$C$193=0,C2057=0),0,12-E2057)</f>
        <v>0</v>
      </c>
      <c r="G2057" s="16">
        <f>IF(NOT(Paths!$C$193=1),0,IF(Paths!$P$193="Complete",E2057/12*(Paths!$J$193*(1+'Operating costs'!$B$51)^MAX(0,C2057-1)+Paths!$K$193*(1+'Operating costs'!$B$53)^MAX(0,C2057-1)),"n.a."))</f>
        <v>0</v>
      </c>
      <c r="H2057" s="16">
        <f>IF(NOT(Paths!$C$193=1),0,IF(Paths!$P$193="Complete",F2057/12*(Paths!$L$193*(1+IF(Paths!$D$193="EV",'Operating costs'!$B$52,'Operating costs'!$B$51))^MAX(0,C2057-1)+Paths!$M$193*(1+'Operating costs'!$B$53)^MAX(0,C2057-1)),"n.a."))</f>
        <v>0</v>
      </c>
      <c r="I2057" s="16">
        <f>IF(NOT(Paths!$C$193=1),0,IF(Paths!$P$193="Complete",IF(IF(Paths!$E$193=0,C2057=0,AND(C2057&gt;0,Paths!$E$193&gt;(C2057-1)*12,Paths!$E$193&lt;=C2057*12)),Paths!$G$193,0),"n.a."))</f>
        <v>0</v>
      </c>
      <c r="J2057" s="16">
        <f>IF(NOT(Paths!$C$193=1),0,IF(Paths!$P$193="Complete",IF(IF(Paths!$E$193=0,C2057=0,AND(C2057&gt;0,Paths!$E$193&gt;(C2057-1)*12,Paths!$E$193&lt;=C2057*12)),Paths!$H$193,0),"n.a."))</f>
        <v>0</v>
      </c>
      <c r="K2057" s="16">
        <f>IF(NOT(Paths!$C$193=1),0,IF(Paths!$P$193="Complete",IF(IF(Paths!$O$193=0,C2057=0,AND(C2057&gt;0,Paths!$O$193&gt;(C2057-1)*12,Paths!$O$193&lt;=C2057*12)),Paths!$N$193,0),"n.a."))</f>
        <v>0</v>
      </c>
      <c r="L2057" s="16">
        <f>IF(NOT(Paths!$C$193=1),0,IF(Paths!$P$193="Complete",IF(C2057=10,Paths!$I$193,0),"n.a."))</f>
        <v>0</v>
      </c>
      <c r="M2057" s="16">
        <f>IF(NOT(Paths!$C$193=1),0,IF(Paths!$P$193="Complete",IF(AND(Paths!$D$193="EV",Paths!$E$193&lt;120,Paths!$E$193+'Operating costs'!$B$65&gt;Paths!$E$193,Paths!$E$193+'Operating costs'!$B$65&lt;=120,IF(Paths!$E$193+'Operating costs'!$B$65=0,C2057=0,AND(C2057&gt;0,Paths!$E$193+'Operating costs'!$B$65&gt;(C2057-1)*12,Paths!$E$193+'Operating costs'!$B$65&lt;=C2057*12))),'Operating costs'!$B$64,0)+IF(AND('Operating costs'!$B$67&gt;0,'Operating costs'!$B$67&lt;=120,OR(Paths!$D$193="ICE",'Operating costs'!$B$67&lt;=Paths!$E$193),IF('Operating costs'!$B$67=0,C2057=0,AND(C2057&gt;0,'Operating costs'!$B$67&gt;(C2057-1)*12,'Operating costs'!$B$67&lt;=C2057*12))),'Operating costs'!$B$66,0),"n.a."))</f>
        <v>0</v>
      </c>
      <c r="N2057" s="16">
        <f>IF(NOT(Paths!$C$193=1),0,IF(Paths!$P$193="Complete",SUM(G2057:I2057)-J2057-K2057-L2057+M2057+IF(C2057=0,Paths!$F$193,0)+IF(IF(Paths!$E$193=0,C2057=0,AND(C2057&gt;0,Paths!$E$193&gt;(C2057-1)*12,Paths!$E$193&lt;=C2057*12)),VLOOKUP(A2057,'Fleet register'!$A$7:$S$106,16,FALSE),0),"n.a."))</f>
        <v>0</v>
      </c>
      <c r="O2057" s="16">
        <f>IF(NOT(Paths!$C$193=1),0,IF(Paths!$P$193="Complete",N2057-IF(C2057=0,Paths!$F$193,0),"n.a."))</f>
        <v>0</v>
      </c>
      <c r="P2057" s="16">
        <f>IF(NOT(Paths!$C$193=1),0,IF(Paths!$P$193="Complete",O2057+L2057,"n.a."))</f>
        <v>0</v>
      </c>
      <c r="Q2057" s="16">
        <f>IF(NOT(Paths!$C$193=1),0,IF(Paths!$P$193="Complete",N2057*(1+'Operating costs'!$B$54)^-C2057,"n.a."))</f>
        <v>0</v>
      </c>
      <c r="R2057" s="16">
        <f>IF(NOT(Paths!$C$193=1),0,IF(Paths!$P$193="Complete",IF(AND(C2057=0,Paths!$E$193=0),I2057-J2057-K2057+VLOOKUP(A2057,'Fleet register'!$A$7:$S$106,15,FALSE)+VLOOKUP(A2057,'Fleet register'!$A$7:$S$106,16,FALSE),0),"n.a."))</f>
        <v>0</v>
      </c>
      <c r="S2057" s="1">
        <f>IF(NOT(Paths!$C$193=1),0,IF(Paths!$P$193="Complete",IF(C2057=0,0,Paths!$S$193*Paths!$R$193),"n.a."))</f>
        <v>0</v>
      </c>
      <c r="T2057" s="1">
        <f>IF(NOT(Paths!$C$193=1),0,IF(Paths!$P$193="Complete",IF(C2057=0,0,VLOOKUP(A2057,'Fleet register'!$A$7:$S$106,9,FALSE)*Paths!$R$193),"n.a."))</f>
        <v>0</v>
      </c>
    </row>
    <row r="2058" spans="1:20" ht="24" customHeight="1">
      <c r="A2058" s="1" t="str">
        <f>Paths!$A$193</f>
        <v>T047</v>
      </c>
      <c r="B2058" s="1">
        <f>Paths!$B$193</f>
        <v>2</v>
      </c>
      <c r="C2058" s="1">
        <v>5</v>
      </c>
      <c r="D2058" s="1">
        <v>193</v>
      </c>
      <c r="E2058" s="1">
        <f>IF(OR(Paths!$C$193=0,C2058=0),0,MAX(0,MIN(C2058*12,Paths!$E$193)-(C2058-1)*12))</f>
        <v>0</v>
      </c>
      <c r="F2058" s="1">
        <f>IF(OR(Paths!$C$193=0,C2058=0),0,12-E2058)</f>
        <v>0</v>
      </c>
      <c r="G2058" s="16">
        <f>IF(NOT(Paths!$C$193=1),0,IF(Paths!$P$193="Complete",E2058/12*(Paths!$J$193*(1+'Operating costs'!$B$51)^MAX(0,C2058-1)+Paths!$K$193*(1+'Operating costs'!$B$53)^MAX(0,C2058-1)),"n.a."))</f>
        <v>0</v>
      </c>
      <c r="H2058" s="16">
        <f>IF(NOT(Paths!$C$193=1),0,IF(Paths!$P$193="Complete",F2058/12*(Paths!$L$193*(1+IF(Paths!$D$193="EV",'Operating costs'!$B$52,'Operating costs'!$B$51))^MAX(0,C2058-1)+Paths!$M$193*(1+'Operating costs'!$B$53)^MAX(0,C2058-1)),"n.a."))</f>
        <v>0</v>
      </c>
      <c r="I2058" s="16">
        <f>IF(NOT(Paths!$C$193=1),0,IF(Paths!$P$193="Complete",IF(IF(Paths!$E$193=0,C2058=0,AND(C2058&gt;0,Paths!$E$193&gt;(C2058-1)*12,Paths!$E$193&lt;=C2058*12)),Paths!$G$193,0),"n.a."))</f>
        <v>0</v>
      </c>
      <c r="J2058" s="16">
        <f>IF(NOT(Paths!$C$193=1),0,IF(Paths!$P$193="Complete",IF(IF(Paths!$E$193=0,C2058=0,AND(C2058&gt;0,Paths!$E$193&gt;(C2058-1)*12,Paths!$E$193&lt;=C2058*12)),Paths!$H$193,0),"n.a."))</f>
        <v>0</v>
      </c>
      <c r="K2058" s="16">
        <f>IF(NOT(Paths!$C$193=1),0,IF(Paths!$P$193="Complete",IF(IF(Paths!$O$193=0,C2058=0,AND(C2058&gt;0,Paths!$O$193&gt;(C2058-1)*12,Paths!$O$193&lt;=C2058*12)),Paths!$N$193,0),"n.a."))</f>
        <v>0</v>
      </c>
      <c r="L2058" s="16">
        <f>IF(NOT(Paths!$C$193=1),0,IF(Paths!$P$193="Complete",IF(C2058=10,Paths!$I$193,0),"n.a."))</f>
        <v>0</v>
      </c>
      <c r="M2058" s="16">
        <f>IF(NOT(Paths!$C$193=1),0,IF(Paths!$P$193="Complete",IF(AND(Paths!$D$193="EV",Paths!$E$193&lt;120,Paths!$E$193+'Operating costs'!$B$65&gt;Paths!$E$193,Paths!$E$193+'Operating costs'!$B$65&lt;=120,IF(Paths!$E$193+'Operating costs'!$B$65=0,C2058=0,AND(C2058&gt;0,Paths!$E$193+'Operating costs'!$B$65&gt;(C2058-1)*12,Paths!$E$193+'Operating costs'!$B$65&lt;=C2058*12))),'Operating costs'!$B$64,0)+IF(AND('Operating costs'!$B$67&gt;0,'Operating costs'!$B$67&lt;=120,OR(Paths!$D$193="ICE",'Operating costs'!$B$67&lt;=Paths!$E$193),IF('Operating costs'!$B$67=0,C2058=0,AND(C2058&gt;0,'Operating costs'!$B$67&gt;(C2058-1)*12,'Operating costs'!$B$67&lt;=C2058*12))),'Operating costs'!$B$66,0),"n.a."))</f>
        <v>0</v>
      </c>
      <c r="N2058" s="16">
        <f>IF(NOT(Paths!$C$193=1),0,IF(Paths!$P$193="Complete",SUM(G2058:I2058)-J2058-K2058-L2058+M2058+IF(C2058=0,Paths!$F$193,0)+IF(IF(Paths!$E$193=0,C2058=0,AND(C2058&gt;0,Paths!$E$193&gt;(C2058-1)*12,Paths!$E$193&lt;=C2058*12)),VLOOKUP(A2058,'Fleet register'!$A$7:$S$106,16,FALSE),0),"n.a."))</f>
        <v>0</v>
      </c>
      <c r="O2058" s="16">
        <f>IF(NOT(Paths!$C$193=1),0,IF(Paths!$P$193="Complete",N2058-IF(C2058=0,Paths!$F$193,0),"n.a."))</f>
        <v>0</v>
      </c>
      <c r="P2058" s="16">
        <f>IF(NOT(Paths!$C$193=1),0,IF(Paths!$P$193="Complete",O2058+L2058,"n.a."))</f>
        <v>0</v>
      </c>
      <c r="Q2058" s="16">
        <f>IF(NOT(Paths!$C$193=1),0,IF(Paths!$P$193="Complete",N2058*(1+'Operating costs'!$B$54)^-C2058,"n.a."))</f>
        <v>0</v>
      </c>
      <c r="R2058" s="16">
        <f>IF(NOT(Paths!$C$193=1),0,IF(Paths!$P$193="Complete",IF(AND(C2058=0,Paths!$E$193=0),I2058-J2058-K2058+VLOOKUP(A2058,'Fleet register'!$A$7:$S$106,15,FALSE)+VLOOKUP(A2058,'Fleet register'!$A$7:$S$106,16,FALSE),0),"n.a."))</f>
        <v>0</v>
      </c>
      <c r="S2058" s="1">
        <f>IF(NOT(Paths!$C$193=1),0,IF(Paths!$P$193="Complete",IF(C2058=0,0,Paths!$S$193*Paths!$R$193),"n.a."))</f>
        <v>0</v>
      </c>
      <c r="T2058" s="1">
        <f>IF(NOT(Paths!$C$193=1),0,IF(Paths!$P$193="Complete",IF(C2058=0,0,VLOOKUP(A2058,'Fleet register'!$A$7:$S$106,9,FALSE)*Paths!$R$193),"n.a."))</f>
        <v>0</v>
      </c>
    </row>
    <row r="2059" spans="1:20" ht="24" customHeight="1">
      <c r="A2059" s="1" t="str">
        <f>Paths!$A$193</f>
        <v>T047</v>
      </c>
      <c r="B2059" s="1">
        <f>Paths!$B$193</f>
        <v>2</v>
      </c>
      <c r="C2059" s="1">
        <v>6</v>
      </c>
      <c r="D2059" s="1">
        <v>193</v>
      </c>
      <c r="E2059" s="1">
        <f>IF(OR(Paths!$C$193=0,C2059=0),0,MAX(0,MIN(C2059*12,Paths!$E$193)-(C2059-1)*12))</f>
        <v>0</v>
      </c>
      <c r="F2059" s="1">
        <f>IF(OR(Paths!$C$193=0,C2059=0),0,12-E2059)</f>
        <v>0</v>
      </c>
      <c r="G2059" s="16">
        <f>IF(NOT(Paths!$C$193=1),0,IF(Paths!$P$193="Complete",E2059/12*(Paths!$J$193*(1+'Operating costs'!$B$51)^MAX(0,C2059-1)+Paths!$K$193*(1+'Operating costs'!$B$53)^MAX(0,C2059-1)),"n.a."))</f>
        <v>0</v>
      </c>
      <c r="H2059" s="16">
        <f>IF(NOT(Paths!$C$193=1),0,IF(Paths!$P$193="Complete",F2059/12*(Paths!$L$193*(1+IF(Paths!$D$193="EV",'Operating costs'!$B$52,'Operating costs'!$B$51))^MAX(0,C2059-1)+Paths!$M$193*(1+'Operating costs'!$B$53)^MAX(0,C2059-1)),"n.a."))</f>
        <v>0</v>
      </c>
      <c r="I2059" s="16">
        <f>IF(NOT(Paths!$C$193=1),0,IF(Paths!$P$193="Complete",IF(IF(Paths!$E$193=0,C2059=0,AND(C2059&gt;0,Paths!$E$193&gt;(C2059-1)*12,Paths!$E$193&lt;=C2059*12)),Paths!$G$193,0),"n.a."))</f>
        <v>0</v>
      </c>
      <c r="J2059" s="16">
        <f>IF(NOT(Paths!$C$193=1),0,IF(Paths!$P$193="Complete",IF(IF(Paths!$E$193=0,C2059=0,AND(C2059&gt;0,Paths!$E$193&gt;(C2059-1)*12,Paths!$E$193&lt;=C2059*12)),Paths!$H$193,0),"n.a."))</f>
        <v>0</v>
      </c>
      <c r="K2059" s="16">
        <f>IF(NOT(Paths!$C$193=1),0,IF(Paths!$P$193="Complete",IF(IF(Paths!$O$193=0,C2059=0,AND(C2059&gt;0,Paths!$O$193&gt;(C2059-1)*12,Paths!$O$193&lt;=C2059*12)),Paths!$N$193,0),"n.a."))</f>
        <v>0</v>
      </c>
      <c r="L2059" s="16">
        <f>IF(NOT(Paths!$C$193=1),0,IF(Paths!$P$193="Complete",IF(C2059=10,Paths!$I$193,0),"n.a."))</f>
        <v>0</v>
      </c>
      <c r="M2059" s="16">
        <f>IF(NOT(Paths!$C$193=1),0,IF(Paths!$P$193="Complete",IF(AND(Paths!$D$193="EV",Paths!$E$193&lt;120,Paths!$E$193+'Operating costs'!$B$65&gt;Paths!$E$193,Paths!$E$193+'Operating costs'!$B$65&lt;=120,IF(Paths!$E$193+'Operating costs'!$B$65=0,C2059=0,AND(C2059&gt;0,Paths!$E$193+'Operating costs'!$B$65&gt;(C2059-1)*12,Paths!$E$193+'Operating costs'!$B$65&lt;=C2059*12))),'Operating costs'!$B$64,0)+IF(AND('Operating costs'!$B$67&gt;0,'Operating costs'!$B$67&lt;=120,OR(Paths!$D$193="ICE",'Operating costs'!$B$67&lt;=Paths!$E$193),IF('Operating costs'!$B$67=0,C2059=0,AND(C2059&gt;0,'Operating costs'!$B$67&gt;(C2059-1)*12,'Operating costs'!$B$67&lt;=C2059*12))),'Operating costs'!$B$66,0),"n.a."))</f>
        <v>0</v>
      </c>
      <c r="N2059" s="16">
        <f>IF(NOT(Paths!$C$193=1),0,IF(Paths!$P$193="Complete",SUM(G2059:I2059)-J2059-K2059-L2059+M2059+IF(C2059=0,Paths!$F$193,0)+IF(IF(Paths!$E$193=0,C2059=0,AND(C2059&gt;0,Paths!$E$193&gt;(C2059-1)*12,Paths!$E$193&lt;=C2059*12)),VLOOKUP(A2059,'Fleet register'!$A$7:$S$106,16,FALSE),0),"n.a."))</f>
        <v>0</v>
      </c>
      <c r="O2059" s="16">
        <f>IF(NOT(Paths!$C$193=1),0,IF(Paths!$P$193="Complete",N2059-IF(C2059=0,Paths!$F$193,0),"n.a."))</f>
        <v>0</v>
      </c>
      <c r="P2059" s="16">
        <f>IF(NOT(Paths!$C$193=1),0,IF(Paths!$P$193="Complete",O2059+L2059,"n.a."))</f>
        <v>0</v>
      </c>
      <c r="Q2059" s="16">
        <f>IF(NOT(Paths!$C$193=1),0,IF(Paths!$P$193="Complete",N2059*(1+'Operating costs'!$B$54)^-C2059,"n.a."))</f>
        <v>0</v>
      </c>
      <c r="R2059" s="16">
        <f>IF(NOT(Paths!$C$193=1),0,IF(Paths!$P$193="Complete",IF(AND(C2059=0,Paths!$E$193=0),I2059-J2059-K2059+VLOOKUP(A2059,'Fleet register'!$A$7:$S$106,15,FALSE)+VLOOKUP(A2059,'Fleet register'!$A$7:$S$106,16,FALSE),0),"n.a."))</f>
        <v>0</v>
      </c>
      <c r="S2059" s="1">
        <f>IF(NOT(Paths!$C$193=1),0,IF(Paths!$P$193="Complete",IF(C2059=0,0,Paths!$S$193*Paths!$R$193),"n.a."))</f>
        <v>0</v>
      </c>
      <c r="T2059" s="1">
        <f>IF(NOT(Paths!$C$193=1),0,IF(Paths!$P$193="Complete",IF(C2059=0,0,VLOOKUP(A2059,'Fleet register'!$A$7:$S$106,9,FALSE)*Paths!$R$193),"n.a."))</f>
        <v>0</v>
      </c>
    </row>
    <row r="2060" spans="1:20" ht="24" customHeight="1">
      <c r="A2060" s="1" t="str">
        <f>Paths!$A$193</f>
        <v>T047</v>
      </c>
      <c r="B2060" s="1">
        <f>Paths!$B$193</f>
        <v>2</v>
      </c>
      <c r="C2060" s="1">
        <v>7</v>
      </c>
      <c r="D2060" s="1">
        <v>193</v>
      </c>
      <c r="E2060" s="1">
        <f>IF(OR(Paths!$C$193=0,C2060=0),0,MAX(0,MIN(C2060*12,Paths!$E$193)-(C2060-1)*12))</f>
        <v>0</v>
      </c>
      <c r="F2060" s="1">
        <f>IF(OR(Paths!$C$193=0,C2060=0),0,12-E2060)</f>
        <v>0</v>
      </c>
      <c r="G2060" s="16">
        <f>IF(NOT(Paths!$C$193=1),0,IF(Paths!$P$193="Complete",E2060/12*(Paths!$J$193*(1+'Operating costs'!$B$51)^MAX(0,C2060-1)+Paths!$K$193*(1+'Operating costs'!$B$53)^MAX(0,C2060-1)),"n.a."))</f>
        <v>0</v>
      </c>
      <c r="H2060" s="16">
        <f>IF(NOT(Paths!$C$193=1),0,IF(Paths!$P$193="Complete",F2060/12*(Paths!$L$193*(1+IF(Paths!$D$193="EV",'Operating costs'!$B$52,'Operating costs'!$B$51))^MAX(0,C2060-1)+Paths!$M$193*(1+'Operating costs'!$B$53)^MAX(0,C2060-1)),"n.a."))</f>
        <v>0</v>
      </c>
      <c r="I2060" s="16">
        <f>IF(NOT(Paths!$C$193=1),0,IF(Paths!$P$193="Complete",IF(IF(Paths!$E$193=0,C2060=0,AND(C2060&gt;0,Paths!$E$193&gt;(C2060-1)*12,Paths!$E$193&lt;=C2060*12)),Paths!$G$193,0),"n.a."))</f>
        <v>0</v>
      </c>
      <c r="J2060" s="16">
        <f>IF(NOT(Paths!$C$193=1),0,IF(Paths!$P$193="Complete",IF(IF(Paths!$E$193=0,C2060=0,AND(C2060&gt;0,Paths!$E$193&gt;(C2060-1)*12,Paths!$E$193&lt;=C2060*12)),Paths!$H$193,0),"n.a."))</f>
        <v>0</v>
      </c>
      <c r="K2060" s="16">
        <f>IF(NOT(Paths!$C$193=1),0,IF(Paths!$P$193="Complete",IF(IF(Paths!$O$193=0,C2060=0,AND(C2060&gt;0,Paths!$O$193&gt;(C2060-1)*12,Paths!$O$193&lt;=C2060*12)),Paths!$N$193,0),"n.a."))</f>
        <v>0</v>
      </c>
      <c r="L2060" s="16">
        <f>IF(NOT(Paths!$C$193=1),0,IF(Paths!$P$193="Complete",IF(C2060=10,Paths!$I$193,0),"n.a."))</f>
        <v>0</v>
      </c>
      <c r="M2060" s="16">
        <f>IF(NOT(Paths!$C$193=1),0,IF(Paths!$P$193="Complete",IF(AND(Paths!$D$193="EV",Paths!$E$193&lt;120,Paths!$E$193+'Operating costs'!$B$65&gt;Paths!$E$193,Paths!$E$193+'Operating costs'!$B$65&lt;=120,IF(Paths!$E$193+'Operating costs'!$B$65=0,C2060=0,AND(C2060&gt;0,Paths!$E$193+'Operating costs'!$B$65&gt;(C2060-1)*12,Paths!$E$193+'Operating costs'!$B$65&lt;=C2060*12))),'Operating costs'!$B$64,0)+IF(AND('Operating costs'!$B$67&gt;0,'Operating costs'!$B$67&lt;=120,OR(Paths!$D$193="ICE",'Operating costs'!$B$67&lt;=Paths!$E$193),IF('Operating costs'!$B$67=0,C2060=0,AND(C2060&gt;0,'Operating costs'!$B$67&gt;(C2060-1)*12,'Operating costs'!$B$67&lt;=C2060*12))),'Operating costs'!$B$66,0),"n.a."))</f>
        <v>0</v>
      </c>
      <c r="N2060" s="16">
        <f>IF(NOT(Paths!$C$193=1),0,IF(Paths!$P$193="Complete",SUM(G2060:I2060)-J2060-K2060-L2060+M2060+IF(C2060=0,Paths!$F$193,0)+IF(IF(Paths!$E$193=0,C2060=0,AND(C2060&gt;0,Paths!$E$193&gt;(C2060-1)*12,Paths!$E$193&lt;=C2060*12)),VLOOKUP(A2060,'Fleet register'!$A$7:$S$106,16,FALSE),0),"n.a."))</f>
        <v>0</v>
      </c>
      <c r="O2060" s="16">
        <f>IF(NOT(Paths!$C$193=1),0,IF(Paths!$P$193="Complete",N2060-IF(C2060=0,Paths!$F$193,0),"n.a."))</f>
        <v>0</v>
      </c>
      <c r="P2060" s="16">
        <f>IF(NOT(Paths!$C$193=1),0,IF(Paths!$P$193="Complete",O2060+L2060,"n.a."))</f>
        <v>0</v>
      </c>
      <c r="Q2060" s="16">
        <f>IF(NOT(Paths!$C$193=1),0,IF(Paths!$P$193="Complete",N2060*(1+'Operating costs'!$B$54)^-C2060,"n.a."))</f>
        <v>0</v>
      </c>
      <c r="R2060" s="16">
        <f>IF(NOT(Paths!$C$193=1),0,IF(Paths!$P$193="Complete",IF(AND(C2060=0,Paths!$E$193=0),I2060-J2060-K2060+VLOOKUP(A2060,'Fleet register'!$A$7:$S$106,15,FALSE)+VLOOKUP(A2060,'Fleet register'!$A$7:$S$106,16,FALSE),0),"n.a."))</f>
        <v>0</v>
      </c>
      <c r="S2060" s="1">
        <f>IF(NOT(Paths!$C$193=1),0,IF(Paths!$P$193="Complete",IF(C2060=0,0,Paths!$S$193*Paths!$R$193),"n.a."))</f>
        <v>0</v>
      </c>
      <c r="T2060" s="1">
        <f>IF(NOT(Paths!$C$193=1),0,IF(Paths!$P$193="Complete",IF(C2060=0,0,VLOOKUP(A2060,'Fleet register'!$A$7:$S$106,9,FALSE)*Paths!$R$193),"n.a."))</f>
        <v>0</v>
      </c>
    </row>
    <row r="2061" spans="1:20" ht="24" customHeight="1">
      <c r="A2061" s="1" t="str">
        <f>Paths!$A$193</f>
        <v>T047</v>
      </c>
      <c r="B2061" s="1">
        <f>Paths!$B$193</f>
        <v>2</v>
      </c>
      <c r="C2061" s="1">
        <v>8</v>
      </c>
      <c r="D2061" s="1">
        <v>193</v>
      </c>
      <c r="E2061" s="1">
        <f>IF(OR(Paths!$C$193=0,C2061=0),0,MAX(0,MIN(C2061*12,Paths!$E$193)-(C2061-1)*12))</f>
        <v>0</v>
      </c>
      <c r="F2061" s="1">
        <f>IF(OR(Paths!$C$193=0,C2061=0),0,12-E2061)</f>
        <v>0</v>
      </c>
      <c r="G2061" s="16">
        <f>IF(NOT(Paths!$C$193=1),0,IF(Paths!$P$193="Complete",E2061/12*(Paths!$J$193*(1+'Operating costs'!$B$51)^MAX(0,C2061-1)+Paths!$K$193*(1+'Operating costs'!$B$53)^MAX(0,C2061-1)),"n.a."))</f>
        <v>0</v>
      </c>
      <c r="H2061" s="16">
        <f>IF(NOT(Paths!$C$193=1),0,IF(Paths!$P$193="Complete",F2061/12*(Paths!$L$193*(1+IF(Paths!$D$193="EV",'Operating costs'!$B$52,'Operating costs'!$B$51))^MAX(0,C2061-1)+Paths!$M$193*(1+'Operating costs'!$B$53)^MAX(0,C2061-1)),"n.a."))</f>
        <v>0</v>
      </c>
      <c r="I2061" s="16">
        <f>IF(NOT(Paths!$C$193=1),0,IF(Paths!$P$193="Complete",IF(IF(Paths!$E$193=0,C2061=0,AND(C2061&gt;0,Paths!$E$193&gt;(C2061-1)*12,Paths!$E$193&lt;=C2061*12)),Paths!$G$193,0),"n.a."))</f>
        <v>0</v>
      </c>
      <c r="J2061" s="16">
        <f>IF(NOT(Paths!$C$193=1),0,IF(Paths!$P$193="Complete",IF(IF(Paths!$E$193=0,C2061=0,AND(C2061&gt;0,Paths!$E$193&gt;(C2061-1)*12,Paths!$E$193&lt;=C2061*12)),Paths!$H$193,0),"n.a."))</f>
        <v>0</v>
      </c>
      <c r="K2061" s="16">
        <f>IF(NOT(Paths!$C$193=1),0,IF(Paths!$P$193="Complete",IF(IF(Paths!$O$193=0,C2061=0,AND(C2061&gt;0,Paths!$O$193&gt;(C2061-1)*12,Paths!$O$193&lt;=C2061*12)),Paths!$N$193,0),"n.a."))</f>
        <v>0</v>
      </c>
      <c r="L2061" s="16">
        <f>IF(NOT(Paths!$C$193=1),0,IF(Paths!$P$193="Complete",IF(C2061=10,Paths!$I$193,0),"n.a."))</f>
        <v>0</v>
      </c>
      <c r="M2061" s="16">
        <f>IF(NOT(Paths!$C$193=1),0,IF(Paths!$P$193="Complete",IF(AND(Paths!$D$193="EV",Paths!$E$193&lt;120,Paths!$E$193+'Operating costs'!$B$65&gt;Paths!$E$193,Paths!$E$193+'Operating costs'!$B$65&lt;=120,IF(Paths!$E$193+'Operating costs'!$B$65=0,C2061=0,AND(C2061&gt;0,Paths!$E$193+'Operating costs'!$B$65&gt;(C2061-1)*12,Paths!$E$193+'Operating costs'!$B$65&lt;=C2061*12))),'Operating costs'!$B$64,0)+IF(AND('Operating costs'!$B$67&gt;0,'Operating costs'!$B$67&lt;=120,OR(Paths!$D$193="ICE",'Operating costs'!$B$67&lt;=Paths!$E$193),IF('Operating costs'!$B$67=0,C2061=0,AND(C2061&gt;0,'Operating costs'!$B$67&gt;(C2061-1)*12,'Operating costs'!$B$67&lt;=C2061*12))),'Operating costs'!$B$66,0),"n.a."))</f>
        <v>0</v>
      </c>
      <c r="N2061" s="16">
        <f>IF(NOT(Paths!$C$193=1),0,IF(Paths!$P$193="Complete",SUM(G2061:I2061)-J2061-K2061-L2061+M2061+IF(C2061=0,Paths!$F$193,0)+IF(IF(Paths!$E$193=0,C2061=0,AND(C2061&gt;0,Paths!$E$193&gt;(C2061-1)*12,Paths!$E$193&lt;=C2061*12)),VLOOKUP(A2061,'Fleet register'!$A$7:$S$106,16,FALSE),0),"n.a."))</f>
        <v>0</v>
      </c>
      <c r="O2061" s="16">
        <f>IF(NOT(Paths!$C$193=1),0,IF(Paths!$P$193="Complete",N2061-IF(C2061=0,Paths!$F$193,0),"n.a."))</f>
        <v>0</v>
      </c>
      <c r="P2061" s="16">
        <f>IF(NOT(Paths!$C$193=1),0,IF(Paths!$P$193="Complete",O2061+L2061,"n.a."))</f>
        <v>0</v>
      </c>
      <c r="Q2061" s="16">
        <f>IF(NOT(Paths!$C$193=1),0,IF(Paths!$P$193="Complete",N2061*(1+'Operating costs'!$B$54)^-C2061,"n.a."))</f>
        <v>0</v>
      </c>
      <c r="R2061" s="16">
        <f>IF(NOT(Paths!$C$193=1),0,IF(Paths!$P$193="Complete",IF(AND(C2061=0,Paths!$E$193=0),I2061-J2061-K2061+VLOOKUP(A2061,'Fleet register'!$A$7:$S$106,15,FALSE)+VLOOKUP(A2061,'Fleet register'!$A$7:$S$106,16,FALSE),0),"n.a."))</f>
        <v>0</v>
      </c>
      <c r="S2061" s="1">
        <f>IF(NOT(Paths!$C$193=1),0,IF(Paths!$P$193="Complete",IF(C2061=0,0,Paths!$S$193*Paths!$R$193),"n.a."))</f>
        <v>0</v>
      </c>
      <c r="T2061" s="1">
        <f>IF(NOT(Paths!$C$193=1),0,IF(Paths!$P$193="Complete",IF(C2061=0,0,VLOOKUP(A2061,'Fleet register'!$A$7:$S$106,9,FALSE)*Paths!$R$193),"n.a."))</f>
        <v>0</v>
      </c>
    </row>
    <row r="2062" spans="1:20" ht="24" customHeight="1">
      <c r="A2062" s="1" t="str">
        <f>Paths!$A$193</f>
        <v>T047</v>
      </c>
      <c r="B2062" s="1">
        <f>Paths!$B$193</f>
        <v>2</v>
      </c>
      <c r="C2062" s="1">
        <v>9</v>
      </c>
      <c r="D2062" s="1">
        <v>193</v>
      </c>
      <c r="E2062" s="1">
        <f>IF(OR(Paths!$C$193=0,C2062=0),0,MAX(0,MIN(C2062*12,Paths!$E$193)-(C2062-1)*12))</f>
        <v>0</v>
      </c>
      <c r="F2062" s="1">
        <f>IF(OR(Paths!$C$193=0,C2062=0),0,12-E2062)</f>
        <v>0</v>
      </c>
      <c r="G2062" s="16">
        <f>IF(NOT(Paths!$C$193=1),0,IF(Paths!$P$193="Complete",E2062/12*(Paths!$J$193*(1+'Operating costs'!$B$51)^MAX(0,C2062-1)+Paths!$K$193*(1+'Operating costs'!$B$53)^MAX(0,C2062-1)),"n.a."))</f>
        <v>0</v>
      </c>
      <c r="H2062" s="16">
        <f>IF(NOT(Paths!$C$193=1),0,IF(Paths!$P$193="Complete",F2062/12*(Paths!$L$193*(1+IF(Paths!$D$193="EV",'Operating costs'!$B$52,'Operating costs'!$B$51))^MAX(0,C2062-1)+Paths!$M$193*(1+'Operating costs'!$B$53)^MAX(0,C2062-1)),"n.a."))</f>
        <v>0</v>
      </c>
      <c r="I2062" s="16">
        <f>IF(NOT(Paths!$C$193=1),0,IF(Paths!$P$193="Complete",IF(IF(Paths!$E$193=0,C2062=0,AND(C2062&gt;0,Paths!$E$193&gt;(C2062-1)*12,Paths!$E$193&lt;=C2062*12)),Paths!$G$193,0),"n.a."))</f>
        <v>0</v>
      </c>
      <c r="J2062" s="16">
        <f>IF(NOT(Paths!$C$193=1),0,IF(Paths!$P$193="Complete",IF(IF(Paths!$E$193=0,C2062=0,AND(C2062&gt;0,Paths!$E$193&gt;(C2062-1)*12,Paths!$E$193&lt;=C2062*12)),Paths!$H$193,0),"n.a."))</f>
        <v>0</v>
      </c>
      <c r="K2062" s="16">
        <f>IF(NOT(Paths!$C$193=1),0,IF(Paths!$P$193="Complete",IF(IF(Paths!$O$193=0,C2062=0,AND(C2062&gt;0,Paths!$O$193&gt;(C2062-1)*12,Paths!$O$193&lt;=C2062*12)),Paths!$N$193,0),"n.a."))</f>
        <v>0</v>
      </c>
      <c r="L2062" s="16">
        <f>IF(NOT(Paths!$C$193=1),0,IF(Paths!$P$193="Complete",IF(C2062=10,Paths!$I$193,0),"n.a."))</f>
        <v>0</v>
      </c>
      <c r="M2062" s="16">
        <f>IF(NOT(Paths!$C$193=1),0,IF(Paths!$P$193="Complete",IF(AND(Paths!$D$193="EV",Paths!$E$193&lt;120,Paths!$E$193+'Operating costs'!$B$65&gt;Paths!$E$193,Paths!$E$193+'Operating costs'!$B$65&lt;=120,IF(Paths!$E$193+'Operating costs'!$B$65=0,C2062=0,AND(C2062&gt;0,Paths!$E$193+'Operating costs'!$B$65&gt;(C2062-1)*12,Paths!$E$193+'Operating costs'!$B$65&lt;=C2062*12))),'Operating costs'!$B$64,0)+IF(AND('Operating costs'!$B$67&gt;0,'Operating costs'!$B$67&lt;=120,OR(Paths!$D$193="ICE",'Operating costs'!$B$67&lt;=Paths!$E$193),IF('Operating costs'!$B$67=0,C2062=0,AND(C2062&gt;0,'Operating costs'!$B$67&gt;(C2062-1)*12,'Operating costs'!$B$67&lt;=C2062*12))),'Operating costs'!$B$66,0),"n.a."))</f>
        <v>0</v>
      </c>
      <c r="N2062" s="16">
        <f>IF(NOT(Paths!$C$193=1),0,IF(Paths!$P$193="Complete",SUM(G2062:I2062)-J2062-K2062-L2062+M2062+IF(C2062=0,Paths!$F$193,0)+IF(IF(Paths!$E$193=0,C2062=0,AND(C2062&gt;0,Paths!$E$193&gt;(C2062-1)*12,Paths!$E$193&lt;=C2062*12)),VLOOKUP(A2062,'Fleet register'!$A$7:$S$106,16,FALSE),0),"n.a."))</f>
        <v>0</v>
      </c>
      <c r="O2062" s="16">
        <f>IF(NOT(Paths!$C$193=1),0,IF(Paths!$P$193="Complete",N2062-IF(C2062=0,Paths!$F$193,0),"n.a."))</f>
        <v>0</v>
      </c>
      <c r="P2062" s="16">
        <f>IF(NOT(Paths!$C$193=1),0,IF(Paths!$P$193="Complete",O2062+L2062,"n.a."))</f>
        <v>0</v>
      </c>
      <c r="Q2062" s="16">
        <f>IF(NOT(Paths!$C$193=1),0,IF(Paths!$P$193="Complete",N2062*(1+'Operating costs'!$B$54)^-C2062,"n.a."))</f>
        <v>0</v>
      </c>
      <c r="R2062" s="16">
        <f>IF(NOT(Paths!$C$193=1),0,IF(Paths!$P$193="Complete",IF(AND(C2062=0,Paths!$E$193=0),I2062-J2062-K2062+VLOOKUP(A2062,'Fleet register'!$A$7:$S$106,15,FALSE)+VLOOKUP(A2062,'Fleet register'!$A$7:$S$106,16,FALSE),0),"n.a."))</f>
        <v>0</v>
      </c>
      <c r="S2062" s="1">
        <f>IF(NOT(Paths!$C$193=1),0,IF(Paths!$P$193="Complete",IF(C2062=0,0,Paths!$S$193*Paths!$R$193),"n.a."))</f>
        <v>0</v>
      </c>
      <c r="T2062" s="1">
        <f>IF(NOT(Paths!$C$193=1),0,IF(Paths!$P$193="Complete",IF(C2062=0,0,VLOOKUP(A2062,'Fleet register'!$A$7:$S$106,9,FALSE)*Paths!$R$193),"n.a."))</f>
        <v>0</v>
      </c>
    </row>
    <row r="2063" spans="1:20" ht="24" customHeight="1">
      <c r="A2063" s="1" t="str">
        <f>Paths!$A$193</f>
        <v>T047</v>
      </c>
      <c r="B2063" s="1">
        <f>Paths!$B$193</f>
        <v>2</v>
      </c>
      <c r="C2063" s="1">
        <v>10</v>
      </c>
      <c r="D2063" s="1">
        <v>193</v>
      </c>
      <c r="E2063" s="1">
        <f>IF(OR(Paths!$C$193=0,C2063=0),0,MAX(0,MIN(C2063*12,Paths!$E$193)-(C2063-1)*12))</f>
        <v>0</v>
      </c>
      <c r="F2063" s="1">
        <f>IF(OR(Paths!$C$193=0,C2063=0),0,12-E2063)</f>
        <v>0</v>
      </c>
      <c r="G2063" s="16">
        <f>IF(NOT(Paths!$C$193=1),0,IF(Paths!$P$193="Complete",E2063/12*(Paths!$J$193*(1+'Operating costs'!$B$51)^MAX(0,C2063-1)+Paths!$K$193*(1+'Operating costs'!$B$53)^MAX(0,C2063-1)),"n.a."))</f>
        <v>0</v>
      </c>
      <c r="H2063" s="16">
        <f>IF(NOT(Paths!$C$193=1),0,IF(Paths!$P$193="Complete",F2063/12*(Paths!$L$193*(1+IF(Paths!$D$193="EV",'Operating costs'!$B$52,'Operating costs'!$B$51))^MAX(0,C2063-1)+Paths!$M$193*(1+'Operating costs'!$B$53)^MAX(0,C2063-1)),"n.a."))</f>
        <v>0</v>
      </c>
      <c r="I2063" s="16">
        <f>IF(NOT(Paths!$C$193=1),0,IF(Paths!$P$193="Complete",IF(IF(Paths!$E$193=0,C2063=0,AND(C2063&gt;0,Paths!$E$193&gt;(C2063-1)*12,Paths!$E$193&lt;=C2063*12)),Paths!$G$193,0),"n.a."))</f>
        <v>0</v>
      </c>
      <c r="J2063" s="16">
        <f>IF(NOT(Paths!$C$193=1),0,IF(Paths!$P$193="Complete",IF(IF(Paths!$E$193=0,C2063=0,AND(C2063&gt;0,Paths!$E$193&gt;(C2063-1)*12,Paths!$E$193&lt;=C2063*12)),Paths!$H$193,0),"n.a."))</f>
        <v>0</v>
      </c>
      <c r="K2063" s="16">
        <f>IF(NOT(Paths!$C$193=1),0,IF(Paths!$P$193="Complete",IF(IF(Paths!$O$193=0,C2063=0,AND(C2063&gt;0,Paths!$O$193&gt;(C2063-1)*12,Paths!$O$193&lt;=C2063*12)),Paths!$N$193,0),"n.a."))</f>
        <v>0</v>
      </c>
      <c r="L2063" s="16">
        <f>IF(NOT(Paths!$C$193=1),0,IF(Paths!$P$193="Complete",IF(C2063=10,Paths!$I$193,0),"n.a."))</f>
        <v>0</v>
      </c>
      <c r="M2063" s="16">
        <f>IF(NOT(Paths!$C$193=1),0,IF(Paths!$P$193="Complete",IF(AND(Paths!$D$193="EV",Paths!$E$193&lt;120,Paths!$E$193+'Operating costs'!$B$65&gt;Paths!$E$193,Paths!$E$193+'Operating costs'!$B$65&lt;=120,IF(Paths!$E$193+'Operating costs'!$B$65=0,C2063=0,AND(C2063&gt;0,Paths!$E$193+'Operating costs'!$B$65&gt;(C2063-1)*12,Paths!$E$193+'Operating costs'!$B$65&lt;=C2063*12))),'Operating costs'!$B$64,0)+IF(AND('Operating costs'!$B$67&gt;0,'Operating costs'!$B$67&lt;=120,OR(Paths!$D$193="ICE",'Operating costs'!$B$67&lt;=Paths!$E$193),IF('Operating costs'!$B$67=0,C2063=0,AND(C2063&gt;0,'Operating costs'!$B$67&gt;(C2063-1)*12,'Operating costs'!$B$67&lt;=C2063*12))),'Operating costs'!$B$66,0),"n.a."))</f>
        <v>0</v>
      </c>
      <c r="N2063" s="16">
        <f>IF(NOT(Paths!$C$193=1),0,IF(Paths!$P$193="Complete",SUM(G2063:I2063)-J2063-K2063-L2063+M2063+IF(C2063=0,Paths!$F$193,0)+IF(IF(Paths!$E$193=0,C2063=0,AND(C2063&gt;0,Paths!$E$193&gt;(C2063-1)*12,Paths!$E$193&lt;=C2063*12)),VLOOKUP(A2063,'Fleet register'!$A$7:$S$106,16,FALSE),0),"n.a."))</f>
        <v>0</v>
      </c>
      <c r="O2063" s="16">
        <f>IF(NOT(Paths!$C$193=1),0,IF(Paths!$P$193="Complete",N2063-IF(C2063=0,Paths!$F$193,0),"n.a."))</f>
        <v>0</v>
      </c>
      <c r="P2063" s="16">
        <f>IF(NOT(Paths!$C$193=1),0,IF(Paths!$P$193="Complete",O2063+L2063,"n.a."))</f>
        <v>0</v>
      </c>
      <c r="Q2063" s="16">
        <f>IF(NOT(Paths!$C$193=1),0,IF(Paths!$P$193="Complete",N2063*(1+'Operating costs'!$B$54)^-C2063,"n.a."))</f>
        <v>0</v>
      </c>
      <c r="R2063" s="16">
        <f>IF(NOT(Paths!$C$193=1),0,IF(Paths!$P$193="Complete",IF(AND(C2063=0,Paths!$E$193=0),I2063-J2063-K2063+VLOOKUP(A2063,'Fleet register'!$A$7:$S$106,15,FALSE)+VLOOKUP(A2063,'Fleet register'!$A$7:$S$106,16,FALSE),0),"n.a."))</f>
        <v>0</v>
      </c>
      <c r="S2063" s="1">
        <f>IF(NOT(Paths!$C$193=1),0,IF(Paths!$P$193="Complete",IF(C2063=0,0,Paths!$S$193*Paths!$R$193),"n.a."))</f>
        <v>0</v>
      </c>
      <c r="T2063" s="1">
        <f>IF(NOT(Paths!$C$193=1),0,IF(Paths!$P$193="Complete",IF(C2063=0,0,VLOOKUP(A2063,'Fleet register'!$A$7:$S$106,9,FALSE)*Paths!$R$193),"n.a."))</f>
        <v>0</v>
      </c>
    </row>
    <row r="2064" spans="1:20" ht="24" customHeight="1">
      <c r="A2064" s="1" t="str">
        <f>Paths!$A$194</f>
        <v>T047</v>
      </c>
      <c r="B2064" s="1">
        <f>Paths!$B$194</f>
        <v>3</v>
      </c>
      <c r="C2064" s="1">
        <v>0</v>
      </c>
      <c r="D2064" s="1">
        <v>194</v>
      </c>
      <c r="E2064" s="1">
        <f>IF(OR(Paths!$C$194=0,C2064=0),0,MAX(0,MIN(C2064*12,Paths!$E$194)-(C2064-1)*12))</f>
        <v>0</v>
      </c>
      <c r="F2064" s="1">
        <f>IF(OR(Paths!$C$194=0,C2064=0),0,12-E2064)</f>
        <v>0</v>
      </c>
      <c r="G2064" s="16">
        <f>IF(NOT(Paths!$C$194=1),0,IF(Paths!$P$194="Complete",E2064/12*(Paths!$J$194*(1+'Operating costs'!$B$51)^MAX(0,C2064-1)+Paths!$K$194*(1+'Operating costs'!$B$53)^MAX(0,C2064-1)),"n.a."))</f>
        <v>0</v>
      </c>
      <c r="H2064" s="16">
        <f>IF(NOT(Paths!$C$194=1),0,IF(Paths!$P$194="Complete",F2064/12*(Paths!$L$194*(1+IF(Paths!$D$194="EV",'Operating costs'!$B$52,'Operating costs'!$B$51))^MAX(0,C2064-1)+Paths!$M$194*(1+'Operating costs'!$B$53)^MAX(0,C2064-1)),"n.a."))</f>
        <v>0</v>
      </c>
      <c r="I2064" s="16">
        <f>IF(NOT(Paths!$C$194=1),0,IF(Paths!$P$194="Complete",IF(IF(Paths!$E$194=0,C2064=0,AND(C2064&gt;0,Paths!$E$194&gt;(C2064-1)*12,Paths!$E$194&lt;=C2064*12)),Paths!$G$194,0),"n.a."))</f>
        <v>0</v>
      </c>
      <c r="J2064" s="16">
        <f>IF(NOT(Paths!$C$194=1),0,IF(Paths!$P$194="Complete",IF(IF(Paths!$E$194=0,C2064=0,AND(C2064&gt;0,Paths!$E$194&gt;(C2064-1)*12,Paths!$E$194&lt;=C2064*12)),Paths!$H$194,0),"n.a."))</f>
        <v>0</v>
      </c>
      <c r="K2064" s="16">
        <f>IF(NOT(Paths!$C$194=1),0,IF(Paths!$P$194="Complete",IF(IF(Paths!$O$194=0,C2064=0,AND(C2064&gt;0,Paths!$O$194&gt;(C2064-1)*12,Paths!$O$194&lt;=C2064*12)),Paths!$N$194,0),"n.a."))</f>
        <v>0</v>
      </c>
      <c r="L2064" s="16">
        <f>IF(NOT(Paths!$C$194=1),0,IF(Paths!$P$194="Complete",IF(C2064=10,Paths!$I$194,0),"n.a."))</f>
        <v>0</v>
      </c>
      <c r="M2064" s="16">
        <f>IF(NOT(Paths!$C$194=1),0,IF(Paths!$P$194="Complete",IF(AND(Paths!$D$194="EV",Paths!$E$194&lt;120,Paths!$E$194+'Operating costs'!$B$65&gt;Paths!$E$194,Paths!$E$194+'Operating costs'!$B$65&lt;=120,IF(Paths!$E$194+'Operating costs'!$B$65=0,C2064=0,AND(C2064&gt;0,Paths!$E$194+'Operating costs'!$B$65&gt;(C2064-1)*12,Paths!$E$194+'Operating costs'!$B$65&lt;=C2064*12))),'Operating costs'!$B$64,0)+IF(AND('Operating costs'!$B$67&gt;0,'Operating costs'!$B$67&lt;=120,OR(Paths!$D$194="ICE",'Operating costs'!$B$67&lt;=Paths!$E$194),IF('Operating costs'!$B$67=0,C2064=0,AND(C2064&gt;0,'Operating costs'!$B$67&gt;(C2064-1)*12,'Operating costs'!$B$67&lt;=C2064*12))),'Operating costs'!$B$66,0),"n.a."))</f>
        <v>0</v>
      </c>
      <c r="N2064" s="16">
        <f>IF(NOT(Paths!$C$194=1),0,IF(Paths!$P$194="Complete",SUM(G2064:I2064)-J2064-K2064-L2064+M2064+IF(C2064=0,Paths!$F$194,0)+IF(IF(Paths!$E$194=0,C2064=0,AND(C2064&gt;0,Paths!$E$194&gt;(C2064-1)*12,Paths!$E$194&lt;=C2064*12)),VLOOKUP(A2064,'Fleet register'!$A$7:$S$106,16,FALSE),0),"n.a."))</f>
        <v>0</v>
      </c>
      <c r="O2064" s="16">
        <f>IF(NOT(Paths!$C$194=1),0,IF(Paths!$P$194="Complete",N2064-IF(C2064=0,Paths!$F$194,0),"n.a."))</f>
        <v>0</v>
      </c>
      <c r="P2064" s="16">
        <f>IF(NOT(Paths!$C$194=1),0,IF(Paths!$P$194="Complete",O2064+L2064,"n.a."))</f>
        <v>0</v>
      </c>
      <c r="Q2064" s="16">
        <f>IF(NOT(Paths!$C$194=1),0,IF(Paths!$P$194="Complete",N2064*(1+'Operating costs'!$B$54)^-C2064,"n.a."))</f>
        <v>0</v>
      </c>
      <c r="R2064" s="16">
        <f>IF(NOT(Paths!$C$194=1),0,IF(Paths!$P$194="Complete",IF(AND(C2064=0,Paths!$E$194=0),I2064-J2064-K2064+VLOOKUP(A2064,'Fleet register'!$A$7:$S$106,15,FALSE)+VLOOKUP(A2064,'Fleet register'!$A$7:$S$106,16,FALSE),0),"n.a."))</f>
        <v>0</v>
      </c>
      <c r="S2064" s="1">
        <f>IF(NOT(Paths!$C$194=1),0,IF(Paths!$P$194="Complete",IF(C2064=0,0,Paths!$S$194*Paths!$R$194),"n.a."))</f>
        <v>0</v>
      </c>
      <c r="T2064" s="1">
        <f>IF(NOT(Paths!$C$194=1),0,IF(Paths!$P$194="Complete",IF(C2064=0,0,VLOOKUP(A2064,'Fleet register'!$A$7:$S$106,9,FALSE)*Paths!$R$194),"n.a."))</f>
        <v>0</v>
      </c>
    </row>
    <row r="2065" spans="1:20" ht="24" customHeight="1">
      <c r="A2065" s="1" t="str">
        <f>Paths!$A$194</f>
        <v>T047</v>
      </c>
      <c r="B2065" s="1">
        <f>Paths!$B$194</f>
        <v>3</v>
      </c>
      <c r="C2065" s="1">
        <v>1</v>
      </c>
      <c r="D2065" s="1">
        <v>194</v>
      </c>
      <c r="E2065" s="1">
        <f>IF(OR(Paths!$C$194=0,C2065=0),0,MAX(0,MIN(C2065*12,Paths!$E$194)-(C2065-1)*12))</f>
        <v>0</v>
      </c>
      <c r="F2065" s="1">
        <f>IF(OR(Paths!$C$194=0,C2065=0),0,12-E2065)</f>
        <v>0</v>
      </c>
      <c r="G2065" s="16">
        <f>IF(NOT(Paths!$C$194=1),0,IF(Paths!$P$194="Complete",E2065/12*(Paths!$J$194*(1+'Operating costs'!$B$51)^MAX(0,C2065-1)+Paths!$K$194*(1+'Operating costs'!$B$53)^MAX(0,C2065-1)),"n.a."))</f>
        <v>0</v>
      </c>
      <c r="H2065" s="16">
        <f>IF(NOT(Paths!$C$194=1),0,IF(Paths!$P$194="Complete",F2065/12*(Paths!$L$194*(1+IF(Paths!$D$194="EV",'Operating costs'!$B$52,'Operating costs'!$B$51))^MAX(0,C2065-1)+Paths!$M$194*(1+'Operating costs'!$B$53)^MAX(0,C2065-1)),"n.a."))</f>
        <v>0</v>
      </c>
      <c r="I2065" s="16">
        <f>IF(NOT(Paths!$C$194=1),0,IF(Paths!$P$194="Complete",IF(IF(Paths!$E$194=0,C2065=0,AND(C2065&gt;0,Paths!$E$194&gt;(C2065-1)*12,Paths!$E$194&lt;=C2065*12)),Paths!$G$194,0),"n.a."))</f>
        <v>0</v>
      </c>
      <c r="J2065" s="16">
        <f>IF(NOT(Paths!$C$194=1),0,IF(Paths!$P$194="Complete",IF(IF(Paths!$E$194=0,C2065=0,AND(C2065&gt;0,Paths!$E$194&gt;(C2065-1)*12,Paths!$E$194&lt;=C2065*12)),Paths!$H$194,0),"n.a."))</f>
        <v>0</v>
      </c>
      <c r="K2065" s="16">
        <f>IF(NOT(Paths!$C$194=1),0,IF(Paths!$P$194="Complete",IF(IF(Paths!$O$194=0,C2065=0,AND(C2065&gt;0,Paths!$O$194&gt;(C2065-1)*12,Paths!$O$194&lt;=C2065*12)),Paths!$N$194,0),"n.a."))</f>
        <v>0</v>
      </c>
      <c r="L2065" s="16">
        <f>IF(NOT(Paths!$C$194=1),0,IF(Paths!$P$194="Complete",IF(C2065=10,Paths!$I$194,0),"n.a."))</f>
        <v>0</v>
      </c>
      <c r="M2065" s="16">
        <f>IF(NOT(Paths!$C$194=1),0,IF(Paths!$P$194="Complete",IF(AND(Paths!$D$194="EV",Paths!$E$194&lt;120,Paths!$E$194+'Operating costs'!$B$65&gt;Paths!$E$194,Paths!$E$194+'Operating costs'!$B$65&lt;=120,IF(Paths!$E$194+'Operating costs'!$B$65=0,C2065=0,AND(C2065&gt;0,Paths!$E$194+'Operating costs'!$B$65&gt;(C2065-1)*12,Paths!$E$194+'Operating costs'!$B$65&lt;=C2065*12))),'Operating costs'!$B$64,0)+IF(AND('Operating costs'!$B$67&gt;0,'Operating costs'!$B$67&lt;=120,OR(Paths!$D$194="ICE",'Operating costs'!$B$67&lt;=Paths!$E$194),IF('Operating costs'!$B$67=0,C2065=0,AND(C2065&gt;0,'Operating costs'!$B$67&gt;(C2065-1)*12,'Operating costs'!$B$67&lt;=C2065*12))),'Operating costs'!$B$66,0),"n.a."))</f>
        <v>0</v>
      </c>
      <c r="N2065" s="16">
        <f>IF(NOT(Paths!$C$194=1),0,IF(Paths!$P$194="Complete",SUM(G2065:I2065)-J2065-K2065-L2065+M2065+IF(C2065=0,Paths!$F$194,0)+IF(IF(Paths!$E$194=0,C2065=0,AND(C2065&gt;0,Paths!$E$194&gt;(C2065-1)*12,Paths!$E$194&lt;=C2065*12)),VLOOKUP(A2065,'Fleet register'!$A$7:$S$106,16,FALSE),0),"n.a."))</f>
        <v>0</v>
      </c>
      <c r="O2065" s="16">
        <f>IF(NOT(Paths!$C$194=1),0,IF(Paths!$P$194="Complete",N2065-IF(C2065=0,Paths!$F$194,0),"n.a."))</f>
        <v>0</v>
      </c>
      <c r="P2065" s="16">
        <f>IF(NOT(Paths!$C$194=1),0,IF(Paths!$P$194="Complete",O2065+L2065,"n.a."))</f>
        <v>0</v>
      </c>
      <c r="Q2065" s="16">
        <f>IF(NOT(Paths!$C$194=1),0,IF(Paths!$P$194="Complete",N2065*(1+'Operating costs'!$B$54)^-C2065,"n.a."))</f>
        <v>0</v>
      </c>
      <c r="R2065" s="16">
        <f>IF(NOT(Paths!$C$194=1),0,IF(Paths!$P$194="Complete",IF(AND(C2065=0,Paths!$E$194=0),I2065-J2065-K2065+VLOOKUP(A2065,'Fleet register'!$A$7:$S$106,15,FALSE)+VLOOKUP(A2065,'Fleet register'!$A$7:$S$106,16,FALSE),0),"n.a."))</f>
        <v>0</v>
      </c>
      <c r="S2065" s="1">
        <f>IF(NOT(Paths!$C$194=1),0,IF(Paths!$P$194="Complete",IF(C2065=0,0,Paths!$S$194*Paths!$R$194),"n.a."))</f>
        <v>0</v>
      </c>
      <c r="T2065" s="1">
        <f>IF(NOT(Paths!$C$194=1),0,IF(Paths!$P$194="Complete",IF(C2065=0,0,VLOOKUP(A2065,'Fleet register'!$A$7:$S$106,9,FALSE)*Paths!$R$194),"n.a."))</f>
        <v>0</v>
      </c>
    </row>
    <row r="2066" spans="1:20" ht="24" customHeight="1">
      <c r="A2066" s="1" t="str">
        <f>Paths!$A$194</f>
        <v>T047</v>
      </c>
      <c r="B2066" s="1">
        <f>Paths!$B$194</f>
        <v>3</v>
      </c>
      <c r="C2066" s="1">
        <v>2</v>
      </c>
      <c r="D2066" s="1">
        <v>194</v>
      </c>
      <c r="E2066" s="1">
        <f>IF(OR(Paths!$C$194=0,C2066=0),0,MAX(0,MIN(C2066*12,Paths!$E$194)-(C2066-1)*12))</f>
        <v>0</v>
      </c>
      <c r="F2066" s="1">
        <f>IF(OR(Paths!$C$194=0,C2066=0),0,12-E2066)</f>
        <v>0</v>
      </c>
      <c r="G2066" s="16">
        <f>IF(NOT(Paths!$C$194=1),0,IF(Paths!$P$194="Complete",E2066/12*(Paths!$J$194*(1+'Operating costs'!$B$51)^MAX(0,C2066-1)+Paths!$K$194*(1+'Operating costs'!$B$53)^MAX(0,C2066-1)),"n.a."))</f>
        <v>0</v>
      </c>
      <c r="H2066" s="16">
        <f>IF(NOT(Paths!$C$194=1),0,IF(Paths!$P$194="Complete",F2066/12*(Paths!$L$194*(1+IF(Paths!$D$194="EV",'Operating costs'!$B$52,'Operating costs'!$B$51))^MAX(0,C2066-1)+Paths!$M$194*(1+'Operating costs'!$B$53)^MAX(0,C2066-1)),"n.a."))</f>
        <v>0</v>
      </c>
      <c r="I2066" s="16">
        <f>IF(NOT(Paths!$C$194=1),0,IF(Paths!$P$194="Complete",IF(IF(Paths!$E$194=0,C2066=0,AND(C2066&gt;0,Paths!$E$194&gt;(C2066-1)*12,Paths!$E$194&lt;=C2066*12)),Paths!$G$194,0),"n.a."))</f>
        <v>0</v>
      </c>
      <c r="J2066" s="16">
        <f>IF(NOT(Paths!$C$194=1),0,IF(Paths!$P$194="Complete",IF(IF(Paths!$E$194=0,C2066=0,AND(C2066&gt;0,Paths!$E$194&gt;(C2066-1)*12,Paths!$E$194&lt;=C2066*12)),Paths!$H$194,0),"n.a."))</f>
        <v>0</v>
      </c>
      <c r="K2066" s="16">
        <f>IF(NOT(Paths!$C$194=1),0,IF(Paths!$P$194="Complete",IF(IF(Paths!$O$194=0,C2066=0,AND(C2066&gt;0,Paths!$O$194&gt;(C2066-1)*12,Paths!$O$194&lt;=C2066*12)),Paths!$N$194,0),"n.a."))</f>
        <v>0</v>
      </c>
      <c r="L2066" s="16">
        <f>IF(NOT(Paths!$C$194=1),0,IF(Paths!$P$194="Complete",IF(C2066=10,Paths!$I$194,0),"n.a."))</f>
        <v>0</v>
      </c>
      <c r="M2066" s="16">
        <f>IF(NOT(Paths!$C$194=1),0,IF(Paths!$P$194="Complete",IF(AND(Paths!$D$194="EV",Paths!$E$194&lt;120,Paths!$E$194+'Operating costs'!$B$65&gt;Paths!$E$194,Paths!$E$194+'Operating costs'!$B$65&lt;=120,IF(Paths!$E$194+'Operating costs'!$B$65=0,C2066=0,AND(C2066&gt;0,Paths!$E$194+'Operating costs'!$B$65&gt;(C2066-1)*12,Paths!$E$194+'Operating costs'!$B$65&lt;=C2066*12))),'Operating costs'!$B$64,0)+IF(AND('Operating costs'!$B$67&gt;0,'Operating costs'!$B$67&lt;=120,OR(Paths!$D$194="ICE",'Operating costs'!$B$67&lt;=Paths!$E$194),IF('Operating costs'!$B$67=0,C2066=0,AND(C2066&gt;0,'Operating costs'!$B$67&gt;(C2066-1)*12,'Operating costs'!$B$67&lt;=C2066*12))),'Operating costs'!$B$66,0),"n.a."))</f>
        <v>0</v>
      </c>
      <c r="N2066" s="16">
        <f>IF(NOT(Paths!$C$194=1),0,IF(Paths!$P$194="Complete",SUM(G2066:I2066)-J2066-K2066-L2066+M2066+IF(C2066=0,Paths!$F$194,0)+IF(IF(Paths!$E$194=0,C2066=0,AND(C2066&gt;0,Paths!$E$194&gt;(C2066-1)*12,Paths!$E$194&lt;=C2066*12)),VLOOKUP(A2066,'Fleet register'!$A$7:$S$106,16,FALSE),0),"n.a."))</f>
        <v>0</v>
      </c>
      <c r="O2066" s="16">
        <f>IF(NOT(Paths!$C$194=1),0,IF(Paths!$P$194="Complete",N2066-IF(C2066=0,Paths!$F$194,0),"n.a."))</f>
        <v>0</v>
      </c>
      <c r="P2066" s="16">
        <f>IF(NOT(Paths!$C$194=1),0,IF(Paths!$P$194="Complete",O2066+L2066,"n.a."))</f>
        <v>0</v>
      </c>
      <c r="Q2066" s="16">
        <f>IF(NOT(Paths!$C$194=1),0,IF(Paths!$P$194="Complete",N2066*(1+'Operating costs'!$B$54)^-C2066,"n.a."))</f>
        <v>0</v>
      </c>
      <c r="R2066" s="16">
        <f>IF(NOT(Paths!$C$194=1),0,IF(Paths!$P$194="Complete",IF(AND(C2066=0,Paths!$E$194=0),I2066-J2066-K2066+VLOOKUP(A2066,'Fleet register'!$A$7:$S$106,15,FALSE)+VLOOKUP(A2066,'Fleet register'!$A$7:$S$106,16,FALSE),0),"n.a."))</f>
        <v>0</v>
      </c>
      <c r="S2066" s="1">
        <f>IF(NOT(Paths!$C$194=1),0,IF(Paths!$P$194="Complete",IF(C2066=0,0,Paths!$S$194*Paths!$R$194),"n.a."))</f>
        <v>0</v>
      </c>
      <c r="T2066" s="1">
        <f>IF(NOT(Paths!$C$194=1),0,IF(Paths!$P$194="Complete",IF(C2066=0,0,VLOOKUP(A2066,'Fleet register'!$A$7:$S$106,9,FALSE)*Paths!$R$194),"n.a."))</f>
        <v>0</v>
      </c>
    </row>
    <row r="2067" spans="1:20" ht="24" customHeight="1">
      <c r="A2067" s="1" t="str">
        <f>Paths!$A$194</f>
        <v>T047</v>
      </c>
      <c r="B2067" s="1">
        <f>Paths!$B$194</f>
        <v>3</v>
      </c>
      <c r="C2067" s="1">
        <v>3</v>
      </c>
      <c r="D2067" s="1">
        <v>194</v>
      </c>
      <c r="E2067" s="1">
        <f>IF(OR(Paths!$C$194=0,C2067=0),0,MAX(0,MIN(C2067*12,Paths!$E$194)-(C2067-1)*12))</f>
        <v>0</v>
      </c>
      <c r="F2067" s="1">
        <f>IF(OR(Paths!$C$194=0,C2067=0),0,12-E2067)</f>
        <v>0</v>
      </c>
      <c r="G2067" s="16">
        <f>IF(NOT(Paths!$C$194=1),0,IF(Paths!$P$194="Complete",E2067/12*(Paths!$J$194*(1+'Operating costs'!$B$51)^MAX(0,C2067-1)+Paths!$K$194*(1+'Operating costs'!$B$53)^MAX(0,C2067-1)),"n.a."))</f>
        <v>0</v>
      </c>
      <c r="H2067" s="16">
        <f>IF(NOT(Paths!$C$194=1),0,IF(Paths!$P$194="Complete",F2067/12*(Paths!$L$194*(1+IF(Paths!$D$194="EV",'Operating costs'!$B$52,'Operating costs'!$B$51))^MAX(0,C2067-1)+Paths!$M$194*(1+'Operating costs'!$B$53)^MAX(0,C2067-1)),"n.a."))</f>
        <v>0</v>
      </c>
      <c r="I2067" s="16">
        <f>IF(NOT(Paths!$C$194=1),0,IF(Paths!$P$194="Complete",IF(IF(Paths!$E$194=0,C2067=0,AND(C2067&gt;0,Paths!$E$194&gt;(C2067-1)*12,Paths!$E$194&lt;=C2067*12)),Paths!$G$194,0),"n.a."))</f>
        <v>0</v>
      </c>
      <c r="J2067" s="16">
        <f>IF(NOT(Paths!$C$194=1),0,IF(Paths!$P$194="Complete",IF(IF(Paths!$E$194=0,C2067=0,AND(C2067&gt;0,Paths!$E$194&gt;(C2067-1)*12,Paths!$E$194&lt;=C2067*12)),Paths!$H$194,0),"n.a."))</f>
        <v>0</v>
      </c>
      <c r="K2067" s="16">
        <f>IF(NOT(Paths!$C$194=1),0,IF(Paths!$P$194="Complete",IF(IF(Paths!$O$194=0,C2067=0,AND(C2067&gt;0,Paths!$O$194&gt;(C2067-1)*12,Paths!$O$194&lt;=C2067*12)),Paths!$N$194,0),"n.a."))</f>
        <v>0</v>
      </c>
      <c r="L2067" s="16">
        <f>IF(NOT(Paths!$C$194=1),0,IF(Paths!$P$194="Complete",IF(C2067=10,Paths!$I$194,0),"n.a."))</f>
        <v>0</v>
      </c>
      <c r="M2067" s="16">
        <f>IF(NOT(Paths!$C$194=1),0,IF(Paths!$P$194="Complete",IF(AND(Paths!$D$194="EV",Paths!$E$194&lt;120,Paths!$E$194+'Operating costs'!$B$65&gt;Paths!$E$194,Paths!$E$194+'Operating costs'!$B$65&lt;=120,IF(Paths!$E$194+'Operating costs'!$B$65=0,C2067=0,AND(C2067&gt;0,Paths!$E$194+'Operating costs'!$B$65&gt;(C2067-1)*12,Paths!$E$194+'Operating costs'!$B$65&lt;=C2067*12))),'Operating costs'!$B$64,0)+IF(AND('Operating costs'!$B$67&gt;0,'Operating costs'!$B$67&lt;=120,OR(Paths!$D$194="ICE",'Operating costs'!$B$67&lt;=Paths!$E$194),IF('Operating costs'!$B$67=0,C2067=0,AND(C2067&gt;0,'Operating costs'!$B$67&gt;(C2067-1)*12,'Operating costs'!$B$67&lt;=C2067*12))),'Operating costs'!$B$66,0),"n.a."))</f>
        <v>0</v>
      </c>
      <c r="N2067" s="16">
        <f>IF(NOT(Paths!$C$194=1),0,IF(Paths!$P$194="Complete",SUM(G2067:I2067)-J2067-K2067-L2067+M2067+IF(C2067=0,Paths!$F$194,0)+IF(IF(Paths!$E$194=0,C2067=0,AND(C2067&gt;0,Paths!$E$194&gt;(C2067-1)*12,Paths!$E$194&lt;=C2067*12)),VLOOKUP(A2067,'Fleet register'!$A$7:$S$106,16,FALSE),0),"n.a."))</f>
        <v>0</v>
      </c>
      <c r="O2067" s="16">
        <f>IF(NOT(Paths!$C$194=1),0,IF(Paths!$P$194="Complete",N2067-IF(C2067=0,Paths!$F$194,0),"n.a."))</f>
        <v>0</v>
      </c>
      <c r="P2067" s="16">
        <f>IF(NOT(Paths!$C$194=1),0,IF(Paths!$P$194="Complete",O2067+L2067,"n.a."))</f>
        <v>0</v>
      </c>
      <c r="Q2067" s="16">
        <f>IF(NOT(Paths!$C$194=1),0,IF(Paths!$P$194="Complete",N2067*(1+'Operating costs'!$B$54)^-C2067,"n.a."))</f>
        <v>0</v>
      </c>
      <c r="R2067" s="16">
        <f>IF(NOT(Paths!$C$194=1),0,IF(Paths!$P$194="Complete",IF(AND(C2067=0,Paths!$E$194=0),I2067-J2067-K2067+VLOOKUP(A2067,'Fleet register'!$A$7:$S$106,15,FALSE)+VLOOKUP(A2067,'Fleet register'!$A$7:$S$106,16,FALSE),0),"n.a."))</f>
        <v>0</v>
      </c>
      <c r="S2067" s="1">
        <f>IF(NOT(Paths!$C$194=1),0,IF(Paths!$P$194="Complete",IF(C2067=0,0,Paths!$S$194*Paths!$R$194),"n.a."))</f>
        <v>0</v>
      </c>
      <c r="T2067" s="1">
        <f>IF(NOT(Paths!$C$194=1),0,IF(Paths!$P$194="Complete",IF(C2067=0,0,VLOOKUP(A2067,'Fleet register'!$A$7:$S$106,9,FALSE)*Paths!$R$194),"n.a."))</f>
        <v>0</v>
      </c>
    </row>
    <row r="2068" spans="1:20" ht="24" customHeight="1">
      <c r="A2068" s="1" t="str">
        <f>Paths!$A$194</f>
        <v>T047</v>
      </c>
      <c r="B2068" s="1">
        <f>Paths!$B$194</f>
        <v>3</v>
      </c>
      <c r="C2068" s="1">
        <v>4</v>
      </c>
      <c r="D2068" s="1">
        <v>194</v>
      </c>
      <c r="E2068" s="1">
        <f>IF(OR(Paths!$C$194=0,C2068=0),0,MAX(0,MIN(C2068*12,Paths!$E$194)-(C2068-1)*12))</f>
        <v>0</v>
      </c>
      <c r="F2068" s="1">
        <f>IF(OR(Paths!$C$194=0,C2068=0),0,12-E2068)</f>
        <v>0</v>
      </c>
      <c r="G2068" s="16">
        <f>IF(NOT(Paths!$C$194=1),0,IF(Paths!$P$194="Complete",E2068/12*(Paths!$J$194*(1+'Operating costs'!$B$51)^MAX(0,C2068-1)+Paths!$K$194*(1+'Operating costs'!$B$53)^MAX(0,C2068-1)),"n.a."))</f>
        <v>0</v>
      </c>
      <c r="H2068" s="16">
        <f>IF(NOT(Paths!$C$194=1),0,IF(Paths!$P$194="Complete",F2068/12*(Paths!$L$194*(1+IF(Paths!$D$194="EV",'Operating costs'!$B$52,'Operating costs'!$B$51))^MAX(0,C2068-1)+Paths!$M$194*(1+'Operating costs'!$B$53)^MAX(0,C2068-1)),"n.a."))</f>
        <v>0</v>
      </c>
      <c r="I2068" s="16">
        <f>IF(NOT(Paths!$C$194=1),0,IF(Paths!$P$194="Complete",IF(IF(Paths!$E$194=0,C2068=0,AND(C2068&gt;0,Paths!$E$194&gt;(C2068-1)*12,Paths!$E$194&lt;=C2068*12)),Paths!$G$194,0),"n.a."))</f>
        <v>0</v>
      </c>
      <c r="J2068" s="16">
        <f>IF(NOT(Paths!$C$194=1),0,IF(Paths!$P$194="Complete",IF(IF(Paths!$E$194=0,C2068=0,AND(C2068&gt;0,Paths!$E$194&gt;(C2068-1)*12,Paths!$E$194&lt;=C2068*12)),Paths!$H$194,0),"n.a."))</f>
        <v>0</v>
      </c>
      <c r="K2068" s="16">
        <f>IF(NOT(Paths!$C$194=1),0,IF(Paths!$P$194="Complete",IF(IF(Paths!$O$194=0,C2068=0,AND(C2068&gt;0,Paths!$O$194&gt;(C2068-1)*12,Paths!$O$194&lt;=C2068*12)),Paths!$N$194,0),"n.a."))</f>
        <v>0</v>
      </c>
      <c r="L2068" s="16">
        <f>IF(NOT(Paths!$C$194=1),0,IF(Paths!$P$194="Complete",IF(C2068=10,Paths!$I$194,0),"n.a."))</f>
        <v>0</v>
      </c>
      <c r="M2068" s="16">
        <f>IF(NOT(Paths!$C$194=1),0,IF(Paths!$P$194="Complete",IF(AND(Paths!$D$194="EV",Paths!$E$194&lt;120,Paths!$E$194+'Operating costs'!$B$65&gt;Paths!$E$194,Paths!$E$194+'Operating costs'!$B$65&lt;=120,IF(Paths!$E$194+'Operating costs'!$B$65=0,C2068=0,AND(C2068&gt;0,Paths!$E$194+'Operating costs'!$B$65&gt;(C2068-1)*12,Paths!$E$194+'Operating costs'!$B$65&lt;=C2068*12))),'Operating costs'!$B$64,0)+IF(AND('Operating costs'!$B$67&gt;0,'Operating costs'!$B$67&lt;=120,OR(Paths!$D$194="ICE",'Operating costs'!$B$67&lt;=Paths!$E$194),IF('Operating costs'!$B$67=0,C2068=0,AND(C2068&gt;0,'Operating costs'!$B$67&gt;(C2068-1)*12,'Operating costs'!$B$67&lt;=C2068*12))),'Operating costs'!$B$66,0),"n.a."))</f>
        <v>0</v>
      </c>
      <c r="N2068" s="16">
        <f>IF(NOT(Paths!$C$194=1),0,IF(Paths!$P$194="Complete",SUM(G2068:I2068)-J2068-K2068-L2068+M2068+IF(C2068=0,Paths!$F$194,0)+IF(IF(Paths!$E$194=0,C2068=0,AND(C2068&gt;0,Paths!$E$194&gt;(C2068-1)*12,Paths!$E$194&lt;=C2068*12)),VLOOKUP(A2068,'Fleet register'!$A$7:$S$106,16,FALSE),0),"n.a."))</f>
        <v>0</v>
      </c>
      <c r="O2068" s="16">
        <f>IF(NOT(Paths!$C$194=1),0,IF(Paths!$P$194="Complete",N2068-IF(C2068=0,Paths!$F$194,0),"n.a."))</f>
        <v>0</v>
      </c>
      <c r="P2068" s="16">
        <f>IF(NOT(Paths!$C$194=1),0,IF(Paths!$P$194="Complete",O2068+L2068,"n.a."))</f>
        <v>0</v>
      </c>
      <c r="Q2068" s="16">
        <f>IF(NOT(Paths!$C$194=1),0,IF(Paths!$P$194="Complete",N2068*(1+'Operating costs'!$B$54)^-C2068,"n.a."))</f>
        <v>0</v>
      </c>
      <c r="R2068" s="16">
        <f>IF(NOT(Paths!$C$194=1),0,IF(Paths!$P$194="Complete",IF(AND(C2068=0,Paths!$E$194=0),I2068-J2068-K2068+VLOOKUP(A2068,'Fleet register'!$A$7:$S$106,15,FALSE)+VLOOKUP(A2068,'Fleet register'!$A$7:$S$106,16,FALSE),0),"n.a."))</f>
        <v>0</v>
      </c>
      <c r="S2068" s="1">
        <f>IF(NOT(Paths!$C$194=1),0,IF(Paths!$P$194="Complete",IF(C2068=0,0,Paths!$S$194*Paths!$R$194),"n.a."))</f>
        <v>0</v>
      </c>
      <c r="T2068" s="1">
        <f>IF(NOT(Paths!$C$194=1),0,IF(Paths!$P$194="Complete",IF(C2068=0,0,VLOOKUP(A2068,'Fleet register'!$A$7:$S$106,9,FALSE)*Paths!$R$194),"n.a."))</f>
        <v>0</v>
      </c>
    </row>
    <row r="2069" spans="1:20" ht="24" customHeight="1">
      <c r="A2069" s="1" t="str">
        <f>Paths!$A$194</f>
        <v>T047</v>
      </c>
      <c r="B2069" s="1">
        <f>Paths!$B$194</f>
        <v>3</v>
      </c>
      <c r="C2069" s="1">
        <v>5</v>
      </c>
      <c r="D2069" s="1">
        <v>194</v>
      </c>
      <c r="E2069" s="1">
        <f>IF(OR(Paths!$C$194=0,C2069=0),0,MAX(0,MIN(C2069*12,Paths!$E$194)-(C2069-1)*12))</f>
        <v>0</v>
      </c>
      <c r="F2069" s="1">
        <f>IF(OR(Paths!$C$194=0,C2069=0),0,12-E2069)</f>
        <v>0</v>
      </c>
      <c r="G2069" s="16">
        <f>IF(NOT(Paths!$C$194=1),0,IF(Paths!$P$194="Complete",E2069/12*(Paths!$J$194*(1+'Operating costs'!$B$51)^MAX(0,C2069-1)+Paths!$K$194*(1+'Operating costs'!$B$53)^MAX(0,C2069-1)),"n.a."))</f>
        <v>0</v>
      </c>
      <c r="H2069" s="16">
        <f>IF(NOT(Paths!$C$194=1),0,IF(Paths!$P$194="Complete",F2069/12*(Paths!$L$194*(1+IF(Paths!$D$194="EV",'Operating costs'!$B$52,'Operating costs'!$B$51))^MAX(0,C2069-1)+Paths!$M$194*(1+'Operating costs'!$B$53)^MAX(0,C2069-1)),"n.a."))</f>
        <v>0</v>
      </c>
      <c r="I2069" s="16">
        <f>IF(NOT(Paths!$C$194=1),0,IF(Paths!$P$194="Complete",IF(IF(Paths!$E$194=0,C2069=0,AND(C2069&gt;0,Paths!$E$194&gt;(C2069-1)*12,Paths!$E$194&lt;=C2069*12)),Paths!$G$194,0),"n.a."))</f>
        <v>0</v>
      </c>
      <c r="J2069" s="16">
        <f>IF(NOT(Paths!$C$194=1),0,IF(Paths!$P$194="Complete",IF(IF(Paths!$E$194=0,C2069=0,AND(C2069&gt;0,Paths!$E$194&gt;(C2069-1)*12,Paths!$E$194&lt;=C2069*12)),Paths!$H$194,0),"n.a."))</f>
        <v>0</v>
      </c>
      <c r="K2069" s="16">
        <f>IF(NOT(Paths!$C$194=1),0,IF(Paths!$P$194="Complete",IF(IF(Paths!$O$194=0,C2069=0,AND(C2069&gt;0,Paths!$O$194&gt;(C2069-1)*12,Paths!$O$194&lt;=C2069*12)),Paths!$N$194,0),"n.a."))</f>
        <v>0</v>
      </c>
      <c r="L2069" s="16">
        <f>IF(NOT(Paths!$C$194=1),0,IF(Paths!$P$194="Complete",IF(C2069=10,Paths!$I$194,0),"n.a."))</f>
        <v>0</v>
      </c>
      <c r="M2069" s="16">
        <f>IF(NOT(Paths!$C$194=1),0,IF(Paths!$P$194="Complete",IF(AND(Paths!$D$194="EV",Paths!$E$194&lt;120,Paths!$E$194+'Operating costs'!$B$65&gt;Paths!$E$194,Paths!$E$194+'Operating costs'!$B$65&lt;=120,IF(Paths!$E$194+'Operating costs'!$B$65=0,C2069=0,AND(C2069&gt;0,Paths!$E$194+'Operating costs'!$B$65&gt;(C2069-1)*12,Paths!$E$194+'Operating costs'!$B$65&lt;=C2069*12))),'Operating costs'!$B$64,0)+IF(AND('Operating costs'!$B$67&gt;0,'Operating costs'!$B$67&lt;=120,OR(Paths!$D$194="ICE",'Operating costs'!$B$67&lt;=Paths!$E$194),IF('Operating costs'!$B$67=0,C2069=0,AND(C2069&gt;0,'Operating costs'!$B$67&gt;(C2069-1)*12,'Operating costs'!$B$67&lt;=C2069*12))),'Operating costs'!$B$66,0),"n.a."))</f>
        <v>0</v>
      </c>
      <c r="N2069" s="16">
        <f>IF(NOT(Paths!$C$194=1),0,IF(Paths!$P$194="Complete",SUM(G2069:I2069)-J2069-K2069-L2069+M2069+IF(C2069=0,Paths!$F$194,0)+IF(IF(Paths!$E$194=0,C2069=0,AND(C2069&gt;0,Paths!$E$194&gt;(C2069-1)*12,Paths!$E$194&lt;=C2069*12)),VLOOKUP(A2069,'Fleet register'!$A$7:$S$106,16,FALSE),0),"n.a."))</f>
        <v>0</v>
      </c>
      <c r="O2069" s="16">
        <f>IF(NOT(Paths!$C$194=1),0,IF(Paths!$P$194="Complete",N2069-IF(C2069=0,Paths!$F$194,0),"n.a."))</f>
        <v>0</v>
      </c>
      <c r="P2069" s="16">
        <f>IF(NOT(Paths!$C$194=1),0,IF(Paths!$P$194="Complete",O2069+L2069,"n.a."))</f>
        <v>0</v>
      </c>
      <c r="Q2069" s="16">
        <f>IF(NOT(Paths!$C$194=1),0,IF(Paths!$P$194="Complete",N2069*(1+'Operating costs'!$B$54)^-C2069,"n.a."))</f>
        <v>0</v>
      </c>
      <c r="R2069" s="16">
        <f>IF(NOT(Paths!$C$194=1),0,IF(Paths!$P$194="Complete",IF(AND(C2069=0,Paths!$E$194=0),I2069-J2069-K2069+VLOOKUP(A2069,'Fleet register'!$A$7:$S$106,15,FALSE)+VLOOKUP(A2069,'Fleet register'!$A$7:$S$106,16,FALSE),0),"n.a."))</f>
        <v>0</v>
      </c>
      <c r="S2069" s="1">
        <f>IF(NOT(Paths!$C$194=1),0,IF(Paths!$P$194="Complete",IF(C2069=0,0,Paths!$S$194*Paths!$R$194),"n.a."))</f>
        <v>0</v>
      </c>
      <c r="T2069" s="1">
        <f>IF(NOT(Paths!$C$194=1),0,IF(Paths!$P$194="Complete",IF(C2069=0,0,VLOOKUP(A2069,'Fleet register'!$A$7:$S$106,9,FALSE)*Paths!$R$194),"n.a."))</f>
        <v>0</v>
      </c>
    </row>
    <row r="2070" spans="1:20" ht="24" customHeight="1">
      <c r="A2070" s="1" t="str">
        <f>Paths!$A$194</f>
        <v>T047</v>
      </c>
      <c r="B2070" s="1">
        <f>Paths!$B$194</f>
        <v>3</v>
      </c>
      <c r="C2070" s="1">
        <v>6</v>
      </c>
      <c r="D2070" s="1">
        <v>194</v>
      </c>
      <c r="E2070" s="1">
        <f>IF(OR(Paths!$C$194=0,C2070=0),0,MAX(0,MIN(C2070*12,Paths!$E$194)-(C2070-1)*12))</f>
        <v>0</v>
      </c>
      <c r="F2070" s="1">
        <f>IF(OR(Paths!$C$194=0,C2070=0),0,12-E2070)</f>
        <v>0</v>
      </c>
      <c r="G2070" s="16">
        <f>IF(NOT(Paths!$C$194=1),0,IF(Paths!$P$194="Complete",E2070/12*(Paths!$J$194*(1+'Operating costs'!$B$51)^MAX(0,C2070-1)+Paths!$K$194*(1+'Operating costs'!$B$53)^MAX(0,C2070-1)),"n.a."))</f>
        <v>0</v>
      </c>
      <c r="H2070" s="16">
        <f>IF(NOT(Paths!$C$194=1),0,IF(Paths!$P$194="Complete",F2070/12*(Paths!$L$194*(1+IF(Paths!$D$194="EV",'Operating costs'!$B$52,'Operating costs'!$B$51))^MAX(0,C2070-1)+Paths!$M$194*(1+'Operating costs'!$B$53)^MAX(0,C2070-1)),"n.a."))</f>
        <v>0</v>
      </c>
      <c r="I2070" s="16">
        <f>IF(NOT(Paths!$C$194=1),0,IF(Paths!$P$194="Complete",IF(IF(Paths!$E$194=0,C2070=0,AND(C2070&gt;0,Paths!$E$194&gt;(C2070-1)*12,Paths!$E$194&lt;=C2070*12)),Paths!$G$194,0),"n.a."))</f>
        <v>0</v>
      </c>
      <c r="J2070" s="16">
        <f>IF(NOT(Paths!$C$194=1),0,IF(Paths!$P$194="Complete",IF(IF(Paths!$E$194=0,C2070=0,AND(C2070&gt;0,Paths!$E$194&gt;(C2070-1)*12,Paths!$E$194&lt;=C2070*12)),Paths!$H$194,0),"n.a."))</f>
        <v>0</v>
      </c>
      <c r="K2070" s="16">
        <f>IF(NOT(Paths!$C$194=1),0,IF(Paths!$P$194="Complete",IF(IF(Paths!$O$194=0,C2070=0,AND(C2070&gt;0,Paths!$O$194&gt;(C2070-1)*12,Paths!$O$194&lt;=C2070*12)),Paths!$N$194,0),"n.a."))</f>
        <v>0</v>
      </c>
      <c r="L2070" s="16">
        <f>IF(NOT(Paths!$C$194=1),0,IF(Paths!$P$194="Complete",IF(C2070=10,Paths!$I$194,0),"n.a."))</f>
        <v>0</v>
      </c>
      <c r="M2070" s="16">
        <f>IF(NOT(Paths!$C$194=1),0,IF(Paths!$P$194="Complete",IF(AND(Paths!$D$194="EV",Paths!$E$194&lt;120,Paths!$E$194+'Operating costs'!$B$65&gt;Paths!$E$194,Paths!$E$194+'Operating costs'!$B$65&lt;=120,IF(Paths!$E$194+'Operating costs'!$B$65=0,C2070=0,AND(C2070&gt;0,Paths!$E$194+'Operating costs'!$B$65&gt;(C2070-1)*12,Paths!$E$194+'Operating costs'!$B$65&lt;=C2070*12))),'Operating costs'!$B$64,0)+IF(AND('Operating costs'!$B$67&gt;0,'Operating costs'!$B$67&lt;=120,OR(Paths!$D$194="ICE",'Operating costs'!$B$67&lt;=Paths!$E$194),IF('Operating costs'!$B$67=0,C2070=0,AND(C2070&gt;0,'Operating costs'!$B$67&gt;(C2070-1)*12,'Operating costs'!$B$67&lt;=C2070*12))),'Operating costs'!$B$66,0),"n.a."))</f>
        <v>0</v>
      </c>
      <c r="N2070" s="16">
        <f>IF(NOT(Paths!$C$194=1),0,IF(Paths!$P$194="Complete",SUM(G2070:I2070)-J2070-K2070-L2070+M2070+IF(C2070=0,Paths!$F$194,0)+IF(IF(Paths!$E$194=0,C2070=0,AND(C2070&gt;0,Paths!$E$194&gt;(C2070-1)*12,Paths!$E$194&lt;=C2070*12)),VLOOKUP(A2070,'Fleet register'!$A$7:$S$106,16,FALSE),0),"n.a."))</f>
        <v>0</v>
      </c>
      <c r="O2070" s="16">
        <f>IF(NOT(Paths!$C$194=1),0,IF(Paths!$P$194="Complete",N2070-IF(C2070=0,Paths!$F$194,0),"n.a."))</f>
        <v>0</v>
      </c>
      <c r="P2070" s="16">
        <f>IF(NOT(Paths!$C$194=1),0,IF(Paths!$P$194="Complete",O2070+L2070,"n.a."))</f>
        <v>0</v>
      </c>
      <c r="Q2070" s="16">
        <f>IF(NOT(Paths!$C$194=1),0,IF(Paths!$P$194="Complete",N2070*(1+'Operating costs'!$B$54)^-C2070,"n.a."))</f>
        <v>0</v>
      </c>
      <c r="R2070" s="16">
        <f>IF(NOT(Paths!$C$194=1),0,IF(Paths!$P$194="Complete",IF(AND(C2070=0,Paths!$E$194=0),I2070-J2070-K2070+VLOOKUP(A2070,'Fleet register'!$A$7:$S$106,15,FALSE)+VLOOKUP(A2070,'Fleet register'!$A$7:$S$106,16,FALSE),0),"n.a."))</f>
        <v>0</v>
      </c>
      <c r="S2070" s="1">
        <f>IF(NOT(Paths!$C$194=1),0,IF(Paths!$P$194="Complete",IF(C2070=0,0,Paths!$S$194*Paths!$R$194),"n.a."))</f>
        <v>0</v>
      </c>
      <c r="T2070" s="1">
        <f>IF(NOT(Paths!$C$194=1),0,IF(Paths!$P$194="Complete",IF(C2070=0,0,VLOOKUP(A2070,'Fleet register'!$A$7:$S$106,9,FALSE)*Paths!$R$194),"n.a."))</f>
        <v>0</v>
      </c>
    </row>
    <row r="2071" spans="1:20" ht="24" customHeight="1">
      <c r="A2071" s="1" t="str">
        <f>Paths!$A$194</f>
        <v>T047</v>
      </c>
      <c r="B2071" s="1">
        <f>Paths!$B$194</f>
        <v>3</v>
      </c>
      <c r="C2071" s="1">
        <v>7</v>
      </c>
      <c r="D2071" s="1">
        <v>194</v>
      </c>
      <c r="E2071" s="1">
        <f>IF(OR(Paths!$C$194=0,C2071=0),0,MAX(0,MIN(C2071*12,Paths!$E$194)-(C2071-1)*12))</f>
        <v>0</v>
      </c>
      <c r="F2071" s="1">
        <f>IF(OR(Paths!$C$194=0,C2071=0),0,12-E2071)</f>
        <v>0</v>
      </c>
      <c r="G2071" s="16">
        <f>IF(NOT(Paths!$C$194=1),0,IF(Paths!$P$194="Complete",E2071/12*(Paths!$J$194*(1+'Operating costs'!$B$51)^MAX(0,C2071-1)+Paths!$K$194*(1+'Operating costs'!$B$53)^MAX(0,C2071-1)),"n.a."))</f>
        <v>0</v>
      </c>
      <c r="H2071" s="16">
        <f>IF(NOT(Paths!$C$194=1),0,IF(Paths!$P$194="Complete",F2071/12*(Paths!$L$194*(1+IF(Paths!$D$194="EV",'Operating costs'!$B$52,'Operating costs'!$B$51))^MAX(0,C2071-1)+Paths!$M$194*(1+'Operating costs'!$B$53)^MAX(0,C2071-1)),"n.a."))</f>
        <v>0</v>
      </c>
      <c r="I2071" s="16">
        <f>IF(NOT(Paths!$C$194=1),0,IF(Paths!$P$194="Complete",IF(IF(Paths!$E$194=0,C2071=0,AND(C2071&gt;0,Paths!$E$194&gt;(C2071-1)*12,Paths!$E$194&lt;=C2071*12)),Paths!$G$194,0),"n.a."))</f>
        <v>0</v>
      </c>
      <c r="J2071" s="16">
        <f>IF(NOT(Paths!$C$194=1),0,IF(Paths!$P$194="Complete",IF(IF(Paths!$E$194=0,C2071=0,AND(C2071&gt;0,Paths!$E$194&gt;(C2071-1)*12,Paths!$E$194&lt;=C2071*12)),Paths!$H$194,0),"n.a."))</f>
        <v>0</v>
      </c>
      <c r="K2071" s="16">
        <f>IF(NOT(Paths!$C$194=1),0,IF(Paths!$P$194="Complete",IF(IF(Paths!$O$194=0,C2071=0,AND(C2071&gt;0,Paths!$O$194&gt;(C2071-1)*12,Paths!$O$194&lt;=C2071*12)),Paths!$N$194,0),"n.a."))</f>
        <v>0</v>
      </c>
      <c r="L2071" s="16">
        <f>IF(NOT(Paths!$C$194=1),0,IF(Paths!$P$194="Complete",IF(C2071=10,Paths!$I$194,0),"n.a."))</f>
        <v>0</v>
      </c>
      <c r="M2071" s="16">
        <f>IF(NOT(Paths!$C$194=1),0,IF(Paths!$P$194="Complete",IF(AND(Paths!$D$194="EV",Paths!$E$194&lt;120,Paths!$E$194+'Operating costs'!$B$65&gt;Paths!$E$194,Paths!$E$194+'Operating costs'!$B$65&lt;=120,IF(Paths!$E$194+'Operating costs'!$B$65=0,C2071=0,AND(C2071&gt;0,Paths!$E$194+'Operating costs'!$B$65&gt;(C2071-1)*12,Paths!$E$194+'Operating costs'!$B$65&lt;=C2071*12))),'Operating costs'!$B$64,0)+IF(AND('Operating costs'!$B$67&gt;0,'Operating costs'!$B$67&lt;=120,OR(Paths!$D$194="ICE",'Operating costs'!$B$67&lt;=Paths!$E$194),IF('Operating costs'!$B$67=0,C2071=0,AND(C2071&gt;0,'Operating costs'!$B$67&gt;(C2071-1)*12,'Operating costs'!$B$67&lt;=C2071*12))),'Operating costs'!$B$66,0),"n.a."))</f>
        <v>0</v>
      </c>
      <c r="N2071" s="16">
        <f>IF(NOT(Paths!$C$194=1),0,IF(Paths!$P$194="Complete",SUM(G2071:I2071)-J2071-K2071-L2071+M2071+IF(C2071=0,Paths!$F$194,0)+IF(IF(Paths!$E$194=0,C2071=0,AND(C2071&gt;0,Paths!$E$194&gt;(C2071-1)*12,Paths!$E$194&lt;=C2071*12)),VLOOKUP(A2071,'Fleet register'!$A$7:$S$106,16,FALSE),0),"n.a."))</f>
        <v>0</v>
      </c>
      <c r="O2071" s="16">
        <f>IF(NOT(Paths!$C$194=1),0,IF(Paths!$P$194="Complete",N2071-IF(C2071=0,Paths!$F$194,0),"n.a."))</f>
        <v>0</v>
      </c>
      <c r="P2071" s="16">
        <f>IF(NOT(Paths!$C$194=1),0,IF(Paths!$P$194="Complete",O2071+L2071,"n.a."))</f>
        <v>0</v>
      </c>
      <c r="Q2071" s="16">
        <f>IF(NOT(Paths!$C$194=1),0,IF(Paths!$P$194="Complete",N2071*(1+'Operating costs'!$B$54)^-C2071,"n.a."))</f>
        <v>0</v>
      </c>
      <c r="R2071" s="16">
        <f>IF(NOT(Paths!$C$194=1),0,IF(Paths!$P$194="Complete",IF(AND(C2071=0,Paths!$E$194=0),I2071-J2071-K2071+VLOOKUP(A2071,'Fleet register'!$A$7:$S$106,15,FALSE)+VLOOKUP(A2071,'Fleet register'!$A$7:$S$106,16,FALSE),0),"n.a."))</f>
        <v>0</v>
      </c>
      <c r="S2071" s="1">
        <f>IF(NOT(Paths!$C$194=1),0,IF(Paths!$P$194="Complete",IF(C2071=0,0,Paths!$S$194*Paths!$R$194),"n.a."))</f>
        <v>0</v>
      </c>
      <c r="T2071" s="1">
        <f>IF(NOT(Paths!$C$194=1),0,IF(Paths!$P$194="Complete",IF(C2071=0,0,VLOOKUP(A2071,'Fleet register'!$A$7:$S$106,9,FALSE)*Paths!$R$194),"n.a."))</f>
        <v>0</v>
      </c>
    </row>
    <row r="2072" spans="1:20" ht="24" customHeight="1">
      <c r="A2072" s="1" t="str">
        <f>Paths!$A$194</f>
        <v>T047</v>
      </c>
      <c r="B2072" s="1">
        <f>Paths!$B$194</f>
        <v>3</v>
      </c>
      <c r="C2072" s="1">
        <v>8</v>
      </c>
      <c r="D2072" s="1">
        <v>194</v>
      </c>
      <c r="E2072" s="1">
        <f>IF(OR(Paths!$C$194=0,C2072=0),0,MAX(0,MIN(C2072*12,Paths!$E$194)-(C2072-1)*12))</f>
        <v>0</v>
      </c>
      <c r="F2072" s="1">
        <f>IF(OR(Paths!$C$194=0,C2072=0),0,12-E2072)</f>
        <v>0</v>
      </c>
      <c r="G2072" s="16">
        <f>IF(NOT(Paths!$C$194=1),0,IF(Paths!$P$194="Complete",E2072/12*(Paths!$J$194*(1+'Operating costs'!$B$51)^MAX(0,C2072-1)+Paths!$K$194*(1+'Operating costs'!$B$53)^MAX(0,C2072-1)),"n.a."))</f>
        <v>0</v>
      </c>
      <c r="H2072" s="16">
        <f>IF(NOT(Paths!$C$194=1),0,IF(Paths!$P$194="Complete",F2072/12*(Paths!$L$194*(1+IF(Paths!$D$194="EV",'Operating costs'!$B$52,'Operating costs'!$B$51))^MAX(0,C2072-1)+Paths!$M$194*(1+'Operating costs'!$B$53)^MAX(0,C2072-1)),"n.a."))</f>
        <v>0</v>
      </c>
      <c r="I2072" s="16">
        <f>IF(NOT(Paths!$C$194=1),0,IF(Paths!$P$194="Complete",IF(IF(Paths!$E$194=0,C2072=0,AND(C2072&gt;0,Paths!$E$194&gt;(C2072-1)*12,Paths!$E$194&lt;=C2072*12)),Paths!$G$194,0),"n.a."))</f>
        <v>0</v>
      </c>
      <c r="J2072" s="16">
        <f>IF(NOT(Paths!$C$194=1),0,IF(Paths!$P$194="Complete",IF(IF(Paths!$E$194=0,C2072=0,AND(C2072&gt;0,Paths!$E$194&gt;(C2072-1)*12,Paths!$E$194&lt;=C2072*12)),Paths!$H$194,0),"n.a."))</f>
        <v>0</v>
      </c>
      <c r="K2072" s="16">
        <f>IF(NOT(Paths!$C$194=1),0,IF(Paths!$P$194="Complete",IF(IF(Paths!$O$194=0,C2072=0,AND(C2072&gt;0,Paths!$O$194&gt;(C2072-1)*12,Paths!$O$194&lt;=C2072*12)),Paths!$N$194,0),"n.a."))</f>
        <v>0</v>
      </c>
      <c r="L2072" s="16">
        <f>IF(NOT(Paths!$C$194=1),0,IF(Paths!$P$194="Complete",IF(C2072=10,Paths!$I$194,0),"n.a."))</f>
        <v>0</v>
      </c>
      <c r="M2072" s="16">
        <f>IF(NOT(Paths!$C$194=1),0,IF(Paths!$P$194="Complete",IF(AND(Paths!$D$194="EV",Paths!$E$194&lt;120,Paths!$E$194+'Operating costs'!$B$65&gt;Paths!$E$194,Paths!$E$194+'Operating costs'!$B$65&lt;=120,IF(Paths!$E$194+'Operating costs'!$B$65=0,C2072=0,AND(C2072&gt;0,Paths!$E$194+'Operating costs'!$B$65&gt;(C2072-1)*12,Paths!$E$194+'Operating costs'!$B$65&lt;=C2072*12))),'Operating costs'!$B$64,0)+IF(AND('Operating costs'!$B$67&gt;0,'Operating costs'!$B$67&lt;=120,OR(Paths!$D$194="ICE",'Operating costs'!$B$67&lt;=Paths!$E$194),IF('Operating costs'!$B$67=0,C2072=0,AND(C2072&gt;0,'Operating costs'!$B$67&gt;(C2072-1)*12,'Operating costs'!$B$67&lt;=C2072*12))),'Operating costs'!$B$66,0),"n.a."))</f>
        <v>0</v>
      </c>
      <c r="N2072" s="16">
        <f>IF(NOT(Paths!$C$194=1),0,IF(Paths!$P$194="Complete",SUM(G2072:I2072)-J2072-K2072-L2072+M2072+IF(C2072=0,Paths!$F$194,0)+IF(IF(Paths!$E$194=0,C2072=0,AND(C2072&gt;0,Paths!$E$194&gt;(C2072-1)*12,Paths!$E$194&lt;=C2072*12)),VLOOKUP(A2072,'Fleet register'!$A$7:$S$106,16,FALSE),0),"n.a."))</f>
        <v>0</v>
      </c>
      <c r="O2072" s="16">
        <f>IF(NOT(Paths!$C$194=1),0,IF(Paths!$P$194="Complete",N2072-IF(C2072=0,Paths!$F$194,0),"n.a."))</f>
        <v>0</v>
      </c>
      <c r="P2072" s="16">
        <f>IF(NOT(Paths!$C$194=1),0,IF(Paths!$P$194="Complete",O2072+L2072,"n.a."))</f>
        <v>0</v>
      </c>
      <c r="Q2072" s="16">
        <f>IF(NOT(Paths!$C$194=1),0,IF(Paths!$P$194="Complete",N2072*(1+'Operating costs'!$B$54)^-C2072,"n.a."))</f>
        <v>0</v>
      </c>
      <c r="R2072" s="16">
        <f>IF(NOT(Paths!$C$194=1),0,IF(Paths!$P$194="Complete",IF(AND(C2072=0,Paths!$E$194=0),I2072-J2072-K2072+VLOOKUP(A2072,'Fleet register'!$A$7:$S$106,15,FALSE)+VLOOKUP(A2072,'Fleet register'!$A$7:$S$106,16,FALSE),0),"n.a."))</f>
        <v>0</v>
      </c>
      <c r="S2072" s="1">
        <f>IF(NOT(Paths!$C$194=1),0,IF(Paths!$P$194="Complete",IF(C2072=0,0,Paths!$S$194*Paths!$R$194),"n.a."))</f>
        <v>0</v>
      </c>
      <c r="T2072" s="1">
        <f>IF(NOT(Paths!$C$194=1),0,IF(Paths!$P$194="Complete",IF(C2072=0,0,VLOOKUP(A2072,'Fleet register'!$A$7:$S$106,9,FALSE)*Paths!$R$194),"n.a."))</f>
        <v>0</v>
      </c>
    </row>
    <row r="2073" spans="1:20" ht="24" customHeight="1">
      <c r="A2073" s="1" t="str">
        <f>Paths!$A$194</f>
        <v>T047</v>
      </c>
      <c r="B2073" s="1">
        <f>Paths!$B$194</f>
        <v>3</v>
      </c>
      <c r="C2073" s="1">
        <v>9</v>
      </c>
      <c r="D2073" s="1">
        <v>194</v>
      </c>
      <c r="E2073" s="1">
        <f>IF(OR(Paths!$C$194=0,C2073=0),0,MAX(0,MIN(C2073*12,Paths!$E$194)-(C2073-1)*12))</f>
        <v>0</v>
      </c>
      <c r="F2073" s="1">
        <f>IF(OR(Paths!$C$194=0,C2073=0),0,12-E2073)</f>
        <v>0</v>
      </c>
      <c r="G2073" s="16">
        <f>IF(NOT(Paths!$C$194=1),0,IF(Paths!$P$194="Complete",E2073/12*(Paths!$J$194*(1+'Operating costs'!$B$51)^MAX(0,C2073-1)+Paths!$K$194*(1+'Operating costs'!$B$53)^MAX(0,C2073-1)),"n.a."))</f>
        <v>0</v>
      </c>
      <c r="H2073" s="16">
        <f>IF(NOT(Paths!$C$194=1),0,IF(Paths!$P$194="Complete",F2073/12*(Paths!$L$194*(1+IF(Paths!$D$194="EV",'Operating costs'!$B$52,'Operating costs'!$B$51))^MAX(0,C2073-1)+Paths!$M$194*(1+'Operating costs'!$B$53)^MAX(0,C2073-1)),"n.a."))</f>
        <v>0</v>
      </c>
      <c r="I2073" s="16">
        <f>IF(NOT(Paths!$C$194=1),0,IF(Paths!$P$194="Complete",IF(IF(Paths!$E$194=0,C2073=0,AND(C2073&gt;0,Paths!$E$194&gt;(C2073-1)*12,Paths!$E$194&lt;=C2073*12)),Paths!$G$194,0),"n.a."))</f>
        <v>0</v>
      </c>
      <c r="J2073" s="16">
        <f>IF(NOT(Paths!$C$194=1),0,IF(Paths!$P$194="Complete",IF(IF(Paths!$E$194=0,C2073=0,AND(C2073&gt;0,Paths!$E$194&gt;(C2073-1)*12,Paths!$E$194&lt;=C2073*12)),Paths!$H$194,0),"n.a."))</f>
        <v>0</v>
      </c>
      <c r="K2073" s="16">
        <f>IF(NOT(Paths!$C$194=1),0,IF(Paths!$P$194="Complete",IF(IF(Paths!$O$194=0,C2073=0,AND(C2073&gt;0,Paths!$O$194&gt;(C2073-1)*12,Paths!$O$194&lt;=C2073*12)),Paths!$N$194,0),"n.a."))</f>
        <v>0</v>
      </c>
      <c r="L2073" s="16">
        <f>IF(NOT(Paths!$C$194=1),0,IF(Paths!$P$194="Complete",IF(C2073=10,Paths!$I$194,0),"n.a."))</f>
        <v>0</v>
      </c>
      <c r="M2073" s="16">
        <f>IF(NOT(Paths!$C$194=1),0,IF(Paths!$P$194="Complete",IF(AND(Paths!$D$194="EV",Paths!$E$194&lt;120,Paths!$E$194+'Operating costs'!$B$65&gt;Paths!$E$194,Paths!$E$194+'Operating costs'!$B$65&lt;=120,IF(Paths!$E$194+'Operating costs'!$B$65=0,C2073=0,AND(C2073&gt;0,Paths!$E$194+'Operating costs'!$B$65&gt;(C2073-1)*12,Paths!$E$194+'Operating costs'!$B$65&lt;=C2073*12))),'Operating costs'!$B$64,0)+IF(AND('Operating costs'!$B$67&gt;0,'Operating costs'!$B$67&lt;=120,OR(Paths!$D$194="ICE",'Operating costs'!$B$67&lt;=Paths!$E$194),IF('Operating costs'!$B$67=0,C2073=0,AND(C2073&gt;0,'Operating costs'!$B$67&gt;(C2073-1)*12,'Operating costs'!$B$67&lt;=C2073*12))),'Operating costs'!$B$66,0),"n.a."))</f>
        <v>0</v>
      </c>
      <c r="N2073" s="16">
        <f>IF(NOT(Paths!$C$194=1),0,IF(Paths!$P$194="Complete",SUM(G2073:I2073)-J2073-K2073-L2073+M2073+IF(C2073=0,Paths!$F$194,0)+IF(IF(Paths!$E$194=0,C2073=0,AND(C2073&gt;0,Paths!$E$194&gt;(C2073-1)*12,Paths!$E$194&lt;=C2073*12)),VLOOKUP(A2073,'Fleet register'!$A$7:$S$106,16,FALSE),0),"n.a."))</f>
        <v>0</v>
      </c>
      <c r="O2073" s="16">
        <f>IF(NOT(Paths!$C$194=1),0,IF(Paths!$P$194="Complete",N2073-IF(C2073=0,Paths!$F$194,0),"n.a."))</f>
        <v>0</v>
      </c>
      <c r="P2073" s="16">
        <f>IF(NOT(Paths!$C$194=1),0,IF(Paths!$P$194="Complete",O2073+L2073,"n.a."))</f>
        <v>0</v>
      </c>
      <c r="Q2073" s="16">
        <f>IF(NOT(Paths!$C$194=1),0,IF(Paths!$P$194="Complete",N2073*(1+'Operating costs'!$B$54)^-C2073,"n.a."))</f>
        <v>0</v>
      </c>
      <c r="R2073" s="16">
        <f>IF(NOT(Paths!$C$194=1),0,IF(Paths!$P$194="Complete",IF(AND(C2073=0,Paths!$E$194=0),I2073-J2073-K2073+VLOOKUP(A2073,'Fleet register'!$A$7:$S$106,15,FALSE)+VLOOKUP(A2073,'Fleet register'!$A$7:$S$106,16,FALSE),0),"n.a."))</f>
        <v>0</v>
      </c>
      <c r="S2073" s="1">
        <f>IF(NOT(Paths!$C$194=1),0,IF(Paths!$P$194="Complete",IF(C2073=0,0,Paths!$S$194*Paths!$R$194),"n.a."))</f>
        <v>0</v>
      </c>
      <c r="T2073" s="1">
        <f>IF(NOT(Paths!$C$194=1),0,IF(Paths!$P$194="Complete",IF(C2073=0,0,VLOOKUP(A2073,'Fleet register'!$A$7:$S$106,9,FALSE)*Paths!$R$194),"n.a."))</f>
        <v>0</v>
      </c>
    </row>
    <row r="2074" spans="1:20" ht="24" customHeight="1">
      <c r="A2074" s="1" t="str">
        <f>Paths!$A$194</f>
        <v>T047</v>
      </c>
      <c r="B2074" s="1">
        <f>Paths!$B$194</f>
        <v>3</v>
      </c>
      <c r="C2074" s="1">
        <v>10</v>
      </c>
      <c r="D2074" s="1">
        <v>194</v>
      </c>
      <c r="E2074" s="1">
        <f>IF(OR(Paths!$C$194=0,C2074=0),0,MAX(0,MIN(C2074*12,Paths!$E$194)-(C2074-1)*12))</f>
        <v>0</v>
      </c>
      <c r="F2074" s="1">
        <f>IF(OR(Paths!$C$194=0,C2074=0),0,12-E2074)</f>
        <v>0</v>
      </c>
      <c r="G2074" s="16">
        <f>IF(NOT(Paths!$C$194=1),0,IF(Paths!$P$194="Complete",E2074/12*(Paths!$J$194*(1+'Operating costs'!$B$51)^MAX(0,C2074-1)+Paths!$K$194*(1+'Operating costs'!$B$53)^MAX(0,C2074-1)),"n.a."))</f>
        <v>0</v>
      </c>
      <c r="H2074" s="16">
        <f>IF(NOT(Paths!$C$194=1),0,IF(Paths!$P$194="Complete",F2074/12*(Paths!$L$194*(1+IF(Paths!$D$194="EV",'Operating costs'!$B$52,'Operating costs'!$B$51))^MAX(0,C2074-1)+Paths!$M$194*(1+'Operating costs'!$B$53)^MAX(0,C2074-1)),"n.a."))</f>
        <v>0</v>
      </c>
      <c r="I2074" s="16">
        <f>IF(NOT(Paths!$C$194=1),0,IF(Paths!$P$194="Complete",IF(IF(Paths!$E$194=0,C2074=0,AND(C2074&gt;0,Paths!$E$194&gt;(C2074-1)*12,Paths!$E$194&lt;=C2074*12)),Paths!$G$194,0),"n.a."))</f>
        <v>0</v>
      </c>
      <c r="J2074" s="16">
        <f>IF(NOT(Paths!$C$194=1),0,IF(Paths!$P$194="Complete",IF(IF(Paths!$E$194=0,C2074=0,AND(C2074&gt;0,Paths!$E$194&gt;(C2074-1)*12,Paths!$E$194&lt;=C2074*12)),Paths!$H$194,0),"n.a."))</f>
        <v>0</v>
      </c>
      <c r="K2074" s="16">
        <f>IF(NOT(Paths!$C$194=1),0,IF(Paths!$P$194="Complete",IF(IF(Paths!$O$194=0,C2074=0,AND(C2074&gt;0,Paths!$O$194&gt;(C2074-1)*12,Paths!$O$194&lt;=C2074*12)),Paths!$N$194,0),"n.a."))</f>
        <v>0</v>
      </c>
      <c r="L2074" s="16">
        <f>IF(NOT(Paths!$C$194=1),0,IF(Paths!$P$194="Complete",IF(C2074=10,Paths!$I$194,0),"n.a."))</f>
        <v>0</v>
      </c>
      <c r="M2074" s="16">
        <f>IF(NOT(Paths!$C$194=1),0,IF(Paths!$P$194="Complete",IF(AND(Paths!$D$194="EV",Paths!$E$194&lt;120,Paths!$E$194+'Operating costs'!$B$65&gt;Paths!$E$194,Paths!$E$194+'Operating costs'!$B$65&lt;=120,IF(Paths!$E$194+'Operating costs'!$B$65=0,C2074=0,AND(C2074&gt;0,Paths!$E$194+'Operating costs'!$B$65&gt;(C2074-1)*12,Paths!$E$194+'Operating costs'!$B$65&lt;=C2074*12))),'Operating costs'!$B$64,0)+IF(AND('Operating costs'!$B$67&gt;0,'Operating costs'!$B$67&lt;=120,OR(Paths!$D$194="ICE",'Operating costs'!$B$67&lt;=Paths!$E$194),IF('Operating costs'!$B$67=0,C2074=0,AND(C2074&gt;0,'Operating costs'!$B$67&gt;(C2074-1)*12,'Operating costs'!$B$67&lt;=C2074*12))),'Operating costs'!$B$66,0),"n.a."))</f>
        <v>0</v>
      </c>
      <c r="N2074" s="16">
        <f>IF(NOT(Paths!$C$194=1),0,IF(Paths!$P$194="Complete",SUM(G2074:I2074)-J2074-K2074-L2074+M2074+IF(C2074=0,Paths!$F$194,0)+IF(IF(Paths!$E$194=0,C2074=0,AND(C2074&gt;0,Paths!$E$194&gt;(C2074-1)*12,Paths!$E$194&lt;=C2074*12)),VLOOKUP(A2074,'Fleet register'!$A$7:$S$106,16,FALSE),0),"n.a."))</f>
        <v>0</v>
      </c>
      <c r="O2074" s="16">
        <f>IF(NOT(Paths!$C$194=1),0,IF(Paths!$P$194="Complete",N2074-IF(C2074=0,Paths!$F$194,0),"n.a."))</f>
        <v>0</v>
      </c>
      <c r="P2074" s="16">
        <f>IF(NOT(Paths!$C$194=1),0,IF(Paths!$P$194="Complete",O2074+L2074,"n.a."))</f>
        <v>0</v>
      </c>
      <c r="Q2074" s="16">
        <f>IF(NOT(Paths!$C$194=1),0,IF(Paths!$P$194="Complete",N2074*(1+'Operating costs'!$B$54)^-C2074,"n.a."))</f>
        <v>0</v>
      </c>
      <c r="R2074" s="16">
        <f>IF(NOT(Paths!$C$194=1),0,IF(Paths!$P$194="Complete",IF(AND(C2074=0,Paths!$E$194=0),I2074-J2074-K2074+VLOOKUP(A2074,'Fleet register'!$A$7:$S$106,15,FALSE)+VLOOKUP(A2074,'Fleet register'!$A$7:$S$106,16,FALSE),0),"n.a."))</f>
        <v>0</v>
      </c>
      <c r="S2074" s="1">
        <f>IF(NOT(Paths!$C$194=1),0,IF(Paths!$P$194="Complete",IF(C2074=0,0,Paths!$S$194*Paths!$R$194),"n.a."))</f>
        <v>0</v>
      </c>
      <c r="T2074" s="1">
        <f>IF(NOT(Paths!$C$194=1),0,IF(Paths!$P$194="Complete",IF(C2074=0,0,VLOOKUP(A2074,'Fleet register'!$A$7:$S$106,9,FALSE)*Paths!$R$194),"n.a."))</f>
        <v>0</v>
      </c>
    </row>
    <row r="2075" spans="1:20" ht="24" customHeight="1">
      <c r="A2075" s="1" t="str">
        <f>Paths!$A$195</f>
        <v>T048</v>
      </c>
      <c r="B2075" s="1">
        <f>Paths!$B$195</f>
        <v>0</v>
      </c>
      <c r="C2075" s="1">
        <v>0</v>
      </c>
      <c r="D2075" s="1">
        <v>195</v>
      </c>
      <c r="E2075" s="1">
        <f>IF(OR(Paths!$C$195=0,C2075=0),0,MAX(0,MIN(C2075*12,Paths!$E$195)-(C2075-1)*12))</f>
        <v>0</v>
      </c>
      <c r="F2075" s="1">
        <f>IF(OR(Paths!$C$195=0,C2075=0),0,12-E2075)</f>
        <v>0</v>
      </c>
      <c r="G2075" s="16">
        <f>IF(NOT(Paths!$C$195=1),0,IF(Paths!$P$195="Complete",E2075/12*(Paths!$J$195*(1+'Operating costs'!$B$51)^MAX(0,C2075-1)+Paths!$K$195*(1+'Operating costs'!$B$53)^MAX(0,C2075-1)),"n.a."))</f>
        <v>0</v>
      </c>
      <c r="H2075" s="16">
        <f>IF(NOT(Paths!$C$195=1),0,IF(Paths!$P$195="Complete",F2075/12*(Paths!$L$195*(1+IF(Paths!$D$195="EV",'Operating costs'!$B$52,'Operating costs'!$B$51))^MAX(0,C2075-1)+Paths!$M$195*(1+'Operating costs'!$B$53)^MAX(0,C2075-1)),"n.a."))</f>
        <v>0</v>
      </c>
      <c r="I2075" s="16">
        <f>IF(NOT(Paths!$C$195=1),0,IF(Paths!$P$195="Complete",IF(IF(Paths!$E$195=0,C2075=0,AND(C2075&gt;0,Paths!$E$195&gt;(C2075-1)*12,Paths!$E$195&lt;=C2075*12)),Paths!$G$195,0),"n.a."))</f>
        <v>0</v>
      </c>
      <c r="J2075" s="16">
        <f>IF(NOT(Paths!$C$195=1),0,IF(Paths!$P$195="Complete",IF(IF(Paths!$E$195=0,C2075=0,AND(C2075&gt;0,Paths!$E$195&gt;(C2075-1)*12,Paths!$E$195&lt;=C2075*12)),Paths!$H$195,0),"n.a."))</f>
        <v>0</v>
      </c>
      <c r="K2075" s="16">
        <f>IF(NOT(Paths!$C$195=1),0,IF(Paths!$P$195="Complete",IF(IF(Paths!$O$195=0,C2075=0,AND(C2075&gt;0,Paths!$O$195&gt;(C2075-1)*12,Paths!$O$195&lt;=C2075*12)),Paths!$N$195,0),"n.a."))</f>
        <v>0</v>
      </c>
      <c r="L2075" s="16">
        <f>IF(NOT(Paths!$C$195=1),0,IF(Paths!$P$195="Complete",IF(C2075=10,Paths!$I$195,0),"n.a."))</f>
        <v>0</v>
      </c>
      <c r="M2075" s="16">
        <f>IF(NOT(Paths!$C$195=1),0,IF(Paths!$P$195="Complete",IF(AND(Paths!$D$195="EV",Paths!$E$195&lt;120,Paths!$E$195+'Operating costs'!$B$65&gt;Paths!$E$195,Paths!$E$195+'Operating costs'!$B$65&lt;=120,IF(Paths!$E$195+'Operating costs'!$B$65=0,C2075=0,AND(C2075&gt;0,Paths!$E$195+'Operating costs'!$B$65&gt;(C2075-1)*12,Paths!$E$195+'Operating costs'!$B$65&lt;=C2075*12))),'Operating costs'!$B$64,0)+IF(AND('Operating costs'!$B$67&gt;0,'Operating costs'!$B$67&lt;=120,OR(Paths!$D$195="ICE",'Operating costs'!$B$67&lt;=Paths!$E$195),IF('Operating costs'!$B$67=0,C2075=0,AND(C2075&gt;0,'Operating costs'!$B$67&gt;(C2075-1)*12,'Operating costs'!$B$67&lt;=C2075*12))),'Operating costs'!$B$66,0),"n.a."))</f>
        <v>0</v>
      </c>
      <c r="N2075" s="16">
        <f>IF(NOT(Paths!$C$195=1),0,IF(Paths!$P$195="Complete",SUM(G2075:I2075)-J2075-K2075-L2075+M2075+IF(C2075=0,Paths!$F$195,0)+IF(IF(Paths!$E$195=0,C2075=0,AND(C2075&gt;0,Paths!$E$195&gt;(C2075-1)*12,Paths!$E$195&lt;=C2075*12)),VLOOKUP(A2075,'Fleet register'!$A$7:$S$106,16,FALSE),0),"n.a."))</f>
        <v>0</v>
      </c>
      <c r="O2075" s="16">
        <f>IF(NOT(Paths!$C$195=1),0,IF(Paths!$P$195="Complete",N2075-IF(C2075=0,Paths!$F$195,0),"n.a."))</f>
        <v>0</v>
      </c>
      <c r="P2075" s="16">
        <f>IF(NOT(Paths!$C$195=1),0,IF(Paths!$P$195="Complete",O2075+L2075,"n.a."))</f>
        <v>0</v>
      </c>
      <c r="Q2075" s="16">
        <f>IF(NOT(Paths!$C$195=1),0,IF(Paths!$P$195="Complete",N2075*(1+'Operating costs'!$B$54)^-C2075,"n.a."))</f>
        <v>0</v>
      </c>
      <c r="R2075" s="16">
        <f>IF(NOT(Paths!$C$195=1),0,IF(Paths!$P$195="Complete",IF(AND(C2075=0,Paths!$E$195=0),I2075-J2075-K2075+VLOOKUP(A2075,'Fleet register'!$A$7:$S$106,15,FALSE)+VLOOKUP(A2075,'Fleet register'!$A$7:$S$106,16,FALSE),0),"n.a."))</f>
        <v>0</v>
      </c>
      <c r="S2075" s="1">
        <f>IF(NOT(Paths!$C$195=1),0,IF(Paths!$P$195="Complete",IF(C2075=0,0,Paths!$S$195*Paths!$R$195),"n.a."))</f>
        <v>0</v>
      </c>
      <c r="T2075" s="1">
        <f>IF(NOT(Paths!$C$195=1),0,IF(Paths!$P$195="Complete",IF(C2075=0,0,VLOOKUP(A2075,'Fleet register'!$A$7:$S$106,9,FALSE)*Paths!$R$195),"n.a."))</f>
        <v>0</v>
      </c>
    </row>
    <row r="2076" spans="1:20" ht="24" customHeight="1">
      <c r="A2076" s="1" t="str">
        <f>Paths!$A$195</f>
        <v>T048</v>
      </c>
      <c r="B2076" s="1">
        <f>Paths!$B$195</f>
        <v>0</v>
      </c>
      <c r="C2076" s="1">
        <v>1</v>
      </c>
      <c r="D2076" s="1">
        <v>195</v>
      </c>
      <c r="E2076" s="1">
        <f>IF(OR(Paths!$C$195=0,C2076=0),0,MAX(0,MIN(C2076*12,Paths!$E$195)-(C2076-1)*12))</f>
        <v>0</v>
      </c>
      <c r="F2076" s="1">
        <f>IF(OR(Paths!$C$195=0,C2076=0),0,12-E2076)</f>
        <v>0</v>
      </c>
      <c r="G2076" s="16">
        <f>IF(NOT(Paths!$C$195=1),0,IF(Paths!$P$195="Complete",E2076/12*(Paths!$J$195*(1+'Operating costs'!$B$51)^MAX(0,C2076-1)+Paths!$K$195*(1+'Operating costs'!$B$53)^MAX(0,C2076-1)),"n.a."))</f>
        <v>0</v>
      </c>
      <c r="H2076" s="16">
        <f>IF(NOT(Paths!$C$195=1),0,IF(Paths!$P$195="Complete",F2076/12*(Paths!$L$195*(1+IF(Paths!$D$195="EV",'Operating costs'!$B$52,'Operating costs'!$B$51))^MAX(0,C2076-1)+Paths!$M$195*(1+'Operating costs'!$B$53)^MAX(0,C2076-1)),"n.a."))</f>
        <v>0</v>
      </c>
      <c r="I2076" s="16">
        <f>IF(NOT(Paths!$C$195=1),0,IF(Paths!$P$195="Complete",IF(IF(Paths!$E$195=0,C2076=0,AND(C2076&gt;0,Paths!$E$195&gt;(C2076-1)*12,Paths!$E$195&lt;=C2076*12)),Paths!$G$195,0),"n.a."))</f>
        <v>0</v>
      </c>
      <c r="J2076" s="16">
        <f>IF(NOT(Paths!$C$195=1),0,IF(Paths!$P$195="Complete",IF(IF(Paths!$E$195=0,C2076=0,AND(C2076&gt;0,Paths!$E$195&gt;(C2076-1)*12,Paths!$E$195&lt;=C2076*12)),Paths!$H$195,0),"n.a."))</f>
        <v>0</v>
      </c>
      <c r="K2076" s="16">
        <f>IF(NOT(Paths!$C$195=1),0,IF(Paths!$P$195="Complete",IF(IF(Paths!$O$195=0,C2076=0,AND(C2076&gt;0,Paths!$O$195&gt;(C2076-1)*12,Paths!$O$195&lt;=C2076*12)),Paths!$N$195,0),"n.a."))</f>
        <v>0</v>
      </c>
      <c r="L2076" s="16">
        <f>IF(NOT(Paths!$C$195=1),0,IF(Paths!$P$195="Complete",IF(C2076=10,Paths!$I$195,0),"n.a."))</f>
        <v>0</v>
      </c>
      <c r="M2076" s="16">
        <f>IF(NOT(Paths!$C$195=1),0,IF(Paths!$P$195="Complete",IF(AND(Paths!$D$195="EV",Paths!$E$195&lt;120,Paths!$E$195+'Operating costs'!$B$65&gt;Paths!$E$195,Paths!$E$195+'Operating costs'!$B$65&lt;=120,IF(Paths!$E$195+'Operating costs'!$B$65=0,C2076=0,AND(C2076&gt;0,Paths!$E$195+'Operating costs'!$B$65&gt;(C2076-1)*12,Paths!$E$195+'Operating costs'!$B$65&lt;=C2076*12))),'Operating costs'!$B$64,0)+IF(AND('Operating costs'!$B$67&gt;0,'Operating costs'!$B$67&lt;=120,OR(Paths!$D$195="ICE",'Operating costs'!$B$67&lt;=Paths!$E$195),IF('Operating costs'!$B$67=0,C2076=0,AND(C2076&gt;0,'Operating costs'!$B$67&gt;(C2076-1)*12,'Operating costs'!$B$67&lt;=C2076*12))),'Operating costs'!$B$66,0),"n.a."))</f>
        <v>0</v>
      </c>
      <c r="N2076" s="16">
        <f>IF(NOT(Paths!$C$195=1),0,IF(Paths!$P$195="Complete",SUM(G2076:I2076)-J2076-K2076-L2076+M2076+IF(C2076=0,Paths!$F$195,0)+IF(IF(Paths!$E$195=0,C2076=0,AND(C2076&gt;0,Paths!$E$195&gt;(C2076-1)*12,Paths!$E$195&lt;=C2076*12)),VLOOKUP(A2076,'Fleet register'!$A$7:$S$106,16,FALSE),0),"n.a."))</f>
        <v>0</v>
      </c>
      <c r="O2076" s="16">
        <f>IF(NOT(Paths!$C$195=1),0,IF(Paths!$P$195="Complete",N2076-IF(C2076=0,Paths!$F$195,0),"n.a."))</f>
        <v>0</v>
      </c>
      <c r="P2076" s="16">
        <f>IF(NOT(Paths!$C$195=1),0,IF(Paths!$P$195="Complete",O2076+L2076,"n.a."))</f>
        <v>0</v>
      </c>
      <c r="Q2076" s="16">
        <f>IF(NOT(Paths!$C$195=1),0,IF(Paths!$P$195="Complete",N2076*(1+'Operating costs'!$B$54)^-C2076,"n.a."))</f>
        <v>0</v>
      </c>
      <c r="R2076" s="16">
        <f>IF(NOT(Paths!$C$195=1),0,IF(Paths!$P$195="Complete",IF(AND(C2076=0,Paths!$E$195=0),I2076-J2076-K2076+VLOOKUP(A2076,'Fleet register'!$A$7:$S$106,15,FALSE)+VLOOKUP(A2076,'Fleet register'!$A$7:$S$106,16,FALSE),0),"n.a."))</f>
        <v>0</v>
      </c>
      <c r="S2076" s="1">
        <f>IF(NOT(Paths!$C$195=1),0,IF(Paths!$P$195="Complete",IF(C2076=0,0,Paths!$S$195*Paths!$R$195),"n.a."))</f>
        <v>0</v>
      </c>
      <c r="T2076" s="1">
        <f>IF(NOT(Paths!$C$195=1),0,IF(Paths!$P$195="Complete",IF(C2076=0,0,VLOOKUP(A2076,'Fleet register'!$A$7:$S$106,9,FALSE)*Paths!$R$195),"n.a."))</f>
        <v>0</v>
      </c>
    </row>
    <row r="2077" spans="1:20" ht="24" customHeight="1">
      <c r="A2077" s="1" t="str">
        <f>Paths!$A$195</f>
        <v>T048</v>
      </c>
      <c r="B2077" s="1">
        <f>Paths!$B$195</f>
        <v>0</v>
      </c>
      <c r="C2077" s="1">
        <v>2</v>
      </c>
      <c r="D2077" s="1">
        <v>195</v>
      </c>
      <c r="E2077" s="1">
        <f>IF(OR(Paths!$C$195=0,C2077=0),0,MAX(0,MIN(C2077*12,Paths!$E$195)-(C2077-1)*12))</f>
        <v>0</v>
      </c>
      <c r="F2077" s="1">
        <f>IF(OR(Paths!$C$195=0,C2077=0),0,12-E2077)</f>
        <v>0</v>
      </c>
      <c r="G2077" s="16">
        <f>IF(NOT(Paths!$C$195=1),0,IF(Paths!$P$195="Complete",E2077/12*(Paths!$J$195*(1+'Operating costs'!$B$51)^MAX(0,C2077-1)+Paths!$K$195*(1+'Operating costs'!$B$53)^MAX(0,C2077-1)),"n.a."))</f>
        <v>0</v>
      </c>
      <c r="H2077" s="16">
        <f>IF(NOT(Paths!$C$195=1),0,IF(Paths!$P$195="Complete",F2077/12*(Paths!$L$195*(1+IF(Paths!$D$195="EV",'Operating costs'!$B$52,'Operating costs'!$B$51))^MAX(0,C2077-1)+Paths!$M$195*(1+'Operating costs'!$B$53)^MAX(0,C2077-1)),"n.a."))</f>
        <v>0</v>
      </c>
      <c r="I2077" s="16">
        <f>IF(NOT(Paths!$C$195=1),0,IF(Paths!$P$195="Complete",IF(IF(Paths!$E$195=0,C2077=0,AND(C2077&gt;0,Paths!$E$195&gt;(C2077-1)*12,Paths!$E$195&lt;=C2077*12)),Paths!$G$195,0),"n.a."))</f>
        <v>0</v>
      </c>
      <c r="J2077" s="16">
        <f>IF(NOT(Paths!$C$195=1),0,IF(Paths!$P$195="Complete",IF(IF(Paths!$E$195=0,C2077=0,AND(C2077&gt;0,Paths!$E$195&gt;(C2077-1)*12,Paths!$E$195&lt;=C2077*12)),Paths!$H$195,0),"n.a."))</f>
        <v>0</v>
      </c>
      <c r="K2077" s="16">
        <f>IF(NOT(Paths!$C$195=1),0,IF(Paths!$P$195="Complete",IF(IF(Paths!$O$195=0,C2077=0,AND(C2077&gt;0,Paths!$O$195&gt;(C2077-1)*12,Paths!$O$195&lt;=C2077*12)),Paths!$N$195,0),"n.a."))</f>
        <v>0</v>
      </c>
      <c r="L2077" s="16">
        <f>IF(NOT(Paths!$C$195=1),0,IF(Paths!$P$195="Complete",IF(C2077=10,Paths!$I$195,0),"n.a."))</f>
        <v>0</v>
      </c>
      <c r="M2077" s="16">
        <f>IF(NOT(Paths!$C$195=1),0,IF(Paths!$P$195="Complete",IF(AND(Paths!$D$195="EV",Paths!$E$195&lt;120,Paths!$E$195+'Operating costs'!$B$65&gt;Paths!$E$195,Paths!$E$195+'Operating costs'!$B$65&lt;=120,IF(Paths!$E$195+'Operating costs'!$B$65=0,C2077=0,AND(C2077&gt;0,Paths!$E$195+'Operating costs'!$B$65&gt;(C2077-1)*12,Paths!$E$195+'Operating costs'!$B$65&lt;=C2077*12))),'Operating costs'!$B$64,0)+IF(AND('Operating costs'!$B$67&gt;0,'Operating costs'!$B$67&lt;=120,OR(Paths!$D$195="ICE",'Operating costs'!$B$67&lt;=Paths!$E$195),IF('Operating costs'!$B$67=0,C2077=0,AND(C2077&gt;0,'Operating costs'!$B$67&gt;(C2077-1)*12,'Operating costs'!$B$67&lt;=C2077*12))),'Operating costs'!$B$66,0),"n.a."))</f>
        <v>0</v>
      </c>
      <c r="N2077" s="16">
        <f>IF(NOT(Paths!$C$195=1),0,IF(Paths!$P$195="Complete",SUM(G2077:I2077)-J2077-K2077-L2077+M2077+IF(C2077=0,Paths!$F$195,0)+IF(IF(Paths!$E$195=0,C2077=0,AND(C2077&gt;0,Paths!$E$195&gt;(C2077-1)*12,Paths!$E$195&lt;=C2077*12)),VLOOKUP(A2077,'Fleet register'!$A$7:$S$106,16,FALSE),0),"n.a."))</f>
        <v>0</v>
      </c>
      <c r="O2077" s="16">
        <f>IF(NOT(Paths!$C$195=1),0,IF(Paths!$P$195="Complete",N2077-IF(C2077=0,Paths!$F$195,0),"n.a."))</f>
        <v>0</v>
      </c>
      <c r="P2077" s="16">
        <f>IF(NOT(Paths!$C$195=1),0,IF(Paths!$P$195="Complete",O2077+L2077,"n.a."))</f>
        <v>0</v>
      </c>
      <c r="Q2077" s="16">
        <f>IF(NOT(Paths!$C$195=1),0,IF(Paths!$P$195="Complete",N2077*(1+'Operating costs'!$B$54)^-C2077,"n.a."))</f>
        <v>0</v>
      </c>
      <c r="R2077" s="16">
        <f>IF(NOT(Paths!$C$195=1),0,IF(Paths!$P$195="Complete",IF(AND(C2077=0,Paths!$E$195=0),I2077-J2077-K2077+VLOOKUP(A2077,'Fleet register'!$A$7:$S$106,15,FALSE)+VLOOKUP(A2077,'Fleet register'!$A$7:$S$106,16,FALSE),0),"n.a."))</f>
        <v>0</v>
      </c>
      <c r="S2077" s="1">
        <f>IF(NOT(Paths!$C$195=1),0,IF(Paths!$P$195="Complete",IF(C2077=0,0,Paths!$S$195*Paths!$R$195),"n.a."))</f>
        <v>0</v>
      </c>
      <c r="T2077" s="1">
        <f>IF(NOT(Paths!$C$195=1),0,IF(Paths!$P$195="Complete",IF(C2077=0,0,VLOOKUP(A2077,'Fleet register'!$A$7:$S$106,9,FALSE)*Paths!$R$195),"n.a."))</f>
        <v>0</v>
      </c>
    </row>
    <row r="2078" spans="1:20" ht="24" customHeight="1">
      <c r="A2078" s="1" t="str">
        <f>Paths!$A$195</f>
        <v>T048</v>
      </c>
      <c r="B2078" s="1">
        <f>Paths!$B$195</f>
        <v>0</v>
      </c>
      <c r="C2078" s="1">
        <v>3</v>
      </c>
      <c r="D2078" s="1">
        <v>195</v>
      </c>
      <c r="E2078" s="1">
        <f>IF(OR(Paths!$C$195=0,C2078=0),0,MAX(0,MIN(C2078*12,Paths!$E$195)-(C2078-1)*12))</f>
        <v>0</v>
      </c>
      <c r="F2078" s="1">
        <f>IF(OR(Paths!$C$195=0,C2078=0),0,12-E2078)</f>
        <v>0</v>
      </c>
      <c r="G2078" s="16">
        <f>IF(NOT(Paths!$C$195=1),0,IF(Paths!$P$195="Complete",E2078/12*(Paths!$J$195*(1+'Operating costs'!$B$51)^MAX(0,C2078-1)+Paths!$K$195*(1+'Operating costs'!$B$53)^MAX(0,C2078-1)),"n.a."))</f>
        <v>0</v>
      </c>
      <c r="H2078" s="16">
        <f>IF(NOT(Paths!$C$195=1),0,IF(Paths!$P$195="Complete",F2078/12*(Paths!$L$195*(1+IF(Paths!$D$195="EV",'Operating costs'!$B$52,'Operating costs'!$B$51))^MAX(0,C2078-1)+Paths!$M$195*(1+'Operating costs'!$B$53)^MAX(0,C2078-1)),"n.a."))</f>
        <v>0</v>
      </c>
      <c r="I2078" s="16">
        <f>IF(NOT(Paths!$C$195=1),0,IF(Paths!$P$195="Complete",IF(IF(Paths!$E$195=0,C2078=0,AND(C2078&gt;0,Paths!$E$195&gt;(C2078-1)*12,Paths!$E$195&lt;=C2078*12)),Paths!$G$195,0),"n.a."))</f>
        <v>0</v>
      </c>
      <c r="J2078" s="16">
        <f>IF(NOT(Paths!$C$195=1),0,IF(Paths!$P$195="Complete",IF(IF(Paths!$E$195=0,C2078=0,AND(C2078&gt;0,Paths!$E$195&gt;(C2078-1)*12,Paths!$E$195&lt;=C2078*12)),Paths!$H$195,0),"n.a."))</f>
        <v>0</v>
      </c>
      <c r="K2078" s="16">
        <f>IF(NOT(Paths!$C$195=1),0,IF(Paths!$P$195="Complete",IF(IF(Paths!$O$195=0,C2078=0,AND(C2078&gt;0,Paths!$O$195&gt;(C2078-1)*12,Paths!$O$195&lt;=C2078*12)),Paths!$N$195,0),"n.a."))</f>
        <v>0</v>
      </c>
      <c r="L2078" s="16">
        <f>IF(NOT(Paths!$C$195=1),0,IF(Paths!$P$195="Complete",IF(C2078=10,Paths!$I$195,0),"n.a."))</f>
        <v>0</v>
      </c>
      <c r="M2078" s="16">
        <f>IF(NOT(Paths!$C$195=1),0,IF(Paths!$P$195="Complete",IF(AND(Paths!$D$195="EV",Paths!$E$195&lt;120,Paths!$E$195+'Operating costs'!$B$65&gt;Paths!$E$195,Paths!$E$195+'Operating costs'!$B$65&lt;=120,IF(Paths!$E$195+'Operating costs'!$B$65=0,C2078=0,AND(C2078&gt;0,Paths!$E$195+'Operating costs'!$B$65&gt;(C2078-1)*12,Paths!$E$195+'Operating costs'!$B$65&lt;=C2078*12))),'Operating costs'!$B$64,0)+IF(AND('Operating costs'!$B$67&gt;0,'Operating costs'!$B$67&lt;=120,OR(Paths!$D$195="ICE",'Operating costs'!$B$67&lt;=Paths!$E$195),IF('Operating costs'!$B$67=0,C2078=0,AND(C2078&gt;0,'Operating costs'!$B$67&gt;(C2078-1)*12,'Operating costs'!$B$67&lt;=C2078*12))),'Operating costs'!$B$66,0),"n.a."))</f>
        <v>0</v>
      </c>
      <c r="N2078" s="16">
        <f>IF(NOT(Paths!$C$195=1),0,IF(Paths!$P$195="Complete",SUM(G2078:I2078)-J2078-K2078-L2078+M2078+IF(C2078=0,Paths!$F$195,0)+IF(IF(Paths!$E$195=0,C2078=0,AND(C2078&gt;0,Paths!$E$195&gt;(C2078-1)*12,Paths!$E$195&lt;=C2078*12)),VLOOKUP(A2078,'Fleet register'!$A$7:$S$106,16,FALSE),0),"n.a."))</f>
        <v>0</v>
      </c>
      <c r="O2078" s="16">
        <f>IF(NOT(Paths!$C$195=1),0,IF(Paths!$P$195="Complete",N2078-IF(C2078=0,Paths!$F$195,0),"n.a."))</f>
        <v>0</v>
      </c>
      <c r="P2078" s="16">
        <f>IF(NOT(Paths!$C$195=1),0,IF(Paths!$P$195="Complete",O2078+L2078,"n.a."))</f>
        <v>0</v>
      </c>
      <c r="Q2078" s="16">
        <f>IF(NOT(Paths!$C$195=1),0,IF(Paths!$P$195="Complete",N2078*(1+'Operating costs'!$B$54)^-C2078,"n.a."))</f>
        <v>0</v>
      </c>
      <c r="R2078" s="16">
        <f>IF(NOT(Paths!$C$195=1),0,IF(Paths!$P$195="Complete",IF(AND(C2078=0,Paths!$E$195=0),I2078-J2078-K2078+VLOOKUP(A2078,'Fleet register'!$A$7:$S$106,15,FALSE)+VLOOKUP(A2078,'Fleet register'!$A$7:$S$106,16,FALSE),0),"n.a."))</f>
        <v>0</v>
      </c>
      <c r="S2078" s="1">
        <f>IF(NOT(Paths!$C$195=1),0,IF(Paths!$P$195="Complete",IF(C2078=0,0,Paths!$S$195*Paths!$R$195),"n.a."))</f>
        <v>0</v>
      </c>
      <c r="T2078" s="1">
        <f>IF(NOT(Paths!$C$195=1),0,IF(Paths!$P$195="Complete",IF(C2078=0,0,VLOOKUP(A2078,'Fleet register'!$A$7:$S$106,9,FALSE)*Paths!$R$195),"n.a."))</f>
        <v>0</v>
      </c>
    </row>
    <row r="2079" spans="1:20" ht="24" customHeight="1">
      <c r="A2079" s="1" t="str">
        <f>Paths!$A$195</f>
        <v>T048</v>
      </c>
      <c r="B2079" s="1">
        <f>Paths!$B$195</f>
        <v>0</v>
      </c>
      <c r="C2079" s="1">
        <v>4</v>
      </c>
      <c r="D2079" s="1">
        <v>195</v>
      </c>
      <c r="E2079" s="1">
        <f>IF(OR(Paths!$C$195=0,C2079=0),0,MAX(0,MIN(C2079*12,Paths!$E$195)-(C2079-1)*12))</f>
        <v>0</v>
      </c>
      <c r="F2079" s="1">
        <f>IF(OR(Paths!$C$195=0,C2079=0),0,12-E2079)</f>
        <v>0</v>
      </c>
      <c r="G2079" s="16">
        <f>IF(NOT(Paths!$C$195=1),0,IF(Paths!$P$195="Complete",E2079/12*(Paths!$J$195*(1+'Operating costs'!$B$51)^MAX(0,C2079-1)+Paths!$K$195*(1+'Operating costs'!$B$53)^MAX(0,C2079-1)),"n.a."))</f>
        <v>0</v>
      </c>
      <c r="H2079" s="16">
        <f>IF(NOT(Paths!$C$195=1),0,IF(Paths!$P$195="Complete",F2079/12*(Paths!$L$195*(1+IF(Paths!$D$195="EV",'Operating costs'!$B$52,'Operating costs'!$B$51))^MAX(0,C2079-1)+Paths!$M$195*(1+'Operating costs'!$B$53)^MAX(0,C2079-1)),"n.a."))</f>
        <v>0</v>
      </c>
      <c r="I2079" s="16">
        <f>IF(NOT(Paths!$C$195=1),0,IF(Paths!$P$195="Complete",IF(IF(Paths!$E$195=0,C2079=0,AND(C2079&gt;0,Paths!$E$195&gt;(C2079-1)*12,Paths!$E$195&lt;=C2079*12)),Paths!$G$195,0),"n.a."))</f>
        <v>0</v>
      </c>
      <c r="J2079" s="16">
        <f>IF(NOT(Paths!$C$195=1),0,IF(Paths!$P$195="Complete",IF(IF(Paths!$E$195=0,C2079=0,AND(C2079&gt;0,Paths!$E$195&gt;(C2079-1)*12,Paths!$E$195&lt;=C2079*12)),Paths!$H$195,0),"n.a."))</f>
        <v>0</v>
      </c>
      <c r="K2079" s="16">
        <f>IF(NOT(Paths!$C$195=1),0,IF(Paths!$P$195="Complete",IF(IF(Paths!$O$195=0,C2079=0,AND(C2079&gt;0,Paths!$O$195&gt;(C2079-1)*12,Paths!$O$195&lt;=C2079*12)),Paths!$N$195,0),"n.a."))</f>
        <v>0</v>
      </c>
      <c r="L2079" s="16">
        <f>IF(NOT(Paths!$C$195=1),0,IF(Paths!$P$195="Complete",IF(C2079=10,Paths!$I$195,0),"n.a."))</f>
        <v>0</v>
      </c>
      <c r="M2079" s="16">
        <f>IF(NOT(Paths!$C$195=1),0,IF(Paths!$P$195="Complete",IF(AND(Paths!$D$195="EV",Paths!$E$195&lt;120,Paths!$E$195+'Operating costs'!$B$65&gt;Paths!$E$195,Paths!$E$195+'Operating costs'!$B$65&lt;=120,IF(Paths!$E$195+'Operating costs'!$B$65=0,C2079=0,AND(C2079&gt;0,Paths!$E$195+'Operating costs'!$B$65&gt;(C2079-1)*12,Paths!$E$195+'Operating costs'!$B$65&lt;=C2079*12))),'Operating costs'!$B$64,0)+IF(AND('Operating costs'!$B$67&gt;0,'Operating costs'!$B$67&lt;=120,OR(Paths!$D$195="ICE",'Operating costs'!$B$67&lt;=Paths!$E$195),IF('Operating costs'!$B$67=0,C2079=0,AND(C2079&gt;0,'Operating costs'!$B$67&gt;(C2079-1)*12,'Operating costs'!$B$67&lt;=C2079*12))),'Operating costs'!$B$66,0),"n.a."))</f>
        <v>0</v>
      </c>
      <c r="N2079" s="16">
        <f>IF(NOT(Paths!$C$195=1),0,IF(Paths!$P$195="Complete",SUM(G2079:I2079)-J2079-K2079-L2079+M2079+IF(C2079=0,Paths!$F$195,0)+IF(IF(Paths!$E$195=0,C2079=0,AND(C2079&gt;0,Paths!$E$195&gt;(C2079-1)*12,Paths!$E$195&lt;=C2079*12)),VLOOKUP(A2079,'Fleet register'!$A$7:$S$106,16,FALSE),0),"n.a."))</f>
        <v>0</v>
      </c>
      <c r="O2079" s="16">
        <f>IF(NOT(Paths!$C$195=1),0,IF(Paths!$P$195="Complete",N2079-IF(C2079=0,Paths!$F$195,0),"n.a."))</f>
        <v>0</v>
      </c>
      <c r="P2079" s="16">
        <f>IF(NOT(Paths!$C$195=1),0,IF(Paths!$P$195="Complete",O2079+L2079,"n.a."))</f>
        <v>0</v>
      </c>
      <c r="Q2079" s="16">
        <f>IF(NOT(Paths!$C$195=1),0,IF(Paths!$P$195="Complete",N2079*(1+'Operating costs'!$B$54)^-C2079,"n.a."))</f>
        <v>0</v>
      </c>
      <c r="R2079" s="16">
        <f>IF(NOT(Paths!$C$195=1),0,IF(Paths!$P$195="Complete",IF(AND(C2079=0,Paths!$E$195=0),I2079-J2079-K2079+VLOOKUP(A2079,'Fleet register'!$A$7:$S$106,15,FALSE)+VLOOKUP(A2079,'Fleet register'!$A$7:$S$106,16,FALSE),0),"n.a."))</f>
        <v>0</v>
      </c>
      <c r="S2079" s="1">
        <f>IF(NOT(Paths!$C$195=1),0,IF(Paths!$P$195="Complete",IF(C2079=0,0,Paths!$S$195*Paths!$R$195),"n.a."))</f>
        <v>0</v>
      </c>
      <c r="T2079" s="1">
        <f>IF(NOT(Paths!$C$195=1),0,IF(Paths!$P$195="Complete",IF(C2079=0,0,VLOOKUP(A2079,'Fleet register'!$A$7:$S$106,9,FALSE)*Paths!$R$195),"n.a."))</f>
        <v>0</v>
      </c>
    </row>
    <row r="2080" spans="1:20" ht="24" customHeight="1">
      <c r="A2080" s="1" t="str">
        <f>Paths!$A$195</f>
        <v>T048</v>
      </c>
      <c r="B2080" s="1">
        <f>Paths!$B$195</f>
        <v>0</v>
      </c>
      <c r="C2080" s="1">
        <v>5</v>
      </c>
      <c r="D2080" s="1">
        <v>195</v>
      </c>
      <c r="E2080" s="1">
        <f>IF(OR(Paths!$C$195=0,C2080=0),0,MAX(0,MIN(C2080*12,Paths!$E$195)-(C2080-1)*12))</f>
        <v>0</v>
      </c>
      <c r="F2080" s="1">
        <f>IF(OR(Paths!$C$195=0,C2080=0),0,12-E2080)</f>
        <v>0</v>
      </c>
      <c r="G2080" s="16">
        <f>IF(NOT(Paths!$C$195=1),0,IF(Paths!$P$195="Complete",E2080/12*(Paths!$J$195*(1+'Operating costs'!$B$51)^MAX(0,C2080-1)+Paths!$K$195*(1+'Operating costs'!$B$53)^MAX(0,C2080-1)),"n.a."))</f>
        <v>0</v>
      </c>
      <c r="H2080" s="16">
        <f>IF(NOT(Paths!$C$195=1),0,IF(Paths!$P$195="Complete",F2080/12*(Paths!$L$195*(1+IF(Paths!$D$195="EV",'Operating costs'!$B$52,'Operating costs'!$B$51))^MAX(0,C2080-1)+Paths!$M$195*(1+'Operating costs'!$B$53)^MAX(0,C2080-1)),"n.a."))</f>
        <v>0</v>
      </c>
      <c r="I2080" s="16">
        <f>IF(NOT(Paths!$C$195=1),0,IF(Paths!$P$195="Complete",IF(IF(Paths!$E$195=0,C2080=0,AND(C2080&gt;0,Paths!$E$195&gt;(C2080-1)*12,Paths!$E$195&lt;=C2080*12)),Paths!$G$195,0),"n.a."))</f>
        <v>0</v>
      </c>
      <c r="J2080" s="16">
        <f>IF(NOT(Paths!$C$195=1),0,IF(Paths!$P$195="Complete",IF(IF(Paths!$E$195=0,C2080=0,AND(C2080&gt;0,Paths!$E$195&gt;(C2080-1)*12,Paths!$E$195&lt;=C2080*12)),Paths!$H$195,0),"n.a."))</f>
        <v>0</v>
      </c>
      <c r="K2080" s="16">
        <f>IF(NOT(Paths!$C$195=1),0,IF(Paths!$P$195="Complete",IF(IF(Paths!$O$195=0,C2080=0,AND(C2080&gt;0,Paths!$O$195&gt;(C2080-1)*12,Paths!$O$195&lt;=C2080*12)),Paths!$N$195,0),"n.a."))</f>
        <v>0</v>
      </c>
      <c r="L2080" s="16">
        <f>IF(NOT(Paths!$C$195=1),0,IF(Paths!$P$195="Complete",IF(C2080=10,Paths!$I$195,0),"n.a."))</f>
        <v>0</v>
      </c>
      <c r="M2080" s="16">
        <f>IF(NOT(Paths!$C$195=1),0,IF(Paths!$P$195="Complete",IF(AND(Paths!$D$195="EV",Paths!$E$195&lt;120,Paths!$E$195+'Operating costs'!$B$65&gt;Paths!$E$195,Paths!$E$195+'Operating costs'!$B$65&lt;=120,IF(Paths!$E$195+'Operating costs'!$B$65=0,C2080=0,AND(C2080&gt;0,Paths!$E$195+'Operating costs'!$B$65&gt;(C2080-1)*12,Paths!$E$195+'Operating costs'!$B$65&lt;=C2080*12))),'Operating costs'!$B$64,0)+IF(AND('Operating costs'!$B$67&gt;0,'Operating costs'!$B$67&lt;=120,OR(Paths!$D$195="ICE",'Operating costs'!$B$67&lt;=Paths!$E$195),IF('Operating costs'!$B$67=0,C2080=0,AND(C2080&gt;0,'Operating costs'!$B$67&gt;(C2080-1)*12,'Operating costs'!$B$67&lt;=C2080*12))),'Operating costs'!$B$66,0),"n.a."))</f>
        <v>0</v>
      </c>
      <c r="N2080" s="16">
        <f>IF(NOT(Paths!$C$195=1),0,IF(Paths!$P$195="Complete",SUM(G2080:I2080)-J2080-K2080-L2080+M2080+IF(C2080=0,Paths!$F$195,0)+IF(IF(Paths!$E$195=0,C2080=0,AND(C2080&gt;0,Paths!$E$195&gt;(C2080-1)*12,Paths!$E$195&lt;=C2080*12)),VLOOKUP(A2080,'Fleet register'!$A$7:$S$106,16,FALSE),0),"n.a."))</f>
        <v>0</v>
      </c>
      <c r="O2080" s="16">
        <f>IF(NOT(Paths!$C$195=1),0,IF(Paths!$P$195="Complete",N2080-IF(C2080=0,Paths!$F$195,0),"n.a."))</f>
        <v>0</v>
      </c>
      <c r="P2080" s="16">
        <f>IF(NOT(Paths!$C$195=1),0,IF(Paths!$P$195="Complete",O2080+L2080,"n.a."))</f>
        <v>0</v>
      </c>
      <c r="Q2080" s="16">
        <f>IF(NOT(Paths!$C$195=1),0,IF(Paths!$P$195="Complete",N2080*(1+'Operating costs'!$B$54)^-C2080,"n.a."))</f>
        <v>0</v>
      </c>
      <c r="R2080" s="16">
        <f>IF(NOT(Paths!$C$195=1),0,IF(Paths!$P$195="Complete",IF(AND(C2080=0,Paths!$E$195=0),I2080-J2080-K2080+VLOOKUP(A2080,'Fleet register'!$A$7:$S$106,15,FALSE)+VLOOKUP(A2080,'Fleet register'!$A$7:$S$106,16,FALSE),0),"n.a."))</f>
        <v>0</v>
      </c>
      <c r="S2080" s="1">
        <f>IF(NOT(Paths!$C$195=1),0,IF(Paths!$P$195="Complete",IF(C2080=0,0,Paths!$S$195*Paths!$R$195),"n.a."))</f>
        <v>0</v>
      </c>
      <c r="T2080" s="1">
        <f>IF(NOT(Paths!$C$195=1),0,IF(Paths!$P$195="Complete",IF(C2080=0,0,VLOOKUP(A2080,'Fleet register'!$A$7:$S$106,9,FALSE)*Paths!$R$195),"n.a."))</f>
        <v>0</v>
      </c>
    </row>
    <row r="2081" spans="1:20" ht="24" customHeight="1">
      <c r="A2081" s="1" t="str">
        <f>Paths!$A$195</f>
        <v>T048</v>
      </c>
      <c r="B2081" s="1">
        <f>Paths!$B$195</f>
        <v>0</v>
      </c>
      <c r="C2081" s="1">
        <v>6</v>
      </c>
      <c r="D2081" s="1">
        <v>195</v>
      </c>
      <c r="E2081" s="1">
        <f>IF(OR(Paths!$C$195=0,C2081=0),0,MAX(0,MIN(C2081*12,Paths!$E$195)-(C2081-1)*12))</f>
        <v>0</v>
      </c>
      <c r="F2081" s="1">
        <f>IF(OR(Paths!$C$195=0,C2081=0),0,12-E2081)</f>
        <v>0</v>
      </c>
      <c r="G2081" s="16">
        <f>IF(NOT(Paths!$C$195=1),0,IF(Paths!$P$195="Complete",E2081/12*(Paths!$J$195*(1+'Operating costs'!$B$51)^MAX(0,C2081-1)+Paths!$K$195*(1+'Operating costs'!$B$53)^MAX(0,C2081-1)),"n.a."))</f>
        <v>0</v>
      </c>
      <c r="H2081" s="16">
        <f>IF(NOT(Paths!$C$195=1),0,IF(Paths!$P$195="Complete",F2081/12*(Paths!$L$195*(1+IF(Paths!$D$195="EV",'Operating costs'!$B$52,'Operating costs'!$B$51))^MAX(0,C2081-1)+Paths!$M$195*(1+'Operating costs'!$B$53)^MAX(0,C2081-1)),"n.a."))</f>
        <v>0</v>
      </c>
      <c r="I2081" s="16">
        <f>IF(NOT(Paths!$C$195=1),0,IF(Paths!$P$195="Complete",IF(IF(Paths!$E$195=0,C2081=0,AND(C2081&gt;0,Paths!$E$195&gt;(C2081-1)*12,Paths!$E$195&lt;=C2081*12)),Paths!$G$195,0),"n.a."))</f>
        <v>0</v>
      </c>
      <c r="J2081" s="16">
        <f>IF(NOT(Paths!$C$195=1),0,IF(Paths!$P$195="Complete",IF(IF(Paths!$E$195=0,C2081=0,AND(C2081&gt;0,Paths!$E$195&gt;(C2081-1)*12,Paths!$E$195&lt;=C2081*12)),Paths!$H$195,0),"n.a."))</f>
        <v>0</v>
      </c>
      <c r="K2081" s="16">
        <f>IF(NOT(Paths!$C$195=1),0,IF(Paths!$P$195="Complete",IF(IF(Paths!$O$195=0,C2081=0,AND(C2081&gt;0,Paths!$O$195&gt;(C2081-1)*12,Paths!$O$195&lt;=C2081*12)),Paths!$N$195,0),"n.a."))</f>
        <v>0</v>
      </c>
      <c r="L2081" s="16">
        <f>IF(NOT(Paths!$C$195=1),0,IF(Paths!$P$195="Complete",IF(C2081=10,Paths!$I$195,0),"n.a."))</f>
        <v>0</v>
      </c>
      <c r="M2081" s="16">
        <f>IF(NOT(Paths!$C$195=1),0,IF(Paths!$P$195="Complete",IF(AND(Paths!$D$195="EV",Paths!$E$195&lt;120,Paths!$E$195+'Operating costs'!$B$65&gt;Paths!$E$195,Paths!$E$195+'Operating costs'!$B$65&lt;=120,IF(Paths!$E$195+'Operating costs'!$B$65=0,C2081=0,AND(C2081&gt;0,Paths!$E$195+'Operating costs'!$B$65&gt;(C2081-1)*12,Paths!$E$195+'Operating costs'!$B$65&lt;=C2081*12))),'Operating costs'!$B$64,0)+IF(AND('Operating costs'!$B$67&gt;0,'Operating costs'!$B$67&lt;=120,OR(Paths!$D$195="ICE",'Operating costs'!$B$67&lt;=Paths!$E$195),IF('Operating costs'!$B$67=0,C2081=0,AND(C2081&gt;0,'Operating costs'!$B$67&gt;(C2081-1)*12,'Operating costs'!$B$67&lt;=C2081*12))),'Operating costs'!$B$66,0),"n.a."))</f>
        <v>0</v>
      </c>
      <c r="N2081" s="16">
        <f>IF(NOT(Paths!$C$195=1),0,IF(Paths!$P$195="Complete",SUM(G2081:I2081)-J2081-K2081-L2081+M2081+IF(C2081=0,Paths!$F$195,0)+IF(IF(Paths!$E$195=0,C2081=0,AND(C2081&gt;0,Paths!$E$195&gt;(C2081-1)*12,Paths!$E$195&lt;=C2081*12)),VLOOKUP(A2081,'Fleet register'!$A$7:$S$106,16,FALSE),0),"n.a."))</f>
        <v>0</v>
      </c>
      <c r="O2081" s="16">
        <f>IF(NOT(Paths!$C$195=1),0,IF(Paths!$P$195="Complete",N2081-IF(C2081=0,Paths!$F$195,0),"n.a."))</f>
        <v>0</v>
      </c>
      <c r="P2081" s="16">
        <f>IF(NOT(Paths!$C$195=1),0,IF(Paths!$P$195="Complete",O2081+L2081,"n.a."))</f>
        <v>0</v>
      </c>
      <c r="Q2081" s="16">
        <f>IF(NOT(Paths!$C$195=1),0,IF(Paths!$P$195="Complete",N2081*(1+'Operating costs'!$B$54)^-C2081,"n.a."))</f>
        <v>0</v>
      </c>
      <c r="R2081" s="16">
        <f>IF(NOT(Paths!$C$195=1),0,IF(Paths!$P$195="Complete",IF(AND(C2081=0,Paths!$E$195=0),I2081-J2081-K2081+VLOOKUP(A2081,'Fleet register'!$A$7:$S$106,15,FALSE)+VLOOKUP(A2081,'Fleet register'!$A$7:$S$106,16,FALSE),0),"n.a."))</f>
        <v>0</v>
      </c>
      <c r="S2081" s="1">
        <f>IF(NOT(Paths!$C$195=1),0,IF(Paths!$P$195="Complete",IF(C2081=0,0,Paths!$S$195*Paths!$R$195),"n.a."))</f>
        <v>0</v>
      </c>
      <c r="T2081" s="1">
        <f>IF(NOT(Paths!$C$195=1),0,IF(Paths!$P$195="Complete",IF(C2081=0,0,VLOOKUP(A2081,'Fleet register'!$A$7:$S$106,9,FALSE)*Paths!$R$195),"n.a."))</f>
        <v>0</v>
      </c>
    </row>
    <row r="2082" spans="1:20" ht="24" customHeight="1">
      <c r="A2082" s="1" t="str">
        <f>Paths!$A$195</f>
        <v>T048</v>
      </c>
      <c r="B2082" s="1">
        <f>Paths!$B$195</f>
        <v>0</v>
      </c>
      <c r="C2082" s="1">
        <v>7</v>
      </c>
      <c r="D2082" s="1">
        <v>195</v>
      </c>
      <c r="E2082" s="1">
        <f>IF(OR(Paths!$C$195=0,C2082=0),0,MAX(0,MIN(C2082*12,Paths!$E$195)-(C2082-1)*12))</f>
        <v>0</v>
      </c>
      <c r="F2082" s="1">
        <f>IF(OR(Paths!$C$195=0,C2082=0),0,12-E2082)</f>
        <v>0</v>
      </c>
      <c r="G2082" s="16">
        <f>IF(NOT(Paths!$C$195=1),0,IF(Paths!$P$195="Complete",E2082/12*(Paths!$J$195*(1+'Operating costs'!$B$51)^MAX(0,C2082-1)+Paths!$K$195*(1+'Operating costs'!$B$53)^MAX(0,C2082-1)),"n.a."))</f>
        <v>0</v>
      </c>
      <c r="H2082" s="16">
        <f>IF(NOT(Paths!$C$195=1),0,IF(Paths!$P$195="Complete",F2082/12*(Paths!$L$195*(1+IF(Paths!$D$195="EV",'Operating costs'!$B$52,'Operating costs'!$B$51))^MAX(0,C2082-1)+Paths!$M$195*(1+'Operating costs'!$B$53)^MAX(0,C2082-1)),"n.a."))</f>
        <v>0</v>
      </c>
      <c r="I2082" s="16">
        <f>IF(NOT(Paths!$C$195=1),0,IF(Paths!$P$195="Complete",IF(IF(Paths!$E$195=0,C2082=0,AND(C2082&gt;0,Paths!$E$195&gt;(C2082-1)*12,Paths!$E$195&lt;=C2082*12)),Paths!$G$195,0),"n.a."))</f>
        <v>0</v>
      </c>
      <c r="J2082" s="16">
        <f>IF(NOT(Paths!$C$195=1),0,IF(Paths!$P$195="Complete",IF(IF(Paths!$E$195=0,C2082=0,AND(C2082&gt;0,Paths!$E$195&gt;(C2082-1)*12,Paths!$E$195&lt;=C2082*12)),Paths!$H$195,0),"n.a."))</f>
        <v>0</v>
      </c>
      <c r="K2082" s="16">
        <f>IF(NOT(Paths!$C$195=1),0,IF(Paths!$P$195="Complete",IF(IF(Paths!$O$195=0,C2082=0,AND(C2082&gt;0,Paths!$O$195&gt;(C2082-1)*12,Paths!$O$195&lt;=C2082*12)),Paths!$N$195,0),"n.a."))</f>
        <v>0</v>
      </c>
      <c r="L2082" s="16">
        <f>IF(NOT(Paths!$C$195=1),0,IF(Paths!$P$195="Complete",IF(C2082=10,Paths!$I$195,0),"n.a."))</f>
        <v>0</v>
      </c>
      <c r="M2082" s="16">
        <f>IF(NOT(Paths!$C$195=1),0,IF(Paths!$P$195="Complete",IF(AND(Paths!$D$195="EV",Paths!$E$195&lt;120,Paths!$E$195+'Operating costs'!$B$65&gt;Paths!$E$195,Paths!$E$195+'Operating costs'!$B$65&lt;=120,IF(Paths!$E$195+'Operating costs'!$B$65=0,C2082=0,AND(C2082&gt;0,Paths!$E$195+'Operating costs'!$B$65&gt;(C2082-1)*12,Paths!$E$195+'Operating costs'!$B$65&lt;=C2082*12))),'Operating costs'!$B$64,0)+IF(AND('Operating costs'!$B$67&gt;0,'Operating costs'!$B$67&lt;=120,OR(Paths!$D$195="ICE",'Operating costs'!$B$67&lt;=Paths!$E$195),IF('Operating costs'!$B$67=0,C2082=0,AND(C2082&gt;0,'Operating costs'!$B$67&gt;(C2082-1)*12,'Operating costs'!$B$67&lt;=C2082*12))),'Operating costs'!$B$66,0),"n.a."))</f>
        <v>0</v>
      </c>
      <c r="N2082" s="16">
        <f>IF(NOT(Paths!$C$195=1),0,IF(Paths!$P$195="Complete",SUM(G2082:I2082)-J2082-K2082-L2082+M2082+IF(C2082=0,Paths!$F$195,0)+IF(IF(Paths!$E$195=0,C2082=0,AND(C2082&gt;0,Paths!$E$195&gt;(C2082-1)*12,Paths!$E$195&lt;=C2082*12)),VLOOKUP(A2082,'Fleet register'!$A$7:$S$106,16,FALSE),0),"n.a."))</f>
        <v>0</v>
      </c>
      <c r="O2082" s="16">
        <f>IF(NOT(Paths!$C$195=1),0,IF(Paths!$P$195="Complete",N2082-IF(C2082=0,Paths!$F$195,0),"n.a."))</f>
        <v>0</v>
      </c>
      <c r="P2082" s="16">
        <f>IF(NOT(Paths!$C$195=1),0,IF(Paths!$P$195="Complete",O2082+L2082,"n.a."))</f>
        <v>0</v>
      </c>
      <c r="Q2082" s="16">
        <f>IF(NOT(Paths!$C$195=1),0,IF(Paths!$P$195="Complete",N2082*(1+'Operating costs'!$B$54)^-C2082,"n.a."))</f>
        <v>0</v>
      </c>
      <c r="R2082" s="16">
        <f>IF(NOT(Paths!$C$195=1),0,IF(Paths!$P$195="Complete",IF(AND(C2082=0,Paths!$E$195=0),I2082-J2082-K2082+VLOOKUP(A2082,'Fleet register'!$A$7:$S$106,15,FALSE)+VLOOKUP(A2082,'Fleet register'!$A$7:$S$106,16,FALSE),0),"n.a."))</f>
        <v>0</v>
      </c>
      <c r="S2082" s="1">
        <f>IF(NOT(Paths!$C$195=1),0,IF(Paths!$P$195="Complete",IF(C2082=0,0,Paths!$S$195*Paths!$R$195),"n.a."))</f>
        <v>0</v>
      </c>
      <c r="T2082" s="1">
        <f>IF(NOT(Paths!$C$195=1),0,IF(Paths!$P$195="Complete",IF(C2082=0,0,VLOOKUP(A2082,'Fleet register'!$A$7:$S$106,9,FALSE)*Paths!$R$195),"n.a."))</f>
        <v>0</v>
      </c>
    </row>
    <row r="2083" spans="1:20" ht="24" customHeight="1">
      <c r="A2083" s="1" t="str">
        <f>Paths!$A$195</f>
        <v>T048</v>
      </c>
      <c r="B2083" s="1">
        <f>Paths!$B$195</f>
        <v>0</v>
      </c>
      <c r="C2083" s="1">
        <v>8</v>
      </c>
      <c r="D2083" s="1">
        <v>195</v>
      </c>
      <c r="E2083" s="1">
        <f>IF(OR(Paths!$C$195=0,C2083=0),0,MAX(0,MIN(C2083*12,Paths!$E$195)-(C2083-1)*12))</f>
        <v>0</v>
      </c>
      <c r="F2083" s="1">
        <f>IF(OR(Paths!$C$195=0,C2083=0),0,12-E2083)</f>
        <v>0</v>
      </c>
      <c r="G2083" s="16">
        <f>IF(NOT(Paths!$C$195=1),0,IF(Paths!$P$195="Complete",E2083/12*(Paths!$J$195*(1+'Operating costs'!$B$51)^MAX(0,C2083-1)+Paths!$K$195*(1+'Operating costs'!$B$53)^MAX(0,C2083-1)),"n.a."))</f>
        <v>0</v>
      </c>
      <c r="H2083" s="16">
        <f>IF(NOT(Paths!$C$195=1),0,IF(Paths!$P$195="Complete",F2083/12*(Paths!$L$195*(1+IF(Paths!$D$195="EV",'Operating costs'!$B$52,'Operating costs'!$B$51))^MAX(0,C2083-1)+Paths!$M$195*(1+'Operating costs'!$B$53)^MAX(0,C2083-1)),"n.a."))</f>
        <v>0</v>
      </c>
      <c r="I2083" s="16">
        <f>IF(NOT(Paths!$C$195=1),0,IF(Paths!$P$195="Complete",IF(IF(Paths!$E$195=0,C2083=0,AND(C2083&gt;0,Paths!$E$195&gt;(C2083-1)*12,Paths!$E$195&lt;=C2083*12)),Paths!$G$195,0),"n.a."))</f>
        <v>0</v>
      </c>
      <c r="J2083" s="16">
        <f>IF(NOT(Paths!$C$195=1),0,IF(Paths!$P$195="Complete",IF(IF(Paths!$E$195=0,C2083=0,AND(C2083&gt;0,Paths!$E$195&gt;(C2083-1)*12,Paths!$E$195&lt;=C2083*12)),Paths!$H$195,0),"n.a."))</f>
        <v>0</v>
      </c>
      <c r="K2083" s="16">
        <f>IF(NOT(Paths!$C$195=1),0,IF(Paths!$P$195="Complete",IF(IF(Paths!$O$195=0,C2083=0,AND(C2083&gt;0,Paths!$O$195&gt;(C2083-1)*12,Paths!$O$195&lt;=C2083*12)),Paths!$N$195,0),"n.a."))</f>
        <v>0</v>
      </c>
      <c r="L2083" s="16">
        <f>IF(NOT(Paths!$C$195=1),0,IF(Paths!$P$195="Complete",IF(C2083=10,Paths!$I$195,0),"n.a."))</f>
        <v>0</v>
      </c>
      <c r="M2083" s="16">
        <f>IF(NOT(Paths!$C$195=1),0,IF(Paths!$P$195="Complete",IF(AND(Paths!$D$195="EV",Paths!$E$195&lt;120,Paths!$E$195+'Operating costs'!$B$65&gt;Paths!$E$195,Paths!$E$195+'Operating costs'!$B$65&lt;=120,IF(Paths!$E$195+'Operating costs'!$B$65=0,C2083=0,AND(C2083&gt;0,Paths!$E$195+'Operating costs'!$B$65&gt;(C2083-1)*12,Paths!$E$195+'Operating costs'!$B$65&lt;=C2083*12))),'Operating costs'!$B$64,0)+IF(AND('Operating costs'!$B$67&gt;0,'Operating costs'!$B$67&lt;=120,OR(Paths!$D$195="ICE",'Operating costs'!$B$67&lt;=Paths!$E$195),IF('Operating costs'!$B$67=0,C2083=0,AND(C2083&gt;0,'Operating costs'!$B$67&gt;(C2083-1)*12,'Operating costs'!$B$67&lt;=C2083*12))),'Operating costs'!$B$66,0),"n.a."))</f>
        <v>0</v>
      </c>
      <c r="N2083" s="16">
        <f>IF(NOT(Paths!$C$195=1),0,IF(Paths!$P$195="Complete",SUM(G2083:I2083)-J2083-K2083-L2083+M2083+IF(C2083=0,Paths!$F$195,0)+IF(IF(Paths!$E$195=0,C2083=0,AND(C2083&gt;0,Paths!$E$195&gt;(C2083-1)*12,Paths!$E$195&lt;=C2083*12)),VLOOKUP(A2083,'Fleet register'!$A$7:$S$106,16,FALSE),0),"n.a."))</f>
        <v>0</v>
      </c>
      <c r="O2083" s="16">
        <f>IF(NOT(Paths!$C$195=1),0,IF(Paths!$P$195="Complete",N2083-IF(C2083=0,Paths!$F$195,0),"n.a."))</f>
        <v>0</v>
      </c>
      <c r="P2083" s="16">
        <f>IF(NOT(Paths!$C$195=1),0,IF(Paths!$P$195="Complete",O2083+L2083,"n.a."))</f>
        <v>0</v>
      </c>
      <c r="Q2083" s="16">
        <f>IF(NOT(Paths!$C$195=1),0,IF(Paths!$P$195="Complete",N2083*(1+'Operating costs'!$B$54)^-C2083,"n.a."))</f>
        <v>0</v>
      </c>
      <c r="R2083" s="16">
        <f>IF(NOT(Paths!$C$195=1),0,IF(Paths!$P$195="Complete",IF(AND(C2083=0,Paths!$E$195=0),I2083-J2083-K2083+VLOOKUP(A2083,'Fleet register'!$A$7:$S$106,15,FALSE)+VLOOKUP(A2083,'Fleet register'!$A$7:$S$106,16,FALSE),0),"n.a."))</f>
        <v>0</v>
      </c>
      <c r="S2083" s="1">
        <f>IF(NOT(Paths!$C$195=1),0,IF(Paths!$P$195="Complete",IF(C2083=0,0,Paths!$S$195*Paths!$R$195),"n.a."))</f>
        <v>0</v>
      </c>
      <c r="T2083" s="1">
        <f>IF(NOT(Paths!$C$195=1),0,IF(Paths!$P$195="Complete",IF(C2083=0,0,VLOOKUP(A2083,'Fleet register'!$A$7:$S$106,9,FALSE)*Paths!$R$195),"n.a."))</f>
        <v>0</v>
      </c>
    </row>
    <row r="2084" spans="1:20" ht="24" customHeight="1">
      <c r="A2084" s="1" t="str">
        <f>Paths!$A$195</f>
        <v>T048</v>
      </c>
      <c r="B2084" s="1">
        <f>Paths!$B$195</f>
        <v>0</v>
      </c>
      <c r="C2084" s="1">
        <v>9</v>
      </c>
      <c r="D2084" s="1">
        <v>195</v>
      </c>
      <c r="E2084" s="1">
        <f>IF(OR(Paths!$C$195=0,C2084=0),0,MAX(0,MIN(C2084*12,Paths!$E$195)-(C2084-1)*12))</f>
        <v>0</v>
      </c>
      <c r="F2084" s="1">
        <f>IF(OR(Paths!$C$195=0,C2084=0),0,12-E2084)</f>
        <v>0</v>
      </c>
      <c r="G2084" s="16">
        <f>IF(NOT(Paths!$C$195=1),0,IF(Paths!$P$195="Complete",E2084/12*(Paths!$J$195*(1+'Operating costs'!$B$51)^MAX(0,C2084-1)+Paths!$K$195*(1+'Operating costs'!$B$53)^MAX(0,C2084-1)),"n.a."))</f>
        <v>0</v>
      </c>
      <c r="H2084" s="16">
        <f>IF(NOT(Paths!$C$195=1),0,IF(Paths!$P$195="Complete",F2084/12*(Paths!$L$195*(1+IF(Paths!$D$195="EV",'Operating costs'!$B$52,'Operating costs'!$B$51))^MAX(0,C2084-1)+Paths!$M$195*(1+'Operating costs'!$B$53)^MAX(0,C2084-1)),"n.a."))</f>
        <v>0</v>
      </c>
      <c r="I2084" s="16">
        <f>IF(NOT(Paths!$C$195=1),0,IF(Paths!$P$195="Complete",IF(IF(Paths!$E$195=0,C2084=0,AND(C2084&gt;0,Paths!$E$195&gt;(C2084-1)*12,Paths!$E$195&lt;=C2084*12)),Paths!$G$195,0),"n.a."))</f>
        <v>0</v>
      </c>
      <c r="J2084" s="16">
        <f>IF(NOT(Paths!$C$195=1),0,IF(Paths!$P$195="Complete",IF(IF(Paths!$E$195=0,C2084=0,AND(C2084&gt;0,Paths!$E$195&gt;(C2084-1)*12,Paths!$E$195&lt;=C2084*12)),Paths!$H$195,0),"n.a."))</f>
        <v>0</v>
      </c>
      <c r="K2084" s="16">
        <f>IF(NOT(Paths!$C$195=1),0,IF(Paths!$P$195="Complete",IF(IF(Paths!$O$195=0,C2084=0,AND(C2084&gt;0,Paths!$O$195&gt;(C2084-1)*12,Paths!$O$195&lt;=C2084*12)),Paths!$N$195,0),"n.a."))</f>
        <v>0</v>
      </c>
      <c r="L2084" s="16">
        <f>IF(NOT(Paths!$C$195=1),0,IF(Paths!$P$195="Complete",IF(C2084=10,Paths!$I$195,0),"n.a."))</f>
        <v>0</v>
      </c>
      <c r="M2084" s="16">
        <f>IF(NOT(Paths!$C$195=1),0,IF(Paths!$P$195="Complete",IF(AND(Paths!$D$195="EV",Paths!$E$195&lt;120,Paths!$E$195+'Operating costs'!$B$65&gt;Paths!$E$195,Paths!$E$195+'Operating costs'!$B$65&lt;=120,IF(Paths!$E$195+'Operating costs'!$B$65=0,C2084=0,AND(C2084&gt;0,Paths!$E$195+'Operating costs'!$B$65&gt;(C2084-1)*12,Paths!$E$195+'Operating costs'!$B$65&lt;=C2084*12))),'Operating costs'!$B$64,0)+IF(AND('Operating costs'!$B$67&gt;0,'Operating costs'!$B$67&lt;=120,OR(Paths!$D$195="ICE",'Operating costs'!$B$67&lt;=Paths!$E$195),IF('Operating costs'!$B$67=0,C2084=0,AND(C2084&gt;0,'Operating costs'!$B$67&gt;(C2084-1)*12,'Operating costs'!$B$67&lt;=C2084*12))),'Operating costs'!$B$66,0),"n.a."))</f>
        <v>0</v>
      </c>
      <c r="N2084" s="16">
        <f>IF(NOT(Paths!$C$195=1),0,IF(Paths!$P$195="Complete",SUM(G2084:I2084)-J2084-K2084-L2084+M2084+IF(C2084=0,Paths!$F$195,0)+IF(IF(Paths!$E$195=0,C2084=0,AND(C2084&gt;0,Paths!$E$195&gt;(C2084-1)*12,Paths!$E$195&lt;=C2084*12)),VLOOKUP(A2084,'Fleet register'!$A$7:$S$106,16,FALSE),0),"n.a."))</f>
        <v>0</v>
      </c>
      <c r="O2084" s="16">
        <f>IF(NOT(Paths!$C$195=1),0,IF(Paths!$P$195="Complete",N2084-IF(C2084=0,Paths!$F$195,0),"n.a."))</f>
        <v>0</v>
      </c>
      <c r="P2084" s="16">
        <f>IF(NOT(Paths!$C$195=1),0,IF(Paths!$P$195="Complete",O2084+L2084,"n.a."))</f>
        <v>0</v>
      </c>
      <c r="Q2084" s="16">
        <f>IF(NOT(Paths!$C$195=1),0,IF(Paths!$P$195="Complete",N2084*(1+'Operating costs'!$B$54)^-C2084,"n.a."))</f>
        <v>0</v>
      </c>
      <c r="R2084" s="16">
        <f>IF(NOT(Paths!$C$195=1),0,IF(Paths!$P$195="Complete",IF(AND(C2084=0,Paths!$E$195=0),I2084-J2084-K2084+VLOOKUP(A2084,'Fleet register'!$A$7:$S$106,15,FALSE)+VLOOKUP(A2084,'Fleet register'!$A$7:$S$106,16,FALSE),0),"n.a."))</f>
        <v>0</v>
      </c>
      <c r="S2084" s="1">
        <f>IF(NOT(Paths!$C$195=1),0,IF(Paths!$P$195="Complete",IF(C2084=0,0,Paths!$S$195*Paths!$R$195),"n.a."))</f>
        <v>0</v>
      </c>
      <c r="T2084" s="1">
        <f>IF(NOT(Paths!$C$195=1),0,IF(Paths!$P$195="Complete",IF(C2084=0,0,VLOOKUP(A2084,'Fleet register'!$A$7:$S$106,9,FALSE)*Paths!$R$195),"n.a."))</f>
        <v>0</v>
      </c>
    </row>
    <row r="2085" spans="1:20" ht="24" customHeight="1">
      <c r="A2085" s="1" t="str">
        <f>Paths!$A$195</f>
        <v>T048</v>
      </c>
      <c r="B2085" s="1">
        <f>Paths!$B$195</f>
        <v>0</v>
      </c>
      <c r="C2085" s="1">
        <v>10</v>
      </c>
      <c r="D2085" s="1">
        <v>195</v>
      </c>
      <c r="E2085" s="1">
        <f>IF(OR(Paths!$C$195=0,C2085=0),0,MAX(0,MIN(C2085*12,Paths!$E$195)-(C2085-1)*12))</f>
        <v>0</v>
      </c>
      <c r="F2085" s="1">
        <f>IF(OR(Paths!$C$195=0,C2085=0),0,12-E2085)</f>
        <v>0</v>
      </c>
      <c r="G2085" s="16">
        <f>IF(NOT(Paths!$C$195=1),0,IF(Paths!$P$195="Complete",E2085/12*(Paths!$J$195*(1+'Operating costs'!$B$51)^MAX(0,C2085-1)+Paths!$K$195*(1+'Operating costs'!$B$53)^MAX(0,C2085-1)),"n.a."))</f>
        <v>0</v>
      </c>
      <c r="H2085" s="16">
        <f>IF(NOT(Paths!$C$195=1),0,IF(Paths!$P$195="Complete",F2085/12*(Paths!$L$195*(1+IF(Paths!$D$195="EV",'Operating costs'!$B$52,'Operating costs'!$B$51))^MAX(0,C2085-1)+Paths!$M$195*(1+'Operating costs'!$B$53)^MAX(0,C2085-1)),"n.a."))</f>
        <v>0</v>
      </c>
      <c r="I2085" s="16">
        <f>IF(NOT(Paths!$C$195=1),0,IF(Paths!$P$195="Complete",IF(IF(Paths!$E$195=0,C2085=0,AND(C2085&gt;0,Paths!$E$195&gt;(C2085-1)*12,Paths!$E$195&lt;=C2085*12)),Paths!$G$195,0),"n.a."))</f>
        <v>0</v>
      </c>
      <c r="J2085" s="16">
        <f>IF(NOT(Paths!$C$195=1),0,IF(Paths!$P$195="Complete",IF(IF(Paths!$E$195=0,C2085=0,AND(C2085&gt;0,Paths!$E$195&gt;(C2085-1)*12,Paths!$E$195&lt;=C2085*12)),Paths!$H$195,0),"n.a."))</f>
        <v>0</v>
      </c>
      <c r="K2085" s="16">
        <f>IF(NOT(Paths!$C$195=1),0,IF(Paths!$P$195="Complete",IF(IF(Paths!$O$195=0,C2085=0,AND(C2085&gt;0,Paths!$O$195&gt;(C2085-1)*12,Paths!$O$195&lt;=C2085*12)),Paths!$N$195,0),"n.a."))</f>
        <v>0</v>
      </c>
      <c r="L2085" s="16">
        <f>IF(NOT(Paths!$C$195=1),0,IF(Paths!$P$195="Complete",IF(C2085=10,Paths!$I$195,0),"n.a."))</f>
        <v>0</v>
      </c>
      <c r="M2085" s="16">
        <f>IF(NOT(Paths!$C$195=1),0,IF(Paths!$P$195="Complete",IF(AND(Paths!$D$195="EV",Paths!$E$195&lt;120,Paths!$E$195+'Operating costs'!$B$65&gt;Paths!$E$195,Paths!$E$195+'Operating costs'!$B$65&lt;=120,IF(Paths!$E$195+'Operating costs'!$B$65=0,C2085=0,AND(C2085&gt;0,Paths!$E$195+'Operating costs'!$B$65&gt;(C2085-1)*12,Paths!$E$195+'Operating costs'!$B$65&lt;=C2085*12))),'Operating costs'!$B$64,0)+IF(AND('Operating costs'!$B$67&gt;0,'Operating costs'!$B$67&lt;=120,OR(Paths!$D$195="ICE",'Operating costs'!$B$67&lt;=Paths!$E$195),IF('Operating costs'!$B$67=0,C2085=0,AND(C2085&gt;0,'Operating costs'!$B$67&gt;(C2085-1)*12,'Operating costs'!$B$67&lt;=C2085*12))),'Operating costs'!$B$66,0),"n.a."))</f>
        <v>0</v>
      </c>
      <c r="N2085" s="16">
        <f>IF(NOT(Paths!$C$195=1),0,IF(Paths!$P$195="Complete",SUM(G2085:I2085)-J2085-K2085-L2085+M2085+IF(C2085=0,Paths!$F$195,0)+IF(IF(Paths!$E$195=0,C2085=0,AND(C2085&gt;0,Paths!$E$195&gt;(C2085-1)*12,Paths!$E$195&lt;=C2085*12)),VLOOKUP(A2085,'Fleet register'!$A$7:$S$106,16,FALSE),0),"n.a."))</f>
        <v>0</v>
      </c>
      <c r="O2085" s="16">
        <f>IF(NOT(Paths!$C$195=1),0,IF(Paths!$P$195="Complete",N2085-IF(C2085=0,Paths!$F$195,0),"n.a."))</f>
        <v>0</v>
      </c>
      <c r="P2085" s="16">
        <f>IF(NOT(Paths!$C$195=1),0,IF(Paths!$P$195="Complete",O2085+L2085,"n.a."))</f>
        <v>0</v>
      </c>
      <c r="Q2085" s="16">
        <f>IF(NOT(Paths!$C$195=1),0,IF(Paths!$P$195="Complete",N2085*(1+'Operating costs'!$B$54)^-C2085,"n.a."))</f>
        <v>0</v>
      </c>
      <c r="R2085" s="16">
        <f>IF(NOT(Paths!$C$195=1),0,IF(Paths!$P$195="Complete",IF(AND(C2085=0,Paths!$E$195=0),I2085-J2085-K2085+VLOOKUP(A2085,'Fleet register'!$A$7:$S$106,15,FALSE)+VLOOKUP(A2085,'Fleet register'!$A$7:$S$106,16,FALSE),0),"n.a."))</f>
        <v>0</v>
      </c>
      <c r="S2085" s="1">
        <f>IF(NOT(Paths!$C$195=1),0,IF(Paths!$P$195="Complete",IF(C2085=0,0,Paths!$S$195*Paths!$R$195),"n.a."))</f>
        <v>0</v>
      </c>
      <c r="T2085" s="1">
        <f>IF(NOT(Paths!$C$195=1),0,IF(Paths!$P$195="Complete",IF(C2085=0,0,VLOOKUP(A2085,'Fleet register'!$A$7:$S$106,9,FALSE)*Paths!$R$195),"n.a."))</f>
        <v>0</v>
      </c>
    </row>
    <row r="2086" spans="1:20" ht="24" customHeight="1">
      <c r="A2086" s="1" t="str">
        <f>Paths!$A$196</f>
        <v>T048</v>
      </c>
      <c r="B2086" s="1">
        <f>Paths!$B$196</f>
        <v>1</v>
      </c>
      <c r="C2086" s="1">
        <v>0</v>
      </c>
      <c r="D2086" s="1">
        <v>196</v>
      </c>
      <c r="E2086" s="1">
        <f>IF(OR(Paths!$C$196=0,C2086=0),0,MAX(0,MIN(C2086*12,Paths!$E$196)-(C2086-1)*12))</f>
        <v>0</v>
      </c>
      <c r="F2086" s="1">
        <f>IF(OR(Paths!$C$196=0,C2086=0),0,12-E2086)</f>
        <v>0</v>
      </c>
      <c r="G2086" s="16">
        <f>IF(NOT(Paths!$C$196=1),0,IF(Paths!$P$196="Complete",E2086/12*(Paths!$J$196*(1+'Operating costs'!$B$51)^MAX(0,C2086-1)+Paths!$K$196*(1+'Operating costs'!$B$53)^MAX(0,C2086-1)),"n.a."))</f>
        <v>0</v>
      </c>
      <c r="H2086" s="16">
        <f>IF(NOT(Paths!$C$196=1),0,IF(Paths!$P$196="Complete",F2086/12*(Paths!$L$196*(1+IF(Paths!$D$196="EV",'Operating costs'!$B$52,'Operating costs'!$B$51))^MAX(0,C2086-1)+Paths!$M$196*(1+'Operating costs'!$B$53)^MAX(0,C2086-1)),"n.a."))</f>
        <v>0</v>
      </c>
      <c r="I2086" s="16">
        <f>IF(NOT(Paths!$C$196=1),0,IF(Paths!$P$196="Complete",IF(IF(Paths!$E$196=0,C2086=0,AND(C2086&gt;0,Paths!$E$196&gt;(C2086-1)*12,Paths!$E$196&lt;=C2086*12)),Paths!$G$196,0),"n.a."))</f>
        <v>0</v>
      </c>
      <c r="J2086" s="16">
        <f>IF(NOT(Paths!$C$196=1),0,IF(Paths!$P$196="Complete",IF(IF(Paths!$E$196=0,C2086=0,AND(C2086&gt;0,Paths!$E$196&gt;(C2086-1)*12,Paths!$E$196&lt;=C2086*12)),Paths!$H$196,0),"n.a."))</f>
        <v>0</v>
      </c>
      <c r="K2086" s="16">
        <f>IF(NOT(Paths!$C$196=1),0,IF(Paths!$P$196="Complete",IF(IF(Paths!$O$196=0,C2086=0,AND(C2086&gt;0,Paths!$O$196&gt;(C2086-1)*12,Paths!$O$196&lt;=C2086*12)),Paths!$N$196,0),"n.a."))</f>
        <v>0</v>
      </c>
      <c r="L2086" s="16">
        <f>IF(NOT(Paths!$C$196=1),0,IF(Paths!$P$196="Complete",IF(C2086=10,Paths!$I$196,0),"n.a."))</f>
        <v>0</v>
      </c>
      <c r="M2086" s="16">
        <f>IF(NOT(Paths!$C$196=1),0,IF(Paths!$P$196="Complete",IF(AND(Paths!$D$196="EV",Paths!$E$196&lt;120,Paths!$E$196+'Operating costs'!$B$65&gt;Paths!$E$196,Paths!$E$196+'Operating costs'!$B$65&lt;=120,IF(Paths!$E$196+'Operating costs'!$B$65=0,C2086=0,AND(C2086&gt;0,Paths!$E$196+'Operating costs'!$B$65&gt;(C2086-1)*12,Paths!$E$196+'Operating costs'!$B$65&lt;=C2086*12))),'Operating costs'!$B$64,0)+IF(AND('Operating costs'!$B$67&gt;0,'Operating costs'!$B$67&lt;=120,OR(Paths!$D$196="ICE",'Operating costs'!$B$67&lt;=Paths!$E$196),IF('Operating costs'!$B$67=0,C2086=0,AND(C2086&gt;0,'Operating costs'!$B$67&gt;(C2086-1)*12,'Operating costs'!$B$67&lt;=C2086*12))),'Operating costs'!$B$66,0),"n.a."))</f>
        <v>0</v>
      </c>
      <c r="N2086" s="16">
        <f>IF(NOT(Paths!$C$196=1),0,IF(Paths!$P$196="Complete",SUM(G2086:I2086)-J2086-K2086-L2086+M2086+IF(C2086=0,Paths!$F$196,0)+IF(IF(Paths!$E$196=0,C2086=0,AND(C2086&gt;0,Paths!$E$196&gt;(C2086-1)*12,Paths!$E$196&lt;=C2086*12)),VLOOKUP(A2086,'Fleet register'!$A$7:$S$106,16,FALSE),0),"n.a."))</f>
        <v>0</v>
      </c>
      <c r="O2086" s="16">
        <f>IF(NOT(Paths!$C$196=1),0,IF(Paths!$P$196="Complete",N2086-IF(C2086=0,Paths!$F$196,0),"n.a."))</f>
        <v>0</v>
      </c>
      <c r="P2086" s="16">
        <f>IF(NOT(Paths!$C$196=1),0,IF(Paths!$P$196="Complete",O2086+L2086,"n.a."))</f>
        <v>0</v>
      </c>
      <c r="Q2086" s="16">
        <f>IF(NOT(Paths!$C$196=1),0,IF(Paths!$P$196="Complete",N2086*(1+'Operating costs'!$B$54)^-C2086,"n.a."))</f>
        <v>0</v>
      </c>
      <c r="R2086" s="16">
        <f>IF(NOT(Paths!$C$196=1),0,IF(Paths!$P$196="Complete",IF(AND(C2086=0,Paths!$E$196=0),I2086-J2086-K2086+VLOOKUP(A2086,'Fleet register'!$A$7:$S$106,15,FALSE)+VLOOKUP(A2086,'Fleet register'!$A$7:$S$106,16,FALSE),0),"n.a."))</f>
        <v>0</v>
      </c>
      <c r="S2086" s="1">
        <f>IF(NOT(Paths!$C$196=1),0,IF(Paths!$P$196="Complete",IF(C2086=0,0,Paths!$S$196*Paths!$R$196),"n.a."))</f>
        <v>0</v>
      </c>
      <c r="T2086" s="1">
        <f>IF(NOT(Paths!$C$196=1),0,IF(Paths!$P$196="Complete",IF(C2086=0,0,VLOOKUP(A2086,'Fleet register'!$A$7:$S$106,9,FALSE)*Paths!$R$196),"n.a."))</f>
        <v>0</v>
      </c>
    </row>
    <row r="2087" spans="1:20" ht="24" customHeight="1">
      <c r="A2087" s="1" t="str">
        <f>Paths!$A$196</f>
        <v>T048</v>
      </c>
      <c r="B2087" s="1">
        <f>Paths!$B$196</f>
        <v>1</v>
      </c>
      <c r="C2087" s="1">
        <v>1</v>
      </c>
      <c r="D2087" s="1">
        <v>196</v>
      </c>
      <c r="E2087" s="1">
        <f>IF(OR(Paths!$C$196=0,C2087=0),0,MAX(0,MIN(C2087*12,Paths!$E$196)-(C2087-1)*12))</f>
        <v>0</v>
      </c>
      <c r="F2087" s="1">
        <f>IF(OR(Paths!$C$196=0,C2087=0),0,12-E2087)</f>
        <v>0</v>
      </c>
      <c r="G2087" s="16">
        <f>IF(NOT(Paths!$C$196=1),0,IF(Paths!$P$196="Complete",E2087/12*(Paths!$J$196*(1+'Operating costs'!$B$51)^MAX(0,C2087-1)+Paths!$K$196*(1+'Operating costs'!$B$53)^MAX(0,C2087-1)),"n.a."))</f>
        <v>0</v>
      </c>
      <c r="H2087" s="16">
        <f>IF(NOT(Paths!$C$196=1),0,IF(Paths!$P$196="Complete",F2087/12*(Paths!$L$196*(1+IF(Paths!$D$196="EV",'Operating costs'!$B$52,'Operating costs'!$B$51))^MAX(0,C2087-1)+Paths!$M$196*(1+'Operating costs'!$B$53)^MAX(0,C2087-1)),"n.a."))</f>
        <v>0</v>
      </c>
      <c r="I2087" s="16">
        <f>IF(NOT(Paths!$C$196=1),0,IF(Paths!$P$196="Complete",IF(IF(Paths!$E$196=0,C2087=0,AND(C2087&gt;0,Paths!$E$196&gt;(C2087-1)*12,Paths!$E$196&lt;=C2087*12)),Paths!$G$196,0),"n.a."))</f>
        <v>0</v>
      </c>
      <c r="J2087" s="16">
        <f>IF(NOT(Paths!$C$196=1),0,IF(Paths!$P$196="Complete",IF(IF(Paths!$E$196=0,C2087=0,AND(C2087&gt;0,Paths!$E$196&gt;(C2087-1)*12,Paths!$E$196&lt;=C2087*12)),Paths!$H$196,0),"n.a."))</f>
        <v>0</v>
      </c>
      <c r="K2087" s="16">
        <f>IF(NOT(Paths!$C$196=1),0,IF(Paths!$P$196="Complete",IF(IF(Paths!$O$196=0,C2087=0,AND(C2087&gt;0,Paths!$O$196&gt;(C2087-1)*12,Paths!$O$196&lt;=C2087*12)),Paths!$N$196,0),"n.a."))</f>
        <v>0</v>
      </c>
      <c r="L2087" s="16">
        <f>IF(NOT(Paths!$C$196=1),0,IF(Paths!$P$196="Complete",IF(C2087=10,Paths!$I$196,0),"n.a."))</f>
        <v>0</v>
      </c>
      <c r="M2087" s="16">
        <f>IF(NOT(Paths!$C$196=1),0,IF(Paths!$P$196="Complete",IF(AND(Paths!$D$196="EV",Paths!$E$196&lt;120,Paths!$E$196+'Operating costs'!$B$65&gt;Paths!$E$196,Paths!$E$196+'Operating costs'!$B$65&lt;=120,IF(Paths!$E$196+'Operating costs'!$B$65=0,C2087=0,AND(C2087&gt;0,Paths!$E$196+'Operating costs'!$B$65&gt;(C2087-1)*12,Paths!$E$196+'Operating costs'!$B$65&lt;=C2087*12))),'Operating costs'!$B$64,0)+IF(AND('Operating costs'!$B$67&gt;0,'Operating costs'!$B$67&lt;=120,OR(Paths!$D$196="ICE",'Operating costs'!$B$67&lt;=Paths!$E$196),IF('Operating costs'!$B$67=0,C2087=0,AND(C2087&gt;0,'Operating costs'!$B$67&gt;(C2087-1)*12,'Operating costs'!$B$67&lt;=C2087*12))),'Operating costs'!$B$66,0),"n.a."))</f>
        <v>0</v>
      </c>
      <c r="N2087" s="16">
        <f>IF(NOT(Paths!$C$196=1),0,IF(Paths!$P$196="Complete",SUM(G2087:I2087)-J2087-K2087-L2087+M2087+IF(C2087=0,Paths!$F$196,0)+IF(IF(Paths!$E$196=0,C2087=0,AND(C2087&gt;0,Paths!$E$196&gt;(C2087-1)*12,Paths!$E$196&lt;=C2087*12)),VLOOKUP(A2087,'Fleet register'!$A$7:$S$106,16,FALSE),0),"n.a."))</f>
        <v>0</v>
      </c>
      <c r="O2087" s="16">
        <f>IF(NOT(Paths!$C$196=1),0,IF(Paths!$P$196="Complete",N2087-IF(C2087=0,Paths!$F$196,0),"n.a."))</f>
        <v>0</v>
      </c>
      <c r="P2087" s="16">
        <f>IF(NOT(Paths!$C$196=1),0,IF(Paths!$P$196="Complete",O2087+L2087,"n.a."))</f>
        <v>0</v>
      </c>
      <c r="Q2087" s="16">
        <f>IF(NOT(Paths!$C$196=1),0,IF(Paths!$P$196="Complete",N2087*(1+'Operating costs'!$B$54)^-C2087,"n.a."))</f>
        <v>0</v>
      </c>
      <c r="R2087" s="16">
        <f>IF(NOT(Paths!$C$196=1),0,IF(Paths!$P$196="Complete",IF(AND(C2087=0,Paths!$E$196=0),I2087-J2087-K2087+VLOOKUP(A2087,'Fleet register'!$A$7:$S$106,15,FALSE)+VLOOKUP(A2087,'Fleet register'!$A$7:$S$106,16,FALSE),0),"n.a."))</f>
        <v>0</v>
      </c>
      <c r="S2087" s="1">
        <f>IF(NOT(Paths!$C$196=1),0,IF(Paths!$P$196="Complete",IF(C2087=0,0,Paths!$S$196*Paths!$R$196),"n.a."))</f>
        <v>0</v>
      </c>
      <c r="T2087" s="1">
        <f>IF(NOT(Paths!$C$196=1),0,IF(Paths!$P$196="Complete",IF(C2087=0,0,VLOOKUP(A2087,'Fleet register'!$A$7:$S$106,9,FALSE)*Paths!$R$196),"n.a."))</f>
        <v>0</v>
      </c>
    </row>
    <row r="2088" spans="1:20" ht="24" customHeight="1">
      <c r="A2088" s="1" t="str">
        <f>Paths!$A$196</f>
        <v>T048</v>
      </c>
      <c r="B2088" s="1">
        <f>Paths!$B$196</f>
        <v>1</v>
      </c>
      <c r="C2088" s="1">
        <v>2</v>
      </c>
      <c r="D2088" s="1">
        <v>196</v>
      </c>
      <c r="E2088" s="1">
        <f>IF(OR(Paths!$C$196=0,C2088=0),0,MAX(0,MIN(C2088*12,Paths!$E$196)-(C2088-1)*12))</f>
        <v>0</v>
      </c>
      <c r="F2088" s="1">
        <f>IF(OR(Paths!$C$196=0,C2088=0),0,12-E2088)</f>
        <v>0</v>
      </c>
      <c r="G2088" s="16">
        <f>IF(NOT(Paths!$C$196=1),0,IF(Paths!$P$196="Complete",E2088/12*(Paths!$J$196*(1+'Operating costs'!$B$51)^MAX(0,C2088-1)+Paths!$K$196*(1+'Operating costs'!$B$53)^MAX(0,C2088-1)),"n.a."))</f>
        <v>0</v>
      </c>
      <c r="H2088" s="16">
        <f>IF(NOT(Paths!$C$196=1),0,IF(Paths!$P$196="Complete",F2088/12*(Paths!$L$196*(1+IF(Paths!$D$196="EV",'Operating costs'!$B$52,'Operating costs'!$B$51))^MAX(0,C2088-1)+Paths!$M$196*(1+'Operating costs'!$B$53)^MAX(0,C2088-1)),"n.a."))</f>
        <v>0</v>
      </c>
      <c r="I2088" s="16">
        <f>IF(NOT(Paths!$C$196=1),0,IF(Paths!$P$196="Complete",IF(IF(Paths!$E$196=0,C2088=0,AND(C2088&gt;0,Paths!$E$196&gt;(C2088-1)*12,Paths!$E$196&lt;=C2088*12)),Paths!$G$196,0),"n.a."))</f>
        <v>0</v>
      </c>
      <c r="J2088" s="16">
        <f>IF(NOT(Paths!$C$196=1),0,IF(Paths!$P$196="Complete",IF(IF(Paths!$E$196=0,C2088=0,AND(C2088&gt;0,Paths!$E$196&gt;(C2088-1)*12,Paths!$E$196&lt;=C2088*12)),Paths!$H$196,0),"n.a."))</f>
        <v>0</v>
      </c>
      <c r="K2088" s="16">
        <f>IF(NOT(Paths!$C$196=1),0,IF(Paths!$P$196="Complete",IF(IF(Paths!$O$196=0,C2088=0,AND(C2088&gt;0,Paths!$O$196&gt;(C2088-1)*12,Paths!$O$196&lt;=C2088*12)),Paths!$N$196,0),"n.a."))</f>
        <v>0</v>
      </c>
      <c r="L2088" s="16">
        <f>IF(NOT(Paths!$C$196=1),0,IF(Paths!$P$196="Complete",IF(C2088=10,Paths!$I$196,0),"n.a."))</f>
        <v>0</v>
      </c>
      <c r="M2088" s="16">
        <f>IF(NOT(Paths!$C$196=1),0,IF(Paths!$P$196="Complete",IF(AND(Paths!$D$196="EV",Paths!$E$196&lt;120,Paths!$E$196+'Operating costs'!$B$65&gt;Paths!$E$196,Paths!$E$196+'Operating costs'!$B$65&lt;=120,IF(Paths!$E$196+'Operating costs'!$B$65=0,C2088=0,AND(C2088&gt;0,Paths!$E$196+'Operating costs'!$B$65&gt;(C2088-1)*12,Paths!$E$196+'Operating costs'!$B$65&lt;=C2088*12))),'Operating costs'!$B$64,0)+IF(AND('Operating costs'!$B$67&gt;0,'Operating costs'!$B$67&lt;=120,OR(Paths!$D$196="ICE",'Operating costs'!$B$67&lt;=Paths!$E$196),IF('Operating costs'!$B$67=0,C2088=0,AND(C2088&gt;0,'Operating costs'!$B$67&gt;(C2088-1)*12,'Operating costs'!$B$67&lt;=C2088*12))),'Operating costs'!$B$66,0),"n.a."))</f>
        <v>0</v>
      </c>
      <c r="N2088" s="16">
        <f>IF(NOT(Paths!$C$196=1),0,IF(Paths!$P$196="Complete",SUM(G2088:I2088)-J2088-K2088-L2088+M2088+IF(C2088=0,Paths!$F$196,0)+IF(IF(Paths!$E$196=0,C2088=0,AND(C2088&gt;0,Paths!$E$196&gt;(C2088-1)*12,Paths!$E$196&lt;=C2088*12)),VLOOKUP(A2088,'Fleet register'!$A$7:$S$106,16,FALSE),0),"n.a."))</f>
        <v>0</v>
      </c>
      <c r="O2088" s="16">
        <f>IF(NOT(Paths!$C$196=1),0,IF(Paths!$P$196="Complete",N2088-IF(C2088=0,Paths!$F$196,0),"n.a."))</f>
        <v>0</v>
      </c>
      <c r="P2088" s="16">
        <f>IF(NOT(Paths!$C$196=1),0,IF(Paths!$P$196="Complete",O2088+L2088,"n.a."))</f>
        <v>0</v>
      </c>
      <c r="Q2088" s="16">
        <f>IF(NOT(Paths!$C$196=1),0,IF(Paths!$P$196="Complete",N2088*(1+'Operating costs'!$B$54)^-C2088,"n.a."))</f>
        <v>0</v>
      </c>
      <c r="R2088" s="16">
        <f>IF(NOT(Paths!$C$196=1),0,IF(Paths!$P$196="Complete",IF(AND(C2088=0,Paths!$E$196=0),I2088-J2088-K2088+VLOOKUP(A2088,'Fleet register'!$A$7:$S$106,15,FALSE)+VLOOKUP(A2088,'Fleet register'!$A$7:$S$106,16,FALSE),0),"n.a."))</f>
        <v>0</v>
      </c>
      <c r="S2088" s="1">
        <f>IF(NOT(Paths!$C$196=1),0,IF(Paths!$P$196="Complete",IF(C2088=0,0,Paths!$S$196*Paths!$R$196),"n.a."))</f>
        <v>0</v>
      </c>
      <c r="T2088" s="1">
        <f>IF(NOT(Paths!$C$196=1),0,IF(Paths!$P$196="Complete",IF(C2088=0,0,VLOOKUP(A2088,'Fleet register'!$A$7:$S$106,9,FALSE)*Paths!$R$196),"n.a."))</f>
        <v>0</v>
      </c>
    </row>
    <row r="2089" spans="1:20" ht="24" customHeight="1">
      <c r="A2089" s="1" t="str">
        <f>Paths!$A$196</f>
        <v>T048</v>
      </c>
      <c r="B2089" s="1">
        <f>Paths!$B$196</f>
        <v>1</v>
      </c>
      <c r="C2089" s="1">
        <v>3</v>
      </c>
      <c r="D2089" s="1">
        <v>196</v>
      </c>
      <c r="E2089" s="1">
        <f>IF(OR(Paths!$C$196=0,C2089=0),0,MAX(0,MIN(C2089*12,Paths!$E$196)-(C2089-1)*12))</f>
        <v>0</v>
      </c>
      <c r="F2089" s="1">
        <f>IF(OR(Paths!$C$196=0,C2089=0),0,12-E2089)</f>
        <v>0</v>
      </c>
      <c r="G2089" s="16">
        <f>IF(NOT(Paths!$C$196=1),0,IF(Paths!$P$196="Complete",E2089/12*(Paths!$J$196*(1+'Operating costs'!$B$51)^MAX(0,C2089-1)+Paths!$K$196*(1+'Operating costs'!$B$53)^MAX(0,C2089-1)),"n.a."))</f>
        <v>0</v>
      </c>
      <c r="H2089" s="16">
        <f>IF(NOT(Paths!$C$196=1),0,IF(Paths!$P$196="Complete",F2089/12*(Paths!$L$196*(1+IF(Paths!$D$196="EV",'Operating costs'!$B$52,'Operating costs'!$B$51))^MAX(0,C2089-1)+Paths!$M$196*(1+'Operating costs'!$B$53)^MAX(0,C2089-1)),"n.a."))</f>
        <v>0</v>
      </c>
      <c r="I2089" s="16">
        <f>IF(NOT(Paths!$C$196=1),0,IF(Paths!$P$196="Complete",IF(IF(Paths!$E$196=0,C2089=0,AND(C2089&gt;0,Paths!$E$196&gt;(C2089-1)*12,Paths!$E$196&lt;=C2089*12)),Paths!$G$196,0),"n.a."))</f>
        <v>0</v>
      </c>
      <c r="J2089" s="16">
        <f>IF(NOT(Paths!$C$196=1),0,IF(Paths!$P$196="Complete",IF(IF(Paths!$E$196=0,C2089=0,AND(C2089&gt;0,Paths!$E$196&gt;(C2089-1)*12,Paths!$E$196&lt;=C2089*12)),Paths!$H$196,0),"n.a."))</f>
        <v>0</v>
      </c>
      <c r="K2089" s="16">
        <f>IF(NOT(Paths!$C$196=1),0,IF(Paths!$P$196="Complete",IF(IF(Paths!$O$196=0,C2089=0,AND(C2089&gt;0,Paths!$O$196&gt;(C2089-1)*12,Paths!$O$196&lt;=C2089*12)),Paths!$N$196,0),"n.a."))</f>
        <v>0</v>
      </c>
      <c r="L2089" s="16">
        <f>IF(NOT(Paths!$C$196=1),0,IF(Paths!$P$196="Complete",IF(C2089=10,Paths!$I$196,0),"n.a."))</f>
        <v>0</v>
      </c>
      <c r="M2089" s="16">
        <f>IF(NOT(Paths!$C$196=1),0,IF(Paths!$P$196="Complete",IF(AND(Paths!$D$196="EV",Paths!$E$196&lt;120,Paths!$E$196+'Operating costs'!$B$65&gt;Paths!$E$196,Paths!$E$196+'Operating costs'!$B$65&lt;=120,IF(Paths!$E$196+'Operating costs'!$B$65=0,C2089=0,AND(C2089&gt;0,Paths!$E$196+'Operating costs'!$B$65&gt;(C2089-1)*12,Paths!$E$196+'Operating costs'!$B$65&lt;=C2089*12))),'Operating costs'!$B$64,0)+IF(AND('Operating costs'!$B$67&gt;0,'Operating costs'!$B$67&lt;=120,OR(Paths!$D$196="ICE",'Operating costs'!$B$67&lt;=Paths!$E$196),IF('Operating costs'!$B$67=0,C2089=0,AND(C2089&gt;0,'Operating costs'!$B$67&gt;(C2089-1)*12,'Operating costs'!$B$67&lt;=C2089*12))),'Operating costs'!$B$66,0),"n.a."))</f>
        <v>0</v>
      </c>
      <c r="N2089" s="16">
        <f>IF(NOT(Paths!$C$196=1),0,IF(Paths!$P$196="Complete",SUM(G2089:I2089)-J2089-K2089-L2089+M2089+IF(C2089=0,Paths!$F$196,0)+IF(IF(Paths!$E$196=0,C2089=0,AND(C2089&gt;0,Paths!$E$196&gt;(C2089-1)*12,Paths!$E$196&lt;=C2089*12)),VLOOKUP(A2089,'Fleet register'!$A$7:$S$106,16,FALSE),0),"n.a."))</f>
        <v>0</v>
      </c>
      <c r="O2089" s="16">
        <f>IF(NOT(Paths!$C$196=1),0,IF(Paths!$P$196="Complete",N2089-IF(C2089=0,Paths!$F$196,0),"n.a."))</f>
        <v>0</v>
      </c>
      <c r="P2089" s="16">
        <f>IF(NOT(Paths!$C$196=1),0,IF(Paths!$P$196="Complete",O2089+L2089,"n.a."))</f>
        <v>0</v>
      </c>
      <c r="Q2089" s="16">
        <f>IF(NOT(Paths!$C$196=1),0,IF(Paths!$P$196="Complete",N2089*(1+'Operating costs'!$B$54)^-C2089,"n.a."))</f>
        <v>0</v>
      </c>
      <c r="R2089" s="16">
        <f>IF(NOT(Paths!$C$196=1),0,IF(Paths!$P$196="Complete",IF(AND(C2089=0,Paths!$E$196=0),I2089-J2089-K2089+VLOOKUP(A2089,'Fleet register'!$A$7:$S$106,15,FALSE)+VLOOKUP(A2089,'Fleet register'!$A$7:$S$106,16,FALSE),0),"n.a."))</f>
        <v>0</v>
      </c>
      <c r="S2089" s="1">
        <f>IF(NOT(Paths!$C$196=1),0,IF(Paths!$P$196="Complete",IF(C2089=0,0,Paths!$S$196*Paths!$R$196),"n.a."))</f>
        <v>0</v>
      </c>
      <c r="T2089" s="1">
        <f>IF(NOT(Paths!$C$196=1),0,IF(Paths!$P$196="Complete",IF(C2089=0,0,VLOOKUP(A2089,'Fleet register'!$A$7:$S$106,9,FALSE)*Paths!$R$196),"n.a."))</f>
        <v>0</v>
      </c>
    </row>
    <row r="2090" spans="1:20" ht="24" customHeight="1">
      <c r="A2090" s="1" t="str">
        <f>Paths!$A$196</f>
        <v>T048</v>
      </c>
      <c r="B2090" s="1">
        <f>Paths!$B$196</f>
        <v>1</v>
      </c>
      <c r="C2090" s="1">
        <v>4</v>
      </c>
      <c r="D2090" s="1">
        <v>196</v>
      </c>
      <c r="E2090" s="1">
        <f>IF(OR(Paths!$C$196=0,C2090=0),0,MAX(0,MIN(C2090*12,Paths!$E$196)-(C2090-1)*12))</f>
        <v>0</v>
      </c>
      <c r="F2090" s="1">
        <f>IF(OR(Paths!$C$196=0,C2090=0),0,12-E2090)</f>
        <v>0</v>
      </c>
      <c r="G2090" s="16">
        <f>IF(NOT(Paths!$C$196=1),0,IF(Paths!$P$196="Complete",E2090/12*(Paths!$J$196*(1+'Operating costs'!$B$51)^MAX(0,C2090-1)+Paths!$K$196*(1+'Operating costs'!$B$53)^MAX(0,C2090-1)),"n.a."))</f>
        <v>0</v>
      </c>
      <c r="H2090" s="16">
        <f>IF(NOT(Paths!$C$196=1),0,IF(Paths!$P$196="Complete",F2090/12*(Paths!$L$196*(1+IF(Paths!$D$196="EV",'Operating costs'!$B$52,'Operating costs'!$B$51))^MAX(0,C2090-1)+Paths!$M$196*(1+'Operating costs'!$B$53)^MAX(0,C2090-1)),"n.a."))</f>
        <v>0</v>
      </c>
      <c r="I2090" s="16">
        <f>IF(NOT(Paths!$C$196=1),0,IF(Paths!$P$196="Complete",IF(IF(Paths!$E$196=0,C2090=0,AND(C2090&gt;0,Paths!$E$196&gt;(C2090-1)*12,Paths!$E$196&lt;=C2090*12)),Paths!$G$196,0),"n.a."))</f>
        <v>0</v>
      </c>
      <c r="J2090" s="16">
        <f>IF(NOT(Paths!$C$196=1),0,IF(Paths!$P$196="Complete",IF(IF(Paths!$E$196=0,C2090=0,AND(C2090&gt;0,Paths!$E$196&gt;(C2090-1)*12,Paths!$E$196&lt;=C2090*12)),Paths!$H$196,0),"n.a."))</f>
        <v>0</v>
      </c>
      <c r="K2090" s="16">
        <f>IF(NOT(Paths!$C$196=1),0,IF(Paths!$P$196="Complete",IF(IF(Paths!$O$196=0,C2090=0,AND(C2090&gt;0,Paths!$O$196&gt;(C2090-1)*12,Paths!$O$196&lt;=C2090*12)),Paths!$N$196,0),"n.a."))</f>
        <v>0</v>
      </c>
      <c r="L2090" s="16">
        <f>IF(NOT(Paths!$C$196=1),0,IF(Paths!$P$196="Complete",IF(C2090=10,Paths!$I$196,0),"n.a."))</f>
        <v>0</v>
      </c>
      <c r="M2090" s="16">
        <f>IF(NOT(Paths!$C$196=1),0,IF(Paths!$P$196="Complete",IF(AND(Paths!$D$196="EV",Paths!$E$196&lt;120,Paths!$E$196+'Operating costs'!$B$65&gt;Paths!$E$196,Paths!$E$196+'Operating costs'!$B$65&lt;=120,IF(Paths!$E$196+'Operating costs'!$B$65=0,C2090=0,AND(C2090&gt;0,Paths!$E$196+'Operating costs'!$B$65&gt;(C2090-1)*12,Paths!$E$196+'Operating costs'!$B$65&lt;=C2090*12))),'Operating costs'!$B$64,0)+IF(AND('Operating costs'!$B$67&gt;0,'Operating costs'!$B$67&lt;=120,OR(Paths!$D$196="ICE",'Operating costs'!$B$67&lt;=Paths!$E$196),IF('Operating costs'!$B$67=0,C2090=0,AND(C2090&gt;0,'Operating costs'!$B$67&gt;(C2090-1)*12,'Operating costs'!$B$67&lt;=C2090*12))),'Operating costs'!$B$66,0),"n.a."))</f>
        <v>0</v>
      </c>
      <c r="N2090" s="16">
        <f>IF(NOT(Paths!$C$196=1),0,IF(Paths!$P$196="Complete",SUM(G2090:I2090)-J2090-K2090-L2090+M2090+IF(C2090=0,Paths!$F$196,0)+IF(IF(Paths!$E$196=0,C2090=0,AND(C2090&gt;0,Paths!$E$196&gt;(C2090-1)*12,Paths!$E$196&lt;=C2090*12)),VLOOKUP(A2090,'Fleet register'!$A$7:$S$106,16,FALSE),0),"n.a."))</f>
        <v>0</v>
      </c>
      <c r="O2090" s="16">
        <f>IF(NOT(Paths!$C$196=1),0,IF(Paths!$P$196="Complete",N2090-IF(C2090=0,Paths!$F$196,0),"n.a."))</f>
        <v>0</v>
      </c>
      <c r="P2090" s="16">
        <f>IF(NOT(Paths!$C$196=1),0,IF(Paths!$P$196="Complete",O2090+L2090,"n.a."))</f>
        <v>0</v>
      </c>
      <c r="Q2090" s="16">
        <f>IF(NOT(Paths!$C$196=1),0,IF(Paths!$P$196="Complete",N2090*(1+'Operating costs'!$B$54)^-C2090,"n.a."))</f>
        <v>0</v>
      </c>
      <c r="R2090" s="16">
        <f>IF(NOT(Paths!$C$196=1),0,IF(Paths!$P$196="Complete",IF(AND(C2090=0,Paths!$E$196=0),I2090-J2090-K2090+VLOOKUP(A2090,'Fleet register'!$A$7:$S$106,15,FALSE)+VLOOKUP(A2090,'Fleet register'!$A$7:$S$106,16,FALSE),0),"n.a."))</f>
        <v>0</v>
      </c>
      <c r="S2090" s="1">
        <f>IF(NOT(Paths!$C$196=1),0,IF(Paths!$P$196="Complete",IF(C2090=0,0,Paths!$S$196*Paths!$R$196),"n.a."))</f>
        <v>0</v>
      </c>
      <c r="T2090" s="1">
        <f>IF(NOT(Paths!$C$196=1),0,IF(Paths!$P$196="Complete",IF(C2090=0,0,VLOOKUP(A2090,'Fleet register'!$A$7:$S$106,9,FALSE)*Paths!$R$196),"n.a."))</f>
        <v>0</v>
      </c>
    </row>
    <row r="2091" spans="1:20" ht="24" customHeight="1">
      <c r="A2091" s="1" t="str">
        <f>Paths!$A$196</f>
        <v>T048</v>
      </c>
      <c r="B2091" s="1">
        <f>Paths!$B$196</f>
        <v>1</v>
      </c>
      <c r="C2091" s="1">
        <v>5</v>
      </c>
      <c r="D2091" s="1">
        <v>196</v>
      </c>
      <c r="E2091" s="1">
        <f>IF(OR(Paths!$C$196=0,C2091=0),0,MAX(0,MIN(C2091*12,Paths!$E$196)-(C2091-1)*12))</f>
        <v>0</v>
      </c>
      <c r="F2091" s="1">
        <f>IF(OR(Paths!$C$196=0,C2091=0),0,12-E2091)</f>
        <v>0</v>
      </c>
      <c r="G2091" s="16">
        <f>IF(NOT(Paths!$C$196=1),0,IF(Paths!$P$196="Complete",E2091/12*(Paths!$J$196*(1+'Operating costs'!$B$51)^MAX(0,C2091-1)+Paths!$K$196*(1+'Operating costs'!$B$53)^MAX(0,C2091-1)),"n.a."))</f>
        <v>0</v>
      </c>
      <c r="H2091" s="16">
        <f>IF(NOT(Paths!$C$196=1),0,IF(Paths!$P$196="Complete",F2091/12*(Paths!$L$196*(1+IF(Paths!$D$196="EV",'Operating costs'!$B$52,'Operating costs'!$B$51))^MAX(0,C2091-1)+Paths!$M$196*(1+'Operating costs'!$B$53)^MAX(0,C2091-1)),"n.a."))</f>
        <v>0</v>
      </c>
      <c r="I2091" s="16">
        <f>IF(NOT(Paths!$C$196=1),0,IF(Paths!$P$196="Complete",IF(IF(Paths!$E$196=0,C2091=0,AND(C2091&gt;0,Paths!$E$196&gt;(C2091-1)*12,Paths!$E$196&lt;=C2091*12)),Paths!$G$196,0),"n.a."))</f>
        <v>0</v>
      </c>
      <c r="J2091" s="16">
        <f>IF(NOT(Paths!$C$196=1),0,IF(Paths!$P$196="Complete",IF(IF(Paths!$E$196=0,C2091=0,AND(C2091&gt;0,Paths!$E$196&gt;(C2091-1)*12,Paths!$E$196&lt;=C2091*12)),Paths!$H$196,0),"n.a."))</f>
        <v>0</v>
      </c>
      <c r="K2091" s="16">
        <f>IF(NOT(Paths!$C$196=1),0,IF(Paths!$P$196="Complete",IF(IF(Paths!$O$196=0,C2091=0,AND(C2091&gt;0,Paths!$O$196&gt;(C2091-1)*12,Paths!$O$196&lt;=C2091*12)),Paths!$N$196,0),"n.a."))</f>
        <v>0</v>
      </c>
      <c r="L2091" s="16">
        <f>IF(NOT(Paths!$C$196=1),0,IF(Paths!$P$196="Complete",IF(C2091=10,Paths!$I$196,0),"n.a."))</f>
        <v>0</v>
      </c>
      <c r="M2091" s="16">
        <f>IF(NOT(Paths!$C$196=1),0,IF(Paths!$P$196="Complete",IF(AND(Paths!$D$196="EV",Paths!$E$196&lt;120,Paths!$E$196+'Operating costs'!$B$65&gt;Paths!$E$196,Paths!$E$196+'Operating costs'!$B$65&lt;=120,IF(Paths!$E$196+'Operating costs'!$B$65=0,C2091=0,AND(C2091&gt;0,Paths!$E$196+'Operating costs'!$B$65&gt;(C2091-1)*12,Paths!$E$196+'Operating costs'!$B$65&lt;=C2091*12))),'Operating costs'!$B$64,0)+IF(AND('Operating costs'!$B$67&gt;0,'Operating costs'!$B$67&lt;=120,OR(Paths!$D$196="ICE",'Operating costs'!$B$67&lt;=Paths!$E$196),IF('Operating costs'!$B$67=0,C2091=0,AND(C2091&gt;0,'Operating costs'!$B$67&gt;(C2091-1)*12,'Operating costs'!$B$67&lt;=C2091*12))),'Operating costs'!$B$66,0),"n.a."))</f>
        <v>0</v>
      </c>
      <c r="N2091" s="16">
        <f>IF(NOT(Paths!$C$196=1),0,IF(Paths!$P$196="Complete",SUM(G2091:I2091)-J2091-K2091-L2091+M2091+IF(C2091=0,Paths!$F$196,0)+IF(IF(Paths!$E$196=0,C2091=0,AND(C2091&gt;0,Paths!$E$196&gt;(C2091-1)*12,Paths!$E$196&lt;=C2091*12)),VLOOKUP(A2091,'Fleet register'!$A$7:$S$106,16,FALSE),0),"n.a."))</f>
        <v>0</v>
      </c>
      <c r="O2091" s="16">
        <f>IF(NOT(Paths!$C$196=1),0,IF(Paths!$P$196="Complete",N2091-IF(C2091=0,Paths!$F$196,0),"n.a."))</f>
        <v>0</v>
      </c>
      <c r="P2091" s="16">
        <f>IF(NOT(Paths!$C$196=1),0,IF(Paths!$P$196="Complete",O2091+L2091,"n.a."))</f>
        <v>0</v>
      </c>
      <c r="Q2091" s="16">
        <f>IF(NOT(Paths!$C$196=1),0,IF(Paths!$P$196="Complete",N2091*(1+'Operating costs'!$B$54)^-C2091,"n.a."))</f>
        <v>0</v>
      </c>
      <c r="R2091" s="16">
        <f>IF(NOT(Paths!$C$196=1),0,IF(Paths!$P$196="Complete",IF(AND(C2091=0,Paths!$E$196=0),I2091-J2091-K2091+VLOOKUP(A2091,'Fleet register'!$A$7:$S$106,15,FALSE)+VLOOKUP(A2091,'Fleet register'!$A$7:$S$106,16,FALSE),0),"n.a."))</f>
        <v>0</v>
      </c>
      <c r="S2091" s="1">
        <f>IF(NOT(Paths!$C$196=1),0,IF(Paths!$P$196="Complete",IF(C2091=0,0,Paths!$S$196*Paths!$R$196),"n.a."))</f>
        <v>0</v>
      </c>
      <c r="T2091" s="1">
        <f>IF(NOT(Paths!$C$196=1),0,IF(Paths!$P$196="Complete",IF(C2091=0,0,VLOOKUP(A2091,'Fleet register'!$A$7:$S$106,9,FALSE)*Paths!$R$196),"n.a."))</f>
        <v>0</v>
      </c>
    </row>
    <row r="2092" spans="1:20" ht="24" customHeight="1">
      <c r="A2092" s="1" t="str">
        <f>Paths!$A$196</f>
        <v>T048</v>
      </c>
      <c r="B2092" s="1">
        <f>Paths!$B$196</f>
        <v>1</v>
      </c>
      <c r="C2092" s="1">
        <v>6</v>
      </c>
      <c r="D2092" s="1">
        <v>196</v>
      </c>
      <c r="E2092" s="1">
        <f>IF(OR(Paths!$C$196=0,C2092=0),0,MAX(0,MIN(C2092*12,Paths!$E$196)-(C2092-1)*12))</f>
        <v>0</v>
      </c>
      <c r="F2092" s="1">
        <f>IF(OR(Paths!$C$196=0,C2092=0),0,12-E2092)</f>
        <v>0</v>
      </c>
      <c r="G2092" s="16">
        <f>IF(NOT(Paths!$C$196=1),0,IF(Paths!$P$196="Complete",E2092/12*(Paths!$J$196*(1+'Operating costs'!$B$51)^MAX(0,C2092-1)+Paths!$K$196*(1+'Operating costs'!$B$53)^MAX(0,C2092-1)),"n.a."))</f>
        <v>0</v>
      </c>
      <c r="H2092" s="16">
        <f>IF(NOT(Paths!$C$196=1),0,IF(Paths!$P$196="Complete",F2092/12*(Paths!$L$196*(1+IF(Paths!$D$196="EV",'Operating costs'!$B$52,'Operating costs'!$B$51))^MAX(0,C2092-1)+Paths!$M$196*(1+'Operating costs'!$B$53)^MAX(0,C2092-1)),"n.a."))</f>
        <v>0</v>
      </c>
      <c r="I2092" s="16">
        <f>IF(NOT(Paths!$C$196=1),0,IF(Paths!$P$196="Complete",IF(IF(Paths!$E$196=0,C2092=0,AND(C2092&gt;0,Paths!$E$196&gt;(C2092-1)*12,Paths!$E$196&lt;=C2092*12)),Paths!$G$196,0),"n.a."))</f>
        <v>0</v>
      </c>
      <c r="J2092" s="16">
        <f>IF(NOT(Paths!$C$196=1),0,IF(Paths!$P$196="Complete",IF(IF(Paths!$E$196=0,C2092=0,AND(C2092&gt;0,Paths!$E$196&gt;(C2092-1)*12,Paths!$E$196&lt;=C2092*12)),Paths!$H$196,0),"n.a."))</f>
        <v>0</v>
      </c>
      <c r="K2092" s="16">
        <f>IF(NOT(Paths!$C$196=1),0,IF(Paths!$P$196="Complete",IF(IF(Paths!$O$196=0,C2092=0,AND(C2092&gt;0,Paths!$O$196&gt;(C2092-1)*12,Paths!$O$196&lt;=C2092*12)),Paths!$N$196,0),"n.a."))</f>
        <v>0</v>
      </c>
      <c r="L2092" s="16">
        <f>IF(NOT(Paths!$C$196=1),0,IF(Paths!$P$196="Complete",IF(C2092=10,Paths!$I$196,0),"n.a."))</f>
        <v>0</v>
      </c>
      <c r="M2092" s="16">
        <f>IF(NOT(Paths!$C$196=1),0,IF(Paths!$P$196="Complete",IF(AND(Paths!$D$196="EV",Paths!$E$196&lt;120,Paths!$E$196+'Operating costs'!$B$65&gt;Paths!$E$196,Paths!$E$196+'Operating costs'!$B$65&lt;=120,IF(Paths!$E$196+'Operating costs'!$B$65=0,C2092=0,AND(C2092&gt;0,Paths!$E$196+'Operating costs'!$B$65&gt;(C2092-1)*12,Paths!$E$196+'Operating costs'!$B$65&lt;=C2092*12))),'Operating costs'!$B$64,0)+IF(AND('Operating costs'!$B$67&gt;0,'Operating costs'!$B$67&lt;=120,OR(Paths!$D$196="ICE",'Operating costs'!$B$67&lt;=Paths!$E$196),IF('Operating costs'!$B$67=0,C2092=0,AND(C2092&gt;0,'Operating costs'!$B$67&gt;(C2092-1)*12,'Operating costs'!$B$67&lt;=C2092*12))),'Operating costs'!$B$66,0),"n.a."))</f>
        <v>0</v>
      </c>
      <c r="N2092" s="16">
        <f>IF(NOT(Paths!$C$196=1),0,IF(Paths!$P$196="Complete",SUM(G2092:I2092)-J2092-K2092-L2092+M2092+IF(C2092=0,Paths!$F$196,0)+IF(IF(Paths!$E$196=0,C2092=0,AND(C2092&gt;0,Paths!$E$196&gt;(C2092-1)*12,Paths!$E$196&lt;=C2092*12)),VLOOKUP(A2092,'Fleet register'!$A$7:$S$106,16,FALSE),0),"n.a."))</f>
        <v>0</v>
      </c>
      <c r="O2092" s="16">
        <f>IF(NOT(Paths!$C$196=1),0,IF(Paths!$P$196="Complete",N2092-IF(C2092=0,Paths!$F$196,0),"n.a."))</f>
        <v>0</v>
      </c>
      <c r="P2092" s="16">
        <f>IF(NOT(Paths!$C$196=1),0,IF(Paths!$P$196="Complete",O2092+L2092,"n.a."))</f>
        <v>0</v>
      </c>
      <c r="Q2092" s="16">
        <f>IF(NOT(Paths!$C$196=1),0,IF(Paths!$P$196="Complete",N2092*(1+'Operating costs'!$B$54)^-C2092,"n.a."))</f>
        <v>0</v>
      </c>
      <c r="R2092" s="16">
        <f>IF(NOT(Paths!$C$196=1),0,IF(Paths!$P$196="Complete",IF(AND(C2092=0,Paths!$E$196=0),I2092-J2092-K2092+VLOOKUP(A2092,'Fleet register'!$A$7:$S$106,15,FALSE)+VLOOKUP(A2092,'Fleet register'!$A$7:$S$106,16,FALSE),0),"n.a."))</f>
        <v>0</v>
      </c>
      <c r="S2092" s="1">
        <f>IF(NOT(Paths!$C$196=1),0,IF(Paths!$P$196="Complete",IF(C2092=0,0,Paths!$S$196*Paths!$R$196),"n.a."))</f>
        <v>0</v>
      </c>
      <c r="T2092" s="1">
        <f>IF(NOT(Paths!$C$196=1),0,IF(Paths!$P$196="Complete",IF(C2092=0,0,VLOOKUP(A2092,'Fleet register'!$A$7:$S$106,9,FALSE)*Paths!$R$196),"n.a."))</f>
        <v>0</v>
      </c>
    </row>
    <row r="2093" spans="1:20" ht="24" customHeight="1">
      <c r="A2093" s="1" t="str">
        <f>Paths!$A$196</f>
        <v>T048</v>
      </c>
      <c r="B2093" s="1">
        <f>Paths!$B$196</f>
        <v>1</v>
      </c>
      <c r="C2093" s="1">
        <v>7</v>
      </c>
      <c r="D2093" s="1">
        <v>196</v>
      </c>
      <c r="E2093" s="1">
        <f>IF(OR(Paths!$C$196=0,C2093=0),0,MAX(0,MIN(C2093*12,Paths!$E$196)-(C2093-1)*12))</f>
        <v>0</v>
      </c>
      <c r="F2093" s="1">
        <f>IF(OR(Paths!$C$196=0,C2093=0),0,12-E2093)</f>
        <v>0</v>
      </c>
      <c r="G2093" s="16">
        <f>IF(NOT(Paths!$C$196=1),0,IF(Paths!$P$196="Complete",E2093/12*(Paths!$J$196*(1+'Operating costs'!$B$51)^MAX(0,C2093-1)+Paths!$K$196*(1+'Operating costs'!$B$53)^MAX(0,C2093-1)),"n.a."))</f>
        <v>0</v>
      </c>
      <c r="H2093" s="16">
        <f>IF(NOT(Paths!$C$196=1),0,IF(Paths!$P$196="Complete",F2093/12*(Paths!$L$196*(1+IF(Paths!$D$196="EV",'Operating costs'!$B$52,'Operating costs'!$B$51))^MAX(0,C2093-1)+Paths!$M$196*(1+'Operating costs'!$B$53)^MAX(0,C2093-1)),"n.a."))</f>
        <v>0</v>
      </c>
      <c r="I2093" s="16">
        <f>IF(NOT(Paths!$C$196=1),0,IF(Paths!$P$196="Complete",IF(IF(Paths!$E$196=0,C2093=0,AND(C2093&gt;0,Paths!$E$196&gt;(C2093-1)*12,Paths!$E$196&lt;=C2093*12)),Paths!$G$196,0),"n.a."))</f>
        <v>0</v>
      </c>
      <c r="J2093" s="16">
        <f>IF(NOT(Paths!$C$196=1),0,IF(Paths!$P$196="Complete",IF(IF(Paths!$E$196=0,C2093=0,AND(C2093&gt;0,Paths!$E$196&gt;(C2093-1)*12,Paths!$E$196&lt;=C2093*12)),Paths!$H$196,0),"n.a."))</f>
        <v>0</v>
      </c>
      <c r="K2093" s="16">
        <f>IF(NOT(Paths!$C$196=1),0,IF(Paths!$P$196="Complete",IF(IF(Paths!$O$196=0,C2093=0,AND(C2093&gt;0,Paths!$O$196&gt;(C2093-1)*12,Paths!$O$196&lt;=C2093*12)),Paths!$N$196,0),"n.a."))</f>
        <v>0</v>
      </c>
      <c r="L2093" s="16">
        <f>IF(NOT(Paths!$C$196=1),0,IF(Paths!$P$196="Complete",IF(C2093=10,Paths!$I$196,0),"n.a."))</f>
        <v>0</v>
      </c>
      <c r="M2093" s="16">
        <f>IF(NOT(Paths!$C$196=1),0,IF(Paths!$P$196="Complete",IF(AND(Paths!$D$196="EV",Paths!$E$196&lt;120,Paths!$E$196+'Operating costs'!$B$65&gt;Paths!$E$196,Paths!$E$196+'Operating costs'!$B$65&lt;=120,IF(Paths!$E$196+'Operating costs'!$B$65=0,C2093=0,AND(C2093&gt;0,Paths!$E$196+'Operating costs'!$B$65&gt;(C2093-1)*12,Paths!$E$196+'Operating costs'!$B$65&lt;=C2093*12))),'Operating costs'!$B$64,0)+IF(AND('Operating costs'!$B$67&gt;0,'Operating costs'!$B$67&lt;=120,OR(Paths!$D$196="ICE",'Operating costs'!$B$67&lt;=Paths!$E$196),IF('Operating costs'!$B$67=0,C2093=0,AND(C2093&gt;0,'Operating costs'!$B$67&gt;(C2093-1)*12,'Operating costs'!$B$67&lt;=C2093*12))),'Operating costs'!$B$66,0),"n.a."))</f>
        <v>0</v>
      </c>
      <c r="N2093" s="16">
        <f>IF(NOT(Paths!$C$196=1),0,IF(Paths!$P$196="Complete",SUM(G2093:I2093)-J2093-K2093-L2093+M2093+IF(C2093=0,Paths!$F$196,0)+IF(IF(Paths!$E$196=0,C2093=0,AND(C2093&gt;0,Paths!$E$196&gt;(C2093-1)*12,Paths!$E$196&lt;=C2093*12)),VLOOKUP(A2093,'Fleet register'!$A$7:$S$106,16,FALSE),0),"n.a."))</f>
        <v>0</v>
      </c>
      <c r="O2093" s="16">
        <f>IF(NOT(Paths!$C$196=1),0,IF(Paths!$P$196="Complete",N2093-IF(C2093=0,Paths!$F$196,0),"n.a."))</f>
        <v>0</v>
      </c>
      <c r="P2093" s="16">
        <f>IF(NOT(Paths!$C$196=1),0,IF(Paths!$P$196="Complete",O2093+L2093,"n.a."))</f>
        <v>0</v>
      </c>
      <c r="Q2093" s="16">
        <f>IF(NOT(Paths!$C$196=1),0,IF(Paths!$P$196="Complete",N2093*(1+'Operating costs'!$B$54)^-C2093,"n.a."))</f>
        <v>0</v>
      </c>
      <c r="R2093" s="16">
        <f>IF(NOT(Paths!$C$196=1),0,IF(Paths!$P$196="Complete",IF(AND(C2093=0,Paths!$E$196=0),I2093-J2093-K2093+VLOOKUP(A2093,'Fleet register'!$A$7:$S$106,15,FALSE)+VLOOKUP(A2093,'Fleet register'!$A$7:$S$106,16,FALSE),0),"n.a."))</f>
        <v>0</v>
      </c>
      <c r="S2093" s="1">
        <f>IF(NOT(Paths!$C$196=1),0,IF(Paths!$P$196="Complete",IF(C2093=0,0,Paths!$S$196*Paths!$R$196),"n.a."))</f>
        <v>0</v>
      </c>
      <c r="T2093" s="1">
        <f>IF(NOT(Paths!$C$196=1),0,IF(Paths!$P$196="Complete",IF(C2093=0,0,VLOOKUP(A2093,'Fleet register'!$A$7:$S$106,9,FALSE)*Paths!$R$196),"n.a."))</f>
        <v>0</v>
      </c>
    </row>
    <row r="2094" spans="1:20" ht="24" customHeight="1">
      <c r="A2094" s="1" t="str">
        <f>Paths!$A$196</f>
        <v>T048</v>
      </c>
      <c r="B2094" s="1">
        <f>Paths!$B$196</f>
        <v>1</v>
      </c>
      <c r="C2094" s="1">
        <v>8</v>
      </c>
      <c r="D2094" s="1">
        <v>196</v>
      </c>
      <c r="E2094" s="1">
        <f>IF(OR(Paths!$C$196=0,C2094=0),0,MAX(0,MIN(C2094*12,Paths!$E$196)-(C2094-1)*12))</f>
        <v>0</v>
      </c>
      <c r="F2094" s="1">
        <f>IF(OR(Paths!$C$196=0,C2094=0),0,12-E2094)</f>
        <v>0</v>
      </c>
      <c r="G2094" s="16">
        <f>IF(NOT(Paths!$C$196=1),0,IF(Paths!$P$196="Complete",E2094/12*(Paths!$J$196*(1+'Operating costs'!$B$51)^MAX(0,C2094-1)+Paths!$K$196*(1+'Operating costs'!$B$53)^MAX(0,C2094-1)),"n.a."))</f>
        <v>0</v>
      </c>
      <c r="H2094" s="16">
        <f>IF(NOT(Paths!$C$196=1),0,IF(Paths!$P$196="Complete",F2094/12*(Paths!$L$196*(1+IF(Paths!$D$196="EV",'Operating costs'!$B$52,'Operating costs'!$B$51))^MAX(0,C2094-1)+Paths!$M$196*(1+'Operating costs'!$B$53)^MAX(0,C2094-1)),"n.a."))</f>
        <v>0</v>
      </c>
      <c r="I2094" s="16">
        <f>IF(NOT(Paths!$C$196=1),0,IF(Paths!$P$196="Complete",IF(IF(Paths!$E$196=0,C2094=0,AND(C2094&gt;0,Paths!$E$196&gt;(C2094-1)*12,Paths!$E$196&lt;=C2094*12)),Paths!$G$196,0),"n.a."))</f>
        <v>0</v>
      </c>
      <c r="J2094" s="16">
        <f>IF(NOT(Paths!$C$196=1),0,IF(Paths!$P$196="Complete",IF(IF(Paths!$E$196=0,C2094=0,AND(C2094&gt;0,Paths!$E$196&gt;(C2094-1)*12,Paths!$E$196&lt;=C2094*12)),Paths!$H$196,0),"n.a."))</f>
        <v>0</v>
      </c>
      <c r="K2094" s="16">
        <f>IF(NOT(Paths!$C$196=1),0,IF(Paths!$P$196="Complete",IF(IF(Paths!$O$196=0,C2094=0,AND(C2094&gt;0,Paths!$O$196&gt;(C2094-1)*12,Paths!$O$196&lt;=C2094*12)),Paths!$N$196,0),"n.a."))</f>
        <v>0</v>
      </c>
      <c r="L2094" s="16">
        <f>IF(NOT(Paths!$C$196=1),0,IF(Paths!$P$196="Complete",IF(C2094=10,Paths!$I$196,0),"n.a."))</f>
        <v>0</v>
      </c>
      <c r="M2094" s="16">
        <f>IF(NOT(Paths!$C$196=1),0,IF(Paths!$P$196="Complete",IF(AND(Paths!$D$196="EV",Paths!$E$196&lt;120,Paths!$E$196+'Operating costs'!$B$65&gt;Paths!$E$196,Paths!$E$196+'Operating costs'!$B$65&lt;=120,IF(Paths!$E$196+'Operating costs'!$B$65=0,C2094=0,AND(C2094&gt;0,Paths!$E$196+'Operating costs'!$B$65&gt;(C2094-1)*12,Paths!$E$196+'Operating costs'!$B$65&lt;=C2094*12))),'Operating costs'!$B$64,0)+IF(AND('Operating costs'!$B$67&gt;0,'Operating costs'!$B$67&lt;=120,OR(Paths!$D$196="ICE",'Operating costs'!$B$67&lt;=Paths!$E$196),IF('Operating costs'!$B$67=0,C2094=0,AND(C2094&gt;0,'Operating costs'!$B$67&gt;(C2094-1)*12,'Operating costs'!$B$67&lt;=C2094*12))),'Operating costs'!$B$66,0),"n.a."))</f>
        <v>0</v>
      </c>
      <c r="N2094" s="16">
        <f>IF(NOT(Paths!$C$196=1),0,IF(Paths!$P$196="Complete",SUM(G2094:I2094)-J2094-K2094-L2094+M2094+IF(C2094=0,Paths!$F$196,0)+IF(IF(Paths!$E$196=0,C2094=0,AND(C2094&gt;0,Paths!$E$196&gt;(C2094-1)*12,Paths!$E$196&lt;=C2094*12)),VLOOKUP(A2094,'Fleet register'!$A$7:$S$106,16,FALSE),0),"n.a."))</f>
        <v>0</v>
      </c>
      <c r="O2094" s="16">
        <f>IF(NOT(Paths!$C$196=1),0,IF(Paths!$P$196="Complete",N2094-IF(C2094=0,Paths!$F$196,0),"n.a."))</f>
        <v>0</v>
      </c>
      <c r="P2094" s="16">
        <f>IF(NOT(Paths!$C$196=1),0,IF(Paths!$P$196="Complete",O2094+L2094,"n.a."))</f>
        <v>0</v>
      </c>
      <c r="Q2094" s="16">
        <f>IF(NOT(Paths!$C$196=1),0,IF(Paths!$P$196="Complete",N2094*(1+'Operating costs'!$B$54)^-C2094,"n.a."))</f>
        <v>0</v>
      </c>
      <c r="R2094" s="16">
        <f>IF(NOT(Paths!$C$196=1),0,IF(Paths!$P$196="Complete",IF(AND(C2094=0,Paths!$E$196=0),I2094-J2094-K2094+VLOOKUP(A2094,'Fleet register'!$A$7:$S$106,15,FALSE)+VLOOKUP(A2094,'Fleet register'!$A$7:$S$106,16,FALSE),0),"n.a."))</f>
        <v>0</v>
      </c>
      <c r="S2094" s="1">
        <f>IF(NOT(Paths!$C$196=1),0,IF(Paths!$P$196="Complete",IF(C2094=0,0,Paths!$S$196*Paths!$R$196),"n.a."))</f>
        <v>0</v>
      </c>
      <c r="T2094" s="1">
        <f>IF(NOT(Paths!$C$196=1),0,IF(Paths!$P$196="Complete",IF(C2094=0,0,VLOOKUP(A2094,'Fleet register'!$A$7:$S$106,9,FALSE)*Paths!$R$196),"n.a."))</f>
        <v>0</v>
      </c>
    </row>
    <row r="2095" spans="1:20" ht="24" customHeight="1">
      <c r="A2095" s="1" t="str">
        <f>Paths!$A$196</f>
        <v>T048</v>
      </c>
      <c r="B2095" s="1">
        <f>Paths!$B$196</f>
        <v>1</v>
      </c>
      <c r="C2095" s="1">
        <v>9</v>
      </c>
      <c r="D2095" s="1">
        <v>196</v>
      </c>
      <c r="E2095" s="1">
        <f>IF(OR(Paths!$C$196=0,C2095=0),0,MAX(0,MIN(C2095*12,Paths!$E$196)-(C2095-1)*12))</f>
        <v>0</v>
      </c>
      <c r="F2095" s="1">
        <f>IF(OR(Paths!$C$196=0,C2095=0),0,12-E2095)</f>
        <v>0</v>
      </c>
      <c r="G2095" s="16">
        <f>IF(NOT(Paths!$C$196=1),0,IF(Paths!$P$196="Complete",E2095/12*(Paths!$J$196*(1+'Operating costs'!$B$51)^MAX(0,C2095-1)+Paths!$K$196*(1+'Operating costs'!$B$53)^MAX(0,C2095-1)),"n.a."))</f>
        <v>0</v>
      </c>
      <c r="H2095" s="16">
        <f>IF(NOT(Paths!$C$196=1),0,IF(Paths!$P$196="Complete",F2095/12*(Paths!$L$196*(1+IF(Paths!$D$196="EV",'Operating costs'!$B$52,'Operating costs'!$B$51))^MAX(0,C2095-1)+Paths!$M$196*(1+'Operating costs'!$B$53)^MAX(0,C2095-1)),"n.a."))</f>
        <v>0</v>
      </c>
      <c r="I2095" s="16">
        <f>IF(NOT(Paths!$C$196=1),0,IF(Paths!$P$196="Complete",IF(IF(Paths!$E$196=0,C2095=0,AND(C2095&gt;0,Paths!$E$196&gt;(C2095-1)*12,Paths!$E$196&lt;=C2095*12)),Paths!$G$196,0),"n.a."))</f>
        <v>0</v>
      </c>
      <c r="J2095" s="16">
        <f>IF(NOT(Paths!$C$196=1),0,IF(Paths!$P$196="Complete",IF(IF(Paths!$E$196=0,C2095=0,AND(C2095&gt;0,Paths!$E$196&gt;(C2095-1)*12,Paths!$E$196&lt;=C2095*12)),Paths!$H$196,0),"n.a."))</f>
        <v>0</v>
      </c>
      <c r="K2095" s="16">
        <f>IF(NOT(Paths!$C$196=1),0,IF(Paths!$P$196="Complete",IF(IF(Paths!$O$196=0,C2095=0,AND(C2095&gt;0,Paths!$O$196&gt;(C2095-1)*12,Paths!$O$196&lt;=C2095*12)),Paths!$N$196,0),"n.a."))</f>
        <v>0</v>
      </c>
      <c r="L2095" s="16">
        <f>IF(NOT(Paths!$C$196=1),0,IF(Paths!$P$196="Complete",IF(C2095=10,Paths!$I$196,0),"n.a."))</f>
        <v>0</v>
      </c>
      <c r="M2095" s="16">
        <f>IF(NOT(Paths!$C$196=1),0,IF(Paths!$P$196="Complete",IF(AND(Paths!$D$196="EV",Paths!$E$196&lt;120,Paths!$E$196+'Operating costs'!$B$65&gt;Paths!$E$196,Paths!$E$196+'Operating costs'!$B$65&lt;=120,IF(Paths!$E$196+'Operating costs'!$B$65=0,C2095=0,AND(C2095&gt;0,Paths!$E$196+'Operating costs'!$B$65&gt;(C2095-1)*12,Paths!$E$196+'Operating costs'!$B$65&lt;=C2095*12))),'Operating costs'!$B$64,0)+IF(AND('Operating costs'!$B$67&gt;0,'Operating costs'!$B$67&lt;=120,OR(Paths!$D$196="ICE",'Operating costs'!$B$67&lt;=Paths!$E$196),IF('Operating costs'!$B$67=0,C2095=0,AND(C2095&gt;0,'Operating costs'!$B$67&gt;(C2095-1)*12,'Operating costs'!$B$67&lt;=C2095*12))),'Operating costs'!$B$66,0),"n.a."))</f>
        <v>0</v>
      </c>
      <c r="N2095" s="16">
        <f>IF(NOT(Paths!$C$196=1),0,IF(Paths!$P$196="Complete",SUM(G2095:I2095)-J2095-K2095-L2095+M2095+IF(C2095=0,Paths!$F$196,0)+IF(IF(Paths!$E$196=0,C2095=0,AND(C2095&gt;0,Paths!$E$196&gt;(C2095-1)*12,Paths!$E$196&lt;=C2095*12)),VLOOKUP(A2095,'Fleet register'!$A$7:$S$106,16,FALSE),0),"n.a."))</f>
        <v>0</v>
      </c>
      <c r="O2095" s="16">
        <f>IF(NOT(Paths!$C$196=1),0,IF(Paths!$P$196="Complete",N2095-IF(C2095=0,Paths!$F$196,0),"n.a."))</f>
        <v>0</v>
      </c>
      <c r="P2095" s="16">
        <f>IF(NOT(Paths!$C$196=1),0,IF(Paths!$P$196="Complete",O2095+L2095,"n.a."))</f>
        <v>0</v>
      </c>
      <c r="Q2095" s="16">
        <f>IF(NOT(Paths!$C$196=1),0,IF(Paths!$P$196="Complete",N2095*(1+'Operating costs'!$B$54)^-C2095,"n.a."))</f>
        <v>0</v>
      </c>
      <c r="R2095" s="16">
        <f>IF(NOT(Paths!$C$196=1),0,IF(Paths!$P$196="Complete",IF(AND(C2095=0,Paths!$E$196=0),I2095-J2095-K2095+VLOOKUP(A2095,'Fleet register'!$A$7:$S$106,15,FALSE)+VLOOKUP(A2095,'Fleet register'!$A$7:$S$106,16,FALSE),0),"n.a."))</f>
        <v>0</v>
      </c>
      <c r="S2095" s="1">
        <f>IF(NOT(Paths!$C$196=1),0,IF(Paths!$P$196="Complete",IF(C2095=0,0,Paths!$S$196*Paths!$R$196),"n.a."))</f>
        <v>0</v>
      </c>
      <c r="T2095" s="1">
        <f>IF(NOT(Paths!$C$196=1),0,IF(Paths!$P$196="Complete",IF(C2095=0,0,VLOOKUP(A2095,'Fleet register'!$A$7:$S$106,9,FALSE)*Paths!$R$196),"n.a."))</f>
        <v>0</v>
      </c>
    </row>
    <row r="2096" spans="1:20" ht="24" customHeight="1">
      <c r="A2096" s="1" t="str">
        <f>Paths!$A$196</f>
        <v>T048</v>
      </c>
      <c r="B2096" s="1">
        <f>Paths!$B$196</f>
        <v>1</v>
      </c>
      <c r="C2096" s="1">
        <v>10</v>
      </c>
      <c r="D2096" s="1">
        <v>196</v>
      </c>
      <c r="E2096" s="1">
        <f>IF(OR(Paths!$C$196=0,C2096=0),0,MAX(0,MIN(C2096*12,Paths!$E$196)-(C2096-1)*12))</f>
        <v>0</v>
      </c>
      <c r="F2096" s="1">
        <f>IF(OR(Paths!$C$196=0,C2096=0),0,12-E2096)</f>
        <v>0</v>
      </c>
      <c r="G2096" s="16">
        <f>IF(NOT(Paths!$C$196=1),0,IF(Paths!$P$196="Complete",E2096/12*(Paths!$J$196*(1+'Operating costs'!$B$51)^MAX(0,C2096-1)+Paths!$K$196*(1+'Operating costs'!$B$53)^MAX(0,C2096-1)),"n.a."))</f>
        <v>0</v>
      </c>
      <c r="H2096" s="16">
        <f>IF(NOT(Paths!$C$196=1),0,IF(Paths!$P$196="Complete",F2096/12*(Paths!$L$196*(1+IF(Paths!$D$196="EV",'Operating costs'!$B$52,'Operating costs'!$B$51))^MAX(0,C2096-1)+Paths!$M$196*(1+'Operating costs'!$B$53)^MAX(0,C2096-1)),"n.a."))</f>
        <v>0</v>
      </c>
      <c r="I2096" s="16">
        <f>IF(NOT(Paths!$C$196=1),0,IF(Paths!$P$196="Complete",IF(IF(Paths!$E$196=0,C2096=0,AND(C2096&gt;0,Paths!$E$196&gt;(C2096-1)*12,Paths!$E$196&lt;=C2096*12)),Paths!$G$196,0),"n.a."))</f>
        <v>0</v>
      </c>
      <c r="J2096" s="16">
        <f>IF(NOT(Paths!$C$196=1),0,IF(Paths!$P$196="Complete",IF(IF(Paths!$E$196=0,C2096=0,AND(C2096&gt;0,Paths!$E$196&gt;(C2096-1)*12,Paths!$E$196&lt;=C2096*12)),Paths!$H$196,0),"n.a."))</f>
        <v>0</v>
      </c>
      <c r="K2096" s="16">
        <f>IF(NOT(Paths!$C$196=1),0,IF(Paths!$P$196="Complete",IF(IF(Paths!$O$196=0,C2096=0,AND(C2096&gt;0,Paths!$O$196&gt;(C2096-1)*12,Paths!$O$196&lt;=C2096*12)),Paths!$N$196,0),"n.a."))</f>
        <v>0</v>
      </c>
      <c r="L2096" s="16">
        <f>IF(NOT(Paths!$C$196=1),0,IF(Paths!$P$196="Complete",IF(C2096=10,Paths!$I$196,0),"n.a."))</f>
        <v>0</v>
      </c>
      <c r="M2096" s="16">
        <f>IF(NOT(Paths!$C$196=1),0,IF(Paths!$P$196="Complete",IF(AND(Paths!$D$196="EV",Paths!$E$196&lt;120,Paths!$E$196+'Operating costs'!$B$65&gt;Paths!$E$196,Paths!$E$196+'Operating costs'!$B$65&lt;=120,IF(Paths!$E$196+'Operating costs'!$B$65=0,C2096=0,AND(C2096&gt;0,Paths!$E$196+'Operating costs'!$B$65&gt;(C2096-1)*12,Paths!$E$196+'Operating costs'!$B$65&lt;=C2096*12))),'Operating costs'!$B$64,0)+IF(AND('Operating costs'!$B$67&gt;0,'Operating costs'!$B$67&lt;=120,OR(Paths!$D$196="ICE",'Operating costs'!$B$67&lt;=Paths!$E$196),IF('Operating costs'!$B$67=0,C2096=0,AND(C2096&gt;0,'Operating costs'!$B$67&gt;(C2096-1)*12,'Operating costs'!$B$67&lt;=C2096*12))),'Operating costs'!$B$66,0),"n.a."))</f>
        <v>0</v>
      </c>
      <c r="N2096" s="16">
        <f>IF(NOT(Paths!$C$196=1),0,IF(Paths!$P$196="Complete",SUM(G2096:I2096)-J2096-K2096-L2096+M2096+IF(C2096=0,Paths!$F$196,0)+IF(IF(Paths!$E$196=0,C2096=0,AND(C2096&gt;0,Paths!$E$196&gt;(C2096-1)*12,Paths!$E$196&lt;=C2096*12)),VLOOKUP(A2096,'Fleet register'!$A$7:$S$106,16,FALSE),0),"n.a."))</f>
        <v>0</v>
      </c>
      <c r="O2096" s="16">
        <f>IF(NOT(Paths!$C$196=1),0,IF(Paths!$P$196="Complete",N2096-IF(C2096=0,Paths!$F$196,0),"n.a."))</f>
        <v>0</v>
      </c>
      <c r="P2096" s="16">
        <f>IF(NOT(Paths!$C$196=1),0,IF(Paths!$P$196="Complete",O2096+L2096,"n.a."))</f>
        <v>0</v>
      </c>
      <c r="Q2096" s="16">
        <f>IF(NOT(Paths!$C$196=1),0,IF(Paths!$P$196="Complete",N2096*(1+'Operating costs'!$B$54)^-C2096,"n.a."))</f>
        <v>0</v>
      </c>
      <c r="R2096" s="16">
        <f>IF(NOT(Paths!$C$196=1),0,IF(Paths!$P$196="Complete",IF(AND(C2096=0,Paths!$E$196=0),I2096-J2096-K2096+VLOOKUP(A2096,'Fleet register'!$A$7:$S$106,15,FALSE)+VLOOKUP(A2096,'Fleet register'!$A$7:$S$106,16,FALSE),0),"n.a."))</f>
        <v>0</v>
      </c>
      <c r="S2096" s="1">
        <f>IF(NOT(Paths!$C$196=1),0,IF(Paths!$P$196="Complete",IF(C2096=0,0,Paths!$S$196*Paths!$R$196),"n.a."))</f>
        <v>0</v>
      </c>
      <c r="T2096" s="1">
        <f>IF(NOT(Paths!$C$196=1),0,IF(Paths!$P$196="Complete",IF(C2096=0,0,VLOOKUP(A2096,'Fleet register'!$A$7:$S$106,9,FALSE)*Paths!$R$196),"n.a."))</f>
        <v>0</v>
      </c>
    </row>
    <row r="2097" spans="1:20" ht="24" customHeight="1">
      <c r="A2097" s="1" t="str">
        <f>Paths!$A$197</f>
        <v>T048</v>
      </c>
      <c r="B2097" s="1">
        <f>Paths!$B$197</f>
        <v>2</v>
      </c>
      <c r="C2097" s="1">
        <v>0</v>
      </c>
      <c r="D2097" s="1">
        <v>197</v>
      </c>
      <c r="E2097" s="1">
        <f>IF(OR(Paths!$C$197=0,C2097=0),0,MAX(0,MIN(C2097*12,Paths!$E$197)-(C2097-1)*12))</f>
        <v>0</v>
      </c>
      <c r="F2097" s="1">
        <f>IF(OR(Paths!$C$197=0,C2097=0),0,12-E2097)</f>
        <v>0</v>
      </c>
      <c r="G2097" s="16">
        <f>IF(NOT(Paths!$C$197=1),0,IF(Paths!$P$197="Complete",E2097/12*(Paths!$J$197*(1+'Operating costs'!$B$51)^MAX(0,C2097-1)+Paths!$K$197*(1+'Operating costs'!$B$53)^MAX(0,C2097-1)),"n.a."))</f>
        <v>0</v>
      </c>
      <c r="H2097" s="16">
        <f>IF(NOT(Paths!$C$197=1),0,IF(Paths!$P$197="Complete",F2097/12*(Paths!$L$197*(1+IF(Paths!$D$197="EV",'Operating costs'!$B$52,'Operating costs'!$B$51))^MAX(0,C2097-1)+Paths!$M$197*(1+'Operating costs'!$B$53)^MAX(0,C2097-1)),"n.a."))</f>
        <v>0</v>
      </c>
      <c r="I2097" s="16">
        <f>IF(NOT(Paths!$C$197=1),0,IF(Paths!$P$197="Complete",IF(IF(Paths!$E$197=0,C2097=0,AND(C2097&gt;0,Paths!$E$197&gt;(C2097-1)*12,Paths!$E$197&lt;=C2097*12)),Paths!$G$197,0),"n.a."))</f>
        <v>0</v>
      </c>
      <c r="J2097" s="16">
        <f>IF(NOT(Paths!$C$197=1),0,IF(Paths!$P$197="Complete",IF(IF(Paths!$E$197=0,C2097=0,AND(C2097&gt;0,Paths!$E$197&gt;(C2097-1)*12,Paths!$E$197&lt;=C2097*12)),Paths!$H$197,0),"n.a."))</f>
        <v>0</v>
      </c>
      <c r="K2097" s="16">
        <f>IF(NOT(Paths!$C$197=1),0,IF(Paths!$P$197="Complete",IF(IF(Paths!$O$197=0,C2097=0,AND(C2097&gt;0,Paths!$O$197&gt;(C2097-1)*12,Paths!$O$197&lt;=C2097*12)),Paths!$N$197,0),"n.a."))</f>
        <v>0</v>
      </c>
      <c r="L2097" s="16">
        <f>IF(NOT(Paths!$C$197=1),0,IF(Paths!$P$197="Complete",IF(C2097=10,Paths!$I$197,0),"n.a."))</f>
        <v>0</v>
      </c>
      <c r="M2097" s="16">
        <f>IF(NOT(Paths!$C$197=1),0,IF(Paths!$P$197="Complete",IF(AND(Paths!$D$197="EV",Paths!$E$197&lt;120,Paths!$E$197+'Operating costs'!$B$65&gt;Paths!$E$197,Paths!$E$197+'Operating costs'!$B$65&lt;=120,IF(Paths!$E$197+'Operating costs'!$B$65=0,C2097=0,AND(C2097&gt;0,Paths!$E$197+'Operating costs'!$B$65&gt;(C2097-1)*12,Paths!$E$197+'Operating costs'!$B$65&lt;=C2097*12))),'Operating costs'!$B$64,0)+IF(AND('Operating costs'!$B$67&gt;0,'Operating costs'!$B$67&lt;=120,OR(Paths!$D$197="ICE",'Operating costs'!$B$67&lt;=Paths!$E$197),IF('Operating costs'!$B$67=0,C2097=0,AND(C2097&gt;0,'Operating costs'!$B$67&gt;(C2097-1)*12,'Operating costs'!$B$67&lt;=C2097*12))),'Operating costs'!$B$66,0),"n.a."))</f>
        <v>0</v>
      </c>
      <c r="N2097" s="16">
        <f>IF(NOT(Paths!$C$197=1),0,IF(Paths!$P$197="Complete",SUM(G2097:I2097)-J2097-K2097-L2097+M2097+IF(C2097=0,Paths!$F$197,0)+IF(IF(Paths!$E$197=0,C2097=0,AND(C2097&gt;0,Paths!$E$197&gt;(C2097-1)*12,Paths!$E$197&lt;=C2097*12)),VLOOKUP(A2097,'Fleet register'!$A$7:$S$106,16,FALSE),0),"n.a."))</f>
        <v>0</v>
      </c>
      <c r="O2097" s="16">
        <f>IF(NOT(Paths!$C$197=1),0,IF(Paths!$P$197="Complete",N2097-IF(C2097=0,Paths!$F$197,0),"n.a."))</f>
        <v>0</v>
      </c>
      <c r="P2097" s="16">
        <f>IF(NOT(Paths!$C$197=1),0,IF(Paths!$P$197="Complete",O2097+L2097,"n.a."))</f>
        <v>0</v>
      </c>
      <c r="Q2097" s="16">
        <f>IF(NOT(Paths!$C$197=1),0,IF(Paths!$P$197="Complete",N2097*(1+'Operating costs'!$B$54)^-C2097,"n.a."))</f>
        <v>0</v>
      </c>
      <c r="R2097" s="16">
        <f>IF(NOT(Paths!$C$197=1),0,IF(Paths!$P$197="Complete",IF(AND(C2097=0,Paths!$E$197=0),I2097-J2097-K2097+VLOOKUP(A2097,'Fleet register'!$A$7:$S$106,15,FALSE)+VLOOKUP(A2097,'Fleet register'!$A$7:$S$106,16,FALSE),0),"n.a."))</f>
        <v>0</v>
      </c>
      <c r="S2097" s="1">
        <f>IF(NOT(Paths!$C$197=1),0,IF(Paths!$P$197="Complete",IF(C2097=0,0,Paths!$S$197*Paths!$R$197),"n.a."))</f>
        <v>0</v>
      </c>
      <c r="T2097" s="1">
        <f>IF(NOT(Paths!$C$197=1),0,IF(Paths!$P$197="Complete",IF(C2097=0,0,VLOOKUP(A2097,'Fleet register'!$A$7:$S$106,9,FALSE)*Paths!$R$197),"n.a."))</f>
        <v>0</v>
      </c>
    </row>
    <row r="2098" spans="1:20" ht="24" customHeight="1">
      <c r="A2098" s="1" t="str">
        <f>Paths!$A$197</f>
        <v>T048</v>
      </c>
      <c r="B2098" s="1">
        <f>Paths!$B$197</f>
        <v>2</v>
      </c>
      <c r="C2098" s="1">
        <v>1</v>
      </c>
      <c r="D2098" s="1">
        <v>197</v>
      </c>
      <c r="E2098" s="1">
        <f>IF(OR(Paths!$C$197=0,C2098=0),0,MAX(0,MIN(C2098*12,Paths!$E$197)-(C2098-1)*12))</f>
        <v>0</v>
      </c>
      <c r="F2098" s="1">
        <f>IF(OR(Paths!$C$197=0,C2098=0),0,12-E2098)</f>
        <v>0</v>
      </c>
      <c r="G2098" s="16">
        <f>IF(NOT(Paths!$C$197=1),0,IF(Paths!$P$197="Complete",E2098/12*(Paths!$J$197*(1+'Operating costs'!$B$51)^MAX(0,C2098-1)+Paths!$K$197*(1+'Operating costs'!$B$53)^MAX(0,C2098-1)),"n.a."))</f>
        <v>0</v>
      </c>
      <c r="H2098" s="16">
        <f>IF(NOT(Paths!$C$197=1),0,IF(Paths!$P$197="Complete",F2098/12*(Paths!$L$197*(1+IF(Paths!$D$197="EV",'Operating costs'!$B$52,'Operating costs'!$B$51))^MAX(0,C2098-1)+Paths!$M$197*(1+'Operating costs'!$B$53)^MAX(0,C2098-1)),"n.a."))</f>
        <v>0</v>
      </c>
      <c r="I2098" s="16">
        <f>IF(NOT(Paths!$C$197=1),0,IF(Paths!$P$197="Complete",IF(IF(Paths!$E$197=0,C2098=0,AND(C2098&gt;0,Paths!$E$197&gt;(C2098-1)*12,Paths!$E$197&lt;=C2098*12)),Paths!$G$197,0),"n.a."))</f>
        <v>0</v>
      </c>
      <c r="J2098" s="16">
        <f>IF(NOT(Paths!$C$197=1),0,IF(Paths!$P$197="Complete",IF(IF(Paths!$E$197=0,C2098=0,AND(C2098&gt;0,Paths!$E$197&gt;(C2098-1)*12,Paths!$E$197&lt;=C2098*12)),Paths!$H$197,0),"n.a."))</f>
        <v>0</v>
      </c>
      <c r="K2098" s="16">
        <f>IF(NOT(Paths!$C$197=1),0,IF(Paths!$P$197="Complete",IF(IF(Paths!$O$197=0,C2098=0,AND(C2098&gt;0,Paths!$O$197&gt;(C2098-1)*12,Paths!$O$197&lt;=C2098*12)),Paths!$N$197,0),"n.a."))</f>
        <v>0</v>
      </c>
      <c r="L2098" s="16">
        <f>IF(NOT(Paths!$C$197=1),0,IF(Paths!$P$197="Complete",IF(C2098=10,Paths!$I$197,0),"n.a."))</f>
        <v>0</v>
      </c>
      <c r="M2098" s="16">
        <f>IF(NOT(Paths!$C$197=1),0,IF(Paths!$P$197="Complete",IF(AND(Paths!$D$197="EV",Paths!$E$197&lt;120,Paths!$E$197+'Operating costs'!$B$65&gt;Paths!$E$197,Paths!$E$197+'Operating costs'!$B$65&lt;=120,IF(Paths!$E$197+'Operating costs'!$B$65=0,C2098=0,AND(C2098&gt;0,Paths!$E$197+'Operating costs'!$B$65&gt;(C2098-1)*12,Paths!$E$197+'Operating costs'!$B$65&lt;=C2098*12))),'Operating costs'!$B$64,0)+IF(AND('Operating costs'!$B$67&gt;0,'Operating costs'!$B$67&lt;=120,OR(Paths!$D$197="ICE",'Operating costs'!$B$67&lt;=Paths!$E$197),IF('Operating costs'!$B$67=0,C2098=0,AND(C2098&gt;0,'Operating costs'!$B$67&gt;(C2098-1)*12,'Operating costs'!$B$67&lt;=C2098*12))),'Operating costs'!$B$66,0),"n.a."))</f>
        <v>0</v>
      </c>
      <c r="N2098" s="16">
        <f>IF(NOT(Paths!$C$197=1),0,IF(Paths!$P$197="Complete",SUM(G2098:I2098)-J2098-K2098-L2098+M2098+IF(C2098=0,Paths!$F$197,0)+IF(IF(Paths!$E$197=0,C2098=0,AND(C2098&gt;0,Paths!$E$197&gt;(C2098-1)*12,Paths!$E$197&lt;=C2098*12)),VLOOKUP(A2098,'Fleet register'!$A$7:$S$106,16,FALSE),0),"n.a."))</f>
        <v>0</v>
      </c>
      <c r="O2098" s="16">
        <f>IF(NOT(Paths!$C$197=1),0,IF(Paths!$P$197="Complete",N2098-IF(C2098=0,Paths!$F$197,0),"n.a."))</f>
        <v>0</v>
      </c>
      <c r="P2098" s="16">
        <f>IF(NOT(Paths!$C$197=1),0,IF(Paths!$P$197="Complete",O2098+L2098,"n.a."))</f>
        <v>0</v>
      </c>
      <c r="Q2098" s="16">
        <f>IF(NOT(Paths!$C$197=1),0,IF(Paths!$P$197="Complete",N2098*(1+'Operating costs'!$B$54)^-C2098,"n.a."))</f>
        <v>0</v>
      </c>
      <c r="R2098" s="16">
        <f>IF(NOT(Paths!$C$197=1),0,IF(Paths!$P$197="Complete",IF(AND(C2098=0,Paths!$E$197=0),I2098-J2098-K2098+VLOOKUP(A2098,'Fleet register'!$A$7:$S$106,15,FALSE)+VLOOKUP(A2098,'Fleet register'!$A$7:$S$106,16,FALSE),0),"n.a."))</f>
        <v>0</v>
      </c>
      <c r="S2098" s="1">
        <f>IF(NOT(Paths!$C$197=1),0,IF(Paths!$P$197="Complete",IF(C2098=0,0,Paths!$S$197*Paths!$R$197),"n.a."))</f>
        <v>0</v>
      </c>
      <c r="T2098" s="1">
        <f>IF(NOT(Paths!$C$197=1),0,IF(Paths!$P$197="Complete",IF(C2098=0,0,VLOOKUP(A2098,'Fleet register'!$A$7:$S$106,9,FALSE)*Paths!$R$197),"n.a."))</f>
        <v>0</v>
      </c>
    </row>
    <row r="2099" spans="1:20" ht="24" customHeight="1">
      <c r="A2099" s="1" t="str">
        <f>Paths!$A$197</f>
        <v>T048</v>
      </c>
      <c r="B2099" s="1">
        <f>Paths!$B$197</f>
        <v>2</v>
      </c>
      <c r="C2099" s="1">
        <v>2</v>
      </c>
      <c r="D2099" s="1">
        <v>197</v>
      </c>
      <c r="E2099" s="1">
        <f>IF(OR(Paths!$C$197=0,C2099=0),0,MAX(0,MIN(C2099*12,Paths!$E$197)-(C2099-1)*12))</f>
        <v>0</v>
      </c>
      <c r="F2099" s="1">
        <f>IF(OR(Paths!$C$197=0,C2099=0),0,12-E2099)</f>
        <v>0</v>
      </c>
      <c r="G2099" s="16">
        <f>IF(NOT(Paths!$C$197=1),0,IF(Paths!$P$197="Complete",E2099/12*(Paths!$J$197*(1+'Operating costs'!$B$51)^MAX(0,C2099-1)+Paths!$K$197*(1+'Operating costs'!$B$53)^MAX(0,C2099-1)),"n.a."))</f>
        <v>0</v>
      </c>
      <c r="H2099" s="16">
        <f>IF(NOT(Paths!$C$197=1),0,IF(Paths!$P$197="Complete",F2099/12*(Paths!$L$197*(1+IF(Paths!$D$197="EV",'Operating costs'!$B$52,'Operating costs'!$B$51))^MAX(0,C2099-1)+Paths!$M$197*(1+'Operating costs'!$B$53)^MAX(0,C2099-1)),"n.a."))</f>
        <v>0</v>
      </c>
      <c r="I2099" s="16">
        <f>IF(NOT(Paths!$C$197=1),0,IF(Paths!$P$197="Complete",IF(IF(Paths!$E$197=0,C2099=0,AND(C2099&gt;0,Paths!$E$197&gt;(C2099-1)*12,Paths!$E$197&lt;=C2099*12)),Paths!$G$197,0),"n.a."))</f>
        <v>0</v>
      </c>
      <c r="J2099" s="16">
        <f>IF(NOT(Paths!$C$197=1),0,IF(Paths!$P$197="Complete",IF(IF(Paths!$E$197=0,C2099=0,AND(C2099&gt;0,Paths!$E$197&gt;(C2099-1)*12,Paths!$E$197&lt;=C2099*12)),Paths!$H$197,0),"n.a."))</f>
        <v>0</v>
      </c>
      <c r="K2099" s="16">
        <f>IF(NOT(Paths!$C$197=1),0,IF(Paths!$P$197="Complete",IF(IF(Paths!$O$197=0,C2099=0,AND(C2099&gt;0,Paths!$O$197&gt;(C2099-1)*12,Paths!$O$197&lt;=C2099*12)),Paths!$N$197,0),"n.a."))</f>
        <v>0</v>
      </c>
      <c r="L2099" s="16">
        <f>IF(NOT(Paths!$C$197=1),0,IF(Paths!$P$197="Complete",IF(C2099=10,Paths!$I$197,0),"n.a."))</f>
        <v>0</v>
      </c>
      <c r="M2099" s="16">
        <f>IF(NOT(Paths!$C$197=1),0,IF(Paths!$P$197="Complete",IF(AND(Paths!$D$197="EV",Paths!$E$197&lt;120,Paths!$E$197+'Operating costs'!$B$65&gt;Paths!$E$197,Paths!$E$197+'Operating costs'!$B$65&lt;=120,IF(Paths!$E$197+'Operating costs'!$B$65=0,C2099=0,AND(C2099&gt;0,Paths!$E$197+'Operating costs'!$B$65&gt;(C2099-1)*12,Paths!$E$197+'Operating costs'!$B$65&lt;=C2099*12))),'Operating costs'!$B$64,0)+IF(AND('Operating costs'!$B$67&gt;0,'Operating costs'!$B$67&lt;=120,OR(Paths!$D$197="ICE",'Operating costs'!$B$67&lt;=Paths!$E$197),IF('Operating costs'!$B$67=0,C2099=0,AND(C2099&gt;0,'Operating costs'!$B$67&gt;(C2099-1)*12,'Operating costs'!$B$67&lt;=C2099*12))),'Operating costs'!$B$66,0),"n.a."))</f>
        <v>0</v>
      </c>
      <c r="N2099" s="16">
        <f>IF(NOT(Paths!$C$197=1),0,IF(Paths!$P$197="Complete",SUM(G2099:I2099)-J2099-K2099-L2099+M2099+IF(C2099=0,Paths!$F$197,0)+IF(IF(Paths!$E$197=0,C2099=0,AND(C2099&gt;0,Paths!$E$197&gt;(C2099-1)*12,Paths!$E$197&lt;=C2099*12)),VLOOKUP(A2099,'Fleet register'!$A$7:$S$106,16,FALSE),0),"n.a."))</f>
        <v>0</v>
      </c>
      <c r="O2099" s="16">
        <f>IF(NOT(Paths!$C$197=1),0,IF(Paths!$P$197="Complete",N2099-IF(C2099=0,Paths!$F$197,0),"n.a."))</f>
        <v>0</v>
      </c>
      <c r="P2099" s="16">
        <f>IF(NOT(Paths!$C$197=1),0,IF(Paths!$P$197="Complete",O2099+L2099,"n.a."))</f>
        <v>0</v>
      </c>
      <c r="Q2099" s="16">
        <f>IF(NOT(Paths!$C$197=1),0,IF(Paths!$P$197="Complete",N2099*(1+'Operating costs'!$B$54)^-C2099,"n.a."))</f>
        <v>0</v>
      </c>
      <c r="R2099" s="16">
        <f>IF(NOT(Paths!$C$197=1),0,IF(Paths!$P$197="Complete",IF(AND(C2099=0,Paths!$E$197=0),I2099-J2099-K2099+VLOOKUP(A2099,'Fleet register'!$A$7:$S$106,15,FALSE)+VLOOKUP(A2099,'Fleet register'!$A$7:$S$106,16,FALSE),0),"n.a."))</f>
        <v>0</v>
      </c>
      <c r="S2099" s="1">
        <f>IF(NOT(Paths!$C$197=1),0,IF(Paths!$P$197="Complete",IF(C2099=0,0,Paths!$S$197*Paths!$R$197),"n.a."))</f>
        <v>0</v>
      </c>
      <c r="T2099" s="1">
        <f>IF(NOT(Paths!$C$197=1),0,IF(Paths!$P$197="Complete",IF(C2099=0,0,VLOOKUP(A2099,'Fleet register'!$A$7:$S$106,9,FALSE)*Paths!$R$197),"n.a."))</f>
        <v>0</v>
      </c>
    </row>
    <row r="2100" spans="1:20" ht="24" customHeight="1">
      <c r="A2100" s="1" t="str">
        <f>Paths!$A$197</f>
        <v>T048</v>
      </c>
      <c r="B2100" s="1">
        <f>Paths!$B$197</f>
        <v>2</v>
      </c>
      <c r="C2100" s="1">
        <v>3</v>
      </c>
      <c r="D2100" s="1">
        <v>197</v>
      </c>
      <c r="E2100" s="1">
        <f>IF(OR(Paths!$C$197=0,C2100=0),0,MAX(0,MIN(C2100*12,Paths!$E$197)-(C2100-1)*12))</f>
        <v>0</v>
      </c>
      <c r="F2100" s="1">
        <f>IF(OR(Paths!$C$197=0,C2100=0),0,12-E2100)</f>
        <v>0</v>
      </c>
      <c r="G2100" s="16">
        <f>IF(NOT(Paths!$C$197=1),0,IF(Paths!$P$197="Complete",E2100/12*(Paths!$J$197*(1+'Operating costs'!$B$51)^MAX(0,C2100-1)+Paths!$K$197*(1+'Operating costs'!$B$53)^MAX(0,C2100-1)),"n.a."))</f>
        <v>0</v>
      </c>
      <c r="H2100" s="16">
        <f>IF(NOT(Paths!$C$197=1),0,IF(Paths!$P$197="Complete",F2100/12*(Paths!$L$197*(1+IF(Paths!$D$197="EV",'Operating costs'!$B$52,'Operating costs'!$B$51))^MAX(0,C2100-1)+Paths!$M$197*(1+'Operating costs'!$B$53)^MAX(0,C2100-1)),"n.a."))</f>
        <v>0</v>
      </c>
      <c r="I2100" s="16">
        <f>IF(NOT(Paths!$C$197=1),0,IF(Paths!$P$197="Complete",IF(IF(Paths!$E$197=0,C2100=0,AND(C2100&gt;0,Paths!$E$197&gt;(C2100-1)*12,Paths!$E$197&lt;=C2100*12)),Paths!$G$197,0),"n.a."))</f>
        <v>0</v>
      </c>
      <c r="J2100" s="16">
        <f>IF(NOT(Paths!$C$197=1),0,IF(Paths!$P$197="Complete",IF(IF(Paths!$E$197=0,C2100=0,AND(C2100&gt;0,Paths!$E$197&gt;(C2100-1)*12,Paths!$E$197&lt;=C2100*12)),Paths!$H$197,0),"n.a."))</f>
        <v>0</v>
      </c>
      <c r="K2100" s="16">
        <f>IF(NOT(Paths!$C$197=1),0,IF(Paths!$P$197="Complete",IF(IF(Paths!$O$197=0,C2100=0,AND(C2100&gt;0,Paths!$O$197&gt;(C2100-1)*12,Paths!$O$197&lt;=C2100*12)),Paths!$N$197,0),"n.a."))</f>
        <v>0</v>
      </c>
      <c r="L2100" s="16">
        <f>IF(NOT(Paths!$C$197=1),0,IF(Paths!$P$197="Complete",IF(C2100=10,Paths!$I$197,0),"n.a."))</f>
        <v>0</v>
      </c>
      <c r="M2100" s="16">
        <f>IF(NOT(Paths!$C$197=1),0,IF(Paths!$P$197="Complete",IF(AND(Paths!$D$197="EV",Paths!$E$197&lt;120,Paths!$E$197+'Operating costs'!$B$65&gt;Paths!$E$197,Paths!$E$197+'Operating costs'!$B$65&lt;=120,IF(Paths!$E$197+'Operating costs'!$B$65=0,C2100=0,AND(C2100&gt;0,Paths!$E$197+'Operating costs'!$B$65&gt;(C2100-1)*12,Paths!$E$197+'Operating costs'!$B$65&lt;=C2100*12))),'Operating costs'!$B$64,0)+IF(AND('Operating costs'!$B$67&gt;0,'Operating costs'!$B$67&lt;=120,OR(Paths!$D$197="ICE",'Operating costs'!$B$67&lt;=Paths!$E$197),IF('Operating costs'!$B$67=0,C2100=0,AND(C2100&gt;0,'Operating costs'!$B$67&gt;(C2100-1)*12,'Operating costs'!$B$67&lt;=C2100*12))),'Operating costs'!$B$66,0),"n.a."))</f>
        <v>0</v>
      </c>
      <c r="N2100" s="16">
        <f>IF(NOT(Paths!$C$197=1),0,IF(Paths!$P$197="Complete",SUM(G2100:I2100)-J2100-K2100-L2100+M2100+IF(C2100=0,Paths!$F$197,0)+IF(IF(Paths!$E$197=0,C2100=0,AND(C2100&gt;0,Paths!$E$197&gt;(C2100-1)*12,Paths!$E$197&lt;=C2100*12)),VLOOKUP(A2100,'Fleet register'!$A$7:$S$106,16,FALSE),0),"n.a."))</f>
        <v>0</v>
      </c>
      <c r="O2100" s="16">
        <f>IF(NOT(Paths!$C$197=1),0,IF(Paths!$P$197="Complete",N2100-IF(C2100=0,Paths!$F$197,0),"n.a."))</f>
        <v>0</v>
      </c>
      <c r="P2100" s="16">
        <f>IF(NOT(Paths!$C$197=1),0,IF(Paths!$P$197="Complete",O2100+L2100,"n.a."))</f>
        <v>0</v>
      </c>
      <c r="Q2100" s="16">
        <f>IF(NOT(Paths!$C$197=1),0,IF(Paths!$P$197="Complete",N2100*(1+'Operating costs'!$B$54)^-C2100,"n.a."))</f>
        <v>0</v>
      </c>
      <c r="R2100" s="16">
        <f>IF(NOT(Paths!$C$197=1),0,IF(Paths!$P$197="Complete",IF(AND(C2100=0,Paths!$E$197=0),I2100-J2100-K2100+VLOOKUP(A2100,'Fleet register'!$A$7:$S$106,15,FALSE)+VLOOKUP(A2100,'Fleet register'!$A$7:$S$106,16,FALSE),0),"n.a."))</f>
        <v>0</v>
      </c>
      <c r="S2100" s="1">
        <f>IF(NOT(Paths!$C$197=1),0,IF(Paths!$P$197="Complete",IF(C2100=0,0,Paths!$S$197*Paths!$R$197),"n.a."))</f>
        <v>0</v>
      </c>
      <c r="T2100" s="1">
        <f>IF(NOT(Paths!$C$197=1),0,IF(Paths!$P$197="Complete",IF(C2100=0,0,VLOOKUP(A2100,'Fleet register'!$A$7:$S$106,9,FALSE)*Paths!$R$197),"n.a."))</f>
        <v>0</v>
      </c>
    </row>
    <row r="2101" spans="1:20" ht="24" customHeight="1">
      <c r="A2101" s="1" t="str">
        <f>Paths!$A$197</f>
        <v>T048</v>
      </c>
      <c r="B2101" s="1">
        <f>Paths!$B$197</f>
        <v>2</v>
      </c>
      <c r="C2101" s="1">
        <v>4</v>
      </c>
      <c r="D2101" s="1">
        <v>197</v>
      </c>
      <c r="E2101" s="1">
        <f>IF(OR(Paths!$C$197=0,C2101=0),0,MAX(0,MIN(C2101*12,Paths!$E$197)-(C2101-1)*12))</f>
        <v>0</v>
      </c>
      <c r="F2101" s="1">
        <f>IF(OR(Paths!$C$197=0,C2101=0),0,12-E2101)</f>
        <v>0</v>
      </c>
      <c r="G2101" s="16">
        <f>IF(NOT(Paths!$C$197=1),0,IF(Paths!$P$197="Complete",E2101/12*(Paths!$J$197*(1+'Operating costs'!$B$51)^MAX(0,C2101-1)+Paths!$K$197*(1+'Operating costs'!$B$53)^MAX(0,C2101-1)),"n.a."))</f>
        <v>0</v>
      </c>
      <c r="H2101" s="16">
        <f>IF(NOT(Paths!$C$197=1),0,IF(Paths!$P$197="Complete",F2101/12*(Paths!$L$197*(1+IF(Paths!$D$197="EV",'Operating costs'!$B$52,'Operating costs'!$B$51))^MAX(0,C2101-1)+Paths!$M$197*(1+'Operating costs'!$B$53)^MAX(0,C2101-1)),"n.a."))</f>
        <v>0</v>
      </c>
      <c r="I2101" s="16">
        <f>IF(NOT(Paths!$C$197=1),0,IF(Paths!$P$197="Complete",IF(IF(Paths!$E$197=0,C2101=0,AND(C2101&gt;0,Paths!$E$197&gt;(C2101-1)*12,Paths!$E$197&lt;=C2101*12)),Paths!$G$197,0),"n.a."))</f>
        <v>0</v>
      </c>
      <c r="J2101" s="16">
        <f>IF(NOT(Paths!$C$197=1),0,IF(Paths!$P$197="Complete",IF(IF(Paths!$E$197=0,C2101=0,AND(C2101&gt;0,Paths!$E$197&gt;(C2101-1)*12,Paths!$E$197&lt;=C2101*12)),Paths!$H$197,0),"n.a."))</f>
        <v>0</v>
      </c>
      <c r="K2101" s="16">
        <f>IF(NOT(Paths!$C$197=1),0,IF(Paths!$P$197="Complete",IF(IF(Paths!$O$197=0,C2101=0,AND(C2101&gt;0,Paths!$O$197&gt;(C2101-1)*12,Paths!$O$197&lt;=C2101*12)),Paths!$N$197,0),"n.a."))</f>
        <v>0</v>
      </c>
      <c r="L2101" s="16">
        <f>IF(NOT(Paths!$C$197=1),0,IF(Paths!$P$197="Complete",IF(C2101=10,Paths!$I$197,0),"n.a."))</f>
        <v>0</v>
      </c>
      <c r="M2101" s="16">
        <f>IF(NOT(Paths!$C$197=1),0,IF(Paths!$P$197="Complete",IF(AND(Paths!$D$197="EV",Paths!$E$197&lt;120,Paths!$E$197+'Operating costs'!$B$65&gt;Paths!$E$197,Paths!$E$197+'Operating costs'!$B$65&lt;=120,IF(Paths!$E$197+'Operating costs'!$B$65=0,C2101=0,AND(C2101&gt;0,Paths!$E$197+'Operating costs'!$B$65&gt;(C2101-1)*12,Paths!$E$197+'Operating costs'!$B$65&lt;=C2101*12))),'Operating costs'!$B$64,0)+IF(AND('Operating costs'!$B$67&gt;0,'Operating costs'!$B$67&lt;=120,OR(Paths!$D$197="ICE",'Operating costs'!$B$67&lt;=Paths!$E$197),IF('Operating costs'!$B$67=0,C2101=0,AND(C2101&gt;0,'Operating costs'!$B$67&gt;(C2101-1)*12,'Operating costs'!$B$67&lt;=C2101*12))),'Operating costs'!$B$66,0),"n.a."))</f>
        <v>0</v>
      </c>
      <c r="N2101" s="16">
        <f>IF(NOT(Paths!$C$197=1),0,IF(Paths!$P$197="Complete",SUM(G2101:I2101)-J2101-K2101-L2101+M2101+IF(C2101=0,Paths!$F$197,0)+IF(IF(Paths!$E$197=0,C2101=0,AND(C2101&gt;0,Paths!$E$197&gt;(C2101-1)*12,Paths!$E$197&lt;=C2101*12)),VLOOKUP(A2101,'Fleet register'!$A$7:$S$106,16,FALSE),0),"n.a."))</f>
        <v>0</v>
      </c>
      <c r="O2101" s="16">
        <f>IF(NOT(Paths!$C$197=1),0,IF(Paths!$P$197="Complete",N2101-IF(C2101=0,Paths!$F$197,0),"n.a."))</f>
        <v>0</v>
      </c>
      <c r="P2101" s="16">
        <f>IF(NOT(Paths!$C$197=1),0,IF(Paths!$P$197="Complete",O2101+L2101,"n.a."))</f>
        <v>0</v>
      </c>
      <c r="Q2101" s="16">
        <f>IF(NOT(Paths!$C$197=1),0,IF(Paths!$P$197="Complete",N2101*(1+'Operating costs'!$B$54)^-C2101,"n.a."))</f>
        <v>0</v>
      </c>
      <c r="R2101" s="16">
        <f>IF(NOT(Paths!$C$197=1),0,IF(Paths!$P$197="Complete",IF(AND(C2101=0,Paths!$E$197=0),I2101-J2101-K2101+VLOOKUP(A2101,'Fleet register'!$A$7:$S$106,15,FALSE)+VLOOKUP(A2101,'Fleet register'!$A$7:$S$106,16,FALSE),0),"n.a."))</f>
        <v>0</v>
      </c>
      <c r="S2101" s="1">
        <f>IF(NOT(Paths!$C$197=1),0,IF(Paths!$P$197="Complete",IF(C2101=0,0,Paths!$S$197*Paths!$R$197),"n.a."))</f>
        <v>0</v>
      </c>
      <c r="T2101" s="1">
        <f>IF(NOT(Paths!$C$197=1),0,IF(Paths!$P$197="Complete",IF(C2101=0,0,VLOOKUP(A2101,'Fleet register'!$A$7:$S$106,9,FALSE)*Paths!$R$197),"n.a."))</f>
        <v>0</v>
      </c>
    </row>
    <row r="2102" spans="1:20" ht="24" customHeight="1">
      <c r="A2102" s="1" t="str">
        <f>Paths!$A$197</f>
        <v>T048</v>
      </c>
      <c r="B2102" s="1">
        <f>Paths!$B$197</f>
        <v>2</v>
      </c>
      <c r="C2102" s="1">
        <v>5</v>
      </c>
      <c r="D2102" s="1">
        <v>197</v>
      </c>
      <c r="E2102" s="1">
        <f>IF(OR(Paths!$C$197=0,C2102=0),0,MAX(0,MIN(C2102*12,Paths!$E$197)-(C2102-1)*12))</f>
        <v>0</v>
      </c>
      <c r="F2102" s="1">
        <f>IF(OR(Paths!$C$197=0,C2102=0),0,12-E2102)</f>
        <v>0</v>
      </c>
      <c r="G2102" s="16">
        <f>IF(NOT(Paths!$C$197=1),0,IF(Paths!$P$197="Complete",E2102/12*(Paths!$J$197*(1+'Operating costs'!$B$51)^MAX(0,C2102-1)+Paths!$K$197*(1+'Operating costs'!$B$53)^MAX(0,C2102-1)),"n.a."))</f>
        <v>0</v>
      </c>
      <c r="H2102" s="16">
        <f>IF(NOT(Paths!$C$197=1),0,IF(Paths!$P$197="Complete",F2102/12*(Paths!$L$197*(1+IF(Paths!$D$197="EV",'Operating costs'!$B$52,'Operating costs'!$B$51))^MAX(0,C2102-1)+Paths!$M$197*(1+'Operating costs'!$B$53)^MAX(0,C2102-1)),"n.a."))</f>
        <v>0</v>
      </c>
      <c r="I2102" s="16">
        <f>IF(NOT(Paths!$C$197=1),0,IF(Paths!$P$197="Complete",IF(IF(Paths!$E$197=0,C2102=0,AND(C2102&gt;0,Paths!$E$197&gt;(C2102-1)*12,Paths!$E$197&lt;=C2102*12)),Paths!$G$197,0),"n.a."))</f>
        <v>0</v>
      </c>
      <c r="J2102" s="16">
        <f>IF(NOT(Paths!$C$197=1),0,IF(Paths!$P$197="Complete",IF(IF(Paths!$E$197=0,C2102=0,AND(C2102&gt;0,Paths!$E$197&gt;(C2102-1)*12,Paths!$E$197&lt;=C2102*12)),Paths!$H$197,0),"n.a."))</f>
        <v>0</v>
      </c>
      <c r="K2102" s="16">
        <f>IF(NOT(Paths!$C$197=1),0,IF(Paths!$P$197="Complete",IF(IF(Paths!$O$197=0,C2102=0,AND(C2102&gt;0,Paths!$O$197&gt;(C2102-1)*12,Paths!$O$197&lt;=C2102*12)),Paths!$N$197,0),"n.a."))</f>
        <v>0</v>
      </c>
      <c r="L2102" s="16">
        <f>IF(NOT(Paths!$C$197=1),0,IF(Paths!$P$197="Complete",IF(C2102=10,Paths!$I$197,0),"n.a."))</f>
        <v>0</v>
      </c>
      <c r="M2102" s="16">
        <f>IF(NOT(Paths!$C$197=1),0,IF(Paths!$P$197="Complete",IF(AND(Paths!$D$197="EV",Paths!$E$197&lt;120,Paths!$E$197+'Operating costs'!$B$65&gt;Paths!$E$197,Paths!$E$197+'Operating costs'!$B$65&lt;=120,IF(Paths!$E$197+'Operating costs'!$B$65=0,C2102=0,AND(C2102&gt;0,Paths!$E$197+'Operating costs'!$B$65&gt;(C2102-1)*12,Paths!$E$197+'Operating costs'!$B$65&lt;=C2102*12))),'Operating costs'!$B$64,0)+IF(AND('Operating costs'!$B$67&gt;0,'Operating costs'!$B$67&lt;=120,OR(Paths!$D$197="ICE",'Operating costs'!$B$67&lt;=Paths!$E$197),IF('Operating costs'!$B$67=0,C2102=0,AND(C2102&gt;0,'Operating costs'!$B$67&gt;(C2102-1)*12,'Operating costs'!$B$67&lt;=C2102*12))),'Operating costs'!$B$66,0),"n.a."))</f>
        <v>0</v>
      </c>
      <c r="N2102" s="16">
        <f>IF(NOT(Paths!$C$197=1),0,IF(Paths!$P$197="Complete",SUM(G2102:I2102)-J2102-K2102-L2102+M2102+IF(C2102=0,Paths!$F$197,0)+IF(IF(Paths!$E$197=0,C2102=0,AND(C2102&gt;0,Paths!$E$197&gt;(C2102-1)*12,Paths!$E$197&lt;=C2102*12)),VLOOKUP(A2102,'Fleet register'!$A$7:$S$106,16,FALSE),0),"n.a."))</f>
        <v>0</v>
      </c>
      <c r="O2102" s="16">
        <f>IF(NOT(Paths!$C$197=1),0,IF(Paths!$P$197="Complete",N2102-IF(C2102=0,Paths!$F$197,0),"n.a."))</f>
        <v>0</v>
      </c>
      <c r="P2102" s="16">
        <f>IF(NOT(Paths!$C$197=1),0,IF(Paths!$P$197="Complete",O2102+L2102,"n.a."))</f>
        <v>0</v>
      </c>
      <c r="Q2102" s="16">
        <f>IF(NOT(Paths!$C$197=1),0,IF(Paths!$P$197="Complete",N2102*(1+'Operating costs'!$B$54)^-C2102,"n.a."))</f>
        <v>0</v>
      </c>
      <c r="R2102" s="16">
        <f>IF(NOT(Paths!$C$197=1),0,IF(Paths!$P$197="Complete",IF(AND(C2102=0,Paths!$E$197=0),I2102-J2102-K2102+VLOOKUP(A2102,'Fleet register'!$A$7:$S$106,15,FALSE)+VLOOKUP(A2102,'Fleet register'!$A$7:$S$106,16,FALSE),0),"n.a."))</f>
        <v>0</v>
      </c>
      <c r="S2102" s="1">
        <f>IF(NOT(Paths!$C$197=1),0,IF(Paths!$P$197="Complete",IF(C2102=0,0,Paths!$S$197*Paths!$R$197),"n.a."))</f>
        <v>0</v>
      </c>
      <c r="T2102" s="1">
        <f>IF(NOT(Paths!$C$197=1),0,IF(Paths!$P$197="Complete",IF(C2102=0,0,VLOOKUP(A2102,'Fleet register'!$A$7:$S$106,9,FALSE)*Paths!$R$197),"n.a."))</f>
        <v>0</v>
      </c>
    </row>
    <row r="2103" spans="1:20" ht="24" customHeight="1">
      <c r="A2103" s="1" t="str">
        <f>Paths!$A$197</f>
        <v>T048</v>
      </c>
      <c r="B2103" s="1">
        <f>Paths!$B$197</f>
        <v>2</v>
      </c>
      <c r="C2103" s="1">
        <v>6</v>
      </c>
      <c r="D2103" s="1">
        <v>197</v>
      </c>
      <c r="E2103" s="1">
        <f>IF(OR(Paths!$C$197=0,C2103=0),0,MAX(0,MIN(C2103*12,Paths!$E$197)-(C2103-1)*12))</f>
        <v>0</v>
      </c>
      <c r="F2103" s="1">
        <f>IF(OR(Paths!$C$197=0,C2103=0),0,12-E2103)</f>
        <v>0</v>
      </c>
      <c r="G2103" s="16">
        <f>IF(NOT(Paths!$C$197=1),0,IF(Paths!$P$197="Complete",E2103/12*(Paths!$J$197*(1+'Operating costs'!$B$51)^MAX(0,C2103-1)+Paths!$K$197*(1+'Operating costs'!$B$53)^MAX(0,C2103-1)),"n.a."))</f>
        <v>0</v>
      </c>
      <c r="H2103" s="16">
        <f>IF(NOT(Paths!$C$197=1),0,IF(Paths!$P$197="Complete",F2103/12*(Paths!$L$197*(1+IF(Paths!$D$197="EV",'Operating costs'!$B$52,'Operating costs'!$B$51))^MAX(0,C2103-1)+Paths!$M$197*(1+'Operating costs'!$B$53)^MAX(0,C2103-1)),"n.a."))</f>
        <v>0</v>
      </c>
      <c r="I2103" s="16">
        <f>IF(NOT(Paths!$C$197=1),0,IF(Paths!$P$197="Complete",IF(IF(Paths!$E$197=0,C2103=0,AND(C2103&gt;0,Paths!$E$197&gt;(C2103-1)*12,Paths!$E$197&lt;=C2103*12)),Paths!$G$197,0),"n.a."))</f>
        <v>0</v>
      </c>
      <c r="J2103" s="16">
        <f>IF(NOT(Paths!$C$197=1),0,IF(Paths!$P$197="Complete",IF(IF(Paths!$E$197=0,C2103=0,AND(C2103&gt;0,Paths!$E$197&gt;(C2103-1)*12,Paths!$E$197&lt;=C2103*12)),Paths!$H$197,0),"n.a."))</f>
        <v>0</v>
      </c>
      <c r="K2103" s="16">
        <f>IF(NOT(Paths!$C$197=1),0,IF(Paths!$P$197="Complete",IF(IF(Paths!$O$197=0,C2103=0,AND(C2103&gt;0,Paths!$O$197&gt;(C2103-1)*12,Paths!$O$197&lt;=C2103*12)),Paths!$N$197,0),"n.a."))</f>
        <v>0</v>
      </c>
      <c r="L2103" s="16">
        <f>IF(NOT(Paths!$C$197=1),0,IF(Paths!$P$197="Complete",IF(C2103=10,Paths!$I$197,0),"n.a."))</f>
        <v>0</v>
      </c>
      <c r="M2103" s="16">
        <f>IF(NOT(Paths!$C$197=1),0,IF(Paths!$P$197="Complete",IF(AND(Paths!$D$197="EV",Paths!$E$197&lt;120,Paths!$E$197+'Operating costs'!$B$65&gt;Paths!$E$197,Paths!$E$197+'Operating costs'!$B$65&lt;=120,IF(Paths!$E$197+'Operating costs'!$B$65=0,C2103=0,AND(C2103&gt;0,Paths!$E$197+'Operating costs'!$B$65&gt;(C2103-1)*12,Paths!$E$197+'Operating costs'!$B$65&lt;=C2103*12))),'Operating costs'!$B$64,0)+IF(AND('Operating costs'!$B$67&gt;0,'Operating costs'!$B$67&lt;=120,OR(Paths!$D$197="ICE",'Operating costs'!$B$67&lt;=Paths!$E$197),IF('Operating costs'!$B$67=0,C2103=0,AND(C2103&gt;0,'Operating costs'!$B$67&gt;(C2103-1)*12,'Operating costs'!$B$67&lt;=C2103*12))),'Operating costs'!$B$66,0),"n.a."))</f>
        <v>0</v>
      </c>
      <c r="N2103" s="16">
        <f>IF(NOT(Paths!$C$197=1),0,IF(Paths!$P$197="Complete",SUM(G2103:I2103)-J2103-K2103-L2103+M2103+IF(C2103=0,Paths!$F$197,0)+IF(IF(Paths!$E$197=0,C2103=0,AND(C2103&gt;0,Paths!$E$197&gt;(C2103-1)*12,Paths!$E$197&lt;=C2103*12)),VLOOKUP(A2103,'Fleet register'!$A$7:$S$106,16,FALSE),0),"n.a."))</f>
        <v>0</v>
      </c>
      <c r="O2103" s="16">
        <f>IF(NOT(Paths!$C$197=1),0,IF(Paths!$P$197="Complete",N2103-IF(C2103=0,Paths!$F$197,0),"n.a."))</f>
        <v>0</v>
      </c>
      <c r="P2103" s="16">
        <f>IF(NOT(Paths!$C$197=1),0,IF(Paths!$P$197="Complete",O2103+L2103,"n.a."))</f>
        <v>0</v>
      </c>
      <c r="Q2103" s="16">
        <f>IF(NOT(Paths!$C$197=1),0,IF(Paths!$P$197="Complete",N2103*(1+'Operating costs'!$B$54)^-C2103,"n.a."))</f>
        <v>0</v>
      </c>
      <c r="R2103" s="16">
        <f>IF(NOT(Paths!$C$197=1),0,IF(Paths!$P$197="Complete",IF(AND(C2103=0,Paths!$E$197=0),I2103-J2103-K2103+VLOOKUP(A2103,'Fleet register'!$A$7:$S$106,15,FALSE)+VLOOKUP(A2103,'Fleet register'!$A$7:$S$106,16,FALSE),0),"n.a."))</f>
        <v>0</v>
      </c>
      <c r="S2103" s="1">
        <f>IF(NOT(Paths!$C$197=1),0,IF(Paths!$P$197="Complete",IF(C2103=0,0,Paths!$S$197*Paths!$R$197),"n.a."))</f>
        <v>0</v>
      </c>
      <c r="T2103" s="1">
        <f>IF(NOT(Paths!$C$197=1),0,IF(Paths!$P$197="Complete",IF(C2103=0,0,VLOOKUP(A2103,'Fleet register'!$A$7:$S$106,9,FALSE)*Paths!$R$197),"n.a."))</f>
        <v>0</v>
      </c>
    </row>
    <row r="2104" spans="1:20" ht="24" customHeight="1">
      <c r="A2104" s="1" t="str">
        <f>Paths!$A$197</f>
        <v>T048</v>
      </c>
      <c r="B2104" s="1">
        <f>Paths!$B$197</f>
        <v>2</v>
      </c>
      <c r="C2104" s="1">
        <v>7</v>
      </c>
      <c r="D2104" s="1">
        <v>197</v>
      </c>
      <c r="E2104" s="1">
        <f>IF(OR(Paths!$C$197=0,C2104=0),0,MAX(0,MIN(C2104*12,Paths!$E$197)-(C2104-1)*12))</f>
        <v>0</v>
      </c>
      <c r="F2104" s="1">
        <f>IF(OR(Paths!$C$197=0,C2104=0),0,12-E2104)</f>
        <v>0</v>
      </c>
      <c r="G2104" s="16">
        <f>IF(NOT(Paths!$C$197=1),0,IF(Paths!$P$197="Complete",E2104/12*(Paths!$J$197*(1+'Operating costs'!$B$51)^MAX(0,C2104-1)+Paths!$K$197*(1+'Operating costs'!$B$53)^MAX(0,C2104-1)),"n.a."))</f>
        <v>0</v>
      </c>
      <c r="H2104" s="16">
        <f>IF(NOT(Paths!$C$197=1),0,IF(Paths!$P$197="Complete",F2104/12*(Paths!$L$197*(1+IF(Paths!$D$197="EV",'Operating costs'!$B$52,'Operating costs'!$B$51))^MAX(0,C2104-1)+Paths!$M$197*(1+'Operating costs'!$B$53)^MAX(0,C2104-1)),"n.a."))</f>
        <v>0</v>
      </c>
      <c r="I2104" s="16">
        <f>IF(NOT(Paths!$C$197=1),0,IF(Paths!$P$197="Complete",IF(IF(Paths!$E$197=0,C2104=0,AND(C2104&gt;0,Paths!$E$197&gt;(C2104-1)*12,Paths!$E$197&lt;=C2104*12)),Paths!$G$197,0),"n.a."))</f>
        <v>0</v>
      </c>
      <c r="J2104" s="16">
        <f>IF(NOT(Paths!$C$197=1),0,IF(Paths!$P$197="Complete",IF(IF(Paths!$E$197=0,C2104=0,AND(C2104&gt;0,Paths!$E$197&gt;(C2104-1)*12,Paths!$E$197&lt;=C2104*12)),Paths!$H$197,0),"n.a."))</f>
        <v>0</v>
      </c>
      <c r="K2104" s="16">
        <f>IF(NOT(Paths!$C$197=1),0,IF(Paths!$P$197="Complete",IF(IF(Paths!$O$197=0,C2104=0,AND(C2104&gt;0,Paths!$O$197&gt;(C2104-1)*12,Paths!$O$197&lt;=C2104*12)),Paths!$N$197,0),"n.a."))</f>
        <v>0</v>
      </c>
      <c r="L2104" s="16">
        <f>IF(NOT(Paths!$C$197=1),0,IF(Paths!$P$197="Complete",IF(C2104=10,Paths!$I$197,0),"n.a."))</f>
        <v>0</v>
      </c>
      <c r="M2104" s="16">
        <f>IF(NOT(Paths!$C$197=1),0,IF(Paths!$P$197="Complete",IF(AND(Paths!$D$197="EV",Paths!$E$197&lt;120,Paths!$E$197+'Operating costs'!$B$65&gt;Paths!$E$197,Paths!$E$197+'Operating costs'!$B$65&lt;=120,IF(Paths!$E$197+'Operating costs'!$B$65=0,C2104=0,AND(C2104&gt;0,Paths!$E$197+'Operating costs'!$B$65&gt;(C2104-1)*12,Paths!$E$197+'Operating costs'!$B$65&lt;=C2104*12))),'Operating costs'!$B$64,0)+IF(AND('Operating costs'!$B$67&gt;0,'Operating costs'!$B$67&lt;=120,OR(Paths!$D$197="ICE",'Operating costs'!$B$67&lt;=Paths!$E$197),IF('Operating costs'!$B$67=0,C2104=0,AND(C2104&gt;0,'Operating costs'!$B$67&gt;(C2104-1)*12,'Operating costs'!$B$67&lt;=C2104*12))),'Operating costs'!$B$66,0),"n.a."))</f>
        <v>0</v>
      </c>
      <c r="N2104" s="16">
        <f>IF(NOT(Paths!$C$197=1),0,IF(Paths!$P$197="Complete",SUM(G2104:I2104)-J2104-K2104-L2104+M2104+IF(C2104=0,Paths!$F$197,0)+IF(IF(Paths!$E$197=0,C2104=0,AND(C2104&gt;0,Paths!$E$197&gt;(C2104-1)*12,Paths!$E$197&lt;=C2104*12)),VLOOKUP(A2104,'Fleet register'!$A$7:$S$106,16,FALSE),0),"n.a."))</f>
        <v>0</v>
      </c>
      <c r="O2104" s="16">
        <f>IF(NOT(Paths!$C$197=1),0,IF(Paths!$P$197="Complete",N2104-IF(C2104=0,Paths!$F$197,0),"n.a."))</f>
        <v>0</v>
      </c>
      <c r="P2104" s="16">
        <f>IF(NOT(Paths!$C$197=1),0,IF(Paths!$P$197="Complete",O2104+L2104,"n.a."))</f>
        <v>0</v>
      </c>
      <c r="Q2104" s="16">
        <f>IF(NOT(Paths!$C$197=1),0,IF(Paths!$P$197="Complete",N2104*(1+'Operating costs'!$B$54)^-C2104,"n.a."))</f>
        <v>0</v>
      </c>
      <c r="R2104" s="16">
        <f>IF(NOT(Paths!$C$197=1),0,IF(Paths!$P$197="Complete",IF(AND(C2104=0,Paths!$E$197=0),I2104-J2104-K2104+VLOOKUP(A2104,'Fleet register'!$A$7:$S$106,15,FALSE)+VLOOKUP(A2104,'Fleet register'!$A$7:$S$106,16,FALSE),0),"n.a."))</f>
        <v>0</v>
      </c>
      <c r="S2104" s="1">
        <f>IF(NOT(Paths!$C$197=1),0,IF(Paths!$P$197="Complete",IF(C2104=0,0,Paths!$S$197*Paths!$R$197),"n.a."))</f>
        <v>0</v>
      </c>
      <c r="T2104" s="1">
        <f>IF(NOT(Paths!$C$197=1),0,IF(Paths!$P$197="Complete",IF(C2104=0,0,VLOOKUP(A2104,'Fleet register'!$A$7:$S$106,9,FALSE)*Paths!$R$197),"n.a."))</f>
        <v>0</v>
      </c>
    </row>
    <row r="2105" spans="1:20" ht="24" customHeight="1">
      <c r="A2105" s="1" t="str">
        <f>Paths!$A$197</f>
        <v>T048</v>
      </c>
      <c r="B2105" s="1">
        <f>Paths!$B$197</f>
        <v>2</v>
      </c>
      <c r="C2105" s="1">
        <v>8</v>
      </c>
      <c r="D2105" s="1">
        <v>197</v>
      </c>
      <c r="E2105" s="1">
        <f>IF(OR(Paths!$C$197=0,C2105=0),0,MAX(0,MIN(C2105*12,Paths!$E$197)-(C2105-1)*12))</f>
        <v>0</v>
      </c>
      <c r="F2105" s="1">
        <f>IF(OR(Paths!$C$197=0,C2105=0),0,12-E2105)</f>
        <v>0</v>
      </c>
      <c r="G2105" s="16">
        <f>IF(NOT(Paths!$C$197=1),0,IF(Paths!$P$197="Complete",E2105/12*(Paths!$J$197*(1+'Operating costs'!$B$51)^MAX(0,C2105-1)+Paths!$K$197*(1+'Operating costs'!$B$53)^MAX(0,C2105-1)),"n.a."))</f>
        <v>0</v>
      </c>
      <c r="H2105" s="16">
        <f>IF(NOT(Paths!$C$197=1),0,IF(Paths!$P$197="Complete",F2105/12*(Paths!$L$197*(1+IF(Paths!$D$197="EV",'Operating costs'!$B$52,'Operating costs'!$B$51))^MAX(0,C2105-1)+Paths!$M$197*(1+'Operating costs'!$B$53)^MAX(0,C2105-1)),"n.a."))</f>
        <v>0</v>
      </c>
      <c r="I2105" s="16">
        <f>IF(NOT(Paths!$C$197=1),0,IF(Paths!$P$197="Complete",IF(IF(Paths!$E$197=0,C2105=0,AND(C2105&gt;0,Paths!$E$197&gt;(C2105-1)*12,Paths!$E$197&lt;=C2105*12)),Paths!$G$197,0),"n.a."))</f>
        <v>0</v>
      </c>
      <c r="J2105" s="16">
        <f>IF(NOT(Paths!$C$197=1),0,IF(Paths!$P$197="Complete",IF(IF(Paths!$E$197=0,C2105=0,AND(C2105&gt;0,Paths!$E$197&gt;(C2105-1)*12,Paths!$E$197&lt;=C2105*12)),Paths!$H$197,0),"n.a."))</f>
        <v>0</v>
      </c>
      <c r="K2105" s="16">
        <f>IF(NOT(Paths!$C$197=1),0,IF(Paths!$P$197="Complete",IF(IF(Paths!$O$197=0,C2105=0,AND(C2105&gt;0,Paths!$O$197&gt;(C2105-1)*12,Paths!$O$197&lt;=C2105*12)),Paths!$N$197,0),"n.a."))</f>
        <v>0</v>
      </c>
      <c r="L2105" s="16">
        <f>IF(NOT(Paths!$C$197=1),0,IF(Paths!$P$197="Complete",IF(C2105=10,Paths!$I$197,0),"n.a."))</f>
        <v>0</v>
      </c>
      <c r="M2105" s="16">
        <f>IF(NOT(Paths!$C$197=1),0,IF(Paths!$P$197="Complete",IF(AND(Paths!$D$197="EV",Paths!$E$197&lt;120,Paths!$E$197+'Operating costs'!$B$65&gt;Paths!$E$197,Paths!$E$197+'Operating costs'!$B$65&lt;=120,IF(Paths!$E$197+'Operating costs'!$B$65=0,C2105=0,AND(C2105&gt;0,Paths!$E$197+'Operating costs'!$B$65&gt;(C2105-1)*12,Paths!$E$197+'Operating costs'!$B$65&lt;=C2105*12))),'Operating costs'!$B$64,0)+IF(AND('Operating costs'!$B$67&gt;0,'Operating costs'!$B$67&lt;=120,OR(Paths!$D$197="ICE",'Operating costs'!$B$67&lt;=Paths!$E$197),IF('Operating costs'!$B$67=0,C2105=0,AND(C2105&gt;0,'Operating costs'!$B$67&gt;(C2105-1)*12,'Operating costs'!$B$67&lt;=C2105*12))),'Operating costs'!$B$66,0),"n.a."))</f>
        <v>0</v>
      </c>
      <c r="N2105" s="16">
        <f>IF(NOT(Paths!$C$197=1),0,IF(Paths!$P$197="Complete",SUM(G2105:I2105)-J2105-K2105-L2105+M2105+IF(C2105=0,Paths!$F$197,0)+IF(IF(Paths!$E$197=0,C2105=0,AND(C2105&gt;0,Paths!$E$197&gt;(C2105-1)*12,Paths!$E$197&lt;=C2105*12)),VLOOKUP(A2105,'Fleet register'!$A$7:$S$106,16,FALSE),0),"n.a."))</f>
        <v>0</v>
      </c>
      <c r="O2105" s="16">
        <f>IF(NOT(Paths!$C$197=1),0,IF(Paths!$P$197="Complete",N2105-IF(C2105=0,Paths!$F$197,0),"n.a."))</f>
        <v>0</v>
      </c>
      <c r="P2105" s="16">
        <f>IF(NOT(Paths!$C$197=1),0,IF(Paths!$P$197="Complete",O2105+L2105,"n.a."))</f>
        <v>0</v>
      </c>
      <c r="Q2105" s="16">
        <f>IF(NOT(Paths!$C$197=1),0,IF(Paths!$P$197="Complete",N2105*(1+'Operating costs'!$B$54)^-C2105,"n.a."))</f>
        <v>0</v>
      </c>
      <c r="R2105" s="16">
        <f>IF(NOT(Paths!$C$197=1),0,IF(Paths!$P$197="Complete",IF(AND(C2105=0,Paths!$E$197=0),I2105-J2105-K2105+VLOOKUP(A2105,'Fleet register'!$A$7:$S$106,15,FALSE)+VLOOKUP(A2105,'Fleet register'!$A$7:$S$106,16,FALSE),0),"n.a."))</f>
        <v>0</v>
      </c>
      <c r="S2105" s="1">
        <f>IF(NOT(Paths!$C$197=1),0,IF(Paths!$P$197="Complete",IF(C2105=0,0,Paths!$S$197*Paths!$R$197),"n.a."))</f>
        <v>0</v>
      </c>
      <c r="T2105" s="1">
        <f>IF(NOT(Paths!$C$197=1),0,IF(Paths!$P$197="Complete",IF(C2105=0,0,VLOOKUP(A2105,'Fleet register'!$A$7:$S$106,9,FALSE)*Paths!$R$197),"n.a."))</f>
        <v>0</v>
      </c>
    </row>
    <row r="2106" spans="1:20" ht="24" customHeight="1">
      <c r="A2106" s="1" t="str">
        <f>Paths!$A$197</f>
        <v>T048</v>
      </c>
      <c r="B2106" s="1">
        <f>Paths!$B$197</f>
        <v>2</v>
      </c>
      <c r="C2106" s="1">
        <v>9</v>
      </c>
      <c r="D2106" s="1">
        <v>197</v>
      </c>
      <c r="E2106" s="1">
        <f>IF(OR(Paths!$C$197=0,C2106=0),0,MAX(0,MIN(C2106*12,Paths!$E$197)-(C2106-1)*12))</f>
        <v>0</v>
      </c>
      <c r="F2106" s="1">
        <f>IF(OR(Paths!$C$197=0,C2106=0),0,12-E2106)</f>
        <v>0</v>
      </c>
      <c r="G2106" s="16">
        <f>IF(NOT(Paths!$C$197=1),0,IF(Paths!$P$197="Complete",E2106/12*(Paths!$J$197*(1+'Operating costs'!$B$51)^MAX(0,C2106-1)+Paths!$K$197*(1+'Operating costs'!$B$53)^MAX(0,C2106-1)),"n.a."))</f>
        <v>0</v>
      </c>
      <c r="H2106" s="16">
        <f>IF(NOT(Paths!$C$197=1),0,IF(Paths!$P$197="Complete",F2106/12*(Paths!$L$197*(1+IF(Paths!$D$197="EV",'Operating costs'!$B$52,'Operating costs'!$B$51))^MAX(0,C2106-1)+Paths!$M$197*(1+'Operating costs'!$B$53)^MAX(0,C2106-1)),"n.a."))</f>
        <v>0</v>
      </c>
      <c r="I2106" s="16">
        <f>IF(NOT(Paths!$C$197=1),0,IF(Paths!$P$197="Complete",IF(IF(Paths!$E$197=0,C2106=0,AND(C2106&gt;0,Paths!$E$197&gt;(C2106-1)*12,Paths!$E$197&lt;=C2106*12)),Paths!$G$197,0),"n.a."))</f>
        <v>0</v>
      </c>
      <c r="J2106" s="16">
        <f>IF(NOT(Paths!$C$197=1),0,IF(Paths!$P$197="Complete",IF(IF(Paths!$E$197=0,C2106=0,AND(C2106&gt;0,Paths!$E$197&gt;(C2106-1)*12,Paths!$E$197&lt;=C2106*12)),Paths!$H$197,0),"n.a."))</f>
        <v>0</v>
      </c>
      <c r="K2106" s="16">
        <f>IF(NOT(Paths!$C$197=1),0,IF(Paths!$P$197="Complete",IF(IF(Paths!$O$197=0,C2106=0,AND(C2106&gt;0,Paths!$O$197&gt;(C2106-1)*12,Paths!$O$197&lt;=C2106*12)),Paths!$N$197,0),"n.a."))</f>
        <v>0</v>
      </c>
      <c r="L2106" s="16">
        <f>IF(NOT(Paths!$C$197=1),0,IF(Paths!$P$197="Complete",IF(C2106=10,Paths!$I$197,0),"n.a."))</f>
        <v>0</v>
      </c>
      <c r="M2106" s="16">
        <f>IF(NOT(Paths!$C$197=1),0,IF(Paths!$P$197="Complete",IF(AND(Paths!$D$197="EV",Paths!$E$197&lt;120,Paths!$E$197+'Operating costs'!$B$65&gt;Paths!$E$197,Paths!$E$197+'Operating costs'!$B$65&lt;=120,IF(Paths!$E$197+'Operating costs'!$B$65=0,C2106=0,AND(C2106&gt;0,Paths!$E$197+'Operating costs'!$B$65&gt;(C2106-1)*12,Paths!$E$197+'Operating costs'!$B$65&lt;=C2106*12))),'Operating costs'!$B$64,0)+IF(AND('Operating costs'!$B$67&gt;0,'Operating costs'!$B$67&lt;=120,OR(Paths!$D$197="ICE",'Operating costs'!$B$67&lt;=Paths!$E$197),IF('Operating costs'!$B$67=0,C2106=0,AND(C2106&gt;0,'Operating costs'!$B$67&gt;(C2106-1)*12,'Operating costs'!$B$67&lt;=C2106*12))),'Operating costs'!$B$66,0),"n.a."))</f>
        <v>0</v>
      </c>
      <c r="N2106" s="16">
        <f>IF(NOT(Paths!$C$197=1),0,IF(Paths!$P$197="Complete",SUM(G2106:I2106)-J2106-K2106-L2106+M2106+IF(C2106=0,Paths!$F$197,0)+IF(IF(Paths!$E$197=0,C2106=0,AND(C2106&gt;0,Paths!$E$197&gt;(C2106-1)*12,Paths!$E$197&lt;=C2106*12)),VLOOKUP(A2106,'Fleet register'!$A$7:$S$106,16,FALSE),0),"n.a."))</f>
        <v>0</v>
      </c>
      <c r="O2106" s="16">
        <f>IF(NOT(Paths!$C$197=1),0,IF(Paths!$P$197="Complete",N2106-IF(C2106=0,Paths!$F$197,0),"n.a."))</f>
        <v>0</v>
      </c>
      <c r="P2106" s="16">
        <f>IF(NOT(Paths!$C$197=1),0,IF(Paths!$P$197="Complete",O2106+L2106,"n.a."))</f>
        <v>0</v>
      </c>
      <c r="Q2106" s="16">
        <f>IF(NOT(Paths!$C$197=1),0,IF(Paths!$P$197="Complete",N2106*(1+'Operating costs'!$B$54)^-C2106,"n.a."))</f>
        <v>0</v>
      </c>
      <c r="R2106" s="16">
        <f>IF(NOT(Paths!$C$197=1),0,IF(Paths!$P$197="Complete",IF(AND(C2106=0,Paths!$E$197=0),I2106-J2106-K2106+VLOOKUP(A2106,'Fleet register'!$A$7:$S$106,15,FALSE)+VLOOKUP(A2106,'Fleet register'!$A$7:$S$106,16,FALSE),0),"n.a."))</f>
        <v>0</v>
      </c>
      <c r="S2106" s="1">
        <f>IF(NOT(Paths!$C$197=1),0,IF(Paths!$P$197="Complete",IF(C2106=0,0,Paths!$S$197*Paths!$R$197),"n.a."))</f>
        <v>0</v>
      </c>
      <c r="T2106" s="1">
        <f>IF(NOT(Paths!$C$197=1),0,IF(Paths!$P$197="Complete",IF(C2106=0,0,VLOOKUP(A2106,'Fleet register'!$A$7:$S$106,9,FALSE)*Paths!$R$197),"n.a."))</f>
        <v>0</v>
      </c>
    </row>
    <row r="2107" spans="1:20" ht="24" customHeight="1">
      <c r="A2107" s="1" t="str">
        <f>Paths!$A$197</f>
        <v>T048</v>
      </c>
      <c r="B2107" s="1">
        <f>Paths!$B$197</f>
        <v>2</v>
      </c>
      <c r="C2107" s="1">
        <v>10</v>
      </c>
      <c r="D2107" s="1">
        <v>197</v>
      </c>
      <c r="E2107" s="1">
        <f>IF(OR(Paths!$C$197=0,C2107=0),0,MAX(0,MIN(C2107*12,Paths!$E$197)-(C2107-1)*12))</f>
        <v>0</v>
      </c>
      <c r="F2107" s="1">
        <f>IF(OR(Paths!$C$197=0,C2107=0),0,12-E2107)</f>
        <v>0</v>
      </c>
      <c r="G2107" s="16">
        <f>IF(NOT(Paths!$C$197=1),0,IF(Paths!$P$197="Complete",E2107/12*(Paths!$J$197*(1+'Operating costs'!$B$51)^MAX(0,C2107-1)+Paths!$K$197*(1+'Operating costs'!$B$53)^MAX(0,C2107-1)),"n.a."))</f>
        <v>0</v>
      </c>
      <c r="H2107" s="16">
        <f>IF(NOT(Paths!$C$197=1),0,IF(Paths!$P$197="Complete",F2107/12*(Paths!$L$197*(1+IF(Paths!$D$197="EV",'Operating costs'!$B$52,'Operating costs'!$B$51))^MAX(0,C2107-1)+Paths!$M$197*(1+'Operating costs'!$B$53)^MAX(0,C2107-1)),"n.a."))</f>
        <v>0</v>
      </c>
      <c r="I2107" s="16">
        <f>IF(NOT(Paths!$C$197=1),0,IF(Paths!$P$197="Complete",IF(IF(Paths!$E$197=0,C2107=0,AND(C2107&gt;0,Paths!$E$197&gt;(C2107-1)*12,Paths!$E$197&lt;=C2107*12)),Paths!$G$197,0),"n.a."))</f>
        <v>0</v>
      </c>
      <c r="J2107" s="16">
        <f>IF(NOT(Paths!$C$197=1),0,IF(Paths!$P$197="Complete",IF(IF(Paths!$E$197=0,C2107=0,AND(C2107&gt;0,Paths!$E$197&gt;(C2107-1)*12,Paths!$E$197&lt;=C2107*12)),Paths!$H$197,0),"n.a."))</f>
        <v>0</v>
      </c>
      <c r="K2107" s="16">
        <f>IF(NOT(Paths!$C$197=1),0,IF(Paths!$P$197="Complete",IF(IF(Paths!$O$197=0,C2107=0,AND(C2107&gt;0,Paths!$O$197&gt;(C2107-1)*12,Paths!$O$197&lt;=C2107*12)),Paths!$N$197,0),"n.a."))</f>
        <v>0</v>
      </c>
      <c r="L2107" s="16">
        <f>IF(NOT(Paths!$C$197=1),0,IF(Paths!$P$197="Complete",IF(C2107=10,Paths!$I$197,0),"n.a."))</f>
        <v>0</v>
      </c>
      <c r="M2107" s="16">
        <f>IF(NOT(Paths!$C$197=1),0,IF(Paths!$P$197="Complete",IF(AND(Paths!$D$197="EV",Paths!$E$197&lt;120,Paths!$E$197+'Operating costs'!$B$65&gt;Paths!$E$197,Paths!$E$197+'Operating costs'!$B$65&lt;=120,IF(Paths!$E$197+'Operating costs'!$B$65=0,C2107=0,AND(C2107&gt;0,Paths!$E$197+'Operating costs'!$B$65&gt;(C2107-1)*12,Paths!$E$197+'Operating costs'!$B$65&lt;=C2107*12))),'Operating costs'!$B$64,0)+IF(AND('Operating costs'!$B$67&gt;0,'Operating costs'!$B$67&lt;=120,OR(Paths!$D$197="ICE",'Operating costs'!$B$67&lt;=Paths!$E$197),IF('Operating costs'!$B$67=0,C2107=0,AND(C2107&gt;0,'Operating costs'!$B$67&gt;(C2107-1)*12,'Operating costs'!$B$67&lt;=C2107*12))),'Operating costs'!$B$66,0),"n.a."))</f>
        <v>0</v>
      </c>
      <c r="N2107" s="16">
        <f>IF(NOT(Paths!$C$197=1),0,IF(Paths!$P$197="Complete",SUM(G2107:I2107)-J2107-K2107-L2107+M2107+IF(C2107=0,Paths!$F$197,0)+IF(IF(Paths!$E$197=0,C2107=0,AND(C2107&gt;0,Paths!$E$197&gt;(C2107-1)*12,Paths!$E$197&lt;=C2107*12)),VLOOKUP(A2107,'Fleet register'!$A$7:$S$106,16,FALSE),0),"n.a."))</f>
        <v>0</v>
      </c>
      <c r="O2107" s="16">
        <f>IF(NOT(Paths!$C$197=1),0,IF(Paths!$P$197="Complete",N2107-IF(C2107=0,Paths!$F$197,0),"n.a."))</f>
        <v>0</v>
      </c>
      <c r="P2107" s="16">
        <f>IF(NOT(Paths!$C$197=1),0,IF(Paths!$P$197="Complete",O2107+L2107,"n.a."))</f>
        <v>0</v>
      </c>
      <c r="Q2107" s="16">
        <f>IF(NOT(Paths!$C$197=1),0,IF(Paths!$P$197="Complete",N2107*(1+'Operating costs'!$B$54)^-C2107,"n.a."))</f>
        <v>0</v>
      </c>
      <c r="R2107" s="16">
        <f>IF(NOT(Paths!$C$197=1),0,IF(Paths!$P$197="Complete",IF(AND(C2107=0,Paths!$E$197=0),I2107-J2107-K2107+VLOOKUP(A2107,'Fleet register'!$A$7:$S$106,15,FALSE)+VLOOKUP(A2107,'Fleet register'!$A$7:$S$106,16,FALSE),0),"n.a."))</f>
        <v>0</v>
      </c>
      <c r="S2107" s="1">
        <f>IF(NOT(Paths!$C$197=1),0,IF(Paths!$P$197="Complete",IF(C2107=0,0,Paths!$S$197*Paths!$R$197),"n.a."))</f>
        <v>0</v>
      </c>
      <c r="T2107" s="1">
        <f>IF(NOT(Paths!$C$197=1),0,IF(Paths!$P$197="Complete",IF(C2107=0,0,VLOOKUP(A2107,'Fleet register'!$A$7:$S$106,9,FALSE)*Paths!$R$197),"n.a."))</f>
        <v>0</v>
      </c>
    </row>
    <row r="2108" spans="1:20" ht="24" customHeight="1">
      <c r="A2108" s="1" t="str">
        <f>Paths!$A$198</f>
        <v>T048</v>
      </c>
      <c r="B2108" s="1">
        <f>Paths!$B$198</f>
        <v>3</v>
      </c>
      <c r="C2108" s="1">
        <v>0</v>
      </c>
      <c r="D2108" s="1">
        <v>198</v>
      </c>
      <c r="E2108" s="1">
        <f>IF(OR(Paths!$C$198=0,C2108=0),0,MAX(0,MIN(C2108*12,Paths!$E$198)-(C2108-1)*12))</f>
        <v>0</v>
      </c>
      <c r="F2108" s="1">
        <f>IF(OR(Paths!$C$198=0,C2108=0),0,12-E2108)</f>
        <v>0</v>
      </c>
      <c r="G2108" s="16">
        <f>IF(NOT(Paths!$C$198=1),0,IF(Paths!$P$198="Complete",E2108/12*(Paths!$J$198*(1+'Operating costs'!$B$51)^MAX(0,C2108-1)+Paths!$K$198*(1+'Operating costs'!$B$53)^MAX(0,C2108-1)),"n.a."))</f>
        <v>0</v>
      </c>
      <c r="H2108" s="16">
        <f>IF(NOT(Paths!$C$198=1),0,IF(Paths!$P$198="Complete",F2108/12*(Paths!$L$198*(1+IF(Paths!$D$198="EV",'Operating costs'!$B$52,'Operating costs'!$B$51))^MAX(0,C2108-1)+Paths!$M$198*(1+'Operating costs'!$B$53)^MAX(0,C2108-1)),"n.a."))</f>
        <v>0</v>
      </c>
      <c r="I2108" s="16">
        <f>IF(NOT(Paths!$C$198=1),0,IF(Paths!$P$198="Complete",IF(IF(Paths!$E$198=0,C2108=0,AND(C2108&gt;0,Paths!$E$198&gt;(C2108-1)*12,Paths!$E$198&lt;=C2108*12)),Paths!$G$198,0),"n.a."))</f>
        <v>0</v>
      </c>
      <c r="J2108" s="16">
        <f>IF(NOT(Paths!$C$198=1),0,IF(Paths!$P$198="Complete",IF(IF(Paths!$E$198=0,C2108=0,AND(C2108&gt;0,Paths!$E$198&gt;(C2108-1)*12,Paths!$E$198&lt;=C2108*12)),Paths!$H$198,0),"n.a."))</f>
        <v>0</v>
      </c>
      <c r="K2108" s="16">
        <f>IF(NOT(Paths!$C$198=1),0,IF(Paths!$P$198="Complete",IF(IF(Paths!$O$198=0,C2108=0,AND(C2108&gt;0,Paths!$O$198&gt;(C2108-1)*12,Paths!$O$198&lt;=C2108*12)),Paths!$N$198,0),"n.a."))</f>
        <v>0</v>
      </c>
      <c r="L2108" s="16">
        <f>IF(NOT(Paths!$C$198=1),0,IF(Paths!$P$198="Complete",IF(C2108=10,Paths!$I$198,0),"n.a."))</f>
        <v>0</v>
      </c>
      <c r="M2108" s="16">
        <f>IF(NOT(Paths!$C$198=1),0,IF(Paths!$P$198="Complete",IF(AND(Paths!$D$198="EV",Paths!$E$198&lt;120,Paths!$E$198+'Operating costs'!$B$65&gt;Paths!$E$198,Paths!$E$198+'Operating costs'!$B$65&lt;=120,IF(Paths!$E$198+'Operating costs'!$B$65=0,C2108=0,AND(C2108&gt;0,Paths!$E$198+'Operating costs'!$B$65&gt;(C2108-1)*12,Paths!$E$198+'Operating costs'!$B$65&lt;=C2108*12))),'Operating costs'!$B$64,0)+IF(AND('Operating costs'!$B$67&gt;0,'Operating costs'!$B$67&lt;=120,OR(Paths!$D$198="ICE",'Operating costs'!$B$67&lt;=Paths!$E$198),IF('Operating costs'!$B$67=0,C2108=0,AND(C2108&gt;0,'Operating costs'!$B$67&gt;(C2108-1)*12,'Operating costs'!$B$67&lt;=C2108*12))),'Operating costs'!$B$66,0),"n.a."))</f>
        <v>0</v>
      </c>
      <c r="N2108" s="16">
        <f>IF(NOT(Paths!$C$198=1),0,IF(Paths!$P$198="Complete",SUM(G2108:I2108)-J2108-K2108-L2108+M2108+IF(C2108=0,Paths!$F$198,0)+IF(IF(Paths!$E$198=0,C2108=0,AND(C2108&gt;0,Paths!$E$198&gt;(C2108-1)*12,Paths!$E$198&lt;=C2108*12)),VLOOKUP(A2108,'Fleet register'!$A$7:$S$106,16,FALSE),0),"n.a."))</f>
        <v>0</v>
      </c>
      <c r="O2108" s="16">
        <f>IF(NOT(Paths!$C$198=1),0,IF(Paths!$P$198="Complete",N2108-IF(C2108=0,Paths!$F$198,0),"n.a."))</f>
        <v>0</v>
      </c>
      <c r="P2108" s="16">
        <f>IF(NOT(Paths!$C$198=1),0,IF(Paths!$P$198="Complete",O2108+L2108,"n.a."))</f>
        <v>0</v>
      </c>
      <c r="Q2108" s="16">
        <f>IF(NOT(Paths!$C$198=1),0,IF(Paths!$P$198="Complete",N2108*(1+'Operating costs'!$B$54)^-C2108,"n.a."))</f>
        <v>0</v>
      </c>
      <c r="R2108" s="16">
        <f>IF(NOT(Paths!$C$198=1),0,IF(Paths!$P$198="Complete",IF(AND(C2108=0,Paths!$E$198=0),I2108-J2108-K2108+VLOOKUP(A2108,'Fleet register'!$A$7:$S$106,15,FALSE)+VLOOKUP(A2108,'Fleet register'!$A$7:$S$106,16,FALSE),0),"n.a."))</f>
        <v>0</v>
      </c>
      <c r="S2108" s="1">
        <f>IF(NOT(Paths!$C$198=1),0,IF(Paths!$P$198="Complete",IF(C2108=0,0,Paths!$S$198*Paths!$R$198),"n.a."))</f>
        <v>0</v>
      </c>
      <c r="T2108" s="1">
        <f>IF(NOT(Paths!$C$198=1),0,IF(Paths!$P$198="Complete",IF(C2108=0,0,VLOOKUP(A2108,'Fleet register'!$A$7:$S$106,9,FALSE)*Paths!$R$198),"n.a."))</f>
        <v>0</v>
      </c>
    </row>
    <row r="2109" spans="1:20" ht="24" customHeight="1">
      <c r="A2109" s="1" t="str">
        <f>Paths!$A$198</f>
        <v>T048</v>
      </c>
      <c r="B2109" s="1">
        <f>Paths!$B$198</f>
        <v>3</v>
      </c>
      <c r="C2109" s="1">
        <v>1</v>
      </c>
      <c r="D2109" s="1">
        <v>198</v>
      </c>
      <c r="E2109" s="1">
        <f>IF(OR(Paths!$C$198=0,C2109=0),0,MAX(0,MIN(C2109*12,Paths!$E$198)-(C2109-1)*12))</f>
        <v>0</v>
      </c>
      <c r="F2109" s="1">
        <f>IF(OR(Paths!$C$198=0,C2109=0),0,12-E2109)</f>
        <v>0</v>
      </c>
      <c r="G2109" s="16">
        <f>IF(NOT(Paths!$C$198=1),0,IF(Paths!$P$198="Complete",E2109/12*(Paths!$J$198*(1+'Operating costs'!$B$51)^MAX(0,C2109-1)+Paths!$K$198*(1+'Operating costs'!$B$53)^MAX(0,C2109-1)),"n.a."))</f>
        <v>0</v>
      </c>
      <c r="H2109" s="16">
        <f>IF(NOT(Paths!$C$198=1),0,IF(Paths!$P$198="Complete",F2109/12*(Paths!$L$198*(1+IF(Paths!$D$198="EV",'Operating costs'!$B$52,'Operating costs'!$B$51))^MAX(0,C2109-1)+Paths!$M$198*(1+'Operating costs'!$B$53)^MAX(0,C2109-1)),"n.a."))</f>
        <v>0</v>
      </c>
      <c r="I2109" s="16">
        <f>IF(NOT(Paths!$C$198=1),0,IF(Paths!$P$198="Complete",IF(IF(Paths!$E$198=0,C2109=0,AND(C2109&gt;0,Paths!$E$198&gt;(C2109-1)*12,Paths!$E$198&lt;=C2109*12)),Paths!$G$198,0),"n.a."))</f>
        <v>0</v>
      </c>
      <c r="J2109" s="16">
        <f>IF(NOT(Paths!$C$198=1),0,IF(Paths!$P$198="Complete",IF(IF(Paths!$E$198=0,C2109=0,AND(C2109&gt;0,Paths!$E$198&gt;(C2109-1)*12,Paths!$E$198&lt;=C2109*12)),Paths!$H$198,0),"n.a."))</f>
        <v>0</v>
      </c>
      <c r="K2109" s="16">
        <f>IF(NOT(Paths!$C$198=1),0,IF(Paths!$P$198="Complete",IF(IF(Paths!$O$198=0,C2109=0,AND(C2109&gt;0,Paths!$O$198&gt;(C2109-1)*12,Paths!$O$198&lt;=C2109*12)),Paths!$N$198,0),"n.a."))</f>
        <v>0</v>
      </c>
      <c r="L2109" s="16">
        <f>IF(NOT(Paths!$C$198=1),0,IF(Paths!$P$198="Complete",IF(C2109=10,Paths!$I$198,0),"n.a."))</f>
        <v>0</v>
      </c>
      <c r="M2109" s="16">
        <f>IF(NOT(Paths!$C$198=1),0,IF(Paths!$P$198="Complete",IF(AND(Paths!$D$198="EV",Paths!$E$198&lt;120,Paths!$E$198+'Operating costs'!$B$65&gt;Paths!$E$198,Paths!$E$198+'Operating costs'!$B$65&lt;=120,IF(Paths!$E$198+'Operating costs'!$B$65=0,C2109=0,AND(C2109&gt;0,Paths!$E$198+'Operating costs'!$B$65&gt;(C2109-1)*12,Paths!$E$198+'Operating costs'!$B$65&lt;=C2109*12))),'Operating costs'!$B$64,0)+IF(AND('Operating costs'!$B$67&gt;0,'Operating costs'!$B$67&lt;=120,OR(Paths!$D$198="ICE",'Operating costs'!$B$67&lt;=Paths!$E$198),IF('Operating costs'!$B$67=0,C2109=0,AND(C2109&gt;0,'Operating costs'!$B$67&gt;(C2109-1)*12,'Operating costs'!$B$67&lt;=C2109*12))),'Operating costs'!$B$66,0),"n.a."))</f>
        <v>0</v>
      </c>
      <c r="N2109" s="16">
        <f>IF(NOT(Paths!$C$198=1),0,IF(Paths!$P$198="Complete",SUM(G2109:I2109)-J2109-K2109-L2109+M2109+IF(C2109=0,Paths!$F$198,0)+IF(IF(Paths!$E$198=0,C2109=0,AND(C2109&gt;0,Paths!$E$198&gt;(C2109-1)*12,Paths!$E$198&lt;=C2109*12)),VLOOKUP(A2109,'Fleet register'!$A$7:$S$106,16,FALSE),0),"n.a."))</f>
        <v>0</v>
      </c>
      <c r="O2109" s="16">
        <f>IF(NOT(Paths!$C$198=1),0,IF(Paths!$P$198="Complete",N2109-IF(C2109=0,Paths!$F$198,0),"n.a."))</f>
        <v>0</v>
      </c>
      <c r="P2109" s="16">
        <f>IF(NOT(Paths!$C$198=1),0,IF(Paths!$P$198="Complete",O2109+L2109,"n.a."))</f>
        <v>0</v>
      </c>
      <c r="Q2109" s="16">
        <f>IF(NOT(Paths!$C$198=1),0,IF(Paths!$P$198="Complete",N2109*(1+'Operating costs'!$B$54)^-C2109,"n.a."))</f>
        <v>0</v>
      </c>
      <c r="R2109" s="16">
        <f>IF(NOT(Paths!$C$198=1),0,IF(Paths!$P$198="Complete",IF(AND(C2109=0,Paths!$E$198=0),I2109-J2109-K2109+VLOOKUP(A2109,'Fleet register'!$A$7:$S$106,15,FALSE)+VLOOKUP(A2109,'Fleet register'!$A$7:$S$106,16,FALSE),0),"n.a."))</f>
        <v>0</v>
      </c>
      <c r="S2109" s="1">
        <f>IF(NOT(Paths!$C$198=1),0,IF(Paths!$P$198="Complete",IF(C2109=0,0,Paths!$S$198*Paths!$R$198),"n.a."))</f>
        <v>0</v>
      </c>
      <c r="T2109" s="1">
        <f>IF(NOT(Paths!$C$198=1),0,IF(Paths!$P$198="Complete",IF(C2109=0,0,VLOOKUP(A2109,'Fleet register'!$A$7:$S$106,9,FALSE)*Paths!$R$198),"n.a."))</f>
        <v>0</v>
      </c>
    </row>
    <row r="2110" spans="1:20" ht="24" customHeight="1">
      <c r="A2110" s="1" t="str">
        <f>Paths!$A$198</f>
        <v>T048</v>
      </c>
      <c r="B2110" s="1">
        <f>Paths!$B$198</f>
        <v>3</v>
      </c>
      <c r="C2110" s="1">
        <v>2</v>
      </c>
      <c r="D2110" s="1">
        <v>198</v>
      </c>
      <c r="E2110" s="1">
        <f>IF(OR(Paths!$C$198=0,C2110=0),0,MAX(0,MIN(C2110*12,Paths!$E$198)-(C2110-1)*12))</f>
        <v>0</v>
      </c>
      <c r="F2110" s="1">
        <f>IF(OR(Paths!$C$198=0,C2110=0),0,12-E2110)</f>
        <v>0</v>
      </c>
      <c r="G2110" s="16">
        <f>IF(NOT(Paths!$C$198=1),0,IF(Paths!$P$198="Complete",E2110/12*(Paths!$J$198*(1+'Operating costs'!$B$51)^MAX(0,C2110-1)+Paths!$K$198*(1+'Operating costs'!$B$53)^MAX(0,C2110-1)),"n.a."))</f>
        <v>0</v>
      </c>
      <c r="H2110" s="16">
        <f>IF(NOT(Paths!$C$198=1),0,IF(Paths!$P$198="Complete",F2110/12*(Paths!$L$198*(1+IF(Paths!$D$198="EV",'Operating costs'!$B$52,'Operating costs'!$B$51))^MAX(0,C2110-1)+Paths!$M$198*(1+'Operating costs'!$B$53)^MAX(0,C2110-1)),"n.a."))</f>
        <v>0</v>
      </c>
      <c r="I2110" s="16">
        <f>IF(NOT(Paths!$C$198=1),0,IF(Paths!$P$198="Complete",IF(IF(Paths!$E$198=0,C2110=0,AND(C2110&gt;0,Paths!$E$198&gt;(C2110-1)*12,Paths!$E$198&lt;=C2110*12)),Paths!$G$198,0),"n.a."))</f>
        <v>0</v>
      </c>
      <c r="J2110" s="16">
        <f>IF(NOT(Paths!$C$198=1),0,IF(Paths!$P$198="Complete",IF(IF(Paths!$E$198=0,C2110=0,AND(C2110&gt;0,Paths!$E$198&gt;(C2110-1)*12,Paths!$E$198&lt;=C2110*12)),Paths!$H$198,0),"n.a."))</f>
        <v>0</v>
      </c>
      <c r="K2110" s="16">
        <f>IF(NOT(Paths!$C$198=1),0,IF(Paths!$P$198="Complete",IF(IF(Paths!$O$198=0,C2110=0,AND(C2110&gt;0,Paths!$O$198&gt;(C2110-1)*12,Paths!$O$198&lt;=C2110*12)),Paths!$N$198,0),"n.a."))</f>
        <v>0</v>
      </c>
      <c r="L2110" s="16">
        <f>IF(NOT(Paths!$C$198=1),0,IF(Paths!$P$198="Complete",IF(C2110=10,Paths!$I$198,0),"n.a."))</f>
        <v>0</v>
      </c>
      <c r="M2110" s="16">
        <f>IF(NOT(Paths!$C$198=1),0,IF(Paths!$P$198="Complete",IF(AND(Paths!$D$198="EV",Paths!$E$198&lt;120,Paths!$E$198+'Operating costs'!$B$65&gt;Paths!$E$198,Paths!$E$198+'Operating costs'!$B$65&lt;=120,IF(Paths!$E$198+'Operating costs'!$B$65=0,C2110=0,AND(C2110&gt;0,Paths!$E$198+'Operating costs'!$B$65&gt;(C2110-1)*12,Paths!$E$198+'Operating costs'!$B$65&lt;=C2110*12))),'Operating costs'!$B$64,0)+IF(AND('Operating costs'!$B$67&gt;0,'Operating costs'!$B$67&lt;=120,OR(Paths!$D$198="ICE",'Operating costs'!$B$67&lt;=Paths!$E$198),IF('Operating costs'!$B$67=0,C2110=0,AND(C2110&gt;0,'Operating costs'!$B$67&gt;(C2110-1)*12,'Operating costs'!$B$67&lt;=C2110*12))),'Operating costs'!$B$66,0),"n.a."))</f>
        <v>0</v>
      </c>
      <c r="N2110" s="16">
        <f>IF(NOT(Paths!$C$198=1),0,IF(Paths!$P$198="Complete",SUM(G2110:I2110)-J2110-K2110-L2110+M2110+IF(C2110=0,Paths!$F$198,0)+IF(IF(Paths!$E$198=0,C2110=0,AND(C2110&gt;0,Paths!$E$198&gt;(C2110-1)*12,Paths!$E$198&lt;=C2110*12)),VLOOKUP(A2110,'Fleet register'!$A$7:$S$106,16,FALSE),0),"n.a."))</f>
        <v>0</v>
      </c>
      <c r="O2110" s="16">
        <f>IF(NOT(Paths!$C$198=1),0,IF(Paths!$P$198="Complete",N2110-IF(C2110=0,Paths!$F$198,0),"n.a."))</f>
        <v>0</v>
      </c>
      <c r="P2110" s="16">
        <f>IF(NOT(Paths!$C$198=1),0,IF(Paths!$P$198="Complete",O2110+L2110,"n.a."))</f>
        <v>0</v>
      </c>
      <c r="Q2110" s="16">
        <f>IF(NOT(Paths!$C$198=1),0,IF(Paths!$P$198="Complete",N2110*(1+'Operating costs'!$B$54)^-C2110,"n.a."))</f>
        <v>0</v>
      </c>
      <c r="R2110" s="16">
        <f>IF(NOT(Paths!$C$198=1),0,IF(Paths!$P$198="Complete",IF(AND(C2110=0,Paths!$E$198=0),I2110-J2110-K2110+VLOOKUP(A2110,'Fleet register'!$A$7:$S$106,15,FALSE)+VLOOKUP(A2110,'Fleet register'!$A$7:$S$106,16,FALSE),0),"n.a."))</f>
        <v>0</v>
      </c>
      <c r="S2110" s="1">
        <f>IF(NOT(Paths!$C$198=1),0,IF(Paths!$P$198="Complete",IF(C2110=0,0,Paths!$S$198*Paths!$R$198),"n.a."))</f>
        <v>0</v>
      </c>
      <c r="T2110" s="1">
        <f>IF(NOT(Paths!$C$198=1),0,IF(Paths!$P$198="Complete",IF(C2110=0,0,VLOOKUP(A2110,'Fleet register'!$A$7:$S$106,9,FALSE)*Paths!$R$198),"n.a."))</f>
        <v>0</v>
      </c>
    </row>
    <row r="2111" spans="1:20" ht="24" customHeight="1">
      <c r="A2111" s="1" t="str">
        <f>Paths!$A$198</f>
        <v>T048</v>
      </c>
      <c r="B2111" s="1">
        <f>Paths!$B$198</f>
        <v>3</v>
      </c>
      <c r="C2111" s="1">
        <v>3</v>
      </c>
      <c r="D2111" s="1">
        <v>198</v>
      </c>
      <c r="E2111" s="1">
        <f>IF(OR(Paths!$C$198=0,C2111=0),0,MAX(0,MIN(C2111*12,Paths!$E$198)-(C2111-1)*12))</f>
        <v>0</v>
      </c>
      <c r="F2111" s="1">
        <f>IF(OR(Paths!$C$198=0,C2111=0),0,12-E2111)</f>
        <v>0</v>
      </c>
      <c r="G2111" s="16">
        <f>IF(NOT(Paths!$C$198=1),0,IF(Paths!$P$198="Complete",E2111/12*(Paths!$J$198*(1+'Operating costs'!$B$51)^MAX(0,C2111-1)+Paths!$K$198*(1+'Operating costs'!$B$53)^MAX(0,C2111-1)),"n.a."))</f>
        <v>0</v>
      </c>
      <c r="H2111" s="16">
        <f>IF(NOT(Paths!$C$198=1),0,IF(Paths!$P$198="Complete",F2111/12*(Paths!$L$198*(1+IF(Paths!$D$198="EV",'Operating costs'!$B$52,'Operating costs'!$B$51))^MAX(0,C2111-1)+Paths!$M$198*(1+'Operating costs'!$B$53)^MAX(0,C2111-1)),"n.a."))</f>
        <v>0</v>
      </c>
      <c r="I2111" s="16">
        <f>IF(NOT(Paths!$C$198=1),0,IF(Paths!$P$198="Complete",IF(IF(Paths!$E$198=0,C2111=0,AND(C2111&gt;0,Paths!$E$198&gt;(C2111-1)*12,Paths!$E$198&lt;=C2111*12)),Paths!$G$198,0),"n.a."))</f>
        <v>0</v>
      </c>
      <c r="J2111" s="16">
        <f>IF(NOT(Paths!$C$198=1),0,IF(Paths!$P$198="Complete",IF(IF(Paths!$E$198=0,C2111=0,AND(C2111&gt;0,Paths!$E$198&gt;(C2111-1)*12,Paths!$E$198&lt;=C2111*12)),Paths!$H$198,0),"n.a."))</f>
        <v>0</v>
      </c>
      <c r="K2111" s="16">
        <f>IF(NOT(Paths!$C$198=1),0,IF(Paths!$P$198="Complete",IF(IF(Paths!$O$198=0,C2111=0,AND(C2111&gt;0,Paths!$O$198&gt;(C2111-1)*12,Paths!$O$198&lt;=C2111*12)),Paths!$N$198,0),"n.a."))</f>
        <v>0</v>
      </c>
      <c r="L2111" s="16">
        <f>IF(NOT(Paths!$C$198=1),0,IF(Paths!$P$198="Complete",IF(C2111=10,Paths!$I$198,0),"n.a."))</f>
        <v>0</v>
      </c>
      <c r="M2111" s="16">
        <f>IF(NOT(Paths!$C$198=1),0,IF(Paths!$P$198="Complete",IF(AND(Paths!$D$198="EV",Paths!$E$198&lt;120,Paths!$E$198+'Operating costs'!$B$65&gt;Paths!$E$198,Paths!$E$198+'Operating costs'!$B$65&lt;=120,IF(Paths!$E$198+'Operating costs'!$B$65=0,C2111=0,AND(C2111&gt;0,Paths!$E$198+'Operating costs'!$B$65&gt;(C2111-1)*12,Paths!$E$198+'Operating costs'!$B$65&lt;=C2111*12))),'Operating costs'!$B$64,0)+IF(AND('Operating costs'!$B$67&gt;0,'Operating costs'!$B$67&lt;=120,OR(Paths!$D$198="ICE",'Operating costs'!$B$67&lt;=Paths!$E$198),IF('Operating costs'!$B$67=0,C2111=0,AND(C2111&gt;0,'Operating costs'!$B$67&gt;(C2111-1)*12,'Operating costs'!$B$67&lt;=C2111*12))),'Operating costs'!$B$66,0),"n.a."))</f>
        <v>0</v>
      </c>
      <c r="N2111" s="16">
        <f>IF(NOT(Paths!$C$198=1),0,IF(Paths!$P$198="Complete",SUM(G2111:I2111)-J2111-K2111-L2111+M2111+IF(C2111=0,Paths!$F$198,0)+IF(IF(Paths!$E$198=0,C2111=0,AND(C2111&gt;0,Paths!$E$198&gt;(C2111-1)*12,Paths!$E$198&lt;=C2111*12)),VLOOKUP(A2111,'Fleet register'!$A$7:$S$106,16,FALSE),0),"n.a."))</f>
        <v>0</v>
      </c>
      <c r="O2111" s="16">
        <f>IF(NOT(Paths!$C$198=1),0,IF(Paths!$P$198="Complete",N2111-IF(C2111=0,Paths!$F$198,0),"n.a."))</f>
        <v>0</v>
      </c>
      <c r="P2111" s="16">
        <f>IF(NOT(Paths!$C$198=1),0,IF(Paths!$P$198="Complete",O2111+L2111,"n.a."))</f>
        <v>0</v>
      </c>
      <c r="Q2111" s="16">
        <f>IF(NOT(Paths!$C$198=1),0,IF(Paths!$P$198="Complete",N2111*(1+'Operating costs'!$B$54)^-C2111,"n.a."))</f>
        <v>0</v>
      </c>
      <c r="R2111" s="16">
        <f>IF(NOT(Paths!$C$198=1),0,IF(Paths!$P$198="Complete",IF(AND(C2111=0,Paths!$E$198=0),I2111-J2111-K2111+VLOOKUP(A2111,'Fleet register'!$A$7:$S$106,15,FALSE)+VLOOKUP(A2111,'Fleet register'!$A$7:$S$106,16,FALSE),0),"n.a."))</f>
        <v>0</v>
      </c>
      <c r="S2111" s="1">
        <f>IF(NOT(Paths!$C$198=1),0,IF(Paths!$P$198="Complete",IF(C2111=0,0,Paths!$S$198*Paths!$R$198),"n.a."))</f>
        <v>0</v>
      </c>
      <c r="T2111" s="1">
        <f>IF(NOT(Paths!$C$198=1),0,IF(Paths!$P$198="Complete",IF(C2111=0,0,VLOOKUP(A2111,'Fleet register'!$A$7:$S$106,9,FALSE)*Paths!$R$198),"n.a."))</f>
        <v>0</v>
      </c>
    </row>
    <row r="2112" spans="1:20" ht="24" customHeight="1">
      <c r="A2112" s="1" t="str">
        <f>Paths!$A$198</f>
        <v>T048</v>
      </c>
      <c r="B2112" s="1">
        <f>Paths!$B$198</f>
        <v>3</v>
      </c>
      <c r="C2112" s="1">
        <v>4</v>
      </c>
      <c r="D2112" s="1">
        <v>198</v>
      </c>
      <c r="E2112" s="1">
        <f>IF(OR(Paths!$C$198=0,C2112=0),0,MAX(0,MIN(C2112*12,Paths!$E$198)-(C2112-1)*12))</f>
        <v>0</v>
      </c>
      <c r="F2112" s="1">
        <f>IF(OR(Paths!$C$198=0,C2112=0),0,12-E2112)</f>
        <v>0</v>
      </c>
      <c r="G2112" s="16">
        <f>IF(NOT(Paths!$C$198=1),0,IF(Paths!$P$198="Complete",E2112/12*(Paths!$J$198*(1+'Operating costs'!$B$51)^MAX(0,C2112-1)+Paths!$K$198*(1+'Operating costs'!$B$53)^MAX(0,C2112-1)),"n.a."))</f>
        <v>0</v>
      </c>
      <c r="H2112" s="16">
        <f>IF(NOT(Paths!$C$198=1),0,IF(Paths!$P$198="Complete",F2112/12*(Paths!$L$198*(1+IF(Paths!$D$198="EV",'Operating costs'!$B$52,'Operating costs'!$B$51))^MAX(0,C2112-1)+Paths!$M$198*(1+'Operating costs'!$B$53)^MAX(0,C2112-1)),"n.a."))</f>
        <v>0</v>
      </c>
      <c r="I2112" s="16">
        <f>IF(NOT(Paths!$C$198=1),0,IF(Paths!$P$198="Complete",IF(IF(Paths!$E$198=0,C2112=0,AND(C2112&gt;0,Paths!$E$198&gt;(C2112-1)*12,Paths!$E$198&lt;=C2112*12)),Paths!$G$198,0),"n.a."))</f>
        <v>0</v>
      </c>
      <c r="J2112" s="16">
        <f>IF(NOT(Paths!$C$198=1),0,IF(Paths!$P$198="Complete",IF(IF(Paths!$E$198=0,C2112=0,AND(C2112&gt;0,Paths!$E$198&gt;(C2112-1)*12,Paths!$E$198&lt;=C2112*12)),Paths!$H$198,0),"n.a."))</f>
        <v>0</v>
      </c>
      <c r="K2112" s="16">
        <f>IF(NOT(Paths!$C$198=1),0,IF(Paths!$P$198="Complete",IF(IF(Paths!$O$198=0,C2112=0,AND(C2112&gt;0,Paths!$O$198&gt;(C2112-1)*12,Paths!$O$198&lt;=C2112*12)),Paths!$N$198,0),"n.a."))</f>
        <v>0</v>
      </c>
      <c r="L2112" s="16">
        <f>IF(NOT(Paths!$C$198=1),0,IF(Paths!$P$198="Complete",IF(C2112=10,Paths!$I$198,0),"n.a."))</f>
        <v>0</v>
      </c>
      <c r="M2112" s="16">
        <f>IF(NOT(Paths!$C$198=1),0,IF(Paths!$P$198="Complete",IF(AND(Paths!$D$198="EV",Paths!$E$198&lt;120,Paths!$E$198+'Operating costs'!$B$65&gt;Paths!$E$198,Paths!$E$198+'Operating costs'!$B$65&lt;=120,IF(Paths!$E$198+'Operating costs'!$B$65=0,C2112=0,AND(C2112&gt;0,Paths!$E$198+'Operating costs'!$B$65&gt;(C2112-1)*12,Paths!$E$198+'Operating costs'!$B$65&lt;=C2112*12))),'Operating costs'!$B$64,0)+IF(AND('Operating costs'!$B$67&gt;0,'Operating costs'!$B$67&lt;=120,OR(Paths!$D$198="ICE",'Operating costs'!$B$67&lt;=Paths!$E$198),IF('Operating costs'!$B$67=0,C2112=0,AND(C2112&gt;0,'Operating costs'!$B$67&gt;(C2112-1)*12,'Operating costs'!$B$67&lt;=C2112*12))),'Operating costs'!$B$66,0),"n.a."))</f>
        <v>0</v>
      </c>
      <c r="N2112" s="16">
        <f>IF(NOT(Paths!$C$198=1),0,IF(Paths!$P$198="Complete",SUM(G2112:I2112)-J2112-K2112-L2112+M2112+IF(C2112=0,Paths!$F$198,0)+IF(IF(Paths!$E$198=0,C2112=0,AND(C2112&gt;0,Paths!$E$198&gt;(C2112-1)*12,Paths!$E$198&lt;=C2112*12)),VLOOKUP(A2112,'Fleet register'!$A$7:$S$106,16,FALSE),0),"n.a."))</f>
        <v>0</v>
      </c>
      <c r="O2112" s="16">
        <f>IF(NOT(Paths!$C$198=1),0,IF(Paths!$P$198="Complete",N2112-IF(C2112=0,Paths!$F$198,0),"n.a."))</f>
        <v>0</v>
      </c>
      <c r="P2112" s="16">
        <f>IF(NOT(Paths!$C$198=1),0,IF(Paths!$P$198="Complete",O2112+L2112,"n.a."))</f>
        <v>0</v>
      </c>
      <c r="Q2112" s="16">
        <f>IF(NOT(Paths!$C$198=1),0,IF(Paths!$P$198="Complete",N2112*(1+'Operating costs'!$B$54)^-C2112,"n.a."))</f>
        <v>0</v>
      </c>
      <c r="R2112" s="16">
        <f>IF(NOT(Paths!$C$198=1),0,IF(Paths!$P$198="Complete",IF(AND(C2112=0,Paths!$E$198=0),I2112-J2112-K2112+VLOOKUP(A2112,'Fleet register'!$A$7:$S$106,15,FALSE)+VLOOKUP(A2112,'Fleet register'!$A$7:$S$106,16,FALSE),0),"n.a."))</f>
        <v>0</v>
      </c>
      <c r="S2112" s="1">
        <f>IF(NOT(Paths!$C$198=1),0,IF(Paths!$P$198="Complete",IF(C2112=0,0,Paths!$S$198*Paths!$R$198),"n.a."))</f>
        <v>0</v>
      </c>
      <c r="T2112" s="1">
        <f>IF(NOT(Paths!$C$198=1),0,IF(Paths!$P$198="Complete",IF(C2112=0,0,VLOOKUP(A2112,'Fleet register'!$A$7:$S$106,9,FALSE)*Paths!$R$198),"n.a."))</f>
        <v>0</v>
      </c>
    </row>
    <row r="2113" spans="1:20" ht="24" customHeight="1">
      <c r="A2113" s="1" t="str">
        <f>Paths!$A$198</f>
        <v>T048</v>
      </c>
      <c r="B2113" s="1">
        <f>Paths!$B$198</f>
        <v>3</v>
      </c>
      <c r="C2113" s="1">
        <v>5</v>
      </c>
      <c r="D2113" s="1">
        <v>198</v>
      </c>
      <c r="E2113" s="1">
        <f>IF(OR(Paths!$C$198=0,C2113=0),0,MAX(0,MIN(C2113*12,Paths!$E$198)-(C2113-1)*12))</f>
        <v>0</v>
      </c>
      <c r="F2113" s="1">
        <f>IF(OR(Paths!$C$198=0,C2113=0),0,12-E2113)</f>
        <v>0</v>
      </c>
      <c r="G2113" s="16">
        <f>IF(NOT(Paths!$C$198=1),0,IF(Paths!$P$198="Complete",E2113/12*(Paths!$J$198*(1+'Operating costs'!$B$51)^MAX(0,C2113-1)+Paths!$K$198*(1+'Operating costs'!$B$53)^MAX(0,C2113-1)),"n.a."))</f>
        <v>0</v>
      </c>
      <c r="H2113" s="16">
        <f>IF(NOT(Paths!$C$198=1),0,IF(Paths!$P$198="Complete",F2113/12*(Paths!$L$198*(1+IF(Paths!$D$198="EV",'Operating costs'!$B$52,'Operating costs'!$B$51))^MAX(0,C2113-1)+Paths!$M$198*(1+'Operating costs'!$B$53)^MAX(0,C2113-1)),"n.a."))</f>
        <v>0</v>
      </c>
      <c r="I2113" s="16">
        <f>IF(NOT(Paths!$C$198=1),0,IF(Paths!$P$198="Complete",IF(IF(Paths!$E$198=0,C2113=0,AND(C2113&gt;0,Paths!$E$198&gt;(C2113-1)*12,Paths!$E$198&lt;=C2113*12)),Paths!$G$198,0),"n.a."))</f>
        <v>0</v>
      </c>
      <c r="J2113" s="16">
        <f>IF(NOT(Paths!$C$198=1),0,IF(Paths!$P$198="Complete",IF(IF(Paths!$E$198=0,C2113=0,AND(C2113&gt;0,Paths!$E$198&gt;(C2113-1)*12,Paths!$E$198&lt;=C2113*12)),Paths!$H$198,0),"n.a."))</f>
        <v>0</v>
      </c>
      <c r="K2113" s="16">
        <f>IF(NOT(Paths!$C$198=1),0,IF(Paths!$P$198="Complete",IF(IF(Paths!$O$198=0,C2113=0,AND(C2113&gt;0,Paths!$O$198&gt;(C2113-1)*12,Paths!$O$198&lt;=C2113*12)),Paths!$N$198,0),"n.a."))</f>
        <v>0</v>
      </c>
      <c r="L2113" s="16">
        <f>IF(NOT(Paths!$C$198=1),0,IF(Paths!$P$198="Complete",IF(C2113=10,Paths!$I$198,0),"n.a."))</f>
        <v>0</v>
      </c>
      <c r="M2113" s="16">
        <f>IF(NOT(Paths!$C$198=1),0,IF(Paths!$P$198="Complete",IF(AND(Paths!$D$198="EV",Paths!$E$198&lt;120,Paths!$E$198+'Operating costs'!$B$65&gt;Paths!$E$198,Paths!$E$198+'Operating costs'!$B$65&lt;=120,IF(Paths!$E$198+'Operating costs'!$B$65=0,C2113=0,AND(C2113&gt;0,Paths!$E$198+'Operating costs'!$B$65&gt;(C2113-1)*12,Paths!$E$198+'Operating costs'!$B$65&lt;=C2113*12))),'Operating costs'!$B$64,0)+IF(AND('Operating costs'!$B$67&gt;0,'Operating costs'!$B$67&lt;=120,OR(Paths!$D$198="ICE",'Operating costs'!$B$67&lt;=Paths!$E$198),IF('Operating costs'!$B$67=0,C2113=0,AND(C2113&gt;0,'Operating costs'!$B$67&gt;(C2113-1)*12,'Operating costs'!$B$67&lt;=C2113*12))),'Operating costs'!$B$66,0),"n.a."))</f>
        <v>0</v>
      </c>
      <c r="N2113" s="16">
        <f>IF(NOT(Paths!$C$198=1),0,IF(Paths!$P$198="Complete",SUM(G2113:I2113)-J2113-K2113-L2113+M2113+IF(C2113=0,Paths!$F$198,0)+IF(IF(Paths!$E$198=0,C2113=0,AND(C2113&gt;0,Paths!$E$198&gt;(C2113-1)*12,Paths!$E$198&lt;=C2113*12)),VLOOKUP(A2113,'Fleet register'!$A$7:$S$106,16,FALSE),0),"n.a."))</f>
        <v>0</v>
      </c>
      <c r="O2113" s="16">
        <f>IF(NOT(Paths!$C$198=1),0,IF(Paths!$P$198="Complete",N2113-IF(C2113=0,Paths!$F$198,0),"n.a."))</f>
        <v>0</v>
      </c>
      <c r="P2113" s="16">
        <f>IF(NOT(Paths!$C$198=1),0,IF(Paths!$P$198="Complete",O2113+L2113,"n.a."))</f>
        <v>0</v>
      </c>
      <c r="Q2113" s="16">
        <f>IF(NOT(Paths!$C$198=1),0,IF(Paths!$P$198="Complete",N2113*(1+'Operating costs'!$B$54)^-C2113,"n.a."))</f>
        <v>0</v>
      </c>
      <c r="R2113" s="16">
        <f>IF(NOT(Paths!$C$198=1),0,IF(Paths!$P$198="Complete",IF(AND(C2113=0,Paths!$E$198=0),I2113-J2113-K2113+VLOOKUP(A2113,'Fleet register'!$A$7:$S$106,15,FALSE)+VLOOKUP(A2113,'Fleet register'!$A$7:$S$106,16,FALSE),0),"n.a."))</f>
        <v>0</v>
      </c>
      <c r="S2113" s="1">
        <f>IF(NOT(Paths!$C$198=1),0,IF(Paths!$P$198="Complete",IF(C2113=0,0,Paths!$S$198*Paths!$R$198),"n.a."))</f>
        <v>0</v>
      </c>
      <c r="T2113" s="1">
        <f>IF(NOT(Paths!$C$198=1),0,IF(Paths!$P$198="Complete",IF(C2113=0,0,VLOOKUP(A2113,'Fleet register'!$A$7:$S$106,9,FALSE)*Paths!$R$198),"n.a."))</f>
        <v>0</v>
      </c>
    </row>
    <row r="2114" spans="1:20" ht="24" customHeight="1">
      <c r="A2114" s="1" t="str">
        <f>Paths!$A$198</f>
        <v>T048</v>
      </c>
      <c r="B2114" s="1">
        <f>Paths!$B$198</f>
        <v>3</v>
      </c>
      <c r="C2114" s="1">
        <v>6</v>
      </c>
      <c r="D2114" s="1">
        <v>198</v>
      </c>
      <c r="E2114" s="1">
        <f>IF(OR(Paths!$C$198=0,C2114=0),0,MAX(0,MIN(C2114*12,Paths!$E$198)-(C2114-1)*12))</f>
        <v>0</v>
      </c>
      <c r="F2114" s="1">
        <f>IF(OR(Paths!$C$198=0,C2114=0),0,12-E2114)</f>
        <v>0</v>
      </c>
      <c r="G2114" s="16">
        <f>IF(NOT(Paths!$C$198=1),0,IF(Paths!$P$198="Complete",E2114/12*(Paths!$J$198*(1+'Operating costs'!$B$51)^MAX(0,C2114-1)+Paths!$K$198*(1+'Operating costs'!$B$53)^MAX(0,C2114-1)),"n.a."))</f>
        <v>0</v>
      </c>
      <c r="H2114" s="16">
        <f>IF(NOT(Paths!$C$198=1),0,IF(Paths!$P$198="Complete",F2114/12*(Paths!$L$198*(1+IF(Paths!$D$198="EV",'Operating costs'!$B$52,'Operating costs'!$B$51))^MAX(0,C2114-1)+Paths!$M$198*(1+'Operating costs'!$B$53)^MAX(0,C2114-1)),"n.a."))</f>
        <v>0</v>
      </c>
      <c r="I2114" s="16">
        <f>IF(NOT(Paths!$C$198=1),0,IF(Paths!$P$198="Complete",IF(IF(Paths!$E$198=0,C2114=0,AND(C2114&gt;0,Paths!$E$198&gt;(C2114-1)*12,Paths!$E$198&lt;=C2114*12)),Paths!$G$198,0),"n.a."))</f>
        <v>0</v>
      </c>
      <c r="J2114" s="16">
        <f>IF(NOT(Paths!$C$198=1),0,IF(Paths!$P$198="Complete",IF(IF(Paths!$E$198=0,C2114=0,AND(C2114&gt;0,Paths!$E$198&gt;(C2114-1)*12,Paths!$E$198&lt;=C2114*12)),Paths!$H$198,0),"n.a."))</f>
        <v>0</v>
      </c>
      <c r="K2114" s="16">
        <f>IF(NOT(Paths!$C$198=1),0,IF(Paths!$P$198="Complete",IF(IF(Paths!$O$198=0,C2114=0,AND(C2114&gt;0,Paths!$O$198&gt;(C2114-1)*12,Paths!$O$198&lt;=C2114*12)),Paths!$N$198,0),"n.a."))</f>
        <v>0</v>
      </c>
      <c r="L2114" s="16">
        <f>IF(NOT(Paths!$C$198=1),0,IF(Paths!$P$198="Complete",IF(C2114=10,Paths!$I$198,0),"n.a."))</f>
        <v>0</v>
      </c>
      <c r="M2114" s="16">
        <f>IF(NOT(Paths!$C$198=1),0,IF(Paths!$P$198="Complete",IF(AND(Paths!$D$198="EV",Paths!$E$198&lt;120,Paths!$E$198+'Operating costs'!$B$65&gt;Paths!$E$198,Paths!$E$198+'Operating costs'!$B$65&lt;=120,IF(Paths!$E$198+'Operating costs'!$B$65=0,C2114=0,AND(C2114&gt;0,Paths!$E$198+'Operating costs'!$B$65&gt;(C2114-1)*12,Paths!$E$198+'Operating costs'!$B$65&lt;=C2114*12))),'Operating costs'!$B$64,0)+IF(AND('Operating costs'!$B$67&gt;0,'Operating costs'!$B$67&lt;=120,OR(Paths!$D$198="ICE",'Operating costs'!$B$67&lt;=Paths!$E$198),IF('Operating costs'!$B$67=0,C2114=0,AND(C2114&gt;0,'Operating costs'!$B$67&gt;(C2114-1)*12,'Operating costs'!$B$67&lt;=C2114*12))),'Operating costs'!$B$66,0),"n.a."))</f>
        <v>0</v>
      </c>
      <c r="N2114" s="16">
        <f>IF(NOT(Paths!$C$198=1),0,IF(Paths!$P$198="Complete",SUM(G2114:I2114)-J2114-K2114-L2114+M2114+IF(C2114=0,Paths!$F$198,0)+IF(IF(Paths!$E$198=0,C2114=0,AND(C2114&gt;0,Paths!$E$198&gt;(C2114-1)*12,Paths!$E$198&lt;=C2114*12)),VLOOKUP(A2114,'Fleet register'!$A$7:$S$106,16,FALSE),0),"n.a."))</f>
        <v>0</v>
      </c>
      <c r="O2114" s="16">
        <f>IF(NOT(Paths!$C$198=1),0,IF(Paths!$P$198="Complete",N2114-IF(C2114=0,Paths!$F$198,0),"n.a."))</f>
        <v>0</v>
      </c>
      <c r="P2114" s="16">
        <f>IF(NOT(Paths!$C$198=1),0,IF(Paths!$P$198="Complete",O2114+L2114,"n.a."))</f>
        <v>0</v>
      </c>
      <c r="Q2114" s="16">
        <f>IF(NOT(Paths!$C$198=1),0,IF(Paths!$P$198="Complete",N2114*(1+'Operating costs'!$B$54)^-C2114,"n.a."))</f>
        <v>0</v>
      </c>
      <c r="R2114" s="16">
        <f>IF(NOT(Paths!$C$198=1),0,IF(Paths!$P$198="Complete",IF(AND(C2114=0,Paths!$E$198=0),I2114-J2114-K2114+VLOOKUP(A2114,'Fleet register'!$A$7:$S$106,15,FALSE)+VLOOKUP(A2114,'Fleet register'!$A$7:$S$106,16,FALSE),0),"n.a."))</f>
        <v>0</v>
      </c>
      <c r="S2114" s="1">
        <f>IF(NOT(Paths!$C$198=1),0,IF(Paths!$P$198="Complete",IF(C2114=0,0,Paths!$S$198*Paths!$R$198),"n.a."))</f>
        <v>0</v>
      </c>
      <c r="T2114" s="1">
        <f>IF(NOT(Paths!$C$198=1),0,IF(Paths!$P$198="Complete",IF(C2114=0,0,VLOOKUP(A2114,'Fleet register'!$A$7:$S$106,9,FALSE)*Paths!$R$198),"n.a."))</f>
        <v>0</v>
      </c>
    </row>
    <row r="2115" spans="1:20" ht="24" customHeight="1">
      <c r="A2115" s="1" t="str">
        <f>Paths!$A$198</f>
        <v>T048</v>
      </c>
      <c r="B2115" s="1">
        <f>Paths!$B$198</f>
        <v>3</v>
      </c>
      <c r="C2115" s="1">
        <v>7</v>
      </c>
      <c r="D2115" s="1">
        <v>198</v>
      </c>
      <c r="E2115" s="1">
        <f>IF(OR(Paths!$C$198=0,C2115=0),0,MAX(0,MIN(C2115*12,Paths!$E$198)-(C2115-1)*12))</f>
        <v>0</v>
      </c>
      <c r="F2115" s="1">
        <f>IF(OR(Paths!$C$198=0,C2115=0),0,12-E2115)</f>
        <v>0</v>
      </c>
      <c r="G2115" s="16">
        <f>IF(NOT(Paths!$C$198=1),0,IF(Paths!$P$198="Complete",E2115/12*(Paths!$J$198*(1+'Operating costs'!$B$51)^MAX(0,C2115-1)+Paths!$K$198*(1+'Operating costs'!$B$53)^MAX(0,C2115-1)),"n.a."))</f>
        <v>0</v>
      </c>
      <c r="H2115" s="16">
        <f>IF(NOT(Paths!$C$198=1),0,IF(Paths!$P$198="Complete",F2115/12*(Paths!$L$198*(1+IF(Paths!$D$198="EV",'Operating costs'!$B$52,'Operating costs'!$B$51))^MAX(0,C2115-1)+Paths!$M$198*(1+'Operating costs'!$B$53)^MAX(0,C2115-1)),"n.a."))</f>
        <v>0</v>
      </c>
      <c r="I2115" s="16">
        <f>IF(NOT(Paths!$C$198=1),0,IF(Paths!$P$198="Complete",IF(IF(Paths!$E$198=0,C2115=0,AND(C2115&gt;0,Paths!$E$198&gt;(C2115-1)*12,Paths!$E$198&lt;=C2115*12)),Paths!$G$198,0),"n.a."))</f>
        <v>0</v>
      </c>
      <c r="J2115" s="16">
        <f>IF(NOT(Paths!$C$198=1),0,IF(Paths!$P$198="Complete",IF(IF(Paths!$E$198=0,C2115=0,AND(C2115&gt;0,Paths!$E$198&gt;(C2115-1)*12,Paths!$E$198&lt;=C2115*12)),Paths!$H$198,0),"n.a."))</f>
        <v>0</v>
      </c>
      <c r="K2115" s="16">
        <f>IF(NOT(Paths!$C$198=1),0,IF(Paths!$P$198="Complete",IF(IF(Paths!$O$198=0,C2115=0,AND(C2115&gt;0,Paths!$O$198&gt;(C2115-1)*12,Paths!$O$198&lt;=C2115*12)),Paths!$N$198,0),"n.a."))</f>
        <v>0</v>
      </c>
      <c r="L2115" s="16">
        <f>IF(NOT(Paths!$C$198=1),0,IF(Paths!$P$198="Complete",IF(C2115=10,Paths!$I$198,0),"n.a."))</f>
        <v>0</v>
      </c>
      <c r="M2115" s="16">
        <f>IF(NOT(Paths!$C$198=1),0,IF(Paths!$P$198="Complete",IF(AND(Paths!$D$198="EV",Paths!$E$198&lt;120,Paths!$E$198+'Operating costs'!$B$65&gt;Paths!$E$198,Paths!$E$198+'Operating costs'!$B$65&lt;=120,IF(Paths!$E$198+'Operating costs'!$B$65=0,C2115=0,AND(C2115&gt;0,Paths!$E$198+'Operating costs'!$B$65&gt;(C2115-1)*12,Paths!$E$198+'Operating costs'!$B$65&lt;=C2115*12))),'Operating costs'!$B$64,0)+IF(AND('Operating costs'!$B$67&gt;0,'Operating costs'!$B$67&lt;=120,OR(Paths!$D$198="ICE",'Operating costs'!$B$67&lt;=Paths!$E$198),IF('Operating costs'!$B$67=0,C2115=0,AND(C2115&gt;0,'Operating costs'!$B$67&gt;(C2115-1)*12,'Operating costs'!$B$67&lt;=C2115*12))),'Operating costs'!$B$66,0),"n.a."))</f>
        <v>0</v>
      </c>
      <c r="N2115" s="16">
        <f>IF(NOT(Paths!$C$198=1),0,IF(Paths!$P$198="Complete",SUM(G2115:I2115)-J2115-K2115-L2115+M2115+IF(C2115=0,Paths!$F$198,0)+IF(IF(Paths!$E$198=0,C2115=0,AND(C2115&gt;0,Paths!$E$198&gt;(C2115-1)*12,Paths!$E$198&lt;=C2115*12)),VLOOKUP(A2115,'Fleet register'!$A$7:$S$106,16,FALSE),0),"n.a."))</f>
        <v>0</v>
      </c>
      <c r="O2115" s="16">
        <f>IF(NOT(Paths!$C$198=1),0,IF(Paths!$P$198="Complete",N2115-IF(C2115=0,Paths!$F$198,0),"n.a."))</f>
        <v>0</v>
      </c>
      <c r="P2115" s="16">
        <f>IF(NOT(Paths!$C$198=1),0,IF(Paths!$P$198="Complete",O2115+L2115,"n.a."))</f>
        <v>0</v>
      </c>
      <c r="Q2115" s="16">
        <f>IF(NOT(Paths!$C$198=1),0,IF(Paths!$P$198="Complete",N2115*(1+'Operating costs'!$B$54)^-C2115,"n.a."))</f>
        <v>0</v>
      </c>
      <c r="R2115" s="16">
        <f>IF(NOT(Paths!$C$198=1),0,IF(Paths!$P$198="Complete",IF(AND(C2115=0,Paths!$E$198=0),I2115-J2115-K2115+VLOOKUP(A2115,'Fleet register'!$A$7:$S$106,15,FALSE)+VLOOKUP(A2115,'Fleet register'!$A$7:$S$106,16,FALSE),0),"n.a."))</f>
        <v>0</v>
      </c>
      <c r="S2115" s="1">
        <f>IF(NOT(Paths!$C$198=1),0,IF(Paths!$P$198="Complete",IF(C2115=0,0,Paths!$S$198*Paths!$R$198),"n.a."))</f>
        <v>0</v>
      </c>
      <c r="T2115" s="1">
        <f>IF(NOT(Paths!$C$198=1),0,IF(Paths!$P$198="Complete",IF(C2115=0,0,VLOOKUP(A2115,'Fleet register'!$A$7:$S$106,9,FALSE)*Paths!$R$198),"n.a."))</f>
        <v>0</v>
      </c>
    </row>
    <row r="2116" spans="1:20" ht="24" customHeight="1">
      <c r="A2116" s="1" t="str">
        <f>Paths!$A$198</f>
        <v>T048</v>
      </c>
      <c r="B2116" s="1">
        <f>Paths!$B$198</f>
        <v>3</v>
      </c>
      <c r="C2116" s="1">
        <v>8</v>
      </c>
      <c r="D2116" s="1">
        <v>198</v>
      </c>
      <c r="E2116" s="1">
        <f>IF(OR(Paths!$C$198=0,C2116=0),0,MAX(0,MIN(C2116*12,Paths!$E$198)-(C2116-1)*12))</f>
        <v>0</v>
      </c>
      <c r="F2116" s="1">
        <f>IF(OR(Paths!$C$198=0,C2116=0),0,12-E2116)</f>
        <v>0</v>
      </c>
      <c r="G2116" s="16">
        <f>IF(NOT(Paths!$C$198=1),0,IF(Paths!$P$198="Complete",E2116/12*(Paths!$J$198*(1+'Operating costs'!$B$51)^MAX(0,C2116-1)+Paths!$K$198*(1+'Operating costs'!$B$53)^MAX(0,C2116-1)),"n.a."))</f>
        <v>0</v>
      </c>
      <c r="H2116" s="16">
        <f>IF(NOT(Paths!$C$198=1),0,IF(Paths!$P$198="Complete",F2116/12*(Paths!$L$198*(1+IF(Paths!$D$198="EV",'Operating costs'!$B$52,'Operating costs'!$B$51))^MAX(0,C2116-1)+Paths!$M$198*(1+'Operating costs'!$B$53)^MAX(0,C2116-1)),"n.a."))</f>
        <v>0</v>
      </c>
      <c r="I2116" s="16">
        <f>IF(NOT(Paths!$C$198=1),0,IF(Paths!$P$198="Complete",IF(IF(Paths!$E$198=0,C2116=0,AND(C2116&gt;0,Paths!$E$198&gt;(C2116-1)*12,Paths!$E$198&lt;=C2116*12)),Paths!$G$198,0),"n.a."))</f>
        <v>0</v>
      </c>
      <c r="J2116" s="16">
        <f>IF(NOT(Paths!$C$198=1),0,IF(Paths!$P$198="Complete",IF(IF(Paths!$E$198=0,C2116=0,AND(C2116&gt;0,Paths!$E$198&gt;(C2116-1)*12,Paths!$E$198&lt;=C2116*12)),Paths!$H$198,0),"n.a."))</f>
        <v>0</v>
      </c>
      <c r="K2116" s="16">
        <f>IF(NOT(Paths!$C$198=1),0,IF(Paths!$P$198="Complete",IF(IF(Paths!$O$198=0,C2116=0,AND(C2116&gt;0,Paths!$O$198&gt;(C2116-1)*12,Paths!$O$198&lt;=C2116*12)),Paths!$N$198,0),"n.a."))</f>
        <v>0</v>
      </c>
      <c r="L2116" s="16">
        <f>IF(NOT(Paths!$C$198=1),0,IF(Paths!$P$198="Complete",IF(C2116=10,Paths!$I$198,0),"n.a."))</f>
        <v>0</v>
      </c>
      <c r="M2116" s="16">
        <f>IF(NOT(Paths!$C$198=1),0,IF(Paths!$P$198="Complete",IF(AND(Paths!$D$198="EV",Paths!$E$198&lt;120,Paths!$E$198+'Operating costs'!$B$65&gt;Paths!$E$198,Paths!$E$198+'Operating costs'!$B$65&lt;=120,IF(Paths!$E$198+'Operating costs'!$B$65=0,C2116=0,AND(C2116&gt;0,Paths!$E$198+'Operating costs'!$B$65&gt;(C2116-1)*12,Paths!$E$198+'Operating costs'!$B$65&lt;=C2116*12))),'Operating costs'!$B$64,0)+IF(AND('Operating costs'!$B$67&gt;0,'Operating costs'!$B$67&lt;=120,OR(Paths!$D$198="ICE",'Operating costs'!$B$67&lt;=Paths!$E$198),IF('Operating costs'!$B$67=0,C2116=0,AND(C2116&gt;0,'Operating costs'!$B$67&gt;(C2116-1)*12,'Operating costs'!$B$67&lt;=C2116*12))),'Operating costs'!$B$66,0),"n.a."))</f>
        <v>0</v>
      </c>
      <c r="N2116" s="16">
        <f>IF(NOT(Paths!$C$198=1),0,IF(Paths!$P$198="Complete",SUM(G2116:I2116)-J2116-K2116-L2116+M2116+IF(C2116=0,Paths!$F$198,0)+IF(IF(Paths!$E$198=0,C2116=0,AND(C2116&gt;0,Paths!$E$198&gt;(C2116-1)*12,Paths!$E$198&lt;=C2116*12)),VLOOKUP(A2116,'Fleet register'!$A$7:$S$106,16,FALSE),0),"n.a."))</f>
        <v>0</v>
      </c>
      <c r="O2116" s="16">
        <f>IF(NOT(Paths!$C$198=1),0,IF(Paths!$P$198="Complete",N2116-IF(C2116=0,Paths!$F$198,0),"n.a."))</f>
        <v>0</v>
      </c>
      <c r="P2116" s="16">
        <f>IF(NOT(Paths!$C$198=1),0,IF(Paths!$P$198="Complete",O2116+L2116,"n.a."))</f>
        <v>0</v>
      </c>
      <c r="Q2116" s="16">
        <f>IF(NOT(Paths!$C$198=1),0,IF(Paths!$P$198="Complete",N2116*(1+'Operating costs'!$B$54)^-C2116,"n.a."))</f>
        <v>0</v>
      </c>
      <c r="R2116" s="16">
        <f>IF(NOT(Paths!$C$198=1),0,IF(Paths!$P$198="Complete",IF(AND(C2116=0,Paths!$E$198=0),I2116-J2116-K2116+VLOOKUP(A2116,'Fleet register'!$A$7:$S$106,15,FALSE)+VLOOKUP(A2116,'Fleet register'!$A$7:$S$106,16,FALSE),0),"n.a."))</f>
        <v>0</v>
      </c>
      <c r="S2116" s="1">
        <f>IF(NOT(Paths!$C$198=1),0,IF(Paths!$P$198="Complete",IF(C2116=0,0,Paths!$S$198*Paths!$R$198),"n.a."))</f>
        <v>0</v>
      </c>
      <c r="T2116" s="1">
        <f>IF(NOT(Paths!$C$198=1),0,IF(Paths!$P$198="Complete",IF(C2116=0,0,VLOOKUP(A2116,'Fleet register'!$A$7:$S$106,9,FALSE)*Paths!$R$198),"n.a."))</f>
        <v>0</v>
      </c>
    </row>
    <row r="2117" spans="1:20" ht="24" customHeight="1">
      <c r="A2117" s="1" t="str">
        <f>Paths!$A$198</f>
        <v>T048</v>
      </c>
      <c r="B2117" s="1">
        <f>Paths!$B$198</f>
        <v>3</v>
      </c>
      <c r="C2117" s="1">
        <v>9</v>
      </c>
      <c r="D2117" s="1">
        <v>198</v>
      </c>
      <c r="E2117" s="1">
        <f>IF(OR(Paths!$C$198=0,C2117=0),0,MAX(0,MIN(C2117*12,Paths!$E$198)-(C2117-1)*12))</f>
        <v>0</v>
      </c>
      <c r="F2117" s="1">
        <f>IF(OR(Paths!$C$198=0,C2117=0),0,12-E2117)</f>
        <v>0</v>
      </c>
      <c r="G2117" s="16">
        <f>IF(NOT(Paths!$C$198=1),0,IF(Paths!$P$198="Complete",E2117/12*(Paths!$J$198*(1+'Operating costs'!$B$51)^MAX(0,C2117-1)+Paths!$K$198*(1+'Operating costs'!$B$53)^MAX(0,C2117-1)),"n.a."))</f>
        <v>0</v>
      </c>
      <c r="H2117" s="16">
        <f>IF(NOT(Paths!$C$198=1),0,IF(Paths!$P$198="Complete",F2117/12*(Paths!$L$198*(1+IF(Paths!$D$198="EV",'Operating costs'!$B$52,'Operating costs'!$B$51))^MAX(0,C2117-1)+Paths!$M$198*(1+'Operating costs'!$B$53)^MAX(0,C2117-1)),"n.a."))</f>
        <v>0</v>
      </c>
      <c r="I2117" s="16">
        <f>IF(NOT(Paths!$C$198=1),0,IF(Paths!$P$198="Complete",IF(IF(Paths!$E$198=0,C2117=0,AND(C2117&gt;0,Paths!$E$198&gt;(C2117-1)*12,Paths!$E$198&lt;=C2117*12)),Paths!$G$198,0),"n.a."))</f>
        <v>0</v>
      </c>
      <c r="J2117" s="16">
        <f>IF(NOT(Paths!$C$198=1),0,IF(Paths!$P$198="Complete",IF(IF(Paths!$E$198=0,C2117=0,AND(C2117&gt;0,Paths!$E$198&gt;(C2117-1)*12,Paths!$E$198&lt;=C2117*12)),Paths!$H$198,0),"n.a."))</f>
        <v>0</v>
      </c>
      <c r="K2117" s="16">
        <f>IF(NOT(Paths!$C$198=1),0,IF(Paths!$P$198="Complete",IF(IF(Paths!$O$198=0,C2117=0,AND(C2117&gt;0,Paths!$O$198&gt;(C2117-1)*12,Paths!$O$198&lt;=C2117*12)),Paths!$N$198,0),"n.a."))</f>
        <v>0</v>
      </c>
      <c r="L2117" s="16">
        <f>IF(NOT(Paths!$C$198=1),0,IF(Paths!$P$198="Complete",IF(C2117=10,Paths!$I$198,0),"n.a."))</f>
        <v>0</v>
      </c>
      <c r="M2117" s="16">
        <f>IF(NOT(Paths!$C$198=1),0,IF(Paths!$P$198="Complete",IF(AND(Paths!$D$198="EV",Paths!$E$198&lt;120,Paths!$E$198+'Operating costs'!$B$65&gt;Paths!$E$198,Paths!$E$198+'Operating costs'!$B$65&lt;=120,IF(Paths!$E$198+'Operating costs'!$B$65=0,C2117=0,AND(C2117&gt;0,Paths!$E$198+'Operating costs'!$B$65&gt;(C2117-1)*12,Paths!$E$198+'Operating costs'!$B$65&lt;=C2117*12))),'Operating costs'!$B$64,0)+IF(AND('Operating costs'!$B$67&gt;0,'Operating costs'!$B$67&lt;=120,OR(Paths!$D$198="ICE",'Operating costs'!$B$67&lt;=Paths!$E$198),IF('Operating costs'!$B$67=0,C2117=0,AND(C2117&gt;0,'Operating costs'!$B$67&gt;(C2117-1)*12,'Operating costs'!$B$67&lt;=C2117*12))),'Operating costs'!$B$66,0),"n.a."))</f>
        <v>0</v>
      </c>
      <c r="N2117" s="16">
        <f>IF(NOT(Paths!$C$198=1),0,IF(Paths!$P$198="Complete",SUM(G2117:I2117)-J2117-K2117-L2117+M2117+IF(C2117=0,Paths!$F$198,0)+IF(IF(Paths!$E$198=0,C2117=0,AND(C2117&gt;0,Paths!$E$198&gt;(C2117-1)*12,Paths!$E$198&lt;=C2117*12)),VLOOKUP(A2117,'Fleet register'!$A$7:$S$106,16,FALSE),0),"n.a."))</f>
        <v>0</v>
      </c>
      <c r="O2117" s="16">
        <f>IF(NOT(Paths!$C$198=1),0,IF(Paths!$P$198="Complete",N2117-IF(C2117=0,Paths!$F$198,0),"n.a."))</f>
        <v>0</v>
      </c>
      <c r="P2117" s="16">
        <f>IF(NOT(Paths!$C$198=1),0,IF(Paths!$P$198="Complete",O2117+L2117,"n.a."))</f>
        <v>0</v>
      </c>
      <c r="Q2117" s="16">
        <f>IF(NOT(Paths!$C$198=1),0,IF(Paths!$P$198="Complete",N2117*(1+'Operating costs'!$B$54)^-C2117,"n.a."))</f>
        <v>0</v>
      </c>
      <c r="R2117" s="16">
        <f>IF(NOT(Paths!$C$198=1),0,IF(Paths!$P$198="Complete",IF(AND(C2117=0,Paths!$E$198=0),I2117-J2117-K2117+VLOOKUP(A2117,'Fleet register'!$A$7:$S$106,15,FALSE)+VLOOKUP(A2117,'Fleet register'!$A$7:$S$106,16,FALSE),0),"n.a."))</f>
        <v>0</v>
      </c>
      <c r="S2117" s="1">
        <f>IF(NOT(Paths!$C$198=1),0,IF(Paths!$P$198="Complete",IF(C2117=0,0,Paths!$S$198*Paths!$R$198),"n.a."))</f>
        <v>0</v>
      </c>
      <c r="T2117" s="1">
        <f>IF(NOT(Paths!$C$198=1),0,IF(Paths!$P$198="Complete",IF(C2117=0,0,VLOOKUP(A2117,'Fleet register'!$A$7:$S$106,9,FALSE)*Paths!$R$198),"n.a."))</f>
        <v>0</v>
      </c>
    </row>
    <row r="2118" spans="1:20" ht="24" customHeight="1">
      <c r="A2118" s="1" t="str">
        <f>Paths!$A$198</f>
        <v>T048</v>
      </c>
      <c r="B2118" s="1">
        <f>Paths!$B$198</f>
        <v>3</v>
      </c>
      <c r="C2118" s="1">
        <v>10</v>
      </c>
      <c r="D2118" s="1">
        <v>198</v>
      </c>
      <c r="E2118" s="1">
        <f>IF(OR(Paths!$C$198=0,C2118=0),0,MAX(0,MIN(C2118*12,Paths!$E$198)-(C2118-1)*12))</f>
        <v>0</v>
      </c>
      <c r="F2118" s="1">
        <f>IF(OR(Paths!$C$198=0,C2118=0),0,12-E2118)</f>
        <v>0</v>
      </c>
      <c r="G2118" s="16">
        <f>IF(NOT(Paths!$C$198=1),0,IF(Paths!$P$198="Complete",E2118/12*(Paths!$J$198*(1+'Operating costs'!$B$51)^MAX(0,C2118-1)+Paths!$K$198*(1+'Operating costs'!$B$53)^MAX(0,C2118-1)),"n.a."))</f>
        <v>0</v>
      </c>
      <c r="H2118" s="16">
        <f>IF(NOT(Paths!$C$198=1),0,IF(Paths!$P$198="Complete",F2118/12*(Paths!$L$198*(1+IF(Paths!$D$198="EV",'Operating costs'!$B$52,'Operating costs'!$B$51))^MAX(0,C2118-1)+Paths!$M$198*(1+'Operating costs'!$B$53)^MAX(0,C2118-1)),"n.a."))</f>
        <v>0</v>
      </c>
      <c r="I2118" s="16">
        <f>IF(NOT(Paths!$C$198=1),0,IF(Paths!$P$198="Complete",IF(IF(Paths!$E$198=0,C2118=0,AND(C2118&gt;0,Paths!$E$198&gt;(C2118-1)*12,Paths!$E$198&lt;=C2118*12)),Paths!$G$198,0),"n.a."))</f>
        <v>0</v>
      </c>
      <c r="J2118" s="16">
        <f>IF(NOT(Paths!$C$198=1),0,IF(Paths!$P$198="Complete",IF(IF(Paths!$E$198=0,C2118=0,AND(C2118&gt;0,Paths!$E$198&gt;(C2118-1)*12,Paths!$E$198&lt;=C2118*12)),Paths!$H$198,0),"n.a."))</f>
        <v>0</v>
      </c>
      <c r="K2118" s="16">
        <f>IF(NOT(Paths!$C$198=1),0,IF(Paths!$P$198="Complete",IF(IF(Paths!$O$198=0,C2118=0,AND(C2118&gt;0,Paths!$O$198&gt;(C2118-1)*12,Paths!$O$198&lt;=C2118*12)),Paths!$N$198,0),"n.a."))</f>
        <v>0</v>
      </c>
      <c r="L2118" s="16">
        <f>IF(NOT(Paths!$C$198=1),0,IF(Paths!$P$198="Complete",IF(C2118=10,Paths!$I$198,0),"n.a."))</f>
        <v>0</v>
      </c>
      <c r="M2118" s="16">
        <f>IF(NOT(Paths!$C$198=1),0,IF(Paths!$P$198="Complete",IF(AND(Paths!$D$198="EV",Paths!$E$198&lt;120,Paths!$E$198+'Operating costs'!$B$65&gt;Paths!$E$198,Paths!$E$198+'Operating costs'!$B$65&lt;=120,IF(Paths!$E$198+'Operating costs'!$B$65=0,C2118=0,AND(C2118&gt;0,Paths!$E$198+'Operating costs'!$B$65&gt;(C2118-1)*12,Paths!$E$198+'Operating costs'!$B$65&lt;=C2118*12))),'Operating costs'!$B$64,0)+IF(AND('Operating costs'!$B$67&gt;0,'Operating costs'!$B$67&lt;=120,OR(Paths!$D$198="ICE",'Operating costs'!$B$67&lt;=Paths!$E$198),IF('Operating costs'!$B$67=0,C2118=0,AND(C2118&gt;0,'Operating costs'!$B$67&gt;(C2118-1)*12,'Operating costs'!$B$67&lt;=C2118*12))),'Operating costs'!$B$66,0),"n.a."))</f>
        <v>0</v>
      </c>
      <c r="N2118" s="16">
        <f>IF(NOT(Paths!$C$198=1),0,IF(Paths!$P$198="Complete",SUM(G2118:I2118)-J2118-K2118-L2118+M2118+IF(C2118=0,Paths!$F$198,0)+IF(IF(Paths!$E$198=0,C2118=0,AND(C2118&gt;0,Paths!$E$198&gt;(C2118-1)*12,Paths!$E$198&lt;=C2118*12)),VLOOKUP(A2118,'Fleet register'!$A$7:$S$106,16,FALSE),0),"n.a."))</f>
        <v>0</v>
      </c>
      <c r="O2118" s="16">
        <f>IF(NOT(Paths!$C$198=1),0,IF(Paths!$P$198="Complete",N2118-IF(C2118=0,Paths!$F$198,0),"n.a."))</f>
        <v>0</v>
      </c>
      <c r="P2118" s="16">
        <f>IF(NOT(Paths!$C$198=1),0,IF(Paths!$P$198="Complete",O2118+L2118,"n.a."))</f>
        <v>0</v>
      </c>
      <c r="Q2118" s="16">
        <f>IF(NOT(Paths!$C$198=1),0,IF(Paths!$P$198="Complete",N2118*(1+'Operating costs'!$B$54)^-C2118,"n.a."))</f>
        <v>0</v>
      </c>
      <c r="R2118" s="16">
        <f>IF(NOT(Paths!$C$198=1),0,IF(Paths!$P$198="Complete",IF(AND(C2118=0,Paths!$E$198=0),I2118-J2118-K2118+VLOOKUP(A2118,'Fleet register'!$A$7:$S$106,15,FALSE)+VLOOKUP(A2118,'Fleet register'!$A$7:$S$106,16,FALSE),0),"n.a."))</f>
        <v>0</v>
      </c>
      <c r="S2118" s="1">
        <f>IF(NOT(Paths!$C$198=1),0,IF(Paths!$P$198="Complete",IF(C2118=0,0,Paths!$S$198*Paths!$R$198),"n.a."))</f>
        <v>0</v>
      </c>
      <c r="T2118" s="1">
        <f>IF(NOT(Paths!$C$198=1),0,IF(Paths!$P$198="Complete",IF(C2118=0,0,VLOOKUP(A2118,'Fleet register'!$A$7:$S$106,9,FALSE)*Paths!$R$198),"n.a."))</f>
        <v>0</v>
      </c>
    </row>
    <row r="2119" spans="1:20" ht="24" customHeight="1">
      <c r="A2119" s="1" t="str">
        <f>Paths!$A$199</f>
        <v>T049</v>
      </c>
      <c r="B2119" s="1">
        <f>Paths!$B$199</f>
        <v>0</v>
      </c>
      <c r="C2119" s="1">
        <v>0</v>
      </c>
      <c r="D2119" s="1">
        <v>199</v>
      </c>
      <c r="E2119" s="1">
        <f>IF(OR(Paths!$C$199=0,C2119=0),0,MAX(0,MIN(C2119*12,Paths!$E$199)-(C2119-1)*12))</f>
        <v>0</v>
      </c>
      <c r="F2119" s="1">
        <f>IF(OR(Paths!$C$199=0,C2119=0),0,12-E2119)</f>
        <v>0</v>
      </c>
      <c r="G2119" s="16">
        <f>IF(NOT(Paths!$C$199=1),0,IF(Paths!$P$199="Complete",E2119/12*(Paths!$J$199*(1+'Operating costs'!$B$51)^MAX(0,C2119-1)+Paths!$K$199*(1+'Operating costs'!$B$53)^MAX(0,C2119-1)),"n.a."))</f>
        <v>0</v>
      </c>
      <c r="H2119" s="16">
        <f>IF(NOT(Paths!$C$199=1),0,IF(Paths!$P$199="Complete",F2119/12*(Paths!$L$199*(1+IF(Paths!$D$199="EV",'Operating costs'!$B$52,'Operating costs'!$B$51))^MAX(0,C2119-1)+Paths!$M$199*(1+'Operating costs'!$B$53)^MAX(0,C2119-1)),"n.a."))</f>
        <v>0</v>
      </c>
      <c r="I2119" s="16">
        <f>IF(NOT(Paths!$C$199=1),0,IF(Paths!$P$199="Complete",IF(IF(Paths!$E$199=0,C2119=0,AND(C2119&gt;0,Paths!$E$199&gt;(C2119-1)*12,Paths!$E$199&lt;=C2119*12)),Paths!$G$199,0),"n.a."))</f>
        <v>0</v>
      </c>
      <c r="J2119" s="16">
        <f>IF(NOT(Paths!$C$199=1),0,IF(Paths!$P$199="Complete",IF(IF(Paths!$E$199=0,C2119=0,AND(C2119&gt;0,Paths!$E$199&gt;(C2119-1)*12,Paths!$E$199&lt;=C2119*12)),Paths!$H$199,0),"n.a."))</f>
        <v>0</v>
      </c>
      <c r="K2119" s="16">
        <f>IF(NOT(Paths!$C$199=1),0,IF(Paths!$P$199="Complete",IF(IF(Paths!$O$199=0,C2119=0,AND(C2119&gt;0,Paths!$O$199&gt;(C2119-1)*12,Paths!$O$199&lt;=C2119*12)),Paths!$N$199,0),"n.a."))</f>
        <v>0</v>
      </c>
      <c r="L2119" s="16">
        <f>IF(NOT(Paths!$C$199=1),0,IF(Paths!$P$199="Complete",IF(C2119=10,Paths!$I$199,0),"n.a."))</f>
        <v>0</v>
      </c>
      <c r="M2119" s="16">
        <f>IF(NOT(Paths!$C$199=1),0,IF(Paths!$P$199="Complete",IF(AND(Paths!$D$199="EV",Paths!$E$199&lt;120,Paths!$E$199+'Operating costs'!$B$65&gt;Paths!$E$199,Paths!$E$199+'Operating costs'!$B$65&lt;=120,IF(Paths!$E$199+'Operating costs'!$B$65=0,C2119=0,AND(C2119&gt;0,Paths!$E$199+'Operating costs'!$B$65&gt;(C2119-1)*12,Paths!$E$199+'Operating costs'!$B$65&lt;=C2119*12))),'Operating costs'!$B$64,0)+IF(AND('Operating costs'!$B$67&gt;0,'Operating costs'!$B$67&lt;=120,OR(Paths!$D$199="ICE",'Operating costs'!$B$67&lt;=Paths!$E$199),IF('Operating costs'!$B$67=0,C2119=0,AND(C2119&gt;0,'Operating costs'!$B$67&gt;(C2119-1)*12,'Operating costs'!$B$67&lt;=C2119*12))),'Operating costs'!$B$66,0),"n.a."))</f>
        <v>0</v>
      </c>
      <c r="N2119" s="16">
        <f>IF(NOT(Paths!$C$199=1),0,IF(Paths!$P$199="Complete",SUM(G2119:I2119)-J2119-K2119-L2119+M2119+IF(C2119=0,Paths!$F$199,0)+IF(IF(Paths!$E$199=0,C2119=0,AND(C2119&gt;0,Paths!$E$199&gt;(C2119-1)*12,Paths!$E$199&lt;=C2119*12)),VLOOKUP(A2119,'Fleet register'!$A$7:$S$106,16,FALSE),0),"n.a."))</f>
        <v>0</v>
      </c>
      <c r="O2119" s="16">
        <f>IF(NOT(Paths!$C$199=1),0,IF(Paths!$P$199="Complete",N2119-IF(C2119=0,Paths!$F$199,0),"n.a."))</f>
        <v>0</v>
      </c>
      <c r="P2119" s="16">
        <f>IF(NOT(Paths!$C$199=1),0,IF(Paths!$P$199="Complete",O2119+L2119,"n.a."))</f>
        <v>0</v>
      </c>
      <c r="Q2119" s="16">
        <f>IF(NOT(Paths!$C$199=1),0,IF(Paths!$P$199="Complete",N2119*(1+'Operating costs'!$B$54)^-C2119,"n.a."))</f>
        <v>0</v>
      </c>
      <c r="R2119" s="16">
        <f>IF(NOT(Paths!$C$199=1),0,IF(Paths!$P$199="Complete",IF(AND(C2119=0,Paths!$E$199=0),I2119-J2119-K2119+VLOOKUP(A2119,'Fleet register'!$A$7:$S$106,15,FALSE)+VLOOKUP(A2119,'Fleet register'!$A$7:$S$106,16,FALSE),0),"n.a."))</f>
        <v>0</v>
      </c>
      <c r="S2119" s="1">
        <f>IF(NOT(Paths!$C$199=1),0,IF(Paths!$P$199="Complete",IF(C2119=0,0,Paths!$S$199*Paths!$R$199),"n.a."))</f>
        <v>0</v>
      </c>
      <c r="T2119" s="1">
        <f>IF(NOT(Paths!$C$199=1),0,IF(Paths!$P$199="Complete",IF(C2119=0,0,VLOOKUP(A2119,'Fleet register'!$A$7:$S$106,9,FALSE)*Paths!$R$199),"n.a."))</f>
        <v>0</v>
      </c>
    </row>
    <row r="2120" spans="1:20" ht="24" customHeight="1">
      <c r="A2120" s="1" t="str">
        <f>Paths!$A$199</f>
        <v>T049</v>
      </c>
      <c r="B2120" s="1">
        <f>Paths!$B$199</f>
        <v>0</v>
      </c>
      <c r="C2120" s="1">
        <v>1</v>
      </c>
      <c r="D2120" s="1">
        <v>199</v>
      </c>
      <c r="E2120" s="1">
        <f>IF(OR(Paths!$C$199=0,C2120=0),0,MAX(0,MIN(C2120*12,Paths!$E$199)-(C2120-1)*12))</f>
        <v>0</v>
      </c>
      <c r="F2120" s="1">
        <f>IF(OR(Paths!$C$199=0,C2120=0),0,12-E2120)</f>
        <v>0</v>
      </c>
      <c r="G2120" s="16">
        <f>IF(NOT(Paths!$C$199=1),0,IF(Paths!$P$199="Complete",E2120/12*(Paths!$J$199*(1+'Operating costs'!$B$51)^MAX(0,C2120-1)+Paths!$K$199*(1+'Operating costs'!$B$53)^MAX(0,C2120-1)),"n.a."))</f>
        <v>0</v>
      </c>
      <c r="H2120" s="16">
        <f>IF(NOT(Paths!$C$199=1),0,IF(Paths!$P$199="Complete",F2120/12*(Paths!$L$199*(1+IF(Paths!$D$199="EV",'Operating costs'!$B$52,'Operating costs'!$B$51))^MAX(0,C2120-1)+Paths!$M$199*(1+'Operating costs'!$B$53)^MAX(0,C2120-1)),"n.a."))</f>
        <v>0</v>
      </c>
      <c r="I2120" s="16">
        <f>IF(NOT(Paths!$C$199=1),0,IF(Paths!$P$199="Complete",IF(IF(Paths!$E$199=0,C2120=0,AND(C2120&gt;0,Paths!$E$199&gt;(C2120-1)*12,Paths!$E$199&lt;=C2120*12)),Paths!$G$199,0),"n.a."))</f>
        <v>0</v>
      </c>
      <c r="J2120" s="16">
        <f>IF(NOT(Paths!$C$199=1),0,IF(Paths!$P$199="Complete",IF(IF(Paths!$E$199=0,C2120=0,AND(C2120&gt;0,Paths!$E$199&gt;(C2120-1)*12,Paths!$E$199&lt;=C2120*12)),Paths!$H$199,0),"n.a."))</f>
        <v>0</v>
      </c>
      <c r="K2120" s="16">
        <f>IF(NOT(Paths!$C$199=1),0,IF(Paths!$P$199="Complete",IF(IF(Paths!$O$199=0,C2120=0,AND(C2120&gt;0,Paths!$O$199&gt;(C2120-1)*12,Paths!$O$199&lt;=C2120*12)),Paths!$N$199,0),"n.a."))</f>
        <v>0</v>
      </c>
      <c r="L2120" s="16">
        <f>IF(NOT(Paths!$C$199=1),0,IF(Paths!$P$199="Complete",IF(C2120=10,Paths!$I$199,0),"n.a."))</f>
        <v>0</v>
      </c>
      <c r="M2120" s="16">
        <f>IF(NOT(Paths!$C$199=1),0,IF(Paths!$P$199="Complete",IF(AND(Paths!$D$199="EV",Paths!$E$199&lt;120,Paths!$E$199+'Operating costs'!$B$65&gt;Paths!$E$199,Paths!$E$199+'Operating costs'!$B$65&lt;=120,IF(Paths!$E$199+'Operating costs'!$B$65=0,C2120=0,AND(C2120&gt;0,Paths!$E$199+'Operating costs'!$B$65&gt;(C2120-1)*12,Paths!$E$199+'Operating costs'!$B$65&lt;=C2120*12))),'Operating costs'!$B$64,0)+IF(AND('Operating costs'!$B$67&gt;0,'Operating costs'!$B$67&lt;=120,OR(Paths!$D$199="ICE",'Operating costs'!$B$67&lt;=Paths!$E$199),IF('Operating costs'!$B$67=0,C2120=0,AND(C2120&gt;0,'Operating costs'!$B$67&gt;(C2120-1)*12,'Operating costs'!$B$67&lt;=C2120*12))),'Operating costs'!$B$66,0),"n.a."))</f>
        <v>0</v>
      </c>
      <c r="N2120" s="16">
        <f>IF(NOT(Paths!$C$199=1),0,IF(Paths!$P$199="Complete",SUM(G2120:I2120)-J2120-K2120-L2120+M2120+IF(C2120=0,Paths!$F$199,0)+IF(IF(Paths!$E$199=0,C2120=0,AND(C2120&gt;0,Paths!$E$199&gt;(C2120-1)*12,Paths!$E$199&lt;=C2120*12)),VLOOKUP(A2120,'Fleet register'!$A$7:$S$106,16,FALSE),0),"n.a."))</f>
        <v>0</v>
      </c>
      <c r="O2120" s="16">
        <f>IF(NOT(Paths!$C$199=1),0,IF(Paths!$P$199="Complete",N2120-IF(C2120=0,Paths!$F$199,0),"n.a."))</f>
        <v>0</v>
      </c>
      <c r="P2120" s="16">
        <f>IF(NOT(Paths!$C$199=1),0,IF(Paths!$P$199="Complete",O2120+L2120,"n.a."))</f>
        <v>0</v>
      </c>
      <c r="Q2120" s="16">
        <f>IF(NOT(Paths!$C$199=1),0,IF(Paths!$P$199="Complete",N2120*(1+'Operating costs'!$B$54)^-C2120,"n.a."))</f>
        <v>0</v>
      </c>
      <c r="R2120" s="16">
        <f>IF(NOT(Paths!$C$199=1),0,IF(Paths!$P$199="Complete",IF(AND(C2120=0,Paths!$E$199=0),I2120-J2120-K2120+VLOOKUP(A2120,'Fleet register'!$A$7:$S$106,15,FALSE)+VLOOKUP(A2120,'Fleet register'!$A$7:$S$106,16,FALSE),0),"n.a."))</f>
        <v>0</v>
      </c>
      <c r="S2120" s="1">
        <f>IF(NOT(Paths!$C$199=1),0,IF(Paths!$P$199="Complete",IF(C2120=0,0,Paths!$S$199*Paths!$R$199),"n.a."))</f>
        <v>0</v>
      </c>
      <c r="T2120" s="1">
        <f>IF(NOT(Paths!$C$199=1),0,IF(Paths!$P$199="Complete",IF(C2120=0,0,VLOOKUP(A2120,'Fleet register'!$A$7:$S$106,9,FALSE)*Paths!$R$199),"n.a."))</f>
        <v>0</v>
      </c>
    </row>
    <row r="2121" spans="1:20" ht="24" customHeight="1">
      <c r="A2121" s="1" t="str">
        <f>Paths!$A$199</f>
        <v>T049</v>
      </c>
      <c r="B2121" s="1">
        <f>Paths!$B$199</f>
        <v>0</v>
      </c>
      <c r="C2121" s="1">
        <v>2</v>
      </c>
      <c r="D2121" s="1">
        <v>199</v>
      </c>
      <c r="E2121" s="1">
        <f>IF(OR(Paths!$C$199=0,C2121=0),0,MAX(0,MIN(C2121*12,Paths!$E$199)-(C2121-1)*12))</f>
        <v>0</v>
      </c>
      <c r="F2121" s="1">
        <f>IF(OR(Paths!$C$199=0,C2121=0),0,12-E2121)</f>
        <v>0</v>
      </c>
      <c r="G2121" s="16">
        <f>IF(NOT(Paths!$C$199=1),0,IF(Paths!$P$199="Complete",E2121/12*(Paths!$J$199*(1+'Operating costs'!$B$51)^MAX(0,C2121-1)+Paths!$K$199*(1+'Operating costs'!$B$53)^MAX(0,C2121-1)),"n.a."))</f>
        <v>0</v>
      </c>
      <c r="H2121" s="16">
        <f>IF(NOT(Paths!$C$199=1),0,IF(Paths!$P$199="Complete",F2121/12*(Paths!$L$199*(1+IF(Paths!$D$199="EV",'Operating costs'!$B$52,'Operating costs'!$B$51))^MAX(0,C2121-1)+Paths!$M$199*(1+'Operating costs'!$B$53)^MAX(0,C2121-1)),"n.a."))</f>
        <v>0</v>
      </c>
      <c r="I2121" s="16">
        <f>IF(NOT(Paths!$C$199=1),0,IF(Paths!$P$199="Complete",IF(IF(Paths!$E$199=0,C2121=0,AND(C2121&gt;0,Paths!$E$199&gt;(C2121-1)*12,Paths!$E$199&lt;=C2121*12)),Paths!$G$199,0),"n.a."))</f>
        <v>0</v>
      </c>
      <c r="J2121" s="16">
        <f>IF(NOT(Paths!$C$199=1),0,IF(Paths!$P$199="Complete",IF(IF(Paths!$E$199=0,C2121=0,AND(C2121&gt;0,Paths!$E$199&gt;(C2121-1)*12,Paths!$E$199&lt;=C2121*12)),Paths!$H$199,0),"n.a."))</f>
        <v>0</v>
      </c>
      <c r="K2121" s="16">
        <f>IF(NOT(Paths!$C$199=1),0,IF(Paths!$P$199="Complete",IF(IF(Paths!$O$199=0,C2121=0,AND(C2121&gt;0,Paths!$O$199&gt;(C2121-1)*12,Paths!$O$199&lt;=C2121*12)),Paths!$N$199,0),"n.a."))</f>
        <v>0</v>
      </c>
      <c r="L2121" s="16">
        <f>IF(NOT(Paths!$C$199=1),0,IF(Paths!$P$199="Complete",IF(C2121=10,Paths!$I$199,0),"n.a."))</f>
        <v>0</v>
      </c>
      <c r="M2121" s="16">
        <f>IF(NOT(Paths!$C$199=1),0,IF(Paths!$P$199="Complete",IF(AND(Paths!$D$199="EV",Paths!$E$199&lt;120,Paths!$E$199+'Operating costs'!$B$65&gt;Paths!$E$199,Paths!$E$199+'Operating costs'!$B$65&lt;=120,IF(Paths!$E$199+'Operating costs'!$B$65=0,C2121=0,AND(C2121&gt;0,Paths!$E$199+'Operating costs'!$B$65&gt;(C2121-1)*12,Paths!$E$199+'Operating costs'!$B$65&lt;=C2121*12))),'Operating costs'!$B$64,0)+IF(AND('Operating costs'!$B$67&gt;0,'Operating costs'!$B$67&lt;=120,OR(Paths!$D$199="ICE",'Operating costs'!$B$67&lt;=Paths!$E$199),IF('Operating costs'!$B$67=0,C2121=0,AND(C2121&gt;0,'Operating costs'!$B$67&gt;(C2121-1)*12,'Operating costs'!$B$67&lt;=C2121*12))),'Operating costs'!$B$66,0),"n.a."))</f>
        <v>0</v>
      </c>
      <c r="N2121" s="16">
        <f>IF(NOT(Paths!$C$199=1),0,IF(Paths!$P$199="Complete",SUM(G2121:I2121)-J2121-K2121-L2121+M2121+IF(C2121=0,Paths!$F$199,0)+IF(IF(Paths!$E$199=0,C2121=0,AND(C2121&gt;0,Paths!$E$199&gt;(C2121-1)*12,Paths!$E$199&lt;=C2121*12)),VLOOKUP(A2121,'Fleet register'!$A$7:$S$106,16,FALSE),0),"n.a."))</f>
        <v>0</v>
      </c>
      <c r="O2121" s="16">
        <f>IF(NOT(Paths!$C$199=1),0,IF(Paths!$P$199="Complete",N2121-IF(C2121=0,Paths!$F$199,0),"n.a."))</f>
        <v>0</v>
      </c>
      <c r="P2121" s="16">
        <f>IF(NOT(Paths!$C$199=1),0,IF(Paths!$P$199="Complete",O2121+L2121,"n.a."))</f>
        <v>0</v>
      </c>
      <c r="Q2121" s="16">
        <f>IF(NOT(Paths!$C$199=1),0,IF(Paths!$P$199="Complete",N2121*(1+'Operating costs'!$B$54)^-C2121,"n.a."))</f>
        <v>0</v>
      </c>
      <c r="R2121" s="16">
        <f>IF(NOT(Paths!$C$199=1),0,IF(Paths!$P$199="Complete",IF(AND(C2121=0,Paths!$E$199=0),I2121-J2121-K2121+VLOOKUP(A2121,'Fleet register'!$A$7:$S$106,15,FALSE)+VLOOKUP(A2121,'Fleet register'!$A$7:$S$106,16,FALSE),0),"n.a."))</f>
        <v>0</v>
      </c>
      <c r="S2121" s="1">
        <f>IF(NOT(Paths!$C$199=1),0,IF(Paths!$P$199="Complete",IF(C2121=0,0,Paths!$S$199*Paths!$R$199),"n.a."))</f>
        <v>0</v>
      </c>
      <c r="T2121" s="1">
        <f>IF(NOT(Paths!$C$199=1),0,IF(Paths!$P$199="Complete",IF(C2121=0,0,VLOOKUP(A2121,'Fleet register'!$A$7:$S$106,9,FALSE)*Paths!$R$199),"n.a."))</f>
        <v>0</v>
      </c>
    </row>
    <row r="2122" spans="1:20" ht="24" customHeight="1">
      <c r="A2122" s="1" t="str">
        <f>Paths!$A$199</f>
        <v>T049</v>
      </c>
      <c r="B2122" s="1">
        <f>Paths!$B$199</f>
        <v>0</v>
      </c>
      <c r="C2122" s="1">
        <v>3</v>
      </c>
      <c r="D2122" s="1">
        <v>199</v>
      </c>
      <c r="E2122" s="1">
        <f>IF(OR(Paths!$C$199=0,C2122=0),0,MAX(0,MIN(C2122*12,Paths!$E$199)-(C2122-1)*12))</f>
        <v>0</v>
      </c>
      <c r="F2122" s="1">
        <f>IF(OR(Paths!$C$199=0,C2122=0),0,12-E2122)</f>
        <v>0</v>
      </c>
      <c r="G2122" s="16">
        <f>IF(NOT(Paths!$C$199=1),0,IF(Paths!$P$199="Complete",E2122/12*(Paths!$J$199*(1+'Operating costs'!$B$51)^MAX(0,C2122-1)+Paths!$K$199*(1+'Operating costs'!$B$53)^MAX(0,C2122-1)),"n.a."))</f>
        <v>0</v>
      </c>
      <c r="H2122" s="16">
        <f>IF(NOT(Paths!$C$199=1),0,IF(Paths!$P$199="Complete",F2122/12*(Paths!$L$199*(1+IF(Paths!$D$199="EV",'Operating costs'!$B$52,'Operating costs'!$B$51))^MAX(0,C2122-1)+Paths!$M$199*(1+'Operating costs'!$B$53)^MAX(0,C2122-1)),"n.a."))</f>
        <v>0</v>
      </c>
      <c r="I2122" s="16">
        <f>IF(NOT(Paths!$C$199=1),0,IF(Paths!$P$199="Complete",IF(IF(Paths!$E$199=0,C2122=0,AND(C2122&gt;0,Paths!$E$199&gt;(C2122-1)*12,Paths!$E$199&lt;=C2122*12)),Paths!$G$199,0),"n.a."))</f>
        <v>0</v>
      </c>
      <c r="J2122" s="16">
        <f>IF(NOT(Paths!$C$199=1),0,IF(Paths!$P$199="Complete",IF(IF(Paths!$E$199=0,C2122=0,AND(C2122&gt;0,Paths!$E$199&gt;(C2122-1)*12,Paths!$E$199&lt;=C2122*12)),Paths!$H$199,0),"n.a."))</f>
        <v>0</v>
      </c>
      <c r="K2122" s="16">
        <f>IF(NOT(Paths!$C$199=1),0,IF(Paths!$P$199="Complete",IF(IF(Paths!$O$199=0,C2122=0,AND(C2122&gt;0,Paths!$O$199&gt;(C2122-1)*12,Paths!$O$199&lt;=C2122*12)),Paths!$N$199,0),"n.a."))</f>
        <v>0</v>
      </c>
      <c r="L2122" s="16">
        <f>IF(NOT(Paths!$C$199=1),0,IF(Paths!$P$199="Complete",IF(C2122=10,Paths!$I$199,0),"n.a."))</f>
        <v>0</v>
      </c>
      <c r="M2122" s="16">
        <f>IF(NOT(Paths!$C$199=1),0,IF(Paths!$P$199="Complete",IF(AND(Paths!$D$199="EV",Paths!$E$199&lt;120,Paths!$E$199+'Operating costs'!$B$65&gt;Paths!$E$199,Paths!$E$199+'Operating costs'!$B$65&lt;=120,IF(Paths!$E$199+'Operating costs'!$B$65=0,C2122=0,AND(C2122&gt;0,Paths!$E$199+'Operating costs'!$B$65&gt;(C2122-1)*12,Paths!$E$199+'Operating costs'!$B$65&lt;=C2122*12))),'Operating costs'!$B$64,0)+IF(AND('Operating costs'!$B$67&gt;0,'Operating costs'!$B$67&lt;=120,OR(Paths!$D$199="ICE",'Operating costs'!$B$67&lt;=Paths!$E$199),IF('Operating costs'!$B$67=0,C2122=0,AND(C2122&gt;0,'Operating costs'!$B$67&gt;(C2122-1)*12,'Operating costs'!$B$67&lt;=C2122*12))),'Operating costs'!$B$66,0),"n.a."))</f>
        <v>0</v>
      </c>
      <c r="N2122" s="16">
        <f>IF(NOT(Paths!$C$199=1),0,IF(Paths!$P$199="Complete",SUM(G2122:I2122)-J2122-K2122-L2122+M2122+IF(C2122=0,Paths!$F$199,0)+IF(IF(Paths!$E$199=0,C2122=0,AND(C2122&gt;0,Paths!$E$199&gt;(C2122-1)*12,Paths!$E$199&lt;=C2122*12)),VLOOKUP(A2122,'Fleet register'!$A$7:$S$106,16,FALSE),0),"n.a."))</f>
        <v>0</v>
      </c>
      <c r="O2122" s="16">
        <f>IF(NOT(Paths!$C$199=1),0,IF(Paths!$P$199="Complete",N2122-IF(C2122=0,Paths!$F$199,0),"n.a."))</f>
        <v>0</v>
      </c>
      <c r="P2122" s="16">
        <f>IF(NOT(Paths!$C$199=1),0,IF(Paths!$P$199="Complete",O2122+L2122,"n.a."))</f>
        <v>0</v>
      </c>
      <c r="Q2122" s="16">
        <f>IF(NOT(Paths!$C$199=1),0,IF(Paths!$P$199="Complete",N2122*(1+'Operating costs'!$B$54)^-C2122,"n.a."))</f>
        <v>0</v>
      </c>
      <c r="R2122" s="16">
        <f>IF(NOT(Paths!$C$199=1),0,IF(Paths!$P$199="Complete",IF(AND(C2122=0,Paths!$E$199=0),I2122-J2122-K2122+VLOOKUP(A2122,'Fleet register'!$A$7:$S$106,15,FALSE)+VLOOKUP(A2122,'Fleet register'!$A$7:$S$106,16,FALSE),0),"n.a."))</f>
        <v>0</v>
      </c>
      <c r="S2122" s="1">
        <f>IF(NOT(Paths!$C$199=1),0,IF(Paths!$P$199="Complete",IF(C2122=0,0,Paths!$S$199*Paths!$R$199),"n.a."))</f>
        <v>0</v>
      </c>
      <c r="T2122" s="1">
        <f>IF(NOT(Paths!$C$199=1),0,IF(Paths!$P$199="Complete",IF(C2122=0,0,VLOOKUP(A2122,'Fleet register'!$A$7:$S$106,9,FALSE)*Paths!$R$199),"n.a."))</f>
        <v>0</v>
      </c>
    </row>
    <row r="2123" spans="1:20" ht="24" customHeight="1">
      <c r="A2123" s="1" t="str">
        <f>Paths!$A$199</f>
        <v>T049</v>
      </c>
      <c r="B2123" s="1">
        <f>Paths!$B$199</f>
        <v>0</v>
      </c>
      <c r="C2123" s="1">
        <v>4</v>
      </c>
      <c r="D2123" s="1">
        <v>199</v>
      </c>
      <c r="E2123" s="1">
        <f>IF(OR(Paths!$C$199=0,C2123=0),0,MAX(0,MIN(C2123*12,Paths!$E$199)-(C2123-1)*12))</f>
        <v>0</v>
      </c>
      <c r="F2123" s="1">
        <f>IF(OR(Paths!$C$199=0,C2123=0),0,12-E2123)</f>
        <v>0</v>
      </c>
      <c r="G2123" s="16">
        <f>IF(NOT(Paths!$C$199=1),0,IF(Paths!$P$199="Complete",E2123/12*(Paths!$J$199*(1+'Operating costs'!$B$51)^MAX(0,C2123-1)+Paths!$K$199*(1+'Operating costs'!$B$53)^MAX(0,C2123-1)),"n.a."))</f>
        <v>0</v>
      </c>
      <c r="H2123" s="16">
        <f>IF(NOT(Paths!$C$199=1),0,IF(Paths!$P$199="Complete",F2123/12*(Paths!$L$199*(1+IF(Paths!$D$199="EV",'Operating costs'!$B$52,'Operating costs'!$B$51))^MAX(0,C2123-1)+Paths!$M$199*(1+'Operating costs'!$B$53)^MAX(0,C2123-1)),"n.a."))</f>
        <v>0</v>
      </c>
      <c r="I2123" s="16">
        <f>IF(NOT(Paths!$C$199=1),0,IF(Paths!$P$199="Complete",IF(IF(Paths!$E$199=0,C2123=0,AND(C2123&gt;0,Paths!$E$199&gt;(C2123-1)*12,Paths!$E$199&lt;=C2123*12)),Paths!$G$199,0),"n.a."))</f>
        <v>0</v>
      </c>
      <c r="J2123" s="16">
        <f>IF(NOT(Paths!$C$199=1),0,IF(Paths!$P$199="Complete",IF(IF(Paths!$E$199=0,C2123=0,AND(C2123&gt;0,Paths!$E$199&gt;(C2123-1)*12,Paths!$E$199&lt;=C2123*12)),Paths!$H$199,0),"n.a."))</f>
        <v>0</v>
      </c>
      <c r="K2123" s="16">
        <f>IF(NOT(Paths!$C$199=1),0,IF(Paths!$P$199="Complete",IF(IF(Paths!$O$199=0,C2123=0,AND(C2123&gt;0,Paths!$O$199&gt;(C2123-1)*12,Paths!$O$199&lt;=C2123*12)),Paths!$N$199,0),"n.a."))</f>
        <v>0</v>
      </c>
      <c r="L2123" s="16">
        <f>IF(NOT(Paths!$C$199=1),0,IF(Paths!$P$199="Complete",IF(C2123=10,Paths!$I$199,0),"n.a."))</f>
        <v>0</v>
      </c>
      <c r="M2123" s="16">
        <f>IF(NOT(Paths!$C$199=1),0,IF(Paths!$P$199="Complete",IF(AND(Paths!$D$199="EV",Paths!$E$199&lt;120,Paths!$E$199+'Operating costs'!$B$65&gt;Paths!$E$199,Paths!$E$199+'Operating costs'!$B$65&lt;=120,IF(Paths!$E$199+'Operating costs'!$B$65=0,C2123=0,AND(C2123&gt;0,Paths!$E$199+'Operating costs'!$B$65&gt;(C2123-1)*12,Paths!$E$199+'Operating costs'!$B$65&lt;=C2123*12))),'Operating costs'!$B$64,0)+IF(AND('Operating costs'!$B$67&gt;0,'Operating costs'!$B$67&lt;=120,OR(Paths!$D$199="ICE",'Operating costs'!$B$67&lt;=Paths!$E$199),IF('Operating costs'!$B$67=0,C2123=0,AND(C2123&gt;0,'Operating costs'!$B$67&gt;(C2123-1)*12,'Operating costs'!$B$67&lt;=C2123*12))),'Operating costs'!$B$66,0),"n.a."))</f>
        <v>0</v>
      </c>
      <c r="N2123" s="16">
        <f>IF(NOT(Paths!$C$199=1),0,IF(Paths!$P$199="Complete",SUM(G2123:I2123)-J2123-K2123-L2123+M2123+IF(C2123=0,Paths!$F$199,0)+IF(IF(Paths!$E$199=0,C2123=0,AND(C2123&gt;0,Paths!$E$199&gt;(C2123-1)*12,Paths!$E$199&lt;=C2123*12)),VLOOKUP(A2123,'Fleet register'!$A$7:$S$106,16,FALSE),0),"n.a."))</f>
        <v>0</v>
      </c>
      <c r="O2123" s="16">
        <f>IF(NOT(Paths!$C$199=1),0,IF(Paths!$P$199="Complete",N2123-IF(C2123=0,Paths!$F$199,0),"n.a."))</f>
        <v>0</v>
      </c>
      <c r="P2123" s="16">
        <f>IF(NOT(Paths!$C$199=1),0,IF(Paths!$P$199="Complete",O2123+L2123,"n.a."))</f>
        <v>0</v>
      </c>
      <c r="Q2123" s="16">
        <f>IF(NOT(Paths!$C$199=1),0,IF(Paths!$P$199="Complete",N2123*(1+'Operating costs'!$B$54)^-C2123,"n.a."))</f>
        <v>0</v>
      </c>
      <c r="R2123" s="16">
        <f>IF(NOT(Paths!$C$199=1),0,IF(Paths!$P$199="Complete",IF(AND(C2123=0,Paths!$E$199=0),I2123-J2123-K2123+VLOOKUP(A2123,'Fleet register'!$A$7:$S$106,15,FALSE)+VLOOKUP(A2123,'Fleet register'!$A$7:$S$106,16,FALSE),0),"n.a."))</f>
        <v>0</v>
      </c>
      <c r="S2123" s="1">
        <f>IF(NOT(Paths!$C$199=1),0,IF(Paths!$P$199="Complete",IF(C2123=0,0,Paths!$S$199*Paths!$R$199),"n.a."))</f>
        <v>0</v>
      </c>
      <c r="T2123" s="1">
        <f>IF(NOT(Paths!$C$199=1),0,IF(Paths!$P$199="Complete",IF(C2123=0,0,VLOOKUP(A2123,'Fleet register'!$A$7:$S$106,9,FALSE)*Paths!$R$199),"n.a."))</f>
        <v>0</v>
      </c>
    </row>
    <row r="2124" spans="1:20" ht="24" customHeight="1">
      <c r="A2124" s="1" t="str">
        <f>Paths!$A$199</f>
        <v>T049</v>
      </c>
      <c r="B2124" s="1">
        <f>Paths!$B$199</f>
        <v>0</v>
      </c>
      <c r="C2124" s="1">
        <v>5</v>
      </c>
      <c r="D2124" s="1">
        <v>199</v>
      </c>
      <c r="E2124" s="1">
        <f>IF(OR(Paths!$C$199=0,C2124=0),0,MAX(0,MIN(C2124*12,Paths!$E$199)-(C2124-1)*12))</f>
        <v>0</v>
      </c>
      <c r="F2124" s="1">
        <f>IF(OR(Paths!$C$199=0,C2124=0),0,12-E2124)</f>
        <v>0</v>
      </c>
      <c r="G2124" s="16">
        <f>IF(NOT(Paths!$C$199=1),0,IF(Paths!$P$199="Complete",E2124/12*(Paths!$J$199*(1+'Operating costs'!$B$51)^MAX(0,C2124-1)+Paths!$K$199*(1+'Operating costs'!$B$53)^MAX(0,C2124-1)),"n.a."))</f>
        <v>0</v>
      </c>
      <c r="H2124" s="16">
        <f>IF(NOT(Paths!$C$199=1),0,IF(Paths!$P$199="Complete",F2124/12*(Paths!$L$199*(1+IF(Paths!$D$199="EV",'Operating costs'!$B$52,'Operating costs'!$B$51))^MAX(0,C2124-1)+Paths!$M$199*(1+'Operating costs'!$B$53)^MAX(0,C2124-1)),"n.a."))</f>
        <v>0</v>
      </c>
      <c r="I2124" s="16">
        <f>IF(NOT(Paths!$C$199=1),0,IF(Paths!$P$199="Complete",IF(IF(Paths!$E$199=0,C2124=0,AND(C2124&gt;0,Paths!$E$199&gt;(C2124-1)*12,Paths!$E$199&lt;=C2124*12)),Paths!$G$199,0),"n.a."))</f>
        <v>0</v>
      </c>
      <c r="J2124" s="16">
        <f>IF(NOT(Paths!$C$199=1),0,IF(Paths!$P$199="Complete",IF(IF(Paths!$E$199=0,C2124=0,AND(C2124&gt;0,Paths!$E$199&gt;(C2124-1)*12,Paths!$E$199&lt;=C2124*12)),Paths!$H$199,0),"n.a."))</f>
        <v>0</v>
      </c>
      <c r="K2124" s="16">
        <f>IF(NOT(Paths!$C$199=1),0,IF(Paths!$P$199="Complete",IF(IF(Paths!$O$199=0,C2124=0,AND(C2124&gt;0,Paths!$O$199&gt;(C2124-1)*12,Paths!$O$199&lt;=C2124*12)),Paths!$N$199,0),"n.a."))</f>
        <v>0</v>
      </c>
      <c r="L2124" s="16">
        <f>IF(NOT(Paths!$C$199=1),0,IF(Paths!$P$199="Complete",IF(C2124=10,Paths!$I$199,0),"n.a."))</f>
        <v>0</v>
      </c>
      <c r="M2124" s="16">
        <f>IF(NOT(Paths!$C$199=1),0,IF(Paths!$P$199="Complete",IF(AND(Paths!$D$199="EV",Paths!$E$199&lt;120,Paths!$E$199+'Operating costs'!$B$65&gt;Paths!$E$199,Paths!$E$199+'Operating costs'!$B$65&lt;=120,IF(Paths!$E$199+'Operating costs'!$B$65=0,C2124=0,AND(C2124&gt;0,Paths!$E$199+'Operating costs'!$B$65&gt;(C2124-1)*12,Paths!$E$199+'Operating costs'!$B$65&lt;=C2124*12))),'Operating costs'!$B$64,0)+IF(AND('Operating costs'!$B$67&gt;0,'Operating costs'!$B$67&lt;=120,OR(Paths!$D$199="ICE",'Operating costs'!$B$67&lt;=Paths!$E$199),IF('Operating costs'!$B$67=0,C2124=0,AND(C2124&gt;0,'Operating costs'!$B$67&gt;(C2124-1)*12,'Operating costs'!$B$67&lt;=C2124*12))),'Operating costs'!$B$66,0),"n.a."))</f>
        <v>0</v>
      </c>
      <c r="N2124" s="16">
        <f>IF(NOT(Paths!$C$199=1),0,IF(Paths!$P$199="Complete",SUM(G2124:I2124)-J2124-K2124-L2124+M2124+IF(C2124=0,Paths!$F$199,0)+IF(IF(Paths!$E$199=0,C2124=0,AND(C2124&gt;0,Paths!$E$199&gt;(C2124-1)*12,Paths!$E$199&lt;=C2124*12)),VLOOKUP(A2124,'Fleet register'!$A$7:$S$106,16,FALSE),0),"n.a."))</f>
        <v>0</v>
      </c>
      <c r="O2124" s="16">
        <f>IF(NOT(Paths!$C$199=1),0,IF(Paths!$P$199="Complete",N2124-IF(C2124=0,Paths!$F$199,0),"n.a."))</f>
        <v>0</v>
      </c>
      <c r="P2124" s="16">
        <f>IF(NOT(Paths!$C$199=1),0,IF(Paths!$P$199="Complete",O2124+L2124,"n.a."))</f>
        <v>0</v>
      </c>
      <c r="Q2124" s="16">
        <f>IF(NOT(Paths!$C$199=1),0,IF(Paths!$P$199="Complete",N2124*(1+'Operating costs'!$B$54)^-C2124,"n.a."))</f>
        <v>0</v>
      </c>
      <c r="R2124" s="16">
        <f>IF(NOT(Paths!$C$199=1),0,IF(Paths!$P$199="Complete",IF(AND(C2124=0,Paths!$E$199=0),I2124-J2124-K2124+VLOOKUP(A2124,'Fleet register'!$A$7:$S$106,15,FALSE)+VLOOKUP(A2124,'Fleet register'!$A$7:$S$106,16,FALSE),0),"n.a."))</f>
        <v>0</v>
      </c>
      <c r="S2124" s="1">
        <f>IF(NOT(Paths!$C$199=1),0,IF(Paths!$P$199="Complete",IF(C2124=0,0,Paths!$S$199*Paths!$R$199),"n.a."))</f>
        <v>0</v>
      </c>
      <c r="T2124" s="1">
        <f>IF(NOT(Paths!$C$199=1),0,IF(Paths!$P$199="Complete",IF(C2124=0,0,VLOOKUP(A2124,'Fleet register'!$A$7:$S$106,9,FALSE)*Paths!$R$199),"n.a."))</f>
        <v>0</v>
      </c>
    </row>
    <row r="2125" spans="1:20" ht="24" customHeight="1">
      <c r="A2125" s="1" t="str">
        <f>Paths!$A$199</f>
        <v>T049</v>
      </c>
      <c r="B2125" s="1">
        <f>Paths!$B$199</f>
        <v>0</v>
      </c>
      <c r="C2125" s="1">
        <v>6</v>
      </c>
      <c r="D2125" s="1">
        <v>199</v>
      </c>
      <c r="E2125" s="1">
        <f>IF(OR(Paths!$C$199=0,C2125=0),0,MAX(0,MIN(C2125*12,Paths!$E$199)-(C2125-1)*12))</f>
        <v>0</v>
      </c>
      <c r="F2125" s="1">
        <f>IF(OR(Paths!$C$199=0,C2125=0),0,12-E2125)</f>
        <v>0</v>
      </c>
      <c r="G2125" s="16">
        <f>IF(NOT(Paths!$C$199=1),0,IF(Paths!$P$199="Complete",E2125/12*(Paths!$J$199*(1+'Operating costs'!$B$51)^MAX(0,C2125-1)+Paths!$K$199*(1+'Operating costs'!$B$53)^MAX(0,C2125-1)),"n.a."))</f>
        <v>0</v>
      </c>
      <c r="H2125" s="16">
        <f>IF(NOT(Paths!$C$199=1),0,IF(Paths!$P$199="Complete",F2125/12*(Paths!$L$199*(1+IF(Paths!$D$199="EV",'Operating costs'!$B$52,'Operating costs'!$B$51))^MAX(0,C2125-1)+Paths!$M$199*(1+'Operating costs'!$B$53)^MAX(0,C2125-1)),"n.a."))</f>
        <v>0</v>
      </c>
      <c r="I2125" s="16">
        <f>IF(NOT(Paths!$C$199=1),0,IF(Paths!$P$199="Complete",IF(IF(Paths!$E$199=0,C2125=0,AND(C2125&gt;0,Paths!$E$199&gt;(C2125-1)*12,Paths!$E$199&lt;=C2125*12)),Paths!$G$199,0),"n.a."))</f>
        <v>0</v>
      </c>
      <c r="J2125" s="16">
        <f>IF(NOT(Paths!$C$199=1),0,IF(Paths!$P$199="Complete",IF(IF(Paths!$E$199=0,C2125=0,AND(C2125&gt;0,Paths!$E$199&gt;(C2125-1)*12,Paths!$E$199&lt;=C2125*12)),Paths!$H$199,0),"n.a."))</f>
        <v>0</v>
      </c>
      <c r="K2125" s="16">
        <f>IF(NOT(Paths!$C$199=1),0,IF(Paths!$P$199="Complete",IF(IF(Paths!$O$199=0,C2125=0,AND(C2125&gt;0,Paths!$O$199&gt;(C2125-1)*12,Paths!$O$199&lt;=C2125*12)),Paths!$N$199,0),"n.a."))</f>
        <v>0</v>
      </c>
      <c r="L2125" s="16">
        <f>IF(NOT(Paths!$C$199=1),0,IF(Paths!$P$199="Complete",IF(C2125=10,Paths!$I$199,0),"n.a."))</f>
        <v>0</v>
      </c>
      <c r="M2125" s="16">
        <f>IF(NOT(Paths!$C$199=1),0,IF(Paths!$P$199="Complete",IF(AND(Paths!$D$199="EV",Paths!$E$199&lt;120,Paths!$E$199+'Operating costs'!$B$65&gt;Paths!$E$199,Paths!$E$199+'Operating costs'!$B$65&lt;=120,IF(Paths!$E$199+'Operating costs'!$B$65=0,C2125=0,AND(C2125&gt;0,Paths!$E$199+'Operating costs'!$B$65&gt;(C2125-1)*12,Paths!$E$199+'Operating costs'!$B$65&lt;=C2125*12))),'Operating costs'!$B$64,0)+IF(AND('Operating costs'!$B$67&gt;0,'Operating costs'!$B$67&lt;=120,OR(Paths!$D$199="ICE",'Operating costs'!$B$67&lt;=Paths!$E$199),IF('Operating costs'!$B$67=0,C2125=0,AND(C2125&gt;0,'Operating costs'!$B$67&gt;(C2125-1)*12,'Operating costs'!$B$67&lt;=C2125*12))),'Operating costs'!$B$66,0),"n.a."))</f>
        <v>0</v>
      </c>
      <c r="N2125" s="16">
        <f>IF(NOT(Paths!$C$199=1),0,IF(Paths!$P$199="Complete",SUM(G2125:I2125)-J2125-K2125-L2125+M2125+IF(C2125=0,Paths!$F$199,0)+IF(IF(Paths!$E$199=0,C2125=0,AND(C2125&gt;0,Paths!$E$199&gt;(C2125-1)*12,Paths!$E$199&lt;=C2125*12)),VLOOKUP(A2125,'Fleet register'!$A$7:$S$106,16,FALSE),0),"n.a."))</f>
        <v>0</v>
      </c>
      <c r="O2125" s="16">
        <f>IF(NOT(Paths!$C$199=1),0,IF(Paths!$P$199="Complete",N2125-IF(C2125=0,Paths!$F$199,0),"n.a."))</f>
        <v>0</v>
      </c>
      <c r="P2125" s="16">
        <f>IF(NOT(Paths!$C$199=1),0,IF(Paths!$P$199="Complete",O2125+L2125,"n.a."))</f>
        <v>0</v>
      </c>
      <c r="Q2125" s="16">
        <f>IF(NOT(Paths!$C$199=1),0,IF(Paths!$P$199="Complete",N2125*(1+'Operating costs'!$B$54)^-C2125,"n.a."))</f>
        <v>0</v>
      </c>
      <c r="R2125" s="16">
        <f>IF(NOT(Paths!$C$199=1),0,IF(Paths!$P$199="Complete",IF(AND(C2125=0,Paths!$E$199=0),I2125-J2125-K2125+VLOOKUP(A2125,'Fleet register'!$A$7:$S$106,15,FALSE)+VLOOKUP(A2125,'Fleet register'!$A$7:$S$106,16,FALSE),0),"n.a."))</f>
        <v>0</v>
      </c>
      <c r="S2125" s="1">
        <f>IF(NOT(Paths!$C$199=1),0,IF(Paths!$P$199="Complete",IF(C2125=0,0,Paths!$S$199*Paths!$R$199),"n.a."))</f>
        <v>0</v>
      </c>
      <c r="T2125" s="1">
        <f>IF(NOT(Paths!$C$199=1),0,IF(Paths!$P$199="Complete",IF(C2125=0,0,VLOOKUP(A2125,'Fleet register'!$A$7:$S$106,9,FALSE)*Paths!$R$199),"n.a."))</f>
        <v>0</v>
      </c>
    </row>
    <row r="2126" spans="1:20" ht="24" customHeight="1">
      <c r="A2126" s="1" t="str">
        <f>Paths!$A$199</f>
        <v>T049</v>
      </c>
      <c r="B2126" s="1">
        <f>Paths!$B$199</f>
        <v>0</v>
      </c>
      <c r="C2126" s="1">
        <v>7</v>
      </c>
      <c r="D2126" s="1">
        <v>199</v>
      </c>
      <c r="E2126" s="1">
        <f>IF(OR(Paths!$C$199=0,C2126=0),0,MAX(0,MIN(C2126*12,Paths!$E$199)-(C2126-1)*12))</f>
        <v>0</v>
      </c>
      <c r="F2126" s="1">
        <f>IF(OR(Paths!$C$199=0,C2126=0),0,12-E2126)</f>
        <v>0</v>
      </c>
      <c r="G2126" s="16">
        <f>IF(NOT(Paths!$C$199=1),0,IF(Paths!$P$199="Complete",E2126/12*(Paths!$J$199*(1+'Operating costs'!$B$51)^MAX(0,C2126-1)+Paths!$K$199*(1+'Operating costs'!$B$53)^MAX(0,C2126-1)),"n.a."))</f>
        <v>0</v>
      </c>
      <c r="H2126" s="16">
        <f>IF(NOT(Paths!$C$199=1),0,IF(Paths!$P$199="Complete",F2126/12*(Paths!$L$199*(1+IF(Paths!$D$199="EV",'Operating costs'!$B$52,'Operating costs'!$B$51))^MAX(0,C2126-1)+Paths!$M$199*(1+'Operating costs'!$B$53)^MAX(0,C2126-1)),"n.a."))</f>
        <v>0</v>
      </c>
      <c r="I2126" s="16">
        <f>IF(NOT(Paths!$C$199=1),0,IF(Paths!$P$199="Complete",IF(IF(Paths!$E$199=0,C2126=0,AND(C2126&gt;0,Paths!$E$199&gt;(C2126-1)*12,Paths!$E$199&lt;=C2126*12)),Paths!$G$199,0),"n.a."))</f>
        <v>0</v>
      </c>
      <c r="J2126" s="16">
        <f>IF(NOT(Paths!$C$199=1),0,IF(Paths!$P$199="Complete",IF(IF(Paths!$E$199=0,C2126=0,AND(C2126&gt;0,Paths!$E$199&gt;(C2126-1)*12,Paths!$E$199&lt;=C2126*12)),Paths!$H$199,0),"n.a."))</f>
        <v>0</v>
      </c>
      <c r="K2126" s="16">
        <f>IF(NOT(Paths!$C$199=1),0,IF(Paths!$P$199="Complete",IF(IF(Paths!$O$199=0,C2126=0,AND(C2126&gt;0,Paths!$O$199&gt;(C2126-1)*12,Paths!$O$199&lt;=C2126*12)),Paths!$N$199,0),"n.a."))</f>
        <v>0</v>
      </c>
      <c r="L2126" s="16">
        <f>IF(NOT(Paths!$C$199=1),0,IF(Paths!$P$199="Complete",IF(C2126=10,Paths!$I$199,0),"n.a."))</f>
        <v>0</v>
      </c>
      <c r="M2126" s="16">
        <f>IF(NOT(Paths!$C$199=1),0,IF(Paths!$P$199="Complete",IF(AND(Paths!$D$199="EV",Paths!$E$199&lt;120,Paths!$E$199+'Operating costs'!$B$65&gt;Paths!$E$199,Paths!$E$199+'Operating costs'!$B$65&lt;=120,IF(Paths!$E$199+'Operating costs'!$B$65=0,C2126=0,AND(C2126&gt;0,Paths!$E$199+'Operating costs'!$B$65&gt;(C2126-1)*12,Paths!$E$199+'Operating costs'!$B$65&lt;=C2126*12))),'Operating costs'!$B$64,0)+IF(AND('Operating costs'!$B$67&gt;0,'Operating costs'!$B$67&lt;=120,OR(Paths!$D$199="ICE",'Operating costs'!$B$67&lt;=Paths!$E$199),IF('Operating costs'!$B$67=0,C2126=0,AND(C2126&gt;0,'Operating costs'!$B$67&gt;(C2126-1)*12,'Operating costs'!$B$67&lt;=C2126*12))),'Operating costs'!$B$66,0),"n.a."))</f>
        <v>0</v>
      </c>
      <c r="N2126" s="16">
        <f>IF(NOT(Paths!$C$199=1),0,IF(Paths!$P$199="Complete",SUM(G2126:I2126)-J2126-K2126-L2126+M2126+IF(C2126=0,Paths!$F$199,0)+IF(IF(Paths!$E$199=0,C2126=0,AND(C2126&gt;0,Paths!$E$199&gt;(C2126-1)*12,Paths!$E$199&lt;=C2126*12)),VLOOKUP(A2126,'Fleet register'!$A$7:$S$106,16,FALSE),0),"n.a."))</f>
        <v>0</v>
      </c>
      <c r="O2126" s="16">
        <f>IF(NOT(Paths!$C$199=1),0,IF(Paths!$P$199="Complete",N2126-IF(C2126=0,Paths!$F$199,0),"n.a."))</f>
        <v>0</v>
      </c>
      <c r="P2126" s="16">
        <f>IF(NOT(Paths!$C$199=1),0,IF(Paths!$P$199="Complete",O2126+L2126,"n.a."))</f>
        <v>0</v>
      </c>
      <c r="Q2126" s="16">
        <f>IF(NOT(Paths!$C$199=1),0,IF(Paths!$P$199="Complete",N2126*(1+'Operating costs'!$B$54)^-C2126,"n.a."))</f>
        <v>0</v>
      </c>
      <c r="R2126" s="16">
        <f>IF(NOT(Paths!$C$199=1),0,IF(Paths!$P$199="Complete",IF(AND(C2126=0,Paths!$E$199=0),I2126-J2126-K2126+VLOOKUP(A2126,'Fleet register'!$A$7:$S$106,15,FALSE)+VLOOKUP(A2126,'Fleet register'!$A$7:$S$106,16,FALSE),0),"n.a."))</f>
        <v>0</v>
      </c>
      <c r="S2126" s="1">
        <f>IF(NOT(Paths!$C$199=1),0,IF(Paths!$P$199="Complete",IF(C2126=0,0,Paths!$S$199*Paths!$R$199),"n.a."))</f>
        <v>0</v>
      </c>
      <c r="T2126" s="1">
        <f>IF(NOT(Paths!$C$199=1),0,IF(Paths!$P$199="Complete",IF(C2126=0,0,VLOOKUP(A2126,'Fleet register'!$A$7:$S$106,9,FALSE)*Paths!$R$199),"n.a."))</f>
        <v>0</v>
      </c>
    </row>
    <row r="2127" spans="1:20" ht="24" customHeight="1">
      <c r="A2127" s="1" t="str">
        <f>Paths!$A$199</f>
        <v>T049</v>
      </c>
      <c r="B2127" s="1">
        <f>Paths!$B$199</f>
        <v>0</v>
      </c>
      <c r="C2127" s="1">
        <v>8</v>
      </c>
      <c r="D2127" s="1">
        <v>199</v>
      </c>
      <c r="E2127" s="1">
        <f>IF(OR(Paths!$C$199=0,C2127=0),0,MAX(0,MIN(C2127*12,Paths!$E$199)-(C2127-1)*12))</f>
        <v>0</v>
      </c>
      <c r="F2127" s="1">
        <f>IF(OR(Paths!$C$199=0,C2127=0),0,12-E2127)</f>
        <v>0</v>
      </c>
      <c r="G2127" s="16">
        <f>IF(NOT(Paths!$C$199=1),0,IF(Paths!$P$199="Complete",E2127/12*(Paths!$J$199*(1+'Operating costs'!$B$51)^MAX(0,C2127-1)+Paths!$K$199*(1+'Operating costs'!$B$53)^MAX(0,C2127-1)),"n.a."))</f>
        <v>0</v>
      </c>
      <c r="H2127" s="16">
        <f>IF(NOT(Paths!$C$199=1),0,IF(Paths!$P$199="Complete",F2127/12*(Paths!$L$199*(1+IF(Paths!$D$199="EV",'Operating costs'!$B$52,'Operating costs'!$B$51))^MAX(0,C2127-1)+Paths!$M$199*(1+'Operating costs'!$B$53)^MAX(0,C2127-1)),"n.a."))</f>
        <v>0</v>
      </c>
      <c r="I2127" s="16">
        <f>IF(NOT(Paths!$C$199=1),0,IF(Paths!$P$199="Complete",IF(IF(Paths!$E$199=0,C2127=0,AND(C2127&gt;0,Paths!$E$199&gt;(C2127-1)*12,Paths!$E$199&lt;=C2127*12)),Paths!$G$199,0),"n.a."))</f>
        <v>0</v>
      </c>
      <c r="J2127" s="16">
        <f>IF(NOT(Paths!$C$199=1),0,IF(Paths!$P$199="Complete",IF(IF(Paths!$E$199=0,C2127=0,AND(C2127&gt;0,Paths!$E$199&gt;(C2127-1)*12,Paths!$E$199&lt;=C2127*12)),Paths!$H$199,0),"n.a."))</f>
        <v>0</v>
      </c>
      <c r="K2127" s="16">
        <f>IF(NOT(Paths!$C$199=1),0,IF(Paths!$P$199="Complete",IF(IF(Paths!$O$199=0,C2127=0,AND(C2127&gt;0,Paths!$O$199&gt;(C2127-1)*12,Paths!$O$199&lt;=C2127*12)),Paths!$N$199,0),"n.a."))</f>
        <v>0</v>
      </c>
      <c r="L2127" s="16">
        <f>IF(NOT(Paths!$C$199=1),0,IF(Paths!$P$199="Complete",IF(C2127=10,Paths!$I$199,0),"n.a."))</f>
        <v>0</v>
      </c>
      <c r="M2127" s="16">
        <f>IF(NOT(Paths!$C$199=1),0,IF(Paths!$P$199="Complete",IF(AND(Paths!$D$199="EV",Paths!$E$199&lt;120,Paths!$E$199+'Operating costs'!$B$65&gt;Paths!$E$199,Paths!$E$199+'Operating costs'!$B$65&lt;=120,IF(Paths!$E$199+'Operating costs'!$B$65=0,C2127=0,AND(C2127&gt;0,Paths!$E$199+'Operating costs'!$B$65&gt;(C2127-1)*12,Paths!$E$199+'Operating costs'!$B$65&lt;=C2127*12))),'Operating costs'!$B$64,0)+IF(AND('Operating costs'!$B$67&gt;0,'Operating costs'!$B$67&lt;=120,OR(Paths!$D$199="ICE",'Operating costs'!$B$67&lt;=Paths!$E$199),IF('Operating costs'!$B$67=0,C2127=0,AND(C2127&gt;0,'Operating costs'!$B$67&gt;(C2127-1)*12,'Operating costs'!$B$67&lt;=C2127*12))),'Operating costs'!$B$66,0),"n.a."))</f>
        <v>0</v>
      </c>
      <c r="N2127" s="16">
        <f>IF(NOT(Paths!$C$199=1),0,IF(Paths!$P$199="Complete",SUM(G2127:I2127)-J2127-K2127-L2127+M2127+IF(C2127=0,Paths!$F$199,0)+IF(IF(Paths!$E$199=0,C2127=0,AND(C2127&gt;0,Paths!$E$199&gt;(C2127-1)*12,Paths!$E$199&lt;=C2127*12)),VLOOKUP(A2127,'Fleet register'!$A$7:$S$106,16,FALSE),0),"n.a."))</f>
        <v>0</v>
      </c>
      <c r="O2127" s="16">
        <f>IF(NOT(Paths!$C$199=1),0,IF(Paths!$P$199="Complete",N2127-IF(C2127=0,Paths!$F$199,0),"n.a."))</f>
        <v>0</v>
      </c>
      <c r="P2127" s="16">
        <f>IF(NOT(Paths!$C$199=1),0,IF(Paths!$P$199="Complete",O2127+L2127,"n.a."))</f>
        <v>0</v>
      </c>
      <c r="Q2127" s="16">
        <f>IF(NOT(Paths!$C$199=1),0,IF(Paths!$P$199="Complete",N2127*(1+'Operating costs'!$B$54)^-C2127,"n.a."))</f>
        <v>0</v>
      </c>
      <c r="R2127" s="16">
        <f>IF(NOT(Paths!$C$199=1),0,IF(Paths!$P$199="Complete",IF(AND(C2127=0,Paths!$E$199=0),I2127-J2127-K2127+VLOOKUP(A2127,'Fleet register'!$A$7:$S$106,15,FALSE)+VLOOKUP(A2127,'Fleet register'!$A$7:$S$106,16,FALSE),0),"n.a."))</f>
        <v>0</v>
      </c>
      <c r="S2127" s="1">
        <f>IF(NOT(Paths!$C$199=1),0,IF(Paths!$P$199="Complete",IF(C2127=0,0,Paths!$S$199*Paths!$R$199),"n.a."))</f>
        <v>0</v>
      </c>
      <c r="T2127" s="1">
        <f>IF(NOT(Paths!$C$199=1),0,IF(Paths!$P$199="Complete",IF(C2127=0,0,VLOOKUP(A2127,'Fleet register'!$A$7:$S$106,9,FALSE)*Paths!$R$199),"n.a."))</f>
        <v>0</v>
      </c>
    </row>
    <row r="2128" spans="1:20" ht="24" customHeight="1">
      <c r="A2128" s="1" t="str">
        <f>Paths!$A$199</f>
        <v>T049</v>
      </c>
      <c r="B2128" s="1">
        <f>Paths!$B$199</f>
        <v>0</v>
      </c>
      <c r="C2128" s="1">
        <v>9</v>
      </c>
      <c r="D2128" s="1">
        <v>199</v>
      </c>
      <c r="E2128" s="1">
        <f>IF(OR(Paths!$C$199=0,C2128=0),0,MAX(0,MIN(C2128*12,Paths!$E$199)-(C2128-1)*12))</f>
        <v>0</v>
      </c>
      <c r="F2128" s="1">
        <f>IF(OR(Paths!$C$199=0,C2128=0),0,12-E2128)</f>
        <v>0</v>
      </c>
      <c r="G2128" s="16">
        <f>IF(NOT(Paths!$C$199=1),0,IF(Paths!$P$199="Complete",E2128/12*(Paths!$J$199*(1+'Operating costs'!$B$51)^MAX(0,C2128-1)+Paths!$K$199*(1+'Operating costs'!$B$53)^MAX(0,C2128-1)),"n.a."))</f>
        <v>0</v>
      </c>
      <c r="H2128" s="16">
        <f>IF(NOT(Paths!$C$199=1),0,IF(Paths!$P$199="Complete",F2128/12*(Paths!$L$199*(1+IF(Paths!$D$199="EV",'Operating costs'!$B$52,'Operating costs'!$B$51))^MAX(0,C2128-1)+Paths!$M$199*(1+'Operating costs'!$B$53)^MAX(0,C2128-1)),"n.a."))</f>
        <v>0</v>
      </c>
      <c r="I2128" s="16">
        <f>IF(NOT(Paths!$C$199=1),0,IF(Paths!$P$199="Complete",IF(IF(Paths!$E$199=0,C2128=0,AND(C2128&gt;0,Paths!$E$199&gt;(C2128-1)*12,Paths!$E$199&lt;=C2128*12)),Paths!$G$199,0),"n.a."))</f>
        <v>0</v>
      </c>
      <c r="J2128" s="16">
        <f>IF(NOT(Paths!$C$199=1),0,IF(Paths!$P$199="Complete",IF(IF(Paths!$E$199=0,C2128=0,AND(C2128&gt;0,Paths!$E$199&gt;(C2128-1)*12,Paths!$E$199&lt;=C2128*12)),Paths!$H$199,0),"n.a."))</f>
        <v>0</v>
      </c>
      <c r="K2128" s="16">
        <f>IF(NOT(Paths!$C$199=1),0,IF(Paths!$P$199="Complete",IF(IF(Paths!$O$199=0,C2128=0,AND(C2128&gt;0,Paths!$O$199&gt;(C2128-1)*12,Paths!$O$199&lt;=C2128*12)),Paths!$N$199,0),"n.a."))</f>
        <v>0</v>
      </c>
      <c r="L2128" s="16">
        <f>IF(NOT(Paths!$C$199=1),0,IF(Paths!$P$199="Complete",IF(C2128=10,Paths!$I$199,0),"n.a."))</f>
        <v>0</v>
      </c>
      <c r="M2128" s="16">
        <f>IF(NOT(Paths!$C$199=1),0,IF(Paths!$P$199="Complete",IF(AND(Paths!$D$199="EV",Paths!$E$199&lt;120,Paths!$E$199+'Operating costs'!$B$65&gt;Paths!$E$199,Paths!$E$199+'Operating costs'!$B$65&lt;=120,IF(Paths!$E$199+'Operating costs'!$B$65=0,C2128=0,AND(C2128&gt;0,Paths!$E$199+'Operating costs'!$B$65&gt;(C2128-1)*12,Paths!$E$199+'Operating costs'!$B$65&lt;=C2128*12))),'Operating costs'!$B$64,0)+IF(AND('Operating costs'!$B$67&gt;0,'Operating costs'!$B$67&lt;=120,OR(Paths!$D$199="ICE",'Operating costs'!$B$67&lt;=Paths!$E$199),IF('Operating costs'!$B$67=0,C2128=0,AND(C2128&gt;0,'Operating costs'!$B$67&gt;(C2128-1)*12,'Operating costs'!$B$67&lt;=C2128*12))),'Operating costs'!$B$66,0),"n.a."))</f>
        <v>0</v>
      </c>
      <c r="N2128" s="16">
        <f>IF(NOT(Paths!$C$199=1),0,IF(Paths!$P$199="Complete",SUM(G2128:I2128)-J2128-K2128-L2128+M2128+IF(C2128=0,Paths!$F$199,0)+IF(IF(Paths!$E$199=0,C2128=0,AND(C2128&gt;0,Paths!$E$199&gt;(C2128-1)*12,Paths!$E$199&lt;=C2128*12)),VLOOKUP(A2128,'Fleet register'!$A$7:$S$106,16,FALSE),0),"n.a."))</f>
        <v>0</v>
      </c>
      <c r="O2128" s="16">
        <f>IF(NOT(Paths!$C$199=1),0,IF(Paths!$P$199="Complete",N2128-IF(C2128=0,Paths!$F$199,0),"n.a."))</f>
        <v>0</v>
      </c>
      <c r="P2128" s="16">
        <f>IF(NOT(Paths!$C$199=1),0,IF(Paths!$P$199="Complete",O2128+L2128,"n.a."))</f>
        <v>0</v>
      </c>
      <c r="Q2128" s="16">
        <f>IF(NOT(Paths!$C$199=1),0,IF(Paths!$P$199="Complete",N2128*(1+'Operating costs'!$B$54)^-C2128,"n.a."))</f>
        <v>0</v>
      </c>
      <c r="R2128" s="16">
        <f>IF(NOT(Paths!$C$199=1),0,IF(Paths!$P$199="Complete",IF(AND(C2128=0,Paths!$E$199=0),I2128-J2128-K2128+VLOOKUP(A2128,'Fleet register'!$A$7:$S$106,15,FALSE)+VLOOKUP(A2128,'Fleet register'!$A$7:$S$106,16,FALSE),0),"n.a."))</f>
        <v>0</v>
      </c>
      <c r="S2128" s="1">
        <f>IF(NOT(Paths!$C$199=1),0,IF(Paths!$P$199="Complete",IF(C2128=0,0,Paths!$S$199*Paths!$R$199),"n.a."))</f>
        <v>0</v>
      </c>
      <c r="T2128" s="1">
        <f>IF(NOT(Paths!$C$199=1),0,IF(Paths!$P$199="Complete",IF(C2128=0,0,VLOOKUP(A2128,'Fleet register'!$A$7:$S$106,9,FALSE)*Paths!$R$199),"n.a."))</f>
        <v>0</v>
      </c>
    </row>
    <row r="2129" spans="1:20" ht="24" customHeight="1">
      <c r="A2129" s="1" t="str">
        <f>Paths!$A$199</f>
        <v>T049</v>
      </c>
      <c r="B2129" s="1">
        <f>Paths!$B$199</f>
        <v>0</v>
      </c>
      <c r="C2129" s="1">
        <v>10</v>
      </c>
      <c r="D2129" s="1">
        <v>199</v>
      </c>
      <c r="E2129" s="1">
        <f>IF(OR(Paths!$C$199=0,C2129=0),0,MAX(0,MIN(C2129*12,Paths!$E$199)-(C2129-1)*12))</f>
        <v>0</v>
      </c>
      <c r="F2129" s="1">
        <f>IF(OR(Paths!$C$199=0,C2129=0),0,12-E2129)</f>
        <v>0</v>
      </c>
      <c r="G2129" s="16">
        <f>IF(NOT(Paths!$C$199=1),0,IF(Paths!$P$199="Complete",E2129/12*(Paths!$J$199*(1+'Operating costs'!$B$51)^MAX(0,C2129-1)+Paths!$K$199*(1+'Operating costs'!$B$53)^MAX(0,C2129-1)),"n.a."))</f>
        <v>0</v>
      </c>
      <c r="H2129" s="16">
        <f>IF(NOT(Paths!$C$199=1),0,IF(Paths!$P$199="Complete",F2129/12*(Paths!$L$199*(1+IF(Paths!$D$199="EV",'Operating costs'!$B$52,'Operating costs'!$B$51))^MAX(0,C2129-1)+Paths!$M$199*(1+'Operating costs'!$B$53)^MAX(0,C2129-1)),"n.a."))</f>
        <v>0</v>
      </c>
      <c r="I2129" s="16">
        <f>IF(NOT(Paths!$C$199=1),0,IF(Paths!$P$199="Complete",IF(IF(Paths!$E$199=0,C2129=0,AND(C2129&gt;0,Paths!$E$199&gt;(C2129-1)*12,Paths!$E$199&lt;=C2129*12)),Paths!$G$199,0),"n.a."))</f>
        <v>0</v>
      </c>
      <c r="J2129" s="16">
        <f>IF(NOT(Paths!$C$199=1),0,IF(Paths!$P$199="Complete",IF(IF(Paths!$E$199=0,C2129=0,AND(C2129&gt;0,Paths!$E$199&gt;(C2129-1)*12,Paths!$E$199&lt;=C2129*12)),Paths!$H$199,0),"n.a."))</f>
        <v>0</v>
      </c>
      <c r="K2129" s="16">
        <f>IF(NOT(Paths!$C$199=1),0,IF(Paths!$P$199="Complete",IF(IF(Paths!$O$199=0,C2129=0,AND(C2129&gt;0,Paths!$O$199&gt;(C2129-1)*12,Paths!$O$199&lt;=C2129*12)),Paths!$N$199,0),"n.a."))</f>
        <v>0</v>
      </c>
      <c r="L2129" s="16">
        <f>IF(NOT(Paths!$C$199=1),0,IF(Paths!$P$199="Complete",IF(C2129=10,Paths!$I$199,0),"n.a."))</f>
        <v>0</v>
      </c>
      <c r="M2129" s="16">
        <f>IF(NOT(Paths!$C$199=1),0,IF(Paths!$P$199="Complete",IF(AND(Paths!$D$199="EV",Paths!$E$199&lt;120,Paths!$E$199+'Operating costs'!$B$65&gt;Paths!$E$199,Paths!$E$199+'Operating costs'!$B$65&lt;=120,IF(Paths!$E$199+'Operating costs'!$B$65=0,C2129=0,AND(C2129&gt;0,Paths!$E$199+'Operating costs'!$B$65&gt;(C2129-1)*12,Paths!$E$199+'Operating costs'!$B$65&lt;=C2129*12))),'Operating costs'!$B$64,0)+IF(AND('Operating costs'!$B$67&gt;0,'Operating costs'!$B$67&lt;=120,OR(Paths!$D$199="ICE",'Operating costs'!$B$67&lt;=Paths!$E$199),IF('Operating costs'!$B$67=0,C2129=0,AND(C2129&gt;0,'Operating costs'!$B$67&gt;(C2129-1)*12,'Operating costs'!$B$67&lt;=C2129*12))),'Operating costs'!$B$66,0),"n.a."))</f>
        <v>0</v>
      </c>
      <c r="N2129" s="16">
        <f>IF(NOT(Paths!$C$199=1),0,IF(Paths!$P$199="Complete",SUM(G2129:I2129)-J2129-K2129-L2129+M2129+IF(C2129=0,Paths!$F$199,0)+IF(IF(Paths!$E$199=0,C2129=0,AND(C2129&gt;0,Paths!$E$199&gt;(C2129-1)*12,Paths!$E$199&lt;=C2129*12)),VLOOKUP(A2129,'Fleet register'!$A$7:$S$106,16,FALSE),0),"n.a."))</f>
        <v>0</v>
      </c>
      <c r="O2129" s="16">
        <f>IF(NOT(Paths!$C$199=1),0,IF(Paths!$P$199="Complete",N2129-IF(C2129=0,Paths!$F$199,0),"n.a."))</f>
        <v>0</v>
      </c>
      <c r="P2129" s="16">
        <f>IF(NOT(Paths!$C$199=1),0,IF(Paths!$P$199="Complete",O2129+L2129,"n.a."))</f>
        <v>0</v>
      </c>
      <c r="Q2129" s="16">
        <f>IF(NOT(Paths!$C$199=1),0,IF(Paths!$P$199="Complete",N2129*(1+'Operating costs'!$B$54)^-C2129,"n.a."))</f>
        <v>0</v>
      </c>
      <c r="R2129" s="16">
        <f>IF(NOT(Paths!$C$199=1),0,IF(Paths!$P$199="Complete",IF(AND(C2129=0,Paths!$E$199=0),I2129-J2129-K2129+VLOOKUP(A2129,'Fleet register'!$A$7:$S$106,15,FALSE)+VLOOKUP(A2129,'Fleet register'!$A$7:$S$106,16,FALSE),0),"n.a."))</f>
        <v>0</v>
      </c>
      <c r="S2129" s="1">
        <f>IF(NOT(Paths!$C$199=1),0,IF(Paths!$P$199="Complete",IF(C2129=0,0,Paths!$S$199*Paths!$R$199),"n.a."))</f>
        <v>0</v>
      </c>
      <c r="T2129" s="1">
        <f>IF(NOT(Paths!$C$199=1),0,IF(Paths!$P$199="Complete",IF(C2129=0,0,VLOOKUP(A2129,'Fleet register'!$A$7:$S$106,9,FALSE)*Paths!$R$199),"n.a."))</f>
        <v>0</v>
      </c>
    </row>
    <row r="2130" spans="1:20" ht="24" customHeight="1">
      <c r="A2130" s="1" t="str">
        <f>Paths!$A$200</f>
        <v>T049</v>
      </c>
      <c r="B2130" s="1">
        <f>Paths!$B$200</f>
        <v>1</v>
      </c>
      <c r="C2130" s="1">
        <v>0</v>
      </c>
      <c r="D2130" s="1">
        <v>200</v>
      </c>
      <c r="E2130" s="1">
        <f>IF(OR(Paths!$C$200=0,C2130=0),0,MAX(0,MIN(C2130*12,Paths!$E$200)-(C2130-1)*12))</f>
        <v>0</v>
      </c>
      <c r="F2130" s="1">
        <f>IF(OR(Paths!$C$200=0,C2130=0),0,12-E2130)</f>
        <v>0</v>
      </c>
      <c r="G2130" s="16">
        <f>IF(NOT(Paths!$C$200=1),0,IF(Paths!$P$200="Complete",E2130/12*(Paths!$J$200*(1+'Operating costs'!$B$51)^MAX(0,C2130-1)+Paths!$K$200*(1+'Operating costs'!$B$53)^MAX(0,C2130-1)),"n.a."))</f>
        <v>0</v>
      </c>
      <c r="H2130" s="16">
        <f>IF(NOT(Paths!$C$200=1),0,IF(Paths!$P$200="Complete",F2130/12*(Paths!$L$200*(1+IF(Paths!$D$200="EV",'Operating costs'!$B$52,'Operating costs'!$B$51))^MAX(0,C2130-1)+Paths!$M$200*(1+'Operating costs'!$B$53)^MAX(0,C2130-1)),"n.a."))</f>
        <v>0</v>
      </c>
      <c r="I2130" s="16">
        <f>IF(NOT(Paths!$C$200=1),0,IF(Paths!$P$200="Complete",IF(IF(Paths!$E$200=0,C2130=0,AND(C2130&gt;0,Paths!$E$200&gt;(C2130-1)*12,Paths!$E$200&lt;=C2130*12)),Paths!$G$200,0),"n.a."))</f>
        <v>0</v>
      </c>
      <c r="J2130" s="16">
        <f>IF(NOT(Paths!$C$200=1),0,IF(Paths!$P$200="Complete",IF(IF(Paths!$E$200=0,C2130=0,AND(C2130&gt;0,Paths!$E$200&gt;(C2130-1)*12,Paths!$E$200&lt;=C2130*12)),Paths!$H$200,0),"n.a."))</f>
        <v>0</v>
      </c>
      <c r="K2130" s="16">
        <f>IF(NOT(Paths!$C$200=1),0,IF(Paths!$P$200="Complete",IF(IF(Paths!$O$200=0,C2130=0,AND(C2130&gt;0,Paths!$O$200&gt;(C2130-1)*12,Paths!$O$200&lt;=C2130*12)),Paths!$N$200,0),"n.a."))</f>
        <v>0</v>
      </c>
      <c r="L2130" s="16">
        <f>IF(NOT(Paths!$C$200=1),0,IF(Paths!$P$200="Complete",IF(C2130=10,Paths!$I$200,0),"n.a."))</f>
        <v>0</v>
      </c>
      <c r="M2130" s="16">
        <f>IF(NOT(Paths!$C$200=1),0,IF(Paths!$P$200="Complete",IF(AND(Paths!$D$200="EV",Paths!$E$200&lt;120,Paths!$E$200+'Operating costs'!$B$65&gt;Paths!$E$200,Paths!$E$200+'Operating costs'!$B$65&lt;=120,IF(Paths!$E$200+'Operating costs'!$B$65=0,C2130=0,AND(C2130&gt;0,Paths!$E$200+'Operating costs'!$B$65&gt;(C2130-1)*12,Paths!$E$200+'Operating costs'!$B$65&lt;=C2130*12))),'Operating costs'!$B$64,0)+IF(AND('Operating costs'!$B$67&gt;0,'Operating costs'!$B$67&lt;=120,OR(Paths!$D$200="ICE",'Operating costs'!$B$67&lt;=Paths!$E$200),IF('Operating costs'!$B$67=0,C2130=0,AND(C2130&gt;0,'Operating costs'!$B$67&gt;(C2130-1)*12,'Operating costs'!$B$67&lt;=C2130*12))),'Operating costs'!$B$66,0),"n.a."))</f>
        <v>0</v>
      </c>
      <c r="N2130" s="16">
        <f>IF(NOT(Paths!$C$200=1),0,IF(Paths!$P$200="Complete",SUM(G2130:I2130)-J2130-K2130-L2130+M2130+IF(C2130=0,Paths!$F$200,0)+IF(IF(Paths!$E$200=0,C2130=0,AND(C2130&gt;0,Paths!$E$200&gt;(C2130-1)*12,Paths!$E$200&lt;=C2130*12)),VLOOKUP(A2130,'Fleet register'!$A$7:$S$106,16,FALSE),0),"n.a."))</f>
        <v>0</v>
      </c>
      <c r="O2130" s="16">
        <f>IF(NOT(Paths!$C$200=1),0,IF(Paths!$P$200="Complete",N2130-IF(C2130=0,Paths!$F$200,0),"n.a."))</f>
        <v>0</v>
      </c>
      <c r="P2130" s="16">
        <f>IF(NOT(Paths!$C$200=1),0,IF(Paths!$P$200="Complete",O2130+L2130,"n.a."))</f>
        <v>0</v>
      </c>
      <c r="Q2130" s="16">
        <f>IF(NOT(Paths!$C$200=1),0,IF(Paths!$P$200="Complete",N2130*(1+'Operating costs'!$B$54)^-C2130,"n.a."))</f>
        <v>0</v>
      </c>
      <c r="R2130" s="16">
        <f>IF(NOT(Paths!$C$200=1),0,IF(Paths!$P$200="Complete",IF(AND(C2130=0,Paths!$E$200=0),I2130-J2130-K2130+VLOOKUP(A2130,'Fleet register'!$A$7:$S$106,15,FALSE)+VLOOKUP(A2130,'Fleet register'!$A$7:$S$106,16,FALSE),0),"n.a."))</f>
        <v>0</v>
      </c>
      <c r="S2130" s="1">
        <f>IF(NOT(Paths!$C$200=1),0,IF(Paths!$P$200="Complete",IF(C2130=0,0,Paths!$S$200*Paths!$R$200),"n.a."))</f>
        <v>0</v>
      </c>
      <c r="T2130" s="1">
        <f>IF(NOT(Paths!$C$200=1),0,IF(Paths!$P$200="Complete",IF(C2130=0,0,VLOOKUP(A2130,'Fleet register'!$A$7:$S$106,9,FALSE)*Paths!$R$200),"n.a."))</f>
        <v>0</v>
      </c>
    </row>
    <row r="2131" spans="1:20" ht="24" customHeight="1">
      <c r="A2131" s="1" t="str">
        <f>Paths!$A$200</f>
        <v>T049</v>
      </c>
      <c r="B2131" s="1">
        <f>Paths!$B$200</f>
        <v>1</v>
      </c>
      <c r="C2131" s="1">
        <v>1</v>
      </c>
      <c r="D2131" s="1">
        <v>200</v>
      </c>
      <c r="E2131" s="1">
        <f>IF(OR(Paths!$C$200=0,C2131=0),0,MAX(0,MIN(C2131*12,Paths!$E$200)-(C2131-1)*12))</f>
        <v>0</v>
      </c>
      <c r="F2131" s="1">
        <f>IF(OR(Paths!$C$200=0,C2131=0),0,12-E2131)</f>
        <v>0</v>
      </c>
      <c r="G2131" s="16">
        <f>IF(NOT(Paths!$C$200=1),0,IF(Paths!$P$200="Complete",E2131/12*(Paths!$J$200*(1+'Operating costs'!$B$51)^MAX(0,C2131-1)+Paths!$K$200*(1+'Operating costs'!$B$53)^MAX(0,C2131-1)),"n.a."))</f>
        <v>0</v>
      </c>
      <c r="H2131" s="16">
        <f>IF(NOT(Paths!$C$200=1),0,IF(Paths!$P$200="Complete",F2131/12*(Paths!$L$200*(1+IF(Paths!$D$200="EV",'Operating costs'!$B$52,'Operating costs'!$B$51))^MAX(0,C2131-1)+Paths!$M$200*(1+'Operating costs'!$B$53)^MAX(0,C2131-1)),"n.a."))</f>
        <v>0</v>
      </c>
      <c r="I2131" s="16">
        <f>IF(NOT(Paths!$C$200=1),0,IF(Paths!$P$200="Complete",IF(IF(Paths!$E$200=0,C2131=0,AND(C2131&gt;0,Paths!$E$200&gt;(C2131-1)*12,Paths!$E$200&lt;=C2131*12)),Paths!$G$200,0),"n.a."))</f>
        <v>0</v>
      </c>
      <c r="J2131" s="16">
        <f>IF(NOT(Paths!$C$200=1),0,IF(Paths!$P$200="Complete",IF(IF(Paths!$E$200=0,C2131=0,AND(C2131&gt;0,Paths!$E$200&gt;(C2131-1)*12,Paths!$E$200&lt;=C2131*12)),Paths!$H$200,0),"n.a."))</f>
        <v>0</v>
      </c>
      <c r="K2131" s="16">
        <f>IF(NOT(Paths!$C$200=1),0,IF(Paths!$P$200="Complete",IF(IF(Paths!$O$200=0,C2131=0,AND(C2131&gt;0,Paths!$O$200&gt;(C2131-1)*12,Paths!$O$200&lt;=C2131*12)),Paths!$N$200,0),"n.a."))</f>
        <v>0</v>
      </c>
      <c r="L2131" s="16">
        <f>IF(NOT(Paths!$C$200=1),0,IF(Paths!$P$200="Complete",IF(C2131=10,Paths!$I$200,0),"n.a."))</f>
        <v>0</v>
      </c>
      <c r="M2131" s="16">
        <f>IF(NOT(Paths!$C$200=1),0,IF(Paths!$P$200="Complete",IF(AND(Paths!$D$200="EV",Paths!$E$200&lt;120,Paths!$E$200+'Operating costs'!$B$65&gt;Paths!$E$200,Paths!$E$200+'Operating costs'!$B$65&lt;=120,IF(Paths!$E$200+'Operating costs'!$B$65=0,C2131=0,AND(C2131&gt;0,Paths!$E$200+'Operating costs'!$B$65&gt;(C2131-1)*12,Paths!$E$200+'Operating costs'!$B$65&lt;=C2131*12))),'Operating costs'!$B$64,0)+IF(AND('Operating costs'!$B$67&gt;0,'Operating costs'!$B$67&lt;=120,OR(Paths!$D$200="ICE",'Operating costs'!$B$67&lt;=Paths!$E$200),IF('Operating costs'!$B$67=0,C2131=0,AND(C2131&gt;0,'Operating costs'!$B$67&gt;(C2131-1)*12,'Operating costs'!$B$67&lt;=C2131*12))),'Operating costs'!$B$66,0),"n.a."))</f>
        <v>0</v>
      </c>
      <c r="N2131" s="16">
        <f>IF(NOT(Paths!$C$200=1),0,IF(Paths!$P$200="Complete",SUM(G2131:I2131)-J2131-K2131-L2131+M2131+IF(C2131=0,Paths!$F$200,0)+IF(IF(Paths!$E$200=0,C2131=0,AND(C2131&gt;0,Paths!$E$200&gt;(C2131-1)*12,Paths!$E$200&lt;=C2131*12)),VLOOKUP(A2131,'Fleet register'!$A$7:$S$106,16,FALSE),0),"n.a."))</f>
        <v>0</v>
      </c>
      <c r="O2131" s="16">
        <f>IF(NOT(Paths!$C$200=1),0,IF(Paths!$P$200="Complete",N2131-IF(C2131=0,Paths!$F$200,0),"n.a."))</f>
        <v>0</v>
      </c>
      <c r="P2131" s="16">
        <f>IF(NOT(Paths!$C$200=1),0,IF(Paths!$P$200="Complete",O2131+L2131,"n.a."))</f>
        <v>0</v>
      </c>
      <c r="Q2131" s="16">
        <f>IF(NOT(Paths!$C$200=1),0,IF(Paths!$P$200="Complete",N2131*(1+'Operating costs'!$B$54)^-C2131,"n.a."))</f>
        <v>0</v>
      </c>
      <c r="R2131" s="16">
        <f>IF(NOT(Paths!$C$200=1),0,IF(Paths!$P$200="Complete",IF(AND(C2131=0,Paths!$E$200=0),I2131-J2131-K2131+VLOOKUP(A2131,'Fleet register'!$A$7:$S$106,15,FALSE)+VLOOKUP(A2131,'Fleet register'!$A$7:$S$106,16,FALSE),0),"n.a."))</f>
        <v>0</v>
      </c>
      <c r="S2131" s="1">
        <f>IF(NOT(Paths!$C$200=1),0,IF(Paths!$P$200="Complete",IF(C2131=0,0,Paths!$S$200*Paths!$R$200),"n.a."))</f>
        <v>0</v>
      </c>
      <c r="T2131" s="1">
        <f>IF(NOT(Paths!$C$200=1),0,IF(Paths!$P$200="Complete",IF(C2131=0,0,VLOOKUP(A2131,'Fleet register'!$A$7:$S$106,9,FALSE)*Paths!$R$200),"n.a."))</f>
        <v>0</v>
      </c>
    </row>
    <row r="2132" spans="1:20" ht="24" customHeight="1">
      <c r="A2132" s="1" t="str">
        <f>Paths!$A$200</f>
        <v>T049</v>
      </c>
      <c r="B2132" s="1">
        <f>Paths!$B$200</f>
        <v>1</v>
      </c>
      <c r="C2132" s="1">
        <v>2</v>
      </c>
      <c r="D2132" s="1">
        <v>200</v>
      </c>
      <c r="E2132" s="1">
        <f>IF(OR(Paths!$C$200=0,C2132=0),0,MAX(0,MIN(C2132*12,Paths!$E$200)-(C2132-1)*12))</f>
        <v>0</v>
      </c>
      <c r="F2132" s="1">
        <f>IF(OR(Paths!$C$200=0,C2132=0),0,12-E2132)</f>
        <v>0</v>
      </c>
      <c r="G2132" s="16">
        <f>IF(NOT(Paths!$C$200=1),0,IF(Paths!$P$200="Complete",E2132/12*(Paths!$J$200*(1+'Operating costs'!$B$51)^MAX(0,C2132-1)+Paths!$K$200*(1+'Operating costs'!$B$53)^MAX(0,C2132-1)),"n.a."))</f>
        <v>0</v>
      </c>
      <c r="H2132" s="16">
        <f>IF(NOT(Paths!$C$200=1),0,IF(Paths!$P$200="Complete",F2132/12*(Paths!$L$200*(1+IF(Paths!$D$200="EV",'Operating costs'!$B$52,'Operating costs'!$B$51))^MAX(0,C2132-1)+Paths!$M$200*(1+'Operating costs'!$B$53)^MAX(0,C2132-1)),"n.a."))</f>
        <v>0</v>
      </c>
      <c r="I2132" s="16">
        <f>IF(NOT(Paths!$C$200=1),0,IF(Paths!$P$200="Complete",IF(IF(Paths!$E$200=0,C2132=0,AND(C2132&gt;0,Paths!$E$200&gt;(C2132-1)*12,Paths!$E$200&lt;=C2132*12)),Paths!$G$200,0),"n.a."))</f>
        <v>0</v>
      </c>
      <c r="J2132" s="16">
        <f>IF(NOT(Paths!$C$200=1),0,IF(Paths!$P$200="Complete",IF(IF(Paths!$E$200=0,C2132=0,AND(C2132&gt;0,Paths!$E$200&gt;(C2132-1)*12,Paths!$E$200&lt;=C2132*12)),Paths!$H$200,0),"n.a."))</f>
        <v>0</v>
      </c>
      <c r="K2132" s="16">
        <f>IF(NOT(Paths!$C$200=1),0,IF(Paths!$P$200="Complete",IF(IF(Paths!$O$200=0,C2132=0,AND(C2132&gt;0,Paths!$O$200&gt;(C2132-1)*12,Paths!$O$200&lt;=C2132*12)),Paths!$N$200,0),"n.a."))</f>
        <v>0</v>
      </c>
      <c r="L2132" s="16">
        <f>IF(NOT(Paths!$C$200=1),0,IF(Paths!$P$200="Complete",IF(C2132=10,Paths!$I$200,0),"n.a."))</f>
        <v>0</v>
      </c>
      <c r="M2132" s="16">
        <f>IF(NOT(Paths!$C$200=1),0,IF(Paths!$P$200="Complete",IF(AND(Paths!$D$200="EV",Paths!$E$200&lt;120,Paths!$E$200+'Operating costs'!$B$65&gt;Paths!$E$200,Paths!$E$200+'Operating costs'!$B$65&lt;=120,IF(Paths!$E$200+'Operating costs'!$B$65=0,C2132=0,AND(C2132&gt;0,Paths!$E$200+'Operating costs'!$B$65&gt;(C2132-1)*12,Paths!$E$200+'Operating costs'!$B$65&lt;=C2132*12))),'Operating costs'!$B$64,0)+IF(AND('Operating costs'!$B$67&gt;0,'Operating costs'!$B$67&lt;=120,OR(Paths!$D$200="ICE",'Operating costs'!$B$67&lt;=Paths!$E$200),IF('Operating costs'!$B$67=0,C2132=0,AND(C2132&gt;0,'Operating costs'!$B$67&gt;(C2132-1)*12,'Operating costs'!$B$67&lt;=C2132*12))),'Operating costs'!$B$66,0),"n.a."))</f>
        <v>0</v>
      </c>
      <c r="N2132" s="16">
        <f>IF(NOT(Paths!$C$200=1),0,IF(Paths!$P$200="Complete",SUM(G2132:I2132)-J2132-K2132-L2132+M2132+IF(C2132=0,Paths!$F$200,0)+IF(IF(Paths!$E$200=0,C2132=0,AND(C2132&gt;0,Paths!$E$200&gt;(C2132-1)*12,Paths!$E$200&lt;=C2132*12)),VLOOKUP(A2132,'Fleet register'!$A$7:$S$106,16,FALSE),0),"n.a."))</f>
        <v>0</v>
      </c>
      <c r="O2132" s="16">
        <f>IF(NOT(Paths!$C$200=1),0,IF(Paths!$P$200="Complete",N2132-IF(C2132=0,Paths!$F$200,0),"n.a."))</f>
        <v>0</v>
      </c>
      <c r="P2132" s="16">
        <f>IF(NOT(Paths!$C$200=1),0,IF(Paths!$P$200="Complete",O2132+L2132,"n.a."))</f>
        <v>0</v>
      </c>
      <c r="Q2132" s="16">
        <f>IF(NOT(Paths!$C$200=1),0,IF(Paths!$P$200="Complete",N2132*(1+'Operating costs'!$B$54)^-C2132,"n.a."))</f>
        <v>0</v>
      </c>
      <c r="R2132" s="16">
        <f>IF(NOT(Paths!$C$200=1),0,IF(Paths!$P$200="Complete",IF(AND(C2132=0,Paths!$E$200=0),I2132-J2132-K2132+VLOOKUP(A2132,'Fleet register'!$A$7:$S$106,15,FALSE)+VLOOKUP(A2132,'Fleet register'!$A$7:$S$106,16,FALSE),0),"n.a."))</f>
        <v>0</v>
      </c>
      <c r="S2132" s="1">
        <f>IF(NOT(Paths!$C$200=1),0,IF(Paths!$P$200="Complete",IF(C2132=0,0,Paths!$S$200*Paths!$R$200),"n.a."))</f>
        <v>0</v>
      </c>
      <c r="T2132" s="1">
        <f>IF(NOT(Paths!$C$200=1),0,IF(Paths!$P$200="Complete",IF(C2132=0,0,VLOOKUP(A2132,'Fleet register'!$A$7:$S$106,9,FALSE)*Paths!$R$200),"n.a."))</f>
        <v>0</v>
      </c>
    </row>
    <row r="2133" spans="1:20" ht="24" customHeight="1">
      <c r="A2133" s="1" t="str">
        <f>Paths!$A$200</f>
        <v>T049</v>
      </c>
      <c r="B2133" s="1">
        <f>Paths!$B$200</f>
        <v>1</v>
      </c>
      <c r="C2133" s="1">
        <v>3</v>
      </c>
      <c r="D2133" s="1">
        <v>200</v>
      </c>
      <c r="E2133" s="1">
        <f>IF(OR(Paths!$C$200=0,C2133=0),0,MAX(0,MIN(C2133*12,Paths!$E$200)-(C2133-1)*12))</f>
        <v>0</v>
      </c>
      <c r="F2133" s="1">
        <f>IF(OR(Paths!$C$200=0,C2133=0),0,12-E2133)</f>
        <v>0</v>
      </c>
      <c r="G2133" s="16">
        <f>IF(NOT(Paths!$C$200=1),0,IF(Paths!$P$200="Complete",E2133/12*(Paths!$J$200*(1+'Operating costs'!$B$51)^MAX(0,C2133-1)+Paths!$K$200*(1+'Operating costs'!$B$53)^MAX(0,C2133-1)),"n.a."))</f>
        <v>0</v>
      </c>
      <c r="H2133" s="16">
        <f>IF(NOT(Paths!$C$200=1),0,IF(Paths!$P$200="Complete",F2133/12*(Paths!$L$200*(1+IF(Paths!$D$200="EV",'Operating costs'!$B$52,'Operating costs'!$B$51))^MAX(0,C2133-1)+Paths!$M$200*(1+'Operating costs'!$B$53)^MAX(0,C2133-1)),"n.a."))</f>
        <v>0</v>
      </c>
      <c r="I2133" s="16">
        <f>IF(NOT(Paths!$C$200=1),0,IF(Paths!$P$200="Complete",IF(IF(Paths!$E$200=0,C2133=0,AND(C2133&gt;0,Paths!$E$200&gt;(C2133-1)*12,Paths!$E$200&lt;=C2133*12)),Paths!$G$200,0),"n.a."))</f>
        <v>0</v>
      </c>
      <c r="J2133" s="16">
        <f>IF(NOT(Paths!$C$200=1),0,IF(Paths!$P$200="Complete",IF(IF(Paths!$E$200=0,C2133=0,AND(C2133&gt;0,Paths!$E$200&gt;(C2133-1)*12,Paths!$E$200&lt;=C2133*12)),Paths!$H$200,0),"n.a."))</f>
        <v>0</v>
      </c>
      <c r="K2133" s="16">
        <f>IF(NOT(Paths!$C$200=1),0,IF(Paths!$P$200="Complete",IF(IF(Paths!$O$200=0,C2133=0,AND(C2133&gt;0,Paths!$O$200&gt;(C2133-1)*12,Paths!$O$200&lt;=C2133*12)),Paths!$N$200,0),"n.a."))</f>
        <v>0</v>
      </c>
      <c r="L2133" s="16">
        <f>IF(NOT(Paths!$C$200=1),0,IF(Paths!$P$200="Complete",IF(C2133=10,Paths!$I$200,0),"n.a."))</f>
        <v>0</v>
      </c>
      <c r="M2133" s="16">
        <f>IF(NOT(Paths!$C$200=1),0,IF(Paths!$P$200="Complete",IF(AND(Paths!$D$200="EV",Paths!$E$200&lt;120,Paths!$E$200+'Operating costs'!$B$65&gt;Paths!$E$200,Paths!$E$200+'Operating costs'!$B$65&lt;=120,IF(Paths!$E$200+'Operating costs'!$B$65=0,C2133=0,AND(C2133&gt;0,Paths!$E$200+'Operating costs'!$B$65&gt;(C2133-1)*12,Paths!$E$200+'Operating costs'!$B$65&lt;=C2133*12))),'Operating costs'!$B$64,0)+IF(AND('Operating costs'!$B$67&gt;0,'Operating costs'!$B$67&lt;=120,OR(Paths!$D$200="ICE",'Operating costs'!$B$67&lt;=Paths!$E$200),IF('Operating costs'!$B$67=0,C2133=0,AND(C2133&gt;0,'Operating costs'!$B$67&gt;(C2133-1)*12,'Operating costs'!$B$67&lt;=C2133*12))),'Operating costs'!$B$66,0),"n.a."))</f>
        <v>0</v>
      </c>
      <c r="N2133" s="16">
        <f>IF(NOT(Paths!$C$200=1),0,IF(Paths!$P$200="Complete",SUM(G2133:I2133)-J2133-K2133-L2133+M2133+IF(C2133=0,Paths!$F$200,0)+IF(IF(Paths!$E$200=0,C2133=0,AND(C2133&gt;0,Paths!$E$200&gt;(C2133-1)*12,Paths!$E$200&lt;=C2133*12)),VLOOKUP(A2133,'Fleet register'!$A$7:$S$106,16,FALSE),0),"n.a."))</f>
        <v>0</v>
      </c>
      <c r="O2133" s="16">
        <f>IF(NOT(Paths!$C$200=1),0,IF(Paths!$P$200="Complete",N2133-IF(C2133=0,Paths!$F$200,0),"n.a."))</f>
        <v>0</v>
      </c>
      <c r="P2133" s="16">
        <f>IF(NOT(Paths!$C$200=1),0,IF(Paths!$P$200="Complete",O2133+L2133,"n.a."))</f>
        <v>0</v>
      </c>
      <c r="Q2133" s="16">
        <f>IF(NOT(Paths!$C$200=1),0,IF(Paths!$P$200="Complete",N2133*(1+'Operating costs'!$B$54)^-C2133,"n.a."))</f>
        <v>0</v>
      </c>
      <c r="R2133" s="16">
        <f>IF(NOT(Paths!$C$200=1),0,IF(Paths!$P$200="Complete",IF(AND(C2133=0,Paths!$E$200=0),I2133-J2133-K2133+VLOOKUP(A2133,'Fleet register'!$A$7:$S$106,15,FALSE)+VLOOKUP(A2133,'Fleet register'!$A$7:$S$106,16,FALSE),0),"n.a."))</f>
        <v>0</v>
      </c>
      <c r="S2133" s="1">
        <f>IF(NOT(Paths!$C$200=1),0,IF(Paths!$P$200="Complete",IF(C2133=0,0,Paths!$S$200*Paths!$R$200),"n.a."))</f>
        <v>0</v>
      </c>
      <c r="T2133" s="1">
        <f>IF(NOT(Paths!$C$200=1),0,IF(Paths!$P$200="Complete",IF(C2133=0,0,VLOOKUP(A2133,'Fleet register'!$A$7:$S$106,9,FALSE)*Paths!$R$200),"n.a."))</f>
        <v>0</v>
      </c>
    </row>
    <row r="2134" spans="1:20" ht="24" customHeight="1">
      <c r="A2134" s="1" t="str">
        <f>Paths!$A$200</f>
        <v>T049</v>
      </c>
      <c r="B2134" s="1">
        <f>Paths!$B$200</f>
        <v>1</v>
      </c>
      <c r="C2134" s="1">
        <v>4</v>
      </c>
      <c r="D2134" s="1">
        <v>200</v>
      </c>
      <c r="E2134" s="1">
        <f>IF(OR(Paths!$C$200=0,C2134=0),0,MAX(0,MIN(C2134*12,Paths!$E$200)-(C2134-1)*12))</f>
        <v>0</v>
      </c>
      <c r="F2134" s="1">
        <f>IF(OR(Paths!$C$200=0,C2134=0),0,12-E2134)</f>
        <v>0</v>
      </c>
      <c r="G2134" s="16">
        <f>IF(NOT(Paths!$C$200=1),0,IF(Paths!$P$200="Complete",E2134/12*(Paths!$J$200*(1+'Operating costs'!$B$51)^MAX(0,C2134-1)+Paths!$K$200*(1+'Operating costs'!$B$53)^MAX(0,C2134-1)),"n.a."))</f>
        <v>0</v>
      </c>
      <c r="H2134" s="16">
        <f>IF(NOT(Paths!$C$200=1),0,IF(Paths!$P$200="Complete",F2134/12*(Paths!$L$200*(1+IF(Paths!$D$200="EV",'Operating costs'!$B$52,'Operating costs'!$B$51))^MAX(0,C2134-1)+Paths!$M$200*(1+'Operating costs'!$B$53)^MAX(0,C2134-1)),"n.a."))</f>
        <v>0</v>
      </c>
      <c r="I2134" s="16">
        <f>IF(NOT(Paths!$C$200=1),0,IF(Paths!$P$200="Complete",IF(IF(Paths!$E$200=0,C2134=0,AND(C2134&gt;0,Paths!$E$200&gt;(C2134-1)*12,Paths!$E$200&lt;=C2134*12)),Paths!$G$200,0),"n.a."))</f>
        <v>0</v>
      </c>
      <c r="J2134" s="16">
        <f>IF(NOT(Paths!$C$200=1),0,IF(Paths!$P$200="Complete",IF(IF(Paths!$E$200=0,C2134=0,AND(C2134&gt;0,Paths!$E$200&gt;(C2134-1)*12,Paths!$E$200&lt;=C2134*12)),Paths!$H$200,0),"n.a."))</f>
        <v>0</v>
      </c>
      <c r="K2134" s="16">
        <f>IF(NOT(Paths!$C$200=1),0,IF(Paths!$P$200="Complete",IF(IF(Paths!$O$200=0,C2134=0,AND(C2134&gt;0,Paths!$O$200&gt;(C2134-1)*12,Paths!$O$200&lt;=C2134*12)),Paths!$N$200,0),"n.a."))</f>
        <v>0</v>
      </c>
      <c r="L2134" s="16">
        <f>IF(NOT(Paths!$C$200=1),0,IF(Paths!$P$200="Complete",IF(C2134=10,Paths!$I$200,0),"n.a."))</f>
        <v>0</v>
      </c>
      <c r="M2134" s="16">
        <f>IF(NOT(Paths!$C$200=1),0,IF(Paths!$P$200="Complete",IF(AND(Paths!$D$200="EV",Paths!$E$200&lt;120,Paths!$E$200+'Operating costs'!$B$65&gt;Paths!$E$200,Paths!$E$200+'Operating costs'!$B$65&lt;=120,IF(Paths!$E$200+'Operating costs'!$B$65=0,C2134=0,AND(C2134&gt;0,Paths!$E$200+'Operating costs'!$B$65&gt;(C2134-1)*12,Paths!$E$200+'Operating costs'!$B$65&lt;=C2134*12))),'Operating costs'!$B$64,0)+IF(AND('Operating costs'!$B$67&gt;0,'Operating costs'!$B$67&lt;=120,OR(Paths!$D$200="ICE",'Operating costs'!$B$67&lt;=Paths!$E$200),IF('Operating costs'!$B$67=0,C2134=0,AND(C2134&gt;0,'Operating costs'!$B$67&gt;(C2134-1)*12,'Operating costs'!$B$67&lt;=C2134*12))),'Operating costs'!$B$66,0),"n.a."))</f>
        <v>0</v>
      </c>
      <c r="N2134" s="16">
        <f>IF(NOT(Paths!$C$200=1),0,IF(Paths!$P$200="Complete",SUM(G2134:I2134)-J2134-K2134-L2134+M2134+IF(C2134=0,Paths!$F$200,0)+IF(IF(Paths!$E$200=0,C2134=0,AND(C2134&gt;0,Paths!$E$200&gt;(C2134-1)*12,Paths!$E$200&lt;=C2134*12)),VLOOKUP(A2134,'Fleet register'!$A$7:$S$106,16,FALSE),0),"n.a."))</f>
        <v>0</v>
      </c>
      <c r="O2134" s="16">
        <f>IF(NOT(Paths!$C$200=1),0,IF(Paths!$P$200="Complete",N2134-IF(C2134=0,Paths!$F$200,0),"n.a."))</f>
        <v>0</v>
      </c>
      <c r="P2134" s="16">
        <f>IF(NOT(Paths!$C$200=1),0,IF(Paths!$P$200="Complete",O2134+L2134,"n.a."))</f>
        <v>0</v>
      </c>
      <c r="Q2134" s="16">
        <f>IF(NOT(Paths!$C$200=1),0,IF(Paths!$P$200="Complete",N2134*(1+'Operating costs'!$B$54)^-C2134,"n.a."))</f>
        <v>0</v>
      </c>
      <c r="R2134" s="16">
        <f>IF(NOT(Paths!$C$200=1),0,IF(Paths!$P$200="Complete",IF(AND(C2134=0,Paths!$E$200=0),I2134-J2134-K2134+VLOOKUP(A2134,'Fleet register'!$A$7:$S$106,15,FALSE)+VLOOKUP(A2134,'Fleet register'!$A$7:$S$106,16,FALSE),0),"n.a."))</f>
        <v>0</v>
      </c>
      <c r="S2134" s="1">
        <f>IF(NOT(Paths!$C$200=1),0,IF(Paths!$P$200="Complete",IF(C2134=0,0,Paths!$S$200*Paths!$R$200),"n.a."))</f>
        <v>0</v>
      </c>
      <c r="T2134" s="1">
        <f>IF(NOT(Paths!$C$200=1),0,IF(Paths!$P$200="Complete",IF(C2134=0,0,VLOOKUP(A2134,'Fleet register'!$A$7:$S$106,9,FALSE)*Paths!$R$200),"n.a."))</f>
        <v>0</v>
      </c>
    </row>
    <row r="2135" spans="1:20" ht="24" customHeight="1">
      <c r="A2135" s="1" t="str">
        <f>Paths!$A$200</f>
        <v>T049</v>
      </c>
      <c r="B2135" s="1">
        <f>Paths!$B$200</f>
        <v>1</v>
      </c>
      <c r="C2135" s="1">
        <v>5</v>
      </c>
      <c r="D2135" s="1">
        <v>200</v>
      </c>
      <c r="E2135" s="1">
        <f>IF(OR(Paths!$C$200=0,C2135=0),0,MAX(0,MIN(C2135*12,Paths!$E$200)-(C2135-1)*12))</f>
        <v>0</v>
      </c>
      <c r="F2135" s="1">
        <f>IF(OR(Paths!$C$200=0,C2135=0),0,12-E2135)</f>
        <v>0</v>
      </c>
      <c r="G2135" s="16">
        <f>IF(NOT(Paths!$C$200=1),0,IF(Paths!$P$200="Complete",E2135/12*(Paths!$J$200*(1+'Operating costs'!$B$51)^MAX(0,C2135-1)+Paths!$K$200*(1+'Operating costs'!$B$53)^MAX(0,C2135-1)),"n.a."))</f>
        <v>0</v>
      </c>
      <c r="H2135" s="16">
        <f>IF(NOT(Paths!$C$200=1),0,IF(Paths!$P$200="Complete",F2135/12*(Paths!$L$200*(1+IF(Paths!$D$200="EV",'Operating costs'!$B$52,'Operating costs'!$B$51))^MAX(0,C2135-1)+Paths!$M$200*(1+'Operating costs'!$B$53)^MAX(0,C2135-1)),"n.a."))</f>
        <v>0</v>
      </c>
      <c r="I2135" s="16">
        <f>IF(NOT(Paths!$C$200=1),0,IF(Paths!$P$200="Complete",IF(IF(Paths!$E$200=0,C2135=0,AND(C2135&gt;0,Paths!$E$200&gt;(C2135-1)*12,Paths!$E$200&lt;=C2135*12)),Paths!$G$200,0),"n.a."))</f>
        <v>0</v>
      </c>
      <c r="J2135" s="16">
        <f>IF(NOT(Paths!$C$200=1),0,IF(Paths!$P$200="Complete",IF(IF(Paths!$E$200=0,C2135=0,AND(C2135&gt;0,Paths!$E$200&gt;(C2135-1)*12,Paths!$E$200&lt;=C2135*12)),Paths!$H$200,0),"n.a."))</f>
        <v>0</v>
      </c>
      <c r="K2135" s="16">
        <f>IF(NOT(Paths!$C$200=1),0,IF(Paths!$P$200="Complete",IF(IF(Paths!$O$200=0,C2135=0,AND(C2135&gt;0,Paths!$O$200&gt;(C2135-1)*12,Paths!$O$200&lt;=C2135*12)),Paths!$N$200,0),"n.a."))</f>
        <v>0</v>
      </c>
      <c r="L2135" s="16">
        <f>IF(NOT(Paths!$C$200=1),0,IF(Paths!$P$200="Complete",IF(C2135=10,Paths!$I$200,0),"n.a."))</f>
        <v>0</v>
      </c>
      <c r="M2135" s="16">
        <f>IF(NOT(Paths!$C$200=1),0,IF(Paths!$P$200="Complete",IF(AND(Paths!$D$200="EV",Paths!$E$200&lt;120,Paths!$E$200+'Operating costs'!$B$65&gt;Paths!$E$200,Paths!$E$200+'Operating costs'!$B$65&lt;=120,IF(Paths!$E$200+'Operating costs'!$B$65=0,C2135=0,AND(C2135&gt;0,Paths!$E$200+'Operating costs'!$B$65&gt;(C2135-1)*12,Paths!$E$200+'Operating costs'!$B$65&lt;=C2135*12))),'Operating costs'!$B$64,0)+IF(AND('Operating costs'!$B$67&gt;0,'Operating costs'!$B$67&lt;=120,OR(Paths!$D$200="ICE",'Operating costs'!$B$67&lt;=Paths!$E$200),IF('Operating costs'!$B$67=0,C2135=0,AND(C2135&gt;0,'Operating costs'!$B$67&gt;(C2135-1)*12,'Operating costs'!$B$67&lt;=C2135*12))),'Operating costs'!$B$66,0),"n.a."))</f>
        <v>0</v>
      </c>
      <c r="N2135" s="16">
        <f>IF(NOT(Paths!$C$200=1),0,IF(Paths!$P$200="Complete",SUM(G2135:I2135)-J2135-K2135-L2135+M2135+IF(C2135=0,Paths!$F$200,0)+IF(IF(Paths!$E$200=0,C2135=0,AND(C2135&gt;0,Paths!$E$200&gt;(C2135-1)*12,Paths!$E$200&lt;=C2135*12)),VLOOKUP(A2135,'Fleet register'!$A$7:$S$106,16,FALSE),0),"n.a."))</f>
        <v>0</v>
      </c>
      <c r="O2135" s="16">
        <f>IF(NOT(Paths!$C$200=1),0,IF(Paths!$P$200="Complete",N2135-IF(C2135=0,Paths!$F$200,0),"n.a."))</f>
        <v>0</v>
      </c>
      <c r="P2135" s="16">
        <f>IF(NOT(Paths!$C$200=1),0,IF(Paths!$P$200="Complete",O2135+L2135,"n.a."))</f>
        <v>0</v>
      </c>
      <c r="Q2135" s="16">
        <f>IF(NOT(Paths!$C$200=1),0,IF(Paths!$P$200="Complete",N2135*(1+'Operating costs'!$B$54)^-C2135,"n.a."))</f>
        <v>0</v>
      </c>
      <c r="R2135" s="16">
        <f>IF(NOT(Paths!$C$200=1),0,IF(Paths!$P$200="Complete",IF(AND(C2135=0,Paths!$E$200=0),I2135-J2135-K2135+VLOOKUP(A2135,'Fleet register'!$A$7:$S$106,15,FALSE)+VLOOKUP(A2135,'Fleet register'!$A$7:$S$106,16,FALSE),0),"n.a."))</f>
        <v>0</v>
      </c>
      <c r="S2135" s="1">
        <f>IF(NOT(Paths!$C$200=1),0,IF(Paths!$P$200="Complete",IF(C2135=0,0,Paths!$S$200*Paths!$R$200),"n.a."))</f>
        <v>0</v>
      </c>
      <c r="T2135" s="1">
        <f>IF(NOT(Paths!$C$200=1),0,IF(Paths!$P$200="Complete",IF(C2135=0,0,VLOOKUP(A2135,'Fleet register'!$A$7:$S$106,9,FALSE)*Paths!$R$200),"n.a."))</f>
        <v>0</v>
      </c>
    </row>
    <row r="2136" spans="1:20" ht="24" customHeight="1">
      <c r="A2136" s="1" t="str">
        <f>Paths!$A$200</f>
        <v>T049</v>
      </c>
      <c r="B2136" s="1">
        <f>Paths!$B$200</f>
        <v>1</v>
      </c>
      <c r="C2136" s="1">
        <v>6</v>
      </c>
      <c r="D2136" s="1">
        <v>200</v>
      </c>
      <c r="E2136" s="1">
        <f>IF(OR(Paths!$C$200=0,C2136=0),0,MAX(0,MIN(C2136*12,Paths!$E$200)-(C2136-1)*12))</f>
        <v>0</v>
      </c>
      <c r="F2136" s="1">
        <f>IF(OR(Paths!$C$200=0,C2136=0),0,12-E2136)</f>
        <v>0</v>
      </c>
      <c r="G2136" s="16">
        <f>IF(NOT(Paths!$C$200=1),0,IF(Paths!$P$200="Complete",E2136/12*(Paths!$J$200*(1+'Operating costs'!$B$51)^MAX(0,C2136-1)+Paths!$K$200*(1+'Operating costs'!$B$53)^MAX(0,C2136-1)),"n.a."))</f>
        <v>0</v>
      </c>
      <c r="H2136" s="16">
        <f>IF(NOT(Paths!$C$200=1),0,IF(Paths!$P$200="Complete",F2136/12*(Paths!$L$200*(1+IF(Paths!$D$200="EV",'Operating costs'!$B$52,'Operating costs'!$B$51))^MAX(0,C2136-1)+Paths!$M$200*(1+'Operating costs'!$B$53)^MAX(0,C2136-1)),"n.a."))</f>
        <v>0</v>
      </c>
      <c r="I2136" s="16">
        <f>IF(NOT(Paths!$C$200=1),0,IF(Paths!$P$200="Complete",IF(IF(Paths!$E$200=0,C2136=0,AND(C2136&gt;0,Paths!$E$200&gt;(C2136-1)*12,Paths!$E$200&lt;=C2136*12)),Paths!$G$200,0),"n.a."))</f>
        <v>0</v>
      </c>
      <c r="J2136" s="16">
        <f>IF(NOT(Paths!$C$200=1),0,IF(Paths!$P$200="Complete",IF(IF(Paths!$E$200=0,C2136=0,AND(C2136&gt;0,Paths!$E$200&gt;(C2136-1)*12,Paths!$E$200&lt;=C2136*12)),Paths!$H$200,0),"n.a."))</f>
        <v>0</v>
      </c>
      <c r="K2136" s="16">
        <f>IF(NOT(Paths!$C$200=1),0,IF(Paths!$P$200="Complete",IF(IF(Paths!$O$200=0,C2136=0,AND(C2136&gt;0,Paths!$O$200&gt;(C2136-1)*12,Paths!$O$200&lt;=C2136*12)),Paths!$N$200,0),"n.a."))</f>
        <v>0</v>
      </c>
      <c r="L2136" s="16">
        <f>IF(NOT(Paths!$C$200=1),0,IF(Paths!$P$200="Complete",IF(C2136=10,Paths!$I$200,0),"n.a."))</f>
        <v>0</v>
      </c>
      <c r="M2136" s="16">
        <f>IF(NOT(Paths!$C$200=1),0,IF(Paths!$P$200="Complete",IF(AND(Paths!$D$200="EV",Paths!$E$200&lt;120,Paths!$E$200+'Operating costs'!$B$65&gt;Paths!$E$200,Paths!$E$200+'Operating costs'!$B$65&lt;=120,IF(Paths!$E$200+'Operating costs'!$B$65=0,C2136=0,AND(C2136&gt;0,Paths!$E$200+'Operating costs'!$B$65&gt;(C2136-1)*12,Paths!$E$200+'Operating costs'!$B$65&lt;=C2136*12))),'Operating costs'!$B$64,0)+IF(AND('Operating costs'!$B$67&gt;0,'Operating costs'!$B$67&lt;=120,OR(Paths!$D$200="ICE",'Operating costs'!$B$67&lt;=Paths!$E$200),IF('Operating costs'!$B$67=0,C2136=0,AND(C2136&gt;0,'Operating costs'!$B$67&gt;(C2136-1)*12,'Operating costs'!$B$67&lt;=C2136*12))),'Operating costs'!$B$66,0),"n.a."))</f>
        <v>0</v>
      </c>
      <c r="N2136" s="16">
        <f>IF(NOT(Paths!$C$200=1),0,IF(Paths!$P$200="Complete",SUM(G2136:I2136)-J2136-K2136-L2136+M2136+IF(C2136=0,Paths!$F$200,0)+IF(IF(Paths!$E$200=0,C2136=0,AND(C2136&gt;0,Paths!$E$200&gt;(C2136-1)*12,Paths!$E$200&lt;=C2136*12)),VLOOKUP(A2136,'Fleet register'!$A$7:$S$106,16,FALSE),0),"n.a."))</f>
        <v>0</v>
      </c>
      <c r="O2136" s="16">
        <f>IF(NOT(Paths!$C$200=1),0,IF(Paths!$P$200="Complete",N2136-IF(C2136=0,Paths!$F$200,0),"n.a."))</f>
        <v>0</v>
      </c>
      <c r="P2136" s="16">
        <f>IF(NOT(Paths!$C$200=1),0,IF(Paths!$P$200="Complete",O2136+L2136,"n.a."))</f>
        <v>0</v>
      </c>
      <c r="Q2136" s="16">
        <f>IF(NOT(Paths!$C$200=1),0,IF(Paths!$P$200="Complete",N2136*(1+'Operating costs'!$B$54)^-C2136,"n.a."))</f>
        <v>0</v>
      </c>
      <c r="R2136" s="16">
        <f>IF(NOT(Paths!$C$200=1),0,IF(Paths!$P$200="Complete",IF(AND(C2136=0,Paths!$E$200=0),I2136-J2136-K2136+VLOOKUP(A2136,'Fleet register'!$A$7:$S$106,15,FALSE)+VLOOKUP(A2136,'Fleet register'!$A$7:$S$106,16,FALSE),0),"n.a."))</f>
        <v>0</v>
      </c>
      <c r="S2136" s="1">
        <f>IF(NOT(Paths!$C$200=1),0,IF(Paths!$P$200="Complete",IF(C2136=0,0,Paths!$S$200*Paths!$R$200),"n.a."))</f>
        <v>0</v>
      </c>
      <c r="T2136" s="1">
        <f>IF(NOT(Paths!$C$200=1),0,IF(Paths!$P$200="Complete",IF(C2136=0,0,VLOOKUP(A2136,'Fleet register'!$A$7:$S$106,9,FALSE)*Paths!$R$200),"n.a."))</f>
        <v>0</v>
      </c>
    </row>
    <row r="2137" spans="1:20" ht="24" customHeight="1">
      <c r="A2137" s="1" t="str">
        <f>Paths!$A$200</f>
        <v>T049</v>
      </c>
      <c r="B2137" s="1">
        <f>Paths!$B$200</f>
        <v>1</v>
      </c>
      <c r="C2137" s="1">
        <v>7</v>
      </c>
      <c r="D2137" s="1">
        <v>200</v>
      </c>
      <c r="E2137" s="1">
        <f>IF(OR(Paths!$C$200=0,C2137=0),0,MAX(0,MIN(C2137*12,Paths!$E$200)-(C2137-1)*12))</f>
        <v>0</v>
      </c>
      <c r="F2137" s="1">
        <f>IF(OR(Paths!$C$200=0,C2137=0),0,12-E2137)</f>
        <v>0</v>
      </c>
      <c r="G2137" s="16">
        <f>IF(NOT(Paths!$C$200=1),0,IF(Paths!$P$200="Complete",E2137/12*(Paths!$J$200*(1+'Operating costs'!$B$51)^MAX(0,C2137-1)+Paths!$K$200*(1+'Operating costs'!$B$53)^MAX(0,C2137-1)),"n.a."))</f>
        <v>0</v>
      </c>
      <c r="H2137" s="16">
        <f>IF(NOT(Paths!$C$200=1),0,IF(Paths!$P$200="Complete",F2137/12*(Paths!$L$200*(1+IF(Paths!$D$200="EV",'Operating costs'!$B$52,'Operating costs'!$B$51))^MAX(0,C2137-1)+Paths!$M$200*(1+'Operating costs'!$B$53)^MAX(0,C2137-1)),"n.a."))</f>
        <v>0</v>
      </c>
      <c r="I2137" s="16">
        <f>IF(NOT(Paths!$C$200=1),0,IF(Paths!$P$200="Complete",IF(IF(Paths!$E$200=0,C2137=0,AND(C2137&gt;0,Paths!$E$200&gt;(C2137-1)*12,Paths!$E$200&lt;=C2137*12)),Paths!$G$200,0),"n.a."))</f>
        <v>0</v>
      </c>
      <c r="J2137" s="16">
        <f>IF(NOT(Paths!$C$200=1),0,IF(Paths!$P$200="Complete",IF(IF(Paths!$E$200=0,C2137=0,AND(C2137&gt;0,Paths!$E$200&gt;(C2137-1)*12,Paths!$E$200&lt;=C2137*12)),Paths!$H$200,0),"n.a."))</f>
        <v>0</v>
      </c>
      <c r="K2137" s="16">
        <f>IF(NOT(Paths!$C$200=1),0,IF(Paths!$P$200="Complete",IF(IF(Paths!$O$200=0,C2137=0,AND(C2137&gt;0,Paths!$O$200&gt;(C2137-1)*12,Paths!$O$200&lt;=C2137*12)),Paths!$N$200,0),"n.a."))</f>
        <v>0</v>
      </c>
      <c r="L2137" s="16">
        <f>IF(NOT(Paths!$C$200=1),0,IF(Paths!$P$200="Complete",IF(C2137=10,Paths!$I$200,0),"n.a."))</f>
        <v>0</v>
      </c>
      <c r="M2137" s="16">
        <f>IF(NOT(Paths!$C$200=1),0,IF(Paths!$P$200="Complete",IF(AND(Paths!$D$200="EV",Paths!$E$200&lt;120,Paths!$E$200+'Operating costs'!$B$65&gt;Paths!$E$200,Paths!$E$200+'Operating costs'!$B$65&lt;=120,IF(Paths!$E$200+'Operating costs'!$B$65=0,C2137=0,AND(C2137&gt;0,Paths!$E$200+'Operating costs'!$B$65&gt;(C2137-1)*12,Paths!$E$200+'Operating costs'!$B$65&lt;=C2137*12))),'Operating costs'!$B$64,0)+IF(AND('Operating costs'!$B$67&gt;0,'Operating costs'!$B$67&lt;=120,OR(Paths!$D$200="ICE",'Operating costs'!$B$67&lt;=Paths!$E$200),IF('Operating costs'!$B$67=0,C2137=0,AND(C2137&gt;0,'Operating costs'!$B$67&gt;(C2137-1)*12,'Operating costs'!$B$67&lt;=C2137*12))),'Operating costs'!$B$66,0),"n.a."))</f>
        <v>0</v>
      </c>
      <c r="N2137" s="16">
        <f>IF(NOT(Paths!$C$200=1),0,IF(Paths!$P$200="Complete",SUM(G2137:I2137)-J2137-K2137-L2137+M2137+IF(C2137=0,Paths!$F$200,0)+IF(IF(Paths!$E$200=0,C2137=0,AND(C2137&gt;0,Paths!$E$200&gt;(C2137-1)*12,Paths!$E$200&lt;=C2137*12)),VLOOKUP(A2137,'Fleet register'!$A$7:$S$106,16,FALSE),0),"n.a."))</f>
        <v>0</v>
      </c>
      <c r="O2137" s="16">
        <f>IF(NOT(Paths!$C$200=1),0,IF(Paths!$P$200="Complete",N2137-IF(C2137=0,Paths!$F$200,0),"n.a."))</f>
        <v>0</v>
      </c>
      <c r="P2137" s="16">
        <f>IF(NOT(Paths!$C$200=1),0,IF(Paths!$P$200="Complete",O2137+L2137,"n.a."))</f>
        <v>0</v>
      </c>
      <c r="Q2137" s="16">
        <f>IF(NOT(Paths!$C$200=1),0,IF(Paths!$P$200="Complete",N2137*(1+'Operating costs'!$B$54)^-C2137,"n.a."))</f>
        <v>0</v>
      </c>
      <c r="R2137" s="16">
        <f>IF(NOT(Paths!$C$200=1),0,IF(Paths!$P$200="Complete",IF(AND(C2137=0,Paths!$E$200=0),I2137-J2137-K2137+VLOOKUP(A2137,'Fleet register'!$A$7:$S$106,15,FALSE)+VLOOKUP(A2137,'Fleet register'!$A$7:$S$106,16,FALSE),0),"n.a."))</f>
        <v>0</v>
      </c>
      <c r="S2137" s="1">
        <f>IF(NOT(Paths!$C$200=1),0,IF(Paths!$P$200="Complete",IF(C2137=0,0,Paths!$S$200*Paths!$R$200),"n.a."))</f>
        <v>0</v>
      </c>
      <c r="T2137" s="1">
        <f>IF(NOT(Paths!$C$200=1),0,IF(Paths!$P$200="Complete",IF(C2137=0,0,VLOOKUP(A2137,'Fleet register'!$A$7:$S$106,9,FALSE)*Paths!$R$200),"n.a."))</f>
        <v>0</v>
      </c>
    </row>
    <row r="2138" spans="1:20" ht="24" customHeight="1">
      <c r="A2138" s="1" t="str">
        <f>Paths!$A$200</f>
        <v>T049</v>
      </c>
      <c r="B2138" s="1">
        <f>Paths!$B$200</f>
        <v>1</v>
      </c>
      <c r="C2138" s="1">
        <v>8</v>
      </c>
      <c r="D2138" s="1">
        <v>200</v>
      </c>
      <c r="E2138" s="1">
        <f>IF(OR(Paths!$C$200=0,C2138=0),0,MAX(0,MIN(C2138*12,Paths!$E$200)-(C2138-1)*12))</f>
        <v>0</v>
      </c>
      <c r="F2138" s="1">
        <f>IF(OR(Paths!$C$200=0,C2138=0),0,12-E2138)</f>
        <v>0</v>
      </c>
      <c r="G2138" s="16">
        <f>IF(NOT(Paths!$C$200=1),0,IF(Paths!$P$200="Complete",E2138/12*(Paths!$J$200*(1+'Operating costs'!$B$51)^MAX(0,C2138-1)+Paths!$K$200*(1+'Operating costs'!$B$53)^MAX(0,C2138-1)),"n.a."))</f>
        <v>0</v>
      </c>
      <c r="H2138" s="16">
        <f>IF(NOT(Paths!$C$200=1),0,IF(Paths!$P$200="Complete",F2138/12*(Paths!$L$200*(1+IF(Paths!$D$200="EV",'Operating costs'!$B$52,'Operating costs'!$B$51))^MAX(0,C2138-1)+Paths!$M$200*(1+'Operating costs'!$B$53)^MAX(0,C2138-1)),"n.a."))</f>
        <v>0</v>
      </c>
      <c r="I2138" s="16">
        <f>IF(NOT(Paths!$C$200=1),0,IF(Paths!$P$200="Complete",IF(IF(Paths!$E$200=0,C2138=0,AND(C2138&gt;0,Paths!$E$200&gt;(C2138-1)*12,Paths!$E$200&lt;=C2138*12)),Paths!$G$200,0),"n.a."))</f>
        <v>0</v>
      </c>
      <c r="J2138" s="16">
        <f>IF(NOT(Paths!$C$200=1),0,IF(Paths!$P$200="Complete",IF(IF(Paths!$E$200=0,C2138=0,AND(C2138&gt;0,Paths!$E$200&gt;(C2138-1)*12,Paths!$E$200&lt;=C2138*12)),Paths!$H$200,0),"n.a."))</f>
        <v>0</v>
      </c>
      <c r="K2138" s="16">
        <f>IF(NOT(Paths!$C$200=1),0,IF(Paths!$P$200="Complete",IF(IF(Paths!$O$200=0,C2138=0,AND(C2138&gt;0,Paths!$O$200&gt;(C2138-1)*12,Paths!$O$200&lt;=C2138*12)),Paths!$N$200,0),"n.a."))</f>
        <v>0</v>
      </c>
      <c r="L2138" s="16">
        <f>IF(NOT(Paths!$C$200=1),0,IF(Paths!$P$200="Complete",IF(C2138=10,Paths!$I$200,0),"n.a."))</f>
        <v>0</v>
      </c>
      <c r="M2138" s="16">
        <f>IF(NOT(Paths!$C$200=1),0,IF(Paths!$P$200="Complete",IF(AND(Paths!$D$200="EV",Paths!$E$200&lt;120,Paths!$E$200+'Operating costs'!$B$65&gt;Paths!$E$200,Paths!$E$200+'Operating costs'!$B$65&lt;=120,IF(Paths!$E$200+'Operating costs'!$B$65=0,C2138=0,AND(C2138&gt;0,Paths!$E$200+'Operating costs'!$B$65&gt;(C2138-1)*12,Paths!$E$200+'Operating costs'!$B$65&lt;=C2138*12))),'Operating costs'!$B$64,0)+IF(AND('Operating costs'!$B$67&gt;0,'Operating costs'!$B$67&lt;=120,OR(Paths!$D$200="ICE",'Operating costs'!$B$67&lt;=Paths!$E$200),IF('Operating costs'!$B$67=0,C2138=0,AND(C2138&gt;0,'Operating costs'!$B$67&gt;(C2138-1)*12,'Operating costs'!$B$67&lt;=C2138*12))),'Operating costs'!$B$66,0),"n.a."))</f>
        <v>0</v>
      </c>
      <c r="N2138" s="16">
        <f>IF(NOT(Paths!$C$200=1),0,IF(Paths!$P$200="Complete",SUM(G2138:I2138)-J2138-K2138-L2138+M2138+IF(C2138=0,Paths!$F$200,0)+IF(IF(Paths!$E$200=0,C2138=0,AND(C2138&gt;0,Paths!$E$200&gt;(C2138-1)*12,Paths!$E$200&lt;=C2138*12)),VLOOKUP(A2138,'Fleet register'!$A$7:$S$106,16,FALSE),0),"n.a."))</f>
        <v>0</v>
      </c>
      <c r="O2138" s="16">
        <f>IF(NOT(Paths!$C$200=1),0,IF(Paths!$P$200="Complete",N2138-IF(C2138=0,Paths!$F$200,0),"n.a."))</f>
        <v>0</v>
      </c>
      <c r="P2138" s="16">
        <f>IF(NOT(Paths!$C$200=1),0,IF(Paths!$P$200="Complete",O2138+L2138,"n.a."))</f>
        <v>0</v>
      </c>
      <c r="Q2138" s="16">
        <f>IF(NOT(Paths!$C$200=1),0,IF(Paths!$P$200="Complete",N2138*(1+'Operating costs'!$B$54)^-C2138,"n.a."))</f>
        <v>0</v>
      </c>
      <c r="R2138" s="16">
        <f>IF(NOT(Paths!$C$200=1),0,IF(Paths!$P$200="Complete",IF(AND(C2138=0,Paths!$E$200=0),I2138-J2138-K2138+VLOOKUP(A2138,'Fleet register'!$A$7:$S$106,15,FALSE)+VLOOKUP(A2138,'Fleet register'!$A$7:$S$106,16,FALSE),0),"n.a."))</f>
        <v>0</v>
      </c>
      <c r="S2138" s="1">
        <f>IF(NOT(Paths!$C$200=1),0,IF(Paths!$P$200="Complete",IF(C2138=0,0,Paths!$S$200*Paths!$R$200),"n.a."))</f>
        <v>0</v>
      </c>
      <c r="T2138" s="1">
        <f>IF(NOT(Paths!$C$200=1),0,IF(Paths!$P$200="Complete",IF(C2138=0,0,VLOOKUP(A2138,'Fleet register'!$A$7:$S$106,9,FALSE)*Paths!$R$200),"n.a."))</f>
        <v>0</v>
      </c>
    </row>
    <row r="2139" spans="1:20" ht="24" customHeight="1">
      <c r="A2139" s="1" t="str">
        <f>Paths!$A$200</f>
        <v>T049</v>
      </c>
      <c r="B2139" s="1">
        <f>Paths!$B$200</f>
        <v>1</v>
      </c>
      <c r="C2139" s="1">
        <v>9</v>
      </c>
      <c r="D2139" s="1">
        <v>200</v>
      </c>
      <c r="E2139" s="1">
        <f>IF(OR(Paths!$C$200=0,C2139=0),0,MAX(0,MIN(C2139*12,Paths!$E$200)-(C2139-1)*12))</f>
        <v>0</v>
      </c>
      <c r="F2139" s="1">
        <f>IF(OR(Paths!$C$200=0,C2139=0),0,12-E2139)</f>
        <v>0</v>
      </c>
      <c r="G2139" s="16">
        <f>IF(NOT(Paths!$C$200=1),0,IF(Paths!$P$200="Complete",E2139/12*(Paths!$J$200*(1+'Operating costs'!$B$51)^MAX(0,C2139-1)+Paths!$K$200*(1+'Operating costs'!$B$53)^MAX(0,C2139-1)),"n.a."))</f>
        <v>0</v>
      </c>
      <c r="H2139" s="16">
        <f>IF(NOT(Paths!$C$200=1),0,IF(Paths!$P$200="Complete",F2139/12*(Paths!$L$200*(1+IF(Paths!$D$200="EV",'Operating costs'!$B$52,'Operating costs'!$B$51))^MAX(0,C2139-1)+Paths!$M$200*(1+'Operating costs'!$B$53)^MAX(0,C2139-1)),"n.a."))</f>
        <v>0</v>
      </c>
      <c r="I2139" s="16">
        <f>IF(NOT(Paths!$C$200=1),0,IF(Paths!$P$200="Complete",IF(IF(Paths!$E$200=0,C2139=0,AND(C2139&gt;0,Paths!$E$200&gt;(C2139-1)*12,Paths!$E$200&lt;=C2139*12)),Paths!$G$200,0),"n.a."))</f>
        <v>0</v>
      </c>
      <c r="J2139" s="16">
        <f>IF(NOT(Paths!$C$200=1),0,IF(Paths!$P$200="Complete",IF(IF(Paths!$E$200=0,C2139=0,AND(C2139&gt;0,Paths!$E$200&gt;(C2139-1)*12,Paths!$E$200&lt;=C2139*12)),Paths!$H$200,0),"n.a."))</f>
        <v>0</v>
      </c>
      <c r="K2139" s="16">
        <f>IF(NOT(Paths!$C$200=1),0,IF(Paths!$P$200="Complete",IF(IF(Paths!$O$200=0,C2139=0,AND(C2139&gt;0,Paths!$O$200&gt;(C2139-1)*12,Paths!$O$200&lt;=C2139*12)),Paths!$N$200,0),"n.a."))</f>
        <v>0</v>
      </c>
      <c r="L2139" s="16">
        <f>IF(NOT(Paths!$C$200=1),0,IF(Paths!$P$200="Complete",IF(C2139=10,Paths!$I$200,0),"n.a."))</f>
        <v>0</v>
      </c>
      <c r="M2139" s="16">
        <f>IF(NOT(Paths!$C$200=1),0,IF(Paths!$P$200="Complete",IF(AND(Paths!$D$200="EV",Paths!$E$200&lt;120,Paths!$E$200+'Operating costs'!$B$65&gt;Paths!$E$200,Paths!$E$200+'Operating costs'!$B$65&lt;=120,IF(Paths!$E$200+'Operating costs'!$B$65=0,C2139=0,AND(C2139&gt;0,Paths!$E$200+'Operating costs'!$B$65&gt;(C2139-1)*12,Paths!$E$200+'Operating costs'!$B$65&lt;=C2139*12))),'Operating costs'!$B$64,0)+IF(AND('Operating costs'!$B$67&gt;0,'Operating costs'!$B$67&lt;=120,OR(Paths!$D$200="ICE",'Operating costs'!$B$67&lt;=Paths!$E$200),IF('Operating costs'!$B$67=0,C2139=0,AND(C2139&gt;0,'Operating costs'!$B$67&gt;(C2139-1)*12,'Operating costs'!$B$67&lt;=C2139*12))),'Operating costs'!$B$66,0),"n.a."))</f>
        <v>0</v>
      </c>
      <c r="N2139" s="16">
        <f>IF(NOT(Paths!$C$200=1),0,IF(Paths!$P$200="Complete",SUM(G2139:I2139)-J2139-K2139-L2139+M2139+IF(C2139=0,Paths!$F$200,0)+IF(IF(Paths!$E$200=0,C2139=0,AND(C2139&gt;0,Paths!$E$200&gt;(C2139-1)*12,Paths!$E$200&lt;=C2139*12)),VLOOKUP(A2139,'Fleet register'!$A$7:$S$106,16,FALSE),0),"n.a."))</f>
        <v>0</v>
      </c>
      <c r="O2139" s="16">
        <f>IF(NOT(Paths!$C$200=1),0,IF(Paths!$P$200="Complete",N2139-IF(C2139=0,Paths!$F$200,0),"n.a."))</f>
        <v>0</v>
      </c>
      <c r="P2139" s="16">
        <f>IF(NOT(Paths!$C$200=1),0,IF(Paths!$P$200="Complete",O2139+L2139,"n.a."))</f>
        <v>0</v>
      </c>
      <c r="Q2139" s="16">
        <f>IF(NOT(Paths!$C$200=1),0,IF(Paths!$P$200="Complete",N2139*(1+'Operating costs'!$B$54)^-C2139,"n.a."))</f>
        <v>0</v>
      </c>
      <c r="R2139" s="16">
        <f>IF(NOT(Paths!$C$200=1),0,IF(Paths!$P$200="Complete",IF(AND(C2139=0,Paths!$E$200=0),I2139-J2139-K2139+VLOOKUP(A2139,'Fleet register'!$A$7:$S$106,15,FALSE)+VLOOKUP(A2139,'Fleet register'!$A$7:$S$106,16,FALSE),0),"n.a."))</f>
        <v>0</v>
      </c>
      <c r="S2139" s="1">
        <f>IF(NOT(Paths!$C$200=1),0,IF(Paths!$P$200="Complete",IF(C2139=0,0,Paths!$S$200*Paths!$R$200),"n.a."))</f>
        <v>0</v>
      </c>
      <c r="T2139" s="1">
        <f>IF(NOT(Paths!$C$200=1),0,IF(Paths!$P$200="Complete",IF(C2139=0,0,VLOOKUP(A2139,'Fleet register'!$A$7:$S$106,9,FALSE)*Paths!$R$200),"n.a."))</f>
        <v>0</v>
      </c>
    </row>
    <row r="2140" spans="1:20" ht="24" customHeight="1">
      <c r="A2140" s="1" t="str">
        <f>Paths!$A$200</f>
        <v>T049</v>
      </c>
      <c r="B2140" s="1">
        <f>Paths!$B$200</f>
        <v>1</v>
      </c>
      <c r="C2140" s="1">
        <v>10</v>
      </c>
      <c r="D2140" s="1">
        <v>200</v>
      </c>
      <c r="E2140" s="1">
        <f>IF(OR(Paths!$C$200=0,C2140=0),0,MAX(0,MIN(C2140*12,Paths!$E$200)-(C2140-1)*12))</f>
        <v>0</v>
      </c>
      <c r="F2140" s="1">
        <f>IF(OR(Paths!$C$200=0,C2140=0),0,12-E2140)</f>
        <v>0</v>
      </c>
      <c r="G2140" s="16">
        <f>IF(NOT(Paths!$C$200=1),0,IF(Paths!$P$200="Complete",E2140/12*(Paths!$J$200*(1+'Operating costs'!$B$51)^MAX(0,C2140-1)+Paths!$K$200*(1+'Operating costs'!$B$53)^MAX(0,C2140-1)),"n.a."))</f>
        <v>0</v>
      </c>
      <c r="H2140" s="16">
        <f>IF(NOT(Paths!$C$200=1),0,IF(Paths!$P$200="Complete",F2140/12*(Paths!$L$200*(1+IF(Paths!$D$200="EV",'Operating costs'!$B$52,'Operating costs'!$B$51))^MAX(0,C2140-1)+Paths!$M$200*(1+'Operating costs'!$B$53)^MAX(0,C2140-1)),"n.a."))</f>
        <v>0</v>
      </c>
      <c r="I2140" s="16">
        <f>IF(NOT(Paths!$C$200=1),0,IF(Paths!$P$200="Complete",IF(IF(Paths!$E$200=0,C2140=0,AND(C2140&gt;0,Paths!$E$200&gt;(C2140-1)*12,Paths!$E$200&lt;=C2140*12)),Paths!$G$200,0),"n.a."))</f>
        <v>0</v>
      </c>
      <c r="J2140" s="16">
        <f>IF(NOT(Paths!$C$200=1),0,IF(Paths!$P$200="Complete",IF(IF(Paths!$E$200=0,C2140=0,AND(C2140&gt;0,Paths!$E$200&gt;(C2140-1)*12,Paths!$E$200&lt;=C2140*12)),Paths!$H$200,0),"n.a."))</f>
        <v>0</v>
      </c>
      <c r="K2140" s="16">
        <f>IF(NOT(Paths!$C$200=1),0,IF(Paths!$P$200="Complete",IF(IF(Paths!$O$200=0,C2140=0,AND(C2140&gt;0,Paths!$O$200&gt;(C2140-1)*12,Paths!$O$200&lt;=C2140*12)),Paths!$N$200,0),"n.a."))</f>
        <v>0</v>
      </c>
      <c r="L2140" s="16">
        <f>IF(NOT(Paths!$C$200=1),0,IF(Paths!$P$200="Complete",IF(C2140=10,Paths!$I$200,0),"n.a."))</f>
        <v>0</v>
      </c>
      <c r="M2140" s="16">
        <f>IF(NOT(Paths!$C$200=1),0,IF(Paths!$P$200="Complete",IF(AND(Paths!$D$200="EV",Paths!$E$200&lt;120,Paths!$E$200+'Operating costs'!$B$65&gt;Paths!$E$200,Paths!$E$200+'Operating costs'!$B$65&lt;=120,IF(Paths!$E$200+'Operating costs'!$B$65=0,C2140=0,AND(C2140&gt;0,Paths!$E$200+'Operating costs'!$B$65&gt;(C2140-1)*12,Paths!$E$200+'Operating costs'!$B$65&lt;=C2140*12))),'Operating costs'!$B$64,0)+IF(AND('Operating costs'!$B$67&gt;0,'Operating costs'!$B$67&lt;=120,OR(Paths!$D$200="ICE",'Operating costs'!$B$67&lt;=Paths!$E$200),IF('Operating costs'!$B$67=0,C2140=0,AND(C2140&gt;0,'Operating costs'!$B$67&gt;(C2140-1)*12,'Operating costs'!$B$67&lt;=C2140*12))),'Operating costs'!$B$66,0),"n.a."))</f>
        <v>0</v>
      </c>
      <c r="N2140" s="16">
        <f>IF(NOT(Paths!$C$200=1),0,IF(Paths!$P$200="Complete",SUM(G2140:I2140)-J2140-K2140-L2140+M2140+IF(C2140=0,Paths!$F$200,0)+IF(IF(Paths!$E$200=0,C2140=0,AND(C2140&gt;0,Paths!$E$200&gt;(C2140-1)*12,Paths!$E$200&lt;=C2140*12)),VLOOKUP(A2140,'Fleet register'!$A$7:$S$106,16,FALSE),0),"n.a."))</f>
        <v>0</v>
      </c>
      <c r="O2140" s="16">
        <f>IF(NOT(Paths!$C$200=1),0,IF(Paths!$P$200="Complete",N2140-IF(C2140=0,Paths!$F$200,0),"n.a."))</f>
        <v>0</v>
      </c>
      <c r="P2140" s="16">
        <f>IF(NOT(Paths!$C$200=1),0,IF(Paths!$P$200="Complete",O2140+L2140,"n.a."))</f>
        <v>0</v>
      </c>
      <c r="Q2140" s="16">
        <f>IF(NOT(Paths!$C$200=1),0,IF(Paths!$P$200="Complete",N2140*(1+'Operating costs'!$B$54)^-C2140,"n.a."))</f>
        <v>0</v>
      </c>
      <c r="R2140" s="16">
        <f>IF(NOT(Paths!$C$200=1),0,IF(Paths!$P$200="Complete",IF(AND(C2140=0,Paths!$E$200=0),I2140-J2140-K2140+VLOOKUP(A2140,'Fleet register'!$A$7:$S$106,15,FALSE)+VLOOKUP(A2140,'Fleet register'!$A$7:$S$106,16,FALSE),0),"n.a."))</f>
        <v>0</v>
      </c>
      <c r="S2140" s="1">
        <f>IF(NOT(Paths!$C$200=1),0,IF(Paths!$P$200="Complete",IF(C2140=0,0,Paths!$S$200*Paths!$R$200),"n.a."))</f>
        <v>0</v>
      </c>
      <c r="T2140" s="1">
        <f>IF(NOT(Paths!$C$200=1),0,IF(Paths!$P$200="Complete",IF(C2140=0,0,VLOOKUP(A2140,'Fleet register'!$A$7:$S$106,9,FALSE)*Paths!$R$200),"n.a."))</f>
        <v>0</v>
      </c>
    </row>
    <row r="2141" spans="1:20" ht="24" customHeight="1">
      <c r="A2141" s="1" t="str">
        <f>Paths!$A$201</f>
        <v>T049</v>
      </c>
      <c r="B2141" s="1">
        <f>Paths!$B$201</f>
        <v>2</v>
      </c>
      <c r="C2141" s="1">
        <v>0</v>
      </c>
      <c r="D2141" s="1">
        <v>201</v>
      </c>
      <c r="E2141" s="1">
        <f>IF(OR(Paths!$C$201=0,C2141=0),0,MAX(0,MIN(C2141*12,Paths!$E$201)-(C2141-1)*12))</f>
        <v>0</v>
      </c>
      <c r="F2141" s="1">
        <f>IF(OR(Paths!$C$201=0,C2141=0),0,12-E2141)</f>
        <v>0</v>
      </c>
      <c r="G2141" s="16">
        <f>IF(NOT(Paths!$C$201=1),0,IF(Paths!$P$201="Complete",E2141/12*(Paths!$J$201*(1+'Operating costs'!$B$51)^MAX(0,C2141-1)+Paths!$K$201*(1+'Operating costs'!$B$53)^MAX(0,C2141-1)),"n.a."))</f>
        <v>0</v>
      </c>
      <c r="H2141" s="16">
        <f>IF(NOT(Paths!$C$201=1),0,IF(Paths!$P$201="Complete",F2141/12*(Paths!$L$201*(1+IF(Paths!$D$201="EV",'Operating costs'!$B$52,'Operating costs'!$B$51))^MAX(0,C2141-1)+Paths!$M$201*(1+'Operating costs'!$B$53)^MAX(0,C2141-1)),"n.a."))</f>
        <v>0</v>
      </c>
      <c r="I2141" s="16">
        <f>IF(NOT(Paths!$C$201=1),0,IF(Paths!$P$201="Complete",IF(IF(Paths!$E$201=0,C2141=0,AND(C2141&gt;0,Paths!$E$201&gt;(C2141-1)*12,Paths!$E$201&lt;=C2141*12)),Paths!$G$201,0),"n.a."))</f>
        <v>0</v>
      </c>
      <c r="J2141" s="16">
        <f>IF(NOT(Paths!$C$201=1),0,IF(Paths!$P$201="Complete",IF(IF(Paths!$E$201=0,C2141=0,AND(C2141&gt;0,Paths!$E$201&gt;(C2141-1)*12,Paths!$E$201&lt;=C2141*12)),Paths!$H$201,0),"n.a."))</f>
        <v>0</v>
      </c>
      <c r="K2141" s="16">
        <f>IF(NOT(Paths!$C$201=1),0,IF(Paths!$P$201="Complete",IF(IF(Paths!$O$201=0,C2141=0,AND(C2141&gt;0,Paths!$O$201&gt;(C2141-1)*12,Paths!$O$201&lt;=C2141*12)),Paths!$N$201,0),"n.a."))</f>
        <v>0</v>
      </c>
      <c r="L2141" s="16">
        <f>IF(NOT(Paths!$C$201=1),0,IF(Paths!$P$201="Complete",IF(C2141=10,Paths!$I$201,0),"n.a."))</f>
        <v>0</v>
      </c>
      <c r="M2141" s="16">
        <f>IF(NOT(Paths!$C$201=1),0,IF(Paths!$P$201="Complete",IF(AND(Paths!$D$201="EV",Paths!$E$201&lt;120,Paths!$E$201+'Operating costs'!$B$65&gt;Paths!$E$201,Paths!$E$201+'Operating costs'!$B$65&lt;=120,IF(Paths!$E$201+'Operating costs'!$B$65=0,C2141=0,AND(C2141&gt;0,Paths!$E$201+'Operating costs'!$B$65&gt;(C2141-1)*12,Paths!$E$201+'Operating costs'!$B$65&lt;=C2141*12))),'Operating costs'!$B$64,0)+IF(AND('Operating costs'!$B$67&gt;0,'Operating costs'!$B$67&lt;=120,OR(Paths!$D$201="ICE",'Operating costs'!$B$67&lt;=Paths!$E$201),IF('Operating costs'!$B$67=0,C2141=0,AND(C2141&gt;0,'Operating costs'!$B$67&gt;(C2141-1)*12,'Operating costs'!$B$67&lt;=C2141*12))),'Operating costs'!$B$66,0),"n.a."))</f>
        <v>0</v>
      </c>
      <c r="N2141" s="16">
        <f>IF(NOT(Paths!$C$201=1),0,IF(Paths!$P$201="Complete",SUM(G2141:I2141)-J2141-K2141-L2141+M2141+IF(C2141=0,Paths!$F$201,0)+IF(IF(Paths!$E$201=0,C2141=0,AND(C2141&gt;0,Paths!$E$201&gt;(C2141-1)*12,Paths!$E$201&lt;=C2141*12)),VLOOKUP(A2141,'Fleet register'!$A$7:$S$106,16,FALSE),0),"n.a."))</f>
        <v>0</v>
      </c>
      <c r="O2141" s="16">
        <f>IF(NOT(Paths!$C$201=1),0,IF(Paths!$P$201="Complete",N2141-IF(C2141=0,Paths!$F$201,0),"n.a."))</f>
        <v>0</v>
      </c>
      <c r="P2141" s="16">
        <f>IF(NOT(Paths!$C$201=1),0,IF(Paths!$P$201="Complete",O2141+L2141,"n.a."))</f>
        <v>0</v>
      </c>
      <c r="Q2141" s="16">
        <f>IF(NOT(Paths!$C$201=1),0,IF(Paths!$P$201="Complete",N2141*(1+'Operating costs'!$B$54)^-C2141,"n.a."))</f>
        <v>0</v>
      </c>
      <c r="R2141" s="16">
        <f>IF(NOT(Paths!$C$201=1),0,IF(Paths!$P$201="Complete",IF(AND(C2141=0,Paths!$E$201=0),I2141-J2141-K2141+VLOOKUP(A2141,'Fleet register'!$A$7:$S$106,15,FALSE)+VLOOKUP(A2141,'Fleet register'!$A$7:$S$106,16,FALSE),0),"n.a."))</f>
        <v>0</v>
      </c>
      <c r="S2141" s="1">
        <f>IF(NOT(Paths!$C$201=1),0,IF(Paths!$P$201="Complete",IF(C2141=0,0,Paths!$S$201*Paths!$R$201),"n.a."))</f>
        <v>0</v>
      </c>
      <c r="T2141" s="1">
        <f>IF(NOT(Paths!$C$201=1),0,IF(Paths!$P$201="Complete",IF(C2141=0,0,VLOOKUP(A2141,'Fleet register'!$A$7:$S$106,9,FALSE)*Paths!$R$201),"n.a."))</f>
        <v>0</v>
      </c>
    </row>
    <row r="2142" spans="1:20" ht="24" customHeight="1">
      <c r="A2142" s="1" t="str">
        <f>Paths!$A$201</f>
        <v>T049</v>
      </c>
      <c r="B2142" s="1">
        <f>Paths!$B$201</f>
        <v>2</v>
      </c>
      <c r="C2142" s="1">
        <v>1</v>
      </c>
      <c r="D2142" s="1">
        <v>201</v>
      </c>
      <c r="E2142" s="1">
        <f>IF(OR(Paths!$C$201=0,C2142=0),0,MAX(0,MIN(C2142*12,Paths!$E$201)-(C2142-1)*12))</f>
        <v>0</v>
      </c>
      <c r="F2142" s="1">
        <f>IF(OR(Paths!$C$201=0,C2142=0),0,12-E2142)</f>
        <v>0</v>
      </c>
      <c r="G2142" s="16">
        <f>IF(NOT(Paths!$C$201=1),0,IF(Paths!$P$201="Complete",E2142/12*(Paths!$J$201*(1+'Operating costs'!$B$51)^MAX(0,C2142-1)+Paths!$K$201*(1+'Operating costs'!$B$53)^MAX(0,C2142-1)),"n.a."))</f>
        <v>0</v>
      </c>
      <c r="H2142" s="16">
        <f>IF(NOT(Paths!$C$201=1),0,IF(Paths!$P$201="Complete",F2142/12*(Paths!$L$201*(1+IF(Paths!$D$201="EV",'Operating costs'!$B$52,'Operating costs'!$B$51))^MAX(0,C2142-1)+Paths!$M$201*(1+'Operating costs'!$B$53)^MAX(0,C2142-1)),"n.a."))</f>
        <v>0</v>
      </c>
      <c r="I2142" s="16">
        <f>IF(NOT(Paths!$C$201=1),0,IF(Paths!$P$201="Complete",IF(IF(Paths!$E$201=0,C2142=0,AND(C2142&gt;0,Paths!$E$201&gt;(C2142-1)*12,Paths!$E$201&lt;=C2142*12)),Paths!$G$201,0),"n.a."))</f>
        <v>0</v>
      </c>
      <c r="J2142" s="16">
        <f>IF(NOT(Paths!$C$201=1),0,IF(Paths!$P$201="Complete",IF(IF(Paths!$E$201=0,C2142=0,AND(C2142&gt;0,Paths!$E$201&gt;(C2142-1)*12,Paths!$E$201&lt;=C2142*12)),Paths!$H$201,0),"n.a."))</f>
        <v>0</v>
      </c>
      <c r="K2142" s="16">
        <f>IF(NOT(Paths!$C$201=1),0,IF(Paths!$P$201="Complete",IF(IF(Paths!$O$201=0,C2142=0,AND(C2142&gt;0,Paths!$O$201&gt;(C2142-1)*12,Paths!$O$201&lt;=C2142*12)),Paths!$N$201,0),"n.a."))</f>
        <v>0</v>
      </c>
      <c r="L2142" s="16">
        <f>IF(NOT(Paths!$C$201=1),0,IF(Paths!$P$201="Complete",IF(C2142=10,Paths!$I$201,0),"n.a."))</f>
        <v>0</v>
      </c>
      <c r="M2142" s="16">
        <f>IF(NOT(Paths!$C$201=1),0,IF(Paths!$P$201="Complete",IF(AND(Paths!$D$201="EV",Paths!$E$201&lt;120,Paths!$E$201+'Operating costs'!$B$65&gt;Paths!$E$201,Paths!$E$201+'Operating costs'!$B$65&lt;=120,IF(Paths!$E$201+'Operating costs'!$B$65=0,C2142=0,AND(C2142&gt;0,Paths!$E$201+'Operating costs'!$B$65&gt;(C2142-1)*12,Paths!$E$201+'Operating costs'!$B$65&lt;=C2142*12))),'Operating costs'!$B$64,0)+IF(AND('Operating costs'!$B$67&gt;0,'Operating costs'!$B$67&lt;=120,OR(Paths!$D$201="ICE",'Operating costs'!$B$67&lt;=Paths!$E$201),IF('Operating costs'!$B$67=0,C2142=0,AND(C2142&gt;0,'Operating costs'!$B$67&gt;(C2142-1)*12,'Operating costs'!$B$67&lt;=C2142*12))),'Operating costs'!$B$66,0),"n.a."))</f>
        <v>0</v>
      </c>
      <c r="N2142" s="16">
        <f>IF(NOT(Paths!$C$201=1),0,IF(Paths!$P$201="Complete",SUM(G2142:I2142)-J2142-K2142-L2142+M2142+IF(C2142=0,Paths!$F$201,0)+IF(IF(Paths!$E$201=0,C2142=0,AND(C2142&gt;0,Paths!$E$201&gt;(C2142-1)*12,Paths!$E$201&lt;=C2142*12)),VLOOKUP(A2142,'Fleet register'!$A$7:$S$106,16,FALSE),0),"n.a."))</f>
        <v>0</v>
      </c>
      <c r="O2142" s="16">
        <f>IF(NOT(Paths!$C$201=1),0,IF(Paths!$P$201="Complete",N2142-IF(C2142=0,Paths!$F$201,0),"n.a."))</f>
        <v>0</v>
      </c>
      <c r="P2142" s="16">
        <f>IF(NOT(Paths!$C$201=1),0,IF(Paths!$P$201="Complete",O2142+L2142,"n.a."))</f>
        <v>0</v>
      </c>
      <c r="Q2142" s="16">
        <f>IF(NOT(Paths!$C$201=1),0,IF(Paths!$P$201="Complete",N2142*(1+'Operating costs'!$B$54)^-C2142,"n.a."))</f>
        <v>0</v>
      </c>
      <c r="R2142" s="16">
        <f>IF(NOT(Paths!$C$201=1),0,IF(Paths!$P$201="Complete",IF(AND(C2142=0,Paths!$E$201=0),I2142-J2142-K2142+VLOOKUP(A2142,'Fleet register'!$A$7:$S$106,15,FALSE)+VLOOKUP(A2142,'Fleet register'!$A$7:$S$106,16,FALSE),0),"n.a."))</f>
        <v>0</v>
      </c>
      <c r="S2142" s="1">
        <f>IF(NOT(Paths!$C$201=1),0,IF(Paths!$P$201="Complete",IF(C2142=0,0,Paths!$S$201*Paths!$R$201),"n.a."))</f>
        <v>0</v>
      </c>
      <c r="T2142" s="1">
        <f>IF(NOT(Paths!$C$201=1),0,IF(Paths!$P$201="Complete",IF(C2142=0,0,VLOOKUP(A2142,'Fleet register'!$A$7:$S$106,9,FALSE)*Paths!$R$201),"n.a."))</f>
        <v>0</v>
      </c>
    </row>
    <row r="2143" spans="1:20" ht="24" customHeight="1">
      <c r="A2143" s="1" t="str">
        <f>Paths!$A$201</f>
        <v>T049</v>
      </c>
      <c r="B2143" s="1">
        <f>Paths!$B$201</f>
        <v>2</v>
      </c>
      <c r="C2143" s="1">
        <v>2</v>
      </c>
      <c r="D2143" s="1">
        <v>201</v>
      </c>
      <c r="E2143" s="1">
        <f>IF(OR(Paths!$C$201=0,C2143=0),0,MAX(0,MIN(C2143*12,Paths!$E$201)-(C2143-1)*12))</f>
        <v>0</v>
      </c>
      <c r="F2143" s="1">
        <f>IF(OR(Paths!$C$201=0,C2143=0),0,12-E2143)</f>
        <v>0</v>
      </c>
      <c r="G2143" s="16">
        <f>IF(NOT(Paths!$C$201=1),0,IF(Paths!$P$201="Complete",E2143/12*(Paths!$J$201*(1+'Operating costs'!$B$51)^MAX(0,C2143-1)+Paths!$K$201*(1+'Operating costs'!$B$53)^MAX(0,C2143-1)),"n.a."))</f>
        <v>0</v>
      </c>
      <c r="H2143" s="16">
        <f>IF(NOT(Paths!$C$201=1),0,IF(Paths!$P$201="Complete",F2143/12*(Paths!$L$201*(1+IF(Paths!$D$201="EV",'Operating costs'!$B$52,'Operating costs'!$B$51))^MAX(0,C2143-1)+Paths!$M$201*(1+'Operating costs'!$B$53)^MAX(0,C2143-1)),"n.a."))</f>
        <v>0</v>
      </c>
      <c r="I2143" s="16">
        <f>IF(NOT(Paths!$C$201=1),0,IF(Paths!$P$201="Complete",IF(IF(Paths!$E$201=0,C2143=0,AND(C2143&gt;0,Paths!$E$201&gt;(C2143-1)*12,Paths!$E$201&lt;=C2143*12)),Paths!$G$201,0),"n.a."))</f>
        <v>0</v>
      </c>
      <c r="J2143" s="16">
        <f>IF(NOT(Paths!$C$201=1),0,IF(Paths!$P$201="Complete",IF(IF(Paths!$E$201=0,C2143=0,AND(C2143&gt;0,Paths!$E$201&gt;(C2143-1)*12,Paths!$E$201&lt;=C2143*12)),Paths!$H$201,0),"n.a."))</f>
        <v>0</v>
      </c>
      <c r="K2143" s="16">
        <f>IF(NOT(Paths!$C$201=1),0,IF(Paths!$P$201="Complete",IF(IF(Paths!$O$201=0,C2143=0,AND(C2143&gt;0,Paths!$O$201&gt;(C2143-1)*12,Paths!$O$201&lt;=C2143*12)),Paths!$N$201,0),"n.a."))</f>
        <v>0</v>
      </c>
      <c r="L2143" s="16">
        <f>IF(NOT(Paths!$C$201=1),0,IF(Paths!$P$201="Complete",IF(C2143=10,Paths!$I$201,0),"n.a."))</f>
        <v>0</v>
      </c>
      <c r="M2143" s="16">
        <f>IF(NOT(Paths!$C$201=1),0,IF(Paths!$P$201="Complete",IF(AND(Paths!$D$201="EV",Paths!$E$201&lt;120,Paths!$E$201+'Operating costs'!$B$65&gt;Paths!$E$201,Paths!$E$201+'Operating costs'!$B$65&lt;=120,IF(Paths!$E$201+'Operating costs'!$B$65=0,C2143=0,AND(C2143&gt;0,Paths!$E$201+'Operating costs'!$B$65&gt;(C2143-1)*12,Paths!$E$201+'Operating costs'!$B$65&lt;=C2143*12))),'Operating costs'!$B$64,0)+IF(AND('Operating costs'!$B$67&gt;0,'Operating costs'!$B$67&lt;=120,OR(Paths!$D$201="ICE",'Operating costs'!$B$67&lt;=Paths!$E$201),IF('Operating costs'!$B$67=0,C2143=0,AND(C2143&gt;0,'Operating costs'!$B$67&gt;(C2143-1)*12,'Operating costs'!$B$67&lt;=C2143*12))),'Operating costs'!$B$66,0),"n.a."))</f>
        <v>0</v>
      </c>
      <c r="N2143" s="16">
        <f>IF(NOT(Paths!$C$201=1),0,IF(Paths!$P$201="Complete",SUM(G2143:I2143)-J2143-K2143-L2143+M2143+IF(C2143=0,Paths!$F$201,0)+IF(IF(Paths!$E$201=0,C2143=0,AND(C2143&gt;0,Paths!$E$201&gt;(C2143-1)*12,Paths!$E$201&lt;=C2143*12)),VLOOKUP(A2143,'Fleet register'!$A$7:$S$106,16,FALSE),0),"n.a."))</f>
        <v>0</v>
      </c>
      <c r="O2143" s="16">
        <f>IF(NOT(Paths!$C$201=1),0,IF(Paths!$P$201="Complete",N2143-IF(C2143=0,Paths!$F$201,0),"n.a."))</f>
        <v>0</v>
      </c>
      <c r="P2143" s="16">
        <f>IF(NOT(Paths!$C$201=1),0,IF(Paths!$P$201="Complete",O2143+L2143,"n.a."))</f>
        <v>0</v>
      </c>
      <c r="Q2143" s="16">
        <f>IF(NOT(Paths!$C$201=1),0,IF(Paths!$P$201="Complete",N2143*(1+'Operating costs'!$B$54)^-C2143,"n.a."))</f>
        <v>0</v>
      </c>
      <c r="R2143" s="16">
        <f>IF(NOT(Paths!$C$201=1),0,IF(Paths!$P$201="Complete",IF(AND(C2143=0,Paths!$E$201=0),I2143-J2143-K2143+VLOOKUP(A2143,'Fleet register'!$A$7:$S$106,15,FALSE)+VLOOKUP(A2143,'Fleet register'!$A$7:$S$106,16,FALSE),0),"n.a."))</f>
        <v>0</v>
      </c>
      <c r="S2143" s="1">
        <f>IF(NOT(Paths!$C$201=1),0,IF(Paths!$P$201="Complete",IF(C2143=0,0,Paths!$S$201*Paths!$R$201),"n.a."))</f>
        <v>0</v>
      </c>
      <c r="T2143" s="1">
        <f>IF(NOT(Paths!$C$201=1),0,IF(Paths!$P$201="Complete",IF(C2143=0,0,VLOOKUP(A2143,'Fleet register'!$A$7:$S$106,9,FALSE)*Paths!$R$201),"n.a."))</f>
        <v>0</v>
      </c>
    </row>
    <row r="2144" spans="1:20" ht="24" customHeight="1">
      <c r="A2144" s="1" t="str">
        <f>Paths!$A$201</f>
        <v>T049</v>
      </c>
      <c r="B2144" s="1">
        <f>Paths!$B$201</f>
        <v>2</v>
      </c>
      <c r="C2144" s="1">
        <v>3</v>
      </c>
      <c r="D2144" s="1">
        <v>201</v>
      </c>
      <c r="E2144" s="1">
        <f>IF(OR(Paths!$C$201=0,C2144=0),0,MAX(0,MIN(C2144*12,Paths!$E$201)-(C2144-1)*12))</f>
        <v>0</v>
      </c>
      <c r="F2144" s="1">
        <f>IF(OR(Paths!$C$201=0,C2144=0),0,12-E2144)</f>
        <v>0</v>
      </c>
      <c r="G2144" s="16">
        <f>IF(NOT(Paths!$C$201=1),0,IF(Paths!$P$201="Complete",E2144/12*(Paths!$J$201*(1+'Operating costs'!$B$51)^MAX(0,C2144-1)+Paths!$K$201*(1+'Operating costs'!$B$53)^MAX(0,C2144-1)),"n.a."))</f>
        <v>0</v>
      </c>
      <c r="H2144" s="16">
        <f>IF(NOT(Paths!$C$201=1),0,IF(Paths!$P$201="Complete",F2144/12*(Paths!$L$201*(1+IF(Paths!$D$201="EV",'Operating costs'!$B$52,'Operating costs'!$B$51))^MAX(0,C2144-1)+Paths!$M$201*(1+'Operating costs'!$B$53)^MAX(0,C2144-1)),"n.a."))</f>
        <v>0</v>
      </c>
      <c r="I2144" s="16">
        <f>IF(NOT(Paths!$C$201=1),0,IF(Paths!$P$201="Complete",IF(IF(Paths!$E$201=0,C2144=0,AND(C2144&gt;0,Paths!$E$201&gt;(C2144-1)*12,Paths!$E$201&lt;=C2144*12)),Paths!$G$201,0),"n.a."))</f>
        <v>0</v>
      </c>
      <c r="J2144" s="16">
        <f>IF(NOT(Paths!$C$201=1),0,IF(Paths!$P$201="Complete",IF(IF(Paths!$E$201=0,C2144=0,AND(C2144&gt;0,Paths!$E$201&gt;(C2144-1)*12,Paths!$E$201&lt;=C2144*12)),Paths!$H$201,0),"n.a."))</f>
        <v>0</v>
      </c>
      <c r="K2144" s="16">
        <f>IF(NOT(Paths!$C$201=1),0,IF(Paths!$P$201="Complete",IF(IF(Paths!$O$201=0,C2144=0,AND(C2144&gt;0,Paths!$O$201&gt;(C2144-1)*12,Paths!$O$201&lt;=C2144*12)),Paths!$N$201,0),"n.a."))</f>
        <v>0</v>
      </c>
      <c r="L2144" s="16">
        <f>IF(NOT(Paths!$C$201=1),0,IF(Paths!$P$201="Complete",IF(C2144=10,Paths!$I$201,0),"n.a."))</f>
        <v>0</v>
      </c>
      <c r="M2144" s="16">
        <f>IF(NOT(Paths!$C$201=1),0,IF(Paths!$P$201="Complete",IF(AND(Paths!$D$201="EV",Paths!$E$201&lt;120,Paths!$E$201+'Operating costs'!$B$65&gt;Paths!$E$201,Paths!$E$201+'Operating costs'!$B$65&lt;=120,IF(Paths!$E$201+'Operating costs'!$B$65=0,C2144=0,AND(C2144&gt;0,Paths!$E$201+'Operating costs'!$B$65&gt;(C2144-1)*12,Paths!$E$201+'Operating costs'!$B$65&lt;=C2144*12))),'Operating costs'!$B$64,0)+IF(AND('Operating costs'!$B$67&gt;0,'Operating costs'!$B$67&lt;=120,OR(Paths!$D$201="ICE",'Operating costs'!$B$67&lt;=Paths!$E$201),IF('Operating costs'!$B$67=0,C2144=0,AND(C2144&gt;0,'Operating costs'!$B$67&gt;(C2144-1)*12,'Operating costs'!$B$67&lt;=C2144*12))),'Operating costs'!$B$66,0),"n.a."))</f>
        <v>0</v>
      </c>
      <c r="N2144" s="16">
        <f>IF(NOT(Paths!$C$201=1),0,IF(Paths!$P$201="Complete",SUM(G2144:I2144)-J2144-K2144-L2144+M2144+IF(C2144=0,Paths!$F$201,0)+IF(IF(Paths!$E$201=0,C2144=0,AND(C2144&gt;0,Paths!$E$201&gt;(C2144-1)*12,Paths!$E$201&lt;=C2144*12)),VLOOKUP(A2144,'Fleet register'!$A$7:$S$106,16,FALSE),0),"n.a."))</f>
        <v>0</v>
      </c>
      <c r="O2144" s="16">
        <f>IF(NOT(Paths!$C$201=1),0,IF(Paths!$P$201="Complete",N2144-IF(C2144=0,Paths!$F$201,0),"n.a."))</f>
        <v>0</v>
      </c>
      <c r="P2144" s="16">
        <f>IF(NOT(Paths!$C$201=1),0,IF(Paths!$P$201="Complete",O2144+L2144,"n.a."))</f>
        <v>0</v>
      </c>
      <c r="Q2144" s="16">
        <f>IF(NOT(Paths!$C$201=1),0,IF(Paths!$P$201="Complete",N2144*(1+'Operating costs'!$B$54)^-C2144,"n.a."))</f>
        <v>0</v>
      </c>
      <c r="R2144" s="16">
        <f>IF(NOT(Paths!$C$201=1),0,IF(Paths!$P$201="Complete",IF(AND(C2144=0,Paths!$E$201=0),I2144-J2144-K2144+VLOOKUP(A2144,'Fleet register'!$A$7:$S$106,15,FALSE)+VLOOKUP(A2144,'Fleet register'!$A$7:$S$106,16,FALSE),0),"n.a."))</f>
        <v>0</v>
      </c>
      <c r="S2144" s="1">
        <f>IF(NOT(Paths!$C$201=1),0,IF(Paths!$P$201="Complete",IF(C2144=0,0,Paths!$S$201*Paths!$R$201),"n.a."))</f>
        <v>0</v>
      </c>
      <c r="T2144" s="1">
        <f>IF(NOT(Paths!$C$201=1),0,IF(Paths!$P$201="Complete",IF(C2144=0,0,VLOOKUP(A2144,'Fleet register'!$A$7:$S$106,9,FALSE)*Paths!$R$201),"n.a."))</f>
        <v>0</v>
      </c>
    </row>
    <row r="2145" spans="1:20" ht="24" customHeight="1">
      <c r="A2145" s="1" t="str">
        <f>Paths!$A$201</f>
        <v>T049</v>
      </c>
      <c r="B2145" s="1">
        <f>Paths!$B$201</f>
        <v>2</v>
      </c>
      <c r="C2145" s="1">
        <v>4</v>
      </c>
      <c r="D2145" s="1">
        <v>201</v>
      </c>
      <c r="E2145" s="1">
        <f>IF(OR(Paths!$C$201=0,C2145=0),0,MAX(0,MIN(C2145*12,Paths!$E$201)-(C2145-1)*12))</f>
        <v>0</v>
      </c>
      <c r="F2145" s="1">
        <f>IF(OR(Paths!$C$201=0,C2145=0),0,12-E2145)</f>
        <v>0</v>
      </c>
      <c r="G2145" s="16">
        <f>IF(NOT(Paths!$C$201=1),0,IF(Paths!$P$201="Complete",E2145/12*(Paths!$J$201*(1+'Operating costs'!$B$51)^MAX(0,C2145-1)+Paths!$K$201*(1+'Operating costs'!$B$53)^MAX(0,C2145-1)),"n.a."))</f>
        <v>0</v>
      </c>
      <c r="H2145" s="16">
        <f>IF(NOT(Paths!$C$201=1),0,IF(Paths!$P$201="Complete",F2145/12*(Paths!$L$201*(1+IF(Paths!$D$201="EV",'Operating costs'!$B$52,'Operating costs'!$B$51))^MAX(0,C2145-1)+Paths!$M$201*(1+'Operating costs'!$B$53)^MAX(0,C2145-1)),"n.a."))</f>
        <v>0</v>
      </c>
      <c r="I2145" s="16">
        <f>IF(NOT(Paths!$C$201=1),0,IF(Paths!$P$201="Complete",IF(IF(Paths!$E$201=0,C2145=0,AND(C2145&gt;0,Paths!$E$201&gt;(C2145-1)*12,Paths!$E$201&lt;=C2145*12)),Paths!$G$201,0),"n.a."))</f>
        <v>0</v>
      </c>
      <c r="J2145" s="16">
        <f>IF(NOT(Paths!$C$201=1),0,IF(Paths!$P$201="Complete",IF(IF(Paths!$E$201=0,C2145=0,AND(C2145&gt;0,Paths!$E$201&gt;(C2145-1)*12,Paths!$E$201&lt;=C2145*12)),Paths!$H$201,0),"n.a."))</f>
        <v>0</v>
      </c>
      <c r="K2145" s="16">
        <f>IF(NOT(Paths!$C$201=1),0,IF(Paths!$P$201="Complete",IF(IF(Paths!$O$201=0,C2145=0,AND(C2145&gt;0,Paths!$O$201&gt;(C2145-1)*12,Paths!$O$201&lt;=C2145*12)),Paths!$N$201,0),"n.a."))</f>
        <v>0</v>
      </c>
      <c r="L2145" s="16">
        <f>IF(NOT(Paths!$C$201=1),0,IF(Paths!$P$201="Complete",IF(C2145=10,Paths!$I$201,0),"n.a."))</f>
        <v>0</v>
      </c>
      <c r="M2145" s="16">
        <f>IF(NOT(Paths!$C$201=1),0,IF(Paths!$P$201="Complete",IF(AND(Paths!$D$201="EV",Paths!$E$201&lt;120,Paths!$E$201+'Operating costs'!$B$65&gt;Paths!$E$201,Paths!$E$201+'Operating costs'!$B$65&lt;=120,IF(Paths!$E$201+'Operating costs'!$B$65=0,C2145=0,AND(C2145&gt;0,Paths!$E$201+'Operating costs'!$B$65&gt;(C2145-1)*12,Paths!$E$201+'Operating costs'!$B$65&lt;=C2145*12))),'Operating costs'!$B$64,0)+IF(AND('Operating costs'!$B$67&gt;0,'Operating costs'!$B$67&lt;=120,OR(Paths!$D$201="ICE",'Operating costs'!$B$67&lt;=Paths!$E$201),IF('Operating costs'!$B$67=0,C2145=0,AND(C2145&gt;0,'Operating costs'!$B$67&gt;(C2145-1)*12,'Operating costs'!$B$67&lt;=C2145*12))),'Operating costs'!$B$66,0),"n.a."))</f>
        <v>0</v>
      </c>
      <c r="N2145" s="16">
        <f>IF(NOT(Paths!$C$201=1),0,IF(Paths!$P$201="Complete",SUM(G2145:I2145)-J2145-K2145-L2145+M2145+IF(C2145=0,Paths!$F$201,0)+IF(IF(Paths!$E$201=0,C2145=0,AND(C2145&gt;0,Paths!$E$201&gt;(C2145-1)*12,Paths!$E$201&lt;=C2145*12)),VLOOKUP(A2145,'Fleet register'!$A$7:$S$106,16,FALSE),0),"n.a."))</f>
        <v>0</v>
      </c>
      <c r="O2145" s="16">
        <f>IF(NOT(Paths!$C$201=1),0,IF(Paths!$P$201="Complete",N2145-IF(C2145=0,Paths!$F$201,0),"n.a."))</f>
        <v>0</v>
      </c>
      <c r="P2145" s="16">
        <f>IF(NOT(Paths!$C$201=1),0,IF(Paths!$P$201="Complete",O2145+L2145,"n.a."))</f>
        <v>0</v>
      </c>
      <c r="Q2145" s="16">
        <f>IF(NOT(Paths!$C$201=1),0,IF(Paths!$P$201="Complete",N2145*(1+'Operating costs'!$B$54)^-C2145,"n.a."))</f>
        <v>0</v>
      </c>
      <c r="R2145" s="16">
        <f>IF(NOT(Paths!$C$201=1),0,IF(Paths!$P$201="Complete",IF(AND(C2145=0,Paths!$E$201=0),I2145-J2145-K2145+VLOOKUP(A2145,'Fleet register'!$A$7:$S$106,15,FALSE)+VLOOKUP(A2145,'Fleet register'!$A$7:$S$106,16,FALSE),0),"n.a."))</f>
        <v>0</v>
      </c>
      <c r="S2145" s="1">
        <f>IF(NOT(Paths!$C$201=1),0,IF(Paths!$P$201="Complete",IF(C2145=0,0,Paths!$S$201*Paths!$R$201),"n.a."))</f>
        <v>0</v>
      </c>
      <c r="T2145" s="1">
        <f>IF(NOT(Paths!$C$201=1),0,IF(Paths!$P$201="Complete",IF(C2145=0,0,VLOOKUP(A2145,'Fleet register'!$A$7:$S$106,9,FALSE)*Paths!$R$201),"n.a."))</f>
        <v>0</v>
      </c>
    </row>
    <row r="2146" spans="1:20" ht="24" customHeight="1">
      <c r="A2146" s="1" t="str">
        <f>Paths!$A$201</f>
        <v>T049</v>
      </c>
      <c r="B2146" s="1">
        <f>Paths!$B$201</f>
        <v>2</v>
      </c>
      <c r="C2146" s="1">
        <v>5</v>
      </c>
      <c r="D2146" s="1">
        <v>201</v>
      </c>
      <c r="E2146" s="1">
        <f>IF(OR(Paths!$C$201=0,C2146=0),0,MAX(0,MIN(C2146*12,Paths!$E$201)-(C2146-1)*12))</f>
        <v>0</v>
      </c>
      <c r="F2146" s="1">
        <f>IF(OR(Paths!$C$201=0,C2146=0),0,12-E2146)</f>
        <v>0</v>
      </c>
      <c r="G2146" s="16">
        <f>IF(NOT(Paths!$C$201=1),0,IF(Paths!$P$201="Complete",E2146/12*(Paths!$J$201*(1+'Operating costs'!$B$51)^MAX(0,C2146-1)+Paths!$K$201*(1+'Operating costs'!$B$53)^MAX(0,C2146-1)),"n.a."))</f>
        <v>0</v>
      </c>
      <c r="H2146" s="16">
        <f>IF(NOT(Paths!$C$201=1),0,IF(Paths!$P$201="Complete",F2146/12*(Paths!$L$201*(1+IF(Paths!$D$201="EV",'Operating costs'!$B$52,'Operating costs'!$B$51))^MAX(0,C2146-1)+Paths!$M$201*(1+'Operating costs'!$B$53)^MAX(0,C2146-1)),"n.a."))</f>
        <v>0</v>
      </c>
      <c r="I2146" s="16">
        <f>IF(NOT(Paths!$C$201=1),0,IF(Paths!$P$201="Complete",IF(IF(Paths!$E$201=0,C2146=0,AND(C2146&gt;0,Paths!$E$201&gt;(C2146-1)*12,Paths!$E$201&lt;=C2146*12)),Paths!$G$201,0),"n.a."))</f>
        <v>0</v>
      </c>
      <c r="J2146" s="16">
        <f>IF(NOT(Paths!$C$201=1),0,IF(Paths!$P$201="Complete",IF(IF(Paths!$E$201=0,C2146=0,AND(C2146&gt;0,Paths!$E$201&gt;(C2146-1)*12,Paths!$E$201&lt;=C2146*12)),Paths!$H$201,0),"n.a."))</f>
        <v>0</v>
      </c>
      <c r="K2146" s="16">
        <f>IF(NOT(Paths!$C$201=1),0,IF(Paths!$P$201="Complete",IF(IF(Paths!$O$201=0,C2146=0,AND(C2146&gt;0,Paths!$O$201&gt;(C2146-1)*12,Paths!$O$201&lt;=C2146*12)),Paths!$N$201,0),"n.a."))</f>
        <v>0</v>
      </c>
      <c r="L2146" s="16">
        <f>IF(NOT(Paths!$C$201=1),0,IF(Paths!$P$201="Complete",IF(C2146=10,Paths!$I$201,0),"n.a."))</f>
        <v>0</v>
      </c>
      <c r="M2146" s="16">
        <f>IF(NOT(Paths!$C$201=1),0,IF(Paths!$P$201="Complete",IF(AND(Paths!$D$201="EV",Paths!$E$201&lt;120,Paths!$E$201+'Operating costs'!$B$65&gt;Paths!$E$201,Paths!$E$201+'Operating costs'!$B$65&lt;=120,IF(Paths!$E$201+'Operating costs'!$B$65=0,C2146=0,AND(C2146&gt;0,Paths!$E$201+'Operating costs'!$B$65&gt;(C2146-1)*12,Paths!$E$201+'Operating costs'!$B$65&lt;=C2146*12))),'Operating costs'!$B$64,0)+IF(AND('Operating costs'!$B$67&gt;0,'Operating costs'!$B$67&lt;=120,OR(Paths!$D$201="ICE",'Operating costs'!$B$67&lt;=Paths!$E$201),IF('Operating costs'!$B$67=0,C2146=0,AND(C2146&gt;0,'Operating costs'!$B$67&gt;(C2146-1)*12,'Operating costs'!$B$67&lt;=C2146*12))),'Operating costs'!$B$66,0),"n.a."))</f>
        <v>0</v>
      </c>
      <c r="N2146" s="16">
        <f>IF(NOT(Paths!$C$201=1),0,IF(Paths!$P$201="Complete",SUM(G2146:I2146)-J2146-K2146-L2146+M2146+IF(C2146=0,Paths!$F$201,0)+IF(IF(Paths!$E$201=0,C2146=0,AND(C2146&gt;0,Paths!$E$201&gt;(C2146-1)*12,Paths!$E$201&lt;=C2146*12)),VLOOKUP(A2146,'Fleet register'!$A$7:$S$106,16,FALSE),0),"n.a."))</f>
        <v>0</v>
      </c>
      <c r="O2146" s="16">
        <f>IF(NOT(Paths!$C$201=1),0,IF(Paths!$P$201="Complete",N2146-IF(C2146=0,Paths!$F$201,0),"n.a."))</f>
        <v>0</v>
      </c>
      <c r="P2146" s="16">
        <f>IF(NOT(Paths!$C$201=1),0,IF(Paths!$P$201="Complete",O2146+L2146,"n.a."))</f>
        <v>0</v>
      </c>
      <c r="Q2146" s="16">
        <f>IF(NOT(Paths!$C$201=1),0,IF(Paths!$P$201="Complete",N2146*(1+'Operating costs'!$B$54)^-C2146,"n.a."))</f>
        <v>0</v>
      </c>
      <c r="R2146" s="16">
        <f>IF(NOT(Paths!$C$201=1),0,IF(Paths!$P$201="Complete",IF(AND(C2146=0,Paths!$E$201=0),I2146-J2146-K2146+VLOOKUP(A2146,'Fleet register'!$A$7:$S$106,15,FALSE)+VLOOKUP(A2146,'Fleet register'!$A$7:$S$106,16,FALSE),0),"n.a."))</f>
        <v>0</v>
      </c>
      <c r="S2146" s="1">
        <f>IF(NOT(Paths!$C$201=1),0,IF(Paths!$P$201="Complete",IF(C2146=0,0,Paths!$S$201*Paths!$R$201),"n.a."))</f>
        <v>0</v>
      </c>
      <c r="T2146" s="1">
        <f>IF(NOT(Paths!$C$201=1),0,IF(Paths!$P$201="Complete",IF(C2146=0,0,VLOOKUP(A2146,'Fleet register'!$A$7:$S$106,9,FALSE)*Paths!$R$201),"n.a."))</f>
        <v>0</v>
      </c>
    </row>
    <row r="2147" spans="1:20" ht="24" customHeight="1">
      <c r="A2147" s="1" t="str">
        <f>Paths!$A$201</f>
        <v>T049</v>
      </c>
      <c r="B2147" s="1">
        <f>Paths!$B$201</f>
        <v>2</v>
      </c>
      <c r="C2147" s="1">
        <v>6</v>
      </c>
      <c r="D2147" s="1">
        <v>201</v>
      </c>
      <c r="E2147" s="1">
        <f>IF(OR(Paths!$C$201=0,C2147=0),0,MAX(0,MIN(C2147*12,Paths!$E$201)-(C2147-1)*12))</f>
        <v>0</v>
      </c>
      <c r="F2147" s="1">
        <f>IF(OR(Paths!$C$201=0,C2147=0),0,12-E2147)</f>
        <v>0</v>
      </c>
      <c r="G2147" s="16">
        <f>IF(NOT(Paths!$C$201=1),0,IF(Paths!$P$201="Complete",E2147/12*(Paths!$J$201*(1+'Operating costs'!$B$51)^MAX(0,C2147-1)+Paths!$K$201*(1+'Operating costs'!$B$53)^MAX(0,C2147-1)),"n.a."))</f>
        <v>0</v>
      </c>
      <c r="H2147" s="16">
        <f>IF(NOT(Paths!$C$201=1),0,IF(Paths!$P$201="Complete",F2147/12*(Paths!$L$201*(1+IF(Paths!$D$201="EV",'Operating costs'!$B$52,'Operating costs'!$B$51))^MAX(0,C2147-1)+Paths!$M$201*(1+'Operating costs'!$B$53)^MAX(0,C2147-1)),"n.a."))</f>
        <v>0</v>
      </c>
      <c r="I2147" s="16">
        <f>IF(NOT(Paths!$C$201=1),0,IF(Paths!$P$201="Complete",IF(IF(Paths!$E$201=0,C2147=0,AND(C2147&gt;0,Paths!$E$201&gt;(C2147-1)*12,Paths!$E$201&lt;=C2147*12)),Paths!$G$201,0),"n.a."))</f>
        <v>0</v>
      </c>
      <c r="J2147" s="16">
        <f>IF(NOT(Paths!$C$201=1),0,IF(Paths!$P$201="Complete",IF(IF(Paths!$E$201=0,C2147=0,AND(C2147&gt;0,Paths!$E$201&gt;(C2147-1)*12,Paths!$E$201&lt;=C2147*12)),Paths!$H$201,0),"n.a."))</f>
        <v>0</v>
      </c>
      <c r="K2147" s="16">
        <f>IF(NOT(Paths!$C$201=1),0,IF(Paths!$P$201="Complete",IF(IF(Paths!$O$201=0,C2147=0,AND(C2147&gt;0,Paths!$O$201&gt;(C2147-1)*12,Paths!$O$201&lt;=C2147*12)),Paths!$N$201,0),"n.a."))</f>
        <v>0</v>
      </c>
      <c r="L2147" s="16">
        <f>IF(NOT(Paths!$C$201=1),0,IF(Paths!$P$201="Complete",IF(C2147=10,Paths!$I$201,0),"n.a."))</f>
        <v>0</v>
      </c>
      <c r="M2147" s="16">
        <f>IF(NOT(Paths!$C$201=1),0,IF(Paths!$P$201="Complete",IF(AND(Paths!$D$201="EV",Paths!$E$201&lt;120,Paths!$E$201+'Operating costs'!$B$65&gt;Paths!$E$201,Paths!$E$201+'Operating costs'!$B$65&lt;=120,IF(Paths!$E$201+'Operating costs'!$B$65=0,C2147=0,AND(C2147&gt;0,Paths!$E$201+'Operating costs'!$B$65&gt;(C2147-1)*12,Paths!$E$201+'Operating costs'!$B$65&lt;=C2147*12))),'Operating costs'!$B$64,0)+IF(AND('Operating costs'!$B$67&gt;0,'Operating costs'!$B$67&lt;=120,OR(Paths!$D$201="ICE",'Operating costs'!$B$67&lt;=Paths!$E$201),IF('Operating costs'!$B$67=0,C2147=0,AND(C2147&gt;0,'Operating costs'!$B$67&gt;(C2147-1)*12,'Operating costs'!$B$67&lt;=C2147*12))),'Operating costs'!$B$66,0),"n.a."))</f>
        <v>0</v>
      </c>
      <c r="N2147" s="16">
        <f>IF(NOT(Paths!$C$201=1),0,IF(Paths!$P$201="Complete",SUM(G2147:I2147)-J2147-K2147-L2147+M2147+IF(C2147=0,Paths!$F$201,0)+IF(IF(Paths!$E$201=0,C2147=0,AND(C2147&gt;0,Paths!$E$201&gt;(C2147-1)*12,Paths!$E$201&lt;=C2147*12)),VLOOKUP(A2147,'Fleet register'!$A$7:$S$106,16,FALSE),0),"n.a."))</f>
        <v>0</v>
      </c>
      <c r="O2147" s="16">
        <f>IF(NOT(Paths!$C$201=1),0,IF(Paths!$P$201="Complete",N2147-IF(C2147=0,Paths!$F$201,0),"n.a."))</f>
        <v>0</v>
      </c>
      <c r="P2147" s="16">
        <f>IF(NOT(Paths!$C$201=1),0,IF(Paths!$P$201="Complete",O2147+L2147,"n.a."))</f>
        <v>0</v>
      </c>
      <c r="Q2147" s="16">
        <f>IF(NOT(Paths!$C$201=1),0,IF(Paths!$P$201="Complete",N2147*(1+'Operating costs'!$B$54)^-C2147,"n.a."))</f>
        <v>0</v>
      </c>
      <c r="R2147" s="16">
        <f>IF(NOT(Paths!$C$201=1),0,IF(Paths!$P$201="Complete",IF(AND(C2147=0,Paths!$E$201=0),I2147-J2147-K2147+VLOOKUP(A2147,'Fleet register'!$A$7:$S$106,15,FALSE)+VLOOKUP(A2147,'Fleet register'!$A$7:$S$106,16,FALSE),0),"n.a."))</f>
        <v>0</v>
      </c>
      <c r="S2147" s="1">
        <f>IF(NOT(Paths!$C$201=1),0,IF(Paths!$P$201="Complete",IF(C2147=0,0,Paths!$S$201*Paths!$R$201),"n.a."))</f>
        <v>0</v>
      </c>
      <c r="T2147" s="1">
        <f>IF(NOT(Paths!$C$201=1),0,IF(Paths!$P$201="Complete",IF(C2147=0,0,VLOOKUP(A2147,'Fleet register'!$A$7:$S$106,9,FALSE)*Paths!$R$201),"n.a."))</f>
        <v>0</v>
      </c>
    </row>
    <row r="2148" spans="1:20" ht="24" customHeight="1">
      <c r="A2148" s="1" t="str">
        <f>Paths!$A$201</f>
        <v>T049</v>
      </c>
      <c r="B2148" s="1">
        <f>Paths!$B$201</f>
        <v>2</v>
      </c>
      <c r="C2148" s="1">
        <v>7</v>
      </c>
      <c r="D2148" s="1">
        <v>201</v>
      </c>
      <c r="E2148" s="1">
        <f>IF(OR(Paths!$C$201=0,C2148=0),0,MAX(0,MIN(C2148*12,Paths!$E$201)-(C2148-1)*12))</f>
        <v>0</v>
      </c>
      <c r="F2148" s="1">
        <f>IF(OR(Paths!$C$201=0,C2148=0),0,12-E2148)</f>
        <v>0</v>
      </c>
      <c r="G2148" s="16">
        <f>IF(NOT(Paths!$C$201=1),0,IF(Paths!$P$201="Complete",E2148/12*(Paths!$J$201*(1+'Operating costs'!$B$51)^MAX(0,C2148-1)+Paths!$K$201*(1+'Operating costs'!$B$53)^MAX(0,C2148-1)),"n.a."))</f>
        <v>0</v>
      </c>
      <c r="H2148" s="16">
        <f>IF(NOT(Paths!$C$201=1),0,IF(Paths!$P$201="Complete",F2148/12*(Paths!$L$201*(1+IF(Paths!$D$201="EV",'Operating costs'!$B$52,'Operating costs'!$B$51))^MAX(0,C2148-1)+Paths!$M$201*(1+'Operating costs'!$B$53)^MAX(0,C2148-1)),"n.a."))</f>
        <v>0</v>
      </c>
      <c r="I2148" s="16">
        <f>IF(NOT(Paths!$C$201=1),0,IF(Paths!$P$201="Complete",IF(IF(Paths!$E$201=0,C2148=0,AND(C2148&gt;0,Paths!$E$201&gt;(C2148-1)*12,Paths!$E$201&lt;=C2148*12)),Paths!$G$201,0),"n.a."))</f>
        <v>0</v>
      </c>
      <c r="J2148" s="16">
        <f>IF(NOT(Paths!$C$201=1),0,IF(Paths!$P$201="Complete",IF(IF(Paths!$E$201=0,C2148=0,AND(C2148&gt;0,Paths!$E$201&gt;(C2148-1)*12,Paths!$E$201&lt;=C2148*12)),Paths!$H$201,0),"n.a."))</f>
        <v>0</v>
      </c>
      <c r="K2148" s="16">
        <f>IF(NOT(Paths!$C$201=1),0,IF(Paths!$P$201="Complete",IF(IF(Paths!$O$201=0,C2148=0,AND(C2148&gt;0,Paths!$O$201&gt;(C2148-1)*12,Paths!$O$201&lt;=C2148*12)),Paths!$N$201,0),"n.a."))</f>
        <v>0</v>
      </c>
      <c r="L2148" s="16">
        <f>IF(NOT(Paths!$C$201=1),0,IF(Paths!$P$201="Complete",IF(C2148=10,Paths!$I$201,0),"n.a."))</f>
        <v>0</v>
      </c>
      <c r="M2148" s="16">
        <f>IF(NOT(Paths!$C$201=1),0,IF(Paths!$P$201="Complete",IF(AND(Paths!$D$201="EV",Paths!$E$201&lt;120,Paths!$E$201+'Operating costs'!$B$65&gt;Paths!$E$201,Paths!$E$201+'Operating costs'!$B$65&lt;=120,IF(Paths!$E$201+'Operating costs'!$B$65=0,C2148=0,AND(C2148&gt;0,Paths!$E$201+'Operating costs'!$B$65&gt;(C2148-1)*12,Paths!$E$201+'Operating costs'!$B$65&lt;=C2148*12))),'Operating costs'!$B$64,0)+IF(AND('Operating costs'!$B$67&gt;0,'Operating costs'!$B$67&lt;=120,OR(Paths!$D$201="ICE",'Operating costs'!$B$67&lt;=Paths!$E$201),IF('Operating costs'!$B$67=0,C2148=0,AND(C2148&gt;0,'Operating costs'!$B$67&gt;(C2148-1)*12,'Operating costs'!$B$67&lt;=C2148*12))),'Operating costs'!$B$66,0),"n.a."))</f>
        <v>0</v>
      </c>
      <c r="N2148" s="16">
        <f>IF(NOT(Paths!$C$201=1),0,IF(Paths!$P$201="Complete",SUM(G2148:I2148)-J2148-K2148-L2148+M2148+IF(C2148=0,Paths!$F$201,0)+IF(IF(Paths!$E$201=0,C2148=0,AND(C2148&gt;0,Paths!$E$201&gt;(C2148-1)*12,Paths!$E$201&lt;=C2148*12)),VLOOKUP(A2148,'Fleet register'!$A$7:$S$106,16,FALSE),0),"n.a."))</f>
        <v>0</v>
      </c>
      <c r="O2148" s="16">
        <f>IF(NOT(Paths!$C$201=1),0,IF(Paths!$P$201="Complete",N2148-IF(C2148=0,Paths!$F$201,0),"n.a."))</f>
        <v>0</v>
      </c>
      <c r="P2148" s="16">
        <f>IF(NOT(Paths!$C$201=1),0,IF(Paths!$P$201="Complete",O2148+L2148,"n.a."))</f>
        <v>0</v>
      </c>
      <c r="Q2148" s="16">
        <f>IF(NOT(Paths!$C$201=1),0,IF(Paths!$P$201="Complete",N2148*(1+'Operating costs'!$B$54)^-C2148,"n.a."))</f>
        <v>0</v>
      </c>
      <c r="R2148" s="16">
        <f>IF(NOT(Paths!$C$201=1),0,IF(Paths!$P$201="Complete",IF(AND(C2148=0,Paths!$E$201=0),I2148-J2148-K2148+VLOOKUP(A2148,'Fleet register'!$A$7:$S$106,15,FALSE)+VLOOKUP(A2148,'Fleet register'!$A$7:$S$106,16,FALSE),0),"n.a."))</f>
        <v>0</v>
      </c>
      <c r="S2148" s="1">
        <f>IF(NOT(Paths!$C$201=1),0,IF(Paths!$P$201="Complete",IF(C2148=0,0,Paths!$S$201*Paths!$R$201),"n.a."))</f>
        <v>0</v>
      </c>
      <c r="T2148" s="1">
        <f>IF(NOT(Paths!$C$201=1),0,IF(Paths!$P$201="Complete",IF(C2148=0,0,VLOOKUP(A2148,'Fleet register'!$A$7:$S$106,9,FALSE)*Paths!$R$201),"n.a."))</f>
        <v>0</v>
      </c>
    </row>
    <row r="2149" spans="1:20" ht="24" customHeight="1">
      <c r="A2149" s="1" t="str">
        <f>Paths!$A$201</f>
        <v>T049</v>
      </c>
      <c r="B2149" s="1">
        <f>Paths!$B$201</f>
        <v>2</v>
      </c>
      <c r="C2149" s="1">
        <v>8</v>
      </c>
      <c r="D2149" s="1">
        <v>201</v>
      </c>
      <c r="E2149" s="1">
        <f>IF(OR(Paths!$C$201=0,C2149=0),0,MAX(0,MIN(C2149*12,Paths!$E$201)-(C2149-1)*12))</f>
        <v>0</v>
      </c>
      <c r="F2149" s="1">
        <f>IF(OR(Paths!$C$201=0,C2149=0),0,12-E2149)</f>
        <v>0</v>
      </c>
      <c r="G2149" s="16">
        <f>IF(NOT(Paths!$C$201=1),0,IF(Paths!$P$201="Complete",E2149/12*(Paths!$J$201*(1+'Operating costs'!$B$51)^MAX(0,C2149-1)+Paths!$K$201*(1+'Operating costs'!$B$53)^MAX(0,C2149-1)),"n.a."))</f>
        <v>0</v>
      </c>
      <c r="H2149" s="16">
        <f>IF(NOT(Paths!$C$201=1),0,IF(Paths!$P$201="Complete",F2149/12*(Paths!$L$201*(1+IF(Paths!$D$201="EV",'Operating costs'!$B$52,'Operating costs'!$B$51))^MAX(0,C2149-1)+Paths!$M$201*(1+'Operating costs'!$B$53)^MAX(0,C2149-1)),"n.a."))</f>
        <v>0</v>
      </c>
      <c r="I2149" s="16">
        <f>IF(NOT(Paths!$C$201=1),0,IF(Paths!$P$201="Complete",IF(IF(Paths!$E$201=0,C2149=0,AND(C2149&gt;0,Paths!$E$201&gt;(C2149-1)*12,Paths!$E$201&lt;=C2149*12)),Paths!$G$201,0),"n.a."))</f>
        <v>0</v>
      </c>
      <c r="J2149" s="16">
        <f>IF(NOT(Paths!$C$201=1),0,IF(Paths!$P$201="Complete",IF(IF(Paths!$E$201=0,C2149=0,AND(C2149&gt;0,Paths!$E$201&gt;(C2149-1)*12,Paths!$E$201&lt;=C2149*12)),Paths!$H$201,0),"n.a."))</f>
        <v>0</v>
      </c>
      <c r="K2149" s="16">
        <f>IF(NOT(Paths!$C$201=1),0,IF(Paths!$P$201="Complete",IF(IF(Paths!$O$201=0,C2149=0,AND(C2149&gt;0,Paths!$O$201&gt;(C2149-1)*12,Paths!$O$201&lt;=C2149*12)),Paths!$N$201,0),"n.a."))</f>
        <v>0</v>
      </c>
      <c r="L2149" s="16">
        <f>IF(NOT(Paths!$C$201=1),0,IF(Paths!$P$201="Complete",IF(C2149=10,Paths!$I$201,0),"n.a."))</f>
        <v>0</v>
      </c>
      <c r="M2149" s="16">
        <f>IF(NOT(Paths!$C$201=1),0,IF(Paths!$P$201="Complete",IF(AND(Paths!$D$201="EV",Paths!$E$201&lt;120,Paths!$E$201+'Operating costs'!$B$65&gt;Paths!$E$201,Paths!$E$201+'Operating costs'!$B$65&lt;=120,IF(Paths!$E$201+'Operating costs'!$B$65=0,C2149=0,AND(C2149&gt;0,Paths!$E$201+'Operating costs'!$B$65&gt;(C2149-1)*12,Paths!$E$201+'Operating costs'!$B$65&lt;=C2149*12))),'Operating costs'!$B$64,0)+IF(AND('Operating costs'!$B$67&gt;0,'Operating costs'!$B$67&lt;=120,OR(Paths!$D$201="ICE",'Operating costs'!$B$67&lt;=Paths!$E$201),IF('Operating costs'!$B$67=0,C2149=0,AND(C2149&gt;0,'Operating costs'!$B$67&gt;(C2149-1)*12,'Operating costs'!$B$67&lt;=C2149*12))),'Operating costs'!$B$66,0),"n.a."))</f>
        <v>0</v>
      </c>
      <c r="N2149" s="16">
        <f>IF(NOT(Paths!$C$201=1),0,IF(Paths!$P$201="Complete",SUM(G2149:I2149)-J2149-K2149-L2149+M2149+IF(C2149=0,Paths!$F$201,0)+IF(IF(Paths!$E$201=0,C2149=0,AND(C2149&gt;0,Paths!$E$201&gt;(C2149-1)*12,Paths!$E$201&lt;=C2149*12)),VLOOKUP(A2149,'Fleet register'!$A$7:$S$106,16,FALSE),0),"n.a."))</f>
        <v>0</v>
      </c>
      <c r="O2149" s="16">
        <f>IF(NOT(Paths!$C$201=1),0,IF(Paths!$P$201="Complete",N2149-IF(C2149=0,Paths!$F$201,0),"n.a."))</f>
        <v>0</v>
      </c>
      <c r="P2149" s="16">
        <f>IF(NOT(Paths!$C$201=1),0,IF(Paths!$P$201="Complete",O2149+L2149,"n.a."))</f>
        <v>0</v>
      </c>
      <c r="Q2149" s="16">
        <f>IF(NOT(Paths!$C$201=1),0,IF(Paths!$P$201="Complete",N2149*(1+'Operating costs'!$B$54)^-C2149,"n.a."))</f>
        <v>0</v>
      </c>
      <c r="R2149" s="16">
        <f>IF(NOT(Paths!$C$201=1),0,IF(Paths!$P$201="Complete",IF(AND(C2149=0,Paths!$E$201=0),I2149-J2149-K2149+VLOOKUP(A2149,'Fleet register'!$A$7:$S$106,15,FALSE)+VLOOKUP(A2149,'Fleet register'!$A$7:$S$106,16,FALSE),0),"n.a."))</f>
        <v>0</v>
      </c>
      <c r="S2149" s="1">
        <f>IF(NOT(Paths!$C$201=1),0,IF(Paths!$P$201="Complete",IF(C2149=0,0,Paths!$S$201*Paths!$R$201),"n.a."))</f>
        <v>0</v>
      </c>
      <c r="T2149" s="1">
        <f>IF(NOT(Paths!$C$201=1),0,IF(Paths!$P$201="Complete",IF(C2149=0,0,VLOOKUP(A2149,'Fleet register'!$A$7:$S$106,9,FALSE)*Paths!$R$201),"n.a."))</f>
        <v>0</v>
      </c>
    </row>
    <row r="2150" spans="1:20" ht="24" customHeight="1">
      <c r="A2150" s="1" t="str">
        <f>Paths!$A$201</f>
        <v>T049</v>
      </c>
      <c r="B2150" s="1">
        <f>Paths!$B$201</f>
        <v>2</v>
      </c>
      <c r="C2150" s="1">
        <v>9</v>
      </c>
      <c r="D2150" s="1">
        <v>201</v>
      </c>
      <c r="E2150" s="1">
        <f>IF(OR(Paths!$C$201=0,C2150=0),0,MAX(0,MIN(C2150*12,Paths!$E$201)-(C2150-1)*12))</f>
        <v>0</v>
      </c>
      <c r="F2150" s="1">
        <f>IF(OR(Paths!$C$201=0,C2150=0),0,12-E2150)</f>
        <v>0</v>
      </c>
      <c r="G2150" s="16">
        <f>IF(NOT(Paths!$C$201=1),0,IF(Paths!$P$201="Complete",E2150/12*(Paths!$J$201*(1+'Operating costs'!$B$51)^MAX(0,C2150-1)+Paths!$K$201*(1+'Operating costs'!$B$53)^MAX(0,C2150-1)),"n.a."))</f>
        <v>0</v>
      </c>
      <c r="H2150" s="16">
        <f>IF(NOT(Paths!$C$201=1),0,IF(Paths!$P$201="Complete",F2150/12*(Paths!$L$201*(1+IF(Paths!$D$201="EV",'Operating costs'!$B$52,'Operating costs'!$B$51))^MAX(0,C2150-1)+Paths!$M$201*(1+'Operating costs'!$B$53)^MAX(0,C2150-1)),"n.a."))</f>
        <v>0</v>
      </c>
      <c r="I2150" s="16">
        <f>IF(NOT(Paths!$C$201=1),0,IF(Paths!$P$201="Complete",IF(IF(Paths!$E$201=0,C2150=0,AND(C2150&gt;0,Paths!$E$201&gt;(C2150-1)*12,Paths!$E$201&lt;=C2150*12)),Paths!$G$201,0),"n.a."))</f>
        <v>0</v>
      </c>
      <c r="J2150" s="16">
        <f>IF(NOT(Paths!$C$201=1),0,IF(Paths!$P$201="Complete",IF(IF(Paths!$E$201=0,C2150=0,AND(C2150&gt;0,Paths!$E$201&gt;(C2150-1)*12,Paths!$E$201&lt;=C2150*12)),Paths!$H$201,0),"n.a."))</f>
        <v>0</v>
      </c>
      <c r="K2150" s="16">
        <f>IF(NOT(Paths!$C$201=1),0,IF(Paths!$P$201="Complete",IF(IF(Paths!$O$201=0,C2150=0,AND(C2150&gt;0,Paths!$O$201&gt;(C2150-1)*12,Paths!$O$201&lt;=C2150*12)),Paths!$N$201,0),"n.a."))</f>
        <v>0</v>
      </c>
      <c r="L2150" s="16">
        <f>IF(NOT(Paths!$C$201=1),0,IF(Paths!$P$201="Complete",IF(C2150=10,Paths!$I$201,0),"n.a."))</f>
        <v>0</v>
      </c>
      <c r="M2150" s="16">
        <f>IF(NOT(Paths!$C$201=1),0,IF(Paths!$P$201="Complete",IF(AND(Paths!$D$201="EV",Paths!$E$201&lt;120,Paths!$E$201+'Operating costs'!$B$65&gt;Paths!$E$201,Paths!$E$201+'Operating costs'!$B$65&lt;=120,IF(Paths!$E$201+'Operating costs'!$B$65=0,C2150=0,AND(C2150&gt;0,Paths!$E$201+'Operating costs'!$B$65&gt;(C2150-1)*12,Paths!$E$201+'Operating costs'!$B$65&lt;=C2150*12))),'Operating costs'!$B$64,0)+IF(AND('Operating costs'!$B$67&gt;0,'Operating costs'!$B$67&lt;=120,OR(Paths!$D$201="ICE",'Operating costs'!$B$67&lt;=Paths!$E$201),IF('Operating costs'!$B$67=0,C2150=0,AND(C2150&gt;0,'Operating costs'!$B$67&gt;(C2150-1)*12,'Operating costs'!$B$67&lt;=C2150*12))),'Operating costs'!$B$66,0),"n.a."))</f>
        <v>0</v>
      </c>
      <c r="N2150" s="16">
        <f>IF(NOT(Paths!$C$201=1),0,IF(Paths!$P$201="Complete",SUM(G2150:I2150)-J2150-K2150-L2150+M2150+IF(C2150=0,Paths!$F$201,0)+IF(IF(Paths!$E$201=0,C2150=0,AND(C2150&gt;0,Paths!$E$201&gt;(C2150-1)*12,Paths!$E$201&lt;=C2150*12)),VLOOKUP(A2150,'Fleet register'!$A$7:$S$106,16,FALSE),0),"n.a."))</f>
        <v>0</v>
      </c>
      <c r="O2150" s="16">
        <f>IF(NOT(Paths!$C$201=1),0,IF(Paths!$P$201="Complete",N2150-IF(C2150=0,Paths!$F$201,0),"n.a."))</f>
        <v>0</v>
      </c>
      <c r="P2150" s="16">
        <f>IF(NOT(Paths!$C$201=1),0,IF(Paths!$P$201="Complete",O2150+L2150,"n.a."))</f>
        <v>0</v>
      </c>
      <c r="Q2150" s="16">
        <f>IF(NOT(Paths!$C$201=1),0,IF(Paths!$P$201="Complete",N2150*(1+'Operating costs'!$B$54)^-C2150,"n.a."))</f>
        <v>0</v>
      </c>
      <c r="R2150" s="16">
        <f>IF(NOT(Paths!$C$201=1),0,IF(Paths!$P$201="Complete",IF(AND(C2150=0,Paths!$E$201=0),I2150-J2150-K2150+VLOOKUP(A2150,'Fleet register'!$A$7:$S$106,15,FALSE)+VLOOKUP(A2150,'Fleet register'!$A$7:$S$106,16,FALSE),0),"n.a."))</f>
        <v>0</v>
      </c>
      <c r="S2150" s="1">
        <f>IF(NOT(Paths!$C$201=1),0,IF(Paths!$P$201="Complete",IF(C2150=0,0,Paths!$S$201*Paths!$R$201),"n.a."))</f>
        <v>0</v>
      </c>
      <c r="T2150" s="1">
        <f>IF(NOT(Paths!$C$201=1),0,IF(Paths!$P$201="Complete",IF(C2150=0,0,VLOOKUP(A2150,'Fleet register'!$A$7:$S$106,9,FALSE)*Paths!$R$201),"n.a."))</f>
        <v>0</v>
      </c>
    </row>
    <row r="2151" spans="1:20" ht="24" customHeight="1">
      <c r="A2151" s="1" t="str">
        <f>Paths!$A$201</f>
        <v>T049</v>
      </c>
      <c r="B2151" s="1">
        <f>Paths!$B$201</f>
        <v>2</v>
      </c>
      <c r="C2151" s="1">
        <v>10</v>
      </c>
      <c r="D2151" s="1">
        <v>201</v>
      </c>
      <c r="E2151" s="1">
        <f>IF(OR(Paths!$C$201=0,C2151=0),0,MAX(0,MIN(C2151*12,Paths!$E$201)-(C2151-1)*12))</f>
        <v>0</v>
      </c>
      <c r="F2151" s="1">
        <f>IF(OR(Paths!$C$201=0,C2151=0),0,12-E2151)</f>
        <v>0</v>
      </c>
      <c r="G2151" s="16">
        <f>IF(NOT(Paths!$C$201=1),0,IF(Paths!$P$201="Complete",E2151/12*(Paths!$J$201*(1+'Operating costs'!$B$51)^MAX(0,C2151-1)+Paths!$K$201*(1+'Operating costs'!$B$53)^MAX(0,C2151-1)),"n.a."))</f>
        <v>0</v>
      </c>
      <c r="H2151" s="16">
        <f>IF(NOT(Paths!$C$201=1),0,IF(Paths!$P$201="Complete",F2151/12*(Paths!$L$201*(1+IF(Paths!$D$201="EV",'Operating costs'!$B$52,'Operating costs'!$B$51))^MAX(0,C2151-1)+Paths!$M$201*(1+'Operating costs'!$B$53)^MAX(0,C2151-1)),"n.a."))</f>
        <v>0</v>
      </c>
      <c r="I2151" s="16">
        <f>IF(NOT(Paths!$C$201=1),0,IF(Paths!$P$201="Complete",IF(IF(Paths!$E$201=0,C2151=0,AND(C2151&gt;0,Paths!$E$201&gt;(C2151-1)*12,Paths!$E$201&lt;=C2151*12)),Paths!$G$201,0),"n.a."))</f>
        <v>0</v>
      </c>
      <c r="J2151" s="16">
        <f>IF(NOT(Paths!$C$201=1),0,IF(Paths!$P$201="Complete",IF(IF(Paths!$E$201=0,C2151=0,AND(C2151&gt;0,Paths!$E$201&gt;(C2151-1)*12,Paths!$E$201&lt;=C2151*12)),Paths!$H$201,0),"n.a."))</f>
        <v>0</v>
      </c>
      <c r="K2151" s="16">
        <f>IF(NOT(Paths!$C$201=1),0,IF(Paths!$P$201="Complete",IF(IF(Paths!$O$201=0,C2151=0,AND(C2151&gt;0,Paths!$O$201&gt;(C2151-1)*12,Paths!$O$201&lt;=C2151*12)),Paths!$N$201,0),"n.a."))</f>
        <v>0</v>
      </c>
      <c r="L2151" s="16">
        <f>IF(NOT(Paths!$C$201=1),0,IF(Paths!$P$201="Complete",IF(C2151=10,Paths!$I$201,0),"n.a."))</f>
        <v>0</v>
      </c>
      <c r="M2151" s="16">
        <f>IF(NOT(Paths!$C$201=1),0,IF(Paths!$P$201="Complete",IF(AND(Paths!$D$201="EV",Paths!$E$201&lt;120,Paths!$E$201+'Operating costs'!$B$65&gt;Paths!$E$201,Paths!$E$201+'Operating costs'!$B$65&lt;=120,IF(Paths!$E$201+'Operating costs'!$B$65=0,C2151=0,AND(C2151&gt;0,Paths!$E$201+'Operating costs'!$B$65&gt;(C2151-1)*12,Paths!$E$201+'Operating costs'!$B$65&lt;=C2151*12))),'Operating costs'!$B$64,0)+IF(AND('Operating costs'!$B$67&gt;0,'Operating costs'!$B$67&lt;=120,OR(Paths!$D$201="ICE",'Operating costs'!$B$67&lt;=Paths!$E$201),IF('Operating costs'!$B$67=0,C2151=0,AND(C2151&gt;0,'Operating costs'!$B$67&gt;(C2151-1)*12,'Operating costs'!$B$67&lt;=C2151*12))),'Operating costs'!$B$66,0),"n.a."))</f>
        <v>0</v>
      </c>
      <c r="N2151" s="16">
        <f>IF(NOT(Paths!$C$201=1),0,IF(Paths!$P$201="Complete",SUM(G2151:I2151)-J2151-K2151-L2151+M2151+IF(C2151=0,Paths!$F$201,0)+IF(IF(Paths!$E$201=0,C2151=0,AND(C2151&gt;0,Paths!$E$201&gt;(C2151-1)*12,Paths!$E$201&lt;=C2151*12)),VLOOKUP(A2151,'Fleet register'!$A$7:$S$106,16,FALSE),0),"n.a."))</f>
        <v>0</v>
      </c>
      <c r="O2151" s="16">
        <f>IF(NOT(Paths!$C$201=1),0,IF(Paths!$P$201="Complete",N2151-IF(C2151=0,Paths!$F$201,0),"n.a."))</f>
        <v>0</v>
      </c>
      <c r="P2151" s="16">
        <f>IF(NOT(Paths!$C$201=1),0,IF(Paths!$P$201="Complete",O2151+L2151,"n.a."))</f>
        <v>0</v>
      </c>
      <c r="Q2151" s="16">
        <f>IF(NOT(Paths!$C$201=1),0,IF(Paths!$P$201="Complete",N2151*(1+'Operating costs'!$B$54)^-C2151,"n.a."))</f>
        <v>0</v>
      </c>
      <c r="R2151" s="16">
        <f>IF(NOT(Paths!$C$201=1),0,IF(Paths!$P$201="Complete",IF(AND(C2151=0,Paths!$E$201=0),I2151-J2151-K2151+VLOOKUP(A2151,'Fleet register'!$A$7:$S$106,15,FALSE)+VLOOKUP(A2151,'Fleet register'!$A$7:$S$106,16,FALSE),0),"n.a."))</f>
        <v>0</v>
      </c>
      <c r="S2151" s="1">
        <f>IF(NOT(Paths!$C$201=1),0,IF(Paths!$P$201="Complete",IF(C2151=0,0,Paths!$S$201*Paths!$R$201),"n.a."))</f>
        <v>0</v>
      </c>
      <c r="T2151" s="1">
        <f>IF(NOT(Paths!$C$201=1),0,IF(Paths!$P$201="Complete",IF(C2151=0,0,VLOOKUP(A2151,'Fleet register'!$A$7:$S$106,9,FALSE)*Paths!$R$201),"n.a."))</f>
        <v>0</v>
      </c>
    </row>
    <row r="2152" spans="1:20" ht="24" customHeight="1">
      <c r="A2152" s="1" t="str">
        <f>Paths!$A$202</f>
        <v>T049</v>
      </c>
      <c r="B2152" s="1">
        <f>Paths!$B$202</f>
        <v>3</v>
      </c>
      <c r="C2152" s="1">
        <v>0</v>
      </c>
      <c r="D2152" s="1">
        <v>202</v>
      </c>
      <c r="E2152" s="1">
        <f>IF(OR(Paths!$C$202=0,C2152=0),0,MAX(0,MIN(C2152*12,Paths!$E$202)-(C2152-1)*12))</f>
        <v>0</v>
      </c>
      <c r="F2152" s="1">
        <f>IF(OR(Paths!$C$202=0,C2152=0),0,12-E2152)</f>
        <v>0</v>
      </c>
      <c r="G2152" s="16">
        <f>IF(NOT(Paths!$C$202=1),0,IF(Paths!$P$202="Complete",E2152/12*(Paths!$J$202*(1+'Operating costs'!$B$51)^MAX(0,C2152-1)+Paths!$K$202*(1+'Operating costs'!$B$53)^MAX(0,C2152-1)),"n.a."))</f>
        <v>0</v>
      </c>
      <c r="H2152" s="16">
        <f>IF(NOT(Paths!$C$202=1),0,IF(Paths!$P$202="Complete",F2152/12*(Paths!$L$202*(1+IF(Paths!$D$202="EV",'Operating costs'!$B$52,'Operating costs'!$B$51))^MAX(0,C2152-1)+Paths!$M$202*(1+'Operating costs'!$B$53)^MAX(0,C2152-1)),"n.a."))</f>
        <v>0</v>
      </c>
      <c r="I2152" s="16">
        <f>IF(NOT(Paths!$C$202=1),0,IF(Paths!$P$202="Complete",IF(IF(Paths!$E$202=0,C2152=0,AND(C2152&gt;0,Paths!$E$202&gt;(C2152-1)*12,Paths!$E$202&lt;=C2152*12)),Paths!$G$202,0),"n.a."))</f>
        <v>0</v>
      </c>
      <c r="J2152" s="16">
        <f>IF(NOT(Paths!$C$202=1),0,IF(Paths!$P$202="Complete",IF(IF(Paths!$E$202=0,C2152=0,AND(C2152&gt;0,Paths!$E$202&gt;(C2152-1)*12,Paths!$E$202&lt;=C2152*12)),Paths!$H$202,0),"n.a."))</f>
        <v>0</v>
      </c>
      <c r="K2152" s="16">
        <f>IF(NOT(Paths!$C$202=1),0,IF(Paths!$P$202="Complete",IF(IF(Paths!$O$202=0,C2152=0,AND(C2152&gt;0,Paths!$O$202&gt;(C2152-1)*12,Paths!$O$202&lt;=C2152*12)),Paths!$N$202,0),"n.a."))</f>
        <v>0</v>
      </c>
      <c r="L2152" s="16">
        <f>IF(NOT(Paths!$C$202=1),0,IF(Paths!$P$202="Complete",IF(C2152=10,Paths!$I$202,0),"n.a."))</f>
        <v>0</v>
      </c>
      <c r="M2152" s="16">
        <f>IF(NOT(Paths!$C$202=1),0,IF(Paths!$P$202="Complete",IF(AND(Paths!$D$202="EV",Paths!$E$202&lt;120,Paths!$E$202+'Operating costs'!$B$65&gt;Paths!$E$202,Paths!$E$202+'Operating costs'!$B$65&lt;=120,IF(Paths!$E$202+'Operating costs'!$B$65=0,C2152=0,AND(C2152&gt;0,Paths!$E$202+'Operating costs'!$B$65&gt;(C2152-1)*12,Paths!$E$202+'Operating costs'!$B$65&lt;=C2152*12))),'Operating costs'!$B$64,0)+IF(AND('Operating costs'!$B$67&gt;0,'Operating costs'!$B$67&lt;=120,OR(Paths!$D$202="ICE",'Operating costs'!$B$67&lt;=Paths!$E$202),IF('Operating costs'!$B$67=0,C2152=0,AND(C2152&gt;0,'Operating costs'!$B$67&gt;(C2152-1)*12,'Operating costs'!$B$67&lt;=C2152*12))),'Operating costs'!$B$66,0),"n.a."))</f>
        <v>0</v>
      </c>
      <c r="N2152" s="16">
        <f>IF(NOT(Paths!$C$202=1),0,IF(Paths!$P$202="Complete",SUM(G2152:I2152)-J2152-K2152-L2152+M2152+IF(C2152=0,Paths!$F$202,0)+IF(IF(Paths!$E$202=0,C2152=0,AND(C2152&gt;0,Paths!$E$202&gt;(C2152-1)*12,Paths!$E$202&lt;=C2152*12)),VLOOKUP(A2152,'Fleet register'!$A$7:$S$106,16,FALSE),0),"n.a."))</f>
        <v>0</v>
      </c>
      <c r="O2152" s="16">
        <f>IF(NOT(Paths!$C$202=1),0,IF(Paths!$P$202="Complete",N2152-IF(C2152=0,Paths!$F$202,0),"n.a."))</f>
        <v>0</v>
      </c>
      <c r="P2152" s="16">
        <f>IF(NOT(Paths!$C$202=1),0,IF(Paths!$P$202="Complete",O2152+L2152,"n.a."))</f>
        <v>0</v>
      </c>
      <c r="Q2152" s="16">
        <f>IF(NOT(Paths!$C$202=1),0,IF(Paths!$P$202="Complete",N2152*(1+'Operating costs'!$B$54)^-C2152,"n.a."))</f>
        <v>0</v>
      </c>
      <c r="R2152" s="16">
        <f>IF(NOT(Paths!$C$202=1),0,IF(Paths!$P$202="Complete",IF(AND(C2152=0,Paths!$E$202=0),I2152-J2152-K2152+VLOOKUP(A2152,'Fleet register'!$A$7:$S$106,15,FALSE)+VLOOKUP(A2152,'Fleet register'!$A$7:$S$106,16,FALSE),0),"n.a."))</f>
        <v>0</v>
      </c>
      <c r="S2152" s="1">
        <f>IF(NOT(Paths!$C$202=1),0,IF(Paths!$P$202="Complete",IF(C2152=0,0,Paths!$S$202*Paths!$R$202),"n.a."))</f>
        <v>0</v>
      </c>
      <c r="T2152" s="1">
        <f>IF(NOT(Paths!$C$202=1),0,IF(Paths!$P$202="Complete",IF(C2152=0,0,VLOOKUP(A2152,'Fleet register'!$A$7:$S$106,9,FALSE)*Paths!$R$202),"n.a."))</f>
        <v>0</v>
      </c>
    </row>
    <row r="2153" spans="1:20" ht="24" customHeight="1">
      <c r="A2153" s="1" t="str">
        <f>Paths!$A$202</f>
        <v>T049</v>
      </c>
      <c r="B2153" s="1">
        <f>Paths!$B$202</f>
        <v>3</v>
      </c>
      <c r="C2153" s="1">
        <v>1</v>
      </c>
      <c r="D2153" s="1">
        <v>202</v>
      </c>
      <c r="E2153" s="1">
        <f>IF(OR(Paths!$C$202=0,C2153=0),0,MAX(0,MIN(C2153*12,Paths!$E$202)-(C2153-1)*12))</f>
        <v>0</v>
      </c>
      <c r="F2153" s="1">
        <f>IF(OR(Paths!$C$202=0,C2153=0),0,12-E2153)</f>
        <v>0</v>
      </c>
      <c r="G2153" s="16">
        <f>IF(NOT(Paths!$C$202=1),0,IF(Paths!$P$202="Complete",E2153/12*(Paths!$J$202*(1+'Operating costs'!$B$51)^MAX(0,C2153-1)+Paths!$K$202*(1+'Operating costs'!$B$53)^MAX(0,C2153-1)),"n.a."))</f>
        <v>0</v>
      </c>
      <c r="H2153" s="16">
        <f>IF(NOT(Paths!$C$202=1),0,IF(Paths!$P$202="Complete",F2153/12*(Paths!$L$202*(1+IF(Paths!$D$202="EV",'Operating costs'!$B$52,'Operating costs'!$B$51))^MAX(0,C2153-1)+Paths!$M$202*(1+'Operating costs'!$B$53)^MAX(0,C2153-1)),"n.a."))</f>
        <v>0</v>
      </c>
      <c r="I2153" s="16">
        <f>IF(NOT(Paths!$C$202=1),0,IF(Paths!$P$202="Complete",IF(IF(Paths!$E$202=0,C2153=0,AND(C2153&gt;0,Paths!$E$202&gt;(C2153-1)*12,Paths!$E$202&lt;=C2153*12)),Paths!$G$202,0),"n.a."))</f>
        <v>0</v>
      </c>
      <c r="J2153" s="16">
        <f>IF(NOT(Paths!$C$202=1),0,IF(Paths!$P$202="Complete",IF(IF(Paths!$E$202=0,C2153=0,AND(C2153&gt;0,Paths!$E$202&gt;(C2153-1)*12,Paths!$E$202&lt;=C2153*12)),Paths!$H$202,0),"n.a."))</f>
        <v>0</v>
      </c>
      <c r="K2153" s="16">
        <f>IF(NOT(Paths!$C$202=1),0,IF(Paths!$P$202="Complete",IF(IF(Paths!$O$202=0,C2153=0,AND(C2153&gt;0,Paths!$O$202&gt;(C2153-1)*12,Paths!$O$202&lt;=C2153*12)),Paths!$N$202,0),"n.a."))</f>
        <v>0</v>
      </c>
      <c r="L2153" s="16">
        <f>IF(NOT(Paths!$C$202=1),0,IF(Paths!$P$202="Complete",IF(C2153=10,Paths!$I$202,0),"n.a."))</f>
        <v>0</v>
      </c>
      <c r="M2153" s="16">
        <f>IF(NOT(Paths!$C$202=1),0,IF(Paths!$P$202="Complete",IF(AND(Paths!$D$202="EV",Paths!$E$202&lt;120,Paths!$E$202+'Operating costs'!$B$65&gt;Paths!$E$202,Paths!$E$202+'Operating costs'!$B$65&lt;=120,IF(Paths!$E$202+'Operating costs'!$B$65=0,C2153=0,AND(C2153&gt;0,Paths!$E$202+'Operating costs'!$B$65&gt;(C2153-1)*12,Paths!$E$202+'Operating costs'!$B$65&lt;=C2153*12))),'Operating costs'!$B$64,0)+IF(AND('Operating costs'!$B$67&gt;0,'Operating costs'!$B$67&lt;=120,OR(Paths!$D$202="ICE",'Operating costs'!$B$67&lt;=Paths!$E$202),IF('Operating costs'!$B$67=0,C2153=0,AND(C2153&gt;0,'Operating costs'!$B$67&gt;(C2153-1)*12,'Operating costs'!$B$67&lt;=C2153*12))),'Operating costs'!$B$66,0),"n.a."))</f>
        <v>0</v>
      </c>
      <c r="N2153" s="16">
        <f>IF(NOT(Paths!$C$202=1),0,IF(Paths!$P$202="Complete",SUM(G2153:I2153)-J2153-K2153-L2153+M2153+IF(C2153=0,Paths!$F$202,0)+IF(IF(Paths!$E$202=0,C2153=0,AND(C2153&gt;0,Paths!$E$202&gt;(C2153-1)*12,Paths!$E$202&lt;=C2153*12)),VLOOKUP(A2153,'Fleet register'!$A$7:$S$106,16,FALSE),0),"n.a."))</f>
        <v>0</v>
      </c>
      <c r="O2153" s="16">
        <f>IF(NOT(Paths!$C$202=1),0,IF(Paths!$P$202="Complete",N2153-IF(C2153=0,Paths!$F$202,0),"n.a."))</f>
        <v>0</v>
      </c>
      <c r="P2153" s="16">
        <f>IF(NOT(Paths!$C$202=1),0,IF(Paths!$P$202="Complete",O2153+L2153,"n.a."))</f>
        <v>0</v>
      </c>
      <c r="Q2153" s="16">
        <f>IF(NOT(Paths!$C$202=1),0,IF(Paths!$P$202="Complete",N2153*(1+'Operating costs'!$B$54)^-C2153,"n.a."))</f>
        <v>0</v>
      </c>
      <c r="R2153" s="16">
        <f>IF(NOT(Paths!$C$202=1),0,IF(Paths!$P$202="Complete",IF(AND(C2153=0,Paths!$E$202=0),I2153-J2153-K2153+VLOOKUP(A2153,'Fleet register'!$A$7:$S$106,15,FALSE)+VLOOKUP(A2153,'Fleet register'!$A$7:$S$106,16,FALSE),0),"n.a."))</f>
        <v>0</v>
      </c>
      <c r="S2153" s="1">
        <f>IF(NOT(Paths!$C$202=1),0,IF(Paths!$P$202="Complete",IF(C2153=0,0,Paths!$S$202*Paths!$R$202),"n.a."))</f>
        <v>0</v>
      </c>
      <c r="T2153" s="1">
        <f>IF(NOT(Paths!$C$202=1),0,IF(Paths!$P$202="Complete",IF(C2153=0,0,VLOOKUP(A2153,'Fleet register'!$A$7:$S$106,9,FALSE)*Paths!$R$202),"n.a."))</f>
        <v>0</v>
      </c>
    </row>
    <row r="2154" spans="1:20" ht="24" customHeight="1">
      <c r="A2154" s="1" t="str">
        <f>Paths!$A$202</f>
        <v>T049</v>
      </c>
      <c r="B2154" s="1">
        <f>Paths!$B$202</f>
        <v>3</v>
      </c>
      <c r="C2154" s="1">
        <v>2</v>
      </c>
      <c r="D2154" s="1">
        <v>202</v>
      </c>
      <c r="E2154" s="1">
        <f>IF(OR(Paths!$C$202=0,C2154=0),0,MAX(0,MIN(C2154*12,Paths!$E$202)-(C2154-1)*12))</f>
        <v>0</v>
      </c>
      <c r="F2154" s="1">
        <f>IF(OR(Paths!$C$202=0,C2154=0),0,12-E2154)</f>
        <v>0</v>
      </c>
      <c r="G2154" s="16">
        <f>IF(NOT(Paths!$C$202=1),0,IF(Paths!$P$202="Complete",E2154/12*(Paths!$J$202*(1+'Operating costs'!$B$51)^MAX(0,C2154-1)+Paths!$K$202*(1+'Operating costs'!$B$53)^MAX(0,C2154-1)),"n.a."))</f>
        <v>0</v>
      </c>
      <c r="H2154" s="16">
        <f>IF(NOT(Paths!$C$202=1),0,IF(Paths!$P$202="Complete",F2154/12*(Paths!$L$202*(1+IF(Paths!$D$202="EV",'Operating costs'!$B$52,'Operating costs'!$B$51))^MAX(0,C2154-1)+Paths!$M$202*(1+'Operating costs'!$B$53)^MAX(0,C2154-1)),"n.a."))</f>
        <v>0</v>
      </c>
      <c r="I2154" s="16">
        <f>IF(NOT(Paths!$C$202=1),0,IF(Paths!$P$202="Complete",IF(IF(Paths!$E$202=0,C2154=0,AND(C2154&gt;0,Paths!$E$202&gt;(C2154-1)*12,Paths!$E$202&lt;=C2154*12)),Paths!$G$202,0),"n.a."))</f>
        <v>0</v>
      </c>
      <c r="J2154" s="16">
        <f>IF(NOT(Paths!$C$202=1),0,IF(Paths!$P$202="Complete",IF(IF(Paths!$E$202=0,C2154=0,AND(C2154&gt;0,Paths!$E$202&gt;(C2154-1)*12,Paths!$E$202&lt;=C2154*12)),Paths!$H$202,0),"n.a."))</f>
        <v>0</v>
      </c>
      <c r="K2154" s="16">
        <f>IF(NOT(Paths!$C$202=1),0,IF(Paths!$P$202="Complete",IF(IF(Paths!$O$202=0,C2154=0,AND(C2154&gt;0,Paths!$O$202&gt;(C2154-1)*12,Paths!$O$202&lt;=C2154*12)),Paths!$N$202,0),"n.a."))</f>
        <v>0</v>
      </c>
      <c r="L2154" s="16">
        <f>IF(NOT(Paths!$C$202=1),0,IF(Paths!$P$202="Complete",IF(C2154=10,Paths!$I$202,0),"n.a."))</f>
        <v>0</v>
      </c>
      <c r="M2154" s="16">
        <f>IF(NOT(Paths!$C$202=1),0,IF(Paths!$P$202="Complete",IF(AND(Paths!$D$202="EV",Paths!$E$202&lt;120,Paths!$E$202+'Operating costs'!$B$65&gt;Paths!$E$202,Paths!$E$202+'Operating costs'!$B$65&lt;=120,IF(Paths!$E$202+'Operating costs'!$B$65=0,C2154=0,AND(C2154&gt;0,Paths!$E$202+'Operating costs'!$B$65&gt;(C2154-1)*12,Paths!$E$202+'Operating costs'!$B$65&lt;=C2154*12))),'Operating costs'!$B$64,0)+IF(AND('Operating costs'!$B$67&gt;0,'Operating costs'!$B$67&lt;=120,OR(Paths!$D$202="ICE",'Operating costs'!$B$67&lt;=Paths!$E$202),IF('Operating costs'!$B$67=0,C2154=0,AND(C2154&gt;0,'Operating costs'!$B$67&gt;(C2154-1)*12,'Operating costs'!$B$67&lt;=C2154*12))),'Operating costs'!$B$66,0),"n.a."))</f>
        <v>0</v>
      </c>
      <c r="N2154" s="16">
        <f>IF(NOT(Paths!$C$202=1),0,IF(Paths!$P$202="Complete",SUM(G2154:I2154)-J2154-K2154-L2154+M2154+IF(C2154=0,Paths!$F$202,0)+IF(IF(Paths!$E$202=0,C2154=0,AND(C2154&gt;0,Paths!$E$202&gt;(C2154-1)*12,Paths!$E$202&lt;=C2154*12)),VLOOKUP(A2154,'Fleet register'!$A$7:$S$106,16,FALSE),0),"n.a."))</f>
        <v>0</v>
      </c>
      <c r="O2154" s="16">
        <f>IF(NOT(Paths!$C$202=1),0,IF(Paths!$P$202="Complete",N2154-IF(C2154=0,Paths!$F$202,0),"n.a."))</f>
        <v>0</v>
      </c>
      <c r="P2154" s="16">
        <f>IF(NOT(Paths!$C$202=1),0,IF(Paths!$P$202="Complete",O2154+L2154,"n.a."))</f>
        <v>0</v>
      </c>
      <c r="Q2154" s="16">
        <f>IF(NOT(Paths!$C$202=1),0,IF(Paths!$P$202="Complete",N2154*(1+'Operating costs'!$B$54)^-C2154,"n.a."))</f>
        <v>0</v>
      </c>
      <c r="R2154" s="16">
        <f>IF(NOT(Paths!$C$202=1),0,IF(Paths!$P$202="Complete",IF(AND(C2154=0,Paths!$E$202=0),I2154-J2154-K2154+VLOOKUP(A2154,'Fleet register'!$A$7:$S$106,15,FALSE)+VLOOKUP(A2154,'Fleet register'!$A$7:$S$106,16,FALSE),0),"n.a."))</f>
        <v>0</v>
      </c>
      <c r="S2154" s="1">
        <f>IF(NOT(Paths!$C$202=1),0,IF(Paths!$P$202="Complete",IF(C2154=0,0,Paths!$S$202*Paths!$R$202),"n.a."))</f>
        <v>0</v>
      </c>
      <c r="T2154" s="1">
        <f>IF(NOT(Paths!$C$202=1),0,IF(Paths!$P$202="Complete",IF(C2154=0,0,VLOOKUP(A2154,'Fleet register'!$A$7:$S$106,9,FALSE)*Paths!$R$202),"n.a."))</f>
        <v>0</v>
      </c>
    </row>
    <row r="2155" spans="1:20" ht="24" customHeight="1">
      <c r="A2155" s="1" t="str">
        <f>Paths!$A$202</f>
        <v>T049</v>
      </c>
      <c r="B2155" s="1">
        <f>Paths!$B$202</f>
        <v>3</v>
      </c>
      <c r="C2155" s="1">
        <v>3</v>
      </c>
      <c r="D2155" s="1">
        <v>202</v>
      </c>
      <c r="E2155" s="1">
        <f>IF(OR(Paths!$C$202=0,C2155=0),0,MAX(0,MIN(C2155*12,Paths!$E$202)-(C2155-1)*12))</f>
        <v>0</v>
      </c>
      <c r="F2155" s="1">
        <f>IF(OR(Paths!$C$202=0,C2155=0),0,12-E2155)</f>
        <v>0</v>
      </c>
      <c r="G2155" s="16">
        <f>IF(NOT(Paths!$C$202=1),0,IF(Paths!$P$202="Complete",E2155/12*(Paths!$J$202*(1+'Operating costs'!$B$51)^MAX(0,C2155-1)+Paths!$K$202*(1+'Operating costs'!$B$53)^MAX(0,C2155-1)),"n.a."))</f>
        <v>0</v>
      </c>
      <c r="H2155" s="16">
        <f>IF(NOT(Paths!$C$202=1),0,IF(Paths!$P$202="Complete",F2155/12*(Paths!$L$202*(1+IF(Paths!$D$202="EV",'Operating costs'!$B$52,'Operating costs'!$B$51))^MAX(0,C2155-1)+Paths!$M$202*(1+'Operating costs'!$B$53)^MAX(0,C2155-1)),"n.a."))</f>
        <v>0</v>
      </c>
      <c r="I2155" s="16">
        <f>IF(NOT(Paths!$C$202=1),0,IF(Paths!$P$202="Complete",IF(IF(Paths!$E$202=0,C2155=0,AND(C2155&gt;0,Paths!$E$202&gt;(C2155-1)*12,Paths!$E$202&lt;=C2155*12)),Paths!$G$202,0),"n.a."))</f>
        <v>0</v>
      </c>
      <c r="J2155" s="16">
        <f>IF(NOT(Paths!$C$202=1),0,IF(Paths!$P$202="Complete",IF(IF(Paths!$E$202=0,C2155=0,AND(C2155&gt;0,Paths!$E$202&gt;(C2155-1)*12,Paths!$E$202&lt;=C2155*12)),Paths!$H$202,0),"n.a."))</f>
        <v>0</v>
      </c>
      <c r="K2155" s="16">
        <f>IF(NOT(Paths!$C$202=1),0,IF(Paths!$P$202="Complete",IF(IF(Paths!$O$202=0,C2155=0,AND(C2155&gt;0,Paths!$O$202&gt;(C2155-1)*12,Paths!$O$202&lt;=C2155*12)),Paths!$N$202,0),"n.a."))</f>
        <v>0</v>
      </c>
      <c r="L2155" s="16">
        <f>IF(NOT(Paths!$C$202=1),0,IF(Paths!$P$202="Complete",IF(C2155=10,Paths!$I$202,0),"n.a."))</f>
        <v>0</v>
      </c>
      <c r="M2155" s="16">
        <f>IF(NOT(Paths!$C$202=1),0,IF(Paths!$P$202="Complete",IF(AND(Paths!$D$202="EV",Paths!$E$202&lt;120,Paths!$E$202+'Operating costs'!$B$65&gt;Paths!$E$202,Paths!$E$202+'Operating costs'!$B$65&lt;=120,IF(Paths!$E$202+'Operating costs'!$B$65=0,C2155=0,AND(C2155&gt;0,Paths!$E$202+'Operating costs'!$B$65&gt;(C2155-1)*12,Paths!$E$202+'Operating costs'!$B$65&lt;=C2155*12))),'Operating costs'!$B$64,0)+IF(AND('Operating costs'!$B$67&gt;0,'Operating costs'!$B$67&lt;=120,OR(Paths!$D$202="ICE",'Operating costs'!$B$67&lt;=Paths!$E$202),IF('Operating costs'!$B$67=0,C2155=0,AND(C2155&gt;0,'Operating costs'!$B$67&gt;(C2155-1)*12,'Operating costs'!$B$67&lt;=C2155*12))),'Operating costs'!$B$66,0),"n.a."))</f>
        <v>0</v>
      </c>
      <c r="N2155" s="16">
        <f>IF(NOT(Paths!$C$202=1),0,IF(Paths!$P$202="Complete",SUM(G2155:I2155)-J2155-K2155-L2155+M2155+IF(C2155=0,Paths!$F$202,0)+IF(IF(Paths!$E$202=0,C2155=0,AND(C2155&gt;0,Paths!$E$202&gt;(C2155-1)*12,Paths!$E$202&lt;=C2155*12)),VLOOKUP(A2155,'Fleet register'!$A$7:$S$106,16,FALSE),0),"n.a."))</f>
        <v>0</v>
      </c>
      <c r="O2155" s="16">
        <f>IF(NOT(Paths!$C$202=1),0,IF(Paths!$P$202="Complete",N2155-IF(C2155=0,Paths!$F$202,0),"n.a."))</f>
        <v>0</v>
      </c>
      <c r="P2155" s="16">
        <f>IF(NOT(Paths!$C$202=1),0,IF(Paths!$P$202="Complete",O2155+L2155,"n.a."))</f>
        <v>0</v>
      </c>
      <c r="Q2155" s="16">
        <f>IF(NOT(Paths!$C$202=1),0,IF(Paths!$P$202="Complete",N2155*(1+'Operating costs'!$B$54)^-C2155,"n.a."))</f>
        <v>0</v>
      </c>
      <c r="R2155" s="16">
        <f>IF(NOT(Paths!$C$202=1),0,IF(Paths!$P$202="Complete",IF(AND(C2155=0,Paths!$E$202=0),I2155-J2155-K2155+VLOOKUP(A2155,'Fleet register'!$A$7:$S$106,15,FALSE)+VLOOKUP(A2155,'Fleet register'!$A$7:$S$106,16,FALSE),0),"n.a."))</f>
        <v>0</v>
      </c>
      <c r="S2155" s="1">
        <f>IF(NOT(Paths!$C$202=1),0,IF(Paths!$P$202="Complete",IF(C2155=0,0,Paths!$S$202*Paths!$R$202),"n.a."))</f>
        <v>0</v>
      </c>
      <c r="T2155" s="1">
        <f>IF(NOT(Paths!$C$202=1),0,IF(Paths!$P$202="Complete",IF(C2155=0,0,VLOOKUP(A2155,'Fleet register'!$A$7:$S$106,9,FALSE)*Paths!$R$202),"n.a."))</f>
        <v>0</v>
      </c>
    </row>
    <row r="2156" spans="1:20" ht="24" customHeight="1">
      <c r="A2156" s="1" t="str">
        <f>Paths!$A$202</f>
        <v>T049</v>
      </c>
      <c r="B2156" s="1">
        <f>Paths!$B$202</f>
        <v>3</v>
      </c>
      <c r="C2156" s="1">
        <v>4</v>
      </c>
      <c r="D2156" s="1">
        <v>202</v>
      </c>
      <c r="E2156" s="1">
        <f>IF(OR(Paths!$C$202=0,C2156=0),0,MAX(0,MIN(C2156*12,Paths!$E$202)-(C2156-1)*12))</f>
        <v>0</v>
      </c>
      <c r="F2156" s="1">
        <f>IF(OR(Paths!$C$202=0,C2156=0),0,12-E2156)</f>
        <v>0</v>
      </c>
      <c r="G2156" s="16">
        <f>IF(NOT(Paths!$C$202=1),0,IF(Paths!$P$202="Complete",E2156/12*(Paths!$J$202*(1+'Operating costs'!$B$51)^MAX(0,C2156-1)+Paths!$K$202*(1+'Operating costs'!$B$53)^MAX(0,C2156-1)),"n.a."))</f>
        <v>0</v>
      </c>
      <c r="H2156" s="16">
        <f>IF(NOT(Paths!$C$202=1),0,IF(Paths!$P$202="Complete",F2156/12*(Paths!$L$202*(1+IF(Paths!$D$202="EV",'Operating costs'!$B$52,'Operating costs'!$B$51))^MAX(0,C2156-1)+Paths!$M$202*(1+'Operating costs'!$B$53)^MAX(0,C2156-1)),"n.a."))</f>
        <v>0</v>
      </c>
      <c r="I2156" s="16">
        <f>IF(NOT(Paths!$C$202=1),0,IF(Paths!$P$202="Complete",IF(IF(Paths!$E$202=0,C2156=0,AND(C2156&gt;0,Paths!$E$202&gt;(C2156-1)*12,Paths!$E$202&lt;=C2156*12)),Paths!$G$202,0),"n.a."))</f>
        <v>0</v>
      </c>
      <c r="J2156" s="16">
        <f>IF(NOT(Paths!$C$202=1),0,IF(Paths!$P$202="Complete",IF(IF(Paths!$E$202=0,C2156=0,AND(C2156&gt;0,Paths!$E$202&gt;(C2156-1)*12,Paths!$E$202&lt;=C2156*12)),Paths!$H$202,0),"n.a."))</f>
        <v>0</v>
      </c>
      <c r="K2156" s="16">
        <f>IF(NOT(Paths!$C$202=1),0,IF(Paths!$P$202="Complete",IF(IF(Paths!$O$202=0,C2156=0,AND(C2156&gt;0,Paths!$O$202&gt;(C2156-1)*12,Paths!$O$202&lt;=C2156*12)),Paths!$N$202,0),"n.a."))</f>
        <v>0</v>
      </c>
      <c r="L2156" s="16">
        <f>IF(NOT(Paths!$C$202=1),0,IF(Paths!$P$202="Complete",IF(C2156=10,Paths!$I$202,0),"n.a."))</f>
        <v>0</v>
      </c>
      <c r="M2156" s="16">
        <f>IF(NOT(Paths!$C$202=1),0,IF(Paths!$P$202="Complete",IF(AND(Paths!$D$202="EV",Paths!$E$202&lt;120,Paths!$E$202+'Operating costs'!$B$65&gt;Paths!$E$202,Paths!$E$202+'Operating costs'!$B$65&lt;=120,IF(Paths!$E$202+'Operating costs'!$B$65=0,C2156=0,AND(C2156&gt;0,Paths!$E$202+'Operating costs'!$B$65&gt;(C2156-1)*12,Paths!$E$202+'Operating costs'!$B$65&lt;=C2156*12))),'Operating costs'!$B$64,0)+IF(AND('Operating costs'!$B$67&gt;0,'Operating costs'!$B$67&lt;=120,OR(Paths!$D$202="ICE",'Operating costs'!$B$67&lt;=Paths!$E$202),IF('Operating costs'!$B$67=0,C2156=0,AND(C2156&gt;0,'Operating costs'!$B$67&gt;(C2156-1)*12,'Operating costs'!$B$67&lt;=C2156*12))),'Operating costs'!$B$66,0),"n.a."))</f>
        <v>0</v>
      </c>
      <c r="N2156" s="16">
        <f>IF(NOT(Paths!$C$202=1),0,IF(Paths!$P$202="Complete",SUM(G2156:I2156)-J2156-K2156-L2156+M2156+IF(C2156=0,Paths!$F$202,0)+IF(IF(Paths!$E$202=0,C2156=0,AND(C2156&gt;0,Paths!$E$202&gt;(C2156-1)*12,Paths!$E$202&lt;=C2156*12)),VLOOKUP(A2156,'Fleet register'!$A$7:$S$106,16,FALSE),0),"n.a."))</f>
        <v>0</v>
      </c>
      <c r="O2156" s="16">
        <f>IF(NOT(Paths!$C$202=1),0,IF(Paths!$P$202="Complete",N2156-IF(C2156=0,Paths!$F$202,0),"n.a."))</f>
        <v>0</v>
      </c>
      <c r="P2156" s="16">
        <f>IF(NOT(Paths!$C$202=1),0,IF(Paths!$P$202="Complete",O2156+L2156,"n.a."))</f>
        <v>0</v>
      </c>
      <c r="Q2156" s="16">
        <f>IF(NOT(Paths!$C$202=1),0,IF(Paths!$P$202="Complete",N2156*(1+'Operating costs'!$B$54)^-C2156,"n.a."))</f>
        <v>0</v>
      </c>
      <c r="R2156" s="16">
        <f>IF(NOT(Paths!$C$202=1),0,IF(Paths!$P$202="Complete",IF(AND(C2156=0,Paths!$E$202=0),I2156-J2156-K2156+VLOOKUP(A2156,'Fleet register'!$A$7:$S$106,15,FALSE)+VLOOKUP(A2156,'Fleet register'!$A$7:$S$106,16,FALSE),0),"n.a."))</f>
        <v>0</v>
      </c>
      <c r="S2156" s="1">
        <f>IF(NOT(Paths!$C$202=1),0,IF(Paths!$P$202="Complete",IF(C2156=0,0,Paths!$S$202*Paths!$R$202),"n.a."))</f>
        <v>0</v>
      </c>
      <c r="T2156" s="1">
        <f>IF(NOT(Paths!$C$202=1),0,IF(Paths!$P$202="Complete",IF(C2156=0,0,VLOOKUP(A2156,'Fleet register'!$A$7:$S$106,9,FALSE)*Paths!$R$202),"n.a."))</f>
        <v>0</v>
      </c>
    </row>
    <row r="2157" spans="1:20" ht="24" customHeight="1">
      <c r="A2157" s="1" t="str">
        <f>Paths!$A$202</f>
        <v>T049</v>
      </c>
      <c r="B2157" s="1">
        <f>Paths!$B$202</f>
        <v>3</v>
      </c>
      <c r="C2157" s="1">
        <v>5</v>
      </c>
      <c r="D2157" s="1">
        <v>202</v>
      </c>
      <c r="E2157" s="1">
        <f>IF(OR(Paths!$C$202=0,C2157=0),0,MAX(0,MIN(C2157*12,Paths!$E$202)-(C2157-1)*12))</f>
        <v>0</v>
      </c>
      <c r="F2157" s="1">
        <f>IF(OR(Paths!$C$202=0,C2157=0),0,12-E2157)</f>
        <v>0</v>
      </c>
      <c r="G2157" s="16">
        <f>IF(NOT(Paths!$C$202=1),0,IF(Paths!$P$202="Complete",E2157/12*(Paths!$J$202*(1+'Operating costs'!$B$51)^MAX(0,C2157-1)+Paths!$K$202*(1+'Operating costs'!$B$53)^MAX(0,C2157-1)),"n.a."))</f>
        <v>0</v>
      </c>
      <c r="H2157" s="16">
        <f>IF(NOT(Paths!$C$202=1),0,IF(Paths!$P$202="Complete",F2157/12*(Paths!$L$202*(1+IF(Paths!$D$202="EV",'Operating costs'!$B$52,'Operating costs'!$B$51))^MAX(0,C2157-1)+Paths!$M$202*(1+'Operating costs'!$B$53)^MAX(0,C2157-1)),"n.a."))</f>
        <v>0</v>
      </c>
      <c r="I2157" s="16">
        <f>IF(NOT(Paths!$C$202=1),0,IF(Paths!$P$202="Complete",IF(IF(Paths!$E$202=0,C2157=0,AND(C2157&gt;0,Paths!$E$202&gt;(C2157-1)*12,Paths!$E$202&lt;=C2157*12)),Paths!$G$202,0),"n.a."))</f>
        <v>0</v>
      </c>
      <c r="J2157" s="16">
        <f>IF(NOT(Paths!$C$202=1),0,IF(Paths!$P$202="Complete",IF(IF(Paths!$E$202=0,C2157=0,AND(C2157&gt;0,Paths!$E$202&gt;(C2157-1)*12,Paths!$E$202&lt;=C2157*12)),Paths!$H$202,0),"n.a."))</f>
        <v>0</v>
      </c>
      <c r="K2157" s="16">
        <f>IF(NOT(Paths!$C$202=1),0,IF(Paths!$P$202="Complete",IF(IF(Paths!$O$202=0,C2157=0,AND(C2157&gt;0,Paths!$O$202&gt;(C2157-1)*12,Paths!$O$202&lt;=C2157*12)),Paths!$N$202,0),"n.a."))</f>
        <v>0</v>
      </c>
      <c r="L2157" s="16">
        <f>IF(NOT(Paths!$C$202=1),0,IF(Paths!$P$202="Complete",IF(C2157=10,Paths!$I$202,0),"n.a."))</f>
        <v>0</v>
      </c>
      <c r="M2157" s="16">
        <f>IF(NOT(Paths!$C$202=1),0,IF(Paths!$P$202="Complete",IF(AND(Paths!$D$202="EV",Paths!$E$202&lt;120,Paths!$E$202+'Operating costs'!$B$65&gt;Paths!$E$202,Paths!$E$202+'Operating costs'!$B$65&lt;=120,IF(Paths!$E$202+'Operating costs'!$B$65=0,C2157=0,AND(C2157&gt;0,Paths!$E$202+'Operating costs'!$B$65&gt;(C2157-1)*12,Paths!$E$202+'Operating costs'!$B$65&lt;=C2157*12))),'Operating costs'!$B$64,0)+IF(AND('Operating costs'!$B$67&gt;0,'Operating costs'!$B$67&lt;=120,OR(Paths!$D$202="ICE",'Operating costs'!$B$67&lt;=Paths!$E$202),IF('Operating costs'!$B$67=0,C2157=0,AND(C2157&gt;0,'Operating costs'!$B$67&gt;(C2157-1)*12,'Operating costs'!$B$67&lt;=C2157*12))),'Operating costs'!$B$66,0),"n.a."))</f>
        <v>0</v>
      </c>
      <c r="N2157" s="16">
        <f>IF(NOT(Paths!$C$202=1),0,IF(Paths!$P$202="Complete",SUM(G2157:I2157)-J2157-K2157-L2157+M2157+IF(C2157=0,Paths!$F$202,0)+IF(IF(Paths!$E$202=0,C2157=0,AND(C2157&gt;0,Paths!$E$202&gt;(C2157-1)*12,Paths!$E$202&lt;=C2157*12)),VLOOKUP(A2157,'Fleet register'!$A$7:$S$106,16,FALSE),0),"n.a."))</f>
        <v>0</v>
      </c>
      <c r="O2157" s="16">
        <f>IF(NOT(Paths!$C$202=1),0,IF(Paths!$P$202="Complete",N2157-IF(C2157=0,Paths!$F$202,0),"n.a."))</f>
        <v>0</v>
      </c>
      <c r="P2157" s="16">
        <f>IF(NOT(Paths!$C$202=1),0,IF(Paths!$P$202="Complete",O2157+L2157,"n.a."))</f>
        <v>0</v>
      </c>
      <c r="Q2157" s="16">
        <f>IF(NOT(Paths!$C$202=1),0,IF(Paths!$P$202="Complete",N2157*(1+'Operating costs'!$B$54)^-C2157,"n.a."))</f>
        <v>0</v>
      </c>
      <c r="R2157" s="16">
        <f>IF(NOT(Paths!$C$202=1),0,IF(Paths!$P$202="Complete",IF(AND(C2157=0,Paths!$E$202=0),I2157-J2157-K2157+VLOOKUP(A2157,'Fleet register'!$A$7:$S$106,15,FALSE)+VLOOKUP(A2157,'Fleet register'!$A$7:$S$106,16,FALSE),0),"n.a."))</f>
        <v>0</v>
      </c>
      <c r="S2157" s="1">
        <f>IF(NOT(Paths!$C$202=1),0,IF(Paths!$P$202="Complete",IF(C2157=0,0,Paths!$S$202*Paths!$R$202),"n.a."))</f>
        <v>0</v>
      </c>
      <c r="T2157" s="1">
        <f>IF(NOT(Paths!$C$202=1),0,IF(Paths!$P$202="Complete",IF(C2157=0,0,VLOOKUP(A2157,'Fleet register'!$A$7:$S$106,9,FALSE)*Paths!$R$202),"n.a."))</f>
        <v>0</v>
      </c>
    </row>
    <row r="2158" spans="1:20" ht="24" customHeight="1">
      <c r="A2158" s="1" t="str">
        <f>Paths!$A$202</f>
        <v>T049</v>
      </c>
      <c r="B2158" s="1">
        <f>Paths!$B$202</f>
        <v>3</v>
      </c>
      <c r="C2158" s="1">
        <v>6</v>
      </c>
      <c r="D2158" s="1">
        <v>202</v>
      </c>
      <c r="E2158" s="1">
        <f>IF(OR(Paths!$C$202=0,C2158=0),0,MAX(0,MIN(C2158*12,Paths!$E$202)-(C2158-1)*12))</f>
        <v>0</v>
      </c>
      <c r="F2158" s="1">
        <f>IF(OR(Paths!$C$202=0,C2158=0),0,12-E2158)</f>
        <v>0</v>
      </c>
      <c r="G2158" s="16">
        <f>IF(NOT(Paths!$C$202=1),0,IF(Paths!$P$202="Complete",E2158/12*(Paths!$J$202*(1+'Operating costs'!$B$51)^MAX(0,C2158-1)+Paths!$K$202*(1+'Operating costs'!$B$53)^MAX(0,C2158-1)),"n.a."))</f>
        <v>0</v>
      </c>
      <c r="H2158" s="16">
        <f>IF(NOT(Paths!$C$202=1),0,IF(Paths!$P$202="Complete",F2158/12*(Paths!$L$202*(1+IF(Paths!$D$202="EV",'Operating costs'!$B$52,'Operating costs'!$B$51))^MAX(0,C2158-1)+Paths!$M$202*(1+'Operating costs'!$B$53)^MAX(0,C2158-1)),"n.a."))</f>
        <v>0</v>
      </c>
      <c r="I2158" s="16">
        <f>IF(NOT(Paths!$C$202=1),0,IF(Paths!$P$202="Complete",IF(IF(Paths!$E$202=0,C2158=0,AND(C2158&gt;0,Paths!$E$202&gt;(C2158-1)*12,Paths!$E$202&lt;=C2158*12)),Paths!$G$202,0),"n.a."))</f>
        <v>0</v>
      </c>
      <c r="J2158" s="16">
        <f>IF(NOT(Paths!$C$202=1),0,IF(Paths!$P$202="Complete",IF(IF(Paths!$E$202=0,C2158=0,AND(C2158&gt;0,Paths!$E$202&gt;(C2158-1)*12,Paths!$E$202&lt;=C2158*12)),Paths!$H$202,0),"n.a."))</f>
        <v>0</v>
      </c>
      <c r="K2158" s="16">
        <f>IF(NOT(Paths!$C$202=1),0,IF(Paths!$P$202="Complete",IF(IF(Paths!$O$202=0,C2158=0,AND(C2158&gt;0,Paths!$O$202&gt;(C2158-1)*12,Paths!$O$202&lt;=C2158*12)),Paths!$N$202,0),"n.a."))</f>
        <v>0</v>
      </c>
      <c r="L2158" s="16">
        <f>IF(NOT(Paths!$C$202=1),0,IF(Paths!$P$202="Complete",IF(C2158=10,Paths!$I$202,0),"n.a."))</f>
        <v>0</v>
      </c>
      <c r="M2158" s="16">
        <f>IF(NOT(Paths!$C$202=1),0,IF(Paths!$P$202="Complete",IF(AND(Paths!$D$202="EV",Paths!$E$202&lt;120,Paths!$E$202+'Operating costs'!$B$65&gt;Paths!$E$202,Paths!$E$202+'Operating costs'!$B$65&lt;=120,IF(Paths!$E$202+'Operating costs'!$B$65=0,C2158=0,AND(C2158&gt;0,Paths!$E$202+'Operating costs'!$B$65&gt;(C2158-1)*12,Paths!$E$202+'Operating costs'!$B$65&lt;=C2158*12))),'Operating costs'!$B$64,0)+IF(AND('Operating costs'!$B$67&gt;0,'Operating costs'!$B$67&lt;=120,OR(Paths!$D$202="ICE",'Operating costs'!$B$67&lt;=Paths!$E$202),IF('Operating costs'!$B$67=0,C2158=0,AND(C2158&gt;0,'Operating costs'!$B$67&gt;(C2158-1)*12,'Operating costs'!$B$67&lt;=C2158*12))),'Operating costs'!$B$66,0),"n.a."))</f>
        <v>0</v>
      </c>
      <c r="N2158" s="16">
        <f>IF(NOT(Paths!$C$202=1),0,IF(Paths!$P$202="Complete",SUM(G2158:I2158)-J2158-K2158-L2158+M2158+IF(C2158=0,Paths!$F$202,0)+IF(IF(Paths!$E$202=0,C2158=0,AND(C2158&gt;0,Paths!$E$202&gt;(C2158-1)*12,Paths!$E$202&lt;=C2158*12)),VLOOKUP(A2158,'Fleet register'!$A$7:$S$106,16,FALSE),0),"n.a."))</f>
        <v>0</v>
      </c>
      <c r="O2158" s="16">
        <f>IF(NOT(Paths!$C$202=1),0,IF(Paths!$P$202="Complete",N2158-IF(C2158=0,Paths!$F$202,0),"n.a."))</f>
        <v>0</v>
      </c>
      <c r="P2158" s="16">
        <f>IF(NOT(Paths!$C$202=1),0,IF(Paths!$P$202="Complete",O2158+L2158,"n.a."))</f>
        <v>0</v>
      </c>
      <c r="Q2158" s="16">
        <f>IF(NOT(Paths!$C$202=1),0,IF(Paths!$P$202="Complete",N2158*(1+'Operating costs'!$B$54)^-C2158,"n.a."))</f>
        <v>0</v>
      </c>
      <c r="R2158" s="16">
        <f>IF(NOT(Paths!$C$202=1),0,IF(Paths!$P$202="Complete",IF(AND(C2158=0,Paths!$E$202=0),I2158-J2158-K2158+VLOOKUP(A2158,'Fleet register'!$A$7:$S$106,15,FALSE)+VLOOKUP(A2158,'Fleet register'!$A$7:$S$106,16,FALSE),0),"n.a."))</f>
        <v>0</v>
      </c>
      <c r="S2158" s="1">
        <f>IF(NOT(Paths!$C$202=1),0,IF(Paths!$P$202="Complete",IF(C2158=0,0,Paths!$S$202*Paths!$R$202),"n.a."))</f>
        <v>0</v>
      </c>
      <c r="T2158" s="1">
        <f>IF(NOT(Paths!$C$202=1),0,IF(Paths!$P$202="Complete",IF(C2158=0,0,VLOOKUP(A2158,'Fleet register'!$A$7:$S$106,9,FALSE)*Paths!$R$202),"n.a."))</f>
        <v>0</v>
      </c>
    </row>
    <row r="2159" spans="1:20" ht="24" customHeight="1">
      <c r="A2159" s="1" t="str">
        <f>Paths!$A$202</f>
        <v>T049</v>
      </c>
      <c r="B2159" s="1">
        <f>Paths!$B$202</f>
        <v>3</v>
      </c>
      <c r="C2159" s="1">
        <v>7</v>
      </c>
      <c r="D2159" s="1">
        <v>202</v>
      </c>
      <c r="E2159" s="1">
        <f>IF(OR(Paths!$C$202=0,C2159=0),0,MAX(0,MIN(C2159*12,Paths!$E$202)-(C2159-1)*12))</f>
        <v>0</v>
      </c>
      <c r="F2159" s="1">
        <f>IF(OR(Paths!$C$202=0,C2159=0),0,12-E2159)</f>
        <v>0</v>
      </c>
      <c r="G2159" s="16">
        <f>IF(NOT(Paths!$C$202=1),0,IF(Paths!$P$202="Complete",E2159/12*(Paths!$J$202*(1+'Operating costs'!$B$51)^MAX(0,C2159-1)+Paths!$K$202*(1+'Operating costs'!$B$53)^MAX(0,C2159-1)),"n.a."))</f>
        <v>0</v>
      </c>
      <c r="H2159" s="16">
        <f>IF(NOT(Paths!$C$202=1),0,IF(Paths!$P$202="Complete",F2159/12*(Paths!$L$202*(1+IF(Paths!$D$202="EV",'Operating costs'!$B$52,'Operating costs'!$B$51))^MAX(0,C2159-1)+Paths!$M$202*(1+'Operating costs'!$B$53)^MAX(0,C2159-1)),"n.a."))</f>
        <v>0</v>
      </c>
      <c r="I2159" s="16">
        <f>IF(NOT(Paths!$C$202=1),0,IF(Paths!$P$202="Complete",IF(IF(Paths!$E$202=0,C2159=0,AND(C2159&gt;0,Paths!$E$202&gt;(C2159-1)*12,Paths!$E$202&lt;=C2159*12)),Paths!$G$202,0),"n.a."))</f>
        <v>0</v>
      </c>
      <c r="J2159" s="16">
        <f>IF(NOT(Paths!$C$202=1),0,IF(Paths!$P$202="Complete",IF(IF(Paths!$E$202=0,C2159=0,AND(C2159&gt;0,Paths!$E$202&gt;(C2159-1)*12,Paths!$E$202&lt;=C2159*12)),Paths!$H$202,0),"n.a."))</f>
        <v>0</v>
      </c>
      <c r="K2159" s="16">
        <f>IF(NOT(Paths!$C$202=1),0,IF(Paths!$P$202="Complete",IF(IF(Paths!$O$202=0,C2159=0,AND(C2159&gt;0,Paths!$O$202&gt;(C2159-1)*12,Paths!$O$202&lt;=C2159*12)),Paths!$N$202,0),"n.a."))</f>
        <v>0</v>
      </c>
      <c r="L2159" s="16">
        <f>IF(NOT(Paths!$C$202=1),0,IF(Paths!$P$202="Complete",IF(C2159=10,Paths!$I$202,0),"n.a."))</f>
        <v>0</v>
      </c>
      <c r="M2159" s="16">
        <f>IF(NOT(Paths!$C$202=1),0,IF(Paths!$P$202="Complete",IF(AND(Paths!$D$202="EV",Paths!$E$202&lt;120,Paths!$E$202+'Operating costs'!$B$65&gt;Paths!$E$202,Paths!$E$202+'Operating costs'!$B$65&lt;=120,IF(Paths!$E$202+'Operating costs'!$B$65=0,C2159=0,AND(C2159&gt;0,Paths!$E$202+'Operating costs'!$B$65&gt;(C2159-1)*12,Paths!$E$202+'Operating costs'!$B$65&lt;=C2159*12))),'Operating costs'!$B$64,0)+IF(AND('Operating costs'!$B$67&gt;0,'Operating costs'!$B$67&lt;=120,OR(Paths!$D$202="ICE",'Operating costs'!$B$67&lt;=Paths!$E$202),IF('Operating costs'!$B$67=0,C2159=0,AND(C2159&gt;0,'Operating costs'!$B$67&gt;(C2159-1)*12,'Operating costs'!$B$67&lt;=C2159*12))),'Operating costs'!$B$66,0),"n.a."))</f>
        <v>0</v>
      </c>
      <c r="N2159" s="16">
        <f>IF(NOT(Paths!$C$202=1),0,IF(Paths!$P$202="Complete",SUM(G2159:I2159)-J2159-K2159-L2159+M2159+IF(C2159=0,Paths!$F$202,0)+IF(IF(Paths!$E$202=0,C2159=0,AND(C2159&gt;0,Paths!$E$202&gt;(C2159-1)*12,Paths!$E$202&lt;=C2159*12)),VLOOKUP(A2159,'Fleet register'!$A$7:$S$106,16,FALSE),0),"n.a."))</f>
        <v>0</v>
      </c>
      <c r="O2159" s="16">
        <f>IF(NOT(Paths!$C$202=1),0,IF(Paths!$P$202="Complete",N2159-IF(C2159=0,Paths!$F$202,0),"n.a."))</f>
        <v>0</v>
      </c>
      <c r="P2159" s="16">
        <f>IF(NOT(Paths!$C$202=1),0,IF(Paths!$P$202="Complete",O2159+L2159,"n.a."))</f>
        <v>0</v>
      </c>
      <c r="Q2159" s="16">
        <f>IF(NOT(Paths!$C$202=1),0,IF(Paths!$P$202="Complete",N2159*(1+'Operating costs'!$B$54)^-C2159,"n.a."))</f>
        <v>0</v>
      </c>
      <c r="R2159" s="16">
        <f>IF(NOT(Paths!$C$202=1),0,IF(Paths!$P$202="Complete",IF(AND(C2159=0,Paths!$E$202=0),I2159-J2159-K2159+VLOOKUP(A2159,'Fleet register'!$A$7:$S$106,15,FALSE)+VLOOKUP(A2159,'Fleet register'!$A$7:$S$106,16,FALSE),0),"n.a."))</f>
        <v>0</v>
      </c>
      <c r="S2159" s="1">
        <f>IF(NOT(Paths!$C$202=1),0,IF(Paths!$P$202="Complete",IF(C2159=0,0,Paths!$S$202*Paths!$R$202),"n.a."))</f>
        <v>0</v>
      </c>
      <c r="T2159" s="1">
        <f>IF(NOT(Paths!$C$202=1),0,IF(Paths!$P$202="Complete",IF(C2159=0,0,VLOOKUP(A2159,'Fleet register'!$A$7:$S$106,9,FALSE)*Paths!$R$202),"n.a."))</f>
        <v>0</v>
      </c>
    </row>
    <row r="2160" spans="1:20" ht="24" customHeight="1">
      <c r="A2160" s="1" t="str">
        <f>Paths!$A$202</f>
        <v>T049</v>
      </c>
      <c r="B2160" s="1">
        <f>Paths!$B$202</f>
        <v>3</v>
      </c>
      <c r="C2160" s="1">
        <v>8</v>
      </c>
      <c r="D2160" s="1">
        <v>202</v>
      </c>
      <c r="E2160" s="1">
        <f>IF(OR(Paths!$C$202=0,C2160=0),0,MAX(0,MIN(C2160*12,Paths!$E$202)-(C2160-1)*12))</f>
        <v>0</v>
      </c>
      <c r="F2160" s="1">
        <f>IF(OR(Paths!$C$202=0,C2160=0),0,12-E2160)</f>
        <v>0</v>
      </c>
      <c r="G2160" s="16">
        <f>IF(NOT(Paths!$C$202=1),0,IF(Paths!$P$202="Complete",E2160/12*(Paths!$J$202*(1+'Operating costs'!$B$51)^MAX(0,C2160-1)+Paths!$K$202*(1+'Operating costs'!$B$53)^MAX(0,C2160-1)),"n.a."))</f>
        <v>0</v>
      </c>
      <c r="H2160" s="16">
        <f>IF(NOT(Paths!$C$202=1),0,IF(Paths!$P$202="Complete",F2160/12*(Paths!$L$202*(1+IF(Paths!$D$202="EV",'Operating costs'!$B$52,'Operating costs'!$B$51))^MAX(0,C2160-1)+Paths!$M$202*(1+'Operating costs'!$B$53)^MAX(0,C2160-1)),"n.a."))</f>
        <v>0</v>
      </c>
      <c r="I2160" s="16">
        <f>IF(NOT(Paths!$C$202=1),0,IF(Paths!$P$202="Complete",IF(IF(Paths!$E$202=0,C2160=0,AND(C2160&gt;0,Paths!$E$202&gt;(C2160-1)*12,Paths!$E$202&lt;=C2160*12)),Paths!$G$202,0),"n.a."))</f>
        <v>0</v>
      </c>
      <c r="J2160" s="16">
        <f>IF(NOT(Paths!$C$202=1),0,IF(Paths!$P$202="Complete",IF(IF(Paths!$E$202=0,C2160=0,AND(C2160&gt;0,Paths!$E$202&gt;(C2160-1)*12,Paths!$E$202&lt;=C2160*12)),Paths!$H$202,0),"n.a."))</f>
        <v>0</v>
      </c>
      <c r="K2160" s="16">
        <f>IF(NOT(Paths!$C$202=1),0,IF(Paths!$P$202="Complete",IF(IF(Paths!$O$202=0,C2160=0,AND(C2160&gt;0,Paths!$O$202&gt;(C2160-1)*12,Paths!$O$202&lt;=C2160*12)),Paths!$N$202,0),"n.a."))</f>
        <v>0</v>
      </c>
      <c r="L2160" s="16">
        <f>IF(NOT(Paths!$C$202=1),0,IF(Paths!$P$202="Complete",IF(C2160=10,Paths!$I$202,0),"n.a."))</f>
        <v>0</v>
      </c>
      <c r="M2160" s="16">
        <f>IF(NOT(Paths!$C$202=1),0,IF(Paths!$P$202="Complete",IF(AND(Paths!$D$202="EV",Paths!$E$202&lt;120,Paths!$E$202+'Operating costs'!$B$65&gt;Paths!$E$202,Paths!$E$202+'Operating costs'!$B$65&lt;=120,IF(Paths!$E$202+'Operating costs'!$B$65=0,C2160=0,AND(C2160&gt;0,Paths!$E$202+'Operating costs'!$B$65&gt;(C2160-1)*12,Paths!$E$202+'Operating costs'!$B$65&lt;=C2160*12))),'Operating costs'!$B$64,0)+IF(AND('Operating costs'!$B$67&gt;0,'Operating costs'!$B$67&lt;=120,OR(Paths!$D$202="ICE",'Operating costs'!$B$67&lt;=Paths!$E$202),IF('Operating costs'!$B$67=0,C2160=0,AND(C2160&gt;0,'Operating costs'!$B$67&gt;(C2160-1)*12,'Operating costs'!$B$67&lt;=C2160*12))),'Operating costs'!$B$66,0),"n.a."))</f>
        <v>0</v>
      </c>
      <c r="N2160" s="16">
        <f>IF(NOT(Paths!$C$202=1),0,IF(Paths!$P$202="Complete",SUM(G2160:I2160)-J2160-K2160-L2160+M2160+IF(C2160=0,Paths!$F$202,0)+IF(IF(Paths!$E$202=0,C2160=0,AND(C2160&gt;0,Paths!$E$202&gt;(C2160-1)*12,Paths!$E$202&lt;=C2160*12)),VLOOKUP(A2160,'Fleet register'!$A$7:$S$106,16,FALSE),0),"n.a."))</f>
        <v>0</v>
      </c>
      <c r="O2160" s="16">
        <f>IF(NOT(Paths!$C$202=1),0,IF(Paths!$P$202="Complete",N2160-IF(C2160=0,Paths!$F$202,0),"n.a."))</f>
        <v>0</v>
      </c>
      <c r="P2160" s="16">
        <f>IF(NOT(Paths!$C$202=1),0,IF(Paths!$P$202="Complete",O2160+L2160,"n.a."))</f>
        <v>0</v>
      </c>
      <c r="Q2160" s="16">
        <f>IF(NOT(Paths!$C$202=1),0,IF(Paths!$P$202="Complete",N2160*(1+'Operating costs'!$B$54)^-C2160,"n.a."))</f>
        <v>0</v>
      </c>
      <c r="R2160" s="16">
        <f>IF(NOT(Paths!$C$202=1),0,IF(Paths!$P$202="Complete",IF(AND(C2160=0,Paths!$E$202=0),I2160-J2160-K2160+VLOOKUP(A2160,'Fleet register'!$A$7:$S$106,15,FALSE)+VLOOKUP(A2160,'Fleet register'!$A$7:$S$106,16,FALSE),0),"n.a."))</f>
        <v>0</v>
      </c>
      <c r="S2160" s="1">
        <f>IF(NOT(Paths!$C$202=1),0,IF(Paths!$P$202="Complete",IF(C2160=0,0,Paths!$S$202*Paths!$R$202),"n.a."))</f>
        <v>0</v>
      </c>
      <c r="T2160" s="1">
        <f>IF(NOT(Paths!$C$202=1),0,IF(Paths!$P$202="Complete",IF(C2160=0,0,VLOOKUP(A2160,'Fleet register'!$A$7:$S$106,9,FALSE)*Paths!$R$202),"n.a."))</f>
        <v>0</v>
      </c>
    </row>
    <row r="2161" spans="1:20" ht="24" customHeight="1">
      <c r="A2161" s="1" t="str">
        <f>Paths!$A$202</f>
        <v>T049</v>
      </c>
      <c r="B2161" s="1">
        <f>Paths!$B$202</f>
        <v>3</v>
      </c>
      <c r="C2161" s="1">
        <v>9</v>
      </c>
      <c r="D2161" s="1">
        <v>202</v>
      </c>
      <c r="E2161" s="1">
        <f>IF(OR(Paths!$C$202=0,C2161=0),0,MAX(0,MIN(C2161*12,Paths!$E$202)-(C2161-1)*12))</f>
        <v>0</v>
      </c>
      <c r="F2161" s="1">
        <f>IF(OR(Paths!$C$202=0,C2161=0),0,12-E2161)</f>
        <v>0</v>
      </c>
      <c r="G2161" s="16">
        <f>IF(NOT(Paths!$C$202=1),0,IF(Paths!$P$202="Complete",E2161/12*(Paths!$J$202*(1+'Operating costs'!$B$51)^MAX(0,C2161-1)+Paths!$K$202*(1+'Operating costs'!$B$53)^MAX(0,C2161-1)),"n.a."))</f>
        <v>0</v>
      </c>
      <c r="H2161" s="16">
        <f>IF(NOT(Paths!$C$202=1),0,IF(Paths!$P$202="Complete",F2161/12*(Paths!$L$202*(1+IF(Paths!$D$202="EV",'Operating costs'!$B$52,'Operating costs'!$B$51))^MAX(0,C2161-1)+Paths!$M$202*(1+'Operating costs'!$B$53)^MAX(0,C2161-1)),"n.a."))</f>
        <v>0</v>
      </c>
      <c r="I2161" s="16">
        <f>IF(NOT(Paths!$C$202=1),0,IF(Paths!$P$202="Complete",IF(IF(Paths!$E$202=0,C2161=0,AND(C2161&gt;0,Paths!$E$202&gt;(C2161-1)*12,Paths!$E$202&lt;=C2161*12)),Paths!$G$202,0),"n.a."))</f>
        <v>0</v>
      </c>
      <c r="J2161" s="16">
        <f>IF(NOT(Paths!$C$202=1),0,IF(Paths!$P$202="Complete",IF(IF(Paths!$E$202=0,C2161=0,AND(C2161&gt;0,Paths!$E$202&gt;(C2161-1)*12,Paths!$E$202&lt;=C2161*12)),Paths!$H$202,0),"n.a."))</f>
        <v>0</v>
      </c>
      <c r="K2161" s="16">
        <f>IF(NOT(Paths!$C$202=1),0,IF(Paths!$P$202="Complete",IF(IF(Paths!$O$202=0,C2161=0,AND(C2161&gt;0,Paths!$O$202&gt;(C2161-1)*12,Paths!$O$202&lt;=C2161*12)),Paths!$N$202,0),"n.a."))</f>
        <v>0</v>
      </c>
      <c r="L2161" s="16">
        <f>IF(NOT(Paths!$C$202=1),0,IF(Paths!$P$202="Complete",IF(C2161=10,Paths!$I$202,0),"n.a."))</f>
        <v>0</v>
      </c>
      <c r="M2161" s="16">
        <f>IF(NOT(Paths!$C$202=1),0,IF(Paths!$P$202="Complete",IF(AND(Paths!$D$202="EV",Paths!$E$202&lt;120,Paths!$E$202+'Operating costs'!$B$65&gt;Paths!$E$202,Paths!$E$202+'Operating costs'!$B$65&lt;=120,IF(Paths!$E$202+'Operating costs'!$B$65=0,C2161=0,AND(C2161&gt;0,Paths!$E$202+'Operating costs'!$B$65&gt;(C2161-1)*12,Paths!$E$202+'Operating costs'!$B$65&lt;=C2161*12))),'Operating costs'!$B$64,0)+IF(AND('Operating costs'!$B$67&gt;0,'Operating costs'!$B$67&lt;=120,OR(Paths!$D$202="ICE",'Operating costs'!$B$67&lt;=Paths!$E$202),IF('Operating costs'!$B$67=0,C2161=0,AND(C2161&gt;0,'Operating costs'!$B$67&gt;(C2161-1)*12,'Operating costs'!$B$67&lt;=C2161*12))),'Operating costs'!$B$66,0),"n.a."))</f>
        <v>0</v>
      </c>
      <c r="N2161" s="16">
        <f>IF(NOT(Paths!$C$202=1),0,IF(Paths!$P$202="Complete",SUM(G2161:I2161)-J2161-K2161-L2161+M2161+IF(C2161=0,Paths!$F$202,0)+IF(IF(Paths!$E$202=0,C2161=0,AND(C2161&gt;0,Paths!$E$202&gt;(C2161-1)*12,Paths!$E$202&lt;=C2161*12)),VLOOKUP(A2161,'Fleet register'!$A$7:$S$106,16,FALSE),0),"n.a."))</f>
        <v>0</v>
      </c>
      <c r="O2161" s="16">
        <f>IF(NOT(Paths!$C$202=1),0,IF(Paths!$P$202="Complete",N2161-IF(C2161=0,Paths!$F$202,0),"n.a."))</f>
        <v>0</v>
      </c>
      <c r="P2161" s="16">
        <f>IF(NOT(Paths!$C$202=1),0,IF(Paths!$P$202="Complete",O2161+L2161,"n.a."))</f>
        <v>0</v>
      </c>
      <c r="Q2161" s="16">
        <f>IF(NOT(Paths!$C$202=1),0,IF(Paths!$P$202="Complete",N2161*(1+'Operating costs'!$B$54)^-C2161,"n.a."))</f>
        <v>0</v>
      </c>
      <c r="R2161" s="16">
        <f>IF(NOT(Paths!$C$202=1),0,IF(Paths!$P$202="Complete",IF(AND(C2161=0,Paths!$E$202=0),I2161-J2161-K2161+VLOOKUP(A2161,'Fleet register'!$A$7:$S$106,15,FALSE)+VLOOKUP(A2161,'Fleet register'!$A$7:$S$106,16,FALSE),0),"n.a."))</f>
        <v>0</v>
      </c>
      <c r="S2161" s="1">
        <f>IF(NOT(Paths!$C$202=1),0,IF(Paths!$P$202="Complete",IF(C2161=0,0,Paths!$S$202*Paths!$R$202),"n.a."))</f>
        <v>0</v>
      </c>
      <c r="T2161" s="1">
        <f>IF(NOT(Paths!$C$202=1),0,IF(Paths!$P$202="Complete",IF(C2161=0,0,VLOOKUP(A2161,'Fleet register'!$A$7:$S$106,9,FALSE)*Paths!$R$202),"n.a."))</f>
        <v>0</v>
      </c>
    </row>
    <row r="2162" spans="1:20" ht="24" customHeight="1">
      <c r="A2162" s="1" t="str">
        <f>Paths!$A$202</f>
        <v>T049</v>
      </c>
      <c r="B2162" s="1">
        <f>Paths!$B$202</f>
        <v>3</v>
      </c>
      <c r="C2162" s="1">
        <v>10</v>
      </c>
      <c r="D2162" s="1">
        <v>202</v>
      </c>
      <c r="E2162" s="1">
        <f>IF(OR(Paths!$C$202=0,C2162=0),0,MAX(0,MIN(C2162*12,Paths!$E$202)-(C2162-1)*12))</f>
        <v>0</v>
      </c>
      <c r="F2162" s="1">
        <f>IF(OR(Paths!$C$202=0,C2162=0),0,12-E2162)</f>
        <v>0</v>
      </c>
      <c r="G2162" s="16">
        <f>IF(NOT(Paths!$C$202=1),0,IF(Paths!$P$202="Complete",E2162/12*(Paths!$J$202*(1+'Operating costs'!$B$51)^MAX(0,C2162-1)+Paths!$K$202*(1+'Operating costs'!$B$53)^MAX(0,C2162-1)),"n.a."))</f>
        <v>0</v>
      </c>
      <c r="H2162" s="16">
        <f>IF(NOT(Paths!$C$202=1),0,IF(Paths!$P$202="Complete",F2162/12*(Paths!$L$202*(1+IF(Paths!$D$202="EV",'Operating costs'!$B$52,'Operating costs'!$B$51))^MAX(0,C2162-1)+Paths!$M$202*(1+'Operating costs'!$B$53)^MAX(0,C2162-1)),"n.a."))</f>
        <v>0</v>
      </c>
      <c r="I2162" s="16">
        <f>IF(NOT(Paths!$C$202=1),0,IF(Paths!$P$202="Complete",IF(IF(Paths!$E$202=0,C2162=0,AND(C2162&gt;0,Paths!$E$202&gt;(C2162-1)*12,Paths!$E$202&lt;=C2162*12)),Paths!$G$202,0),"n.a."))</f>
        <v>0</v>
      </c>
      <c r="J2162" s="16">
        <f>IF(NOT(Paths!$C$202=1),0,IF(Paths!$P$202="Complete",IF(IF(Paths!$E$202=0,C2162=0,AND(C2162&gt;0,Paths!$E$202&gt;(C2162-1)*12,Paths!$E$202&lt;=C2162*12)),Paths!$H$202,0),"n.a."))</f>
        <v>0</v>
      </c>
      <c r="K2162" s="16">
        <f>IF(NOT(Paths!$C$202=1),0,IF(Paths!$P$202="Complete",IF(IF(Paths!$O$202=0,C2162=0,AND(C2162&gt;0,Paths!$O$202&gt;(C2162-1)*12,Paths!$O$202&lt;=C2162*12)),Paths!$N$202,0),"n.a."))</f>
        <v>0</v>
      </c>
      <c r="L2162" s="16">
        <f>IF(NOT(Paths!$C$202=1),0,IF(Paths!$P$202="Complete",IF(C2162=10,Paths!$I$202,0),"n.a."))</f>
        <v>0</v>
      </c>
      <c r="M2162" s="16">
        <f>IF(NOT(Paths!$C$202=1),0,IF(Paths!$P$202="Complete",IF(AND(Paths!$D$202="EV",Paths!$E$202&lt;120,Paths!$E$202+'Operating costs'!$B$65&gt;Paths!$E$202,Paths!$E$202+'Operating costs'!$B$65&lt;=120,IF(Paths!$E$202+'Operating costs'!$B$65=0,C2162=0,AND(C2162&gt;0,Paths!$E$202+'Operating costs'!$B$65&gt;(C2162-1)*12,Paths!$E$202+'Operating costs'!$B$65&lt;=C2162*12))),'Operating costs'!$B$64,0)+IF(AND('Operating costs'!$B$67&gt;0,'Operating costs'!$B$67&lt;=120,OR(Paths!$D$202="ICE",'Operating costs'!$B$67&lt;=Paths!$E$202),IF('Operating costs'!$B$67=0,C2162=0,AND(C2162&gt;0,'Operating costs'!$B$67&gt;(C2162-1)*12,'Operating costs'!$B$67&lt;=C2162*12))),'Operating costs'!$B$66,0),"n.a."))</f>
        <v>0</v>
      </c>
      <c r="N2162" s="16">
        <f>IF(NOT(Paths!$C$202=1),0,IF(Paths!$P$202="Complete",SUM(G2162:I2162)-J2162-K2162-L2162+M2162+IF(C2162=0,Paths!$F$202,0)+IF(IF(Paths!$E$202=0,C2162=0,AND(C2162&gt;0,Paths!$E$202&gt;(C2162-1)*12,Paths!$E$202&lt;=C2162*12)),VLOOKUP(A2162,'Fleet register'!$A$7:$S$106,16,FALSE),0),"n.a."))</f>
        <v>0</v>
      </c>
      <c r="O2162" s="16">
        <f>IF(NOT(Paths!$C$202=1),0,IF(Paths!$P$202="Complete",N2162-IF(C2162=0,Paths!$F$202,0),"n.a."))</f>
        <v>0</v>
      </c>
      <c r="P2162" s="16">
        <f>IF(NOT(Paths!$C$202=1),0,IF(Paths!$P$202="Complete",O2162+L2162,"n.a."))</f>
        <v>0</v>
      </c>
      <c r="Q2162" s="16">
        <f>IF(NOT(Paths!$C$202=1),0,IF(Paths!$P$202="Complete",N2162*(1+'Operating costs'!$B$54)^-C2162,"n.a."))</f>
        <v>0</v>
      </c>
      <c r="R2162" s="16">
        <f>IF(NOT(Paths!$C$202=1),0,IF(Paths!$P$202="Complete",IF(AND(C2162=0,Paths!$E$202=0),I2162-J2162-K2162+VLOOKUP(A2162,'Fleet register'!$A$7:$S$106,15,FALSE)+VLOOKUP(A2162,'Fleet register'!$A$7:$S$106,16,FALSE),0),"n.a."))</f>
        <v>0</v>
      </c>
      <c r="S2162" s="1">
        <f>IF(NOT(Paths!$C$202=1),0,IF(Paths!$P$202="Complete",IF(C2162=0,0,Paths!$S$202*Paths!$R$202),"n.a."))</f>
        <v>0</v>
      </c>
      <c r="T2162" s="1">
        <f>IF(NOT(Paths!$C$202=1),0,IF(Paths!$P$202="Complete",IF(C2162=0,0,VLOOKUP(A2162,'Fleet register'!$A$7:$S$106,9,FALSE)*Paths!$R$202),"n.a."))</f>
        <v>0</v>
      </c>
    </row>
    <row r="2163" spans="1:20" ht="24" customHeight="1">
      <c r="A2163" s="1" t="str">
        <f>Paths!$A$203</f>
        <v>T050</v>
      </c>
      <c r="B2163" s="1">
        <f>Paths!$B$203</f>
        <v>0</v>
      </c>
      <c r="C2163" s="1">
        <v>0</v>
      </c>
      <c r="D2163" s="1">
        <v>203</v>
      </c>
      <c r="E2163" s="1">
        <f>IF(OR(Paths!$C$203=0,C2163=0),0,MAX(0,MIN(C2163*12,Paths!$E$203)-(C2163-1)*12))</f>
        <v>0</v>
      </c>
      <c r="F2163" s="1">
        <f>IF(OR(Paths!$C$203=0,C2163=0),0,12-E2163)</f>
        <v>0</v>
      </c>
      <c r="G2163" s="16">
        <f>IF(NOT(Paths!$C$203=1),0,IF(Paths!$P$203="Complete",E2163/12*(Paths!$J$203*(1+'Operating costs'!$B$51)^MAX(0,C2163-1)+Paths!$K$203*(1+'Operating costs'!$B$53)^MAX(0,C2163-1)),"n.a."))</f>
        <v>0</v>
      </c>
      <c r="H2163" s="16">
        <f>IF(NOT(Paths!$C$203=1),0,IF(Paths!$P$203="Complete",F2163/12*(Paths!$L$203*(1+IF(Paths!$D$203="EV",'Operating costs'!$B$52,'Operating costs'!$B$51))^MAX(0,C2163-1)+Paths!$M$203*(1+'Operating costs'!$B$53)^MAX(0,C2163-1)),"n.a."))</f>
        <v>0</v>
      </c>
      <c r="I2163" s="16">
        <f>IF(NOT(Paths!$C$203=1),0,IF(Paths!$P$203="Complete",IF(IF(Paths!$E$203=0,C2163=0,AND(C2163&gt;0,Paths!$E$203&gt;(C2163-1)*12,Paths!$E$203&lt;=C2163*12)),Paths!$G$203,0),"n.a."))</f>
        <v>0</v>
      </c>
      <c r="J2163" s="16">
        <f>IF(NOT(Paths!$C$203=1),0,IF(Paths!$P$203="Complete",IF(IF(Paths!$E$203=0,C2163=0,AND(C2163&gt;0,Paths!$E$203&gt;(C2163-1)*12,Paths!$E$203&lt;=C2163*12)),Paths!$H$203,0),"n.a."))</f>
        <v>0</v>
      </c>
      <c r="K2163" s="16">
        <f>IF(NOT(Paths!$C$203=1),0,IF(Paths!$P$203="Complete",IF(IF(Paths!$O$203=0,C2163=0,AND(C2163&gt;0,Paths!$O$203&gt;(C2163-1)*12,Paths!$O$203&lt;=C2163*12)),Paths!$N$203,0),"n.a."))</f>
        <v>0</v>
      </c>
      <c r="L2163" s="16">
        <f>IF(NOT(Paths!$C$203=1),0,IF(Paths!$P$203="Complete",IF(C2163=10,Paths!$I$203,0),"n.a."))</f>
        <v>0</v>
      </c>
      <c r="M2163" s="16">
        <f>IF(NOT(Paths!$C$203=1),0,IF(Paths!$P$203="Complete",IF(AND(Paths!$D$203="EV",Paths!$E$203&lt;120,Paths!$E$203+'Operating costs'!$B$65&gt;Paths!$E$203,Paths!$E$203+'Operating costs'!$B$65&lt;=120,IF(Paths!$E$203+'Operating costs'!$B$65=0,C2163=0,AND(C2163&gt;0,Paths!$E$203+'Operating costs'!$B$65&gt;(C2163-1)*12,Paths!$E$203+'Operating costs'!$B$65&lt;=C2163*12))),'Operating costs'!$B$64,0)+IF(AND('Operating costs'!$B$67&gt;0,'Operating costs'!$B$67&lt;=120,OR(Paths!$D$203="ICE",'Operating costs'!$B$67&lt;=Paths!$E$203),IF('Operating costs'!$B$67=0,C2163=0,AND(C2163&gt;0,'Operating costs'!$B$67&gt;(C2163-1)*12,'Operating costs'!$B$67&lt;=C2163*12))),'Operating costs'!$B$66,0),"n.a."))</f>
        <v>0</v>
      </c>
      <c r="N2163" s="16">
        <f>IF(NOT(Paths!$C$203=1),0,IF(Paths!$P$203="Complete",SUM(G2163:I2163)-J2163-K2163-L2163+M2163+IF(C2163=0,Paths!$F$203,0)+IF(IF(Paths!$E$203=0,C2163=0,AND(C2163&gt;0,Paths!$E$203&gt;(C2163-1)*12,Paths!$E$203&lt;=C2163*12)),VLOOKUP(A2163,'Fleet register'!$A$7:$S$106,16,FALSE),0),"n.a."))</f>
        <v>0</v>
      </c>
      <c r="O2163" s="16">
        <f>IF(NOT(Paths!$C$203=1),0,IF(Paths!$P$203="Complete",N2163-IF(C2163=0,Paths!$F$203,0),"n.a."))</f>
        <v>0</v>
      </c>
      <c r="P2163" s="16">
        <f>IF(NOT(Paths!$C$203=1),0,IF(Paths!$P$203="Complete",O2163+L2163,"n.a."))</f>
        <v>0</v>
      </c>
      <c r="Q2163" s="16">
        <f>IF(NOT(Paths!$C$203=1),0,IF(Paths!$P$203="Complete",N2163*(1+'Operating costs'!$B$54)^-C2163,"n.a."))</f>
        <v>0</v>
      </c>
      <c r="R2163" s="16">
        <f>IF(NOT(Paths!$C$203=1),0,IF(Paths!$P$203="Complete",IF(AND(C2163=0,Paths!$E$203=0),I2163-J2163-K2163+VLOOKUP(A2163,'Fleet register'!$A$7:$S$106,15,FALSE)+VLOOKUP(A2163,'Fleet register'!$A$7:$S$106,16,FALSE),0),"n.a."))</f>
        <v>0</v>
      </c>
      <c r="S2163" s="1">
        <f>IF(NOT(Paths!$C$203=1),0,IF(Paths!$P$203="Complete",IF(C2163=0,0,Paths!$S$203*Paths!$R$203),"n.a."))</f>
        <v>0</v>
      </c>
      <c r="T2163" s="1">
        <f>IF(NOT(Paths!$C$203=1),0,IF(Paths!$P$203="Complete",IF(C2163=0,0,VLOOKUP(A2163,'Fleet register'!$A$7:$S$106,9,FALSE)*Paths!$R$203),"n.a."))</f>
        <v>0</v>
      </c>
    </row>
    <row r="2164" spans="1:20" ht="24" customHeight="1">
      <c r="A2164" s="1" t="str">
        <f>Paths!$A$203</f>
        <v>T050</v>
      </c>
      <c r="B2164" s="1">
        <f>Paths!$B$203</f>
        <v>0</v>
      </c>
      <c r="C2164" s="1">
        <v>1</v>
      </c>
      <c r="D2164" s="1">
        <v>203</v>
      </c>
      <c r="E2164" s="1">
        <f>IF(OR(Paths!$C$203=0,C2164=0),0,MAX(0,MIN(C2164*12,Paths!$E$203)-(C2164-1)*12))</f>
        <v>0</v>
      </c>
      <c r="F2164" s="1">
        <f>IF(OR(Paths!$C$203=0,C2164=0),0,12-E2164)</f>
        <v>0</v>
      </c>
      <c r="G2164" s="16">
        <f>IF(NOT(Paths!$C$203=1),0,IF(Paths!$P$203="Complete",E2164/12*(Paths!$J$203*(1+'Operating costs'!$B$51)^MAX(0,C2164-1)+Paths!$K$203*(1+'Operating costs'!$B$53)^MAX(0,C2164-1)),"n.a."))</f>
        <v>0</v>
      </c>
      <c r="H2164" s="16">
        <f>IF(NOT(Paths!$C$203=1),0,IF(Paths!$P$203="Complete",F2164/12*(Paths!$L$203*(1+IF(Paths!$D$203="EV",'Operating costs'!$B$52,'Operating costs'!$B$51))^MAX(0,C2164-1)+Paths!$M$203*(1+'Operating costs'!$B$53)^MAX(0,C2164-1)),"n.a."))</f>
        <v>0</v>
      </c>
      <c r="I2164" s="16">
        <f>IF(NOT(Paths!$C$203=1),0,IF(Paths!$P$203="Complete",IF(IF(Paths!$E$203=0,C2164=0,AND(C2164&gt;0,Paths!$E$203&gt;(C2164-1)*12,Paths!$E$203&lt;=C2164*12)),Paths!$G$203,0),"n.a."))</f>
        <v>0</v>
      </c>
      <c r="J2164" s="16">
        <f>IF(NOT(Paths!$C$203=1),0,IF(Paths!$P$203="Complete",IF(IF(Paths!$E$203=0,C2164=0,AND(C2164&gt;0,Paths!$E$203&gt;(C2164-1)*12,Paths!$E$203&lt;=C2164*12)),Paths!$H$203,0),"n.a."))</f>
        <v>0</v>
      </c>
      <c r="K2164" s="16">
        <f>IF(NOT(Paths!$C$203=1),0,IF(Paths!$P$203="Complete",IF(IF(Paths!$O$203=0,C2164=0,AND(C2164&gt;0,Paths!$O$203&gt;(C2164-1)*12,Paths!$O$203&lt;=C2164*12)),Paths!$N$203,0),"n.a."))</f>
        <v>0</v>
      </c>
      <c r="L2164" s="16">
        <f>IF(NOT(Paths!$C$203=1),0,IF(Paths!$P$203="Complete",IF(C2164=10,Paths!$I$203,0),"n.a."))</f>
        <v>0</v>
      </c>
      <c r="M2164" s="16">
        <f>IF(NOT(Paths!$C$203=1),0,IF(Paths!$P$203="Complete",IF(AND(Paths!$D$203="EV",Paths!$E$203&lt;120,Paths!$E$203+'Operating costs'!$B$65&gt;Paths!$E$203,Paths!$E$203+'Operating costs'!$B$65&lt;=120,IF(Paths!$E$203+'Operating costs'!$B$65=0,C2164=0,AND(C2164&gt;0,Paths!$E$203+'Operating costs'!$B$65&gt;(C2164-1)*12,Paths!$E$203+'Operating costs'!$B$65&lt;=C2164*12))),'Operating costs'!$B$64,0)+IF(AND('Operating costs'!$B$67&gt;0,'Operating costs'!$B$67&lt;=120,OR(Paths!$D$203="ICE",'Operating costs'!$B$67&lt;=Paths!$E$203),IF('Operating costs'!$B$67=0,C2164=0,AND(C2164&gt;0,'Operating costs'!$B$67&gt;(C2164-1)*12,'Operating costs'!$B$67&lt;=C2164*12))),'Operating costs'!$B$66,0),"n.a."))</f>
        <v>0</v>
      </c>
      <c r="N2164" s="16">
        <f>IF(NOT(Paths!$C$203=1),0,IF(Paths!$P$203="Complete",SUM(G2164:I2164)-J2164-K2164-L2164+M2164+IF(C2164=0,Paths!$F$203,0)+IF(IF(Paths!$E$203=0,C2164=0,AND(C2164&gt;0,Paths!$E$203&gt;(C2164-1)*12,Paths!$E$203&lt;=C2164*12)),VLOOKUP(A2164,'Fleet register'!$A$7:$S$106,16,FALSE),0),"n.a."))</f>
        <v>0</v>
      </c>
      <c r="O2164" s="16">
        <f>IF(NOT(Paths!$C$203=1),0,IF(Paths!$P$203="Complete",N2164-IF(C2164=0,Paths!$F$203,0),"n.a."))</f>
        <v>0</v>
      </c>
      <c r="P2164" s="16">
        <f>IF(NOT(Paths!$C$203=1),0,IF(Paths!$P$203="Complete",O2164+L2164,"n.a."))</f>
        <v>0</v>
      </c>
      <c r="Q2164" s="16">
        <f>IF(NOT(Paths!$C$203=1),0,IF(Paths!$P$203="Complete",N2164*(1+'Operating costs'!$B$54)^-C2164,"n.a."))</f>
        <v>0</v>
      </c>
      <c r="R2164" s="16">
        <f>IF(NOT(Paths!$C$203=1),0,IF(Paths!$P$203="Complete",IF(AND(C2164=0,Paths!$E$203=0),I2164-J2164-K2164+VLOOKUP(A2164,'Fleet register'!$A$7:$S$106,15,FALSE)+VLOOKUP(A2164,'Fleet register'!$A$7:$S$106,16,FALSE),0),"n.a."))</f>
        <v>0</v>
      </c>
      <c r="S2164" s="1">
        <f>IF(NOT(Paths!$C$203=1),0,IF(Paths!$P$203="Complete",IF(C2164=0,0,Paths!$S$203*Paths!$R$203),"n.a."))</f>
        <v>0</v>
      </c>
      <c r="T2164" s="1">
        <f>IF(NOT(Paths!$C$203=1),0,IF(Paths!$P$203="Complete",IF(C2164=0,0,VLOOKUP(A2164,'Fleet register'!$A$7:$S$106,9,FALSE)*Paths!$R$203),"n.a."))</f>
        <v>0</v>
      </c>
    </row>
    <row r="2165" spans="1:20" ht="24" customHeight="1">
      <c r="A2165" s="1" t="str">
        <f>Paths!$A$203</f>
        <v>T050</v>
      </c>
      <c r="B2165" s="1">
        <f>Paths!$B$203</f>
        <v>0</v>
      </c>
      <c r="C2165" s="1">
        <v>2</v>
      </c>
      <c r="D2165" s="1">
        <v>203</v>
      </c>
      <c r="E2165" s="1">
        <f>IF(OR(Paths!$C$203=0,C2165=0),0,MAX(0,MIN(C2165*12,Paths!$E$203)-(C2165-1)*12))</f>
        <v>0</v>
      </c>
      <c r="F2165" s="1">
        <f>IF(OR(Paths!$C$203=0,C2165=0),0,12-E2165)</f>
        <v>0</v>
      </c>
      <c r="G2165" s="16">
        <f>IF(NOT(Paths!$C$203=1),0,IF(Paths!$P$203="Complete",E2165/12*(Paths!$J$203*(1+'Operating costs'!$B$51)^MAX(0,C2165-1)+Paths!$K$203*(1+'Operating costs'!$B$53)^MAX(0,C2165-1)),"n.a."))</f>
        <v>0</v>
      </c>
      <c r="H2165" s="16">
        <f>IF(NOT(Paths!$C$203=1),0,IF(Paths!$P$203="Complete",F2165/12*(Paths!$L$203*(1+IF(Paths!$D$203="EV",'Operating costs'!$B$52,'Operating costs'!$B$51))^MAX(0,C2165-1)+Paths!$M$203*(1+'Operating costs'!$B$53)^MAX(0,C2165-1)),"n.a."))</f>
        <v>0</v>
      </c>
      <c r="I2165" s="16">
        <f>IF(NOT(Paths!$C$203=1),0,IF(Paths!$P$203="Complete",IF(IF(Paths!$E$203=0,C2165=0,AND(C2165&gt;0,Paths!$E$203&gt;(C2165-1)*12,Paths!$E$203&lt;=C2165*12)),Paths!$G$203,0),"n.a."))</f>
        <v>0</v>
      </c>
      <c r="J2165" s="16">
        <f>IF(NOT(Paths!$C$203=1),0,IF(Paths!$P$203="Complete",IF(IF(Paths!$E$203=0,C2165=0,AND(C2165&gt;0,Paths!$E$203&gt;(C2165-1)*12,Paths!$E$203&lt;=C2165*12)),Paths!$H$203,0),"n.a."))</f>
        <v>0</v>
      </c>
      <c r="K2165" s="16">
        <f>IF(NOT(Paths!$C$203=1),0,IF(Paths!$P$203="Complete",IF(IF(Paths!$O$203=0,C2165=0,AND(C2165&gt;0,Paths!$O$203&gt;(C2165-1)*12,Paths!$O$203&lt;=C2165*12)),Paths!$N$203,0),"n.a."))</f>
        <v>0</v>
      </c>
      <c r="L2165" s="16">
        <f>IF(NOT(Paths!$C$203=1),0,IF(Paths!$P$203="Complete",IF(C2165=10,Paths!$I$203,0),"n.a."))</f>
        <v>0</v>
      </c>
      <c r="M2165" s="16">
        <f>IF(NOT(Paths!$C$203=1),0,IF(Paths!$P$203="Complete",IF(AND(Paths!$D$203="EV",Paths!$E$203&lt;120,Paths!$E$203+'Operating costs'!$B$65&gt;Paths!$E$203,Paths!$E$203+'Operating costs'!$B$65&lt;=120,IF(Paths!$E$203+'Operating costs'!$B$65=0,C2165=0,AND(C2165&gt;0,Paths!$E$203+'Operating costs'!$B$65&gt;(C2165-1)*12,Paths!$E$203+'Operating costs'!$B$65&lt;=C2165*12))),'Operating costs'!$B$64,0)+IF(AND('Operating costs'!$B$67&gt;0,'Operating costs'!$B$67&lt;=120,OR(Paths!$D$203="ICE",'Operating costs'!$B$67&lt;=Paths!$E$203),IF('Operating costs'!$B$67=0,C2165=0,AND(C2165&gt;0,'Operating costs'!$B$67&gt;(C2165-1)*12,'Operating costs'!$B$67&lt;=C2165*12))),'Operating costs'!$B$66,0),"n.a."))</f>
        <v>0</v>
      </c>
      <c r="N2165" s="16">
        <f>IF(NOT(Paths!$C$203=1),0,IF(Paths!$P$203="Complete",SUM(G2165:I2165)-J2165-K2165-L2165+M2165+IF(C2165=0,Paths!$F$203,0)+IF(IF(Paths!$E$203=0,C2165=0,AND(C2165&gt;0,Paths!$E$203&gt;(C2165-1)*12,Paths!$E$203&lt;=C2165*12)),VLOOKUP(A2165,'Fleet register'!$A$7:$S$106,16,FALSE),0),"n.a."))</f>
        <v>0</v>
      </c>
      <c r="O2165" s="16">
        <f>IF(NOT(Paths!$C$203=1),0,IF(Paths!$P$203="Complete",N2165-IF(C2165=0,Paths!$F$203,0),"n.a."))</f>
        <v>0</v>
      </c>
      <c r="P2165" s="16">
        <f>IF(NOT(Paths!$C$203=1),0,IF(Paths!$P$203="Complete",O2165+L2165,"n.a."))</f>
        <v>0</v>
      </c>
      <c r="Q2165" s="16">
        <f>IF(NOT(Paths!$C$203=1),0,IF(Paths!$P$203="Complete",N2165*(1+'Operating costs'!$B$54)^-C2165,"n.a."))</f>
        <v>0</v>
      </c>
      <c r="R2165" s="16">
        <f>IF(NOT(Paths!$C$203=1),0,IF(Paths!$P$203="Complete",IF(AND(C2165=0,Paths!$E$203=0),I2165-J2165-K2165+VLOOKUP(A2165,'Fleet register'!$A$7:$S$106,15,FALSE)+VLOOKUP(A2165,'Fleet register'!$A$7:$S$106,16,FALSE),0),"n.a."))</f>
        <v>0</v>
      </c>
      <c r="S2165" s="1">
        <f>IF(NOT(Paths!$C$203=1),0,IF(Paths!$P$203="Complete",IF(C2165=0,0,Paths!$S$203*Paths!$R$203),"n.a."))</f>
        <v>0</v>
      </c>
      <c r="T2165" s="1">
        <f>IF(NOT(Paths!$C$203=1),0,IF(Paths!$P$203="Complete",IF(C2165=0,0,VLOOKUP(A2165,'Fleet register'!$A$7:$S$106,9,FALSE)*Paths!$R$203),"n.a."))</f>
        <v>0</v>
      </c>
    </row>
    <row r="2166" spans="1:20" ht="24" customHeight="1">
      <c r="A2166" s="1" t="str">
        <f>Paths!$A$203</f>
        <v>T050</v>
      </c>
      <c r="B2166" s="1">
        <f>Paths!$B$203</f>
        <v>0</v>
      </c>
      <c r="C2166" s="1">
        <v>3</v>
      </c>
      <c r="D2166" s="1">
        <v>203</v>
      </c>
      <c r="E2166" s="1">
        <f>IF(OR(Paths!$C$203=0,C2166=0),0,MAX(0,MIN(C2166*12,Paths!$E$203)-(C2166-1)*12))</f>
        <v>0</v>
      </c>
      <c r="F2166" s="1">
        <f>IF(OR(Paths!$C$203=0,C2166=0),0,12-E2166)</f>
        <v>0</v>
      </c>
      <c r="G2166" s="16">
        <f>IF(NOT(Paths!$C$203=1),0,IF(Paths!$P$203="Complete",E2166/12*(Paths!$J$203*(1+'Operating costs'!$B$51)^MAX(0,C2166-1)+Paths!$K$203*(1+'Operating costs'!$B$53)^MAX(0,C2166-1)),"n.a."))</f>
        <v>0</v>
      </c>
      <c r="H2166" s="16">
        <f>IF(NOT(Paths!$C$203=1),0,IF(Paths!$P$203="Complete",F2166/12*(Paths!$L$203*(1+IF(Paths!$D$203="EV",'Operating costs'!$B$52,'Operating costs'!$B$51))^MAX(0,C2166-1)+Paths!$M$203*(1+'Operating costs'!$B$53)^MAX(0,C2166-1)),"n.a."))</f>
        <v>0</v>
      </c>
      <c r="I2166" s="16">
        <f>IF(NOT(Paths!$C$203=1),0,IF(Paths!$P$203="Complete",IF(IF(Paths!$E$203=0,C2166=0,AND(C2166&gt;0,Paths!$E$203&gt;(C2166-1)*12,Paths!$E$203&lt;=C2166*12)),Paths!$G$203,0),"n.a."))</f>
        <v>0</v>
      </c>
      <c r="J2166" s="16">
        <f>IF(NOT(Paths!$C$203=1),0,IF(Paths!$P$203="Complete",IF(IF(Paths!$E$203=0,C2166=0,AND(C2166&gt;0,Paths!$E$203&gt;(C2166-1)*12,Paths!$E$203&lt;=C2166*12)),Paths!$H$203,0),"n.a."))</f>
        <v>0</v>
      </c>
      <c r="K2166" s="16">
        <f>IF(NOT(Paths!$C$203=1),0,IF(Paths!$P$203="Complete",IF(IF(Paths!$O$203=0,C2166=0,AND(C2166&gt;0,Paths!$O$203&gt;(C2166-1)*12,Paths!$O$203&lt;=C2166*12)),Paths!$N$203,0),"n.a."))</f>
        <v>0</v>
      </c>
      <c r="L2166" s="16">
        <f>IF(NOT(Paths!$C$203=1),0,IF(Paths!$P$203="Complete",IF(C2166=10,Paths!$I$203,0),"n.a."))</f>
        <v>0</v>
      </c>
      <c r="M2166" s="16">
        <f>IF(NOT(Paths!$C$203=1),0,IF(Paths!$P$203="Complete",IF(AND(Paths!$D$203="EV",Paths!$E$203&lt;120,Paths!$E$203+'Operating costs'!$B$65&gt;Paths!$E$203,Paths!$E$203+'Operating costs'!$B$65&lt;=120,IF(Paths!$E$203+'Operating costs'!$B$65=0,C2166=0,AND(C2166&gt;0,Paths!$E$203+'Operating costs'!$B$65&gt;(C2166-1)*12,Paths!$E$203+'Operating costs'!$B$65&lt;=C2166*12))),'Operating costs'!$B$64,0)+IF(AND('Operating costs'!$B$67&gt;0,'Operating costs'!$B$67&lt;=120,OR(Paths!$D$203="ICE",'Operating costs'!$B$67&lt;=Paths!$E$203),IF('Operating costs'!$B$67=0,C2166=0,AND(C2166&gt;0,'Operating costs'!$B$67&gt;(C2166-1)*12,'Operating costs'!$B$67&lt;=C2166*12))),'Operating costs'!$B$66,0),"n.a."))</f>
        <v>0</v>
      </c>
      <c r="N2166" s="16">
        <f>IF(NOT(Paths!$C$203=1),0,IF(Paths!$P$203="Complete",SUM(G2166:I2166)-J2166-K2166-L2166+M2166+IF(C2166=0,Paths!$F$203,0)+IF(IF(Paths!$E$203=0,C2166=0,AND(C2166&gt;0,Paths!$E$203&gt;(C2166-1)*12,Paths!$E$203&lt;=C2166*12)),VLOOKUP(A2166,'Fleet register'!$A$7:$S$106,16,FALSE),0),"n.a."))</f>
        <v>0</v>
      </c>
      <c r="O2166" s="16">
        <f>IF(NOT(Paths!$C$203=1),0,IF(Paths!$P$203="Complete",N2166-IF(C2166=0,Paths!$F$203,0),"n.a."))</f>
        <v>0</v>
      </c>
      <c r="P2166" s="16">
        <f>IF(NOT(Paths!$C$203=1),0,IF(Paths!$P$203="Complete",O2166+L2166,"n.a."))</f>
        <v>0</v>
      </c>
      <c r="Q2166" s="16">
        <f>IF(NOT(Paths!$C$203=1),0,IF(Paths!$P$203="Complete",N2166*(1+'Operating costs'!$B$54)^-C2166,"n.a."))</f>
        <v>0</v>
      </c>
      <c r="R2166" s="16">
        <f>IF(NOT(Paths!$C$203=1),0,IF(Paths!$P$203="Complete",IF(AND(C2166=0,Paths!$E$203=0),I2166-J2166-K2166+VLOOKUP(A2166,'Fleet register'!$A$7:$S$106,15,FALSE)+VLOOKUP(A2166,'Fleet register'!$A$7:$S$106,16,FALSE),0),"n.a."))</f>
        <v>0</v>
      </c>
      <c r="S2166" s="1">
        <f>IF(NOT(Paths!$C$203=1),0,IF(Paths!$P$203="Complete",IF(C2166=0,0,Paths!$S$203*Paths!$R$203),"n.a."))</f>
        <v>0</v>
      </c>
      <c r="T2166" s="1">
        <f>IF(NOT(Paths!$C$203=1),0,IF(Paths!$P$203="Complete",IF(C2166=0,0,VLOOKUP(A2166,'Fleet register'!$A$7:$S$106,9,FALSE)*Paths!$R$203),"n.a."))</f>
        <v>0</v>
      </c>
    </row>
    <row r="2167" spans="1:20" ht="24" customHeight="1">
      <c r="A2167" s="1" t="str">
        <f>Paths!$A$203</f>
        <v>T050</v>
      </c>
      <c r="B2167" s="1">
        <f>Paths!$B$203</f>
        <v>0</v>
      </c>
      <c r="C2167" s="1">
        <v>4</v>
      </c>
      <c r="D2167" s="1">
        <v>203</v>
      </c>
      <c r="E2167" s="1">
        <f>IF(OR(Paths!$C$203=0,C2167=0),0,MAX(0,MIN(C2167*12,Paths!$E$203)-(C2167-1)*12))</f>
        <v>0</v>
      </c>
      <c r="F2167" s="1">
        <f>IF(OR(Paths!$C$203=0,C2167=0),0,12-E2167)</f>
        <v>0</v>
      </c>
      <c r="G2167" s="16">
        <f>IF(NOT(Paths!$C$203=1),0,IF(Paths!$P$203="Complete",E2167/12*(Paths!$J$203*(1+'Operating costs'!$B$51)^MAX(0,C2167-1)+Paths!$K$203*(1+'Operating costs'!$B$53)^MAX(0,C2167-1)),"n.a."))</f>
        <v>0</v>
      </c>
      <c r="H2167" s="16">
        <f>IF(NOT(Paths!$C$203=1),0,IF(Paths!$P$203="Complete",F2167/12*(Paths!$L$203*(1+IF(Paths!$D$203="EV",'Operating costs'!$B$52,'Operating costs'!$B$51))^MAX(0,C2167-1)+Paths!$M$203*(1+'Operating costs'!$B$53)^MAX(0,C2167-1)),"n.a."))</f>
        <v>0</v>
      </c>
      <c r="I2167" s="16">
        <f>IF(NOT(Paths!$C$203=1),0,IF(Paths!$P$203="Complete",IF(IF(Paths!$E$203=0,C2167=0,AND(C2167&gt;0,Paths!$E$203&gt;(C2167-1)*12,Paths!$E$203&lt;=C2167*12)),Paths!$G$203,0),"n.a."))</f>
        <v>0</v>
      </c>
      <c r="J2167" s="16">
        <f>IF(NOT(Paths!$C$203=1),0,IF(Paths!$P$203="Complete",IF(IF(Paths!$E$203=0,C2167=0,AND(C2167&gt;0,Paths!$E$203&gt;(C2167-1)*12,Paths!$E$203&lt;=C2167*12)),Paths!$H$203,0),"n.a."))</f>
        <v>0</v>
      </c>
      <c r="K2167" s="16">
        <f>IF(NOT(Paths!$C$203=1),0,IF(Paths!$P$203="Complete",IF(IF(Paths!$O$203=0,C2167=0,AND(C2167&gt;0,Paths!$O$203&gt;(C2167-1)*12,Paths!$O$203&lt;=C2167*12)),Paths!$N$203,0),"n.a."))</f>
        <v>0</v>
      </c>
      <c r="L2167" s="16">
        <f>IF(NOT(Paths!$C$203=1),0,IF(Paths!$P$203="Complete",IF(C2167=10,Paths!$I$203,0),"n.a."))</f>
        <v>0</v>
      </c>
      <c r="M2167" s="16">
        <f>IF(NOT(Paths!$C$203=1),0,IF(Paths!$P$203="Complete",IF(AND(Paths!$D$203="EV",Paths!$E$203&lt;120,Paths!$E$203+'Operating costs'!$B$65&gt;Paths!$E$203,Paths!$E$203+'Operating costs'!$B$65&lt;=120,IF(Paths!$E$203+'Operating costs'!$B$65=0,C2167=0,AND(C2167&gt;0,Paths!$E$203+'Operating costs'!$B$65&gt;(C2167-1)*12,Paths!$E$203+'Operating costs'!$B$65&lt;=C2167*12))),'Operating costs'!$B$64,0)+IF(AND('Operating costs'!$B$67&gt;0,'Operating costs'!$B$67&lt;=120,OR(Paths!$D$203="ICE",'Operating costs'!$B$67&lt;=Paths!$E$203),IF('Operating costs'!$B$67=0,C2167=0,AND(C2167&gt;0,'Operating costs'!$B$67&gt;(C2167-1)*12,'Operating costs'!$B$67&lt;=C2167*12))),'Operating costs'!$B$66,0),"n.a."))</f>
        <v>0</v>
      </c>
      <c r="N2167" s="16">
        <f>IF(NOT(Paths!$C$203=1),0,IF(Paths!$P$203="Complete",SUM(G2167:I2167)-J2167-K2167-L2167+M2167+IF(C2167=0,Paths!$F$203,0)+IF(IF(Paths!$E$203=0,C2167=0,AND(C2167&gt;0,Paths!$E$203&gt;(C2167-1)*12,Paths!$E$203&lt;=C2167*12)),VLOOKUP(A2167,'Fleet register'!$A$7:$S$106,16,FALSE),0),"n.a."))</f>
        <v>0</v>
      </c>
      <c r="O2167" s="16">
        <f>IF(NOT(Paths!$C$203=1),0,IF(Paths!$P$203="Complete",N2167-IF(C2167=0,Paths!$F$203,0),"n.a."))</f>
        <v>0</v>
      </c>
      <c r="P2167" s="16">
        <f>IF(NOT(Paths!$C$203=1),0,IF(Paths!$P$203="Complete",O2167+L2167,"n.a."))</f>
        <v>0</v>
      </c>
      <c r="Q2167" s="16">
        <f>IF(NOT(Paths!$C$203=1),0,IF(Paths!$P$203="Complete",N2167*(1+'Operating costs'!$B$54)^-C2167,"n.a."))</f>
        <v>0</v>
      </c>
      <c r="R2167" s="16">
        <f>IF(NOT(Paths!$C$203=1),0,IF(Paths!$P$203="Complete",IF(AND(C2167=0,Paths!$E$203=0),I2167-J2167-K2167+VLOOKUP(A2167,'Fleet register'!$A$7:$S$106,15,FALSE)+VLOOKUP(A2167,'Fleet register'!$A$7:$S$106,16,FALSE),0),"n.a."))</f>
        <v>0</v>
      </c>
      <c r="S2167" s="1">
        <f>IF(NOT(Paths!$C$203=1),0,IF(Paths!$P$203="Complete",IF(C2167=0,0,Paths!$S$203*Paths!$R$203),"n.a."))</f>
        <v>0</v>
      </c>
      <c r="T2167" s="1">
        <f>IF(NOT(Paths!$C$203=1),0,IF(Paths!$P$203="Complete",IF(C2167=0,0,VLOOKUP(A2167,'Fleet register'!$A$7:$S$106,9,FALSE)*Paths!$R$203),"n.a."))</f>
        <v>0</v>
      </c>
    </row>
    <row r="2168" spans="1:20" ht="24" customHeight="1">
      <c r="A2168" s="1" t="str">
        <f>Paths!$A$203</f>
        <v>T050</v>
      </c>
      <c r="B2168" s="1">
        <f>Paths!$B$203</f>
        <v>0</v>
      </c>
      <c r="C2168" s="1">
        <v>5</v>
      </c>
      <c r="D2168" s="1">
        <v>203</v>
      </c>
      <c r="E2168" s="1">
        <f>IF(OR(Paths!$C$203=0,C2168=0),0,MAX(0,MIN(C2168*12,Paths!$E$203)-(C2168-1)*12))</f>
        <v>0</v>
      </c>
      <c r="F2168" s="1">
        <f>IF(OR(Paths!$C$203=0,C2168=0),0,12-E2168)</f>
        <v>0</v>
      </c>
      <c r="G2168" s="16">
        <f>IF(NOT(Paths!$C$203=1),0,IF(Paths!$P$203="Complete",E2168/12*(Paths!$J$203*(1+'Operating costs'!$B$51)^MAX(0,C2168-1)+Paths!$K$203*(1+'Operating costs'!$B$53)^MAX(0,C2168-1)),"n.a."))</f>
        <v>0</v>
      </c>
      <c r="H2168" s="16">
        <f>IF(NOT(Paths!$C$203=1),0,IF(Paths!$P$203="Complete",F2168/12*(Paths!$L$203*(1+IF(Paths!$D$203="EV",'Operating costs'!$B$52,'Operating costs'!$B$51))^MAX(0,C2168-1)+Paths!$M$203*(1+'Operating costs'!$B$53)^MAX(0,C2168-1)),"n.a."))</f>
        <v>0</v>
      </c>
      <c r="I2168" s="16">
        <f>IF(NOT(Paths!$C$203=1),0,IF(Paths!$P$203="Complete",IF(IF(Paths!$E$203=0,C2168=0,AND(C2168&gt;0,Paths!$E$203&gt;(C2168-1)*12,Paths!$E$203&lt;=C2168*12)),Paths!$G$203,0),"n.a."))</f>
        <v>0</v>
      </c>
      <c r="J2168" s="16">
        <f>IF(NOT(Paths!$C$203=1),0,IF(Paths!$P$203="Complete",IF(IF(Paths!$E$203=0,C2168=0,AND(C2168&gt;0,Paths!$E$203&gt;(C2168-1)*12,Paths!$E$203&lt;=C2168*12)),Paths!$H$203,0),"n.a."))</f>
        <v>0</v>
      </c>
      <c r="K2168" s="16">
        <f>IF(NOT(Paths!$C$203=1),0,IF(Paths!$P$203="Complete",IF(IF(Paths!$O$203=0,C2168=0,AND(C2168&gt;0,Paths!$O$203&gt;(C2168-1)*12,Paths!$O$203&lt;=C2168*12)),Paths!$N$203,0),"n.a."))</f>
        <v>0</v>
      </c>
      <c r="L2168" s="16">
        <f>IF(NOT(Paths!$C$203=1),0,IF(Paths!$P$203="Complete",IF(C2168=10,Paths!$I$203,0),"n.a."))</f>
        <v>0</v>
      </c>
      <c r="M2168" s="16">
        <f>IF(NOT(Paths!$C$203=1),0,IF(Paths!$P$203="Complete",IF(AND(Paths!$D$203="EV",Paths!$E$203&lt;120,Paths!$E$203+'Operating costs'!$B$65&gt;Paths!$E$203,Paths!$E$203+'Operating costs'!$B$65&lt;=120,IF(Paths!$E$203+'Operating costs'!$B$65=0,C2168=0,AND(C2168&gt;0,Paths!$E$203+'Operating costs'!$B$65&gt;(C2168-1)*12,Paths!$E$203+'Operating costs'!$B$65&lt;=C2168*12))),'Operating costs'!$B$64,0)+IF(AND('Operating costs'!$B$67&gt;0,'Operating costs'!$B$67&lt;=120,OR(Paths!$D$203="ICE",'Operating costs'!$B$67&lt;=Paths!$E$203),IF('Operating costs'!$B$67=0,C2168=0,AND(C2168&gt;0,'Operating costs'!$B$67&gt;(C2168-1)*12,'Operating costs'!$B$67&lt;=C2168*12))),'Operating costs'!$B$66,0),"n.a."))</f>
        <v>0</v>
      </c>
      <c r="N2168" s="16">
        <f>IF(NOT(Paths!$C$203=1),0,IF(Paths!$P$203="Complete",SUM(G2168:I2168)-J2168-K2168-L2168+M2168+IF(C2168=0,Paths!$F$203,0)+IF(IF(Paths!$E$203=0,C2168=0,AND(C2168&gt;0,Paths!$E$203&gt;(C2168-1)*12,Paths!$E$203&lt;=C2168*12)),VLOOKUP(A2168,'Fleet register'!$A$7:$S$106,16,FALSE),0),"n.a."))</f>
        <v>0</v>
      </c>
      <c r="O2168" s="16">
        <f>IF(NOT(Paths!$C$203=1),0,IF(Paths!$P$203="Complete",N2168-IF(C2168=0,Paths!$F$203,0),"n.a."))</f>
        <v>0</v>
      </c>
      <c r="P2168" s="16">
        <f>IF(NOT(Paths!$C$203=1),0,IF(Paths!$P$203="Complete",O2168+L2168,"n.a."))</f>
        <v>0</v>
      </c>
      <c r="Q2168" s="16">
        <f>IF(NOT(Paths!$C$203=1),0,IF(Paths!$P$203="Complete",N2168*(1+'Operating costs'!$B$54)^-C2168,"n.a."))</f>
        <v>0</v>
      </c>
      <c r="R2168" s="16">
        <f>IF(NOT(Paths!$C$203=1),0,IF(Paths!$P$203="Complete",IF(AND(C2168=0,Paths!$E$203=0),I2168-J2168-K2168+VLOOKUP(A2168,'Fleet register'!$A$7:$S$106,15,FALSE)+VLOOKUP(A2168,'Fleet register'!$A$7:$S$106,16,FALSE),0),"n.a."))</f>
        <v>0</v>
      </c>
      <c r="S2168" s="1">
        <f>IF(NOT(Paths!$C$203=1),0,IF(Paths!$P$203="Complete",IF(C2168=0,0,Paths!$S$203*Paths!$R$203),"n.a."))</f>
        <v>0</v>
      </c>
      <c r="T2168" s="1">
        <f>IF(NOT(Paths!$C$203=1),0,IF(Paths!$P$203="Complete",IF(C2168=0,0,VLOOKUP(A2168,'Fleet register'!$A$7:$S$106,9,FALSE)*Paths!$R$203),"n.a."))</f>
        <v>0</v>
      </c>
    </row>
    <row r="2169" spans="1:20" ht="24" customHeight="1">
      <c r="A2169" s="1" t="str">
        <f>Paths!$A$203</f>
        <v>T050</v>
      </c>
      <c r="B2169" s="1">
        <f>Paths!$B$203</f>
        <v>0</v>
      </c>
      <c r="C2169" s="1">
        <v>6</v>
      </c>
      <c r="D2169" s="1">
        <v>203</v>
      </c>
      <c r="E2169" s="1">
        <f>IF(OR(Paths!$C$203=0,C2169=0),0,MAX(0,MIN(C2169*12,Paths!$E$203)-(C2169-1)*12))</f>
        <v>0</v>
      </c>
      <c r="F2169" s="1">
        <f>IF(OR(Paths!$C$203=0,C2169=0),0,12-E2169)</f>
        <v>0</v>
      </c>
      <c r="G2169" s="16">
        <f>IF(NOT(Paths!$C$203=1),0,IF(Paths!$P$203="Complete",E2169/12*(Paths!$J$203*(1+'Operating costs'!$B$51)^MAX(0,C2169-1)+Paths!$K$203*(1+'Operating costs'!$B$53)^MAX(0,C2169-1)),"n.a."))</f>
        <v>0</v>
      </c>
      <c r="H2169" s="16">
        <f>IF(NOT(Paths!$C$203=1),0,IF(Paths!$P$203="Complete",F2169/12*(Paths!$L$203*(1+IF(Paths!$D$203="EV",'Operating costs'!$B$52,'Operating costs'!$B$51))^MAX(0,C2169-1)+Paths!$M$203*(1+'Operating costs'!$B$53)^MAX(0,C2169-1)),"n.a."))</f>
        <v>0</v>
      </c>
      <c r="I2169" s="16">
        <f>IF(NOT(Paths!$C$203=1),0,IF(Paths!$P$203="Complete",IF(IF(Paths!$E$203=0,C2169=0,AND(C2169&gt;0,Paths!$E$203&gt;(C2169-1)*12,Paths!$E$203&lt;=C2169*12)),Paths!$G$203,0),"n.a."))</f>
        <v>0</v>
      </c>
      <c r="J2169" s="16">
        <f>IF(NOT(Paths!$C$203=1),0,IF(Paths!$P$203="Complete",IF(IF(Paths!$E$203=0,C2169=0,AND(C2169&gt;0,Paths!$E$203&gt;(C2169-1)*12,Paths!$E$203&lt;=C2169*12)),Paths!$H$203,0),"n.a."))</f>
        <v>0</v>
      </c>
      <c r="K2169" s="16">
        <f>IF(NOT(Paths!$C$203=1),0,IF(Paths!$P$203="Complete",IF(IF(Paths!$O$203=0,C2169=0,AND(C2169&gt;0,Paths!$O$203&gt;(C2169-1)*12,Paths!$O$203&lt;=C2169*12)),Paths!$N$203,0),"n.a."))</f>
        <v>0</v>
      </c>
      <c r="L2169" s="16">
        <f>IF(NOT(Paths!$C$203=1),0,IF(Paths!$P$203="Complete",IF(C2169=10,Paths!$I$203,0),"n.a."))</f>
        <v>0</v>
      </c>
      <c r="M2169" s="16">
        <f>IF(NOT(Paths!$C$203=1),0,IF(Paths!$P$203="Complete",IF(AND(Paths!$D$203="EV",Paths!$E$203&lt;120,Paths!$E$203+'Operating costs'!$B$65&gt;Paths!$E$203,Paths!$E$203+'Operating costs'!$B$65&lt;=120,IF(Paths!$E$203+'Operating costs'!$B$65=0,C2169=0,AND(C2169&gt;0,Paths!$E$203+'Operating costs'!$B$65&gt;(C2169-1)*12,Paths!$E$203+'Operating costs'!$B$65&lt;=C2169*12))),'Operating costs'!$B$64,0)+IF(AND('Operating costs'!$B$67&gt;0,'Operating costs'!$B$67&lt;=120,OR(Paths!$D$203="ICE",'Operating costs'!$B$67&lt;=Paths!$E$203),IF('Operating costs'!$B$67=0,C2169=0,AND(C2169&gt;0,'Operating costs'!$B$67&gt;(C2169-1)*12,'Operating costs'!$B$67&lt;=C2169*12))),'Operating costs'!$B$66,0),"n.a."))</f>
        <v>0</v>
      </c>
      <c r="N2169" s="16">
        <f>IF(NOT(Paths!$C$203=1),0,IF(Paths!$P$203="Complete",SUM(G2169:I2169)-J2169-K2169-L2169+M2169+IF(C2169=0,Paths!$F$203,0)+IF(IF(Paths!$E$203=0,C2169=0,AND(C2169&gt;0,Paths!$E$203&gt;(C2169-1)*12,Paths!$E$203&lt;=C2169*12)),VLOOKUP(A2169,'Fleet register'!$A$7:$S$106,16,FALSE),0),"n.a."))</f>
        <v>0</v>
      </c>
      <c r="O2169" s="16">
        <f>IF(NOT(Paths!$C$203=1),0,IF(Paths!$P$203="Complete",N2169-IF(C2169=0,Paths!$F$203,0),"n.a."))</f>
        <v>0</v>
      </c>
      <c r="P2169" s="16">
        <f>IF(NOT(Paths!$C$203=1),0,IF(Paths!$P$203="Complete",O2169+L2169,"n.a."))</f>
        <v>0</v>
      </c>
      <c r="Q2169" s="16">
        <f>IF(NOT(Paths!$C$203=1),0,IF(Paths!$P$203="Complete",N2169*(1+'Operating costs'!$B$54)^-C2169,"n.a."))</f>
        <v>0</v>
      </c>
      <c r="R2169" s="16">
        <f>IF(NOT(Paths!$C$203=1),0,IF(Paths!$P$203="Complete",IF(AND(C2169=0,Paths!$E$203=0),I2169-J2169-K2169+VLOOKUP(A2169,'Fleet register'!$A$7:$S$106,15,FALSE)+VLOOKUP(A2169,'Fleet register'!$A$7:$S$106,16,FALSE),0),"n.a."))</f>
        <v>0</v>
      </c>
      <c r="S2169" s="1">
        <f>IF(NOT(Paths!$C$203=1),0,IF(Paths!$P$203="Complete",IF(C2169=0,0,Paths!$S$203*Paths!$R$203),"n.a."))</f>
        <v>0</v>
      </c>
      <c r="T2169" s="1">
        <f>IF(NOT(Paths!$C$203=1),0,IF(Paths!$P$203="Complete",IF(C2169=0,0,VLOOKUP(A2169,'Fleet register'!$A$7:$S$106,9,FALSE)*Paths!$R$203),"n.a."))</f>
        <v>0</v>
      </c>
    </row>
    <row r="2170" spans="1:20" ht="24" customHeight="1">
      <c r="A2170" s="1" t="str">
        <f>Paths!$A$203</f>
        <v>T050</v>
      </c>
      <c r="B2170" s="1">
        <f>Paths!$B$203</f>
        <v>0</v>
      </c>
      <c r="C2170" s="1">
        <v>7</v>
      </c>
      <c r="D2170" s="1">
        <v>203</v>
      </c>
      <c r="E2170" s="1">
        <f>IF(OR(Paths!$C$203=0,C2170=0),0,MAX(0,MIN(C2170*12,Paths!$E$203)-(C2170-1)*12))</f>
        <v>0</v>
      </c>
      <c r="F2170" s="1">
        <f>IF(OR(Paths!$C$203=0,C2170=0),0,12-E2170)</f>
        <v>0</v>
      </c>
      <c r="G2170" s="16">
        <f>IF(NOT(Paths!$C$203=1),0,IF(Paths!$P$203="Complete",E2170/12*(Paths!$J$203*(1+'Operating costs'!$B$51)^MAX(0,C2170-1)+Paths!$K$203*(1+'Operating costs'!$B$53)^MAX(0,C2170-1)),"n.a."))</f>
        <v>0</v>
      </c>
      <c r="H2170" s="16">
        <f>IF(NOT(Paths!$C$203=1),0,IF(Paths!$P$203="Complete",F2170/12*(Paths!$L$203*(1+IF(Paths!$D$203="EV",'Operating costs'!$B$52,'Operating costs'!$B$51))^MAX(0,C2170-1)+Paths!$M$203*(1+'Operating costs'!$B$53)^MAX(0,C2170-1)),"n.a."))</f>
        <v>0</v>
      </c>
      <c r="I2170" s="16">
        <f>IF(NOT(Paths!$C$203=1),0,IF(Paths!$P$203="Complete",IF(IF(Paths!$E$203=0,C2170=0,AND(C2170&gt;0,Paths!$E$203&gt;(C2170-1)*12,Paths!$E$203&lt;=C2170*12)),Paths!$G$203,0),"n.a."))</f>
        <v>0</v>
      </c>
      <c r="J2170" s="16">
        <f>IF(NOT(Paths!$C$203=1),0,IF(Paths!$P$203="Complete",IF(IF(Paths!$E$203=0,C2170=0,AND(C2170&gt;0,Paths!$E$203&gt;(C2170-1)*12,Paths!$E$203&lt;=C2170*12)),Paths!$H$203,0),"n.a."))</f>
        <v>0</v>
      </c>
      <c r="K2170" s="16">
        <f>IF(NOT(Paths!$C$203=1),0,IF(Paths!$P$203="Complete",IF(IF(Paths!$O$203=0,C2170=0,AND(C2170&gt;0,Paths!$O$203&gt;(C2170-1)*12,Paths!$O$203&lt;=C2170*12)),Paths!$N$203,0),"n.a."))</f>
        <v>0</v>
      </c>
      <c r="L2170" s="16">
        <f>IF(NOT(Paths!$C$203=1),0,IF(Paths!$P$203="Complete",IF(C2170=10,Paths!$I$203,0),"n.a."))</f>
        <v>0</v>
      </c>
      <c r="M2170" s="16">
        <f>IF(NOT(Paths!$C$203=1),0,IF(Paths!$P$203="Complete",IF(AND(Paths!$D$203="EV",Paths!$E$203&lt;120,Paths!$E$203+'Operating costs'!$B$65&gt;Paths!$E$203,Paths!$E$203+'Operating costs'!$B$65&lt;=120,IF(Paths!$E$203+'Operating costs'!$B$65=0,C2170=0,AND(C2170&gt;0,Paths!$E$203+'Operating costs'!$B$65&gt;(C2170-1)*12,Paths!$E$203+'Operating costs'!$B$65&lt;=C2170*12))),'Operating costs'!$B$64,0)+IF(AND('Operating costs'!$B$67&gt;0,'Operating costs'!$B$67&lt;=120,OR(Paths!$D$203="ICE",'Operating costs'!$B$67&lt;=Paths!$E$203),IF('Operating costs'!$B$67=0,C2170=0,AND(C2170&gt;0,'Operating costs'!$B$67&gt;(C2170-1)*12,'Operating costs'!$B$67&lt;=C2170*12))),'Operating costs'!$B$66,0),"n.a."))</f>
        <v>0</v>
      </c>
      <c r="N2170" s="16">
        <f>IF(NOT(Paths!$C$203=1),0,IF(Paths!$P$203="Complete",SUM(G2170:I2170)-J2170-K2170-L2170+M2170+IF(C2170=0,Paths!$F$203,0)+IF(IF(Paths!$E$203=0,C2170=0,AND(C2170&gt;0,Paths!$E$203&gt;(C2170-1)*12,Paths!$E$203&lt;=C2170*12)),VLOOKUP(A2170,'Fleet register'!$A$7:$S$106,16,FALSE),0),"n.a."))</f>
        <v>0</v>
      </c>
      <c r="O2170" s="16">
        <f>IF(NOT(Paths!$C$203=1),0,IF(Paths!$P$203="Complete",N2170-IF(C2170=0,Paths!$F$203,0),"n.a."))</f>
        <v>0</v>
      </c>
      <c r="P2170" s="16">
        <f>IF(NOT(Paths!$C$203=1),0,IF(Paths!$P$203="Complete",O2170+L2170,"n.a."))</f>
        <v>0</v>
      </c>
      <c r="Q2170" s="16">
        <f>IF(NOT(Paths!$C$203=1),0,IF(Paths!$P$203="Complete",N2170*(1+'Operating costs'!$B$54)^-C2170,"n.a."))</f>
        <v>0</v>
      </c>
      <c r="R2170" s="16">
        <f>IF(NOT(Paths!$C$203=1),0,IF(Paths!$P$203="Complete",IF(AND(C2170=0,Paths!$E$203=0),I2170-J2170-K2170+VLOOKUP(A2170,'Fleet register'!$A$7:$S$106,15,FALSE)+VLOOKUP(A2170,'Fleet register'!$A$7:$S$106,16,FALSE),0),"n.a."))</f>
        <v>0</v>
      </c>
      <c r="S2170" s="1">
        <f>IF(NOT(Paths!$C$203=1),0,IF(Paths!$P$203="Complete",IF(C2170=0,0,Paths!$S$203*Paths!$R$203),"n.a."))</f>
        <v>0</v>
      </c>
      <c r="T2170" s="1">
        <f>IF(NOT(Paths!$C$203=1),0,IF(Paths!$P$203="Complete",IF(C2170=0,0,VLOOKUP(A2170,'Fleet register'!$A$7:$S$106,9,FALSE)*Paths!$R$203),"n.a."))</f>
        <v>0</v>
      </c>
    </row>
    <row r="2171" spans="1:20" ht="24" customHeight="1">
      <c r="A2171" s="1" t="str">
        <f>Paths!$A$203</f>
        <v>T050</v>
      </c>
      <c r="B2171" s="1">
        <f>Paths!$B$203</f>
        <v>0</v>
      </c>
      <c r="C2171" s="1">
        <v>8</v>
      </c>
      <c r="D2171" s="1">
        <v>203</v>
      </c>
      <c r="E2171" s="1">
        <f>IF(OR(Paths!$C$203=0,C2171=0),0,MAX(0,MIN(C2171*12,Paths!$E$203)-(C2171-1)*12))</f>
        <v>0</v>
      </c>
      <c r="F2171" s="1">
        <f>IF(OR(Paths!$C$203=0,C2171=0),0,12-E2171)</f>
        <v>0</v>
      </c>
      <c r="G2171" s="16">
        <f>IF(NOT(Paths!$C$203=1),0,IF(Paths!$P$203="Complete",E2171/12*(Paths!$J$203*(1+'Operating costs'!$B$51)^MAX(0,C2171-1)+Paths!$K$203*(1+'Operating costs'!$B$53)^MAX(0,C2171-1)),"n.a."))</f>
        <v>0</v>
      </c>
      <c r="H2171" s="16">
        <f>IF(NOT(Paths!$C$203=1),0,IF(Paths!$P$203="Complete",F2171/12*(Paths!$L$203*(1+IF(Paths!$D$203="EV",'Operating costs'!$B$52,'Operating costs'!$B$51))^MAX(0,C2171-1)+Paths!$M$203*(1+'Operating costs'!$B$53)^MAX(0,C2171-1)),"n.a."))</f>
        <v>0</v>
      </c>
      <c r="I2171" s="16">
        <f>IF(NOT(Paths!$C$203=1),0,IF(Paths!$P$203="Complete",IF(IF(Paths!$E$203=0,C2171=0,AND(C2171&gt;0,Paths!$E$203&gt;(C2171-1)*12,Paths!$E$203&lt;=C2171*12)),Paths!$G$203,0),"n.a."))</f>
        <v>0</v>
      </c>
      <c r="J2171" s="16">
        <f>IF(NOT(Paths!$C$203=1),0,IF(Paths!$P$203="Complete",IF(IF(Paths!$E$203=0,C2171=0,AND(C2171&gt;0,Paths!$E$203&gt;(C2171-1)*12,Paths!$E$203&lt;=C2171*12)),Paths!$H$203,0),"n.a."))</f>
        <v>0</v>
      </c>
      <c r="K2171" s="16">
        <f>IF(NOT(Paths!$C$203=1),0,IF(Paths!$P$203="Complete",IF(IF(Paths!$O$203=0,C2171=0,AND(C2171&gt;0,Paths!$O$203&gt;(C2171-1)*12,Paths!$O$203&lt;=C2171*12)),Paths!$N$203,0),"n.a."))</f>
        <v>0</v>
      </c>
      <c r="L2171" s="16">
        <f>IF(NOT(Paths!$C$203=1),0,IF(Paths!$P$203="Complete",IF(C2171=10,Paths!$I$203,0),"n.a."))</f>
        <v>0</v>
      </c>
      <c r="M2171" s="16">
        <f>IF(NOT(Paths!$C$203=1),0,IF(Paths!$P$203="Complete",IF(AND(Paths!$D$203="EV",Paths!$E$203&lt;120,Paths!$E$203+'Operating costs'!$B$65&gt;Paths!$E$203,Paths!$E$203+'Operating costs'!$B$65&lt;=120,IF(Paths!$E$203+'Operating costs'!$B$65=0,C2171=0,AND(C2171&gt;0,Paths!$E$203+'Operating costs'!$B$65&gt;(C2171-1)*12,Paths!$E$203+'Operating costs'!$B$65&lt;=C2171*12))),'Operating costs'!$B$64,0)+IF(AND('Operating costs'!$B$67&gt;0,'Operating costs'!$B$67&lt;=120,OR(Paths!$D$203="ICE",'Operating costs'!$B$67&lt;=Paths!$E$203),IF('Operating costs'!$B$67=0,C2171=0,AND(C2171&gt;0,'Operating costs'!$B$67&gt;(C2171-1)*12,'Operating costs'!$B$67&lt;=C2171*12))),'Operating costs'!$B$66,0),"n.a."))</f>
        <v>0</v>
      </c>
      <c r="N2171" s="16">
        <f>IF(NOT(Paths!$C$203=1),0,IF(Paths!$P$203="Complete",SUM(G2171:I2171)-J2171-K2171-L2171+M2171+IF(C2171=0,Paths!$F$203,0)+IF(IF(Paths!$E$203=0,C2171=0,AND(C2171&gt;0,Paths!$E$203&gt;(C2171-1)*12,Paths!$E$203&lt;=C2171*12)),VLOOKUP(A2171,'Fleet register'!$A$7:$S$106,16,FALSE),0),"n.a."))</f>
        <v>0</v>
      </c>
      <c r="O2171" s="16">
        <f>IF(NOT(Paths!$C$203=1),0,IF(Paths!$P$203="Complete",N2171-IF(C2171=0,Paths!$F$203,0),"n.a."))</f>
        <v>0</v>
      </c>
      <c r="P2171" s="16">
        <f>IF(NOT(Paths!$C$203=1),0,IF(Paths!$P$203="Complete",O2171+L2171,"n.a."))</f>
        <v>0</v>
      </c>
      <c r="Q2171" s="16">
        <f>IF(NOT(Paths!$C$203=1),0,IF(Paths!$P$203="Complete",N2171*(1+'Operating costs'!$B$54)^-C2171,"n.a."))</f>
        <v>0</v>
      </c>
      <c r="R2171" s="16">
        <f>IF(NOT(Paths!$C$203=1),0,IF(Paths!$P$203="Complete",IF(AND(C2171=0,Paths!$E$203=0),I2171-J2171-K2171+VLOOKUP(A2171,'Fleet register'!$A$7:$S$106,15,FALSE)+VLOOKUP(A2171,'Fleet register'!$A$7:$S$106,16,FALSE),0),"n.a."))</f>
        <v>0</v>
      </c>
      <c r="S2171" s="1">
        <f>IF(NOT(Paths!$C$203=1),0,IF(Paths!$P$203="Complete",IF(C2171=0,0,Paths!$S$203*Paths!$R$203),"n.a."))</f>
        <v>0</v>
      </c>
      <c r="T2171" s="1">
        <f>IF(NOT(Paths!$C$203=1),0,IF(Paths!$P$203="Complete",IF(C2171=0,0,VLOOKUP(A2171,'Fleet register'!$A$7:$S$106,9,FALSE)*Paths!$R$203),"n.a."))</f>
        <v>0</v>
      </c>
    </row>
    <row r="2172" spans="1:20" ht="24" customHeight="1">
      <c r="A2172" s="1" t="str">
        <f>Paths!$A$203</f>
        <v>T050</v>
      </c>
      <c r="B2172" s="1">
        <f>Paths!$B$203</f>
        <v>0</v>
      </c>
      <c r="C2172" s="1">
        <v>9</v>
      </c>
      <c r="D2172" s="1">
        <v>203</v>
      </c>
      <c r="E2172" s="1">
        <f>IF(OR(Paths!$C$203=0,C2172=0),0,MAX(0,MIN(C2172*12,Paths!$E$203)-(C2172-1)*12))</f>
        <v>0</v>
      </c>
      <c r="F2172" s="1">
        <f>IF(OR(Paths!$C$203=0,C2172=0),0,12-E2172)</f>
        <v>0</v>
      </c>
      <c r="G2172" s="16">
        <f>IF(NOT(Paths!$C$203=1),0,IF(Paths!$P$203="Complete",E2172/12*(Paths!$J$203*(1+'Operating costs'!$B$51)^MAX(0,C2172-1)+Paths!$K$203*(1+'Operating costs'!$B$53)^MAX(0,C2172-1)),"n.a."))</f>
        <v>0</v>
      </c>
      <c r="H2172" s="16">
        <f>IF(NOT(Paths!$C$203=1),0,IF(Paths!$P$203="Complete",F2172/12*(Paths!$L$203*(1+IF(Paths!$D$203="EV",'Operating costs'!$B$52,'Operating costs'!$B$51))^MAX(0,C2172-1)+Paths!$M$203*(1+'Operating costs'!$B$53)^MAX(0,C2172-1)),"n.a."))</f>
        <v>0</v>
      </c>
      <c r="I2172" s="16">
        <f>IF(NOT(Paths!$C$203=1),0,IF(Paths!$P$203="Complete",IF(IF(Paths!$E$203=0,C2172=0,AND(C2172&gt;0,Paths!$E$203&gt;(C2172-1)*12,Paths!$E$203&lt;=C2172*12)),Paths!$G$203,0),"n.a."))</f>
        <v>0</v>
      </c>
      <c r="J2172" s="16">
        <f>IF(NOT(Paths!$C$203=1),0,IF(Paths!$P$203="Complete",IF(IF(Paths!$E$203=0,C2172=0,AND(C2172&gt;0,Paths!$E$203&gt;(C2172-1)*12,Paths!$E$203&lt;=C2172*12)),Paths!$H$203,0),"n.a."))</f>
        <v>0</v>
      </c>
      <c r="K2172" s="16">
        <f>IF(NOT(Paths!$C$203=1),0,IF(Paths!$P$203="Complete",IF(IF(Paths!$O$203=0,C2172=0,AND(C2172&gt;0,Paths!$O$203&gt;(C2172-1)*12,Paths!$O$203&lt;=C2172*12)),Paths!$N$203,0),"n.a."))</f>
        <v>0</v>
      </c>
      <c r="L2172" s="16">
        <f>IF(NOT(Paths!$C$203=1),0,IF(Paths!$P$203="Complete",IF(C2172=10,Paths!$I$203,0),"n.a."))</f>
        <v>0</v>
      </c>
      <c r="M2172" s="16">
        <f>IF(NOT(Paths!$C$203=1),0,IF(Paths!$P$203="Complete",IF(AND(Paths!$D$203="EV",Paths!$E$203&lt;120,Paths!$E$203+'Operating costs'!$B$65&gt;Paths!$E$203,Paths!$E$203+'Operating costs'!$B$65&lt;=120,IF(Paths!$E$203+'Operating costs'!$B$65=0,C2172=0,AND(C2172&gt;0,Paths!$E$203+'Operating costs'!$B$65&gt;(C2172-1)*12,Paths!$E$203+'Operating costs'!$B$65&lt;=C2172*12))),'Operating costs'!$B$64,0)+IF(AND('Operating costs'!$B$67&gt;0,'Operating costs'!$B$67&lt;=120,OR(Paths!$D$203="ICE",'Operating costs'!$B$67&lt;=Paths!$E$203),IF('Operating costs'!$B$67=0,C2172=0,AND(C2172&gt;0,'Operating costs'!$B$67&gt;(C2172-1)*12,'Operating costs'!$B$67&lt;=C2172*12))),'Operating costs'!$B$66,0),"n.a."))</f>
        <v>0</v>
      </c>
      <c r="N2172" s="16">
        <f>IF(NOT(Paths!$C$203=1),0,IF(Paths!$P$203="Complete",SUM(G2172:I2172)-J2172-K2172-L2172+M2172+IF(C2172=0,Paths!$F$203,0)+IF(IF(Paths!$E$203=0,C2172=0,AND(C2172&gt;0,Paths!$E$203&gt;(C2172-1)*12,Paths!$E$203&lt;=C2172*12)),VLOOKUP(A2172,'Fleet register'!$A$7:$S$106,16,FALSE),0),"n.a."))</f>
        <v>0</v>
      </c>
      <c r="O2172" s="16">
        <f>IF(NOT(Paths!$C$203=1),0,IF(Paths!$P$203="Complete",N2172-IF(C2172=0,Paths!$F$203,0),"n.a."))</f>
        <v>0</v>
      </c>
      <c r="P2172" s="16">
        <f>IF(NOT(Paths!$C$203=1),0,IF(Paths!$P$203="Complete",O2172+L2172,"n.a."))</f>
        <v>0</v>
      </c>
      <c r="Q2172" s="16">
        <f>IF(NOT(Paths!$C$203=1),0,IF(Paths!$P$203="Complete",N2172*(1+'Operating costs'!$B$54)^-C2172,"n.a."))</f>
        <v>0</v>
      </c>
      <c r="R2172" s="16">
        <f>IF(NOT(Paths!$C$203=1),0,IF(Paths!$P$203="Complete",IF(AND(C2172=0,Paths!$E$203=0),I2172-J2172-K2172+VLOOKUP(A2172,'Fleet register'!$A$7:$S$106,15,FALSE)+VLOOKUP(A2172,'Fleet register'!$A$7:$S$106,16,FALSE),0),"n.a."))</f>
        <v>0</v>
      </c>
      <c r="S2172" s="1">
        <f>IF(NOT(Paths!$C$203=1),0,IF(Paths!$P$203="Complete",IF(C2172=0,0,Paths!$S$203*Paths!$R$203),"n.a."))</f>
        <v>0</v>
      </c>
      <c r="T2172" s="1">
        <f>IF(NOT(Paths!$C$203=1),0,IF(Paths!$P$203="Complete",IF(C2172=0,0,VLOOKUP(A2172,'Fleet register'!$A$7:$S$106,9,FALSE)*Paths!$R$203),"n.a."))</f>
        <v>0</v>
      </c>
    </row>
    <row r="2173" spans="1:20" ht="24" customHeight="1">
      <c r="A2173" s="1" t="str">
        <f>Paths!$A$203</f>
        <v>T050</v>
      </c>
      <c r="B2173" s="1">
        <f>Paths!$B$203</f>
        <v>0</v>
      </c>
      <c r="C2173" s="1">
        <v>10</v>
      </c>
      <c r="D2173" s="1">
        <v>203</v>
      </c>
      <c r="E2173" s="1">
        <f>IF(OR(Paths!$C$203=0,C2173=0),0,MAX(0,MIN(C2173*12,Paths!$E$203)-(C2173-1)*12))</f>
        <v>0</v>
      </c>
      <c r="F2173" s="1">
        <f>IF(OR(Paths!$C$203=0,C2173=0),0,12-E2173)</f>
        <v>0</v>
      </c>
      <c r="G2173" s="16">
        <f>IF(NOT(Paths!$C$203=1),0,IF(Paths!$P$203="Complete",E2173/12*(Paths!$J$203*(1+'Operating costs'!$B$51)^MAX(0,C2173-1)+Paths!$K$203*(1+'Operating costs'!$B$53)^MAX(0,C2173-1)),"n.a."))</f>
        <v>0</v>
      </c>
      <c r="H2173" s="16">
        <f>IF(NOT(Paths!$C$203=1),0,IF(Paths!$P$203="Complete",F2173/12*(Paths!$L$203*(1+IF(Paths!$D$203="EV",'Operating costs'!$B$52,'Operating costs'!$B$51))^MAX(0,C2173-1)+Paths!$M$203*(1+'Operating costs'!$B$53)^MAX(0,C2173-1)),"n.a."))</f>
        <v>0</v>
      </c>
      <c r="I2173" s="16">
        <f>IF(NOT(Paths!$C$203=1),0,IF(Paths!$P$203="Complete",IF(IF(Paths!$E$203=0,C2173=0,AND(C2173&gt;0,Paths!$E$203&gt;(C2173-1)*12,Paths!$E$203&lt;=C2173*12)),Paths!$G$203,0),"n.a."))</f>
        <v>0</v>
      </c>
      <c r="J2173" s="16">
        <f>IF(NOT(Paths!$C$203=1),0,IF(Paths!$P$203="Complete",IF(IF(Paths!$E$203=0,C2173=0,AND(C2173&gt;0,Paths!$E$203&gt;(C2173-1)*12,Paths!$E$203&lt;=C2173*12)),Paths!$H$203,0),"n.a."))</f>
        <v>0</v>
      </c>
      <c r="K2173" s="16">
        <f>IF(NOT(Paths!$C$203=1),0,IF(Paths!$P$203="Complete",IF(IF(Paths!$O$203=0,C2173=0,AND(C2173&gt;0,Paths!$O$203&gt;(C2173-1)*12,Paths!$O$203&lt;=C2173*12)),Paths!$N$203,0),"n.a."))</f>
        <v>0</v>
      </c>
      <c r="L2173" s="16">
        <f>IF(NOT(Paths!$C$203=1),0,IF(Paths!$P$203="Complete",IF(C2173=10,Paths!$I$203,0),"n.a."))</f>
        <v>0</v>
      </c>
      <c r="M2173" s="16">
        <f>IF(NOT(Paths!$C$203=1),0,IF(Paths!$P$203="Complete",IF(AND(Paths!$D$203="EV",Paths!$E$203&lt;120,Paths!$E$203+'Operating costs'!$B$65&gt;Paths!$E$203,Paths!$E$203+'Operating costs'!$B$65&lt;=120,IF(Paths!$E$203+'Operating costs'!$B$65=0,C2173=0,AND(C2173&gt;0,Paths!$E$203+'Operating costs'!$B$65&gt;(C2173-1)*12,Paths!$E$203+'Operating costs'!$B$65&lt;=C2173*12))),'Operating costs'!$B$64,0)+IF(AND('Operating costs'!$B$67&gt;0,'Operating costs'!$B$67&lt;=120,OR(Paths!$D$203="ICE",'Operating costs'!$B$67&lt;=Paths!$E$203),IF('Operating costs'!$B$67=0,C2173=0,AND(C2173&gt;0,'Operating costs'!$B$67&gt;(C2173-1)*12,'Operating costs'!$B$67&lt;=C2173*12))),'Operating costs'!$B$66,0),"n.a."))</f>
        <v>0</v>
      </c>
      <c r="N2173" s="16">
        <f>IF(NOT(Paths!$C$203=1),0,IF(Paths!$P$203="Complete",SUM(G2173:I2173)-J2173-K2173-L2173+M2173+IF(C2173=0,Paths!$F$203,0)+IF(IF(Paths!$E$203=0,C2173=0,AND(C2173&gt;0,Paths!$E$203&gt;(C2173-1)*12,Paths!$E$203&lt;=C2173*12)),VLOOKUP(A2173,'Fleet register'!$A$7:$S$106,16,FALSE),0),"n.a."))</f>
        <v>0</v>
      </c>
      <c r="O2173" s="16">
        <f>IF(NOT(Paths!$C$203=1),0,IF(Paths!$P$203="Complete",N2173-IF(C2173=0,Paths!$F$203,0),"n.a."))</f>
        <v>0</v>
      </c>
      <c r="P2173" s="16">
        <f>IF(NOT(Paths!$C$203=1),0,IF(Paths!$P$203="Complete",O2173+L2173,"n.a."))</f>
        <v>0</v>
      </c>
      <c r="Q2173" s="16">
        <f>IF(NOT(Paths!$C$203=1),0,IF(Paths!$P$203="Complete",N2173*(1+'Operating costs'!$B$54)^-C2173,"n.a."))</f>
        <v>0</v>
      </c>
      <c r="R2173" s="16">
        <f>IF(NOT(Paths!$C$203=1),0,IF(Paths!$P$203="Complete",IF(AND(C2173=0,Paths!$E$203=0),I2173-J2173-K2173+VLOOKUP(A2173,'Fleet register'!$A$7:$S$106,15,FALSE)+VLOOKUP(A2173,'Fleet register'!$A$7:$S$106,16,FALSE),0),"n.a."))</f>
        <v>0</v>
      </c>
      <c r="S2173" s="1">
        <f>IF(NOT(Paths!$C$203=1),0,IF(Paths!$P$203="Complete",IF(C2173=0,0,Paths!$S$203*Paths!$R$203),"n.a."))</f>
        <v>0</v>
      </c>
      <c r="T2173" s="1">
        <f>IF(NOT(Paths!$C$203=1),0,IF(Paths!$P$203="Complete",IF(C2173=0,0,VLOOKUP(A2173,'Fleet register'!$A$7:$S$106,9,FALSE)*Paths!$R$203),"n.a."))</f>
        <v>0</v>
      </c>
    </row>
    <row r="2174" spans="1:20" ht="24" customHeight="1">
      <c r="A2174" s="1" t="str">
        <f>Paths!$A$204</f>
        <v>T050</v>
      </c>
      <c r="B2174" s="1">
        <f>Paths!$B$204</f>
        <v>1</v>
      </c>
      <c r="C2174" s="1">
        <v>0</v>
      </c>
      <c r="D2174" s="1">
        <v>204</v>
      </c>
      <c r="E2174" s="1">
        <f>IF(OR(Paths!$C$204=0,C2174=0),0,MAX(0,MIN(C2174*12,Paths!$E$204)-(C2174-1)*12))</f>
        <v>0</v>
      </c>
      <c r="F2174" s="1">
        <f>IF(OR(Paths!$C$204=0,C2174=0),0,12-E2174)</f>
        <v>0</v>
      </c>
      <c r="G2174" s="16">
        <f>IF(NOT(Paths!$C$204=1),0,IF(Paths!$P$204="Complete",E2174/12*(Paths!$J$204*(1+'Operating costs'!$B$51)^MAX(0,C2174-1)+Paths!$K$204*(1+'Operating costs'!$B$53)^MAX(0,C2174-1)),"n.a."))</f>
        <v>0</v>
      </c>
      <c r="H2174" s="16">
        <f>IF(NOT(Paths!$C$204=1),0,IF(Paths!$P$204="Complete",F2174/12*(Paths!$L$204*(1+IF(Paths!$D$204="EV",'Operating costs'!$B$52,'Operating costs'!$B$51))^MAX(0,C2174-1)+Paths!$M$204*(1+'Operating costs'!$B$53)^MAX(0,C2174-1)),"n.a."))</f>
        <v>0</v>
      </c>
      <c r="I2174" s="16">
        <f>IF(NOT(Paths!$C$204=1),0,IF(Paths!$P$204="Complete",IF(IF(Paths!$E$204=0,C2174=0,AND(C2174&gt;0,Paths!$E$204&gt;(C2174-1)*12,Paths!$E$204&lt;=C2174*12)),Paths!$G$204,0),"n.a."))</f>
        <v>0</v>
      </c>
      <c r="J2174" s="16">
        <f>IF(NOT(Paths!$C$204=1),0,IF(Paths!$P$204="Complete",IF(IF(Paths!$E$204=0,C2174=0,AND(C2174&gt;0,Paths!$E$204&gt;(C2174-1)*12,Paths!$E$204&lt;=C2174*12)),Paths!$H$204,0),"n.a."))</f>
        <v>0</v>
      </c>
      <c r="K2174" s="16">
        <f>IF(NOT(Paths!$C$204=1),0,IF(Paths!$P$204="Complete",IF(IF(Paths!$O$204=0,C2174=0,AND(C2174&gt;0,Paths!$O$204&gt;(C2174-1)*12,Paths!$O$204&lt;=C2174*12)),Paths!$N$204,0),"n.a."))</f>
        <v>0</v>
      </c>
      <c r="L2174" s="16">
        <f>IF(NOT(Paths!$C$204=1),0,IF(Paths!$P$204="Complete",IF(C2174=10,Paths!$I$204,0),"n.a."))</f>
        <v>0</v>
      </c>
      <c r="M2174" s="16">
        <f>IF(NOT(Paths!$C$204=1),0,IF(Paths!$P$204="Complete",IF(AND(Paths!$D$204="EV",Paths!$E$204&lt;120,Paths!$E$204+'Operating costs'!$B$65&gt;Paths!$E$204,Paths!$E$204+'Operating costs'!$B$65&lt;=120,IF(Paths!$E$204+'Operating costs'!$B$65=0,C2174=0,AND(C2174&gt;0,Paths!$E$204+'Operating costs'!$B$65&gt;(C2174-1)*12,Paths!$E$204+'Operating costs'!$B$65&lt;=C2174*12))),'Operating costs'!$B$64,0)+IF(AND('Operating costs'!$B$67&gt;0,'Operating costs'!$B$67&lt;=120,OR(Paths!$D$204="ICE",'Operating costs'!$B$67&lt;=Paths!$E$204),IF('Operating costs'!$B$67=0,C2174=0,AND(C2174&gt;0,'Operating costs'!$B$67&gt;(C2174-1)*12,'Operating costs'!$B$67&lt;=C2174*12))),'Operating costs'!$B$66,0),"n.a."))</f>
        <v>0</v>
      </c>
      <c r="N2174" s="16">
        <f>IF(NOT(Paths!$C$204=1),0,IF(Paths!$P$204="Complete",SUM(G2174:I2174)-J2174-K2174-L2174+M2174+IF(C2174=0,Paths!$F$204,0)+IF(IF(Paths!$E$204=0,C2174=0,AND(C2174&gt;0,Paths!$E$204&gt;(C2174-1)*12,Paths!$E$204&lt;=C2174*12)),VLOOKUP(A2174,'Fleet register'!$A$7:$S$106,16,FALSE),0),"n.a."))</f>
        <v>0</v>
      </c>
      <c r="O2174" s="16">
        <f>IF(NOT(Paths!$C$204=1),0,IF(Paths!$P$204="Complete",N2174-IF(C2174=0,Paths!$F$204,0),"n.a."))</f>
        <v>0</v>
      </c>
      <c r="P2174" s="16">
        <f>IF(NOT(Paths!$C$204=1),0,IF(Paths!$P$204="Complete",O2174+L2174,"n.a."))</f>
        <v>0</v>
      </c>
      <c r="Q2174" s="16">
        <f>IF(NOT(Paths!$C$204=1),0,IF(Paths!$P$204="Complete",N2174*(1+'Operating costs'!$B$54)^-C2174,"n.a."))</f>
        <v>0</v>
      </c>
      <c r="R2174" s="16">
        <f>IF(NOT(Paths!$C$204=1),0,IF(Paths!$P$204="Complete",IF(AND(C2174=0,Paths!$E$204=0),I2174-J2174-K2174+VLOOKUP(A2174,'Fleet register'!$A$7:$S$106,15,FALSE)+VLOOKUP(A2174,'Fleet register'!$A$7:$S$106,16,FALSE),0),"n.a."))</f>
        <v>0</v>
      </c>
      <c r="S2174" s="1">
        <f>IF(NOT(Paths!$C$204=1),0,IF(Paths!$P$204="Complete",IF(C2174=0,0,Paths!$S$204*Paths!$R$204),"n.a."))</f>
        <v>0</v>
      </c>
      <c r="T2174" s="1">
        <f>IF(NOT(Paths!$C$204=1),0,IF(Paths!$P$204="Complete",IF(C2174=0,0,VLOOKUP(A2174,'Fleet register'!$A$7:$S$106,9,FALSE)*Paths!$R$204),"n.a."))</f>
        <v>0</v>
      </c>
    </row>
    <row r="2175" spans="1:20" ht="24" customHeight="1">
      <c r="A2175" s="1" t="str">
        <f>Paths!$A$204</f>
        <v>T050</v>
      </c>
      <c r="B2175" s="1">
        <f>Paths!$B$204</f>
        <v>1</v>
      </c>
      <c r="C2175" s="1">
        <v>1</v>
      </c>
      <c r="D2175" s="1">
        <v>204</v>
      </c>
      <c r="E2175" s="1">
        <f>IF(OR(Paths!$C$204=0,C2175=0),0,MAX(0,MIN(C2175*12,Paths!$E$204)-(C2175-1)*12))</f>
        <v>0</v>
      </c>
      <c r="F2175" s="1">
        <f>IF(OR(Paths!$C$204=0,C2175=0),0,12-E2175)</f>
        <v>0</v>
      </c>
      <c r="G2175" s="16">
        <f>IF(NOT(Paths!$C$204=1),0,IF(Paths!$P$204="Complete",E2175/12*(Paths!$J$204*(1+'Operating costs'!$B$51)^MAX(0,C2175-1)+Paths!$K$204*(1+'Operating costs'!$B$53)^MAX(0,C2175-1)),"n.a."))</f>
        <v>0</v>
      </c>
      <c r="H2175" s="16">
        <f>IF(NOT(Paths!$C$204=1),0,IF(Paths!$P$204="Complete",F2175/12*(Paths!$L$204*(1+IF(Paths!$D$204="EV",'Operating costs'!$B$52,'Operating costs'!$B$51))^MAX(0,C2175-1)+Paths!$M$204*(1+'Operating costs'!$B$53)^MAX(0,C2175-1)),"n.a."))</f>
        <v>0</v>
      </c>
      <c r="I2175" s="16">
        <f>IF(NOT(Paths!$C$204=1),0,IF(Paths!$P$204="Complete",IF(IF(Paths!$E$204=0,C2175=0,AND(C2175&gt;0,Paths!$E$204&gt;(C2175-1)*12,Paths!$E$204&lt;=C2175*12)),Paths!$G$204,0),"n.a."))</f>
        <v>0</v>
      </c>
      <c r="J2175" s="16">
        <f>IF(NOT(Paths!$C$204=1),0,IF(Paths!$P$204="Complete",IF(IF(Paths!$E$204=0,C2175=0,AND(C2175&gt;0,Paths!$E$204&gt;(C2175-1)*12,Paths!$E$204&lt;=C2175*12)),Paths!$H$204,0),"n.a."))</f>
        <v>0</v>
      </c>
      <c r="K2175" s="16">
        <f>IF(NOT(Paths!$C$204=1),0,IF(Paths!$P$204="Complete",IF(IF(Paths!$O$204=0,C2175=0,AND(C2175&gt;0,Paths!$O$204&gt;(C2175-1)*12,Paths!$O$204&lt;=C2175*12)),Paths!$N$204,0),"n.a."))</f>
        <v>0</v>
      </c>
      <c r="L2175" s="16">
        <f>IF(NOT(Paths!$C$204=1),0,IF(Paths!$P$204="Complete",IF(C2175=10,Paths!$I$204,0),"n.a."))</f>
        <v>0</v>
      </c>
      <c r="M2175" s="16">
        <f>IF(NOT(Paths!$C$204=1),0,IF(Paths!$P$204="Complete",IF(AND(Paths!$D$204="EV",Paths!$E$204&lt;120,Paths!$E$204+'Operating costs'!$B$65&gt;Paths!$E$204,Paths!$E$204+'Operating costs'!$B$65&lt;=120,IF(Paths!$E$204+'Operating costs'!$B$65=0,C2175=0,AND(C2175&gt;0,Paths!$E$204+'Operating costs'!$B$65&gt;(C2175-1)*12,Paths!$E$204+'Operating costs'!$B$65&lt;=C2175*12))),'Operating costs'!$B$64,0)+IF(AND('Operating costs'!$B$67&gt;0,'Operating costs'!$B$67&lt;=120,OR(Paths!$D$204="ICE",'Operating costs'!$B$67&lt;=Paths!$E$204),IF('Operating costs'!$B$67=0,C2175=0,AND(C2175&gt;0,'Operating costs'!$B$67&gt;(C2175-1)*12,'Operating costs'!$B$67&lt;=C2175*12))),'Operating costs'!$B$66,0),"n.a."))</f>
        <v>0</v>
      </c>
      <c r="N2175" s="16">
        <f>IF(NOT(Paths!$C$204=1),0,IF(Paths!$P$204="Complete",SUM(G2175:I2175)-J2175-K2175-L2175+M2175+IF(C2175=0,Paths!$F$204,0)+IF(IF(Paths!$E$204=0,C2175=0,AND(C2175&gt;0,Paths!$E$204&gt;(C2175-1)*12,Paths!$E$204&lt;=C2175*12)),VLOOKUP(A2175,'Fleet register'!$A$7:$S$106,16,FALSE),0),"n.a."))</f>
        <v>0</v>
      </c>
      <c r="O2175" s="16">
        <f>IF(NOT(Paths!$C$204=1),0,IF(Paths!$P$204="Complete",N2175-IF(C2175=0,Paths!$F$204,0),"n.a."))</f>
        <v>0</v>
      </c>
      <c r="P2175" s="16">
        <f>IF(NOT(Paths!$C$204=1),0,IF(Paths!$P$204="Complete",O2175+L2175,"n.a."))</f>
        <v>0</v>
      </c>
      <c r="Q2175" s="16">
        <f>IF(NOT(Paths!$C$204=1),0,IF(Paths!$P$204="Complete",N2175*(1+'Operating costs'!$B$54)^-C2175,"n.a."))</f>
        <v>0</v>
      </c>
      <c r="R2175" s="16">
        <f>IF(NOT(Paths!$C$204=1),0,IF(Paths!$P$204="Complete",IF(AND(C2175=0,Paths!$E$204=0),I2175-J2175-K2175+VLOOKUP(A2175,'Fleet register'!$A$7:$S$106,15,FALSE)+VLOOKUP(A2175,'Fleet register'!$A$7:$S$106,16,FALSE),0),"n.a."))</f>
        <v>0</v>
      </c>
      <c r="S2175" s="1">
        <f>IF(NOT(Paths!$C$204=1),0,IF(Paths!$P$204="Complete",IF(C2175=0,0,Paths!$S$204*Paths!$R$204),"n.a."))</f>
        <v>0</v>
      </c>
      <c r="T2175" s="1">
        <f>IF(NOT(Paths!$C$204=1),0,IF(Paths!$P$204="Complete",IF(C2175=0,0,VLOOKUP(A2175,'Fleet register'!$A$7:$S$106,9,FALSE)*Paths!$R$204),"n.a."))</f>
        <v>0</v>
      </c>
    </row>
    <row r="2176" spans="1:20" ht="24" customHeight="1">
      <c r="A2176" s="1" t="str">
        <f>Paths!$A$204</f>
        <v>T050</v>
      </c>
      <c r="B2176" s="1">
        <f>Paths!$B$204</f>
        <v>1</v>
      </c>
      <c r="C2176" s="1">
        <v>2</v>
      </c>
      <c r="D2176" s="1">
        <v>204</v>
      </c>
      <c r="E2176" s="1">
        <f>IF(OR(Paths!$C$204=0,C2176=0),0,MAX(0,MIN(C2176*12,Paths!$E$204)-(C2176-1)*12))</f>
        <v>0</v>
      </c>
      <c r="F2176" s="1">
        <f>IF(OR(Paths!$C$204=0,C2176=0),0,12-E2176)</f>
        <v>0</v>
      </c>
      <c r="G2176" s="16">
        <f>IF(NOT(Paths!$C$204=1),0,IF(Paths!$P$204="Complete",E2176/12*(Paths!$J$204*(1+'Operating costs'!$B$51)^MAX(0,C2176-1)+Paths!$K$204*(1+'Operating costs'!$B$53)^MAX(0,C2176-1)),"n.a."))</f>
        <v>0</v>
      </c>
      <c r="H2176" s="16">
        <f>IF(NOT(Paths!$C$204=1),0,IF(Paths!$P$204="Complete",F2176/12*(Paths!$L$204*(1+IF(Paths!$D$204="EV",'Operating costs'!$B$52,'Operating costs'!$B$51))^MAX(0,C2176-1)+Paths!$M$204*(1+'Operating costs'!$B$53)^MAX(0,C2176-1)),"n.a."))</f>
        <v>0</v>
      </c>
      <c r="I2176" s="16">
        <f>IF(NOT(Paths!$C$204=1),0,IF(Paths!$P$204="Complete",IF(IF(Paths!$E$204=0,C2176=0,AND(C2176&gt;0,Paths!$E$204&gt;(C2176-1)*12,Paths!$E$204&lt;=C2176*12)),Paths!$G$204,0),"n.a."))</f>
        <v>0</v>
      </c>
      <c r="J2176" s="16">
        <f>IF(NOT(Paths!$C$204=1),0,IF(Paths!$P$204="Complete",IF(IF(Paths!$E$204=0,C2176=0,AND(C2176&gt;0,Paths!$E$204&gt;(C2176-1)*12,Paths!$E$204&lt;=C2176*12)),Paths!$H$204,0),"n.a."))</f>
        <v>0</v>
      </c>
      <c r="K2176" s="16">
        <f>IF(NOT(Paths!$C$204=1),0,IF(Paths!$P$204="Complete",IF(IF(Paths!$O$204=0,C2176=0,AND(C2176&gt;0,Paths!$O$204&gt;(C2176-1)*12,Paths!$O$204&lt;=C2176*12)),Paths!$N$204,0),"n.a."))</f>
        <v>0</v>
      </c>
      <c r="L2176" s="16">
        <f>IF(NOT(Paths!$C$204=1),0,IF(Paths!$P$204="Complete",IF(C2176=10,Paths!$I$204,0),"n.a."))</f>
        <v>0</v>
      </c>
      <c r="M2176" s="16">
        <f>IF(NOT(Paths!$C$204=1),0,IF(Paths!$P$204="Complete",IF(AND(Paths!$D$204="EV",Paths!$E$204&lt;120,Paths!$E$204+'Operating costs'!$B$65&gt;Paths!$E$204,Paths!$E$204+'Operating costs'!$B$65&lt;=120,IF(Paths!$E$204+'Operating costs'!$B$65=0,C2176=0,AND(C2176&gt;0,Paths!$E$204+'Operating costs'!$B$65&gt;(C2176-1)*12,Paths!$E$204+'Operating costs'!$B$65&lt;=C2176*12))),'Operating costs'!$B$64,0)+IF(AND('Operating costs'!$B$67&gt;0,'Operating costs'!$B$67&lt;=120,OR(Paths!$D$204="ICE",'Operating costs'!$B$67&lt;=Paths!$E$204),IF('Operating costs'!$B$67=0,C2176=0,AND(C2176&gt;0,'Operating costs'!$B$67&gt;(C2176-1)*12,'Operating costs'!$B$67&lt;=C2176*12))),'Operating costs'!$B$66,0),"n.a."))</f>
        <v>0</v>
      </c>
      <c r="N2176" s="16">
        <f>IF(NOT(Paths!$C$204=1),0,IF(Paths!$P$204="Complete",SUM(G2176:I2176)-J2176-K2176-L2176+M2176+IF(C2176=0,Paths!$F$204,0)+IF(IF(Paths!$E$204=0,C2176=0,AND(C2176&gt;0,Paths!$E$204&gt;(C2176-1)*12,Paths!$E$204&lt;=C2176*12)),VLOOKUP(A2176,'Fleet register'!$A$7:$S$106,16,FALSE),0),"n.a."))</f>
        <v>0</v>
      </c>
      <c r="O2176" s="16">
        <f>IF(NOT(Paths!$C$204=1),0,IF(Paths!$P$204="Complete",N2176-IF(C2176=0,Paths!$F$204,0),"n.a."))</f>
        <v>0</v>
      </c>
      <c r="P2176" s="16">
        <f>IF(NOT(Paths!$C$204=1),0,IF(Paths!$P$204="Complete",O2176+L2176,"n.a."))</f>
        <v>0</v>
      </c>
      <c r="Q2176" s="16">
        <f>IF(NOT(Paths!$C$204=1),0,IF(Paths!$P$204="Complete",N2176*(1+'Operating costs'!$B$54)^-C2176,"n.a."))</f>
        <v>0</v>
      </c>
      <c r="R2176" s="16">
        <f>IF(NOT(Paths!$C$204=1),0,IF(Paths!$P$204="Complete",IF(AND(C2176=0,Paths!$E$204=0),I2176-J2176-K2176+VLOOKUP(A2176,'Fleet register'!$A$7:$S$106,15,FALSE)+VLOOKUP(A2176,'Fleet register'!$A$7:$S$106,16,FALSE),0),"n.a."))</f>
        <v>0</v>
      </c>
      <c r="S2176" s="1">
        <f>IF(NOT(Paths!$C$204=1),0,IF(Paths!$P$204="Complete",IF(C2176=0,0,Paths!$S$204*Paths!$R$204),"n.a."))</f>
        <v>0</v>
      </c>
      <c r="T2176" s="1">
        <f>IF(NOT(Paths!$C$204=1),0,IF(Paths!$P$204="Complete",IF(C2176=0,0,VLOOKUP(A2176,'Fleet register'!$A$7:$S$106,9,FALSE)*Paths!$R$204),"n.a."))</f>
        <v>0</v>
      </c>
    </row>
    <row r="2177" spans="1:20" ht="24" customHeight="1">
      <c r="A2177" s="1" t="str">
        <f>Paths!$A$204</f>
        <v>T050</v>
      </c>
      <c r="B2177" s="1">
        <f>Paths!$B$204</f>
        <v>1</v>
      </c>
      <c r="C2177" s="1">
        <v>3</v>
      </c>
      <c r="D2177" s="1">
        <v>204</v>
      </c>
      <c r="E2177" s="1">
        <f>IF(OR(Paths!$C$204=0,C2177=0),0,MAX(0,MIN(C2177*12,Paths!$E$204)-(C2177-1)*12))</f>
        <v>0</v>
      </c>
      <c r="F2177" s="1">
        <f>IF(OR(Paths!$C$204=0,C2177=0),0,12-E2177)</f>
        <v>0</v>
      </c>
      <c r="G2177" s="16">
        <f>IF(NOT(Paths!$C$204=1),0,IF(Paths!$P$204="Complete",E2177/12*(Paths!$J$204*(1+'Operating costs'!$B$51)^MAX(0,C2177-1)+Paths!$K$204*(1+'Operating costs'!$B$53)^MAX(0,C2177-1)),"n.a."))</f>
        <v>0</v>
      </c>
      <c r="H2177" s="16">
        <f>IF(NOT(Paths!$C$204=1),0,IF(Paths!$P$204="Complete",F2177/12*(Paths!$L$204*(1+IF(Paths!$D$204="EV",'Operating costs'!$B$52,'Operating costs'!$B$51))^MAX(0,C2177-1)+Paths!$M$204*(1+'Operating costs'!$B$53)^MAX(0,C2177-1)),"n.a."))</f>
        <v>0</v>
      </c>
      <c r="I2177" s="16">
        <f>IF(NOT(Paths!$C$204=1),0,IF(Paths!$P$204="Complete",IF(IF(Paths!$E$204=0,C2177=0,AND(C2177&gt;0,Paths!$E$204&gt;(C2177-1)*12,Paths!$E$204&lt;=C2177*12)),Paths!$G$204,0),"n.a."))</f>
        <v>0</v>
      </c>
      <c r="J2177" s="16">
        <f>IF(NOT(Paths!$C$204=1),0,IF(Paths!$P$204="Complete",IF(IF(Paths!$E$204=0,C2177=0,AND(C2177&gt;0,Paths!$E$204&gt;(C2177-1)*12,Paths!$E$204&lt;=C2177*12)),Paths!$H$204,0),"n.a."))</f>
        <v>0</v>
      </c>
      <c r="K2177" s="16">
        <f>IF(NOT(Paths!$C$204=1),0,IF(Paths!$P$204="Complete",IF(IF(Paths!$O$204=0,C2177=0,AND(C2177&gt;0,Paths!$O$204&gt;(C2177-1)*12,Paths!$O$204&lt;=C2177*12)),Paths!$N$204,0),"n.a."))</f>
        <v>0</v>
      </c>
      <c r="L2177" s="16">
        <f>IF(NOT(Paths!$C$204=1),0,IF(Paths!$P$204="Complete",IF(C2177=10,Paths!$I$204,0),"n.a."))</f>
        <v>0</v>
      </c>
      <c r="M2177" s="16">
        <f>IF(NOT(Paths!$C$204=1),0,IF(Paths!$P$204="Complete",IF(AND(Paths!$D$204="EV",Paths!$E$204&lt;120,Paths!$E$204+'Operating costs'!$B$65&gt;Paths!$E$204,Paths!$E$204+'Operating costs'!$B$65&lt;=120,IF(Paths!$E$204+'Operating costs'!$B$65=0,C2177=0,AND(C2177&gt;0,Paths!$E$204+'Operating costs'!$B$65&gt;(C2177-1)*12,Paths!$E$204+'Operating costs'!$B$65&lt;=C2177*12))),'Operating costs'!$B$64,0)+IF(AND('Operating costs'!$B$67&gt;0,'Operating costs'!$B$67&lt;=120,OR(Paths!$D$204="ICE",'Operating costs'!$B$67&lt;=Paths!$E$204),IF('Operating costs'!$B$67=0,C2177=0,AND(C2177&gt;0,'Operating costs'!$B$67&gt;(C2177-1)*12,'Operating costs'!$B$67&lt;=C2177*12))),'Operating costs'!$B$66,0),"n.a."))</f>
        <v>0</v>
      </c>
      <c r="N2177" s="16">
        <f>IF(NOT(Paths!$C$204=1),0,IF(Paths!$P$204="Complete",SUM(G2177:I2177)-J2177-K2177-L2177+M2177+IF(C2177=0,Paths!$F$204,0)+IF(IF(Paths!$E$204=0,C2177=0,AND(C2177&gt;0,Paths!$E$204&gt;(C2177-1)*12,Paths!$E$204&lt;=C2177*12)),VLOOKUP(A2177,'Fleet register'!$A$7:$S$106,16,FALSE),0),"n.a."))</f>
        <v>0</v>
      </c>
      <c r="O2177" s="16">
        <f>IF(NOT(Paths!$C$204=1),0,IF(Paths!$P$204="Complete",N2177-IF(C2177=0,Paths!$F$204,0),"n.a."))</f>
        <v>0</v>
      </c>
      <c r="P2177" s="16">
        <f>IF(NOT(Paths!$C$204=1),0,IF(Paths!$P$204="Complete",O2177+L2177,"n.a."))</f>
        <v>0</v>
      </c>
      <c r="Q2177" s="16">
        <f>IF(NOT(Paths!$C$204=1),0,IF(Paths!$P$204="Complete",N2177*(1+'Operating costs'!$B$54)^-C2177,"n.a."))</f>
        <v>0</v>
      </c>
      <c r="R2177" s="16">
        <f>IF(NOT(Paths!$C$204=1),0,IF(Paths!$P$204="Complete",IF(AND(C2177=0,Paths!$E$204=0),I2177-J2177-K2177+VLOOKUP(A2177,'Fleet register'!$A$7:$S$106,15,FALSE)+VLOOKUP(A2177,'Fleet register'!$A$7:$S$106,16,FALSE),0),"n.a."))</f>
        <v>0</v>
      </c>
      <c r="S2177" s="1">
        <f>IF(NOT(Paths!$C$204=1),0,IF(Paths!$P$204="Complete",IF(C2177=0,0,Paths!$S$204*Paths!$R$204),"n.a."))</f>
        <v>0</v>
      </c>
      <c r="T2177" s="1">
        <f>IF(NOT(Paths!$C$204=1),0,IF(Paths!$P$204="Complete",IF(C2177=0,0,VLOOKUP(A2177,'Fleet register'!$A$7:$S$106,9,FALSE)*Paths!$R$204),"n.a."))</f>
        <v>0</v>
      </c>
    </row>
    <row r="2178" spans="1:20" ht="24" customHeight="1">
      <c r="A2178" s="1" t="str">
        <f>Paths!$A$204</f>
        <v>T050</v>
      </c>
      <c r="B2178" s="1">
        <f>Paths!$B$204</f>
        <v>1</v>
      </c>
      <c r="C2178" s="1">
        <v>4</v>
      </c>
      <c r="D2178" s="1">
        <v>204</v>
      </c>
      <c r="E2178" s="1">
        <f>IF(OR(Paths!$C$204=0,C2178=0),0,MAX(0,MIN(C2178*12,Paths!$E$204)-(C2178-1)*12))</f>
        <v>0</v>
      </c>
      <c r="F2178" s="1">
        <f>IF(OR(Paths!$C$204=0,C2178=0),0,12-E2178)</f>
        <v>0</v>
      </c>
      <c r="G2178" s="16">
        <f>IF(NOT(Paths!$C$204=1),0,IF(Paths!$P$204="Complete",E2178/12*(Paths!$J$204*(1+'Operating costs'!$B$51)^MAX(0,C2178-1)+Paths!$K$204*(1+'Operating costs'!$B$53)^MAX(0,C2178-1)),"n.a."))</f>
        <v>0</v>
      </c>
      <c r="H2178" s="16">
        <f>IF(NOT(Paths!$C$204=1),0,IF(Paths!$P$204="Complete",F2178/12*(Paths!$L$204*(1+IF(Paths!$D$204="EV",'Operating costs'!$B$52,'Operating costs'!$B$51))^MAX(0,C2178-1)+Paths!$M$204*(1+'Operating costs'!$B$53)^MAX(0,C2178-1)),"n.a."))</f>
        <v>0</v>
      </c>
      <c r="I2178" s="16">
        <f>IF(NOT(Paths!$C$204=1),0,IF(Paths!$P$204="Complete",IF(IF(Paths!$E$204=0,C2178=0,AND(C2178&gt;0,Paths!$E$204&gt;(C2178-1)*12,Paths!$E$204&lt;=C2178*12)),Paths!$G$204,0),"n.a."))</f>
        <v>0</v>
      </c>
      <c r="J2178" s="16">
        <f>IF(NOT(Paths!$C$204=1),0,IF(Paths!$P$204="Complete",IF(IF(Paths!$E$204=0,C2178=0,AND(C2178&gt;0,Paths!$E$204&gt;(C2178-1)*12,Paths!$E$204&lt;=C2178*12)),Paths!$H$204,0),"n.a."))</f>
        <v>0</v>
      </c>
      <c r="K2178" s="16">
        <f>IF(NOT(Paths!$C$204=1),0,IF(Paths!$P$204="Complete",IF(IF(Paths!$O$204=0,C2178=0,AND(C2178&gt;0,Paths!$O$204&gt;(C2178-1)*12,Paths!$O$204&lt;=C2178*12)),Paths!$N$204,0),"n.a."))</f>
        <v>0</v>
      </c>
      <c r="L2178" s="16">
        <f>IF(NOT(Paths!$C$204=1),0,IF(Paths!$P$204="Complete",IF(C2178=10,Paths!$I$204,0),"n.a."))</f>
        <v>0</v>
      </c>
      <c r="M2178" s="16">
        <f>IF(NOT(Paths!$C$204=1),0,IF(Paths!$P$204="Complete",IF(AND(Paths!$D$204="EV",Paths!$E$204&lt;120,Paths!$E$204+'Operating costs'!$B$65&gt;Paths!$E$204,Paths!$E$204+'Operating costs'!$B$65&lt;=120,IF(Paths!$E$204+'Operating costs'!$B$65=0,C2178=0,AND(C2178&gt;0,Paths!$E$204+'Operating costs'!$B$65&gt;(C2178-1)*12,Paths!$E$204+'Operating costs'!$B$65&lt;=C2178*12))),'Operating costs'!$B$64,0)+IF(AND('Operating costs'!$B$67&gt;0,'Operating costs'!$B$67&lt;=120,OR(Paths!$D$204="ICE",'Operating costs'!$B$67&lt;=Paths!$E$204),IF('Operating costs'!$B$67=0,C2178=0,AND(C2178&gt;0,'Operating costs'!$B$67&gt;(C2178-1)*12,'Operating costs'!$B$67&lt;=C2178*12))),'Operating costs'!$B$66,0),"n.a."))</f>
        <v>0</v>
      </c>
      <c r="N2178" s="16">
        <f>IF(NOT(Paths!$C$204=1),0,IF(Paths!$P$204="Complete",SUM(G2178:I2178)-J2178-K2178-L2178+M2178+IF(C2178=0,Paths!$F$204,0)+IF(IF(Paths!$E$204=0,C2178=0,AND(C2178&gt;0,Paths!$E$204&gt;(C2178-1)*12,Paths!$E$204&lt;=C2178*12)),VLOOKUP(A2178,'Fleet register'!$A$7:$S$106,16,FALSE),0),"n.a."))</f>
        <v>0</v>
      </c>
      <c r="O2178" s="16">
        <f>IF(NOT(Paths!$C$204=1),0,IF(Paths!$P$204="Complete",N2178-IF(C2178=0,Paths!$F$204,0),"n.a."))</f>
        <v>0</v>
      </c>
      <c r="P2178" s="16">
        <f>IF(NOT(Paths!$C$204=1),0,IF(Paths!$P$204="Complete",O2178+L2178,"n.a."))</f>
        <v>0</v>
      </c>
      <c r="Q2178" s="16">
        <f>IF(NOT(Paths!$C$204=1),0,IF(Paths!$P$204="Complete",N2178*(1+'Operating costs'!$B$54)^-C2178,"n.a."))</f>
        <v>0</v>
      </c>
      <c r="R2178" s="16">
        <f>IF(NOT(Paths!$C$204=1),0,IF(Paths!$P$204="Complete",IF(AND(C2178=0,Paths!$E$204=0),I2178-J2178-K2178+VLOOKUP(A2178,'Fleet register'!$A$7:$S$106,15,FALSE)+VLOOKUP(A2178,'Fleet register'!$A$7:$S$106,16,FALSE),0),"n.a."))</f>
        <v>0</v>
      </c>
      <c r="S2178" s="1">
        <f>IF(NOT(Paths!$C$204=1),0,IF(Paths!$P$204="Complete",IF(C2178=0,0,Paths!$S$204*Paths!$R$204),"n.a."))</f>
        <v>0</v>
      </c>
      <c r="T2178" s="1">
        <f>IF(NOT(Paths!$C$204=1),0,IF(Paths!$P$204="Complete",IF(C2178=0,0,VLOOKUP(A2178,'Fleet register'!$A$7:$S$106,9,FALSE)*Paths!$R$204),"n.a."))</f>
        <v>0</v>
      </c>
    </row>
    <row r="2179" spans="1:20" ht="24" customHeight="1">
      <c r="A2179" s="1" t="str">
        <f>Paths!$A$204</f>
        <v>T050</v>
      </c>
      <c r="B2179" s="1">
        <f>Paths!$B$204</f>
        <v>1</v>
      </c>
      <c r="C2179" s="1">
        <v>5</v>
      </c>
      <c r="D2179" s="1">
        <v>204</v>
      </c>
      <c r="E2179" s="1">
        <f>IF(OR(Paths!$C$204=0,C2179=0),0,MAX(0,MIN(C2179*12,Paths!$E$204)-(C2179-1)*12))</f>
        <v>0</v>
      </c>
      <c r="F2179" s="1">
        <f>IF(OR(Paths!$C$204=0,C2179=0),0,12-E2179)</f>
        <v>0</v>
      </c>
      <c r="G2179" s="16">
        <f>IF(NOT(Paths!$C$204=1),0,IF(Paths!$P$204="Complete",E2179/12*(Paths!$J$204*(1+'Operating costs'!$B$51)^MAX(0,C2179-1)+Paths!$K$204*(1+'Operating costs'!$B$53)^MAX(0,C2179-1)),"n.a."))</f>
        <v>0</v>
      </c>
      <c r="H2179" s="16">
        <f>IF(NOT(Paths!$C$204=1),0,IF(Paths!$P$204="Complete",F2179/12*(Paths!$L$204*(1+IF(Paths!$D$204="EV",'Operating costs'!$B$52,'Operating costs'!$B$51))^MAX(0,C2179-1)+Paths!$M$204*(1+'Operating costs'!$B$53)^MAX(0,C2179-1)),"n.a."))</f>
        <v>0</v>
      </c>
      <c r="I2179" s="16">
        <f>IF(NOT(Paths!$C$204=1),0,IF(Paths!$P$204="Complete",IF(IF(Paths!$E$204=0,C2179=0,AND(C2179&gt;0,Paths!$E$204&gt;(C2179-1)*12,Paths!$E$204&lt;=C2179*12)),Paths!$G$204,0),"n.a."))</f>
        <v>0</v>
      </c>
      <c r="J2179" s="16">
        <f>IF(NOT(Paths!$C$204=1),0,IF(Paths!$P$204="Complete",IF(IF(Paths!$E$204=0,C2179=0,AND(C2179&gt;0,Paths!$E$204&gt;(C2179-1)*12,Paths!$E$204&lt;=C2179*12)),Paths!$H$204,0),"n.a."))</f>
        <v>0</v>
      </c>
      <c r="K2179" s="16">
        <f>IF(NOT(Paths!$C$204=1),0,IF(Paths!$P$204="Complete",IF(IF(Paths!$O$204=0,C2179=0,AND(C2179&gt;0,Paths!$O$204&gt;(C2179-1)*12,Paths!$O$204&lt;=C2179*12)),Paths!$N$204,0),"n.a."))</f>
        <v>0</v>
      </c>
      <c r="L2179" s="16">
        <f>IF(NOT(Paths!$C$204=1),0,IF(Paths!$P$204="Complete",IF(C2179=10,Paths!$I$204,0),"n.a."))</f>
        <v>0</v>
      </c>
      <c r="M2179" s="16">
        <f>IF(NOT(Paths!$C$204=1),0,IF(Paths!$P$204="Complete",IF(AND(Paths!$D$204="EV",Paths!$E$204&lt;120,Paths!$E$204+'Operating costs'!$B$65&gt;Paths!$E$204,Paths!$E$204+'Operating costs'!$B$65&lt;=120,IF(Paths!$E$204+'Operating costs'!$B$65=0,C2179=0,AND(C2179&gt;0,Paths!$E$204+'Operating costs'!$B$65&gt;(C2179-1)*12,Paths!$E$204+'Operating costs'!$B$65&lt;=C2179*12))),'Operating costs'!$B$64,0)+IF(AND('Operating costs'!$B$67&gt;0,'Operating costs'!$B$67&lt;=120,OR(Paths!$D$204="ICE",'Operating costs'!$B$67&lt;=Paths!$E$204),IF('Operating costs'!$B$67=0,C2179=0,AND(C2179&gt;0,'Operating costs'!$B$67&gt;(C2179-1)*12,'Operating costs'!$B$67&lt;=C2179*12))),'Operating costs'!$B$66,0),"n.a."))</f>
        <v>0</v>
      </c>
      <c r="N2179" s="16">
        <f>IF(NOT(Paths!$C$204=1),0,IF(Paths!$P$204="Complete",SUM(G2179:I2179)-J2179-K2179-L2179+M2179+IF(C2179=0,Paths!$F$204,0)+IF(IF(Paths!$E$204=0,C2179=0,AND(C2179&gt;0,Paths!$E$204&gt;(C2179-1)*12,Paths!$E$204&lt;=C2179*12)),VLOOKUP(A2179,'Fleet register'!$A$7:$S$106,16,FALSE),0),"n.a."))</f>
        <v>0</v>
      </c>
      <c r="O2179" s="16">
        <f>IF(NOT(Paths!$C$204=1),0,IF(Paths!$P$204="Complete",N2179-IF(C2179=0,Paths!$F$204,0),"n.a."))</f>
        <v>0</v>
      </c>
      <c r="P2179" s="16">
        <f>IF(NOT(Paths!$C$204=1),0,IF(Paths!$P$204="Complete",O2179+L2179,"n.a."))</f>
        <v>0</v>
      </c>
      <c r="Q2179" s="16">
        <f>IF(NOT(Paths!$C$204=1),0,IF(Paths!$P$204="Complete",N2179*(1+'Operating costs'!$B$54)^-C2179,"n.a."))</f>
        <v>0</v>
      </c>
      <c r="R2179" s="16">
        <f>IF(NOT(Paths!$C$204=1),0,IF(Paths!$P$204="Complete",IF(AND(C2179=0,Paths!$E$204=0),I2179-J2179-K2179+VLOOKUP(A2179,'Fleet register'!$A$7:$S$106,15,FALSE)+VLOOKUP(A2179,'Fleet register'!$A$7:$S$106,16,FALSE),0),"n.a."))</f>
        <v>0</v>
      </c>
      <c r="S2179" s="1">
        <f>IF(NOT(Paths!$C$204=1),0,IF(Paths!$P$204="Complete",IF(C2179=0,0,Paths!$S$204*Paths!$R$204),"n.a."))</f>
        <v>0</v>
      </c>
      <c r="T2179" s="1">
        <f>IF(NOT(Paths!$C$204=1),0,IF(Paths!$P$204="Complete",IF(C2179=0,0,VLOOKUP(A2179,'Fleet register'!$A$7:$S$106,9,FALSE)*Paths!$R$204),"n.a."))</f>
        <v>0</v>
      </c>
    </row>
    <row r="2180" spans="1:20" ht="24" customHeight="1">
      <c r="A2180" s="1" t="str">
        <f>Paths!$A$204</f>
        <v>T050</v>
      </c>
      <c r="B2180" s="1">
        <f>Paths!$B$204</f>
        <v>1</v>
      </c>
      <c r="C2180" s="1">
        <v>6</v>
      </c>
      <c r="D2180" s="1">
        <v>204</v>
      </c>
      <c r="E2180" s="1">
        <f>IF(OR(Paths!$C$204=0,C2180=0),0,MAX(0,MIN(C2180*12,Paths!$E$204)-(C2180-1)*12))</f>
        <v>0</v>
      </c>
      <c r="F2180" s="1">
        <f>IF(OR(Paths!$C$204=0,C2180=0),0,12-E2180)</f>
        <v>0</v>
      </c>
      <c r="G2180" s="16">
        <f>IF(NOT(Paths!$C$204=1),0,IF(Paths!$P$204="Complete",E2180/12*(Paths!$J$204*(1+'Operating costs'!$B$51)^MAX(0,C2180-1)+Paths!$K$204*(1+'Operating costs'!$B$53)^MAX(0,C2180-1)),"n.a."))</f>
        <v>0</v>
      </c>
      <c r="H2180" s="16">
        <f>IF(NOT(Paths!$C$204=1),0,IF(Paths!$P$204="Complete",F2180/12*(Paths!$L$204*(1+IF(Paths!$D$204="EV",'Operating costs'!$B$52,'Operating costs'!$B$51))^MAX(0,C2180-1)+Paths!$M$204*(1+'Operating costs'!$B$53)^MAX(0,C2180-1)),"n.a."))</f>
        <v>0</v>
      </c>
      <c r="I2180" s="16">
        <f>IF(NOT(Paths!$C$204=1),0,IF(Paths!$P$204="Complete",IF(IF(Paths!$E$204=0,C2180=0,AND(C2180&gt;0,Paths!$E$204&gt;(C2180-1)*12,Paths!$E$204&lt;=C2180*12)),Paths!$G$204,0),"n.a."))</f>
        <v>0</v>
      </c>
      <c r="J2180" s="16">
        <f>IF(NOT(Paths!$C$204=1),0,IF(Paths!$P$204="Complete",IF(IF(Paths!$E$204=0,C2180=0,AND(C2180&gt;0,Paths!$E$204&gt;(C2180-1)*12,Paths!$E$204&lt;=C2180*12)),Paths!$H$204,0),"n.a."))</f>
        <v>0</v>
      </c>
      <c r="K2180" s="16">
        <f>IF(NOT(Paths!$C$204=1),0,IF(Paths!$P$204="Complete",IF(IF(Paths!$O$204=0,C2180=0,AND(C2180&gt;0,Paths!$O$204&gt;(C2180-1)*12,Paths!$O$204&lt;=C2180*12)),Paths!$N$204,0),"n.a."))</f>
        <v>0</v>
      </c>
      <c r="L2180" s="16">
        <f>IF(NOT(Paths!$C$204=1),0,IF(Paths!$P$204="Complete",IF(C2180=10,Paths!$I$204,0),"n.a."))</f>
        <v>0</v>
      </c>
      <c r="M2180" s="16">
        <f>IF(NOT(Paths!$C$204=1),0,IF(Paths!$P$204="Complete",IF(AND(Paths!$D$204="EV",Paths!$E$204&lt;120,Paths!$E$204+'Operating costs'!$B$65&gt;Paths!$E$204,Paths!$E$204+'Operating costs'!$B$65&lt;=120,IF(Paths!$E$204+'Operating costs'!$B$65=0,C2180=0,AND(C2180&gt;0,Paths!$E$204+'Operating costs'!$B$65&gt;(C2180-1)*12,Paths!$E$204+'Operating costs'!$B$65&lt;=C2180*12))),'Operating costs'!$B$64,0)+IF(AND('Operating costs'!$B$67&gt;0,'Operating costs'!$B$67&lt;=120,OR(Paths!$D$204="ICE",'Operating costs'!$B$67&lt;=Paths!$E$204),IF('Operating costs'!$B$67=0,C2180=0,AND(C2180&gt;0,'Operating costs'!$B$67&gt;(C2180-1)*12,'Operating costs'!$B$67&lt;=C2180*12))),'Operating costs'!$B$66,0),"n.a."))</f>
        <v>0</v>
      </c>
      <c r="N2180" s="16">
        <f>IF(NOT(Paths!$C$204=1),0,IF(Paths!$P$204="Complete",SUM(G2180:I2180)-J2180-K2180-L2180+M2180+IF(C2180=0,Paths!$F$204,0)+IF(IF(Paths!$E$204=0,C2180=0,AND(C2180&gt;0,Paths!$E$204&gt;(C2180-1)*12,Paths!$E$204&lt;=C2180*12)),VLOOKUP(A2180,'Fleet register'!$A$7:$S$106,16,FALSE),0),"n.a."))</f>
        <v>0</v>
      </c>
      <c r="O2180" s="16">
        <f>IF(NOT(Paths!$C$204=1),0,IF(Paths!$P$204="Complete",N2180-IF(C2180=0,Paths!$F$204,0),"n.a."))</f>
        <v>0</v>
      </c>
      <c r="P2180" s="16">
        <f>IF(NOT(Paths!$C$204=1),0,IF(Paths!$P$204="Complete",O2180+L2180,"n.a."))</f>
        <v>0</v>
      </c>
      <c r="Q2180" s="16">
        <f>IF(NOT(Paths!$C$204=1),0,IF(Paths!$P$204="Complete",N2180*(1+'Operating costs'!$B$54)^-C2180,"n.a."))</f>
        <v>0</v>
      </c>
      <c r="R2180" s="16">
        <f>IF(NOT(Paths!$C$204=1),0,IF(Paths!$P$204="Complete",IF(AND(C2180=0,Paths!$E$204=0),I2180-J2180-K2180+VLOOKUP(A2180,'Fleet register'!$A$7:$S$106,15,FALSE)+VLOOKUP(A2180,'Fleet register'!$A$7:$S$106,16,FALSE),0),"n.a."))</f>
        <v>0</v>
      </c>
      <c r="S2180" s="1">
        <f>IF(NOT(Paths!$C$204=1),0,IF(Paths!$P$204="Complete",IF(C2180=0,0,Paths!$S$204*Paths!$R$204),"n.a."))</f>
        <v>0</v>
      </c>
      <c r="T2180" s="1">
        <f>IF(NOT(Paths!$C$204=1),0,IF(Paths!$P$204="Complete",IF(C2180=0,0,VLOOKUP(A2180,'Fleet register'!$A$7:$S$106,9,FALSE)*Paths!$R$204),"n.a."))</f>
        <v>0</v>
      </c>
    </row>
    <row r="2181" spans="1:20" ht="24" customHeight="1">
      <c r="A2181" s="1" t="str">
        <f>Paths!$A$204</f>
        <v>T050</v>
      </c>
      <c r="B2181" s="1">
        <f>Paths!$B$204</f>
        <v>1</v>
      </c>
      <c r="C2181" s="1">
        <v>7</v>
      </c>
      <c r="D2181" s="1">
        <v>204</v>
      </c>
      <c r="E2181" s="1">
        <f>IF(OR(Paths!$C$204=0,C2181=0),0,MAX(0,MIN(C2181*12,Paths!$E$204)-(C2181-1)*12))</f>
        <v>0</v>
      </c>
      <c r="F2181" s="1">
        <f>IF(OR(Paths!$C$204=0,C2181=0),0,12-E2181)</f>
        <v>0</v>
      </c>
      <c r="G2181" s="16">
        <f>IF(NOT(Paths!$C$204=1),0,IF(Paths!$P$204="Complete",E2181/12*(Paths!$J$204*(1+'Operating costs'!$B$51)^MAX(0,C2181-1)+Paths!$K$204*(1+'Operating costs'!$B$53)^MAX(0,C2181-1)),"n.a."))</f>
        <v>0</v>
      </c>
      <c r="H2181" s="16">
        <f>IF(NOT(Paths!$C$204=1),0,IF(Paths!$P$204="Complete",F2181/12*(Paths!$L$204*(1+IF(Paths!$D$204="EV",'Operating costs'!$B$52,'Operating costs'!$B$51))^MAX(0,C2181-1)+Paths!$M$204*(1+'Operating costs'!$B$53)^MAX(0,C2181-1)),"n.a."))</f>
        <v>0</v>
      </c>
      <c r="I2181" s="16">
        <f>IF(NOT(Paths!$C$204=1),0,IF(Paths!$P$204="Complete",IF(IF(Paths!$E$204=0,C2181=0,AND(C2181&gt;0,Paths!$E$204&gt;(C2181-1)*12,Paths!$E$204&lt;=C2181*12)),Paths!$G$204,0),"n.a."))</f>
        <v>0</v>
      </c>
      <c r="J2181" s="16">
        <f>IF(NOT(Paths!$C$204=1),0,IF(Paths!$P$204="Complete",IF(IF(Paths!$E$204=0,C2181=0,AND(C2181&gt;0,Paths!$E$204&gt;(C2181-1)*12,Paths!$E$204&lt;=C2181*12)),Paths!$H$204,0),"n.a."))</f>
        <v>0</v>
      </c>
      <c r="K2181" s="16">
        <f>IF(NOT(Paths!$C$204=1),0,IF(Paths!$P$204="Complete",IF(IF(Paths!$O$204=0,C2181=0,AND(C2181&gt;0,Paths!$O$204&gt;(C2181-1)*12,Paths!$O$204&lt;=C2181*12)),Paths!$N$204,0),"n.a."))</f>
        <v>0</v>
      </c>
      <c r="L2181" s="16">
        <f>IF(NOT(Paths!$C$204=1),0,IF(Paths!$P$204="Complete",IF(C2181=10,Paths!$I$204,0),"n.a."))</f>
        <v>0</v>
      </c>
      <c r="M2181" s="16">
        <f>IF(NOT(Paths!$C$204=1),0,IF(Paths!$P$204="Complete",IF(AND(Paths!$D$204="EV",Paths!$E$204&lt;120,Paths!$E$204+'Operating costs'!$B$65&gt;Paths!$E$204,Paths!$E$204+'Operating costs'!$B$65&lt;=120,IF(Paths!$E$204+'Operating costs'!$B$65=0,C2181=0,AND(C2181&gt;0,Paths!$E$204+'Operating costs'!$B$65&gt;(C2181-1)*12,Paths!$E$204+'Operating costs'!$B$65&lt;=C2181*12))),'Operating costs'!$B$64,0)+IF(AND('Operating costs'!$B$67&gt;0,'Operating costs'!$B$67&lt;=120,OR(Paths!$D$204="ICE",'Operating costs'!$B$67&lt;=Paths!$E$204),IF('Operating costs'!$B$67=0,C2181=0,AND(C2181&gt;0,'Operating costs'!$B$67&gt;(C2181-1)*12,'Operating costs'!$B$67&lt;=C2181*12))),'Operating costs'!$B$66,0),"n.a."))</f>
        <v>0</v>
      </c>
      <c r="N2181" s="16">
        <f>IF(NOT(Paths!$C$204=1),0,IF(Paths!$P$204="Complete",SUM(G2181:I2181)-J2181-K2181-L2181+M2181+IF(C2181=0,Paths!$F$204,0)+IF(IF(Paths!$E$204=0,C2181=0,AND(C2181&gt;0,Paths!$E$204&gt;(C2181-1)*12,Paths!$E$204&lt;=C2181*12)),VLOOKUP(A2181,'Fleet register'!$A$7:$S$106,16,FALSE),0),"n.a."))</f>
        <v>0</v>
      </c>
      <c r="O2181" s="16">
        <f>IF(NOT(Paths!$C$204=1),0,IF(Paths!$P$204="Complete",N2181-IF(C2181=0,Paths!$F$204,0),"n.a."))</f>
        <v>0</v>
      </c>
      <c r="P2181" s="16">
        <f>IF(NOT(Paths!$C$204=1),0,IF(Paths!$P$204="Complete",O2181+L2181,"n.a."))</f>
        <v>0</v>
      </c>
      <c r="Q2181" s="16">
        <f>IF(NOT(Paths!$C$204=1),0,IF(Paths!$P$204="Complete",N2181*(1+'Operating costs'!$B$54)^-C2181,"n.a."))</f>
        <v>0</v>
      </c>
      <c r="R2181" s="16">
        <f>IF(NOT(Paths!$C$204=1),0,IF(Paths!$P$204="Complete",IF(AND(C2181=0,Paths!$E$204=0),I2181-J2181-K2181+VLOOKUP(A2181,'Fleet register'!$A$7:$S$106,15,FALSE)+VLOOKUP(A2181,'Fleet register'!$A$7:$S$106,16,FALSE),0),"n.a."))</f>
        <v>0</v>
      </c>
      <c r="S2181" s="1">
        <f>IF(NOT(Paths!$C$204=1),0,IF(Paths!$P$204="Complete",IF(C2181=0,0,Paths!$S$204*Paths!$R$204),"n.a."))</f>
        <v>0</v>
      </c>
      <c r="T2181" s="1">
        <f>IF(NOT(Paths!$C$204=1),0,IF(Paths!$P$204="Complete",IF(C2181=0,0,VLOOKUP(A2181,'Fleet register'!$A$7:$S$106,9,FALSE)*Paths!$R$204),"n.a."))</f>
        <v>0</v>
      </c>
    </row>
    <row r="2182" spans="1:20" ht="24" customHeight="1">
      <c r="A2182" s="1" t="str">
        <f>Paths!$A$204</f>
        <v>T050</v>
      </c>
      <c r="B2182" s="1">
        <f>Paths!$B$204</f>
        <v>1</v>
      </c>
      <c r="C2182" s="1">
        <v>8</v>
      </c>
      <c r="D2182" s="1">
        <v>204</v>
      </c>
      <c r="E2182" s="1">
        <f>IF(OR(Paths!$C$204=0,C2182=0),0,MAX(0,MIN(C2182*12,Paths!$E$204)-(C2182-1)*12))</f>
        <v>0</v>
      </c>
      <c r="F2182" s="1">
        <f>IF(OR(Paths!$C$204=0,C2182=0),0,12-E2182)</f>
        <v>0</v>
      </c>
      <c r="G2182" s="16">
        <f>IF(NOT(Paths!$C$204=1),0,IF(Paths!$P$204="Complete",E2182/12*(Paths!$J$204*(1+'Operating costs'!$B$51)^MAX(0,C2182-1)+Paths!$K$204*(1+'Operating costs'!$B$53)^MAX(0,C2182-1)),"n.a."))</f>
        <v>0</v>
      </c>
      <c r="H2182" s="16">
        <f>IF(NOT(Paths!$C$204=1),0,IF(Paths!$P$204="Complete",F2182/12*(Paths!$L$204*(1+IF(Paths!$D$204="EV",'Operating costs'!$B$52,'Operating costs'!$B$51))^MAX(0,C2182-1)+Paths!$M$204*(1+'Operating costs'!$B$53)^MAX(0,C2182-1)),"n.a."))</f>
        <v>0</v>
      </c>
      <c r="I2182" s="16">
        <f>IF(NOT(Paths!$C$204=1),0,IF(Paths!$P$204="Complete",IF(IF(Paths!$E$204=0,C2182=0,AND(C2182&gt;0,Paths!$E$204&gt;(C2182-1)*12,Paths!$E$204&lt;=C2182*12)),Paths!$G$204,0),"n.a."))</f>
        <v>0</v>
      </c>
      <c r="J2182" s="16">
        <f>IF(NOT(Paths!$C$204=1),0,IF(Paths!$P$204="Complete",IF(IF(Paths!$E$204=0,C2182=0,AND(C2182&gt;0,Paths!$E$204&gt;(C2182-1)*12,Paths!$E$204&lt;=C2182*12)),Paths!$H$204,0),"n.a."))</f>
        <v>0</v>
      </c>
      <c r="K2182" s="16">
        <f>IF(NOT(Paths!$C$204=1),0,IF(Paths!$P$204="Complete",IF(IF(Paths!$O$204=0,C2182=0,AND(C2182&gt;0,Paths!$O$204&gt;(C2182-1)*12,Paths!$O$204&lt;=C2182*12)),Paths!$N$204,0),"n.a."))</f>
        <v>0</v>
      </c>
      <c r="L2182" s="16">
        <f>IF(NOT(Paths!$C$204=1),0,IF(Paths!$P$204="Complete",IF(C2182=10,Paths!$I$204,0),"n.a."))</f>
        <v>0</v>
      </c>
      <c r="M2182" s="16">
        <f>IF(NOT(Paths!$C$204=1),0,IF(Paths!$P$204="Complete",IF(AND(Paths!$D$204="EV",Paths!$E$204&lt;120,Paths!$E$204+'Operating costs'!$B$65&gt;Paths!$E$204,Paths!$E$204+'Operating costs'!$B$65&lt;=120,IF(Paths!$E$204+'Operating costs'!$B$65=0,C2182=0,AND(C2182&gt;0,Paths!$E$204+'Operating costs'!$B$65&gt;(C2182-1)*12,Paths!$E$204+'Operating costs'!$B$65&lt;=C2182*12))),'Operating costs'!$B$64,0)+IF(AND('Operating costs'!$B$67&gt;0,'Operating costs'!$B$67&lt;=120,OR(Paths!$D$204="ICE",'Operating costs'!$B$67&lt;=Paths!$E$204),IF('Operating costs'!$B$67=0,C2182=0,AND(C2182&gt;0,'Operating costs'!$B$67&gt;(C2182-1)*12,'Operating costs'!$B$67&lt;=C2182*12))),'Operating costs'!$B$66,0),"n.a."))</f>
        <v>0</v>
      </c>
      <c r="N2182" s="16">
        <f>IF(NOT(Paths!$C$204=1),0,IF(Paths!$P$204="Complete",SUM(G2182:I2182)-J2182-K2182-L2182+M2182+IF(C2182=0,Paths!$F$204,0)+IF(IF(Paths!$E$204=0,C2182=0,AND(C2182&gt;0,Paths!$E$204&gt;(C2182-1)*12,Paths!$E$204&lt;=C2182*12)),VLOOKUP(A2182,'Fleet register'!$A$7:$S$106,16,FALSE),0),"n.a."))</f>
        <v>0</v>
      </c>
      <c r="O2182" s="16">
        <f>IF(NOT(Paths!$C$204=1),0,IF(Paths!$P$204="Complete",N2182-IF(C2182=0,Paths!$F$204,0),"n.a."))</f>
        <v>0</v>
      </c>
      <c r="P2182" s="16">
        <f>IF(NOT(Paths!$C$204=1),0,IF(Paths!$P$204="Complete",O2182+L2182,"n.a."))</f>
        <v>0</v>
      </c>
      <c r="Q2182" s="16">
        <f>IF(NOT(Paths!$C$204=1),0,IF(Paths!$P$204="Complete",N2182*(1+'Operating costs'!$B$54)^-C2182,"n.a."))</f>
        <v>0</v>
      </c>
      <c r="R2182" s="16">
        <f>IF(NOT(Paths!$C$204=1),0,IF(Paths!$P$204="Complete",IF(AND(C2182=0,Paths!$E$204=0),I2182-J2182-K2182+VLOOKUP(A2182,'Fleet register'!$A$7:$S$106,15,FALSE)+VLOOKUP(A2182,'Fleet register'!$A$7:$S$106,16,FALSE),0),"n.a."))</f>
        <v>0</v>
      </c>
      <c r="S2182" s="1">
        <f>IF(NOT(Paths!$C$204=1),0,IF(Paths!$P$204="Complete",IF(C2182=0,0,Paths!$S$204*Paths!$R$204),"n.a."))</f>
        <v>0</v>
      </c>
      <c r="T2182" s="1">
        <f>IF(NOT(Paths!$C$204=1),0,IF(Paths!$P$204="Complete",IF(C2182=0,0,VLOOKUP(A2182,'Fleet register'!$A$7:$S$106,9,FALSE)*Paths!$R$204),"n.a."))</f>
        <v>0</v>
      </c>
    </row>
    <row r="2183" spans="1:20" ht="24" customHeight="1">
      <c r="A2183" s="1" t="str">
        <f>Paths!$A$204</f>
        <v>T050</v>
      </c>
      <c r="B2183" s="1">
        <f>Paths!$B$204</f>
        <v>1</v>
      </c>
      <c r="C2183" s="1">
        <v>9</v>
      </c>
      <c r="D2183" s="1">
        <v>204</v>
      </c>
      <c r="E2183" s="1">
        <f>IF(OR(Paths!$C$204=0,C2183=0),0,MAX(0,MIN(C2183*12,Paths!$E$204)-(C2183-1)*12))</f>
        <v>0</v>
      </c>
      <c r="F2183" s="1">
        <f>IF(OR(Paths!$C$204=0,C2183=0),0,12-E2183)</f>
        <v>0</v>
      </c>
      <c r="G2183" s="16">
        <f>IF(NOT(Paths!$C$204=1),0,IF(Paths!$P$204="Complete",E2183/12*(Paths!$J$204*(1+'Operating costs'!$B$51)^MAX(0,C2183-1)+Paths!$K$204*(1+'Operating costs'!$B$53)^MAX(0,C2183-1)),"n.a."))</f>
        <v>0</v>
      </c>
      <c r="H2183" s="16">
        <f>IF(NOT(Paths!$C$204=1),0,IF(Paths!$P$204="Complete",F2183/12*(Paths!$L$204*(1+IF(Paths!$D$204="EV",'Operating costs'!$B$52,'Operating costs'!$B$51))^MAX(0,C2183-1)+Paths!$M$204*(1+'Operating costs'!$B$53)^MAX(0,C2183-1)),"n.a."))</f>
        <v>0</v>
      </c>
      <c r="I2183" s="16">
        <f>IF(NOT(Paths!$C$204=1),0,IF(Paths!$P$204="Complete",IF(IF(Paths!$E$204=0,C2183=0,AND(C2183&gt;0,Paths!$E$204&gt;(C2183-1)*12,Paths!$E$204&lt;=C2183*12)),Paths!$G$204,0),"n.a."))</f>
        <v>0</v>
      </c>
      <c r="J2183" s="16">
        <f>IF(NOT(Paths!$C$204=1),0,IF(Paths!$P$204="Complete",IF(IF(Paths!$E$204=0,C2183=0,AND(C2183&gt;0,Paths!$E$204&gt;(C2183-1)*12,Paths!$E$204&lt;=C2183*12)),Paths!$H$204,0),"n.a."))</f>
        <v>0</v>
      </c>
      <c r="K2183" s="16">
        <f>IF(NOT(Paths!$C$204=1),0,IF(Paths!$P$204="Complete",IF(IF(Paths!$O$204=0,C2183=0,AND(C2183&gt;0,Paths!$O$204&gt;(C2183-1)*12,Paths!$O$204&lt;=C2183*12)),Paths!$N$204,0),"n.a."))</f>
        <v>0</v>
      </c>
      <c r="L2183" s="16">
        <f>IF(NOT(Paths!$C$204=1),0,IF(Paths!$P$204="Complete",IF(C2183=10,Paths!$I$204,0),"n.a."))</f>
        <v>0</v>
      </c>
      <c r="M2183" s="16">
        <f>IF(NOT(Paths!$C$204=1),0,IF(Paths!$P$204="Complete",IF(AND(Paths!$D$204="EV",Paths!$E$204&lt;120,Paths!$E$204+'Operating costs'!$B$65&gt;Paths!$E$204,Paths!$E$204+'Operating costs'!$B$65&lt;=120,IF(Paths!$E$204+'Operating costs'!$B$65=0,C2183=0,AND(C2183&gt;0,Paths!$E$204+'Operating costs'!$B$65&gt;(C2183-1)*12,Paths!$E$204+'Operating costs'!$B$65&lt;=C2183*12))),'Operating costs'!$B$64,0)+IF(AND('Operating costs'!$B$67&gt;0,'Operating costs'!$B$67&lt;=120,OR(Paths!$D$204="ICE",'Operating costs'!$B$67&lt;=Paths!$E$204),IF('Operating costs'!$B$67=0,C2183=0,AND(C2183&gt;0,'Operating costs'!$B$67&gt;(C2183-1)*12,'Operating costs'!$B$67&lt;=C2183*12))),'Operating costs'!$B$66,0),"n.a."))</f>
        <v>0</v>
      </c>
      <c r="N2183" s="16">
        <f>IF(NOT(Paths!$C$204=1),0,IF(Paths!$P$204="Complete",SUM(G2183:I2183)-J2183-K2183-L2183+M2183+IF(C2183=0,Paths!$F$204,0)+IF(IF(Paths!$E$204=0,C2183=0,AND(C2183&gt;0,Paths!$E$204&gt;(C2183-1)*12,Paths!$E$204&lt;=C2183*12)),VLOOKUP(A2183,'Fleet register'!$A$7:$S$106,16,FALSE),0),"n.a."))</f>
        <v>0</v>
      </c>
      <c r="O2183" s="16">
        <f>IF(NOT(Paths!$C$204=1),0,IF(Paths!$P$204="Complete",N2183-IF(C2183=0,Paths!$F$204,0),"n.a."))</f>
        <v>0</v>
      </c>
      <c r="P2183" s="16">
        <f>IF(NOT(Paths!$C$204=1),0,IF(Paths!$P$204="Complete",O2183+L2183,"n.a."))</f>
        <v>0</v>
      </c>
      <c r="Q2183" s="16">
        <f>IF(NOT(Paths!$C$204=1),0,IF(Paths!$P$204="Complete",N2183*(1+'Operating costs'!$B$54)^-C2183,"n.a."))</f>
        <v>0</v>
      </c>
      <c r="R2183" s="16">
        <f>IF(NOT(Paths!$C$204=1),0,IF(Paths!$P$204="Complete",IF(AND(C2183=0,Paths!$E$204=0),I2183-J2183-K2183+VLOOKUP(A2183,'Fleet register'!$A$7:$S$106,15,FALSE)+VLOOKUP(A2183,'Fleet register'!$A$7:$S$106,16,FALSE),0),"n.a."))</f>
        <v>0</v>
      </c>
      <c r="S2183" s="1">
        <f>IF(NOT(Paths!$C$204=1),0,IF(Paths!$P$204="Complete",IF(C2183=0,0,Paths!$S$204*Paths!$R$204),"n.a."))</f>
        <v>0</v>
      </c>
      <c r="T2183" s="1">
        <f>IF(NOT(Paths!$C$204=1),0,IF(Paths!$P$204="Complete",IF(C2183=0,0,VLOOKUP(A2183,'Fleet register'!$A$7:$S$106,9,FALSE)*Paths!$R$204),"n.a."))</f>
        <v>0</v>
      </c>
    </row>
    <row r="2184" spans="1:20" ht="24" customHeight="1">
      <c r="A2184" s="1" t="str">
        <f>Paths!$A$204</f>
        <v>T050</v>
      </c>
      <c r="B2184" s="1">
        <f>Paths!$B$204</f>
        <v>1</v>
      </c>
      <c r="C2184" s="1">
        <v>10</v>
      </c>
      <c r="D2184" s="1">
        <v>204</v>
      </c>
      <c r="E2184" s="1">
        <f>IF(OR(Paths!$C$204=0,C2184=0),0,MAX(0,MIN(C2184*12,Paths!$E$204)-(C2184-1)*12))</f>
        <v>0</v>
      </c>
      <c r="F2184" s="1">
        <f>IF(OR(Paths!$C$204=0,C2184=0),0,12-E2184)</f>
        <v>0</v>
      </c>
      <c r="G2184" s="16">
        <f>IF(NOT(Paths!$C$204=1),0,IF(Paths!$P$204="Complete",E2184/12*(Paths!$J$204*(1+'Operating costs'!$B$51)^MAX(0,C2184-1)+Paths!$K$204*(1+'Operating costs'!$B$53)^MAX(0,C2184-1)),"n.a."))</f>
        <v>0</v>
      </c>
      <c r="H2184" s="16">
        <f>IF(NOT(Paths!$C$204=1),0,IF(Paths!$P$204="Complete",F2184/12*(Paths!$L$204*(1+IF(Paths!$D$204="EV",'Operating costs'!$B$52,'Operating costs'!$B$51))^MAX(0,C2184-1)+Paths!$M$204*(1+'Operating costs'!$B$53)^MAX(0,C2184-1)),"n.a."))</f>
        <v>0</v>
      </c>
      <c r="I2184" s="16">
        <f>IF(NOT(Paths!$C$204=1),0,IF(Paths!$P$204="Complete",IF(IF(Paths!$E$204=0,C2184=0,AND(C2184&gt;0,Paths!$E$204&gt;(C2184-1)*12,Paths!$E$204&lt;=C2184*12)),Paths!$G$204,0),"n.a."))</f>
        <v>0</v>
      </c>
      <c r="J2184" s="16">
        <f>IF(NOT(Paths!$C$204=1),0,IF(Paths!$P$204="Complete",IF(IF(Paths!$E$204=0,C2184=0,AND(C2184&gt;0,Paths!$E$204&gt;(C2184-1)*12,Paths!$E$204&lt;=C2184*12)),Paths!$H$204,0),"n.a."))</f>
        <v>0</v>
      </c>
      <c r="K2184" s="16">
        <f>IF(NOT(Paths!$C$204=1),0,IF(Paths!$P$204="Complete",IF(IF(Paths!$O$204=0,C2184=0,AND(C2184&gt;0,Paths!$O$204&gt;(C2184-1)*12,Paths!$O$204&lt;=C2184*12)),Paths!$N$204,0),"n.a."))</f>
        <v>0</v>
      </c>
      <c r="L2184" s="16">
        <f>IF(NOT(Paths!$C$204=1),0,IF(Paths!$P$204="Complete",IF(C2184=10,Paths!$I$204,0),"n.a."))</f>
        <v>0</v>
      </c>
      <c r="M2184" s="16">
        <f>IF(NOT(Paths!$C$204=1),0,IF(Paths!$P$204="Complete",IF(AND(Paths!$D$204="EV",Paths!$E$204&lt;120,Paths!$E$204+'Operating costs'!$B$65&gt;Paths!$E$204,Paths!$E$204+'Operating costs'!$B$65&lt;=120,IF(Paths!$E$204+'Operating costs'!$B$65=0,C2184=0,AND(C2184&gt;0,Paths!$E$204+'Operating costs'!$B$65&gt;(C2184-1)*12,Paths!$E$204+'Operating costs'!$B$65&lt;=C2184*12))),'Operating costs'!$B$64,0)+IF(AND('Operating costs'!$B$67&gt;0,'Operating costs'!$B$67&lt;=120,OR(Paths!$D$204="ICE",'Operating costs'!$B$67&lt;=Paths!$E$204),IF('Operating costs'!$B$67=0,C2184=0,AND(C2184&gt;0,'Operating costs'!$B$67&gt;(C2184-1)*12,'Operating costs'!$B$67&lt;=C2184*12))),'Operating costs'!$B$66,0),"n.a."))</f>
        <v>0</v>
      </c>
      <c r="N2184" s="16">
        <f>IF(NOT(Paths!$C$204=1),0,IF(Paths!$P$204="Complete",SUM(G2184:I2184)-J2184-K2184-L2184+M2184+IF(C2184=0,Paths!$F$204,0)+IF(IF(Paths!$E$204=0,C2184=0,AND(C2184&gt;0,Paths!$E$204&gt;(C2184-1)*12,Paths!$E$204&lt;=C2184*12)),VLOOKUP(A2184,'Fleet register'!$A$7:$S$106,16,FALSE),0),"n.a."))</f>
        <v>0</v>
      </c>
      <c r="O2184" s="16">
        <f>IF(NOT(Paths!$C$204=1),0,IF(Paths!$P$204="Complete",N2184-IF(C2184=0,Paths!$F$204,0),"n.a."))</f>
        <v>0</v>
      </c>
      <c r="P2184" s="16">
        <f>IF(NOT(Paths!$C$204=1),0,IF(Paths!$P$204="Complete",O2184+L2184,"n.a."))</f>
        <v>0</v>
      </c>
      <c r="Q2184" s="16">
        <f>IF(NOT(Paths!$C$204=1),0,IF(Paths!$P$204="Complete",N2184*(1+'Operating costs'!$B$54)^-C2184,"n.a."))</f>
        <v>0</v>
      </c>
      <c r="R2184" s="16">
        <f>IF(NOT(Paths!$C$204=1),0,IF(Paths!$P$204="Complete",IF(AND(C2184=0,Paths!$E$204=0),I2184-J2184-K2184+VLOOKUP(A2184,'Fleet register'!$A$7:$S$106,15,FALSE)+VLOOKUP(A2184,'Fleet register'!$A$7:$S$106,16,FALSE),0),"n.a."))</f>
        <v>0</v>
      </c>
      <c r="S2184" s="1">
        <f>IF(NOT(Paths!$C$204=1),0,IF(Paths!$P$204="Complete",IF(C2184=0,0,Paths!$S$204*Paths!$R$204),"n.a."))</f>
        <v>0</v>
      </c>
      <c r="T2184" s="1">
        <f>IF(NOT(Paths!$C$204=1),0,IF(Paths!$P$204="Complete",IF(C2184=0,0,VLOOKUP(A2184,'Fleet register'!$A$7:$S$106,9,FALSE)*Paths!$R$204),"n.a."))</f>
        <v>0</v>
      </c>
    </row>
    <row r="2185" spans="1:20" ht="24" customHeight="1">
      <c r="A2185" s="1" t="str">
        <f>Paths!$A$205</f>
        <v>T050</v>
      </c>
      <c r="B2185" s="1">
        <f>Paths!$B$205</f>
        <v>2</v>
      </c>
      <c r="C2185" s="1">
        <v>0</v>
      </c>
      <c r="D2185" s="1">
        <v>205</v>
      </c>
      <c r="E2185" s="1">
        <f>IF(OR(Paths!$C$205=0,C2185=0),0,MAX(0,MIN(C2185*12,Paths!$E$205)-(C2185-1)*12))</f>
        <v>0</v>
      </c>
      <c r="F2185" s="1">
        <f>IF(OR(Paths!$C$205=0,C2185=0),0,12-E2185)</f>
        <v>0</v>
      </c>
      <c r="G2185" s="16">
        <f>IF(NOT(Paths!$C$205=1),0,IF(Paths!$P$205="Complete",E2185/12*(Paths!$J$205*(1+'Operating costs'!$B$51)^MAX(0,C2185-1)+Paths!$K$205*(1+'Operating costs'!$B$53)^MAX(0,C2185-1)),"n.a."))</f>
        <v>0</v>
      </c>
      <c r="H2185" s="16">
        <f>IF(NOT(Paths!$C$205=1),0,IF(Paths!$P$205="Complete",F2185/12*(Paths!$L$205*(1+IF(Paths!$D$205="EV",'Operating costs'!$B$52,'Operating costs'!$B$51))^MAX(0,C2185-1)+Paths!$M$205*(1+'Operating costs'!$B$53)^MAX(0,C2185-1)),"n.a."))</f>
        <v>0</v>
      </c>
      <c r="I2185" s="16">
        <f>IF(NOT(Paths!$C$205=1),0,IF(Paths!$P$205="Complete",IF(IF(Paths!$E$205=0,C2185=0,AND(C2185&gt;0,Paths!$E$205&gt;(C2185-1)*12,Paths!$E$205&lt;=C2185*12)),Paths!$G$205,0),"n.a."))</f>
        <v>0</v>
      </c>
      <c r="J2185" s="16">
        <f>IF(NOT(Paths!$C$205=1),0,IF(Paths!$P$205="Complete",IF(IF(Paths!$E$205=0,C2185=0,AND(C2185&gt;0,Paths!$E$205&gt;(C2185-1)*12,Paths!$E$205&lt;=C2185*12)),Paths!$H$205,0),"n.a."))</f>
        <v>0</v>
      </c>
      <c r="K2185" s="16">
        <f>IF(NOT(Paths!$C$205=1),0,IF(Paths!$P$205="Complete",IF(IF(Paths!$O$205=0,C2185=0,AND(C2185&gt;0,Paths!$O$205&gt;(C2185-1)*12,Paths!$O$205&lt;=C2185*12)),Paths!$N$205,0),"n.a."))</f>
        <v>0</v>
      </c>
      <c r="L2185" s="16">
        <f>IF(NOT(Paths!$C$205=1),0,IF(Paths!$P$205="Complete",IF(C2185=10,Paths!$I$205,0),"n.a."))</f>
        <v>0</v>
      </c>
      <c r="M2185" s="16">
        <f>IF(NOT(Paths!$C$205=1),0,IF(Paths!$P$205="Complete",IF(AND(Paths!$D$205="EV",Paths!$E$205&lt;120,Paths!$E$205+'Operating costs'!$B$65&gt;Paths!$E$205,Paths!$E$205+'Operating costs'!$B$65&lt;=120,IF(Paths!$E$205+'Operating costs'!$B$65=0,C2185=0,AND(C2185&gt;0,Paths!$E$205+'Operating costs'!$B$65&gt;(C2185-1)*12,Paths!$E$205+'Operating costs'!$B$65&lt;=C2185*12))),'Operating costs'!$B$64,0)+IF(AND('Operating costs'!$B$67&gt;0,'Operating costs'!$B$67&lt;=120,OR(Paths!$D$205="ICE",'Operating costs'!$B$67&lt;=Paths!$E$205),IF('Operating costs'!$B$67=0,C2185=0,AND(C2185&gt;0,'Operating costs'!$B$67&gt;(C2185-1)*12,'Operating costs'!$B$67&lt;=C2185*12))),'Operating costs'!$B$66,0),"n.a."))</f>
        <v>0</v>
      </c>
      <c r="N2185" s="16">
        <f>IF(NOT(Paths!$C$205=1),0,IF(Paths!$P$205="Complete",SUM(G2185:I2185)-J2185-K2185-L2185+M2185+IF(C2185=0,Paths!$F$205,0)+IF(IF(Paths!$E$205=0,C2185=0,AND(C2185&gt;0,Paths!$E$205&gt;(C2185-1)*12,Paths!$E$205&lt;=C2185*12)),VLOOKUP(A2185,'Fleet register'!$A$7:$S$106,16,FALSE),0),"n.a."))</f>
        <v>0</v>
      </c>
      <c r="O2185" s="16">
        <f>IF(NOT(Paths!$C$205=1),0,IF(Paths!$P$205="Complete",N2185-IF(C2185=0,Paths!$F$205,0),"n.a."))</f>
        <v>0</v>
      </c>
      <c r="P2185" s="16">
        <f>IF(NOT(Paths!$C$205=1),0,IF(Paths!$P$205="Complete",O2185+L2185,"n.a."))</f>
        <v>0</v>
      </c>
      <c r="Q2185" s="16">
        <f>IF(NOT(Paths!$C$205=1),0,IF(Paths!$P$205="Complete",N2185*(1+'Operating costs'!$B$54)^-C2185,"n.a."))</f>
        <v>0</v>
      </c>
      <c r="R2185" s="16">
        <f>IF(NOT(Paths!$C$205=1),0,IF(Paths!$P$205="Complete",IF(AND(C2185=0,Paths!$E$205=0),I2185-J2185-K2185+VLOOKUP(A2185,'Fleet register'!$A$7:$S$106,15,FALSE)+VLOOKUP(A2185,'Fleet register'!$A$7:$S$106,16,FALSE),0),"n.a."))</f>
        <v>0</v>
      </c>
      <c r="S2185" s="1">
        <f>IF(NOT(Paths!$C$205=1),0,IF(Paths!$P$205="Complete",IF(C2185=0,0,Paths!$S$205*Paths!$R$205),"n.a."))</f>
        <v>0</v>
      </c>
      <c r="T2185" s="1">
        <f>IF(NOT(Paths!$C$205=1),0,IF(Paths!$P$205="Complete",IF(C2185=0,0,VLOOKUP(A2185,'Fleet register'!$A$7:$S$106,9,FALSE)*Paths!$R$205),"n.a."))</f>
        <v>0</v>
      </c>
    </row>
    <row r="2186" spans="1:20" ht="24" customHeight="1">
      <c r="A2186" s="1" t="str">
        <f>Paths!$A$205</f>
        <v>T050</v>
      </c>
      <c r="B2186" s="1">
        <f>Paths!$B$205</f>
        <v>2</v>
      </c>
      <c r="C2186" s="1">
        <v>1</v>
      </c>
      <c r="D2186" s="1">
        <v>205</v>
      </c>
      <c r="E2186" s="1">
        <f>IF(OR(Paths!$C$205=0,C2186=0),0,MAX(0,MIN(C2186*12,Paths!$E$205)-(C2186-1)*12))</f>
        <v>0</v>
      </c>
      <c r="F2186" s="1">
        <f>IF(OR(Paths!$C$205=0,C2186=0),0,12-E2186)</f>
        <v>0</v>
      </c>
      <c r="G2186" s="16">
        <f>IF(NOT(Paths!$C$205=1),0,IF(Paths!$P$205="Complete",E2186/12*(Paths!$J$205*(1+'Operating costs'!$B$51)^MAX(0,C2186-1)+Paths!$K$205*(1+'Operating costs'!$B$53)^MAX(0,C2186-1)),"n.a."))</f>
        <v>0</v>
      </c>
      <c r="H2186" s="16">
        <f>IF(NOT(Paths!$C$205=1),0,IF(Paths!$P$205="Complete",F2186/12*(Paths!$L$205*(1+IF(Paths!$D$205="EV",'Operating costs'!$B$52,'Operating costs'!$B$51))^MAX(0,C2186-1)+Paths!$M$205*(1+'Operating costs'!$B$53)^MAX(0,C2186-1)),"n.a."))</f>
        <v>0</v>
      </c>
      <c r="I2186" s="16">
        <f>IF(NOT(Paths!$C$205=1),0,IF(Paths!$P$205="Complete",IF(IF(Paths!$E$205=0,C2186=0,AND(C2186&gt;0,Paths!$E$205&gt;(C2186-1)*12,Paths!$E$205&lt;=C2186*12)),Paths!$G$205,0),"n.a."))</f>
        <v>0</v>
      </c>
      <c r="J2186" s="16">
        <f>IF(NOT(Paths!$C$205=1),0,IF(Paths!$P$205="Complete",IF(IF(Paths!$E$205=0,C2186=0,AND(C2186&gt;0,Paths!$E$205&gt;(C2186-1)*12,Paths!$E$205&lt;=C2186*12)),Paths!$H$205,0),"n.a."))</f>
        <v>0</v>
      </c>
      <c r="K2186" s="16">
        <f>IF(NOT(Paths!$C$205=1),0,IF(Paths!$P$205="Complete",IF(IF(Paths!$O$205=0,C2186=0,AND(C2186&gt;0,Paths!$O$205&gt;(C2186-1)*12,Paths!$O$205&lt;=C2186*12)),Paths!$N$205,0),"n.a."))</f>
        <v>0</v>
      </c>
      <c r="L2186" s="16">
        <f>IF(NOT(Paths!$C$205=1),0,IF(Paths!$P$205="Complete",IF(C2186=10,Paths!$I$205,0),"n.a."))</f>
        <v>0</v>
      </c>
      <c r="M2186" s="16">
        <f>IF(NOT(Paths!$C$205=1),0,IF(Paths!$P$205="Complete",IF(AND(Paths!$D$205="EV",Paths!$E$205&lt;120,Paths!$E$205+'Operating costs'!$B$65&gt;Paths!$E$205,Paths!$E$205+'Operating costs'!$B$65&lt;=120,IF(Paths!$E$205+'Operating costs'!$B$65=0,C2186=0,AND(C2186&gt;0,Paths!$E$205+'Operating costs'!$B$65&gt;(C2186-1)*12,Paths!$E$205+'Operating costs'!$B$65&lt;=C2186*12))),'Operating costs'!$B$64,0)+IF(AND('Operating costs'!$B$67&gt;0,'Operating costs'!$B$67&lt;=120,OR(Paths!$D$205="ICE",'Operating costs'!$B$67&lt;=Paths!$E$205),IF('Operating costs'!$B$67=0,C2186=0,AND(C2186&gt;0,'Operating costs'!$B$67&gt;(C2186-1)*12,'Operating costs'!$B$67&lt;=C2186*12))),'Operating costs'!$B$66,0),"n.a."))</f>
        <v>0</v>
      </c>
      <c r="N2186" s="16">
        <f>IF(NOT(Paths!$C$205=1),0,IF(Paths!$P$205="Complete",SUM(G2186:I2186)-J2186-K2186-L2186+M2186+IF(C2186=0,Paths!$F$205,0)+IF(IF(Paths!$E$205=0,C2186=0,AND(C2186&gt;0,Paths!$E$205&gt;(C2186-1)*12,Paths!$E$205&lt;=C2186*12)),VLOOKUP(A2186,'Fleet register'!$A$7:$S$106,16,FALSE),0),"n.a."))</f>
        <v>0</v>
      </c>
      <c r="O2186" s="16">
        <f>IF(NOT(Paths!$C$205=1),0,IF(Paths!$P$205="Complete",N2186-IF(C2186=0,Paths!$F$205,0),"n.a."))</f>
        <v>0</v>
      </c>
      <c r="P2186" s="16">
        <f>IF(NOT(Paths!$C$205=1),0,IF(Paths!$P$205="Complete",O2186+L2186,"n.a."))</f>
        <v>0</v>
      </c>
      <c r="Q2186" s="16">
        <f>IF(NOT(Paths!$C$205=1),0,IF(Paths!$P$205="Complete",N2186*(1+'Operating costs'!$B$54)^-C2186,"n.a."))</f>
        <v>0</v>
      </c>
      <c r="R2186" s="16">
        <f>IF(NOT(Paths!$C$205=1),0,IF(Paths!$P$205="Complete",IF(AND(C2186=0,Paths!$E$205=0),I2186-J2186-K2186+VLOOKUP(A2186,'Fleet register'!$A$7:$S$106,15,FALSE)+VLOOKUP(A2186,'Fleet register'!$A$7:$S$106,16,FALSE),0),"n.a."))</f>
        <v>0</v>
      </c>
      <c r="S2186" s="1">
        <f>IF(NOT(Paths!$C$205=1),0,IF(Paths!$P$205="Complete",IF(C2186=0,0,Paths!$S$205*Paths!$R$205),"n.a."))</f>
        <v>0</v>
      </c>
      <c r="T2186" s="1">
        <f>IF(NOT(Paths!$C$205=1),0,IF(Paths!$P$205="Complete",IF(C2186=0,0,VLOOKUP(A2186,'Fleet register'!$A$7:$S$106,9,FALSE)*Paths!$R$205),"n.a."))</f>
        <v>0</v>
      </c>
    </row>
    <row r="2187" spans="1:20" ht="24" customHeight="1">
      <c r="A2187" s="1" t="str">
        <f>Paths!$A$205</f>
        <v>T050</v>
      </c>
      <c r="B2187" s="1">
        <f>Paths!$B$205</f>
        <v>2</v>
      </c>
      <c r="C2187" s="1">
        <v>2</v>
      </c>
      <c r="D2187" s="1">
        <v>205</v>
      </c>
      <c r="E2187" s="1">
        <f>IF(OR(Paths!$C$205=0,C2187=0),0,MAX(0,MIN(C2187*12,Paths!$E$205)-(C2187-1)*12))</f>
        <v>0</v>
      </c>
      <c r="F2187" s="1">
        <f>IF(OR(Paths!$C$205=0,C2187=0),0,12-E2187)</f>
        <v>0</v>
      </c>
      <c r="G2187" s="16">
        <f>IF(NOT(Paths!$C$205=1),0,IF(Paths!$P$205="Complete",E2187/12*(Paths!$J$205*(1+'Operating costs'!$B$51)^MAX(0,C2187-1)+Paths!$K$205*(1+'Operating costs'!$B$53)^MAX(0,C2187-1)),"n.a."))</f>
        <v>0</v>
      </c>
      <c r="H2187" s="16">
        <f>IF(NOT(Paths!$C$205=1),0,IF(Paths!$P$205="Complete",F2187/12*(Paths!$L$205*(1+IF(Paths!$D$205="EV",'Operating costs'!$B$52,'Operating costs'!$B$51))^MAX(0,C2187-1)+Paths!$M$205*(1+'Operating costs'!$B$53)^MAX(0,C2187-1)),"n.a."))</f>
        <v>0</v>
      </c>
      <c r="I2187" s="16">
        <f>IF(NOT(Paths!$C$205=1),0,IF(Paths!$P$205="Complete",IF(IF(Paths!$E$205=0,C2187=0,AND(C2187&gt;0,Paths!$E$205&gt;(C2187-1)*12,Paths!$E$205&lt;=C2187*12)),Paths!$G$205,0),"n.a."))</f>
        <v>0</v>
      </c>
      <c r="J2187" s="16">
        <f>IF(NOT(Paths!$C$205=1),0,IF(Paths!$P$205="Complete",IF(IF(Paths!$E$205=0,C2187=0,AND(C2187&gt;0,Paths!$E$205&gt;(C2187-1)*12,Paths!$E$205&lt;=C2187*12)),Paths!$H$205,0),"n.a."))</f>
        <v>0</v>
      </c>
      <c r="K2187" s="16">
        <f>IF(NOT(Paths!$C$205=1),0,IF(Paths!$P$205="Complete",IF(IF(Paths!$O$205=0,C2187=0,AND(C2187&gt;0,Paths!$O$205&gt;(C2187-1)*12,Paths!$O$205&lt;=C2187*12)),Paths!$N$205,0),"n.a."))</f>
        <v>0</v>
      </c>
      <c r="L2187" s="16">
        <f>IF(NOT(Paths!$C$205=1),0,IF(Paths!$P$205="Complete",IF(C2187=10,Paths!$I$205,0),"n.a."))</f>
        <v>0</v>
      </c>
      <c r="M2187" s="16">
        <f>IF(NOT(Paths!$C$205=1),0,IF(Paths!$P$205="Complete",IF(AND(Paths!$D$205="EV",Paths!$E$205&lt;120,Paths!$E$205+'Operating costs'!$B$65&gt;Paths!$E$205,Paths!$E$205+'Operating costs'!$B$65&lt;=120,IF(Paths!$E$205+'Operating costs'!$B$65=0,C2187=0,AND(C2187&gt;0,Paths!$E$205+'Operating costs'!$B$65&gt;(C2187-1)*12,Paths!$E$205+'Operating costs'!$B$65&lt;=C2187*12))),'Operating costs'!$B$64,0)+IF(AND('Operating costs'!$B$67&gt;0,'Operating costs'!$B$67&lt;=120,OR(Paths!$D$205="ICE",'Operating costs'!$B$67&lt;=Paths!$E$205),IF('Operating costs'!$B$67=0,C2187=0,AND(C2187&gt;0,'Operating costs'!$B$67&gt;(C2187-1)*12,'Operating costs'!$B$67&lt;=C2187*12))),'Operating costs'!$B$66,0),"n.a."))</f>
        <v>0</v>
      </c>
      <c r="N2187" s="16">
        <f>IF(NOT(Paths!$C$205=1),0,IF(Paths!$P$205="Complete",SUM(G2187:I2187)-J2187-K2187-L2187+M2187+IF(C2187=0,Paths!$F$205,0)+IF(IF(Paths!$E$205=0,C2187=0,AND(C2187&gt;0,Paths!$E$205&gt;(C2187-1)*12,Paths!$E$205&lt;=C2187*12)),VLOOKUP(A2187,'Fleet register'!$A$7:$S$106,16,FALSE),0),"n.a."))</f>
        <v>0</v>
      </c>
      <c r="O2187" s="16">
        <f>IF(NOT(Paths!$C$205=1),0,IF(Paths!$P$205="Complete",N2187-IF(C2187=0,Paths!$F$205,0),"n.a."))</f>
        <v>0</v>
      </c>
      <c r="P2187" s="16">
        <f>IF(NOT(Paths!$C$205=1),0,IF(Paths!$P$205="Complete",O2187+L2187,"n.a."))</f>
        <v>0</v>
      </c>
      <c r="Q2187" s="16">
        <f>IF(NOT(Paths!$C$205=1),0,IF(Paths!$P$205="Complete",N2187*(1+'Operating costs'!$B$54)^-C2187,"n.a."))</f>
        <v>0</v>
      </c>
      <c r="R2187" s="16">
        <f>IF(NOT(Paths!$C$205=1),0,IF(Paths!$P$205="Complete",IF(AND(C2187=0,Paths!$E$205=0),I2187-J2187-K2187+VLOOKUP(A2187,'Fleet register'!$A$7:$S$106,15,FALSE)+VLOOKUP(A2187,'Fleet register'!$A$7:$S$106,16,FALSE),0),"n.a."))</f>
        <v>0</v>
      </c>
      <c r="S2187" s="1">
        <f>IF(NOT(Paths!$C$205=1),0,IF(Paths!$P$205="Complete",IF(C2187=0,0,Paths!$S$205*Paths!$R$205),"n.a."))</f>
        <v>0</v>
      </c>
      <c r="T2187" s="1">
        <f>IF(NOT(Paths!$C$205=1),0,IF(Paths!$P$205="Complete",IF(C2187=0,0,VLOOKUP(A2187,'Fleet register'!$A$7:$S$106,9,FALSE)*Paths!$R$205),"n.a."))</f>
        <v>0</v>
      </c>
    </row>
    <row r="2188" spans="1:20" ht="24" customHeight="1">
      <c r="A2188" s="1" t="str">
        <f>Paths!$A$205</f>
        <v>T050</v>
      </c>
      <c r="B2188" s="1">
        <f>Paths!$B$205</f>
        <v>2</v>
      </c>
      <c r="C2188" s="1">
        <v>3</v>
      </c>
      <c r="D2188" s="1">
        <v>205</v>
      </c>
      <c r="E2188" s="1">
        <f>IF(OR(Paths!$C$205=0,C2188=0),0,MAX(0,MIN(C2188*12,Paths!$E$205)-(C2188-1)*12))</f>
        <v>0</v>
      </c>
      <c r="F2188" s="1">
        <f>IF(OR(Paths!$C$205=0,C2188=0),0,12-E2188)</f>
        <v>0</v>
      </c>
      <c r="G2188" s="16">
        <f>IF(NOT(Paths!$C$205=1),0,IF(Paths!$P$205="Complete",E2188/12*(Paths!$J$205*(1+'Operating costs'!$B$51)^MAX(0,C2188-1)+Paths!$K$205*(1+'Operating costs'!$B$53)^MAX(0,C2188-1)),"n.a."))</f>
        <v>0</v>
      </c>
      <c r="H2188" s="16">
        <f>IF(NOT(Paths!$C$205=1),0,IF(Paths!$P$205="Complete",F2188/12*(Paths!$L$205*(1+IF(Paths!$D$205="EV",'Operating costs'!$B$52,'Operating costs'!$B$51))^MAX(0,C2188-1)+Paths!$M$205*(1+'Operating costs'!$B$53)^MAX(0,C2188-1)),"n.a."))</f>
        <v>0</v>
      </c>
      <c r="I2188" s="16">
        <f>IF(NOT(Paths!$C$205=1),0,IF(Paths!$P$205="Complete",IF(IF(Paths!$E$205=0,C2188=0,AND(C2188&gt;0,Paths!$E$205&gt;(C2188-1)*12,Paths!$E$205&lt;=C2188*12)),Paths!$G$205,0),"n.a."))</f>
        <v>0</v>
      </c>
      <c r="J2188" s="16">
        <f>IF(NOT(Paths!$C$205=1),0,IF(Paths!$P$205="Complete",IF(IF(Paths!$E$205=0,C2188=0,AND(C2188&gt;0,Paths!$E$205&gt;(C2188-1)*12,Paths!$E$205&lt;=C2188*12)),Paths!$H$205,0),"n.a."))</f>
        <v>0</v>
      </c>
      <c r="K2188" s="16">
        <f>IF(NOT(Paths!$C$205=1),0,IF(Paths!$P$205="Complete",IF(IF(Paths!$O$205=0,C2188=0,AND(C2188&gt;0,Paths!$O$205&gt;(C2188-1)*12,Paths!$O$205&lt;=C2188*12)),Paths!$N$205,0),"n.a."))</f>
        <v>0</v>
      </c>
      <c r="L2188" s="16">
        <f>IF(NOT(Paths!$C$205=1),0,IF(Paths!$P$205="Complete",IF(C2188=10,Paths!$I$205,0),"n.a."))</f>
        <v>0</v>
      </c>
      <c r="M2188" s="16">
        <f>IF(NOT(Paths!$C$205=1),0,IF(Paths!$P$205="Complete",IF(AND(Paths!$D$205="EV",Paths!$E$205&lt;120,Paths!$E$205+'Operating costs'!$B$65&gt;Paths!$E$205,Paths!$E$205+'Operating costs'!$B$65&lt;=120,IF(Paths!$E$205+'Operating costs'!$B$65=0,C2188=0,AND(C2188&gt;0,Paths!$E$205+'Operating costs'!$B$65&gt;(C2188-1)*12,Paths!$E$205+'Operating costs'!$B$65&lt;=C2188*12))),'Operating costs'!$B$64,0)+IF(AND('Operating costs'!$B$67&gt;0,'Operating costs'!$B$67&lt;=120,OR(Paths!$D$205="ICE",'Operating costs'!$B$67&lt;=Paths!$E$205),IF('Operating costs'!$B$67=0,C2188=0,AND(C2188&gt;0,'Operating costs'!$B$67&gt;(C2188-1)*12,'Operating costs'!$B$67&lt;=C2188*12))),'Operating costs'!$B$66,0),"n.a."))</f>
        <v>0</v>
      </c>
      <c r="N2188" s="16">
        <f>IF(NOT(Paths!$C$205=1),0,IF(Paths!$P$205="Complete",SUM(G2188:I2188)-J2188-K2188-L2188+M2188+IF(C2188=0,Paths!$F$205,0)+IF(IF(Paths!$E$205=0,C2188=0,AND(C2188&gt;0,Paths!$E$205&gt;(C2188-1)*12,Paths!$E$205&lt;=C2188*12)),VLOOKUP(A2188,'Fleet register'!$A$7:$S$106,16,FALSE),0),"n.a."))</f>
        <v>0</v>
      </c>
      <c r="O2188" s="16">
        <f>IF(NOT(Paths!$C$205=1),0,IF(Paths!$P$205="Complete",N2188-IF(C2188=0,Paths!$F$205,0),"n.a."))</f>
        <v>0</v>
      </c>
      <c r="P2188" s="16">
        <f>IF(NOT(Paths!$C$205=1),0,IF(Paths!$P$205="Complete",O2188+L2188,"n.a."))</f>
        <v>0</v>
      </c>
      <c r="Q2188" s="16">
        <f>IF(NOT(Paths!$C$205=1),0,IF(Paths!$P$205="Complete",N2188*(1+'Operating costs'!$B$54)^-C2188,"n.a."))</f>
        <v>0</v>
      </c>
      <c r="R2188" s="16">
        <f>IF(NOT(Paths!$C$205=1),0,IF(Paths!$P$205="Complete",IF(AND(C2188=0,Paths!$E$205=0),I2188-J2188-K2188+VLOOKUP(A2188,'Fleet register'!$A$7:$S$106,15,FALSE)+VLOOKUP(A2188,'Fleet register'!$A$7:$S$106,16,FALSE),0),"n.a."))</f>
        <v>0</v>
      </c>
      <c r="S2188" s="1">
        <f>IF(NOT(Paths!$C$205=1),0,IF(Paths!$P$205="Complete",IF(C2188=0,0,Paths!$S$205*Paths!$R$205),"n.a."))</f>
        <v>0</v>
      </c>
      <c r="T2188" s="1">
        <f>IF(NOT(Paths!$C$205=1),0,IF(Paths!$P$205="Complete",IF(C2188=0,0,VLOOKUP(A2188,'Fleet register'!$A$7:$S$106,9,FALSE)*Paths!$R$205),"n.a."))</f>
        <v>0</v>
      </c>
    </row>
    <row r="2189" spans="1:20" ht="24" customHeight="1">
      <c r="A2189" s="1" t="str">
        <f>Paths!$A$205</f>
        <v>T050</v>
      </c>
      <c r="B2189" s="1">
        <f>Paths!$B$205</f>
        <v>2</v>
      </c>
      <c r="C2189" s="1">
        <v>4</v>
      </c>
      <c r="D2189" s="1">
        <v>205</v>
      </c>
      <c r="E2189" s="1">
        <f>IF(OR(Paths!$C$205=0,C2189=0),0,MAX(0,MIN(C2189*12,Paths!$E$205)-(C2189-1)*12))</f>
        <v>0</v>
      </c>
      <c r="F2189" s="1">
        <f>IF(OR(Paths!$C$205=0,C2189=0),0,12-E2189)</f>
        <v>0</v>
      </c>
      <c r="G2189" s="16">
        <f>IF(NOT(Paths!$C$205=1),0,IF(Paths!$P$205="Complete",E2189/12*(Paths!$J$205*(1+'Operating costs'!$B$51)^MAX(0,C2189-1)+Paths!$K$205*(1+'Operating costs'!$B$53)^MAX(0,C2189-1)),"n.a."))</f>
        <v>0</v>
      </c>
      <c r="H2189" s="16">
        <f>IF(NOT(Paths!$C$205=1),0,IF(Paths!$P$205="Complete",F2189/12*(Paths!$L$205*(1+IF(Paths!$D$205="EV",'Operating costs'!$B$52,'Operating costs'!$B$51))^MAX(0,C2189-1)+Paths!$M$205*(1+'Operating costs'!$B$53)^MAX(0,C2189-1)),"n.a."))</f>
        <v>0</v>
      </c>
      <c r="I2189" s="16">
        <f>IF(NOT(Paths!$C$205=1),0,IF(Paths!$P$205="Complete",IF(IF(Paths!$E$205=0,C2189=0,AND(C2189&gt;0,Paths!$E$205&gt;(C2189-1)*12,Paths!$E$205&lt;=C2189*12)),Paths!$G$205,0),"n.a."))</f>
        <v>0</v>
      </c>
      <c r="J2189" s="16">
        <f>IF(NOT(Paths!$C$205=1),0,IF(Paths!$P$205="Complete",IF(IF(Paths!$E$205=0,C2189=0,AND(C2189&gt;0,Paths!$E$205&gt;(C2189-1)*12,Paths!$E$205&lt;=C2189*12)),Paths!$H$205,0),"n.a."))</f>
        <v>0</v>
      </c>
      <c r="K2189" s="16">
        <f>IF(NOT(Paths!$C$205=1),0,IF(Paths!$P$205="Complete",IF(IF(Paths!$O$205=0,C2189=0,AND(C2189&gt;0,Paths!$O$205&gt;(C2189-1)*12,Paths!$O$205&lt;=C2189*12)),Paths!$N$205,0),"n.a."))</f>
        <v>0</v>
      </c>
      <c r="L2189" s="16">
        <f>IF(NOT(Paths!$C$205=1),0,IF(Paths!$P$205="Complete",IF(C2189=10,Paths!$I$205,0),"n.a."))</f>
        <v>0</v>
      </c>
      <c r="M2189" s="16">
        <f>IF(NOT(Paths!$C$205=1),0,IF(Paths!$P$205="Complete",IF(AND(Paths!$D$205="EV",Paths!$E$205&lt;120,Paths!$E$205+'Operating costs'!$B$65&gt;Paths!$E$205,Paths!$E$205+'Operating costs'!$B$65&lt;=120,IF(Paths!$E$205+'Operating costs'!$B$65=0,C2189=0,AND(C2189&gt;0,Paths!$E$205+'Operating costs'!$B$65&gt;(C2189-1)*12,Paths!$E$205+'Operating costs'!$B$65&lt;=C2189*12))),'Operating costs'!$B$64,0)+IF(AND('Operating costs'!$B$67&gt;0,'Operating costs'!$B$67&lt;=120,OR(Paths!$D$205="ICE",'Operating costs'!$B$67&lt;=Paths!$E$205),IF('Operating costs'!$B$67=0,C2189=0,AND(C2189&gt;0,'Operating costs'!$B$67&gt;(C2189-1)*12,'Operating costs'!$B$67&lt;=C2189*12))),'Operating costs'!$B$66,0),"n.a."))</f>
        <v>0</v>
      </c>
      <c r="N2189" s="16">
        <f>IF(NOT(Paths!$C$205=1),0,IF(Paths!$P$205="Complete",SUM(G2189:I2189)-J2189-K2189-L2189+M2189+IF(C2189=0,Paths!$F$205,0)+IF(IF(Paths!$E$205=0,C2189=0,AND(C2189&gt;0,Paths!$E$205&gt;(C2189-1)*12,Paths!$E$205&lt;=C2189*12)),VLOOKUP(A2189,'Fleet register'!$A$7:$S$106,16,FALSE),0),"n.a."))</f>
        <v>0</v>
      </c>
      <c r="O2189" s="16">
        <f>IF(NOT(Paths!$C$205=1),0,IF(Paths!$P$205="Complete",N2189-IF(C2189=0,Paths!$F$205,0),"n.a."))</f>
        <v>0</v>
      </c>
      <c r="P2189" s="16">
        <f>IF(NOT(Paths!$C$205=1),0,IF(Paths!$P$205="Complete",O2189+L2189,"n.a."))</f>
        <v>0</v>
      </c>
      <c r="Q2189" s="16">
        <f>IF(NOT(Paths!$C$205=1),0,IF(Paths!$P$205="Complete",N2189*(1+'Operating costs'!$B$54)^-C2189,"n.a."))</f>
        <v>0</v>
      </c>
      <c r="R2189" s="16">
        <f>IF(NOT(Paths!$C$205=1),0,IF(Paths!$P$205="Complete",IF(AND(C2189=0,Paths!$E$205=0),I2189-J2189-K2189+VLOOKUP(A2189,'Fleet register'!$A$7:$S$106,15,FALSE)+VLOOKUP(A2189,'Fleet register'!$A$7:$S$106,16,FALSE),0),"n.a."))</f>
        <v>0</v>
      </c>
      <c r="S2189" s="1">
        <f>IF(NOT(Paths!$C$205=1),0,IF(Paths!$P$205="Complete",IF(C2189=0,0,Paths!$S$205*Paths!$R$205),"n.a."))</f>
        <v>0</v>
      </c>
      <c r="T2189" s="1">
        <f>IF(NOT(Paths!$C$205=1),0,IF(Paths!$P$205="Complete",IF(C2189=0,0,VLOOKUP(A2189,'Fleet register'!$A$7:$S$106,9,FALSE)*Paths!$R$205),"n.a."))</f>
        <v>0</v>
      </c>
    </row>
    <row r="2190" spans="1:20" ht="24" customHeight="1">
      <c r="A2190" s="1" t="str">
        <f>Paths!$A$205</f>
        <v>T050</v>
      </c>
      <c r="B2190" s="1">
        <f>Paths!$B$205</f>
        <v>2</v>
      </c>
      <c r="C2190" s="1">
        <v>5</v>
      </c>
      <c r="D2190" s="1">
        <v>205</v>
      </c>
      <c r="E2190" s="1">
        <f>IF(OR(Paths!$C$205=0,C2190=0),0,MAX(0,MIN(C2190*12,Paths!$E$205)-(C2190-1)*12))</f>
        <v>0</v>
      </c>
      <c r="F2190" s="1">
        <f>IF(OR(Paths!$C$205=0,C2190=0),0,12-E2190)</f>
        <v>0</v>
      </c>
      <c r="G2190" s="16">
        <f>IF(NOT(Paths!$C$205=1),0,IF(Paths!$P$205="Complete",E2190/12*(Paths!$J$205*(1+'Operating costs'!$B$51)^MAX(0,C2190-1)+Paths!$K$205*(1+'Operating costs'!$B$53)^MAX(0,C2190-1)),"n.a."))</f>
        <v>0</v>
      </c>
      <c r="H2190" s="16">
        <f>IF(NOT(Paths!$C$205=1),0,IF(Paths!$P$205="Complete",F2190/12*(Paths!$L$205*(1+IF(Paths!$D$205="EV",'Operating costs'!$B$52,'Operating costs'!$B$51))^MAX(0,C2190-1)+Paths!$M$205*(1+'Operating costs'!$B$53)^MAX(0,C2190-1)),"n.a."))</f>
        <v>0</v>
      </c>
      <c r="I2190" s="16">
        <f>IF(NOT(Paths!$C$205=1),0,IF(Paths!$P$205="Complete",IF(IF(Paths!$E$205=0,C2190=0,AND(C2190&gt;0,Paths!$E$205&gt;(C2190-1)*12,Paths!$E$205&lt;=C2190*12)),Paths!$G$205,0),"n.a."))</f>
        <v>0</v>
      </c>
      <c r="J2190" s="16">
        <f>IF(NOT(Paths!$C$205=1),0,IF(Paths!$P$205="Complete",IF(IF(Paths!$E$205=0,C2190=0,AND(C2190&gt;0,Paths!$E$205&gt;(C2190-1)*12,Paths!$E$205&lt;=C2190*12)),Paths!$H$205,0),"n.a."))</f>
        <v>0</v>
      </c>
      <c r="K2190" s="16">
        <f>IF(NOT(Paths!$C$205=1),0,IF(Paths!$P$205="Complete",IF(IF(Paths!$O$205=0,C2190=0,AND(C2190&gt;0,Paths!$O$205&gt;(C2190-1)*12,Paths!$O$205&lt;=C2190*12)),Paths!$N$205,0),"n.a."))</f>
        <v>0</v>
      </c>
      <c r="L2190" s="16">
        <f>IF(NOT(Paths!$C$205=1),0,IF(Paths!$P$205="Complete",IF(C2190=10,Paths!$I$205,0),"n.a."))</f>
        <v>0</v>
      </c>
      <c r="M2190" s="16">
        <f>IF(NOT(Paths!$C$205=1),0,IF(Paths!$P$205="Complete",IF(AND(Paths!$D$205="EV",Paths!$E$205&lt;120,Paths!$E$205+'Operating costs'!$B$65&gt;Paths!$E$205,Paths!$E$205+'Operating costs'!$B$65&lt;=120,IF(Paths!$E$205+'Operating costs'!$B$65=0,C2190=0,AND(C2190&gt;0,Paths!$E$205+'Operating costs'!$B$65&gt;(C2190-1)*12,Paths!$E$205+'Operating costs'!$B$65&lt;=C2190*12))),'Operating costs'!$B$64,0)+IF(AND('Operating costs'!$B$67&gt;0,'Operating costs'!$B$67&lt;=120,OR(Paths!$D$205="ICE",'Operating costs'!$B$67&lt;=Paths!$E$205),IF('Operating costs'!$B$67=0,C2190=0,AND(C2190&gt;0,'Operating costs'!$B$67&gt;(C2190-1)*12,'Operating costs'!$B$67&lt;=C2190*12))),'Operating costs'!$B$66,0),"n.a."))</f>
        <v>0</v>
      </c>
      <c r="N2190" s="16">
        <f>IF(NOT(Paths!$C$205=1),0,IF(Paths!$P$205="Complete",SUM(G2190:I2190)-J2190-K2190-L2190+M2190+IF(C2190=0,Paths!$F$205,0)+IF(IF(Paths!$E$205=0,C2190=0,AND(C2190&gt;0,Paths!$E$205&gt;(C2190-1)*12,Paths!$E$205&lt;=C2190*12)),VLOOKUP(A2190,'Fleet register'!$A$7:$S$106,16,FALSE),0),"n.a."))</f>
        <v>0</v>
      </c>
      <c r="O2190" s="16">
        <f>IF(NOT(Paths!$C$205=1),0,IF(Paths!$P$205="Complete",N2190-IF(C2190=0,Paths!$F$205,0),"n.a."))</f>
        <v>0</v>
      </c>
      <c r="P2190" s="16">
        <f>IF(NOT(Paths!$C$205=1),0,IF(Paths!$P$205="Complete",O2190+L2190,"n.a."))</f>
        <v>0</v>
      </c>
      <c r="Q2190" s="16">
        <f>IF(NOT(Paths!$C$205=1),0,IF(Paths!$P$205="Complete",N2190*(1+'Operating costs'!$B$54)^-C2190,"n.a."))</f>
        <v>0</v>
      </c>
      <c r="R2190" s="16">
        <f>IF(NOT(Paths!$C$205=1),0,IF(Paths!$P$205="Complete",IF(AND(C2190=0,Paths!$E$205=0),I2190-J2190-K2190+VLOOKUP(A2190,'Fleet register'!$A$7:$S$106,15,FALSE)+VLOOKUP(A2190,'Fleet register'!$A$7:$S$106,16,FALSE),0),"n.a."))</f>
        <v>0</v>
      </c>
      <c r="S2190" s="1">
        <f>IF(NOT(Paths!$C$205=1),0,IF(Paths!$P$205="Complete",IF(C2190=0,0,Paths!$S$205*Paths!$R$205),"n.a."))</f>
        <v>0</v>
      </c>
      <c r="T2190" s="1">
        <f>IF(NOT(Paths!$C$205=1),0,IF(Paths!$P$205="Complete",IF(C2190=0,0,VLOOKUP(A2190,'Fleet register'!$A$7:$S$106,9,FALSE)*Paths!$R$205),"n.a."))</f>
        <v>0</v>
      </c>
    </row>
    <row r="2191" spans="1:20" ht="24" customHeight="1">
      <c r="A2191" s="1" t="str">
        <f>Paths!$A$205</f>
        <v>T050</v>
      </c>
      <c r="B2191" s="1">
        <f>Paths!$B$205</f>
        <v>2</v>
      </c>
      <c r="C2191" s="1">
        <v>6</v>
      </c>
      <c r="D2191" s="1">
        <v>205</v>
      </c>
      <c r="E2191" s="1">
        <f>IF(OR(Paths!$C$205=0,C2191=0),0,MAX(0,MIN(C2191*12,Paths!$E$205)-(C2191-1)*12))</f>
        <v>0</v>
      </c>
      <c r="F2191" s="1">
        <f>IF(OR(Paths!$C$205=0,C2191=0),0,12-E2191)</f>
        <v>0</v>
      </c>
      <c r="G2191" s="16">
        <f>IF(NOT(Paths!$C$205=1),0,IF(Paths!$P$205="Complete",E2191/12*(Paths!$J$205*(1+'Operating costs'!$B$51)^MAX(0,C2191-1)+Paths!$K$205*(1+'Operating costs'!$B$53)^MAX(0,C2191-1)),"n.a."))</f>
        <v>0</v>
      </c>
      <c r="H2191" s="16">
        <f>IF(NOT(Paths!$C$205=1),0,IF(Paths!$P$205="Complete",F2191/12*(Paths!$L$205*(1+IF(Paths!$D$205="EV",'Operating costs'!$B$52,'Operating costs'!$B$51))^MAX(0,C2191-1)+Paths!$M$205*(1+'Operating costs'!$B$53)^MAX(0,C2191-1)),"n.a."))</f>
        <v>0</v>
      </c>
      <c r="I2191" s="16">
        <f>IF(NOT(Paths!$C$205=1),0,IF(Paths!$P$205="Complete",IF(IF(Paths!$E$205=0,C2191=0,AND(C2191&gt;0,Paths!$E$205&gt;(C2191-1)*12,Paths!$E$205&lt;=C2191*12)),Paths!$G$205,0),"n.a."))</f>
        <v>0</v>
      </c>
      <c r="J2191" s="16">
        <f>IF(NOT(Paths!$C$205=1),0,IF(Paths!$P$205="Complete",IF(IF(Paths!$E$205=0,C2191=0,AND(C2191&gt;0,Paths!$E$205&gt;(C2191-1)*12,Paths!$E$205&lt;=C2191*12)),Paths!$H$205,0),"n.a."))</f>
        <v>0</v>
      </c>
      <c r="K2191" s="16">
        <f>IF(NOT(Paths!$C$205=1),0,IF(Paths!$P$205="Complete",IF(IF(Paths!$O$205=0,C2191=0,AND(C2191&gt;0,Paths!$O$205&gt;(C2191-1)*12,Paths!$O$205&lt;=C2191*12)),Paths!$N$205,0),"n.a."))</f>
        <v>0</v>
      </c>
      <c r="L2191" s="16">
        <f>IF(NOT(Paths!$C$205=1),0,IF(Paths!$P$205="Complete",IF(C2191=10,Paths!$I$205,0),"n.a."))</f>
        <v>0</v>
      </c>
      <c r="M2191" s="16">
        <f>IF(NOT(Paths!$C$205=1),0,IF(Paths!$P$205="Complete",IF(AND(Paths!$D$205="EV",Paths!$E$205&lt;120,Paths!$E$205+'Operating costs'!$B$65&gt;Paths!$E$205,Paths!$E$205+'Operating costs'!$B$65&lt;=120,IF(Paths!$E$205+'Operating costs'!$B$65=0,C2191=0,AND(C2191&gt;0,Paths!$E$205+'Operating costs'!$B$65&gt;(C2191-1)*12,Paths!$E$205+'Operating costs'!$B$65&lt;=C2191*12))),'Operating costs'!$B$64,0)+IF(AND('Operating costs'!$B$67&gt;0,'Operating costs'!$B$67&lt;=120,OR(Paths!$D$205="ICE",'Operating costs'!$B$67&lt;=Paths!$E$205),IF('Operating costs'!$B$67=0,C2191=0,AND(C2191&gt;0,'Operating costs'!$B$67&gt;(C2191-1)*12,'Operating costs'!$B$67&lt;=C2191*12))),'Operating costs'!$B$66,0),"n.a."))</f>
        <v>0</v>
      </c>
      <c r="N2191" s="16">
        <f>IF(NOT(Paths!$C$205=1),0,IF(Paths!$P$205="Complete",SUM(G2191:I2191)-J2191-K2191-L2191+M2191+IF(C2191=0,Paths!$F$205,0)+IF(IF(Paths!$E$205=0,C2191=0,AND(C2191&gt;0,Paths!$E$205&gt;(C2191-1)*12,Paths!$E$205&lt;=C2191*12)),VLOOKUP(A2191,'Fleet register'!$A$7:$S$106,16,FALSE),0),"n.a."))</f>
        <v>0</v>
      </c>
      <c r="O2191" s="16">
        <f>IF(NOT(Paths!$C$205=1),0,IF(Paths!$P$205="Complete",N2191-IF(C2191=0,Paths!$F$205,0),"n.a."))</f>
        <v>0</v>
      </c>
      <c r="P2191" s="16">
        <f>IF(NOT(Paths!$C$205=1),0,IF(Paths!$P$205="Complete",O2191+L2191,"n.a."))</f>
        <v>0</v>
      </c>
      <c r="Q2191" s="16">
        <f>IF(NOT(Paths!$C$205=1),0,IF(Paths!$P$205="Complete",N2191*(1+'Operating costs'!$B$54)^-C2191,"n.a."))</f>
        <v>0</v>
      </c>
      <c r="R2191" s="16">
        <f>IF(NOT(Paths!$C$205=1),0,IF(Paths!$P$205="Complete",IF(AND(C2191=0,Paths!$E$205=0),I2191-J2191-K2191+VLOOKUP(A2191,'Fleet register'!$A$7:$S$106,15,FALSE)+VLOOKUP(A2191,'Fleet register'!$A$7:$S$106,16,FALSE),0),"n.a."))</f>
        <v>0</v>
      </c>
      <c r="S2191" s="1">
        <f>IF(NOT(Paths!$C$205=1),0,IF(Paths!$P$205="Complete",IF(C2191=0,0,Paths!$S$205*Paths!$R$205),"n.a."))</f>
        <v>0</v>
      </c>
      <c r="T2191" s="1">
        <f>IF(NOT(Paths!$C$205=1),0,IF(Paths!$P$205="Complete",IF(C2191=0,0,VLOOKUP(A2191,'Fleet register'!$A$7:$S$106,9,FALSE)*Paths!$R$205),"n.a."))</f>
        <v>0</v>
      </c>
    </row>
    <row r="2192" spans="1:20" ht="24" customHeight="1">
      <c r="A2192" s="1" t="str">
        <f>Paths!$A$205</f>
        <v>T050</v>
      </c>
      <c r="B2192" s="1">
        <f>Paths!$B$205</f>
        <v>2</v>
      </c>
      <c r="C2192" s="1">
        <v>7</v>
      </c>
      <c r="D2192" s="1">
        <v>205</v>
      </c>
      <c r="E2192" s="1">
        <f>IF(OR(Paths!$C$205=0,C2192=0),0,MAX(0,MIN(C2192*12,Paths!$E$205)-(C2192-1)*12))</f>
        <v>0</v>
      </c>
      <c r="F2192" s="1">
        <f>IF(OR(Paths!$C$205=0,C2192=0),0,12-E2192)</f>
        <v>0</v>
      </c>
      <c r="G2192" s="16">
        <f>IF(NOT(Paths!$C$205=1),0,IF(Paths!$P$205="Complete",E2192/12*(Paths!$J$205*(1+'Operating costs'!$B$51)^MAX(0,C2192-1)+Paths!$K$205*(1+'Operating costs'!$B$53)^MAX(0,C2192-1)),"n.a."))</f>
        <v>0</v>
      </c>
      <c r="H2192" s="16">
        <f>IF(NOT(Paths!$C$205=1),0,IF(Paths!$P$205="Complete",F2192/12*(Paths!$L$205*(1+IF(Paths!$D$205="EV",'Operating costs'!$B$52,'Operating costs'!$B$51))^MAX(0,C2192-1)+Paths!$M$205*(1+'Operating costs'!$B$53)^MAX(0,C2192-1)),"n.a."))</f>
        <v>0</v>
      </c>
      <c r="I2192" s="16">
        <f>IF(NOT(Paths!$C$205=1),0,IF(Paths!$P$205="Complete",IF(IF(Paths!$E$205=0,C2192=0,AND(C2192&gt;0,Paths!$E$205&gt;(C2192-1)*12,Paths!$E$205&lt;=C2192*12)),Paths!$G$205,0),"n.a."))</f>
        <v>0</v>
      </c>
      <c r="J2192" s="16">
        <f>IF(NOT(Paths!$C$205=1),0,IF(Paths!$P$205="Complete",IF(IF(Paths!$E$205=0,C2192=0,AND(C2192&gt;0,Paths!$E$205&gt;(C2192-1)*12,Paths!$E$205&lt;=C2192*12)),Paths!$H$205,0),"n.a."))</f>
        <v>0</v>
      </c>
      <c r="K2192" s="16">
        <f>IF(NOT(Paths!$C$205=1),0,IF(Paths!$P$205="Complete",IF(IF(Paths!$O$205=0,C2192=0,AND(C2192&gt;0,Paths!$O$205&gt;(C2192-1)*12,Paths!$O$205&lt;=C2192*12)),Paths!$N$205,0),"n.a."))</f>
        <v>0</v>
      </c>
      <c r="L2192" s="16">
        <f>IF(NOT(Paths!$C$205=1),0,IF(Paths!$P$205="Complete",IF(C2192=10,Paths!$I$205,0),"n.a."))</f>
        <v>0</v>
      </c>
      <c r="M2192" s="16">
        <f>IF(NOT(Paths!$C$205=1),0,IF(Paths!$P$205="Complete",IF(AND(Paths!$D$205="EV",Paths!$E$205&lt;120,Paths!$E$205+'Operating costs'!$B$65&gt;Paths!$E$205,Paths!$E$205+'Operating costs'!$B$65&lt;=120,IF(Paths!$E$205+'Operating costs'!$B$65=0,C2192=0,AND(C2192&gt;0,Paths!$E$205+'Operating costs'!$B$65&gt;(C2192-1)*12,Paths!$E$205+'Operating costs'!$B$65&lt;=C2192*12))),'Operating costs'!$B$64,0)+IF(AND('Operating costs'!$B$67&gt;0,'Operating costs'!$B$67&lt;=120,OR(Paths!$D$205="ICE",'Operating costs'!$B$67&lt;=Paths!$E$205),IF('Operating costs'!$B$67=0,C2192=0,AND(C2192&gt;0,'Operating costs'!$B$67&gt;(C2192-1)*12,'Operating costs'!$B$67&lt;=C2192*12))),'Operating costs'!$B$66,0),"n.a."))</f>
        <v>0</v>
      </c>
      <c r="N2192" s="16">
        <f>IF(NOT(Paths!$C$205=1),0,IF(Paths!$P$205="Complete",SUM(G2192:I2192)-J2192-K2192-L2192+M2192+IF(C2192=0,Paths!$F$205,0)+IF(IF(Paths!$E$205=0,C2192=0,AND(C2192&gt;0,Paths!$E$205&gt;(C2192-1)*12,Paths!$E$205&lt;=C2192*12)),VLOOKUP(A2192,'Fleet register'!$A$7:$S$106,16,FALSE),0),"n.a."))</f>
        <v>0</v>
      </c>
      <c r="O2192" s="16">
        <f>IF(NOT(Paths!$C$205=1),0,IF(Paths!$P$205="Complete",N2192-IF(C2192=0,Paths!$F$205,0),"n.a."))</f>
        <v>0</v>
      </c>
      <c r="P2192" s="16">
        <f>IF(NOT(Paths!$C$205=1),0,IF(Paths!$P$205="Complete",O2192+L2192,"n.a."))</f>
        <v>0</v>
      </c>
      <c r="Q2192" s="16">
        <f>IF(NOT(Paths!$C$205=1),0,IF(Paths!$P$205="Complete",N2192*(1+'Operating costs'!$B$54)^-C2192,"n.a."))</f>
        <v>0</v>
      </c>
      <c r="R2192" s="16">
        <f>IF(NOT(Paths!$C$205=1),0,IF(Paths!$P$205="Complete",IF(AND(C2192=0,Paths!$E$205=0),I2192-J2192-K2192+VLOOKUP(A2192,'Fleet register'!$A$7:$S$106,15,FALSE)+VLOOKUP(A2192,'Fleet register'!$A$7:$S$106,16,FALSE),0),"n.a."))</f>
        <v>0</v>
      </c>
      <c r="S2192" s="1">
        <f>IF(NOT(Paths!$C$205=1),0,IF(Paths!$P$205="Complete",IF(C2192=0,0,Paths!$S$205*Paths!$R$205),"n.a."))</f>
        <v>0</v>
      </c>
      <c r="T2192" s="1">
        <f>IF(NOT(Paths!$C$205=1),0,IF(Paths!$P$205="Complete",IF(C2192=0,0,VLOOKUP(A2192,'Fleet register'!$A$7:$S$106,9,FALSE)*Paths!$R$205),"n.a."))</f>
        <v>0</v>
      </c>
    </row>
    <row r="2193" spans="1:20" ht="24" customHeight="1">
      <c r="A2193" s="1" t="str">
        <f>Paths!$A$205</f>
        <v>T050</v>
      </c>
      <c r="B2193" s="1">
        <f>Paths!$B$205</f>
        <v>2</v>
      </c>
      <c r="C2193" s="1">
        <v>8</v>
      </c>
      <c r="D2193" s="1">
        <v>205</v>
      </c>
      <c r="E2193" s="1">
        <f>IF(OR(Paths!$C$205=0,C2193=0),0,MAX(0,MIN(C2193*12,Paths!$E$205)-(C2193-1)*12))</f>
        <v>0</v>
      </c>
      <c r="F2193" s="1">
        <f>IF(OR(Paths!$C$205=0,C2193=0),0,12-E2193)</f>
        <v>0</v>
      </c>
      <c r="G2193" s="16">
        <f>IF(NOT(Paths!$C$205=1),0,IF(Paths!$P$205="Complete",E2193/12*(Paths!$J$205*(1+'Operating costs'!$B$51)^MAX(0,C2193-1)+Paths!$K$205*(1+'Operating costs'!$B$53)^MAX(0,C2193-1)),"n.a."))</f>
        <v>0</v>
      </c>
      <c r="H2193" s="16">
        <f>IF(NOT(Paths!$C$205=1),0,IF(Paths!$P$205="Complete",F2193/12*(Paths!$L$205*(1+IF(Paths!$D$205="EV",'Operating costs'!$B$52,'Operating costs'!$B$51))^MAX(0,C2193-1)+Paths!$M$205*(1+'Operating costs'!$B$53)^MAX(0,C2193-1)),"n.a."))</f>
        <v>0</v>
      </c>
      <c r="I2193" s="16">
        <f>IF(NOT(Paths!$C$205=1),0,IF(Paths!$P$205="Complete",IF(IF(Paths!$E$205=0,C2193=0,AND(C2193&gt;0,Paths!$E$205&gt;(C2193-1)*12,Paths!$E$205&lt;=C2193*12)),Paths!$G$205,0),"n.a."))</f>
        <v>0</v>
      </c>
      <c r="J2193" s="16">
        <f>IF(NOT(Paths!$C$205=1),0,IF(Paths!$P$205="Complete",IF(IF(Paths!$E$205=0,C2193=0,AND(C2193&gt;0,Paths!$E$205&gt;(C2193-1)*12,Paths!$E$205&lt;=C2193*12)),Paths!$H$205,0),"n.a."))</f>
        <v>0</v>
      </c>
      <c r="K2193" s="16">
        <f>IF(NOT(Paths!$C$205=1),0,IF(Paths!$P$205="Complete",IF(IF(Paths!$O$205=0,C2193=0,AND(C2193&gt;0,Paths!$O$205&gt;(C2193-1)*12,Paths!$O$205&lt;=C2193*12)),Paths!$N$205,0),"n.a."))</f>
        <v>0</v>
      </c>
      <c r="L2193" s="16">
        <f>IF(NOT(Paths!$C$205=1),0,IF(Paths!$P$205="Complete",IF(C2193=10,Paths!$I$205,0),"n.a."))</f>
        <v>0</v>
      </c>
      <c r="M2193" s="16">
        <f>IF(NOT(Paths!$C$205=1),0,IF(Paths!$P$205="Complete",IF(AND(Paths!$D$205="EV",Paths!$E$205&lt;120,Paths!$E$205+'Operating costs'!$B$65&gt;Paths!$E$205,Paths!$E$205+'Operating costs'!$B$65&lt;=120,IF(Paths!$E$205+'Operating costs'!$B$65=0,C2193=0,AND(C2193&gt;0,Paths!$E$205+'Operating costs'!$B$65&gt;(C2193-1)*12,Paths!$E$205+'Operating costs'!$B$65&lt;=C2193*12))),'Operating costs'!$B$64,0)+IF(AND('Operating costs'!$B$67&gt;0,'Operating costs'!$B$67&lt;=120,OR(Paths!$D$205="ICE",'Operating costs'!$B$67&lt;=Paths!$E$205),IF('Operating costs'!$B$67=0,C2193=0,AND(C2193&gt;0,'Operating costs'!$B$67&gt;(C2193-1)*12,'Operating costs'!$B$67&lt;=C2193*12))),'Operating costs'!$B$66,0),"n.a."))</f>
        <v>0</v>
      </c>
      <c r="N2193" s="16">
        <f>IF(NOT(Paths!$C$205=1),0,IF(Paths!$P$205="Complete",SUM(G2193:I2193)-J2193-K2193-L2193+M2193+IF(C2193=0,Paths!$F$205,0)+IF(IF(Paths!$E$205=0,C2193=0,AND(C2193&gt;0,Paths!$E$205&gt;(C2193-1)*12,Paths!$E$205&lt;=C2193*12)),VLOOKUP(A2193,'Fleet register'!$A$7:$S$106,16,FALSE),0),"n.a."))</f>
        <v>0</v>
      </c>
      <c r="O2193" s="16">
        <f>IF(NOT(Paths!$C$205=1),0,IF(Paths!$P$205="Complete",N2193-IF(C2193=0,Paths!$F$205,0),"n.a."))</f>
        <v>0</v>
      </c>
      <c r="P2193" s="16">
        <f>IF(NOT(Paths!$C$205=1),0,IF(Paths!$P$205="Complete",O2193+L2193,"n.a."))</f>
        <v>0</v>
      </c>
      <c r="Q2193" s="16">
        <f>IF(NOT(Paths!$C$205=1),0,IF(Paths!$P$205="Complete",N2193*(1+'Operating costs'!$B$54)^-C2193,"n.a."))</f>
        <v>0</v>
      </c>
      <c r="R2193" s="16">
        <f>IF(NOT(Paths!$C$205=1),0,IF(Paths!$P$205="Complete",IF(AND(C2193=0,Paths!$E$205=0),I2193-J2193-K2193+VLOOKUP(A2193,'Fleet register'!$A$7:$S$106,15,FALSE)+VLOOKUP(A2193,'Fleet register'!$A$7:$S$106,16,FALSE),0),"n.a."))</f>
        <v>0</v>
      </c>
      <c r="S2193" s="1">
        <f>IF(NOT(Paths!$C$205=1),0,IF(Paths!$P$205="Complete",IF(C2193=0,0,Paths!$S$205*Paths!$R$205),"n.a."))</f>
        <v>0</v>
      </c>
      <c r="T2193" s="1">
        <f>IF(NOT(Paths!$C$205=1),0,IF(Paths!$P$205="Complete",IF(C2193=0,0,VLOOKUP(A2193,'Fleet register'!$A$7:$S$106,9,FALSE)*Paths!$R$205),"n.a."))</f>
        <v>0</v>
      </c>
    </row>
    <row r="2194" spans="1:20" ht="24" customHeight="1">
      <c r="A2194" s="1" t="str">
        <f>Paths!$A$205</f>
        <v>T050</v>
      </c>
      <c r="B2194" s="1">
        <f>Paths!$B$205</f>
        <v>2</v>
      </c>
      <c r="C2194" s="1">
        <v>9</v>
      </c>
      <c r="D2194" s="1">
        <v>205</v>
      </c>
      <c r="E2194" s="1">
        <f>IF(OR(Paths!$C$205=0,C2194=0),0,MAX(0,MIN(C2194*12,Paths!$E$205)-(C2194-1)*12))</f>
        <v>0</v>
      </c>
      <c r="F2194" s="1">
        <f>IF(OR(Paths!$C$205=0,C2194=0),0,12-E2194)</f>
        <v>0</v>
      </c>
      <c r="G2194" s="16">
        <f>IF(NOT(Paths!$C$205=1),0,IF(Paths!$P$205="Complete",E2194/12*(Paths!$J$205*(1+'Operating costs'!$B$51)^MAX(0,C2194-1)+Paths!$K$205*(1+'Operating costs'!$B$53)^MAX(0,C2194-1)),"n.a."))</f>
        <v>0</v>
      </c>
      <c r="H2194" s="16">
        <f>IF(NOT(Paths!$C$205=1),0,IF(Paths!$P$205="Complete",F2194/12*(Paths!$L$205*(1+IF(Paths!$D$205="EV",'Operating costs'!$B$52,'Operating costs'!$B$51))^MAX(0,C2194-1)+Paths!$M$205*(1+'Operating costs'!$B$53)^MAX(0,C2194-1)),"n.a."))</f>
        <v>0</v>
      </c>
      <c r="I2194" s="16">
        <f>IF(NOT(Paths!$C$205=1),0,IF(Paths!$P$205="Complete",IF(IF(Paths!$E$205=0,C2194=0,AND(C2194&gt;0,Paths!$E$205&gt;(C2194-1)*12,Paths!$E$205&lt;=C2194*12)),Paths!$G$205,0),"n.a."))</f>
        <v>0</v>
      </c>
      <c r="J2194" s="16">
        <f>IF(NOT(Paths!$C$205=1),0,IF(Paths!$P$205="Complete",IF(IF(Paths!$E$205=0,C2194=0,AND(C2194&gt;0,Paths!$E$205&gt;(C2194-1)*12,Paths!$E$205&lt;=C2194*12)),Paths!$H$205,0),"n.a."))</f>
        <v>0</v>
      </c>
      <c r="K2194" s="16">
        <f>IF(NOT(Paths!$C$205=1),0,IF(Paths!$P$205="Complete",IF(IF(Paths!$O$205=0,C2194=0,AND(C2194&gt;0,Paths!$O$205&gt;(C2194-1)*12,Paths!$O$205&lt;=C2194*12)),Paths!$N$205,0),"n.a."))</f>
        <v>0</v>
      </c>
      <c r="L2194" s="16">
        <f>IF(NOT(Paths!$C$205=1),0,IF(Paths!$P$205="Complete",IF(C2194=10,Paths!$I$205,0),"n.a."))</f>
        <v>0</v>
      </c>
      <c r="M2194" s="16">
        <f>IF(NOT(Paths!$C$205=1),0,IF(Paths!$P$205="Complete",IF(AND(Paths!$D$205="EV",Paths!$E$205&lt;120,Paths!$E$205+'Operating costs'!$B$65&gt;Paths!$E$205,Paths!$E$205+'Operating costs'!$B$65&lt;=120,IF(Paths!$E$205+'Operating costs'!$B$65=0,C2194=0,AND(C2194&gt;0,Paths!$E$205+'Operating costs'!$B$65&gt;(C2194-1)*12,Paths!$E$205+'Operating costs'!$B$65&lt;=C2194*12))),'Operating costs'!$B$64,0)+IF(AND('Operating costs'!$B$67&gt;0,'Operating costs'!$B$67&lt;=120,OR(Paths!$D$205="ICE",'Operating costs'!$B$67&lt;=Paths!$E$205),IF('Operating costs'!$B$67=0,C2194=0,AND(C2194&gt;0,'Operating costs'!$B$67&gt;(C2194-1)*12,'Operating costs'!$B$67&lt;=C2194*12))),'Operating costs'!$B$66,0),"n.a."))</f>
        <v>0</v>
      </c>
      <c r="N2194" s="16">
        <f>IF(NOT(Paths!$C$205=1),0,IF(Paths!$P$205="Complete",SUM(G2194:I2194)-J2194-K2194-L2194+M2194+IF(C2194=0,Paths!$F$205,0)+IF(IF(Paths!$E$205=0,C2194=0,AND(C2194&gt;0,Paths!$E$205&gt;(C2194-1)*12,Paths!$E$205&lt;=C2194*12)),VLOOKUP(A2194,'Fleet register'!$A$7:$S$106,16,FALSE),0),"n.a."))</f>
        <v>0</v>
      </c>
      <c r="O2194" s="16">
        <f>IF(NOT(Paths!$C$205=1),0,IF(Paths!$P$205="Complete",N2194-IF(C2194=0,Paths!$F$205,0),"n.a."))</f>
        <v>0</v>
      </c>
      <c r="P2194" s="16">
        <f>IF(NOT(Paths!$C$205=1),0,IF(Paths!$P$205="Complete",O2194+L2194,"n.a."))</f>
        <v>0</v>
      </c>
      <c r="Q2194" s="16">
        <f>IF(NOT(Paths!$C$205=1),0,IF(Paths!$P$205="Complete",N2194*(1+'Operating costs'!$B$54)^-C2194,"n.a."))</f>
        <v>0</v>
      </c>
      <c r="R2194" s="16">
        <f>IF(NOT(Paths!$C$205=1),0,IF(Paths!$P$205="Complete",IF(AND(C2194=0,Paths!$E$205=0),I2194-J2194-K2194+VLOOKUP(A2194,'Fleet register'!$A$7:$S$106,15,FALSE)+VLOOKUP(A2194,'Fleet register'!$A$7:$S$106,16,FALSE),0),"n.a."))</f>
        <v>0</v>
      </c>
      <c r="S2194" s="1">
        <f>IF(NOT(Paths!$C$205=1),0,IF(Paths!$P$205="Complete",IF(C2194=0,0,Paths!$S$205*Paths!$R$205),"n.a."))</f>
        <v>0</v>
      </c>
      <c r="T2194" s="1">
        <f>IF(NOT(Paths!$C$205=1),0,IF(Paths!$P$205="Complete",IF(C2194=0,0,VLOOKUP(A2194,'Fleet register'!$A$7:$S$106,9,FALSE)*Paths!$R$205),"n.a."))</f>
        <v>0</v>
      </c>
    </row>
    <row r="2195" spans="1:20" ht="24" customHeight="1">
      <c r="A2195" s="1" t="str">
        <f>Paths!$A$205</f>
        <v>T050</v>
      </c>
      <c r="B2195" s="1">
        <f>Paths!$B$205</f>
        <v>2</v>
      </c>
      <c r="C2195" s="1">
        <v>10</v>
      </c>
      <c r="D2195" s="1">
        <v>205</v>
      </c>
      <c r="E2195" s="1">
        <f>IF(OR(Paths!$C$205=0,C2195=0),0,MAX(0,MIN(C2195*12,Paths!$E$205)-(C2195-1)*12))</f>
        <v>0</v>
      </c>
      <c r="F2195" s="1">
        <f>IF(OR(Paths!$C$205=0,C2195=0),0,12-E2195)</f>
        <v>0</v>
      </c>
      <c r="G2195" s="16">
        <f>IF(NOT(Paths!$C$205=1),0,IF(Paths!$P$205="Complete",E2195/12*(Paths!$J$205*(1+'Operating costs'!$B$51)^MAX(0,C2195-1)+Paths!$K$205*(1+'Operating costs'!$B$53)^MAX(0,C2195-1)),"n.a."))</f>
        <v>0</v>
      </c>
      <c r="H2195" s="16">
        <f>IF(NOT(Paths!$C$205=1),0,IF(Paths!$P$205="Complete",F2195/12*(Paths!$L$205*(1+IF(Paths!$D$205="EV",'Operating costs'!$B$52,'Operating costs'!$B$51))^MAX(0,C2195-1)+Paths!$M$205*(1+'Operating costs'!$B$53)^MAX(0,C2195-1)),"n.a."))</f>
        <v>0</v>
      </c>
      <c r="I2195" s="16">
        <f>IF(NOT(Paths!$C$205=1),0,IF(Paths!$P$205="Complete",IF(IF(Paths!$E$205=0,C2195=0,AND(C2195&gt;0,Paths!$E$205&gt;(C2195-1)*12,Paths!$E$205&lt;=C2195*12)),Paths!$G$205,0),"n.a."))</f>
        <v>0</v>
      </c>
      <c r="J2195" s="16">
        <f>IF(NOT(Paths!$C$205=1),0,IF(Paths!$P$205="Complete",IF(IF(Paths!$E$205=0,C2195=0,AND(C2195&gt;0,Paths!$E$205&gt;(C2195-1)*12,Paths!$E$205&lt;=C2195*12)),Paths!$H$205,0),"n.a."))</f>
        <v>0</v>
      </c>
      <c r="K2195" s="16">
        <f>IF(NOT(Paths!$C$205=1),0,IF(Paths!$P$205="Complete",IF(IF(Paths!$O$205=0,C2195=0,AND(C2195&gt;0,Paths!$O$205&gt;(C2195-1)*12,Paths!$O$205&lt;=C2195*12)),Paths!$N$205,0),"n.a."))</f>
        <v>0</v>
      </c>
      <c r="L2195" s="16">
        <f>IF(NOT(Paths!$C$205=1),0,IF(Paths!$P$205="Complete",IF(C2195=10,Paths!$I$205,0),"n.a."))</f>
        <v>0</v>
      </c>
      <c r="M2195" s="16">
        <f>IF(NOT(Paths!$C$205=1),0,IF(Paths!$P$205="Complete",IF(AND(Paths!$D$205="EV",Paths!$E$205&lt;120,Paths!$E$205+'Operating costs'!$B$65&gt;Paths!$E$205,Paths!$E$205+'Operating costs'!$B$65&lt;=120,IF(Paths!$E$205+'Operating costs'!$B$65=0,C2195=0,AND(C2195&gt;0,Paths!$E$205+'Operating costs'!$B$65&gt;(C2195-1)*12,Paths!$E$205+'Operating costs'!$B$65&lt;=C2195*12))),'Operating costs'!$B$64,0)+IF(AND('Operating costs'!$B$67&gt;0,'Operating costs'!$B$67&lt;=120,OR(Paths!$D$205="ICE",'Operating costs'!$B$67&lt;=Paths!$E$205),IF('Operating costs'!$B$67=0,C2195=0,AND(C2195&gt;0,'Operating costs'!$B$67&gt;(C2195-1)*12,'Operating costs'!$B$67&lt;=C2195*12))),'Operating costs'!$B$66,0),"n.a."))</f>
        <v>0</v>
      </c>
      <c r="N2195" s="16">
        <f>IF(NOT(Paths!$C$205=1),0,IF(Paths!$P$205="Complete",SUM(G2195:I2195)-J2195-K2195-L2195+M2195+IF(C2195=0,Paths!$F$205,0)+IF(IF(Paths!$E$205=0,C2195=0,AND(C2195&gt;0,Paths!$E$205&gt;(C2195-1)*12,Paths!$E$205&lt;=C2195*12)),VLOOKUP(A2195,'Fleet register'!$A$7:$S$106,16,FALSE),0),"n.a."))</f>
        <v>0</v>
      </c>
      <c r="O2195" s="16">
        <f>IF(NOT(Paths!$C$205=1),0,IF(Paths!$P$205="Complete",N2195-IF(C2195=0,Paths!$F$205,0),"n.a."))</f>
        <v>0</v>
      </c>
      <c r="P2195" s="16">
        <f>IF(NOT(Paths!$C$205=1),0,IF(Paths!$P$205="Complete",O2195+L2195,"n.a."))</f>
        <v>0</v>
      </c>
      <c r="Q2195" s="16">
        <f>IF(NOT(Paths!$C$205=1),0,IF(Paths!$P$205="Complete",N2195*(1+'Operating costs'!$B$54)^-C2195,"n.a."))</f>
        <v>0</v>
      </c>
      <c r="R2195" s="16">
        <f>IF(NOT(Paths!$C$205=1),0,IF(Paths!$P$205="Complete",IF(AND(C2195=0,Paths!$E$205=0),I2195-J2195-K2195+VLOOKUP(A2195,'Fleet register'!$A$7:$S$106,15,FALSE)+VLOOKUP(A2195,'Fleet register'!$A$7:$S$106,16,FALSE),0),"n.a."))</f>
        <v>0</v>
      </c>
      <c r="S2195" s="1">
        <f>IF(NOT(Paths!$C$205=1),0,IF(Paths!$P$205="Complete",IF(C2195=0,0,Paths!$S$205*Paths!$R$205),"n.a."))</f>
        <v>0</v>
      </c>
      <c r="T2195" s="1">
        <f>IF(NOT(Paths!$C$205=1),0,IF(Paths!$P$205="Complete",IF(C2195=0,0,VLOOKUP(A2195,'Fleet register'!$A$7:$S$106,9,FALSE)*Paths!$R$205),"n.a."))</f>
        <v>0</v>
      </c>
    </row>
    <row r="2196" spans="1:20" ht="24" customHeight="1">
      <c r="A2196" s="1" t="str">
        <f>Paths!$A$206</f>
        <v>T050</v>
      </c>
      <c r="B2196" s="1">
        <f>Paths!$B$206</f>
        <v>3</v>
      </c>
      <c r="C2196" s="1">
        <v>0</v>
      </c>
      <c r="D2196" s="1">
        <v>206</v>
      </c>
      <c r="E2196" s="1">
        <f>IF(OR(Paths!$C$206=0,C2196=0),0,MAX(0,MIN(C2196*12,Paths!$E$206)-(C2196-1)*12))</f>
        <v>0</v>
      </c>
      <c r="F2196" s="1">
        <f>IF(OR(Paths!$C$206=0,C2196=0),0,12-E2196)</f>
        <v>0</v>
      </c>
      <c r="G2196" s="16">
        <f>IF(NOT(Paths!$C$206=1),0,IF(Paths!$P$206="Complete",E2196/12*(Paths!$J$206*(1+'Operating costs'!$B$51)^MAX(0,C2196-1)+Paths!$K$206*(1+'Operating costs'!$B$53)^MAX(0,C2196-1)),"n.a."))</f>
        <v>0</v>
      </c>
      <c r="H2196" s="16">
        <f>IF(NOT(Paths!$C$206=1),0,IF(Paths!$P$206="Complete",F2196/12*(Paths!$L$206*(1+IF(Paths!$D$206="EV",'Operating costs'!$B$52,'Operating costs'!$B$51))^MAX(0,C2196-1)+Paths!$M$206*(1+'Operating costs'!$B$53)^MAX(0,C2196-1)),"n.a."))</f>
        <v>0</v>
      </c>
      <c r="I2196" s="16">
        <f>IF(NOT(Paths!$C$206=1),0,IF(Paths!$P$206="Complete",IF(IF(Paths!$E$206=0,C2196=0,AND(C2196&gt;0,Paths!$E$206&gt;(C2196-1)*12,Paths!$E$206&lt;=C2196*12)),Paths!$G$206,0),"n.a."))</f>
        <v>0</v>
      </c>
      <c r="J2196" s="16">
        <f>IF(NOT(Paths!$C$206=1),0,IF(Paths!$P$206="Complete",IF(IF(Paths!$E$206=0,C2196=0,AND(C2196&gt;0,Paths!$E$206&gt;(C2196-1)*12,Paths!$E$206&lt;=C2196*12)),Paths!$H$206,0),"n.a."))</f>
        <v>0</v>
      </c>
      <c r="K2196" s="16">
        <f>IF(NOT(Paths!$C$206=1),0,IF(Paths!$P$206="Complete",IF(IF(Paths!$O$206=0,C2196=0,AND(C2196&gt;0,Paths!$O$206&gt;(C2196-1)*12,Paths!$O$206&lt;=C2196*12)),Paths!$N$206,0),"n.a."))</f>
        <v>0</v>
      </c>
      <c r="L2196" s="16">
        <f>IF(NOT(Paths!$C$206=1),0,IF(Paths!$P$206="Complete",IF(C2196=10,Paths!$I$206,0),"n.a."))</f>
        <v>0</v>
      </c>
      <c r="M2196" s="16">
        <f>IF(NOT(Paths!$C$206=1),0,IF(Paths!$P$206="Complete",IF(AND(Paths!$D$206="EV",Paths!$E$206&lt;120,Paths!$E$206+'Operating costs'!$B$65&gt;Paths!$E$206,Paths!$E$206+'Operating costs'!$B$65&lt;=120,IF(Paths!$E$206+'Operating costs'!$B$65=0,C2196=0,AND(C2196&gt;0,Paths!$E$206+'Operating costs'!$B$65&gt;(C2196-1)*12,Paths!$E$206+'Operating costs'!$B$65&lt;=C2196*12))),'Operating costs'!$B$64,0)+IF(AND('Operating costs'!$B$67&gt;0,'Operating costs'!$B$67&lt;=120,OR(Paths!$D$206="ICE",'Operating costs'!$B$67&lt;=Paths!$E$206),IF('Operating costs'!$B$67=0,C2196=0,AND(C2196&gt;0,'Operating costs'!$B$67&gt;(C2196-1)*12,'Operating costs'!$B$67&lt;=C2196*12))),'Operating costs'!$B$66,0),"n.a."))</f>
        <v>0</v>
      </c>
      <c r="N2196" s="16">
        <f>IF(NOT(Paths!$C$206=1),0,IF(Paths!$P$206="Complete",SUM(G2196:I2196)-J2196-K2196-L2196+M2196+IF(C2196=0,Paths!$F$206,0)+IF(IF(Paths!$E$206=0,C2196=0,AND(C2196&gt;0,Paths!$E$206&gt;(C2196-1)*12,Paths!$E$206&lt;=C2196*12)),VLOOKUP(A2196,'Fleet register'!$A$7:$S$106,16,FALSE),0),"n.a."))</f>
        <v>0</v>
      </c>
      <c r="O2196" s="16">
        <f>IF(NOT(Paths!$C$206=1),0,IF(Paths!$P$206="Complete",N2196-IF(C2196=0,Paths!$F$206,0),"n.a."))</f>
        <v>0</v>
      </c>
      <c r="P2196" s="16">
        <f>IF(NOT(Paths!$C$206=1),0,IF(Paths!$P$206="Complete",O2196+L2196,"n.a."))</f>
        <v>0</v>
      </c>
      <c r="Q2196" s="16">
        <f>IF(NOT(Paths!$C$206=1),0,IF(Paths!$P$206="Complete",N2196*(1+'Operating costs'!$B$54)^-C2196,"n.a."))</f>
        <v>0</v>
      </c>
      <c r="R2196" s="16">
        <f>IF(NOT(Paths!$C$206=1),0,IF(Paths!$P$206="Complete",IF(AND(C2196=0,Paths!$E$206=0),I2196-J2196-K2196+VLOOKUP(A2196,'Fleet register'!$A$7:$S$106,15,FALSE)+VLOOKUP(A2196,'Fleet register'!$A$7:$S$106,16,FALSE),0),"n.a."))</f>
        <v>0</v>
      </c>
      <c r="S2196" s="1">
        <f>IF(NOT(Paths!$C$206=1),0,IF(Paths!$P$206="Complete",IF(C2196=0,0,Paths!$S$206*Paths!$R$206),"n.a."))</f>
        <v>0</v>
      </c>
      <c r="T2196" s="1">
        <f>IF(NOT(Paths!$C$206=1),0,IF(Paths!$P$206="Complete",IF(C2196=0,0,VLOOKUP(A2196,'Fleet register'!$A$7:$S$106,9,FALSE)*Paths!$R$206),"n.a."))</f>
        <v>0</v>
      </c>
    </row>
    <row r="2197" spans="1:20" ht="24" customHeight="1">
      <c r="A2197" s="1" t="str">
        <f>Paths!$A$206</f>
        <v>T050</v>
      </c>
      <c r="B2197" s="1">
        <f>Paths!$B$206</f>
        <v>3</v>
      </c>
      <c r="C2197" s="1">
        <v>1</v>
      </c>
      <c r="D2197" s="1">
        <v>206</v>
      </c>
      <c r="E2197" s="1">
        <f>IF(OR(Paths!$C$206=0,C2197=0),0,MAX(0,MIN(C2197*12,Paths!$E$206)-(C2197-1)*12))</f>
        <v>0</v>
      </c>
      <c r="F2197" s="1">
        <f>IF(OR(Paths!$C$206=0,C2197=0),0,12-E2197)</f>
        <v>0</v>
      </c>
      <c r="G2197" s="16">
        <f>IF(NOT(Paths!$C$206=1),0,IF(Paths!$P$206="Complete",E2197/12*(Paths!$J$206*(1+'Operating costs'!$B$51)^MAX(0,C2197-1)+Paths!$K$206*(1+'Operating costs'!$B$53)^MAX(0,C2197-1)),"n.a."))</f>
        <v>0</v>
      </c>
      <c r="H2197" s="16">
        <f>IF(NOT(Paths!$C$206=1),0,IF(Paths!$P$206="Complete",F2197/12*(Paths!$L$206*(1+IF(Paths!$D$206="EV",'Operating costs'!$B$52,'Operating costs'!$B$51))^MAX(0,C2197-1)+Paths!$M$206*(1+'Operating costs'!$B$53)^MAX(0,C2197-1)),"n.a."))</f>
        <v>0</v>
      </c>
      <c r="I2197" s="16">
        <f>IF(NOT(Paths!$C$206=1),0,IF(Paths!$P$206="Complete",IF(IF(Paths!$E$206=0,C2197=0,AND(C2197&gt;0,Paths!$E$206&gt;(C2197-1)*12,Paths!$E$206&lt;=C2197*12)),Paths!$G$206,0),"n.a."))</f>
        <v>0</v>
      </c>
      <c r="J2197" s="16">
        <f>IF(NOT(Paths!$C$206=1),0,IF(Paths!$P$206="Complete",IF(IF(Paths!$E$206=0,C2197=0,AND(C2197&gt;0,Paths!$E$206&gt;(C2197-1)*12,Paths!$E$206&lt;=C2197*12)),Paths!$H$206,0),"n.a."))</f>
        <v>0</v>
      </c>
      <c r="K2197" s="16">
        <f>IF(NOT(Paths!$C$206=1),0,IF(Paths!$P$206="Complete",IF(IF(Paths!$O$206=0,C2197=0,AND(C2197&gt;0,Paths!$O$206&gt;(C2197-1)*12,Paths!$O$206&lt;=C2197*12)),Paths!$N$206,0),"n.a."))</f>
        <v>0</v>
      </c>
      <c r="L2197" s="16">
        <f>IF(NOT(Paths!$C$206=1),0,IF(Paths!$P$206="Complete",IF(C2197=10,Paths!$I$206,0),"n.a."))</f>
        <v>0</v>
      </c>
      <c r="M2197" s="16">
        <f>IF(NOT(Paths!$C$206=1),0,IF(Paths!$P$206="Complete",IF(AND(Paths!$D$206="EV",Paths!$E$206&lt;120,Paths!$E$206+'Operating costs'!$B$65&gt;Paths!$E$206,Paths!$E$206+'Operating costs'!$B$65&lt;=120,IF(Paths!$E$206+'Operating costs'!$B$65=0,C2197=0,AND(C2197&gt;0,Paths!$E$206+'Operating costs'!$B$65&gt;(C2197-1)*12,Paths!$E$206+'Operating costs'!$B$65&lt;=C2197*12))),'Operating costs'!$B$64,0)+IF(AND('Operating costs'!$B$67&gt;0,'Operating costs'!$B$67&lt;=120,OR(Paths!$D$206="ICE",'Operating costs'!$B$67&lt;=Paths!$E$206),IF('Operating costs'!$B$67=0,C2197=0,AND(C2197&gt;0,'Operating costs'!$B$67&gt;(C2197-1)*12,'Operating costs'!$B$67&lt;=C2197*12))),'Operating costs'!$B$66,0),"n.a."))</f>
        <v>0</v>
      </c>
      <c r="N2197" s="16">
        <f>IF(NOT(Paths!$C$206=1),0,IF(Paths!$P$206="Complete",SUM(G2197:I2197)-J2197-K2197-L2197+M2197+IF(C2197=0,Paths!$F$206,0)+IF(IF(Paths!$E$206=0,C2197=0,AND(C2197&gt;0,Paths!$E$206&gt;(C2197-1)*12,Paths!$E$206&lt;=C2197*12)),VLOOKUP(A2197,'Fleet register'!$A$7:$S$106,16,FALSE),0),"n.a."))</f>
        <v>0</v>
      </c>
      <c r="O2197" s="16">
        <f>IF(NOT(Paths!$C$206=1),0,IF(Paths!$P$206="Complete",N2197-IF(C2197=0,Paths!$F$206,0),"n.a."))</f>
        <v>0</v>
      </c>
      <c r="P2197" s="16">
        <f>IF(NOT(Paths!$C$206=1),0,IF(Paths!$P$206="Complete",O2197+L2197,"n.a."))</f>
        <v>0</v>
      </c>
      <c r="Q2197" s="16">
        <f>IF(NOT(Paths!$C$206=1),0,IF(Paths!$P$206="Complete",N2197*(1+'Operating costs'!$B$54)^-C2197,"n.a."))</f>
        <v>0</v>
      </c>
      <c r="R2197" s="16">
        <f>IF(NOT(Paths!$C$206=1),0,IF(Paths!$P$206="Complete",IF(AND(C2197=0,Paths!$E$206=0),I2197-J2197-K2197+VLOOKUP(A2197,'Fleet register'!$A$7:$S$106,15,FALSE)+VLOOKUP(A2197,'Fleet register'!$A$7:$S$106,16,FALSE),0),"n.a."))</f>
        <v>0</v>
      </c>
      <c r="S2197" s="1">
        <f>IF(NOT(Paths!$C$206=1),0,IF(Paths!$P$206="Complete",IF(C2197=0,0,Paths!$S$206*Paths!$R$206),"n.a."))</f>
        <v>0</v>
      </c>
      <c r="T2197" s="1">
        <f>IF(NOT(Paths!$C$206=1),0,IF(Paths!$P$206="Complete",IF(C2197=0,0,VLOOKUP(A2197,'Fleet register'!$A$7:$S$106,9,FALSE)*Paths!$R$206),"n.a."))</f>
        <v>0</v>
      </c>
    </row>
    <row r="2198" spans="1:20" ht="24" customHeight="1">
      <c r="A2198" s="1" t="str">
        <f>Paths!$A$206</f>
        <v>T050</v>
      </c>
      <c r="B2198" s="1">
        <f>Paths!$B$206</f>
        <v>3</v>
      </c>
      <c r="C2198" s="1">
        <v>2</v>
      </c>
      <c r="D2198" s="1">
        <v>206</v>
      </c>
      <c r="E2198" s="1">
        <f>IF(OR(Paths!$C$206=0,C2198=0),0,MAX(0,MIN(C2198*12,Paths!$E$206)-(C2198-1)*12))</f>
        <v>0</v>
      </c>
      <c r="F2198" s="1">
        <f>IF(OR(Paths!$C$206=0,C2198=0),0,12-E2198)</f>
        <v>0</v>
      </c>
      <c r="G2198" s="16">
        <f>IF(NOT(Paths!$C$206=1),0,IF(Paths!$P$206="Complete",E2198/12*(Paths!$J$206*(1+'Operating costs'!$B$51)^MAX(0,C2198-1)+Paths!$K$206*(1+'Operating costs'!$B$53)^MAX(0,C2198-1)),"n.a."))</f>
        <v>0</v>
      </c>
      <c r="H2198" s="16">
        <f>IF(NOT(Paths!$C$206=1),0,IF(Paths!$P$206="Complete",F2198/12*(Paths!$L$206*(1+IF(Paths!$D$206="EV",'Operating costs'!$B$52,'Operating costs'!$B$51))^MAX(0,C2198-1)+Paths!$M$206*(1+'Operating costs'!$B$53)^MAX(0,C2198-1)),"n.a."))</f>
        <v>0</v>
      </c>
      <c r="I2198" s="16">
        <f>IF(NOT(Paths!$C$206=1),0,IF(Paths!$P$206="Complete",IF(IF(Paths!$E$206=0,C2198=0,AND(C2198&gt;0,Paths!$E$206&gt;(C2198-1)*12,Paths!$E$206&lt;=C2198*12)),Paths!$G$206,0),"n.a."))</f>
        <v>0</v>
      </c>
      <c r="J2198" s="16">
        <f>IF(NOT(Paths!$C$206=1),0,IF(Paths!$P$206="Complete",IF(IF(Paths!$E$206=0,C2198=0,AND(C2198&gt;0,Paths!$E$206&gt;(C2198-1)*12,Paths!$E$206&lt;=C2198*12)),Paths!$H$206,0),"n.a."))</f>
        <v>0</v>
      </c>
      <c r="K2198" s="16">
        <f>IF(NOT(Paths!$C$206=1),0,IF(Paths!$P$206="Complete",IF(IF(Paths!$O$206=0,C2198=0,AND(C2198&gt;0,Paths!$O$206&gt;(C2198-1)*12,Paths!$O$206&lt;=C2198*12)),Paths!$N$206,0),"n.a."))</f>
        <v>0</v>
      </c>
      <c r="L2198" s="16">
        <f>IF(NOT(Paths!$C$206=1),0,IF(Paths!$P$206="Complete",IF(C2198=10,Paths!$I$206,0),"n.a."))</f>
        <v>0</v>
      </c>
      <c r="M2198" s="16">
        <f>IF(NOT(Paths!$C$206=1),0,IF(Paths!$P$206="Complete",IF(AND(Paths!$D$206="EV",Paths!$E$206&lt;120,Paths!$E$206+'Operating costs'!$B$65&gt;Paths!$E$206,Paths!$E$206+'Operating costs'!$B$65&lt;=120,IF(Paths!$E$206+'Operating costs'!$B$65=0,C2198=0,AND(C2198&gt;0,Paths!$E$206+'Operating costs'!$B$65&gt;(C2198-1)*12,Paths!$E$206+'Operating costs'!$B$65&lt;=C2198*12))),'Operating costs'!$B$64,0)+IF(AND('Operating costs'!$B$67&gt;0,'Operating costs'!$B$67&lt;=120,OR(Paths!$D$206="ICE",'Operating costs'!$B$67&lt;=Paths!$E$206),IF('Operating costs'!$B$67=0,C2198=0,AND(C2198&gt;0,'Operating costs'!$B$67&gt;(C2198-1)*12,'Operating costs'!$B$67&lt;=C2198*12))),'Operating costs'!$B$66,0),"n.a."))</f>
        <v>0</v>
      </c>
      <c r="N2198" s="16">
        <f>IF(NOT(Paths!$C$206=1),0,IF(Paths!$P$206="Complete",SUM(G2198:I2198)-J2198-K2198-L2198+M2198+IF(C2198=0,Paths!$F$206,0)+IF(IF(Paths!$E$206=0,C2198=0,AND(C2198&gt;0,Paths!$E$206&gt;(C2198-1)*12,Paths!$E$206&lt;=C2198*12)),VLOOKUP(A2198,'Fleet register'!$A$7:$S$106,16,FALSE),0),"n.a."))</f>
        <v>0</v>
      </c>
      <c r="O2198" s="16">
        <f>IF(NOT(Paths!$C$206=1),0,IF(Paths!$P$206="Complete",N2198-IF(C2198=0,Paths!$F$206,0),"n.a."))</f>
        <v>0</v>
      </c>
      <c r="P2198" s="16">
        <f>IF(NOT(Paths!$C$206=1),0,IF(Paths!$P$206="Complete",O2198+L2198,"n.a."))</f>
        <v>0</v>
      </c>
      <c r="Q2198" s="16">
        <f>IF(NOT(Paths!$C$206=1),0,IF(Paths!$P$206="Complete",N2198*(1+'Operating costs'!$B$54)^-C2198,"n.a."))</f>
        <v>0</v>
      </c>
      <c r="R2198" s="16">
        <f>IF(NOT(Paths!$C$206=1),0,IF(Paths!$P$206="Complete",IF(AND(C2198=0,Paths!$E$206=0),I2198-J2198-K2198+VLOOKUP(A2198,'Fleet register'!$A$7:$S$106,15,FALSE)+VLOOKUP(A2198,'Fleet register'!$A$7:$S$106,16,FALSE),0),"n.a."))</f>
        <v>0</v>
      </c>
      <c r="S2198" s="1">
        <f>IF(NOT(Paths!$C$206=1),0,IF(Paths!$P$206="Complete",IF(C2198=0,0,Paths!$S$206*Paths!$R$206),"n.a."))</f>
        <v>0</v>
      </c>
      <c r="T2198" s="1">
        <f>IF(NOT(Paths!$C$206=1),0,IF(Paths!$P$206="Complete",IF(C2198=0,0,VLOOKUP(A2198,'Fleet register'!$A$7:$S$106,9,FALSE)*Paths!$R$206),"n.a."))</f>
        <v>0</v>
      </c>
    </row>
    <row r="2199" spans="1:20" ht="24" customHeight="1">
      <c r="A2199" s="1" t="str">
        <f>Paths!$A$206</f>
        <v>T050</v>
      </c>
      <c r="B2199" s="1">
        <f>Paths!$B$206</f>
        <v>3</v>
      </c>
      <c r="C2199" s="1">
        <v>3</v>
      </c>
      <c r="D2199" s="1">
        <v>206</v>
      </c>
      <c r="E2199" s="1">
        <f>IF(OR(Paths!$C$206=0,C2199=0),0,MAX(0,MIN(C2199*12,Paths!$E$206)-(C2199-1)*12))</f>
        <v>0</v>
      </c>
      <c r="F2199" s="1">
        <f>IF(OR(Paths!$C$206=0,C2199=0),0,12-E2199)</f>
        <v>0</v>
      </c>
      <c r="G2199" s="16">
        <f>IF(NOT(Paths!$C$206=1),0,IF(Paths!$P$206="Complete",E2199/12*(Paths!$J$206*(1+'Operating costs'!$B$51)^MAX(0,C2199-1)+Paths!$K$206*(1+'Operating costs'!$B$53)^MAX(0,C2199-1)),"n.a."))</f>
        <v>0</v>
      </c>
      <c r="H2199" s="16">
        <f>IF(NOT(Paths!$C$206=1),0,IF(Paths!$P$206="Complete",F2199/12*(Paths!$L$206*(1+IF(Paths!$D$206="EV",'Operating costs'!$B$52,'Operating costs'!$B$51))^MAX(0,C2199-1)+Paths!$M$206*(1+'Operating costs'!$B$53)^MAX(0,C2199-1)),"n.a."))</f>
        <v>0</v>
      </c>
      <c r="I2199" s="16">
        <f>IF(NOT(Paths!$C$206=1),0,IF(Paths!$P$206="Complete",IF(IF(Paths!$E$206=0,C2199=0,AND(C2199&gt;0,Paths!$E$206&gt;(C2199-1)*12,Paths!$E$206&lt;=C2199*12)),Paths!$G$206,0),"n.a."))</f>
        <v>0</v>
      </c>
      <c r="J2199" s="16">
        <f>IF(NOT(Paths!$C$206=1),0,IF(Paths!$P$206="Complete",IF(IF(Paths!$E$206=0,C2199=0,AND(C2199&gt;0,Paths!$E$206&gt;(C2199-1)*12,Paths!$E$206&lt;=C2199*12)),Paths!$H$206,0),"n.a."))</f>
        <v>0</v>
      </c>
      <c r="K2199" s="16">
        <f>IF(NOT(Paths!$C$206=1),0,IF(Paths!$P$206="Complete",IF(IF(Paths!$O$206=0,C2199=0,AND(C2199&gt;0,Paths!$O$206&gt;(C2199-1)*12,Paths!$O$206&lt;=C2199*12)),Paths!$N$206,0),"n.a."))</f>
        <v>0</v>
      </c>
      <c r="L2199" s="16">
        <f>IF(NOT(Paths!$C$206=1),0,IF(Paths!$P$206="Complete",IF(C2199=10,Paths!$I$206,0),"n.a."))</f>
        <v>0</v>
      </c>
      <c r="M2199" s="16">
        <f>IF(NOT(Paths!$C$206=1),0,IF(Paths!$P$206="Complete",IF(AND(Paths!$D$206="EV",Paths!$E$206&lt;120,Paths!$E$206+'Operating costs'!$B$65&gt;Paths!$E$206,Paths!$E$206+'Operating costs'!$B$65&lt;=120,IF(Paths!$E$206+'Operating costs'!$B$65=0,C2199=0,AND(C2199&gt;0,Paths!$E$206+'Operating costs'!$B$65&gt;(C2199-1)*12,Paths!$E$206+'Operating costs'!$B$65&lt;=C2199*12))),'Operating costs'!$B$64,0)+IF(AND('Operating costs'!$B$67&gt;0,'Operating costs'!$B$67&lt;=120,OR(Paths!$D$206="ICE",'Operating costs'!$B$67&lt;=Paths!$E$206),IF('Operating costs'!$B$67=0,C2199=0,AND(C2199&gt;0,'Operating costs'!$B$67&gt;(C2199-1)*12,'Operating costs'!$B$67&lt;=C2199*12))),'Operating costs'!$B$66,0),"n.a."))</f>
        <v>0</v>
      </c>
      <c r="N2199" s="16">
        <f>IF(NOT(Paths!$C$206=1),0,IF(Paths!$P$206="Complete",SUM(G2199:I2199)-J2199-K2199-L2199+M2199+IF(C2199=0,Paths!$F$206,0)+IF(IF(Paths!$E$206=0,C2199=0,AND(C2199&gt;0,Paths!$E$206&gt;(C2199-1)*12,Paths!$E$206&lt;=C2199*12)),VLOOKUP(A2199,'Fleet register'!$A$7:$S$106,16,FALSE),0),"n.a."))</f>
        <v>0</v>
      </c>
      <c r="O2199" s="16">
        <f>IF(NOT(Paths!$C$206=1),0,IF(Paths!$P$206="Complete",N2199-IF(C2199=0,Paths!$F$206,0),"n.a."))</f>
        <v>0</v>
      </c>
      <c r="P2199" s="16">
        <f>IF(NOT(Paths!$C$206=1),0,IF(Paths!$P$206="Complete",O2199+L2199,"n.a."))</f>
        <v>0</v>
      </c>
      <c r="Q2199" s="16">
        <f>IF(NOT(Paths!$C$206=1),0,IF(Paths!$P$206="Complete",N2199*(1+'Operating costs'!$B$54)^-C2199,"n.a."))</f>
        <v>0</v>
      </c>
      <c r="R2199" s="16">
        <f>IF(NOT(Paths!$C$206=1),0,IF(Paths!$P$206="Complete",IF(AND(C2199=0,Paths!$E$206=0),I2199-J2199-K2199+VLOOKUP(A2199,'Fleet register'!$A$7:$S$106,15,FALSE)+VLOOKUP(A2199,'Fleet register'!$A$7:$S$106,16,FALSE),0),"n.a."))</f>
        <v>0</v>
      </c>
      <c r="S2199" s="1">
        <f>IF(NOT(Paths!$C$206=1),0,IF(Paths!$P$206="Complete",IF(C2199=0,0,Paths!$S$206*Paths!$R$206),"n.a."))</f>
        <v>0</v>
      </c>
      <c r="T2199" s="1">
        <f>IF(NOT(Paths!$C$206=1),0,IF(Paths!$P$206="Complete",IF(C2199=0,0,VLOOKUP(A2199,'Fleet register'!$A$7:$S$106,9,FALSE)*Paths!$R$206),"n.a."))</f>
        <v>0</v>
      </c>
    </row>
    <row r="2200" spans="1:20" ht="24" customHeight="1">
      <c r="A2200" s="1" t="str">
        <f>Paths!$A$206</f>
        <v>T050</v>
      </c>
      <c r="B2200" s="1">
        <f>Paths!$B$206</f>
        <v>3</v>
      </c>
      <c r="C2200" s="1">
        <v>4</v>
      </c>
      <c r="D2200" s="1">
        <v>206</v>
      </c>
      <c r="E2200" s="1">
        <f>IF(OR(Paths!$C$206=0,C2200=0),0,MAX(0,MIN(C2200*12,Paths!$E$206)-(C2200-1)*12))</f>
        <v>0</v>
      </c>
      <c r="F2200" s="1">
        <f>IF(OR(Paths!$C$206=0,C2200=0),0,12-E2200)</f>
        <v>0</v>
      </c>
      <c r="G2200" s="16">
        <f>IF(NOT(Paths!$C$206=1),0,IF(Paths!$P$206="Complete",E2200/12*(Paths!$J$206*(1+'Operating costs'!$B$51)^MAX(0,C2200-1)+Paths!$K$206*(1+'Operating costs'!$B$53)^MAX(0,C2200-1)),"n.a."))</f>
        <v>0</v>
      </c>
      <c r="H2200" s="16">
        <f>IF(NOT(Paths!$C$206=1),0,IF(Paths!$P$206="Complete",F2200/12*(Paths!$L$206*(1+IF(Paths!$D$206="EV",'Operating costs'!$B$52,'Operating costs'!$B$51))^MAX(0,C2200-1)+Paths!$M$206*(1+'Operating costs'!$B$53)^MAX(0,C2200-1)),"n.a."))</f>
        <v>0</v>
      </c>
      <c r="I2200" s="16">
        <f>IF(NOT(Paths!$C$206=1),0,IF(Paths!$P$206="Complete",IF(IF(Paths!$E$206=0,C2200=0,AND(C2200&gt;0,Paths!$E$206&gt;(C2200-1)*12,Paths!$E$206&lt;=C2200*12)),Paths!$G$206,0),"n.a."))</f>
        <v>0</v>
      </c>
      <c r="J2200" s="16">
        <f>IF(NOT(Paths!$C$206=1),0,IF(Paths!$P$206="Complete",IF(IF(Paths!$E$206=0,C2200=0,AND(C2200&gt;0,Paths!$E$206&gt;(C2200-1)*12,Paths!$E$206&lt;=C2200*12)),Paths!$H$206,0),"n.a."))</f>
        <v>0</v>
      </c>
      <c r="K2200" s="16">
        <f>IF(NOT(Paths!$C$206=1),0,IF(Paths!$P$206="Complete",IF(IF(Paths!$O$206=0,C2200=0,AND(C2200&gt;0,Paths!$O$206&gt;(C2200-1)*12,Paths!$O$206&lt;=C2200*12)),Paths!$N$206,0),"n.a."))</f>
        <v>0</v>
      </c>
      <c r="L2200" s="16">
        <f>IF(NOT(Paths!$C$206=1),0,IF(Paths!$P$206="Complete",IF(C2200=10,Paths!$I$206,0),"n.a."))</f>
        <v>0</v>
      </c>
      <c r="M2200" s="16">
        <f>IF(NOT(Paths!$C$206=1),0,IF(Paths!$P$206="Complete",IF(AND(Paths!$D$206="EV",Paths!$E$206&lt;120,Paths!$E$206+'Operating costs'!$B$65&gt;Paths!$E$206,Paths!$E$206+'Operating costs'!$B$65&lt;=120,IF(Paths!$E$206+'Operating costs'!$B$65=0,C2200=0,AND(C2200&gt;0,Paths!$E$206+'Operating costs'!$B$65&gt;(C2200-1)*12,Paths!$E$206+'Operating costs'!$B$65&lt;=C2200*12))),'Operating costs'!$B$64,0)+IF(AND('Operating costs'!$B$67&gt;0,'Operating costs'!$B$67&lt;=120,OR(Paths!$D$206="ICE",'Operating costs'!$B$67&lt;=Paths!$E$206),IF('Operating costs'!$B$67=0,C2200=0,AND(C2200&gt;0,'Operating costs'!$B$67&gt;(C2200-1)*12,'Operating costs'!$B$67&lt;=C2200*12))),'Operating costs'!$B$66,0),"n.a."))</f>
        <v>0</v>
      </c>
      <c r="N2200" s="16">
        <f>IF(NOT(Paths!$C$206=1),0,IF(Paths!$P$206="Complete",SUM(G2200:I2200)-J2200-K2200-L2200+M2200+IF(C2200=0,Paths!$F$206,0)+IF(IF(Paths!$E$206=0,C2200=0,AND(C2200&gt;0,Paths!$E$206&gt;(C2200-1)*12,Paths!$E$206&lt;=C2200*12)),VLOOKUP(A2200,'Fleet register'!$A$7:$S$106,16,FALSE),0),"n.a."))</f>
        <v>0</v>
      </c>
      <c r="O2200" s="16">
        <f>IF(NOT(Paths!$C$206=1),0,IF(Paths!$P$206="Complete",N2200-IF(C2200=0,Paths!$F$206,0),"n.a."))</f>
        <v>0</v>
      </c>
      <c r="P2200" s="16">
        <f>IF(NOT(Paths!$C$206=1),0,IF(Paths!$P$206="Complete",O2200+L2200,"n.a."))</f>
        <v>0</v>
      </c>
      <c r="Q2200" s="16">
        <f>IF(NOT(Paths!$C$206=1),0,IF(Paths!$P$206="Complete",N2200*(1+'Operating costs'!$B$54)^-C2200,"n.a."))</f>
        <v>0</v>
      </c>
      <c r="R2200" s="16">
        <f>IF(NOT(Paths!$C$206=1),0,IF(Paths!$P$206="Complete",IF(AND(C2200=0,Paths!$E$206=0),I2200-J2200-K2200+VLOOKUP(A2200,'Fleet register'!$A$7:$S$106,15,FALSE)+VLOOKUP(A2200,'Fleet register'!$A$7:$S$106,16,FALSE),0),"n.a."))</f>
        <v>0</v>
      </c>
      <c r="S2200" s="1">
        <f>IF(NOT(Paths!$C$206=1),0,IF(Paths!$P$206="Complete",IF(C2200=0,0,Paths!$S$206*Paths!$R$206),"n.a."))</f>
        <v>0</v>
      </c>
      <c r="T2200" s="1">
        <f>IF(NOT(Paths!$C$206=1),0,IF(Paths!$P$206="Complete",IF(C2200=0,0,VLOOKUP(A2200,'Fleet register'!$A$7:$S$106,9,FALSE)*Paths!$R$206),"n.a."))</f>
        <v>0</v>
      </c>
    </row>
    <row r="2201" spans="1:20" ht="24" customHeight="1">
      <c r="A2201" s="1" t="str">
        <f>Paths!$A$206</f>
        <v>T050</v>
      </c>
      <c r="B2201" s="1">
        <f>Paths!$B$206</f>
        <v>3</v>
      </c>
      <c r="C2201" s="1">
        <v>5</v>
      </c>
      <c r="D2201" s="1">
        <v>206</v>
      </c>
      <c r="E2201" s="1">
        <f>IF(OR(Paths!$C$206=0,C2201=0),0,MAX(0,MIN(C2201*12,Paths!$E$206)-(C2201-1)*12))</f>
        <v>0</v>
      </c>
      <c r="F2201" s="1">
        <f>IF(OR(Paths!$C$206=0,C2201=0),0,12-E2201)</f>
        <v>0</v>
      </c>
      <c r="G2201" s="16">
        <f>IF(NOT(Paths!$C$206=1),0,IF(Paths!$P$206="Complete",E2201/12*(Paths!$J$206*(1+'Operating costs'!$B$51)^MAX(0,C2201-1)+Paths!$K$206*(1+'Operating costs'!$B$53)^MAX(0,C2201-1)),"n.a."))</f>
        <v>0</v>
      </c>
      <c r="H2201" s="16">
        <f>IF(NOT(Paths!$C$206=1),0,IF(Paths!$P$206="Complete",F2201/12*(Paths!$L$206*(1+IF(Paths!$D$206="EV",'Operating costs'!$B$52,'Operating costs'!$B$51))^MAX(0,C2201-1)+Paths!$M$206*(1+'Operating costs'!$B$53)^MAX(0,C2201-1)),"n.a."))</f>
        <v>0</v>
      </c>
      <c r="I2201" s="16">
        <f>IF(NOT(Paths!$C$206=1),0,IF(Paths!$P$206="Complete",IF(IF(Paths!$E$206=0,C2201=0,AND(C2201&gt;0,Paths!$E$206&gt;(C2201-1)*12,Paths!$E$206&lt;=C2201*12)),Paths!$G$206,0),"n.a."))</f>
        <v>0</v>
      </c>
      <c r="J2201" s="16">
        <f>IF(NOT(Paths!$C$206=1),0,IF(Paths!$P$206="Complete",IF(IF(Paths!$E$206=0,C2201=0,AND(C2201&gt;0,Paths!$E$206&gt;(C2201-1)*12,Paths!$E$206&lt;=C2201*12)),Paths!$H$206,0),"n.a."))</f>
        <v>0</v>
      </c>
      <c r="K2201" s="16">
        <f>IF(NOT(Paths!$C$206=1),0,IF(Paths!$P$206="Complete",IF(IF(Paths!$O$206=0,C2201=0,AND(C2201&gt;0,Paths!$O$206&gt;(C2201-1)*12,Paths!$O$206&lt;=C2201*12)),Paths!$N$206,0),"n.a."))</f>
        <v>0</v>
      </c>
      <c r="L2201" s="16">
        <f>IF(NOT(Paths!$C$206=1),0,IF(Paths!$P$206="Complete",IF(C2201=10,Paths!$I$206,0),"n.a."))</f>
        <v>0</v>
      </c>
      <c r="M2201" s="16">
        <f>IF(NOT(Paths!$C$206=1),0,IF(Paths!$P$206="Complete",IF(AND(Paths!$D$206="EV",Paths!$E$206&lt;120,Paths!$E$206+'Operating costs'!$B$65&gt;Paths!$E$206,Paths!$E$206+'Operating costs'!$B$65&lt;=120,IF(Paths!$E$206+'Operating costs'!$B$65=0,C2201=0,AND(C2201&gt;0,Paths!$E$206+'Operating costs'!$B$65&gt;(C2201-1)*12,Paths!$E$206+'Operating costs'!$B$65&lt;=C2201*12))),'Operating costs'!$B$64,0)+IF(AND('Operating costs'!$B$67&gt;0,'Operating costs'!$B$67&lt;=120,OR(Paths!$D$206="ICE",'Operating costs'!$B$67&lt;=Paths!$E$206),IF('Operating costs'!$B$67=0,C2201=0,AND(C2201&gt;0,'Operating costs'!$B$67&gt;(C2201-1)*12,'Operating costs'!$B$67&lt;=C2201*12))),'Operating costs'!$B$66,0),"n.a."))</f>
        <v>0</v>
      </c>
      <c r="N2201" s="16">
        <f>IF(NOT(Paths!$C$206=1),0,IF(Paths!$P$206="Complete",SUM(G2201:I2201)-J2201-K2201-L2201+M2201+IF(C2201=0,Paths!$F$206,0)+IF(IF(Paths!$E$206=0,C2201=0,AND(C2201&gt;0,Paths!$E$206&gt;(C2201-1)*12,Paths!$E$206&lt;=C2201*12)),VLOOKUP(A2201,'Fleet register'!$A$7:$S$106,16,FALSE),0),"n.a."))</f>
        <v>0</v>
      </c>
      <c r="O2201" s="16">
        <f>IF(NOT(Paths!$C$206=1),0,IF(Paths!$P$206="Complete",N2201-IF(C2201=0,Paths!$F$206,0),"n.a."))</f>
        <v>0</v>
      </c>
      <c r="P2201" s="16">
        <f>IF(NOT(Paths!$C$206=1),0,IF(Paths!$P$206="Complete",O2201+L2201,"n.a."))</f>
        <v>0</v>
      </c>
      <c r="Q2201" s="16">
        <f>IF(NOT(Paths!$C$206=1),0,IF(Paths!$P$206="Complete",N2201*(1+'Operating costs'!$B$54)^-C2201,"n.a."))</f>
        <v>0</v>
      </c>
      <c r="R2201" s="16">
        <f>IF(NOT(Paths!$C$206=1),0,IF(Paths!$P$206="Complete",IF(AND(C2201=0,Paths!$E$206=0),I2201-J2201-K2201+VLOOKUP(A2201,'Fleet register'!$A$7:$S$106,15,FALSE)+VLOOKUP(A2201,'Fleet register'!$A$7:$S$106,16,FALSE),0),"n.a."))</f>
        <v>0</v>
      </c>
      <c r="S2201" s="1">
        <f>IF(NOT(Paths!$C$206=1),0,IF(Paths!$P$206="Complete",IF(C2201=0,0,Paths!$S$206*Paths!$R$206),"n.a."))</f>
        <v>0</v>
      </c>
      <c r="T2201" s="1">
        <f>IF(NOT(Paths!$C$206=1),0,IF(Paths!$P$206="Complete",IF(C2201=0,0,VLOOKUP(A2201,'Fleet register'!$A$7:$S$106,9,FALSE)*Paths!$R$206),"n.a."))</f>
        <v>0</v>
      </c>
    </row>
    <row r="2202" spans="1:20" ht="24" customHeight="1">
      <c r="A2202" s="1" t="str">
        <f>Paths!$A$206</f>
        <v>T050</v>
      </c>
      <c r="B2202" s="1">
        <f>Paths!$B$206</f>
        <v>3</v>
      </c>
      <c r="C2202" s="1">
        <v>6</v>
      </c>
      <c r="D2202" s="1">
        <v>206</v>
      </c>
      <c r="E2202" s="1">
        <f>IF(OR(Paths!$C$206=0,C2202=0),0,MAX(0,MIN(C2202*12,Paths!$E$206)-(C2202-1)*12))</f>
        <v>0</v>
      </c>
      <c r="F2202" s="1">
        <f>IF(OR(Paths!$C$206=0,C2202=0),0,12-E2202)</f>
        <v>0</v>
      </c>
      <c r="G2202" s="16">
        <f>IF(NOT(Paths!$C$206=1),0,IF(Paths!$P$206="Complete",E2202/12*(Paths!$J$206*(1+'Operating costs'!$B$51)^MAX(0,C2202-1)+Paths!$K$206*(1+'Operating costs'!$B$53)^MAX(0,C2202-1)),"n.a."))</f>
        <v>0</v>
      </c>
      <c r="H2202" s="16">
        <f>IF(NOT(Paths!$C$206=1),0,IF(Paths!$P$206="Complete",F2202/12*(Paths!$L$206*(1+IF(Paths!$D$206="EV",'Operating costs'!$B$52,'Operating costs'!$B$51))^MAX(0,C2202-1)+Paths!$M$206*(1+'Operating costs'!$B$53)^MAX(0,C2202-1)),"n.a."))</f>
        <v>0</v>
      </c>
      <c r="I2202" s="16">
        <f>IF(NOT(Paths!$C$206=1),0,IF(Paths!$P$206="Complete",IF(IF(Paths!$E$206=0,C2202=0,AND(C2202&gt;0,Paths!$E$206&gt;(C2202-1)*12,Paths!$E$206&lt;=C2202*12)),Paths!$G$206,0),"n.a."))</f>
        <v>0</v>
      </c>
      <c r="J2202" s="16">
        <f>IF(NOT(Paths!$C$206=1),0,IF(Paths!$P$206="Complete",IF(IF(Paths!$E$206=0,C2202=0,AND(C2202&gt;0,Paths!$E$206&gt;(C2202-1)*12,Paths!$E$206&lt;=C2202*12)),Paths!$H$206,0),"n.a."))</f>
        <v>0</v>
      </c>
      <c r="K2202" s="16">
        <f>IF(NOT(Paths!$C$206=1),0,IF(Paths!$P$206="Complete",IF(IF(Paths!$O$206=0,C2202=0,AND(C2202&gt;0,Paths!$O$206&gt;(C2202-1)*12,Paths!$O$206&lt;=C2202*12)),Paths!$N$206,0),"n.a."))</f>
        <v>0</v>
      </c>
      <c r="L2202" s="16">
        <f>IF(NOT(Paths!$C$206=1),0,IF(Paths!$P$206="Complete",IF(C2202=10,Paths!$I$206,0),"n.a."))</f>
        <v>0</v>
      </c>
      <c r="M2202" s="16">
        <f>IF(NOT(Paths!$C$206=1),0,IF(Paths!$P$206="Complete",IF(AND(Paths!$D$206="EV",Paths!$E$206&lt;120,Paths!$E$206+'Operating costs'!$B$65&gt;Paths!$E$206,Paths!$E$206+'Operating costs'!$B$65&lt;=120,IF(Paths!$E$206+'Operating costs'!$B$65=0,C2202=0,AND(C2202&gt;0,Paths!$E$206+'Operating costs'!$B$65&gt;(C2202-1)*12,Paths!$E$206+'Operating costs'!$B$65&lt;=C2202*12))),'Operating costs'!$B$64,0)+IF(AND('Operating costs'!$B$67&gt;0,'Operating costs'!$B$67&lt;=120,OR(Paths!$D$206="ICE",'Operating costs'!$B$67&lt;=Paths!$E$206),IF('Operating costs'!$B$67=0,C2202=0,AND(C2202&gt;0,'Operating costs'!$B$67&gt;(C2202-1)*12,'Operating costs'!$B$67&lt;=C2202*12))),'Operating costs'!$B$66,0),"n.a."))</f>
        <v>0</v>
      </c>
      <c r="N2202" s="16">
        <f>IF(NOT(Paths!$C$206=1),0,IF(Paths!$P$206="Complete",SUM(G2202:I2202)-J2202-K2202-L2202+M2202+IF(C2202=0,Paths!$F$206,0)+IF(IF(Paths!$E$206=0,C2202=0,AND(C2202&gt;0,Paths!$E$206&gt;(C2202-1)*12,Paths!$E$206&lt;=C2202*12)),VLOOKUP(A2202,'Fleet register'!$A$7:$S$106,16,FALSE),0),"n.a."))</f>
        <v>0</v>
      </c>
      <c r="O2202" s="16">
        <f>IF(NOT(Paths!$C$206=1),0,IF(Paths!$P$206="Complete",N2202-IF(C2202=0,Paths!$F$206,0),"n.a."))</f>
        <v>0</v>
      </c>
      <c r="P2202" s="16">
        <f>IF(NOT(Paths!$C$206=1),0,IF(Paths!$P$206="Complete",O2202+L2202,"n.a."))</f>
        <v>0</v>
      </c>
      <c r="Q2202" s="16">
        <f>IF(NOT(Paths!$C$206=1),0,IF(Paths!$P$206="Complete",N2202*(1+'Operating costs'!$B$54)^-C2202,"n.a."))</f>
        <v>0</v>
      </c>
      <c r="R2202" s="16">
        <f>IF(NOT(Paths!$C$206=1),0,IF(Paths!$P$206="Complete",IF(AND(C2202=0,Paths!$E$206=0),I2202-J2202-K2202+VLOOKUP(A2202,'Fleet register'!$A$7:$S$106,15,FALSE)+VLOOKUP(A2202,'Fleet register'!$A$7:$S$106,16,FALSE),0),"n.a."))</f>
        <v>0</v>
      </c>
      <c r="S2202" s="1">
        <f>IF(NOT(Paths!$C$206=1),0,IF(Paths!$P$206="Complete",IF(C2202=0,0,Paths!$S$206*Paths!$R$206),"n.a."))</f>
        <v>0</v>
      </c>
      <c r="T2202" s="1">
        <f>IF(NOT(Paths!$C$206=1),0,IF(Paths!$P$206="Complete",IF(C2202=0,0,VLOOKUP(A2202,'Fleet register'!$A$7:$S$106,9,FALSE)*Paths!$R$206),"n.a."))</f>
        <v>0</v>
      </c>
    </row>
    <row r="2203" spans="1:20" ht="24" customHeight="1">
      <c r="A2203" s="1" t="str">
        <f>Paths!$A$206</f>
        <v>T050</v>
      </c>
      <c r="B2203" s="1">
        <f>Paths!$B$206</f>
        <v>3</v>
      </c>
      <c r="C2203" s="1">
        <v>7</v>
      </c>
      <c r="D2203" s="1">
        <v>206</v>
      </c>
      <c r="E2203" s="1">
        <f>IF(OR(Paths!$C$206=0,C2203=0),0,MAX(0,MIN(C2203*12,Paths!$E$206)-(C2203-1)*12))</f>
        <v>0</v>
      </c>
      <c r="F2203" s="1">
        <f>IF(OR(Paths!$C$206=0,C2203=0),0,12-E2203)</f>
        <v>0</v>
      </c>
      <c r="G2203" s="16">
        <f>IF(NOT(Paths!$C$206=1),0,IF(Paths!$P$206="Complete",E2203/12*(Paths!$J$206*(1+'Operating costs'!$B$51)^MAX(0,C2203-1)+Paths!$K$206*(1+'Operating costs'!$B$53)^MAX(0,C2203-1)),"n.a."))</f>
        <v>0</v>
      </c>
      <c r="H2203" s="16">
        <f>IF(NOT(Paths!$C$206=1),0,IF(Paths!$P$206="Complete",F2203/12*(Paths!$L$206*(1+IF(Paths!$D$206="EV",'Operating costs'!$B$52,'Operating costs'!$B$51))^MAX(0,C2203-1)+Paths!$M$206*(1+'Operating costs'!$B$53)^MAX(0,C2203-1)),"n.a."))</f>
        <v>0</v>
      </c>
      <c r="I2203" s="16">
        <f>IF(NOT(Paths!$C$206=1),0,IF(Paths!$P$206="Complete",IF(IF(Paths!$E$206=0,C2203=0,AND(C2203&gt;0,Paths!$E$206&gt;(C2203-1)*12,Paths!$E$206&lt;=C2203*12)),Paths!$G$206,0),"n.a."))</f>
        <v>0</v>
      </c>
      <c r="J2203" s="16">
        <f>IF(NOT(Paths!$C$206=1),0,IF(Paths!$P$206="Complete",IF(IF(Paths!$E$206=0,C2203=0,AND(C2203&gt;0,Paths!$E$206&gt;(C2203-1)*12,Paths!$E$206&lt;=C2203*12)),Paths!$H$206,0),"n.a."))</f>
        <v>0</v>
      </c>
      <c r="K2203" s="16">
        <f>IF(NOT(Paths!$C$206=1),0,IF(Paths!$P$206="Complete",IF(IF(Paths!$O$206=0,C2203=0,AND(C2203&gt;0,Paths!$O$206&gt;(C2203-1)*12,Paths!$O$206&lt;=C2203*12)),Paths!$N$206,0),"n.a."))</f>
        <v>0</v>
      </c>
      <c r="L2203" s="16">
        <f>IF(NOT(Paths!$C$206=1),0,IF(Paths!$P$206="Complete",IF(C2203=10,Paths!$I$206,0),"n.a."))</f>
        <v>0</v>
      </c>
      <c r="M2203" s="16">
        <f>IF(NOT(Paths!$C$206=1),0,IF(Paths!$P$206="Complete",IF(AND(Paths!$D$206="EV",Paths!$E$206&lt;120,Paths!$E$206+'Operating costs'!$B$65&gt;Paths!$E$206,Paths!$E$206+'Operating costs'!$B$65&lt;=120,IF(Paths!$E$206+'Operating costs'!$B$65=0,C2203=0,AND(C2203&gt;0,Paths!$E$206+'Operating costs'!$B$65&gt;(C2203-1)*12,Paths!$E$206+'Operating costs'!$B$65&lt;=C2203*12))),'Operating costs'!$B$64,0)+IF(AND('Operating costs'!$B$67&gt;0,'Operating costs'!$B$67&lt;=120,OR(Paths!$D$206="ICE",'Operating costs'!$B$67&lt;=Paths!$E$206),IF('Operating costs'!$B$67=0,C2203=0,AND(C2203&gt;0,'Operating costs'!$B$67&gt;(C2203-1)*12,'Operating costs'!$B$67&lt;=C2203*12))),'Operating costs'!$B$66,0),"n.a."))</f>
        <v>0</v>
      </c>
      <c r="N2203" s="16">
        <f>IF(NOT(Paths!$C$206=1),0,IF(Paths!$P$206="Complete",SUM(G2203:I2203)-J2203-K2203-L2203+M2203+IF(C2203=0,Paths!$F$206,0)+IF(IF(Paths!$E$206=0,C2203=0,AND(C2203&gt;0,Paths!$E$206&gt;(C2203-1)*12,Paths!$E$206&lt;=C2203*12)),VLOOKUP(A2203,'Fleet register'!$A$7:$S$106,16,FALSE),0),"n.a."))</f>
        <v>0</v>
      </c>
      <c r="O2203" s="16">
        <f>IF(NOT(Paths!$C$206=1),0,IF(Paths!$P$206="Complete",N2203-IF(C2203=0,Paths!$F$206,0),"n.a."))</f>
        <v>0</v>
      </c>
      <c r="P2203" s="16">
        <f>IF(NOT(Paths!$C$206=1),0,IF(Paths!$P$206="Complete",O2203+L2203,"n.a."))</f>
        <v>0</v>
      </c>
      <c r="Q2203" s="16">
        <f>IF(NOT(Paths!$C$206=1),0,IF(Paths!$P$206="Complete",N2203*(1+'Operating costs'!$B$54)^-C2203,"n.a."))</f>
        <v>0</v>
      </c>
      <c r="R2203" s="16">
        <f>IF(NOT(Paths!$C$206=1),0,IF(Paths!$P$206="Complete",IF(AND(C2203=0,Paths!$E$206=0),I2203-J2203-K2203+VLOOKUP(A2203,'Fleet register'!$A$7:$S$106,15,FALSE)+VLOOKUP(A2203,'Fleet register'!$A$7:$S$106,16,FALSE),0),"n.a."))</f>
        <v>0</v>
      </c>
      <c r="S2203" s="1">
        <f>IF(NOT(Paths!$C$206=1),0,IF(Paths!$P$206="Complete",IF(C2203=0,0,Paths!$S$206*Paths!$R$206),"n.a."))</f>
        <v>0</v>
      </c>
      <c r="T2203" s="1">
        <f>IF(NOT(Paths!$C$206=1),0,IF(Paths!$P$206="Complete",IF(C2203=0,0,VLOOKUP(A2203,'Fleet register'!$A$7:$S$106,9,FALSE)*Paths!$R$206),"n.a."))</f>
        <v>0</v>
      </c>
    </row>
    <row r="2204" spans="1:20" ht="24" customHeight="1">
      <c r="A2204" s="1" t="str">
        <f>Paths!$A$206</f>
        <v>T050</v>
      </c>
      <c r="B2204" s="1">
        <f>Paths!$B$206</f>
        <v>3</v>
      </c>
      <c r="C2204" s="1">
        <v>8</v>
      </c>
      <c r="D2204" s="1">
        <v>206</v>
      </c>
      <c r="E2204" s="1">
        <f>IF(OR(Paths!$C$206=0,C2204=0),0,MAX(0,MIN(C2204*12,Paths!$E$206)-(C2204-1)*12))</f>
        <v>0</v>
      </c>
      <c r="F2204" s="1">
        <f>IF(OR(Paths!$C$206=0,C2204=0),0,12-E2204)</f>
        <v>0</v>
      </c>
      <c r="G2204" s="16">
        <f>IF(NOT(Paths!$C$206=1),0,IF(Paths!$P$206="Complete",E2204/12*(Paths!$J$206*(1+'Operating costs'!$B$51)^MAX(0,C2204-1)+Paths!$K$206*(1+'Operating costs'!$B$53)^MAX(0,C2204-1)),"n.a."))</f>
        <v>0</v>
      </c>
      <c r="H2204" s="16">
        <f>IF(NOT(Paths!$C$206=1),0,IF(Paths!$P$206="Complete",F2204/12*(Paths!$L$206*(1+IF(Paths!$D$206="EV",'Operating costs'!$B$52,'Operating costs'!$B$51))^MAX(0,C2204-1)+Paths!$M$206*(1+'Operating costs'!$B$53)^MAX(0,C2204-1)),"n.a."))</f>
        <v>0</v>
      </c>
      <c r="I2204" s="16">
        <f>IF(NOT(Paths!$C$206=1),0,IF(Paths!$P$206="Complete",IF(IF(Paths!$E$206=0,C2204=0,AND(C2204&gt;0,Paths!$E$206&gt;(C2204-1)*12,Paths!$E$206&lt;=C2204*12)),Paths!$G$206,0),"n.a."))</f>
        <v>0</v>
      </c>
      <c r="J2204" s="16">
        <f>IF(NOT(Paths!$C$206=1),0,IF(Paths!$P$206="Complete",IF(IF(Paths!$E$206=0,C2204=0,AND(C2204&gt;0,Paths!$E$206&gt;(C2204-1)*12,Paths!$E$206&lt;=C2204*12)),Paths!$H$206,0),"n.a."))</f>
        <v>0</v>
      </c>
      <c r="K2204" s="16">
        <f>IF(NOT(Paths!$C$206=1),0,IF(Paths!$P$206="Complete",IF(IF(Paths!$O$206=0,C2204=0,AND(C2204&gt;0,Paths!$O$206&gt;(C2204-1)*12,Paths!$O$206&lt;=C2204*12)),Paths!$N$206,0),"n.a."))</f>
        <v>0</v>
      </c>
      <c r="L2204" s="16">
        <f>IF(NOT(Paths!$C$206=1),0,IF(Paths!$P$206="Complete",IF(C2204=10,Paths!$I$206,0),"n.a."))</f>
        <v>0</v>
      </c>
      <c r="M2204" s="16">
        <f>IF(NOT(Paths!$C$206=1),0,IF(Paths!$P$206="Complete",IF(AND(Paths!$D$206="EV",Paths!$E$206&lt;120,Paths!$E$206+'Operating costs'!$B$65&gt;Paths!$E$206,Paths!$E$206+'Operating costs'!$B$65&lt;=120,IF(Paths!$E$206+'Operating costs'!$B$65=0,C2204=0,AND(C2204&gt;0,Paths!$E$206+'Operating costs'!$B$65&gt;(C2204-1)*12,Paths!$E$206+'Operating costs'!$B$65&lt;=C2204*12))),'Operating costs'!$B$64,0)+IF(AND('Operating costs'!$B$67&gt;0,'Operating costs'!$B$67&lt;=120,OR(Paths!$D$206="ICE",'Operating costs'!$B$67&lt;=Paths!$E$206),IF('Operating costs'!$B$67=0,C2204=0,AND(C2204&gt;0,'Operating costs'!$B$67&gt;(C2204-1)*12,'Operating costs'!$B$67&lt;=C2204*12))),'Operating costs'!$B$66,0),"n.a."))</f>
        <v>0</v>
      </c>
      <c r="N2204" s="16">
        <f>IF(NOT(Paths!$C$206=1),0,IF(Paths!$P$206="Complete",SUM(G2204:I2204)-J2204-K2204-L2204+M2204+IF(C2204=0,Paths!$F$206,0)+IF(IF(Paths!$E$206=0,C2204=0,AND(C2204&gt;0,Paths!$E$206&gt;(C2204-1)*12,Paths!$E$206&lt;=C2204*12)),VLOOKUP(A2204,'Fleet register'!$A$7:$S$106,16,FALSE),0),"n.a."))</f>
        <v>0</v>
      </c>
      <c r="O2204" s="16">
        <f>IF(NOT(Paths!$C$206=1),0,IF(Paths!$P$206="Complete",N2204-IF(C2204=0,Paths!$F$206,0),"n.a."))</f>
        <v>0</v>
      </c>
      <c r="P2204" s="16">
        <f>IF(NOT(Paths!$C$206=1),0,IF(Paths!$P$206="Complete",O2204+L2204,"n.a."))</f>
        <v>0</v>
      </c>
      <c r="Q2204" s="16">
        <f>IF(NOT(Paths!$C$206=1),0,IF(Paths!$P$206="Complete",N2204*(1+'Operating costs'!$B$54)^-C2204,"n.a."))</f>
        <v>0</v>
      </c>
      <c r="R2204" s="16">
        <f>IF(NOT(Paths!$C$206=1),0,IF(Paths!$P$206="Complete",IF(AND(C2204=0,Paths!$E$206=0),I2204-J2204-K2204+VLOOKUP(A2204,'Fleet register'!$A$7:$S$106,15,FALSE)+VLOOKUP(A2204,'Fleet register'!$A$7:$S$106,16,FALSE),0),"n.a."))</f>
        <v>0</v>
      </c>
      <c r="S2204" s="1">
        <f>IF(NOT(Paths!$C$206=1),0,IF(Paths!$P$206="Complete",IF(C2204=0,0,Paths!$S$206*Paths!$R$206),"n.a."))</f>
        <v>0</v>
      </c>
      <c r="T2204" s="1">
        <f>IF(NOT(Paths!$C$206=1),0,IF(Paths!$P$206="Complete",IF(C2204=0,0,VLOOKUP(A2204,'Fleet register'!$A$7:$S$106,9,FALSE)*Paths!$R$206),"n.a."))</f>
        <v>0</v>
      </c>
    </row>
    <row r="2205" spans="1:20" ht="24" customHeight="1">
      <c r="A2205" s="1" t="str">
        <f>Paths!$A$206</f>
        <v>T050</v>
      </c>
      <c r="B2205" s="1">
        <f>Paths!$B$206</f>
        <v>3</v>
      </c>
      <c r="C2205" s="1">
        <v>9</v>
      </c>
      <c r="D2205" s="1">
        <v>206</v>
      </c>
      <c r="E2205" s="1">
        <f>IF(OR(Paths!$C$206=0,C2205=0),0,MAX(0,MIN(C2205*12,Paths!$E$206)-(C2205-1)*12))</f>
        <v>0</v>
      </c>
      <c r="F2205" s="1">
        <f>IF(OR(Paths!$C$206=0,C2205=0),0,12-E2205)</f>
        <v>0</v>
      </c>
      <c r="G2205" s="16">
        <f>IF(NOT(Paths!$C$206=1),0,IF(Paths!$P$206="Complete",E2205/12*(Paths!$J$206*(1+'Operating costs'!$B$51)^MAX(0,C2205-1)+Paths!$K$206*(1+'Operating costs'!$B$53)^MAX(0,C2205-1)),"n.a."))</f>
        <v>0</v>
      </c>
      <c r="H2205" s="16">
        <f>IF(NOT(Paths!$C$206=1),0,IF(Paths!$P$206="Complete",F2205/12*(Paths!$L$206*(1+IF(Paths!$D$206="EV",'Operating costs'!$B$52,'Operating costs'!$B$51))^MAX(0,C2205-1)+Paths!$M$206*(1+'Operating costs'!$B$53)^MAX(0,C2205-1)),"n.a."))</f>
        <v>0</v>
      </c>
      <c r="I2205" s="16">
        <f>IF(NOT(Paths!$C$206=1),0,IF(Paths!$P$206="Complete",IF(IF(Paths!$E$206=0,C2205=0,AND(C2205&gt;0,Paths!$E$206&gt;(C2205-1)*12,Paths!$E$206&lt;=C2205*12)),Paths!$G$206,0),"n.a."))</f>
        <v>0</v>
      </c>
      <c r="J2205" s="16">
        <f>IF(NOT(Paths!$C$206=1),0,IF(Paths!$P$206="Complete",IF(IF(Paths!$E$206=0,C2205=0,AND(C2205&gt;0,Paths!$E$206&gt;(C2205-1)*12,Paths!$E$206&lt;=C2205*12)),Paths!$H$206,0),"n.a."))</f>
        <v>0</v>
      </c>
      <c r="K2205" s="16">
        <f>IF(NOT(Paths!$C$206=1),0,IF(Paths!$P$206="Complete",IF(IF(Paths!$O$206=0,C2205=0,AND(C2205&gt;0,Paths!$O$206&gt;(C2205-1)*12,Paths!$O$206&lt;=C2205*12)),Paths!$N$206,0),"n.a."))</f>
        <v>0</v>
      </c>
      <c r="L2205" s="16">
        <f>IF(NOT(Paths!$C$206=1),0,IF(Paths!$P$206="Complete",IF(C2205=10,Paths!$I$206,0),"n.a."))</f>
        <v>0</v>
      </c>
      <c r="M2205" s="16">
        <f>IF(NOT(Paths!$C$206=1),0,IF(Paths!$P$206="Complete",IF(AND(Paths!$D$206="EV",Paths!$E$206&lt;120,Paths!$E$206+'Operating costs'!$B$65&gt;Paths!$E$206,Paths!$E$206+'Operating costs'!$B$65&lt;=120,IF(Paths!$E$206+'Operating costs'!$B$65=0,C2205=0,AND(C2205&gt;0,Paths!$E$206+'Operating costs'!$B$65&gt;(C2205-1)*12,Paths!$E$206+'Operating costs'!$B$65&lt;=C2205*12))),'Operating costs'!$B$64,0)+IF(AND('Operating costs'!$B$67&gt;0,'Operating costs'!$B$67&lt;=120,OR(Paths!$D$206="ICE",'Operating costs'!$B$67&lt;=Paths!$E$206),IF('Operating costs'!$B$67=0,C2205=0,AND(C2205&gt;0,'Operating costs'!$B$67&gt;(C2205-1)*12,'Operating costs'!$B$67&lt;=C2205*12))),'Operating costs'!$B$66,0),"n.a."))</f>
        <v>0</v>
      </c>
      <c r="N2205" s="16">
        <f>IF(NOT(Paths!$C$206=1),0,IF(Paths!$P$206="Complete",SUM(G2205:I2205)-J2205-K2205-L2205+M2205+IF(C2205=0,Paths!$F$206,0)+IF(IF(Paths!$E$206=0,C2205=0,AND(C2205&gt;0,Paths!$E$206&gt;(C2205-1)*12,Paths!$E$206&lt;=C2205*12)),VLOOKUP(A2205,'Fleet register'!$A$7:$S$106,16,FALSE),0),"n.a."))</f>
        <v>0</v>
      </c>
      <c r="O2205" s="16">
        <f>IF(NOT(Paths!$C$206=1),0,IF(Paths!$P$206="Complete",N2205-IF(C2205=0,Paths!$F$206,0),"n.a."))</f>
        <v>0</v>
      </c>
      <c r="P2205" s="16">
        <f>IF(NOT(Paths!$C$206=1),0,IF(Paths!$P$206="Complete",O2205+L2205,"n.a."))</f>
        <v>0</v>
      </c>
      <c r="Q2205" s="16">
        <f>IF(NOT(Paths!$C$206=1),0,IF(Paths!$P$206="Complete",N2205*(1+'Operating costs'!$B$54)^-C2205,"n.a."))</f>
        <v>0</v>
      </c>
      <c r="R2205" s="16">
        <f>IF(NOT(Paths!$C$206=1),0,IF(Paths!$P$206="Complete",IF(AND(C2205=0,Paths!$E$206=0),I2205-J2205-K2205+VLOOKUP(A2205,'Fleet register'!$A$7:$S$106,15,FALSE)+VLOOKUP(A2205,'Fleet register'!$A$7:$S$106,16,FALSE),0),"n.a."))</f>
        <v>0</v>
      </c>
      <c r="S2205" s="1">
        <f>IF(NOT(Paths!$C$206=1),0,IF(Paths!$P$206="Complete",IF(C2205=0,0,Paths!$S$206*Paths!$R$206),"n.a."))</f>
        <v>0</v>
      </c>
      <c r="T2205" s="1">
        <f>IF(NOT(Paths!$C$206=1),0,IF(Paths!$P$206="Complete",IF(C2205=0,0,VLOOKUP(A2205,'Fleet register'!$A$7:$S$106,9,FALSE)*Paths!$R$206),"n.a."))</f>
        <v>0</v>
      </c>
    </row>
    <row r="2206" spans="1:20" ht="24" customHeight="1">
      <c r="A2206" s="1" t="str">
        <f>Paths!$A$206</f>
        <v>T050</v>
      </c>
      <c r="B2206" s="1">
        <f>Paths!$B$206</f>
        <v>3</v>
      </c>
      <c r="C2206" s="1">
        <v>10</v>
      </c>
      <c r="D2206" s="1">
        <v>206</v>
      </c>
      <c r="E2206" s="1">
        <f>IF(OR(Paths!$C$206=0,C2206=0),0,MAX(0,MIN(C2206*12,Paths!$E$206)-(C2206-1)*12))</f>
        <v>0</v>
      </c>
      <c r="F2206" s="1">
        <f>IF(OR(Paths!$C$206=0,C2206=0),0,12-E2206)</f>
        <v>0</v>
      </c>
      <c r="G2206" s="16">
        <f>IF(NOT(Paths!$C$206=1),0,IF(Paths!$P$206="Complete",E2206/12*(Paths!$J$206*(1+'Operating costs'!$B$51)^MAX(0,C2206-1)+Paths!$K$206*(1+'Operating costs'!$B$53)^MAX(0,C2206-1)),"n.a."))</f>
        <v>0</v>
      </c>
      <c r="H2206" s="16">
        <f>IF(NOT(Paths!$C$206=1),0,IF(Paths!$P$206="Complete",F2206/12*(Paths!$L$206*(1+IF(Paths!$D$206="EV",'Operating costs'!$B$52,'Operating costs'!$B$51))^MAX(0,C2206-1)+Paths!$M$206*(1+'Operating costs'!$B$53)^MAX(0,C2206-1)),"n.a."))</f>
        <v>0</v>
      </c>
      <c r="I2206" s="16">
        <f>IF(NOT(Paths!$C$206=1),0,IF(Paths!$P$206="Complete",IF(IF(Paths!$E$206=0,C2206=0,AND(C2206&gt;0,Paths!$E$206&gt;(C2206-1)*12,Paths!$E$206&lt;=C2206*12)),Paths!$G$206,0),"n.a."))</f>
        <v>0</v>
      </c>
      <c r="J2206" s="16">
        <f>IF(NOT(Paths!$C$206=1),0,IF(Paths!$P$206="Complete",IF(IF(Paths!$E$206=0,C2206=0,AND(C2206&gt;0,Paths!$E$206&gt;(C2206-1)*12,Paths!$E$206&lt;=C2206*12)),Paths!$H$206,0),"n.a."))</f>
        <v>0</v>
      </c>
      <c r="K2206" s="16">
        <f>IF(NOT(Paths!$C$206=1),0,IF(Paths!$P$206="Complete",IF(IF(Paths!$O$206=0,C2206=0,AND(C2206&gt;0,Paths!$O$206&gt;(C2206-1)*12,Paths!$O$206&lt;=C2206*12)),Paths!$N$206,0),"n.a."))</f>
        <v>0</v>
      </c>
      <c r="L2206" s="16">
        <f>IF(NOT(Paths!$C$206=1),0,IF(Paths!$P$206="Complete",IF(C2206=10,Paths!$I$206,0),"n.a."))</f>
        <v>0</v>
      </c>
      <c r="M2206" s="16">
        <f>IF(NOT(Paths!$C$206=1),0,IF(Paths!$P$206="Complete",IF(AND(Paths!$D$206="EV",Paths!$E$206&lt;120,Paths!$E$206+'Operating costs'!$B$65&gt;Paths!$E$206,Paths!$E$206+'Operating costs'!$B$65&lt;=120,IF(Paths!$E$206+'Operating costs'!$B$65=0,C2206=0,AND(C2206&gt;0,Paths!$E$206+'Operating costs'!$B$65&gt;(C2206-1)*12,Paths!$E$206+'Operating costs'!$B$65&lt;=C2206*12))),'Operating costs'!$B$64,0)+IF(AND('Operating costs'!$B$67&gt;0,'Operating costs'!$B$67&lt;=120,OR(Paths!$D$206="ICE",'Operating costs'!$B$67&lt;=Paths!$E$206),IF('Operating costs'!$B$67=0,C2206=0,AND(C2206&gt;0,'Operating costs'!$B$67&gt;(C2206-1)*12,'Operating costs'!$B$67&lt;=C2206*12))),'Operating costs'!$B$66,0),"n.a."))</f>
        <v>0</v>
      </c>
      <c r="N2206" s="16">
        <f>IF(NOT(Paths!$C$206=1),0,IF(Paths!$P$206="Complete",SUM(G2206:I2206)-J2206-K2206-L2206+M2206+IF(C2206=0,Paths!$F$206,0)+IF(IF(Paths!$E$206=0,C2206=0,AND(C2206&gt;0,Paths!$E$206&gt;(C2206-1)*12,Paths!$E$206&lt;=C2206*12)),VLOOKUP(A2206,'Fleet register'!$A$7:$S$106,16,FALSE),0),"n.a."))</f>
        <v>0</v>
      </c>
      <c r="O2206" s="16">
        <f>IF(NOT(Paths!$C$206=1),0,IF(Paths!$P$206="Complete",N2206-IF(C2206=0,Paths!$F$206,0),"n.a."))</f>
        <v>0</v>
      </c>
      <c r="P2206" s="16">
        <f>IF(NOT(Paths!$C$206=1),0,IF(Paths!$P$206="Complete",O2206+L2206,"n.a."))</f>
        <v>0</v>
      </c>
      <c r="Q2206" s="16">
        <f>IF(NOT(Paths!$C$206=1),0,IF(Paths!$P$206="Complete",N2206*(1+'Operating costs'!$B$54)^-C2206,"n.a."))</f>
        <v>0</v>
      </c>
      <c r="R2206" s="16">
        <f>IF(NOT(Paths!$C$206=1),0,IF(Paths!$P$206="Complete",IF(AND(C2206=0,Paths!$E$206=0),I2206-J2206-K2206+VLOOKUP(A2206,'Fleet register'!$A$7:$S$106,15,FALSE)+VLOOKUP(A2206,'Fleet register'!$A$7:$S$106,16,FALSE),0),"n.a."))</f>
        <v>0</v>
      </c>
      <c r="S2206" s="1">
        <f>IF(NOT(Paths!$C$206=1),0,IF(Paths!$P$206="Complete",IF(C2206=0,0,Paths!$S$206*Paths!$R$206),"n.a."))</f>
        <v>0</v>
      </c>
      <c r="T2206" s="1">
        <f>IF(NOT(Paths!$C$206=1),0,IF(Paths!$P$206="Complete",IF(C2206=0,0,VLOOKUP(A2206,'Fleet register'!$A$7:$S$106,9,FALSE)*Paths!$R$206),"n.a."))</f>
        <v>0</v>
      </c>
    </row>
    <row r="2207" spans="1:20" ht="24" customHeight="1">
      <c r="A2207" s="1" t="str">
        <f>Paths!$A$207</f>
        <v>T051</v>
      </c>
      <c r="B2207" s="1">
        <f>Paths!$B$207</f>
        <v>0</v>
      </c>
      <c r="C2207" s="1">
        <v>0</v>
      </c>
      <c r="D2207" s="1">
        <v>207</v>
      </c>
      <c r="E2207" s="1">
        <f>IF(OR(Paths!$C$207=0,C2207=0),0,MAX(0,MIN(C2207*12,Paths!$E$207)-(C2207-1)*12))</f>
        <v>0</v>
      </c>
      <c r="F2207" s="1">
        <f>IF(OR(Paths!$C$207=0,C2207=0),0,12-E2207)</f>
        <v>0</v>
      </c>
      <c r="G2207" s="16">
        <f>IF(NOT(Paths!$C$207=1),0,IF(Paths!$P$207="Complete",E2207/12*(Paths!$J$207*(1+'Operating costs'!$B$51)^MAX(0,C2207-1)+Paths!$K$207*(1+'Operating costs'!$B$53)^MAX(0,C2207-1)),"n.a."))</f>
        <v>0</v>
      </c>
      <c r="H2207" s="16">
        <f>IF(NOT(Paths!$C$207=1),0,IF(Paths!$P$207="Complete",F2207/12*(Paths!$L$207*(1+IF(Paths!$D$207="EV",'Operating costs'!$B$52,'Operating costs'!$B$51))^MAX(0,C2207-1)+Paths!$M$207*(1+'Operating costs'!$B$53)^MAX(0,C2207-1)),"n.a."))</f>
        <v>0</v>
      </c>
      <c r="I2207" s="16">
        <f>IF(NOT(Paths!$C$207=1),0,IF(Paths!$P$207="Complete",IF(IF(Paths!$E$207=0,C2207=0,AND(C2207&gt;0,Paths!$E$207&gt;(C2207-1)*12,Paths!$E$207&lt;=C2207*12)),Paths!$G$207,0),"n.a."))</f>
        <v>0</v>
      </c>
      <c r="J2207" s="16">
        <f>IF(NOT(Paths!$C$207=1),0,IF(Paths!$P$207="Complete",IF(IF(Paths!$E$207=0,C2207=0,AND(C2207&gt;0,Paths!$E$207&gt;(C2207-1)*12,Paths!$E$207&lt;=C2207*12)),Paths!$H$207,0),"n.a."))</f>
        <v>0</v>
      </c>
      <c r="K2207" s="16">
        <f>IF(NOT(Paths!$C$207=1),0,IF(Paths!$P$207="Complete",IF(IF(Paths!$O$207=0,C2207=0,AND(C2207&gt;0,Paths!$O$207&gt;(C2207-1)*12,Paths!$O$207&lt;=C2207*12)),Paths!$N$207,0),"n.a."))</f>
        <v>0</v>
      </c>
      <c r="L2207" s="16">
        <f>IF(NOT(Paths!$C$207=1),0,IF(Paths!$P$207="Complete",IF(C2207=10,Paths!$I$207,0),"n.a."))</f>
        <v>0</v>
      </c>
      <c r="M2207" s="16">
        <f>IF(NOT(Paths!$C$207=1),0,IF(Paths!$P$207="Complete",IF(AND(Paths!$D$207="EV",Paths!$E$207&lt;120,Paths!$E$207+'Operating costs'!$B$65&gt;Paths!$E$207,Paths!$E$207+'Operating costs'!$B$65&lt;=120,IF(Paths!$E$207+'Operating costs'!$B$65=0,C2207=0,AND(C2207&gt;0,Paths!$E$207+'Operating costs'!$B$65&gt;(C2207-1)*12,Paths!$E$207+'Operating costs'!$B$65&lt;=C2207*12))),'Operating costs'!$B$64,0)+IF(AND('Operating costs'!$B$67&gt;0,'Operating costs'!$B$67&lt;=120,OR(Paths!$D$207="ICE",'Operating costs'!$B$67&lt;=Paths!$E$207),IF('Operating costs'!$B$67=0,C2207=0,AND(C2207&gt;0,'Operating costs'!$B$67&gt;(C2207-1)*12,'Operating costs'!$B$67&lt;=C2207*12))),'Operating costs'!$B$66,0),"n.a."))</f>
        <v>0</v>
      </c>
      <c r="N2207" s="16">
        <f>IF(NOT(Paths!$C$207=1),0,IF(Paths!$P$207="Complete",SUM(G2207:I2207)-J2207-K2207-L2207+M2207+IF(C2207=0,Paths!$F$207,0)+IF(IF(Paths!$E$207=0,C2207=0,AND(C2207&gt;0,Paths!$E$207&gt;(C2207-1)*12,Paths!$E$207&lt;=C2207*12)),VLOOKUP(A2207,'Fleet register'!$A$7:$S$106,16,FALSE),0),"n.a."))</f>
        <v>0</v>
      </c>
      <c r="O2207" s="16">
        <f>IF(NOT(Paths!$C$207=1),0,IF(Paths!$P$207="Complete",N2207-IF(C2207=0,Paths!$F$207,0),"n.a."))</f>
        <v>0</v>
      </c>
      <c r="P2207" s="16">
        <f>IF(NOT(Paths!$C$207=1),0,IF(Paths!$P$207="Complete",O2207+L2207,"n.a."))</f>
        <v>0</v>
      </c>
      <c r="Q2207" s="16">
        <f>IF(NOT(Paths!$C$207=1),0,IF(Paths!$P$207="Complete",N2207*(1+'Operating costs'!$B$54)^-C2207,"n.a."))</f>
        <v>0</v>
      </c>
      <c r="R2207" s="16">
        <f>IF(NOT(Paths!$C$207=1),0,IF(Paths!$P$207="Complete",IF(AND(C2207=0,Paths!$E$207=0),I2207-J2207-K2207+VLOOKUP(A2207,'Fleet register'!$A$7:$S$106,15,FALSE)+VLOOKUP(A2207,'Fleet register'!$A$7:$S$106,16,FALSE),0),"n.a."))</f>
        <v>0</v>
      </c>
      <c r="S2207" s="1">
        <f>IF(NOT(Paths!$C$207=1),0,IF(Paths!$P$207="Complete",IF(C2207=0,0,Paths!$S$207*Paths!$R$207),"n.a."))</f>
        <v>0</v>
      </c>
      <c r="T2207" s="1">
        <f>IF(NOT(Paths!$C$207=1),0,IF(Paths!$P$207="Complete",IF(C2207=0,0,VLOOKUP(A2207,'Fleet register'!$A$7:$S$106,9,FALSE)*Paths!$R$207),"n.a."))</f>
        <v>0</v>
      </c>
    </row>
    <row r="2208" spans="1:20" ht="24" customHeight="1">
      <c r="A2208" s="1" t="str">
        <f>Paths!$A$207</f>
        <v>T051</v>
      </c>
      <c r="B2208" s="1">
        <f>Paths!$B$207</f>
        <v>0</v>
      </c>
      <c r="C2208" s="1">
        <v>1</v>
      </c>
      <c r="D2208" s="1">
        <v>207</v>
      </c>
      <c r="E2208" s="1">
        <f>IF(OR(Paths!$C$207=0,C2208=0),0,MAX(0,MIN(C2208*12,Paths!$E$207)-(C2208-1)*12))</f>
        <v>0</v>
      </c>
      <c r="F2208" s="1">
        <f>IF(OR(Paths!$C$207=0,C2208=0),0,12-E2208)</f>
        <v>0</v>
      </c>
      <c r="G2208" s="16">
        <f>IF(NOT(Paths!$C$207=1),0,IF(Paths!$P$207="Complete",E2208/12*(Paths!$J$207*(1+'Operating costs'!$B$51)^MAX(0,C2208-1)+Paths!$K$207*(1+'Operating costs'!$B$53)^MAX(0,C2208-1)),"n.a."))</f>
        <v>0</v>
      </c>
      <c r="H2208" s="16">
        <f>IF(NOT(Paths!$C$207=1),0,IF(Paths!$P$207="Complete",F2208/12*(Paths!$L$207*(1+IF(Paths!$D$207="EV",'Operating costs'!$B$52,'Operating costs'!$B$51))^MAX(0,C2208-1)+Paths!$M$207*(1+'Operating costs'!$B$53)^MAX(0,C2208-1)),"n.a."))</f>
        <v>0</v>
      </c>
      <c r="I2208" s="16">
        <f>IF(NOT(Paths!$C$207=1),0,IF(Paths!$P$207="Complete",IF(IF(Paths!$E$207=0,C2208=0,AND(C2208&gt;0,Paths!$E$207&gt;(C2208-1)*12,Paths!$E$207&lt;=C2208*12)),Paths!$G$207,0),"n.a."))</f>
        <v>0</v>
      </c>
      <c r="J2208" s="16">
        <f>IF(NOT(Paths!$C$207=1),0,IF(Paths!$P$207="Complete",IF(IF(Paths!$E$207=0,C2208=0,AND(C2208&gt;0,Paths!$E$207&gt;(C2208-1)*12,Paths!$E$207&lt;=C2208*12)),Paths!$H$207,0),"n.a."))</f>
        <v>0</v>
      </c>
      <c r="K2208" s="16">
        <f>IF(NOT(Paths!$C$207=1),0,IF(Paths!$P$207="Complete",IF(IF(Paths!$O$207=0,C2208=0,AND(C2208&gt;0,Paths!$O$207&gt;(C2208-1)*12,Paths!$O$207&lt;=C2208*12)),Paths!$N$207,0),"n.a."))</f>
        <v>0</v>
      </c>
      <c r="L2208" s="16">
        <f>IF(NOT(Paths!$C$207=1),0,IF(Paths!$P$207="Complete",IF(C2208=10,Paths!$I$207,0),"n.a."))</f>
        <v>0</v>
      </c>
      <c r="M2208" s="16">
        <f>IF(NOT(Paths!$C$207=1),0,IF(Paths!$P$207="Complete",IF(AND(Paths!$D$207="EV",Paths!$E$207&lt;120,Paths!$E$207+'Operating costs'!$B$65&gt;Paths!$E$207,Paths!$E$207+'Operating costs'!$B$65&lt;=120,IF(Paths!$E$207+'Operating costs'!$B$65=0,C2208=0,AND(C2208&gt;0,Paths!$E$207+'Operating costs'!$B$65&gt;(C2208-1)*12,Paths!$E$207+'Operating costs'!$B$65&lt;=C2208*12))),'Operating costs'!$B$64,0)+IF(AND('Operating costs'!$B$67&gt;0,'Operating costs'!$B$67&lt;=120,OR(Paths!$D$207="ICE",'Operating costs'!$B$67&lt;=Paths!$E$207),IF('Operating costs'!$B$67=0,C2208=0,AND(C2208&gt;0,'Operating costs'!$B$67&gt;(C2208-1)*12,'Operating costs'!$B$67&lt;=C2208*12))),'Operating costs'!$B$66,0),"n.a."))</f>
        <v>0</v>
      </c>
      <c r="N2208" s="16">
        <f>IF(NOT(Paths!$C$207=1),0,IF(Paths!$P$207="Complete",SUM(G2208:I2208)-J2208-K2208-L2208+M2208+IF(C2208=0,Paths!$F$207,0)+IF(IF(Paths!$E$207=0,C2208=0,AND(C2208&gt;0,Paths!$E$207&gt;(C2208-1)*12,Paths!$E$207&lt;=C2208*12)),VLOOKUP(A2208,'Fleet register'!$A$7:$S$106,16,FALSE),0),"n.a."))</f>
        <v>0</v>
      </c>
      <c r="O2208" s="16">
        <f>IF(NOT(Paths!$C$207=1),0,IF(Paths!$P$207="Complete",N2208-IF(C2208=0,Paths!$F$207,0),"n.a."))</f>
        <v>0</v>
      </c>
      <c r="P2208" s="16">
        <f>IF(NOT(Paths!$C$207=1),0,IF(Paths!$P$207="Complete",O2208+L2208,"n.a."))</f>
        <v>0</v>
      </c>
      <c r="Q2208" s="16">
        <f>IF(NOT(Paths!$C$207=1),0,IF(Paths!$P$207="Complete",N2208*(1+'Operating costs'!$B$54)^-C2208,"n.a."))</f>
        <v>0</v>
      </c>
      <c r="R2208" s="16">
        <f>IF(NOT(Paths!$C$207=1),0,IF(Paths!$P$207="Complete",IF(AND(C2208=0,Paths!$E$207=0),I2208-J2208-K2208+VLOOKUP(A2208,'Fleet register'!$A$7:$S$106,15,FALSE)+VLOOKUP(A2208,'Fleet register'!$A$7:$S$106,16,FALSE),0),"n.a."))</f>
        <v>0</v>
      </c>
      <c r="S2208" s="1">
        <f>IF(NOT(Paths!$C$207=1),0,IF(Paths!$P$207="Complete",IF(C2208=0,0,Paths!$S$207*Paths!$R$207),"n.a."))</f>
        <v>0</v>
      </c>
      <c r="T2208" s="1">
        <f>IF(NOT(Paths!$C$207=1),0,IF(Paths!$P$207="Complete",IF(C2208=0,0,VLOOKUP(A2208,'Fleet register'!$A$7:$S$106,9,FALSE)*Paths!$R$207),"n.a."))</f>
        <v>0</v>
      </c>
    </row>
    <row r="2209" spans="1:20" ht="24" customHeight="1">
      <c r="A2209" s="1" t="str">
        <f>Paths!$A$207</f>
        <v>T051</v>
      </c>
      <c r="B2209" s="1">
        <f>Paths!$B$207</f>
        <v>0</v>
      </c>
      <c r="C2209" s="1">
        <v>2</v>
      </c>
      <c r="D2209" s="1">
        <v>207</v>
      </c>
      <c r="E2209" s="1">
        <f>IF(OR(Paths!$C$207=0,C2209=0),0,MAX(0,MIN(C2209*12,Paths!$E$207)-(C2209-1)*12))</f>
        <v>0</v>
      </c>
      <c r="F2209" s="1">
        <f>IF(OR(Paths!$C$207=0,C2209=0),0,12-E2209)</f>
        <v>0</v>
      </c>
      <c r="G2209" s="16">
        <f>IF(NOT(Paths!$C$207=1),0,IF(Paths!$P$207="Complete",E2209/12*(Paths!$J$207*(1+'Operating costs'!$B$51)^MAX(0,C2209-1)+Paths!$K$207*(1+'Operating costs'!$B$53)^MAX(0,C2209-1)),"n.a."))</f>
        <v>0</v>
      </c>
      <c r="H2209" s="16">
        <f>IF(NOT(Paths!$C$207=1),0,IF(Paths!$P$207="Complete",F2209/12*(Paths!$L$207*(1+IF(Paths!$D$207="EV",'Operating costs'!$B$52,'Operating costs'!$B$51))^MAX(0,C2209-1)+Paths!$M$207*(1+'Operating costs'!$B$53)^MAX(0,C2209-1)),"n.a."))</f>
        <v>0</v>
      </c>
      <c r="I2209" s="16">
        <f>IF(NOT(Paths!$C$207=1),0,IF(Paths!$P$207="Complete",IF(IF(Paths!$E$207=0,C2209=0,AND(C2209&gt;0,Paths!$E$207&gt;(C2209-1)*12,Paths!$E$207&lt;=C2209*12)),Paths!$G$207,0),"n.a."))</f>
        <v>0</v>
      </c>
      <c r="J2209" s="16">
        <f>IF(NOT(Paths!$C$207=1),0,IF(Paths!$P$207="Complete",IF(IF(Paths!$E$207=0,C2209=0,AND(C2209&gt;0,Paths!$E$207&gt;(C2209-1)*12,Paths!$E$207&lt;=C2209*12)),Paths!$H$207,0),"n.a."))</f>
        <v>0</v>
      </c>
      <c r="K2209" s="16">
        <f>IF(NOT(Paths!$C$207=1),0,IF(Paths!$P$207="Complete",IF(IF(Paths!$O$207=0,C2209=0,AND(C2209&gt;0,Paths!$O$207&gt;(C2209-1)*12,Paths!$O$207&lt;=C2209*12)),Paths!$N$207,0),"n.a."))</f>
        <v>0</v>
      </c>
      <c r="L2209" s="16">
        <f>IF(NOT(Paths!$C$207=1),0,IF(Paths!$P$207="Complete",IF(C2209=10,Paths!$I$207,0),"n.a."))</f>
        <v>0</v>
      </c>
      <c r="M2209" s="16">
        <f>IF(NOT(Paths!$C$207=1),0,IF(Paths!$P$207="Complete",IF(AND(Paths!$D$207="EV",Paths!$E$207&lt;120,Paths!$E$207+'Operating costs'!$B$65&gt;Paths!$E$207,Paths!$E$207+'Operating costs'!$B$65&lt;=120,IF(Paths!$E$207+'Operating costs'!$B$65=0,C2209=0,AND(C2209&gt;0,Paths!$E$207+'Operating costs'!$B$65&gt;(C2209-1)*12,Paths!$E$207+'Operating costs'!$B$65&lt;=C2209*12))),'Operating costs'!$B$64,0)+IF(AND('Operating costs'!$B$67&gt;0,'Operating costs'!$B$67&lt;=120,OR(Paths!$D$207="ICE",'Operating costs'!$B$67&lt;=Paths!$E$207),IF('Operating costs'!$B$67=0,C2209=0,AND(C2209&gt;0,'Operating costs'!$B$67&gt;(C2209-1)*12,'Operating costs'!$B$67&lt;=C2209*12))),'Operating costs'!$B$66,0),"n.a."))</f>
        <v>0</v>
      </c>
      <c r="N2209" s="16">
        <f>IF(NOT(Paths!$C$207=1),0,IF(Paths!$P$207="Complete",SUM(G2209:I2209)-J2209-K2209-L2209+M2209+IF(C2209=0,Paths!$F$207,0)+IF(IF(Paths!$E$207=0,C2209=0,AND(C2209&gt;0,Paths!$E$207&gt;(C2209-1)*12,Paths!$E$207&lt;=C2209*12)),VLOOKUP(A2209,'Fleet register'!$A$7:$S$106,16,FALSE),0),"n.a."))</f>
        <v>0</v>
      </c>
      <c r="O2209" s="16">
        <f>IF(NOT(Paths!$C$207=1),0,IF(Paths!$P$207="Complete",N2209-IF(C2209=0,Paths!$F$207,0),"n.a."))</f>
        <v>0</v>
      </c>
      <c r="P2209" s="16">
        <f>IF(NOT(Paths!$C$207=1),0,IF(Paths!$P$207="Complete",O2209+L2209,"n.a."))</f>
        <v>0</v>
      </c>
      <c r="Q2209" s="16">
        <f>IF(NOT(Paths!$C$207=1),0,IF(Paths!$P$207="Complete",N2209*(1+'Operating costs'!$B$54)^-C2209,"n.a."))</f>
        <v>0</v>
      </c>
      <c r="R2209" s="16">
        <f>IF(NOT(Paths!$C$207=1),0,IF(Paths!$P$207="Complete",IF(AND(C2209=0,Paths!$E$207=0),I2209-J2209-K2209+VLOOKUP(A2209,'Fleet register'!$A$7:$S$106,15,FALSE)+VLOOKUP(A2209,'Fleet register'!$A$7:$S$106,16,FALSE),0),"n.a."))</f>
        <v>0</v>
      </c>
      <c r="S2209" s="1">
        <f>IF(NOT(Paths!$C$207=1),0,IF(Paths!$P$207="Complete",IF(C2209=0,0,Paths!$S$207*Paths!$R$207),"n.a."))</f>
        <v>0</v>
      </c>
      <c r="T2209" s="1">
        <f>IF(NOT(Paths!$C$207=1),0,IF(Paths!$P$207="Complete",IF(C2209=0,0,VLOOKUP(A2209,'Fleet register'!$A$7:$S$106,9,FALSE)*Paths!$R$207),"n.a."))</f>
        <v>0</v>
      </c>
    </row>
    <row r="2210" spans="1:20" ht="24" customHeight="1">
      <c r="A2210" s="1" t="str">
        <f>Paths!$A$207</f>
        <v>T051</v>
      </c>
      <c r="B2210" s="1">
        <f>Paths!$B$207</f>
        <v>0</v>
      </c>
      <c r="C2210" s="1">
        <v>3</v>
      </c>
      <c r="D2210" s="1">
        <v>207</v>
      </c>
      <c r="E2210" s="1">
        <f>IF(OR(Paths!$C$207=0,C2210=0),0,MAX(0,MIN(C2210*12,Paths!$E$207)-(C2210-1)*12))</f>
        <v>0</v>
      </c>
      <c r="F2210" s="1">
        <f>IF(OR(Paths!$C$207=0,C2210=0),0,12-E2210)</f>
        <v>0</v>
      </c>
      <c r="G2210" s="16">
        <f>IF(NOT(Paths!$C$207=1),0,IF(Paths!$P$207="Complete",E2210/12*(Paths!$J$207*(1+'Operating costs'!$B$51)^MAX(0,C2210-1)+Paths!$K$207*(1+'Operating costs'!$B$53)^MAX(0,C2210-1)),"n.a."))</f>
        <v>0</v>
      </c>
      <c r="H2210" s="16">
        <f>IF(NOT(Paths!$C$207=1),0,IF(Paths!$P$207="Complete",F2210/12*(Paths!$L$207*(1+IF(Paths!$D$207="EV",'Operating costs'!$B$52,'Operating costs'!$B$51))^MAX(0,C2210-1)+Paths!$M$207*(1+'Operating costs'!$B$53)^MAX(0,C2210-1)),"n.a."))</f>
        <v>0</v>
      </c>
      <c r="I2210" s="16">
        <f>IF(NOT(Paths!$C$207=1),0,IF(Paths!$P$207="Complete",IF(IF(Paths!$E$207=0,C2210=0,AND(C2210&gt;0,Paths!$E$207&gt;(C2210-1)*12,Paths!$E$207&lt;=C2210*12)),Paths!$G$207,0),"n.a."))</f>
        <v>0</v>
      </c>
      <c r="J2210" s="16">
        <f>IF(NOT(Paths!$C$207=1),0,IF(Paths!$P$207="Complete",IF(IF(Paths!$E$207=0,C2210=0,AND(C2210&gt;0,Paths!$E$207&gt;(C2210-1)*12,Paths!$E$207&lt;=C2210*12)),Paths!$H$207,0),"n.a."))</f>
        <v>0</v>
      </c>
      <c r="K2210" s="16">
        <f>IF(NOT(Paths!$C$207=1),0,IF(Paths!$P$207="Complete",IF(IF(Paths!$O$207=0,C2210=0,AND(C2210&gt;0,Paths!$O$207&gt;(C2210-1)*12,Paths!$O$207&lt;=C2210*12)),Paths!$N$207,0),"n.a."))</f>
        <v>0</v>
      </c>
      <c r="L2210" s="16">
        <f>IF(NOT(Paths!$C$207=1),0,IF(Paths!$P$207="Complete",IF(C2210=10,Paths!$I$207,0),"n.a."))</f>
        <v>0</v>
      </c>
      <c r="M2210" s="16">
        <f>IF(NOT(Paths!$C$207=1),0,IF(Paths!$P$207="Complete",IF(AND(Paths!$D$207="EV",Paths!$E$207&lt;120,Paths!$E$207+'Operating costs'!$B$65&gt;Paths!$E$207,Paths!$E$207+'Operating costs'!$B$65&lt;=120,IF(Paths!$E$207+'Operating costs'!$B$65=0,C2210=0,AND(C2210&gt;0,Paths!$E$207+'Operating costs'!$B$65&gt;(C2210-1)*12,Paths!$E$207+'Operating costs'!$B$65&lt;=C2210*12))),'Operating costs'!$B$64,0)+IF(AND('Operating costs'!$B$67&gt;0,'Operating costs'!$B$67&lt;=120,OR(Paths!$D$207="ICE",'Operating costs'!$B$67&lt;=Paths!$E$207),IF('Operating costs'!$B$67=0,C2210=0,AND(C2210&gt;0,'Operating costs'!$B$67&gt;(C2210-1)*12,'Operating costs'!$B$67&lt;=C2210*12))),'Operating costs'!$B$66,0),"n.a."))</f>
        <v>0</v>
      </c>
      <c r="N2210" s="16">
        <f>IF(NOT(Paths!$C$207=1),0,IF(Paths!$P$207="Complete",SUM(G2210:I2210)-J2210-K2210-L2210+M2210+IF(C2210=0,Paths!$F$207,0)+IF(IF(Paths!$E$207=0,C2210=0,AND(C2210&gt;0,Paths!$E$207&gt;(C2210-1)*12,Paths!$E$207&lt;=C2210*12)),VLOOKUP(A2210,'Fleet register'!$A$7:$S$106,16,FALSE),0),"n.a."))</f>
        <v>0</v>
      </c>
      <c r="O2210" s="16">
        <f>IF(NOT(Paths!$C$207=1),0,IF(Paths!$P$207="Complete",N2210-IF(C2210=0,Paths!$F$207,0),"n.a."))</f>
        <v>0</v>
      </c>
      <c r="P2210" s="16">
        <f>IF(NOT(Paths!$C$207=1),0,IF(Paths!$P$207="Complete",O2210+L2210,"n.a."))</f>
        <v>0</v>
      </c>
      <c r="Q2210" s="16">
        <f>IF(NOT(Paths!$C$207=1),0,IF(Paths!$P$207="Complete",N2210*(1+'Operating costs'!$B$54)^-C2210,"n.a."))</f>
        <v>0</v>
      </c>
      <c r="R2210" s="16">
        <f>IF(NOT(Paths!$C$207=1),0,IF(Paths!$P$207="Complete",IF(AND(C2210=0,Paths!$E$207=0),I2210-J2210-K2210+VLOOKUP(A2210,'Fleet register'!$A$7:$S$106,15,FALSE)+VLOOKUP(A2210,'Fleet register'!$A$7:$S$106,16,FALSE),0),"n.a."))</f>
        <v>0</v>
      </c>
      <c r="S2210" s="1">
        <f>IF(NOT(Paths!$C$207=1),0,IF(Paths!$P$207="Complete",IF(C2210=0,0,Paths!$S$207*Paths!$R$207),"n.a."))</f>
        <v>0</v>
      </c>
      <c r="T2210" s="1">
        <f>IF(NOT(Paths!$C$207=1),0,IF(Paths!$P$207="Complete",IF(C2210=0,0,VLOOKUP(A2210,'Fleet register'!$A$7:$S$106,9,FALSE)*Paths!$R$207),"n.a."))</f>
        <v>0</v>
      </c>
    </row>
    <row r="2211" spans="1:20" ht="24" customHeight="1">
      <c r="A2211" s="1" t="str">
        <f>Paths!$A$207</f>
        <v>T051</v>
      </c>
      <c r="B2211" s="1">
        <f>Paths!$B$207</f>
        <v>0</v>
      </c>
      <c r="C2211" s="1">
        <v>4</v>
      </c>
      <c r="D2211" s="1">
        <v>207</v>
      </c>
      <c r="E2211" s="1">
        <f>IF(OR(Paths!$C$207=0,C2211=0),0,MAX(0,MIN(C2211*12,Paths!$E$207)-(C2211-1)*12))</f>
        <v>0</v>
      </c>
      <c r="F2211" s="1">
        <f>IF(OR(Paths!$C$207=0,C2211=0),0,12-E2211)</f>
        <v>0</v>
      </c>
      <c r="G2211" s="16">
        <f>IF(NOT(Paths!$C$207=1),0,IF(Paths!$P$207="Complete",E2211/12*(Paths!$J$207*(1+'Operating costs'!$B$51)^MAX(0,C2211-1)+Paths!$K$207*(1+'Operating costs'!$B$53)^MAX(0,C2211-1)),"n.a."))</f>
        <v>0</v>
      </c>
      <c r="H2211" s="16">
        <f>IF(NOT(Paths!$C$207=1),0,IF(Paths!$P$207="Complete",F2211/12*(Paths!$L$207*(1+IF(Paths!$D$207="EV",'Operating costs'!$B$52,'Operating costs'!$B$51))^MAX(0,C2211-1)+Paths!$M$207*(1+'Operating costs'!$B$53)^MAX(0,C2211-1)),"n.a."))</f>
        <v>0</v>
      </c>
      <c r="I2211" s="16">
        <f>IF(NOT(Paths!$C$207=1),0,IF(Paths!$P$207="Complete",IF(IF(Paths!$E$207=0,C2211=0,AND(C2211&gt;0,Paths!$E$207&gt;(C2211-1)*12,Paths!$E$207&lt;=C2211*12)),Paths!$G$207,0),"n.a."))</f>
        <v>0</v>
      </c>
      <c r="J2211" s="16">
        <f>IF(NOT(Paths!$C$207=1),0,IF(Paths!$P$207="Complete",IF(IF(Paths!$E$207=0,C2211=0,AND(C2211&gt;0,Paths!$E$207&gt;(C2211-1)*12,Paths!$E$207&lt;=C2211*12)),Paths!$H$207,0),"n.a."))</f>
        <v>0</v>
      </c>
      <c r="K2211" s="16">
        <f>IF(NOT(Paths!$C$207=1),0,IF(Paths!$P$207="Complete",IF(IF(Paths!$O$207=0,C2211=0,AND(C2211&gt;0,Paths!$O$207&gt;(C2211-1)*12,Paths!$O$207&lt;=C2211*12)),Paths!$N$207,0),"n.a."))</f>
        <v>0</v>
      </c>
      <c r="L2211" s="16">
        <f>IF(NOT(Paths!$C$207=1),0,IF(Paths!$P$207="Complete",IF(C2211=10,Paths!$I$207,0),"n.a."))</f>
        <v>0</v>
      </c>
      <c r="M2211" s="16">
        <f>IF(NOT(Paths!$C$207=1),0,IF(Paths!$P$207="Complete",IF(AND(Paths!$D$207="EV",Paths!$E$207&lt;120,Paths!$E$207+'Operating costs'!$B$65&gt;Paths!$E$207,Paths!$E$207+'Operating costs'!$B$65&lt;=120,IF(Paths!$E$207+'Operating costs'!$B$65=0,C2211=0,AND(C2211&gt;0,Paths!$E$207+'Operating costs'!$B$65&gt;(C2211-1)*12,Paths!$E$207+'Operating costs'!$B$65&lt;=C2211*12))),'Operating costs'!$B$64,0)+IF(AND('Operating costs'!$B$67&gt;0,'Operating costs'!$B$67&lt;=120,OR(Paths!$D$207="ICE",'Operating costs'!$B$67&lt;=Paths!$E$207),IF('Operating costs'!$B$67=0,C2211=0,AND(C2211&gt;0,'Operating costs'!$B$67&gt;(C2211-1)*12,'Operating costs'!$B$67&lt;=C2211*12))),'Operating costs'!$B$66,0),"n.a."))</f>
        <v>0</v>
      </c>
      <c r="N2211" s="16">
        <f>IF(NOT(Paths!$C$207=1),0,IF(Paths!$P$207="Complete",SUM(G2211:I2211)-J2211-K2211-L2211+M2211+IF(C2211=0,Paths!$F$207,0)+IF(IF(Paths!$E$207=0,C2211=0,AND(C2211&gt;0,Paths!$E$207&gt;(C2211-1)*12,Paths!$E$207&lt;=C2211*12)),VLOOKUP(A2211,'Fleet register'!$A$7:$S$106,16,FALSE),0),"n.a."))</f>
        <v>0</v>
      </c>
      <c r="O2211" s="16">
        <f>IF(NOT(Paths!$C$207=1),0,IF(Paths!$P$207="Complete",N2211-IF(C2211=0,Paths!$F$207,0),"n.a."))</f>
        <v>0</v>
      </c>
      <c r="P2211" s="16">
        <f>IF(NOT(Paths!$C$207=1),0,IF(Paths!$P$207="Complete",O2211+L2211,"n.a."))</f>
        <v>0</v>
      </c>
      <c r="Q2211" s="16">
        <f>IF(NOT(Paths!$C$207=1),0,IF(Paths!$P$207="Complete",N2211*(1+'Operating costs'!$B$54)^-C2211,"n.a."))</f>
        <v>0</v>
      </c>
      <c r="R2211" s="16">
        <f>IF(NOT(Paths!$C$207=1),0,IF(Paths!$P$207="Complete",IF(AND(C2211=0,Paths!$E$207=0),I2211-J2211-K2211+VLOOKUP(A2211,'Fleet register'!$A$7:$S$106,15,FALSE)+VLOOKUP(A2211,'Fleet register'!$A$7:$S$106,16,FALSE),0),"n.a."))</f>
        <v>0</v>
      </c>
      <c r="S2211" s="1">
        <f>IF(NOT(Paths!$C$207=1),0,IF(Paths!$P$207="Complete",IF(C2211=0,0,Paths!$S$207*Paths!$R$207),"n.a."))</f>
        <v>0</v>
      </c>
      <c r="T2211" s="1">
        <f>IF(NOT(Paths!$C$207=1),0,IF(Paths!$P$207="Complete",IF(C2211=0,0,VLOOKUP(A2211,'Fleet register'!$A$7:$S$106,9,FALSE)*Paths!$R$207),"n.a."))</f>
        <v>0</v>
      </c>
    </row>
    <row r="2212" spans="1:20" ht="24" customHeight="1">
      <c r="A2212" s="1" t="str">
        <f>Paths!$A$207</f>
        <v>T051</v>
      </c>
      <c r="B2212" s="1">
        <f>Paths!$B$207</f>
        <v>0</v>
      </c>
      <c r="C2212" s="1">
        <v>5</v>
      </c>
      <c r="D2212" s="1">
        <v>207</v>
      </c>
      <c r="E2212" s="1">
        <f>IF(OR(Paths!$C$207=0,C2212=0),0,MAX(0,MIN(C2212*12,Paths!$E$207)-(C2212-1)*12))</f>
        <v>0</v>
      </c>
      <c r="F2212" s="1">
        <f>IF(OR(Paths!$C$207=0,C2212=0),0,12-E2212)</f>
        <v>0</v>
      </c>
      <c r="G2212" s="16">
        <f>IF(NOT(Paths!$C$207=1),0,IF(Paths!$P$207="Complete",E2212/12*(Paths!$J$207*(1+'Operating costs'!$B$51)^MAX(0,C2212-1)+Paths!$K$207*(1+'Operating costs'!$B$53)^MAX(0,C2212-1)),"n.a."))</f>
        <v>0</v>
      </c>
      <c r="H2212" s="16">
        <f>IF(NOT(Paths!$C$207=1),0,IF(Paths!$P$207="Complete",F2212/12*(Paths!$L$207*(1+IF(Paths!$D$207="EV",'Operating costs'!$B$52,'Operating costs'!$B$51))^MAX(0,C2212-1)+Paths!$M$207*(1+'Operating costs'!$B$53)^MAX(0,C2212-1)),"n.a."))</f>
        <v>0</v>
      </c>
      <c r="I2212" s="16">
        <f>IF(NOT(Paths!$C$207=1),0,IF(Paths!$P$207="Complete",IF(IF(Paths!$E$207=0,C2212=0,AND(C2212&gt;0,Paths!$E$207&gt;(C2212-1)*12,Paths!$E$207&lt;=C2212*12)),Paths!$G$207,0),"n.a."))</f>
        <v>0</v>
      </c>
      <c r="J2212" s="16">
        <f>IF(NOT(Paths!$C$207=1),0,IF(Paths!$P$207="Complete",IF(IF(Paths!$E$207=0,C2212=0,AND(C2212&gt;0,Paths!$E$207&gt;(C2212-1)*12,Paths!$E$207&lt;=C2212*12)),Paths!$H$207,0),"n.a."))</f>
        <v>0</v>
      </c>
      <c r="K2212" s="16">
        <f>IF(NOT(Paths!$C$207=1),0,IF(Paths!$P$207="Complete",IF(IF(Paths!$O$207=0,C2212=0,AND(C2212&gt;0,Paths!$O$207&gt;(C2212-1)*12,Paths!$O$207&lt;=C2212*12)),Paths!$N$207,0),"n.a."))</f>
        <v>0</v>
      </c>
      <c r="L2212" s="16">
        <f>IF(NOT(Paths!$C$207=1),0,IF(Paths!$P$207="Complete",IF(C2212=10,Paths!$I$207,0),"n.a."))</f>
        <v>0</v>
      </c>
      <c r="M2212" s="16">
        <f>IF(NOT(Paths!$C$207=1),0,IF(Paths!$P$207="Complete",IF(AND(Paths!$D$207="EV",Paths!$E$207&lt;120,Paths!$E$207+'Operating costs'!$B$65&gt;Paths!$E$207,Paths!$E$207+'Operating costs'!$B$65&lt;=120,IF(Paths!$E$207+'Operating costs'!$B$65=0,C2212=0,AND(C2212&gt;0,Paths!$E$207+'Operating costs'!$B$65&gt;(C2212-1)*12,Paths!$E$207+'Operating costs'!$B$65&lt;=C2212*12))),'Operating costs'!$B$64,0)+IF(AND('Operating costs'!$B$67&gt;0,'Operating costs'!$B$67&lt;=120,OR(Paths!$D$207="ICE",'Operating costs'!$B$67&lt;=Paths!$E$207),IF('Operating costs'!$B$67=0,C2212=0,AND(C2212&gt;0,'Operating costs'!$B$67&gt;(C2212-1)*12,'Operating costs'!$B$67&lt;=C2212*12))),'Operating costs'!$B$66,0),"n.a."))</f>
        <v>0</v>
      </c>
      <c r="N2212" s="16">
        <f>IF(NOT(Paths!$C$207=1),0,IF(Paths!$P$207="Complete",SUM(G2212:I2212)-J2212-K2212-L2212+M2212+IF(C2212=0,Paths!$F$207,0)+IF(IF(Paths!$E$207=0,C2212=0,AND(C2212&gt;0,Paths!$E$207&gt;(C2212-1)*12,Paths!$E$207&lt;=C2212*12)),VLOOKUP(A2212,'Fleet register'!$A$7:$S$106,16,FALSE),0),"n.a."))</f>
        <v>0</v>
      </c>
      <c r="O2212" s="16">
        <f>IF(NOT(Paths!$C$207=1),0,IF(Paths!$P$207="Complete",N2212-IF(C2212=0,Paths!$F$207,0),"n.a."))</f>
        <v>0</v>
      </c>
      <c r="P2212" s="16">
        <f>IF(NOT(Paths!$C$207=1),0,IF(Paths!$P$207="Complete",O2212+L2212,"n.a."))</f>
        <v>0</v>
      </c>
      <c r="Q2212" s="16">
        <f>IF(NOT(Paths!$C$207=1),0,IF(Paths!$P$207="Complete",N2212*(1+'Operating costs'!$B$54)^-C2212,"n.a."))</f>
        <v>0</v>
      </c>
      <c r="R2212" s="16">
        <f>IF(NOT(Paths!$C$207=1),0,IF(Paths!$P$207="Complete",IF(AND(C2212=0,Paths!$E$207=0),I2212-J2212-K2212+VLOOKUP(A2212,'Fleet register'!$A$7:$S$106,15,FALSE)+VLOOKUP(A2212,'Fleet register'!$A$7:$S$106,16,FALSE),0),"n.a."))</f>
        <v>0</v>
      </c>
      <c r="S2212" s="1">
        <f>IF(NOT(Paths!$C$207=1),0,IF(Paths!$P$207="Complete",IF(C2212=0,0,Paths!$S$207*Paths!$R$207),"n.a."))</f>
        <v>0</v>
      </c>
      <c r="T2212" s="1">
        <f>IF(NOT(Paths!$C$207=1),0,IF(Paths!$P$207="Complete",IF(C2212=0,0,VLOOKUP(A2212,'Fleet register'!$A$7:$S$106,9,FALSE)*Paths!$R$207),"n.a."))</f>
        <v>0</v>
      </c>
    </row>
    <row r="2213" spans="1:20" ht="24" customHeight="1">
      <c r="A2213" s="1" t="str">
        <f>Paths!$A$207</f>
        <v>T051</v>
      </c>
      <c r="B2213" s="1">
        <f>Paths!$B$207</f>
        <v>0</v>
      </c>
      <c r="C2213" s="1">
        <v>6</v>
      </c>
      <c r="D2213" s="1">
        <v>207</v>
      </c>
      <c r="E2213" s="1">
        <f>IF(OR(Paths!$C$207=0,C2213=0),0,MAX(0,MIN(C2213*12,Paths!$E$207)-(C2213-1)*12))</f>
        <v>0</v>
      </c>
      <c r="F2213" s="1">
        <f>IF(OR(Paths!$C$207=0,C2213=0),0,12-E2213)</f>
        <v>0</v>
      </c>
      <c r="G2213" s="16">
        <f>IF(NOT(Paths!$C$207=1),0,IF(Paths!$P$207="Complete",E2213/12*(Paths!$J$207*(1+'Operating costs'!$B$51)^MAX(0,C2213-1)+Paths!$K$207*(1+'Operating costs'!$B$53)^MAX(0,C2213-1)),"n.a."))</f>
        <v>0</v>
      </c>
      <c r="H2213" s="16">
        <f>IF(NOT(Paths!$C$207=1),0,IF(Paths!$P$207="Complete",F2213/12*(Paths!$L$207*(1+IF(Paths!$D$207="EV",'Operating costs'!$B$52,'Operating costs'!$B$51))^MAX(0,C2213-1)+Paths!$M$207*(1+'Operating costs'!$B$53)^MAX(0,C2213-1)),"n.a."))</f>
        <v>0</v>
      </c>
      <c r="I2213" s="16">
        <f>IF(NOT(Paths!$C$207=1),0,IF(Paths!$P$207="Complete",IF(IF(Paths!$E$207=0,C2213=0,AND(C2213&gt;0,Paths!$E$207&gt;(C2213-1)*12,Paths!$E$207&lt;=C2213*12)),Paths!$G$207,0),"n.a."))</f>
        <v>0</v>
      </c>
      <c r="J2213" s="16">
        <f>IF(NOT(Paths!$C$207=1),0,IF(Paths!$P$207="Complete",IF(IF(Paths!$E$207=0,C2213=0,AND(C2213&gt;0,Paths!$E$207&gt;(C2213-1)*12,Paths!$E$207&lt;=C2213*12)),Paths!$H$207,0),"n.a."))</f>
        <v>0</v>
      </c>
      <c r="K2213" s="16">
        <f>IF(NOT(Paths!$C$207=1),0,IF(Paths!$P$207="Complete",IF(IF(Paths!$O$207=0,C2213=0,AND(C2213&gt;0,Paths!$O$207&gt;(C2213-1)*12,Paths!$O$207&lt;=C2213*12)),Paths!$N$207,0),"n.a."))</f>
        <v>0</v>
      </c>
      <c r="L2213" s="16">
        <f>IF(NOT(Paths!$C$207=1),0,IF(Paths!$P$207="Complete",IF(C2213=10,Paths!$I$207,0),"n.a."))</f>
        <v>0</v>
      </c>
      <c r="M2213" s="16">
        <f>IF(NOT(Paths!$C$207=1),0,IF(Paths!$P$207="Complete",IF(AND(Paths!$D$207="EV",Paths!$E$207&lt;120,Paths!$E$207+'Operating costs'!$B$65&gt;Paths!$E$207,Paths!$E$207+'Operating costs'!$B$65&lt;=120,IF(Paths!$E$207+'Operating costs'!$B$65=0,C2213=0,AND(C2213&gt;0,Paths!$E$207+'Operating costs'!$B$65&gt;(C2213-1)*12,Paths!$E$207+'Operating costs'!$B$65&lt;=C2213*12))),'Operating costs'!$B$64,0)+IF(AND('Operating costs'!$B$67&gt;0,'Operating costs'!$B$67&lt;=120,OR(Paths!$D$207="ICE",'Operating costs'!$B$67&lt;=Paths!$E$207),IF('Operating costs'!$B$67=0,C2213=0,AND(C2213&gt;0,'Operating costs'!$B$67&gt;(C2213-1)*12,'Operating costs'!$B$67&lt;=C2213*12))),'Operating costs'!$B$66,0),"n.a."))</f>
        <v>0</v>
      </c>
      <c r="N2213" s="16">
        <f>IF(NOT(Paths!$C$207=1),0,IF(Paths!$P$207="Complete",SUM(G2213:I2213)-J2213-K2213-L2213+M2213+IF(C2213=0,Paths!$F$207,0)+IF(IF(Paths!$E$207=0,C2213=0,AND(C2213&gt;0,Paths!$E$207&gt;(C2213-1)*12,Paths!$E$207&lt;=C2213*12)),VLOOKUP(A2213,'Fleet register'!$A$7:$S$106,16,FALSE),0),"n.a."))</f>
        <v>0</v>
      </c>
      <c r="O2213" s="16">
        <f>IF(NOT(Paths!$C$207=1),0,IF(Paths!$P$207="Complete",N2213-IF(C2213=0,Paths!$F$207,0),"n.a."))</f>
        <v>0</v>
      </c>
      <c r="P2213" s="16">
        <f>IF(NOT(Paths!$C$207=1),0,IF(Paths!$P$207="Complete",O2213+L2213,"n.a."))</f>
        <v>0</v>
      </c>
      <c r="Q2213" s="16">
        <f>IF(NOT(Paths!$C$207=1),0,IF(Paths!$P$207="Complete",N2213*(1+'Operating costs'!$B$54)^-C2213,"n.a."))</f>
        <v>0</v>
      </c>
      <c r="R2213" s="16">
        <f>IF(NOT(Paths!$C$207=1),0,IF(Paths!$P$207="Complete",IF(AND(C2213=0,Paths!$E$207=0),I2213-J2213-K2213+VLOOKUP(A2213,'Fleet register'!$A$7:$S$106,15,FALSE)+VLOOKUP(A2213,'Fleet register'!$A$7:$S$106,16,FALSE),0),"n.a."))</f>
        <v>0</v>
      </c>
      <c r="S2213" s="1">
        <f>IF(NOT(Paths!$C$207=1),0,IF(Paths!$P$207="Complete",IF(C2213=0,0,Paths!$S$207*Paths!$R$207),"n.a."))</f>
        <v>0</v>
      </c>
      <c r="T2213" s="1">
        <f>IF(NOT(Paths!$C$207=1),0,IF(Paths!$P$207="Complete",IF(C2213=0,0,VLOOKUP(A2213,'Fleet register'!$A$7:$S$106,9,FALSE)*Paths!$R$207),"n.a."))</f>
        <v>0</v>
      </c>
    </row>
    <row r="2214" spans="1:20" ht="24" customHeight="1">
      <c r="A2214" s="1" t="str">
        <f>Paths!$A$207</f>
        <v>T051</v>
      </c>
      <c r="B2214" s="1">
        <f>Paths!$B$207</f>
        <v>0</v>
      </c>
      <c r="C2214" s="1">
        <v>7</v>
      </c>
      <c r="D2214" s="1">
        <v>207</v>
      </c>
      <c r="E2214" s="1">
        <f>IF(OR(Paths!$C$207=0,C2214=0),0,MAX(0,MIN(C2214*12,Paths!$E$207)-(C2214-1)*12))</f>
        <v>0</v>
      </c>
      <c r="F2214" s="1">
        <f>IF(OR(Paths!$C$207=0,C2214=0),0,12-E2214)</f>
        <v>0</v>
      </c>
      <c r="G2214" s="16">
        <f>IF(NOT(Paths!$C$207=1),0,IF(Paths!$P$207="Complete",E2214/12*(Paths!$J$207*(1+'Operating costs'!$B$51)^MAX(0,C2214-1)+Paths!$K$207*(1+'Operating costs'!$B$53)^MAX(0,C2214-1)),"n.a."))</f>
        <v>0</v>
      </c>
      <c r="H2214" s="16">
        <f>IF(NOT(Paths!$C$207=1),0,IF(Paths!$P$207="Complete",F2214/12*(Paths!$L$207*(1+IF(Paths!$D$207="EV",'Operating costs'!$B$52,'Operating costs'!$B$51))^MAX(0,C2214-1)+Paths!$M$207*(1+'Operating costs'!$B$53)^MAX(0,C2214-1)),"n.a."))</f>
        <v>0</v>
      </c>
      <c r="I2214" s="16">
        <f>IF(NOT(Paths!$C$207=1),0,IF(Paths!$P$207="Complete",IF(IF(Paths!$E$207=0,C2214=0,AND(C2214&gt;0,Paths!$E$207&gt;(C2214-1)*12,Paths!$E$207&lt;=C2214*12)),Paths!$G$207,0),"n.a."))</f>
        <v>0</v>
      </c>
      <c r="J2214" s="16">
        <f>IF(NOT(Paths!$C$207=1),0,IF(Paths!$P$207="Complete",IF(IF(Paths!$E$207=0,C2214=0,AND(C2214&gt;0,Paths!$E$207&gt;(C2214-1)*12,Paths!$E$207&lt;=C2214*12)),Paths!$H$207,0),"n.a."))</f>
        <v>0</v>
      </c>
      <c r="K2214" s="16">
        <f>IF(NOT(Paths!$C$207=1),0,IF(Paths!$P$207="Complete",IF(IF(Paths!$O$207=0,C2214=0,AND(C2214&gt;0,Paths!$O$207&gt;(C2214-1)*12,Paths!$O$207&lt;=C2214*12)),Paths!$N$207,0),"n.a."))</f>
        <v>0</v>
      </c>
      <c r="L2214" s="16">
        <f>IF(NOT(Paths!$C$207=1),0,IF(Paths!$P$207="Complete",IF(C2214=10,Paths!$I$207,0),"n.a."))</f>
        <v>0</v>
      </c>
      <c r="M2214" s="16">
        <f>IF(NOT(Paths!$C$207=1),0,IF(Paths!$P$207="Complete",IF(AND(Paths!$D$207="EV",Paths!$E$207&lt;120,Paths!$E$207+'Operating costs'!$B$65&gt;Paths!$E$207,Paths!$E$207+'Operating costs'!$B$65&lt;=120,IF(Paths!$E$207+'Operating costs'!$B$65=0,C2214=0,AND(C2214&gt;0,Paths!$E$207+'Operating costs'!$B$65&gt;(C2214-1)*12,Paths!$E$207+'Operating costs'!$B$65&lt;=C2214*12))),'Operating costs'!$B$64,0)+IF(AND('Operating costs'!$B$67&gt;0,'Operating costs'!$B$67&lt;=120,OR(Paths!$D$207="ICE",'Operating costs'!$B$67&lt;=Paths!$E$207),IF('Operating costs'!$B$67=0,C2214=0,AND(C2214&gt;0,'Operating costs'!$B$67&gt;(C2214-1)*12,'Operating costs'!$B$67&lt;=C2214*12))),'Operating costs'!$B$66,0),"n.a."))</f>
        <v>0</v>
      </c>
      <c r="N2214" s="16">
        <f>IF(NOT(Paths!$C$207=1),0,IF(Paths!$P$207="Complete",SUM(G2214:I2214)-J2214-K2214-L2214+M2214+IF(C2214=0,Paths!$F$207,0)+IF(IF(Paths!$E$207=0,C2214=0,AND(C2214&gt;0,Paths!$E$207&gt;(C2214-1)*12,Paths!$E$207&lt;=C2214*12)),VLOOKUP(A2214,'Fleet register'!$A$7:$S$106,16,FALSE),0),"n.a."))</f>
        <v>0</v>
      </c>
      <c r="O2214" s="16">
        <f>IF(NOT(Paths!$C$207=1),0,IF(Paths!$P$207="Complete",N2214-IF(C2214=0,Paths!$F$207,0),"n.a."))</f>
        <v>0</v>
      </c>
      <c r="P2214" s="16">
        <f>IF(NOT(Paths!$C$207=1),0,IF(Paths!$P$207="Complete",O2214+L2214,"n.a."))</f>
        <v>0</v>
      </c>
      <c r="Q2214" s="16">
        <f>IF(NOT(Paths!$C$207=1),0,IF(Paths!$P$207="Complete",N2214*(1+'Operating costs'!$B$54)^-C2214,"n.a."))</f>
        <v>0</v>
      </c>
      <c r="R2214" s="16">
        <f>IF(NOT(Paths!$C$207=1),0,IF(Paths!$P$207="Complete",IF(AND(C2214=0,Paths!$E$207=0),I2214-J2214-K2214+VLOOKUP(A2214,'Fleet register'!$A$7:$S$106,15,FALSE)+VLOOKUP(A2214,'Fleet register'!$A$7:$S$106,16,FALSE),0),"n.a."))</f>
        <v>0</v>
      </c>
      <c r="S2214" s="1">
        <f>IF(NOT(Paths!$C$207=1),0,IF(Paths!$P$207="Complete",IF(C2214=0,0,Paths!$S$207*Paths!$R$207),"n.a."))</f>
        <v>0</v>
      </c>
      <c r="T2214" s="1">
        <f>IF(NOT(Paths!$C$207=1),0,IF(Paths!$P$207="Complete",IF(C2214=0,0,VLOOKUP(A2214,'Fleet register'!$A$7:$S$106,9,FALSE)*Paths!$R$207),"n.a."))</f>
        <v>0</v>
      </c>
    </row>
    <row r="2215" spans="1:20" ht="24" customHeight="1">
      <c r="A2215" s="1" t="str">
        <f>Paths!$A$207</f>
        <v>T051</v>
      </c>
      <c r="B2215" s="1">
        <f>Paths!$B$207</f>
        <v>0</v>
      </c>
      <c r="C2215" s="1">
        <v>8</v>
      </c>
      <c r="D2215" s="1">
        <v>207</v>
      </c>
      <c r="E2215" s="1">
        <f>IF(OR(Paths!$C$207=0,C2215=0),0,MAX(0,MIN(C2215*12,Paths!$E$207)-(C2215-1)*12))</f>
        <v>0</v>
      </c>
      <c r="F2215" s="1">
        <f>IF(OR(Paths!$C$207=0,C2215=0),0,12-E2215)</f>
        <v>0</v>
      </c>
      <c r="G2215" s="16">
        <f>IF(NOT(Paths!$C$207=1),0,IF(Paths!$P$207="Complete",E2215/12*(Paths!$J$207*(1+'Operating costs'!$B$51)^MAX(0,C2215-1)+Paths!$K$207*(1+'Operating costs'!$B$53)^MAX(0,C2215-1)),"n.a."))</f>
        <v>0</v>
      </c>
      <c r="H2215" s="16">
        <f>IF(NOT(Paths!$C$207=1),0,IF(Paths!$P$207="Complete",F2215/12*(Paths!$L$207*(1+IF(Paths!$D$207="EV",'Operating costs'!$B$52,'Operating costs'!$B$51))^MAX(0,C2215-1)+Paths!$M$207*(1+'Operating costs'!$B$53)^MAX(0,C2215-1)),"n.a."))</f>
        <v>0</v>
      </c>
      <c r="I2215" s="16">
        <f>IF(NOT(Paths!$C$207=1),0,IF(Paths!$P$207="Complete",IF(IF(Paths!$E$207=0,C2215=0,AND(C2215&gt;0,Paths!$E$207&gt;(C2215-1)*12,Paths!$E$207&lt;=C2215*12)),Paths!$G$207,0),"n.a."))</f>
        <v>0</v>
      </c>
      <c r="J2215" s="16">
        <f>IF(NOT(Paths!$C$207=1),0,IF(Paths!$P$207="Complete",IF(IF(Paths!$E$207=0,C2215=0,AND(C2215&gt;0,Paths!$E$207&gt;(C2215-1)*12,Paths!$E$207&lt;=C2215*12)),Paths!$H$207,0),"n.a."))</f>
        <v>0</v>
      </c>
      <c r="K2215" s="16">
        <f>IF(NOT(Paths!$C$207=1),0,IF(Paths!$P$207="Complete",IF(IF(Paths!$O$207=0,C2215=0,AND(C2215&gt;0,Paths!$O$207&gt;(C2215-1)*12,Paths!$O$207&lt;=C2215*12)),Paths!$N$207,0),"n.a."))</f>
        <v>0</v>
      </c>
      <c r="L2215" s="16">
        <f>IF(NOT(Paths!$C$207=1),0,IF(Paths!$P$207="Complete",IF(C2215=10,Paths!$I$207,0),"n.a."))</f>
        <v>0</v>
      </c>
      <c r="M2215" s="16">
        <f>IF(NOT(Paths!$C$207=1),0,IF(Paths!$P$207="Complete",IF(AND(Paths!$D$207="EV",Paths!$E$207&lt;120,Paths!$E$207+'Operating costs'!$B$65&gt;Paths!$E$207,Paths!$E$207+'Operating costs'!$B$65&lt;=120,IF(Paths!$E$207+'Operating costs'!$B$65=0,C2215=0,AND(C2215&gt;0,Paths!$E$207+'Operating costs'!$B$65&gt;(C2215-1)*12,Paths!$E$207+'Operating costs'!$B$65&lt;=C2215*12))),'Operating costs'!$B$64,0)+IF(AND('Operating costs'!$B$67&gt;0,'Operating costs'!$B$67&lt;=120,OR(Paths!$D$207="ICE",'Operating costs'!$B$67&lt;=Paths!$E$207),IF('Operating costs'!$B$67=0,C2215=0,AND(C2215&gt;0,'Operating costs'!$B$67&gt;(C2215-1)*12,'Operating costs'!$B$67&lt;=C2215*12))),'Operating costs'!$B$66,0),"n.a."))</f>
        <v>0</v>
      </c>
      <c r="N2215" s="16">
        <f>IF(NOT(Paths!$C$207=1),0,IF(Paths!$P$207="Complete",SUM(G2215:I2215)-J2215-K2215-L2215+M2215+IF(C2215=0,Paths!$F$207,0)+IF(IF(Paths!$E$207=0,C2215=0,AND(C2215&gt;0,Paths!$E$207&gt;(C2215-1)*12,Paths!$E$207&lt;=C2215*12)),VLOOKUP(A2215,'Fleet register'!$A$7:$S$106,16,FALSE),0),"n.a."))</f>
        <v>0</v>
      </c>
      <c r="O2215" s="16">
        <f>IF(NOT(Paths!$C$207=1),0,IF(Paths!$P$207="Complete",N2215-IF(C2215=0,Paths!$F$207,0),"n.a."))</f>
        <v>0</v>
      </c>
      <c r="P2215" s="16">
        <f>IF(NOT(Paths!$C$207=1),0,IF(Paths!$P$207="Complete",O2215+L2215,"n.a."))</f>
        <v>0</v>
      </c>
      <c r="Q2215" s="16">
        <f>IF(NOT(Paths!$C$207=1),0,IF(Paths!$P$207="Complete",N2215*(1+'Operating costs'!$B$54)^-C2215,"n.a."))</f>
        <v>0</v>
      </c>
      <c r="R2215" s="16">
        <f>IF(NOT(Paths!$C$207=1),0,IF(Paths!$P$207="Complete",IF(AND(C2215=0,Paths!$E$207=0),I2215-J2215-K2215+VLOOKUP(A2215,'Fleet register'!$A$7:$S$106,15,FALSE)+VLOOKUP(A2215,'Fleet register'!$A$7:$S$106,16,FALSE),0),"n.a."))</f>
        <v>0</v>
      </c>
      <c r="S2215" s="1">
        <f>IF(NOT(Paths!$C$207=1),0,IF(Paths!$P$207="Complete",IF(C2215=0,0,Paths!$S$207*Paths!$R$207),"n.a."))</f>
        <v>0</v>
      </c>
      <c r="T2215" s="1">
        <f>IF(NOT(Paths!$C$207=1),0,IF(Paths!$P$207="Complete",IF(C2215=0,0,VLOOKUP(A2215,'Fleet register'!$A$7:$S$106,9,FALSE)*Paths!$R$207),"n.a."))</f>
        <v>0</v>
      </c>
    </row>
    <row r="2216" spans="1:20" ht="24" customHeight="1">
      <c r="A2216" s="1" t="str">
        <f>Paths!$A$207</f>
        <v>T051</v>
      </c>
      <c r="B2216" s="1">
        <f>Paths!$B$207</f>
        <v>0</v>
      </c>
      <c r="C2216" s="1">
        <v>9</v>
      </c>
      <c r="D2216" s="1">
        <v>207</v>
      </c>
      <c r="E2216" s="1">
        <f>IF(OR(Paths!$C$207=0,C2216=0),0,MAX(0,MIN(C2216*12,Paths!$E$207)-(C2216-1)*12))</f>
        <v>0</v>
      </c>
      <c r="F2216" s="1">
        <f>IF(OR(Paths!$C$207=0,C2216=0),0,12-E2216)</f>
        <v>0</v>
      </c>
      <c r="G2216" s="16">
        <f>IF(NOT(Paths!$C$207=1),0,IF(Paths!$P$207="Complete",E2216/12*(Paths!$J$207*(1+'Operating costs'!$B$51)^MAX(0,C2216-1)+Paths!$K$207*(1+'Operating costs'!$B$53)^MAX(0,C2216-1)),"n.a."))</f>
        <v>0</v>
      </c>
      <c r="H2216" s="16">
        <f>IF(NOT(Paths!$C$207=1),0,IF(Paths!$P$207="Complete",F2216/12*(Paths!$L$207*(1+IF(Paths!$D$207="EV",'Operating costs'!$B$52,'Operating costs'!$B$51))^MAX(0,C2216-1)+Paths!$M$207*(1+'Operating costs'!$B$53)^MAX(0,C2216-1)),"n.a."))</f>
        <v>0</v>
      </c>
      <c r="I2216" s="16">
        <f>IF(NOT(Paths!$C$207=1),0,IF(Paths!$P$207="Complete",IF(IF(Paths!$E$207=0,C2216=0,AND(C2216&gt;0,Paths!$E$207&gt;(C2216-1)*12,Paths!$E$207&lt;=C2216*12)),Paths!$G$207,0),"n.a."))</f>
        <v>0</v>
      </c>
      <c r="J2216" s="16">
        <f>IF(NOT(Paths!$C$207=1),0,IF(Paths!$P$207="Complete",IF(IF(Paths!$E$207=0,C2216=0,AND(C2216&gt;0,Paths!$E$207&gt;(C2216-1)*12,Paths!$E$207&lt;=C2216*12)),Paths!$H$207,0),"n.a."))</f>
        <v>0</v>
      </c>
      <c r="K2216" s="16">
        <f>IF(NOT(Paths!$C$207=1),0,IF(Paths!$P$207="Complete",IF(IF(Paths!$O$207=0,C2216=0,AND(C2216&gt;0,Paths!$O$207&gt;(C2216-1)*12,Paths!$O$207&lt;=C2216*12)),Paths!$N$207,0),"n.a."))</f>
        <v>0</v>
      </c>
      <c r="L2216" s="16">
        <f>IF(NOT(Paths!$C$207=1),0,IF(Paths!$P$207="Complete",IF(C2216=10,Paths!$I$207,0),"n.a."))</f>
        <v>0</v>
      </c>
      <c r="M2216" s="16">
        <f>IF(NOT(Paths!$C$207=1),0,IF(Paths!$P$207="Complete",IF(AND(Paths!$D$207="EV",Paths!$E$207&lt;120,Paths!$E$207+'Operating costs'!$B$65&gt;Paths!$E$207,Paths!$E$207+'Operating costs'!$B$65&lt;=120,IF(Paths!$E$207+'Operating costs'!$B$65=0,C2216=0,AND(C2216&gt;0,Paths!$E$207+'Operating costs'!$B$65&gt;(C2216-1)*12,Paths!$E$207+'Operating costs'!$B$65&lt;=C2216*12))),'Operating costs'!$B$64,0)+IF(AND('Operating costs'!$B$67&gt;0,'Operating costs'!$B$67&lt;=120,OR(Paths!$D$207="ICE",'Operating costs'!$B$67&lt;=Paths!$E$207),IF('Operating costs'!$B$67=0,C2216=0,AND(C2216&gt;0,'Operating costs'!$B$67&gt;(C2216-1)*12,'Operating costs'!$B$67&lt;=C2216*12))),'Operating costs'!$B$66,0),"n.a."))</f>
        <v>0</v>
      </c>
      <c r="N2216" s="16">
        <f>IF(NOT(Paths!$C$207=1),0,IF(Paths!$P$207="Complete",SUM(G2216:I2216)-J2216-K2216-L2216+M2216+IF(C2216=0,Paths!$F$207,0)+IF(IF(Paths!$E$207=0,C2216=0,AND(C2216&gt;0,Paths!$E$207&gt;(C2216-1)*12,Paths!$E$207&lt;=C2216*12)),VLOOKUP(A2216,'Fleet register'!$A$7:$S$106,16,FALSE),0),"n.a."))</f>
        <v>0</v>
      </c>
      <c r="O2216" s="16">
        <f>IF(NOT(Paths!$C$207=1),0,IF(Paths!$P$207="Complete",N2216-IF(C2216=0,Paths!$F$207,0),"n.a."))</f>
        <v>0</v>
      </c>
      <c r="P2216" s="16">
        <f>IF(NOT(Paths!$C$207=1),0,IF(Paths!$P$207="Complete",O2216+L2216,"n.a."))</f>
        <v>0</v>
      </c>
      <c r="Q2216" s="16">
        <f>IF(NOT(Paths!$C$207=1),0,IF(Paths!$P$207="Complete",N2216*(1+'Operating costs'!$B$54)^-C2216,"n.a."))</f>
        <v>0</v>
      </c>
      <c r="R2216" s="16">
        <f>IF(NOT(Paths!$C$207=1),0,IF(Paths!$P$207="Complete",IF(AND(C2216=0,Paths!$E$207=0),I2216-J2216-K2216+VLOOKUP(A2216,'Fleet register'!$A$7:$S$106,15,FALSE)+VLOOKUP(A2216,'Fleet register'!$A$7:$S$106,16,FALSE),0),"n.a."))</f>
        <v>0</v>
      </c>
      <c r="S2216" s="1">
        <f>IF(NOT(Paths!$C$207=1),0,IF(Paths!$P$207="Complete",IF(C2216=0,0,Paths!$S$207*Paths!$R$207),"n.a."))</f>
        <v>0</v>
      </c>
      <c r="T2216" s="1">
        <f>IF(NOT(Paths!$C$207=1),0,IF(Paths!$P$207="Complete",IF(C2216=0,0,VLOOKUP(A2216,'Fleet register'!$A$7:$S$106,9,FALSE)*Paths!$R$207),"n.a."))</f>
        <v>0</v>
      </c>
    </row>
    <row r="2217" spans="1:20" ht="24" customHeight="1">
      <c r="A2217" s="1" t="str">
        <f>Paths!$A$207</f>
        <v>T051</v>
      </c>
      <c r="B2217" s="1">
        <f>Paths!$B$207</f>
        <v>0</v>
      </c>
      <c r="C2217" s="1">
        <v>10</v>
      </c>
      <c r="D2217" s="1">
        <v>207</v>
      </c>
      <c r="E2217" s="1">
        <f>IF(OR(Paths!$C$207=0,C2217=0),0,MAX(0,MIN(C2217*12,Paths!$E$207)-(C2217-1)*12))</f>
        <v>0</v>
      </c>
      <c r="F2217" s="1">
        <f>IF(OR(Paths!$C$207=0,C2217=0),0,12-E2217)</f>
        <v>0</v>
      </c>
      <c r="G2217" s="16">
        <f>IF(NOT(Paths!$C$207=1),0,IF(Paths!$P$207="Complete",E2217/12*(Paths!$J$207*(1+'Operating costs'!$B$51)^MAX(0,C2217-1)+Paths!$K$207*(1+'Operating costs'!$B$53)^MAX(0,C2217-1)),"n.a."))</f>
        <v>0</v>
      </c>
      <c r="H2217" s="16">
        <f>IF(NOT(Paths!$C$207=1),0,IF(Paths!$P$207="Complete",F2217/12*(Paths!$L$207*(1+IF(Paths!$D$207="EV",'Operating costs'!$B$52,'Operating costs'!$B$51))^MAX(0,C2217-1)+Paths!$M$207*(1+'Operating costs'!$B$53)^MAX(0,C2217-1)),"n.a."))</f>
        <v>0</v>
      </c>
      <c r="I2217" s="16">
        <f>IF(NOT(Paths!$C$207=1),0,IF(Paths!$P$207="Complete",IF(IF(Paths!$E$207=0,C2217=0,AND(C2217&gt;0,Paths!$E$207&gt;(C2217-1)*12,Paths!$E$207&lt;=C2217*12)),Paths!$G$207,0),"n.a."))</f>
        <v>0</v>
      </c>
      <c r="J2217" s="16">
        <f>IF(NOT(Paths!$C$207=1),0,IF(Paths!$P$207="Complete",IF(IF(Paths!$E$207=0,C2217=0,AND(C2217&gt;0,Paths!$E$207&gt;(C2217-1)*12,Paths!$E$207&lt;=C2217*12)),Paths!$H$207,0),"n.a."))</f>
        <v>0</v>
      </c>
      <c r="K2217" s="16">
        <f>IF(NOT(Paths!$C$207=1),0,IF(Paths!$P$207="Complete",IF(IF(Paths!$O$207=0,C2217=0,AND(C2217&gt;0,Paths!$O$207&gt;(C2217-1)*12,Paths!$O$207&lt;=C2217*12)),Paths!$N$207,0),"n.a."))</f>
        <v>0</v>
      </c>
      <c r="L2217" s="16">
        <f>IF(NOT(Paths!$C$207=1),0,IF(Paths!$P$207="Complete",IF(C2217=10,Paths!$I$207,0),"n.a."))</f>
        <v>0</v>
      </c>
      <c r="M2217" s="16">
        <f>IF(NOT(Paths!$C$207=1),0,IF(Paths!$P$207="Complete",IF(AND(Paths!$D$207="EV",Paths!$E$207&lt;120,Paths!$E$207+'Operating costs'!$B$65&gt;Paths!$E$207,Paths!$E$207+'Operating costs'!$B$65&lt;=120,IF(Paths!$E$207+'Operating costs'!$B$65=0,C2217=0,AND(C2217&gt;0,Paths!$E$207+'Operating costs'!$B$65&gt;(C2217-1)*12,Paths!$E$207+'Operating costs'!$B$65&lt;=C2217*12))),'Operating costs'!$B$64,0)+IF(AND('Operating costs'!$B$67&gt;0,'Operating costs'!$B$67&lt;=120,OR(Paths!$D$207="ICE",'Operating costs'!$B$67&lt;=Paths!$E$207),IF('Operating costs'!$B$67=0,C2217=0,AND(C2217&gt;0,'Operating costs'!$B$67&gt;(C2217-1)*12,'Operating costs'!$B$67&lt;=C2217*12))),'Operating costs'!$B$66,0),"n.a."))</f>
        <v>0</v>
      </c>
      <c r="N2217" s="16">
        <f>IF(NOT(Paths!$C$207=1),0,IF(Paths!$P$207="Complete",SUM(G2217:I2217)-J2217-K2217-L2217+M2217+IF(C2217=0,Paths!$F$207,0)+IF(IF(Paths!$E$207=0,C2217=0,AND(C2217&gt;0,Paths!$E$207&gt;(C2217-1)*12,Paths!$E$207&lt;=C2217*12)),VLOOKUP(A2217,'Fleet register'!$A$7:$S$106,16,FALSE),0),"n.a."))</f>
        <v>0</v>
      </c>
      <c r="O2217" s="16">
        <f>IF(NOT(Paths!$C$207=1),0,IF(Paths!$P$207="Complete",N2217-IF(C2217=0,Paths!$F$207,0),"n.a."))</f>
        <v>0</v>
      </c>
      <c r="P2217" s="16">
        <f>IF(NOT(Paths!$C$207=1),0,IF(Paths!$P$207="Complete",O2217+L2217,"n.a."))</f>
        <v>0</v>
      </c>
      <c r="Q2217" s="16">
        <f>IF(NOT(Paths!$C$207=1),0,IF(Paths!$P$207="Complete",N2217*(1+'Operating costs'!$B$54)^-C2217,"n.a."))</f>
        <v>0</v>
      </c>
      <c r="R2217" s="16">
        <f>IF(NOT(Paths!$C$207=1),0,IF(Paths!$P$207="Complete",IF(AND(C2217=0,Paths!$E$207=0),I2217-J2217-K2217+VLOOKUP(A2217,'Fleet register'!$A$7:$S$106,15,FALSE)+VLOOKUP(A2217,'Fleet register'!$A$7:$S$106,16,FALSE),0),"n.a."))</f>
        <v>0</v>
      </c>
      <c r="S2217" s="1">
        <f>IF(NOT(Paths!$C$207=1),0,IF(Paths!$P$207="Complete",IF(C2217=0,0,Paths!$S$207*Paths!$R$207),"n.a."))</f>
        <v>0</v>
      </c>
      <c r="T2217" s="1">
        <f>IF(NOT(Paths!$C$207=1),0,IF(Paths!$P$207="Complete",IF(C2217=0,0,VLOOKUP(A2217,'Fleet register'!$A$7:$S$106,9,FALSE)*Paths!$R$207),"n.a."))</f>
        <v>0</v>
      </c>
    </row>
    <row r="2218" spans="1:20" ht="24" customHeight="1">
      <c r="A2218" s="1" t="str">
        <f>Paths!$A$208</f>
        <v>T051</v>
      </c>
      <c r="B2218" s="1">
        <f>Paths!$B$208</f>
        <v>1</v>
      </c>
      <c r="C2218" s="1">
        <v>0</v>
      </c>
      <c r="D2218" s="1">
        <v>208</v>
      </c>
      <c r="E2218" s="1">
        <f>IF(OR(Paths!$C$208=0,C2218=0),0,MAX(0,MIN(C2218*12,Paths!$E$208)-(C2218-1)*12))</f>
        <v>0</v>
      </c>
      <c r="F2218" s="1">
        <f>IF(OR(Paths!$C$208=0,C2218=0),0,12-E2218)</f>
        <v>0</v>
      </c>
      <c r="G2218" s="16">
        <f>IF(NOT(Paths!$C$208=1),0,IF(Paths!$P$208="Complete",E2218/12*(Paths!$J$208*(1+'Operating costs'!$B$51)^MAX(0,C2218-1)+Paths!$K$208*(1+'Operating costs'!$B$53)^MAX(0,C2218-1)),"n.a."))</f>
        <v>0</v>
      </c>
      <c r="H2218" s="16">
        <f>IF(NOT(Paths!$C$208=1),0,IF(Paths!$P$208="Complete",F2218/12*(Paths!$L$208*(1+IF(Paths!$D$208="EV",'Operating costs'!$B$52,'Operating costs'!$B$51))^MAX(0,C2218-1)+Paths!$M$208*(1+'Operating costs'!$B$53)^MAX(0,C2218-1)),"n.a."))</f>
        <v>0</v>
      </c>
      <c r="I2218" s="16">
        <f>IF(NOT(Paths!$C$208=1),0,IF(Paths!$P$208="Complete",IF(IF(Paths!$E$208=0,C2218=0,AND(C2218&gt;0,Paths!$E$208&gt;(C2218-1)*12,Paths!$E$208&lt;=C2218*12)),Paths!$G$208,0),"n.a."))</f>
        <v>0</v>
      </c>
      <c r="J2218" s="16">
        <f>IF(NOT(Paths!$C$208=1),0,IF(Paths!$P$208="Complete",IF(IF(Paths!$E$208=0,C2218=0,AND(C2218&gt;0,Paths!$E$208&gt;(C2218-1)*12,Paths!$E$208&lt;=C2218*12)),Paths!$H$208,0),"n.a."))</f>
        <v>0</v>
      </c>
      <c r="K2218" s="16">
        <f>IF(NOT(Paths!$C$208=1),0,IF(Paths!$P$208="Complete",IF(IF(Paths!$O$208=0,C2218=0,AND(C2218&gt;0,Paths!$O$208&gt;(C2218-1)*12,Paths!$O$208&lt;=C2218*12)),Paths!$N$208,0),"n.a."))</f>
        <v>0</v>
      </c>
      <c r="L2218" s="16">
        <f>IF(NOT(Paths!$C$208=1),0,IF(Paths!$P$208="Complete",IF(C2218=10,Paths!$I$208,0),"n.a."))</f>
        <v>0</v>
      </c>
      <c r="M2218" s="16">
        <f>IF(NOT(Paths!$C$208=1),0,IF(Paths!$P$208="Complete",IF(AND(Paths!$D$208="EV",Paths!$E$208&lt;120,Paths!$E$208+'Operating costs'!$B$65&gt;Paths!$E$208,Paths!$E$208+'Operating costs'!$B$65&lt;=120,IF(Paths!$E$208+'Operating costs'!$B$65=0,C2218=0,AND(C2218&gt;0,Paths!$E$208+'Operating costs'!$B$65&gt;(C2218-1)*12,Paths!$E$208+'Operating costs'!$B$65&lt;=C2218*12))),'Operating costs'!$B$64,0)+IF(AND('Operating costs'!$B$67&gt;0,'Operating costs'!$B$67&lt;=120,OR(Paths!$D$208="ICE",'Operating costs'!$B$67&lt;=Paths!$E$208),IF('Operating costs'!$B$67=0,C2218=0,AND(C2218&gt;0,'Operating costs'!$B$67&gt;(C2218-1)*12,'Operating costs'!$B$67&lt;=C2218*12))),'Operating costs'!$B$66,0),"n.a."))</f>
        <v>0</v>
      </c>
      <c r="N2218" s="16">
        <f>IF(NOT(Paths!$C$208=1),0,IF(Paths!$P$208="Complete",SUM(G2218:I2218)-J2218-K2218-L2218+M2218+IF(C2218=0,Paths!$F$208,0)+IF(IF(Paths!$E$208=0,C2218=0,AND(C2218&gt;0,Paths!$E$208&gt;(C2218-1)*12,Paths!$E$208&lt;=C2218*12)),VLOOKUP(A2218,'Fleet register'!$A$7:$S$106,16,FALSE),0),"n.a."))</f>
        <v>0</v>
      </c>
      <c r="O2218" s="16">
        <f>IF(NOT(Paths!$C$208=1),0,IF(Paths!$P$208="Complete",N2218-IF(C2218=0,Paths!$F$208,0),"n.a."))</f>
        <v>0</v>
      </c>
      <c r="P2218" s="16">
        <f>IF(NOT(Paths!$C$208=1),0,IF(Paths!$P$208="Complete",O2218+L2218,"n.a."))</f>
        <v>0</v>
      </c>
      <c r="Q2218" s="16">
        <f>IF(NOT(Paths!$C$208=1),0,IF(Paths!$P$208="Complete",N2218*(1+'Operating costs'!$B$54)^-C2218,"n.a."))</f>
        <v>0</v>
      </c>
      <c r="R2218" s="16">
        <f>IF(NOT(Paths!$C$208=1),0,IF(Paths!$P$208="Complete",IF(AND(C2218=0,Paths!$E$208=0),I2218-J2218-K2218+VLOOKUP(A2218,'Fleet register'!$A$7:$S$106,15,FALSE)+VLOOKUP(A2218,'Fleet register'!$A$7:$S$106,16,FALSE),0),"n.a."))</f>
        <v>0</v>
      </c>
      <c r="S2218" s="1">
        <f>IF(NOT(Paths!$C$208=1),0,IF(Paths!$P$208="Complete",IF(C2218=0,0,Paths!$S$208*Paths!$R$208),"n.a."))</f>
        <v>0</v>
      </c>
      <c r="T2218" s="1">
        <f>IF(NOT(Paths!$C$208=1),0,IF(Paths!$P$208="Complete",IF(C2218=0,0,VLOOKUP(A2218,'Fleet register'!$A$7:$S$106,9,FALSE)*Paths!$R$208),"n.a."))</f>
        <v>0</v>
      </c>
    </row>
    <row r="2219" spans="1:20" ht="24" customHeight="1">
      <c r="A2219" s="1" t="str">
        <f>Paths!$A$208</f>
        <v>T051</v>
      </c>
      <c r="B2219" s="1">
        <f>Paths!$B$208</f>
        <v>1</v>
      </c>
      <c r="C2219" s="1">
        <v>1</v>
      </c>
      <c r="D2219" s="1">
        <v>208</v>
      </c>
      <c r="E2219" s="1">
        <f>IF(OR(Paths!$C$208=0,C2219=0),0,MAX(0,MIN(C2219*12,Paths!$E$208)-(C2219-1)*12))</f>
        <v>0</v>
      </c>
      <c r="F2219" s="1">
        <f>IF(OR(Paths!$C$208=0,C2219=0),0,12-E2219)</f>
        <v>0</v>
      </c>
      <c r="G2219" s="16">
        <f>IF(NOT(Paths!$C$208=1),0,IF(Paths!$P$208="Complete",E2219/12*(Paths!$J$208*(1+'Operating costs'!$B$51)^MAX(0,C2219-1)+Paths!$K$208*(1+'Operating costs'!$B$53)^MAX(0,C2219-1)),"n.a."))</f>
        <v>0</v>
      </c>
      <c r="H2219" s="16">
        <f>IF(NOT(Paths!$C$208=1),0,IF(Paths!$P$208="Complete",F2219/12*(Paths!$L$208*(1+IF(Paths!$D$208="EV",'Operating costs'!$B$52,'Operating costs'!$B$51))^MAX(0,C2219-1)+Paths!$M$208*(1+'Operating costs'!$B$53)^MAX(0,C2219-1)),"n.a."))</f>
        <v>0</v>
      </c>
      <c r="I2219" s="16">
        <f>IF(NOT(Paths!$C$208=1),0,IF(Paths!$P$208="Complete",IF(IF(Paths!$E$208=0,C2219=0,AND(C2219&gt;0,Paths!$E$208&gt;(C2219-1)*12,Paths!$E$208&lt;=C2219*12)),Paths!$G$208,0),"n.a."))</f>
        <v>0</v>
      </c>
      <c r="J2219" s="16">
        <f>IF(NOT(Paths!$C$208=1),0,IF(Paths!$P$208="Complete",IF(IF(Paths!$E$208=0,C2219=0,AND(C2219&gt;0,Paths!$E$208&gt;(C2219-1)*12,Paths!$E$208&lt;=C2219*12)),Paths!$H$208,0),"n.a."))</f>
        <v>0</v>
      </c>
      <c r="K2219" s="16">
        <f>IF(NOT(Paths!$C$208=1),0,IF(Paths!$P$208="Complete",IF(IF(Paths!$O$208=0,C2219=0,AND(C2219&gt;0,Paths!$O$208&gt;(C2219-1)*12,Paths!$O$208&lt;=C2219*12)),Paths!$N$208,0),"n.a."))</f>
        <v>0</v>
      </c>
      <c r="L2219" s="16">
        <f>IF(NOT(Paths!$C$208=1),0,IF(Paths!$P$208="Complete",IF(C2219=10,Paths!$I$208,0),"n.a."))</f>
        <v>0</v>
      </c>
      <c r="M2219" s="16">
        <f>IF(NOT(Paths!$C$208=1),0,IF(Paths!$P$208="Complete",IF(AND(Paths!$D$208="EV",Paths!$E$208&lt;120,Paths!$E$208+'Operating costs'!$B$65&gt;Paths!$E$208,Paths!$E$208+'Operating costs'!$B$65&lt;=120,IF(Paths!$E$208+'Operating costs'!$B$65=0,C2219=0,AND(C2219&gt;0,Paths!$E$208+'Operating costs'!$B$65&gt;(C2219-1)*12,Paths!$E$208+'Operating costs'!$B$65&lt;=C2219*12))),'Operating costs'!$B$64,0)+IF(AND('Operating costs'!$B$67&gt;0,'Operating costs'!$B$67&lt;=120,OR(Paths!$D$208="ICE",'Operating costs'!$B$67&lt;=Paths!$E$208),IF('Operating costs'!$B$67=0,C2219=0,AND(C2219&gt;0,'Operating costs'!$B$67&gt;(C2219-1)*12,'Operating costs'!$B$67&lt;=C2219*12))),'Operating costs'!$B$66,0),"n.a."))</f>
        <v>0</v>
      </c>
      <c r="N2219" s="16">
        <f>IF(NOT(Paths!$C$208=1),0,IF(Paths!$P$208="Complete",SUM(G2219:I2219)-J2219-K2219-L2219+M2219+IF(C2219=0,Paths!$F$208,0)+IF(IF(Paths!$E$208=0,C2219=0,AND(C2219&gt;0,Paths!$E$208&gt;(C2219-1)*12,Paths!$E$208&lt;=C2219*12)),VLOOKUP(A2219,'Fleet register'!$A$7:$S$106,16,FALSE),0),"n.a."))</f>
        <v>0</v>
      </c>
      <c r="O2219" s="16">
        <f>IF(NOT(Paths!$C$208=1),0,IF(Paths!$P$208="Complete",N2219-IF(C2219=0,Paths!$F$208,0),"n.a."))</f>
        <v>0</v>
      </c>
      <c r="P2219" s="16">
        <f>IF(NOT(Paths!$C$208=1),0,IF(Paths!$P$208="Complete",O2219+L2219,"n.a."))</f>
        <v>0</v>
      </c>
      <c r="Q2219" s="16">
        <f>IF(NOT(Paths!$C$208=1),0,IF(Paths!$P$208="Complete",N2219*(1+'Operating costs'!$B$54)^-C2219,"n.a."))</f>
        <v>0</v>
      </c>
      <c r="R2219" s="16">
        <f>IF(NOT(Paths!$C$208=1),0,IF(Paths!$P$208="Complete",IF(AND(C2219=0,Paths!$E$208=0),I2219-J2219-K2219+VLOOKUP(A2219,'Fleet register'!$A$7:$S$106,15,FALSE)+VLOOKUP(A2219,'Fleet register'!$A$7:$S$106,16,FALSE),0),"n.a."))</f>
        <v>0</v>
      </c>
      <c r="S2219" s="1">
        <f>IF(NOT(Paths!$C$208=1),0,IF(Paths!$P$208="Complete",IF(C2219=0,0,Paths!$S$208*Paths!$R$208),"n.a."))</f>
        <v>0</v>
      </c>
      <c r="T2219" s="1">
        <f>IF(NOT(Paths!$C$208=1),0,IF(Paths!$P$208="Complete",IF(C2219=0,0,VLOOKUP(A2219,'Fleet register'!$A$7:$S$106,9,FALSE)*Paths!$R$208),"n.a."))</f>
        <v>0</v>
      </c>
    </row>
    <row r="2220" spans="1:20" ht="24" customHeight="1">
      <c r="A2220" s="1" t="str">
        <f>Paths!$A$208</f>
        <v>T051</v>
      </c>
      <c r="B2220" s="1">
        <f>Paths!$B$208</f>
        <v>1</v>
      </c>
      <c r="C2220" s="1">
        <v>2</v>
      </c>
      <c r="D2220" s="1">
        <v>208</v>
      </c>
      <c r="E2220" s="1">
        <f>IF(OR(Paths!$C$208=0,C2220=0),0,MAX(0,MIN(C2220*12,Paths!$E$208)-(C2220-1)*12))</f>
        <v>0</v>
      </c>
      <c r="F2220" s="1">
        <f>IF(OR(Paths!$C$208=0,C2220=0),0,12-E2220)</f>
        <v>0</v>
      </c>
      <c r="G2220" s="16">
        <f>IF(NOT(Paths!$C$208=1),0,IF(Paths!$P$208="Complete",E2220/12*(Paths!$J$208*(1+'Operating costs'!$B$51)^MAX(0,C2220-1)+Paths!$K$208*(1+'Operating costs'!$B$53)^MAX(0,C2220-1)),"n.a."))</f>
        <v>0</v>
      </c>
      <c r="H2220" s="16">
        <f>IF(NOT(Paths!$C$208=1),0,IF(Paths!$P$208="Complete",F2220/12*(Paths!$L$208*(1+IF(Paths!$D$208="EV",'Operating costs'!$B$52,'Operating costs'!$B$51))^MAX(0,C2220-1)+Paths!$M$208*(1+'Operating costs'!$B$53)^MAX(0,C2220-1)),"n.a."))</f>
        <v>0</v>
      </c>
      <c r="I2220" s="16">
        <f>IF(NOT(Paths!$C$208=1),0,IF(Paths!$P$208="Complete",IF(IF(Paths!$E$208=0,C2220=0,AND(C2220&gt;0,Paths!$E$208&gt;(C2220-1)*12,Paths!$E$208&lt;=C2220*12)),Paths!$G$208,0),"n.a."))</f>
        <v>0</v>
      </c>
      <c r="J2220" s="16">
        <f>IF(NOT(Paths!$C$208=1),0,IF(Paths!$P$208="Complete",IF(IF(Paths!$E$208=0,C2220=0,AND(C2220&gt;0,Paths!$E$208&gt;(C2220-1)*12,Paths!$E$208&lt;=C2220*12)),Paths!$H$208,0),"n.a."))</f>
        <v>0</v>
      </c>
      <c r="K2220" s="16">
        <f>IF(NOT(Paths!$C$208=1),0,IF(Paths!$P$208="Complete",IF(IF(Paths!$O$208=0,C2220=0,AND(C2220&gt;0,Paths!$O$208&gt;(C2220-1)*12,Paths!$O$208&lt;=C2220*12)),Paths!$N$208,0),"n.a."))</f>
        <v>0</v>
      </c>
      <c r="L2220" s="16">
        <f>IF(NOT(Paths!$C$208=1),0,IF(Paths!$P$208="Complete",IF(C2220=10,Paths!$I$208,0),"n.a."))</f>
        <v>0</v>
      </c>
      <c r="M2220" s="16">
        <f>IF(NOT(Paths!$C$208=1),0,IF(Paths!$P$208="Complete",IF(AND(Paths!$D$208="EV",Paths!$E$208&lt;120,Paths!$E$208+'Operating costs'!$B$65&gt;Paths!$E$208,Paths!$E$208+'Operating costs'!$B$65&lt;=120,IF(Paths!$E$208+'Operating costs'!$B$65=0,C2220=0,AND(C2220&gt;0,Paths!$E$208+'Operating costs'!$B$65&gt;(C2220-1)*12,Paths!$E$208+'Operating costs'!$B$65&lt;=C2220*12))),'Operating costs'!$B$64,0)+IF(AND('Operating costs'!$B$67&gt;0,'Operating costs'!$B$67&lt;=120,OR(Paths!$D$208="ICE",'Operating costs'!$B$67&lt;=Paths!$E$208),IF('Operating costs'!$B$67=0,C2220=0,AND(C2220&gt;0,'Operating costs'!$B$67&gt;(C2220-1)*12,'Operating costs'!$B$67&lt;=C2220*12))),'Operating costs'!$B$66,0),"n.a."))</f>
        <v>0</v>
      </c>
      <c r="N2220" s="16">
        <f>IF(NOT(Paths!$C$208=1),0,IF(Paths!$P$208="Complete",SUM(G2220:I2220)-J2220-K2220-L2220+M2220+IF(C2220=0,Paths!$F$208,0)+IF(IF(Paths!$E$208=0,C2220=0,AND(C2220&gt;0,Paths!$E$208&gt;(C2220-1)*12,Paths!$E$208&lt;=C2220*12)),VLOOKUP(A2220,'Fleet register'!$A$7:$S$106,16,FALSE),0),"n.a."))</f>
        <v>0</v>
      </c>
      <c r="O2220" s="16">
        <f>IF(NOT(Paths!$C$208=1),0,IF(Paths!$P$208="Complete",N2220-IF(C2220=0,Paths!$F$208,0),"n.a."))</f>
        <v>0</v>
      </c>
      <c r="P2220" s="16">
        <f>IF(NOT(Paths!$C$208=1),0,IF(Paths!$P$208="Complete",O2220+L2220,"n.a."))</f>
        <v>0</v>
      </c>
      <c r="Q2220" s="16">
        <f>IF(NOT(Paths!$C$208=1),0,IF(Paths!$P$208="Complete",N2220*(1+'Operating costs'!$B$54)^-C2220,"n.a."))</f>
        <v>0</v>
      </c>
      <c r="R2220" s="16">
        <f>IF(NOT(Paths!$C$208=1),0,IF(Paths!$P$208="Complete",IF(AND(C2220=0,Paths!$E$208=0),I2220-J2220-K2220+VLOOKUP(A2220,'Fleet register'!$A$7:$S$106,15,FALSE)+VLOOKUP(A2220,'Fleet register'!$A$7:$S$106,16,FALSE),0),"n.a."))</f>
        <v>0</v>
      </c>
      <c r="S2220" s="1">
        <f>IF(NOT(Paths!$C$208=1),0,IF(Paths!$P$208="Complete",IF(C2220=0,0,Paths!$S$208*Paths!$R$208),"n.a."))</f>
        <v>0</v>
      </c>
      <c r="T2220" s="1">
        <f>IF(NOT(Paths!$C$208=1),0,IF(Paths!$P$208="Complete",IF(C2220=0,0,VLOOKUP(A2220,'Fleet register'!$A$7:$S$106,9,FALSE)*Paths!$R$208),"n.a."))</f>
        <v>0</v>
      </c>
    </row>
    <row r="2221" spans="1:20" ht="24" customHeight="1">
      <c r="A2221" s="1" t="str">
        <f>Paths!$A$208</f>
        <v>T051</v>
      </c>
      <c r="B2221" s="1">
        <f>Paths!$B$208</f>
        <v>1</v>
      </c>
      <c r="C2221" s="1">
        <v>3</v>
      </c>
      <c r="D2221" s="1">
        <v>208</v>
      </c>
      <c r="E2221" s="1">
        <f>IF(OR(Paths!$C$208=0,C2221=0),0,MAX(0,MIN(C2221*12,Paths!$E$208)-(C2221-1)*12))</f>
        <v>0</v>
      </c>
      <c r="F2221" s="1">
        <f>IF(OR(Paths!$C$208=0,C2221=0),0,12-E2221)</f>
        <v>0</v>
      </c>
      <c r="G2221" s="16">
        <f>IF(NOT(Paths!$C$208=1),0,IF(Paths!$P$208="Complete",E2221/12*(Paths!$J$208*(1+'Operating costs'!$B$51)^MAX(0,C2221-1)+Paths!$K$208*(1+'Operating costs'!$B$53)^MAX(0,C2221-1)),"n.a."))</f>
        <v>0</v>
      </c>
      <c r="H2221" s="16">
        <f>IF(NOT(Paths!$C$208=1),0,IF(Paths!$P$208="Complete",F2221/12*(Paths!$L$208*(1+IF(Paths!$D$208="EV",'Operating costs'!$B$52,'Operating costs'!$B$51))^MAX(0,C2221-1)+Paths!$M$208*(1+'Operating costs'!$B$53)^MAX(0,C2221-1)),"n.a."))</f>
        <v>0</v>
      </c>
      <c r="I2221" s="16">
        <f>IF(NOT(Paths!$C$208=1),0,IF(Paths!$P$208="Complete",IF(IF(Paths!$E$208=0,C2221=0,AND(C2221&gt;0,Paths!$E$208&gt;(C2221-1)*12,Paths!$E$208&lt;=C2221*12)),Paths!$G$208,0),"n.a."))</f>
        <v>0</v>
      </c>
      <c r="J2221" s="16">
        <f>IF(NOT(Paths!$C$208=1),0,IF(Paths!$P$208="Complete",IF(IF(Paths!$E$208=0,C2221=0,AND(C2221&gt;0,Paths!$E$208&gt;(C2221-1)*12,Paths!$E$208&lt;=C2221*12)),Paths!$H$208,0),"n.a."))</f>
        <v>0</v>
      </c>
      <c r="K2221" s="16">
        <f>IF(NOT(Paths!$C$208=1),0,IF(Paths!$P$208="Complete",IF(IF(Paths!$O$208=0,C2221=0,AND(C2221&gt;0,Paths!$O$208&gt;(C2221-1)*12,Paths!$O$208&lt;=C2221*12)),Paths!$N$208,0),"n.a."))</f>
        <v>0</v>
      </c>
      <c r="L2221" s="16">
        <f>IF(NOT(Paths!$C$208=1),0,IF(Paths!$P$208="Complete",IF(C2221=10,Paths!$I$208,0),"n.a."))</f>
        <v>0</v>
      </c>
      <c r="M2221" s="16">
        <f>IF(NOT(Paths!$C$208=1),0,IF(Paths!$P$208="Complete",IF(AND(Paths!$D$208="EV",Paths!$E$208&lt;120,Paths!$E$208+'Operating costs'!$B$65&gt;Paths!$E$208,Paths!$E$208+'Operating costs'!$B$65&lt;=120,IF(Paths!$E$208+'Operating costs'!$B$65=0,C2221=0,AND(C2221&gt;0,Paths!$E$208+'Operating costs'!$B$65&gt;(C2221-1)*12,Paths!$E$208+'Operating costs'!$B$65&lt;=C2221*12))),'Operating costs'!$B$64,0)+IF(AND('Operating costs'!$B$67&gt;0,'Operating costs'!$B$67&lt;=120,OR(Paths!$D$208="ICE",'Operating costs'!$B$67&lt;=Paths!$E$208),IF('Operating costs'!$B$67=0,C2221=0,AND(C2221&gt;0,'Operating costs'!$B$67&gt;(C2221-1)*12,'Operating costs'!$B$67&lt;=C2221*12))),'Operating costs'!$B$66,0),"n.a."))</f>
        <v>0</v>
      </c>
      <c r="N2221" s="16">
        <f>IF(NOT(Paths!$C$208=1),0,IF(Paths!$P$208="Complete",SUM(G2221:I2221)-J2221-K2221-L2221+M2221+IF(C2221=0,Paths!$F$208,0)+IF(IF(Paths!$E$208=0,C2221=0,AND(C2221&gt;0,Paths!$E$208&gt;(C2221-1)*12,Paths!$E$208&lt;=C2221*12)),VLOOKUP(A2221,'Fleet register'!$A$7:$S$106,16,FALSE),0),"n.a."))</f>
        <v>0</v>
      </c>
      <c r="O2221" s="16">
        <f>IF(NOT(Paths!$C$208=1),0,IF(Paths!$P$208="Complete",N2221-IF(C2221=0,Paths!$F$208,0),"n.a."))</f>
        <v>0</v>
      </c>
      <c r="P2221" s="16">
        <f>IF(NOT(Paths!$C$208=1),0,IF(Paths!$P$208="Complete",O2221+L2221,"n.a."))</f>
        <v>0</v>
      </c>
      <c r="Q2221" s="16">
        <f>IF(NOT(Paths!$C$208=1),0,IF(Paths!$P$208="Complete",N2221*(1+'Operating costs'!$B$54)^-C2221,"n.a."))</f>
        <v>0</v>
      </c>
      <c r="R2221" s="16">
        <f>IF(NOT(Paths!$C$208=1),0,IF(Paths!$P$208="Complete",IF(AND(C2221=0,Paths!$E$208=0),I2221-J2221-K2221+VLOOKUP(A2221,'Fleet register'!$A$7:$S$106,15,FALSE)+VLOOKUP(A2221,'Fleet register'!$A$7:$S$106,16,FALSE),0),"n.a."))</f>
        <v>0</v>
      </c>
      <c r="S2221" s="1">
        <f>IF(NOT(Paths!$C$208=1),0,IF(Paths!$P$208="Complete",IF(C2221=0,0,Paths!$S$208*Paths!$R$208),"n.a."))</f>
        <v>0</v>
      </c>
      <c r="T2221" s="1">
        <f>IF(NOT(Paths!$C$208=1),0,IF(Paths!$P$208="Complete",IF(C2221=0,0,VLOOKUP(A2221,'Fleet register'!$A$7:$S$106,9,FALSE)*Paths!$R$208),"n.a."))</f>
        <v>0</v>
      </c>
    </row>
    <row r="2222" spans="1:20" ht="24" customHeight="1">
      <c r="A2222" s="1" t="str">
        <f>Paths!$A$208</f>
        <v>T051</v>
      </c>
      <c r="B2222" s="1">
        <f>Paths!$B$208</f>
        <v>1</v>
      </c>
      <c r="C2222" s="1">
        <v>4</v>
      </c>
      <c r="D2222" s="1">
        <v>208</v>
      </c>
      <c r="E2222" s="1">
        <f>IF(OR(Paths!$C$208=0,C2222=0),0,MAX(0,MIN(C2222*12,Paths!$E$208)-(C2222-1)*12))</f>
        <v>0</v>
      </c>
      <c r="F2222" s="1">
        <f>IF(OR(Paths!$C$208=0,C2222=0),0,12-E2222)</f>
        <v>0</v>
      </c>
      <c r="G2222" s="16">
        <f>IF(NOT(Paths!$C$208=1),0,IF(Paths!$P$208="Complete",E2222/12*(Paths!$J$208*(1+'Operating costs'!$B$51)^MAX(0,C2222-1)+Paths!$K$208*(1+'Operating costs'!$B$53)^MAX(0,C2222-1)),"n.a."))</f>
        <v>0</v>
      </c>
      <c r="H2222" s="16">
        <f>IF(NOT(Paths!$C$208=1),0,IF(Paths!$P$208="Complete",F2222/12*(Paths!$L$208*(1+IF(Paths!$D$208="EV",'Operating costs'!$B$52,'Operating costs'!$B$51))^MAX(0,C2222-1)+Paths!$M$208*(1+'Operating costs'!$B$53)^MAX(0,C2222-1)),"n.a."))</f>
        <v>0</v>
      </c>
      <c r="I2222" s="16">
        <f>IF(NOT(Paths!$C$208=1),0,IF(Paths!$P$208="Complete",IF(IF(Paths!$E$208=0,C2222=0,AND(C2222&gt;0,Paths!$E$208&gt;(C2222-1)*12,Paths!$E$208&lt;=C2222*12)),Paths!$G$208,0),"n.a."))</f>
        <v>0</v>
      </c>
      <c r="J2222" s="16">
        <f>IF(NOT(Paths!$C$208=1),0,IF(Paths!$P$208="Complete",IF(IF(Paths!$E$208=0,C2222=0,AND(C2222&gt;0,Paths!$E$208&gt;(C2222-1)*12,Paths!$E$208&lt;=C2222*12)),Paths!$H$208,0),"n.a."))</f>
        <v>0</v>
      </c>
      <c r="K2222" s="16">
        <f>IF(NOT(Paths!$C$208=1),0,IF(Paths!$P$208="Complete",IF(IF(Paths!$O$208=0,C2222=0,AND(C2222&gt;0,Paths!$O$208&gt;(C2222-1)*12,Paths!$O$208&lt;=C2222*12)),Paths!$N$208,0),"n.a."))</f>
        <v>0</v>
      </c>
      <c r="L2222" s="16">
        <f>IF(NOT(Paths!$C$208=1),0,IF(Paths!$P$208="Complete",IF(C2222=10,Paths!$I$208,0),"n.a."))</f>
        <v>0</v>
      </c>
      <c r="M2222" s="16">
        <f>IF(NOT(Paths!$C$208=1),0,IF(Paths!$P$208="Complete",IF(AND(Paths!$D$208="EV",Paths!$E$208&lt;120,Paths!$E$208+'Operating costs'!$B$65&gt;Paths!$E$208,Paths!$E$208+'Operating costs'!$B$65&lt;=120,IF(Paths!$E$208+'Operating costs'!$B$65=0,C2222=0,AND(C2222&gt;0,Paths!$E$208+'Operating costs'!$B$65&gt;(C2222-1)*12,Paths!$E$208+'Operating costs'!$B$65&lt;=C2222*12))),'Operating costs'!$B$64,0)+IF(AND('Operating costs'!$B$67&gt;0,'Operating costs'!$B$67&lt;=120,OR(Paths!$D$208="ICE",'Operating costs'!$B$67&lt;=Paths!$E$208),IF('Operating costs'!$B$67=0,C2222=0,AND(C2222&gt;0,'Operating costs'!$B$67&gt;(C2222-1)*12,'Operating costs'!$B$67&lt;=C2222*12))),'Operating costs'!$B$66,0),"n.a."))</f>
        <v>0</v>
      </c>
      <c r="N2222" s="16">
        <f>IF(NOT(Paths!$C$208=1),0,IF(Paths!$P$208="Complete",SUM(G2222:I2222)-J2222-K2222-L2222+M2222+IF(C2222=0,Paths!$F$208,0)+IF(IF(Paths!$E$208=0,C2222=0,AND(C2222&gt;0,Paths!$E$208&gt;(C2222-1)*12,Paths!$E$208&lt;=C2222*12)),VLOOKUP(A2222,'Fleet register'!$A$7:$S$106,16,FALSE),0),"n.a."))</f>
        <v>0</v>
      </c>
      <c r="O2222" s="16">
        <f>IF(NOT(Paths!$C$208=1),0,IF(Paths!$P$208="Complete",N2222-IF(C2222=0,Paths!$F$208,0),"n.a."))</f>
        <v>0</v>
      </c>
      <c r="P2222" s="16">
        <f>IF(NOT(Paths!$C$208=1),0,IF(Paths!$P$208="Complete",O2222+L2222,"n.a."))</f>
        <v>0</v>
      </c>
      <c r="Q2222" s="16">
        <f>IF(NOT(Paths!$C$208=1),0,IF(Paths!$P$208="Complete",N2222*(1+'Operating costs'!$B$54)^-C2222,"n.a."))</f>
        <v>0</v>
      </c>
      <c r="R2222" s="16">
        <f>IF(NOT(Paths!$C$208=1),0,IF(Paths!$P$208="Complete",IF(AND(C2222=0,Paths!$E$208=0),I2222-J2222-K2222+VLOOKUP(A2222,'Fleet register'!$A$7:$S$106,15,FALSE)+VLOOKUP(A2222,'Fleet register'!$A$7:$S$106,16,FALSE),0),"n.a."))</f>
        <v>0</v>
      </c>
      <c r="S2222" s="1">
        <f>IF(NOT(Paths!$C$208=1),0,IF(Paths!$P$208="Complete",IF(C2222=0,0,Paths!$S$208*Paths!$R$208),"n.a."))</f>
        <v>0</v>
      </c>
      <c r="T2222" s="1">
        <f>IF(NOT(Paths!$C$208=1),0,IF(Paths!$P$208="Complete",IF(C2222=0,0,VLOOKUP(A2222,'Fleet register'!$A$7:$S$106,9,FALSE)*Paths!$R$208),"n.a."))</f>
        <v>0</v>
      </c>
    </row>
    <row r="2223" spans="1:20" ht="24" customHeight="1">
      <c r="A2223" s="1" t="str">
        <f>Paths!$A$208</f>
        <v>T051</v>
      </c>
      <c r="B2223" s="1">
        <f>Paths!$B$208</f>
        <v>1</v>
      </c>
      <c r="C2223" s="1">
        <v>5</v>
      </c>
      <c r="D2223" s="1">
        <v>208</v>
      </c>
      <c r="E2223" s="1">
        <f>IF(OR(Paths!$C$208=0,C2223=0),0,MAX(0,MIN(C2223*12,Paths!$E$208)-(C2223-1)*12))</f>
        <v>0</v>
      </c>
      <c r="F2223" s="1">
        <f>IF(OR(Paths!$C$208=0,C2223=0),0,12-E2223)</f>
        <v>0</v>
      </c>
      <c r="G2223" s="16">
        <f>IF(NOT(Paths!$C$208=1),0,IF(Paths!$P$208="Complete",E2223/12*(Paths!$J$208*(1+'Operating costs'!$B$51)^MAX(0,C2223-1)+Paths!$K$208*(1+'Operating costs'!$B$53)^MAX(0,C2223-1)),"n.a."))</f>
        <v>0</v>
      </c>
      <c r="H2223" s="16">
        <f>IF(NOT(Paths!$C$208=1),0,IF(Paths!$P$208="Complete",F2223/12*(Paths!$L$208*(1+IF(Paths!$D$208="EV",'Operating costs'!$B$52,'Operating costs'!$B$51))^MAX(0,C2223-1)+Paths!$M$208*(1+'Operating costs'!$B$53)^MAX(0,C2223-1)),"n.a."))</f>
        <v>0</v>
      </c>
      <c r="I2223" s="16">
        <f>IF(NOT(Paths!$C$208=1),0,IF(Paths!$P$208="Complete",IF(IF(Paths!$E$208=0,C2223=0,AND(C2223&gt;0,Paths!$E$208&gt;(C2223-1)*12,Paths!$E$208&lt;=C2223*12)),Paths!$G$208,0),"n.a."))</f>
        <v>0</v>
      </c>
      <c r="J2223" s="16">
        <f>IF(NOT(Paths!$C$208=1),0,IF(Paths!$P$208="Complete",IF(IF(Paths!$E$208=0,C2223=0,AND(C2223&gt;0,Paths!$E$208&gt;(C2223-1)*12,Paths!$E$208&lt;=C2223*12)),Paths!$H$208,0),"n.a."))</f>
        <v>0</v>
      </c>
      <c r="K2223" s="16">
        <f>IF(NOT(Paths!$C$208=1),0,IF(Paths!$P$208="Complete",IF(IF(Paths!$O$208=0,C2223=0,AND(C2223&gt;0,Paths!$O$208&gt;(C2223-1)*12,Paths!$O$208&lt;=C2223*12)),Paths!$N$208,0),"n.a."))</f>
        <v>0</v>
      </c>
      <c r="L2223" s="16">
        <f>IF(NOT(Paths!$C$208=1),0,IF(Paths!$P$208="Complete",IF(C2223=10,Paths!$I$208,0),"n.a."))</f>
        <v>0</v>
      </c>
      <c r="M2223" s="16">
        <f>IF(NOT(Paths!$C$208=1),0,IF(Paths!$P$208="Complete",IF(AND(Paths!$D$208="EV",Paths!$E$208&lt;120,Paths!$E$208+'Operating costs'!$B$65&gt;Paths!$E$208,Paths!$E$208+'Operating costs'!$B$65&lt;=120,IF(Paths!$E$208+'Operating costs'!$B$65=0,C2223=0,AND(C2223&gt;0,Paths!$E$208+'Operating costs'!$B$65&gt;(C2223-1)*12,Paths!$E$208+'Operating costs'!$B$65&lt;=C2223*12))),'Operating costs'!$B$64,0)+IF(AND('Operating costs'!$B$67&gt;0,'Operating costs'!$B$67&lt;=120,OR(Paths!$D$208="ICE",'Operating costs'!$B$67&lt;=Paths!$E$208),IF('Operating costs'!$B$67=0,C2223=0,AND(C2223&gt;0,'Operating costs'!$B$67&gt;(C2223-1)*12,'Operating costs'!$B$67&lt;=C2223*12))),'Operating costs'!$B$66,0),"n.a."))</f>
        <v>0</v>
      </c>
      <c r="N2223" s="16">
        <f>IF(NOT(Paths!$C$208=1),0,IF(Paths!$P$208="Complete",SUM(G2223:I2223)-J2223-K2223-L2223+M2223+IF(C2223=0,Paths!$F$208,0)+IF(IF(Paths!$E$208=0,C2223=0,AND(C2223&gt;0,Paths!$E$208&gt;(C2223-1)*12,Paths!$E$208&lt;=C2223*12)),VLOOKUP(A2223,'Fleet register'!$A$7:$S$106,16,FALSE),0),"n.a."))</f>
        <v>0</v>
      </c>
      <c r="O2223" s="16">
        <f>IF(NOT(Paths!$C$208=1),0,IF(Paths!$P$208="Complete",N2223-IF(C2223=0,Paths!$F$208,0),"n.a."))</f>
        <v>0</v>
      </c>
      <c r="P2223" s="16">
        <f>IF(NOT(Paths!$C$208=1),0,IF(Paths!$P$208="Complete",O2223+L2223,"n.a."))</f>
        <v>0</v>
      </c>
      <c r="Q2223" s="16">
        <f>IF(NOT(Paths!$C$208=1),0,IF(Paths!$P$208="Complete",N2223*(1+'Operating costs'!$B$54)^-C2223,"n.a."))</f>
        <v>0</v>
      </c>
      <c r="R2223" s="16">
        <f>IF(NOT(Paths!$C$208=1),0,IF(Paths!$P$208="Complete",IF(AND(C2223=0,Paths!$E$208=0),I2223-J2223-K2223+VLOOKUP(A2223,'Fleet register'!$A$7:$S$106,15,FALSE)+VLOOKUP(A2223,'Fleet register'!$A$7:$S$106,16,FALSE),0),"n.a."))</f>
        <v>0</v>
      </c>
      <c r="S2223" s="1">
        <f>IF(NOT(Paths!$C$208=1),0,IF(Paths!$P$208="Complete",IF(C2223=0,0,Paths!$S$208*Paths!$R$208),"n.a."))</f>
        <v>0</v>
      </c>
      <c r="T2223" s="1">
        <f>IF(NOT(Paths!$C$208=1),0,IF(Paths!$P$208="Complete",IF(C2223=0,0,VLOOKUP(A2223,'Fleet register'!$A$7:$S$106,9,FALSE)*Paths!$R$208),"n.a."))</f>
        <v>0</v>
      </c>
    </row>
    <row r="2224" spans="1:20" ht="24" customHeight="1">
      <c r="A2224" s="1" t="str">
        <f>Paths!$A$208</f>
        <v>T051</v>
      </c>
      <c r="B2224" s="1">
        <f>Paths!$B$208</f>
        <v>1</v>
      </c>
      <c r="C2224" s="1">
        <v>6</v>
      </c>
      <c r="D2224" s="1">
        <v>208</v>
      </c>
      <c r="E2224" s="1">
        <f>IF(OR(Paths!$C$208=0,C2224=0),0,MAX(0,MIN(C2224*12,Paths!$E$208)-(C2224-1)*12))</f>
        <v>0</v>
      </c>
      <c r="F2224" s="1">
        <f>IF(OR(Paths!$C$208=0,C2224=0),0,12-E2224)</f>
        <v>0</v>
      </c>
      <c r="G2224" s="16">
        <f>IF(NOT(Paths!$C$208=1),0,IF(Paths!$P$208="Complete",E2224/12*(Paths!$J$208*(1+'Operating costs'!$B$51)^MAX(0,C2224-1)+Paths!$K$208*(1+'Operating costs'!$B$53)^MAX(0,C2224-1)),"n.a."))</f>
        <v>0</v>
      </c>
      <c r="H2224" s="16">
        <f>IF(NOT(Paths!$C$208=1),0,IF(Paths!$P$208="Complete",F2224/12*(Paths!$L$208*(1+IF(Paths!$D$208="EV",'Operating costs'!$B$52,'Operating costs'!$B$51))^MAX(0,C2224-1)+Paths!$M$208*(1+'Operating costs'!$B$53)^MAX(0,C2224-1)),"n.a."))</f>
        <v>0</v>
      </c>
      <c r="I2224" s="16">
        <f>IF(NOT(Paths!$C$208=1),0,IF(Paths!$P$208="Complete",IF(IF(Paths!$E$208=0,C2224=0,AND(C2224&gt;0,Paths!$E$208&gt;(C2224-1)*12,Paths!$E$208&lt;=C2224*12)),Paths!$G$208,0),"n.a."))</f>
        <v>0</v>
      </c>
      <c r="J2224" s="16">
        <f>IF(NOT(Paths!$C$208=1),0,IF(Paths!$P$208="Complete",IF(IF(Paths!$E$208=0,C2224=0,AND(C2224&gt;0,Paths!$E$208&gt;(C2224-1)*12,Paths!$E$208&lt;=C2224*12)),Paths!$H$208,0),"n.a."))</f>
        <v>0</v>
      </c>
      <c r="K2224" s="16">
        <f>IF(NOT(Paths!$C$208=1),0,IF(Paths!$P$208="Complete",IF(IF(Paths!$O$208=0,C2224=0,AND(C2224&gt;0,Paths!$O$208&gt;(C2224-1)*12,Paths!$O$208&lt;=C2224*12)),Paths!$N$208,0),"n.a."))</f>
        <v>0</v>
      </c>
      <c r="L2224" s="16">
        <f>IF(NOT(Paths!$C$208=1),0,IF(Paths!$P$208="Complete",IF(C2224=10,Paths!$I$208,0),"n.a."))</f>
        <v>0</v>
      </c>
      <c r="M2224" s="16">
        <f>IF(NOT(Paths!$C$208=1),0,IF(Paths!$P$208="Complete",IF(AND(Paths!$D$208="EV",Paths!$E$208&lt;120,Paths!$E$208+'Operating costs'!$B$65&gt;Paths!$E$208,Paths!$E$208+'Operating costs'!$B$65&lt;=120,IF(Paths!$E$208+'Operating costs'!$B$65=0,C2224=0,AND(C2224&gt;0,Paths!$E$208+'Operating costs'!$B$65&gt;(C2224-1)*12,Paths!$E$208+'Operating costs'!$B$65&lt;=C2224*12))),'Operating costs'!$B$64,0)+IF(AND('Operating costs'!$B$67&gt;0,'Operating costs'!$B$67&lt;=120,OR(Paths!$D$208="ICE",'Operating costs'!$B$67&lt;=Paths!$E$208),IF('Operating costs'!$B$67=0,C2224=0,AND(C2224&gt;0,'Operating costs'!$B$67&gt;(C2224-1)*12,'Operating costs'!$B$67&lt;=C2224*12))),'Operating costs'!$B$66,0),"n.a."))</f>
        <v>0</v>
      </c>
      <c r="N2224" s="16">
        <f>IF(NOT(Paths!$C$208=1),0,IF(Paths!$P$208="Complete",SUM(G2224:I2224)-J2224-K2224-L2224+M2224+IF(C2224=0,Paths!$F$208,0)+IF(IF(Paths!$E$208=0,C2224=0,AND(C2224&gt;0,Paths!$E$208&gt;(C2224-1)*12,Paths!$E$208&lt;=C2224*12)),VLOOKUP(A2224,'Fleet register'!$A$7:$S$106,16,FALSE),0),"n.a."))</f>
        <v>0</v>
      </c>
      <c r="O2224" s="16">
        <f>IF(NOT(Paths!$C$208=1),0,IF(Paths!$P$208="Complete",N2224-IF(C2224=0,Paths!$F$208,0),"n.a."))</f>
        <v>0</v>
      </c>
      <c r="P2224" s="16">
        <f>IF(NOT(Paths!$C$208=1),0,IF(Paths!$P$208="Complete",O2224+L2224,"n.a."))</f>
        <v>0</v>
      </c>
      <c r="Q2224" s="16">
        <f>IF(NOT(Paths!$C$208=1),0,IF(Paths!$P$208="Complete",N2224*(1+'Operating costs'!$B$54)^-C2224,"n.a."))</f>
        <v>0</v>
      </c>
      <c r="R2224" s="16">
        <f>IF(NOT(Paths!$C$208=1),0,IF(Paths!$P$208="Complete",IF(AND(C2224=0,Paths!$E$208=0),I2224-J2224-K2224+VLOOKUP(A2224,'Fleet register'!$A$7:$S$106,15,FALSE)+VLOOKUP(A2224,'Fleet register'!$A$7:$S$106,16,FALSE),0),"n.a."))</f>
        <v>0</v>
      </c>
      <c r="S2224" s="1">
        <f>IF(NOT(Paths!$C$208=1),0,IF(Paths!$P$208="Complete",IF(C2224=0,0,Paths!$S$208*Paths!$R$208),"n.a."))</f>
        <v>0</v>
      </c>
      <c r="T2224" s="1">
        <f>IF(NOT(Paths!$C$208=1),0,IF(Paths!$P$208="Complete",IF(C2224=0,0,VLOOKUP(A2224,'Fleet register'!$A$7:$S$106,9,FALSE)*Paths!$R$208),"n.a."))</f>
        <v>0</v>
      </c>
    </row>
    <row r="2225" spans="1:20" ht="24" customHeight="1">
      <c r="A2225" s="1" t="str">
        <f>Paths!$A$208</f>
        <v>T051</v>
      </c>
      <c r="B2225" s="1">
        <f>Paths!$B$208</f>
        <v>1</v>
      </c>
      <c r="C2225" s="1">
        <v>7</v>
      </c>
      <c r="D2225" s="1">
        <v>208</v>
      </c>
      <c r="E2225" s="1">
        <f>IF(OR(Paths!$C$208=0,C2225=0),0,MAX(0,MIN(C2225*12,Paths!$E$208)-(C2225-1)*12))</f>
        <v>0</v>
      </c>
      <c r="F2225" s="1">
        <f>IF(OR(Paths!$C$208=0,C2225=0),0,12-E2225)</f>
        <v>0</v>
      </c>
      <c r="G2225" s="16">
        <f>IF(NOT(Paths!$C$208=1),0,IF(Paths!$P$208="Complete",E2225/12*(Paths!$J$208*(1+'Operating costs'!$B$51)^MAX(0,C2225-1)+Paths!$K$208*(1+'Operating costs'!$B$53)^MAX(0,C2225-1)),"n.a."))</f>
        <v>0</v>
      </c>
      <c r="H2225" s="16">
        <f>IF(NOT(Paths!$C$208=1),0,IF(Paths!$P$208="Complete",F2225/12*(Paths!$L$208*(1+IF(Paths!$D$208="EV",'Operating costs'!$B$52,'Operating costs'!$B$51))^MAX(0,C2225-1)+Paths!$M$208*(1+'Operating costs'!$B$53)^MAX(0,C2225-1)),"n.a."))</f>
        <v>0</v>
      </c>
      <c r="I2225" s="16">
        <f>IF(NOT(Paths!$C$208=1),0,IF(Paths!$P$208="Complete",IF(IF(Paths!$E$208=0,C2225=0,AND(C2225&gt;0,Paths!$E$208&gt;(C2225-1)*12,Paths!$E$208&lt;=C2225*12)),Paths!$G$208,0),"n.a."))</f>
        <v>0</v>
      </c>
      <c r="J2225" s="16">
        <f>IF(NOT(Paths!$C$208=1),0,IF(Paths!$P$208="Complete",IF(IF(Paths!$E$208=0,C2225=0,AND(C2225&gt;0,Paths!$E$208&gt;(C2225-1)*12,Paths!$E$208&lt;=C2225*12)),Paths!$H$208,0),"n.a."))</f>
        <v>0</v>
      </c>
      <c r="K2225" s="16">
        <f>IF(NOT(Paths!$C$208=1),0,IF(Paths!$P$208="Complete",IF(IF(Paths!$O$208=0,C2225=0,AND(C2225&gt;0,Paths!$O$208&gt;(C2225-1)*12,Paths!$O$208&lt;=C2225*12)),Paths!$N$208,0),"n.a."))</f>
        <v>0</v>
      </c>
      <c r="L2225" s="16">
        <f>IF(NOT(Paths!$C$208=1),0,IF(Paths!$P$208="Complete",IF(C2225=10,Paths!$I$208,0),"n.a."))</f>
        <v>0</v>
      </c>
      <c r="M2225" s="16">
        <f>IF(NOT(Paths!$C$208=1),0,IF(Paths!$P$208="Complete",IF(AND(Paths!$D$208="EV",Paths!$E$208&lt;120,Paths!$E$208+'Operating costs'!$B$65&gt;Paths!$E$208,Paths!$E$208+'Operating costs'!$B$65&lt;=120,IF(Paths!$E$208+'Operating costs'!$B$65=0,C2225=0,AND(C2225&gt;0,Paths!$E$208+'Operating costs'!$B$65&gt;(C2225-1)*12,Paths!$E$208+'Operating costs'!$B$65&lt;=C2225*12))),'Operating costs'!$B$64,0)+IF(AND('Operating costs'!$B$67&gt;0,'Operating costs'!$B$67&lt;=120,OR(Paths!$D$208="ICE",'Operating costs'!$B$67&lt;=Paths!$E$208),IF('Operating costs'!$B$67=0,C2225=0,AND(C2225&gt;0,'Operating costs'!$B$67&gt;(C2225-1)*12,'Operating costs'!$B$67&lt;=C2225*12))),'Operating costs'!$B$66,0),"n.a."))</f>
        <v>0</v>
      </c>
      <c r="N2225" s="16">
        <f>IF(NOT(Paths!$C$208=1),0,IF(Paths!$P$208="Complete",SUM(G2225:I2225)-J2225-K2225-L2225+M2225+IF(C2225=0,Paths!$F$208,0)+IF(IF(Paths!$E$208=0,C2225=0,AND(C2225&gt;0,Paths!$E$208&gt;(C2225-1)*12,Paths!$E$208&lt;=C2225*12)),VLOOKUP(A2225,'Fleet register'!$A$7:$S$106,16,FALSE),0),"n.a."))</f>
        <v>0</v>
      </c>
      <c r="O2225" s="16">
        <f>IF(NOT(Paths!$C$208=1),0,IF(Paths!$P$208="Complete",N2225-IF(C2225=0,Paths!$F$208,0),"n.a."))</f>
        <v>0</v>
      </c>
      <c r="P2225" s="16">
        <f>IF(NOT(Paths!$C$208=1),0,IF(Paths!$P$208="Complete",O2225+L2225,"n.a."))</f>
        <v>0</v>
      </c>
      <c r="Q2225" s="16">
        <f>IF(NOT(Paths!$C$208=1),0,IF(Paths!$P$208="Complete",N2225*(1+'Operating costs'!$B$54)^-C2225,"n.a."))</f>
        <v>0</v>
      </c>
      <c r="R2225" s="16">
        <f>IF(NOT(Paths!$C$208=1),0,IF(Paths!$P$208="Complete",IF(AND(C2225=0,Paths!$E$208=0),I2225-J2225-K2225+VLOOKUP(A2225,'Fleet register'!$A$7:$S$106,15,FALSE)+VLOOKUP(A2225,'Fleet register'!$A$7:$S$106,16,FALSE),0),"n.a."))</f>
        <v>0</v>
      </c>
      <c r="S2225" s="1">
        <f>IF(NOT(Paths!$C$208=1),0,IF(Paths!$P$208="Complete",IF(C2225=0,0,Paths!$S$208*Paths!$R$208),"n.a."))</f>
        <v>0</v>
      </c>
      <c r="T2225" s="1">
        <f>IF(NOT(Paths!$C$208=1),0,IF(Paths!$P$208="Complete",IF(C2225=0,0,VLOOKUP(A2225,'Fleet register'!$A$7:$S$106,9,FALSE)*Paths!$R$208),"n.a."))</f>
        <v>0</v>
      </c>
    </row>
    <row r="2226" spans="1:20" ht="24" customHeight="1">
      <c r="A2226" s="1" t="str">
        <f>Paths!$A$208</f>
        <v>T051</v>
      </c>
      <c r="B2226" s="1">
        <f>Paths!$B$208</f>
        <v>1</v>
      </c>
      <c r="C2226" s="1">
        <v>8</v>
      </c>
      <c r="D2226" s="1">
        <v>208</v>
      </c>
      <c r="E2226" s="1">
        <f>IF(OR(Paths!$C$208=0,C2226=0),0,MAX(0,MIN(C2226*12,Paths!$E$208)-(C2226-1)*12))</f>
        <v>0</v>
      </c>
      <c r="F2226" s="1">
        <f>IF(OR(Paths!$C$208=0,C2226=0),0,12-E2226)</f>
        <v>0</v>
      </c>
      <c r="G2226" s="16">
        <f>IF(NOT(Paths!$C$208=1),0,IF(Paths!$P$208="Complete",E2226/12*(Paths!$J$208*(1+'Operating costs'!$B$51)^MAX(0,C2226-1)+Paths!$K$208*(1+'Operating costs'!$B$53)^MAX(0,C2226-1)),"n.a."))</f>
        <v>0</v>
      </c>
      <c r="H2226" s="16">
        <f>IF(NOT(Paths!$C$208=1),0,IF(Paths!$P$208="Complete",F2226/12*(Paths!$L$208*(1+IF(Paths!$D$208="EV",'Operating costs'!$B$52,'Operating costs'!$B$51))^MAX(0,C2226-1)+Paths!$M$208*(1+'Operating costs'!$B$53)^MAX(0,C2226-1)),"n.a."))</f>
        <v>0</v>
      </c>
      <c r="I2226" s="16">
        <f>IF(NOT(Paths!$C$208=1),0,IF(Paths!$P$208="Complete",IF(IF(Paths!$E$208=0,C2226=0,AND(C2226&gt;0,Paths!$E$208&gt;(C2226-1)*12,Paths!$E$208&lt;=C2226*12)),Paths!$G$208,0),"n.a."))</f>
        <v>0</v>
      </c>
      <c r="J2226" s="16">
        <f>IF(NOT(Paths!$C$208=1),0,IF(Paths!$P$208="Complete",IF(IF(Paths!$E$208=0,C2226=0,AND(C2226&gt;0,Paths!$E$208&gt;(C2226-1)*12,Paths!$E$208&lt;=C2226*12)),Paths!$H$208,0),"n.a."))</f>
        <v>0</v>
      </c>
      <c r="K2226" s="16">
        <f>IF(NOT(Paths!$C$208=1),0,IF(Paths!$P$208="Complete",IF(IF(Paths!$O$208=0,C2226=0,AND(C2226&gt;0,Paths!$O$208&gt;(C2226-1)*12,Paths!$O$208&lt;=C2226*12)),Paths!$N$208,0),"n.a."))</f>
        <v>0</v>
      </c>
      <c r="L2226" s="16">
        <f>IF(NOT(Paths!$C$208=1),0,IF(Paths!$P$208="Complete",IF(C2226=10,Paths!$I$208,0),"n.a."))</f>
        <v>0</v>
      </c>
      <c r="M2226" s="16">
        <f>IF(NOT(Paths!$C$208=1),0,IF(Paths!$P$208="Complete",IF(AND(Paths!$D$208="EV",Paths!$E$208&lt;120,Paths!$E$208+'Operating costs'!$B$65&gt;Paths!$E$208,Paths!$E$208+'Operating costs'!$B$65&lt;=120,IF(Paths!$E$208+'Operating costs'!$B$65=0,C2226=0,AND(C2226&gt;0,Paths!$E$208+'Operating costs'!$B$65&gt;(C2226-1)*12,Paths!$E$208+'Operating costs'!$B$65&lt;=C2226*12))),'Operating costs'!$B$64,0)+IF(AND('Operating costs'!$B$67&gt;0,'Operating costs'!$B$67&lt;=120,OR(Paths!$D$208="ICE",'Operating costs'!$B$67&lt;=Paths!$E$208),IF('Operating costs'!$B$67=0,C2226=0,AND(C2226&gt;0,'Operating costs'!$B$67&gt;(C2226-1)*12,'Operating costs'!$B$67&lt;=C2226*12))),'Operating costs'!$B$66,0),"n.a."))</f>
        <v>0</v>
      </c>
      <c r="N2226" s="16">
        <f>IF(NOT(Paths!$C$208=1),0,IF(Paths!$P$208="Complete",SUM(G2226:I2226)-J2226-K2226-L2226+M2226+IF(C2226=0,Paths!$F$208,0)+IF(IF(Paths!$E$208=0,C2226=0,AND(C2226&gt;0,Paths!$E$208&gt;(C2226-1)*12,Paths!$E$208&lt;=C2226*12)),VLOOKUP(A2226,'Fleet register'!$A$7:$S$106,16,FALSE),0),"n.a."))</f>
        <v>0</v>
      </c>
      <c r="O2226" s="16">
        <f>IF(NOT(Paths!$C$208=1),0,IF(Paths!$P$208="Complete",N2226-IF(C2226=0,Paths!$F$208,0),"n.a."))</f>
        <v>0</v>
      </c>
      <c r="P2226" s="16">
        <f>IF(NOT(Paths!$C$208=1),0,IF(Paths!$P$208="Complete",O2226+L2226,"n.a."))</f>
        <v>0</v>
      </c>
      <c r="Q2226" s="16">
        <f>IF(NOT(Paths!$C$208=1),0,IF(Paths!$P$208="Complete",N2226*(1+'Operating costs'!$B$54)^-C2226,"n.a."))</f>
        <v>0</v>
      </c>
      <c r="R2226" s="16">
        <f>IF(NOT(Paths!$C$208=1),0,IF(Paths!$P$208="Complete",IF(AND(C2226=0,Paths!$E$208=0),I2226-J2226-K2226+VLOOKUP(A2226,'Fleet register'!$A$7:$S$106,15,FALSE)+VLOOKUP(A2226,'Fleet register'!$A$7:$S$106,16,FALSE),0),"n.a."))</f>
        <v>0</v>
      </c>
      <c r="S2226" s="1">
        <f>IF(NOT(Paths!$C$208=1),0,IF(Paths!$P$208="Complete",IF(C2226=0,0,Paths!$S$208*Paths!$R$208),"n.a."))</f>
        <v>0</v>
      </c>
      <c r="T2226" s="1">
        <f>IF(NOT(Paths!$C$208=1),0,IF(Paths!$P$208="Complete",IF(C2226=0,0,VLOOKUP(A2226,'Fleet register'!$A$7:$S$106,9,FALSE)*Paths!$R$208),"n.a."))</f>
        <v>0</v>
      </c>
    </row>
    <row r="2227" spans="1:20" ht="24" customHeight="1">
      <c r="A2227" s="1" t="str">
        <f>Paths!$A$208</f>
        <v>T051</v>
      </c>
      <c r="B2227" s="1">
        <f>Paths!$B$208</f>
        <v>1</v>
      </c>
      <c r="C2227" s="1">
        <v>9</v>
      </c>
      <c r="D2227" s="1">
        <v>208</v>
      </c>
      <c r="E2227" s="1">
        <f>IF(OR(Paths!$C$208=0,C2227=0),0,MAX(0,MIN(C2227*12,Paths!$E$208)-(C2227-1)*12))</f>
        <v>0</v>
      </c>
      <c r="F2227" s="1">
        <f>IF(OR(Paths!$C$208=0,C2227=0),0,12-E2227)</f>
        <v>0</v>
      </c>
      <c r="G2227" s="16">
        <f>IF(NOT(Paths!$C$208=1),0,IF(Paths!$P$208="Complete",E2227/12*(Paths!$J$208*(1+'Operating costs'!$B$51)^MAX(0,C2227-1)+Paths!$K$208*(1+'Operating costs'!$B$53)^MAX(0,C2227-1)),"n.a."))</f>
        <v>0</v>
      </c>
      <c r="H2227" s="16">
        <f>IF(NOT(Paths!$C$208=1),0,IF(Paths!$P$208="Complete",F2227/12*(Paths!$L$208*(1+IF(Paths!$D$208="EV",'Operating costs'!$B$52,'Operating costs'!$B$51))^MAX(0,C2227-1)+Paths!$M$208*(1+'Operating costs'!$B$53)^MAX(0,C2227-1)),"n.a."))</f>
        <v>0</v>
      </c>
      <c r="I2227" s="16">
        <f>IF(NOT(Paths!$C$208=1),0,IF(Paths!$P$208="Complete",IF(IF(Paths!$E$208=0,C2227=0,AND(C2227&gt;0,Paths!$E$208&gt;(C2227-1)*12,Paths!$E$208&lt;=C2227*12)),Paths!$G$208,0),"n.a."))</f>
        <v>0</v>
      </c>
      <c r="J2227" s="16">
        <f>IF(NOT(Paths!$C$208=1),0,IF(Paths!$P$208="Complete",IF(IF(Paths!$E$208=0,C2227=0,AND(C2227&gt;0,Paths!$E$208&gt;(C2227-1)*12,Paths!$E$208&lt;=C2227*12)),Paths!$H$208,0),"n.a."))</f>
        <v>0</v>
      </c>
      <c r="K2227" s="16">
        <f>IF(NOT(Paths!$C$208=1),0,IF(Paths!$P$208="Complete",IF(IF(Paths!$O$208=0,C2227=0,AND(C2227&gt;0,Paths!$O$208&gt;(C2227-1)*12,Paths!$O$208&lt;=C2227*12)),Paths!$N$208,0),"n.a."))</f>
        <v>0</v>
      </c>
      <c r="L2227" s="16">
        <f>IF(NOT(Paths!$C$208=1),0,IF(Paths!$P$208="Complete",IF(C2227=10,Paths!$I$208,0),"n.a."))</f>
        <v>0</v>
      </c>
      <c r="M2227" s="16">
        <f>IF(NOT(Paths!$C$208=1),0,IF(Paths!$P$208="Complete",IF(AND(Paths!$D$208="EV",Paths!$E$208&lt;120,Paths!$E$208+'Operating costs'!$B$65&gt;Paths!$E$208,Paths!$E$208+'Operating costs'!$B$65&lt;=120,IF(Paths!$E$208+'Operating costs'!$B$65=0,C2227=0,AND(C2227&gt;0,Paths!$E$208+'Operating costs'!$B$65&gt;(C2227-1)*12,Paths!$E$208+'Operating costs'!$B$65&lt;=C2227*12))),'Operating costs'!$B$64,0)+IF(AND('Operating costs'!$B$67&gt;0,'Operating costs'!$B$67&lt;=120,OR(Paths!$D$208="ICE",'Operating costs'!$B$67&lt;=Paths!$E$208),IF('Operating costs'!$B$67=0,C2227=0,AND(C2227&gt;0,'Operating costs'!$B$67&gt;(C2227-1)*12,'Operating costs'!$B$67&lt;=C2227*12))),'Operating costs'!$B$66,0),"n.a."))</f>
        <v>0</v>
      </c>
      <c r="N2227" s="16">
        <f>IF(NOT(Paths!$C$208=1),0,IF(Paths!$P$208="Complete",SUM(G2227:I2227)-J2227-K2227-L2227+M2227+IF(C2227=0,Paths!$F$208,0)+IF(IF(Paths!$E$208=0,C2227=0,AND(C2227&gt;0,Paths!$E$208&gt;(C2227-1)*12,Paths!$E$208&lt;=C2227*12)),VLOOKUP(A2227,'Fleet register'!$A$7:$S$106,16,FALSE),0),"n.a."))</f>
        <v>0</v>
      </c>
      <c r="O2227" s="16">
        <f>IF(NOT(Paths!$C$208=1),0,IF(Paths!$P$208="Complete",N2227-IF(C2227=0,Paths!$F$208,0),"n.a."))</f>
        <v>0</v>
      </c>
      <c r="P2227" s="16">
        <f>IF(NOT(Paths!$C$208=1),0,IF(Paths!$P$208="Complete",O2227+L2227,"n.a."))</f>
        <v>0</v>
      </c>
      <c r="Q2227" s="16">
        <f>IF(NOT(Paths!$C$208=1),0,IF(Paths!$P$208="Complete",N2227*(1+'Operating costs'!$B$54)^-C2227,"n.a."))</f>
        <v>0</v>
      </c>
      <c r="R2227" s="16">
        <f>IF(NOT(Paths!$C$208=1),0,IF(Paths!$P$208="Complete",IF(AND(C2227=0,Paths!$E$208=0),I2227-J2227-K2227+VLOOKUP(A2227,'Fleet register'!$A$7:$S$106,15,FALSE)+VLOOKUP(A2227,'Fleet register'!$A$7:$S$106,16,FALSE),0),"n.a."))</f>
        <v>0</v>
      </c>
      <c r="S2227" s="1">
        <f>IF(NOT(Paths!$C$208=1),0,IF(Paths!$P$208="Complete",IF(C2227=0,0,Paths!$S$208*Paths!$R$208),"n.a."))</f>
        <v>0</v>
      </c>
      <c r="T2227" s="1">
        <f>IF(NOT(Paths!$C$208=1),0,IF(Paths!$P$208="Complete",IF(C2227=0,0,VLOOKUP(A2227,'Fleet register'!$A$7:$S$106,9,FALSE)*Paths!$R$208),"n.a."))</f>
        <v>0</v>
      </c>
    </row>
    <row r="2228" spans="1:20" ht="24" customHeight="1">
      <c r="A2228" s="1" t="str">
        <f>Paths!$A$208</f>
        <v>T051</v>
      </c>
      <c r="B2228" s="1">
        <f>Paths!$B$208</f>
        <v>1</v>
      </c>
      <c r="C2228" s="1">
        <v>10</v>
      </c>
      <c r="D2228" s="1">
        <v>208</v>
      </c>
      <c r="E2228" s="1">
        <f>IF(OR(Paths!$C$208=0,C2228=0),0,MAX(0,MIN(C2228*12,Paths!$E$208)-(C2228-1)*12))</f>
        <v>0</v>
      </c>
      <c r="F2228" s="1">
        <f>IF(OR(Paths!$C$208=0,C2228=0),0,12-E2228)</f>
        <v>0</v>
      </c>
      <c r="G2228" s="16">
        <f>IF(NOT(Paths!$C$208=1),0,IF(Paths!$P$208="Complete",E2228/12*(Paths!$J$208*(1+'Operating costs'!$B$51)^MAX(0,C2228-1)+Paths!$K$208*(1+'Operating costs'!$B$53)^MAX(0,C2228-1)),"n.a."))</f>
        <v>0</v>
      </c>
      <c r="H2228" s="16">
        <f>IF(NOT(Paths!$C$208=1),0,IF(Paths!$P$208="Complete",F2228/12*(Paths!$L$208*(1+IF(Paths!$D$208="EV",'Operating costs'!$B$52,'Operating costs'!$B$51))^MAX(0,C2228-1)+Paths!$M$208*(1+'Operating costs'!$B$53)^MAX(0,C2228-1)),"n.a."))</f>
        <v>0</v>
      </c>
      <c r="I2228" s="16">
        <f>IF(NOT(Paths!$C$208=1),0,IF(Paths!$P$208="Complete",IF(IF(Paths!$E$208=0,C2228=0,AND(C2228&gt;0,Paths!$E$208&gt;(C2228-1)*12,Paths!$E$208&lt;=C2228*12)),Paths!$G$208,0),"n.a."))</f>
        <v>0</v>
      </c>
      <c r="J2228" s="16">
        <f>IF(NOT(Paths!$C$208=1),0,IF(Paths!$P$208="Complete",IF(IF(Paths!$E$208=0,C2228=0,AND(C2228&gt;0,Paths!$E$208&gt;(C2228-1)*12,Paths!$E$208&lt;=C2228*12)),Paths!$H$208,0),"n.a."))</f>
        <v>0</v>
      </c>
      <c r="K2228" s="16">
        <f>IF(NOT(Paths!$C$208=1),0,IF(Paths!$P$208="Complete",IF(IF(Paths!$O$208=0,C2228=0,AND(C2228&gt;0,Paths!$O$208&gt;(C2228-1)*12,Paths!$O$208&lt;=C2228*12)),Paths!$N$208,0),"n.a."))</f>
        <v>0</v>
      </c>
      <c r="L2228" s="16">
        <f>IF(NOT(Paths!$C$208=1),0,IF(Paths!$P$208="Complete",IF(C2228=10,Paths!$I$208,0),"n.a."))</f>
        <v>0</v>
      </c>
      <c r="M2228" s="16">
        <f>IF(NOT(Paths!$C$208=1),0,IF(Paths!$P$208="Complete",IF(AND(Paths!$D$208="EV",Paths!$E$208&lt;120,Paths!$E$208+'Operating costs'!$B$65&gt;Paths!$E$208,Paths!$E$208+'Operating costs'!$B$65&lt;=120,IF(Paths!$E$208+'Operating costs'!$B$65=0,C2228=0,AND(C2228&gt;0,Paths!$E$208+'Operating costs'!$B$65&gt;(C2228-1)*12,Paths!$E$208+'Operating costs'!$B$65&lt;=C2228*12))),'Operating costs'!$B$64,0)+IF(AND('Operating costs'!$B$67&gt;0,'Operating costs'!$B$67&lt;=120,OR(Paths!$D$208="ICE",'Operating costs'!$B$67&lt;=Paths!$E$208),IF('Operating costs'!$B$67=0,C2228=0,AND(C2228&gt;0,'Operating costs'!$B$67&gt;(C2228-1)*12,'Operating costs'!$B$67&lt;=C2228*12))),'Operating costs'!$B$66,0),"n.a."))</f>
        <v>0</v>
      </c>
      <c r="N2228" s="16">
        <f>IF(NOT(Paths!$C$208=1),0,IF(Paths!$P$208="Complete",SUM(G2228:I2228)-J2228-K2228-L2228+M2228+IF(C2228=0,Paths!$F$208,0)+IF(IF(Paths!$E$208=0,C2228=0,AND(C2228&gt;0,Paths!$E$208&gt;(C2228-1)*12,Paths!$E$208&lt;=C2228*12)),VLOOKUP(A2228,'Fleet register'!$A$7:$S$106,16,FALSE),0),"n.a."))</f>
        <v>0</v>
      </c>
      <c r="O2228" s="16">
        <f>IF(NOT(Paths!$C$208=1),0,IF(Paths!$P$208="Complete",N2228-IF(C2228=0,Paths!$F$208,0),"n.a."))</f>
        <v>0</v>
      </c>
      <c r="P2228" s="16">
        <f>IF(NOT(Paths!$C$208=1),0,IF(Paths!$P$208="Complete",O2228+L2228,"n.a."))</f>
        <v>0</v>
      </c>
      <c r="Q2228" s="16">
        <f>IF(NOT(Paths!$C$208=1),0,IF(Paths!$P$208="Complete",N2228*(1+'Operating costs'!$B$54)^-C2228,"n.a."))</f>
        <v>0</v>
      </c>
      <c r="R2228" s="16">
        <f>IF(NOT(Paths!$C$208=1),0,IF(Paths!$P$208="Complete",IF(AND(C2228=0,Paths!$E$208=0),I2228-J2228-K2228+VLOOKUP(A2228,'Fleet register'!$A$7:$S$106,15,FALSE)+VLOOKUP(A2228,'Fleet register'!$A$7:$S$106,16,FALSE),0),"n.a."))</f>
        <v>0</v>
      </c>
      <c r="S2228" s="1">
        <f>IF(NOT(Paths!$C$208=1),0,IF(Paths!$P$208="Complete",IF(C2228=0,0,Paths!$S$208*Paths!$R$208),"n.a."))</f>
        <v>0</v>
      </c>
      <c r="T2228" s="1">
        <f>IF(NOT(Paths!$C$208=1),0,IF(Paths!$P$208="Complete",IF(C2228=0,0,VLOOKUP(A2228,'Fleet register'!$A$7:$S$106,9,FALSE)*Paths!$R$208),"n.a."))</f>
        <v>0</v>
      </c>
    </row>
    <row r="2229" spans="1:20" ht="24" customHeight="1">
      <c r="A2229" s="1" t="str">
        <f>Paths!$A$209</f>
        <v>T051</v>
      </c>
      <c r="B2229" s="1">
        <f>Paths!$B$209</f>
        <v>2</v>
      </c>
      <c r="C2229" s="1">
        <v>0</v>
      </c>
      <c r="D2229" s="1">
        <v>209</v>
      </c>
      <c r="E2229" s="1">
        <f>IF(OR(Paths!$C$209=0,C2229=0),0,MAX(0,MIN(C2229*12,Paths!$E$209)-(C2229-1)*12))</f>
        <v>0</v>
      </c>
      <c r="F2229" s="1">
        <f>IF(OR(Paths!$C$209=0,C2229=0),0,12-E2229)</f>
        <v>0</v>
      </c>
      <c r="G2229" s="16">
        <f>IF(NOT(Paths!$C$209=1),0,IF(Paths!$P$209="Complete",E2229/12*(Paths!$J$209*(1+'Operating costs'!$B$51)^MAX(0,C2229-1)+Paths!$K$209*(1+'Operating costs'!$B$53)^MAX(0,C2229-1)),"n.a."))</f>
        <v>0</v>
      </c>
      <c r="H2229" s="16">
        <f>IF(NOT(Paths!$C$209=1),0,IF(Paths!$P$209="Complete",F2229/12*(Paths!$L$209*(1+IF(Paths!$D$209="EV",'Operating costs'!$B$52,'Operating costs'!$B$51))^MAX(0,C2229-1)+Paths!$M$209*(1+'Operating costs'!$B$53)^MAX(0,C2229-1)),"n.a."))</f>
        <v>0</v>
      </c>
      <c r="I2229" s="16">
        <f>IF(NOT(Paths!$C$209=1),0,IF(Paths!$P$209="Complete",IF(IF(Paths!$E$209=0,C2229=0,AND(C2229&gt;0,Paths!$E$209&gt;(C2229-1)*12,Paths!$E$209&lt;=C2229*12)),Paths!$G$209,0),"n.a."))</f>
        <v>0</v>
      </c>
      <c r="J2229" s="16">
        <f>IF(NOT(Paths!$C$209=1),0,IF(Paths!$P$209="Complete",IF(IF(Paths!$E$209=0,C2229=0,AND(C2229&gt;0,Paths!$E$209&gt;(C2229-1)*12,Paths!$E$209&lt;=C2229*12)),Paths!$H$209,0),"n.a."))</f>
        <v>0</v>
      </c>
      <c r="K2229" s="16">
        <f>IF(NOT(Paths!$C$209=1),0,IF(Paths!$P$209="Complete",IF(IF(Paths!$O$209=0,C2229=0,AND(C2229&gt;0,Paths!$O$209&gt;(C2229-1)*12,Paths!$O$209&lt;=C2229*12)),Paths!$N$209,0),"n.a."))</f>
        <v>0</v>
      </c>
      <c r="L2229" s="16">
        <f>IF(NOT(Paths!$C$209=1),0,IF(Paths!$P$209="Complete",IF(C2229=10,Paths!$I$209,0),"n.a."))</f>
        <v>0</v>
      </c>
      <c r="M2229" s="16">
        <f>IF(NOT(Paths!$C$209=1),0,IF(Paths!$P$209="Complete",IF(AND(Paths!$D$209="EV",Paths!$E$209&lt;120,Paths!$E$209+'Operating costs'!$B$65&gt;Paths!$E$209,Paths!$E$209+'Operating costs'!$B$65&lt;=120,IF(Paths!$E$209+'Operating costs'!$B$65=0,C2229=0,AND(C2229&gt;0,Paths!$E$209+'Operating costs'!$B$65&gt;(C2229-1)*12,Paths!$E$209+'Operating costs'!$B$65&lt;=C2229*12))),'Operating costs'!$B$64,0)+IF(AND('Operating costs'!$B$67&gt;0,'Operating costs'!$B$67&lt;=120,OR(Paths!$D$209="ICE",'Operating costs'!$B$67&lt;=Paths!$E$209),IF('Operating costs'!$B$67=0,C2229=0,AND(C2229&gt;0,'Operating costs'!$B$67&gt;(C2229-1)*12,'Operating costs'!$B$67&lt;=C2229*12))),'Operating costs'!$B$66,0),"n.a."))</f>
        <v>0</v>
      </c>
      <c r="N2229" s="16">
        <f>IF(NOT(Paths!$C$209=1),0,IF(Paths!$P$209="Complete",SUM(G2229:I2229)-J2229-K2229-L2229+M2229+IF(C2229=0,Paths!$F$209,0)+IF(IF(Paths!$E$209=0,C2229=0,AND(C2229&gt;0,Paths!$E$209&gt;(C2229-1)*12,Paths!$E$209&lt;=C2229*12)),VLOOKUP(A2229,'Fleet register'!$A$7:$S$106,16,FALSE),0),"n.a."))</f>
        <v>0</v>
      </c>
      <c r="O2229" s="16">
        <f>IF(NOT(Paths!$C$209=1),0,IF(Paths!$P$209="Complete",N2229-IF(C2229=0,Paths!$F$209,0),"n.a."))</f>
        <v>0</v>
      </c>
      <c r="P2229" s="16">
        <f>IF(NOT(Paths!$C$209=1),0,IF(Paths!$P$209="Complete",O2229+L2229,"n.a."))</f>
        <v>0</v>
      </c>
      <c r="Q2229" s="16">
        <f>IF(NOT(Paths!$C$209=1),0,IF(Paths!$P$209="Complete",N2229*(1+'Operating costs'!$B$54)^-C2229,"n.a."))</f>
        <v>0</v>
      </c>
      <c r="R2229" s="16">
        <f>IF(NOT(Paths!$C$209=1),0,IF(Paths!$P$209="Complete",IF(AND(C2229=0,Paths!$E$209=0),I2229-J2229-K2229+VLOOKUP(A2229,'Fleet register'!$A$7:$S$106,15,FALSE)+VLOOKUP(A2229,'Fleet register'!$A$7:$S$106,16,FALSE),0),"n.a."))</f>
        <v>0</v>
      </c>
      <c r="S2229" s="1">
        <f>IF(NOT(Paths!$C$209=1),0,IF(Paths!$P$209="Complete",IF(C2229=0,0,Paths!$S$209*Paths!$R$209),"n.a."))</f>
        <v>0</v>
      </c>
      <c r="T2229" s="1">
        <f>IF(NOT(Paths!$C$209=1),0,IF(Paths!$P$209="Complete",IF(C2229=0,0,VLOOKUP(A2229,'Fleet register'!$A$7:$S$106,9,FALSE)*Paths!$R$209),"n.a."))</f>
        <v>0</v>
      </c>
    </row>
    <row r="2230" spans="1:20" ht="24" customHeight="1">
      <c r="A2230" s="1" t="str">
        <f>Paths!$A$209</f>
        <v>T051</v>
      </c>
      <c r="B2230" s="1">
        <f>Paths!$B$209</f>
        <v>2</v>
      </c>
      <c r="C2230" s="1">
        <v>1</v>
      </c>
      <c r="D2230" s="1">
        <v>209</v>
      </c>
      <c r="E2230" s="1">
        <f>IF(OR(Paths!$C$209=0,C2230=0),0,MAX(0,MIN(C2230*12,Paths!$E$209)-(C2230-1)*12))</f>
        <v>0</v>
      </c>
      <c r="F2230" s="1">
        <f>IF(OR(Paths!$C$209=0,C2230=0),0,12-E2230)</f>
        <v>0</v>
      </c>
      <c r="G2230" s="16">
        <f>IF(NOT(Paths!$C$209=1),0,IF(Paths!$P$209="Complete",E2230/12*(Paths!$J$209*(1+'Operating costs'!$B$51)^MAX(0,C2230-1)+Paths!$K$209*(1+'Operating costs'!$B$53)^MAX(0,C2230-1)),"n.a."))</f>
        <v>0</v>
      </c>
      <c r="H2230" s="16">
        <f>IF(NOT(Paths!$C$209=1),0,IF(Paths!$P$209="Complete",F2230/12*(Paths!$L$209*(1+IF(Paths!$D$209="EV",'Operating costs'!$B$52,'Operating costs'!$B$51))^MAX(0,C2230-1)+Paths!$M$209*(1+'Operating costs'!$B$53)^MAX(0,C2230-1)),"n.a."))</f>
        <v>0</v>
      </c>
      <c r="I2230" s="16">
        <f>IF(NOT(Paths!$C$209=1),0,IF(Paths!$P$209="Complete",IF(IF(Paths!$E$209=0,C2230=0,AND(C2230&gt;0,Paths!$E$209&gt;(C2230-1)*12,Paths!$E$209&lt;=C2230*12)),Paths!$G$209,0),"n.a."))</f>
        <v>0</v>
      </c>
      <c r="J2230" s="16">
        <f>IF(NOT(Paths!$C$209=1),0,IF(Paths!$P$209="Complete",IF(IF(Paths!$E$209=0,C2230=0,AND(C2230&gt;0,Paths!$E$209&gt;(C2230-1)*12,Paths!$E$209&lt;=C2230*12)),Paths!$H$209,0),"n.a."))</f>
        <v>0</v>
      </c>
      <c r="K2230" s="16">
        <f>IF(NOT(Paths!$C$209=1),0,IF(Paths!$P$209="Complete",IF(IF(Paths!$O$209=0,C2230=0,AND(C2230&gt;0,Paths!$O$209&gt;(C2230-1)*12,Paths!$O$209&lt;=C2230*12)),Paths!$N$209,0),"n.a."))</f>
        <v>0</v>
      </c>
      <c r="L2230" s="16">
        <f>IF(NOT(Paths!$C$209=1),0,IF(Paths!$P$209="Complete",IF(C2230=10,Paths!$I$209,0),"n.a."))</f>
        <v>0</v>
      </c>
      <c r="M2230" s="16">
        <f>IF(NOT(Paths!$C$209=1),0,IF(Paths!$P$209="Complete",IF(AND(Paths!$D$209="EV",Paths!$E$209&lt;120,Paths!$E$209+'Operating costs'!$B$65&gt;Paths!$E$209,Paths!$E$209+'Operating costs'!$B$65&lt;=120,IF(Paths!$E$209+'Operating costs'!$B$65=0,C2230=0,AND(C2230&gt;0,Paths!$E$209+'Operating costs'!$B$65&gt;(C2230-1)*12,Paths!$E$209+'Operating costs'!$B$65&lt;=C2230*12))),'Operating costs'!$B$64,0)+IF(AND('Operating costs'!$B$67&gt;0,'Operating costs'!$B$67&lt;=120,OR(Paths!$D$209="ICE",'Operating costs'!$B$67&lt;=Paths!$E$209),IF('Operating costs'!$B$67=0,C2230=0,AND(C2230&gt;0,'Operating costs'!$B$67&gt;(C2230-1)*12,'Operating costs'!$B$67&lt;=C2230*12))),'Operating costs'!$B$66,0),"n.a."))</f>
        <v>0</v>
      </c>
      <c r="N2230" s="16">
        <f>IF(NOT(Paths!$C$209=1),0,IF(Paths!$P$209="Complete",SUM(G2230:I2230)-J2230-K2230-L2230+M2230+IF(C2230=0,Paths!$F$209,0)+IF(IF(Paths!$E$209=0,C2230=0,AND(C2230&gt;0,Paths!$E$209&gt;(C2230-1)*12,Paths!$E$209&lt;=C2230*12)),VLOOKUP(A2230,'Fleet register'!$A$7:$S$106,16,FALSE),0),"n.a."))</f>
        <v>0</v>
      </c>
      <c r="O2230" s="16">
        <f>IF(NOT(Paths!$C$209=1),0,IF(Paths!$P$209="Complete",N2230-IF(C2230=0,Paths!$F$209,0),"n.a."))</f>
        <v>0</v>
      </c>
      <c r="P2230" s="16">
        <f>IF(NOT(Paths!$C$209=1),0,IF(Paths!$P$209="Complete",O2230+L2230,"n.a."))</f>
        <v>0</v>
      </c>
      <c r="Q2230" s="16">
        <f>IF(NOT(Paths!$C$209=1),0,IF(Paths!$P$209="Complete",N2230*(1+'Operating costs'!$B$54)^-C2230,"n.a."))</f>
        <v>0</v>
      </c>
      <c r="R2230" s="16">
        <f>IF(NOT(Paths!$C$209=1),0,IF(Paths!$P$209="Complete",IF(AND(C2230=0,Paths!$E$209=0),I2230-J2230-K2230+VLOOKUP(A2230,'Fleet register'!$A$7:$S$106,15,FALSE)+VLOOKUP(A2230,'Fleet register'!$A$7:$S$106,16,FALSE),0),"n.a."))</f>
        <v>0</v>
      </c>
      <c r="S2230" s="1">
        <f>IF(NOT(Paths!$C$209=1),0,IF(Paths!$P$209="Complete",IF(C2230=0,0,Paths!$S$209*Paths!$R$209),"n.a."))</f>
        <v>0</v>
      </c>
      <c r="T2230" s="1">
        <f>IF(NOT(Paths!$C$209=1),0,IF(Paths!$P$209="Complete",IF(C2230=0,0,VLOOKUP(A2230,'Fleet register'!$A$7:$S$106,9,FALSE)*Paths!$R$209),"n.a."))</f>
        <v>0</v>
      </c>
    </row>
    <row r="2231" spans="1:20" ht="24" customHeight="1">
      <c r="A2231" s="1" t="str">
        <f>Paths!$A$209</f>
        <v>T051</v>
      </c>
      <c r="B2231" s="1">
        <f>Paths!$B$209</f>
        <v>2</v>
      </c>
      <c r="C2231" s="1">
        <v>2</v>
      </c>
      <c r="D2231" s="1">
        <v>209</v>
      </c>
      <c r="E2231" s="1">
        <f>IF(OR(Paths!$C$209=0,C2231=0),0,MAX(0,MIN(C2231*12,Paths!$E$209)-(C2231-1)*12))</f>
        <v>0</v>
      </c>
      <c r="F2231" s="1">
        <f>IF(OR(Paths!$C$209=0,C2231=0),0,12-E2231)</f>
        <v>0</v>
      </c>
      <c r="G2231" s="16">
        <f>IF(NOT(Paths!$C$209=1),0,IF(Paths!$P$209="Complete",E2231/12*(Paths!$J$209*(1+'Operating costs'!$B$51)^MAX(0,C2231-1)+Paths!$K$209*(1+'Operating costs'!$B$53)^MAX(0,C2231-1)),"n.a."))</f>
        <v>0</v>
      </c>
      <c r="H2231" s="16">
        <f>IF(NOT(Paths!$C$209=1),0,IF(Paths!$P$209="Complete",F2231/12*(Paths!$L$209*(1+IF(Paths!$D$209="EV",'Operating costs'!$B$52,'Operating costs'!$B$51))^MAX(0,C2231-1)+Paths!$M$209*(1+'Operating costs'!$B$53)^MAX(0,C2231-1)),"n.a."))</f>
        <v>0</v>
      </c>
      <c r="I2231" s="16">
        <f>IF(NOT(Paths!$C$209=1),0,IF(Paths!$P$209="Complete",IF(IF(Paths!$E$209=0,C2231=0,AND(C2231&gt;0,Paths!$E$209&gt;(C2231-1)*12,Paths!$E$209&lt;=C2231*12)),Paths!$G$209,0),"n.a."))</f>
        <v>0</v>
      </c>
      <c r="J2231" s="16">
        <f>IF(NOT(Paths!$C$209=1),0,IF(Paths!$P$209="Complete",IF(IF(Paths!$E$209=0,C2231=0,AND(C2231&gt;0,Paths!$E$209&gt;(C2231-1)*12,Paths!$E$209&lt;=C2231*12)),Paths!$H$209,0),"n.a."))</f>
        <v>0</v>
      </c>
      <c r="K2231" s="16">
        <f>IF(NOT(Paths!$C$209=1),0,IF(Paths!$P$209="Complete",IF(IF(Paths!$O$209=0,C2231=0,AND(C2231&gt;0,Paths!$O$209&gt;(C2231-1)*12,Paths!$O$209&lt;=C2231*12)),Paths!$N$209,0),"n.a."))</f>
        <v>0</v>
      </c>
      <c r="L2231" s="16">
        <f>IF(NOT(Paths!$C$209=1),0,IF(Paths!$P$209="Complete",IF(C2231=10,Paths!$I$209,0),"n.a."))</f>
        <v>0</v>
      </c>
      <c r="M2231" s="16">
        <f>IF(NOT(Paths!$C$209=1),0,IF(Paths!$P$209="Complete",IF(AND(Paths!$D$209="EV",Paths!$E$209&lt;120,Paths!$E$209+'Operating costs'!$B$65&gt;Paths!$E$209,Paths!$E$209+'Operating costs'!$B$65&lt;=120,IF(Paths!$E$209+'Operating costs'!$B$65=0,C2231=0,AND(C2231&gt;0,Paths!$E$209+'Operating costs'!$B$65&gt;(C2231-1)*12,Paths!$E$209+'Operating costs'!$B$65&lt;=C2231*12))),'Operating costs'!$B$64,0)+IF(AND('Operating costs'!$B$67&gt;0,'Operating costs'!$B$67&lt;=120,OR(Paths!$D$209="ICE",'Operating costs'!$B$67&lt;=Paths!$E$209),IF('Operating costs'!$B$67=0,C2231=0,AND(C2231&gt;0,'Operating costs'!$B$67&gt;(C2231-1)*12,'Operating costs'!$B$67&lt;=C2231*12))),'Operating costs'!$B$66,0),"n.a."))</f>
        <v>0</v>
      </c>
      <c r="N2231" s="16">
        <f>IF(NOT(Paths!$C$209=1),0,IF(Paths!$P$209="Complete",SUM(G2231:I2231)-J2231-K2231-L2231+M2231+IF(C2231=0,Paths!$F$209,0)+IF(IF(Paths!$E$209=0,C2231=0,AND(C2231&gt;0,Paths!$E$209&gt;(C2231-1)*12,Paths!$E$209&lt;=C2231*12)),VLOOKUP(A2231,'Fleet register'!$A$7:$S$106,16,FALSE),0),"n.a."))</f>
        <v>0</v>
      </c>
      <c r="O2231" s="16">
        <f>IF(NOT(Paths!$C$209=1),0,IF(Paths!$P$209="Complete",N2231-IF(C2231=0,Paths!$F$209,0),"n.a."))</f>
        <v>0</v>
      </c>
      <c r="P2231" s="16">
        <f>IF(NOT(Paths!$C$209=1),0,IF(Paths!$P$209="Complete",O2231+L2231,"n.a."))</f>
        <v>0</v>
      </c>
      <c r="Q2231" s="16">
        <f>IF(NOT(Paths!$C$209=1),0,IF(Paths!$P$209="Complete",N2231*(1+'Operating costs'!$B$54)^-C2231,"n.a."))</f>
        <v>0</v>
      </c>
      <c r="R2231" s="16">
        <f>IF(NOT(Paths!$C$209=1),0,IF(Paths!$P$209="Complete",IF(AND(C2231=0,Paths!$E$209=0),I2231-J2231-K2231+VLOOKUP(A2231,'Fleet register'!$A$7:$S$106,15,FALSE)+VLOOKUP(A2231,'Fleet register'!$A$7:$S$106,16,FALSE),0),"n.a."))</f>
        <v>0</v>
      </c>
      <c r="S2231" s="1">
        <f>IF(NOT(Paths!$C$209=1),0,IF(Paths!$P$209="Complete",IF(C2231=0,0,Paths!$S$209*Paths!$R$209),"n.a."))</f>
        <v>0</v>
      </c>
      <c r="T2231" s="1">
        <f>IF(NOT(Paths!$C$209=1),0,IF(Paths!$P$209="Complete",IF(C2231=0,0,VLOOKUP(A2231,'Fleet register'!$A$7:$S$106,9,FALSE)*Paths!$R$209),"n.a."))</f>
        <v>0</v>
      </c>
    </row>
    <row r="2232" spans="1:20" ht="24" customHeight="1">
      <c r="A2232" s="1" t="str">
        <f>Paths!$A$209</f>
        <v>T051</v>
      </c>
      <c r="B2232" s="1">
        <f>Paths!$B$209</f>
        <v>2</v>
      </c>
      <c r="C2232" s="1">
        <v>3</v>
      </c>
      <c r="D2232" s="1">
        <v>209</v>
      </c>
      <c r="E2232" s="1">
        <f>IF(OR(Paths!$C$209=0,C2232=0),0,MAX(0,MIN(C2232*12,Paths!$E$209)-(C2232-1)*12))</f>
        <v>0</v>
      </c>
      <c r="F2232" s="1">
        <f>IF(OR(Paths!$C$209=0,C2232=0),0,12-E2232)</f>
        <v>0</v>
      </c>
      <c r="G2232" s="16">
        <f>IF(NOT(Paths!$C$209=1),0,IF(Paths!$P$209="Complete",E2232/12*(Paths!$J$209*(1+'Operating costs'!$B$51)^MAX(0,C2232-1)+Paths!$K$209*(1+'Operating costs'!$B$53)^MAX(0,C2232-1)),"n.a."))</f>
        <v>0</v>
      </c>
      <c r="H2232" s="16">
        <f>IF(NOT(Paths!$C$209=1),0,IF(Paths!$P$209="Complete",F2232/12*(Paths!$L$209*(1+IF(Paths!$D$209="EV",'Operating costs'!$B$52,'Operating costs'!$B$51))^MAX(0,C2232-1)+Paths!$M$209*(1+'Operating costs'!$B$53)^MAX(0,C2232-1)),"n.a."))</f>
        <v>0</v>
      </c>
      <c r="I2232" s="16">
        <f>IF(NOT(Paths!$C$209=1),0,IF(Paths!$P$209="Complete",IF(IF(Paths!$E$209=0,C2232=0,AND(C2232&gt;0,Paths!$E$209&gt;(C2232-1)*12,Paths!$E$209&lt;=C2232*12)),Paths!$G$209,0),"n.a."))</f>
        <v>0</v>
      </c>
      <c r="J2232" s="16">
        <f>IF(NOT(Paths!$C$209=1),0,IF(Paths!$P$209="Complete",IF(IF(Paths!$E$209=0,C2232=0,AND(C2232&gt;0,Paths!$E$209&gt;(C2232-1)*12,Paths!$E$209&lt;=C2232*12)),Paths!$H$209,0),"n.a."))</f>
        <v>0</v>
      </c>
      <c r="K2232" s="16">
        <f>IF(NOT(Paths!$C$209=1),0,IF(Paths!$P$209="Complete",IF(IF(Paths!$O$209=0,C2232=0,AND(C2232&gt;0,Paths!$O$209&gt;(C2232-1)*12,Paths!$O$209&lt;=C2232*12)),Paths!$N$209,0),"n.a."))</f>
        <v>0</v>
      </c>
      <c r="L2232" s="16">
        <f>IF(NOT(Paths!$C$209=1),0,IF(Paths!$P$209="Complete",IF(C2232=10,Paths!$I$209,0),"n.a."))</f>
        <v>0</v>
      </c>
      <c r="M2232" s="16">
        <f>IF(NOT(Paths!$C$209=1),0,IF(Paths!$P$209="Complete",IF(AND(Paths!$D$209="EV",Paths!$E$209&lt;120,Paths!$E$209+'Operating costs'!$B$65&gt;Paths!$E$209,Paths!$E$209+'Operating costs'!$B$65&lt;=120,IF(Paths!$E$209+'Operating costs'!$B$65=0,C2232=0,AND(C2232&gt;0,Paths!$E$209+'Operating costs'!$B$65&gt;(C2232-1)*12,Paths!$E$209+'Operating costs'!$B$65&lt;=C2232*12))),'Operating costs'!$B$64,0)+IF(AND('Operating costs'!$B$67&gt;0,'Operating costs'!$B$67&lt;=120,OR(Paths!$D$209="ICE",'Operating costs'!$B$67&lt;=Paths!$E$209),IF('Operating costs'!$B$67=0,C2232=0,AND(C2232&gt;0,'Operating costs'!$B$67&gt;(C2232-1)*12,'Operating costs'!$B$67&lt;=C2232*12))),'Operating costs'!$B$66,0),"n.a."))</f>
        <v>0</v>
      </c>
      <c r="N2232" s="16">
        <f>IF(NOT(Paths!$C$209=1),0,IF(Paths!$P$209="Complete",SUM(G2232:I2232)-J2232-K2232-L2232+M2232+IF(C2232=0,Paths!$F$209,0)+IF(IF(Paths!$E$209=0,C2232=0,AND(C2232&gt;0,Paths!$E$209&gt;(C2232-1)*12,Paths!$E$209&lt;=C2232*12)),VLOOKUP(A2232,'Fleet register'!$A$7:$S$106,16,FALSE),0),"n.a."))</f>
        <v>0</v>
      </c>
      <c r="O2232" s="16">
        <f>IF(NOT(Paths!$C$209=1),0,IF(Paths!$P$209="Complete",N2232-IF(C2232=0,Paths!$F$209,0),"n.a."))</f>
        <v>0</v>
      </c>
      <c r="P2232" s="16">
        <f>IF(NOT(Paths!$C$209=1),0,IF(Paths!$P$209="Complete",O2232+L2232,"n.a."))</f>
        <v>0</v>
      </c>
      <c r="Q2232" s="16">
        <f>IF(NOT(Paths!$C$209=1),0,IF(Paths!$P$209="Complete",N2232*(1+'Operating costs'!$B$54)^-C2232,"n.a."))</f>
        <v>0</v>
      </c>
      <c r="R2232" s="16">
        <f>IF(NOT(Paths!$C$209=1),0,IF(Paths!$P$209="Complete",IF(AND(C2232=0,Paths!$E$209=0),I2232-J2232-K2232+VLOOKUP(A2232,'Fleet register'!$A$7:$S$106,15,FALSE)+VLOOKUP(A2232,'Fleet register'!$A$7:$S$106,16,FALSE),0),"n.a."))</f>
        <v>0</v>
      </c>
      <c r="S2232" s="1">
        <f>IF(NOT(Paths!$C$209=1),0,IF(Paths!$P$209="Complete",IF(C2232=0,0,Paths!$S$209*Paths!$R$209),"n.a."))</f>
        <v>0</v>
      </c>
      <c r="T2232" s="1">
        <f>IF(NOT(Paths!$C$209=1),0,IF(Paths!$P$209="Complete",IF(C2232=0,0,VLOOKUP(A2232,'Fleet register'!$A$7:$S$106,9,FALSE)*Paths!$R$209),"n.a."))</f>
        <v>0</v>
      </c>
    </row>
    <row r="2233" spans="1:20" ht="24" customHeight="1">
      <c r="A2233" s="1" t="str">
        <f>Paths!$A$209</f>
        <v>T051</v>
      </c>
      <c r="B2233" s="1">
        <f>Paths!$B$209</f>
        <v>2</v>
      </c>
      <c r="C2233" s="1">
        <v>4</v>
      </c>
      <c r="D2233" s="1">
        <v>209</v>
      </c>
      <c r="E2233" s="1">
        <f>IF(OR(Paths!$C$209=0,C2233=0),0,MAX(0,MIN(C2233*12,Paths!$E$209)-(C2233-1)*12))</f>
        <v>0</v>
      </c>
      <c r="F2233" s="1">
        <f>IF(OR(Paths!$C$209=0,C2233=0),0,12-E2233)</f>
        <v>0</v>
      </c>
      <c r="G2233" s="16">
        <f>IF(NOT(Paths!$C$209=1),0,IF(Paths!$P$209="Complete",E2233/12*(Paths!$J$209*(1+'Operating costs'!$B$51)^MAX(0,C2233-1)+Paths!$K$209*(1+'Operating costs'!$B$53)^MAX(0,C2233-1)),"n.a."))</f>
        <v>0</v>
      </c>
      <c r="H2233" s="16">
        <f>IF(NOT(Paths!$C$209=1),0,IF(Paths!$P$209="Complete",F2233/12*(Paths!$L$209*(1+IF(Paths!$D$209="EV",'Operating costs'!$B$52,'Operating costs'!$B$51))^MAX(0,C2233-1)+Paths!$M$209*(1+'Operating costs'!$B$53)^MAX(0,C2233-1)),"n.a."))</f>
        <v>0</v>
      </c>
      <c r="I2233" s="16">
        <f>IF(NOT(Paths!$C$209=1),0,IF(Paths!$P$209="Complete",IF(IF(Paths!$E$209=0,C2233=0,AND(C2233&gt;0,Paths!$E$209&gt;(C2233-1)*12,Paths!$E$209&lt;=C2233*12)),Paths!$G$209,0),"n.a."))</f>
        <v>0</v>
      </c>
      <c r="J2233" s="16">
        <f>IF(NOT(Paths!$C$209=1),0,IF(Paths!$P$209="Complete",IF(IF(Paths!$E$209=0,C2233=0,AND(C2233&gt;0,Paths!$E$209&gt;(C2233-1)*12,Paths!$E$209&lt;=C2233*12)),Paths!$H$209,0),"n.a."))</f>
        <v>0</v>
      </c>
      <c r="K2233" s="16">
        <f>IF(NOT(Paths!$C$209=1),0,IF(Paths!$P$209="Complete",IF(IF(Paths!$O$209=0,C2233=0,AND(C2233&gt;0,Paths!$O$209&gt;(C2233-1)*12,Paths!$O$209&lt;=C2233*12)),Paths!$N$209,0),"n.a."))</f>
        <v>0</v>
      </c>
      <c r="L2233" s="16">
        <f>IF(NOT(Paths!$C$209=1),0,IF(Paths!$P$209="Complete",IF(C2233=10,Paths!$I$209,0),"n.a."))</f>
        <v>0</v>
      </c>
      <c r="M2233" s="16">
        <f>IF(NOT(Paths!$C$209=1),0,IF(Paths!$P$209="Complete",IF(AND(Paths!$D$209="EV",Paths!$E$209&lt;120,Paths!$E$209+'Operating costs'!$B$65&gt;Paths!$E$209,Paths!$E$209+'Operating costs'!$B$65&lt;=120,IF(Paths!$E$209+'Operating costs'!$B$65=0,C2233=0,AND(C2233&gt;0,Paths!$E$209+'Operating costs'!$B$65&gt;(C2233-1)*12,Paths!$E$209+'Operating costs'!$B$65&lt;=C2233*12))),'Operating costs'!$B$64,0)+IF(AND('Operating costs'!$B$67&gt;0,'Operating costs'!$B$67&lt;=120,OR(Paths!$D$209="ICE",'Operating costs'!$B$67&lt;=Paths!$E$209),IF('Operating costs'!$B$67=0,C2233=0,AND(C2233&gt;0,'Operating costs'!$B$67&gt;(C2233-1)*12,'Operating costs'!$B$67&lt;=C2233*12))),'Operating costs'!$B$66,0),"n.a."))</f>
        <v>0</v>
      </c>
      <c r="N2233" s="16">
        <f>IF(NOT(Paths!$C$209=1),0,IF(Paths!$P$209="Complete",SUM(G2233:I2233)-J2233-K2233-L2233+M2233+IF(C2233=0,Paths!$F$209,0)+IF(IF(Paths!$E$209=0,C2233=0,AND(C2233&gt;0,Paths!$E$209&gt;(C2233-1)*12,Paths!$E$209&lt;=C2233*12)),VLOOKUP(A2233,'Fleet register'!$A$7:$S$106,16,FALSE),0),"n.a."))</f>
        <v>0</v>
      </c>
      <c r="O2233" s="16">
        <f>IF(NOT(Paths!$C$209=1),0,IF(Paths!$P$209="Complete",N2233-IF(C2233=0,Paths!$F$209,0),"n.a."))</f>
        <v>0</v>
      </c>
      <c r="P2233" s="16">
        <f>IF(NOT(Paths!$C$209=1),0,IF(Paths!$P$209="Complete",O2233+L2233,"n.a."))</f>
        <v>0</v>
      </c>
      <c r="Q2233" s="16">
        <f>IF(NOT(Paths!$C$209=1),0,IF(Paths!$P$209="Complete",N2233*(1+'Operating costs'!$B$54)^-C2233,"n.a."))</f>
        <v>0</v>
      </c>
      <c r="R2233" s="16">
        <f>IF(NOT(Paths!$C$209=1),0,IF(Paths!$P$209="Complete",IF(AND(C2233=0,Paths!$E$209=0),I2233-J2233-K2233+VLOOKUP(A2233,'Fleet register'!$A$7:$S$106,15,FALSE)+VLOOKUP(A2233,'Fleet register'!$A$7:$S$106,16,FALSE),0),"n.a."))</f>
        <v>0</v>
      </c>
      <c r="S2233" s="1">
        <f>IF(NOT(Paths!$C$209=1),0,IF(Paths!$P$209="Complete",IF(C2233=0,0,Paths!$S$209*Paths!$R$209),"n.a."))</f>
        <v>0</v>
      </c>
      <c r="T2233" s="1">
        <f>IF(NOT(Paths!$C$209=1),0,IF(Paths!$P$209="Complete",IF(C2233=0,0,VLOOKUP(A2233,'Fleet register'!$A$7:$S$106,9,FALSE)*Paths!$R$209),"n.a."))</f>
        <v>0</v>
      </c>
    </row>
    <row r="2234" spans="1:20" ht="24" customHeight="1">
      <c r="A2234" s="1" t="str">
        <f>Paths!$A$209</f>
        <v>T051</v>
      </c>
      <c r="B2234" s="1">
        <f>Paths!$B$209</f>
        <v>2</v>
      </c>
      <c r="C2234" s="1">
        <v>5</v>
      </c>
      <c r="D2234" s="1">
        <v>209</v>
      </c>
      <c r="E2234" s="1">
        <f>IF(OR(Paths!$C$209=0,C2234=0),0,MAX(0,MIN(C2234*12,Paths!$E$209)-(C2234-1)*12))</f>
        <v>0</v>
      </c>
      <c r="F2234" s="1">
        <f>IF(OR(Paths!$C$209=0,C2234=0),0,12-E2234)</f>
        <v>0</v>
      </c>
      <c r="G2234" s="16">
        <f>IF(NOT(Paths!$C$209=1),0,IF(Paths!$P$209="Complete",E2234/12*(Paths!$J$209*(1+'Operating costs'!$B$51)^MAX(0,C2234-1)+Paths!$K$209*(1+'Operating costs'!$B$53)^MAX(0,C2234-1)),"n.a."))</f>
        <v>0</v>
      </c>
      <c r="H2234" s="16">
        <f>IF(NOT(Paths!$C$209=1),0,IF(Paths!$P$209="Complete",F2234/12*(Paths!$L$209*(1+IF(Paths!$D$209="EV",'Operating costs'!$B$52,'Operating costs'!$B$51))^MAX(0,C2234-1)+Paths!$M$209*(1+'Operating costs'!$B$53)^MAX(0,C2234-1)),"n.a."))</f>
        <v>0</v>
      </c>
      <c r="I2234" s="16">
        <f>IF(NOT(Paths!$C$209=1),0,IF(Paths!$P$209="Complete",IF(IF(Paths!$E$209=0,C2234=0,AND(C2234&gt;0,Paths!$E$209&gt;(C2234-1)*12,Paths!$E$209&lt;=C2234*12)),Paths!$G$209,0),"n.a."))</f>
        <v>0</v>
      </c>
      <c r="J2234" s="16">
        <f>IF(NOT(Paths!$C$209=1),0,IF(Paths!$P$209="Complete",IF(IF(Paths!$E$209=0,C2234=0,AND(C2234&gt;0,Paths!$E$209&gt;(C2234-1)*12,Paths!$E$209&lt;=C2234*12)),Paths!$H$209,0),"n.a."))</f>
        <v>0</v>
      </c>
      <c r="K2234" s="16">
        <f>IF(NOT(Paths!$C$209=1),0,IF(Paths!$P$209="Complete",IF(IF(Paths!$O$209=0,C2234=0,AND(C2234&gt;0,Paths!$O$209&gt;(C2234-1)*12,Paths!$O$209&lt;=C2234*12)),Paths!$N$209,0),"n.a."))</f>
        <v>0</v>
      </c>
      <c r="L2234" s="16">
        <f>IF(NOT(Paths!$C$209=1),0,IF(Paths!$P$209="Complete",IF(C2234=10,Paths!$I$209,0),"n.a."))</f>
        <v>0</v>
      </c>
      <c r="M2234" s="16">
        <f>IF(NOT(Paths!$C$209=1),0,IF(Paths!$P$209="Complete",IF(AND(Paths!$D$209="EV",Paths!$E$209&lt;120,Paths!$E$209+'Operating costs'!$B$65&gt;Paths!$E$209,Paths!$E$209+'Operating costs'!$B$65&lt;=120,IF(Paths!$E$209+'Operating costs'!$B$65=0,C2234=0,AND(C2234&gt;0,Paths!$E$209+'Operating costs'!$B$65&gt;(C2234-1)*12,Paths!$E$209+'Operating costs'!$B$65&lt;=C2234*12))),'Operating costs'!$B$64,0)+IF(AND('Operating costs'!$B$67&gt;0,'Operating costs'!$B$67&lt;=120,OR(Paths!$D$209="ICE",'Operating costs'!$B$67&lt;=Paths!$E$209),IF('Operating costs'!$B$67=0,C2234=0,AND(C2234&gt;0,'Operating costs'!$B$67&gt;(C2234-1)*12,'Operating costs'!$B$67&lt;=C2234*12))),'Operating costs'!$B$66,0),"n.a."))</f>
        <v>0</v>
      </c>
      <c r="N2234" s="16">
        <f>IF(NOT(Paths!$C$209=1),0,IF(Paths!$P$209="Complete",SUM(G2234:I2234)-J2234-K2234-L2234+M2234+IF(C2234=0,Paths!$F$209,0)+IF(IF(Paths!$E$209=0,C2234=0,AND(C2234&gt;0,Paths!$E$209&gt;(C2234-1)*12,Paths!$E$209&lt;=C2234*12)),VLOOKUP(A2234,'Fleet register'!$A$7:$S$106,16,FALSE),0),"n.a."))</f>
        <v>0</v>
      </c>
      <c r="O2234" s="16">
        <f>IF(NOT(Paths!$C$209=1),0,IF(Paths!$P$209="Complete",N2234-IF(C2234=0,Paths!$F$209,0),"n.a."))</f>
        <v>0</v>
      </c>
      <c r="P2234" s="16">
        <f>IF(NOT(Paths!$C$209=1),0,IF(Paths!$P$209="Complete",O2234+L2234,"n.a."))</f>
        <v>0</v>
      </c>
      <c r="Q2234" s="16">
        <f>IF(NOT(Paths!$C$209=1),0,IF(Paths!$P$209="Complete",N2234*(1+'Operating costs'!$B$54)^-C2234,"n.a."))</f>
        <v>0</v>
      </c>
      <c r="R2234" s="16">
        <f>IF(NOT(Paths!$C$209=1),0,IF(Paths!$P$209="Complete",IF(AND(C2234=0,Paths!$E$209=0),I2234-J2234-K2234+VLOOKUP(A2234,'Fleet register'!$A$7:$S$106,15,FALSE)+VLOOKUP(A2234,'Fleet register'!$A$7:$S$106,16,FALSE),0),"n.a."))</f>
        <v>0</v>
      </c>
      <c r="S2234" s="1">
        <f>IF(NOT(Paths!$C$209=1),0,IF(Paths!$P$209="Complete",IF(C2234=0,0,Paths!$S$209*Paths!$R$209),"n.a."))</f>
        <v>0</v>
      </c>
      <c r="T2234" s="1">
        <f>IF(NOT(Paths!$C$209=1),0,IF(Paths!$P$209="Complete",IF(C2234=0,0,VLOOKUP(A2234,'Fleet register'!$A$7:$S$106,9,FALSE)*Paths!$R$209),"n.a."))</f>
        <v>0</v>
      </c>
    </row>
    <row r="2235" spans="1:20" ht="24" customHeight="1">
      <c r="A2235" s="1" t="str">
        <f>Paths!$A$209</f>
        <v>T051</v>
      </c>
      <c r="B2235" s="1">
        <f>Paths!$B$209</f>
        <v>2</v>
      </c>
      <c r="C2235" s="1">
        <v>6</v>
      </c>
      <c r="D2235" s="1">
        <v>209</v>
      </c>
      <c r="E2235" s="1">
        <f>IF(OR(Paths!$C$209=0,C2235=0),0,MAX(0,MIN(C2235*12,Paths!$E$209)-(C2235-1)*12))</f>
        <v>0</v>
      </c>
      <c r="F2235" s="1">
        <f>IF(OR(Paths!$C$209=0,C2235=0),0,12-E2235)</f>
        <v>0</v>
      </c>
      <c r="G2235" s="16">
        <f>IF(NOT(Paths!$C$209=1),0,IF(Paths!$P$209="Complete",E2235/12*(Paths!$J$209*(1+'Operating costs'!$B$51)^MAX(0,C2235-1)+Paths!$K$209*(1+'Operating costs'!$B$53)^MAX(0,C2235-1)),"n.a."))</f>
        <v>0</v>
      </c>
      <c r="H2235" s="16">
        <f>IF(NOT(Paths!$C$209=1),0,IF(Paths!$P$209="Complete",F2235/12*(Paths!$L$209*(1+IF(Paths!$D$209="EV",'Operating costs'!$B$52,'Operating costs'!$B$51))^MAX(0,C2235-1)+Paths!$M$209*(1+'Operating costs'!$B$53)^MAX(0,C2235-1)),"n.a."))</f>
        <v>0</v>
      </c>
      <c r="I2235" s="16">
        <f>IF(NOT(Paths!$C$209=1),0,IF(Paths!$P$209="Complete",IF(IF(Paths!$E$209=0,C2235=0,AND(C2235&gt;0,Paths!$E$209&gt;(C2235-1)*12,Paths!$E$209&lt;=C2235*12)),Paths!$G$209,0),"n.a."))</f>
        <v>0</v>
      </c>
      <c r="J2235" s="16">
        <f>IF(NOT(Paths!$C$209=1),0,IF(Paths!$P$209="Complete",IF(IF(Paths!$E$209=0,C2235=0,AND(C2235&gt;0,Paths!$E$209&gt;(C2235-1)*12,Paths!$E$209&lt;=C2235*12)),Paths!$H$209,0),"n.a."))</f>
        <v>0</v>
      </c>
      <c r="K2235" s="16">
        <f>IF(NOT(Paths!$C$209=1),0,IF(Paths!$P$209="Complete",IF(IF(Paths!$O$209=0,C2235=0,AND(C2235&gt;0,Paths!$O$209&gt;(C2235-1)*12,Paths!$O$209&lt;=C2235*12)),Paths!$N$209,0),"n.a."))</f>
        <v>0</v>
      </c>
      <c r="L2235" s="16">
        <f>IF(NOT(Paths!$C$209=1),0,IF(Paths!$P$209="Complete",IF(C2235=10,Paths!$I$209,0),"n.a."))</f>
        <v>0</v>
      </c>
      <c r="M2235" s="16">
        <f>IF(NOT(Paths!$C$209=1),0,IF(Paths!$P$209="Complete",IF(AND(Paths!$D$209="EV",Paths!$E$209&lt;120,Paths!$E$209+'Operating costs'!$B$65&gt;Paths!$E$209,Paths!$E$209+'Operating costs'!$B$65&lt;=120,IF(Paths!$E$209+'Operating costs'!$B$65=0,C2235=0,AND(C2235&gt;0,Paths!$E$209+'Operating costs'!$B$65&gt;(C2235-1)*12,Paths!$E$209+'Operating costs'!$B$65&lt;=C2235*12))),'Operating costs'!$B$64,0)+IF(AND('Operating costs'!$B$67&gt;0,'Operating costs'!$B$67&lt;=120,OR(Paths!$D$209="ICE",'Operating costs'!$B$67&lt;=Paths!$E$209),IF('Operating costs'!$B$67=0,C2235=0,AND(C2235&gt;0,'Operating costs'!$B$67&gt;(C2235-1)*12,'Operating costs'!$B$67&lt;=C2235*12))),'Operating costs'!$B$66,0),"n.a."))</f>
        <v>0</v>
      </c>
      <c r="N2235" s="16">
        <f>IF(NOT(Paths!$C$209=1),0,IF(Paths!$P$209="Complete",SUM(G2235:I2235)-J2235-K2235-L2235+M2235+IF(C2235=0,Paths!$F$209,0)+IF(IF(Paths!$E$209=0,C2235=0,AND(C2235&gt;0,Paths!$E$209&gt;(C2235-1)*12,Paths!$E$209&lt;=C2235*12)),VLOOKUP(A2235,'Fleet register'!$A$7:$S$106,16,FALSE),0),"n.a."))</f>
        <v>0</v>
      </c>
      <c r="O2235" s="16">
        <f>IF(NOT(Paths!$C$209=1),0,IF(Paths!$P$209="Complete",N2235-IF(C2235=0,Paths!$F$209,0),"n.a."))</f>
        <v>0</v>
      </c>
      <c r="P2235" s="16">
        <f>IF(NOT(Paths!$C$209=1),0,IF(Paths!$P$209="Complete",O2235+L2235,"n.a."))</f>
        <v>0</v>
      </c>
      <c r="Q2235" s="16">
        <f>IF(NOT(Paths!$C$209=1),0,IF(Paths!$P$209="Complete",N2235*(1+'Operating costs'!$B$54)^-C2235,"n.a."))</f>
        <v>0</v>
      </c>
      <c r="R2235" s="16">
        <f>IF(NOT(Paths!$C$209=1),0,IF(Paths!$P$209="Complete",IF(AND(C2235=0,Paths!$E$209=0),I2235-J2235-K2235+VLOOKUP(A2235,'Fleet register'!$A$7:$S$106,15,FALSE)+VLOOKUP(A2235,'Fleet register'!$A$7:$S$106,16,FALSE),0),"n.a."))</f>
        <v>0</v>
      </c>
      <c r="S2235" s="1">
        <f>IF(NOT(Paths!$C$209=1),0,IF(Paths!$P$209="Complete",IF(C2235=0,0,Paths!$S$209*Paths!$R$209),"n.a."))</f>
        <v>0</v>
      </c>
      <c r="T2235" s="1">
        <f>IF(NOT(Paths!$C$209=1),0,IF(Paths!$P$209="Complete",IF(C2235=0,0,VLOOKUP(A2235,'Fleet register'!$A$7:$S$106,9,FALSE)*Paths!$R$209),"n.a."))</f>
        <v>0</v>
      </c>
    </row>
    <row r="2236" spans="1:20" ht="24" customHeight="1">
      <c r="A2236" s="1" t="str">
        <f>Paths!$A$209</f>
        <v>T051</v>
      </c>
      <c r="B2236" s="1">
        <f>Paths!$B$209</f>
        <v>2</v>
      </c>
      <c r="C2236" s="1">
        <v>7</v>
      </c>
      <c r="D2236" s="1">
        <v>209</v>
      </c>
      <c r="E2236" s="1">
        <f>IF(OR(Paths!$C$209=0,C2236=0),0,MAX(0,MIN(C2236*12,Paths!$E$209)-(C2236-1)*12))</f>
        <v>0</v>
      </c>
      <c r="F2236" s="1">
        <f>IF(OR(Paths!$C$209=0,C2236=0),0,12-E2236)</f>
        <v>0</v>
      </c>
      <c r="G2236" s="16">
        <f>IF(NOT(Paths!$C$209=1),0,IF(Paths!$P$209="Complete",E2236/12*(Paths!$J$209*(1+'Operating costs'!$B$51)^MAX(0,C2236-1)+Paths!$K$209*(1+'Operating costs'!$B$53)^MAX(0,C2236-1)),"n.a."))</f>
        <v>0</v>
      </c>
      <c r="H2236" s="16">
        <f>IF(NOT(Paths!$C$209=1),0,IF(Paths!$P$209="Complete",F2236/12*(Paths!$L$209*(1+IF(Paths!$D$209="EV",'Operating costs'!$B$52,'Operating costs'!$B$51))^MAX(0,C2236-1)+Paths!$M$209*(1+'Operating costs'!$B$53)^MAX(0,C2236-1)),"n.a."))</f>
        <v>0</v>
      </c>
      <c r="I2236" s="16">
        <f>IF(NOT(Paths!$C$209=1),0,IF(Paths!$P$209="Complete",IF(IF(Paths!$E$209=0,C2236=0,AND(C2236&gt;0,Paths!$E$209&gt;(C2236-1)*12,Paths!$E$209&lt;=C2236*12)),Paths!$G$209,0),"n.a."))</f>
        <v>0</v>
      </c>
      <c r="J2236" s="16">
        <f>IF(NOT(Paths!$C$209=1),0,IF(Paths!$P$209="Complete",IF(IF(Paths!$E$209=0,C2236=0,AND(C2236&gt;0,Paths!$E$209&gt;(C2236-1)*12,Paths!$E$209&lt;=C2236*12)),Paths!$H$209,0),"n.a."))</f>
        <v>0</v>
      </c>
      <c r="K2236" s="16">
        <f>IF(NOT(Paths!$C$209=1),0,IF(Paths!$P$209="Complete",IF(IF(Paths!$O$209=0,C2236=0,AND(C2236&gt;0,Paths!$O$209&gt;(C2236-1)*12,Paths!$O$209&lt;=C2236*12)),Paths!$N$209,0),"n.a."))</f>
        <v>0</v>
      </c>
      <c r="L2236" s="16">
        <f>IF(NOT(Paths!$C$209=1),0,IF(Paths!$P$209="Complete",IF(C2236=10,Paths!$I$209,0),"n.a."))</f>
        <v>0</v>
      </c>
      <c r="M2236" s="16">
        <f>IF(NOT(Paths!$C$209=1),0,IF(Paths!$P$209="Complete",IF(AND(Paths!$D$209="EV",Paths!$E$209&lt;120,Paths!$E$209+'Operating costs'!$B$65&gt;Paths!$E$209,Paths!$E$209+'Operating costs'!$B$65&lt;=120,IF(Paths!$E$209+'Operating costs'!$B$65=0,C2236=0,AND(C2236&gt;0,Paths!$E$209+'Operating costs'!$B$65&gt;(C2236-1)*12,Paths!$E$209+'Operating costs'!$B$65&lt;=C2236*12))),'Operating costs'!$B$64,0)+IF(AND('Operating costs'!$B$67&gt;0,'Operating costs'!$B$67&lt;=120,OR(Paths!$D$209="ICE",'Operating costs'!$B$67&lt;=Paths!$E$209),IF('Operating costs'!$B$67=0,C2236=0,AND(C2236&gt;0,'Operating costs'!$B$67&gt;(C2236-1)*12,'Operating costs'!$B$67&lt;=C2236*12))),'Operating costs'!$B$66,0),"n.a."))</f>
        <v>0</v>
      </c>
      <c r="N2236" s="16">
        <f>IF(NOT(Paths!$C$209=1),0,IF(Paths!$P$209="Complete",SUM(G2236:I2236)-J2236-K2236-L2236+M2236+IF(C2236=0,Paths!$F$209,0)+IF(IF(Paths!$E$209=0,C2236=0,AND(C2236&gt;0,Paths!$E$209&gt;(C2236-1)*12,Paths!$E$209&lt;=C2236*12)),VLOOKUP(A2236,'Fleet register'!$A$7:$S$106,16,FALSE),0),"n.a."))</f>
        <v>0</v>
      </c>
      <c r="O2236" s="16">
        <f>IF(NOT(Paths!$C$209=1),0,IF(Paths!$P$209="Complete",N2236-IF(C2236=0,Paths!$F$209,0),"n.a."))</f>
        <v>0</v>
      </c>
      <c r="P2236" s="16">
        <f>IF(NOT(Paths!$C$209=1),0,IF(Paths!$P$209="Complete",O2236+L2236,"n.a."))</f>
        <v>0</v>
      </c>
      <c r="Q2236" s="16">
        <f>IF(NOT(Paths!$C$209=1),0,IF(Paths!$P$209="Complete",N2236*(1+'Operating costs'!$B$54)^-C2236,"n.a."))</f>
        <v>0</v>
      </c>
      <c r="R2236" s="16">
        <f>IF(NOT(Paths!$C$209=1),0,IF(Paths!$P$209="Complete",IF(AND(C2236=0,Paths!$E$209=0),I2236-J2236-K2236+VLOOKUP(A2236,'Fleet register'!$A$7:$S$106,15,FALSE)+VLOOKUP(A2236,'Fleet register'!$A$7:$S$106,16,FALSE),0),"n.a."))</f>
        <v>0</v>
      </c>
      <c r="S2236" s="1">
        <f>IF(NOT(Paths!$C$209=1),0,IF(Paths!$P$209="Complete",IF(C2236=0,0,Paths!$S$209*Paths!$R$209),"n.a."))</f>
        <v>0</v>
      </c>
      <c r="T2236" s="1">
        <f>IF(NOT(Paths!$C$209=1),0,IF(Paths!$P$209="Complete",IF(C2236=0,0,VLOOKUP(A2236,'Fleet register'!$A$7:$S$106,9,FALSE)*Paths!$R$209),"n.a."))</f>
        <v>0</v>
      </c>
    </row>
    <row r="2237" spans="1:20" ht="24" customHeight="1">
      <c r="A2237" s="1" t="str">
        <f>Paths!$A$209</f>
        <v>T051</v>
      </c>
      <c r="B2237" s="1">
        <f>Paths!$B$209</f>
        <v>2</v>
      </c>
      <c r="C2237" s="1">
        <v>8</v>
      </c>
      <c r="D2237" s="1">
        <v>209</v>
      </c>
      <c r="E2237" s="1">
        <f>IF(OR(Paths!$C$209=0,C2237=0),0,MAX(0,MIN(C2237*12,Paths!$E$209)-(C2237-1)*12))</f>
        <v>0</v>
      </c>
      <c r="F2237" s="1">
        <f>IF(OR(Paths!$C$209=0,C2237=0),0,12-E2237)</f>
        <v>0</v>
      </c>
      <c r="G2237" s="16">
        <f>IF(NOT(Paths!$C$209=1),0,IF(Paths!$P$209="Complete",E2237/12*(Paths!$J$209*(1+'Operating costs'!$B$51)^MAX(0,C2237-1)+Paths!$K$209*(1+'Operating costs'!$B$53)^MAX(0,C2237-1)),"n.a."))</f>
        <v>0</v>
      </c>
      <c r="H2237" s="16">
        <f>IF(NOT(Paths!$C$209=1),0,IF(Paths!$P$209="Complete",F2237/12*(Paths!$L$209*(1+IF(Paths!$D$209="EV",'Operating costs'!$B$52,'Operating costs'!$B$51))^MAX(0,C2237-1)+Paths!$M$209*(1+'Operating costs'!$B$53)^MAX(0,C2237-1)),"n.a."))</f>
        <v>0</v>
      </c>
      <c r="I2237" s="16">
        <f>IF(NOT(Paths!$C$209=1),0,IF(Paths!$P$209="Complete",IF(IF(Paths!$E$209=0,C2237=0,AND(C2237&gt;0,Paths!$E$209&gt;(C2237-1)*12,Paths!$E$209&lt;=C2237*12)),Paths!$G$209,0),"n.a."))</f>
        <v>0</v>
      </c>
      <c r="J2237" s="16">
        <f>IF(NOT(Paths!$C$209=1),0,IF(Paths!$P$209="Complete",IF(IF(Paths!$E$209=0,C2237=0,AND(C2237&gt;0,Paths!$E$209&gt;(C2237-1)*12,Paths!$E$209&lt;=C2237*12)),Paths!$H$209,0),"n.a."))</f>
        <v>0</v>
      </c>
      <c r="K2237" s="16">
        <f>IF(NOT(Paths!$C$209=1),0,IF(Paths!$P$209="Complete",IF(IF(Paths!$O$209=0,C2237=0,AND(C2237&gt;0,Paths!$O$209&gt;(C2237-1)*12,Paths!$O$209&lt;=C2237*12)),Paths!$N$209,0),"n.a."))</f>
        <v>0</v>
      </c>
      <c r="L2237" s="16">
        <f>IF(NOT(Paths!$C$209=1),0,IF(Paths!$P$209="Complete",IF(C2237=10,Paths!$I$209,0),"n.a."))</f>
        <v>0</v>
      </c>
      <c r="M2237" s="16">
        <f>IF(NOT(Paths!$C$209=1),0,IF(Paths!$P$209="Complete",IF(AND(Paths!$D$209="EV",Paths!$E$209&lt;120,Paths!$E$209+'Operating costs'!$B$65&gt;Paths!$E$209,Paths!$E$209+'Operating costs'!$B$65&lt;=120,IF(Paths!$E$209+'Operating costs'!$B$65=0,C2237=0,AND(C2237&gt;0,Paths!$E$209+'Operating costs'!$B$65&gt;(C2237-1)*12,Paths!$E$209+'Operating costs'!$B$65&lt;=C2237*12))),'Operating costs'!$B$64,0)+IF(AND('Operating costs'!$B$67&gt;0,'Operating costs'!$B$67&lt;=120,OR(Paths!$D$209="ICE",'Operating costs'!$B$67&lt;=Paths!$E$209),IF('Operating costs'!$B$67=0,C2237=0,AND(C2237&gt;0,'Operating costs'!$B$67&gt;(C2237-1)*12,'Operating costs'!$B$67&lt;=C2237*12))),'Operating costs'!$B$66,0),"n.a."))</f>
        <v>0</v>
      </c>
      <c r="N2237" s="16">
        <f>IF(NOT(Paths!$C$209=1),0,IF(Paths!$P$209="Complete",SUM(G2237:I2237)-J2237-K2237-L2237+M2237+IF(C2237=0,Paths!$F$209,0)+IF(IF(Paths!$E$209=0,C2237=0,AND(C2237&gt;0,Paths!$E$209&gt;(C2237-1)*12,Paths!$E$209&lt;=C2237*12)),VLOOKUP(A2237,'Fleet register'!$A$7:$S$106,16,FALSE),0),"n.a."))</f>
        <v>0</v>
      </c>
      <c r="O2237" s="16">
        <f>IF(NOT(Paths!$C$209=1),0,IF(Paths!$P$209="Complete",N2237-IF(C2237=0,Paths!$F$209,0),"n.a."))</f>
        <v>0</v>
      </c>
      <c r="P2237" s="16">
        <f>IF(NOT(Paths!$C$209=1),0,IF(Paths!$P$209="Complete",O2237+L2237,"n.a."))</f>
        <v>0</v>
      </c>
      <c r="Q2237" s="16">
        <f>IF(NOT(Paths!$C$209=1),0,IF(Paths!$P$209="Complete",N2237*(1+'Operating costs'!$B$54)^-C2237,"n.a."))</f>
        <v>0</v>
      </c>
      <c r="R2237" s="16">
        <f>IF(NOT(Paths!$C$209=1),0,IF(Paths!$P$209="Complete",IF(AND(C2237=0,Paths!$E$209=0),I2237-J2237-K2237+VLOOKUP(A2237,'Fleet register'!$A$7:$S$106,15,FALSE)+VLOOKUP(A2237,'Fleet register'!$A$7:$S$106,16,FALSE),0),"n.a."))</f>
        <v>0</v>
      </c>
      <c r="S2237" s="1">
        <f>IF(NOT(Paths!$C$209=1),0,IF(Paths!$P$209="Complete",IF(C2237=0,0,Paths!$S$209*Paths!$R$209),"n.a."))</f>
        <v>0</v>
      </c>
      <c r="T2237" s="1">
        <f>IF(NOT(Paths!$C$209=1),0,IF(Paths!$P$209="Complete",IF(C2237=0,0,VLOOKUP(A2237,'Fleet register'!$A$7:$S$106,9,FALSE)*Paths!$R$209),"n.a."))</f>
        <v>0</v>
      </c>
    </row>
    <row r="2238" spans="1:20" ht="24" customHeight="1">
      <c r="A2238" s="1" t="str">
        <f>Paths!$A$209</f>
        <v>T051</v>
      </c>
      <c r="B2238" s="1">
        <f>Paths!$B$209</f>
        <v>2</v>
      </c>
      <c r="C2238" s="1">
        <v>9</v>
      </c>
      <c r="D2238" s="1">
        <v>209</v>
      </c>
      <c r="E2238" s="1">
        <f>IF(OR(Paths!$C$209=0,C2238=0),0,MAX(0,MIN(C2238*12,Paths!$E$209)-(C2238-1)*12))</f>
        <v>0</v>
      </c>
      <c r="F2238" s="1">
        <f>IF(OR(Paths!$C$209=0,C2238=0),0,12-E2238)</f>
        <v>0</v>
      </c>
      <c r="G2238" s="16">
        <f>IF(NOT(Paths!$C$209=1),0,IF(Paths!$P$209="Complete",E2238/12*(Paths!$J$209*(1+'Operating costs'!$B$51)^MAX(0,C2238-1)+Paths!$K$209*(1+'Operating costs'!$B$53)^MAX(0,C2238-1)),"n.a."))</f>
        <v>0</v>
      </c>
      <c r="H2238" s="16">
        <f>IF(NOT(Paths!$C$209=1),0,IF(Paths!$P$209="Complete",F2238/12*(Paths!$L$209*(1+IF(Paths!$D$209="EV",'Operating costs'!$B$52,'Operating costs'!$B$51))^MAX(0,C2238-1)+Paths!$M$209*(1+'Operating costs'!$B$53)^MAX(0,C2238-1)),"n.a."))</f>
        <v>0</v>
      </c>
      <c r="I2238" s="16">
        <f>IF(NOT(Paths!$C$209=1),0,IF(Paths!$P$209="Complete",IF(IF(Paths!$E$209=0,C2238=0,AND(C2238&gt;0,Paths!$E$209&gt;(C2238-1)*12,Paths!$E$209&lt;=C2238*12)),Paths!$G$209,0),"n.a."))</f>
        <v>0</v>
      </c>
      <c r="J2238" s="16">
        <f>IF(NOT(Paths!$C$209=1),0,IF(Paths!$P$209="Complete",IF(IF(Paths!$E$209=0,C2238=0,AND(C2238&gt;0,Paths!$E$209&gt;(C2238-1)*12,Paths!$E$209&lt;=C2238*12)),Paths!$H$209,0),"n.a."))</f>
        <v>0</v>
      </c>
      <c r="K2238" s="16">
        <f>IF(NOT(Paths!$C$209=1),0,IF(Paths!$P$209="Complete",IF(IF(Paths!$O$209=0,C2238=0,AND(C2238&gt;0,Paths!$O$209&gt;(C2238-1)*12,Paths!$O$209&lt;=C2238*12)),Paths!$N$209,0),"n.a."))</f>
        <v>0</v>
      </c>
      <c r="L2238" s="16">
        <f>IF(NOT(Paths!$C$209=1),0,IF(Paths!$P$209="Complete",IF(C2238=10,Paths!$I$209,0),"n.a."))</f>
        <v>0</v>
      </c>
      <c r="M2238" s="16">
        <f>IF(NOT(Paths!$C$209=1),0,IF(Paths!$P$209="Complete",IF(AND(Paths!$D$209="EV",Paths!$E$209&lt;120,Paths!$E$209+'Operating costs'!$B$65&gt;Paths!$E$209,Paths!$E$209+'Operating costs'!$B$65&lt;=120,IF(Paths!$E$209+'Operating costs'!$B$65=0,C2238=0,AND(C2238&gt;0,Paths!$E$209+'Operating costs'!$B$65&gt;(C2238-1)*12,Paths!$E$209+'Operating costs'!$B$65&lt;=C2238*12))),'Operating costs'!$B$64,0)+IF(AND('Operating costs'!$B$67&gt;0,'Operating costs'!$B$67&lt;=120,OR(Paths!$D$209="ICE",'Operating costs'!$B$67&lt;=Paths!$E$209),IF('Operating costs'!$B$67=0,C2238=0,AND(C2238&gt;0,'Operating costs'!$B$67&gt;(C2238-1)*12,'Operating costs'!$B$67&lt;=C2238*12))),'Operating costs'!$B$66,0),"n.a."))</f>
        <v>0</v>
      </c>
      <c r="N2238" s="16">
        <f>IF(NOT(Paths!$C$209=1),0,IF(Paths!$P$209="Complete",SUM(G2238:I2238)-J2238-K2238-L2238+M2238+IF(C2238=0,Paths!$F$209,0)+IF(IF(Paths!$E$209=0,C2238=0,AND(C2238&gt;0,Paths!$E$209&gt;(C2238-1)*12,Paths!$E$209&lt;=C2238*12)),VLOOKUP(A2238,'Fleet register'!$A$7:$S$106,16,FALSE),0),"n.a."))</f>
        <v>0</v>
      </c>
      <c r="O2238" s="16">
        <f>IF(NOT(Paths!$C$209=1),0,IF(Paths!$P$209="Complete",N2238-IF(C2238=0,Paths!$F$209,0),"n.a."))</f>
        <v>0</v>
      </c>
      <c r="P2238" s="16">
        <f>IF(NOT(Paths!$C$209=1),0,IF(Paths!$P$209="Complete",O2238+L2238,"n.a."))</f>
        <v>0</v>
      </c>
      <c r="Q2238" s="16">
        <f>IF(NOT(Paths!$C$209=1),0,IF(Paths!$P$209="Complete",N2238*(1+'Operating costs'!$B$54)^-C2238,"n.a."))</f>
        <v>0</v>
      </c>
      <c r="R2238" s="16">
        <f>IF(NOT(Paths!$C$209=1),0,IF(Paths!$P$209="Complete",IF(AND(C2238=0,Paths!$E$209=0),I2238-J2238-K2238+VLOOKUP(A2238,'Fleet register'!$A$7:$S$106,15,FALSE)+VLOOKUP(A2238,'Fleet register'!$A$7:$S$106,16,FALSE),0),"n.a."))</f>
        <v>0</v>
      </c>
      <c r="S2238" s="1">
        <f>IF(NOT(Paths!$C$209=1),0,IF(Paths!$P$209="Complete",IF(C2238=0,0,Paths!$S$209*Paths!$R$209),"n.a."))</f>
        <v>0</v>
      </c>
      <c r="T2238" s="1">
        <f>IF(NOT(Paths!$C$209=1),0,IF(Paths!$P$209="Complete",IF(C2238=0,0,VLOOKUP(A2238,'Fleet register'!$A$7:$S$106,9,FALSE)*Paths!$R$209),"n.a."))</f>
        <v>0</v>
      </c>
    </row>
    <row r="2239" spans="1:20" ht="24" customHeight="1">
      <c r="A2239" s="1" t="str">
        <f>Paths!$A$209</f>
        <v>T051</v>
      </c>
      <c r="B2239" s="1">
        <f>Paths!$B$209</f>
        <v>2</v>
      </c>
      <c r="C2239" s="1">
        <v>10</v>
      </c>
      <c r="D2239" s="1">
        <v>209</v>
      </c>
      <c r="E2239" s="1">
        <f>IF(OR(Paths!$C$209=0,C2239=0),0,MAX(0,MIN(C2239*12,Paths!$E$209)-(C2239-1)*12))</f>
        <v>0</v>
      </c>
      <c r="F2239" s="1">
        <f>IF(OR(Paths!$C$209=0,C2239=0),0,12-E2239)</f>
        <v>0</v>
      </c>
      <c r="G2239" s="16">
        <f>IF(NOT(Paths!$C$209=1),0,IF(Paths!$P$209="Complete",E2239/12*(Paths!$J$209*(1+'Operating costs'!$B$51)^MAX(0,C2239-1)+Paths!$K$209*(1+'Operating costs'!$B$53)^MAX(0,C2239-1)),"n.a."))</f>
        <v>0</v>
      </c>
      <c r="H2239" s="16">
        <f>IF(NOT(Paths!$C$209=1),0,IF(Paths!$P$209="Complete",F2239/12*(Paths!$L$209*(1+IF(Paths!$D$209="EV",'Operating costs'!$B$52,'Operating costs'!$B$51))^MAX(0,C2239-1)+Paths!$M$209*(1+'Operating costs'!$B$53)^MAX(0,C2239-1)),"n.a."))</f>
        <v>0</v>
      </c>
      <c r="I2239" s="16">
        <f>IF(NOT(Paths!$C$209=1),0,IF(Paths!$P$209="Complete",IF(IF(Paths!$E$209=0,C2239=0,AND(C2239&gt;0,Paths!$E$209&gt;(C2239-1)*12,Paths!$E$209&lt;=C2239*12)),Paths!$G$209,0),"n.a."))</f>
        <v>0</v>
      </c>
      <c r="J2239" s="16">
        <f>IF(NOT(Paths!$C$209=1),0,IF(Paths!$P$209="Complete",IF(IF(Paths!$E$209=0,C2239=0,AND(C2239&gt;0,Paths!$E$209&gt;(C2239-1)*12,Paths!$E$209&lt;=C2239*12)),Paths!$H$209,0),"n.a."))</f>
        <v>0</v>
      </c>
      <c r="K2239" s="16">
        <f>IF(NOT(Paths!$C$209=1),0,IF(Paths!$P$209="Complete",IF(IF(Paths!$O$209=0,C2239=0,AND(C2239&gt;0,Paths!$O$209&gt;(C2239-1)*12,Paths!$O$209&lt;=C2239*12)),Paths!$N$209,0),"n.a."))</f>
        <v>0</v>
      </c>
      <c r="L2239" s="16">
        <f>IF(NOT(Paths!$C$209=1),0,IF(Paths!$P$209="Complete",IF(C2239=10,Paths!$I$209,0),"n.a."))</f>
        <v>0</v>
      </c>
      <c r="M2239" s="16">
        <f>IF(NOT(Paths!$C$209=1),0,IF(Paths!$P$209="Complete",IF(AND(Paths!$D$209="EV",Paths!$E$209&lt;120,Paths!$E$209+'Operating costs'!$B$65&gt;Paths!$E$209,Paths!$E$209+'Operating costs'!$B$65&lt;=120,IF(Paths!$E$209+'Operating costs'!$B$65=0,C2239=0,AND(C2239&gt;0,Paths!$E$209+'Operating costs'!$B$65&gt;(C2239-1)*12,Paths!$E$209+'Operating costs'!$B$65&lt;=C2239*12))),'Operating costs'!$B$64,0)+IF(AND('Operating costs'!$B$67&gt;0,'Operating costs'!$B$67&lt;=120,OR(Paths!$D$209="ICE",'Operating costs'!$B$67&lt;=Paths!$E$209),IF('Operating costs'!$B$67=0,C2239=0,AND(C2239&gt;0,'Operating costs'!$B$67&gt;(C2239-1)*12,'Operating costs'!$B$67&lt;=C2239*12))),'Operating costs'!$B$66,0),"n.a."))</f>
        <v>0</v>
      </c>
      <c r="N2239" s="16">
        <f>IF(NOT(Paths!$C$209=1),0,IF(Paths!$P$209="Complete",SUM(G2239:I2239)-J2239-K2239-L2239+M2239+IF(C2239=0,Paths!$F$209,0)+IF(IF(Paths!$E$209=0,C2239=0,AND(C2239&gt;0,Paths!$E$209&gt;(C2239-1)*12,Paths!$E$209&lt;=C2239*12)),VLOOKUP(A2239,'Fleet register'!$A$7:$S$106,16,FALSE),0),"n.a."))</f>
        <v>0</v>
      </c>
      <c r="O2239" s="16">
        <f>IF(NOT(Paths!$C$209=1),0,IF(Paths!$P$209="Complete",N2239-IF(C2239=0,Paths!$F$209,0),"n.a."))</f>
        <v>0</v>
      </c>
      <c r="P2239" s="16">
        <f>IF(NOT(Paths!$C$209=1),0,IF(Paths!$P$209="Complete",O2239+L2239,"n.a."))</f>
        <v>0</v>
      </c>
      <c r="Q2239" s="16">
        <f>IF(NOT(Paths!$C$209=1),0,IF(Paths!$P$209="Complete",N2239*(1+'Operating costs'!$B$54)^-C2239,"n.a."))</f>
        <v>0</v>
      </c>
      <c r="R2239" s="16">
        <f>IF(NOT(Paths!$C$209=1),0,IF(Paths!$P$209="Complete",IF(AND(C2239=0,Paths!$E$209=0),I2239-J2239-K2239+VLOOKUP(A2239,'Fleet register'!$A$7:$S$106,15,FALSE)+VLOOKUP(A2239,'Fleet register'!$A$7:$S$106,16,FALSE),0),"n.a."))</f>
        <v>0</v>
      </c>
      <c r="S2239" s="1">
        <f>IF(NOT(Paths!$C$209=1),0,IF(Paths!$P$209="Complete",IF(C2239=0,0,Paths!$S$209*Paths!$R$209),"n.a."))</f>
        <v>0</v>
      </c>
      <c r="T2239" s="1">
        <f>IF(NOT(Paths!$C$209=1),0,IF(Paths!$P$209="Complete",IF(C2239=0,0,VLOOKUP(A2239,'Fleet register'!$A$7:$S$106,9,FALSE)*Paths!$R$209),"n.a."))</f>
        <v>0</v>
      </c>
    </row>
    <row r="2240" spans="1:20" ht="24" customHeight="1">
      <c r="A2240" s="1" t="str">
        <f>Paths!$A$210</f>
        <v>T051</v>
      </c>
      <c r="B2240" s="1">
        <f>Paths!$B$210</f>
        <v>3</v>
      </c>
      <c r="C2240" s="1">
        <v>0</v>
      </c>
      <c r="D2240" s="1">
        <v>210</v>
      </c>
      <c r="E2240" s="1">
        <f>IF(OR(Paths!$C$210=0,C2240=0),0,MAX(0,MIN(C2240*12,Paths!$E$210)-(C2240-1)*12))</f>
        <v>0</v>
      </c>
      <c r="F2240" s="1">
        <f>IF(OR(Paths!$C$210=0,C2240=0),0,12-E2240)</f>
        <v>0</v>
      </c>
      <c r="G2240" s="16">
        <f>IF(NOT(Paths!$C$210=1),0,IF(Paths!$P$210="Complete",E2240/12*(Paths!$J$210*(1+'Operating costs'!$B$51)^MAX(0,C2240-1)+Paths!$K$210*(1+'Operating costs'!$B$53)^MAX(0,C2240-1)),"n.a."))</f>
        <v>0</v>
      </c>
      <c r="H2240" s="16">
        <f>IF(NOT(Paths!$C$210=1),0,IF(Paths!$P$210="Complete",F2240/12*(Paths!$L$210*(1+IF(Paths!$D$210="EV",'Operating costs'!$B$52,'Operating costs'!$B$51))^MAX(0,C2240-1)+Paths!$M$210*(1+'Operating costs'!$B$53)^MAX(0,C2240-1)),"n.a."))</f>
        <v>0</v>
      </c>
      <c r="I2240" s="16">
        <f>IF(NOT(Paths!$C$210=1),0,IF(Paths!$P$210="Complete",IF(IF(Paths!$E$210=0,C2240=0,AND(C2240&gt;0,Paths!$E$210&gt;(C2240-1)*12,Paths!$E$210&lt;=C2240*12)),Paths!$G$210,0),"n.a."))</f>
        <v>0</v>
      </c>
      <c r="J2240" s="16">
        <f>IF(NOT(Paths!$C$210=1),0,IF(Paths!$P$210="Complete",IF(IF(Paths!$E$210=0,C2240=0,AND(C2240&gt;0,Paths!$E$210&gt;(C2240-1)*12,Paths!$E$210&lt;=C2240*12)),Paths!$H$210,0),"n.a."))</f>
        <v>0</v>
      </c>
      <c r="K2240" s="16">
        <f>IF(NOT(Paths!$C$210=1),0,IF(Paths!$P$210="Complete",IF(IF(Paths!$O$210=0,C2240=0,AND(C2240&gt;0,Paths!$O$210&gt;(C2240-1)*12,Paths!$O$210&lt;=C2240*12)),Paths!$N$210,0),"n.a."))</f>
        <v>0</v>
      </c>
      <c r="L2240" s="16">
        <f>IF(NOT(Paths!$C$210=1),0,IF(Paths!$P$210="Complete",IF(C2240=10,Paths!$I$210,0),"n.a."))</f>
        <v>0</v>
      </c>
      <c r="M2240" s="16">
        <f>IF(NOT(Paths!$C$210=1),0,IF(Paths!$P$210="Complete",IF(AND(Paths!$D$210="EV",Paths!$E$210&lt;120,Paths!$E$210+'Operating costs'!$B$65&gt;Paths!$E$210,Paths!$E$210+'Operating costs'!$B$65&lt;=120,IF(Paths!$E$210+'Operating costs'!$B$65=0,C2240=0,AND(C2240&gt;0,Paths!$E$210+'Operating costs'!$B$65&gt;(C2240-1)*12,Paths!$E$210+'Operating costs'!$B$65&lt;=C2240*12))),'Operating costs'!$B$64,0)+IF(AND('Operating costs'!$B$67&gt;0,'Operating costs'!$B$67&lt;=120,OR(Paths!$D$210="ICE",'Operating costs'!$B$67&lt;=Paths!$E$210),IF('Operating costs'!$B$67=0,C2240=0,AND(C2240&gt;0,'Operating costs'!$B$67&gt;(C2240-1)*12,'Operating costs'!$B$67&lt;=C2240*12))),'Operating costs'!$B$66,0),"n.a."))</f>
        <v>0</v>
      </c>
      <c r="N2240" s="16">
        <f>IF(NOT(Paths!$C$210=1),0,IF(Paths!$P$210="Complete",SUM(G2240:I2240)-J2240-K2240-L2240+M2240+IF(C2240=0,Paths!$F$210,0)+IF(IF(Paths!$E$210=0,C2240=0,AND(C2240&gt;0,Paths!$E$210&gt;(C2240-1)*12,Paths!$E$210&lt;=C2240*12)),VLOOKUP(A2240,'Fleet register'!$A$7:$S$106,16,FALSE),0),"n.a."))</f>
        <v>0</v>
      </c>
      <c r="O2240" s="16">
        <f>IF(NOT(Paths!$C$210=1),0,IF(Paths!$P$210="Complete",N2240-IF(C2240=0,Paths!$F$210,0),"n.a."))</f>
        <v>0</v>
      </c>
      <c r="P2240" s="16">
        <f>IF(NOT(Paths!$C$210=1),0,IF(Paths!$P$210="Complete",O2240+L2240,"n.a."))</f>
        <v>0</v>
      </c>
      <c r="Q2240" s="16">
        <f>IF(NOT(Paths!$C$210=1),0,IF(Paths!$P$210="Complete",N2240*(1+'Operating costs'!$B$54)^-C2240,"n.a."))</f>
        <v>0</v>
      </c>
      <c r="R2240" s="16">
        <f>IF(NOT(Paths!$C$210=1),0,IF(Paths!$P$210="Complete",IF(AND(C2240=0,Paths!$E$210=0),I2240-J2240-K2240+VLOOKUP(A2240,'Fleet register'!$A$7:$S$106,15,FALSE)+VLOOKUP(A2240,'Fleet register'!$A$7:$S$106,16,FALSE),0),"n.a."))</f>
        <v>0</v>
      </c>
      <c r="S2240" s="1">
        <f>IF(NOT(Paths!$C$210=1),0,IF(Paths!$P$210="Complete",IF(C2240=0,0,Paths!$S$210*Paths!$R$210),"n.a."))</f>
        <v>0</v>
      </c>
      <c r="T2240" s="1">
        <f>IF(NOT(Paths!$C$210=1),0,IF(Paths!$P$210="Complete",IF(C2240=0,0,VLOOKUP(A2240,'Fleet register'!$A$7:$S$106,9,FALSE)*Paths!$R$210),"n.a."))</f>
        <v>0</v>
      </c>
    </row>
    <row r="2241" spans="1:20" ht="24" customHeight="1">
      <c r="A2241" s="1" t="str">
        <f>Paths!$A$210</f>
        <v>T051</v>
      </c>
      <c r="B2241" s="1">
        <f>Paths!$B$210</f>
        <v>3</v>
      </c>
      <c r="C2241" s="1">
        <v>1</v>
      </c>
      <c r="D2241" s="1">
        <v>210</v>
      </c>
      <c r="E2241" s="1">
        <f>IF(OR(Paths!$C$210=0,C2241=0),0,MAX(0,MIN(C2241*12,Paths!$E$210)-(C2241-1)*12))</f>
        <v>0</v>
      </c>
      <c r="F2241" s="1">
        <f>IF(OR(Paths!$C$210=0,C2241=0),0,12-E2241)</f>
        <v>0</v>
      </c>
      <c r="G2241" s="16">
        <f>IF(NOT(Paths!$C$210=1),0,IF(Paths!$P$210="Complete",E2241/12*(Paths!$J$210*(1+'Operating costs'!$B$51)^MAX(0,C2241-1)+Paths!$K$210*(1+'Operating costs'!$B$53)^MAX(0,C2241-1)),"n.a."))</f>
        <v>0</v>
      </c>
      <c r="H2241" s="16">
        <f>IF(NOT(Paths!$C$210=1),0,IF(Paths!$P$210="Complete",F2241/12*(Paths!$L$210*(1+IF(Paths!$D$210="EV",'Operating costs'!$B$52,'Operating costs'!$B$51))^MAX(0,C2241-1)+Paths!$M$210*(1+'Operating costs'!$B$53)^MAX(0,C2241-1)),"n.a."))</f>
        <v>0</v>
      </c>
      <c r="I2241" s="16">
        <f>IF(NOT(Paths!$C$210=1),0,IF(Paths!$P$210="Complete",IF(IF(Paths!$E$210=0,C2241=0,AND(C2241&gt;0,Paths!$E$210&gt;(C2241-1)*12,Paths!$E$210&lt;=C2241*12)),Paths!$G$210,0),"n.a."))</f>
        <v>0</v>
      </c>
      <c r="J2241" s="16">
        <f>IF(NOT(Paths!$C$210=1),0,IF(Paths!$P$210="Complete",IF(IF(Paths!$E$210=0,C2241=0,AND(C2241&gt;0,Paths!$E$210&gt;(C2241-1)*12,Paths!$E$210&lt;=C2241*12)),Paths!$H$210,0),"n.a."))</f>
        <v>0</v>
      </c>
      <c r="K2241" s="16">
        <f>IF(NOT(Paths!$C$210=1),0,IF(Paths!$P$210="Complete",IF(IF(Paths!$O$210=0,C2241=0,AND(C2241&gt;0,Paths!$O$210&gt;(C2241-1)*12,Paths!$O$210&lt;=C2241*12)),Paths!$N$210,0),"n.a."))</f>
        <v>0</v>
      </c>
      <c r="L2241" s="16">
        <f>IF(NOT(Paths!$C$210=1),0,IF(Paths!$P$210="Complete",IF(C2241=10,Paths!$I$210,0),"n.a."))</f>
        <v>0</v>
      </c>
      <c r="M2241" s="16">
        <f>IF(NOT(Paths!$C$210=1),0,IF(Paths!$P$210="Complete",IF(AND(Paths!$D$210="EV",Paths!$E$210&lt;120,Paths!$E$210+'Operating costs'!$B$65&gt;Paths!$E$210,Paths!$E$210+'Operating costs'!$B$65&lt;=120,IF(Paths!$E$210+'Operating costs'!$B$65=0,C2241=0,AND(C2241&gt;0,Paths!$E$210+'Operating costs'!$B$65&gt;(C2241-1)*12,Paths!$E$210+'Operating costs'!$B$65&lt;=C2241*12))),'Operating costs'!$B$64,0)+IF(AND('Operating costs'!$B$67&gt;0,'Operating costs'!$B$67&lt;=120,OR(Paths!$D$210="ICE",'Operating costs'!$B$67&lt;=Paths!$E$210),IF('Operating costs'!$B$67=0,C2241=0,AND(C2241&gt;0,'Operating costs'!$B$67&gt;(C2241-1)*12,'Operating costs'!$B$67&lt;=C2241*12))),'Operating costs'!$B$66,0),"n.a."))</f>
        <v>0</v>
      </c>
      <c r="N2241" s="16">
        <f>IF(NOT(Paths!$C$210=1),0,IF(Paths!$P$210="Complete",SUM(G2241:I2241)-J2241-K2241-L2241+M2241+IF(C2241=0,Paths!$F$210,0)+IF(IF(Paths!$E$210=0,C2241=0,AND(C2241&gt;0,Paths!$E$210&gt;(C2241-1)*12,Paths!$E$210&lt;=C2241*12)),VLOOKUP(A2241,'Fleet register'!$A$7:$S$106,16,FALSE),0),"n.a."))</f>
        <v>0</v>
      </c>
      <c r="O2241" s="16">
        <f>IF(NOT(Paths!$C$210=1),0,IF(Paths!$P$210="Complete",N2241-IF(C2241=0,Paths!$F$210,0),"n.a."))</f>
        <v>0</v>
      </c>
      <c r="P2241" s="16">
        <f>IF(NOT(Paths!$C$210=1),0,IF(Paths!$P$210="Complete",O2241+L2241,"n.a."))</f>
        <v>0</v>
      </c>
      <c r="Q2241" s="16">
        <f>IF(NOT(Paths!$C$210=1),0,IF(Paths!$P$210="Complete",N2241*(1+'Operating costs'!$B$54)^-C2241,"n.a."))</f>
        <v>0</v>
      </c>
      <c r="R2241" s="16">
        <f>IF(NOT(Paths!$C$210=1),0,IF(Paths!$P$210="Complete",IF(AND(C2241=0,Paths!$E$210=0),I2241-J2241-K2241+VLOOKUP(A2241,'Fleet register'!$A$7:$S$106,15,FALSE)+VLOOKUP(A2241,'Fleet register'!$A$7:$S$106,16,FALSE),0),"n.a."))</f>
        <v>0</v>
      </c>
      <c r="S2241" s="1">
        <f>IF(NOT(Paths!$C$210=1),0,IF(Paths!$P$210="Complete",IF(C2241=0,0,Paths!$S$210*Paths!$R$210),"n.a."))</f>
        <v>0</v>
      </c>
      <c r="T2241" s="1">
        <f>IF(NOT(Paths!$C$210=1),0,IF(Paths!$P$210="Complete",IF(C2241=0,0,VLOOKUP(A2241,'Fleet register'!$A$7:$S$106,9,FALSE)*Paths!$R$210),"n.a."))</f>
        <v>0</v>
      </c>
    </row>
    <row r="2242" spans="1:20" ht="24" customHeight="1">
      <c r="A2242" s="1" t="str">
        <f>Paths!$A$210</f>
        <v>T051</v>
      </c>
      <c r="B2242" s="1">
        <f>Paths!$B$210</f>
        <v>3</v>
      </c>
      <c r="C2242" s="1">
        <v>2</v>
      </c>
      <c r="D2242" s="1">
        <v>210</v>
      </c>
      <c r="E2242" s="1">
        <f>IF(OR(Paths!$C$210=0,C2242=0),0,MAX(0,MIN(C2242*12,Paths!$E$210)-(C2242-1)*12))</f>
        <v>0</v>
      </c>
      <c r="F2242" s="1">
        <f>IF(OR(Paths!$C$210=0,C2242=0),0,12-E2242)</f>
        <v>0</v>
      </c>
      <c r="G2242" s="16">
        <f>IF(NOT(Paths!$C$210=1),0,IF(Paths!$P$210="Complete",E2242/12*(Paths!$J$210*(1+'Operating costs'!$B$51)^MAX(0,C2242-1)+Paths!$K$210*(1+'Operating costs'!$B$53)^MAX(0,C2242-1)),"n.a."))</f>
        <v>0</v>
      </c>
      <c r="H2242" s="16">
        <f>IF(NOT(Paths!$C$210=1),0,IF(Paths!$P$210="Complete",F2242/12*(Paths!$L$210*(1+IF(Paths!$D$210="EV",'Operating costs'!$B$52,'Operating costs'!$B$51))^MAX(0,C2242-1)+Paths!$M$210*(1+'Operating costs'!$B$53)^MAX(0,C2242-1)),"n.a."))</f>
        <v>0</v>
      </c>
      <c r="I2242" s="16">
        <f>IF(NOT(Paths!$C$210=1),0,IF(Paths!$P$210="Complete",IF(IF(Paths!$E$210=0,C2242=0,AND(C2242&gt;0,Paths!$E$210&gt;(C2242-1)*12,Paths!$E$210&lt;=C2242*12)),Paths!$G$210,0),"n.a."))</f>
        <v>0</v>
      </c>
      <c r="J2242" s="16">
        <f>IF(NOT(Paths!$C$210=1),0,IF(Paths!$P$210="Complete",IF(IF(Paths!$E$210=0,C2242=0,AND(C2242&gt;0,Paths!$E$210&gt;(C2242-1)*12,Paths!$E$210&lt;=C2242*12)),Paths!$H$210,0),"n.a."))</f>
        <v>0</v>
      </c>
      <c r="K2242" s="16">
        <f>IF(NOT(Paths!$C$210=1),0,IF(Paths!$P$210="Complete",IF(IF(Paths!$O$210=0,C2242=0,AND(C2242&gt;0,Paths!$O$210&gt;(C2242-1)*12,Paths!$O$210&lt;=C2242*12)),Paths!$N$210,0),"n.a."))</f>
        <v>0</v>
      </c>
      <c r="L2242" s="16">
        <f>IF(NOT(Paths!$C$210=1),0,IF(Paths!$P$210="Complete",IF(C2242=10,Paths!$I$210,0),"n.a."))</f>
        <v>0</v>
      </c>
      <c r="M2242" s="16">
        <f>IF(NOT(Paths!$C$210=1),0,IF(Paths!$P$210="Complete",IF(AND(Paths!$D$210="EV",Paths!$E$210&lt;120,Paths!$E$210+'Operating costs'!$B$65&gt;Paths!$E$210,Paths!$E$210+'Operating costs'!$B$65&lt;=120,IF(Paths!$E$210+'Operating costs'!$B$65=0,C2242=0,AND(C2242&gt;0,Paths!$E$210+'Operating costs'!$B$65&gt;(C2242-1)*12,Paths!$E$210+'Operating costs'!$B$65&lt;=C2242*12))),'Operating costs'!$B$64,0)+IF(AND('Operating costs'!$B$67&gt;0,'Operating costs'!$B$67&lt;=120,OR(Paths!$D$210="ICE",'Operating costs'!$B$67&lt;=Paths!$E$210),IF('Operating costs'!$B$67=0,C2242=0,AND(C2242&gt;0,'Operating costs'!$B$67&gt;(C2242-1)*12,'Operating costs'!$B$67&lt;=C2242*12))),'Operating costs'!$B$66,0),"n.a."))</f>
        <v>0</v>
      </c>
      <c r="N2242" s="16">
        <f>IF(NOT(Paths!$C$210=1),0,IF(Paths!$P$210="Complete",SUM(G2242:I2242)-J2242-K2242-L2242+M2242+IF(C2242=0,Paths!$F$210,0)+IF(IF(Paths!$E$210=0,C2242=0,AND(C2242&gt;0,Paths!$E$210&gt;(C2242-1)*12,Paths!$E$210&lt;=C2242*12)),VLOOKUP(A2242,'Fleet register'!$A$7:$S$106,16,FALSE),0),"n.a."))</f>
        <v>0</v>
      </c>
      <c r="O2242" s="16">
        <f>IF(NOT(Paths!$C$210=1),0,IF(Paths!$P$210="Complete",N2242-IF(C2242=0,Paths!$F$210,0),"n.a."))</f>
        <v>0</v>
      </c>
      <c r="P2242" s="16">
        <f>IF(NOT(Paths!$C$210=1),0,IF(Paths!$P$210="Complete",O2242+L2242,"n.a."))</f>
        <v>0</v>
      </c>
      <c r="Q2242" s="16">
        <f>IF(NOT(Paths!$C$210=1),0,IF(Paths!$P$210="Complete",N2242*(1+'Operating costs'!$B$54)^-C2242,"n.a."))</f>
        <v>0</v>
      </c>
      <c r="R2242" s="16">
        <f>IF(NOT(Paths!$C$210=1),0,IF(Paths!$P$210="Complete",IF(AND(C2242=0,Paths!$E$210=0),I2242-J2242-K2242+VLOOKUP(A2242,'Fleet register'!$A$7:$S$106,15,FALSE)+VLOOKUP(A2242,'Fleet register'!$A$7:$S$106,16,FALSE),0),"n.a."))</f>
        <v>0</v>
      </c>
      <c r="S2242" s="1">
        <f>IF(NOT(Paths!$C$210=1),0,IF(Paths!$P$210="Complete",IF(C2242=0,0,Paths!$S$210*Paths!$R$210),"n.a."))</f>
        <v>0</v>
      </c>
      <c r="T2242" s="1">
        <f>IF(NOT(Paths!$C$210=1),0,IF(Paths!$P$210="Complete",IF(C2242=0,0,VLOOKUP(A2242,'Fleet register'!$A$7:$S$106,9,FALSE)*Paths!$R$210),"n.a."))</f>
        <v>0</v>
      </c>
    </row>
    <row r="2243" spans="1:20" ht="24" customHeight="1">
      <c r="A2243" s="1" t="str">
        <f>Paths!$A$210</f>
        <v>T051</v>
      </c>
      <c r="B2243" s="1">
        <f>Paths!$B$210</f>
        <v>3</v>
      </c>
      <c r="C2243" s="1">
        <v>3</v>
      </c>
      <c r="D2243" s="1">
        <v>210</v>
      </c>
      <c r="E2243" s="1">
        <f>IF(OR(Paths!$C$210=0,C2243=0),0,MAX(0,MIN(C2243*12,Paths!$E$210)-(C2243-1)*12))</f>
        <v>0</v>
      </c>
      <c r="F2243" s="1">
        <f>IF(OR(Paths!$C$210=0,C2243=0),0,12-E2243)</f>
        <v>0</v>
      </c>
      <c r="G2243" s="16">
        <f>IF(NOT(Paths!$C$210=1),0,IF(Paths!$P$210="Complete",E2243/12*(Paths!$J$210*(1+'Operating costs'!$B$51)^MAX(0,C2243-1)+Paths!$K$210*(1+'Operating costs'!$B$53)^MAX(0,C2243-1)),"n.a."))</f>
        <v>0</v>
      </c>
      <c r="H2243" s="16">
        <f>IF(NOT(Paths!$C$210=1),0,IF(Paths!$P$210="Complete",F2243/12*(Paths!$L$210*(1+IF(Paths!$D$210="EV",'Operating costs'!$B$52,'Operating costs'!$B$51))^MAX(0,C2243-1)+Paths!$M$210*(1+'Operating costs'!$B$53)^MAX(0,C2243-1)),"n.a."))</f>
        <v>0</v>
      </c>
      <c r="I2243" s="16">
        <f>IF(NOT(Paths!$C$210=1),0,IF(Paths!$P$210="Complete",IF(IF(Paths!$E$210=0,C2243=0,AND(C2243&gt;0,Paths!$E$210&gt;(C2243-1)*12,Paths!$E$210&lt;=C2243*12)),Paths!$G$210,0),"n.a."))</f>
        <v>0</v>
      </c>
      <c r="J2243" s="16">
        <f>IF(NOT(Paths!$C$210=1),0,IF(Paths!$P$210="Complete",IF(IF(Paths!$E$210=0,C2243=0,AND(C2243&gt;0,Paths!$E$210&gt;(C2243-1)*12,Paths!$E$210&lt;=C2243*12)),Paths!$H$210,0),"n.a."))</f>
        <v>0</v>
      </c>
      <c r="K2243" s="16">
        <f>IF(NOT(Paths!$C$210=1),0,IF(Paths!$P$210="Complete",IF(IF(Paths!$O$210=0,C2243=0,AND(C2243&gt;0,Paths!$O$210&gt;(C2243-1)*12,Paths!$O$210&lt;=C2243*12)),Paths!$N$210,0),"n.a."))</f>
        <v>0</v>
      </c>
      <c r="L2243" s="16">
        <f>IF(NOT(Paths!$C$210=1),0,IF(Paths!$P$210="Complete",IF(C2243=10,Paths!$I$210,0),"n.a."))</f>
        <v>0</v>
      </c>
      <c r="M2243" s="16">
        <f>IF(NOT(Paths!$C$210=1),0,IF(Paths!$P$210="Complete",IF(AND(Paths!$D$210="EV",Paths!$E$210&lt;120,Paths!$E$210+'Operating costs'!$B$65&gt;Paths!$E$210,Paths!$E$210+'Operating costs'!$B$65&lt;=120,IF(Paths!$E$210+'Operating costs'!$B$65=0,C2243=0,AND(C2243&gt;0,Paths!$E$210+'Operating costs'!$B$65&gt;(C2243-1)*12,Paths!$E$210+'Operating costs'!$B$65&lt;=C2243*12))),'Operating costs'!$B$64,0)+IF(AND('Operating costs'!$B$67&gt;0,'Operating costs'!$B$67&lt;=120,OR(Paths!$D$210="ICE",'Operating costs'!$B$67&lt;=Paths!$E$210),IF('Operating costs'!$B$67=0,C2243=0,AND(C2243&gt;0,'Operating costs'!$B$67&gt;(C2243-1)*12,'Operating costs'!$B$67&lt;=C2243*12))),'Operating costs'!$B$66,0),"n.a."))</f>
        <v>0</v>
      </c>
      <c r="N2243" s="16">
        <f>IF(NOT(Paths!$C$210=1),0,IF(Paths!$P$210="Complete",SUM(G2243:I2243)-J2243-K2243-L2243+M2243+IF(C2243=0,Paths!$F$210,0)+IF(IF(Paths!$E$210=0,C2243=0,AND(C2243&gt;0,Paths!$E$210&gt;(C2243-1)*12,Paths!$E$210&lt;=C2243*12)),VLOOKUP(A2243,'Fleet register'!$A$7:$S$106,16,FALSE),0),"n.a."))</f>
        <v>0</v>
      </c>
      <c r="O2243" s="16">
        <f>IF(NOT(Paths!$C$210=1),0,IF(Paths!$P$210="Complete",N2243-IF(C2243=0,Paths!$F$210,0),"n.a."))</f>
        <v>0</v>
      </c>
      <c r="P2243" s="16">
        <f>IF(NOT(Paths!$C$210=1),0,IF(Paths!$P$210="Complete",O2243+L2243,"n.a."))</f>
        <v>0</v>
      </c>
      <c r="Q2243" s="16">
        <f>IF(NOT(Paths!$C$210=1),0,IF(Paths!$P$210="Complete",N2243*(1+'Operating costs'!$B$54)^-C2243,"n.a."))</f>
        <v>0</v>
      </c>
      <c r="R2243" s="16">
        <f>IF(NOT(Paths!$C$210=1),0,IF(Paths!$P$210="Complete",IF(AND(C2243=0,Paths!$E$210=0),I2243-J2243-K2243+VLOOKUP(A2243,'Fleet register'!$A$7:$S$106,15,FALSE)+VLOOKUP(A2243,'Fleet register'!$A$7:$S$106,16,FALSE),0),"n.a."))</f>
        <v>0</v>
      </c>
      <c r="S2243" s="1">
        <f>IF(NOT(Paths!$C$210=1),0,IF(Paths!$P$210="Complete",IF(C2243=0,0,Paths!$S$210*Paths!$R$210),"n.a."))</f>
        <v>0</v>
      </c>
      <c r="T2243" s="1">
        <f>IF(NOT(Paths!$C$210=1),0,IF(Paths!$P$210="Complete",IF(C2243=0,0,VLOOKUP(A2243,'Fleet register'!$A$7:$S$106,9,FALSE)*Paths!$R$210),"n.a."))</f>
        <v>0</v>
      </c>
    </row>
    <row r="2244" spans="1:20" ht="24" customHeight="1">
      <c r="A2244" s="1" t="str">
        <f>Paths!$A$210</f>
        <v>T051</v>
      </c>
      <c r="B2244" s="1">
        <f>Paths!$B$210</f>
        <v>3</v>
      </c>
      <c r="C2244" s="1">
        <v>4</v>
      </c>
      <c r="D2244" s="1">
        <v>210</v>
      </c>
      <c r="E2244" s="1">
        <f>IF(OR(Paths!$C$210=0,C2244=0),0,MAX(0,MIN(C2244*12,Paths!$E$210)-(C2244-1)*12))</f>
        <v>0</v>
      </c>
      <c r="F2244" s="1">
        <f>IF(OR(Paths!$C$210=0,C2244=0),0,12-E2244)</f>
        <v>0</v>
      </c>
      <c r="G2244" s="16">
        <f>IF(NOT(Paths!$C$210=1),0,IF(Paths!$P$210="Complete",E2244/12*(Paths!$J$210*(1+'Operating costs'!$B$51)^MAX(0,C2244-1)+Paths!$K$210*(1+'Operating costs'!$B$53)^MAX(0,C2244-1)),"n.a."))</f>
        <v>0</v>
      </c>
      <c r="H2244" s="16">
        <f>IF(NOT(Paths!$C$210=1),0,IF(Paths!$P$210="Complete",F2244/12*(Paths!$L$210*(1+IF(Paths!$D$210="EV",'Operating costs'!$B$52,'Operating costs'!$B$51))^MAX(0,C2244-1)+Paths!$M$210*(1+'Operating costs'!$B$53)^MAX(0,C2244-1)),"n.a."))</f>
        <v>0</v>
      </c>
      <c r="I2244" s="16">
        <f>IF(NOT(Paths!$C$210=1),0,IF(Paths!$P$210="Complete",IF(IF(Paths!$E$210=0,C2244=0,AND(C2244&gt;0,Paths!$E$210&gt;(C2244-1)*12,Paths!$E$210&lt;=C2244*12)),Paths!$G$210,0),"n.a."))</f>
        <v>0</v>
      </c>
      <c r="J2244" s="16">
        <f>IF(NOT(Paths!$C$210=1),0,IF(Paths!$P$210="Complete",IF(IF(Paths!$E$210=0,C2244=0,AND(C2244&gt;0,Paths!$E$210&gt;(C2244-1)*12,Paths!$E$210&lt;=C2244*12)),Paths!$H$210,0),"n.a."))</f>
        <v>0</v>
      </c>
      <c r="K2244" s="16">
        <f>IF(NOT(Paths!$C$210=1),0,IF(Paths!$P$210="Complete",IF(IF(Paths!$O$210=0,C2244=0,AND(C2244&gt;0,Paths!$O$210&gt;(C2244-1)*12,Paths!$O$210&lt;=C2244*12)),Paths!$N$210,0),"n.a."))</f>
        <v>0</v>
      </c>
      <c r="L2244" s="16">
        <f>IF(NOT(Paths!$C$210=1),0,IF(Paths!$P$210="Complete",IF(C2244=10,Paths!$I$210,0),"n.a."))</f>
        <v>0</v>
      </c>
      <c r="M2244" s="16">
        <f>IF(NOT(Paths!$C$210=1),0,IF(Paths!$P$210="Complete",IF(AND(Paths!$D$210="EV",Paths!$E$210&lt;120,Paths!$E$210+'Operating costs'!$B$65&gt;Paths!$E$210,Paths!$E$210+'Operating costs'!$B$65&lt;=120,IF(Paths!$E$210+'Operating costs'!$B$65=0,C2244=0,AND(C2244&gt;0,Paths!$E$210+'Operating costs'!$B$65&gt;(C2244-1)*12,Paths!$E$210+'Operating costs'!$B$65&lt;=C2244*12))),'Operating costs'!$B$64,0)+IF(AND('Operating costs'!$B$67&gt;0,'Operating costs'!$B$67&lt;=120,OR(Paths!$D$210="ICE",'Operating costs'!$B$67&lt;=Paths!$E$210),IF('Operating costs'!$B$67=0,C2244=0,AND(C2244&gt;0,'Operating costs'!$B$67&gt;(C2244-1)*12,'Operating costs'!$B$67&lt;=C2244*12))),'Operating costs'!$B$66,0),"n.a."))</f>
        <v>0</v>
      </c>
      <c r="N2244" s="16">
        <f>IF(NOT(Paths!$C$210=1),0,IF(Paths!$P$210="Complete",SUM(G2244:I2244)-J2244-K2244-L2244+M2244+IF(C2244=0,Paths!$F$210,0)+IF(IF(Paths!$E$210=0,C2244=0,AND(C2244&gt;0,Paths!$E$210&gt;(C2244-1)*12,Paths!$E$210&lt;=C2244*12)),VLOOKUP(A2244,'Fleet register'!$A$7:$S$106,16,FALSE),0),"n.a."))</f>
        <v>0</v>
      </c>
      <c r="O2244" s="16">
        <f>IF(NOT(Paths!$C$210=1),0,IF(Paths!$P$210="Complete",N2244-IF(C2244=0,Paths!$F$210,0),"n.a."))</f>
        <v>0</v>
      </c>
      <c r="P2244" s="16">
        <f>IF(NOT(Paths!$C$210=1),0,IF(Paths!$P$210="Complete",O2244+L2244,"n.a."))</f>
        <v>0</v>
      </c>
      <c r="Q2244" s="16">
        <f>IF(NOT(Paths!$C$210=1),0,IF(Paths!$P$210="Complete",N2244*(1+'Operating costs'!$B$54)^-C2244,"n.a."))</f>
        <v>0</v>
      </c>
      <c r="R2244" s="16">
        <f>IF(NOT(Paths!$C$210=1),0,IF(Paths!$P$210="Complete",IF(AND(C2244=0,Paths!$E$210=0),I2244-J2244-K2244+VLOOKUP(A2244,'Fleet register'!$A$7:$S$106,15,FALSE)+VLOOKUP(A2244,'Fleet register'!$A$7:$S$106,16,FALSE),0),"n.a."))</f>
        <v>0</v>
      </c>
      <c r="S2244" s="1">
        <f>IF(NOT(Paths!$C$210=1),0,IF(Paths!$P$210="Complete",IF(C2244=0,0,Paths!$S$210*Paths!$R$210),"n.a."))</f>
        <v>0</v>
      </c>
      <c r="T2244" s="1">
        <f>IF(NOT(Paths!$C$210=1),0,IF(Paths!$P$210="Complete",IF(C2244=0,0,VLOOKUP(A2244,'Fleet register'!$A$7:$S$106,9,FALSE)*Paths!$R$210),"n.a."))</f>
        <v>0</v>
      </c>
    </row>
    <row r="2245" spans="1:20" ht="24" customHeight="1">
      <c r="A2245" s="1" t="str">
        <f>Paths!$A$210</f>
        <v>T051</v>
      </c>
      <c r="B2245" s="1">
        <f>Paths!$B$210</f>
        <v>3</v>
      </c>
      <c r="C2245" s="1">
        <v>5</v>
      </c>
      <c r="D2245" s="1">
        <v>210</v>
      </c>
      <c r="E2245" s="1">
        <f>IF(OR(Paths!$C$210=0,C2245=0),0,MAX(0,MIN(C2245*12,Paths!$E$210)-(C2245-1)*12))</f>
        <v>0</v>
      </c>
      <c r="F2245" s="1">
        <f>IF(OR(Paths!$C$210=0,C2245=0),0,12-E2245)</f>
        <v>0</v>
      </c>
      <c r="G2245" s="16">
        <f>IF(NOT(Paths!$C$210=1),0,IF(Paths!$P$210="Complete",E2245/12*(Paths!$J$210*(1+'Operating costs'!$B$51)^MAX(0,C2245-1)+Paths!$K$210*(1+'Operating costs'!$B$53)^MAX(0,C2245-1)),"n.a."))</f>
        <v>0</v>
      </c>
      <c r="H2245" s="16">
        <f>IF(NOT(Paths!$C$210=1),0,IF(Paths!$P$210="Complete",F2245/12*(Paths!$L$210*(1+IF(Paths!$D$210="EV",'Operating costs'!$B$52,'Operating costs'!$B$51))^MAX(0,C2245-1)+Paths!$M$210*(1+'Operating costs'!$B$53)^MAX(0,C2245-1)),"n.a."))</f>
        <v>0</v>
      </c>
      <c r="I2245" s="16">
        <f>IF(NOT(Paths!$C$210=1),0,IF(Paths!$P$210="Complete",IF(IF(Paths!$E$210=0,C2245=0,AND(C2245&gt;0,Paths!$E$210&gt;(C2245-1)*12,Paths!$E$210&lt;=C2245*12)),Paths!$G$210,0),"n.a."))</f>
        <v>0</v>
      </c>
      <c r="J2245" s="16">
        <f>IF(NOT(Paths!$C$210=1),0,IF(Paths!$P$210="Complete",IF(IF(Paths!$E$210=0,C2245=0,AND(C2245&gt;0,Paths!$E$210&gt;(C2245-1)*12,Paths!$E$210&lt;=C2245*12)),Paths!$H$210,0),"n.a."))</f>
        <v>0</v>
      </c>
      <c r="K2245" s="16">
        <f>IF(NOT(Paths!$C$210=1),0,IF(Paths!$P$210="Complete",IF(IF(Paths!$O$210=0,C2245=0,AND(C2245&gt;0,Paths!$O$210&gt;(C2245-1)*12,Paths!$O$210&lt;=C2245*12)),Paths!$N$210,0),"n.a."))</f>
        <v>0</v>
      </c>
      <c r="L2245" s="16">
        <f>IF(NOT(Paths!$C$210=1),0,IF(Paths!$P$210="Complete",IF(C2245=10,Paths!$I$210,0),"n.a."))</f>
        <v>0</v>
      </c>
      <c r="M2245" s="16">
        <f>IF(NOT(Paths!$C$210=1),0,IF(Paths!$P$210="Complete",IF(AND(Paths!$D$210="EV",Paths!$E$210&lt;120,Paths!$E$210+'Operating costs'!$B$65&gt;Paths!$E$210,Paths!$E$210+'Operating costs'!$B$65&lt;=120,IF(Paths!$E$210+'Operating costs'!$B$65=0,C2245=0,AND(C2245&gt;0,Paths!$E$210+'Operating costs'!$B$65&gt;(C2245-1)*12,Paths!$E$210+'Operating costs'!$B$65&lt;=C2245*12))),'Operating costs'!$B$64,0)+IF(AND('Operating costs'!$B$67&gt;0,'Operating costs'!$B$67&lt;=120,OR(Paths!$D$210="ICE",'Operating costs'!$B$67&lt;=Paths!$E$210),IF('Operating costs'!$B$67=0,C2245=0,AND(C2245&gt;0,'Operating costs'!$B$67&gt;(C2245-1)*12,'Operating costs'!$B$67&lt;=C2245*12))),'Operating costs'!$B$66,0),"n.a."))</f>
        <v>0</v>
      </c>
      <c r="N2245" s="16">
        <f>IF(NOT(Paths!$C$210=1),0,IF(Paths!$P$210="Complete",SUM(G2245:I2245)-J2245-K2245-L2245+M2245+IF(C2245=0,Paths!$F$210,0)+IF(IF(Paths!$E$210=0,C2245=0,AND(C2245&gt;0,Paths!$E$210&gt;(C2245-1)*12,Paths!$E$210&lt;=C2245*12)),VLOOKUP(A2245,'Fleet register'!$A$7:$S$106,16,FALSE),0),"n.a."))</f>
        <v>0</v>
      </c>
      <c r="O2245" s="16">
        <f>IF(NOT(Paths!$C$210=1),0,IF(Paths!$P$210="Complete",N2245-IF(C2245=0,Paths!$F$210,0),"n.a."))</f>
        <v>0</v>
      </c>
      <c r="P2245" s="16">
        <f>IF(NOT(Paths!$C$210=1),0,IF(Paths!$P$210="Complete",O2245+L2245,"n.a."))</f>
        <v>0</v>
      </c>
      <c r="Q2245" s="16">
        <f>IF(NOT(Paths!$C$210=1),0,IF(Paths!$P$210="Complete",N2245*(1+'Operating costs'!$B$54)^-C2245,"n.a."))</f>
        <v>0</v>
      </c>
      <c r="R2245" s="16">
        <f>IF(NOT(Paths!$C$210=1),0,IF(Paths!$P$210="Complete",IF(AND(C2245=0,Paths!$E$210=0),I2245-J2245-K2245+VLOOKUP(A2245,'Fleet register'!$A$7:$S$106,15,FALSE)+VLOOKUP(A2245,'Fleet register'!$A$7:$S$106,16,FALSE),0),"n.a."))</f>
        <v>0</v>
      </c>
      <c r="S2245" s="1">
        <f>IF(NOT(Paths!$C$210=1),0,IF(Paths!$P$210="Complete",IF(C2245=0,0,Paths!$S$210*Paths!$R$210),"n.a."))</f>
        <v>0</v>
      </c>
      <c r="T2245" s="1">
        <f>IF(NOT(Paths!$C$210=1),0,IF(Paths!$P$210="Complete",IF(C2245=0,0,VLOOKUP(A2245,'Fleet register'!$A$7:$S$106,9,FALSE)*Paths!$R$210),"n.a."))</f>
        <v>0</v>
      </c>
    </row>
    <row r="2246" spans="1:20" ht="24" customHeight="1">
      <c r="A2246" s="1" t="str">
        <f>Paths!$A$210</f>
        <v>T051</v>
      </c>
      <c r="B2246" s="1">
        <f>Paths!$B$210</f>
        <v>3</v>
      </c>
      <c r="C2246" s="1">
        <v>6</v>
      </c>
      <c r="D2246" s="1">
        <v>210</v>
      </c>
      <c r="E2246" s="1">
        <f>IF(OR(Paths!$C$210=0,C2246=0),0,MAX(0,MIN(C2246*12,Paths!$E$210)-(C2246-1)*12))</f>
        <v>0</v>
      </c>
      <c r="F2246" s="1">
        <f>IF(OR(Paths!$C$210=0,C2246=0),0,12-E2246)</f>
        <v>0</v>
      </c>
      <c r="G2246" s="16">
        <f>IF(NOT(Paths!$C$210=1),0,IF(Paths!$P$210="Complete",E2246/12*(Paths!$J$210*(1+'Operating costs'!$B$51)^MAX(0,C2246-1)+Paths!$K$210*(1+'Operating costs'!$B$53)^MAX(0,C2246-1)),"n.a."))</f>
        <v>0</v>
      </c>
      <c r="H2246" s="16">
        <f>IF(NOT(Paths!$C$210=1),0,IF(Paths!$P$210="Complete",F2246/12*(Paths!$L$210*(1+IF(Paths!$D$210="EV",'Operating costs'!$B$52,'Operating costs'!$B$51))^MAX(0,C2246-1)+Paths!$M$210*(1+'Operating costs'!$B$53)^MAX(0,C2246-1)),"n.a."))</f>
        <v>0</v>
      </c>
      <c r="I2246" s="16">
        <f>IF(NOT(Paths!$C$210=1),0,IF(Paths!$P$210="Complete",IF(IF(Paths!$E$210=0,C2246=0,AND(C2246&gt;0,Paths!$E$210&gt;(C2246-1)*12,Paths!$E$210&lt;=C2246*12)),Paths!$G$210,0),"n.a."))</f>
        <v>0</v>
      </c>
      <c r="J2246" s="16">
        <f>IF(NOT(Paths!$C$210=1),0,IF(Paths!$P$210="Complete",IF(IF(Paths!$E$210=0,C2246=0,AND(C2246&gt;0,Paths!$E$210&gt;(C2246-1)*12,Paths!$E$210&lt;=C2246*12)),Paths!$H$210,0),"n.a."))</f>
        <v>0</v>
      </c>
      <c r="K2246" s="16">
        <f>IF(NOT(Paths!$C$210=1),0,IF(Paths!$P$210="Complete",IF(IF(Paths!$O$210=0,C2246=0,AND(C2246&gt;0,Paths!$O$210&gt;(C2246-1)*12,Paths!$O$210&lt;=C2246*12)),Paths!$N$210,0),"n.a."))</f>
        <v>0</v>
      </c>
      <c r="L2246" s="16">
        <f>IF(NOT(Paths!$C$210=1),0,IF(Paths!$P$210="Complete",IF(C2246=10,Paths!$I$210,0),"n.a."))</f>
        <v>0</v>
      </c>
      <c r="M2246" s="16">
        <f>IF(NOT(Paths!$C$210=1),0,IF(Paths!$P$210="Complete",IF(AND(Paths!$D$210="EV",Paths!$E$210&lt;120,Paths!$E$210+'Operating costs'!$B$65&gt;Paths!$E$210,Paths!$E$210+'Operating costs'!$B$65&lt;=120,IF(Paths!$E$210+'Operating costs'!$B$65=0,C2246=0,AND(C2246&gt;0,Paths!$E$210+'Operating costs'!$B$65&gt;(C2246-1)*12,Paths!$E$210+'Operating costs'!$B$65&lt;=C2246*12))),'Operating costs'!$B$64,0)+IF(AND('Operating costs'!$B$67&gt;0,'Operating costs'!$B$67&lt;=120,OR(Paths!$D$210="ICE",'Operating costs'!$B$67&lt;=Paths!$E$210),IF('Operating costs'!$B$67=0,C2246=0,AND(C2246&gt;0,'Operating costs'!$B$67&gt;(C2246-1)*12,'Operating costs'!$B$67&lt;=C2246*12))),'Operating costs'!$B$66,0),"n.a."))</f>
        <v>0</v>
      </c>
      <c r="N2246" s="16">
        <f>IF(NOT(Paths!$C$210=1),0,IF(Paths!$P$210="Complete",SUM(G2246:I2246)-J2246-K2246-L2246+M2246+IF(C2246=0,Paths!$F$210,0)+IF(IF(Paths!$E$210=0,C2246=0,AND(C2246&gt;0,Paths!$E$210&gt;(C2246-1)*12,Paths!$E$210&lt;=C2246*12)),VLOOKUP(A2246,'Fleet register'!$A$7:$S$106,16,FALSE),0),"n.a."))</f>
        <v>0</v>
      </c>
      <c r="O2246" s="16">
        <f>IF(NOT(Paths!$C$210=1),0,IF(Paths!$P$210="Complete",N2246-IF(C2246=0,Paths!$F$210,0),"n.a."))</f>
        <v>0</v>
      </c>
      <c r="P2246" s="16">
        <f>IF(NOT(Paths!$C$210=1),0,IF(Paths!$P$210="Complete",O2246+L2246,"n.a."))</f>
        <v>0</v>
      </c>
      <c r="Q2246" s="16">
        <f>IF(NOT(Paths!$C$210=1),0,IF(Paths!$P$210="Complete",N2246*(1+'Operating costs'!$B$54)^-C2246,"n.a."))</f>
        <v>0</v>
      </c>
      <c r="R2246" s="16">
        <f>IF(NOT(Paths!$C$210=1),0,IF(Paths!$P$210="Complete",IF(AND(C2246=0,Paths!$E$210=0),I2246-J2246-K2246+VLOOKUP(A2246,'Fleet register'!$A$7:$S$106,15,FALSE)+VLOOKUP(A2246,'Fleet register'!$A$7:$S$106,16,FALSE),0),"n.a."))</f>
        <v>0</v>
      </c>
      <c r="S2246" s="1">
        <f>IF(NOT(Paths!$C$210=1),0,IF(Paths!$P$210="Complete",IF(C2246=0,0,Paths!$S$210*Paths!$R$210),"n.a."))</f>
        <v>0</v>
      </c>
      <c r="T2246" s="1">
        <f>IF(NOT(Paths!$C$210=1),0,IF(Paths!$P$210="Complete",IF(C2246=0,0,VLOOKUP(A2246,'Fleet register'!$A$7:$S$106,9,FALSE)*Paths!$R$210),"n.a."))</f>
        <v>0</v>
      </c>
    </row>
    <row r="2247" spans="1:20" ht="24" customHeight="1">
      <c r="A2247" s="1" t="str">
        <f>Paths!$A$210</f>
        <v>T051</v>
      </c>
      <c r="B2247" s="1">
        <f>Paths!$B$210</f>
        <v>3</v>
      </c>
      <c r="C2247" s="1">
        <v>7</v>
      </c>
      <c r="D2247" s="1">
        <v>210</v>
      </c>
      <c r="E2247" s="1">
        <f>IF(OR(Paths!$C$210=0,C2247=0),0,MAX(0,MIN(C2247*12,Paths!$E$210)-(C2247-1)*12))</f>
        <v>0</v>
      </c>
      <c r="F2247" s="1">
        <f>IF(OR(Paths!$C$210=0,C2247=0),0,12-E2247)</f>
        <v>0</v>
      </c>
      <c r="G2247" s="16">
        <f>IF(NOT(Paths!$C$210=1),0,IF(Paths!$P$210="Complete",E2247/12*(Paths!$J$210*(1+'Operating costs'!$B$51)^MAX(0,C2247-1)+Paths!$K$210*(1+'Operating costs'!$B$53)^MAX(0,C2247-1)),"n.a."))</f>
        <v>0</v>
      </c>
      <c r="H2247" s="16">
        <f>IF(NOT(Paths!$C$210=1),0,IF(Paths!$P$210="Complete",F2247/12*(Paths!$L$210*(1+IF(Paths!$D$210="EV",'Operating costs'!$B$52,'Operating costs'!$B$51))^MAX(0,C2247-1)+Paths!$M$210*(1+'Operating costs'!$B$53)^MAX(0,C2247-1)),"n.a."))</f>
        <v>0</v>
      </c>
      <c r="I2247" s="16">
        <f>IF(NOT(Paths!$C$210=1),0,IF(Paths!$P$210="Complete",IF(IF(Paths!$E$210=0,C2247=0,AND(C2247&gt;0,Paths!$E$210&gt;(C2247-1)*12,Paths!$E$210&lt;=C2247*12)),Paths!$G$210,0),"n.a."))</f>
        <v>0</v>
      </c>
      <c r="J2247" s="16">
        <f>IF(NOT(Paths!$C$210=1),0,IF(Paths!$P$210="Complete",IF(IF(Paths!$E$210=0,C2247=0,AND(C2247&gt;0,Paths!$E$210&gt;(C2247-1)*12,Paths!$E$210&lt;=C2247*12)),Paths!$H$210,0),"n.a."))</f>
        <v>0</v>
      </c>
      <c r="K2247" s="16">
        <f>IF(NOT(Paths!$C$210=1),0,IF(Paths!$P$210="Complete",IF(IF(Paths!$O$210=0,C2247=0,AND(C2247&gt;0,Paths!$O$210&gt;(C2247-1)*12,Paths!$O$210&lt;=C2247*12)),Paths!$N$210,0),"n.a."))</f>
        <v>0</v>
      </c>
      <c r="L2247" s="16">
        <f>IF(NOT(Paths!$C$210=1),0,IF(Paths!$P$210="Complete",IF(C2247=10,Paths!$I$210,0),"n.a."))</f>
        <v>0</v>
      </c>
      <c r="M2247" s="16">
        <f>IF(NOT(Paths!$C$210=1),0,IF(Paths!$P$210="Complete",IF(AND(Paths!$D$210="EV",Paths!$E$210&lt;120,Paths!$E$210+'Operating costs'!$B$65&gt;Paths!$E$210,Paths!$E$210+'Operating costs'!$B$65&lt;=120,IF(Paths!$E$210+'Operating costs'!$B$65=0,C2247=0,AND(C2247&gt;0,Paths!$E$210+'Operating costs'!$B$65&gt;(C2247-1)*12,Paths!$E$210+'Operating costs'!$B$65&lt;=C2247*12))),'Operating costs'!$B$64,0)+IF(AND('Operating costs'!$B$67&gt;0,'Operating costs'!$B$67&lt;=120,OR(Paths!$D$210="ICE",'Operating costs'!$B$67&lt;=Paths!$E$210),IF('Operating costs'!$B$67=0,C2247=0,AND(C2247&gt;0,'Operating costs'!$B$67&gt;(C2247-1)*12,'Operating costs'!$B$67&lt;=C2247*12))),'Operating costs'!$B$66,0),"n.a."))</f>
        <v>0</v>
      </c>
      <c r="N2247" s="16">
        <f>IF(NOT(Paths!$C$210=1),0,IF(Paths!$P$210="Complete",SUM(G2247:I2247)-J2247-K2247-L2247+M2247+IF(C2247=0,Paths!$F$210,0)+IF(IF(Paths!$E$210=0,C2247=0,AND(C2247&gt;0,Paths!$E$210&gt;(C2247-1)*12,Paths!$E$210&lt;=C2247*12)),VLOOKUP(A2247,'Fleet register'!$A$7:$S$106,16,FALSE),0),"n.a."))</f>
        <v>0</v>
      </c>
      <c r="O2247" s="16">
        <f>IF(NOT(Paths!$C$210=1),0,IF(Paths!$P$210="Complete",N2247-IF(C2247=0,Paths!$F$210,0),"n.a."))</f>
        <v>0</v>
      </c>
      <c r="P2247" s="16">
        <f>IF(NOT(Paths!$C$210=1),0,IF(Paths!$P$210="Complete",O2247+L2247,"n.a."))</f>
        <v>0</v>
      </c>
      <c r="Q2247" s="16">
        <f>IF(NOT(Paths!$C$210=1),0,IF(Paths!$P$210="Complete",N2247*(1+'Operating costs'!$B$54)^-C2247,"n.a."))</f>
        <v>0</v>
      </c>
      <c r="R2247" s="16">
        <f>IF(NOT(Paths!$C$210=1),0,IF(Paths!$P$210="Complete",IF(AND(C2247=0,Paths!$E$210=0),I2247-J2247-K2247+VLOOKUP(A2247,'Fleet register'!$A$7:$S$106,15,FALSE)+VLOOKUP(A2247,'Fleet register'!$A$7:$S$106,16,FALSE),0),"n.a."))</f>
        <v>0</v>
      </c>
      <c r="S2247" s="1">
        <f>IF(NOT(Paths!$C$210=1),0,IF(Paths!$P$210="Complete",IF(C2247=0,0,Paths!$S$210*Paths!$R$210),"n.a."))</f>
        <v>0</v>
      </c>
      <c r="T2247" s="1">
        <f>IF(NOT(Paths!$C$210=1),0,IF(Paths!$P$210="Complete",IF(C2247=0,0,VLOOKUP(A2247,'Fleet register'!$A$7:$S$106,9,FALSE)*Paths!$R$210),"n.a."))</f>
        <v>0</v>
      </c>
    </row>
    <row r="2248" spans="1:20" ht="24" customHeight="1">
      <c r="A2248" s="1" t="str">
        <f>Paths!$A$210</f>
        <v>T051</v>
      </c>
      <c r="B2248" s="1">
        <f>Paths!$B$210</f>
        <v>3</v>
      </c>
      <c r="C2248" s="1">
        <v>8</v>
      </c>
      <c r="D2248" s="1">
        <v>210</v>
      </c>
      <c r="E2248" s="1">
        <f>IF(OR(Paths!$C$210=0,C2248=0),0,MAX(0,MIN(C2248*12,Paths!$E$210)-(C2248-1)*12))</f>
        <v>0</v>
      </c>
      <c r="F2248" s="1">
        <f>IF(OR(Paths!$C$210=0,C2248=0),0,12-E2248)</f>
        <v>0</v>
      </c>
      <c r="G2248" s="16">
        <f>IF(NOT(Paths!$C$210=1),0,IF(Paths!$P$210="Complete",E2248/12*(Paths!$J$210*(1+'Operating costs'!$B$51)^MAX(0,C2248-1)+Paths!$K$210*(1+'Operating costs'!$B$53)^MAX(0,C2248-1)),"n.a."))</f>
        <v>0</v>
      </c>
      <c r="H2248" s="16">
        <f>IF(NOT(Paths!$C$210=1),0,IF(Paths!$P$210="Complete",F2248/12*(Paths!$L$210*(1+IF(Paths!$D$210="EV",'Operating costs'!$B$52,'Operating costs'!$B$51))^MAX(0,C2248-1)+Paths!$M$210*(1+'Operating costs'!$B$53)^MAX(0,C2248-1)),"n.a."))</f>
        <v>0</v>
      </c>
      <c r="I2248" s="16">
        <f>IF(NOT(Paths!$C$210=1),0,IF(Paths!$P$210="Complete",IF(IF(Paths!$E$210=0,C2248=0,AND(C2248&gt;0,Paths!$E$210&gt;(C2248-1)*12,Paths!$E$210&lt;=C2248*12)),Paths!$G$210,0),"n.a."))</f>
        <v>0</v>
      </c>
      <c r="J2248" s="16">
        <f>IF(NOT(Paths!$C$210=1),0,IF(Paths!$P$210="Complete",IF(IF(Paths!$E$210=0,C2248=0,AND(C2248&gt;0,Paths!$E$210&gt;(C2248-1)*12,Paths!$E$210&lt;=C2248*12)),Paths!$H$210,0),"n.a."))</f>
        <v>0</v>
      </c>
      <c r="K2248" s="16">
        <f>IF(NOT(Paths!$C$210=1),0,IF(Paths!$P$210="Complete",IF(IF(Paths!$O$210=0,C2248=0,AND(C2248&gt;0,Paths!$O$210&gt;(C2248-1)*12,Paths!$O$210&lt;=C2248*12)),Paths!$N$210,0),"n.a."))</f>
        <v>0</v>
      </c>
      <c r="L2248" s="16">
        <f>IF(NOT(Paths!$C$210=1),0,IF(Paths!$P$210="Complete",IF(C2248=10,Paths!$I$210,0),"n.a."))</f>
        <v>0</v>
      </c>
      <c r="M2248" s="16">
        <f>IF(NOT(Paths!$C$210=1),0,IF(Paths!$P$210="Complete",IF(AND(Paths!$D$210="EV",Paths!$E$210&lt;120,Paths!$E$210+'Operating costs'!$B$65&gt;Paths!$E$210,Paths!$E$210+'Operating costs'!$B$65&lt;=120,IF(Paths!$E$210+'Operating costs'!$B$65=0,C2248=0,AND(C2248&gt;0,Paths!$E$210+'Operating costs'!$B$65&gt;(C2248-1)*12,Paths!$E$210+'Operating costs'!$B$65&lt;=C2248*12))),'Operating costs'!$B$64,0)+IF(AND('Operating costs'!$B$67&gt;0,'Operating costs'!$B$67&lt;=120,OR(Paths!$D$210="ICE",'Operating costs'!$B$67&lt;=Paths!$E$210),IF('Operating costs'!$B$67=0,C2248=0,AND(C2248&gt;0,'Operating costs'!$B$67&gt;(C2248-1)*12,'Operating costs'!$B$67&lt;=C2248*12))),'Operating costs'!$B$66,0),"n.a."))</f>
        <v>0</v>
      </c>
      <c r="N2248" s="16">
        <f>IF(NOT(Paths!$C$210=1),0,IF(Paths!$P$210="Complete",SUM(G2248:I2248)-J2248-K2248-L2248+M2248+IF(C2248=0,Paths!$F$210,0)+IF(IF(Paths!$E$210=0,C2248=0,AND(C2248&gt;0,Paths!$E$210&gt;(C2248-1)*12,Paths!$E$210&lt;=C2248*12)),VLOOKUP(A2248,'Fleet register'!$A$7:$S$106,16,FALSE),0),"n.a."))</f>
        <v>0</v>
      </c>
      <c r="O2248" s="16">
        <f>IF(NOT(Paths!$C$210=1),0,IF(Paths!$P$210="Complete",N2248-IF(C2248=0,Paths!$F$210,0),"n.a."))</f>
        <v>0</v>
      </c>
      <c r="P2248" s="16">
        <f>IF(NOT(Paths!$C$210=1),0,IF(Paths!$P$210="Complete",O2248+L2248,"n.a."))</f>
        <v>0</v>
      </c>
      <c r="Q2248" s="16">
        <f>IF(NOT(Paths!$C$210=1),0,IF(Paths!$P$210="Complete",N2248*(1+'Operating costs'!$B$54)^-C2248,"n.a."))</f>
        <v>0</v>
      </c>
      <c r="R2248" s="16">
        <f>IF(NOT(Paths!$C$210=1),0,IF(Paths!$P$210="Complete",IF(AND(C2248=0,Paths!$E$210=0),I2248-J2248-K2248+VLOOKUP(A2248,'Fleet register'!$A$7:$S$106,15,FALSE)+VLOOKUP(A2248,'Fleet register'!$A$7:$S$106,16,FALSE),0),"n.a."))</f>
        <v>0</v>
      </c>
      <c r="S2248" s="1">
        <f>IF(NOT(Paths!$C$210=1),0,IF(Paths!$P$210="Complete",IF(C2248=0,0,Paths!$S$210*Paths!$R$210),"n.a."))</f>
        <v>0</v>
      </c>
      <c r="T2248" s="1">
        <f>IF(NOT(Paths!$C$210=1),0,IF(Paths!$P$210="Complete",IF(C2248=0,0,VLOOKUP(A2248,'Fleet register'!$A$7:$S$106,9,FALSE)*Paths!$R$210),"n.a."))</f>
        <v>0</v>
      </c>
    </row>
    <row r="2249" spans="1:20" ht="24" customHeight="1">
      <c r="A2249" s="1" t="str">
        <f>Paths!$A$210</f>
        <v>T051</v>
      </c>
      <c r="B2249" s="1">
        <f>Paths!$B$210</f>
        <v>3</v>
      </c>
      <c r="C2249" s="1">
        <v>9</v>
      </c>
      <c r="D2249" s="1">
        <v>210</v>
      </c>
      <c r="E2249" s="1">
        <f>IF(OR(Paths!$C$210=0,C2249=0),0,MAX(0,MIN(C2249*12,Paths!$E$210)-(C2249-1)*12))</f>
        <v>0</v>
      </c>
      <c r="F2249" s="1">
        <f>IF(OR(Paths!$C$210=0,C2249=0),0,12-E2249)</f>
        <v>0</v>
      </c>
      <c r="G2249" s="16">
        <f>IF(NOT(Paths!$C$210=1),0,IF(Paths!$P$210="Complete",E2249/12*(Paths!$J$210*(1+'Operating costs'!$B$51)^MAX(0,C2249-1)+Paths!$K$210*(1+'Operating costs'!$B$53)^MAX(0,C2249-1)),"n.a."))</f>
        <v>0</v>
      </c>
      <c r="H2249" s="16">
        <f>IF(NOT(Paths!$C$210=1),0,IF(Paths!$P$210="Complete",F2249/12*(Paths!$L$210*(1+IF(Paths!$D$210="EV",'Operating costs'!$B$52,'Operating costs'!$B$51))^MAX(0,C2249-1)+Paths!$M$210*(1+'Operating costs'!$B$53)^MAX(0,C2249-1)),"n.a."))</f>
        <v>0</v>
      </c>
      <c r="I2249" s="16">
        <f>IF(NOT(Paths!$C$210=1),0,IF(Paths!$P$210="Complete",IF(IF(Paths!$E$210=0,C2249=0,AND(C2249&gt;0,Paths!$E$210&gt;(C2249-1)*12,Paths!$E$210&lt;=C2249*12)),Paths!$G$210,0),"n.a."))</f>
        <v>0</v>
      </c>
      <c r="J2249" s="16">
        <f>IF(NOT(Paths!$C$210=1),0,IF(Paths!$P$210="Complete",IF(IF(Paths!$E$210=0,C2249=0,AND(C2249&gt;0,Paths!$E$210&gt;(C2249-1)*12,Paths!$E$210&lt;=C2249*12)),Paths!$H$210,0),"n.a."))</f>
        <v>0</v>
      </c>
      <c r="K2249" s="16">
        <f>IF(NOT(Paths!$C$210=1),0,IF(Paths!$P$210="Complete",IF(IF(Paths!$O$210=0,C2249=0,AND(C2249&gt;0,Paths!$O$210&gt;(C2249-1)*12,Paths!$O$210&lt;=C2249*12)),Paths!$N$210,0),"n.a."))</f>
        <v>0</v>
      </c>
      <c r="L2249" s="16">
        <f>IF(NOT(Paths!$C$210=1),0,IF(Paths!$P$210="Complete",IF(C2249=10,Paths!$I$210,0),"n.a."))</f>
        <v>0</v>
      </c>
      <c r="M2249" s="16">
        <f>IF(NOT(Paths!$C$210=1),0,IF(Paths!$P$210="Complete",IF(AND(Paths!$D$210="EV",Paths!$E$210&lt;120,Paths!$E$210+'Operating costs'!$B$65&gt;Paths!$E$210,Paths!$E$210+'Operating costs'!$B$65&lt;=120,IF(Paths!$E$210+'Operating costs'!$B$65=0,C2249=0,AND(C2249&gt;0,Paths!$E$210+'Operating costs'!$B$65&gt;(C2249-1)*12,Paths!$E$210+'Operating costs'!$B$65&lt;=C2249*12))),'Operating costs'!$B$64,0)+IF(AND('Operating costs'!$B$67&gt;0,'Operating costs'!$B$67&lt;=120,OR(Paths!$D$210="ICE",'Operating costs'!$B$67&lt;=Paths!$E$210),IF('Operating costs'!$B$67=0,C2249=0,AND(C2249&gt;0,'Operating costs'!$B$67&gt;(C2249-1)*12,'Operating costs'!$B$67&lt;=C2249*12))),'Operating costs'!$B$66,0),"n.a."))</f>
        <v>0</v>
      </c>
      <c r="N2249" s="16">
        <f>IF(NOT(Paths!$C$210=1),0,IF(Paths!$P$210="Complete",SUM(G2249:I2249)-J2249-K2249-L2249+M2249+IF(C2249=0,Paths!$F$210,0)+IF(IF(Paths!$E$210=0,C2249=0,AND(C2249&gt;0,Paths!$E$210&gt;(C2249-1)*12,Paths!$E$210&lt;=C2249*12)),VLOOKUP(A2249,'Fleet register'!$A$7:$S$106,16,FALSE),0),"n.a."))</f>
        <v>0</v>
      </c>
      <c r="O2249" s="16">
        <f>IF(NOT(Paths!$C$210=1),0,IF(Paths!$P$210="Complete",N2249-IF(C2249=0,Paths!$F$210,0),"n.a."))</f>
        <v>0</v>
      </c>
      <c r="P2249" s="16">
        <f>IF(NOT(Paths!$C$210=1),0,IF(Paths!$P$210="Complete",O2249+L2249,"n.a."))</f>
        <v>0</v>
      </c>
      <c r="Q2249" s="16">
        <f>IF(NOT(Paths!$C$210=1),0,IF(Paths!$P$210="Complete",N2249*(1+'Operating costs'!$B$54)^-C2249,"n.a."))</f>
        <v>0</v>
      </c>
      <c r="R2249" s="16">
        <f>IF(NOT(Paths!$C$210=1),0,IF(Paths!$P$210="Complete",IF(AND(C2249=0,Paths!$E$210=0),I2249-J2249-K2249+VLOOKUP(A2249,'Fleet register'!$A$7:$S$106,15,FALSE)+VLOOKUP(A2249,'Fleet register'!$A$7:$S$106,16,FALSE),0),"n.a."))</f>
        <v>0</v>
      </c>
      <c r="S2249" s="1">
        <f>IF(NOT(Paths!$C$210=1),0,IF(Paths!$P$210="Complete",IF(C2249=0,0,Paths!$S$210*Paths!$R$210),"n.a."))</f>
        <v>0</v>
      </c>
      <c r="T2249" s="1">
        <f>IF(NOT(Paths!$C$210=1),0,IF(Paths!$P$210="Complete",IF(C2249=0,0,VLOOKUP(A2249,'Fleet register'!$A$7:$S$106,9,FALSE)*Paths!$R$210),"n.a."))</f>
        <v>0</v>
      </c>
    </row>
    <row r="2250" spans="1:20" ht="24" customHeight="1">
      <c r="A2250" s="1" t="str">
        <f>Paths!$A$210</f>
        <v>T051</v>
      </c>
      <c r="B2250" s="1">
        <f>Paths!$B$210</f>
        <v>3</v>
      </c>
      <c r="C2250" s="1">
        <v>10</v>
      </c>
      <c r="D2250" s="1">
        <v>210</v>
      </c>
      <c r="E2250" s="1">
        <f>IF(OR(Paths!$C$210=0,C2250=0),0,MAX(0,MIN(C2250*12,Paths!$E$210)-(C2250-1)*12))</f>
        <v>0</v>
      </c>
      <c r="F2250" s="1">
        <f>IF(OR(Paths!$C$210=0,C2250=0),0,12-E2250)</f>
        <v>0</v>
      </c>
      <c r="G2250" s="16">
        <f>IF(NOT(Paths!$C$210=1),0,IF(Paths!$P$210="Complete",E2250/12*(Paths!$J$210*(1+'Operating costs'!$B$51)^MAX(0,C2250-1)+Paths!$K$210*(1+'Operating costs'!$B$53)^MAX(0,C2250-1)),"n.a."))</f>
        <v>0</v>
      </c>
      <c r="H2250" s="16">
        <f>IF(NOT(Paths!$C$210=1),0,IF(Paths!$P$210="Complete",F2250/12*(Paths!$L$210*(1+IF(Paths!$D$210="EV",'Operating costs'!$B$52,'Operating costs'!$B$51))^MAX(0,C2250-1)+Paths!$M$210*(1+'Operating costs'!$B$53)^MAX(0,C2250-1)),"n.a."))</f>
        <v>0</v>
      </c>
      <c r="I2250" s="16">
        <f>IF(NOT(Paths!$C$210=1),0,IF(Paths!$P$210="Complete",IF(IF(Paths!$E$210=0,C2250=0,AND(C2250&gt;0,Paths!$E$210&gt;(C2250-1)*12,Paths!$E$210&lt;=C2250*12)),Paths!$G$210,0),"n.a."))</f>
        <v>0</v>
      </c>
      <c r="J2250" s="16">
        <f>IF(NOT(Paths!$C$210=1),0,IF(Paths!$P$210="Complete",IF(IF(Paths!$E$210=0,C2250=0,AND(C2250&gt;0,Paths!$E$210&gt;(C2250-1)*12,Paths!$E$210&lt;=C2250*12)),Paths!$H$210,0),"n.a."))</f>
        <v>0</v>
      </c>
      <c r="K2250" s="16">
        <f>IF(NOT(Paths!$C$210=1),0,IF(Paths!$P$210="Complete",IF(IF(Paths!$O$210=0,C2250=0,AND(C2250&gt;0,Paths!$O$210&gt;(C2250-1)*12,Paths!$O$210&lt;=C2250*12)),Paths!$N$210,0),"n.a."))</f>
        <v>0</v>
      </c>
      <c r="L2250" s="16">
        <f>IF(NOT(Paths!$C$210=1),0,IF(Paths!$P$210="Complete",IF(C2250=10,Paths!$I$210,0),"n.a."))</f>
        <v>0</v>
      </c>
      <c r="M2250" s="16">
        <f>IF(NOT(Paths!$C$210=1),0,IF(Paths!$P$210="Complete",IF(AND(Paths!$D$210="EV",Paths!$E$210&lt;120,Paths!$E$210+'Operating costs'!$B$65&gt;Paths!$E$210,Paths!$E$210+'Operating costs'!$B$65&lt;=120,IF(Paths!$E$210+'Operating costs'!$B$65=0,C2250=0,AND(C2250&gt;0,Paths!$E$210+'Operating costs'!$B$65&gt;(C2250-1)*12,Paths!$E$210+'Operating costs'!$B$65&lt;=C2250*12))),'Operating costs'!$B$64,0)+IF(AND('Operating costs'!$B$67&gt;0,'Operating costs'!$B$67&lt;=120,OR(Paths!$D$210="ICE",'Operating costs'!$B$67&lt;=Paths!$E$210),IF('Operating costs'!$B$67=0,C2250=0,AND(C2250&gt;0,'Operating costs'!$B$67&gt;(C2250-1)*12,'Operating costs'!$B$67&lt;=C2250*12))),'Operating costs'!$B$66,0),"n.a."))</f>
        <v>0</v>
      </c>
      <c r="N2250" s="16">
        <f>IF(NOT(Paths!$C$210=1),0,IF(Paths!$P$210="Complete",SUM(G2250:I2250)-J2250-K2250-L2250+M2250+IF(C2250=0,Paths!$F$210,0)+IF(IF(Paths!$E$210=0,C2250=0,AND(C2250&gt;0,Paths!$E$210&gt;(C2250-1)*12,Paths!$E$210&lt;=C2250*12)),VLOOKUP(A2250,'Fleet register'!$A$7:$S$106,16,FALSE),0),"n.a."))</f>
        <v>0</v>
      </c>
      <c r="O2250" s="16">
        <f>IF(NOT(Paths!$C$210=1),0,IF(Paths!$P$210="Complete",N2250-IF(C2250=0,Paths!$F$210,0),"n.a."))</f>
        <v>0</v>
      </c>
      <c r="P2250" s="16">
        <f>IF(NOT(Paths!$C$210=1),0,IF(Paths!$P$210="Complete",O2250+L2250,"n.a."))</f>
        <v>0</v>
      </c>
      <c r="Q2250" s="16">
        <f>IF(NOT(Paths!$C$210=1),0,IF(Paths!$P$210="Complete",N2250*(1+'Operating costs'!$B$54)^-C2250,"n.a."))</f>
        <v>0</v>
      </c>
      <c r="R2250" s="16">
        <f>IF(NOT(Paths!$C$210=1),0,IF(Paths!$P$210="Complete",IF(AND(C2250=0,Paths!$E$210=0),I2250-J2250-K2250+VLOOKUP(A2250,'Fleet register'!$A$7:$S$106,15,FALSE)+VLOOKUP(A2250,'Fleet register'!$A$7:$S$106,16,FALSE),0),"n.a."))</f>
        <v>0</v>
      </c>
      <c r="S2250" s="1">
        <f>IF(NOT(Paths!$C$210=1),0,IF(Paths!$P$210="Complete",IF(C2250=0,0,Paths!$S$210*Paths!$R$210),"n.a."))</f>
        <v>0</v>
      </c>
      <c r="T2250" s="1">
        <f>IF(NOT(Paths!$C$210=1),0,IF(Paths!$P$210="Complete",IF(C2250=0,0,VLOOKUP(A2250,'Fleet register'!$A$7:$S$106,9,FALSE)*Paths!$R$210),"n.a."))</f>
        <v>0</v>
      </c>
    </row>
    <row r="2251" spans="1:20" ht="24" customHeight="1">
      <c r="A2251" s="1" t="str">
        <f>Paths!$A$211</f>
        <v>T052</v>
      </c>
      <c r="B2251" s="1">
        <f>Paths!$B$211</f>
        <v>0</v>
      </c>
      <c r="C2251" s="1">
        <v>0</v>
      </c>
      <c r="D2251" s="1">
        <v>211</v>
      </c>
      <c r="E2251" s="1">
        <f>IF(OR(Paths!$C$211=0,C2251=0),0,MAX(0,MIN(C2251*12,Paths!$E$211)-(C2251-1)*12))</f>
        <v>0</v>
      </c>
      <c r="F2251" s="1">
        <f>IF(OR(Paths!$C$211=0,C2251=0),0,12-E2251)</f>
        <v>0</v>
      </c>
      <c r="G2251" s="16">
        <f>IF(NOT(Paths!$C$211=1),0,IF(Paths!$P$211="Complete",E2251/12*(Paths!$J$211*(1+'Operating costs'!$B$51)^MAX(0,C2251-1)+Paths!$K$211*(1+'Operating costs'!$B$53)^MAX(0,C2251-1)),"n.a."))</f>
        <v>0</v>
      </c>
      <c r="H2251" s="16">
        <f>IF(NOT(Paths!$C$211=1),0,IF(Paths!$P$211="Complete",F2251/12*(Paths!$L$211*(1+IF(Paths!$D$211="EV",'Operating costs'!$B$52,'Operating costs'!$B$51))^MAX(0,C2251-1)+Paths!$M$211*(1+'Operating costs'!$B$53)^MAX(0,C2251-1)),"n.a."))</f>
        <v>0</v>
      </c>
      <c r="I2251" s="16">
        <f>IF(NOT(Paths!$C$211=1),0,IF(Paths!$P$211="Complete",IF(IF(Paths!$E$211=0,C2251=0,AND(C2251&gt;0,Paths!$E$211&gt;(C2251-1)*12,Paths!$E$211&lt;=C2251*12)),Paths!$G$211,0),"n.a."))</f>
        <v>0</v>
      </c>
      <c r="J2251" s="16">
        <f>IF(NOT(Paths!$C$211=1),0,IF(Paths!$P$211="Complete",IF(IF(Paths!$E$211=0,C2251=0,AND(C2251&gt;0,Paths!$E$211&gt;(C2251-1)*12,Paths!$E$211&lt;=C2251*12)),Paths!$H$211,0),"n.a."))</f>
        <v>0</v>
      </c>
      <c r="K2251" s="16">
        <f>IF(NOT(Paths!$C$211=1),0,IF(Paths!$P$211="Complete",IF(IF(Paths!$O$211=0,C2251=0,AND(C2251&gt;0,Paths!$O$211&gt;(C2251-1)*12,Paths!$O$211&lt;=C2251*12)),Paths!$N$211,0),"n.a."))</f>
        <v>0</v>
      </c>
      <c r="L2251" s="16">
        <f>IF(NOT(Paths!$C$211=1),0,IF(Paths!$P$211="Complete",IF(C2251=10,Paths!$I$211,0),"n.a."))</f>
        <v>0</v>
      </c>
      <c r="M2251" s="16">
        <f>IF(NOT(Paths!$C$211=1),0,IF(Paths!$P$211="Complete",IF(AND(Paths!$D$211="EV",Paths!$E$211&lt;120,Paths!$E$211+'Operating costs'!$B$65&gt;Paths!$E$211,Paths!$E$211+'Operating costs'!$B$65&lt;=120,IF(Paths!$E$211+'Operating costs'!$B$65=0,C2251=0,AND(C2251&gt;0,Paths!$E$211+'Operating costs'!$B$65&gt;(C2251-1)*12,Paths!$E$211+'Operating costs'!$B$65&lt;=C2251*12))),'Operating costs'!$B$64,0)+IF(AND('Operating costs'!$B$67&gt;0,'Operating costs'!$B$67&lt;=120,OR(Paths!$D$211="ICE",'Operating costs'!$B$67&lt;=Paths!$E$211),IF('Operating costs'!$B$67=0,C2251=0,AND(C2251&gt;0,'Operating costs'!$B$67&gt;(C2251-1)*12,'Operating costs'!$B$67&lt;=C2251*12))),'Operating costs'!$B$66,0),"n.a."))</f>
        <v>0</v>
      </c>
      <c r="N2251" s="16">
        <f>IF(NOT(Paths!$C$211=1),0,IF(Paths!$P$211="Complete",SUM(G2251:I2251)-J2251-K2251-L2251+M2251+IF(C2251=0,Paths!$F$211,0)+IF(IF(Paths!$E$211=0,C2251=0,AND(C2251&gt;0,Paths!$E$211&gt;(C2251-1)*12,Paths!$E$211&lt;=C2251*12)),VLOOKUP(A2251,'Fleet register'!$A$7:$S$106,16,FALSE),0),"n.a."))</f>
        <v>0</v>
      </c>
      <c r="O2251" s="16">
        <f>IF(NOT(Paths!$C$211=1),0,IF(Paths!$P$211="Complete",N2251-IF(C2251=0,Paths!$F$211,0),"n.a."))</f>
        <v>0</v>
      </c>
      <c r="P2251" s="16">
        <f>IF(NOT(Paths!$C$211=1),0,IF(Paths!$P$211="Complete",O2251+L2251,"n.a."))</f>
        <v>0</v>
      </c>
      <c r="Q2251" s="16">
        <f>IF(NOT(Paths!$C$211=1),0,IF(Paths!$P$211="Complete",N2251*(1+'Operating costs'!$B$54)^-C2251,"n.a."))</f>
        <v>0</v>
      </c>
      <c r="R2251" s="16">
        <f>IF(NOT(Paths!$C$211=1),0,IF(Paths!$P$211="Complete",IF(AND(C2251=0,Paths!$E$211=0),I2251-J2251-K2251+VLOOKUP(A2251,'Fleet register'!$A$7:$S$106,15,FALSE)+VLOOKUP(A2251,'Fleet register'!$A$7:$S$106,16,FALSE),0),"n.a."))</f>
        <v>0</v>
      </c>
      <c r="S2251" s="1">
        <f>IF(NOT(Paths!$C$211=1),0,IF(Paths!$P$211="Complete",IF(C2251=0,0,Paths!$S$211*Paths!$R$211),"n.a."))</f>
        <v>0</v>
      </c>
      <c r="T2251" s="1">
        <f>IF(NOT(Paths!$C$211=1),0,IF(Paths!$P$211="Complete",IF(C2251=0,0,VLOOKUP(A2251,'Fleet register'!$A$7:$S$106,9,FALSE)*Paths!$R$211),"n.a."))</f>
        <v>0</v>
      </c>
    </row>
    <row r="2252" spans="1:20" ht="24" customHeight="1">
      <c r="A2252" s="1" t="str">
        <f>Paths!$A$211</f>
        <v>T052</v>
      </c>
      <c r="B2252" s="1">
        <f>Paths!$B$211</f>
        <v>0</v>
      </c>
      <c r="C2252" s="1">
        <v>1</v>
      </c>
      <c r="D2252" s="1">
        <v>211</v>
      </c>
      <c r="E2252" s="1">
        <f>IF(OR(Paths!$C$211=0,C2252=0),0,MAX(0,MIN(C2252*12,Paths!$E$211)-(C2252-1)*12))</f>
        <v>0</v>
      </c>
      <c r="F2252" s="1">
        <f>IF(OR(Paths!$C$211=0,C2252=0),0,12-E2252)</f>
        <v>0</v>
      </c>
      <c r="G2252" s="16">
        <f>IF(NOT(Paths!$C$211=1),0,IF(Paths!$P$211="Complete",E2252/12*(Paths!$J$211*(1+'Operating costs'!$B$51)^MAX(0,C2252-1)+Paths!$K$211*(1+'Operating costs'!$B$53)^MAX(0,C2252-1)),"n.a."))</f>
        <v>0</v>
      </c>
      <c r="H2252" s="16">
        <f>IF(NOT(Paths!$C$211=1),0,IF(Paths!$P$211="Complete",F2252/12*(Paths!$L$211*(1+IF(Paths!$D$211="EV",'Operating costs'!$B$52,'Operating costs'!$B$51))^MAX(0,C2252-1)+Paths!$M$211*(1+'Operating costs'!$B$53)^MAX(0,C2252-1)),"n.a."))</f>
        <v>0</v>
      </c>
      <c r="I2252" s="16">
        <f>IF(NOT(Paths!$C$211=1),0,IF(Paths!$P$211="Complete",IF(IF(Paths!$E$211=0,C2252=0,AND(C2252&gt;0,Paths!$E$211&gt;(C2252-1)*12,Paths!$E$211&lt;=C2252*12)),Paths!$G$211,0),"n.a."))</f>
        <v>0</v>
      </c>
      <c r="J2252" s="16">
        <f>IF(NOT(Paths!$C$211=1),0,IF(Paths!$P$211="Complete",IF(IF(Paths!$E$211=0,C2252=0,AND(C2252&gt;0,Paths!$E$211&gt;(C2252-1)*12,Paths!$E$211&lt;=C2252*12)),Paths!$H$211,0),"n.a."))</f>
        <v>0</v>
      </c>
      <c r="K2252" s="16">
        <f>IF(NOT(Paths!$C$211=1),0,IF(Paths!$P$211="Complete",IF(IF(Paths!$O$211=0,C2252=0,AND(C2252&gt;0,Paths!$O$211&gt;(C2252-1)*12,Paths!$O$211&lt;=C2252*12)),Paths!$N$211,0),"n.a."))</f>
        <v>0</v>
      </c>
      <c r="L2252" s="16">
        <f>IF(NOT(Paths!$C$211=1),0,IF(Paths!$P$211="Complete",IF(C2252=10,Paths!$I$211,0),"n.a."))</f>
        <v>0</v>
      </c>
      <c r="M2252" s="16">
        <f>IF(NOT(Paths!$C$211=1),0,IF(Paths!$P$211="Complete",IF(AND(Paths!$D$211="EV",Paths!$E$211&lt;120,Paths!$E$211+'Operating costs'!$B$65&gt;Paths!$E$211,Paths!$E$211+'Operating costs'!$B$65&lt;=120,IF(Paths!$E$211+'Operating costs'!$B$65=0,C2252=0,AND(C2252&gt;0,Paths!$E$211+'Operating costs'!$B$65&gt;(C2252-1)*12,Paths!$E$211+'Operating costs'!$B$65&lt;=C2252*12))),'Operating costs'!$B$64,0)+IF(AND('Operating costs'!$B$67&gt;0,'Operating costs'!$B$67&lt;=120,OR(Paths!$D$211="ICE",'Operating costs'!$B$67&lt;=Paths!$E$211),IF('Operating costs'!$B$67=0,C2252=0,AND(C2252&gt;0,'Operating costs'!$B$67&gt;(C2252-1)*12,'Operating costs'!$B$67&lt;=C2252*12))),'Operating costs'!$B$66,0),"n.a."))</f>
        <v>0</v>
      </c>
      <c r="N2252" s="16">
        <f>IF(NOT(Paths!$C$211=1),0,IF(Paths!$P$211="Complete",SUM(G2252:I2252)-J2252-K2252-L2252+M2252+IF(C2252=0,Paths!$F$211,0)+IF(IF(Paths!$E$211=0,C2252=0,AND(C2252&gt;0,Paths!$E$211&gt;(C2252-1)*12,Paths!$E$211&lt;=C2252*12)),VLOOKUP(A2252,'Fleet register'!$A$7:$S$106,16,FALSE),0),"n.a."))</f>
        <v>0</v>
      </c>
      <c r="O2252" s="16">
        <f>IF(NOT(Paths!$C$211=1),0,IF(Paths!$P$211="Complete",N2252-IF(C2252=0,Paths!$F$211,0),"n.a."))</f>
        <v>0</v>
      </c>
      <c r="P2252" s="16">
        <f>IF(NOT(Paths!$C$211=1),0,IF(Paths!$P$211="Complete",O2252+L2252,"n.a."))</f>
        <v>0</v>
      </c>
      <c r="Q2252" s="16">
        <f>IF(NOT(Paths!$C$211=1),0,IF(Paths!$P$211="Complete",N2252*(1+'Operating costs'!$B$54)^-C2252,"n.a."))</f>
        <v>0</v>
      </c>
      <c r="R2252" s="16">
        <f>IF(NOT(Paths!$C$211=1),0,IF(Paths!$P$211="Complete",IF(AND(C2252=0,Paths!$E$211=0),I2252-J2252-K2252+VLOOKUP(A2252,'Fleet register'!$A$7:$S$106,15,FALSE)+VLOOKUP(A2252,'Fleet register'!$A$7:$S$106,16,FALSE),0),"n.a."))</f>
        <v>0</v>
      </c>
      <c r="S2252" s="1">
        <f>IF(NOT(Paths!$C$211=1),0,IF(Paths!$P$211="Complete",IF(C2252=0,0,Paths!$S$211*Paths!$R$211),"n.a."))</f>
        <v>0</v>
      </c>
      <c r="T2252" s="1">
        <f>IF(NOT(Paths!$C$211=1),0,IF(Paths!$P$211="Complete",IF(C2252=0,0,VLOOKUP(A2252,'Fleet register'!$A$7:$S$106,9,FALSE)*Paths!$R$211),"n.a."))</f>
        <v>0</v>
      </c>
    </row>
    <row r="2253" spans="1:20" ht="24" customHeight="1">
      <c r="A2253" s="1" t="str">
        <f>Paths!$A$211</f>
        <v>T052</v>
      </c>
      <c r="B2253" s="1">
        <f>Paths!$B$211</f>
        <v>0</v>
      </c>
      <c r="C2253" s="1">
        <v>2</v>
      </c>
      <c r="D2253" s="1">
        <v>211</v>
      </c>
      <c r="E2253" s="1">
        <f>IF(OR(Paths!$C$211=0,C2253=0),0,MAX(0,MIN(C2253*12,Paths!$E$211)-(C2253-1)*12))</f>
        <v>0</v>
      </c>
      <c r="F2253" s="1">
        <f>IF(OR(Paths!$C$211=0,C2253=0),0,12-E2253)</f>
        <v>0</v>
      </c>
      <c r="G2253" s="16">
        <f>IF(NOT(Paths!$C$211=1),0,IF(Paths!$P$211="Complete",E2253/12*(Paths!$J$211*(1+'Operating costs'!$B$51)^MAX(0,C2253-1)+Paths!$K$211*(1+'Operating costs'!$B$53)^MAX(0,C2253-1)),"n.a."))</f>
        <v>0</v>
      </c>
      <c r="H2253" s="16">
        <f>IF(NOT(Paths!$C$211=1),0,IF(Paths!$P$211="Complete",F2253/12*(Paths!$L$211*(1+IF(Paths!$D$211="EV",'Operating costs'!$B$52,'Operating costs'!$B$51))^MAX(0,C2253-1)+Paths!$M$211*(1+'Operating costs'!$B$53)^MAX(0,C2253-1)),"n.a."))</f>
        <v>0</v>
      </c>
      <c r="I2253" s="16">
        <f>IF(NOT(Paths!$C$211=1),0,IF(Paths!$P$211="Complete",IF(IF(Paths!$E$211=0,C2253=0,AND(C2253&gt;0,Paths!$E$211&gt;(C2253-1)*12,Paths!$E$211&lt;=C2253*12)),Paths!$G$211,0),"n.a."))</f>
        <v>0</v>
      </c>
      <c r="J2253" s="16">
        <f>IF(NOT(Paths!$C$211=1),0,IF(Paths!$P$211="Complete",IF(IF(Paths!$E$211=0,C2253=0,AND(C2253&gt;0,Paths!$E$211&gt;(C2253-1)*12,Paths!$E$211&lt;=C2253*12)),Paths!$H$211,0),"n.a."))</f>
        <v>0</v>
      </c>
      <c r="K2253" s="16">
        <f>IF(NOT(Paths!$C$211=1),0,IF(Paths!$P$211="Complete",IF(IF(Paths!$O$211=0,C2253=0,AND(C2253&gt;0,Paths!$O$211&gt;(C2253-1)*12,Paths!$O$211&lt;=C2253*12)),Paths!$N$211,0),"n.a."))</f>
        <v>0</v>
      </c>
      <c r="L2253" s="16">
        <f>IF(NOT(Paths!$C$211=1),0,IF(Paths!$P$211="Complete",IF(C2253=10,Paths!$I$211,0),"n.a."))</f>
        <v>0</v>
      </c>
      <c r="M2253" s="16">
        <f>IF(NOT(Paths!$C$211=1),0,IF(Paths!$P$211="Complete",IF(AND(Paths!$D$211="EV",Paths!$E$211&lt;120,Paths!$E$211+'Operating costs'!$B$65&gt;Paths!$E$211,Paths!$E$211+'Operating costs'!$B$65&lt;=120,IF(Paths!$E$211+'Operating costs'!$B$65=0,C2253=0,AND(C2253&gt;0,Paths!$E$211+'Operating costs'!$B$65&gt;(C2253-1)*12,Paths!$E$211+'Operating costs'!$B$65&lt;=C2253*12))),'Operating costs'!$B$64,0)+IF(AND('Operating costs'!$B$67&gt;0,'Operating costs'!$B$67&lt;=120,OR(Paths!$D$211="ICE",'Operating costs'!$B$67&lt;=Paths!$E$211),IF('Operating costs'!$B$67=0,C2253=0,AND(C2253&gt;0,'Operating costs'!$B$67&gt;(C2253-1)*12,'Operating costs'!$B$67&lt;=C2253*12))),'Operating costs'!$B$66,0),"n.a."))</f>
        <v>0</v>
      </c>
      <c r="N2253" s="16">
        <f>IF(NOT(Paths!$C$211=1),0,IF(Paths!$P$211="Complete",SUM(G2253:I2253)-J2253-K2253-L2253+M2253+IF(C2253=0,Paths!$F$211,0)+IF(IF(Paths!$E$211=0,C2253=0,AND(C2253&gt;0,Paths!$E$211&gt;(C2253-1)*12,Paths!$E$211&lt;=C2253*12)),VLOOKUP(A2253,'Fleet register'!$A$7:$S$106,16,FALSE),0),"n.a."))</f>
        <v>0</v>
      </c>
      <c r="O2253" s="16">
        <f>IF(NOT(Paths!$C$211=1),0,IF(Paths!$P$211="Complete",N2253-IF(C2253=0,Paths!$F$211,0),"n.a."))</f>
        <v>0</v>
      </c>
      <c r="P2253" s="16">
        <f>IF(NOT(Paths!$C$211=1),0,IF(Paths!$P$211="Complete",O2253+L2253,"n.a."))</f>
        <v>0</v>
      </c>
      <c r="Q2253" s="16">
        <f>IF(NOT(Paths!$C$211=1),0,IF(Paths!$P$211="Complete",N2253*(1+'Operating costs'!$B$54)^-C2253,"n.a."))</f>
        <v>0</v>
      </c>
      <c r="R2253" s="16">
        <f>IF(NOT(Paths!$C$211=1),0,IF(Paths!$P$211="Complete",IF(AND(C2253=0,Paths!$E$211=0),I2253-J2253-K2253+VLOOKUP(A2253,'Fleet register'!$A$7:$S$106,15,FALSE)+VLOOKUP(A2253,'Fleet register'!$A$7:$S$106,16,FALSE),0),"n.a."))</f>
        <v>0</v>
      </c>
      <c r="S2253" s="1">
        <f>IF(NOT(Paths!$C$211=1),0,IF(Paths!$P$211="Complete",IF(C2253=0,0,Paths!$S$211*Paths!$R$211),"n.a."))</f>
        <v>0</v>
      </c>
      <c r="T2253" s="1">
        <f>IF(NOT(Paths!$C$211=1),0,IF(Paths!$P$211="Complete",IF(C2253=0,0,VLOOKUP(A2253,'Fleet register'!$A$7:$S$106,9,FALSE)*Paths!$R$211),"n.a."))</f>
        <v>0</v>
      </c>
    </row>
    <row r="2254" spans="1:20" ht="24" customHeight="1">
      <c r="A2254" s="1" t="str">
        <f>Paths!$A$211</f>
        <v>T052</v>
      </c>
      <c r="B2254" s="1">
        <f>Paths!$B$211</f>
        <v>0</v>
      </c>
      <c r="C2254" s="1">
        <v>3</v>
      </c>
      <c r="D2254" s="1">
        <v>211</v>
      </c>
      <c r="E2254" s="1">
        <f>IF(OR(Paths!$C$211=0,C2254=0),0,MAX(0,MIN(C2254*12,Paths!$E$211)-(C2254-1)*12))</f>
        <v>0</v>
      </c>
      <c r="F2254" s="1">
        <f>IF(OR(Paths!$C$211=0,C2254=0),0,12-E2254)</f>
        <v>0</v>
      </c>
      <c r="G2254" s="16">
        <f>IF(NOT(Paths!$C$211=1),0,IF(Paths!$P$211="Complete",E2254/12*(Paths!$J$211*(1+'Operating costs'!$B$51)^MAX(0,C2254-1)+Paths!$K$211*(1+'Operating costs'!$B$53)^MAX(0,C2254-1)),"n.a."))</f>
        <v>0</v>
      </c>
      <c r="H2254" s="16">
        <f>IF(NOT(Paths!$C$211=1),0,IF(Paths!$P$211="Complete",F2254/12*(Paths!$L$211*(1+IF(Paths!$D$211="EV",'Operating costs'!$B$52,'Operating costs'!$B$51))^MAX(0,C2254-1)+Paths!$M$211*(1+'Operating costs'!$B$53)^MAX(0,C2254-1)),"n.a."))</f>
        <v>0</v>
      </c>
      <c r="I2254" s="16">
        <f>IF(NOT(Paths!$C$211=1),0,IF(Paths!$P$211="Complete",IF(IF(Paths!$E$211=0,C2254=0,AND(C2254&gt;0,Paths!$E$211&gt;(C2254-1)*12,Paths!$E$211&lt;=C2254*12)),Paths!$G$211,0),"n.a."))</f>
        <v>0</v>
      </c>
      <c r="J2254" s="16">
        <f>IF(NOT(Paths!$C$211=1),0,IF(Paths!$P$211="Complete",IF(IF(Paths!$E$211=0,C2254=0,AND(C2254&gt;0,Paths!$E$211&gt;(C2254-1)*12,Paths!$E$211&lt;=C2254*12)),Paths!$H$211,0),"n.a."))</f>
        <v>0</v>
      </c>
      <c r="K2254" s="16">
        <f>IF(NOT(Paths!$C$211=1),0,IF(Paths!$P$211="Complete",IF(IF(Paths!$O$211=0,C2254=0,AND(C2254&gt;0,Paths!$O$211&gt;(C2254-1)*12,Paths!$O$211&lt;=C2254*12)),Paths!$N$211,0),"n.a."))</f>
        <v>0</v>
      </c>
      <c r="L2254" s="16">
        <f>IF(NOT(Paths!$C$211=1),0,IF(Paths!$P$211="Complete",IF(C2254=10,Paths!$I$211,0),"n.a."))</f>
        <v>0</v>
      </c>
      <c r="M2254" s="16">
        <f>IF(NOT(Paths!$C$211=1),0,IF(Paths!$P$211="Complete",IF(AND(Paths!$D$211="EV",Paths!$E$211&lt;120,Paths!$E$211+'Operating costs'!$B$65&gt;Paths!$E$211,Paths!$E$211+'Operating costs'!$B$65&lt;=120,IF(Paths!$E$211+'Operating costs'!$B$65=0,C2254=0,AND(C2254&gt;0,Paths!$E$211+'Operating costs'!$B$65&gt;(C2254-1)*12,Paths!$E$211+'Operating costs'!$B$65&lt;=C2254*12))),'Operating costs'!$B$64,0)+IF(AND('Operating costs'!$B$67&gt;0,'Operating costs'!$B$67&lt;=120,OR(Paths!$D$211="ICE",'Operating costs'!$B$67&lt;=Paths!$E$211),IF('Operating costs'!$B$67=0,C2254=0,AND(C2254&gt;0,'Operating costs'!$B$67&gt;(C2254-1)*12,'Operating costs'!$B$67&lt;=C2254*12))),'Operating costs'!$B$66,0),"n.a."))</f>
        <v>0</v>
      </c>
      <c r="N2254" s="16">
        <f>IF(NOT(Paths!$C$211=1),0,IF(Paths!$P$211="Complete",SUM(G2254:I2254)-J2254-K2254-L2254+M2254+IF(C2254=0,Paths!$F$211,0)+IF(IF(Paths!$E$211=0,C2254=0,AND(C2254&gt;0,Paths!$E$211&gt;(C2254-1)*12,Paths!$E$211&lt;=C2254*12)),VLOOKUP(A2254,'Fleet register'!$A$7:$S$106,16,FALSE),0),"n.a."))</f>
        <v>0</v>
      </c>
      <c r="O2254" s="16">
        <f>IF(NOT(Paths!$C$211=1),0,IF(Paths!$P$211="Complete",N2254-IF(C2254=0,Paths!$F$211,0),"n.a."))</f>
        <v>0</v>
      </c>
      <c r="P2254" s="16">
        <f>IF(NOT(Paths!$C$211=1),0,IF(Paths!$P$211="Complete",O2254+L2254,"n.a."))</f>
        <v>0</v>
      </c>
      <c r="Q2254" s="16">
        <f>IF(NOT(Paths!$C$211=1),0,IF(Paths!$P$211="Complete",N2254*(1+'Operating costs'!$B$54)^-C2254,"n.a."))</f>
        <v>0</v>
      </c>
      <c r="R2254" s="16">
        <f>IF(NOT(Paths!$C$211=1),0,IF(Paths!$P$211="Complete",IF(AND(C2254=0,Paths!$E$211=0),I2254-J2254-K2254+VLOOKUP(A2254,'Fleet register'!$A$7:$S$106,15,FALSE)+VLOOKUP(A2254,'Fleet register'!$A$7:$S$106,16,FALSE),0),"n.a."))</f>
        <v>0</v>
      </c>
      <c r="S2254" s="1">
        <f>IF(NOT(Paths!$C$211=1),0,IF(Paths!$P$211="Complete",IF(C2254=0,0,Paths!$S$211*Paths!$R$211),"n.a."))</f>
        <v>0</v>
      </c>
      <c r="T2254" s="1">
        <f>IF(NOT(Paths!$C$211=1),0,IF(Paths!$P$211="Complete",IF(C2254=0,0,VLOOKUP(A2254,'Fleet register'!$A$7:$S$106,9,FALSE)*Paths!$R$211),"n.a."))</f>
        <v>0</v>
      </c>
    </row>
    <row r="2255" spans="1:20" ht="24" customHeight="1">
      <c r="A2255" s="1" t="str">
        <f>Paths!$A$211</f>
        <v>T052</v>
      </c>
      <c r="B2255" s="1">
        <f>Paths!$B$211</f>
        <v>0</v>
      </c>
      <c r="C2255" s="1">
        <v>4</v>
      </c>
      <c r="D2255" s="1">
        <v>211</v>
      </c>
      <c r="E2255" s="1">
        <f>IF(OR(Paths!$C$211=0,C2255=0),0,MAX(0,MIN(C2255*12,Paths!$E$211)-(C2255-1)*12))</f>
        <v>0</v>
      </c>
      <c r="F2255" s="1">
        <f>IF(OR(Paths!$C$211=0,C2255=0),0,12-E2255)</f>
        <v>0</v>
      </c>
      <c r="G2255" s="16">
        <f>IF(NOT(Paths!$C$211=1),0,IF(Paths!$P$211="Complete",E2255/12*(Paths!$J$211*(1+'Operating costs'!$B$51)^MAX(0,C2255-1)+Paths!$K$211*(1+'Operating costs'!$B$53)^MAX(0,C2255-1)),"n.a."))</f>
        <v>0</v>
      </c>
      <c r="H2255" s="16">
        <f>IF(NOT(Paths!$C$211=1),0,IF(Paths!$P$211="Complete",F2255/12*(Paths!$L$211*(1+IF(Paths!$D$211="EV",'Operating costs'!$B$52,'Operating costs'!$B$51))^MAX(0,C2255-1)+Paths!$M$211*(1+'Operating costs'!$B$53)^MAX(0,C2255-1)),"n.a."))</f>
        <v>0</v>
      </c>
      <c r="I2255" s="16">
        <f>IF(NOT(Paths!$C$211=1),0,IF(Paths!$P$211="Complete",IF(IF(Paths!$E$211=0,C2255=0,AND(C2255&gt;0,Paths!$E$211&gt;(C2255-1)*12,Paths!$E$211&lt;=C2255*12)),Paths!$G$211,0),"n.a."))</f>
        <v>0</v>
      </c>
      <c r="J2255" s="16">
        <f>IF(NOT(Paths!$C$211=1),0,IF(Paths!$P$211="Complete",IF(IF(Paths!$E$211=0,C2255=0,AND(C2255&gt;0,Paths!$E$211&gt;(C2255-1)*12,Paths!$E$211&lt;=C2255*12)),Paths!$H$211,0),"n.a."))</f>
        <v>0</v>
      </c>
      <c r="K2255" s="16">
        <f>IF(NOT(Paths!$C$211=1),0,IF(Paths!$P$211="Complete",IF(IF(Paths!$O$211=0,C2255=0,AND(C2255&gt;0,Paths!$O$211&gt;(C2255-1)*12,Paths!$O$211&lt;=C2255*12)),Paths!$N$211,0),"n.a."))</f>
        <v>0</v>
      </c>
      <c r="L2255" s="16">
        <f>IF(NOT(Paths!$C$211=1),0,IF(Paths!$P$211="Complete",IF(C2255=10,Paths!$I$211,0),"n.a."))</f>
        <v>0</v>
      </c>
      <c r="M2255" s="16">
        <f>IF(NOT(Paths!$C$211=1),0,IF(Paths!$P$211="Complete",IF(AND(Paths!$D$211="EV",Paths!$E$211&lt;120,Paths!$E$211+'Operating costs'!$B$65&gt;Paths!$E$211,Paths!$E$211+'Operating costs'!$B$65&lt;=120,IF(Paths!$E$211+'Operating costs'!$B$65=0,C2255=0,AND(C2255&gt;0,Paths!$E$211+'Operating costs'!$B$65&gt;(C2255-1)*12,Paths!$E$211+'Operating costs'!$B$65&lt;=C2255*12))),'Operating costs'!$B$64,0)+IF(AND('Operating costs'!$B$67&gt;0,'Operating costs'!$B$67&lt;=120,OR(Paths!$D$211="ICE",'Operating costs'!$B$67&lt;=Paths!$E$211),IF('Operating costs'!$B$67=0,C2255=0,AND(C2255&gt;0,'Operating costs'!$B$67&gt;(C2255-1)*12,'Operating costs'!$B$67&lt;=C2255*12))),'Operating costs'!$B$66,0),"n.a."))</f>
        <v>0</v>
      </c>
      <c r="N2255" s="16">
        <f>IF(NOT(Paths!$C$211=1),0,IF(Paths!$P$211="Complete",SUM(G2255:I2255)-J2255-K2255-L2255+M2255+IF(C2255=0,Paths!$F$211,0)+IF(IF(Paths!$E$211=0,C2255=0,AND(C2255&gt;0,Paths!$E$211&gt;(C2255-1)*12,Paths!$E$211&lt;=C2255*12)),VLOOKUP(A2255,'Fleet register'!$A$7:$S$106,16,FALSE),0),"n.a."))</f>
        <v>0</v>
      </c>
      <c r="O2255" s="16">
        <f>IF(NOT(Paths!$C$211=1),0,IF(Paths!$P$211="Complete",N2255-IF(C2255=0,Paths!$F$211,0),"n.a."))</f>
        <v>0</v>
      </c>
      <c r="P2255" s="16">
        <f>IF(NOT(Paths!$C$211=1),0,IF(Paths!$P$211="Complete",O2255+L2255,"n.a."))</f>
        <v>0</v>
      </c>
      <c r="Q2255" s="16">
        <f>IF(NOT(Paths!$C$211=1),0,IF(Paths!$P$211="Complete",N2255*(1+'Operating costs'!$B$54)^-C2255,"n.a."))</f>
        <v>0</v>
      </c>
      <c r="R2255" s="16">
        <f>IF(NOT(Paths!$C$211=1),0,IF(Paths!$P$211="Complete",IF(AND(C2255=0,Paths!$E$211=0),I2255-J2255-K2255+VLOOKUP(A2255,'Fleet register'!$A$7:$S$106,15,FALSE)+VLOOKUP(A2255,'Fleet register'!$A$7:$S$106,16,FALSE),0),"n.a."))</f>
        <v>0</v>
      </c>
      <c r="S2255" s="1">
        <f>IF(NOT(Paths!$C$211=1),0,IF(Paths!$P$211="Complete",IF(C2255=0,0,Paths!$S$211*Paths!$R$211),"n.a."))</f>
        <v>0</v>
      </c>
      <c r="T2255" s="1">
        <f>IF(NOT(Paths!$C$211=1),0,IF(Paths!$P$211="Complete",IF(C2255=0,0,VLOOKUP(A2255,'Fleet register'!$A$7:$S$106,9,FALSE)*Paths!$R$211),"n.a."))</f>
        <v>0</v>
      </c>
    </row>
    <row r="2256" spans="1:20" ht="24" customHeight="1">
      <c r="A2256" s="1" t="str">
        <f>Paths!$A$211</f>
        <v>T052</v>
      </c>
      <c r="B2256" s="1">
        <f>Paths!$B$211</f>
        <v>0</v>
      </c>
      <c r="C2256" s="1">
        <v>5</v>
      </c>
      <c r="D2256" s="1">
        <v>211</v>
      </c>
      <c r="E2256" s="1">
        <f>IF(OR(Paths!$C$211=0,C2256=0),0,MAX(0,MIN(C2256*12,Paths!$E$211)-(C2256-1)*12))</f>
        <v>0</v>
      </c>
      <c r="F2256" s="1">
        <f>IF(OR(Paths!$C$211=0,C2256=0),0,12-E2256)</f>
        <v>0</v>
      </c>
      <c r="G2256" s="16">
        <f>IF(NOT(Paths!$C$211=1),0,IF(Paths!$P$211="Complete",E2256/12*(Paths!$J$211*(1+'Operating costs'!$B$51)^MAX(0,C2256-1)+Paths!$K$211*(1+'Operating costs'!$B$53)^MAX(0,C2256-1)),"n.a."))</f>
        <v>0</v>
      </c>
      <c r="H2256" s="16">
        <f>IF(NOT(Paths!$C$211=1),0,IF(Paths!$P$211="Complete",F2256/12*(Paths!$L$211*(1+IF(Paths!$D$211="EV",'Operating costs'!$B$52,'Operating costs'!$B$51))^MAX(0,C2256-1)+Paths!$M$211*(1+'Operating costs'!$B$53)^MAX(0,C2256-1)),"n.a."))</f>
        <v>0</v>
      </c>
      <c r="I2256" s="16">
        <f>IF(NOT(Paths!$C$211=1),0,IF(Paths!$P$211="Complete",IF(IF(Paths!$E$211=0,C2256=0,AND(C2256&gt;0,Paths!$E$211&gt;(C2256-1)*12,Paths!$E$211&lt;=C2256*12)),Paths!$G$211,0),"n.a."))</f>
        <v>0</v>
      </c>
      <c r="J2256" s="16">
        <f>IF(NOT(Paths!$C$211=1),0,IF(Paths!$P$211="Complete",IF(IF(Paths!$E$211=0,C2256=0,AND(C2256&gt;0,Paths!$E$211&gt;(C2256-1)*12,Paths!$E$211&lt;=C2256*12)),Paths!$H$211,0),"n.a."))</f>
        <v>0</v>
      </c>
      <c r="K2256" s="16">
        <f>IF(NOT(Paths!$C$211=1),0,IF(Paths!$P$211="Complete",IF(IF(Paths!$O$211=0,C2256=0,AND(C2256&gt;0,Paths!$O$211&gt;(C2256-1)*12,Paths!$O$211&lt;=C2256*12)),Paths!$N$211,0),"n.a."))</f>
        <v>0</v>
      </c>
      <c r="L2256" s="16">
        <f>IF(NOT(Paths!$C$211=1),0,IF(Paths!$P$211="Complete",IF(C2256=10,Paths!$I$211,0),"n.a."))</f>
        <v>0</v>
      </c>
      <c r="M2256" s="16">
        <f>IF(NOT(Paths!$C$211=1),0,IF(Paths!$P$211="Complete",IF(AND(Paths!$D$211="EV",Paths!$E$211&lt;120,Paths!$E$211+'Operating costs'!$B$65&gt;Paths!$E$211,Paths!$E$211+'Operating costs'!$B$65&lt;=120,IF(Paths!$E$211+'Operating costs'!$B$65=0,C2256=0,AND(C2256&gt;0,Paths!$E$211+'Operating costs'!$B$65&gt;(C2256-1)*12,Paths!$E$211+'Operating costs'!$B$65&lt;=C2256*12))),'Operating costs'!$B$64,0)+IF(AND('Operating costs'!$B$67&gt;0,'Operating costs'!$B$67&lt;=120,OR(Paths!$D$211="ICE",'Operating costs'!$B$67&lt;=Paths!$E$211),IF('Operating costs'!$B$67=0,C2256=0,AND(C2256&gt;0,'Operating costs'!$B$67&gt;(C2256-1)*12,'Operating costs'!$B$67&lt;=C2256*12))),'Operating costs'!$B$66,0),"n.a."))</f>
        <v>0</v>
      </c>
      <c r="N2256" s="16">
        <f>IF(NOT(Paths!$C$211=1),0,IF(Paths!$P$211="Complete",SUM(G2256:I2256)-J2256-K2256-L2256+M2256+IF(C2256=0,Paths!$F$211,0)+IF(IF(Paths!$E$211=0,C2256=0,AND(C2256&gt;0,Paths!$E$211&gt;(C2256-1)*12,Paths!$E$211&lt;=C2256*12)),VLOOKUP(A2256,'Fleet register'!$A$7:$S$106,16,FALSE),0),"n.a."))</f>
        <v>0</v>
      </c>
      <c r="O2256" s="16">
        <f>IF(NOT(Paths!$C$211=1),0,IF(Paths!$P$211="Complete",N2256-IF(C2256=0,Paths!$F$211,0),"n.a."))</f>
        <v>0</v>
      </c>
      <c r="P2256" s="16">
        <f>IF(NOT(Paths!$C$211=1),0,IF(Paths!$P$211="Complete",O2256+L2256,"n.a."))</f>
        <v>0</v>
      </c>
      <c r="Q2256" s="16">
        <f>IF(NOT(Paths!$C$211=1),0,IF(Paths!$P$211="Complete",N2256*(1+'Operating costs'!$B$54)^-C2256,"n.a."))</f>
        <v>0</v>
      </c>
      <c r="R2256" s="16">
        <f>IF(NOT(Paths!$C$211=1),0,IF(Paths!$P$211="Complete",IF(AND(C2256=0,Paths!$E$211=0),I2256-J2256-K2256+VLOOKUP(A2256,'Fleet register'!$A$7:$S$106,15,FALSE)+VLOOKUP(A2256,'Fleet register'!$A$7:$S$106,16,FALSE),0),"n.a."))</f>
        <v>0</v>
      </c>
      <c r="S2256" s="1">
        <f>IF(NOT(Paths!$C$211=1),0,IF(Paths!$P$211="Complete",IF(C2256=0,0,Paths!$S$211*Paths!$R$211),"n.a."))</f>
        <v>0</v>
      </c>
      <c r="T2256" s="1">
        <f>IF(NOT(Paths!$C$211=1),0,IF(Paths!$P$211="Complete",IF(C2256=0,0,VLOOKUP(A2256,'Fleet register'!$A$7:$S$106,9,FALSE)*Paths!$R$211),"n.a."))</f>
        <v>0</v>
      </c>
    </row>
    <row r="2257" spans="1:20" ht="24" customHeight="1">
      <c r="A2257" s="1" t="str">
        <f>Paths!$A$211</f>
        <v>T052</v>
      </c>
      <c r="B2257" s="1">
        <f>Paths!$B$211</f>
        <v>0</v>
      </c>
      <c r="C2257" s="1">
        <v>6</v>
      </c>
      <c r="D2257" s="1">
        <v>211</v>
      </c>
      <c r="E2257" s="1">
        <f>IF(OR(Paths!$C$211=0,C2257=0),0,MAX(0,MIN(C2257*12,Paths!$E$211)-(C2257-1)*12))</f>
        <v>0</v>
      </c>
      <c r="F2257" s="1">
        <f>IF(OR(Paths!$C$211=0,C2257=0),0,12-E2257)</f>
        <v>0</v>
      </c>
      <c r="G2257" s="16">
        <f>IF(NOT(Paths!$C$211=1),0,IF(Paths!$P$211="Complete",E2257/12*(Paths!$J$211*(1+'Operating costs'!$B$51)^MAX(0,C2257-1)+Paths!$K$211*(1+'Operating costs'!$B$53)^MAX(0,C2257-1)),"n.a."))</f>
        <v>0</v>
      </c>
      <c r="H2257" s="16">
        <f>IF(NOT(Paths!$C$211=1),0,IF(Paths!$P$211="Complete",F2257/12*(Paths!$L$211*(1+IF(Paths!$D$211="EV",'Operating costs'!$B$52,'Operating costs'!$B$51))^MAX(0,C2257-1)+Paths!$M$211*(1+'Operating costs'!$B$53)^MAX(0,C2257-1)),"n.a."))</f>
        <v>0</v>
      </c>
      <c r="I2257" s="16">
        <f>IF(NOT(Paths!$C$211=1),0,IF(Paths!$P$211="Complete",IF(IF(Paths!$E$211=0,C2257=0,AND(C2257&gt;0,Paths!$E$211&gt;(C2257-1)*12,Paths!$E$211&lt;=C2257*12)),Paths!$G$211,0),"n.a."))</f>
        <v>0</v>
      </c>
      <c r="J2257" s="16">
        <f>IF(NOT(Paths!$C$211=1),0,IF(Paths!$P$211="Complete",IF(IF(Paths!$E$211=0,C2257=0,AND(C2257&gt;0,Paths!$E$211&gt;(C2257-1)*12,Paths!$E$211&lt;=C2257*12)),Paths!$H$211,0),"n.a."))</f>
        <v>0</v>
      </c>
      <c r="K2257" s="16">
        <f>IF(NOT(Paths!$C$211=1),0,IF(Paths!$P$211="Complete",IF(IF(Paths!$O$211=0,C2257=0,AND(C2257&gt;0,Paths!$O$211&gt;(C2257-1)*12,Paths!$O$211&lt;=C2257*12)),Paths!$N$211,0),"n.a."))</f>
        <v>0</v>
      </c>
      <c r="L2257" s="16">
        <f>IF(NOT(Paths!$C$211=1),0,IF(Paths!$P$211="Complete",IF(C2257=10,Paths!$I$211,0),"n.a."))</f>
        <v>0</v>
      </c>
      <c r="M2257" s="16">
        <f>IF(NOT(Paths!$C$211=1),0,IF(Paths!$P$211="Complete",IF(AND(Paths!$D$211="EV",Paths!$E$211&lt;120,Paths!$E$211+'Operating costs'!$B$65&gt;Paths!$E$211,Paths!$E$211+'Operating costs'!$B$65&lt;=120,IF(Paths!$E$211+'Operating costs'!$B$65=0,C2257=0,AND(C2257&gt;0,Paths!$E$211+'Operating costs'!$B$65&gt;(C2257-1)*12,Paths!$E$211+'Operating costs'!$B$65&lt;=C2257*12))),'Operating costs'!$B$64,0)+IF(AND('Operating costs'!$B$67&gt;0,'Operating costs'!$B$67&lt;=120,OR(Paths!$D$211="ICE",'Operating costs'!$B$67&lt;=Paths!$E$211),IF('Operating costs'!$B$67=0,C2257=0,AND(C2257&gt;0,'Operating costs'!$B$67&gt;(C2257-1)*12,'Operating costs'!$B$67&lt;=C2257*12))),'Operating costs'!$B$66,0),"n.a."))</f>
        <v>0</v>
      </c>
      <c r="N2257" s="16">
        <f>IF(NOT(Paths!$C$211=1),0,IF(Paths!$P$211="Complete",SUM(G2257:I2257)-J2257-K2257-L2257+M2257+IF(C2257=0,Paths!$F$211,0)+IF(IF(Paths!$E$211=0,C2257=0,AND(C2257&gt;0,Paths!$E$211&gt;(C2257-1)*12,Paths!$E$211&lt;=C2257*12)),VLOOKUP(A2257,'Fleet register'!$A$7:$S$106,16,FALSE),0),"n.a."))</f>
        <v>0</v>
      </c>
      <c r="O2257" s="16">
        <f>IF(NOT(Paths!$C$211=1),0,IF(Paths!$P$211="Complete",N2257-IF(C2257=0,Paths!$F$211,0),"n.a."))</f>
        <v>0</v>
      </c>
      <c r="P2257" s="16">
        <f>IF(NOT(Paths!$C$211=1),0,IF(Paths!$P$211="Complete",O2257+L2257,"n.a."))</f>
        <v>0</v>
      </c>
      <c r="Q2257" s="16">
        <f>IF(NOT(Paths!$C$211=1),0,IF(Paths!$P$211="Complete",N2257*(1+'Operating costs'!$B$54)^-C2257,"n.a."))</f>
        <v>0</v>
      </c>
      <c r="R2257" s="16">
        <f>IF(NOT(Paths!$C$211=1),0,IF(Paths!$P$211="Complete",IF(AND(C2257=0,Paths!$E$211=0),I2257-J2257-K2257+VLOOKUP(A2257,'Fleet register'!$A$7:$S$106,15,FALSE)+VLOOKUP(A2257,'Fleet register'!$A$7:$S$106,16,FALSE),0),"n.a."))</f>
        <v>0</v>
      </c>
      <c r="S2257" s="1">
        <f>IF(NOT(Paths!$C$211=1),0,IF(Paths!$P$211="Complete",IF(C2257=0,0,Paths!$S$211*Paths!$R$211),"n.a."))</f>
        <v>0</v>
      </c>
      <c r="T2257" s="1">
        <f>IF(NOT(Paths!$C$211=1),0,IF(Paths!$P$211="Complete",IF(C2257=0,0,VLOOKUP(A2257,'Fleet register'!$A$7:$S$106,9,FALSE)*Paths!$R$211),"n.a."))</f>
        <v>0</v>
      </c>
    </row>
    <row r="2258" spans="1:20" ht="24" customHeight="1">
      <c r="A2258" s="1" t="str">
        <f>Paths!$A$211</f>
        <v>T052</v>
      </c>
      <c r="B2258" s="1">
        <f>Paths!$B$211</f>
        <v>0</v>
      </c>
      <c r="C2258" s="1">
        <v>7</v>
      </c>
      <c r="D2258" s="1">
        <v>211</v>
      </c>
      <c r="E2258" s="1">
        <f>IF(OR(Paths!$C$211=0,C2258=0),0,MAX(0,MIN(C2258*12,Paths!$E$211)-(C2258-1)*12))</f>
        <v>0</v>
      </c>
      <c r="F2258" s="1">
        <f>IF(OR(Paths!$C$211=0,C2258=0),0,12-E2258)</f>
        <v>0</v>
      </c>
      <c r="G2258" s="16">
        <f>IF(NOT(Paths!$C$211=1),0,IF(Paths!$P$211="Complete",E2258/12*(Paths!$J$211*(1+'Operating costs'!$B$51)^MAX(0,C2258-1)+Paths!$K$211*(1+'Operating costs'!$B$53)^MAX(0,C2258-1)),"n.a."))</f>
        <v>0</v>
      </c>
      <c r="H2258" s="16">
        <f>IF(NOT(Paths!$C$211=1),0,IF(Paths!$P$211="Complete",F2258/12*(Paths!$L$211*(1+IF(Paths!$D$211="EV",'Operating costs'!$B$52,'Operating costs'!$B$51))^MAX(0,C2258-1)+Paths!$M$211*(1+'Operating costs'!$B$53)^MAX(0,C2258-1)),"n.a."))</f>
        <v>0</v>
      </c>
      <c r="I2258" s="16">
        <f>IF(NOT(Paths!$C$211=1),0,IF(Paths!$P$211="Complete",IF(IF(Paths!$E$211=0,C2258=0,AND(C2258&gt;0,Paths!$E$211&gt;(C2258-1)*12,Paths!$E$211&lt;=C2258*12)),Paths!$G$211,0),"n.a."))</f>
        <v>0</v>
      </c>
      <c r="J2258" s="16">
        <f>IF(NOT(Paths!$C$211=1),0,IF(Paths!$P$211="Complete",IF(IF(Paths!$E$211=0,C2258=0,AND(C2258&gt;0,Paths!$E$211&gt;(C2258-1)*12,Paths!$E$211&lt;=C2258*12)),Paths!$H$211,0),"n.a."))</f>
        <v>0</v>
      </c>
      <c r="K2258" s="16">
        <f>IF(NOT(Paths!$C$211=1),0,IF(Paths!$P$211="Complete",IF(IF(Paths!$O$211=0,C2258=0,AND(C2258&gt;0,Paths!$O$211&gt;(C2258-1)*12,Paths!$O$211&lt;=C2258*12)),Paths!$N$211,0),"n.a."))</f>
        <v>0</v>
      </c>
      <c r="L2258" s="16">
        <f>IF(NOT(Paths!$C$211=1),0,IF(Paths!$P$211="Complete",IF(C2258=10,Paths!$I$211,0),"n.a."))</f>
        <v>0</v>
      </c>
      <c r="M2258" s="16">
        <f>IF(NOT(Paths!$C$211=1),0,IF(Paths!$P$211="Complete",IF(AND(Paths!$D$211="EV",Paths!$E$211&lt;120,Paths!$E$211+'Operating costs'!$B$65&gt;Paths!$E$211,Paths!$E$211+'Operating costs'!$B$65&lt;=120,IF(Paths!$E$211+'Operating costs'!$B$65=0,C2258=0,AND(C2258&gt;0,Paths!$E$211+'Operating costs'!$B$65&gt;(C2258-1)*12,Paths!$E$211+'Operating costs'!$B$65&lt;=C2258*12))),'Operating costs'!$B$64,0)+IF(AND('Operating costs'!$B$67&gt;0,'Operating costs'!$B$67&lt;=120,OR(Paths!$D$211="ICE",'Operating costs'!$B$67&lt;=Paths!$E$211),IF('Operating costs'!$B$67=0,C2258=0,AND(C2258&gt;0,'Operating costs'!$B$67&gt;(C2258-1)*12,'Operating costs'!$B$67&lt;=C2258*12))),'Operating costs'!$B$66,0),"n.a."))</f>
        <v>0</v>
      </c>
      <c r="N2258" s="16">
        <f>IF(NOT(Paths!$C$211=1),0,IF(Paths!$P$211="Complete",SUM(G2258:I2258)-J2258-K2258-L2258+M2258+IF(C2258=0,Paths!$F$211,0)+IF(IF(Paths!$E$211=0,C2258=0,AND(C2258&gt;0,Paths!$E$211&gt;(C2258-1)*12,Paths!$E$211&lt;=C2258*12)),VLOOKUP(A2258,'Fleet register'!$A$7:$S$106,16,FALSE),0),"n.a."))</f>
        <v>0</v>
      </c>
      <c r="O2258" s="16">
        <f>IF(NOT(Paths!$C$211=1),0,IF(Paths!$P$211="Complete",N2258-IF(C2258=0,Paths!$F$211,0),"n.a."))</f>
        <v>0</v>
      </c>
      <c r="P2258" s="16">
        <f>IF(NOT(Paths!$C$211=1),0,IF(Paths!$P$211="Complete",O2258+L2258,"n.a."))</f>
        <v>0</v>
      </c>
      <c r="Q2258" s="16">
        <f>IF(NOT(Paths!$C$211=1),0,IF(Paths!$P$211="Complete",N2258*(1+'Operating costs'!$B$54)^-C2258,"n.a."))</f>
        <v>0</v>
      </c>
      <c r="R2258" s="16">
        <f>IF(NOT(Paths!$C$211=1),0,IF(Paths!$P$211="Complete",IF(AND(C2258=0,Paths!$E$211=0),I2258-J2258-K2258+VLOOKUP(A2258,'Fleet register'!$A$7:$S$106,15,FALSE)+VLOOKUP(A2258,'Fleet register'!$A$7:$S$106,16,FALSE),0),"n.a."))</f>
        <v>0</v>
      </c>
      <c r="S2258" s="1">
        <f>IF(NOT(Paths!$C$211=1),0,IF(Paths!$P$211="Complete",IF(C2258=0,0,Paths!$S$211*Paths!$R$211),"n.a."))</f>
        <v>0</v>
      </c>
      <c r="T2258" s="1">
        <f>IF(NOT(Paths!$C$211=1),0,IF(Paths!$P$211="Complete",IF(C2258=0,0,VLOOKUP(A2258,'Fleet register'!$A$7:$S$106,9,FALSE)*Paths!$R$211),"n.a."))</f>
        <v>0</v>
      </c>
    </row>
    <row r="2259" spans="1:20" ht="24" customHeight="1">
      <c r="A2259" s="1" t="str">
        <f>Paths!$A$211</f>
        <v>T052</v>
      </c>
      <c r="B2259" s="1">
        <f>Paths!$B$211</f>
        <v>0</v>
      </c>
      <c r="C2259" s="1">
        <v>8</v>
      </c>
      <c r="D2259" s="1">
        <v>211</v>
      </c>
      <c r="E2259" s="1">
        <f>IF(OR(Paths!$C$211=0,C2259=0),0,MAX(0,MIN(C2259*12,Paths!$E$211)-(C2259-1)*12))</f>
        <v>0</v>
      </c>
      <c r="F2259" s="1">
        <f>IF(OR(Paths!$C$211=0,C2259=0),0,12-E2259)</f>
        <v>0</v>
      </c>
      <c r="G2259" s="16">
        <f>IF(NOT(Paths!$C$211=1),0,IF(Paths!$P$211="Complete",E2259/12*(Paths!$J$211*(1+'Operating costs'!$B$51)^MAX(0,C2259-1)+Paths!$K$211*(1+'Operating costs'!$B$53)^MAX(0,C2259-1)),"n.a."))</f>
        <v>0</v>
      </c>
      <c r="H2259" s="16">
        <f>IF(NOT(Paths!$C$211=1),0,IF(Paths!$P$211="Complete",F2259/12*(Paths!$L$211*(1+IF(Paths!$D$211="EV",'Operating costs'!$B$52,'Operating costs'!$B$51))^MAX(0,C2259-1)+Paths!$M$211*(1+'Operating costs'!$B$53)^MAX(0,C2259-1)),"n.a."))</f>
        <v>0</v>
      </c>
      <c r="I2259" s="16">
        <f>IF(NOT(Paths!$C$211=1),0,IF(Paths!$P$211="Complete",IF(IF(Paths!$E$211=0,C2259=0,AND(C2259&gt;0,Paths!$E$211&gt;(C2259-1)*12,Paths!$E$211&lt;=C2259*12)),Paths!$G$211,0),"n.a."))</f>
        <v>0</v>
      </c>
      <c r="J2259" s="16">
        <f>IF(NOT(Paths!$C$211=1),0,IF(Paths!$P$211="Complete",IF(IF(Paths!$E$211=0,C2259=0,AND(C2259&gt;0,Paths!$E$211&gt;(C2259-1)*12,Paths!$E$211&lt;=C2259*12)),Paths!$H$211,0),"n.a."))</f>
        <v>0</v>
      </c>
      <c r="K2259" s="16">
        <f>IF(NOT(Paths!$C$211=1),0,IF(Paths!$P$211="Complete",IF(IF(Paths!$O$211=0,C2259=0,AND(C2259&gt;0,Paths!$O$211&gt;(C2259-1)*12,Paths!$O$211&lt;=C2259*12)),Paths!$N$211,0),"n.a."))</f>
        <v>0</v>
      </c>
      <c r="L2259" s="16">
        <f>IF(NOT(Paths!$C$211=1),0,IF(Paths!$P$211="Complete",IF(C2259=10,Paths!$I$211,0),"n.a."))</f>
        <v>0</v>
      </c>
      <c r="M2259" s="16">
        <f>IF(NOT(Paths!$C$211=1),0,IF(Paths!$P$211="Complete",IF(AND(Paths!$D$211="EV",Paths!$E$211&lt;120,Paths!$E$211+'Operating costs'!$B$65&gt;Paths!$E$211,Paths!$E$211+'Operating costs'!$B$65&lt;=120,IF(Paths!$E$211+'Operating costs'!$B$65=0,C2259=0,AND(C2259&gt;0,Paths!$E$211+'Operating costs'!$B$65&gt;(C2259-1)*12,Paths!$E$211+'Operating costs'!$B$65&lt;=C2259*12))),'Operating costs'!$B$64,0)+IF(AND('Operating costs'!$B$67&gt;0,'Operating costs'!$B$67&lt;=120,OR(Paths!$D$211="ICE",'Operating costs'!$B$67&lt;=Paths!$E$211),IF('Operating costs'!$B$67=0,C2259=0,AND(C2259&gt;0,'Operating costs'!$B$67&gt;(C2259-1)*12,'Operating costs'!$B$67&lt;=C2259*12))),'Operating costs'!$B$66,0),"n.a."))</f>
        <v>0</v>
      </c>
      <c r="N2259" s="16">
        <f>IF(NOT(Paths!$C$211=1),0,IF(Paths!$P$211="Complete",SUM(G2259:I2259)-J2259-K2259-L2259+M2259+IF(C2259=0,Paths!$F$211,0)+IF(IF(Paths!$E$211=0,C2259=0,AND(C2259&gt;0,Paths!$E$211&gt;(C2259-1)*12,Paths!$E$211&lt;=C2259*12)),VLOOKUP(A2259,'Fleet register'!$A$7:$S$106,16,FALSE),0),"n.a."))</f>
        <v>0</v>
      </c>
      <c r="O2259" s="16">
        <f>IF(NOT(Paths!$C$211=1),0,IF(Paths!$P$211="Complete",N2259-IF(C2259=0,Paths!$F$211,0),"n.a."))</f>
        <v>0</v>
      </c>
      <c r="P2259" s="16">
        <f>IF(NOT(Paths!$C$211=1),0,IF(Paths!$P$211="Complete",O2259+L2259,"n.a."))</f>
        <v>0</v>
      </c>
      <c r="Q2259" s="16">
        <f>IF(NOT(Paths!$C$211=1),0,IF(Paths!$P$211="Complete",N2259*(1+'Operating costs'!$B$54)^-C2259,"n.a."))</f>
        <v>0</v>
      </c>
      <c r="R2259" s="16">
        <f>IF(NOT(Paths!$C$211=1),0,IF(Paths!$P$211="Complete",IF(AND(C2259=0,Paths!$E$211=0),I2259-J2259-K2259+VLOOKUP(A2259,'Fleet register'!$A$7:$S$106,15,FALSE)+VLOOKUP(A2259,'Fleet register'!$A$7:$S$106,16,FALSE),0),"n.a."))</f>
        <v>0</v>
      </c>
      <c r="S2259" s="1">
        <f>IF(NOT(Paths!$C$211=1),0,IF(Paths!$P$211="Complete",IF(C2259=0,0,Paths!$S$211*Paths!$R$211),"n.a."))</f>
        <v>0</v>
      </c>
      <c r="T2259" s="1">
        <f>IF(NOT(Paths!$C$211=1),0,IF(Paths!$P$211="Complete",IF(C2259=0,0,VLOOKUP(A2259,'Fleet register'!$A$7:$S$106,9,FALSE)*Paths!$R$211),"n.a."))</f>
        <v>0</v>
      </c>
    </row>
    <row r="2260" spans="1:20" ht="24" customHeight="1">
      <c r="A2260" s="1" t="str">
        <f>Paths!$A$211</f>
        <v>T052</v>
      </c>
      <c r="B2260" s="1">
        <f>Paths!$B$211</f>
        <v>0</v>
      </c>
      <c r="C2260" s="1">
        <v>9</v>
      </c>
      <c r="D2260" s="1">
        <v>211</v>
      </c>
      <c r="E2260" s="1">
        <f>IF(OR(Paths!$C$211=0,C2260=0),0,MAX(0,MIN(C2260*12,Paths!$E$211)-(C2260-1)*12))</f>
        <v>0</v>
      </c>
      <c r="F2260" s="1">
        <f>IF(OR(Paths!$C$211=0,C2260=0),0,12-E2260)</f>
        <v>0</v>
      </c>
      <c r="G2260" s="16">
        <f>IF(NOT(Paths!$C$211=1),0,IF(Paths!$P$211="Complete",E2260/12*(Paths!$J$211*(1+'Operating costs'!$B$51)^MAX(0,C2260-1)+Paths!$K$211*(1+'Operating costs'!$B$53)^MAX(0,C2260-1)),"n.a."))</f>
        <v>0</v>
      </c>
      <c r="H2260" s="16">
        <f>IF(NOT(Paths!$C$211=1),0,IF(Paths!$P$211="Complete",F2260/12*(Paths!$L$211*(1+IF(Paths!$D$211="EV",'Operating costs'!$B$52,'Operating costs'!$B$51))^MAX(0,C2260-1)+Paths!$M$211*(1+'Operating costs'!$B$53)^MAX(0,C2260-1)),"n.a."))</f>
        <v>0</v>
      </c>
      <c r="I2260" s="16">
        <f>IF(NOT(Paths!$C$211=1),0,IF(Paths!$P$211="Complete",IF(IF(Paths!$E$211=0,C2260=0,AND(C2260&gt;0,Paths!$E$211&gt;(C2260-1)*12,Paths!$E$211&lt;=C2260*12)),Paths!$G$211,0),"n.a."))</f>
        <v>0</v>
      </c>
      <c r="J2260" s="16">
        <f>IF(NOT(Paths!$C$211=1),0,IF(Paths!$P$211="Complete",IF(IF(Paths!$E$211=0,C2260=0,AND(C2260&gt;0,Paths!$E$211&gt;(C2260-1)*12,Paths!$E$211&lt;=C2260*12)),Paths!$H$211,0),"n.a."))</f>
        <v>0</v>
      </c>
      <c r="K2260" s="16">
        <f>IF(NOT(Paths!$C$211=1),0,IF(Paths!$P$211="Complete",IF(IF(Paths!$O$211=0,C2260=0,AND(C2260&gt;0,Paths!$O$211&gt;(C2260-1)*12,Paths!$O$211&lt;=C2260*12)),Paths!$N$211,0),"n.a."))</f>
        <v>0</v>
      </c>
      <c r="L2260" s="16">
        <f>IF(NOT(Paths!$C$211=1),0,IF(Paths!$P$211="Complete",IF(C2260=10,Paths!$I$211,0),"n.a."))</f>
        <v>0</v>
      </c>
      <c r="M2260" s="16">
        <f>IF(NOT(Paths!$C$211=1),0,IF(Paths!$P$211="Complete",IF(AND(Paths!$D$211="EV",Paths!$E$211&lt;120,Paths!$E$211+'Operating costs'!$B$65&gt;Paths!$E$211,Paths!$E$211+'Operating costs'!$B$65&lt;=120,IF(Paths!$E$211+'Operating costs'!$B$65=0,C2260=0,AND(C2260&gt;0,Paths!$E$211+'Operating costs'!$B$65&gt;(C2260-1)*12,Paths!$E$211+'Operating costs'!$B$65&lt;=C2260*12))),'Operating costs'!$B$64,0)+IF(AND('Operating costs'!$B$67&gt;0,'Operating costs'!$B$67&lt;=120,OR(Paths!$D$211="ICE",'Operating costs'!$B$67&lt;=Paths!$E$211),IF('Operating costs'!$B$67=0,C2260=0,AND(C2260&gt;0,'Operating costs'!$B$67&gt;(C2260-1)*12,'Operating costs'!$B$67&lt;=C2260*12))),'Operating costs'!$B$66,0),"n.a."))</f>
        <v>0</v>
      </c>
      <c r="N2260" s="16">
        <f>IF(NOT(Paths!$C$211=1),0,IF(Paths!$P$211="Complete",SUM(G2260:I2260)-J2260-K2260-L2260+M2260+IF(C2260=0,Paths!$F$211,0)+IF(IF(Paths!$E$211=0,C2260=0,AND(C2260&gt;0,Paths!$E$211&gt;(C2260-1)*12,Paths!$E$211&lt;=C2260*12)),VLOOKUP(A2260,'Fleet register'!$A$7:$S$106,16,FALSE),0),"n.a."))</f>
        <v>0</v>
      </c>
      <c r="O2260" s="16">
        <f>IF(NOT(Paths!$C$211=1),0,IF(Paths!$P$211="Complete",N2260-IF(C2260=0,Paths!$F$211,0),"n.a."))</f>
        <v>0</v>
      </c>
      <c r="P2260" s="16">
        <f>IF(NOT(Paths!$C$211=1),0,IF(Paths!$P$211="Complete",O2260+L2260,"n.a."))</f>
        <v>0</v>
      </c>
      <c r="Q2260" s="16">
        <f>IF(NOT(Paths!$C$211=1),0,IF(Paths!$P$211="Complete",N2260*(1+'Operating costs'!$B$54)^-C2260,"n.a."))</f>
        <v>0</v>
      </c>
      <c r="R2260" s="16">
        <f>IF(NOT(Paths!$C$211=1),0,IF(Paths!$P$211="Complete",IF(AND(C2260=0,Paths!$E$211=0),I2260-J2260-K2260+VLOOKUP(A2260,'Fleet register'!$A$7:$S$106,15,FALSE)+VLOOKUP(A2260,'Fleet register'!$A$7:$S$106,16,FALSE),0),"n.a."))</f>
        <v>0</v>
      </c>
      <c r="S2260" s="1">
        <f>IF(NOT(Paths!$C$211=1),0,IF(Paths!$P$211="Complete",IF(C2260=0,0,Paths!$S$211*Paths!$R$211),"n.a."))</f>
        <v>0</v>
      </c>
      <c r="T2260" s="1">
        <f>IF(NOT(Paths!$C$211=1),0,IF(Paths!$P$211="Complete",IF(C2260=0,0,VLOOKUP(A2260,'Fleet register'!$A$7:$S$106,9,FALSE)*Paths!$R$211),"n.a."))</f>
        <v>0</v>
      </c>
    </row>
    <row r="2261" spans="1:20" ht="24" customHeight="1">
      <c r="A2261" s="1" t="str">
        <f>Paths!$A$211</f>
        <v>T052</v>
      </c>
      <c r="B2261" s="1">
        <f>Paths!$B$211</f>
        <v>0</v>
      </c>
      <c r="C2261" s="1">
        <v>10</v>
      </c>
      <c r="D2261" s="1">
        <v>211</v>
      </c>
      <c r="E2261" s="1">
        <f>IF(OR(Paths!$C$211=0,C2261=0),0,MAX(0,MIN(C2261*12,Paths!$E$211)-(C2261-1)*12))</f>
        <v>0</v>
      </c>
      <c r="F2261" s="1">
        <f>IF(OR(Paths!$C$211=0,C2261=0),0,12-E2261)</f>
        <v>0</v>
      </c>
      <c r="G2261" s="16">
        <f>IF(NOT(Paths!$C$211=1),0,IF(Paths!$P$211="Complete",E2261/12*(Paths!$J$211*(1+'Operating costs'!$B$51)^MAX(0,C2261-1)+Paths!$K$211*(1+'Operating costs'!$B$53)^MAX(0,C2261-1)),"n.a."))</f>
        <v>0</v>
      </c>
      <c r="H2261" s="16">
        <f>IF(NOT(Paths!$C$211=1),0,IF(Paths!$P$211="Complete",F2261/12*(Paths!$L$211*(1+IF(Paths!$D$211="EV",'Operating costs'!$B$52,'Operating costs'!$B$51))^MAX(0,C2261-1)+Paths!$M$211*(1+'Operating costs'!$B$53)^MAX(0,C2261-1)),"n.a."))</f>
        <v>0</v>
      </c>
      <c r="I2261" s="16">
        <f>IF(NOT(Paths!$C$211=1),0,IF(Paths!$P$211="Complete",IF(IF(Paths!$E$211=0,C2261=0,AND(C2261&gt;0,Paths!$E$211&gt;(C2261-1)*12,Paths!$E$211&lt;=C2261*12)),Paths!$G$211,0),"n.a."))</f>
        <v>0</v>
      </c>
      <c r="J2261" s="16">
        <f>IF(NOT(Paths!$C$211=1),0,IF(Paths!$P$211="Complete",IF(IF(Paths!$E$211=0,C2261=0,AND(C2261&gt;0,Paths!$E$211&gt;(C2261-1)*12,Paths!$E$211&lt;=C2261*12)),Paths!$H$211,0),"n.a."))</f>
        <v>0</v>
      </c>
      <c r="K2261" s="16">
        <f>IF(NOT(Paths!$C$211=1),0,IF(Paths!$P$211="Complete",IF(IF(Paths!$O$211=0,C2261=0,AND(C2261&gt;0,Paths!$O$211&gt;(C2261-1)*12,Paths!$O$211&lt;=C2261*12)),Paths!$N$211,0),"n.a."))</f>
        <v>0</v>
      </c>
      <c r="L2261" s="16">
        <f>IF(NOT(Paths!$C$211=1),0,IF(Paths!$P$211="Complete",IF(C2261=10,Paths!$I$211,0),"n.a."))</f>
        <v>0</v>
      </c>
      <c r="M2261" s="16">
        <f>IF(NOT(Paths!$C$211=1),0,IF(Paths!$P$211="Complete",IF(AND(Paths!$D$211="EV",Paths!$E$211&lt;120,Paths!$E$211+'Operating costs'!$B$65&gt;Paths!$E$211,Paths!$E$211+'Operating costs'!$B$65&lt;=120,IF(Paths!$E$211+'Operating costs'!$B$65=0,C2261=0,AND(C2261&gt;0,Paths!$E$211+'Operating costs'!$B$65&gt;(C2261-1)*12,Paths!$E$211+'Operating costs'!$B$65&lt;=C2261*12))),'Operating costs'!$B$64,0)+IF(AND('Operating costs'!$B$67&gt;0,'Operating costs'!$B$67&lt;=120,OR(Paths!$D$211="ICE",'Operating costs'!$B$67&lt;=Paths!$E$211),IF('Operating costs'!$B$67=0,C2261=0,AND(C2261&gt;0,'Operating costs'!$B$67&gt;(C2261-1)*12,'Operating costs'!$B$67&lt;=C2261*12))),'Operating costs'!$B$66,0),"n.a."))</f>
        <v>0</v>
      </c>
      <c r="N2261" s="16">
        <f>IF(NOT(Paths!$C$211=1),0,IF(Paths!$P$211="Complete",SUM(G2261:I2261)-J2261-K2261-L2261+M2261+IF(C2261=0,Paths!$F$211,0)+IF(IF(Paths!$E$211=0,C2261=0,AND(C2261&gt;0,Paths!$E$211&gt;(C2261-1)*12,Paths!$E$211&lt;=C2261*12)),VLOOKUP(A2261,'Fleet register'!$A$7:$S$106,16,FALSE),0),"n.a."))</f>
        <v>0</v>
      </c>
      <c r="O2261" s="16">
        <f>IF(NOT(Paths!$C$211=1),0,IF(Paths!$P$211="Complete",N2261-IF(C2261=0,Paths!$F$211,0),"n.a."))</f>
        <v>0</v>
      </c>
      <c r="P2261" s="16">
        <f>IF(NOT(Paths!$C$211=1),0,IF(Paths!$P$211="Complete",O2261+L2261,"n.a."))</f>
        <v>0</v>
      </c>
      <c r="Q2261" s="16">
        <f>IF(NOT(Paths!$C$211=1),0,IF(Paths!$P$211="Complete",N2261*(1+'Operating costs'!$B$54)^-C2261,"n.a."))</f>
        <v>0</v>
      </c>
      <c r="R2261" s="16">
        <f>IF(NOT(Paths!$C$211=1),0,IF(Paths!$P$211="Complete",IF(AND(C2261=0,Paths!$E$211=0),I2261-J2261-K2261+VLOOKUP(A2261,'Fleet register'!$A$7:$S$106,15,FALSE)+VLOOKUP(A2261,'Fleet register'!$A$7:$S$106,16,FALSE),0),"n.a."))</f>
        <v>0</v>
      </c>
      <c r="S2261" s="1">
        <f>IF(NOT(Paths!$C$211=1),0,IF(Paths!$P$211="Complete",IF(C2261=0,0,Paths!$S$211*Paths!$R$211),"n.a."))</f>
        <v>0</v>
      </c>
      <c r="T2261" s="1">
        <f>IF(NOT(Paths!$C$211=1),0,IF(Paths!$P$211="Complete",IF(C2261=0,0,VLOOKUP(A2261,'Fleet register'!$A$7:$S$106,9,FALSE)*Paths!$R$211),"n.a."))</f>
        <v>0</v>
      </c>
    </row>
    <row r="2262" spans="1:20" ht="24" customHeight="1">
      <c r="A2262" s="1" t="str">
        <f>Paths!$A$212</f>
        <v>T052</v>
      </c>
      <c r="B2262" s="1">
        <f>Paths!$B$212</f>
        <v>1</v>
      </c>
      <c r="C2262" s="1">
        <v>0</v>
      </c>
      <c r="D2262" s="1">
        <v>212</v>
      </c>
      <c r="E2262" s="1">
        <f>IF(OR(Paths!$C$212=0,C2262=0),0,MAX(0,MIN(C2262*12,Paths!$E$212)-(C2262-1)*12))</f>
        <v>0</v>
      </c>
      <c r="F2262" s="1">
        <f>IF(OR(Paths!$C$212=0,C2262=0),0,12-E2262)</f>
        <v>0</v>
      </c>
      <c r="G2262" s="16">
        <f>IF(NOT(Paths!$C$212=1),0,IF(Paths!$P$212="Complete",E2262/12*(Paths!$J$212*(1+'Operating costs'!$B$51)^MAX(0,C2262-1)+Paths!$K$212*(1+'Operating costs'!$B$53)^MAX(0,C2262-1)),"n.a."))</f>
        <v>0</v>
      </c>
      <c r="H2262" s="16">
        <f>IF(NOT(Paths!$C$212=1),0,IF(Paths!$P$212="Complete",F2262/12*(Paths!$L$212*(1+IF(Paths!$D$212="EV",'Operating costs'!$B$52,'Operating costs'!$B$51))^MAX(0,C2262-1)+Paths!$M$212*(1+'Operating costs'!$B$53)^MAX(0,C2262-1)),"n.a."))</f>
        <v>0</v>
      </c>
      <c r="I2262" s="16">
        <f>IF(NOT(Paths!$C$212=1),0,IF(Paths!$P$212="Complete",IF(IF(Paths!$E$212=0,C2262=0,AND(C2262&gt;0,Paths!$E$212&gt;(C2262-1)*12,Paths!$E$212&lt;=C2262*12)),Paths!$G$212,0),"n.a."))</f>
        <v>0</v>
      </c>
      <c r="J2262" s="16">
        <f>IF(NOT(Paths!$C$212=1),0,IF(Paths!$P$212="Complete",IF(IF(Paths!$E$212=0,C2262=0,AND(C2262&gt;0,Paths!$E$212&gt;(C2262-1)*12,Paths!$E$212&lt;=C2262*12)),Paths!$H$212,0),"n.a."))</f>
        <v>0</v>
      </c>
      <c r="K2262" s="16">
        <f>IF(NOT(Paths!$C$212=1),0,IF(Paths!$P$212="Complete",IF(IF(Paths!$O$212=0,C2262=0,AND(C2262&gt;0,Paths!$O$212&gt;(C2262-1)*12,Paths!$O$212&lt;=C2262*12)),Paths!$N$212,0),"n.a."))</f>
        <v>0</v>
      </c>
      <c r="L2262" s="16">
        <f>IF(NOT(Paths!$C$212=1),0,IF(Paths!$P$212="Complete",IF(C2262=10,Paths!$I$212,0),"n.a."))</f>
        <v>0</v>
      </c>
      <c r="M2262" s="16">
        <f>IF(NOT(Paths!$C$212=1),0,IF(Paths!$P$212="Complete",IF(AND(Paths!$D$212="EV",Paths!$E$212&lt;120,Paths!$E$212+'Operating costs'!$B$65&gt;Paths!$E$212,Paths!$E$212+'Operating costs'!$B$65&lt;=120,IF(Paths!$E$212+'Operating costs'!$B$65=0,C2262=0,AND(C2262&gt;0,Paths!$E$212+'Operating costs'!$B$65&gt;(C2262-1)*12,Paths!$E$212+'Operating costs'!$B$65&lt;=C2262*12))),'Operating costs'!$B$64,0)+IF(AND('Operating costs'!$B$67&gt;0,'Operating costs'!$B$67&lt;=120,OR(Paths!$D$212="ICE",'Operating costs'!$B$67&lt;=Paths!$E$212),IF('Operating costs'!$B$67=0,C2262=0,AND(C2262&gt;0,'Operating costs'!$B$67&gt;(C2262-1)*12,'Operating costs'!$B$67&lt;=C2262*12))),'Operating costs'!$B$66,0),"n.a."))</f>
        <v>0</v>
      </c>
      <c r="N2262" s="16">
        <f>IF(NOT(Paths!$C$212=1),0,IF(Paths!$P$212="Complete",SUM(G2262:I2262)-J2262-K2262-L2262+M2262+IF(C2262=0,Paths!$F$212,0)+IF(IF(Paths!$E$212=0,C2262=0,AND(C2262&gt;0,Paths!$E$212&gt;(C2262-1)*12,Paths!$E$212&lt;=C2262*12)),VLOOKUP(A2262,'Fleet register'!$A$7:$S$106,16,FALSE),0),"n.a."))</f>
        <v>0</v>
      </c>
      <c r="O2262" s="16">
        <f>IF(NOT(Paths!$C$212=1),0,IF(Paths!$P$212="Complete",N2262-IF(C2262=0,Paths!$F$212,0),"n.a."))</f>
        <v>0</v>
      </c>
      <c r="P2262" s="16">
        <f>IF(NOT(Paths!$C$212=1),0,IF(Paths!$P$212="Complete",O2262+L2262,"n.a."))</f>
        <v>0</v>
      </c>
      <c r="Q2262" s="16">
        <f>IF(NOT(Paths!$C$212=1),0,IF(Paths!$P$212="Complete",N2262*(1+'Operating costs'!$B$54)^-C2262,"n.a."))</f>
        <v>0</v>
      </c>
      <c r="R2262" s="16">
        <f>IF(NOT(Paths!$C$212=1),0,IF(Paths!$P$212="Complete",IF(AND(C2262=0,Paths!$E$212=0),I2262-J2262-K2262+VLOOKUP(A2262,'Fleet register'!$A$7:$S$106,15,FALSE)+VLOOKUP(A2262,'Fleet register'!$A$7:$S$106,16,FALSE),0),"n.a."))</f>
        <v>0</v>
      </c>
      <c r="S2262" s="1">
        <f>IF(NOT(Paths!$C$212=1),0,IF(Paths!$P$212="Complete",IF(C2262=0,0,Paths!$S$212*Paths!$R$212),"n.a."))</f>
        <v>0</v>
      </c>
      <c r="T2262" s="1">
        <f>IF(NOT(Paths!$C$212=1),0,IF(Paths!$P$212="Complete",IF(C2262=0,0,VLOOKUP(A2262,'Fleet register'!$A$7:$S$106,9,FALSE)*Paths!$R$212),"n.a."))</f>
        <v>0</v>
      </c>
    </row>
    <row r="2263" spans="1:20" ht="24" customHeight="1">
      <c r="A2263" s="1" t="str">
        <f>Paths!$A$212</f>
        <v>T052</v>
      </c>
      <c r="B2263" s="1">
        <f>Paths!$B$212</f>
        <v>1</v>
      </c>
      <c r="C2263" s="1">
        <v>1</v>
      </c>
      <c r="D2263" s="1">
        <v>212</v>
      </c>
      <c r="E2263" s="1">
        <f>IF(OR(Paths!$C$212=0,C2263=0),0,MAX(0,MIN(C2263*12,Paths!$E$212)-(C2263-1)*12))</f>
        <v>0</v>
      </c>
      <c r="F2263" s="1">
        <f>IF(OR(Paths!$C$212=0,C2263=0),0,12-E2263)</f>
        <v>0</v>
      </c>
      <c r="G2263" s="16">
        <f>IF(NOT(Paths!$C$212=1),0,IF(Paths!$P$212="Complete",E2263/12*(Paths!$J$212*(1+'Operating costs'!$B$51)^MAX(0,C2263-1)+Paths!$K$212*(1+'Operating costs'!$B$53)^MAX(0,C2263-1)),"n.a."))</f>
        <v>0</v>
      </c>
      <c r="H2263" s="16">
        <f>IF(NOT(Paths!$C$212=1),0,IF(Paths!$P$212="Complete",F2263/12*(Paths!$L$212*(1+IF(Paths!$D$212="EV",'Operating costs'!$B$52,'Operating costs'!$B$51))^MAX(0,C2263-1)+Paths!$M$212*(1+'Operating costs'!$B$53)^MAX(0,C2263-1)),"n.a."))</f>
        <v>0</v>
      </c>
      <c r="I2263" s="16">
        <f>IF(NOT(Paths!$C$212=1),0,IF(Paths!$P$212="Complete",IF(IF(Paths!$E$212=0,C2263=0,AND(C2263&gt;0,Paths!$E$212&gt;(C2263-1)*12,Paths!$E$212&lt;=C2263*12)),Paths!$G$212,0),"n.a."))</f>
        <v>0</v>
      </c>
      <c r="J2263" s="16">
        <f>IF(NOT(Paths!$C$212=1),0,IF(Paths!$P$212="Complete",IF(IF(Paths!$E$212=0,C2263=0,AND(C2263&gt;0,Paths!$E$212&gt;(C2263-1)*12,Paths!$E$212&lt;=C2263*12)),Paths!$H$212,0),"n.a."))</f>
        <v>0</v>
      </c>
      <c r="K2263" s="16">
        <f>IF(NOT(Paths!$C$212=1),0,IF(Paths!$P$212="Complete",IF(IF(Paths!$O$212=0,C2263=0,AND(C2263&gt;0,Paths!$O$212&gt;(C2263-1)*12,Paths!$O$212&lt;=C2263*12)),Paths!$N$212,0),"n.a."))</f>
        <v>0</v>
      </c>
      <c r="L2263" s="16">
        <f>IF(NOT(Paths!$C$212=1),0,IF(Paths!$P$212="Complete",IF(C2263=10,Paths!$I$212,0),"n.a."))</f>
        <v>0</v>
      </c>
      <c r="M2263" s="16">
        <f>IF(NOT(Paths!$C$212=1),0,IF(Paths!$P$212="Complete",IF(AND(Paths!$D$212="EV",Paths!$E$212&lt;120,Paths!$E$212+'Operating costs'!$B$65&gt;Paths!$E$212,Paths!$E$212+'Operating costs'!$B$65&lt;=120,IF(Paths!$E$212+'Operating costs'!$B$65=0,C2263=0,AND(C2263&gt;0,Paths!$E$212+'Operating costs'!$B$65&gt;(C2263-1)*12,Paths!$E$212+'Operating costs'!$B$65&lt;=C2263*12))),'Operating costs'!$B$64,0)+IF(AND('Operating costs'!$B$67&gt;0,'Operating costs'!$B$67&lt;=120,OR(Paths!$D$212="ICE",'Operating costs'!$B$67&lt;=Paths!$E$212),IF('Operating costs'!$B$67=0,C2263=0,AND(C2263&gt;0,'Operating costs'!$B$67&gt;(C2263-1)*12,'Operating costs'!$B$67&lt;=C2263*12))),'Operating costs'!$B$66,0),"n.a."))</f>
        <v>0</v>
      </c>
      <c r="N2263" s="16">
        <f>IF(NOT(Paths!$C$212=1),0,IF(Paths!$P$212="Complete",SUM(G2263:I2263)-J2263-K2263-L2263+M2263+IF(C2263=0,Paths!$F$212,0)+IF(IF(Paths!$E$212=0,C2263=0,AND(C2263&gt;0,Paths!$E$212&gt;(C2263-1)*12,Paths!$E$212&lt;=C2263*12)),VLOOKUP(A2263,'Fleet register'!$A$7:$S$106,16,FALSE),0),"n.a."))</f>
        <v>0</v>
      </c>
      <c r="O2263" s="16">
        <f>IF(NOT(Paths!$C$212=1),0,IF(Paths!$P$212="Complete",N2263-IF(C2263=0,Paths!$F$212,0),"n.a."))</f>
        <v>0</v>
      </c>
      <c r="P2263" s="16">
        <f>IF(NOT(Paths!$C$212=1),0,IF(Paths!$P$212="Complete",O2263+L2263,"n.a."))</f>
        <v>0</v>
      </c>
      <c r="Q2263" s="16">
        <f>IF(NOT(Paths!$C$212=1),0,IF(Paths!$P$212="Complete",N2263*(1+'Operating costs'!$B$54)^-C2263,"n.a."))</f>
        <v>0</v>
      </c>
      <c r="R2263" s="16">
        <f>IF(NOT(Paths!$C$212=1),0,IF(Paths!$P$212="Complete",IF(AND(C2263=0,Paths!$E$212=0),I2263-J2263-K2263+VLOOKUP(A2263,'Fleet register'!$A$7:$S$106,15,FALSE)+VLOOKUP(A2263,'Fleet register'!$A$7:$S$106,16,FALSE),0),"n.a."))</f>
        <v>0</v>
      </c>
      <c r="S2263" s="1">
        <f>IF(NOT(Paths!$C$212=1),0,IF(Paths!$P$212="Complete",IF(C2263=0,0,Paths!$S$212*Paths!$R$212),"n.a."))</f>
        <v>0</v>
      </c>
      <c r="T2263" s="1">
        <f>IF(NOT(Paths!$C$212=1),0,IF(Paths!$P$212="Complete",IF(C2263=0,0,VLOOKUP(A2263,'Fleet register'!$A$7:$S$106,9,FALSE)*Paths!$R$212),"n.a."))</f>
        <v>0</v>
      </c>
    </row>
    <row r="2264" spans="1:20" ht="24" customHeight="1">
      <c r="A2264" s="1" t="str">
        <f>Paths!$A$212</f>
        <v>T052</v>
      </c>
      <c r="B2264" s="1">
        <f>Paths!$B$212</f>
        <v>1</v>
      </c>
      <c r="C2264" s="1">
        <v>2</v>
      </c>
      <c r="D2264" s="1">
        <v>212</v>
      </c>
      <c r="E2264" s="1">
        <f>IF(OR(Paths!$C$212=0,C2264=0),0,MAX(0,MIN(C2264*12,Paths!$E$212)-(C2264-1)*12))</f>
        <v>0</v>
      </c>
      <c r="F2264" s="1">
        <f>IF(OR(Paths!$C$212=0,C2264=0),0,12-E2264)</f>
        <v>0</v>
      </c>
      <c r="G2264" s="16">
        <f>IF(NOT(Paths!$C$212=1),0,IF(Paths!$P$212="Complete",E2264/12*(Paths!$J$212*(1+'Operating costs'!$B$51)^MAX(0,C2264-1)+Paths!$K$212*(1+'Operating costs'!$B$53)^MAX(0,C2264-1)),"n.a."))</f>
        <v>0</v>
      </c>
      <c r="H2264" s="16">
        <f>IF(NOT(Paths!$C$212=1),0,IF(Paths!$P$212="Complete",F2264/12*(Paths!$L$212*(1+IF(Paths!$D$212="EV",'Operating costs'!$B$52,'Operating costs'!$B$51))^MAX(0,C2264-1)+Paths!$M$212*(1+'Operating costs'!$B$53)^MAX(0,C2264-1)),"n.a."))</f>
        <v>0</v>
      </c>
      <c r="I2264" s="16">
        <f>IF(NOT(Paths!$C$212=1),0,IF(Paths!$P$212="Complete",IF(IF(Paths!$E$212=0,C2264=0,AND(C2264&gt;0,Paths!$E$212&gt;(C2264-1)*12,Paths!$E$212&lt;=C2264*12)),Paths!$G$212,0),"n.a."))</f>
        <v>0</v>
      </c>
      <c r="J2264" s="16">
        <f>IF(NOT(Paths!$C$212=1),0,IF(Paths!$P$212="Complete",IF(IF(Paths!$E$212=0,C2264=0,AND(C2264&gt;0,Paths!$E$212&gt;(C2264-1)*12,Paths!$E$212&lt;=C2264*12)),Paths!$H$212,0),"n.a."))</f>
        <v>0</v>
      </c>
      <c r="K2264" s="16">
        <f>IF(NOT(Paths!$C$212=1),0,IF(Paths!$P$212="Complete",IF(IF(Paths!$O$212=0,C2264=0,AND(C2264&gt;0,Paths!$O$212&gt;(C2264-1)*12,Paths!$O$212&lt;=C2264*12)),Paths!$N$212,0),"n.a."))</f>
        <v>0</v>
      </c>
      <c r="L2264" s="16">
        <f>IF(NOT(Paths!$C$212=1),0,IF(Paths!$P$212="Complete",IF(C2264=10,Paths!$I$212,0),"n.a."))</f>
        <v>0</v>
      </c>
      <c r="M2264" s="16">
        <f>IF(NOT(Paths!$C$212=1),0,IF(Paths!$P$212="Complete",IF(AND(Paths!$D$212="EV",Paths!$E$212&lt;120,Paths!$E$212+'Operating costs'!$B$65&gt;Paths!$E$212,Paths!$E$212+'Operating costs'!$B$65&lt;=120,IF(Paths!$E$212+'Operating costs'!$B$65=0,C2264=0,AND(C2264&gt;0,Paths!$E$212+'Operating costs'!$B$65&gt;(C2264-1)*12,Paths!$E$212+'Operating costs'!$B$65&lt;=C2264*12))),'Operating costs'!$B$64,0)+IF(AND('Operating costs'!$B$67&gt;0,'Operating costs'!$B$67&lt;=120,OR(Paths!$D$212="ICE",'Operating costs'!$B$67&lt;=Paths!$E$212),IF('Operating costs'!$B$67=0,C2264=0,AND(C2264&gt;0,'Operating costs'!$B$67&gt;(C2264-1)*12,'Operating costs'!$B$67&lt;=C2264*12))),'Operating costs'!$B$66,0),"n.a."))</f>
        <v>0</v>
      </c>
      <c r="N2264" s="16">
        <f>IF(NOT(Paths!$C$212=1),0,IF(Paths!$P$212="Complete",SUM(G2264:I2264)-J2264-K2264-L2264+M2264+IF(C2264=0,Paths!$F$212,0)+IF(IF(Paths!$E$212=0,C2264=0,AND(C2264&gt;0,Paths!$E$212&gt;(C2264-1)*12,Paths!$E$212&lt;=C2264*12)),VLOOKUP(A2264,'Fleet register'!$A$7:$S$106,16,FALSE),0),"n.a."))</f>
        <v>0</v>
      </c>
      <c r="O2264" s="16">
        <f>IF(NOT(Paths!$C$212=1),0,IF(Paths!$P$212="Complete",N2264-IF(C2264=0,Paths!$F$212,0),"n.a."))</f>
        <v>0</v>
      </c>
      <c r="P2264" s="16">
        <f>IF(NOT(Paths!$C$212=1),0,IF(Paths!$P$212="Complete",O2264+L2264,"n.a."))</f>
        <v>0</v>
      </c>
      <c r="Q2264" s="16">
        <f>IF(NOT(Paths!$C$212=1),0,IF(Paths!$P$212="Complete",N2264*(1+'Operating costs'!$B$54)^-C2264,"n.a."))</f>
        <v>0</v>
      </c>
      <c r="R2264" s="16">
        <f>IF(NOT(Paths!$C$212=1),0,IF(Paths!$P$212="Complete",IF(AND(C2264=0,Paths!$E$212=0),I2264-J2264-K2264+VLOOKUP(A2264,'Fleet register'!$A$7:$S$106,15,FALSE)+VLOOKUP(A2264,'Fleet register'!$A$7:$S$106,16,FALSE),0),"n.a."))</f>
        <v>0</v>
      </c>
      <c r="S2264" s="1">
        <f>IF(NOT(Paths!$C$212=1),0,IF(Paths!$P$212="Complete",IF(C2264=0,0,Paths!$S$212*Paths!$R$212),"n.a."))</f>
        <v>0</v>
      </c>
      <c r="T2264" s="1">
        <f>IF(NOT(Paths!$C$212=1),0,IF(Paths!$P$212="Complete",IF(C2264=0,0,VLOOKUP(A2264,'Fleet register'!$A$7:$S$106,9,FALSE)*Paths!$R$212),"n.a."))</f>
        <v>0</v>
      </c>
    </row>
    <row r="2265" spans="1:20" ht="24" customHeight="1">
      <c r="A2265" s="1" t="str">
        <f>Paths!$A$212</f>
        <v>T052</v>
      </c>
      <c r="B2265" s="1">
        <f>Paths!$B$212</f>
        <v>1</v>
      </c>
      <c r="C2265" s="1">
        <v>3</v>
      </c>
      <c r="D2265" s="1">
        <v>212</v>
      </c>
      <c r="E2265" s="1">
        <f>IF(OR(Paths!$C$212=0,C2265=0),0,MAX(0,MIN(C2265*12,Paths!$E$212)-(C2265-1)*12))</f>
        <v>0</v>
      </c>
      <c r="F2265" s="1">
        <f>IF(OR(Paths!$C$212=0,C2265=0),0,12-E2265)</f>
        <v>0</v>
      </c>
      <c r="G2265" s="16">
        <f>IF(NOT(Paths!$C$212=1),0,IF(Paths!$P$212="Complete",E2265/12*(Paths!$J$212*(1+'Operating costs'!$B$51)^MAX(0,C2265-1)+Paths!$K$212*(1+'Operating costs'!$B$53)^MAX(0,C2265-1)),"n.a."))</f>
        <v>0</v>
      </c>
      <c r="H2265" s="16">
        <f>IF(NOT(Paths!$C$212=1),0,IF(Paths!$P$212="Complete",F2265/12*(Paths!$L$212*(1+IF(Paths!$D$212="EV",'Operating costs'!$B$52,'Operating costs'!$B$51))^MAX(0,C2265-1)+Paths!$M$212*(1+'Operating costs'!$B$53)^MAX(0,C2265-1)),"n.a."))</f>
        <v>0</v>
      </c>
      <c r="I2265" s="16">
        <f>IF(NOT(Paths!$C$212=1),0,IF(Paths!$P$212="Complete",IF(IF(Paths!$E$212=0,C2265=0,AND(C2265&gt;0,Paths!$E$212&gt;(C2265-1)*12,Paths!$E$212&lt;=C2265*12)),Paths!$G$212,0),"n.a."))</f>
        <v>0</v>
      </c>
      <c r="J2265" s="16">
        <f>IF(NOT(Paths!$C$212=1),0,IF(Paths!$P$212="Complete",IF(IF(Paths!$E$212=0,C2265=0,AND(C2265&gt;0,Paths!$E$212&gt;(C2265-1)*12,Paths!$E$212&lt;=C2265*12)),Paths!$H$212,0),"n.a."))</f>
        <v>0</v>
      </c>
      <c r="K2265" s="16">
        <f>IF(NOT(Paths!$C$212=1),0,IF(Paths!$P$212="Complete",IF(IF(Paths!$O$212=0,C2265=0,AND(C2265&gt;0,Paths!$O$212&gt;(C2265-1)*12,Paths!$O$212&lt;=C2265*12)),Paths!$N$212,0),"n.a."))</f>
        <v>0</v>
      </c>
      <c r="L2265" s="16">
        <f>IF(NOT(Paths!$C$212=1),0,IF(Paths!$P$212="Complete",IF(C2265=10,Paths!$I$212,0),"n.a."))</f>
        <v>0</v>
      </c>
      <c r="M2265" s="16">
        <f>IF(NOT(Paths!$C$212=1),0,IF(Paths!$P$212="Complete",IF(AND(Paths!$D$212="EV",Paths!$E$212&lt;120,Paths!$E$212+'Operating costs'!$B$65&gt;Paths!$E$212,Paths!$E$212+'Operating costs'!$B$65&lt;=120,IF(Paths!$E$212+'Operating costs'!$B$65=0,C2265=0,AND(C2265&gt;0,Paths!$E$212+'Operating costs'!$B$65&gt;(C2265-1)*12,Paths!$E$212+'Operating costs'!$B$65&lt;=C2265*12))),'Operating costs'!$B$64,0)+IF(AND('Operating costs'!$B$67&gt;0,'Operating costs'!$B$67&lt;=120,OR(Paths!$D$212="ICE",'Operating costs'!$B$67&lt;=Paths!$E$212),IF('Operating costs'!$B$67=0,C2265=0,AND(C2265&gt;0,'Operating costs'!$B$67&gt;(C2265-1)*12,'Operating costs'!$B$67&lt;=C2265*12))),'Operating costs'!$B$66,0),"n.a."))</f>
        <v>0</v>
      </c>
      <c r="N2265" s="16">
        <f>IF(NOT(Paths!$C$212=1),0,IF(Paths!$P$212="Complete",SUM(G2265:I2265)-J2265-K2265-L2265+M2265+IF(C2265=0,Paths!$F$212,0)+IF(IF(Paths!$E$212=0,C2265=0,AND(C2265&gt;0,Paths!$E$212&gt;(C2265-1)*12,Paths!$E$212&lt;=C2265*12)),VLOOKUP(A2265,'Fleet register'!$A$7:$S$106,16,FALSE),0),"n.a."))</f>
        <v>0</v>
      </c>
      <c r="O2265" s="16">
        <f>IF(NOT(Paths!$C$212=1),0,IF(Paths!$P$212="Complete",N2265-IF(C2265=0,Paths!$F$212,0),"n.a."))</f>
        <v>0</v>
      </c>
      <c r="P2265" s="16">
        <f>IF(NOT(Paths!$C$212=1),0,IF(Paths!$P$212="Complete",O2265+L2265,"n.a."))</f>
        <v>0</v>
      </c>
      <c r="Q2265" s="16">
        <f>IF(NOT(Paths!$C$212=1),0,IF(Paths!$P$212="Complete",N2265*(1+'Operating costs'!$B$54)^-C2265,"n.a."))</f>
        <v>0</v>
      </c>
      <c r="R2265" s="16">
        <f>IF(NOT(Paths!$C$212=1),0,IF(Paths!$P$212="Complete",IF(AND(C2265=0,Paths!$E$212=0),I2265-J2265-K2265+VLOOKUP(A2265,'Fleet register'!$A$7:$S$106,15,FALSE)+VLOOKUP(A2265,'Fleet register'!$A$7:$S$106,16,FALSE),0),"n.a."))</f>
        <v>0</v>
      </c>
      <c r="S2265" s="1">
        <f>IF(NOT(Paths!$C$212=1),0,IF(Paths!$P$212="Complete",IF(C2265=0,0,Paths!$S$212*Paths!$R$212),"n.a."))</f>
        <v>0</v>
      </c>
      <c r="T2265" s="1">
        <f>IF(NOT(Paths!$C$212=1),0,IF(Paths!$P$212="Complete",IF(C2265=0,0,VLOOKUP(A2265,'Fleet register'!$A$7:$S$106,9,FALSE)*Paths!$R$212),"n.a."))</f>
        <v>0</v>
      </c>
    </row>
    <row r="2266" spans="1:20" ht="24" customHeight="1">
      <c r="A2266" s="1" t="str">
        <f>Paths!$A$212</f>
        <v>T052</v>
      </c>
      <c r="B2266" s="1">
        <f>Paths!$B$212</f>
        <v>1</v>
      </c>
      <c r="C2266" s="1">
        <v>4</v>
      </c>
      <c r="D2266" s="1">
        <v>212</v>
      </c>
      <c r="E2266" s="1">
        <f>IF(OR(Paths!$C$212=0,C2266=0),0,MAX(0,MIN(C2266*12,Paths!$E$212)-(C2266-1)*12))</f>
        <v>0</v>
      </c>
      <c r="F2266" s="1">
        <f>IF(OR(Paths!$C$212=0,C2266=0),0,12-E2266)</f>
        <v>0</v>
      </c>
      <c r="G2266" s="16">
        <f>IF(NOT(Paths!$C$212=1),0,IF(Paths!$P$212="Complete",E2266/12*(Paths!$J$212*(1+'Operating costs'!$B$51)^MAX(0,C2266-1)+Paths!$K$212*(1+'Operating costs'!$B$53)^MAX(0,C2266-1)),"n.a."))</f>
        <v>0</v>
      </c>
      <c r="H2266" s="16">
        <f>IF(NOT(Paths!$C$212=1),0,IF(Paths!$P$212="Complete",F2266/12*(Paths!$L$212*(1+IF(Paths!$D$212="EV",'Operating costs'!$B$52,'Operating costs'!$B$51))^MAX(0,C2266-1)+Paths!$M$212*(1+'Operating costs'!$B$53)^MAX(0,C2266-1)),"n.a."))</f>
        <v>0</v>
      </c>
      <c r="I2266" s="16">
        <f>IF(NOT(Paths!$C$212=1),0,IF(Paths!$P$212="Complete",IF(IF(Paths!$E$212=0,C2266=0,AND(C2266&gt;0,Paths!$E$212&gt;(C2266-1)*12,Paths!$E$212&lt;=C2266*12)),Paths!$G$212,0),"n.a."))</f>
        <v>0</v>
      </c>
      <c r="J2266" s="16">
        <f>IF(NOT(Paths!$C$212=1),0,IF(Paths!$P$212="Complete",IF(IF(Paths!$E$212=0,C2266=0,AND(C2266&gt;0,Paths!$E$212&gt;(C2266-1)*12,Paths!$E$212&lt;=C2266*12)),Paths!$H$212,0),"n.a."))</f>
        <v>0</v>
      </c>
      <c r="K2266" s="16">
        <f>IF(NOT(Paths!$C$212=1),0,IF(Paths!$P$212="Complete",IF(IF(Paths!$O$212=0,C2266=0,AND(C2266&gt;0,Paths!$O$212&gt;(C2266-1)*12,Paths!$O$212&lt;=C2266*12)),Paths!$N$212,0),"n.a."))</f>
        <v>0</v>
      </c>
      <c r="L2266" s="16">
        <f>IF(NOT(Paths!$C$212=1),0,IF(Paths!$P$212="Complete",IF(C2266=10,Paths!$I$212,0),"n.a."))</f>
        <v>0</v>
      </c>
      <c r="M2266" s="16">
        <f>IF(NOT(Paths!$C$212=1),0,IF(Paths!$P$212="Complete",IF(AND(Paths!$D$212="EV",Paths!$E$212&lt;120,Paths!$E$212+'Operating costs'!$B$65&gt;Paths!$E$212,Paths!$E$212+'Operating costs'!$B$65&lt;=120,IF(Paths!$E$212+'Operating costs'!$B$65=0,C2266=0,AND(C2266&gt;0,Paths!$E$212+'Operating costs'!$B$65&gt;(C2266-1)*12,Paths!$E$212+'Operating costs'!$B$65&lt;=C2266*12))),'Operating costs'!$B$64,0)+IF(AND('Operating costs'!$B$67&gt;0,'Operating costs'!$B$67&lt;=120,OR(Paths!$D$212="ICE",'Operating costs'!$B$67&lt;=Paths!$E$212),IF('Operating costs'!$B$67=0,C2266=0,AND(C2266&gt;0,'Operating costs'!$B$67&gt;(C2266-1)*12,'Operating costs'!$B$67&lt;=C2266*12))),'Operating costs'!$B$66,0),"n.a."))</f>
        <v>0</v>
      </c>
      <c r="N2266" s="16">
        <f>IF(NOT(Paths!$C$212=1),0,IF(Paths!$P$212="Complete",SUM(G2266:I2266)-J2266-K2266-L2266+M2266+IF(C2266=0,Paths!$F$212,0)+IF(IF(Paths!$E$212=0,C2266=0,AND(C2266&gt;0,Paths!$E$212&gt;(C2266-1)*12,Paths!$E$212&lt;=C2266*12)),VLOOKUP(A2266,'Fleet register'!$A$7:$S$106,16,FALSE),0),"n.a."))</f>
        <v>0</v>
      </c>
      <c r="O2266" s="16">
        <f>IF(NOT(Paths!$C$212=1),0,IF(Paths!$P$212="Complete",N2266-IF(C2266=0,Paths!$F$212,0),"n.a."))</f>
        <v>0</v>
      </c>
      <c r="P2266" s="16">
        <f>IF(NOT(Paths!$C$212=1),0,IF(Paths!$P$212="Complete",O2266+L2266,"n.a."))</f>
        <v>0</v>
      </c>
      <c r="Q2266" s="16">
        <f>IF(NOT(Paths!$C$212=1),0,IF(Paths!$P$212="Complete",N2266*(1+'Operating costs'!$B$54)^-C2266,"n.a."))</f>
        <v>0</v>
      </c>
      <c r="R2266" s="16">
        <f>IF(NOT(Paths!$C$212=1),0,IF(Paths!$P$212="Complete",IF(AND(C2266=0,Paths!$E$212=0),I2266-J2266-K2266+VLOOKUP(A2266,'Fleet register'!$A$7:$S$106,15,FALSE)+VLOOKUP(A2266,'Fleet register'!$A$7:$S$106,16,FALSE),0),"n.a."))</f>
        <v>0</v>
      </c>
      <c r="S2266" s="1">
        <f>IF(NOT(Paths!$C$212=1),0,IF(Paths!$P$212="Complete",IF(C2266=0,0,Paths!$S$212*Paths!$R$212),"n.a."))</f>
        <v>0</v>
      </c>
      <c r="T2266" s="1">
        <f>IF(NOT(Paths!$C$212=1),0,IF(Paths!$P$212="Complete",IF(C2266=0,0,VLOOKUP(A2266,'Fleet register'!$A$7:$S$106,9,FALSE)*Paths!$R$212),"n.a."))</f>
        <v>0</v>
      </c>
    </row>
    <row r="2267" spans="1:20" ht="24" customHeight="1">
      <c r="A2267" s="1" t="str">
        <f>Paths!$A$212</f>
        <v>T052</v>
      </c>
      <c r="B2267" s="1">
        <f>Paths!$B$212</f>
        <v>1</v>
      </c>
      <c r="C2267" s="1">
        <v>5</v>
      </c>
      <c r="D2267" s="1">
        <v>212</v>
      </c>
      <c r="E2267" s="1">
        <f>IF(OR(Paths!$C$212=0,C2267=0),0,MAX(0,MIN(C2267*12,Paths!$E$212)-(C2267-1)*12))</f>
        <v>0</v>
      </c>
      <c r="F2267" s="1">
        <f>IF(OR(Paths!$C$212=0,C2267=0),0,12-E2267)</f>
        <v>0</v>
      </c>
      <c r="G2267" s="16">
        <f>IF(NOT(Paths!$C$212=1),0,IF(Paths!$P$212="Complete",E2267/12*(Paths!$J$212*(1+'Operating costs'!$B$51)^MAX(0,C2267-1)+Paths!$K$212*(1+'Operating costs'!$B$53)^MAX(0,C2267-1)),"n.a."))</f>
        <v>0</v>
      </c>
      <c r="H2267" s="16">
        <f>IF(NOT(Paths!$C$212=1),0,IF(Paths!$P$212="Complete",F2267/12*(Paths!$L$212*(1+IF(Paths!$D$212="EV",'Operating costs'!$B$52,'Operating costs'!$B$51))^MAX(0,C2267-1)+Paths!$M$212*(1+'Operating costs'!$B$53)^MAX(0,C2267-1)),"n.a."))</f>
        <v>0</v>
      </c>
      <c r="I2267" s="16">
        <f>IF(NOT(Paths!$C$212=1),0,IF(Paths!$P$212="Complete",IF(IF(Paths!$E$212=0,C2267=0,AND(C2267&gt;0,Paths!$E$212&gt;(C2267-1)*12,Paths!$E$212&lt;=C2267*12)),Paths!$G$212,0),"n.a."))</f>
        <v>0</v>
      </c>
      <c r="J2267" s="16">
        <f>IF(NOT(Paths!$C$212=1),0,IF(Paths!$P$212="Complete",IF(IF(Paths!$E$212=0,C2267=0,AND(C2267&gt;0,Paths!$E$212&gt;(C2267-1)*12,Paths!$E$212&lt;=C2267*12)),Paths!$H$212,0),"n.a."))</f>
        <v>0</v>
      </c>
      <c r="K2267" s="16">
        <f>IF(NOT(Paths!$C$212=1),0,IF(Paths!$P$212="Complete",IF(IF(Paths!$O$212=0,C2267=0,AND(C2267&gt;0,Paths!$O$212&gt;(C2267-1)*12,Paths!$O$212&lt;=C2267*12)),Paths!$N$212,0),"n.a."))</f>
        <v>0</v>
      </c>
      <c r="L2267" s="16">
        <f>IF(NOT(Paths!$C$212=1),0,IF(Paths!$P$212="Complete",IF(C2267=10,Paths!$I$212,0),"n.a."))</f>
        <v>0</v>
      </c>
      <c r="M2267" s="16">
        <f>IF(NOT(Paths!$C$212=1),0,IF(Paths!$P$212="Complete",IF(AND(Paths!$D$212="EV",Paths!$E$212&lt;120,Paths!$E$212+'Operating costs'!$B$65&gt;Paths!$E$212,Paths!$E$212+'Operating costs'!$B$65&lt;=120,IF(Paths!$E$212+'Operating costs'!$B$65=0,C2267=0,AND(C2267&gt;0,Paths!$E$212+'Operating costs'!$B$65&gt;(C2267-1)*12,Paths!$E$212+'Operating costs'!$B$65&lt;=C2267*12))),'Operating costs'!$B$64,0)+IF(AND('Operating costs'!$B$67&gt;0,'Operating costs'!$B$67&lt;=120,OR(Paths!$D$212="ICE",'Operating costs'!$B$67&lt;=Paths!$E$212),IF('Operating costs'!$B$67=0,C2267=0,AND(C2267&gt;0,'Operating costs'!$B$67&gt;(C2267-1)*12,'Operating costs'!$B$67&lt;=C2267*12))),'Operating costs'!$B$66,0),"n.a."))</f>
        <v>0</v>
      </c>
      <c r="N2267" s="16">
        <f>IF(NOT(Paths!$C$212=1),0,IF(Paths!$P$212="Complete",SUM(G2267:I2267)-J2267-K2267-L2267+M2267+IF(C2267=0,Paths!$F$212,0)+IF(IF(Paths!$E$212=0,C2267=0,AND(C2267&gt;0,Paths!$E$212&gt;(C2267-1)*12,Paths!$E$212&lt;=C2267*12)),VLOOKUP(A2267,'Fleet register'!$A$7:$S$106,16,FALSE),0),"n.a."))</f>
        <v>0</v>
      </c>
      <c r="O2267" s="16">
        <f>IF(NOT(Paths!$C$212=1),0,IF(Paths!$P$212="Complete",N2267-IF(C2267=0,Paths!$F$212,0),"n.a."))</f>
        <v>0</v>
      </c>
      <c r="P2267" s="16">
        <f>IF(NOT(Paths!$C$212=1),0,IF(Paths!$P$212="Complete",O2267+L2267,"n.a."))</f>
        <v>0</v>
      </c>
      <c r="Q2267" s="16">
        <f>IF(NOT(Paths!$C$212=1),0,IF(Paths!$P$212="Complete",N2267*(1+'Operating costs'!$B$54)^-C2267,"n.a."))</f>
        <v>0</v>
      </c>
      <c r="R2267" s="16">
        <f>IF(NOT(Paths!$C$212=1),0,IF(Paths!$P$212="Complete",IF(AND(C2267=0,Paths!$E$212=0),I2267-J2267-K2267+VLOOKUP(A2267,'Fleet register'!$A$7:$S$106,15,FALSE)+VLOOKUP(A2267,'Fleet register'!$A$7:$S$106,16,FALSE),0),"n.a."))</f>
        <v>0</v>
      </c>
      <c r="S2267" s="1">
        <f>IF(NOT(Paths!$C$212=1),0,IF(Paths!$P$212="Complete",IF(C2267=0,0,Paths!$S$212*Paths!$R$212),"n.a."))</f>
        <v>0</v>
      </c>
      <c r="T2267" s="1">
        <f>IF(NOT(Paths!$C$212=1),0,IF(Paths!$P$212="Complete",IF(C2267=0,0,VLOOKUP(A2267,'Fleet register'!$A$7:$S$106,9,FALSE)*Paths!$R$212),"n.a."))</f>
        <v>0</v>
      </c>
    </row>
    <row r="2268" spans="1:20" ht="24" customHeight="1">
      <c r="A2268" s="1" t="str">
        <f>Paths!$A$212</f>
        <v>T052</v>
      </c>
      <c r="B2268" s="1">
        <f>Paths!$B$212</f>
        <v>1</v>
      </c>
      <c r="C2268" s="1">
        <v>6</v>
      </c>
      <c r="D2268" s="1">
        <v>212</v>
      </c>
      <c r="E2268" s="1">
        <f>IF(OR(Paths!$C$212=0,C2268=0),0,MAX(0,MIN(C2268*12,Paths!$E$212)-(C2268-1)*12))</f>
        <v>0</v>
      </c>
      <c r="F2268" s="1">
        <f>IF(OR(Paths!$C$212=0,C2268=0),0,12-E2268)</f>
        <v>0</v>
      </c>
      <c r="G2268" s="16">
        <f>IF(NOT(Paths!$C$212=1),0,IF(Paths!$P$212="Complete",E2268/12*(Paths!$J$212*(1+'Operating costs'!$B$51)^MAX(0,C2268-1)+Paths!$K$212*(1+'Operating costs'!$B$53)^MAX(0,C2268-1)),"n.a."))</f>
        <v>0</v>
      </c>
      <c r="H2268" s="16">
        <f>IF(NOT(Paths!$C$212=1),0,IF(Paths!$P$212="Complete",F2268/12*(Paths!$L$212*(1+IF(Paths!$D$212="EV",'Operating costs'!$B$52,'Operating costs'!$B$51))^MAX(0,C2268-1)+Paths!$M$212*(1+'Operating costs'!$B$53)^MAX(0,C2268-1)),"n.a."))</f>
        <v>0</v>
      </c>
      <c r="I2268" s="16">
        <f>IF(NOT(Paths!$C$212=1),0,IF(Paths!$P$212="Complete",IF(IF(Paths!$E$212=0,C2268=0,AND(C2268&gt;0,Paths!$E$212&gt;(C2268-1)*12,Paths!$E$212&lt;=C2268*12)),Paths!$G$212,0),"n.a."))</f>
        <v>0</v>
      </c>
      <c r="J2268" s="16">
        <f>IF(NOT(Paths!$C$212=1),0,IF(Paths!$P$212="Complete",IF(IF(Paths!$E$212=0,C2268=0,AND(C2268&gt;0,Paths!$E$212&gt;(C2268-1)*12,Paths!$E$212&lt;=C2268*12)),Paths!$H$212,0),"n.a."))</f>
        <v>0</v>
      </c>
      <c r="K2268" s="16">
        <f>IF(NOT(Paths!$C$212=1),0,IF(Paths!$P$212="Complete",IF(IF(Paths!$O$212=0,C2268=0,AND(C2268&gt;0,Paths!$O$212&gt;(C2268-1)*12,Paths!$O$212&lt;=C2268*12)),Paths!$N$212,0),"n.a."))</f>
        <v>0</v>
      </c>
      <c r="L2268" s="16">
        <f>IF(NOT(Paths!$C$212=1),0,IF(Paths!$P$212="Complete",IF(C2268=10,Paths!$I$212,0),"n.a."))</f>
        <v>0</v>
      </c>
      <c r="M2268" s="16">
        <f>IF(NOT(Paths!$C$212=1),0,IF(Paths!$P$212="Complete",IF(AND(Paths!$D$212="EV",Paths!$E$212&lt;120,Paths!$E$212+'Operating costs'!$B$65&gt;Paths!$E$212,Paths!$E$212+'Operating costs'!$B$65&lt;=120,IF(Paths!$E$212+'Operating costs'!$B$65=0,C2268=0,AND(C2268&gt;0,Paths!$E$212+'Operating costs'!$B$65&gt;(C2268-1)*12,Paths!$E$212+'Operating costs'!$B$65&lt;=C2268*12))),'Operating costs'!$B$64,0)+IF(AND('Operating costs'!$B$67&gt;0,'Operating costs'!$B$67&lt;=120,OR(Paths!$D$212="ICE",'Operating costs'!$B$67&lt;=Paths!$E$212),IF('Operating costs'!$B$67=0,C2268=0,AND(C2268&gt;0,'Operating costs'!$B$67&gt;(C2268-1)*12,'Operating costs'!$B$67&lt;=C2268*12))),'Operating costs'!$B$66,0),"n.a."))</f>
        <v>0</v>
      </c>
      <c r="N2268" s="16">
        <f>IF(NOT(Paths!$C$212=1),0,IF(Paths!$P$212="Complete",SUM(G2268:I2268)-J2268-K2268-L2268+M2268+IF(C2268=0,Paths!$F$212,0)+IF(IF(Paths!$E$212=0,C2268=0,AND(C2268&gt;0,Paths!$E$212&gt;(C2268-1)*12,Paths!$E$212&lt;=C2268*12)),VLOOKUP(A2268,'Fleet register'!$A$7:$S$106,16,FALSE),0),"n.a."))</f>
        <v>0</v>
      </c>
      <c r="O2268" s="16">
        <f>IF(NOT(Paths!$C$212=1),0,IF(Paths!$P$212="Complete",N2268-IF(C2268=0,Paths!$F$212,0),"n.a."))</f>
        <v>0</v>
      </c>
      <c r="P2268" s="16">
        <f>IF(NOT(Paths!$C$212=1),0,IF(Paths!$P$212="Complete",O2268+L2268,"n.a."))</f>
        <v>0</v>
      </c>
      <c r="Q2268" s="16">
        <f>IF(NOT(Paths!$C$212=1),0,IF(Paths!$P$212="Complete",N2268*(1+'Operating costs'!$B$54)^-C2268,"n.a."))</f>
        <v>0</v>
      </c>
      <c r="R2268" s="16">
        <f>IF(NOT(Paths!$C$212=1),0,IF(Paths!$P$212="Complete",IF(AND(C2268=0,Paths!$E$212=0),I2268-J2268-K2268+VLOOKUP(A2268,'Fleet register'!$A$7:$S$106,15,FALSE)+VLOOKUP(A2268,'Fleet register'!$A$7:$S$106,16,FALSE),0),"n.a."))</f>
        <v>0</v>
      </c>
      <c r="S2268" s="1">
        <f>IF(NOT(Paths!$C$212=1),0,IF(Paths!$P$212="Complete",IF(C2268=0,0,Paths!$S$212*Paths!$R$212),"n.a."))</f>
        <v>0</v>
      </c>
      <c r="T2268" s="1">
        <f>IF(NOT(Paths!$C$212=1),0,IF(Paths!$P$212="Complete",IF(C2268=0,0,VLOOKUP(A2268,'Fleet register'!$A$7:$S$106,9,FALSE)*Paths!$R$212),"n.a."))</f>
        <v>0</v>
      </c>
    </row>
    <row r="2269" spans="1:20" ht="24" customHeight="1">
      <c r="A2269" s="1" t="str">
        <f>Paths!$A$212</f>
        <v>T052</v>
      </c>
      <c r="B2269" s="1">
        <f>Paths!$B$212</f>
        <v>1</v>
      </c>
      <c r="C2269" s="1">
        <v>7</v>
      </c>
      <c r="D2269" s="1">
        <v>212</v>
      </c>
      <c r="E2269" s="1">
        <f>IF(OR(Paths!$C$212=0,C2269=0),0,MAX(0,MIN(C2269*12,Paths!$E$212)-(C2269-1)*12))</f>
        <v>0</v>
      </c>
      <c r="F2269" s="1">
        <f>IF(OR(Paths!$C$212=0,C2269=0),0,12-E2269)</f>
        <v>0</v>
      </c>
      <c r="G2269" s="16">
        <f>IF(NOT(Paths!$C$212=1),0,IF(Paths!$P$212="Complete",E2269/12*(Paths!$J$212*(1+'Operating costs'!$B$51)^MAX(0,C2269-1)+Paths!$K$212*(1+'Operating costs'!$B$53)^MAX(0,C2269-1)),"n.a."))</f>
        <v>0</v>
      </c>
      <c r="H2269" s="16">
        <f>IF(NOT(Paths!$C$212=1),0,IF(Paths!$P$212="Complete",F2269/12*(Paths!$L$212*(1+IF(Paths!$D$212="EV",'Operating costs'!$B$52,'Operating costs'!$B$51))^MAX(0,C2269-1)+Paths!$M$212*(1+'Operating costs'!$B$53)^MAX(0,C2269-1)),"n.a."))</f>
        <v>0</v>
      </c>
      <c r="I2269" s="16">
        <f>IF(NOT(Paths!$C$212=1),0,IF(Paths!$P$212="Complete",IF(IF(Paths!$E$212=0,C2269=0,AND(C2269&gt;0,Paths!$E$212&gt;(C2269-1)*12,Paths!$E$212&lt;=C2269*12)),Paths!$G$212,0),"n.a."))</f>
        <v>0</v>
      </c>
      <c r="J2269" s="16">
        <f>IF(NOT(Paths!$C$212=1),0,IF(Paths!$P$212="Complete",IF(IF(Paths!$E$212=0,C2269=0,AND(C2269&gt;0,Paths!$E$212&gt;(C2269-1)*12,Paths!$E$212&lt;=C2269*12)),Paths!$H$212,0),"n.a."))</f>
        <v>0</v>
      </c>
      <c r="K2269" s="16">
        <f>IF(NOT(Paths!$C$212=1),0,IF(Paths!$P$212="Complete",IF(IF(Paths!$O$212=0,C2269=0,AND(C2269&gt;0,Paths!$O$212&gt;(C2269-1)*12,Paths!$O$212&lt;=C2269*12)),Paths!$N$212,0),"n.a."))</f>
        <v>0</v>
      </c>
      <c r="L2269" s="16">
        <f>IF(NOT(Paths!$C$212=1),0,IF(Paths!$P$212="Complete",IF(C2269=10,Paths!$I$212,0),"n.a."))</f>
        <v>0</v>
      </c>
      <c r="M2269" s="16">
        <f>IF(NOT(Paths!$C$212=1),0,IF(Paths!$P$212="Complete",IF(AND(Paths!$D$212="EV",Paths!$E$212&lt;120,Paths!$E$212+'Operating costs'!$B$65&gt;Paths!$E$212,Paths!$E$212+'Operating costs'!$B$65&lt;=120,IF(Paths!$E$212+'Operating costs'!$B$65=0,C2269=0,AND(C2269&gt;0,Paths!$E$212+'Operating costs'!$B$65&gt;(C2269-1)*12,Paths!$E$212+'Operating costs'!$B$65&lt;=C2269*12))),'Operating costs'!$B$64,0)+IF(AND('Operating costs'!$B$67&gt;0,'Operating costs'!$B$67&lt;=120,OR(Paths!$D$212="ICE",'Operating costs'!$B$67&lt;=Paths!$E$212),IF('Operating costs'!$B$67=0,C2269=0,AND(C2269&gt;0,'Operating costs'!$B$67&gt;(C2269-1)*12,'Operating costs'!$B$67&lt;=C2269*12))),'Operating costs'!$B$66,0),"n.a."))</f>
        <v>0</v>
      </c>
      <c r="N2269" s="16">
        <f>IF(NOT(Paths!$C$212=1),0,IF(Paths!$P$212="Complete",SUM(G2269:I2269)-J2269-K2269-L2269+M2269+IF(C2269=0,Paths!$F$212,0)+IF(IF(Paths!$E$212=0,C2269=0,AND(C2269&gt;0,Paths!$E$212&gt;(C2269-1)*12,Paths!$E$212&lt;=C2269*12)),VLOOKUP(A2269,'Fleet register'!$A$7:$S$106,16,FALSE),0),"n.a."))</f>
        <v>0</v>
      </c>
      <c r="O2269" s="16">
        <f>IF(NOT(Paths!$C$212=1),0,IF(Paths!$P$212="Complete",N2269-IF(C2269=0,Paths!$F$212,0),"n.a."))</f>
        <v>0</v>
      </c>
      <c r="P2269" s="16">
        <f>IF(NOT(Paths!$C$212=1),0,IF(Paths!$P$212="Complete",O2269+L2269,"n.a."))</f>
        <v>0</v>
      </c>
      <c r="Q2269" s="16">
        <f>IF(NOT(Paths!$C$212=1),0,IF(Paths!$P$212="Complete",N2269*(1+'Operating costs'!$B$54)^-C2269,"n.a."))</f>
        <v>0</v>
      </c>
      <c r="R2269" s="16">
        <f>IF(NOT(Paths!$C$212=1),0,IF(Paths!$P$212="Complete",IF(AND(C2269=0,Paths!$E$212=0),I2269-J2269-K2269+VLOOKUP(A2269,'Fleet register'!$A$7:$S$106,15,FALSE)+VLOOKUP(A2269,'Fleet register'!$A$7:$S$106,16,FALSE),0),"n.a."))</f>
        <v>0</v>
      </c>
      <c r="S2269" s="1">
        <f>IF(NOT(Paths!$C$212=1),0,IF(Paths!$P$212="Complete",IF(C2269=0,0,Paths!$S$212*Paths!$R$212),"n.a."))</f>
        <v>0</v>
      </c>
      <c r="T2269" s="1">
        <f>IF(NOT(Paths!$C$212=1),0,IF(Paths!$P$212="Complete",IF(C2269=0,0,VLOOKUP(A2269,'Fleet register'!$A$7:$S$106,9,FALSE)*Paths!$R$212),"n.a."))</f>
        <v>0</v>
      </c>
    </row>
    <row r="2270" spans="1:20" ht="24" customHeight="1">
      <c r="A2270" s="1" t="str">
        <f>Paths!$A$212</f>
        <v>T052</v>
      </c>
      <c r="B2270" s="1">
        <f>Paths!$B$212</f>
        <v>1</v>
      </c>
      <c r="C2270" s="1">
        <v>8</v>
      </c>
      <c r="D2270" s="1">
        <v>212</v>
      </c>
      <c r="E2270" s="1">
        <f>IF(OR(Paths!$C$212=0,C2270=0),0,MAX(0,MIN(C2270*12,Paths!$E$212)-(C2270-1)*12))</f>
        <v>0</v>
      </c>
      <c r="F2270" s="1">
        <f>IF(OR(Paths!$C$212=0,C2270=0),0,12-E2270)</f>
        <v>0</v>
      </c>
      <c r="G2270" s="16">
        <f>IF(NOT(Paths!$C$212=1),0,IF(Paths!$P$212="Complete",E2270/12*(Paths!$J$212*(1+'Operating costs'!$B$51)^MAX(0,C2270-1)+Paths!$K$212*(1+'Operating costs'!$B$53)^MAX(0,C2270-1)),"n.a."))</f>
        <v>0</v>
      </c>
      <c r="H2270" s="16">
        <f>IF(NOT(Paths!$C$212=1),0,IF(Paths!$P$212="Complete",F2270/12*(Paths!$L$212*(1+IF(Paths!$D$212="EV",'Operating costs'!$B$52,'Operating costs'!$B$51))^MAX(0,C2270-1)+Paths!$M$212*(1+'Operating costs'!$B$53)^MAX(0,C2270-1)),"n.a."))</f>
        <v>0</v>
      </c>
      <c r="I2270" s="16">
        <f>IF(NOT(Paths!$C$212=1),0,IF(Paths!$P$212="Complete",IF(IF(Paths!$E$212=0,C2270=0,AND(C2270&gt;0,Paths!$E$212&gt;(C2270-1)*12,Paths!$E$212&lt;=C2270*12)),Paths!$G$212,0),"n.a."))</f>
        <v>0</v>
      </c>
      <c r="J2270" s="16">
        <f>IF(NOT(Paths!$C$212=1),0,IF(Paths!$P$212="Complete",IF(IF(Paths!$E$212=0,C2270=0,AND(C2270&gt;0,Paths!$E$212&gt;(C2270-1)*12,Paths!$E$212&lt;=C2270*12)),Paths!$H$212,0),"n.a."))</f>
        <v>0</v>
      </c>
      <c r="K2270" s="16">
        <f>IF(NOT(Paths!$C$212=1),0,IF(Paths!$P$212="Complete",IF(IF(Paths!$O$212=0,C2270=0,AND(C2270&gt;0,Paths!$O$212&gt;(C2270-1)*12,Paths!$O$212&lt;=C2270*12)),Paths!$N$212,0),"n.a."))</f>
        <v>0</v>
      </c>
      <c r="L2270" s="16">
        <f>IF(NOT(Paths!$C$212=1),0,IF(Paths!$P$212="Complete",IF(C2270=10,Paths!$I$212,0),"n.a."))</f>
        <v>0</v>
      </c>
      <c r="M2270" s="16">
        <f>IF(NOT(Paths!$C$212=1),0,IF(Paths!$P$212="Complete",IF(AND(Paths!$D$212="EV",Paths!$E$212&lt;120,Paths!$E$212+'Operating costs'!$B$65&gt;Paths!$E$212,Paths!$E$212+'Operating costs'!$B$65&lt;=120,IF(Paths!$E$212+'Operating costs'!$B$65=0,C2270=0,AND(C2270&gt;0,Paths!$E$212+'Operating costs'!$B$65&gt;(C2270-1)*12,Paths!$E$212+'Operating costs'!$B$65&lt;=C2270*12))),'Operating costs'!$B$64,0)+IF(AND('Operating costs'!$B$67&gt;0,'Operating costs'!$B$67&lt;=120,OR(Paths!$D$212="ICE",'Operating costs'!$B$67&lt;=Paths!$E$212),IF('Operating costs'!$B$67=0,C2270=0,AND(C2270&gt;0,'Operating costs'!$B$67&gt;(C2270-1)*12,'Operating costs'!$B$67&lt;=C2270*12))),'Operating costs'!$B$66,0),"n.a."))</f>
        <v>0</v>
      </c>
      <c r="N2270" s="16">
        <f>IF(NOT(Paths!$C$212=1),0,IF(Paths!$P$212="Complete",SUM(G2270:I2270)-J2270-K2270-L2270+M2270+IF(C2270=0,Paths!$F$212,0)+IF(IF(Paths!$E$212=0,C2270=0,AND(C2270&gt;0,Paths!$E$212&gt;(C2270-1)*12,Paths!$E$212&lt;=C2270*12)),VLOOKUP(A2270,'Fleet register'!$A$7:$S$106,16,FALSE),0),"n.a."))</f>
        <v>0</v>
      </c>
      <c r="O2270" s="16">
        <f>IF(NOT(Paths!$C$212=1),0,IF(Paths!$P$212="Complete",N2270-IF(C2270=0,Paths!$F$212,0),"n.a."))</f>
        <v>0</v>
      </c>
      <c r="P2270" s="16">
        <f>IF(NOT(Paths!$C$212=1),0,IF(Paths!$P$212="Complete",O2270+L2270,"n.a."))</f>
        <v>0</v>
      </c>
      <c r="Q2270" s="16">
        <f>IF(NOT(Paths!$C$212=1),0,IF(Paths!$P$212="Complete",N2270*(1+'Operating costs'!$B$54)^-C2270,"n.a."))</f>
        <v>0</v>
      </c>
      <c r="R2270" s="16">
        <f>IF(NOT(Paths!$C$212=1),0,IF(Paths!$P$212="Complete",IF(AND(C2270=0,Paths!$E$212=0),I2270-J2270-K2270+VLOOKUP(A2270,'Fleet register'!$A$7:$S$106,15,FALSE)+VLOOKUP(A2270,'Fleet register'!$A$7:$S$106,16,FALSE),0),"n.a."))</f>
        <v>0</v>
      </c>
      <c r="S2270" s="1">
        <f>IF(NOT(Paths!$C$212=1),0,IF(Paths!$P$212="Complete",IF(C2270=0,0,Paths!$S$212*Paths!$R$212),"n.a."))</f>
        <v>0</v>
      </c>
      <c r="T2270" s="1">
        <f>IF(NOT(Paths!$C$212=1),0,IF(Paths!$P$212="Complete",IF(C2270=0,0,VLOOKUP(A2270,'Fleet register'!$A$7:$S$106,9,FALSE)*Paths!$R$212),"n.a."))</f>
        <v>0</v>
      </c>
    </row>
    <row r="2271" spans="1:20" ht="24" customHeight="1">
      <c r="A2271" s="1" t="str">
        <f>Paths!$A$212</f>
        <v>T052</v>
      </c>
      <c r="B2271" s="1">
        <f>Paths!$B$212</f>
        <v>1</v>
      </c>
      <c r="C2271" s="1">
        <v>9</v>
      </c>
      <c r="D2271" s="1">
        <v>212</v>
      </c>
      <c r="E2271" s="1">
        <f>IF(OR(Paths!$C$212=0,C2271=0),0,MAX(0,MIN(C2271*12,Paths!$E$212)-(C2271-1)*12))</f>
        <v>0</v>
      </c>
      <c r="F2271" s="1">
        <f>IF(OR(Paths!$C$212=0,C2271=0),0,12-E2271)</f>
        <v>0</v>
      </c>
      <c r="G2271" s="16">
        <f>IF(NOT(Paths!$C$212=1),0,IF(Paths!$P$212="Complete",E2271/12*(Paths!$J$212*(1+'Operating costs'!$B$51)^MAX(0,C2271-1)+Paths!$K$212*(1+'Operating costs'!$B$53)^MAX(0,C2271-1)),"n.a."))</f>
        <v>0</v>
      </c>
      <c r="H2271" s="16">
        <f>IF(NOT(Paths!$C$212=1),0,IF(Paths!$P$212="Complete",F2271/12*(Paths!$L$212*(1+IF(Paths!$D$212="EV",'Operating costs'!$B$52,'Operating costs'!$B$51))^MAX(0,C2271-1)+Paths!$M$212*(1+'Operating costs'!$B$53)^MAX(0,C2271-1)),"n.a."))</f>
        <v>0</v>
      </c>
      <c r="I2271" s="16">
        <f>IF(NOT(Paths!$C$212=1),0,IF(Paths!$P$212="Complete",IF(IF(Paths!$E$212=0,C2271=0,AND(C2271&gt;0,Paths!$E$212&gt;(C2271-1)*12,Paths!$E$212&lt;=C2271*12)),Paths!$G$212,0),"n.a."))</f>
        <v>0</v>
      </c>
      <c r="J2271" s="16">
        <f>IF(NOT(Paths!$C$212=1),0,IF(Paths!$P$212="Complete",IF(IF(Paths!$E$212=0,C2271=0,AND(C2271&gt;0,Paths!$E$212&gt;(C2271-1)*12,Paths!$E$212&lt;=C2271*12)),Paths!$H$212,0),"n.a."))</f>
        <v>0</v>
      </c>
      <c r="K2271" s="16">
        <f>IF(NOT(Paths!$C$212=1),0,IF(Paths!$P$212="Complete",IF(IF(Paths!$O$212=0,C2271=0,AND(C2271&gt;0,Paths!$O$212&gt;(C2271-1)*12,Paths!$O$212&lt;=C2271*12)),Paths!$N$212,0),"n.a."))</f>
        <v>0</v>
      </c>
      <c r="L2271" s="16">
        <f>IF(NOT(Paths!$C$212=1),0,IF(Paths!$P$212="Complete",IF(C2271=10,Paths!$I$212,0),"n.a."))</f>
        <v>0</v>
      </c>
      <c r="M2271" s="16">
        <f>IF(NOT(Paths!$C$212=1),0,IF(Paths!$P$212="Complete",IF(AND(Paths!$D$212="EV",Paths!$E$212&lt;120,Paths!$E$212+'Operating costs'!$B$65&gt;Paths!$E$212,Paths!$E$212+'Operating costs'!$B$65&lt;=120,IF(Paths!$E$212+'Operating costs'!$B$65=0,C2271=0,AND(C2271&gt;0,Paths!$E$212+'Operating costs'!$B$65&gt;(C2271-1)*12,Paths!$E$212+'Operating costs'!$B$65&lt;=C2271*12))),'Operating costs'!$B$64,0)+IF(AND('Operating costs'!$B$67&gt;0,'Operating costs'!$B$67&lt;=120,OR(Paths!$D$212="ICE",'Operating costs'!$B$67&lt;=Paths!$E$212),IF('Operating costs'!$B$67=0,C2271=0,AND(C2271&gt;0,'Operating costs'!$B$67&gt;(C2271-1)*12,'Operating costs'!$B$67&lt;=C2271*12))),'Operating costs'!$B$66,0),"n.a."))</f>
        <v>0</v>
      </c>
      <c r="N2271" s="16">
        <f>IF(NOT(Paths!$C$212=1),0,IF(Paths!$P$212="Complete",SUM(G2271:I2271)-J2271-K2271-L2271+M2271+IF(C2271=0,Paths!$F$212,0)+IF(IF(Paths!$E$212=0,C2271=0,AND(C2271&gt;0,Paths!$E$212&gt;(C2271-1)*12,Paths!$E$212&lt;=C2271*12)),VLOOKUP(A2271,'Fleet register'!$A$7:$S$106,16,FALSE),0),"n.a."))</f>
        <v>0</v>
      </c>
      <c r="O2271" s="16">
        <f>IF(NOT(Paths!$C$212=1),0,IF(Paths!$P$212="Complete",N2271-IF(C2271=0,Paths!$F$212,0),"n.a."))</f>
        <v>0</v>
      </c>
      <c r="P2271" s="16">
        <f>IF(NOT(Paths!$C$212=1),0,IF(Paths!$P$212="Complete",O2271+L2271,"n.a."))</f>
        <v>0</v>
      </c>
      <c r="Q2271" s="16">
        <f>IF(NOT(Paths!$C$212=1),0,IF(Paths!$P$212="Complete",N2271*(1+'Operating costs'!$B$54)^-C2271,"n.a."))</f>
        <v>0</v>
      </c>
      <c r="R2271" s="16">
        <f>IF(NOT(Paths!$C$212=1),0,IF(Paths!$P$212="Complete",IF(AND(C2271=0,Paths!$E$212=0),I2271-J2271-K2271+VLOOKUP(A2271,'Fleet register'!$A$7:$S$106,15,FALSE)+VLOOKUP(A2271,'Fleet register'!$A$7:$S$106,16,FALSE),0),"n.a."))</f>
        <v>0</v>
      </c>
      <c r="S2271" s="1">
        <f>IF(NOT(Paths!$C$212=1),0,IF(Paths!$P$212="Complete",IF(C2271=0,0,Paths!$S$212*Paths!$R$212),"n.a."))</f>
        <v>0</v>
      </c>
      <c r="T2271" s="1">
        <f>IF(NOT(Paths!$C$212=1),0,IF(Paths!$P$212="Complete",IF(C2271=0,0,VLOOKUP(A2271,'Fleet register'!$A$7:$S$106,9,FALSE)*Paths!$R$212),"n.a."))</f>
        <v>0</v>
      </c>
    </row>
    <row r="2272" spans="1:20" ht="24" customHeight="1">
      <c r="A2272" s="1" t="str">
        <f>Paths!$A$212</f>
        <v>T052</v>
      </c>
      <c r="B2272" s="1">
        <f>Paths!$B$212</f>
        <v>1</v>
      </c>
      <c r="C2272" s="1">
        <v>10</v>
      </c>
      <c r="D2272" s="1">
        <v>212</v>
      </c>
      <c r="E2272" s="1">
        <f>IF(OR(Paths!$C$212=0,C2272=0),0,MAX(0,MIN(C2272*12,Paths!$E$212)-(C2272-1)*12))</f>
        <v>0</v>
      </c>
      <c r="F2272" s="1">
        <f>IF(OR(Paths!$C$212=0,C2272=0),0,12-E2272)</f>
        <v>0</v>
      </c>
      <c r="G2272" s="16">
        <f>IF(NOT(Paths!$C$212=1),0,IF(Paths!$P$212="Complete",E2272/12*(Paths!$J$212*(1+'Operating costs'!$B$51)^MAX(0,C2272-1)+Paths!$K$212*(1+'Operating costs'!$B$53)^MAX(0,C2272-1)),"n.a."))</f>
        <v>0</v>
      </c>
      <c r="H2272" s="16">
        <f>IF(NOT(Paths!$C$212=1),0,IF(Paths!$P$212="Complete",F2272/12*(Paths!$L$212*(1+IF(Paths!$D$212="EV",'Operating costs'!$B$52,'Operating costs'!$B$51))^MAX(0,C2272-1)+Paths!$M$212*(1+'Operating costs'!$B$53)^MAX(0,C2272-1)),"n.a."))</f>
        <v>0</v>
      </c>
      <c r="I2272" s="16">
        <f>IF(NOT(Paths!$C$212=1),0,IF(Paths!$P$212="Complete",IF(IF(Paths!$E$212=0,C2272=0,AND(C2272&gt;0,Paths!$E$212&gt;(C2272-1)*12,Paths!$E$212&lt;=C2272*12)),Paths!$G$212,0),"n.a."))</f>
        <v>0</v>
      </c>
      <c r="J2272" s="16">
        <f>IF(NOT(Paths!$C$212=1),0,IF(Paths!$P$212="Complete",IF(IF(Paths!$E$212=0,C2272=0,AND(C2272&gt;0,Paths!$E$212&gt;(C2272-1)*12,Paths!$E$212&lt;=C2272*12)),Paths!$H$212,0),"n.a."))</f>
        <v>0</v>
      </c>
      <c r="K2272" s="16">
        <f>IF(NOT(Paths!$C$212=1),0,IF(Paths!$P$212="Complete",IF(IF(Paths!$O$212=0,C2272=0,AND(C2272&gt;0,Paths!$O$212&gt;(C2272-1)*12,Paths!$O$212&lt;=C2272*12)),Paths!$N$212,0),"n.a."))</f>
        <v>0</v>
      </c>
      <c r="L2272" s="16">
        <f>IF(NOT(Paths!$C$212=1),0,IF(Paths!$P$212="Complete",IF(C2272=10,Paths!$I$212,0),"n.a."))</f>
        <v>0</v>
      </c>
      <c r="M2272" s="16">
        <f>IF(NOT(Paths!$C$212=1),0,IF(Paths!$P$212="Complete",IF(AND(Paths!$D$212="EV",Paths!$E$212&lt;120,Paths!$E$212+'Operating costs'!$B$65&gt;Paths!$E$212,Paths!$E$212+'Operating costs'!$B$65&lt;=120,IF(Paths!$E$212+'Operating costs'!$B$65=0,C2272=0,AND(C2272&gt;0,Paths!$E$212+'Operating costs'!$B$65&gt;(C2272-1)*12,Paths!$E$212+'Operating costs'!$B$65&lt;=C2272*12))),'Operating costs'!$B$64,0)+IF(AND('Operating costs'!$B$67&gt;0,'Operating costs'!$B$67&lt;=120,OR(Paths!$D$212="ICE",'Operating costs'!$B$67&lt;=Paths!$E$212),IF('Operating costs'!$B$67=0,C2272=0,AND(C2272&gt;0,'Operating costs'!$B$67&gt;(C2272-1)*12,'Operating costs'!$B$67&lt;=C2272*12))),'Operating costs'!$B$66,0),"n.a."))</f>
        <v>0</v>
      </c>
      <c r="N2272" s="16">
        <f>IF(NOT(Paths!$C$212=1),0,IF(Paths!$P$212="Complete",SUM(G2272:I2272)-J2272-K2272-L2272+M2272+IF(C2272=0,Paths!$F$212,0)+IF(IF(Paths!$E$212=0,C2272=0,AND(C2272&gt;0,Paths!$E$212&gt;(C2272-1)*12,Paths!$E$212&lt;=C2272*12)),VLOOKUP(A2272,'Fleet register'!$A$7:$S$106,16,FALSE),0),"n.a."))</f>
        <v>0</v>
      </c>
      <c r="O2272" s="16">
        <f>IF(NOT(Paths!$C$212=1),0,IF(Paths!$P$212="Complete",N2272-IF(C2272=0,Paths!$F$212,0),"n.a."))</f>
        <v>0</v>
      </c>
      <c r="P2272" s="16">
        <f>IF(NOT(Paths!$C$212=1),0,IF(Paths!$P$212="Complete",O2272+L2272,"n.a."))</f>
        <v>0</v>
      </c>
      <c r="Q2272" s="16">
        <f>IF(NOT(Paths!$C$212=1),0,IF(Paths!$P$212="Complete",N2272*(1+'Operating costs'!$B$54)^-C2272,"n.a."))</f>
        <v>0</v>
      </c>
      <c r="R2272" s="16">
        <f>IF(NOT(Paths!$C$212=1),0,IF(Paths!$P$212="Complete",IF(AND(C2272=0,Paths!$E$212=0),I2272-J2272-K2272+VLOOKUP(A2272,'Fleet register'!$A$7:$S$106,15,FALSE)+VLOOKUP(A2272,'Fleet register'!$A$7:$S$106,16,FALSE),0),"n.a."))</f>
        <v>0</v>
      </c>
      <c r="S2272" s="1">
        <f>IF(NOT(Paths!$C$212=1),0,IF(Paths!$P$212="Complete",IF(C2272=0,0,Paths!$S$212*Paths!$R$212),"n.a."))</f>
        <v>0</v>
      </c>
      <c r="T2272" s="1">
        <f>IF(NOT(Paths!$C$212=1),0,IF(Paths!$P$212="Complete",IF(C2272=0,0,VLOOKUP(A2272,'Fleet register'!$A$7:$S$106,9,FALSE)*Paths!$R$212),"n.a."))</f>
        <v>0</v>
      </c>
    </row>
    <row r="2273" spans="1:20" ht="24" customHeight="1">
      <c r="A2273" s="1" t="str">
        <f>Paths!$A$213</f>
        <v>T052</v>
      </c>
      <c r="B2273" s="1">
        <f>Paths!$B$213</f>
        <v>2</v>
      </c>
      <c r="C2273" s="1">
        <v>0</v>
      </c>
      <c r="D2273" s="1">
        <v>213</v>
      </c>
      <c r="E2273" s="1">
        <f>IF(OR(Paths!$C$213=0,C2273=0),0,MAX(0,MIN(C2273*12,Paths!$E$213)-(C2273-1)*12))</f>
        <v>0</v>
      </c>
      <c r="F2273" s="1">
        <f>IF(OR(Paths!$C$213=0,C2273=0),0,12-E2273)</f>
        <v>0</v>
      </c>
      <c r="G2273" s="16">
        <f>IF(NOT(Paths!$C$213=1),0,IF(Paths!$P$213="Complete",E2273/12*(Paths!$J$213*(1+'Operating costs'!$B$51)^MAX(0,C2273-1)+Paths!$K$213*(1+'Operating costs'!$B$53)^MAX(0,C2273-1)),"n.a."))</f>
        <v>0</v>
      </c>
      <c r="H2273" s="16">
        <f>IF(NOT(Paths!$C$213=1),0,IF(Paths!$P$213="Complete",F2273/12*(Paths!$L$213*(1+IF(Paths!$D$213="EV",'Operating costs'!$B$52,'Operating costs'!$B$51))^MAX(0,C2273-1)+Paths!$M$213*(1+'Operating costs'!$B$53)^MAX(0,C2273-1)),"n.a."))</f>
        <v>0</v>
      </c>
      <c r="I2273" s="16">
        <f>IF(NOT(Paths!$C$213=1),0,IF(Paths!$P$213="Complete",IF(IF(Paths!$E$213=0,C2273=0,AND(C2273&gt;0,Paths!$E$213&gt;(C2273-1)*12,Paths!$E$213&lt;=C2273*12)),Paths!$G$213,0),"n.a."))</f>
        <v>0</v>
      </c>
      <c r="J2273" s="16">
        <f>IF(NOT(Paths!$C$213=1),0,IF(Paths!$P$213="Complete",IF(IF(Paths!$E$213=0,C2273=0,AND(C2273&gt;0,Paths!$E$213&gt;(C2273-1)*12,Paths!$E$213&lt;=C2273*12)),Paths!$H$213,0),"n.a."))</f>
        <v>0</v>
      </c>
      <c r="K2273" s="16">
        <f>IF(NOT(Paths!$C$213=1),0,IF(Paths!$P$213="Complete",IF(IF(Paths!$O$213=0,C2273=0,AND(C2273&gt;0,Paths!$O$213&gt;(C2273-1)*12,Paths!$O$213&lt;=C2273*12)),Paths!$N$213,0),"n.a."))</f>
        <v>0</v>
      </c>
      <c r="L2273" s="16">
        <f>IF(NOT(Paths!$C$213=1),0,IF(Paths!$P$213="Complete",IF(C2273=10,Paths!$I$213,0),"n.a."))</f>
        <v>0</v>
      </c>
      <c r="M2273" s="16">
        <f>IF(NOT(Paths!$C$213=1),0,IF(Paths!$P$213="Complete",IF(AND(Paths!$D$213="EV",Paths!$E$213&lt;120,Paths!$E$213+'Operating costs'!$B$65&gt;Paths!$E$213,Paths!$E$213+'Operating costs'!$B$65&lt;=120,IF(Paths!$E$213+'Operating costs'!$B$65=0,C2273=0,AND(C2273&gt;0,Paths!$E$213+'Operating costs'!$B$65&gt;(C2273-1)*12,Paths!$E$213+'Operating costs'!$B$65&lt;=C2273*12))),'Operating costs'!$B$64,0)+IF(AND('Operating costs'!$B$67&gt;0,'Operating costs'!$B$67&lt;=120,OR(Paths!$D$213="ICE",'Operating costs'!$B$67&lt;=Paths!$E$213),IF('Operating costs'!$B$67=0,C2273=0,AND(C2273&gt;0,'Operating costs'!$B$67&gt;(C2273-1)*12,'Operating costs'!$B$67&lt;=C2273*12))),'Operating costs'!$B$66,0),"n.a."))</f>
        <v>0</v>
      </c>
      <c r="N2273" s="16">
        <f>IF(NOT(Paths!$C$213=1),0,IF(Paths!$P$213="Complete",SUM(G2273:I2273)-J2273-K2273-L2273+M2273+IF(C2273=0,Paths!$F$213,0)+IF(IF(Paths!$E$213=0,C2273=0,AND(C2273&gt;0,Paths!$E$213&gt;(C2273-1)*12,Paths!$E$213&lt;=C2273*12)),VLOOKUP(A2273,'Fleet register'!$A$7:$S$106,16,FALSE),0),"n.a."))</f>
        <v>0</v>
      </c>
      <c r="O2273" s="16">
        <f>IF(NOT(Paths!$C$213=1),0,IF(Paths!$P$213="Complete",N2273-IF(C2273=0,Paths!$F$213,0),"n.a."))</f>
        <v>0</v>
      </c>
      <c r="P2273" s="16">
        <f>IF(NOT(Paths!$C$213=1),0,IF(Paths!$P$213="Complete",O2273+L2273,"n.a."))</f>
        <v>0</v>
      </c>
      <c r="Q2273" s="16">
        <f>IF(NOT(Paths!$C$213=1),0,IF(Paths!$P$213="Complete",N2273*(1+'Operating costs'!$B$54)^-C2273,"n.a."))</f>
        <v>0</v>
      </c>
      <c r="R2273" s="16">
        <f>IF(NOT(Paths!$C$213=1),0,IF(Paths!$P$213="Complete",IF(AND(C2273=0,Paths!$E$213=0),I2273-J2273-K2273+VLOOKUP(A2273,'Fleet register'!$A$7:$S$106,15,FALSE)+VLOOKUP(A2273,'Fleet register'!$A$7:$S$106,16,FALSE),0),"n.a."))</f>
        <v>0</v>
      </c>
      <c r="S2273" s="1">
        <f>IF(NOT(Paths!$C$213=1),0,IF(Paths!$P$213="Complete",IF(C2273=0,0,Paths!$S$213*Paths!$R$213),"n.a."))</f>
        <v>0</v>
      </c>
      <c r="T2273" s="1">
        <f>IF(NOT(Paths!$C$213=1),0,IF(Paths!$P$213="Complete",IF(C2273=0,0,VLOOKUP(A2273,'Fleet register'!$A$7:$S$106,9,FALSE)*Paths!$R$213),"n.a."))</f>
        <v>0</v>
      </c>
    </row>
    <row r="2274" spans="1:20" ht="24" customHeight="1">
      <c r="A2274" s="1" t="str">
        <f>Paths!$A$213</f>
        <v>T052</v>
      </c>
      <c r="B2274" s="1">
        <f>Paths!$B$213</f>
        <v>2</v>
      </c>
      <c r="C2274" s="1">
        <v>1</v>
      </c>
      <c r="D2274" s="1">
        <v>213</v>
      </c>
      <c r="E2274" s="1">
        <f>IF(OR(Paths!$C$213=0,C2274=0),0,MAX(0,MIN(C2274*12,Paths!$E$213)-(C2274-1)*12))</f>
        <v>0</v>
      </c>
      <c r="F2274" s="1">
        <f>IF(OR(Paths!$C$213=0,C2274=0),0,12-E2274)</f>
        <v>0</v>
      </c>
      <c r="G2274" s="16">
        <f>IF(NOT(Paths!$C$213=1),0,IF(Paths!$P$213="Complete",E2274/12*(Paths!$J$213*(1+'Operating costs'!$B$51)^MAX(0,C2274-1)+Paths!$K$213*(1+'Operating costs'!$B$53)^MAX(0,C2274-1)),"n.a."))</f>
        <v>0</v>
      </c>
      <c r="H2274" s="16">
        <f>IF(NOT(Paths!$C$213=1),0,IF(Paths!$P$213="Complete",F2274/12*(Paths!$L$213*(1+IF(Paths!$D$213="EV",'Operating costs'!$B$52,'Operating costs'!$B$51))^MAX(0,C2274-1)+Paths!$M$213*(1+'Operating costs'!$B$53)^MAX(0,C2274-1)),"n.a."))</f>
        <v>0</v>
      </c>
      <c r="I2274" s="16">
        <f>IF(NOT(Paths!$C$213=1),0,IF(Paths!$P$213="Complete",IF(IF(Paths!$E$213=0,C2274=0,AND(C2274&gt;0,Paths!$E$213&gt;(C2274-1)*12,Paths!$E$213&lt;=C2274*12)),Paths!$G$213,0),"n.a."))</f>
        <v>0</v>
      </c>
      <c r="J2274" s="16">
        <f>IF(NOT(Paths!$C$213=1),0,IF(Paths!$P$213="Complete",IF(IF(Paths!$E$213=0,C2274=0,AND(C2274&gt;0,Paths!$E$213&gt;(C2274-1)*12,Paths!$E$213&lt;=C2274*12)),Paths!$H$213,0),"n.a."))</f>
        <v>0</v>
      </c>
      <c r="K2274" s="16">
        <f>IF(NOT(Paths!$C$213=1),0,IF(Paths!$P$213="Complete",IF(IF(Paths!$O$213=0,C2274=0,AND(C2274&gt;0,Paths!$O$213&gt;(C2274-1)*12,Paths!$O$213&lt;=C2274*12)),Paths!$N$213,0),"n.a."))</f>
        <v>0</v>
      </c>
      <c r="L2274" s="16">
        <f>IF(NOT(Paths!$C$213=1),0,IF(Paths!$P$213="Complete",IF(C2274=10,Paths!$I$213,0),"n.a."))</f>
        <v>0</v>
      </c>
      <c r="M2274" s="16">
        <f>IF(NOT(Paths!$C$213=1),0,IF(Paths!$P$213="Complete",IF(AND(Paths!$D$213="EV",Paths!$E$213&lt;120,Paths!$E$213+'Operating costs'!$B$65&gt;Paths!$E$213,Paths!$E$213+'Operating costs'!$B$65&lt;=120,IF(Paths!$E$213+'Operating costs'!$B$65=0,C2274=0,AND(C2274&gt;0,Paths!$E$213+'Operating costs'!$B$65&gt;(C2274-1)*12,Paths!$E$213+'Operating costs'!$B$65&lt;=C2274*12))),'Operating costs'!$B$64,0)+IF(AND('Operating costs'!$B$67&gt;0,'Operating costs'!$B$67&lt;=120,OR(Paths!$D$213="ICE",'Operating costs'!$B$67&lt;=Paths!$E$213),IF('Operating costs'!$B$67=0,C2274=0,AND(C2274&gt;0,'Operating costs'!$B$67&gt;(C2274-1)*12,'Operating costs'!$B$67&lt;=C2274*12))),'Operating costs'!$B$66,0),"n.a."))</f>
        <v>0</v>
      </c>
      <c r="N2274" s="16">
        <f>IF(NOT(Paths!$C$213=1),0,IF(Paths!$P$213="Complete",SUM(G2274:I2274)-J2274-K2274-L2274+M2274+IF(C2274=0,Paths!$F$213,0)+IF(IF(Paths!$E$213=0,C2274=0,AND(C2274&gt;0,Paths!$E$213&gt;(C2274-1)*12,Paths!$E$213&lt;=C2274*12)),VLOOKUP(A2274,'Fleet register'!$A$7:$S$106,16,FALSE),0),"n.a."))</f>
        <v>0</v>
      </c>
      <c r="O2274" s="16">
        <f>IF(NOT(Paths!$C$213=1),0,IF(Paths!$P$213="Complete",N2274-IF(C2274=0,Paths!$F$213,0),"n.a."))</f>
        <v>0</v>
      </c>
      <c r="P2274" s="16">
        <f>IF(NOT(Paths!$C$213=1),0,IF(Paths!$P$213="Complete",O2274+L2274,"n.a."))</f>
        <v>0</v>
      </c>
      <c r="Q2274" s="16">
        <f>IF(NOT(Paths!$C$213=1),0,IF(Paths!$P$213="Complete",N2274*(1+'Operating costs'!$B$54)^-C2274,"n.a."))</f>
        <v>0</v>
      </c>
      <c r="R2274" s="16">
        <f>IF(NOT(Paths!$C$213=1),0,IF(Paths!$P$213="Complete",IF(AND(C2274=0,Paths!$E$213=0),I2274-J2274-K2274+VLOOKUP(A2274,'Fleet register'!$A$7:$S$106,15,FALSE)+VLOOKUP(A2274,'Fleet register'!$A$7:$S$106,16,FALSE),0),"n.a."))</f>
        <v>0</v>
      </c>
      <c r="S2274" s="1">
        <f>IF(NOT(Paths!$C$213=1),0,IF(Paths!$P$213="Complete",IF(C2274=0,0,Paths!$S$213*Paths!$R$213),"n.a."))</f>
        <v>0</v>
      </c>
      <c r="T2274" s="1">
        <f>IF(NOT(Paths!$C$213=1),0,IF(Paths!$P$213="Complete",IF(C2274=0,0,VLOOKUP(A2274,'Fleet register'!$A$7:$S$106,9,FALSE)*Paths!$R$213),"n.a."))</f>
        <v>0</v>
      </c>
    </row>
    <row r="2275" spans="1:20" ht="24" customHeight="1">
      <c r="A2275" s="1" t="str">
        <f>Paths!$A$213</f>
        <v>T052</v>
      </c>
      <c r="B2275" s="1">
        <f>Paths!$B$213</f>
        <v>2</v>
      </c>
      <c r="C2275" s="1">
        <v>2</v>
      </c>
      <c r="D2275" s="1">
        <v>213</v>
      </c>
      <c r="E2275" s="1">
        <f>IF(OR(Paths!$C$213=0,C2275=0),0,MAX(0,MIN(C2275*12,Paths!$E$213)-(C2275-1)*12))</f>
        <v>0</v>
      </c>
      <c r="F2275" s="1">
        <f>IF(OR(Paths!$C$213=0,C2275=0),0,12-E2275)</f>
        <v>0</v>
      </c>
      <c r="G2275" s="16">
        <f>IF(NOT(Paths!$C$213=1),0,IF(Paths!$P$213="Complete",E2275/12*(Paths!$J$213*(1+'Operating costs'!$B$51)^MAX(0,C2275-1)+Paths!$K$213*(1+'Operating costs'!$B$53)^MAX(0,C2275-1)),"n.a."))</f>
        <v>0</v>
      </c>
      <c r="H2275" s="16">
        <f>IF(NOT(Paths!$C$213=1),0,IF(Paths!$P$213="Complete",F2275/12*(Paths!$L$213*(1+IF(Paths!$D$213="EV",'Operating costs'!$B$52,'Operating costs'!$B$51))^MAX(0,C2275-1)+Paths!$M$213*(1+'Operating costs'!$B$53)^MAX(0,C2275-1)),"n.a."))</f>
        <v>0</v>
      </c>
      <c r="I2275" s="16">
        <f>IF(NOT(Paths!$C$213=1),0,IF(Paths!$P$213="Complete",IF(IF(Paths!$E$213=0,C2275=0,AND(C2275&gt;0,Paths!$E$213&gt;(C2275-1)*12,Paths!$E$213&lt;=C2275*12)),Paths!$G$213,0),"n.a."))</f>
        <v>0</v>
      </c>
      <c r="J2275" s="16">
        <f>IF(NOT(Paths!$C$213=1),0,IF(Paths!$P$213="Complete",IF(IF(Paths!$E$213=0,C2275=0,AND(C2275&gt;0,Paths!$E$213&gt;(C2275-1)*12,Paths!$E$213&lt;=C2275*12)),Paths!$H$213,0),"n.a."))</f>
        <v>0</v>
      </c>
      <c r="K2275" s="16">
        <f>IF(NOT(Paths!$C$213=1),0,IF(Paths!$P$213="Complete",IF(IF(Paths!$O$213=0,C2275=0,AND(C2275&gt;0,Paths!$O$213&gt;(C2275-1)*12,Paths!$O$213&lt;=C2275*12)),Paths!$N$213,0),"n.a."))</f>
        <v>0</v>
      </c>
      <c r="L2275" s="16">
        <f>IF(NOT(Paths!$C$213=1),0,IF(Paths!$P$213="Complete",IF(C2275=10,Paths!$I$213,0),"n.a."))</f>
        <v>0</v>
      </c>
      <c r="M2275" s="16">
        <f>IF(NOT(Paths!$C$213=1),0,IF(Paths!$P$213="Complete",IF(AND(Paths!$D$213="EV",Paths!$E$213&lt;120,Paths!$E$213+'Operating costs'!$B$65&gt;Paths!$E$213,Paths!$E$213+'Operating costs'!$B$65&lt;=120,IF(Paths!$E$213+'Operating costs'!$B$65=0,C2275=0,AND(C2275&gt;0,Paths!$E$213+'Operating costs'!$B$65&gt;(C2275-1)*12,Paths!$E$213+'Operating costs'!$B$65&lt;=C2275*12))),'Operating costs'!$B$64,0)+IF(AND('Operating costs'!$B$67&gt;0,'Operating costs'!$B$67&lt;=120,OR(Paths!$D$213="ICE",'Operating costs'!$B$67&lt;=Paths!$E$213),IF('Operating costs'!$B$67=0,C2275=0,AND(C2275&gt;0,'Operating costs'!$B$67&gt;(C2275-1)*12,'Operating costs'!$B$67&lt;=C2275*12))),'Operating costs'!$B$66,0),"n.a."))</f>
        <v>0</v>
      </c>
      <c r="N2275" s="16">
        <f>IF(NOT(Paths!$C$213=1),0,IF(Paths!$P$213="Complete",SUM(G2275:I2275)-J2275-K2275-L2275+M2275+IF(C2275=0,Paths!$F$213,0)+IF(IF(Paths!$E$213=0,C2275=0,AND(C2275&gt;0,Paths!$E$213&gt;(C2275-1)*12,Paths!$E$213&lt;=C2275*12)),VLOOKUP(A2275,'Fleet register'!$A$7:$S$106,16,FALSE),0),"n.a."))</f>
        <v>0</v>
      </c>
      <c r="O2275" s="16">
        <f>IF(NOT(Paths!$C$213=1),0,IF(Paths!$P$213="Complete",N2275-IF(C2275=0,Paths!$F$213,0),"n.a."))</f>
        <v>0</v>
      </c>
      <c r="P2275" s="16">
        <f>IF(NOT(Paths!$C$213=1),0,IF(Paths!$P$213="Complete",O2275+L2275,"n.a."))</f>
        <v>0</v>
      </c>
      <c r="Q2275" s="16">
        <f>IF(NOT(Paths!$C$213=1),0,IF(Paths!$P$213="Complete",N2275*(1+'Operating costs'!$B$54)^-C2275,"n.a."))</f>
        <v>0</v>
      </c>
      <c r="R2275" s="16">
        <f>IF(NOT(Paths!$C$213=1),0,IF(Paths!$P$213="Complete",IF(AND(C2275=0,Paths!$E$213=0),I2275-J2275-K2275+VLOOKUP(A2275,'Fleet register'!$A$7:$S$106,15,FALSE)+VLOOKUP(A2275,'Fleet register'!$A$7:$S$106,16,FALSE),0),"n.a."))</f>
        <v>0</v>
      </c>
      <c r="S2275" s="1">
        <f>IF(NOT(Paths!$C$213=1),0,IF(Paths!$P$213="Complete",IF(C2275=0,0,Paths!$S$213*Paths!$R$213),"n.a."))</f>
        <v>0</v>
      </c>
      <c r="T2275" s="1">
        <f>IF(NOT(Paths!$C$213=1),0,IF(Paths!$P$213="Complete",IF(C2275=0,0,VLOOKUP(A2275,'Fleet register'!$A$7:$S$106,9,FALSE)*Paths!$R$213),"n.a."))</f>
        <v>0</v>
      </c>
    </row>
    <row r="2276" spans="1:20" ht="24" customHeight="1">
      <c r="A2276" s="1" t="str">
        <f>Paths!$A$213</f>
        <v>T052</v>
      </c>
      <c r="B2276" s="1">
        <f>Paths!$B$213</f>
        <v>2</v>
      </c>
      <c r="C2276" s="1">
        <v>3</v>
      </c>
      <c r="D2276" s="1">
        <v>213</v>
      </c>
      <c r="E2276" s="1">
        <f>IF(OR(Paths!$C$213=0,C2276=0),0,MAX(0,MIN(C2276*12,Paths!$E$213)-(C2276-1)*12))</f>
        <v>0</v>
      </c>
      <c r="F2276" s="1">
        <f>IF(OR(Paths!$C$213=0,C2276=0),0,12-E2276)</f>
        <v>0</v>
      </c>
      <c r="G2276" s="16">
        <f>IF(NOT(Paths!$C$213=1),0,IF(Paths!$P$213="Complete",E2276/12*(Paths!$J$213*(1+'Operating costs'!$B$51)^MAX(0,C2276-1)+Paths!$K$213*(1+'Operating costs'!$B$53)^MAX(0,C2276-1)),"n.a."))</f>
        <v>0</v>
      </c>
      <c r="H2276" s="16">
        <f>IF(NOT(Paths!$C$213=1),0,IF(Paths!$P$213="Complete",F2276/12*(Paths!$L$213*(1+IF(Paths!$D$213="EV",'Operating costs'!$B$52,'Operating costs'!$B$51))^MAX(0,C2276-1)+Paths!$M$213*(1+'Operating costs'!$B$53)^MAX(0,C2276-1)),"n.a."))</f>
        <v>0</v>
      </c>
      <c r="I2276" s="16">
        <f>IF(NOT(Paths!$C$213=1),0,IF(Paths!$P$213="Complete",IF(IF(Paths!$E$213=0,C2276=0,AND(C2276&gt;0,Paths!$E$213&gt;(C2276-1)*12,Paths!$E$213&lt;=C2276*12)),Paths!$G$213,0),"n.a."))</f>
        <v>0</v>
      </c>
      <c r="J2276" s="16">
        <f>IF(NOT(Paths!$C$213=1),0,IF(Paths!$P$213="Complete",IF(IF(Paths!$E$213=0,C2276=0,AND(C2276&gt;0,Paths!$E$213&gt;(C2276-1)*12,Paths!$E$213&lt;=C2276*12)),Paths!$H$213,0),"n.a."))</f>
        <v>0</v>
      </c>
      <c r="K2276" s="16">
        <f>IF(NOT(Paths!$C$213=1),0,IF(Paths!$P$213="Complete",IF(IF(Paths!$O$213=0,C2276=0,AND(C2276&gt;0,Paths!$O$213&gt;(C2276-1)*12,Paths!$O$213&lt;=C2276*12)),Paths!$N$213,0),"n.a."))</f>
        <v>0</v>
      </c>
      <c r="L2276" s="16">
        <f>IF(NOT(Paths!$C$213=1),0,IF(Paths!$P$213="Complete",IF(C2276=10,Paths!$I$213,0),"n.a."))</f>
        <v>0</v>
      </c>
      <c r="M2276" s="16">
        <f>IF(NOT(Paths!$C$213=1),0,IF(Paths!$P$213="Complete",IF(AND(Paths!$D$213="EV",Paths!$E$213&lt;120,Paths!$E$213+'Operating costs'!$B$65&gt;Paths!$E$213,Paths!$E$213+'Operating costs'!$B$65&lt;=120,IF(Paths!$E$213+'Operating costs'!$B$65=0,C2276=0,AND(C2276&gt;0,Paths!$E$213+'Operating costs'!$B$65&gt;(C2276-1)*12,Paths!$E$213+'Operating costs'!$B$65&lt;=C2276*12))),'Operating costs'!$B$64,0)+IF(AND('Operating costs'!$B$67&gt;0,'Operating costs'!$B$67&lt;=120,OR(Paths!$D$213="ICE",'Operating costs'!$B$67&lt;=Paths!$E$213),IF('Operating costs'!$B$67=0,C2276=0,AND(C2276&gt;0,'Operating costs'!$B$67&gt;(C2276-1)*12,'Operating costs'!$B$67&lt;=C2276*12))),'Operating costs'!$B$66,0),"n.a."))</f>
        <v>0</v>
      </c>
      <c r="N2276" s="16">
        <f>IF(NOT(Paths!$C$213=1),0,IF(Paths!$P$213="Complete",SUM(G2276:I2276)-J2276-K2276-L2276+M2276+IF(C2276=0,Paths!$F$213,0)+IF(IF(Paths!$E$213=0,C2276=0,AND(C2276&gt;0,Paths!$E$213&gt;(C2276-1)*12,Paths!$E$213&lt;=C2276*12)),VLOOKUP(A2276,'Fleet register'!$A$7:$S$106,16,FALSE),0),"n.a."))</f>
        <v>0</v>
      </c>
      <c r="O2276" s="16">
        <f>IF(NOT(Paths!$C$213=1),0,IF(Paths!$P$213="Complete",N2276-IF(C2276=0,Paths!$F$213,0),"n.a."))</f>
        <v>0</v>
      </c>
      <c r="P2276" s="16">
        <f>IF(NOT(Paths!$C$213=1),0,IF(Paths!$P$213="Complete",O2276+L2276,"n.a."))</f>
        <v>0</v>
      </c>
      <c r="Q2276" s="16">
        <f>IF(NOT(Paths!$C$213=1),0,IF(Paths!$P$213="Complete",N2276*(1+'Operating costs'!$B$54)^-C2276,"n.a."))</f>
        <v>0</v>
      </c>
      <c r="R2276" s="16">
        <f>IF(NOT(Paths!$C$213=1),0,IF(Paths!$P$213="Complete",IF(AND(C2276=0,Paths!$E$213=0),I2276-J2276-K2276+VLOOKUP(A2276,'Fleet register'!$A$7:$S$106,15,FALSE)+VLOOKUP(A2276,'Fleet register'!$A$7:$S$106,16,FALSE),0),"n.a."))</f>
        <v>0</v>
      </c>
      <c r="S2276" s="1">
        <f>IF(NOT(Paths!$C$213=1),0,IF(Paths!$P$213="Complete",IF(C2276=0,0,Paths!$S$213*Paths!$R$213),"n.a."))</f>
        <v>0</v>
      </c>
      <c r="T2276" s="1">
        <f>IF(NOT(Paths!$C$213=1),0,IF(Paths!$P$213="Complete",IF(C2276=0,0,VLOOKUP(A2276,'Fleet register'!$A$7:$S$106,9,FALSE)*Paths!$R$213),"n.a."))</f>
        <v>0</v>
      </c>
    </row>
    <row r="2277" spans="1:20" ht="24" customHeight="1">
      <c r="A2277" s="1" t="str">
        <f>Paths!$A$213</f>
        <v>T052</v>
      </c>
      <c r="B2277" s="1">
        <f>Paths!$B$213</f>
        <v>2</v>
      </c>
      <c r="C2277" s="1">
        <v>4</v>
      </c>
      <c r="D2277" s="1">
        <v>213</v>
      </c>
      <c r="E2277" s="1">
        <f>IF(OR(Paths!$C$213=0,C2277=0),0,MAX(0,MIN(C2277*12,Paths!$E$213)-(C2277-1)*12))</f>
        <v>0</v>
      </c>
      <c r="F2277" s="1">
        <f>IF(OR(Paths!$C$213=0,C2277=0),0,12-E2277)</f>
        <v>0</v>
      </c>
      <c r="G2277" s="16">
        <f>IF(NOT(Paths!$C$213=1),0,IF(Paths!$P$213="Complete",E2277/12*(Paths!$J$213*(1+'Operating costs'!$B$51)^MAX(0,C2277-1)+Paths!$K$213*(1+'Operating costs'!$B$53)^MAX(0,C2277-1)),"n.a."))</f>
        <v>0</v>
      </c>
      <c r="H2277" s="16">
        <f>IF(NOT(Paths!$C$213=1),0,IF(Paths!$P$213="Complete",F2277/12*(Paths!$L$213*(1+IF(Paths!$D$213="EV",'Operating costs'!$B$52,'Operating costs'!$B$51))^MAX(0,C2277-1)+Paths!$M$213*(1+'Operating costs'!$B$53)^MAX(0,C2277-1)),"n.a."))</f>
        <v>0</v>
      </c>
      <c r="I2277" s="16">
        <f>IF(NOT(Paths!$C$213=1),0,IF(Paths!$P$213="Complete",IF(IF(Paths!$E$213=0,C2277=0,AND(C2277&gt;0,Paths!$E$213&gt;(C2277-1)*12,Paths!$E$213&lt;=C2277*12)),Paths!$G$213,0),"n.a."))</f>
        <v>0</v>
      </c>
      <c r="J2277" s="16">
        <f>IF(NOT(Paths!$C$213=1),0,IF(Paths!$P$213="Complete",IF(IF(Paths!$E$213=0,C2277=0,AND(C2277&gt;0,Paths!$E$213&gt;(C2277-1)*12,Paths!$E$213&lt;=C2277*12)),Paths!$H$213,0),"n.a."))</f>
        <v>0</v>
      </c>
      <c r="K2277" s="16">
        <f>IF(NOT(Paths!$C$213=1),0,IF(Paths!$P$213="Complete",IF(IF(Paths!$O$213=0,C2277=0,AND(C2277&gt;0,Paths!$O$213&gt;(C2277-1)*12,Paths!$O$213&lt;=C2277*12)),Paths!$N$213,0),"n.a."))</f>
        <v>0</v>
      </c>
      <c r="L2277" s="16">
        <f>IF(NOT(Paths!$C$213=1),0,IF(Paths!$P$213="Complete",IF(C2277=10,Paths!$I$213,0),"n.a."))</f>
        <v>0</v>
      </c>
      <c r="M2277" s="16">
        <f>IF(NOT(Paths!$C$213=1),0,IF(Paths!$P$213="Complete",IF(AND(Paths!$D$213="EV",Paths!$E$213&lt;120,Paths!$E$213+'Operating costs'!$B$65&gt;Paths!$E$213,Paths!$E$213+'Operating costs'!$B$65&lt;=120,IF(Paths!$E$213+'Operating costs'!$B$65=0,C2277=0,AND(C2277&gt;0,Paths!$E$213+'Operating costs'!$B$65&gt;(C2277-1)*12,Paths!$E$213+'Operating costs'!$B$65&lt;=C2277*12))),'Operating costs'!$B$64,0)+IF(AND('Operating costs'!$B$67&gt;0,'Operating costs'!$B$67&lt;=120,OR(Paths!$D$213="ICE",'Operating costs'!$B$67&lt;=Paths!$E$213),IF('Operating costs'!$B$67=0,C2277=0,AND(C2277&gt;0,'Operating costs'!$B$67&gt;(C2277-1)*12,'Operating costs'!$B$67&lt;=C2277*12))),'Operating costs'!$B$66,0),"n.a."))</f>
        <v>0</v>
      </c>
      <c r="N2277" s="16">
        <f>IF(NOT(Paths!$C$213=1),0,IF(Paths!$P$213="Complete",SUM(G2277:I2277)-J2277-K2277-L2277+M2277+IF(C2277=0,Paths!$F$213,0)+IF(IF(Paths!$E$213=0,C2277=0,AND(C2277&gt;0,Paths!$E$213&gt;(C2277-1)*12,Paths!$E$213&lt;=C2277*12)),VLOOKUP(A2277,'Fleet register'!$A$7:$S$106,16,FALSE),0),"n.a."))</f>
        <v>0</v>
      </c>
      <c r="O2277" s="16">
        <f>IF(NOT(Paths!$C$213=1),0,IF(Paths!$P$213="Complete",N2277-IF(C2277=0,Paths!$F$213,0),"n.a."))</f>
        <v>0</v>
      </c>
      <c r="P2277" s="16">
        <f>IF(NOT(Paths!$C$213=1),0,IF(Paths!$P$213="Complete",O2277+L2277,"n.a."))</f>
        <v>0</v>
      </c>
      <c r="Q2277" s="16">
        <f>IF(NOT(Paths!$C$213=1),0,IF(Paths!$P$213="Complete",N2277*(1+'Operating costs'!$B$54)^-C2277,"n.a."))</f>
        <v>0</v>
      </c>
      <c r="R2277" s="16">
        <f>IF(NOT(Paths!$C$213=1),0,IF(Paths!$P$213="Complete",IF(AND(C2277=0,Paths!$E$213=0),I2277-J2277-K2277+VLOOKUP(A2277,'Fleet register'!$A$7:$S$106,15,FALSE)+VLOOKUP(A2277,'Fleet register'!$A$7:$S$106,16,FALSE),0),"n.a."))</f>
        <v>0</v>
      </c>
      <c r="S2277" s="1">
        <f>IF(NOT(Paths!$C$213=1),0,IF(Paths!$P$213="Complete",IF(C2277=0,0,Paths!$S$213*Paths!$R$213),"n.a."))</f>
        <v>0</v>
      </c>
      <c r="T2277" s="1">
        <f>IF(NOT(Paths!$C$213=1),0,IF(Paths!$P$213="Complete",IF(C2277=0,0,VLOOKUP(A2277,'Fleet register'!$A$7:$S$106,9,FALSE)*Paths!$R$213),"n.a."))</f>
        <v>0</v>
      </c>
    </row>
    <row r="2278" spans="1:20" ht="24" customHeight="1">
      <c r="A2278" s="1" t="str">
        <f>Paths!$A$213</f>
        <v>T052</v>
      </c>
      <c r="B2278" s="1">
        <f>Paths!$B$213</f>
        <v>2</v>
      </c>
      <c r="C2278" s="1">
        <v>5</v>
      </c>
      <c r="D2278" s="1">
        <v>213</v>
      </c>
      <c r="E2278" s="1">
        <f>IF(OR(Paths!$C$213=0,C2278=0),0,MAX(0,MIN(C2278*12,Paths!$E$213)-(C2278-1)*12))</f>
        <v>0</v>
      </c>
      <c r="F2278" s="1">
        <f>IF(OR(Paths!$C$213=0,C2278=0),0,12-E2278)</f>
        <v>0</v>
      </c>
      <c r="G2278" s="16">
        <f>IF(NOT(Paths!$C$213=1),0,IF(Paths!$P$213="Complete",E2278/12*(Paths!$J$213*(1+'Operating costs'!$B$51)^MAX(0,C2278-1)+Paths!$K$213*(1+'Operating costs'!$B$53)^MAX(0,C2278-1)),"n.a."))</f>
        <v>0</v>
      </c>
      <c r="H2278" s="16">
        <f>IF(NOT(Paths!$C$213=1),0,IF(Paths!$P$213="Complete",F2278/12*(Paths!$L$213*(1+IF(Paths!$D$213="EV",'Operating costs'!$B$52,'Operating costs'!$B$51))^MAX(0,C2278-1)+Paths!$M$213*(1+'Operating costs'!$B$53)^MAX(0,C2278-1)),"n.a."))</f>
        <v>0</v>
      </c>
      <c r="I2278" s="16">
        <f>IF(NOT(Paths!$C$213=1),0,IF(Paths!$P$213="Complete",IF(IF(Paths!$E$213=0,C2278=0,AND(C2278&gt;0,Paths!$E$213&gt;(C2278-1)*12,Paths!$E$213&lt;=C2278*12)),Paths!$G$213,0),"n.a."))</f>
        <v>0</v>
      </c>
      <c r="J2278" s="16">
        <f>IF(NOT(Paths!$C$213=1),0,IF(Paths!$P$213="Complete",IF(IF(Paths!$E$213=0,C2278=0,AND(C2278&gt;0,Paths!$E$213&gt;(C2278-1)*12,Paths!$E$213&lt;=C2278*12)),Paths!$H$213,0),"n.a."))</f>
        <v>0</v>
      </c>
      <c r="K2278" s="16">
        <f>IF(NOT(Paths!$C$213=1),0,IF(Paths!$P$213="Complete",IF(IF(Paths!$O$213=0,C2278=0,AND(C2278&gt;0,Paths!$O$213&gt;(C2278-1)*12,Paths!$O$213&lt;=C2278*12)),Paths!$N$213,0),"n.a."))</f>
        <v>0</v>
      </c>
      <c r="L2278" s="16">
        <f>IF(NOT(Paths!$C$213=1),0,IF(Paths!$P$213="Complete",IF(C2278=10,Paths!$I$213,0),"n.a."))</f>
        <v>0</v>
      </c>
      <c r="M2278" s="16">
        <f>IF(NOT(Paths!$C$213=1),0,IF(Paths!$P$213="Complete",IF(AND(Paths!$D$213="EV",Paths!$E$213&lt;120,Paths!$E$213+'Operating costs'!$B$65&gt;Paths!$E$213,Paths!$E$213+'Operating costs'!$B$65&lt;=120,IF(Paths!$E$213+'Operating costs'!$B$65=0,C2278=0,AND(C2278&gt;0,Paths!$E$213+'Operating costs'!$B$65&gt;(C2278-1)*12,Paths!$E$213+'Operating costs'!$B$65&lt;=C2278*12))),'Operating costs'!$B$64,0)+IF(AND('Operating costs'!$B$67&gt;0,'Operating costs'!$B$67&lt;=120,OR(Paths!$D$213="ICE",'Operating costs'!$B$67&lt;=Paths!$E$213),IF('Operating costs'!$B$67=0,C2278=0,AND(C2278&gt;0,'Operating costs'!$B$67&gt;(C2278-1)*12,'Operating costs'!$B$67&lt;=C2278*12))),'Operating costs'!$B$66,0),"n.a."))</f>
        <v>0</v>
      </c>
      <c r="N2278" s="16">
        <f>IF(NOT(Paths!$C$213=1),0,IF(Paths!$P$213="Complete",SUM(G2278:I2278)-J2278-K2278-L2278+M2278+IF(C2278=0,Paths!$F$213,0)+IF(IF(Paths!$E$213=0,C2278=0,AND(C2278&gt;0,Paths!$E$213&gt;(C2278-1)*12,Paths!$E$213&lt;=C2278*12)),VLOOKUP(A2278,'Fleet register'!$A$7:$S$106,16,FALSE),0),"n.a."))</f>
        <v>0</v>
      </c>
      <c r="O2278" s="16">
        <f>IF(NOT(Paths!$C$213=1),0,IF(Paths!$P$213="Complete",N2278-IF(C2278=0,Paths!$F$213,0),"n.a."))</f>
        <v>0</v>
      </c>
      <c r="P2278" s="16">
        <f>IF(NOT(Paths!$C$213=1),0,IF(Paths!$P$213="Complete",O2278+L2278,"n.a."))</f>
        <v>0</v>
      </c>
      <c r="Q2278" s="16">
        <f>IF(NOT(Paths!$C$213=1),0,IF(Paths!$P$213="Complete",N2278*(1+'Operating costs'!$B$54)^-C2278,"n.a."))</f>
        <v>0</v>
      </c>
      <c r="R2278" s="16">
        <f>IF(NOT(Paths!$C$213=1),0,IF(Paths!$P$213="Complete",IF(AND(C2278=0,Paths!$E$213=0),I2278-J2278-K2278+VLOOKUP(A2278,'Fleet register'!$A$7:$S$106,15,FALSE)+VLOOKUP(A2278,'Fleet register'!$A$7:$S$106,16,FALSE),0),"n.a."))</f>
        <v>0</v>
      </c>
      <c r="S2278" s="1">
        <f>IF(NOT(Paths!$C$213=1),0,IF(Paths!$P$213="Complete",IF(C2278=0,0,Paths!$S$213*Paths!$R$213),"n.a."))</f>
        <v>0</v>
      </c>
      <c r="T2278" s="1">
        <f>IF(NOT(Paths!$C$213=1),0,IF(Paths!$P$213="Complete",IF(C2278=0,0,VLOOKUP(A2278,'Fleet register'!$A$7:$S$106,9,FALSE)*Paths!$R$213),"n.a."))</f>
        <v>0</v>
      </c>
    </row>
    <row r="2279" spans="1:20" ht="24" customHeight="1">
      <c r="A2279" s="1" t="str">
        <f>Paths!$A$213</f>
        <v>T052</v>
      </c>
      <c r="B2279" s="1">
        <f>Paths!$B$213</f>
        <v>2</v>
      </c>
      <c r="C2279" s="1">
        <v>6</v>
      </c>
      <c r="D2279" s="1">
        <v>213</v>
      </c>
      <c r="E2279" s="1">
        <f>IF(OR(Paths!$C$213=0,C2279=0),0,MAX(0,MIN(C2279*12,Paths!$E$213)-(C2279-1)*12))</f>
        <v>0</v>
      </c>
      <c r="F2279" s="1">
        <f>IF(OR(Paths!$C$213=0,C2279=0),0,12-E2279)</f>
        <v>0</v>
      </c>
      <c r="G2279" s="16">
        <f>IF(NOT(Paths!$C$213=1),0,IF(Paths!$P$213="Complete",E2279/12*(Paths!$J$213*(1+'Operating costs'!$B$51)^MAX(0,C2279-1)+Paths!$K$213*(1+'Operating costs'!$B$53)^MAX(0,C2279-1)),"n.a."))</f>
        <v>0</v>
      </c>
      <c r="H2279" s="16">
        <f>IF(NOT(Paths!$C$213=1),0,IF(Paths!$P$213="Complete",F2279/12*(Paths!$L$213*(1+IF(Paths!$D$213="EV",'Operating costs'!$B$52,'Operating costs'!$B$51))^MAX(0,C2279-1)+Paths!$M$213*(1+'Operating costs'!$B$53)^MAX(0,C2279-1)),"n.a."))</f>
        <v>0</v>
      </c>
      <c r="I2279" s="16">
        <f>IF(NOT(Paths!$C$213=1),0,IF(Paths!$P$213="Complete",IF(IF(Paths!$E$213=0,C2279=0,AND(C2279&gt;0,Paths!$E$213&gt;(C2279-1)*12,Paths!$E$213&lt;=C2279*12)),Paths!$G$213,0),"n.a."))</f>
        <v>0</v>
      </c>
      <c r="J2279" s="16">
        <f>IF(NOT(Paths!$C$213=1),0,IF(Paths!$P$213="Complete",IF(IF(Paths!$E$213=0,C2279=0,AND(C2279&gt;0,Paths!$E$213&gt;(C2279-1)*12,Paths!$E$213&lt;=C2279*12)),Paths!$H$213,0),"n.a."))</f>
        <v>0</v>
      </c>
      <c r="K2279" s="16">
        <f>IF(NOT(Paths!$C$213=1),0,IF(Paths!$P$213="Complete",IF(IF(Paths!$O$213=0,C2279=0,AND(C2279&gt;0,Paths!$O$213&gt;(C2279-1)*12,Paths!$O$213&lt;=C2279*12)),Paths!$N$213,0),"n.a."))</f>
        <v>0</v>
      </c>
      <c r="L2279" s="16">
        <f>IF(NOT(Paths!$C$213=1),0,IF(Paths!$P$213="Complete",IF(C2279=10,Paths!$I$213,0),"n.a."))</f>
        <v>0</v>
      </c>
      <c r="M2279" s="16">
        <f>IF(NOT(Paths!$C$213=1),0,IF(Paths!$P$213="Complete",IF(AND(Paths!$D$213="EV",Paths!$E$213&lt;120,Paths!$E$213+'Operating costs'!$B$65&gt;Paths!$E$213,Paths!$E$213+'Operating costs'!$B$65&lt;=120,IF(Paths!$E$213+'Operating costs'!$B$65=0,C2279=0,AND(C2279&gt;0,Paths!$E$213+'Operating costs'!$B$65&gt;(C2279-1)*12,Paths!$E$213+'Operating costs'!$B$65&lt;=C2279*12))),'Operating costs'!$B$64,0)+IF(AND('Operating costs'!$B$67&gt;0,'Operating costs'!$B$67&lt;=120,OR(Paths!$D$213="ICE",'Operating costs'!$B$67&lt;=Paths!$E$213),IF('Operating costs'!$B$67=0,C2279=0,AND(C2279&gt;0,'Operating costs'!$B$67&gt;(C2279-1)*12,'Operating costs'!$B$67&lt;=C2279*12))),'Operating costs'!$B$66,0),"n.a."))</f>
        <v>0</v>
      </c>
      <c r="N2279" s="16">
        <f>IF(NOT(Paths!$C$213=1),0,IF(Paths!$P$213="Complete",SUM(G2279:I2279)-J2279-K2279-L2279+M2279+IF(C2279=0,Paths!$F$213,0)+IF(IF(Paths!$E$213=0,C2279=0,AND(C2279&gt;0,Paths!$E$213&gt;(C2279-1)*12,Paths!$E$213&lt;=C2279*12)),VLOOKUP(A2279,'Fleet register'!$A$7:$S$106,16,FALSE),0),"n.a."))</f>
        <v>0</v>
      </c>
      <c r="O2279" s="16">
        <f>IF(NOT(Paths!$C$213=1),0,IF(Paths!$P$213="Complete",N2279-IF(C2279=0,Paths!$F$213,0),"n.a."))</f>
        <v>0</v>
      </c>
      <c r="P2279" s="16">
        <f>IF(NOT(Paths!$C$213=1),0,IF(Paths!$P$213="Complete",O2279+L2279,"n.a."))</f>
        <v>0</v>
      </c>
      <c r="Q2279" s="16">
        <f>IF(NOT(Paths!$C$213=1),0,IF(Paths!$P$213="Complete",N2279*(1+'Operating costs'!$B$54)^-C2279,"n.a."))</f>
        <v>0</v>
      </c>
      <c r="R2279" s="16">
        <f>IF(NOT(Paths!$C$213=1),0,IF(Paths!$P$213="Complete",IF(AND(C2279=0,Paths!$E$213=0),I2279-J2279-K2279+VLOOKUP(A2279,'Fleet register'!$A$7:$S$106,15,FALSE)+VLOOKUP(A2279,'Fleet register'!$A$7:$S$106,16,FALSE),0),"n.a."))</f>
        <v>0</v>
      </c>
      <c r="S2279" s="1">
        <f>IF(NOT(Paths!$C$213=1),0,IF(Paths!$P$213="Complete",IF(C2279=0,0,Paths!$S$213*Paths!$R$213),"n.a."))</f>
        <v>0</v>
      </c>
      <c r="T2279" s="1">
        <f>IF(NOT(Paths!$C$213=1),0,IF(Paths!$P$213="Complete",IF(C2279=0,0,VLOOKUP(A2279,'Fleet register'!$A$7:$S$106,9,FALSE)*Paths!$R$213),"n.a."))</f>
        <v>0</v>
      </c>
    </row>
    <row r="2280" spans="1:20" ht="24" customHeight="1">
      <c r="A2280" s="1" t="str">
        <f>Paths!$A$213</f>
        <v>T052</v>
      </c>
      <c r="B2280" s="1">
        <f>Paths!$B$213</f>
        <v>2</v>
      </c>
      <c r="C2280" s="1">
        <v>7</v>
      </c>
      <c r="D2280" s="1">
        <v>213</v>
      </c>
      <c r="E2280" s="1">
        <f>IF(OR(Paths!$C$213=0,C2280=0),0,MAX(0,MIN(C2280*12,Paths!$E$213)-(C2280-1)*12))</f>
        <v>0</v>
      </c>
      <c r="F2280" s="1">
        <f>IF(OR(Paths!$C$213=0,C2280=0),0,12-E2280)</f>
        <v>0</v>
      </c>
      <c r="G2280" s="16">
        <f>IF(NOT(Paths!$C$213=1),0,IF(Paths!$P$213="Complete",E2280/12*(Paths!$J$213*(1+'Operating costs'!$B$51)^MAX(0,C2280-1)+Paths!$K$213*(1+'Operating costs'!$B$53)^MAX(0,C2280-1)),"n.a."))</f>
        <v>0</v>
      </c>
      <c r="H2280" s="16">
        <f>IF(NOT(Paths!$C$213=1),0,IF(Paths!$P$213="Complete",F2280/12*(Paths!$L$213*(1+IF(Paths!$D$213="EV",'Operating costs'!$B$52,'Operating costs'!$B$51))^MAX(0,C2280-1)+Paths!$M$213*(1+'Operating costs'!$B$53)^MAX(0,C2280-1)),"n.a."))</f>
        <v>0</v>
      </c>
      <c r="I2280" s="16">
        <f>IF(NOT(Paths!$C$213=1),0,IF(Paths!$P$213="Complete",IF(IF(Paths!$E$213=0,C2280=0,AND(C2280&gt;0,Paths!$E$213&gt;(C2280-1)*12,Paths!$E$213&lt;=C2280*12)),Paths!$G$213,0),"n.a."))</f>
        <v>0</v>
      </c>
      <c r="J2280" s="16">
        <f>IF(NOT(Paths!$C$213=1),0,IF(Paths!$P$213="Complete",IF(IF(Paths!$E$213=0,C2280=0,AND(C2280&gt;0,Paths!$E$213&gt;(C2280-1)*12,Paths!$E$213&lt;=C2280*12)),Paths!$H$213,0),"n.a."))</f>
        <v>0</v>
      </c>
      <c r="K2280" s="16">
        <f>IF(NOT(Paths!$C$213=1),0,IF(Paths!$P$213="Complete",IF(IF(Paths!$O$213=0,C2280=0,AND(C2280&gt;0,Paths!$O$213&gt;(C2280-1)*12,Paths!$O$213&lt;=C2280*12)),Paths!$N$213,0),"n.a."))</f>
        <v>0</v>
      </c>
      <c r="L2280" s="16">
        <f>IF(NOT(Paths!$C$213=1),0,IF(Paths!$P$213="Complete",IF(C2280=10,Paths!$I$213,0),"n.a."))</f>
        <v>0</v>
      </c>
      <c r="M2280" s="16">
        <f>IF(NOT(Paths!$C$213=1),0,IF(Paths!$P$213="Complete",IF(AND(Paths!$D$213="EV",Paths!$E$213&lt;120,Paths!$E$213+'Operating costs'!$B$65&gt;Paths!$E$213,Paths!$E$213+'Operating costs'!$B$65&lt;=120,IF(Paths!$E$213+'Operating costs'!$B$65=0,C2280=0,AND(C2280&gt;0,Paths!$E$213+'Operating costs'!$B$65&gt;(C2280-1)*12,Paths!$E$213+'Operating costs'!$B$65&lt;=C2280*12))),'Operating costs'!$B$64,0)+IF(AND('Operating costs'!$B$67&gt;0,'Operating costs'!$B$67&lt;=120,OR(Paths!$D$213="ICE",'Operating costs'!$B$67&lt;=Paths!$E$213),IF('Operating costs'!$B$67=0,C2280=0,AND(C2280&gt;0,'Operating costs'!$B$67&gt;(C2280-1)*12,'Operating costs'!$B$67&lt;=C2280*12))),'Operating costs'!$B$66,0),"n.a."))</f>
        <v>0</v>
      </c>
      <c r="N2280" s="16">
        <f>IF(NOT(Paths!$C$213=1),0,IF(Paths!$P$213="Complete",SUM(G2280:I2280)-J2280-K2280-L2280+M2280+IF(C2280=0,Paths!$F$213,0)+IF(IF(Paths!$E$213=0,C2280=0,AND(C2280&gt;0,Paths!$E$213&gt;(C2280-1)*12,Paths!$E$213&lt;=C2280*12)),VLOOKUP(A2280,'Fleet register'!$A$7:$S$106,16,FALSE),0),"n.a."))</f>
        <v>0</v>
      </c>
      <c r="O2280" s="16">
        <f>IF(NOT(Paths!$C$213=1),0,IF(Paths!$P$213="Complete",N2280-IF(C2280=0,Paths!$F$213,0),"n.a."))</f>
        <v>0</v>
      </c>
      <c r="P2280" s="16">
        <f>IF(NOT(Paths!$C$213=1),0,IF(Paths!$P$213="Complete",O2280+L2280,"n.a."))</f>
        <v>0</v>
      </c>
      <c r="Q2280" s="16">
        <f>IF(NOT(Paths!$C$213=1),0,IF(Paths!$P$213="Complete",N2280*(1+'Operating costs'!$B$54)^-C2280,"n.a."))</f>
        <v>0</v>
      </c>
      <c r="R2280" s="16">
        <f>IF(NOT(Paths!$C$213=1),0,IF(Paths!$P$213="Complete",IF(AND(C2280=0,Paths!$E$213=0),I2280-J2280-K2280+VLOOKUP(A2280,'Fleet register'!$A$7:$S$106,15,FALSE)+VLOOKUP(A2280,'Fleet register'!$A$7:$S$106,16,FALSE),0),"n.a."))</f>
        <v>0</v>
      </c>
      <c r="S2280" s="1">
        <f>IF(NOT(Paths!$C$213=1),0,IF(Paths!$P$213="Complete",IF(C2280=0,0,Paths!$S$213*Paths!$R$213),"n.a."))</f>
        <v>0</v>
      </c>
      <c r="T2280" s="1">
        <f>IF(NOT(Paths!$C$213=1),0,IF(Paths!$P$213="Complete",IF(C2280=0,0,VLOOKUP(A2280,'Fleet register'!$A$7:$S$106,9,FALSE)*Paths!$R$213),"n.a."))</f>
        <v>0</v>
      </c>
    </row>
    <row r="2281" spans="1:20" ht="24" customHeight="1">
      <c r="A2281" s="1" t="str">
        <f>Paths!$A$213</f>
        <v>T052</v>
      </c>
      <c r="B2281" s="1">
        <f>Paths!$B$213</f>
        <v>2</v>
      </c>
      <c r="C2281" s="1">
        <v>8</v>
      </c>
      <c r="D2281" s="1">
        <v>213</v>
      </c>
      <c r="E2281" s="1">
        <f>IF(OR(Paths!$C$213=0,C2281=0),0,MAX(0,MIN(C2281*12,Paths!$E$213)-(C2281-1)*12))</f>
        <v>0</v>
      </c>
      <c r="F2281" s="1">
        <f>IF(OR(Paths!$C$213=0,C2281=0),0,12-E2281)</f>
        <v>0</v>
      </c>
      <c r="G2281" s="16">
        <f>IF(NOT(Paths!$C$213=1),0,IF(Paths!$P$213="Complete",E2281/12*(Paths!$J$213*(1+'Operating costs'!$B$51)^MAX(0,C2281-1)+Paths!$K$213*(1+'Operating costs'!$B$53)^MAX(0,C2281-1)),"n.a."))</f>
        <v>0</v>
      </c>
      <c r="H2281" s="16">
        <f>IF(NOT(Paths!$C$213=1),0,IF(Paths!$P$213="Complete",F2281/12*(Paths!$L$213*(1+IF(Paths!$D$213="EV",'Operating costs'!$B$52,'Operating costs'!$B$51))^MAX(0,C2281-1)+Paths!$M$213*(1+'Operating costs'!$B$53)^MAX(0,C2281-1)),"n.a."))</f>
        <v>0</v>
      </c>
      <c r="I2281" s="16">
        <f>IF(NOT(Paths!$C$213=1),0,IF(Paths!$P$213="Complete",IF(IF(Paths!$E$213=0,C2281=0,AND(C2281&gt;0,Paths!$E$213&gt;(C2281-1)*12,Paths!$E$213&lt;=C2281*12)),Paths!$G$213,0),"n.a."))</f>
        <v>0</v>
      </c>
      <c r="J2281" s="16">
        <f>IF(NOT(Paths!$C$213=1),0,IF(Paths!$P$213="Complete",IF(IF(Paths!$E$213=0,C2281=0,AND(C2281&gt;0,Paths!$E$213&gt;(C2281-1)*12,Paths!$E$213&lt;=C2281*12)),Paths!$H$213,0),"n.a."))</f>
        <v>0</v>
      </c>
      <c r="K2281" s="16">
        <f>IF(NOT(Paths!$C$213=1),0,IF(Paths!$P$213="Complete",IF(IF(Paths!$O$213=0,C2281=0,AND(C2281&gt;0,Paths!$O$213&gt;(C2281-1)*12,Paths!$O$213&lt;=C2281*12)),Paths!$N$213,0),"n.a."))</f>
        <v>0</v>
      </c>
      <c r="L2281" s="16">
        <f>IF(NOT(Paths!$C$213=1),0,IF(Paths!$P$213="Complete",IF(C2281=10,Paths!$I$213,0),"n.a."))</f>
        <v>0</v>
      </c>
      <c r="M2281" s="16">
        <f>IF(NOT(Paths!$C$213=1),0,IF(Paths!$P$213="Complete",IF(AND(Paths!$D$213="EV",Paths!$E$213&lt;120,Paths!$E$213+'Operating costs'!$B$65&gt;Paths!$E$213,Paths!$E$213+'Operating costs'!$B$65&lt;=120,IF(Paths!$E$213+'Operating costs'!$B$65=0,C2281=0,AND(C2281&gt;0,Paths!$E$213+'Operating costs'!$B$65&gt;(C2281-1)*12,Paths!$E$213+'Operating costs'!$B$65&lt;=C2281*12))),'Operating costs'!$B$64,0)+IF(AND('Operating costs'!$B$67&gt;0,'Operating costs'!$B$67&lt;=120,OR(Paths!$D$213="ICE",'Operating costs'!$B$67&lt;=Paths!$E$213),IF('Operating costs'!$B$67=0,C2281=0,AND(C2281&gt;0,'Operating costs'!$B$67&gt;(C2281-1)*12,'Operating costs'!$B$67&lt;=C2281*12))),'Operating costs'!$B$66,0),"n.a."))</f>
        <v>0</v>
      </c>
      <c r="N2281" s="16">
        <f>IF(NOT(Paths!$C$213=1),0,IF(Paths!$P$213="Complete",SUM(G2281:I2281)-J2281-K2281-L2281+M2281+IF(C2281=0,Paths!$F$213,0)+IF(IF(Paths!$E$213=0,C2281=0,AND(C2281&gt;0,Paths!$E$213&gt;(C2281-1)*12,Paths!$E$213&lt;=C2281*12)),VLOOKUP(A2281,'Fleet register'!$A$7:$S$106,16,FALSE),0),"n.a."))</f>
        <v>0</v>
      </c>
      <c r="O2281" s="16">
        <f>IF(NOT(Paths!$C$213=1),0,IF(Paths!$P$213="Complete",N2281-IF(C2281=0,Paths!$F$213,0),"n.a."))</f>
        <v>0</v>
      </c>
      <c r="P2281" s="16">
        <f>IF(NOT(Paths!$C$213=1),0,IF(Paths!$P$213="Complete",O2281+L2281,"n.a."))</f>
        <v>0</v>
      </c>
      <c r="Q2281" s="16">
        <f>IF(NOT(Paths!$C$213=1),0,IF(Paths!$P$213="Complete",N2281*(1+'Operating costs'!$B$54)^-C2281,"n.a."))</f>
        <v>0</v>
      </c>
      <c r="R2281" s="16">
        <f>IF(NOT(Paths!$C$213=1),0,IF(Paths!$P$213="Complete",IF(AND(C2281=0,Paths!$E$213=0),I2281-J2281-K2281+VLOOKUP(A2281,'Fleet register'!$A$7:$S$106,15,FALSE)+VLOOKUP(A2281,'Fleet register'!$A$7:$S$106,16,FALSE),0),"n.a."))</f>
        <v>0</v>
      </c>
      <c r="S2281" s="1">
        <f>IF(NOT(Paths!$C$213=1),0,IF(Paths!$P$213="Complete",IF(C2281=0,0,Paths!$S$213*Paths!$R$213),"n.a."))</f>
        <v>0</v>
      </c>
      <c r="T2281" s="1">
        <f>IF(NOT(Paths!$C$213=1),0,IF(Paths!$P$213="Complete",IF(C2281=0,0,VLOOKUP(A2281,'Fleet register'!$A$7:$S$106,9,FALSE)*Paths!$R$213),"n.a."))</f>
        <v>0</v>
      </c>
    </row>
    <row r="2282" spans="1:20" ht="24" customHeight="1">
      <c r="A2282" s="1" t="str">
        <f>Paths!$A$213</f>
        <v>T052</v>
      </c>
      <c r="B2282" s="1">
        <f>Paths!$B$213</f>
        <v>2</v>
      </c>
      <c r="C2282" s="1">
        <v>9</v>
      </c>
      <c r="D2282" s="1">
        <v>213</v>
      </c>
      <c r="E2282" s="1">
        <f>IF(OR(Paths!$C$213=0,C2282=0),0,MAX(0,MIN(C2282*12,Paths!$E$213)-(C2282-1)*12))</f>
        <v>0</v>
      </c>
      <c r="F2282" s="1">
        <f>IF(OR(Paths!$C$213=0,C2282=0),0,12-E2282)</f>
        <v>0</v>
      </c>
      <c r="G2282" s="16">
        <f>IF(NOT(Paths!$C$213=1),0,IF(Paths!$P$213="Complete",E2282/12*(Paths!$J$213*(1+'Operating costs'!$B$51)^MAX(0,C2282-1)+Paths!$K$213*(1+'Operating costs'!$B$53)^MAX(0,C2282-1)),"n.a."))</f>
        <v>0</v>
      </c>
      <c r="H2282" s="16">
        <f>IF(NOT(Paths!$C$213=1),0,IF(Paths!$P$213="Complete",F2282/12*(Paths!$L$213*(1+IF(Paths!$D$213="EV",'Operating costs'!$B$52,'Operating costs'!$B$51))^MAX(0,C2282-1)+Paths!$M$213*(1+'Operating costs'!$B$53)^MAX(0,C2282-1)),"n.a."))</f>
        <v>0</v>
      </c>
      <c r="I2282" s="16">
        <f>IF(NOT(Paths!$C$213=1),0,IF(Paths!$P$213="Complete",IF(IF(Paths!$E$213=0,C2282=0,AND(C2282&gt;0,Paths!$E$213&gt;(C2282-1)*12,Paths!$E$213&lt;=C2282*12)),Paths!$G$213,0),"n.a."))</f>
        <v>0</v>
      </c>
      <c r="J2282" s="16">
        <f>IF(NOT(Paths!$C$213=1),0,IF(Paths!$P$213="Complete",IF(IF(Paths!$E$213=0,C2282=0,AND(C2282&gt;0,Paths!$E$213&gt;(C2282-1)*12,Paths!$E$213&lt;=C2282*12)),Paths!$H$213,0),"n.a."))</f>
        <v>0</v>
      </c>
      <c r="K2282" s="16">
        <f>IF(NOT(Paths!$C$213=1),0,IF(Paths!$P$213="Complete",IF(IF(Paths!$O$213=0,C2282=0,AND(C2282&gt;0,Paths!$O$213&gt;(C2282-1)*12,Paths!$O$213&lt;=C2282*12)),Paths!$N$213,0),"n.a."))</f>
        <v>0</v>
      </c>
      <c r="L2282" s="16">
        <f>IF(NOT(Paths!$C$213=1),0,IF(Paths!$P$213="Complete",IF(C2282=10,Paths!$I$213,0),"n.a."))</f>
        <v>0</v>
      </c>
      <c r="M2282" s="16">
        <f>IF(NOT(Paths!$C$213=1),0,IF(Paths!$P$213="Complete",IF(AND(Paths!$D$213="EV",Paths!$E$213&lt;120,Paths!$E$213+'Operating costs'!$B$65&gt;Paths!$E$213,Paths!$E$213+'Operating costs'!$B$65&lt;=120,IF(Paths!$E$213+'Operating costs'!$B$65=0,C2282=0,AND(C2282&gt;0,Paths!$E$213+'Operating costs'!$B$65&gt;(C2282-1)*12,Paths!$E$213+'Operating costs'!$B$65&lt;=C2282*12))),'Operating costs'!$B$64,0)+IF(AND('Operating costs'!$B$67&gt;0,'Operating costs'!$B$67&lt;=120,OR(Paths!$D$213="ICE",'Operating costs'!$B$67&lt;=Paths!$E$213),IF('Operating costs'!$B$67=0,C2282=0,AND(C2282&gt;0,'Operating costs'!$B$67&gt;(C2282-1)*12,'Operating costs'!$B$67&lt;=C2282*12))),'Operating costs'!$B$66,0),"n.a."))</f>
        <v>0</v>
      </c>
      <c r="N2282" s="16">
        <f>IF(NOT(Paths!$C$213=1),0,IF(Paths!$P$213="Complete",SUM(G2282:I2282)-J2282-K2282-L2282+M2282+IF(C2282=0,Paths!$F$213,0)+IF(IF(Paths!$E$213=0,C2282=0,AND(C2282&gt;0,Paths!$E$213&gt;(C2282-1)*12,Paths!$E$213&lt;=C2282*12)),VLOOKUP(A2282,'Fleet register'!$A$7:$S$106,16,FALSE),0),"n.a."))</f>
        <v>0</v>
      </c>
      <c r="O2282" s="16">
        <f>IF(NOT(Paths!$C$213=1),0,IF(Paths!$P$213="Complete",N2282-IF(C2282=0,Paths!$F$213,0),"n.a."))</f>
        <v>0</v>
      </c>
      <c r="P2282" s="16">
        <f>IF(NOT(Paths!$C$213=1),0,IF(Paths!$P$213="Complete",O2282+L2282,"n.a."))</f>
        <v>0</v>
      </c>
      <c r="Q2282" s="16">
        <f>IF(NOT(Paths!$C$213=1),0,IF(Paths!$P$213="Complete",N2282*(1+'Operating costs'!$B$54)^-C2282,"n.a."))</f>
        <v>0</v>
      </c>
      <c r="R2282" s="16">
        <f>IF(NOT(Paths!$C$213=1),0,IF(Paths!$P$213="Complete",IF(AND(C2282=0,Paths!$E$213=0),I2282-J2282-K2282+VLOOKUP(A2282,'Fleet register'!$A$7:$S$106,15,FALSE)+VLOOKUP(A2282,'Fleet register'!$A$7:$S$106,16,FALSE),0),"n.a."))</f>
        <v>0</v>
      </c>
      <c r="S2282" s="1">
        <f>IF(NOT(Paths!$C$213=1),0,IF(Paths!$P$213="Complete",IF(C2282=0,0,Paths!$S$213*Paths!$R$213),"n.a."))</f>
        <v>0</v>
      </c>
      <c r="T2282" s="1">
        <f>IF(NOT(Paths!$C$213=1),0,IF(Paths!$P$213="Complete",IF(C2282=0,0,VLOOKUP(A2282,'Fleet register'!$A$7:$S$106,9,FALSE)*Paths!$R$213),"n.a."))</f>
        <v>0</v>
      </c>
    </row>
    <row r="2283" spans="1:20" ht="24" customHeight="1">
      <c r="A2283" s="1" t="str">
        <f>Paths!$A$213</f>
        <v>T052</v>
      </c>
      <c r="B2283" s="1">
        <f>Paths!$B$213</f>
        <v>2</v>
      </c>
      <c r="C2283" s="1">
        <v>10</v>
      </c>
      <c r="D2283" s="1">
        <v>213</v>
      </c>
      <c r="E2283" s="1">
        <f>IF(OR(Paths!$C$213=0,C2283=0),0,MAX(0,MIN(C2283*12,Paths!$E$213)-(C2283-1)*12))</f>
        <v>0</v>
      </c>
      <c r="F2283" s="1">
        <f>IF(OR(Paths!$C$213=0,C2283=0),0,12-E2283)</f>
        <v>0</v>
      </c>
      <c r="G2283" s="16">
        <f>IF(NOT(Paths!$C$213=1),0,IF(Paths!$P$213="Complete",E2283/12*(Paths!$J$213*(1+'Operating costs'!$B$51)^MAX(0,C2283-1)+Paths!$K$213*(1+'Operating costs'!$B$53)^MAX(0,C2283-1)),"n.a."))</f>
        <v>0</v>
      </c>
      <c r="H2283" s="16">
        <f>IF(NOT(Paths!$C$213=1),0,IF(Paths!$P$213="Complete",F2283/12*(Paths!$L$213*(1+IF(Paths!$D$213="EV",'Operating costs'!$B$52,'Operating costs'!$B$51))^MAX(0,C2283-1)+Paths!$M$213*(1+'Operating costs'!$B$53)^MAX(0,C2283-1)),"n.a."))</f>
        <v>0</v>
      </c>
      <c r="I2283" s="16">
        <f>IF(NOT(Paths!$C$213=1),0,IF(Paths!$P$213="Complete",IF(IF(Paths!$E$213=0,C2283=0,AND(C2283&gt;0,Paths!$E$213&gt;(C2283-1)*12,Paths!$E$213&lt;=C2283*12)),Paths!$G$213,0),"n.a."))</f>
        <v>0</v>
      </c>
      <c r="J2283" s="16">
        <f>IF(NOT(Paths!$C$213=1),0,IF(Paths!$P$213="Complete",IF(IF(Paths!$E$213=0,C2283=0,AND(C2283&gt;0,Paths!$E$213&gt;(C2283-1)*12,Paths!$E$213&lt;=C2283*12)),Paths!$H$213,0),"n.a."))</f>
        <v>0</v>
      </c>
      <c r="K2283" s="16">
        <f>IF(NOT(Paths!$C$213=1),0,IF(Paths!$P$213="Complete",IF(IF(Paths!$O$213=0,C2283=0,AND(C2283&gt;0,Paths!$O$213&gt;(C2283-1)*12,Paths!$O$213&lt;=C2283*12)),Paths!$N$213,0),"n.a."))</f>
        <v>0</v>
      </c>
      <c r="L2283" s="16">
        <f>IF(NOT(Paths!$C$213=1),0,IF(Paths!$P$213="Complete",IF(C2283=10,Paths!$I$213,0),"n.a."))</f>
        <v>0</v>
      </c>
      <c r="M2283" s="16">
        <f>IF(NOT(Paths!$C$213=1),0,IF(Paths!$P$213="Complete",IF(AND(Paths!$D$213="EV",Paths!$E$213&lt;120,Paths!$E$213+'Operating costs'!$B$65&gt;Paths!$E$213,Paths!$E$213+'Operating costs'!$B$65&lt;=120,IF(Paths!$E$213+'Operating costs'!$B$65=0,C2283=0,AND(C2283&gt;0,Paths!$E$213+'Operating costs'!$B$65&gt;(C2283-1)*12,Paths!$E$213+'Operating costs'!$B$65&lt;=C2283*12))),'Operating costs'!$B$64,0)+IF(AND('Operating costs'!$B$67&gt;0,'Operating costs'!$B$67&lt;=120,OR(Paths!$D$213="ICE",'Operating costs'!$B$67&lt;=Paths!$E$213),IF('Operating costs'!$B$67=0,C2283=0,AND(C2283&gt;0,'Operating costs'!$B$67&gt;(C2283-1)*12,'Operating costs'!$B$67&lt;=C2283*12))),'Operating costs'!$B$66,0),"n.a."))</f>
        <v>0</v>
      </c>
      <c r="N2283" s="16">
        <f>IF(NOT(Paths!$C$213=1),0,IF(Paths!$P$213="Complete",SUM(G2283:I2283)-J2283-K2283-L2283+M2283+IF(C2283=0,Paths!$F$213,0)+IF(IF(Paths!$E$213=0,C2283=0,AND(C2283&gt;0,Paths!$E$213&gt;(C2283-1)*12,Paths!$E$213&lt;=C2283*12)),VLOOKUP(A2283,'Fleet register'!$A$7:$S$106,16,FALSE),0),"n.a."))</f>
        <v>0</v>
      </c>
      <c r="O2283" s="16">
        <f>IF(NOT(Paths!$C$213=1),0,IF(Paths!$P$213="Complete",N2283-IF(C2283=0,Paths!$F$213,0),"n.a."))</f>
        <v>0</v>
      </c>
      <c r="P2283" s="16">
        <f>IF(NOT(Paths!$C$213=1),0,IF(Paths!$P$213="Complete",O2283+L2283,"n.a."))</f>
        <v>0</v>
      </c>
      <c r="Q2283" s="16">
        <f>IF(NOT(Paths!$C$213=1),0,IF(Paths!$P$213="Complete",N2283*(1+'Operating costs'!$B$54)^-C2283,"n.a."))</f>
        <v>0</v>
      </c>
      <c r="R2283" s="16">
        <f>IF(NOT(Paths!$C$213=1),0,IF(Paths!$P$213="Complete",IF(AND(C2283=0,Paths!$E$213=0),I2283-J2283-K2283+VLOOKUP(A2283,'Fleet register'!$A$7:$S$106,15,FALSE)+VLOOKUP(A2283,'Fleet register'!$A$7:$S$106,16,FALSE),0),"n.a."))</f>
        <v>0</v>
      </c>
      <c r="S2283" s="1">
        <f>IF(NOT(Paths!$C$213=1),0,IF(Paths!$P$213="Complete",IF(C2283=0,0,Paths!$S$213*Paths!$R$213),"n.a."))</f>
        <v>0</v>
      </c>
      <c r="T2283" s="1">
        <f>IF(NOT(Paths!$C$213=1),0,IF(Paths!$P$213="Complete",IF(C2283=0,0,VLOOKUP(A2283,'Fleet register'!$A$7:$S$106,9,FALSE)*Paths!$R$213),"n.a."))</f>
        <v>0</v>
      </c>
    </row>
    <row r="2284" spans="1:20" ht="24" customHeight="1">
      <c r="A2284" s="1" t="str">
        <f>Paths!$A$214</f>
        <v>T052</v>
      </c>
      <c r="B2284" s="1">
        <f>Paths!$B$214</f>
        <v>3</v>
      </c>
      <c r="C2284" s="1">
        <v>0</v>
      </c>
      <c r="D2284" s="1">
        <v>214</v>
      </c>
      <c r="E2284" s="1">
        <f>IF(OR(Paths!$C$214=0,C2284=0),0,MAX(0,MIN(C2284*12,Paths!$E$214)-(C2284-1)*12))</f>
        <v>0</v>
      </c>
      <c r="F2284" s="1">
        <f>IF(OR(Paths!$C$214=0,C2284=0),0,12-E2284)</f>
        <v>0</v>
      </c>
      <c r="G2284" s="16">
        <f>IF(NOT(Paths!$C$214=1),0,IF(Paths!$P$214="Complete",E2284/12*(Paths!$J$214*(1+'Operating costs'!$B$51)^MAX(0,C2284-1)+Paths!$K$214*(1+'Operating costs'!$B$53)^MAX(0,C2284-1)),"n.a."))</f>
        <v>0</v>
      </c>
      <c r="H2284" s="16">
        <f>IF(NOT(Paths!$C$214=1),0,IF(Paths!$P$214="Complete",F2284/12*(Paths!$L$214*(1+IF(Paths!$D$214="EV",'Operating costs'!$B$52,'Operating costs'!$B$51))^MAX(0,C2284-1)+Paths!$M$214*(1+'Operating costs'!$B$53)^MAX(0,C2284-1)),"n.a."))</f>
        <v>0</v>
      </c>
      <c r="I2284" s="16">
        <f>IF(NOT(Paths!$C$214=1),0,IF(Paths!$P$214="Complete",IF(IF(Paths!$E$214=0,C2284=0,AND(C2284&gt;0,Paths!$E$214&gt;(C2284-1)*12,Paths!$E$214&lt;=C2284*12)),Paths!$G$214,0),"n.a."))</f>
        <v>0</v>
      </c>
      <c r="J2284" s="16">
        <f>IF(NOT(Paths!$C$214=1),0,IF(Paths!$P$214="Complete",IF(IF(Paths!$E$214=0,C2284=0,AND(C2284&gt;0,Paths!$E$214&gt;(C2284-1)*12,Paths!$E$214&lt;=C2284*12)),Paths!$H$214,0),"n.a."))</f>
        <v>0</v>
      </c>
      <c r="K2284" s="16">
        <f>IF(NOT(Paths!$C$214=1),0,IF(Paths!$P$214="Complete",IF(IF(Paths!$O$214=0,C2284=0,AND(C2284&gt;0,Paths!$O$214&gt;(C2284-1)*12,Paths!$O$214&lt;=C2284*12)),Paths!$N$214,0),"n.a."))</f>
        <v>0</v>
      </c>
      <c r="L2284" s="16">
        <f>IF(NOT(Paths!$C$214=1),0,IF(Paths!$P$214="Complete",IF(C2284=10,Paths!$I$214,0),"n.a."))</f>
        <v>0</v>
      </c>
      <c r="M2284" s="16">
        <f>IF(NOT(Paths!$C$214=1),0,IF(Paths!$P$214="Complete",IF(AND(Paths!$D$214="EV",Paths!$E$214&lt;120,Paths!$E$214+'Operating costs'!$B$65&gt;Paths!$E$214,Paths!$E$214+'Operating costs'!$B$65&lt;=120,IF(Paths!$E$214+'Operating costs'!$B$65=0,C2284=0,AND(C2284&gt;0,Paths!$E$214+'Operating costs'!$B$65&gt;(C2284-1)*12,Paths!$E$214+'Operating costs'!$B$65&lt;=C2284*12))),'Operating costs'!$B$64,0)+IF(AND('Operating costs'!$B$67&gt;0,'Operating costs'!$B$67&lt;=120,OR(Paths!$D$214="ICE",'Operating costs'!$B$67&lt;=Paths!$E$214),IF('Operating costs'!$B$67=0,C2284=0,AND(C2284&gt;0,'Operating costs'!$B$67&gt;(C2284-1)*12,'Operating costs'!$B$67&lt;=C2284*12))),'Operating costs'!$B$66,0),"n.a."))</f>
        <v>0</v>
      </c>
      <c r="N2284" s="16">
        <f>IF(NOT(Paths!$C$214=1),0,IF(Paths!$P$214="Complete",SUM(G2284:I2284)-J2284-K2284-L2284+M2284+IF(C2284=0,Paths!$F$214,0)+IF(IF(Paths!$E$214=0,C2284=0,AND(C2284&gt;0,Paths!$E$214&gt;(C2284-1)*12,Paths!$E$214&lt;=C2284*12)),VLOOKUP(A2284,'Fleet register'!$A$7:$S$106,16,FALSE),0),"n.a."))</f>
        <v>0</v>
      </c>
      <c r="O2284" s="16">
        <f>IF(NOT(Paths!$C$214=1),0,IF(Paths!$P$214="Complete",N2284-IF(C2284=0,Paths!$F$214,0),"n.a."))</f>
        <v>0</v>
      </c>
      <c r="P2284" s="16">
        <f>IF(NOT(Paths!$C$214=1),0,IF(Paths!$P$214="Complete",O2284+L2284,"n.a."))</f>
        <v>0</v>
      </c>
      <c r="Q2284" s="16">
        <f>IF(NOT(Paths!$C$214=1),0,IF(Paths!$P$214="Complete",N2284*(1+'Operating costs'!$B$54)^-C2284,"n.a."))</f>
        <v>0</v>
      </c>
      <c r="R2284" s="16">
        <f>IF(NOT(Paths!$C$214=1),0,IF(Paths!$P$214="Complete",IF(AND(C2284=0,Paths!$E$214=0),I2284-J2284-K2284+VLOOKUP(A2284,'Fleet register'!$A$7:$S$106,15,FALSE)+VLOOKUP(A2284,'Fleet register'!$A$7:$S$106,16,FALSE),0),"n.a."))</f>
        <v>0</v>
      </c>
      <c r="S2284" s="1">
        <f>IF(NOT(Paths!$C$214=1),0,IF(Paths!$P$214="Complete",IF(C2284=0,0,Paths!$S$214*Paths!$R$214),"n.a."))</f>
        <v>0</v>
      </c>
      <c r="T2284" s="1">
        <f>IF(NOT(Paths!$C$214=1),0,IF(Paths!$P$214="Complete",IF(C2284=0,0,VLOOKUP(A2284,'Fleet register'!$A$7:$S$106,9,FALSE)*Paths!$R$214),"n.a."))</f>
        <v>0</v>
      </c>
    </row>
    <row r="2285" spans="1:20" ht="24" customHeight="1">
      <c r="A2285" s="1" t="str">
        <f>Paths!$A$214</f>
        <v>T052</v>
      </c>
      <c r="B2285" s="1">
        <f>Paths!$B$214</f>
        <v>3</v>
      </c>
      <c r="C2285" s="1">
        <v>1</v>
      </c>
      <c r="D2285" s="1">
        <v>214</v>
      </c>
      <c r="E2285" s="1">
        <f>IF(OR(Paths!$C$214=0,C2285=0),0,MAX(0,MIN(C2285*12,Paths!$E$214)-(C2285-1)*12))</f>
        <v>0</v>
      </c>
      <c r="F2285" s="1">
        <f>IF(OR(Paths!$C$214=0,C2285=0),0,12-E2285)</f>
        <v>0</v>
      </c>
      <c r="G2285" s="16">
        <f>IF(NOT(Paths!$C$214=1),0,IF(Paths!$P$214="Complete",E2285/12*(Paths!$J$214*(1+'Operating costs'!$B$51)^MAX(0,C2285-1)+Paths!$K$214*(1+'Operating costs'!$B$53)^MAX(0,C2285-1)),"n.a."))</f>
        <v>0</v>
      </c>
      <c r="H2285" s="16">
        <f>IF(NOT(Paths!$C$214=1),0,IF(Paths!$P$214="Complete",F2285/12*(Paths!$L$214*(1+IF(Paths!$D$214="EV",'Operating costs'!$B$52,'Operating costs'!$B$51))^MAX(0,C2285-1)+Paths!$M$214*(1+'Operating costs'!$B$53)^MAX(0,C2285-1)),"n.a."))</f>
        <v>0</v>
      </c>
      <c r="I2285" s="16">
        <f>IF(NOT(Paths!$C$214=1),0,IF(Paths!$P$214="Complete",IF(IF(Paths!$E$214=0,C2285=0,AND(C2285&gt;0,Paths!$E$214&gt;(C2285-1)*12,Paths!$E$214&lt;=C2285*12)),Paths!$G$214,0),"n.a."))</f>
        <v>0</v>
      </c>
      <c r="J2285" s="16">
        <f>IF(NOT(Paths!$C$214=1),0,IF(Paths!$P$214="Complete",IF(IF(Paths!$E$214=0,C2285=0,AND(C2285&gt;0,Paths!$E$214&gt;(C2285-1)*12,Paths!$E$214&lt;=C2285*12)),Paths!$H$214,0),"n.a."))</f>
        <v>0</v>
      </c>
      <c r="K2285" s="16">
        <f>IF(NOT(Paths!$C$214=1),0,IF(Paths!$P$214="Complete",IF(IF(Paths!$O$214=0,C2285=0,AND(C2285&gt;0,Paths!$O$214&gt;(C2285-1)*12,Paths!$O$214&lt;=C2285*12)),Paths!$N$214,0),"n.a."))</f>
        <v>0</v>
      </c>
      <c r="L2285" s="16">
        <f>IF(NOT(Paths!$C$214=1),0,IF(Paths!$P$214="Complete",IF(C2285=10,Paths!$I$214,0),"n.a."))</f>
        <v>0</v>
      </c>
      <c r="M2285" s="16">
        <f>IF(NOT(Paths!$C$214=1),0,IF(Paths!$P$214="Complete",IF(AND(Paths!$D$214="EV",Paths!$E$214&lt;120,Paths!$E$214+'Operating costs'!$B$65&gt;Paths!$E$214,Paths!$E$214+'Operating costs'!$B$65&lt;=120,IF(Paths!$E$214+'Operating costs'!$B$65=0,C2285=0,AND(C2285&gt;0,Paths!$E$214+'Operating costs'!$B$65&gt;(C2285-1)*12,Paths!$E$214+'Operating costs'!$B$65&lt;=C2285*12))),'Operating costs'!$B$64,0)+IF(AND('Operating costs'!$B$67&gt;0,'Operating costs'!$B$67&lt;=120,OR(Paths!$D$214="ICE",'Operating costs'!$B$67&lt;=Paths!$E$214),IF('Operating costs'!$B$67=0,C2285=0,AND(C2285&gt;0,'Operating costs'!$B$67&gt;(C2285-1)*12,'Operating costs'!$B$67&lt;=C2285*12))),'Operating costs'!$B$66,0),"n.a."))</f>
        <v>0</v>
      </c>
      <c r="N2285" s="16">
        <f>IF(NOT(Paths!$C$214=1),0,IF(Paths!$P$214="Complete",SUM(G2285:I2285)-J2285-K2285-L2285+M2285+IF(C2285=0,Paths!$F$214,0)+IF(IF(Paths!$E$214=0,C2285=0,AND(C2285&gt;0,Paths!$E$214&gt;(C2285-1)*12,Paths!$E$214&lt;=C2285*12)),VLOOKUP(A2285,'Fleet register'!$A$7:$S$106,16,FALSE),0),"n.a."))</f>
        <v>0</v>
      </c>
      <c r="O2285" s="16">
        <f>IF(NOT(Paths!$C$214=1),0,IF(Paths!$P$214="Complete",N2285-IF(C2285=0,Paths!$F$214,0),"n.a."))</f>
        <v>0</v>
      </c>
      <c r="P2285" s="16">
        <f>IF(NOT(Paths!$C$214=1),0,IF(Paths!$P$214="Complete",O2285+L2285,"n.a."))</f>
        <v>0</v>
      </c>
      <c r="Q2285" s="16">
        <f>IF(NOT(Paths!$C$214=1),0,IF(Paths!$P$214="Complete",N2285*(1+'Operating costs'!$B$54)^-C2285,"n.a."))</f>
        <v>0</v>
      </c>
      <c r="R2285" s="16">
        <f>IF(NOT(Paths!$C$214=1),0,IF(Paths!$P$214="Complete",IF(AND(C2285=0,Paths!$E$214=0),I2285-J2285-K2285+VLOOKUP(A2285,'Fleet register'!$A$7:$S$106,15,FALSE)+VLOOKUP(A2285,'Fleet register'!$A$7:$S$106,16,FALSE),0),"n.a."))</f>
        <v>0</v>
      </c>
      <c r="S2285" s="1">
        <f>IF(NOT(Paths!$C$214=1),0,IF(Paths!$P$214="Complete",IF(C2285=0,0,Paths!$S$214*Paths!$R$214),"n.a."))</f>
        <v>0</v>
      </c>
      <c r="T2285" s="1">
        <f>IF(NOT(Paths!$C$214=1),0,IF(Paths!$P$214="Complete",IF(C2285=0,0,VLOOKUP(A2285,'Fleet register'!$A$7:$S$106,9,FALSE)*Paths!$R$214),"n.a."))</f>
        <v>0</v>
      </c>
    </row>
    <row r="2286" spans="1:20" ht="24" customHeight="1">
      <c r="A2286" s="1" t="str">
        <f>Paths!$A$214</f>
        <v>T052</v>
      </c>
      <c r="B2286" s="1">
        <f>Paths!$B$214</f>
        <v>3</v>
      </c>
      <c r="C2286" s="1">
        <v>2</v>
      </c>
      <c r="D2286" s="1">
        <v>214</v>
      </c>
      <c r="E2286" s="1">
        <f>IF(OR(Paths!$C$214=0,C2286=0),0,MAX(0,MIN(C2286*12,Paths!$E$214)-(C2286-1)*12))</f>
        <v>0</v>
      </c>
      <c r="F2286" s="1">
        <f>IF(OR(Paths!$C$214=0,C2286=0),0,12-E2286)</f>
        <v>0</v>
      </c>
      <c r="G2286" s="16">
        <f>IF(NOT(Paths!$C$214=1),0,IF(Paths!$P$214="Complete",E2286/12*(Paths!$J$214*(1+'Operating costs'!$B$51)^MAX(0,C2286-1)+Paths!$K$214*(1+'Operating costs'!$B$53)^MAX(0,C2286-1)),"n.a."))</f>
        <v>0</v>
      </c>
      <c r="H2286" s="16">
        <f>IF(NOT(Paths!$C$214=1),0,IF(Paths!$P$214="Complete",F2286/12*(Paths!$L$214*(1+IF(Paths!$D$214="EV",'Operating costs'!$B$52,'Operating costs'!$B$51))^MAX(0,C2286-1)+Paths!$M$214*(1+'Operating costs'!$B$53)^MAX(0,C2286-1)),"n.a."))</f>
        <v>0</v>
      </c>
      <c r="I2286" s="16">
        <f>IF(NOT(Paths!$C$214=1),0,IF(Paths!$P$214="Complete",IF(IF(Paths!$E$214=0,C2286=0,AND(C2286&gt;0,Paths!$E$214&gt;(C2286-1)*12,Paths!$E$214&lt;=C2286*12)),Paths!$G$214,0),"n.a."))</f>
        <v>0</v>
      </c>
      <c r="J2286" s="16">
        <f>IF(NOT(Paths!$C$214=1),0,IF(Paths!$P$214="Complete",IF(IF(Paths!$E$214=0,C2286=0,AND(C2286&gt;0,Paths!$E$214&gt;(C2286-1)*12,Paths!$E$214&lt;=C2286*12)),Paths!$H$214,0),"n.a."))</f>
        <v>0</v>
      </c>
      <c r="K2286" s="16">
        <f>IF(NOT(Paths!$C$214=1),0,IF(Paths!$P$214="Complete",IF(IF(Paths!$O$214=0,C2286=0,AND(C2286&gt;0,Paths!$O$214&gt;(C2286-1)*12,Paths!$O$214&lt;=C2286*12)),Paths!$N$214,0),"n.a."))</f>
        <v>0</v>
      </c>
      <c r="L2286" s="16">
        <f>IF(NOT(Paths!$C$214=1),0,IF(Paths!$P$214="Complete",IF(C2286=10,Paths!$I$214,0),"n.a."))</f>
        <v>0</v>
      </c>
      <c r="M2286" s="16">
        <f>IF(NOT(Paths!$C$214=1),0,IF(Paths!$P$214="Complete",IF(AND(Paths!$D$214="EV",Paths!$E$214&lt;120,Paths!$E$214+'Operating costs'!$B$65&gt;Paths!$E$214,Paths!$E$214+'Operating costs'!$B$65&lt;=120,IF(Paths!$E$214+'Operating costs'!$B$65=0,C2286=0,AND(C2286&gt;0,Paths!$E$214+'Operating costs'!$B$65&gt;(C2286-1)*12,Paths!$E$214+'Operating costs'!$B$65&lt;=C2286*12))),'Operating costs'!$B$64,0)+IF(AND('Operating costs'!$B$67&gt;0,'Operating costs'!$B$67&lt;=120,OR(Paths!$D$214="ICE",'Operating costs'!$B$67&lt;=Paths!$E$214),IF('Operating costs'!$B$67=0,C2286=0,AND(C2286&gt;0,'Operating costs'!$B$67&gt;(C2286-1)*12,'Operating costs'!$B$67&lt;=C2286*12))),'Operating costs'!$B$66,0),"n.a."))</f>
        <v>0</v>
      </c>
      <c r="N2286" s="16">
        <f>IF(NOT(Paths!$C$214=1),0,IF(Paths!$P$214="Complete",SUM(G2286:I2286)-J2286-K2286-L2286+M2286+IF(C2286=0,Paths!$F$214,0)+IF(IF(Paths!$E$214=0,C2286=0,AND(C2286&gt;0,Paths!$E$214&gt;(C2286-1)*12,Paths!$E$214&lt;=C2286*12)),VLOOKUP(A2286,'Fleet register'!$A$7:$S$106,16,FALSE),0),"n.a."))</f>
        <v>0</v>
      </c>
      <c r="O2286" s="16">
        <f>IF(NOT(Paths!$C$214=1),0,IF(Paths!$P$214="Complete",N2286-IF(C2286=0,Paths!$F$214,0),"n.a."))</f>
        <v>0</v>
      </c>
      <c r="P2286" s="16">
        <f>IF(NOT(Paths!$C$214=1),0,IF(Paths!$P$214="Complete",O2286+L2286,"n.a."))</f>
        <v>0</v>
      </c>
      <c r="Q2286" s="16">
        <f>IF(NOT(Paths!$C$214=1),0,IF(Paths!$P$214="Complete",N2286*(1+'Operating costs'!$B$54)^-C2286,"n.a."))</f>
        <v>0</v>
      </c>
      <c r="R2286" s="16">
        <f>IF(NOT(Paths!$C$214=1),0,IF(Paths!$P$214="Complete",IF(AND(C2286=0,Paths!$E$214=0),I2286-J2286-K2286+VLOOKUP(A2286,'Fleet register'!$A$7:$S$106,15,FALSE)+VLOOKUP(A2286,'Fleet register'!$A$7:$S$106,16,FALSE),0),"n.a."))</f>
        <v>0</v>
      </c>
      <c r="S2286" s="1">
        <f>IF(NOT(Paths!$C$214=1),0,IF(Paths!$P$214="Complete",IF(C2286=0,0,Paths!$S$214*Paths!$R$214),"n.a."))</f>
        <v>0</v>
      </c>
      <c r="T2286" s="1">
        <f>IF(NOT(Paths!$C$214=1),0,IF(Paths!$P$214="Complete",IF(C2286=0,0,VLOOKUP(A2286,'Fleet register'!$A$7:$S$106,9,FALSE)*Paths!$R$214),"n.a."))</f>
        <v>0</v>
      </c>
    </row>
    <row r="2287" spans="1:20" ht="24" customHeight="1">
      <c r="A2287" s="1" t="str">
        <f>Paths!$A$214</f>
        <v>T052</v>
      </c>
      <c r="B2287" s="1">
        <f>Paths!$B$214</f>
        <v>3</v>
      </c>
      <c r="C2287" s="1">
        <v>3</v>
      </c>
      <c r="D2287" s="1">
        <v>214</v>
      </c>
      <c r="E2287" s="1">
        <f>IF(OR(Paths!$C$214=0,C2287=0),0,MAX(0,MIN(C2287*12,Paths!$E$214)-(C2287-1)*12))</f>
        <v>0</v>
      </c>
      <c r="F2287" s="1">
        <f>IF(OR(Paths!$C$214=0,C2287=0),0,12-E2287)</f>
        <v>0</v>
      </c>
      <c r="G2287" s="16">
        <f>IF(NOT(Paths!$C$214=1),0,IF(Paths!$P$214="Complete",E2287/12*(Paths!$J$214*(1+'Operating costs'!$B$51)^MAX(0,C2287-1)+Paths!$K$214*(1+'Operating costs'!$B$53)^MAX(0,C2287-1)),"n.a."))</f>
        <v>0</v>
      </c>
      <c r="H2287" s="16">
        <f>IF(NOT(Paths!$C$214=1),0,IF(Paths!$P$214="Complete",F2287/12*(Paths!$L$214*(1+IF(Paths!$D$214="EV",'Operating costs'!$B$52,'Operating costs'!$B$51))^MAX(0,C2287-1)+Paths!$M$214*(1+'Operating costs'!$B$53)^MAX(0,C2287-1)),"n.a."))</f>
        <v>0</v>
      </c>
      <c r="I2287" s="16">
        <f>IF(NOT(Paths!$C$214=1),0,IF(Paths!$P$214="Complete",IF(IF(Paths!$E$214=0,C2287=0,AND(C2287&gt;0,Paths!$E$214&gt;(C2287-1)*12,Paths!$E$214&lt;=C2287*12)),Paths!$G$214,0),"n.a."))</f>
        <v>0</v>
      </c>
      <c r="J2287" s="16">
        <f>IF(NOT(Paths!$C$214=1),0,IF(Paths!$P$214="Complete",IF(IF(Paths!$E$214=0,C2287=0,AND(C2287&gt;0,Paths!$E$214&gt;(C2287-1)*12,Paths!$E$214&lt;=C2287*12)),Paths!$H$214,0),"n.a."))</f>
        <v>0</v>
      </c>
      <c r="K2287" s="16">
        <f>IF(NOT(Paths!$C$214=1),0,IF(Paths!$P$214="Complete",IF(IF(Paths!$O$214=0,C2287=0,AND(C2287&gt;0,Paths!$O$214&gt;(C2287-1)*12,Paths!$O$214&lt;=C2287*12)),Paths!$N$214,0),"n.a."))</f>
        <v>0</v>
      </c>
      <c r="L2287" s="16">
        <f>IF(NOT(Paths!$C$214=1),0,IF(Paths!$P$214="Complete",IF(C2287=10,Paths!$I$214,0),"n.a."))</f>
        <v>0</v>
      </c>
      <c r="M2287" s="16">
        <f>IF(NOT(Paths!$C$214=1),0,IF(Paths!$P$214="Complete",IF(AND(Paths!$D$214="EV",Paths!$E$214&lt;120,Paths!$E$214+'Operating costs'!$B$65&gt;Paths!$E$214,Paths!$E$214+'Operating costs'!$B$65&lt;=120,IF(Paths!$E$214+'Operating costs'!$B$65=0,C2287=0,AND(C2287&gt;0,Paths!$E$214+'Operating costs'!$B$65&gt;(C2287-1)*12,Paths!$E$214+'Operating costs'!$B$65&lt;=C2287*12))),'Operating costs'!$B$64,0)+IF(AND('Operating costs'!$B$67&gt;0,'Operating costs'!$B$67&lt;=120,OR(Paths!$D$214="ICE",'Operating costs'!$B$67&lt;=Paths!$E$214),IF('Operating costs'!$B$67=0,C2287=0,AND(C2287&gt;0,'Operating costs'!$B$67&gt;(C2287-1)*12,'Operating costs'!$B$67&lt;=C2287*12))),'Operating costs'!$B$66,0),"n.a."))</f>
        <v>0</v>
      </c>
      <c r="N2287" s="16">
        <f>IF(NOT(Paths!$C$214=1),0,IF(Paths!$P$214="Complete",SUM(G2287:I2287)-J2287-K2287-L2287+M2287+IF(C2287=0,Paths!$F$214,0)+IF(IF(Paths!$E$214=0,C2287=0,AND(C2287&gt;0,Paths!$E$214&gt;(C2287-1)*12,Paths!$E$214&lt;=C2287*12)),VLOOKUP(A2287,'Fleet register'!$A$7:$S$106,16,FALSE),0),"n.a."))</f>
        <v>0</v>
      </c>
      <c r="O2287" s="16">
        <f>IF(NOT(Paths!$C$214=1),0,IF(Paths!$P$214="Complete",N2287-IF(C2287=0,Paths!$F$214,0),"n.a."))</f>
        <v>0</v>
      </c>
      <c r="P2287" s="16">
        <f>IF(NOT(Paths!$C$214=1),0,IF(Paths!$P$214="Complete",O2287+L2287,"n.a."))</f>
        <v>0</v>
      </c>
      <c r="Q2287" s="16">
        <f>IF(NOT(Paths!$C$214=1),0,IF(Paths!$P$214="Complete",N2287*(1+'Operating costs'!$B$54)^-C2287,"n.a."))</f>
        <v>0</v>
      </c>
      <c r="R2287" s="16">
        <f>IF(NOT(Paths!$C$214=1),0,IF(Paths!$P$214="Complete",IF(AND(C2287=0,Paths!$E$214=0),I2287-J2287-K2287+VLOOKUP(A2287,'Fleet register'!$A$7:$S$106,15,FALSE)+VLOOKUP(A2287,'Fleet register'!$A$7:$S$106,16,FALSE),0),"n.a."))</f>
        <v>0</v>
      </c>
      <c r="S2287" s="1">
        <f>IF(NOT(Paths!$C$214=1),0,IF(Paths!$P$214="Complete",IF(C2287=0,0,Paths!$S$214*Paths!$R$214),"n.a."))</f>
        <v>0</v>
      </c>
      <c r="T2287" s="1">
        <f>IF(NOT(Paths!$C$214=1),0,IF(Paths!$P$214="Complete",IF(C2287=0,0,VLOOKUP(A2287,'Fleet register'!$A$7:$S$106,9,FALSE)*Paths!$R$214),"n.a."))</f>
        <v>0</v>
      </c>
    </row>
    <row r="2288" spans="1:20" ht="24" customHeight="1">
      <c r="A2288" s="1" t="str">
        <f>Paths!$A$214</f>
        <v>T052</v>
      </c>
      <c r="B2288" s="1">
        <f>Paths!$B$214</f>
        <v>3</v>
      </c>
      <c r="C2288" s="1">
        <v>4</v>
      </c>
      <c r="D2288" s="1">
        <v>214</v>
      </c>
      <c r="E2288" s="1">
        <f>IF(OR(Paths!$C$214=0,C2288=0),0,MAX(0,MIN(C2288*12,Paths!$E$214)-(C2288-1)*12))</f>
        <v>0</v>
      </c>
      <c r="F2288" s="1">
        <f>IF(OR(Paths!$C$214=0,C2288=0),0,12-E2288)</f>
        <v>0</v>
      </c>
      <c r="G2288" s="16">
        <f>IF(NOT(Paths!$C$214=1),0,IF(Paths!$P$214="Complete",E2288/12*(Paths!$J$214*(1+'Operating costs'!$B$51)^MAX(0,C2288-1)+Paths!$K$214*(1+'Operating costs'!$B$53)^MAX(0,C2288-1)),"n.a."))</f>
        <v>0</v>
      </c>
      <c r="H2288" s="16">
        <f>IF(NOT(Paths!$C$214=1),0,IF(Paths!$P$214="Complete",F2288/12*(Paths!$L$214*(1+IF(Paths!$D$214="EV",'Operating costs'!$B$52,'Operating costs'!$B$51))^MAX(0,C2288-1)+Paths!$M$214*(1+'Operating costs'!$B$53)^MAX(0,C2288-1)),"n.a."))</f>
        <v>0</v>
      </c>
      <c r="I2288" s="16">
        <f>IF(NOT(Paths!$C$214=1),0,IF(Paths!$P$214="Complete",IF(IF(Paths!$E$214=0,C2288=0,AND(C2288&gt;0,Paths!$E$214&gt;(C2288-1)*12,Paths!$E$214&lt;=C2288*12)),Paths!$G$214,0),"n.a."))</f>
        <v>0</v>
      </c>
      <c r="J2288" s="16">
        <f>IF(NOT(Paths!$C$214=1),0,IF(Paths!$P$214="Complete",IF(IF(Paths!$E$214=0,C2288=0,AND(C2288&gt;0,Paths!$E$214&gt;(C2288-1)*12,Paths!$E$214&lt;=C2288*12)),Paths!$H$214,0),"n.a."))</f>
        <v>0</v>
      </c>
      <c r="K2288" s="16">
        <f>IF(NOT(Paths!$C$214=1),0,IF(Paths!$P$214="Complete",IF(IF(Paths!$O$214=0,C2288=0,AND(C2288&gt;0,Paths!$O$214&gt;(C2288-1)*12,Paths!$O$214&lt;=C2288*12)),Paths!$N$214,0),"n.a."))</f>
        <v>0</v>
      </c>
      <c r="L2288" s="16">
        <f>IF(NOT(Paths!$C$214=1),0,IF(Paths!$P$214="Complete",IF(C2288=10,Paths!$I$214,0),"n.a."))</f>
        <v>0</v>
      </c>
      <c r="M2288" s="16">
        <f>IF(NOT(Paths!$C$214=1),0,IF(Paths!$P$214="Complete",IF(AND(Paths!$D$214="EV",Paths!$E$214&lt;120,Paths!$E$214+'Operating costs'!$B$65&gt;Paths!$E$214,Paths!$E$214+'Operating costs'!$B$65&lt;=120,IF(Paths!$E$214+'Operating costs'!$B$65=0,C2288=0,AND(C2288&gt;0,Paths!$E$214+'Operating costs'!$B$65&gt;(C2288-1)*12,Paths!$E$214+'Operating costs'!$B$65&lt;=C2288*12))),'Operating costs'!$B$64,0)+IF(AND('Operating costs'!$B$67&gt;0,'Operating costs'!$B$67&lt;=120,OR(Paths!$D$214="ICE",'Operating costs'!$B$67&lt;=Paths!$E$214),IF('Operating costs'!$B$67=0,C2288=0,AND(C2288&gt;0,'Operating costs'!$B$67&gt;(C2288-1)*12,'Operating costs'!$B$67&lt;=C2288*12))),'Operating costs'!$B$66,0),"n.a."))</f>
        <v>0</v>
      </c>
      <c r="N2288" s="16">
        <f>IF(NOT(Paths!$C$214=1),0,IF(Paths!$P$214="Complete",SUM(G2288:I2288)-J2288-K2288-L2288+M2288+IF(C2288=0,Paths!$F$214,0)+IF(IF(Paths!$E$214=0,C2288=0,AND(C2288&gt;0,Paths!$E$214&gt;(C2288-1)*12,Paths!$E$214&lt;=C2288*12)),VLOOKUP(A2288,'Fleet register'!$A$7:$S$106,16,FALSE),0),"n.a."))</f>
        <v>0</v>
      </c>
      <c r="O2288" s="16">
        <f>IF(NOT(Paths!$C$214=1),0,IF(Paths!$P$214="Complete",N2288-IF(C2288=0,Paths!$F$214,0),"n.a."))</f>
        <v>0</v>
      </c>
      <c r="P2288" s="16">
        <f>IF(NOT(Paths!$C$214=1),0,IF(Paths!$P$214="Complete",O2288+L2288,"n.a."))</f>
        <v>0</v>
      </c>
      <c r="Q2288" s="16">
        <f>IF(NOT(Paths!$C$214=1),0,IF(Paths!$P$214="Complete",N2288*(1+'Operating costs'!$B$54)^-C2288,"n.a."))</f>
        <v>0</v>
      </c>
      <c r="R2288" s="16">
        <f>IF(NOT(Paths!$C$214=1),0,IF(Paths!$P$214="Complete",IF(AND(C2288=0,Paths!$E$214=0),I2288-J2288-K2288+VLOOKUP(A2288,'Fleet register'!$A$7:$S$106,15,FALSE)+VLOOKUP(A2288,'Fleet register'!$A$7:$S$106,16,FALSE),0),"n.a."))</f>
        <v>0</v>
      </c>
      <c r="S2288" s="1">
        <f>IF(NOT(Paths!$C$214=1),0,IF(Paths!$P$214="Complete",IF(C2288=0,0,Paths!$S$214*Paths!$R$214),"n.a."))</f>
        <v>0</v>
      </c>
      <c r="T2288" s="1">
        <f>IF(NOT(Paths!$C$214=1),0,IF(Paths!$P$214="Complete",IF(C2288=0,0,VLOOKUP(A2288,'Fleet register'!$A$7:$S$106,9,FALSE)*Paths!$R$214),"n.a."))</f>
        <v>0</v>
      </c>
    </row>
    <row r="2289" spans="1:20" ht="24" customHeight="1">
      <c r="A2289" s="1" t="str">
        <f>Paths!$A$214</f>
        <v>T052</v>
      </c>
      <c r="B2289" s="1">
        <f>Paths!$B$214</f>
        <v>3</v>
      </c>
      <c r="C2289" s="1">
        <v>5</v>
      </c>
      <c r="D2289" s="1">
        <v>214</v>
      </c>
      <c r="E2289" s="1">
        <f>IF(OR(Paths!$C$214=0,C2289=0),0,MAX(0,MIN(C2289*12,Paths!$E$214)-(C2289-1)*12))</f>
        <v>0</v>
      </c>
      <c r="F2289" s="1">
        <f>IF(OR(Paths!$C$214=0,C2289=0),0,12-E2289)</f>
        <v>0</v>
      </c>
      <c r="G2289" s="16">
        <f>IF(NOT(Paths!$C$214=1),0,IF(Paths!$P$214="Complete",E2289/12*(Paths!$J$214*(1+'Operating costs'!$B$51)^MAX(0,C2289-1)+Paths!$K$214*(1+'Operating costs'!$B$53)^MAX(0,C2289-1)),"n.a."))</f>
        <v>0</v>
      </c>
      <c r="H2289" s="16">
        <f>IF(NOT(Paths!$C$214=1),0,IF(Paths!$P$214="Complete",F2289/12*(Paths!$L$214*(1+IF(Paths!$D$214="EV",'Operating costs'!$B$52,'Operating costs'!$B$51))^MAX(0,C2289-1)+Paths!$M$214*(1+'Operating costs'!$B$53)^MAX(0,C2289-1)),"n.a."))</f>
        <v>0</v>
      </c>
      <c r="I2289" s="16">
        <f>IF(NOT(Paths!$C$214=1),0,IF(Paths!$P$214="Complete",IF(IF(Paths!$E$214=0,C2289=0,AND(C2289&gt;0,Paths!$E$214&gt;(C2289-1)*12,Paths!$E$214&lt;=C2289*12)),Paths!$G$214,0),"n.a."))</f>
        <v>0</v>
      </c>
      <c r="J2289" s="16">
        <f>IF(NOT(Paths!$C$214=1),0,IF(Paths!$P$214="Complete",IF(IF(Paths!$E$214=0,C2289=0,AND(C2289&gt;0,Paths!$E$214&gt;(C2289-1)*12,Paths!$E$214&lt;=C2289*12)),Paths!$H$214,0),"n.a."))</f>
        <v>0</v>
      </c>
      <c r="K2289" s="16">
        <f>IF(NOT(Paths!$C$214=1),0,IF(Paths!$P$214="Complete",IF(IF(Paths!$O$214=0,C2289=0,AND(C2289&gt;0,Paths!$O$214&gt;(C2289-1)*12,Paths!$O$214&lt;=C2289*12)),Paths!$N$214,0),"n.a."))</f>
        <v>0</v>
      </c>
      <c r="L2289" s="16">
        <f>IF(NOT(Paths!$C$214=1),0,IF(Paths!$P$214="Complete",IF(C2289=10,Paths!$I$214,0),"n.a."))</f>
        <v>0</v>
      </c>
      <c r="M2289" s="16">
        <f>IF(NOT(Paths!$C$214=1),0,IF(Paths!$P$214="Complete",IF(AND(Paths!$D$214="EV",Paths!$E$214&lt;120,Paths!$E$214+'Operating costs'!$B$65&gt;Paths!$E$214,Paths!$E$214+'Operating costs'!$B$65&lt;=120,IF(Paths!$E$214+'Operating costs'!$B$65=0,C2289=0,AND(C2289&gt;0,Paths!$E$214+'Operating costs'!$B$65&gt;(C2289-1)*12,Paths!$E$214+'Operating costs'!$B$65&lt;=C2289*12))),'Operating costs'!$B$64,0)+IF(AND('Operating costs'!$B$67&gt;0,'Operating costs'!$B$67&lt;=120,OR(Paths!$D$214="ICE",'Operating costs'!$B$67&lt;=Paths!$E$214),IF('Operating costs'!$B$67=0,C2289=0,AND(C2289&gt;0,'Operating costs'!$B$67&gt;(C2289-1)*12,'Operating costs'!$B$67&lt;=C2289*12))),'Operating costs'!$B$66,0),"n.a."))</f>
        <v>0</v>
      </c>
      <c r="N2289" s="16">
        <f>IF(NOT(Paths!$C$214=1),0,IF(Paths!$P$214="Complete",SUM(G2289:I2289)-J2289-K2289-L2289+M2289+IF(C2289=0,Paths!$F$214,0)+IF(IF(Paths!$E$214=0,C2289=0,AND(C2289&gt;0,Paths!$E$214&gt;(C2289-1)*12,Paths!$E$214&lt;=C2289*12)),VLOOKUP(A2289,'Fleet register'!$A$7:$S$106,16,FALSE),0),"n.a."))</f>
        <v>0</v>
      </c>
      <c r="O2289" s="16">
        <f>IF(NOT(Paths!$C$214=1),0,IF(Paths!$P$214="Complete",N2289-IF(C2289=0,Paths!$F$214,0),"n.a."))</f>
        <v>0</v>
      </c>
      <c r="P2289" s="16">
        <f>IF(NOT(Paths!$C$214=1),0,IF(Paths!$P$214="Complete",O2289+L2289,"n.a."))</f>
        <v>0</v>
      </c>
      <c r="Q2289" s="16">
        <f>IF(NOT(Paths!$C$214=1),0,IF(Paths!$P$214="Complete",N2289*(1+'Operating costs'!$B$54)^-C2289,"n.a."))</f>
        <v>0</v>
      </c>
      <c r="R2289" s="16">
        <f>IF(NOT(Paths!$C$214=1),0,IF(Paths!$P$214="Complete",IF(AND(C2289=0,Paths!$E$214=0),I2289-J2289-K2289+VLOOKUP(A2289,'Fleet register'!$A$7:$S$106,15,FALSE)+VLOOKUP(A2289,'Fleet register'!$A$7:$S$106,16,FALSE),0),"n.a."))</f>
        <v>0</v>
      </c>
      <c r="S2289" s="1">
        <f>IF(NOT(Paths!$C$214=1),0,IF(Paths!$P$214="Complete",IF(C2289=0,0,Paths!$S$214*Paths!$R$214),"n.a."))</f>
        <v>0</v>
      </c>
      <c r="T2289" s="1">
        <f>IF(NOT(Paths!$C$214=1),0,IF(Paths!$P$214="Complete",IF(C2289=0,0,VLOOKUP(A2289,'Fleet register'!$A$7:$S$106,9,FALSE)*Paths!$R$214),"n.a."))</f>
        <v>0</v>
      </c>
    </row>
    <row r="2290" spans="1:20" ht="24" customHeight="1">
      <c r="A2290" s="1" t="str">
        <f>Paths!$A$214</f>
        <v>T052</v>
      </c>
      <c r="B2290" s="1">
        <f>Paths!$B$214</f>
        <v>3</v>
      </c>
      <c r="C2290" s="1">
        <v>6</v>
      </c>
      <c r="D2290" s="1">
        <v>214</v>
      </c>
      <c r="E2290" s="1">
        <f>IF(OR(Paths!$C$214=0,C2290=0),0,MAX(0,MIN(C2290*12,Paths!$E$214)-(C2290-1)*12))</f>
        <v>0</v>
      </c>
      <c r="F2290" s="1">
        <f>IF(OR(Paths!$C$214=0,C2290=0),0,12-E2290)</f>
        <v>0</v>
      </c>
      <c r="G2290" s="16">
        <f>IF(NOT(Paths!$C$214=1),0,IF(Paths!$P$214="Complete",E2290/12*(Paths!$J$214*(1+'Operating costs'!$B$51)^MAX(0,C2290-1)+Paths!$K$214*(1+'Operating costs'!$B$53)^MAX(0,C2290-1)),"n.a."))</f>
        <v>0</v>
      </c>
      <c r="H2290" s="16">
        <f>IF(NOT(Paths!$C$214=1),0,IF(Paths!$P$214="Complete",F2290/12*(Paths!$L$214*(1+IF(Paths!$D$214="EV",'Operating costs'!$B$52,'Operating costs'!$B$51))^MAX(0,C2290-1)+Paths!$M$214*(1+'Operating costs'!$B$53)^MAX(0,C2290-1)),"n.a."))</f>
        <v>0</v>
      </c>
      <c r="I2290" s="16">
        <f>IF(NOT(Paths!$C$214=1),0,IF(Paths!$P$214="Complete",IF(IF(Paths!$E$214=0,C2290=0,AND(C2290&gt;0,Paths!$E$214&gt;(C2290-1)*12,Paths!$E$214&lt;=C2290*12)),Paths!$G$214,0),"n.a."))</f>
        <v>0</v>
      </c>
      <c r="J2290" s="16">
        <f>IF(NOT(Paths!$C$214=1),0,IF(Paths!$P$214="Complete",IF(IF(Paths!$E$214=0,C2290=0,AND(C2290&gt;0,Paths!$E$214&gt;(C2290-1)*12,Paths!$E$214&lt;=C2290*12)),Paths!$H$214,0),"n.a."))</f>
        <v>0</v>
      </c>
      <c r="K2290" s="16">
        <f>IF(NOT(Paths!$C$214=1),0,IF(Paths!$P$214="Complete",IF(IF(Paths!$O$214=0,C2290=0,AND(C2290&gt;0,Paths!$O$214&gt;(C2290-1)*12,Paths!$O$214&lt;=C2290*12)),Paths!$N$214,0),"n.a."))</f>
        <v>0</v>
      </c>
      <c r="L2290" s="16">
        <f>IF(NOT(Paths!$C$214=1),0,IF(Paths!$P$214="Complete",IF(C2290=10,Paths!$I$214,0),"n.a."))</f>
        <v>0</v>
      </c>
      <c r="M2290" s="16">
        <f>IF(NOT(Paths!$C$214=1),0,IF(Paths!$P$214="Complete",IF(AND(Paths!$D$214="EV",Paths!$E$214&lt;120,Paths!$E$214+'Operating costs'!$B$65&gt;Paths!$E$214,Paths!$E$214+'Operating costs'!$B$65&lt;=120,IF(Paths!$E$214+'Operating costs'!$B$65=0,C2290=0,AND(C2290&gt;0,Paths!$E$214+'Operating costs'!$B$65&gt;(C2290-1)*12,Paths!$E$214+'Operating costs'!$B$65&lt;=C2290*12))),'Operating costs'!$B$64,0)+IF(AND('Operating costs'!$B$67&gt;0,'Operating costs'!$B$67&lt;=120,OR(Paths!$D$214="ICE",'Operating costs'!$B$67&lt;=Paths!$E$214),IF('Operating costs'!$B$67=0,C2290=0,AND(C2290&gt;0,'Operating costs'!$B$67&gt;(C2290-1)*12,'Operating costs'!$B$67&lt;=C2290*12))),'Operating costs'!$B$66,0),"n.a."))</f>
        <v>0</v>
      </c>
      <c r="N2290" s="16">
        <f>IF(NOT(Paths!$C$214=1),0,IF(Paths!$P$214="Complete",SUM(G2290:I2290)-J2290-K2290-L2290+M2290+IF(C2290=0,Paths!$F$214,0)+IF(IF(Paths!$E$214=0,C2290=0,AND(C2290&gt;0,Paths!$E$214&gt;(C2290-1)*12,Paths!$E$214&lt;=C2290*12)),VLOOKUP(A2290,'Fleet register'!$A$7:$S$106,16,FALSE),0),"n.a."))</f>
        <v>0</v>
      </c>
      <c r="O2290" s="16">
        <f>IF(NOT(Paths!$C$214=1),0,IF(Paths!$P$214="Complete",N2290-IF(C2290=0,Paths!$F$214,0),"n.a."))</f>
        <v>0</v>
      </c>
      <c r="P2290" s="16">
        <f>IF(NOT(Paths!$C$214=1),0,IF(Paths!$P$214="Complete",O2290+L2290,"n.a."))</f>
        <v>0</v>
      </c>
      <c r="Q2290" s="16">
        <f>IF(NOT(Paths!$C$214=1),0,IF(Paths!$P$214="Complete",N2290*(1+'Operating costs'!$B$54)^-C2290,"n.a."))</f>
        <v>0</v>
      </c>
      <c r="R2290" s="16">
        <f>IF(NOT(Paths!$C$214=1),0,IF(Paths!$P$214="Complete",IF(AND(C2290=0,Paths!$E$214=0),I2290-J2290-K2290+VLOOKUP(A2290,'Fleet register'!$A$7:$S$106,15,FALSE)+VLOOKUP(A2290,'Fleet register'!$A$7:$S$106,16,FALSE),0),"n.a."))</f>
        <v>0</v>
      </c>
      <c r="S2290" s="1">
        <f>IF(NOT(Paths!$C$214=1),0,IF(Paths!$P$214="Complete",IF(C2290=0,0,Paths!$S$214*Paths!$R$214),"n.a."))</f>
        <v>0</v>
      </c>
      <c r="T2290" s="1">
        <f>IF(NOT(Paths!$C$214=1),0,IF(Paths!$P$214="Complete",IF(C2290=0,0,VLOOKUP(A2290,'Fleet register'!$A$7:$S$106,9,FALSE)*Paths!$R$214),"n.a."))</f>
        <v>0</v>
      </c>
    </row>
    <row r="2291" spans="1:20" ht="24" customHeight="1">
      <c r="A2291" s="1" t="str">
        <f>Paths!$A$214</f>
        <v>T052</v>
      </c>
      <c r="B2291" s="1">
        <f>Paths!$B$214</f>
        <v>3</v>
      </c>
      <c r="C2291" s="1">
        <v>7</v>
      </c>
      <c r="D2291" s="1">
        <v>214</v>
      </c>
      <c r="E2291" s="1">
        <f>IF(OR(Paths!$C$214=0,C2291=0),0,MAX(0,MIN(C2291*12,Paths!$E$214)-(C2291-1)*12))</f>
        <v>0</v>
      </c>
      <c r="F2291" s="1">
        <f>IF(OR(Paths!$C$214=0,C2291=0),0,12-E2291)</f>
        <v>0</v>
      </c>
      <c r="G2291" s="16">
        <f>IF(NOT(Paths!$C$214=1),0,IF(Paths!$P$214="Complete",E2291/12*(Paths!$J$214*(1+'Operating costs'!$B$51)^MAX(0,C2291-1)+Paths!$K$214*(1+'Operating costs'!$B$53)^MAX(0,C2291-1)),"n.a."))</f>
        <v>0</v>
      </c>
      <c r="H2291" s="16">
        <f>IF(NOT(Paths!$C$214=1),0,IF(Paths!$P$214="Complete",F2291/12*(Paths!$L$214*(1+IF(Paths!$D$214="EV",'Operating costs'!$B$52,'Operating costs'!$B$51))^MAX(0,C2291-1)+Paths!$M$214*(1+'Operating costs'!$B$53)^MAX(0,C2291-1)),"n.a."))</f>
        <v>0</v>
      </c>
      <c r="I2291" s="16">
        <f>IF(NOT(Paths!$C$214=1),0,IF(Paths!$P$214="Complete",IF(IF(Paths!$E$214=0,C2291=0,AND(C2291&gt;0,Paths!$E$214&gt;(C2291-1)*12,Paths!$E$214&lt;=C2291*12)),Paths!$G$214,0),"n.a."))</f>
        <v>0</v>
      </c>
      <c r="J2291" s="16">
        <f>IF(NOT(Paths!$C$214=1),0,IF(Paths!$P$214="Complete",IF(IF(Paths!$E$214=0,C2291=0,AND(C2291&gt;0,Paths!$E$214&gt;(C2291-1)*12,Paths!$E$214&lt;=C2291*12)),Paths!$H$214,0),"n.a."))</f>
        <v>0</v>
      </c>
      <c r="K2291" s="16">
        <f>IF(NOT(Paths!$C$214=1),0,IF(Paths!$P$214="Complete",IF(IF(Paths!$O$214=0,C2291=0,AND(C2291&gt;0,Paths!$O$214&gt;(C2291-1)*12,Paths!$O$214&lt;=C2291*12)),Paths!$N$214,0),"n.a."))</f>
        <v>0</v>
      </c>
      <c r="L2291" s="16">
        <f>IF(NOT(Paths!$C$214=1),0,IF(Paths!$P$214="Complete",IF(C2291=10,Paths!$I$214,0),"n.a."))</f>
        <v>0</v>
      </c>
      <c r="M2291" s="16">
        <f>IF(NOT(Paths!$C$214=1),0,IF(Paths!$P$214="Complete",IF(AND(Paths!$D$214="EV",Paths!$E$214&lt;120,Paths!$E$214+'Operating costs'!$B$65&gt;Paths!$E$214,Paths!$E$214+'Operating costs'!$B$65&lt;=120,IF(Paths!$E$214+'Operating costs'!$B$65=0,C2291=0,AND(C2291&gt;0,Paths!$E$214+'Operating costs'!$B$65&gt;(C2291-1)*12,Paths!$E$214+'Operating costs'!$B$65&lt;=C2291*12))),'Operating costs'!$B$64,0)+IF(AND('Operating costs'!$B$67&gt;0,'Operating costs'!$B$67&lt;=120,OR(Paths!$D$214="ICE",'Operating costs'!$B$67&lt;=Paths!$E$214),IF('Operating costs'!$B$67=0,C2291=0,AND(C2291&gt;0,'Operating costs'!$B$67&gt;(C2291-1)*12,'Operating costs'!$B$67&lt;=C2291*12))),'Operating costs'!$B$66,0),"n.a."))</f>
        <v>0</v>
      </c>
      <c r="N2291" s="16">
        <f>IF(NOT(Paths!$C$214=1),0,IF(Paths!$P$214="Complete",SUM(G2291:I2291)-J2291-K2291-L2291+M2291+IF(C2291=0,Paths!$F$214,0)+IF(IF(Paths!$E$214=0,C2291=0,AND(C2291&gt;0,Paths!$E$214&gt;(C2291-1)*12,Paths!$E$214&lt;=C2291*12)),VLOOKUP(A2291,'Fleet register'!$A$7:$S$106,16,FALSE),0),"n.a."))</f>
        <v>0</v>
      </c>
      <c r="O2291" s="16">
        <f>IF(NOT(Paths!$C$214=1),0,IF(Paths!$P$214="Complete",N2291-IF(C2291=0,Paths!$F$214,0),"n.a."))</f>
        <v>0</v>
      </c>
      <c r="P2291" s="16">
        <f>IF(NOT(Paths!$C$214=1),0,IF(Paths!$P$214="Complete",O2291+L2291,"n.a."))</f>
        <v>0</v>
      </c>
      <c r="Q2291" s="16">
        <f>IF(NOT(Paths!$C$214=1),0,IF(Paths!$P$214="Complete",N2291*(1+'Operating costs'!$B$54)^-C2291,"n.a."))</f>
        <v>0</v>
      </c>
      <c r="R2291" s="16">
        <f>IF(NOT(Paths!$C$214=1),0,IF(Paths!$P$214="Complete",IF(AND(C2291=0,Paths!$E$214=0),I2291-J2291-K2291+VLOOKUP(A2291,'Fleet register'!$A$7:$S$106,15,FALSE)+VLOOKUP(A2291,'Fleet register'!$A$7:$S$106,16,FALSE),0),"n.a."))</f>
        <v>0</v>
      </c>
      <c r="S2291" s="1">
        <f>IF(NOT(Paths!$C$214=1),0,IF(Paths!$P$214="Complete",IF(C2291=0,0,Paths!$S$214*Paths!$R$214),"n.a."))</f>
        <v>0</v>
      </c>
      <c r="T2291" s="1">
        <f>IF(NOT(Paths!$C$214=1),0,IF(Paths!$P$214="Complete",IF(C2291=0,0,VLOOKUP(A2291,'Fleet register'!$A$7:$S$106,9,FALSE)*Paths!$R$214),"n.a."))</f>
        <v>0</v>
      </c>
    </row>
    <row r="2292" spans="1:20" ht="24" customHeight="1">
      <c r="A2292" s="1" t="str">
        <f>Paths!$A$214</f>
        <v>T052</v>
      </c>
      <c r="B2292" s="1">
        <f>Paths!$B$214</f>
        <v>3</v>
      </c>
      <c r="C2292" s="1">
        <v>8</v>
      </c>
      <c r="D2292" s="1">
        <v>214</v>
      </c>
      <c r="E2292" s="1">
        <f>IF(OR(Paths!$C$214=0,C2292=0),0,MAX(0,MIN(C2292*12,Paths!$E$214)-(C2292-1)*12))</f>
        <v>0</v>
      </c>
      <c r="F2292" s="1">
        <f>IF(OR(Paths!$C$214=0,C2292=0),0,12-E2292)</f>
        <v>0</v>
      </c>
      <c r="G2292" s="16">
        <f>IF(NOT(Paths!$C$214=1),0,IF(Paths!$P$214="Complete",E2292/12*(Paths!$J$214*(1+'Operating costs'!$B$51)^MAX(0,C2292-1)+Paths!$K$214*(1+'Operating costs'!$B$53)^MAX(0,C2292-1)),"n.a."))</f>
        <v>0</v>
      </c>
      <c r="H2292" s="16">
        <f>IF(NOT(Paths!$C$214=1),0,IF(Paths!$P$214="Complete",F2292/12*(Paths!$L$214*(1+IF(Paths!$D$214="EV",'Operating costs'!$B$52,'Operating costs'!$B$51))^MAX(0,C2292-1)+Paths!$M$214*(1+'Operating costs'!$B$53)^MAX(0,C2292-1)),"n.a."))</f>
        <v>0</v>
      </c>
      <c r="I2292" s="16">
        <f>IF(NOT(Paths!$C$214=1),0,IF(Paths!$P$214="Complete",IF(IF(Paths!$E$214=0,C2292=0,AND(C2292&gt;0,Paths!$E$214&gt;(C2292-1)*12,Paths!$E$214&lt;=C2292*12)),Paths!$G$214,0),"n.a."))</f>
        <v>0</v>
      </c>
      <c r="J2292" s="16">
        <f>IF(NOT(Paths!$C$214=1),0,IF(Paths!$P$214="Complete",IF(IF(Paths!$E$214=0,C2292=0,AND(C2292&gt;0,Paths!$E$214&gt;(C2292-1)*12,Paths!$E$214&lt;=C2292*12)),Paths!$H$214,0),"n.a."))</f>
        <v>0</v>
      </c>
      <c r="K2292" s="16">
        <f>IF(NOT(Paths!$C$214=1),0,IF(Paths!$P$214="Complete",IF(IF(Paths!$O$214=0,C2292=0,AND(C2292&gt;0,Paths!$O$214&gt;(C2292-1)*12,Paths!$O$214&lt;=C2292*12)),Paths!$N$214,0),"n.a."))</f>
        <v>0</v>
      </c>
      <c r="L2292" s="16">
        <f>IF(NOT(Paths!$C$214=1),0,IF(Paths!$P$214="Complete",IF(C2292=10,Paths!$I$214,0),"n.a."))</f>
        <v>0</v>
      </c>
      <c r="M2292" s="16">
        <f>IF(NOT(Paths!$C$214=1),0,IF(Paths!$P$214="Complete",IF(AND(Paths!$D$214="EV",Paths!$E$214&lt;120,Paths!$E$214+'Operating costs'!$B$65&gt;Paths!$E$214,Paths!$E$214+'Operating costs'!$B$65&lt;=120,IF(Paths!$E$214+'Operating costs'!$B$65=0,C2292=0,AND(C2292&gt;0,Paths!$E$214+'Operating costs'!$B$65&gt;(C2292-1)*12,Paths!$E$214+'Operating costs'!$B$65&lt;=C2292*12))),'Operating costs'!$B$64,0)+IF(AND('Operating costs'!$B$67&gt;0,'Operating costs'!$B$67&lt;=120,OR(Paths!$D$214="ICE",'Operating costs'!$B$67&lt;=Paths!$E$214),IF('Operating costs'!$B$67=0,C2292=0,AND(C2292&gt;0,'Operating costs'!$B$67&gt;(C2292-1)*12,'Operating costs'!$B$67&lt;=C2292*12))),'Operating costs'!$B$66,0),"n.a."))</f>
        <v>0</v>
      </c>
      <c r="N2292" s="16">
        <f>IF(NOT(Paths!$C$214=1),0,IF(Paths!$P$214="Complete",SUM(G2292:I2292)-J2292-K2292-L2292+M2292+IF(C2292=0,Paths!$F$214,0)+IF(IF(Paths!$E$214=0,C2292=0,AND(C2292&gt;0,Paths!$E$214&gt;(C2292-1)*12,Paths!$E$214&lt;=C2292*12)),VLOOKUP(A2292,'Fleet register'!$A$7:$S$106,16,FALSE),0),"n.a."))</f>
        <v>0</v>
      </c>
      <c r="O2292" s="16">
        <f>IF(NOT(Paths!$C$214=1),0,IF(Paths!$P$214="Complete",N2292-IF(C2292=0,Paths!$F$214,0),"n.a."))</f>
        <v>0</v>
      </c>
      <c r="P2292" s="16">
        <f>IF(NOT(Paths!$C$214=1),0,IF(Paths!$P$214="Complete",O2292+L2292,"n.a."))</f>
        <v>0</v>
      </c>
      <c r="Q2292" s="16">
        <f>IF(NOT(Paths!$C$214=1),0,IF(Paths!$P$214="Complete",N2292*(1+'Operating costs'!$B$54)^-C2292,"n.a."))</f>
        <v>0</v>
      </c>
      <c r="R2292" s="16">
        <f>IF(NOT(Paths!$C$214=1),0,IF(Paths!$P$214="Complete",IF(AND(C2292=0,Paths!$E$214=0),I2292-J2292-K2292+VLOOKUP(A2292,'Fleet register'!$A$7:$S$106,15,FALSE)+VLOOKUP(A2292,'Fleet register'!$A$7:$S$106,16,FALSE),0),"n.a."))</f>
        <v>0</v>
      </c>
      <c r="S2292" s="1">
        <f>IF(NOT(Paths!$C$214=1),0,IF(Paths!$P$214="Complete",IF(C2292=0,0,Paths!$S$214*Paths!$R$214),"n.a."))</f>
        <v>0</v>
      </c>
      <c r="T2292" s="1">
        <f>IF(NOT(Paths!$C$214=1),0,IF(Paths!$P$214="Complete",IF(C2292=0,0,VLOOKUP(A2292,'Fleet register'!$A$7:$S$106,9,FALSE)*Paths!$R$214),"n.a."))</f>
        <v>0</v>
      </c>
    </row>
    <row r="2293" spans="1:20" ht="24" customHeight="1">
      <c r="A2293" s="1" t="str">
        <f>Paths!$A$214</f>
        <v>T052</v>
      </c>
      <c r="B2293" s="1">
        <f>Paths!$B$214</f>
        <v>3</v>
      </c>
      <c r="C2293" s="1">
        <v>9</v>
      </c>
      <c r="D2293" s="1">
        <v>214</v>
      </c>
      <c r="E2293" s="1">
        <f>IF(OR(Paths!$C$214=0,C2293=0),0,MAX(0,MIN(C2293*12,Paths!$E$214)-(C2293-1)*12))</f>
        <v>0</v>
      </c>
      <c r="F2293" s="1">
        <f>IF(OR(Paths!$C$214=0,C2293=0),0,12-E2293)</f>
        <v>0</v>
      </c>
      <c r="G2293" s="16">
        <f>IF(NOT(Paths!$C$214=1),0,IF(Paths!$P$214="Complete",E2293/12*(Paths!$J$214*(1+'Operating costs'!$B$51)^MAX(0,C2293-1)+Paths!$K$214*(1+'Operating costs'!$B$53)^MAX(0,C2293-1)),"n.a."))</f>
        <v>0</v>
      </c>
      <c r="H2293" s="16">
        <f>IF(NOT(Paths!$C$214=1),0,IF(Paths!$P$214="Complete",F2293/12*(Paths!$L$214*(1+IF(Paths!$D$214="EV",'Operating costs'!$B$52,'Operating costs'!$B$51))^MAX(0,C2293-1)+Paths!$M$214*(1+'Operating costs'!$B$53)^MAX(0,C2293-1)),"n.a."))</f>
        <v>0</v>
      </c>
      <c r="I2293" s="16">
        <f>IF(NOT(Paths!$C$214=1),0,IF(Paths!$P$214="Complete",IF(IF(Paths!$E$214=0,C2293=0,AND(C2293&gt;0,Paths!$E$214&gt;(C2293-1)*12,Paths!$E$214&lt;=C2293*12)),Paths!$G$214,0),"n.a."))</f>
        <v>0</v>
      </c>
      <c r="J2293" s="16">
        <f>IF(NOT(Paths!$C$214=1),0,IF(Paths!$P$214="Complete",IF(IF(Paths!$E$214=0,C2293=0,AND(C2293&gt;0,Paths!$E$214&gt;(C2293-1)*12,Paths!$E$214&lt;=C2293*12)),Paths!$H$214,0),"n.a."))</f>
        <v>0</v>
      </c>
      <c r="K2293" s="16">
        <f>IF(NOT(Paths!$C$214=1),0,IF(Paths!$P$214="Complete",IF(IF(Paths!$O$214=0,C2293=0,AND(C2293&gt;0,Paths!$O$214&gt;(C2293-1)*12,Paths!$O$214&lt;=C2293*12)),Paths!$N$214,0),"n.a."))</f>
        <v>0</v>
      </c>
      <c r="L2293" s="16">
        <f>IF(NOT(Paths!$C$214=1),0,IF(Paths!$P$214="Complete",IF(C2293=10,Paths!$I$214,0),"n.a."))</f>
        <v>0</v>
      </c>
      <c r="M2293" s="16">
        <f>IF(NOT(Paths!$C$214=1),0,IF(Paths!$P$214="Complete",IF(AND(Paths!$D$214="EV",Paths!$E$214&lt;120,Paths!$E$214+'Operating costs'!$B$65&gt;Paths!$E$214,Paths!$E$214+'Operating costs'!$B$65&lt;=120,IF(Paths!$E$214+'Operating costs'!$B$65=0,C2293=0,AND(C2293&gt;0,Paths!$E$214+'Operating costs'!$B$65&gt;(C2293-1)*12,Paths!$E$214+'Operating costs'!$B$65&lt;=C2293*12))),'Operating costs'!$B$64,0)+IF(AND('Operating costs'!$B$67&gt;0,'Operating costs'!$B$67&lt;=120,OR(Paths!$D$214="ICE",'Operating costs'!$B$67&lt;=Paths!$E$214),IF('Operating costs'!$B$67=0,C2293=0,AND(C2293&gt;0,'Operating costs'!$B$67&gt;(C2293-1)*12,'Operating costs'!$B$67&lt;=C2293*12))),'Operating costs'!$B$66,0),"n.a."))</f>
        <v>0</v>
      </c>
      <c r="N2293" s="16">
        <f>IF(NOT(Paths!$C$214=1),0,IF(Paths!$P$214="Complete",SUM(G2293:I2293)-J2293-K2293-L2293+M2293+IF(C2293=0,Paths!$F$214,0)+IF(IF(Paths!$E$214=0,C2293=0,AND(C2293&gt;0,Paths!$E$214&gt;(C2293-1)*12,Paths!$E$214&lt;=C2293*12)),VLOOKUP(A2293,'Fleet register'!$A$7:$S$106,16,FALSE),0),"n.a."))</f>
        <v>0</v>
      </c>
      <c r="O2293" s="16">
        <f>IF(NOT(Paths!$C$214=1),0,IF(Paths!$P$214="Complete",N2293-IF(C2293=0,Paths!$F$214,0),"n.a."))</f>
        <v>0</v>
      </c>
      <c r="P2293" s="16">
        <f>IF(NOT(Paths!$C$214=1),0,IF(Paths!$P$214="Complete",O2293+L2293,"n.a."))</f>
        <v>0</v>
      </c>
      <c r="Q2293" s="16">
        <f>IF(NOT(Paths!$C$214=1),0,IF(Paths!$P$214="Complete",N2293*(1+'Operating costs'!$B$54)^-C2293,"n.a."))</f>
        <v>0</v>
      </c>
      <c r="R2293" s="16">
        <f>IF(NOT(Paths!$C$214=1),0,IF(Paths!$P$214="Complete",IF(AND(C2293=0,Paths!$E$214=0),I2293-J2293-K2293+VLOOKUP(A2293,'Fleet register'!$A$7:$S$106,15,FALSE)+VLOOKUP(A2293,'Fleet register'!$A$7:$S$106,16,FALSE),0),"n.a."))</f>
        <v>0</v>
      </c>
      <c r="S2293" s="1">
        <f>IF(NOT(Paths!$C$214=1),0,IF(Paths!$P$214="Complete",IF(C2293=0,0,Paths!$S$214*Paths!$R$214),"n.a."))</f>
        <v>0</v>
      </c>
      <c r="T2293" s="1">
        <f>IF(NOT(Paths!$C$214=1),0,IF(Paths!$P$214="Complete",IF(C2293=0,0,VLOOKUP(A2293,'Fleet register'!$A$7:$S$106,9,FALSE)*Paths!$R$214),"n.a."))</f>
        <v>0</v>
      </c>
    </row>
    <row r="2294" spans="1:20" ht="24" customHeight="1">
      <c r="A2294" s="1" t="str">
        <f>Paths!$A$214</f>
        <v>T052</v>
      </c>
      <c r="B2294" s="1">
        <f>Paths!$B$214</f>
        <v>3</v>
      </c>
      <c r="C2294" s="1">
        <v>10</v>
      </c>
      <c r="D2294" s="1">
        <v>214</v>
      </c>
      <c r="E2294" s="1">
        <f>IF(OR(Paths!$C$214=0,C2294=0),0,MAX(0,MIN(C2294*12,Paths!$E$214)-(C2294-1)*12))</f>
        <v>0</v>
      </c>
      <c r="F2294" s="1">
        <f>IF(OR(Paths!$C$214=0,C2294=0),0,12-E2294)</f>
        <v>0</v>
      </c>
      <c r="G2294" s="16">
        <f>IF(NOT(Paths!$C$214=1),0,IF(Paths!$P$214="Complete",E2294/12*(Paths!$J$214*(1+'Operating costs'!$B$51)^MAX(0,C2294-1)+Paths!$K$214*(1+'Operating costs'!$B$53)^MAX(0,C2294-1)),"n.a."))</f>
        <v>0</v>
      </c>
      <c r="H2294" s="16">
        <f>IF(NOT(Paths!$C$214=1),0,IF(Paths!$P$214="Complete",F2294/12*(Paths!$L$214*(1+IF(Paths!$D$214="EV",'Operating costs'!$B$52,'Operating costs'!$B$51))^MAX(0,C2294-1)+Paths!$M$214*(1+'Operating costs'!$B$53)^MAX(0,C2294-1)),"n.a."))</f>
        <v>0</v>
      </c>
      <c r="I2294" s="16">
        <f>IF(NOT(Paths!$C$214=1),0,IF(Paths!$P$214="Complete",IF(IF(Paths!$E$214=0,C2294=0,AND(C2294&gt;0,Paths!$E$214&gt;(C2294-1)*12,Paths!$E$214&lt;=C2294*12)),Paths!$G$214,0),"n.a."))</f>
        <v>0</v>
      </c>
      <c r="J2294" s="16">
        <f>IF(NOT(Paths!$C$214=1),0,IF(Paths!$P$214="Complete",IF(IF(Paths!$E$214=0,C2294=0,AND(C2294&gt;0,Paths!$E$214&gt;(C2294-1)*12,Paths!$E$214&lt;=C2294*12)),Paths!$H$214,0),"n.a."))</f>
        <v>0</v>
      </c>
      <c r="K2294" s="16">
        <f>IF(NOT(Paths!$C$214=1),0,IF(Paths!$P$214="Complete",IF(IF(Paths!$O$214=0,C2294=0,AND(C2294&gt;0,Paths!$O$214&gt;(C2294-1)*12,Paths!$O$214&lt;=C2294*12)),Paths!$N$214,0),"n.a."))</f>
        <v>0</v>
      </c>
      <c r="L2294" s="16">
        <f>IF(NOT(Paths!$C$214=1),0,IF(Paths!$P$214="Complete",IF(C2294=10,Paths!$I$214,0),"n.a."))</f>
        <v>0</v>
      </c>
      <c r="M2294" s="16">
        <f>IF(NOT(Paths!$C$214=1),0,IF(Paths!$P$214="Complete",IF(AND(Paths!$D$214="EV",Paths!$E$214&lt;120,Paths!$E$214+'Operating costs'!$B$65&gt;Paths!$E$214,Paths!$E$214+'Operating costs'!$B$65&lt;=120,IF(Paths!$E$214+'Operating costs'!$B$65=0,C2294=0,AND(C2294&gt;0,Paths!$E$214+'Operating costs'!$B$65&gt;(C2294-1)*12,Paths!$E$214+'Operating costs'!$B$65&lt;=C2294*12))),'Operating costs'!$B$64,0)+IF(AND('Operating costs'!$B$67&gt;0,'Operating costs'!$B$67&lt;=120,OR(Paths!$D$214="ICE",'Operating costs'!$B$67&lt;=Paths!$E$214),IF('Operating costs'!$B$67=0,C2294=0,AND(C2294&gt;0,'Operating costs'!$B$67&gt;(C2294-1)*12,'Operating costs'!$B$67&lt;=C2294*12))),'Operating costs'!$B$66,0),"n.a."))</f>
        <v>0</v>
      </c>
      <c r="N2294" s="16">
        <f>IF(NOT(Paths!$C$214=1),0,IF(Paths!$P$214="Complete",SUM(G2294:I2294)-J2294-K2294-L2294+M2294+IF(C2294=0,Paths!$F$214,0)+IF(IF(Paths!$E$214=0,C2294=0,AND(C2294&gt;0,Paths!$E$214&gt;(C2294-1)*12,Paths!$E$214&lt;=C2294*12)),VLOOKUP(A2294,'Fleet register'!$A$7:$S$106,16,FALSE),0),"n.a."))</f>
        <v>0</v>
      </c>
      <c r="O2294" s="16">
        <f>IF(NOT(Paths!$C$214=1),0,IF(Paths!$P$214="Complete",N2294-IF(C2294=0,Paths!$F$214,0),"n.a."))</f>
        <v>0</v>
      </c>
      <c r="P2294" s="16">
        <f>IF(NOT(Paths!$C$214=1),0,IF(Paths!$P$214="Complete",O2294+L2294,"n.a."))</f>
        <v>0</v>
      </c>
      <c r="Q2294" s="16">
        <f>IF(NOT(Paths!$C$214=1),0,IF(Paths!$P$214="Complete",N2294*(1+'Operating costs'!$B$54)^-C2294,"n.a."))</f>
        <v>0</v>
      </c>
      <c r="R2294" s="16">
        <f>IF(NOT(Paths!$C$214=1),0,IF(Paths!$P$214="Complete",IF(AND(C2294=0,Paths!$E$214=0),I2294-J2294-K2294+VLOOKUP(A2294,'Fleet register'!$A$7:$S$106,15,FALSE)+VLOOKUP(A2294,'Fleet register'!$A$7:$S$106,16,FALSE),0),"n.a."))</f>
        <v>0</v>
      </c>
      <c r="S2294" s="1">
        <f>IF(NOT(Paths!$C$214=1),0,IF(Paths!$P$214="Complete",IF(C2294=0,0,Paths!$S$214*Paths!$R$214),"n.a."))</f>
        <v>0</v>
      </c>
      <c r="T2294" s="1">
        <f>IF(NOT(Paths!$C$214=1),0,IF(Paths!$P$214="Complete",IF(C2294=0,0,VLOOKUP(A2294,'Fleet register'!$A$7:$S$106,9,FALSE)*Paths!$R$214),"n.a."))</f>
        <v>0</v>
      </c>
    </row>
    <row r="2295" spans="1:20" ht="24" customHeight="1">
      <c r="A2295" s="1" t="str">
        <f>Paths!$A$215</f>
        <v>T053</v>
      </c>
      <c r="B2295" s="1">
        <f>Paths!$B$215</f>
        <v>0</v>
      </c>
      <c r="C2295" s="1">
        <v>0</v>
      </c>
      <c r="D2295" s="1">
        <v>215</v>
      </c>
      <c r="E2295" s="1">
        <f>IF(OR(Paths!$C$215=0,C2295=0),0,MAX(0,MIN(C2295*12,Paths!$E$215)-(C2295-1)*12))</f>
        <v>0</v>
      </c>
      <c r="F2295" s="1">
        <f>IF(OR(Paths!$C$215=0,C2295=0),0,12-E2295)</f>
        <v>0</v>
      </c>
      <c r="G2295" s="16">
        <f>IF(NOT(Paths!$C$215=1),0,IF(Paths!$P$215="Complete",E2295/12*(Paths!$J$215*(1+'Operating costs'!$B$51)^MAX(0,C2295-1)+Paths!$K$215*(1+'Operating costs'!$B$53)^MAX(0,C2295-1)),"n.a."))</f>
        <v>0</v>
      </c>
      <c r="H2295" s="16">
        <f>IF(NOT(Paths!$C$215=1),0,IF(Paths!$P$215="Complete",F2295/12*(Paths!$L$215*(1+IF(Paths!$D$215="EV",'Operating costs'!$B$52,'Operating costs'!$B$51))^MAX(0,C2295-1)+Paths!$M$215*(1+'Operating costs'!$B$53)^MAX(0,C2295-1)),"n.a."))</f>
        <v>0</v>
      </c>
      <c r="I2295" s="16">
        <f>IF(NOT(Paths!$C$215=1),0,IF(Paths!$P$215="Complete",IF(IF(Paths!$E$215=0,C2295=0,AND(C2295&gt;0,Paths!$E$215&gt;(C2295-1)*12,Paths!$E$215&lt;=C2295*12)),Paths!$G$215,0),"n.a."))</f>
        <v>0</v>
      </c>
      <c r="J2295" s="16">
        <f>IF(NOT(Paths!$C$215=1),0,IF(Paths!$P$215="Complete",IF(IF(Paths!$E$215=0,C2295=0,AND(C2295&gt;0,Paths!$E$215&gt;(C2295-1)*12,Paths!$E$215&lt;=C2295*12)),Paths!$H$215,0),"n.a."))</f>
        <v>0</v>
      </c>
      <c r="K2295" s="16">
        <f>IF(NOT(Paths!$C$215=1),0,IF(Paths!$P$215="Complete",IF(IF(Paths!$O$215=0,C2295=0,AND(C2295&gt;0,Paths!$O$215&gt;(C2295-1)*12,Paths!$O$215&lt;=C2295*12)),Paths!$N$215,0),"n.a."))</f>
        <v>0</v>
      </c>
      <c r="L2295" s="16">
        <f>IF(NOT(Paths!$C$215=1),0,IF(Paths!$P$215="Complete",IF(C2295=10,Paths!$I$215,0),"n.a."))</f>
        <v>0</v>
      </c>
      <c r="M2295" s="16">
        <f>IF(NOT(Paths!$C$215=1),0,IF(Paths!$P$215="Complete",IF(AND(Paths!$D$215="EV",Paths!$E$215&lt;120,Paths!$E$215+'Operating costs'!$B$65&gt;Paths!$E$215,Paths!$E$215+'Operating costs'!$B$65&lt;=120,IF(Paths!$E$215+'Operating costs'!$B$65=0,C2295=0,AND(C2295&gt;0,Paths!$E$215+'Operating costs'!$B$65&gt;(C2295-1)*12,Paths!$E$215+'Operating costs'!$B$65&lt;=C2295*12))),'Operating costs'!$B$64,0)+IF(AND('Operating costs'!$B$67&gt;0,'Operating costs'!$B$67&lt;=120,OR(Paths!$D$215="ICE",'Operating costs'!$B$67&lt;=Paths!$E$215),IF('Operating costs'!$B$67=0,C2295=0,AND(C2295&gt;0,'Operating costs'!$B$67&gt;(C2295-1)*12,'Operating costs'!$B$67&lt;=C2295*12))),'Operating costs'!$B$66,0),"n.a."))</f>
        <v>0</v>
      </c>
      <c r="N2295" s="16">
        <f>IF(NOT(Paths!$C$215=1),0,IF(Paths!$P$215="Complete",SUM(G2295:I2295)-J2295-K2295-L2295+M2295+IF(C2295=0,Paths!$F$215,0)+IF(IF(Paths!$E$215=0,C2295=0,AND(C2295&gt;0,Paths!$E$215&gt;(C2295-1)*12,Paths!$E$215&lt;=C2295*12)),VLOOKUP(A2295,'Fleet register'!$A$7:$S$106,16,FALSE),0),"n.a."))</f>
        <v>0</v>
      </c>
      <c r="O2295" s="16">
        <f>IF(NOT(Paths!$C$215=1),0,IF(Paths!$P$215="Complete",N2295-IF(C2295=0,Paths!$F$215,0),"n.a."))</f>
        <v>0</v>
      </c>
      <c r="P2295" s="16">
        <f>IF(NOT(Paths!$C$215=1),0,IF(Paths!$P$215="Complete",O2295+L2295,"n.a."))</f>
        <v>0</v>
      </c>
      <c r="Q2295" s="16">
        <f>IF(NOT(Paths!$C$215=1),0,IF(Paths!$P$215="Complete",N2295*(1+'Operating costs'!$B$54)^-C2295,"n.a."))</f>
        <v>0</v>
      </c>
      <c r="R2295" s="16">
        <f>IF(NOT(Paths!$C$215=1),0,IF(Paths!$P$215="Complete",IF(AND(C2295=0,Paths!$E$215=0),I2295-J2295-K2295+VLOOKUP(A2295,'Fleet register'!$A$7:$S$106,15,FALSE)+VLOOKUP(A2295,'Fleet register'!$A$7:$S$106,16,FALSE),0),"n.a."))</f>
        <v>0</v>
      </c>
      <c r="S2295" s="1">
        <f>IF(NOT(Paths!$C$215=1),0,IF(Paths!$P$215="Complete",IF(C2295=0,0,Paths!$S$215*Paths!$R$215),"n.a."))</f>
        <v>0</v>
      </c>
      <c r="T2295" s="1">
        <f>IF(NOT(Paths!$C$215=1),0,IF(Paths!$P$215="Complete",IF(C2295=0,0,VLOOKUP(A2295,'Fleet register'!$A$7:$S$106,9,FALSE)*Paths!$R$215),"n.a."))</f>
        <v>0</v>
      </c>
    </row>
    <row r="2296" spans="1:20" ht="24" customHeight="1">
      <c r="A2296" s="1" t="str">
        <f>Paths!$A$215</f>
        <v>T053</v>
      </c>
      <c r="B2296" s="1">
        <f>Paths!$B$215</f>
        <v>0</v>
      </c>
      <c r="C2296" s="1">
        <v>1</v>
      </c>
      <c r="D2296" s="1">
        <v>215</v>
      </c>
      <c r="E2296" s="1">
        <f>IF(OR(Paths!$C$215=0,C2296=0),0,MAX(0,MIN(C2296*12,Paths!$E$215)-(C2296-1)*12))</f>
        <v>0</v>
      </c>
      <c r="F2296" s="1">
        <f>IF(OR(Paths!$C$215=0,C2296=0),0,12-E2296)</f>
        <v>0</v>
      </c>
      <c r="G2296" s="16">
        <f>IF(NOT(Paths!$C$215=1),0,IF(Paths!$P$215="Complete",E2296/12*(Paths!$J$215*(1+'Operating costs'!$B$51)^MAX(0,C2296-1)+Paths!$K$215*(1+'Operating costs'!$B$53)^MAX(0,C2296-1)),"n.a."))</f>
        <v>0</v>
      </c>
      <c r="H2296" s="16">
        <f>IF(NOT(Paths!$C$215=1),0,IF(Paths!$P$215="Complete",F2296/12*(Paths!$L$215*(1+IF(Paths!$D$215="EV",'Operating costs'!$B$52,'Operating costs'!$B$51))^MAX(0,C2296-1)+Paths!$M$215*(1+'Operating costs'!$B$53)^MAX(0,C2296-1)),"n.a."))</f>
        <v>0</v>
      </c>
      <c r="I2296" s="16">
        <f>IF(NOT(Paths!$C$215=1),0,IF(Paths!$P$215="Complete",IF(IF(Paths!$E$215=0,C2296=0,AND(C2296&gt;0,Paths!$E$215&gt;(C2296-1)*12,Paths!$E$215&lt;=C2296*12)),Paths!$G$215,0),"n.a."))</f>
        <v>0</v>
      </c>
      <c r="J2296" s="16">
        <f>IF(NOT(Paths!$C$215=1),0,IF(Paths!$P$215="Complete",IF(IF(Paths!$E$215=0,C2296=0,AND(C2296&gt;0,Paths!$E$215&gt;(C2296-1)*12,Paths!$E$215&lt;=C2296*12)),Paths!$H$215,0),"n.a."))</f>
        <v>0</v>
      </c>
      <c r="K2296" s="16">
        <f>IF(NOT(Paths!$C$215=1),0,IF(Paths!$P$215="Complete",IF(IF(Paths!$O$215=0,C2296=0,AND(C2296&gt;0,Paths!$O$215&gt;(C2296-1)*12,Paths!$O$215&lt;=C2296*12)),Paths!$N$215,0),"n.a."))</f>
        <v>0</v>
      </c>
      <c r="L2296" s="16">
        <f>IF(NOT(Paths!$C$215=1),0,IF(Paths!$P$215="Complete",IF(C2296=10,Paths!$I$215,0),"n.a."))</f>
        <v>0</v>
      </c>
      <c r="M2296" s="16">
        <f>IF(NOT(Paths!$C$215=1),0,IF(Paths!$P$215="Complete",IF(AND(Paths!$D$215="EV",Paths!$E$215&lt;120,Paths!$E$215+'Operating costs'!$B$65&gt;Paths!$E$215,Paths!$E$215+'Operating costs'!$B$65&lt;=120,IF(Paths!$E$215+'Operating costs'!$B$65=0,C2296=0,AND(C2296&gt;0,Paths!$E$215+'Operating costs'!$B$65&gt;(C2296-1)*12,Paths!$E$215+'Operating costs'!$B$65&lt;=C2296*12))),'Operating costs'!$B$64,0)+IF(AND('Operating costs'!$B$67&gt;0,'Operating costs'!$B$67&lt;=120,OR(Paths!$D$215="ICE",'Operating costs'!$B$67&lt;=Paths!$E$215),IF('Operating costs'!$B$67=0,C2296=0,AND(C2296&gt;0,'Operating costs'!$B$67&gt;(C2296-1)*12,'Operating costs'!$B$67&lt;=C2296*12))),'Operating costs'!$B$66,0),"n.a."))</f>
        <v>0</v>
      </c>
      <c r="N2296" s="16">
        <f>IF(NOT(Paths!$C$215=1),0,IF(Paths!$P$215="Complete",SUM(G2296:I2296)-J2296-K2296-L2296+M2296+IF(C2296=0,Paths!$F$215,0)+IF(IF(Paths!$E$215=0,C2296=0,AND(C2296&gt;0,Paths!$E$215&gt;(C2296-1)*12,Paths!$E$215&lt;=C2296*12)),VLOOKUP(A2296,'Fleet register'!$A$7:$S$106,16,FALSE),0),"n.a."))</f>
        <v>0</v>
      </c>
      <c r="O2296" s="16">
        <f>IF(NOT(Paths!$C$215=1),0,IF(Paths!$P$215="Complete",N2296-IF(C2296=0,Paths!$F$215,0),"n.a."))</f>
        <v>0</v>
      </c>
      <c r="P2296" s="16">
        <f>IF(NOT(Paths!$C$215=1),0,IF(Paths!$P$215="Complete",O2296+L2296,"n.a."))</f>
        <v>0</v>
      </c>
      <c r="Q2296" s="16">
        <f>IF(NOT(Paths!$C$215=1),0,IF(Paths!$P$215="Complete",N2296*(1+'Operating costs'!$B$54)^-C2296,"n.a."))</f>
        <v>0</v>
      </c>
      <c r="R2296" s="16">
        <f>IF(NOT(Paths!$C$215=1),0,IF(Paths!$P$215="Complete",IF(AND(C2296=0,Paths!$E$215=0),I2296-J2296-K2296+VLOOKUP(A2296,'Fleet register'!$A$7:$S$106,15,FALSE)+VLOOKUP(A2296,'Fleet register'!$A$7:$S$106,16,FALSE),0),"n.a."))</f>
        <v>0</v>
      </c>
      <c r="S2296" s="1">
        <f>IF(NOT(Paths!$C$215=1),0,IF(Paths!$P$215="Complete",IF(C2296=0,0,Paths!$S$215*Paths!$R$215),"n.a."))</f>
        <v>0</v>
      </c>
      <c r="T2296" s="1">
        <f>IF(NOT(Paths!$C$215=1),0,IF(Paths!$P$215="Complete",IF(C2296=0,0,VLOOKUP(A2296,'Fleet register'!$A$7:$S$106,9,FALSE)*Paths!$R$215),"n.a."))</f>
        <v>0</v>
      </c>
    </row>
    <row r="2297" spans="1:20" ht="24" customHeight="1">
      <c r="A2297" s="1" t="str">
        <f>Paths!$A$215</f>
        <v>T053</v>
      </c>
      <c r="B2297" s="1">
        <f>Paths!$B$215</f>
        <v>0</v>
      </c>
      <c r="C2297" s="1">
        <v>2</v>
      </c>
      <c r="D2297" s="1">
        <v>215</v>
      </c>
      <c r="E2297" s="1">
        <f>IF(OR(Paths!$C$215=0,C2297=0),0,MAX(0,MIN(C2297*12,Paths!$E$215)-(C2297-1)*12))</f>
        <v>0</v>
      </c>
      <c r="F2297" s="1">
        <f>IF(OR(Paths!$C$215=0,C2297=0),0,12-E2297)</f>
        <v>0</v>
      </c>
      <c r="G2297" s="16">
        <f>IF(NOT(Paths!$C$215=1),0,IF(Paths!$P$215="Complete",E2297/12*(Paths!$J$215*(1+'Operating costs'!$B$51)^MAX(0,C2297-1)+Paths!$K$215*(1+'Operating costs'!$B$53)^MAX(0,C2297-1)),"n.a."))</f>
        <v>0</v>
      </c>
      <c r="H2297" s="16">
        <f>IF(NOT(Paths!$C$215=1),0,IF(Paths!$P$215="Complete",F2297/12*(Paths!$L$215*(1+IF(Paths!$D$215="EV",'Operating costs'!$B$52,'Operating costs'!$B$51))^MAX(0,C2297-1)+Paths!$M$215*(1+'Operating costs'!$B$53)^MAX(0,C2297-1)),"n.a."))</f>
        <v>0</v>
      </c>
      <c r="I2297" s="16">
        <f>IF(NOT(Paths!$C$215=1),0,IF(Paths!$P$215="Complete",IF(IF(Paths!$E$215=0,C2297=0,AND(C2297&gt;0,Paths!$E$215&gt;(C2297-1)*12,Paths!$E$215&lt;=C2297*12)),Paths!$G$215,0),"n.a."))</f>
        <v>0</v>
      </c>
      <c r="J2297" s="16">
        <f>IF(NOT(Paths!$C$215=1),0,IF(Paths!$P$215="Complete",IF(IF(Paths!$E$215=0,C2297=0,AND(C2297&gt;0,Paths!$E$215&gt;(C2297-1)*12,Paths!$E$215&lt;=C2297*12)),Paths!$H$215,0),"n.a."))</f>
        <v>0</v>
      </c>
      <c r="K2297" s="16">
        <f>IF(NOT(Paths!$C$215=1),0,IF(Paths!$P$215="Complete",IF(IF(Paths!$O$215=0,C2297=0,AND(C2297&gt;0,Paths!$O$215&gt;(C2297-1)*12,Paths!$O$215&lt;=C2297*12)),Paths!$N$215,0),"n.a."))</f>
        <v>0</v>
      </c>
      <c r="L2297" s="16">
        <f>IF(NOT(Paths!$C$215=1),0,IF(Paths!$P$215="Complete",IF(C2297=10,Paths!$I$215,0),"n.a."))</f>
        <v>0</v>
      </c>
      <c r="M2297" s="16">
        <f>IF(NOT(Paths!$C$215=1),0,IF(Paths!$P$215="Complete",IF(AND(Paths!$D$215="EV",Paths!$E$215&lt;120,Paths!$E$215+'Operating costs'!$B$65&gt;Paths!$E$215,Paths!$E$215+'Operating costs'!$B$65&lt;=120,IF(Paths!$E$215+'Operating costs'!$B$65=0,C2297=0,AND(C2297&gt;0,Paths!$E$215+'Operating costs'!$B$65&gt;(C2297-1)*12,Paths!$E$215+'Operating costs'!$B$65&lt;=C2297*12))),'Operating costs'!$B$64,0)+IF(AND('Operating costs'!$B$67&gt;0,'Operating costs'!$B$67&lt;=120,OR(Paths!$D$215="ICE",'Operating costs'!$B$67&lt;=Paths!$E$215),IF('Operating costs'!$B$67=0,C2297=0,AND(C2297&gt;0,'Operating costs'!$B$67&gt;(C2297-1)*12,'Operating costs'!$B$67&lt;=C2297*12))),'Operating costs'!$B$66,0),"n.a."))</f>
        <v>0</v>
      </c>
      <c r="N2297" s="16">
        <f>IF(NOT(Paths!$C$215=1),0,IF(Paths!$P$215="Complete",SUM(G2297:I2297)-J2297-K2297-L2297+M2297+IF(C2297=0,Paths!$F$215,0)+IF(IF(Paths!$E$215=0,C2297=0,AND(C2297&gt;0,Paths!$E$215&gt;(C2297-1)*12,Paths!$E$215&lt;=C2297*12)),VLOOKUP(A2297,'Fleet register'!$A$7:$S$106,16,FALSE),0),"n.a."))</f>
        <v>0</v>
      </c>
      <c r="O2297" s="16">
        <f>IF(NOT(Paths!$C$215=1),0,IF(Paths!$P$215="Complete",N2297-IF(C2297=0,Paths!$F$215,0),"n.a."))</f>
        <v>0</v>
      </c>
      <c r="P2297" s="16">
        <f>IF(NOT(Paths!$C$215=1),0,IF(Paths!$P$215="Complete",O2297+L2297,"n.a."))</f>
        <v>0</v>
      </c>
      <c r="Q2297" s="16">
        <f>IF(NOT(Paths!$C$215=1),0,IF(Paths!$P$215="Complete",N2297*(1+'Operating costs'!$B$54)^-C2297,"n.a."))</f>
        <v>0</v>
      </c>
      <c r="R2297" s="16">
        <f>IF(NOT(Paths!$C$215=1),0,IF(Paths!$P$215="Complete",IF(AND(C2297=0,Paths!$E$215=0),I2297-J2297-K2297+VLOOKUP(A2297,'Fleet register'!$A$7:$S$106,15,FALSE)+VLOOKUP(A2297,'Fleet register'!$A$7:$S$106,16,FALSE),0),"n.a."))</f>
        <v>0</v>
      </c>
      <c r="S2297" s="1">
        <f>IF(NOT(Paths!$C$215=1),0,IF(Paths!$P$215="Complete",IF(C2297=0,0,Paths!$S$215*Paths!$R$215),"n.a."))</f>
        <v>0</v>
      </c>
      <c r="T2297" s="1">
        <f>IF(NOT(Paths!$C$215=1),0,IF(Paths!$P$215="Complete",IF(C2297=0,0,VLOOKUP(A2297,'Fleet register'!$A$7:$S$106,9,FALSE)*Paths!$R$215),"n.a."))</f>
        <v>0</v>
      </c>
    </row>
    <row r="2298" spans="1:20" ht="24" customHeight="1">
      <c r="A2298" s="1" t="str">
        <f>Paths!$A$215</f>
        <v>T053</v>
      </c>
      <c r="B2298" s="1">
        <f>Paths!$B$215</f>
        <v>0</v>
      </c>
      <c r="C2298" s="1">
        <v>3</v>
      </c>
      <c r="D2298" s="1">
        <v>215</v>
      </c>
      <c r="E2298" s="1">
        <f>IF(OR(Paths!$C$215=0,C2298=0),0,MAX(0,MIN(C2298*12,Paths!$E$215)-(C2298-1)*12))</f>
        <v>0</v>
      </c>
      <c r="F2298" s="1">
        <f>IF(OR(Paths!$C$215=0,C2298=0),0,12-E2298)</f>
        <v>0</v>
      </c>
      <c r="G2298" s="16">
        <f>IF(NOT(Paths!$C$215=1),0,IF(Paths!$P$215="Complete",E2298/12*(Paths!$J$215*(1+'Operating costs'!$B$51)^MAX(0,C2298-1)+Paths!$K$215*(1+'Operating costs'!$B$53)^MAX(0,C2298-1)),"n.a."))</f>
        <v>0</v>
      </c>
      <c r="H2298" s="16">
        <f>IF(NOT(Paths!$C$215=1),0,IF(Paths!$P$215="Complete",F2298/12*(Paths!$L$215*(1+IF(Paths!$D$215="EV",'Operating costs'!$B$52,'Operating costs'!$B$51))^MAX(0,C2298-1)+Paths!$M$215*(1+'Operating costs'!$B$53)^MAX(0,C2298-1)),"n.a."))</f>
        <v>0</v>
      </c>
      <c r="I2298" s="16">
        <f>IF(NOT(Paths!$C$215=1),0,IF(Paths!$P$215="Complete",IF(IF(Paths!$E$215=0,C2298=0,AND(C2298&gt;0,Paths!$E$215&gt;(C2298-1)*12,Paths!$E$215&lt;=C2298*12)),Paths!$G$215,0),"n.a."))</f>
        <v>0</v>
      </c>
      <c r="J2298" s="16">
        <f>IF(NOT(Paths!$C$215=1),0,IF(Paths!$P$215="Complete",IF(IF(Paths!$E$215=0,C2298=0,AND(C2298&gt;0,Paths!$E$215&gt;(C2298-1)*12,Paths!$E$215&lt;=C2298*12)),Paths!$H$215,0),"n.a."))</f>
        <v>0</v>
      </c>
      <c r="K2298" s="16">
        <f>IF(NOT(Paths!$C$215=1),0,IF(Paths!$P$215="Complete",IF(IF(Paths!$O$215=0,C2298=0,AND(C2298&gt;0,Paths!$O$215&gt;(C2298-1)*12,Paths!$O$215&lt;=C2298*12)),Paths!$N$215,0),"n.a."))</f>
        <v>0</v>
      </c>
      <c r="L2298" s="16">
        <f>IF(NOT(Paths!$C$215=1),0,IF(Paths!$P$215="Complete",IF(C2298=10,Paths!$I$215,0),"n.a."))</f>
        <v>0</v>
      </c>
      <c r="M2298" s="16">
        <f>IF(NOT(Paths!$C$215=1),0,IF(Paths!$P$215="Complete",IF(AND(Paths!$D$215="EV",Paths!$E$215&lt;120,Paths!$E$215+'Operating costs'!$B$65&gt;Paths!$E$215,Paths!$E$215+'Operating costs'!$B$65&lt;=120,IF(Paths!$E$215+'Operating costs'!$B$65=0,C2298=0,AND(C2298&gt;0,Paths!$E$215+'Operating costs'!$B$65&gt;(C2298-1)*12,Paths!$E$215+'Operating costs'!$B$65&lt;=C2298*12))),'Operating costs'!$B$64,0)+IF(AND('Operating costs'!$B$67&gt;0,'Operating costs'!$B$67&lt;=120,OR(Paths!$D$215="ICE",'Operating costs'!$B$67&lt;=Paths!$E$215),IF('Operating costs'!$B$67=0,C2298=0,AND(C2298&gt;0,'Operating costs'!$B$67&gt;(C2298-1)*12,'Operating costs'!$B$67&lt;=C2298*12))),'Operating costs'!$B$66,0),"n.a."))</f>
        <v>0</v>
      </c>
      <c r="N2298" s="16">
        <f>IF(NOT(Paths!$C$215=1),0,IF(Paths!$P$215="Complete",SUM(G2298:I2298)-J2298-K2298-L2298+M2298+IF(C2298=0,Paths!$F$215,0)+IF(IF(Paths!$E$215=0,C2298=0,AND(C2298&gt;0,Paths!$E$215&gt;(C2298-1)*12,Paths!$E$215&lt;=C2298*12)),VLOOKUP(A2298,'Fleet register'!$A$7:$S$106,16,FALSE),0),"n.a."))</f>
        <v>0</v>
      </c>
      <c r="O2298" s="16">
        <f>IF(NOT(Paths!$C$215=1),0,IF(Paths!$P$215="Complete",N2298-IF(C2298=0,Paths!$F$215,0),"n.a."))</f>
        <v>0</v>
      </c>
      <c r="P2298" s="16">
        <f>IF(NOT(Paths!$C$215=1),0,IF(Paths!$P$215="Complete",O2298+L2298,"n.a."))</f>
        <v>0</v>
      </c>
      <c r="Q2298" s="16">
        <f>IF(NOT(Paths!$C$215=1),0,IF(Paths!$P$215="Complete",N2298*(1+'Operating costs'!$B$54)^-C2298,"n.a."))</f>
        <v>0</v>
      </c>
      <c r="R2298" s="16">
        <f>IF(NOT(Paths!$C$215=1),0,IF(Paths!$P$215="Complete",IF(AND(C2298=0,Paths!$E$215=0),I2298-J2298-K2298+VLOOKUP(A2298,'Fleet register'!$A$7:$S$106,15,FALSE)+VLOOKUP(A2298,'Fleet register'!$A$7:$S$106,16,FALSE),0),"n.a."))</f>
        <v>0</v>
      </c>
      <c r="S2298" s="1">
        <f>IF(NOT(Paths!$C$215=1),0,IF(Paths!$P$215="Complete",IF(C2298=0,0,Paths!$S$215*Paths!$R$215),"n.a."))</f>
        <v>0</v>
      </c>
      <c r="T2298" s="1">
        <f>IF(NOT(Paths!$C$215=1),0,IF(Paths!$P$215="Complete",IF(C2298=0,0,VLOOKUP(A2298,'Fleet register'!$A$7:$S$106,9,FALSE)*Paths!$R$215),"n.a."))</f>
        <v>0</v>
      </c>
    </row>
    <row r="2299" spans="1:20" ht="24" customHeight="1">
      <c r="A2299" s="1" t="str">
        <f>Paths!$A$215</f>
        <v>T053</v>
      </c>
      <c r="B2299" s="1">
        <f>Paths!$B$215</f>
        <v>0</v>
      </c>
      <c r="C2299" s="1">
        <v>4</v>
      </c>
      <c r="D2299" s="1">
        <v>215</v>
      </c>
      <c r="E2299" s="1">
        <f>IF(OR(Paths!$C$215=0,C2299=0),0,MAX(0,MIN(C2299*12,Paths!$E$215)-(C2299-1)*12))</f>
        <v>0</v>
      </c>
      <c r="F2299" s="1">
        <f>IF(OR(Paths!$C$215=0,C2299=0),0,12-E2299)</f>
        <v>0</v>
      </c>
      <c r="G2299" s="16">
        <f>IF(NOT(Paths!$C$215=1),0,IF(Paths!$P$215="Complete",E2299/12*(Paths!$J$215*(1+'Operating costs'!$B$51)^MAX(0,C2299-1)+Paths!$K$215*(1+'Operating costs'!$B$53)^MAX(0,C2299-1)),"n.a."))</f>
        <v>0</v>
      </c>
      <c r="H2299" s="16">
        <f>IF(NOT(Paths!$C$215=1),0,IF(Paths!$P$215="Complete",F2299/12*(Paths!$L$215*(1+IF(Paths!$D$215="EV",'Operating costs'!$B$52,'Operating costs'!$B$51))^MAX(0,C2299-1)+Paths!$M$215*(1+'Operating costs'!$B$53)^MAX(0,C2299-1)),"n.a."))</f>
        <v>0</v>
      </c>
      <c r="I2299" s="16">
        <f>IF(NOT(Paths!$C$215=1),0,IF(Paths!$P$215="Complete",IF(IF(Paths!$E$215=0,C2299=0,AND(C2299&gt;0,Paths!$E$215&gt;(C2299-1)*12,Paths!$E$215&lt;=C2299*12)),Paths!$G$215,0),"n.a."))</f>
        <v>0</v>
      </c>
      <c r="J2299" s="16">
        <f>IF(NOT(Paths!$C$215=1),0,IF(Paths!$P$215="Complete",IF(IF(Paths!$E$215=0,C2299=0,AND(C2299&gt;0,Paths!$E$215&gt;(C2299-1)*12,Paths!$E$215&lt;=C2299*12)),Paths!$H$215,0),"n.a."))</f>
        <v>0</v>
      </c>
      <c r="K2299" s="16">
        <f>IF(NOT(Paths!$C$215=1),0,IF(Paths!$P$215="Complete",IF(IF(Paths!$O$215=0,C2299=0,AND(C2299&gt;0,Paths!$O$215&gt;(C2299-1)*12,Paths!$O$215&lt;=C2299*12)),Paths!$N$215,0),"n.a."))</f>
        <v>0</v>
      </c>
      <c r="L2299" s="16">
        <f>IF(NOT(Paths!$C$215=1),0,IF(Paths!$P$215="Complete",IF(C2299=10,Paths!$I$215,0),"n.a."))</f>
        <v>0</v>
      </c>
      <c r="M2299" s="16">
        <f>IF(NOT(Paths!$C$215=1),0,IF(Paths!$P$215="Complete",IF(AND(Paths!$D$215="EV",Paths!$E$215&lt;120,Paths!$E$215+'Operating costs'!$B$65&gt;Paths!$E$215,Paths!$E$215+'Operating costs'!$B$65&lt;=120,IF(Paths!$E$215+'Operating costs'!$B$65=0,C2299=0,AND(C2299&gt;0,Paths!$E$215+'Operating costs'!$B$65&gt;(C2299-1)*12,Paths!$E$215+'Operating costs'!$B$65&lt;=C2299*12))),'Operating costs'!$B$64,0)+IF(AND('Operating costs'!$B$67&gt;0,'Operating costs'!$B$67&lt;=120,OR(Paths!$D$215="ICE",'Operating costs'!$B$67&lt;=Paths!$E$215),IF('Operating costs'!$B$67=0,C2299=0,AND(C2299&gt;0,'Operating costs'!$B$67&gt;(C2299-1)*12,'Operating costs'!$B$67&lt;=C2299*12))),'Operating costs'!$B$66,0),"n.a."))</f>
        <v>0</v>
      </c>
      <c r="N2299" s="16">
        <f>IF(NOT(Paths!$C$215=1),0,IF(Paths!$P$215="Complete",SUM(G2299:I2299)-J2299-K2299-L2299+M2299+IF(C2299=0,Paths!$F$215,0)+IF(IF(Paths!$E$215=0,C2299=0,AND(C2299&gt;0,Paths!$E$215&gt;(C2299-1)*12,Paths!$E$215&lt;=C2299*12)),VLOOKUP(A2299,'Fleet register'!$A$7:$S$106,16,FALSE),0),"n.a."))</f>
        <v>0</v>
      </c>
      <c r="O2299" s="16">
        <f>IF(NOT(Paths!$C$215=1),0,IF(Paths!$P$215="Complete",N2299-IF(C2299=0,Paths!$F$215,0),"n.a."))</f>
        <v>0</v>
      </c>
      <c r="P2299" s="16">
        <f>IF(NOT(Paths!$C$215=1),0,IF(Paths!$P$215="Complete",O2299+L2299,"n.a."))</f>
        <v>0</v>
      </c>
      <c r="Q2299" s="16">
        <f>IF(NOT(Paths!$C$215=1),0,IF(Paths!$P$215="Complete",N2299*(1+'Operating costs'!$B$54)^-C2299,"n.a."))</f>
        <v>0</v>
      </c>
      <c r="R2299" s="16">
        <f>IF(NOT(Paths!$C$215=1),0,IF(Paths!$P$215="Complete",IF(AND(C2299=0,Paths!$E$215=0),I2299-J2299-K2299+VLOOKUP(A2299,'Fleet register'!$A$7:$S$106,15,FALSE)+VLOOKUP(A2299,'Fleet register'!$A$7:$S$106,16,FALSE),0),"n.a."))</f>
        <v>0</v>
      </c>
      <c r="S2299" s="1">
        <f>IF(NOT(Paths!$C$215=1),0,IF(Paths!$P$215="Complete",IF(C2299=0,0,Paths!$S$215*Paths!$R$215),"n.a."))</f>
        <v>0</v>
      </c>
      <c r="T2299" s="1">
        <f>IF(NOT(Paths!$C$215=1),0,IF(Paths!$P$215="Complete",IF(C2299=0,0,VLOOKUP(A2299,'Fleet register'!$A$7:$S$106,9,FALSE)*Paths!$R$215),"n.a."))</f>
        <v>0</v>
      </c>
    </row>
    <row r="2300" spans="1:20" ht="24" customHeight="1">
      <c r="A2300" s="1" t="str">
        <f>Paths!$A$215</f>
        <v>T053</v>
      </c>
      <c r="B2300" s="1">
        <f>Paths!$B$215</f>
        <v>0</v>
      </c>
      <c r="C2300" s="1">
        <v>5</v>
      </c>
      <c r="D2300" s="1">
        <v>215</v>
      </c>
      <c r="E2300" s="1">
        <f>IF(OR(Paths!$C$215=0,C2300=0),0,MAX(0,MIN(C2300*12,Paths!$E$215)-(C2300-1)*12))</f>
        <v>0</v>
      </c>
      <c r="F2300" s="1">
        <f>IF(OR(Paths!$C$215=0,C2300=0),0,12-E2300)</f>
        <v>0</v>
      </c>
      <c r="G2300" s="16">
        <f>IF(NOT(Paths!$C$215=1),0,IF(Paths!$P$215="Complete",E2300/12*(Paths!$J$215*(1+'Operating costs'!$B$51)^MAX(0,C2300-1)+Paths!$K$215*(1+'Operating costs'!$B$53)^MAX(0,C2300-1)),"n.a."))</f>
        <v>0</v>
      </c>
      <c r="H2300" s="16">
        <f>IF(NOT(Paths!$C$215=1),0,IF(Paths!$P$215="Complete",F2300/12*(Paths!$L$215*(1+IF(Paths!$D$215="EV",'Operating costs'!$B$52,'Operating costs'!$B$51))^MAX(0,C2300-1)+Paths!$M$215*(1+'Operating costs'!$B$53)^MAX(0,C2300-1)),"n.a."))</f>
        <v>0</v>
      </c>
      <c r="I2300" s="16">
        <f>IF(NOT(Paths!$C$215=1),0,IF(Paths!$P$215="Complete",IF(IF(Paths!$E$215=0,C2300=0,AND(C2300&gt;0,Paths!$E$215&gt;(C2300-1)*12,Paths!$E$215&lt;=C2300*12)),Paths!$G$215,0),"n.a."))</f>
        <v>0</v>
      </c>
      <c r="J2300" s="16">
        <f>IF(NOT(Paths!$C$215=1),0,IF(Paths!$P$215="Complete",IF(IF(Paths!$E$215=0,C2300=0,AND(C2300&gt;0,Paths!$E$215&gt;(C2300-1)*12,Paths!$E$215&lt;=C2300*12)),Paths!$H$215,0),"n.a."))</f>
        <v>0</v>
      </c>
      <c r="K2300" s="16">
        <f>IF(NOT(Paths!$C$215=1),0,IF(Paths!$P$215="Complete",IF(IF(Paths!$O$215=0,C2300=0,AND(C2300&gt;0,Paths!$O$215&gt;(C2300-1)*12,Paths!$O$215&lt;=C2300*12)),Paths!$N$215,0),"n.a."))</f>
        <v>0</v>
      </c>
      <c r="L2300" s="16">
        <f>IF(NOT(Paths!$C$215=1),0,IF(Paths!$P$215="Complete",IF(C2300=10,Paths!$I$215,0),"n.a."))</f>
        <v>0</v>
      </c>
      <c r="M2300" s="16">
        <f>IF(NOT(Paths!$C$215=1),0,IF(Paths!$P$215="Complete",IF(AND(Paths!$D$215="EV",Paths!$E$215&lt;120,Paths!$E$215+'Operating costs'!$B$65&gt;Paths!$E$215,Paths!$E$215+'Operating costs'!$B$65&lt;=120,IF(Paths!$E$215+'Operating costs'!$B$65=0,C2300=0,AND(C2300&gt;0,Paths!$E$215+'Operating costs'!$B$65&gt;(C2300-1)*12,Paths!$E$215+'Operating costs'!$B$65&lt;=C2300*12))),'Operating costs'!$B$64,0)+IF(AND('Operating costs'!$B$67&gt;0,'Operating costs'!$B$67&lt;=120,OR(Paths!$D$215="ICE",'Operating costs'!$B$67&lt;=Paths!$E$215),IF('Operating costs'!$B$67=0,C2300=0,AND(C2300&gt;0,'Operating costs'!$B$67&gt;(C2300-1)*12,'Operating costs'!$B$67&lt;=C2300*12))),'Operating costs'!$B$66,0),"n.a."))</f>
        <v>0</v>
      </c>
      <c r="N2300" s="16">
        <f>IF(NOT(Paths!$C$215=1),0,IF(Paths!$P$215="Complete",SUM(G2300:I2300)-J2300-K2300-L2300+M2300+IF(C2300=0,Paths!$F$215,0)+IF(IF(Paths!$E$215=0,C2300=0,AND(C2300&gt;0,Paths!$E$215&gt;(C2300-1)*12,Paths!$E$215&lt;=C2300*12)),VLOOKUP(A2300,'Fleet register'!$A$7:$S$106,16,FALSE),0),"n.a."))</f>
        <v>0</v>
      </c>
      <c r="O2300" s="16">
        <f>IF(NOT(Paths!$C$215=1),0,IF(Paths!$P$215="Complete",N2300-IF(C2300=0,Paths!$F$215,0),"n.a."))</f>
        <v>0</v>
      </c>
      <c r="P2300" s="16">
        <f>IF(NOT(Paths!$C$215=1),0,IF(Paths!$P$215="Complete",O2300+L2300,"n.a."))</f>
        <v>0</v>
      </c>
      <c r="Q2300" s="16">
        <f>IF(NOT(Paths!$C$215=1),0,IF(Paths!$P$215="Complete",N2300*(1+'Operating costs'!$B$54)^-C2300,"n.a."))</f>
        <v>0</v>
      </c>
      <c r="R2300" s="16">
        <f>IF(NOT(Paths!$C$215=1),0,IF(Paths!$P$215="Complete",IF(AND(C2300=0,Paths!$E$215=0),I2300-J2300-K2300+VLOOKUP(A2300,'Fleet register'!$A$7:$S$106,15,FALSE)+VLOOKUP(A2300,'Fleet register'!$A$7:$S$106,16,FALSE),0),"n.a."))</f>
        <v>0</v>
      </c>
      <c r="S2300" s="1">
        <f>IF(NOT(Paths!$C$215=1),0,IF(Paths!$P$215="Complete",IF(C2300=0,0,Paths!$S$215*Paths!$R$215),"n.a."))</f>
        <v>0</v>
      </c>
      <c r="T2300" s="1">
        <f>IF(NOT(Paths!$C$215=1),0,IF(Paths!$P$215="Complete",IF(C2300=0,0,VLOOKUP(A2300,'Fleet register'!$A$7:$S$106,9,FALSE)*Paths!$R$215),"n.a."))</f>
        <v>0</v>
      </c>
    </row>
    <row r="2301" spans="1:20" ht="24" customHeight="1">
      <c r="A2301" s="1" t="str">
        <f>Paths!$A$215</f>
        <v>T053</v>
      </c>
      <c r="B2301" s="1">
        <f>Paths!$B$215</f>
        <v>0</v>
      </c>
      <c r="C2301" s="1">
        <v>6</v>
      </c>
      <c r="D2301" s="1">
        <v>215</v>
      </c>
      <c r="E2301" s="1">
        <f>IF(OR(Paths!$C$215=0,C2301=0),0,MAX(0,MIN(C2301*12,Paths!$E$215)-(C2301-1)*12))</f>
        <v>0</v>
      </c>
      <c r="F2301" s="1">
        <f>IF(OR(Paths!$C$215=0,C2301=0),0,12-E2301)</f>
        <v>0</v>
      </c>
      <c r="G2301" s="16">
        <f>IF(NOT(Paths!$C$215=1),0,IF(Paths!$P$215="Complete",E2301/12*(Paths!$J$215*(1+'Operating costs'!$B$51)^MAX(0,C2301-1)+Paths!$K$215*(1+'Operating costs'!$B$53)^MAX(0,C2301-1)),"n.a."))</f>
        <v>0</v>
      </c>
      <c r="H2301" s="16">
        <f>IF(NOT(Paths!$C$215=1),0,IF(Paths!$P$215="Complete",F2301/12*(Paths!$L$215*(1+IF(Paths!$D$215="EV",'Operating costs'!$B$52,'Operating costs'!$B$51))^MAX(0,C2301-1)+Paths!$M$215*(1+'Operating costs'!$B$53)^MAX(0,C2301-1)),"n.a."))</f>
        <v>0</v>
      </c>
      <c r="I2301" s="16">
        <f>IF(NOT(Paths!$C$215=1),0,IF(Paths!$P$215="Complete",IF(IF(Paths!$E$215=0,C2301=0,AND(C2301&gt;0,Paths!$E$215&gt;(C2301-1)*12,Paths!$E$215&lt;=C2301*12)),Paths!$G$215,0),"n.a."))</f>
        <v>0</v>
      </c>
      <c r="J2301" s="16">
        <f>IF(NOT(Paths!$C$215=1),0,IF(Paths!$P$215="Complete",IF(IF(Paths!$E$215=0,C2301=0,AND(C2301&gt;0,Paths!$E$215&gt;(C2301-1)*12,Paths!$E$215&lt;=C2301*12)),Paths!$H$215,0),"n.a."))</f>
        <v>0</v>
      </c>
      <c r="K2301" s="16">
        <f>IF(NOT(Paths!$C$215=1),0,IF(Paths!$P$215="Complete",IF(IF(Paths!$O$215=0,C2301=0,AND(C2301&gt;0,Paths!$O$215&gt;(C2301-1)*12,Paths!$O$215&lt;=C2301*12)),Paths!$N$215,0),"n.a."))</f>
        <v>0</v>
      </c>
      <c r="L2301" s="16">
        <f>IF(NOT(Paths!$C$215=1),0,IF(Paths!$P$215="Complete",IF(C2301=10,Paths!$I$215,0),"n.a."))</f>
        <v>0</v>
      </c>
      <c r="M2301" s="16">
        <f>IF(NOT(Paths!$C$215=1),0,IF(Paths!$P$215="Complete",IF(AND(Paths!$D$215="EV",Paths!$E$215&lt;120,Paths!$E$215+'Operating costs'!$B$65&gt;Paths!$E$215,Paths!$E$215+'Operating costs'!$B$65&lt;=120,IF(Paths!$E$215+'Operating costs'!$B$65=0,C2301=0,AND(C2301&gt;0,Paths!$E$215+'Operating costs'!$B$65&gt;(C2301-1)*12,Paths!$E$215+'Operating costs'!$B$65&lt;=C2301*12))),'Operating costs'!$B$64,0)+IF(AND('Operating costs'!$B$67&gt;0,'Operating costs'!$B$67&lt;=120,OR(Paths!$D$215="ICE",'Operating costs'!$B$67&lt;=Paths!$E$215),IF('Operating costs'!$B$67=0,C2301=0,AND(C2301&gt;0,'Operating costs'!$B$67&gt;(C2301-1)*12,'Operating costs'!$B$67&lt;=C2301*12))),'Operating costs'!$B$66,0),"n.a."))</f>
        <v>0</v>
      </c>
      <c r="N2301" s="16">
        <f>IF(NOT(Paths!$C$215=1),0,IF(Paths!$P$215="Complete",SUM(G2301:I2301)-J2301-K2301-L2301+M2301+IF(C2301=0,Paths!$F$215,0)+IF(IF(Paths!$E$215=0,C2301=0,AND(C2301&gt;0,Paths!$E$215&gt;(C2301-1)*12,Paths!$E$215&lt;=C2301*12)),VLOOKUP(A2301,'Fleet register'!$A$7:$S$106,16,FALSE),0),"n.a."))</f>
        <v>0</v>
      </c>
      <c r="O2301" s="16">
        <f>IF(NOT(Paths!$C$215=1),0,IF(Paths!$P$215="Complete",N2301-IF(C2301=0,Paths!$F$215,0),"n.a."))</f>
        <v>0</v>
      </c>
      <c r="P2301" s="16">
        <f>IF(NOT(Paths!$C$215=1),0,IF(Paths!$P$215="Complete",O2301+L2301,"n.a."))</f>
        <v>0</v>
      </c>
      <c r="Q2301" s="16">
        <f>IF(NOT(Paths!$C$215=1),0,IF(Paths!$P$215="Complete",N2301*(1+'Operating costs'!$B$54)^-C2301,"n.a."))</f>
        <v>0</v>
      </c>
      <c r="R2301" s="16">
        <f>IF(NOT(Paths!$C$215=1),0,IF(Paths!$P$215="Complete",IF(AND(C2301=0,Paths!$E$215=0),I2301-J2301-K2301+VLOOKUP(A2301,'Fleet register'!$A$7:$S$106,15,FALSE)+VLOOKUP(A2301,'Fleet register'!$A$7:$S$106,16,FALSE),0),"n.a."))</f>
        <v>0</v>
      </c>
      <c r="S2301" s="1">
        <f>IF(NOT(Paths!$C$215=1),0,IF(Paths!$P$215="Complete",IF(C2301=0,0,Paths!$S$215*Paths!$R$215),"n.a."))</f>
        <v>0</v>
      </c>
      <c r="T2301" s="1">
        <f>IF(NOT(Paths!$C$215=1),0,IF(Paths!$P$215="Complete",IF(C2301=0,0,VLOOKUP(A2301,'Fleet register'!$A$7:$S$106,9,FALSE)*Paths!$R$215),"n.a."))</f>
        <v>0</v>
      </c>
    </row>
    <row r="2302" spans="1:20" ht="24" customHeight="1">
      <c r="A2302" s="1" t="str">
        <f>Paths!$A$215</f>
        <v>T053</v>
      </c>
      <c r="B2302" s="1">
        <f>Paths!$B$215</f>
        <v>0</v>
      </c>
      <c r="C2302" s="1">
        <v>7</v>
      </c>
      <c r="D2302" s="1">
        <v>215</v>
      </c>
      <c r="E2302" s="1">
        <f>IF(OR(Paths!$C$215=0,C2302=0),0,MAX(0,MIN(C2302*12,Paths!$E$215)-(C2302-1)*12))</f>
        <v>0</v>
      </c>
      <c r="F2302" s="1">
        <f>IF(OR(Paths!$C$215=0,C2302=0),0,12-E2302)</f>
        <v>0</v>
      </c>
      <c r="G2302" s="16">
        <f>IF(NOT(Paths!$C$215=1),0,IF(Paths!$P$215="Complete",E2302/12*(Paths!$J$215*(1+'Operating costs'!$B$51)^MAX(0,C2302-1)+Paths!$K$215*(1+'Operating costs'!$B$53)^MAX(0,C2302-1)),"n.a."))</f>
        <v>0</v>
      </c>
      <c r="H2302" s="16">
        <f>IF(NOT(Paths!$C$215=1),0,IF(Paths!$P$215="Complete",F2302/12*(Paths!$L$215*(1+IF(Paths!$D$215="EV",'Operating costs'!$B$52,'Operating costs'!$B$51))^MAX(0,C2302-1)+Paths!$M$215*(1+'Operating costs'!$B$53)^MAX(0,C2302-1)),"n.a."))</f>
        <v>0</v>
      </c>
      <c r="I2302" s="16">
        <f>IF(NOT(Paths!$C$215=1),0,IF(Paths!$P$215="Complete",IF(IF(Paths!$E$215=0,C2302=0,AND(C2302&gt;0,Paths!$E$215&gt;(C2302-1)*12,Paths!$E$215&lt;=C2302*12)),Paths!$G$215,0),"n.a."))</f>
        <v>0</v>
      </c>
      <c r="J2302" s="16">
        <f>IF(NOT(Paths!$C$215=1),0,IF(Paths!$P$215="Complete",IF(IF(Paths!$E$215=0,C2302=0,AND(C2302&gt;0,Paths!$E$215&gt;(C2302-1)*12,Paths!$E$215&lt;=C2302*12)),Paths!$H$215,0),"n.a."))</f>
        <v>0</v>
      </c>
      <c r="K2302" s="16">
        <f>IF(NOT(Paths!$C$215=1),0,IF(Paths!$P$215="Complete",IF(IF(Paths!$O$215=0,C2302=0,AND(C2302&gt;0,Paths!$O$215&gt;(C2302-1)*12,Paths!$O$215&lt;=C2302*12)),Paths!$N$215,0),"n.a."))</f>
        <v>0</v>
      </c>
      <c r="L2302" s="16">
        <f>IF(NOT(Paths!$C$215=1),0,IF(Paths!$P$215="Complete",IF(C2302=10,Paths!$I$215,0),"n.a."))</f>
        <v>0</v>
      </c>
      <c r="M2302" s="16">
        <f>IF(NOT(Paths!$C$215=1),0,IF(Paths!$P$215="Complete",IF(AND(Paths!$D$215="EV",Paths!$E$215&lt;120,Paths!$E$215+'Operating costs'!$B$65&gt;Paths!$E$215,Paths!$E$215+'Operating costs'!$B$65&lt;=120,IF(Paths!$E$215+'Operating costs'!$B$65=0,C2302=0,AND(C2302&gt;0,Paths!$E$215+'Operating costs'!$B$65&gt;(C2302-1)*12,Paths!$E$215+'Operating costs'!$B$65&lt;=C2302*12))),'Operating costs'!$B$64,0)+IF(AND('Operating costs'!$B$67&gt;0,'Operating costs'!$B$67&lt;=120,OR(Paths!$D$215="ICE",'Operating costs'!$B$67&lt;=Paths!$E$215),IF('Operating costs'!$B$67=0,C2302=0,AND(C2302&gt;0,'Operating costs'!$B$67&gt;(C2302-1)*12,'Operating costs'!$B$67&lt;=C2302*12))),'Operating costs'!$B$66,0),"n.a."))</f>
        <v>0</v>
      </c>
      <c r="N2302" s="16">
        <f>IF(NOT(Paths!$C$215=1),0,IF(Paths!$P$215="Complete",SUM(G2302:I2302)-J2302-K2302-L2302+M2302+IF(C2302=0,Paths!$F$215,0)+IF(IF(Paths!$E$215=0,C2302=0,AND(C2302&gt;0,Paths!$E$215&gt;(C2302-1)*12,Paths!$E$215&lt;=C2302*12)),VLOOKUP(A2302,'Fleet register'!$A$7:$S$106,16,FALSE),0),"n.a."))</f>
        <v>0</v>
      </c>
      <c r="O2302" s="16">
        <f>IF(NOT(Paths!$C$215=1),0,IF(Paths!$P$215="Complete",N2302-IF(C2302=0,Paths!$F$215,0),"n.a."))</f>
        <v>0</v>
      </c>
      <c r="P2302" s="16">
        <f>IF(NOT(Paths!$C$215=1),0,IF(Paths!$P$215="Complete",O2302+L2302,"n.a."))</f>
        <v>0</v>
      </c>
      <c r="Q2302" s="16">
        <f>IF(NOT(Paths!$C$215=1),0,IF(Paths!$P$215="Complete",N2302*(1+'Operating costs'!$B$54)^-C2302,"n.a."))</f>
        <v>0</v>
      </c>
      <c r="R2302" s="16">
        <f>IF(NOT(Paths!$C$215=1),0,IF(Paths!$P$215="Complete",IF(AND(C2302=0,Paths!$E$215=0),I2302-J2302-K2302+VLOOKUP(A2302,'Fleet register'!$A$7:$S$106,15,FALSE)+VLOOKUP(A2302,'Fleet register'!$A$7:$S$106,16,FALSE),0),"n.a."))</f>
        <v>0</v>
      </c>
      <c r="S2302" s="1">
        <f>IF(NOT(Paths!$C$215=1),0,IF(Paths!$P$215="Complete",IF(C2302=0,0,Paths!$S$215*Paths!$R$215),"n.a."))</f>
        <v>0</v>
      </c>
      <c r="T2302" s="1">
        <f>IF(NOT(Paths!$C$215=1),0,IF(Paths!$P$215="Complete",IF(C2302=0,0,VLOOKUP(A2302,'Fleet register'!$A$7:$S$106,9,FALSE)*Paths!$R$215),"n.a."))</f>
        <v>0</v>
      </c>
    </row>
    <row r="2303" spans="1:20" ht="24" customHeight="1">
      <c r="A2303" s="1" t="str">
        <f>Paths!$A$215</f>
        <v>T053</v>
      </c>
      <c r="B2303" s="1">
        <f>Paths!$B$215</f>
        <v>0</v>
      </c>
      <c r="C2303" s="1">
        <v>8</v>
      </c>
      <c r="D2303" s="1">
        <v>215</v>
      </c>
      <c r="E2303" s="1">
        <f>IF(OR(Paths!$C$215=0,C2303=0),0,MAX(0,MIN(C2303*12,Paths!$E$215)-(C2303-1)*12))</f>
        <v>0</v>
      </c>
      <c r="F2303" s="1">
        <f>IF(OR(Paths!$C$215=0,C2303=0),0,12-E2303)</f>
        <v>0</v>
      </c>
      <c r="G2303" s="16">
        <f>IF(NOT(Paths!$C$215=1),0,IF(Paths!$P$215="Complete",E2303/12*(Paths!$J$215*(1+'Operating costs'!$B$51)^MAX(0,C2303-1)+Paths!$K$215*(1+'Operating costs'!$B$53)^MAX(0,C2303-1)),"n.a."))</f>
        <v>0</v>
      </c>
      <c r="H2303" s="16">
        <f>IF(NOT(Paths!$C$215=1),0,IF(Paths!$P$215="Complete",F2303/12*(Paths!$L$215*(1+IF(Paths!$D$215="EV",'Operating costs'!$B$52,'Operating costs'!$B$51))^MAX(0,C2303-1)+Paths!$M$215*(1+'Operating costs'!$B$53)^MAX(0,C2303-1)),"n.a."))</f>
        <v>0</v>
      </c>
      <c r="I2303" s="16">
        <f>IF(NOT(Paths!$C$215=1),0,IF(Paths!$P$215="Complete",IF(IF(Paths!$E$215=0,C2303=0,AND(C2303&gt;0,Paths!$E$215&gt;(C2303-1)*12,Paths!$E$215&lt;=C2303*12)),Paths!$G$215,0),"n.a."))</f>
        <v>0</v>
      </c>
      <c r="J2303" s="16">
        <f>IF(NOT(Paths!$C$215=1),0,IF(Paths!$P$215="Complete",IF(IF(Paths!$E$215=0,C2303=0,AND(C2303&gt;0,Paths!$E$215&gt;(C2303-1)*12,Paths!$E$215&lt;=C2303*12)),Paths!$H$215,0),"n.a."))</f>
        <v>0</v>
      </c>
      <c r="K2303" s="16">
        <f>IF(NOT(Paths!$C$215=1),0,IF(Paths!$P$215="Complete",IF(IF(Paths!$O$215=0,C2303=0,AND(C2303&gt;0,Paths!$O$215&gt;(C2303-1)*12,Paths!$O$215&lt;=C2303*12)),Paths!$N$215,0),"n.a."))</f>
        <v>0</v>
      </c>
      <c r="L2303" s="16">
        <f>IF(NOT(Paths!$C$215=1),0,IF(Paths!$P$215="Complete",IF(C2303=10,Paths!$I$215,0),"n.a."))</f>
        <v>0</v>
      </c>
      <c r="M2303" s="16">
        <f>IF(NOT(Paths!$C$215=1),0,IF(Paths!$P$215="Complete",IF(AND(Paths!$D$215="EV",Paths!$E$215&lt;120,Paths!$E$215+'Operating costs'!$B$65&gt;Paths!$E$215,Paths!$E$215+'Operating costs'!$B$65&lt;=120,IF(Paths!$E$215+'Operating costs'!$B$65=0,C2303=0,AND(C2303&gt;0,Paths!$E$215+'Operating costs'!$B$65&gt;(C2303-1)*12,Paths!$E$215+'Operating costs'!$B$65&lt;=C2303*12))),'Operating costs'!$B$64,0)+IF(AND('Operating costs'!$B$67&gt;0,'Operating costs'!$B$67&lt;=120,OR(Paths!$D$215="ICE",'Operating costs'!$B$67&lt;=Paths!$E$215),IF('Operating costs'!$B$67=0,C2303=0,AND(C2303&gt;0,'Operating costs'!$B$67&gt;(C2303-1)*12,'Operating costs'!$B$67&lt;=C2303*12))),'Operating costs'!$B$66,0),"n.a."))</f>
        <v>0</v>
      </c>
      <c r="N2303" s="16">
        <f>IF(NOT(Paths!$C$215=1),0,IF(Paths!$P$215="Complete",SUM(G2303:I2303)-J2303-K2303-L2303+M2303+IF(C2303=0,Paths!$F$215,0)+IF(IF(Paths!$E$215=0,C2303=0,AND(C2303&gt;0,Paths!$E$215&gt;(C2303-1)*12,Paths!$E$215&lt;=C2303*12)),VLOOKUP(A2303,'Fleet register'!$A$7:$S$106,16,FALSE),0),"n.a."))</f>
        <v>0</v>
      </c>
      <c r="O2303" s="16">
        <f>IF(NOT(Paths!$C$215=1),0,IF(Paths!$P$215="Complete",N2303-IF(C2303=0,Paths!$F$215,0),"n.a."))</f>
        <v>0</v>
      </c>
      <c r="P2303" s="16">
        <f>IF(NOT(Paths!$C$215=1),0,IF(Paths!$P$215="Complete",O2303+L2303,"n.a."))</f>
        <v>0</v>
      </c>
      <c r="Q2303" s="16">
        <f>IF(NOT(Paths!$C$215=1),0,IF(Paths!$P$215="Complete",N2303*(1+'Operating costs'!$B$54)^-C2303,"n.a."))</f>
        <v>0</v>
      </c>
      <c r="R2303" s="16">
        <f>IF(NOT(Paths!$C$215=1),0,IF(Paths!$P$215="Complete",IF(AND(C2303=0,Paths!$E$215=0),I2303-J2303-K2303+VLOOKUP(A2303,'Fleet register'!$A$7:$S$106,15,FALSE)+VLOOKUP(A2303,'Fleet register'!$A$7:$S$106,16,FALSE),0),"n.a."))</f>
        <v>0</v>
      </c>
      <c r="S2303" s="1">
        <f>IF(NOT(Paths!$C$215=1),0,IF(Paths!$P$215="Complete",IF(C2303=0,0,Paths!$S$215*Paths!$R$215),"n.a."))</f>
        <v>0</v>
      </c>
      <c r="T2303" s="1">
        <f>IF(NOT(Paths!$C$215=1),0,IF(Paths!$P$215="Complete",IF(C2303=0,0,VLOOKUP(A2303,'Fleet register'!$A$7:$S$106,9,FALSE)*Paths!$R$215),"n.a."))</f>
        <v>0</v>
      </c>
    </row>
    <row r="2304" spans="1:20" ht="24" customHeight="1">
      <c r="A2304" s="1" t="str">
        <f>Paths!$A$215</f>
        <v>T053</v>
      </c>
      <c r="B2304" s="1">
        <f>Paths!$B$215</f>
        <v>0</v>
      </c>
      <c r="C2304" s="1">
        <v>9</v>
      </c>
      <c r="D2304" s="1">
        <v>215</v>
      </c>
      <c r="E2304" s="1">
        <f>IF(OR(Paths!$C$215=0,C2304=0),0,MAX(0,MIN(C2304*12,Paths!$E$215)-(C2304-1)*12))</f>
        <v>0</v>
      </c>
      <c r="F2304" s="1">
        <f>IF(OR(Paths!$C$215=0,C2304=0),0,12-E2304)</f>
        <v>0</v>
      </c>
      <c r="G2304" s="16">
        <f>IF(NOT(Paths!$C$215=1),0,IF(Paths!$P$215="Complete",E2304/12*(Paths!$J$215*(1+'Operating costs'!$B$51)^MAX(0,C2304-1)+Paths!$K$215*(1+'Operating costs'!$B$53)^MAX(0,C2304-1)),"n.a."))</f>
        <v>0</v>
      </c>
      <c r="H2304" s="16">
        <f>IF(NOT(Paths!$C$215=1),0,IF(Paths!$P$215="Complete",F2304/12*(Paths!$L$215*(1+IF(Paths!$D$215="EV",'Operating costs'!$B$52,'Operating costs'!$B$51))^MAX(0,C2304-1)+Paths!$M$215*(1+'Operating costs'!$B$53)^MAX(0,C2304-1)),"n.a."))</f>
        <v>0</v>
      </c>
      <c r="I2304" s="16">
        <f>IF(NOT(Paths!$C$215=1),0,IF(Paths!$P$215="Complete",IF(IF(Paths!$E$215=0,C2304=0,AND(C2304&gt;0,Paths!$E$215&gt;(C2304-1)*12,Paths!$E$215&lt;=C2304*12)),Paths!$G$215,0),"n.a."))</f>
        <v>0</v>
      </c>
      <c r="J2304" s="16">
        <f>IF(NOT(Paths!$C$215=1),0,IF(Paths!$P$215="Complete",IF(IF(Paths!$E$215=0,C2304=0,AND(C2304&gt;0,Paths!$E$215&gt;(C2304-1)*12,Paths!$E$215&lt;=C2304*12)),Paths!$H$215,0),"n.a."))</f>
        <v>0</v>
      </c>
      <c r="K2304" s="16">
        <f>IF(NOT(Paths!$C$215=1),0,IF(Paths!$P$215="Complete",IF(IF(Paths!$O$215=0,C2304=0,AND(C2304&gt;0,Paths!$O$215&gt;(C2304-1)*12,Paths!$O$215&lt;=C2304*12)),Paths!$N$215,0),"n.a."))</f>
        <v>0</v>
      </c>
      <c r="L2304" s="16">
        <f>IF(NOT(Paths!$C$215=1),0,IF(Paths!$P$215="Complete",IF(C2304=10,Paths!$I$215,0),"n.a."))</f>
        <v>0</v>
      </c>
      <c r="M2304" s="16">
        <f>IF(NOT(Paths!$C$215=1),0,IF(Paths!$P$215="Complete",IF(AND(Paths!$D$215="EV",Paths!$E$215&lt;120,Paths!$E$215+'Operating costs'!$B$65&gt;Paths!$E$215,Paths!$E$215+'Operating costs'!$B$65&lt;=120,IF(Paths!$E$215+'Operating costs'!$B$65=0,C2304=0,AND(C2304&gt;0,Paths!$E$215+'Operating costs'!$B$65&gt;(C2304-1)*12,Paths!$E$215+'Operating costs'!$B$65&lt;=C2304*12))),'Operating costs'!$B$64,0)+IF(AND('Operating costs'!$B$67&gt;0,'Operating costs'!$B$67&lt;=120,OR(Paths!$D$215="ICE",'Operating costs'!$B$67&lt;=Paths!$E$215),IF('Operating costs'!$B$67=0,C2304=0,AND(C2304&gt;0,'Operating costs'!$B$67&gt;(C2304-1)*12,'Operating costs'!$B$67&lt;=C2304*12))),'Operating costs'!$B$66,0),"n.a."))</f>
        <v>0</v>
      </c>
      <c r="N2304" s="16">
        <f>IF(NOT(Paths!$C$215=1),0,IF(Paths!$P$215="Complete",SUM(G2304:I2304)-J2304-K2304-L2304+M2304+IF(C2304=0,Paths!$F$215,0)+IF(IF(Paths!$E$215=0,C2304=0,AND(C2304&gt;0,Paths!$E$215&gt;(C2304-1)*12,Paths!$E$215&lt;=C2304*12)),VLOOKUP(A2304,'Fleet register'!$A$7:$S$106,16,FALSE),0),"n.a."))</f>
        <v>0</v>
      </c>
      <c r="O2304" s="16">
        <f>IF(NOT(Paths!$C$215=1),0,IF(Paths!$P$215="Complete",N2304-IF(C2304=0,Paths!$F$215,0),"n.a."))</f>
        <v>0</v>
      </c>
      <c r="P2304" s="16">
        <f>IF(NOT(Paths!$C$215=1),0,IF(Paths!$P$215="Complete",O2304+L2304,"n.a."))</f>
        <v>0</v>
      </c>
      <c r="Q2304" s="16">
        <f>IF(NOT(Paths!$C$215=1),0,IF(Paths!$P$215="Complete",N2304*(1+'Operating costs'!$B$54)^-C2304,"n.a."))</f>
        <v>0</v>
      </c>
      <c r="R2304" s="16">
        <f>IF(NOT(Paths!$C$215=1),0,IF(Paths!$P$215="Complete",IF(AND(C2304=0,Paths!$E$215=0),I2304-J2304-K2304+VLOOKUP(A2304,'Fleet register'!$A$7:$S$106,15,FALSE)+VLOOKUP(A2304,'Fleet register'!$A$7:$S$106,16,FALSE),0),"n.a."))</f>
        <v>0</v>
      </c>
      <c r="S2304" s="1">
        <f>IF(NOT(Paths!$C$215=1),0,IF(Paths!$P$215="Complete",IF(C2304=0,0,Paths!$S$215*Paths!$R$215),"n.a."))</f>
        <v>0</v>
      </c>
      <c r="T2304" s="1">
        <f>IF(NOT(Paths!$C$215=1),0,IF(Paths!$P$215="Complete",IF(C2304=0,0,VLOOKUP(A2304,'Fleet register'!$A$7:$S$106,9,FALSE)*Paths!$R$215),"n.a."))</f>
        <v>0</v>
      </c>
    </row>
    <row r="2305" spans="1:20" ht="24" customHeight="1">
      <c r="A2305" s="1" t="str">
        <f>Paths!$A$215</f>
        <v>T053</v>
      </c>
      <c r="B2305" s="1">
        <f>Paths!$B$215</f>
        <v>0</v>
      </c>
      <c r="C2305" s="1">
        <v>10</v>
      </c>
      <c r="D2305" s="1">
        <v>215</v>
      </c>
      <c r="E2305" s="1">
        <f>IF(OR(Paths!$C$215=0,C2305=0),0,MAX(0,MIN(C2305*12,Paths!$E$215)-(C2305-1)*12))</f>
        <v>0</v>
      </c>
      <c r="F2305" s="1">
        <f>IF(OR(Paths!$C$215=0,C2305=0),0,12-E2305)</f>
        <v>0</v>
      </c>
      <c r="G2305" s="16">
        <f>IF(NOT(Paths!$C$215=1),0,IF(Paths!$P$215="Complete",E2305/12*(Paths!$J$215*(1+'Operating costs'!$B$51)^MAX(0,C2305-1)+Paths!$K$215*(1+'Operating costs'!$B$53)^MAX(0,C2305-1)),"n.a."))</f>
        <v>0</v>
      </c>
      <c r="H2305" s="16">
        <f>IF(NOT(Paths!$C$215=1),0,IF(Paths!$P$215="Complete",F2305/12*(Paths!$L$215*(1+IF(Paths!$D$215="EV",'Operating costs'!$B$52,'Operating costs'!$B$51))^MAX(0,C2305-1)+Paths!$M$215*(1+'Operating costs'!$B$53)^MAX(0,C2305-1)),"n.a."))</f>
        <v>0</v>
      </c>
      <c r="I2305" s="16">
        <f>IF(NOT(Paths!$C$215=1),0,IF(Paths!$P$215="Complete",IF(IF(Paths!$E$215=0,C2305=0,AND(C2305&gt;0,Paths!$E$215&gt;(C2305-1)*12,Paths!$E$215&lt;=C2305*12)),Paths!$G$215,0),"n.a."))</f>
        <v>0</v>
      </c>
      <c r="J2305" s="16">
        <f>IF(NOT(Paths!$C$215=1),0,IF(Paths!$P$215="Complete",IF(IF(Paths!$E$215=0,C2305=0,AND(C2305&gt;0,Paths!$E$215&gt;(C2305-1)*12,Paths!$E$215&lt;=C2305*12)),Paths!$H$215,0),"n.a."))</f>
        <v>0</v>
      </c>
      <c r="K2305" s="16">
        <f>IF(NOT(Paths!$C$215=1),0,IF(Paths!$P$215="Complete",IF(IF(Paths!$O$215=0,C2305=0,AND(C2305&gt;0,Paths!$O$215&gt;(C2305-1)*12,Paths!$O$215&lt;=C2305*12)),Paths!$N$215,0),"n.a."))</f>
        <v>0</v>
      </c>
      <c r="L2305" s="16">
        <f>IF(NOT(Paths!$C$215=1),0,IF(Paths!$P$215="Complete",IF(C2305=10,Paths!$I$215,0),"n.a."))</f>
        <v>0</v>
      </c>
      <c r="M2305" s="16">
        <f>IF(NOT(Paths!$C$215=1),0,IF(Paths!$P$215="Complete",IF(AND(Paths!$D$215="EV",Paths!$E$215&lt;120,Paths!$E$215+'Operating costs'!$B$65&gt;Paths!$E$215,Paths!$E$215+'Operating costs'!$B$65&lt;=120,IF(Paths!$E$215+'Operating costs'!$B$65=0,C2305=0,AND(C2305&gt;0,Paths!$E$215+'Operating costs'!$B$65&gt;(C2305-1)*12,Paths!$E$215+'Operating costs'!$B$65&lt;=C2305*12))),'Operating costs'!$B$64,0)+IF(AND('Operating costs'!$B$67&gt;0,'Operating costs'!$B$67&lt;=120,OR(Paths!$D$215="ICE",'Operating costs'!$B$67&lt;=Paths!$E$215),IF('Operating costs'!$B$67=0,C2305=0,AND(C2305&gt;0,'Operating costs'!$B$67&gt;(C2305-1)*12,'Operating costs'!$B$67&lt;=C2305*12))),'Operating costs'!$B$66,0),"n.a."))</f>
        <v>0</v>
      </c>
      <c r="N2305" s="16">
        <f>IF(NOT(Paths!$C$215=1),0,IF(Paths!$P$215="Complete",SUM(G2305:I2305)-J2305-K2305-L2305+M2305+IF(C2305=0,Paths!$F$215,0)+IF(IF(Paths!$E$215=0,C2305=0,AND(C2305&gt;0,Paths!$E$215&gt;(C2305-1)*12,Paths!$E$215&lt;=C2305*12)),VLOOKUP(A2305,'Fleet register'!$A$7:$S$106,16,FALSE),0),"n.a."))</f>
        <v>0</v>
      </c>
      <c r="O2305" s="16">
        <f>IF(NOT(Paths!$C$215=1),0,IF(Paths!$P$215="Complete",N2305-IF(C2305=0,Paths!$F$215,0),"n.a."))</f>
        <v>0</v>
      </c>
      <c r="P2305" s="16">
        <f>IF(NOT(Paths!$C$215=1),0,IF(Paths!$P$215="Complete",O2305+L2305,"n.a."))</f>
        <v>0</v>
      </c>
      <c r="Q2305" s="16">
        <f>IF(NOT(Paths!$C$215=1),0,IF(Paths!$P$215="Complete",N2305*(1+'Operating costs'!$B$54)^-C2305,"n.a."))</f>
        <v>0</v>
      </c>
      <c r="R2305" s="16">
        <f>IF(NOT(Paths!$C$215=1),0,IF(Paths!$P$215="Complete",IF(AND(C2305=0,Paths!$E$215=0),I2305-J2305-K2305+VLOOKUP(A2305,'Fleet register'!$A$7:$S$106,15,FALSE)+VLOOKUP(A2305,'Fleet register'!$A$7:$S$106,16,FALSE),0),"n.a."))</f>
        <v>0</v>
      </c>
      <c r="S2305" s="1">
        <f>IF(NOT(Paths!$C$215=1),0,IF(Paths!$P$215="Complete",IF(C2305=0,0,Paths!$S$215*Paths!$R$215),"n.a."))</f>
        <v>0</v>
      </c>
      <c r="T2305" s="1">
        <f>IF(NOT(Paths!$C$215=1),0,IF(Paths!$P$215="Complete",IF(C2305=0,0,VLOOKUP(A2305,'Fleet register'!$A$7:$S$106,9,FALSE)*Paths!$R$215),"n.a."))</f>
        <v>0</v>
      </c>
    </row>
    <row r="2306" spans="1:20" ht="24" customHeight="1">
      <c r="A2306" s="1" t="str">
        <f>Paths!$A$216</f>
        <v>T053</v>
      </c>
      <c r="B2306" s="1">
        <f>Paths!$B$216</f>
        <v>1</v>
      </c>
      <c r="C2306" s="1">
        <v>0</v>
      </c>
      <c r="D2306" s="1">
        <v>216</v>
      </c>
      <c r="E2306" s="1">
        <f>IF(OR(Paths!$C$216=0,C2306=0),0,MAX(0,MIN(C2306*12,Paths!$E$216)-(C2306-1)*12))</f>
        <v>0</v>
      </c>
      <c r="F2306" s="1">
        <f>IF(OR(Paths!$C$216=0,C2306=0),0,12-E2306)</f>
        <v>0</v>
      </c>
      <c r="G2306" s="16">
        <f>IF(NOT(Paths!$C$216=1),0,IF(Paths!$P$216="Complete",E2306/12*(Paths!$J$216*(1+'Operating costs'!$B$51)^MAX(0,C2306-1)+Paths!$K$216*(1+'Operating costs'!$B$53)^MAX(0,C2306-1)),"n.a."))</f>
        <v>0</v>
      </c>
      <c r="H2306" s="16">
        <f>IF(NOT(Paths!$C$216=1),0,IF(Paths!$P$216="Complete",F2306/12*(Paths!$L$216*(1+IF(Paths!$D$216="EV",'Operating costs'!$B$52,'Operating costs'!$B$51))^MAX(0,C2306-1)+Paths!$M$216*(1+'Operating costs'!$B$53)^MAX(0,C2306-1)),"n.a."))</f>
        <v>0</v>
      </c>
      <c r="I2306" s="16">
        <f>IF(NOT(Paths!$C$216=1),0,IF(Paths!$P$216="Complete",IF(IF(Paths!$E$216=0,C2306=0,AND(C2306&gt;0,Paths!$E$216&gt;(C2306-1)*12,Paths!$E$216&lt;=C2306*12)),Paths!$G$216,0),"n.a."))</f>
        <v>0</v>
      </c>
      <c r="J2306" s="16">
        <f>IF(NOT(Paths!$C$216=1),0,IF(Paths!$P$216="Complete",IF(IF(Paths!$E$216=0,C2306=0,AND(C2306&gt;0,Paths!$E$216&gt;(C2306-1)*12,Paths!$E$216&lt;=C2306*12)),Paths!$H$216,0),"n.a."))</f>
        <v>0</v>
      </c>
      <c r="K2306" s="16">
        <f>IF(NOT(Paths!$C$216=1),0,IF(Paths!$P$216="Complete",IF(IF(Paths!$O$216=0,C2306=0,AND(C2306&gt;0,Paths!$O$216&gt;(C2306-1)*12,Paths!$O$216&lt;=C2306*12)),Paths!$N$216,0),"n.a."))</f>
        <v>0</v>
      </c>
      <c r="L2306" s="16">
        <f>IF(NOT(Paths!$C$216=1),0,IF(Paths!$P$216="Complete",IF(C2306=10,Paths!$I$216,0),"n.a."))</f>
        <v>0</v>
      </c>
      <c r="M2306" s="16">
        <f>IF(NOT(Paths!$C$216=1),0,IF(Paths!$P$216="Complete",IF(AND(Paths!$D$216="EV",Paths!$E$216&lt;120,Paths!$E$216+'Operating costs'!$B$65&gt;Paths!$E$216,Paths!$E$216+'Operating costs'!$B$65&lt;=120,IF(Paths!$E$216+'Operating costs'!$B$65=0,C2306=0,AND(C2306&gt;0,Paths!$E$216+'Operating costs'!$B$65&gt;(C2306-1)*12,Paths!$E$216+'Operating costs'!$B$65&lt;=C2306*12))),'Operating costs'!$B$64,0)+IF(AND('Operating costs'!$B$67&gt;0,'Operating costs'!$B$67&lt;=120,OR(Paths!$D$216="ICE",'Operating costs'!$B$67&lt;=Paths!$E$216),IF('Operating costs'!$B$67=0,C2306=0,AND(C2306&gt;0,'Operating costs'!$B$67&gt;(C2306-1)*12,'Operating costs'!$B$67&lt;=C2306*12))),'Operating costs'!$B$66,0),"n.a."))</f>
        <v>0</v>
      </c>
      <c r="N2306" s="16">
        <f>IF(NOT(Paths!$C$216=1),0,IF(Paths!$P$216="Complete",SUM(G2306:I2306)-J2306-K2306-L2306+M2306+IF(C2306=0,Paths!$F$216,0)+IF(IF(Paths!$E$216=0,C2306=0,AND(C2306&gt;0,Paths!$E$216&gt;(C2306-1)*12,Paths!$E$216&lt;=C2306*12)),VLOOKUP(A2306,'Fleet register'!$A$7:$S$106,16,FALSE),0),"n.a."))</f>
        <v>0</v>
      </c>
      <c r="O2306" s="16">
        <f>IF(NOT(Paths!$C$216=1),0,IF(Paths!$P$216="Complete",N2306-IF(C2306=0,Paths!$F$216,0),"n.a."))</f>
        <v>0</v>
      </c>
      <c r="P2306" s="16">
        <f>IF(NOT(Paths!$C$216=1),0,IF(Paths!$P$216="Complete",O2306+L2306,"n.a."))</f>
        <v>0</v>
      </c>
      <c r="Q2306" s="16">
        <f>IF(NOT(Paths!$C$216=1),0,IF(Paths!$P$216="Complete",N2306*(1+'Operating costs'!$B$54)^-C2306,"n.a."))</f>
        <v>0</v>
      </c>
      <c r="R2306" s="16">
        <f>IF(NOT(Paths!$C$216=1),0,IF(Paths!$P$216="Complete",IF(AND(C2306=0,Paths!$E$216=0),I2306-J2306-K2306+VLOOKUP(A2306,'Fleet register'!$A$7:$S$106,15,FALSE)+VLOOKUP(A2306,'Fleet register'!$A$7:$S$106,16,FALSE),0),"n.a."))</f>
        <v>0</v>
      </c>
      <c r="S2306" s="1">
        <f>IF(NOT(Paths!$C$216=1),0,IF(Paths!$P$216="Complete",IF(C2306=0,0,Paths!$S$216*Paths!$R$216),"n.a."))</f>
        <v>0</v>
      </c>
      <c r="T2306" s="1">
        <f>IF(NOT(Paths!$C$216=1),0,IF(Paths!$P$216="Complete",IF(C2306=0,0,VLOOKUP(A2306,'Fleet register'!$A$7:$S$106,9,FALSE)*Paths!$R$216),"n.a."))</f>
        <v>0</v>
      </c>
    </row>
    <row r="2307" spans="1:20" ht="24" customHeight="1">
      <c r="A2307" s="1" t="str">
        <f>Paths!$A$216</f>
        <v>T053</v>
      </c>
      <c r="B2307" s="1">
        <f>Paths!$B$216</f>
        <v>1</v>
      </c>
      <c r="C2307" s="1">
        <v>1</v>
      </c>
      <c r="D2307" s="1">
        <v>216</v>
      </c>
      <c r="E2307" s="1">
        <f>IF(OR(Paths!$C$216=0,C2307=0),0,MAX(0,MIN(C2307*12,Paths!$E$216)-(C2307-1)*12))</f>
        <v>0</v>
      </c>
      <c r="F2307" s="1">
        <f>IF(OR(Paths!$C$216=0,C2307=0),0,12-E2307)</f>
        <v>0</v>
      </c>
      <c r="G2307" s="16">
        <f>IF(NOT(Paths!$C$216=1),0,IF(Paths!$P$216="Complete",E2307/12*(Paths!$J$216*(1+'Operating costs'!$B$51)^MAX(0,C2307-1)+Paths!$K$216*(1+'Operating costs'!$B$53)^MAX(0,C2307-1)),"n.a."))</f>
        <v>0</v>
      </c>
      <c r="H2307" s="16">
        <f>IF(NOT(Paths!$C$216=1),0,IF(Paths!$P$216="Complete",F2307/12*(Paths!$L$216*(1+IF(Paths!$D$216="EV",'Operating costs'!$B$52,'Operating costs'!$B$51))^MAX(0,C2307-1)+Paths!$M$216*(1+'Operating costs'!$B$53)^MAX(0,C2307-1)),"n.a."))</f>
        <v>0</v>
      </c>
      <c r="I2307" s="16">
        <f>IF(NOT(Paths!$C$216=1),0,IF(Paths!$P$216="Complete",IF(IF(Paths!$E$216=0,C2307=0,AND(C2307&gt;0,Paths!$E$216&gt;(C2307-1)*12,Paths!$E$216&lt;=C2307*12)),Paths!$G$216,0),"n.a."))</f>
        <v>0</v>
      </c>
      <c r="J2307" s="16">
        <f>IF(NOT(Paths!$C$216=1),0,IF(Paths!$P$216="Complete",IF(IF(Paths!$E$216=0,C2307=0,AND(C2307&gt;0,Paths!$E$216&gt;(C2307-1)*12,Paths!$E$216&lt;=C2307*12)),Paths!$H$216,0),"n.a."))</f>
        <v>0</v>
      </c>
      <c r="K2307" s="16">
        <f>IF(NOT(Paths!$C$216=1),0,IF(Paths!$P$216="Complete",IF(IF(Paths!$O$216=0,C2307=0,AND(C2307&gt;0,Paths!$O$216&gt;(C2307-1)*12,Paths!$O$216&lt;=C2307*12)),Paths!$N$216,0),"n.a."))</f>
        <v>0</v>
      </c>
      <c r="L2307" s="16">
        <f>IF(NOT(Paths!$C$216=1),0,IF(Paths!$P$216="Complete",IF(C2307=10,Paths!$I$216,0),"n.a."))</f>
        <v>0</v>
      </c>
      <c r="M2307" s="16">
        <f>IF(NOT(Paths!$C$216=1),0,IF(Paths!$P$216="Complete",IF(AND(Paths!$D$216="EV",Paths!$E$216&lt;120,Paths!$E$216+'Operating costs'!$B$65&gt;Paths!$E$216,Paths!$E$216+'Operating costs'!$B$65&lt;=120,IF(Paths!$E$216+'Operating costs'!$B$65=0,C2307=0,AND(C2307&gt;0,Paths!$E$216+'Operating costs'!$B$65&gt;(C2307-1)*12,Paths!$E$216+'Operating costs'!$B$65&lt;=C2307*12))),'Operating costs'!$B$64,0)+IF(AND('Operating costs'!$B$67&gt;0,'Operating costs'!$B$67&lt;=120,OR(Paths!$D$216="ICE",'Operating costs'!$B$67&lt;=Paths!$E$216),IF('Operating costs'!$B$67=0,C2307=0,AND(C2307&gt;0,'Operating costs'!$B$67&gt;(C2307-1)*12,'Operating costs'!$B$67&lt;=C2307*12))),'Operating costs'!$B$66,0),"n.a."))</f>
        <v>0</v>
      </c>
      <c r="N2307" s="16">
        <f>IF(NOT(Paths!$C$216=1),0,IF(Paths!$P$216="Complete",SUM(G2307:I2307)-J2307-K2307-L2307+M2307+IF(C2307=0,Paths!$F$216,0)+IF(IF(Paths!$E$216=0,C2307=0,AND(C2307&gt;0,Paths!$E$216&gt;(C2307-1)*12,Paths!$E$216&lt;=C2307*12)),VLOOKUP(A2307,'Fleet register'!$A$7:$S$106,16,FALSE),0),"n.a."))</f>
        <v>0</v>
      </c>
      <c r="O2307" s="16">
        <f>IF(NOT(Paths!$C$216=1),0,IF(Paths!$P$216="Complete",N2307-IF(C2307=0,Paths!$F$216,0),"n.a."))</f>
        <v>0</v>
      </c>
      <c r="P2307" s="16">
        <f>IF(NOT(Paths!$C$216=1),0,IF(Paths!$P$216="Complete",O2307+L2307,"n.a."))</f>
        <v>0</v>
      </c>
      <c r="Q2307" s="16">
        <f>IF(NOT(Paths!$C$216=1),0,IF(Paths!$P$216="Complete",N2307*(1+'Operating costs'!$B$54)^-C2307,"n.a."))</f>
        <v>0</v>
      </c>
      <c r="R2307" s="16">
        <f>IF(NOT(Paths!$C$216=1),0,IF(Paths!$P$216="Complete",IF(AND(C2307=0,Paths!$E$216=0),I2307-J2307-K2307+VLOOKUP(A2307,'Fleet register'!$A$7:$S$106,15,FALSE)+VLOOKUP(A2307,'Fleet register'!$A$7:$S$106,16,FALSE),0),"n.a."))</f>
        <v>0</v>
      </c>
      <c r="S2307" s="1">
        <f>IF(NOT(Paths!$C$216=1),0,IF(Paths!$P$216="Complete",IF(C2307=0,0,Paths!$S$216*Paths!$R$216),"n.a."))</f>
        <v>0</v>
      </c>
      <c r="T2307" s="1">
        <f>IF(NOT(Paths!$C$216=1),0,IF(Paths!$P$216="Complete",IF(C2307=0,0,VLOOKUP(A2307,'Fleet register'!$A$7:$S$106,9,FALSE)*Paths!$R$216),"n.a."))</f>
        <v>0</v>
      </c>
    </row>
    <row r="2308" spans="1:20" ht="24" customHeight="1">
      <c r="A2308" s="1" t="str">
        <f>Paths!$A$216</f>
        <v>T053</v>
      </c>
      <c r="B2308" s="1">
        <f>Paths!$B$216</f>
        <v>1</v>
      </c>
      <c r="C2308" s="1">
        <v>2</v>
      </c>
      <c r="D2308" s="1">
        <v>216</v>
      </c>
      <c r="E2308" s="1">
        <f>IF(OR(Paths!$C$216=0,C2308=0),0,MAX(0,MIN(C2308*12,Paths!$E$216)-(C2308-1)*12))</f>
        <v>0</v>
      </c>
      <c r="F2308" s="1">
        <f>IF(OR(Paths!$C$216=0,C2308=0),0,12-E2308)</f>
        <v>0</v>
      </c>
      <c r="G2308" s="16">
        <f>IF(NOT(Paths!$C$216=1),0,IF(Paths!$P$216="Complete",E2308/12*(Paths!$J$216*(1+'Operating costs'!$B$51)^MAX(0,C2308-1)+Paths!$K$216*(1+'Operating costs'!$B$53)^MAX(0,C2308-1)),"n.a."))</f>
        <v>0</v>
      </c>
      <c r="H2308" s="16">
        <f>IF(NOT(Paths!$C$216=1),0,IF(Paths!$P$216="Complete",F2308/12*(Paths!$L$216*(1+IF(Paths!$D$216="EV",'Operating costs'!$B$52,'Operating costs'!$B$51))^MAX(0,C2308-1)+Paths!$M$216*(1+'Operating costs'!$B$53)^MAX(0,C2308-1)),"n.a."))</f>
        <v>0</v>
      </c>
      <c r="I2308" s="16">
        <f>IF(NOT(Paths!$C$216=1),0,IF(Paths!$P$216="Complete",IF(IF(Paths!$E$216=0,C2308=0,AND(C2308&gt;0,Paths!$E$216&gt;(C2308-1)*12,Paths!$E$216&lt;=C2308*12)),Paths!$G$216,0),"n.a."))</f>
        <v>0</v>
      </c>
      <c r="J2308" s="16">
        <f>IF(NOT(Paths!$C$216=1),0,IF(Paths!$P$216="Complete",IF(IF(Paths!$E$216=0,C2308=0,AND(C2308&gt;0,Paths!$E$216&gt;(C2308-1)*12,Paths!$E$216&lt;=C2308*12)),Paths!$H$216,0),"n.a."))</f>
        <v>0</v>
      </c>
      <c r="K2308" s="16">
        <f>IF(NOT(Paths!$C$216=1),0,IF(Paths!$P$216="Complete",IF(IF(Paths!$O$216=0,C2308=0,AND(C2308&gt;0,Paths!$O$216&gt;(C2308-1)*12,Paths!$O$216&lt;=C2308*12)),Paths!$N$216,0),"n.a."))</f>
        <v>0</v>
      </c>
      <c r="L2308" s="16">
        <f>IF(NOT(Paths!$C$216=1),0,IF(Paths!$P$216="Complete",IF(C2308=10,Paths!$I$216,0),"n.a."))</f>
        <v>0</v>
      </c>
      <c r="M2308" s="16">
        <f>IF(NOT(Paths!$C$216=1),0,IF(Paths!$P$216="Complete",IF(AND(Paths!$D$216="EV",Paths!$E$216&lt;120,Paths!$E$216+'Operating costs'!$B$65&gt;Paths!$E$216,Paths!$E$216+'Operating costs'!$B$65&lt;=120,IF(Paths!$E$216+'Operating costs'!$B$65=0,C2308=0,AND(C2308&gt;0,Paths!$E$216+'Operating costs'!$B$65&gt;(C2308-1)*12,Paths!$E$216+'Operating costs'!$B$65&lt;=C2308*12))),'Operating costs'!$B$64,0)+IF(AND('Operating costs'!$B$67&gt;0,'Operating costs'!$B$67&lt;=120,OR(Paths!$D$216="ICE",'Operating costs'!$B$67&lt;=Paths!$E$216),IF('Operating costs'!$B$67=0,C2308=0,AND(C2308&gt;0,'Operating costs'!$B$67&gt;(C2308-1)*12,'Operating costs'!$B$67&lt;=C2308*12))),'Operating costs'!$B$66,0),"n.a."))</f>
        <v>0</v>
      </c>
      <c r="N2308" s="16">
        <f>IF(NOT(Paths!$C$216=1),0,IF(Paths!$P$216="Complete",SUM(G2308:I2308)-J2308-K2308-L2308+M2308+IF(C2308=0,Paths!$F$216,0)+IF(IF(Paths!$E$216=0,C2308=0,AND(C2308&gt;0,Paths!$E$216&gt;(C2308-1)*12,Paths!$E$216&lt;=C2308*12)),VLOOKUP(A2308,'Fleet register'!$A$7:$S$106,16,FALSE),0),"n.a."))</f>
        <v>0</v>
      </c>
      <c r="O2308" s="16">
        <f>IF(NOT(Paths!$C$216=1),0,IF(Paths!$P$216="Complete",N2308-IF(C2308=0,Paths!$F$216,0),"n.a."))</f>
        <v>0</v>
      </c>
      <c r="P2308" s="16">
        <f>IF(NOT(Paths!$C$216=1),0,IF(Paths!$P$216="Complete",O2308+L2308,"n.a."))</f>
        <v>0</v>
      </c>
      <c r="Q2308" s="16">
        <f>IF(NOT(Paths!$C$216=1),0,IF(Paths!$P$216="Complete",N2308*(1+'Operating costs'!$B$54)^-C2308,"n.a."))</f>
        <v>0</v>
      </c>
      <c r="R2308" s="16">
        <f>IF(NOT(Paths!$C$216=1),0,IF(Paths!$P$216="Complete",IF(AND(C2308=0,Paths!$E$216=0),I2308-J2308-K2308+VLOOKUP(A2308,'Fleet register'!$A$7:$S$106,15,FALSE)+VLOOKUP(A2308,'Fleet register'!$A$7:$S$106,16,FALSE),0),"n.a."))</f>
        <v>0</v>
      </c>
      <c r="S2308" s="1">
        <f>IF(NOT(Paths!$C$216=1),0,IF(Paths!$P$216="Complete",IF(C2308=0,0,Paths!$S$216*Paths!$R$216),"n.a."))</f>
        <v>0</v>
      </c>
      <c r="T2308" s="1">
        <f>IF(NOT(Paths!$C$216=1),0,IF(Paths!$P$216="Complete",IF(C2308=0,0,VLOOKUP(A2308,'Fleet register'!$A$7:$S$106,9,FALSE)*Paths!$R$216),"n.a."))</f>
        <v>0</v>
      </c>
    </row>
    <row r="2309" spans="1:20" ht="24" customHeight="1">
      <c r="A2309" s="1" t="str">
        <f>Paths!$A$216</f>
        <v>T053</v>
      </c>
      <c r="B2309" s="1">
        <f>Paths!$B$216</f>
        <v>1</v>
      </c>
      <c r="C2309" s="1">
        <v>3</v>
      </c>
      <c r="D2309" s="1">
        <v>216</v>
      </c>
      <c r="E2309" s="1">
        <f>IF(OR(Paths!$C$216=0,C2309=0),0,MAX(0,MIN(C2309*12,Paths!$E$216)-(C2309-1)*12))</f>
        <v>0</v>
      </c>
      <c r="F2309" s="1">
        <f>IF(OR(Paths!$C$216=0,C2309=0),0,12-E2309)</f>
        <v>0</v>
      </c>
      <c r="G2309" s="16">
        <f>IF(NOT(Paths!$C$216=1),0,IF(Paths!$P$216="Complete",E2309/12*(Paths!$J$216*(1+'Operating costs'!$B$51)^MAX(0,C2309-1)+Paths!$K$216*(1+'Operating costs'!$B$53)^MAX(0,C2309-1)),"n.a."))</f>
        <v>0</v>
      </c>
      <c r="H2309" s="16">
        <f>IF(NOT(Paths!$C$216=1),0,IF(Paths!$P$216="Complete",F2309/12*(Paths!$L$216*(1+IF(Paths!$D$216="EV",'Operating costs'!$B$52,'Operating costs'!$B$51))^MAX(0,C2309-1)+Paths!$M$216*(1+'Operating costs'!$B$53)^MAX(0,C2309-1)),"n.a."))</f>
        <v>0</v>
      </c>
      <c r="I2309" s="16">
        <f>IF(NOT(Paths!$C$216=1),0,IF(Paths!$P$216="Complete",IF(IF(Paths!$E$216=0,C2309=0,AND(C2309&gt;0,Paths!$E$216&gt;(C2309-1)*12,Paths!$E$216&lt;=C2309*12)),Paths!$G$216,0),"n.a."))</f>
        <v>0</v>
      </c>
      <c r="J2309" s="16">
        <f>IF(NOT(Paths!$C$216=1),0,IF(Paths!$P$216="Complete",IF(IF(Paths!$E$216=0,C2309=0,AND(C2309&gt;0,Paths!$E$216&gt;(C2309-1)*12,Paths!$E$216&lt;=C2309*12)),Paths!$H$216,0),"n.a."))</f>
        <v>0</v>
      </c>
      <c r="K2309" s="16">
        <f>IF(NOT(Paths!$C$216=1),0,IF(Paths!$P$216="Complete",IF(IF(Paths!$O$216=0,C2309=0,AND(C2309&gt;0,Paths!$O$216&gt;(C2309-1)*12,Paths!$O$216&lt;=C2309*12)),Paths!$N$216,0),"n.a."))</f>
        <v>0</v>
      </c>
      <c r="L2309" s="16">
        <f>IF(NOT(Paths!$C$216=1),0,IF(Paths!$P$216="Complete",IF(C2309=10,Paths!$I$216,0),"n.a."))</f>
        <v>0</v>
      </c>
      <c r="M2309" s="16">
        <f>IF(NOT(Paths!$C$216=1),0,IF(Paths!$P$216="Complete",IF(AND(Paths!$D$216="EV",Paths!$E$216&lt;120,Paths!$E$216+'Operating costs'!$B$65&gt;Paths!$E$216,Paths!$E$216+'Operating costs'!$B$65&lt;=120,IF(Paths!$E$216+'Operating costs'!$B$65=0,C2309=0,AND(C2309&gt;0,Paths!$E$216+'Operating costs'!$B$65&gt;(C2309-1)*12,Paths!$E$216+'Operating costs'!$B$65&lt;=C2309*12))),'Operating costs'!$B$64,0)+IF(AND('Operating costs'!$B$67&gt;0,'Operating costs'!$B$67&lt;=120,OR(Paths!$D$216="ICE",'Operating costs'!$B$67&lt;=Paths!$E$216),IF('Operating costs'!$B$67=0,C2309=0,AND(C2309&gt;0,'Operating costs'!$B$67&gt;(C2309-1)*12,'Operating costs'!$B$67&lt;=C2309*12))),'Operating costs'!$B$66,0),"n.a."))</f>
        <v>0</v>
      </c>
      <c r="N2309" s="16">
        <f>IF(NOT(Paths!$C$216=1),0,IF(Paths!$P$216="Complete",SUM(G2309:I2309)-J2309-K2309-L2309+M2309+IF(C2309=0,Paths!$F$216,0)+IF(IF(Paths!$E$216=0,C2309=0,AND(C2309&gt;0,Paths!$E$216&gt;(C2309-1)*12,Paths!$E$216&lt;=C2309*12)),VLOOKUP(A2309,'Fleet register'!$A$7:$S$106,16,FALSE),0),"n.a."))</f>
        <v>0</v>
      </c>
      <c r="O2309" s="16">
        <f>IF(NOT(Paths!$C$216=1),0,IF(Paths!$P$216="Complete",N2309-IF(C2309=0,Paths!$F$216,0),"n.a."))</f>
        <v>0</v>
      </c>
      <c r="P2309" s="16">
        <f>IF(NOT(Paths!$C$216=1),0,IF(Paths!$P$216="Complete",O2309+L2309,"n.a."))</f>
        <v>0</v>
      </c>
      <c r="Q2309" s="16">
        <f>IF(NOT(Paths!$C$216=1),0,IF(Paths!$P$216="Complete",N2309*(1+'Operating costs'!$B$54)^-C2309,"n.a."))</f>
        <v>0</v>
      </c>
      <c r="R2309" s="16">
        <f>IF(NOT(Paths!$C$216=1),0,IF(Paths!$P$216="Complete",IF(AND(C2309=0,Paths!$E$216=0),I2309-J2309-K2309+VLOOKUP(A2309,'Fleet register'!$A$7:$S$106,15,FALSE)+VLOOKUP(A2309,'Fleet register'!$A$7:$S$106,16,FALSE),0),"n.a."))</f>
        <v>0</v>
      </c>
      <c r="S2309" s="1">
        <f>IF(NOT(Paths!$C$216=1),0,IF(Paths!$P$216="Complete",IF(C2309=0,0,Paths!$S$216*Paths!$R$216),"n.a."))</f>
        <v>0</v>
      </c>
      <c r="T2309" s="1">
        <f>IF(NOT(Paths!$C$216=1),0,IF(Paths!$P$216="Complete",IF(C2309=0,0,VLOOKUP(A2309,'Fleet register'!$A$7:$S$106,9,FALSE)*Paths!$R$216),"n.a."))</f>
        <v>0</v>
      </c>
    </row>
    <row r="2310" spans="1:20" ht="24" customHeight="1">
      <c r="A2310" s="1" t="str">
        <f>Paths!$A$216</f>
        <v>T053</v>
      </c>
      <c r="B2310" s="1">
        <f>Paths!$B$216</f>
        <v>1</v>
      </c>
      <c r="C2310" s="1">
        <v>4</v>
      </c>
      <c r="D2310" s="1">
        <v>216</v>
      </c>
      <c r="E2310" s="1">
        <f>IF(OR(Paths!$C$216=0,C2310=0),0,MAX(0,MIN(C2310*12,Paths!$E$216)-(C2310-1)*12))</f>
        <v>0</v>
      </c>
      <c r="F2310" s="1">
        <f>IF(OR(Paths!$C$216=0,C2310=0),0,12-E2310)</f>
        <v>0</v>
      </c>
      <c r="G2310" s="16">
        <f>IF(NOT(Paths!$C$216=1),0,IF(Paths!$P$216="Complete",E2310/12*(Paths!$J$216*(1+'Operating costs'!$B$51)^MAX(0,C2310-1)+Paths!$K$216*(1+'Operating costs'!$B$53)^MAX(0,C2310-1)),"n.a."))</f>
        <v>0</v>
      </c>
      <c r="H2310" s="16">
        <f>IF(NOT(Paths!$C$216=1),0,IF(Paths!$P$216="Complete",F2310/12*(Paths!$L$216*(1+IF(Paths!$D$216="EV",'Operating costs'!$B$52,'Operating costs'!$B$51))^MAX(0,C2310-1)+Paths!$M$216*(1+'Operating costs'!$B$53)^MAX(0,C2310-1)),"n.a."))</f>
        <v>0</v>
      </c>
      <c r="I2310" s="16">
        <f>IF(NOT(Paths!$C$216=1),0,IF(Paths!$P$216="Complete",IF(IF(Paths!$E$216=0,C2310=0,AND(C2310&gt;0,Paths!$E$216&gt;(C2310-1)*12,Paths!$E$216&lt;=C2310*12)),Paths!$G$216,0),"n.a."))</f>
        <v>0</v>
      </c>
      <c r="J2310" s="16">
        <f>IF(NOT(Paths!$C$216=1),0,IF(Paths!$P$216="Complete",IF(IF(Paths!$E$216=0,C2310=0,AND(C2310&gt;0,Paths!$E$216&gt;(C2310-1)*12,Paths!$E$216&lt;=C2310*12)),Paths!$H$216,0),"n.a."))</f>
        <v>0</v>
      </c>
      <c r="K2310" s="16">
        <f>IF(NOT(Paths!$C$216=1),0,IF(Paths!$P$216="Complete",IF(IF(Paths!$O$216=0,C2310=0,AND(C2310&gt;0,Paths!$O$216&gt;(C2310-1)*12,Paths!$O$216&lt;=C2310*12)),Paths!$N$216,0),"n.a."))</f>
        <v>0</v>
      </c>
      <c r="L2310" s="16">
        <f>IF(NOT(Paths!$C$216=1),0,IF(Paths!$P$216="Complete",IF(C2310=10,Paths!$I$216,0),"n.a."))</f>
        <v>0</v>
      </c>
      <c r="M2310" s="16">
        <f>IF(NOT(Paths!$C$216=1),0,IF(Paths!$P$216="Complete",IF(AND(Paths!$D$216="EV",Paths!$E$216&lt;120,Paths!$E$216+'Operating costs'!$B$65&gt;Paths!$E$216,Paths!$E$216+'Operating costs'!$B$65&lt;=120,IF(Paths!$E$216+'Operating costs'!$B$65=0,C2310=0,AND(C2310&gt;0,Paths!$E$216+'Operating costs'!$B$65&gt;(C2310-1)*12,Paths!$E$216+'Operating costs'!$B$65&lt;=C2310*12))),'Operating costs'!$B$64,0)+IF(AND('Operating costs'!$B$67&gt;0,'Operating costs'!$B$67&lt;=120,OR(Paths!$D$216="ICE",'Operating costs'!$B$67&lt;=Paths!$E$216),IF('Operating costs'!$B$67=0,C2310=0,AND(C2310&gt;0,'Operating costs'!$B$67&gt;(C2310-1)*12,'Operating costs'!$B$67&lt;=C2310*12))),'Operating costs'!$B$66,0),"n.a."))</f>
        <v>0</v>
      </c>
      <c r="N2310" s="16">
        <f>IF(NOT(Paths!$C$216=1),0,IF(Paths!$P$216="Complete",SUM(G2310:I2310)-J2310-K2310-L2310+M2310+IF(C2310=0,Paths!$F$216,0)+IF(IF(Paths!$E$216=0,C2310=0,AND(C2310&gt;0,Paths!$E$216&gt;(C2310-1)*12,Paths!$E$216&lt;=C2310*12)),VLOOKUP(A2310,'Fleet register'!$A$7:$S$106,16,FALSE),0),"n.a."))</f>
        <v>0</v>
      </c>
      <c r="O2310" s="16">
        <f>IF(NOT(Paths!$C$216=1),0,IF(Paths!$P$216="Complete",N2310-IF(C2310=0,Paths!$F$216,0),"n.a."))</f>
        <v>0</v>
      </c>
      <c r="P2310" s="16">
        <f>IF(NOT(Paths!$C$216=1),0,IF(Paths!$P$216="Complete",O2310+L2310,"n.a."))</f>
        <v>0</v>
      </c>
      <c r="Q2310" s="16">
        <f>IF(NOT(Paths!$C$216=1),0,IF(Paths!$P$216="Complete",N2310*(1+'Operating costs'!$B$54)^-C2310,"n.a."))</f>
        <v>0</v>
      </c>
      <c r="R2310" s="16">
        <f>IF(NOT(Paths!$C$216=1),0,IF(Paths!$P$216="Complete",IF(AND(C2310=0,Paths!$E$216=0),I2310-J2310-K2310+VLOOKUP(A2310,'Fleet register'!$A$7:$S$106,15,FALSE)+VLOOKUP(A2310,'Fleet register'!$A$7:$S$106,16,FALSE),0),"n.a."))</f>
        <v>0</v>
      </c>
      <c r="S2310" s="1">
        <f>IF(NOT(Paths!$C$216=1),0,IF(Paths!$P$216="Complete",IF(C2310=0,0,Paths!$S$216*Paths!$R$216),"n.a."))</f>
        <v>0</v>
      </c>
      <c r="T2310" s="1">
        <f>IF(NOT(Paths!$C$216=1),0,IF(Paths!$P$216="Complete",IF(C2310=0,0,VLOOKUP(A2310,'Fleet register'!$A$7:$S$106,9,FALSE)*Paths!$R$216),"n.a."))</f>
        <v>0</v>
      </c>
    </row>
    <row r="2311" spans="1:20" ht="24" customHeight="1">
      <c r="A2311" s="1" t="str">
        <f>Paths!$A$216</f>
        <v>T053</v>
      </c>
      <c r="B2311" s="1">
        <f>Paths!$B$216</f>
        <v>1</v>
      </c>
      <c r="C2311" s="1">
        <v>5</v>
      </c>
      <c r="D2311" s="1">
        <v>216</v>
      </c>
      <c r="E2311" s="1">
        <f>IF(OR(Paths!$C$216=0,C2311=0),0,MAX(0,MIN(C2311*12,Paths!$E$216)-(C2311-1)*12))</f>
        <v>0</v>
      </c>
      <c r="F2311" s="1">
        <f>IF(OR(Paths!$C$216=0,C2311=0),0,12-E2311)</f>
        <v>0</v>
      </c>
      <c r="G2311" s="16">
        <f>IF(NOT(Paths!$C$216=1),0,IF(Paths!$P$216="Complete",E2311/12*(Paths!$J$216*(1+'Operating costs'!$B$51)^MAX(0,C2311-1)+Paths!$K$216*(1+'Operating costs'!$B$53)^MAX(0,C2311-1)),"n.a."))</f>
        <v>0</v>
      </c>
      <c r="H2311" s="16">
        <f>IF(NOT(Paths!$C$216=1),0,IF(Paths!$P$216="Complete",F2311/12*(Paths!$L$216*(1+IF(Paths!$D$216="EV",'Operating costs'!$B$52,'Operating costs'!$B$51))^MAX(0,C2311-1)+Paths!$M$216*(1+'Operating costs'!$B$53)^MAX(0,C2311-1)),"n.a."))</f>
        <v>0</v>
      </c>
      <c r="I2311" s="16">
        <f>IF(NOT(Paths!$C$216=1),0,IF(Paths!$P$216="Complete",IF(IF(Paths!$E$216=0,C2311=0,AND(C2311&gt;0,Paths!$E$216&gt;(C2311-1)*12,Paths!$E$216&lt;=C2311*12)),Paths!$G$216,0),"n.a."))</f>
        <v>0</v>
      </c>
      <c r="J2311" s="16">
        <f>IF(NOT(Paths!$C$216=1),0,IF(Paths!$P$216="Complete",IF(IF(Paths!$E$216=0,C2311=0,AND(C2311&gt;0,Paths!$E$216&gt;(C2311-1)*12,Paths!$E$216&lt;=C2311*12)),Paths!$H$216,0),"n.a."))</f>
        <v>0</v>
      </c>
      <c r="K2311" s="16">
        <f>IF(NOT(Paths!$C$216=1),0,IF(Paths!$P$216="Complete",IF(IF(Paths!$O$216=0,C2311=0,AND(C2311&gt;0,Paths!$O$216&gt;(C2311-1)*12,Paths!$O$216&lt;=C2311*12)),Paths!$N$216,0),"n.a."))</f>
        <v>0</v>
      </c>
      <c r="L2311" s="16">
        <f>IF(NOT(Paths!$C$216=1),0,IF(Paths!$P$216="Complete",IF(C2311=10,Paths!$I$216,0),"n.a."))</f>
        <v>0</v>
      </c>
      <c r="M2311" s="16">
        <f>IF(NOT(Paths!$C$216=1),0,IF(Paths!$P$216="Complete",IF(AND(Paths!$D$216="EV",Paths!$E$216&lt;120,Paths!$E$216+'Operating costs'!$B$65&gt;Paths!$E$216,Paths!$E$216+'Operating costs'!$B$65&lt;=120,IF(Paths!$E$216+'Operating costs'!$B$65=0,C2311=0,AND(C2311&gt;0,Paths!$E$216+'Operating costs'!$B$65&gt;(C2311-1)*12,Paths!$E$216+'Operating costs'!$B$65&lt;=C2311*12))),'Operating costs'!$B$64,0)+IF(AND('Operating costs'!$B$67&gt;0,'Operating costs'!$B$67&lt;=120,OR(Paths!$D$216="ICE",'Operating costs'!$B$67&lt;=Paths!$E$216),IF('Operating costs'!$B$67=0,C2311=0,AND(C2311&gt;0,'Operating costs'!$B$67&gt;(C2311-1)*12,'Operating costs'!$B$67&lt;=C2311*12))),'Operating costs'!$B$66,0),"n.a."))</f>
        <v>0</v>
      </c>
      <c r="N2311" s="16">
        <f>IF(NOT(Paths!$C$216=1),0,IF(Paths!$P$216="Complete",SUM(G2311:I2311)-J2311-K2311-L2311+M2311+IF(C2311=0,Paths!$F$216,0)+IF(IF(Paths!$E$216=0,C2311=0,AND(C2311&gt;0,Paths!$E$216&gt;(C2311-1)*12,Paths!$E$216&lt;=C2311*12)),VLOOKUP(A2311,'Fleet register'!$A$7:$S$106,16,FALSE),0),"n.a."))</f>
        <v>0</v>
      </c>
      <c r="O2311" s="16">
        <f>IF(NOT(Paths!$C$216=1),0,IF(Paths!$P$216="Complete",N2311-IF(C2311=0,Paths!$F$216,0),"n.a."))</f>
        <v>0</v>
      </c>
      <c r="P2311" s="16">
        <f>IF(NOT(Paths!$C$216=1),0,IF(Paths!$P$216="Complete",O2311+L2311,"n.a."))</f>
        <v>0</v>
      </c>
      <c r="Q2311" s="16">
        <f>IF(NOT(Paths!$C$216=1),0,IF(Paths!$P$216="Complete",N2311*(1+'Operating costs'!$B$54)^-C2311,"n.a."))</f>
        <v>0</v>
      </c>
      <c r="R2311" s="16">
        <f>IF(NOT(Paths!$C$216=1),0,IF(Paths!$P$216="Complete",IF(AND(C2311=0,Paths!$E$216=0),I2311-J2311-K2311+VLOOKUP(A2311,'Fleet register'!$A$7:$S$106,15,FALSE)+VLOOKUP(A2311,'Fleet register'!$A$7:$S$106,16,FALSE),0),"n.a."))</f>
        <v>0</v>
      </c>
      <c r="S2311" s="1">
        <f>IF(NOT(Paths!$C$216=1),0,IF(Paths!$P$216="Complete",IF(C2311=0,0,Paths!$S$216*Paths!$R$216),"n.a."))</f>
        <v>0</v>
      </c>
      <c r="T2311" s="1">
        <f>IF(NOT(Paths!$C$216=1),0,IF(Paths!$P$216="Complete",IF(C2311=0,0,VLOOKUP(A2311,'Fleet register'!$A$7:$S$106,9,FALSE)*Paths!$R$216),"n.a."))</f>
        <v>0</v>
      </c>
    </row>
    <row r="2312" spans="1:20" ht="24" customHeight="1">
      <c r="A2312" s="1" t="str">
        <f>Paths!$A$216</f>
        <v>T053</v>
      </c>
      <c r="B2312" s="1">
        <f>Paths!$B$216</f>
        <v>1</v>
      </c>
      <c r="C2312" s="1">
        <v>6</v>
      </c>
      <c r="D2312" s="1">
        <v>216</v>
      </c>
      <c r="E2312" s="1">
        <f>IF(OR(Paths!$C$216=0,C2312=0),0,MAX(0,MIN(C2312*12,Paths!$E$216)-(C2312-1)*12))</f>
        <v>0</v>
      </c>
      <c r="F2312" s="1">
        <f>IF(OR(Paths!$C$216=0,C2312=0),0,12-E2312)</f>
        <v>0</v>
      </c>
      <c r="G2312" s="16">
        <f>IF(NOT(Paths!$C$216=1),0,IF(Paths!$P$216="Complete",E2312/12*(Paths!$J$216*(1+'Operating costs'!$B$51)^MAX(0,C2312-1)+Paths!$K$216*(1+'Operating costs'!$B$53)^MAX(0,C2312-1)),"n.a."))</f>
        <v>0</v>
      </c>
      <c r="H2312" s="16">
        <f>IF(NOT(Paths!$C$216=1),0,IF(Paths!$P$216="Complete",F2312/12*(Paths!$L$216*(1+IF(Paths!$D$216="EV",'Operating costs'!$B$52,'Operating costs'!$B$51))^MAX(0,C2312-1)+Paths!$M$216*(1+'Operating costs'!$B$53)^MAX(0,C2312-1)),"n.a."))</f>
        <v>0</v>
      </c>
      <c r="I2312" s="16">
        <f>IF(NOT(Paths!$C$216=1),0,IF(Paths!$P$216="Complete",IF(IF(Paths!$E$216=0,C2312=0,AND(C2312&gt;0,Paths!$E$216&gt;(C2312-1)*12,Paths!$E$216&lt;=C2312*12)),Paths!$G$216,0),"n.a."))</f>
        <v>0</v>
      </c>
      <c r="J2312" s="16">
        <f>IF(NOT(Paths!$C$216=1),0,IF(Paths!$P$216="Complete",IF(IF(Paths!$E$216=0,C2312=0,AND(C2312&gt;0,Paths!$E$216&gt;(C2312-1)*12,Paths!$E$216&lt;=C2312*12)),Paths!$H$216,0),"n.a."))</f>
        <v>0</v>
      </c>
      <c r="K2312" s="16">
        <f>IF(NOT(Paths!$C$216=1),0,IF(Paths!$P$216="Complete",IF(IF(Paths!$O$216=0,C2312=0,AND(C2312&gt;0,Paths!$O$216&gt;(C2312-1)*12,Paths!$O$216&lt;=C2312*12)),Paths!$N$216,0),"n.a."))</f>
        <v>0</v>
      </c>
      <c r="L2312" s="16">
        <f>IF(NOT(Paths!$C$216=1),0,IF(Paths!$P$216="Complete",IF(C2312=10,Paths!$I$216,0),"n.a."))</f>
        <v>0</v>
      </c>
      <c r="M2312" s="16">
        <f>IF(NOT(Paths!$C$216=1),0,IF(Paths!$P$216="Complete",IF(AND(Paths!$D$216="EV",Paths!$E$216&lt;120,Paths!$E$216+'Operating costs'!$B$65&gt;Paths!$E$216,Paths!$E$216+'Operating costs'!$B$65&lt;=120,IF(Paths!$E$216+'Operating costs'!$B$65=0,C2312=0,AND(C2312&gt;0,Paths!$E$216+'Operating costs'!$B$65&gt;(C2312-1)*12,Paths!$E$216+'Operating costs'!$B$65&lt;=C2312*12))),'Operating costs'!$B$64,0)+IF(AND('Operating costs'!$B$67&gt;0,'Operating costs'!$B$67&lt;=120,OR(Paths!$D$216="ICE",'Operating costs'!$B$67&lt;=Paths!$E$216),IF('Operating costs'!$B$67=0,C2312=0,AND(C2312&gt;0,'Operating costs'!$B$67&gt;(C2312-1)*12,'Operating costs'!$B$67&lt;=C2312*12))),'Operating costs'!$B$66,0),"n.a."))</f>
        <v>0</v>
      </c>
      <c r="N2312" s="16">
        <f>IF(NOT(Paths!$C$216=1),0,IF(Paths!$P$216="Complete",SUM(G2312:I2312)-J2312-K2312-L2312+M2312+IF(C2312=0,Paths!$F$216,0)+IF(IF(Paths!$E$216=0,C2312=0,AND(C2312&gt;0,Paths!$E$216&gt;(C2312-1)*12,Paths!$E$216&lt;=C2312*12)),VLOOKUP(A2312,'Fleet register'!$A$7:$S$106,16,FALSE),0),"n.a."))</f>
        <v>0</v>
      </c>
      <c r="O2312" s="16">
        <f>IF(NOT(Paths!$C$216=1),0,IF(Paths!$P$216="Complete",N2312-IF(C2312=0,Paths!$F$216,0),"n.a."))</f>
        <v>0</v>
      </c>
      <c r="P2312" s="16">
        <f>IF(NOT(Paths!$C$216=1),0,IF(Paths!$P$216="Complete",O2312+L2312,"n.a."))</f>
        <v>0</v>
      </c>
      <c r="Q2312" s="16">
        <f>IF(NOT(Paths!$C$216=1),0,IF(Paths!$P$216="Complete",N2312*(1+'Operating costs'!$B$54)^-C2312,"n.a."))</f>
        <v>0</v>
      </c>
      <c r="R2312" s="16">
        <f>IF(NOT(Paths!$C$216=1),0,IF(Paths!$P$216="Complete",IF(AND(C2312=0,Paths!$E$216=0),I2312-J2312-K2312+VLOOKUP(A2312,'Fleet register'!$A$7:$S$106,15,FALSE)+VLOOKUP(A2312,'Fleet register'!$A$7:$S$106,16,FALSE),0),"n.a."))</f>
        <v>0</v>
      </c>
      <c r="S2312" s="1">
        <f>IF(NOT(Paths!$C$216=1),0,IF(Paths!$P$216="Complete",IF(C2312=0,0,Paths!$S$216*Paths!$R$216),"n.a."))</f>
        <v>0</v>
      </c>
      <c r="T2312" s="1">
        <f>IF(NOT(Paths!$C$216=1),0,IF(Paths!$P$216="Complete",IF(C2312=0,0,VLOOKUP(A2312,'Fleet register'!$A$7:$S$106,9,FALSE)*Paths!$R$216),"n.a."))</f>
        <v>0</v>
      </c>
    </row>
    <row r="2313" spans="1:20" ht="24" customHeight="1">
      <c r="A2313" s="1" t="str">
        <f>Paths!$A$216</f>
        <v>T053</v>
      </c>
      <c r="B2313" s="1">
        <f>Paths!$B$216</f>
        <v>1</v>
      </c>
      <c r="C2313" s="1">
        <v>7</v>
      </c>
      <c r="D2313" s="1">
        <v>216</v>
      </c>
      <c r="E2313" s="1">
        <f>IF(OR(Paths!$C$216=0,C2313=0),0,MAX(0,MIN(C2313*12,Paths!$E$216)-(C2313-1)*12))</f>
        <v>0</v>
      </c>
      <c r="F2313" s="1">
        <f>IF(OR(Paths!$C$216=0,C2313=0),0,12-E2313)</f>
        <v>0</v>
      </c>
      <c r="G2313" s="16">
        <f>IF(NOT(Paths!$C$216=1),0,IF(Paths!$P$216="Complete",E2313/12*(Paths!$J$216*(1+'Operating costs'!$B$51)^MAX(0,C2313-1)+Paths!$K$216*(1+'Operating costs'!$B$53)^MAX(0,C2313-1)),"n.a."))</f>
        <v>0</v>
      </c>
      <c r="H2313" s="16">
        <f>IF(NOT(Paths!$C$216=1),0,IF(Paths!$P$216="Complete",F2313/12*(Paths!$L$216*(1+IF(Paths!$D$216="EV",'Operating costs'!$B$52,'Operating costs'!$B$51))^MAX(0,C2313-1)+Paths!$M$216*(1+'Operating costs'!$B$53)^MAX(0,C2313-1)),"n.a."))</f>
        <v>0</v>
      </c>
      <c r="I2313" s="16">
        <f>IF(NOT(Paths!$C$216=1),0,IF(Paths!$P$216="Complete",IF(IF(Paths!$E$216=0,C2313=0,AND(C2313&gt;0,Paths!$E$216&gt;(C2313-1)*12,Paths!$E$216&lt;=C2313*12)),Paths!$G$216,0),"n.a."))</f>
        <v>0</v>
      </c>
      <c r="J2313" s="16">
        <f>IF(NOT(Paths!$C$216=1),0,IF(Paths!$P$216="Complete",IF(IF(Paths!$E$216=0,C2313=0,AND(C2313&gt;0,Paths!$E$216&gt;(C2313-1)*12,Paths!$E$216&lt;=C2313*12)),Paths!$H$216,0),"n.a."))</f>
        <v>0</v>
      </c>
      <c r="K2313" s="16">
        <f>IF(NOT(Paths!$C$216=1),0,IF(Paths!$P$216="Complete",IF(IF(Paths!$O$216=0,C2313=0,AND(C2313&gt;0,Paths!$O$216&gt;(C2313-1)*12,Paths!$O$216&lt;=C2313*12)),Paths!$N$216,0),"n.a."))</f>
        <v>0</v>
      </c>
      <c r="L2313" s="16">
        <f>IF(NOT(Paths!$C$216=1),0,IF(Paths!$P$216="Complete",IF(C2313=10,Paths!$I$216,0),"n.a."))</f>
        <v>0</v>
      </c>
      <c r="M2313" s="16">
        <f>IF(NOT(Paths!$C$216=1),0,IF(Paths!$P$216="Complete",IF(AND(Paths!$D$216="EV",Paths!$E$216&lt;120,Paths!$E$216+'Operating costs'!$B$65&gt;Paths!$E$216,Paths!$E$216+'Operating costs'!$B$65&lt;=120,IF(Paths!$E$216+'Operating costs'!$B$65=0,C2313=0,AND(C2313&gt;0,Paths!$E$216+'Operating costs'!$B$65&gt;(C2313-1)*12,Paths!$E$216+'Operating costs'!$B$65&lt;=C2313*12))),'Operating costs'!$B$64,0)+IF(AND('Operating costs'!$B$67&gt;0,'Operating costs'!$B$67&lt;=120,OR(Paths!$D$216="ICE",'Operating costs'!$B$67&lt;=Paths!$E$216),IF('Operating costs'!$B$67=0,C2313=0,AND(C2313&gt;0,'Operating costs'!$B$67&gt;(C2313-1)*12,'Operating costs'!$B$67&lt;=C2313*12))),'Operating costs'!$B$66,0),"n.a."))</f>
        <v>0</v>
      </c>
      <c r="N2313" s="16">
        <f>IF(NOT(Paths!$C$216=1),0,IF(Paths!$P$216="Complete",SUM(G2313:I2313)-J2313-K2313-L2313+M2313+IF(C2313=0,Paths!$F$216,0)+IF(IF(Paths!$E$216=0,C2313=0,AND(C2313&gt;0,Paths!$E$216&gt;(C2313-1)*12,Paths!$E$216&lt;=C2313*12)),VLOOKUP(A2313,'Fleet register'!$A$7:$S$106,16,FALSE),0),"n.a."))</f>
        <v>0</v>
      </c>
      <c r="O2313" s="16">
        <f>IF(NOT(Paths!$C$216=1),0,IF(Paths!$P$216="Complete",N2313-IF(C2313=0,Paths!$F$216,0),"n.a."))</f>
        <v>0</v>
      </c>
      <c r="P2313" s="16">
        <f>IF(NOT(Paths!$C$216=1),0,IF(Paths!$P$216="Complete",O2313+L2313,"n.a."))</f>
        <v>0</v>
      </c>
      <c r="Q2313" s="16">
        <f>IF(NOT(Paths!$C$216=1),0,IF(Paths!$P$216="Complete",N2313*(1+'Operating costs'!$B$54)^-C2313,"n.a."))</f>
        <v>0</v>
      </c>
      <c r="R2313" s="16">
        <f>IF(NOT(Paths!$C$216=1),0,IF(Paths!$P$216="Complete",IF(AND(C2313=0,Paths!$E$216=0),I2313-J2313-K2313+VLOOKUP(A2313,'Fleet register'!$A$7:$S$106,15,FALSE)+VLOOKUP(A2313,'Fleet register'!$A$7:$S$106,16,FALSE),0),"n.a."))</f>
        <v>0</v>
      </c>
      <c r="S2313" s="1">
        <f>IF(NOT(Paths!$C$216=1),0,IF(Paths!$P$216="Complete",IF(C2313=0,0,Paths!$S$216*Paths!$R$216),"n.a."))</f>
        <v>0</v>
      </c>
      <c r="T2313" s="1">
        <f>IF(NOT(Paths!$C$216=1),0,IF(Paths!$P$216="Complete",IF(C2313=0,0,VLOOKUP(A2313,'Fleet register'!$A$7:$S$106,9,FALSE)*Paths!$R$216),"n.a."))</f>
        <v>0</v>
      </c>
    </row>
    <row r="2314" spans="1:20" ht="24" customHeight="1">
      <c r="A2314" s="1" t="str">
        <f>Paths!$A$216</f>
        <v>T053</v>
      </c>
      <c r="B2314" s="1">
        <f>Paths!$B$216</f>
        <v>1</v>
      </c>
      <c r="C2314" s="1">
        <v>8</v>
      </c>
      <c r="D2314" s="1">
        <v>216</v>
      </c>
      <c r="E2314" s="1">
        <f>IF(OR(Paths!$C$216=0,C2314=0),0,MAX(0,MIN(C2314*12,Paths!$E$216)-(C2314-1)*12))</f>
        <v>0</v>
      </c>
      <c r="F2314" s="1">
        <f>IF(OR(Paths!$C$216=0,C2314=0),0,12-E2314)</f>
        <v>0</v>
      </c>
      <c r="G2314" s="16">
        <f>IF(NOT(Paths!$C$216=1),0,IF(Paths!$P$216="Complete",E2314/12*(Paths!$J$216*(1+'Operating costs'!$B$51)^MAX(0,C2314-1)+Paths!$K$216*(1+'Operating costs'!$B$53)^MAX(0,C2314-1)),"n.a."))</f>
        <v>0</v>
      </c>
      <c r="H2314" s="16">
        <f>IF(NOT(Paths!$C$216=1),0,IF(Paths!$P$216="Complete",F2314/12*(Paths!$L$216*(1+IF(Paths!$D$216="EV",'Operating costs'!$B$52,'Operating costs'!$B$51))^MAX(0,C2314-1)+Paths!$M$216*(1+'Operating costs'!$B$53)^MAX(0,C2314-1)),"n.a."))</f>
        <v>0</v>
      </c>
      <c r="I2314" s="16">
        <f>IF(NOT(Paths!$C$216=1),0,IF(Paths!$P$216="Complete",IF(IF(Paths!$E$216=0,C2314=0,AND(C2314&gt;0,Paths!$E$216&gt;(C2314-1)*12,Paths!$E$216&lt;=C2314*12)),Paths!$G$216,0),"n.a."))</f>
        <v>0</v>
      </c>
      <c r="J2314" s="16">
        <f>IF(NOT(Paths!$C$216=1),0,IF(Paths!$P$216="Complete",IF(IF(Paths!$E$216=0,C2314=0,AND(C2314&gt;0,Paths!$E$216&gt;(C2314-1)*12,Paths!$E$216&lt;=C2314*12)),Paths!$H$216,0),"n.a."))</f>
        <v>0</v>
      </c>
      <c r="K2314" s="16">
        <f>IF(NOT(Paths!$C$216=1),0,IF(Paths!$P$216="Complete",IF(IF(Paths!$O$216=0,C2314=0,AND(C2314&gt;0,Paths!$O$216&gt;(C2314-1)*12,Paths!$O$216&lt;=C2314*12)),Paths!$N$216,0),"n.a."))</f>
        <v>0</v>
      </c>
      <c r="L2314" s="16">
        <f>IF(NOT(Paths!$C$216=1),0,IF(Paths!$P$216="Complete",IF(C2314=10,Paths!$I$216,0),"n.a."))</f>
        <v>0</v>
      </c>
      <c r="M2314" s="16">
        <f>IF(NOT(Paths!$C$216=1),0,IF(Paths!$P$216="Complete",IF(AND(Paths!$D$216="EV",Paths!$E$216&lt;120,Paths!$E$216+'Operating costs'!$B$65&gt;Paths!$E$216,Paths!$E$216+'Operating costs'!$B$65&lt;=120,IF(Paths!$E$216+'Operating costs'!$B$65=0,C2314=0,AND(C2314&gt;0,Paths!$E$216+'Operating costs'!$B$65&gt;(C2314-1)*12,Paths!$E$216+'Operating costs'!$B$65&lt;=C2314*12))),'Operating costs'!$B$64,0)+IF(AND('Operating costs'!$B$67&gt;0,'Operating costs'!$B$67&lt;=120,OR(Paths!$D$216="ICE",'Operating costs'!$B$67&lt;=Paths!$E$216),IF('Operating costs'!$B$67=0,C2314=0,AND(C2314&gt;0,'Operating costs'!$B$67&gt;(C2314-1)*12,'Operating costs'!$B$67&lt;=C2314*12))),'Operating costs'!$B$66,0),"n.a."))</f>
        <v>0</v>
      </c>
      <c r="N2314" s="16">
        <f>IF(NOT(Paths!$C$216=1),0,IF(Paths!$P$216="Complete",SUM(G2314:I2314)-J2314-K2314-L2314+M2314+IF(C2314=0,Paths!$F$216,0)+IF(IF(Paths!$E$216=0,C2314=0,AND(C2314&gt;0,Paths!$E$216&gt;(C2314-1)*12,Paths!$E$216&lt;=C2314*12)),VLOOKUP(A2314,'Fleet register'!$A$7:$S$106,16,FALSE),0),"n.a."))</f>
        <v>0</v>
      </c>
      <c r="O2314" s="16">
        <f>IF(NOT(Paths!$C$216=1),0,IF(Paths!$P$216="Complete",N2314-IF(C2314=0,Paths!$F$216,0),"n.a."))</f>
        <v>0</v>
      </c>
      <c r="P2314" s="16">
        <f>IF(NOT(Paths!$C$216=1),0,IF(Paths!$P$216="Complete",O2314+L2314,"n.a."))</f>
        <v>0</v>
      </c>
      <c r="Q2314" s="16">
        <f>IF(NOT(Paths!$C$216=1),0,IF(Paths!$P$216="Complete",N2314*(1+'Operating costs'!$B$54)^-C2314,"n.a."))</f>
        <v>0</v>
      </c>
      <c r="R2314" s="16">
        <f>IF(NOT(Paths!$C$216=1),0,IF(Paths!$P$216="Complete",IF(AND(C2314=0,Paths!$E$216=0),I2314-J2314-K2314+VLOOKUP(A2314,'Fleet register'!$A$7:$S$106,15,FALSE)+VLOOKUP(A2314,'Fleet register'!$A$7:$S$106,16,FALSE),0),"n.a."))</f>
        <v>0</v>
      </c>
      <c r="S2314" s="1">
        <f>IF(NOT(Paths!$C$216=1),0,IF(Paths!$P$216="Complete",IF(C2314=0,0,Paths!$S$216*Paths!$R$216),"n.a."))</f>
        <v>0</v>
      </c>
      <c r="T2314" s="1">
        <f>IF(NOT(Paths!$C$216=1),0,IF(Paths!$P$216="Complete",IF(C2314=0,0,VLOOKUP(A2314,'Fleet register'!$A$7:$S$106,9,FALSE)*Paths!$R$216),"n.a."))</f>
        <v>0</v>
      </c>
    </row>
    <row r="2315" spans="1:20" ht="24" customHeight="1">
      <c r="A2315" s="1" t="str">
        <f>Paths!$A$216</f>
        <v>T053</v>
      </c>
      <c r="B2315" s="1">
        <f>Paths!$B$216</f>
        <v>1</v>
      </c>
      <c r="C2315" s="1">
        <v>9</v>
      </c>
      <c r="D2315" s="1">
        <v>216</v>
      </c>
      <c r="E2315" s="1">
        <f>IF(OR(Paths!$C$216=0,C2315=0),0,MAX(0,MIN(C2315*12,Paths!$E$216)-(C2315-1)*12))</f>
        <v>0</v>
      </c>
      <c r="F2315" s="1">
        <f>IF(OR(Paths!$C$216=0,C2315=0),0,12-E2315)</f>
        <v>0</v>
      </c>
      <c r="G2315" s="16">
        <f>IF(NOT(Paths!$C$216=1),0,IF(Paths!$P$216="Complete",E2315/12*(Paths!$J$216*(1+'Operating costs'!$B$51)^MAX(0,C2315-1)+Paths!$K$216*(1+'Operating costs'!$B$53)^MAX(0,C2315-1)),"n.a."))</f>
        <v>0</v>
      </c>
      <c r="H2315" s="16">
        <f>IF(NOT(Paths!$C$216=1),0,IF(Paths!$P$216="Complete",F2315/12*(Paths!$L$216*(1+IF(Paths!$D$216="EV",'Operating costs'!$B$52,'Operating costs'!$B$51))^MAX(0,C2315-1)+Paths!$M$216*(1+'Operating costs'!$B$53)^MAX(0,C2315-1)),"n.a."))</f>
        <v>0</v>
      </c>
      <c r="I2315" s="16">
        <f>IF(NOT(Paths!$C$216=1),0,IF(Paths!$P$216="Complete",IF(IF(Paths!$E$216=0,C2315=0,AND(C2315&gt;0,Paths!$E$216&gt;(C2315-1)*12,Paths!$E$216&lt;=C2315*12)),Paths!$G$216,0),"n.a."))</f>
        <v>0</v>
      </c>
      <c r="J2315" s="16">
        <f>IF(NOT(Paths!$C$216=1),0,IF(Paths!$P$216="Complete",IF(IF(Paths!$E$216=0,C2315=0,AND(C2315&gt;0,Paths!$E$216&gt;(C2315-1)*12,Paths!$E$216&lt;=C2315*12)),Paths!$H$216,0),"n.a."))</f>
        <v>0</v>
      </c>
      <c r="K2315" s="16">
        <f>IF(NOT(Paths!$C$216=1),0,IF(Paths!$P$216="Complete",IF(IF(Paths!$O$216=0,C2315=0,AND(C2315&gt;0,Paths!$O$216&gt;(C2315-1)*12,Paths!$O$216&lt;=C2315*12)),Paths!$N$216,0),"n.a."))</f>
        <v>0</v>
      </c>
      <c r="L2315" s="16">
        <f>IF(NOT(Paths!$C$216=1),0,IF(Paths!$P$216="Complete",IF(C2315=10,Paths!$I$216,0),"n.a."))</f>
        <v>0</v>
      </c>
      <c r="M2315" s="16">
        <f>IF(NOT(Paths!$C$216=1),0,IF(Paths!$P$216="Complete",IF(AND(Paths!$D$216="EV",Paths!$E$216&lt;120,Paths!$E$216+'Operating costs'!$B$65&gt;Paths!$E$216,Paths!$E$216+'Operating costs'!$B$65&lt;=120,IF(Paths!$E$216+'Operating costs'!$B$65=0,C2315=0,AND(C2315&gt;0,Paths!$E$216+'Operating costs'!$B$65&gt;(C2315-1)*12,Paths!$E$216+'Operating costs'!$B$65&lt;=C2315*12))),'Operating costs'!$B$64,0)+IF(AND('Operating costs'!$B$67&gt;0,'Operating costs'!$B$67&lt;=120,OR(Paths!$D$216="ICE",'Operating costs'!$B$67&lt;=Paths!$E$216),IF('Operating costs'!$B$67=0,C2315=0,AND(C2315&gt;0,'Operating costs'!$B$67&gt;(C2315-1)*12,'Operating costs'!$B$67&lt;=C2315*12))),'Operating costs'!$B$66,0),"n.a."))</f>
        <v>0</v>
      </c>
      <c r="N2315" s="16">
        <f>IF(NOT(Paths!$C$216=1),0,IF(Paths!$P$216="Complete",SUM(G2315:I2315)-J2315-K2315-L2315+M2315+IF(C2315=0,Paths!$F$216,0)+IF(IF(Paths!$E$216=0,C2315=0,AND(C2315&gt;0,Paths!$E$216&gt;(C2315-1)*12,Paths!$E$216&lt;=C2315*12)),VLOOKUP(A2315,'Fleet register'!$A$7:$S$106,16,FALSE),0),"n.a."))</f>
        <v>0</v>
      </c>
      <c r="O2315" s="16">
        <f>IF(NOT(Paths!$C$216=1),0,IF(Paths!$P$216="Complete",N2315-IF(C2315=0,Paths!$F$216,0),"n.a."))</f>
        <v>0</v>
      </c>
      <c r="P2315" s="16">
        <f>IF(NOT(Paths!$C$216=1),0,IF(Paths!$P$216="Complete",O2315+L2315,"n.a."))</f>
        <v>0</v>
      </c>
      <c r="Q2315" s="16">
        <f>IF(NOT(Paths!$C$216=1),0,IF(Paths!$P$216="Complete",N2315*(1+'Operating costs'!$B$54)^-C2315,"n.a."))</f>
        <v>0</v>
      </c>
      <c r="R2315" s="16">
        <f>IF(NOT(Paths!$C$216=1),0,IF(Paths!$P$216="Complete",IF(AND(C2315=0,Paths!$E$216=0),I2315-J2315-K2315+VLOOKUP(A2315,'Fleet register'!$A$7:$S$106,15,FALSE)+VLOOKUP(A2315,'Fleet register'!$A$7:$S$106,16,FALSE),0),"n.a."))</f>
        <v>0</v>
      </c>
      <c r="S2315" s="1">
        <f>IF(NOT(Paths!$C$216=1),0,IF(Paths!$P$216="Complete",IF(C2315=0,0,Paths!$S$216*Paths!$R$216),"n.a."))</f>
        <v>0</v>
      </c>
      <c r="T2315" s="1">
        <f>IF(NOT(Paths!$C$216=1),0,IF(Paths!$P$216="Complete",IF(C2315=0,0,VLOOKUP(A2315,'Fleet register'!$A$7:$S$106,9,FALSE)*Paths!$R$216),"n.a."))</f>
        <v>0</v>
      </c>
    </row>
    <row r="2316" spans="1:20" ht="24" customHeight="1">
      <c r="A2316" s="1" t="str">
        <f>Paths!$A$216</f>
        <v>T053</v>
      </c>
      <c r="B2316" s="1">
        <f>Paths!$B$216</f>
        <v>1</v>
      </c>
      <c r="C2316" s="1">
        <v>10</v>
      </c>
      <c r="D2316" s="1">
        <v>216</v>
      </c>
      <c r="E2316" s="1">
        <f>IF(OR(Paths!$C$216=0,C2316=0),0,MAX(0,MIN(C2316*12,Paths!$E$216)-(C2316-1)*12))</f>
        <v>0</v>
      </c>
      <c r="F2316" s="1">
        <f>IF(OR(Paths!$C$216=0,C2316=0),0,12-E2316)</f>
        <v>0</v>
      </c>
      <c r="G2316" s="16">
        <f>IF(NOT(Paths!$C$216=1),0,IF(Paths!$P$216="Complete",E2316/12*(Paths!$J$216*(1+'Operating costs'!$B$51)^MAX(0,C2316-1)+Paths!$K$216*(1+'Operating costs'!$B$53)^MAX(0,C2316-1)),"n.a."))</f>
        <v>0</v>
      </c>
      <c r="H2316" s="16">
        <f>IF(NOT(Paths!$C$216=1),0,IF(Paths!$P$216="Complete",F2316/12*(Paths!$L$216*(1+IF(Paths!$D$216="EV",'Operating costs'!$B$52,'Operating costs'!$B$51))^MAX(0,C2316-1)+Paths!$M$216*(1+'Operating costs'!$B$53)^MAX(0,C2316-1)),"n.a."))</f>
        <v>0</v>
      </c>
      <c r="I2316" s="16">
        <f>IF(NOT(Paths!$C$216=1),0,IF(Paths!$P$216="Complete",IF(IF(Paths!$E$216=0,C2316=0,AND(C2316&gt;0,Paths!$E$216&gt;(C2316-1)*12,Paths!$E$216&lt;=C2316*12)),Paths!$G$216,0),"n.a."))</f>
        <v>0</v>
      </c>
      <c r="J2316" s="16">
        <f>IF(NOT(Paths!$C$216=1),0,IF(Paths!$P$216="Complete",IF(IF(Paths!$E$216=0,C2316=0,AND(C2316&gt;0,Paths!$E$216&gt;(C2316-1)*12,Paths!$E$216&lt;=C2316*12)),Paths!$H$216,0),"n.a."))</f>
        <v>0</v>
      </c>
      <c r="K2316" s="16">
        <f>IF(NOT(Paths!$C$216=1),0,IF(Paths!$P$216="Complete",IF(IF(Paths!$O$216=0,C2316=0,AND(C2316&gt;0,Paths!$O$216&gt;(C2316-1)*12,Paths!$O$216&lt;=C2316*12)),Paths!$N$216,0),"n.a."))</f>
        <v>0</v>
      </c>
      <c r="L2316" s="16">
        <f>IF(NOT(Paths!$C$216=1),0,IF(Paths!$P$216="Complete",IF(C2316=10,Paths!$I$216,0),"n.a."))</f>
        <v>0</v>
      </c>
      <c r="M2316" s="16">
        <f>IF(NOT(Paths!$C$216=1),0,IF(Paths!$P$216="Complete",IF(AND(Paths!$D$216="EV",Paths!$E$216&lt;120,Paths!$E$216+'Operating costs'!$B$65&gt;Paths!$E$216,Paths!$E$216+'Operating costs'!$B$65&lt;=120,IF(Paths!$E$216+'Operating costs'!$B$65=0,C2316=0,AND(C2316&gt;0,Paths!$E$216+'Operating costs'!$B$65&gt;(C2316-1)*12,Paths!$E$216+'Operating costs'!$B$65&lt;=C2316*12))),'Operating costs'!$B$64,0)+IF(AND('Operating costs'!$B$67&gt;0,'Operating costs'!$B$67&lt;=120,OR(Paths!$D$216="ICE",'Operating costs'!$B$67&lt;=Paths!$E$216),IF('Operating costs'!$B$67=0,C2316=0,AND(C2316&gt;0,'Operating costs'!$B$67&gt;(C2316-1)*12,'Operating costs'!$B$67&lt;=C2316*12))),'Operating costs'!$B$66,0),"n.a."))</f>
        <v>0</v>
      </c>
      <c r="N2316" s="16">
        <f>IF(NOT(Paths!$C$216=1),0,IF(Paths!$P$216="Complete",SUM(G2316:I2316)-J2316-K2316-L2316+M2316+IF(C2316=0,Paths!$F$216,0)+IF(IF(Paths!$E$216=0,C2316=0,AND(C2316&gt;0,Paths!$E$216&gt;(C2316-1)*12,Paths!$E$216&lt;=C2316*12)),VLOOKUP(A2316,'Fleet register'!$A$7:$S$106,16,FALSE),0),"n.a."))</f>
        <v>0</v>
      </c>
      <c r="O2316" s="16">
        <f>IF(NOT(Paths!$C$216=1),0,IF(Paths!$P$216="Complete",N2316-IF(C2316=0,Paths!$F$216,0),"n.a."))</f>
        <v>0</v>
      </c>
      <c r="P2316" s="16">
        <f>IF(NOT(Paths!$C$216=1),0,IF(Paths!$P$216="Complete",O2316+L2316,"n.a."))</f>
        <v>0</v>
      </c>
      <c r="Q2316" s="16">
        <f>IF(NOT(Paths!$C$216=1),0,IF(Paths!$P$216="Complete",N2316*(1+'Operating costs'!$B$54)^-C2316,"n.a."))</f>
        <v>0</v>
      </c>
      <c r="R2316" s="16">
        <f>IF(NOT(Paths!$C$216=1),0,IF(Paths!$P$216="Complete",IF(AND(C2316=0,Paths!$E$216=0),I2316-J2316-K2316+VLOOKUP(A2316,'Fleet register'!$A$7:$S$106,15,FALSE)+VLOOKUP(A2316,'Fleet register'!$A$7:$S$106,16,FALSE),0),"n.a."))</f>
        <v>0</v>
      </c>
      <c r="S2316" s="1">
        <f>IF(NOT(Paths!$C$216=1),0,IF(Paths!$P$216="Complete",IF(C2316=0,0,Paths!$S$216*Paths!$R$216),"n.a."))</f>
        <v>0</v>
      </c>
      <c r="T2316" s="1">
        <f>IF(NOT(Paths!$C$216=1),0,IF(Paths!$P$216="Complete",IF(C2316=0,0,VLOOKUP(A2316,'Fleet register'!$A$7:$S$106,9,FALSE)*Paths!$R$216),"n.a."))</f>
        <v>0</v>
      </c>
    </row>
    <row r="2317" spans="1:20" ht="24" customHeight="1">
      <c r="A2317" s="1" t="str">
        <f>Paths!$A$217</f>
        <v>T053</v>
      </c>
      <c r="B2317" s="1">
        <f>Paths!$B$217</f>
        <v>2</v>
      </c>
      <c r="C2317" s="1">
        <v>0</v>
      </c>
      <c r="D2317" s="1">
        <v>217</v>
      </c>
      <c r="E2317" s="1">
        <f>IF(OR(Paths!$C$217=0,C2317=0),0,MAX(0,MIN(C2317*12,Paths!$E$217)-(C2317-1)*12))</f>
        <v>0</v>
      </c>
      <c r="F2317" s="1">
        <f>IF(OR(Paths!$C$217=0,C2317=0),0,12-E2317)</f>
        <v>0</v>
      </c>
      <c r="G2317" s="16">
        <f>IF(NOT(Paths!$C$217=1),0,IF(Paths!$P$217="Complete",E2317/12*(Paths!$J$217*(1+'Operating costs'!$B$51)^MAX(0,C2317-1)+Paths!$K$217*(1+'Operating costs'!$B$53)^MAX(0,C2317-1)),"n.a."))</f>
        <v>0</v>
      </c>
      <c r="H2317" s="16">
        <f>IF(NOT(Paths!$C$217=1),0,IF(Paths!$P$217="Complete",F2317/12*(Paths!$L$217*(1+IF(Paths!$D$217="EV",'Operating costs'!$B$52,'Operating costs'!$B$51))^MAX(0,C2317-1)+Paths!$M$217*(1+'Operating costs'!$B$53)^MAX(0,C2317-1)),"n.a."))</f>
        <v>0</v>
      </c>
      <c r="I2317" s="16">
        <f>IF(NOT(Paths!$C$217=1),0,IF(Paths!$P$217="Complete",IF(IF(Paths!$E$217=0,C2317=0,AND(C2317&gt;0,Paths!$E$217&gt;(C2317-1)*12,Paths!$E$217&lt;=C2317*12)),Paths!$G$217,0),"n.a."))</f>
        <v>0</v>
      </c>
      <c r="J2317" s="16">
        <f>IF(NOT(Paths!$C$217=1),0,IF(Paths!$P$217="Complete",IF(IF(Paths!$E$217=0,C2317=0,AND(C2317&gt;0,Paths!$E$217&gt;(C2317-1)*12,Paths!$E$217&lt;=C2317*12)),Paths!$H$217,0),"n.a."))</f>
        <v>0</v>
      </c>
      <c r="K2317" s="16">
        <f>IF(NOT(Paths!$C$217=1),0,IF(Paths!$P$217="Complete",IF(IF(Paths!$O$217=0,C2317=0,AND(C2317&gt;0,Paths!$O$217&gt;(C2317-1)*12,Paths!$O$217&lt;=C2317*12)),Paths!$N$217,0),"n.a."))</f>
        <v>0</v>
      </c>
      <c r="L2317" s="16">
        <f>IF(NOT(Paths!$C$217=1),0,IF(Paths!$P$217="Complete",IF(C2317=10,Paths!$I$217,0),"n.a."))</f>
        <v>0</v>
      </c>
      <c r="M2317" s="16">
        <f>IF(NOT(Paths!$C$217=1),0,IF(Paths!$P$217="Complete",IF(AND(Paths!$D$217="EV",Paths!$E$217&lt;120,Paths!$E$217+'Operating costs'!$B$65&gt;Paths!$E$217,Paths!$E$217+'Operating costs'!$B$65&lt;=120,IF(Paths!$E$217+'Operating costs'!$B$65=0,C2317=0,AND(C2317&gt;0,Paths!$E$217+'Operating costs'!$B$65&gt;(C2317-1)*12,Paths!$E$217+'Operating costs'!$B$65&lt;=C2317*12))),'Operating costs'!$B$64,0)+IF(AND('Operating costs'!$B$67&gt;0,'Operating costs'!$B$67&lt;=120,OR(Paths!$D$217="ICE",'Operating costs'!$B$67&lt;=Paths!$E$217),IF('Operating costs'!$B$67=0,C2317=0,AND(C2317&gt;0,'Operating costs'!$B$67&gt;(C2317-1)*12,'Operating costs'!$B$67&lt;=C2317*12))),'Operating costs'!$B$66,0),"n.a."))</f>
        <v>0</v>
      </c>
      <c r="N2317" s="16">
        <f>IF(NOT(Paths!$C$217=1),0,IF(Paths!$P$217="Complete",SUM(G2317:I2317)-J2317-K2317-L2317+M2317+IF(C2317=0,Paths!$F$217,0)+IF(IF(Paths!$E$217=0,C2317=0,AND(C2317&gt;0,Paths!$E$217&gt;(C2317-1)*12,Paths!$E$217&lt;=C2317*12)),VLOOKUP(A2317,'Fleet register'!$A$7:$S$106,16,FALSE),0),"n.a."))</f>
        <v>0</v>
      </c>
      <c r="O2317" s="16">
        <f>IF(NOT(Paths!$C$217=1),0,IF(Paths!$P$217="Complete",N2317-IF(C2317=0,Paths!$F$217,0),"n.a."))</f>
        <v>0</v>
      </c>
      <c r="P2317" s="16">
        <f>IF(NOT(Paths!$C$217=1),0,IF(Paths!$P$217="Complete",O2317+L2317,"n.a."))</f>
        <v>0</v>
      </c>
      <c r="Q2317" s="16">
        <f>IF(NOT(Paths!$C$217=1),0,IF(Paths!$P$217="Complete",N2317*(1+'Operating costs'!$B$54)^-C2317,"n.a."))</f>
        <v>0</v>
      </c>
      <c r="R2317" s="16">
        <f>IF(NOT(Paths!$C$217=1),0,IF(Paths!$P$217="Complete",IF(AND(C2317=0,Paths!$E$217=0),I2317-J2317-K2317+VLOOKUP(A2317,'Fleet register'!$A$7:$S$106,15,FALSE)+VLOOKUP(A2317,'Fleet register'!$A$7:$S$106,16,FALSE),0),"n.a."))</f>
        <v>0</v>
      </c>
      <c r="S2317" s="1">
        <f>IF(NOT(Paths!$C$217=1),0,IF(Paths!$P$217="Complete",IF(C2317=0,0,Paths!$S$217*Paths!$R$217),"n.a."))</f>
        <v>0</v>
      </c>
      <c r="T2317" s="1">
        <f>IF(NOT(Paths!$C$217=1),0,IF(Paths!$P$217="Complete",IF(C2317=0,0,VLOOKUP(A2317,'Fleet register'!$A$7:$S$106,9,FALSE)*Paths!$R$217),"n.a."))</f>
        <v>0</v>
      </c>
    </row>
    <row r="2318" spans="1:20" ht="24" customHeight="1">
      <c r="A2318" s="1" t="str">
        <f>Paths!$A$217</f>
        <v>T053</v>
      </c>
      <c r="B2318" s="1">
        <f>Paths!$B$217</f>
        <v>2</v>
      </c>
      <c r="C2318" s="1">
        <v>1</v>
      </c>
      <c r="D2318" s="1">
        <v>217</v>
      </c>
      <c r="E2318" s="1">
        <f>IF(OR(Paths!$C$217=0,C2318=0),0,MAX(0,MIN(C2318*12,Paths!$E$217)-(C2318-1)*12))</f>
        <v>0</v>
      </c>
      <c r="F2318" s="1">
        <f>IF(OR(Paths!$C$217=0,C2318=0),0,12-E2318)</f>
        <v>0</v>
      </c>
      <c r="G2318" s="16">
        <f>IF(NOT(Paths!$C$217=1),0,IF(Paths!$P$217="Complete",E2318/12*(Paths!$J$217*(1+'Operating costs'!$B$51)^MAX(0,C2318-1)+Paths!$K$217*(1+'Operating costs'!$B$53)^MAX(0,C2318-1)),"n.a."))</f>
        <v>0</v>
      </c>
      <c r="H2318" s="16">
        <f>IF(NOT(Paths!$C$217=1),0,IF(Paths!$P$217="Complete",F2318/12*(Paths!$L$217*(1+IF(Paths!$D$217="EV",'Operating costs'!$B$52,'Operating costs'!$B$51))^MAX(0,C2318-1)+Paths!$M$217*(1+'Operating costs'!$B$53)^MAX(0,C2318-1)),"n.a."))</f>
        <v>0</v>
      </c>
      <c r="I2318" s="16">
        <f>IF(NOT(Paths!$C$217=1),0,IF(Paths!$P$217="Complete",IF(IF(Paths!$E$217=0,C2318=0,AND(C2318&gt;0,Paths!$E$217&gt;(C2318-1)*12,Paths!$E$217&lt;=C2318*12)),Paths!$G$217,0),"n.a."))</f>
        <v>0</v>
      </c>
      <c r="J2318" s="16">
        <f>IF(NOT(Paths!$C$217=1),0,IF(Paths!$P$217="Complete",IF(IF(Paths!$E$217=0,C2318=0,AND(C2318&gt;0,Paths!$E$217&gt;(C2318-1)*12,Paths!$E$217&lt;=C2318*12)),Paths!$H$217,0),"n.a."))</f>
        <v>0</v>
      </c>
      <c r="K2318" s="16">
        <f>IF(NOT(Paths!$C$217=1),0,IF(Paths!$P$217="Complete",IF(IF(Paths!$O$217=0,C2318=0,AND(C2318&gt;0,Paths!$O$217&gt;(C2318-1)*12,Paths!$O$217&lt;=C2318*12)),Paths!$N$217,0),"n.a."))</f>
        <v>0</v>
      </c>
      <c r="L2318" s="16">
        <f>IF(NOT(Paths!$C$217=1),0,IF(Paths!$P$217="Complete",IF(C2318=10,Paths!$I$217,0),"n.a."))</f>
        <v>0</v>
      </c>
      <c r="M2318" s="16">
        <f>IF(NOT(Paths!$C$217=1),0,IF(Paths!$P$217="Complete",IF(AND(Paths!$D$217="EV",Paths!$E$217&lt;120,Paths!$E$217+'Operating costs'!$B$65&gt;Paths!$E$217,Paths!$E$217+'Operating costs'!$B$65&lt;=120,IF(Paths!$E$217+'Operating costs'!$B$65=0,C2318=0,AND(C2318&gt;0,Paths!$E$217+'Operating costs'!$B$65&gt;(C2318-1)*12,Paths!$E$217+'Operating costs'!$B$65&lt;=C2318*12))),'Operating costs'!$B$64,0)+IF(AND('Operating costs'!$B$67&gt;0,'Operating costs'!$B$67&lt;=120,OR(Paths!$D$217="ICE",'Operating costs'!$B$67&lt;=Paths!$E$217),IF('Operating costs'!$B$67=0,C2318=0,AND(C2318&gt;0,'Operating costs'!$B$67&gt;(C2318-1)*12,'Operating costs'!$B$67&lt;=C2318*12))),'Operating costs'!$B$66,0),"n.a."))</f>
        <v>0</v>
      </c>
      <c r="N2318" s="16">
        <f>IF(NOT(Paths!$C$217=1),0,IF(Paths!$P$217="Complete",SUM(G2318:I2318)-J2318-K2318-L2318+M2318+IF(C2318=0,Paths!$F$217,0)+IF(IF(Paths!$E$217=0,C2318=0,AND(C2318&gt;0,Paths!$E$217&gt;(C2318-1)*12,Paths!$E$217&lt;=C2318*12)),VLOOKUP(A2318,'Fleet register'!$A$7:$S$106,16,FALSE),0),"n.a."))</f>
        <v>0</v>
      </c>
      <c r="O2318" s="16">
        <f>IF(NOT(Paths!$C$217=1),0,IF(Paths!$P$217="Complete",N2318-IF(C2318=0,Paths!$F$217,0),"n.a."))</f>
        <v>0</v>
      </c>
      <c r="P2318" s="16">
        <f>IF(NOT(Paths!$C$217=1),0,IF(Paths!$P$217="Complete",O2318+L2318,"n.a."))</f>
        <v>0</v>
      </c>
      <c r="Q2318" s="16">
        <f>IF(NOT(Paths!$C$217=1),0,IF(Paths!$P$217="Complete",N2318*(1+'Operating costs'!$B$54)^-C2318,"n.a."))</f>
        <v>0</v>
      </c>
      <c r="R2318" s="16">
        <f>IF(NOT(Paths!$C$217=1),0,IF(Paths!$P$217="Complete",IF(AND(C2318=0,Paths!$E$217=0),I2318-J2318-K2318+VLOOKUP(A2318,'Fleet register'!$A$7:$S$106,15,FALSE)+VLOOKUP(A2318,'Fleet register'!$A$7:$S$106,16,FALSE),0),"n.a."))</f>
        <v>0</v>
      </c>
      <c r="S2318" s="1">
        <f>IF(NOT(Paths!$C$217=1),0,IF(Paths!$P$217="Complete",IF(C2318=0,0,Paths!$S$217*Paths!$R$217),"n.a."))</f>
        <v>0</v>
      </c>
      <c r="T2318" s="1">
        <f>IF(NOT(Paths!$C$217=1),0,IF(Paths!$P$217="Complete",IF(C2318=0,0,VLOOKUP(A2318,'Fleet register'!$A$7:$S$106,9,FALSE)*Paths!$R$217),"n.a."))</f>
        <v>0</v>
      </c>
    </row>
    <row r="2319" spans="1:20" ht="24" customHeight="1">
      <c r="A2319" s="1" t="str">
        <f>Paths!$A$217</f>
        <v>T053</v>
      </c>
      <c r="B2319" s="1">
        <f>Paths!$B$217</f>
        <v>2</v>
      </c>
      <c r="C2319" s="1">
        <v>2</v>
      </c>
      <c r="D2319" s="1">
        <v>217</v>
      </c>
      <c r="E2319" s="1">
        <f>IF(OR(Paths!$C$217=0,C2319=0),0,MAX(0,MIN(C2319*12,Paths!$E$217)-(C2319-1)*12))</f>
        <v>0</v>
      </c>
      <c r="F2319" s="1">
        <f>IF(OR(Paths!$C$217=0,C2319=0),0,12-E2319)</f>
        <v>0</v>
      </c>
      <c r="G2319" s="16">
        <f>IF(NOT(Paths!$C$217=1),0,IF(Paths!$P$217="Complete",E2319/12*(Paths!$J$217*(1+'Operating costs'!$B$51)^MAX(0,C2319-1)+Paths!$K$217*(1+'Operating costs'!$B$53)^MAX(0,C2319-1)),"n.a."))</f>
        <v>0</v>
      </c>
      <c r="H2319" s="16">
        <f>IF(NOT(Paths!$C$217=1),0,IF(Paths!$P$217="Complete",F2319/12*(Paths!$L$217*(1+IF(Paths!$D$217="EV",'Operating costs'!$B$52,'Operating costs'!$B$51))^MAX(0,C2319-1)+Paths!$M$217*(1+'Operating costs'!$B$53)^MAX(0,C2319-1)),"n.a."))</f>
        <v>0</v>
      </c>
      <c r="I2319" s="16">
        <f>IF(NOT(Paths!$C$217=1),0,IF(Paths!$P$217="Complete",IF(IF(Paths!$E$217=0,C2319=0,AND(C2319&gt;0,Paths!$E$217&gt;(C2319-1)*12,Paths!$E$217&lt;=C2319*12)),Paths!$G$217,0),"n.a."))</f>
        <v>0</v>
      </c>
      <c r="J2319" s="16">
        <f>IF(NOT(Paths!$C$217=1),0,IF(Paths!$P$217="Complete",IF(IF(Paths!$E$217=0,C2319=0,AND(C2319&gt;0,Paths!$E$217&gt;(C2319-1)*12,Paths!$E$217&lt;=C2319*12)),Paths!$H$217,0),"n.a."))</f>
        <v>0</v>
      </c>
      <c r="K2319" s="16">
        <f>IF(NOT(Paths!$C$217=1),0,IF(Paths!$P$217="Complete",IF(IF(Paths!$O$217=0,C2319=0,AND(C2319&gt;0,Paths!$O$217&gt;(C2319-1)*12,Paths!$O$217&lt;=C2319*12)),Paths!$N$217,0),"n.a."))</f>
        <v>0</v>
      </c>
      <c r="L2319" s="16">
        <f>IF(NOT(Paths!$C$217=1),0,IF(Paths!$P$217="Complete",IF(C2319=10,Paths!$I$217,0),"n.a."))</f>
        <v>0</v>
      </c>
      <c r="M2319" s="16">
        <f>IF(NOT(Paths!$C$217=1),0,IF(Paths!$P$217="Complete",IF(AND(Paths!$D$217="EV",Paths!$E$217&lt;120,Paths!$E$217+'Operating costs'!$B$65&gt;Paths!$E$217,Paths!$E$217+'Operating costs'!$B$65&lt;=120,IF(Paths!$E$217+'Operating costs'!$B$65=0,C2319=0,AND(C2319&gt;0,Paths!$E$217+'Operating costs'!$B$65&gt;(C2319-1)*12,Paths!$E$217+'Operating costs'!$B$65&lt;=C2319*12))),'Operating costs'!$B$64,0)+IF(AND('Operating costs'!$B$67&gt;0,'Operating costs'!$B$67&lt;=120,OR(Paths!$D$217="ICE",'Operating costs'!$B$67&lt;=Paths!$E$217),IF('Operating costs'!$B$67=0,C2319=0,AND(C2319&gt;0,'Operating costs'!$B$67&gt;(C2319-1)*12,'Operating costs'!$B$67&lt;=C2319*12))),'Operating costs'!$B$66,0),"n.a."))</f>
        <v>0</v>
      </c>
      <c r="N2319" s="16">
        <f>IF(NOT(Paths!$C$217=1),0,IF(Paths!$P$217="Complete",SUM(G2319:I2319)-J2319-K2319-L2319+M2319+IF(C2319=0,Paths!$F$217,0)+IF(IF(Paths!$E$217=0,C2319=0,AND(C2319&gt;0,Paths!$E$217&gt;(C2319-1)*12,Paths!$E$217&lt;=C2319*12)),VLOOKUP(A2319,'Fleet register'!$A$7:$S$106,16,FALSE),0),"n.a."))</f>
        <v>0</v>
      </c>
      <c r="O2319" s="16">
        <f>IF(NOT(Paths!$C$217=1),0,IF(Paths!$P$217="Complete",N2319-IF(C2319=0,Paths!$F$217,0),"n.a."))</f>
        <v>0</v>
      </c>
      <c r="P2319" s="16">
        <f>IF(NOT(Paths!$C$217=1),0,IF(Paths!$P$217="Complete",O2319+L2319,"n.a."))</f>
        <v>0</v>
      </c>
      <c r="Q2319" s="16">
        <f>IF(NOT(Paths!$C$217=1),0,IF(Paths!$P$217="Complete",N2319*(1+'Operating costs'!$B$54)^-C2319,"n.a."))</f>
        <v>0</v>
      </c>
      <c r="R2319" s="16">
        <f>IF(NOT(Paths!$C$217=1),0,IF(Paths!$P$217="Complete",IF(AND(C2319=0,Paths!$E$217=0),I2319-J2319-K2319+VLOOKUP(A2319,'Fleet register'!$A$7:$S$106,15,FALSE)+VLOOKUP(A2319,'Fleet register'!$A$7:$S$106,16,FALSE),0),"n.a."))</f>
        <v>0</v>
      </c>
      <c r="S2319" s="1">
        <f>IF(NOT(Paths!$C$217=1),0,IF(Paths!$P$217="Complete",IF(C2319=0,0,Paths!$S$217*Paths!$R$217),"n.a."))</f>
        <v>0</v>
      </c>
      <c r="T2319" s="1">
        <f>IF(NOT(Paths!$C$217=1),0,IF(Paths!$P$217="Complete",IF(C2319=0,0,VLOOKUP(A2319,'Fleet register'!$A$7:$S$106,9,FALSE)*Paths!$R$217),"n.a."))</f>
        <v>0</v>
      </c>
    </row>
    <row r="2320" spans="1:20" ht="24" customHeight="1">
      <c r="A2320" s="1" t="str">
        <f>Paths!$A$217</f>
        <v>T053</v>
      </c>
      <c r="B2320" s="1">
        <f>Paths!$B$217</f>
        <v>2</v>
      </c>
      <c r="C2320" s="1">
        <v>3</v>
      </c>
      <c r="D2320" s="1">
        <v>217</v>
      </c>
      <c r="E2320" s="1">
        <f>IF(OR(Paths!$C$217=0,C2320=0),0,MAX(0,MIN(C2320*12,Paths!$E$217)-(C2320-1)*12))</f>
        <v>0</v>
      </c>
      <c r="F2320" s="1">
        <f>IF(OR(Paths!$C$217=0,C2320=0),0,12-E2320)</f>
        <v>0</v>
      </c>
      <c r="G2320" s="16">
        <f>IF(NOT(Paths!$C$217=1),0,IF(Paths!$P$217="Complete",E2320/12*(Paths!$J$217*(1+'Operating costs'!$B$51)^MAX(0,C2320-1)+Paths!$K$217*(1+'Operating costs'!$B$53)^MAX(0,C2320-1)),"n.a."))</f>
        <v>0</v>
      </c>
      <c r="H2320" s="16">
        <f>IF(NOT(Paths!$C$217=1),0,IF(Paths!$P$217="Complete",F2320/12*(Paths!$L$217*(1+IF(Paths!$D$217="EV",'Operating costs'!$B$52,'Operating costs'!$B$51))^MAX(0,C2320-1)+Paths!$M$217*(1+'Operating costs'!$B$53)^MAX(0,C2320-1)),"n.a."))</f>
        <v>0</v>
      </c>
      <c r="I2320" s="16">
        <f>IF(NOT(Paths!$C$217=1),0,IF(Paths!$P$217="Complete",IF(IF(Paths!$E$217=0,C2320=0,AND(C2320&gt;0,Paths!$E$217&gt;(C2320-1)*12,Paths!$E$217&lt;=C2320*12)),Paths!$G$217,0),"n.a."))</f>
        <v>0</v>
      </c>
      <c r="J2320" s="16">
        <f>IF(NOT(Paths!$C$217=1),0,IF(Paths!$P$217="Complete",IF(IF(Paths!$E$217=0,C2320=0,AND(C2320&gt;0,Paths!$E$217&gt;(C2320-1)*12,Paths!$E$217&lt;=C2320*12)),Paths!$H$217,0),"n.a."))</f>
        <v>0</v>
      </c>
      <c r="K2320" s="16">
        <f>IF(NOT(Paths!$C$217=1),0,IF(Paths!$P$217="Complete",IF(IF(Paths!$O$217=0,C2320=0,AND(C2320&gt;0,Paths!$O$217&gt;(C2320-1)*12,Paths!$O$217&lt;=C2320*12)),Paths!$N$217,0),"n.a."))</f>
        <v>0</v>
      </c>
      <c r="L2320" s="16">
        <f>IF(NOT(Paths!$C$217=1),0,IF(Paths!$P$217="Complete",IF(C2320=10,Paths!$I$217,0),"n.a."))</f>
        <v>0</v>
      </c>
      <c r="M2320" s="16">
        <f>IF(NOT(Paths!$C$217=1),0,IF(Paths!$P$217="Complete",IF(AND(Paths!$D$217="EV",Paths!$E$217&lt;120,Paths!$E$217+'Operating costs'!$B$65&gt;Paths!$E$217,Paths!$E$217+'Operating costs'!$B$65&lt;=120,IF(Paths!$E$217+'Operating costs'!$B$65=0,C2320=0,AND(C2320&gt;0,Paths!$E$217+'Operating costs'!$B$65&gt;(C2320-1)*12,Paths!$E$217+'Operating costs'!$B$65&lt;=C2320*12))),'Operating costs'!$B$64,0)+IF(AND('Operating costs'!$B$67&gt;0,'Operating costs'!$B$67&lt;=120,OR(Paths!$D$217="ICE",'Operating costs'!$B$67&lt;=Paths!$E$217),IF('Operating costs'!$B$67=0,C2320=0,AND(C2320&gt;0,'Operating costs'!$B$67&gt;(C2320-1)*12,'Operating costs'!$B$67&lt;=C2320*12))),'Operating costs'!$B$66,0),"n.a."))</f>
        <v>0</v>
      </c>
      <c r="N2320" s="16">
        <f>IF(NOT(Paths!$C$217=1),0,IF(Paths!$P$217="Complete",SUM(G2320:I2320)-J2320-K2320-L2320+M2320+IF(C2320=0,Paths!$F$217,0)+IF(IF(Paths!$E$217=0,C2320=0,AND(C2320&gt;0,Paths!$E$217&gt;(C2320-1)*12,Paths!$E$217&lt;=C2320*12)),VLOOKUP(A2320,'Fleet register'!$A$7:$S$106,16,FALSE),0),"n.a."))</f>
        <v>0</v>
      </c>
      <c r="O2320" s="16">
        <f>IF(NOT(Paths!$C$217=1),0,IF(Paths!$P$217="Complete",N2320-IF(C2320=0,Paths!$F$217,0),"n.a."))</f>
        <v>0</v>
      </c>
      <c r="P2320" s="16">
        <f>IF(NOT(Paths!$C$217=1),0,IF(Paths!$P$217="Complete",O2320+L2320,"n.a."))</f>
        <v>0</v>
      </c>
      <c r="Q2320" s="16">
        <f>IF(NOT(Paths!$C$217=1),0,IF(Paths!$P$217="Complete",N2320*(1+'Operating costs'!$B$54)^-C2320,"n.a."))</f>
        <v>0</v>
      </c>
      <c r="R2320" s="16">
        <f>IF(NOT(Paths!$C$217=1),0,IF(Paths!$P$217="Complete",IF(AND(C2320=0,Paths!$E$217=0),I2320-J2320-K2320+VLOOKUP(A2320,'Fleet register'!$A$7:$S$106,15,FALSE)+VLOOKUP(A2320,'Fleet register'!$A$7:$S$106,16,FALSE),0),"n.a."))</f>
        <v>0</v>
      </c>
      <c r="S2320" s="1">
        <f>IF(NOT(Paths!$C$217=1),0,IF(Paths!$P$217="Complete",IF(C2320=0,0,Paths!$S$217*Paths!$R$217),"n.a."))</f>
        <v>0</v>
      </c>
      <c r="T2320" s="1">
        <f>IF(NOT(Paths!$C$217=1),0,IF(Paths!$P$217="Complete",IF(C2320=0,0,VLOOKUP(A2320,'Fleet register'!$A$7:$S$106,9,FALSE)*Paths!$R$217),"n.a."))</f>
        <v>0</v>
      </c>
    </row>
    <row r="2321" spans="1:20" ht="24" customHeight="1">
      <c r="A2321" s="1" t="str">
        <f>Paths!$A$217</f>
        <v>T053</v>
      </c>
      <c r="B2321" s="1">
        <f>Paths!$B$217</f>
        <v>2</v>
      </c>
      <c r="C2321" s="1">
        <v>4</v>
      </c>
      <c r="D2321" s="1">
        <v>217</v>
      </c>
      <c r="E2321" s="1">
        <f>IF(OR(Paths!$C$217=0,C2321=0),0,MAX(0,MIN(C2321*12,Paths!$E$217)-(C2321-1)*12))</f>
        <v>0</v>
      </c>
      <c r="F2321" s="1">
        <f>IF(OR(Paths!$C$217=0,C2321=0),0,12-E2321)</f>
        <v>0</v>
      </c>
      <c r="G2321" s="16">
        <f>IF(NOT(Paths!$C$217=1),0,IF(Paths!$P$217="Complete",E2321/12*(Paths!$J$217*(1+'Operating costs'!$B$51)^MAX(0,C2321-1)+Paths!$K$217*(1+'Operating costs'!$B$53)^MAX(0,C2321-1)),"n.a."))</f>
        <v>0</v>
      </c>
      <c r="H2321" s="16">
        <f>IF(NOT(Paths!$C$217=1),0,IF(Paths!$P$217="Complete",F2321/12*(Paths!$L$217*(1+IF(Paths!$D$217="EV",'Operating costs'!$B$52,'Operating costs'!$B$51))^MAX(0,C2321-1)+Paths!$M$217*(1+'Operating costs'!$B$53)^MAX(0,C2321-1)),"n.a."))</f>
        <v>0</v>
      </c>
      <c r="I2321" s="16">
        <f>IF(NOT(Paths!$C$217=1),0,IF(Paths!$P$217="Complete",IF(IF(Paths!$E$217=0,C2321=0,AND(C2321&gt;0,Paths!$E$217&gt;(C2321-1)*12,Paths!$E$217&lt;=C2321*12)),Paths!$G$217,0),"n.a."))</f>
        <v>0</v>
      </c>
      <c r="J2321" s="16">
        <f>IF(NOT(Paths!$C$217=1),0,IF(Paths!$P$217="Complete",IF(IF(Paths!$E$217=0,C2321=0,AND(C2321&gt;0,Paths!$E$217&gt;(C2321-1)*12,Paths!$E$217&lt;=C2321*12)),Paths!$H$217,0),"n.a."))</f>
        <v>0</v>
      </c>
      <c r="K2321" s="16">
        <f>IF(NOT(Paths!$C$217=1),0,IF(Paths!$P$217="Complete",IF(IF(Paths!$O$217=0,C2321=0,AND(C2321&gt;0,Paths!$O$217&gt;(C2321-1)*12,Paths!$O$217&lt;=C2321*12)),Paths!$N$217,0),"n.a."))</f>
        <v>0</v>
      </c>
      <c r="L2321" s="16">
        <f>IF(NOT(Paths!$C$217=1),0,IF(Paths!$P$217="Complete",IF(C2321=10,Paths!$I$217,0),"n.a."))</f>
        <v>0</v>
      </c>
      <c r="M2321" s="16">
        <f>IF(NOT(Paths!$C$217=1),0,IF(Paths!$P$217="Complete",IF(AND(Paths!$D$217="EV",Paths!$E$217&lt;120,Paths!$E$217+'Operating costs'!$B$65&gt;Paths!$E$217,Paths!$E$217+'Operating costs'!$B$65&lt;=120,IF(Paths!$E$217+'Operating costs'!$B$65=0,C2321=0,AND(C2321&gt;0,Paths!$E$217+'Operating costs'!$B$65&gt;(C2321-1)*12,Paths!$E$217+'Operating costs'!$B$65&lt;=C2321*12))),'Operating costs'!$B$64,0)+IF(AND('Operating costs'!$B$67&gt;0,'Operating costs'!$B$67&lt;=120,OR(Paths!$D$217="ICE",'Operating costs'!$B$67&lt;=Paths!$E$217),IF('Operating costs'!$B$67=0,C2321=0,AND(C2321&gt;0,'Operating costs'!$B$67&gt;(C2321-1)*12,'Operating costs'!$B$67&lt;=C2321*12))),'Operating costs'!$B$66,0),"n.a."))</f>
        <v>0</v>
      </c>
      <c r="N2321" s="16">
        <f>IF(NOT(Paths!$C$217=1),0,IF(Paths!$P$217="Complete",SUM(G2321:I2321)-J2321-K2321-L2321+M2321+IF(C2321=0,Paths!$F$217,0)+IF(IF(Paths!$E$217=0,C2321=0,AND(C2321&gt;0,Paths!$E$217&gt;(C2321-1)*12,Paths!$E$217&lt;=C2321*12)),VLOOKUP(A2321,'Fleet register'!$A$7:$S$106,16,FALSE),0),"n.a."))</f>
        <v>0</v>
      </c>
      <c r="O2321" s="16">
        <f>IF(NOT(Paths!$C$217=1),0,IF(Paths!$P$217="Complete",N2321-IF(C2321=0,Paths!$F$217,0),"n.a."))</f>
        <v>0</v>
      </c>
      <c r="P2321" s="16">
        <f>IF(NOT(Paths!$C$217=1),0,IF(Paths!$P$217="Complete",O2321+L2321,"n.a."))</f>
        <v>0</v>
      </c>
      <c r="Q2321" s="16">
        <f>IF(NOT(Paths!$C$217=1),0,IF(Paths!$P$217="Complete",N2321*(1+'Operating costs'!$B$54)^-C2321,"n.a."))</f>
        <v>0</v>
      </c>
      <c r="R2321" s="16">
        <f>IF(NOT(Paths!$C$217=1),0,IF(Paths!$P$217="Complete",IF(AND(C2321=0,Paths!$E$217=0),I2321-J2321-K2321+VLOOKUP(A2321,'Fleet register'!$A$7:$S$106,15,FALSE)+VLOOKUP(A2321,'Fleet register'!$A$7:$S$106,16,FALSE),0),"n.a."))</f>
        <v>0</v>
      </c>
      <c r="S2321" s="1">
        <f>IF(NOT(Paths!$C$217=1),0,IF(Paths!$P$217="Complete",IF(C2321=0,0,Paths!$S$217*Paths!$R$217),"n.a."))</f>
        <v>0</v>
      </c>
      <c r="T2321" s="1">
        <f>IF(NOT(Paths!$C$217=1),0,IF(Paths!$P$217="Complete",IF(C2321=0,0,VLOOKUP(A2321,'Fleet register'!$A$7:$S$106,9,FALSE)*Paths!$R$217),"n.a."))</f>
        <v>0</v>
      </c>
    </row>
    <row r="2322" spans="1:20" ht="24" customHeight="1">
      <c r="A2322" s="1" t="str">
        <f>Paths!$A$217</f>
        <v>T053</v>
      </c>
      <c r="B2322" s="1">
        <f>Paths!$B$217</f>
        <v>2</v>
      </c>
      <c r="C2322" s="1">
        <v>5</v>
      </c>
      <c r="D2322" s="1">
        <v>217</v>
      </c>
      <c r="E2322" s="1">
        <f>IF(OR(Paths!$C$217=0,C2322=0),0,MAX(0,MIN(C2322*12,Paths!$E$217)-(C2322-1)*12))</f>
        <v>0</v>
      </c>
      <c r="F2322" s="1">
        <f>IF(OR(Paths!$C$217=0,C2322=0),0,12-E2322)</f>
        <v>0</v>
      </c>
      <c r="G2322" s="16">
        <f>IF(NOT(Paths!$C$217=1),0,IF(Paths!$P$217="Complete",E2322/12*(Paths!$J$217*(1+'Operating costs'!$B$51)^MAX(0,C2322-1)+Paths!$K$217*(1+'Operating costs'!$B$53)^MAX(0,C2322-1)),"n.a."))</f>
        <v>0</v>
      </c>
      <c r="H2322" s="16">
        <f>IF(NOT(Paths!$C$217=1),0,IF(Paths!$P$217="Complete",F2322/12*(Paths!$L$217*(1+IF(Paths!$D$217="EV",'Operating costs'!$B$52,'Operating costs'!$B$51))^MAX(0,C2322-1)+Paths!$M$217*(1+'Operating costs'!$B$53)^MAX(0,C2322-1)),"n.a."))</f>
        <v>0</v>
      </c>
      <c r="I2322" s="16">
        <f>IF(NOT(Paths!$C$217=1),0,IF(Paths!$P$217="Complete",IF(IF(Paths!$E$217=0,C2322=0,AND(C2322&gt;0,Paths!$E$217&gt;(C2322-1)*12,Paths!$E$217&lt;=C2322*12)),Paths!$G$217,0),"n.a."))</f>
        <v>0</v>
      </c>
      <c r="J2322" s="16">
        <f>IF(NOT(Paths!$C$217=1),0,IF(Paths!$P$217="Complete",IF(IF(Paths!$E$217=0,C2322=0,AND(C2322&gt;0,Paths!$E$217&gt;(C2322-1)*12,Paths!$E$217&lt;=C2322*12)),Paths!$H$217,0),"n.a."))</f>
        <v>0</v>
      </c>
      <c r="K2322" s="16">
        <f>IF(NOT(Paths!$C$217=1),0,IF(Paths!$P$217="Complete",IF(IF(Paths!$O$217=0,C2322=0,AND(C2322&gt;0,Paths!$O$217&gt;(C2322-1)*12,Paths!$O$217&lt;=C2322*12)),Paths!$N$217,0),"n.a."))</f>
        <v>0</v>
      </c>
      <c r="L2322" s="16">
        <f>IF(NOT(Paths!$C$217=1),0,IF(Paths!$P$217="Complete",IF(C2322=10,Paths!$I$217,0),"n.a."))</f>
        <v>0</v>
      </c>
      <c r="M2322" s="16">
        <f>IF(NOT(Paths!$C$217=1),0,IF(Paths!$P$217="Complete",IF(AND(Paths!$D$217="EV",Paths!$E$217&lt;120,Paths!$E$217+'Operating costs'!$B$65&gt;Paths!$E$217,Paths!$E$217+'Operating costs'!$B$65&lt;=120,IF(Paths!$E$217+'Operating costs'!$B$65=0,C2322=0,AND(C2322&gt;0,Paths!$E$217+'Operating costs'!$B$65&gt;(C2322-1)*12,Paths!$E$217+'Operating costs'!$B$65&lt;=C2322*12))),'Operating costs'!$B$64,0)+IF(AND('Operating costs'!$B$67&gt;0,'Operating costs'!$B$67&lt;=120,OR(Paths!$D$217="ICE",'Operating costs'!$B$67&lt;=Paths!$E$217),IF('Operating costs'!$B$67=0,C2322=0,AND(C2322&gt;0,'Operating costs'!$B$67&gt;(C2322-1)*12,'Operating costs'!$B$67&lt;=C2322*12))),'Operating costs'!$B$66,0),"n.a."))</f>
        <v>0</v>
      </c>
      <c r="N2322" s="16">
        <f>IF(NOT(Paths!$C$217=1),0,IF(Paths!$P$217="Complete",SUM(G2322:I2322)-J2322-K2322-L2322+M2322+IF(C2322=0,Paths!$F$217,0)+IF(IF(Paths!$E$217=0,C2322=0,AND(C2322&gt;0,Paths!$E$217&gt;(C2322-1)*12,Paths!$E$217&lt;=C2322*12)),VLOOKUP(A2322,'Fleet register'!$A$7:$S$106,16,FALSE),0),"n.a."))</f>
        <v>0</v>
      </c>
      <c r="O2322" s="16">
        <f>IF(NOT(Paths!$C$217=1),0,IF(Paths!$P$217="Complete",N2322-IF(C2322=0,Paths!$F$217,0),"n.a."))</f>
        <v>0</v>
      </c>
      <c r="P2322" s="16">
        <f>IF(NOT(Paths!$C$217=1),0,IF(Paths!$P$217="Complete",O2322+L2322,"n.a."))</f>
        <v>0</v>
      </c>
      <c r="Q2322" s="16">
        <f>IF(NOT(Paths!$C$217=1),0,IF(Paths!$P$217="Complete",N2322*(1+'Operating costs'!$B$54)^-C2322,"n.a."))</f>
        <v>0</v>
      </c>
      <c r="R2322" s="16">
        <f>IF(NOT(Paths!$C$217=1),0,IF(Paths!$P$217="Complete",IF(AND(C2322=0,Paths!$E$217=0),I2322-J2322-K2322+VLOOKUP(A2322,'Fleet register'!$A$7:$S$106,15,FALSE)+VLOOKUP(A2322,'Fleet register'!$A$7:$S$106,16,FALSE),0),"n.a."))</f>
        <v>0</v>
      </c>
      <c r="S2322" s="1">
        <f>IF(NOT(Paths!$C$217=1),0,IF(Paths!$P$217="Complete",IF(C2322=0,0,Paths!$S$217*Paths!$R$217),"n.a."))</f>
        <v>0</v>
      </c>
      <c r="T2322" s="1">
        <f>IF(NOT(Paths!$C$217=1),0,IF(Paths!$P$217="Complete",IF(C2322=0,0,VLOOKUP(A2322,'Fleet register'!$A$7:$S$106,9,FALSE)*Paths!$R$217),"n.a."))</f>
        <v>0</v>
      </c>
    </row>
    <row r="2323" spans="1:20" ht="24" customHeight="1">
      <c r="A2323" s="1" t="str">
        <f>Paths!$A$217</f>
        <v>T053</v>
      </c>
      <c r="B2323" s="1">
        <f>Paths!$B$217</f>
        <v>2</v>
      </c>
      <c r="C2323" s="1">
        <v>6</v>
      </c>
      <c r="D2323" s="1">
        <v>217</v>
      </c>
      <c r="E2323" s="1">
        <f>IF(OR(Paths!$C$217=0,C2323=0),0,MAX(0,MIN(C2323*12,Paths!$E$217)-(C2323-1)*12))</f>
        <v>0</v>
      </c>
      <c r="F2323" s="1">
        <f>IF(OR(Paths!$C$217=0,C2323=0),0,12-E2323)</f>
        <v>0</v>
      </c>
      <c r="G2323" s="16">
        <f>IF(NOT(Paths!$C$217=1),0,IF(Paths!$P$217="Complete",E2323/12*(Paths!$J$217*(1+'Operating costs'!$B$51)^MAX(0,C2323-1)+Paths!$K$217*(1+'Operating costs'!$B$53)^MAX(0,C2323-1)),"n.a."))</f>
        <v>0</v>
      </c>
      <c r="H2323" s="16">
        <f>IF(NOT(Paths!$C$217=1),0,IF(Paths!$P$217="Complete",F2323/12*(Paths!$L$217*(1+IF(Paths!$D$217="EV",'Operating costs'!$B$52,'Operating costs'!$B$51))^MAX(0,C2323-1)+Paths!$M$217*(1+'Operating costs'!$B$53)^MAX(0,C2323-1)),"n.a."))</f>
        <v>0</v>
      </c>
      <c r="I2323" s="16">
        <f>IF(NOT(Paths!$C$217=1),0,IF(Paths!$P$217="Complete",IF(IF(Paths!$E$217=0,C2323=0,AND(C2323&gt;0,Paths!$E$217&gt;(C2323-1)*12,Paths!$E$217&lt;=C2323*12)),Paths!$G$217,0),"n.a."))</f>
        <v>0</v>
      </c>
      <c r="J2323" s="16">
        <f>IF(NOT(Paths!$C$217=1),0,IF(Paths!$P$217="Complete",IF(IF(Paths!$E$217=0,C2323=0,AND(C2323&gt;0,Paths!$E$217&gt;(C2323-1)*12,Paths!$E$217&lt;=C2323*12)),Paths!$H$217,0),"n.a."))</f>
        <v>0</v>
      </c>
      <c r="K2323" s="16">
        <f>IF(NOT(Paths!$C$217=1),0,IF(Paths!$P$217="Complete",IF(IF(Paths!$O$217=0,C2323=0,AND(C2323&gt;0,Paths!$O$217&gt;(C2323-1)*12,Paths!$O$217&lt;=C2323*12)),Paths!$N$217,0),"n.a."))</f>
        <v>0</v>
      </c>
      <c r="L2323" s="16">
        <f>IF(NOT(Paths!$C$217=1),0,IF(Paths!$P$217="Complete",IF(C2323=10,Paths!$I$217,0),"n.a."))</f>
        <v>0</v>
      </c>
      <c r="M2323" s="16">
        <f>IF(NOT(Paths!$C$217=1),0,IF(Paths!$P$217="Complete",IF(AND(Paths!$D$217="EV",Paths!$E$217&lt;120,Paths!$E$217+'Operating costs'!$B$65&gt;Paths!$E$217,Paths!$E$217+'Operating costs'!$B$65&lt;=120,IF(Paths!$E$217+'Operating costs'!$B$65=0,C2323=0,AND(C2323&gt;0,Paths!$E$217+'Operating costs'!$B$65&gt;(C2323-1)*12,Paths!$E$217+'Operating costs'!$B$65&lt;=C2323*12))),'Operating costs'!$B$64,0)+IF(AND('Operating costs'!$B$67&gt;0,'Operating costs'!$B$67&lt;=120,OR(Paths!$D$217="ICE",'Operating costs'!$B$67&lt;=Paths!$E$217),IF('Operating costs'!$B$67=0,C2323=0,AND(C2323&gt;0,'Operating costs'!$B$67&gt;(C2323-1)*12,'Operating costs'!$B$67&lt;=C2323*12))),'Operating costs'!$B$66,0),"n.a."))</f>
        <v>0</v>
      </c>
      <c r="N2323" s="16">
        <f>IF(NOT(Paths!$C$217=1),0,IF(Paths!$P$217="Complete",SUM(G2323:I2323)-J2323-K2323-L2323+M2323+IF(C2323=0,Paths!$F$217,0)+IF(IF(Paths!$E$217=0,C2323=0,AND(C2323&gt;0,Paths!$E$217&gt;(C2323-1)*12,Paths!$E$217&lt;=C2323*12)),VLOOKUP(A2323,'Fleet register'!$A$7:$S$106,16,FALSE),0),"n.a."))</f>
        <v>0</v>
      </c>
      <c r="O2323" s="16">
        <f>IF(NOT(Paths!$C$217=1),0,IF(Paths!$P$217="Complete",N2323-IF(C2323=0,Paths!$F$217,0),"n.a."))</f>
        <v>0</v>
      </c>
      <c r="P2323" s="16">
        <f>IF(NOT(Paths!$C$217=1),0,IF(Paths!$P$217="Complete",O2323+L2323,"n.a."))</f>
        <v>0</v>
      </c>
      <c r="Q2323" s="16">
        <f>IF(NOT(Paths!$C$217=1),0,IF(Paths!$P$217="Complete",N2323*(1+'Operating costs'!$B$54)^-C2323,"n.a."))</f>
        <v>0</v>
      </c>
      <c r="R2323" s="16">
        <f>IF(NOT(Paths!$C$217=1),0,IF(Paths!$P$217="Complete",IF(AND(C2323=0,Paths!$E$217=0),I2323-J2323-K2323+VLOOKUP(A2323,'Fleet register'!$A$7:$S$106,15,FALSE)+VLOOKUP(A2323,'Fleet register'!$A$7:$S$106,16,FALSE),0),"n.a."))</f>
        <v>0</v>
      </c>
      <c r="S2323" s="1">
        <f>IF(NOT(Paths!$C$217=1),0,IF(Paths!$P$217="Complete",IF(C2323=0,0,Paths!$S$217*Paths!$R$217),"n.a."))</f>
        <v>0</v>
      </c>
      <c r="T2323" s="1">
        <f>IF(NOT(Paths!$C$217=1),0,IF(Paths!$P$217="Complete",IF(C2323=0,0,VLOOKUP(A2323,'Fleet register'!$A$7:$S$106,9,FALSE)*Paths!$R$217),"n.a."))</f>
        <v>0</v>
      </c>
    </row>
    <row r="2324" spans="1:20" ht="24" customHeight="1">
      <c r="A2324" s="1" t="str">
        <f>Paths!$A$217</f>
        <v>T053</v>
      </c>
      <c r="B2324" s="1">
        <f>Paths!$B$217</f>
        <v>2</v>
      </c>
      <c r="C2324" s="1">
        <v>7</v>
      </c>
      <c r="D2324" s="1">
        <v>217</v>
      </c>
      <c r="E2324" s="1">
        <f>IF(OR(Paths!$C$217=0,C2324=0),0,MAX(0,MIN(C2324*12,Paths!$E$217)-(C2324-1)*12))</f>
        <v>0</v>
      </c>
      <c r="F2324" s="1">
        <f>IF(OR(Paths!$C$217=0,C2324=0),0,12-E2324)</f>
        <v>0</v>
      </c>
      <c r="G2324" s="16">
        <f>IF(NOT(Paths!$C$217=1),0,IF(Paths!$P$217="Complete",E2324/12*(Paths!$J$217*(1+'Operating costs'!$B$51)^MAX(0,C2324-1)+Paths!$K$217*(1+'Operating costs'!$B$53)^MAX(0,C2324-1)),"n.a."))</f>
        <v>0</v>
      </c>
      <c r="H2324" s="16">
        <f>IF(NOT(Paths!$C$217=1),0,IF(Paths!$P$217="Complete",F2324/12*(Paths!$L$217*(1+IF(Paths!$D$217="EV",'Operating costs'!$B$52,'Operating costs'!$B$51))^MAX(0,C2324-1)+Paths!$M$217*(1+'Operating costs'!$B$53)^MAX(0,C2324-1)),"n.a."))</f>
        <v>0</v>
      </c>
      <c r="I2324" s="16">
        <f>IF(NOT(Paths!$C$217=1),0,IF(Paths!$P$217="Complete",IF(IF(Paths!$E$217=0,C2324=0,AND(C2324&gt;0,Paths!$E$217&gt;(C2324-1)*12,Paths!$E$217&lt;=C2324*12)),Paths!$G$217,0),"n.a."))</f>
        <v>0</v>
      </c>
      <c r="J2324" s="16">
        <f>IF(NOT(Paths!$C$217=1),0,IF(Paths!$P$217="Complete",IF(IF(Paths!$E$217=0,C2324=0,AND(C2324&gt;0,Paths!$E$217&gt;(C2324-1)*12,Paths!$E$217&lt;=C2324*12)),Paths!$H$217,0),"n.a."))</f>
        <v>0</v>
      </c>
      <c r="K2324" s="16">
        <f>IF(NOT(Paths!$C$217=1),0,IF(Paths!$P$217="Complete",IF(IF(Paths!$O$217=0,C2324=0,AND(C2324&gt;0,Paths!$O$217&gt;(C2324-1)*12,Paths!$O$217&lt;=C2324*12)),Paths!$N$217,0),"n.a."))</f>
        <v>0</v>
      </c>
      <c r="L2324" s="16">
        <f>IF(NOT(Paths!$C$217=1),0,IF(Paths!$P$217="Complete",IF(C2324=10,Paths!$I$217,0),"n.a."))</f>
        <v>0</v>
      </c>
      <c r="M2324" s="16">
        <f>IF(NOT(Paths!$C$217=1),0,IF(Paths!$P$217="Complete",IF(AND(Paths!$D$217="EV",Paths!$E$217&lt;120,Paths!$E$217+'Operating costs'!$B$65&gt;Paths!$E$217,Paths!$E$217+'Operating costs'!$B$65&lt;=120,IF(Paths!$E$217+'Operating costs'!$B$65=0,C2324=0,AND(C2324&gt;0,Paths!$E$217+'Operating costs'!$B$65&gt;(C2324-1)*12,Paths!$E$217+'Operating costs'!$B$65&lt;=C2324*12))),'Operating costs'!$B$64,0)+IF(AND('Operating costs'!$B$67&gt;0,'Operating costs'!$B$67&lt;=120,OR(Paths!$D$217="ICE",'Operating costs'!$B$67&lt;=Paths!$E$217),IF('Operating costs'!$B$67=0,C2324=0,AND(C2324&gt;0,'Operating costs'!$B$67&gt;(C2324-1)*12,'Operating costs'!$B$67&lt;=C2324*12))),'Operating costs'!$B$66,0),"n.a."))</f>
        <v>0</v>
      </c>
      <c r="N2324" s="16">
        <f>IF(NOT(Paths!$C$217=1),0,IF(Paths!$P$217="Complete",SUM(G2324:I2324)-J2324-K2324-L2324+M2324+IF(C2324=0,Paths!$F$217,0)+IF(IF(Paths!$E$217=0,C2324=0,AND(C2324&gt;0,Paths!$E$217&gt;(C2324-1)*12,Paths!$E$217&lt;=C2324*12)),VLOOKUP(A2324,'Fleet register'!$A$7:$S$106,16,FALSE),0),"n.a."))</f>
        <v>0</v>
      </c>
      <c r="O2324" s="16">
        <f>IF(NOT(Paths!$C$217=1),0,IF(Paths!$P$217="Complete",N2324-IF(C2324=0,Paths!$F$217,0),"n.a."))</f>
        <v>0</v>
      </c>
      <c r="P2324" s="16">
        <f>IF(NOT(Paths!$C$217=1),0,IF(Paths!$P$217="Complete",O2324+L2324,"n.a."))</f>
        <v>0</v>
      </c>
      <c r="Q2324" s="16">
        <f>IF(NOT(Paths!$C$217=1),0,IF(Paths!$P$217="Complete",N2324*(1+'Operating costs'!$B$54)^-C2324,"n.a."))</f>
        <v>0</v>
      </c>
      <c r="R2324" s="16">
        <f>IF(NOT(Paths!$C$217=1),0,IF(Paths!$P$217="Complete",IF(AND(C2324=0,Paths!$E$217=0),I2324-J2324-K2324+VLOOKUP(A2324,'Fleet register'!$A$7:$S$106,15,FALSE)+VLOOKUP(A2324,'Fleet register'!$A$7:$S$106,16,FALSE),0),"n.a."))</f>
        <v>0</v>
      </c>
      <c r="S2324" s="1">
        <f>IF(NOT(Paths!$C$217=1),0,IF(Paths!$P$217="Complete",IF(C2324=0,0,Paths!$S$217*Paths!$R$217),"n.a."))</f>
        <v>0</v>
      </c>
      <c r="T2324" s="1">
        <f>IF(NOT(Paths!$C$217=1),0,IF(Paths!$P$217="Complete",IF(C2324=0,0,VLOOKUP(A2324,'Fleet register'!$A$7:$S$106,9,FALSE)*Paths!$R$217),"n.a."))</f>
        <v>0</v>
      </c>
    </row>
    <row r="2325" spans="1:20" ht="24" customHeight="1">
      <c r="A2325" s="1" t="str">
        <f>Paths!$A$217</f>
        <v>T053</v>
      </c>
      <c r="B2325" s="1">
        <f>Paths!$B$217</f>
        <v>2</v>
      </c>
      <c r="C2325" s="1">
        <v>8</v>
      </c>
      <c r="D2325" s="1">
        <v>217</v>
      </c>
      <c r="E2325" s="1">
        <f>IF(OR(Paths!$C$217=0,C2325=0),0,MAX(0,MIN(C2325*12,Paths!$E$217)-(C2325-1)*12))</f>
        <v>0</v>
      </c>
      <c r="F2325" s="1">
        <f>IF(OR(Paths!$C$217=0,C2325=0),0,12-E2325)</f>
        <v>0</v>
      </c>
      <c r="G2325" s="16">
        <f>IF(NOT(Paths!$C$217=1),0,IF(Paths!$P$217="Complete",E2325/12*(Paths!$J$217*(1+'Operating costs'!$B$51)^MAX(0,C2325-1)+Paths!$K$217*(1+'Operating costs'!$B$53)^MAX(0,C2325-1)),"n.a."))</f>
        <v>0</v>
      </c>
      <c r="H2325" s="16">
        <f>IF(NOT(Paths!$C$217=1),0,IF(Paths!$P$217="Complete",F2325/12*(Paths!$L$217*(1+IF(Paths!$D$217="EV",'Operating costs'!$B$52,'Operating costs'!$B$51))^MAX(0,C2325-1)+Paths!$M$217*(1+'Operating costs'!$B$53)^MAX(0,C2325-1)),"n.a."))</f>
        <v>0</v>
      </c>
      <c r="I2325" s="16">
        <f>IF(NOT(Paths!$C$217=1),0,IF(Paths!$P$217="Complete",IF(IF(Paths!$E$217=0,C2325=0,AND(C2325&gt;0,Paths!$E$217&gt;(C2325-1)*12,Paths!$E$217&lt;=C2325*12)),Paths!$G$217,0),"n.a."))</f>
        <v>0</v>
      </c>
      <c r="J2325" s="16">
        <f>IF(NOT(Paths!$C$217=1),0,IF(Paths!$P$217="Complete",IF(IF(Paths!$E$217=0,C2325=0,AND(C2325&gt;0,Paths!$E$217&gt;(C2325-1)*12,Paths!$E$217&lt;=C2325*12)),Paths!$H$217,0),"n.a."))</f>
        <v>0</v>
      </c>
      <c r="K2325" s="16">
        <f>IF(NOT(Paths!$C$217=1),0,IF(Paths!$P$217="Complete",IF(IF(Paths!$O$217=0,C2325=0,AND(C2325&gt;0,Paths!$O$217&gt;(C2325-1)*12,Paths!$O$217&lt;=C2325*12)),Paths!$N$217,0),"n.a."))</f>
        <v>0</v>
      </c>
      <c r="L2325" s="16">
        <f>IF(NOT(Paths!$C$217=1),0,IF(Paths!$P$217="Complete",IF(C2325=10,Paths!$I$217,0),"n.a."))</f>
        <v>0</v>
      </c>
      <c r="M2325" s="16">
        <f>IF(NOT(Paths!$C$217=1),0,IF(Paths!$P$217="Complete",IF(AND(Paths!$D$217="EV",Paths!$E$217&lt;120,Paths!$E$217+'Operating costs'!$B$65&gt;Paths!$E$217,Paths!$E$217+'Operating costs'!$B$65&lt;=120,IF(Paths!$E$217+'Operating costs'!$B$65=0,C2325=0,AND(C2325&gt;0,Paths!$E$217+'Operating costs'!$B$65&gt;(C2325-1)*12,Paths!$E$217+'Operating costs'!$B$65&lt;=C2325*12))),'Operating costs'!$B$64,0)+IF(AND('Operating costs'!$B$67&gt;0,'Operating costs'!$B$67&lt;=120,OR(Paths!$D$217="ICE",'Operating costs'!$B$67&lt;=Paths!$E$217),IF('Operating costs'!$B$67=0,C2325=0,AND(C2325&gt;0,'Operating costs'!$B$67&gt;(C2325-1)*12,'Operating costs'!$B$67&lt;=C2325*12))),'Operating costs'!$B$66,0),"n.a."))</f>
        <v>0</v>
      </c>
      <c r="N2325" s="16">
        <f>IF(NOT(Paths!$C$217=1),0,IF(Paths!$P$217="Complete",SUM(G2325:I2325)-J2325-K2325-L2325+M2325+IF(C2325=0,Paths!$F$217,0)+IF(IF(Paths!$E$217=0,C2325=0,AND(C2325&gt;0,Paths!$E$217&gt;(C2325-1)*12,Paths!$E$217&lt;=C2325*12)),VLOOKUP(A2325,'Fleet register'!$A$7:$S$106,16,FALSE),0),"n.a."))</f>
        <v>0</v>
      </c>
      <c r="O2325" s="16">
        <f>IF(NOT(Paths!$C$217=1),0,IF(Paths!$P$217="Complete",N2325-IF(C2325=0,Paths!$F$217,0),"n.a."))</f>
        <v>0</v>
      </c>
      <c r="P2325" s="16">
        <f>IF(NOT(Paths!$C$217=1),0,IF(Paths!$P$217="Complete",O2325+L2325,"n.a."))</f>
        <v>0</v>
      </c>
      <c r="Q2325" s="16">
        <f>IF(NOT(Paths!$C$217=1),0,IF(Paths!$P$217="Complete",N2325*(1+'Operating costs'!$B$54)^-C2325,"n.a."))</f>
        <v>0</v>
      </c>
      <c r="R2325" s="16">
        <f>IF(NOT(Paths!$C$217=1),0,IF(Paths!$P$217="Complete",IF(AND(C2325=0,Paths!$E$217=0),I2325-J2325-K2325+VLOOKUP(A2325,'Fleet register'!$A$7:$S$106,15,FALSE)+VLOOKUP(A2325,'Fleet register'!$A$7:$S$106,16,FALSE),0),"n.a."))</f>
        <v>0</v>
      </c>
      <c r="S2325" s="1">
        <f>IF(NOT(Paths!$C$217=1),0,IF(Paths!$P$217="Complete",IF(C2325=0,0,Paths!$S$217*Paths!$R$217),"n.a."))</f>
        <v>0</v>
      </c>
      <c r="T2325" s="1">
        <f>IF(NOT(Paths!$C$217=1),0,IF(Paths!$P$217="Complete",IF(C2325=0,0,VLOOKUP(A2325,'Fleet register'!$A$7:$S$106,9,FALSE)*Paths!$R$217),"n.a."))</f>
        <v>0</v>
      </c>
    </row>
    <row r="2326" spans="1:20" ht="24" customHeight="1">
      <c r="A2326" s="1" t="str">
        <f>Paths!$A$217</f>
        <v>T053</v>
      </c>
      <c r="B2326" s="1">
        <f>Paths!$B$217</f>
        <v>2</v>
      </c>
      <c r="C2326" s="1">
        <v>9</v>
      </c>
      <c r="D2326" s="1">
        <v>217</v>
      </c>
      <c r="E2326" s="1">
        <f>IF(OR(Paths!$C$217=0,C2326=0),0,MAX(0,MIN(C2326*12,Paths!$E$217)-(C2326-1)*12))</f>
        <v>0</v>
      </c>
      <c r="F2326" s="1">
        <f>IF(OR(Paths!$C$217=0,C2326=0),0,12-E2326)</f>
        <v>0</v>
      </c>
      <c r="G2326" s="16">
        <f>IF(NOT(Paths!$C$217=1),0,IF(Paths!$P$217="Complete",E2326/12*(Paths!$J$217*(1+'Operating costs'!$B$51)^MAX(0,C2326-1)+Paths!$K$217*(1+'Operating costs'!$B$53)^MAX(0,C2326-1)),"n.a."))</f>
        <v>0</v>
      </c>
      <c r="H2326" s="16">
        <f>IF(NOT(Paths!$C$217=1),0,IF(Paths!$P$217="Complete",F2326/12*(Paths!$L$217*(1+IF(Paths!$D$217="EV",'Operating costs'!$B$52,'Operating costs'!$B$51))^MAX(0,C2326-1)+Paths!$M$217*(1+'Operating costs'!$B$53)^MAX(0,C2326-1)),"n.a."))</f>
        <v>0</v>
      </c>
      <c r="I2326" s="16">
        <f>IF(NOT(Paths!$C$217=1),0,IF(Paths!$P$217="Complete",IF(IF(Paths!$E$217=0,C2326=0,AND(C2326&gt;0,Paths!$E$217&gt;(C2326-1)*12,Paths!$E$217&lt;=C2326*12)),Paths!$G$217,0),"n.a."))</f>
        <v>0</v>
      </c>
      <c r="J2326" s="16">
        <f>IF(NOT(Paths!$C$217=1),0,IF(Paths!$P$217="Complete",IF(IF(Paths!$E$217=0,C2326=0,AND(C2326&gt;0,Paths!$E$217&gt;(C2326-1)*12,Paths!$E$217&lt;=C2326*12)),Paths!$H$217,0),"n.a."))</f>
        <v>0</v>
      </c>
      <c r="K2326" s="16">
        <f>IF(NOT(Paths!$C$217=1),0,IF(Paths!$P$217="Complete",IF(IF(Paths!$O$217=0,C2326=0,AND(C2326&gt;0,Paths!$O$217&gt;(C2326-1)*12,Paths!$O$217&lt;=C2326*12)),Paths!$N$217,0),"n.a."))</f>
        <v>0</v>
      </c>
      <c r="L2326" s="16">
        <f>IF(NOT(Paths!$C$217=1),0,IF(Paths!$P$217="Complete",IF(C2326=10,Paths!$I$217,0),"n.a."))</f>
        <v>0</v>
      </c>
      <c r="M2326" s="16">
        <f>IF(NOT(Paths!$C$217=1),0,IF(Paths!$P$217="Complete",IF(AND(Paths!$D$217="EV",Paths!$E$217&lt;120,Paths!$E$217+'Operating costs'!$B$65&gt;Paths!$E$217,Paths!$E$217+'Operating costs'!$B$65&lt;=120,IF(Paths!$E$217+'Operating costs'!$B$65=0,C2326=0,AND(C2326&gt;0,Paths!$E$217+'Operating costs'!$B$65&gt;(C2326-1)*12,Paths!$E$217+'Operating costs'!$B$65&lt;=C2326*12))),'Operating costs'!$B$64,0)+IF(AND('Operating costs'!$B$67&gt;0,'Operating costs'!$B$67&lt;=120,OR(Paths!$D$217="ICE",'Operating costs'!$B$67&lt;=Paths!$E$217),IF('Operating costs'!$B$67=0,C2326=0,AND(C2326&gt;0,'Operating costs'!$B$67&gt;(C2326-1)*12,'Operating costs'!$B$67&lt;=C2326*12))),'Operating costs'!$B$66,0),"n.a."))</f>
        <v>0</v>
      </c>
      <c r="N2326" s="16">
        <f>IF(NOT(Paths!$C$217=1),0,IF(Paths!$P$217="Complete",SUM(G2326:I2326)-J2326-K2326-L2326+M2326+IF(C2326=0,Paths!$F$217,0)+IF(IF(Paths!$E$217=0,C2326=0,AND(C2326&gt;0,Paths!$E$217&gt;(C2326-1)*12,Paths!$E$217&lt;=C2326*12)),VLOOKUP(A2326,'Fleet register'!$A$7:$S$106,16,FALSE),0),"n.a."))</f>
        <v>0</v>
      </c>
      <c r="O2326" s="16">
        <f>IF(NOT(Paths!$C$217=1),0,IF(Paths!$P$217="Complete",N2326-IF(C2326=0,Paths!$F$217,0),"n.a."))</f>
        <v>0</v>
      </c>
      <c r="P2326" s="16">
        <f>IF(NOT(Paths!$C$217=1),0,IF(Paths!$P$217="Complete",O2326+L2326,"n.a."))</f>
        <v>0</v>
      </c>
      <c r="Q2326" s="16">
        <f>IF(NOT(Paths!$C$217=1),0,IF(Paths!$P$217="Complete",N2326*(1+'Operating costs'!$B$54)^-C2326,"n.a."))</f>
        <v>0</v>
      </c>
      <c r="R2326" s="16">
        <f>IF(NOT(Paths!$C$217=1),0,IF(Paths!$P$217="Complete",IF(AND(C2326=0,Paths!$E$217=0),I2326-J2326-K2326+VLOOKUP(A2326,'Fleet register'!$A$7:$S$106,15,FALSE)+VLOOKUP(A2326,'Fleet register'!$A$7:$S$106,16,FALSE),0),"n.a."))</f>
        <v>0</v>
      </c>
      <c r="S2326" s="1">
        <f>IF(NOT(Paths!$C$217=1),0,IF(Paths!$P$217="Complete",IF(C2326=0,0,Paths!$S$217*Paths!$R$217),"n.a."))</f>
        <v>0</v>
      </c>
      <c r="T2326" s="1">
        <f>IF(NOT(Paths!$C$217=1),0,IF(Paths!$P$217="Complete",IF(C2326=0,0,VLOOKUP(A2326,'Fleet register'!$A$7:$S$106,9,FALSE)*Paths!$R$217),"n.a."))</f>
        <v>0</v>
      </c>
    </row>
    <row r="2327" spans="1:20" ht="24" customHeight="1">
      <c r="A2327" s="1" t="str">
        <f>Paths!$A$217</f>
        <v>T053</v>
      </c>
      <c r="B2327" s="1">
        <f>Paths!$B$217</f>
        <v>2</v>
      </c>
      <c r="C2327" s="1">
        <v>10</v>
      </c>
      <c r="D2327" s="1">
        <v>217</v>
      </c>
      <c r="E2327" s="1">
        <f>IF(OR(Paths!$C$217=0,C2327=0),0,MAX(0,MIN(C2327*12,Paths!$E$217)-(C2327-1)*12))</f>
        <v>0</v>
      </c>
      <c r="F2327" s="1">
        <f>IF(OR(Paths!$C$217=0,C2327=0),0,12-E2327)</f>
        <v>0</v>
      </c>
      <c r="G2327" s="16">
        <f>IF(NOT(Paths!$C$217=1),0,IF(Paths!$P$217="Complete",E2327/12*(Paths!$J$217*(1+'Operating costs'!$B$51)^MAX(0,C2327-1)+Paths!$K$217*(1+'Operating costs'!$B$53)^MAX(0,C2327-1)),"n.a."))</f>
        <v>0</v>
      </c>
      <c r="H2327" s="16">
        <f>IF(NOT(Paths!$C$217=1),0,IF(Paths!$P$217="Complete",F2327/12*(Paths!$L$217*(1+IF(Paths!$D$217="EV",'Operating costs'!$B$52,'Operating costs'!$B$51))^MAX(0,C2327-1)+Paths!$M$217*(1+'Operating costs'!$B$53)^MAX(0,C2327-1)),"n.a."))</f>
        <v>0</v>
      </c>
      <c r="I2327" s="16">
        <f>IF(NOT(Paths!$C$217=1),0,IF(Paths!$P$217="Complete",IF(IF(Paths!$E$217=0,C2327=0,AND(C2327&gt;0,Paths!$E$217&gt;(C2327-1)*12,Paths!$E$217&lt;=C2327*12)),Paths!$G$217,0),"n.a."))</f>
        <v>0</v>
      </c>
      <c r="J2327" s="16">
        <f>IF(NOT(Paths!$C$217=1),0,IF(Paths!$P$217="Complete",IF(IF(Paths!$E$217=0,C2327=0,AND(C2327&gt;0,Paths!$E$217&gt;(C2327-1)*12,Paths!$E$217&lt;=C2327*12)),Paths!$H$217,0),"n.a."))</f>
        <v>0</v>
      </c>
      <c r="K2327" s="16">
        <f>IF(NOT(Paths!$C$217=1),0,IF(Paths!$P$217="Complete",IF(IF(Paths!$O$217=0,C2327=0,AND(C2327&gt;0,Paths!$O$217&gt;(C2327-1)*12,Paths!$O$217&lt;=C2327*12)),Paths!$N$217,0),"n.a."))</f>
        <v>0</v>
      </c>
      <c r="L2327" s="16">
        <f>IF(NOT(Paths!$C$217=1),0,IF(Paths!$P$217="Complete",IF(C2327=10,Paths!$I$217,0),"n.a."))</f>
        <v>0</v>
      </c>
      <c r="M2327" s="16">
        <f>IF(NOT(Paths!$C$217=1),0,IF(Paths!$P$217="Complete",IF(AND(Paths!$D$217="EV",Paths!$E$217&lt;120,Paths!$E$217+'Operating costs'!$B$65&gt;Paths!$E$217,Paths!$E$217+'Operating costs'!$B$65&lt;=120,IF(Paths!$E$217+'Operating costs'!$B$65=0,C2327=0,AND(C2327&gt;0,Paths!$E$217+'Operating costs'!$B$65&gt;(C2327-1)*12,Paths!$E$217+'Operating costs'!$B$65&lt;=C2327*12))),'Operating costs'!$B$64,0)+IF(AND('Operating costs'!$B$67&gt;0,'Operating costs'!$B$67&lt;=120,OR(Paths!$D$217="ICE",'Operating costs'!$B$67&lt;=Paths!$E$217),IF('Operating costs'!$B$67=0,C2327=0,AND(C2327&gt;0,'Operating costs'!$B$67&gt;(C2327-1)*12,'Operating costs'!$B$67&lt;=C2327*12))),'Operating costs'!$B$66,0),"n.a."))</f>
        <v>0</v>
      </c>
      <c r="N2327" s="16">
        <f>IF(NOT(Paths!$C$217=1),0,IF(Paths!$P$217="Complete",SUM(G2327:I2327)-J2327-K2327-L2327+M2327+IF(C2327=0,Paths!$F$217,0)+IF(IF(Paths!$E$217=0,C2327=0,AND(C2327&gt;0,Paths!$E$217&gt;(C2327-1)*12,Paths!$E$217&lt;=C2327*12)),VLOOKUP(A2327,'Fleet register'!$A$7:$S$106,16,FALSE),0),"n.a."))</f>
        <v>0</v>
      </c>
      <c r="O2327" s="16">
        <f>IF(NOT(Paths!$C$217=1),0,IF(Paths!$P$217="Complete",N2327-IF(C2327=0,Paths!$F$217,0),"n.a."))</f>
        <v>0</v>
      </c>
      <c r="P2327" s="16">
        <f>IF(NOT(Paths!$C$217=1),0,IF(Paths!$P$217="Complete",O2327+L2327,"n.a."))</f>
        <v>0</v>
      </c>
      <c r="Q2327" s="16">
        <f>IF(NOT(Paths!$C$217=1),0,IF(Paths!$P$217="Complete",N2327*(1+'Operating costs'!$B$54)^-C2327,"n.a."))</f>
        <v>0</v>
      </c>
      <c r="R2327" s="16">
        <f>IF(NOT(Paths!$C$217=1),0,IF(Paths!$P$217="Complete",IF(AND(C2327=0,Paths!$E$217=0),I2327-J2327-K2327+VLOOKUP(A2327,'Fleet register'!$A$7:$S$106,15,FALSE)+VLOOKUP(A2327,'Fleet register'!$A$7:$S$106,16,FALSE),0),"n.a."))</f>
        <v>0</v>
      </c>
      <c r="S2327" s="1">
        <f>IF(NOT(Paths!$C$217=1),0,IF(Paths!$P$217="Complete",IF(C2327=0,0,Paths!$S$217*Paths!$R$217),"n.a."))</f>
        <v>0</v>
      </c>
      <c r="T2327" s="1">
        <f>IF(NOT(Paths!$C$217=1),0,IF(Paths!$P$217="Complete",IF(C2327=0,0,VLOOKUP(A2327,'Fleet register'!$A$7:$S$106,9,FALSE)*Paths!$R$217),"n.a."))</f>
        <v>0</v>
      </c>
    </row>
    <row r="2328" spans="1:20" ht="24" customHeight="1">
      <c r="A2328" s="1" t="str">
        <f>Paths!$A$218</f>
        <v>T053</v>
      </c>
      <c r="B2328" s="1">
        <f>Paths!$B$218</f>
        <v>3</v>
      </c>
      <c r="C2328" s="1">
        <v>0</v>
      </c>
      <c r="D2328" s="1">
        <v>218</v>
      </c>
      <c r="E2328" s="1">
        <f>IF(OR(Paths!$C$218=0,C2328=0),0,MAX(0,MIN(C2328*12,Paths!$E$218)-(C2328-1)*12))</f>
        <v>0</v>
      </c>
      <c r="F2328" s="1">
        <f>IF(OR(Paths!$C$218=0,C2328=0),0,12-E2328)</f>
        <v>0</v>
      </c>
      <c r="G2328" s="16">
        <f>IF(NOT(Paths!$C$218=1),0,IF(Paths!$P$218="Complete",E2328/12*(Paths!$J$218*(1+'Operating costs'!$B$51)^MAX(0,C2328-1)+Paths!$K$218*(1+'Operating costs'!$B$53)^MAX(0,C2328-1)),"n.a."))</f>
        <v>0</v>
      </c>
      <c r="H2328" s="16">
        <f>IF(NOT(Paths!$C$218=1),0,IF(Paths!$P$218="Complete",F2328/12*(Paths!$L$218*(1+IF(Paths!$D$218="EV",'Operating costs'!$B$52,'Operating costs'!$B$51))^MAX(0,C2328-1)+Paths!$M$218*(1+'Operating costs'!$B$53)^MAX(0,C2328-1)),"n.a."))</f>
        <v>0</v>
      </c>
      <c r="I2328" s="16">
        <f>IF(NOT(Paths!$C$218=1),0,IF(Paths!$P$218="Complete",IF(IF(Paths!$E$218=0,C2328=0,AND(C2328&gt;0,Paths!$E$218&gt;(C2328-1)*12,Paths!$E$218&lt;=C2328*12)),Paths!$G$218,0),"n.a."))</f>
        <v>0</v>
      </c>
      <c r="J2328" s="16">
        <f>IF(NOT(Paths!$C$218=1),0,IF(Paths!$P$218="Complete",IF(IF(Paths!$E$218=0,C2328=0,AND(C2328&gt;0,Paths!$E$218&gt;(C2328-1)*12,Paths!$E$218&lt;=C2328*12)),Paths!$H$218,0),"n.a."))</f>
        <v>0</v>
      </c>
      <c r="K2328" s="16">
        <f>IF(NOT(Paths!$C$218=1),0,IF(Paths!$P$218="Complete",IF(IF(Paths!$O$218=0,C2328=0,AND(C2328&gt;0,Paths!$O$218&gt;(C2328-1)*12,Paths!$O$218&lt;=C2328*12)),Paths!$N$218,0),"n.a."))</f>
        <v>0</v>
      </c>
      <c r="L2328" s="16">
        <f>IF(NOT(Paths!$C$218=1),0,IF(Paths!$P$218="Complete",IF(C2328=10,Paths!$I$218,0),"n.a."))</f>
        <v>0</v>
      </c>
      <c r="M2328" s="16">
        <f>IF(NOT(Paths!$C$218=1),0,IF(Paths!$P$218="Complete",IF(AND(Paths!$D$218="EV",Paths!$E$218&lt;120,Paths!$E$218+'Operating costs'!$B$65&gt;Paths!$E$218,Paths!$E$218+'Operating costs'!$B$65&lt;=120,IF(Paths!$E$218+'Operating costs'!$B$65=0,C2328=0,AND(C2328&gt;0,Paths!$E$218+'Operating costs'!$B$65&gt;(C2328-1)*12,Paths!$E$218+'Operating costs'!$B$65&lt;=C2328*12))),'Operating costs'!$B$64,0)+IF(AND('Operating costs'!$B$67&gt;0,'Operating costs'!$B$67&lt;=120,OR(Paths!$D$218="ICE",'Operating costs'!$B$67&lt;=Paths!$E$218),IF('Operating costs'!$B$67=0,C2328=0,AND(C2328&gt;0,'Operating costs'!$B$67&gt;(C2328-1)*12,'Operating costs'!$B$67&lt;=C2328*12))),'Operating costs'!$B$66,0),"n.a."))</f>
        <v>0</v>
      </c>
      <c r="N2328" s="16">
        <f>IF(NOT(Paths!$C$218=1),0,IF(Paths!$P$218="Complete",SUM(G2328:I2328)-J2328-K2328-L2328+M2328+IF(C2328=0,Paths!$F$218,0)+IF(IF(Paths!$E$218=0,C2328=0,AND(C2328&gt;0,Paths!$E$218&gt;(C2328-1)*12,Paths!$E$218&lt;=C2328*12)),VLOOKUP(A2328,'Fleet register'!$A$7:$S$106,16,FALSE),0),"n.a."))</f>
        <v>0</v>
      </c>
      <c r="O2328" s="16">
        <f>IF(NOT(Paths!$C$218=1),0,IF(Paths!$P$218="Complete",N2328-IF(C2328=0,Paths!$F$218,0),"n.a."))</f>
        <v>0</v>
      </c>
      <c r="P2328" s="16">
        <f>IF(NOT(Paths!$C$218=1),0,IF(Paths!$P$218="Complete",O2328+L2328,"n.a."))</f>
        <v>0</v>
      </c>
      <c r="Q2328" s="16">
        <f>IF(NOT(Paths!$C$218=1),0,IF(Paths!$P$218="Complete",N2328*(1+'Operating costs'!$B$54)^-C2328,"n.a."))</f>
        <v>0</v>
      </c>
      <c r="R2328" s="16">
        <f>IF(NOT(Paths!$C$218=1),0,IF(Paths!$P$218="Complete",IF(AND(C2328=0,Paths!$E$218=0),I2328-J2328-K2328+VLOOKUP(A2328,'Fleet register'!$A$7:$S$106,15,FALSE)+VLOOKUP(A2328,'Fleet register'!$A$7:$S$106,16,FALSE),0),"n.a."))</f>
        <v>0</v>
      </c>
      <c r="S2328" s="1">
        <f>IF(NOT(Paths!$C$218=1),0,IF(Paths!$P$218="Complete",IF(C2328=0,0,Paths!$S$218*Paths!$R$218),"n.a."))</f>
        <v>0</v>
      </c>
      <c r="T2328" s="1">
        <f>IF(NOT(Paths!$C$218=1),0,IF(Paths!$P$218="Complete",IF(C2328=0,0,VLOOKUP(A2328,'Fleet register'!$A$7:$S$106,9,FALSE)*Paths!$R$218),"n.a."))</f>
        <v>0</v>
      </c>
    </row>
    <row r="2329" spans="1:20" ht="24" customHeight="1">
      <c r="A2329" s="1" t="str">
        <f>Paths!$A$218</f>
        <v>T053</v>
      </c>
      <c r="B2329" s="1">
        <f>Paths!$B$218</f>
        <v>3</v>
      </c>
      <c r="C2329" s="1">
        <v>1</v>
      </c>
      <c r="D2329" s="1">
        <v>218</v>
      </c>
      <c r="E2329" s="1">
        <f>IF(OR(Paths!$C$218=0,C2329=0),0,MAX(0,MIN(C2329*12,Paths!$E$218)-(C2329-1)*12))</f>
        <v>0</v>
      </c>
      <c r="F2329" s="1">
        <f>IF(OR(Paths!$C$218=0,C2329=0),0,12-E2329)</f>
        <v>0</v>
      </c>
      <c r="G2329" s="16">
        <f>IF(NOT(Paths!$C$218=1),0,IF(Paths!$P$218="Complete",E2329/12*(Paths!$J$218*(1+'Operating costs'!$B$51)^MAX(0,C2329-1)+Paths!$K$218*(1+'Operating costs'!$B$53)^MAX(0,C2329-1)),"n.a."))</f>
        <v>0</v>
      </c>
      <c r="H2329" s="16">
        <f>IF(NOT(Paths!$C$218=1),0,IF(Paths!$P$218="Complete",F2329/12*(Paths!$L$218*(1+IF(Paths!$D$218="EV",'Operating costs'!$B$52,'Operating costs'!$B$51))^MAX(0,C2329-1)+Paths!$M$218*(1+'Operating costs'!$B$53)^MAX(0,C2329-1)),"n.a."))</f>
        <v>0</v>
      </c>
      <c r="I2329" s="16">
        <f>IF(NOT(Paths!$C$218=1),0,IF(Paths!$P$218="Complete",IF(IF(Paths!$E$218=0,C2329=0,AND(C2329&gt;0,Paths!$E$218&gt;(C2329-1)*12,Paths!$E$218&lt;=C2329*12)),Paths!$G$218,0),"n.a."))</f>
        <v>0</v>
      </c>
      <c r="J2329" s="16">
        <f>IF(NOT(Paths!$C$218=1),0,IF(Paths!$P$218="Complete",IF(IF(Paths!$E$218=0,C2329=0,AND(C2329&gt;0,Paths!$E$218&gt;(C2329-1)*12,Paths!$E$218&lt;=C2329*12)),Paths!$H$218,0),"n.a."))</f>
        <v>0</v>
      </c>
      <c r="K2329" s="16">
        <f>IF(NOT(Paths!$C$218=1),0,IF(Paths!$P$218="Complete",IF(IF(Paths!$O$218=0,C2329=0,AND(C2329&gt;0,Paths!$O$218&gt;(C2329-1)*12,Paths!$O$218&lt;=C2329*12)),Paths!$N$218,0),"n.a."))</f>
        <v>0</v>
      </c>
      <c r="L2329" s="16">
        <f>IF(NOT(Paths!$C$218=1),0,IF(Paths!$P$218="Complete",IF(C2329=10,Paths!$I$218,0),"n.a."))</f>
        <v>0</v>
      </c>
      <c r="M2329" s="16">
        <f>IF(NOT(Paths!$C$218=1),0,IF(Paths!$P$218="Complete",IF(AND(Paths!$D$218="EV",Paths!$E$218&lt;120,Paths!$E$218+'Operating costs'!$B$65&gt;Paths!$E$218,Paths!$E$218+'Operating costs'!$B$65&lt;=120,IF(Paths!$E$218+'Operating costs'!$B$65=0,C2329=0,AND(C2329&gt;0,Paths!$E$218+'Operating costs'!$B$65&gt;(C2329-1)*12,Paths!$E$218+'Operating costs'!$B$65&lt;=C2329*12))),'Operating costs'!$B$64,0)+IF(AND('Operating costs'!$B$67&gt;0,'Operating costs'!$B$67&lt;=120,OR(Paths!$D$218="ICE",'Operating costs'!$B$67&lt;=Paths!$E$218),IF('Operating costs'!$B$67=0,C2329=0,AND(C2329&gt;0,'Operating costs'!$B$67&gt;(C2329-1)*12,'Operating costs'!$B$67&lt;=C2329*12))),'Operating costs'!$B$66,0),"n.a."))</f>
        <v>0</v>
      </c>
      <c r="N2329" s="16">
        <f>IF(NOT(Paths!$C$218=1),0,IF(Paths!$P$218="Complete",SUM(G2329:I2329)-J2329-K2329-L2329+M2329+IF(C2329=0,Paths!$F$218,0)+IF(IF(Paths!$E$218=0,C2329=0,AND(C2329&gt;0,Paths!$E$218&gt;(C2329-1)*12,Paths!$E$218&lt;=C2329*12)),VLOOKUP(A2329,'Fleet register'!$A$7:$S$106,16,FALSE),0),"n.a."))</f>
        <v>0</v>
      </c>
      <c r="O2329" s="16">
        <f>IF(NOT(Paths!$C$218=1),0,IF(Paths!$P$218="Complete",N2329-IF(C2329=0,Paths!$F$218,0),"n.a."))</f>
        <v>0</v>
      </c>
      <c r="P2329" s="16">
        <f>IF(NOT(Paths!$C$218=1),0,IF(Paths!$P$218="Complete",O2329+L2329,"n.a."))</f>
        <v>0</v>
      </c>
      <c r="Q2329" s="16">
        <f>IF(NOT(Paths!$C$218=1),0,IF(Paths!$P$218="Complete",N2329*(1+'Operating costs'!$B$54)^-C2329,"n.a."))</f>
        <v>0</v>
      </c>
      <c r="R2329" s="16">
        <f>IF(NOT(Paths!$C$218=1),0,IF(Paths!$P$218="Complete",IF(AND(C2329=0,Paths!$E$218=0),I2329-J2329-K2329+VLOOKUP(A2329,'Fleet register'!$A$7:$S$106,15,FALSE)+VLOOKUP(A2329,'Fleet register'!$A$7:$S$106,16,FALSE),0),"n.a."))</f>
        <v>0</v>
      </c>
      <c r="S2329" s="1">
        <f>IF(NOT(Paths!$C$218=1),0,IF(Paths!$P$218="Complete",IF(C2329=0,0,Paths!$S$218*Paths!$R$218),"n.a."))</f>
        <v>0</v>
      </c>
      <c r="T2329" s="1">
        <f>IF(NOT(Paths!$C$218=1),0,IF(Paths!$P$218="Complete",IF(C2329=0,0,VLOOKUP(A2329,'Fleet register'!$A$7:$S$106,9,FALSE)*Paths!$R$218),"n.a."))</f>
        <v>0</v>
      </c>
    </row>
    <row r="2330" spans="1:20" ht="24" customHeight="1">
      <c r="A2330" s="1" t="str">
        <f>Paths!$A$218</f>
        <v>T053</v>
      </c>
      <c r="B2330" s="1">
        <f>Paths!$B$218</f>
        <v>3</v>
      </c>
      <c r="C2330" s="1">
        <v>2</v>
      </c>
      <c r="D2330" s="1">
        <v>218</v>
      </c>
      <c r="E2330" s="1">
        <f>IF(OR(Paths!$C$218=0,C2330=0),0,MAX(0,MIN(C2330*12,Paths!$E$218)-(C2330-1)*12))</f>
        <v>0</v>
      </c>
      <c r="F2330" s="1">
        <f>IF(OR(Paths!$C$218=0,C2330=0),0,12-E2330)</f>
        <v>0</v>
      </c>
      <c r="G2330" s="16">
        <f>IF(NOT(Paths!$C$218=1),0,IF(Paths!$P$218="Complete",E2330/12*(Paths!$J$218*(1+'Operating costs'!$B$51)^MAX(0,C2330-1)+Paths!$K$218*(1+'Operating costs'!$B$53)^MAX(0,C2330-1)),"n.a."))</f>
        <v>0</v>
      </c>
      <c r="H2330" s="16">
        <f>IF(NOT(Paths!$C$218=1),0,IF(Paths!$P$218="Complete",F2330/12*(Paths!$L$218*(1+IF(Paths!$D$218="EV",'Operating costs'!$B$52,'Operating costs'!$B$51))^MAX(0,C2330-1)+Paths!$M$218*(1+'Operating costs'!$B$53)^MAX(0,C2330-1)),"n.a."))</f>
        <v>0</v>
      </c>
      <c r="I2330" s="16">
        <f>IF(NOT(Paths!$C$218=1),0,IF(Paths!$P$218="Complete",IF(IF(Paths!$E$218=0,C2330=0,AND(C2330&gt;0,Paths!$E$218&gt;(C2330-1)*12,Paths!$E$218&lt;=C2330*12)),Paths!$G$218,0),"n.a."))</f>
        <v>0</v>
      </c>
      <c r="J2330" s="16">
        <f>IF(NOT(Paths!$C$218=1),0,IF(Paths!$P$218="Complete",IF(IF(Paths!$E$218=0,C2330=0,AND(C2330&gt;0,Paths!$E$218&gt;(C2330-1)*12,Paths!$E$218&lt;=C2330*12)),Paths!$H$218,0),"n.a."))</f>
        <v>0</v>
      </c>
      <c r="K2330" s="16">
        <f>IF(NOT(Paths!$C$218=1),0,IF(Paths!$P$218="Complete",IF(IF(Paths!$O$218=0,C2330=0,AND(C2330&gt;0,Paths!$O$218&gt;(C2330-1)*12,Paths!$O$218&lt;=C2330*12)),Paths!$N$218,0),"n.a."))</f>
        <v>0</v>
      </c>
      <c r="L2330" s="16">
        <f>IF(NOT(Paths!$C$218=1),0,IF(Paths!$P$218="Complete",IF(C2330=10,Paths!$I$218,0),"n.a."))</f>
        <v>0</v>
      </c>
      <c r="M2330" s="16">
        <f>IF(NOT(Paths!$C$218=1),0,IF(Paths!$P$218="Complete",IF(AND(Paths!$D$218="EV",Paths!$E$218&lt;120,Paths!$E$218+'Operating costs'!$B$65&gt;Paths!$E$218,Paths!$E$218+'Operating costs'!$B$65&lt;=120,IF(Paths!$E$218+'Operating costs'!$B$65=0,C2330=0,AND(C2330&gt;0,Paths!$E$218+'Operating costs'!$B$65&gt;(C2330-1)*12,Paths!$E$218+'Operating costs'!$B$65&lt;=C2330*12))),'Operating costs'!$B$64,0)+IF(AND('Operating costs'!$B$67&gt;0,'Operating costs'!$B$67&lt;=120,OR(Paths!$D$218="ICE",'Operating costs'!$B$67&lt;=Paths!$E$218),IF('Operating costs'!$B$67=0,C2330=0,AND(C2330&gt;0,'Operating costs'!$B$67&gt;(C2330-1)*12,'Operating costs'!$B$67&lt;=C2330*12))),'Operating costs'!$B$66,0),"n.a."))</f>
        <v>0</v>
      </c>
      <c r="N2330" s="16">
        <f>IF(NOT(Paths!$C$218=1),0,IF(Paths!$P$218="Complete",SUM(G2330:I2330)-J2330-K2330-L2330+M2330+IF(C2330=0,Paths!$F$218,0)+IF(IF(Paths!$E$218=0,C2330=0,AND(C2330&gt;0,Paths!$E$218&gt;(C2330-1)*12,Paths!$E$218&lt;=C2330*12)),VLOOKUP(A2330,'Fleet register'!$A$7:$S$106,16,FALSE),0),"n.a."))</f>
        <v>0</v>
      </c>
      <c r="O2330" s="16">
        <f>IF(NOT(Paths!$C$218=1),0,IF(Paths!$P$218="Complete",N2330-IF(C2330=0,Paths!$F$218,0),"n.a."))</f>
        <v>0</v>
      </c>
      <c r="P2330" s="16">
        <f>IF(NOT(Paths!$C$218=1),0,IF(Paths!$P$218="Complete",O2330+L2330,"n.a."))</f>
        <v>0</v>
      </c>
      <c r="Q2330" s="16">
        <f>IF(NOT(Paths!$C$218=1),0,IF(Paths!$P$218="Complete",N2330*(1+'Operating costs'!$B$54)^-C2330,"n.a."))</f>
        <v>0</v>
      </c>
      <c r="R2330" s="16">
        <f>IF(NOT(Paths!$C$218=1),0,IF(Paths!$P$218="Complete",IF(AND(C2330=0,Paths!$E$218=0),I2330-J2330-K2330+VLOOKUP(A2330,'Fleet register'!$A$7:$S$106,15,FALSE)+VLOOKUP(A2330,'Fleet register'!$A$7:$S$106,16,FALSE),0),"n.a."))</f>
        <v>0</v>
      </c>
      <c r="S2330" s="1">
        <f>IF(NOT(Paths!$C$218=1),0,IF(Paths!$P$218="Complete",IF(C2330=0,0,Paths!$S$218*Paths!$R$218),"n.a."))</f>
        <v>0</v>
      </c>
      <c r="T2330" s="1">
        <f>IF(NOT(Paths!$C$218=1),0,IF(Paths!$P$218="Complete",IF(C2330=0,0,VLOOKUP(A2330,'Fleet register'!$A$7:$S$106,9,FALSE)*Paths!$R$218),"n.a."))</f>
        <v>0</v>
      </c>
    </row>
    <row r="2331" spans="1:20" ht="24" customHeight="1">
      <c r="A2331" s="1" t="str">
        <f>Paths!$A$218</f>
        <v>T053</v>
      </c>
      <c r="B2331" s="1">
        <f>Paths!$B$218</f>
        <v>3</v>
      </c>
      <c r="C2331" s="1">
        <v>3</v>
      </c>
      <c r="D2331" s="1">
        <v>218</v>
      </c>
      <c r="E2331" s="1">
        <f>IF(OR(Paths!$C$218=0,C2331=0),0,MAX(0,MIN(C2331*12,Paths!$E$218)-(C2331-1)*12))</f>
        <v>0</v>
      </c>
      <c r="F2331" s="1">
        <f>IF(OR(Paths!$C$218=0,C2331=0),0,12-E2331)</f>
        <v>0</v>
      </c>
      <c r="G2331" s="16">
        <f>IF(NOT(Paths!$C$218=1),0,IF(Paths!$P$218="Complete",E2331/12*(Paths!$J$218*(1+'Operating costs'!$B$51)^MAX(0,C2331-1)+Paths!$K$218*(1+'Operating costs'!$B$53)^MAX(0,C2331-1)),"n.a."))</f>
        <v>0</v>
      </c>
      <c r="H2331" s="16">
        <f>IF(NOT(Paths!$C$218=1),0,IF(Paths!$P$218="Complete",F2331/12*(Paths!$L$218*(1+IF(Paths!$D$218="EV",'Operating costs'!$B$52,'Operating costs'!$B$51))^MAX(0,C2331-1)+Paths!$M$218*(1+'Operating costs'!$B$53)^MAX(0,C2331-1)),"n.a."))</f>
        <v>0</v>
      </c>
      <c r="I2331" s="16">
        <f>IF(NOT(Paths!$C$218=1),0,IF(Paths!$P$218="Complete",IF(IF(Paths!$E$218=0,C2331=0,AND(C2331&gt;0,Paths!$E$218&gt;(C2331-1)*12,Paths!$E$218&lt;=C2331*12)),Paths!$G$218,0),"n.a."))</f>
        <v>0</v>
      </c>
      <c r="J2331" s="16">
        <f>IF(NOT(Paths!$C$218=1),0,IF(Paths!$P$218="Complete",IF(IF(Paths!$E$218=0,C2331=0,AND(C2331&gt;0,Paths!$E$218&gt;(C2331-1)*12,Paths!$E$218&lt;=C2331*12)),Paths!$H$218,0),"n.a."))</f>
        <v>0</v>
      </c>
      <c r="K2331" s="16">
        <f>IF(NOT(Paths!$C$218=1),0,IF(Paths!$P$218="Complete",IF(IF(Paths!$O$218=0,C2331=0,AND(C2331&gt;0,Paths!$O$218&gt;(C2331-1)*12,Paths!$O$218&lt;=C2331*12)),Paths!$N$218,0),"n.a."))</f>
        <v>0</v>
      </c>
      <c r="L2331" s="16">
        <f>IF(NOT(Paths!$C$218=1),0,IF(Paths!$P$218="Complete",IF(C2331=10,Paths!$I$218,0),"n.a."))</f>
        <v>0</v>
      </c>
      <c r="M2331" s="16">
        <f>IF(NOT(Paths!$C$218=1),0,IF(Paths!$P$218="Complete",IF(AND(Paths!$D$218="EV",Paths!$E$218&lt;120,Paths!$E$218+'Operating costs'!$B$65&gt;Paths!$E$218,Paths!$E$218+'Operating costs'!$B$65&lt;=120,IF(Paths!$E$218+'Operating costs'!$B$65=0,C2331=0,AND(C2331&gt;0,Paths!$E$218+'Operating costs'!$B$65&gt;(C2331-1)*12,Paths!$E$218+'Operating costs'!$B$65&lt;=C2331*12))),'Operating costs'!$B$64,0)+IF(AND('Operating costs'!$B$67&gt;0,'Operating costs'!$B$67&lt;=120,OR(Paths!$D$218="ICE",'Operating costs'!$B$67&lt;=Paths!$E$218),IF('Operating costs'!$B$67=0,C2331=0,AND(C2331&gt;0,'Operating costs'!$B$67&gt;(C2331-1)*12,'Operating costs'!$B$67&lt;=C2331*12))),'Operating costs'!$B$66,0),"n.a."))</f>
        <v>0</v>
      </c>
      <c r="N2331" s="16">
        <f>IF(NOT(Paths!$C$218=1),0,IF(Paths!$P$218="Complete",SUM(G2331:I2331)-J2331-K2331-L2331+M2331+IF(C2331=0,Paths!$F$218,0)+IF(IF(Paths!$E$218=0,C2331=0,AND(C2331&gt;0,Paths!$E$218&gt;(C2331-1)*12,Paths!$E$218&lt;=C2331*12)),VLOOKUP(A2331,'Fleet register'!$A$7:$S$106,16,FALSE),0),"n.a."))</f>
        <v>0</v>
      </c>
      <c r="O2331" s="16">
        <f>IF(NOT(Paths!$C$218=1),0,IF(Paths!$P$218="Complete",N2331-IF(C2331=0,Paths!$F$218,0),"n.a."))</f>
        <v>0</v>
      </c>
      <c r="P2331" s="16">
        <f>IF(NOT(Paths!$C$218=1),0,IF(Paths!$P$218="Complete",O2331+L2331,"n.a."))</f>
        <v>0</v>
      </c>
      <c r="Q2331" s="16">
        <f>IF(NOT(Paths!$C$218=1),0,IF(Paths!$P$218="Complete",N2331*(1+'Operating costs'!$B$54)^-C2331,"n.a."))</f>
        <v>0</v>
      </c>
      <c r="R2331" s="16">
        <f>IF(NOT(Paths!$C$218=1),0,IF(Paths!$P$218="Complete",IF(AND(C2331=0,Paths!$E$218=0),I2331-J2331-K2331+VLOOKUP(A2331,'Fleet register'!$A$7:$S$106,15,FALSE)+VLOOKUP(A2331,'Fleet register'!$A$7:$S$106,16,FALSE),0),"n.a."))</f>
        <v>0</v>
      </c>
      <c r="S2331" s="1">
        <f>IF(NOT(Paths!$C$218=1),0,IF(Paths!$P$218="Complete",IF(C2331=0,0,Paths!$S$218*Paths!$R$218),"n.a."))</f>
        <v>0</v>
      </c>
      <c r="T2331" s="1">
        <f>IF(NOT(Paths!$C$218=1),0,IF(Paths!$P$218="Complete",IF(C2331=0,0,VLOOKUP(A2331,'Fleet register'!$A$7:$S$106,9,FALSE)*Paths!$R$218),"n.a."))</f>
        <v>0</v>
      </c>
    </row>
    <row r="2332" spans="1:20" ht="24" customHeight="1">
      <c r="A2332" s="1" t="str">
        <f>Paths!$A$218</f>
        <v>T053</v>
      </c>
      <c r="B2332" s="1">
        <f>Paths!$B$218</f>
        <v>3</v>
      </c>
      <c r="C2332" s="1">
        <v>4</v>
      </c>
      <c r="D2332" s="1">
        <v>218</v>
      </c>
      <c r="E2332" s="1">
        <f>IF(OR(Paths!$C$218=0,C2332=0),0,MAX(0,MIN(C2332*12,Paths!$E$218)-(C2332-1)*12))</f>
        <v>0</v>
      </c>
      <c r="F2332" s="1">
        <f>IF(OR(Paths!$C$218=0,C2332=0),0,12-E2332)</f>
        <v>0</v>
      </c>
      <c r="G2332" s="16">
        <f>IF(NOT(Paths!$C$218=1),0,IF(Paths!$P$218="Complete",E2332/12*(Paths!$J$218*(1+'Operating costs'!$B$51)^MAX(0,C2332-1)+Paths!$K$218*(1+'Operating costs'!$B$53)^MAX(0,C2332-1)),"n.a."))</f>
        <v>0</v>
      </c>
      <c r="H2332" s="16">
        <f>IF(NOT(Paths!$C$218=1),0,IF(Paths!$P$218="Complete",F2332/12*(Paths!$L$218*(1+IF(Paths!$D$218="EV",'Operating costs'!$B$52,'Operating costs'!$B$51))^MAX(0,C2332-1)+Paths!$M$218*(1+'Operating costs'!$B$53)^MAX(0,C2332-1)),"n.a."))</f>
        <v>0</v>
      </c>
      <c r="I2332" s="16">
        <f>IF(NOT(Paths!$C$218=1),0,IF(Paths!$P$218="Complete",IF(IF(Paths!$E$218=0,C2332=0,AND(C2332&gt;0,Paths!$E$218&gt;(C2332-1)*12,Paths!$E$218&lt;=C2332*12)),Paths!$G$218,0),"n.a."))</f>
        <v>0</v>
      </c>
      <c r="J2332" s="16">
        <f>IF(NOT(Paths!$C$218=1),0,IF(Paths!$P$218="Complete",IF(IF(Paths!$E$218=0,C2332=0,AND(C2332&gt;0,Paths!$E$218&gt;(C2332-1)*12,Paths!$E$218&lt;=C2332*12)),Paths!$H$218,0),"n.a."))</f>
        <v>0</v>
      </c>
      <c r="K2332" s="16">
        <f>IF(NOT(Paths!$C$218=1),0,IF(Paths!$P$218="Complete",IF(IF(Paths!$O$218=0,C2332=0,AND(C2332&gt;0,Paths!$O$218&gt;(C2332-1)*12,Paths!$O$218&lt;=C2332*12)),Paths!$N$218,0),"n.a."))</f>
        <v>0</v>
      </c>
      <c r="L2332" s="16">
        <f>IF(NOT(Paths!$C$218=1),0,IF(Paths!$P$218="Complete",IF(C2332=10,Paths!$I$218,0),"n.a."))</f>
        <v>0</v>
      </c>
      <c r="M2332" s="16">
        <f>IF(NOT(Paths!$C$218=1),0,IF(Paths!$P$218="Complete",IF(AND(Paths!$D$218="EV",Paths!$E$218&lt;120,Paths!$E$218+'Operating costs'!$B$65&gt;Paths!$E$218,Paths!$E$218+'Operating costs'!$B$65&lt;=120,IF(Paths!$E$218+'Operating costs'!$B$65=0,C2332=0,AND(C2332&gt;0,Paths!$E$218+'Operating costs'!$B$65&gt;(C2332-1)*12,Paths!$E$218+'Operating costs'!$B$65&lt;=C2332*12))),'Operating costs'!$B$64,0)+IF(AND('Operating costs'!$B$67&gt;0,'Operating costs'!$B$67&lt;=120,OR(Paths!$D$218="ICE",'Operating costs'!$B$67&lt;=Paths!$E$218),IF('Operating costs'!$B$67=0,C2332=0,AND(C2332&gt;0,'Operating costs'!$B$67&gt;(C2332-1)*12,'Operating costs'!$B$67&lt;=C2332*12))),'Operating costs'!$B$66,0),"n.a."))</f>
        <v>0</v>
      </c>
      <c r="N2332" s="16">
        <f>IF(NOT(Paths!$C$218=1),0,IF(Paths!$P$218="Complete",SUM(G2332:I2332)-J2332-K2332-L2332+M2332+IF(C2332=0,Paths!$F$218,0)+IF(IF(Paths!$E$218=0,C2332=0,AND(C2332&gt;0,Paths!$E$218&gt;(C2332-1)*12,Paths!$E$218&lt;=C2332*12)),VLOOKUP(A2332,'Fleet register'!$A$7:$S$106,16,FALSE),0),"n.a."))</f>
        <v>0</v>
      </c>
      <c r="O2332" s="16">
        <f>IF(NOT(Paths!$C$218=1),0,IF(Paths!$P$218="Complete",N2332-IF(C2332=0,Paths!$F$218,0),"n.a."))</f>
        <v>0</v>
      </c>
      <c r="P2332" s="16">
        <f>IF(NOT(Paths!$C$218=1),0,IF(Paths!$P$218="Complete",O2332+L2332,"n.a."))</f>
        <v>0</v>
      </c>
      <c r="Q2332" s="16">
        <f>IF(NOT(Paths!$C$218=1),0,IF(Paths!$P$218="Complete",N2332*(1+'Operating costs'!$B$54)^-C2332,"n.a."))</f>
        <v>0</v>
      </c>
      <c r="R2332" s="16">
        <f>IF(NOT(Paths!$C$218=1),0,IF(Paths!$P$218="Complete",IF(AND(C2332=0,Paths!$E$218=0),I2332-J2332-K2332+VLOOKUP(A2332,'Fleet register'!$A$7:$S$106,15,FALSE)+VLOOKUP(A2332,'Fleet register'!$A$7:$S$106,16,FALSE),0),"n.a."))</f>
        <v>0</v>
      </c>
      <c r="S2332" s="1">
        <f>IF(NOT(Paths!$C$218=1),0,IF(Paths!$P$218="Complete",IF(C2332=0,0,Paths!$S$218*Paths!$R$218),"n.a."))</f>
        <v>0</v>
      </c>
      <c r="T2332" s="1">
        <f>IF(NOT(Paths!$C$218=1),0,IF(Paths!$P$218="Complete",IF(C2332=0,0,VLOOKUP(A2332,'Fleet register'!$A$7:$S$106,9,FALSE)*Paths!$R$218),"n.a."))</f>
        <v>0</v>
      </c>
    </row>
    <row r="2333" spans="1:20" ht="24" customHeight="1">
      <c r="A2333" s="1" t="str">
        <f>Paths!$A$218</f>
        <v>T053</v>
      </c>
      <c r="B2333" s="1">
        <f>Paths!$B$218</f>
        <v>3</v>
      </c>
      <c r="C2333" s="1">
        <v>5</v>
      </c>
      <c r="D2333" s="1">
        <v>218</v>
      </c>
      <c r="E2333" s="1">
        <f>IF(OR(Paths!$C$218=0,C2333=0),0,MAX(0,MIN(C2333*12,Paths!$E$218)-(C2333-1)*12))</f>
        <v>0</v>
      </c>
      <c r="F2333" s="1">
        <f>IF(OR(Paths!$C$218=0,C2333=0),0,12-E2333)</f>
        <v>0</v>
      </c>
      <c r="G2333" s="16">
        <f>IF(NOT(Paths!$C$218=1),0,IF(Paths!$P$218="Complete",E2333/12*(Paths!$J$218*(1+'Operating costs'!$B$51)^MAX(0,C2333-1)+Paths!$K$218*(1+'Operating costs'!$B$53)^MAX(0,C2333-1)),"n.a."))</f>
        <v>0</v>
      </c>
      <c r="H2333" s="16">
        <f>IF(NOT(Paths!$C$218=1),0,IF(Paths!$P$218="Complete",F2333/12*(Paths!$L$218*(1+IF(Paths!$D$218="EV",'Operating costs'!$B$52,'Operating costs'!$B$51))^MAX(0,C2333-1)+Paths!$M$218*(1+'Operating costs'!$B$53)^MAX(0,C2333-1)),"n.a."))</f>
        <v>0</v>
      </c>
      <c r="I2333" s="16">
        <f>IF(NOT(Paths!$C$218=1),0,IF(Paths!$P$218="Complete",IF(IF(Paths!$E$218=0,C2333=0,AND(C2333&gt;0,Paths!$E$218&gt;(C2333-1)*12,Paths!$E$218&lt;=C2333*12)),Paths!$G$218,0),"n.a."))</f>
        <v>0</v>
      </c>
      <c r="J2333" s="16">
        <f>IF(NOT(Paths!$C$218=1),0,IF(Paths!$P$218="Complete",IF(IF(Paths!$E$218=0,C2333=0,AND(C2333&gt;0,Paths!$E$218&gt;(C2333-1)*12,Paths!$E$218&lt;=C2333*12)),Paths!$H$218,0),"n.a."))</f>
        <v>0</v>
      </c>
      <c r="K2333" s="16">
        <f>IF(NOT(Paths!$C$218=1),0,IF(Paths!$P$218="Complete",IF(IF(Paths!$O$218=0,C2333=0,AND(C2333&gt;0,Paths!$O$218&gt;(C2333-1)*12,Paths!$O$218&lt;=C2333*12)),Paths!$N$218,0),"n.a."))</f>
        <v>0</v>
      </c>
      <c r="L2333" s="16">
        <f>IF(NOT(Paths!$C$218=1),0,IF(Paths!$P$218="Complete",IF(C2333=10,Paths!$I$218,0),"n.a."))</f>
        <v>0</v>
      </c>
      <c r="M2333" s="16">
        <f>IF(NOT(Paths!$C$218=1),0,IF(Paths!$P$218="Complete",IF(AND(Paths!$D$218="EV",Paths!$E$218&lt;120,Paths!$E$218+'Operating costs'!$B$65&gt;Paths!$E$218,Paths!$E$218+'Operating costs'!$B$65&lt;=120,IF(Paths!$E$218+'Operating costs'!$B$65=0,C2333=0,AND(C2333&gt;0,Paths!$E$218+'Operating costs'!$B$65&gt;(C2333-1)*12,Paths!$E$218+'Operating costs'!$B$65&lt;=C2333*12))),'Operating costs'!$B$64,0)+IF(AND('Operating costs'!$B$67&gt;0,'Operating costs'!$B$67&lt;=120,OR(Paths!$D$218="ICE",'Operating costs'!$B$67&lt;=Paths!$E$218),IF('Operating costs'!$B$67=0,C2333=0,AND(C2333&gt;0,'Operating costs'!$B$67&gt;(C2333-1)*12,'Operating costs'!$B$67&lt;=C2333*12))),'Operating costs'!$B$66,0),"n.a."))</f>
        <v>0</v>
      </c>
      <c r="N2333" s="16">
        <f>IF(NOT(Paths!$C$218=1),0,IF(Paths!$P$218="Complete",SUM(G2333:I2333)-J2333-K2333-L2333+M2333+IF(C2333=0,Paths!$F$218,0)+IF(IF(Paths!$E$218=0,C2333=0,AND(C2333&gt;0,Paths!$E$218&gt;(C2333-1)*12,Paths!$E$218&lt;=C2333*12)),VLOOKUP(A2333,'Fleet register'!$A$7:$S$106,16,FALSE),0),"n.a."))</f>
        <v>0</v>
      </c>
      <c r="O2333" s="16">
        <f>IF(NOT(Paths!$C$218=1),0,IF(Paths!$P$218="Complete",N2333-IF(C2333=0,Paths!$F$218,0),"n.a."))</f>
        <v>0</v>
      </c>
      <c r="P2333" s="16">
        <f>IF(NOT(Paths!$C$218=1),0,IF(Paths!$P$218="Complete",O2333+L2333,"n.a."))</f>
        <v>0</v>
      </c>
      <c r="Q2333" s="16">
        <f>IF(NOT(Paths!$C$218=1),0,IF(Paths!$P$218="Complete",N2333*(1+'Operating costs'!$B$54)^-C2333,"n.a."))</f>
        <v>0</v>
      </c>
      <c r="R2333" s="16">
        <f>IF(NOT(Paths!$C$218=1),0,IF(Paths!$P$218="Complete",IF(AND(C2333=0,Paths!$E$218=0),I2333-J2333-K2333+VLOOKUP(A2333,'Fleet register'!$A$7:$S$106,15,FALSE)+VLOOKUP(A2333,'Fleet register'!$A$7:$S$106,16,FALSE),0),"n.a."))</f>
        <v>0</v>
      </c>
      <c r="S2333" s="1">
        <f>IF(NOT(Paths!$C$218=1),0,IF(Paths!$P$218="Complete",IF(C2333=0,0,Paths!$S$218*Paths!$R$218),"n.a."))</f>
        <v>0</v>
      </c>
      <c r="T2333" s="1">
        <f>IF(NOT(Paths!$C$218=1),0,IF(Paths!$P$218="Complete",IF(C2333=0,0,VLOOKUP(A2333,'Fleet register'!$A$7:$S$106,9,FALSE)*Paths!$R$218),"n.a."))</f>
        <v>0</v>
      </c>
    </row>
    <row r="2334" spans="1:20" ht="24" customHeight="1">
      <c r="A2334" s="1" t="str">
        <f>Paths!$A$218</f>
        <v>T053</v>
      </c>
      <c r="B2334" s="1">
        <f>Paths!$B$218</f>
        <v>3</v>
      </c>
      <c r="C2334" s="1">
        <v>6</v>
      </c>
      <c r="D2334" s="1">
        <v>218</v>
      </c>
      <c r="E2334" s="1">
        <f>IF(OR(Paths!$C$218=0,C2334=0),0,MAX(0,MIN(C2334*12,Paths!$E$218)-(C2334-1)*12))</f>
        <v>0</v>
      </c>
      <c r="F2334" s="1">
        <f>IF(OR(Paths!$C$218=0,C2334=0),0,12-E2334)</f>
        <v>0</v>
      </c>
      <c r="G2334" s="16">
        <f>IF(NOT(Paths!$C$218=1),0,IF(Paths!$P$218="Complete",E2334/12*(Paths!$J$218*(1+'Operating costs'!$B$51)^MAX(0,C2334-1)+Paths!$K$218*(1+'Operating costs'!$B$53)^MAX(0,C2334-1)),"n.a."))</f>
        <v>0</v>
      </c>
      <c r="H2334" s="16">
        <f>IF(NOT(Paths!$C$218=1),0,IF(Paths!$P$218="Complete",F2334/12*(Paths!$L$218*(1+IF(Paths!$D$218="EV",'Operating costs'!$B$52,'Operating costs'!$B$51))^MAX(0,C2334-1)+Paths!$M$218*(1+'Operating costs'!$B$53)^MAX(0,C2334-1)),"n.a."))</f>
        <v>0</v>
      </c>
      <c r="I2334" s="16">
        <f>IF(NOT(Paths!$C$218=1),0,IF(Paths!$P$218="Complete",IF(IF(Paths!$E$218=0,C2334=0,AND(C2334&gt;0,Paths!$E$218&gt;(C2334-1)*12,Paths!$E$218&lt;=C2334*12)),Paths!$G$218,0),"n.a."))</f>
        <v>0</v>
      </c>
      <c r="J2334" s="16">
        <f>IF(NOT(Paths!$C$218=1),0,IF(Paths!$P$218="Complete",IF(IF(Paths!$E$218=0,C2334=0,AND(C2334&gt;0,Paths!$E$218&gt;(C2334-1)*12,Paths!$E$218&lt;=C2334*12)),Paths!$H$218,0),"n.a."))</f>
        <v>0</v>
      </c>
      <c r="K2334" s="16">
        <f>IF(NOT(Paths!$C$218=1),0,IF(Paths!$P$218="Complete",IF(IF(Paths!$O$218=0,C2334=0,AND(C2334&gt;0,Paths!$O$218&gt;(C2334-1)*12,Paths!$O$218&lt;=C2334*12)),Paths!$N$218,0),"n.a."))</f>
        <v>0</v>
      </c>
      <c r="L2334" s="16">
        <f>IF(NOT(Paths!$C$218=1),0,IF(Paths!$P$218="Complete",IF(C2334=10,Paths!$I$218,0),"n.a."))</f>
        <v>0</v>
      </c>
      <c r="M2334" s="16">
        <f>IF(NOT(Paths!$C$218=1),0,IF(Paths!$P$218="Complete",IF(AND(Paths!$D$218="EV",Paths!$E$218&lt;120,Paths!$E$218+'Operating costs'!$B$65&gt;Paths!$E$218,Paths!$E$218+'Operating costs'!$B$65&lt;=120,IF(Paths!$E$218+'Operating costs'!$B$65=0,C2334=0,AND(C2334&gt;0,Paths!$E$218+'Operating costs'!$B$65&gt;(C2334-1)*12,Paths!$E$218+'Operating costs'!$B$65&lt;=C2334*12))),'Operating costs'!$B$64,0)+IF(AND('Operating costs'!$B$67&gt;0,'Operating costs'!$B$67&lt;=120,OR(Paths!$D$218="ICE",'Operating costs'!$B$67&lt;=Paths!$E$218),IF('Operating costs'!$B$67=0,C2334=0,AND(C2334&gt;0,'Operating costs'!$B$67&gt;(C2334-1)*12,'Operating costs'!$B$67&lt;=C2334*12))),'Operating costs'!$B$66,0),"n.a."))</f>
        <v>0</v>
      </c>
      <c r="N2334" s="16">
        <f>IF(NOT(Paths!$C$218=1),0,IF(Paths!$P$218="Complete",SUM(G2334:I2334)-J2334-K2334-L2334+M2334+IF(C2334=0,Paths!$F$218,0)+IF(IF(Paths!$E$218=0,C2334=0,AND(C2334&gt;0,Paths!$E$218&gt;(C2334-1)*12,Paths!$E$218&lt;=C2334*12)),VLOOKUP(A2334,'Fleet register'!$A$7:$S$106,16,FALSE),0),"n.a."))</f>
        <v>0</v>
      </c>
      <c r="O2334" s="16">
        <f>IF(NOT(Paths!$C$218=1),0,IF(Paths!$P$218="Complete",N2334-IF(C2334=0,Paths!$F$218,0),"n.a."))</f>
        <v>0</v>
      </c>
      <c r="P2334" s="16">
        <f>IF(NOT(Paths!$C$218=1),0,IF(Paths!$P$218="Complete",O2334+L2334,"n.a."))</f>
        <v>0</v>
      </c>
      <c r="Q2334" s="16">
        <f>IF(NOT(Paths!$C$218=1),0,IF(Paths!$P$218="Complete",N2334*(1+'Operating costs'!$B$54)^-C2334,"n.a."))</f>
        <v>0</v>
      </c>
      <c r="R2334" s="16">
        <f>IF(NOT(Paths!$C$218=1),0,IF(Paths!$P$218="Complete",IF(AND(C2334=0,Paths!$E$218=0),I2334-J2334-K2334+VLOOKUP(A2334,'Fleet register'!$A$7:$S$106,15,FALSE)+VLOOKUP(A2334,'Fleet register'!$A$7:$S$106,16,FALSE),0),"n.a."))</f>
        <v>0</v>
      </c>
      <c r="S2334" s="1">
        <f>IF(NOT(Paths!$C$218=1),0,IF(Paths!$P$218="Complete",IF(C2334=0,0,Paths!$S$218*Paths!$R$218),"n.a."))</f>
        <v>0</v>
      </c>
      <c r="T2334" s="1">
        <f>IF(NOT(Paths!$C$218=1),0,IF(Paths!$P$218="Complete",IF(C2334=0,0,VLOOKUP(A2334,'Fleet register'!$A$7:$S$106,9,FALSE)*Paths!$R$218),"n.a."))</f>
        <v>0</v>
      </c>
    </row>
    <row r="2335" spans="1:20" ht="24" customHeight="1">
      <c r="A2335" s="1" t="str">
        <f>Paths!$A$218</f>
        <v>T053</v>
      </c>
      <c r="B2335" s="1">
        <f>Paths!$B$218</f>
        <v>3</v>
      </c>
      <c r="C2335" s="1">
        <v>7</v>
      </c>
      <c r="D2335" s="1">
        <v>218</v>
      </c>
      <c r="E2335" s="1">
        <f>IF(OR(Paths!$C$218=0,C2335=0),0,MAX(0,MIN(C2335*12,Paths!$E$218)-(C2335-1)*12))</f>
        <v>0</v>
      </c>
      <c r="F2335" s="1">
        <f>IF(OR(Paths!$C$218=0,C2335=0),0,12-E2335)</f>
        <v>0</v>
      </c>
      <c r="G2335" s="16">
        <f>IF(NOT(Paths!$C$218=1),0,IF(Paths!$P$218="Complete",E2335/12*(Paths!$J$218*(1+'Operating costs'!$B$51)^MAX(0,C2335-1)+Paths!$K$218*(1+'Operating costs'!$B$53)^MAX(0,C2335-1)),"n.a."))</f>
        <v>0</v>
      </c>
      <c r="H2335" s="16">
        <f>IF(NOT(Paths!$C$218=1),0,IF(Paths!$P$218="Complete",F2335/12*(Paths!$L$218*(1+IF(Paths!$D$218="EV",'Operating costs'!$B$52,'Operating costs'!$B$51))^MAX(0,C2335-1)+Paths!$M$218*(1+'Operating costs'!$B$53)^MAX(0,C2335-1)),"n.a."))</f>
        <v>0</v>
      </c>
      <c r="I2335" s="16">
        <f>IF(NOT(Paths!$C$218=1),0,IF(Paths!$P$218="Complete",IF(IF(Paths!$E$218=0,C2335=0,AND(C2335&gt;0,Paths!$E$218&gt;(C2335-1)*12,Paths!$E$218&lt;=C2335*12)),Paths!$G$218,0),"n.a."))</f>
        <v>0</v>
      </c>
      <c r="J2335" s="16">
        <f>IF(NOT(Paths!$C$218=1),0,IF(Paths!$P$218="Complete",IF(IF(Paths!$E$218=0,C2335=0,AND(C2335&gt;0,Paths!$E$218&gt;(C2335-1)*12,Paths!$E$218&lt;=C2335*12)),Paths!$H$218,0),"n.a."))</f>
        <v>0</v>
      </c>
      <c r="K2335" s="16">
        <f>IF(NOT(Paths!$C$218=1),0,IF(Paths!$P$218="Complete",IF(IF(Paths!$O$218=0,C2335=0,AND(C2335&gt;0,Paths!$O$218&gt;(C2335-1)*12,Paths!$O$218&lt;=C2335*12)),Paths!$N$218,0),"n.a."))</f>
        <v>0</v>
      </c>
      <c r="L2335" s="16">
        <f>IF(NOT(Paths!$C$218=1),0,IF(Paths!$P$218="Complete",IF(C2335=10,Paths!$I$218,0),"n.a."))</f>
        <v>0</v>
      </c>
      <c r="M2335" s="16">
        <f>IF(NOT(Paths!$C$218=1),0,IF(Paths!$P$218="Complete",IF(AND(Paths!$D$218="EV",Paths!$E$218&lt;120,Paths!$E$218+'Operating costs'!$B$65&gt;Paths!$E$218,Paths!$E$218+'Operating costs'!$B$65&lt;=120,IF(Paths!$E$218+'Operating costs'!$B$65=0,C2335=0,AND(C2335&gt;0,Paths!$E$218+'Operating costs'!$B$65&gt;(C2335-1)*12,Paths!$E$218+'Operating costs'!$B$65&lt;=C2335*12))),'Operating costs'!$B$64,0)+IF(AND('Operating costs'!$B$67&gt;0,'Operating costs'!$B$67&lt;=120,OR(Paths!$D$218="ICE",'Operating costs'!$B$67&lt;=Paths!$E$218),IF('Operating costs'!$B$67=0,C2335=0,AND(C2335&gt;0,'Operating costs'!$B$67&gt;(C2335-1)*12,'Operating costs'!$B$67&lt;=C2335*12))),'Operating costs'!$B$66,0),"n.a."))</f>
        <v>0</v>
      </c>
      <c r="N2335" s="16">
        <f>IF(NOT(Paths!$C$218=1),0,IF(Paths!$P$218="Complete",SUM(G2335:I2335)-J2335-K2335-L2335+M2335+IF(C2335=0,Paths!$F$218,0)+IF(IF(Paths!$E$218=0,C2335=0,AND(C2335&gt;0,Paths!$E$218&gt;(C2335-1)*12,Paths!$E$218&lt;=C2335*12)),VLOOKUP(A2335,'Fleet register'!$A$7:$S$106,16,FALSE),0),"n.a."))</f>
        <v>0</v>
      </c>
      <c r="O2335" s="16">
        <f>IF(NOT(Paths!$C$218=1),0,IF(Paths!$P$218="Complete",N2335-IF(C2335=0,Paths!$F$218,0),"n.a."))</f>
        <v>0</v>
      </c>
      <c r="P2335" s="16">
        <f>IF(NOT(Paths!$C$218=1),0,IF(Paths!$P$218="Complete",O2335+L2335,"n.a."))</f>
        <v>0</v>
      </c>
      <c r="Q2335" s="16">
        <f>IF(NOT(Paths!$C$218=1),0,IF(Paths!$P$218="Complete",N2335*(1+'Operating costs'!$B$54)^-C2335,"n.a."))</f>
        <v>0</v>
      </c>
      <c r="R2335" s="16">
        <f>IF(NOT(Paths!$C$218=1),0,IF(Paths!$P$218="Complete",IF(AND(C2335=0,Paths!$E$218=0),I2335-J2335-K2335+VLOOKUP(A2335,'Fleet register'!$A$7:$S$106,15,FALSE)+VLOOKUP(A2335,'Fleet register'!$A$7:$S$106,16,FALSE),0),"n.a."))</f>
        <v>0</v>
      </c>
      <c r="S2335" s="1">
        <f>IF(NOT(Paths!$C$218=1),0,IF(Paths!$P$218="Complete",IF(C2335=0,0,Paths!$S$218*Paths!$R$218),"n.a."))</f>
        <v>0</v>
      </c>
      <c r="T2335" s="1">
        <f>IF(NOT(Paths!$C$218=1),0,IF(Paths!$P$218="Complete",IF(C2335=0,0,VLOOKUP(A2335,'Fleet register'!$A$7:$S$106,9,FALSE)*Paths!$R$218),"n.a."))</f>
        <v>0</v>
      </c>
    </row>
    <row r="2336" spans="1:20" ht="24" customHeight="1">
      <c r="A2336" s="1" t="str">
        <f>Paths!$A$218</f>
        <v>T053</v>
      </c>
      <c r="B2336" s="1">
        <f>Paths!$B$218</f>
        <v>3</v>
      </c>
      <c r="C2336" s="1">
        <v>8</v>
      </c>
      <c r="D2336" s="1">
        <v>218</v>
      </c>
      <c r="E2336" s="1">
        <f>IF(OR(Paths!$C$218=0,C2336=0),0,MAX(0,MIN(C2336*12,Paths!$E$218)-(C2336-1)*12))</f>
        <v>0</v>
      </c>
      <c r="F2336" s="1">
        <f>IF(OR(Paths!$C$218=0,C2336=0),0,12-E2336)</f>
        <v>0</v>
      </c>
      <c r="G2336" s="16">
        <f>IF(NOT(Paths!$C$218=1),0,IF(Paths!$P$218="Complete",E2336/12*(Paths!$J$218*(1+'Operating costs'!$B$51)^MAX(0,C2336-1)+Paths!$K$218*(1+'Operating costs'!$B$53)^MAX(0,C2336-1)),"n.a."))</f>
        <v>0</v>
      </c>
      <c r="H2336" s="16">
        <f>IF(NOT(Paths!$C$218=1),0,IF(Paths!$P$218="Complete",F2336/12*(Paths!$L$218*(1+IF(Paths!$D$218="EV",'Operating costs'!$B$52,'Operating costs'!$B$51))^MAX(0,C2336-1)+Paths!$M$218*(1+'Operating costs'!$B$53)^MAX(0,C2336-1)),"n.a."))</f>
        <v>0</v>
      </c>
      <c r="I2336" s="16">
        <f>IF(NOT(Paths!$C$218=1),0,IF(Paths!$P$218="Complete",IF(IF(Paths!$E$218=0,C2336=0,AND(C2336&gt;0,Paths!$E$218&gt;(C2336-1)*12,Paths!$E$218&lt;=C2336*12)),Paths!$G$218,0),"n.a."))</f>
        <v>0</v>
      </c>
      <c r="J2336" s="16">
        <f>IF(NOT(Paths!$C$218=1),0,IF(Paths!$P$218="Complete",IF(IF(Paths!$E$218=0,C2336=0,AND(C2336&gt;0,Paths!$E$218&gt;(C2336-1)*12,Paths!$E$218&lt;=C2336*12)),Paths!$H$218,0),"n.a."))</f>
        <v>0</v>
      </c>
      <c r="K2336" s="16">
        <f>IF(NOT(Paths!$C$218=1),0,IF(Paths!$P$218="Complete",IF(IF(Paths!$O$218=0,C2336=0,AND(C2336&gt;0,Paths!$O$218&gt;(C2336-1)*12,Paths!$O$218&lt;=C2336*12)),Paths!$N$218,0),"n.a."))</f>
        <v>0</v>
      </c>
      <c r="L2336" s="16">
        <f>IF(NOT(Paths!$C$218=1),0,IF(Paths!$P$218="Complete",IF(C2336=10,Paths!$I$218,0),"n.a."))</f>
        <v>0</v>
      </c>
      <c r="M2336" s="16">
        <f>IF(NOT(Paths!$C$218=1),0,IF(Paths!$P$218="Complete",IF(AND(Paths!$D$218="EV",Paths!$E$218&lt;120,Paths!$E$218+'Operating costs'!$B$65&gt;Paths!$E$218,Paths!$E$218+'Operating costs'!$B$65&lt;=120,IF(Paths!$E$218+'Operating costs'!$B$65=0,C2336=0,AND(C2336&gt;0,Paths!$E$218+'Operating costs'!$B$65&gt;(C2336-1)*12,Paths!$E$218+'Operating costs'!$B$65&lt;=C2336*12))),'Operating costs'!$B$64,0)+IF(AND('Operating costs'!$B$67&gt;0,'Operating costs'!$B$67&lt;=120,OR(Paths!$D$218="ICE",'Operating costs'!$B$67&lt;=Paths!$E$218),IF('Operating costs'!$B$67=0,C2336=0,AND(C2336&gt;0,'Operating costs'!$B$67&gt;(C2336-1)*12,'Operating costs'!$B$67&lt;=C2336*12))),'Operating costs'!$B$66,0),"n.a."))</f>
        <v>0</v>
      </c>
      <c r="N2336" s="16">
        <f>IF(NOT(Paths!$C$218=1),0,IF(Paths!$P$218="Complete",SUM(G2336:I2336)-J2336-K2336-L2336+M2336+IF(C2336=0,Paths!$F$218,0)+IF(IF(Paths!$E$218=0,C2336=0,AND(C2336&gt;0,Paths!$E$218&gt;(C2336-1)*12,Paths!$E$218&lt;=C2336*12)),VLOOKUP(A2336,'Fleet register'!$A$7:$S$106,16,FALSE),0),"n.a."))</f>
        <v>0</v>
      </c>
      <c r="O2336" s="16">
        <f>IF(NOT(Paths!$C$218=1),0,IF(Paths!$P$218="Complete",N2336-IF(C2336=0,Paths!$F$218,0),"n.a."))</f>
        <v>0</v>
      </c>
      <c r="P2336" s="16">
        <f>IF(NOT(Paths!$C$218=1),0,IF(Paths!$P$218="Complete",O2336+L2336,"n.a."))</f>
        <v>0</v>
      </c>
      <c r="Q2336" s="16">
        <f>IF(NOT(Paths!$C$218=1),0,IF(Paths!$P$218="Complete",N2336*(1+'Operating costs'!$B$54)^-C2336,"n.a."))</f>
        <v>0</v>
      </c>
      <c r="R2336" s="16">
        <f>IF(NOT(Paths!$C$218=1),0,IF(Paths!$P$218="Complete",IF(AND(C2336=0,Paths!$E$218=0),I2336-J2336-K2336+VLOOKUP(A2336,'Fleet register'!$A$7:$S$106,15,FALSE)+VLOOKUP(A2336,'Fleet register'!$A$7:$S$106,16,FALSE),0),"n.a."))</f>
        <v>0</v>
      </c>
      <c r="S2336" s="1">
        <f>IF(NOT(Paths!$C$218=1),0,IF(Paths!$P$218="Complete",IF(C2336=0,0,Paths!$S$218*Paths!$R$218),"n.a."))</f>
        <v>0</v>
      </c>
      <c r="T2336" s="1">
        <f>IF(NOT(Paths!$C$218=1),0,IF(Paths!$P$218="Complete",IF(C2336=0,0,VLOOKUP(A2336,'Fleet register'!$A$7:$S$106,9,FALSE)*Paths!$R$218),"n.a."))</f>
        <v>0</v>
      </c>
    </row>
    <row r="2337" spans="1:20" ht="24" customHeight="1">
      <c r="A2337" s="1" t="str">
        <f>Paths!$A$218</f>
        <v>T053</v>
      </c>
      <c r="B2337" s="1">
        <f>Paths!$B$218</f>
        <v>3</v>
      </c>
      <c r="C2337" s="1">
        <v>9</v>
      </c>
      <c r="D2337" s="1">
        <v>218</v>
      </c>
      <c r="E2337" s="1">
        <f>IF(OR(Paths!$C$218=0,C2337=0),0,MAX(0,MIN(C2337*12,Paths!$E$218)-(C2337-1)*12))</f>
        <v>0</v>
      </c>
      <c r="F2337" s="1">
        <f>IF(OR(Paths!$C$218=0,C2337=0),0,12-E2337)</f>
        <v>0</v>
      </c>
      <c r="G2337" s="16">
        <f>IF(NOT(Paths!$C$218=1),0,IF(Paths!$P$218="Complete",E2337/12*(Paths!$J$218*(1+'Operating costs'!$B$51)^MAX(0,C2337-1)+Paths!$K$218*(1+'Operating costs'!$B$53)^MAX(0,C2337-1)),"n.a."))</f>
        <v>0</v>
      </c>
      <c r="H2337" s="16">
        <f>IF(NOT(Paths!$C$218=1),0,IF(Paths!$P$218="Complete",F2337/12*(Paths!$L$218*(1+IF(Paths!$D$218="EV",'Operating costs'!$B$52,'Operating costs'!$B$51))^MAX(0,C2337-1)+Paths!$M$218*(1+'Operating costs'!$B$53)^MAX(0,C2337-1)),"n.a."))</f>
        <v>0</v>
      </c>
      <c r="I2337" s="16">
        <f>IF(NOT(Paths!$C$218=1),0,IF(Paths!$P$218="Complete",IF(IF(Paths!$E$218=0,C2337=0,AND(C2337&gt;0,Paths!$E$218&gt;(C2337-1)*12,Paths!$E$218&lt;=C2337*12)),Paths!$G$218,0),"n.a."))</f>
        <v>0</v>
      </c>
      <c r="J2337" s="16">
        <f>IF(NOT(Paths!$C$218=1),0,IF(Paths!$P$218="Complete",IF(IF(Paths!$E$218=0,C2337=0,AND(C2337&gt;0,Paths!$E$218&gt;(C2337-1)*12,Paths!$E$218&lt;=C2337*12)),Paths!$H$218,0),"n.a."))</f>
        <v>0</v>
      </c>
      <c r="K2337" s="16">
        <f>IF(NOT(Paths!$C$218=1),0,IF(Paths!$P$218="Complete",IF(IF(Paths!$O$218=0,C2337=0,AND(C2337&gt;0,Paths!$O$218&gt;(C2337-1)*12,Paths!$O$218&lt;=C2337*12)),Paths!$N$218,0),"n.a."))</f>
        <v>0</v>
      </c>
      <c r="L2337" s="16">
        <f>IF(NOT(Paths!$C$218=1),0,IF(Paths!$P$218="Complete",IF(C2337=10,Paths!$I$218,0),"n.a."))</f>
        <v>0</v>
      </c>
      <c r="M2337" s="16">
        <f>IF(NOT(Paths!$C$218=1),0,IF(Paths!$P$218="Complete",IF(AND(Paths!$D$218="EV",Paths!$E$218&lt;120,Paths!$E$218+'Operating costs'!$B$65&gt;Paths!$E$218,Paths!$E$218+'Operating costs'!$B$65&lt;=120,IF(Paths!$E$218+'Operating costs'!$B$65=0,C2337=0,AND(C2337&gt;0,Paths!$E$218+'Operating costs'!$B$65&gt;(C2337-1)*12,Paths!$E$218+'Operating costs'!$B$65&lt;=C2337*12))),'Operating costs'!$B$64,0)+IF(AND('Operating costs'!$B$67&gt;0,'Operating costs'!$B$67&lt;=120,OR(Paths!$D$218="ICE",'Operating costs'!$B$67&lt;=Paths!$E$218),IF('Operating costs'!$B$67=0,C2337=0,AND(C2337&gt;0,'Operating costs'!$B$67&gt;(C2337-1)*12,'Operating costs'!$B$67&lt;=C2337*12))),'Operating costs'!$B$66,0),"n.a."))</f>
        <v>0</v>
      </c>
      <c r="N2337" s="16">
        <f>IF(NOT(Paths!$C$218=1),0,IF(Paths!$P$218="Complete",SUM(G2337:I2337)-J2337-K2337-L2337+M2337+IF(C2337=0,Paths!$F$218,0)+IF(IF(Paths!$E$218=0,C2337=0,AND(C2337&gt;0,Paths!$E$218&gt;(C2337-1)*12,Paths!$E$218&lt;=C2337*12)),VLOOKUP(A2337,'Fleet register'!$A$7:$S$106,16,FALSE),0),"n.a."))</f>
        <v>0</v>
      </c>
      <c r="O2337" s="16">
        <f>IF(NOT(Paths!$C$218=1),0,IF(Paths!$P$218="Complete",N2337-IF(C2337=0,Paths!$F$218,0),"n.a."))</f>
        <v>0</v>
      </c>
      <c r="P2337" s="16">
        <f>IF(NOT(Paths!$C$218=1),0,IF(Paths!$P$218="Complete",O2337+L2337,"n.a."))</f>
        <v>0</v>
      </c>
      <c r="Q2337" s="16">
        <f>IF(NOT(Paths!$C$218=1),0,IF(Paths!$P$218="Complete",N2337*(1+'Operating costs'!$B$54)^-C2337,"n.a."))</f>
        <v>0</v>
      </c>
      <c r="R2337" s="16">
        <f>IF(NOT(Paths!$C$218=1),0,IF(Paths!$P$218="Complete",IF(AND(C2337=0,Paths!$E$218=0),I2337-J2337-K2337+VLOOKUP(A2337,'Fleet register'!$A$7:$S$106,15,FALSE)+VLOOKUP(A2337,'Fleet register'!$A$7:$S$106,16,FALSE),0),"n.a."))</f>
        <v>0</v>
      </c>
      <c r="S2337" s="1">
        <f>IF(NOT(Paths!$C$218=1),0,IF(Paths!$P$218="Complete",IF(C2337=0,0,Paths!$S$218*Paths!$R$218),"n.a."))</f>
        <v>0</v>
      </c>
      <c r="T2337" s="1">
        <f>IF(NOT(Paths!$C$218=1),0,IF(Paths!$P$218="Complete",IF(C2337=0,0,VLOOKUP(A2337,'Fleet register'!$A$7:$S$106,9,FALSE)*Paths!$R$218),"n.a."))</f>
        <v>0</v>
      </c>
    </row>
    <row r="2338" spans="1:20" ht="24" customHeight="1">
      <c r="A2338" s="1" t="str">
        <f>Paths!$A$218</f>
        <v>T053</v>
      </c>
      <c r="B2338" s="1">
        <f>Paths!$B$218</f>
        <v>3</v>
      </c>
      <c r="C2338" s="1">
        <v>10</v>
      </c>
      <c r="D2338" s="1">
        <v>218</v>
      </c>
      <c r="E2338" s="1">
        <f>IF(OR(Paths!$C$218=0,C2338=0),0,MAX(0,MIN(C2338*12,Paths!$E$218)-(C2338-1)*12))</f>
        <v>0</v>
      </c>
      <c r="F2338" s="1">
        <f>IF(OR(Paths!$C$218=0,C2338=0),0,12-E2338)</f>
        <v>0</v>
      </c>
      <c r="G2338" s="16">
        <f>IF(NOT(Paths!$C$218=1),0,IF(Paths!$P$218="Complete",E2338/12*(Paths!$J$218*(1+'Operating costs'!$B$51)^MAX(0,C2338-1)+Paths!$K$218*(1+'Operating costs'!$B$53)^MAX(0,C2338-1)),"n.a."))</f>
        <v>0</v>
      </c>
      <c r="H2338" s="16">
        <f>IF(NOT(Paths!$C$218=1),0,IF(Paths!$P$218="Complete",F2338/12*(Paths!$L$218*(1+IF(Paths!$D$218="EV",'Operating costs'!$B$52,'Operating costs'!$B$51))^MAX(0,C2338-1)+Paths!$M$218*(1+'Operating costs'!$B$53)^MAX(0,C2338-1)),"n.a."))</f>
        <v>0</v>
      </c>
      <c r="I2338" s="16">
        <f>IF(NOT(Paths!$C$218=1),0,IF(Paths!$P$218="Complete",IF(IF(Paths!$E$218=0,C2338=0,AND(C2338&gt;0,Paths!$E$218&gt;(C2338-1)*12,Paths!$E$218&lt;=C2338*12)),Paths!$G$218,0),"n.a."))</f>
        <v>0</v>
      </c>
      <c r="J2338" s="16">
        <f>IF(NOT(Paths!$C$218=1),0,IF(Paths!$P$218="Complete",IF(IF(Paths!$E$218=0,C2338=0,AND(C2338&gt;0,Paths!$E$218&gt;(C2338-1)*12,Paths!$E$218&lt;=C2338*12)),Paths!$H$218,0),"n.a."))</f>
        <v>0</v>
      </c>
      <c r="K2338" s="16">
        <f>IF(NOT(Paths!$C$218=1),0,IF(Paths!$P$218="Complete",IF(IF(Paths!$O$218=0,C2338=0,AND(C2338&gt;0,Paths!$O$218&gt;(C2338-1)*12,Paths!$O$218&lt;=C2338*12)),Paths!$N$218,0),"n.a."))</f>
        <v>0</v>
      </c>
      <c r="L2338" s="16">
        <f>IF(NOT(Paths!$C$218=1),0,IF(Paths!$P$218="Complete",IF(C2338=10,Paths!$I$218,0),"n.a."))</f>
        <v>0</v>
      </c>
      <c r="M2338" s="16">
        <f>IF(NOT(Paths!$C$218=1),0,IF(Paths!$P$218="Complete",IF(AND(Paths!$D$218="EV",Paths!$E$218&lt;120,Paths!$E$218+'Operating costs'!$B$65&gt;Paths!$E$218,Paths!$E$218+'Operating costs'!$B$65&lt;=120,IF(Paths!$E$218+'Operating costs'!$B$65=0,C2338=0,AND(C2338&gt;0,Paths!$E$218+'Operating costs'!$B$65&gt;(C2338-1)*12,Paths!$E$218+'Operating costs'!$B$65&lt;=C2338*12))),'Operating costs'!$B$64,0)+IF(AND('Operating costs'!$B$67&gt;0,'Operating costs'!$B$67&lt;=120,OR(Paths!$D$218="ICE",'Operating costs'!$B$67&lt;=Paths!$E$218),IF('Operating costs'!$B$67=0,C2338=0,AND(C2338&gt;0,'Operating costs'!$B$67&gt;(C2338-1)*12,'Operating costs'!$B$67&lt;=C2338*12))),'Operating costs'!$B$66,0),"n.a."))</f>
        <v>0</v>
      </c>
      <c r="N2338" s="16">
        <f>IF(NOT(Paths!$C$218=1),0,IF(Paths!$P$218="Complete",SUM(G2338:I2338)-J2338-K2338-L2338+M2338+IF(C2338=0,Paths!$F$218,0)+IF(IF(Paths!$E$218=0,C2338=0,AND(C2338&gt;0,Paths!$E$218&gt;(C2338-1)*12,Paths!$E$218&lt;=C2338*12)),VLOOKUP(A2338,'Fleet register'!$A$7:$S$106,16,FALSE),0),"n.a."))</f>
        <v>0</v>
      </c>
      <c r="O2338" s="16">
        <f>IF(NOT(Paths!$C$218=1),0,IF(Paths!$P$218="Complete",N2338-IF(C2338=0,Paths!$F$218,0),"n.a."))</f>
        <v>0</v>
      </c>
      <c r="P2338" s="16">
        <f>IF(NOT(Paths!$C$218=1),0,IF(Paths!$P$218="Complete",O2338+L2338,"n.a."))</f>
        <v>0</v>
      </c>
      <c r="Q2338" s="16">
        <f>IF(NOT(Paths!$C$218=1),0,IF(Paths!$P$218="Complete",N2338*(1+'Operating costs'!$B$54)^-C2338,"n.a."))</f>
        <v>0</v>
      </c>
      <c r="R2338" s="16">
        <f>IF(NOT(Paths!$C$218=1),0,IF(Paths!$P$218="Complete",IF(AND(C2338=0,Paths!$E$218=0),I2338-J2338-K2338+VLOOKUP(A2338,'Fleet register'!$A$7:$S$106,15,FALSE)+VLOOKUP(A2338,'Fleet register'!$A$7:$S$106,16,FALSE),0),"n.a."))</f>
        <v>0</v>
      </c>
      <c r="S2338" s="1">
        <f>IF(NOT(Paths!$C$218=1),0,IF(Paths!$P$218="Complete",IF(C2338=0,0,Paths!$S$218*Paths!$R$218),"n.a."))</f>
        <v>0</v>
      </c>
      <c r="T2338" s="1">
        <f>IF(NOT(Paths!$C$218=1),0,IF(Paths!$P$218="Complete",IF(C2338=0,0,VLOOKUP(A2338,'Fleet register'!$A$7:$S$106,9,FALSE)*Paths!$R$218),"n.a."))</f>
        <v>0</v>
      </c>
    </row>
    <row r="2339" spans="1:20" ht="24" customHeight="1">
      <c r="A2339" s="1" t="str">
        <f>Paths!$A$219</f>
        <v>T054</v>
      </c>
      <c r="B2339" s="1">
        <f>Paths!$B$219</f>
        <v>0</v>
      </c>
      <c r="C2339" s="1">
        <v>0</v>
      </c>
      <c r="D2339" s="1">
        <v>219</v>
      </c>
      <c r="E2339" s="1">
        <f>IF(OR(Paths!$C$219=0,C2339=0),0,MAX(0,MIN(C2339*12,Paths!$E$219)-(C2339-1)*12))</f>
        <v>0</v>
      </c>
      <c r="F2339" s="1">
        <f>IF(OR(Paths!$C$219=0,C2339=0),0,12-E2339)</f>
        <v>0</v>
      </c>
      <c r="G2339" s="16">
        <f>IF(NOT(Paths!$C$219=1),0,IF(Paths!$P$219="Complete",E2339/12*(Paths!$J$219*(1+'Operating costs'!$B$51)^MAX(0,C2339-1)+Paths!$K$219*(1+'Operating costs'!$B$53)^MAX(0,C2339-1)),"n.a."))</f>
        <v>0</v>
      </c>
      <c r="H2339" s="16">
        <f>IF(NOT(Paths!$C$219=1),0,IF(Paths!$P$219="Complete",F2339/12*(Paths!$L$219*(1+IF(Paths!$D$219="EV",'Operating costs'!$B$52,'Operating costs'!$B$51))^MAX(0,C2339-1)+Paths!$M$219*(1+'Operating costs'!$B$53)^MAX(0,C2339-1)),"n.a."))</f>
        <v>0</v>
      </c>
      <c r="I2339" s="16">
        <f>IF(NOT(Paths!$C$219=1),0,IF(Paths!$P$219="Complete",IF(IF(Paths!$E$219=0,C2339=0,AND(C2339&gt;0,Paths!$E$219&gt;(C2339-1)*12,Paths!$E$219&lt;=C2339*12)),Paths!$G$219,0),"n.a."))</f>
        <v>0</v>
      </c>
      <c r="J2339" s="16">
        <f>IF(NOT(Paths!$C$219=1),0,IF(Paths!$P$219="Complete",IF(IF(Paths!$E$219=0,C2339=0,AND(C2339&gt;0,Paths!$E$219&gt;(C2339-1)*12,Paths!$E$219&lt;=C2339*12)),Paths!$H$219,0),"n.a."))</f>
        <v>0</v>
      </c>
      <c r="K2339" s="16">
        <f>IF(NOT(Paths!$C$219=1),0,IF(Paths!$P$219="Complete",IF(IF(Paths!$O$219=0,C2339=0,AND(C2339&gt;0,Paths!$O$219&gt;(C2339-1)*12,Paths!$O$219&lt;=C2339*12)),Paths!$N$219,0),"n.a."))</f>
        <v>0</v>
      </c>
      <c r="L2339" s="16">
        <f>IF(NOT(Paths!$C$219=1),0,IF(Paths!$P$219="Complete",IF(C2339=10,Paths!$I$219,0),"n.a."))</f>
        <v>0</v>
      </c>
      <c r="M2339" s="16">
        <f>IF(NOT(Paths!$C$219=1),0,IF(Paths!$P$219="Complete",IF(AND(Paths!$D$219="EV",Paths!$E$219&lt;120,Paths!$E$219+'Operating costs'!$B$65&gt;Paths!$E$219,Paths!$E$219+'Operating costs'!$B$65&lt;=120,IF(Paths!$E$219+'Operating costs'!$B$65=0,C2339=0,AND(C2339&gt;0,Paths!$E$219+'Operating costs'!$B$65&gt;(C2339-1)*12,Paths!$E$219+'Operating costs'!$B$65&lt;=C2339*12))),'Operating costs'!$B$64,0)+IF(AND('Operating costs'!$B$67&gt;0,'Operating costs'!$B$67&lt;=120,OR(Paths!$D$219="ICE",'Operating costs'!$B$67&lt;=Paths!$E$219),IF('Operating costs'!$B$67=0,C2339=0,AND(C2339&gt;0,'Operating costs'!$B$67&gt;(C2339-1)*12,'Operating costs'!$B$67&lt;=C2339*12))),'Operating costs'!$B$66,0),"n.a."))</f>
        <v>0</v>
      </c>
      <c r="N2339" s="16">
        <f>IF(NOT(Paths!$C$219=1),0,IF(Paths!$P$219="Complete",SUM(G2339:I2339)-J2339-K2339-L2339+M2339+IF(C2339=0,Paths!$F$219,0)+IF(IF(Paths!$E$219=0,C2339=0,AND(C2339&gt;0,Paths!$E$219&gt;(C2339-1)*12,Paths!$E$219&lt;=C2339*12)),VLOOKUP(A2339,'Fleet register'!$A$7:$S$106,16,FALSE),0),"n.a."))</f>
        <v>0</v>
      </c>
      <c r="O2339" s="16">
        <f>IF(NOT(Paths!$C$219=1),0,IF(Paths!$P$219="Complete",N2339-IF(C2339=0,Paths!$F$219,0),"n.a."))</f>
        <v>0</v>
      </c>
      <c r="P2339" s="16">
        <f>IF(NOT(Paths!$C$219=1),0,IF(Paths!$P$219="Complete",O2339+L2339,"n.a."))</f>
        <v>0</v>
      </c>
      <c r="Q2339" s="16">
        <f>IF(NOT(Paths!$C$219=1),0,IF(Paths!$P$219="Complete",N2339*(1+'Operating costs'!$B$54)^-C2339,"n.a."))</f>
        <v>0</v>
      </c>
      <c r="R2339" s="16">
        <f>IF(NOT(Paths!$C$219=1),0,IF(Paths!$P$219="Complete",IF(AND(C2339=0,Paths!$E$219=0),I2339-J2339-K2339+VLOOKUP(A2339,'Fleet register'!$A$7:$S$106,15,FALSE)+VLOOKUP(A2339,'Fleet register'!$A$7:$S$106,16,FALSE),0),"n.a."))</f>
        <v>0</v>
      </c>
      <c r="S2339" s="1">
        <f>IF(NOT(Paths!$C$219=1),0,IF(Paths!$P$219="Complete",IF(C2339=0,0,Paths!$S$219*Paths!$R$219),"n.a."))</f>
        <v>0</v>
      </c>
      <c r="T2339" s="1">
        <f>IF(NOT(Paths!$C$219=1),0,IF(Paths!$P$219="Complete",IF(C2339=0,0,VLOOKUP(A2339,'Fleet register'!$A$7:$S$106,9,FALSE)*Paths!$R$219),"n.a."))</f>
        <v>0</v>
      </c>
    </row>
    <row r="2340" spans="1:20" ht="24" customHeight="1">
      <c r="A2340" s="1" t="str">
        <f>Paths!$A$219</f>
        <v>T054</v>
      </c>
      <c r="B2340" s="1">
        <f>Paths!$B$219</f>
        <v>0</v>
      </c>
      <c r="C2340" s="1">
        <v>1</v>
      </c>
      <c r="D2340" s="1">
        <v>219</v>
      </c>
      <c r="E2340" s="1">
        <f>IF(OR(Paths!$C$219=0,C2340=0),0,MAX(0,MIN(C2340*12,Paths!$E$219)-(C2340-1)*12))</f>
        <v>0</v>
      </c>
      <c r="F2340" s="1">
        <f>IF(OR(Paths!$C$219=0,C2340=0),0,12-E2340)</f>
        <v>0</v>
      </c>
      <c r="G2340" s="16">
        <f>IF(NOT(Paths!$C$219=1),0,IF(Paths!$P$219="Complete",E2340/12*(Paths!$J$219*(1+'Operating costs'!$B$51)^MAX(0,C2340-1)+Paths!$K$219*(1+'Operating costs'!$B$53)^MAX(0,C2340-1)),"n.a."))</f>
        <v>0</v>
      </c>
      <c r="H2340" s="16">
        <f>IF(NOT(Paths!$C$219=1),0,IF(Paths!$P$219="Complete",F2340/12*(Paths!$L$219*(1+IF(Paths!$D$219="EV",'Operating costs'!$B$52,'Operating costs'!$B$51))^MAX(0,C2340-1)+Paths!$M$219*(1+'Operating costs'!$B$53)^MAX(0,C2340-1)),"n.a."))</f>
        <v>0</v>
      </c>
      <c r="I2340" s="16">
        <f>IF(NOT(Paths!$C$219=1),0,IF(Paths!$P$219="Complete",IF(IF(Paths!$E$219=0,C2340=0,AND(C2340&gt;0,Paths!$E$219&gt;(C2340-1)*12,Paths!$E$219&lt;=C2340*12)),Paths!$G$219,0),"n.a."))</f>
        <v>0</v>
      </c>
      <c r="J2340" s="16">
        <f>IF(NOT(Paths!$C$219=1),0,IF(Paths!$P$219="Complete",IF(IF(Paths!$E$219=0,C2340=0,AND(C2340&gt;0,Paths!$E$219&gt;(C2340-1)*12,Paths!$E$219&lt;=C2340*12)),Paths!$H$219,0),"n.a."))</f>
        <v>0</v>
      </c>
      <c r="K2340" s="16">
        <f>IF(NOT(Paths!$C$219=1),0,IF(Paths!$P$219="Complete",IF(IF(Paths!$O$219=0,C2340=0,AND(C2340&gt;0,Paths!$O$219&gt;(C2340-1)*12,Paths!$O$219&lt;=C2340*12)),Paths!$N$219,0),"n.a."))</f>
        <v>0</v>
      </c>
      <c r="L2340" s="16">
        <f>IF(NOT(Paths!$C$219=1),0,IF(Paths!$P$219="Complete",IF(C2340=10,Paths!$I$219,0),"n.a."))</f>
        <v>0</v>
      </c>
      <c r="M2340" s="16">
        <f>IF(NOT(Paths!$C$219=1),0,IF(Paths!$P$219="Complete",IF(AND(Paths!$D$219="EV",Paths!$E$219&lt;120,Paths!$E$219+'Operating costs'!$B$65&gt;Paths!$E$219,Paths!$E$219+'Operating costs'!$B$65&lt;=120,IF(Paths!$E$219+'Operating costs'!$B$65=0,C2340=0,AND(C2340&gt;0,Paths!$E$219+'Operating costs'!$B$65&gt;(C2340-1)*12,Paths!$E$219+'Operating costs'!$B$65&lt;=C2340*12))),'Operating costs'!$B$64,0)+IF(AND('Operating costs'!$B$67&gt;0,'Operating costs'!$B$67&lt;=120,OR(Paths!$D$219="ICE",'Operating costs'!$B$67&lt;=Paths!$E$219),IF('Operating costs'!$B$67=0,C2340=0,AND(C2340&gt;0,'Operating costs'!$B$67&gt;(C2340-1)*12,'Operating costs'!$B$67&lt;=C2340*12))),'Operating costs'!$B$66,0),"n.a."))</f>
        <v>0</v>
      </c>
      <c r="N2340" s="16">
        <f>IF(NOT(Paths!$C$219=1),0,IF(Paths!$P$219="Complete",SUM(G2340:I2340)-J2340-K2340-L2340+M2340+IF(C2340=0,Paths!$F$219,0)+IF(IF(Paths!$E$219=0,C2340=0,AND(C2340&gt;0,Paths!$E$219&gt;(C2340-1)*12,Paths!$E$219&lt;=C2340*12)),VLOOKUP(A2340,'Fleet register'!$A$7:$S$106,16,FALSE),0),"n.a."))</f>
        <v>0</v>
      </c>
      <c r="O2340" s="16">
        <f>IF(NOT(Paths!$C$219=1),0,IF(Paths!$P$219="Complete",N2340-IF(C2340=0,Paths!$F$219,0),"n.a."))</f>
        <v>0</v>
      </c>
      <c r="P2340" s="16">
        <f>IF(NOT(Paths!$C$219=1),0,IF(Paths!$P$219="Complete",O2340+L2340,"n.a."))</f>
        <v>0</v>
      </c>
      <c r="Q2340" s="16">
        <f>IF(NOT(Paths!$C$219=1),0,IF(Paths!$P$219="Complete",N2340*(1+'Operating costs'!$B$54)^-C2340,"n.a."))</f>
        <v>0</v>
      </c>
      <c r="R2340" s="16">
        <f>IF(NOT(Paths!$C$219=1),0,IF(Paths!$P$219="Complete",IF(AND(C2340=0,Paths!$E$219=0),I2340-J2340-K2340+VLOOKUP(A2340,'Fleet register'!$A$7:$S$106,15,FALSE)+VLOOKUP(A2340,'Fleet register'!$A$7:$S$106,16,FALSE),0),"n.a."))</f>
        <v>0</v>
      </c>
      <c r="S2340" s="1">
        <f>IF(NOT(Paths!$C$219=1),0,IF(Paths!$P$219="Complete",IF(C2340=0,0,Paths!$S$219*Paths!$R$219),"n.a."))</f>
        <v>0</v>
      </c>
      <c r="T2340" s="1">
        <f>IF(NOT(Paths!$C$219=1),0,IF(Paths!$P$219="Complete",IF(C2340=0,0,VLOOKUP(A2340,'Fleet register'!$A$7:$S$106,9,FALSE)*Paths!$R$219),"n.a."))</f>
        <v>0</v>
      </c>
    </row>
    <row r="2341" spans="1:20" ht="24" customHeight="1">
      <c r="A2341" s="1" t="str">
        <f>Paths!$A$219</f>
        <v>T054</v>
      </c>
      <c r="B2341" s="1">
        <f>Paths!$B$219</f>
        <v>0</v>
      </c>
      <c r="C2341" s="1">
        <v>2</v>
      </c>
      <c r="D2341" s="1">
        <v>219</v>
      </c>
      <c r="E2341" s="1">
        <f>IF(OR(Paths!$C$219=0,C2341=0),0,MAX(0,MIN(C2341*12,Paths!$E$219)-(C2341-1)*12))</f>
        <v>0</v>
      </c>
      <c r="F2341" s="1">
        <f>IF(OR(Paths!$C$219=0,C2341=0),0,12-E2341)</f>
        <v>0</v>
      </c>
      <c r="G2341" s="16">
        <f>IF(NOT(Paths!$C$219=1),0,IF(Paths!$P$219="Complete",E2341/12*(Paths!$J$219*(1+'Operating costs'!$B$51)^MAX(0,C2341-1)+Paths!$K$219*(1+'Operating costs'!$B$53)^MAX(0,C2341-1)),"n.a."))</f>
        <v>0</v>
      </c>
      <c r="H2341" s="16">
        <f>IF(NOT(Paths!$C$219=1),0,IF(Paths!$P$219="Complete",F2341/12*(Paths!$L$219*(1+IF(Paths!$D$219="EV",'Operating costs'!$B$52,'Operating costs'!$B$51))^MAX(0,C2341-1)+Paths!$M$219*(1+'Operating costs'!$B$53)^MAX(0,C2341-1)),"n.a."))</f>
        <v>0</v>
      </c>
      <c r="I2341" s="16">
        <f>IF(NOT(Paths!$C$219=1),0,IF(Paths!$P$219="Complete",IF(IF(Paths!$E$219=0,C2341=0,AND(C2341&gt;0,Paths!$E$219&gt;(C2341-1)*12,Paths!$E$219&lt;=C2341*12)),Paths!$G$219,0),"n.a."))</f>
        <v>0</v>
      </c>
      <c r="J2341" s="16">
        <f>IF(NOT(Paths!$C$219=1),0,IF(Paths!$P$219="Complete",IF(IF(Paths!$E$219=0,C2341=0,AND(C2341&gt;0,Paths!$E$219&gt;(C2341-1)*12,Paths!$E$219&lt;=C2341*12)),Paths!$H$219,0),"n.a."))</f>
        <v>0</v>
      </c>
      <c r="K2341" s="16">
        <f>IF(NOT(Paths!$C$219=1),0,IF(Paths!$P$219="Complete",IF(IF(Paths!$O$219=0,C2341=0,AND(C2341&gt;0,Paths!$O$219&gt;(C2341-1)*12,Paths!$O$219&lt;=C2341*12)),Paths!$N$219,0),"n.a."))</f>
        <v>0</v>
      </c>
      <c r="L2341" s="16">
        <f>IF(NOT(Paths!$C$219=1),0,IF(Paths!$P$219="Complete",IF(C2341=10,Paths!$I$219,0),"n.a."))</f>
        <v>0</v>
      </c>
      <c r="M2341" s="16">
        <f>IF(NOT(Paths!$C$219=1),0,IF(Paths!$P$219="Complete",IF(AND(Paths!$D$219="EV",Paths!$E$219&lt;120,Paths!$E$219+'Operating costs'!$B$65&gt;Paths!$E$219,Paths!$E$219+'Operating costs'!$B$65&lt;=120,IF(Paths!$E$219+'Operating costs'!$B$65=0,C2341=0,AND(C2341&gt;0,Paths!$E$219+'Operating costs'!$B$65&gt;(C2341-1)*12,Paths!$E$219+'Operating costs'!$B$65&lt;=C2341*12))),'Operating costs'!$B$64,0)+IF(AND('Operating costs'!$B$67&gt;0,'Operating costs'!$B$67&lt;=120,OR(Paths!$D$219="ICE",'Operating costs'!$B$67&lt;=Paths!$E$219),IF('Operating costs'!$B$67=0,C2341=0,AND(C2341&gt;0,'Operating costs'!$B$67&gt;(C2341-1)*12,'Operating costs'!$B$67&lt;=C2341*12))),'Operating costs'!$B$66,0),"n.a."))</f>
        <v>0</v>
      </c>
      <c r="N2341" s="16">
        <f>IF(NOT(Paths!$C$219=1),0,IF(Paths!$P$219="Complete",SUM(G2341:I2341)-J2341-K2341-L2341+M2341+IF(C2341=0,Paths!$F$219,0)+IF(IF(Paths!$E$219=0,C2341=0,AND(C2341&gt;0,Paths!$E$219&gt;(C2341-1)*12,Paths!$E$219&lt;=C2341*12)),VLOOKUP(A2341,'Fleet register'!$A$7:$S$106,16,FALSE),0),"n.a."))</f>
        <v>0</v>
      </c>
      <c r="O2341" s="16">
        <f>IF(NOT(Paths!$C$219=1),0,IF(Paths!$P$219="Complete",N2341-IF(C2341=0,Paths!$F$219,0),"n.a."))</f>
        <v>0</v>
      </c>
      <c r="P2341" s="16">
        <f>IF(NOT(Paths!$C$219=1),0,IF(Paths!$P$219="Complete",O2341+L2341,"n.a."))</f>
        <v>0</v>
      </c>
      <c r="Q2341" s="16">
        <f>IF(NOT(Paths!$C$219=1),0,IF(Paths!$P$219="Complete",N2341*(1+'Operating costs'!$B$54)^-C2341,"n.a."))</f>
        <v>0</v>
      </c>
      <c r="R2341" s="16">
        <f>IF(NOT(Paths!$C$219=1),0,IF(Paths!$P$219="Complete",IF(AND(C2341=0,Paths!$E$219=0),I2341-J2341-K2341+VLOOKUP(A2341,'Fleet register'!$A$7:$S$106,15,FALSE)+VLOOKUP(A2341,'Fleet register'!$A$7:$S$106,16,FALSE),0),"n.a."))</f>
        <v>0</v>
      </c>
      <c r="S2341" s="1">
        <f>IF(NOT(Paths!$C$219=1),0,IF(Paths!$P$219="Complete",IF(C2341=0,0,Paths!$S$219*Paths!$R$219),"n.a."))</f>
        <v>0</v>
      </c>
      <c r="T2341" s="1">
        <f>IF(NOT(Paths!$C$219=1),0,IF(Paths!$P$219="Complete",IF(C2341=0,0,VLOOKUP(A2341,'Fleet register'!$A$7:$S$106,9,FALSE)*Paths!$R$219),"n.a."))</f>
        <v>0</v>
      </c>
    </row>
    <row r="2342" spans="1:20" ht="24" customHeight="1">
      <c r="A2342" s="1" t="str">
        <f>Paths!$A$219</f>
        <v>T054</v>
      </c>
      <c r="B2342" s="1">
        <f>Paths!$B$219</f>
        <v>0</v>
      </c>
      <c r="C2342" s="1">
        <v>3</v>
      </c>
      <c r="D2342" s="1">
        <v>219</v>
      </c>
      <c r="E2342" s="1">
        <f>IF(OR(Paths!$C$219=0,C2342=0),0,MAX(0,MIN(C2342*12,Paths!$E$219)-(C2342-1)*12))</f>
        <v>0</v>
      </c>
      <c r="F2342" s="1">
        <f>IF(OR(Paths!$C$219=0,C2342=0),0,12-E2342)</f>
        <v>0</v>
      </c>
      <c r="G2342" s="16">
        <f>IF(NOT(Paths!$C$219=1),0,IF(Paths!$P$219="Complete",E2342/12*(Paths!$J$219*(1+'Operating costs'!$B$51)^MAX(0,C2342-1)+Paths!$K$219*(1+'Operating costs'!$B$53)^MAX(0,C2342-1)),"n.a."))</f>
        <v>0</v>
      </c>
      <c r="H2342" s="16">
        <f>IF(NOT(Paths!$C$219=1),0,IF(Paths!$P$219="Complete",F2342/12*(Paths!$L$219*(1+IF(Paths!$D$219="EV",'Operating costs'!$B$52,'Operating costs'!$B$51))^MAX(0,C2342-1)+Paths!$M$219*(1+'Operating costs'!$B$53)^MAX(0,C2342-1)),"n.a."))</f>
        <v>0</v>
      </c>
      <c r="I2342" s="16">
        <f>IF(NOT(Paths!$C$219=1),0,IF(Paths!$P$219="Complete",IF(IF(Paths!$E$219=0,C2342=0,AND(C2342&gt;0,Paths!$E$219&gt;(C2342-1)*12,Paths!$E$219&lt;=C2342*12)),Paths!$G$219,0),"n.a."))</f>
        <v>0</v>
      </c>
      <c r="J2342" s="16">
        <f>IF(NOT(Paths!$C$219=1),0,IF(Paths!$P$219="Complete",IF(IF(Paths!$E$219=0,C2342=0,AND(C2342&gt;0,Paths!$E$219&gt;(C2342-1)*12,Paths!$E$219&lt;=C2342*12)),Paths!$H$219,0),"n.a."))</f>
        <v>0</v>
      </c>
      <c r="K2342" s="16">
        <f>IF(NOT(Paths!$C$219=1),0,IF(Paths!$P$219="Complete",IF(IF(Paths!$O$219=0,C2342=0,AND(C2342&gt;0,Paths!$O$219&gt;(C2342-1)*12,Paths!$O$219&lt;=C2342*12)),Paths!$N$219,0),"n.a."))</f>
        <v>0</v>
      </c>
      <c r="L2342" s="16">
        <f>IF(NOT(Paths!$C$219=1),0,IF(Paths!$P$219="Complete",IF(C2342=10,Paths!$I$219,0),"n.a."))</f>
        <v>0</v>
      </c>
      <c r="M2342" s="16">
        <f>IF(NOT(Paths!$C$219=1),0,IF(Paths!$P$219="Complete",IF(AND(Paths!$D$219="EV",Paths!$E$219&lt;120,Paths!$E$219+'Operating costs'!$B$65&gt;Paths!$E$219,Paths!$E$219+'Operating costs'!$B$65&lt;=120,IF(Paths!$E$219+'Operating costs'!$B$65=0,C2342=0,AND(C2342&gt;0,Paths!$E$219+'Operating costs'!$B$65&gt;(C2342-1)*12,Paths!$E$219+'Operating costs'!$B$65&lt;=C2342*12))),'Operating costs'!$B$64,0)+IF(AND('Operating costs'!$B$67&gt;0,'Operating costs'!$B$67&lt;=120,OR(Paths!$D$219="ICE",'Operating costs'!$B$67&lt;=Paths!$E$219),IF('Operating costs'!$B$67=0,C2342=0,AND(C2342&gt;0,'Operating costs'!$B$67&gt;(C2342-1)*12,'Operating costs'!$B$67&lt;=C2342*12))),'Operating costs'!$B$66,0),"n.a."))</f>
        <v>0</v>
      </c>
      <c r="N2342" s="16">
        <f>IF(NOT(Paths!$C$219=1),0,IF(Paths!$P$219="Complete",SUM(G2342:I2342)-J2342-K2342-L2342+M2342+IF(C2342=0,Paths!$F$219,0)+IF(IF(Paths!$E$219=0,C2342=0,AND(C2342&gt;0,Paths!$E$219&gt;(C2342-1)*12,Paths!$E$219&lt;=C2342*12)),VLOOKUP(A2342,'Fleet register'!$A$7:$S$106,16,FALSE),0),"n.a."))</f>
        <v>0</v>
      </c>
      <c r="O2342" s="16">
        <f>IF(NOT(Paths!$C$219=1),0,IF(Paths!$P$219="Complete",N2342-IF(C2342=0,Paths!$F$219,0),"n.a."))</f>
        <v>0</v>
      </c>
      <c r="P2342" s="16">
        <f>IF(NOT(Paths!$C$219=1),0,IF(Paths!$P$219="Complete",O2342+L2342,"n.a."))</f>
        <v>0</v>
      </c>
      <c r="Q2342" s="16">
        <f>IF(NOT(Paths!$C$219=1),0,IF(Paths!$P$219="Complete",N2342*(1+'Operating costs'!$B$54)^-C2342,"n.a."))</f>
        <v>0</v>
      </c>
      <c r="R2342" s="16">
        <f>IF(NOT(Paths!$C$219=1),0,IF(Paths!$P$219="Complete",IF(AND(C2342=0,Paths!$E$219=0),I2342-J2342-K2342+VLOOKUP(A2342,'Fleet register'!$A$7:$S$106,15,FALSE)+VLOOKUP(A2342,'Fleet register'!$A$7:$S$106,16,FALSE),0),"n.a."))</f>
        <v>0</v>
      </c>
      <c r="S2342" s="1">
        <f>IF(NOT(Paths!$C$219=1),0,IF(Paths!$P$219="Complete",IF(C2342=0,0,Paths!$S$219*Paths!$R$219),"n.a."))</f>
        <v>0</v>
      </c>
      <c r="T2342" s="1">
        <f>IF(NOT(Paths!$C$219=1),0,IF(Paths!$P$219="Complete",IF(C2342=0,0,VLOOKUP(A2342,'Fleet register'!$A$7:$S$106,9,FALSE)*Paths!$R$219),"n.a."))</f>
        <v>0</v>
      </c>
    </row>
    <row r="2343" spans="1:20" ht="24" customHeight="1">
      <c r="A2343" s="1" t="str">
        <f>Paths!$A$219</f>
        <v>T054</v>
      </c>
      <c r="B2343" s="1">
        <f>Paths!$B$219</f>
        <v>0</v>
      </c>
      <c r="C2343" s="1">
        <v>4</v>
      </c>
      <c r="D2343" s="1">
        <v>219</v>
      </c>
      <c r="E2343" s="1">
        <f>IF(OR(Paths!$C$219=0,C2343=0),0,MAX(0,MIN(C2343*12,Paths!$E$219)-(C2343-1)*12))</f>
        <v>0</v>
      </c>
      <c r="F2343" s="1">
        <f>IF(OR(Paths!$C$219=0,C2343=0),0,12-E2343)</f>
        <v>0</v>
      </c>
      <c r="G2343" s="16">
        <f>IF(NOT(Paths!$C$219=1),0,IF(Paths!$P$219="Complete",E2343/12*(Paths!$J$219*(1+'Operating costs'!$B$51)^MAX(0,C2343-1)+Paths!$K$219*(1+'Operating costs'!$B$53)^MAX(0,C2343-1)),"n.a."))</f>
        <v>0</v>
      </c>
      <c r="H2343" s="16">
        <f>IF(NOT(Paths!$C$219=1),0,IF(Paths!$P$219="Complete",F2343/12*(Paths!$L$219*(1+IF(Paths!$D$219="EV",'Operating costs'!$B$52,'Operating costs'!$B$51))^MAX(0,C2343-1)+Paths!$M$219*(1+'Operating costs'!$B$53)^MAX(0,C2343-1)),"n.a."))</f>
        <v>0</v>
      </c>
      <c r="I2343" s="16">
        <f>IF(NOT(Paths!$C$219=1),0,IF(Paths!$P$219="Complete",IF(IF(Paths!$E$219=0,C2343=0,AND(C2343&gt;0,Paths!$E$219&gt;(C2343-1)*12,Paths!$E$219&lt;=C2343*12)),Paths!$G$219,0),"n.a."))</f>
        <v>0</v>
      </c>
      <c r="J2343" s="16">
        <f>IF(NOT(Paths!$C$219=1),0,IF(Paths!$P$219="Complete",IF(IF(Paths!$E$219=0,C2343=0,AND(C2343&gt;0,Paths!$E$219&gt;(C2343-1)*12,Paths!$E$219&lt;=C2343*12)),Paths!$H$219,0),"n.a."))</f>
        <v>0</v>
      </c>
      <c r="K2343" s="16">
        <f>IF(NOT(Paths!$C$219=1),0,IF(Paths!$P$219="Complete",IF(IF(Paths!$O$219=0,C2343=0,AND(C2343&gt;0,Paths!$O$219&gt;(C2343-1)*12,Paths!$O$219&lt;=C2343*12)),Paths!$N$219,0),"n.a."))</f>
        <v>0</v>
      </c>
      <c r="L2343" s="16">
        <f>IF(NOT(Paths!$C$219=1),0,IF(Paths!$P$219="Complete",IF(C2343=10,Paths!$I$219,0),"n.a."))</f>
        <v>0</v>
      </c>
      <c r="M2343" s="16">
        <f>IF(NOT(Paths!$C$219=1),0,IF(Paths!$P$219="Complete",IF(AND(Paths!$D$219="EV",Paths!$E$219&lt;120,Paths!$E$219+'Operating costs'!$B$65&gt;Paths!$E$219,Paths!$E$219+'Operating costs'!$B$65&lt;=120,IF(Paths!$E$219+'Operating costs'!$B$65=0,C2343=0,AND(C2343&gt;0,Paths!$E$219+'Operating costs'!$B$65&gt;(C2343-1)*12,Paths!$E$219+'Operating costs'!$B$65&lt;=C2343*12))),'Operating costs'!$B$64,0)+IF(AND('Operating costs'!$B$67&gt;0,'Operating costs'!$B$67&lt;=120,OR(Paths!$D$219="ICE",'Operating costs'!$B$67&lt;=Paths!$E$219),IF('Operating costs'!$B$67=0,C2343=0,AND(C2343&gt;0,'Operating costs'!$B$67&gt;(C2343-1)*12,'Operating costs'!$B$67&lt;=C2343*12))),'Operating costs'!$B$66,0),"n.a."))</f>
        <v>0</v>
      </c>
      <c r="N2343" s="16">
        <f>IF(NOT(Paths!$C$219=1),0,IF(Paths!$P$219="Complete",SUM(G2343:I2343)-J2343-K2343-L2343+M2343+IF(C2343=0,Paths!$F$219,0)+IF(IF(Paths!$E$219=0,C2343=0,AND(C2343&gt;0,Paths!$E$219&gt;(C2343-1)*12,Paths!$E$219&lt;=C2343*12)),VLOOKUP(A2343,'Fleet register'!$A$7:$S$106,16,FALSE),0),"n.a."))</f>
        <v>0</v>
      </c>
      <c r="O2343" s="16">
        <f>IF(NOT(Paths!$C$219=1),0,IF(Paths!$P$219="Complete",N2343-IF(C2343=0,Paths!$F$219,0),"n.a."))</f>
        <v>0</v>
      </c>
      <c r="P2343" s="16">
        <f>IF(NOT(Paths!$C$219=1),0,IF(Paths!$P$219="Complete",O2343+L2343,"n.a."))</f>
        <v>0</v>
      </c>
      <c r="Q2343" s="16">
        <f>IF(NOT(Paths!$C$219=1),0,IF(Paths!$P$219="Complete",N2343*(1+'Operating costs'!$B$54)^-C2343,"n.a."))</f>
        <v>0</v>
      </c>
      <c r="R2343" s="16">
        <f>IF(NOT(Paths!$C$219=1),0,IF(Paths!$P$219="Complete",IF(AND(C2343=0,Paths!$E$219=0),I2343-J2343-K2343+VLOOKUP(A2343,'Fleet register'!$A$7:$S$106,15,FALSE)+VLOOKUP(A2343,'Fleet register'!$A$7:$S$106,16,FALSE),0),"n.a."))</f>
        <v>0</v>
      </c>
      <c r="S2343" s="1">
        <f>IF(NOT(Paths!$C$219=1),0,IF(Paths!$P$219="Complete",IF(C2343=0,0,Paths!$S$219*Paths!$R$219),"n.a."))</f>
        <v>0</v>
      </c>
      <c r="T2343" s="1">
        <f>IF(NOT(Paths!$C$219=1),0,IF(Paths!$P$219="Complete",IF(C2343=0,0,VLOOKUP(A2343,'Fleet register'!$A$7:$S$106,9,FALSE)*Paths!$R$219),"n.a."))</f>
        <v>0</v>
      </c>
    </row>
    <row r="2344" spans="1:20" ht="24" customHeight="1">
      <c r="A2344" s="1" t="str">
        <f>Paths!$A$219</f>
        <v>T054</v>
      </c>
      <c r="B2344" s="1">
        <f>Paths!$B$219</f>
        <v>0</v>
      </c>
      <c r="C2344" s="1">
        <v>5</v>
      </c>
      <c r="D2344" s="1">
        <v>219</v>
      </c>
      <c r="E2344" s="1">
        <f>IF(OR(Paths!$C$219=0,C2344=0),0,MAX(0,MIN(C2344*12,Paths!$E$219)-(C2344-1)*12))</f>
        <v>0</v>
      </c>
      <c r="F2344" s="1">
        <f>IF(OR(Paths!$C$219=0,C2344=0),0,12-E2344)</f>
        <v>0</v>
      </c>
      <c r="G2344" s="16">
        <f>IF(NOT(Paths!$C$219=1),0,IF(Paths!$P$219="Complete",E2344/12*(Paths!$J$219*(1+'Operating costs'!$B$51)^MAX(0,C2344-1)+Paths!$K$219*(1+'Operating costs'!$B$53)^MAX(0,C2344-1)),"n.a."))</f>
        <v>0</v>
      </c>
      <c r="H2344" s="16">
        <f>IF(NOT(Paths!$C$219=1),0,IF(Paths!$P$219="Complete",F2344/12*(Paths!$L$219*(1+IF(Paths!$D$219="EV",'Operating costs'!$B$52,'Operating costs'!$B$51))^MAX(0,C2344-1)+Paths!$M$219*(1+'Operating costs'!$B$53)^MAX(0,C2344-1)),"n.a."))</f>
        <v>0</v>
      </c>
      <c r="I2344" s="16">
        <f>IF(NOT(Paths!$C$219=1),0,IF(Paths!$P$219="Complete",IF(IF(Paths!$E$219=0,C2344=0,AND(C2344&gt;0,Paths!$E$219&gt;(C2344-1)*12,Paths!$E$219&lt;=C2344*12)),Paths!$G$219,0),"n.a."))</f>
        <v>0</v>
      </c>
      <c r="J2344" s="16">
        <f>IF(NOT(Paths!$C$219=1),0,IF(Paths!$P$219="Complete",IF(IF(Paths!$E$219=0,C2344=0,AND(C2344&gt;0,Paths!$E$219&gt;(C2344-1)*12,Paths!$E$219&lt;=C2344*12)),Paths!$H$219,0),"n.a."))</f>
        <v>0</v>
      </c>
      <c r="K2344" s="16">
        <f>IF(NOT(Paths!$C$219=1),0,IF(Paths!$P$219="Complete",IF(IF(Paths!$O$219=0,C2344=0,AND(C2344&gt;0,Paths!$O$219&gt;(C2344-1)*12,Paths!$O$219&lt;=C2344*12)),Paths!$N$219,0),"n.a."))</f>
        <v>0</v>
      </c>
      <c r="L2344" s="16">
        <f>IF(NOT(Paths!$C$219=1),0,IF(Paths!$P$219="Complete",IF(C2344=10,Paths!$I$219,0),"n.a."))</f>
        <v>0</v>
      </c>
      <c r="M2344" s="16">
        <f>IF(NOT(Paths!$C$219=1),0,IF(Paths!$P$219="Complete",IF(AND(Paths!$D$219="EV",Paths!$E$219&lt;120,Paths!$E$219+'Operating costs'!$B$65&gt;Paths!$E$219,Paths!$E$219+'Operating costs'!$B$65&lt;=120,IF(Paths!$E$219+'Operating costs'!$B$65=0,C2344=0,AND(C2344&gt;0,Paths!$E$219+'Operating costs'!$B$65&gt;(C2344-1)*12,Paths!$E$219+'Operating costs'!$B$65&lt;=C2344*12))),'Operating costs'!$B$64,0)+IF(AND('Operating costs'!$B$67&gt;0,'Operating costs'!$B$67&lt;=120,OR(Paths!$D$219="ICE",'Operating costs'!$B$67&lt;=Paths!$E$219),IF('Operating costs'!$B$67=0,C2344=0,AND(C2344&gt;0,'Operating costs'!$B$67&gt;(C2344-1)*12,'Operating costs'!$B$67&lt;=C2344*12))),'Operating costs'!$B$66,0),"n.a."))</f>
        <v>0</v>
      </c>
      <c r="N2344" s="16">
        <f>IF(NOT(Paths!$C$219=1),0,IF(Paths!$P$219="Complete",SUM(G2344:I2344)-J2344-K2344-L2344+M2344+IF(C2344=0,Paths!$F$219,0)+IF(IF(Paths!$E$219=0,C2344=0,AND(C2344&gt;0,Paths!$E$219&gt;(C2344-1)*12,Paths!$E$219&lt;=C2344*12)),VLOOKUP(A2344,'Fleet register'!$A$7:$S$106,16,FALSE),0),"n.a."))</f>
        <v>0</v>
      </c>
      <c r="O2344" s="16">
        <f>IF(NOT(Paths!$C$219=1),0,IF(Paths!$P$219="Complete",N2344-IF(C2344=0,Paths!$F$219,0),"n.a."))</f>
        <v>0</v>
      </c>
      <c r="P2344" s="16">
        <f>IF(NOT(Paths!$C$219=1),0,IF(Paths!$P$219="Complete",O2344+L2344,"n.a."))</f>
        <v>0</v>
      </c>
      <c r="Q2344" s="16">
        <f>IF(NOT(Paths!$C$219=1),0,IF(Paths!$P$219="Complete",N2344*(1+'Operating costs'!$B$54)^-C2344,"n.a."))</f>
        <v>0</v>
      </c>
      <c r="R2344" s="16">
        <f>IF(NOT(Paths!$C$219=1),0,IF(Paths!$P$219="Complete",IF(AND(C2344=0,Paths!$E$219=0),I2344-J2344-K2344+VLOOKUP(A2344,'Fleet register'!$A$7:$S$106,15,FALSE)+VLOOKUP(A2344,'Fleet register'!$A$7:$S$106,16,FALSE),0),"n.a."))</f>
        <v>0</v>
      </c>
      <c r="S2344" s="1">
        <f>IF(NOT(Paths!$C$219=1),0,IF(Paths!$P$219="Complete",IF(C2344=0,0,Paths!$S$219*Paths!$R$219),"n.a."))</f>
        <v>0</v>
      </c>
      <c r="T2344" s="1">
        <f>IF(NOT(Paths!$C$219=1),0,IF(Paths!$P$219="Complete",IF(C2344=0,0,VLOOKUP(A2344,'Fleet register'!$A$7:$S$106,9,FALSE)*Paths!$R$219),"n.a."))</f>
        <v>0</v>
      </c>
    </row>
    <row r="2345" spans="1:20" ht="24" customHeight="1">
      <c r="A2345" s="1" t="str">
        <f>Paths!$A$219</f>
        <v>T054</v>
      </c>
      <c r="B2345" s="1">
        <f>Paths!$B$219</f>
        <v>0</v>
      </c>
      <c r="C2345" s="1">
        <v>6</v>
      </c>
      <c r="D2345" s="1">
        <v>219</v>
      </c>
      <c r="E2345" s="1">
        <f>IF(OR(Paths!$C$219=0,C2345=0),0,MAX(0,MIN(C2345*12,Paths!$E$219)-(C2345-1)*12))</f>
        <v>0</v>
      </c>
      <c r="F2345" s="1">
        <f>IF(OR(Paths!$C$219=0,C2345=0),0,12-E2345)</f>
        <v>0</v>
      </c>
      <c r="G2345" s="16">
        <f>IF(NOT(Paths!$C$219=1),0,IF(Paths!$P$219="Complete",E2345/12*(Paths!$J$219*(1+'Operating costs'!$B$51)^MAX(0,C2345-1)+Paths!$K$219*(1+'Operating costs'!$B$53)^MAX(0,C2345-1)),"n.a."))</f>
        <v>0</v>
      </c>
      <c r="H2345" s="16">
        <f>IF(NOT(Paths!$C$219=1),0,IF(Paths!$P$219="Complete",F2345/12*(Paths!$L$219*(1+IF(Paths!$D$219="EV",'Operating costs'!$B$52,'Operating costs'!$B$51))^MAX(0,C2345-1)+Paths!$M$219*(1+'Operating costs'!$B$53)^MAX(0,C2345-1)),"n.a."))</f>
        <v>0</v>
      </c>
      <c r="I2345" s="16">
        <f>IF(NOT(Paths!$C$219=1),0,IF(Paths!$P$219="Complete",IF(IF(Paths!$E$219=0,C2345=0,AND(C2345&gt;0,Paths!$E$219&gt;(C2345-1)*12,Paths!$E$219&lt;=C2345*12)),Paths!$G$219,0),"n.a."))</f>
        <v>0</v>
      </c>
      <c r="J2345" s="16">
        <f>IF(NOT(Paths!$C$219=1),0,IF(Paths!$P$219="Complete",IF(IF(Paths!$E$219=0,C2345=0,AND(C2345&gt;0,Paths!$E$219&gt;(C2345-1)*12,Paths!$E$219&lt;=C2345*12)),Paths!$H$219,0),"n.a."))</f>
        <v>0</v>
      </c>
      <c r="K2345" s="16">
        <f>IF(NOT(Paths!$C$219=1),0,IF(Paths!$P$219="Complete",IF(IF(Paths!$O$219=0,C2345=0,AND(C2345&gt;0,Paths!$O$219&gt;(C2345-1)*12,Paths!$O$219&lt;=C2345*12)),Paths!$N$219,0),"n.a."))</f>
        <v>0</v>
      </c>
      <c r="L2345" s="16">
        <f>IF(NOT(Paths!$C$219=1),0,IF(Paths!$P$219="Complete",IF(C2345=10,Paths!$I$219,0),"n.a."))</f>
        <v>0</v>
      </c>
      <c r="M2345" s="16">
        <f>IF(NOT(Paths!$C$219=1),0,IF(Paths!$P$219="Complete",IF(AND(Paths!$D$219="EV",Paths!$E$219&lt;120,Paths!$E$219+'Operating costs'!$B$65&gt;Paths!$E$219,Paths!$E$219+'Operating costs'!$B$65&lt;=120,IF(Paths!$E$219+'Operating costs'!$B$65=0,C2345=0,AND(C2345&gt;0,Paths!$E$219+'Operating costs'!$B$65&gt;(C2345-1)*12,Paths!$E$219+'Operating costs'!$B$65&lt;=C2345*12))),'Operating costs'!$B$64,0)+IF(AND('Operating costs'!$B$67&gt;0,'Operating costs'!$B$67&lt;=120,OR(Paths!$D$219="ICE",'Operating costs'!$B$67&lt;=Paths!$E$219),IF('Operating costs'!$B$67=0,C2345=0,AND(C2345&gt;0,'Operating costs'!$B$67&gt;(C2345-1)*12,'Operating costs'!$B$67&lt;=C2345*12))),'Operating costs'!$B$66,0),"n.a."))</f>
        <v>0</v>
      </c>
      <c r="N2345" s="16">
        <f>IF(NOT(Paths!$C$219=1),0,IF(Paths!$P$219="Complete",SUM(G2345:I2345)-J2345-K2345-L2345+M2345+IF(C2345=0,Paths!$F$219,0)+IF(IF(Paths!$E$219=0,C2345=0,AND(C2345&gt;0,Paths!$E$219&gt;(C2345-1)*12,Paths!$E$219&lt;=C2345*12)),VLOOKUP(A2345,'Fleet register'!$A$7:$S$106,16,FALSE),0),"n.a."))</f>
        <v>0</v>
      </c>
      <c r="O2345" s="16">
        <f>IF(NOT(Paths!$C$219=1),0,IF(Paths!$P$219="Complete",N2345-IF(C2345=0,Paths!$F$219,0),"n.a."))</f>
        <v>0</v>
      </c>
      <c r="P2345" s="16">
        <f>IF(NOT(Paths!$C$219=1),0,IF(Paths!$P$219="Complete",O2345+L2345,"n.a."))</f>
        <v>0</v>
      </c>
      <c r="Q2345" s="16">
        <f>IF(NOT(Paths!$C$219=1),0,IF(Paths!$P$219="Complete",N2345*(1+'Operating costs'!$B$54)^-C2345,"n.a."))</f>
        <v>0</v>
      </c>
      <c r="R2345" s="16">
        <f>IF(NOT(Paths!$C$219=1),0,IF(Paths!$P$219="Complete",IF(AND(C2345=0,Paths!$E$219=0),I2345-J2345-K2345+VLOOKUP(A2345,'Fleet register'!$A$7:$S$106,15,FALSE)+VLOOKUP(A2345,'Fleet register'!$A$7:$S$106,16,FALSE),0),"n.a."))</f>
        <v>0</v>
      </c>
      <c r="S2345" s="1">
        <f>IF(NOT(Paths!$C$219=1),0,IF(Paths!$P$219="Complete",IF(C2345=0,0,Paths!$S$219*Paths!$R$219),"n.a."))</f>
        <v>0</v>
      </c>
      <c r="T2345" s="1">
        <f>IF(NOT(Paths!$C$219=1),0,IF(Paths!$P$219="Complete",IF(C2345=0,0,VLOOKUP(A2345,'Fleet register'!$A$7:$S$106,9,FALSE)*Paths!$R$219),"n.a."))</f>
        <v>0</v>
      </c>
    </row>
    <row r="2346" spans="1:20" ht="24" customHeight="1">
      <c r="A2346" s="1" t="str">
        <f>Paths!$A$219</f>
        <v>T054</v>
      </c>
      <c r="B2346" s="1">
        <f>Paths!$B$219</f>
        <v>0</v>
      </c>
      <c r="C2346" s="1">
        <v>7</v>
      </c>
      <c r="D2346" s="1">
        <v>219</v>
      </c>
      <c r="E2346" s="1">
        <f>IF(OR(Paths!$C$219=0,C2346=0),0,MAX(0,MIN(C2346*12,Paths!$E$219)-(C2346-1)*12))</f>
        <v>0</v>
      </c>
      <c r="F2346" s="1">
        <f>IF(OR(Paths!$C$219=0,C2346=0),0,12-E2346)</f>
        <v>0</v>
      </c>
      <c r="G2346" s="16">
        <f>IF(NOT(Paths!$C$219=1),0,IF(Paths!$P$219="Complete",E2346/12*(Paths!$J$219*(1+'Operating costs'!$B$51)^MAX(0,C2346-1)+Paths!$K$219*(1+'Operating costs'!$B$53)^MAX(0,C2346-1)),"n.a."))</f>
        <v>0</v>
      </c>
      <c r="H2346" s="16">
        <f>IF(NOT(Paths!$C$219=1),0,IF(Paths!$P$219="Complete",F2346/12*(Paths!$L$219*(1+IF(Paths!$D$219="EV",'Operating costs'!$B$52,'Operating costs'!$B$51))^MAX(0,C2346-1)+Paths!$M$219*(1+'Operating costs'!$B$53)^MAX(0,C2346-1)),"n.a."))</f>
        <v>0</v>
      </c>
      <c r="I2346" s="16">
        <f>IF(NOT(Paths!$C$219=1),0,IF(Paths!$P$219="Complete",IF(IF(Paths!$E$219=0,C2346=0,AND(C2346&gt;0,Paths!$E$219&gt;(C2346-1)*12,Paths!$E$219&lt;=C2346*12)),Paths!$G$219,0),"n.a."))</f>
        <v>0</v>
      </c>
      <c r="J2346" s="16">
        <f>IF(NOT(Paths!$C$219=1),0,IF(Paths!$P$219="Complete",IF(IF(Paths!$E$219=0,C2346=0,AND(C2346&gt;0,Paths!$E$219&gt;(C2346-1)*12,Paths!$E$219&lt;=C2346*12)),Paths!$H$219,0),"n.a."))</f>
        <v>0</v>
      </c>
      <c r="K2346" s="16">
        <f>IF(NOT(Paths!$C$219=1),0,IF(Paths!$P$219="Complete",IF(IF(Paths!$O$219=0,C2346=0,AND(C2346&gt;0,Paths!$O$219&gt;(C2346-1)*12,Paths!$O$219&lt;=C2346*12)),Paths!$N$219,0),"n.a."))</f>
        <v>0</v>
      </c>
      <c r="L2346" s="16">
        <f>IF(NOT(Paths!$C$219=1),0,IF(Paths!$P$219="Complete",IF(C2346=10,Paths!$I$219,0),"n.a."))</f>
        <v>0</v>
      </c>
      <c r="M2346" s="16">
        <f>IF(NOT(Paths!$C$219=1),0,IF(Paths!$P$219="Complete",IF(AND(Paths!$D$219="EV",Paths!$E$219&lt;120,Paths!$E$219+'Operating costs'!$B$65&gt;Paths!$E$219,Paths!$E$219+'Operating costs'!$B$65&lt;=120,IF(Paths!$E$219+'Operating costs'!$B$65=0,C2346=0,AND(C2346&gt;0,Paths!$E$219+'Operating costs'!$B$65&gt;(C2346-1)*12,Paths!$E$219+'Operating costs'!$B$65&lt;=C2346*12))),'Operating costs'!$B$64,0)+IF(AND('Operating costs'!$B$67&gt;0,'Operating costs'!$B$67&lt;=120,OR(Paths!$D$219="ICE",'Operating costs'!$B$67&lt;=Paths!$E$219),IF('Operating costs'!$B$67=0,C2346=0,AND(C2346&gt;0,'Operating costs'!$B$67&gt;(C2346-1)*12,'Operating costs'!$B$67&lt;=C2346*12))),'Operating costs'!$B$66,0),"n.a."))</f>
        <v>0</v>
      </c>
      <c r="N2346" s="16">
        <f>IF(NOT(Paths!$C$219=1),0,IF(Paths!$P$219="Complete",SUM(G2346:I2346)-J2346-K2346-L2346+M2346+IF(C2346=0,Paths!$F$219,0)+IF(IF(Paths!$E$219=0,C2346=0,AND(C2346&gt;0,Paths!$E$219&gt;(C2346-1)*12,Paths!$E$219&lt;=C2346*12)),VLOOKUP(A2346,'Fleet register'!$A$7:$S$106,16,FALSE),0),"n.a."))</f>
        <v>0</v>
      </c>
      <c r="O2346" s="16">
        <f>IF(NOT(Paths!$C$219=1),0,IF(Paths!$P$219="Complete",N2346-IF(C2346=0,Paths!$F$219,0),"n.a."))</f>
        <v>0</v>
      </c>
      <c r="P2346" s="16">
        <f>IF(NOT(Paths!$C$219=1),0,IF(Paths!$P$219="Complete",O2346+L2346,"n.a."))</f>
        <v>0</v>
      </c>
      <c r="Q2346" s="16">
        <f>IF(NOT(Paths!$C$219=1),0,IF(Paths!$P$219="Complete",N2346*(1+'Operating costs'!$B$54)^-C2346,"n.a."))</f>
        <v>0</v>
      </c>
      <c r="R2346" s="16">
        <f>IF(NOT(Paths!$C$219=1),0,IF(Paths!$P$219="Complete",IF(AND(C2346=0,Paths!$E$219=0),I2346-J2346-K2346+VLOOKUP(A2346,'Fleet register'!$A$7:$S$106,15,FALSE)+VLOOKUP(A2346,'Fleet register'!$A$7:$S$106,16,FALSE),0),"n.a."))</f>
        <v>0</v>
      </c>
      <c r="S2346" s="1">
        <f>IF(NOT(Paths!$C$219=1),0,IF(Paths!$P$219="Complete",IF(C2346=0,0,Paths!$S$219*Paths!$R$219),"n.a."))</f>
        <v>0</v>
      </c>
      <c r="T2346" s="1">
        <f>IF(NOT(Paths!$C$219=1),0,IF(Paths!$P$219="Complete",IF(C2346=0,0,VLOOKUP(A2346,'Fleet register'!$A$7:$S$106,9,FALSE)*Paths!$R$219),"n.a."))</f>
        <v>0</v>
      </c>
    </row>
    <row r="2347" spans="1:20" ht="24" customHeight="1">
      <c r="A2347" s="1" t="str">
        <f>Paths!$A$219</f>
        <v>T054</v>
      </c>
      <c r="B2347" s="1">
        <f>Paths!$B$219</f>
        <v>0</v>
      </c>
      <c r="C2347" s="1">
        <v>8</v>
      </c>
      <c r="D2347" s="1">
        <v>219</v>
      </c>
      <c r="E2347" s="1">
        <f>IF(OR(Paths!$C$219=0,C2347=0),0,MAX(0,MIN(C2347*12,Paths!$E$219)-(C2347-1)*12))</f>
        <v>0</v>
      </c>
      <c r="F2347" s="1">
        <f>IF(OR(Paths!$C$219=0,C2347=0),0,12-E2347)</f>
        <v>0</v>
      </c>
      <c r="G2347" s="16">
        <f>IF(NOT(Paths!$C$219=1),0,IF(Paths!$P$219="Complete",E2347/12*(Paths!$J$219*(1+'Operating costs'!$B$51)^MAX(0,C2347-1)+Paths!$K$219*(1+'Operating costs'!$B$53)^MAX(0,C2347-1)),"n.a."))</f>
        <v>0</v>
      </c>
      <c r="H2347" s="16">
        <f>IF(NOT(Paths!$C$219=1),0,IF(Paths!$P$219="Complete",F2347/12*(Paths!$L$219*(1+IF(Paths!$D$219="EV",'Operating costs'!$B$52,'Operating costs'!$B$51))^MAX(0,C2347-1)+Paths!$M$219*(1+'Operating costs'!$B$53)^MAX(0,C2347-1)),"n.a."))</f>
        <v>0</v>
      </c>
      <c r="I2347" s="16">
        <f>IF(NOT(Paths!$C$219=1),0,IF(Paths!$P$219="Complete",IF(IF(Paths!$E$219=0,C2347=0,AND(C2347&gt;0,Paths!$E$219&gt;(C2347-1)*12,Paths!$E$219&lt;=C2347*12)),Paths!$G$219,0),"n.a."))</f>
        <v>0</v>
      </c>
      <c r="J2347" s="16">
        <f>IF(NOT(Paths!$C$219=1),0,IF(Paths!$P$219="Complete",IF(IF(Paths!$E$219=0,C2347=0,AND(C2347&gt;0,Paths!$E$219&gt;(C2347-1)*12,Paths!$E$219&lt;=C2347*12)),Paths!$H$219,0),"n.a."))</f>
        <v>0</v>
      </c>
      <c r="K2347" s="16">
        <f>IF(NOT(Paths!$C$219=1),0,IF(Paths!$P$219="Complete",IF(IF(Paths!$O$219=0,C2347=0,AND(C2347&gt;0,Paths!$O$219&gt;(C2347-1)*12,Paths!$O$219&lt;=C2347*12)),Paths!$N$219,0),"n.a."))</f>
        <v>0</v>
      </c>
      <c r="L2347" s="16">
        <f>IF(NOT(Paths!$C$219=1),0,IF(Paths!$P$219="Complete",IF(C2347=10,Paths!$I$219,0),"n.a."))</f>
        <v>0</v>
      </c>
      <c r="M2347" s="16">
        <f>IF(NOT(Paths!$C$219=1),0,IF(Paths!$P$219="Complete",IF(AND(Paths!$D$219="EV",Paths!$E$219&lt;120,Paths!$E$219+'Operating costs'!$B$65&gt;Paths!$E$219,Paths!$E$219+'Operating costs'!$B$65&lt;=120,IF(Paths!$E$219+'Operating costs'!$B$65=0,C2347=0,AND(C2347&gt;0,Paths!$E$219+'Operating costs'!$B$65&gt;(C2347-1)*12,Paths!$E$219+'Operating costs'!$B$65&lt;=C2347*12))),'Operating costs'!$B$64,0)+IF(AND('Operating costs'!$B$67&gt;0,'Operating costs'!$B$67&lt;=120,OR(Paths!$D$219="ICE",'Operating costs'!$B$67&lt;=Paths!$E$219),IF('Operating costs'!$B$67=0,C2347=0,AND(C2347&gt;0,'Operating costs'!$B$67&gt;(C2347-1)*12,'Operating costs'!$B$67&lt;=C2347*12))),'Operating costs'!$B$66,0),"n.a."))</f>
        <v>0</v>
      </c>
      <c r="N2347" s="16">
        <f>IF(NOT(Paths!$C$219=1),0,IF(Paths!$P$219="Complete",SUM(G2347:I2347)-J2347-K2347-L2347+M2347+IF(C2347=0,Paths!$F$219,0)+IF(IF(Paths!$E$219=0,C2347=0,AND(C2347&gt;0,Paths!$E$219&gt;(C2347-1)*12,Paths!$E$219&lt;=C2347*12)),VLOOKUP(A2347,'Fleet register'!$A$7:$S$106,16,FALSE),0),"n.a."))</f>
        <v>0</v>
      </c>
      <c r="O2347" s="16">
        <f>IF(NOT(Paths!$C$219=1),0,IF(Paths!$P$219="Complete",N2347-IF(C2347=0,Paths!$F$219,0),"n.a."))</f>
        <v>0</v>
      </c>
      <c r="P2347" s="16">
        <f>IF(NOT(Paths!$C$219=1),0,IF(Paths!$P$219="Complete",O2347+L2347,"n.a."))</f>
        <v>0</v>
      </c>
      <c r="Q2347" s="16">
        <f>IF(NOT(Paths!$C$219=1),0,IF(Paths!$P$219="Complete",N2347*(1+'Operating costs'!$B$54)^-C2347,"n.a."))</f>
        <v>0</v>
      </c>
      <c r="R2347" s="16">
        <f>IF(NOT(Paths!$C$219=1),0,IF(Paths!$P$219="Complete",IF(AND(C2347=0,Paths!$E$219=0),I2347-J2347-K2347+VLOOKUP(A2347,'Fleet register'!$A$7:$S$106,15,FALSE)+VLOOKUP(A2347,'Fleet register'!$A$7:$S$106,16,FALSE),0),"n.a."))</f>
        <v>0</v>
      </c>
      <c r="S2347" s="1">
        <f>IF(NOT(Paths!$C$219=1),0,IF(Paths!$P$219="Complete",IF(C2347=0,0,Paths!$S$219*Paths!$R$219),"n.a."))</f>
        <v>0</v>
      </c>
      <c r="T2347" s="1">
        <f>IF(NOT(Paths!$C$219=1),0,IF(Paths!$P$219="Complete",IF(C2347=0,0,VLOOKUP(A2347,'Fleet register'!$A$7:$S$106,9,FALSE)*Paths!$R$219),"n.a."))</f>
        <v>0</v>
      </c>
    </row>
    <row r="2348" spans="1:20" ht="24" customHeight="1">
      <c r="A2348" s="1" t="str">
        <f>Paths!$A$219</f>
        <v>T054</v>
      </c>
      <c r="B2348" s="1">
        <f>Paths!$B$219</f>
        <v>0</v>
      </c>
      <c r="C2348" s="1">
        <v>9</v>
      </c>
      <c r="D2348" s="1">
        <v>219</v>
      </c>
      <c r="E2348" s="1">
        <f>IF(OR(Paths!$C$219=0,C2348=0),0,MAX(0,MIN(C2348*12,Paths!$E$219)-(C2348-1)*12))</f>
        <v>0</v>
      </c>
      <c r="F2348" s="1">
        <f>IF(OR(Paths!$C$219=0,C2348=0),0,12-E2348)</f>
        <v>0</v>
      </c>
      <c r="G2348" s="16">
        <f>IF(NOT(Paths!$C$219=1),0,IF(Paths!$P$219="Complete",E2348/12*(Paths!$J$219*(1+'Operating costs'!$B$51)^MAX(0,C2348-1)+Paths!$K$219*(1+'Operating costs'!$B$53)^MAX(0,C2348-1)),"n.a."))</f>
        <v>0</v>
      </c>
      <c r="H2348" s="16">
        <f>IF(NOT(Paths!$C$219=1),0,IF(Paths!$P$219="Complete",F2348/12*(Paths!$L$219*(1+IF(Paths!$D$219="EV",'Operating costs'!$B$52,'Operating costs'!$B$51))^MAX(0,C2348-1)+Paths!$M$219*(1+'Operating costs'!$B$53)^MAX(0,C2348-1)),"n.a."))</f>
        <v>0</v>
      </c>
      <c r="I2348" s="16">
        <f>IF(NOT(Paths!$C$219=1),0,IF(Paths!$P$219="Complete",IF(IF(Paths!$E$219=0,C2348=0,AND(C2348&gt;0,Paths!$E$219&gt;(C2348-1)*12,Paths!$E$219&lt;=C2348*12)),Paths!$G$219,0),"n.a."))</f>
        <v>0</v>
      </c>
      <c r="J2348" s="16">
        <f>IF(NOT(Paths!$C$219=1),0,IF(Paths!$P$219="Complete",IF(IF(Paths!$E$219=0,C2348=0,AND(C2348&gt;0,Paths!$E$219&gt;(C2348-1)*12,Paths!$E$219&lt;=C2348*12)),Paths!$H$219,0),"n.a."))</f>
        <v>0</v>
      </c>
      <c r="K2348" s="16">
        <f>IF(NOT(Paths!$C$219=1),0,IF(Paths!$P$219="Complete",IF(IF(Paths!$O$219=0,C2348=0,AND(C2348&gt;0,Paths!$O$219&gt;(C2348-1)*12,Paths!$O$219&lt;=C2348*12)),Paths!$N$219,0),"n.a."))</f>
        <v>0</v>
      </c>
      <c r="L2348" s="16">
        <f>IF(NOT(Paths!$C$219=1),0,IF(Paths!$P$219="Complete",IF(C2348=10,Paths!$I$219,0),"n.a."))</f>
        <v>0</v>
      </c>
      <c r="M2348" s="16">
        <f>IF(NOT(Paths!$C$219=1),0,IF(Paths!$P$219="Complete",IF(AND(Paths!$D$219="EV",Paths!$E$219&lt;120,Paths!$E$219+'Operating costs'!$B$65&gt;Paths!$E$219,Paths!$E$219+'Operating costs'!$B$65&lt;=120,IF(Paths!$E$219+'Operating costs'!$B$65=0,C2348=0,AND(C2348&gt;0,Paths!$E$219+'Operating costs'!$B$65&gt;(C2348-1)*12,Paths!$E$219+'Operating costs'!$B$65&lt;=C2348*12))),'Operating costs'!$B$64,0)+IF(AND('Operating costs'!$B$67&gt;0,'Operating costs'!$B$67&lt;=120,OR(Paths!$D$219="ICE",'Operating costs'!$B$67&lt;=Paths!$E$219),IF('Operating costs'!$B$67=0,C2348=0,AND(C2348&gt;0,'Operating costs'!$B$67&gt;(C2348-1)*12,'Operating costs'!$B$67&lt;=C2348*12))),'Operating costs'!$B$66,0),"n.a."))</f>
        <v>0</v>
      </c>
      <c r="N2348" s="16">
        <f>IF(NOT(Paths!$C$219=1),0,IF(Paths!$P$219="Complete",SUM(G2348:I2348)-J2348-K2348-L2348+M2348+IF(C2348=0,Paths!$F$219,0)+IF(IF(Paths!$E$219=0,C2348=0,AND(C2348&gt;0,Paths!$E$219&gt;(C2348-1)*12,Paths!$E$219&lt;=C2348*12)),VLOOKUP(A2348,'Fleet register'!$A$7:$S$106,16,FALSE),0),"n.a."))</f>
        <v>0</v>
      </c>
      <c r="O2348" s="16">
        <f>IF(NOT(Paths!$C$219=1),0,IF(Paths!$P$219="Complete",N2348-IF(C2348=0,Paths!$F$219,0),"n.a."))</f>
        <v>0</v>
      </c>
      <c r="P2348" s="16">
        <f>IF(NOT(Paths!$C$219=1),0,IF(Paths!$P$219="Complete",O2348+L2348,"n.a."))</f>
        <v>0</v>
      </c>
      <c r="Q2348" s="16">
        <f>IF(NOT(Paths!$C$219=1),0,IF(Paths!$P$219="Complete",N2348*(1+'Operating costs'!$B$54)^-C2348,"n.a."))</f>
        <v>0</v>
      </c>
      <c r="R2348" s="16">
        <f>IF(NOT(Paths!$C$219=1),0,IF(Paths!$P$219="Complete",IF(AND(C2348=0,Paths!$E$219=0),I2348-J2348-K2348+VLOOKUP(A2348,'Fleet register'!$A$7:$S$106,15,FALSE)+VLOOKUP(A2348,'Fleet register'!$A$7:$S$106,16,FALSE),0),"n.a."))</f>
        <v>0</v>
      </c>
      <c r="S2348" s="1">
        <f>IF(NOT(Paths!$C$219=1),0,IF(Paths!$P$219="Complete",IF(C2348=0,0,Paths!$S$219*Paths!$R$219),"n.a."))</f>
        <v>0</v>
      </c>
      <c r="T2348" s="1">
        <f>IF(NOT(Paths!$C$219=1),0,IF(Paths!$P$219="Complete",IF(C2348=0,0,VLOOKUP(A2348,'Fleet register'!$A$7:$S$106,9,FALSE)*Paths!$R$219),"n.a."))</f>
        <v>0</v>
      </c>
    </row>
    <row r="2349" spans="1:20" ht="24" customHeight="1">
      <c r="A2349" s="1" t="str">
        <f>Paths!$A$219</f>
        <v>T054</v>
      </c>
      <c r="B2349" s="1">
        <f>Paths!$B$219</f>
        <v>0</v>
      </c>
      <c r="C2349" s="1">
        <v>10</v>
      </c>
      <c r="D2349" s="1">
        <v>219</v>
      </c>
      <c r="E2349" s="1">
        <f>IF(OR(Paths!$C$219=0,C2349=0),0,MAX(0,MIN(C2349*12,Paths!$E$219)-(C2349-1)*12))</f>
        <v>0</v>
      </c>
      <c r="F2349" s="1">
        <f>IF(OR(Paths!$C$219=0,C2349=0),0,12-E2349)</f>
        <v>0</v>
      </c>
      <c r="G2349" s="16">
        <f>IF(NOT(Paths!$C$219=1),0,IF(Paths!$P$219="Complete",E2349/12*(Paths!$J$219*(1+'Operating costs'!$B$51)^MAX(0,C2349-1)+Paths!$K$219*(1+'Operating costs'!$B$53)^MAX(0,C2349-1)),"n.a."))</f>
        <v>0</v>
      </c>
      <c r="H2349" s="16">
        <f>IF(NOT(Paths!$C$219=1),0,IF(Paths!$P$219="Complete",F2349/12*(Paths!$L$219*(1+IF(Paths!$D$219="EV",'Operating costs'!$B$52,'Operating costs'!$B$51))^MAX(0,C2349-1)+Paths!$M$219*(1+'Operating costs'!$B$53)^MAX(0,C2349-1)),"n.a."))</f>
        <v>0</v>
      </c>
      <c r="I2349" s="16">
        <f>IF(NOT(Paths!$C$219=1),0,IF(Paths!$P$219="Complete",IF(IF(Paths!$E$219=0,C2349=0,AND(C2349&gt;0,Paths!$E$219&gt;(C2349-1)*12,Paths!$E$219&lt;=C2349*12)),Paths!$G$219,0),"n.a."))</f>
        <v>0</v>
      </c>
      <c r="J2349" s="16">
        <f>IF(NOT(Paths!$C$219=1),0,IF(Paths!$P$219="Complete",IF(IF(Paths!$E$219=0,C2349=0,AND(C2349&gt;0,Paths!$E$219&gt;(C2349-1)*12,Paths!$E$219&lt;=C2349*12)),Paths!$H$219,0),"n.a."))</f>
        <v>0</v>
      </c>
      <c r="K2349" s="16">
        <f>IF(NOT(Paths!$C$219=1),0,IF(Paths!$P$219="Complete",IF(IF(Paths!$O$219=0,C2349=0,AND(C2349&gt;0,Paths!$O$219&gt;(C2349-1)*12,Paths!$O$219&lt;=C2349*12)),Paths!$N$219,0),"n.a."))</f>
        <v>0</v>
      </c>
      <c r="L2349" s="16">
        <f>IF(NOT(Paths!$C$219=1),0,IF(Paths!$P$219="Complete",IF(C2349=10,Paths!$I$219,0),"n.a."))</f>
        <v>0</v>
      </c>
      <c r="M2349" s="16">
        <f>IF(NOT(Paths!$C$219=1),0,IF(Paths!$P$219="Complete",IF(AND(Paths!$D$219="EV",Paths!$E$219&lt;120,Paths!$E$219+'Operating costs'!$B$65&gt;Paths!$E$219,Paths!$E$219+'Operating costs'!$B$65&lt;=120,IF(Paths!$E$219+'Operating costs'!$B$65=0,C2349=0,AND(C2349&gt;0,Paths!$E$219+'Operating costs'!$B$65&gt;(C2349-1)*12,Paths!$E$219+'Operating costs'!$B$65&lt;=C2349*12))),'Operating costs'!$B$64,0)+IF(AND('Operating costs'!$B$67&gt;0,'Operating costs'!$B$67&lt;=120,OR(Paths!$D$219="ICE",'Operating costs'!$B$67&lt;=Paths!$E$219),IF('Operating costs'!$B$67=0,C2349=0,AND(C2349&gt;0,'Operating costs'!$B$67&gt;(C2349-1)*12,'Operating costs'!$B$67&lt;=C2349*12))),'Operating costs'!$B$66,0),"n.a."))</f>
        <v>0</v>
      </c>
      <c r="N2349" s="16">
        <f>IF(NOT(Paths!$C$219=1),0,IF(Paths!$P$219="Complete",SUM(G2349:I2349)-J2349-K2349-L2349+M2349+IF(C2349=0,Paths!$F$219,0)+IF(IF(Paths!$E$219=0,C2349=0,AND(C2349&gt;0,Paths!$E$219&gt;(C2349-1)*12,Paths!$E$219&lt;=C2349*12)),VLOOKUP(A2349,'Fleet register'!$A$7:$S$106,16,FALSE),0),"n.a."))</f>
        <v>0</v>
      </c>
      <c r="O2349" s="16">
        <f>IF(NOT(Paths!$C$219=1),0,IF(Paths!$P$219="Complete",N2349-IF(C2349=0,Paths!$F$219,0),"n.a."))</f>
        <v>0</v>
      </c>
      <c r="P2349" s="16">
        <f>IF(NOT(Paths!$C$219=1),0,IF(Paths!$P$219="Complete",O2349+L2349,"n.a."))</f>
        <v>0</v>
      </c>
      <c r="Q2349" s="16">
        <f>IF(NOT(Paths!$C$219=1),0,IF(Paths!$P$219="Complete",N2349*(1+'Operating costs'!$B$54)^-C2349,"n.a."))</f>
        <v>0</v>
      </c>
      <c r="R2349" s="16">
        <f>IF(NOT(Paths!$C$219=1),0,IF(Paths!$P$219="Complete",IF(AND(C2349=0,Paths!$E$219=0),I2349-J2349-K2349+VLOOKUP(A2349,'Fleet register'!$A$7:$S$106,15,FALSE)+VLOOKUP(A2349,'Fleet register'!$A$7:$S$106,16,FALSE),0),"n.a."))</f>
        <v>0</v>
      </c>
      <c r="S2349" s="1">
        <f>IF(NOT(Paths!$C$219=1),0,IF(Paths!$P$219="Complete",IF(C2349=0,0,Paths!$S$219*Paths!$R$219),"n.a."))</f>
        <v>0</v>
      </c>
      <c r="T2349" s="1">
        <f>IF(NOT(Paths!$C$219=1),0,IF(Paths!$P$219="Complete",IF(C2349=0,0,VLOOKUP(A2349,'Fleet register'!$A$7:$S$106,9,FALSE)*Paths!$R$219),"n.a."))</f>
        <v>0</v>
      </c>
    </row>
    <row r="2350" spans="1:20" ht="24" customHeight="1">
      <c r="A2350" s="1" t="str">
        <f>Paths!$A$220</f>
        <v>T054</v>
      </c>
      <c r="B2350" s="1">
        <f>Paths!$B$220</f>
        <v>1</v>
      </c>
      <c r="C2350" s="1">
        <v>0</v>
      </c>
      <c r="D2350" s="1">
        <v>220</v>
      </c>
      <c r="E2350" s="1">
        <f>IF(OR(Paths!$C$220=0,C2350=0),0,MAX(0,MIN(C2350*12,Paths!$E$220)-(C2350-1)*12))</f>
        <v>0</v>
      </c>
      <c r="F2350" s="1">
        <f>IF(OR(Paths!$C$220=0,C2350=0),0,12-E2350)</f>
        <v>0</v>
      </c>
      <c r="G2350" s="16">
        <f>IF(NOT(Paths!$C$220=1),0,IF(Paths!$P$220="Complete",E2350/12*(Paths!$J$220*(1+'Operating costs'!$B$51)^MAX(0,C2350-1)+Paths!$K$220*(1+'Operating costs'!$B$53)^MAX(0,C2350-1)),"n.a."))</f>
        <v>0</v>
      </c>
      <c r="H2350" s="16">
        <f>IF(NOT(Paths!$C$220=1),0,IF(Paths!$P$220="Complete",F2350/12*(Paths!$L$220*(1+IF(Paths!$D$220="EV",'Operating costs'!$B$52,'Operating costs'!$B$51))^MAX(0,C2350-1)+Paths!$M$220*(1+'Operating costs'!$B$53)^MAX(0,C2350-1)),"n.a."))</f>
        <v>0</v>
      </c>
      <c r="I2350" s="16">
        <f>IF(NOT(Paths!$C$220=1),0,IF(Paths!$P$220="Complete",IF(IF(Paths!$E$220=0,C2350=0,AND(C2350&gt;0,Paths!$E$220&gt;(C2350-1)*12,Paths!$E$220&lt;=C2350*12)),Paths!$G$220,0),"n.a."))</f>
        <v>0</v>
      </c>
      <c r="J2350" s="16">
        <f>IF(NOT(Paths!$C$220=1),0,IF(Paths!$P$220="Complete",IF(IF(Paths!$E$220=0,C2350=0,AND(C2350&gt;0,Paths!$E$220&gt;(C2350-1)*12,Paths!$E$220&lt;=C2350*12)),Paths!$H$220,0),"n.a."))</f>
        <v>0</v>
      </c>
      <c r="K2350" s="16">
        <f>IF(NOT(Paths!$C$220=1),0,IF(Paths!$P$220="Complete",IF(IF(Paths!$O$220=0,C2350=0,AND(C2350&gt;0,Paths!$O$220&gt;(C2350-1)*12,Paths!$O$220&lt;=C2350*12)),Paths!$N$220,0),"n.a."))</f>
        <v>0</v>
      </c>
      <c r="L2350" s="16">
        <f>IF(NOT(Paths!$C$220=1),0,IF(Paths!$P$220="Complete",IF(C2350=10,Paths!$I$220,0),"n.a."))</f>
        <v>0</v>
      </c>
      <c r="M2350" s="16">
        <f>IF(NOT(Paths!$C$220=1),0,IF(Paths!$P$220="Complete",IF(AND(Paths!$D$220="EV",Paths!$E$220&lt;120,Paths!$E$220+'Operating costs'!$B$65&gt;Paths!$E$220,Paths!$E$220+'Operating costs'!$B$65&lt;=120,IF(Paths!$E$220+'Operating costs'!$B$65=0,C2350=0,AND(C2350&gt;0,Paths!$E$220+'Operating costs'!$B$65&gt;(C2350-1)*12,Paths!$E$220+'Operating costs'!$B$65&lt;=C2350*12))),'Operating costs'!$B$64,0)+IF(AND('Operating costs'!$B$67&gt;0,'Operating costs'!$B$67&lt;=120,OR(Paths!$D$220="ICE",'Operating costs'!$B$67&lt;=Paths!$E$220),IF('Operating costs'!$B$67=0,C2350=0,AND(C2350&gt;0,'Operating costs'!$B$67&gt;(C2350-1)*12,'Operating costs'!$B$67&lt;=C2350*12))),'Operating costs'!$B$66,0),"n.a."))</f>
        <v>0</v>
      </c>
      <c r="N2350" s="16">
        <f>IF(NOT(Paths!$C$220=1),0,IF(Paths!$P$220="Complete",SUM(G2350:I2350)-J2350-K2350-L2350+M2350+IF(C2350=0,Paths!$F$220,0)+IF(IF(Paths!$E$220=0,C2350=0,AND(C2350&gt;0,Paths!$E$220&gt;(C2350-1)*12,Paths!$E$220&lt;=C2350*12)),VLOOKUP(A2350,'Fleet register'!$A$7:$S$106,16,FALSE),0),"n.a."))</f>
        <v>0</v>
      </c>
      <c r="O2350" s="16">
        <f>IF(NOT(Paths!$C$220=1),0,IF(Paths!$P$220="Complete",N2350-IF(C2350=0,Paths!$F$220,0),"n.a."))</f>
        <v>0</v>
      </c>
      <c r="P2350" s="16">
        <f>IF(NOT(Paths!$C$220=1),0,IF(Paths!$P$220="Complete",O2350+L2350,"n.a."))</f>
        <v>0</v>
      </c>
      <c r="Q2350" s="16">
        <f>IF(NOT(Paths!$C$220=1),0,IF(Paths!$P$220="Complete",N2350*(1+'Operating costs'!$B$54)^-C2350,"n.a."))</f>
        <v>0</v>
      </c>
      <c r="R2350" s="16">
        <f>IF(NOT(Paths!$C$220=1),0,IF(Paths!$P$220="Complete",IF(AND(C2350=0,Paths!$E$220=0),I2350-J2350-K2350+VLOOKUP(A2350,'Fleet register'!$A$7:$S$106,15,FALSE)+VLOOKUP(A2350,'Fleet register'!$A$7:$S$106,16,FALSE),0),"n.a."))</f>
        <v>0</v>
      </c>
      <c r="S2350" s="1">
        <f>IF(NOT(Paths!$C$220=1),0,IF(Paths!$P$220="Complete",IF(C2350=0,0,Paths!$S$220*Paths!$R$220),"n.a."))</f>
        <v>0</v>
      </c>
      <c r="T2350" s="1">
        <f>IF(NOT(Paths!$C$220=1),0,IF(Paths!$P$220="Complete",IF(C2350=0,0,VLOOKUP(A2350,'Fleet register'!$A$7:$S$106,9,FALSE)*Paths!$R$220),"n.a."))</f>
        <v>0</v>
      </c>
    </row>
    <row r="2351" spans="1:20" ht="24" customHeight="1">
      <c r="A2351" s="1" t="str">
        <f>Paths!$A$220</f>
        <v>T054</v>
      </c>
      <c r="B2351" s="1">
        <f>Paths!$B$220</f>
        <v>1</v>
      </c>
      <c r="C2351" s="1">
        <v>1</v>
      </c>
      <c r="D2351" s="1">
        <v>220</v>
      </c>
      <c r="E2351" s="1">
        <f>IF(OR(Paths!$C$220=0,C2351=0),0,MAX(0,MIN(C2351*12,Paths!$E$220)-(C2351-1)*12))</f>
        <v>0</v>
      </c>
      <c r="F2351" s="1">
        <f>IF(OR(Paths!$C$220=0,C2351=0),0,12-E2351)</f>
        <v>0</v>
      </c>
      <c r="G2351" s="16">
        <f>IF(NOT(Paths!$C$220=1),0,IF(Paths!$P$220="Complete",E2351/12*(Paths!$J$220*(1+'Operating costs'!$B$51)^MAX(0,C2351-1)+Paths!$K$220*(1+'Operating costs'!$B$53)^MAX(0,C2351-1)),"n.a."))</f>
        <v>0</v>
      </c>
      <c r="H2351" s="16">
        <f>IF(NOT(Paths!$C$220=1),0,IF(Paths!$P$220="Complete",F2351/12*(Paths!$L$220*(1+IF(Paths!$D$220="EV",'Operating costs'!$B$52,'Operating costs'!$B$51))^MAX(0,C2351-1)+Paths!$M$220*(1+'Operating costs'!$B$53)^MAX(0,C2351-1)),"n.a."))</f>
        <v>0</v>
      </c>
      <c r="I2351" s="16">
        <f>IF(NOT(Paths!$C$220=1),0,IF(Paths!$P$220="Complete",IF(IF(Paths!$E$220=0,C2351=0,AND(C2351&gt;0,Paths!$E$220&gt;(C2351-1)*12,Paths!$E$220&lt;=C2351*12)),Paths!$G$220,0),"n.a."))</f>
        <v>0</v>
      </c>
      <c r="J2351" s="16">
        <f>IF(NOT(Paths!$C$220=1),0,IF(Paths!$P$220="Complete",IF(IF(Paths!$E$220=0,C2351=0,AND(C2351&gt;0,Paths!$E$220&gt;(C2351-1)*12,Paths!$E$220&lt;=C2351*12)),Paths!$H$220,0),"n.a."))</f>
        <v>0</v>
      </c>
      <c r="K2351" s="16">
        <f>IF(NOT(Paths!$C$220=1),0,IF(Paths!$P$220="Complete",IF(IF(Paths!$O$220=0,C2351=0,AND(C2351&gt;0,Paths!$O$220&gt;(C2351-1)*12,Paths!$O$220&lt;=C2351*12)),Paths!$N$220,0),"n.a."))</f>
        <v>0</v>
      </c>
      <c r="L2351" s="16">
        <f>IF(NOT(Paths!$C$220=1),0,IF(Paths!$P$220="Complete",IF(C2351=10,Paths!$I$220,0),"n.a."))</f>
        <v>0</v>
      </c>
      <c r="M2351" s="16">
        <f>IF(NOT(Paths!$C$220=1),0,IF(Paths!$P$220="Complete",IF(AND(Paths!$D$220="EV",Paths!$E$220&lt;120,Paths!$E$220+'Operating costs'!$B$65&gt;Paths!$E$220,Paths!$E$220+'Operating costs'!$B$65&lt;=120,IF(Paths!$E$220+'Operating costs'!$B$65=0,C2351=0,AND(C2351&gt;0,Paths!$E$220+'Operating costs'!$B$65&gt;(C2351-1)*12,Paths!$E$220+'Operating costs'!$B$65&lt;=C2351*12))),'Operating costs'!$B$64,0)+IF(AND('Operating costs'!$B$67&gt;0,'Operating costs'!$B$67&lt;=120,OR(Paths!$D$220="ICE",'Operating costs'!$B$67&lt;=Paths!$E$220),IF('Operating costs'!$B$67=0,C2351=0,AND(C2351&gt;0,'Operating costs'!$B$67&gt;(C2351-1)*12,'Operating costs'!$B$67&lt;=C2351*12))),'Operating costs'!$B$66,0),"n.a."))</f>
        <v>0</v>
      </c>
      <c r="N2351" s="16">
        <f>IF(NOT(Paths!$C$220=1),0,IF(Paths!$P$220="Complete",SUM(G2351:I2351)-J2351-K2351-L2351+M2351+IF(C2351=0,Paths!$F$220,0)+IF(IF(Paths!$E$220=0,C2351=0,AND(C2351&gt;0,Paths!$E$220&gt;(C2351-1)*12,Paths!$E$220&lt;=C2351*12)),VLOOKUP(A2351,'Fleet register'!$A$7:$S$106,16,FALSE),0),"n.a."))</f>
        <v>0</v>
      </c>
      <c r="O2351" s="16">
        <f>IF(NOT(Paths!$C$220=1),0,IF(Paths!$P$220="Complete",N2351-IF(C2351=0,Paths!$F$220,0),"n.a."))</f>
        <v>0</v>
      </c>
      <c r="P2351" s="16">
        <f>IF(NOT(Paths!$C$220=1),0,IF(Paths!$P$220="Complete",O2351+L2351,"n.a."))</f>
        <v>0</v>
      </c>
      <c r="Q2351" s="16">
        <f>IF(NOT(Paths!$C$220=1),0,IF(Paths!$P$220="Complete",N2351*(1+'Operating costs'!$B$54)^-C2351,"n.a."))</f>
        <v>0</v>
      </c>
      <c r="R2351" s="16">
        <f>IF(NOT(Paths!$C$220=1),0,IF(Paths!$P$220="Complete",IF(AND(C2351=0,Paths!$E$220=0),I2351-J2351-K2351+VLOOKUP(A2351,'Fleet register'!$A$7:$S$106,15,FALSE)+VLOOKUP(A2351,'Fleet register'!$A$7:$S$106,16,FALSE),0),"n.a."))</f>
        <v>0</v>
      </c>
      <c r="S2351" s="1">
        <f>IF(NOT(Paths!$C$220=1),0,IF(Paths!$P$220="Complete",IF(C2351=0,0,Paths!$S$220*Paths!$R$220),"n.a."))</f>
        <v>0</v>
      </c>
      <c r="T2351" s="1">
        <f>IF(NOT(Paths!$C$220=1),0,IF(Paths!$P$220="Complete",IF(C2351=0,0,VLOOKUP(A2351,'Fleet register'!$A$7:$S$106,9,FALSE)*Paths!$R$220),"n.a."))</f>
        <v>0</v>
      </c>
    </row>
    <row r="2352" spans="1:20" ht="24" customHeight="1">
      <c r="A2352" s="1" t="str">
        <f>Paths!$A$220</f>
        <v>T054</v>
      </c>
      <c r="B2352" s="1">
        <f>Paths!$B$220</f>
        <v>1</v>
      </c>
      <c r="C2352" s="1">
        <v>2</v>
      </c>
      <c r="D2352" s="1">
        <v>220</v>
      </c>
      <c r="E2352" s="1">
        <f>IF(OR(Paths!$C$220=0,C2352=0),0,MAX(0,MIN(C2352*12,Paths!$E$220)-(C2352-1)*12))</f>
        <v>0</v>
      </c>
      <c r="F2352" s="1">
        <f>IF(OR(Paths!$C$220=0,C2352=0),0,12-E2352)</f>
        <v>0</v>
      </c>
      <c r="G2352" s="16">
        <f>IF(NOT(Paths!$C$220=1),0,IF(Paths!$P$220="Complete",E2352/12*(Paths!$J$220*(1+'Operating costs'!$B$51)^MAX(0,C2352-1)+Paths!$K$220*(1+'Operating costs'!$B$53)^MAX(0,C2352-1)),"n.a."))</f>
        <v>0</v>
      </c>
      <c r="H2352" s="16">
        <f>IF(NOT(Paths!$C$220=1),0,IF(Paths!$P$220="Complete",F2352/12*(Paths!$L$220*(1+IF(Paths!$D$220="EV",'Operating costs'!$B$52,'Operating costs'!$B$51))^MAX(0,C2352-1)+Paths!$M$220*(1+'Operating costs'!$B$53)^MAX(0,C2352-1)),"n.a."))</f>
        <v>0</v>
      </c>
      <c r="I2352" s="16">
        <f>IF(NOT(Paths!$C$220=1),0,IF(Paths!$P$220="Complete",IF(IF(Paths!$E$220=0,C2352=0,AND(C2352&gt;0,Paths!$E$220&gt;(C2352-1)*12,Paths!$E$220&lt;=C2352*12)),Paths!$G$220,0),"n.a."))</f>
        <v>0</v>
      </c>
      <c r="J2352" s="16">
        <f>IF(NOT(Paths!$C$220=1),0,IF(Paths!$P$220="Complete",IF(IF(Paths!$E$220=0,C2352=0,AND(C2352&gt;0,Paths!$E$220&gt;(C2352-1)*12,Paths!$E$220&lt;=C2352*12)),Paths!$H$220,0),"n.a."))</f>
        <v>0</v>
      </c>
      <c r="K2352" s="16">
        <f>IF(NOT(Paths!$C$220=1),0,IF(Paths!$P$220="Complete",IF(IF(Paths!$O$220=0,C2352=0,AND(C2352&gt;0,Paths!$O$220&gt;(C2352-1)*12,Paths!$O$220&lt;=C2352*12)),Paths!$N$220,0),"n.a."))</f>
        <v>0</v>
      </c>
      <c r="L2352" s="16">
        <f>IF(NOT(Paths!$C$220=1),0,IF(Paths!$P$220="Complete",IF(C2352=10,Paths!$I$220,0),"n.a."))</f>
        <v>0</v>
      </c>
      <c r="M2352" s="16">
        <f>IF(NOT(Paths!$C$220=1),0,IF(Paths!$P$220="Complete",IF(AND(Paths!$D$220="EV",Paths!$E$220&lt;120,Paths!$E$220+'Operating costs'!$B$65&gt;Paths!$E$220,Paths!$E$220+'Operating costs'!$B$65&lt;=120,IF(Paths!$E$220+'Operating costs'!$B$65=0,C2352=0,AND(C2352&gt;0,Paths!$E$220+'Operating costs'!$B$65&gt;(C2352-1)*12,Paths!$E$220+'Operating costs'!$B$65&lt;=C2352*12))),'Operating costs'!$B$64,0)+IF(AND('Operating costs'!$B$67&gt;0,'Operating costs'!$B$67&lt;=120,OR(Paths!$D$220="ICE",'Operating costs'!$B$67&lt;=Paths!$E$220),IF('Operating costs'!$B$67=0,C2352=0,AND(C2352&gt;0,'Operating costs'!$B$67&gt;(C2352-1)*12,'Operating costs'!$B$67&lt;=C2352*12))),'Operating costs'!$B$66,0),"n.a."))</f>
        <v>0</v>
      </c>
      <c r="N2352" s="16">
        <f>IF(NOT(Paths!$C$220=1),0,IF(Paths!$P$220="Complete",SUM(G2352:I2352)-J2352-K2352-L2352+M2352+IF(C2352=0,Paths!$F$220,0)+IF(IF(Paths!$E$220=0,C2352=0,AND(C2352&gt;0,Paths!$E$220&gt;(C2352-1)*12,Paths!$E$220&lt;=C2352*12)),VLOOKUP(A2352,'Fleet register'!$A$7:$S$106,16,FALSE),0),"n.a."))</f>
        <v>0</v>
      </c>
      <c r="O2352" s="16">
        <f>IF(NOT(Paths!$C$220=1),0,IF(Paths!$P$220="Complete",N2352-IF(C2352=0,Paths!$F$220,0),"n.a."))</f>
        <v>0</v>
      </c>
      <c r="P2352" s="16">
        <f>IF(NOT(Paths!$C$220=1),0,IF(Paths!$P$220="Complete",O2352+L2352,"n.a."))</f>
        <v>0</v>
      </c>
      <c r="Q2352" s="16">
        <f>IF(NOT(Paths!$C$220=1),0,IF(Paths!$P$220="Complete",N2352*(1+'Operating costs'!$B$54)^-C2352,"n.a."))</f>
        <v>0</v>
      </c>
      <c r="R2352" s="16">
        <f>IF(NOT(Paths!$C$220=1),0,IF(Paths!$P$220="Complete",IF(AND(C2352=0,Paths!$E$220=0),I2352-J2352-K2352+VLOOKUP(A2352,'Fleet register'!$A$7:$S$106,15,FALSE)+VLOOKUP(A2352,'Fleet register'!$A$7:$S$106,16,FALSE),0),"n.a."))</f>
        <v>0</v>
      </c>
      <c r="S2352" s="1">
        <f>IF(NOT(Paths!$C$220=1),0,IF(Paths!$P$220="Complete",IF(C2352=0,0,Paths!$S$220*Paths!$R$220),"n.a."))</f>
        <v>0</v>
      </c>
      <c r="T2352" s="1">
        <f>IF(NOT(Paths!$C$220=1),0,IF(Paths!$P$220="Complete",IF(C2352=0,0,VLOOKUP(A2352,'Fleet register'!$A$7:$S$106,9,FALSE)*Paths!$R$220),"n.a."))</f>
        <v>0</v>
      </c>
    </row>
    <row r="2353" spans="1:20" ht="24" customHeight="1">
      <c r="A2353" s="1" t="str">
        <f>Paths!$A$220</f>
        <v>T054</v>
      </c>
      <c r="B2353" s="1">
        <f>Paths!$B$220</f>
        <v>1</v>
      </c>
      <c r="C2353" s="1">
        <v>3</v>
      </c>
      <c r="D2353" s="1">
        <v>220</v>
      </c>
      <c r="E2353" s="1">
        <f>IF(OR(Paths!$C$220=0,C2353=0),0,MAX(0,MIN(C2353*12,Paths!$E$220)-(C2353-1)*12))</f>
        <v>0</v>
      </c>
      <c r="F2353" s="1">
        <f>IF(OR(Paths!$C$220=0,C2353=0),0,12-E2353)</f>
        <v>0</v>
      </c>
      <c r="G2353" s="16">
        <f>IF(NOT(Paths!$C$220=1),0,IF(Paths!$P$220="Complete",E2353/12*(Paths!$J$220*(1+'Operating costs'!$B$51)^MAX(0,C2353-1)+Paths!$K$220*(1+'Operating costs'!$B$53)^MAX(0,C2353-1)),"n.a."))</f>
        <v>0</v>
      </c>
      <c r="H2353" s="16">
        <f>IF(NOT(Paths!$C$220=1),0,IF(Paths!$P$220="Complete",F2353/12*(Paths!$L$220*(1+IF(Paths!$D$220="EV",'Operating costs'!$B$52,'Operating costs'!$B$51))^MAX(0,C2353-1)+Paths!$M$220*(1+'Operating costs'!$B$53)^MAX(0,C2353-1)),"n.a."))</f>
        <v>0</v>
      </c>
      <c r="I2353" s="16">
        <f>IF(NOT(Paths!$C$220=1),0,IF(Paths!$P$220="Complete",IF(IF(Paths!$E$220=0,C2353=0,AND(C2353&gt;0,Paths!$E$220&gt;(C2353-1)*12,Paths!$E$220&lt;=C2353*12)),Paths!$G$220,0),"n.a."))</f>
        <v>0</v>
      </c>
      <c r="J2353" s="16">
        <f>IF(NOT(Paths!$C$220=1),0,IF(Paths!$P$220="Complete",IF(IF(Paths!$E$220=0,C2353=0,AND(C2353&gt;0,Paths!$E$220&gt;(C2353-1)*12,Paths!$E$220&lt;=C2353*12)),Paths!$H$220,0),"n.a."))</f>
        <v>0</v>
      </c>
      <c r="K2353" s="16">
        <f>IF(NOT(Paths!$C$220=1),0,IF(Paths!$P$220="Complete",IF(IF(Paths!$O$220=0,C2353=0,AND(C2353&gt;0,Paths!$O$220&gt;(C2353-1)*12,Paths!$O$220&lt;=C2353*12)),Paths!$N$220,0),"n.a."))</f>
        <v>0</v>
      </c>
      <c r="L2353" s="16">
        <f>IF(NOT(Paths!$C$220=1),0,IF(Paths!$P$220="Complete",IF(C2353=10,Paths!$I$220,0),"n.a."))</f>
        <v>0</v>
      </c>
      <c r="M2353" s="16">
        <f>IF(NOT(Paths!$C$220=1),0,IF(Paths!$P$220="Complete",IF(AND(Paths!$D$220="EV",Paths!$E$220&lt;120,Paths!$E$220+'Operating costs'!$B$65&gt;Paths!$E$220,Paths!$E$220+'Operating costs'!$B$65&lt;=120,IF(Paths!$E$220+'Operating costs'!$B$65=0,C2353=0,AND(C2353&gt;0,Paths!$E$220+'Operating costs'!$B$65&gt;(C2353-1)*12,Paths!$E$220+'Operating costs'!$B$65&lt;=C2353*12))),'Operating costs'!$B$64,0)+IF(AND('Operating costs'!$B$67&gt;0,'Operating costs'!$B$67&lt;=120,OR(Paths!$D$220="ICE",'Operating costs'!$B$67&lt;=Paths!$E$220),IF('Operating costs'!$B$67=0,C2353=0,AND(C2353&gt;0,'Operating costs'!$B$67&gt;(C2353-1)*12,'Operating costs'!$B$67&lt;=C2353*12))),'Operating costs'!$B$66,0),"n.a."))</f>
        <v>0</v>
      </c>
      <c r="N2353" s="16">
        <f>IF(NOT(Paths!$C$220=1),0,IF(Paths!$P$220="Complete",SUM(G2353:I2353)-J2353-K2353-L2353+M2353+IF(C2353=0,Paths!$F$220,0)+IF(IF(Paths!$E$220=0,C2353=0,AND(C2353&gt;0,Paths!$E$220&gt;(C2353-1)*12,Paths!$E$220&lt;=C2353*12)),VLOOKUP(A2353,'Fleet register'!$A$7:$S$106,16,FALSE),0),"n.a."))</f>
        <v>0</v>
      </c>
      <c r="O2353" s="16">
        <f>IF(NOT(Paths!$C$220=1),0,IF(Paths!$P$220="Complete",N2353-IF(C2353=0,Paths!$F$220,0),"n.a."))</f>
        <v>0</v>
      </c>
      <c r="P2353" s="16">
        <f>IF(NOT(Paths!$C$220=1),0,IF(Paths!$P$220="Complete",O2353+L2353,"n.a."))</f>
        <v>0</v>
      </c>
      <c r="Q2353" s="16">
        <f>IF(NOT(Paths!$C$220=1),0,IF(Paths!$P$220="Complete",N2353*(1+'Operating costs'!$B$54)^-C2353,"n.a."))</f>
        <v>0</v>
      </c>
      <c r="R2353" s="16">
        <f>IF(NOT(Paths!$C$220=1),0,IF(Paths!$P$220="Complete",IF(AND(C2353=0,Paths!$E$220=0),I2353-J2353-K2353+VLOOKUP(A2353,'Fleet register'!$A$7:$S$106,15,FALSE)+VLOOKUP(A2353,'Fleet register'!$A$7:$S$106,16,FALSE),0),"n.a."))</f>
        <v>0</v>
      </c>
      <c r="S2353" s="1">
        <f>IF(NOT(Paths!$C$220=1),0,IF(Paths!$P$220="Complete",IF(C2353=0,0,Paths!$S$220*Paths!$R$220),"n.a."))</f>
        <v>0</v>
      </c>
      <c r="T2353" s="1">
        <f>IF(NOT(Paths!$C$220=1),0,IF(Paths!$P$220="Complete",IF(C2353=0,0,VLOOKUP(A2353,'Fleet register'!$A$7:$S$106,9,FALSE)*Paths!$R$220),"n.a."))</f>
        <v>0</v>
      </c>
    </row>
    <row r="2354" spans="1:20" ht="24" customHeight="1">
      <c r="A2354" s="1" t="str">
        <f>Paths!$A$220</f>
        <v>T054</v>
      </c>
      <c r="B2354" s="1">
        <f>Paths!$B$220</f>
        <v>1</v>
      </c>
      <c r="C2354" s="1">
        <v>4</v>
      </c>
      <c r="D2354" s="1">
        <v>220</v>
      </c>
      <c r="E2354" s="1">
        <f>IF(OR(Paths!$C$220=0,C2354=0),0,MAX(0,MIN(C2354*12,Paths!$E$220)-(C2354-1)*12))</f>
        <v>0</v>
      </c>
      <c r="F2354" s="1">
        <f>IF(OR(Paths!$C$220=0,C2354=0),0,12-E2354)</f>
        <v>0</v>
      </c>
      <c r="G2354" s="16">
        <f>IF(NOT(Paths!$C$220=1),0,IF(Paths!$P$220="Complete",E2354/12*(Paths!$J$220*(1+'Operating costs'!$B$51)^MAX(0,C2354-1)+Paths!$K$220*(1+'Operating costs'!$B$53)^MAX(0,C2354-1)),"n.a."))</f>
        <v>0</v>
      </c>
      <c r="H2354" s="16">
        <f>IF(NOT(Paths!$C$220=1),0,IF(Paths!$P$220="Complete",F2354/12*(Paths!$L$220*(1+IF(Paths!$D$220="EV",'Operating costs'!$B$52,'Operating costs'!$B$51))^MAX(0,C2354-1)+Paths!$M$220*(1+'Operating costs'!$B$53)^MAX(0,C2354-1)),"n.a."))</f>
        <v>0</v>
      </c>
      <c r="I2354" s="16">
        <f>IF(NOT(Paths!$C$220=1),0,IF(Paths!$P$220="Complete",IF(IF(Paths!$E$220=0,C2354=0,AND(C2354&gt;0,Paths!$E$220&gt;(C2354-1)*12,Paths!$E$220&lt;=C2354*12)),Paths!$G$220,0),"n.a."))</f>
        <v>0</v>
      </c>
      <c r="J2354" s="16">
        <f>IF(NOT(Paths!$C$220=1),0,IF(Paths!$P$220="Complete",IF(IF(Paths!$E$220=0,C2354=0,AND(C2354&gt;0,Paths!$E$220&gt;(C2354-1)*12,Paths!$E$220&lt;=C2354*12)),Paths!$H$220,0),"n.a."))</f>
        <v>0</v>
      </c>
      <c r="K2354" s="16">
        <f>IF(NOT(Paths!$C$220=1),0,IF(Paths!$P$220="Complete",IF(IF(Paths!$O$220=0,C2354=0,AND(C2354&gt;0,Paths!$O$220&gt;(C2354-1)*12,Paths!$O$220&lt;=C2354*12)),Paths!$N$220,0),"n.a."))</f>
        <v>0</v>
      </c>
      <c r="L2354" s="16">
        <f>IF(NOT(Paths!$C$220=1),0,IF(Paths!$P$220="Complete",IF(C2354=10,Paths!$I$220,0),"n.a."))</f>
        <v>0</v>
      </c>
      <c r="M2354" s="16">
        <f>IF(NOT(Paths!$C$220=1),0,IF(Paths!$P$220="Complete",IF(AND(Paths!$D$220="EV",Paths!$E$220&lt;120,Paths!$E$220+'Operating costs'!$B$65&gt;Paths!$E$220,Paths!$E$220+'Operating costs'!$B$65&lt;=120,IF(Paths!$E$220+'Operating costs'!$B$65=0,C2354=0,AND(C2354&gt;0,Paths!$E$220+'Operating costs'!$B$65&gt;(C2354-1)*12,Paths!$E$220+'Operating costs'!$B$65&lt;=C2354*12))),'Operating costs'!$B$64,0)+IF(AND('Operating costs'!$B$67&gt;0,'Operating costs'!$B$67&lt;=120,OR(Paths!$D$220="ICE",'Operating costs'!$B$67&lt;=Paths!$E$220),IF('Operating costs'!$B$67=0,C2354=0,AND(C2354&gt;0,'Operating costs'!$B$67&gt;(C2354-1)*12,'Operating costs'!$B$67&lt;=C2354*12))),'Operating costs'!$B$66,0),"n.a."))</f>
        <v>0</v>
      </c>
      <c r="N2354" s="16">
        <f>IF(NOT(Paths!$C$220=1),0,IF(Paths!$P$220="Complete",SUM(G2354:I2354)-J2354-K2354-L2354+M2354+IF(C2354=0,Paths!$F$220,0)+IF(IF(Paths!$E$220=0,C2354=0,AND(C2354&gt;0,Paths!$E$220&gt;(C2354-1)*12,Paths!$E$220&lt;=C2354*12)),VLOOKUP(A2354,'Fleet register'!$A$7:$S$106,16,FALSE),0),"n.a."))</f>
        <v>0</v>
      </c>
      <c r="O2354" s="16">
        <f>IF(NOT(Paths!$C$220=1),0,IF(Paths!$P$220="Complete",N2354-IF(C2354=0,Paths!$F$220,0),"n.a."))</f>
        <v>0</v>
      </c>
      <c r="P2354" s="16">
        <f>IF(NOT(Paths!$C$220=1),0,IF(Paths!$P$220="Complete",O2354+L2354,"n.a."))</f>
        <v>0</v>
      </c>
      <c r="Q2354" s="16">
        <f>IF(NOT(Paths!$C$220=1),0,IF(Paths!$P$220="Complete",N2354*(1+'Operating costs'!$B$54)^-C2354,"n.a."))</f>
        <v>0</v>
      </c>
      <c r="R2354" s="16">
        <f>IF(NOT(Paths!$C$220=1),0,IF(Paths!$P$220="Complete",IF(AND(C2354=0,Paths!$E$220=0),I2354-J2354-K2354+VLOOKUP(A2354,'Fleet register'!$A$7:$S$106,15,FALSE)+VLOOKUP(A2354,'Fleet register'!$A$7:$S$106,16,FALSE),0),"n.a."))</f>
        <v>0</v>
      </c>
      <c r="S2354" s="1">
        <f>IF(NOT(Paths!$C$220=1),0,IF(Paths!$P$220="Complete",IF(C2354=0,0,Paths!$S$220*Paths!$R$220),"n.a."))</f>
        <v>0</v>
      </c>
      <c r="T2354" s="1">
        <f>IF(NOT(Paths!$C$220=1),0,IF(Paths!$P$220="Complete",IF(C2354=0,0,VLOOKUP(A2354,'Fleet register'!$A$7:$S$106,9,FALSE)*Paths!$R$220),"n.a."))</f>
        <v>0</v>
      </c>
    </row>
    <row r="2355" spans="1:20" ht="24" customHeight="1">
      <c r="A2355" s="1" t="str">
        <f>Paths!$A$220</f>
        <v>T054</v>
      </c>
      <c r="B2355" s="1">
        <f>Paths!$B$220</f>
        <v>1</v>
      </c>
      <c r="C2355" s="1">
        <v>5</v>
      </c>
      <c r="D2355" s="1">
        <v>220</v>
      </c>
      <c r="E2355" s="1">
        <f>IF(OR(Paths!$C$220=0,C2355=0),0,MAX(0,MIN(C2355*12,Paths!$E$220)-(C2355-1)*12))</f>
        <v>0</v>
      </c>
      <c r="F2355" s="1">
        <f>IF(OR(Paths!$C$220=0,C2355=0),0,12-E2355)</f>
        <v>0</v>
      </c>
      <c r="G2355" s="16">
        <f>IF(NOT(Paths!$C$220=1),0,IF(Paths!$P$220="Complete",E2355/12*(Paths!$J$220*(1+'Operating costs'!$B$51)^MAX(0,C2355-1)+Paths!$K$220*(1+'Operating costs'!$B$53)^MAX(0,C2355-1)),"n.a."))</f>
        <v>0</v>
      </c>
      <c r="H2355" s="16">
        <f>IF(NOT(Paths!$C$220=1),0,IF(Paths!$P$220="Complete",F2355/12*(Paths!$L$220*(1+IF(Paths!$D$220="EV",'Operating costs'!$B$52,'Operating costs'!$B$51))^MAX(0,C2355-1)+Paths!$M$220*(1+'Operating costs'!$B$53)^MAX(0,C2355-1)),"n.a."))</f>
        <v>0</v>
      </c>
      <c r="I2355" s="16">
        <f>IF(NOT(Paths!$C$220=1),0,IF(Paths!$P$220="Complete",IF(IF(Paths!$E$220=0,C2355=0,AND(C2355&gt;0,Paths!$E$220&gt;(C2355-1)*12,Paths!$E$220&lt;=C2355*12)),Paths!$G$220,0),"n.a."))</f>
        <v>0</v>
      </c>
      <c r="J2355" s="16">
        <f>IF(NOT(Paths!$C$220=1),0,IF(Paths!$P$220="Complete",IF(IF(Paths!$E$220=0,C2355=0,AND(C2355&gt;0,Paths!$E$220&gt;(C2355-1)*12,Paths!$E$220&lt;=C2355*12)),Paths!$H$220,0),"n.a."))</f>
        <v>0</v>
      </c>
      <c r="K2355" s="16">
        <f>IF(NOT(Paths!$C$220=1),0,IF(Paths!$P$220="Complete",IF(IF(Paths!$O$220=0,C2355=0,AND(C2355&gt;0,Paths!$O$220&gt;(C2355-1)*12,Paths!$O$220&lt;=C2355*12)),Paths!$N$220,0),"n.a."))</f>
        <v>0</v>
      </c>
      <c r="L2355" s="16">
        <f>IF(NOT(Paths!$C$220=1),0,IF(Paths!$P$220="Complete",IF(C2355=10,Paths!$I$220,0),"n.a."))</f>
        <v>0</v>
      </c>
      <c r="M2355" s="16">
        <f>IF(NOT(Paths!$C$220=1),0,IF(Paths!$P$220="Complete",IF(AND(Paths!$D$220="EV",Paths!$E$220&lt;120,Paths!$E$220+'Operating costs'!$B$65&gt;Paths!$E$220,Paths!$E$220+'Operating costs'!$B$65&lt;=120,IF(Paths!$E$220+'Operating costs'!$B$65=0,C2355=0,AND(C2355&gt;0,Paths!$E$220+'Operating costs'!$B$65&gt;(C2355-1)*12,Paths!$E$220+'Operating costs'!$B$65&lt;=C2355*12))),'Operating costs'!$B$64,0)+IF(AND('Operating costs'!$B$67&gt;0,'Operating costs'!$B$67&lt;=120,OR(Paths!$D$220="ICE",'Operating costs'!$B$67&lt;=Paths!$E$220),IF('Operating costs'!$B$67=0,C2355=0,AND(C2355&gt;0,'Operating costs'!$B$67&gt;(C2355-1)*12,'Operating costs'!$B$67&lt;=C2355*12))),'Operating costs'!$B$66,0),"n.a."))</f>
        <v>0</v>
      </c>
      <c r="N2355" s="16">
        <f>IF(NOT(Paths!$C$220=1),0,IF(Paths!$P$220="Complete",SUM(G2355:I2355)-J2355-K2355-L2355+M2355+IF(C2355=0,Paths!$F$220,0)+IF(IF(Paths!$E$220=0,C2355=0,AND(C2355&gt;0,Paths!$E$220&gt;(C2355-1)*12,Paths!$E$220&lt;=C2355*12)),VLOOKUP(A2355,'Fleet register'!$A$7:$S$106,16,FALSE),0),"n.a."))</f>
        <v>0</v>
      </c>
      <c r="O2355" s="16">
        <f>IF(NOT(Paths!$C$220=1),0,IF(Paths!$P$220="Complete",N2355-IF(C2355=0,Paths!$F$220,0),"n.a."))</f>
        <v>0</v>
      </c>
      <c r="P2355" s="16">
        <f>IF(NOT(Paths!$C$220=1),0,IF(Paths!$P$220="Complete",O2355+L2355,"n.a."))</f>
        <v>0</v>
      </c>
      <c r="Q2355" s="16">
        <f>IF(NOT(Paths!$C$220=1),0,IF(Paths!$P$220="Complete",N2355*(1+'Operating costs'!$B$54)^-C2355,"n.a."))</f>
        <v>0</v>
      </c>
      <c r="R2355" s="16">
        <f>IF(NOT(Paths!$C$220=1),0,IF(Paths!$P$220="Complete",IF(AND(C2355=0,Paths!$E$220=0),I2355-J2355-K2355+VLOOKUP(A2355,'Fleet register'!$A$7:$S$106,15,FALSE)+VLOOKUP(A2355,'Fleet register'!$A$7:$S$106,16,FALSE),0),"n.a."))</f>
        <v>0</v>
      </c>
      <c r="S2355" s="1">
        <f>IF(NOT(Paths!$C$220=1),0,IF(Paths!$P$220="Complete",IF(C2355=0,0,Paths!$S$220*Paths!$R$220),"n.a."))</f>
        <v>0</v>
      </c>
      <c r="T2355" s="1">
        <f>IF(NOT(Paths!$C$220=1),0,IF(Paths!$P$220="Complete",IF(C2355=0,0,VLOOKUP(A2355,'Fleet register'!$A$7:$S$106,9,FALSE)*Paths!$R$220),"n.a."))</f>
        <v>0</v>
      </c>
    </row>
    <row r="2356" spans="1:20" ht="24" customHeight="1">
      <c r="A2356" s="1" t="str">
        <f>Paths!$A$220</f>
        <v>T054</v>
      </c>
      <c r="B2356" s="1">
        <f>Paths!$B$220</f>
        <v>1</v>
      </c>
      <c r="C2356" s="1">
        <v>6</v>
      </c>
      <c r="D2356" s="1">
        <v>220</v>
      </c>
      <c r="E2356" s="1">
        <f>IF(OR(Paths!$C$220=0,C2356=0),0,MAX(0,MIN(C2356*12,Paths!$E$220)-(C2356-1)*12))</f>
        <v>0</v>
      </c>
      <c r="F2356" s="1">
        <f>IF(OR(Paths!$C$220=0,C2356=0),0,12-E2356)</f>
        <v>0</v>
      </c>
      <c r="G2356" s="16">
        <f>IF(NOT(Paths!$C$220=1),0,IF(Paths!$P$220="Complete",E2356/12*(Paths!$J$220*(1+'Operating costs'!$B$51)^MAX(0,C2356-1)+Paths!$K$220*(1+'Operating costs'!$B$53)^MAX(0,C2356-1)),"n.a."))</f>
        <v>0</v>
      </c>
      <c r="H2356" s="16">
        <f>IF(NOT(Paths!$C$220=1),0,IF(Paths!$P$220="Complete",F2356/12*(Paths!$L$220*(1+IF(Paths!$D$220="EV",'Operating costs'!$B$52,'Operating costs'!$B$51))^MAX(0,C2356-1)+Paths!$M$220*(1+'Operating costs'!$B$53)^MAX(0,C2356-1)),"n.a."))</f>
        <v>0</v>
      </c>
      <c r="I2356" s="16">
        <f>IF(NOT(Paths!$C$220=1),0,IF(Paths!$P$220="Complete",IF(IF(Paths!$E$220=0,C2356=0,AND(C2356&gt;0,Paths!$E$220&gt;(C2356-1)*12,Paths!$E$220&lt;=C2356*12)),Paths!$G$220,0),"n.a."))</f>
        <v>0</v>
      </c>
      <c r="J2356" s="16">
        <f>IF(NOT(Paths!$C$220=1),0,IF(Paths!$P$220="Complete",IF(IF(Paths!$E$220=0,C2356=0,AND(C2356&gt;0,Paths!$E$220&gt;(C2356-1)*12,Paths!$E$220&lt;=C2356*12)),Paths!$H$220,0),"n.a."))</f>
        <v>0</v>
      </c>
      <c r="K2356" s="16">
        <f>IF(NOT(Paths!$C$220=1),0,IF(Paths!$P$220="Complete",IF(IF(Paths!$O$220=0,C2356=0,AND(C2356&gt;0,Paths!$O$220&gt;(C2356-1)*12,Paths!$O$220&lt;=C2356*12)),Paths!$N$220,0),"n.a."))</f>
        <v>0</v>
      </c>
      <c r="L2356" s="16">
        <f>IF(NOT(Paths!$C$220=1),0,IF(Paths!$P$220="Complete",IF(C2356=10,Paths!$I$220,0),"n.a."))</f>
        <v>0</v>
      </c>
      <c r="M2356" s="16">
        <f>IF(NOT(Paths!$C$220=1),0,IF(Paths!$P$220="Complete",IF(AND(Paths!$D$220="EV",Paths!$E$220&lt;120,Paths!$E$220+'Operating costs'!$B$65&gt;Paths!$E$220,Paths!$E$220+'Operating costs'!$B$65&lt;=120,IF(Paths!$E$220+'Operating costs'!$B$65=0,C2356=0,AND(C2356&gt;0,Paths!$E$220+'Operating costs'!$B$65&gt;(C2356-1)*12,Paths!$E$220+'Operating costs'!$B$65&lt;=C2356*12))),'Operating costs'!$B$64,0)+IF(AND('Operating costs'!$B$67&gt;0,'Operating costs'!$B$67&lt;=120,OR(Paths!$D$220="ICE",'Operating costs'!$B$67&lt;=Paths!$E$220),IF('Operating costs'!$B$67=0,C2356=0,AND(C2356&gt;0,'Operating costs'!$B$67&gt;(C2356-1)*12,'Operating costs'!$B$67&lt;=C2356*12))),'Operating costs'!$B$66,0),"n.a."))</f>
        <v>0</v>
      </c>
      <c r="N2356" s="16">
        <f>IF(NOT(Paths!$C$220=1),0,IF(Paths!$P$220="Complete",SUM(G2356:I2356)-J2356-K2356-L2356+M2356+IF(C2356=0,Paths!$F$220,0)+IF(IF(Paths!$E$220=0,C2356=0,AND(C2356&gt;0,Paths!$E$220&gt;(C2356-1)*12,Paths!$E$220&lt;=C2356*12)),VLOOKUP(A2356,'Fleet register'!$A$7:$S$106,16,FALSE),0),"n.a."))</f>
        <v>0</v>
      </c>
      <c r="O2356" s="16">
        <f>IF(NOT(Paths!$C$220=1),0,IF(Paths!$P$220="Complete",N2356-IF(C2356=0,Paths!$F$220,0),"n.a."))</f>
        <v>0</v>
      </c>
      <c r="P2356" s="16">
        <f>IF(NOT(Paths!$C$220=1),0,IF(Paths!$P$220="Complete",O2356+L2356,"n.a."))</f>
        <v>0</v>
      </c>
      <c r="Q2356" s="16">
        <f>IF(NOT(Paths!$C$220=1),0,IF(Paths!$P$220="Complete",N2356*(1+'Operating costs'!$B$54)^-C2356,"n.a."))</f>
        <v>0</v>
      </c>
      <c r="R2356" s="16">
        <f>IF(NOT(Paths!$C$220=1),0,IF(Paths!$P$220="Complete",IF(AND(C2356=0,Paths!$E$220=0),I2356-J2356-K2356+VLOOKUP(A2356,'Fleet register'!$A$7:$S$106,15,FALSE)+VLOOKUP(A2356,'Fleet register'!$A$7:$S$106,16,FALSE),0),"n.a."))</f>
        <v>0</v>
      </c>
      <c r="S2356" s="1">
        <f>IF(NOT(Paths!$C$220=1),0,IF(Paths!$P$220="Complete",IF(C2356=0,0,Paths!$S$220*Paths!$R$220),"n.a."))</f>
        <v>0</v>
      </c>
      <c r="T2356" s="1">
        <f>IF(NOT(Paths!$C$220=1),0,IF(Paths!$P$220="Complete",IF(C2356=0,0,VLOOKUP(A2356,'Fleet register'!$A$7:$S$106,9,FALSE)*Paths!$R$220),"n.a."))</f>
        <v>0</v>
      </c>
    </row>
    <row r="2357" spans="1:20" ht="24" customHeight="1">
      <c r="A2357" s="1" t="str">
        <f>Paths!$A$220</f>
        <v>T054</v>
      </c>
      <c r="B2357" s="1">
        <f>Paths!$B$220</f>
        <v>1</v>
      </c>
      <c r="C2357" s="1">
        <v>7</v>
      </c>
      <c r="D2357" s="1">
        <v>220</v>
      </c>
      <c r="E2357" s="1">
        <f>IF(OR(Paths!$C$220=0,C2357=0),0,MAX(0,MIN(C2357*12,Paths!$E$220)-(C2357-1)*12))</f>
        <v>0</v>
      </c>
      <c r="F2357" s="1">
        <f>IF(OR(Paths!$C$220=0,C2357=0),0,12-E2357)</f>
        <v>0</v>
      </c>
      <c r="G2357" s="16">
        <f>IF(NOT(Paths!$C$220=1),0,IF(Paths!$P$220="Complete",E2357/12*(Paths!$J$220*(1+'Operating costs'!$B$51)^MAX(0,C2357-1)+Paths!$K$220*(1+'Operating costs'!$B$53)^MAX(0,C2357-1)),"n.a."))</f>
        <v>0</v>
      </c>
      <c r="H2357" s="16">
        <f>IF(NOT(Paths!$C$220=1),0,IF(Paths!$P$220="Complete",F2357/12*(Paths!$L$220*(1+IF(Paths!$D$220="EV",'Operating costs'!$B$52,'Operating costs'!$B$51))^MAX(0,C2357-1)+Paths!$M$220*(1+'Operating costs'!$B$53)^MAX(0,C2357-1)),"n.a."))</f>
        <v>0</v>
      </c>
      <c r="I2357" s="16">
        <f>IF(NOT(Paths!$C$220=1),0,IF(Paths!$P$220="Complete",IF(IF(Paths!$E$220=0,C2357=0,AND(C2357&gt;0,Paths!$E$220&gt;(C2357-1)*12,Paths!$E$220&lt;=C2357*12)),Paths!$G$220,0),"n.a."))</f>
        <v>0</v>
      </c>
      <c r="J2357" s="16">
        <f>IF(NOT(Paths!$C$220=1),0,IF(Paths!$P$220="Complete",IF(IF(Paths!$E$220=0,C2357=0,AND(C2357&gt;0,Paths!$E$220&gt;(C2357-1)*12,Paths!$E$220&lt;=C2357*12)),Paths!$H$220,0),"n.a."))</f>
        <v>0</v>
      </c>
      <c r="K2357" s="16">
        <f>IF(NOT(Paths!$C$220=1),0,IF(Paths!$P$220="Complete",IF(IF(Paths!$O$220=0,C2357=0,AND(C2357&gt;0,Paths!$O$220&gt;(C2357-1)*12,Paths!$O$220&lt;=C2357*12)),Paths!$N$220,0),"n.a."))</f>
        <v>0</v>
      </c>
      <c r="L2357" s="16">
        <f>IF(NOT(Paths!$C$220=1),0,IF(Paths!$P$220="Complete",IF(C2357=10,Paths!$I$220,0),"n.a."))</f>
        <v>0</v>
      </c>
      <c r="M2357" s="16">
        <f>IF(NOT(Paths!$C$220=1),0,IF(Paths!$P$220="Complete",IF(AND(Paths!$D$220="EV",Paths!$E$220&lt;120,Paths!$E$220+'Operating costs'!$B$65&gt;Paths!$E$220,Paths!$E$220+'Operating costs'!$B$65&lt;=120,IF(Paths!$E$220+'Operating costs'!$B$65=0,C2357=0,AND(C2357&gt;0,Paths!$E$220+'Operating costs'!$B$65&gt;(C2357-1)*12,Paths!$E$220+'Operating costs'!$B$65&lt;=C2357*12))),'Operating costs'!$B$64,0)+IF(AND('Operating costs'!$B$67&gt;0,'Operating costs'!$B$67&lt;=120,OR(Paths!$D$220="ICE",'Operating costs'!$B$67&lt;=Paths!$E$220),IF('Operating costs'!$B$67=0,C2357=0,AND(C2357&gt;0,'Operating costs'!$B$67&gt;(C2357-1)*12,'Operating costs'!$B$67&lt;=C2357*12))),'Operating costs'!$B$66,0),"n.a."))</f>
        <v>0</v>
      </c>
      <c r="N2357" s="16">
        <f>IF(NOT(Paths!$C$220=1),0,IF(Paths!$P$220="Complete",SUM(G2357:I2357)-J2357-K2357-L2357+M2357+IF(C2357=0,Paths!$F$220,0)+IF(IF(Paths!$E$220=0,C2357=0,AND(C2357&gt;0,Paths!$E$220&gt;(C2357-1)*12,Paths!$E$220&lt;=C2357*12)),VLOOKUP(A2357,'Fleet register'!$A$7:$S$106,16,FALSE),0),"n.a."))</f>
        <v>0</v>
      </c>
      <c r="O2357" s="16">
        <f>IF(NOT(Paths!$C$220=1),0,IF(Paths!$P$220="Complete",N2357-IF(C2357=0,Paths!$F$220,0),"n.a."))</f>
        <v>0</v>
      </c>
      <c r="P2357" s="16">
        <f>IF(NOT(Paths!$C$220=1),0,IF(Paths!$P$220="Complete",O2357+L2357,"n.a."))</f>
        <v>0</v>
      </c>
      <c r="Q2357" s="16">
        <f>IF(NOT(Paths!$C$220=1),0,IF(Paths!$P$220="Complete",N2357*(1+'Operating costs'!$B$54)^-C2357,"n.a."))</f>
        <v>0</v>
      </c>
      <c r="R2357" s="16">
        <f>IF(NOT(Paths!$C$220=1),0,IF(Paths!$P$220="Complete",IF(AND(C2357=0,Paths!$E$220=0),I2357-J2357-K2357+VLOOKUP(A2357,'Fleet register'!$A$7:$S$106,15,FALSE)+VLOOKUP(A2357,'Fleet register'!$A$7:$S$106,16,FALSE),0),"n.a."))</f>
        <v>0</v>
      </c>
      <c r="S2357" s="1">
        <f>IF(NOT(Paths!$C$220=1),0,IF(Paths!$P$220="Complete",IF(C2357=0,0,Paths!$S$220*Paths!$R$220),"n.a."))</f>
        <v>0</v>
      </c>
      <c r="T2357" s="1">
        <f>IF(NOT(Paths!$C$220=1),0,IF(Paths!$P$220="Complete",IF(C2357=0,0,VLOOKUP(A2357,'Fleet register'!$A$7:$S$106,9,FALSE)*Paths!$R$220),"n.a."))</f>
        <v>0</v>
      </c>
    </row>
    <row r="2358" spans="1:20" ht="24" customHeight="1">
      <c r="A2358" s="1" t="str">
        <f>Paths!$A$220</f>
        <v>T054</v>
      </c>
      <c r="B2358" s="1">
        <f>Paths!$B$220</f>
        <v>1</v>
      </c>
      <c r="C2358" s="1">
        <v>8</v>
      </c>
      <c r="D2358" s="1">
        <v>220</v>
      </c>
      <c r="E2358" s="1">
        <f>IF(OR(Paths!$C$220=0,C2358=0),0,MAX(0,MIN(C2358*12,Paths!$E$220)-(C2358-1)*12))</f>
        <v>0</v>
      </c>
      <c r="F2358" s="1">
        <f>IF(OR(Paths!$C$220=0,C2358=0),0,12-E2358)</f>
        <v>0</v>
      </c>
      <c r="G2358" s="16">
        <f>IF(NOT(Paths!$C$220=1),0,IF(Paths!$P$220="Complete",E2358/12*(Paths!$J$220*(1+'Operating costs'!$B$51)^MAX(0,C2358-1)+Paths!$K$220*(1+'Operating costs'!$B$53)^MAX(0,C2358-1)),"n.a."))</f>
        <v>0</v>
      </c>
      <c r="H2358" s="16">
        <f>IF(NOT(Paths!$C$220=1),0,IF(Paths!$P$220="Complete",F2358/12*(Paths!$L$220*(1+IF(Paths!$D$220="EV",'Operating costs'!$B$52,'Operating costs'!$B$51))^MAX(0,C2358-1)+Paths!$M$220*(1+'Operating costs'!$B$53)^MAX(0,C2358-1)),"n.a."))</f>
        <v>0</v>
      </c>
      <c r="I2358" s="16">
        <f>IF(NOT(Paths!$C$220=1),0,IF(Paths!$P$220="Complete",IF(IF(Paths!$E$220=0,C2358=0,AND(C2358&gt;0,Paths!$E$220&gt;(C2358-1)*12,Paths!$E$220&lt;=C2358*12)),Paths!$G$220,0),"n.a."))</f>
        <v>0</v>
      </c>
      <c r="J2358" s="16">
        <f>IF(NOT(Paths!$C$220=1),0,IF(Paths!$P$220="Complete",IF(IF(Paths!$E$220=0,C2358=0,AND(C2358&gt;0,Paths!$E$220&gt;(C2358-1)*12,Paths!$E$220&lt;=C2358*12)),Paths!$H$220,0),"n.a."))</f>
        <v>0</v>
      </c>
      <c r="K2358" s="16">
        <f>IF(NOT(Paths!$C$220=1),0,IF(Paths!$P$220="Complete",IF(IF(Paths!$O$220=0,C2358=0,AND(C2358&gt;0,Paths!$O$220&gt;(C2358-1)*12,Paths!$O$220&lt;=C2358*12)),Paths!$N$220,0),"n.a."))</f>
        <v>0</v>
      </c>
      <c r="L2358" s="16">
        <f>IF(NOT(Paths!$C$220=1),0,IF(Paths!$P$220="Complete",IF(C2358=10,Paths!$I$220,0),"n.a."))</f>
        <v>0</v>
      </c>
      <c r="M2358" s="16">
        <f>IF(NOT(Paths!$C$220=1),0,IF(Paths!$P$220="Complete",IF(AND(Paths!$D$220="EV",Paths!$E$220&lt;120,Paths!$E$220+'Operating costs'!$B$65&gt;Paths!$E$220,Paths!$E$220+'Operating costs'!$B$65&lt;=120,IF(Paths!$E$220+'Operating costs'!$B$65=0,C2358=0,AND(C2358&gt;0,Paths!$E$220+'Operating costs'!$B$65&gt;(C2358-1)*12,Paths!$E$220+'Operating costs'!$B$65&lt;=C2358*12))),'Operating costs'!$B$64,0)+IF(AND('Operating costs'!$B$67&gt;0,'Operating costs'!$B$67&lt;=120,OR(Paths!$D$220="ICE",'Operating costs'!$B$67&lt;=Paths!$E$220),IF('Operating costs'!$B$67=0,C2358=0,AND(C2358&gt;0,'Operating costs'!$B$67&gt;(C2358-1)*12,'Operating costs'!$B$67&lt;=C2358*12))),'Operating costs'!$B$66,0),"n.a."))</f>
        <v>0</v>
      </c>
      <c r="N2358" s="16">
        <f>IF(NOT(Paths!$C$220=1),0,IF(Paths!$P$220="Complete",SUM(G2358:I2358)-J2358-K2358-L2358+M2358+IF(C2358=0,Paths!$F$220,0)+IF(IF(Paths!$E$220=0,C2358=0,AND(C2358&gt;0,Paths!$E$220&gt;(C2358-1)*12,Paths!$E$220&lt;=C2358*12)),VLOOKUP(A2358,'Fleet register'!$A$7:$S$106,16,FALSE),0),"n.a."))</f>
        <v>0</v>
      </c>
      <c r="O2358" s="16">
        <f>IF(NOT(Paths!$C$220=1),0,IF(Paths!$P$220="Complete",N2358-IF(C2358=0,Paths!$F$220,0),"n.a."))</f>
        <v>0</v>
      </c>
      <c r="P2358" s="16">
        <f>IF(NOT(Paths!$C$220=1),0,IF(Paths!$P$220="Complete",O2358+L2358,"n.a."))</f>
        <v>0</v>
      </c>
      <c r="Q2358" s="16">
        <f>IF(NOT(Paths!$C$220=1),0,IF(Paths!$P$220="Complete",N2358*(1+'Operating costs'!$B$54)^-C2358,"n.a."))</f>
        <v>0</v>
      </c>
      <c r="R2358" s="16">
        <f>IF(NOT(Paths!$C$220=1),0,IF(Paths!$P$220="Complete",IF(AND(C2358=0,Paths!$E$220=0),I2358-J2358-K2358+VLOOKUP(A2358,'Fleet register'!$A$7:$S$106,15,FALSE)+VLOOKUP(A2358,'Fleet register'!$A$7:$S$106,16,FALSE),0),"n.a."))</f>
        <v>0</v>
      </c>
      <c r="S2358" s="1">
        <f>IF(NOT(Paths!$C$220=1),0,IF(Paths!$P$220="Complete",IF(C2358=0,0,Paths!$S$220*Paths!$R$220),"n.a."))</f>
        <v>0</v>
      </c>
      <c r="T2358" s="1">
        <f>IF(NOT(Paths!$C$220=1),0,IF(Paths!$P$220="Complete",IF(C2358=0,0,VLOOKUP(A2358,'Fleet register'!$A$7:$S$106,9,FALSE)*Paths!$R$220),"n.a."))</f>
        <v>0</v>
      </c>
    </row>
    <row r="2359" spans="1:20" ht="24" customHeight="1">
      <c r="A2359" s="1" t="str">
        <f>Paths!$A$220</f>
        <v>T054</v>
      </c>
      <c r="B2359" s="1">
        <f>Paths!$B$220</f>
        <v>1</v>
      </c>
      <c r="C2359" s="1">
        <v>9</v>
      </c>
      <c r="D2359" s="1">
        <v>220</v>
      </c>
      <c r="E2359" s="1">
        <f>IF(OR(Paths!$C$220=0,C2359=0),0,MAX(0,MIN(C2359*12,Paths!$E$220)-(C2359-1)*12))</f>
        <v>0</v>
      </c>
      <c r="F2359" s="1">
        <f>IF(OR(Paths!$C$220=0,C2359=0),0,12-E2359)</f>
        <v>0</v>
      </c>
      <c r="G2359" s="16">
        <f>IF(NOT(Paths!$C$220=1),0,IF(Paths!$P$220="Complete",E2359/12*(Paths!$J$220*(1+'Operating costs'!$B$51)^MAX(0,C2359-1)+Paths!$K$220*(1+'Operating costs'!$B$53)^MAX(0,C2359-1)),"n.a."))</f>
        <v>0</v>
      </c>
      <c r="H2359" s="16">
        <f>IF(NOT(Paths!$C$220=1),0,IF(Paths!$P$220="Complete",F2359/12*(Paths!$L$220*(1+IF(Paths!$D$220="EV",'Operating costs'!$B$52,'Operating costs'!$B$51))^MAX(0,C2359-1)+Paths!$M$220*(1+'Operating costs'!$B$53)^MAX(0,C2359-1)),"n.a."))</f>
        <v>0</v>
      </c>
      <c r="I2359" s="16">
        <f>IF(NOT(Paths!$C$220=1),0,IF(Paths!$P$220="Complete",IF(IF(Paths!$E$220=0,C2359=0,AND(C2359&gt;0,Paths!$E$220&gt;(C2359-1)*12,Paths!$E$220&lt;=C2359*12)),Paths!$G$220,0),"n.a."))</f>
        <v>0</v>
      </c>
      <c r="J2359" s="16">
        <f>IF(NOT(Paths!$C$220=1),0,IF(Paths!$P$220="Complete",IF(IF(Paths!$E$220=0,C2359=0,AND(C2359&gt;0,Paths!$E$220&gt;(C2359-1)*12,Paths!$E$220&lt;=C2359*12)),Paths!$H$220,0),"n.a."))</f>
        <v>0</v>
      </c>
      <c r="K2359" s="16">
        <f>IF(NOT(Paths!$C$220=1),0,IF(Paths!$P$220="Complete",IF(IF(Paths!$O$220=0,C2359=0,AND(C2359&gt;0,Paths!$O$220&gt;(C2359-1)*12,Paths!$O$220&lt;=C2359*12)),Paths!$N$220,0),"n.a."))</f>
        <v>0</v>
      </c>
      <c r="L2359" s="16">
        <f>IF(NOT(Paths!$C$220=1),0,IF(Paths!$P$220="Complete",IF(C2359=10,Paths!$I$220,0),"n.a."))</f>
        <v>0</v>
      </c>
      <c r="M2359" s="16">
        <f>IF(NOT(Paths!$C$220=1),0,IF(Paths!$P$220="Complete",IF(AND(Paths!$D$220="EV",Paths!$E$220&lt;120,Paths!$E$220+'Operating costs'!$B$65&gt;Paths!$E$220,Paths!$E$220+'Operating costs'!$B$65&lt;=120,IF(Paths!$E$220+'Operating costs'!$B$65=0,C2359=0,AND(C2359&gt;0,Paths!$E$220+'Operating costs'!$B$65&gt;(C2359-1)*12,Paths!$E$220+'Operating costs'!$B$65&lt;=C2359*12))),'Operating costs'!$B$64,0)+IF(AND('Operating costs'!$B$67&gt;0,'Operating costs'!$B$67&lt;=120,OR(Paths!$D$220="ICE",'Operating costs'!$B$67&lt;=Paths!$E$220),IF('Operating costs'!$B$67=0,C2359=0,AND(C2359&gt;0,'Operating costs'!$B$67&gt;(C2359-1)*12,'Operating costs'!$B$67&lt;=C2359*12))),'Operating costs'!$B$66,0),"n.a."))</f>
        <v>0</v>
      </c>
      <c r="N2359" s="16">
        <f>IF(NOT(Paths!$C$220=1),0,IF(Paths!$P$220="Complete",SUM(G2359:I2359)-J2359-K2359-L2359+M2359+IF(C2359=0,Paths!$F$220,0)+IF(IF(Paths!$E$220=0,C2359=0,AND(C2359&gt;0,Paths!$E$220&gt;(C2359-1)*12,Paths!$E$220&lt;=C2359*12)),VLOOKUP(A2359,'Fleet register'!$A$7:$S$106,16,FALSE),0),"n.a."))</f>
        <v>0</v>
      </c>
      <c r="O2359" s="16">
        <f>IF(NOT(Paths!$C$220=1),0,IF(Paths!$P$220="Complete",N2359-IF(C2359=0,Paths!$F$220,0),"n.a."))</f>
        <v>0</v>
      </c>
      <c r="P2359" s="16">
        <f>IF(NOT(Paths!$C$220=1),0,IF(Paths!$P$220="Complete",O2359+L2359,"n.a."))</f>
        <v>0</v>
      </c>
      <c r="Q2359" s="16">
        <f>IF(NOT(Paths!$C$220=1),0,IF(Paths!$P$220="Complete",N2359*(1+'Operating costs'!$B$54)^-C2359,"n.a."))</f>
        <v>0</v>
      </c>
      <c r="R2359" s="16">
        <f>IF(NOT(Paths!$C$220=1),0,IF(Paths!$P$220="Complete",IF(AND(C2359=0,Paths!$E$220=0),I2359-J2359-K2359+VLOOKUP(A2359,'Fleet register'!$A$7:$S$106,15,FALSE)+VLOOKUP(A2359,'Fleet register'!$A$7:$S$106,16,FALSE),0),"n.a."))</f>
        <v>0</v>
      </c>
      <c r="S2359" s="1">
        <f>IF(NOT(Paths!$C$220=1),0,IF(Paths!$P$220="Complete",IF(C2359=0,0,Paths!$S$220*Paths!$R$220),"n.a."))</f>
        <v>0</v>
      </c>
      <c r="T2359" s="1">
        <f>IF(NOT(Paths!$C$220=1),0,IF(Paths!$P$220="Complete",IF(C2359=0,0,VLOOKUP(A2359,'Fleet register'!$A$7:$S$106,9,FALSE)*Paths!$R$220),"n.a."))</f>
        <v>0</v>
      </c>
    </row>
    <row r="2360" spans="1:20" ht="24" customHeight="1">
      <c r="A2360" s="1" t="str">
        <f>Paths!$A$220</f>
        <v>T054</v>
      </c>
      <c r="B2360" s="1">
        <f>Paths!$B$220</f>
        <v>1</v>
      </c>
      <c r="C2360" s="1">
        <v>10</v>
      </c>
      <c r="D2360" s="1">
        <v>220</v>
      </c>
      <c r="E2360" s="1">
        <f>IF(OR(Paths!$C$220=0,C2360=0),0,MAX(0,MIN(C2360*12,Paths!$E$220)-(C2360-1)*12))</f>
        <v>0</v>
      </c>
      <c r="F2360" s="1">
        <f>IF(OR(Paths!$C$220=0,C2360=0),0,12-E2360)</f>
        <v>0</v>
      </c>
      <c r="G2360" s="16">
        <f>IF(NOT(Paths!$C$220=1),0,IF(Paths!$P$220="Complete",E2360/12*(Paths!$J$220*(1+'Operating costs'!$B$51)^MAX(0,C2360-1)+Paths!$K$220*(1+'Operating costs'!$B$53)^MAX(0,C2360-1)),"n.a."))</f>
        <v>0</v>
      </c>
      <c r="H2360" s="16">
        <f>IF(NOT(Paths!$C$220=1),0,IF(Paths!$P$220="Complete",F2360/12*(Paths!$L$220*(1+IF(Paths!$D$220="EV",'Operating costs'!$B$52,'Operating costs'!$B$51))^MAX(0,C2360-1)+Paths!$M$220*(1+'Operating costs'!$B$53)^MAX(0,C2360-1)),"n.a."))</f>
        <v>0</v>
      </c>
      <c r="I2360" s="16">
        <f>IF(NOT(Paths!$C$220=1),0,IF(Paths!$P$220="Complete",IF(IF(Paths!$E$220=0,C2360=0,AND(C2360&gt;0,Paths!$E$220&gt;(C2360-1)*12,Paths!$E$220&lt;=C2360*12)),Paths!$G$220,0),"n.a."))</f>
        <v>0</v>
      </c>
      <c r="J2360" s="16">
        <f>IF(NOT(Paths!$C$220=1),0,IF(Paths!$P$220="Complete",IF(IF(Paths!$E$220=0,C2360=0,AND(C2360&gt;0,Paths!$E$220&gt;(C2360-1)*12,Paths!$E$220&lt;=C2360*12)),Paths!$H$220,0),"n.a."))</f>
        <v>0</v>
      </c>
      <c r="K2360" s="16">
        <f>IF(NOT(Paths!$C$220=1),0,IF(Paths!$P$220="Complete",IF(IF(Paths!$O$220=0,C2360=0,AND(C2360&gt;0,Paths!$O$220&gt;(C2360-1)*12,Paths!$O$220&lt;=C2360*12)),Paths!$N$220,0),"n.a."))</f>
        <v>0</v>
      </c>
      <c r="L2360" s="16">
        <f>IF(NOT(Paths!$C$220=1),0,IF(Paths!$P$220="Complete",IF(C2360=10,Paths!$I$220,0),"n.a."))</f>
        <v>0</v>
      </c>
      <c r="M2360" s="16">
        <f>IF(NOT(Paths!$C$220=1),0,IF(Paths!$P$220="Complete",IF(AND(Paths!$D$220="EV",Paths!$E$220&lt;120,Paths!$E$220+'Operating costs'!$B$65&gt;Paths!$E$220,Paths!$E$220+'Operating costs'!$B$65&lt;=120,IF(Paths!$E$220+'Operating costs'!$B$65=0,C2360=0,AND(C2360&gt;0,Paths!$E$220+'Operating costs'!$B$65&gt;(C2360-1)*12,Paths!$E$220+'Operating costs'!$B$65&lt;=C2360*12))),'Operating costs'!$B$64,0)+IF(AND('Operating costs'!$B$67&gt;0,'Operating costs'!$B$67&lt;=120,OR(Paths!$D$220="ICE",'Operating costs'!$B$67&lt;=Paths!$E$220),IF('Operating costs'!$B$67=0,C2360=0,AND(C2360&gt;0,'Operating costs'!$B$67&gt;(C2360-1)*12,'Operating costs'!$B$67&lt;=C2360*12))),'Operating costs'!$B$66,0),"n.a."))</f>
        <v>0</v>
      </c>
      <c r="N2360" s="16">
        <f>IF(NOT(Paths!$C$220=1),0,IF(Paths!$P$220="Complete",SUM(G2360:I2360)-J2360-K2360-L2360+M2360+IF(C2360=0,Paths!$F$220,0)+IF(IF(Paths!$E$220=0,C2360=0,AND(C2360&gt;0,Paths!$E$220&gt;(C2360-1)*12,Paths!$E$220&lt;=C2360*12)),VLOOKUP(A2360,'Fleet register'!$A$7:$S$106,16,FALSE),0),"n.a."))</f>
        <v>0</v>
      </c>
      <c r="O2360" s="16">
        <f>IF(NOT(Paths!$C$220=1),0,IF(Paths!$P$220="Complete",N2360-IF(C2360=0,Paths!$F$220,0),"n.a."))</f>
        <v>0</v>
      </c>
      <c r="P2360" s="16">
        <f>IF(NOT(Paths!$C$220=1),0,IF(Paths!$P$220="Complete",O2360+L2360,"n.a."))</f>
        <v>0</v>
      </c>
      <c r="Q2360" s="16">
        <f>IF(NOT(Paths!$C$220=1),0,IF(Paths!$P$220="Complete",N2360*(1+'Operating costs'!$B$54)^-C2360,"n.a."))</f>
        <v>0</v>
      </c>
      <c r="R2360" s="16">
        <f>IF(NOT(Paths!$C$220=1),0,IF(Paths!$P$220="Complete",IF(AND(C2360=0,Paths!$E$220=0),I2360-J2360-K2360+VLOOKUP(A2360,'Fleet register'!$A$7:$S$106,15,FALSE)+VLOOKUP(A2360,'Fleet register'!$A$7:$S$106,16,FALSE),0),"n.a."))</f>
        <v>0</v>
      </c>
      <c r="S2360" s="1">
        <f>IF(NOT(Paths!$C$220=1),0,IF(Paths!$P$220="Complete",IF(C2360=0,0,Paths!$S$220*Paths!$R$220),"n.a."))</f>
        <v>0</v>
      </c>
      <c r="T2360" s="1">
        <f>IF(NOT(Paths!$C$220=1),0,IF(Paths!$P$220="Complete",IF(C2360=0,0,VLOOKUP(A2360,'Fleet register'!$A$7:$S$106,9,FALSE)*Paths!$R$220),"n.a."))</f>
        <v>0</v>
      </c>
    </row>
    <row r="2361" spans="1:20" ht="24" customHeight="1">
      <c r="A2361" s="1" t="str">
        <f>Paths!$A$221</f>
        <v>T054</v>
      </c>
      <c r="B2361" s="1">
        <f>Paths!$B$221</f>
        <v>2</v>
      </c>
      <c r="C2361" s="1">
        <v>0</v>
      </c>
      <c r="D2361" s="1">
        <v>221</v>
      </c>
      <c r="E2361" s="1">
        <f>IF(OR(Paths!$C$221=0,C2361=0),0,MAX(0,MIN(C2361*12,Paths!$E$221)-(C2361-1)*12))</f>
        <v>0</v>
      </c>
      <c r="F2361" s="1">
        <f>IF(OR(Paths!$C$221=0,C2361=0),0,12-E2361)</f>
        <v>0</v>
      </c>
      <c r="G2361" s="16">
        <f>IF(NOT(Paths!$C$221=1),0,IF(Paths!$P$221="Complete",E2361/12*(Paths!$J$221*(1+'Operating costs'!$B$51)^MAX(0,C2361-1)+Paths!$K$221*(1+'Operating costs'!$B$53)^MAX(0,C2361-1)),"n.a."))</f>
        <v>0</v>
      </c>
      <c r="H2361" s="16">
        <f>IF(NOT(Paths!$C$221=1),0,IF(Paths!$P$221="Complete",F2361/12*(Paths!$L$221*(1+IF(Paths!$D$221="EV",'Operating costs'!$B$52,'Operating costs'!$B$51))^MAX(0,C2361-1)+Paths!$M$221*(1+'Operating costs'!$B$53)^MAX(0,C2361-1)),"n.a."))</f>
        <v>0</v>
      </c>
      <c r="I2361" s="16">
        <f>IF(NOT(Paths!$C$221=1),0,IF(Paths!$P$221="Complete",IF(IF(Paths!$E$221=0,C2361=0,AND(C2361&gt;0,Paths!$E$221&gt;(C2361-1)*12,Paths!$E$221&lt;=C2361*12)),Paths!$G$221,0),"n.a."))</f>
        <v>0</v>
      </c>
      <c r="J2361" s="16">
        <f>IF(NOT(Paths!$C$221=1),0,IF(Paths!$P$221="Complete",IF(IF(Paths!$E$221=0,C2361=0,AND(C2361&gt;0,Paths!$E$221&gt;(C2361-1)*12,Paths!$E$221&lt;=C2361*12)),Paths!$H$221,0),"n.a."))</f>
        <v>0</v>
      </c>
      <c r="K2361" s="16">
        <f>IF(NOT(Paths!$C$221=1),0,IF(Paths!$P$221="Complete",IF(IF(Paths!$O$221=0,C2361=0,AND(C2361&gt;0,Paths!$O$221&gt;(C2361-1)*12,Paths!$O$221&lt;=C2361*12)),Paths!$N$221,0),"n.a."))</f>
        <v>0</v>
      </c>
      <c r="L2361" s="16">
        <f>IF(NOT(Paths!$C$221=1),0,IF(Paths!$P$221="Complete",IF(C2361=10,Paths!$I$221,0),"n.a."))</f>
        <v>0</v>
      </c>
      <c r="M2361" s="16">
        <f>IF(NOT(Paths!$C$221=1),0,IF(Paths!$P$221="Complete",IF(AND(Paths!$D$221="EV",Paths!$E$221&lt;120,Paths!$E$221+'Operating costs'!$B$65&gt;Paths!$E$221,Paths!$E$221+'Operating costs'!$B$65&lt;=120,IF(Paths!$E$221+'Operating costs'!$B$65=0,C2361=0,AND(C2361&gt;0,Paths!$E$221+'Operating costs'!$B$65&gt;(C2361-1)*12,Paths!$E$221+'Operating costs'!$B$65&lt;=C2361*12))),'Operating costs'!$B$64,0)+IF(AND('Operating costs'!$B$67&gt;0,'Operating costs'!$B$67&lt;=120,OR(Paths!$D$221="ICE",'Operating costs'!$B$67&lt;=Paths!$E$221),IF('Operating costs'!$B$67=0,C2361=0,AND(C2361&gt;0,'Operating costs'!$B$67&gt;(C2361-1)*12,'Operating costs'!$B$67&lt;=C2361*12))),'Operating costs'!$B$66,0),"n.a."))</f>
        <v>0</v>
      </c>
      <c r="N2361" s="16">
        <f>IF(NOT(Paths!$C$221=1),0,IF(Paths!$P$221="Complete",SUM(G2361:I2361)-J2361-K2361-L2361+M2361+IF(C2361=0,Paths!$F$221,0)+IF(IF(Paths!$E$221=0,C2361=0,AND(C2361&gt;0,Paths!$E$221&gt;(C2361-1)*12,Paths!$E$221&lt;=C2361*12)),VLOOKUP(A2361,'Fleet register'!$A$7:$S$106,16,FALSE),0),"n.a."))</f>
        <v>0</v>
      </c>
      <c r="O2361" s="16">
        <f>IF(NOT(Paths!$C$221=1),0,IF(Paths!$P$221="Complete",N2361-IF(C2361=0,Paths!$F$221,0),"n.a."))</f>
        <v>0</v>
      </c>
      <c r="P2361" s="16">
        <f>IF(NOT(Paths!$C$221=1),0,IF(Paths!$P$221="Complete",O2361+L2361,"n.a."))</f>
        <v>0</v>
      </c>
      <c r="Q2361" s="16">
        <f>IF(NOT(Paths!$C$221=1),0,IF(Paths!$P$221="Complete",N2361*(1+'Operating costs'!$B$54)^-C2361,"n.a."))</f>
        <v>0</v>
      </c>
      <c r="R2361" s="16">
        <f>IF(NOT(Paths!$C$221=1),0,IF(Paths!$P$221="Complete",IF(AND(C2361=0,Paths!$E$221=0),I2361-J2361-K2361+VLOOKUP(A2361,'Fleet register'!$A$7:$S$106,15,FALSE)+VLOOKUP(A2361,'Fleet register'!$A$7:$S$106,16,FALSE),0),"n.a."))</f>
        <v>0</v>
      </c>
      <c r="S2361" s="1">
        <f>IF(NOT(Paths!$C$221=1),0,IF(Paths!$P$221="Complete",IF(C2361=0,0,Paths!$S$221*Paths!$R$221),"n.a."))</f>
        <v>0</v>
      </c>
      <c r="T2361" s="1">
        <f>IF(NOT(Paths!$C$221=1),0,IF(Paths!$P$221="Complete",IF(C2361=0,0,VLOOKUP(A2361,'Fleet register'!$A$7:$S$106,9,FALSE)*Paths!$R$221),"n.a."))</f>
        <v>0</v>
      </c>
    </row>
    <row r="2362" spans="1:20" ht="24" customHeight="1">
      <c r="A2362" s="1" t="str">
        <f>Paths!$A$221</f>
        <v>T054</v>
      </c>
      <c r="B2362" s="1">
        <f>Paths!$B$221</f>
        <v>2</v>
      </c>
      <c r="C2362" s="1">
        <v>1</v>
      </c>
      <c r="D2362" s="1">
        <v>221</v>
      </c>
      <c r="E2362" s="1">
        <f>IF(OR(Paths!$C$221=0,C2362=0),0,MAX(0,MIN(C2362*12,Paths!$E$221)-(C2362-1)*12))</f>
        <v>0</v>
      </c>
      <c r="F2362" s="1">
        <f>IF(OR(Paths!$C$221=0,C2362=0),0,12-E2362)</f>
        <v>0</v>
      </c>
      <c r="G2362" s="16">
        <f>IF(NOT(Paths!$C$221=1),0,IF(Paths!$P$221="Complete",E2362/12*(Paths!$J$221*(1+'Operating costs'!$B$51)^MAX(0,C2362-1)+Paths!$K$221*(1+'Operating costs'!$B$53)^MAX(0,C2362-1)),"n.a."))</f>
        <v>0</v>
      </c>
      <c r="H2362" s="16">
        <f>IF(NOT(Paths!$C$221=1),0,IF(Paths!$P$221="Complete",F2362/12*(Paths!$L$221*(1+IF(Paths!$D$221="EV",'Operating costs'!$B$52,'Operating costs'!$B$51))^MAX(0,C2362-1)+Paths!$M$221*(1+'Operating costs'!$B$53)^MAX(0,C2362-1)),"n.a."))</f>
        <v>0</v>
      </c>
      <c r="I2362" s="16">
        <f>IF(NOT(Paths!$C$221=1),0,IF(Paths!$P$221="Complete",IF(IF(Paths!$E$221=0,C2362=0,AND(C2362&gt;0,Paths!$E$221&gt;(C2362-1)*12,Paths!$E$221&lt;=C2362*12)),Paths!$G$221,0),"n.a."))</f>
        <v>0</v>
      </c>
      <c r="J2362" s="16">
        <f>IF(NOT(Paths!$C$221=1),0,IF(Paths!$P$221="Complete",IF(IF(Paths!$E$221=0,C2362=0,AND(C2362&gt;0,Paths!$E$221&gt;(C2362-1)*12,Paths!$E$221&lt;=C2362*12)),Paths!$H$221,0),"n.a."))</f>
        <v>0</v>
      </c>
      <c r="K2362" s="16">
        <f>IF(NOT(Paths!$C$221=1),0,IF(Paths!$P$221="Complete",IF(IF(Paths!$O$221=0,C2362=0,AND(C2362&gt;0,Paths!$O$221&gt;(C2362-1)*12,Paths!$O$221&lt;=C2362*12)),Paths!$N$221,0),"n.a."))</f>
        <v>0</v>
      </c>
      <c r="L2362" s="16">
        <f>IF(NOT(Paths!$C$221=1),0,IF(Paths!$P$221="Complete",IF(C2362=10,Paths!$I$221,0),"n.a."))</f>
        <v>0</v>
      </c>
      <c r="M2362" s="16">
        <f>IF(NOT(Paths!$C$221=1),0,IF(Paths!$P$221="Complete",IF(AND(Paths!$D$221="EV",Paths!$E$221&lt;120,Paths!$E$221+'Operating costs'!$B$65&gt;Paths!$E$221,Paths!$E$221+'Operating costs'!$B$65&lt;=120,IF(Paths!$E$221+'Operating costs'!$B$65=0,C2362=0,AND(C2362&gt;0,Paths!$E$221+'Operating costs'!$B$65&gt;(C2362-1)*12,Paths!$E$221+'Operating costs'!$B$65&lt;=C2362*12))),'Operating costs'!$B$64,0)+IF(AND('Operating costs'!$B$67&gt;0,'Operating costs'!$B$67&lt;=120,OR(Paths!$D$221="ICE",'Operating costs'!$B$67&lt;=Paths!$E$221),IF('Operating costs'!$B$67=0,C2362=0,AND(C2362&gt;0,'Operating costs'!$B$67&gt;(C2362-1)*12,'Operating costs'!$B$67&lt;=C2362*12))),'Operating costs'!$B$66,0),"n.a."))</f>
        <v>0</v>
      </c>
      <c r="N2362" s="16">
        <f>IF(NOT(Paths!$C$221=1),0,IF(Paths!$P$221="Complete",SUM(G2362:I2362)-J2362-K2362-L2362+M2362+IF(C2362=0,Paths!$F$221,0)+IF(IF(Paths!$E$221=0,C2362=0,AND(C2362&gt;0,Paths!$E$221&gt;(C2362-1)*12,Paths!$E$221&lt;=C2362*12)),VLOOKUP(A2362,'Fleet register'!$A$7:$S$106,16,FALSE),0),"n.a."))</f>
        <v>0</v>
      </c>
      <c r="O2362" s="16">
        <f>IF(NOT(Paths!$C$221=1),0,IF(Paths!$P$221="Complete",N2362-IF(C2362=0,Paths!$F$221,0),"n.a."))</f>
        <v>0</v>
      </c>
      <c r="P2362" s="16">
        <f>IF(NOT(Paths!$C$221=1),0,IF(Paths!$P$221="Complete",O2362+L2362,"n.a."))</f>
        <v>0</v>
      </c>
      <c r="Q2362" s="16">
        <f>IF(NOT(Paths!$C$221=1),0,IF(Paths!$P$221="Complete",N2362*(1+'Operating costs'!$B$54)^-C2362,"n.a."))</f>
        <v>0</v>
      </c>
      <c r="R2362" s="16">
        <f>IF(NOT(Paths!$C$221=1),0,IF(Paths!$P$221="Complete",IF(AND(C2362=0,Paths!$E$221=0),I2362-J2362-K2362+VLOOKUP(A2362,'Fleet register'!$A$7:$S$106,15,FALSE)+VLOOKUP(A2362,'Fleet register'!$A$7:$S$106,16,FALSE),0),"n.a."))</f>
        <v>0</v>
      </c>
      <c r="S2362" s="1">
        <f>IF(NOT(Paths!$C$221=1),0,IF(Paths!$P$221="Complete",IF(C2362=0,0,Paths!$S$221*Paths!$R$221),"n.a."))</f>
        <v>0</v>
      </c>
      <c r="T2362" s="1">
        <f>IF(NOT(Paths!$C$221=1),0,IF(Paths!$P$221="Complete",IF(C2362=0,0,VLOOKUP(A2362,'Fleet register'!$A$7:$S$106,9,FALSE)*Paths!$R$221),"n.a."))</f>
        <v>0</v>
      </c>
    </row>
    <row r="2363" spans="1:20" ht="24" customHeight="1">
      <c r="A2363" s="1" t="str">
        <f>Paths!$A$221</f>
        <v>T054</v>
      </c>
      <c r="B2363" s="1">
        <f>Paths!$B$221</f>
        <v>2</v>
      </c>
      <c r="C2363" s="1">
        <v>2</v>
      </c>
      <c r="D2363" s="1">
        <v>221</v>
      </c>
      <c r="E2363" s="1">
        <f>IF(OR(Paths!$C$221=0,C2363=0),0,MAX(0,MIN(C2363*12,Paths!$E$221)-(C2363-1)*12))</f>
        <v>0</v>
      </c>
      <c r="F2363" s="1">
        <f>IF(OR(Paths!$C$221=0,C2363=0),0,12-E2363)</f>
        <v>0</v>
      </c>
      <c r="G2363" s="16">
        <f>IF(NOT(Paths!$C$221=1),0,IF(Paths!$P$221="Complete",E2363/12*(Paths!$J$221*(1+'Operating costs'!$B$51)^MAX(0,C2363-1)+Paths!$K$221*(1+'Operating costs'!$B$53)^MAX(0,C2363-1)),"n.a."))</f>
        <v>0</v>
      </c>
      <c r="H2363" s="16">
        <f>IF(NOT(Paths!$C$221=1),0,IF(Paths!$P$221="Complete",F2363/12*(Paths!$L$221*(1+IF(Paths!$D$221="EV",'Operating costs'!$B$52,'Operating costs'!$B$51))^MAX(0,C2363-1)+Paths!$M$221*(1+'Operating costs'!$B$53)^MAX(0,C2363-1)),"n.a."))</f>
        <v>0</v>
      </c>
      <c r="I2363" s="16">
        <f>IF(NOT(Paths!$C$221=1),0,IF(Paths!$P$221="Complete",IF(IF(Paths!$E$221=0,C2363=0,AND(C2363&gt;0,Paths!$E$221&gt;(C2363-1)*12,Paths!$E$221&lt;=C2363*12)),Paths!$G$221,0),"n.a."))</f>
        <v>0</v>
      </c>
      <c r="J2363" s="16">
        <f>IF(NOT(Paths!$C$221=1),0,IF(Paths!$P$221="Complete",IF(IF(Paths!$E$221=0,C2363=0,AND(C2363&gt;0,Paths!$E$221&gt;(C2363-1)*12,Paths!$E$221&lt;=C2363*12)),Paths!$H$221,0),"n.a."))</f>
        <v>0</v>
      </c>
      <c r="K2363" s="16">
        <f>IF(NOT(Paths!$C$221=1),0,IF(Paths!$P$221="Complete",IF(IF(Paths!$O$221=0,C2363=0,AND(C2363&gt;0,Paths!$O$221&gt;(C2363-1)*12,Paths!$O$221&lt;=C2363*12)),Paths!$N$221,0),"n.a."))</f>
        <v>0</v>
      </c>
      <c r="L2363" s="16">
        <f>IF(NOT(Paths!$C$221=1),0,IF(Paths!$P$221="Complete",IF(C2363=10,Paths!$I$221,0),"n.a."))</f>
        <v>0</v>
      </c>
      <c r="M2363" s="16">
        <f>IF(NOT(Paths!$C$221=1),0,IF(Paths!$P$221="Complete",IF(AND(Paths!$D$221="EV",Paths!$E$221&lt;120,Paths!$E$221+'Operating costs'!$B$65&gt;Paths!$E$221,Paths!$E$221+'Operating costs'!$B$65&lt;=120,IF(Paths!$E$221+'Operating costs'!$B$65=0,C2363=0,AND(C2363&gt;0,Paths!$E$221+'Operating costs'!$B$65&gt;(C2363-1)*12,Paths!$E$221+'Operating costs'!$B$65&lt;=C2363*12))),'Operating costs'!$B$64,0)+IF(AND('Operating costs'!$B$67&gt;0,'Operating costs'!$B$67&lt;=120,OR(Paths!$D$221="ICE",'Operating costs'!$B$67&lt;=Paths!$E$221),IF('Operating costs'!$B$67=0,C2363=0,AND(C2363&gt;0,'Operating costs'!$B$67&gt;(C2363-1)*12,'Operating costs'!$B$67&lt;=C2363*12))),'Operating costs'!$B$66,0),"n.a."))</f>
        <v>0</v>
      </c>
      <c r="N2363" s="16">
        <f>IF(NOT(Paths!$C$221=1),0,IF(Paths!$P$221="Complete",SUM(G2363:I2363)-J2363-K2363-L2363+M2363+IF(C2363=0,Paths!$F$221,0)+IF(IF(Paths!$E$221=0,C2363=0,AND(C2363&gt;0,Paths!$E$221&gt;(C2363-1)*12,Paths!$E$221&lt;=C2363*12)),VLOOKUP(A2363,'Fleet register'!$A$7:$S$106,16,FALSE),0),"n.a."))</f>
        <v>0</v>
      </c>
      <c r="O2363" s="16">
        <f>IF(NOT(Paths!$C$221=1),0,IF(Paths!$P$221="Complete",N2363-IF(C2363=0,Paths!$F$221,0),"n.a."))</f>
        <v>0</v>
      </c>
      <c r="P2363" s="16">
        <f>IF(NOT(Paths!$C$221=1),0,IF(Paths!$P$221="Complete",O2363+L2363,"n.a."))</f>
        <v>0</v>
      </c>
      <c r="Q2363" s="16">
        <f>IF(NOT(Paths!$C$221=1),0,IF(Paths!$P$221="Complete",N2363*(1+'Operating costs'!$B$54)^-C2363,"n.a."))</f>
        <v>0</v>
      </c>
      <c r="R2363" s="16">
        <f>IF(NOT(Paths!$C$221=1),0,IF(Paths!$P$221="Complete",IF(AND(C2363=0,Paths!$E$221=0),I2363-J2363-K2363+VLOOKUP(A2363,'Fleet register'!$A$7:$S$106,15,FALSE)+VLOOKUP(A2363,'Fleet register'!$A$7:$S$106,16,FALSE),0),"n.a."))</f>
        <v>0</v>
      </c>
      <c r="S2363" s="1">
        <f>IF(NOT(Paths!$C$221=1),0,IF(Paths!$P$221="Complete",IF(C2363=0,0,Paths!$S$221*Paths!$R$221),"n.a."))</f>
        <v>0</v>
      </c>
      <c r="T2363" s="1">
        <f>IF(NOT(Paths!$C$221=1),0,IF(Paths!$P$221="Complete",IF(C2363=0,0,VLOOKUP(A2363,'Fleet register'!$A$7:$S$106,9,FALSE)*Paths!$R$221),"n.a."))</f>
        <v>0</v>
      </c>
    </row>
    <row r="2364" spans="1:20" ht="24" customHeight="1">
      <c r="A2364" s="1" t="str">
        <f>Paths!$A$221</f>
        <v>T054</v>
      </c>
      <c r="B2364" s="1">
        <f>Paths!$B$221</f>
        <v>2</v>
      </c>
      <c r="C2364" s="1">
        <v>3</v>
      </c>
      <c r="D2364" s="1">
        <v>221</v>
      </c>
      <c r="E2364" s="1">
        <f>IF(OR(Paths!$C$221=0,C2364=0),0,MAX(0,MIN(C2364*12,Paths!$E$221)-(C2364-1)*12))</f>
        <v>0</v>
      </c>
      <c r="F2364" s="1">
        <f>IF(OR(Paths!$C$221=0,C2364=0),0,12-E2364)</f>
        <v>0</v>
      </c>
      <c r="G2364" s="16">
        <f>IF(NOT(Paths!$C$221=1),0,IF(Paths!$P$221="Complete",E2364/12*(Paths!$J$221*(1+'Operating costs'!$B$51)^MAX(0,C2364-1)+Paths!$K$221*(1+'Operating costs'!$B$53)^MAX(0,C2364-1)),"n.a."))</f>
        <v>0</v>
      </c>
      <c r="H2364" s="16">
        <f>IF(NOT(Paths!$C$221=1),0,IF(Paths!$P$221="Complete",F2364/12*(Paths!$L$221*(1+IF(Paths!$D$221="EV",'Operating costs'!$B$52,'Operating costs'!$B$51))^MAX(0,C2364-1)+Paths!$M$221*(1+'Operating costs'!$B$53)^MAX(0,C2364-1)),"n.a."))</f>
        <v>0</v>
      </c>
      <c r="I2364" s="16">
        <f>IF(NOT(Paths!$C$221=1),0,IF(Paths!$P$221="Complete",IF(IF(Paths!$E$221=0,C2364=0,AND(C2364&gt;0,Paths!$E$221&gt;(C2364-1)*12,Paths!$E$221&lt;=C2364*12)),Paths!$G$221,0),"n.a."))</f>
        <v>0</v>
      </c>
      <c r="J2364" s="16">
        <f>IF(NOT(Paths!$C$221=1),0,IF(Paths!$P$221="Complete",IF(IF(Paths!$E$221=0,C2364=0,AND(C2364&gt;0,Paths!$E$221&gt;(C2364-1)*12,Paths!$E$221&lt;=C2364*12)),Paths!$H$221,0),"n.a."))</f>
        <v>0</v>
      </c>
      <c r="K2364" s="16">
        <f>IF(NOT(Paths!$C$221=1),0,IF(Paths!$P$221="Complete",IF(IF(Paths!$O$221=0,C2364=0,AND(C2364&gt;0,Paths!$O$221&gt;(C2364-1)*12,Paths!$O$221&lt;=C2364*12)),Paths!$N$221,0),"n.a."))</f>
        <v>0</v>
      </c>
      <c r="L2364" s="16">
        <f>IF(NOT(Paths!$C$221=1),0,IF(Paths!$P$221="Complete",IF(C2364=10,Paths!$I$221,0),"n.a."))</f>
        <v>0</v>
      </c>
      <c r="M2364" s="16">
        <f>IF(NOT(Paths!$C$221=1),0,IF(Paths!$P$221="Complete",IF(AND(Paths!$D$221="EV",Paths!$E$221&lt;120,Paths!$E$221+'Operating costs'!$B$65&gt;Paths!$E$221,Paths!$E$221+'Operating costs'!$B$65&lt;=120,IF(Paths!$E$221+'Operating costs'!$B$65=0,C2364=0,AND(C2364&gt;0,Paths!$E$221+'Operating costs'!$B$65&gt;(C2364-1)*12,Paths!$E$221+'Operating costs'!$B$65&lt;=C2364*12))),'Operating costs'!$B$64,0)+IF(AND('Operating costs'!$B$67&gt;0,'Operating costs'!$B$67&lt;=120,OR(Paths!$D$221="ICE",'Operating costs'!$B$67&lt;=Paths!$E$221),IF('Operating costs'!$B$67=0,C2364=0,AND(C2364&gt;0,'Operating costs'!$B$67&gt;(C2364-1)*12,'Operating costs'!$B$67&lt;=C2364*12))),'Operating costs'!$B$66,0),"n.a."))</f>
        <v>0</v>
      </c>
      <c r="N2364" s="16">
        <f>IF(NOT(Paths!$C$221=1),0,IF(Paths!$P$221="Complete",SUM(G2364:I2364)-J2364-K2364-L2364+M2364+IF(C2364=0,Paths!$F$221,0)+IF(IF(Paths!$E$221=0,C2364=0,AND(C2364&gt;0,Paths!$E$221&gt;(C2364-1)*12,Paths!$E$221&lt;=C2364*12)),VLOOKUP(A2364,'Fleet register'!$A$7:$S$106,16,FALSE),0),"n.a."))</f>
        <v>0</v>
      </c>
      <c r="O2364" s="16">
        <f>IF(NOT(Paths!$C$221=1),0,IF(Paths!$P$221="Complete",N2364-IF(C2364=0,Paths!$F$221,0),"n.a."))</f>
        <v>0</v>
      </c>
      <c r="P2364" s="16">
        <f>IF(NOT(Paths!$C$221=1),0,IF(Paths!$P$221="Complete",O2364+L2364,"n.a."))</f>
        <v>0</v>
      </c>
      <c r="Q2364" s="16">
        <f>IF(NOT(Paths!$C$221=1),0,IF(Paths!$P$221="Complete",N2364*(1+'Operating costs'!$B$54)^-C2364,"n.a."))</f>
        <v>0</v>
      </c>
      <c r="R2364" s="16">
        <f>IF(NOT(Paths!$C$221=1),0,IF(Paths!$P$221="Complete",IF(AND(C2364=0,Paths!$E$221=0),I2364-J2364-K2364+VLOOKUP(A2364,'Fleet register'!$A$7:$S$106,15,FALSE)+VLOOKUP(A2364,'Fleet register'!$A$7:$S$106,16,FALSE),0),"n.a."))</f>
        <v>0</v>
      </c>
      <c r="S2364" s="1">
        <f>IF(NOT(Paths!$C$221=1),0,IF(Paths!$P$221="Complete",IF(C2364=0,0,Paths!$S$221*Paths!$R$221),"n.a."))</f>
        <v>0</v>
      </c>
      <c r="T2364" s="1">
        <f>IF(NOT(Paths!$C$221=1),0,IF(Paths!$P$221="Complete",IF(C2364=0,0,VLOOKUP(A2364,'Fleet register'!$A$7:$S$106,9,FALSE)*Paths!$R$221),"n.a."))</f>
        <v>0</v>
      </c>
    </row>
    <row r="2365" spans="1:20" ht="24" customHeight="1">
      <c r="A2365" s="1" t="str">
        <f>Paths!$A$221</f>
        <v>T054</v>
      </c>
      <c r="B2365" s="1">
        <f>Paths!$B$221</f>
        <v>2</v>
      </c>
      <c r="C2365" s="1">
        <v>4</v>
      </c>
      <c r="D2365" s="1">
        <v>221</v>
      </c>
      <c r="E2365" s="1">
        <f>IF(OR(Paths!$C$221=0,C2365=0),0,MAX(0,MIN(C2365*12,Paths!$E$221)-(C2365-1)*12))</f>
        <v>0</v>
      </c>
      <c r="F2365" s="1">
        <f>IF(OR(Paths!$C$221=0,C2365=0),0,12-E2365)</f>
        <v>0</v>
      </c>
      <c r="G2365" s="16">
        <f>IF(NOT(Paths!$C$221=1),0,IF(Paths!$P$221="Complete",E2365/12*(Paths!$J$221*(1+'Operating costs'!$B$51)^MAX(0,C2365-1)+Paths!$K$221*(1+'Operating costs'!$B$53)^MAX(0,C2365-1)),"n.a."))</f>
        <v>0</v>
      </c>
      <c r="H2365" s="16">
        <f>IF(NOT(Paths!$C$221=1),0,IF(Paths!$P$221="Complete",F2365/12*(Paths!$L$221*(1+IF(Paths!$D$221="EV",'Operating costs'!$B$52,'Operating costs'!$B$51))^MAX(0,C2365-1)+Paths!$M$221*(1+'Operating costs'!$B$53)^MAX(0,C2365-1)),"n.a."))</f>
        <v>0</v>
      </c>
      <c r="I2365" s="16">
        <f>IF(NOT(Paths!$C$221=1),0,IF(Paths!$P$221="Complete",IF(IF(Paths!$E$221=0,C2365=0,AND(C2365&gt;0,Paths!$E$221&gt;(C2365-1)*12,Paths!$E$221&lt;=C2365*12)),Paths!$G$221,0),"n.a."))</f>
        <v>0</v>
      </c>
      <c r="J2365" s="16">
        <f>IF(NOT(Paths!$C$221=1),0,IF(Paths!$P$221="Complete",IF(IF(Paths!$E$221=0,C2365=0,AND(C2365&gt;0,Paths!$E$221&gt;(C2365-1)*12,Paths!$E$221&lt;=C2365*12)),Paths!$H$221,0),"n.a."))</f>
        <v>0</v>
      </c>
      <c r="K2365" s="16">
        <f>IF(NOT(Paths!$C$221=1),0,IF(Paths!$P$221="Complete",IF(IF(Paths!$O$221=0,C2365=0,AND(C2365&gt;0,Paths!$O$221&gt;(C2365-1)*12,Paths!$O$221&lt;=C2365*12)),Paths!$N$221,0),"n.a."))</f>
        <v>0</v>
      </c>
      <c r="L2365" s="16">
        <f>IF(NOT(Paths!$C$221=1),0,IF(Paths!$P$221="Complete",IF(C2365=10,Paths!$I$221,0),"n.a."))</f>
        <v>0</v>
      </c>
      <c r="M2365" s="16">
        <f>IF(NOT(Paths!$C$221=1),0,IF(Paths!$P$221="Complete",IF(AND(Paths!$D$221="EV",Paths!$E$221&lt;120,Paths!$E$221+'Operating costs'!$B$65&gt;Paths!$E$221,Paths!$E$221+'Operating costs'!$B$65&lt;=120,IF(Paths!$E$221+'Operating costs'!$B$65=0,C2365=0,AND(C2365&gt;0,Paths!$E$221+'Operating costs'!$B$65&gt;(C2365-1)*12,Paths!$E$221+'Operating costs'!$B$65&lt;=C2365*12))),'Operating costs'!$B$64,0)+IF(AND('Operating costs'!$B$67&gt;0,'Operating costs'!$B$67&lt;=120,OR(Paths!$D$221="ICE",'Operating costs'!$B$67&lt;=Paths!$E$221),IF('Operating costs'!$B$67=0,C2365=0,AND(C2365&gt;0,'Operating costs'!$B$67&gt;(C2365-1)*12,'Operating costs'!$B$67&lt;=C2365*12))),'Operating costs'!$B$66,0),"n.a."))</f>
        <v>0</v>
      </c>
      <c r="N2365" s="16">
        <f>IF(NOT(Paths!$C$221=1),0,IF(Paths!$P$221="Complete",SUM(G2365:I2365)-J2365-K2365-L2365+M2365+IF(C2365=0,Paths!$F$221,0)+IF(IF(Paths!$E$221=0,C2365=0,AND(C2365&gt;0,Paths!$E$221&gt;(C2365-1)*12,Paths!$E$221&lt;=C2365*12)),VLOOKUP(A2365,'Fleet register'!$A$7:$S$106,16,FALSE),0),"n.a."))</f>
        <v>0</v>
      </c>
      <c r="O2365" s="16">
        <f>IF(NOT(Paths!$C$221=1),0,IF(Paths!$P$221="Complete",N2365-IF(C2365=0,Paths!$F$221,0),"n.a."))</f>
        <v>0</v>
      </c>
      <c r="P2365" s="16">
        <f>IF(NOT(Paths!$C$221=1),0,IF(Paths!$P$221="Complete",O2365+L2365,"n.a."))</f>
        <v>0</v>
      </c>
      <c r="Q2365" s="16">
        <f>IF(NOT(Paths!$C$221=1),0,IF(Paths!$P$221="Complete",N2365*(1+'Operating costs'!$B$54)^-C2365,"n.a."))</f>
        <v>0</v>
      </c>
      <c r="R2365" s="16">
        <f>IF(NOT(Paths!$C$221=1),0,IF(Paths!$P$221="Complete",IF(AND(C2365=0,Paths!$E$221=0),I2365-J2365-K2365+VLOOKUP(A2365,'Fleet register'!$A$7:$S$106,15,FALSE)+VLOOKUP(A2365,'Fleet register'!$A$7:$S$106,16,FALSE),0),"n.a."))</f>
        <v>0</v>
      </c>
      <c r="S2365" s="1">
        <f>IF(NOT(Paths!$C$221=1),0,IF(Paths!$P$221="Complete",IF(C2365=0,0,Paths!$S$221*Paths!$R$221),"n.a."))</f>
        <v>0</v>
      </c>
      <c r="T2365" s="1">
        <f>IF(NOT(Paths!$C$221=1),0,IF(Paths!$P$221="Complete",IF(C2365=0,0,VLOOKUP(A2365,'Fleet register'!$A$7:$S$106,9,FALSE)*Paths!$R$221),"n.a."))</f>
        <v>0</v>
      </c>
    </row>
    <row r="2366" spans="1:20" ht="24" customHeight="1">
      <c r="A2366" s="1" t="str">
        <f>Paths!$A$221</f>
        <v>T054</v>
      </c>
      <c r="B2366" s="1">
        <f>Paths!$B$221</f>
        <v>2</v>
      </c>
      <c r="C2366" s="1">
        <v>5</v>
      </c>
      <c r="D2366" s="1">
        <v>221</v>
      </c>
      <c r="E2366" s="1">
        <f>IF(OR(Paths!$C$221=0,C2366=0),0,MAX(0,MIN(C2366*12,Paths!$E$221)-(C2366-1)*12))</f>
        <v>0</v>
      </c>
      <c r="F2366" s="1">
        <f>IF(OR(Paths!$C$221=0,C2366=0),0,12-E2366)</f>
        <v>0</v>
      </c>
      <c r="G2366" s="16">
        <f>IF(NOT(Paths!$C$221=1),0,IF(Paths!$P$221="Complete",E2366/12*(Paths!$J$221*(1+'Operating costs'!$B$51)^MAX(0,C2366-1)+Paths!$K$221*(1+'Operating costs'!$B$53)^MAX(0,C2366-1)),"n.a."))</f>
        <v>0</v>
      </c>
      <c r="H2366" s="16">
        <f>IF(NOT(Paths!$C$221=1),0,IF(Paths!$P$221="Complete",F2366/12*(Paths!$L$221*(1+IF(Paths!$D$221="EV",'Operating costs'!$B$52,'Operating costs'!$B$51))^MAX(0,C2366-1)+Paths!$M$221*(1+'Operating costs'!$B$53)^MAX(0,C2366-1)),"n.a."))</f>
        <v>0</v>
      </c>
      <c r="I2366" s="16">
        <f>IF(NOT(Paths!$C$221=1),0,IF(Paths!$P$221="Complete",IF(IF(Paths!$E$221=0,C2366=0,AND(C2366&gt;0,Paths!$E$221&gt;(C2366-1)*12,Paths!$E$221&lt;=C2366*12)),Paths!$G$221,0),"n.a."))</f>
        <v>0</v>
      </c>
      <c r="J2366" s="16">
        <f>IF(NOT(Paths!$C$221=1),0,IF(Paths!$P$221="Complete",IF(IF(Paths!$E$221=0,C2366=0,AND(C2366&gt;0,Paths!$E$221&gt;(C2366-1)*12,Paths!$E$221&lt;=C2366*12)),Paths!$H$221,0),"n.a."))</f>
        <v>0</v>
      </c>
      <c r="K2366" s="16">
        <f>IF(NOT(Paths!$C$221=1),0,IF(Paths!$P$221="Complete",IF(IF(Paths!$O$221=0,C2366=0,AND(C2366&gt;0,Paths!$O$221&gt;(C2366-1)*12,Paths!$O$221&lt;=C2366*12)),Paths!$N$221,0),"n.a."))</f>
        <v>0</v>
      </c>
      <c r="L2366" s="16">
        <f>IF(NOT(Paths!$C$221=1),0,IF(Paths!$P$221="Complete",IF(C2366=10,Paths!$I$221,0),"n.a."))</f>
        <v>0</v>
      </c>
      <c r="M2366" s="16">
        <f>IF(NOT(Paths!$C$221=1),0,IF(Paths!$P$221="Complete",IF(AND(Paths!$D$221="EV",Paths!$E$221&lt;120,Paths!$E$221+'Operating costs'!$B$65&gt;Paths!$E$221,Paths!$E$221+'Operating costs'!$B$65&lt;=120,IF(Paths!$E$221+'Operating costs'!$B$65=0,C2366=0,AND(C2366&gt;0,Paths!$E$221+'Operating costs'!$B$65&gt;(C2366-1)*12,Paths!$E$221+'Operating costs'!$B$65&lt;=C2366*12))),'Operating costs'!$B$64,0)+IF(AND('Operating costs'!$B$67&gt;0,'Operating costs'!$B$67&lt;=120,OR(Paths!$D$221="ICE",'Operating costs'!$B$67&lt;=Paths!$E$221),IF('Operating costs'!$B$67=0,C2366=0,AND(C2366&gt;0,'Operating costs'!$B$67&gt;(C2366-1)*12,'Operating costs'!$B$67&lt;=C2366*12))),'Operating costs'!$B$66,0),"n.a."))</f>
        <v>0</v>
      </c>
      <c r="N2366" s="16">
        <f>IF(NOT(Paths!$C$221=1),0,IF(Paths!$P$221="Complete",SUM(G2366:I2366)-J2366-K2366-L2366+M2366+IF(C2366=0,Paths!$F$221,0)+IF(IF(Paths!$E$221=0,C2366=0,AND(C2366&gt;0,Paths!$E$221&gt;(C2366-1)*12,Paths!$E$221&lt;=C2366*12)),VLOOKUP(A2366,'Fleet register'!$A$7:$S$106,16,FALSE),0),"n.a."))</f>
        <v>0</v>
      </c>
      <c r="O2366" s="16">
        <f>IF(NOT(Paths!$C$221=1),0,IF(Paths!$P$221="Complete",N2366-IF(C2366=0,Paths!$F$221,0),"n.a."))</f>
        <v>0</v>
      </c>
      <c r="P2366" s="16">
        <f>IF(NOT(Paths!$C$221=1),0,IF(Paths!$P$221="Complete",O2366+L2366,"n.a."))</f>
        <v>0</v>
      </c>
      <c r="Q2366" s="16">
        <f>IF(NOT(Paths!$C$221=1),0,IF(Paths!$P$221="Complete",N2366*(1+'Operating costs'!$B$54)^-C2366,"n.a."))</f>
        <v>0</v>
      </c>
      <c r="R2366" s="16">
        <f>IF(NOT(Paths!$C$221=1),0,IF(Paths!$P$221="Complete",IF(AND(C2366=0,Paths!$E$221=0),I2366-J2366-K2366+VLOOKUP(A2366,'Fleet register'!$A$7:$S$106,15,FALSE)+VLOOKUP(A2366,'Fleet register'!$A$7:$S$106,16,FALSE),0),"n.a."))</f>
        <v>0</v>
      </c>
      <c r="S2366" s="1">
        <f>IF(NOT(Paths!$C$221=1),0,IF(Paths!$P$221="Complete",IF(C2366=0,0,Paths!$S$221*Paths!$R$221),"n.a."))</f>
        <v>0</v>
      </c>
      <c r="T2366" s="1">
        <f>IF(NOT(Paths!$C$221=1),0,IF(Paths!$P$221="Complete",IF(C2366=0,0,VLOOKUP(A2366,'Fleet register'!$A$7:$S$106,9,FALSE)*Paths!$R$221),"n.a."))</f>
        <v>0</v>
      </c>
    </row>
    <row r="2367" spans="1:20" ht="24" customHeight="1">
      <c r="A2367" s="1" t="str">
        <f>Paths!$A$221</f>
        <v>T054</v>
      </c>
      <c r="B2367" s="1">
        <f>Paths!$B$221</f>
        <v>2</v>
      </c>
      <c r="C2367" s="1">
        <v>6</v>
      </c>
      <c r="D2367" s="1">
        <v>221</v>
      </c>
      <c r="E2367" s="1">
        <f>IF(OR(Paths!$C$221=0,C2367=0),0,MAX(0,MIN(C2367*12,Paths!$E$221)-(C2367-1)*12))</f>
        <v>0</v>
      </c>
      <c r="F2367" s="1">
        <f>IF(OR(Paths!$C$221=0,C2367=0),0,12-E2367)</f>
        <v>0</v>
      </c>
      <c r="G2367" s="16">
        <f>IF(NOT(Paths!$C$221=1),0,IF(Paths!$P$221="Complete",E2367/12*(Paths!$J$221*(1+'Operating costs'!$B$51)^MAX(0,C2367-1)+Paths!$K$221*(1+'Operating costs'!$B$53)^MAX(0,C2367-1)),"n.a."))</f>
        <v>0</v>
      </c>
      <c r="H2367" s="16">
        <f>IF(NOT(Paths!$C$221=1),0,IF(Paths!$P$221="Complete",F2367/12*(Paths!$L$221*(1+IF(Paths!$D$221="EV",'Operating costs'!$B$52,'Operating costs'!$B$51))^MAX(0,C2367-1)+Paths!$M$221*(1+'Operating costs'!$B$53)^MAX(0,C2367-1)),"n.a."))</f>
        <v>0</v>
      </c>
      <c r="I2367" s="16">
        <f>IF(NOT(Paths!$C$221=1),0,IF(Paths!$P$221="Complete",IF(IF(Paths!$E$221=0,C2367=0,AND(C2367&gt;0,Paths!$E$221&gt;(C2367-1)*12,Paths!$E$221&lt;=C2367*12)),Paths!$G$221,0),"n.a."))</f>
        <v>0</v>
      </c>
      <c r="J2367" s="16">
        <f>IF(NOT(Paths!$C$221=1),0,IF(Paths!$P$221="Complete",IF(IF(Paths!$E$221=0,C2367=0,AND(C2367&gt;0,Paths!$E$221&gt;(C2367-1)*12,Paths!$E$221&lt;=C2367*12)),Paths!$H$221,0),"n.a."))</f>
        <v>0</v>
      </c>
      <c r="K2367" s="16">
        <f>IF(NOT(Paths!$C$221=1),0,IF(Paths!$P$221="Complete",IF(IF(Paths!$O$221=0,C2367=0,AND(C2367&gt;0,Paths!$O$221&gt;(C2367-1)*12,Paths!$O$221&lt;=C2367*12)),Paths!$N$221,0),"n.a."))</f>
        <v>0</v>
      </c>
      <c r="L2367" s="16">
        <f>IF(NOT(Paths!$C$221=1),0,IF(Paths!$P$221="Complete",IF(C2367=10,Paths!$I$221,0),"n.a."))</f>
        <v>0</v>
      </c>
      <c r="M2367" s="16">
        <f>IF(NOT(Paths!$C$221=1),0,IF(Paths!$P$221="Complete",IF(AND(Paths!$D$221="EV",Paths!$E$221&lt;120,Paths!$E$221+'Operating costs'!$B$65&gt;Paths!$E$221,Paths!$E$221+'Operating costs'!$B$65&lt;=120,IF(Paths!$E$221+'Operating costs'!$B$65=0,C2367=0,AND(C2367&gt;0,Paths!$E$221+'Operating costs'!$B$65&gt;(C2367-1)*12,Paths!$E$221+'Operating costs'!$B$65&lt;=C2367*12))),'Operating costs'!$B$64,0)+IF(AND('Operating costs'!$B$67&gt;0,'Operating costs'!$B$67&lt;=120,OR(Paths!$D$221="ICE",'Operating costs'!$B$67&lt;=Paths!$E$221),IF('Operating costs'!$B$67=0,C2367=0,AND(C2367&gt;0,'Operating costs'!$B$67&gt;(C2367-1)*12,'Operating costs'!$B$67&lt;=C2367*12))),'Operating costs'!$B$66,0),"n.a."))</f>
        <v>0</v>
      </c>
      <c r="N2367" s="16">
        <f>IF(NOT(Paths!$C$221=1),0,IF(Paths!$P$221="Complete",SUM(G2367:I2367)-J2367-K2367-L2367+M2367+IF(C2367=0,Paths!$F$221,0)+IF(IF(Paths!$E$221=0,C2367=0,AND(C2367&gt;0,Paths!$E$221&gt;(C2367-1)*12,Paths!$E$221&lt;=C2367*12)),VLOOKUP(A2367,'Fleet register'!$A$7:$S$106,16,FALSE),0),"n.a."))</f>
        <v>0</v>
      </c>
      <c r="O2367" s="16">
        <f>IF(NOT(Paths!$C$221=1),0,IF(Paths!$P$221="Complete",N2367-IF(C2367=0,Paths!$F$221,0),"n.a."))</f>
        <v>0</v>
      </c>
      <c r="P2367" s="16">
        <f>IF(NOT(Paths!$C$221=1),0,IF(Paths!$P$221="Complete",O2367+L2367,"n.a."))</f>
        <v>0</v>
      </c>
      <c r="Q2367" s="16">
        <f>IF(NOT(Paths!$C$221=1),0,IF(Paths!$P$221="Complete",N2367*(1+'Operating costs'!$B$54)^-C2367,"n.a."))</f>
        <v>0</v>
      </c>
      <c r="R2367" s="16">
        <f>IF(NOT(Paths!$C$221=1),0,IF(Paths!$P$221="Complete",IF(AND(C2367=0,Paths!$E$221=0),I2367-J2367-K2367+VLOOKUP(A2367,'Fleet register'!$A$7:$S$106,15,FALSE)+VLOOKUP(A2367,'Fleet register'!$A$7:$S$106,16,FALSE),0),"n.a."))</f>
        <v>0</v>
      </c>
      <c r="S2367" s="1">
        <f>IF(NOT(Paths!$C$221=1),0,IF(Paths!$P$221="Complete",IF(C2367=0,0,Paths!$S$221*Paths!$R$221),"n.a."))</f>
        <v>0</v>
      </c>
      <c r="T2367" s="1">
        <f>IF(NOT(Paths!$C$221=1),0,IF(Paths!$P$221="Complete",IF(C2367=0,0,VLOOKUP(A2367,'Fleet register'!$A$7:$S$106,9,FALSE)*Paths!$R$221),"n.a."))</f>
        <v>0</v>
      </c>
    </row>
    <row r="2368" spans="1:20" ht="24" customHeight="1">
      <c r="A2368" s="1" t="str">
        <f>Paths!$A$221</f>
        <v>T054</v>
      </c>
      <c r="B2368" s="1">
        <f>Paths!$B$221</f>
        <v>2</v>
      </c>
      <c r="C2368" s="1">
        <v>7</v>
      </c>
      <c r="D2368" s="1">
        <v>221</v>
      </c>
      <c r="E2368" s="1">
        <f>IF(OR(Paths!$C$221=0,C2368=0),0,MAX(0,MIN(C2368*12,Paths!$E$221)-(C2368-1)*12))</f>
        <v>0</v>
      </c>
      <c r="F2368" s="1">
        <f>IF(OR(Paths!$C$221=0,C2368=0),0,12-E2368)</f>
        <v>0</v>
      </c>
      <c r="G2368" s="16">
        <f>IF(NOT(Paths!$C$221=1),0,IF(Paths!$P$221="Complete",E2368/12*(Paths!$J$221*(1+'Operating costs'!$B$51)^MAX(0,C2368-1)+Paths!$K$221*(1+'Operating costs'!$B$53)^MAX(0,C2368-1)),"n.a."))</f>
        <v>0</v>
      </c>
      <c r="H2368" s="16">
        <f>IF(NOT(Paths!$C$221=1),0,IF(Paths!$P$221="Complete",F2368/12*(Paths!$L$221*(1+IF(Paths!$D$221="EV",'Operating costs'!$B$52,'Operating costs'!$B$51))^MAX(0,C2368-1)+Paths!$M$221*(1+'Operating costs'!$B$53)^MAX(0,C2368-1)),"n.a."))</f>
        <v>0</v>
      </c>
      <c r="I2368" s="16">
        <f>IF(NOT(Paths!$C$221=1),0,IF(Paths!$P$221="Complete",IF(IF(Paths!$E$221=0,C2368=0,AND(C2368&gt;0,Paths!$E$221&gt;(C2368-1)*12,Paths!$E$221&lt;=C2368*12)),Paths!$G$221,0),"n.a."))</f>
        <v>0</v>
      </c>
      <c r="J2368" s="16">
        <f>IF(NOT(Paths!$C$221=1),0,IF(Paths!$P$221="Complete",IF(IF(Paths!$E$221=0,C2368=0,AND(C2368&gt;0,Paths!$E$221&gt;(C2368-1)*12,Paths!$E$221&lt;=C2368*12)),Paths!$H$221,0),"n.a."))</f>
        <v>0</v>
      </c>
      <c r="K2368" s="16">
        <f>IF(NOT(Paths!$C$221=1),0,IF(Paths!$P$221="Complete",IF(IF(Paths!$O$221=0,C2368=0,AND(C2368&gt;0,Paths!$O$221&gt;(C2368-1)*12,Paths!$O$221&lt;=C2368*12)),Paths!$N$221,0),"n.a."))</f>
        <v>0</v>
      </c>
      <c r="L2368" s="16">
        <f>IF(NOT(Paths!$C$221=1),0,IF(Paths!$P$221="Complete",IF(C2368=10,Paths!$I$221,0),"n.a."))</f>
        <v>0</v>
      </c>
      <c r="M2368" s="16">
        <f>IF(NOT(Paths!$C$221=1),0,IF(Paths!$P$221="Complete",IF(AND(Paths!$D$221="EV",Paths!$E$221&lt;120,Paths!$E$221+'Operating costs'!$B$65&gt;Paths!$E$221,Paths!$E$221+'Operating costs'!$B$65&lt;=120,IF(Paths!$E$221+'Operating costs'!$B$65=0,C2368=0,AND(C2368&gt;0,Paths!$E$221+'Operating costs'!$B$65&gt;(C2368-1)*12,Paths!$E$221+'Operating costs'!$B$65&lt;=C2368*12))),'Operating costs'!$B$64,0)+IF(AND('Operating costs'!$B$67&gt;0,'Operating costs'!$B$67&lt;=120,OR(Paths!$D$221="ICE",'Operating costs'!$B$67&lt;=Paths!$E$221),IF('Operating costs'!$B$67=0,C2368=0,AND(C2368&gt;0,'Operating costs'!$B$67&gt;(C2368-1)*12,'Operating costs'!$B$67&lt;=C2368*12))),'Operating costs'!$B$66,0),"n.a."))</f>
        <v>0</v>
      </c>
      <c r="N2368" s="16">
        <f>IF(NOT(Paths!$C$221=1),0,IF(Paths!$P$221="Complete",SUM(G2368:I2368)-J2368-K2368-L2368+M2368+IF(C2368=0,Paths!$F$221,0)+IF(IF(Paths!$E$221=0,C2368=0,AND(C2368&gt;0,Paths!$E$221&gt;(C2368-1)*12,Paths!$E$221&lt;=C2368*12)),VLOOKUP(A2368,'Fleet register'!$A$7:$S$106,16,FALSE),0),"n.a."))</f>
        <v>0</v>
      </c>
      <c r="O2368" s="16">
        <f>IF(NOT(Paths!$C$221=1),0,IF(Paths!$P$221="Complete",N2368-IF(C2368=0,Paths!$F$221,0),"n.a."))</f>
        <v>0</v>
      </c>
      <c r="P2368" s="16">
        <f>IF(NOT(Paths!$C$221=1),0,IF(Paths!$P$221="Complete",O2368+L2368,"n.a."))</f>
        <v>0</v>
      </c>
      <c r="Q2368" s="16">
        <f>IF(NOT(Paths!$C$221=1),0,IF(Paths!$P$221="Complete",N2368*(1+'Operating costs'!$B$54)^-C2368,"n.a."))</f>
        <v>0</v>
      </c>
      <c r="R2368" s="16">
        <f>IF(NOT(Paths!$C$221=1),0,IF(Paths!$P$221="Complete",IF(AND(C2368=0,Paths!$E$221=0),I2368-J2368-K2368+VLOOKUP(A2368,'Fleet register'!$A$7:$S$106,15,FALSE)+VLOOKUP(A2368,'Fleet register'!$A$7:$S$106,16,FALSE),0),"n.a."))</f>
        <v>0</v>
      </c>
      <c r="S2368" s="1">
        <f>IF(NOT(Paths!$C$221=1),0,IF(Paths!$P$221="Complete",IF(C2368=0,0,Paths!$S$221*Paths!$R$221),"n.a."))</f>
        <v>0</v>
      </c>
      <c r="T2368" s="1">
        <f>IF(NOT(Paths!$C$221=1),0,IF(Paths!$P$221="Complete",IF(C2368=0,0,VLOOKUP(A2368,'Fleet register'!$A$7:$S$106,9,FALSE)*Paths!$R$221),"n.a."))</f>
        <v>0</v>
      </c>
    </row>
    <row r="2369" spans="1:20" ht="24" customHeight="1">
      <c r="A2369" s="1" t="str">
        <f>Paths!$A$221</f>
        <v>T054</v>
      </c>
      <c r="B2369" s="1">
        <f>Paths!$B$221</f>
        <v>2</v>
      </c>
      <c r="C2369" s="1">
        <v>8</v>
      </c>
      <c r="D2369" s="1">
        <v>221</v>
      </c>
      <c r="E2369" s="1">
        <f>IF(OR(Paths!$C$221=0,C2369=0),0,MAX(0,MIN(C2369*12,Paths!$E$221)-(C2369-1)*12))</f>
        <v>0</v>
      </c>
      <c r="F2369" s="1">
        <f>IF(OR(Paths!$C$221=0,C2369=0),0,12-E2369)</f>
        <v>0</v>
      </c>
      <c r="G2369" s="16">
        <f>IF(NOT(Paths!$C$221=1),0,IF(Paths!$P$221="Complete",E2369/12*(Paths!$J$221*(1+'Operating costs'!$B$51)^MAX(0,C2369-1)+Paths!$K$221*(1+'Operating costs'!$B$53)^MAX(0,C2369-1)),"n.a."))</f>
        <v>0</v>
      </c>
      <c r="H2369" s="16">
        <f>IF(NOT(Paths!$C$221=1),0,IF(Paths!$P$221="Complete",F2369/12*(Paths!$L$221*(1+IF(Paths!$D$221="EV",'Operating costs'!$B$52,'Operating costs'!$B$51))^MAX(0,C2369-1)+Paths!$M$221*(1+'Operating costs'!$B$53)^MAX(0,C2369-1)),"n.a."))</f>
        <v>0</v>
      </c>
      <c r="I2369" s="16">
        <f>IF(NOT(Paths!$C$221=1),0,IF(Paths!$P$221="Complete",IF(IF(Paths!$E$221=0,C2369=0,AND(C2369&gt;0,Paths!$E$221&gt;(C2369-1)*12,Paths!$E$221&lt;=C2369*12)),Paths!$G$221,0),"n.a."))</f>
        <v>0</v>
      </c>
      <c r="J2369" s="16">
        <f>IF(NOT(Paths!$C$221=1),0,IF(Paths!$P$221="Complete",IF(IF(Paths!$E$221=0,C2369=0,AND(C2369&gt;0,Paths!$E$221&gt;(C2369-1)*12,Paths!$E$221&lt;=C2369*12)),Paths!$H$221,0),"n.a."))</f>
        <v>0</v>
      </c>
      <c r="K2369" s="16">
        <f>IF(NOT(Paths!$C$221=1),0,IF(Paths!$P$221="Complete",IF(IF(Paths!$O$221=0,C2369=0,AND(C2369&gt;0,Paths!$O$221&gt;(C2369-1)*12,Paths!$O$221&lt;=C2369*12)),Paths!$N$221,0),"n.a."))</f>
        <v>0</v>
      </c>
      <c r="L2369" s="16">
        <f>IF(NOT(Paths!$C$221=1),0,IF(Paths!$P$221="Complete",IF(C2369=10,Paths!$I$221,0),"n.a."))</f>
        <v>0</v>
      </c>
      <c r="M2369" s="16">
        <f>IF(NOT(Paths!$C$221=1),0,IF(Paths!$P$221="Complete",IF(AND(Paths!$D$221="EV",Paths!$E$221&lt;120,Paths!$E$221+'Operating costs'!$B$65&gt;Paths!$E$221,Paths!$E$221+'Operating costs'!$B$65&lt;=120,IF(Paths!$E$221+'Operating costs'!$B$65=0,C2369=0,AND(C2369&gt;0,Paths!$E$221+'Operating costs'!$B$65&gt;(C2369-1)*12,Paths!$E$221+'Operating costs'!$B$65&lt;=C2369*12))),'Operating costs'!$B$64,0)+IF(AND('Operating costs'!$B$67&gt;0,'Operating costs'!$B$67&lt;=120,OR(Paths!$D$221="ICE",'Operating costs'!$B$67&lt;=Paths!$E$221),IF('Operating costs'!$B$67=0,C2369=0,AND(C2369&gt;0,'Operating costs'!$B$67&gt;(C2369-1)*12,'Operating costs'!$B$67&lt;=C2369*12))),'Operating costs'!$B$66,0),"n.a."))</f>
        <v>0</v>
      </c>
      <c r="N2369" s="16">
        <f>IF(NOT(Paths!$C$221=1),0,IF(Paths!$P$221="Complete",SUM(G2369:I2369)-J2369-K2369-L2369+M2369+IF(C2369=0,Paths!$F$221,0)+IF(IF(Paths!$E$221=0,C2369=0,AND(C2369&gt;0,Paths!$E$221&gt;(C2369-1)*12,Paths!$E$221&lt;=C2369*12)),VLOOKUP(A2369,'Fleet register'!$A$7:$S$106,16,FALSE),0),"n.a."))</f>
        <v>0</v>
      </c>
      <c r="O2369" s="16">
        <f>IF(NOT(Paths!$C$221=1),0,IF(Paths!$P$221="Complete",N2369-IF(C2369=0,Paths!$F$221,0),"n.a."))</f>
        <v>0</v>
      </c>
      <c r="P2369" s="16">
        <f>IF(NOT(Paths!$C$221=1),0,IF(Paths!$P$221="Complete",O2369+L2369,"n.a."))</f>
        <v>0</v>
      </c>
      <c r="Q2369" s="16">
        <f>IF(NOT(Paths!$C$221=1),0,IF(Paths!$P$221="Complete",N2369*(1+'Operating costs'!$B$54)^-C2369,"n.a."))</f>
        <v>0</v>
      </c>
      <c r="R2369" s="16">
        <f>IF(NOT(Paths!$C$221=1),0,IF(Paths!$P$221="Complete",IF(AND(C2369=0,Paths!$E$221=0),I2369-J2369-K2369+VLOOKUP(A2369,'Fleet register'!$A$7:$S$106,15,FALSE)+VLOOKUP(A2369,'Fleet register'!$A$7:$S$106,16,FALSE),0),"n.a."))</f>
        <v>0</v>
      </c>
      <c r="S2369" s="1">
        <f>IF(NOT(Paths!$C$221=1),0,IF(Paths!$P$221="Complete",IF(C2369=0,0,Paths!$S$221*Paths!$R$221),"n.a."))</f>
        <v>0</v>
      </c>
      <c r="T2369" s="1">
        <f>IF(NOT(Paths!$C$221=1),0,IF(Paths!$P$221="Complete",IF(C2369=0,0,VLOOKUP(A2369,'Fleet register'!$A$7:$S$106,9,FALSE)*Paths!$R$221),"n.a."))</f>
        <v>0</v>
      </c>
    </row>
    <row r="2370" spans="1:20" ht="24" customHeight="1">
      <c r="A2370" s="1" t="str">
        <f>Paths!$A$221</f>
        <v>T054</v>
      </c>
      <c r="B2370" s="1">
        <f>Paths!$B$221</f>
        <v>2</v>
      </c>
      <c r="C2370" s="1">
        <v>9</v>
      </c>
      <c r="D2370" s="1">
        <v>221</v>
      </c>
      <c r="E2370" s="1">
        <f>IF(OR(Paths!$C$221=0,C2370=0),0,MAX(0,MIN(C2370*12,Paths!$E$221)-(C2370-1)*12))</f>
        <v>0</v>
      </c>
      <c r="F2370" s="1">
        <f>IF(OR(Paths!$C$221=0,C2370=0),0,12-E2370)</f>
        <v>0</v>
      </c>
      <c r="G2370" s="16">
        <f>IF(NOT(Paths!$C$221=1),0,IF(Paths!$P$221="Complete",E2370/12*(Paths!$J$221*(1+'Operating costs'!$B$51)^MAX(0,C2370-1)+Paths!$K$221*(1+'Operating costs'!$B$53)^MAX(0,C2370-1)),"n.a."))</f>
        <v>0</v>
      </c>
      <c r="H2370" s="16">
        <f>IF(NOT(Paths!$C$221=1),0,IF(Paths!$P$221="Complete",F2370/12*(Paths!$L$221*(1+IF(Paths!$D$221="EV",'Operating costs'!$B$52,'Operating costs'!$B$51))^MAX(0,C2370-1)+Paths!$M$221*(1+'Operating costs'!$B$53)^MAX(0,C2370-1)),"n.a."))</f>
        <v>0</v>
      </c>
      <c r="I2370" s="16">
        <f>IF(NOT(Paths!$C$221=1),0,IF(Paths!$P$221="Complete",IF(IF(Paths!$E$221=0,C2370=0,AND(C2370&gt;0,Paths!$E$221&gt;(C2370-1)*12,Paths!$E$221&lt;=C2370*12)),Paths!$G$221,0),"n.a."))</f>
        <v>0</v>
      </c>
      <c r="J2370" s="16">
        <f>IF(NOT(Paths!$C$221=1),0,IF(Paths!$P$221="Complete",IF(IF(Paths!$E$221=0,C2370=0,AND(C2370&gt;0,Paths!$E$221&gt;(C2370-1)*12,Paths!$E$221&lt;=C2370*12)),Paths!$H$221,0),"n.a."))</f>
        <v>0</v>
      </c>
      <c r="K2370" s="16">
        <f>IF(NOT(Paths!$C$221=1),0,IF(Paths!$P$221="Complete",IF(IF(Paths!$O$221=0,C2370=0,AND(C2370&gt;0,Paths!$O$221&gt;(C2370-1)*12,Paths!$O$221&lt;=C2370*12)),Paths!$N$221,0),"n.a."))</f>
        <v>0</v>
      </c>
      <c r="L2370" s="16">
        <f>IF(NOT(Paths!$C$221=1),0,IF(Paths!$P$221="Complete",IF(C2370=10,Paths!$I$221,0),"n.a."))</f>
        <v>0</v>
      </c>
      <c r="M2370" s="16">
        <f>IF(NOT(Paths!$C$221=1),0,IF(Paths!$P$221="Complete",IF(AND(Paths!$D$221="EV",Paths!$E$221&lt;120,Paths!$E$221+'Operating costs'!$B$65&gt;Paths!$E$221,Paths!$E$221+'Operating costs'!$B$65&lt;=120,IF(Paths!$E$221+'Operating costs'!$B$65=0,C2370=0,AND(C2370&gt;0,Paths!$E$221+'Operating costs'!$B$65&gt;(C2370-1)*12,Paths!$E$221+'Operating costs'!$B$65&lt;=C2370*12))),'Operating costs'!$B$64,0)+IF(AND('Operating costs'!$B$67&gt;0,'Operating costs'!$B$67&lt;=120,OR(Paths!$D$221="ICE",'Operating costs'!$B$67&lt;=Paths!$E$221),IF('Operating costs'!$B$67=0,C2370=0,AND(C2370&gt;0,'Operating costs'!$B$67&gt;(C2370-1)*12,'Operating costs'!$B$67&lt;=C2370*12))),'Operating costs'!$B$66,0),"n.a."))</f>
        <v>0</v>
      </c>
      <c r="N2370" s="16">
        <f>IF(NOT(Paths!$C$221=1),0,IF(Paths!$P$221="Complete",SUM(G2370:I2370)-J2370-K2370-L2370+M2370+IF(C2370=0,Paths!$F$221,0)+IF(IF(Paths!$E$221=0,C2370=0,AND(C2370&gt;0,Paths!$E$221&gt;(C2370-1)*12,Paths!$E$221&lt;=C2370*12)),VLOOKUP(A2370,'Fleet register'!$A$7:$S$106,16,FALSE),0),"n.a."))</f>
        <v>0</v>
      </c>
      <c r="O2370" s="16">
        <f>IF(NOT(Paths!$C$221=1),0,IF(Paths!$P$221="Complete",N2370-IF(C2370=0,Paths!$F$221,0),"n.a."))</f>
        <v>0</v>
      </c>
      <c r="P2370" s="16">
        <f>IF(NOT(Paths!$C$221=1),0,IF(Paths!$P$221="Complete",O2370+L2370,"n.a."))</f>
        <v>0</v>
      </c>
      <c r="Q2370" s="16">
        <f>IF(NOT(Paths!$C$221=1),0,IF(Paths!$P$221="Complete",N2370*(1+'Operating costs'!$B$54)^-C2370,"n.a."))</f>
        <v>0</v>
      </c>
      <c r="R2370" s="16">
        <f>IF(NOT(Paths!$C$221=1),0,IF(Paths!$P$221="Complete",IF(AND(C2370=0,Paths!$E$221=0),I2370-J2370-K2370+VLOOKUP(A2370,'Fleet register'!$A$7:$S$106,15,FALSE)+VLOOKUP(A2370,'Fleet register'!$A$7:$S$106,16,FALSE),0),"n.a."))</f>
        <v>0</v>
      </c>
      <c r="S2370" s="1">
        <f>IF(NOT(Paths!$C$221=1),0,IF(Paths!$P$221="Complete",IF(C2370=0,0,Paths!$S$221*Paths!$R$221),"n.a."))</f>
        <v>0</v>
      </c>
      <c r="T2370" s="1">
        <f>IF(NOT(Paths!$C$221=1),0,IF(Paths!$P$221="Complete",IF(C2370=0,0,VLOOKUP(A2370,'Fleet register'!$A$7:$S$106,9,FALSE)*Paths!$R$221),"n.a."))</f>
        <v>0</v>
      </c>
    </row>
    <row r="2371" spans="1:20" ht="24" customHeight="1">
      <c r="A2371" s="1" t="str">
        <f>Paths!$A$221</f>
        <v>T054</v>
      </c>
      <c r="B2371" s="1">
        <f>Paths!$B$221</f>
        <v>2</v>
      </c>
      <c r="C2371" s="1">
        <v>10</v>
      </c>
      <c r="D2371" s="1">
        <v>221</v>
      </c>
      <c r="E2371" s="1">
        <f>IF(OR(Paths!$C$221=0,C2371=0),0,MAX(0,MIN(C2371*12,Paths!$E$221)-(C2371-1)*12))</f>
        <v>0</v>
      </c>
      <c r="F2371" s="1">
        <f>IF(OR(Paths!$C$221=0,C2371=0),0,12-E2371)</f>
        <v>0</v>
      </c>
      <c r="G2371" s="16">
        <f>IF(NOT(Paths!$C$221=1),0,IF(Paths!$P$221="Complete",E2371/12*(Paths!$J$221*(1+'Operating costs'!$B$51)^MAX(0,C2371-1)+Paths!$K$221*(1+'Operating costs'!$B$53)^MAX(0,C2371-1)),"n.a."))</f>
        <v>0</v>
      </c>
      <c r="H2371" s="16">
        <f>IF(NOT(Paths!$C$221=1),0,IF(Paths!$P$221="Complete",F2371/12*(Paths!$L$221*(1+IF(Paths!$D$221="EV",'Operating costs'!$B$52,'Operating costs'!$B$51))^MAX(0,C2371-1)+Paths!$M$221*(1+'Operating costs'!$B$53)^MAX(0,C2371-1)),"n.a."))</f>
        <v>0</v>
      </c>
      <c r="I2371" s="16">
        <f>IF(NOT(Paths!$C$221=1),0,IF(Paths!$P$221="Complete",IF(IF(Paths!$E$221=0,C2371=0,AND(C2371&gt;0,Paths!$E$221&gt;(C2371-1)*12,Paths!$E$221&lt;=C2371*12)),Paths!$G$221,0),"n.a."))</f>
        <v>0</v>
      </c>
      <c r="J2371" s="16">
        <f>IF(NOT(Paths!$C$221=1),0,IF(Paths!$P$221="Complete",IF(IF(Paths!$E$221=0,C2371=0,AND(C2371&gt;0,Paths!$E$221&gt;(C2371-1)*12,Paths!$E$221&lt;=C2371*12)),Paths!$H$221,0),"n.a."))</f>
        <v>0</v>
      </c>
      <c r="K2371" s="16">
        <f>IF(NOT(Paths!$C$221=1),0,IF(Paths!$P$221="Complete",IF(IF(Paths!$O$221=0,C2371=0,AND(C2371&gt;0,Paths!$O$221&gt;(C2371-1)*12,Paths!$O$221&lt;=C2371*12)),Paths!$N$221,0),"n.a."))</f>
        <v>0</v>
      </c>
      <c r="L2371" s="16">
        <f>IF(NOT(Paths!$C$221=1),0,IF(Paths!$P$221="Complete",IF(C2371=10,Paths!$I$221,0),"n.a."))</f>
        <v>0</v>
      </c>
      <c r="M2371" s="16">
        <f>IF(NOT(Paths!$C$221=1),0,IF(Paths!$P$221="Complete",IF(AND(Paths!$D$221="EV",Paths!$E$221&lt;120,Paths!$E$221+'Operating costs'!$B$65&gt;Paths!$E$221,Paths!$E$221+'Operating costs'!$B$65&lt;=120,IF(Paths!$E$221+'Operating costs'!$B$65=0,C2371=0,AND(C2371&gt;0,Paths!$E$221+'Operating costs'!$B$65&gt;(C2371-1)*12,Paths!$E$221+'Operating costs'!$B$65&lt;=C2371*12))),'Operating costs'!$B$64,0)+IF(AND('Operating costs'!$B$67&gt;0,'Operating costs'!$B$67&lt;=120,OR(Paths!$D$221="ICE",'Operating costs'!$B$67&lt;=Paths!$E$221),IF('Operating costs'!$B$67=0,C2371=0,AND(C2371&gt;0,'Operating costs'!$B$67&gt;(C2371-1)*12,'Operating costs'!$B$67&lt;=C2371*12))),'Operating costs'!$B$66,0),"n.a."))</f>
        <v>0</v>
      </c>
      <c r="N2371" s="16">
        <f>IF(NOT(Paths!$C$221=1),0,IF(Paths!$P$221="Complete",SUM(G2371:I2371)-J2371-K2371-L2371+M2371+IF(C2371=0,Paths!$F$221,0)+IF(IF(Paths!$E$221=0,C2371=0,AND(C2371&gt;0,Paths!$E$221&gt;(C2371-1)*12,Paths!$E$221&lt;=C2371*12)),VLOOKUP(A2371,'Fleet register'!$A$7:$S$106,16,FALSE),0),"n.a."))</f>
        <v>0</v>
      </c>
      <c r="O2371" s="16">
        <f>IF(NOT(Paths!$C$221=1),0,IF(Paths!$P$221="Complete",N2371-IF(C2371=0,Paths!$F$221,0),"n.a."))</f>
        <v>0</v>
      </c>
      <c r="P2371" s="16">
        <f>IF(NOT(Paths!$C$221=1),0,IF(Paths!$P$221="Complete",O2371+L2371,"n.a."))</f>
        <v>0</v>
      </c>
      <c r="Q2371" s="16">
        <f>IF(NOT(Paths!$C$221=1),0,IF(Paths!$P$221="Complete",N2371*(1+'Operating costs'!$B$54)^-C2371,"n.a."))</f>
        <v>0</v>
      </c>
      <c r="R2371" s="16">
        <f>IF(NOT(Paths!$C$221=1),0,IF(Paths!$P$221="Complete",IF(AND(C2371=0,Paths!$E$221=0),I2371-J2371-K2371+VLOOKUP(A2371,'Fleet register'!$A$7:$S$106,15,FALSE)+VLOOKUP(A2371,'Fleet register'!$A$7:$S$106,16,FALSE),0),"n.a."))</f>
        <v>0</v>
      </c>
      <c r="S2371" s="1">
        <f>IF(NOT(Paths!$C$221=1),0,IF(Paths!$P$221="Complete",IF(C2371=0,0,Paths!$S$221*Paths!$R$221),"n.a."))</f>
        <v>0</v>
      </c>
      <c r="T2371" s="1">
        <f>IF(NOT(Paths!$C$221=1),0,IF(Paths!$P$221="Complete",IF(C2371=0,0,VLOOKUP(A2371,'Fleet register'!$A$7:$S$106,9,FALSE)*Paths!$R$221),"n.a."))</f>
        <v>0</v>
      </c>
    </row>
    <row r="2372" spans="1:20" ht="24" customHeight="1">
      <c r="A2372" s="1" t="str">
        <f>Paths!$A$222</f>
        <v>T054</v>
      </c>
      <c r="B2372" s="1">
        <f>Paths!$B$222</f>
        <v>3</v>
      </c>
      <c r="C2372" s="1">
        <v>0</v>
      </c>
      <c r="D2372" s="1">
        <v>222</v>
      </c>
      <c r="E2372" s="1">
        <f>IF(OR(Paths!$C$222=0,C2372=0),0,MAX(0,MIN(C2372*12,Paths!$E$222)-(C2372-1)*12))</f>
        <v>0</v>
      </c>
      <c r="F2372" s="1">
        <f>IF(OR(Paths!$C$222=0,C2372=0),0,12-E2372)</f>
        <v>0</v>
      </c>
      <c r="G2372" s="16">
        <f>IF(NOT(Paths!$C$222=1),0,IF(Paths!$P$222="Complete",E2372/12*(Paths!$J$222*(1+'Operating costs'!$B$51)^MAX(0,C2372-1)+Paths!$K$222*(1+'Operating costs'!$B$53)^MAX(0,C2372-1)),"n.a."))</f>
        <v>0</v>
      </c>
      <c r="H2372" s="16">
        <f>IF(NOT(Paths!$C$222=1),0,IF(Paths!$P$222="Complete",F2372/12*(Paths!$L$222*(1+IF(Paths!$D$222="EV",'Operating costs'!$B$52,'Operating costs'!$B$51))^MAX(0,C2372-1)+Paths!$M$222*(1+'Operating costs'!$B$53)^MAX(0,C2372-1)),"n.a."))</f>
        <v>0</v>
      </c>
      <c r="I2372" s="16">
        <f>IF(NOT(Paths!$C$222=1),0,IF(Paths!$P$222="Complete",IF(IF(Paths!$E$222=0,C2372=0,AND(C2372&gt;0,Paths!$E$222&gt;(C2372-1)*12,Paths!$E$222&lt;=C2372*12)),Paths!$G$222,0),"n.a."))</f>
        <v>0</v>
      </c>
      <c r="J2372" s="16">
        <f>IF(NOT(Paths!$C$222=1),0,IF(Paths!$P$222="Complete",IF(IF(Paths!$E$222=0,C2372=0,AND(C2372&gt;0,Paths!$E$222&gt;(C2372-1)*12,Paths!$E$222&lt;=C2372*12)),Paths!$H$222,0),"n.a."))</f>
        <v>0</v>
      </c>
      <c r="K2372" s="16">
        <f>IF(NOT(Paths!$C$222=1),0,IF(Paths!$P$222="Complete",IF(IF(Paths!$O$222=0,C2372=0,AND(C2372&gt;0,Paths!$O$222&gt;(C2372-1)*12,Paths!$O$222&lt;=C2372*12)),Paths!$N$222,0),"n.a."))</f>
        <v>0</v>
      </c>
      <c r="L2372" s="16">
        <f>IF(NOT(Paths!$C$222=1),0,IF(Paths!$P$222="Complete",IF(C2372=10,Paths!$I$222,0),"n.a."))</f>
        <v>0</v>
      </c>
      <c r="M2372" s="16">
        <f>IF(NOT(Paths!$C$222=1),0,IF(Paths!$P$222="Complete",IF(AND(Paths!$D$222="EV",Paths!$E$222&lt;120,Paths!$E$222+'Operating costs'!$B$65&gt;Paths!$E$222,Paths!$E$222+'Operating costs'!$B$65&lt;=120,IF(Paths!$E$222+'Operating costs'!$B$65=0,C2372=0,AND(C2372&gt;0,Paths!$E$222+'Operating costs'!$B$65&gt;(C2372-1)*12,Paths!$E$222+'Operating costs'!$B$65&lt;=C2372*12))),'Operating costs'!$B$64,0)+IF(AND('Operating costs'!$B$67&gt;0,'Operating costs'!$B$67&lt;=120,OR(Paths!$D$222="ICE",'Operating costs'!$B$67&lt;=Paths!$E$222),IF('Operating costs'!$B$67=0,C2372=0,AND(C2372&gt;0,'Operating costs'!$B$67&gt;(C2372-1)*12,'Operating costs'!$B$67&lt;=C2372*12))),'Operating costs'!$B$66,0),"n.a."))</f>
        <v>0</v>
      </c>
      <c r="N2372" s="16">
        <f>IF(NOT(Paths!$C$222=1),0,IF(Paths!$P$222="Complete",SUM(G2372:I2372)-J2372-K2372-L2372+M2372+IF(C2372=0,Paths!$F$222,0)+IF(IF(Paths!$E$222=0,C2372=0,AND(C2372&gt;0,Paths!$E$222&gt;(C2372-1)*12,Paths!$E$222&lt;=C2372*12)),VLOOKUP(A2372,'Fleet register'!$A$7:$S$106,16,FALSE),0),"n.a."))</f>
        <v>0</v>
      </c>
      <c r="O2372" s="16">
        <f>IF(NOT(Paths!$C$222=1),0,IF(Paths!$P$222="Complete",N2372-IF(C2372=0,Paths!$F$222,0),"n.a."))</f>
        <v>0</v>
      </c>
      <c r="P2372" s="16">
        <f>IF(NOT(Paths!$C$222=1),0,IF(Paths!$P$222="Complete",O2372+L2372,"n.a."))</f>
        <v>0</v>
      </c>
      <c r="Q2372" s="16">
        <f>IF(NOT(Paths!$C$222=1),0,IF(Paths!$P$222="Complete",N2372*(1+'Operating costs'!$B$54)^-C2372,"n.a."))</f>
        <v>0</v>
      </c>
      <c r="R2372" s="16">
        <f>IF(NOT(Paths!$C$222=1),0,IF(Paths!$P$222="Complete",IF(AND(C2372=0,Paths!$E$222=0),I2372-J2372-K2372+VLOOKUP(A2372,'Fleet register'!$A$7:$S$106,15,FALSE)+VLOOKUP(A2372,'Fleet register'!$A$7:$S$106,16,FALSE),0),"n.a."))</f>
        <v>0</v>
      </c>
      <c r="S2372" s="1">
        <f>IF(NOT(Paths!$C$222=1),0,IF(Paths!$P$222="Complete",IF(C2372=0,0,Paths!$S$222*Paths!$R$222),"n.a."))</f>
        <v>0</v>
      </c>
      <c r="T2372" s="1">
        <f>IF(NOT(Paths!$C$222=1),0,IF(Paths!$P$222="Complete",IF(C2372=0,0,VLOOKUP(A2372,'Fleet register'!$A$7:$S$106,9,FALSE)*Paths!$R$222),"n.a."))</f>
        <v>0</v>
      </c>
    </row>
    <row r="2373" spans="1:20" ht="24" customHeight="1">
      <c r="A2373" s="1" t="str">
        <f>Paths!$A$222</f>
        <v>T054</v>
      </c>
      <c r="B2373" s="1">
        <f>Paths!$B$222</f>
        <v>3</v>
      </c>
      <c r="C2373" s="1">
        <v>1</v>
      </c>
      <c r="D2373" s="1">
        <v>222</v>
      </c>
      <c r="E2373" s="1">
        <f>IF(OR(Paths!$C$222=0,C2373=0),0,MAX(0,MIN(C2373*12,Paths!$E$222)-(C2373-1)*12))</f>
        <v>0</v>
      </c>
      <c r="F2373" s="1">
        <f>IF(OR(Paths!$C$222=0,C2373=0),0,12-E2373)</f>
        <v>0</v>
      </c>
      <c r="G2373" s="16">
        <f>IF(NOT(Paths!$C$222=1),0,IF(Paths!$P$222="Complete",E2373/12*(Paths!$J$222*(1+'Operating costs'!$B$51)^MAX(0,C2373-1)+Paths!$K$222*(1+'Operating costs'!$B$53)^MAX(0,C2373-1)),"n.a."))</f>
        <v>0</v>
      </c>
      <c r="H2373" s="16">
        <f>IF(NOT(Paths!$C$222=1),0,IF(Paths!$P$222="Complete",F2373/12*(Paths!$L$222*(1+IF(Paths!$D$222="EV",'Operating costs'!$B$52,'Operating costs'!$B$51))^MAX(0,C2373-1)+Paths!$M$222*(1+'Operating costs'!$B$53)^MAX(0,C2373-1)),"n.a."))</f>
        <v>0</v>
      </c>
      <c r="I2373" s="16">
        <f>IF(NOT(Paths!$C$222=1),0,IF(Paths!$P$222="Complete",IF(IF(Paths!$E$222=0,C2373=0,AND(C2373&gt;0,Paths!$E$222&gt;(C2373-1)*12,Paths!$E$222&lt;=C2373*12)),Paths!$G$222,0),"n.a."))</f>
        <v>0</v>
      </c>
      <c r="J2373" s="16">
        <f>IF(NOT(Paths!$C$222=1),0,IF(Paths!$P$222="Complete",IF(IF(Paths!$E$222=0,C2373=0,AND(C2373&gt;0,Paths!$E$222&gt;(C2373-1)*12,Paths!$E$222&lt;=C2373*12)),Paths!$H$222,0),"n.a."))</f>
        <v>0</v>
      </c>
      <c r="K2373" s="16">
        <f>IF(NOT(Paths!$C$222=1),0,IF(Paths!$P$222="Complete",IF(IF(Paths!$O$222=0,C2373=0,AND(C2373&gt;0,Paths!$O$222&gt;(C2373-1)*12,Paths!$O$222&lt;=C2373*12)),Paths!$N$222,0),"n.a."))</f>
        <v>0</v>
      </c>
      <c r="L2373" s="16">
        <f>IF(NOT(Paths!$C$222=1),0,IF(Paths!$P$222="Complete",IF(C2373=10,Paths!$I$222,0),"n.a."))</f>
        <v>0</v>
      </c>
      <c r="M2373" s="16">
        <f>IF(NOT(Paths!$C$222=1),0,IF(Paths!$P$222="Complete",IF(AND(Paths!$D$222="EV",Paths!$E$222&lt;120,Paths!$E$222+'Operating costs'!$B$65&gt;Paths!$E$222,Paths!$E$222+'Operating costs'!$B$65&lt;=120,IF(Paths!$E$222+'Operating costs'!$B$65=0,C2373=0,AND(C2373&gt;0,Paths!$E$222+'Operating costs'!$B$65&gt;(C2373-1)*12,Paths!$E$222+'Operating costs'!$B$65&lt;=C2373*12))),'Operating costs'!$B$64,0)+IF(AND('Operating costs'!$B$67&gt;0,'Operating costs'!$B$67&lt;=120,OR(Paths!$D$222="ICE",'Operating costs'!$B$67&lt;=Paths!$E$222),IF('Operating costs'!$B$67=0,C2373=0,AND(C2373&gt;0,'Operating costs'!$B$67&gt;(C2373-1)*12,'Operating costs'!$B$67&lt;=C2373*12))),'Operating costs'!$B$66,0),"n.a."))</f>
        <v>0</v>
      </c>
      <c r="N2373" s="16">
        <f>IF(NOT(Paths!$C$222=1),0,IF(Paths!$P$222="Complete",SUM(G2373:I2373)-J2373-K2373-L2373+M2373+IF(C2373=0,Paths!$F$222,0)+IF(IF(Paths!$E$222=0,C2373=0,AND(C2373&gt;0,Paths!$E$222&gt;(C2373-1)*12,Paths!$E$222&lt;=C2373*12)),VLOOKUP(A2373,'Fleet register'!$A$7:$S$106,16,FALSE),0),"n.a."))</f>
        <v>0</v>
      </c>
      <c r="O2373" s="16">
        <f>IF(NOT(Paths!$C$222=1),0,IF(Paths!$P$222="Complete",N2373-IF(C2373=0,Paths!$F$222,0),"n.a."))</f>
        <v>0</v>
      </c>
      <c r="P2373" s="16">
        <f>IF(NOT(Paths!$C$222=1),0,IF(Paths!$P$222="Complete",O2373+L2373,"n.a."))</f>
        <v>0</v>
      </c>
      <c r="Q2373" s="16">
        <f>IF(NOT(Paths!$C$222=1),0,IF(Paths!$P$222="Complete",N2373*(1+'Operating costs'!$B$54)^-C2373,"n.a."))</f>
        <v>0</v>
      </c>
      <c r="R2373" s="16">
        <f>IF(NOT(Paths!$C$222=1),0,IF(Paths!$P$222="Complete",IF(AND(C2373=0,Paths!$E$222=0),I2373-J2373-K2373+VLOOKUP(A2373,'Fleet register'!$A$7:$S$106,15,FALSE)+VLOOKUP(A2373,'Fleet register'!$A$7:$S$106,16,FALSE),0),"n.a."))</f>
        <v>0</v>
      </c>
      <c r="S2373" s="1">
        <f>IF(NOT(Paths!$C$222=1),0,IF(Paths!$P$222="Complete",IF(C2373=0,0,Paths!$S$222*Paths!$R$222),"n.a."))</f>
        <v>0</v>
      </c>
      <c r="T2373" s="1">
        <f>IF(NOT(Paths!$C$222=1),0,IF(Paths!$P$222="Complete",IF(C2373=0,0,VLOOKUP(A2373,'Fleet register'!$A$7:$S$106,9,FALSE)*Paths!$R$222),"n.a."))</f>
        <v>0</v>
      </c>
    </row>
    <row r="2374" spans="1:20" ht="24" customHeight="1">
      <c r="A2374" s="1" t="str">
        <f>Paths!$A$222</f>
        <v>T054</v>
      </c>
      <c r="B2374" s="1">
        <f>Paths!$B$222</f>
        <v>3</v>
      </c>
      <c r="C2374" s="1">
        <v>2</v>
      </c>
      <c r="D2374" s="1">
        <v>222</v>
      </c>
      <c r="E2374" s="1">
        <f>IF(OR(Paths!$C$222=0,C2374=0),0,MAX(0,MIN(C2374*12,Paths!$E$222)-(C2374-1)*12))</f>
        <v>0</v>
      </c>
      <c r="F2374" s="1">
        <f>IF(OR(Paths!$C$222=0,C2374=0),0,12-E2374)</f>
        <v>0</v>
      </c>
      <c r="G2374" s="16">
        <f>IF(NOT(Paths!$C$222=1),0,IF(Paths!$P$222="Complete",E2374/12*(Paths!$J$222*(1+'Operating costs'!$B$51)^MAX(0,C2374-1)+Paths!$K$222*(1+'Operating costs'!$B$53)^MAX(0,C2374-1)),"n.a."))</f>
        <v>0</v>
      </c>
      <c r="H2374" s="16">
        <f>IF(NOT(Paths!$C$222=1),0,IF(Paths!$P$222="Complete",F2374/12*(Paths!$L$222*(1+IF(Paths!$D$222="EV",'Operating costs'!$B$52,'Operating costs'!$B$51))^MAX(0,C2374-1)+Paths!$M$222*(1+'Operating costs'!$B$53)^MAX(0,C2374-1)),"n.a."))</f>
        <v>0</v>
      </c>
      <c r="I2374" s="16">
        <f>IF(NOT(Paths!$C$222=1),0,IF(Paths!$P$222="Complete",IF(IF(Paths!$E$222=0,C2374=0,AND(C2374&gt;0,Paths!$E$222&gt;(C2374-1)*12,Paths!$E$222&lt;=C2374*12)),Paths!$G$222,0),"n.a."))</f>
        <v>0</v>
      </c>
      <c r="J2374" s="16">
        <f>IF(NOT(Paths!$C$222=1),0,IF(Paths!$P$222="Complete",IF(IF(Paths!$E$222=0,C2374=0,AND(C2374&gt;0,Paths!$E$222&gt;(C2374-1)*12,Paths!$E$222&lt;=C2374*12)),Paths!$H$222,0),"n.a."))</f>
        <v>0</v>
      </c>
      <c r="K2374" s="16">
        <f>IF(NOT(Paths!$C$222=1),0,IF(Paths!$P$222="Complete",IF(IF(Paths!$O$222=0,C2374=0,AND(C2374&gt;0,Paths!$O$222&gt;(C2374-1)*12,Paths!$O$222&lt;=C2374*12)),Paths!$N$222,0),"n.a."))</f>
        <v>0</v>
      </c>
      <c r="L2374" s="16">
        <f>IF(NOT(Paths!$C$222=1),0,IF(Paths!$P$222="Complete",IF(C2374=10,Paths!$I$222,0),"n.a."))</f>
        <v>0</v>
      </c>
      <c r="M2374" s="16">
        <f>IF(NOT(Paths!$C$222=1),0,IF(Paths!$P$222="Complete",IF(AND(Paths!$D$222="EV",Paths!$E$222&lt;120,Paths!$E$222+'Operating costs'!$B$65&gt;Paths!$E$222,Paths!$E$222+'Operating costs'!$B$65&lt;=120,IF(Paths!$E$222+'Operating costs'!$B$65=0,C2374=0,AND(C2374&gt;0,Paths!$E$222+'Operating costs'!$B$65&gt;(C2374-1)*12,Paths!$E$222+'Operating costs'!$B$65&lt;=C2374*12))),'Operating costs'!$B$64,0)+IF(AND('Operating costs'!$B$67&gt;0,'Operating costs'!$B$67&lt;=120,OR(Paths!$D$222="ICE",'Operating costs'!$B$67&lt;=Paths!$E$222),IF('Operating costs'!$B$67=0,C2374=0,AND(C2374&gt;0,'Operating costs'!$B$67&gt;(C2374-1)*12,'Operating costs'!$B$67&lt;=C2374*12))),'Operating costs'!$B$66,0),"n.a."))</f>
        <v>0</v>
      </c>
      <c r="N2374" s="16">
        <f>IF(NOT(Paths!$C$222=1),0,IF(Paths!$P$222="Complete",SUM(G2374:I2374)-J2374-K2374-L2374+M2374+IF(C2374=0,Paths!$F$222,0)+IF(IF(Paths!$E$222=0,C2374=0,AND(C2374&gt;0,Paths!$E$222&gt;(C2374-1)*12,Paths!$E$222&lt;=C2374*12)),VLOOKUP(A2374,'Fleet register'!$A$7:$S$106,16,FALSE),0),"n.a."))</f>
        <v>0</v>
      </c>
      <c r="O2374" s="16">
        <f>IF(NOT(Paths!$C$222=1),0,IF(Paths!$P$222="Complete",N2374-IF(C2374=0,Paths!$F$222,0),"n.a."))</f>
        <v>0</v>
      </c>
      <c r="P2374" s="16">
        <f>IF(NOT(Paths!$C$222=1),0,IF(Paths!$P$222="Complete",O2374+L2374,"n.a."))</f>
        <v>0</v>
      </c>
      <c r="Q2374" s="16">
        <f>IF(NOT(Paths!$C$222=1),0,IF(Paths!$P$222="Complete",N2374*(1+'Operating costs'!$B$54)^-C2374,"n.a."))</f>
        <v>0</v>
      </c>
      <c r="R2374" s="16">
        <f>IF(NOT(Paths!$C$222=1),0,IF(Paths!$P$222="Complete",IF(AND(C2374=0,Paths!$E$222=0),I2374-J2374-K2374+VLOOKUP(A2374,'Fleet register'!$A$7:$S$106,15,FALSE)+VLOOKUP(A2374,'Fleet register'!$A$7:$S$106,16,FALSE),0),"n.a."))</f>
        <v>0</v>
      </c>
      <c r="S2374" s="1">
        <f>IF(NOT(Paths!$C$222=1),0,IF(Paths!$P$222="Complete",IF(C2374=0,0,Paths!$S$222*Paths!$R$222),"n.a."))</f>
        <v>0</v>
      </c>
      <c r="T2374" s="1">
        <f>IF(NOT(Paths!$C$222=1),0,IF(Paths!$P$222="Complete",IF(C2374=0,0,VLOOKUP(A2374,'Fleet register'!$A$7:$S$106,9,FALSE)*Paths!$R$222),"n.a."))</f>
        <v>0</v>
      </c>
    </row>
    <row r="2375" spans="1:20" ht="24" customHeight="1">
      <c r="A2375" s="1" t="str">
        <f>Paths!$A$222</f>
        <v>T054</v>
      </c>
      <c r="B2375" s="1">
        <f>Paths!$B$222</f>
        <v>3</v>
      </c>
      <c r="C2375" s="1">
        <v>3</v>
      </c>
      <c r="D2375" s="1">
        <v>222</v>
      </c>
      <c r="E2375" s="1">
        <f>IF(OR(Paths!$C$222=0,C2375=0),0,MAX(0,MIN(C2375*12,Paths!$E$222)-(C2375-1)*12))</f>
        <v>0</v>
      </c>
      <c r="F2375" s="1">
        <f>IF(OR(Paths!$C$222=0,C2375=0),0,12-E2375)</f>
        <v>0</v>
      </c>
      <c r="G2375" s="16">
        <f>IF(NOT(Paths!$C$222=1),0,IF(Paths!$P$222="Complete",E2375/12*(Paths!$J$222*(1+'Operating costs'!$B$51)^MAX(0,C2375-1)+Paths!$K$222*(1+'Operating costs'!$B$53)^MAX(0,C2375-1)),"n.a."))</f>
        <v>0</v>
      </c>
      <c r="H2375" s="16">
        <f>IF(NOT(Paths!$C$222=1),0,IF(Paths!$P$222="Complete",F2375/12*(Paths!$L$222*(1+IF(Paths!$D$222="EV",'Operating costs'!$B$52,'Operating costs'!$B$51))^MAX(0,C2375-1)+Paths!$M$222*(1+'Operating costs'!$B$53)^MAX(0,C2375-1)),"n.a."))</f>
        <v>0</v>
      </c>
      <c r="I2375" s="16">
        <f>IF(NOT(Paths!$C$222=1),0,IF(Paths!$P$222="Complete",IF(IF(Paths!$E$222=0,C2375=0,AND(C2375&gt;0,Paths!$E$222&gt;(C2375-1)*12,Paths!$E$222&lt;=C2375*12)),Paths!$G$222,0),"n.a."))</f>
        <v>0</v>
      </c>
      <c r="J2375" s="16">
        <f>IF(NOT(Paths!$C$222=1),0,IF(Paths!$P$222="Complete",IF(IF(Paths!$E$222=0,C2375=0,AND(C2375&gt;0,Paths!$E$222&gt;(C2375-1)*12,Paths!$E$222&lt;=C2375*12)),Paths!$H$222,0),"n.a."))</f>
        <v>0</v>
      </c>
      <c r="K2375" s="16">
        <f>IF(NOT(Paths!$C$222=1),0,IF(Paths!$P$222="Complete",IF(IF(Paths!$O$222=0,C2375=0,AND(C2375&gt;0,Paths!$O$222&gt;(C2375-1)*12,Paths!$O$222&lt;=C2375*12)),Paths!$N$222,0),"n.a."))</f>
        <v>0</v>
      </c>
      <c r="L2375" s="16">
        <f>IF(NOT(Paths!$C$222=1),0,IF(Paths!$P$222="Complete",IF(C2375=10,Paths!$I$222,0),"n.a."))</f>
        <v>0</v>
      </c>
      <c r="M2375" s="16">
        <f>IF(NOT(Paths!$C$222=1),0,IF(Paths!$P$222="Complete",IF(AND(Paths!$D$222="EV",Paths!$E$222&lt;120,Paths!$E$222+'Operating costs'!$B$65&gt;Paths!$E$222,Paths!$E$222+'Operating costs'!$B$65&lt;=120,IF(Paths!$E$222+'Operating costs'!$B$65=0,C2375=0,AND(C2375&gt;0,Paths!$E$222+'Operating costs'!$B$65&gt;(C2375-1)*12,Paths!$E$222+'Operating costs'!$B$65&lt;=C2375*12))),'Operating costs'!$B$64,0)+IF(AND('Operating costs'!$B$67&gt;0,'Operating costs'!$B$67&lt;=120,OR(Paths!$D$222="ICE",'Operating costs'!$B$67&lt;=Paths!$E$222),IF('Operating costs'!$B$67=0,C2375=0,AND(C2375&gt;0,'Operating costs'!$B$67&gt;(C2375-1)*12,'Operating costs'!$B$67&lt;=C2375*12))),'Operating costs'!$B$66,0),"n.a."))</f>
        <v>0</v>
      </c>
      <c r="N2375" s="16">
        <f>IF(NOT(Paths!$C$222=1),0,IF(Paths!$P$222="Complete",SUM(G2375:I2375)-J2375-K2375-L2375+M2375+IF(C2375=0,Paths!$F$222,0)+IF(IF(Paths!$E$222=0,C2375=0,AND(C2375&gt;0,Paths!$E$222&gt;(C2375-1)*12,Paths!$E$222&lt;=C2375*12)),VLOOKUP(A2375,'Fleet register'!$A$7:$S$106,16,FALSE),0),"n.a."))</f>
        <v>0</v>
      </c>
      <c r="O2375" s="16">
        <f>IF(NOT(Paths!$C$222=1),0,IF(Paths!$P$222="Complete",N2375-IF(C2375=0,Paths!$F$222,0),"n.a."))</f>
        <v>0</v>
      </c>
      <c r="P2375" s="16">
        <f>IF(NOT(Paths!$C$222=1),0,IF(Paths!$P$222="Complete",O2375+L2375,"n.a."))</f>
        <v>0</v>
      </c>
      <c r="Q2375" s="16">
        <f>IF(NOT(Paths!$C$222=1),0,IF(Paths!$P$222="Complete",N2375*(1+'Operating costs'!$B$54)^-C2375,"n.a."))</f>
        <v>0</v>
      </c>
      <c r="R2375" s="16">
        <f>IF(NOT(Paths!$C$222=1),0,IF(Paths!$P$222="Complete",IF(AND(C2375=0,Paths!$E$222=0),I2375-J2375-K2375+VLOOKUP(A2375,'Fleet register'!$A$7:$S$106,15,FALSE)+VLOOKUP(A2375,'Fleet register'!$A$7:$S$106,16,FALSE),0),"n.a."))</f>
        <v>0</v>
      </c>
      <c r="S2375" s="1">
        <f>IF(NOT(Paths!$C$222=1),0,IF(Paths!$P$222="Complete",IF(C2375=0,0,Paths!$S$222*Paths!$R$222),"n.a."))</f>
        <v>0</v>
      </c>
      <c r="T2375" s="1">
        <f>IF(NOT(Paths!$C$222=1),0,IF(Paths!$P$222="Complete",IF(C2375=0,0,VLOOKUP(A2375,'Fleet register'!$A$7:$S$106,9,FALSE)*Paths!$R$222),"n.a."))</f>
        <v>0</v>
      </c>
    </row>
    <row r="2376" spans="1:20" ht="24" customHeight="1">
      <c r="A2376" s="1" t="str">
        <f>Paths!$A$222</f>
        <v>T054</v>
      </c>
      <c r="B2376" s="1">
        <f>Paths!$B$222</f>
        <v>3</v>
      </c>
      <c r="C2376" s="1">
        <v>4</v>
      </c>
      <c r="D2376" s="1">
        <v>222</v>
      </c>
      <c r="E2376" s="1">
        <f>IF(OR(Paths!$C$222=0,C2376=0),0,MAX(0,MIN(C2376*12,Paths!$E$222)-(C2376-1)*12))</f>
        <v>0</v>
      </c>
      <c r="F2376" s="1">
        <f>IF(OR(Paths!$C$222=0,C2376=0),0,12-E2376)</f>
        <v>0</v>
      </c>
      <c r="G2376" s="16">
        <f>IF(NOT(Paths!$C$222=1),0,IF(Paths!$P$222="Complete",E2376/12*(Paths!$J$222*(1+'Operating costs'!$B$51)^MAX(0,C2376-1)+Paths!$K$222*(1+'Operating costs'!$B$53)^MAX(0,C2376-1)),"n.a."))</f>
        <v>0</v>
      </c>
      <c r="H2376" s="16">
        <f>IF(NOT(Paths!$C$222=1),0,IF(Paths!$P$222="Complete",F2376/12*(Paths!$L$222*(1+IF(Paths!$D$222="EV",'Operating costs'!$B$52,'Operating costs'!$B$51))^MAX(0,C2376-1)+Paths!$M$222*(1+'Operating costs'!$B$53)^MAX(0,C2376-1)),"n.a."))</f>
        <v>0</v>
      </c>
      <c r="I2376" s="16">
        <f>IF(NOT(Paths!$C$222=1),0,IF(Paths!$P$222="Complete",IF(IF(Paths!$E$222=0,C2376=0,AND(C2376&gt;0,Paths!$E$222&gt;(C2376-1)*12,Paths!$E$222&lt;=C2376*12)),Paths!$G$222,0),"n.a."))</f>
        <v>0</v>
      </c>
      <c r="J2376" s="16">
        <f>IF(NOT(Paths!$C$222=1),0,IF(Paths!$P$222="Complete",IF(IF(Paths!$E$222=0,C2376=0,AND(C2376&gt;0,Paths!$E$222&gt;(C2376-1)*12,Paths!$E$222&lt;=C2376*12)),Paths!$H$222,0),"n.a."))</f>
        <v>0</v>
      </c>
      <c r="K2376" s="16">
        <f>IF(NOT(Paths!$C$222=1),0,IF(Paths!$P$222="Complete",IF(IF(Paths!$O$222=0,C2376=0,AND(C2376&gt;0,Paths!$O$222&gt;(C2376-1)*12,Paths!$O$222&lt;=C2376*12)),Paths!$N$222,0),"n.a."))</f>
        <v>0</v>
      </c>
      <c r="L2376" s="16">
        <f>IF(NOT(Paths!$C$222=1),0,IF(Paths!$P$222="Complete",IF(C2376=10,Paths!$I$222,0),"n.a."))</f>
        <v>0</v>
      </c>
      <c r="M2376" s="16">
        <f>IF(NOT(Paths!$C$222=1),0,IF(Paths!$P$222="Complete",IF(AND(Paths!$D$222="EV",Paths!$E$222&lt;120,Paths!$E$222+'Operating costs'!$B$65&gt;Paths!$E$222,Paths!$E$222+'Operating costs'!$B$65&lt;=120,IF(Paths!$E$222+'Operating costs'!$B$65=0,C2376=0,AND(C2376&gt;0,Paths!$E$222+'Operating costs'!$B$65&gt;(C2376-1)*12,Paths!$E$222+'Operating costs'!$B$65&lt;=C2376*12))),'Operating costs'!$B$64,0)+IF(AND('Operating costs'!$B$67&gt;0,'Operating costs'!$B$67&lt;=120,OR(Paths!$D$222="ICE",'Operating costs'!$B$67&lt;=Paths!$E$222),IF('Operating costs'!$B$67=0,C2376=0,AND(C2376&gt;0,'Operating costs'!$B$67&gt;(C2376-1)*12,'Operating costs'!$B$67&lt;=C2376*12))),'Operating costs'!$B$66,0),"n.a."))</f>
        <v>0</v>
      </c>
      <c r="N2376" s="16">
        <f>IF(NOT(Paths!$C$222=1),0,IF(Paths!$P$222="Complete",SUM(G2376:I2376)-J2376-K2376-L2376+M2376+IF(C2376=0,Paths!$F$222,0)+IF(IF(Paths!$E$222=0,C2376=0,AND(C2376&gt;0,Paths!$E$222&gt;(C2376-1)*12,Paths!$E$222&lt;=C2376*12)),VLOOKUP(A2376,'Fleet register'!$A$7:$S$106,16,FALSE),0),"n.a."))</f>
        <v>0</v>
      </c>
      <c r="O2376" s="16">
        <f>IF(NOT(Paths!$C$222=1),0,IF(Paths!$P$222="Complete",N2376-IF(C2376=0,Paths!$F$222,0),"n.a."))</f>
        <v>0</v>
      </c>
      <c r="P2376" s="16">
        <f>IF(NOT(Paths!$C$222=1),0,IF(Paths!$P$222="Complete",O2376+L2376,"n.a."))</f>
        <v>0</v>
      </c>
      <c r="Q2376" s="16">
        <f>IF(NOT(Paths!$C$222=1),0,IF(Paths!$P$222="Complete",N2376*(1+'Operating costs'!$B$54)^-C2376,"n.a."))</f>
        <v>0</v>
      </c>
      <c r="R2376" s="16">
        <f>IF(NOT(Paths!$C$222=1),0,IF(Paths!$P$222="Complete",IF(AND(C2376=0,Paths!$E$222=0),I2376-J2376-K2376+VLOOKUP(A2376,'Fleet register'!$A$7:$S$106,15,FALSE)+VLOOKUP(A2376,'Fleet register'!$A$7:$S$106,16,FALSE),0),"n.a."))</f>
        <v>0</v>
      </c>
      <c r="S2376" s="1">
        <f>IF(NOT(Paths!$C$222=1),0,IF(Paths!$P$222="Complete",IF(C2376=0,0,Paths!$S$222*Paths!$R$222),"n.a."))</f>
        <v>0</v>
      </c>
      <c r="T2376" s="1">
        <f>IF(NOT(Paths!$C$222=1),0,IF(Paths!$P$222="Complete",IF(C2376=0,0,VLOOKUP(A2376,'Fleet register'!$A$7:$S$106,9,FALSE)*Paths!$R$222),"n.a."))</f>
        <v>0</v>
      </c>
    </row>
    <row r="2377" spans="1:20" ht="24" customHeight="1">
      <c r="A2377" s="1" t="str">
        <f>Paths!$A$222</f>
        <v>T054</v>
      </c>
      <c r="B2377" s="1">
        <f>Paths!$B$222</f>
        <v>3</v>
      </c>
      <c r="C2377" s="1">
        <v>5</v>
      </c>
      <c r="D2377" s="1">
        <v>222</v>
      </c>
      <c r="E2377" s="1">
        <f>IF(OR(Paths!$C$222=0,C2377=0),0,MAX(0,MIN(C2377*12,Paths!$E$222)-(C2377-1)*12))</f>
        <v>0</v>
      </c>
      <c r="F2377" s="1">
        <f>IF(OR(Paths!$C$222=0,C2377=0),0,12-E2377)</f>
        <v>0</v>
      </c>
      <c r="G2377" s="16">
        <f>IF(NOT(Paths!$C$222=1),0,IF(Paths!$P$222="Complete",E2377/12*(Paths!$J$222*(1+'Operating costs'!$B$51)^MAX(0,C2377-1)+Paths!$K$222*(1+'Operating costs'!$B$53)^MAX(0,C2377-1)),"n.a."))</f>
        <v>0</v>
      </c>
      <c r="H2377" s="16">
        <f>IF(NOT(Paths!$C$222=1),0,IF(Paths!$P$222="Complete",F2377/12*(Paths!$L$222*(1+IF(Paths!$D$222="EV",'Operating costs'!$B$52,'Operating costs'!$B$51))^MAX(0,C2377-1)+Paths!$M$222*(1+'Operating costs'!$B$53)^MAX(0,C2377-1)),"n.a."))</f>
        <v>0</v>
      </c>
      <c r="I2377" s="16">
        <f>IF(NOT(Paths!$C$222=1),0,IF(Paths!$P$222="Complete",IF(IF(Paths!$E$222=0,C2377=0,AND(C2377&gt;0,Paths!$E$222&gt;(C2377-1)*12,Paths!$E$222&lt;=C2377*12)),Paths!$G$222,0),"n.a."))</f>
        <v>0</v>
      </c>
      <c r="J2377" s="16">
        <f>IF(NOT(Paths!$C$222=1),0,IF(Paths!$P$222="Complete",IF(IF(Paths!$E$222=0,C2377=0,AND(C2377&gt;0,Paths!$E$222&gt;(C2377-1)*12,Paths!$E$222&lt;=C2377*12)),Paths!$H$222,0),"n.a."))</f>
        <v>0</v>
      </c>
      <c r="K2377" s="16">
        <f>IF(NOT(Paths!$C$222=1),0,IF(Paths!$P$222="Complete",IF(IF(Paths!$O$222=0,C2377=0,AND(C2377&gt;0,Paths!$O$222&gt;(C2377-1)*12,Paths!$O$222&lt;=C2377*12)),Paths!$N$222,0),"n.a."))</f>
        <v>0</v>
      </c>
      <c r="L2377" s="16">
        <f>IF(NOT(Paths!$C$222=1),0,IF(Paths!$P$222="Complete",IF(C2377=10,Paths!$I$222,0),"n.a."))</f>
        <v>0</v>
      </c>
      <c r="M2377" s="16">
        <f>IF(NOT(Paths!$C$222=1),0,IF(Paths!$P$222="Complete",IF(AND(Paths!$D$222="EV",Paths!$E$222&lt;120,Paths!$E$222+'Operating costs'!$B$65&gt;Paths!$E$222,Paths!$E$222+'Operating costs'!$B$65&lt;=120,IF(Paths!$E$222+'Operating costs'!$B$65=0,C2377=0,AND(C2377&gt;0,Paths!$E$222+'Operating costs'!$B$65&gt;(C2377-1)*12,Paths!$E$222+'Operating costs'!$B$65&lt;=C2377*12))),'Operating costs'!$B$64,0)+IF(AND('Operating costs'!$B$67&gt;0,'Operating costs'!$B$67&lt;=120,OR(Paths!$D$222="ICE",'Operating costs'!$B$67&lt;=Paths!$E$222),IF('Operating costs'!$B$67=0,C2377=0,AND(C2377&gt;0,'Operating costs'!$B$67&gt;(C2377-1)*12,'Operating costs'!$B$67&lt;=C2377*12))),'Operating costs'!$B$66,0),"n.a."))</f>
        <v>0</v>
      </c>
      <c r="N2377" s="16">
        <f>IF(NOT(Paths!$C$222=1),0,IF(Paths!$P$222="Complete",SUM(G2377:I2377)-J2377-K2377-L2377+M2377+IF(C2377=0,Paths!$F$222,0)+IF(IF(Paths!$E$222=0,C2377=0,AND(C2377&gt;0,Paths!$E$222&gt;(C2377-1)*12,Paths!$E$222&lt;=C2377*12)),VLOOKUP(A2377,'Fleet register'!$A$7:$S$106,16,FALSE),0),"n.a."))</f>
        <v>0</v>
      </c>
      <c r="O2377" s="16">
        <f>IF(NOT(Paths!$C$222=1),0,IF(Paths!$P$222="Complete",N2377-IF(C2377=0,Paths!$F$222,0),"n.a."))</f>
        <v>0</v>
      </c>
      <c r="P2377" s="16">
        <f>IF(NOT(Paths!$C$222=1),0,IF(Paths!$P$222="Complete",O2377+L2377,"n.a."))</f>
        <v>0</v>
      </c>
      <c r="Q2377" s="16">
        <f>IF(NOT(Paths!$C$222=1),0,IF(Paths!$P$222="Complete",N2377*(1+'Operating costs'!$B$54)^-C2377,"n.a."))</f>
        <v>0</v>
      </c>
      <c r="R2377" s="16">
        <f>IF(NOT(Paths!$C$222=1),0,IF(Paths!$P$222="Complete",IF(AND(C2377=0,Paths!$E$222=0),I2377-J2377-K2377+VLOOKUP(A2377,'Fleet register'!$A$7:$S$106,15,FALSE)+VLOOKUP(A2377,'Fleet register'!$A$7:$S$106,16,FALSE),0),"n.a."))</f>
        <v>0</v>
      </c>
      <c r="S2377" s="1">
        <f>IF(NOT(Paths!$C$222=1),0,IF(Paths!$P$222="Complete",IF(C2377=0,0,Paths!$S$222*Paths!$R$222),"n.a."))</f>
        <v>0</v>
      </c>
      <c r="T2377" s="1">
        <f>IF(NOT(Paths!$C$222=1),0,IF(Paths!$P$222="Complete",IF(C2377=0,0,VLOOKUP(A2377,'Fleet register'!$A$7:$S$106,9,FALSE)*Paths!$R$222),"n.a."))</f>
        <v>0</v>
      </c>
    </row>
    <row r="2378" spans="1:20" ht="24" customHeight="1">
      <c r="A2378" s="1" t="str">
        <f>Paths!$A$222</f>
        <v>T054</v>
      </c>
      <c r="B2378" s="1">
        <f>Paths!$B$222</f>
        <v>3</v>
      </c>
      <c r="C2378" s="1">
        <v>6</v>
      </c>
      <c r="D2378" s="1">
        <v>222</v>
      </c>
      <c r="E2378" s="1">
        <f>IF(OR(Paths!$C$222=0,C2378=0),0,MAX(0,MIN(C2378*12,Paths!$E$222)-(C2378-1)*12))</f>
        <v>0</v>
      </c>
      <c r="F2378" s="1">
        <f>IF(OR(Paths!$C$222=0,C2378=0),0,12-E2378)</f>
        <v>0</v>
      </c>
      <c r="G2378" s="16">
        <f>IF(NOT(Paths!$C$222=1),0,IF(Paths!$P$222="Complete",E2378/12*(Paths!$J$222*(1+'Operating costs'!$B$51)^MAX(0,C2378-1)+Paths!$K$222*(1+'Operating costs'!$B$53)^MAX(0,C2378-1)),"n.a."))</f>
        <v>0</v>
      </c>
      <c r="H2378" s="16">
        <f>IF(NOT(Paths!$C$222=1),0,IF(Paths!$P$222="Complete",F2378/12*(Paths!$L$222*(1+IF(Paths!$D$222="EV",'Operating costs'!$B$52,'Operating costs'!$B$51))^MAX(0,C2378-1)+Paths!$M$222*(1+'Operating costs'!$B$53)^MAX(0,C2378-1)),"n.a."))</f>
        <v>0</v>
      </c>
      <c r="I2378" s="16">
        <f>IF(NOT(Paths!$C$222=1),0,IF(Paths!$P$222="Complete",IF(IF(Paths!$E$222=0,C2378=0,AND(C2378&gt;0,Paths!$E$222&gt;(C2378-1)*12,Paths!$E$222&lt;=C2378*12)),Paths!$G$222,0),"n.a."))</f>
        <v>0</v>
      </c>
      <c r="J2378" s="16">
        <f>IF(NOT(Paths!$C$222=1),0,IF(Paths!$P$222="Complete",IF(IF(Paths!$E$222=0,C2378=0,AND(C2378&gt;0,Paths!$E$222&gt;(C2378-1)*12,Paths!$E$222&lt;=C2378*12)),Paths!$H$222,0),"n.a."))</f>
        <v>0</v>
      </c>
      <c r="K2378" s="16">
        <f>IF(NOT(Paths!$C$222=1),0,IF(Paths!$P$222="Complete",IF(IF(Paths!$O$222=0,C2378=0,AND(C2378&gt;0,Paths!$O$222&gt;(C2378-1)*12,Paths!$O$222&lt;=C2378*12)),Paths!$N$222,0),"n.a."))</f>
        <v>0</v>
      </c>
      <c r="L2378" s="16">
        <f>IF(NOT(Paths!$C$222=1),0,IF(Paths!$P$222="Complete",IF(C2378=10,Paths!$I$222,0),"n.a."))</f>
        <v>0</v>
      </c>
      <c r="M2378" s="16">
        <f>IF(NOT(Paths!$C$222=1),0,IF(Paths!$P$222="Complete",IF(AND(Paths!$D$222="EV",Paths!$E$222&lt;120,Paths!$E$222+'Operating costs'!$B$65&gt;Paths!$E$222,Paths!$E$222+'Operating costs'!$B$65&lt;=120,IF(Paths!$E$222+'Operating costs'!$B$65=0,C2378=0,AND(C2378&gt;0,Paths!$E$222+'Operating costs'!$B$65&gt;(C2378-1)*12,Paths!$E$222+'Operating costs'!$B$65&lt;=C2378*12))),'Operating costs'!$B$64,0)+IF(AND('Operating costs'!$B$67&gt;0,'Operating costs'!$B$67&lt;=120,OR(Paths!$D$222="ICE",'Operating costs'!$B$67&lt;=Paths!$E$222),IF('Operating costs'!$B$67=0,C2378=0,AND(C2378&gt;0,'Operating costs'!$B$67&gt;(C2378-1)*12,'Operating costs'!$B$67&lt;=C2378*12))),'Operating costs'!$B$66,0),"n.a."))</f>
        <v>0</v>
      </c>
      <c r="N2378" s="16">
        <f>IF(NOT(Paths!$C$222=1),0,IF(Paths!$P$222="Complete",SUM(G2378:I2378)-J2378-K2378-L2378+M2378+IF(C2378=0,Paths!$F$222,0)+IF(IF(Paths!$E$222=0,C2378=0,AND(C2378&gt;0,Paths!$E$222&gt;(C2378-1)*12,Paths!$E$222&lt;=C2378*12)),VLOOKUP(A2378,'Fleet register'!$A$7:$S$106,16,FALSE),0),"n.a."))</f>
        <v>0</v>
      </c>
      <c r="O2378" s="16">
        <f>IF(NOT(Paths!$C$222=1),0,IF(Paths!$P$222="Complete",N2378-IF(C2378=0,Paths!$F$222,0),"n.a."))</f>
        <v>0</v>
      </c>
      <c r="P2378" s="16">
        <f>IF(NOT(Paths!$C$222=1),0,IF(Paths!$P$222="Complete",O2378+L2378,"n.a."))</f>
        <v>0</v>
      </c>
      <c r="Q2378" s="16">
        <f>IF(NOT(Paths!$C$222=1),0,IF(Paths!$P$222="Complete",N2378*(1+'Operating costs'!$B$54)^-C2378,"n.a."))</f>
        <v>0</v>
      </c>
      <c r="R2378" s="16">
        <f>IF(NOT(Paths!$C$222=1),0,IF(Paths!$P$222="Complete",IF(AND(C2378=0,Paths!$E$222=0),I2378-J2378-K2378+VLOOKUP(A2378,'Fleet register'!$A$7:$S$106,15,FALSE)+VLOOKUP(A2378,'Fleet register'!$A$7:$S$106,16,FALSE),0),"n.a."))</f>
        <v>0</v>
      </c>
      <c r="S2378" s="1">
        <f>IF(NOT(Paths!$C$222=1),0,IF(Paths!$P$222="Complete",IF(C2378=0,0,Paths!$S$222*Paths!$R$222),"n.a."))</f>
        <v>0</v>
      </c>
      <c r="T2378" s="1">
        <f>IF(NOT(Paths!$C$222=1),0,IF(Paths!$P$222="Complete",IF(C2378=0,0,VLOOKUP(A2378,'Fleet register'!$A$7:$S$106,9,FALSE)*Paths!$R$222),"n.a."))</f>
        <v>0</v>
      </c>
    </row>
    <row r="2379" spans="1:20" ht="24" customHeight="1">
      <c r="A2379" s="1" t="str">
        <f>Paths!$A$222</f>
        <v>T054</v>
      </c>
      <c r="B2379" s="1">
        <f>Paths!$B$222</f>
        <v>3</v>
      </c>
      <c r="C2379" s="1">
        <v>7</v>
      </c>
      <c r="D2379" s="1">
        <v>222</v>
      </c>
      <c r="E2379" s="1">
        <f>IF(OR(Paths!$C$222=0,C2379=0),0,MAX(0,MIN(C2379*12,Paths!$E$222)-(C2379-1)*12))</f>
        <v>0</v>
      </c>
      <c r="F2379" s="1">
        <f>IF(OR(Paths!$C$222=0,C2379=0),0,12-E2379)</f>
        <v>0</v>
      </c>
      <c r="G2379" s="16">
        <f>IF(NOT(Paths!$C$222=1),0,IF(Paths!$P$222="Complete",E2379/12*(Paths!$J$222*(1+'Operating costs'!$B$51)^MAX(0,C2379-1)+Paths!$K$222*(1+'Operating costs'!$B$53)^MAX(0,C2379-1)),"n.a."))</f>
        <v>0</v>
      </c>
      <c r="H2379" s="16">
        <f>IF(NOT(Paths!$C$222=1),0,IF(Paths!$P$222="Complete",F2379/12*(Paths!$L$222*(1+IF(Paths!$D$222="EV",'Operating costs'!$B$52,'Operating costs'!$B$51))^MAX(0,C2379-1)+Paths!$M$222*(1+'Operating costs'!$B$53)^MAX(0,C2379-1)),"n.a."))</f>
        <v>0</v>
      </c>
      <c r="I2379" s="16">
        <f>IF(NOT(Paths!$C$222=1),0,IF(Paths!$P$222="Complete",IF(IF(Paths!$E$222=0,C2379=0,AND(C2379&gt;0,Paths!$E$222&gt;(C2379-1)*12,Paths!$E$222&lt;=C2379*12)),Paths!$G$222,0),"n.a."))</f>
        <v>0</v>
      </c>
      <c r="J2379" s="16">
        <f>IF(NOT(Paths!$C$222=1),0,IF(Paths!$P$222="Complete",IF(IF(Paths!$E$222=0,C2379=0,AND(C2379&gt;0,Paths!$E$222&gt;(C2379-1)*12,Paths!$E$222&lt;=C2379*12)),Paths!$H$222,0),"n.a."))</f>
        <v>0</v>
      </c>
      <c r="K2379" s="16">
        <f>IF(NOT(Paths!$C$222=1),0,IF(Paths!$P$222="Complete",IF(IF(Paths!$O$222=0,C2379=0,AND(C2379&gt;0,Paths!$O$222&gt;(C2379-1)*12,Paths!$O$222&lt;=C2379*12)),Paths!$N$222,0),"n.a."))</f>
        <v>0</v>
      </c>
      <c r="L2379" s="16">
        <f>IF(NOT(Paths!$C$222=1),0,IF(Paths!$P$222="Complete",IF(C2379=10,Paths!$I$222,0),"n.a."))</f>
        <v>0</v>
      </c>
      <c r="M2379" s="16">
        <f>IF(NOT(Paths!$C$222=1),0,IF(Paths!$P$222="Complete",IF(AND(Paths!$D$222="EV",Paths!$E$222&lt;120,Paths!$E$222+'Operating costs'!$B$65&gt;Paths!$E$222,Paths!$E$222+'Operating costs'!$B$65&lt;=120,IF(Paths!$E$222+'Operating costs'!$B$65=0,C2379=0,AND(C2379&gt;0,Paths!$E$222+'Operating costs'!$B$65&gt;(C2379-1)*12,Paths!$E$222+'Operating costs'!$B$65&lt;=C2379*12))),'Operating costs'!$B$64,0)+IF(AND('Operating costs'!$B$67&gt;0,'Operating costs'!$B$67&lt;=120,OR(Paths!$D$222="ICE",'Operating costs'!$B$67&lt;=Paths!$E$222),IF('Operating costs'!$B$67=0,C2379=0,AND(C2379&gt;0,'Operating costs'!$B$67&gt;(C2379-1)*12,'Operating costs'!$B$67&lt;=C2379*12))),'Operating costs'!$B$66,0),"n.a."))</f>
        <v>0</v>
      </c>
      <c r="N2379" s="16">
        <f>IF(NOT(Paths!$C$222=1),0,IF(Paths!$P$222="Complete",SUM(G2379:I2379)-J2379-K2379-L2379+M2379+IF(C2379=0,Paths!$F$222,0)+IF(IF(Paths!$E$222=0,C2379=0,AND(C2379&gt;0,Paths!$E$222&gt;(C2379-1)*12,Paths!$E$222&lt;=C2379*12)),VLOOKUP(A2379,'Fleet register'!$A$7:$S$106,16,FALSE),0),"n.a."))</f>
        <v>0</v>
      </c>
      <c r="O2379" s="16">
        <f>IF(NOT(Paths!$C$222=1),0,IF(Paths!$P$222="Complete",N2379-IF(C2379=0,Paths!$F$222,0),"n.a."))</f>
        <v>0</v>
      </c>
      <c r="P2379" s="16">
        <f>IF(NOT(Paths!$C$222=1),0,IF(Paths!$P$222="Complete",O2379+L2379,"n.a."))</f>
        <v>0</v>
      </c>
      <c r="Q2379" s="16">
        <f>IF(NOT(Paths!$C$222=1),0,IF(Paths!$P$222="Complete",N2379*(1+'Operating costs'!$B$54)^-C2379,"n.a."))</f>
        <v>0</v>
      </c>
      <c r="R2379" s="16">
        <f>IF(NOT(Paths!$C$222=1),0,IF(Paths!$P$222="Complete",IF(AND(C2379=0,Paths!$E$222=0),I2379-J2379-K2379+VLOOKUP(A2379,'Fleet register'!$A$7:$S$106,15,FALSE)+VLOOKUP(A2379,'Fleet register'!$A$7:$S$106,16,FALSE),0),"n.a."))</f>
        <v>0</v>
      </c>
      <c r="S2379" s="1">
        <f>IF(NOT(Paths!$C$222=1),0,IF(Paths!$P$222="Complete",IF(C2379=0,0,Paths!$S$222*Paths!$R$222),"n.a."))</f>
        <v>0</v>
      </c>
      <c r="T2379" s="1">
        <f>IF(NOT(Paths!$C$222=1),0,IF(Paths!$P$222="Complete",IF(C2379=0,0,VLOOKUP(A2379,'Fleet register'!$A$7:$S$106,9,FALSE)*Paths!$R$222),"n.a."))</f>
        <v>0</v>
      </c>
    </row>
    <row r="2380" spans="1:20" ht="24" customHeight="1">
      <c r="A2380" s="1" t="str">
        <f>Paths!$A$222</f>
        <v>T054</v>
      </c>
      <c r="B2380" s="1">
        <f>Paths!$B$222</f>
        <v>3</v>
      </c>
      <c r="C2380" s="1">
        <v>8</v>
      </c>
      <c r="D2380" s="1">
        <v>222</v>
      </c>
      <c r="E2380" s="1">
        <f>IF(OR(Paths!$C$222=0,C2380=0),0,MAX(0,MIN(C2380*12,Paths!$E$222)-(C2380-1)*12))</f>
        <v>0</v>
      </c>
      <c r="F2380" s="1">
        <f>IF(OR(Paths!$C$222=0,C2380=0),0,12-E2380)</f>
        <v>0</v>
      </c>
      <c r="G2380" s="16">
        <f>IF(NOT(Paths!$C$222=1),0,IF(Paths!$P$222="Complete",E2380/12*(Paths!$J$222*(1+'Operating costs'!$B$51)^MAX(0,C2380-1)+Paths!$K$222*(1+'Operating costs'!$B$53)^MAX(0,C2380-1)),"n.a."))</f>
        <v>0</v>
      </c>
      <c r="H2380" s="16">
        <f>IF(NOT(Paths!$C$222=1),0,IF(Paths!$P$222="Complete",F2380/12*(Paths!$L$222*(1+IF(Paths!$D$222="EV",'Operating costs'!$B$52,'Operating costs'!$B$51))^MAX(0,C2380-1)+Paths!$M$222*(1+'Operating costs'!$B$53)^MAX(0,C2380-1)),"n.a."))</f>
        <v>0</v>
      </c>
      <c r="I2380" s="16">
        <f>IF(NOT(Paths!$C$222=1),0,IF(Paths!$P$222="Complete",IF(IF(Paths!$E$222=0,C2380=0,AND(C2380&gt;0,Paths!$E$222&gt;(C2380-1)*12,Paths!$E$222&lt;=C2380*12)),Paths!$G$222,0),"n.a."))</f>
        <v>0</v>
      </c>
      <c r="J2380" s="16">
        <f>IF(NOT(Paths!$C$222=1),0,IF(Paths!$P$222="Complete",IF(IF(Paths!$E$222=0,C2380=0,AND(C2380&gt;0,Paths!$E$222&gt;(C2380-1)*12,Paths!$E$222&lt;=C2380*12)),Paths!$H$222,0),"n.a."))</f>
        <v>0</v>
      </c>
      <c r="K2380" s="16">
        <f>IF(NOT(Paths!$C$222=1),0,IF(Paths!$P$222="Complete",IF(IF(Paths!$O$222=0,C2380=0,AND(C2380&gt;0,Paths!$O$222&gt;(C2380-1)*12,Paths!$O$222&lt;=C2380*12)),Paths!$N$222,0),"n.a."))</f>
        <v>0</v>
      </c>
      <c r="L2380" s="16">
        <f>IF(NOT(Paths!$C$222=1),0,IF(Paths!$P$222="Complete",IF(C2380=10,Paths!$I$222,0),"n.a."))</f>
        <v>0</v>
      </c>
      <c r="M2380" s="16">
        <f>IF(NOT(Paths!$C$222=1),0,IF(Paths!$P$222="Complete",IF(AND(Paths!$D$222="EV",Paths!$E$222&lt;120,Paths!$E$222+'Operating costs'!$B$65&gt;Paths!$E$222,Paths!$E$222+'Operating costs'!$B$65&lt;=120,IF(Paths!$E$222+'Operating costs'!$B$65=0,C2380=0,AND(C2380&gt;0,Paths!$E$222+'Operating costs'!$B$65&gt;(C2380-1)*12,Paths!$E$222+'Operating costs'!$B$65&lt;=C2380*12))),'Operating costs'!$B$64,0)+IF(AND('Operating costs'!$B$67&gt;0,'Operating costs'!$B$67&lt;=120,OR(Paths!$D$222="ICE",'Operating costs'!$B$67&lt;=Paths!$E$222),IF('Operating costs'!$B$67=0,C2380=0,AND(C2380&gt;0,'Operating costs'!$B$67&gt;(C2380-1)*12,'Operating costs'!$B$67&lt;=C2380*12))),'Operating costs'!$B$66,0),"n.a."))</f>
        <v>0</v>
      </c>
      <c r="N2380" s="16">
        <f>IF(NOT(Paths!$C$222=1),0,IF(Paths!$P$222="Complete",SUM(G2380:I2380)-J2380-K2380-L2380+M2380+IF(C2380=0,Paths!$F$222,0)+IF(IF(Paths!$E$222=0,C2380=0,AND(C2380&gt;0,Paths!$E$222&gt;(C2380-1)*12,Paths!$E$222&lt;=C2380*12)),VLOOKUP(A2380,'Fleet register'!$A$7:$S$106,16,FALSE),0),"n.a."))</f>
        <v>0</v>
      </c>
      <c r="O2380" s="16">
        <f>IF(NOT(Paths!$C$222=1),0,IF(Paths!$P$222="Complete",N2380-IF(C2380=0,Paths!$F$222,0),"n.a."))</f>
        <v>0</v>
      </c>
      <c r="P2380" s="16">
        <f>IF(NOT(Paths!$C$222=1),0,IF(Paths!$P$222="Complete",O2380+L2380,"n.a."))</f>
        <v>0</v>
      </c>
      <c r="Q2380" s="16">
        <f>IF(NOT(Paths!$C$222=1),0,IF(Paths!$P$222="Complete",N2380*(1+'Operating costs'!$B$54)^-C2380,"n.a."))</f>
        <v>0</v>
      </c>
      <c r="R2380" s="16">
        <f>IF(NOT(Paths!$C$222=1),0,IF(Paths!$P$222="Complete",IF(AND(C2380=0,Paths!$E$222=0),I2380-J2380-K2380+VLOOKUP(A2380,'Fleet register'!$A$7:$S$106,15,FALSE)+VLOOKUP(A2380,'Fleet register'!$A$7:$S$106,16,FALSE),0),"n.a."))</f>
        <v>0</v>
      </c>
      <c r="S2380" s="1">
        <f>IF(NOT(Paths!$C$222=1),0,IF(Paths!$P$222="Complete",IF(C2380=0,0,Paths!$S$222*Paths!$R$222),"n.a."))</f>
        <v>0</v>
      </c>
      <c r="T2380" s="1">
        <f>IF(NOT(Paths!$C$222=1),0,IF(Paths!$P$222="Complete",IF(C2380=0,0,VLOOKUP(A2380,'Fleet register'!$A$7:$S$106,9,FALSE)*Paths!$R$222),"n.a."))</f>
        <v>0</v>
      </c>
    </row>
    <row r="2381" spans="1:20" ht="24" customHeight="1">
      <c r="A2381" s="1" t="str">
        <f>Paths!$A$222</f>
        <v>T054</v>
      </c>
      <c r="B2381" s="1">
        <f>Paths!$B$222</f>
        <v>3</v>
      </c>
      <c r="C2381" s="1">
        <v>9</v>
      </c>
      <c r="D2381" s="1">
        <v>222</v>
      </c>
      <c r="E2381" s="1">
        <f>IF(OR(Paths!$C$222=0,C2381=0),0,MAX(0,MIN(C2381*12,Paths!$E$222)-(C2381-1)*12))</f>
        <v>0</v>
      </c>
      <c r="F2381" s="1">
        <f>IF(OR(Paths!$C$222=0,C2381=0),0,12-E2381)</f>
        <v>0</v>
      </c>
      <c r="G2381" s="16">
        <f>IF(NOT(Paths!$C$222=1),0,IF(Paths!$P$222="Complete",E2381/12*(Paths!$J$222*(1+'Operating costs'!$B$51)^MAX(0,C2381-1)+Paths!$K$222*(1+'Operating costs'!$B$53)^MAX(0,C2381-1)),"n.a."))</f>
        <v>0</v>
      </c>
      <c r="H2381" s="16">
        <f>IF(NOT(Paths!$C$222=1),0,IF(Paths!$P$222="Complete",F2381/12*(Paths!$L$222*(1+IF(Paths!$D$222="EV",'Operating costs'!$B$52,'Operating costs'!$B$51))^MAX(0,C2381-1)+Paths!$M$222*(1+'Operating costs'!$B$53)^MAX(0,C2381-1)),"n.a."))</f>
        <v>0</v>
      </c>
      <c r="I2381" s="16">
        <f>IF(NOT(Paths!$C$222=1),0,IF(Paths!$P$222="Complete",IF(IF(Paths!$E$222=0,C2381=0,AND(C2381&gt;0,Paths!$E$222&gt;(C2381-1)*12,Paths!$E$222&lt;=C2381*12)),Paths!$G$222,0),"n.a."))</f>
        <v>0</v>
      </c>
      <c r="J2381" s="16">
        <f>IF(NOT(Paths!$C$222=1),0,IF(Paths!$P$222="Complete",IF(IF(Paths!$E$222=0,C2381=0,AND(C2381&gt;0,Paths!$E$222&gt;(C2381-1)*12,Paths!$E$222&lt;=C2381*12)),Paths!$H$222,0),"n.a."))</f>
        <v>0</v>
      </c>
      <c r="K2381" s="16">
        <f>IF(NOT(Paths!$C$222=1),0,IF(Paths!$P$222="Complete",IF(IF(Paths!$O$222=0,C2381=0,AND(C2381&gt;0,Paths!$O$222&gt;(C2381-1)*12,Paths!$O$222&lt;=C2381*12)),Paths!$N$222,0),"n.a."))</f>
        <v>0</v>
      </c>
      <c r="L2381" s="16">
        <f>IF(NOT(Paths!$C$222=1),0,IF(Paths!$P$222="Complete",IF(C2381=10,Paths!$I$222,0),"n.a."))</f>
        <v>0</v>
      </c>
      <c r="M2381" s="16">
        <f>IF(NOT(Paths!$C$222=1),0,IF(Paths!$P$222="Complete",IF(AND(Paths!$D$222="EV",Paths!$E$222&lt;120,Paths!$E$222+'Operating costs'!$B$65&gt;Paths!$E$222,Paths!$E$222+'Operating costs'!$B$65&lt;=120,IF(Paths!$E$222+'Operating costs'!$B$65=0,C2381=0,AND(C2381&gt;0,Paths!$E$222+'Operating costs'!$B$65&gt;(C2381-1)*12,Paths!$E$222+'Operating costs'!$B$65&lt;=C2381*12))),'Operating costs'!$B$64,0)+IF(AND('Operating costs'!$B$67&gt;0,'Operating costs'!$B$67&lt;=120,OR(Paths!$D$222="ICE",'Operating costs'!$B$67&lt;=Paths!$E$222),IF('Operating costs'!$B$67=0,C2381=0,AND(C2381&gt;0,'Operating costs'!$B$67&gt;(C2381-1)*12,'Operating costs'!$B$67&lt;=C2381*12))),'Operating costs'!$B$66,0),"n.a."))</f>
        <v>0</v>
      </c>
      <c r="N2381" s="16">
        <f>IF(NOT(Paths!$C$222=1),0,IF(Paths!$P$222="Complete",SUM(G2381:I2381)-J2381-K2381-L2381+M2381+IF(C2381=0,Paths!$F$222,0)+IF(IF(Paths!$E$222=0,C2381=0,AND(C2381&gt;0,Paths!$E$222&gt;(C2381-1)*12,Paths!$E$222&lt;=C2381*12)),VLOOKUP(A2381,'Fleet register'!$A$7:$S$106,16,FALSE),0),"n.a."))</f>
        <v>0</v>
      </c>
      <c r="O2381" s="16">
        <f>IF(NOT(Paths!$C$222=1),0,IF(Paths!$P$222="Complete",N2381-IF(C2381=0,Paths!$F$222,0),"n.a."))</f>
        <v>0</v>
      </c>
      <c r="P2381" s="16">
        <f>IF(NOT(Paths!$C$222=1),0,IF(Paths!$P$222="Complete",O2381+L2381,"n.a."))</f>
        <v>0</v>
      </c>
      <c r="Q2381" s="16">
        <f>IF(NOT(Paths!$C$222=1),0,IF(Paths!$P$222="Complete",N2381*(1+'Operating costs'!$B$54)^-C2381,"n.a."))</f>
        <v>0</v>
      </c>
      <c r="R2381" s="16">
        <f>IF(NOT(Paths!$C$222=1),0,IF(Paths!$P$222="Complete",IF(AND(C2381=0,Paths!$E$222=0),I2381-J2381-K2381+VLOOKUP(A2381,'Fleet register'!$A$7:$S$106,15,FALSE)+VLOOKUP(A2381,'Fleet register'!$A$7:$S$106,16,FALSE),0),"n.a."))</f>
        <v>0</v>
      </c>
      <c r="S2381" s="1">
        <f>IF(NOT(Paths!$C$222=1),0,IF(Paths!$P$222="Complete",IF(C2381=0,0,Paths!$S$222*Paths!$R$222),"n.a."))</f>
        <v>0</v>
      </c>
      <c r="T2381" s="1">
        <f>IF(NOT(Paths!$C$222=1),0,IF(Paths!$P$222="Complete",IF(C2381=0,0,VLOOKUP(A2381,'Fleet register'!$A$7:$S$106,9,FALSE)*Paths!$R$222),"n.a."))</f>
        <v>0</v>
      </c>
    </row>
    <row r="2382" spans="1:20" ht="24" customHeight="1">
      <c r="A2382" s="1" t="str">
        <f>Paths!$A$222</f>
        <v>T054</v>
      </c>
      <c r="B2382" s="1">
        <f>Paths!$B$222</f>
        <v>3</v>
      </c>
      <c r="C2382" s="1">
        <v>10</v>
      </c>
      <c r="D2382" s="1">
        <v>222</v>
      </c>
      <c r="E2382" s="1">
        <f>IF(OR(Paths!$C$222=0,C2382=0),0,MAX(0,MIN(C2382*12,Paths!$E$222)-(C2382-1)*12))</f>
        <v>0</v>
      </c>
      <c r="F2382" s="1">
        <f>IF(OR(Paths!$C$222=0,C2382=0),0,12-E2382)</f>
        <v>0</v>
      </c>
      <c r="G2382" s="16">
        <f>IF(NOT(Paths!$C$222=1),0,IF(Paths!$P$222="Complete",E2382/12*(Paths!$J$222*(1+'Operating costs'!$B$51)^MAX(0,C2382-1)+Paths!$K$222*(1+'Operating costs'!$B$53)^MAX(0,C2382-1)),"n.a."))</f>
        <v>0</v>
      </c>
      <c r="H2382" s="16">
        <f>IF(NOT(Paths!$C$222=1),0,IF(Paths!$P$222="Complete",F2382/12*(Paths!$L$222*(1+IF(Paths!$D$222="EV",'Operating costs'!$B$52,'Operating costs'!$B$51))^MAX(0,C2382-1)+Paths!$M$222*(1+'Operating costs'!$B$53)^MAX(0,C2382-1)),"n.a."))</f>
        <v>0</v>
      </c>
      <c r="I2382" s="16">
        <f>IF(NOT(Paths!$C$222=1),0,IF(Paths!$P$222="Complete",IF(IF(Paths!$E$222=0,C2382=0,AND(C2382&gt;0,Paths!$E$222&gt;(C2382-1)*12,Paths!$E$222&lt;=C2382*12)),Paths!$G$222,0),"n.a."))</f>
        <v>0</v>
      </c>
      <c r="J2382" s="16">
        <f>IF(NOT(Paths!$C$222=1),0,IF(Paths!$P$222="Complete",IF(IF(Paths!$E$222=0,C2382=0,AND(C2382&gt;0,Paths!$E$222&gt;(C2382-1)*12,Paths!$E$222&lt;=C2382*12)),Paths!$H$222,0),"n.a."))</f>
        <v>0</v>
      </c>
      <c r="K2382" s="16">
        <f>IF(NOT(Paths!$C$222=1),0,IF(Paths!$P$222="Complete",IF(IF(Paths!$O$222=0,C2382=0,AND(C2382&gt;0,Paths!$O$222&gt;(C2382-1)*12,Paths!$O$222&lt;=C2382*12)),Paths!$N$222,0),"n.a."))</f>
        <v>0</v>
      </c>
      <c r="L2382" s="16">
        <f>IF(NOT(Paths!$C$222=1),0,IF(Paths!$P$222="Complete",IF(C2382=10,Paths!$I$222,0),"n.a."))</f>
        <v>0</v>
      </c>
      <c r="M2382" s="16">
        <f>IF(NOT(Paths!$C$222=1),0,IF(Paths!$P$222="Complete",IF(AND(Paths!$D$222="EV",Paths!$E$222&lt;120,Paths!$E$222+'Operating costs'!$B$65&gt;Paths!$E$222,Paths!$E$222+'Operating costs'!$B$65&lt;=120,IF(Paths!$E$222+'Operating costs'!$B$65=0,C2382=0,AND(C2382&gt;0,Paths!$E$222+'Operating costs'!$B$65&gt;(C2382-1)*12,Paths!$E$222+'Operating costs'!$B$65&lt;=C2382*12))),'Operating costs'!$B$64,0)+IF(AND('Operating costs'!$B$67&gt;0,'Operating costs'!$B$67&lt;=120,OR(Paths!$D$222="ICE",'Operating costs'!$B$67&lt;=Paths!$E$222),IF('Operating costs'!$B$67=0,C2382=0,AND(C2382&gt;0,'Operating costs'!$B$67&gt;(C2382-1)*12,'Operating costs'!$B$67&lt;=C2382*12))),'Operating costs'!$B$66,0),"n.a."))</f>
        <v>0</v>
      </c>
      <c r="N2382" s="16">
        <f>IF(NOT(Paths!$C$222=1),0,IF(Paths!$P$222="Complete",SUM(G2382:I2382)-J2382-K2382-L2382+M2382+IF(C2382=0,Paths!$F$222,0)+IF(IF(Paths!$E$222=0,C2382=0,AND(C2382&gt;0,Paths!$E$222&gt;(C2382-1)*12,Paths!$E$222&lt;=C2382*12)),VLOOKUP(A2382,'Fleet register'!$A$7:$S$106,16,FALSE),0),"n.a."))</f>
        <v>0</v>
      </c>
      <c r="O2382" s="16">
        <f>IF(NOT(Paths!$C$222=1),0,IF(Paths!$P$222="Complete",N2382-IF(C2382=0,Paths!$F$222,0),"n.a."))</f>
        <v>0</v>
      </c>
      <c r="P2382" s="16">
        <f>IF(NOT(Paths!$C$222=1),0,IF(Paths!$P$222="Complete",O2382+L2382,"n.a."))</f>
        <v>0</v>
      </c>
      <c r="Q2382" s="16">
        <f>IF(NOT(Paths!$C$222=1),0,IF(Paths!$P$222="Complete",N2382*(1+'Operating costs'!$B$54)^-C2382,"n.a."))</f>
        <v>0</v>
      </c>
      <c r="R2382" s="16">
        <f>IF(NOT(Paths!$C$222=1),0,IF(Paths!$P$222="Complete",IF(AND(C2382=0,Paths!$E$222=0),I2382-J2382-K2382+VLOOKUP(A2382,'Fleet register'!$A$7:$S$106,15,FALSE)+VLOOKUP(A2382,'Fleet register'!$A$7:$S$106,16,FALSE),0),"n.a."))</f>
        <v>0</v>
      </c>
      <c r="S2382" s="1">
        <f>IF(NOT(Paths!$C$222=1),0,IF(Paths!$P$222="Complete",IF(C2382=0,0,Paths!$S$222*Paths!$R$222),"n.a."))</f>
        <v>0</v>
      </c>
      <c r="T2382" s="1">
        <f>IF(NOT(Paths!$C$222=1),0,IF(Paths!$P$222="Complete",IF(C2382=0,0,VLOOKUP(A2382,'Fleet register'!$A$7:$S$106,9,FALSE)*Paths!$R$222),"n.a."))</f>
        <v>0</v>
      </c>
    </row>
    <row r="2383" spans="1:20" ht="24" customHeight="1">
      <c r="A2383" s="1" t="str">
        <f>Paths!$A$223</f>
        <v>T055</v>
      </c>
      <c r="B2383" s="1">
        <f>Paths!$B$223</f>
        <v>0</v>
      </c>
      <c r="C2383" s="1">
        <v>0</v>
      </c>
      <c r="D2383" s="1">
        <v>223</v>
      </c>
      <c r="E2383" s="1">
        <f>IF(OR(Paths!$C$223=0,C2383=0),0,MAX(0,MIN(C2383*12,Paths!$E$223)-(C2383-1)*12))</f>
        <v>0</v>
      </c>
      <c r="F2383" s="1">
        <f>IF(OR(Paths!$C$223=0,C2383=0),0,12-E2383)</f>
        <v>0</v>
      </c>
      <c r="G2383" s="16">
        <f>IF(NOT(Paths!$C$223=1),0,IF(Paths!$P$223="Complete",E2383/12*(Paths!$J$223*(1+'Operating costs'!$B$51)^MAX(0,C2383-1)+Paths!$K$223*(1+'Operating costs'!$B$53)^MAX(0,C2383-1)),"n.a."))</f>
        <v>0</v>
      </c>
      <c r="H2383" s="16">
        <f>IF(NOT(Paths!$C$223=1),0,IF(Paths!$P$223="Complete",F2383/12*(Paths!$L$223*(1+IF(Paths!$D$223="EV",'Operating costs'!$B$52,'Operating costs'!$B$51))^MAX(0,C2383-1)+Paths!$M$223*(1+'Operating costs'!$B$53)^MAX(0,C2383-1)),"n.a."))</f>
        <v>0</v>
      </c>
      <c r="I2383" s="16">
        <f>IF(NOT(Paths!$C$223=1),0,IF(Paths!$P$223="Complete",IF(IF(Paths!$E$223=0,C2383=0,AND(C2383&gt;0,Paths!$E$223&gt;(C2383-1)*12,Paths!$E$223&lt;=C2383*12)),Paths!$G$223,0),"n.a."))</f>
        <v>0</v>
      </c>
      <c r="J2383" s="16">
        <f>IF(NOT(Paths!$C$223=1),0,IF(Paths!$P$223="Complete",IF(IF(Paths!$E$223=0,C2383=0,AND(C2383&gt;0,Paths!$E$223&gt;(C2383-1)*12,Paths!$E$223&lt;=C2383*12)),Paths!$H$223,0),"n.a."))</f>
        <v>0</v>
      </c>
      <c r="K2383" s="16">
        <f>IF(NOT(Paths!$C$223=1),0,IF(Paths!$P$223="Complete",IF(IF(Paths!$O$223=0,C2383=0,AND(C2383&gt;0,Paths!$O$223&gt;(C2383-1)*12,Paths!$O$223&lt;=C2383*12)),Paths!$N$223,0),"n.a."))</f>
        <v>0</v>
      </c>
      <c r="L2383" s="16">
        <f>IF(NOT(Paths!$C$223=1),0,IF(Paths!$P$223="Complete",IF(C2383=10,Paths!$I$223,0),"n.a."))</f>
        <v>0</v>
      </c>
      <c r="M2383" s="16">
        <f>IF(NOT(Paths!$C$223=1),0,IF(Paths!$P$223="Complete",IF(AND(Paths!$D$223="EV",Paths!$E$223&lt;120,Paths!$E$223+'Operating costs'!$B$65&gt;Paths!$E$223,Paths!$E$223+'Operating costs'!$B$65&lt;=120,IF(Paths!$E$223+'Operating costs'!$B$65=0,C2383=0,AND(C2383&gt;0,Paths!$E$223+'Operating costs'!$B$65&gt;(C2383-1)*12,Paths!$E$223+'Operating costs'!$B$65&lt;=C2383*12))),'Operating costs'!$B$64,0)+IF(AND('Operating costs'!$B$67&gt;0,'Operating costs'!$B$67&lt;=120,OR(Paths!$D$223="ICE",'Operating costs'!$B$67&lt;=Paths!$E$223),IF('Operating costs'!$B$67=0,C2383=0,AND(C2383&gt;0,'Operating costs'!$B$67&gt;(C2383-1)*12,'Operating costs'!$B$67&lt;=C2383*12))),'Operating costs'!$B$66,0),"n.a."))</f>
        <v>0</v>
      </c>
      <c r="N2383" s="16">
        <f>IF(NOT(Paths!$C$223=1),0,IF(Paths!$P$223="Complete",SUM(G2383:I2383)-J2383-K2383-L2383+M2383+IF(C2383=0,Paths!$F$223,0)+IF(IF(Paths!$E$223=0,C2383=0,AND(C2383&gt;0,Paths!$E$223&gt;(C2383-1)*12,Paths!$E$223&lt;=C2383*12)),VLOOKUP(A2383,'Fleet register'!$A$7:$S$106,16,FALSE),0),"n.a."))</f>
        <v>0</v>
      </c>
      <c r="O2383" s="16">
        <f>IF(NOT(Paths!$C$223=1),0,IF(Paths!$P$223="Complete",N2383-IF(C2383=0,Paths!$F$223,0),"n.a."))</f>
        <v>0</v>
      </c>
      <c r="P2383" s="16">
        <f>IF(NOT(Paths!$C$223=1),0,IF(Paths!$P$223="Complete",O2383+L2383,"n.a."))</f>
        <v>0</v>
      </c>
      <c r="Q2383" s="16">
        <f>IF(NOT(Paths!$C$223=1),0,IF(Paths!$P$223="Complete",N2383*(1+'Operating costs'!$B$54)^-C2383,"n.a."))</f>
        <v>0</v>
      </c>
      <c r="R2383" s="16">
        <f>IF(NOT(Paths!$C$223=1),0,IF(Paths!$P$223="Complete",IF(AND(C2383=0,Paths!$E$223=0),I2383-J2383-K2383+VLOOKUP(A2383,'Fleet register'!$A$7:$S$106,15,FALSE)+VLOOKUP(A2383,'Fleet register'!$A$7:$S$106,16,FALSE),0),"n.a."))</f>
        <v>0</v>
      </c>
      <c r="S2383" s="1">
        <f>IF(NOT(Paths!$C$223=1),0,IF(Paths!$P$223="Complete",IF(C2383=0,0,Paths!$S$223*Paths!$R$223),"n.a."))</f>
        <v>0</v>
      </c>
      <c r="T2383" s="1">
        <f>IF(NOT(Paths!$C$223=1),0,IF(Paths!$P$223="Complete",IF(C2383=0,0,VLOOKUP(A2383,'Fleet register'!$A$7:$S$106,9,FALSE)*Paths!$R$223),"n.a."))</f>
        <v>0</v>
      </c>
    </row>
    <row r="2384" spans="1:20" ht="24" customHeight="1">
      <c r="A2384" s="1" t="str">
        <f>Paths!$A$223</f>
        <v>T055</v>
      </c>
      <c r="B2384" s="1">
        <f>Paths!$B$223</f>
        <v>0</v>
      </c>
      <c r="C2384" s="1">
        <v>1</v>
      </c>
      <c r="D2384" s="1">
        <v>223</v>
      </c>
      <c r="E2384" s="1">
        <f>IF(OR(Paths!$C$223=0,C2384=0),0,MAX(0,MIN(C2384*12,Paths!$E$223)-(C2384-1)*12))</f>
        <v>0</v>
      </c>
      <c r="F2384" s="1">
        <f>IF(OR(Paths!$C$223=0,C2384=0),0,12-E2384)</f>
        <v>0</v>
      </c>
      <c r="G2384" s="16">
        <f>IF(NOT(Paths!$C$223=1),0,IF(Paths!$P$223="Complete",E2384/12*(Paths!$J$223*(1+'Operating costs'!$B$51)^MAX(0,C2384-1)+Paths!$K$223*(1+'Operating costs'!$B$53)^MAX(0,C2384-1)),"n.a."))</f>
        <v>0</v>
      </c>
      <c r="H2384" s="16">
        <f>IF(NOT(Paths!$C$223=1),0,IF(Paths!$P$223="Complete",F2384/12*(Paths!$L$223*(1+IF(Paths!$D$223="EV",'Operating costs'!$B$52,'Operating costs'!$B$51))^MAX(0,C2384-1)+Paths!$M$223*(1+'Operating costs'!$B$53)^MAX(0,C2384-1)),"n.a."))</f>
        <v>0</v>
      </c>
      <c r="I2384" s="16">
        <f>IF(NOT(Paths!$C$223=1),0,IF(Paths!$P$223="Complete",IF(IF(Paths!$E$223=0,C2384=0,AND(C2384&gt;0,Paths!$E$223&gt;(C2384-1)*12,Paths!$E$223&lt;=C2384*12)),Paths!$G$223,0),"n.a."))</f>
        <v>0</v>
      </c>
      <c r="J2384" s="16">
        <f>IF(NOT(Paths!$C$223=1),0,IF(Paths!$P$223="Complete",IF(IF(Paths!$E$223=0,C2384=0,AND(C2384&gt;0,Paths!$E$223&gt;(C2384-1)*12,Paths!$E$223&lt;=C2384*12)),Paths!$H$223,0),"n.a."))</f>
        <v>0</v>
      </c>
      <c r="K2384" s="16">
        <f>IF(NOT(Paths!$C$223=1),0,IF(Paths!$P$223="Complete",IF(IF(Paths!$O$223=0,C2384=0,AND(C2384&gt;0,Paths!$O$223&gt;(C2384-1)*12,Paths!$O$223&lt;=C2384*12)),Paths!$N$223,0),"n.a."))</f>
        <v>0</v>
      </c>
      <c r="L2384" s="16">
        <f>IF(NOT(Paths!$C$223=1),0,IF(Paths!$P$223="Complete",IF(C2384=10,Paths!$I$223,0),"n.a."))</f>
        <v>0</v>
      </c>
      <c r="M2384" s="16">
        <f>IF(NOT(Paths!$C$223=1),0,IF(Paths!$P$223="Complete",IF(AND(Paths!$D$223="EV",Paths!$E$223&lt;120,Paths!$E$223+'Operating costs'!$B$65&gt;Paths!$E$223,Paths!$E$223+'Operating costs'!$B$65&lt;=120,IF(Paths!$E$223+'Operating costs'!$B$65=0,C2384=0,AND(C2384&gt;0,Paths!$E$223+'Operating costs'!$B$65&gt;(C2384-1)*12,Paths!$E$223+'Operating costs'!$B$65&lt;=C2384*12))),'Operating costs'!$B$64,0)+IF(AND('Operating costs'!$B$67&gt;0,'Operating costs'!$B$67&lt;=120,OR(Paths!$D$223="ICE",'Operating costs'!$B$67&lt;=Paths!$E$223),IF('Operating costs'!$B$67=0,C2384=0,AND(C2384&gt;0,'Operating costs'!$B$67&gt;(C2384-1)*12,'Operating costs'!$B$67&lt;=C2384*12))),'Operating costs'!$B$66,0),"n.a."))</f>
        <v>0</v>
      </c>
      <c r="N2384" s="16">
        <f>IF(NOT(Paths!$C$223=1),0,IF(Paths!$P$223="Complete",SUM(G2384:I2384)-J2384-K2384-L2384+M2384+IF(C2384=0,Paths!$F$223,0)+IF(IF(Paths!$E$223=0,C2384=0,AND(C2384&gt;0,Paths!$E$223&gt;(C2384-1)*12,Paths!$E$223&lt;=C2384*12)),VLOOKUP(A2384,'Fleet register'!$A$7:$S$106,16,FALSE),0),"n.a."))</f>
        <v>0</v>
      </c>
      <c r="O2384" s="16">
        <f>IF(NOT(Paths!$C$223=1),0,IF(Paths!$P$223="Complete",N2384-IF(C2384=0,Paths!$F$223,0),"n.a."))</f>
        <v>0</v>
      </c>
      <c r="P2384" s="16">
        <f>IF(NOT(Paths!$C$223=1),0,IF(Paths!$P$223="Complete",O2384+L2384,"n.a."))</f>
        <v>0</v>
      </c>
      <c r="Q2384" s="16">
        <f>IF(NOT(Paths!$C$223=1),0,IF(Paths!$P$223="Complete",N2384*(1+'Operating costs'!$B$54)^-C2384,"n.a."))</f>
        <v>0</v>
      </c>
      <c r="R2384" s="16">
        <f>IF(NOT(Paths!$C$223=1),0,IF(Paths!$P$223="Complete",IF(AND(C2384=0,Paths!$E$223=0),I2384-J2384-K2384+VLOOKUP(A2384,'Fleet register'!$A$7:$S$106,15,FALSE)+VLOOKUP(A2384,'Fleet register'!$A$7:$S$106,16,FALSE),0),"n.a."))</f>
        <v>0</v>
      </c>
      <c r="S2384" s="1">
        <f>IF(NOT(Paths!$C$223=1),0,IF(Paths!$P$223="Complete",IF(C2384=0,0,Paths!$S$223*Paths!$R$223),"n.a."))</f>
        <v>0</v>
      </c>
      <c r="T2384" s="1">
        <f>IF(NOT(Paths!$C$223=1),0,IF(Paths!$P$223="Complete",IF(C2384=0,0,VLOOKUP(A2384,'Fleet register'!$A$7:$S$106,9,FALSE)*Paths!$R$223),"n.a."))</f>
        <v>0</v>
      </c>
    </row>
    <row r="2385" spans="1:20" ht="24" customHeight="1">
      <c r="A2385" s="1" t="str">
        <f>Paths!$A$223</f>
        <v>T055</v>
      </c>
      <c r="B2385" s="1">
        <f>Paths!$B$223</f>
        <v>0</v>
      </c>
      <c r="C2385" s="1">
        <v>2</v>
      </c>
      <c r="D2385" s="1">
        <v>223</v>
      </c>
      <c r="E2385" s="1">
        <f>IF(OR(Paths!$C$223=0,C2385=0),0,MAX(0,MIN(C2385*12,Paths!$E$223)-(C2385-1)*12))</f>
        <v>0</v>
      </c>
      <c r="F2385" s="1">
        <f>IF(OR(Paths!$C$223=0,C2385=0),0,12-E2385)</f>
        <v>0</v>
      </c>
      <c r="G2385" s="16">
        <f>IF(NOT(Paths!$C$223=1),0,IF(Paths!$P$223="Complete",E2385/12*(Paths!$J$223*(1+'Operating costs'!$B$51)^MAX(0,C2385-1)+Paths!$K$223*(1+'Operating costs'!$B$53)^MAX(0,C2385-1)),"n.a."))</f>
        <v>0</v>
      </c>
      <c r="H2385" s="16">
        <f>IF(NOT(Paths!$C$223=1),0,IF(Paths!$P$223="Complete",F2385/12*(Paths!$L$223*(1+IF(Paths!$D$223="EV",'Operating costs'!$B$52,'Operating costs'!$B$51))^MAX(0,C2385-1)+Paths!$M$223*(1+'Operating costs'!$B$53)^MAX(0,C2385-1)),"n.a."))</f>
        <v>0</v>
      </c>
      <c r="I2385" s="16">
        <f>IF(NOT(Paths!$C$223=1),0,IF(Paths!$P$223="Complete",IF(IF(Paths!$E$223=0,C2385=0,AND(C2385&gt;0,Paths!$E$223&gt;(C2385-1)*12,Paths!$E$223&lt;=C2385*12)),Paths!$G$223,0),"n.a."))</f>
        <v>0</v>
      </c>
      <c r="J2385" s="16">
        <f>IF(NOT(Paths!$C$223=1),0,IF(Paths!$P$223="Complete",IF(IF(Paths!$E$223=0,C2385=0,AND(C2385&gt;0,Paths!$E$223&gt;(C2385-1)*12,Paths!$E$223&lt;=C2385*12)),Paths!$H$223,0),"n.a."))</f>
        <v>0</v>
      </c>
      <c r="K2385" s="16">
        <f>IF(NOT(Paths!$C$223=1),0,IF(Paths!$P$223="Complete",IF(IF(Paths!$O$223=0,C2385=0,AND(C2385&gt;0,Paths!$O$223&gt;(C2385-1)*12,Paths!$O$223&lt;=C2385*12)),Paths!$N$223,0),"n.a."))</f>
        <v>0</v>
      </c>
      <c r="L2385" s="16">
        <f>IF(NOT(Paths!$C$223=1),0,IF(Paths!$P$223="Complete",IF(C2385=10,Paths!$I$223,0),"n.a."))</f>
        <v>0</v>
      </c>
      <c r="M2385" s="16">
        <f>IF(NOT(Paths!$C$223=1),0,IF(Paths!$P$223="Complete",IF(AND(Paths!$D$223="EV",Paths!$E$223&lt;120,Paths!$E$223+'Operating costs'!$B$65&gt;Paths!$E$223,Paths!$E$223+'Operating costs'!$B$65&lt;=120,IF(Paths!$E$223+'Operating costs'!$B$65=0,C2385=0,AND(C2385&gt;0,Paths!$E$223+'Operating costs'!$B$65&gt;(C2385-1)*12,Paths!$E$223+'Operating costs'!$B$65&lt;=C2385*12))),'Operating costs'!$B$64,0)+IF(AND('Operating costs'!$B$67&gt;0,'Operating costs'!$B$67&lt;=120,OR(Paths!$D$223="ICE",'Operating costs'!$B$67&lt;=Paths!$E$223),IF('Operating costs'!$B$67=0,C2385=0,AND(C2385&gt;0,'Operating costs'!$B$67&gt;(C2385-1)*12,'Operating costs'!$B$67&lt;=C2385*12))),'Operating costs'!$B$66,0),"n.a."))</f>
        <v>0</v>
      </c>
      <c r="N2385" s="16">
        <f>IF(NOT(Paths!$C$223=1),0,IF(Paths!$P$223="Complete",SUM(G2385:I2385)-J2385-K2385-L2385+M2385+IF(C2385=0,Paths!$F$223,0)+IF(IF(Paths!$E$223=0,C2385=0,AND(C2385&gt;0,Paths!$E$223&gt;(C2385-1)*12,Paths!$E$223&lt;=C2385*12)),VLOOKUP(A2385,'Fleet register'!$A$7:$S$106,16,FALSE),0),"n.a."))</f>
        <v>0</v>
      </c>
      <c r="O2385" s="16">
        <f>IF(NOT(Paths!$C$223=1),0,IF(Paths!$P$223="Complete",N2385-IF(C2385=0,Paths!$F$223,0),"n.a."))</f>
        <v>0</v>
      </c>
      <c r="P2385" s="16">
        <f>IF(NOT(Paths!$C$223=1),0,IF(Paths!$P$223="Complete",O2385+L2385,"n.a."))</f>
        <v>0</v>
      </c>
      <c r="Q2385" s="16">
        <f>IF(NOT(Paths!$C$223=1),0,IF(Paths!$P$223="Complete",N2385*(1+'Operating costs'!$B$54)^-C2385,"n.a."))</f>
        <v>0</v>
      </c>
      <c r="R2385" s="16">
        <f>IF(NOT(Paths!$C$223=1),0,IF(Paths!$P$223="Complete",IF(AND(C2385=0,Paths!$E$223=0),I2385-J2385-K2385+VLOOKUP(A2385,'Fleet register'!$A$7:$S$106,15,FALSE)+VLOOKUP(A2385,'Fleet register'!$A$7:$S$106,16,FALSE),0),"n.a."))</f>
        <v>0</v>
      </c>
      <c r="S2385" s="1">
        <f>IF(NOT(Paths!$C$223=1),0,IF(Paths!$P$223="Complete",IF(C2385=0,0,Paths!$S$223*Paths!$R$223),"n.a."))</f>
        <v>0</v>
      </c>
      <c r="T2385" s="1">
        <f>IF(NOT(Paths!$C$223=1),0,IF(Paths!$P$223="Complete",IF(C2385=0,0,VLOOKUP(A2385,'Fleet register'!$A$7:$S$106,9,FALSE)*Paths!$R$223),"n.a."))</f>
        <v>0</v>
      </c>
    </row>
    <row r="2386" spans="1:20" ht="24" customHeight="1">
      <c r="A2386" s="1" t="str">
        <f>Paths!$A$223</f>
        <v>T055</v>
      </c>
      <c r="B2386" s="1">
        <f>Paths!$B$223</f>
        <v>0</v>
      </c>
      <c r="C2386" s="1">
        <v>3</v>
      </c>
      <c r="D2386" s="1">
        <v>223</v>
      </c>
      <c r="E2386" s="1">
        <f>IF(OR(Paths!$C$223=0,C2386=0),0,MAX(0,MIN(C2386*12,Paths!$E$223)-(C2386-1)*12))</f>
        <v>0</v>
      </c>
      <c r="F2386" s="1">
        <f>IF(OR(Paths!$C$223=0,C2386=0),0,12-E2386)</f>
        <v>0</v>
      </c>
      <c r="G2386" s="16">
        <f>IF(NOT(Paths!$C$223=1),0,IF(Paths!$P$223="Complete",E2386/12*(Paths!$J$223*(1+'Operating costs'!$B$51)^MAX(0,C2386-1)+Paths!$K$223*(1+'Operating costs'!$B$53)^MAX(0,C2386-1)),"n.a."))</f>
        <v>0</v>
      </c>
      <c r="H2386" s="16">
        <f>IF(NOT(Paths!$C$223=1),0,IF(Paths!$P$223="Complete",F2386/12*(Paths!$L$223*(1+IF(Paths!$D$223="EV",'Operating costs'!$B$52,'Operating costs'!$B$51))^MAX(0,C2386-1)+Paths!$M$223*(1+'Operating costs'!$B$53)^MAX(0,C2386-1)),"n.a."))</f>
        <v>0</v>
      </c>
      <c r="I2386" s="16">
        <f>IF(NOT(Paths!$C$223=1),0,IF(Paths!$P$223="Complete",IF(IF(Paths!$E$223=0,C2386=0,AND(C2386&gt;0,Paths!$E$223&gt;(C2386-1)*12,Paths!$E$223&lt;=C2386*12)),Paths!$G$223,0),"n.a."))</f>
        <v>0</v>
      </c>
      <c r="J2386" s="16">
        <f>IF(NOT(Paths!$C$223=1),0,IF(Paths!$P$223="Complete",IF(IF(Paths!$E$223=0,C2386=0,AND(C2386&gt;0,Paths!$E$223&gt;(C2386-1)*12,Paths!$E$223&lt;=C2386*12)),Paths!$H$223,0),"n.a."))</f>
        <v>0</v>
      </c>
      <c r="K2386" s="16">
        <f>IF(NOT(Paths!$C$223=1),0,IF(Paths!$P$223="Complete",IF(IF(Paths!$O$223=0,C2386=0,AND(C2386&gt;0,Paths!$O$223&gt;(C2386-1)*12,Paths!$O$223&lt;=C2386*12)),Paths!$N$223,0),"n.a."))</f>
        <v>0</v>
      </c>
      <c r="L2386" s="16">
        <f>IF(NOT(Paths!$C$223=1),0,IF(Paths!$P$223="Complete",IF(C2386=10,Paths!$I$223,0),"n.a."))</f>
        <v>0</v>
      </c>
      <c r="M2386" s="16">
        <f>IF(NOT(Paths!$C$223=1),0,IF(Paths!$P$223="Complete",IF(AND(Paths!$D$223="EV",Paths!$E$223&lt;120,Paths!$E$223+'Operating costs'!$B$65&gt;Paths!$E$223,Paths!$E$223+'Operating costs'!$B$65&lt;=120,IF(Paths!$E$223+'Operating costs'!$B$65=0,C2386=0,AND(C2386&gt;0,Paths!$E$223+'Operating costs'!$B$65&gt;(C2386-1)*12,Paths!$E$223+'Operating costs'!$B$65&lt;=C2386*12))),'Operating costs'!$B$64,0)+IF(AND('Operating costs'!$B$67&gt;0,'Operating costs'!$B$67&lt;=120,OR(Paths!$D$223="ICE",'Operating costs'!$B$67&lt;=Paths!$E$223),IF('Operating costs'!$B$67=0,C2386=0,AND(C2386&gt;0,'Operating costs'!$B$67&gt;(C2386-1)*12,'Operating costs'!$B$67&lt;=C2386*12))),'Operating costs'!$B$66,0),"n.a."))</f>
        <v>0</v>
      </c>
      <c r="N2386" s="16">
        <f>IF(NOT(Paths!$C$223=1),0,IF(Paths!$P$223="Complete",SUM(G2386:I2386)-J2386-K2386-L2386+M2386+IF(C2386=0,Paths!$F$223,0)+IF(IF(Paths!$E$223=0,C2386=0,AND(C2386&gt;0,Paths!$E$223&gt;(C2386-1)*12,Paths!$E$223&lt;=C2386*12)),VLOOKUP(A2386,'Fleet register'!$A$7:$S$106,16,FALSE),0),"n.a."))</f>
        <v>0</v>
      </c>
      <c r="O2386" s="16">
        <f>IF(NOT(Paths!$C$223=1),0,IF(Paths!$P$223="Complete",N2386-IF(C2386=0,Paths!$F$223,0),"n.a."))</f>
        <v>0</v>
      </c>
      <c r="P2386" s="16">
        <f>IF(NOT(Paths!$C$223=1),0,IF(Paths!$P$223="Complete",O2386+L2386,"n.a."))</f>
        <v>0</v>
      </c>
      <c r="Q2386" s="16">
        <f>IF(NOT(Paths!$C$223=1),0,IF(Paths!$P$223="Complete",N2386*(1+'Operating costs'!$B$54)^-C2386,"n.a."))</f>
        <v>0</v>
      </c>
      <c r="R2386" s="16">
        <f>IF(NOT(Paths!$C$223=1),0,IF(Paths!$P$223="Complete",IF(AND(C2386=0,Paths!$E$223=0),I2386-J2386-K2386+VLOOKUP(A2386,'Fleet register'!$A$7:$S$106,15,FALSE)+VLOOKUP(A2386,'Fleet register'!$A$7:$S$106,16,FALSE),0),"n.a."))</f>
        <v>0</v>
      </c>
      <c r="S2386" s="1">
        <f>IF(NOT(Paths!$C$223=1),0,IF(Paths!$P$223="Complete",IF(C2386=0,0,Paths!$S$223*Paths!$R$223),"n.a."))</f>
        <v>0</v>
      </c>
      <c r="T2386" s="1">
        <f>IF(NOT(Paths!$C$223=1),0,IF(Paths!$P$223="Complete",IF(C2386=0,0,VLOOKUP(A2386,'Fleet register'!$A$7:$S$106,9,FALSE)*Paths!$R$223),"n.a."))</f>
        <v>0</v>
      </c>
    </row>
    <row r="2387" spans="1:20" ht="24" customHeight="1">
      <c r="A2387" s="1" t="str">
        <f>Paths!$A$223</f>
        <v>T055</v>
      </c>
      <c r="B2387" s="1">
        <f>Paths!$B$223</f>
        <v>0</v>
      </c>
      <c r="C2387" s="1">
        <v>4</v>
      </c>
      <c r="D2387" s="1">
        <v>223</v>
      </c>
      <c r="E2387" s="1">
        <f>IF(OR(Paths!$C$223=0,C2387=0),0,MAX(0,MIN(C2387*12,Paths!$E$223)-(C2387-1)*12))</f>
        <v>0</v>
      </c>
      <c r="F2387" s="1">
        <f>IF(OR(Paths!$C$223=0,C2387=0),0,12-E2387)</f>
        <v>0</v>
      </c>
      <c r="G2387" s="16">
        <f>IF(NOT(Paths!$C$223=1),0,IF(Paths!$P$223="Complete",E2387/12*(Paths!$J$223*(1+'Operating costs'!$B$51)^MAX(0,C2387-1)+Paths!$K$223*(1+'Operating costs'!$B$53)^MAX(0,C2387-1)),"n.a."))</f>
        <v>0</v>
      </c>
      <c r="H2387" s="16">
        <f>IF(NOT(Paths!$C$223=1),0,IF(Paths!$P$223="Complete",F2387/12*(Paths!$L$223*(1+IF(Paths!$D$223="EV",'Operating costs'!$B$52,'Operating costs'!$B$51))^MAX(0,C2387-1)+Paths!$M$223*(1+'Operating costs'!$B$53)^MAX(0,C2387-1)),"n.a."))</f>
        <v>0</v>
      </c>
      <c r="I2387" s="16">
        <f>IF(NOT(Paths!$C$223=1),0,IF(Paths!$P$223="Complete",IF(IF(Paths!$E$223=0,C2387=0,AND(C2387&gt;0,Paths!$E$223&gt;(C2387-1)*12,Paths!$E$223&lt;=C2387*12)),Paths!$G$223,0),"n.a."))</f>
        <v>0</v>
      </c>
      <c r="J2387" s="16">
        <f>IF(NOT(Paths!$C$223=1),0,IF(Paths!$P$223="Complete",IF(IF(Paths!$E$223=0,C2387=0,AND(C2387&gt;0,Paths!$E$223&gt;(C2387-1)*12,Paths!$E$223&lt;=C2387*12)),Paths!$H$223,0),"n.a."))</f>
        <v>0</v>
      </c>
      <c r="K2387" s="16">
        <f>IF(NOT(Paths!$C$223=1),0,IF(Paths!$P$223="Complete",IF(IF(Paths!$O$223=0,C2387=0,AND(C2387&gt;0,Paths!$O$223&gt;(C2387-1)*12,Paths!$O$223&lt;=C2387*12)),Paths!$N$223,0),"n.a."))</f>
        <v>0</v>
      </c>
      <c r="L2387" s="16">
        <f>IF(NOT(Paths!$C$223=1),0,IF(Paths!$P$223="Complete",IF(C2387=10,Paths!$I$223,0),"n.a."))</f>
        <v>0</v>
      </c>
      <c r="M2387" s="16">
        <f>IF(NOT(Paths!$C$223=1),0,IF(Paths!$P$223="Complete",IF(AND(Paths!$D$223="EV",Paths!$E$223&lt;120,Paths!$E$223+'Operating costs'!$B$65&gt;Paths!$E$223,Paths!$E$223+'Operating costs'!$B$65&lt;=120,IF(Paths!$E$223+'Operating costs'!$B$65=0,C2387=0,AND(C2387&gt;0,Paths!$E$223+'Operating costs'!$B$65&gt;(C2387-1)*12,Paths!$E$223+'Operating costs'!$B$65&lt;=C2387*12))),'Operating costs'!$B$64,0)+IF(AND('Operating costs'!$B$67&gt;0,'Operating costs'!$B$67&lt;=120,OR(Paths!$D$223="ICE",'Operating costs'!$B$67&lt;=Paths!$E$223),IF('Operating costs'!$B$67=0,C2387=0,AND(C2387&gt;0,'Operating costs'!$B$67&gt;(C2387-1)*12,'Operating costs'!$B$67&lt;=C2387*12))),'Operating costs'!$B$66,0),"n.a."))</f>
        <v>0</v>
      </c>
      <c r="N2387" s="16">
        <f>IF(NOT(Paths!$C$223=1),0,IF(Paths!$P$223="Complete",SUM(G2387:I2387)-J2387-K2387-L2387+M2387+IF(C2387=0,Paths!$F$223,0)+IF(IF(Paths!$E$223=0,C2387=0,AND(C2387&gt;0,Paths!$E$223&gt;(C2387-1)*12,Paths!$E$223&lt;=C2387*12)),VLOOKUP(A2387,'Fleet register'!$A$7:$S$106,16,FALSE),0),"n.a."))</f>
        <v>0</v>
      </c>
      <c r="O2387" s="16">
        <f>IF(NOT(Paths!$C$223=1),0,IF(Paths!$P$223="Complete",N2387-IF(C2387=0,Paths!$F$223,0),"n.a."))</f>
        <v>0</v>
      </c>
      <c r="P2387" s="16">
        <f>IF(NOT(Paths!$C$223=1),0,IF(Paths!$P$223="Complete",O2387+L2387,"n.a."))</f>
        <v>0</v>
      </c>
      <c r="Q2387" s="16">
        <f>IF(NOT(Paths!$C$223=1),0,IF(Paths!$P$223="Complete",N2387*(1+'Operating costs'!$B$54)^-C2387,"n.a."))</f>
        <v>0</v>
      </c>
      <c r="R2387" s="16">
        <f>IF(NOT(Paths!$C$223=1),0,IF(Paths!$P$223="Complete",IF(AND(C2387=0,Paths!$E$223=0),I2387-J2387-K2387+VLOOKUP(A2387,'Fleet register'!$A$7:$S$106,15,FALSE)+VLOOKUP(A2387,'Fleet register'!$A$7:$S$106,16,FALSE),0),"n.a."))</f>
        <v>0</v>
      </c>
      <c r="S2387" s="1">
        <f>IF(NOT(Paths!$C$223=1),0,IF(Paths!$P$223="Complete",IF(C2387=0,0,Paths!$S$223*Paths!$R$223),"n.a."))</f>
        <v>0</v>
      </c>
      <c r="T2387" s="1">
        <f>IF(NOT(Paths!$C$223=1),0,IF(Paths!$P$223="Complete",IF(C2387=0,0,VLOOKUP(A2387,'Fleet register'!$A$7:$S$106,9,FALSE)*Paths!$R$223),"n.a."))</f>
        <v>0</v>
      </c>
    </row>
    <row r="2388" spans="1:20" ht="24" customHeight="1">
      <c r="A2388" s="1" t="str">
        <f>Paths!$A$223</f>
        <v>T055</v>
      </c>
      <c r="B2388" s="1">
        <f>Paths!$B$223</f>
        <v>0</v>
      </c>
      <c r="C2388" s="1">
        <v>5</v>
      </c>
      <c r="D2388" s="1">
        <v>223</v>
      </c>
      <c r="E2388" s="1">
        <f>IF(OR(Paths!$C$223=0,C2388=0),0,MAX(0,MIN(C2388*12,Paths!$E$223)-(C2388-1)*12))</f>
        <v>0</v>
      </c>
      <c r="F2388" s="1">
        <f>IF(OR(Paths!$C$223=0,C2388=0),0,12-E2388)</f>
        <v>0</v>
      </c>
      <c r="G2388" s="16">
        <f>IF(NOT(Paths!$C$223=1),0,IF(Paths!$P$223="Complete",E2388/12*(Paths!$J$223*(1+'Operating costs'!$B$51)^MAX(0,C2388-1)+Paths!$K$223*(1+'Operating costs'!$B$53)^MAX(0,C2388-1)),"n.a."))</f>
        <v>0</v>
      </c>
      <c r="H2388" s="16">
        <f>IF(NOT(Paths!$C$223=1),0,IF(Paths!$P$223="Complete",F2388/12*(Paths!$L$223*(1+IF(Paths!$D$223="EV",'Operating costs'!$B$52,'Operating costs'!$B$51))^MAX(0,C2388-1)+Paths!$M$223*(1+'Operating costs'!$B$53)^MAX(0,C2388-1)),"n.a."))</f>
        <v>0</v>
      </c>
      <c r="I2388" s="16">
        <f>IF(NOT(Paths!$C$223=1),0,IF(Paths!$P$223="Complete",IF(IF(Paths!$E$223=0,C2388=0,AND(C2388&gt;0,Paths!$E$223&gt;(C2388-1)*12,Paths!$E$223&lt;=C2388*12)),Paths!$G$223,0),"n.a."))</f>
        <v>0</v>
      </c>
      <c r="J2388" s="16">
        <f>IF(NOT(Paths!$C$223=1),0,IF(Paths!$P$223="Complete",IF(IF(Paths!$E$223=0,C2388=0,AND(C2388&gt;0,Paths!$E$223&gt;(C2388-1)*12,Paths!$E$223&lt;=C2388*12)),Paths!$H$223,0),"n.a."))</f>
        <v>0</v>
      </c>
      <c r="K2388" s="16">
        <f>IF(NOT(Paths!$C$223=1),0,IF(Paths!$P$223="Complete",IF(IF(Paths!$O$223=0,C2388=0,AND(C2388&gt;0,Paths!$O$223&gt;(C2388-1)*12,Paths!$O$223&lt;=C2388*12)),Paths!$N$223,0),"n.a."))</f>
        <v>0</v>
      </c>
      <c r="L2388" s="16">
        <f>IF(NOT(Paths!$C$223=1),0,IF(Paths!$P$223="Complete",IF(C2388=10,Paths!$I$223,0),"n.a."))</f>
        <v>0</v>
      </c>
      <c r="M2388" s="16">
        <f>IF(NOT(Paths!$C$223=1),0,IF(Paths!$P$223="Complete",IF(AND(Paths!$D$223="EV",Paths!$E$223&lt;120,Paths!$E$223+'Operating costs'!$B$65&gt;Paths!$E$223,Paths!$E$223+'Operating costs'!$B$65&lt;=120,IF(Paths!$E$223+'Operating costs'!$B$65=0,C2388=0,AND(C2388&gt;0,Paths!$E$223+'Operating costs'!$B$65&gt;(C2388-1)*12,Paths!$E$223+'Operating costs'!$B$65&lt;=C2388*12))),'Operating costs'!$B$64,0)+IF(AND('Operating costs'!$B$67&gt;0,'Operating costs'!$B$67&lt;=120,OR(Paths!$D$223="ICE",'Operating costs'!$B$67&lt;=Paths!$E$223),IF('Operating costs'!$B$67=0,C2388=0,AND(C2388&gt;0,'Operating costs'!$B$67&gt;(C2388-1)*12,'Operating costs'!$B$67&lt;=C2388*12))),'Operating costs'!$B$66,0),"n.a."))</f>
        <v>0</v>
      </c>
      <c r="N2388" s="16">
        <f>IF(NOT(Paths!$C$223=1),0,IF(Paths!$P$223="Complete",SUM(G2388:I2388)-J2388-K2388-L2388+M2388+IF(C2388=0,Paths!$F$223,0)+IF(IF(Paths!$E$223=0,C2388=0,AND(C2388&gt;0,Paths!$E$223&gt;(C2388-1)*12,Paths!$E$223&lt;=C2388*12)),VLOOKUP(A2388,'Fleet register'!$A$7:$S$106,16,FALSE),0),"n.a."))</f>
        <v>0</v>
      </c>
      <c r="O2388" s="16">
        <f>IF(NOT(Paths!$C$223=1),0,IF(Paths!$P$223="Complete",N2388-IF(C2388=0,Paths!$F$223,0),"n.a."))</f>
        <v>0</v>
      </c>
      <c r="P2388" s="16">
        <f>IF(NOT(Paths!$C$223=1),0,IF(Paths!$P$223="Complete",O2388+L2388,"n.a."))</f>
        <v>0</v>
      </c>
      <c r="Q2388" s="16">
        <f>IF(NOT(Paths!$C$223=1),0,IF(Paths!$P$223="Complete",N2388*(1+'Operating costs'!$B$54)^-C2388,"n.a."))</f>
        <v>0</v>
      </c>
      <c r="R2388" s="16">
        <f>IF(NOT(Paths!$C$223=1),0,IF(Paths!$P$223="Complete",IF(AND(C2388=0,Paths!$E$223=0),I2388-J2388-K2388+VLOOKUP(A2388,'Fleet register'!$A$7:$S$106,15,FALSE)+VLOOKUP(A2388,'Fleet register'!$A$7:$S$106,16,FALSE),0),"n.a."))</f>
        <v>0</v>
      </c>
      <c r="S2388" s="1">
        <f>IF(NOT(Paths!$C$223=1),0,IF(Paths!$P$223="Complete",IF(C2388=0,0,Paths!$S$223*Paths!$R$223),"n.a."))</f>
        <v>0</v>
      </c>
      <c r="T2388" s="1">
        <f>IF(NOT(Paths!$C$223=1),0,IF(Paths!$P$223="Complete",IF(C2388=0,0,VLOOKUP(A2388,'Fleet register'!$A$7:$S$106,9,FALSE)*Paths!$R$223),"n.a."))</f>
        <v>0</v>
      </c>
    </row>
    <row r="2389" spans="1:20" ht="24" customHeight="1">
      <c r="A2389" s="1" t="str">
        <f>Paths!$A$223</f>
        <v>T055</v>
      </c>
      <c r="B2389" s="1">
        <f>Paths!$B$223</f>
        <v>0</v>
      </c>
      <c r="C2389" s="1">
        <v>6</v>
      </c>
      <c r="D2389" s="1">
        <v>223</v>
      </c>
      <c r="E2389" s="1">
        <f>IF(OR(Paths!$C$223=0,C2389=0),0,MAX(0,MIN(C2389*12,Paths!$E$223)-(C2389-1)*12))</f>
        <v>0</v>
      </c>
      <c r="F2389" s="1">
        <f>IF(OR(Paths!$C$223=0,C2389=0),0,12-E2389)</f>
        <v>0</v>
      </c>
      <c r="G2389" s="16">
        <f>IF(NOT(Paths!$C$223=1),0,IF(Paths!$P$223="Complete",E2389/12*(Paths!$J$223*(1+'Operating costs'!$B$51)^MAX(0,C2389-1)+Paths!$K$223*(1+'Operating costs'!$B$53)^MAX(0,C2389-1)),"n.a."))</f>
        <v>0</v>
      </c>
      <c r="H2389" s="16">
        <f>IF(NOT(Paths!$C$223=1),0,IF(Paths!$P$223="Complete",F2389/12*(Paths!$L$223*(1+IF(Paths!$D$223="EV",'Operating costs'!$B$52,'Operating costs'!$B$51))^MAX(0,C2389-1)+Paths!$M$223*(1+'Operating costs'!$B$53)^MAX(0,C2389-1)),"n.a."))</f>
        <v>0</v>
      </c>
      <c r="I2389" s="16">
        <f>IF(NOT(Paths!$C$223=1),0,IF(Paths!$P$223="Complete",IF(IF(Paths!$E$223=0,C2389=0,AND(C2389&gt;0,Paths!$E$223&gt;(C2389-1)*12,Paths!$E$223&lt;=C2389*12)),Paths!$G$223,0),"n.a."))</f>
        <v>0</v>
      </c>
      <c r="J2389" s="16">
        <f>IF(NOT(Paths!$C$223=1),0,IF(Paths!$P$223="Complete",IF(IF(Paths!$E$223=0,C2389=0,AND(C2389&gt;0,Paths!$E$223&gt;(C2389-1)*12,Paths!$E$223&lt;=C2389*12)),Paths!$H$223,0),"n.a."))</f>
        <v>0</v>
      </c>
      <c r="K2389" s="16">
        <f>IF(NOT(Paths!$C$223=1),0,IF(Paths!$P$223="Complete",IF(IF(Paths!$O$223=0,C2389=0,AND(C2389&gt;0,Paths!$O$223&gt;(C2389-1)*12,Paths!$O$223&lt;=C2389*12)),Paths!$N$223,0),"n.a."))</f>
        <v>0</v>
      </c>
      <c r="L2389" s="16">
        <f>IF(NOT(Paths!$C$223=1),0,IF(Paths!$P$223="Complete",IF(C2389=10,Paths!$I$223,0),"n.a."))</f>
        <v>0</v>
      </c>
      <c r="M2389" s="16">
        <f>IF(NOT(Paths!$C$223=1),0,IF(Paths!$P$223="Complete",IF(AND(Paths!$D$223="EV",Paths!$E$223&lt;120,Paths!$E$223+'Operating costs'!$B$65&gt;Paths!$E$223,Paths!$E$223+'Operating costs'!$B$65&lt;=120,IF(Paths!$E$223+'Operating costs'!$B$65=0,C2389=0,AND(C2389&gt;0,Paths!$E$223+'Operating costs'!$B$65&gt;(C2389-1)*12,Paths!$E$223+'Operating costs'!$B$65&lt;=C2389*12))),'Operating costs'!$B$64,0)+IF(AND('Operating costs'!$B$67&gt;0,'Operating costs'!$B$67&lt;=120,OR(Paths!$D$223="ICE",'Operating costs'!$B$67&lt;=Paths!$E$223),IF('Operating costs'!$B$67=0,C2389=0,AND(C2389&gt;0,'Operating costs'!$B$67&gt;(C2389-1)*12,'Operating costs'!$B$67&lt;=C2389*12))),'Operating costs'!$B$66,0),"n.a."))</f>
        <v>0</v>
      </c>
      <c r="N2389" s="16">
        <f>IF(NOT(Paths!$C$223=1),0,IF(Paths!$P$223="Complete",SUM(G2389:I2389)-J2389-K2389-L2389+M2389+IF(C2389=0,Paths!$F$223,0)+IF(IF(Paths!$E$223=0,C2389=0,AND(C2389&gt;0,Paths!$E$223&gt;(C2389-1)*12,Paths!$E$223&lt;=C2389*12)),VLOOKUP(A2389,'Fleet register'!$A$7:$S$106,16,FALSE),0),"n.a."))</f>
        <v>0</v>
      </c>
      <c r="O2389" s="16">
        <f>IF(NOT(Paths!$C$223=1),0,IF(Paths!$P$223="Complete",N2389-IF(C2389=0,Paths!$F$223,0),"n.a."))</f>
        <v>0</v>
      </c>
      <c r="P2389" s="16">
        <f>IF(NOT(Paths!$C$223=1),0,IF(Paths!$P$223="Complete",O2389+L2389,"n.a."))</f>
        <v>0</v>
      </c>
      <c r="Q2389" s="16">
        <f>IF(NOT(Paths!$C$223=1),0,IF(Paths!$P$223="Complete",N2389*(1+'Operating costs'!$B$54)^-C2389,"n.a."))</f>
        <v>0</v>
      </c>
      <c r="R2389" s="16">
        <f>IF(NOT(Paths!$C$223=1),0,IF(Paths!$P$223="Complete",IF(AND(C2389=0,Paths!$E$223=0),I2389-J2389-K2389+VLOOKUP(A2389,'Fleet register'!$A$7:$S$106,15,FALSE)+VLOOKUP(A2389,'Fleet register'!$A$7:$S$106,16,FALSE),0),"n.a."))</f>
        <v>0</v>
      </c>
      <c r="S2389" s="1">
        <f>IF(NOT(Paths!$C$223=1),0,IF(Paths!$P$223="Complete",IF(C2389=0,0,Paths!$S$223*Paths!$R$223),"n.a."))</f>
        <v>0</v>
      </c>
      <c r="T2389" s="1">
        <f>IF(NOT(Paths!$C$223=1),0,IF(Paths!$P$223="Complete",IF(C2389=0,0,VLOOKUP(A2389,'Fleet register'!$A$7:$S$106,9,FALSE)*Paths!$R$223),"n.a."))</f>
        <v>0</v>
      </c>
    </row>
    <row r="2390" spans="1:20" ht="24" customHeight="1">
      <c r="A2390" s="1" t="str">
        <f>Paths!$A$223</f>
        <v>T055</v>
      </c>
      <c r="B2390" s="1">
        <f>Paths!$B$223</f>
        <v>0</v>
      </c>
      <c r="C2390" s="1">
        <v>7</v>
      </c>
      <c r="D2390" s="1">
        <v>223</v>
      </c>
      <c r="E2390" s="1">
        <f>IF(OR(Paths!$C$223=0,C2390=0),0,MAX(0,MIN(C2390*12,Paths!$E$223)-(C2390-1)*12))</f>
        <v>0</v>
      </c>
      <c r="F2390" s="1">
        <f>IF(OR(Paths!$C$223=0,C2390=0),0,12-E2390)</f>
        <v>0</v>
      </c>
      <c r="G2390" s="16">
        <f>IF(NOT(Paths!$C$223=1),0,IF(Paths!$P$223="Complete",E2390/12*(Paths!$J$223*(1+'Operating costs'!$B$51)^MAX(0,C2390-1)+Paths!$K$223*(1+'Operating costs'!$B$53)^MAX(0,C2390-1)),"n.a."))</f>
        <v>0</v>
      </c>
      <c r="H2390" s="16">
        <f>IF(NOT(Paths!$C$223=1),0,IF(Paths!$P$223="Complete",F2390/12*(Paths!$L$223*(1+IF(Paths!$D$223="EV",'Operating costs'!$B$52,'Operating costs'!$B$51))^MAX(0,C2390-1)+Paths!$M$223*(1+'Operating costs'!$B$53)^MAX(0,C2390-1)),"n.a."))</f>
        <v>0</v>
      </c>
      <c r="I2390" s="16">
        <f>IF(NOT(Paths!$C$223=1),0,IF(Paths!$P$223="Complete",IF(IF(Paths!$E$223=0,C2390=0,AND(C2390&gt;0,Paths!$E$223&gt;(C2390-1)*12,Paths!$E$223&lt;=C2390*12)),Paths!$G$223,0),"n.a."))</f>
        <v>0</v>
      </c>
      <c r="J2390" s="16">
        <f>IF(NOT(Paths!$C$223=1),0,IF(Paths!$P$223="Complete",IF(IF(Paths!$E$223=0,C2390=0,AND(C2390&gt;0,Paths!$E$223&gt;(C2390-1)*12,Paths!$E$223&lt;=C2390*12)),Paths!$H$223,0),"n.a."))</f>
        <v>0</v>
      </c>
      <c r="K2390" s="16">
        <f>IF(NOT(Paths!$C$223=1),0,IF(Paths!$P$223="Complete",IF(IF(Paths!$O$223=0,C2390=0,AND(C2390&gt;0,Paths!$O$223&gt;(C2390-1)*12,Paths!$O$223&lt;=C2390*12)),Paths!$N$223,0),"n.a."))</f>
        <v>0</v>
      </c>
      <c r="L2390" s="16">
        <f>IF(NOT(Paths!$C$223=1),0,IF(Paths!$P$223="Complete",IF(C2390=10,Paths!$I$223,0),"n.a."))</f>
        <v>0</v>
      </c>
      <c r="M2390" s="16">
        <f>IF(NOT(Paths!$C$223=1),0,IF(Paths!$P$223="Complete",IF(AND(Paths!$D$223="EV",Paths!$E$223&lt;120,Paths!$E$223+'Operating costs'!$B$65&gt;Paths!$E$223,Paths!$E$223+'Operating costs'!$B$65&lt;=120,IF(Paths!$E$223+'Operating costs'!$B$65=0,C2390=0,AND(C2390&gt;0,Paths!$E$223+'Operating costs'!$B$65&gt;(C2390-1)*12,Paths!$E$223+'Operating costs'!$B$65&lt;=C2390*12))),'Operating costs'!$B$64,0)+IF(AND('Operating costs'!$B$67&gt;0,'Operating costs'!$B$67&lt;=120,OR(Paths!$D$223="ICE",'Operating costs'!$B$67&lt;=Paths!$E$223),IF('Operating costs'!$B$67=0,C2390=0,AND(C2390&gt;0,'Operating costs'!$B$67&gt;(C2390-1)*12,'Operating costs'!$B$67&lt;=C2390*12))),'Operating costs'!$B$66,0),"n.a."))</f>
        <v>0</v>
      </c>
      <c r="N2390" s="16">
        <f>IF(NOT(Paths!$C$223=1),0,IF(Paths!$P$223="Complete",SUM(G2390:I2390)-J2390-K2390-L2390+M2390+IF(C2390=0,Paths!$F$223,0)+IF(IF(Paths!$E$223=0,C2390=0,AND(C2390&gt;0,Paths!$E$223&gt;(C2390-1)*12,Paths!$E$223&lt;=C2390*12)),VLOOKUP(A2390,'Fleet register'!$A$7:$S$106,16,FALSE),0),"n.a."))</f>
        <v>0</v>
      </c>
      <c r="O2390" s="16">
        <f>IF(NOT(Paths!$C$223=1),0,IF(Paths!$P$223="Complete",N2390-IF(C2390=0,Paths!$F$223,0),"n.a."))</f>
        <v>0</v>
      </c>
      <c r="P2390" s="16">
        <f>IF(NOT(Paths!$C$223=1),0,IF(Paths!$P$223="Complete",O2390+L2390,"n.a."))</f>
        <v>0</v>
      </c>
      <c r="Q2390" s="16">
        <f>IF(NOT(Paths!$C$223=1),0,IF(Paths!$P$223="Complete",N2390*(1+'Operating costs'!$B$54)^-C2390,"n.a."))</f>
        <v>0</v>
      </c>
      <c r="R2390" s="16">
        <f>IF(NOT(Paths!$C$223=1),0,IF(Paths!$P$223="Complete",IF(AND(C2390=0,Paths!$E$223=0),I2390-J2390-K2390+VLOOKUP(A2390,'Fleet register'!$A$7:$S$106,15,FALSE)+VLOOKUP(A2390,'Fleet register'!$A$7:$S$106,16,FALSE),0),"n.a."))</f>
        <v>0</v>
      </c>
      <c r="S2390" s="1">
        <f>IF(NOT(Paths!$C$223=1),0,IF(Paths!$P$223="Complete",IF(C2390=0,0,Paths!$S$223*Paths!$R$223),"n.a."))</f>
        <v>0</v>
      </c>
      <c r="T2390" s="1">
        <f>IF(NOT(Paths!$C$223=1),0,IF(Paths!$P$223="Complete",IF(C2390=0,0,VLOOKUP(A2390,'Fleet register'!$A$7:$S$106,9,FALSE)*Paths!$R$223),"n.a."))</f>
        <v>0</v>
      </c>
    </row>
    <row r="2391" spans="1:20" ht="24" customHeight="1">
      <c r="A2391" s="1" t="str">
        <f>Paths!$A$223</f>
        <v>T055</v>
      </c>
      <c r="B2391" s="1">
        <f>Paths!$B$223</f>
        <v>0</v>
      </c>
      <c r="C2391" s="1">
        <v>8</v>
      </c>
      <c r="D2391" s="1">
        <v>223</v>
      </c>
      <c r="E2391" s="1">
        <f>IF(OR(Paths!$C$223=0,C2391=0),0,MAX(0,MIN(C2391*12,Paths!$E$223)-(C2391-1)*12))</f>
        <v>0</v>
      </c>
      <c r="F2391" s="1">
        <f>IF(OR(Paths!$C$223=0,C2391=0),0,12-E2391)</f>
        <v>0</v>
      </c>
      <c r="G2391" s="16">
        <f>IF(NOT(Paths!$C$223=1),0,IF(Paths!$P$223="Complete",E2391/12*(Paths!$J$223*(1+'Operating costs'!$B$51)^MAX(0,C2391-1)+Paths!$K$223*(1+'Operating costs'!$B$53)^MAX(0,C2391-1)),"n.a."))</f>
        <v>0</v>
      </c>
      <c r="H2391" s="16">
        <f>IF(NOT(Paths!$C$223=1),0,IF(Paths!$P$223="Complete",F2391/12*(Paths!$L$223*(1+IF(Paths!$D$223="EV",'Operating costs'!$B$52,'Operating costs'!$B$51))^MAX(0,C2391-1)+Paths!$M$223*(1+'Operating costs'!$B$53)^MAX(0,C2391-1)),"n.a."))</f>
        <v>0</v>
      </c>
      <c r="I2391" s="16">
        <f>IF(NOT(Paths!$C$223=1),0,IF(Paths!$P$223="Complete",IF(IF(Paths!$E$223=0,C2391=0,AND(C2391&gt;0,Paths!$E$223&gt;(C2391-1)*12,Paths!$E$223&lt;=C2391*12)),Paths!$G$223,0),"n.a."))</f>
        <v>0</v>
      </c>
      <c r="J2391" s="16">
        <f>IF(NOT(Paths!$C$223=1),0,IF(Paths!$P$223="Complete",IF(IF(Paths!$E$223=0,C2391=0,AND(C2391&gt;0,Paths!$E$223&gt;(C2391-1)*12,Paths!$E$223&lt;=C2391*12)),Paths!$H$223,0),"n.a."))</f>
        <v>0</v>
      </c>
      <c r="K2391" s="16">
        <f>IF(NOT(Paths!$C$223=1),0,IF(Paths!$P$223="Complete",IF(IF(Paths!$O$223=0,C2391=0,AND(C2391&gt;0,Paths!$O$223&gt;(C2391-1)*12,Paths!$O$223&lt;=C2391*12)),Paths!$N$223,0),"n.a."))</f>
        <v>0</v>
      </c>
      <c r="L2391" s="16">
        <f>IF(NOT(Paths!$C$223=1),0,IF(Paths!$P$223="Complete",IF(C2391=10,Paths!$I$223,0),"n.a."))</f>
        <v>0</v>
      </c>
      <c r="M2391" s="16">
        <f>IF(NOT(Paths!$C$223=1),0,IF(Paths!$P$223="Complete",IF(AND(Paths!$D$223="EV",Paths!$E$223&lt;120,Paths!$E$223+'Operating costs'!$B$65&gt;Paths!$E$223,Paths!$E$223+'Operating costs'!$B$65&lt;=120,IF(Paths!$E$223+'Operating costs'!$B$65=0,C2391=0,AND(C2391&gt;0,Paths!$E$223+'Operating costs'!$B$65&gt;(C2391-1)*12,Paths!$E$223+'Operating costs'!$B$65&lt;=C2391*12))),'Operating costs'!$B$64,0)+IF(AND('Operating costs'!$B$67&gt;0,'Operating costs'!$B$67&lt;=120,OR(Paths!$D$223="ICE",'Operating costs'!$B$67&lt;=Paths!$E$223),IF('Operating costs'!$B$67=0,C2391=0,AND(C2391&gt;0,'Operating costs'!$B$67&gt;(C2391-1)*12,'Operating costs'!$B$67&lt;=C2391*12))),'Operating costs'!$B$66,0),"n.a."))</f>
        <v>0</v>
      </c>
      <c r="N2391" s="16">
        <f>IF(NOT(Paths!$C$223=1),0,IF(Paths!$P$223="Complete",SUM(G2391:I2391)-J2391-K2391-L2391+M2391+IF(C2391=0,Paths!$F$223,0)+IF(IF(Paths!$E$223=0,C2391=0,AND(C2391&gt;0,Paths!$E$223&gt;(C2391-1)*12,Paths!$E$223&lt;=C2391*12)),VLOOKUP(A2391,'Fleet register'!$A$7:$S$106,16,FALSE),0),"n.a."))</f>
        <v>0</v>
      </c>
      <c r="O2391" s="16">
        <f>IF(NOT(Paths!$C$223=1),0,IF(Paths!$P$223="Complete",N2391-IF(C2391=0,Paths!$F$223,0),"n.a."))</f>
        <v>0</v>
      </c>
      <c r="P2391" s="16">
        <f>IF(NOT(Paths!$C$223=1),0,IF(Paths!$P$223="Complete",O2391+L2391,"n.a."))</f>
        <v>0</v>
      </c>
      <c r="Q2391" s="16">
        <f>IF(NOT(Paths!$C$223=1),0,IF(Paths!$P$223="Complete",N2391*(1+'Operating costs'!$B$54)^-C2391,"n.a."))</f>
        <v>0</v>
      </c>
      <c r="R2391" s="16">
        <f>IF(NOT(Paths!$C$223=1),0,IF(Paths!$P$223="Complete",IF(AND(C2391=0,Paths!$E$223=0),I2391-J2391-K2391+VLOOKUP(A2391,'Fleet register'!$A$7:$S$106,15,FALSE)+VLOOKUP(A2391,'Fleet register'!$A$7:$S$106,16,FALSE),0),"n.a."))</f>
        <v>0</v>
      </c>
      <c r="S2391" s="1">
        <f>IF(NOT(Paths!$C$223=1),0,IF(Paths!$P$223="Complete",IF(C2391=0,0,Paths!$S$223*Paths!$R$223),"n.a."))</f>
        <v>0</v>
      </c>
      <c r="T2391" s="1">
        <f>IF(NOT(Paths!$C$223=1),0,IF(Paths!$P$223="Complete",IF(C2391=0,0,VLOOKUP(A2391,'Fleet register'!$A$7:$S$106,9,FALSE)*Paths!$R$223),"n.a."))</f>
        <v>0</v>
      </c>
    </row>
    <row r="2392" spans="1:20" ht="24" customHeight="1">
      <c r="A2392" s="1" t="str">
        <f>Paths!$A$223</f>
        <v>T055</v>
      </c>
      <c r="B2392" s="1">
        <f>Paths!$B$223</f>
        <v>0</v>
      </c>
      <c r="C2392" s="1">
        <v>9</v>
      </c>
      <c r="D2392" s="1">
        <v>223</v>
      </c>
      <c r="E2392" s="1">
        <f>IF(OR(Paths!$C$223=0,C2392=0),0,MAX(0,MIN(C2392*12,Paths!$E$223)-(C2392-1)*12))</f>
        <v>0</v>
      </c>
      <c r="F2392" s="1">
        <f>IF(OR(Paths!$C$223=0,C2392=0),0,12-E2392)</f>
        <v>0</v>
      </c>
      <c r="G2392" s="16">
        <f>IF(NOT(Paths!$C$223=1),0,IF(Paths!$P$223="Complete",E2392/12*(Paths!$J$223*(1+'Operating costs'!$B$51)^MAX(0,C2392-1)+Paths!$K$223*(1+'Operating costs'!$B$53)^MAX(0,C2392-1)),"n.a."))</f>
        <v>0</v>
      </c>
      <c r="H2392" s="16">
        <f>IF(NOT(Paths!$C$223=1),0,IF(Paths!$P$223="Complete",F2392/12*(Paths!$L$223*(1+IF(Paths!$D$223="EV",'Operating costs'!$B$52,'Operating costs'!$B$51))^MAX(0,C2392-1)+Paths!$M$223*(1+'Operating costs'!$B$53)^MAX(0,C2392-1)),"n.a."))</f>
        <v>0</v>
      </c>
      <c r="I2392" s="16">
        <f>IF(NOT(Paths!$C$223=1),0,IF(Paths!$P$223="Complete",IF(IF(Paths!$E$223=0,C2392=0,AND(C2392&gt;0,Paths!$E$223&gt;(C2392-1)*12,Paths!$E$223&lt;=C2392*12)),Paths!$G$223,0),"n.a."))</f>
        <v>0</v>
      </c>
      <c r="J2392" s="16">
        <f>IF(NOT(Paths!$C$223=1),0,IF(Paths!$P$223="Complete",IF(IF(Paths!$E$223=0,C2392=0,AND(C2392&gt;0,Paths!$E$223&gt;(C2392-1)*12,Paths!$E$223&lt;=C2392*12)),Paths!$H$223,0),"n.a."))</f>
        <v>0</v>
      </c>
      <c r="K2392" s="16">
        <f>IF(NOT(Paths!$C$223=1),0,IF(Paths!$P$223="Complete",IF(IF(Paths!$O$223=0,C2392=0,AND(C2392&gt;0,Paths!$O$223&gt;(C2392-1)*12,Paths!$O$223&lt;=C2392*12)),Paths!$N$223,0),"n.a."))</f>
        <v>0</v>
      </c>
      <c r="L2392" s="16">
        <f>IF(NOT(Paths!$C$223=1),0,IF(Paths!$P$223="Complete",IF(C2392=10,Paths!$I$223,0),"n.a."))</f>
        <v>0</v>
      </c>
      <c r="M2392" s="16">
        <f>IF(NOT(Paths!$C$223=1),0,IF(Paths!$P$223="Complete",IF(AND(Paths!$D$223="EV",Paths!$E$223&lt;120,Paths!$E$223+'Operating costs'!$B$65&gt;Paths!$E$223,Paths!$E$223+'Operating costs'!$B$65&lt;=120,IF(Paths!$E$223+'Operating costs'!$B$65=0,C2392=0,AND(C2392&gt;0,Paths!$E$223+'Operating costs'!$B$65&gt;(C2392-1)*12,Paths!$E$223+'Operating costs'!$B$65&lt;=C2392*12))),'Operating costs'!$B$64,0)+IF(AND('Operating costs'!$B$67&gt;0,'Operating costs'!$B$67&lt;=120,OR(Paths!$D$223="ICE",'Operating costs'!$B$67&lt;=Paths!$E$223),IF('Operating costs'!$B$67=0,C2392=0,AND(C2392&gt;0,'Operating costs'!$B$67&gt;(C2392-1)*12,'Operating costs'!$B$67&lt;=C2392*12))),'Operating costs'!$B$66,0),"n.a."))</f>
        <v>0</v>
      </c>
      <c r="N2392" s="16">
        <f>IF(NOT(Paths!$C$223=1),0,IF(Paths!$P$223="Complete",SUM(G2392:I2392)-J2392-K2392-L2392+M2392+IF(C2392=0,Paths!$F$223,0)+IF(IF(Paths!$E$223=0,C2392=0,AND(C2392&gt;0,Paths!$E$223&gt;(C2392-1)*12,Paths!$E$223&lt;=C2392*12)),VLOOKUP(A2392,'Fleet register'!$A$7:$S$106,16,FALSE),0),"n.a."))</f>
        <v>0</v>
      </c>
      <c r="O2392" s="16">
        <f>IF(NOT(Paths!$C$223=1),0,IF(Paths!$P$223="Complete",N2392-IF(C2392=0,Paths!$F$223,0),"n.a."))</f>
        <v>0</v>
      </c>
      <c r="P2392" s="16">
        <f>IF(NOT(Paths!$C$223=1),0,IF(Paths!$P$223="Complete",O2392+L2392,"n.a."))</f>
        <v>0</v>
      </c>
      <c r="Q2392" s="16">
        <f>IF(NOT(Paths!$C$223=1),0,IF(Paths!$P$223="Complete",N2392*(1+'Operating costs'!$B$54)^-C2392,"n.a."))</f>
        <v>0</v>
      </c>
      <c r="R2392" s="16">
        <f>IF(NOT(Paths!$C$223=1),0,IF(Paths!$P$223="Complete",IF(AND(C2392=0,Paths!$E$223=0),I2392-J2392-K2392+VLOOKUP(A2392,'Fleet register'!$A$7:$S$106,15,FALSE)+VLOOKUP(A2392,'Fleet register'!$A$7:$S$106,16,FALSE),0),"n.a."))</f>
        <v>0</v>
      </c>
      <c r="S2392" s="1">
        <f>IF(NOT(Paths!$C$223=1),0,IF(Paths!$P$223="Complete",IF(C2392=0,0,Paths!$S$223*Paths!$R$223),"n.a."))</f>
        <v>0</v>
      </c>
      <c r="T2392" s="1">
        <f>IF(NOT(Paths!$C$223=1),0,IF(Paths!$P$223="Complete",IF(C2392=0,0,VLOOKUP(A2392,'Fleet register'!$A$7:$S$106,9,FALSE)*Paths!$R$223),"n.a."))</f>
        <v>0</v>
      </c>
    </row>
    <row r="2393" spans="1:20" ht="24" customHeight="1">
      <c r="A2393" s="1" t="str">
        <f>Paths!$A$223</f>
        <v>T055</v>
      </c>
      <c r="B2393" s="1">
        <f>Paths!$B$223</f>
        <v>0</v>
      </c>
      <c r="C2393" s="1">
        <v>10</v>
      </c>
      <c r="D2393" s="1">
        <v>223</v>
      </c>
      <c r="E2393" s="1">
        <f>IF(OR(Paths!$C$223=0,C2393=0),0,MAX(0,MIN(C2393*12,Paths!$E$223)-(C2393-1)*12))</f>
        <v>0</v>
      </c>
      <c r="F2393" s="1">
        <f>IF(OR(Paths!$C$223=0,C2393=0),0,12-E2393)</f>
        <v>0</v>
      </c>
      <c r="G2393" s="16">
        <f>IF(NOT(Paths!$C$223=1),0,IF(Paths!$P$223="Complete",E2393/12*(Paths!$J$223*(1+'Operating costs'!$B$51)^MAX(0,C2393-1)+Paths!$K$223*(1+'Operating costs'!$B$53)^MAX(0,C2393-1)),"n.a."))</f>
        <v>0</v>
      </c>
      <c r="H2393" s="16">
        <f>IF(NOT(Paths!$C$223=1),0,IF(Paths!$P$223="Complete",F2393/12*(Paths!$L$223*(1+IF(Paths!$D$223="EV",'Operating costs'!$B$52,'Operating costs'!$B$51))^MAX(0,C2393-1)+Paths!$M$223*(1+'Operating costs'!$B$53)^MAX(0,C2393-1)),"n.a."))</f>
        <v>0</v>
      </c>
      <c r="I2393" s="16">
        <f>IF(NOT(Paths!$C$223=1),0,IF(Paths!$P$223="Complete",IF(IF(Paths!$E$223=0,C2393=0,AND(C2393&gt;0,Paths!$E$223&gt;(C2393-1)*12,Paths!$E$223&lt;=C2393*12)),Paths!$G$223,0),"n.a."))</f>
        <v>0</v>
      </c>
      <c r="J2393" s="16">
        <f>IF(NOT(Paths!$C$223=1),0,IF(Paths!$P$223="Complete",IF(IF(Paths!$E$223=0,C2393=0,AND(C2393&gt;0,Paths!$E$223&gt;(C2393-1)*12,Paths!$E$223&lt;=C2393*12)),Paths!$H$223,0),"n.a."))</f>
        <v>0</v>
      </c>
      <c r="K2393" s="16">
        <f>IF(NOT(Paths!$C$223=1),0,IF(Paths!$P$223="Complete",IF(IF(Paths!$O$223=0,C2393=0,AND(C2393&gt;0,Paths!$O$223&gt;(C2393-1)*12,Paths!$O$223&lt;=C2393*12)),Paths!$N$223,0),"n.a."))</f>
        <v>0</v>
      </c>
      <c r="L2393" s="16">
        <f>IF(NOT(Paths!$C$223=1),0,IF(Paths!$P$223="Complete",IF(C2393=10,Paths!$I$223,0),"n.a."))</f>
        <v>0</v>
      </c>
      <c r="M2393" s="16">
        <f>IF(NOT(Paths!$C$223=1),0,IF(Paths!$P$223="Complete",IF(AND(Paths!$D$223="EV",Paths!$E$223&lt;120,Paths!$E$223+'Operating costs'!$B$65&gt;Paths!$E$223,Paths!$E$223+'Operating costs'!$B$65&lt;=120,IF(Paths!$E$223+'Operating costs'!$B$65=0,C2393=0,AND(C2393&gt;0,Paths!$E$223+'Operating costs'!$B$65&gt;(C2393-1)*12,Paths!$E$223+'Operating costs'!$B$65&lt;=C2393*12))),'Operating costs'!$B$64,0)+IF(AND('Operating costs'!$B$67&gt;0,'Operating costs'!$B$67&lt;=120,OR(Paths!$D$223="ICE",'Operating costs'!$B$67&lt;=Paths!$E$223),IF('Operating costs'!$B$67=0,C2393=0,AND(C2393&gt;0,'Operating costs'!$B$67&gt;(C2393-1)*12,'Operating costs'!$B$67&lt;=C2393*12))),'Operating costs'!$B$66,0),"n.a."))</f>
        <v>0</v>
      </c>
      <c r="N2393" s="16">
        <f>IF(NOT(Paths!$C$223=1),0,IF(Paths!$P$223="Complete",SUM(G2393:I2393)-J2393-K2393-L2393+M2393+IF(C2393=0,Paths!$F$223,0)+IF(IF(Paths!$E$223=0,C2393=0,AND(C2393&gt;0,Paths!$E$223&gt;(C2393-1)*12,Paths!$E$223&lt;=C2393*12)),VLOOKUP(A2393,'Fleet register'!$A$7:$S$106,16,FALSE),0),"n.a."))</f>
        <v>0</v>
      </c>
      <c r="O2393" s="16">
        <f>IF(NOT(Paths!$C$223=1),0,IF(Paths!$P$223="Complete",N2393-IF(C2393=0,Paths!$F$223,0),"n.a."))</f>
        <v>0</v>
      </c>
      <c r="P2393" s="16">
        <f>IF(NOT(Paths!$C$223=1),0,IF(Paths!$P$223="Complete",O2393+L2393,"n.a."))</f>
        <v>0</v>
      </c>
      <c r="Q2393" s="16">
        <f>IF(NOT(Paths!$C$223=1),0,IF(Paths!$P$223="Complete",N2393*(1+'Operating costs'!$B$54)^-C2393,"n.a."))</f>
        <v>0</v>
      </c>
      <c r="R2393" s="16">
        <f>IF(NOT(Paths!$C$223=1),0,IF(Paths!$P$223="Complete",IF(AND(C2393=0,Paths!$E$223=0),I2393-J2393-K2393+VLOOKUP(A2393,'Fleet register'!$A$7:$S$106,15,FALSE)+VLOOKUP(A2393,'Fleet register'!$A$7:$S$106,16,FALSE),0),"n.a."))</f>
        <v>0</v>
      </c>
      <c r="S2393" s="1">
        <f>IF(NOT(Paths!$C$223=1),0,IF(Paths!$P$223="Complete",IF(C2393=0,0,Paths!$S$223*Paths!$R$223),"n.a."))</f>
        <v>0</v>
      </c>
      <c r="T2393" s="1">
        <f>IF(NOT(Paths!$C$223=1),0,IF(Paths!$P$223="Complete",IF(C2393=0,0,VLOOKUP(A2393,'Fleet register'!$A$7:$S$106,9,FALSE)*Paths!$R$223),"n.a."))</f>
        <v>0</v>
      </c>
    </row>
    <row r="2394" spans="1:20" ht="24" customHeight="1">
      <c r="A2394" s="1" t="str">
        <f>Paths!$A$224</f>
        <v>T055</v>
      </c>
      <c r="B2394" s="1">
        <f>Paths!$B$224</f>
        <v>1</v>
      </c>
      <c r="C2394" s="1">
        <v>0</v>
      </c>
      <c r="D2394" s="1">
        <v>224</v>
      </c>
      <c r="E2394" s="1">
        <f>IF(OR(Paths!$C$224=0,C2394=0),0,MAX(0,MIN(C2394*12,Paths!$E$224)-(C2394-1)*12))</f>
        <v>0</v>
      </c>
      <c r="F2394" s="1">
        <f>IF(OR(Paths!$C$224=0,C2394=0),0,12-E2394)</f>
        <v>0</v>
      </c>
      <c r="G2394" s="16">
        <f>IF(NOT(Paths!$C$224=1),0,IF(Paths!$P$224="Complete",E2394/12*(Paths!$J$224*(1+'Operating costs'!$B$51)^MAX(0,C2394-1)+Paths!$K$224*(1+'Operating costs'!$B$53)^MAX(0,C2394-1)),"n.a."))</f>
        <v>0</v>
      </c>
      <c r="H2394" s="16">
        <f>IF(NOT(Paths!$C$224=1),0,IF(Paths!$P$224="Complete",F2394/12*(Paths!$L$224*(1+IF(Paths!$D$224="EV",'Operating costs'!$B$52,'Operating costs'!$B$51))^MAX(0,C2394-1)+Paths!$M$224*(1+'Operating costs'!$B$53)^MAX(0,C2394-1)),"n.a."))</f>
        <v>0</v>
      </c>
      <c r="I2394" s="16">
        <f>IF(NOT(Paths!$C$224=1),0,IF(Paths!$P$224="Complete",IF(IF(Paths!$E$224=0,C2394=0,AND(C2394&gt;0,Paths!$E$224&gt;(C2394-1)*12,Paths!$E$224&lt;=C2394*12)),Paths!$G$224,0),"n.a."))</f>
        <v>0</v>
      </c>
      <c r="J2394" s="16">
        <f>IF(NOT(Paths!$C$224=1),0,IF(Paths!$P$224="Complete",IF(IF(Paths!$E$224=0,C2394=0,AND(C2394&gt;0,Paths!$E$224&gt;(C2394-1)*12,Paths!$E$224&lt;=C2394*12)),Paths!$H$224,0),"n.a."))</f>
        <v>0</v>
      </c>
      <c r="K2394" s="16">
        <f>IF(NOT(Paths!$C$224=1),0,IF(Paths!$P$224="Complete",IF(IF(Paths!$O$224=0,C2394=0,AND(C2394&gt;0,Paths!$O$224&gt;(C2394-1)*12,Paths!$O$224&lt;=C2394*12)),Paths!$N$224,0),"n.a."))</f>
        <v>0</v>
      </c>
      <c r="L2394" s="16">
        <f>IF(NOT(Paths!$C$224=1),0,IF(Paths!$P$224="Complete",IF(C2394=10,Paths!$I$224,0),"n.a."))</f>
        <v>0</v>
      </c>
      <c r="M2394" s="16">
        <f>IF(NOT(Paths!$C$224=1),0,IF(Paths!$P$224="Complete",IF(AND(Paths!$D$224="EV",Paths!$E$224&lt;120,Paths!$E$224+'Operating costs'!$B$65&gt;Paths!$E$224,Paths!$E$224+'Operating costs'!$B$65&lt;=120,IF(Paths!$E$224+'Operating costs'!$B$65=0,C2394=0,AND(C2394&gt;0,Paths!$E$224+'Operating costs'!$B$65&gt;(C2394-1)*12,Paths!$E$224+'Operating costs'!$B$65&lt;=C2394*12))),'Operating costs'!$B$64,0)+IF(AND('Operating costs'!$B$67&gt;0,'Operating costs'!$B$67&lt;=120,OR(Paths!$D$224="ICE",'Operating costs'!$B$67&lt;=Paths!$E$224),IF('Operating costs'!$B$67=0,C2394=0,AND(C2394&gt;0,'Operating costs'!$B$67&gt;(C2394-1)*12,'Operating costs'!$B$67&lt;=C2394*12))),'Operating costs'!$B$66,0),"n.a."))</f>
        <v>0</v>
      </c>
      <c r="N2394" s="16">
        <f>IF(NOT(Paths!$C$224=1),0,IF(Paths!$P$224="Complete",SUM(G2394:I2394)-J2394-K2394-L2394+M2394+IF(C2394=0,Paths!$F$224,0)+IF(IF(Paths!$E$224=0,C2394=0,AND(C2394&gt;0,Paths!$E$224&gt;(C2394-1)*12,Paths!$E$224&lt;=C2394*12)),VLOOKUP(A2394,'Fleet register'!$A$7:$S$106,16,FALSE),0),"n.a."))</f>
        <v>0</v>
      </c>
      <c r="O2394" s="16">
        <f>IF(NOT(Paths!$C$224=1),0,IF(Paths!$P$224="Complete",N2394-IF(C2394=0,Paths!$F$224,0),"n.a."))</f>
        <v>0</v>
      </c>
      <c r="P2394" s="16">
        <f>IF(NOT(Paths!$C$224=1),0,IF(Paths!$P$224="Complete",O2394+L2394,"n.a."))</f>
        <v>0</v>
      </c>
      <c r="Q2394" s="16">
        <f>IF(NOT(Paths!$C$224=1),0,IF(Paths!$P$224="Complete",N2394*(1+'Operating costs'!$B$54)^-C2394,"n.a."))</f>
        <v>0</v>
      </c>
      <c r="R2394" s="16">
        <f>IF(NOT(Paths!$C$224=1),0,IF(Paths!$P$224="Complete",IF(AND(C2394=0,Paths!$E$224=0),I2394-J2394-K2394+VLOOKUP(A2394,'Fleet register'!$A$7:$S$106,15,FALSE)+VLOOKUP(A2394,'Fleet register'!$A$7:$S$106,16,FALSE),0),"n.a."))</f>
        <v>0</v>
      </c>
      <c r="S2394" s="1">
        <f>IF(NOT(Paths!$C$224=1),0,IF(Paths!$P$224="Complete",IF(C2394=0,0,Paths!$S$224*Paths!$R$224),"n.a."))</f>
        <v>0</v>
      </c>
      <c r="T2394" s="1">
        <f>IF(NOT(Paths!$C$224=1),0,IF(Paths!$P$224="Complete",IF(C2394=0,0,VLOOKUP(A2394,'Fleet register'!$A$7:$S$106,9,FALSE)*Paths!$R$224),"n.a."))</f>
        <v>0</v>
      </c>
    </row>
    <row r="2395" spans="1:20" ht="24" customHeight="1">
      <c r="A2395" s="1" t="str">
        <f>Paths!$A$224</f>
        <v>T055</v>
      </c>
      <c r="B2395" s="1">
        <f>Paths!$B$224</f>
        <v>1</v>
      </c>
      <c r="C2395" s="1">
        <v>1</v>
      </c>
      <c r="D2395" s="1">
        <v>224</v>
      </c>
      <c r="E2395" s="1">
        <f>IF(OR(Paths!$C$224=0,C2395=0),0,MAX(0,MIN(C2395*12,Paths!$E$224)-(C2395-1)*12))</f>
        <v>0</v>
      </c>
      <c r="F2395" s="1">
        <f>IF(OR(Paths!$C$224=0,C2395=0),0,12-E2395)</f>
        <v>0</v>
      </c>
      <c r="G2395" s="16">
        <f>IF(NOT(Paths!$C$224=1),0,IF(Paths!$P$224="Complete",E2395/12*(Paths!$J$224*(1+'Operating costs'!$B$51)^MAX(0,C2395-1)+Paths!$K$224*(1+'Operating costs'!$B$53)^MAX(0,C2395-1)),"n.a."))</f>
        <v>0</v>
      </c>
      <c r="H2395" s="16">
        <f>IF(NOT(Paths!$C$224=1),0,IF(Paths!$P$224="Complete",F2395/12*(Paths!$L$224*(1+IF(Paths!$D$224="EV",'Operating costs'!$B$52,'Operating costs'!$B$51))^MAX(0,C2395-1)+Paths!$M$224*(1+'Operating costs'!$B$53)^MAX(0,C2395-1)),"n.a."))</f>
        <v>0</v>
      </c>
      <c r="I2395" s="16">
        <f>IF(NOT(Paths!$C$224=1),0,IF(Paths!$P$224="Complete",IF(IF(Paths!$E$224=0,C2395=0,AND(C2395&gt;0,Paths!$E$224&gt;(C2395-1)*12,Paths!$E$224&lt;=C2395*12)),Paths!$G$224,0),"n.a."))</f>
        <v>0</v>
      </c>
      <c r="J2395" s="16">
        <f>IF(NOT(Paths!$C$224=1),0,IF(Paths!$P$224="Complete",IF(IF(Paths!$E$224=0,C2395=0,AND(C2395&gt;0,Paths!$E$224&gt;(C2395-1)*12,Paths!$E$224&lt;=C2395*12)),Paths!$H$224,0),"n.a."))</f>
        <v>0</v>
      </c>
      <c r="K2395" s="16">
        <f>IF(NOT(Paths!$C$224=1),0,IF(Paths!$P$224="Complete",IF(IF(Paths!$O$224=0,C2395=0,AND(C2395&gt;0,Paths!$O$224&gt;(C2395-1)*12,Paths!$O$224&lt;=C2395*12)),Paths!$N$224,0),"n.a."))</f>
        <v>0</v>
      </c>
      <c r="L2395" s="16">
        <f>IF(NOT(Paths!$C$224=1),0,IF(Paths!$P$224="Complete",IF(C2395=10,Paths!$I$224,0),"n.a."))</f>
        <v>0</v>
      </c>
      <c r="M2395" s="16">
        <f>IF(NOT(Paths!$C$224=1),0,IF(Paths!$P$224="Complete",IF(AND(Paths!$D$224="EV",Paths!$E$224&lt;120,Paths!$E$224+'Operating costs'!$B$65&gt;Paths!$E$224,Paths!$E$224+'Operating costs'!$B$65&lt;=120,IF(Paths!$E$224+'Operating costs'!$B$65=0,C2395=0,AND(C2395&gt;0,Paths!$E$224+'Operating costs'!$B$65&gt;(C2395-1)*12,Paths!$E$224+'Operating costs'!$B$65&lt;=C2395*12))),'Operating costs'!$B$64,0)+IF(AND('Operating costs'!$B$67&gt;0,'Operating costs'!$B$67&lt;=120,OR(Paths!$D$224="ICE",'Operating costs'!$B$67&lt;=Paths!$E$224),IF('Operating costs'!$B$67=0,C2395=0,AND(C2395&gt;0,'Operating costs'!$B$67&gt;(C2395-1)*12,'Operating costs'!$B$67&lt;=C2395*12))),'Operating costs'!$B$66,0),"n.a."))</f>
        <v>0</v>
      </c>
      <c r="N2395" s="16">
        <f>IF(NOT(Paths!$C$224=1),0,IF(Paths!$P$224="Complete",SUM(G2395:I2395)-J2395-K2395-L2395+M2395+IF(C2395=0,Paths!$F$224,0)+IF(IF(Paths!$E$224=0,C2395=0,AND(C2395&gt;0,Paths!$E$224&gt;(C2395-1)*12,Paths!$E$224&lt;=C2395*12)),VLOOKUP(A2395,'Fleet register'!$A$7:$S$106,16,FALSE),0),"n.a."))</f>
        <v>0</v>
      </c>
      <c r="O2395" s="16">
        <f>IF(NOT(Paths!$C$224=1),0,IF(Paths!$P$224="Complete",N2395-IF(C2395=0,Paths!$F$224,0),"n.a."))</f>
        <v>0</v>
      </c>
      <c r="P2395" s="16">
        <f>IF(NOT(Paths!$C$224=1),0,IF(Paths!$P$224="Complete",O2395+L2395,"n.a."))</f>
        <v>0</v>
      </c>
      <c r="Q2395" s="16">
        <f>IF(NOT(Paths!$C$224=1),0,IF(Paths!$P$224="Complete",N2395*(1+'Operating costs'!$B$54)^-C2395,"n.a."))</f>
        <v>0</v>
      </c>
      <c r="R2395" s="16">
        <f>IF(NOT(Paths!$C$224=1),0,IF(Paths!$P$224="Complete",IF(AND(C2395=0,Paths!$E$224=0),I2395-J2395-K2395+VLOOKUP(A2395,'Fleet register'!$A$7:$S$106,15,FALSE)+VLOOKUP(A2395,'Fleet register'!$A$7:$S$106,16,FALSE),0),"n.a."))</f>
        <v>0</v>
      </c>
      <c r="S2395" s="1">
        <f>IF(NOT(Paths!$C$224=1),0,IF(Paths!$P$224="Complete",IF(C2395=0,0,Paths!$S$224*Paths!$R$224),"n.a."))</f>
        <v>0</v>
      </c>
      <c r="T2395" s="1">
        <f>IF(NOT(Paths!$C$224=1),0,IF(Paths!$P$224="Complete",IF(C2395=0,0,VLOOKUP(A2395,'Fleet register'!$A$7:$S$106,9,FALSE)*Paths!$R$224),"n.a."))</f>
        <v>0</v>
      </c>
    </row>
    <row r="2396" spans="1:20" ht="24" customHeight="1">
      <c r="A2396" s="1" t="str">
        <f>Paths!$A$224</f>
        <v>T055</v>
      </c>
      <c r="B2396" s="1">
        <f>Paths!$B$224</f>
        <v>1</v>
      </c>
      <c r="C2396" s="1">
        <v>2</v>
      </c>
      <c r="D2396" s="1">
        <v>224</v>
      </c>
      <c r="E2396" s="1">
        <f>IF(OR(Paths!$C$224=0,C2396=0),0,MAX(0,MIN(C2396*12,Paths!$E$224)-(C2396-1)*12))</f>
        <v>0</v>
      </c>
      <c r="F2396" s="1">
        <f>IF(OR(Paths!$C$224=0,C2396=0),0,12-E2396)</f>
        <v>0</v>
      </c>
      <c r="G2396" s="16">
        <f>IF(NOT(Paths!$C$224=1),0,IF(Paths!$P$224="Complete",E2396/12*(Paths!$J$224*(1+'Operating costs'!$B$51)^MAX(0,C2396-1)+Paths!$K$224*(1+'Operating costs'!$B$53)^MAX(0,C2396-1)),"n.a."))</f>
        <v>0</v>
      </c>
      <c r="H2396" s="16">
        <f>IF(NOT(Paths!$C$224=1),0,IF(Paths!$P$224="Complete",F2396/12*(Paths!$L$224*(1+IF(Paths!$D$224="EV",'Operating costs'!$B$52,'Operating costs'!$B$51))^MAX(0,C2396-1)+Paths!$M$224*(1+'Operating costs'!$B$53)^MAX(0,C2396-1)),"n.a."))</f>
        <v>0</v>
      </c>
      <c r="I2396" s="16">
        <f>IF(NOT(Paths!$C$224=1),0,IF(Paths!$P$224="Complete",IF(IF(Paths!$E$224=0,C2396=0,AND(C2396&gt;0,Paths!$E$224&gt;(C2396-1)*12,Paths!$E$224&lt;=C2396*12)),Paths!$G$224,0),"n.a."))</f>
        <v>0</v>
      </c>
      <c r="J2396" s="16">
        <f>IF(NOT(Paths!$C$224=1),0,IF(Paths!$P$224="Complete",IF(IF(Paths!$E$224=0,C2396=0,AND(C2396&gt;0,Paths!$E$224&gt;(C2396-1)*12,Paths!$E$224&lt;=C2396*12)),Paths!$H$224,0),"n.a."))</f>
        <v>0</v>
      </c>
      <c r="K2396" s="16">
        <f>IF(NOT(Paths!$C$224=1),0,IF(Paths!$P$224="Complete",IF(IF(Paths!$O$224=0,C2396=0,AND(C2396&gt;0,Paths!$O$224&gt;(C2396-1)*12,Paths!$O$224&lt;=C2396*12)),Paths!$N$224,0),"n.a."))</f>
        <v>0</v>
      </c>
      <c r="L2396" s="16">
        <f>IF(NOT(Paths!$C$224=1),0,IF(Paths!$P$224="Complete",IF(C2396=10,Paths!$I$224,0),"n.a."))</f>
        <v>0</v>
      </c>
      <c r="M2396" s="16">
        <f>IF(NOT(Paths!$C$224=1),0,IF(Paths!$P$224="Complete",IF(AND(Paths!$D$224="EV",Paths!$E$224&lt;120,Paths!$E$224+'Operating costs'!$B$65&gt;Paths!$E$224,Paths!$E$224+'Operating costs'!$B$65&lt;=120,IF(Paths!$E$224+'Operating costs'!$B$65=0,C2396=0,AND(C2396&gt;0,Paths!$E$224+'Operating costs'!$B$65&gt;(C2396-1)*12,Paths!$E$224+'Operating costs'!$B$65&lt;=C2396*12))),'Operating costs'!$B$64,0)+IF(AND('Operating costs'!$B$67&gt;0,'Operating costs'!$B$67&lt;=120,OR(Paths!$D$224="ICE",'Operating costs'!$B$67&lt;=Paths!$E$224),IF('Operating costs'!$B$67=0,C2396=0,AND(C2396&gt;0,'Operating costs'!$B$67&gt;(C2396-1)*12,'Operating costs'!$B$67&lt;=C2396*12))),'Operating costs'!$B$66,0),"n.a."))</f>
        <v>0</v>
      </c>
      <c r="N2396" s="16">
        <f>IF(NOT(Paths!$C$224=1),0,IF(Paths!$P$224="Complete",SUM(G2396:I2396)-J2396-K2396-L2396+M2396+IF(C2396=0,Paths!$F$224,0)+IF(IF(Paths!$E$224=0,C2396=0,AND(C2396&gt;0,Paths!$E$224&gt;(C2396-1)*12,Paths!$E$224&lt;=C2396*12)),VLOOKUP(A2396,'Fleet register'!$A$7:$S$106,16,FALSE),0),"n.a."))</f>
        <v>0</v>
      </c>
      <c r="O2396" s="16">
        <f>IF(NOT(Paths!$C$224=1),0,IF(Paths!$P$224="Complete",N2396-IF(C2396=0,Paths!$F$224,0),"n.a."))</f>
        <v>0</v>
      </c>
      <c r="P2396" s="16">
        <f>IF(NOT(Paths!$C$224=1),0,IF(Paths!$P$224="Complete",O2396+L2396,"n.a."))</f>
        <v>0</v>
      </c>
      <c r="Q2396" s="16">
        <f>IF(NOT(Paths!$C$224=1),0,IF(Paths!$P$224="Complete",N2396*(1+'Operating costs'!$B$54)^-C2396,"n.a."))</f>
        <v>0</v>
      </c>
      <c r="R2396" s="16">
        <f>IF(NOT(Paths!$C$224=1),0,IF(Paths!$P$224="Complete",IF(AND(C2396=0,Paths!$E$224=0),I2396-J2396-K2396+VLOOKUP(A2396,'Fleet register'!$A$7:$S$106,15,FALSE)+VLOOKUP(A2396,'Fleet register'!$A$7:$S$106,16,FALSE),0),"n.a."))</f>
        <v>0</v>
      </c>
      <c r="S2396" s="1">
        <f>IF(NOT(Paths!$C$224=1),0,IF(Paths!$P$224="Complete",IF(C2396=0,0,Paths!$S$224*Paths!$R$224),"n.a."))</f>
        <v>0</v>
      </c>
      <c r="T2396" s="1">
        <f>IF(NOT(Paths!$C$224=1),0,IF(Paths!$P$224="Complete",IF(C2396=0,0,VLOOKUP(A2396,'Fleet register'!$A$7:$S$106,9,FALSE)*Paths!$R$224),"n.a."))</f>
        <v>0</v>
      </c>
    </row>
    <row r="2397" spans="1:20" ht="24" customHeight="1">
      <c r="A2397" s="1" t="str">
        <f>Paths!$A$224</f>
        <v>T055</v>
      </c>
      <c r="B2397" s="1">
        <f>Paths!$B$224</f>
        <v>1</v>
      </c>
      <c r="C2397" s="1">
        <v>3</v>
      </c>
      <c r="D2397" s="1">
        <v>224</v>
      </c>
      <c r="E2397" s="1">
        <f>IF(OR(Paths!$C$224=0,C2397=0),0,MAX(0,MIN(C2397*12,Paths!$E$224)-(C2397-1)*12))</f>
        <v>0</v>
      </c>
      <c r="F2397" s="1">
        <f>IF(OR(Paths!$C$224=0,C2397=0),0,12-E2397)</f>
        <v>0</v>
      </c>
      <c r="G2397" s="16">
        <f>IF(NOT(Paths!$C$224=1),0,IF(Paths!$P$224="Complete",E2397/12*(Paths!$J$224*(1+'Operating costs'!$B$51)^MAX(0,C2397-1)+Paths!$K$224*(1+'Operating costs'!$B$53)^MAX(0,C2397-1)),"n.a."))</f>
        <v>0</v>
      </c>
      <c r="H2397" s="16">
        <f>IF(NOT(Paths!$C$224=1),0,IF(Paths!$P$224="Complete",F2397/12*(Paths!$L$224*(1+IF(Paths!$D$224="EV",'Operating costs'!$B$52,'Operating costs'!$B$51))^MAX(0,C2397-1)+Paths!$M$224*(1+'Operating costs'!$B$53)^MAX(0,C2397-1)),"n.a."))</f>
        <v>0</v>
      </c>
      <c r="I2397" s="16">
        <f>IF(NOT(Paths!$C$224=1),0,IF(Paths!$P$224="Complete",IF(IF(Paths!$E$224=0,C2397=0,AND(C2397&gt;0,Paths!$E$224&gt;(C2397-1)*12,Paths!$E$224&lt;=C2397*12)),Paths!$G$224,0),"n.a."))</f>
        <v>0</v>
      </c>
      <c r="J2397" s="16">
        <f>IF(NOT(Paths!$C$224=1),0,IF(Paths!$P$224="Complete",IF(IF(Paths!$E$224=0,C2397=0,AND(C2397&gt;0,Paths!$E$224&gt;(C2397-1)*12,Paths!$E$224&lt;=C2397*12)),Paths!$H$224,0),"n.a."))</f>
        <v>0</v>
      </c>
      <c r="K2397" s="16">
        <f>IF(NOT(Paths!$C$224=1),0,IF(Paths!$P$224="Complete",IF(IF(Paths!$O$224=0,C2397=0,AND(C2397&gt;0,Paths!$O$224&gt;(C2397-1)*12,Paths!$O$224&lt;=C2397*12)),Paths!$N$224,0),"n.a."))</f>
        <v>0</v>
      </c>
      <c r="L2397" s="16">
        <f>IF(NOT(Paths!$C$224=1),0,IF(Paths!$P$224="Complete",IF(C2397=10,Paths!$I$224,0),"n.a."))</f>
        <v>0</v>
      </c>
      <c r="M2397" s="16">
        <f>IF(NOT(Paths!$C$224=1),0,IF(Paths!$P$224="Complete",IF(AND(Paths!$D$224="EV",Paths!$E$224&lt;120,Paths!$E$224+'Operating costs'!$B$65&gt;Paths!$E$224,Paths!$E$224+'Operating costs'!$B$65&lt;=120,IF(Paths!$E$224+'Operating costs'!$B$65=0,C2397=0,AND(C2397&gt;0,Paths!$E$224+'Operating costs'!$B$65&gt;(C2397-1)*12,Paths!$E$224+'Operating costs'!$B$65&lt;=C2397*12))),'Operating costs'!$B$64,0)+IF(AND('Operating costs'!$B$67&gt;0,'Operating costs'!$B$67&lt;=120,OR(Paths!$D$224="ICE",'Operating costs'!$B$67&lt;=Paths!$E$224),IF('Operating costs'!$B$67=0,C2397=0,AND(C2397&gt;0,'Operating costs'!$B$67&gt;(C2397-1)*12,'Operating costs'!$B$67&lt;=C2397*12))),'Operating costs'!$B$66,0),"n.a."))</f>
        <v>0</v>
      </c>
      <c r="N2397" s="16">
        <f>IF(NOT(Paths!$C$224=1),0,IF(Paths!$P$224="Complete",SUM(G2397:I2397)-J2397-K2397-L2397+M2397+IF(C2397=0,Paths!$F$224,0)+IF(IF(Paths!$E$224=0,C2397=0,AND(C2397&gt;0,Paths!$E$224&gt;(C2397-1)*12,Paths!$E$224&lt;=C2397*12)),VLOOKUP(A2397,'Fleet register'!$A$7:$S$106,16,FALSE),0),"n.a."))</f>
        <v>0</v>
      </c>
      <c r="O2397" s="16">
        <f>IF(NOT(Paths!$C$224=1),0,IF(Paths!$P$224="Complete",N2397-IF(C2397=0,Paths!$F$224,0),"n.a."))</f>
        <v>0</v>
      </c>
      <c r="P2397" s="16">
        <f>IF(NOT(Paths!$C$224=1),0,IF(Paths!$P$224="Complete",O2397+L2397,"n.a."))</f>
        <v>0</v>
      </c>
      <c r="Q2397" s="16">
        <f>IF(NOT(Paths!$C$224=1),0,IF(Paths!$P$224="Complete",N2397*(1+'Operating costs'!$B$54)^-C2397,"n.a."))</f>
        <v>0</v>
      </c>
      <c r="R2397" s="16">
        <f>IF(NOT(Paths!$C$224=1),0,IF(Paths!$P$224="Complete",IF(AND(C2397=0,Paths!$E$224=0),I2397-J2397-K2397+VLOOKUP(A2397,'Fleet register'!$A$7:$S$106,15,FALSE)+VLOOKUP(A2397,'Fleet register'!$A$7:$S$106,16,FALSE),0),"n.a."))</f>
        <v>0</v>
      </c>
      <c r="S2397" s="1">
        <f>IF(NOT(Paths!$C$224=1),0,IF(Paths!$P$224="Complete",IF(C2397=0,0,Paths!$S$224*Paths!$R$224),"n.a."))</f>
        <v>0</v>
      </c>
      <c r="T2397" s="1">
        <f>IF(NOT(Paths!$C$224=1),0,IF(Paths!$P$224="Complete",IF(C2397=0,0,VLOOKUP(A2397,'Fleet register'!$A$7:$S$106,9,FALSE)*Paths!$R$224),"n.a."))</f>
        <v>0</v>
      </c>
    </row>
    <row r="2398" spans="1:20" ht="24" customHeight="1">
      <c r="A2398" s="1" t="str">
        <f>Paths!$A$224</f>
        <v>T055</v>
      </c>
      <c r="B2398" s="1">
        <f>Paths!$B$224</f>
        <v>1</v>
      </c>
      <c r="C2398" s="1">
        <v>4</v>
      </c>
      <c r="D2398" s="1">
        <v>224</v>
      </c>
      <c r="E2398" s="1">
        <f>IF(OR(Paths!$C$224=0,C2398=0),0,MAX(0,MIN(C2398*12,Paths!$E$224)-(C2398-1)*12))</f>
        <v>0</v>
      </c>
      <c r="F2398" s="1">
        <f>IF(OR(Paths!$C$224=0,C2398=0),0,12-E2398)</f>
        <v>0</v>
      </c>
      <c r="G2398" s="16">
        <f>IF(NOT(Paths!$C$224=1),0,IF(Paths!$P$224="Complete",E2398/12*(Paths!$J$224*(1+'Operating costs'!$B$51)^MAX(0,C2398-1)+Paths!$K$224*(1+'Operating costs'!$B$53)^MAX(0,C2398-1)),"n.a."))</f>
        <v>0</v>
      </c>
      <c r="H2398" s="16">
        <f>IF(NOT(Paths!$C$224=1),0,IF(Paths!$P$224="Complete",F2398/12*(Paths!$L$224*(1+IF(Paths!$D$224="EV",'Operating costs'!$B$52,'Operating costs'!$B$51))^MAX(0,C2398-1)+Paths!$M$224*(1+'Operating costs'!$B$53)^MAX(0,C2398-1)),"n.a."))</f>
        <v>0</v>
      </c>
      <c r="I2398" s="16">
        <f>IF(NOT(Paths!$C$224=1),0,IF(Paths!$P$224="Complete",IF(IF(Paths!$E$224=0,C2398=0,AND(C2398&gt;0,Paths!$E$224&gt;(C2398-1)*12,Paths!$E$224&lt;=C2398*12)),Paths!$G$224,0),"n.a."))</f>
        <v>0</v>
      </c>
      <c r="J2398" s="16">
        <f>IF(NOT(Paths!$C$224=1),0,IF(Paths!$P$224="Complete",IF(IF(Paths!$E$224=0,C2398=0,AND(C2398&gt;0,Paths!$E$224&gt;(C2398-1)*12,Paths!$E$224&lt;=C2398*12)),Paths!$H$224,0),"n.a."))</f>
        <v>0</v>
      </c>
      <c r="K2398" s="16">
        <f>IF(NOT(Paths!$C$224=1),0,IF(Paths!$P$224="Complete",IF(IF(Paths!$O$224=0,C2398=0,AND(C2398&gt;0,Paths!$O$224&gt;(C2398-1)*12,Paths!$O$224&lt;=C2398*12)),Paths!$N$224,0),"n.a."))</f>
        <v>0</v>
      </c>
      <c r="L2398" s="16">
        <f>IF(NOT(Paths!$C$224=1),0,IF(Paths!$P$224="Complete",IF(C2398=10,Paths!$I$224,0),"n.a."))</f>
        <v>0</v>
      </c>
      <c r="M2398" s="16">
        <f>IF(NOT(Paths!$C$224=1),0,IF(Paths!$P$224="Complete",IF(AND(Paths!$D$224="EV",Paths!$E$224&lt;120,Paths!$E$224+'Operating costs'!$B$65&gt;Paths!$E$224,Paths!$E$224+'Operating costs'!$B$65&lt;=120,IF(Paths!$E$224+'Operating costs'!$B$65=0,C2398=0,AND(C2398&gt;0,Paths!$E$224+'Operating costs'!$B$65&gt;(C2398-1)*12,Paths!$E$224+'Operating costs'!$B$65&lt;=C2398*12))),'Operating costs'!$B$64,0)+IF(AND('Operating costs'!$B$67&gt;0,'Operating costs'!$B$67&lt;=120,OR(Paths!$D$224="ICE",'Operating costs'!$B$67&lt;=Paths!$E$224),IF('Operating costs'!$B$67=0,C2398=0,AND(C2398&gt;0,'Operating costs'!$B$67&gt;(C2398-1)*12,'Operating costs'!$B$67&lt;=C2398*12))),'Operating costs'!$B$66,0),"n.a."))</f>
        <v>0</v>
      </c>
      <c r="N2398" s="16">
        <f>IF(NOT(Paths!$C$224=1),0,IF(Paths!$P$224="Complete",SUM(G2398:I2398)-J2398-K2398-L2398+M2398+IF(C2398=0,Paths!$F$224,0)+IF(IF(Paths!$E$224=0,C2398=0,AND(C2398&gt;0,Paths!$E$224&gt;(C2398-1)*12,Paths!$E$224&lt;=C2398*12)),VLOOKUP(A2398,'Fleet register'!$A$7:$S$106,16,FALSE),0),"n.a."))</f>
        <v>0</v>
      </c>
      <c r="O2398" s="16">
        <f>IF(NOT(Paths!$C$224=1),0,IF(Paths!$P$224="Complete",N2398-IF(C2398=0,Paths!$F$224,0),"n.a."))</f>
        <v>0</v>
      </c>
      <c r="P2398" s="16">
        <f>IF(NOT(Paths!$C$224=1),0,IF(Paths!$P$224="Complete",O2398+L2398,"n.a."))</f>
        <v>0</v>
      </c>
      <c r="Q2398" s="16">
        <f>IF(NOT(Paths!$C$224=1),0,IF(Paths!$P$224="Complete",N2398*(1+'Operating costs'!$B$54)^-C2398,"n.a."))</f>
        <v>0</v>
      </c>
      <c r="R2398" s="16">
        <f>IF(NOT(Paths!$C$224=1),0,IF(Paths!$P$224="Complete",IF(AND(C2398=0,Paths!$E$224=0),I2398-J2398-K2398+VLOOKUP(A2398,'Fleet register'!$A$7:$S$106,15,FALSE)+VLOOKUP(A2398,'Fleet register'!$A$7:$S$106,16,FALSE),0),"n.a."))</f>
        <v>0</v>
      </c>
      <c r="S2398" s="1">
        <f>IF(NOT(Paths!$C$224=1),0,IF(Paths!$P$224="Complete",IF(C2398=0,0,Paths!$S$224*Paths!$R$224),"n.a."))</f>
        <v>0</v>
      </c>
      <c r="T2398" s="1">
        <f>IF(NOT(Paths!$C$224=1),0,IF(Paths!$P$224="Complete",IF(C2398=0,0,VLOOKUP(A2398,'Fleet register'!$A$7:$S$106,9,FALSE)*Paths!$R$224),"n.a."))</f>
        <v>0</v>
      </c>
    </row>
    <row r="2399" spans="1:20" ht="24" customHeight="1">
      <c r="A2399" s="1" t="str">
        <f>Paths!$A$224</f>
        <v>T055</v>
      </c>
      <c r="B2399" s="1">
        <f>Paths!$B$224</f>
        <v>1</v>
      </c>
      <c r="C2399" s="1">
        <v>5</v>
      </c>
      <c r="D2399" s="1">
        <v>224</v>
      </c>
      <c r="E2399" s="1">
        <f>IF(OR(Paths!$C$224=0,C2399=0),0,MAX(0,MIN(C2399*12,Paths!$E$224)-(C2399-1)*12))</f>
        <v>0</v>
      </c>
      <c r="F2399" s="1">
        <f>IF(OR(Paths!$C$224=0,C2399=0),0,12-E2399)</f>
        <v>0</v>
      </c>
      <c r="G2399" s="16">
        <f>IF(NOT(Paths!$C$224=1),0,IF(Paths!$P$224="Complete",E2399/12*(Paths!$J$224*(1+'Operating costs'!$B$51)^MAX(0,C2399-1)+Paths!$K$224*(1+'Operating costs'!$B$53)^MAX(0,C2399-1)),"n.a."))</f>
        <v>0</v>
      </c>
      <c r="H2399" s="16">
        <f>IF(NOT(Paths!$C$224=1),0,IF(Paths!$P$224="Complete",F2399/12*(Paths!$L$224*(1+IF(Paths!$D$224="EV",'Operating costs'!$B$52,'Operating costs'!$B$51))^MAX(0,C2399-1)+Paths!$M$224*(1+'Operating costs'!$B$53)^MAX(0,C2399-1)),"n.a."))</f>
        <v>0</v>
      </c>
      <c r="I2399" s="16">
        <f>IF(NOT(Paths!$C$224=1),0,IF(Paths!$P$224="Complete",IF(IF(Paths!$E$224=0,C2399=0,AND(C2399&gt;0,Paths!$E$224&gt;(C2399-1)*12,Paths!$E$224&lt;=C2399*12)),Paths!$G$224,0),"n.a."))</f>
        <v>0</v>
      </c>
      <c r="J2399" s="16">
        <f>IF(NOT(Paths!$C$224=1),0,IF(Paths!$P$224="Complete",IF(IF(Paths!$E$224=0,C2399=0,AND(C2399&gt;0,Paths!$E$224&gt;(C2399-1)*12,Paths!$E$224&lt;=C2399*12)),Paths!$H$224,0),"n.a."))</f>
        <v>0</v>
      </c>
      <c r="K2399" s="16">
        <f>IF(NOT(Paths!$C$224=1),0,IF(Paths!$P$224="Complete",IF(IF(Paths!$O$224=0,C2399=0,AND(C2399&gt;0,Paths!$O$224&gt;(C2399-1)*12,Paths!$O$224&lt;=C2399*12)),Paths!$N$224,0),"n.a."))</f>
        <v>0</v>
      </c>
      <c r="L2399" s="16">
        <f>IF(NOT(Paths!$C$224=1),0,IF(Paths!$P$224="Complete",IF(C2399=10,Paths!$I$224,0),"n.a."))</f>
        <v>0</v>
      </c>
      <c r="M2399" s="16">
        <f>IF(NOT(Paths!$C$224=1),0,IF(Paths!$P$224="Complete",IF(AND(Paths!$D$224="EV",Paths!$E$224&lt;120,Paths!$E$224+'Operating costs'!$B$65&gt;Paths!$E$224,Paths!$E$224+'Operating costs'!$B$65&lt;=120,IF(Paths!$E$224+'Operating costs'!$B$65=0,C2399=0,AND(C2399&gt;0,Paths!$E$224+'Operating costs'!$B$65&gt;(C2399-1)*12,Paths!$E$224+'Operating costs'!$B$65&lt;=C2399*12))),'Operating costs'!$B$64,0)+IF(AND('Operating costs'!$B$67&gt;0,'Operating costs'!$B$67&lt;=120,OR(Paths!$D$224="ICE",'Operating costs'!$B$67&lt;=Paths!$E$224),IF('Operating costs'!$B$67=0,C2399=0,AND(C2399&gt;0,'Operating costs'!$B$67&gt;(C2399-1)*12,'Operating costs'!$B$67&lt;=C2399*12))),'Operating costs'!$B$66,0),"n.a."))</f>
        <v>0</v>
      </c>
      <c r="N2399" s="16">
        <f>IF(NOT(Paths!$C$224=1),0,IF(Paths!$P$224="Complete",SUM(G2399:I2399)-J2399-K2399-L2399+M2399+IF(C2399=0,Paths!$F$224,0)+IF(IF(Paths!$E$224=0,C2399=0,AND(C2399&gt;0,Paths!$E$224&gt;(C2399-1)*12,Paths!$E$224&lt;=C2399*12)),VLOOKUP(A2399,'Fleet register'!$A$7:$S$106,16,FALSE),0),"n.a."))</f>
        <v>0</v>
      </c>
      <c r="O2399" s="16">
        <f>IF(NOT(Paths!$C$224=1),0,IF(Paths!$P$224="Complete",N2399-IF(C2399=0,Paths!$F$224,0),"n.a."))</f>
        <v>0</v>
      </c>
      <c r="P2399" s="16">
        <f>IF(NOT(Paths!$C$224=1),0,IF(Paths!$P$224="Complete",O2399+L2399,"n.a."))</f>
        <v>0</v>
      </c>
      <c r="Q2399" s="16">
        <f>IF(NOT(Paths!$C$224=1),0,IF(Paths!$P$224="Complete",N2399*(1+'Operating costs'!$B$54)^-C2399,"n.a."))</f>
        <v>0</v>
      </c>
      <c r="R2399" s="16">
        <f>IF(NOT(Paths!$C$224=1),0,IF(Paths!$P$224="Complete",IF(AND(C2399=0,Paths!$E$224=0),I2399-J2399-K2399+VLOOKUP(A2399,'Fleet register'!$A$7:$S$106,15,FALSE)+VLOOKUP(A2399,'Fleet register'!$A$7:$S$106,16,FALSE),0),"n.a."))</f>
        <v>0</v>
      </c>
      <c r="S2399" s="1">
        <f>IF(NOT(Paths!$C$224=1),0,IF(Paths!$P$224="Complete",IF(C2399=0,0,Paths!$S$224*Paths!$R$224),"n.a."))</f>
        <v>0</v>
      </c>
      <c r="T2399" s="1">
        <f>IF(NOT(Paths!$C$224=1),0,IF(Paths!$P$224="Complete",IF(C2399=0,0,VLOOKUP(A2399,'Fleet register'!$A$7:$S$106,9,FALSE)*Paths!$R$224),"n.a."))</f>
        <v>0</v>
      </c>
    </row>
    <row r="2400" spans="1:20" ht="24" customHeight="1">
      <c r="A2400" s="1" t="str">
        <f>Paths!$A$224</f>
        <v>T055</v>
      </c>
      <c r="B2400" s="1">
        <f>Paths!$B$224</f>
        <v>1</v>
      </c>
      <c r="C2400" s="1">
        <v>6</v>
      </c>
      <c r="D2400" s="1">
        <v>224</v>
      </c>
      <c r="E2400" s="1">
        <f>IF(OR(Paths!$C$224=0,C2400=0),0,MAX(0,MIN(C2400*12,Paths!$E$224)-(C2400-1)*12))</f>
        <v>0</v>
      </c>
      <c r="F2400" s="1">
        <f>IF(OR(Paths!$C$224=0,C2400=0),0,12-E2400)</f>
        <v>0</v>
      </c>
      <c r="G2400" s="16">
        <f>IF(NOT(Paths!$C$224=1),0,IF(Paths!$P$224="Complete",E2400/12*(Paths!$J$224*(1+'Operating costs'!$B$51)^MAX(0,C2400-1)+Paths!$K$224*(1+'Operating costs'!$B$53)^MAX(0,C2400-1)),"n.a."))</f>
        <v>0</v>
      </c>
      <c r="H2400" s="16">
        <f>IF(NOT(Paths!$C$224=1),0,IF(Paths!$P$224="Complete",F2400/12*(Paths!$L$224*(1+IF(Paths!$D$224="EV",'Operating costs'!$B$52,'Operating costs'!$B$51))^MAX(0,C2400-1)+Paths!$M$224*(1+'Operating costs'!$B$53)^MAX(0,C2400-1)),"n.a."))</f>
        <v>0</v>
      </c>
      <c r="I2400" s="16">
        <f>IF(NOT(Paths!$C$224=1),0,IF(Paths!$P$224="Complete",IF(IF(Paths!$E$224=0,C2400=0,AND(C2400&gt;0,Paths!$E$224&gt;(C2400-1)*12,Paths!$E$224&lt;=C2400*12)),Paths!$G$224,0),"n.a."))</f>
        <v>0</v>
      </c>
      <c r="J2400" s="16">
        <f>IF(NOT(Paths!$C$224=1),0,IF(Paths!$P$224="Complete",IF(IF(Paths!$E$224=0,C2400=0,AND(C2400&gt;0,Paths!$E$224&gt;(C2400-1)*12,Paths!$E$224&lt;=C2400*12)),Paths!$H$224,0),"n.a."))</f>
        <v>0</v>
      </c>
      <c r="K2400" s="16">
        <f>IF(NOT(Paths!$C$224=1),0,IF(Paths!$P$224="Complete",IF(IF(Paths!$O$224=0,C2400=0,AND(C2400&gt;0,Paths!$O$224&gt;(C2400-1)*12,Paths!$O$224&lt;=C2400*12)),Paths!$N$224,0),"n.a."))</f>
        <v>0</v>
      </c>
      <c r="L2400" s="16">
        <f>IF(NOT(Paths!$C$224=1),0,IF(Paths!$P$224="Complete",IF(C2400=10,Paths!$I$224,0),"n.a."))</f>
        <v>0</v>
      </c>
      <c r="M2400" s="16">
        <f>IF(NOT(Paths!$C$224=1),0,IF(Paths!$P$224="Complete",IF(AND(Paths!$D$224="EV",Paths!$E$224&lt;120,Paths!$E$224+'Operating costs'!$B$65&gt;Paths!$E$224,Paths!$E$224+'Operating costs'!$B$65&lt;=120,IF(Paths!$E$224+'Operating costs'!$B$65=0,C2400=0,AND(C2400&gt;0,Paths!$E$224+'Operating costs'!$B$65&gt;(C2400-1)*12,Paths!$E$224+'Operating costs'!$B$65&lt;=C2400*12))),'Operating costs'!$B$64,0)+IF(AND('Operating costs'!$B$67&gt;0,'Operating costs'!$B$67&lt;=120,OR(Paths!$D$224="ICE",'Operating costs'!$B$67&lt;=Paths!$E$224),IF('Operating costs'!$B$67=0,C2400=0,AND(C2400&gt;0,'Operating costs'!$B$67&gt;(C2400-1)*12,'Operating costs'!$B$67&lt;=C2400*12))),'Operating costs'!$B$66,0),"n.a."))</f>
        <v>0</v>
      </c>
      <c r="N2400" s="16">
        <f>IF(NOT(Paths!$C$224=1),0,IF(Paths!$P$224="Complete",SUM(G2400:I2400)-J2400-K2400-L2400+M2400+IF(C2400=0,Paths!$F$224,0)+IF(IF(Paths!$E$224=0,C2400=0,AND(C2400&gt;0,Paths!$E$224&gt;(C2400-1)*12,Paths!$E$224&lt;=C2400*12)),VLOOKUP(A2400,'Fleet register'!$A$7:$S$106,16,FALSE),0),"n.a."))</f>
        <v>0</v>
      </c>
      <c r="O2400" s="16">
        <f>IF(NOT(Paths!$C$224=1),0,IF(Paths!$P$224="Complete",N2400-IF(C2400=0,Paths!$F$224,0),"n.a."))</f>
        <v>0</v>
      </c>
      <c r="P2400" s="16">
        <f>IF(NOT(Paths!$C$224=1),0,IF(Paths!$P$224="Complete",O2400+L2400,"n.a."))</f>
        <v>0</v>
      </c>
      <c r="Q2400" s="16">
        <f>IF(NOT(Paths!$C$224=1),0,IF(Paths!$P$224="Complete",N2400*(1+'Operating costs'!$B$54)^-C2400,"n.a."))</f>
        <v>0</v>
      </c>
      <c r="R2400" s="16">
        <f>IF(NOT(Paths!$C$224=1),0,IF(Paths!$P$224="Complete",IF(AND(C2400=0,Paths!$E$224=0),I2400-J2400-K2400+VLOOKUP(A2400,'Fleet register'!$A$7:$S$106,15,FALSE)+VLOOKUP(A2400,'Fleet register'!$A$7:$S$106,16,FALSE),0),"n.a."))</f>
        <v>0</v>
      </c>
      <c r="S2400" s="1">
        <f>IF(NOT(Paths!$C$224=1),0,IF(Paths!$P$224="Complete",IF(C2400=0,0,Paths!$S$224*Paths!$R$224),"n.a."))</f>
        <v>0</v>
      </c>
      <c r="T2400" s="1">
        <f>IF(NOT(Paths!$C$224=1),0,IF(Paths!$P$224="Complete",IF(C2400=0,0,VLOOKUP(A2400,'Fleet register'!$A$7:$S$106,9,FALSE)*Paths!$R$224),"n.a."))</f>
        <v>0</v>
      </c>
    </row>
    <row r="2401" spans="1:20" ht="24" customHeight="1">
      <c r="A2401" s="1" t="str">
        <f>Paths!$A$224</f>
        <v>T055</v>
      </c>
      <c r="B2401" s="1">
        <f>Paths!$B$224</f>
        <v>1</v>
      </c>
      <c r="C2401" s="1">
        <v>7</v>
      </c>
      <c r="D2401" s="1">
        <v>224</v>
      </c>
      <c r="E2401" s="1">
        <f>IF(OR(Paths!$C$224=0,C2401=0),0,MAX(0,MIN(C2401*12,Paths!$E$224)-(C2401-1)*12))</f>
        <v>0</v>
      </c>
      <c r="F2401" s="1">
        <f>IF(OR(Paths!$C$224=0,C2401=0),0,12-E2401)</f>
        <v>0</v>
      </c>
      <c r="G2401" s="16">
        <f>IF(NOT(Paths!$C$224=1),0,IF(Paths!$P$224="Complete",E2401/12*(Paths!$J$224*(1+'Operating costs'!$B$51)^MAX(0,C2401-1)+Paths!$K$224*(1+'Operating costs'!$B$53)^MAX(0,C2401-1)),"n.a."))</f>
        <v>0</v>
      </c>
      <c r="H2401" s="16">
        <f>IF(NOT(Paths!$C$224=1),0,IF(Paths!$P$224="Complete",F2401/12*(Paths!$L$224*(1+IF(Paths!$D$224="EV",'Operating costs'!$B$52,'Operating costs'!$B$51))^MAX(0,C2401-1)+Paths!$M$224*(1+'Operating costs'!$B$53)^MAX(0,C2401-1)),"n.a."))</f>
        <v>0</v>
      </c>
      <c r="I2401" s="16">
        <f>IF(NOT(Paths!$C$224=1),0,IF(Paths!$P$224="Complete",IF(IF(Paths!$E$224=0,C2401=0,AND(C2401&gt;0,Paths!$E$224&gt;(C2401-1)*12,Paths!$E$224&lt;=C2401*12)),Paths!$G$224,0),"n.a."))</f>
        <v>0</v>
      </c>
      <c r="J2401" s="16">
        <f>IF(NOT(Paths!$C$224=1),0,IF(Paths!$P$224="Complete",IF(IF(Paths!$E$224=0,C2401=0,AND(C2401&gt;0,Paths!$E$224&gt;(C2401-1)*12,Paths!$E$224&lt;=C2401*12)),Paths!$H$224,0),"n.a."))</f>
        <v>0</v>
      </c>
      <c r="K2401" s="16">
        <f>IF(NOT(Paths!$C$224=1),0,IF(Paths!$P$224="Complete",IF(IF(Paths!$O$224=0,C2401=0,AND(C2401&gt;0,Paths!$O$224&gt;(C2401-1)*12,Paths!$O$224&lt;=C2401*12)),Paths!$N$224,0),"n.a."))</f>
        <v>0</v>
      </c>
      <c r="L2401" s="16">
        <f>IF(NOT(Paths!$C$224=1),0,IF(Paths!$P$224="Complete",IF(C2401=10,Paths!$I$224,0),"n.a."))</f>
        <v>0</v>
      </c>
      <c r="M2401" s="16">
        <f>IF(NOT(Paths!$C$224=1),0,IF(Paths!$P$224="Complete",IF(AND(Paths!$D$224="EV",Paths!$E$224&lt;120,Paths!$E$224+'Operating costs'!$B$65&gt;Paths!$E$224,Paths!$E$224+'Operating costs'!$B$65&lt;=120,IF(Paths!$E$224+'Operating costs'!$B$65=0,C2401=0,AND(C2401&gt;0,Paths!$E$224+'Operating costs'!$B$65&gt;(C2401-1)*12,Paths!$E$224+'Operating costs'!$B$65&lt;=C2401*12))),'Operating costs'!$B$64,0)+IF(AND('Operating costs'!$B$67&gt;0,'Operating costs'!$B$67&lt;=120,OR(Paths!$D$224="ICE",'Operating costs'!$B$67&lt;=Paths!$E$224),IF('Operating costs'!$B$67=0,C2401=0,AND(C2401&gt;0,'Operating costs'!$B$67&gt;(C2401-1)*12,'Operating costs'!$B$67&lt;=C2401*12))),'Operating costs'!$B$66,0),"n.a."))</f>
        <v>0</v>
      </c>
      <c r="N2401" s="16">
        <f>IF(NOT(Paths!$C$224=1),0,IF(Paths!$P$224="Complete",SUM(G2401:I2401)-J2401-K2401-L2401+M2401+IF(C2401=0,Paths!$F$224,0)+IF(IF(Paths!$E$224=0,C2401=0,AND(C2401&gt;0,Paths!$E$224&gt;(C2401-1)*12,Paths!$E$224&lt;=C2401*12)),VLOOKUP(A2401,'Fleet register'!$A$7:$S$106,16,FALSE),0),"n.a."))</f>
        <v>0</v>
      </c>
      <c r="O2401" s="16">
        <f>IF(NOT(Paths!$C$224=1),0,IF(Paths!$P$224="Complete",N2401-IF(C2401=0,Paths!$F$224,0),"n.a."))</f>
        <v>0</v>
      </c>
      <c r="P2401" s="16">
        <f>IF(NOT(Paths!$C$224=1),0,IF(Paths!$P$224="Complete",O2401+L2401,"n.a."))</f>
        <v>0</v>
      </c>
      <c r="Q2401" s="16">
        <f>IF(NOT(Paths!$C$224=1),0,IF(Paths!$P$224="Complete",N2401*(1+'Operating costs'!$B$54)^-C2401,"n.a."))</f>
        <v>0</v>
      </c>
      <c r="R2401" s="16">
        <f>IF(NOT(Paths!$C$224=1),0,IF(Paths!$P$224="Complete",IF(AND(C2401=0,Paths!$E$224=0),I2401-J2401-K2401+VLOOKUP(A2401,'Fleet register'!$A$7:$S$106,15,FALSE)+VLOOKUP(A2401,'Fleet register'!$A$7:$S$106,16,FALSE),0),"n.a."))</f>
        <v>0</v>
      </c>
      <c r="S2401" s="1">
        <f>IF(NOT(Paths!$C$224=1),0,IF(Paths!$P$224="Complete",IF(C2401=0,0,Paths!$S$224*Paths!$R$224),"n.a."))</f>
        <v>0</v>
      </c>
      <c r="T2401" s="1">
        <f>IF(NOT(Paths!$C$224=1),0,IF(Paths!$P$224="Complete",IF(C2401=0,0,VLOOKUP(A2401,'Fleet register'!$A$7:$S$106,9,FALSE)*Paths!$R$224),"n.a."))</f>
        <v>0</v>
      </c>
    </row>
    <row r="2402" spans="1:20" ht="24" customHeight="1">
      <c r="A2402" s="1" t="str">
        <f>Paths!$A$224</f>
        <v>T055</v>
      </c>
      <c r="B2402" s="1">
        <f>Paths!$B$224</f>
        <v>1</v>
      </c>
      <c r="C2402" s="1">
        <v>8</v>
      </c>
      <c r="D2402" s="1">
        <v>224</v>
      </c>
      <c r="E2402" s="1">
        <f>IF(OR(Paths!$C$224=0,C2402=0),0,MAX(0,MIN(C2402*12,Paths!$E$224)-(C2402-1)*12))</f>
        <v>0</v>
      </c>
      <c r="F2402" s="1">
        <f>IF(OR(Paths!$C$224=0,C2402=0),0,12-E2402)</f>
        <v>0</v>
      </c>
      <c r="G2402" s="16">
        <f>IF(NOT(Paths!$C$224=1),0,IF(Paths!$P$224="Complete",E2402/12*(Paths!$J$224*(1+'Operating costs'!$B$51)^MAX(0,C2402-1)+Paths!$K$224*(1+'Operating costs'!$B$53)^MAX(0,C2402-1)),"n.a."))</f>
        <v>0</v>
      </c>
      <c r="H2402" s="16">
        <f>IF(NOT(Paths!$C$224=1),0,IF(Paths!$P$224="Complete",F2402/12*(Paths!$L$224*(1+IF(Paths!$D$224="EV",'Operating costs'!$B$52,'Operating costs'!$B$51))^MAX(0,C2402-1)+Paths!$M$224*(1+'Operating costs'!$B$53)^MAX(0,C2402-1)),"n.a."))</f>
        <v>0</v>
      </c>
      <c r="I2402" s="16">
        <f>IF(NOT(Paths!$C$224=1),0,IF(Paths!$P$224="Complete",IF(IF(Paths!$E$224=0,C2402=0,AND(C2402&gt;0,Paths!$E$224&gt;(C2402-1)*12,Paths!$E$224&lt;=C2402*12)),Paths!$G$224,0),"n.a."))</f>
        <v>0</v>
      </c>
      <c r="J2402" s="16">
        <f>IF(NOT(Paths!$C$224=1),0,IF(Paths!$P$224="Complete",IF(IF(Paths!$E$224=0,C2402=0,AND(C2402&gt;0,Paths!$E$224&gt;(C2402-1)*12,Paths!$E$224&lt;=C2402*12)),Paths!$H$224,0),"n.a."))</f>
        <v>0</v>
      </c>
      <c r="K2402" s="16">
        <f>IF(NOT(Paths!$C$224=1),0,IF(Paths!$P$224="Complete",IF(IF(Paths!$O$224=0,C2402=0,AND(C2402&gt;0,Paths!$O$224&gt;(C2402-1)*12,Paths!$O$224&lt;=C2402*12)),Paths!$N$224,0),"n.a."))</f>
        <v>0</v>
      </c>
      <c r="L2402" s="16">
        <f>IF(NOT(Paths!$C$224=1),0,IF(Paths!$P$224="Complete",IF(C2402=10,Paths!$I$224,0),"n.a."))</f>
        <v>0</v>
      </c>
      <c r="M2402" s="16">
        <f>IF(NOT(Paths!$C$224=1),0,IF(Paths!$P$224="Complete",IF(AND(Paths!$D$224="EV",Paths!$E$224&lt;120,Paths!$E$224+'Operating costs'!$B$65&gt;Paths!$E$224,Paths!$E$224+'Operating costs'!$B$65&lt;=120,IF(Paths!$E$224+'Operating costs'!$B$65=0,C2402=0,AND(C2402&gt;0,Paths!$E$224+'Operating costs'!$B$65&gt;(C2402-1)*12,Paths!$E$224+'Operating costs'!$B$65&lt;=C2402*12))),'Operating costs'!$B$64,0)+IF(AND('Operating costs'!$B$67&gt;0,'Operating costs'!$B$67&lt;=120,OR(Paths!$D$224="ICE",'Operating costs'!$B$67&lt;=Paths!$E$224),IF('Operating costs'!$B$67=0,C2402=0,AND(C2402&gt;0,'Operating costs'!$B$67&gt;(C2402-1)*12,'Operating costs'!$B$67&lt;=C2402*12))),'Operating costs'!$B$66,0),"n.a."))</f>
        <v>0</v>
      </c>
      <c r="N2402" s="16">
        <f>IF(NOT(Paths!$C$224=1),0,IF(Paths!$P$224="Complete",SUM(G2402:I2402)-J2402-K2402-L2402+M2402+IF(C2402=0,Paths!$F$224,0)+IF(IF(Paths!$E$224=0,C2402=0,AND(C2402&gt;0,Paths!$E$224&gt;(C2402-1)*12,Paths!$E$224&lt;=C2402*12)),VLOOKUP(A2402,'Fleet register'!$A$7:$S$106,16,FALSE),0),"n.a."))</f>
        <v>0</v>
      </c>
      <c r="O2402" s="16">
        <f>IF(NOT(Paths!$C$224=1),0,IF(Paths!$P$224="Complete",N2402-IF(C2402=0,Paths!$F$224,0),"n.a."))</f>
        <v>0</v>
      </c>
      <c r="P2402" s="16">
        <f>IF(NOT(Paths!$C$224=1),0,IF(Paths!$P$224="Complete",O2402+L2402,"n.a."))</f>
        <v>0</v>
      </c>
      <c r="Q2402" s="16">
        <f>IF(NOT(Paths!$C$224=1),0,IF(Paths!$P$224="Complete",N2402*(1+'Operating costs'!$B$54)^-C2402,"n.a."))</f>
        <v>0</v>
      </c>
      <c r="R2402" s="16">
        <f>IF(NOT(Paths!$C$224=1),0,IF(Paths!$P$224="Complete",IF(AND(C2402=0,Paths!$E$224=0),I2402-J2402-K2402+VLOOKUP(A2402,'Fleet register'!$A$7:$S$106,15,FALSE)+VLOOKUP(A2402,'Fleet register'!$A$7:$S$106,16,FALSE),0),"n.a."))</f>
        <v>0</v>
      </c>
      <c r="S2402" s="1">
        <f>IF(NOT(Paths!$C$224=1),0,IF(Paths!$P$224="Complete",IF(C2402=0,0,Paths!$S$224*Paths!$R$224),"n.a."))</f>
        <v>0</v>
      </c>
      <c r="T2402" s="1">
        <f>IF(NOT(Paths!$C$224=1),0,IF(Paths!$P$224="Complete",IF(C2402=0,0,VLOOKUP(A2402,'Fleet register'!$A$7:$S$106,9,FALSE)*Paths!$R$224),"n.a."))</f>
        <v>0</v>
      </c>
    </row>
    <row r="2403" spans="1:20" ht="24" customHeight="1">
      <c r="A2403" s="1" t="str">
        <f>Paths!$A$224</f>
        <v>T055</v>
      </c>
      <c r="B2403" s="1">
        <f>Paths!$B$224</f>
        <v>1</v>
      </c>
      <c r="C2403" s="1">
        <v>9</v>
      </c>
      <c r="D2403" s="1">
        <v>224</v>
      </c>
      <c r="E2403" s="1">
        <f>IF(OR(Paths!$C$224=0,C2403=0),0,MAX(0,MIN(C2403*12,Paths!$E$224)-(C2403-1)*12))</f>
        <v>0</v>
      </c>
      <c r="F2403" s="1">
        <f>IF(OR(Paths!$C$224=0,C2403=0),0,12-E2403)</f>
        <v>0</v>
      </c>
      <c r="G2403" s="16">
        <f>IF(NOT(Paths!$C$224=1),0,IF(Paths!$P$224="Complete",E2403/12*(Paths!$J$224*(1+'Operating costs'!$B$51)^MAX(0,C2403-1)+Paths!$K$224*(1+'Operating costs'!$B$53)^MAX(0,C2403-1)),"n.a."))</f>
        <v>0</v>
      </c>
      <c r="H2403" s="16">
        <f>IF(NOT(Paths!$C$224=1),0,IF(Paths!$P$224="Complete",F2403/12*(Paths!$L$224*(1+IF(Paths!$D$224="EV",'Operating costs'!$B$52,'Operating costs'!$B$51))^MAX(0,C2403-1)+Paths!$M$224*(1+'Operating costs'!$B$53)^MAX(0,C2403-1)),"n.a."))</f>
        <v>0</v>
      </c>
      <c r="I2403" s="16">
        <f>IF(NOT(Paths!$C$224=1),0,IF(Paths!$P$224="Complete",IF(IF(Paths!$E$224=0,C2403=0,AND(C2403&gt;0,Paths!$E$224&gt;(C2403-1)*12,Paths!$E$224&lt;=C2403*12)),Paths!$G$224,0),"n.a."))</f>
        <v>0</v>
      </c>
      <c r="J2403" s="16">
        <f>IF(NOT(Paths!$C$224=1),0,IF(Paths!$P$224="Complete",IF(IF(Paths!$E$224=0,C2403=0,AND(C2403&gt;0,Paths!$E$224&gt;(C2403-1)*12,Paths!$E$224&lt;=C2403*12)),Paths!$H$224,0),"n.a."))</f>
        <v>0</v>
      </c>
      <c r="K2403" s="16">
        <f>IF(NOT(Paths!$C$224=1),0,IF(Paths!$P$224="Complete",IF(IF(Paths!$O$224=0,C2403=0,AND(C2403&gt;0,Paths!$O$224&gt;(C2403-1)*12,Paths!$O$224&lt;=C2403*12)),Paths!$N$224,0),"n.a."))</f>
        <v>0</v>
      </c>
      <c r="L2403" s="16">
        <f>IF(NOT(Paths!$C$224=1),0,IF(Paths!$P$224="Complete",IF(C2403=10,Paths!$I$224,0),"n.a."))</f>
        <v>0</v>
      </c>
      <c r="M2403" s="16">
        <f>IF(NOT(Paths!$C$224=1),0,IF(Paths!$P$224="Complete",IF(AND(Paths!$D$224="EV",Paths!$E$224&lt;120,Paths!$E$224+'Operating costs'!$B$65&gt;Paths!$E$224,Paths!$E$224+'Operating costs'!$B$65&lt;=120,IF(Paths!$E$224+'Operating costs'!$B$65=0,C2403=0,AND(C2403&gt;0,Paths!$E$224+'Operating costs'!$B$65&gt;(C2403-1)*12,Paths!$E$224+'Operating costs'!$B$65&lt;=C2403*12))),'Operating costs'!$B$64,0)+IF(AND('Operating costs'!$B$67&gt;0,'Operating costs'!$B$67&lt;=120,OR(Paths!$D$224="ICE",'Operating costs'!$B$67&lt;=Paths!$E$224),IF('Operating costs'!$B$67=0,C2403=0,AND(C2403&gt;0,'Operating costs'!$B$67&gt;(C2403-1)*12,'Operating costs'!$B$67&lt;=C2403*12))),'Operating costs'!$B$66,0),"n.a."))</f>
        <v>0</v>
      </c>
      <c r="N2403" s="16">
        <f>IF(NOT(Paths!$C$224=1),0,IF(Paths!$P$224="Complete",SUM(G2403:I2403)-J2403-K2403-L2403+M2403+IF(C2403=0,Paths!$F$224,0)+IF(IF(Paths!$E$224=0,C2403=0,AND(C2403&gt;0,Paths!$E$224&gt;(C2403-1)*12,Paths!$E$224&lt;=C2403*12)),VLOOKUP(A2403,'Fleet register'!$A$7:$S$106,16,FALSE),0),"n.a."))</f>
        <v>0</v>
      </c>
      <c r="O2403" s="16">
        <f>IF(NOT(Paths!$C$224=1),0,IF(Paths!$P$224="Complete",N2403-IF(C2403=0,Paths!$F$224,0),"n.a."))</f>
        <v>0</v>
      </c>
      <c r="P2403" s="16">
        <f>IF(NOT(Paths!$C$224=1),0,IF(Paths!$P$224="Complete",O2403+L2403,"n.a."))</f>
        <v>0</v>
      </c>
      <c r="Q2403" s="16">
        <f>IF(NOT(Paths!$C$224=1),0,IF(Paths!$P$224="Complete",N2403*(1+'Operating costs'!$B$54)^-C2403,"n.a."))</f>
        <v>0</v>
      </c>
      <c r="R2403" s="16">
        <f>IF(NOT(Paths!$C$224=1),0,IF(Paths!$P$224="Complete",IF(AND(C2403=0,Paths!$E$224=0),I2403-J2403-K2403+VLOOKUP(A2403,'Fleet register'!$A$7:$S$106,15,FALSE)+VLOOKUP(A2403,'Fleet register'!$A$7:$S$106,16,FALSE),0),"n.a."))</f>
        <v>0</v>
      </c>
      <c r="S2403" s="1">
        <f>IF(NOT(Paths!$C$224=1),0,IF(Paths!$P$224="Complete",IF(C2403=0,0,Paths!$S$224*Paths!$R$224),"n.a."))</f>
        <v>0</v>
      </c>
      <c r="T2403" s="1">
        <f>IF(NOT(Paths!$C$224=1),0,IF(Paths!$P$224="Complete",IF(C2403=0,0,VLOOKUP(A2403,'Fleet register'!$A$7:$S$106,9,FALSE)*Paths!$R$224),"n.a."))</f>
        <v>0</v>
      </c>
    </row>
    <row r="2404" spans="1:20" ht="24" customHeight="1">
      <c r="A2404" s="1" t="str">
        <f>Paths!$A$224</f>
        <v>T055</v>
      </c>
      <c r="B2404" s="1">
        <f>Paths!$B$224</f>
        <v>1</v>
      </c>
      <c r="C2404" s="1">
        <v>10</v>
      </c>
      <c r="D2404" s="1">
        <v>224</v>
      </c>
      <c r="E2404" s="1">
        <f>IF(OR(Paths!$C$224=0,C2404=0),0,MAX(0,MIN(C2404*12,Paths!$E$224)-(C2404-1)*12))</f>
        <v>0</v>
      </c>
      <c r="F2404" s="1">
        <f>IF(OR(Paths!$C$224=0,C2404=0),0,12-E2404)</f>
        <v>0</v>
      </c>
      <c r="G2404" s="16">
        <f>IF(NOT(Paths!$C$224=1),0,IF(Paths!$P$224="Complete",E2404/12*(Paths!$J$224*(1+'Operating costs'!$B$51)^MAX(0,C2404-1)+Paths!$K$224*(1+'Operating costs'!$B$53)^MAX(0,C2404-1)),"n.a."))</f>
        <v>0</v>
      </c>
      <c r="H2404" s="16">
        <f>IF(NOT(Paths!$C$224=1),0,IF(Paths!$P$224="Complete",F2404/12*(Paths!$L$224*(1+IF(Paths!$D$224="EV",'Operating costs'!$B$52,'Operating costs'!$B$51))^MAX(0,C2404-1)+Paths!$M$224*(1+'Operating costs'!$B$53)^MAX(0,C2404-1)),"n.a."))</f>
        <v>0</v>
      </c>
      <c r="I2404" s="16">
        <f>IF(NOT(Paths!$C$224=1),0,IF(Paths!$P$224="Complete",IF(IF(Paths!$E$224=0,C2404=0,AND(C2404&gt;0,Paths!$E$224&gt;(C2404-1)*12,Paths!$E$224&lt;=C2404*12)),Paths!$G$224,0),"n.a."))</f>
        <v>0</v>
      </c>
      <c r="J2404" s="16">
        <f>IF(NOT(Paths!$C$224=1),0,IF(Paths!$P$224="Complete",IF(IF(Paths!$E$224=0,C2404=0,AND(C2404&gt;0,Paths!$E$224&gt;(C2404-1)*12,Paths!$E$224&lt;=C2404*12)),Paths!$H$224,0),"n.a."))</f>
        <v>0</v>
      </c>
      <c r="K2404" s="16">
        <f>IF(NOT(Paths!$C$224=1),0,IF(Paths!$P$224="Complete",IF(IF(Paths!$O$224=0,C2404=0,AND(C2404&gt;0,Paths!$O$224&gt;(C2404-1)*12,Paths!$O$224&lt;=C2404*12)),Paths!$N$224,0),"n.a."))</f>
        <v>0</v>
      </c>
      <c r="L2404" s="16">
        <f>IF(NOT(Paths!$C$224=1),0,IF(Paths!$P$224="Complete",IF(C2404=10,Paths!$I$224,0),"n.a."))</f>
        <v>0</v>
      </c>
      <c r="M2404" s="16">
        <f>IF(NOT(Paths!$C$224=1),0,IF(Paths!$P$224="Complete",IF(AND(Paths!$D$224="EV",Paths!$E$224&lt;120,Paths!$E$224+'Operating costs'!$B$65&gt;Paths!$E$224,Paths!$E$224+'Operating costs'!$B$65&lt;=120,IF(Paths!$E$224+'Operating costs'!$B$65=0,C2404=0,AND(C2404&gt;0,Paths!$E$224+'Operating costs'!$B$65&gt;(C2404-1)*12,Paths!$E$224+'Operating costs'!$B$65&lt;=C2404*12))),'Operating costs'!$B$64,0)+IF(AND('Operating costs'!$B$67&gt;0,'Operating costs'!$B$67&lt;=120,OR(Paths!$D$224="ICE",'Operating costs'!$B$67&lt;=Paths!$E$224),IF('Operating costs'!$B$67=0,C2404=0,AND(C2404&gt;0,'Operating costs'!$B$67&gt;(C2404-1)*12,'Operating costs'!$B$67&lt;=C2404*12))),'Operating costs'!$B$66,0),"n.a."))</f>
        <v>0</v>
      </c>
      <c r="N2404" s="16">
        <f>IF(NOT(Paths!$C$224=1),0,IF(Paths!$P$224="Complete",SUM(G2404:I2404)-J2404-K2404-L2404+M2404+IF(C2404=0,Paths!$F$224,0)+IF(IF(Paths!$E$224=0,C2404=0,AND(C2404&gt;0,Paths!$E$224&gt;(C2404-1)*12,Paths!$E$224&lt;=C2404*12)),VLOOKUP(A2404,'Fleet register'!$A$7:$S$106,16,FALSE),0),"n.a."))</f>
        <v>0</v>
      </c>
      <c r="O2404" s="16">
        <f>IF(NOT(Paths!$C$224=1),0,IF(Paths!$P$224="Complete",N2404-IF(C2404=0,Paths!$F$224,0),"n.a."))</f>
        <v>0</v>
      </c>
      <c r="P2404" s="16">
        <f>IF(NOT(Paths!$C$224=1),0,IF(Paths!$P$224="Complete",O2404+L2404,"n.a."))</f>
        <v>0</v>
      </c>
      <c r="Q2404" s="16">
        <f>IF(NOT(Paths!$C$224=1),0,IF(Paths!$P$224="Complete",N2404*(1+'Operating costs'!$B$54)^-C2404,"n.a."))</f>
        <v>0</v>
      </c>
      <c r="R2404" s="16">
        <f>IF(NOT(Paths!$C$224=1),0,IF(Paths!$P$224="Complete",IF(AND(C2404=0,Paths!$E$224=0),I2404-J2404-K2404+VLOOKUP(A2404,'Fleet register'!$A$7:$S$106,15,FALSE)+VLOOKUP(A2404,'Fleet register'!$A$7:$S$106,16,FALSE),0),"n.a."))</f>
        <v>0</v>
      </c>
      <c r="S2404" s="1">
        <f>IF(NOT(Paths!$C$224=1),0,IF(Paths!$P$224="Complete",IF(C2404=0,0,Paths!$S$224*Paths!$R$224),"n.a."))</f>
        <v>0</v>
      </c>
      <c r="T2404" s="1">
        <f>IF(NOT(Paths!$C$224=1),0,IF(Paths!$P$224="Complete",IF(C2404=0,0,VLOOKUP(A2404,'Fleet register'!$A$7:$S$106,9,FALSE)*Paths!$R$224),"n.a."))</f>
        <v>0</v>
      </c>
    </row>
    <row r="2405" spans="1:20" ht="24" customHeight="1">
      <c r="A2405" s="1" t="str">
        <f>Paths!$A$225</f>
        <v>T055</v>
      </c>
      <c r="B2405" s="1">
        <f>Paths!$B$225</f>
        <v>2</v>
      </c>
      <c r="C2405" s="1">
        <v>0</v>
      </c>
      <c r="D2405" s="1">
        <v>225</v>
      </c>
      <c r="E2405" s="1">
        <f>IF(OR(Paths!$C$225=0,C2405=0),0,MAX(0,MIN(C2405*12,Paths!$E$225)-(C2405-1)*12))</f>
        <v>0</v>
      </c>
      <c r="F2405" s="1">
        <f>IF(OR(Paths!$C$225=0,C2405=0),0,12-E2405)</f>
        <v>0</v>
      </c>
      <c r="G2405" s="16">
        <f>IF(NOT(Paths!$C$225=1),0,IF(Paths!$P$225="Complete",E2405/12*(Paths!$J$225*(1+'Operating costs'!$B$51)^MAX(0,C2405-1)+Paths!$K$225*(1+'Operating costs'!$B$53)^MAX(0,C2405-1)),"n.a."))</f>
        <v>0</v>
      </c>
      <c r="H2405" s="16">
        <f>IF(NOT(Paths!$C$225=1),0,IF(Paths!$P$225="Complete",F2405/12*(Paths!$L$225*(1+IF(Paths!$D$225="EV",'Operating costs'!$B$52,'Operating costs'!$B$51))^MAX(0,C2405-1)+Paths!$M$225*(1+'Operating costs'!$B$53)^MAX(0,C2405-1)),"n.a."))</f>
        <v>0</v>
      </c>
      <c r="I2405" s="16">
        <f>IF(NOT(Paths!$C$225=1),0,IF(Paths!$P$225="Complete",IF(IF(Paths!$E$225=0,C2405=0,AND(C2405&gt;0,Paths!$E$225&gt;(C2405-1)*12,Paths!$E$225&lt;=C2405*12)),Paths!$G$225,0),"n.a."))</f>
        <v>0</v>
      </c>
      <c r="J2405" s="16">
        <f>IF(NOT(Paths!$C$225=1),0,IF(Paths!$P$225="Complete",IF(IF(Paths!$E$225=0,C2405=0,AND(C2405&gt;0,Paths!$E$225&gt;(C2405-1)*12,Paths!$E$225&lt;=C2405*12)),Paths!$H$225,0),"n.a."))</f>
        <v>0</v>
      </c>
      <c r="K2405" s="16">
        <f>IF(NOT(Paths!$C$225=1),0,IF(Paths!$P$225="Complete",IF(IF(Paths!$O$225=0,C2405=0,AND(C2405&gt;0,Paths!$O$225&gt;(C2405-1)*12,Paths!$O$225&lt;=C2405*12)),Paths!$N$225,0),"n.a."))</f>
        <v>0</v>
      </c>
      <c r="L2405" s="16">
        <f>IF(NOT(Paths!$C$225=1),0,IF(Paths!$P$225="Complete",IF(C2405=10,Paths!$I$225,0),"n.a."))</f>
        <v>0</v>
      </c>
      <c r="M2405" s="16">
        <f>IF(NOT(Paths!$C$225=1),0,IF(Paths!$P$225="Complete",IF(AND(Paths!$D$225="EV",Paths!$E$225&lt;120,Paths!$E$225+'Operating costs'!$B$65&gt;Paths!$E$225,Paths!$E$225+'Operating costs'!$B$65&lt;=120,IF(Paths!$E$225+'Operating costs'!$B$65=0,C2405=0,AND(C2405&gt;0,Paths!$E$225+'Operating costs'!$B$65&gt;(C2405-1)*12,Paths!$E$225+'Operating costs'!$B$65&lt;=C2405*12))),'Operating costs'!$B$64,0)+IF(AND('Operating costs'!$B$67&gt;0,'Operating costs'!$B$67&lt;=120,OR(Paths!$D$225="ICE",'Operating costs'!$B$67&lt;=Paths!$E$225),IF('Operating costs'!$B$67=0,C2405=0,AND(C2405&gt;0,'Operating costs'!$B$67&gt;(C2405-1)*12,'Operating costs'!$B$67&lt;=C2405*12))),'Operating costs'!$B$66,0),"n.a."))</f>
        <v>0</v>
      </c>
      <c r="N2405" s="16">
        <f>IF(NOT(Paths!$C$225=1),0,IF(Paths!$P$225="Complete",SUM(G2405:I2405)-J2405-K2405-L2405+M2405+IF(C2405=0,Paths!$F$225,0)+IF(IF(Paths!$E$225=0,C2405=0,AND(C2405&gt;0,Paths!$E$225&gt;(C2405-1)*12,Paths!$E$225&lt;=C2405*12)),VLOOKUP(A2405,'Fleet register'!$A$7:$S$106,16,FALSE),0),"n.a."))</f>
        <v>0</v>
      </c>
      <c r="O2405" s="16">
        <f>IF(NOT(Paths!$C$225=1),0,IF(Paths!$P$225="Complete",N2405-IF(C2405=0,Paths!$F$225,0),"n.a."))</f>
        <v>0</v>
      </c>
      <c r="P2405" s="16">
        <f>IF(NOT(Paths!$C$225=1),0,IF(Paths!$P$225="Complete",O2405+L2405,"n.a."))</f>
        <v>0</v>
      </c>
      <c r="Q2405" s="16">
        <f>IF(NOT(Paths!$C$225=1),0,IF(Paths!$P$225="Complete",N2405*(1+'Operating costs'!$B$54)^-C2405,"n.a."))</f>
        <v>0</v>
      </c>
      <c r="R2405" s="16">
        <f>IF(NOT(Paths!$C$225=1),0,IF(Paths!$P$225="Complete",IF(AND(C2405=0,Paths!$E$225=0),I2405-J2405-K2405+VLOOKUP(A2405,'Fleet register'!$A$7:$S$106,15,FALSE)+VLOOKUP(A2405,'Fleet register'!$A$7:$S$106,16,FALSE),0),"n.a."))</f>
        <v>0</v>
      </c>
      <c r="S2405" s="1">
        <f>IF(NOT(Paths!$C$225=1),0,IF(Paths!$P$225="Complete",IF(C2405=0,0,Paths!$S$225*Paths!$R$225),"n.a."))</f>
        <v>0</v>
      </c>
      <c r="T2405" s="1">
        <f>IF(NOT(Paths!$C$225=1),0,IF(Paths!$P$225="Complete",IF(C2405=0,0,VLOOKUP(A2405,'Fleet register'!$A$7:$S$106,9,FALSE)*Paths!$R$225),"n.a."))</f>
        <v>0</v>
      </c>
    </row>
    <row r="2406" spans="1:20" ht="24" customHeight="1">
      <c r="A2406" s="1" t="str">
        <f>Paths!$A$225</f>
        <v>T055</v>
      </c>
      <c r="B2406" s="1">
        <f>Paths!$B$225</f>
        <v>2</v>
      </c>
      <c r="C2406" s="1">
        <v>1</v>
      </c>
      <c r="D2406" s="1">
        <v>225</v>
      </c>
      <c r="E2406" s="1">
        <f>IF(OR(Paths!$C$225=0,C2406=0),0,MAX(0,MIN(C2406*12,Paths!$E$225)-(C2406-1)*12))</f>
        <v>0</v>
      </c>
      <c r="F2406" s="1">
        <f>IF(OR(Paths!$C$225=0,C2406=0),0,12-E2406)</f>
        <v>0</v>
      </c>
      <c r="G2406" s="16">
        <f>IF(NOT(Paths!$C$225=1),0,IF(Paths!$P$225="Complete",E2406/12*(Paths!$J$225*(1+'Operating costs'!$B$51)^MAX(0,C2406-1)+Paths!$K$225*(1+'Operating costs'!$B$53)^MAX(0,C2406-1)),"n.a."))</f>
        <v>0</v>
      </c>
      <c r="H2406" s="16">
        <f>IF(NOT(Paths!$C$225=1),0,IF(Paths!$P$225="Complete",F2406/12*(Paths!$L$225*(1+IF(Paths!$D$225="EV",'Operating costs'!$B$52,'Operating costs'!$B$51))^MAX(0,C2406-1)+Paths!$M$225*(1+'Operating costs'!$B$53)^MAX(0,C2406-1)),"n.a."))</f>
        <v>0</v>
      </c>
      <c r="I2406" s="16">
        <f>IF(NOT(Paths!$C$225=1),0,IF(Paths!$P$225="Complete",IF(IF(Paths!$E$225=0,C2406=0,AND(C2406&gt;0,Paths!$E$225&gt;(C2406-1)*12,Paths!$E$225&lt;=C2406*12)),Paths!$G$225,0),"n.a."))</f>
        <v>0</v>
      </c>
      <c r="J2406" s="16">
        <f>IF(NOT(Paths!$C$225=1),0,IF(Paths!$P$225="Complete",IF(IF(Paths!$E$225=0,C2406=0,AND(C2406&gt;0,Paths!$E$225&gt;(C2406-1)*12,Paths!$E$225&lt;=C2406*12)),Paths!$H$225,0),"n.a."))</f>
        <v>0</v>
      </c>
      <c r="K2406" s="16">
        <f>IF(NOT(Paths!$C$225=1),0,IF(Paths!$P$225="Complete",IF(IF(Paths!$O$225=0,C2406=0,AND(C2406&gt;0,Paths!$O$225&gt;(C2406-1)*12,Paths!$O$225&lt;=C2406*12)),Paths!$N$225,0),"n.a."))</f>
        <v>0</v>
      </c>
      <c r="L2406" s="16">
        <f>IF(NOT(Paths!$C$225=1),0,IF(Paths!$P$225="Complete",IF(C2406=10,Paths!$I$225,0),"n.a."))</f>
        <v>0</v>
      </c>
      <c r="M2406" s="16">
        <f>IF(NOT(Paths!$C$225=1),0,IF(Paths!$P$225="Complete",IF(AND(Paths!$D$225="EV",Paths!$E$225&lt;120,Paths!$E$225+'Operating costs'!$B$65&gt;Paths!$E$225,Paths!$E$225+'Operating costs'!$B$65&lt;=120,IF(Paths!$E$225+'Operating costs'!$B$65=0,C2406=0,AND(C2406&gt;0,Paths!$E$225+'Operating costs'!$B$65&gt;(C2406-1)*12,Paths!$E$225+'Operating costs'!$B$65&lt;=C2406*12))),'Operating costs'!$B$64,0)+IF(AND('Operating costs'!$B$67&gt;0,'Operating costs'!$B$67&lt;=120,OR(Paths!$D$225="ICE",'Operating costs'!$B$67&lt;=Paths!$E$225),IF('Operating costs'!$B$67=0,C2406=0,AND(C2406&gt;0,'Operating costs'!$B$67&gt;(C2406-1)*12,'Operating costs'!$B$67&lt;=C2406*12))),'Operating costs'!$B$66,0),"n.a."))</f>
        <v>0</v>
      </c>
      <c r="N2406" s="16">
        <f>IF(NOT(Paths!$C$225=1),0,IF(Paths!$P$225="Complete",SUM(G2406:I2406)-J2406-K2406-L2406+M2406+IF(C2406=0,Paths!$F$225,0)+IF(IF(Paths!$E$225=0,C2406=0,AND(C2406&gt;0,Paths!$E$225&gt;(C2406-1)*12,Paths!$E$225&lt;=C2406*12)),VLOOKUP(A2406,'Fleet register'!$A$7:$S$106,16,FALSE),0),"n.a."))</f>
        <v>0</v>
      </c>
      <c r="O2406" s="16">
        <f>IF(NOT(Paths!$C$225=1),0,IF(Paths!$P$225="Complete",N2406-IF(C2406=0,Paths!$F$225,0),"n.a."))</f>
        <v>0</v>
      </c>
      <c r="P2406" s="16">
        <f>IF(NOT(Paths!$C$225=1),0,IF(Paths!$P$225="Complete",O2406+L2406,"n.a."))</f>
        <v>0</v>
      </c>
      <c r="Q2406" s="16">
        <f>IF(NOT(Paths!$C$225=1),0,IF(Paths!$P$225="Complete",N2406*(1+'Operating costs'!$B$54)^-C2406,"n.a."))</f>
        <v>0</v>
      </c>
      <c r="R2406" s="16">
        <f>IF(NOT(Paths!$C$225=1),0,IF(Paths!$P$225="Complete",IF(AND(C2406=0,Paths!$E$225=0),I2406-J2406-K2406+VLOOKUP(A2406,'Fleet register'!$A$7:$S$106,15,FALSE)+VLOOKUP(A2406,'Fleet register'!$A$7:$S$106,16,FALSE),0),"n.a."))</f>
        <v>0</v>
      </c>
      <c r="S2406" s="1">
        <f>IF(NOT(Paths!$C$225=1),0,IF(Paths!$P$225="Complete",IF(C2406=0,0,Paths!$S$225*Paths!$R$225),"n.a."))</f>
        <v>0</v>
      </c>
      <c r="T2406" s="1">
        <f>IF(NOT(Paths!$C$225=1),0,IF(Paths!$P$225="Complete",IF(C2406=0,0,VLOOKUP(A2406,'Fleet register'!$A$7:$S$106,9,FALSE)*Paths!$R$225),"n.a."))</f>
        <v>0</v>
      </c>
    </row>
    <row r="2407" spans="1:20" ht="24" customHeight="1">
      <c r="A2407" s="1" t="str">
        <f>Paths!$A$225</f>
        <v>T055</v>
      </c>
      <c r="B2407" s="1">
        <f>Paths!$B$225</f>
        <v>2</v>
      </c>
      <c r="C2407" s="1">
        <v>2</v>
      </c>
      <c r="D2407" s="1">
        <v>225</v>
      </c>
      <c r="E2407" s="1">
        <f>IF(OR(Paths!$C$225=0,C2407=0),0,MAX(0,MIN(C2407*12,Paths!$E$225)-(C2407-1)*12))</f>
        <v>0</v>
      </c>
      <c r="F2407" s="1">
        <f>IF(OR(Paths!$C$225=0,C2407=0),0,12-E2407)</f>
        <v>0</v>
      </c>
      <c r="G2407" s="16">
        <f>IF(NOT(Paths!$C$225=1),0,IF(Paths!$P$225="Complete",E2407/12*(Paths!$J$225*(1+'Operating costs'!$B$51)^MAX(0,C2407-1)+Paths!$K$225*(1+'Operating costs'!$B$53)^MAX(0,C2407-1)),"n.a."))</f>
        <v>0</v>
      </c>
      <c r="H2407" s="16">
        <f>IF(NOT(Paths!$C$225=1),0,IF(Paths!$P$225="Complete",F2407/12*(Paths!$L$225*(1+IF(Paths!$D$225="EV",'Operating costs'!$B$52,'Operating costs'!$B$51))^MAX(0,C2407-1)+Paths!$M$225*(1+'Operating costs'!$B$53)^MAX(0,C2407-1)),"n.a."))</f>
        <v>0</v>
      </c>
      <c r="I2407" s="16">
        <f>IF(NOT(Paths!$C$225=1),0,IF(Paths!$P$225="Complete",IF(IF(Paths!$E$225=0,C2407=0,AND(C2407&gt;0,Paths!$E$225&gt;(C2407-1)*12,Paths!$E$225&lt;=C2407*12)),Paths!$G$225,0),"n.a."))</f>
        <v>0</v>
      </c>
      <c r="J2407" s="16">
        <f>IF(NOT(Paths!$C$225=1),0,IF(Paths!$P$225="Complete",IF(IF(Paths!$E$225=0,C2407=0,AND(C2407&gt;0,Paths!$E$225&gt;(C2407-1)*12,Paths!$E$225&lt;=C2407*12)),Paths!$H$225,0),"n.a."))</f>
        <v>0</v>
      </c>
      <c r="K2407" s="16">
        <f>IF(NOT(Paths!$C$225=1),0,IF(Paths!$P$225="Complete",IF(IF(Paths!$O$225=0,C2407=0,AND(C2407&gt;0,Paths!$O$225&gt;(C2407-1)*12,Paths!$O$225&lt;=C2407*12)),Paths!$N$225,0),"n.a."))</f>
        <v>0</v>
      </c>
      <c r="L2407" s="16">
        <f>IF(NOT(Paths!$C$225=1),0,IF(Paths!$P$225="Complete",IF(C2407=10,Paths!$I$225,0),"n.a."))</f>
        <v>0</v>
      </c>
      <c r="M2407" s="16">
        <f>IF(NOT(Paths!$C$225=1),0,IF(Paths!$P$225="Complete",IF(AND(Paths!$D$225="EV",Paths!$E$225&lt;120,Paths!$E$225+'Operating costs'!$B$65&gt;Paths!$E$225,Paths!$E$225+'Operating costs'!$B$65&lt;=120,IF(Paths!$E$225+'Operating costs'!$B$65=0,C2407=0,AND(C2407&gt;0,Paths!$E$225+'Operating costs'!$B$65&gt;(C2407-1)*12,Paths!$E$225+'Operating costs'!$B$65&lt;=C2407*12))),'Operating costs'!$B$64,0)+IF(AND('Operating costs'!$B$67&gt;0,'Operating costs'!$B$67&lt;=120,OR(Paths!$D$225="ICE",'Operating costs'!$B$67&lt;=Paths!$E$225),IF('Operating costs'!$B$67=0,C2407=0,AND(C2407&gt;0,'Operating costs'!$B$67&gt;(C2407-1)*12,'Operating costs'!$B$67&lt;=C2407*12))),'Operating costs'!$B$66,0),"n.a."))</f>
        <v>0</v>
      </c>
      <c r="N2407" s="16">
        <f>IF(NOT(Paths!$C$225=1),0,IF(Paths!$P$225="Complete",SUM(G2407:I2407)-J2407-K2407-L2407+M2407+IF(C2407=0,Paths!$F$225,0)+IF(IF(Paths!$E$225=0,C2407=0,AND(C2407&gt;0,Paths!$E$225&gt;(C2407-1)*12,Paths!$E$225&lt;=C2407*12)),VLOOKUP(A2407,'Fleet register'!$A$7:$S$106,16,FALSE),0),"n.a."))</f>
        <v>0</v>
      </c>
      <c r="O2407" s="16">
        <f>IF(NOT(Paths!$C$225=1),0,IF(Paths!$P$225="Complete",N2407-IF(C2407=0,Paths!$F$225,0),"n.a."))</f>
        <v>0</v>
      </c>
      <c r="P2407" s="16">
        <f>IF(NOT(Paths!$C$225=1),0,IF(Paths!$P$225="Complete",O2407+L2407,"n.a."))</f>
        <v>0</v>
      </c>
      <c r="Q2407" s="16">
        <f>IF(NOT(Paths!$C$225=1),0,IF(Paths!$P$225="Complete",N2407*(1+'Operating costs'!$B$54)^-C2407,"n.a."))</f>
        <v>0</v>
      </c>
      <c r="R2407" s="16">
        <f>IF(NOT(Paths!$C$225=1),0,IF(Paths!$P$225="Complete",IF(AND(C2407=0,Paths!$E$225=0),I2407-J2407-K2407+VLOOKUP(A2407,'Fleet register'!$A$7:$S$106,15,FALSE)+VLOOKUP(A2407,'Fleet register'!$A$7:$S$106,16,FALSE),0),"n.a."))</f>
        <v>0</v>
      </c>
      <c r="S2407" s="1">
        <f>IF(NOT(Paths!$C$225=1),0,IF(Paths!$P$225="Complete",IF(C2407=0,0,Paths!$S$225*Paths!$R$225),"n.a."))</f>
        <v>0</v>
      </c>
      <c r="T2407" s="1">
        <f>IF(NOT(Paths!$C$225=1),0,IF(Paths!$P$225="Complete",IF(C2407=0,0,VLOOKUP(A2407,'Fleet register'!$A$7:$S$106,9,FALSE)*Paths!$R$225),"n.a."))</f>
        <v>0</v>
      </c>
    </row>
    <row r="2408" spans="1:20" ht="24" customHeight="1">
      <c r="A2408" s="1" t="str">
        <f>Paths!$A$225</f>
        <v>T055</v>
      </c>
      <c r="B2408" s="1">
        <f>Paths!$B$225</f>
        <v>2</v>
      </c>
      <c r="C2408" s="1">
        <v>3</v>
      </c>
      <c r="D2408" s="1">
        <v>225</v>
      </c>
      <c r="E2408" s="1">
        <f>IF(OR(Paths!$C$225=0,C2408=0),0,MAX(0,MIN(C2408*12,Paths!$E$225)-(C2408-1)*12))</f>
        <v>0</v>
      </c>
      <c r="F2408" s="1">
        <f>IF(OR(Paths!$C$225=0,C2408=0),0,12-E2408)</f>
        <v>0</v>
      </c>
      <c r="G2408" s="16">
        <f>IF(NOT(Paths!$C$225=1),0,IF(Paths!$P$225="Complete",E2408/12*(Paths!$J$225*(1+'Operating costs'!$B$51)^MAX(0,C2408-1)+Paths!$K$225*(1+'Operating costs'!$B$53)^MAX(0,C2408-1)),"n.a."))</f>
        <v>0</v>
      </c>
      <c r="H2408" s="16">
        <f>IF(NOT(Paths!$C$225=1),0,IF(Paths!$P$225="Complete",F2408/12*(Paths!$L$225*(1+IF(Paths!$D$225="EV",'Operating costs'!$B$52,'Operating costs'!$B$51))^MAX(0,C2408-1)+Paths!$M$225*(1+'Operating costs'!$B$53)^MAX(0,C2408-1)),"n.a."))</f>
        <v>0</v>
      </c>
      <c r="I2408" s="16">
        <f>IF(NOT(Paths!$C$225=1),0,IF(Paths!$P$225="Complete",IF(IF(Paths!$E$225=0,C2408=0,AND(C2408&gt;0,Paths!$E$225&gt;(C2408-1)*12,Paths!$E$225&lt;=C2408*12)),Paths!$G$225,0),"n.a."))</f>
        <v>0</v>
      </c>
      <c r="J2408" s="16">
        <f>IF(NOT(Paths!$C$225=1),0,IF(Paths!$P$225="Complete",IF(IF(Paths!$E$225=0,C2408=0,AND(C2408&gt;0,Paths!$E$225&gt;(C2408-1)*12,Paths!$E$225&lt;=C2408*12)),Paths!$H$225,0),"n.a."))</f>
        <v>0</v>
      </c>
      <c r="K2408" s="16">
        <f>IF(NOT(Paths!$C$225=1),0,IF(Paths!$P$225="Complete",IF(IF(Paths!$O$225=0,C2408=0,AND(C2408&gt;0,Paths!$O$225&gt;(C2408-1)*12,Paths!$O$225&lt;=C2408*12)),Paths!$N$225,0),"n.a."))</f>
        <v>0</v>
      </c>
      <c r="L2408" s="16">
        <f>IF(NOT(Paths!$C$225=1),0,IF(Paths!$P$225="Complete",IF(C2408=10,Paths!$I$225,0),"n.a."))</f>
        <v>0</v>
      </c>
      <c r="M2408" s="16">
        <f>IF(NOT(Paths!$C$225=1),0,IF(Paths!$P$225="Complete",IF(AND(Paths!$D$225="EV",Paths!$E$225&lt;120,Paths!$E$225+'Operating costs'!$B$65&gt;Paths!$E$225,Paths!$E$225+'Operating costs'!$B$65&lt;=120,IF(Paths!$E$225+'Operating costs'!$B$65=0,C2408=0,AND(C2408&gt;0,Paths!$E$225+'Operating costs'!$B$65&gt;(C2408-1)*12,Paths!$E$225+'Operating costs'!$B$65&lt;=C2408*12))),'Operating costs'!$B$64,0)+IF(AND('Operating costs'!$B$67&gt;0,'Operating costs'!$B$67&lt;=120,OR(Paths!$D$225="ICE",'Operating costs'!$B$67&lt;=Paths!$E$225),IF('Operating costs'!$B$67=0,C2408=0,AND(C2408&gt;0,'Operating costs'!$B$67&gt;(C2408-1)*12,'Operating costs'!$B$67&lt;=C2408*12))),'Operating costs'!$B$66,0),"n.a."))</f>
        <v>0</v>
      </c>
      <c r="N2408" s="16">
        <f>IF(NOT(Paths!$C$225=1),0,IF(Paths!$P$225="Complete",SUM(G2408:I2408)-J2408-K2408-L2408+M2408+IF(C2408=0,Paths!$F$225,0)+IF(IF(Paths!$E$225=0,C2408=0,AND(C2408&gt;0,Paths!$E$225&gt;(C2408-1)*12,Paths!$E$225&lt;=C2408*12)),VLOOKUP(A2408,'Fleet register'!$A$7:$S$106,16,FALSE),0),"n.a."))</f>
        <v>0</v>
      </c>
      <c r="O2408" s="16">
        <f>IF(NOT(Paths!$C$225=1),0,IF(Paths!$P$225="Complete",N2408-IF(C2408=0,Paths!$F$225,0),"n.a."))</f>
        <v>0</v>
      </c>
      <c r="P2408" s="16">
        <f>IF(NOT(Paths!$C$225=1),0,IF(Paths!$P$225="Complete",O2408+L2408,"n.a."))</f>
        <v>0</v>
      </c>
      <c r="Q2408" s="16">
        <f>IF(NOT(Paths!$C$225=1),0,IF(Paths!$P$225="Complete",N2408*(1+'Operating costs'!$B$54)^-C2408,"n.a."))</f>
        <v>0</v>
      </c>
      <c r="R2408" s="16">
        <f>IF(NOT(Paths!$C$225=1),0,IF(Paths!$P$225="Complete",IF(AND(C2408=0,Paths!$E$225=0),I2408-J2408-K2408+VLOOKUP(A2408,'Fleet register'!$A$7:$S$106,15,FALSE)+VLOOKUP(A2408,'Fleet register'!$A$7:$S$106,16,FALSE),0),"n.a."))</f>
        <v>0</v>
      </c>
      <c r="S2408" s="1">
        <f>IF(NOT(Paths!$C$225=1),0,IF(Paths!$P$225="Complete",IF(C2408=0,0,Paths!$S$225*Paths!$R$225),"n.a."))</f>
        <v>0</v>
      </c>
      <c r="T2408" s="1">
        <f>IF(NOT(Paths!$C$225=1),0,IF(Paths!$P$225="Complete",IF(C2408=0,0,VLOOKUP(A2408,'Fleet register'!$A$7:$S$106,9,FALSE)*Paths!$R$225),"n.a."))</f>
        <v>0</v>
      </c>
    </row>
    <row r="2409" spans="1:20" ht="24" customHeight="1">
      <c r="A2409" s="1" t="str">
        <f>Paths!$A$225</f>
        <v>T055</v>
      </c>
      <c r="B2409" s="1">
        <f>Paths!$B$225</f>
        <v>2</v>
      </c>
      <c r="C2409" s="1">
        <v>4</v>
      </c>
      <c r="D2409" s="1">
        <v>225</v>
      </c>
      <c r="E2409" s="1">
        <f>IF(OR(Paths!$C$225=0,C2409=0),0,MAX(0,MIN(C2409*12,Paths!$E$225)-(C2409-1)*12))</f>
        <v>0</v>
      </c>
      <c r="F2409" s="1">
        <f>IF(OR(Paths!$C$225=0,C2409=0),0,12-E2409)</f>
        <v>0</v>
      </c>
      <c r="G2409" s="16">
        <f>IF(NOT(Paths!$C$225=1),0,IF(Paths!$P$225="Complete",E2409/12*(Paths!$J$225*(1+'Operating costs'!$B$51)^MAX(0,C2409-1)+Paths!$K$225*(1+'Operating costs'!$B$53)^MAX(0,C2409-1)),"n.a."))</f>
        <v>0</v>
      </c>
      <c r="H2409" s="16">
        <f>IF(NOT(Paths!$C$225=1),0,IF(Paths!$P$225="Complete",F2409/12*(Paths!$L$225*(1+IF(Paths!$D$225="EV",'Operating costs'!$B$52,'Operating costs'!$B$51))^MAX(0,C2409-1)+Paths!$M$225*(1+'Operating costs'!$B$53)^MAX(0,C2409-1)),"n.a."))</f>
        <v>0</v>
      </c>
      <c r="I2409" s="16">
        <f>IF(NOT(Paths!$C$225=1),0,IF(Paths!$P$225="Complete",IF(IF(Paths!$E$225=0,C2409=0,AND(C2409&gt;0,Paths!$E$225&gt;(C2409-1)*12,Paths!$E$225&lt;=C2409*12)),Paths!$G$225,0),"n.a."))</f>
        <v>0</v>
      </c>
      <c r="J2409" s="16">
        <f>IF(NOT(Paths!$C$225=1),0,IF(Paths!$P$225="Complete",IF(IF(Paths!$E$225=0,C2409=0,AND(C2409&gt;0,Paths!$E$225&gt;(C2409-1)*12,Paths!$E$225&lt;=C2409*12)),Paths!$H$225,0),"n.a."))</f>
        <v>0</v>
      </c>
      <c r="K2409" s="16">
        <f>IF(NOT(Paths!$C$225=1),0,IF(Paths!$P$225="Complete",IF(IF(Paths!$O$225=0,C2409=0,AND(C2409&gt;0,Paths!$O$225&gt;(C2409-1)*12,Paths!$O$225&lt;=C2409*12)),Paths!$N$225,0),"n.a."))</f>
        <v>0</v>
      </c>
      <c r="L2409" s="16">
        <f>IF(NOT(Paths!$C$225=1),0,IF(Paths!$P$225="Complete",IF(C2409=10,Paths!$I$225,0),"n.a."))</f>
        <v>0</v>
      </c>
      <c r="M2409" s="16">
        <f>IF(NOT(Paths!$C$225=1),0,IF(Paths!$P$225="Complete",IF(AND(Paths!$D$225="EV",Paths!$E$225&lt;120,Paths!$E$225+'Operating costs'!$B$65&gt;Paths!$E$225,Paths!$E$225+'Operating costs'!$B$65&lt;=120,IF(Paths!$E$225+'Operating costs'!$B$65=0,C2409=0,AND(C2409&gt;0,Paths!$E$225+'Operating costs'!$B$65&gt;(C2409-1)*12,Paths!$E$225+'Operating costs'!$B$65&lt;=C2409*12))),'Operating costs'!$B$64,0)+IF(AND('Operating costs'!$B$67&gt;0,'Operating costs'!$B$67&lt;=120,OR(Paths!$D$225="ICE",'Operating costs'!$B$67&lt;=Paths!$E$225),IF('Operating costs'!$B$67=0,C2409=0,AND(C2409&gt;0,'Operating costs'!$B$67&gt;(C2409-1)*12,'Operating costs'!$B$67&lt;=C2409*12))),'Operating costs'!$B$66,0),"n.a."))</f>
        <v>0</v>
      </c>
      <c r="N2409" s="16">
        <f>IF(NOT(Paths!$C$225=1),0,IF(Paths!$P$225="Complete",SUM(G2409:I2409)-J2409-K2409-L2409+M2409+IF(C2409=0,Paths!$F$225,0)+IF(IF(Paths!$E$225=0,C2409=0,AND(C2409&gt;0,Paths!$E$225&gt;(C2409-1)*12,Paths!$E$225&lt;=C2409*12)),VLOOKUP(A2409,'Fleet register'!$A$7:$S$106,16,FALSE),0),"n.a."))</f>
        <v>0</v>
      </c>
      <c r="O2409" s="16">
        <f>IF(NOT(Paths!$C$225=1),0,IF(Paths!$P$225="Complete",N2409-IF(C2409=0,Paths!$F$225,0),"n.a."))</f>
        <v>0</v>
      </c>
      <c r="P2409" s="16">
        <f>IF(NOT(Paths!$C$225=1),0,IF(Paths!$P$225="Complete",O2409+L2409,"n.a."))</f>
        <v>0</v>
      </c>
      <c r="Q2409" s="16">
        <f>IF(NOT(Paths!$C$225=1),0,IF(Paths!$P$225="Complete",N2409*(1+'Operating costs'!$B$54)^-C2409,"n.a."))</f>
        <v>0</v>
      </c>
      <c r="R2409" s="16">
        <f>IF(NOT(Paths!$C$225=1),0,IF(Paths!$P$225="Complete",IF(AND(C2409=0,Paths!$E$225=0),I2409-J2409-K2409+VLOOKUP(A2409,'Fleet register'!$A$7:$S$106,15,FALSE)+VLOOKUP(A2409,'Fleet register'!$A$7:$S$106,16,FALSE),0),"n.a."))</f>
        <v>0</v>
      </c>
      <c r="S2409" s="1">
        <f>IF(NOT(Paths!$C$225=1),0,IF(Paths!$P$225="Complete",IF(C2409=0,0,Paths!$S$225*Paths!$R$225),"n.a."))</f>
        <v>0</v>
      </c>
      <c r="T2409" s="1">
        <f>IF(NOT(Paths!$C$225=1),0,IF(Paths!$P$225="Complete",IF(C2409=0,0,VLOOKUP(A2409,'Fleet register'!$A$7:$S$106,9,FALSE)*Paths!$R$225),"n.a."))</f>
        <v>0</v>
      </c>
    </row>
    <row r="2410" spans="1:20" ht="24" customHeight="1">
      <c r="A2410" s="1" t="str">
        <f>Paths!$A$225</f>
        <v>T055</v>
      </c>
      <c r="B2410" s="1">
        <f>Paths!$B$225</f>
        <v>2</v>
      </c>
      <c r="C2410" s="1">
        <v>5</v>
      </c>
      <c r="D2410" s="1">
        <v>225</v>
      </c>
      <c r="E2410" s="1">
        <f>IF(OR(Paths!$C$225=0,C2410=0),0,MAX(0,MIN(C2410*12,Paths!$E$225)-(C2410-1)*12))</f>
        <v>0</v>
      </c>
      <c r="F2410" s="1">
        <f>IF(OR(Paths!$C$225=0,C2410=0),0,12-E2410)</f>
        <v>0</v>
      </c>
      <c r="G2410" s="16">
        <f>IF(NOT(Paths!$C$225=1),0,IF(Paths!$P$225="Complete",E2410/12*(Paths!$J$225*(1+'Operating costs'!$B$51)^MAX(0,C2410-1)+Paths!$K$225*(1+'Operating costs'!$B$53)^MAX(0,C2410-1)),"n.a."))</f>
        <v>0</v>
      </c>
      <c r="H2410" s="16">
        <f>IF(NOT(Paths!$C$225=1),0,IF(Paths!$P$225="Complete",F2410/12*(Paths!$L$225*(1+IF(Paths!$D$225="EV",'Operating costs'!$B$52,'Operating costs'!$B$51))^MAX(0,C2410-1)+Paths!$M$225*(1+'Operating costs'!$B$53)^MAX(0,C2410-1)),"n.a."))</f>
        <v>0</v>
      </c>
      <c r="I2410" s="16">
        <f>IF(NOT(Paths!$C$225=1),0,IF(Paths!$P$225="Complete",IF(IF(Paths!$E$225=0,C2410=0,AND(C2410&gt;0,Paths!$E$225&gt;(C2410-1)*12,Paths!$E$225&lt;=C2410*12)),Paths!$G$225,0),"n.a."))</f>
        <v>0</v>
      </c>
      <c r="J2410" s="16">
        <f>IF(NOT(Paths!$C$225=1),0,IF(Paths!$P$225="Complete",IF(IF(Paths!$E$225=0,C2410=0,AND(C2410&gt;0,Paths!$E$225&gt;(C2410-1)*12,Paths!$E$225&lt;=C2410*12)),Paths!$H$225,0),"n.a."))</f>
        <v>0</v>
      </c>
      <c r="K2410" s="16">
        <f>IF(NOT(Paths!$C$225=1),0,IF(Paths!$P$225="Complete",IF(IF(Paths!$O$225=0,C2410=0,AND(C2410&gt;0,Paths!$O$225&gt;(C2410-1)*12,Paths!$O$225&lt;=C2410*12)),Paths!$N$225,0),"n.a."))</f>
        <v>0</v>
      </c>
      <c r="L2410" s="16">
        <f>IF(NOT(Paths!$C$225=1),0,IF(Paths!$P$225="Complete",IF(C2410=10,Paths!$I$225,0),"n.a."))</f>
        <v>0</v>
      </c>
      <c r="M2410" s="16">
        <f>IF(NOT(Paths!$C$225=1),0,IF(Paths!$P$225="Complete",IF(AND(Paths!$D$225="EV",Paths!$E$225&lt;120,Paths!$E$225+'Operating costs'!$B$65&gt;Paths!$E$225,Paths!$E$225+'Operating costs'!$B$65&lt;=120,IF(Paths!$E$225+'Operating costs'!$B$65=0,C2410=0,AND(C2410&gt;0,Paths!$E$225+'Operating costs'!$B$65&gt;(C2410-1)*12,Paths!$E$225+'Operating costs'!$B$65&lt;=C2410*12))),'Operating costs'!$B$64,0)+IF(AND('Operating costs'!$B$67&gt;0,'Operating costs'!$B$67&lt;=120,OR(Paths!$D$225="ICE",'Operating costs'!$B$67&lt;=Paths!$E$225),IF('Operating costs'!$B$67=0,C2410=0,AND(C2410&gt;0,'Operating costs'!$B$67&gt;(C2410-1)*12,'Operating costs'!$B$67&lt;=C2410*12))),'Operating costs'!$B$66,0),"n.a."))</f>
        <v>0</v>
      </c>
      <c r="N2410" s="16">
        <f>IF(NOT(Paths!$C$225=1),0,IF(Paths!$P$225="Complete",SUM(G2410:I2410)-J2410-K2410-L2410+M2410+IF(C2410=0,Paths!$F$225,0)+IF(IF(Paths!$E$225=0,C2410=0,AND(C2410&gt;0,Paths!$E$225&gt;(C2410-1)*12,Paths!$E$225&lt;=C2410*12)),VLOOKUP(A2410,'Fleet register'!$A$7:$S$106,16,FALSE),0),"n.a."))</f>
        <v>0</v>
      </c>
      <c r="O2410" s="16">
        <f>IF(NOT(Paths!$C$225=1),0,IF(Paths!$P$225="Complete",N2410-IF(C2410=0,Paths!$F$225,0),"n.a."))</f>
        <v>0</v>
      </c>
      <c r="P2410" s="16">
        <f>IF(NOT(Paths!$C$225=1),0,IF(Paths!$P$225="Complete",O2410+L2410,"n.a."))</f>
        <v>0</v>
      </c>
      <c r="Q2410" s="16">
        <f>IF(NOT(Paths!$C$225=1),0,IF(Paths!$P$225="Complete",N2410*(1+'Operating costs'!$B$54)^-C2410,"n.a."))</f>
        <v>0</v>
      </c>
      <c r="R2410" s="16">
        <f>IF(NOT(Paths!$C$225=1),0,IF(Paths!$P$225="Complete",IF(AND(C2410=0,Paths!$E$225=0),I2410-J2410-K2410+VLOOKUP(A2410,'Fleet register'!$A$7:$S$106,15,FALSE)+VLOOKUP(A2410,'Fleet register'!$A$7:$S$106,16,FALSE),0),"n.a."))</f>
        <v>0</v>
      </c>
      <c r="S2410" s="1">
        <f>IF(NOT(Paths!$C$225=1),0,IF(Paths!$P$225="Complete",IF(C2410=0,0,Paths!$S$225*Paths!$R$225),"n.a."))</f>
        <v>0</v>
      </c>
      <c r="T2410" s="1">
        <f>IF(NOT(Paths!$C$225=1),0,IF(Paths!$P$225="Complete",IF(C2410=0,0,VLOOKUP(A2410,'Fleet register'!$A$7:$S$106,9,FALSE)*Paths!$R$225),"n.a."))</f>
        <v>0</v>
      </c>
    </row>
    <row r="2411" spans="1:20" ht="24" customHeight="1">
      <c r="A2411" s="1" t="str">
        <f>Paths!$A$225</f>
        <v>T055</v>
      </c>
      <c r="B2411" s="1">
        <f>Paths!$B$225</f>
        <v>2</v>
      </c>
      <c r="C2411" s="1">
        <v>6</v>
      </c>
      <c r="D2411" s="1">
        <v>225</v>
      </c>
      <c r="E2411" s="1">
        <f>IF(OR(Paths!$C$225=0,C2411=0),0,MAX(0,MIN(C2411*12,Paths!$E$225)-(C2411-1)*12))</f>
        <v>0</v>
      </c>
      <c r="F2411" s="1">
        <f>IF(OR(Paths!$C$225=0,C2411=0),0,12-E2411)</f>
        <v>0</v>
      </c>
      <c r="G2411" s="16">
        <f>IF(NOT(Paths!$C$225=1),0,IF(Paths!$P$225="Complete",E2411/12*(Paths!$J$225*(1+'Operating costs'!$B$51)^MAX(0,C2411-1)+Paths!$K$225*(1+'Operating costs'!$B$53)^MAX(0,C2411-1)),"n.a."))</f>
        <v>0</v>
      </c>
      <c r="H2411" s="16">
        <f>IF(NOT(Paths!$C$225=1),0,IF(Paths!$P$225="Complete",F2411/12*(Paths!$L$225*(1+IF(Paths!$D$225="EV",'Operating costs'!$B$52,'Operating costs'!$B$51))^MAX(0,C2411-1)+Paths!$M$225*(1+'Operating costs'!$B$53)^MAX(0,C2411-1)),"n.a."))</f>
        <v>0</v>
      </c>
      <c r="I2411" s="16">
        <f>IF(NOT(Paths!$C$225=1),0,IF(Paths!$P$225="Complete",IF(IF(Paths!$E$225=0,C2411=0,AND(C2411&gt;0,Paths!$E$225&gt;(C2411-1)*12,Paths!$E$225&lt;=C2411*12)),Paths!$G$225,0),"n.a."))</f>
        <v>0</v>
      </c>
      <c r="J2411" s="16">
        <f>IF(NOT(Paths!$C$225=1),0,IF(Paths!$P$225="Complete",IF(IF(Paths!$E$225=0,C2411=0,AND(C2411&gt;0,Paths!$E$225&gt;(C2411-1)*12,Paths!$E$225&lt;=C2411*12)),Paths!$H$225,0),"n.a."))</f>
        <v>0</v>
      </c>
      <c r="K2411" s="16">
        <f>IF(NOT(Paths!$C$225=1),0,IF(Paths!$P$225="Complete",IF(IF(Paths!$O$225=0,C2411=0,AND(C2411&gt;0,Paths!$O$225&gt;(C2411-1)*12,Paths!$O$225&lt;=C2411*12)),Paths!$N$225,0),"n.a."))</f>
        <v>0</v>
      </c>
      <c r="L2411" s="16">
        <f>IF(NOT(Paths!$C$225=1),0,IF(Paths!$P$225="Complete",IF(C2411=10,Paths!$I$225,0),"n.a."))</f>
        <v>0</v>
      </c>
      <c r="M2411" s="16">
        <f>IF(NOT(Paths!$C$225=1),0,IF(Paths!$P$225="Complete",IF(AND(Paths!$D$225="EV",Paths!$E$225&lt;120,Paths!$E$225+'Operating costs'!$B$65&gt;Paths!$E$225,Paths!$E$225+'Operating costs'!$B$65&lt;=120,IF(Paths!$E$225+'Operating costs'!$B$65=0,C2411=0,AND(C2411&gt;0,Paths!$E$225+'Operating costs'!$B$65&gt;(C2411-1)*12,Paths!$E$225+'Operating costs'!$B$65&lt;=C2411*12))),'Operating costs'!$B$64,0)+IF(AND('Operating costs'!$B$67&gt;0,'Operating costs'!$B$67&lt;=120,OR(Paths!$D$225="ICE",'Operating costs'!$B$67&lt;=Paths!$E$225),IF('Operating costs'!$B$67=0,C2411=0,AND(C2411&gt;0,'Operating costs'!$B$67&gt;(C2411-1)*12,'Operating costs'!$B$67&lt;=C2411*12))),'Operating costs'!$B$66,0),"n.a."))</f>
        <v>0</v>
      </c>
      <c r="N2411" s="16">
        <f>IF(NOT(Paths!$C$225=1),0,IF(Paths!$P$225="Complete",SUM(G2411:I2411)-J2411-K2411-L2411+M2411+IF(C2411=0,Paths!$F$225,0)+IF(IF(Paths!$E$225=0,C2411=0,AND(C2411&gt;0,Paths!$E$225&gt;(C2411-1)*12,Paths!$E$225&lt;=C2411*12)),VLOOKUP(A2411,'Fleet register'!$A$7:$S$106,16,FALSE),0),"n.a."))</f>
        <v>0</v>
      </c>
      <c r="O2411" s="16">
        <f>IF(NOT(Paths!$C$225=1),0,IF(Paths!$P$225="Complete",N2411-IF(C2411=0,Paths!$F$225,0),"n.a."))</f>
        <v>0</v>
      </c>
      <c r="P2411" s="16">
        <f>IF(NOT(Paths!$C$225=1),0,IF(Paths!$P$225="Complete",O2411+L2411,"n.a."))</f>
        <v>0</v>
      </c>
      <c r="Q2411" s="16">
        <f>IF(NOT(Paths!$C$225=1),0,IF(Paths!$P$225="Complete",N2411*(1+'Operating costs'!$B$54)^-C2411,"n.a."))</f>
        <v>0</v>
      </c>
      <c r="R2411" s="16">
        <f>IF(NOT(Paths!$C$225=1),0,IF(Paths!$P$225="Complete",IF(AND(C2411=0,Paths!$E$225=0),I2411-J2411-K2411+VLOOKUP(A2411,'Fleet register'!$A$7:$S$106,15,FALSE)+VLOOKUP(A2411,'Fleet register'!$A$7:$S$106,16,FALSE),0),"n.a."))</f>
        <v>0</v>
      </c>
      <c r="S2411" s="1">
        <f>IF(NOT(Paths!$C$225=1),0,IF(Paths!$P$225="Complete",IF(C2411=0,0,Paths!$S$225*Paths!$R$225),"n.a."))</f>
        <v>0</v>
      </c>
      <c r="T2411" s="1">
        <f>IF(NOT(Paths!$C$225=1),0,IF(Paths!$P$225="Complete",IF(C2411=0,0,VLOOKUP(A2411,'Fleet register'!$A$7:$S$106,9,FALSE)*Paths!$R$225),"n.a."))</f>
        <v>0</v>
      </c>
    </row>
    <row r="2412" spans="1:20" ht="24" customHeight="1">
      <c r="A2412" s="1" t="str">
        <f>Paths!$A$225</f>
        <v>T055</v>
      </c>
      <c r="B2412" s="1">
        <f>Paths!$B$225</f>
        <v>2</v>
      </c>
      <c r="C2412" s="1">
        <v>7</v>
      </c>
      <c r="D2412" s="1">
        <v>225</v>
      </c>
      <c r="E2412" s="1">
        <f>IF(OR(Paths!$C$225=0,C2412=0),0,MAX(0,MIN(C2412*12,Paths!$E$225)-(C2412-1)*12))</f>
        <v>0</v>
      </c>
      <c r="F2412" s="1">
        <f>IF(OR(Paths!$C$225=0,C2412=0),0,12-E2412)</f>
        <v>0</v>
      </c>
      <c r="G2412" s="16">
        <f>IF(NOT(Paths!$C$225=1),0,IF(Paths!$P$225="Complete",E2412/12*(Paths!$J$225*(1+'Operating costs'!$B$51)^MAX(0,C2412-1)+Paths!$K$225*(1+'Operating costs'!$B$53)^MAX(0,C2412-1)),"n.a."))</f>
        <v>0</v>
      </c>
      <c r="H2412" s="16">
        <f>IF(NOT(Paths!$C$225=1),0,IF(Paths!$P$225="Complete",F2412/12*(Paths!$L$225*(1+IF(Paths!$D$225="EV",'Operating costs'!$B$52,'Operating costs'!$B$51))^MAX(0,C2412-1)+Paths!$M$225*(1+'Operating costs'!$B$53)^MAX(0,C2412-1)),"n.a."))</f>
        <v>0</v>
      </c>
      <c r="I2412" s="16">
        <f>IF(NOT(Paths!$C$225=1),0,IF(Paths!$P$225="Complete",IF(IF(Paths!$E$225=0,C2412=0,AND(C2412&gt;0,Paths!$E$225&gt;(C2412-1)*12,Paths!$E$225&lt;=C2412*12)),Paths!$G$225,0),"n.a."))</f>
        <v>0</v>
      </c>
      <c r="J2412" s="16">
        <f>IF(NOT(Paths!$C$225=1),0,IF(Paths!$P$225="Complete",IF(IF(Paths!$E$225=0,C2412=0,AND(C2412&gt;0,Paths!$E$225&gt;(C2412-1)*12,Paths!$E$225&lt;=C2412*12)),Paths!$H$225,0),"n.a."))</f>
        <v>0</v>
      </c>
      <c r="K2412" s="16">
        <f>IF(NOT(Paths!$C$225=1),0,IF(Paths!$P$225="Complete",IF(IF(Paths!$O$225=0,C2412=0,AND(C2412&gt;0,Paths!$O$225&gt;(C2412-1)*12,Paths!$O$225&lt;=C2412*12)),Paths!$N$225,0),"n.a."))</f>
        <v>0</v>
      </c>
      <c r="L2412" s="16">
        <f>IF(NOT(Paths!$C$225=1),0,IF(Paths!$P$225="Complete",IF(C2412=10,Paths!$I$225,0),"n.a."))</f>
        <v>0</v>
      </c>
      <c r="M2412" s="16">
        <f>IF(NOT(Paths!$C$225=1),0,IF(Paths!$P$225="Complete",IF(AND(Paths!$D$225="EV",Paths!$E$225&lt;120,Paths!$E$225+'Operating costs'!$B$65&gt;Paths!$E$225,Paths!$E$225+'Operating costs'!$B$65&lt;=120,IF(Paths!$E$225+'Operating costs'!$B$65=0,C2412=0,AND(C2412&gt;0,Paths!$E$225+'Operating costs'!$B$65&gt;(C2412-1)*12,Paths!$E$225+'Operating costs'!$B$65&lt;=C2412*12))),'Operating costs'!$B$64,0)+IF(AND('Operating costs'!$B$67&gt;0,'Operating costs'!$B$67&lt;=120,OR(Paths!$D$225="ICE",'Operating costs'!$B$67&lt;=Paths!$E$225),IF('Operating costs'!$B$67=0,C2412=0,AND(C2412&gt;0,'Operating costs'!$B$67&gt;(C2412-1)*12,'Operating costs'!$B$67&lt;=C2412*12))),'Operating costs'!$B$66,0),"n.a."))</f>
        <v>0</v>
      </c>
      <c r="N2412" s="16">
        <f>IF(NOT(Paths!$C$225=1),0,IF(Paths!$P$225="Complete",SUM(G2412:I2412)-J2412-K2412-L2412+M2412+IF(C2412=0,Paths!$F$225,0)+IF(IF(Paths!$E$225=0,C2412=0,AND(C2412&gt;0,Paths!$E$225&gt;(C2412-1)*12,Paths!$E$225&lt;=C2412*12)),VLOOKUP(A2412,'Fleet register'!$A$7:$S$106,16,FALSE),0),"n.a."))</f>
        <v>0</v>
      </c>
      <c r="O2412" s="16">
        <f>IF(NOT(Paths!$C$225=1),0,IF(Paths!$P$225="Complete",N2412-IF(C2412=0,Paths!$F$225,0),"n.a."))</f>
        <v>0</v>
      </c>
      <c r="P2412" s="16">
        <f>IF(NOT(Paths!$C$225=1),0,IF(Paths!$P$225="Complete",O2412+L2412,"n.a."))</f>
        <v>0</v>
      </c>
      <c r="Q2412" s="16">
        <f>IF(NOT(Paths!$C$225=1),0,IF(Paths!$P$225="Complete",N2412*(1+'Operating costs'!$B$54)^-C2412,"n.a."))</f>
        <v>0</v>
      </c>
      <c r="R2412" s="16">
        <f>IF(NOT(Paths!$C$225=1),0,IF(Paths!$P$225="Complete",IF(AND(C2412=0,Paths!$E$225=0),I2412-J2412-K2412+VLOOKUP(A2412,'Fleet register'!$A$7:$S$106,15,FALSE)+VLOOKUP(A2412,'Fleet register'!$A$7:$S$106,16,FALSE),0),"n.a."))</f>
        <v>0</v>
      </c>
      <c r="S2412" s="1">
        <f>IF(NOT(Paths!$C$225=1),0,IF(Paths!$P$225="Complete",IF(C2412=0,0,Paths!$S$225*Paths!$R$225),"n.a."))</f>
        <v>0</v>
      </c>
      <c r="T2412" s="1">
        <f>IF(NOT(Paths!$C$225=1),0,IF(Paths!$P$225="Complete",IF(C2412=0,0,VLOOKUP(A2412,'Fleet register'!$A$7:$S$106,9,FALSE)*Paths!$R$225),"n.a."))</f>
        <v>0</v>
      </c>
    </row>
    <row r="2413" spans="1:20" ht="24" customHeight="1">
      <c r="A2413" s="1" t="str">
        <f>Paths!$A$225</f>
        <v>T055</v>
      </c>
      <c r="B2413" s="1">
        <f>Paths!$B$225</f>
        <v>2</v>
      </c>
      <c r="C2413" s="1">
        <v>8</v>
      </c>
      <c r="D2413" s="1">
        <v>225</v>
      </c>
      <c r="E2413" s="1">
        <f>IF(OR(Paths!$C$225=0,C2413=0),0,MAX(0,MIN(C2413*12,Paths!$E$225)-(C2413-1)*12))</f>
        <v>0</v>
      </c>
      <c r="F2413" s="1">
        <f>IF(OR(Paths!$C$225=0,C2413=0),0,12-E2413)</f>
        <v>0</v>
      </c>
      <c r="G2413" s="16">
        <f>IF(NOT(Paths!$C$225=1),0,IF(Paths!$P$225="Complete",E2413/12*(Paths!$J$225*(1+'Operating costs'!$B$51)^MAX(0,C2413-1)+Paths!$K$225*(1+'Operating costs'!$B$53)^MAX(0,C2413-1)),"n.a."))</f>
        <v>0</v>
      </c>
      <c r="H2413" s="16">
        <f>IF(NOT(Paths!$C$225=1),0,IF(Paths!$P$225="Complete",F2413/12*(Paths!$L$225*(1+IF(Paths!$D$225="EV",'Operating costs'!$B$52,'Operating costs'!$B$51))^MAX(0,C2413-1)+Paths!$M$225*(1+'Operating costs'!$B$53)^MAX(0,C2413-1)),"n.a."))</f>
        <v>0</v>
      </c>
      <c r="I2413" s="16">
        <f>IF(NOT(Paths!$C$225=1),0,IF(Paths!$P$225="Complete",IF(IF(Paths!$E$225=0,C2413=0,AND(C2413&gt;0,Paths!$E$225&gt;(C2413-1)*12,Paths!$E$225&lt;=C2413*12)),Paths!$G$225,0),"n.a."))</f>
        <v>0</v>
      </c>
      <c r="J2413" s="16">
        <f>IF(NOT(Paths!$C$225=1),0,IF(Paths!$P$225="Complete",IF(IF(Paths!$E$225=0,C2413=0,AND(C2413&gt;0,Paths!$E$225&gt;(C2413-1)*12,Paths!$E$225&lt;=C2413*12)),Paths!$H$225,0),"n.a."))</f>
        <v>0</v>
      </c>
      <c r="K2413" s="16">
        <f>IF(NOT(Paths!$C$225=1),0,IF(Paths!$P$225="Complete",IF(IF(Paths!$O$225=0,C2413=0,AND(C2413&gt;0,Paths!$O$225&gt;(C2413-1)*12,Paths!$O$225&lt;=C2413*12)),Paths!$N$225,0),"n.a."))</f>
        <v>0</v>
      </c>
      <c r="L2413" s="16">
        <f>IF(NOT(Paths!$C$225=1),0,IF(Paths!$P$225="Complete",IF(C2413=10,Paths!$I$225,0),"n.a."))</f>
        <v>0</v>
      </c>
      <c r="M2413" s="16">
        <f>IF(NOT(Paths!$C$225=1),0,IF(Paths!$P$225="Complete",IF(AND(Paths!$D$225="EV",Paths!$E$225&lt;120,Paths!$E$225+'Operating costs'!$B$65&gt;Paths!$E$225,Paths!$E$225+'Operating costs'!$B$65&lt;=120,IF(Paths!$E$225+'Operating costs'!$B$65=0,C2413=0,AND(C2413&gt;0,Paths!$E$225+'Operating costs'!$B$65&gt;(C2413-1)*12,Paths!$E$225+'Operating costs'!$B$65&lt;=C2413*12))),'Operating costs'!$B$64,0)+IF(AND('Operating costs'!$B$67&gt;0,'Operating costs'!$B$67&lt;=120,OR(Paths!$D$225="ICE",'Operating costs'!$B$67&lt;=Paths!$E$225),IF('Operating costs'!$B$67=0,C2413=0,AND(C2413&gt;0,'Operating costs'!$B$67&gt;(C2413-1)*12,'Operating costs'!$B$67&lt;=C2413*12))),'Operating costs'!$B$66,0),"n.a."))</f>
        <v>0</v>
      </c>
      <c r="N2413" s="16">
        <f>IF(NOT(Paths!$C$225=1),0,IF(Paths!$P$225="Complete",SUM(G2413:I2413)-J2413-K2413-L2413+M2413+IF(C2413=0,Paths!$F$225,0)+IF(IF(Paths!$E$225=0,C2413=0,AND(C2413&gt;0,Paths!$E$225&gt;(C2413-1)*12,Paths!$E$225&lt;=C2413*12)),VLOOKUP(A2413,'Fleet register'!$A$7:$S$106,16,FALSE),0),"n.a."))</f>
        <v>0</v>
      </c>
      <c r="O2413" s="16">
        <f>IF(NOT(Paths!$C$225=1),0,IF(Paths!$P$225="Complete",N2413-IF(C2413=0,Paths!$F$225,0),"n.a."))</f>
        <v>0</v>
      </c>
      <c r="P2413" s="16">
        <f>IF(NOT(Paths!$C$225=1),0,IF(Paths!$P$225="Complete",O2413+L2413,"n.a."))</f>
        <v>0</v>
      </c>
      <c r="Q2413" s="16">
        <f>IF(NOT(Paths!$C$225=1),0,IF(Paths!$P$225="Complete",N2413*(1+'Operating costs'!$B$54)^-C2413,"n.a."))</f>
        <v>0</v>
      </c>
      <c r="R2413" s="16">
        <f>IF(NOT(Paths!$C$225=1),0,IF(Paths!$P$225="Complete",IF(AND(C2413=0,Paths!$E$225=0),I2413-J2413-K2413+VLOOKUP(A2413,'Fleet register'!$A$7:$S$106,15,FALSE)+VLOOKUP(A2413,'Fleet register'!$A$7:$S$106,16,FALSE),0),"n.a."))</f>
        <v>0</v>
      </c>
      <c r="S2413" s="1">
        <f>IF(NOT(Paths!$C$225=1),0,IF(Paths!$P$225="Complete",IF(C2413=0,0,Paths!$S$225*Paths!$R$225),"n.a."))</f>
        <v>0</v>
      </c>
      <c r="T2413" s="1">
        <f>IF(NOT(Paths!$C$225=1),0,IF(Paths!$P$225="Complete",IF(C2413=0,0,VLOOKUP(A2413,'Fleet register'!$A$7:$S$106,9,FALSE)*Paths!$R$225),"n.a."))</f>
        <v>0</v>
      </c>
    </row>
    <row r="2414" spans="1:20" ht="24" customHeight="1">
      <c r="A2414" s="1" t="str">
        <f>Paths!$A$225</f>
        <v>T055</v>
      </c>
      <c r="B2414" s="1">
        <f>Paths!$B$225</f>
        <v>2</v>
      </c>
      <c r="C2414" s="1">
        <v>9</v>
      </c>
      <c r="D2414" s="1">
        <v>225</v>
      </c>
      <c r="E2414" s="1">
        <f>IF(OR(Paths!$C$225=0,C2414=0),0,MAX(0,MIN(C2414*12,Paths!$E$225)-(C2414-1)*12))</f>
        <v>0</v>
      </c>
      <c r="F2414" s="1">
        <f>IF(OR(Paths!$C$225=0,C2414=0),0,12-E2414)</f>
        <v>0</v>
      </c>
      <c r="G2414" s="16">
        <f>IF(NOT(Paths!$C$225=1),0,IF(Paths!$P$225="Complete",E2414/12*(Paths!$J$225*(1+'Operating costs'!$B$51)^MAX(0,C2414-1)+Paths!$K$225*(1+'Operating costs'!$B$53)^MAX(0,C2414-1)),"n.a."))</f>
        <v>0</v>
      </c>
      <c r="H2414" s="16">
        <f>IF(NOT(Paths!$C$225=1),0,IF(Paths!$P$225="Complete",F2414/12*(Paths!$L$225*(1+IF(Paths!$D$225="EV",'Operating costs'!$B$52,'Operating costs'!$B$51))^MAX(0,C2414-1)+Paths!$M$225*(1+'Operating costs'!$B$53)^MAX(0,C2414-1)),"n.a."))</f>
        <v>0</v>
      </c>
      <c r="I2414" s="16">
        <f>IF(NOT(Paths!$C$225=1),0,IF(Paths!$P$225="Complete",IF(IF(Paths!$E$225=0,C2414=0,AND(C2414&gt;0,Paths!$E$225&gt;(C2414-1)*12,Paths!$E$225&lt;=C2414*12)),Paths!$G$225,0),"n.a."))</f>
        <v>0</v>
      </c>
      <c r="J2414" s="16">
        <f>IF(NOT(Paths!$C$225=1),0,IF(Paths!$P$225="Complete",IF(IF(Paths!$E$225=0,C2414=0,AND(C2414&gt;0,Paths!$E$225&gt;(C2414-1)*12,Paths!$E$225&lt;=C2414*12)),Paths!$H$225,0),"n.a."))</f>
        <v>0</v>
      </c>
      <c r="K2414" s="16">
        <f>IF(NOT(Paths!$C$225=1),0,IF(Paths!$P$225="Complete",IF(IF(Paths!$O$225=0,C2414=0,AND(C2414&gt;0,Paths!$O$225&gt;(C2414-1)*12,Paths!$O$225&lt;=C2414*12)),Paths!$N$225,0),"n.a."))</f>
        <v>0</v>
      </c>
      <c r="L2414" s="16">
        <f>IF(NOT(Paths!$C$225=1),0,IF(Paths!$P$225="Complete",IF(C2414=10,Paths!$I$225,0),"n.a."))</f>
        <v>0</v>
      </c>
      <c r="M2414" s="16">
        <f>IF(NOT(Paths!$C$225=1),0,IF(Paths!$P$225="Complete",IF(AND(Paths!$D$225="EV",Paths!$E$225&lt;120,Paths!$E$225+'Operating costs'!$B$65&gt;Paths!$E$225,Paths!$E$225+'Operating costs'!$B$65&lt;=120,IF(Paths!$E$225+'Operating costs'!$B$65=0,C2414=0,AND(C2414&gt;0,Paths!$E$225+'Operating costs'!$B$65&gt;(C2414-1)*12,Paths!$E$225+'Operating costs'!$B$65&lt;=C2414*12))),'Operating costs'!$B$64,0)+IF(AND('Operating costs'!$B$67&gt;0,'Operating costs'!$B$67&lt;=120,OR(Paths!$D$225="ICE",'Operating costs'!$B$67&lt;=Paths!$E$225),IF('Operating costs'!$B$67=0,C2414=0,AND(C2414&gt;0,'Operating costs'!$B$67&gt;(C2414-1)*12,'Operating costs'!$B$67&lt;=C2414*12))),'Operating costs'!$B$66,0),"n.a."))</f>
        <v>0</v>
      </c>
      <c r="N2414" s="16">
        <f>IF(NOT(Paths!$C$225=1),0,IF(Paths!$P$225="Complete",SUM(G2414:I2414)-J2414-K2414-L2414+M2414+IF(C2414=0,Paths!$F$225,0)+IF(IF(Paths!$E$225=0,C2414=0,AND(C2414&gt;0,Paths!$E$225&gt;(C2414-1)*12,Paths!$E$225&lt;=C2414*12)),VLOOKUP(A2414,'Fleet register'!$A$7:$S$106,16,FALSE),0),"n.a."))</f>
        <v>0</v>
      </c>
      <c r="O2414" s="16">
        <f>IF(NOT(Paths!$C$225=1),0,IF(Paths!$P$225="Complete",N2414-IF(C2414=0,Paths!$F$225,0),"n.a."))</f>
        <v>0</v>
      </c>
      <c r="P2414" s="16">
        <f>IF(NOT(Paths!$C$225=1),0,IF(Paths!$P$225="Complete",O2414+L2414,"n.a."))</f>
        <v>0</v>
      </c>
      <c r="Q2414" s="16">
        <f>IF(NOT(Paths!$C$225=1),0,IF(Paths!$P$225="Complete",N2414*(1+'Operating costs'!$B$54)^-C2414,"n.a."))</f>
        <v>0</v>
      </c>
      <c r="R2414" s="16">
        <f>IF(NOT(Paths!$C$225=1),0,IF(Paths!$P$225="Complete",IF(AND(C2414=0,Paths!$E$225=0),I2414-J2414-K2414+VLOOKUP(A2414,'Fleet register'!$A$7:$S$106,15,FALSE)+VLOOKUP(A2414,'Fleet register'!$A$7:$S$106,16,FALSE),0),"n.a."))</f>
        <v>0</v>
      </c>
      <c r="S2414" s="1">
        <f>IF(NOT(Paths!$C$225=1),0,IF(Paths!$P$225="Complete",IF(C2414=0,0,Paths!$S$225*Paths!$R$225),"n.a."))</f>
        <v>0</v>
      </c>
      <c r="T2414" s="1">
        <f>IF(NOT(Paths!$C$225=1),0,IF(Paths!$P$225="Complete",IF(C2414=0,0,VLOOKUP(A2414,'Fleet register'!$A$7:$S$106,9,FALSE)*Paths!$R$225),"n.a."))</f>
        <v>0</v>
      </c>
    </row>
    <row r="2415" spans="1:20" ht="24" customHeight="1">
      <c r="A2415" s="1" t="str">
        <f>Paths!$A$225</f>
        <v>T055</v>
      </c>
      <c r="B2415" s="1">
        <f>Paths!$B$225</f>
        <v>2</v>
      </c>
      <c r="C2415" s="1">
        <v>10</v>
      </c>
      <c r="D2415" s="1">
        <v>225</v>
      </c>
      <c r="E2415" s="1">
        <f>IF(OR(Paths!$C$225=0,C2415=0),0,MAX(0,MIN(C2415*12,Paths!$E$225)-(C2415-1)*12))</f>
        <v>0</v>
      </c>
      <c r="F2415" s="1">
        <f>IF(OR(Paths!$C$225=0,C2415=0),0,12-E2415)</f>
        <v>0</v>
      </c>
      <c r="G2415" s="16">
        <f>IF(NOT(Paths!$C$225=1),0,IF(Paths!$P$225="Complete",E2415/12*(Paths!$J$225*(1+'Operating costs'!$B$51)^MAX(0,C2415-1)+Paths!$K$225*(1+'Operating costs'!$B$53)^MAX(0,C2415-1)),"n.a."))</f>
        <v>0</v>
      </c>
      <c r="H2415" s="16">
        <f>IF(NOT(Paths!$C$225=1),0,IF(Paths!$P$225="Complete",F2415/12*(Paths!$L$225*(1+IF(Paths!$D$225="EV",'Operating costs'!$B$52,'Operating costs'!$B$51))^MAX(0,C2415-1)+Paths!$M$225*(1+'Operating costs'!$B$53)^MAX(0,C2415-1)),"n.a."))</f>
        <v>0</v>
      </c>
      <c r="I2415" s="16">
        <f>IF(NOT(Paths!$C$225=1),0,IF(Paths!$P$225="Complete",IF(IF(Paths!$E$225=0,C2415=0,AND(C2415&gt;0,Paths!$E$225&gt;(C2415-1)*12,Paths!$E$225&lt;=C2415*12)),Paths!$G$225,0),"n.a."))</f>
        <v>0</v>
      </c>
      <c r="J2415" s="16">
        <f>IF(NOT(Paths!$C$225=1),0,IF(Paths!$P$225="Complete",IF(IF(Paths!$E$225=0,C2415=0,AND(C2415&gt;0,Paths!$E$225&gt;(C2415-1)*12,Paths!$E$225&lt;=C2415*12)),Paths!$H$225,0),"n.a."))</f>
        <v>0</v>
      </c>
      <c r="K2415" s="16">
        <f>IF(NOT(Paths!$C$225=1),0,IF(Paths!$P$225="Complete",IF(IF(Paths!$O$225=0,C2415=0,AND(C2415&gt;0,Paths!$O$225&gt;(C2415-1)*12,Paths!$O$225&lt;=C2415*12)),Paths!$N$225,0),"n.a."))</f>
        <v>0</v>
      </c>
      <c r="L2415" s="16">
        <f>IF(NOT(Paths!$C$225=1),0,IF(Paths!$P$225="Complete",IF(C2415=10,Paths!$I$225,0),"n.a."))</f>
        <v>0</v>
      </c>
      <c r="M2415" s="16">
        <f>IF(NOT(Paths!$C$225=1),0,IF(Paths!$P$225="Complete",IF(AND(Paths!$D$225="EV",Paths!$E$225&lt;120,Paths!$E$225+'Operating costs'!$B$65&gt;Paths!$E$225,Paths!$E$225+'Operating costs'!$B$65&lt;=120,IF(Paths!$E$225+'Operating costs'!$B$65=0,C2415=0,AND(C2415&gt;0,Paths!$E$225+'Operating costs'!$B$65&gt;(C2415-1)*12,Paths!$E$225+'Operating costs'!$B$65&lt;=C2415*12))),'Operating costs'!$B$64,0)+IF(AND('Operating costs'!$B$67&gt;0,'Operating costs'!$B$67&lt;=120,OR(Paths!$D$225="ICE",'Operating costs'!$B$67&lt;=Paths!$E$225),IF('Operating costs'!$B$67=0,C2415=0,AND(C2415&gt;0,'Operating costs'!$B$67&gt;(C2415-1)*12,'Operating costs'!$B$67&lt;=C2415*12))),'Operating costs'!$B$66,0),"n.a."))</f>
        <v>0</v>
      </c>
      <c r="N2415" s="16">
        <f>IF(NOT(Paths!$C$225=1),0,IF(Paths!$P$225="Complete",SUM(G2415:I2415)-J2415-K2415-L2415+M2415+IF(C2415=0,Paths!$F$225,0)+IF(IF(Paths!$E$225=0,C2415=0,AND(C2415&gt;0,Paths!$E$225&gt;(C2415-1)*12,Paths!$E$225&lt;=C2415*12)),VLOOKUP(A2415,'Fleet register'!$A$7:$S$106,16,FALSE),0),"n.a."))</f>
        <v>0</v>
      </c>
      <c r="O2415" s="16">
        <f>IF(NOT(Paths!$C$225=1),0,IF(Paths!$P$225="Complete",N2415-IF(C2415=0,Paths!$F$225,0),"n.a."))</f>
        <v>0</v>
      </c>
      <c r="P2415" s="16">
        <f>IF(NOT(Paths!$C$225=1),0,IF(Paths!$P$225="Complete",O2415+L2415,"n.a."))</f>
        <v>0</v>
      </c>
      <c r="Q2415" s="16">
        <f>IF(NOT(Paths!$C$225=1),0,IF(Paths!$P$225="Complete",N2415*(1+'Operating costs'!$B$54)^-C2415,"n.a."))</f>
        <v>0</v>
      </c>
      <c r="R2415" s="16">
        <f>IF(NOT(Paths!$C$225=1),0,IF(Paths!$P$225="Complete",IF(AND(C2415=0,Paths!$E$225=0),I2415-J2415-K2415+VLOOKUP(A2415,'Fleet register'!$A$7:$S$106,15,FALSE)+VLOOKUP(A2415,'Fleet register'!$A$7:$S$106,16,FALSE),0),"n.a."))</f>
        <v>0</v>
      </c>
      <c r="S2415" s="1">
        <f>IF(NOT(Paths!$C$225=1),0,IF(Paths!$P$225="Complete",IF(C2415=0,0,Paths!$S$225*Paths!$R$225),"n.a."))</f>
        <v>0</v>
      </c>
      <c r="T2415" s="1">
        <f>IF(NOT(Paths!$C$225=1),0,IF(Paths!$P$225="Complete",IF(C2415=0,0,VLOOKUP(A2415,'Fleet register'!$A$7:$S$106,9,FALSE)*Paths!$R$225),"n.a."))</f>
        <v>0</v>
      </c>
    </row>
    <row r="2416" spans="1:20" ht="24" customHeight="1">
      <c r="A2416" s="1" t="str">
        <f>Paths!$A$226</f>
        <v>T055</v>
      </c>
      <c r="B2416" s="1">
        <f>Paths!$B$226</f>
        <v>3</v>
      </c>
      <c r="C2416" s="1">
        <v>0</v>
      </c>
      <c r="D2416" s="1">
        <v>226</v>
      </c>
      <c r="E2416" s="1">
        <f>IF(OR(Paths!$C$226=0,C2416=0),0,MAX(0,MIN(C2416*12,Paths!$E$226)-(C2416-1)*12))</f>
        <v>0</v>
      </c>
      <c r="F2416" s="1">
        <f>IF(OR(Paths!$C$226=0,C2416=0),0,12-E2416)</f>
        <v>0</v>
      </c>
      <c r="G2416" s="16">
        <f>IF(NOT(Paths!$C$226=1),0,IF(Paths!$P$226="Complete",E2416/12*(Paths!$J$226*(1+'Operating costs'!$B$51)^MAX(0,C2416-1)+Paths!$K$226*(1+'Operating costs'!$B$53)^MAX(0,C2416-1)),"n.a."))</f>
        <v>0</v>
      </c>
      <c r="H2416" s="16">
        <f>IF(NOT(Paths!$C$226=1),0,IF(Paths!$P$226="Complete",F2416/12*(Paths!$L$226*(1+IF(Paths!$D$226="EV",'Operating costs'!$B$52,'Operating costs'!$B$51))^MAX(0,C2416-1)+Paths!$M$226*(1+'Operating costs'!$B$53)^MAX(0,C2416-1)),"n.a."))</f>
        <v>0</v>
      </c>
      <c r="I2416" s="16">
        <f>IF(NOT(Paths!$C$226=1),0,IF(Paths!$P$226="Complete",IF(IF(Paths!$E$226=0,C2416=0,AND(C2416&gt;0,Paths!$E$226&gt;(C2416-1)*12,Paths!$E$226&lt;=C2416*12)),Paths!$G$226,0),"n.a."))</f>
        <v>0</v>
      </c>
      <c r="J2416" s="16">
        <f>IF(NOT(Paths!$C$226=1),0,IF(Paths!$P$226="Complete",IF(IF(Paths!$E$226=0,C2416=0,AND(C2416&gt;0,Paths!$E$226&gt;(C2416-1)*12,Paths!$E$226&lt;=C2416*12)),Paths!$H$226,0),"n.a."))</f>
        <v>0</v>
      </c>
      <c r="K2416" s="16">
        <f>IF(NOT(Paths!$C$226=1),0,IF(Paths!$P$226="Complete",IF(IF(Paths!$O$226=0,C2416=0,AND(C2416&gt;0,Paths!$O$226&gt;(C2416-1)*12,Paths!$O$226&lt;=C2416*12)),Paths!$N$226,0),"n.a."))</f>
        <v>0</v>
      </c>
      <c r="L2416" s="16">
        <f>IF(NOT(Paths!$C$226=1),0,IF(Paths!$P$226="Complete",IF(C2416=10,Paths!$I$226,0),"n.a."))</f>
        <v>0</v>
      </c>
      <c r="M2416" s="16">
        <f>IF(NOT(Paths!$C$226=1),0,IF(Paths!$P$226="Complete",IF(AND(Paths!$D$226="EV",Paths!$E$226&lt;120,Paths!$E$226+'Operating costs'!$B$65&gt;Paths!$E$226,Paths!$E$226+'Operating costs'!$B$65&lt;=120,IF(Paths!$E$226+'Operating costs'!$B$65=0,C2416=0,AND(C2416&gt;0,Paths!$E$226+'Operating costs'!$B$65&gt;(C2416-1)*12,Paths!$E$226+'Operating costs'!$B$65&lt;=C2416*12))),'Operating costs'!$B$64,0)+IF(AND('Operating costs'!$B$67&gt;0,'Operating costs'!$B$67&lt;=120,OR(Paths!$D$226="ICE",'Operating costs'!$B$67&lt;=Paths!$E$226),IF('Operating costs'!$B$67=0,C2416=0,AND(C2416&gt;0,'Operating costs'!$B$67&gt;(C2416-1)*12,'Operating costs'!$B$67&lt;=C2416*12))),'Operating costs'!$B$66,0),"n.a."))</f>
        <v>0</v>
      </c>
      <c r="N2416" s="16">
        <f>IF(NOT(Paths!$C$226=1),0,IF(Paths!$P$226="Complete",SUM(G2416:I2416)-J2416-K2416-L2416+M2416+IF(C2416=0,Paths!$F$226,0)+IF(IF(Paths!$E$226=0,C2416=0,AND(C2416&gt;0,Paths!$E$226&gt;(C2416-1)*12,Paths!$E$226&lt;=C2416*12)),VLOOKUP(A2416,'Fleet register'!$A$7:$S$106,16,FALSE),0),"n.a."))</f>
        <v>0</v>
      </c>
      <c r="O2416" s="16">
        <f>IF(NOT(Paths!$C$226=1),0,IF(Paths!$P$226="Complete",N2416-IF(C2416=0,Paths!$F$226,0),"n.a."))</f>
        <v>0</v>
      </c>
      <c r="P2416" s="16">
        <f>IF(NOT(Paths!$C$226=1),0,IF(Paths!$P$226="Complete",O2416+L2416,"n.a."))</f>
        <v>0</v>
      </c>
      <c r="Q2416" s="16">
        <f>IF(NOT(Paths!$C$226=1),0,IF(Paths!$P$226="Complete",N2416*(1+'Operating costs'!$B$54)^-C2416,"n.a."))</f>
        <v>0</v>
      </c>
      <c r="R2416" s="16">
        <f>IF(NOT(Paths!$C$226=1),0,IF(Paths!$P$226="Complete",IF(AND(C2416=0,Paths!$E$226=0),I2416-J2416-K2416+VLOOKUP(A2416,'Fleet register'!$A$7:$S$106,15,FALSE)+VLOOKUP(A2416,'Fleet register'!$A$7:$S$106,16,FALSE),0),"n.a."))</f>
        <v>0</v>
      </c>
      <c r="S2416" s="1">
        <f>IF(NOT(Paths!$C$226=1),0,IF(Paths!$P$226="Complete",IF(C2416=0,0,Paths!$S$226*Paths!$R$226),"n.a."))</f>
        <v>0</v>
      </c>
      <c r="T2416" s="1">
        <f>IF(NOT(Paths!$C$226=1),0,IF(Paths!$P$226="Complete",IF(C2416=0,0,VLOOKUP(A2416,'Fleet register'!$A$7:$S$106,9,FALSE)*Paths!$R$226),"n.a."))</f>
        <v>0</v>
      </c>
    </row>
    <row r="2417" spans="1:20" ht="24" customHeight="1">
      <c r="A2417" s="1" t="str">
        <f>Paths!$A$226</f>
        <v>T055</v>
      </c>
      <c r="B2417" s="1">
        <f>Paths!$B$226</f>
        <v>3</v>
      </c>
      <c r="C2417" s="1">
        <v>1</v>
      </c>
      <c r="D2417" s="1">
        <v>226</v>
      </c>
      <c r="E2417" s="1">
        <f>IF(OR(Paths!$C$226=0,C2417=0),0,MAX(0,MIN(C2417*12,Paths!$E$226)-(C2417-1)*12))</f>
        <v>0</v>
      </c>
      <c r="F2417" s="1">
        <f>IF(OR(Paths!$C$226=0,C2417=0),0,12-E2417)</f>
        <v>0</v>
      </c>
      <c r="G2417" s="16">
        <f>IF(NOT(Paths!$C$226=1),0,IF(Paths!$P$226="Complete",E2417/12*(Paths!$J$226*(1+'Operating costs'!$B$51)^MAX(0,C2417-1)+Paths!$K$226*(1+'Operating costs'!$B$53)^MAX(0,C2417-1)),"n.a."))</f>
        <v>0</v>
      </c>
      <c r="H2417" s="16">
        <f>IF(NOT(Paths!$C$226=1),0,IF(Paths!$P$226="Complete",F2417/12*(Paths!$L$226*(1+IF(Paths!$D$226="EV",'Operating costs'!$B$52,'Operating costs'!$B$51))^MAX(0,C2417-1)+Paths!$M$226*(1+'Operating costs'!$B$53)^MAX(0,C2417-1)),"n.a."))</f>
        <v>0</v>
      </c>
      <c r="I2417" s="16">
        <f>IF(NOT(Paths!$C$226=1),0,IF(Paths!$P$226="Complete",IF(IF(Paths!$E$226=0,C2417=0,AND(C2417&gt;0,Paths!$E$226&gt;(C2417-1)*12,Paths!$E$226&lt;=C2417*12)),Paths!$G$226,0),"n.a."))</f>
        <v>0</v>
      </c>
      <c r="J2417" s="16">
        <f>IF(NOT(Paths!$C$226=1),0,IF(Paths!$P$226="Complete",IF(IF(Paths!$E$226=0,C2417=0,AND(C2417&gt;0,Paths!$E$226&gt;(C2417-1)*12,Paths!$E$226&lt;=C2417*12)),Paths!$H$226,0),"n.a."))</f>
        <v>0</v>
      </c>
      <c r="K2417" s="16">
        <f>IF(NOT(Paths!$C$226=1),0,IF(Paths!$P$226="Complete",IF(IF(Paths!$O$226=0,C2417=0,AND(C2417&gt;0,Paths!$O$226&gt;(C2417-1)*12,Paths!$O$226&lt;=C2417*12)),Paths!$N$226,0),"n.a."))</f>
        <v>0</v>
      </c>
      <c r="L2417" s="16">
        <f>IF(NOT(Paths!$C$226=1),0,IF(Paths!$P$226="Complete",IF(C2417=10,Paths!$I$226,0),"n.a."))</f>
        <v>0</v>
      </c>
      <c r="M2417" s="16">
        <f>IF(NOT(Paths!$C$226=1),0,IF(Paths!$P$226="Complete",IF(AND(Paths!$D$226="EV",Paths!$E$226&lt;120,Paths!$E$226+'Operating costs'!$B$65&gt;Paths!$E$226,Paths!$E$226+'Operating costs'!$B$65&lt;=120,IF(Paths!$E$226+'Operating costs'!$B$65=0,C2417=0,AND(C2417&gt;0,Paths!$E$226+'Operating costs'!$B$65&gt;(C2417-1)*12,Paths!$E$226+'Operating costs'!$B$65&lt;=C2417*12))),'Operating costs'!$B$64,0)+IF(AND('Operating costs'!$B$67&gt;0,'Operating costs'!$B$67&lt;=120,OR(Paths!$D$226="ICE",'Operating costs'!$B$67&lt;=Paths!$E$226),IF('Operating costs'!$B$67=0,C2417=0,AND(C2417&gt;0,'Operating costs'!$B$67&gt;(C2417-1)*12,'Operating costs'!$B$67&lt;=C2417*12))),'Operating costs'!$B$66,0),"n.a."))</f>
        <v>0</v>
      </c>
      <c r="N2417" s="16">
        <f>IF(NOT(Paths!$C$226=1),0,IF(Paths!$P$226="Complete",SUM(G2417:I2417)-J2417-K2417-L2417+M2417+IF(C2417=0,Paths!$F$226,0)+IF(IF(Paths!$E$226=0,C2417=0,AND(C2417&gt;0,Paths!$E$226&gt;(C2417-1)*12,Paths!$E$226&lt;=C2417*12)),VLOOKUP(A2417,'Fleet register'!$A$7:$S$106,16,FALSE),0),"n.a."))</f>
        <v>0</v>
      </c>
      <c r="O2417" s="16">
        <f>IF(NOT(Paths!$C$226=1),0,IF(Paths!$P$226="Complete",N2417-IF(C2417=0,Paths!$F$226,0),"n.a."))</f>
        <v>0</v>
      </c>
      <c r="P2417" s="16">
        <f>IF(NOT(Paths!$C$226=1),0,IF(Paths!$P$226="Complete",O2417+L2417,"n.a."))</f>
        <v>0</v>
      </c>
      <c r="Q2417" s="16">
        <f>IF(NOT(Paths!$C$226=1),0,IF(Paths!$P$226="Complete",N2417*(1+'Operating costs'!$B$54)^-C2417,"n.a."))</f>
        <v>0</v>
      </c>
      <c r="R2417" s="16">
        <f>IF(NOT(Paths!$C$226=1),0,IF(Paths!$P$226="Complete",IF(AND(C2417=0,Paths!$E$226=0),I2417-J2417-K2417+VLOOKUP(A2417,'Fleet register'!$A$7:$S$106,15,FALSE)+VLOOKUP(A2417,'Fleet register'!$A$7:$S$106,16,FALSE),0),"n.a."))</f>
        <v>0</v>
      </c>
      <c r="S2417" s="1">
        <f>IF(NOT(Paths!$C$226=1),0,IF(Paths!$P$226="Complete",IF(C2417=0,0,Paths!$S$226*Paths!$R$226),"n.a."))</f>
        <v>0</v>
      </c>
      <c r="T2417" s="1">
        <f>IF(NOT(Paths!$C$226=1),0,IF(Paths!$P$226="Complete",IF(C2417=0,0,VLOOKUP(A2417,'Fleet register'!$A$7:$S$106,9,FALSE)*Paths!$R$226),"n.a."))</f>
        <v>0</v>
      </c>
    </row>
    <row r="2418" spans="1:20" ht="24" customHeight="1">
      <c r="A2418" s="1" t="str">
        <f>Paths!$A$226</f>
        <v>T055</v>
      </c>
      <c r="B2418" s="1">
        <f>Paths!$B$226</f>
        <v>3</v>
      </c>
      <c r="C2418" s="1">
        <v>2</v>
      </c>
      <c r="D2418" s="1">
        <v>226</v>
      </c>
      <c r="E2418" s="1">
        <f>IF(OR(Paths!$C$226=0,C2418=0),0,MAX(0,MIN(C2418*12,Paths!$E$226)-(C2418-1)*12))</f>
        <v>0</v>
      </c>
      <c r="F2418" s="1">
        <f>IF(OR(Paths!$C$226=0,C2418=0),0,12-E2418)</f>
        <v>0</v>
      </c>
      <c r="G2418" s="16">
        <f>IF(NOT(Paths!$C$226=1),0,IF(Paths!$P$226="Complete",E2418/12*(Paths!$J$226*(1+'Operating costs'!$B$51)^MAX(0,C2418-1)+Paths!$K$226*(1+'Operating costs'!$B$53)^MAX(0,C2418-1)),"n.a."))</f>
        <v>0</v>
      </c>
      <c r="H2418" s="16">
        <f>IF(NOT(Paths!$C$226=1),0,IF(Paths!$P$226="Complete",F2418/12*(Paths!$L$226*(1+IF(Paths!$D$226="EV",'Operating costs'!$B$52,'Operating costs'!$B$51))^MAX(0,C2418-1)+Paths!$M$226*(1+'Operating costs'!$B$53)^MAX(0,C2418-1)),"n.a."))</f>
        <v>0</v>
      </c>
      <c r="I2418" s="16">
        <f>IF(NOT(Paths!$C$226=1),0,IF(Paths!$P$226="Complete",IF(IF(Paths!$E$226=0,C2418=0,AND(C2418&gt;0,Paths!$E$226&gt;(C2418-1)*12,Paths!$E$226&lt;=C2418*12)),Paths!$G$226,0),"n.a."))</f>
        <v>0</v>
      </c>
      <c r="J2418" s="16">
        <f>IF(NOT(Paths!$C$226=1),0,IF(Paths!$P$226="Complete",IF(IF(Paths!$E$226=0,C2418=0,AND(C2418&gt;0,Paths!$E$226&gt;(C2418-1)*12,Paths!$E$226&lt;=C2418*12)),Paths!$H$226,0),"n.a."))</f>
        <v>0</v>
      </c>
      <c r="K2418" s="16">
        <f>IF(NOT(Paths!$C$226=1),0,IF(Paths!$P$226="Complete",IF(IF(Paths!$O$226=0,C2418=0,AND(C2418&gt;0,Paths!$O$226&gt;(C2418-1)*12,Paths!$O$226&lt;=C2418*12)),Paths!$N$226,0),"n.a."))</f>
        <v>0</v>
      </c>
      <c r="L2418" s="16">
        <f>IF(NOT(Paths!$C$226=1),0,IF(Paths!$P$226="Complete",IF(C2418=10,Paths!$I$226,0),"n.a."))</f>
        <v>0</v>
      </c>
      <c r="M2418" s="16">
        <f>IF(NOT(Paths!$C$226=1),0,IF(Paths!$P$226="Complete",IF(AND(Paths!$D$226="EV",Paths!$E$226&lt;120,Paths!$E$226+'Operating costs'!$B$65&gt;Paths!$E$226,Paths!$E$226+'Operating costs'!$B$65&lt;=120,IF(Paths!$E$226+'Operating costs'!$B$65=0,C2418=0,AND(C2418&gt;0,Paths!$E$226+'Operating costs'!$B$65&gt;(C2418-1)*12,Paths!$E$226+'Operating costs'!$B$65&lt;=C2418*12))),'Operating costs'!$B$64,0)+IF(AND('Operating costs'!$B$67&gt;0,'Operating costs'!$B$67&lt;=120,OR(Paths!$D$226="ICE",'Operating costs'!$B$67&lt;=Paths!$E$226),IF('Operating costs'!$B$67=0,C2418=0,AND(C2418&gt;0,'Operating costs'!$B$67&gt;(C2418-1)*12,'Operating costs'!$B$67&lt;=C2418*12))),'Operating costs'!$B$66,0),"n.a."))</f>
        <v>0</v>
      </c>
      <c r="N2418" s="16">
        <f>IF(NOT(Paths!$C$226=1),0,IF(Paths!$P$226="Complete",SUM(G2418:I2418)-J2418-K2418-L2418+M2418+IF(C2418=0,Paths!$F$226,0)+IF(IF(Paths!$E$226=0,C2418=0,AND(C2418&gt;0,Paths!$E$226&gt;(C2418-1)*12,Paths!$E$226&lt;=C2418*12)),VLOOKUP(A2418,'Fleet register'!$A$7:$S$106,16,FALSE),0),"n.a."))</f>
        <v>0</v>
      </c>
      <c r="O2418" s="16">
        <f>IF(NOT(Paths!$C$226=1),0,IF(Paths!$P$226="Complete",N2418-IF(C2418=0,Paths!$F$226,0),"n.a."))</f>
        <v>0</v>
      </c>
      <c r="P2418" s="16">
        <f>IF(NOT(Paths!$C$226=1),0,IF(Paths!$P$226="Complete",O2418+L2418,"n.a."))</f>
        <v>0</v>
      </c>
      <c r="Q2418" s="16">
        <f>IF(NOT(Paths!$C$226=1),0,IF(Paths!$P$226="Complete",N2418*(1+'Operating costs'!$B$54)^-C2418,"n.a."))</f>
        <v>0</v>
      </c>
      <c r="R2418" s="16">
        <f>IF(NOT(Paths!$C$226=1),0,IF(Paths!$P$226="Complete",IF(AND(C2418=0,Paths!$E$226=0),I2418-J2418-K2418+VLOOKUP(A2418,'Fleet register'!$A$7:$S$106,15,FALSE)+VLOOKUP(A2418,'Fleet register'!$A$7:$S$106,16,FALSE),0),"n.a."))</f>
        <v>0</v>
      </c>
      <c r="S2418" s="1">
        <f>IF(NOT(Paths!$C$226=1),0,IF(Paths!$P$226="Complete",IF(C2418=0,0,Paths!$S$226*Paths!$R$226),"n.a."))</f>
        <v>0</v>
      </c>
      <c r="T2418" s="1">
        <f>IF(NOT(Paths!$C$226=1),0,IF(Paths!$P$226="Complete",IF(C2418=0,0,VLOOKUP(A2418,'Fleet register'!$A$7:$S$106,9,FALSE)*Paths!$R$226),"n.a."))</f>
        <v>0</v>
      </c>
    </row>
    <row r="2419" spans="1:20" ht="24" customHeight="1">
      <c r="A2419" s="1" t="str">
        <f>Paths!$A$226</f>
        <v>T055</v>
      </c>
      <c r="B2419" s="1">
        <f>Paths!$B$226</f>
        <v>3</v>
      </c>
      <c r="C2419" s="1">
        <v>3</v>
      </c>
      <c r="D2419" s="1">
        <v>226</v>
      </c>
      <c r="E2419" s="1">
        <f>IF(OR(Paths!$C$226=0,C2419=0),0,MAX(0,MIN(C2419*12,Paths!$E$226)-(C2419-1)*12))</f>
        <v>0</v>
      </c>
      <c r="F2419" s="1">
        <f>IF(OR(Paths!$C$226=0,C2419=0),0,12-E2419)</f>
        <v>0</v>
      </c>
      <c r="G2419" s="16">
        <f>IF(NOT(Paths!$C$226=1),0,IF(Paths!$P$226="Complete",E2419/12*(Paths!$J$226*(1+'Operating costs'!$B$51)^MAX(0,C2419-1)+Paths!$K$226*(1+'Operating costs'!$B$53)^MAX(0,C2419-1)),"n.a."))</f>
        <v>0</v>
      </c>
      <c r="H2419" s="16">
        <f>IF(NOT(Paths!$C$226=1),0,IF(Paths!$P$226="Complete",F2419/12*(Paths!$L$226*(1+IF(Paths!$D$226="EV",'Operating costs'!$B$52,'Operating costs'!$B$51))^MAX(0,C2419-1)+Paths!$M$226*(1+'Operating costs'!$B$53)^MAX(0,C2419-1)),"n.a."))</f>
        <v>0</v>
      </c>
      <c r="I2419" s="16">
        <f>IF(NOT(Paths!$C$226=1),0,IF(Paths!$P$226="Complete",IF(IF(Paths!$E$226=0,C2419=0,AND(C2419&gt;0,Paths!$E$226&gt;(C2419-1)*12,Paths!$E$226&lt;=C2419*12)),Paths!$G$226,0),"n.a."))</f>
        <v>0</v>
      </c>
      <c r="J2419" s="16">
        <f>IF(NOT(Paths!$C$226=1),0,IF(Paths!$P$226="Complete",IF(IF(Paths!$E$226=0,C2419=0,AND(C2419&gt;0,Paths!$E$226&gt;(C2419-1)*12,Paths!$E$226&lt;=C2419*12)),Paths!$H$226,0),"n.a."))</f>
        <v>0</v>
      </c>
      <c r="K2419" s="16">
        <f>IF(NOT(Paths!$C$226=1),0,IF(Paths!$P$226="Complete",IF(IF(Paths!$O$226=0,C2419=0,AND(C2419&gt;0,Paths!$O$226&gt;(C2419-1)*12,Paths!$O$226&lt;=C2419*12)),Paths!$N$226,0),"n.a."))</f>
        <v>0</v>
      </c>
      <c r="L2419" s="16">
        <f>IF(NOT(Paths!$C$226=1),0,IF(Paths!$P$226="Complete",IF(C2419=10,Paths!$I$226,0),"n.a."))</f>
        <v>0</v>
      </c>
      <c r="M2419" s="16">
        <f>IF(NOT(Paths!$C$226=1),0,IF(Paths!$P$226="Complete",IF(AND(Paths!$D$226="EV",Paths!$E$226&lt;120,Paths!$E$226+'Operating costs'!$B$65&gt;Paths!$E$226,Paths!$E$226+'Operating costs'!$B$65&lt;=120,IF(Paths!$E$226+'Operating costs'!$B$65=0,C2419=0,AND(C2419&gt;0,Paths!$E$226+'Operating costs'!$B$65&gt;(C2419-1)*12,Paths!$E$226+'Operating costs'!$B$65&lt;=C2419*12))),'Operating costs'!$B$64,0)+IF(AND('Operating costs'!$B$67&gt;0,'Operating costs'!$B$67&lt;=120,OR(Paths!$D$226="ICE",'Operating costs'!$B$67&lt;=Paths!$E$226),IF('Operating costs'!$B$67=0,C2419=0,AND(C2419&gt;0,'Operating costs'!$B$67&gt;(C2419-1)*12,'Operating costs'!$B$67&lt;=C2419*12))),'Operating costs'!$B$66,0),"n.a."))</f>
        <v>0</v>
      </c>
      <c r="N2419" s="16">
        <f>IF(NOT(Paths!$C$226=1),0,IF(Paths!$P$226="Complete",SUM(G2419:I2419)-J2419-K2419-L2419+M2419+IF(C2419=0,Paths!$F$226,0)+IF(IF(Paths!$E$226=0,C2419=0,AND(C2419&gt;0,Paths!$E$226&gt;(C2419-1)*12,Paths!$E$226&lt;=C2419*12)),VLOOKUP(A2419,'Fleet register'!$A$7:$S$106,16,FALSE),0),"n.a."))</f>
        <v>0</v>
      </c>
      <c r="O2419" s="16">
        <f>IF(NOT(Paths!$C$226=1),0,IF(Paths!$P$226="Complete",N2419-IF(C2419=0,Paths!$F$226,0),"n.a."))</f>
        <v>0</v>
      </c>
      <c r="P2419" s="16">
        <f>IF(NOT(Paths!$C$226=1),0,IF(Paths!$P$226="Complete",O2419+L2419,"n.a."))</f>
        <v>0</v>
      </c>
      <c r="Q2419" s="16">
        <f>IF(NOT(Paths!$C$226=1),0,IF(Paths!$P$226="Complete",N2419*(1+'Operating costs'!$B$54)^-C2419,"n.a."))</f>
        <v>0</v>
      </c>
      <c r="R2419" s="16">
        <f>IF(NOT(Paths!$C$226=1),0,IF(Paths!$P$226="Complete",IF(AND(C2419=0,Paths!$E$226=0),I2419-J2419-K2419+VLOOKUP(A2419,'Fleet register'!$A$7:$S$106,15,FALSE)+VLOOKUP(A2419,'Fleet register'!$A$7:$S$106,16,FALSE),0),"n.a."))</f>
        <v>0</v>
      </c>
      <c r="S2419" s="1">
        <f>IF(NOT(Paths!$C$226=1),0,IF(Paths!$P$226="Complete",IF(C2419=0,0,Paths!$S$226*Paths!$R$226),"n.a."))</f>
        <v>0</v>
      </c>
      <c r="T2419" s="1">
        <f>IF(NOT(Paths!$C$226=1),0,IF(Paths!$P$226="Complete",IF(C2419=0,0,VLOOKUP(A2419,'Fleet register'!$A$7:$S$106,9,FALSE)*Paths!$R$226),"n.a."))</f>
        <v>0</v>
      </c>
    </row>
    <row r="2420" spans="1:20" ht="24" customHeight="1">
      <c r="A2420" s="1" t="str">
        <f>Paths!$A$226</f>
        <v>T055</v>
      </c>
      <c r="B2420" s="1">
        <f>Paths!$B$226</f>
        <v>3</v>
      </c>
      <c r="C2420" s="1">
        <v>4</v>
      </c>
      <c r="D2420" s="1">
        <v>226</v>
      </c>
      <c r="E2420" s="1">
        <f>IF(OR(Paths!$C$226=0,C2420=0),0,MAX(0,MIN(C2420*12,Paths!$E$226)-(C2420-1)*12))</f>
        <v>0</v>
      </c>
      <c r="F2420" s="1">
        <f>IF(OR(Paths!$C$226=0,C2420=0),0,12-E2420)</f>
        <v>0</v>
      </c>
      <c r="G2420" s="16">
        <f>IF(NOT(Paths!$C$226=1),0,IF(Paths!$P$226="Complete",E2420/12*(Paths!$J$226*(1+'Operating costs'!$B$51)^MAX(0,C2420-1)+Paths!$K$226*(1+'Operating costs'!$B$53)^MAX(0,C2420-1)),"n.a."))</f>
        <v>0</v>
      </c>
      <c r="H2420" s="16">
        <f>IF(NOT(Paths!$C$226=1),0,IF(Paths!$P$226="Complete",F2420/12*(Paths!$L$226*(1+IF(Paths!$D$226="EV",'Operating costs'!$B$52,'Operating costs'!$B$51))^MAX(0,C2420-1)+Paths!$M$226*(1+'Operating costs'!$B$53)^MAX(0,C2420-1)),"n.a."))</f>
        <v>0</v>
      </c>
      <c r="I2420" s="16">
        <f>IF(NOT(Paths!$C$226=1),0,IF(Paths!$P$226="Complete",IF(IF(Paths!$E$226=0,C2420=0,AND(C2420&gt;0,Paths!$E$226&gt;(C2420-1)*12,Paths!$E$226&lt;=C2420*12)),Paths!$G$226,0),"n.a."))</f>
        <v>0</v>
      </c>
      <c r="J2420" s="16">
        <f>IF(NOT(Paths!$C$226=1),0,IF(Paths!$P$226="Complete",IF(IF(Paths!$E$226=0,C2420=0,AND(C2420&gt;0,Paths!$E$226&gt;(C2420-1)*12,Paths!$E$226&lt;=C2420*12)),Paths!$H$226,0),"n.a."))</f>
        <v>0</v>
      </c>
      <c r="K2420" s="16">
        <f>IF(NOT(Paths!$C$226=1),0,IF(Paths!$P$226="Complete",IF(IF(Paths!$O$226=0,C2420=0,AND(C2420&gt;0,Paths!$O$226&gt;(C2420-1)*12,Paths!$O$226&lt;=C2420*12)),Paths!$N$226,0),"n.a."))</f>
        <v>0</v>
      </c>
      <c r="L2420" s="16">
        <f>IF(NOT(Paths!$C$226=1),0,IF(Paths!$P$226="Complete",IF(C2420=10,Paths!$I$226,0),"n.a."))</f>
        <v>0</v>
      </c>
      <c r="M2420" s="16">
        <f>IF(NOT(Paths!$C$226=1),0,IF(Paths!$P$226="Complete",IF(AND(Paths!$D$226="EV",Paths!$E$226&lt;120,Paths!$E$226+'Operating costs'!$B$65&gt;Paths!$E$226,Paths!$E$226+'Operating costs'!$B$65&lt;=120,IF(Paths!$E$226+'Operating costs'!$B$65=0,C2420=0,AND(C2420&gt;0,Paths!$E$226+'Operating costs'!$B$65&gt;(C2420-1)*12,Paths!$E$226+'Operating costs'!$B$65&lt;=C2420*12))),'Operating costs'!$B$64,0)+IF(AND('Operating costs'!$B$67&gt;0,'Operating costs'!$B$67&lt;=120,OR(Paths!$D$226="ICE",'Operating costs'!$B$67&lt;=Paths!$E$226),IF('Operating costs'!$B$67=0,C2420=0,AND(C2420&gt;0,'Operating costs'!$B$67&gt;(C2420-1)*12,'Operating costs'!$B$67&lt;=C2420*12))),'Operating costs'!$B$66,0),"n.a."))</f>
        <v>0</v>
      </c>
      <c r="N2420" s="16">
        <f>IF(NOT(Paths!$C$226=1),0,IF(Paths!$P$226="Complete",SUM(G2420:I2420)-J2420-K2420-L2420+M2420+IF(C2420=0,Paths!$F$226,0)+IF(IF(Paths!$E$226=0,C2420=0,AND(C2420&gt;0,Paths!$E$226&gt;(C2420-1)*12,Paths!$E$226&lt;=C2420*12)),VLOOKUP(A2420,'Fleet register'!$A$7:$S$106,16,FALSE),0),"n.a."))</f>
        <v>0</v>
      </c>
      <c r="O2420" s="16">
        <f>IF(NOT(Paths!$C$226=1),0,IF(Paths!$P$226="Complete",N2420-IF(C2420=0,Paths!$F$226,0),"n.a."))</f>
        <v>0</v>
      </c>
      <c r="P2420" s="16">
        <f>IF(NOT(Paths!$C$226=1),0,IF(Paths!$P$226="Complete",O2420+L2420,"n.a."))</f>
        <v>0</v>
      </c>
      <c r="Q2420" s="16">
        <f>IF(NOT(Paths!$C$226=1),0,IF(Paths!$P$226="Complete",N2420*(1+'Operating costs'!$B$54)^-C2420,"n.a."))</f>
        <v>0</v>
      </c>
      <c r="R2420" s="16">
        <f>IF(NOT(Paths!$C$226=1),0,IF(Paths!$P$226="Complete",IF(AND(C2420=0,Paths!$E$226=0),I2420-J2420-K2420+VLOOKUP(A2420,'Fleet register'!$A$7:$S$106,15,FALSE)+VLOOKUP(A2420,'Fleet register'!$A$7:$S$106,16,FALSE),0),"n.a."))</f>
        <v>0</v>
      </c>
      <c r="S2420" s="1">
        <f>IF(NOT(Paths!$C$226=1),0,IF(Paths!$P$226="Complete",IF(C2420=0,0,Paths!$S$226*Paths!$R$226),"n.a."))</f>
        <v>0</v>
      </c>
      <c r="T2420" s="1">
        <f>IF(NOT(Paths!$C$226=1),0,IF(Paths!$P$226="Complete",IF(C2420=0,0,VLOOKUP(A2420,'Fleet register'!$A$7:$S$106,9,FALSE)*Paths!$R$226),"n.a."))</f>
        <v>0</v>
      </c>
    </row>
    <row r="2421" spans="1:20" ht="24" customHeight="1">
      <c r="A2421" s="1" t="str">
        <f>Paths!$A$226</f>
        <v>T055</v>
      </c>
      <c r="B2421" s="1">
        <f>Paths!$B$226</f>
        <v>3</v>
      </c>
      <c r="C2421" s="1">
        <v>5</v>
      </c>
      <c r="D2421" s="1">
        <v>226</v>
      </c>
      <c r="E2421" s="1">
        <f>IF(OR(Paths!$C$226=0,C2421=0),0,MAX(0,MIN(C2421*12,Paths!$E$226)-(C2421-1)*12))</f>
        <v>0</v>
      </c>
      <c r="F2421" s="1">
        <f>IF(OR(Paths!$C$226=0,C2421=0),0,12-E2421)</f>
        <v>0</v>
      </c>
      <c r="G2421" s="16">
        <f>IF(NOT(Paths!$C$226=1),0,IF(Paths!$P$226="Complete",E2421/12*(Paths!$J$226*(1+'Operating costs'!$B$51)^MAX(0,C2421-1)+Paths!$K$226*(1+'Operating costs'!$B$53)^MAX(0,C2421-1)),"n.a."))</f>
        <v>0</v>
      </c>
      <c r="H2421" s="16">
        <f>IF(NOT(Paths!$C$226=1),0,IF(Paths!$P$226="Complete",F2421/12*(Paths!$L$226*(1+IF(Paths!$D$226="EV",'Operating costs'!$B$52,'Operating costs'!$B$51))^MAX(0,C2421-1)+Paths!$M$226*(1+'Operating costs'!$B$53)^MAX(0,C2421-1)),"n.a."))</f>
        <v>0</v>
      </c>
      <c r="I2421" s="16">
        <f>IF(NOT(Paths!$C$226=1),0,IF(Paths!$P$226="Complete",IF(IF(Paths!$E$226=0,C2421=0,AND(C2421&gt;0,Paths!$E$226&gt;(C2421-1)*12,Paths!$E$226&lt;=C2421*12)),Paths!$G$226,0),"n.a."))</f>
        <v>0</v>
      </c>
      <c r="J2421" s="16">
        <f>IF(NOT(Paths!$C$226=1),0,IF(Paths!$P$226="Complete",IF(IF(Paths!$E$226=0,C2421=0,AND(C2421&gt;0,Paths!$E$226&gt;(C2421-1)*12,Paths!$E$226&lt;=C2421*12)),Paths!$H$226,0),"n.a."))</f>
        <v>0</v>
      </c>
      <c r="K2421" s="16">
        <f>IF(NOT(Paths!$C$226=1),0,IF(Paths!$P$226="Complete",IF(IF(Paths!$O$226=0,C2421=0,AND(C2421&gt;0,Paths!$O$226&gt;(C2421-1)*12,Paths!$O$226&lt;=C2421*12)),Paths!$N$226,0),"n.a."))</f>
        <v>0</v>
      </c>
      <c r="L2421" s="16">
        <f>IF(NOT(Paths!$C$226=1),0,IF(Paths!$P$226="Complete",IF(C2421=10,Paths!$I$226,0),"n.a."))</f>
        <v>0</v>
      </c>
      <c r="M2421" s="16">
        <f>IF(NOT(Paths!$C$226=1),0,IF(Paths!$P$226="Complete",IF(AND(Paths!$D$226="EV",Paths!$E$226&lt;120,Paths!$E$226+'Operating costs'!$B$65&gt;Paths!$E$226,Paths!$E$226+'Operating costs'!$B$65&lt;=120,IF(Paths!$E$226+'Operating costs'!$B$65=0,C2421=0,AND(C2421&gt;0,Paths!$E$226+'Operating costs'!$B$65&gt;(C2421-1)*12,Paths!$E$226+'Operating costs'!$B$65&lt;=C2421*12))),'Operating costs'!$B$64,0)+IF(AND('Operating costs'!$B$67&gt;0,'Operating costs'!$B$67&lt;=120,OR(Paths!$D$226="ICE",'Operating costs'!$B$67&lt;=Paths!$E$226),IF('Operating costs'!$B$67=0,C2421=0,AND(C2421&gt;0,'Operating costs'!$B$67&gt;(C2421-1)*12,'Operating costs'!$B$67&lt;=C2421*12))),'Operating costs'!$B$66,0),"n.a."))</f>
        <v>0</v>
      </c>
      <c r="N2421" s="16">
        <f>IF(NOT(Paths!$C$226=1),0,IF(Paths!$P$226="Complete",SUM(G2421:I2421)-J2421-K2421-L2421+M2421+IF(C2421=0,Paths!$F$226,0)+IF(IF(Paths!$E$226=0,C2421=0,AND(C2421&gt;0,Paths!$E$226&gt;(C2421-1)*12,Paths!$E$226&lt;=C2421*12)),VLOOKUP(A2421,'Fleet register'!$A$7:$S$106,16,FALSE),0),"n.a."))</f>
        <v>0</v>
      </c>
      <c r="O2421" s="16">
        <f>IF(NOT(Paths!$C$226=1),0,IF(Paths!$P$226="Complete",N2421-IF(C2421=0,Paths!$F$226,0),"n.a."))</f>
        <v>0</v>
      </c>
      <c r="P2421" s="16">
        <f>IF(NOT(Paths!$C$226=1),0,IF(Paths!$P$226="Complete",O2421+L2421,"n.a."))</f>
        <v>0</v>
      </c>
      <c r="Q2421" s="16">
        <f>IF(NOT(Paths!$C$226=1),0,IF(Paths!$P$226="Complete",N2421*(1+'Operating costs'!$B$54)^-C2421,"n.a."))</f>
        <v>0</v>
      </c>
      <c r="R2421" s="16">
        <f>IF(NOT(Paths!$C$226=1),0,IF(Paths!$P$226="Complete",IF(AND(C2421=0,Paths!$E$226=0),I2421-J2421-K2421+VLOOKUP(A2421,'Fleet register'!$A$7:$S$106,15,FALSE)+VLOOKUP(A2421,'Fleet register'!$A$7:$S$106,16,FALSE),0),"n.a."))</f>
        <v>0</v>
      </c>
      <c r="S2421" s="1">
        <f>IF(NOT(Paths!$C$226=1),0,IF(Paths!$P$226="Complete",IF(C2421=0,0,Paths!$S$226*Paths!$R$226),"n.a."))</f>
        <v>0</v>
      </c>
      <c r="T2421" s="1">
        <f>IF(NOT(Paths!$C$226=1),0,IF(Paths!$P$226="Complete",IF(C2421=0,0,VLOOKUP(A2421,'Fleet register'!$A$7:$S$106,9,FALSE)*Paths!$R$226),"n.a."))</f>
        <v>0</v>
      </c>
    </row>
    <row r="2422" spans="1:20" ht="24" customHeight="1">
      <c r="A2422" s="1" t="str">
        <f>Paths!$A$226</f>
        <v>T055</v>
      </c>
      <c r="B2422" s="1">
        <f>Paths!$B$226</f>
        <v>3</v>
      </c>
      <c r="C2422" s="1">
        <v>6</v>
      </c>
      <c r="D2422" s="1">
        <v>226</v>
      </c>
      <c r="E2422" s="1">
        <f>IF(OR(Paths!$C$226=0,C2422=0),0,MAX(0,MIN(C2422*12,Paths!$E$226)-(C2422-1)*12))</f>
        <v>0</v>
      </c>
      <c r="F2422" s="1">
        <f>IF(OR(Paths!$C$226=0,C2422=0),0,12-E2422)</f>
        <v>0</v>
      </c>
      <c r="G2422" s="16">
        <f>IF(NOT(Paths!$C$226=1),0,IF(Paths!$P$226="Complete",E2422/12*(Paths!$J$226*(1+'Operating costs'!$B$51)^MAX(0,C2422-1)+Paths!$K$226*(1+'Operating costs'!$B$53)^MAX(0,C2422-1)),"n.a."))</f>
        <v>0</v>
      </c>
      <c r="H2422" s="16">
        <f>IF(NOT(Paths!$C$226=1),0,IF(Paths!$P$226="Complete",F2422/12*(Paths!$L$226*(1+IF(Paths!$D$226="EV",'Operating costs'!$B$52,'Operating costs'!$B$51))^MAX(0,C2422-1)+Paths!$M$226*(1+'Operating costs'!$B$53)^MAX(0,C2422-1)),"n.a."))</f>
        <v>0</v>
      </c>
      <c r="I2422" s="16">
        <f>IF(NOT(Paths!$C$226=1),0,IF(Paths!$P$226="Complete",IF(IF(Paths!$E$226=0,C2422=0,AND(C2422&gt;0,Paths!$E$226&gt;(C2422-1)*12,Paths!$E$226&lt;=C2422*12)),Paths!$G$226,0),"n.a."))</f>
        <v>0</v>
      </c>
      <c r="J2422" s="16">
        <f>IF(NOT(Paths!$C$226=1),0,IF(Paths!$P$226="Complete",IF(IF(Paths!$E$226=0,C2422=0,AND(C2422&gt;0,Paths!$E$226&gt;(C2422-1)*12,Paths!$E$226&lt;=C2422*12)),Paths!$H$226,0),"n.a."))</f>
        <v>0</v>
      </c>
      <c r="K2422" s="16">
        <f>IF(NOT(Paths!$C$226=1),0,IF(Paths!$P$226="Complete",IF(IF(Paths!$O$226=0,C2422=0,AND(C2422&gt;0,Paths!$O$226&gt;(C2422-1)*12,Paths!$O$226&lt;=C2422*12)),Paths!$N$226,0),"n.a."))</f>
        <v>0</v>
      </c>
      <c r="L2422" s="16">
        <f>IF(NOT(Paths!$C$226=1),0,IF(Paths!$P$226="Complete",IF(C2422=10,Paths!$I$226,0),"n.a."))</f>
        <v>0</v>
      </c>
      <c r="M2422" s="16">
        <f>IF(NOT(Paths!$C$226=1),0,IF(Paths!$P$226="Complete",IF(AND(Paths!$D$226="EV",Paths!$E$226&lt;120,Paths!$E$226+'Operating costs'!$B$65&gt;Paths!$E$226,Paths!$E$226+'Operating costs'!$B$65&lt;=120,IF(Paths!$E$226+'Operating costs'!$B$65=0,C2422=0,AND(C2422&gt;0,Paths!$E$226+'Operating costs'!$B$65&gt;(C2422-1)*12,Paths!$E$226+'Operating costs'!$B$65&lt;=C2422*12))),'Operating costs'!$B$64,0)+IF(AND('Operating costs'!$B$67&gt;0,'Operating costs'!$B$67&lt;=120,OR(Paths!$D$226="ICE",'Operating costs'!$B$67&lt;=Paths!$E$226),IF('Operating costs'!$B$67=0,C2422=0,AND(C2422&gt;0,'Operating costs'!$B$67&gt;(C2422-1)*12,'Operating costs'!$B$67&lt;=C2422*12))),'Operating costs'!$B$66,0),"n.a."))</f>
        <v>0</v>
      </c>
      <c r="N2422" s="16">
        <f>IF(NOT(Paths!$C$226=1),0,IF(Paths!$P$226="Complete",SUM(G2422:I2422)-J2422-K2422-L2422+M2422+IF(C2422=0,Paths!$F$226,0)+IF(IF(Paths!$E$226=0,C2422=0,AND(C2422&gt;0,Paths!$E$226&gt;(C2422-1)*12,Paths!$E$226&lt;=C2422*12)),VLOOKUP(A2422,'Fleet register'!$A$7:$S$106,16,FALSE),0),"n.a."))</f>
        <v>0</v>
      </c>
      <c r="O2422" s="16">
        <f>IF(NOT(Paths!$C$226=1),0,IF(Paths!$P$226="Complete",N2422-IF(C2422=0,Paths!$F$226,0),"n.a."))</f>
        <v>0</v>
      </c>
      <c r="P2422" s="16">
        <f>IF(NOT(Paths!$C$226=1),0,IF(Paths!$P$226="Complete",O2422+L2422,"n.a."))</f>
        <v>0</v>
      </c>
      <c r="Q2422" s="16">
        <f>IF(NOT(Paths!$C$226=1),0,IF(Paths!$P$226="Complete",N2422*(1+'Operating costs'!$B$54)^-C2422,"n.a."))</f>
        <v>0</v>
      </c>
      <c r="R2422" s="16">
        <f>IF(NOT(Paths!$C$226=1),0,IF(Paths!$P$226="Complete",IF(AND(C2422=0,Paths!$E$226=0),I2422-J2422-K2422+VLOOKUP(A2422,'Fleet register'!$A$7:$S$106,15,FALSE)+VLOOKUP(A2422,'Fleet register'!$A$7:$S$106,16,FALSE),0),"n.a."))</f>
        <v>0</v>
      </c>
      <c r="S2422" s="1">
        <f>IF(NOT(Paths!$C$226=1),0,IF(Paths!$P$226="Complete",IF(C2422=0,0,Paths!$S$226*Paths!$R$226),"n.a."))</f>
        <v>0</v>
      </c>
      <c r="T2422" s="1">
        <f>IF(NOT(Paths!$C$226=1),0,IF(Paths!$P$226="Complete",IF(C2422=0,0,VLOOKUP(A2422,'Fleet register'!$A$7:$S$106,9,FALSE)*Paths!$R$226),"n.a."))</f>
        <v>0</v>
      </c>
    </row>
    <row r="2423" spans="1:20" ht="24" customHeight="1">
      <c r="A2423" s="1" t="str">
        <f>Paths!$A$226</f>
        <v>T055</v>
      </c>
      <c r="B2423" s="1">
        <f>Paths!$B$226</f>
        <v>3</v>
      </c>
      <c r="C2423" s="1">
        <v>7</v>
      </c>
      <c r="D2423" s="1">
        <v>226</v>
      </c>
      <c r="E2423" s="1">
        <f>IF(OR(Paths!$C$226=0,C2423=0),0,MAX(0,MIN(C2423*12,Paths!$E$226)-(C2423-1)*12))</f>
        <v>0</v>
      </c>
      <c r="F2423" s="1">
        <f>IF(OR(Paths!$C$226=0,C2423=0),0,12-E2423)</f>
        <v>0</v>
      </c>
      <c r="G2423" s="16">
        <f>IF(NOT(Paths!$C$226=1),0,IF(Paths!$P$226="Complete",E2423/12*(Paths!$J$226*(1+'Operating costs'!$B$51)^MAX(0,C2423-1)+Paths!$K$226*(1+'Operating costs'!$B$53)^MAX(0,C2423-1)),"n.a."))</f>
        <v>0</v>
      </c>
      <c r="H2423" s="16">
        <f>IF(NOT(Paths!$C$226=1),0,IF(Paths!$P$226="Complete",F2423/12*(Paths!$L$226*(1+IF(Paths!$D$226="EV",'Operating costs'!$B$52,'Operating costs'!$B$51))^MAX(0,C2423-1)+Paths!$M$226*(1+'Operating costs'!$B$53)^MAX(0,C2423-1)),"n.a."))</f>
        <v>0</v>
      </c>
      <c r="I2423" s="16">
        <f>IF(NOT(Paths!$C$226=1),0,IF(Paths!$P$226="Complete",IF(IF(Paths!$E$226=0,C2423=0,AND(C2423&gt;0,Paths!$E$226&gt;(C2423-1)*12,Paths!$E$226&lt;=C2423*12)),Paths!$G$226,0),"n.a."))</f>
        <v>0</v>
      </c>
      <c r="J2423" s="16">
        <f>IF(NOT(Paths!$C$226=1),0,IF(Paths!$P$226="Complete",IF(IF(Paths!$E$226=0,C2423=0,AND(C2423&gt;0,Paths!$E$226&gt;(C2423-1)*12,Paths!$E$226&lt;=C2423*12)),Paths!$H$226,0),"n.a."))</f>
        <v>0</v>
      </c>
      <c r="K2423" s="16">
        <f>IF(NOT(Paths!$C$226=1),0,IF(Paths!$P$226="Complete",IF(IF(Paths!$O$226=0,C2423=0,AND(C2423&gt;0,Paths!$O$226&gt;(C2423-1)*12,Paths!$O$226&lt;=C2423*12)),Paths!$N$226,0),"n.a."))</f>
        <v>0</v>
      </c>
      <c r="L2423" s="16">
        <f>IF(NOT(Paths!$C$226=1),0,IF(Paths!$P$226="Complete",IF(C2423=10,Paths!$I$226,0),"n.a."))</f>
        <v>0</v>
      </c>
      <c r="M2423" s="16">
        <f>IF(NOT(Paths!$C$226=1),0,IF(Paths!$P$226="Complete",IF(AND(Paths!$D$226="EV",Paths!$E$226&lt;120,Paths!$E$226+'Operating costs'!$B$65&gt;Paths!$E$226,Paths!$E$226+'Operating costs'!$B$65&lt;=120,IF(Paths!$E$226+'Operating costs'!$B$65=0,C2423=0,AND(C2423&gt;0,Paths!$E$226+'Operating costs'!$B$65&gt;(C2423-1)*12,Paths!$E$226+'Operating costs'!$B$65&lt;=C2423*12))),'Operating costs'!$B$64,0)+IF(AND('Operating costs'!$B$67&gt;0,'Operating costs'!$B$67&lt;=120,OR(Paths!$D$226="ICE",'Operating costs'!$B$67&lt;=Paths!$E$226),IF('Operating costs'!$B$67=0,C2423=0,AND(C2423&gt;0,'Operating costs'!$B$67&gt;(C2423-1)*12,'Operating costs'!$B$67&lt;=C2423*12))),'Operating costs'!$B$66,0),"n.a."))</f>
        <v>0</v>
      </c>
      <c r="N2423" s="16">
        <f>IF(NOT(Paths!$C$226=1),0,IF(Paths!$P$226="Complete",SUM(G2423:I2423)-J2423-K2423-L2423+M2423+IF(C2423=0,Paths!$F$226,0)+IF(IF(Paths!$E$226=0,C2423=0,AND(C2423&gt;0,Paths!$E$226&gt;(C2423-1)*12,Paths!$E$226&lt;=C2423*12)),VLOOKUP(A2423,'Fleet register'!$A$7:$S$106,16,FALSE),0),"n.a."))</f>
        <v>0</v>
      </c>
      <c r="O2423" s="16">
        <f>IF(NOT(Paths!$C$226=1),0,IF(Paths!$P$226="Complete",N2423-IF(C2423=0,Paths!$F$226,0),"n.a."))</f>
        <v>0</v>
      </c>
      <c r="P2423" s="16">
        <f>IF(NOT(Paths!$C$226=1),0,IF(Paths!$P$226="Complete",O2423+L2423,"n.a."))</f>
        <v>0</v>
      </c>
      <c r="Q2423" s="16">
        <f>IF(NOT(Paths!$C$226=1),0,IF(Paths!$P$226="Complete",N2423*(1+'Operating costs'!$B$54)^-C2423,"n.a."))</f>
        <v>0</v>
      </c>
      <c r="R2423" s="16">
        <f>IF(NOT(Paths!$C$226=1),0,IF(Paths!$P$226="Complete",IF(AND(C2423=0,Paths!$E$226=0),I2423-J2423-K2423+VLOOKUP(A2423,'Fleet register'!$A$7:$S$106,15,FALSE)+VLOOKUP(A2423,'Fleet register'!$A$7:$S$106,16,FALSE),0),"n.a."))</f>
        <v>0</v>
      </c>
      <c r="S2423" s="1">
        <f>IF(NOT(Paths!$C$226=1),0,IF(Paths!$P$226="Complete",IF(C2423=0,0,Paths!$S$226*Paths!$R$226),"n.a."))</f>
        <v>0</v>
      </c>
      <c r="T2423" s="1">
        <f>IF(NOT(Paths!$C$226=1),0,IF(Paths!$P$226="Complete",IF(C2423=0,0,VLOOKUP(A2423,'Fleet register'!$A$7:$S$106,9,FALSE)*Paths!$R$226),"n.a."))</f>
        <v>0</v>
      </c>
    </row>
    <row r="2424" spans="1:20" ht="24" customHeight="1">
      <c r="A2424" s="1" t="str">
        <f>Paths!$A$226</f>
        <v>T055</v>
      </c>
      <c r="B2424" s="1">
        <f>Paths!$B$226</f>
        <v>3</v>
      </c>
      <c r="C2424" s="1">
        <v>8</v>
      </c>
      <c r="D2424" s="1">
        <v>226</v>
      </c>
      <c r="E2424" s="1">
        <f>IF(OR(Paths!$C$226=0,C2424=0),0,MAX(0,MIN(C2424*12,Paths!$E$226)-(C2424-1)*12))</f>
        <v>0</v>
      </c>
      <c r="F2424" s="1">
        <f>IF(OR(Paths!$C$226=0,C2424=0),0,12-E2424)</f>
        <v>0</v>
      </c>
      <c r="G2424" s="16">
        <f>IF(NOT(Paths!$C$226=1),0,IF(Paths!$P$226="Complete",E2424/12*(Paths!$J$226*(1+'Operating costs'!$B$51)^MAX(0,C2424-1)+Paths!$K$226*(1+'Operating costs'!$B$53)^MAX(0,C2424-1)),"n.a."))</f>
        <v>0</v>
      </c>
      <c r="H2424" s="16">
        <f>IF(NOT(Paths!$C$226=1),0,IF(Paths!$P$226="Complete",F2424/12*(Paths!$L$226*(1+IF(Paths!$D$226="EV",'Operating costs'!$B$52,'Operating costs'!$B$51))^MAX(0,C2424-1)+Paths!$M$226*(1+'Operating costs'!$B$53)^MAX(0,C2424-1)),"n.a."))</f>
        <v>0</v>
      </c>
      <c r="I2424" s="16">
        <f>IF(NOT(Paths!$C$226=1),0,IF(Paths!$P$226="Complete",IF(IF(Paths!$E$226=0,C2424=0,AND(C2424&gt;0,Paths!$E$226&gt;(C2424-1)*12,Paths!$E$226&lt;=C2424*12)),Paths!$G$226,0),"n.a."))</f>
        <v>0</v>
      </c>
      <c r="J2424" s="16">
        <f>IF(NOT(Paths!$C$226=1),0,IF(Paths!$P$226="Complete",IF(IF(Paths!$E$226=0,C2424=0,AND(C2424&gt;0,Paths!$E$226&gt;(C2424-1)*12,Paths!$E$226&lt;=C2424*12)),Paths!$H$226,0),"n.a."))</f>
        <v>0</v>
      </c>
      <c r="K2424" s="16">
        <f>IF(NOT(Paths!$C$226=1),0,IF(Paths!$P$226="Complete",IF(IF(Paths!$O$226=0,C2424=0,AND(C2424&gt;0,Paths!$O$226&gt;(C2424-1)*12,Paths!$O$226&lt;=C2424*12)),Paths!$N$226,0),"n.a."))</f>
        <v>0</v>
      </c>
      <c r="L2424" s="16">
        <f>IF(NOT(Paths!$C$226=1),0,IF(Paths!$P$226="Complete",IF(C2424=10,Paths!$I$226,0),"n.a."))</f>
        <v>0</v>
      </c>
      <c r="M2424" s="16">
        <f>IF(NOT(Paths!$C$226=1),0,IF(Paths!$P$226="Complete",IF(AND(Paths!$D$226="EV",Paths!$E$226&lt;120,Paths!$E$226+'Operating costs'!$B$65&gt;Paths!$E$226,Paths!$E$226+'Operating costs'!$B$65&lt;=120,IF(Paths!$E$226+'Operating costs'!$B$65=0,C2424=0,AND(C2424&gt;0,Paths!$E$226+'Operating costs'!$B$65&gt;(C2424-1)*12,Paths!$E$226+'Operating costs'!$B$65&lt;=C2424*12))),'Operating costs'!$B$64,0)+IF(AND('Operating costs'!$B$67&gt;0,'Operating costs'!$B$67&lt;=120,OR(Paths!$D$226="ICE",'Operating costs'!$B$67&lt;=Paths!$E$226),IF('Operating costs'!$B$67=0,C2424=0,AND(C2424&gt;0,'Operating costs'!$B$67&gt;(C2424-1)*12,'Operating costs'!$B$67&lt;=C2424*12))),'Operating costs'!$B$66,0),"n.a."))</f>
        <v>0</v>
      </c>
      <c r="N2424" s="16">
        <f>IF(NOT(Paths!$C$226=1),0,IF(Paths!$P$226="Complete",SUM(G2424:I2424)-J2424-K2424-L2424+M2424+IF(C2424=0,Paths!$F$226,0)+IF(IF(Paths!$E$226=0,C2424=0,AND(C2424&gt;0,Paths!$E$226&gt;(C2424-1)*12,Paths!$E$226&lt;=C2424*12)),VLOOKUP(A2424,'Fleet register'!$A$7:$S$106,16,FALSE),0),"n.a."))</f>
        <v>0</v>
      </c>
      <c r="O2424" s="16">
        <f>IF(NOT(Paths!$C$226=1),0,IF(Paths!$P$226="Complete",N2424-IF(C2424=0,Paths!$F$226,0),"n.a."))</f>
        <v>0</v>
      </c>
      <c r="P2424" s="16">
        <f>IF(NOT(Paths!$C$226=1),0,IF(Paths!$P$226="Complete",O2424+L2424,"n.a."))</f>
        <v>0</v>
      </c>
      <c r="Q2424" s="16">
        <f>IF(NOT(Paths!$C$226=1),0,IF(Paths!$P$226="Complete",N2424*(1+'Operating costs'!$B$54)^-C2424,"n.a."))</f>
        <v>0</v>
      </c>
      <c r="R2424" s="16">
        <f>IF(NOT(Paths!$C$226=1),0,IF(Paths!$P$226="Complete",IF(AND(C2424=0,Paths!$E$226=0),I2424-J2424-K2424+VLOOKUP(A2424,'Fleet register'!$A$7:$S$106,15,FALSE)+VLOOKUP(A2424,'Fleet register'!$A$7:$S$106,16,FALSE),0),"n.a."))</f>
        <v>0</v>
      </c>
      <c r="S2424" s="1">
        <f>IF(NOT(Paths!$C$226=1),0,IF(Paths!$P$226="Complete",IF(C2424=0,0,Paths!$S$226*Paths!$R$226),"n.a."))</f>
        <v>0</v>
      </c>
      <c r="T2424" s="1">
        <f>IF(NOT(Paths!$C$226=1),0,IF(Paths!$P$226="Complete",IF(C2424=0,0,VLOOKUP(A2424,'Fleet register'!$A$7:$S$106,9,FALSE)*Paths!$R$226),"n.a."))</f>
        <v>0</v>
      </c>
    </row>
    <row r="2425" spans="1:20" ht="24" customHeight="1">
      <c r="A2425" s="1" t="str">
        <f>Paths!$A$226</f>
        <v>T055</v>
      </c>
      <c r="B2425" s="1">
        <f>Paths!$B$226</f>
        <v>3</v>
      </c>
      <c r="C2425" s="1">
        <v>9</v>
      </c>
      <c r="D2425" s="1">
        <v>226</v>
      </c>
      <c r="E2425" s="1">
        <f>IF(OR(Paths!$C$226=0,C2425=0),0,MAX(0,MIN(C2425*12,Paths!$E$226)-(C2425-1)*12))</f>
        <v>0</v>
      </c>
      <c r="F2425" s="1">
        <f>IF(OR(Paths!$C$226=0,C2425=0),0,12-E2425)</f>
        <v>0</v>
      </c>
      <c r="G2425" s="16">
        <f>IF(NOT(Paths!$C$226=1),0,IF(Paths!$P$226="Complete",E2425/12*(Paths!$J$226*(1+'Operating costs'!$B$51)^MAX(0,C2425-1)+Paths!$K$226*(1+'Operating costs'!$B$53)^MAX(0,C2425-1)),"n.a."))</f>
        <v>0</v>
      </c>
      <c r="H2425" s="16">
        <f>IF(NOT(Paths!$C$226=1),0,IF(Paths!$P$226="Complete",F2425/12*(Paths!$L$226*(1+IF(Paths!$D$226="EV",'Operating costs'!$B$52,'Operating costs'!$B$51))^MAX(0,C2425-1)+Paths!$M$226*(1+'Operating costs'!$B$53)^MAX(0,C2425-1)),"n.a."))</f>
        <v>0</v>
      </c>
      <c r="I2425" s="16">
        <f>IF(NOT(Paths!$C$226=1),0,IF(Paths!$P$226="Complete",IF(IF(Paths!$E$226=0,C2425=0,AND(C2425&gt;0,Paths!$E$226&gt;(C2425-1)*12,Paths!$E$226&lt;=C2425*12)),Paths!$G$226,0),"n.a."))</f>
        <v>0</v>
      </c>
      <c r="J2425" s="16">
        <f>IF(NOT(Paths!$C$226=1),0,IF(Paths!$P$226="Complete",IF(IF(Paths!$E$226=0,C2425=0,AND(C2425&gt;0,Paths!$E$226&gt;(C2425-1)*12,Paths!$E$226&lt;=C2425*12)),Paths!$H$226,0),"n.a."))</f>
        <v>0</v>
      </c>
      <c r="K2425" s="16">
        <f>IF(NOT(Paths!$C$226=1),0,IF(Paths!$P$226="Complete",IF(IF(Paths!$O$226=0,C2425=0,AND(C2425&gt;0,Paths!$O$226&gt;(C2425-1)*12,Paths!$O$226&lt;=C2425*12)),Paths!$N$226,0),"n.a."))</f>
        <v>0</v>
      </c>
      <c r="L2425" s="16">
        <f>IF(NOT(Paths!$C$226=1),0,IF(Paths!$P$226="Complete",IF(C2425=10,Paths!$I$226,0),"n.a."))</f>
        <v>0</v>
      </c>
      <c r="M2425" s="16">
        <f>IF(NOT(Paths!$C$226=1),0,IF(Paths!$P$226="Complete",IF(AND(Paths!$D$226="EV",Paths!$E$226&lt;120,Paths!$E$226+'Operating costs'!$B$65&gt;Paths!$E$226,Paths!$E$226+'Operating costs'!$B$65&lt;=120,IF(Paths!$E$226+'Operating costs'!$B$65=0,C2425=0,AND(C2425&gt;0,Paths!$E$226+'Operating costs'!$B$65&gt;(C2425-1)*12,Paths!$E$226+'Operating costs'!$B$65&lt;=C2425*12))),'Operating costs'!$B$64,0)+IF(AND('Operating costs'!$B$67&gt;0,'Operating costs'!$B$67&lt;=120,OR(Paths!$D$226="ICE",'Operating costs'!$B$67&lt;=Paths!$E$226),IF('Operating costs'!$B$67=0,C2425=0,AND(C2425&gt;0,'Operating costs'!$B$67&gt;(C2425-1)*12,'Operating costs'!$B$67&lt;=C2425*12))),'Operating costs'!$B$66,0),"n.a."))</f>
        <v>0</v>
      </c>
      <c r="N2425" s="16">
        <f>IF(NOT(Paths!$C$226=1),0,IF(Paths!$P$226="Complete",SUM(G2425:I2425)-J2425-K2425-L2425+M2425+IF(C2425=0,Paths!$F$226,0)+IF(IF(Paths!$E$226=0,C2425=0,AND(C2425&gt;0,Paths!$E$226&gt;(C2425-1)*12,Paths!$E$226&lt;=C2425*12)),VLOOKUP(A2425,'Fleet register'!$A$7:$S$106,16,FALSE),0),"n.a."))</f>
        <v>0</v>
      </c>
      <c r="O2425" s="16">
        <f>IF(NOT(Paths!$C$226=1),0,IF(Paths!$P$226="Complete",N2425-IF(C2425=0,Paths!$F$226,0),"n.a."))</f>
        <v>0</v>
      </c>
      <c r="P2425" s="16">
        <f>IF(NOT(Paths!$C$226=1),0,IF(Paths!$P$226="Complete",O2425+L2425,"n.a."))</f>
        <v>0</v>
      </c>
      <c r="Q2425" s="16">
        <f>IF(NOT(Paths!$C$226=1),0,IF(Paths!$P$226="Complete",N2425*(1+'Operating costs'!$B$54)^-C2425,"n.a."))</f>
        <v>0</v>
      </c>
      <c r="R2425" s="16">
        <f>IF(NOT(Paths!$C$226=1),0,IF(Paths!$P$226="Complete",IF(AND(C2425=0,Paths!$E$226=0),I2425-J2425-K2425+VLOOKUP(A2425,'Fleet register'!$A$7:$S$106,15,FALSE)+VLOOKUP(A2425,'Fleet register'!$A$7:$S$106,16,FALSE),0),"n.a."))</f>
        <v>0</v>
      </c>
      <c r="S2425" s="1">
        <f>IF(NOT(Paths!$C$226=1),0,IF(Paths!$P$226="Complete",IF(C2425=0,0,Paths!$S$226*Paths!$R$226),"n.a."))</f>
        <v>0</v>
      </c>
      <c r="T2425" s="1">
        <f>IF(NOT(Paths!$C$226=1),0,IF(Paths!$P$226="Complete",IF(C2425=0,0,VLOOKUP(A2425,'Fleet register'!$A$7:$S$106,9,FALSE)*Paths!$R$226),"n.a."))</f>
        <v>0</v>
      </c>
    </row>
    <row r="2426" spans="1:20" ht="24" customHeight="1">
      <c r="A2426" s="1" t="str">
        <f>Paths!$A$226</f>
        <v>T055</v>
      </c>
      <c r="B2426" s="1">
        <f>Paths!$B$226</f>
        <v>3</v>
      </c>
      <c r="C2426" s="1">
        <v>10</v>
      </c>
      <c r="D2426" s="1">
        <v>226</v>
      </c>
      <c r="E2426" s="1">
        <f>IF(OR(Paths!$C$226=0,C2426=0),0,MAX(0,MIN(C2426*12,Paths!$E$226)-(C2426-1)*12))</f>
        <v>0</v>
      </c>
      <c r="F2426" s="1">
        <f>IF(OR(Paths!$C$226=0,C2426=0),0,12-E2426)</f>
        <v>0</v>
      </c>
      <c r="G2426" s="16">
        <f>IF(NOT(Paths!$C$226=1),0,IF(Paths!$P$226="Complete",E2426/12*(Paths!$J$226*(1+'Operating costs'!$B$51)^MAX(0,C2426-1)+Paths!$K$226*(1+'Operating costs'!$B$53)^MAX(0,C2426-1)),"n.a."))</f>
        <v>0</v>
      </c>
      <c r="H2426" s="16">
        <f>IF(NOT(Paths!$C$226=1),0,IF(Paths!$P$226="Complete",F2426/12*(Paths!$L$226*(1+IF(Paths!$D$226="EV",'Operating costs'!$B$52,'Operating costs'!$B$51))^MAX(0,C2426-1)+Paths!$M$226*(1+'Operating costs'!$B$53)^MAX(0,C2426-1)),"n.a."))</f>
        <v>0</v>
      </c>
      <c r="I2426" s="16">
        <f>IF(NOT(Paths!$C$226=1),0,IF(Paths!$P$226="Complete",IF(IF(Paths!$E$226=0,C2426=0,AND(C2426&gt;0,Paths!$E$226&gt;(C2426-1)*12,Paths!$E$226&lt;=C2426*12)),Paths!$G$226,0),"n.a."))</f>
        <v>0</v>
      </c>
      <c r="J2426" s="16">
        <f>IF(NOT(Paths!$C$226=1),0,IF(Paths!$P$226="Complete",IF(IF(Paths!$E$226=0,C2426=0,AND(C2426&gt;0,Paths!$E$226&gt;(C2426-1)*12,Paths!$E$226&lt;=C2426*12)),Paths!$H$226,0),"n.a."))</f>
        <v>0</v>
      </c>
      <c r="K2426" s="16">
        <f>IF(NOT(Paths!$C$226=1),0,IF(Paths!$P$226="Complete",IF(IF(Paths!$O$226=0,C2426=0,AND(C2426&gt;0,Paths!$O$226&gt;(C2426-1)*12,Paths!$O$226&lt;=C2426*12)),Paths!$N$226,0),"n.a."))</f>
        <v>0</v>
      </c>
      <c r="L2426" s="16">
        <f>IF(NOT(Paths!$C$226=1),0,IF(Paths!$P$226="Complete",IF(C2426=10,Paths!$I$226,0),"n.a."))</f>
        <v>0</v>
      </c>
      <c r="M2426" s="16">
        <f>IF(NOT(Paths!$C$226=1),0,IF(Paths!$P$226="Complete",IF(AND(Paths!$D$226="EV",Paths!$E$226&lt;120,Paths!$E$226+'Operating costs'!$B$65&gt;Paths!$E$226,Paths!$E$226+'Operating costs'!$B$65&lt;=120,IF(Paths!$E$226+'Operating costs'!$B$65=0,C2426=0,AND(C2426&gt;0,Paths!$E$226+'Operating costs'!$B$65&gt;(C2426-1)*12,Paths!$E$226+'Operating costs'!$B$65&lt;=C2426*12))),'Operating costs'!$B$64,0)+IF(AND('Operating costs'!$B$67&gt;0,'Operating costs'!$B$67&lt;=120,OR(Paths!$D$226="ICE",'Operating costs'!$B$67&lt;=Paths!$E$226),IF('Operating costs'!$B$67=0,C2426=0,AND(C2426&gt;0,'Operating costs'!$B$67&gt;(C2426-1)*12,'Operating costs'!$B$67&lt;=C2426*12))),'Operating costs'!$B$66,0),"n.a."))</f>
        <v>0</v>
      </c>
      <c r="N2426" s="16">
        <f>IF(NOT(Paths!$C$226=1),0,IF(Paths!$P$226="Complete",SUM(G2426:I2426)-J2426-K2426-L2426+M2426+IF(C2426=0,Paths!$F$226,0)+IF(IF(Paths!$E$226=0,C2426=0,AND(C2426&gt;0,Paths!$E$226&gt;(C2426-1)*12,Paths!$E$226&lt;=C2426*12)),VLOOKUP(A2426,'Fleet register'!$A$7:$S$106,16,FALSE),0),"n.a."))</f>
        <v>0</v>
      </c>
      <c r="O2426" s="16">
        <f>IF(NOT(Paths!$C$226=1),0,IF(Paths!$P$226="Complete",N2426-IF(C2426=0,Paths!$F$226,0),"n.a."))</f>
        <v>0</v>
      </c>
      <c r="P2426" s="16">
        <f>IF(NOT(Paths!$C$226=1),0,IF(Paths!$P$226="Complete",O2426+L2426,"n.a."))</f>
        <v>0</v>
      </c>
      <c r="Q2426" s="16">
        <f>IF(NOT(Paths!$C$226=1),0,IF(Paths!$P$226="Complete",N2426*(1+'Operating costs'!$B$54)^-C2426,"n.a."))</f>
        <v>0</v>
      </c>
      <c r="R2426" s="16">
        <f>IF(NOT(Paths!$C$226=1),0,IF(Paths!$P$226="Complete",IF(AND(C2426=0,Paths!$E$226=0),I2426-J2426-K2426+VLOOKUP(A2426,'Fleet register'!$A$7:$S$106,15,FALSE)+VLOOKUP(A2426,'Fleet register'!$A$7:$S$106,16,FALSE),0),"n.a."))</f>
        <v>0</v>
      </c>
      <c r="S2426" s="1">
        <f>IF(NOT(Paths!$C$226=1),0,IF(Paths!$P$226="Complete",IF(C2426=0,0,Paths!$S$226*Paths!$R$226),"n.a."))</f>
        <v>0</v>
      </c>
      <c r="T2426" s="1">
        <f>IF(NOT(Paths!$C$226=1),0,IF(Paths!$P$226="Complete",IF(C2426=0,0,VLOOKUP(A2426,'Fleet register'!$A$7:$S$106,9,FALSE)*Paths!$R$226),"n.a."))</f>
        <v>0</v>
      </c>
    </row>
    <row r="2427" spans="1:20" ht="24" customHeight="1">
      <c r="A2427" s="1" t="str">
        <f>Paths!$A$227</f>
        <v>T056</v>
      </c>
      <c r="B2427" s="1">
        <f>Paths!$B$227</f>
        <v>0</v>
      </c>
      <c r="C2427" s="1">
        <v>0</v>
      </c>
      <c r="D2427" s="1">
        <v>227</v>
      </c>
      <c r="E2427" s="1">
        <f>IF(OR(Paths!$C$227=0,C2427=0),0,MAX(0,MIN(C2427*12,Paths!$E$227)-(C2427-1)*12))</f>
        <v>0</v>
      </c>
      <c r="F2427" s="1">
        <f>IF(OR(Paths!$C$227=0,C2427=0),0,12-E2427)</f>
        <v>0</v>
      </c>
      <c r="G2427" s="16">
        <f>IF(NOT(Paths!$C$227=1),0,IF(Paths!$P$227="Complete",E2427/12*(Paths!$J$227*(1+'Operating costs'!$B$51)^MAX(0,C2427-1)+Paths!$K$227*(1+'Operating costs'!$B$53)^MAX(0,C2427-1)),"n.a."))</f>
        <v>0</v>
      </c>
      <c r="H2427" s="16">
        <f>IF(NOT(Paths!$C$227=1),0,IF(Paths!$P$227="Complete",F2427/12*(Paths!$L$227*(1+IF(Paths!$D$227="EV",'Operating costs'!$B$52,'Operating costs'!$B$51))^MAX(0,C2427-1)+Paths!$M$227*(1+'Operating costs'!$B$53)^MAX(0,C2427-1)),"n.a."))</f>
        <v>0</v>
      </c>
      <c r="I2427" s="16">
        <f>IF(NOT(Paths!$C$227=1),0,IF(Paths!$P$227="Complete",IF(IF(Paths!$E$227=0,C2427=0,AND(C2427&gt;0,Paths!$E$227&gt;(C2427-1)*12,Paths!$E$227&lt;=C2427*12)),Paths!$G$227,0),"n.a."))</f>
        <v>0</v>
      </c>
      <c r="J2427" s="16">
        <f>IF(NOT(Paths!$C$227=1),0,IF(Paths!$P$227="Complete",IF(IF(Paths!$E$227=0,C2427=0,AND(C2427&gt;0,Paths!$E$227&gt;(C2427-1)*12,Paths!$E$227&lt;=C2427*12)),Paths!$H$227,0),"n.a."))</f>
        <v>0</v>
      </c>
      <c r="K2427" s="16">
        <f>IF(NOT(Paths!$C$227=1),0,IF(Paths!$P$227="Complete",IF(IF(Paths!$O$227=0,C2427=0,AND(C2427&gt;0,Paths!$O$227&gt;(C2427-1)*12,Paths!$O$227&lt;=C2427*12)),Paths!$N$227,0),"n.a."))</f>
        <v>0</v>
      </c>
      <c r="L2427" s="16">
        <f>IF(NOT(Paths!$C$227=1),0,IF(Paths!$P$227="Complete",IF(C2427=10,Paths!$I$227,0),"n.a."))</f>
        <v>0</v>
      </c>
      <c r="M2427" s="16">
        <f>IF(NOT(Paths!$C$227=1),0,IF(Paths!$P$227="Complete",IF(AND(Paths!$D$227="EV",Paths!$E$227&lt;120,Paths!$E$227+'Operating costs'!$B$65&gt;Paths!$E$227,Paths!$E$227+'Operating costs'!$B$65&lt;=120,IF(Paths!$E$227+'Operating costs'!$B$65=0,C2427=0,AND(C2427&gt;0,Paths!$E$227+'Operating costs'!$B$65&gt;(C2427-1)*12,Paths!$E$227+'Operating costs'!$B$65&lt;=C2427*12))),'Operating costs'!$B$64,0)+IF(AND('Operating costs'!$B$67&gt;0,'Operating costs'!$B$67&lt;=120,OR(Paths!$D$227="ICE",'Operating costs'!$B$67&lt;=Paths!$E$227),IF('Operating costs'!$B$67=0,C2427=0,AND(C2427&gt;0,'Operating costs'!$B$67&gt;(C2427-1)*12,'Operating costs'!$B$67&lt;=C2427*12))),'Operating costs'!$B$66,0),"n.a."))</f>
        <v>0</v>
      </c>
      <c r="N2427" s="16">
        <f>IF(NOT(Paths!$C$227=1),0,IF(Paths!$P$227="Complete",SUM(G2427:I2427)-J2427-K2427-L2427+M2427+IF(C2427=0,Paths!$F$227,0)+IF(IF(Paths!$E$227=0,C2427=0,AND(C2427&gt;0,Paths!$E$227&gt;(C2427-1)*12,Paths!$E$227&lt;=C2427*12)),VLOOKUP(A2427,'Fleet register'!$A$7:$S$106,16,FALSE),0),"n.a."))</f>
        <v>0</v>
      </c>
      <c r="O2427" s="16">
        <f>IF(NOT(Paths!$C$227=1),0,IF(Paths!$P$227="Complete",N2427-IF(C2427=0,Paths!$F$227,0),"n.a."))</f>
        <v>0</v>
      </c>
      <c r="P2427" s="16">
        <f>IF(NOT(Paths!$C$227=1),0,IF(Paths!$P$227="Complete",O2427+L2427,"n.a."))</f>
        <v>0</v>
      </c>
      <c r="Q2427" s="16">
        <f>IF(NOT(Paths!$C$227=1),0,IF(Paths!$P$227="Complete",N2427*(1+'Operating costs'!$B$54)^-C2427,"n.a."))</f>
        <v>0</v>
      </c>
      <c r="R2427" s="16">
        <f>IF(NOT(Paths!$C$227=1),0,IF(Paths!$P$227="Complete",IF(AND(C2427=0,Paths!$E$227=0),I2427-J2427-K2427+VLOOKUP(A2427,'Fleet register'!$A$7:$S$106,15,FALSE)+VLOOKUP(A2427,'Fleet register'!$A$7:$S$106,16,FALSE),0),"n.a."))</f>
        <v>0</v>
      </c>
      <c r="S2427" s="1">
        <f>IF(NOT(Paths!$C$227=1),0,IF(Paths!$P$227="Complete",IF(C2427=0,0,Paths!$S$227*Paths!$R$227),"n.a."))</f>
        <v>0</v>
      </c>
      <c r="T2427" s="1">
        <f>IF(NOT(Paths!$C$227=1),0,IF(Paths!$P$227="Complete",IF(C2427=0,0,VLOOKUP(A2427,'Fleet register'!$A$7:$S$106,9,FALSE)*Paths!$R$227),"n.a."))</f>
        <v>0</v>
      </c>
    </row>
    <row r="2428" spans="1:20" ht="24" customHeight="1">
      <c r="A2428" s="1" t="str">
        <f>Paths!$A$227</f>
        <v>T056</v>
      </c>
      <c r="B2428" s="1">
        <f>Paths!$B$227</f>
        <v>0</v>
      </c>
      <c r="C2428" s="1">
        <v>1</v>
      </c>
      <c r="D2428" s="1">
        <v>227</v>
      </c>
      <c r="E2428" s="1">
        <f>IF(OR(Paths!$C$227=0,C2428=0),0,MAX(0,MIN(C2428*12,Paths!$E$227)-(C2428-1)*12))</f>
        <v>0</v>
      </c>
      <c r="F2428" s="1">
        <f>IF(OR(Paths!$C$227=0,C2428=0),0,12-E2428)</f>
        <v>0</v>
      </c>
      <c r="G2428" s="16">
        <f>IF(NOT(Paths!$C$227=1),0,IF(Paths!$P$227="Complete",E2428/12*(Paths!$J$227*(1+'Operating costs'!$B$51)^MAX(0,C2428-1)+Paths!$K$227*(1+'Operating costs'!$B$53)^MAX(0,C2428-1)),"n.a."))</f>
        <v>0</v>
      </c>
      <c r="H2428" s="16">
        <f>IF(NOT(Paths!$C$227=1),0,IF(Paths!$P$227="Complete",F2428/12*(Paths!$L$227*(1+IF(Paths!$D$227="EV",'Operating costs'!$B$52,'Operating costs'!$B$51))^MAX(0,C2428-1)+Paths!$M$227*(1+'Operating costs'!$B$53)^MAX(0,C2428-1)),"n.a."))</f>
        <v>0</v>
      </c>
      <c r="I2428" s="16">
        <f>IF(NOT(Paths!$C$227=1),0,IF(Paths!$P$227="Complete",IF(IF(Paths!$E$227=0,C2428=0,AND(C2428&gt;0,Paths!$E$227&gt;(C2428-1)*12,Paths!$E$227&lt;=C2428*12)),Paths!$G$227,0),"n.a."))</f>
        <v>0</v>
      </c>
      <c r="J2428" s="16">
        <f>IF(NOT(Paths!$C$227=1),0,IF(Paths!$P$227="Complete",IF(IF(Paths!$E$227=0,C2428=0,AND(C2428&gt;0,Paths!$E$227&gt;(C2428-1)*12,Paths!$E$227&lt;=C2428*12)),Paths!$H$227,0),"n.a."))</f>
        <v>0</v>
      </c>
      <c r="K2428" s="16">
        <f>IF(NOT(Paths!$C$227=1),0,IF(Paths!$P$227="Complete",IF(IF(Paths!$O$227=0,C2428=0,AND(C2428&gt;0,Paths!$O$227&gt;(C2428-1)*12,Paths!$O$227&lt;=C2428*12)),Paths!$N$227,0),"n.a."))</f>
        <v>0</v>
      </c>
      <c r="L2428" s="16">
        <f>IF(NOT(Paths!$C$227=1),0,IF(Paths!$P$227="Complete",IF(C2428=10,Paths!$I$227,0),"n.a."))</f>
        <v>0</v>
      </c>
      <c r="M2428" s="16">
        <f>IF(NOT(Paths!$C$227=1),0,IF(Paths!$P$227="Complete",IF(AND(Paths!$D$227="EV",Paths!$E$227&lt;120,Paths!$E$227+'Operating costs'!$B$65&gt;Paths!$E$227,Paths!$E$227+'Operating costs'!$B$65&lt;=120,IF(Paths!$E$227+'Operating costs'!$B$65=0,C2428=0,AND(C2428&gt;0,Paths!$E$227+'Operating costs'!$B$65&gt;(C2428-1)*12,Paths!$E$227+'Operating costs'!$B$65&lt;=C2428*12))),'Operating costs'!$B$64,0)+IF(AND('Operating costs'!$B$67&gt;0,'Operating costs'!$B$67&lt;=120,OR(Paths!$D$227="ICE",'Operating costs'!$B$67&lt;=Paths!$E$227),IF('Operating costs'!$B$67=0,C2428=0,AND(C2428&gt;0,'Operating costs'!$B$67&gt;(C2428-1)*12,'Operating costs'!$B$67&lt;=C2428*12))),'Operating costs'!$B$66,0),"n.a."))</f>
        <v>0</v>
      </c>
      <c r="N2428" s="16">
        <f>IF(NOT(Paths!$C$227=1),0,IF(Paths!$P$227="Complete",SUM(G2428:I2428)-J2428-K2428-L2428+M2428+IF(C2428=0,Paths!$F$227,0)+IF(IF(Paths!$E$227=0,C2428=0,AND(C2428&gt;0,Paths!$E$227&gt;(C2428-1)*12,Paths!$E$227&lt;=C2428*12)),VLOOKUP(A2428,'Fleet register'!$A$7:$S$106,16,FALSE),0),"n.a."))</f>
        <v>0</v>
      </c>
      <c r="O2428" s="16">
        <f>IF(NOT(Paths!$C$227=1),0,IF(Paths!$P$227="Complete",N2428-IF(C2428=0,Paths!$F$227,0),"n.a."))</f>
        <v>0</v>
      </c>
      <c r="P2428" s="16">
        <f>IF(NOT(Paths!$C$227=1),0,IF(Paths!$P$227="Complete",O2428+L2428,"n.a."))</f>
        <v>0</v>
      </c>
      <c r="Q2428" s="16">
        <f>IF(NOT(Paths!$C$227=1),0,IF(Paths!$P$227="Complete",N2428*(1+'Operating costs'!$B$54)^-C2428,"n.a."))</f>
        <v>0</v>
      </c>
      <c r="R2428" s="16">
        <f>IF(NOT(Paths!$C$227=1),0,IF(Paths!$P$227="Complete",IF(AND(C2428=0,Paths!$E$227=0),I2428-J2428-K2428+VLOOKUP(A2428,'Fleet register'!$A$7:$S$106,15,FALSE)+VLOOKUP(A2428,'Fleet register'!$A$7:$S$106,16,FALSE),0),"n.a."))</f>
        <v>0</v>
      </c>
      <c r="S2428" s="1">
        <f>IF(NOT(Paths!$C$227=1),0,IF(Paths!$P$227="Complete",IF(C2428=0,0,Paths!$S$227*Paths!$R$227),"n.a."))</f>
        <v>0</v>
      </c>
      <c r="T2428" s="1">
        <f>IF(NOT(Paths!$C$227=1),0,IF(Paths!$P$227="Complete",IF(C2428=0,0,VLOOKUP(A2428,'Fleet register'!$A$7:$S$106,9,FALSE)*Paths!$R$227),"n.a."))</f>
        <v>0</v>
      </c>
    </row>
    <row r="2429" spans="1:20" ht="24" customHeight="1">
      <c r="A2429" s="1" t="str">
        <f>Paths!$A$227</f>
        <v>T056</v>
      </c>
      <c r="B2429" s="1">
        <f>Paths!$B$227</f>
        <v>0</v>
      </c>
      <c r="C2429" s="1">
        <v>2</v>
      </c>
      <c r="D2429" s="1">
        <v>227</v>
      </c>
      <c r="E2429" s="1">
        <f>IF(OR(Paths!$C$227=0,C2429=0),0,MAX(0,MIN(C2429*12,Paths!$E$227)-(C2429-1)*12))</f>
        <v>0</v>
      </c>
      <c r="F2429" s="1">
        <f>IF(OR(Paths!$C$227=0,C2429=0),0,12-E2429)</f>
        <v>0</v>
      </c>
      <c r="G2429" s="16">
        <f>IF(NOT(Paths!$C$227=1),0,IF(Paths!$P$227="Complete",E2429/12*(Paths!$J$227*(1+'Operating costs'!$B$51)^MAX(0,C2429-1)+Paths!$K$227*(1+'Operating costs'!$B$53)^MAX(0,C2429-1)),"n.a."))</f>
        <v>0</v>
      </c>
      <c r="H2429" s="16">
        <f>IF(NOT(Paths!$C$227=1),0,IF(Paths!$P$227="Complete",F2429/12*(Paths!$L$227*(1+IF(Paths!$D$227="EV",'Operating costs'!$B$52,'Operating costs'!$B$51))^MAX(0,C2429-1)+Paths!$M$227*(1+'Operating costs'!$B$53)^MAX(0,C2429-1)),"n.a."))</f>
        <v>0</v>
      </c>
      <c r="I2429" s="16">
        <f>IF(NOT(Paths!$C$227=1),0,IF(Paths!$P$227="Complete",IF(IF(Paths!$E$227=0,C2429=0,AND(C2429&gt;0,Paths!$E$227&gt;(C2429-1)*12,Paths!$E$227&lt;=C2429*12)),Paths!$G$227,0),"n.a."))</f>
        <v>0</v>
      </c>
      <c r="J2429" s="16">
        <f>IF(NOT(Paths!$C$227=1),0,IF(Paths!$P$227="Complete",IF(IF(Paths!$E$227=0,C2429=0,AND(C2429&gt;0,Paths!$E$227&gt;(C2429-1)*12,Paths!$E$227&lt;=C2429*12)),Paths!$H$227,0),"n.a."))</f>
        <v>0</v>
      </c>
      <c r="K2429" s="16">
        <f>IF(NOT(Paths!$C$227=1),0,IF(Paths!$P$227="Complete",IF(IF(Paths!$O$227=0,C2429=0,AND(C2429&gt;0,Paths!$O$227&gt;(C2429-1)*12,Paths!$O$227&lt;=C2429*12)),Paths!$N$227,0),"n.a."))</f>
        <v>0</v>
      </c>
      <c r="L2429" s="16">
        <f>IF(NOT(Paths!$C$227=1),0,IF(Paths!$P$227="Complete",IF(C2429=10,Paths!$I$227,0),"n.a."))</f>
        <v>0</v>
      </c>
      <c r="M2429" s="16">
        <f>IF(NOT(Paths!$C$227=1),0,IF(Paths!$P$227="Complete",IF(AND(Paths!$D$227="EV",Paths!$E$227&lt;120,Paths!$E$227+'Operating costs'!$B$65&gt;Paths!$E$227,Paths!$E$227+'Operating costs'!$B$65&lt;=120,IF(Paths!$E$227+'Operating costs'!$B$65=0,C2429=0,AND(C2429&gt;0,Paths!$E$227+'Operating costs'!$B$65&gt;(C2429-1)*12,Paths!$E$227+'Operating costs'!$B$65&lt;=C2429*12))),'Operating costs'!$B$64,0)+IF(AND('Operating costs'!$B$67&gt;0,'Operating costs'!$B$67&lt;=120,OR(Paths!$D$227="ICE",'Operating costs'!$B$67&lt;=Paths!$E$227),IF('Operating costs'!$B$67=0,C2429=0,AND(C2429&gt;0,'Operating costs'!$B$67&gt;(C2429-1)*12,'Operating costs'!$B$67&lt;=C2429*12))),'Operating costs'!$B$66,0),"n.a."))</f>
        <v>0</v>
      </c>
      <c r="N2429" s="16">
        <f>IF(NOT(Paths!$C$227=1),0,IF(Paths!$P$227="Complete",SUM(G2429:I2429)-J2429-K2429-L2429+M2429+IF(C2429=0,Paths!$F$227,0)+IF(IF(Paths!$E$227=0,C2429=0,AND(C2429&gt;0,Paths!$E$227&gt;(C2429-1)*12,Paths!$E$227&lt;=C2429*12)),VLOOKUP(A2429,'Fleet register'!$A$7:$S$106,16,FALSE),0),"n.a."))</f>
        <v>0</v>
      </c>
      <c r="O2429" s="16">
        <f>IF(NOT(Paths!$C$227=1),0,IF(Paths!$P$227="Complete",N2429-IF(C2429=0,Paths!$F$227,0),"n.a."))</f>
        <v>0</v>
      </c>
      <c r="P2429" s="16">
        <f>IF(NOT(Paths!$C$227=1),0,IF(Paths!$P$227="Complete",O2429+L2429,"n.a."))</f>
        <v>0</v>
      </c>
      <c r="Q2429" s="16">
        <f>IF(NOT(Paths!$C$227=1),0,IF(Paths!$P$227="Complete",N2429*(1+'Operating costs'!$B$54)^-C2429,"n.a."))</f>
        <v>0</v>
      </c>
      <c r="R2429" s="16">
        <f>IF(NOT(Paths!$C$227=1),0,IF(Paths!$P$227="Complete",IF(AND(C2429=0,Paths!$E$227=0),I2429-J2429-K2429+VLOOKUP(A2429,'Fleet register'!$A$7:$S$106,15,FALSE)+VLOOKUP(A2429,'Fleet register'!$A$7:$S$106,16,FALSE),0),"n.a."))</f>
        <v>0</v>
      </c>
      <c r="S2429" s="1">
        <f>IF(NOT(Paths!$C$227=1),0,IF(Paths!$P$227="Complete",IF(C2429=0,0,Paths!$S$227*Paths!$R$227),"n.a."))</f>
        <v>0</v>
      </c>
      <c r="T2429" s="1">
        <f>IF(NOT(Paths!$C$227=1),0,IF(Paths!$P$227="Complete",IF(C2429=0,0,VLOOKUP(A2429,'Fleet register'!$A$7:$S$106,9,FALSE)*Paths!$R$227),"n.a."))</f>
        <v>0</v>
      </c>
    </row>
    <row r="2430" spans="1:20" ht="24" customHeight="1">
      <c r="A2430" s="1" t="str">
        <f>Paths!$A$227</f>
        <v>T056</v>
      </c>
      <c r="B2430" s="1">
        <f>Paths!$B$227</f>
        <v>0</v>
      </c>
      <c r="C2430" s="1">
        <v>3</v>
      </c>
      <c r="D2430" s="1">
        <v>227</v>
      </c>
      <c r="E2430" s="1">
        <f>IF(OR(Paths!$C$227=0,C2430=0),0,MAX(0,MIN(C2430*12,Paths!$E$227)-(C2430-1)*12))</f>
        <v>0</v>
      </c>
      <c r="F2430" s="1">
        <f>IF(OR(Paths!$C$227=0,C2430=0),0,12-E2430)</f>
        <v>0</v>
      </c>
      <c r="G2430" s="16">
        <f>IF(NOT(Paths!$C$227=1),0,IF(Paths!$P$227="Complete",E2430/12*(Paths!$J$227*(1+'Operating costs'!$B$51)^MAX(0,C2430-1)+Paths!$K$227*(1+'Operating costs'!$B$53)^MAX(0,C2430-1)),"n.a."))</f>
        <v>0</v>
      </c>
      <c r="H2430" s="16">
        <f>IF(NOT(Paths!$C$227=1),0,IF(Paths!$P$227="Complete",F2430/12*(Paths!$L$227*(1+IF(Paths!$D$227="EV",'Operating costs'!$B$52,'Operating costs'!$B$51))^MAX(0,C2430-1)+Paths!$M$227*(1+'Operating costs'!$B$53)^MAX(0,C2430-1)),"n.a."))</f>
        <v>0</v>
      </c>
      <c r="I2430" s="16">
        <f>IF(NOT(Paths!$C$227=1),0,IF(Paths!$P$227="Complete",IF(IF(Paths!$E$227=0,C2430=0,AND(C2430&gt;0,Paths!$E$227&gt;(C2430-1)*12,Paths!$E$227&lt;=C2430*12)),Paths!$G$227,0),"n.a."))</f>
        <v>0</v>
      </c>
      <c r="J2430" s="16">
        <f>IF(NOT(Paths!$C$227=1),0,IF(Paths!$P$227="Complete",IF(IF(Paths!$E$227=0,C2430=0,AND(C2430&gt;0,Paths!$E$227&gt;(C2430-1)*12,Paths!$E$227&lt;=C2430*12)),Paths!$H$227,0),"n.a."))</f>
        <v>0</v>
      </c>
      <c r="K2430" s="16">
        <f>IF(NOT(Paths!$C$227=1),0,IF(Paths!$P$227="Complete",IF(IF(Paths!$O$227=0,C2430=0,AND(C2430&gt;0,Paths!$O$227&gt;(C2430-1)*12,Paths!$O$227&lt;=C2430*12)),Paths!$N$227,0),"n.a."))</f>
        <v>0</v>
      </c>
      <c r="L2430" s="16">
        <f>IF(NOT(Paths!$C$227=1),0,IF(Paths!$P$227="Complete",IF(C2430=10,Paths!$I$227,0),"n.a."))</f>
        <v>0</v>
      </c>
      <c r="M2430" s="16">
        <f>IF(NOT(Paths!$C$227=1),0,IF(Paths!$P$227="Complete",IF(AND(Paths!$D$227="EV",Paths!$E$227&lt;120,Paths!$E$227+'Operating costs'!$B$65&gt;Paths!$E$227,Paths!$E$227+'Operating costs'!$B$65&lt;=120,IF(Paths!$E$227+'Operating costs'!$B$65=0,C2430=0,AND(C2430&gt;0,Paths!$E$227+'Operating costs'!$B$65&gt;(C2430-1)*12,Paths!$E$227+'Operating costs'!$B$65&lt;=C2430*12))),'Operating costs'!$B$64,0)+IF(AND('Operating costs'!$B$67&gt;0,'Operating costs'!$B$67&lt;=120,OR(Paths!$D$227="ICE",'Operating costs'!$B$67&lt;=Paths!$E$227),IF('Operating costs'!$B$67=0,C2430=0,AND(C2430&gt;0,'Operating costs'!$B$67&gt;(C2430-1)*12,'Operating costs'!$B$67&lt;=C2430*12))),'Operating costs'!$B$66,0),"n.a."))</f>
        <v>0</v>
      </c>
      <c r="N2430" s="16">
        <f>IF(NOT(Paths!$C$227=1),0,IF(Paths!$P$227="Complete",SUM(G2430:I2430)-J2430-K2430-L2430+M2430+IF(C2430=0,Paths!$F$227,0)+IF(IF(Paths!$E$227=0,C2430=0,AND(C2430&gt;0,Paths!$E$227&gt;(C2430-1)*12,Paths!$E$227&lt;=C2430*12)),VLOOKUP(A2430,'Fleet register'!$A$7:$S$106,16,FALSE),0),"n.a."))</f>
        <v>0</v>
      </c>
      <c r="O2430" s="16">
        <f>IF(NOT(Paths!$C$227=1),0,IF(Paths!$P$227="Complete",N2430-IF(C2430=0,Paths!$F$227,0),"n.a."))</f>
        <v>0</v>
      </c>
      <c r="P2430" s="16">
        <f>IF(NOT(Paths!$C$227=1),0,IF(Paths!$P$227="Complete",O2430+L2430,"n.a."))</f>
        <v>0</v>
      </c>
      <c r="Q2430" s="16">
        <f>IF(NOT(Paths!$C$227=1),0,IF(Paths!$P$227="Complete",N2430*(1+'Operating costs'!$B$54)^-C2430,"n.a."))</f>
        <v>0</v>
      </c>
      <c r="R2430" s="16">
        <f>IF(NOT(Paths!$C$227=1),0,IF(Paths!$P$227="Complete",IF(AND(C2430=0,Paths!$E$227=0),I2430-J2430-K2430+VLOOKUP(A2430,'Fleet register'!$A$7:$S$106,15,FALSE)+VLOOKUP(A2430,'Fleet register'!$A$7:$S$106,16,FALSE),0),"n.a."))</f>
        <v>0</v>
      </c>
      <c r="S2430" s="1">
        <f>IF(NOT(Paths!$C$227=1),0,IF(Paths!$P$227="Complete",IF(C2430=0,0,Paths!$S$227*Paths!$R$227),"n.a."))</f>
        <v>0</v>
      </c>
      <c r="T2430" s="1">
        <f>IF(NOT(Paths!$C$227=1),0,IF(Paths!$P$227="Complete",IF(C2430=0,0,VLOOKUP(A2430,'Fleet register'!$A$7:$S$106,9,FALSE)*Paths!$R$227),"n.a."))</f>
        <v>0</v>
      </c>
    </row>
    <row r="2431" spans="1:20" ht="24" customHeight="1">
      <c r="A2431" s="1" t="str">
        <f>Paths!$A$227</f>
        <v>T056</v>
      </c>
      <c r="B2431" s="1">
        <f>Paths!$B$227</f>
        <v>0</v>
      </c>
      <c r="C2431" s="1">
        <v>4</v>
      </c>
      <c r="D2431" s="1">
        <v>227</v>
      </c>
      <c r="E2431" s="1">
        <f>IF(OR(Paths!$C$227=0,C2431=0),0,MAX(0,MIN(C2431*12,Paths!$E$227)-(C2431-1)*12))</f>
        <v>0</v>
      </c>
      <c r="F2431" s="1">
        <f>IF(OR(Paths!$C$227=0,C2431=0),0,12-E2431)</f>
        <v>0</v>
      </c>
      <c r="G2431" s="16">
        <f>IF(NOT(Paths!$C$227=1),0,IF(Paths!$P$227="Complete",E2431/12*(Paths!$J$227*(1+'Operating costs'!$B$51)^MAX(0,C2431-1)+Paths!$K$227*(1+'Operating costs'!$B$53)^MAX(0,C2431-1)),"n.a."))</f>
        <v>0</v>
      </c>
      <c r="H2431" s="16">
        <f>IF(NOT(Paths!$C$227=1),0,IF(Paths!$P$227="Complete",F2431/12*(Paths!$L$227*(1+IF(Paths!$D$227="EV",'Operating costs'!$B$52,'Operating costs'!$B$51))^MAX(0,C2431-1)+Paths!$M$227*(1+'Operating costs'!$B$53)^MAX(0,C2431-1)),"n.a."))</f>
        <v>0</v>
      </c>
      <c r="I2431" s="16">
        <f>IF(NOT(Paths!$C$227=1),0,IF(Paths!$P$227="Complete",IF(IF(Paths!$E$227=0,C2431=0,AND(C2431&gt;0,Paths!$E$227&gt;(C2431-1)*12,Paths!$E$227&lt;=C2431*12)),Paths!$G$227,0),"n.a."))</f>
        <v>0</v>
      </c>
      <c r="J2431" s="16">
        <f>IF(NOT(Paths!$C$227=1),0,IF(Paths!$P$227="Complete",IF(IF(Paths!$E$227=0,C2431=0,AND(C2431&gt;0,Paths!$E$227&gt;(C2431-1)*12,Paths!$E$227&lt;=C2431*12)),Paths!$H$227,0),"n.a."))</f>
        <v>0</v>
      </c>
      <c r="K2431" s="16">
        <f>IF(NOT(Paths!$C$227=1),0,IF(Paths!$P$227="Complete",IF(IF(Paths!$O$227=0,C2431=0,AND(C2431&gt;0,Paths!$O$227&gt;(C2431-1)*12,Paths!$O$227&lt;=C2431*12)),Paths!$N$227,0),"n.a."))</f>
        <v>0</v>
      </c>
      <c r="L2431" s="16">
        <f>IF(NOT(Paths!$C$227=1),0,IF(Paths!$P$227="Complete",IF(C2431=10,Paths!$I$227,0),"n.a."))</f>
        <v>0</v>
      </c>
      <c r="M2431" s="16">
        <f>IF(NOT(Paths!$C$227=1),0,IF(Paths!$P$227="Complete",IF(AND(Paths!$D$227="EV",Paths!$E$227&lt;120,Paths!$E$227+'Operating costs'!$B$65&gt;Paths!$E$227,Paths!$E$227+'Operating costs'!$B$65&lt;=120,IF(Paths!$E$227+'Operating costs'!$B$65=0,C2431=0,AND(C2431&gt;0,Paths!$E$227+'Operating costs'!$B$65&gt;(C2431-1)*12,Paths!$E$227+'Operating costs'!$B$65&lt;=C2431*12))),'Operating costs'!$B$64,0)+IF(AND('Operating costs'!$B$67&gt;0,'Operating costs'!$B$67&lt;=120,OR(Paths!$D$227="ICE",'Operating costs'!$B$67&lt;=Paths!$E$227),IF('Operating costs'!$B$67=0,C2431=0,AND(C2431&gt;0,'Operating costs'!$B$67&gt;(C2431-1)*12,'Operating costs'!$B$67&lt;=C2431*12))),'Operating costs'!$B$66,0),"n.a."))</f>
        <v>0</v>
      </c>
      <c r="N2431" s="16">
        <f>IF(NOT(Paths!$C$227=1),0,IF(Paths!$P$227="Complete",SUM(G2431:I2431)-J2431-K2431-L2431+M2431+IF(C2431=0,Paths!$F$227,0)+IF(IF(Paths!$E$227=0,C2431=0,AND(C2431&gt;0,Paths!$E$227&gt;(C2431-1)*12,Paths!$E$227&lt;=C2431*12)),VLOOKUP(A2431,'Fleet register'!$A$7:$S$106,16,FALSE),0),"n.a."))</f>
        <v>0</v>
      </c>
      <c r="O2431" s="16">
        <f>IF(NOT(Paths!$C$227=1),0,IF(Paths!$P$227="Complete",N2431-IF(C2431=0,Paths!$F$227,0),"n.a."))</f>
        <v>0</v>
      </c>
      <c r="P2431" s="16">
        <f>IF(NOT(Paths!$C$227=1),0,IF(Paths!$P$227="Complete",O2431+L2431,"n.a."))</f>
        <v>0</v>
      </c>
      <c r="Q2431" s="16">
        <f>IF(NOT(Paths!$C$227=1),0,IF(Paths!$P$227="Complete",N2431*(1+'Operating costs'!$B$54)^-C2431,"n.a."))</f>
        <v>0</v>
      </c>
      <c r="R2431" s="16">
        <f>IF(NOT(Paths!$C$227=1),0,IF(Paths!$P$227="Complete",IF(AND(C2431=0,Paths!$E$227=0),I2431-J2431-K2431+VLOOKUP(A2431,'Fleet register'!$A$7:$S$106,15,FALSE)+VLOOKUP(A2431,'Fleet register'!$A$7:$S$106,16,FALSE),0),"n.a."))</f>
        <v>0</v>
      </c>
      <c r="S2431" s="1">
        <f>IF(NOT(Paths!$C$227=1),0,IF(Paths!$P$227="Complete",IF(C2431=0,0,Paths!$S$227*Paths!$R$227),"n.a."))</f>
        <v>0</v>
      </c>
      <c r="T2431" s="1">
        <f>IF(NOT(Paths!$C$227=1),0,IF(Paths!$P$227="Complete",IF(C2431=0,0,VLOOKUP(A2431,'Fleet register'!$A$7:$S$106,9,FALSE)*Paths!$R$227),"n.a."))</f>
        <v>0</v>
      </c>
    </row>
    <row r="2432" spans="1:20" ht="24" customHeight="1">
      <c r="A2432" s="1" t="str">
        <f>Paths!$A$227</f>
        <v>T056</v>
      </c>
      <c r="B2432" s="1">
        <f>Paths!$B$227</f>
        <v>0</v>
      </c>
      <c r="C2432" s="1">
        <v>5</v>
      </c>
      <c r="D2432" s="1">
        <v>227</v>
      </c>
      <c r="E2432" s="1">
        <f>IF(OR(Paths!$C$227=0,C2432=0),0,MAX(0,MIN(C2432*12,Paths!$E$227)-(C2432-1)*12))</f>
        <v>0</v>
      </c>
      <c r="F2432" s="1">
        <f>IF(OR(Paths!$C$227=0,C2432=0),0,12-E2432)</f>
        <v>0</v>
      </c>
      <c r="G2432" s="16">
        <f>IF(NOT(Paths!$C$227=1),0,IF(Paths!$P$227="Complete",E2432/12*(Paths!$J$227*(1+'Operating costs'!$B$51)^MAX(0,C2432-1)+Paths!$K$227*(1+'Operating costs'!$B$53)^MAX(0,C2432-1)),"n.a."))</f>
        <v>0</v>
      </c>
      <c r="H2432" s="16">
        <f>IF(NOT(Paths!$C$227=1),0,IF(Paths!$P$227="Complete",F2432/12*(Paths!$L$227*(1+IF(Paths!$D$227="EV",'Operating costs'!$B$52,'Operating costs'!$B$51))^MAX(0,C2432-1)+Paths!$M$227*(1+'Operating costs'!$B$53)^MAX(0,C2432-1)),"n.a."))</f>
        <v>0</v>
      </c>
      <c r="I2432" s="16">
        <f>IF(NOT(Paths!$C$227=1),0,IF(Paths!$P$227="Complete",IF(IF(Paths!$E$227=0,C2432=0,AND(C2432&gt;0,Paths!$E$227&gt;(C2432-1)*12,Paths!$E$227&lt;=C2432*12)),Paths!$G$227,0),"n.a."))</f>
        <v>0</v>
      </c>
      <c r="J2432" s="16">
        <f>IF(NOT(Paths!$C$227=1),0,IF(Paths!$P$227="Complete",IF(IF(Paths!$E$227=0,C2432=0,AND(C2432&gt;0,Paths!$E$227&gt;(C2432-1)*12,Paths!$E$227&lt;=C2432*12)),Paths!$H$227,0),"n.a."))</f>
        <v>0</v>
      </c>
      <c r="K2432" s="16">
        <f>IF(NOT(Paths!$C$227=1),0,IF(Paths!$P$227="Complete",IF(IF(Paths!$O$227=0,C2432=0,AND(C2432&gt;0,Paths!$O$227&gt;(C2432-1)*12,Paths!$O$227&lt;=C2432*12)),Paths!$N$227,0),"n.a."))</f>
        <v>0</v>
      </c>
      <c r="L2432" s="16">
        <f>IF(NOT(Paths!$C$227=1),0,IF(Paths!$P$227="Complete",IF(C2432=10,Paths!$I$227,0),"n.a."))</f>
        <v>0</v>
      </c>
      <c r="M2432" s="16">
        <f>IF(NOT(Paths!$C$227=1),0,IF(Paths!$P$227="Complete",IF(AND(Paths!$D$227="EV",Paths!$E$227&lt;120,Paths!$E$227+'Operating costs'!$B$65&gt;Paths!$E$227,Paths!$E$227+'Operating costs'!$B$65&lt;=120,IF(Paths!$E$227+'Operating costs'!$B$65=0,C2432=0,AND(C2432&gt;0,Paths!$E$227+'Operating costs'!$B$65&gt;(C2432-1)*12,Paths!$E$227+'Operating costs'!$B$65&lt;=C2432*12))),'Operating costs'!$B$64,0)+IF(AND('Operating costs'!$B$67&gt;0,'Operating costs'!$B$67&lt;=120,OR(Paths!$D$227="ICE",'Operating costs'!$B$67&lt;=Paths!$E$227),IF('Operating costs'!$B$67=0,C2432=0,AND(C2432&gt;0,'Operating costs'!$B$67&gt;(C2432-1)*12,'Operating costs'!$B$67&lt;=C2432*12))),'Operating costs'!$B$66,0),"n.a."))</f>
        <v>0</v>
      </c>
      <c r="N2432" s="16">
        <f>IF(NOT(Paths!$C$227=1),0,IF(Paths!$P$227="Complete",SUM(G2432:I2432)-J2432-K2432-L2432+M2432+IF(C2432=0,Paths!$F$227,0)+IF(IF(Paths!$E$227=0,C2432=0,AND(C2432&gt;0,Paths!$E$227&gt;(C2432-1)*12,Paths!$E$227&lt;=C2432*12)),VLOOKUP(A2432,'Fleet register'!$A$7:$S$106,16,FALSE),0),"n.a."))</f>
        <v>0</v>
      </c>
      <c r="O2432" s="16">
        <f>IF(NOT(Paths!$C$227=1),0,IF(Paths!$P$227="Complete",N2432-IF(C2432=0,Paths!$F$227,0),"n.a."))</f>
        <v>0</v>
      </c>
      <c r="P2432" s="16">
        <f>IF(NOT(Paths!$C$227=1),0,IF(Paths!$P$227="Complete",O2432+L2432,"n.a."))</f>
        <v>0</v>
      </c>
      <c r="Q2432" s="16">
        <f>IF(NOT(Paths!$C$227=1),0,IF(Paths!$P$227="Complete",N2432*(1+'Operating costs'!$B$54)^-C2432,"n.a."))</f>
        <v>0</v>
      </c>
      <c r="R2432" s="16">
        <f>IF(NOT(Paths!$C$227=1),0,IF(Paths!$P$227="Complete",IF(AND(C2432=0,Paths!$E$227=0),I2432-J2432-K2432+VLOOKUP(A2432,'Fleet register'!$A$7:$S$106,15,FALSE)+VLOOKUP(A2432,'Fleet register'!$A$7:$S$106,16,FALSE),0),"n.a."))</f>
        <v>0</v>
      </c>
      <c r="S2432" s="1">
        <f>IF(NOT(Paths!$C$227=1),0,IF(Paths!$P$227="Complete",IF(C2432=0,0,Paths!$S$227*Paths!$R$227),"n.a."))</f>
        <v>0</v>
      </c>
      <c r="T2432" s="1">
        <f>IF(NOT(Paths!$C$227=1),0,IF(Paths!$P$227="Complete",IF(C2432=0,0,VLOOKUP(A2432,'Fleet register'!$A$7:$S$106,9,FALSE)*Paths!$R$227),"n.a."))</f>
        <v>0</v>
      </c>
    </row>
    <row r="2433" spans="1:20" ht="24" customHeight="1">
      <c r="A2433" s="1" t="str">
        <f>Paths!$A$227</f>
        <v>T056</v>
      </c>
      <c r="B2433" s="1">
        <f>Paths!$B$227</f>
        <v>0</v>
      </c>
      <c r="C2433" s="1">
        <v>6</v>
      </c>
      <c r="D2433" s="1">
        <v>227</v>
      </c>
      <c r="E2433" s="1">
        <f>IF(OR(Paths!$C$227=0,C2433=0),0,MAX(0,MIN(C2433*12,Paths!$E$227)-(C2433-1)*12))</f>
        <v>0</v>
      </c>
      <c r="F2433" s="1">
        <f>IF(OR(Paths!$C$227=0,C2433=0),0,12-E2433)</f>
        <v>0</v>
      </c>
      <c r="G2433" s="16">
        <f>IF(NOT(Paths!$C$227=1),0,IF(Paths!$P$227="Complete",E2433/12*(Paths!$J$227*(1+'Operating costs'!$B$51)^MAX(0,C2433-1)+Paths!$K$227*(1+'Operating costs'!$B$53)^MAX(0,C2433-1)),"n.a."))</f>
        <v>0</v>
      </c>
      <c r="H2433" s="16">
        <f>IF(NOT(Paths!$C$227=1),0,IF(Paths!$P$227="Complete",F2433/12*(Paths!$L$227*(1+IF(Paths!$D$227="EV",'Operating costs'!$B$52,'Operating costs'!$B$51))^MAX(0,C2433-1)+Paths!$M$227*(1+'Operating costs'!$B$53)^MAX(0,C2433-1)),"n.a."))</f>
        <v>0</v>
      </c>
      <c r="I2433" s="16">
        <f>IF(NOT(Paths!$C$227=1),0,IF(Paths!$P$227="Complete",IF(IF(Paths!$E$227=0,C2433=0,AND(C2433&gt;0,Paths!$E$227&gt;(C2433-1)*12,Paths!$E$227&lt;=C2433*12)),Paths!$G$227,0),"n.a."))</f>
        <v>0</v>
      </c>
      <c r="J2433" s="16">
        <f>IF(NOT(Paths!$C$227=1),0,IF(Paths!$P$227="Complete",IF(IF(Paths!$E$227=0,C2433=0,AND(C2433&gt;0,Paths!$E$227&gt;(C2433-1)*12,Paths!$E$227&lt;=C2433*12)),Paths!$H$227,0),"n.a."))</f>
        <v>0</v>
      </c>
      <c r="K2433" s="16">
        <f>IF(NOT(Paths!$C$227=1),0,IF(Paths!$P$227="Complete",IF(IF(Paths!$O$227=0,C2433=0,AND(C2433&gt;0,Paths!$O$227&gt;(C2433-1)*12,Paths!$O$227&lt;=C2433*12)),Paths!$N$227,0),"n.a."))</f>
        <v>0</v>
      </c>
      <c r="L2433" s="16">
        <f>IF(NOT(Paths!$C$227=1),0,IF(Paths!$P$227="Complete",IF(C2433=10,Paths!$I$227,0),"n.a."))</f>
        <v>0</v>
      </c>
      <c r="M2433" s="16">
        <f>IF(NOT(Paths!$C$227=1),0,IF(Paths!$P$227="Complete",IF(AND(Paths!$D$227="EV",Paths!$E$227&lt;120,Paths!$E$227+'Operating costs'!$B$65&gt;Paths!$E$227,Paths!$E$227+'Operating costs'!$B$65&lt;=120,IF(Paths!$E$227+'Operating costs'!$B$65=0,C2433=0,AND(C2433&gt;0,Paths!$E$227+'Operating costs'!$B$65&gt;(C2433-1)*12,Paths!$E$227+'Operating costs'!$B$65&lt;=C2433*12))),'Operating costs'!$B$64,0)+IF(AND('Operating costs'!$B$67&gt;0,'Operating costs'!$B$67&lt;=120,OR(Paths!$D$227="ICE",'Operating costs'!$B$67&lt;=Paths!$E$227),IF('Operating costs'!$B$67=0,C2433=0,AND(C2433&gt;0,'Operating costs'!$B$67&gt;(C2433-1)*12,'Operating costs'!$B$67&lt;=C2433*12))),'Operating costs'!$B$66,0),"n.a."))</f>
        <v>0</v>
      </c>
      <c r="N2433" s="16">
        <f>IF(NOT(Paths!$C$227=1),0,IF(Paths!$P$227="Complete",SUM(G2433:I2433)-J2433-K2433-L2433+M2433+IF(C2433=0,Paths!$F$227,0)+IF(IF(Paths!$E$227=0,C2433=0,AND(C2433&gt;0,Paths!$E$227&gt;(C2433-1)*12,Paths!$E$227&lt;=C2433*12)),VLOOKUP(A2433,'Fleet register'!$A$7:$S$106,16,FALSE),0),"n.a."))</f>
        <v>0</v>
      </c>
      <c r="O2433" s="16">
        <f>IF(NOT(Paths!$C$227=1),0,IF(Paths!$P$227="Complete",N2433-IF(C2433=0,Paths!$F$227,0),"n.a."))</f>
        <v>0</v>
      </c>
      <c r="P2433" s="16">
        <f>IF(NOT(Paths!$C$227=1),0,IF(Paths!$P$227="Complete",O2433+L2433,"n.a."))</f>
        <v>0</v>
      </c>
      <c r="Q2433" s="16">
        <f>IF(NOT(Paths!$C$227=1),0,IF(Paths!$P$227="Complete",N2433*(1+'Operating costs'!$B$54)^-C2433,"n.a."))</f>
        <v>0</v>
      </c>
      <c r="R2433" s="16">
        <f>IF(NOT(Paths!$C$227=1),0,IF(Paths!$P$227="Complete",IF(AND(C2433=0,Paths!$E$227=0),I2433-J2433-K2433+VLOOKUP(A2433,'Fleet register'!$A$7:$S$106,15,FALSE)+VLOOKUP(A2433,'Fleet register'!$A$7:$S$106,16,FALSE),0),"n.a."))</f>
        <v>0</v>
      </c>
      <c r="S2433" s="1">
        <f>IF(NOT(Paths!$C$227=1),0,IF(Paths!$P$227="Complete",IF(C2433=0,0,Paths!$S$227*Paths!$R$227),"n.a."))</f>
        <v>0</v>
      </c>
      <c r="T2433" s="1">
        <f>IF(NOT(Paths!$C$227=1),0,IF(Paths!$P$227="Complete",IF(C2433=0,0,VLOOKUP(A2433,'Fleet register'!$A$7:$S$106,9,FALSE)*Paths!$R$227),"n.a."))</f>
        <v>0</v>
      </c>
    </row>
    <row r="2434" spans="1:20" ht="24" customHeight="1">
      <c r="A2434" s="1" t="str">
        <f>Paths!$A$227</f>
        <v>T056</v>
      </c>
      <c r="B2434" s="1">
        <f>Paths!$B$227</f>
        <v>0</v>
      </c>
      <c r="C2434" s="1">
        <v>7</v>
      </c>
      <c r="D2434" s="1">
        <v>227</v>
      </c>
      <c r="E2434" s="1">
        <f>IF(OR(Paths!$C$227=0,C2434=0),0,MAX(0,MIN(C2434*12,Paths!$E$227)-(C2434-1)*12))</f>
        <v>0</v>
      </c>
      <c r="F2434" s="1">
        <f>IF(OR(Paths!$C$227=0,C2434=0),0,12-E2434)</f>
        <v>0</v>
      </c>
      <c r="G2434" s="16">
        <f>IF(NOT(Paths!$C$227=1),0,IF(Paths!$P$227="Complete",E2434/12*(Paths!$J$227*(1+'Operating costs'!$B$51)^MAX(0,C2434-1)+Paths!$K$227*(1+'Operating costs'!$B$53)^MAX(0,C2434-1)),"n.a."))</f>
        <v>0</v>
      </c>
      <c r="H2434" s="16">
        <f>IF(NOT(Paths!$C$227=1),0,IF(Paths!$P$227="Complete",F2434/12*(Paths!$L$227*(1+IF(Paths!$D$227="EV",'Operating costs'!$B$52,'Operating costs'!$B$51))^MAX(0,C2434-1)+Paths!$M$227*(1+'Operating costs'!$B$53)^MAX(0,C2434-1)),"n.a."))</f>
        <v>0</v>
      </c>
      <c r="I2434" s="16">
        <f>IF(NOT(Paths!$C$227=1),0,IF(Paths!$P$227="Complete",IF(IF(Paths!$E$227=0,C2434=0,AND(C2434&gt;0,Paths!$E$227&gt;(C2434-1)*12,Paths!$E$227&lt;=C2434*12)),Paths!$G$227,0),"n.a."))</f>
        <v>0</v>
      </c>
      <c r="J2434" s="16">
        <f>IF(NOT(Paths!$C$227=1),0,IF(Paths!$P$227="Complete",IF(IF(Paths!$E$227=0,C2434=0,AND(C2434&gt;0,Paths!$E$227&gt;(C2434-1)*12,Paths!$E$227&lt;=C2434*12)),Paths!$H$227,0),"n.a."))</f>
        <v>0</v>
      </c>
      <c r="K2434" s="16">
        <f>IF(NOT(Paths!$C$227=1),0,IF(Paths!$P$227="Complete",IF(IF(Paths!$O$227=0,C2434=0,AND(C2434&gt;0,Paths!$O$227&gt;(C2434-1)*12,Paths!$O$227&lt;=C2434*12)),Paths!$N$227,0),"n.a."))</f>
        <v>0</v>
      </c>
      <c r="L2434" s="16">
        <f>IF(NOT(Paths!$C$227=1),0,IF(Paths!$P$227="Complete",IF(C2434=10,Paths!$I$227,0),"n.a."))</f>
        <v>0</v>
      </c>
      <c r="M2434" s="16">
        <f>IF(NOT(Paths!$C$227=1),0,IF(Paths!$P$227="Complete",IF(AND(Paths!$D$227="EV",Paths!$E$227&lt;120,Paths!$E$227+'Operating costs'!$B$65&gt;Paths!$E$227,Paths!$E$227+'Operating costs'!$B$65&lt;=120,IF(Paths!$E$227+'Operating costs'!$B$65=0,C2434=0,AND(C2434&gt;0,Paths!$E$227+'Operating costs'!$B$65&gt;(C2434-1)*12,Paths!$E$227+'Operating costs'!$B$65&lt;=C2434*12))),'Operating costs'!$B$64,0)+IF(AND('Operating costs'!$B$67&gt;0,'Operating costs'!$B$67&lt;=120,OR(Paths!$D$227="ICE",'Operating costs'!$B$67&lt;=Paths!$E$227),IF('Operating costs'!$B$67=0,C2434=0,AND(C2434&gt;0,'Operating costs'!$B$67&gt;(C2434-1)*12,'Operating costs'!$B$67&lt;=C2434*12))),'Operating costs'!$B$66,0),"n.a."))</f>
        <v>0</v>
      </c>
      <c r="N2434" s="16">
        <f>IF(NOT(Paths!$C$227=1),0,IF(Paths!$P$227="Complete",SUM(G2434:I2434)-J2434-K2434-L2434+M2434+IF(C2434=0,Paths!$F$227,0)+IF(IF(Paths!$E$227=0,C2434=0,AND(C2434&gt;0,Paths!$E$227&gt;(C2434-1)*12,Paths!$E$227&lt;=C2434*12)),VLOOKUP(A2434,'Fleet register'!$A$7:$S$106,16,FALSE),0),"n.a."))</f>
        <v>0</v>
      </c>
      <c r="O2434" s="16">
        <f>IF(NOT(Paths!$C$227=1),0,IF(Paths!$P$227="Complete",N2434-IF(C2434=0,Paths!$F$227,0),"n.a."))</f>
        <v>0</v>
      </c>
      <c r="P2434" s="16">
        <f>IF(NOT(Paths!$C$227=1),0,IF(Paths!$P$227="Complete",O2434+L2434,"n.a."))</f>
        <v>0</v>
      </c>
      <c r="Q2434" s="16">
        <f>IF(NOT(Paths!$C$227=1),0,IF(Paths!$P$227="Complete",N2434*(1+'Operating costs'!$B$54)^-C2434,"n.a."))</f>
        <v>0</v>
      </c>
      <c r="R2434" s="16">
        <f>IF(NOT(Paths!$C$227=1),0,IF(Paths!$P$227="Complete",IF(AND(C2434=0,Paths!$E$227=0),I2434-J2434-K2434+VLOOKUP(A2434,'Fleet register'!$A$7:$S$106,15,FALSE)+VLOOKUP(A2434,'Fleet register'!$A$7:$S$106,16,FALSE),0),"n.a."))</f>
        <v>0</v>
      </c>
      <c r="S2434" s="1">
        <f>IF(NOT(Paths!$C$227=1),0,IF(Paths!$P$227="Complete",IF(C2434=0,0,Paths!$S$227*Paths!$R$227),"n.a."))</f>
        <v>0</v>
      </c>
      <c r="T2434" s="1">
        <f>IF(NOT(Paths!$C$227=1),0,IF(Paths!$P$227="Complete",IF(C2434=0,0,VLOOKUP(A2434,'Fleet register'!$A$7:$S$106,9,FALSE)*Paths!$R$227),"n.a."))</f>
        <v>0</v>
      </c>
    </row>
    <row r="2435" spans="1:20" ht="24" customHeight="1">
      <c r="A2435" s="1" t="str">
        <f>Paths!$A$227</f>
        <v>T056</v>
      </c>
      <c r="B2435" s="1">
        <f>Paths!$B$227</f>
        <v>0</v>
      </c>
      <c r="C2435" s="1">
        <v>8</v>
      </c>
      <c r="D2435" s="1">
        <v>227</v>
      </c>
      <c r="E2435" s="1">
        <f>IF(OR(Paths!$C$227=0,C2435=0),0,MAX(0,MIN(C2435*12,Paths!$E$227)-(C2435-1)*12))</f>
        <v>0</v>
      </c>
      <c r="F2435" s="1">
        <f>IF(OR(Paths!$C$227=0,C2435=0),0,12-E2435)</f>
        <v>0</v>
      </c>
      <c r="G2435" s="16">
        <f>IF(NOT(Paths!$C$227=1),0,IF(Paths!$P$227="Complete",E2435/12*(Paths!$J$227*(1+'Operating costs'!$B$51)^MAX(0,C2435-1)+Paths!$K$227*(1+'Operating costs'!$B$53)^MAX(0,C2435-1)),"n.a."))</f>
        <v>0</v>
      </c>
      <c r="H2435" s="16">
        <f>IF(NOT(Paths!$C$227=1),0,IF(Paths!$P$227="Complete",F2435/12*(Paths!$L$227*(1+IF(Paths!$D$227="EV",'Operating costs'!$B$52,'Operating costs'!$B$51))^MAX(0,C2435-1)+Paths!$M$227*(1+'Operating costs'!$B$53)^MAX(0,C2435-1)),"n.a."))</f>
        <v>0</v>
      </c>
      <c r="I2435" s="16">
        <f>IF(NOT(Paths!$C$227=1),0,IF(Paths!$P$227="Complete",IF(IF(Paths!$E$227=0,C2435=0,AND(C2435&gt;0,Paths!$E$227&gt;(C2435-1)*12,Paths!$E$227&lt;=C2435*12)),Paths!$G$227,0),"n.a."))</f>
        <v>0</v>
      </c>
      <c r="J2435" s="16">
        <f>IF(NOT(Paths!$C$227=1),0,IF(Paths!$P$227="Complete",IF(IF(Paths!$E$227=0,C2435=0,AND(C2435&gt;0,Paths!$E$227&gt;(C2435-1)*12,Paths!$E$227&lt;=C2435*12)),Paths!$H$227,0),"n.a."))</f>
        <v>0</v>
      </c>
      <c r="K2435" s="16">
        <f>IF(NOT(Paths!$C$227=1),0,IF(Paths!$P$227="Complete",IF(IF(Paths!$O$227=0,C2435=0,AND(C2435&gt;0,Paths!$O$227&gt;(C2435-1)*12,Paths!$O$227&lt;=C2435*12)),Paths!$N$227,0),"n.a."))</f>
        <v>0</v>
      </c>
      <c r="L2435" s="16">
        <f>IF(NOT(Paths!$C$227=1),0,IF(Paths!$P$227="Complete",IF(C2435=10,Paths!$I$227,0),"n.a."))</f>
        <v>0</v>
      </c>
      <c r="M2435" s="16">
        <f>IF(NOT(Paths!$C$227=1),0,IF(Paths!$P$227="Complete",IF(AND(Paths!$D$227="EV",Paths!$E$227&lt;120,Paths!$E$227+'Operating costs'!$B$65&gt;Paths!$E$227,Paths!$E$227+'Operating costs'!$B$65&lt;=120,IF(Paths!$E$227+'Operating costs'!$B$65=0,C2435=0,AND(C2435&gt;0,Paths!$E$227+'Operating costs'!$B$65&gt;(C2435-1)*12,Paths!$E$227+'Operating costs'!$B$65&lt;=C2435*12))),'Operating costs'!$B$64,0)+IF(AND('Operating costs'!$B$67&gt;0,'Operating costs'!$B$67&lt;=120,OR(Paths!$D$227="ICE",'Operating costs'!$B$67&lt;=Paths!$E$227),IF('Operating costs'!$B$67=0,C2435=0,AND(C2435&gt;0,'Operating costs'!$B$67&gt;(C2435-1)*12,'Operating costs'!$B$67&lt;=C2435*12))),'Operating costs'!$B$66,0),"n.a."))</f>
        <v>0</v>
      </c>
      <c r="N2435" s="16">
        <f>IF(NOT(Paths!$C$227=1),0,IF(Paths!$P$227="Complete",SUM(G2435:I2435)-J2435-K2435-L2435+M2435+IF(C2435=0,Paths!$F$227,0)+IF(IF(Paths!$E$227=0,C2435=0,AND(C2435&gt;0,Paths!$E$227&gt;(C2435-1)*12,Paths!$E$227&lt;=C2435*12)),VLOOKUP(A2435,'Fleet register'!$A$7:$S$106,16,FALSE),0),"n.a."))</f>
        <v>0</v>
      </c>
      <c r="O2435" s="16">
        <f>IF(NOT(Paths!$C$227=1),0,IF(Paths!$P$227="Complete",N2435-IF(C2435=0,Paths!$F$227,0),"n.a."))</f>
        <v>0</v>
      </c>
      <c r="P2435" s="16">
        <f>IF(NOT(Paths!$C$227=1),0,IF(Paths!$P$227="Complete",O2435+L2435,"n.a."))</f>
        <v>0</v>
      </c>
      <c r="Q2435" s="16">
        <f>IF(NOT(Paths!$C$227=1),0,IF(Paths!$P$227="Complete",N2435*(1+'Operating costs'!$B$54)^-C2435,"n.a."))</f>
        <v>0</v>
      </c>
      <c r="R2435" s="16">
        <f>IF(NOT(Paths!$C$227=1),0,IF(Paths!$P$227="Complete",IF(AND(C2435=0,Paths!$E$227=0),I2435-J2435-K2435+VLOOKUP(A2435,'Fleet register'!$A$7:$S$106,15,FALSE)+VLOOKUP(A2435,'Fleet register'!$A$7:$S$106,16,FALSE),0),"n.a."))</f>
        <v>0</v>
      </c>
      <c r="S2435" s="1">
        <f>IF(NOT(Paths!$C$227=1),0,IF(Paths!$P$227="Complete",IF(C2435=0,0,Paths!$S$227*Paths!$R$227),"n.a."))</f>
        <v>0</v>
      </c>
      <c r="T2435" s="1">
        <f>IF(NOT(Paths!$C$227=1),0,IF(Paths!$P$227="Complete",IF(C2435=0,0,VLOOKUP(A2435,'Fleet register'!$A$7:$S$106,9,FALSE)*Paths!$R$227),"n.a."))</f>
        <v>0</v>
      </c>
    </row>
    <row r="2436" spans="1:20" ht="24" customHeight="1">
      <c r="A2436" s="1" t="str">
        <f>Paths!$A$227</f>
        <v>T056</v>
      </c>
      <c r="B2436" s="1">
        <f>Paths!$B$227</f>
        <v>0</v>
      </c>
      <c r="C2436" s="1">
        <v>9</v>
      </c>
      <c r="D2436" s="1">
        <v>227</v>
      </c>
      <c r="E2436" s="1">
        <f>IF(OR(Paths!$C$227=0,C2436=0),0,MAX(0,MIN(C2436*12,Paths!$E$227)-(C2436-1)*12))</f>
        <v>0</v>
      </c>
      <c r="F2436" s="1">
        <f>IF(OR(Paths!$C$227=0,C2436=0),0,12-E2436)</f>
        <v>0</v>
      </c>
      <c r="G2436" s="16">
        <f>IF(NOT(Paths!$C$227=1),0,IF(Paths!$P$227="Complete",E2436/12*(Paths!$J$227*(1+'Operating costs'!$B$51)^MAX(0,C2436-1)+Paths!$K$227*(1+'Operating costs'!$B$53)^MAX(0,C2436-1)),"n.a."))</f>
        <v>0</v>
      </c>
      <c r="H2436" s="16">
        <f>IF(NOT(Paths!$C$227=1),0,IF(Paths!$P$227="Complete",F2436/12*(Paths!$L$227*(1+IF(Paths!$D$227="EV",'Operating costs'!$B$52,'Operating costs'!$B$51))^MAX(0,C2436-1)+Paths!$M$227*(1+'Operating costs'!$B$53)^MAX(0,C2436-1)),"n.a."))</f>
        <v>0</v>
      </c>
      <c r="I2436" s="16">
        <f>IF(NOT(Paths!$C$227=1),0,IF(Paths!$P$227="Complete",IF(IF(Paths!$E$227=0,C2436=0,AND(C2436&gt;0,Paths!$E$227&gt;(C2436-1)*12,Paths!$E$227&lt;=C2436*12)),Paths!$G$227,0),"n.a."))</f>
        <v>0</v>
      </c>
      <c r="J2436" s="16">
        <f>IF(NOT(Paths!$C$227=1),0,IF(Paths!$P$227="Complete",IF(IF(Paths!$E$227=0,C2436=0,AND(C2436&gt;0,Paths!$E$227&gt;(C2436-1)*12,Paths!$E$227&lt;=C2436*12)),Paths!$H$227,0),"n.a."))</f>
        <v>0</v>
      </c>
      <c r="K2436" s="16">
        <f>IF(NOT(Paths!$C$227=1),0,IF(Paths!$P$227="Complete",IF(IF(Paths!$O$227=0,C2436=0,AND(C2436&gt;0,Paths!$O$227&gt;(C2436-1)*12,Paths!$O$227&lt;=C2436*12)),Paths!$N$227,0),"n.a."))</f>
        <v>0</v>
      </c>
      <c r="L2436" s="16">
        <f>IF(NOT(Paths!$C$227=1),0,IF(Paths!$P$227="Complete",IF(C2436=10,Paths!$I$227,0),"n.a."))</f>
        <v>0</v>
      </c>
      <c r="M2436" s="16">
        <f>IF(NOT(Paths!$C$227=1),0,IF(Paths!$P$227="Complete",IF(AND(Paths!$D$227="EV",Paths!$E$227&lt;120,Paths!$E$227+'Operating costs'!$B$65&gt;Paths!$E$227,Paths!$E$227+'Operating costs'!$B$65&lt;=120,IF(Paths!$E$227+'Operating costs'!$B$65=0,C2436=0,AND(C2436&gt;0,Paths!$E$227+'Operating costs'!$B$65&gt;(C2436-1)*12,Paths!$E$227+'Operating costs'!$B$65&lt;=C2436*12))),'Operating costs'!$B$64,0)+IF(AND('Operating costs'!$B$67&gt;0,'Operating costs'!$B$67&lt;=120,OR(Paths!$D$227="ICE",'Operating costs'!$B$67&lt;=Paths!$E$227),IF('Operating costs'!$B$67=0,C2436=0,AND(C2436&gt;0,'Operating costs'!$B$67&gt;(C2436-1)*12,'Operating costs'!$B$67&lt;=C2436*12))),'Operating costs'!$B$66,0),"n.a."))</f>
        <v>0</v>
      </c>
      <c r="N2436" s="16">
        <f>IF(NOT(Paths!$C$227=1),0,IF(Paths!$P$227="Complete",SUM(G2436:I2436)-J2436-K2436-L2436+M2436+IF(C2436=0,Paths!$F$227,0)+IF(IF(Paths!$E$227=0,C2436=0,AND(C2436&gt;0,Paths!$E$227&gt;(C2436-1)*12,Paths!$E$227&lt;=C2436*12)),VLOOKUP(A2436,'Fleet register'!$A$7:$S$106,16,FALSE),0),"n.a."))</f>
        <v>0</v>
      </c>
      <c r="O2436" s="16">
        <f>IF(NOT(Paths!$C$227=1),0,IF(Paths!$P$227="Complete",N2436-IF(C2436=0,Paths!$F$227,0),"n.a."))</f>
        <v>0</v>
      </c>
      <c r="P2436" s="16">
        <f>IF(NOT(Paths!$C$227=1),0,IF(Paths!$P$227="Complete",O2436+L2436,"n.a."))</f>
        <v>0</v>
      </c>
      <c r="Q2436" s="16">
        <f>IF(NOT(Paths!$C$227=1),0,IF(Paths!$P$227="Complete",N2436*(1+'Operating costs'!$B$54)^-C2436,"n.a."))</f>
        <v>0</v>
      </c>
      <c r="R2436" s="16">
        <f>IF(NOT(Paths!$C$227=1),0,IF(Paths!$P$227="Complete",IF(AND(C2436=0,Paths!$E$227=0),I2436-J2436-K2436+VLOOKUP(A2436,'Fleet register'!$A$7:$S$106,15,FALSE)+VLOOKUP(A2436,'Fleet register'!$A$7:$S$106,16,FALSE),0),"n.a."))</f>
        <v>0</v>
      </c>
      <c r="S2436" s="1">
        <f>IF(NOT(Paths!$C$227=1),0,IF(Paths!$P$227="Complete",IF(C2436=0,0,Paths!$S$227*Paths!$R$227),"n.a."))</f>
        <v>0</v>
      </c>
      <c r="T2436" s="1">
        <f>IF(NOT(Paths!$C$227=1),0,IF(Paths!$P$227="Complete",IF(C2436=0,0,VLOOKUP(A2436,'Fleet register'!$A$7:$S$106,9,FALSE)*Paths!$R$227),"n.a."))</f>
        <v>0</v>
      </c>
    </row>
    <row r="2437" spans="1:20" ht="24" customHeight="1">
      <c r="A2437" s="1" t="str">
        <f>Paths!$A$227</f>
        <v>T056</v>
      </c>
      <c r="B2437" s="1">
        <f>Paths!$B$227</f>
        <v>0</v>
      </c>
      <c r="C2437" s="1">
        <v>10</v>
      </c>
      <c r="D2437" s="1">
        <v>227</v>
      </c>
      <c r="E2437" s="1">
        <f>IF(OR(Paths!$C$227=0,C2437=0),0,MAX(0,MIN(C2437*12,Paths!$E$227)-(C2437-1)*12))</f>
        <v>0</v>
      </c>
      <c r="F2437" s="1">
        <f>IF(OR(Paths!$C$227=0,C2437=0),0,12-E2437)</f>
        <v>0</v>
      </c>
      <c r="G2437" s="16">
        <f>IF(NOT(Paths!$C$227=1),0,IF(Paths!$P$227="Complete",E2437/12*(Paths!$J$227*(1+'Operating costs'!$B$51)^MAX(0,C2437-1)+Paths!$K$227*(1+'Operating costs'!$B$53)^MAX(0,C2437-1)),"n.a."))</f>
        <v>0</v>
      </c>
      <c r="H2437" s="16">
        <f>IF(NOT(Paths!$C$227=1),0,IF(Paths!$P$227="Complete",F2437/12*(Paths!$L$227*(1+IF(Paths!$D$227="EV",'Operating costs'!$B$52,'Operating costs'!$B$51))^MAX(0,C2437-1)+Paths!$M$227*(1+'Operating costs'!$B$53)^MAX(0,C2437-1)),"n.a."))</f>
        <v>0</v>
      </c>
      <c r="I2437" s="16">
        <f>IF(NOT(Paths!$C$227=1),0,IF(Paths!$P$227="Complete",IF(IF(Paths!$E$227=0,C2437=0,AND(C2437&gt;0,Paths!$E$227&gt;(C2437-1)*12,Paths!$E$227&lt;=C2437*12)),Paths!$G$227,0),"n.a."))</f>
        <v>0</v>
      </c>
      <c r="J2437" s="16">
        <f>IF(NOT(Paths!$C$227=1),0,IF(Paths!$P$227="Complete",IF(IF(Paths!$E$227=0,C2437=0,AND(C2437&gt;0,Paths!$E$227&gt;(C2437-1)*12,Paths!$E$227&lt;=C2437*12)),Paths!$H$227,0),"n.a."))</f>
        <v>0</v>
      </c>
      <c r="K2437" s="16">
        <f>IF(NOT(Paths!$C$227=1),0,IF(Paths!$P$227="Complete",IF(IF(Paths!$O$227=0,C2437=0,AND(C2437&gt;0,Paths!$O$227&gt;(C2437-1)*12,Paths!$O$227&lt;=C2437*12)),Paths!$N$227,0),"n.a."))</f>
        <v>0</v>
      </c>
      <c r="L2437" s="16">
        <f>IF(NOT(Paths!$C$227=1),0,IF(Paths!$P$227="Complete",IF(C2437=10,Paths!$I$227,0),"n.a."))</f>
        <v>0</v>
      </c>
      <c r="M2437" s="16">
        <f>IF(NOT(Paths!$C$227=1),0,IF(Paths!$P$227="Complete",IF(AND(Paths!$D$227="EV",Paths!$E$227&lt;120,Paths!$E$227+'Operating costs'!$B$65&gt;Paths!$E$227,Paths!$E$227+'Operating costs'!$B$65&lt;=120,IF(Paths!$E$227+'Operating costs'!$B$65=0,C2437=0,AND(C2437&gt;0,Paths!$E$227+'Operating costs'!$B$65&gt;(C2437-1)*12,Paths!$E$227+'Operating costs'!$B$65&lt;=C2437*12))),'Operating costs'!$B$64,0)+IF(AND('Operating costs'!$B$67&gt;0,'Operating costs'!$B$67&lt;=120,OR(Paths!$D$227="ICE",'Operating costs'!$B$67&lt;=Paths!$E$227),IF('Operating costs'!$B$67=0,C2437=0,AND(C2437&gt;0,'Operating costs'!$B$67&gt;(C2437-1)*12,'Operating costs'!$B$67&lt;=C2437*12))),'Operating costs'!$B$66,0),"n.a."))</f>
        <v>0</v>
      </c>
      <c r="N2437" s="16">
        <f>IF(NOT(Paths!$C$227=1),0,IF(Paths!$P$227="Complete",SUM(G2437:I2437)-J2437-K2437-L2437+M2437+IF(C2437=0,Paths!$F$227,0)+IF(IF(Paths!$E$227=0,C2437=0,AND(C2437&gt;0,Paths!$E$227&gt;(C2437-1)*12,Paths!$E$227&lt;=C2437*12)),VLOOKUP(A2437,'Fleet register'!$A$7:$S$106,16,FALSE),0),"n.a."))</f>
        <v>0</v>
      </c>
      <c r="O2437" s="16">
        <f>IF(NOT(Paths!$C$227=1),0,IF(Paths!$P$227="Complete",N2437-IF(C2437=0,Paths!$F$227,0),"n.a."))</f>
        <v>0</v>
      </c>
      <c r="P2437" s="16">
        <f>IF(NOT(Paths!$C$227=1),0,IF(Paths!$P$227="Complete",O2437+L2437,"n.a."))</f>
        <v>0</v>
      </c>
      <c r="Q2437" s="16">
        <f>IF(NOT(Paths!$C$227=1),0,IF(Paths!$P$227="Complete",N2437*(1+'Operating costs'!$B$54)^-C2437,"n.a."))</f>
        <v>0</v>
      </c>
      <c r="R2437" s="16">
        <f>IF(NOT(Paths!$C$227=1),0,IF(Paths!$P$227="Complete",IF(AND(C2437=0,Paths!$E$227=0),I2437-J2437-K2437+VLOOKUP(A2437,'Fleet register'!$A$7:$S$106,15,FALSE)+VLOOKUP(A2437,'Fleet register'!$A$7:$S$106,16,FALSE),0),"n.a."))</f>
        <v>0</v>
      </c>
      <c r="S2437" s="1">
        <f>IF(NOT(Paths!$C$227=1),0,IF(Paths!$P$227="Complete",IF(C2437=0,0,Paths!$S$227*Paths!$R$227),"n.a."))</f>
        <v>0</v>
      </c>
      <c r="T2437" s="1">
        <f>IF(NOT(Paths!$C$227=1),0,IF(Paths!$P$227="Complete",IF(C2437=0,0,VLOOKUP(A2437,'Fleet register'!$A$7:$S$106,9,FALSE)*Paths!$R$227),"n.a."))</f>
        <v>0</v>
      </c>
    </row>
    <row r="2438" spans="1:20" ht="24" customHeight="1">
      <c r="A2438" s="1" t="str">
        <f>Paths!$A$228</f>
        <v>T056</v>
      </c>
      <c r="B2438" s="1">
        <f>Paths!$B$228</f>
        <v>1</v>
      </c>
      <c r="C2438" s="1">
        <v>0</v>
      </c>
      <c r="D2438" s="1">
        <v>228</v>
      </c>
      <c r="E2438" s="1">
        <f>IF(OR(Paths!$C$228=0,C2438=0),0,MAX(0,MIN(C2438*12,Paths!$E$228)-(C2438-1)*12))</f>
        <v>0</v>
      </c>
      <c r="F2438" s="1">
        <f>IF(OR(Paths!$C$228=0,C2438=0),0,12-E2438)</f>
        <v>0</v>
      </c>
      <c r="G2438" s="16">
        <f>IF(NOT(Paths!$C$228=1),0,IF(Paths!$P$228="Complete",E2438/12*(Paths!$J$228*(1+'Operating costs'!$B$51)^MAX(0,C2438-1)+Paths!$K$228*(1+'Operating costs'!$B$53)^MAX(0,C2438-1)),"n.a."))</f>
        <v>0</v>
      </c>
      <c r="H2438" s="16">
        <f>IF(NOT(Paths!$C$228=1),0,IF(Paths!$P$228="Complete",F2438/12*(Paths!$L$228*(1+IF(Paths!$D$228="EV",'Operating costs'!$B$52,'Operating costs'!$B$51))^MAX(0,C2438-1)+Paths!$M$228*(1+'Operating costs'!$B$53)^MAX(0,C2438-1)),"n.a."))</f>
        <v>0</v>
      </c>
      <c r="I2438" s="16">
        <f>IF(NOT(Paths!$C$228=1),0,IF(Paths!$P$228="Complete",IF(IF(Paths!$E$228=0,C2438=0,AND(C2438&gt;0,Paths!$E$228&gt;(C2438-1)*12,Paths!$E$228&lt;=C2438*12)),Paths!$G$228,0),"n.a."))</f>
        <v>0</v>
      </c>
      <c r="J2438" s="16">
        <f>IF(NOT(Paths!$C$228=1),0,IF(Paths!$P$228="Complete",IF(IF(Paths!$E$228=0,C2438=0,AND(C2438&gt;0,Paths!$E$228&gt;(C2438-1)*12,Paths!$E$228&lt;=C2438*12)),Paths!$H$228,0),"n.a."))</f>
        <v>0</v>
      </c>
      <c r="K2438" s="16">
        <f>IF(NOT(Paths!$C$228=1),0,IF(Paths!$P$228="Complete",IF(IF(Paths!$O$228=0,C2438=0,AND(C2438&gt;0,Paths!$O$228&gt;(C2438-1)*12,Paths!$O$228&lt;=C2438*12)),Paths!$N$228,0),"n.a."))</f>
        <v>0</v>
      </c>
      <c r="L2438" s="16">
        <f>IF(NOT(Paths!$C$228=1),0,IF(Paths!$P$228="Complete",IF(C2438=10,Paths!$I$228,0),"n.a."))</f>
        <v>0</v>
      </c>
      <c r="M2438" s="16">
        <f>IF(NOT(Paths!$C$228=1),0,IF(Paths!$P$228="Complete",IF(AND(Paths!$D$228="EV",Paths!$E$228&lt;120,Paths!$E$228+'Operating costs'!$B$65&gt;Paths!$E$228,Paths!$E$228+'Operating costs'!$B$65&lt;=120,IF(Paths!$E$228+'Operating costs'!$B$65=0,C2438=0,AND(C2438&gt;0,Paths!$E$228+'Operating costs'!$B$65&gt;(C2438-1)*12,Paths!$E$228+'Operating costs'!$B$65&lt;=C2438*12))),'Operating costs'!$B$64,0)+IF(AND('Operating costs'!$B$67&gt;0,'Operating costs'!$B$67&lt;=120,OR(Paths!$D$228="ICE",'Operating costs'!$B$67&lt;=Paths!$E$228),IF('Operating costs'!$B$67=0,C2438=0,AND(C2438&gt;0,'Operating costs'!$B$67&gt;(C2438-1)*12,'Operating costs'!$B$67&lt;=C2438*12))),'Operating costs'!$B$66,0),"n.a."))</f>
        <v>0</v>
      </c>
      <c r="N2438" s="16">
        <f>IF(NOT(Paths!$C$228=1),0,IF(Paths!$P$228="Complete",SUM(G2438:I2438)-J2438-K2438-L2438+M2438+IF(C2438=0,Paths!$F$228,0)+IF(IF(Paths!$E$228=0,C2438=0,AND(C2438&gt;0,Paths!$E$228&gt;(C2438-1)*12,Paths!$E$228&lt;=C2438*12)),VLOOKUP(A2438,'Fleet register'!$A$7:$S$106,16,FALSE),0),"n.a."))</f>
        <v>0</v>
      </c>
      <c r="O2438" s="16">
        <f>IF(NOT(Paths!$C$228=1),0,IF(Paths!$P$228="Complete",N2438-IF(C2438=0,Paths!$F$228,0),"n.a."))</f>
        <v>0</v>
      </c>
      <c r="P2438" s="16">
        <f>IF(NOT(Paths!$C$228=1),0,IF(Paths!$P$228="Complete",O2438+L2438,"n.a."))</f>
        <v>0</v>
      </c>
      <c r="Q2438" s="16">
        <f>IF(NOT(Paths!$C$228=1),0,IF(Paths!$P$228="Complete",N2438*(1+'Operating costs'!$B$54)^-C2438,"n.a."))</f>
        <v>0</v>
      </c>
      <c r="R2438" s="16">
        <f>IF(NOT(Paths!$C$228=1),0,IF(Paths!$P$228="Complete",IF(AND(C2438=0,Paths!$E$228=0),I2438-J2438-K2438+VLOOKUP(A2438,'Fleet register'!$A$7:$S$106,15,FALSE)+VLOOKUP(A2438,'Fleet register'!$A$7:$S$106,16,FALSE),0),"n.a."))</f>
        <v>0</v>
      </c>
      <c r="S2438" s="1">
        <f>IF(NOT(Paths!$C$228=1),0,IF(Paths!$P$228="Complete",IF(C2438=0,0,Paths!$S$228*Paths!$R$228),"n.a."))</f>
        <v>0</v>
      </c>
      <c r="T2438" s="1">
        <f>IF(NOT(Paths!$C$228=1),0,IF(Paths!$P$228="Complete",IF(C2438=0,0,VLOOKUP(A2438,'Fleet register'!$A$7:$S$106,9,FALSE)*Paths!$R$228),"n.a."))</f>
        <v>0</v>
      </c>
    </row>
    <row r="2439" spans="1:20" ht="24" customHeight="1">
      <c r="A2439" s="1" t="str">
        <f>Paths!$A$228</f>
        <v>T056</v>
      </c>
      <c r="B2439" s="1">
        <f>Paths!$B$228</f>
        <v>1</v>
      </c>
      <c r="C2439" s="1">
        <v>1</v>
      </c>
      <c r="D2439" s="1">
        <v>228</v>
      </c>
      <c r="E2439" s="1">
        <f>IF(OR(Paths!$C$228=0,C2439=0),0,MAX(0,MIN(C2439*12,Paths!$E$228)-(C2439-1)*12))</f>
        <v>0</v>
      </c>
      <c r="F2439" s="1">
        <f>IF(OR(Paths!$C$228=0,C2439=0),0,12-E2439)</f>
        <v>0</v>
      </c>
      <c r="G2439" s="16">
        <f>IF(NOT(Paths!$C$228=1),0,IF(Paths!$P$228="Complete",E2439/12*(Paths!$J$228*(1+'Operating costs'!$B$51)^MAX(0,C2439-1)+Paths!$K$228*(1+'Operating costs'!$B$53)^MAX(0,C2439-1)),"n.a."))</f>
        <v>0</v>
      </c>
      <c r="H2439" s="16">
        <f>IF(NOT(Paths!$C$228=1),0,IF(Paths!$P$228="Complete",F2439/12*(Paths!$L$228*(1+IF(Paths!$D$228="EV",'Operating costs'!$B$52,'Operating costs'!$B$51))^MAX(0,C2439-1)+Paths!$M$228*(1+'Operating costs'!$B$53)^MAX(0,C2439-1)),"n.a."))</f>
        <v>0</v>
      </c>
      <c r="I2439" s="16">
        <f>IF(NOT(Paths!$C$228=1),0,IF(Paths!$P$228="Complete",IF(IF(Paths!$E$228=0,C2439=0,AND(C2439&gt;0,Paths!$E$228&gt;(C2439-1)*12,Paths!$E$228&lt;=C2439*12)),Paths!$G$228,0),"n.a."))</f>
        <v>0</v>
      </c>
      <c r="J2439" s="16">
        <f>IF(NOT(Paths!$C$228=1),0,IF(Paths!$P$228="Complete",IF(IF(Paths!$E$228=0,C2439=0,AND(C2439&gt;0,Paths!$E$228&gt;(C2439-1)*12,Paths!$E$228&lt;=C2439*12)),Paths!$H$228,0),"n.a."))</f>
        <v>0</v>
      </c>
      <c r="K2439" s="16">
        <f>IF(NOT(Paths!$C$228=1),0,IF(Paths!$P$228="Complete",IF(IF(Paths!$O$228=0,C2439=0,AND(C2439&gt;0,Paths!$O$228&gt;(C2439-1)*12,Paths!$O$228&lt;=C2439*12)),Paths!$N$228,0),"n.a."))</f>
        <v>0</v>
      </c>
      <c r="L2439" s="16">
        <f>IF(NOT(Paths!$C$228=1),0,IF(Paths!$P$228="Complete",IF(C2439=10,Paths!$I$228,0),"n.a."))</f>
        <v>0</v>
      </c>
      <c r="M2439" s="16">
        <f>IF(NOT(Paths!$C$228=1),0,IF(Paths!$P$228="Complete",IF(AND(Paths!$D$228="EV",Paths!$E$228&lt;120,Paths!$E$228+'Operating costs'!$B$65&gt;Paths!$E$228,Paths!$E$228+'Operating costs'!$B$65&lt;=120,IF(Paths!$E$228+'Operating costs'!$B$65=0,C2439=0,AND(C2439&gt;0,Paths!$E$228+'Operating costs'!$B$65&gt;(C2439-1)*12,Paths!$E$228+'Operating costs'!$B$65&lt;=C2439*12))),'Operating costs'!$B$64,0)+IF(AND('Operating costs'!$B$67&gt;0,'Operating costs'!$B$67&lt;=120,OR(Paths!$D$228="ICE",'Operating costs'!$B$67&lt;=Paths!$E$228),IF('Operating costs'!$B$67=0,C2439=0,AND(C2439&gt;0,'Operating costs'!$B$67&gt;(C2439-1)*12,'Operating costs'!$B$67&lt;=C2439*12))),'Operating costs'!$B$66,0),"n.a."))</f>
        <v>0</v>
      </c>
      <c r="N2439" s="16">
        <f>IF(NOT(Paths!$C$228=1),0,IF(Paths!$P$228="Complete",SUM(G2439:I2439)-J2439-K2439-L2439+M2439+IF(C2439=0,Paths!$F$228,0)+IF(IF(Paths!$E$228=0,C2439=0,AND(C2439&gt;0,Paths!$E$228&gt;(C2439-1)*12,Paths!$E$228&lt;=C2439*12)),VLOOKUP(A2439,'Fleet register'!$A$7:$S$106,16,FALSE),0),"n.a."))</f>
        <v>0</v>
      </c>
      <c r="O2439" s="16">
        <f>IF(NOT(Paths!$C$228=1),0,IF(Paths!$P$228="Complete",N2439-IF(C2439=0,Paths!$F$228,0),"n.a."))</f>
        <v>0</v>
      </c>
      <c r="P2439" s="16">
        <f>IF(NOT(Paths!$C$228=1),0,IF(Paths!$P$228="Complete",O2439+L2439,"n.a."))</f>
        <v>0</v>
      </c>
      <c r="Q2439" s="16">
        <f>IF(NOT(Paths!$C$228=1),0,IF(Paths!$P$228="Complete",N2439*(1+'Operating costs'!$B$54)^-C2439,"n.a."))</f>
        <v>0</v>
      </c>
      <c r="R2439" s="16">
        <f>IF(NOT(Paths!$C$228=1),0,IF(Paths!$P$228="Complete",IF(AND(C2439=0,Paths!$E$228=0),I2439-J2439-K2439+VLOOKUP(A2439,'Fleet register'!$A$7:$S$106,15,FALSE)+VLOOKUP(A2439,'Fleet register'!$A$7:$S$106,16,FALSE),0),"n.a."))</f>
        <v>0</v>
      </c>
      <c r="S2439" s="1">
        <f>IF(NOT(Paths!$C$228=1),0,IF(Paths!$P$228="Complete",IF(C2439=0,0,Paths!$S$228*Paths!$R$228),"n.a."))</f>
        <v>0</v>
      </c>
      <c r="T2439" s="1">
        <f>IF(NOT(Paths!$C$228=1),0,IF(Paths!$P$228="Complete",IF(C2439=0,0,VLOOKUP(A2439,'Fleet register'!$A$7:$S$106,9,FALSE)*Paths!$R$228),"n.a."))</f>
        <v>0</v>
      </c>
    </row>
    <row r="2440" spans="1:20" ht="24" customHeight="1">
      <c r="A2440" s="1" t="str">
        <f>Paths!$A$228</f>
        <v>T056</v>
      </c>
      <c r="B2440" s="1">
        <f>Paths!$B$228</f>
        <v>1</v>
      </c>
      <c r="C2440" s="1">
        <v>2</v>
      </c>
      <c r="D2440" s="1">
        <v>228</v>
      </c>
      <c r="E2440" s="1">
        <f>IF(OR(Paths!$C$228=0,C2440=0),0,MAX(0,MIN(C2440*12,Paths!$E$228)-(C2440-1)*12))</f>
        <v>0</v>
      </c>
      <c r="F2440" s="1">
        <f>IF(OR(Paths!$C$228=0,C2440=0),0,12-E2440)</f>
        <v>0</v>
      </c>
      <c r="G2440" s="16">
        <f>IF(NOT(Paths!$C$228=1),0,IF(Paths!$P$228="Complete",E2440/12*(Paths!$J$228*(1+'Operating costs'!$B$51)^MAX(0,C2440-1)+Paths!$K$228*(1+'Operating costs'!$B$53)^MAX(0,C2440-1)),"n.a."))</f>
        <v>0</v>
      </c>
      <c r="H2440" s="16">
        <f>IF(NOT(Paths!$C$228=1),0,IF(Paths!$P$228="Complete",F2440/12*(Paths!$L$228*(1+IF(Paths!$D$228="EV",'Operating costs'!$B$52,'Operating costs'!$B$51))^MAX(0,C2440-1)+Paths!$M$228*(1+'Operating costs'!$B$53)^MAX(0,C2440-1)),"n.a."))</f>
        <v>0</v>
      </c>
      <c r="I2440" s="16">
        <f>IF(NOT(Paths!$C$228=1),0,IF(Paths!$P$228="Complete",IF(IF(Paths!$E$228=0,C2440=0,AND(C2440&gt;0,Paths!$E$228&gt;(C2440-1)*12,Paths!$E$228&lt;=C2440*12)),Paths!$G$228,0),"n.a."))</f>
        <v>0</v>
      </c>
      <c r="J2440" s="16">
        <f>IF(NOT(Paths!$C$228=1),0,IF(Paths!$P$228="Complete",IF(IF(Paths!$E$228=0,C2440=0,AND(C2440&gt;0,Paths!$E$228&gt;(C2440-1)*12,Paths!$E$228&lt;=C2440*12)),Paths!$H$228,0),"n.a."))</f>
        <v>0</v>
      </c>
      <c r="K2440" s="16">
        <f>IF(NOT(Paths!$C$228=1),0,IF(Paths!$P$228="Complete",IF(IF(Paths!$O$228=0,C2440=0,AND(C2440&gt;0,Paths!$O$228&gt;(C2440-1)*12,Paths!$O$228&lt;=C2440*12)),Paths!$N$228,0),"n.a."))</f>
        <v>0</v>
      </c>
      <c r="L2440" s="16">
        <f>IF(NOT(Paths!$C$228=1),0,IF(Paths!$P$228="Complete",IF(C2440=10,Paths!$I$228,0),"n.a."))</f>
        <v>0</v>
      </c>
      <c r="M2440" s="16">
        <f>IF(NOT(Paths!$C$228=1),0,IF(Paths!$P$228="Complete",IF(AND(Paths!$D$228="EV",Paths!$E$228&lt;120,Paths!$E$228+'Operating costs'!$B$65&gt;Paths!$E$228,Paths!$E$228+'Operating costs'!$B$65&lt;=120,IF(Paths!$E$228+'Operating costs'!$B$65=0,C2440=0,AND(C2440&gt;0,Paths!$E$228+'Operating costs'!$B$65&gt;(C2440-1)*12,Paths!$E$228+'Operating costs'!$B$65&lt;=C2440*12))),'Operating costs'!$B$64,0)+IF(AND('Operating costs'!$B$67&gt;0,'Operating costs'!$B$67&lt;=120,OR(Paths!$D$228="ICE",'Operating costs'!$B$67&lt;=Paths!$E$228),IF('Operating costs'!$B$67=0,C2440=0,AND(C2440&gt;0,'Operating costs'!$B$67&gt;(C2440-1)*12,'Operating costs'!$B$67&lt;=C2440*12))),'Operating costs'!$B$66,0),"n.a."))</f>
        <v>0</v>
      </c>
      <c r="N2440" s="16">
        <f>IF(NOT(Paths!$C$228=1),0,IF(Paths!$P$228="Complete",SUM(G2440:I2440)-J2440-K2440-L2440+M2440+IF(C2440=0,Paths!$F$228,0)+IF(IF(Paths!$E$228=0,C2440=0,AND(C2440&gt;0,Paths!$E$228&gt;(C2440-1)*12,Paths!$E$228&lt;=C2440*12)),VLOOKUP(A2440,'Fleet register'!$A$7:$S$106,16,FALSE),0),"n.a."))</f>
        <v>0</v>
      </c>
      <c r="O2440" s="16">
        <f>IF(NOT(Paths!$C$228=1),0,IF(Paths!$P$228="Complete",N2440-IF(C2440=0,Paths!$F$228,0),"n.a."))</f>
        <v>0</v>
      </c>
      <c r="P2440" s="16">
        <f>IF(NOT(Paths!$C$228=1),0,IF(Paths!$P$228="Complete",O2440+L2440,"n.a."))</f>
        <v>0</v>
      </c>
      <c r="Q2440" s="16">
        <f>IF(NOT(Paths!$C$228=1),0,IF(Paths!$P$228="Complete",N2440*(1+'Operating costs'!$B$54)^-C2440,"n.a."))</f>
        <v>0</v>
      </c>
      <c r="R2440" s="16">
        <f>IF(NOT(Paths!$C$228=1),0,IF(Paths!$P$228="Complete",IF(AND(C2440=0,Paths!$E$228=0),I2440-J2440-K2440+VLOOKUP(A2440,'Fleet register'!$A$7:$S$106,15,FALSE)+VLOOKUP(A2440,'Fleet register'!$A$7:$S$106,16,FALSE),0),"n.a."))</f>
        <v>0</v>
      </c>
      <c r="S2440" s="1">
        <f>IF(NOT(Paths!$C$228=1),0,IF(Paths!$P$228="Complete",IF(C2440=0,0,Paths!$S$228*Paths!$R$228),"n.a."))</f>
        <v>0</v>
      </c>
      <c r="T2440" s="1">
        <f>IF(NOT(Paths!$C$228=1),0,IF(Paths!$P$228="Complete",IF(C2440=0,0,VLOOKUP(A2440,'Fleet register'!$A$7:$S$106,9,FALSE)*Paths!$R$228),"n.a."))</f>
        <v>0</v>
      </c>
    </row>
    <row r="2441" spans="1:20" ht="24" customHeight="1">
      <c r="A2441" s="1" t="str">
        <f>Paths!$A$228</f>
        <v>T056</v>
      </c>
      <c r="B2441" s="1">
        <f>Paths!$B$228</f>
        <v>1</v>
      </c>
      <c r="C2441" s="1">
        <v>3</v>
      </c>
      <c r="D2441" s="1">
        <v>228</v>
      </c>
      <c r="E2441" s="1">
        <f>IF(OR(Paths!$C$228=0,C2441=0),0,MAX(0,MIN(C2441*12,Paths!$E$228)-(C2441-1)*12))</f>
        <v>0</v>
      </c>
      <c r="F2441" s="1">
        <f>IF(OR(Paths!$C$228=0,C2441=0),0,12-E2441)</f>
        <v>0</v>
      </c>
      <c r="G2441" s="16">
        <f>IF(NOT(Paths!$C$228=1),0,IF(Paths!$P$228="Complete",E2441/12*(Paths!$J$228*(1+'Operating costs'!$B$51)^MAX(0,C2441-1)+Paths!$K$228*(1+'Operating costs'!$B$53)^MAX(0,C2441-1)),"n.a."))</f>
        <v>0</v>
      </c>
      <c r="H2441" s="16">
        <f>IF(NOT(Paths!$C$228=1),0,IF(Paths!$P$228="Complete",F2441/12*(Paths!$L$228*(1+IF(Paths!$D$228="EV",'Operating costs'!$B$52,'Operating costs'!$B$51))^MAX(0,C2441-1)+Paths!$M$228*(1+'Operating costs'!$B$53)^MAX(0,C2441-1)),"n.a."))</f>
        <v>0</v>
      </c>
      <c r="I2441" s="16">
        <f>IF(NOT(Paths!$C$228=1),0,IF(Paths!$P$228="Complete",IF(IF(Paths!$E$228=0,C2441=0,AND(C2441&gt;0,Paths!$E$228&gt;(C2441-1)*12,Paths!$E$228&lt;=C2441*12)),Paths!$G$228,0),"n.a."))</f>
        <v>0</v>
      </c>
      <c r="J2441" s="16">
        <f>IF(NOT(Paths!$C$228=1),0,IF(Paths!$P$228="Complete",IF(IF(Paths!$E$228=0,C2441=0,AND(C2441&gt;0,Paths!$E$228&gt;(C2441-1)*12,Paths!$E$228&lt;=C2441*12)),Paths!$H$228,0),"n.a."))</f>
        <v>0</v>
      </c>
      <c r="K2441" s="16">
        <f>IF(NOT(Paths!$C$228=1),0,IF(Paths!$P$228="Complete",IF(IF(Paths!$O$228=0,C2441=0,AND(C2441&gt;0,Paths!$O$228&gt;(C2441-1)*12,Paths!$O$228&lt;=C2441*12)),Paths!$N$228,0),"n.a."))</f>
        <v>0</v>
      </c>
      <c r="L2441" s="16">
        <f>IF(NOT(Paths!$C$228=1),0,IF(Paths!$P$228="Complete",IF(C2441=10,Paths!$I$228,0),"n.a."))</f>
        <v>0</v>
      </c>
      <c r="M2441" s="16">
        <f>IF(NOT(Paths!$C$228=1),0,IF(Paths!$P$228="Complete",IF(AND(Paths!$D$228="EV",Paths!$E$228&lt;120,Paths!$E$228+'Operating costs'!$B$65&gt;Paths!$E$228,Paths!$E$228+'Operating costs'!$B$65&lt;=120,IF(Paths!$E$228+'Operating costs'!$B$65=0,C2441=0,AND(C2441&gt;0,Paths!$E$228+'Operating costs'!$B$65&gt;(C2441-1)*12,Paths!$E$228+'Operating costs'!$B$65&lt;=C2441*12))),'Operating costs'!$B$64,0)+IF(AND('Operating costs'!$B$67&gt;0,'Operating costs'!$B$67&lt;=120,OR(Paths!$D$228="ICE",'Operating costs'!$B$67&lt;=Paths!$E$228),IF('Operating costs'!$B$67=0,C2441=0,AND(C2441&gt;0,'Operating costs'!$B$67&gt;(C2441-1)*12,'Operating costs'!$B$67&lt;=C2441*12))),'Operating costs'!$B$66,0),"n.a."))</f>
        <v>0</v>
      </c>
      <c r="N2441" s="16">
        <f>IF(NOT(Paths!$C$228=1),0,IF(Paths!$P$228="Complete",SUM(G2441:I2441)-J2441-K2441-L2441+M2441+IF(C2441=0,Paths!$F$228,0)+IF(IF(Paths!$E$228=0,C2441=0,AND(C2441&gt;0,Paths!$E$228&gt;(C2441-1)*12,Paths!$E$228&lt;=C2441*12)),VLOOKUP(A2441,'Fleet register'!$A$7:$S$106,16,FALSE),0),"n.a."))</f>
        <v>0</v>
      </c>
      <c r="O2441" s="16">
        <f>IF(NOT(Paths!$C$228=1),0,IF(Paths!$P$228="Complete",N2441-IF(C2441=0,Paths!$F$228,0),"n.a."))</f>
        <v>0</v>
      </c>
      <c r="P2441" s="16">
        <f>IF(NOT(Paths!$C$228=1),0,IF(Paths!$P$228="Complete",O2441+L2441,"n.a."))</f>
        <v>0</v>
      </c>
      <c r="Q2441" s="16">
        <f>IF(NOT(Paths!$C$228=1),0,IF(Paths!$P$228="Complete",N2441*(1+'Operating costs'!$B$54)^-C2441,"n.a."))</f>
        <v>0</v>
      </c>
      <c r="R2441" s="16">
        <f>IF(NOT(Paths!$C$228=1),0,IF(Paths!$P$228="Complete",IF(AND(C2441=0,Paths!$E$228=0),I2441-J2441-K2441+VLOOKUP(A2441,'Fleet register'!$A$7:$S$106,15,FALSE)+VLOOKUP(A2441,'Fleet register'!$A$7:$S$106,16,FALSE),0),"n.a."))</f>
        <v>0</v>
      </c>
      <c r="S2441" s="1">
        <f>IF(NOT(Paths!$C$228=1),0,IF(Paths!$P$228="Complete",IF(C2441=0,0,Paths!$S$228*Paths!$R$228),"n.a."))</f>
        <v>0</v>
      </c>
      <c r="T2441" s="1">
        <f>IF(NOT(Paths!$C$228=1),0,IF(Paths!$P$228="Complete",IF(C2441=0,0,VLOOKUP(A2441,'Fleet register'!$A$7:$S$106,9,FALSE)*Paths!$R$228),"n.a."))</f>
        <v>0</v>
      </c>
    </row>
    <row r="2442" spans="1:20" ht="24" customHeight="1">
      <c r="A2442" s="1" t="str">
        <f>Paths!$A$228</f>
        <v>T056</v>
      </c>
      <c r="B2442" s="1">
        <f>Paths!$B$228</f>
        <v>1</v>
      </c>
      <c r="C2442" s="1">
        <v>4</v>
      </c>
      <c r="D2442" s="1">
        <v>228</v>
      </c>
      <c r="E2442" s="1">
        <f>IF(OR(Paths!$C$228=0,C2442=0),0,MAX(0,MIN(C2442*12,Paths!$E$228)-(C2442-1)*12))</f>
        <v>0</v>
      </c>
      <c r="F2442" s="1">
        <f>IF(OR(Paths!$C$228=0,C2442=0),0,12-E2442)</f>
        <v>0</v>
      </c>
      <c r="G2442" s="16">
        <f>IF(NOT(Paths!$C$228=1),0,IF(Paths!$P$228="Complete",E2442/12*(Paths!$J$228*(1+'Operating costs'!$B$51)^MAX(0,C2442-1)+Paths!$K$228*(1+'Operating costs'!$B$53)^MAX(0,C2442-1)),"n.a."))</f>
        <v>0</v>
      </c>
      <c r="H2442" s="16">
        <f>IF(NOT(Paths!$C$228=1),0,IF(Paths!$P$228="Complete",F2442/12*(Paths!$L$228*(1+IF(Paths!$D$228="EV",'Operating costs'!$B$52,'Operating costs'!$B$51))^MAX(0,C2442-1)+Paths!$M$228*(1+'Operating costs'!$B$53)^MAX(0,C2442-1)),"n.a."))</f>
        <v>0</v>
      </c>
      <c r="I2442" s="16">
        <f>IF(NOT(Paths!$C$228=1),0,IF(Paths!$P$228="Complete",IF(IF(Paths!$E$228=0,C2442=0,AND(C2442&gt;0,Paths!$E$228&gt;(C2442-1)*12,Paths!$E$228&lt;=C2442*12)),Paths!$G$228,0),"n.a."))</f>
        <v>0</v>
      </c>
      <c r="J2442" s="16">
        <f>IF(NOT(Paths!$C$228=1),0,IF(Paths!$P$228="Complete",IF(IF(Paths!$E$228=0,C2442=0,AND(C2442&gt;0,Paths!$E$228&gt;(C2442-1)*12,Paths!$E$228&lt;=C2442*12)),Paths!$H$228,0),"n.a."))</f>
        <v>0</v>
      </c>
      <c r="K2442" s="16">
        <f>IF(NOT(Paths!$C$228=1),0,IF(Paths!$P$228="Complete",IF(IF(Paths!$O$228=0,C2442=0,AND(C2442&gt;0,Paths!$O$228&gt;(C2442-1)*12,Paths!$O$228&lt;=C2442*12)),Paths!$N$228,0),"n.a."))</f>
        <v>0</v>
      </c>
      <c r="L2442" s="16">
        <f>IF(NOT(Paths!$C$228=1),0,IF(Paths!$P$228="Complete",IF(C2442=10,Paths!$I$228,0),"n.a."))</f>
        <v>0</v>
      </c>
      <c r="M2442" s="16">
        <f>IF(NOT(Paths!$C$228=1),0,IF(Paths!$P$228="Complete",IF(AND(Paths!$D$228="EV",Paths!$E$228&lt;120,Paths!$E$228+'Operating costs'!$B$65&gt;Paths!$E$228,Paths!$E$228+'Operating costs'!$B$65&lt;=120,IF(Paths!$E$228+'Operating costs'!$B$65=0,C2442=0,AND(C2442&gt;0,Paths!$E$228+'Operating costs'!$B$65&gt;(C2442-1)*12,Paths!$E$228+'Operating costs'!$B$65&lt;=C2442*12))),'Operating costs'!$B$64,0)+IF(AND('Operating costs'!$B$67&gt;0,'Operating costs'!$B$67&lt;=120,OR(Paths!$D$228="ICE",'Operating costs'!$B$67&lt;=Paths!$E$228),IF('Operating costs'!$B$67=0,C2442=0,AND(C2442&gt;0,'Operating costs'!$B$67&gt;(C2442-1)*12,'Operating costs'!$B$67&lt;=C2442*12))),'Operating costs'!$B$66,0),"n.a."))</f>
        <v>0</v>
      </c>
      <c r="N2442" s="16">
        <f>IF(NOT(Paths!$C$228=1),0,IF(Paths!$P$228="Complete",SUM(G2442:I2442)-J2442-K2442-L2442+M2442+IF(C2442=0,Paths!$F$228,0)+IF(IF(Paths!$E$228=0,C2442=0,AND(C2442&gt;0,Paths!$E$228&gt;(C2442-1)*12,Paths!$E$228&lt;=C2442*12)),VLOOKUP(A2442,'Fleet register'!$A$7:$S$106,16,FALSE),0),"n.a."))</f>
        <v>0</v>
      </c>
      <c r="O2442" s="16">
        <f>IF(NOT(Paths!$C$228=1),0,IF(Paths!$P$228="Complete",N2442-IF(C2442=0,Paths!$F$228,0),"n.a."))</f>
        <v>0</v>
      </c>
      <c r="P2442" s="16">
        <f>IF(NOT(Paths!$C$228=1),0,IF(Paths!$P$228="Complete",O2442+L2442,"n.a."))</f>
        <v>0</v>
      </c>
      <c r="Q2442" s="16">
        <f>IF(NOT(Paths!$C$228=1),0,IF(Paths!$P$228="Complete",N2442*(1+'Operating costs'!$B$54)^-C2442,"n.a."))</f>
        <v>0</v>
      </c>
      <c r="R2442" s="16">
        <f>IF(NOT(Paths!$C$228=1),0,IF(Paths!$P$228="Complete",IF(AND(C2442=0,Paths!$E$228=0),I2442-J2442-K2442+VLOOKUP(A2442,'Fleet register'!$A$7:$S$106,15,FALSE)+VLOOKUP(A2442,'Fleet register'!$A$7:$S$106,16,FALSE),0),"n.a."))</f>
        <v>0</v>
      </c>
      <c r="S2442" s="1">
        <f>IF(NOT(Paths!$C$228=1),0,IF(Paths!$P$228="Complete",IF(C2442=0,0,Paths!$S$228*Paths!$R$228),"n.a."))</f>
        <v>0</v>
      </c>
      <c r="T2442" s="1">
        <f>IF(NOT(Paths!$C$228=1),0,IF(Paths!$P$228="Complete",IF(C2442=0,0,VLOOKUP(A2442,'Fleet register'!$A$7:$S$106,9,FALSE)*Paths!$R$228),"n.a."))</f>
        <v>0</v>
      </c>
    </row>
    <row r="2443" spans="1:20" ht="24" customHeight="1">
      <c r="A2443" s="1" t="str">
        <f>Paths!$A$228</f>
        <v>T056</v>
      </c>
      <c r="B2443" s="1">
        <f>Paths!$B$228</f>
        <v>1</v>
      </c>
      <c r="C2443" s="1">
        <v>5</v>
      </c>
      <c r="D2443" s="1">
        <v>228</v>
      </c>
      <c r="E2443" s="1">
        <f>IF(OR(Paths!$C$228=0,C2443=0),0,MAX(0,MIN(C2443*12,Paths!$E$228)-(C2443-1)*12))</f>
        <v>0</v>
      </c>
      <c r="F2443" s="1">
        <f>IF(OR(Paths!$C$228=0,C2443=0),0,12-E2443)</f>
        <v>0</v>
      </c>
      <c r="G2443" s="16">
        <f>IF(NOT(Paths!$C$228=1),0,IF(Paths!$P$228="Complete",E2443/12*(Paths!$J$228*(1+'Operating costs'!$B$51)^MAX(0,C2443-1)+Paths!$K$228*(1+'Operating costs'!$B$53)^MAX(0,C2443-1)),"n.a."))</f>
        <v>0</v>
      </c>
      <c r="H2443" s="16">
        <f>IF(NOT(Paths!$C$228=1),0,IF(Paths!$P$228="Complete",F2443/12*(Paths!$L$228*(1+IF(Paths!$D$228="EV",'Operating costs'!$B$52,'Operating costs'!$B$51))^MAX(0,C2443-1)+Paths!$M$228*(1+'Operating costs'!$B$53)^MAX(0,C2443-1)),"n.a."))</f>
        <v>0</v>
      </c>
      <c r="I2443" s="16">
        <f>IF(NOT(Paths!$C$228=1),0,IF(Paths!$P$228="Complete",IF(IF(Paths!$E$228=0,C2443=0,AND(C2443&gt;0,Paths!$E$228&gt;(C2443-1)*12,Paths!$E$228&lt;=C2443*12)),Paths!$G$228,0),"n.a."))</f>
        <v>0</v>
      </c>
      <c r="J2443" s="16">
        <f>IF(NOT(Paths!$C$228=1),0,IF(Paths!$P$228="Complete",IF(IF(Paths!$E$228=0,C2443=0,AND(C2443&gt;0,Paths!$E$228&gt;(C2443-1)*12,Paths!$E$228&lt;=C2443*12)),Paths!$H$228,0),"n.a."))</f>
        <v>0</v>
      </c>
      <c r="K2443" s="16">
        <f>IF(NOT(Paths!$C$228=1),0,IF(Paths!$P$228="Complete",IF(IF(Paths!$O$228=0,C2443=0,AND(C2443&gt;0,Paths!$O$228&gt;(C2443-1)*12,Paths!$O$228&lt;=C2443*12)),Paths!$N$228,0),"n.a."))</f>
        <v>0</v>
      </c>
      <c r="L2443" s="16">
        <f>IF(NOT(Paths!$C$228=1),0,IF(Paths!$P$228="Complete",IF(C2443=10,Paths!$I$228,0),"n.a."))</f>
        <v>0</v>
      </c>
      <c r="M2443" s="16">
        <f>IF(NOT(Paths!$C$228=1),0,IF(Paths!$P$228="Complete",IF(AND(Paths!$D$228="EV",Paths!$E$228&lt;120,Paths!$E$228+'Operating costs'!$B$65&gt;Paths!$E$228,Paths!$E$228+'Operating costs'!$B$65&lt;=120,IF(Paths!$E$228+'Operating costs'!$B$65=0,C2443=0,AND(C2443&gt;0,Paths!$E$228+'Operating costs'!$B$65&gt;(C2443-1)*12,Paths!$E$228+'Operating costs'!$B$65&lt;=C2443*12))),'Operating costs'!$B$64,0)+IF(AND('Operating costs'!$B$67&gt;0,'Operating costs'!$B$67&lt;=120,OR(Paths!$D$228="ICE",'Operating costs'!$B$67&lt;=Paths!$E$228),IF('Operating costs'!$B$67=0,C2443=0,AND(C2443&gt;0,'Operating costs'!$B$67&gt;(C2443-1)*12,'Operating costs'!$B$67&lt;=C2443*12))),'Operating costs'!$B$66,0),"n.a."))</f>
        <v>0</v>
      </c>
      <c r="N2443" s="16">
        <f>IF(NOT(Paths!$C$228=1),0,IF(Paths!$P$228="Complete",SUM(G2443:I2443)-J2443-K2443-L2443+M2443+IF(C2443=0,Paths!$F$228,0)+IF(IF(Paths!$E$228=0,C2443=0,AND(C2443&gt;0,Paths!$E$228&gt;(C2443-1)*12,Paths!$E$228&lt;=C2443*12)),VLOOKUP(A2443,'Fleet register'!$A$7:$S$106,16,FALSE),0),"n.a."))</f>
        <v>0</v>
      </c>
      <c r="O2443" s="16">
        <f>IF(NOT(Paths!$C$228=1),0,IF(Paths!$P$228="Complete",N2443-IF(C2443=0,Paths!$F$228,0),"n.a."))</f>
        <v>0</v>
      </c>
      <c r="P2443" s="16">
        <f>IF(NOT(Paths!$C$228=1),0,IF(Paths!$P$228="Complete",O2443+L2443,"n.a."))</f>
        <v>0</v>
      </c>
      <c r="Q2443" s="16">
        <f>IF(NOT(Paths!$C$228=1),0,IF(Paths!$P$228="Complete",N2443*(1+'Operating costs'!$B$54)^-C2443,"n.a."))</f>
        <v>0</v>
      </c>
      <c r="R2443" s="16">
        <f>IF(NOT(Paths!$C$228=1),0,IF(Paths!$P$228="Complete",IF(AND(C2443=0,Paths!$E$228=0),I2443-J2443-K2443+VLOOKUP(A2443,'Fleet register'!$A$7:$S$106,15,FALSE)+VLOOKUP(A2443,'Fleet register'!$A$7:$S$106,16,FALSE),0),"n.a."))</f>
        <v>0</v>
      </c>
      <c r="S2443" s="1">
        <f>IF(NOT(Paths!$C$228=1),0,IF(Paths!$P$228="Complete",IF(C2443=0,0,Paths!$S$228*Paths!$R$228),"n.a."))</f>
        <v>0</v>
      </c>
      <c r="T2443" s="1">
        <f>IF(NOT(Paths!$C$228=1),0,IF(Paths!$P$228="Complete",IF(C2443=0,0,VLOOKUP(A2443,'Fleet register'!$A$7:$S$106,9,FALSE)*Paths!$R$228),"n.a."))</f>
        <v>0</v>
      </c>
    </row>
    <row r="2444" spans="1:20" ht="24" customHeight="1">
      <c r="A2444" s="1" t="str">
        <f>Paths!$A$228</f>
        <v>T056</v>
      </c>
      <c r="B2444" s="1">
        <f>Paths!$B$228</f>
        <v>1</v>
      </c>
      <c r="C2444" s="1">
        <v>6</v>
      </c>
      <c r="D2444" s="1">
        <v>228</v>
      </c>
      <c r="E2444" s="1">
        <f>IF(OR(Paths!$C$228=0,C2444=0),0,MAX(0,MIN(C2444*12,Paths!$E$228)-(C2444-1)*12))</f>
        <v>0</v>
      </c>
      <c r="F2444" s="1">
        <f>IF(OR(Paths!$C$228=0,C2444=0),0,12-E2444)</f>
        <v>0</v>
      </c>
      <c r="G2444" s="16">
        <f>IF(NOT(Paths!$C$228=1),0,IF(Paths!$P$228="Complete",E2444/12*(Paths!$J$228*(1+'Operating costs'!$B$51)^MAX(0,C2444-1)+Paths!$K$228*(1+'Operating costs'!$B$53)^MAX(0,C2444-1)),"n.a."))</f>
        <v>0</v>
      </c>
      <c r="H2444" s="16">
        <f>IF(NOT(Paths!$C$228=1),0,IF(Paths!$P$228="Complete",F2444/12*(Paths!$L$228*(1+IF(Paths!$D$228="EV",'Operating costs'!$B$52,'Operating costs'!$B$51))^MAX(0,C2444-1)+Paths!$M$228*(1+'Operating costs'!$B$53)^MAX(0,C2444-1)),"n.a."))</f>
        <v>0</v>
      </c>
      <c r="I2444" s="16">
        <f>IF(NOT(Paths!$C$228=1),0,IF(Paths!$P$228="Complete",IF(IF(Paths!$E$228=0,C2444=0,AND(C2444&gt;0,Paths!$E$228&gt;(C2444-1)*12,Paths!$E$228&lt;=C2444*12)),Paths!$G$228,0),"n.a."))</f>
        <v>0</v>
      </c>
      <c r="J2444" s="16">
        <f>IF(NOT(Paths!$C$228=1),0,IF(Paths!$P$228="Complete",IF(IF(Paths!$E$228=0,C2444=0,AND(C2444&gt;0,Paths!$E$228&gt;(C2444-1)*12,Paths!$E$228&lt;=C2444*12)),Paths!$H$228,0),"n.a."))</f>
        <v>0</v>
      </c>
      <c r="K2444" s="16">
        <f>IF(NOT(Paths!$C$228=1),0,IF(Paths!$P$228="Complete",IF(IF(Paths!$O$228=0,C2444=0,AND(C2444&gt;0,Paths!$O$228&gt;(C2444-1)*12,Paths!$O$228&lt;=C2444*12)),Paths!$N$228,0),"n.a."))</f>
        <v>0</v>
      </c>
      <c r="L2444" s="16">
        <f>IF(NOT(Paths!$C$228=1),0,IF(Paths!$P$228="Complete",IF(C2444=10,Paths!$I$228,0),"n.a."))</f>
        <v>0</v>
      </c>
      <c r="M2444" s="16">
        <f>IF(NOT(Paths!$C$228=1),0,IF(Paths!$P$228="Complete",IF(AND(Paths!$D$228="EV",Paths!$E$228&lt;120,Paths!$E$228+'Operating costs'!$B$65&gt;Paths!$E$228,Paths!$E$228+'Operating costs'!$B$65&lt;=120,IF(Paths!$E$228+'Operating costs'!$B$65=0,C2444=0,AND(C2444&gt;0,Paths!$E$228+'Operating costs'!$B$65&gt;(C2444-1)*12,Paths!$E$228+'Operating costs'!$B$65&lt;=C2444*12))),'Operating costs'!$B$64,0)+IF(AND('Operating costs'!$B$67&gt;0,'Operating costs'!$B$67&lt;=120,OR(Paths!$D$228="ICE",'Operating costs'!$B$67&lt;=Paths!$E$228),IF('Operating costs'!$B$67=0,C2444=0,AND(C2444&gt;0,'Operating costs'!$B$67&gt;(C2444-1)*12,'Operating costs'!$B$67&lt;=C2444*12))),'Operating costs'!$B$66,0),"n.a."))</f>
        <v>0</v>
      </c>
      <c r="N2444" s="16">
        <f>IF(NOT(Paths!$C$228=1),0,IF(Paths!$P$228="Complete",SUM(G2444:I2444)-J2444-K2444-L2444+M2444+IF(C2444=0,Paths!$F$228,0)+IF(IF(Paths!$E$228=0,C2444=0,AND(C2444&gt;0,Paths!$E$228&gt;(C2444-1)*12,Paths!$E$228&lt;=C2444*12)),VLOOKUP(A2444,'Fleet register'!$A$7:$S$106,16,FALSE),0),"n.a."))</f>
        <v>0</v>
      </c>
      <c r="O2444" s="16">
        <f>IF(NOT(Paths!$C$228=1),0,IF(Paths!$P$228="Complete",N2444-IF(C2444=0,Paths!$F$228,0),"n.a."))</f>
        <v>0</v>
      </c>
      <c r="P2444" s="16">
        <f>IF(NOT(Paths!$C$228=1),0,IF(Paths!$P$228="Complete",O2444+L2444,"n.a."))</f>
        <v>0</v>
      </c>
      <c r="Q2444" s="16">
        <f>IF(NOT(Paths!$C$228=1),0,IF(Paths!$P$228="Complete",N2444*(1+'Operating costs'!$B$54)^-C2444,"n.a."))</f>
        <v>0</v>
      </c>
      <c r="R2444" s="16">
        <f>IF(NOT(Paths!$C$228=1),0,IF(Paths!$P$228="Complete",IF(AND(C2444=0,Paths!$E$228=0),I2444-J2444-K2444+VLOOKUP(A2444,'Fleet register'!$A$7:$S$106,15,FALSE)+VLOOKUP(A2444,'Fleet register'!$A$7:$S$106,16,FALSE),0),"n.a."))</f>
        <v>0</v>
      </c>
      <c r="S2444" s="1">
        <f>IF(NOT(Paths!$C$228=1),0,IF(Paths!$P$228="Complete",IF(C2444=0,0,Paths!$S$228*Paths!$R$228),"n.a."))</f>
        <v>0</v>
      </c>
      <c r="T2444" s="1">
        <f>IF(NOT(Paths!$C$228=1),0,IF(Paths!$P$228="Complete",IF(C2444=0,0,VLOOKUP(A2444,'Fleet register'!$A$7:$S$106,9,FALSE)*Paths!$R$228),"n.a."))</f>
        <v>0</v>
      </c>
    </row>
    <row r="2445" spans="1:20" ht="24" customHeight="1">
      <c r="A2445" s="1" t="str">
        <f>Paths!$A$228</f>
        <v>T056</v>
      </c>
      <c r="B2445" s="1">
        <f>Paths!$B$228</f>
        <v>1</v>
      </c>
      <c r="C2445" s="1">
        <v>7</v>
      </c>
      <c r="D2445" s="1">
        <v>228</v>
      </c>
      <c r="E2445" s="1">
        <f>IF(OR(Paths!$C$228=0,C2445=0),0,MAX(0,MIN(C2445*12,Paths!$E$228)-(C2445-1)*12))</f>
        <v>0</v>
      </c>
      <c r="F2445" s="1">
        <f>IF(OR(Paths!$C$228=0,C2445=0),0,12-E2445)</f>
        <v>0</v>
      </c>
      <c r="G2445" s="16">
        <f>IF(NOT(Paths!$C$228=1),0,IF(Paths!$P$228="Complete",E2445/12*(Paths!$J$228*(1+'Operating costs'!$B$51)^MAX(0,C2445-1)+Paths!$K$228*(1+'Operating costs'!$B$53)^MAX(0,C2445-1)),"n.a."))</f>
        <v>0</v>
      </c>
      <c r="H2445" s="16">
        <f>IF(NOT(Paths!$C$228=1),0,IF(Paths!$P$228="Complete",F2445/12*(Paths!$L$228*(1+IF(Paths!$D$228="EV",'Operating costs'!$B$52,'Operating costs'!$B$51))^MAX(0,C2445-1)+Paths!$M$228*(1+'Operating costs'!$B$53)^MAX(0,C2445-1)),"n.a."))</f>
        <v>0</v>
      </c>
      <c r="I2445" s="16">
        <f>IF(NOT(Paths!$C$228=1),0,IF(Paths!$P$228="Complete",IF(IF(Paths!$E$228=0,C2445=0,AND(C2445&gt;0,Paths!$E$228&gt;(C2445-1)*12,Paths!$E$228&lt;=C2445*12)),Paths!$G$228,0),"n.a."))</f>
        <v>0</v>
      </c>
      <c r="J2445" s="16">
        <f>IF(NOT(Paths!$C$228=1),0,IF(Paths!$P$228="Complete",IF(IF(Paths!$E$228=0,C2445=0,AND(C2445&gt;0,Paths!$E$228&gt;(C2445-1)*12,Paths!$E$228&lt;=C2445*12)),Paths!$H$228,0),"n.a."))</f>
        <v>0</v>
      </c>
      <c r="K2445" s="16">
        <f>IF(NOT(Paths!$C$228=1),0,IF(Paths!$P$228="Complete",IF(IF(Paths!$O$228=0,C2445=0,AND(C2445&gt;0,Paths!$O$228&gt;(C2445-1)*12,Paths!$O$228&lt;=C2445*12)),Paths!$N$228,0),"n.a."))</f>
        <v>0</v>
      </c>
      <c r="L2445" s="16">
        <f>IF(NOT(Paths!$C$228=1),0,IF(Paths!$P$228="Complete",IF(C2445=10,Paths!$I$228,0),"n.a."))</f>
        <v>0</v>
      </c>
      <c r="M2445" s="16">
        <f>IF(NOT(Paths!$C$228=1),0,IF(Paths!$P$228="Complete",IF(AND(Paths!$D$228="EV",Paths!$E$228&lt;120,Paths!$E$228+'Operating costs'!$B$65&gt;Paths!$E$228,Paths!$E$228+'Operating costs'!$B$65&lt;=120,IF(Paths!$E$228+'Operating costs'!$B$65=0,C2445=0,AND(C2445&gt;0,Paths!$E$228+'Operating costs'!$B$65&gt;(C2445-1)*12,Paths!$E$228+'Operating costs'!$B$65&lt;=C2445*12))),'Operating costs'!$B$64,0)+IF(AND('Operating costs'!$B$67&gt;0,'Operating costs'!$B$67&lt;=120,OR(Paths!$D$228="ICE",'Operating costs'!$B$67&lt;=Paths!$E$228),IF('Operating costs'!$B$67=0,C2445=0,AND(C2445&gt;0,'Operating costs'!$B$67&gt;(C2445-1)*12,'Operating costs'!$B$67&lt;=C2445*12))),'Operating costs'!$B$66,0),"n.a."))</f>
        <v>0</v>
      </c>
      <c r="N2445" s="16">
        <f>IF(NOT(Paths!$C$228=1),0,IF(Paths!$P$228="Complete",SUM(G2445:I2445)-J2445-K2445-L2445+M2445+IF(C2445=0,Paths!$F$228,0)+IF(IF(Paths!$E$228=0,C2445=0,AND(C2445&gt;0,Paths!$E$228&gt;(C2445-1)*12,Paths!$E$228&lt;=C2445*12)),VLOOKUP(A2445,'Fleet register'!$A$7:$S$106,16,FALSE),0),"n.a."))</f>
        <v>0</v>
      </c>
      <c r="O2445" s="16">
        <f>IF(NOT(Paths!$C$228=1),0,IF(Paths!$P$228="Complete",N2445-IF(C2445=0,Paths!$F$228,0),"n.a."))</f>
        <v>0</v>
      </c>
      <c r="P2445" s="16">
        <f>IF(NOT(Paths!$C$228=1),0,IF(Paths!$P$228="Complete",O2445+L2445,"n.a."))</f>
        <v>0</v>
      </c>
      <c r="Q2445" s="16">
        <f>IF(NOT(Paths!$C$228=1),0,IF(Paths!$P$228="Complete",N2445*(1+'Operating costs'!$B$54)^-C2445,"n.a."))</f>
        <v>0</v>
      </c>
      <c r="R2445" s="16">
        <f>IF(NOT(Paths!$C$228=1),0,IF(Paths!$P$228="Complete",IF(AND(C2445=0,Paths!$E$228=0),I2445-J2445-K2445+VLOOKUP(A2445,'Fleet register'!$A$7:$S$106,15,FALSE)+VLOOKUP(A2445,'Fleet register'!$A$7:$S$106,16,FALSE),0),"n.a."))</f>
        <v>0</v>
      </c>
      <c r="S2445" s="1">
        <f>IF(NOT(Paths!$C$228=1),0,IF(Paths!$P$228="Complete",IF(C2445=0,0,Paths!$S$228*Paths!$R$228),"n.a."))</f>
        <v>0</v>
      </c>
      <c r="T2445" s="1">
        <f>IF(NOT(Paths!$C$228=1),0,IF(Paths!$P$228="Complete",IF(C2445=0,0,VLOOKUP(A2445,'Fleet register'!$A$7:$S$106,9,FALSE)*Paths!$R$228),"n.a."))</f>
        <v>0</v>
      </c>
    </row>
    <row r="2446" spans="1:20" ht="24" customHeight="1">
      <c r="A2446" s="1" t="str">
        <f>Paths!$A$228</f>
        <v>T056</v>
      </c>
      <c r="B2446" s="1">
        <f>Paths!$B$228</f>
        <v>1</v>
      </c>
      <c r="C2446" s="1">
        <v>8</v>
      </c>
      <c r="D2446" s="1">
        <v>228</v>
      </c>
      <c r="E2446" s="1">
        <f>IF(OR(Paths!$C$228=0,C2446=0),0,MAX(0,MIN(C2446*12,Paths!$E$228)-(C2446-1)*12))</f>
        <v>0</v>
      </c>
      <c r="F2446" s="1">
        <f>IF(OR(Paths!$C$228=0,C2446=0),0,12-E2446)</f>
        <v>0</v>
      </c>
      <c r="G2446" s="16">
        <f>IF(NOT(Paths!$C$228=1),0,IF(Paths!$P$228="Complete",E2446/12*(Paths!$J$228*(1+'Operating costs'!$B$51)^MAX(0,C2446-1)+Paths!$K$228*(1+'Operating costs'!$B$53)^MAX(0,C2446-1)),"n.a."))</f>
        <v>0</v>
      </c>
      <c r="H2446" s="16">
        <f>IF(NOT(Paths!$C$228=1),0,IF(Paths!$P$228="Complete",F2446/12*(Paths!$L$228*(1+IF(Paths!$D$228="EV",'Operating costs'!$B$52,'Operating costs'!$B$51))^MAX(0,C2446-1)+Paths!$M$228*(1+'Operating costs'!$B$53)^MAX(0,C2446-1)),"n.a."))</f>
        <v>0</v>
      </c>
      <c r="I2446" s="16">
        <f>IF(NOT(Paths!$C$228=1),0,IF(Paths!$P$228="Complete",IF(IF(Paths!$E$228=0,C2446=0,AND(C2446&gt;0,Paths!$E$228&gt;(C2446-1)*12,Paths!$E$228&lt;=C2446*12)),Paths!$G$228,0),"n.a."))</f>
        <v>0</v>
      </c>
      <c r="J2446" s="16">
        <f>IF(NOT(Paths!$C$228=1),0,IF(Paths!$P$228="Complete",IF(IF(Paths!$E$228=0,C2446=0,AND(C2446&gt;0,Paths!$E$228&gt;(C2446-1)*12,Paths!$E$228&lt;=C2446*12)),Paths!$H$228,0),"n.a."))</f>
        <v>0</v>
      </c>
      <c r="K2446" s="16">
        <f>IF(NOT(Paths!$C$228=1),0,IF(Paths!$P$228="Complete",IF(IF(Paths!$O$228=0,C2446=0,AND(C2446&gt;0,Paths!$O$228&gt;(C2446-1)*12,Paths!$O$228&lt;=C2446*12)),Paths!$N$228,0),"n.a."))</f>
        <v>0</v>
      </c>
      <c r="L2446" s="16">
        <f>IF(NOT(Paths!$C$228=1),0,IF(Paths!$P$228="Complete",IF(C2446=10,Paths!$I$228,0),"n.a."))</f>
        <v>0</v>
      </c>
      <c r="M2446" s="16">
        <f>IF(NOT(Paths!$C$228=1),0,IF(Paths!$P$228="Complete",IF(AND(Paths!$D$228="EV",Paths!$E$228&lt;120,Paths!$E$228+'Operating costs'!$B$65&gt;Paths!$E$228,Paths!$E$228+'Operating costs'!$B$65&lt;=120,IF(Paths!$E$228+'Operating costs'!$B$65=0,C2446=0,AND(C2446&gt;0,Paths!$E$228+'Operating costs'!$B$65&gt;(C2446-1)*12,Paths!$E$228+'Operating costs'!$B$65&lt;=C2446*12))),'Operating costs'!$B$64,0)+IF(AND('Operating costs'!$B$67&gt;0,'Operating costs'!$B$67&lt;=120,OR(Paths!$D$228="ICE",'Operating costs'!$B$67&lt;=Paths!$E$228),IF('Operating costs'!$B$67=0,C2446=0,AND(C2446&gt;0,'Operating costs'!$B$67&gt;(C2446-1)*12,'Operating costs'!$B$67&lt;=C2446*12))),'Operating costs'!$B$66,0),"n.a."))</f>
        <v>0</v>
      </c>
      <c r="N2446" s="16">
        <f>IF(NOT(Paths!$C$228=1),0,IF(Paths!$P$228="Complete",SUM(G2446:I2446)-J2446-K2446-L2446+M2446+IF(C2446=0,Paths!$F$228,0)+IF(IF(Paths!$E$228=0,C2446=0,AND(C2446&gt;0,Paths!$E$228&gt;(C2446-1)*12,Paths!$E$228&lt;=C2446*12)),VLOOKUP(A2446,'Fleet register'!$A$7:$S$106,16,FALSE),0),"n.a."))</f>
        <v>0</v>
      </c>
      <c r="O2446" s="16">
        <f>IF(NOT(Paths!$C$228=1),0,IF(Paths!$P$228="Complete",N2446-IF(C2446=0,Paths!$F$228,0),"n.a."))</f>
        <v>0</v>
      </c>
      <c r="P2446" s="16">
        <f>IF(NOT(Paths!$C$228=1),0,IF(Paths!$P$228="Complete",O2446+L2446,"n.a."))</f>
        <v>0</v>
      </c>
      <c r="Q2446" s="16">
        <f>IF(NOT(Paths!$C$228=1),0,IF(Paths!$P$228="Complete",N2446*(1+'Operating costs'!$B$54)^-C2446,"n.a."))</f>
        <v>0</v>
      </c>
      <c r="R2446" s="16">
        <f>IF(NOT(Paths!$C$228=1),0,IF(Paths!$P$228="Complete",IF(AND(C2446=0,Paths!$E$228=0),I2446-J2446-K2446+VLOOKUP(A2446,'Fleet register'!$A$7:$S$106,15,FALSE)+VLOOKUP(A2446,'Fleet register'!$A$7:$S$106,16,FALSE),0),"n.a."))</f>
        <v>0</v>
      </c>
      <c r="S2446" s="1">
        <f>IF(NOT(Paths!$C$228=1),0,IF(Paths!$P$228="Complete",IF(C2446=0,0,Paths!$S$228*Paths!$R$228),"n.a."))</f>
        <v>0</v>
      </c>
      <c r="T2446" s="1">
        <f>IF(NOT(Paths!$C$228=1),0,IF(Paths!$P$228="Complete",IF(C2446=0,0,VLOOKUP(A2446,'Fleet register'!$A$7:$S$106,9,FALSE)*Paths!$R$228),"n.a."))</f>
        <v>0</v>
      </c>
    </row>
    <row r="2447" spans="1:20" ht="24" customHeight="1">
      <c r="A2447" s="1" t="str">
        <f>Paths!$A$228</f>
        <v>T056</v>
      </c>
      <c r="B2447" s="1">
        <f>Paths!$B$228</f>
        <v>1</v>
      </c>
      <c r="C2447" s="1">
        <v>9</v>
      </c>
      <c r="D2447" s="1">
        <v>228</v>
      </c>
      <c r="E2447" s="1">
        <f>IF(OR(Paths!$C$228=0,C2447=0),0,MAX(0,MIN(C2447*12,Paths!$E$228)-(C2447-1)*12))</f>
        <v>0</v>
      </c>
      <c r="F2447" s="1">
        <f>IF(OR(Paths!$C$228=0,C2447=0),0,12-E2447)</f>
        <v>0</v>
      </c>
      <c r="G2447" s="16">
        <f>IF(NOT(Paths!$C$228=1),0,IF(Paths!$P$228="Complete",E2447/12*(Paths!$J$228*(1+'Operating costs'!$B$51)^MAX(0,C2447-1)+Paths!$K$228*(1+'Operating costs'!$B$53)^MAX(0,C2447-1)),"n.a."))</f>
        <v>0</v>
      </c>
      <c r="H2447" s="16">
        <f>IF(NOT(Paths!$C$228=1),0,IF(Paths!$P$228="Complete",F2447/12*(Paths!$L$228*(1+IF(Paths!$D$228="EV",'Operating costs'!$B$52,'Operating costs'!$B$51))^MAX(0,C2447-1)+Paths!$M$228*(1+'Operating costs'!$B$53)^MAX(0,C2447-1)),"n.a."))</f>
        <v>0</v>
      </c>
      <c r="I2447" s="16">
        <f>IF(NOT(Paths!$C$228=1),0,IF(Paths!$P$228="Complete",IF(IF(Paths!$E$228=0,C2447=0,AND(C2447&gt;0,Paths!$E$228&gt;(C2447-1)*12,Paths!$E$228&lt;=C2447*12)),Paths!$G$228,0),"n.a."))</f>
        <v>0</v>
      </c>
      <c r="J2447" s="16">
        <f>IF(NOT(Paths!$C$228=1),0,IF(Paths!$P$228="Complete",IF(IF(Paths!$E$228=0,C2447=0,AND(C2447&gt;0,Paths!$E$228&gt;(C2447-1)*12,Paths!$E$228&lt;=C2447*12)),Paths!$H$228,0),"n.a."))</f>
        <v>0</v>
      </c>
      <c r="K2447" s="16">
        <f>IF(NOT(Paths!$C$228=1),0,IF(Paths!$P$228="Complete",IF(IF(Paths!$O$228=0,C2447=0,AND(C2447&gt;0,Paths!$O$228&gt;(C2447-1)*12,Paths!$O$228&lt;=C2447*12)),Paths!$N$228,0),"n.a."))</f>
        <v>0</v>
      </c>
      <c r="L2447" s="16">
        <f>IF(NOT(Paths!$C$228=1),0,IF(Paths!$P$228="Complete",IF(C2447=10,Paths!$I$228,0),"n.a."))</f>
        <v>0</v>
      </c>
      <c r="M2447" s="16">
        <f>IF(NOT(Paths!$C$228=1),0,IF(Paths!$P$228="Complete",IF(AND(Paths!$D$228="EV",Paths!$E$228&lt;120,Paths!$E$228+'Operating costs'!$B$65&gt;Paths!$E$228,Paths!$E$228+'Operating costs'!$B$65&lt;=120,IF(Paths!$E$228+'Operating costs'!$B$65=0,C2447=0,AND(C2447&gt;0,Paths!$E$228+'Operating costs'!$B$65&gt;(C2447-1)*12,Paths!$E$228+'Operating costs'!$B$65&lt;=C2447*12))),'Operating costs'!$B$64,0)+IF(AND('Operating costs'!$B$67&gt;0,'Operating costs'!$B$67&lt;=120,OR(Paths!$D$228="ICE",'Operating costs'!$B$67&lt;=Paths!$E$228),IF('Operating costs'!$B$67=0,C2447=0,AND(C2447&gt;0,'Operating costs'!$B$67&gt;(C2447-1)*12,'Operating costs'!$B$67&lt;=C2447*12))),'Operating costs'!$B$66,0),"n.a."))</f>
        <v>0</v>
      </c>
      <c r="N2447" s="16">
        <f>IF(NOT(Paths!$C$228=1),0,IF(Paths!$P$228="Complete",SUM(G2447:I2447)-J2447-K2447-L2447+M2447+IF(C2447=0,Paths!$F$228,0)+IF(IF(Paths!$E$228=0,C2447=0,AND(C2447&gt;0,Paths!$E$228&gt;(C2447-1)*12,Paths!$E$228&lt;=C2447*12)),VLOOKUP(A2447,'Fleet register'!$A$7:$S$106,16,FALSE),0),"n.a."))</f>
        <v>0</v>
      </c>
      <c r="O2447" s="16">
        <f>IF(NOT(Paths!$C$228=1),0,IF(Paths!$P$228="Complete",N2447-IF(C2447=0,Paths!$F$228,0),"n.a."))</f>
        <v>0</v>
      </c>
      <c r="P2447" s="16">
        <f>IF(NOT(Paths!$C$228=1),0,IF(Paths!$P$228="Complete",O2447+L2447,"n.a."))</f>
        <v>0</v>
      </c>
      <c r="Q2447" s="16">
        <f>IF(NOT(Paths!$C$228=1),0,IF(Paths!$P$228="Complete",N2447*(1+'Operating costs'!$B$54)^-C2447,"n.a."))</f>
        <v>0</v>
      </c>
      <c r="R2447" s="16">
        <f>IF(NOT(Paths!$C$228=1),0,IF(Paths!$P$228="Complete",IF(AND(C2447=0,Paths!$E$228=0),I2447-J2447-K2447+VLOOKUP(A2447,'Fleet register'!$A$7:$S$106,15,FALSE)+VLOOKUP(A2447,'Fleet register'!$A$7:$S$106,16,FALSE),0),"n.a."))</f>
        <v>0</v>
      </c>
      <c r="S2447" s="1">
        <f>IF(NOT(Paths!$C$228=1),0,IF(Paths!$P$228="Complete",IF(C2447=0,0,Paths!$S$228*Paths!$R$228),"n.a."))</f>
        <v>0</v>
      </c>
      <c r="T2447" s="1">
        <f>IF(NOT(Paths!$C$228=1),0,IF(Paths!$P$228="Complete",IF(C2447=0,0,VLOOKUP(A2447,'Fleet register'!$A$7:$S$106,9,FALSE)*Paths!$R$228),"n.a."))</f>
        <v>0</v>
      </c>
    </row>
    <row r="2448" spans="1:20" ht="24" customHeight="1">
      <c r="A2448" s="1" t="str">
        <f>Paths!$A$228</f>
        <v>T056</v>
      </c>
      <c r="B2448" s="1">
        <f>Paths!$B$228</f>
        <v>1</v>
      </c>
      <c r="C2448" s="1">
        <v>10</v>
      </c>
      <c r="D2448" s="1">
        <v>228</v>
      </c>
      <c r="E2448" s="1">
        <f>IF(OR(Paths!$C$228=0,C2448=0),0,MAX(0,MIN(C2448*12,Paths!$E$228)-(C2448-1)*12))</f>
        <v>0</v>
      </c>
      <c r="F2448" s="1">
        <f>IF(OR(Paths!$C$228=0,C2448=0),0,12-E2448)</f>
        <v>0</v>
      </c>
      <c r="G2448" s="16">
        <f>IF(NOT(Paths!$C$228=1),0,IF(Paths!$P$228="Complete",E2448/12*(Paths!$J$228*(1+'Operating costs'!$B$51)^MAX(0,C2448-1)+Paths!$K$228*(1+'Operating costs'!$B$53)^MAX(0,C2448-1)),"n.a."))</f>
        <v>0</v>
      </c>
      <c r="H2448" s="16">
        <f>IF(NOT(Paths!$C$228=1),0,IF(Paths!$P$228="Complete",F2448/12*(Paths!$L$228*(1+IF(Paths!$D$228="EV",'Operating costs'!$B$52,'Operating costs'!$B$51))^MAX(0,C2448-1)+Paths!$M$228*(1+'Operating costs'!$B$53)^MAX(0,C2448-1)),"n.a."))</f>
        <v>0</v>
      </c>
      <c r="I2448" s="16">
        <f>IF(NOT(Paths!$C$228=1),0,IF(Paths!$P$228="Complete",IF(IF(Paths!$E$228=0,C2448=0,AND(C2448&gt;0,Paths!$E$228&gt;(C2448-1)*12,Paths!$E$228&lt;=C2448*12)),Paths!$G$228,0),"n.a."))</f>
        <v>0</v>
      </c>
      <c r="J2448" s="16">
        <f>IF(NOT(Paths!$C$228=1),0,IF(Paths!$P$228="Complete",IF(IF(Paths!$E$228=0,C2448=0,AND(C2448&gt;0,Paths!$E$228&gt;(C2448-1)*12,Paths!$E$228&lt;=C2448*12)),Paths!$H$228,0),"n.a."))</f>
        <v>0</v>
      </c>
      <c r="K2448" s="16">
        <f>IF(NOT(Paths!$C$228=1),0,IF(Paths!$P$228="Complete",IF(IF(Paths!$O$228=0,C2448=0,AND(C2448&gt;0,Paths!$O$228&gt;(C2448-1)*12,Paths!$O$228&lt;=C2448*12)),Paths!$N$228,0),"n.a."))</f>
        <v>0</v>
      </c>
      <c r="L2448" s="16">
        <f>IF(NOT(Paths!$C$228=1),0,IF(Paths!$P$228="Complete",IF(C2448=10,Paths!$I$228,0),"n.a."))</f>
        <v>0</v>
      </c>
      <c r="M2448" s="16">
        <f>IF(NOT(Paths!$C$228=1),0,IF(Paths!$P$228="Complete",IF(AND(Paths!$D$228="EV",Paths!$E$228&lt;120,Paths!$E$228+'Operating costs'!$B$65&gt;Paths!$E$228,Paths!$E$228+'Operating costs'!$B$65&lt;=120,IF(Paths!$E$228+'Operating costs'!$B$65=0,C2448=0,AND(C2448&gt;0,Paths!$E$228+'Operating costs'!$B$65&gt;(C2448-1)*12,Paths!$E$228+'Operating costs'!$B$65&lt;=C2448*12))),'Operating costs'!$B$64,0)+IF(AND('Operating costs'!$B$67&gt;0,'Operating costs'!$B$67&lt;=120,OR(Paths!$D$228="ICE",'Operating costs'!$B$67&lt;=Paths!$E$228),IF('Operating costs'!$B$67=0,C2448=0,AND(C2448&gt;0,'Operating costs'!$B$67&gt;(C2448-1)*12,'Operating costs'!$B$67&lt;=C2448*12))),'Operating costs'!$B$66,0),"n.a."))</f>
        <v>0</v>
      </c>
      <c r="N2448" s="16">
        <f>IF(NOT(Paths!$C$228=1),0,IF(Paths!$P$228="Complete",SUM(G2448:I2448)-J2448-K2448-L2448+M2448+IF(C2448=0,Paths!$F$228,0)+IF(IF(Paths!$E$228=0,C2448=0,AND(C2448&gt;0,Paths!$E$228&gt;(C2448-1)*12,Paths!$E$228&lt;=C2448*12)),VLOOKUP(A2448,'Fleet register'!$A$7:$S$106,16,FALSE),0),"n.a."))</f>
        <v>0</v>
      </c>
      <c r="O2448" s="16">
        <f>IF(NOT(Paths!$C$228=1),0,IF(Paths!$P$228="Complete",N2448-IF(C2448=0,Paths!$F$228,0),"n.a."))</f>
        <v>0</v>
      </c>
      <c r="P2448" s="16">
        <f>IF(NOT(Paths!$C$228=1),0,IF(Paths!$P$228="Complete",O2448+L2448,"n.a."))</f>
        <v>0</v>
      </c>
      <c r="Q2448" s="16">
        <f>IF(NOT(Paths!$C$228=1),0,IF(Paths!$P$228="Complete",N2448*(1+'Operating costs'!$B$54)^-C2448,"n.a."))</f>
        <v>0</v>
      </c>
      <c r="R2448" s="16">
        <f>IF(NOT(Paths!$C$228=1),0,IF(Paths!$P$228="Complete",IF(AND(C2448=0,Paths!$E$228=0),I2448-J2448-K2448+VLOOKUP(A2448,'Fleet register'!$A$7:$S$106,15,FALSE)+VLOOKUP(A2448,'Fleet register'!$A$7:$S$106,16,FALSE),0),"n.a."))</f>
        <v>0</v>
      </c>
      <c r="S2448" s="1">
        <f>IF(NOT(Paths!$C$228=1),0,IF(Paths!$P$228="Complete",IF(C2448=0,0,Paths!$S$228*Paths!$R$228),"n.a."))</f>
        <v>0</v>
      </c>
      <c r="T2448" s="1">
        <f>IF(NOT(Paths!$C$228=1),0,IF(Paths!$P$228="Complete",IF(C2448=0,0,VLOOKUP(A2448,'Fleet register'!$A$7:$S$106,9,FALSE)*Paths!$R$228),"n.a."))</f>
        <v>0</v>
      </c>
    </row>
    <row r="2449" spans="1:20" ht="24" customHeight="1">
      <c r="A2449" s="1" t="str">
        <f>Paths!$A$229</f>
        <v>T056</v>
      </c>
      <c r="B2449" s="1">
        <f>Paths!$B$229</f>
        <v>2</v>
      </c>
      <c r="C2449" s="1">
        <v>0</v>
      </c>
      <c r="D2449" s="1">
        <v>229</v>
      </c>
      <c r="E2449" s="1">
        <f>IF(OR(Paths!$C$229=0,C2449=0),0,MAX(0,MIN(C2449*12,Paths!$E$229)-(C2449-1)*12))</f>
        <v>0</v>
      </c>
      <c r="F2449" s="1">
        <f>IF(OR(Paths!$C$229=0,C2449=0),0,12-E2449)</f>
        <v>0</v>
      </c>
      <c r="G2449" s="16">
        <f>IF(NOT(Paths!$C$229=1),0,IF(Paths!$P$229="Complete",E2449/12*(Paths!$J$229*(1+'Operating costs'!$B$51)^MAX(0,C2449-1)+Paths!$K$229*(1+'Operating costs'!$B$53)^MAX(0,C2449-1)),"n.a."))</f>
        <v>0</v>
      </c>
      <c r="H2449" s="16">
        <f>IF(NOT(Paths!$C$229=1),0,IF(Paths!$P$229="Complete",F2449/12*(Paths!$L$229*(1+IF(Paths!$D$229="EV",'Operating costs'!$B$52,'Operating costs'!$B$51))^MAX(0,C2449-1)+Paths!$M$229*(1+'Operating costs'!$B$53)^MAX(0,C2449-1)),"n.a."))</f>
        <v>0</v>
      </c>
      <c r="I2449" s="16">
        <f>IF(NOT(Paths!$C$229=1),0,IF(Paths!$P$229="Complete",IF(IF(Paths!$E$229=0,C2449=0,AND(C2449&gt;0,Paths!$E$229&gt;(C2449-1)*12,Paths!$E$229&lt;=C2449*12)),Paths!$G$229,0),"n.a."))</f>
        <v>0</v>
      </c>
      <c r="J2449" s="16">
        <f>IF(NOT(Paths!$C$229=1),0,IF(Paths!$P$229="Complete",IF(IF(Paths!$E$229=0,C2449=0,AND(C2449&gt;0,Paths!$E$229&gt;(C2449-1)*12,Paths!$E$229&lt;=C2449*12)),Paths!$H$229,0),"n.a."))</f>
        <v>0</v>
      </c>
      <c r="K2449" s="16">
        <f>IF(NOT(Paths!$C$229=1),0,IF(Paths!$P$229="Complete",IF(IF(Paths!$O$229=0,C2449=0,AND(C2449&gt;0,Paths!$O$229&gt;(C2449-1)*12,Paths!$O$229&lt;=C2449*12)),Paths!$N$229,0),"n.a."))</f>
        <v>0</v>
      </c>
      <c r="L2449" s="16">
        <f>IF(NOT(Paths!$C$229=1),0,IF(Paths!$P$229="Complete",IF(C2449=10,Paths!$I$229,0),"n.a."))</f>
        <v>0</v>
      </c>
      <c r="M2449" s="16">
        <f>IF(NOT(Paths!$C$229=1),0,IF(Paths!$P$229="Complete",IF(AND(Paths!$D$229="EV",Paths!$E$229&lt;120,Paths!$E$229+'Operating costs'!$B$65&gt;Paths!$E$229,Paths!$E$229+'Operating costs'!$B$65&lt;=120,IF(Paths!$E$229+'Operating costs'!$B$65=0,C2449=0,AND(C2449&gt;0,Paths!$E$229+'Operating costs'!$B$65&gt;(C2449-1)*12,Paths!$E$229+'Operating costs'!$B$65&lt;=C2449*12))),'Operating costs'!$B$64,0)+IF(AND('Operating costs'!$B$67&gt;0,'Operating costs'!$B$67&lt;=120,OR(Paths!$D$229="ICE",'Operating costs'!$B$67&lt;=Paths!$E$229),IF('Operating costs'!$B$67=0,C2449=0,AND(C2449&gt;0,'Operating costs'!$B$67&gt;(C2449-1)*12,'Operating costs'!$B$67&lt;=C2449*12))),'Operating costs'!$B$66,0),"n.a."))</f>
        <v>0</v>
      </c>
      <c r="N2449" s="16">
        <f>IF(NOT(Paths!$C$229=1),0,IF(Paths!$P$229="Complete",SUM(G2449:I2449)-J2449-K2449-L2449+M2449+IF(C2449=0,Paths!$F$229,0)+IF(IF(Paths!$E$229=0,C2449=0,AND(C2449&gt;0,Paths!$E$229&gt;(C2449-1)*12,Paths!$E$229&lt;=C2449*12)),VLOOKUP(A2449,'Fleet register'!$A$7:$S$106,16,FALSE),0),"n.a."))</f>
        <v>0</v>
      </c>
      <c r="O2449" s="16">
        <f>IF(NOT(Paths!$C$229=1),0,IF(Paths!$P$229="Complete",N2449-IF(C2449=0,Paths!$F$229,0),"n.a."))</f>
        <v>0</v>
      </c>
      <c r="P2449" s="16">
        <f>IF(NOT(Paths!$C$229=1),0,IF(Paths!$P$229="Complete",O2449+L2449,"n.a."))</f>
        <v>0</v>
      </c>
      <c r="Q2449" s="16">
        <f>IF(NOT(Paths!$C$229=1),0,IF(Paths!$P$229="Complete",N2449*(1+'Operating costs'!$B$54)^-C2449,"n.a."))</f>
        <v>0</v>
      </c>
      <c r="R2449" s="16">
        <f>IF(NOT(Paths!$C$229=1),0,IF(Paths!$P$229="Complete",IF(AND(C2449=0,Paths!$E$229=0),I2449-J2449-K2449+VLOOKUP(A2449,'Fleet register'!$A$7:$S$106,15,FALSE)+VLOOKUP(A2449,'Fleet register'!$A$7:$S$106,16,FALSE),0),"n.a."))</f>
        <v>0</v>
      </c>
      <c r="S2449" s="1">
        <f>IF(NOT(Paths!$C$229=1),0,IF(Paths!$P$229="Complete",IF(C2449=0,0,Paths!$S$229*Paths!$R$229),"n.a."))</f>
        <v>0</v>
      </c>
      <c r="T2449" s="1">
        <f>IF(NOT(Paths!$C$229=1),0,IF(Paths!$P$229="Complete",IF(C2449=0,0,VLOOKUP(A2449,'Fleet register'!$A$7:$S$106,9,FALSE)*Paths!$R$229),"n.a."))</f>
        <v>0</v>
      </c>
    </row>
    <row r="2450" spans="1:20" ht="24" customHeight="1">
      <c r="A2450" s="1" t="str">
        <f>Paths!$A$229</f>
        <v>T056</v>
      </c>
      <c r="B2450" s="1">
        <f>Paths!$B$229</f>
        <v>2</v>
      </c>
      <c r="C2450" s="1">
        <v>1</v>
      </c>
      <c r="D2450" s="1">
        <v>229</v>
      </c>
      <c r="E2450" s="1">
        <f>IF(OR(Paths!$C$229=0,C2450=0),0,MAX(0,MIN(C2450*12,Paths!$E$229)-(C2450-1)*12))</f>
        <v>0</v>
      </c>
      <c r="F2450" s="1">
        <f>IF(OR(Paths!$C$229=0,C2450=0),0,12-E2450)</f>
        <v>0</v>
      </c>
      <c r="G2450" s="16">
        <f>IF(NOT(Paths!$C$229=1),0,IF(Paths!$P$229="Complete",E2450/12*(Paths!$J$229*(1+'Operating costs'!$B$51)^MAX(0,C2450-1)+Paths!$K$229*(1+'Operating costs'!$B$53)^MAX(0,C2450-1)),"n.a."))</f>
        <v>0</v>
      </c>
      <c r="H2450" s="16">
        <f>IF(NOT(Paths!$C$229=1),0,IF(Paths!$P$229="Complete",F2450/12*(Paths!$L$229*(1+IF(Paths!$D$229="EV",'Operating costs'!$B$52,'Operating costs'!$B$51))^MAX(0,C2450-1)+Paths!$M$229*(1+'Operating costs'!$B$53)^MAX(0,C2450-1)),"n.a."))</f>
        <v>0</v>
      </c>
      <c r="I2450" s="16">
        <f>IF(NOT(Paths!$C$229=1),0,IF(Paths!$P$229="Complete",IF(IF(Paths!$E$229=0,C2450=0,AND(C2450&gt;0,Paths!$E$229&gt;(C2450-1)*12,Paths!$E$229&lt;=C2450*12)),Paths!$G$229,0),"n.a."))</f>
        <v>0</v>
      </c>
      <c r="J2450" s="16">
        <f>IF(NOT(Paths!$C$229=1),0,IF(Paths!$P$229="Complete",IF(IF(Paths!$E$229=0,C2450=0,AND(C2450&gt;0,Paths!$E$229&gt;(C2450-1)*12,Paths!$E$229&lt;=C2450*12)),Paths!$H$229,0),"n.a."))</f>
        <v>0</v>
      </c>
      <c r="K2450" s="16">
        <f>IF(NOT(Paths!$C$229=1),0,IF(Paths!$P$229="Complete",IF(IF(Paths!$O$229=0,C2450=0,AND(C2450&gt;0,Paths!$O$229&gt;(C2450-1)*12,Paths!$O$229&lt;=C2450*12)),Paths!$N$229,0),"n.a."))</f>
        <v>0</v>
      </c>
      <c r="L2450" s="16">
        <f>IF(NOT(Paths!$C$229=1),0,IF(Paths!$P$229="Complete",IF(C2450=10,Paths!$I$229,0),"n.a."))</f>
        <v>0</v>
      </c>
      <c r="M2450" s="16">
        <f>IF(NOT(Paths!$C$229=1),0,IF(Paths!$P$229="Complete",IF(AND(Paths!$D$229="EV",Paths!$E$229&lt;120,Paths!$E$229+'Operating costs'!$B$65&gt;Paths!$E$229,Paths!$E$229+'Operating costs'!$B$65&lt;=120,IF(Paths!$E$229+'Operating costs'!$B$65=0,C2450=0,AND(C2450&gt;0,Paths!$E$229+'Operating costs'!$B$65&gt;(C2450-1)*12,Paths!$E$229+'Operating costs'!$B$65&lt;=C2450*12))),'Operating costs'!$B$64,0)+IF(AND('Operating costs'!$B$67&gt;0,'Operating costs'!$B$67&lt;=120,OR(Paths!$D$229="ICE",'Operating costs'!$B$67&lt;=Paths!$E$229),IF('Operating costs'!$B$67=0,C2450=0,AND(C2450&gt;0,'Operating costs'!$B$67&gt;(C2450-1)*12,'Operating costs'!$B$67&lt;=C2450*12))),'Operating costs'!$B$66,0),"n.a."))</f>
        <v>0</v>
      </c>
      <c r="N2450" s="16">
        <f>IF(NOT(Paths!$C$229=1),0,IF(Paths!$P$229="Complete",SUM(G2450:I2450)-J2450-K2450-L2450+M2450+IF(C2450=0,Paths!$F$229,0)+IF(IF(Paths!$E$229=0,C2450=0,AND(C2450&gt;0,Paths!$E$229&gt;(C2450-1)*12,Paths!$E$229&lt;=C2450*12)),VLOOKUP(A2450,'Fleet register'!$A$7:$S$106,16,FALSE),0),"n.a."))</f>
        <v>0</v>
      </c>
      <c r="O2450" s="16">
        <f>IF(NOT(Paths!$C$229=1),0,IF(Paths!$P$229="Complete",N2450-IF(C2450=0,Paths!$F$229,0),"n.a."))</f>
        <v>0</v>
      </c>
      <c r="P2450" s="16">
        <f>IF(NOT(Paths!$C$229=1),0,IF(Paths!$P$229="Complete",O2450+L2450,"n.a."))</f>
        <v>0</v>
      </c>
      <c r="Q2450" s="16">
        <f>IF(NOT(Paths!$C$229=1),0,IF(Paths!$P$229="Complete",N2450*(1+'Operating costs'!$B$54)^-C2450,"n.a."))</f>
        <v>0</v>
      </c>
      <c r="R2450" s="16">
        <f>IF(NOT(Paths!$C$229=1),0,IF(Paths!$P$229="Complete",IF(AND(C2450=0,Paths!$E$229=0),I2450-J2450-K2450+VLOOKUP(A2450,'Fleet register'!$A$7:$S$106,15,FALSE)+VLOOKUP(A2450,'Fleet register'!$A$7:$S$106,16,FALSE),0),"n.a."))</f>
        <v>0</v>
      </c>
      <c r="S2450" s="1">
        <f>IF(NOT(Paths!$C$229=1),0,IF(Paths!$P$229="Complete",IF(C2450=0,0,Paths!$S$229*Paths!$R$229),"n.a."))</f>
        <v>0</v>
      </c>
      <c r="T2450" s="1">
        <f>IF(NOT(Paths!$C$229=1),0,IF(Paths!$P$229="Complete",IF(C2450=0,0,VLOOKUP(A2450,'Fleet register'!$A$7:$S$106,9,FALSE)*Paths!$R$229),"n.a."))</f>
        <v>0</v>
      </c>
    </row>
    <row r="2451" spans="1:20" ht="24" customHeight="1">
      <c r="A2451" s="1" t="str">
        <f>Paths!$A$229</f>
        <v>T056</v>
      </c>
      <c r="B2451" s="1">
        <f>Paths!$B$229</f>
        <v>2</v>
      </c>
      <c r="C2451" s="1">
        <v>2</v>
      </c>
      <c r="D2451" s="1">
        <v>229</v>
      </c>
      <c r="E2451" s="1">
        <f>IF(OR(Paths!$C$229=0,C2451=0),0,MAX(0,MIN(C2451*12,Paths!$E$229)-(C2451-1)*12))</f>
        <v>0</v>
      </c>
      <c r="F2451" s="1">
        <f>IF(OR(Paths!$C$229=0,C2451=0),0,12-E2451)</f>
        <v>0</v>
      </c>
      <c r="G2451" s="16">
        <f>IF(NOT(Paths!$C$229=1),0,IF(Paths!$P$229="Complete",E2451/12*(Paths!$J$229*(1+'Operating costs'!$B$51)^MAX(0,C2451-1)+Paths!$K$229*(1+'Operating costs'!$B$53)^MAX(0,C2451-1)),"n.a."))</f>
        <v>0</v>
      </c>
      <c r="H2451" s="16">
        <f>IF(NOT(Paths!$C$229=1),0,IF(Paths!$P$229="Complete",F2451/12*(Paths!$L$229*(1+IF(Paths!$D$229="EV",'Operating costs'!$B$52,'Operating costs'!$B$51))^MAX(0,C2451-1)+Paths!$M$229*(1+'Operating costs'!$B$53)^MAX(0,C2451-1)),"n.a."))</f>
        <v>0</v>
      </c>
      <c r="I2451" s="16">
        <f>IF(NOT(Paths!$C$229=1),0,IF(Paths!$P$229="Complete",IF(IF(Paths!$E$229=0,C2451=0,AND(C2451&gt;0,Paths!$E$229&gt;(C2451-1)*12,Paths!$E$229&lt;=C2451*12)),Paths!$G$229,0),"n.a."))</f>
        <v>0</v>
      </c>
      <c r="J2451" s="16">
        <f>IF(NOT(Paths!$C$229=1),0,IF(Paths!$P$229="Complete",IF(IF(Paths!$E$229=0,C2451=0,AND(C2451&gt;0,Paths!$E$229&gt;(C2451-1)*12,Paths!$E$229&lt;=C2451*12)),Paths!$H$229,0),"n.a."))</f>
        <v>0</v>
      </c>
      <c r="K2451" s="16">
        <f>IF(NOT(Paths!$C$229=1),0,IF(Paths!$P$229="Complete",IF(IF(Paths!$O$229=0,C2451=0,AND(C2451&gt;0,Paths!$O$229&gt;(C2451-1)*12,Paths!$O$229&lt;=C2451*12)),Paths!$N$229,0),"n.a."))</f>
        <v>0</v>
      </c>
      <c r="L2451" s="16">
        <f>IF(NOT(Paths!$C$229=1),0,IF(Paths!$P$229="Complete",IF(C2451=10,Paths!$I$229,0),"n.a."))</f>
        <v>0</v>
      </c>
      <c r="M2451" s="16">
        <f>IF(NOT(Paths!$C$229=1),0,IF(Paths!$P$229="Complete",IF(AND(Paths!$D$229="EV",Paths!$E$229&lt;120,Paths!$E$229+'Operating costs'!$B$65&gt;Paths!$E$229,Paths!$E$229+'Operating costs'!$B$65&lt;=120,IF(Paths!$E$229+'Operating costs'!$B$65=0,C2451=0,AND(C2451&gt;0,Paths!$E$229+'Operating costs'!$B$65&gt;(C2451-1)*12,Paths!$E$229+'Operating costs'!$B$65&lt;=C2451*12))),'Operating costs'!$B$64,0)+IF(AND('Operating costs'!$B$67&gt;0,'Operating costs'!$B$67&lt;=120,OR(Paths!$D$229="ICE",'Operating costs'!$B$67&lt;=Paths!$E$229),IF('Operating costs'!$B$67=0,C2451=0,AND(C2451&gt;0,'Operating costs'!$B$67&gt;(C2451-1)*12,'Operating costs'!$B$67&lt;=C2451*12))),'Operating costs'!$B$66,0),"n.a."))</f>
        <v>0</v>
      </c>
      <c r="N2451" s="16">
        <f>IF(NOT(Paths!$C$229=1),0,IF(Paths!$P$229="Complete",SUM(G2451:I2451)-J2451-K2451-L2451+M2451+IF(C2451=0,Paths!$F$229,0)+IF(IF(Paths!$E$229=0,C2451=0,AND(C2451&gt;0,Paths!$E$229&gt;(C2451-1)*12,Paths!$E$229&lt;=C2451*12)),VLOOKUP(A2451,'Fleet register'!$A$7:$S$106,16,FALSE),0),"n.a."))</f>
        <v>0</v>
      </c>
      <c r="O2451" s="16">
        <f>IF(NOT(Paths!$C$229=1),0,IF(Paths!$P$229="Complete",N2451-IF(C2451=0,Paths!$F$229,0),"n.a."))</f>
        <v>0</v>
      </c>
      <c r="P2451" s="16">
        <f>IF(NOT(Paths!$C$229=1),0,IF(Paths!$P$229="Complete",O2451+L2451,"n.a."))</f>
        <v>0</v>
      </c>
      <c r="Q2451" s="16">
        <f>IF(NOT(Paths!$C$229=1),0,IF(Paths!$P$229="Complete",N2451*(1+'Operating costs'!$B$54)^-C2451,"n.a."))</f>
        <v>0</v>
      </c>
      <c r="R2451" s="16">
        <f>IF(NOT(Paths!$C$229=1),0,IF(Paths!$P$229="Complete",IF(AND(C2451=0,Paths!$E$229=0),I2451-J2451-K2451+VLOOKUP(A2451,'Fleet register'!$A$7:$S$106,15,FALSE)+VLOOKUP(A2451,'Fleet register'!$A$7:$S$106,16,FALSE),0),"n.a."))</f>
        <v>0</v>
      </c>
      <c r="S2451" s="1">
        <f>IF(NOT(Paths!$C$229=1),0,IF(Paths!$P$229="Complete",IF(C2451=0,0,Paths!$S$229*Paths!$R$229),"n.a."))</f>
        <v>0</v>
      </c>
      <c r="T2451" s="1">
        <f>IF(NOT(Paths!$C$229=1),0,IF(Paths!$P$229="Complete",IF(C2451=0,0,VLOOKUP(A2451,'Fleet register'!$A$7:$S$106,9,FALSE)*Paths!$R$229),"n.a."))</f>
        <v>0</v>
      </c>
    </row>
    <row r="2452" spans="1:20" ht="24" customHeight="1">
      <c r="A2452" s="1" t="str">
        <f>Paths!$A$229</f>
        <v>T056</v>
      </c>
      <c r="B2452" s="1">
        <f>Paths!$B$229</f>
        <v>2</v>
      </c>
      <c r="C2452" s="1">
        <v>3</v>
      </c>
      <c r="D2452" s="1">
        <v>229</v>
      </c>
      <c r="E2452" s="1">
        <f>IF(OR(Paths!$C$229=0,C2452=0),0,MAX(0,MIN(C2452*12,Paths!$E$229)-(C2452-1)*12))</f>
        <v>0</v>
      </c>
      <c r="F2452" s="1">
        <f>IF(OR(Paths!$C$229=0,C2452=0),0,12-E2452)</f>
        <v>0</v>
      </c>
      <c r="G2452" s="16">
        <f>IF(NOT(Paths!$C$229=1),0,IF(Paths!$P$229="Complete",E2452/12*(Paths!$J$229*(1+'Operating costs'!$B$51)^MAX(0,C2452-1)+Paths!$K$229*(1+'Operating costs'!$B$53)^MAX(0,C2452-1)),"n.a."))</f>
        <v>0</v>
      </c>
      <c r="H2452" s="16">
        <f>IF(NOT(Paths!$C$229=1),0,IF(Paths!$P$229="Complete",F2452/12*(Paths!$L$229*(1+IF(Paths!$D$229="EV",'Operating costs'!$B$52,'Operating costs'!$B$51))^MAX(0,C2452-1)+Paths!$M$229*(1+'Operating costs'!$B$53)^MAX(0,C2452-1)),"n.a."))</f>
        <v>0</v>
      </c>
      <c r="I2452" s="16">
        <f>IF(NOT(Paths!$C$229=1),0,IF(Paths!$P$229="Complete",IF(IF(Paths!$E$229=0,C2452=0,AND(C2452&gt;0,Paths!$E$229&gt;(C2452-1)*12,Paths!$E$229&lt;=C2452*12)),Paths!$G$229,0),"n.a."))</f>
        <v>0</v>
      </c>
      <c r="J2452" s="16">
        <f>IF(NOT(Paths!$C$229=1),0,IF(Paths!$P$229="Complete",IF(IF(Paths!$E$229=0,C2452=0,AND(C2452&gt;0,Paths!$E$229&gt;(C2452-1)*12,Paths!$E$229&lt;=C2452*12)),Paths!$H$229,0),"n.a."))</f>
        <v>0</v>
      </c>
      <c r="K2452" s="16">
        <f>IF(NOT(Paths!$C$229=1),0,IF(Paths!$P$229="Complete",IF(IF(Paths!$O$229=0,C2452=0,AND(C2452&gt;0,Paths!$O$229&gt;(C2452-1)*12,Paths!$O$229&lt;=C2452*12)),Paths!$N$229,0),"n.a."))</f>
        <v>0</v>
      </c>
      <c r="L2452" s="16">
        <f>IF(NOT(Paths!$C$229=1),0,IF(Paths!$P$229="Complete",IF(C2452=10,Paths!$I$229,0),"n.a."))</f>
        <v>0</v>
      </c>
      <c r="M2452" s="16">
        <f>IF(NOT(Paths!$C$229=1),0,IF(Paths!$P$229="Complete",IF(AND(Paths!$D$229="EV",Paths!$E$229&lt;120,Paths!$E$229+'Operating costs'!$B$65&gt;Paths!$E$229,Paths!$E$229+'Operating costs'!$B$65&lt;=120,IF(Paths!$E$229+'Operating costs'!$B$65=0,C2452=0,AND(C2452&gt;0,Paths!$E$229+'Operating costs'!$B$65&gt;(C2452-1)*12,Paths!$E$229+'Operating costs'!$B$65&lt;=C2452*12))),'Operating costs'!$B$64,0)+IF(AND('Operating costs'!$B$67&gt;0,'Operating costs'!$B$67&lt;=120,OR(Paths!$D$229="ICE",'Operating costs'!$B$67&lt;=Paths!$E$229),IF('Operating costs'!$B$67=0,C2452=0,AND(C2452&gt;0,'Operating costs'!$B$67&gt;(C2452-1)*12,'Operating costs'!$B$67&lt;=C2452*12))),'Operating costs'!$B$66,0),"n.a."))</f>
        <v>0</v>
      </c>
      <c r="N2452" s="16">
        <f>IF(NOT(Paths!$C$229=1),0,IF(Paths!$P$229="Complete",SUM(G2452:I2452)-J2452-K2452-L2452+M2452+IF(C2452=0,Paths!$F$229,0)+IF(IF(Paths!$E$229=0,C2452=0,AND(C2452&gt;0,Paths!$E$229&gt;(C2452-1)*12,Paths!$E$229&lt;=C2452*12)),VLOOKUP(A2452,'Fleet register'!$A$7:$S$106,16,FALSE),0),"n.a."))</f>
        <v>0</v>
      </c>
      <c r="O2452" s="16">
        <f>IF(NOT(Paths!$C$229=1),0,IF(Paths!$P$229="Complete",N2452-IF(C2452=0,Paths!$F$229,0),"n.a."))</f>
        <v>0</v>
      </c>
      <c r="P2452" s="16">
        <f>IF(NOT(Paths!$C$229=1),0,IF(Paths!$P$229="Complete",O2452+L2452,"n.a."))</f>
        <v>0</v>
      </c>
      <c r="Q2452" s="16">
        <f>IF(NOT(Paths!$C$229=1),0,IF(Paths!$P$229="Complete",N2452*(1+'Operating costs'!$B$54)^-C2452,"n.a."))</f>
        <v>0</v>
      </c>
      <c r="R2452" s="16">
        <f>IF(NOT(Paths!$C$229=1),0,IF(Paths!$P$229="Complete",IF(AND(C2452=0,Paths!$E$229=0),I2452-J2452-K2452+VLOOKUP(A2452,'Fleet register'!$A$7:$S$106,15,FALSE)+VLOOKUP(A2452,'Fleet register'!$A$7:$S$106,16,FALSE),0),"n.a."))</f>
        <v>0</v>
      </c>
      <c r="S2452" s="1">
        <f>IF(NOT(Paths!$C$229=1),0,IF(Paths!$P$229="Complete",IF(C2452=0,0,Paths!$S$229*Paths!$R$229),"n.a."))</f>
        <v>0</v>
      </c>
      <c r="T2452" s="1">
        <f>IF(NOT(Paths!$C$229=1),0,IF(Paths!$P$229="Complete",IF(C2452=0,0,VLOOKUP(A2452,'Fleet register'!$A$7:$S$106,9,FALSE)*Paths!$R$229),"n.a."))</f>
        <v>0</v>
      </c>
    </row>
    <row r="2453" spans="1:20" ht="24" customHeight="1">
      <c r="A2453" s="1" t="str">
        <f>Paths!$A$229</f>
        <v>T056</v>
      </c>
      <c r="B2453" s="1">
        <f>Paths!$B$229</f>
        <v>2</v>
      </c>
      <c r="C2453" s="1">
        <v>4</v>
      </c>
      <c r="D2453" s="1">
        <v>229</v>
      </c>
      <c r="E2453" s="1">
        <f>IF(OR(Paths!$C$229=0,C2453=0),0,MAX(0,MIN(C2453*12,Paths!$E$229)-(C2453-1)*12))</f>
        <v>0</v>
      </c>
      <c r="F2453" s="1">
        <f>IF(OR(Paths!$C$229=0,C2453=0),0,12-E2453)</f>
        <v>0</v>
      </c>
      <c r="G2453" s="16">
        <f>IF(NOT(Paths!$C$229=1),0,IF(Paths!$P$229="Complete",E2453/12*(Paths!$J$229*(1+'Operating costs'!$B$51)^MAX(0,C2453-1)+Paths!$K$229*(1+'Operating costs'!$B$53)^MAX(0,C2453-1)),"n.a."))</f>
        <v>0</v>
      </c>
      <c r="H2453" s="16">
        <f>IF(NOT(Paths!$C$229=1),0,IF(Paths!$P$229="Complete",F2453/12*(Paths!$L$229*(1+IF(Paths!$D$229="EV",'Operating costs'!$B$52,'Operating costs'!$B$51))^MAX(0,C2453-1)+Paths!$M$229*(1+'Operating costs'!$B$53)^MAX(0,C2453-1)),"n.a."))</f>
        <v>0</v>
      </c>
      <c r="I2453" s="16">
        <f>IF(NOT(Paths!$C$229=1),0,IF(Paths!$P$229="Complete",IF(IF(Paths!$E$229=0,C2453=0,AND(C2453&gt;0,Paths!$E$229&gt;(C2453-1)*12,Paths!$E$229&lt;=C2453*12)),Paths!$G$229,0),"n.a."))</f>
        <v>0</v>
      </c>
      <c r="J2453" s="16">
        <f>IF(NOT(Paths!$C$229=1),0,IF(Paths!$P$229="Complete",IF(IF(Paths!$E$229=0,C2453=0,AND(C2453&gt;0,Paths!$E$229&gt;(C2453-1)*12,Paths!$E$229&lt;=C2453*12)),Paths!$H$229,0),"n.a."))</f>
        <v>0</v>
      </c>
      <c r="K2453" s="16">
        <f>IF(NOT(Paths!$C$229=1),0,IF(Paths!$P$229="Complete",IF(IF(Paths!$O$229=0,C2453=0,AND(C2453&gt;0,Paths!$O$229&gt;(C2453-1)*12,Paths!$O$229&lt;=C2453*12)),Paths!$N$229,0),"n.a."))</f>
        <v>0</v>
      </c>
      <c r="L2453" s="16">
        <f>IF(NOT(Paths!$C$229=1),0,IF(Paths!$P$229="Complete",IF(C2453=10,Paths!$I$229,0),"n.a."))</f>
        <v>0</v>
      </c>
      <c r="M2453" s="16">
        <f>IF(NOT(Paths!$C$229=1),0,IF(Paths!$P$229="Complete",IF(AND(Paths!$D$229="EV",Paths!$E$229&lt;120,Paths!$E$229+'Operating costs'!$B$65&gt;Paths!$E$229,Paths!$E$229+'Operating costs'!$B$65&lt;=120,IF(Paths!$E$229+'Operating costs'!$B$65=0,C2453=0,AND(C2453&gt;0,Paths!$E$229+'Operating costs'!$B$65&gt;(C2453-1)*12,Paths!$E$229+'Operating costs'!$B$65&lt;=C2453*12))),'Operating costs'!$B$64,0)+IF(AND('Operating costs'!$B$67&gt;0,'Operating costs'!$B$67&lt;=120,OR(Paths!$D$229="ICE",'Operating costs'!$B$67&lt;=Paths!$E$229),IF('Operating costs'!$B$67=0,C2453=0,AND(C2453&gt;0,'Operating costs'!$B$67&gt;(C2453-1)*12,'Operating costs'!$B$67&lt;=C2453*12))),'Operating costs'!$B$66,0),"n.a."))</f>
        <v>0</v>
      </c>
      <c r="N2453" s="16">
        <f>IF(NOT(Paths!$C$229=1),0,IF(Paths!$P$229="Complete",SUM(G2453:I2453)-J2453-K2453-L2453+M2453+IF(C2453=0,Paths!$F$229,0)+IF(IF(Paths!$E$229=0,C2453=0,AND(C2453&gt;0,Paths!$E$229&gt;(C2453-1)*12,Paths!$E$229&lt;=C2453*12)),VLOOKUP(A2453,'Fleet register'!$A$7:$S$106,16,FALSE),0),"n.a."))</f>
        <v>0</v>
      </c>
      <c r="O2453" s="16">
        <f>IF(NOT(Paths!$C$229=1),0,IF(Paths!$P$229="Complete",N2453-IF(C2453=0,Paths!$F$229,0),"n.a."))</f>
        <v>0</v>
      </c>
      <c r="P2453" s="16">
        <f>IF(NOT(Paths!$C$229=1),0,IF(Paths!$P$229="Complete",O2453+L2453,"n.a."))</f>
        <v>0</v>
      </c>
      <c r="Q2453" s="16">
        <f>IF(NOT(Paths!$C$229=1),0,IF(Paths!$P$229="Complete",N2453*(1+'Operating costs'!$B$54)^-C2453,"n.a."))</f>
        <v>0</v>
      </c>
      <c r="R2453" s="16">
        <f>IF(NOT(Paths!$C$229=1),0,IF(Paths!$P$229="Complete",IF(AND(C2453=0,Paths!$E$229=0),I2453-J2453-K2453+VLOOKUP(A2453,'Fleet register'!$A$7:$S$106,15,FALSE)+VLOOKUP(A2453,'Fleet register'!$A$7:$S$106,16,FALSE),0),"n.a."))</f>
        <v>0</v>
      </c>
      <c r="S2453" s="1">
        <f>IF(NOT(Paths!$C$229=1),0,IF(Paths!$P$229="Complete",IF(C2453=0,0,Paths!$S$229*Paths!$R$229),"n.a."))</f>
        <v>0</v>
      </c>
      <c r="T2453" s="1">
        <f>IF(NOT(Paths!$C$229=1),0,IF(Paths!$P$229="Complete",IF(C2453=0,0,VLOOKUP(A2453,'Fleet register'!$A$7:$S$106,9,FALSE)*Paths!$R$229),"n.a."))</f>
        <v>0</v>
      </c>
    </row>
    <row r="2454" spans="1:20" ht="24" customHeight="1">
      <c r="A2454" s="1" t="str">
        <f>Paths!$A$229</f>
        <v>T056</v>
      </c>
      <c r="B2454" s="1">
        <f>Paths!$B$229</f>
        <v>2</v>
      </c>
      <c r="C2454" s="1">
        <v>5</v>
      </c>
      <c r="D2454" s="1">
        <v>229</v>
      </c>
      <c r="E2454" s="1">
        <f>IF(OR(Paths!$C$229=0,C2454=0),0,MAX(0,MIN(C2454*12,Paths!$E$229)-(C2454-1)*12))</f>
        <v>0</v>
      </c>
      <c r="F2454" s="1">
        <f>IF(OR(Paths!$C$229=0,C2454=0),0,12-E2454)</f>
        <v>0</v>
      </c>
      <c r="G2454" s="16">
        <f>IF(NOT(Paths!$C$229=1),0,IF(Paths!$P$229="Complete",E2454/12*(Paths!$J$229*(1+'Operating costs'!$B$51)^MAX(0,C2454-1)+Paths!$K$229*(1+'Operating costs'!$B$53)^MAX(0,C2454-1)),"n.a."))</f>
        <v>0</v>
      </c>
      <c r="H2454" s="16">
        <f>IF(NOT(Paths!$C$229=1),0,IF(Paths!$P$229="Complete",F2454/12*(Paths!$L$229*(1+IF(Paths!$D$229="EV",'Operating costs'!$B$52,'Operating costs'!$B$51))^MAX(0,C2454-1)+Paths!$M$229*(1+'Operating costs'!$B$53)^MAX(0,C2454-1)),"n.a."))</f>
        <v>0</v>
      </c>
      <c r="I2454" s="16">
        <f>IF(NOT(Paths!$C$229=1),0,IF(Paths!$P$229="Complete",IF(IF(Paths!$E$229=0,C2454=0,AND(C2454&gt;0,Paths!$E$229&gt;(C2454-1)*12,Paths!$E$229&lt;=C2454*12)),Paths!$G$229,0),"n.a."))</f>
        <v>0</v>
      </c>
      <c r="J2454" s="16">
        <f>IF(NOT(Paths!$C$229=1),0,IF(Paths!$P$229="Complete",IF(IF(Paths!$E$229=0,C2454=0,AND(C2454&gt;0,Paths!$E$229&gt;(C2454-1)*12,Paths!$E$229&lt;=C2454*12)),Paths!$H$229,0),"n.a."))</f>
        <v>0</v>
      </c>
      <c r="K2454" s="16">
        <f>IF(NOT(Paths!$C$229=1),0,IF(Paths!$P$229="Complete",IF(IF(Paths!$O$229=0,C2454=0,AND(C2454&gt;0,Paths!$O$229&gt;(C2454-1)*12,Paths!$O$229&lt;=C2454*12)),Paths!$N$229,0),"n.a."))</f>
        <v>0</v>
      </c>
      <c r="L2454" s="16">
        <f>IF(NOT(Paths!$C$229=1),0,IF(Paths!$P$229="Complete",IF(C2454=10,Paths!$I$229,0),"n.a."))</f>
        <v>0</v>
      </c>
      <c r="M2454" s="16">
        <f>IF(NOT(Paths!$C$229=1),0,IF(Paths!$P$229="Complete",IF(AND(Paths!$D$229="EV",Paths!$E$229&lt;120,Paths!$E$229+'Operating costs'!$B$65&gt;Paths!$E$229,Paths!$E$229+'Operating costs'!$B$65&lt;=120,IF(Paths!$E$229+'Operating costs'!$B$65=0,C2454=0,AND(C2454&gt;0,Paths!$E$229+'Operating costs'!$B$65&gt;(C2454-1)*12,Paths!$E$229+'Operating costs'!$B$65&lt;=C2454*12))),'Operating costs'!$B$64,0)+IF(AND('Operating costs'!$B$67&gt;0,'Operating costs'!$B$67&lt;=120,OR(Paths!$D$229="ICE",'Operating costs'!$B$67&lt;=Paths!$E$229),IF('Operating costs'!$B$67=0,C2454=0,AND(C2454&gt;0,'Operating costs'!$B$67&gt;(C2454-1)*12,'Operating costs'!$B$67&lt;=C2454*12))),'Operating costs'!$B$66,0),"n.a."))</f>
        <v>0</v>
      </c>
      <c r="N2454" s="16">
        <f>IF(NOT(Paths!$C$229=1),0,IF(Paths!$P$229="Complete",SUM(G2454:I2454)-J2454-K2454-L2454+M2454+IF(C2454=0,Paths!$F$229,0)+IF(IF(Paths!$E$229=0,C2454=0,AND(C2454&gt;0,Paths!$E$229&gt;(C2454-1)*12,Paths!$E$229&lt;=C2454*12)),VLOOKUP(A2454,'Fleet register'!$A$7:$S$106,16,FALSE),0),"n.a."))</f>
        <v>0</v>
      </c>
      <c r="O2454" s="16">
        <f>IF(NOT(Paths!$C$229=1),0,IF(Paths!$P$229="Complete",N2454-IF(C2454=0,Paths!$F$229,0),"n.a."))</f>
        <v>0</v>
      </c>
      <c r="P2454" s="16">
        <f>IF(NOT(Paths!$C$229=1),0,IF(Paths!$P$229="Complete",O2454+L2454,"n.a."))</f>
        <v>0</v>
      </c>
      <c r="Q2454" s="16">
        <f>IF(NOT(Paths!$C$229=1),0,IF(Paths!$P$229="Complete",N2454*(1+'Operating costs'!$B$54)^-C2454,"n.a."))</f>
        <v>0</v>
      </c>
      <c r="R2454" s="16">
        <f>IF(NOT(Paths!$C$229=1),0,IF(Paths!$P$229="Complete",IF(AND(C2454=0,Paths!$E$229=0),I2454-J2454-K2454+VLOOKUP(A2454,'Fleet register'!$A$7:$S$106,15,FALSE)+VLOOKUP(A2454,'Fleet register'!$A$7:$S$106,16,FALSE),0),"n.a."))</f>
        <v>0</v>
      </c>
      <c r="S2454" s="1">
        <f>IF(NOT(Paths!$C$229=1),0,IF(Paths!$P$229="Complete",IF(C2454=0,0,Paths!$S$229*Paths!$R$229),"n.a."))</f>
        <v>0</v>
      </c>
      <c r="T2454" s="1">
        <f>IF(NOT(Paths!$C$229=1),0,IF(Paths!$P$229="Complete",IF(C2454=0,0,VLOOKUP(A2454,'Fleet register'!$A$7:$S$106,9,FALSE)*Paths!$R$229),"n.a."))</f>
        <v>0</v>
      </c>
    </row>
    <row r="2455" spans="1:20" ht="24" customHeight="1">
      <c r="A2455" s="1" t="str">
        <f>Paths!$A$229</f>
        <v>T056</v>
      </c>
      <c r="B2455" s="1">
        <f>Paths!$B$229</f>
        <v>2</v>
      </c>
      <c r="C2455" s="1">
        <v>6</v>
      </c>
      <c r="D2455" s="1">
        <v>229</v>
      </c>
      <c r="E2455" s="1">
        <f>IF(OR(Paths!$C$229=0,C2455=0),0,MAX(0,MIN(C2455*12,Paths!$E$229)-(C2455-1)*12))</f>
        <v>0</v>
      </c>
      <c r="F2455" s="1">
        <f>IF(OR(Paths!$C$229=0,C2455=0),0,12-E2455)</f>
        <v>0</v>
      </c>
      <c r="G2455" s="16">
        <f>IF(NOT(Paths!$C$229=1),0,IF(Paths!$P$229="Complete",E2455/12*(Paths!$J$229*(1+'Operating costs'!$B$51)^MAX(0,C2455-1)+Paths!$K$229*(1+'Operating costs'!$B$53)^MAX(0,C2455-1)),"n.a."))</f>
        <v>0</v>
      </c>
      <c r="H2455" s="16">
        <f>IF(NOT(Paths!$C$229=1),0,IF(Paths!$P$229="Complete",F2455/12*(Paths!$L$229*(1+IF(Paths!$D$229="EV",'Operating costs'!$B$52,'Operating costs'!$B$51))^MAX(0,C2455-1)+Paths!$M$229*(1+'Operating costs'!$B$53)^MAX(0,C2455-1)),"n.a."))</f>
        <v>0</v>
      </c>
      <c r="I2455" s="16">
        <f>IF(NOT(Paths!$C$229=1),0,IF(Paths!$P$229="Complete",IF(IF(Paths!$E$229=0,C2455=0,AND(C2455&gt;0,Paths!$E$229&gt;(C2455-1)*12,Paths!$E$229&lt;=C2455*12)),Paths!$G$229,0),"n.a."))</f>
        <v>0</v>
      </c>
      <c r="J2455" s="16">
        <f>IF(NOT(Paths!$C$229=1),0,IF(Paths!$P$229="Complete",IF(IF(Paths!$E$229=0,C2455=0,AND(C2455&gt;0,Paths!$E$229&gt;(C2455-1)*12,Paths!$E$229&lt;=C2455*12)),Paths!$H$229,0),"n.a."))</f>
        <v>0</v>
      </c>
      <c r="K2455" s="16">
        <f>IF(NOT(Paths!$C$229=1),0,IF(Paths!$P$229="Complete",IF(IF(Paths!$O$229=0,C2455=0,AND(C2455&gt;0,Paths!$O$229&gt;(C2455-1)*12,Paths!$O$229&lt;=C2455*12)),Paths!$N$229,0),"n.a."))</f>
        <v>0</v>
      </c>
      <c r="L2455" s="16">
        <f>IF(NOT(Paths!$C$229=1),0,IF(Paths!$P$229="Complete",IF(C2455=10,Paths!$I$229,0),"n.a."))</f>
        <v>0</v>
      </c>
      <c r="M2455" s="16">
        <f>IF(NOT(Paths!$C$229=1),0,IF(Paths!$P$229="Complete",IF(AND(Paths!$D$229="EV",Paths!$E$229&lt;120,Paths!$E$229+'Operating costs'!$B$65&gt;Paths!$E$229,Paths!$E$229+'Operating costs'!$B$65&lt;=120,IF(Paths!$E$229+'Operating costs'!$B$65=0,C2455=0,AND(C2455&gt;0,Paths!$E$229+'Operating costs'!$B$65&gt;(C2455-1)*12,Paths!$E$229+'Operating costs'!$B$65&lt;=C2455*12))),'Operating costs'!$B$64,0)+IF(AND('Operating costs'!$B$67&gt;0,'Operating costs'!$B$67&lt;=120,OR(Paths!$D$229="ICE",'Operating costs'!$B$67&lt;=Paths!$E$229),IF('Operating costs'!$B$67=0,C2455=0,AND(C2455&gt;0,'Operating costs'!$B$67&gt;(C2455-1)*12,'Operating costs'!$B$67&lt;=C2455*12))),'Operating costs'!$B$66,0),"n.a."))</f>
        <v>0</v>
      </c>
      <c r="N2455" s="16">
        <f>IF(NOT(Paths!$C$229=1),0,IF(Paths!$P$229="Complete",SUM(G2455:I2455)-J2455-K2455-L2455+M2455+IF(C2455=0,Paths!$F$229,0)+IF(IF(Paths!$E$229=0,C2455=0,AND(C2455&gt;0,Paths!$E$229&gt;(C2455-1)*12,Paths!$E$229&lt;=C2455*12)),VLOOKUP(A2455,'Fleet register'!$A$7:$S$106,16,FALSE),0),"n.a."))</f>
        <v>0</v>
      </c>
      <c r="O2455" s="16">
        <f>IF(NOT(Paths!$C$229=1),0,IF(Paths!$P$229="Complete",N2455-IF(C2455=0,Paths!$F$229,0),"n.a."))</f>
        <v>0</v>
      </c>
      <c r="P2455" s="16">
        <f>IF(NOT(Paths!$C$229=1),0,IF(Paths!$P$229="Complete",O2455+L2455,"n.a."))</f>
        <v>0</v>
      </c>
      <c r="Q2455" s="16">
        <f>IF(NOT(Paths!$C$229=1),0,IF(Paths!$P$229="Complete",N2455*(1+'Operating costs'!$B$54)^-C2455,"n.a."))</f>
        <v>0</v>
      </c>
      <c r="R2455" s="16">
        <f>IF(NOT(Paths!$C$229=1),0,IF(Paths!$P$229="Complete",IF(AND(C2455=0,Paths!$E$229=0),I2455-J2455-K2455+VLOOKUP(A2455,'Fleet register'!$A$7:$S$106,15,FALSE)+VLOOKUP(A2455,'Fleet register'!$A$7:$S$106,16,FALSE),0),"n.a."))</f>
        <v>0</v>
      </c>
      <c r="S2455" s="1">
        <f>IF(NOT(Paths!$C$229=1),0,IF(Paths!$P$229="Complete",IF(C2455=0,0,Paths!$S$229*Paths!$R$229),"n.a."))</f>
        <v>0</v>
      </c>
      <c r="T2455" s="1">
        <f>IF(NOT(Paths!$C$229=1),0,IF(Paths!$P$229="Complete",IF(C2455=0,0,VLOOKUP(A2455,'Fleet register'!$A$7:$S$106,9,FALSE)*Paths!$R$229),"n.a."))</f>
        <v>0</v>
      </c>
    </row>
    <row r="2456" spans="1:20" ht="24" customHeight="1">
      <c r="A2456" s="1" t="str">
        <f>Paths!$A$229</f>
        <v>T056</v>
      </c>
      <c r="B2456" s="1">
        <f>Paths!$B$229</f>
        <v>2</v>
      </c>
      <c r="C2456" s="1">
        <v>7</v>
      </c>
      <c r="D2456" s="1">
        <v>229</v>
      </c>
      <c r="E2456" s="1">
        <f>IF(OR(Paths!$C$229=0,C2456=0),0,MAX(0,MIN(C2456*12,Paths!$E$229)-(C2456-1)*12))</f>
        <v>0</v>
      </c>
      <c r="F2456" s="1">
        <f>IF(OR(Paths!$C$229=0,C2456=0),0,12-E2456)</f>
        <v>0</v>
      </c>
      <c r="G2456" s="16">
        <f>IF(NOT(Paths!$C$229=1),0,IF(Paths!$P$229="Complete",E2456/12*(Paths!$J$229*(1+'Operating costs'!$B$51)^MAX(0,C2456-1)+Paths!$K$229*(1+'Operating costs'!$B$53)^MAX(0,C2456-1)),"n.a."))</f>
        <v>0</v>
      </c>
      <c r="H2456" s="16">
        <f>IF(NOT(Paths!$C$229=1),0,IF(Paths!$P$229="Complete",F2456/12*(Paths!$L$229*(1+IF(Paths!$D$229="EV",'Operating costs'!$B$52,'Operating costs'!$B$51))^MAX(0,C2456-1)+Paths!$M$229*(1+'Operating costs'!$B$53)^MAX(0,C2456-1)),"n.a."))</f>
        <v>0</v>
      </c>
      <c r="I2456" s="16">
        <f>IF(NOT(Paths!$C$229=1),0,IF(Paths!$P$229="Complete",IF(IF(Paths!$E$229=0,C2456=0,AND(C2456&gt;0,Paths!$E$229&gt;(C2456-1)*12,Paths!$E$229&lt;=C2456*12)),Paths!$G$229,0),"n.a."))</f>
        <v>0</v>
      </c>
      <c r="J2456" s="16">
        <f>IF(NOT(Paths!$C$229=1),0,IF(Paths!$P$229="Complete",IF(IF(Paths!$E$229=0,C2456=0,AND(C2456&gt;0,Paths!$E$229&gt;(C2456-1)*12,Paths!$E$229&lt;=C2456*12)),Paths!$H$229,0),"n.a."))</f>
        <v>0</v>
      </c>
      <c r="K2456" s="16">
        <f>IF(NOT(Paths!$C$229=1),0,IF(Paths!$P$229="Complete",IF(IF(Paths!$O$229=0,C2456=0,AND(C2456&gt;0,Paths!$O$229&gt;(C2456-1)*12,Paths!$O$229&lt;=C2456*12)),Paths!$N$229,0),"n.a."))</f>
        <v>0</v>
      </c>
      <c r="L2456" s="16">
        <f>IF(NOT(Paths!$C$229=1),0,IF(Paths!$P$229="Complete",IF(C2456=10,Paths!$I$229,0),"n.a."))</f>
        <v>0</v>
      </c>
      <c r="M2456" s="16">
        <f>IF(NOT(Paths!$C$229=1),0,IF(Paths!$P$229="Complete",IF(AND(Paths!$D$229="EV",Paths!$E$229&lt;120,Paths!$E$229+'Operating costs'!$B$65&gt;Paths!$E$229,Paths!$E$229+'Operating costs'!$B$65&lt;=120,IF(Paths!$E$229+'Operating costs'!$B$65=0,C2456=0,AND(C2456&gt;0,Paths!$E$229+'Operating costs'!$B$65&gt;(C2456-1)*12,Paths!$E$229+'Operating costs'!$B$65&lt;=C2456*12))),'Operating costs'!$B$64,0)+IF(AND('Operating costs'!$B$67&gt;0,'Operating costs'!$B$67&lt;=120,OR(Paths!$D$229="ICE",'Operating costs'!$B$67&lt;=Paths!$E$229),IF('Operating costs'!$B$67=0,C2456=0,AND(C2456&gt;0,'Operating costs'!$B$67&gt;(C2456-1)*12,'Operating costs'!$B$67&lt;=C2456*12))),'Operating costs'!$B$66,0),"n.a."))</f>
        <v>0</v>
      </c>
      <c r="N2456" s="16">
        <f>IF(NOT(Paths!$C$229=1),0,IF(Paths!$P$229="Complete",SUM(G2456:I2456)-J2456-K2456-L2456+M2456+IF(C2456=0,Paths!$F$229,0)+IF(IF(Paths!$E$229=0,C2456=0,AND(C2456&gt;0,Paths!$E$229&gt;(C2456-1)*12,Paths!$E$229&lt;=C2456*12)),VLOOKUP(A2456,'Fleet register'!$A$7:$S$106,16,FALSE),0),"n.a."))</f>
        <v>0</v>
      </c>
      <c r="O2456" s="16">
        <f>IF(NOT(Paths!$C$229=1),0,IF(Paths!$P$229="Complete",N2456-IF(C2456=0,Paths!$F$229,0),"n.a."))</f>
        <v>0</v>
      </c>
      <c r="P2456" s="16">
        <f>IF(NOT(Paths!$C$229=1),0,IF(Paths!$P$229="Complete",O2456+L2456,"n.a."))</f>
        <v>0</v>
      </c>
      <c r="Q2456" s="16">
        <f>IF(NOT(Paths!$C$229=1),0,IF(Paths!$P$229="Complete",N2456*(1+'Operating costs'!$B$54)^-C2456,"n.a."))</f>
        <v>0</v>
      </c>
      <c r="R2456" s="16">
        <f>IF(NOT(Paths!$C$229=1),0,IF(Paths!$P$229="Complete",IF(AND(C2456=0,Paths!$E$229=0),I2456-J2456-K2456+VLOOKUP(A2456,'Fleet register'!$A$7:$S$106,15,FALSE)+VLOOKUP(A2456,'Fleet register'!$A$7:$S$106,16,FALSE),0),"n.a."))</f>
        <v>0</v>
      </c>
      <c r="S2456" s="1">
        <f>IF(NOT(Paths!$C$229=1),0,IF(Paths!$P$229="Complete",IF(C2456=0,0,Paths!$S$229*Paths!$R$229),"n.a."))</f>
        <v>0</v>
      </c>
      <c r="T2456" s="1">
        <f>IF(NOT(Paths!$C$229=1),0,IF(Paths!$P$229="Complete",IF(C2456=0,0,VLOOKUP(A2456,'Fleet register'!$A$7:$S$106,9,FALSE)*Paths!$R$229),"n.a."))</f>
        <v>0</v>
      </c>
    </row>
    <row r="2457" spans="1:20" ht="24" customHeight="1">
      <c r="A2457" s="1" t="str">
        <f>Paths!$A$229</f>
        <v>T056</v>
      </c>
      <c r="B2457" s="1">
        <f>Paths!$B$229</f>
        <v>2</v>
      </c>
      <c r="C2457" s="1">
        <v>8</v>
      </c>
      <c r="D2457" s="1">
        <v>229</v>
      </c>
      <c r="E2457" s="1">
        <f>IF(OR(Paths!$C$229=0,C2457=0),0,MAX(0,MIN(C2457*12,Paths!$E$229)-(C2457-1)*12))</f>
        <v>0</v>
      </c>
      <c r="F2457" s="1">
        <f>IF(OR(Paths!$C$229=0,C2457=0),0,12-E2457)</f>
        <v>0</v>
      </c>
      <c r="G2457" s="16">
        <f>IF(NOT(Paths!$C$229=1),0,IF(Paths!$P$229="Complete",E2457/12*(Paths!$J$229*(1+'Operating costs'!$B$51)^MAX(0,C2457-1)+Paths!$K$229*(1+'Operating costs'!$B$53)^MAX(0,C2457-1)),"n.a."))</f>
        <v>0</v>
      </c>
      <c r="H2457" s="16">
        <f>IF(NOT(Paths!$C$229=1),0,IF(Paths!$P$229="Complete",F2457/12*(Paths!$L$229*(1+IF(Paths!$D$229="EV",'Operating costs'!$B$52,'Operating costs'!$B$51))^MAX(0,C2457-1)+Paths!$M$229*(1+'Operating costs'!$B$53)^MAX(0,C2457-1)),"n.a."))</f>
        <v>0</v>
      </c>
      <c r="I2457" s="16">
        <f>IF(NOT(Paths!$C$229=1),0,IF(Paths!$P$229="Complete",IF(IF(Paths!$E$229=0,C2457=0,AND(C2457&gt;0,Paths!$E$229&gt;(C2457-1)*12,Paths!$E$229&lt;=C2457*12)),Paths!$G$229,0),"n.a."))</f>
        <v>0</v>
      </c>
      <c r="J2457" s="16">
        <f>IF(NOT(Paths!$C$229=1),0,IF(Paths!$P$229="Complete",IF(IF(Paths!$E$229=0,C2457=0,AND(C2457&gt;0,Paths!$E$229&gt;(C2457-1)*12,Paths!$E$229&lt;=C2457*12)),Paths!$H$229,0),"n.a."))</f>
        <v>0</v>
      </c>
      <c r="K2457" s="16">
        <f>IF(NOT(Paths!$C$229=1),0,IF(Paths!$P$229="Complete",IF(IF(Paths!$O$229=0,C2457=0,AND(C2457&gt;0,Paths!$O$229&gt;(C2457-1)*12,Paths!$O$229&lt;=C2457*12)),Paths!$N$229,0),"n.a."))</f>
        <v>0</v>
      </c>
      <c r="L2457" s="16">
        <f>IF(NOT(Paths!$C$229=1),0,IF(Paths!$P$229="Complete",IF(C2457=10,Paths!$I$229,0),"n.a."))</f>
        <v>0</v>
      </c>
      <c r="M2457" s="16">
        <f>IF(NOT(Paths!$C$229=1),0,IF(Paths!$P$229="Complete",IF(AND(Paths!$D$229="EV",Paths!$E$229&lt;120,Paths!$E$229+'Operating costs'!$B$65&gt;Paths!$E$229,Paths!$E$229+'Operating costs'!$B$65&lt;=120,IF(Paths!$E$229+'Operating costs'!$B$65=0,C2457=0,AND(C2457&gt;0,Paths!$E$229+'Operating costs'!$B$65&gt;(C2457-1)*12,Paths!$E$229+'Operating costs'!$B$65&lt;=C2457*12))),'Operating costs'!$B$64,0)+IF(AND('Operating costs'!$B$67&gt;0,'Operating costs'!$B$67&lt;=120,OR(Paths!$D$229="ICE",'Operating costs'!$B$67&lt;=Paths!$E$229),IF('Operating costs'!$B$67=0,C2457=0,AND(C2457&gt;0,'Operating costs'!$B$67&gt;(C2457-1)*12,'Operating costs'!$B$67&lt;=C2457*12))),'Operating costs'!$B$66,0),"n.a."))</f>
        <v>0</v>
      </c>
      <c r="N2457" s="16">
        <f>IF(NOT(Paths!$C$229=1),0,IF(Paths!$P$229="Complete",SUM(G2457:I2457)-J2457-K2457-L2457+M2457+IF(C2457=0,Paths!$F$229,0)+IF(IF(Paths!$E$229=0,C2457=0,AND(C2457&gt;0,Paths!$E$229&gt;(C2457-1)*12,Paths!$E$229&lt;=C2457*12)),VLOOKUP(A2457,'Fleet register'!$A$7:$S$106,16,FALSE),0),"n.a."))</f>
        <v>0</v>
      </c>
      <c r="O2457" s="16">
        <f>IF(NOT(Paths!$C$229=1),0,IF(Paths!$P$229="Complete",N2457-IF(C2457=0,Paths!$F$229,0),"n.a."))</f>
        <v>0</v>
      </c>
      <c r="P2457" s="16">
        <f>IF(NOT(Paths!$C$229=1),0,IF(Paths!$P$229="Complete",O2457+L2457,"n.a."))</f>
        <v>0</v>
      </c>
      <c r="Q2457" s="16">
        <f>IF(NOT(Paths!$C$229=1),0,IF(Paths!$P$229="Complete",N2457*(1+'Operating costs'!$B$54)^-C2457,"n.a."))</f>
        <v>0</v>
      </c>
      <c r="R2457" s="16">
        <f>IF(NOT(Paths!$C$229=1),0,IF(Paths!$P$229="Complete",IF(AND(C2457=0,Paths!$E$229=0),I2457-J2457-K2457+VLOOKUP(A2457,'Fleet register'!$A$7:$S$106,15,FALSE)+VLOOKUP(A2457,'Fleet register'!$A$7:$S$106,16,FALSE),0),"n.a."))</f>
        <v>0</v>
      </c>
      <c r="S2457" s="1">
        <f>IF(NOT(Paths!$C$229=1),0,IF(Paths!$P$229="Complete",IF(C2457=0,0,Paths!$S$229*Paths!$R$229),"n.a."))</f>
        <v>0</v>
      </c>
      <c r="T2457" s="1">
        <f>IF(NOT(Paths!$C$229=1),0,IF(Paths!$P$229="Complete",IF(C2457=0,0,VLOOKUP(A2457,'Fleet register'!$A$7:$S$106,9,FALSE)*Paths!$R$229),"n.a."))</f>
        <v>0</v>
      </c>
    </row>
    <row r="2458" spans="1:20" ht="24" customHeight="1">
      <c r="A2458" s="1" t="str">
        <f>Paths!$A$229</f>
        <v>T056</v>
      </c>
      <c r="B2458" s="1">
        <f>Paths!$B$229</f>
        <v>2</v>
      </c>
      <c r="C2458" s="1">
        <v>9</v>
      </c>
      <c r="D2458" s="1">
        <v>229</v>
      </c>
      <c r="E2458" s="1">
        <f>IF(OR(Paths!$C$229=0,C2458=0),0,MAX(0,MIN(C2458*12,Paths!$E$229)-(C2458-1)*12))</f>
        <v>0</v>
      </c>
      <c r="F2458" s="1">
        <f>IF(OR(Paths!$C$229=0,C2458=0),0,12-E2458)</f>
        <v>0</v>
      </c>
      <c r="G2458" s="16">
        <f>IF(NOT(Paths!$C$229=1),0,IF(Paths!$P$229="Complete",E2458/12*(Paths!$J$229*(1+'Operating costs'!$B$51)^MAX(0,C2458-1)+Paths!$K$229*(1+'Operating costs'!$B$53)^MAX(0,C2458-1)),"n.a."))</f>
        <v>0</v>
      </c>
      <c r="H2458" s="16">
        <f>IF(NOT(Paths!$C$229=1),0,IF(Paths!$P$229="Complete",F2458/12*(Paths!$L$229*(1+IF(Paths!$D$229="EV",'Operating costs'!$B$52,'Operating costs'!$B$51))^MAX(0,C2458-1)+Paths!$M$229*(1+'Operating costs'!$B$53)^MAX(0,C2458-1)),"n.a."))</f>
        <v>0</v>
      </c>
      <c r="I2458" s="16">
        <f>IF(NOT(Paths!$C$229=1),0,IF(Paths!$P$229="Complete",IF(IF(Paths!$E$229=0,C2458=0,AND(C2458&gt;0,Paths!$E$229&gt;(C2458-1)*12,Paths!$E$229&lt;=C2458*12)),Paths!$G$229,0),"n.a."))</f>
        <v>0</v>
      </c>
      <c r="J2458" s="16">
        <f>IF(NOT(Paths!$C$229=1),0,IF(Paths!$P$229="Complete",IF(IF(Paths!$E$229=0,C2458=0,AND(C2458&gt;0,Paths!$E$229&gt;(C2458-1)*12,Paths!$E$229&lt;=C2458*12)),Paths!$H$229,0),"n.a."))</f>
        <v>0</v>
      </c>
      <c r="K2458" s="16">
        <f>IF(NOT(Paths!$C$229=1),0,IF(Paths!$P$229="Complete",IF(IF(Paths!$O$229=0,C2458=0,AND(C2458&gt;0,Paths!$O$229&gt;(C2458-1)*12,Paths!$O$229&lt;=C2458*12)),Paths!$N$229,0),"n.a."))</f>
        <v>0</v>
      </c>
      <c r="L2458" s="16">
        <f>IF(NOT(Paths!$C$229=1),0,IF(Paths!$P$229="Complete",IF(C2458=10,Paths!$I$229,0),"n.a."))</f>
        <v>0</v>
      </c>
      <c r="M2458" s="16">
        <f>IF(NOT(Paths!$C$229=1),0,IF(Paths!$P$229="Complete",IF(AND(Paths!$D$229="EV",Paths!$E$229&lt;120,Paths!$E$229+'Operating costs'!$B$65&gt;Paths!$E$229,Paths!$E$229+'Operating costs'!$B$65&lt;=120,IF(Paths!$E$229+'Operating costs'!$B$65=0,C2458=0,AND(C2458&gt;0,Paths!$E$229+'Operating costs'!$B$65&gt;(C2458-1)*12,Paths!$E$229+'Operating costs'!$B$65&lt;=C2458*12))),'Operating costs'!$B$64,0)+IF(AND('Operating costs'!$B$67&gt;0,'Operating costs'!$B$67&lt;=120,OR(Paths!$D$229="ICE",'Operating costs'!$B$67&lt;=Paths!$E$229),IF('Operating costs'!$B$67=0,C2458=0,AND(C2458&gt;0,'Operating costs'!$B$67&gt;(C2458-1)*12,'Operating costs'!$B$67&lt;=C2458*12))),'Operating costs'!$B$66,0),"n.a."))</f>
        <v>0</v>
      </c>
      <c r="N2458" s="16">
        <f>IF(NOT(Paths!$C$229=1),0,IF(Paths!$P$229="Complete",SUM(G2458:I2458)-J2458-K2458-L2458+M2458+IF(C2458=0,Paths!$F$229,0)+IF(IF(Paths!$E$229=0,C2458=0,AND(C2458&gt;0,Paths!$E$229&gt;(C2458-1)*12,Paths!$E$229&lt;=C2458*12)),VLOOKUP(A2458,'Fleet register'!$A$7:$S$106,16,FALSE),0),"n.a."))</f>
        <v>0</v>
      </c>
      <c r="O2458" s="16">
        <f>IF(NOT(Paths!$C$229=1),0,IF(Paths!$P$229="Complete",N2458-IF(C2458=0,Paths!$F$229,0),"n.a."))</f>
        <v>0</v>
      </c>
      <c r="P2458" s="16">
        <f>IF(NOT(Paths!$C$229=1),0,IF(Paths!$P$229="Complete",O2458+L2458,"n.a."))</f>
        <v>0</v>
      </c>
      <c r="Q2458" s="16">
        <f>IF(NOT(Paths!$C$229=1),0,IF(Paths!$P$229="Complete",N2458*(1+'Operating costs'!$B$54)^-C2458,"n.a."))</f>
        <v>0</v>
      </c>
      <c r="R2458" s="16">
        <f>IF(NOT(Paths!$C$229=1),0,IF(Paths!$P$229="Complete",IF(AND(C2458=0,Paths!$E$229=0),I2458-J2458-K2458+VLOOKUP(A2458,'Fleet register'!$A$7:$S$106,15,FALSE)+VLOOKUP(A2458,'Fleet register'!$A$7:$S$106,16,FALSE),0),"n.a."))</f>
        <v>0</v>
      </c>
      <c r="S2458" s="1">
        <f>IF(NOT(Paths!$C$229=1),0,IF(Paths!$P$229="Complete",IF(C2458=0,0,Paths!$S$229*Paths!$R$229),"n.a."))</f>
        <v>0</v>
      </c>
      <c r="T2458" s="1">
        <f>IF(NOT(Paths!$C$229=1),0,IF(Paths!$P$229="Complete",IF(C2458=0,0,VLOOKUP(A2458,'Fleet register'!$A$7:$S$106,9,FALSE)*Paths!$R$229),"n.a."))</f>
        <v>0</v>
      </c>
    </row>
    <row r="2459" spans="1:20" ht="24" customHeight="1">
      <c r="A2459" s="1" t="str">
        <f>Paths!$A$229</f>
        <v>T056</v>
      </c>
      <c r="B2459" s="1">
        <f>Paths!$B$229</f>
        <v>2</v>
      </c>
      <c r="C2459" s="1">
        <v>10</v>
      </c>
      <c r="D2459" s="1">
        <v>229</v>
      </c>
      <c r="E2459" s="1">
        <f>IF(OR(Paths!$C$229=0,C2459=0),0,MAX(0,MIN(C2459*12,Paths!$E$229)-(C2459-1)*12))</f>
        <v>0</v>
      </c>
      <c r="F2459" s="1">
        <f>IF(OR(Paths!$C$229=0,C2459=0),0,12-E2459)</f>
        <v>0</v>
      </c>
      <c r="G2459" s="16">
        <f>IF(NOT(Paths!$C$229=1),0,IF(Paths!$P$229="Complete",E2459/12*(Paths!$J$229*(1+'Operating costs'!$B$51)^MAX(0,C2459-1)+Paths!$K$229*(1+'Operating costs'!$B$53)^MAX(0,C2459-1)),"n.a."))</f>
        <v>0</v>
      </c>
      <c r="H2459" s="16">
        <f>IF(NOT(Paths!$C$229=1),0,IF(Paths!$P$229="Complete",F2459/12*(Paths!$L$229*(1+IF(Paths!$D$229="EV",'Operating costs'!$B$52,'Operating costs'!$B$51))^MAX(0,C2459-1)+Paths!$M$229*(1+'Operating costs'!$B$53)^MAX(0,C2459-1)),"n.a."))</f>
        <v>0</v>
      </c>
      <c r="I2459" s="16">
        <f>IF(NOT(Paths!$C$229=1),0,IF(Paths!$P$229="Complete",IF(IF(Paths!$E$229=0,C2459=0,AND(C2459&gt;0,Paths!$E$229&gt;(C2459-1)*12,Paths!$E$229&lt;=C2459*12)),Paths!$G$229,0),"n.a."))</f>
        <v>0</v>
      </c>
      <c r="J2459" s="16">
        <f>IF(NOT(Paths!$C$229=1),0,IF(Paths!$P$229="Complete",IF(IF(Paths!$E$229=0,C2459=0,AND(C2459&gt;0,Paths!$E$229&gt;(C2459-1)*12,Paths!$E$229&lt;=C2459*12)),Paths!$H$229,0),"n.a."))</f>
        <v>0</v>
      </c>
      <c r="K2459" s="16">
        <f>IF(NOT(Paths!$C$229=1),0,IF(Paths!$P$229="Complete",IF(IF(Paths!$O$229=0,C2459=0,AND(C2459&gt;0,Paths!$O$229&gt;(C2459-1)*12,Paths!$O$229&lt;=C2459*12)),Paths!$N$229,0),"n.a."))</f>
        <v>0</v>
      </c>
      <c r="L2459" s="16">
        <f>IF(NOT(Paths!$C$229=1),0,IF(Paths!$P$229="Complete",IF(C2459=10,Paths!$I$229,0),"n.a."))</f>
        <v>0</v>
      </c>
      <c r="M2459" s="16">
        <f>IF(NOT(Paths!$C$229=1),0,IF(Paths!$P$229="Complete",IF(AND(Paths!$D$229="EV",Paths!$E$229&lt;120,Paths!$E$229+'Operating costs'!$B$65&gt;Paths!$E$229,Paths!$E$229+'Operating costs'!$B$65&lt;=120,IF(Paths!$E$229+'Operating costs'!$B$65=0,C2459=0,AND(C2459&gt;0,Paths!$E$229+'Operating costs'!$B$65&gt;(C2459-1)*12,Paths!$E$229+'Operating costs'!$B$65&lt;=C2459*12))),'Operating costs'!$B$64,0)+IF(AND('Operating costs'!$B$67&gt;0,'Operating costs'!$B$67&lt;=120,OR(Paths!$D$229="ICE",'Operating costs'!$B$67&lt;=Paths!$E$229),IF('Operating costs'!$B$67=0,C2459=0,AND(C2459&gt;0,'Operating costs'!$B$67&gt;(C2459-1)*12,'Operating costs'!$B$67&lt;=C2459*12))),'Operating costs'!$B$66,0),"n.a."))</f>
        <v>0</v>
      </c>
      <c r="N2459" s="16">
        <f>IF(NOT(Paths!$C$229=1),0,IF(Paths!$P$229="Complete",SUM(G2459:I2459)-J2459-K2459-L2459+M2459+IF(C2459=0,Paths!$F$229,0)+IF(IF(Paths!$E$229=0,C2459=0,AND(C2459&gt;0,Paths!$E$229&gt;(C2459-1)*12,Paths!$E$229&lt;=C2459*12)),VLOOKUP(A2459,'Fleet register'!$A$7:$S$106,16,FALSE),0),"n.a."))</f>
        <v>0</v>
      </c>
      <c r="O2459" s="16">
        <f>IF(NOT(Paths!$C$229=1),0,IF(Paths!$P$229="Complete",N2459-IF(C2459=0,Paths!$F$229,0),"n.a."))</f>
        <v>0</v>
      </c>
      <c r="P2459" s="16">
        <f>IF(NOT(Paths!$C$229=1),0,IF(Paths!$P$229="Complete",O2459+L2459,"n.a."))</f>
        <v>0</v>
      </c>
      <c r="Q2459" s="16">
        <f>IF(NOT(Paths!$C$229=1),0,IF(Paths!$P$229="Complete",N2459*(1+'Operating costs'!$B$54)^-C2459,"n.a."))</f>
        <v>0</v>
      </c>
      <c r="R2459" s="16">
        <f>IF(NOT(Paths!$C$229=1),0,IF(Paths!$P$229="Complete",IF(AND(C2459=0,Paths!$E$229=0),I2459-J2459-K2459+VLOOKUP(A2459,'Fleet register'!$A$7:$S$106,15,FALSE)+VLOOKUP(A2459,'Fleet register'!$A$7:$S$106,16,FALSE),0),"n.a."))</f>
        <v>0</v>
      </c>
      <c r="S2459" s="1">
        <f>IF(NOT(Paths!$C$229=1),0,IF(Paths!$P$229="Complete",IF(C2459=0,0,Paths!$S$229*Paths!$R$229),"n.a."))</f>
        <v>0</v>
      </c>
      <c r="T2459" s="1">
        <f>IF(NOT(Paths!$C$229=1),0,IF(Paths!$P$229="Complete",IF(C2459=0,0,VLOOKUP(A2459,'Fleet register'!$A$7:$S$106,9,FALSE)*Paths!$R$229),"n.a."))</f>
        <v>0</v>
      </c>
    </row>
    <row r="2460" spans="1:20" ht="24" customHeight="1">
      <c r="A2460" s="1" t="str">
        <f>Paths!$A$230</f>
        <v>T056</v>
      </c>
      <c r="B2460" s="1">
        <f>Paths!$B$230</f>
        <v>3</v>
      </c>
      <c r="C2460" s="1">
        <v>0</v>
      </c>
      <c r="D2460" s="1">
        <v>230</v>
      </c>
      <c r="E2460" s="1">
        <f>IF(OR(Paths!$C$230=0,C2460=0),0,MAX(0,MIN(C2460*12,Paths!$E$230)-(C2460-1)*12))</f>
        <v>0</v>
      </c>
      <c r="F2460" s="1">
        <f>IF(OR(Paths!$C$230=0,C2460=0),0,12-E2460)</f>
        <v>0</v>
      </c>
      <c r="G2460" s="16">
        <f>IF(NOT(Paths!$C$230=1),0,IF(Paths!$P$230="Complete",E2460/12*(Paths!$J$230*(1+'Operating costs'!$B$51)^MAX(0,C2460-1)+Paths!$K$230*(1+'Operating costs'!$B$53)^MAX(0,C2460-1)),"n.a."))</f>
        <v>0</v>
      </c>
      <c r="H2460" s="16">
        <f>IF(NOT(Paths!$C$230=1),0,IF(Paths!$P$230="Complete",F2460/12*(Paths!$L$230*(1+IF(Paths!$D$230="EV",'Operating costs'!$B$52,'Operating costs'!$B$51))^MAX(0,C2460-1)+Paths!$M$230*(1+'Operating costs'!$B$53)^MAX(0,C2460-1)),"n.a."))</f>
        <v>0</v>
      </c>
      <c r="I2460" s="16">
        <f>IF(NOT(Paths!$C$230=1),0,IF(Paths!$P$230="Complete",IF(IF(Paths!$E$230=0,C2460=0,AND(C2460&gt;0,Paths!$E$230&gt;(C2460-1)*12,Paths!$E$230&lt;=C2460*12)),Paths!$G$230,0),"n.a."))</f>
        <v>0</v>
      </c>
      <c r="J2460" s="16">
        <f>IF(NOT(Paths!$C$230=1),0,IF(Paths!$P$230="Complete",IF(IF(Paths!$E$230=0,C2460=0,AND(C2460&gt;0,Paths!$E$230&gt;(C2460-1)*12,Paths!$E$230&lt;=C2460*12)),Paths!$H$230,0),"n.a."))</f>
        <v>0</v>
      </c>
      <c r="K2460" s="16">
        <f>IF(NOT(Paths!$C$230=1),0,IF(Paths!$P$230="Complete",IF(IF(Paths!$O$230=0,C2460=0,AND(C2460&gt;0,Paths!$O$230&gt;(C2460-1)*12,Paths!$O$230&lt;=C2460*12)),Paths!$N$230,0),"n.a."))</f>
        <v>0</v>
      </c>
      <c r="L2460" s="16">
        <f>IF(NOT(Paths!$C$230=1),0,IF(Paths!$P$230="Complete",IF(C2460=10,Paths!$I$230,0),"n.a."))</f>
        <v>0</v>
      </c>
      <c r="M2460" s="16">
        <f>IF(NOT(Paths!$C$230=1),0,IF(Paths!$P$230="Complete",IF(AND(Paths!$D$230="EV",Paths!$E$230&lt;120,Paths!$E$230+'Operating costs'!$B$65&gt;Paths!$E$230,Paths!$E$230+'Operating costs'!$B$65&lt;=120,IF(Paths!$E$230+'Operating costs'!$B$65=0,C2460=0,AND(C2460&gt;0,Paths!$E$230+'Operating costs'!$B$65&gt;(C2460-1)*12,Paths!$E$230+'Operating costs'!$B$65&lt;=C2460*12))),'Operating costs'!$B$64,0)+IF(AND('Operating costs'!$B$67&gt;0,'Operating costs'!$B$67&lt;=120,OR(Paths!$D$230="ICE",'Operating costs'!$B$67&lt;=Paths!$E$230),IF('Operating costs'!$B$67=0,C2460=0,AND(C2460&gt;0,'Operating costs'!$B$67&gt;(C2460-1)*12,'Operating costs'!$B$67&lt;=C2460*12))),'Operating costs'!$B$66,0),"n.a."))</f>
        <v>0</v>
      </c>
      <c r="N2460" s="16">
        <f>IF(NOT(Paths!$C$230=1),0,IF(Paths!$P$230="Complete",SUM(G2460:I2460)-J2460-K2460-L2460+M2460+IF(C2460=0,Paths!$F$230,0)+IF(IF(Paths!$E$230=0,C2460=0,AND(C2460&gt;0,Paths!$E$230&gt;(C2460-1)*12,Paths!$E$230&lt;=C2460*12)),VLOOKUP(A2460,'Fleet register'!$A$7:$S$106,16,FALSE),0),"n.a."))</f>
        <v>0</v>
      </c>
      <c r="O2460" s="16">
        <f>IF(NOT(Paths!$C$230=1),0,IF(Paths!$P$230="Complete",N2460-IF(C2460=0,Paths!$F$230,0),"n.a."))</f>
        <v>0</v>
      </c>
      <c r="P2460" s="16">
        <f>IF(NOT(Paths!$C$230=1),0,IF(Paths!$P$230="Complete",O2460+L2460,"n.a."))</f>
        <v>0</v>
      </c>
      <c r="Q2460" s="16">
        <f>IF(NOT(Paths!$C$230=1),0,IF(Paths!$P$230="Complete",N2460*(1+'Operating costs'!$B$54)^-C2460,"n.a."))</f>
        <v>0</v>
      </c>
      <c r="R2460" s="16">
        <f>IF(NOT(Paths!$C$230=1),0,IF(Paths!$P$230="Complete",IF(AND(C2460=0,Paths!$E$230=0),I2460-J2460-K2460+VLOOKUP(A2460,'Fleet register'!$A$7:$S$106,15,FALSE)+VLOOKUP(A2460,'Fleet register'!$A$7:$S$106,16,FALSE),0),"n.a."))</f>
        <v>0</v>
      </c>
      <c r="S2460" s="1">
        <f>IF(NOT(Paths!$C$230=1),0,IF(Paths!$P$230="Complete",IF(C2460=0,0,Paths!$S$230*Paths!$R$230),"n.a."))</f>
        <v>0</v>
      </c>
      <c r="T2460" s="1">
        <f>IF(NOT(Paths!$C$230=1),0,IF(Paths!$P$230="Complete",IF(C2460=0,0,VLOOKUP(A2460,'Fleet register'!$A$7:$S$106,9,FALSE)*Paths!$R$230),"n.a."))</f>
        <v>0</v>
      </c>
    </row>
    <row r="2461" spans="1:20" ht="24" customHeight="1">
      <c r="A2461" s="1" t="str">
        <f>Paths!$A$230</f>
        <v>T056</v>
      </c>
      <c r="B2461" s="1">
        <f>Paths!$B$230</f>
        <v>3</v>
      </c>
      <c r="C2461" s="1">
        <v>1</v>
      </c>
      <c r="D2461" s="1">
        <v>230</v>
      </c>
      <c r="E2461" s="1">
        <f>IF(OR(Paths!$C$230=0,C2461=0),0,MAX(0,MIN(C2461*12,Paths!$E$230)-(C2461-1)*12))</f>
        <v>0</v>
      </c>
      <c r="F2461" s="1">
        <f>IF(OR(Paths!$C$230=0,C2461=0),0,12-E2461)</f>
        <v>0</v>
      </c>
      <c r="G2461" s="16">
        <f>IF(NOT(Paths!$C$230=1),0,IF(Paths!$P$230="Complete",E2461/12*(Paths!$J$230*(1+'Operating costs'!$B$51)^MAX(0,C2461-1)+Paths!$K$230*(1+'Operating costs'!$B$53)^MAX(0,C2461-1)),"n.a."))</f>
        <v>0</v>
      </c>
      <c r="H2461" s="16">
        <f>IF(NOT(Paths!$C$230=1),0,IF(Paths!$P$230="Complete",F2461/12*(Paths!$L$230*(1+IF(Paths!$D$230="EV",'Operating costs'!$B$52,'Operating costs'!$B$51))^MAX(0,C2461-1)+Paths!$M$230*(1+'Operating costs'!$B$53)^MAX(0,C2461-1)),"n.a."))</f>
        <v>0</v>
      </c>
      <c r="I2461" s="16">
        <f>IF(NOT(Paths!$C$230=1),0,IF(Paths!$P$230="Complete",IF(IF(Paths!$E$230=0,C2461=0,AND(C2461&gt;0,Paths!$E$230&gt;(C2461-1)*12,Paths!$E$230&lt;=C2461*12)),Paths!$G$230,0),"n.a."))</f>
        <v>0</v>
      </c>
      <c r="J2461" s="16">
        <f>IF(NOT(Paths!$C$230=1),0,IF(Paths!$P$230="Complete",IF(IF(Paths!$E$230=0,C2461=0,AND(C2461&gt;0,Paths!$E$230&gt;(C2461-1)*12,Paths!$E$230&lt;=C2461*12)),Paths!$H$230,0),"n.a."))</f>
        <v>0</v>
      </c>
      <c r="K2461" s="16">
        <f>IF(NOT(Paths!$C$230=1),0,IF(Paths!$P$230="Complete",IF(IF(Paths!$O$230=0,C2461=0,AND(C2461&gt;0,Paths!$O$230&gt;(C2461-1)*12,Paths!$O$230&lt;=C2461*12)),Paths!$N$230,0),"n.a."))</f>
        <v>0</v>
      </c>
      <c r="L2461" s="16">
        <f>IF(NOT(Paths!$C$230=1),0,IF(Paths!$P$230="Complete",IF(C2461=10,Paths!$I$230,0),"n.a."))</f>
        <v>0</v>
      </c>
      <c r="M2461" s="16">
        <f>IF(NOT(Paths!$C$230=1),0,IF(Paths!$P$230="Complete",IF(AND(Paths!$D$230="EV",Paths!$E$230&lt;120,Paths!$E$230+'Operating costs'!$B$65&gt;Paths!$E$230,Paths!$E$230+'Operating costs'!$B$65&lt;=120,IF(Paths!$E$230+'Operating costs'!$B$65=0,C2461=0,AND(C2461&gt;0,Paths!$E$230+'Operating costs'!$B$65&gt;(C2461-1)*12,Paths!$E$230+'Operating costs'!$B$65&lt;=C2461*12))),'Operating costs'!$B$64,0)+IF(AND('Operating costs'!$B$67&gt;0,'Operating costs'!$B$67&lt;=120,OR(Paths!$D$230="ICE",'Operating costs'!$B$67&lt;=Paths!$E$230),IF('Operating costs'!$B$67=0,C2461=0,AND(C2461&gt;0,'Operating costs'!$B$67&gt;(C2461-1)*12,'Operating costs'!$B$67&lt;=C2461*12))),'Operating costs'!$B$66,0),"n.a."))</f>
        <v>0</v>
      </c>
      <c r="N2461" s="16">
        <f>IF(NOT(Paths!$C$230=1),0,IF(Paths!$P$230="Complete",SUM(G2461:I2461)-J2461-K2461-L2461+M2461+IF(C2461=0,Paths!$F$230,0)+IF(IF(Paths!$E$230=0,C2461=0,AND(C2461&gt;0,Paths!$E$230&gt;(C2461-1)*12,Paths!$E$230&lt;=C2461*12)),VLOOKUP(A2461,'Fleet register'!$A$7:$S$106,16,FALSE),0),"n.a."))</f>
        <v>0</v>
      </c>
      <c r="O2461" s="16">
        <f>IF(NOT(Paths!$C$230=1),0,IF(Paths!$P$230="Complete",N2461-IF(C2461=0,Paths!$F$230,0),"n.a."))</f>
        <v>0</v>
      </c>
      <c r="P2461" s="16">
        <f>IF(NOT(Paths!$C$230=1),0,IF(Paths!$P$230="Complete",O2461+L2461,"n.a."))</f>
        <v>0</v>
      </c>
      <c r="Q2461" s="16">
        <f>IF(NOT(Paths!$C$230=1),0,IF(Paths!$P$230="Complete",N2461*(1+'Operating costs'!$B$54)^-C2461,"n.a."))</f>
        <v>0</v>
      </c>
      <c r="R2461" s="16">
        <f>IF(NOT(Paths!$C$230=1),0,IF(Paths!$P$230="Complete",IF(AND(C2461=0,Paths!$E$230=0),I2461-J2461-K2461+VLOOKUP(A2461,'Fleet register'!$A$7:$S$106,15,FALSE)+VLOOKUP(A2461,'Fleet register'!$A$7:$S$106,16,FALSE),0),"n.a."))</f>
        <v>0</v>
      </c>
      <c r="S2461" s="1">
        <f>IF(NOT(Paths!$C$230=1),0,IF(Paths!$P$230="Complete",IF(C2461=0,0,Paths!$S$230*Paths!$R$230),"n.a."))</f>
        <v>0</v>
      </c>
      <c r="T2461" s="1">
        <f>IF(NOT(Paths!$C$230=1),0,IF(Paths!$P$230="Complete",IF(C2461=0,0,VLOOKUP(A2461,'Fleet register'!$A$7:$S$106,9,FALSE)*Paths!$R$230),"n.a."))</f>
        <v>0</v>
      </c>
    </row>
    <row r="2462" spans="1:20" ht="24" customHeight="1">
      <c r="A2462" s="1" t="str">
        <f>Paths!$A$230</f>
        <v>T056</v>
      </c>
      <c r="B2462" s="1">
        <f>Paths!$B$230</f>
        <v>3</v>
      </c>
      <c r="C2462" s="1">
        <v>2</v>
      </c>
      <c r="D2462" s="1">
        <v>230</v>
      </c>
      <c r="E2462" s="1">
        <f>IF(OR(Paths!$C$230=0,C2462=0),0,MAX(0,MIN(C2462*12,Paths!$E$230)-(C2462-1)*12))</f>
        <v>0</v>
      </c>
      <c r="F2462" s="1">
        <f>IF(OR(Paths!$C$230=0,C2462=0),0,12-E2462)</f>
        <v>0</v>
      </c>
      <c r="G2462" s="16">
        <f>IF(NOT(Paths!$C$230=1),0,IF(Paths!$P$230="Complete",E2462/12*(Paths!$J$230*(1+'Operating costs'!$B$51)^MAX(0,C2462-1)+Paths!$K$230*(1+'Operating costs'!$B$53)^MAX(0,C2462-1)),"n.a."))</f>
        <v>0</v>
      </c>
      <c r="H2462" s="16">
        <f>IF(NOT(Paths!$C$230=1),0,IF(Paths!$P$230="Complete",F2462/12*(Paths!$L$230*(1+IF(Paths!$D$230="EV",'Operating costs'!$B$52,'Operating costs'!$B$51))^MAX(0,C2462-1)+Paths!$M$230*(1+'Operating costs'!$B$53)^MAX(0,C2462-1)),"n.a."))</f>
        <v>0</v>
      </c>
      <c r="I2462" s="16">
        <f>IF(NOT(Paths!$C$230=1),0,IF(Paths!$P$230="Complete",IF(IF(Paths!$E$230=0,C2462=0,AND(C2462&gt;0,Paths!$E$230&gt;(C2462-1)*12,Paths!$E$230&lt;=C2462*12)),Paths!$G$230,0),"n.a."))</f>
        <v>0</v>
      </c>
      <c r="J2462" s="16">
        <f>IF(NOT(Paths!$C$230=1),0,IF(Paths!$P$230="Complete",IF(IF(Paths!$E$230=0,C2462=0,AND(C2462&gt;0,Paths!$E$230&gt;(C2462-1)*12,Paths!$E$230&lt;=C2462*12)),Paths!$H$230,0),"n.a."))</f>
        <v>0</v>
      </c>
      <c r="K2462" s="16">
        <f>IF(NOT(Paths!$C$230=1),0,IF(Paths!$P$230="Complete",IF(IF(Paths!$O$230=0,C2462=0,AND(C2462&gt;0,Paths!$O$230&gt;(C2462-1)*12,Paths!$O$230&lt;=C2462*12)),Paths!$N$230,0),"n.a."))</f>
        <v>0</v>
      </c>
      <c r="L2462" s="16">
        <f>IF(NOT(Paths!$C$230=1),0,IF(Paths!$P$230="Complete",IF(C2462=10,Paths!$I$230,0),"n.a."))</f>
        <v>0</v>
      </c>
      <c r="M2462" s="16">
        <f>IF(NOT(Paths!$C$230=1),0,IF(Paths!$P$230="Complete",IF(AND(Paths!$D$230="EV",Paths!$E$230&lt;120,Paths!$E$230+'Operating costs'!$B$65&gt;Paths!$E$230,Paths!$E$230+'Operating costs'!$B$65&lt;=120,IF(Paths!$E$230+'Operating costs'!$B$65=0,C2462=0,AND(C2462&gt;0,Paths!$E$230+'Operating costs'!$B$65&gt;(C2462-1)*12,Paths!$E$230+'Operating costs'!$B$65&lt;=C2462*12))),'Operating costs'!$B$64,0)+IF(AND('Operating costs'!$B$67&gt;0,'Operating costs'!$B$67&lt;=120,OR(Paths!$D$230="ICE",'Operating costs'!$B$67&lt;=Paths!$E$230),IF('Operating costs'!$B$67=0,C2462=0,AND(C2462&gt;0,'Operating costs'!$B$67&gt;(C2462-1)*12,'Operating costs'!$B$67&lt;=C2462*12))),'Operating costs'!$B$66,0),"n.a."))</f>
        <v>0</v>
      </c>
      <c r="N2462" s="16">
        <f>IF(NOT(Paths!$C$230=1),0,IF(Paths!$P$230="Complete",SUM(G2462:I2462)-J2462-K2462-L2462+M2462+IF(C2462=0,Paths!$F$230,0)+IF(IF(Paths!$E$230=0,C2462=0,AND(C2462&gt;0,Paths!$E$230&gt;(C2462-1)*12,Paths!$E$230&lt;=C2462*12)),VLOOKUP(A2462,'Fleet register'!$A$7:$S$106,16,FALSE),0),"n.a."))</f>
        <v>0</v>
      </c>
      <c r="O2462" s="16">
        <f>IF(NOT(Paths!$C$230=1),0,IF(Paths!$P$230="Complete",N2462-IF(C2462=0,Paths!$F$230,0),"n.a."))</f>
        <v>0</v>
      </c>
      <c r="P2462" s="16">
        <f>IF(NOT(Paths!$C$230=1),0,IF(Paths!$P$230="Complete",O2462+L2462,"n.a."))</f>
        <v>0</v>
      </c>
      <c r="Q2462" s="16">
        <f>IF(NOT(Paths!$C$230=1),0,IF(Paths!$P$230="Complete",N2462*(1+'Operating costs'!$B$54)^-C2462,"n.a."))</f>
        <v>0</v>
      </c>
      <c r="R2462" s="16">
        <f>IF(NOT(Paths!$C$230=1),0,IF(Paths!$P$230="Complete",IF(AND(C2462=0,Paths!$E$230=0),I2462-J2462-K2462+VLOOKUP(A2462,'Fleet register'!$A$7:$S$106,15,FALSE)+VLOOKUP(A2462,'Fleet register'!$A$7:$S$106,16,FALSE),0),"n.a."))</f>
        <v>0</v>
      </c>
      <c r="S2462" s="1">
        <f>IF(NOT(Paths!$C$230=1),0,IF(Paths!$P$230="Complete",IF(C2462=0,0,Paths!$S$230*Paths!$R$230),"n.a."))</f>
        <v>0</v>
      </c>
      <c r="T2462" s="1">
        <f>IF(NOT(Paths!$C$230=1),0,IF(Paths!$P$230="Complete",IF(C2462=0,0,VLOOKUP(A2462,'Fleet register'!$A$7:$S$106,9,FALSE)*Paths!$R$230),"n.a."))</f>
        <v>0</v>
      </c>
    </row>
    <row r="2463" spans="1:20" ht="24" customHeight="1">
      <c r="A2463" s="1" t="str">
        <f>Paths!$A$230</f>
        <v>T056</v>
      </c>
      <c r="B2463" s="1">
        <f>Paths!$B$230</f>
        <v>3</v>
      </c>
      <c r="C2463" s="1">
        <v>3</v>
      </c>
      <c r="D2463" s="1">
        <v>230</v>
      </c>
      <c r="E2463" s="1">
        <f>IF(OR(Paths!$C$230=0,C2463=0),0,MAX(0,MIN(C2463*12,Paths!$E$230)-(C2463-1)*12))</f>
        <v>0</v>
      </c>
      <c r="F2463" s="1">
        <f>IF(OR(Paths!$C$230=0,C2463=0),0,12-E2463)</f>
        <v>0</v>
      </c>
      <c r="G2463" s="16">
        <f>IF(NOT(Paths!$C$230=1),0,IF(Paths!$P$230="Complete",E2463/12*(Paths!$J$230*(1+'Operating costs'!$B$51)^MAX(0,C2463-1)+Paths!$K$230*(1+'Operating costs'!$B$53)^MAX(0,C2463-1)),"n.a."))</f>
        <v>0</v>
      </c>
      <c r="H2463" s="16">
        <f>IF(NOT(Paths!$C$230=1),0,IF(Paths!$P$230="Complete",F2463/12*(Paths!$L$230*(1+IF(Paths!$D$230="EV",'Operating costs'!$B$52,'Operating costs'!$B$51))^MAX(0,C2463-1)+Paths!$M$230*(1+'Operating costs'!$B$53)^MAX(0,C2463-1)),"n.a."))</f>
        <v>0</v>
      </c>
      <c r="I2463" s="16">
        <f>IF(NOT(Paths!$C$230=1),0,IF(Paths!$P$230="Complete",IF(IF(Paths!$E$230=0,C2463=0,AND(C2463&gt;0,Paths!$E$230&gt;(C2463-1)*12,Paths!$E$230&lt;=C2463*12)),Paths!$G$230,0),"n.a."))</f>
        <v>0</v>
      </c>
      <c r="J2463" s="16">
        <f>IF(NOT(Paths!$C$230=1),0,IF(Paths!$P$230="Complete",IF(IF(Paths!$E$230=0,C2463=0,AND(C2463&gt;0,Paths!$E$230&gt;(C2463-1)*12,Paths!$E$230&lt;=C2463*12)),Paths!$H$230,0),"n.a."))</f>
        <v>0</v>
      </c>
      <c r="K2463" s="16">
        <f>IF(NOT(Paths!$C$230=1),0,IF(Paths!$P$230="Complete",IF(IF(Paths!$O$230=0,C2463=0,AND(C2463&gt;0,Paths!$O$230&gt;(C2463-1)*12,Paths!$O$230&lt;=C2463*12)),Paths!$N$230,0),"n.a."))</f>
        <v>0</v>
      </c>
      <c r="L2463" s="16">
        <f>IF(NOT(Paths!$C$230=1),0,IF(Paths!$P$230="Complete",IF(C2463=10,Paths!$I$230,0),"n.a."))</f>
        <v>0</v>
      </c>
      <c r="M2463" s="16">
        <f>IF(NOT(Paths!$C$230=1),0,IF(Paths!$P$230="Complete",IF(AND(Paths!$D$230="EV",Paths!$E$230&lt;120,Paths!$E$230+'Operating costs'!$B$65&gt;Paths!$E$230,Paths!$E$230+'Operating costs'!$B$65&lt;=120,IF(Paths!$E$230+'Operating costs'!$B$65=0,C2463=0,AND(C2463&gt;0,Paths!$E$230+'Operating costs'!$B$65&gt;(C2463-1)*12,Paths!$E$230+'Operating costs'!$B$65&lt;=C2463*12))),'Operating costs'!$B$64,0)+IF(AND('Operating costs'!$B$67&gt;0,'Operating costs'!$B$67&lt;=120,OR(Paths!$D$230="ICE",'Operating costs'!$B$67&lt;=Paths!$E$230),IF('Operating costs'!$B$67=0,C2463=0,AND(C2463&gt;0,'Operating costs'!$B$67&gt;(C2463-1)*12,'Operating costs'!$B$67&lt;=C2463*12))),'Operating costs'!$B$66,0),"n.a."))</f>
        <v>0</v>
      </c>
      <c r="N2463" s="16">
        <f>IF(NOT(Paths!$C$230=1),0,IF(Paths!$P$230="Complete",SUM(G2463:I2463)-J2463-K2463-L2463+M2463+IF(C2463=0,Paths!$F$230,0)+IF(IF(Paths!$E$230=0,C2463=0,AND(C2463&gt;0,Paths!$E$230&gt;(C2463-1)*12,Paths!$E$230&lt;=C2463*12)),VLOOKUP(A2463,'Fleet register'!$A$7:$S$106,16,FALSE),0),"n.a."))</f>
        <v>0</v>
      </c>
      <c r="O2463" s="16">
        <f>IF(NOT(Paths!$C$230=1),0,IF(Paths!$P$230="Complete",N2463-IF(C2463=0,Paths!$F$230,0),"n.a."))</f>
        <v>0</v>
      </c>
      <c r="P2463" s="16">
        <f>IF(NOT(Paths!$C$230=1),0,IF(Paths!$P$230="Complete",O2463+L2463,"n.a."))</f>
        <v>0</v>
      </c>
      <c r="Q2463" s="16">
        <f>IF(NOT(Paths!$C$230=1),0,IF(Paths!$P$230="Complete",N2463*(1+'Operating costs'!$B$54)^-C2463,"n.a."))</f>
        <v>0</v>
      </c>
      <c r="R2463" s="16">
        <f>IF(NOT(Paths!$C$230=1),0,IF(Paths!$P$230="Complete",IF(AND(C2463=0,Paths!$E$230=0),I2463-J2463-K2463+VLOOKUP(A2463,'Fleet register'!$A$7:$S$106,15,FALSE)+VLOOKUP(A2463,'Fleet register'!$A$7:$S$106,16,FALSE),0),"n.a."))</f>
        <v>0</v>
      </c>
      <c r="S2463" s="1">
        <f>IF(NOT(Paths!$C$230=1),0,IF(Paths!$P$230="Complete",IF(C2463=0,0,Paths!$S$230*Paths!$R$230),"n.a."))</f>
        <v>0</v>
      </c>
      <c r="T2463" s="1">
        <f>IF(NOT(Paths!$C$230=1),0,IF(Paths!$P$230="Complete",IF(C2463=0,0,VLOOKUP(A2463,'Fleet register'!$A$7:$S$106,9,FALSE)*Paths!$R$230),"n.a."))</f>
        <v>0</v>
      </c>
    </row>
    <row r="2464" spans="1:20" ht="24" customHeight="1">
      <c r="A2464" s="1" t="str">
        <f>Paths!$A$230</f>
        <v>T056</v>
      </c>
      <c r="B2464" s="1">
        <f>Paths!$B$230</f>
        <v>3</v>
      </c>
      <c r="C2464" s="1">
        <v>4</v>
      </c>
      <c r="D2464" s="1">
        <v>230</v>
      </c>
      <c r="E2464" s="1">
        <f>IF(OR(Paths!$C$230=0,C2464=0),0,MAX(0,MIN(C2464*12,Paths!$E$230)-(C2464-1)*12))</f>
        <v>0</v>
      </c>
      <c r="F2464" s="1">
        <f>IF(OR(Paths!$C$230=0,C2464=0),0,12-E2464)</f>
        <v>0</v>
      </c>
      <c r="G2464" s="16">
        <f>IF(NOT(Paths!$C$230=1),0,IF(Paths!$P$230="Complete",E2464/12*(Paths!$J$230*(1+'Operating costs'!$B$51)^MAX(0,C2464-1)+Paths!$K$230*(1+'Operating costs'!$B$53)^MAX(0,C2464-1)),"n.a."))</f>
        <v>0</v>
      </c>
      <c r="H2464" s="16">
        <f>IF(NOT(Paths!$C$230=1),0,IF(Paths!$P$230="Complete",F2464/12*(Paths!$L$230*(1+IF(Paths!$D$230="EV",'Operating costs'!$B$52,'Operating costs'!$B$51))^MAX(0,C2464-1)+Paths!$M$230*(1+'Operating costs'!$B$53)^MAX(0,C2464-1)),"n.a."))</f>
        <v>0</v>
      </c>
      <c r="I2464" s="16">
        <f>IF(NOT(Paths!$C$230=1),0,IF(Paths!$P$230="Complete",IF(IF(Paths!$E$230=0,C2464=0,AND(C2464&gt;0,Paths!$E$230&gt;(C2464-1)*12,Paths!$E$230&lt;=C2464*12)),Paths!$G$230,0),"n.a."))</f>
        <v>0</v>
      </c>
      <c r="J2464" s="16">
        <f>IF(NOT(Paths!$C$230=1),0,IF(Paths!$P$230="Complete",IF(IF(Paths!$E$230=0,C2464=0,AND(C2464&gt;0,Paths!$E$230&gt;(C2464-1)*12,Paths!$E$230&lt;=C2464*12)),Paths!$H$230,0),"n.a."))</f>
        <v>0</v>
      </c>
      <c r="K2464" s="16">
        <f>IF(NOT(Paths!$C$230=1),0,IF(Paths!$P$230="Complete",IF(IF(Paths!$O$230=0,C2464=0,AND(C2464&gt;0,Paths!$O$230&gt;(C2464-1)*12,Paths!$O$230&lt;=C2464*12)),Paths!$N$230,0),"n.a."))</f>
        <v>0</v>
      </c>
      <c r="L2464" s="16">
        <f>IF(NOT(Paths!$C$230=1),0,IF(Paths!$P$230="Complete",IF(C2464=10,Paths!$I$230,0),"n.a."))</f>
        <v>0</v>
      </c>
      <c r="M2464" s="16">
        <f>IF(NOT(Paths!$C$230=1),0,IF(Paths!$P$230="Complete",IF(AND(Paths!$D$230="EV",Paths!$E$230&lt;120,Paths!$E$230+'Operating costs'!$B$65&gt;Paths!$E$230,Paths!$E$230+'Operating costs'!$B$65&lt;=120,IF(Paths!$E$230+'Operating costs'!$B$65=0,C2464=0,AND(C2464&gt;0,Paths!$E$230+'Operating costs'!$B$65&gt;(C2464-1)*12,Paths!$E$230+'Operating costs'!$B$65&lt;=C2464*12))),'Operating costs'!$B$64,0)+IF(AND('Operating costs'!$B$67&gt;0,'Operating costs'!$B$67&lt;=120,OR(Paths!$D$230="ICE",'Operating costs'!$B$67&lt;=Paths!$E$230),IF('Operating costs'!$B$67=0,C2464=0,AND(C2464&gt;0,'Operating costs'!$B$67&gt;(C2464-1)*12,'Operating costs'!$B$67&lt;=C2464*12))),'Operating costs'!$B$66,0),"n.a."))</f>
        <v>0</v>
      </c>
      <c r="N2464" s="16">
        <f>IF(NOT(Paths!$C$230=1),0,IF(Paths!$P$230="Complete",SUM(G2464:I2464)-J2464-K2464-L2464+M2464+IF(C2464=0,Paths!$F$230,0)+IF(IF(Paths!$E$230=0,C2464=0,AND(C2464&gt;0,Paths!$E$230&gt;(C2464-1)*12,Paths!$E$230&lt;=C2464*12)),VLOOKUP(A2464,'Fleet register'!$A$7:$S$106,16,FALSE),0),"n.a."))</f>
        <v>0</v>
      </c>
      <c r="O2464" s="16">
        <f>IF(NOT(Paths!$C$230=1),0,IF(Paths!$P$230="Complete",N2464-IF(C2464=0,Paths!$F$230,0),"n.a."))</f>
        <v>0</v>
      </c>
      <c r="P2464" s="16">
        <f>IF(NOT(Paths!$C$230=1),0,IF(Paths!$P$230="Complete",O2464+L2464,"n.a."))</f>
        <v>0</v>
      </c>
      <c r="Q2464" s="16">
        <f>IF(NOT(Paths!$C$230=1),0,IF(Paths!$P$230="Complete",N2464*(1+'Operating costs'!$B$54)^-C2464,"n.a."))</f>
        <v>0</v>
      </c>
      <c r="R2464" s="16">
        <f>IF(NOT(Paths!$C$230=1),0,IF(Paths!$P$230="Complete",IF(AND(C2464=0,Paths!$E$230=0),I2464-J2464-K2464+VLOOKUP(A2464,'Fleet register'!$A$7:$S$106,15,FALSE)+VLOOKUP(A2464,'Fleet register'!$A$7:$S$106,16,FALSE),0),"n.a."))</f>
        <v>0</v>
      </c>
      <c r="S2464" s="1">
        <f>IF(NOT(Paths!$C$230=1),0,IF(Paths!$P$230="Complete",IF(C2464=0,0,Paths!$S$230*Paths!$R$230),"n.a."))</f>
        <v>0</v>
      </c>
      <c r="T2464" s="1">
        <f>IF(NOT(Paths!$C$230=1),0,IF(Paths!$P$230="Complete",IF(C2464=0,0,VLOOKUP(A2464,'Fleet register'!$A$7:$S$106,9,FALSE)*Paths!$R$230),"n.a."))</f>
        <v>0</v>
      </c>
    </row>
    <row r="2465" spans="1:20" ht="24" customHeight="1">
      <c r="A2465" s="1" t="str">
        <f>Paths!$A$230</f>
        <v>T056</v>
      </c>
      <c r="B2465" s="1">
        <f>Paths!$B$230</f>
        <v>3</v>
      </c>
      <c r="C2465" s="1">
        <v>5</v>
      </c>
      <c r="D2465" s="1">
        <v>230</v>
      </c>
      <c r="E2465" s="1">
        <f>IF(OR(Paths!$C$230=0,C2465=0),0,MAX(0,MIN(C2465*12,Paths!$E$230)-(C2465-1)*12))</f>
        <v>0</v>
      </c>
      <c r="F2465" s="1">
        <f>IF(OR(Paths!$C$230=0,C2465=0),0,12-E2465)</f>
        <v>0</v>
      </c>
      <c r="G2465" s="16">
        <f>IF(NOT(Paths!$C$230=1),0,IF(Paths!$P$230="Complete",E2465/12*(Paths!$J$230*(1+'Operating costs'!$B$51)^MAX(0,C2465-1)+Paths!$K$230*(1+'Operating costs'!$B$53)^MAX(0,C2465-1)),"n.a."))</f>
        <v>0</v>
      </c>
      <c r="H2465" s="16">
        <f>IF(NOT(Paths!$C$230=1),0,IF(Paths!$P$230="Complete",F2465/12*(Paths!$L$230*(1+IF(Paths!$D$230="EV",'Operating costs'!$B$52,'Operating costs'!$B$51))^MAX(0,C2465-1)+Paths!$M$230*(1+'Operating costs'!$B$53)^MAX(0,C2465-1)),"n.a."))</f>
        <v>0</v>
      </c>
      <c r="I2465" s="16">
        <f>IF(NOT(Paths!$C$230=1),0,IF(Paths!$P$230="Complete",IF(IF(Paths!$E$230=0,C2465=0,AND(C2465&gt;0,Paths!$E$230&gt;(C2465-1)*12,Paths!$E$230&lt;=C2465*12)),Paths!$G$230,0),"n.a."))</f>
        <v>0</v>
      </c>
      <c r="J2465" s="16">
        <f>IF(NOT(Paths!$C$230=1),0,IF(Paths!$P$230="Complete",IF(IF(Paths!$E$230=0,C2465=0,AND(C2465&gt;0,Paths!$E$230&gt;(C2465-1)*12,Paths!$E$230&lt;=C2465*12)),Paths!$H$230,0),"n.a."))</f>
        <v>0</v>
      </c>
      <c r="K2465" s="16">
        <f>IF(NOT(Paths!$C$230=1),0,IF(Paths!$P$230="Complete",IF(IF(Paths!$O$230=0,C2465=0,AND(C2465&gt;0,Paths!$O$230&gt;(C2465-1)*12,Paths!$O$230&lt;=C2465*12)),Paths!$N$230,0),"n.a."))</f>
        <v>0</v>
      </c>
      <c r="L2465" s="16">
        <f>IF(NOT(Paths!$C$230=1),0,IF(Paths!$P$230="Complete",IF(C2465=10,Paths!$I$230,0),"n.a."))</f>
        <v>0</v>
      </c>
      <c r="M2465" s="16">
        <f>IF(NOT(Paths!$C$230=1),0,IF(Paths!$P$230="Complete",IF(AND(Paths!$D$230="EV",Paths!$E$230&lt;120,Paths!$E$230+'Operating costs'!$B$65&gt;Paths!$E$230,Paths!$E$230+'Operating costs'!$B$65&lt;=120,IF(Paths!$E$230+'Operating costs'!$B$65=0,C2465=0,AND(C2465&gt;0,Paths!$E$230+'Operating costs'!$B$65&gt;(C2465-1)*12,Paths!$E$230+'Operating costs'!$B$65&lt;=C2465*12))),'Operating costs'!$B$64,0)+IF(AND('Operating costs'!$B$67&gt;0,'Operating costs'!$B$67&lt;=120,OR(Paths!$D$230="ICE",'Operating costs'!$B$67&lt;=Paths!$E$230),IF('Operating costs'!$B$67=0,C2465=0,AND(C2465&gt;0,'Operating costs'!$B$67&gt;(C2465-1)*12,'Operating costs'!$B$67&lt;=C2465*12))),'Operating costs'!$B$66,0),"n.a."))</f>
        <v>0</v>
      </c>
      <c r="N2465" s="16">
        <f>IF(NOT(Paths!$C$230=1),0,IF(Paths!$P$230="Complete",SUM(G2465:I2465)-J2465-K2465-L2465+M2465+IF(C2465=0,Paths!$F$230,0)+IF(IF(Paths!$E$230=0,C2465=0,AND(C2465&gt;0,Paths!$E$230&gt;(C2465-1)*12,Paths!$E$230&lt;=C2465*12)),VLOOKUP(A2465,'Fleet register'!$A$7:$S$106,16,FALSE),0),"n.a."))</f>
        <v>0</v>
      </c>
      <c r="O2465" s="16">
        <f>IF(NOT(Paths!$C$230=1),0,IF(Paths!$P$230="Complete",N2465-IF(C2465=0,Paths!$F$230,0),"n.a."))</f>
        <v>0</v>
      </c>
      <c r="P2465" s="16">
        <f>IF(NOT(Paths!$C$230=1),0,IF(Paths!$P$230="Complete",O2465+L2465,"n.a."))</f>
        <v>0</v>
      </c>
      <c r="Q2465" s="16">
        <f>IF(NOT(Paths!$C$230=1),0,IF(Paths!$P$230="Complete",N2465*(1+'Operating costs'!$B$54)^-C2465,"n.a."))</f>
        <v>0</v>
      </c>
      <c r="R2465" s="16">
        <f>IF(NOT(Paths!$C$230=1),0,IF(Paths!$P$230="Complete",IF(AND(C2465=0,Paths!$E$230=0),I2465-J2465-K2465+VLOOKUP(A2465,'Fleet register'!$A$7:$S$106,15,FALSE)+VLOOKUP(A2465,'Fleet register'!$A$7:$S$106,16,FALSE),0),"n.a."))</f>
        <v>0</v>
      </c>
      <c r="S2465" s="1">
        <f>IF(NOT(Paths!$C$230=1),0,IF(Paths!$P$230="Complete",IF(C2465=0,0,Paths!$S$230*Paths!$R$230),"n.a."))</f>
        <v>0</v>
      </c>
      <c r="T2465" s="1">
        <f>IF(NOT(Paths!$C$230=1),0,IF(Paths!$P$230="Complete",IF(C2465=0,0,VLOOKUP(A2465,'Fleet register'!$A$7:$S$106,9,FALSE)*Paths!$R$230),"n.a."))</f>
        <v>0</v>
      </c>
    </row>
    <row r="2466" spans="1:20" ht="24" customHeight="1">
      <c r="A2466" s="1" t="str">
        <f>Paths!$A$230</f>
        <v>T056</v>
      </c>
      <c r="B2466" s="1">
        <f>Paths!$B$230</f>
        <v>3</v>
      </c>
      <c r="C2466" s="1">
        <v>6</v>
      </c>
      <c r="D2466" s="1">
        <v>230</v>
      </c>
      <c r="E2466" s="1">
        <f>IF(OR(Paths!$C$230=0,C2466=0),0,MAX(0,MIN(C2466*12,Paths!$E$230)-(C2466-1)*12))</f>
        <v>0</v>
      </c>
      <c r="F2466" s="1">
        <f>IF(OR(Paths!$C$230=0,C2466=0),0,12-E2466)</f>
        <v>0</v>
      </c>
      <c r="G2466" s="16">
        <f>IF(NOT(Paths!$C$230=1),0,IF(Paths!$P$230="Complete",E2466/12*(Paths!$J$230*(1+'Operating costs'!$B$51)^MAX(0,C2466-1)+Paths!$K$230*(1+'Operating costs'!$B$53)^MAX(0,C2466-1)),"n.a."))</f>
        <v>0</v>
      </c>
      <c r="H2466" s="16">
        <f>IF(NOT(Paths!$C$230=1),0,IF(Paths!$P$230="Complete",F2466/12*(Paths!$L$230*(1+IF(Paths!$D$230="EV",'Operating costs'!$B$52,'Operating costs'!$B$51))^MAX(0,C2466-1)+Paths!$M$230*(1+'Operating costs'!$B$53)^MAX(0,C2466-1)),"n.a."))</f>
        <v>0</v>
      </c>
      <c r="I2466" s="16">
        <f>IF(NOT(Paths!$C$230=1),0,IF(Paths!$P$230="Complete",IF(IF(Paths!$E$230=0,C2466=0,AND(C2466&gt;0,Paths!$E$230&gt;(C2466-1)*12,Paths!$E$230&lt;=C2466*12)),Paths!$G$230,0),"n.a."))</f>
        <v>0</v>
      </c>
      <c r="J2466" s="16">
        <f>IF(NOT(Paths!$C$230=1),0,IF(Paths!$P$230="Complete",IF(IF(Paths!$E$230=0,C2466=0,AND(C2466&gt;0,Paths!$E$230&gt;(C2466-1)*12,Paths!$E$230&lt;=C2466*12)),Paths!$H$230,0),"n.a."))</f>
        <v>0</v>
      </c>
      <c r="K2466" s="16">
        <f>IF(NOT(Paths!$C$230=1),0,IF(Paths!$P$230="Complete",IF(IF(Paths!$O$230=0,C2466=0,AND(C2466&gt;0,Paths!$O$230&gt;(C2466-1)*12,Paths!$O$230&lt;=C2466*12)),Paths!$N$230,0),"n.a."))</f>
        <v>0</v>
      </c>
      <c r="L2466" s="16">
        <f>IF(NOT(Paths!$C$230=1),0,IF(Paths!$P$230="Complete",IF(C2466=10,Paths!$I$230,0),"n.a."))</f>
        <v>0</v>
      </c>
      <c r="M2466" s="16">
        <f>IF(NOT(Paths!$C$230=1),0,IF(Paths!$P$230="Complete",IF(AND(Paths!$D$230="EV",Paths!$E$230&lt;120,Paths!$E$230+'Operating costs'!$B$65&gt;Paths!$E$230,Paths!$E$230+'Operating costs'!$B$65&lt;=120,IF(Paths!$E$230+'Operating costs'!$B$65=0,C2466=0,AND(C2466&gt;0,Paths!$E$230+'Operating costs'!$B$65&gt;(C2466-1)*12,Paths!$E$230+'Operating costs'!$B$65&lt;=C2466*12))),'Operating costs'!$B$64,0)+IF(AND('Operating costs'!$B$67&gt;0,'Operating costs'!$B$67&lt;=120,OR(Paths!$D$230="ICE",'Operating costs'!$B$67&lt;=Paths!$E$230),IF('Operating costs'!$B$67=0,C2466=0,AND(C2466&gt;0,'Operating costs'!$B$67&gt;(C2466-1)*12,'Operating costs'!$B$67&lt;=C2466*12))),'Operating costs'!$B$66,0),"n.a."))</f>
        <v>0</v>
      </c>
      <c r="N2466" s="16">
        <f>IF(NOT(Paths!$C$230=1),0,IF(Paths!$P$230="Complete",SUM(G2466:I2466)-J2466-K2466-L2466+M2466+IF(C2466=0,Paths!$F$230,0)+IF(IF(Paths!$E$230=0,C2466=0,AND(C2466&gt;0,Paths!$E$230&gt;(C2466-1)*12,Paths!$E$230&lt;=C2466*12)),VLOOKUP(A2466,'Fleet register'!$A$7:$S$106,16,FALSE),0),"n.a."))</f>
        <v>0</v>
      </c>
      <c r="O2466" s="16">
        <f>IF(NOT(Paths!$C$230=1),0,IF(Paths!$P$230="Complete",N2466-IF(C2466=0,Paths!$F$230,0),"n.a."))</f>
        <v>0</v>
      </c>
      <c r="P2466" s="16">
        <f>IF(NOT(Paths!$C$230=1),0,IF(Paths!$P$230="Complete",O2466+L2466,"n.a."))</f>
        <v>0</v>
      </c>
      <c r="Q2466" s="16">
        <f>IF(NOT(Paths!$C$230=1),0,IF(Paths!$P$230="Complete",N2466*(1+'Operating costs'!$B$54)^-C2466,"n.a."))</f>
        <v>0</v>
      </c>
      <c r="R2466" s="16">
        <f>IF(NOT(Paths!$C$230=1),0,IF(Paths!$P$230="Complete",IF(AND(C2466=0,Paths!$E$230=0),I2466-J2466-K2466+VLOOKUP(A2466,'Fleet register'!$A$7:$S$106,15,FALSE)+VLOOKUP(A2466,'Fleet register'!$A$7:$S$106,16,FALSE),0),"n.a."))</f>
        <v>0</v>
      </c>
      <c r="S2466" s="1">
        <f>IF(NOT(Paths!$C$230=1),0,IF(Paths!$P$230="Complete",IF(C2466=0,0,Paths!$S$230*Paths!$R$230),"n.a."))</f>
        <v>0</v>
      </c>
      <c r="T2466" s="1">
        <f>IF(NOT(Paths!$C$230=1),0,IF(Paths!$P$230="Complete",IF(C2466=0,0,VLOOKUP(A2466,'Fleet register'!$A$7:$S$106,9,FALSE)*Paths!$R$230),"n.a."))</f>
        <v>0</v>
      </c>
    </row>
    <row r="2467" spans="1:20" ht="24" customHeight="1">
      <c r="A2467" s="1" t="str">
        <f>Paths!$A$230</f>
        <v>T056</v>
      </c>
      <c r="B2467" s="1">
        <f>Paths!$B$230</f>
        <v>3</v>
      </c>
      <c r="C2467" s="1">
        <v>7</v>
      </c>
      <c r="D2467" s="1">
        <v>230</v>
      </c>
      <c r="E2467" s="1">
        <f>IF(OR(Paths!$C$230=0,C2467=0),0,MAX(0,MIN(C2467*12,Paths!$E$230)-(C2467-1)*12))</f>
        <v>0</v>
      </c>
      <c r="F2467" s="1">
        <f>IF(OR(Paths!$C$230=0,C2467=0),0,12-E2467)</f>
        <v>0</v>
      </c>
      <c r="G2467" s="16">
        <f>IF(NOT(Paths!$C$230=1),0,IF(Paths!$P$230="Complete",E2467/12*(Paths!$J$230*(1+'Operating costs'!$B$51)^MAX(0,C2467-1)+Paths!$K$230*(1+'Operating costs'!$B$53)^MAX(0,C2467-1)),"n.a."))</f>
        <v>0</v>
      </c>
      <c r="H2467" s="16">
        <f>IF(NOT(Paths!$C$230=1),0,IF(Paths!$P$230="Complete",F2467/12*(Paths!$L$230*(1+IF(Paths!$D$230="EV",'Operating costs'!$B$52,'Operating costs'!$B$51))^MAX(0,C2467-1)+Paths!$M$230*(1+'Operating costs'!$B$53)^MAX(0,C2467-1)),"n.a."))</f>
        <v>0</v>
      </c>
      <c r="I2467" s="16">
        <f>IF(NOT(Paths!$C$230=1),0,IF(Paths!$P$230="Complete",IF(IF(Paths!$E$230=0,C2467=0,AND(C2467&gt;0,Paths!$E$230&gt;(C2467-1)*12,Paths!$E$230&lt;=C2467*12)),Paths!$G$230,0),"n.a."))</f>
        <v>0</v>
      </c>
      <c r="J2467" s="16">
        <f>IF(NOT(Paths!$C$230=1),0,IF(Paths!$P$230="Complete",IF(IF(Paths!$E$230=0,C2467=0,AND(C2467&gt;0,Paths!$E$230&gt;(C2467-1)*12,Paths!$E$230&lt;=C2467*12)),Paths!$H$230,0),"n.a."))</f>
        <v>0</v>
      </c>
      <c r="K2467" s="16">
        <f>IF(NOT(Paths!$C$230=1),0,IF(Paths!$P$230="Complete",IF(IF(Paths!$O$230=0,C2467=0,AND(C2467&gt;0,Paths!$O$230&gt;(C2467-1)*12,Paths!$O$230&lt;=C2467*12)),Paths!$N$230,0),"n.a."))</f>
        <v>0</v>
      </c>
      <c r="L2467" s="16">
        <f>IF(NOT(Paths!$C$230=1),0,IF(Paths!$P$230="Complete",IF(C2467=10,Paths!$I$230,0),"n.a."))</f>
        <v>0</v>
      </c>
      <c r="M2467" s="16">
        <f>IF(NOT(Paths!$C$230=1),0,IF(Paths!$P$230="Complete",IF(AND(Paths!$D$230="EV",Paths!$E$230&lt;120,Paths!$E$230+'Operating costs'!$B$65&gt;Paths!$E$230,Paths!$E$230+'Operating costs'!$B$65&lt;=120,IF(Paths!$E$230+'Operating costs'!$B$65=0,C2467=0,AND(C2467&gt;0,Paths!$E$230+'Operating costs'!$B$65&gt;(C2467-1)*12,Paths!$E$230+'Operating costs'!$B$65&lt;=C2467*12))),'Operating costs'!$B$64,0)+IF(AND('Operating costs'!$B$67&gt;0,'Operating costs'!$B$67&lt;=120,OR(Paths!$D$230="ICE",'Operating costs'!$B$67&lt;=Paths!$E$230),IF('Operating costs'!$B$67=0,C2467=0,AND(C2467&gt;0,'Operating costs'!$B$67&gt;(C2467-1)*12,'Operating costs'!$B$67&lt;=C2467*12))),'Operating costs'!$B$66,0),"n.a."))</f>
        <v>0</v>
      </c>
      <c r="N2467" s="16">
        <f>IF(NOT(Paths!$C$230=1),0,IF(Paths!$P$230="Complete",SUM(G2467:I2467)-J2467-K2467-L2467+M2467+IF(C2467=0,Paths!$F$230,0)+IF(IF(Paths!$E$230=0,C2467=0,AND(C2467&gt;0,Paths!$E$230&gt;(C2467-1)*12,Paths!$E$230&lt;=C2467*12)),VLOOKUP(A2467,'Fleet register'!$A$7:$S$106,16,FALSE),0),"n.a."))</f>
        <v>0</v>
      </c>
      <c r="O2467" s="16">
        <f>IF(NOT(Paths!$C$230=1),0,IF(Paths!$P$230="Complete",N2467-IF(C2467=0,Paths!$F$230,0),"n.a."))</f>
        <v>0</v>
      </c>
      <c r="P2467" s="16">
        <f>IF(NOT(Paths!$C$230=1),0,IF(Paths!$P$230="Complete",O2467+L2467,"n.a."))</f>
        <v>0</v>
      </c>
      <c r="Q2467" s="16">
        <f>IF(NOT(Paths!$C$230=1),0,IF(Paths!$P$230="Complete",N2467*(1+'Operating costs'!$B$54)^-C2467,"n.a."))</f>
        <v>0</v>
      </c>
      <c r="R2467" s="16">
        <f>IF(NOT(Paths!$C$230=1),0,IF(Paths!$P$230="Complete",IF(AND(C2467=0,Paths!$E$230=0),I2467-J2467-K2467+VLOOKUP(A2467,'Fleet register'!$A$7:$S$106,15,FALSE)+VLOOKUP(A2467,'Fleet register'!$A$7:$S$106,16,FALSE),0),"n.a."))</f>
        <v>0</v>
      </c>
      <c r="S2467" s="1">
        <f>IF(NOT(Paths!$C$230=1),0,IF(Paths!$P$230="Complete",IF(C2467=0,0,Paths!$S$230*Paths!$R$230),"n.a."))</f>
        <v>0</v>
      </c>
      <c r="T2467" s="1">
        <f>IF(NOT(Paths!$C$230=1),0,IF(Paths!$P$230="Complete",IF(C2467=0,0,VLOOKUP(A2467,'Fleet register'!$A$7:$S$106,9,FALSE)*Paths!$R$230),"n.a."))</f>
        <v>0</v>
      </c>
    </row>
    <row r="2468" spans="1:20" ht="24" customHeight="1">
      <c r="A2468" s="1" t="str">
        <f>Paths!$A$230</f>
        <v>T056</v>
      </c>
      <c r="B2468" s="1">
        <f>Paths!$B$230</f>
        <v>3</v>
      </c>
      <c r="C2468" s="1">
        <v>8</v>
      </c>
      <c r="D2468" s="1">
        <v>230</v>
      </c>
      <c r="E2468" s="1">
        <f>IF(OR(Paths!$C$230=0,C2468=0),0,MAX(0,MIN(C2468*12,Paths!$E$230)-(C2468-1)*12))</f>
        <v>0</v>
      </c>
      <c r="F2468" s="1">
        <f>IF(OR(Paths!$C$230=0,C2468=0),0,12-E2468)</f>
        <v>0</v>
      </c>
      <c r="G2468" s="16">
        <f>IF(NOT(Paths!$C$230=1),0,IF(Paths!$P$230="Complete",E2468/12*(Paths!$J$230*(1+'Operating costs'!$B$51)^MAX(0,C2468-1)+Paths!$K$230*(1+'Operating costs'!$B$53)^MAX(0,C2468-1)),"n.a."))</f>
        <v>0</v>
      </c>
      <c r="H2468" s="16">
        <f>IF(NOT(Paths!$C$230=1),0,IF(Paths!$P$230="Complete",F2468/12*(Paths!$L$230*(1+IF(Paths!$D$230="EV",'Operating costs'!$B$52,'Operating costs'!$B$51))^MAX(0,C2468-1)+Paths!$M$230*(1+'Operating costs'!$B$53)^MAX(0,C2468-1)),"n.a."))</f>
        <v>0</v>
      </c>
      <c r="I2468" s="16">
        <f>IF(NOT(Paths!$C$230=1),0,IF(Paths!$P$230="Complete",IF(IF(Paths!$E$230=0,C2468=0,AND(C2468&gt;0,Paths!$E$230&gt;(C2468-1)*12,Paths!$E$230&lt;=C2468*12)),Paths!$G$230,0),"n.a."))</f>
        <v>0</v>
      </c>
      <c r="J2468" s="16">
        <f>IF(NOT(Paths!$C$230=1),0,IF(Paths!$P$230="Complete",IF(IF(Paths!$E$230=0,C2468=0,AND(C2468&gt;0,Paths!$E$230&gt;(C2468-1)*12,Paths!$E$230&lt;=C2468*12)),Paths!$H$230,0),"n.a."))</f>
        <v>0</v>
      </c>
      <c r="K2468" s="16">
        <f>IF(NOT(Paths!$C$230=1),0,IF(Paths!$P$230="Complete",IF(IF(Paths!$O$230=0,C2468=0,AND(C2468&gt;0,Paths!$O$230&gt;(C2468-1)*12,Paths!$O$230&lt;=C2468*12)),Paths!$N$230,0),"n.a."))</f>
        <v>0</v>
      </c>
      <c r="L2468" s="16">
        <f>IF(NOT(Paths!$C$230=1),0,IF(Paths!$P$230="Complete",IF(C2468=10,Paths!$I$230,0),"n.a."))</f>
        <v>0</v>
      </c>
      <c r="M2468" s="16">
        <f>IF(NOT(Paths!$C$230=1),0,IF(Paths!$P$230="Complete",IF(AND(Paths!$D$230="EV",Paths!$E$230&lt;120,Paths!$E$230+'Operating costs'!$B$65&gt;Paths!$E$230,Paths!$E$230+'Operating costs'!$B$65&lt;=120,IF(Paths!$E$230+'Operating costs'!$B$65=0,C2468=0,AND(C2468&gt;0,Paths!$E$230+'Operating costs'!$B$65&gt;(C2468-1)*12,Paths!$E$230+'Operating costs'!$B$65&lt;=C2468*12))),'Operating costs'!$B$64,0)+IF(AND('Operating costs'!$B$67&gt;0,'Operating costs'!$B$67&lt;=120,OR(Paths!$D$230="ICE",'Operating costs'!$B$67&lt;=Paths!$E$230),IF('Operating costs'!$B$67=0,C2468=0,AND(C2468&gt;0,'Operating costs'!$B$67&gt;(C2468-1)*12,'Operating costs'!$B$67&lt;=C2468*12))),'Operating costs'!$B$66,0),"n.a."))</f>
        <v>0</v>
      </c>
      <c r="N2468" s="16">
        <f>IF(NOT(Paths!$C$230=1),0,IF(Paths!$P$230="Complete",SUM(G2468:I2468)-J2468-K2468-L2468+M2468+IF(C2468=0,Paths!$F$230,0)+IF(IF(Paths!$E$230=0,C2468=0,AND(C2468&gt;0,Paths!$E$230&gt;(C2468-1)*12,Paths!$E$230&lt;=C2468*12)),VLOOKUP(A2468,'Fleet register'!$A$7:$S$106,16,FALSE),0),"n.a."))</f>
        <v>0</v>
      </c>
      <c r="O2468" s="16">
        <f>IF(NOT(Paths!$C$230=1),0,IF(Paths!$P$230="Complete",N2468-IF(C2468=0,Paths!$F$230,0),"n.a."))</f>
        <v>0</v>
      </c>
      <c r="P2468" s="16">
        <f>IF(NOT(Paths!$C$230=1),0,IF(Paths!$P$230="Complete",O2468+L2468,"n.a."))</f>
        <v>0</v>
      </c>
      <c r="Q2468" s="16">
        <f>IF(NOT(Paths!$C$230=1),0,IF(Paths!$P$230="Complete",N2468*(1+'Operating costs'!$B$54)^-C2468,"n.a."))</f>
        <v>0</v>
      </c>
      <c r="R2468" s="16">
        <f>IF(NOT(Paths!$C$230=1),0,IF(Paths!$P$230="Complete",IF(AND(C2468=0,Paths!$E$230=0),I2468-J2468-K2468+VLOOKUP(A2468,'Fleet register'!$A$7:$S$106,15,FALSE)+VLOOKUP(A2468,'Fleet register'!$A$7:$S$106,16,FALSE),0),"n.a."))</f>
        <v>0</v>
      </c>
      <c r="S2468" s="1">
        <f>IF(NOT(Paths!$C$230=1),0,IF(Paths!$P$230="Complete",IF(C2468=0,0,Paths!$S$230*Paths!$R$230),"n.a."))</f>
        <v>0</v>
      </c>
      <c r="T2468" s="1">
        <f>IF(NOT(Paths!$C$230=1),0,IF(Paths!$P$230="Complete",IF(C2468=0,0,VLOOKUP(A2468,'Fleet register'!$A$7:$S$106,9,FALSE)*Paths!$R$230),"n.a."))</f>
        <v>0</v>
      </c>
    </row>
    <row r="2469" spans="1:20" ht="24" customHeight="1">
      <c r="A2469" s="1" t="str">
        <f>Paths!$A$230</f>
        <v>T056</v>
      </c>
      <c r="B2469" s="1">
        <f>Paths!$B$230</f>
        <v>3</v>
      </c>
      <c r="C2469" s="1">
        <v>9</v>
      </c>
      <c r="D2469" s="1">
        <v>230</v>
      </c>
      <c r="E2469" s="1">
        <f>IF(OR(Paths!$C$230=0,C2469=0),0,MAX(0,MIN(C2469*12,Paths!$E$230)-(C2469-1)*12))</f>
        <v>0</v>
      </c>
      <c r="F2469" s="1">
        <f>IF(OR(Paths!$C$230=0,C2469=0),0,12-E2469)</f>
        <v>0</v>
      </c>
      <c r="G2469" s="16">
        <f>IF(NOT(Paths!$C$230=1),0,IF(Paths!$P$230="Complete",E2469/12*(Paths!$J$230*(1+'Operating costs'!$B$51)^MAX(0,C2469-1)+Paths!$K$230*(1+'Operating costs'!$B$53)^MAX(0,C2469-1)),"n.a."))</f>
        <v>0</v>
      </c>
      <c r="H2469" s="16">
        <f>IF(NOT(Paths!$C$230=1),0,IF(Paths!$P$230="Complete",F2469/12*(Paths!$L$230*(1+IF(Paths!$D$230="EV",'Operating costs'!$B$52,'Operating costs'!$B$51))^MAX(0,C2469-1)+Paths!$M$230*(1+'Operating costs'!$B$53)^MAX(0,C2469-1)),"n.a."))</f>
        <v>0</v>
      </c>
      <c r="I2469" s="16">
        <f>IF(NOT(Paths!$C$230=1),0,IF(Paths!$P$230="Complete",IF(IF(Paths!$E$230=0,C2469=0,AND(C2469&gt;0,Paths!$E$230&gt;(C2469-1)*12,Paths!$E$230&lt;=C2469*12)),Paths!$G$230,0),"n.a."))</f>
        <v>0</v>
      </c>
      <c r="J2469" s="16">
        <f>IF(NOT(Paths!$C$230=1),0,IF(Paths!$P$230="Complete",IF(IF(Paths!$E$230=0,C2469=0,AND(C2469&gt;0,Paths!$E$230&gt;(C2469-1)*12,Paths!$E$230&lt;=C2469*12)),Paths!$H$230,0),"n.a."))</f>
        <v>0</v>
      </c>
      <c r="K2469" s="16">
        <f>IF(NOT(Paths!$C$230=1),0,IF(Paths!$P$230="Complete",IF(IF(Paths!$O$230=0,C2469=0,AND(C2469&gt;0,Paths!$O$230&gt;(C2469-1)*12,Paths!$O$230&lt;=C2469*12)),Paths!$N$230,0),"n.a."))</f>
        <v>0</v>
      </c>
      <c r="L2469" s="16">
        <f>IF(NOT(Paths!$C$230=1),0,IF(Paths!$P$230="Complete",IF(C2469=10,Paths!$I$230,0),"n.a."))</f>
        <v>0</v>
      </c>
      <c r="M2469" s="16">
        <f>IF(NOT(Paths!$C$230=1),0,IF(Paths!$P$230="Complete",IF(AND(Paths!$D$230="EV",Paths!$E$230&lt;120,Paths!$E$230+'Operating costs'!$B$65&gt;Paths!$E$230,Paths!$E$230+'Operating costs'!$B$65&lt;=120,IF(Paths!$E$230+'Operating costs'!$B$65=0,C2469=0,AND(C2469&gt;0,Paths!$E$230+'Operating costs'!$B$65&gt;(C2469-1)*12,Paths!$E$230+'Operating costs'!$B$65&lt;=C2469*12))),'Operating costs'!$B$64,0)+IF(AND('Operating costs'!$B$67&gt;0,'Operating costs'!$B$67&lt;=120,OR(Paths!$D$230="ICE",'Operating costs'!$B$67&lt;=Paths!$E$230),IF('Operating costs'!$B$67=0,C2469=0,AND(C2469&gt;0,'Operating costs'!$B$67&gt;(C2469-1)*12,'Operating costs'!$B$67&lt;=C2469*12))),'Operating costs'!$B$66,0),"n.a."))</f>
        <v>0</v>
      </c>
      <c r="N2469" s="16">
        <f>IF(NOT(Paths!$C$230=1),0,IF(Paths!$P$230="Complete",SUM(G2469:I2469)-J2469-K2469-L2469+M2469+IF(C2469=0,Paths!$F$230,0)+IF(IF(Paths!$E$230=0,C2469=0,AND(C2469&gt;0,Paths!$E$230&gt;(C2469-1)*12,Paths!$E$230&lt;=C2469*12)),VLOOKUP(A2469,'Fleet register'!$A$7:$S$106,16,FALSE),0),"n.a."))</f>
        <v>0</v>
      </c>
      <c r="O2469" s="16">
        <f>IF(NOT(Paths!$C$230=1),0,IF(Paths!$P$230="Complete",N2469-IF(C2469=0,Paths!$F$230,0),"n.a."))</f>
        <v>0</v>
      </c>
      <c r="P2469" s="16">
        <f>IF(NOT(Paths!$C$230=1),0,IF(Paths!$P$230="Complete",O2469+L2469,"n.a."))</f>
        <v>0</v>
      </c>
      <c r="Q2469" s="16">
        <f>IF(NOT(Paths!$C$230=1),0,IF(Paths!$P$230="Complete",N2469*(1+'Operating costs'!$B$54)^-C2469,"n.a."))</f>
        <v>0</v>
      </c>
      <c r="R2469" s="16">
        <f>IF(NOT(Paths!$C$230=1),0,IF(Paths!$P$230="Complete",IF(AND(C2469=0,Paths!$E$230=0),I2469-J2469-K2469+VLOOKUP(A2469,'Fleet register'!$A$7:$S$106,15,FALSE)+VLOOKUP(A2469,'Fleet register'!$A$7:$S$106,16,FALSE),0),"n.a."))</f>
        <v>0</v>
      </c>
      <c r="S2469" s="1">
        <f>IF(NOT(Paths!$C$230=1),0,IF(Paths!$P$230="Complete",IF(C2469=0,0,Paths!$S$230*Paths!$R$230),"n.a."))</f>
        <v>0</v>
      </c>
      <c r="T2469" s="1">
        <f>IF(NOT(Paths!$C$230=1),0,IF(Paths!$P$230="Complete",IF(C2469=0,0,VLOOKUP(A2469,'Fleet register'!$A$7:$S$106,9,FALSE)*Paths!$R$230),"n.a."))</f>
        <v>0</v>
      </c>
    </row>
    <row r="2470" spans="1:20" ht="24" customHeight="1">
      <c r="A2470" s="1" t="str">
        <f>Paths!$A$230</f>
        <v>T056</v>
      </c>
      <c r="B2470" s="1">
        <f>Paths!$B$230</f>
        <v>3</v>
      </c>
      <c r="C2470" s="1">
        <v>10</v>
      </c>
      <c r="D2470" s="1">
        <v>230</v>
      </c>
      <c r="E2470" s="1">
        <f>IF(OR(Paths!$C$230=0,C2470=0),0,MAX(0,MIN(C2470*12,Paths!$E$230)-(C2470-1)*12))</f>
        <v>0</v>
      </c>
      <c r="F2470" s="1">
        <f>IF(OR(Paths!$C$230=0,C2470=0),0,12-E2470)</f>
        <v>0</v>
      </c>
      <c r="G2470" s="16">
        <f>IF(NOT(Paths!$C$230=1),0,IF(Paths!$P$230="Complete",E2470/12*(Paths!$J$230*(1+'Operating costs'!$B$51)^MAX(0,C2470-1)+Paths!$K$230*(1+'Operating costs'!$B$53)^MAX(0,C2470-1)),"n.a."))</f>
        <v>0</v>
      </c>
      <c r="H2470" s="16">
        <f>IF(NOT(Paths!$C$230=1),0,IF(Paths!$P$230="Complete",F2470/12*(Paths!$L$230*(1+IF(Paths!$D$230="EV",'Operating costs'!$B$52,'Operating costs'!$B$51))^MAX(0,C2470-1)+Paths!$M$230*(1+'Operating costs'!$B$53)^MAX(0,C2470-1)),"n.a."))</f>
        <v>0</v>
      </c>
      <c r="I2470" s="16">
        <f>IF(NOT(Paths!$C$230=1),0,IF(Paths!$P$230="Complete",IF(IF(Paths!$E$230=0,C2470=0,AND(C2470&gt;0,Paths!$E$230&gt;(C2470-1)*12,Paths!$E$230&lt;=C2470*12)),Paths!$G$230,0),"n.a."))</f>
        <v>0</v>
      </c>
      <c r="J2470" s="16">
        <f>IF(NOT(Paths!$C$230=1),0,IF(Paths!$P$230="Complete",IF(IF(Paths!$E$230=0,C2470=0,AND(C2470&gt;0,Paths!$E$230&gt;(C2470-1)*12,Paths!$E$230&lt;=C2470*12)),Paths!$H$230,0),"n.a."))</f>
        <v>0</v>
      </c>
      <c r="K2470" s="16">
        <f>IF(NOT(Paths!$C$230=1),0,IF(Paths!$P$230="Complete",IF(IF(Paths!$O$230=0,C2470=0,AND(C2470&gt;0,Paths!$O$230&gt;(C2470-1)*12,Paths!$O$230&lt;=C2470*12)),Paths!$N$230,0),"n.a."))</f>
        <v>0</v>
      </c>
      <c r="L2470" s="16">
        <f>IF(NOT(Paths!$C$230=1),0,IF(Paths!$P$230="Complete",IF(C2470=10,Paths!$I$230,0),"n.a."))</f>
        <v>0</v>
      </c>
      <c r="M2470" s="16">
        <f>IF(NOT(Paths!$C$230=1),0,IF(Paths!$P$230="Complete",IF(AND(Paths!$D$230="EV",Paths!$E$230&lt;120,Paths!$E$230+'Operating costs'!$B$65&gt;Paths!$E$230,Paths!$E$230+'Operating costs'!$B$65&lt;=120,IF(Paths!$E$230+'Operating costs'!$B$65=0,C2470=0,AND(C2470&gt;0,Paths!$E$230+'Operating costs'!$B$65&gt;(C2470-1)*12,Paths!$E$230+'Operating costs'!$B$65&lt;=C2470*12))),'Operating costs'!$B$64,0)+IF(AND('Operating costs'!$B$67&gt;0,'Operating costs'!$B$67&lt;=120,OR(Paths!$D$230="ICE",'Operating costs'!$B$67&lt;=Paths!$E$230),IF('Operating costs'!$B$67=0,C2470=0,AND(C2470&gt;0,'Operating costs'!$B$67&gt;(C2470-1)*12,'Operating costs'!$B$67&lt;=C2470*12))),'Operating costs'!$B$66,0),"n.a."))</f>
        <v>0</v>
      </c>
      <c r="N2470" s="16">
        <f>IF(NOT(Paths!$C$230=1),0,IF(Paths!$P$230="Complete",SUM(G2470:I2470)-J2470-K2470-L2470+M2470+IF(C2470=0,Paths!$F$230,0)+IF(IF(Paths!$E$230=0,C2470=0,AND(C2470&gt;0,Paths!$E$230&gt;(C2470-1)*12,Paths!$E$230&lt;=C2470*12)),VLOOKUP(A2470,'Fleet register'!$A$7:$S$106,16,FALSE),0),"n.a."))</f>
        <v>0</v>
      </c>
      <c r="O2470" s="16">
        <f>IF(NOT(Paths!$C$230=1),0,IF(Paths!$P$230="Complete",N2470-IF(C2470=0,Paths!$F$230,0),"n.a."))</f>
        <v>0</v>
      </c>
      <c r="P2470" s="16">
        <f>IF(NOT(Paths!$C$230=1),0,IF(Paths!$P$230="Complete",O2470+L2470,"n.a."))</f>
        <v>0</v>
      </c>
      <c r="Q2470" s="16">
        <f>IF(NOT(Paths!$C$230=1),0,IF(Paths!$P$230="Complete",N2470*(1+'Operating costs'!$B$54)^-C2470,"n.a."))</f>
        <v>0</v>
      </c>
      <c r="R2470" s="16">
        <f>IF(NOT(Paths!$C$230=1),0,IF(Paths!$P$230="Complete",IF(AND(C2470=0,Paths!$E$230=0),I2470-J2470-K2470+VLOOKUP(A2470,'Fleet register'!$A$7:$S$106,15,FALSE)+VLOOKUP(A2470,'Fleet register'!$A$7:$S$106,16,FALSE),0),"n.a."))</f>
        <v>0</v>
      </c>
      <c r="S2470" s="1">
        <f>IF(NOT(Paths!$C$230=1),0,IF(Paths!$P$230="Complete",IF(C2470=0,0,Paths!$S$230*Paths!$R$230),"n.a."))</f>
        <v>0</v>
      </c>
      <c r="T2470" s="1">
        <f>IF(NOT(Paths!$C$230=1),0,IF(Paths!$P$230="Complete",IF(C2470=0,0,VLOOKUP(A2470,'Fleet register'!$A$7:$S$106,9,FALSE)*Paths!$R$230),"n.a."))</f>
        <v>0</v>
      </c>
    </row>
    <row r="2471" spans="1:20" ht="24" customHeight="1">
      <c r="A2471" s="1" t="str">
        <f>Paths!$A$231</f>
        <v>T057</v>
      </c>
      <c r="B2471" s="1">
        <f>Paths!$B$231</f>
        <v>0</v>
      </c>
      <c r="C2471" s="1">
        <v>0</v>
      </c>
      <c r="D2471" s="1">
        <v>231</v>
      </c>
      <c r="E2471" s="1">
        <f>IF(OR(Paths!$C$231=0,C2471=0),0,MAX(0,MIN(C2471*12,Paths!$E$231)-(C2471-1)*12))</f>
        <v>0</v>
      </c>
      <c r="F2471" s="1">
        <f>IF(OR(Paths!$C$231=0,C2471=0),0,12-E2471)</f>
        <v>0</v>
      </c>
      <c r="G2471" s="16">
        <f>IF(NOT(Paths!$C$231=1),0,IF(Paths!$P$231="Complete",E2471/12*(Paths!$J$231*(1+'Operating costs'!$B$51)^MAX(0,C2471-1)+Paths!$K$231*(1+'Operating costs'!$B$53)^MAX(0,C2471-1)),"n.a."))</f>
        <v>0</v>
      </c>
      <c r="H2471" s="16">
        <f>IF(NOT(Paths!$C$231=1),0,IF(Paths!$P$231="Complete",F2471/12*(Paths!$L$231*(1+IF(Paths!$D$231="EV",'Operating costs'!$B$52,'Operating costs'!$B$51))^MAX(0,C2471-1)+Paths!$M$231*(1+'Operating costs'!$B$53)^MAX(0,C2471-1)),"n.a."))</f>
        <v>0</v>
      </c>
      <c r="I2471" s="16">
        <f>IF(NOT(Paths!$C$231=1),0,IF(Paths!$P$231="Complete",IF(IF(Paths!$E$231=0,C2471=0,AND(C2471&gt;0,Paths!$E$231&gt;(C2471-1)*12,Paths!$E$231&lt;=C2471*12)),Paths!$G$231,0),"n.a."))</f>
        <v>0</v>
      </c>
      <c r="J2471" s="16">
        <f>IF(NOT(Paths!$C$231=1),0,IF(Paths!$P$231="Complete",IF(IF(Paths!$E$231=0,C2471=0,AND(C2471&gt;0,Paths!$E$231&gt;(C2471-1)*12,Paths!$E$231&lt;=C2471*12)),Paths!$H$231,0),"n.a."))</f>
        <v>0</v>
      </c>
      <c r="K2471" s="16">
        <f>IF(NOT(Paths!$C$231=1),0,IF(Paths!$P$231="Complete",IF(IF(Paths!$O$231=0,C2471=0,AND(C2471&gt;0,Paths!$O$231&gt;(C2471-1)*12,Paths!$O$231&lt;=C2471*12)),Paths!$N$231,0),"n.a."))</f>
        <v>0</v>
      </c>
      <c r="L2471" s="16">
        <f>IF(NOT(Paths!$C$231=1),0,IF(Paths!$P$231="Complete",IF(C2471=10,Paths!$I$231,0),"n.a."))</f>
        <v>0</v>
      </c>
      <c r="M2471" s="16">
        <f>IF(NOT(Paths!$C$231=1),0,IF(Paths!$P$231="Complete",IF(AND(Paths!$D$231="EV",Paths!$E$231&lt;120,Paths!$E$231+'Operating costs'!$B$65&gt;Paths!$E$231,Paths!$E$231+'Operating costs'!$B$65&lt;=120,IF(Paths!$E$231+'Operating costs'!$B$65=0,C2471=0,AND(C2471&gt;0,Paths!$E$231+'Operating costs'!$B$65&gt;(C2471-1)*12,Paths!$E$231+'Operating costs'!$B$65&lt;=C2471*12))),'Operating costs'!$B$64,0)+IF(AND('Operating costs'!$B$67&gt;0,'Operating costs'!$B$67&lt;=120,OR(Paths!$D$231="ICE",'Operating costs'!$B$67&lt;=Paths!$E$231),IF('Operating costs'!$B$67=0,C2471=0,AND(C2471&gt;0,'Operating costs'!$B$67&gt;(C2471-1)*12,'Operating costs'!$B$67&lt;=C2471*12))),'Operating costs'!$B$66,0),"n.a."))</f>
        <v>0</v>
      </c>
      <c r="N2471" s="16">
        <f>IF(NOT(Paths!$C$231=1),0,IF(Paths!$P$231="Complete",SUM(G2471:I2471)-J2471-K2471-L2471+M2471+IF(C2471=0,Paths!$F$231,0)+IF(IF(Paths!$E$231=0,C2471=0,AND(C2471&gt;0,Paths!$E$231&gt;(C2471-1)*12,Paths!$E$231&lt;=C2471*12)),VLOOKUP(A2471,'Fleet register'!$A$7:$S$106,16,FALSE),0),"n.a."))</f>
        <v>0</v>
      </c>
      <c r="O2471" s="16">
        <f>IF(NOT(Paths!$C$231=1),0,IF(Paths!$P$231="Complete",N2471-IF(C2471=0,Paths!$F$231,0),"n.a."))</f>
        <v>0</v>
      </c>
      <c r="P2471" s="16">
        <f>IF(NOT(Paths!$C$231=1),0,IF(Paths!$P$231="Complete",O2471+L2471,"n.a."))</f>
        <v>0</v>
      </c>
      <c r="Q2471" s="16">
        <f>IF(NOT(Paths!$C$231=1),0,IF(Paths!$P$231="Complete",N2471*(1+'Operating costs'!$B$54)^-C2471,"n.a."))</f>
        <v>0</v>
      </c>
      <c r="R2471" s="16">
        <f>IF(NOT(Paths!$C$231=1),0,IF(Paths!$P$231="Complete",IF(AND(C2471=0,Paths!$E$231=0),I2471-J2471-K2471+VLOOKUP(A2471,'Fleet register'!$A$7:$S$106,15,FALSE)+VLOOKUP(A2471,'Fleet register'!$A$7:$S$106,16,FALSE),0),"n.a."))</f>
        <v>0</v>
      </c>
      <c r="S2471" s="1">
        <f>IF(NOT(Paths!$C$231=1),0,IF(Paths!$P$231="Complete",IF(C2471=0,0,Paths!$S$231*Paths!$R$231),"n.a."))</f>
        <v>0</v>
      </c>
      <c r="T2471" s="1">
        <f>IF(NOT(Paths!$C$231=1),0,IF(Paths!$P$231="Complete",IF(C2471=0,0,VLOOKUP(A2471,'Fleet register'!$A$7:$S$106,9,FALSE)*Paths!$R$231),"n.a."))</f>
        <v>0</v>
      </c>
    </row>
    <row r="2472" spans="1:20" ht="24" customHeight="1">
      <c r="A2472" s="1" t="str">
        <f>Paths!$A$231</f>
        <v>T057</v>
      </c>
      <c r="B2472" s="1">
        <f>Paths!$B$231</f>
        <v>0</v>
      </c>
      <c r="C2472" s="1">
        <v>1</v>
      </c>
      <c r="D2472" s="1">
        <v>231</v>
      </c>
      <c r="E2472" s="1">
        <f>IF(OR(Paths!$C$231=0,C2472=0),0,MAX(0,MIN(C2472*12,Paths!$E$231)-(C2472-1)*12))</f>
        <v>0</v>
      </c>
      <c r="F2472" s="1">
        <f>IF(OR(Paths!$C$231=0,C2472=0),0,12-E2472)</f>
        <v>0</v>
      </c>
      <c r="G2472" s="16">
        <f>IF(NOT(Paths!$C$231=1),0,IF(Paths!$P$231="Complete",E2472/12*(Paths!$J$231*(1+'Operating costs'!$B$51)^MAX(0,C2472-1)+Paths!$K$231*(1+'Operating costs'!$B$53)^MAX(0,C2472-1)),"n.a."))</f>
        <v>0</v>
      </c>
      <c r="H2472" s="16">
        <f>IF(NOT(Paths!$C$231=1),0,IF(Paths!$P$231="Complete",F2472/12*(Paths!$L$231*(1+IF(Paths!$D$231="EV",'Operating costs'!$B$52,'Operating costs'!$B$51))^MAX(0,C2472-1)+Paths!$M$231*(1+'Operating costs'!$B$53)^MAX(0,C2472-1)),"n.a."))</f>
        <v>0</v>
      </c>
      <c r="I2472" s="16">
        <f>IF(NOT(Paths!$C$231=1),0,IF(Paths!$P$231="Complete",IF(IF(Paths!$E$231=0,C2472=0,AND(C2472&gt;0,Paths!$E$231&gt;(C2472-1)*12,Paths!$E$231&lt;=C2472*12)),Paths!$G$231,0),"n.a."))</f>
        <v>0</v>
      </c>
      <c r="J2472" s="16">
        <f>IF(NOT(Paths!$C$231=1),0,IF(Paths!$P$231="Complete",IF(IF(Paths!$E$231=0,C2472=0,AND(C2472&gt;0,Paths!$E$231&gt;(C2472-1)*12,Paths!$E$231&lt;=C2472*12)),Paths!$H$231,0),"n.a."))</f>
        <v>0</v>
      </c>
      <c r="K2472" s="16">
        <f>IF(NOT(Paths!$C$231=1),0,IF(Paths!$P$231="Complete",IF(IF(Paths!$O$231=0,C2472=0,AND(C2472&gt;0,Paths!$O$231&gt;(C2472-1)*12,Paths!$O$231&lt;=C2472*12)),Paths!$N$231,0),"n.a."))</f>
        <v>0</v>
      </c>
      <c r="L2472" s="16">
        <f>IF(NOT(Paths!$C$231=1),0,IF(Paths!$P$231="Complete",IF(C2472=10,Paths!$I$231,0),"n.a."))</f>
        <v>0</v>
      </c>
      <c r="M2472" s="16">
        <f>IF(NOT(Paths!$C$231=1),0,IF(Paths!$P$231="Complete",IF(AND(Paths!$D$231="EV",Paths!$E$231&lt;120,Paths!$E$231+'Operating costs'!$B$65&gt;Paths!$E$231,Paths!$E$231+'Operating costs'!$B$65&lt;=120,IF(Paths!$E$231+'Operating costs'!$B$65=0,C2472=0,AND(C2472&gt;0,Paths!$E$231+'Operating costs'!$B$65&gt;(C2472-1)*12,Paths!$E$231+'Operating costs'!$B$65&lt;=C2472*12))),'Operating costs'!$B$64,0)+IF(AND('Operating costs'!$B$67&gt;0,'Operating costs'!$B$67&lt;=120,OR(Paths!$D$231="ICE",'Operating costs'!$B$67&lt;=Paths!$E$231),IF('Operating costs'!$B$67=0,C2472=0,AND(C2472&gt;0,'Operating costs'!$B$67&gt;(C2472-1)*12,'Operating costs'!$B$67&lt;=C2472*12))),'Operating costs'!$B$66,0),"n.a."))</f>
        <v>0</v>
      </c>
      <c r="N2472" s="16">
        <f>IF(NOT(Paths!$C$231=1),0,IF(Paths!$P$231="Complete",SUM(G2472:I2472)-J2472-K2472-L2472+M2472+IF(C2472=0,Paths!$F$231,0)+IF(IF(Paths!$E$231=0,C2472=0,AND(C2472&gt;0,Paths!$E$231&gt;(C2472-1)*12,Paths!$E$231&lt;=C2472*12)),VLOOKUP(A2472,'Fleet register'!$A$7:$S$106,16,FALSE),0),"n.a."))</f>
        <v>0</v>
      </c>
      <c r="O2472" s="16">
        <f>IF(NOT(Paths!$C$231=1),0,IF(Paths!$P$231="Complete",N2472-IF(C2472=0,Paths!$F$231,0),"n.a."))</f>
        <v>0</v>
      </c>
      <c r="P2472" s="16">
        <f>IF(NOT(Paths!$C$231=1),0,IF(Paths!$P$231="Complete",O2472+L2472,"n.a."))</f>
        <v>0</v>
      </c>
      <c r="Q2472" s="16">
        <f>IF(NOT(Paths!$C$231=1),0,IF(Paths!$P$231="Complete",N2472*(1+'Operating costs'!$B$54)^-C2472,"n.a."))</f>
        <v>0</v>
      </c>
      <c r="R2472" s="16">
        <f>IF(NOT(Paths!$C$231=1),0,IF(Paths!$P$231="Complete",IF(AND(C2472=0,Paths!$E$231=0),I2472-J2472-K2472+VLOOKUP(A2472,'Fleet register'!$A$7:$S$106,15,FALSE)+VLOOKUP(A2472,'Fleet register'!$A$7:$S$106,16,FALSE),0),"n.a."))</f>
        <v>0</v>
      </c>
      <c r="S2472" s="1">
        <f>IF(NOT(Paths!$C$231=1),0,IF(Paths!$P$231="Complete",IF(C2472=0,0,Paths!$S$231*Paths!$R$231),"n.a."))</f>
        <v>0</v>
      </c>
      <c r="T2472" s="1">
        <f>IF(NOT(Paths!$C$231=1),0,IF(Paths!$P$231="Complete",IF(C2472=0,0,VLOOKUP(A2472,'Fleet register'!$A$7:$S$106,9,FALSE)*Paths!$R$231),"n.a."))</f>
        <v>0</v>
      </c>
    </row>
    <row r="2473" spans="1:20" ht="24" customHeight="1">
      <c r="A2473" s="1" t="str">
        <f>Paths!$A$231</f>
        <v>T057</v>
      </c>
      <c r="B2473" s="1">
        <f>Paths!$B$231</f>
        <v>0</v>
      </c>
      <c r="C2473" s="1">
        <v>2</v>
      </c>
      <c r="D2473" s="1">
        <v>231</v>
      </c>
      <c r="E2473" s="1">
        <f>IF(OR(Paths!$C$231=0,C2473=0),0,MAX(0,MIN(C2473*12,Paths!$E$231)-(C2473-1)*12))</f>
        <v>0</v>
      </c>
      <c r="F2473" s="1">
        <f>IF(OR(Paths!$C$231=0,C2473=0),0,12-E2473)</f>
        <v>0</v>
      </c>
      <c r="G2473" s="16">
        <f>IF(NOT(Paths!$C$231=1),0,IF(Paths!$P$231="Complete",E2473/12*(Paths!$J$231*(1+'Operating costs'!$B$51)^MAX(0,C2473-1)+Paths!$K$231*(1+'Operating costs'!$B$53)^MAX(0,C2473-1)),"n.a."))</f>
        <v>0</v>
      </c>
      <c r="H2473" s="16">
        <f>IF(NOT(Paths!$C$231=1),0,IF(Paths!$P$231="Complete",F2473/12*(Paths!$L$231*(1+IF(Paths!$D$231="EV",'Operating costs'!$B$52,'Operating costs'!$B$51))^MAX(0,C2473-1)+Paths!$M$231*(1+'Operating costs'!$B$53)^MAX(0,C2473-1)),"n.a."))</f>
        <v>0</v>
      </c>
      <c r="I2473" s="16">
        <f>IF(NOT(Paths!$C$231=1),0,IF(Paths!$P$231="Complete",IF(IF(Paths!$E$231=0,C2473=0,AND(C2473&gt;0,Paths!$E$231&gt;(C2473-1)*12,Paths!$E$231&lt;=C2473*12)),Paths!$G$231,0),"n.a."))</f>
        <v>0</v>
      </c>
      <c r="J2473" s="16">
        <f>IF(NOT(Paths!$C$231=1),0,IF(Paths!$P$231="Complete",IF(IF(Paths!$E$231=0,C2473=0,AND(C2473&gt;0,Paths!$E$231&gt;(C2473-1)*12,Paths!$E$231&lt;=C2473*12)),Paths!$H$231,0),"n.a."))</f>
        <v>0</v>
      </c>
      <c r="K2473" s="16">
        <f>IF(NOT(Paths!$C$231=1),0,IF(Paths!$P$231="Complete",IF(IF(Paths!$O$231=0,C2473=0,AND(C2473&gt;0,Paths!$O$231&gt;(C2473-1)*12,Paths!$O$231&lt;=C2473*12)),Paths!$N$231,0),"n.a."))</f>
        <v>0</v>
      </c>
      <c r="L2473" s="16">
        <f>IF(NOT(Paths!$C$231=1),0,IF(Paths!$P$231="Complete",IF(C2473=10,Paths!$I$231,0),"n.a."))</f>
        <v>0</v>
      </c>
      <c r="M2473" s="16">
        <f>IF(NOT(Paths!$C$231=1),0,IF(Paths!$P$231="Complete",IF(AND(Paths!$D$231="EV",Paths!$E$231&lt;120,Paths!$E$231+'Operating costs'!$B$65&gt;Paths!$E$231,Paths!$E$231+'Operating costs'!$B$65&lt;=120,IF(Paths!$E$231+'Operating costs'!$B$65=0,C2473=0,AND(C2473&gt;0,Paths!$E$231+'Operating costs'!$B$65&gt;(C2473-1)*12,Paths!$E$231+'Operating costs'!$B$65&lt;=C2473*12))),'Operating costs'!$B$64,0)+IF(AND('Operating costs'!$B$67&gt;0,'Operating costs'!$B$67&lt;=120,OR(Paths!$D$231="ICE",'Operating costs'!$B$67&lt;=Paths!$E$231),IF('Operating costs'!$B$67=0,C2473=0,AND(C2473&gt;0,'Operating costs'!$B$67&gt;(C2473-1)*12,'Operating costs'!$B$67&lt;=C2473*12))),'Operating costs'!$B$66,0),"n.a."))</f>
        <v>0</v>
      </c>
      <c r="N2473" s="16">
        <f>IF(NOT(Paths!$C$231=1),0,IF(Paths!$P$231="Complete",SUM(G2473:I2473)-J2473-K2473-L2473+M2473+IF(C2473=0,Paths!$F$231,0)+IF(IF(Paths!$E$231=0,C2473=0,AND(C2473&gt;0,Paths!$E$231&gt;(C2473-1)*12,Paths!$E$231&lt;=C2473*12)),VLOOKUP(A2473,'Fleet register'!$A$7:$S$106,16,FALSE),0),"n.a."))</f>
        <v>0</v>
      </c>
      <c r="O2473" s="16">
        <f>IF(NOT(Paths!$C$231=1),0,IF(Paths!$P$231="Complete",N2473-IF(C2473=0,Paths!$F$231,0),"n.a."))</f>
        <v>0</v>
      </c>
      <c r="P2473" s="16">
        <f>IF(NOT(Paths!$C$231=1),0,IF(Paths!$P$231="Complete",O2473+L2473,"n.a."))</f>
        <v>0</v>
      </c>
      <c r="Q2473" s="16">
        <f>IF(NOT(Paths!$C$231=1),0,IF(Paths!$P$231="Complete",N2473*(1+'Operating costs'!$B$54)^-C2473,"n.a."))</f>
        <v>0</v>
      </c>
      <c r="R2473" s="16">
        <f>IF(NOT(Paths!$C$231=1),0,IF(Paths!$P$231="Complete",IF(AND(C2473=0,Paths!$E$231=0),I2473-J2473-K2473+VLOOKUP(A2473,'Fleet register'!$A$7:$S$106,15,FALSE)+VLOOKUP(A2473,'Fleet register'!$A$7:$S$106,16,FALSE),0),"n.a."))</f>
        <v>0</v>
      </c>
      <c r="S2473" s="1">
        <f>IF(NOT(Paths!$C$231=1),0,IF(Paths!$P$231="Complete",IF(C2473=0,0,Paths!$S$231*Paths!$R$231),"n.a."))</f>
        <v>0</v>
      </c>
      <c r="T2473" s="1">
        <f>IF(NOT(Paths!$C$231=1),0,IF(Paths!$P$231="Complete",IF(C2473=0,0,VLOOKUP(A2473,'Fleet register'!$A$7:$S$106,9,FALSE)*Paths!$R$231),"n.a."))</f>
        <v>0</v>
      </c>
    </row>
    <row r="2474" spans="1:20" ht="24" customHeight="1">
      <c r="A2474" s="1" t="str">
        <f>Paths!$A$231</f>
        <v>T057</v>
      </c>
      <c r="B2474" s="1">
        <f>Paths!$B$231</f>
        <v>0</v>
      </c>
      <c r="C2474" s="1">
        <v>3</v>
      </c>
      <c r="D2474" s="1">
        <v>231</v>
      </c>
      <c r="E2474" s="1">
        <f>IF(OR(Paths!$C$231=0,C2474=0),0,MAX(0,MIN(C2474*12,Paths!$E$231)-(C2474-1)*12))</f>
        <v>0</v>
      </c>
      <c r="F2474" s="1">
        <f>IF(OR(Paths!$C$231=0,C2474=0),0,12-E2474)</f>
        <v>0</v>
      </c>
      <c r="G2474" s="16">
        <f>IF(NOT(Paths!$C$231=1),0,IF(Paths!$P$231="Complete",E2474/12*(Paths!$J$231*(1+'Operating costs'!$B$51)^MAX(0,C2474-1)+Paths!$K$231*(1+'Operating costs'!$B$53)^MAX(0,C2474-1)),"n.a."))</f>
        <v>0</v>
      </c>
      <c r="H2474" s="16">
        <f>IF(NOT(Paths!$C$231=1),0,IF(Paths!$P$231="Complete",F2474/12*(Paths!$L$231*(1+IF(Paths!$D$231="EV",'Operating costs'!$B$52,'Operating costs'!$B$51))^MAX(0,C2474-1)+Paths!$M$231*(1+'Operating costs'!$B$53)^MAX(0,C2474-1)),"n.a."))</f>
        <v>0</v>
      </c>
      <c r="I2474" s="16">
        <f>IF(NOT(Paths!$C$231=1),0,IF(Paths!$P$231="Complete",IF(IF(Paths!$E$231=0,C2474=0,AND(C2474&gt;0,Paths!$E$231&gt;(C2474-1)*12,Paths!$E$231&lt;=C2474*12)),Paths!$G$231,0),"n.a."))</f>
        <v>0</v>
      </c>
      <c r="J2474" s="16">
        <f>IF(NOT(Paths!$C$231=1),0,IF(Paths!$P$231="Complete",IF(IF(Paths!$E$231=0,C2474=0,AND(C2474&gt;0,Paths!$E$231&gt;(C2474-1)*12,Paths!$E$231&lt;=C2474*12)),Paths!$H$231,0),"n.a."))</f>
        <v>0</v>
      </c>
      <c r="K2474" s="16">
        <f>IF(NOT(Paths!$C$231=1),0,IF(Paths!$P$231="Complete",IF(IF(Paths!$O$231=0,C2474=0,AND(C2474&gt;0,Paths!$O$231&gt;(C2474-1)*12,Paths!$O$231&lt;=C2474*12)),Paths!$N$231,0),"n.a."))</f>
        <v>0</v>
      </c>
      <c r="L2474" s="16">
        <f>IF(NOT(Paths!$C$231=1),0,IF(Paths!$P$231="Complete",IF(C2474=10,Paths!$I$231,0),"n.a."))</f>
        <v>0</v>
      </c>
      <c r="M2474" s="16">
        <f>IF(NOT(Paths!$C$231=1),0,IF(Paths!$P$231="Complete",IF(AND(Paths!$D$231="EV",Paths!$E$231&lt;120,Paths!$E$231+'Operating costs'!$B$65&gt;Paths!$E$231,Paths!$E$231+'Operating costs'!$B$65&lt;=120,IF(Paths!$E$231+'Operating costs'!$B$65=0,C2474=0,AND(C2474&gt;0,Paths!$E$231+'Operating costs'!$B$65&gt;(C2474-1)*12,Paths!$E$231+'Operating costs'!$B$65&lt;=C2474*12))),'Operating costs'!$B$64,0)+IF(AND('Operating costs'!$B$67&gt;0,'Operating costs'!$B$67&lt;=120,OR(Paths!$D$231="ICE",'Operating costs'!$B$67&lt;=Paths!$E$231),IF('Operating costs'!$B$67=0,C2474=0,AND(C2474&gt;0,'Operating costs'!$B$67&gt;(C2474-1)*12,'Operating costs'!$B$67&lt;=C2474*12))),'Operating costs'!$B$66,0),"n.a."))</f>
        <v>0</v>
      </c>
      <c r="N2474" s="16">
        <f>IF(NOT(Paths!$C$231=1),0,IF(Paths!$P$231="Complete",SUM(G2474:I2474)-J2474-K2474-L2474+M2474+IF(C2474=0,Paths!$F$231,0)+IF(IF(Paths!$E$231=0,C2474=0,AND(C2474&gt;0,Paths!$E$231&gt;(C2474-1)*12,Paths!$E$231&lt;=C2474*12)),VLOOKUP(A2474,'Fleet register'!$A$7:$S$106,16,FALSE),0),"n.a."))</f>
        <v>0</v>
      </c>
      <c r="O2474" s="16">
        <f>IF(NOT(Paths!$C$231=1),0,IF(Paths!$P$231="Complete",N2474-IF(C2474=0,Paths!$F$231,0),"n.a."))</f>
        <v>0</v>
      </c>
      <c r="P2474" s="16">
        <f>IF(NOT(Paths!$C$231=1),0,IF(Paths!$P$231="Complete",O2474+L2474,"n.a."))</f>
        <v>0</v>
      </c>
      <c r="Q2474" s="16">
        <f>IF(NOT(Paths!$C$231=1),0,IF(Paths!$P$231="Complete",N2474*(1+'Operating costs'!$B$54)^-C2474,"n.a."))</f>
        <v>0</v>
      </c>
      <c r="R2474" s="16">
        <f>IF(NOT(Paths!$C$231=1),0,IF(Paths!$P$231="Complete",IF(AND(C2474=0,Paths!$E$231=0),I2474-J2474-K2474+VLOOKUP(A2474,'Fleet register'!$A$7:$S$106,15,FALSE)+VLOOKUP(A2474,'Fleet register'!$A$7:$S$106,16,FALSE),0),"n.a."))</f>
        <v>0</v>
      </c>
      <c r="S2474" s="1">
        <f>IF(NOT(Paths!$C$231=1),0,IF(Paths!$P$231="Complete",IF(C2474=0,0,Paths!$S$231*Paths!$R$231),"n.a."))</f>
        <v>0</v>
      </c>
      <c r="T2474" s="1">
        <f>IF(NOT(Paths!$C$231=1),0,IF(Paths!$P$231="Complete",IF(C2474=0,0,VLOOKUP(A2474,'Fleet register'!$A$7:$S$106,9,FALSE)*Paths!$R$231),"n.a."))</f>
        <v>0</v>
      </c>
    </row>
    <row r="2475" spans="1:20" ht="24" customHeight="1">
      <c r="A2475" s="1" t="str">
        <f>Paths!$A$231</f>
        <v>T057</v>
      </c>
      <c r="B2475" s="1">
        <f>Paths!$B$231</f>
        <v>0</v>
      </c>
      <c r="C2475" s="1">
        <v>4</v>
      </c>
      <c r="D2475" s="1">
        <v>231</v>
      </c>
      <c r="E2475" s="1">
        <f>IF(OR(Paths!$C$231=0,C2475=0),0,MAX(0,MIN(C2475*12,Paths!$E$231)-(C2475-1)*12))</f>
        <v>0</v>
      </c>
      <c r="F2475" s="1">
        <f>IF(OR(Paths!$C$231=0,C2475=0),0,12-E2475)</f>
        <v>0</v>
      </c>
      <c r="G2475" s="16">
        <f>IF(NOT(Paths!$C$231=1),0,IF(Paths!$P$231="Complete",E2475/12*(Paths!$J$231*(1+'Operating costs'!$B$51)^MAX(0,C2475-1)+Paths!$K$231*(1+'Operating costs'!$B$53)^MAX(0,C2475-1)),"n.a."))</f>
        <v>0</v>
      </c>
      <c r="H2475" s="16">
        <f>IF(NOT(Paths!$C$231=1),0,IF(Paths!$P$231="Complete",F2475/12*(Paths!$L$231*(1+IF(Paths!$D$231="EV",'Operating costs'!$B$52,'Operating costs'!$B$51))^MAX(0,C2475-1)+Paths!$M$231*(1+'Operating costs'!$B$53)^MAX(0,C2475-1)),"n.a."))</f>
        <v>0</v>
      </c>
      <c r="I2475" s="16">
        <f>IF(NOT(Paths!$C$231=1),0,IF(Paths!$P$231="Complete",IF(IF(Paths!$E$231=0,C2475=0,AND(C2475&gt;0,Paths!$E$231&gt;(C2475-1)*12,Paths!$E$231&lt;=C2475*12)),Paths!$G$231,0),"n.a."))</f>
        <v>0</v>
      </c>
      <c r="J2475" s="16">
        <f>IF(NOT(Paths!$C$231=1),0,IF(Paths!$P$231="Complete",IF(IF(Paths!$E$231=0,C2475=0,AND(C2475&gt;0,Paths!$E$231&gt;(C2475-1)*12,Paths!$E$231&lt;=C2475*12)),Paths!$H$231,0),"n.a."))</f>
        <v>0</v>
      </c>
      <c r="K2475" s="16">
        <f>IF(NOT(Paths!$C$231=1),0,IF(Paths!$P$231="Complete",IF(IF(Paths!$O$231=0,C2475=0,AND(C2475&gt;0,Paths!$O$231&gt;(C2475-1)*12,Paths!$O$231&lt;=C2475*12)),Paths!$N$231,0),"n.a."))</f>
        <v>0</v>
      </c>
      <c r="L2475" s="16">
        <f>IF(NOT(Paths!$C$231=1),0,IF(Paths!$P$231="Complete",IF(C2475=10,Paths!$I$231,0),"n.a."))</f>
        <v>0</v>
      </c>
      <c r="M2475" s="16">
        <f>IF(NOT(Paths!$C$231=1),0,IF(Paths!$P$231="Complete",IF(AND(Paths!$D$231="EV",Paths!$E$231&lt;120,Paths!$E$231+'Operating costs'!$B$65&gt;Paths!$E$231,Paths!$E$231+'Operating costs'!$B$65&lt;=120,IF(Paths!$E$231+'Operating costs'!$B$65=0,C2475=0,AND(C2475&gt;0,Paths!$E$231+'Operating costs'!$B$65&gt;(C2475-1)*12,Paths!$E$231+'Operating costs'!$B$65&lt;=C2475*12))),'Operating costs'!$B$64,0)+IF(AND('Operating costs'!$B$67&gt;0,'Operating costs'!$B$67&lt;=120,OR(Paths!$D$231="ICE",'Operating costs'!$B$67&lt;=Paths!$E$231),IF('Operating costs'!$B$67=0,C2475=0,AND(C2475&gt;0,'Operating costs'!$B$67&gt;(C2475-1)*12,'Operating costs'!$B$67&lt;=C2475*12))),'Operating costs'!$B$66,0),"n.a."))</f>
        <v>0</v>
      </c>
      <c r="N2475" s="16">
        <f>IF(NOT(Paths!$C$231=1),0,IF(Paths!$P$231="Complete",SUM(G2475:I2475)-J2475-K2475-L2475+M2475+IF(C2475=0,Paths!$F$231,0)+IF(IF(Paths!$E$231=0,C2475=0,AND(C2475&gt;0,Paths!$E$231&gt;(C2475-1)*12,Paths!$E$231&lt;=C2475*12)),VLOOKUP(A2475,'Fleet register'!$A$7:$S$106,16,FALSE),0),"n.a."))</f>
        <v>0</v>
      </c>
      <c r="O2475" s="16">
        <f>IF(NOT(Paths!$C$231=1),0,IF(Paths!$P$231="Complete",N2475-IF(C2475=0,Paths!$F$231,0),"n.a."))</f>
        <v>0</v>
      </c>
      <c r="P2475" s="16">
        <f>IF(NOT(Paths!$C$231=1),0,IF(Paths!$P$231="Complete",O2475+L2475,"n.a."))</f>
        <v>0</v>
      </c>
      <c r="Q2475" s="16">
        <f>IF(NOT(Paths!$C$231=1),0,IF(Paths!$P$231="Complete",N2475*(1+'Operating costs'!$B$54)^-C2475,"n.a."))</f>
        <v>0</v>
      </c>
      <c r="R2475" s="16">
        <f>IF(NOT(Paths!$C$231=1),0,IF(Paths!$P$231="Complete",IF(AND(C2475=0,Paths!$E$231=0),I2475-J2475-K2475+VLOOKUP(A2475,'Fleet register'!$A$7:$S$106,15,FALSE)+VLOOKUP(A2475,'Fleet register'!$A$7:$S$106,16,FALSE),0),"n.a."))</f>
        <v>0</v>
      </c>
      <c r="S2475" s="1">
        <f>IF(NOT(Paths!$C$231=1),0,IF(Paths!$P$231="Complete",IF(C2475=0,0,Paths!$S$231*Paths!$R$231),"n.a."))</f>
        <v>0</v>
      </c>
      <c r="T2475" s="1">
        <f>IF(NOT(Paths!$C$231=1),0,IF(Paths!$P$231="Complete",IF(C2475=0,0,VLOOKUP(A2475,'Fleet register'!$A$7:$S$106,9,FALSE)*Paths!$R$231),"n.a."))</f>
        <v>0</v>
      </c>
    </row>
    <row r="2476" spans="1:20" ht="24" customHeight="1">
      <c r="A2476" s="1" t="str">
        <f>Paths!$A$231</f>
        <v>T057</v>
      </c>
      <c r="B2476" s="1">
        <f>Paths!$B$231</f>
        <v>0</v>
      </c>
      <c r="C2476" s="1">
        <v>5</v>
      </c>
      <c r="D2476" s="1">
        <v>231</v>
      </c>
      <c r="E2476" s="1">
        <f>IF(OR(Paths!$C$231=0,C2476=0),0,MAX(0,MIN(C2476*12,Paths!$E$231)-(C2476-1)*12))</f>
        <v>0</v>
      </c>
      <c r="F2476" s="1">
        <f>IF(OR(Paths!$C$231=0,C2476=0),0,12-E2476)</f>
        <v>0</v>
      </c>
      <c r="G2476" s="16">
        <f>IF(NOT(Paths!$C$231=1),0,IF(Paths!$P$231="Complete",E2476/12*(Paths!$J$231*(1+'Operating costs'!$B$51)^MAX(0,C2476-1)+Paths!$K$231*(1+'Operating costs'!$B$53)^MAX(0,C2476-1)),"n.a."))</f>
        <v>0</v>
      </c>
      <c r="H2476" s="16">
        <f>IF(NOT(Paths!$C$231=1),0,IF(Paths!$P$231="Complete",F2476/12*(Paths!$L$231*(1+IF(Paths!$D$231="EV",'Operating costs'!$B$52,'Operating costs'!$B$51))^MAX(0,C2476-1)+Paths!$M$231*(1+'Operating costs'!$B$53)^MAX(0,C2476-1)),"n.a."))</f>
        <v>0</v>
      </c>
      <c r="I2476" s="16">
        <f>IF(NOT(Paths!$C$231=1),0,IF(Paths!$P$231="Complete",IF(IF(Paths!$E$231=0,C2476=0,AND(C2476&gt;0,Paths!$E$231&gt;(C2476-1)*12,Paths!$E$231&lt;=C2476*12)),Paths!$G$231,0),"n.a."))</f>
        <v>0</v>
      </c>
      <c r="J2476" s="16">
        <f>IF(NOT(Paths!$C$231=1),0,IF(Paths!$P$231="Complete",IF(IF(Paths!$E$231=0,C2476=0,AND(C2476&gt;0,Paths!$E$231&gt;(C2476-1)*12,Paths!$E$231&lt;=C2476*12)),Paths!$H$231,0),"n.a."))</f>
        <v>0</v>
      </c>
      <c r="K2476" s="16">
        <f>IF(NOT(Paths!$C$231=1),0,IF(Paths!$P$231="Complete",IF(IF(Paths!$O$231=0,C2476=0,AND(C2476&gt;0,Paths!$O$231&gt;(C2476-1)*12,Paths!$O$231&lt;=C2476*12)),Paths!$N$231,0),"n.a."))</f>
        <v>0</v>
      </c>
      <c r="L2476" s="16">
        <f>IF(NOT(Paths!$C$231=1),0,IF(Paths!$P$231="Complete",IF(C2476=10,Paths!$I$231,0),"n.a."))</f>
        <v>0</v>
      </c>
      <c r="M2476" s="16">
        <f>IF(NOT(Paths!$C$231=1),0,IF(Paths!$P$231="Complete",IF(AND(Paths!$D$231="EV",Paths!$E$231&lt;120,Paths!$E$231+'Operating costs'!$B$65&gt;Paths!$E$231,Paths!$E$231+'Operating costs'!$B$65&lt;=120,IF(Paths!$E$231+'Operating costs'!$B$65=0,C2476=0,AND(C2476&gt;0,Paths!$E$231+'Operating costs'!$B$65&gt;(C2476-1)*12,Paths!$E$231+'Operating costs'!$B$65&lt;=C2476*12))),'Operating costs'!$B$64,0)+IF(AND('Operating costs'!$B$67&gt;0,'Operating costs'!$B$67&lt;=120,OR(Paths!$D$231="ICE",'Operating costs'!$B$67&lt;=Paths!$E$231),IF('Operating costs'!$B$67=0,C2476=0,AND(C2476&gt;0,'Operating costs'!$B$67&gt;(C2476-1)*12,'Operating costs'!$B$67&lt;=C2476*12))),'Operating costs'!$B$66,0),"n.a."))</f>
        <v>0</v>
      </c>
      <c r="N2476" s="16">
        <f>IF(NOT(Paths!$C$231=1),0,IF(Paths!$P$231="Complete",SUM(G2476:I2476)-J2476-K2476-L2476+M2476+IF(C2476=0,Paths!$F$231,0)+IF(IF(Paths!$E$231=0,C2476=0,AND(C2476&gt;0,Paths!$E$231&gt;(C2476-1)*12,Paths!$E$231&lt;=C2476*12)),VLOOKUP(A2476,'Fleet register'!$A$7:$S$106,16,FALSE),0),"n.a."))</f>
        <v>0</v>
      </c>
      <c r="O2476" s="16">
        <f>IF(NOT(Paths!$C$231=1),0,IF(Paths!$P$231="Complete",N2476-IF(C2476=0,Paths!$F$231,0),"n.a."))</f>
        <v>0</v>
      </c>
      <c r="P2476" s="16">
        <f>IF(NOT(Paths!$C$231=1),0,IF(Paths!$P$231="Complete",O2476+L2476,"n.a."))</f>
        <v>0</v>
      </c>
      <c r="Q2476" s="16">
        <f>IF(NOT(Paths!$C$231=1),0,IF(Paths!$P$231="Complete",N2476*(1+'Operating costs'!$B$54)^-C2476,"n.a."))</f>
        <v>0</v>
      </c>
      <c r="R2476" s="16">
        <f>IF(NOT(Paths!$C$231=1),0,IF(Paths!$P$231="Complete",IF(AND(C2476=0,Paths!$E$231=0),I2476-J2476-K2476+VLOOKUP(A2476,'Fleet register'!$A$7:$S$106,15,FALSE)+VLOOKUP(A2476,'Fleet register'!$A$7:$S$106,16,FALSE),0),"n.a."))</f>
        <v>0</v>
      </c>
      <c r="S2476" s="1">
        <f>IF(NOT(Paths!$C$231=1),0,IF(Paths!$P$231="Complete",IF(C2476=0,0,Paths!$S$231*Paths!$R$231),"n.a."))</f>
        <v>0</v>
      </c>
      <c r="T2476" s="1">
        <f>IF(NOT(Paths!$C$231=1),0,IF(Paths!$P$231="Complete",IF(C2476=0,0,VLOOKUP(A2476,'Fleet register'!$A$7:$S$106,9,FALSE)*Paths!$R$231),"n.a."))</f>
        <v>0</v>
      </c>
    </row>
    <row r="2477" spans="1:20" ht="24" customHeight="1">
      <c r="A2477" s="1" t="str">
        <f>Paths!$A$231</f>
        <v>T057</v>
      </c>
      <c r="B2477" s="1">
        <f>Paths!$B$231</f>
        <v>0</v>
      </c>
      <c r="C2477" s="1">
        <v>6</v>
      </c>
      <c r="D2477" s="1">
        <v>231</v>
      </c>
      <c r="E2477" s="1">
        <f>IF(OR(Paths!$C$231=0,C2477=0),0,MAX(0,MIN(C2477*12,Paths!$E$231)-(C2477-1)*12))</f>
        <v>0</v>
      </c>
      <c r="F2477" s="1">
        <f>IF(OR(Paths!$C$231=0,C2477=0),0,12-E2477)</f>
        <v>0</v>
      </c>
      <c r="G2477" s="16">
        <f>IF(NOT(Paths!$C$231=1),0,IF(Paths!$P$231="Complete",E2477/12*(Paths!$J$231*(1+'Operating costs'!$B$51)^MAX(0,C2477-1)+Paths!$K$231*(1+'Operating costs'!$B$53)^MAX(0,C2477-1)),"n.a."))</f>
        <v>0</v>
      </c>
      <c r="H2477" s="16">
        <f>IF(NOT(Paths!$C$231=1),0,IF(Paths!$P$231="Complete",F2477/12*(Paths!$L$231*(1+IF(Paths!$D$231="EV",'Operating costs'!$B$52,'Operating costs'!$B$51))^MAX(0,C2477-1)+Paths!$M$231*(1+'Operating costs'!$B$53)^MAX(0,C2477-1)),"n.a."))</f>
        <v>0</v>
      </c>
      <c r="I2477" s="16">
        <f>IF(NOT(Paths!$C$231=1),0,IF(Paths!$P$231="Complete",IF(IF(Paths!$E$231=0,C2477=0,AND(C2477&gt;0,Paths!$E$231&gt;(C2477-1)*12,Paths!$E$231&lt;=C2477*12)),Paths!$G$231,0),"n.a."))</f>
        <v>0</v>
      </c>
      <c r="J2477" s="16">
        <f>IF(NOT(Paths!$C$231=1),0,IF(Paths!$P$231="Complete",IF(IF(Paths!$E$231=0,C2477=0,AND(C2477&gt;0,Paths!$E$231&gt;(C2477-1)*12,Paths!$E$231&lt;=C2477*12)),Paths!$H$231,0),"n.a."))</f>
        <v>0</v>
      </c>
      <c r="K2477" s="16">
        <f>IF(NOT(Paths!$C$231=1),0,IF(Paths!$P$231="Complete",IF(IF(Paths!$O$231=0,C2477=0,AND(C2477&gt;0,Paths!$O$231&gt;(C2477-1)*12,Paths!$O$231&lt;=C2477*12)),Paths!$N$231,0),"n.a."))</f>
        <v>0</v>
      </c>
      <c r="L2477" s="16">
        <f>IF(NOT(Paths!$C$231=1),0,IF(Paths!$P$231="Complete",IF(C2477=10,Paths!$I$231,0),"n.a."))</f>
        <v>0</v>
      </c>
      <c r="M2477" s="16">
        <f>IF(NOT(Paths!$C$231=1),0,IF(Paths!$P$231="Complete",IF(AND(Paths!$D$231="EV",Paths!$E$231&lt;120,Paths!$E$231+'Operating costs'!$B$65&gt;Paths!$E$231,Paths!$E$231+'Operating costs'!$B$65&lt;=120,IF(Paths!$E$231+'Operating costs'!$B$65=0,C2477=0,AND(C2477&gt;0,Paths!$E$231+'Operating costs'!$B$65&gt;(C2477-1)*12,Paths!$E$231+'Operating costs'!$B$65&lt;=C2477*12))),'Operating costs'!$B$64,0)+IF(AND('Operating costs'!$B$67&gt;0,'Operating costs'!$B$67&lt;=120,OR(Paths!$D$231="ICE",'Operating costs'!$B$67&lt;=Paths!$E$231),IF('Operating costs'!$B$67=0,C2477=0,AND(C2477&gt;0,'Operating costs'!$B$67&gt;(C2477-1)*12,'Operating costs'!$B$67&lt;=C2477*12))),'Operating costs'!$B$66,0),"n.a."))</f>
        <v>0</v>
      </c>
      <c r="N2477" s="16">
        <f>IF(NOT(Paths!$C$231=1),0,IF(Paths!$P$231="Complete",SUM(G2477:I2477)-J2477-K2477-L2477+M2477+IF(C2477=0,Paths!$F$231,0)+IF(IF(Paths!$E$231=0,C2477=0,AND(C2477&gt;0,Paths!$E$231&gt;(C2477-1)*12,Paths!$E$231&lt;=C2477*12)),VLOOKUP(A2477,'Fleet register'!$A$7:$S$106,16,FALSE),0),"n.a."))</f>
        <v>0</v>
      </c>
      <c r="O2477" s="16">
        <f>IF(NOT(Paths!$C$231=1),0,IF(Paths!$P$231="Complete",N2477-IF(C2477=0,Paths!$F$231,0),"n.a."))</f>
        <v>0</v>
      </c>
      <c r="P2477" s="16">
        <f>IF(NOT(Paths!$C$231=1),0,IF(Paths!$P$231="Complete",O2477+L2477,"n.a."))</f>
        <v>0</v>
      </c>
      <c r="Q2477" s="16">
        <f>IF(NOT(Paths!$C$231=1),0,IF(Paths!$P$231="Complete",N2477*(1+'Operating costs'!$B$54)^-C2477,"n.a."))</f>
        <v>0</v>
      </c>
      <c r="R2477" s="16">
        <f>IF(NOT(Paths!$C$231=1),0,IF(Paths!$P$231="Complete",IF(AND(C2477=0,Paths!$E$231=0),I2477-J2477-K2477+VLOOKUP(A2477,'Fleet register'!$A$7:$S$106,15,FALSE)+VLOOKUP(A2477,'Fleet register'!$A$7:$S$106,16,FALSE),0),"n.a."))</f>
        <v>0</v>
      </c>
      <c r="S2477" s="1">
        <f>IF(NOT(Paths!$C$231=1),0,IF(Paths!$P$231="Complete",IF(C2477=0,0,Paths!$S$231*Paths!$R$231),"n.a."))</f>
        <v>0</v>
      </c>
      <c r="T2477" s="1">
        <f>IF(NOT(Paths!$C$231=1),0,IF(Paths!$P$231="Complete",IF(C2477=0,0,VLOOKUP(A2477,'Fleet register'!$A$7:$S$106,9,FALSE)*Paths!$R$231),"n.a."))</f>
        <v>0</v>
      </c>
    </row>
    <row r="2478" spans="1:20" ht="24" customHeight="1">
      <c r="A2478" s="1" t="str">
        <f>Paths!$A$231</f>
        <v>T057</v>
      </c>
      <c r="B2478" s="1">
        <f>Paths!$B$231</f>
        <v>0</v>
      </c>
      <c r="C2478" s="1">
        <v>7</v>
      </c>
      <c r="D2478" s="1">
        <v>231</v>
      </c>
      <c r="E2478" s="1">
        <f>IF(OR(Paths!$C$231=0,C2478=0),0,MAX(0,MIN(C2478*12,Paths!$E$231)-(C2478-1)*12))</f>
        <v>0</v>
      </c>
      <c r="F2478" s="1">
        <f>IF(OR(Paths!$C$231=0,C2478=0),0,12-E2478)</f>
        <v>0</v>
      </c>
      <c r="G2478" s="16">
        <f>IF(NOT(Paths!$C$231=1),0,IF(Paths!$P$231="Complete",E2478/12*(Paths!$J$231*(1+'Operating costs'!$B$51)^MAX(0,C2478-1)+Paths!$K$231*(1+'Operating costs'!$B$53)^MAX(0,C2478-1)),"n.a."))</f>
        <v>0</v>
      </c>
      <c r="H2478" s="16">
        <f>IF(NOT(Paths!$C$231=1),0,IF(Paths!$P$231="Complete",F2478/12*(Paths!$L$231*(1+IF(Paths!$D$231="EV",'Operating costs'!$B$52,'Operating costs'!$B$51))^MAX(0,C2478-1)+Paths!$M$231*(1+'Operating costs'!$B$53)^MAX(0,C2478-1)),"n.a."))</f>
        <v>0</v>
      </c>
      <c r="I2478" s="16">
        <f>IF(NOT(Paths!$C$231=1),0,IF(Paths!$P$231="Complete",IF(IF(Paths!$E$231=0,C2478=0,AND(C2478&gt;0,Paths!$E$231&gt;(C2478-1)*12,Paths!$E$231&lt;=C2478*12)),Paths!$G$231,0),"n.a."))</f>
        <v>0</v>
      </c>
      <c r="J2478" s="16">
        <f>IF(NOT(Paths!$C$231=1),0,IF(Paths!$P$231="Complete",IF(IF(Paths!$E$231=0,C2478=0,AND(C2478&gt;0,Paths!$E$231&gt;(C2478-1)*12,Paths!$E$231&lt;=C2478*12)),Paths!$H$231,0),"n.a."))</f>
        <v>0</v>
      </c>
      <c r="K2478" s="16">
        <f>IF(NOT(Paths!$C$231=1),0,IF(Paths!$P$231="Complete",IF(IF(Paths!$O$231=0,C2478=0,AND(C2478&gt;0,Paths!$O$231&gt;(C2478-1)*12,Paths!$O$231&lt;=C2478*12)),Paths!$N$231,0),"n.a."))</f>
        <v>0</v>
      </c>
      <c r="L2478" s="16">
        <f>IF(NOT(Paths!$C$231=1),0,IF(Paths!$P$231="Complete",IF(C2478=10,Paths!$I$231,0),"n.a."))</f>
        <v>0</v>
      </c>
      <c r="M2478" s="16">
        <f>IF(NOT(Paths!$C$231=1),0,IF(Paths!$P$231="Complete",IF(AND(Paths!$D$231="EV",Paths!$E$231&lt;120,Paths!$E$231+'Operating costs'!$B$65&gt;Paths!$E$231,Paths!$E$231+'Operating costs'!$B$65&lt;=120,IF(Paths!$E$231+'Operating costs'!$B$65=0,C2478=0,AND(C2478&gt;0,Paths!$E$231+'Operating costs'!$B$65&gt;(C2478-1)*12,Paths!$E$231+'Operating costs'!$B$65&lt;=C2478*12))),'Operating costs'!$B$64,0)+IF(AND('Operating costs'!$B$67&gt;0,'Operating costs'!$B$67&lt;=120,OR(Paths!$D$231="ICE",'Operating costs'!$B$67&lt;=Paths!$E$231),IF('Operating costs'!$B$67=0,C2478=0,AND(C2478&gt;0,'Operating costs'!$B$67&gt;(C2478-1)*12,'Operating costs'!$B$67&lt;=C2478*12))),'Operating costs'!$B$66,0),"n.a."))</f>
        <v>0</v>
      </c>
      <c r="N2478" s="16">
        <f>IF(NOT(Paths!$C$231=1),0,IF(Paths!$P$231="Complete",SUM(G2478:I2478)-J2478-K2478-L2478+M2478+IF(C2478=0,Paths!$F$231,0)+IF(IF(Paths!$E$231=0,C2478=0,AND(C2478&gt;0,Paths!$E$231&gt;(C2478-1)*12,Paths!$E$231&lt;=C2478*12)),VLOOKUP(A2478,'Fleet register'!$A$7:$S$106,16,FALSE),0),"n.a."))</f>
        <v>0</v>
      </c>
      <c r="O2478" s="16">
        <f>IF(NOT(Paths!$C$231=1),0,IF(Paths!$P$231="Complete",N2478-IF(C2478=0,Paths!$F$231,0),"n.a."))</f>
        <v>0</v>
      </c>
      <c r="P2478" s="16">
        <f>IF(NOT(Paths!$C$231=1),0,IF(Paths!$P$231="Complete",O2478+L2478,"n.a."))</f>
        <v>0</v>
      </c>
      <c r="Q2478" s="16">
        <f>IF(NOT(Paths!$C$231=1),0,IF(Paths!$P$231="Complete",N2478*(1+'Operating costs'!$B$54)^-C2478,"n.a."))</f>
        <v>0</v>
      </c>
      <c r="R2478" s="16">
        <f>IF(NOT(Paths!$C$231=1),0,IF(Paths!$P$231="Complete",IF(AND(C2478=0,Paths!$E$231=0),I2478-J2478-K2478+VLOOKUP(A2478,'Fleet register'!$A$7:$S$106,15,FALSE)+VLOOKUP(A2478,'Fleet register'!$A$7:$S$106,16,FALSE),0),"n.a."))</f>
        <v>0</v>
      </c>
      <c r="S2478" s="1">
        <f>IF(NOT(Paths!$C$231=1),0,IF(Paths!$P$231="Complete",IF(C2478=0,0,Paths!$S$231*Paths!$R$231),"n.a."))</f>
        <v>0</v>
      </c>
      <c r="T2478" s="1">
        <f>IF(NOT(Paths!$C$231=1),0,IF(Paths!$P$231="Complete",IF(C2478=0,0,VLOOKUP(A2478,'Fleet register'!$A$7:$S$106,9,FALSE)*Paths!$R$231),"n.a."))</f>
        <v>0</v>
      </c>
    </row>
    <row r="2479" spans="1:20" ht="24" customHeight="1">
      <c r="A2479" s="1" t="str">
        <f>Paths!$A$231</f>
        <v>T057</v>
      </c>
      <c r="B2479" s="1">
        <f>Paths!$B$231</f>
        <v>0</v>
      </c>
      <c r="C2479" s="1">
        <v>8</v>
      </c>
      <c r="D2479" s="1">
        <v>231</v>
      </c>
      <c r="E2479" s="1">
        <f>IF(OR(Paths!$C$231=0,C2479=0),0,MAX(0,MIN(C2479*12,Paths!$E$231)-(C2479-1)*12))</f>
        <v>0</v>
      </c>
      <c r="F2479" s="1">
        <f>IF(OR(Paths!$C$231=0,C2479=0),0,12-E2479)</f>
        <v>0</v>
      </c>
      <c r="G2479" s="16">
        <f>IF(NOT(Paths!$C$231=1),0,IF(Paths!$P$231="Complete",E2479/12*(Paths!$J$231*(1+'Operating costs'!$B$51)^MAX(0,C2479-1)+Paths!$K$231*(1+'Operating costs'!$B$53)^MAX(0,C2479-1)),"n.a."))</f>
        <v>0</v>
      </c>
      <c r="H2479" s="16">
        <f>IF(NOT(Paths!$C$231=1),0,IF(Paths!$P$231="Complete",F2479/12*(Paths!$L$231*(1+IF(Paths!$D$231="EV",'Operating costs'!$B$52,'Operating costs'!$B$51))^MAX(0,C2479-1)+Paths!$M$231*(1+'Operating costs'!$B$53)^MAX(0,C2479-1)),"n.a."))</f>
        <v>0</v>
      </c>
      <c r="I2479" s="16">
        <f>IF(NOT(Paths!$C$231=1),0,IF(Paths!$P$231="Complete",IF(IF(Paths!$E$231=0,C2479=0,AND(C2479&gt;0,Paths!$E$231&gt;(C2479-1)*12,Paths!$E$231&lt;=C2479*12)),Paths!$G$231,0),"n.a."))</f>
        <v>0</v>
      </c>
      <c r="J2479" s="16">
        <f>IF(NOT(Paths!$C$231=1),0,IF(Paths!$P$231="Complete",IF(IF(Paths!$E$231=0,C2479=0,AND(C2479&gt;0,Paths!$E$231&gt;(C2479-1)*12,Paths!$E$231&lt;=C2479*12)),Paths!$H$231,0),"n.a."))</f>
        <v>0</v>
      </c>
      <c r="K2479" s="16">
        <f>IF(NOT(Paths!$C$231=1),0,IF(Paths!$P$231="Complete",IF(IF(Paths!$O$231=0,C2479=0,AND(C2479&gt;0,Paths!$O$231&gt;(C2479-1)*12,Paths!$O$231&lt;=C2479*12)),Paths!$N$231,0),"n.a."))</f>
        <v>0</v>
      </c>
      <c r="L2479" s="16">
        <f>IF(NOT(Paths!$C$231=1),0,IF(Paths!$P$231="Complete",IF(C2479=10,Paths!$I$231,0),"n.a."))</f>
        <v>0</v>
      </c>
      <c r="M2479" s="16">
        <f>IF(NOT(Paths!$C$231=1),0,IF(Paths!$P$231="Complete",IF(AND(Paths!$D$231="EV",Paths!$E$231&lt;120,Paths!$E$231+'Operating costs'!$B$65&gt;Paths!$E$231,Paths!$E$231+'Operating costs'!$B$65&lt;=120,IF(Paths!$E$231+'Operating costs'!$B$65=0,C2479=0,AND(C2479&gt;0,Paths!$E$231+'Operating costs'!$B$65&gt;(C2479-1)*12,Paths!$E$231+'Operating costs'!$B$65&lt;=C2479*12))),'Operating costs'!$B$64,0)+IF(AND('Operating costs'!$B$67&gt;0,'Operating costs'!$B$67&lt;=120,OR(Paths!$D$231="ICE",'Operating costs'!$B$67&lt;=Paths!$E$231),IF('Operating costs'!$B$67=0,C2479=0,AND(C2479&gt;0,'Operating costs'!$B$67&gt;(C2479-1)*12,'Operating costs'!$B$67&lt;=C2479*12))),'Operating costs'!$B$66,0),"n.a."))</f>
        <v>0</v>
      </c>
      <c r="N2479" s="16">
        <f>IF(NOT(Paths!$C$231=1),0,IF(Paths!$P$231="Complete",SUM(G2479:I2479)-J2479-K2479-L2479+M2479+IF(C2479=0,Paths!$F$231,0)+IF(IF(Paths!$E$231=0,C2479=0,AND(C2479&gt;0,Paths!$E$231&gt;(C2479-1)*12,Paths!$E$231&lt;=C2479*12)),VLOOKUP(A2479,'Fleet register'!$A$7:$S$106,16,FALSE),0),"n.a."))</f>
        <v>0</v>
      </c>
      <c r="O2479" s="16">
        <f>IF(NOT(Paths!$C$231=1),0,IF(Paths!$P$231="Complete",N2479-IF(C2479=0,Paths!$F$231,0),"n.a."))</f>
        <v>0</v>
      </c>
      <c r="P2479" s="16">
        <f>IF(NOT(Paths!$C$231=1),0,IF(Paths!$P$231="Complete",O2479+L2479,"n.a."))</f>
        <v>0</v>
      </c>
      <c r="Q2479" s="16">
        <f>IF(NOT(Paths!$C$231=1),0,IF(Paths!$P$231="Complete",N2479*(1+'Operating costs'!$B$54)^-C2479,"n.a."))</f>
        <v>0</v>
      </c>
      <c r="R2479" s="16">
        <f>IF(NOT(Paths!$C$231=1),0,IF(Paths!$P$231="Complete",IF(AND(C2479=0,Paths!$E$231=0),I2479-J2479-K2479+VLOOKUP(A2479,'Fleet register'!$A$7:$S$106,15,FALSE)+VLOOKUP(A2479,'Fleet register'!$A$7:$S$106,16,FALSE),0),"n.a."))</f>
        <v>0</v>
      </c>
      <c r="S2479" s="1">
        <f>IF(NOT(Paths!$C$231=1),0,IF(Paths!$P$231="Complete",IF(C2479=0,0,Paths!$S$231*Paths!$R$231),"n.a."))</f>
        <v>0</v>
      </c>
      <c r="T2479" s="1">
        <f>IF(NOT(Paths!$C$231=1),0,IF(Paths!$P$231="Complete",IF(C2479=0,0,VLOOKUP(A2479,'Fleet register'!$A$7:$S$106,9,FALSE)*Paths!$R$231),"n.a."))</f>
        <v>0</v>
      </c>
    </row>
    <row r="2480" spans="1:20" ht="24" customHeight="1">
      <c r="A2480" s="1" t="str">
        <f>Paths!$A$231</f>
        <v>T057</v>
      </c>
      <c r="B2480" s="1">
        <f>Paths!$B$231</f>
        <v>0</v>
      </c>
      <c r="C2480" s="1">
        <v>9</v>
      </c>
      <c r="D2480" s="1">
        <v>231</v>
      </c>
      <c r="E2480" s="1">
        <f>IF(OR(Paths!$C$231=0,C2480=0),0,MAX(0,MIN(C2480*12,Paths!$E$231)-(C2480-1)*12))</f>
        <v>0</v>
      </c>
      <c r="F2480" s="1">
        <f>IF(OR(Paths!$C$231=0,C2480=0),0,12-E2480)</f>
        <v>0</v>
      </c>
      <c r="G2480" s="16">
        <f>IF(NOT(Paths!$C$231=1),0,IF(Paths!$P$231="Complete",E2480/12*(Paths!$J$231*(1+'Operating costs'!$B$51)^MAX(0,C2480-1)+Paths!$K$231*(1+'Operating costs'!$B$53)^MAX(0,C2480-1)),"n.a."))</f>
        <v>0</v>
      </c>
      <c r="H2480" s="16">
        <f>IF(NOT(Paths!$C$231=1),0,IF(Paths!$P$231="Complete",F2480/12*(Paths!$L$231*(1+IF(Paths!$D$231="EV",'Operating costs'!$B$52,'Operating costs'!$B$51))^MAX(0,C2480-1)+Paths!$M$231*(1+'Operating costs'!$B$53)^MAX(0,C2480-1)),"n.a."))</f>
        <v>0</v>
      </c>
      <c r="I2480" s="16">
        <f>IF(NOT(Paths!$C$231=1),0,IF(Paths!$P$231="Complete",IF(IF(Paths!$E$231=0,C2480=0,AND(C2480&gt;0,Paths!$E$231&gt;(C2480-1)*12,Paths!$E$231&lt;=C2480*12)),Paths!$G$231,0),"n.a."))</f>
        <v>0</v>
      </c>
      <c r="J2480" s="16">
        <f>IF(NOT(Paths!$C$231=1),0,IF(Paths!$P$231="Complete",IF(IF(Paths!$E$231=0,C2480=0,AND(C2480&gt;0,Paths!$E$231&gt;(C2480-1)*12,Paths!$E$231&lt;=C2480*12)),Paths!$H$231,0),"n.a."))</f>
        <v>0</v>
      </c>
      <c r="K2480" s="16">
        <f>IF(NOT(Paths!$C$231=1),0,IF(Paths!$P$231="Complete",IF(IF(Paths!$O$231=0,C2480=0,AND(C2480&gt;0,Paths!$O$231&gt;(C2480-1)*12,Paths!$O$231&lt;=C2480*12)),Paths!$N$231,0),"n.a."))</f>
        <v>0</v>
      </c>
      <c r="L2480" s="16">
        <f>IF(NOT(Paths!$C$231=1),0,IF(Paths!$P$231="Complete",IF(C2480=10,Paths!$I$231,0),"n.a."))</f>
        <v>0</v>
      </c>
      <c r="M2480" s="16">
        <f>IF(NOT(Paths!$C$231=1),0,IF(Paths!$P$231="Complete",IF(AND(Paths!$D$231="EV",Paths!$E$231&lt;120,Paths!$E$231+'Operating costs'!$B$65&gt;Paths!$E$231,Paths!$E$231+'Operating costs'!$B$65&lt;=120,IF(Paths!$E$231+'Operating costs'!$B$65=0,C2480=0,AND(C2480&gt;0,Paths!$E$231+'Operating costs'!$B$65&gt;(C2480-1)*12,Paths!$E$231+'Operating costs'!$B$65&lt;=C2480*12))),'Operating costs'!$B$64,0)+IF(AND('Operating costs'!$B$67&gt;0,'Operating costs'!$B$67&lt;=120,OR(Paths!$D$231="ICE",'Operating costs'!$B$67&lt;=Paths!$E$231),IF('Operating costs'!$B$67=0,C2480=0,AND(C2480&gt;0,'Operating costs'!$B$67&gt;(C2480-1)*12,'Operating costs'!$B$67&lt;=C2480*12))),'Operating costs'!$B$66,0),"n.a."))</f>
        <v>0</v>
      </c>
      <c r="N2480" s="16">
        <f>IF(NOT(Paths!$C$231=1),0,IF(Paths!$P$231="Complete",SUM(G2480:I2480)-J2480-K2480-L2480+M2480+IF(C2480=0,Paths!$F$231,0)+IF(IF(Paths!$E$231=0,C2480=0,AND(C2480&gt;0,Paths!$E$231&gt;(C2480-1)*12,Paths!$E$231&lt;=C2480*12)),VLOOKUP(A2480,'Fleet register'!$A$7:$S$106,16,FALSE),0),"n.a."))</f>
        <v>0</v>
      </c>
      <c r="O2480" s="16">
        <f>IF(NOT(Paths!$C$231=1),0,IF(Paths!$P$231="Complete",N2480-IF(C2480=0,Paths!$F$231,0),"n.a."))</f>
        <v>0</v>
      </c>
      <c r="P2480" s="16">
        <f>IF(NOT(Paths!$C$231=1),0,IF(Paths!$P$231="Complete",O2480+L2480,"n.a."))</f>
        <v>0</v>
      </c>
      <c r="Q2480" s="16">
        <f>IF(NOT(Paths!$C$231=1),0,IF(Paths!$P$231="Complete",N2480*(1+'Operating costs'!$B$54)^-C2480,"n.a."))</f>
        <v>0</v>
      </c>
      <c r="R2480" s="16">
        <f>IF(NOT(Paths!$C$231=1),0,IF(Paths!$P$231="Complete",IF(AND(C2480=0,Paths!$E$231=0),I2480-J2480-K2480+VLOOKUP(A2480,'Fleet register'!$A$7:$S$106,15,FALSE)+VLOOKUP(A2480,'Fleet register'!$A$7:$S$106,16,FALSE),0),"n.a."))</f>
        <v>0</v>
      </c>
      <c r="S2480" s="1">
        <f>IF(NOT(Paths!$C$231=1),0,IF(Paths!$P$231="Complete",IF(C2480=0,0,Paths!$S$231*Paths!$R$231),"n.a."))</f>
        <v>0</v>
      </c>
      <c r="T2480" s="1">
        <f>IF(NOT(Paths!$C$231=1),0,IF(Paths!$P$231="Complete",IF(C2480=0,0,VLOOKUP(A2480,'Fleet register'!$A$7:$S$106,9,FALSE)*Paths!$R$231),"n.a."))</f>
        <v>0</v>
      </c>
    </row>
    <row r="2481" spans="1:20" ht="24" customHeight="1">
      <c r="A2481" s="1" t="str">
        <f>Paths!$A$231</f>
        <v>T057</v>
      </c>
      <c r="B2481" s="1">
        <f>Paths!$B$231</f>
        <v>0</v>
      </c>
      <c r="C2481" s="1">
        <v>10</v>
      </c>
      <c r="D2481" s="1">
        <v>231</v>
      </c>
      <c r="E2481" s="1">
        <f>IF(OR(Paths!$C$231=0,C2481=0),0,MAX(0,MIN(C2481*12,Paths!$E$231)-(C2481-1)*12))</f>
        <v>0</v>
      </c>
      <c r="F2481" s="1">
        <f>IF(OR(Paths!$C$231=0,C2481=0),0,12-E2481)</f>
        <v>0</v>
      </c>
      <c r="G2481" s="16">
        <f>IF(NOT(Paths!$C$231=1),0,IF(Paths!$P$231="Complete",E2481/12*(Paths!$J$231*(1+'Operating costs'!$B$51)^MAX(0,C2481-1)+Paths!$K$231*(1+'Operating costs'!$B$53)^MAX(0,C2481-1)),"n.a."))</f>
        <v>0</v>
      </c>
      <c r="H2481" s="16">
        <f>IF(NOT(Paths!$C$231=1),0,IF(Paths!$P$231="Complete",F2481/12*(Paths!$L$231*(1+IF(Paths!$D$231="EV",'Operating costs'!$B$52,'Operating costs'!$B$51))^MAX(0,C2481-1)+Paths!$M$231*(1+'Operating costs'!$B$53)^MAX(0,C2481-1)),"n.a."))</f>
        <v>0</v>
      </c>
      <c r="I2481" s="16">
        <f>IF(NOT(Paths!$C$231=1),0,IF(Paths!$P$231="Complete",IF(IF(Paths!$E$231=0,C2481=0,AND(C2481&gt;0,Paths!$E$231&gt;(C2481-1)*12,Paths!$E$231&lt;=C2481*12)),Paths!$G$231,0),"n.a."))</f>
        <v>0</v>
      </c>
      <c r="J2481" s="16">
        <f>IF(NOT(Paths!$C$231=1),0,IF(Paths!$P$231="Complete",IF(IF(Paths!$E$231=0,C2481=0,AND(C2481&gt;0,Paths!$E$231&gt;(C2481-1)*12,Paths!$E$231&lt;=C2481*12)),Paths!$H$231,0),"n.a."))</f>
        <v>0</v>
      </c>
      <c r="K2481" s="16">
        <f>IF(NOT(Paths!$C$231=1),0,IF(Paths!$P$231="Complete",IF(IF(Paths!$O$231=0,C2481=0,AND(C2481&gt;0,Paths!$O$231&gt;(C2481-1)*12,Paths!$O$231&lt;=C2481*12)),Paths!$N$231,0),"n.a."))</f>
        <v>0</v>
      </c>
      <c r="L2481" s="16">
        <f>IF(NOT(Paths!$C$231=1),0,IF(Paths!$P$231="Complete",IF(C2481=10,Paths!$I$231,0),"n.a."))</f>
        <v>0</v>
      </c>
      <c r="M2481" s="16">
        <f>IF(NOT(Paths!$C$231=1),0,IF(Paths!$P$231="Complete",IF(AND(Paths!$D$231="EV",Paths!$E$231&lt;120,Paths!$E$231+'Operating costs'!$B$65&gt;Paths!$E$231,Paths!$E$231+'Operating costs'!$B$65&lt;=120,IF(Paths!$E$231+'Operating costs'!$B$65=0,C2481=0,AND(C2481&gt;0,Paths!$E$231+'Operating costs'!$B$65&gt;(C2481-1)*12,Paths!$E$231+'Operating costs'!$B$65&lt;=C2481*12))),'Operating costs'!$B$64,0)+IF(AND('Operating costs'!$B$67&gt;0,'Operating costs'!$B$67&lt;=120,OR(Paths!$D$231="ICE",'Operating costs'!$B$67&lt;=Paths!$E$231),IF('Operating costs'!$B$67=0,C2481=0,AND(C2481&gt;0,'Operating costs'!$B$67&gt;(C2481-1)*12,'Operating costs'!$B$67&lt;=C2481*12))),'Operating costs'!$B$66,0),"n.a."))</f>
        <v>0</v>
      </c>
      <c r="N2481" s="16">
        <f>IF(NOT(Paths!$C$231=1),0,IF(Paths!$P$231="Complete",SUM(G2481:I2481)-J2481-K2481-L2481+M2481+IF(C2481=0,Paths!$F$231,0)+IF(IF(Paths!$E$231=0,C2481=0,AND(C2481&gt;0,Paths!$E$231&gt;(C2481-1)*12,Paths!$E$231&lt;=C2481*12)),VLOOKUP(A2481,'Fleet register'!$A$7:$S$106,16,FALSE),0),"n.a."))</f>
        <v>0</v>
      </c>
      <c r="O2481" s="16">
        <f>IF(NOT(Paths!$C$231=1),0,IF(Paths!$P$231="Complete",N2481-IF(C2481=0,Paths!$F$231,0),"n.a."))</f>
        <v>0</v>
      </c>
      <c r="P2481" s="16">
        <f>IF(NOT(Paths!$C$231=1),0,IF(Paths!$P$231="Complete",O2481+L2481,"n.a."))</f>
        <v>0</v>
      </c>
      <c r="Q2481" s="16">
        <f>IF(NOT(Paths!$C$231=1),0,IF(Paths!$P$231="Complete",N2481*(1+'Operating costs'!$B$54)^-C2481,"n.a."))</f>
        <v>0</v>
      </c>
      <c r="R2481" s="16">
        <f>IF(NOT(Paths!$C$231=1),0,IF(Paths!$P$231="Complete",IF(AND(C2481=0,Paths!$E$231=0),I2481-J2481-K2481+VLOOKUP(A2481,'Fleet register'!$A$7:$S$106,15,FALSE)+VLOOKUP(A2481,'Fleet register'!$A$7:$S$106,16,FALSE),0),"n.a."))</f>
        <v>0</v>
      </c>
      <c r="S2481" s="1">
        <f>IF(NOT(Paths!$C$231=1),0,IF(Paths!$P$231="Complete",IF(C2481=0,0,Paths!$S$231*Paths!$R$231),"n.a."))</f>
        <v>0</v>
      </c>
      <c r="T2481" s="1">
        <f>IF(NOT(Paths!$C$231=1),0,IF(Paths!$P$231="Complete",IF(C2481=0,0,VLOOKUP(A2481,'Fleet register'!$A$7:$S$106,9,FALSE)*Paths!$R$231),"n.a."))</f>
        <v>0</v>
      </c>
    </row>
    <row r="2482" spans="1:20" ht="24" customHeight="1">
      <c r="A2482" s="1" t="str">
        <f>Paths!$A$232</f>
        <v>T057</v>
      </c>
      <c r="B2482" s="1">
        <f>Paths!$B$232</f>
        <v>1</v>
      </c>
      <c r="C2482" s="1">
        <v>0</v>
      </c>
      <c r="D2482" s="1">
        <v>232</v>
      </c>
      <c r="E2482" s="1">
        <f>IF(OR(Paths!$C$232=0,C2482=0),0,MAX(0,MIN(C2482*12,Paths!$E$232)-(C2482-1)*12))</f>
        <v>0</v>
      </c>
      <c r="F2482" s="1">
        <f>IF(OR(Paths!$C$232=0,C2482=0),0,12-E2482)</f>
        <v>0</v>
      </c>
      <c r="G2482" s="16">
        <f>IF(NOT(Paths!$C$232=1),0,IF(Paths!$P$232="Complete",E2482/12*(Paths!$J$232*(1+'Operating costs'!$B$51)^MAX(0,C2482-1)+Paths!$K$232*(1+'Operating costs'!$B$53)^MAX(0,C2482-1)),"n.a."))</f>
        <v>0</v>
      </c>
      <c r="H2482" s="16">
        <f>IF(NOT(Paths!$C$232=1),0,IF(Paths!$P$232="Complete",F2482/12*(Paths!$L$232*(1+IF(Paths!$D$232="EV",'Operating costs'!$B$52,'Operating costs'!$B$51))^MAX(0,C2482-1)+Paths!$M$232*(1+'Operating costs'!$B$53)^MAX(0,C2482-1)),"n.a."))</f>
        <v>0</v>
      </c>
      <c r="I2482" s="16">
        <f>IF(NOT(Paths!$C$232=1),0,IF(Paths!$P$232="Complete",IF(IF(Paths!$E$232=0,C2482=0,AND(C2482&gt;0,Paths!$E$232&gt;(C2482-1)*12,Paths!$E$232&lt;=C2482*12)),Paths!$G$232,0),"n.a."))</f>
        <v>0</v>
      </c>
      <c r="J2482" s="16">
        <f>IF(NOT(Paths!$C$232=1),0,IF(Paths!$P$232="Complete",IF(IF(Paths!$E$232=0,C2482=0,AND(C2482&gt;0,Paths!$E$232&gt;(C2482-1)*12,Paths!$E$232&lt;=C2482*12)),Paths!$H$232,0),"n.a."))</f>
        <v>0</v>
      </c>
      <c r="K2482" s="16">
        <f>IF(NOT(Paths!$C$232=1),0,IF(Paths!$P$232="Complete",IF(IF(Paths!$O$232=0,C2482=0,AND(C2482&gt;0,Paths!$O$232&gt;(C2482-1)*12,Paths!$O$232&lt;=C2482*12)),Paths!$N$232,0),"n.a."))</f>
        <v>0</v>
      </c>
      <c r="L2482" s="16">
        <f>IF(NOT(Paths!$C$232=1),0,IF(Paths!$P$232="Complete",IF(C2482=10,Paths!$I$232,0),"n.a."))</f>
        <v>0</v>
      </c>
      <c r="M2482" s="16">
        <f>IF(NOT(Paths!$C$232=1),0,IF(Paths!$P$232="Complete",IF(AND(Paths!$D$232="EV",Paths!$E$232&lt;120,Paths!$E$232+'Operating costs'!$B$65&gt;Paths!$E$232,Paths!$E$232+'Operating costs'!$B$65&lt;=120,IF(Paths!$E$232+'Operating costs'!$B$65=0,C2482=0,AND(C2482&gt;0,Paths!$E$232+'Operating costs'!$B$65&gt;(C2482-1)*12,Paths!$E$232+'Operating costs'!$B$65&lt;=C2482*12))),'Operating costs'!$B$64,0)+IF(AND('Operating costs'!$B$67&gt;0,'Operating costs'!$B$67&lt;=120,OR(Paths!$D$232="ICE",'Operating costs'!$B$67&lt;=Paths!$E$232),IF('Operating costs'!$B$67=0,C2482=0,AND(C2482&gt;0,'Operating costs'!$B$67&gt;(C2482-1)*12,'Operating costs'!$B$67&lt;=C2482*12))),'Operating costs'!$B$66,0),"n.a."))</f>
        <v>0</v>
      </c>
      <c r="N2482" s="16">
        <f>IF(NOT(Paths!$C$232=1),0,IF(Paths!$P$232="Complete",SUM(G2482:I2482)-J2482-K2482-L2482+M2482+IF(C2482=0,Paths!$F$232,0)+IF(IF(Paths!$E$232=0,C2482=0,AND(C2482&gt;0,Paths!$E$232&gt;(C2482-1)*12,Paths!$E$232&lt;=C2482*12)),VLOOKUP(A2482,'Fleet register'!$A$7:$S$106,16,FALSE),0),"n.a."))</f>
        <v>0</v>
      </c>
      <c r="O2482" s="16">
        <f>IF(NOT(Paths!$C$232=1),0,IF(Paths!$P$232="Complete",N2482-IF(C2482=0,Paths!$F$232,0),"n.a."))</f>
        <v>0</v>
      </c>
      <c r="P2482" s="16">
        <f>IF(NOT(Paths!$C$232=1),0,IF(Paths!$P$232="Complete",O2482+L2482,"n.a."))</f>
        <v>0</v>
      </c>
      <c r="Q2482" s="16">
        <f>IF(NOT(Paths!$C$232=1),0,IF(Paths!$P$232="Complete",N2482*(1+'Operating costs'!$B$54)^-C2482,"n.a."))</f>
        <v>0</v>
      </c>
      <c r="R2482" s="16">
        <f>IF(NOT(Paths!$C$232=1),0,IF(Paths!$P$232="Complete",IF(AND(C2482=0,Paths!$E$232=0),I2482-J2482-K2482+VLOOKUP(A2482,'Fleet register'!$A$7:$S$106,15,FALSE)+VLOOKUP(A2482,'Fleet register'!$A$7:$S$106,16,FALSE),0),"n.a."))</f>
        <v>0</v>
      </c>
      <c r="S2482" s="1">
        <f>IF(NOT(Paths!$C$232=1),0,IF(Paths!$P$232="Complete",IF(C2482=0,0,Paths!$S$232*Paths!$R$232),"n.a."))</f>
        <v>0</v>
      </c>
      <c r="T2482" s="1">
        <f>IF(NOT(Paths!$C$232=1),0,IF(Paths!$P$232="Complete",IF(C2482=0,0,VLOOKUP(A2482,'Fleet register'!$A$7:$S$106,9,FALSE)*Paths!$R$232),"n.a."))</f>
        <v>0</v>
      </c>
    </row>
    <row r="2483" spans="1:20" ht="24" customHeight="1">
      <c r="A2483" s="1" t="str">
        <f>Paths!$A$232</f>
        <v>T057</v>
      </c>
      <c r="B2483" s="1">
        <f>Paths!$B$232</f>
        <v>1</v>
      </c>
      <c r="C2483" s="1">
        <v>1</v>
      </c>
      <c r="D2483" s="1">
        <v>232</v>
      </c>
      <c r="E2483" s="1">
        <f>IF(OR(Paths!$C$232=0,C2483=0),0,MAX(0,MIN(C2483*12,Paths!$E$232)-(C2483-1)*12))</f>
        <v>0</v>
      </c>
      <c r="F2483" s="1">
        <f>IF(OR(Paths!$C$232=0,C2483=0),0,12-E2483)</f>
        <v>0</v>
      </c>
      <c r="G2483" s="16">
        <f>IF(NOT(Paths!$C$232=1),0,IF(Paths!$P$232="Complete",E2483/12*(Paths!$J$232*(1+'Operating costs'!$B$51)^MAX(0,C2483-1)+Paths!$K$232*(1+'Operating costs'!$B$53)^MAX(0,C2483-1)),"n.a."))</f>
        <v>0</v>
      </c>
      <c r="H2483" s="16">
        <f>IF(NOT(Paths!$C$232=1),0,IF(Paths!$P$232="Complete",F2483/12*(Paths!$L$232*(1+IF(Paths!$D$232="EV",'Operating costs'!$B$52,'Operating costs'!$B$51))^MAX(0,C2483-1)+Paths!$M$232*(1+'Operating costs'!$B$53)^MAX(0,C2483-1)),"n.a."))</f>
        <v>0</v>
      </c>
      <c r="I2483" s="16">
        <f>IF(NOT(Paths!$C$232=1),0,IF(Paths!$P$232="Complete",IF(IF(Paths!$E$232=0,C2483=0,AND(C2483&gt;0,Paths!$E$232&gt;(C2483-1)*12,Paths!$E$232&lt;=C2483*12)),Paths!$G$232,0),"n.a."))</f>
        <v>0</v>
      </c>
      <c r="J2483" s="16">
        <f>IF(NOT(Paths!$C$232=1),0,IF(Paths!$P$232="Complete",IF(IF(Paths!$E$232=0,C2483=0,AND(C2483&gt;0,Paths!$E$232&gt;(C2483-1)*12,Paths!$E$232&lt;=C2483*12)),Paths!$H$232,0),"n.a."))</f>
        <v>0</v>
      </c>
      <c r="K2483" s="16">
        <f>IF(NOT(Paths!$C$232=1),0,IF(Paths!$P$232="Complete",IF(IF(Paths!$O$232=0,C2483=0,AND(C2483&gt;0,Paths!$O$232&gt;(C2483-1)*12,Paths!$O$232&lt;=C2483*12)),Paths!$N$232,0),"n.a."))</f>
        <v>0</v>
      </c>
      <c r="L2483" s="16">
        <f>IF(NOT(Paths!$C$232=1),0,IF(Paths!$P$232="Complete",IF(C2483=10,Paths!$I$232,0),"n.a."))</f>
        <v>0</v>
      </c>
      <c r="M2483" s="16">
        <f>IF(NOT(Paths!$C$232=1),0,IF(Paths!$P$232="Complete",IF(AND(Paths!$D$232="EV",Paths!$E$232&lt;120,Paths!$E$232+'Operating costs'!$B$65&gt;Paths!$E$232,Paths!$E$232+'Operating costs'!$B$65&lt;=120,IF(Paths!$E$232+'Operating costs'!$B$65=0,C2483=0,AND(C2483&gt;0,Paths!$E$232+'Operating costs'!$B$65&gt;(C2483-1)*12,Paths!$E$232+'Operating costs'!$B$65&lt;=C2483*12))),'Operating costs'!$B$64,0)+IF(AND('Operating costs'!$B$67&gt;0,'Operating costs'!$B$67&lt;=120,OR(Paths!$D$232="ICE",'Operating costs'!$B$67&lt;=Paths!$E$232),IF('Operating costs'!$B$67=0,C2483=0,AND(C2483&gt;0,'Operating costs'!$B$67&gt;(C2483-1)*12,'Operating costs'!$B$67&lt;=C2483*12))),'Operating costs'!$B$66,0),"n.a."))</f>
        <v>0</v>
      </c>
      <c r="N2483" s="16">
        <f>IF(NOT(Paths!$C$232=1),0,IF(Paths!$P$232="Complete",SUM(G2483:I2483)-J2483-K2483-L2483+M2483+IF(C2483=0,Paths!$F$232,0)+IF(IF(Paths!$E$232=0,C2483=0,AND(C2483&gt;0,Paths!$E$232&gt;(C2483-1)*12,Paths!$E$232&lt;=C2483*12)),VLOOKUP(A2483,'Fleet register'!$A$7:$S$106,16,FALSE),0),"n.a."))</f>
        <v>0</v>
      </c>
      <c r="O2483" s="16">
        <f>IF(NOT(Paths!$C$232=1),0,IF(Paths!$P$232="Complete",N2483-IF(C2483=0,Paths!$F$232,0),"n.a."))</f>
        <v>0</v>
      </c>
      <c r="P2483" s="16">
        <f>IF(NOT(Paths!$C$232=1),0,IF(Paths!$P$232="Complete",O2483+L2483,"n.a."))</f>
        <v>0</v>
      </c>
      <c r="Q2483" s="16">
        <f>IF(NOT(Paths!$C$232=1),0,IF(Paths!$P$232="Complete",N2483*(1+'Operating costs'!$B$54)^-C2483,"n.a."))</f>
        <v>0</v>
      </c>
      <c r="R2483" s="16">
        <f>IF(NOT(Paths!$C$232=1),0,IF(Paths!$P$232="Complete",IF(AND(C2483=0,Paths!$E$232=0),I2483-J2483-K2483+VLOOKUP(A2483,'Fleet register'!$A$7:$S$106,15,FALSE)+VLOOKUP(A2483,'Fleet register'!$A$7:$S$106,16,FALSE),0),"n.a."))</f>
        <v>0</v>
      </c>
      <c r="S2483" s="1">
        <f>IF(NOT(Paths!$C$232=1),0,IF(Paths!$P$232="Complete",IF(C2483=0,0,Paths!$S$232*Paths!$R$232),"n.a."))</f>
        <v>0</v>
      </c>
      <c r="T2483" s="1">
        <f>IF(NOT(Paths!$C$232=1),0,IF(Paths!$P$232="Complete",IF(C2483=0,0,VLOOKUP(A2483,'Fleet register'!$A$7:$S$106,9,FALSE)*Paths!$R$232),"n.a."))</f>
        <v>0</v>
      </c>
    </row>
    <row r="2484" spans="1:20" ht="24" customHeight="1">
      <c r="A2484" s="1" t="str">
        <f>Paths!$A$232</f>
        <v>T057</v>
      </c>
      <c r="B2484" s="1">
        <f>Paths!$B$232</f>
        <v>1</v>
      </c>
      <c r="C2484" s="1">
        <v>2</v>
      </c>
      <c r="D2484" s="1">
        <v>232</v>
      </c>
      <c r="E2484" s="1">
        <f>IF(OR(Paths!$C$232=0,C2484=0),0,MAX(0,MIN(C2484*12,Paths!$E$232)-(C2484-1)*12))</f>
        <v>0</v>
      </c>
      <c r="F2484" s="1">
        <f>IF(OR(Paths!$C$232=0,C2484=0),0,12-E2484)</f>
        <v>0</v>
      </c>
      <c r="G2484" s="16">
        <f>IF(NOT(Paths!$C$232=1),0,IF(Paths!$P$232="Complete",E2484/12*(Paths!$J$232*(1+'Operating costs'!$B$51)^MAX(0,C2484-1)+Paths!$K$232*(1+'Operating costs'!$B$53)^MAX(0,C2484-1)),"n.a."))</f>
        <v>0</v>
      </c>
      <c r="H2484" s="16">
        <f>IF(NOT(Paths!$C$232=1),0,IF(Paths!$P$232="Complete",F2484/12*(Paths!$L$232*(1+IF(Paths!$D$232="EV",'Operating costs'!$B$52,'Operating costs'!$B$51))^MAX(0,C2484-1)+Paths!$M$232*(1+'Operating costs'!$B$53)^MAX(0,C2484-1)),"n.a."))</f>
        <v>0</v>
      </c>
      <c r="I2484" s="16">
        <f>IF(NOT(Paths!$C$232=1),0,IF(Paths!$P$232="Complete",IF(IF(Paths!$E$232=0,C2484=0,AND(C2484&gt;0,Paths!$E$232&gt;(C2484-1)*12,Paths!$E$232&lt;=C2484*12)),Paths!$G$232,0),"n.a."))</f>
        <v>0</v>
      </c>
      <c r="J2484" s="16">
        <f>IF(NOT(Paths!$C$232=1),0,IF(Paths!$P$232="Complete",IF(IF(Paths!$E$232=0,C2484=0,AND(C2484&gt;0,Paths!$E$232&gt;(C2484-1)*12,Paths!$E$232&lt;=C2484*12)),Paths!$H$232,0),"n.a."))</f>
        <v>0</v>
      </c>
      <c r="K2484" s="16">
        <f>IF(NOT(Paths!$C$232=1),0,IF(Paths!$P$232="Complete",IF(IF(Paths!$O$232=0,C2484=0,AND(C2484&gt;0,Paths!$O$232&gt;(C2484-1)*12,Paths!$O$232&lt;=C2484*12)),Paths!$N$232,0),"n.a."))</f>
        <v>0</v>
      </c>
      <c r="L2484" s="16">
        <f>IF(NOT(Paths!$C$232=1),0,IF(Paths!$P$232="Complete",IF(C2484=10,Paths!$I$232,0),"n.a."))</f>
        <v>0</v>
      </c>
      <c r="M2484" s="16">
        <f>IF(NOT(Paths!$C$232=1),0,IF(Paths!$P$232="Complete",IF(AND(Paths!$D$232="EV",Paths!$E$232&lt;120,Paths!$E$232+'Operating costs'!$B$65&gt;Paths!$E$232,Paths!$E$232+'Operating costs'!$B$65&lt;=120,IF(Paths!$E$232+'Operating costs'!$B$65=0,C2484=0,AND(C2484&gt;0,Paths!$E$232+'Operating costs'!$B$65&gt;(C2484-1)*12,Paths!$E$232+'Operating costs'!$B$65&lt;=C2484*12))),'Operating costs'!$B$64,0)+IF(AND('Operating costs'!$B$67&gt;0,'Operating costs'!$B$67&lt;=120,OR(Paths!$D$232="ICE",'Operating costs'!$B$67&lt;=Paths!$E$232),IF('Operating costs'!$B$67=0,C2484=0,AND(C2484&gt;0,'Operating costs'!$B$67&gt;(C2484-1)*12,'Operating costs'!$B$67&lt;=C2484*12))),'Operating costs'!$B$66,0),"n.a."))</f>
        <v>0</v>
      </c>
      <c r="N2484" s="16">
        <f>IF(NOT(Paths!$C$232=1),0,IF(Paths!$P$232="Complete",SUM(G2484:I2484)-J2484-K2484-L2484+M2484+IF(C2484=0,Paths!$F$232,0)+IF(IF(Paths!$E$232=0,C2484=0,AND(C2484&gt;0,Paths!$E$232&gt;(C2484-1)*12,Paths!$E$232&lt;=C2484*12)),VLOOKUP(A2484,'Fleet register'!$A$7:$S$106,16,FALSE),0),"n.a."))</f>
        <v>0</v>
      </c>
      <c r="O2484" s="16">
        <f>IF(NOT(Paths!$C$232=1),0,IF(Paths!$P$232="Complete",N2484-IF(C2484=0,Paths!$F$232,0),"n.a."))</f>
        <v>0</v>
      </c>
      <c r="P2484" s="16">
        <f>IF(NOT(Paths!$C$232=1),0,IF(Paths!$P$232="Complete",O2484+L2484,"n.a."))</f>
        <v>0</v>
      </c>
      <c r="Q2484" s="16">
        <f>IF(NOT(Paths!$C$232=1),0,IF(Paths!$P$232="Complete",N2484*(1+'Operating costs'!$B$54)^-C2484,"n.a."))</f>
        <v>0</v>
      </c>
      <c r="R2484" s="16">
        <f>IF(NOT(Paths!$C$232=1),0,IF(Paths!$P$232="Complete",IF(AND(C2484=0,Paths!$E$232=0),I2484-J2484-K2484+VLOOKUP(A2484,'Fleet register'!$A$7:$S$106,15,FALSE)+VLOOKUP(A2484,'Fleet register'!$A$7:$S$106,16,FALSE),0),"n.a."))</f>
        <v>0</v>
      </c>
      <c r="S2484" s="1">
        <f>IF(NOT(Paths!$C$232=1),0,IF(Paths!$P$232="Complete",IF(C2484=0,0,Paths!$S$232*Paths!$R$232),"n.a."))</f>
        <v>0</v>
      </c>
      <c r="T2484" s="1">
        <f>IF(NOT(Paths!$C$232=1),0,IF(Paths!$P$232="Complete",IF(C2484=0,0,VLOOKUP(A2484,'Fleet register'!$A$7:$S$106,9,FALSE)*Paths!$R$232),"n.a."))</f>
        <v>0</v>
      </c>
    </row>
    <row r="2485" spans="1:20" ht="24" customHeight="1">
      <c r="A2485" s="1" t="str">
        <f>Paths!$A$232</f>
        <v>T057</v>
      </c>
      <c r="B2485" s="1">
        <f>Paths!$B$232</f>
        <v>1</v>
      </c>
      <c r="C2485" s="1">
        <v>3</v>
      </c>
      <c r="D2485" s="1">
        <v>232</v>
      </c>
      <c r="E2485" s="1">
        <f>IF(OR(Paths!$C$232=0,C2485=0),0,MAX(0,MIN(C2485*12,Paths!$E$232)-(C2485-1)*12))</f>
        <v>0</v>
      </c>
      <c r="F2485" s="1">
        <f>IF(OR(Paths!$C$232=0,C2485=0),0,12-E2485)</f>
        <v>0</v>
      </c>
      <c r="G2485" s="16">
        <f>IF(NOT(Paths!$C$232=1),0,IF(Paths!$P$232="Complete",E2485/12*(Paths!$J$232*(1+'Operating costs'!$B$51)^MAX(0,C2485-1)+Paths!$K$232*(1+'Operating costs'!$B$53)^MAX(0,C2485-1)),"n.a."))</f>
        <v>0</v>
      </c>
      <c r="H2485" s="16">
        <f>IF(NOT(Paths!$C$232=1),0,IF(Paths!$P$232="Complete",F2485/12*(Paths!$L$232*(1+IF(Paths!$D$232="EV",'Operating costs'!$B$52,'Operating costs'!$B$51))^MAX(0,C2485-1)+Paths!$M$232*(1+'Operating costs'!$B$53)^MAX(0,C2485-1)),"n.a."))</f>
        <v>0</v>
      </c>
      <c r="I2485" s="16">
        <f>IF(NOT(Paths!$C$232=1),0,IF(Paths!$P$232="Complete",IF(IF(Paths!$E$232=0,C2485=0,AND(C2485&gt;0,Paths!$E$232&gt;(C2485-1)*12,Paths!$E$232&lt;=C2485*12)),Paths!$G$232,0),"n.a."))</f>
        <v>0</v>
      </c>
      <c r="J2485" s="16">
        <f>IF(NOT(Paths!$C$232=1),0,IF(Paths!$P$232="Complete",IF(IF(Paths!$E$232=0,C2485=0,AND(C2485&gt;0,Paths!$E$232&gt;(C2485-1)*12,Paths!$E$232&lt;=C2485*12)),Paths!$H$232,0),"n.a."))</f>
        <v>0</v>
      </c>
      <c r="K2485" s="16">
        <f>IF(NOT(Paths!$C$232=1),0,IF(Paths!$P$232="Complete",IF(IF(Paths!$O$232=0,C2485=0,AND(C2485&gt;0,Paths!$O$232&gt;(C2485-1)*12,Paths!$O$232&lt;=C2485*12)),Paths!$N$232,0),"n.a."))</f>
        <v>0</v>
      </c>
      <c r="L2485" s="16">
        <f>IF(NOT(Paths!$C$232=1),0,IF(Paths!$P$232="Complete",IF(C2485=10,Paths!$I$232,0),"n.a."))</f>
        <v>0</v>
      </c>
      <c r="M2485" s="16">
        <f>IF(NOT(Paths!$C$232=1),0,IF(Paths!$P$232="Complete",IF(AND(Paths!$D$232="EV",Paths!$E$232&lt;120,Paths!$E$232+'Operating costs'!$B$65&gt;Paths!$E$232,Paths!$E$232+'Operating costs'!$B$65&lt;=120,IF(Paths!$E$232+'Operating costs'!$B$65=0,C2485=0,AND(C2485&gt;0,Paths!$E$232+'Operating costs'!$B$65&gt;(C2485-1)*12,Paths!$E$232+'Operating costs'!$B$65&lt;=C2485*12))),'Operating costs'!$B$64,0)+IF(AND('Operating costs'!$B$67&gt;0,'Operating costs'!$B$67&lt;=120,OR(Paths!$D$232="ICE",'Operating costs'!$B$67&lt;=Paths!$E$232),IF('Operating costs'!$B$67=0,C2485=0,AND(C2485&gt;0,'Operating costs'!$B$67&gt;(C2485-1)*12,'Operating costs'!$B$67&lt;=C2485*12))),'Operating costs'!$B$66,0),"n.a."))</f>
        <v>0</v>
      </c>
      <c r="N2485" s="16">
        <f>IF(NOT(Paths!$C$232=1),0,IF(Paths!$P$232="Complete",SUM(G2485:I2485)-J2485-K2485-L2485+M2485+IF(C2485=0,Paths!$F$232,0)+IF(IF(Paths!$E$232=0,C2485=0,AND(C2485&gt;0,Paths!$E$232&gt;(C2485-1)*12,Paths!$E$232&lt;=C2485*12)),VLOOKUP(A2485,'Fleet register'!$A$7:$S$106,16,FALSE),0),"n.a."))</f>
        <v>0</v>
      </c>
      <c r="O2485" s="16">
        <f>IF(NOT(Paths!$C$232=1),0,IF(Paths!$P$232="Complete",N2485-IF(C2485=0,Paths!$F$232,0),"n.a."))</f>
        <v>0</v>
      </c>
      <c r="P2485" s="16">
        <f>IF(NOT(Paths!$C$232=1),0,IF(Paths!$P$232="Complete",O2485+L2485,"n.a."))</f>
        <v>0</v>
      </c>
      <c r="Q2485" s="16">
        <f>IF(NOT(Paths!$C$232=1),0,IF(Paths!$P$232="Complete",N2485*(1+'Operating costs'!$B$54)^-C2485,"n.a."))</f>
        <v>0</v>
      </c>
      <c r="R2485" s="16">
        <f>IF(NOT(Paths!$C$232=1),0,IF(Paths!$P$232="Complete",IF(AND(C2485=0,Paths!$E$232=0),I2485-J2485-K2485+VLOOKUP(A2485,'Fleet register'!$A$7:$S$106,15,FALSE)+VLOOKUP(A2485,'Fleet register'!$A$7:$S$106,16,FALSE),0),"n.a."))</f>
        <v>0</v>
      </c>
      <c r="S2485" s="1">
        <f>IF(NOT(Paths!$C$232=1),0,IF(Paths!$P$232="Complete",IF(C2485=0,0,Paths!$S$232*Paths!$R$232),"n.a."))</f>
        <v>0</v>
      </c>
      <c r="T2485" s="1">
        <f>IF(NOT(Paths!$C$232=1),0,IF(Paths!$P$232="Complete",IF(C2485=0,0,VLOOKUP(A2485,'Fleet register'!$A$7:$S$106,9,FALSE)*Paths!$R$232),"n.a."))</f>
        <v>0</v>
      </c>
    </row>
    <row r="2486" spans="1:20" ht="24" customHeight="1">
      <c r="A2486" s="1" t="str">
        <f>Paths!$A$232</f>
        <v>T057</v>
      </c>
      <c r="B2486" s="1">
        <f>Paths!$B$232</f>
        <v>1</v>
      </c>
      <c r="C2486" s="1">
        <v>4</v>
      </c>
      <c r="D2486" s="1">
        <v>232</v>
      </c>
      <c r="E2486" s="1">
        <f>IF(OR(Paths!$C$232=0,C2486=0),0,MAX(0,MIN(C2486*12,Paths!$E$232)-(C2486-1)*12))</f>
        <v>0</v>
      </c>
      <c r="F2486" s="1">
        <f>IF(OR(Paths!$C$232=0,C2486=0),0,12-E2486)</f>
        <v>0</v>
      </c>
      <c r="G2486" s="16">
        <f>IF(NOT(Paths!$C$232=1),0,IF(Paths!$P$232="Complete",E2486/12*(Paths!$J$232*(1+'Operating costs'!$B$51)^MAX(0,C2486-1)+Paths!$K$232*(1+'Operating costs'!$B$53)^MAX(0,C2486-1)),"n.a."))</f>
        <v>0</v>
      </c>
      <c r="H2486" s="16">
        <f>IF(NOT(Paths!$C$232=1),0,IF(Paths!$P$232="Complete",F2486/12*(Paths!$L$232*(1+IF(Paths!$D$232="EV",'Operating costs'!$B$52,'Operating costs'!$B$51))^MAX(0,C2486-1)+Paths!$M$232*(1+'Operating costs'!$B$53)^MAX(0,C2486-1)),"n.a."))</f>
        <v>0</v>
      </c>
      <c r="I2486" s="16">
        <f>IF(NOT(Paths!$C$232=1),0,IF(Paths!$P$232="Complete",IF(IF(Paths!$E$232=0,C2486=0,AND(C2486&gt;0,Paths!$E$232&gt;(C2486-1)*12,Paths!$E$232&lt;=C2486*12)),Paths!$G$232,0),"n.a."))</f>
        <v>0</v>
      </c>
      <c r="J2486" s="16">
        <f>IF(NOT(Paths!$C$232=1),0,IF(Paths!$P$232="Complete",IF(IF(Paths!$E$232=0,C2486=0,AND(C2486&gt;0,Paths!$E$232&gt;(C2486-1)*12,Paths!$E$232&lt;=C2486*12)),Paths!$H$232,0),"n.a."))</f>
        <v>0</v>
      </c>
      <c r="K2486" s="16">
        <f>IF(NOT(Paths!$C$232=1),0,IF(Paths!$P$232="Complete",IF(IF(Paths!$O$232=0,C2486=0,AND(C2486&gt;0,Paths!$O$232&gt;(C2486-1)*12,Paths!$O$232&lt;=C2486*12)),Paths!$N$232,0),"n.a."))</f>
        <v>0</v>
      </c>
      <c r="L2486" s="16">
        <f>IF(NOT(Paths!$C$232=1),0,IF(Paths!$P$232="Complete",IF(C2486=10,Paths!$I$232,0),"n.a."))</f>
        <v>0</v>
      </c>
      <c r="M2486" s="16">
        <f>IF(NOT(Paths!$C$232=1),0,IF(Paths!$P$232="Complete",IF(AND(Paths!$D$232="EV",Paths!$E$232&lt;120,Paths!$E$232+'Operating costs'!$B$65&gt;Paths!$E$232,Paths!$E$232+'Operating costs'!$B$65&lt;=120,IF(Paths!$E$232+'Operating costs'!$B$65=0,C2486=0,AND(C2486&gt;0,Paths!$E$232+'Operating costs'!$B$65&gt;(C2486-1)*12,Paths!$E$232+'Operating costs'!$B$65&lt;=C2486*12))),'Operating costs'!$B$64,0)+IF(AND('Operating costs'!$B$67&gt;0,'Operating costs'!$B$67&lt;=120,OR(Paths!$D$232="ICE",'Operating costs'!$B$67&lt;=Paths!$E$232),IF('Operating costs'!$B$67=0,C2486=0,AND(C2486&gt;0,'Operating costs'!$B$67&gt;(C2486-1)*12,'Operating costs'!$B$67&lt;=C2486*12))),'Operating costs'!$B$66,0),"n.a."))</f>
        <v>0</v>
      </c>
      <c r="N2486" s="16">
        <f>IF(NOT(Paths!$C$232=1),0,IF(Paths!$P$232="Complete",SUM(G2486:I2486)-J2486-K2486-L2486+M2486+IF(C2486=0,Paths!$F$232,0)+IF(IF(Paths!$E$232=0,C2486=0,AND(C2486&gt;0,Paths!$E$232&gt;(C2486-1)*12,Paths!$E$232&lt;=C2486*12)),VLOOKUP(A2486,'Fleet register'!$A$7:$S$106,16,FALSE),0),"n.a."))</f>
        <v>0</v>
      </c>
      <c r="O2486" s="16">
        <f>IF(NOT(Paths!$C$232=1),0,IF(Paths!$P$232="Complete",N2486-IF(C2486=0,Paths!$F$232,0),"n.a."))</f>
        <v>0</v>
      </c>
      <c r="P2486" s="16">
        <f>IF(NOT(Paths!$C$232=1),0,IF(Paths!$P$232="Complete",O2486+L2486,"n.a."))</f>
        <v>0</v>
      </c>
      <c r="Q2486" s="16">
        <f>IF(NOT(Paths!$C$232=1),0,IF(Paths!$P$232="Complete",N2486*(1+'Operating costs'!$B$54)^-C2486,"n.a."))</f>
        <v>0</v>
      </c>
      <c r="R2486" s="16">
        <f>IF(NOT(Paths!$C$232=1),0,IF(Paths!$P$232="Complete",IF(AND(C2486=0,Paths!$E$232=0),I2486-J2486-K2486+VLOOKUP(A2486,'Fleet register'!$A$7:$S$106,15,FALSE)+VLOOKUP(A2486,'Fleet register'!$A$7:$S$106,16,FALSE),0),"n.a."))</f>
        <v>0</v>
      </c>
      <c r="S2486" s="1">
        <f>IF(NOT(Paths!$C$232=1),0,IF(Paths!$P$232="Complete",IF(C2486=0,0,Paths!$S$232*Paths!$R$232),"n.a."))</f>
        <v>0</v>
      </c>
      <c r="T2486" s="1">
        <f>IF(NOT(Paths!$C$232=1),0,IF(Paths!$P$232="Complete",IF(C2486=0,0,VLOOKUP(A2486,'Fleet register'!$A$7:$S$106,9,FALSE)*Paths!$R$232),"n.a."))</f>
        <v>0</v>
      </c>
    </row>
    <row r="2487" spans="1:20" ht="24" customHeight="1">
      <c r="A2487" s="1" t="str">
        <f>Paths!$A$232</f>
        <v>T057</v>
      </c>
      <c r="B2487" s="1">
        <f>Paths!$B$232</f>
        <v>1</v>
      </c>
      <c r="C2487" s="1">
        <v>5</v>
      </c>
      <c r="D2487" s="1">
        <v>232</v>
      </c>
      <c r="E2487" s="1">
        <f>IF(OR(Paths!$C$232=0,C2487=0),0,MAX(0,MIN(C2487*12,Paths!$E$232)-(C2487-1)*12))</f>
        <v>0</v>
      </c>
      <c r="F2487" s="1">
        <f>IF(OR(Paths!$C$232=0,C2487=0),0,12-E2487)</f>
        <v>0</v>
      </c>
      <c r="G2487" s="16">
        <f>IF(NOT(Paths!$C$232=1),0,IF(Paths!$P$232="Complete",E2487/12*(Paths!$J$232*(1+'Operating costs'!$B$51)^MAX(0,C2487-1)+Paths!$K$232*(1+'Operating costs'!$B$53)^MAX(0,C2487-1)),"n.a."))</f>
        <v>0</v>
      </c>
      <c r="H2487" s="16">
        <f>IF(NOT(Paths!$C$232=1),0,IF(Paths!$P$232="Complete",F2487/12*(Paths!$L$232*(1+IF(Paths!$D$232="EV",'Operating costs'!$B$52,'Operating costs'!$B$51))^MAX(0,C2487-1)+Paths!$M$232*(1+'Operating costs'!$B$53)^MAX(0,C2487-1)),"n.a."))</f>
        <v>0</v>
      </c>
      <c r="I2487" s="16">
        <f>IF(NOT(Paths!$C$232=1),0,IF(Paths!$P$232="Complete",IF(IF(Paths!$E$232=0,C2487=0,AND(C2487&gt;0,Paths!$E$232&gt;(C2487-1)*12,Paths!$E$232&lt;=C2487*12)),Paths!$G$232,0),"n.a."))</f>
        <v>0</v>
      </c>
      <c r="J2487" s="16">
        <f>IF(NOT(Paths!$C$232=1),0,IF(Paths!$P$232="Complete",IF(IF(Paths!$E$232=0,C2487=0,AND(C2487&gt;0,Paths!$E$232&gt;(C2487-1)*12,Paths!$E$232&lt;=C2487*12)),Paths!$H$232,0),"n.a."))</f>
        <v>0</v>
      </c>
      <c r="K2487" s="16">
        <f>IF(NOT(Paths!$C$232=1),0,IF(Paths!$P$232="Complete",IF(IF(Paths!$O$232=0,C2487=0,AND(C2487&gt;0,Paths!$O$232&gt;(C2487-1)*12,Paths!$O$232&lt;=C2487*12)),Paths!$N$232,0),"n.a."))</f>
        <v>0</v>
      </c>
      <c r="L2487" s="16">
        <f>IF(NOT(Paths!$C$232=1),0,IF(Paths!$P$232="Complete",IF(C2487=10,Paths!$I$232,0),"n.a."))</f>
        <v>0</v>
      </c>
      <c r="M2487" s="16">
        <f>IF(NOT(Paths!$C$232=1),0,IF(Paths!$P$232="Complete",IF(AND(Paths!$D$232="EV",Paths!$E$232&lt;120,Paths!$E$232+'Operating costs'!$B$65&gt;Paths!$E$232,Paths!$E$232+'Operating costs'!$B$65&lt;=120,IF(Paths!$E$232+'Operating costs'!$B$65=0,C2487=0,AND(C2487&gt;0,Paths!$E$232+'Operating costs'!$B$65&gt;(C2487-1)*12,Paths!$E$232+'Operating costs'!$B$65&lt;=C2487*12))),'Operating costs'!$B$64,0)+IF(AND('Operating costs'!$B$67&gt;0,'Operating costs'!$B$67&lt;=120,OR(Paths!$D$232="ICE",'Operating costs'!$B$67&lt;=Paths!$E$232),IF('Operating costs'!$B$67=0,C2487=0,AND(C2487&gt;0,'Operating costs'!$B$67&gt;(C2487-1)*12,'Operating costs'!$B$67&lt;=C2487*12))),'Operating costs'!$B$66,0),"n.a."))</f>
        <v>0</v>
      </c>
      <c r="N2487" s="16">
        <f>IF(NOT(Paths!$C$232=1),0,IF(Paths!$P$232="Complete",SUM(G2487:I2487)-J2487-K2487-L2487+M2487+IF(C2487=0,Paths!$F$232,0)+IF(IF(Paths!$E$232=0,C2487=0,AND(C2487&gt;0,Paths!$E$232&gt;(C2487-1)*12,Paths!$E$232&lt;=C2487*12)),VLOOKUP(A2487,'Fleet register'!$A$7:$S$106,16,FALSE),0),"n.a."))</f>
        <v>0</v>
      </c>
      <c r="O2487" s="16">
        <f>IF(NOT(Paths!$C$232=1),0,IF(Paths!$P$232="Complete",N2487-IF(C2487=0,Paths!$F$232,0),"n.a."))</f>
        <v>0</v>
      </c>
      <c r="P2487" s="16">
        <f>IF(NOT(Paths!$C$232=1),0,IF(Paths!$P$232="Complete",O2487+L2487,"n.a."))</f>
        <v>0</v>
      </c>
      <c r="Q2487" s="16">
        <f>IF(NOT(Paths!$C$232=1),0,IF(Paths!$P$232="Complete",N2487*(1+'Operating costs'!$B$54)^-C2487,"n.a."))</f>
        <v>0</v>
      </c>
      <c r="R2487" s="16">
        <f>IF(NOT(Paths!$C$232=1),0,IF(Paths!$P$232="Complete",IF(AND(C2487=0,Paths!$E$232=0),I2487-J2487-K2487+VLOOKUP(A2487,'Fleet register'!$A$7:$S$106,15,FALSE)+VLOOKUP(A2487,'Fleet register'!$A$7:$S$106,16,FALSE),0),"n.a."))</f>
        <v>0</v>
      </c>
      <c r="S2487" s="1">
        <f>IF(NOT(Paths!$C$232=1),0,IF(Paths!$P$232="Complete",IF(C2487=0,0,Paths!$S$232*Paths!$R$232),"n.a."))</f>
        <v>0</v>
      </c>
      <c r="T2487" s="1">
        <f>IF(NOT(Paths!$C$232=1),0,IF(Paths!$P$232="Complete",IF(C2487=0,0,VLOOKUP(A2487,'Fleet register'!$A$7:$S$106,9,FALSE)*Paths!$R$232),"n.a."))</f>
        <v>0</v>
      </c>
    </row>
    <row r="2488" spans="1:20" ht="24" customHeight="1">
      <c r="A2488" s="1" t="str">
        <f>Paths!$A$232</f>
        <v>T057</v>
      </c>
      <c r="B2488" s="1">
        <f>Paths!$B$232</f>
        <v>1</v>
      </c>
      <c r="C2488" s="1">
        <v>6</v>
      </c>
      <c r="D2488" s="1">
        <v>232</v>
      </c>
      <c r="E2488" s="1">
        <f>IF(OR(Paths!$C$232=0,C2488=0),0,MAX(0,MIN(C2488*12,Paths!$E$232)-(C2488-1)*12))</f>
        <v>0</v>
      </c>
      <c r="F2488" s="1">
        <f>IF(OR(Paths!$C$232=0,C2488=0),0,12-E2488)</f>
        <v>0</v>
      </c>
      <c r="G2488" s="16">
        <f>IF(NOT(Paths!$C$232=1),0,IF(Paths!$P$232="Complete",E2488/12*(Paths!$J$232*(1+'Operating costs'!$B$51)^MAX(0,C2488-1)+Paths!$K$232*(1+'Operating costs'!$B$53)^MAX(0,C2488-1)),"n.a."))</f>
        <v>0</v>
      </c>
      <c r="H2488" s="16">
        <f>IF(NOT(Paths!$C$232=1),0,IF(Paths!$P$232="Complete",F2488/12*(Paths!$L$232*(1+IF(Paths!$D$232="EV",'Operating costs'!$B$52,'Operating costs'!$B$51))^MAX(0,C2488-1)+Paths!$M$232*(1+'Operating costs'!$B$53)^MAX(0,C2488-1)),"n.a."))</f>
        <v>0</v>
      </c>
      <c r="I2488" s="16">
        <f>IF(NOT(Paths!$C$232=1),0,IF(Paths!$P$232="Complete",IF(IF(Paths!$E$232=0,C2488=0,AND(C2488&gt;0,Paths!$E$232&gt;(C2488-1)*12,Paths!$E$232&lt;=C2488*12)),Paths!$G$232,0),"n.a."))</f>
        <v>0</v>
      </c>
      <c r="J2488" s="16">
        <f>IF(NOT(Paths!$C$232=1),0,IF(Paths!$P$232="Complete",IF(IF(Paths!$E$232=0,C2488=0,AND(C2488&gt;0,Paths!$E$232&gt;(C2488-1)*12,Paths!$E$232&lt;=C2488*12)),Paths!$H$232,0),"n.a."))</f>
        <v>0</v>
      </c>
      <c r="K2488" s="16">
        <f>IF(NOT(Paths!$C$232=1),0,IF(Paths!$P$232="Complete",IF(IF(Paths!$O$232=0,C2488=0,AND(C2488&gt;0,Paths!$O$232&gt;(C2488-1)*12,Paths!$O$232&lt;=C2488*12)),Paths!$N$232,0),"n.a."))</f>
        <v>0</v>
      </c>
      <c r="L2488" s="16">
        <f>IF(NOT(Paths!$C$232=1),0,IF(Paths!$P$232="Complete",IF(C2488=10,Paths!$I$232,0),"n.a."))</f>
        <v>0</v>
      </c>
      <c r="M2488" s="16">
        <f>IF(NOT(Paths!$C$232=1),0,IF(Paths!$P$232="Complete",IF(AND(Paths!$D$232="EV",Paths!$E$232&lt;120,Paths!$E$232+'Operating costs'!$B$65&gt;Paths!$E$232,Paths!$E$232+'Operating costs'!$B$65&lt;=120,IF(Paths!$E$232+'Operating costs'!$B$65=0,C2488=0,AND(C2488&gt;0,Paths!$E$232+'Operating costs'!$B$65&gt;(C2488-1)*12,Paths!$E$232+'Operating costs'!$B$65&lt;=C2488*12))),'Operating costs'!$B$64,0)+IF(AND('Operating costs'!$B$67&gt;0,'Operating costs'!$B$67&lt;=120,OR(Paths!$D$232="ICE",'Operating costs'!$B$67&lt;=Paths!$E$232),IF('Operating costs'!$B$67=0,C2488=0,AND(C2488&gt;0,'Operating costs'!$B$67&gt;(C2488-1)*12,'Operating costs'!$B$67&lt;=C2488*12))),'Operating costs'!$B$66,0),"n.a."))</f>
        <v>0</v>
      </c>
      <c r="N2488" s="16">
        <f>IF(NOT(Paths!$C$232=1),0,IF(Paths!$P$232="Complete",SUM(G2488:I2488)-J2488-K2488-L2488+M2488+IF(C2488=0,Paths!$F$232,0)+IF(IF(Paths!$E$232=0,C2488=0,AND(C2488&gt;0,Paths!$E$232&gt;(C2488-1)*12,Paths!$E$232&lt;=C2488*12)),VLOOKUP(A2488,'Fleet register'!$A$7:$S$106,16,FALSE),0),"n.a."))</f>
        <v>0</v>
      </c>
      <c r="O2488" s="16">
        <f>IF(NOT(Paths!$C$232=1),0,IF(Paths!$P$232="Complete",N2488-IF(C2488=0,Paths!$F$232,0),"n.a."))</f>
        <v>0</v>
      </c>
      <c r="P2488" s="16">
        <f>IF(NOT(Paths!$C$232=1),0,IF(Paths!$P$232="Complete",O2488+L2488,"n.a."))</f>
        <v>0</v>
      </c>
      <c r="Q2488" s="16">
        <f>IF(NOT(Paths!$C$232=1),0,IF(Paths!$P$232="Complete",N2488*(1+'Operating costs'!$B$54)^-C2488,"n.a."))</f>
        <v>0</v>
      </c>
      <c r="R2488" s="16">
        <f>IF(NOT(Paths!$C$232=1),0,IF(Paths!$P$232="Complete",IF(AND(C2488=0,Paths!$E$232=0),I2488-J2488-K2488+VLOOKUP(A2488,'Fleet register'!$A$7:$S$106,15,FALSE)+VLOOKUP(A2488,'Fleet register'!$A$7:$S$106,16,FALSE),0),"n.a."))</f>
        <v>0</v>
      </c>
      <c r="S2488" s="1">
        <f>IF(NOT(Paths!$C$232=1),0,IF(Paths!$P$232="Complete",IF(C2488=0,0,Paths!$S$232*Paths!$R$232),"n.a."))</f>
        <v>0</v>
      </c>
      <c r="T2488" s="1">
        <f>IF(NOT(Paths!$C$232=1),0,IF(Paths!$P$232="Complete",IF(C2488=0,0,VLOOKUP(A2488,'Fleet register'!$A$7:$S$106,9,FALSE)*Paths!$R$232),"n.a."))</f>
        <v>0</v>
      </c>
    </row>
    <row r="2489" spans="1:20" ht="24" customHeight="1">
      <c r="A2489" s="1" t="str">
        <f>Paths!$A$232</f>
        <v>T057</v>
      </c>
      <c r="B2489" s="1">
        <f>Paths!$B$232</f>
        <v>1</v>
      </c>
      <c r="C2489" s="1">
        <v>7</v>
      </c>
      <c r="D2489" s="1">
        <v>232</v>
      </c>
      <c r="E2489" s="1">
        <f>IF(OR(Paths!$C$232=0,C2489=0),0,MAX(0,MIN(C2489*12,Paths!$E$232)-(C2489-1)*12))</f>
        <v>0</v>
      </c>
      <c r="F2489" s="1">
        <f>IF(OR(Paths!$C$232=0,C2489=0),0,12-E2489)</f>
        <v>0</v>
      </c>
      <c r="G2489" s="16">
        <f>IF(NOT(Paths!$C$232=1),0,IF(Paths!$P$232="Complete",E2489/12*(Paths!$J$232*(1+'Operating costs'!$B$51)^MAX(0,C2489-1)+Paths!$K$232*(1+'Operating costs'!$B$53)^MAX(0,C2489-1)),"n.a."))</f>
        <v>0</v>
      </c>
      <c r="H2489" s="16">
        <f>IF(NOT(Paths!$C$232=1),0,IF(Paths!$P$232="Complete",F2489/12*(Paths!$L$232*(1+IF(Paths!$D$232="EV",'Operating costs'!$B$52,'Operating costs'!$B$51))^MAX(0,C2489-1)+Paths!$M$232*(1+'Operating costs'!$B$53)^MAX(0,C2489-1)),"n.a."))</f>
        <v>0</v>
      </c>
      <c r="I2489" s="16">
        <f>IF(NOT(Paths!$C$232=1),0,IF(Paths!$P$232="Complete",IF(IF(Paths!$E$232=0,C2489=0,AND(C2489&gt;0,Paths!$E$232&gt;(C2489-1)*12,Paths!$E$232&lt;=C2489*12)),Paths!$G$232,0),"n.a."))</f>
        <v>0</v>
      </c>
      <c r="J2489" s="16">
        <f>IF(NOT(Paths!$C$232=1),0,IF(Paths!$P$232="Complete",IF(IF(Paths!$E$232=0,C2489=0,AND(C2489&gt;0,Paths!$E$232&gt;(C2489-1)*12,Paths!$E$232&lt;=C2489*12)),Paths!$H$232,0),"n.a."))</f>
        <v>0</v>
      </c>
      <c r="K2489" s="16">
        <f>IF(NOT(Paths!$C$232=1),0,IF(Paths!$P$232="Complete",IF(IF(Paths!$O$232=0,C2489=0,AND(C2489&gt;0,Paths!$O$232&gt;(C2489-1)*12,Paths!$O$232&lt;=C2489*12)),Paths!$N$232,0),"n.a."))</f>
        <v>0</v>
      </c>
      <c r="L2489" s="16">
        <f>IF(NOT(Paths!$C$232=1),0,IF(Paths!$P$232="Complete",IF(C2489=10,Paths!$I$232,0),"n.a."))</f>
        <v>0</v>
      </c>
      <c r="M2489" s="16">
        <f>IF(NOT(Paths!$C$232=1),0,IF(Paths!$P$232="Complete",IF(AND(Paths!$D$232="EV",Paths!$E$232&lt;120,Paths!$E$232+'Operating costs'!$B$65&gt;Paths!$E$232,Paths!$E$232+'Operating costs'!$B$65&lt;=120,IF(Paths!$E$232+'Operating costs'!$B$65=0,C2489=0,AND(C2489&gt;0,Paths!$E$232+'Operating costs'!$B$65&gt;(C2489-1)*12,Paths!$E$232+'Operating costs'!$B$65&lt;=C2489*12))),'Operating costs'!$B$64,0)+IF(AND('Operating costs'!$B$67&gt;0,'Operating costs'!$B$67&lt;=120,OR(Paths!$D$232="ICE",'Operating costs'!$B$67&lt;=Paths!$E$232),IF('Operating costs'!$B$67=0,C2489=0,AND(C2489&gt;0,'Operating costs'!$B$67&gt;(C2489-1)*12,'Operating costs'!$B$67&lt;=C2489*12))),'Operating costs'!$B$66,0),"n.a."))</f>
        <v>0</v>
      </c>
      <c r="N2489" s="16">
        <f>IF(NOT(Paths!$C$232=1),0,IF(Paths!$P$232="Complete",SUM(G2489:I2489)-J2489-K2489-L2489+M2489+IF(C2489=0,Paths!$F$232,0)+IF(IF(Paths!$E$232=0,C2489=0,AND(C2489&gt;0,Paths!$E$232&gt;(C2489-1)*12,Paths!$E$232&lt;=C2489*12)),VLOOKUP(A2489,'Fleet register'!$A$7:$S$106,16,FALSE),0),"n.a."))</f>
        <v>0</v>
      </c>
      <c r="O2489" s="16">
        <f>IF(NOT(Paths!$C$232=1),0,IF(Paths!$P$232="Complete",N2489-IF(C2489=0,Paths!$F$232,0),"n.a."))</f>
        <v>0</v>
      </c>
      <c r="P2489" s="16">
        <f>IF(NOT(Paths!$C$232=1),0,IF(Paths!$P$232="Complete",O2489+L2489,"n.a."))</f>
        <v>0</v>
      </c>
      <c r="Q2489" s="16">
        <f>IF(NOT(Paths!$C$232=1),0,IF(Paths!$P$232="Complete",N2489*(1+'Operating costs'!$B$54)^-C2489,"n.a."))</f>
        <v>0</v>
      </c>
      <c r="R2489" s="16">
        <f>IF(NOT(Paths!$C$232=1),0,IF(Paths!$P$232="Complete",IF(AND(C2489=0,Paths!$E$232=0),I2489-J2489-K2489+VLOOKUP(A2489,'Fleet register'!$A$7:$S$106,15,FALSE)+VLOOKUP(A2489,'Fleet register'!$A$7:$S$106,16,FALSE),0),"n.a."))</f>
        <v>0</v>
      </c>
      <c r="S2489" s="1">
        <f>IF(NOT(Paths!$C$232=1),0,IF(Paths!$P$232="Complete",IF(C2489=0,0,Paths!$S$232*Paths!$R$232),"n.a."))</f>
        <v>0</v>
      </c>
      <c r="T2489" s="1">
        <f>IF(NOT(Paths!$C$232=1),0,IF(Paths!$P$232="Complete",IF(C2489=0,0,VLOOKUP(A2489,'Fleet register'!$A$7:$S$106,9,FALSE)*Paths!$R$232),"n.a."))</f>
        <v>0</v>
      </c>
    </row>
    <row r="2490" spans="1:20" ht="24" customHeight="1">
      <c r="A2490" s="1" t="str">
        <f>Paths!$A$232</f>
        <v>T057</v>
      </c>
      <c r="B2490" s="1">
        <f>Paths!$B$232</f>
        <v>1</v>
      </c>
      <c r="C2490" s="1">
        <v>8</v>
      </c>
      <c r="D2490" s="1">
        <v>232</v>
      </c>
      <c r="E2490" s="1">
        <f>IF(OR(Paths!$C$232=0,C2490=0),0,MAX(0,MIN(C2490*12,Paths!$E$232)-(C2490-1)*12))</f>
        <v>0</v>
      </c>
      <c r="F2490" s="1">
        <f>IF(OR(Paths!$C$232=0,C2490=0),0,12-E2490)</f>
        <v>0</v>
      </c>
      <c r="G2490" s="16">
        <f>IF(NOT(Paths!$C$232=1),0,IF(Paths!$P$232="Complete",E2490/12*(Paths!$J$232*(1+'Operating costs'!$B$51)^MAX(0,C2490-1)+Paths!$K$232*(1+'Operating costs'!$B$53)^MAX(0,C2490-1)),"n.a."))</f>
        <v>0</v>
      </c>
      <c r="H2490" s="16">
        <f>IF(NOT(Paths!$C$232=1),0,IF(Paths!$P$232="Complete",F2490/12*(Paths!$L$232*(1+IF(Paths!$D$232="EV",'Operating costs'!$B$52,'Operating costs'!$B$51))^MAX(0,C2490-1)+Paths!$M$232*(1+'Operating costs'!$B$53)^MAX(0,C2490-1)),"n.a."))</f>
        <v>0</v>
      </c>
      <c r="I2490" s="16">
        <f>IF(NOT(Paths!$C$232=1),0,IF(Paths!$P$232="Complete",IF(IF(Paths!$E$232=0,C2490=0,AND(C2490&gt;0,Paths!$E$232&gt;(C2490-1)*12,Paths!$E$232&lt;=C2490*12)),Paths!$G$232,0),"n.a."))</f>
        <v>0</v>
      </c>
      <c r="J2490" s="16">
        <f>IF(NOT(Paths!$C$232=1),0,IF(Paths!$P$232="Complete",IF(IF(Paths!$E$232=0,C2490=0,AND(C2490&gt;0,Paths!$E$232&gt;(C2490-1)*12,Paths!$E$232&lt;=C2490*12)),Paths!$H$232,0),"n.a."))</f>
        <v>0</v>
      </c>
      <c r="K2490" s="16">
        <f>IF(NOT(Paths!$C$232=1),0,IF(Paths!$P$232="Complete",IF(IF(Paths!$O$232=0,C2490=0,AND(C2490&gt;0,Paths!$O$232&gt;(C2490-1)*12,Paths!$O$232&lt;=C2490*12)),Paths!$N$232,0),"n.a."))</f>
        <v>0</v>
      </c>
      <c r="L2490" s="16">
        <f>IF(NOT(Paths!$C$232=1),0,IF(Paths!$P$232="Complete",IF(C2490=10,Paths!$I$232,0),"n.a."))</f>
        <v>0</v>
      </c>
      <c r="M2490" s="16">
        <f>IF(NOT(Paths!$C$232=1),0,IF(Paths!$P$232="Complete",IF(AND(Paths!$D$232="EV",Paths!$E$232&lt;120,Paths!$E$232+'Operating costs'!$B$65&gt;Paths!$E$232,Paths!$E$232+'Operating costs'!$B$65&lt;=120,IF(Paths!$E$232+'Operating costs'!$B$65=0,C2490=0,AND(C2490&gt;0,Paths!$E$232+'Operating costs'!$B$65&gt;(C2490-1)*12,Paths!$E$232+'Operating costs'!$B$65&lt;=C2490*12))),'Operating costs'!$B$64,0)+IF(AND('Operating costs'!$B$67&gt;0,'Operating costs'!$B$67&lt;=120,OR(Paths!$D$232="ICE",'Operating costs'!$B$67&lt;=Paths!$E$232),IF('Operating costs'!$B$67=0,C2490=0,AND(C2490&gt;0,'Operating costs'!$B$67&gt;(C2490-1)*12,'Operating costs'!$B$67&lt;=C2490*12))),'Operating costs'!$B$66,0),"n.a."))</f>
        <v>0</v>
      </c>
      <c r="N2490" s="16">
        <f>IF(NOT(Paths!$C$232=1),0,IF(Paths!$P$232="Complete",SUM(G2490:I2490)-J2490-K2490-L2490+M2490+IF(C2490=0,Paths!$F$232,0)+IF(IF(Paths!$E$232=0,C2490=0,AND(C2490&gt;0,Paths!$E$232&gt;(C2490-1)*12,Paths!$E$232&lt;=C2490*12)),VLOOKUP(A2490,'Fleet register'!$A$7:$S$106,16,FALSE),0),"n.a."))</f>
        <v>0</v>
      </c>
      <c r="O2490" s="16">
        <f>IF(NOT(Paths!$C$232=1),0,IF(Paths!$P$232="Complete",N2490-IF(C2490=0,Paths!$F$232,0),"n.a."))</f>
        <v>0</v>
      </c>
      <c r="P2490" s="16">
        <f>IF(NOT(Paths!$C$232=1),0,IF(Paths!$P$232="Complete",O2490+L2490,"n.a."))</f>
        <v>0</v>
      </c>
      <c r="Q2490" s="16">
        <f>IF(NOT(Paths!$C$232=1),0,IF(Paths!$P$232="Complete",N2490*(1+'Operating costs'!$B$54)^-C2490,"n.a."))</f>
        <v>0</v>
      </c>
      <c r="R2490" s="16">
        <f>IF(NOT(Paths!$C$232=1),0,IF(Paths!$P$232="Complete",IF(AND(C2490=0,Paths!$E$232=0),I2490-J2490-K2490+VLOOKUP(A2490,'Fleet register'!$A$7:$S$106,15,FALSE)+VLOOKUP(A2490,'Fleet register'!$A$7:$S$106,16,FALSE),0),"n.a."))</f>
        <v>0</v>
      </c>
      <c r="S2490" s="1">
        <f>IF(NOT(Paths!$C$232=1),0,IF(Paths!$P$232="Complete",IF(C2490=0,0,Paths!$S$232*Paths!$R$232),"n.a."))</f>
        <v>0</v>
      </c>
      <c r="T2490" s="1">
        <f>IF(NOT(Paths!$C$232=1),0,IF(Paths!$P$232="Complete",IF(C2490=0,0,VLOOKUP(A2490,'Fleet register'!$A$7:$S$106,9,FALSE)*Paths!$R$232),"n.a."))</f>
        <v>0</v>
      </c>
    </row>
    <row r="2491" spans="1:20" ht="24" customHeight="1">
      <c r="A2491" s="1" t="str">
        <f>Paths!$A$232</f>
        <v>T057</v>
      </c>
      <c r="B2491" s="1">
        <f>Paths!$B$232</f>
        <v>1</v>
      </c>
      <c r="C2491" s="1">
        <v>9</v>
      </c>
      <c r="D2491" s="1">
        <v>232</v>
      </c>
      <c r="E2491" s="1">
        <f>IF(OR(Paths!$C$232=0,C2491=0),0,MAX(0,MIN(C2491*12,Paths!$E$232)-(C2491-1)*12))</f>
        <v>0</v>
      </c>
      <c r="F2491" s="1">
        <f>IF(OR(Paths!$C$232=0,C2491=0),0,12-E2491)</f>
        <v>0</v>
      </c>
      <c r="G2491" s="16">
        <f>IF(NOT(Paths!$C$232=1),0,IF(Paths!$P$232="Complete",E2491/12*(Paths!$J$232*(1+'Operating costs'!$B$51)^MAX(0,C2491-1)+Paths!$K$232*(1+'Operating costs'!$B$53)^MAX(0,C2491-1)),"n.a."))</f>
        <v>0</v>
      </c>
      <c r="H2491" s="16">
        <f>IF(NOT(Paths!$C$232=1),0,IF(Paths!$P$232="Complete",F2491/12*(Paths!$L$232*(1+IF(Paths!$D$232="EV",'Operating costs'!$B$52,'Operating costs'!$B$51))^MAX(0,C2491-1)+Paths!$M$232*(1+'Operating costs'!$B$53)^MAX(0,C2491-1)),"n.a."))</f>
        <v>0</v>
      </c>
      <c r="I2491" s="16">
        <f>IF(NOT(Paths!$C$232=1),0,IF(Paths!$P$232="Complete",IF(IF(Paths!$E$232=0,C2491=0,AND(C2491&gt;0,Paths!$E$232&gt;(C2491-1)*12,Paths!$E$232&lt;=C2491*12)),Paths!$G$232,0),"n.a."))</f>
        <v>0</v>
      </c>
      <c r="J2491" s="16">
        <f>IF(NOT(Paths!$C$232=1),0,IF(Paths!$P$232="Complete",IF(IF(Paths!$E$232=0,C2491=0,AND(C2491&gt;0,Paths!$E$232&gt;(C2491-1)*12,Paths!$E$232&lt;=C2491*12)),Paths!$H$232,0),"n.a."))</f>
        <v>0</v>
      </c>
      <c r="K2491" s="16">
        <f>IF(NOT(Paths!$C$232=1),0,IF(Paths!$P$232="Complete",IF(IF(Paths!$O$232=0,C2491=0,AND(C2491&gt;0,Paths!$O$232&gt;(C2491-1)*12,Paths!$O$232&lt;=C2491*12)),Paths!$N$232,0),"n.a."))</f>
        <v>0</v>
      </c>
      <c r="L2491" s="16">
        <f>IF(NOT(Paths!$C$232=1),0,IF(Paths!$P$232="Complete",IF(C2491=10,Paths!$I$232,0),"n.a."))</f>
        <v>0</v>
      </c>
      <c r="M2491" s="16">
        <f>IF(NOT(Paths!$C$232=1),0,IF(Paths!$P$232="Complete",IF(AND(Paths!$D$232="EV",Paths!$E$232&lt;120,Paths!$E$232+'Operating costs'!$B$65&gt;Paths!$E$232,Paths!$E$232+'Operating costs'!$B$65&lt;=120,IF(Paths!$E$232+'Operating costs'!$B$65=0,C2491=0,AND(C2491&gt;0,Paths!$E$232+'Operating costs'!$B$65&gt;(C2491-1)*12,Paths!$E$232+'Operating costs'!$B$65&lt;=C2491*12))),'Operating costs'!$B$64,0)+IF(AND('Operating costs'!$B$67&gt;0,'Operating costs'!$B$67&lt;=120,OR(Paths!$D$232="ICE",'Operating costs'!$B$67&lt;=Paths!$E$232),IF('Operating costs'!$B$67=0,C2491=0,AND(C2491&gt;0,'Operating costs'!$B$67&gt;(C2491-1)*12,'Operating costs'!$B$67&lt;=C2491*12))),'Operating costs'!$B$66,0),"n.a."))</f>
        <v>0</v>
      </c>
      <c r="N2491" s="16">
        <f>IF(NOT(Paths!$C$232=1),0,IF(Paths!$P$232="Complete",SUM(G2491:I2491)-J2491-K2491-L2491+M2491+IF(C2491=0,Paths!$F$232,0)+IF(IF(Paths!$E$232=0,C2491=0,AND(C2491&gt;0,Paths!$E$232&gt;(C2491-1)*12,Paths!$E$232&lt;=C2491*12)),VLOOKUP(A2491,'Fleet register'!$A$7:$S$106,16,FALSE),0),"n.a."))</f>
        <v>0</v>
      </c>
      <c r="O2491" s="16">
        <f>IF(NOT(Paths!$C$232=1),0,IF(Paths!$P$232="Complete",N2491-IF(C2491=0,Paths!$F$232,0),"n.a."))</f>
        <v>0</v>
      </c>
      <c r="P2491" s="16">
        <f>IF(NOT(Paths!$C$232=1),0,IF(Paths!$P$232="Complete",O2491+L2491,"n.a."))</f>
        <v>0</v>
      </c>
      <c r="Q2491" s="16">
        <f>IF(NOT(Paths!$C$232=1),0,IF(Paths!$P$232="Complete",N2491*(1+'Operating costs'!$B$54)^-C2491,"n.a."))</f>
        <v>0</v>
      </c>
      <c r="R2491" s="16">
        <f>IF(NOT(Paths!$C$232=1),0,IF(Paths!$P$232="Complete",IF(AND(C2491=0,Paths!$E$232=0),I2491-J2491-K2491+VLOOKUP(A2491,'Fleet register'!$A$7:$S$106,15,FALSE)+VLOOKUP(A2491,'Fleet register'!$A$7:$S$106,16,FALSE),0),"n.a."))</f>
        <v>0</v>
      </c>
      <c r="S2491" s="1">
        <f>IF(NOT(Paths!$C$232=1),0,IF(Paths!$P$232="Complete",IF(C2491=0,0,Paths!$S$232*Paths!$R$232),"n.a."))</f>
        <v>0</v>
      </c>
      <c r="T2491" s="1">
        <f>IF(NOT(Paths!$C$232=1),0,IF(Paths!$P$232="Complete",IF(C2491=0,0,VLOOKUP(A2491,'Fleet register'!$A$7:$S$106,9,FALSE)*Paths!$R$232),"n.a."))</f>
        <v>0</v>
      </c>
    </row>
    <row r="2492" spans="1:20" ht="24" customHeight="1">
      <c r="A2492" s="1" t="str">
        <f>Paths!$A$232</f>
        <v>T057</v>
      </c>
      <c r="B2492" s="1">
        <f>Paths!$B$232</f>
        <v>1</v>
      </c>
      <c r="C2492" s="1">
        <v>10</v>
      </c>
      <c r="D2492" s="1">
        <v>232</v>
      </c>
      <c r="E2492" s="1">
        <f>IF(OR(Paths!$C$232=0,C2492=0),0,MAX(0,MIN(C2492*12,Paths!$E$232)-(C2492-1)*12))</f>
        <v>0</v>
      </c>
      <c r="F2492" s="1">
        <f>IF(OR(Paths!$C$232=0,C2492=0),0,12-E2492)</f>
        <v>0</v>
      </c>
      <c r="G2492" s="16">
        <f>IF(NOT(Paths!$C$232=1),0,IF(Paths!$P$232="Complete",E2492/12*(Paths!$J$232*(1+'Operating costs'!$B$51)^MAX(0,C2492-1)+Paths!$K$232*(1+'Operating costs'!$B$53)^MAX(0,C2492-1)),"n.a."))</f>
        <v>0</v>
      </c>
      <c r="H2492" s="16">
        <f>IF(NOT(Paths!$C$232=1),0,IF(Paths!$P$232="Complete",F2492/12*(Paths!$L$232*(1+IF(Paths!$D$232="EV",'Operating costs'!$B$52,'Operating costs'!$B$51))^MAX(0,C2492-1)+Paths!$M$232*(1+'Operating costs'!$B$53)^MAX(0,C2492-1)),"n.a."))</f>
        <v>0</v>
      </c>
      <c r="I2492" s="16">
        <f>IF(NOT(Paths!$C$232=1),0,IF(Paths!$P$232="Complete",IF(IF(Paths!$E$232=0,C2492=0,AND(C2492&gt;0,Paths!$E$232&gt;(C2492-1)*12,Paths!$E$232&lt;=C2492*12)),Paths!$G$232,0),"n.a."))</f>
        <v>0</v>
      </c>
      <c r="J2492" s="16">
        <f>IF(NOT(Paths!$C$232=1),0,IF(Paths!$P$232="Complete",IF(IF(Paths!$E$232=0,C2492=0,AND(C2492&gt;0,Paths!$E$232&gt;(C2492-1)*12,Paths!$E$232&lt;=C2492*12)),Paths!$H$232,0),"n.a."))</f>
        <v>0</v>
      </c>
      <c r="K2492" s="16">
        <f>IF(NOT(Paths!$C$232=1),0,IF(Paths!$P$232="Complete",IF(IF(Paths!$O$232=0,C2492=0,AND(C2492&gt;0,Paths!$O$232&gt;(C2492-1)*12,Paths!$O$232&lt;=C2492*12)),Paths!$N$232,0),"n.a."))</f>
        <v>0</v>
      </c>
      <c r="L2492" s="16">
        <f>IF(NOT(Paths!$C$232=1),0,IF(Paths!$P$232="Complete",IF(C2492=10,Paths!$I$232,0),"n.a."))</f>
        <v>0</v>
      </c>
      <c r="M2492" s="16">
        <f>IF(NOT(Paths!$C$232=1),0,IF(Paths!$P$232="Complete",IF(AND(Paths!$D$232="EV",Paths!$E$232&lt;120,Paths!$E$232+'Operating costs'!$B$65&gt;Paths!$E$232,Paths!$E$232+'Operating costs'!$B$65&lt;=120,IF(Paths!$E$232+'Operating costs'!$B$65=0,C2492=0,AND(C2492&gt;0,Paths!$E$232+'Operating costs'!$B$65&gt;(C2492-1)*12,Paths!$E$232+'Operating costs'!$B$65&lt;=C2492*12))),'Operating costs'!$B$64,0)+IF(AND('Operating costs'!$B$67&gt;0,'Operating costs'!$B$67&lt;=120,OR(Paths!$D$232="ICE",'Operating costs'!$B$67&lt;=Paths!$E$232),IF('Operating costs'!$B$67=0,C2492=0,AND(C2492&gt;0,'Operating costs'!$B$67&gt;(C2492-1)*12,'Operating costs'!$B$67&lt;=C2492*12))),'Operating costs'!$B$66,0),"n.a."))</f>
        <v>0</v>
      </c>
      <c r="N2492" s="16">
        <f>IF(NOT(Paths!$C$232=1),0,IF(Paths!$P$232="Complete",SUM(G2492:I2492)-J2492-K2492-L2492+M2492+IF(C2492=0,Paths!$F$232,0)+IF(IF(Paths!$E$232=0,C2492=0,AND(C2492&gt;0,Paths!$E$232&gt;(C2492-1)*12,Paths!$E$232&lt;=C2492*12)),VLOOKUP(A2492,'Fleet register'!$A$7:$S$106,16,FALSE),0),"n.a."))</f>
        <v>0</v>
      </c>
      <c r="O2492" s="16">
        <f>IF(NOT(Paths!$C$232=1),0,IF(Paths!$P$232="Complete",N2492-IF(C2492=0,Paths!$F$232,0),"n.a."))</f>
        <v>0</v>
      </c>
      <c r="P2492" s="16">
        <f>IF(NOT(Paths!$C$232=1),0,IF(Paths!$P$232="Complete",O2492+L2492,"n.a."))</f>
        <v>0</v>
      </c>
      <c r="Q2492" s="16">
        <f>IF(NOT(Paths!$C$232=1),0,IF(Paths!$P$232="Complete",N2492*(1+'Operating costs'!$B$54)^-C2492,"n.a."))</f>
        <v>0</v>
      </c>
      <c r="R2492" s="16">
        <f>IF(NOT(Paths!$C$232=1),0,IF(Paths!$P$232="Complete",IF(AND(C2492=0,Paths!$E$232=0),I2492-J2492-K2492+VLOOKUP(A2492,'Fleet register'!$A$7:$S$106,15,FALSE)+VLOOKUP(A2492,'Fleet register'!$A$7:$S$106,16,FALSE),0),"n.a."))</f>
        <v>0</v>
      </c>
      <c r="S2492" s="1">
        <f>IF(NOT(Paths!$C$232=1),0,IF(Paths!$P$232="Complete",IF(C2492=0,0,Paths!$S$232*Paths!$R$232),"n.a."))</f>
        <v>0</v>
      </c>
      <c r="T2492" s="1">
        <f>IF(NOT(Paths!$C$232=1),0,IF(Paths!$P$232="Complete",IF(C2492=0,0,VLOOKUP(A2492,'Fleet register'!$A$7:$S$106,9,FALSE)*Paths!$R$232),"n.a."))</f>
        <v>0</v>
      </c>
    </row>
    <row r="2493" spans="1:20" ht="24" customHeight="1">
      <c r="A2493" s="1" t="str">
        <f>Paths!$A$233</f>
        <v>T057</v>
      </c>
      <c r="B2493" s="1">
        <f>Paths!$B$233</f>
        <v>2</v>
      </c>
      <c r="C2493" s="1">
        <v>0</v>
      </c>
      <c r="D2493" s="1">
        <v>233</v>
      </c>
      <c r="E2493" s="1">
        <f>IF(OR(Paths!$C$233=0,C2493=0),0,MAX(0,MIN(C2493*12,Paths!$E$233)-(C2493-1)*12))</f>
        <v>0</v>
      </c>
      <c r="F2493" s="1">
        <f>IF(OR(Paths!$C$233=0,C2493=0),0,12-E2493)</f>
        <v>0</v>
      </c>
      <c r="G2493" s="16">
        <f>IF(NOT(Paths!$C$233=1),0,IF(Paths!$P$233="Complete",E2493/12*(Paths!$J$233*(1+'Operating costs'!$B$51)^MAX(0,C2493-1)+Paths!$K$233*(1+'Operating costs'!$B$53)^MAX(0,C2493-1)),"n.a."))</f>
        <v>0</v>
      </c>
      <c r="H2493" s="16">
        <f>IF(NOT(Paths!$C$233=1),0,IF(Paths!$P$233="Complete",F2493/12*(Paths!$L$233*(1+IF(Paths!$D$233="EV",'Operating costs'!$B$52,'Operating costs'!$B$51))^MAX(0,C2493-1)+Paths!$M$233*(1+'Operating costs'!$B$53)^MAX(0,C2493-1)),"n.a."))</f>
        <v>0</v>
      </c>
      <c r="I2493" s="16">
        <f>IF(NOT(Paths!$C$233=1),0,IF(Paths!$P$233="Complete",IF(IF(Paths!$E$233=0,C2493=0,AND(C2493&gt;0,Paths!$E$233&gt;(C2493-1)*12,Paths!$E$233&lt;=C2493*12)),Paths!$G$233,0),"n.a."))</f>
        <v>0</v>
      </c>
      <c r="J2493" s="16">
        <f>IF(NOT(Paths!$C$233=1),0,IF(Paths!$P$233="Complete",IF(IF(Paths!$E$233=0,C2493=0,AND(C2493&gt;0,Paths!$E$233&gt;(C2493-1)*12,Paths!$E$233&lt;=C2493*12)),Paths!$H$233,0),"n.a."))</f>
        <v>0</v>
      </c>
      <c r="K2493" s="16">
        <f>IF(NOT(Paths!$C$233=1),0,IF(Paths!$P$233="Complete",IF(IF(Paths!$O$233=0,C2493=0,AND(C2493&gt;0,Paths!$O$233&gt;(C2493-1)*12,Paths!$O$233&lt;=C2493*12)),Paths!$N$233,0),"n.a."))</f>
        <v>0</v>
      </c>
      <c r="L2493" s="16">
        <f>IF(NOT(Paths!$C$233=1),0,IF(Paths!$P$233="Complete",IF(C2493=10,Paths!$I$233,0),"n.a."))</f>
        <v>0</v>
      </c>
      <c r="M2493" s="16">
        <f>IF(NOT(Paths!$C$233=1),0,IF(Paths!$P$233="Complete",IF(AND(Paths!$D$233="EV",Paths!$E$233&lt;120,Paths!$E$233+'Operating costs'!$B$65&gt;Paths!$E$233,Paths!$E$233+'Operating costs'!$B$65&lt;=120,IF(Paths!$E$233+'Operating costs'!$B$65=0,C2493=0,AND(C2493&gt;0,Paths!$E$233+'Operating costs'!$B$65&gt;(C2493-1)*12,Paths!$E$233+'Operating costs'!$B$65&lt;=C2493*12))),'Operating costs'!$B$64,0)+IF(AND('Operating costs'!$B$67&gt;0,'Operating costs'!$B$67&lt;=120,OR(Paths!$D$233="ICE",'Operating costs'!$B$67&lt;=Paths!$E$233),IF('Operating costs'!$B$67=0,C2493=0,AND(C2493&gt;0,'Operating costs'!$B$67&gt;(C2493-1)*12,'Operating costs'!$B$67&lt;=C2493*12))),'Operating costs'!$B$66,0),"n.a."))</f>
        <v>0</v>
      </c>
      <c r="N2493" s="16">
        <f>IF(NOT(Paths!$C$233=1),0,IF(Paths!$P$233="Complete",SUM(G2493:I2493)-J2493-K2493-L2493+M2493+IF(C2493=0,Paths!$F$233,0)+IF(IF(Paths!$E$233=0,C2493=0,AND(C2493&gt;0,Paths!$E$233&gt;(C2493-1)*12,Paths!$E$233&lt;=C2493*12)),VLOOKUP(A2493,'Fleet register'!$A$7:$S$106,16,FALSE),0),"n.a."))</f>
        <v>0</v>
      </c>
      <c r="O2493" s="16">
        <f>IF(NOT(Paths!$C$233=1),0,IF(Paths!$P$233="Complete",N2493-IF(C2493=0,Paths!$F$233,0),"n.a."))</f>
        <v>0</v>
      </c>
      <c r="P2493" s="16">
        <f>IF(NOT(Paths!$C$233=1),0,IF(Paths!$P$233="Complete",O2493+L2493,"n.a."))</f>
        <v>0</v>
      </c>
      <c r="Q2493" s="16">
        <f>IF(NOT(Paths!$C$233=1),0,IF(Paths!$P$233="Complete",N2493*(1+'Operating costs'!$B$54)^-C2493,"n.a."))</f>
        <v>0</v>
      </c>
      <c r="R2493" s="16">
        <f>IF(NOT(Paths!$C$233=1),0,IF(Paths!$P$233="Complete",IF(AND(C2493=0,Paths!$E$233=0),I2493-J2493-K2493+VLOOKUP(A2493,'Fleet register'!$A$7:$S$106,15,FALSE)+VLOOKUP(A2493,'Fleet register'!$A$7:$S$106,16,FALSE),0),"n.a."))</f>
        <v>0</v>
      </c>
      <c r="S2493" s="1">
        <f>IF(NOT(Paths!$C$233=1),0,IF(Paths!$P$233="Complete",IF(C2493=0,0,Paths!$S$233*Paths!$R$233),"n.a."))</f>
        <v>0</v>
      </c>
      <c r="T2493" s="1">
        <f>IF(NOT(Paths!$C$233=1),0,IF(Paths!$P$233="Complete",IF(C2493=0,0,VLOOKUP(A2493,'Fleet register'!$A$7:$S$106,9,FALSE)*Paths!$R$233),"n.a."))</f>
        <v>0</v>
      </c>
    </row>
    <row r="2494" spans="1:20" ht="24" customHeight="1">
      <c r="A2494" s="1" t="str">
        <f>Paths!$A$233</f>
        <v>T057</v>
      </c>
      <c r="B2494" s="1">
        <f>Paths!$B$233</f>
        <v>2</v>
      </c>
      <c r="C2494" s="1">
        <v>1</v>
      </c>
      <c r="D2494" s="1">
        <v>233</v>
      </c>
      <c r="E2494" s="1">
        <f>IF(OR(Paths!$C$233=0,C2494=0),0,MAX(0,MIN(C2494*12,Paths!$E$233)-(C2494-1)*12))</f>
        <v>0</v>
      </c>
      <c r="F2494" s="1">
        <f>IF(OR(Paths!$C$233=0,C2494=0),0,12-E2494)</f>
        <v>0</v>
      </c>
      <c r="G2494" s="16">
        <f>IF(NOT(Paths!$C$233=1),0,IF(Paths!$P$233="Complete",E2494/12*(Paths!$J$233*(1+'Operating costs'!$B$51)^MAX(0,C2494-1)+Paths!$K$233*(1+'Operating costs'!$B$53)^MAX(0,C2494-1)),"n.a."))</f>
        <v>0</v>
      </c>
      <c r="H2494" s="16">
        <f>IF(NOT(Paths!$C$233=1),0,IF(Paths!$P$233="Complete",F2494/12*(Paths!$L$233*(1+IF(Paths!$D$233="EV",'Operating costs'!$B$52,'Operating costs'!$B$51))^MAX(0,C2494-1)+Paths!$M$233*(1+'Operating costs'!$B$53)^MAX(0,C2494-1)),"n.a."))</f>
        <v>0</v>
      </c>
      <c r="I2494" s="16">
        <f>IF(NOT(Paths!$C$233=1),0,IF(Paths!$P$233="Complete",IF(IF(Paths!$E$233=0,C2494=0,AND(C2494&gt;0,Paths!$E$233&gt;(C2494-1)*12,Paths!$E$233&lt;=C2494*12)),Paths!$G$233,0),"n.a."))</f>
        <v>0</v>
      </c>
      <c r="J2494" s="16">
        <f>IF(NOT(Paths!$C$233=1),0,IF(Paths!$P$233="Complete",IF(IF(Paths!$E$233=0,C2494=0,AND(C2494&gt;0,Paths!$E$233&gt;(C2494-1)*12,Paths!$E$233&lt;=C2494*12)),Paths!$H$233,0),"n.a."))</f>
        <v>0</v>
      </c>
      <c r="K2494" s="16">
        <f>IF(NOT(Paths!$C$233=1),0,IF(Paths!$P$233="Complete",IF(IF(Paths!$O$233=0,C2494=0,AND(C2494&gt;0,Paths!$O$233&gt;(C2494-1)*12,Paths!$O$233&lt;=C2494*12)),Paths!$N$233,0),"n.a."))</f>
        <v>0</v>
      </c>
      <c r="L2494" s="16">
        <f>IF(NOT(Paths!$C$233=1),0,IF(Paths!$P$233="Complete",IF(C2494=10,Paths!$I$233,0),"n.a."))</f>
        <v>0</v>
      </c>
      <c r="M2494" s="16">
        <f>IF(NOT(Paths!$C$233=1),0,IF(Paths!$P$233="Complete",IF(AND(Paths!$D$233="EV",Paths!$E$233&lt;120,Paths!$E$233+'Operating costs'!$B$65&gt;Paths!$E$233,Paths!$E$233+'Operating costs'!$B$65&lt;=120,IF(Paths!$E$233+'Operating costs'!$B$65=0,C2494=0,AND(C2494&gt;0,Paths!$E$233+'Operating costs'!$B$65&gt;(C2494-1)*12,Paths!$E$233+'Operating costs'!$B$65&lt;=C2494*12))),'Operating costs'!$B$64,0)+IF(AND('Operating costs'!$B$67&gt;0,'Operating costs'!$B$67&lt;=120,OR(Paths!$D$233="ICE",'Operating costs'!$B$67&lt;=Paths!$E$233),IF('Operating costs'!$B$67=0,C2494=0,AND(C2494&gt;0,'Operating costs'!$B$67&gt;(C2494-1)*12,'Operating costs'!$B$67&lt;=C2494*12))),'Operating costs'!$B$66,0),"n.a."))</f>
        <v>0</v>
      </c>
      <c r="N2494" s="16">
        <f>IF(NOT(Paths!$C$233=1),0,IF(Paths!$P$233="Complete",SUM(G2494:I2494)-J2494-K2494-L2494+M2494+IF(C2494=0,Paths!$F$233,0)+IF(IF(Paths!$E$233=0,C2494=0,AND(C2494&gt;0,Paths!$E$233&gt;(C2494-1)*12,Paths!$E$233&lt;=C2494*12)),VLOOKUP(A2494,'Fleet register'!$A$7:$S$106,16,FALSE),0),"n.a."))</f>
        <v>0</v>
      </c>
      <c r="O2494" s="16">
        <f>IF(NOT(Paths!$C$233=1),0,IF(Paths!$P$233="Complete",N2494-IF(C2494=0,Paths!$F$233,0),"n.a."))</f>
        <v>0</v>
      </c>
      <c r="P2494" s="16">
        <f>IF(NOT(Paths!$C$233=1),0,IF(Paths!$P$233="Complete",O2494+L2494,"n.a."))</f>
        <v>0</v>
      </c>
      <c r="Q2494" s="16">
        <f>IF(NOT(Paths!$C$233=1),0,IF(Paths!$P$233="Complete",N2494*(1+'Operating costs'!$B$54)^-C2494,"n.a."))</f>
        <v>0</v>
      </c>
      <c r="R2494" s="16">
        <f>IF(NOT(Paths!$C$233=1),0,IF(Paths!$P$233="Complete",IF(AND(C2494=0,Paths!$E$233=0),I2494-J2494-K2494+VLOOKUP(A2494,'Fleet register'!$A$7:$S$106,15,FALSE)+VLOOKUP(A2494,'Fleet register'!$A$7:$S$106,16,FALSE),0),"n.a."))</f>
        <v>0</v>
      </c>
      <c r="S2494" s="1">
        <f>IF(NOT(Paths!$C$233=1),0,IF(Paths!$P$233="Complete",IF(C2494=0,0,Paths!$S$233*Paths!$R$233),"n.a."))</f>
        <v>0</v>
      </c>
      <c r="T2494" s="1">
        <f>IF(NOT(Paths!$C$233=1),0,IF(Paths!$P$233="Complete",IF(C2494=0,0,VLOOKUP(A2494,'Fleet register'!$A$7:$S$106,9,FALSE)*Paths!$R$233),"n.a."))</f>
        <v>0</v>
      </c>
    </row>
    <row r="2495" spans="1:20" ht="24" customHeight="1">
      <c r="A2495" s="1" t="str">
        <f>Paths!$A$233</f>
        <v>T057</v>
      </c>
      <c r="B2495" s="1">
        <f>Paths!$B$233</f>
        <v>2</v>
      </c>
      <c r="C2495" s="1">
        <v>2</v>
      </c>
      <c r="D2495" s="1">
        <v>233</v>
      </c>
      <c r="E2495" s="1">
        <f>IF(OR(Paths!$C$233=0,C2495=0),0,MAX(0,MIN(C2495*12,Paths!$E$233)-(C2495-1)*12))</f>
        <v>0</v>
      </c>
      <c r="F2495" s="1">
        <f>IF(OR(Paths!$C$233=0,C2495=0),0,12-E2495)</f>
        <v>0</v>
      </c>
      <c r="G2495" s="16">
        <f>IF(NOT(Paths!$C$233=1),0,IF(Paths!$P$233="Complete",E2495/12*(Paths!$J$233*(1+'Operating costs'!$B$51)^MAX(0,C2495-1)+Paths!$K$233*(1+'Operating costs'!$B$53)^MAX(0,C2495-1)),"n.a."))</f>
        <v>0</v>
      </c>
      <c r="H2495" s="16">
        <f>IF(NOT(Paths!$C$233=1),0,IF(Paths!$P$233="Complete",F2495/12*(Paths!$L$233*(1+IF(Paths!$D$233="EV",'Operating costs'!$B$52,'Operating costs'!$B$51))^MAX(0,C2495-1)+Paths!$M$233*(1+'Operating costs'!$B$53)^MAX(0,C2495-1)),"n.a."))</f>
        <v>0</v>
      </c>
      <c r="I2495" s="16">
        <f>IF(NOT(Paths!$C$233=1),0,IF(Paths!$P$233="Complete",IF(IF(Paths!$E$233=0,C2495=0,AND(C2495&gt;0,Paths!$E$233&gt;(C2495-1)*12,Paths!$E$233&lt;=C2495*12)),Paths!$G$233,0),"n.a."))</f>
        <v>0</v>
      </c>
      <c r="J2495" s="16">
        <f>IF(NOT(Paths!$C$233=1),0,IF(Paths!$P$233="Complete",IF(IF(Paths!$E$233=0,C2495=0,AND(C2495&gt;0,Paths!$E$233&gt;(C2495-1)*12,Paths!$E$233&lt;=C2495*12)),Paths!$H$233,0),"n.a."))</f>
        <v>0</v>
      </c>
      <c r="K2495" s="16">
        <f>IF(NOT(Paths!$C$233=1),0,IF(Paths!$P$233="Complete",IF(IF(Paths!$O$233=0,C2495=0,AND(C2495&gt;0,Paths!$O$233&gt;(C2495-1)*12,Paths!$O$233&lt;=C2495*12)),Paths!$N$233,0),"n.a."))</f>
        <v>0</v>
      </c>
      <c r="L2495" s="16">
        <f>IF(NOT(Paths!$C$233=1),0,IF(Paths!$P$233="Complete",IF(C2495=10,Paths!$I$233,0),"n.a."))</f>
        <v>0</v>
      </c>
      <c r="M2495" s="16">
        <f>IF(NOT(Paths!$C$233=1),0,IF(Paths!$P$233="Complete",IF(AND(Paths!$D$233="EV",Paths!$E$233&lt;120,Paths!$E$233+'Operating costs'!$B$65&gt;Paths!$E$233,Paths!$E$233+'Operating costs'!$B$65&lt;=120,IF(Paths!$E$233+'Operating costs'!$B$65=0,C2495=0,AND(C2495&gt;0,Paths!$E$233+'Operating costs'!$B$65&gt;(C2495-1)*12,Paths!$E$233+'Operating costs'!$B$65&lt;=C2495*12))),'Operating costs'!$B$64,0)+IF(AND('Operating costs'!$B$67&gt;0,'Operating costs'!$B$67&lt;=120,OR(Paths!$D$233="ICE",'Operating costs'!$B$67&lt;=Paths!$E$233),IF('Operating costs'!$B$67=0,C2495=0,AND(C2495&gt;0,'Operating costs'!$B$67&gt;(C2495-1)*12,'Operating costs'!$B$67&lt;=C2495*12))),'Operating costs'!$B$66,0),"n.a."))</f>
        <v>0</v>
      </c>
      <c r="N2495" s="16">
        <f>IF(NOT(Paths!$C$233=1),0,IF(Paths!$P$233="Complete",SUM(G2495:I2495)-J2495-K2495-L2495+M2495+IF(C2495=0,Paths!$F$233,0)+IF(IF(Paths!$E$233=0,C2495=0,AND(C2495&gt;0,Paths!$E$233&gt;(C2495-1)*12,Paths!$E$233&lt;=C2495*12)),VLOOKUP(A2495,'Fleet register'!$A$7:$S$106,16,FALSE),0),"n.a."))</f>
        <v>0</v>
      </c>
      <c r="O2495" s="16">
        <f>IF(NOT(Paths!$C$233=1),0,IF(Paths!$P$233="Complete",N2495-IF(C2495=0,Paths!$F$233,0),"n.a."))</f>
        <v>0</v>
      </c>
      <c r="P2495" s="16">
        <f>IF(NOT(Paths!$C$233=1),0,IF(Paths!$P$233="Complete",O2495+L2495,"n.a."))</f>
        <v>0</v>
      </c>
      <c r="Q2495" s="16">
        <f>IF(NOT(Paths!$C$233=1),0,IF(Paths!$P$233="Complete",N2495*(1+'Operating costs'!$B$54)^-C2495,"n.a."))</f>
        <v>0</v>
      </c>
      <c r="R2495" s="16">
        <f>IF(NOT(Paths!$C$233=1),0,IF(Paths!$P$233="Complete",IF(AND(C2495=0,Paths!$E$233=0),I2495-J2495-K2495+VLOOKUP(A2495,'Fleet register'!$A$7:$S$106,15,FALSE)+VLOOKUP(A2495,'Fleet register'!$A$7:$S$106,16,FALSE),0),"n.a."))</f>
        <v>0</v>
      </c>
      <c r="S2495" s="1">
        <f>IF(NOT(Paths!$C$233=1),0,IF(Paths!$P$233="Complete",IF(C2495=0,0,Paths!$S$233*Paths!$R$233),"n.a."))</f>
        <v>0</v>
      </c>
      <c r="T2495" s="1">
        <f>IF(NOT(Paths!$C$233=1),0,IF(Paths!$P$233="Complete",IF(C2495=0,0,VLOOKUP(A2495,'Fleet register'!$A$7:$S$106,9,FALSE)*Paths!$R$233),"n.a."))</f>
        <v>0</v>
      </c>
    </row>
    <row r="2496" spans="1:20" ht="24" customHeight="1">
      <c r="A2496" s="1" t="str">
        <f>Paths!$A$233</f>
        <v>T057</v>
      </c>
      <c r="B2496" s="1">
        <f>Paths!$B$233</f>
        <v>2</v>
      </c>
      <c r="C2496" s="1">
        <v>3</v>
      </c>
      <c r="D2496" s="1">
        <v>233</v>
      </c>
      <c r="E2496" s="1">
        <f>IF(OR(Paths!$C$233=0,C2496=0),0,MAX(0,MIN(C2496*12,Paths!$E$233)-(C2496-1)*12))</f>
        <v>0</v>
      </c>
      <c r="F2496" s="1">
        <f>IF(OR(Paths!$C$233=0,C2496=0),0,12-E2496)</f>
        <v>0</v>
      </c>
      <c r="G2496" s="16">
        <f>IF(NOT(Paths!$C$233=1),0,IF(Paths!$P$233="Complete",E2496/12*(Paths!$J$233*(1+'Operating costs'!$B$51)^MAX(0,C2496-1)+Paths!$K$233*(1+'Operating costs'!$B$53)^MAX(0,C2496-1)),"n.a."))</f>
        <v>0</v>
      </c>
      <c r="H2496" s="16">
        <f>IF(NOT(Paths!$C$233=1),0,IF(Paths!$P$233="Complete",F2496/12*(Paths!$L$233*(1+IF(Paths!$D$233="EV",'Operating costs'!$B$52,'Operating costs'!$B$51))^MAX(0,C2496-1)+Paths!$M$233*(1+'Operating costs'!$B$53)^MAX(0,C2496-1)),"n.a."))</f>
        <v>0</v>
      </c>
      <c r="I2496" s="16">
        <f>IF(NOT(Paths!$C$233=1),0,IF(Paths!$P$233="Complete",IF(IF(Paths!$E$233=0,C2496=0,AND(C2496&gt;0,Paths!$E$233&gt;(C2496-1)*12,Paths!$E$233&lt;=C2496*12)),Paths!$G$233,0),"n.a."))</f>
        <v>0</v>
      </c>
      <c r="J2496" s="16">
        <f>IF(NOT(Paths!$C$233=1),0,IF(Paths!$P$233="Complete",IF(IF(Paths!$E$233=0,C2496=0,AND(C2496&gt;0,Paths!$E$233&gt;(C2496-1)*12,Paths!$E$233&lt;=C2496*12)),Paths!$H$233,0),"n.a."))</f>
        <v>0</v>
      </c>
      <c r="K2496" s="16">
        <f>IF(NOT(Paths!$C$233=1),0,IF(Paths!$P$233="Complete",IF(IF(Paths!$O$233=0,C2496=0,AND(C2496&gt;0,Paths!$O$233&gt;(C2496-1)*12,Paths!$O$233&lt;=C2496*12)),Paths!$N$233,0),"n.a."))</f>
        <v>0</v>
      </c>
      <c r="L2496" s="16">
        <f>IF(NOT(Paths!$C$233=1),0,IF(Paths!$P$233="Complete",IF(C2496=10,Paths!$I$233,0),"n.a."))</f>
        <v>0</v>
      </c>
      <c r="M2496" s="16">
        <f>IF(NOT(Paths!$C$233=1),0,IF(Paths!$P$233="Complete",IF(AND(Paths!$D$233="EV",Paths!$E$233&lt;120,Paths!$E$233+'Operating costs'!$B$65&gt;Paths!$E$233,Paths!$E$233+'Operating costs'!$B$65&lt;=120,IF(Paths!$E$233+'Operating costs'!$B$65=0,C2496=0,AND(C2496&gt;0,Paths!$E$233+'Operating costs'!$B$65&gt;(C2496-1)*12,Paths!$E$233+'Operating costs'!$B$65&lt;=C2496*12))),'Operating costs'!$B$64,0)+IF(AND('Operating costs'!$B$67&gt;0,'Operating costs'!$B$67&lt;=120,OR(Paths!$D$233="ICE",'Operating costs'!$B$67&lt;=Paths!$E$233),IF('Operating costs'!$B$67=0,C2496=0,AND(C2496&gt;0,'Operating costs'!$B$67&gt;(C2496-1)*12,'Operating costs'!$B$67&lt;=C2496*12))),'Operating costs'!$B$66,0),"n.a."))</f>
        <v>0</v>
      </c>
      <c r="N2496" s="16">
        <f>IF(NOT(Paths!$C$233=1),0,IF(Paths!$P$233="Complete",SUM(G2496:I2496)-J2496-K2496-L2496+M2496+IF(C2496=0,Paths!$F$233,0)+IF(IF(Paths!$E$233=0,C2496=0,AND(C2496&gt;0,Paths!$E$233&gt;(C2496-1)*12,Paths!$E$233&lt;=C2496*12)),VLOOKUP(A2496,'Fleet register'!$A$7:$S$106,16,FALSE),0),"n.a."))</f>
        <v>0</v>
      </c>
      <c r="O2496" s="16">
        <f>IF(NOT(Paths!$C$233=1),0,IF(Paths!$P$233="Complete",N2496-IF(C2496=0,Paths!$F$233,0),"n.a."))</f>
        <v>0</v>
      </c>
      <c r="P2496" s="16">
        <f>IF(NOT(Paths!$C$233=1),0,IF(Paths!$P$233="Complete",O2496+L2496,"n.a."))</f>
        <v>0</v>
      </c>
      <c r="Q2496" s="16">
        <f>IF(NOT(Paths!$C$233=1),0,IF(Paths!$P$233="Complete",N2496*(1+'Operating costs'!$B$54)^-C2496,"n.a."))</f>
        <v>0</v>
      </c>
      <c r="R2496" s="16">
        <f>IF(NOT(Paths!$C$233=1),0,IF(Paths!$P$233="Complete",IF(AND(C2496=0,Paths!$E$233=0),I2496-J2496-K2496+VLOOKUP(A2496,'Fleet register'!$A$7:$S$106,15,FALSE)+VLOOKUP(A2496,'Fleet register'!$A$7:$S$106,16,FALSE),0),"n.a."))</f>
        <v>0</v>
      </c>
      <c r="S2496" s="1">
        <f>IF(NOT(Paths!$C$233=1),0,IF(Paths!$P$233="Complete",IF(C2496=0,0,Paths!$S$233*Paths!$R$233),"n.a."))</f>
        <v>0</v>
      </c>
      <c r="T2496" s="1">
        <f>IF(NOT(Paths!$C$233=1),0,IF(Paths!$P$233="Complete",IF(C2496=0,0,VLOOKUP(A2496,'Fleet register'!$A$7:$S$106,9,FALSE)*Paths!$R$233),"n.a."))</f>
        <v>0</v>
      </c>
    </row>
    <row r="2497" spans="1:20" ht="24" customHeight="1">
      <c r="A2497" s="1" t="str">
        <f>Paths!$A$233</f>
        <v>T057</v>
      </c>
      <c r="B2497" s="1">
        <f>Paths!$B$233</f>
        <v>2</v>
      </c>
      <c r="C2497" s="1">
        <v>4</v>
      </c>
      <c r="D2497" s="1">
        <v>233</v>
      </c>
      <c r="E2497" s="1">
        <f>IF(OR(Paths!$C$233=0,C2497=0),0,MAX(0,MIN(C2497*12,Paths!$E$233)-(C2497-1)*12))</f>
        <v>0</v>
      </c>
      <c r="F2497" s="1">
        <f>IF(OR(Paths!$C$233=0,C2497=0),0,12-E2497)</f>
        <v>0</v>
      </c>
      <c r="G2497" s="16">
        <f>IF(NOT(Paths!$C$233=1),0,IF(Paths!$P$233="Complete",E2497/12*(Paths!$J$233*(1+'Operating costs'!$B$51)^MAX(0,C2497-1)+Paths!$K$233*(1+'Operating costs'!$B$53)^MAX(0,C2497-1)),"n.a."))</f>
        <v>0</v>
      </c>
      <c r="H2497" s="16">
        <f>IF(NOT(Paths!$C$233=1),0,IF(Paths!$P$233="Complete",F2497/12*(Paths!$L$233*(1+IF(Paths!$D$233="EV",'Operating costs'!$B$52,'Operating costs'!$B$51))^MAX(0,C2497-1)+Paths!$M$233*(1+'Operating costs'!$B$53)^MAX(0,C2497-1)),"n.a."))</f>
        <v>0</v>
      </c>
      <c r="I2497" s="16">
        <f>IF(NOT(Paths!$C$233=1),0,IF(Paths!$P$233="Complete",IF(IF(Paths!$E$233=0,C2497=0,AND(C2497&gt;0,Paths!$E$233&gt;(C2497-1)*12,Paths!$E$233&lt;=C2497*12)),Paths!$G$233,0),"n.a."))</f>
        <v>0</v>
      </c>
      <c r="J2497" s="16">
        <f>IF(NOT(Paths!$C$233=1),0,IF(Paths!$P$233="Complete",IF(IF(Paths!$E$233=0,C2497=0,AND(C2497&gt;0,Paths!$E$233&gt;(C2497-1)*12,Paths!$E$233&lt;=C2497*12)),Paths!$H$233,0),"n.a."))</f>
        <v>0</v>
      </c>
      <c r="K2497" s="16">
        <f>IF(NOT(Paths!$C$233=1),0,IF(Paths!$P$233="Complete",IF(IF(Paths!$O$233=0,C2497=0,AND(C2497&gt;0,Paths!$O$233&gt;(C2497-1)*12,Paths!$O$233&lt;=C2497*12)),Paths!$N$233,0),"n.a."))</f>
        <v>0</v>
      </c>
      <c r="L2497" s="16">
        <f>IF(NOT(Paths!$C$233=1),0,IF(Paths!$P$233="Complete",IF(C2497=10,Paths!$I$233,0),"n.a."))</f>
        <v>0</v>
      </c>
      <c r="M2497" s="16">
        <f>IF(NOT(Paths!$C$233=1),0,IF(Paths!$P$233="Complete",IF(AND(Paths!$D$233="EV",Paths!$E$233&lt;120,Paths!$E$233+'Operating costs'!$B$65&gt;Paths!$E$233,Paths!$E$233+'Operating costs'!$B$65&lt;=120,IF(Paths!$E$233+'Operating costs'!$B$65=0,C2497=0,AND(C2497&gt;0,Paths!$E$233+'Operating costs'!$B$65&gt;(C2497-1)*12,Paths!$E$233+'Operating costs'!$B$65&lt;=C2497*12))),'Operating costs'!$B$64,0)+IF(AND('Operating costs'!$B$67&gt;0,'Operating costs'!$B$67&lt;=120,OR(Paths!$D$233="ICE",'Operating costs'!$B$67&lt;=Paths!$E$233),IF('Operating costs'!$B$67=0,C2497=0,AND(C2497&gt;0,'Operating costs'!$B$67&gt;(C2497-1)*12,'Operating costs'!$B$67&lt;=C2497*12))),'Operating costs'!$B$66,0),"n.a."))</f>
        <v>0</v>
      </c>
      <c r="N2497" s="16">
        <f>IF(NOT(Paths!$C$233=1),0,IF(Paths!$P$233="Complete",SUM(G2497:I2497)-J2497-K2497-L2497+M2497+IF(C2497=0,Paths!$F$233,0)+IF(IF(Paths!$E$233=0,C2497=0,AND(C2497&gt;0,Paths!$E$233&gt;(C2497-1)*12,Paths!$E$233&lt;=C2497*12)),VLOOKUP(A2497,'Fleet register'!$A$7:$S$106,16,FALSE),0),"n.a."))</f>
        <v>0</v>
      </c>
      <c r="O2497" s="16">
        <f>IF(NOT(Paths!$C$233=1),0,IF(Paths!$P$233="Complete",N2497-IF(C2497=0,Paths!$F$233,0),"n.a."))</f>
        <v>0</v>
      </c>
      <c r="P2497" s="16">
        <f>IF(NOT(Paths!$C$233=1),0,IF(Paths!$P$233="Complete",O2497+L2497,"n.a."))</f>
        <v>0</v>
      </c>
      <c r="Q2497" s="16">
        <f>IF(NOT(Paths!$C$233=1),0,IF(Paths!$P$233="Complete",N2497*(1+'Operating costs'!$B$54)^-C2497,"n.a."))</f>
        <v>0</v>
      </c>
      <c r="R2497" s="16">
        <f>IF(NOT(Paths!$C$233=1),0,IF(Paths!$P$233="Complete",IF(AND(C2497=0,Paths!$E$233=0),I2497-J2497-K2497+VLOOKUP(A2497,'Fleet register'!$A$7:$S$106,15,FALSE)+VLOOKUP(A2497,'Fleet register'!$A$7:$S$106,16,FALSE),0),"n.a."))</f>
        <v>0</v>
      </c>
      <c r="S2497" s="1">
        <f>IF(NOT(Paths!$C$233=1),0,IF(Paths!$P$233="Complete",IF(C2497=0,0,Paths!$S$233*Paths!$R$233),"n.a."))</f>
        <v>0</v>
      </c>
      <c r="T2497" s="1">
        <f>IF(NOT(Paths!$C$233=1),0,IF(Paths!$P$233="Complete",IF(C2497=0,0,VLOOKUP(A2497,'Fleet register'!$A$7:$S$106,9,FALSE)*Paths!$R$233),"n.a."))</f>
        <v>0</v>
      </c>
    </row>
    <row r="2498" spans="1:20" ht="24" customHeight="1">
      <c r="A2498" s="1" t="str">
        <f>Paths!$A$233</f>
        <v>T057</v>
      </c>
      <c r="B2498" s="1">
        <f>Paths!$B$233</f>
        <v>2</v>
      </c>
      <c r="C2498" s="1">
        <v>5</v>
      </c>
      <c r="D2498" s="1">
        <v>233</v>
      </c>
      <c r="E2498" s="1">
        <f>IF(OR(Paths!$C$233=0,C2498=0),0,MAX(0,MIN(C2498*12,Paths!$E$233)-(C2498-1)*12))</f>
        <v>0</v>
      </c>
      <c r="F2498" s="1">
        <f>IF(OR(Paths!$C$233=0,C2498=0),0,12-E2498)</f>
        <v>0</v>
      </c>
      <c r="G2498" s="16">
        <f>IF(NOT(Paths!$C$233=1),0,IF(Paths!$P$233="Complete",E2498/12*(Paths!$J$233*(1+'Operating costs'!$B$51)^MAX(0,C2498-1)+Paths!$K$233*(1+'Operating costs'!$B$53)^MAX(0,C2498-1)),"n.a."))</f>
        <v>0</v>
      </c>
      <c r="H2498" s="16">
        <f>IF(NOT(Paths!$C$233=1),0,IF(Paths!$P$233="Complete",F2498/12*(Paths!$L$233*(1+IF(Paths!$D$233="EV",'Operating costs'!$B$52,'Operating costs'!$B$51))^MAX(0,C2498-1)+Paths!$M$233*(1+'Operating costs'!$B$53)^MAX(0,C2498-1)),"n.a."))</f>
        <v>0</v>
      </c>
      <c r="I2498" s="16">
        <f>IF(NOT(Paths!$C$233=1),0,IF(Paths!$P$233="Complete",IF(IF(Paths!$E$233=0,C2498=0,AND(C2498&gt;0,Paths!$E$233&gt;(C2498-1)*12,Paths!$E$233&lt;=C2498*12)),Paths!$G$233,0),"n.a."))</f>
        <v>0</v>
      </c>
      <c r="J2498" s="16">
        <f>IF(NOT(Paths!$C$233=1),0,IF(Paths!$P$233="Complete",IF(IF(Paths!$E$233=0,C2498=0,AND(C2498&gt;0,Paths!$E$233&gt;(C2498-1)*12,Paths!$E$233&lt;=C2498*12)),Paths!$H$233,0),"n.a."))</f>
        <v>0</v>
      </c>
      <c r="K2498" s="16">
        <f>IF(NOT(Paths!$C$233=1),0,IF(Paths!$P$233="Complete",IF(IF(Paths!$O$233=0,C2498=0,AND(C2498&gt;0,Paths!$O$233&gt;(C2498-1)*12,Paths!$O$233&lt;=C2498*12)),Paths!$N$233,0),"n.a."))</f>
        <v>0</v>
      </c>
      <c r="L2498" s="16">
        <f>IF(NOT(Paths!$C$233=1),0,IF(Paths!$P$233="Complete",IF(C2498=10,Paths!$I$233,0),"n.a."))</f>
        <v>0</v>
      </c>
      <c r="M2498" s="16">
        <f>IF(NOT(Paths!$C$233=1),0,IF(Paths!$P$233="Complete",IF(AND(Paths!$D$233="EV",Paths!$E$233&lt;120,Paths!$E$233+'Operating costs'!$B$65&gt;Paths!$E$233,Paths!$E$233+'Operating costs'!$B$65&lt;=120,IF(Paths!$E$233+'Operating costs'!$B$65=0,C2498=0,AND(C2498&gt;0,Paths!$E$233+'Operating costs'!$B$65&gt;(C2498-1)*12,Paths!$E$233+'Operating costs'!$B$65&lt;=C2498*12))),'Operating costs'!$B$64,0)+IF(AND('Operating costs'!$B$67&gt;0,'Operating costs'!$B$67&lt;=120,OR(Paths!$D$233="ICE",'Operating costs'!$B$67&lt;=Paths!$E$233),IF('Operating costs'!$B$67=0,C2498=0,AND(C2498&gt;0,'Operating costs'!$B$67&gt;(C2498-1)*12,'Operating costs'!$B$67&lt;=C2498*12))),'Operating costs'!$B$66,0),"n.a."))</f>
        <v>0</v>
      </c>
      <c r="N2498" s="16">
        <f>IF(NOT(Paths!$C$233=1),0,IF(Paths!$P$233="Complete",SUM(G2498:I2498)-J2498-K2498-L2498+M2498+IF(C2498=0,Paths!$F$233,0)+IF(IF(Paths!$E$233=0,C2498=0,AND(C2498&gt;0,Paths!$E$233&gt;(C2498-1)*12,Paths!$E$233&lt;=C2498*12)),VLOOKUP(A2498,'Fleet register'!$A$7:$S$106,16,FALSE),0),"n.a."))</f>
        <v>0</v>
      </c>
      <c r="O2498" s="16">
        <f>IF(NOT(Paths!$C$233=1),0,IF(Paths!$P$233="Complete",N2498-IF(C2498=0,Paths!$F$233,0),"n.a."))</f>
        <v>0</v>
      </c>
      <c r="P2498" s="16">
        <f>IF(NOT(Paths!$C$233=1),0,IF(Paths!$P$233="Complete",O2498+L2498,"n.a."))</f>
        <v>0</v>
      </c>
      <c r="Q2498" s="16">
        <f>IF(NOT(Paths!$C$233=1),0,IF(Paths!$P$233="Complete",N2498*(1+'Operating costs'!$B$54)^-C2498,"n.a."))</f>
        <v>0</v>
      </c>
      <c r="R2498" s="16">
        <f>IF(NOT(Paths!$C$233=1),0,IF(Paths!$P$233="Complete",IF(AND(C2498=0,Paths!$E$233=0),I2498-J2498-K2498+VLOOKUP(A2498,'Fleet register'!$A$7:$S$106,15,FALSE)+VLOOKUP(A2498,'Fleet register'!$A$7:$S$106,16,FALSE),0),"n.a."))</f>
        <v>0</v>
      </c>
      <c r="S2498" s="1">
        <f>IF(NOT(Paths!$C$233=1),0,IF(Paths!$P$233="Complete",IF(C2498=0,0,Paths!$S$233*Paths!$R$233),"n.a."))</f>
        <v>0</v>
      </c>
      <c r="T2498" s="1">
        <f>IF(NOT(Paths!$C$233=1),0,IF(Paths!$P$233="Complete",IF(C2498=0,0,VLOOKUP(A2498,'Fleet register'!$A$7:$S$106,9,FALSE)*Paths!$R$233),"n.a."))</f>
        <v>0</v>
      </c>
    </row>
    <row r="2499" spans="1:20" ht="24" customHeight="1">
      <c r="A2499" s="1" t="str">
        <f>Paths!$A$233</f>
        <v>T057</v>
      </c>
      <c r="B2499" s="1">
        <f>Paths!$B$233</f>
        <v>2</v>
      </c>
      <c r="C2499" s="1">
        <v>6</v>
      </c>
      <c r="D2499" s="1">
        <v>233</v>
      </c>
      <c r="E2499" s="1">
        <f>IF(OR(Paths!$C$233=0,C2499=0),0,MAX(0,MIN(C2499*12,Paths!$E$233)-(C2499-1)*12))</f>
        <v>0</v>
      </c>
      <c r="F2499" s="1">
        <f>IF(OR(Paths!$C$233=0,C2499=0),0,12-E2499)</f>
        <v>0</v>
      </c>
      <c r="G2499" s="16">
        <f>IF(NOT(Paths!$C$233=1),0,IF(Paths!$P$233="Complete",E2499/12*(Paths!$J$233*(1+'Operating costs'!$B$51)^MAX(0,C2499-1)+Paths!$K$233*(1+'Operating costs'!$B$53)^MAX(0,C2499-1)),"n.a."))</f>
        <v>0</v>
      </c>
      <c r="H2499" s="16">
        <f>IF(NOT(Paths!$C$233=1),0,IF(Paths!$P$233="Complete",F2499/12*(Paths!$L$233*(1+IF(Paths!$D$233="EV",'Operating costs'!$B$52,'Operating costs'!$B$51))^MAX(0,C2499-1)+Paths!$M$233*(1+'Operating costs'!$B$53)^MAX(0,C2499-1)),"n.a."))</f>
        <v>0</v>
      </c>
      <c r="I2499" s="16">
        <f>IF(NOT(Paths!$C$233=1),0,IF(Paths!$P$233="Complete",IF(IF(Paths!$E$233=0,C2499=0,AND(C2499&gt;0,Paths!$E$233&gt;(C2499-1)*12,Paths!$E$233&lt;=C2499*12)),Paths!$G$233,0),"n.a."))</f>
        <v>0</v>
      </c>
      <c r="J2499" s="16">
        <f>IF(NOT(Paths!$C$233=1),0,IF(Paths!$P$233="Complete",IF(IF(Paths!$E$233=0,C2499=0,AND(C2499&gt;0,Paths!$E$233&gt;(C2499-1)*12,Paths!$E$233&lt;=C2499*12)),Paths!$H$233,0),"n.a."))</f>
        <v>0</v>
      </c>
      <c r="K2499" s="16">
        <f>IF(NOT(Paths!$C$233=1),0,IF(Paths!$P$233="Complete",IF(IF(Paths!$O$233=0,C2499=0,AND(C2499&gt;0,Paths!$O$233&gt;(C2499-1)*12,Paths!$O$233&lt;=C2499*12)),Paths!$N$233,0),"n.a."))</f>
        <v>0</v>
      </c>
      <c r="L2499" s="16">
        <f>IF(NOT(Paths!$C$233=1),0,IF(Paths!$P$233="Complete",IF(C2499=10,Paths!$I$233,0),"n.a."))</f>
        <v>0</v>
      </c>
      <c r="M2499" s="16">
        <f>IF(NOT(Paths!$C$233=1),0,IF(Paths!$P$233="Complete",IF(AND(Paths!$D$233="EV",Paths!$E$233&lt;120,Paths!$E$233+'Operating costs'!$B$65&gt;Paths!$E$233,Paths!$E$233+'Operating costs'!$B$65&lt;=120,IF(Paths!$E$233+'Operating costs'!$B$65=0,C2499=0,AND(C2499&gt;0,Paths!$E$233+'Operating costs'!$B$65&gt;(C2499-1)*12,Paths!$E$233+'Operating costs'!$B$65&lt;=C2499*12))),'Operating costs'!$B$64,0)+IF(AND('Operating costs'!$B$67&gt;0,'Operating costs'!$B$67&lt;=120,OR(Paths!$D$233="ICE",'Operating costs'!$B$67&lt;=Paths!$E$233),IF('Operating costs'!$B$67=0,C2499=0,AND(C2499&gt;0,'Operating costs'!$B$67&gt;(C2499-1)*12,'Operating costs'!$B$67&lt;=C2499*12))),'Operating costs'!$B$66,0),"n.a."))</f>
        <v>0</v>
      </c>
      <c r="N2499" s="16">
        <f>IF(NOT(Paths!$C$233=1),0,IF(Paths!$P$233="Complete",SUM(G2499:I2499)-J2499-K2499-L2499+M2499+IF(C2499=0,Paths!$F$233,0)+IF(IF(Paths!$E$233=0,C2499=0,AND(C2499&gt;0,Paths!$E$233&gt;(C2499-1)*12,Paths!$E$233&lt;=C2499*12)),VLOOKUP(A2499,'Fleet register'!$A$7:$S$106,16,FALSE),0),"n.a."))</f>
        <v>0</v>
      </c>
      <c r="O2499" s="16">
        <f>IF(NOT(Paths!$C$233=1),0,IF(Paths!$P$233="Complete",N2499-IF(C2499=0,Paths!$F$233,0),"n.a."))</f>
        <v>0</v>
      </c>
      <c r="P2499" s="16">
        <f>IF(NOT(Paths!$C$233=1),0,IF(Paths!$P$233="Complete",O2499+L2499,"n.a."))</f>
        <v>0</v>
      </c>
      <c r="Q2499" s="16">
        <f>IF(NOT(Paths!$C$233=1),0,IF(Paths!$P$233="Complete",N2499*(1+'Operating costs'!$B$54)^-C2499,"n.a."))</f>
        <v>0</v>
      </c>
      <c r="R2499" s="16">
        <f>IF(NOT(Paths!$C$233=1),0,IF(Paths!$P$233="Complete",IF(AND(C2499=0,Paths!$E$233=0),I2499-J2499-K2499+VLOOKUP(A2499,'Fleet register'!$A$7:$S$106,15,FALSE)+VLOOKUP(A2499,'Fleet register'!$A$7:$S$106,16,FALSE),0),"n.a."))</f>
        <v>0</v>
      </c>
      <c r="S2499" s="1">
        <f>IF(NOT(Paths!$C$233=1),0,IF(Paths!$P$233="Complete",IF(C2499=0,0,Paths!$S$233*Paths!$R$233),"n.a."))</f>
        <v>0</v>
      </c>
      <c r="T2499" s="1">
        <f>IF(NOT(Paths!$C$233=1),0,IF(Paths!$P$233="Complete",IF(C2499=0,0,VLOOKUP(A2499,'Fleet register'!$A$7:$S$106,9,FALSE)*Paths!$R$233),"n.a."))</f>
        <v>0</v>
      </c>
    </row>
    <row r="2500" spans="1:20" ht="24" customHeight="1">
      <c r="A2500" s="1" t="str">
        <f>Paths!$A$233</f>
        <v>T057</v>
      </c>
      <c r="B2500" s="1">
        <f>Paths!$B$233</f>
        <v>2</v>
      </c>
      <c r="C2500" s="1">
        <v>7</v>
      </c>
      <c r="D2500" s="1">
        <v>233</v>
      </c>
      <c r="E2500" s="1">
        <f>IF(OR(Paths!$C$233=0,C2500=0),0,MAX(0,MIN(C2500*12,Paths!$E$233)-(C2500-1)*12))</f>
        <v>0</v>
      </c>
      <c r="F2500" s="1">
        <f>IF(OR(Paths!$C$233=0,C2500=0),0,12-E2500)</f>
        <v>0</v>
      </c>
      <c r="G2500" s="16">
        <f>IF(NOT(Paths!$C$233=1),0,IF(Paths!$P$233="Complete",E2500/12*(Paths!$J$233*(1+'Operating costs'!$B$51)^MAX(0,C2500-1)+Paths!$K$233*(1+'Operating costs'!$B$53)^MAX(0,C2500-1)),"n.a."))</f>
        <v>0</v>
      </c>
      <c r="H2500" s="16">
        <f>IF(NOT(Paths!$C$233=1),0,IF(Paths!$P$233="Complete",F2500/12*(Paths!$L$233*(1+IF(Paths!$D$233="EV",'Operating costs'!$B$52,'Operating costs'!$B$51))^MAX(0,C2500-1)+Paths!$M$233*(1+'Operating costs'!$B$53)^MAX(0,C2500-1)),"n.a."))</f>
        <v>0</v>
      </c>
      <c r="I2500" s="16">
        <f>IF(NOT(Paths!$C$233=1),0,IF(Paths!$P$233="Complete",IF(IF(Paths!$E$233=0,C2500=0,AND(C2500&gt;0,Paths!$E$233&gt;(C2500-1)*12,Paths!$E$233&lt;=C2500*12)),Paths!$G$233,0),"n.a."))</f>
        <v>0</v>
      </c>
      <c r="J2500" s="16">
        <f>IF(NOT(Paths!$C$233=1),0,IF(Paths!$P$233="Complete",IF(IF(Paths!$E$233=0,C2500=0,AND(C2500&gt;0,Paths!$E$233&gt;(C2500-1)*12,Paths!$E$233&lt;=C2500*12)),Paths!$H$233,0),"n.a."))</f>
        <v>0</v>
      </c>
      <c r="K2500" s="16">
        <f>IF(NOT(Paths!$C$233=1),0,IF(Paths!$P$233="Complete",IF(IF(Paths!$O$233=0,C2500=0,AND(C2500&gt;0,Paths!$O$233&gt;(C2500-1)*12,Paths!$O$233&lt;=C2500*12)),Paths!$N$233,0),"n.a."))</f>
        <v>0</v>
      </c>
      <c r="L2500" s="16">
        <f>IF(NOT(Paths!$C$233=1),0,IF(Paths!$P$233="Complete",IF(C2500=10,Paths!$I$233,0),"n.a."))</f>
        <v>0</v>
      </c>
      <c r="M2500" s="16">
        <f>IF(NOT(Paths!$C$233=1),0,IF(Paths!$P$233="Complete",IF(AND(Paths!$D$233="EV",Paths!$E$233&lt;120,Paths!$E$233+'Operating costs'!$B$65&gt;Paths!$E$233,Paths!$E$233+'Operating costs'!$B$65&lt;=120,IF(Paths!$E$233+'Operating costs'!$B$65=0,C2500=0,AND(C2500&gt;0,Paths!$E$233+'Operating costs'!$B$65&gt;(C2500-1)*12,Paths!$E$233+'Operating costs'!$B$65&lt;=C2500*12))),'Operating costs'!$B$64,0)+IF(AND('Operating costs'!$B$67&gt;0,'Operating costs'!$B$67&lt;=120,OR(Paths!$D$233="ICE",'Operating costs'!$B$67&lt;=Paths!$E$233),IF('Operating costs'!$B$67=0,C2500=0,AND(C2500&gt;0,'Operating costs'!$B$67&gt;(C2500-1)*12,'Operating costs'!$B$67&lt;=C2500*12))),'Operating costs'!$B$66,0),"n.a."))</f>
        <v>0</v>
      </c>
      <c r="N2500" s="16">
        <f>IF(NOT(Paths!$C$233=1),0,IF(Paths!$P$233="Complete",SUM(G2500:I2500)-J2500-K2500-L2500+M2500+IF(C2500=0,Paths!$F$233,0)+IF(IF(Paths!$E$233=0,C2500=0,AND(C2500&gt;0,Paths!$E$233&gt;(C2500-1)*12,Paths!$E$233&lt;=C2500*12)),VLOOKUP(A2500,'Fleet register'!$A$7:$S$106,16,FALSE),0),"n.a."))</f>
        <v>0</v>
      </c>
      <c r="O2500" s="16">
        <f>IF(NOT(Paths!$C$233=1),0,IF(Paths!$P$233="Complete",N2500-IF(C2500=0,Paths!$F$233,0),"n.a."))</f>
        <v>0</v>
      </c>
      <c r="P2500" s="16">
        <f>IF(NOT(Paths!$C$233=1),0,IF(Paths!$P$233="Complete",O2500+L2500,"n.a."))</f>
        <v>0</v>
      </c>
      <c r="Q2500" s="16">
        <f>IF(NOT(Paths!$C$233=1),0,IF(Paths!$P$233="Complete",N2500*(1+'Operating costs'!$B$54)^-C2500,"n.a."))</f>
        <v>0</v>
      </c>
      <c r="R2500" s="16">
        <f>IF(NOT(Paths!$C$233=1),0,IF(Paths!$P$233="Complete",IF(AND(C2500=0,Paths!$E$233=0),I2500-J2500-K2500+VLOOKUP(A2500,'Fleet register'!$A$7:$S$106,15,FALSE)+VLOOKUP(A2500,'Fleet register'!$A$7:$S$106,16,FALSE),0),"n.a."))</f>
        <v>0</v>
      </c>
      <c r="S2500" s="1">
        <f>IF(NOT(Paths!$C$233=1),0,IF(Paths!$P$233="Complete",IF(C2500=0,0,Paths!$S$233*Paths!$R$233),"n.a."))</f>
        <v>0</v>
      </c>
      <c r="T2500" s="1">
        <f>IF(NOT(Paths!$C$233=1),0,IF(Paths!$P$233="Complete",IF(C2500=0,0,VLOOKUP(A2500,'Fleet register'!$A$7:$S$106,9,FALSE)*Paths!$R$233),"n.a."))</f>
        <v>0</v>
      </c>
    </row>
    <row r="2501" spans="1:20" ht="24" customHeight="1">
      <c r="A2501" s="1" t="str">
        <f>Paths!$A$233</f>
        <v>T057</v>
      </c>
      <c r="B2501" s="1">
        <f>Paths!$B$233</f>
        <v>2</v>
      </c>
      <c r="C2501" s="1">
        <v>8</v>
      </c>
      <c r="D2501" s="1">
        <v>233</v>
      </c>
      <c r="E2501" s="1">
        <f>IF(OR(Paths!$C$233=0,C2501=0),0,MAX(0,MIN(C2501*12,Paths!$E$233)-(C2501-1)*12))</f>
        <v>0</v>
      </c>
      <c r="F2501" s="1">
        <f>IF(OR(Paths!$C$233=0,C2501=0),0,12-E2501)</f>
        <v>0</v>
      </c>
      <c r="G2501" s="16">
        <f>IF(NOT(Paths!$C$233=1),0,IF(Paths!$P$233="Complete",E2501/12*(Paths!$J$233*(1+'Operating costs'!$B$51)^MAX(0,C2501-1)+Paths!$K$233*(1+'Operating costs'!$B$53)^MAX(0,C2501-1)),"n.a."))</f>
        <v>0</v>
      </c>
      <c r="H2501" s="16">
        <f>IF(NOT(Paths!$C$233=1),0,IF(Paths!$P$233="Complete",F2501/12*(Paths!$L$233*(1+IF(Paths!$D$233="EV",'Operating costs'!$B$52,'Operating costs'!$B$51))^MAX(0,C2501-1)+Paths!$M$233*(1+'Operating costs'!$B$53)^MAX(0,C2501-1)),"n.a."))</f>
        <v>0</v>
      </c>
      <c r="I2501" s="16">
        <f>IF(NOT(Paths!$C$233=1),0,IF(Paths!$P$233="Complete",IF(IF(Paths!$E$233=0,C2501=0,AND(C2501&gt;0,Paths!$E$233&gt;(C2501-1)*12,Paths!$E$233&lt;=C2501*12)),Paths!$G$233,0),"n.a."))</f>
        <v>0</v>
      </c>
      <c r="J2501" s="16">
        <f>IF(NOT(Paths!$C$233=1),0,IF(Paths!$P$233="Complete",IF(IF(Paths!$E$233=0,C2501=0,AND(C2501&gt;0,Paths!$E$233&gt;(C2501-1)*12,Paths!$E$233&lt;=C2501*12)),Paths!$H$233,0),"n.a."))</f>
        <v>0</v>
      </c>
      <c r="K2501" s="16">
        <f>IF(NOT(Paths!$C$233=1),0,IF(Paths!$P$233="Complete",IF(IF(Paths!$O$233=0,C2501=0,AND(C2501&gt;0,Paths!$O$233&gt;(C2501-1)*12,Paths!$O$233&lt;=C2501*12)),Paths!$N$233,0),"n.a."))</f>
        <v>0</v>
      </c>
      <c r="L2501" s="16">
        <f>IF(NOT(Paths!$C$233=1),0,IF(Paths!$P$233="Complete",IF(C2501=10,Paths!$I$233,0),"n.a."))</f>
        <v>0</v>
      </c>
      <c r="M2501" s="16">
        <f>IF(NOT(Paths!$C$233=1),0,IF(Paths!$P$233="Complete",IF(AND(Paths!$D$233="EV",Paths!$E$233&lt;120,Paths!$E$233+'Operating costs'!$B$65&gt;Paths!$E$233,Paths!$E$233+'Operating costs'!$B$65&lt;=120,IF(Paths!$E$233+'Operating costs'!$B$65=0,C2501=0,AND(C2501&gt;0,Paths!$E$233+'Operating costs'!$B$65&gt;(C2501-1)*12,Paths!$E$233+'Operating costs'!$B$65&lt;=C2501*12))),'Operating costs'!$B$64,0)+IF(AND('Operating costs'!$B$67&gt;0,'Operating costs'!$B$67&lt;=120,OR(Paths!$D$233="ICE",'Operating costs'!$B$67&lt;=Paths!$E$233),IF('Operating costs'!$B$67=0,C2501=0,AND(C2501&gt;0,'Operating costs'!$B$67&gt;(C2501-1)*12,'Operating costs'!$B$67&lt;=C2501*12))),'Operating costs'!$B$66,0),"n.a."))</f>
        <v>0</v>
      </c>
      <c r="N2501" s="16">
        <f>IF(NOT(Paths!$C$233=1),0,IF(Paths!$P$233="Complete",SUM(G2501:I2501)-J2501-K2501-L2501+M2501+IF(C2501=0,Paths!$F$233,0)+IF(IF(Paths!$E$233=0,C2501=0,AND(C2501&gt;0,Paths!$E$233&gt;(C2501-1)*12,Paths!$E$233&lt;=C2501*12)),VLOOKUP(A2501,'Fleet register'!$A$7:$S$106,16,FALSE),0),"n.a."))</f>
        <v>0</v>
      </c>
      <c r="O2501" s="16">
        <f>IF(NOT(Paths!$C$233=1),0,IF(Paths!$P$233="Complete",N2501-IF(C2501=0,Paths!$F$233,0),"n.a."))</f>
        <v>0</v>
      </c>
      <c r="P2501" s="16">
        <f>IF(NOT(Paths!$C$233=1),0,IF(Paths!$P$233="Complete",O2501+L2501,"n.a."))</f>
        <v>0</v>
      </c>
      <c r="Q2501" s="16">
        <f>IF(NOT(Paths!$C$233=1),0,IF(Paths!$P$233="Complete",N2501*(1+'Operating costs'!$B$54)^-C2501,"n.a."))</f>
        <v>0</v>
      </c>
      <c r="R2501" s="16">
        <f>IF(NOT(Paths!$C$233=1),0,IF(Paths!$P$233="Complete",IF(AND(C2501=0,Paths!$E$233=0),I2501-J2501-K2501+VLOOKUP(A2501,'Fleet register'!$A$7:$S$106,15,FALSE)+VLOOKUP(A2501,'Fleet register'!$A$7:$S$106,16,FALSE),0),"n.a."))</f>
        <v>0</v>
      </c>
      <c r="S2501" s="1">
        <f>IF(NOT(Paths!$C$233=1),0,IF(Paths!$P$233="Complete",IF(C2501=0,0,Paths!$S$233*Paths!$R$233),"n.a."))</f>
        <v>0</v>
      </c>
      <c r="T2501" s="1">
        <f>IF(NOT(Paths!$C$233=1),0,IF(Paths!$P$233="Complete",IF(C2501=0,0,VLOOKUP(A2501,'Fleet register'!$A$7:$S$106,9,FALSE)*Paths!$R$233),"n.a."))</f>
        <v>0</v>
      </c>
    </row>
    <row r="2502" spans="1:20" ht="24" customHeight="1">
      <c r="A2502" s="1" t="str">
        <f>Paths!$A$233</f>
        <v>T057</v>
      </c>
      <c r="B2502" s="1">
        <f>Paths!$B$233</f>
        <v>2</v>
      </c>
      <c r="C2502" s="1">
        <v>9</v>
      </c>
      <c r="D2502" s="1">
        <v>233</v>
      </c>
      <c r="E2502" s="1">
        <f>IF(OR(Paths!$C$233=0,C2502=0),0,MAX(0,MIN(C2502*12,Paths!$E$233)-(C2502-1)*12))</f>
        <v>0</v>
      </c>
      <c r="F2502" s="1">
        <f>IF(OR(Paths!$C$233=0,C2502=0),0,12-E2502)</f>
        <v>0</v>
      </c>
      <c r="G2502" s="16">
        <f>IF(NOT(Paths!$C$233=1),0,IF(Paths!$P$233="Complete",E2502/12*(Paths!$J$233*(1+'Operating costs'!$B$51)^MAX(0,C2502-1)+Paths!$K$233*(1+'Operating costs'!$B$53)^MAX(0,C2502-1)),"n.a."))</f>
        <v>0</v>
      </c>
      <c r="H2502" s="16">
        <f>IF(NOT(Paths!$C$233=1),0,IF(Paths!$P$233="Complete",F2502/12*(Paths!$L$233*(1+IF(Paths!$D$233="EV",'Operating costs'!$B$52,'Operating costs'!$B$51))^MAX(0,C2502-1)+Paths!$M$233*(1+'Operating costs'!$B$53)^MAX(0,C2502-1)),"n.a."))</f>
        <v>0</v>
      </c>
      <c r="I2502" s="16">
        <f>IF(NOT(Paths!$C$233=1),0,IF(Paths!$P$233="Complete",IF(IF(Paths!$E$233=0,C2502=0,AND(C2502&gt;0,Paths!$E$233&gt;(C2502-1)*12,Paths!$E$233&lt;=C2502*12)),Paths!$G$233,0),"n.a."))</f>
        <v>0</v>
      </c>
      <c r="J2502" s="16">
        <f>IF(NOT(Paths!$C$233=1),0,IF(Paths!$P$233="Complete",IF(IF(Paths!$E$233=0,C2502=0,AND(C2502&gt;0,Paths!$E$233&gt;(C2502-1)*12,Paths!$E$233&lt;=C2502*12)),Paths!$H$233,0),"n.a."))</f>
        <v>0</v>
      </c>
      <c r="K2502" s="16">
        <f>IF(NOT(Paths!$C$233=1),0,IF(Paths!$P$233="Complete",IF(IF(Paths!$O$233=0,C2502=0,AND(C2502&gt;0,Paths!$O$233&gt;(C2502-1)*12,Paths!$O$233&lt;=C2502*12)),Paths!$N$233,0),"n.a."))</f>
        <v>0</v>
      </c>
      <c r="L2502" s="16">
        <f>IF(NOT(Paths!$C$233=1),0,IF(Paths!$P$233="Complete",IF(C2502=10,Paths!$I$233,0),"n.a."))</f>
        <v>0</v>
      </c>
      <c r="M2502" s="16">
        <f>IF(NOT(Paths!$C$233=1),0,IF(Paths!$P$233="Complete",IF(AND(Paths!$D$233="EV",Paths!$E$233&lt;120,Paths!$E$233+'Operating costs'!$B$65&gt;Paths!$E$233,Paths!$E$233+'Operating costs'!$B$65&lt;=120,IF(Paths!$E$233+'Operating costs'!$B$65=0,C2502=0,AND(C2502&gt;0,Paths!$E$233+'Operating costs'!$B$65&gt;(C2502-1)*12,Paths!$E$233+'Operating costs'!$B$65&lt;=C2502*12))),'Operating costs'!$B$64,0)+IF(AND('Operating costs'!$B$67&gt;0,'Operating costs'!$B$67&lt;=120,OR(Paths!$D$233="ICE",'Operating costs'!$B$67&lt;=Paths!$E$233),IF('Operating costs'!$B$67=0,C2502=0,AND(C2502&gt;0,'Operating costs'!$B$67&gt;(C2502-1)*12,'Operating costs'!$B$67&lt;=C2502*12))),'Operating costs'!$B$66,0),"n.a."))</f>
        <v>0</v>
      </c>
      <c r="N2502" s="16">
        <f>IF(NOT(Paths!$C$233=1),0,IF(Paths!$P$233="Complete",SUM(G2502:I2502)-J2502-K2502-L2502+M2502+IF(C2502=0,Paths!$F$233,0)+IF(IF(Paths!$E$233=0,C2502=0,AND(C2502&gt;0,Paths!$E$233&gt;(C2502-1)*12,Paths!$E$233&lt;=C2502*12)),VLOOKUP(A2502,'Fleet register'!$A$7:$S$106,16,FALSE),0),"n.a."))</f>
        <v>0</v>
      </c>
      <c r="O2502" s="16">
        <f>IF(NOT(Paths!$C$233=1),0,IF(Paths!$P$233="Complete",N2502-IF(C2502=0,Paths!$F$233,0),"n.a."))</f>
        <v>0</v>
      </c>
      <c r="P2502" s="16">
        <f>IF(NOT(Paths!$C$233=1),0,IF(Paths!$P$233="Complete",O2502+L2502,"n.a."))</f>
        <v>0</v>
      </c>
      <c r="Q2502" s="16">
        <f>IF(NOT(Paths!$C$233=1),0,IF(Paths!$P$233="Complete",N2502*(1+'Operating costs'!$B$54)^-C2502,"n.a."))</f>
        <v>0</v>
      </c>
      <c r="R2502" s="16">
        <f>IF(NOT(Paths!$C$233=1),0,IF(Paths!$P$233="Complete",IF(AND(C2502=0,Paths!$E$233=0),I2502-J2502-K2502+VLOOKUP(A2502,'Fleet register'!$A$7:$S$106,15,FALSE)+VLOOKUP(A2502,'Fleet register'!$A$7:$S$106,16,FALSE),0),"n.a."))</f>
        <v>0</v>
      </c>
      <c r="S2502" s="1">
        <f>IF(NOT(Paths!$C$233=1),0,IF(Paths!$P$233="Complete",IF(C2502=0,0,Paths!$S$233*Paths!$R$233),"n.a."))</f>
        <v>0</v>
      </c>
      <c r="T2502" s="1">
        <f>IF(NOT(Paths!$C$233=1),0,IF(Paths!$P$233="Complete",IF(C2502=0,0,VLOOKUP(A2502,'Fleet register'!$A$7:$S$106,9,FALSE)*Paths!$R$233),"n.a."))</f>
        <v>0</v>
      </c>
    </row>
    <row r="2503" spans="1:20" ht="24" customHeight="1">
      <c r="A2503" s="1" t="str">
        <f>Paths!$A$233</f>
        <v>T057</v>
      </c>
      <c r="B2503" s="1">
        <f>Paths!$B$233</f>
        <v>2</v>
      </c>
      <c r="C2503" s="1">
        <v>10</v>
      </c>
      <c r="D2503" s="1">
        <v>233</v>
      </c>
      <c r="E2503" s="1">
        <f>IF(OR(Paths!$C$233=0,C2503=0),0,MAX(0,MIN(C2503*12,Paths!$E$233)-(C2503-1)*12))</f>
        <v>0</v>
      </c>
      <c r="F2503" s="1">
        <f>IF(OR(Paths!$C$233=0,C2503=0),0,12-E2503)</f>
        <v>0</v>
      </c>
      <c r="G2503" s="16">
        <f>IF(NOT(Paths!$C$233=1),0,IF(Paths!$P$233="Complete",E2503/12*(Paths!$J$233*(1+'Operating costs'!$B$51)^MAX(0,C2503-1)+Paths!$K$233*(1+'Operating costs'!$B$53)^MAX(0,C2503-1)),"n.a."))</f>
        <v>0</v>
      </c>
      <c r="H2503" s="16">
        <f>IF(NOT(Paths!$C$233=1),0,IF(Paths!$P$233="Complete",F2503/12*(Paths!$L$233*(1+IF(Paths!$D$233="EV",'Operating costs'!$B$52,'Operating costs'!$B$51))^MAX(0,C2503-1)+Paths!$M$233*(1+'Operating costs'!$B$53)^MAX(0,C2503-1)),"n.a."))</f>
        <v>0</v>
      </c>
      <c r="I2503" s="16">
        <f>IF(NOT(Paths!$C$233=1),0,IF(Paths!$P$233="Complete",IF(IF(Paths!$E$233=0,C2503=0,AND(C2503&gt;0,Paths!$E$233&gt;(C2503-1)*12,Paths!$E$233&lt;=C2503*12)),Paths!$G$233,0),"n.a."))</f>
        <v>0</v>
      </c>
      <c r="J2503" s="16">
        <f>IF(NOT(Paths!$C$233=1),0,IF(Paths!$P$233="Complete",IF(IF(Paths!$E$233=0,C2503=0,AND(C2503&gt;0,Paths!$E$233&gt;(C2503-1)*12,Paths!$E$233&lt;=C2503*12)),Paths!$H$233,0),"n.a."))</f>
        <v>0</v>
      </c>
      <c r="K2503" s="16">
        <f>IF(NOT(Paths!$C$233=1),0,IF(Paths!$P$233="Complete",IF(IF(Paths!$O$233=0,C2503=0,AND(C2503&gt;0,Paths!$O$233&gt;(C2503-1)*12,Paths!$O$233&lt;=C2503*12)),Paths!$N$233,0),"n.a."))</f>
        <v>0</v>
      </c>
      <c r="L2503" s="16">
        <f>IF(NOT(Paths!$C$233=1),0,IF(Paths!$P$233="Complete",IF(C2503=10,Paths!$I$233,0),"n.a."))</f>
        <v>0</v>
      </c>
      <c r="M2503" s="16">
        <f>IF(NOT(Paths!$C$233=1),0,IF(Paths!$P$233="Complete",IF(AND(Paths!$D$233="EV",Paths!$E$233&lt;120,Paths!$E$233+'Operating costs'!$B$65&gt;Paths!$E$233,Paths!$E$233+'Operating costs'!$B$65&lt;=120,IF(Paths!$E$233+'Operating costs'!$B$65=0,C2503=0,AND(C2503&gt;0,Paths!$E$233+'Operating costs'!$B$65&gt;(C2503-1)*12,Paths!$E$233+'Operating costs'!$B$65&lt;=C2503*12))),'Operating costs'!$B$64,0)+IF(AND('Operating costs'!$B$67&gt;0,'Operating costs'!$B$67&lt;=120,OR(Paths!$D$233="ICE",'Operating costs'!$B$67&lt;=Paths!$E$233),IF('Operating costs'!$B$67=0,C2503=0,AND(C2503&gt;0,'Operating costs'!$B$67&gt;(C2503-1)*12,'Operating costs'!$B$67&lt;=C2503*12))),'Operating costs'!$B$66,0),"n.a."))</f>
        <v>0</v>
      </c>
      <c r="N2503" s="16">
        <f>IF(NOT(Paths!$C$233=1),0,IF(Paths!$P$233="Complete",SUM(G2503:I2503)-J2503-K2503-L2503+M2503+IF(C2503=0,Paths!$F$233,0)+IF(IF(Paths!$E$233=0,C2503=0,AND(C2503&gt;0,Paths!$E$233&gt;(C2503-1)*12,Paths!$E$233&lt;=C2503*12)),VLOOKUP(A2503,'Fleet register'!$A$7:$S$106,16,FALSE),0),"n.a."))</f>
        <v>0</v>
      </c>
      <c r="O2503" s="16">
        <f>IF(NOT(Paths!$C$233=1),0,IF(Paths!$P$233="Complete",N2503-IF(C2503=0,Paths!$F$233,0),"n.a."))</f>
        <v>0</v>
      </c>
      <c r="P2503" s="16">
        <f>IF(NOT(Paths!$C$233=1),0,IF(Paths!$P$233="Complete",O2503+L2503,"n.a."))</f>
        <v>0</v>
      </c>
      <c r="Q2503" s="16">
        <f>IF(NOT(Paths!$C$233=1),0,IF(Paths!$P$233="Complete",N2503*(1+'Operating costs'!$B$54)^-C2503,"n.a."))</f>
        <v>0</v>
      </c>
      <c r="R2503" s="16">
        <f>IF(NOT(Paths!$C$233=1),0,IF(Paths!$P$233="Complete",IF(AND(C2503=0,Paths!$E$233=0),I2503-J2503-K2503+VLOOKUP(A2503,'Fleet register'!$A$7:$S$106,15,FALSE)+VLOOKUP(A2503,'Fleet register'!$A$7:$S$106,16,FALSE),0),"n.a."))</f>
        <v>0</v>
      </c>
      <c r="S2503" s="1">
        <f>IF(NOT(Paths!$C$233=1),0,IF(Paths!$P$233="Complete",IF(C2503=0,0,Paths!$S$233*Paths!$R$233),"n.a."))</f>
        <v>0</v>
      </c>
      <c r="T2503" s="1">
        <f>IF(NOT(Paths!$C$233=1),0,IF(Paths!$P$233="Complete",IF(C2503=0,0,VLOOKUP(A2503,'Fleet register'!$A$7:$S$106,9,FALSE)*Paths!$R$233),"n.a."))</f>
        <v>0</v>
      </c>
    </row>
    <row r="2504" spans="1:20" ht="24" customHeight="1">
      <c r="A2504" s="1" t="str">
        <f>Paths!$A$234</f>
        <v>T057</v>
      </c>
      <c r="B2504" s="1">
        <f>Paths!$B$234</f>
        <v>3</v>
      </c>
      <c r="C2504" s="1">
        <v>0</v>
      </c>
      <c r="D2504" s="1">
        <v>234</v>
      </c>
      <c r="E2504" s="1">
        <f>IF(OR(Paths!$C$234=0,C2504=0),0,MAX(0,MIN(C2504*12,Paths!$E$234)-(C2504-1)*12))</f>
        <v>0</v>
      </c>
      <c r="F2504" s="1">
        <f>IF(OR(Paths!$C$234=0,C2504=0),0,12-E2504)</f>
        <v>0</v>
      </c>
      <c r="G2504" s="16">
        <f>IF(NOT(Paths!$C$234=1),0,IF(Paths!$P$234="Complete",E2504/12*(Paths!$J$234*(1+'Operating costs'!$B$51)^MAX(0,C2504-1)+Paths!$K$234*(1+'Operating costs'!$B$53)^MAX(0,C2504-1)),"n.a."))</f>
        <v>0</v>
      </c>
      <c r="H2504" s="16">
        <f>IF(NOT(Paths!$C$234=1),0,IF(Paths!$P$234="Complete",F2504/12*(Paths!$L$234*(1+IF(Paths!$D$234="EV",'Operating costs'!$B$52,'Operating costs'!$B$51))^MAX(0,C2504-1)+Paths!$M$234*(1+'Operating costs'!$B$53)^MAX(0,C2504-1)),"n.a."))</f>
        <v>0</v>
      </c>
      <c r="I2504" s="16">
        <f>IF(NOT(Paths!$C$234=1),0,IF(Paths!$P$234="Complete",IF(IF(Paths!$E$234=0,C2504=0,AND(C2504&gt;0,Paths!$E$234&gt;(C2504-1)*12,Paths!$E$234&lt;=C2504*12)),Paths!$G$234,0),"n.a."))</f>
        <v>0</v>
      </c>
      <c r="J2504" s="16">
        <f>IF(NOT(Paths!$C$234=1),0,IF(Paths!$P$234="Complete",IF(IF(Paths!$E$234=0,C2504=0,AND(C2504&gt;0,Paths!$E$234&gt;(C2504-1)*12,Paths!$E$234&lt;=C2504*12)),Paths!$H$234,0),"n.a."))</f>
        <v>0</v>
      </c>
      <c r="K2504" s="16">
        <f>IF(NOT(Paths!$C$234=1),0,IF(Paths!$P$234="Complete",IF(IF(Paths!$O$234=0,C2504=0,AND(C2504&gt;0,Paths!$O$234&gt;(C2504-1)*12,Paths!$O$234&lt;=C2504*12)),Paths!$N$234,0),"n.a."))</f>
        <v>0</v>
      </c>
      <c r="L2504" s="16">
        <f>IF(NOT(Paths!$C$234=1),0,IF(Paths!$P$234="Complete",IF(C2504=10,Paths!$I$234,0),"n.a."))</f>
        <v>0</v>
      </c>
      <c r="M2504" s="16">
        <f>IF(NOT(Paths!$C$234=1),0,IF(Paths!$P$234="Complete",IF(AND(Paths!$D$234="EV",Paths!$E$234&lt;120,Paths!$E$234+'Operating costs'!$B$65&gt;Paths!$E$234,Paths!$E$234+'Operating costs'!$B$65&lt;=120,IF(Paths!$E$234+'Operating costs'!$B$65=0,C2504=0,AND(C2504&gt;0,Paths!$E$234+'Operating costs'!$B$65&gt;(C2504-1)*12,Paths!$E$234+'Operating costs'!$B$65&lt;=C2504*12))),'Operating costs'!$B$64,0)+IF(AND('Operating costs'!$B$67&gt;0,'Operating costs'!$B$67&lt;=120,OR(Paths!$D$234="ICE",'Operating costs'!$B$67&lt;=Paths!$E$234),IF('Operating costs'!$B$67=0,C2504=0,AND(C2504&gt;0,'Operating costs'!$B$67&gt;(C2504-1)*12,'Operating costs'!$B$67&lt;=C2504*12))),'Operating costs'!$B$66,0),"n.a."))</f>
        <v>0</v>
      </c>
      <c r="N2504" s="16">
        <f>IF(NOT(Paths!$C$234=1),0,IF(Paths!$P$234="Complete",SUM(G2504:I2504)-J2504-K2504-L2504+M2504+IF(C2504=0,Paths!$F$234,0)+IF(IF(Paths!$E$234=0,C2504=0,AND(C2504&gt;0,Paths!$E$234&gt;(C2504-1)*12,Paths!$E$234&lt;=C2504*12)),VLOOKUP(A2504,'Fleet register'!$A$7:$S$106,16,FALSE),0),"n.a."))</f>
        <v>0</v>
      </c>
      <c r="O2504" s="16">
        <f>IF(NOT(Paths!$C$234=1),0,IF(Paths!$P$234="Complete",N2504-IF(C2504=0,Paths!$F$234,0),"n.a."))</f>
        <v>0</v>
      </c>
      <c r="P2504" s="16">
        <f>IF(NOT(Paths!$C$234=1),0,IF(Paths!$P$234="Complete",O2504+L2504,"n.a."))</f>
        <v>0</v>
      </c>
      <c r="Q2504" s="16">
        <f>IF(NOT(Paths!$C$234=1),0,IF(Paths!$P$234="Complete",N2504*(1+'Operating costs'!$B$54)^-C2504,"n.a."))</f>
        <v>0</v>
      </c>
      <c r="R2504" s="16">
        <f>IF(NOT(Paths!$C$234=1),0,IF(Paths!$P$234="Complete",IF(AND(C2504=0,Paths!$E$234=0),I2504-J2504-K2504+VLOOKUP(A2504,'Fleet register'!$A$7:$S$106,15,FALSE)+VLOOKUP(A2504,'Fleet register'!$A$7:$S$106,16,FALSE),0),"n.a."))</f>
        <v>0</v>
      </c>
      <c r="S2504" s="1">
        <f>IF(NOT(Paths!$C$234=1),0,IF(Paths!$P$234="Complete",IF(C2504=0,0,Paths!$S$234*Paths!$R$234),"n.a."))</f>
        <v>0</v>
      </c>
      <c r="T2504" s="1">
        <f>IF(NOT(Paths!$C$234=1),0,IF(Paths!$P$234="Complete",IF(C2504=0,0,VLOOKUP(A2504,'Fleet register'!$A$7:$S$106,9,FALSE)*Paths!$R$234),"n.a."))</f>
        <v>0</v>
      </c>
    </row>
    <row r="2505" spans="1:20" ht="24" customHeight="1">
      <c r="A2505" s="1" t="str">
        <f>Paths!$A$234</f>
        <v>T057</v>
      </c>
      <c r="B2505" s="1">
        <f>Paths!$B$234</f>
        <v>3</v>
      </c>
      <c r="C2505" s="1">
        <v>1</v>
      </c>
      <c r="D2505" s="1">
        <v>234</v>
      </c>
      <c r="E2505" s="1">
        <f>IF(OR(Paths!$C$234=0,C2505=0),0,MAX(0,MIN(C2505*12,Paths!$E$234)-(C2505-1)*12))</f>
        <v>0</v>
      </c>
      <c r="F2505" s="1">
        <f>IF(OR(Paths!$C$234=0,C2505=0),0,12-E2505)</f>
        <v>0</v>
      </c>
      <c r="G2505" s="16">
        <f>IF(NOT(Paths!$C$234=1),0,IF(Paths!$P$234="Complete",E2505/12*(Paths!$J$234*(1+'Operating costs'!$B$51)^MAX(0,C2505-1)+Paths!$K$234*(1+'Operating costs'!$B$53)^MAX(0,C2505-1)),"n.a."))</f>
        <v>0</v>
      </c>
      <c r="H2505" s="16">
        <f>IF(NOT(Paths!$C$234=1),0,IF(Paths!$P$234="Complete",F2505/12*(Paths!$L$234*(1+IF(Paths!$D$234="EV",'Operating costs'!$B$52,'Operating costs'!$B$51))^MAX(0,C2505-1)+Paths!$M$234*(1+'Operating costs'!$B$53)^MAX(0,C2505-1)),"n.a."))</f>
        <v>0</v>
      </c>
      <c r="I2505" s="16">
        <f>IF(NOT(Paths!$C$234=1),0,IF(Paths!$P$234="Complete",IF(IF(Paths!$E$234=0,C2505=0,AND(C2505&gt;0,Paths!$E$234&gt;(C2505-1)*12,Paths!$E$234&lt;=C2505*12)),Paths!$G$234,0),"n.a."))</f>
        <v>0</v>
      </c>
      <c r="J2505" s="16">
        <f>IF(NOT(Paths!$C$234=1),0,IF(Paths!$P$234="Complete",IF(IF(Paths!$E$234=0,C2505=0,AND(C2505&gt;0,Paths!$E$234&gt;(C2505-1)*12,Paths!$E$234&lt;=C2505*12)),Paths!$H$234,0),"n.a."))</f>
        <v>0</v>
      </c>
      <c r="K2505" s="16">
        <f>IF(NOT(Paths!$C$234=1),0,IF(Paths!$P$234="Complete",IF(IF(Paths!$O$234=0,C2505=0,AND(C2505&gt;0,Paths!$O$234&gt;(C2505-1)*12,Paths!$O$234&lt;=C2505*12)),Paths!$N$234,0),"n.a."))</f>
        <v>0</v>
      </c>
      <c r="L2505" s="16">
        <f>IF(NOT(Paths!$C$234=1),0,IF(Paths!$P$234="Complete",IF(C2505=10,Paths!$I$234,0),"n.a."))</f>
        <v>0</v>
      </c>
      <c r="M2505" s="16">
        <f>IF(NOT(Paths!$C$234=1),0,IF(Paths!$P$234="Complete",IF(AND(Paths!$D$234="EV",Paths!$E$234&lt;120,Paths!$E$234+'Operating costs'!$B$65&gt;Paths!$E$234,Paths!$E$234+'Operating costs'!$B$65&lt;=120,IF(Paths!$E$234+'Operating costs'!$B$65=0,C2505=0,AND(C2505&gt;0,Paths!$E$234+'Operating costs'!$B$65&gt;(C2505-1)*12,Paths!$E$234+'Operating costs'!$B$65&lt;=C2505*12))),'Operating costs'!$B$64,0)+IF(AND('Operating costs'!$B$67&gt;0,'Operating costs'!$B$67&lt;=120,OR(Paths!$D$234="ICE",'Operating costs'!$B$67&lt;=Paths!$E$234),IF('Operating costs'!$B$67=0,C2505=0,AND(C2505&gt;0,'Operating costs'!$B$67&gt;(C2505-1)*12,'Operating costs'!$B$67&lt;=C2505*12))),'Operating costs'!$B$66,0),"n.a."))</f>
        <v>0</v>
      </c>
      <c r="N2505" s="16">
        <f>IF(NOT(Paths!$C$234=1),0,IF(Paths!$P$234="Complete",SUM(G2505:I2505)-J2505-K2505-L2505+M2505+IF(C2505=0,Paths!$F$234,0)+IF(IF(Paths!$E$234=0,C2505=0,AND(C2505&gt;0,Paths!$E$234&gt;(C2505-1)*12,Paths!$E$234&lt;=C2505*12)),VLOOKUP(A2505,'Fleet register'!$A$7:$S$106,16,FALSE),0),"n.a."))</f>
        <v>0</v>
      </c>
      <c r="O2505" s="16">
        <f>IF(NOT(Paths!$C$234=1),0,IF(Paths!$P$234="Complete",N2505-IF(C2505=0,Paths!$F$234,0),"n.a."))</f>
        <v>0</v>
      </c>
      <c r="P2505" s="16">
        <f>IF(NOT(Paths!$C$234=1),0,IF(Paths!$P$234="Complete",O2505+L2505,"n.a."))</f>
        <v>0</v>
      </c>
      <c r="Q2505" s="16">
        <f>IF(NOT(Paths!$C$234=1),0,IF(Paths!$P$234="Complete",N2505*(1+'Operating costs'!$B$54)^-C2505,"n.a."))</f>
        <v>0</v>
      </c>
      <c r="R2505" s="16">
        <f>IF(NOT(Paths!$C$234=1),0,IF(Paths!$P$234="Complete",IF(AND(C2505=0,Paths!$E$234=0),I2505-J2505-K2505+VLOOKUP(A2505,'Fleet register'!$A$7:$S$106,15,FALSE)+VLOOKUP(A2505,'Fleet register'!$A$7:$S$106,16,FALSE),0),"n.a."))</f>
        <v>0</v>
      </c>
      <c r="S2505" s="1">
        <f>IF(NOT(Paths!$C$234=1),0,IF(Paths!$P$234="Complete",IF(C2505=0,0,Paths!$S$234*Paths!$R$234),"n.a."))</f>
        <v>0</v>
      </c>
      <c r="T2505" s="1">
        <f>IF(NOT(Paths!$C$234=1),0,IF(Paths!$P$234="Complete",IF(C2505=0,0,VLOOKUP(A2505,'Fleet register'!$A$7:$S$106,9,FALSE)*Paths!$R$234),"n.a."))</f>
        <v>0</v>
      </c>
    </row>
    <row r="2506" spans="1:20" ht="24" customHeight="1">
      <c r="A2506" s="1" t="str">
        <f>Paths!$A$234</f>
        <v>T057</v>
      </c>
      <c r="B2506" s="1">
        <f>Paths!$B$234</f>
        <v>3</v>
      </c>
      <c r="C2506" s="1">
        <v>2</v>
      </c>
      <c r="D2506" s="1">
        <v>234</v>
      </c>
      <c r="E2506" s="1">
        <f>IF(OR(Paths!$C$234=0,C2506=0),0,MAX(0,MIN(C2506*12,Paths!$E$234)-(C2506-1)*12))</f>
        <v>0</v>
      </c>
      <c r="F2506" s="1">
        <f>IF(OR(Paths!$C$234=0,C2506=0),0,12-E2506)</f>
        <v>0</v>
      </c>
      <c r="G2506" s="16">
        <f>IF(NOT(Paths!$C$234=1),0,IF(Paths!$P$234="Complete",E2506/12*(Paths!$J$234*(1+'Operating costs'!$B$51)^MAX(0,C2506-1)+Paths!$K$234*(1+'Operating costs'!$B$53)^MAX(0,C2506-1)),"n.a."))</f>
        <v>0</v>
      </c>
      <c r="H2506" s="16">
        <f>IF(NOT(Paths!$C$234=1),0,IF(Paths!$P$234="Complete",F2506/12*(Paths!$L$234*(1+IF(Paths!$D$234="EV",'Operating costs'!$B$52,'Operating costs'!$B$51))^MAX(0,C2506-1)+Paths!$M$234*(1+'Operating costs'!$B$53)^MAX(0,C2506-1)),"n.a."))</f>
        <v>0</v>
      </c>
      <c r="I2506" s="16">
        <f>IF(NOT(Paths!$C$234=1),0,IF(Paths!$P$234="Complete",IF(IF(Paths!$E$234=0,C2506=0,AND(C2506&gt;0,Paths!$E$234&gt;(C2506-1)*12,Paths!$E$234&lt;=C2506*12)),Paths!$G$234,0),"n.a."))</f>
        <v>0</v>
      </c>
      <c r="J2506" s="16">
        <f>IF(NOT(Paths!$C$234=1),0,IF(Paths!$P$234="Complete",IF(IF(Paths!$E$234=0,C2506=0,AND(C2506&gt;0,Paths!$E$234&gt;(C2506-1)*12,Paths!$E$234&lt;=C2506*12)),Paths!$H$234,0),"n.a."))</f>
        <v>0</v>
      </c>
      <c r="K2506" s="16">
        <f>IF(NOT(Paths!$C$234=1),0,IF(Paths!$P$234="Complete",IF(IF(Paths!$O$234=0,C2506=0,AND(C2506&gt;0,Paths!$O$234&gt;(C2506-1)*12,Paths!$O$234&lt;=C2506*12)),Paths!$N$234,0),"n.a."))</f>
        <v>0</v>
      </c>
      <c r="L2506" s="16">
        <f>IF(NOT(Paths!$C$234=1),0,IF(Paths!$P$234="Complete",IF(C2506=10,Paths!$I$234,0),"n.a."))</f>
        <v>0</v>
      </c>
      <c r="M2506" s="16">
        <f>IF(NOT(Paths!$C$234=1),0,IF(Paths!$P$234="Complete",IF(AND(Paths!$D$234="EV",Paths!$E$234&lt;120,Paths!$E$234+'Operating costs'!$B$65&gt;Paths!$E$234,Paths!$E$234+'Operating costs'!$B$65&lt;=120,IF(Paths!$E$234+'Operating costs'!$B$65=0,C2506=0,AND(C2506&gt;0,Paths!$E$234+'Operating costs'!$B$65&gt;(C2506-1)*12,Paths!$E$234+'Operating costs'!$B$65&lt;=C2506*12))),'Operating costs'!$B$64,0)+IF(AND('Operating costs'!$B$67&gt;0,'Operating costs'!$B$67&lt;=120,OR(Paths!$D$234="ICE",'Operating costs'!$B$67&lt;=Paths!$E$234),IF('Operating costs'!$B$67=0,C2506=0,AND(C2506&gt;0,'Operating costs'!$B$67&gt;(C2506-1)*12,'Operating costs'!$B$67&lt;=C2506*12))),'Operating costs'!$B$66,0),"n.a."))</f>
        <v>0</v>
      </c>
      <c r="N2506" s="16">
        <f>IF(NOT(Paths!$C$234=1),0,IF(Paths!$P$234="Complete",SUM(G2506:I2506)-J2506-K2506-L2506+M2506+IF(C2506=0,Paths!$F$234,0)+IF(IF(Paths!$E$234=0,C2506=0,AND(C2506&gt;0,Paths!$E$234&gt;(C2506-1)*12,Paths!$E$234&lt;=C2506*12)),VLOOKUP(A2506,'Fleet register'!$A$7:$S$106,16,FALSE),0),"n.a."))</f>
        <v>0</v>
      </c>
      <c r="O2506" s="16">
        <f>IF(NOT(Paths!$C$234=1),0,IF(Paths!$P$234="Complete",N2506-IF(C2506=0,Paths!$F$234,0),"n.a."))</f>
        <v>0</v>
      </c>
      <c r="P2506" s="16">
        <f>IF(NOT(Paths!$C$234=1),0,IF(Paths!$P$234="Complete",O2506+L2506,"n.a."))</f>
        <v>0</v>
      </c>
      <c r="Q2506" s="16">
        <f>IF(NOT(Paths!$C$234=1),0,IF(Paths!$P$234="Complete",N2506*(1+'Operating costs'!$B$54)^-C2506,"n.a."))</f>
        <v>0</v>
      </c>
      <c r="R2506" s="16">
        <f>IF(NOT(Paths!$C$234=1),0,IF(Paths!$P$234="Complete",IF(AND(C2506=0,Paths!$E$234=0),I2506-J2506-K2506+VLOOKUP(A2506,'Fleet register'!$A$7:$S$106,15,FALSE)+VLOOKUP(A2506,'Fleet register'!$A$7:$S$106,16,FALSE),0),"n.a."))</f>
        <v>0</v>
      </c>
      <c r="S2506" s="1">
        <f>IF(NOT(Paths!$C$234=1),0,IF(Paths!$P$234="Complete",IF(C2506=0,0,Paths!$S$234*Paths!$R$234),"n.a."))</f>
        <v>0</v>
      </c>
      <c r="T2506" s="1">
        <f>IF(NOT(Paths!$C$234=1),0,IF(Paths!$P$234="Complete",IF(C2506=0,0,VLOOKUP(A2506,'Fleet register'!$A$7:$S$106,9,FALSE)*Paths!$R$234),"n.a."))</f>
        <v>0</v>
      </c>
    </row>
    <row r="2507" spans="1:20" ht="24" customHeight="1">
      <c r="A2507" s="1" t="str">
        <f>Paths!$A$234</f>
        <v>T057</v>
      </c>
      <c r="B2507" s="1">
        <f>Paths!$B$234</f>
        <v>3</v>
      </c>
      <c r="C2507" s="1">
        <v>3</v>
      </c>
      <c r="D2507" s="1">
        <v>234</v>
      </c>
      <c r="E2507" s="1">
        <f>IF(OR(Paths!$C$234=0,C2507=0),0,MAX(0,MIN(C2507*12,Paths!$E$234)-(C2507-1)*12))</f>
        <v>0</v>
      </c>
      <c r="F2507" s="1">
        <f>IF(OR(Paths!$C$234=0,C2507=0),0,12-E2507)</f>
        <v>0</v>
      </c>
      <c r="G2507" s="16">
        <f>IF(NOT(Paths!$C$234=1),0,IF(Paths!$P$234="Complete",E2507/12*(Paths!$J$234*(1+'Operating costs'!$B$51)^MAX(0,C2507-1)+Paths!$K$234*(1+'Operating costs'!$B$53)^MAX(0,C2507-1)),"n.a."))</f>
        <v>0</v>
      </c>
      <c r="H2507" s="16">
        <f>IF(NOT(Paths!$C$234=1),0,IF(Paths!$P$234="Complete",F2507/12*(Paths!$L$234*(1+IF(Paths!$D$234="EV",'Operating costs'!$B$52,'Operating costs'!$B$51))^MAX(0,C2507-1)+Paths!$M$234*(1+'Operating costs'!$B$53)^MAX(0,C2507-1)),"n.a."))</f>
        <v>0</v>
      </c>
      <c r="I2507" s="16">
        <f>IF(NOT(Paths!$C$234=1),0,IF(Paths!$P$234="Complete",IF(IF(Paths!$E$234=0,C2507=0,AND(C2507&gt;0,Paths!$E$234&gt;(C2507-1)*12,Paths!$E$234&lt;=C2507*12)),Paths!$G$234,0),"n.a."))</f>
        <v>0</v>
      </c>
      <c r="J2507" s="16">
        <f>IF(NOT(Paths!$C$234=1),0,IF(Paths!$P$234="Complete",IF(IF(Paths!$E$234=0,C2507=0,AND(C2507&gt;0,Paths!$E$234&gt;(C2507-1)*12,Paths!$E$234&lt;=C2507*12)),Paths!$H$234,0),"n.a."))</f>
        <v>0</v>
      </c>
      <c r="K2507" s="16">
        <f>IF(NOT(Paths!$C$234=1),0,IF(Paths!$P$234="Complete",IF(IF(Paths!$O$234=0,C2507=0,AND(C2507&gt;0,Paths!$O$234&gt;(C2507-1)*12,Paths!$O$234&lt;=C2507*12)),Paths!$N$234,0),"n.a."))</f>
        <v>0</v>
      </c>
      <c r="L2507" s="16">
        <f>IF(NOT(Paths!$C$234=1),0,IF(Paths!$P$234="Complete",IF(C2507=10,Paths!$I$234,0),"n.a."))</f>
        <v>0</v>
      </c>
      <c r="M2507" s="16">
        <f>IF(NOT(Paths!$C$234=1),0,IF(Paths!$P$234="Complete",IF(AND(Paths!$D$234="EV",Paths!$E$234&lt;120,Paths!$E$234+'Operating costs'!$B$65&gt;Paths!$E$234,Paths!$E$234+'Operating costs'!$B$65&lt;=120,IF(Paths!$E$234+'Operating costs'!$B$65=0,C2507=0,AND(C2507&gt;0,Paths!$E$234+'Operating costs'!$B$65&gt;(C2507-1)*12,Paths!$E$234+'Operating costs'!$B$65&lt;=C2507*12))),'Operating costs'!$B$64,0)+IF(AND('Operating costs'!$B$67&gt;0,'Operating costs'!$B$67&lt;=120,OR(Paths!$D$234="ICE",'Operating costs'!$B$67&lt;=Paths!$E$234),IF('Operating costs'!$B$67=0,C2507=0,AND(C2507&gt;0,'Operating costs'!$B$67&gt;(C2507-1)*12,'Operating costs'!$B$67&lt;=C2507*12))),'Operating costs'!$B$66,0),"n.a."))</f>
        <v>0</v>
      </c>
      <c r="N2507" s="16">
        <f>IF(NOT(Paths!$C$234=1),0,IF(Paths!$P$234="Complete",SUM(G2507:I2507)-J2507-K2507-L2507+M2507+IF(C2507=0,Paths!$F$234,0)+IF(IF(Paths!$E$234=0,C2507=0,AND(C2507&gt;0,Paths!$E$234&gt;(C2507-1)*12,Paths!$E$234&lt;=C2507*12)),VLOOKUP(A2507,'Fleet register'!$A$7:$S$106,16,FALSE),0),"n.a."))</f>
        <v>0</v>
      </c>
      <c r="O2507" s="16">
        <f>IF(NOT(Paths!$C$234=1),0,IF(Paths!$P$234="Complete",N2507-IF(C2507=0,Paths!$F$234,0),"n.a."))</f>
        <v>0</v>
      </c>
      <c r="P2507" s="16">
        <f>IF(NOT(Paths!$C$234=1),0,IF(Paths!$P$234="Complete",O2507+L2507,"n.a."))</f>
        <v>0</v>
      </c>
      <c r="Q2507" s="16">
        <f>IF(NOT(Paths!$C$234=1),0,IF(Paths!$P$234="Complete",N2507*(1+'Operating costs'!$B$54)^-C2507,"n.a."))</f>
        <v>0</v>
      </c>
      <c r="R2507" s="16">
        <f>IF(NOT(Paths!$C$234=1),0,IF(Paths!$P$234="Complete",IF(AND(C2507=0,Paths!$E$234=0),I2507-J2507-K2507+VLOOKUP(A2507,'Fleet register'!$A$7:$S$106,15,FALSE)+VLOOKUP(A2507,'Fleet register'!$A$7:$S$106,16,FALSE),0),"n.a."))</f>
        <v>0</v>
      </c>
      <c r="S2507" s="1">
        <f>IF(NOT(Paths!$C$234=1),0,IF(Paths!$P$234="Complete",IF(C2507=0,0,Paths!$S$234*Paths!$R$234),"n.a."))</f>
        <v>0</v>
      </c>
      <c r="T2507" s="1">
        <f>IF(NOT(Paths!$C$234=1),0,IF(Paths!$P$234="Complete",IF(C2507=0,0,VLOOKUP(A2507,'Fleet register'!$A$7:$S$106,9,FALSE)*Paths!$R$234),"n.a."))</f>
        <v>0</v>
      </c>
    </row>
    <row r="2508" spans="1:20" ht="24" customHeight="1">
      <c r="A2508" s="1" t="str">
        <f>Paths!$A$234</f>
        <v>T057</v>
      </c>
      <c r="B2508" s="1">
        <f>Paths!$B$234</f>
        <v>3</v>
      </c>
      <c r="C2508" s="1">
        <v>4</v>
      </c>
      <c r="D2508" s="1">
        <v>234</v>
      </c>
      <c r="E2508" s="1">
        <f>IF(OR(Paths!$C$234=0,C2508=0),0,MAX(0,MIN(C2508*12,Paths!$E$234)-(C2508-1)*12))</f>
        <v>0</v>
      </c>
      <c r="F2508" s="1">
        <f>IF(OR(Paths!$C$234=0,C2508=0),0,12-E2508)</f>
        <v>0</v>
      </c>
      <c r="G2508" s="16">
        <f>IF(NOT(Paths!$C$234=1),0,IF(Paths!$P$234="Complete",E2508/12*(Paths!$J$234*(1+'Operating costs'!$B$51)^MAX(0,C2508-1)+Paths!$K$234*(1+'Operating costs'!$B$53)^MAX(0,C2508-1)),"n.a."))</f>
        <v>0</v>
      </c>
      <c r="H2508" s="16">
        <f>IF(NOT(Paths!$C$234=1),0,IF(Paths!$P$234="Complete",F2508/12*(Paths!$L$234*(1+IF(Paths!$D$234="EV",'Operating costs'!$B$52,'Operating costs'!$B$51))^MAX(0,C2508-1)+Paths!$M$234*(1+'Operating costs'!$B$53)^MAX(0,C2508-1)),"n.a."))</f>
        <v>0</v>
      </c>
      <c r="I2508" s="16">
        <f>IF(NOT(Paths!$C$234=1),0,IF(Paths!$P$234="Complete",IF(IF(Paths!$E$234=0,C2508=0,AND(C2508&gt;0,Paths!$E$234&gt;(C2508-1)*12,Paths!$E$234&lt;=C2508*12)),Paths!$G$234,0),"n.a."))</f>
        <v>0</v>
      </c>
      <c r="J2508" s="16">
        <f>IF(NOT(Paths!$C$234=1),0,IF(Paths!$P$234="Complete",IF(IF(Paths!$E$234=0,C2508=0,AND(C2508&gt;0,Paths!$E$234&gt;(C2508-1)*12,Paths!$E$234&lt;=C2508*12)),Paths!$H$234,0),"n.a."))</f>
        <v>0</v>
      </c>
      <c r="K2508" s="16">
        <f>IF(NOT(Paths!$C$234=1),0,IF(Paths!$P$234="Complete",IF(IF(Paths!$O$234=0,C2508=0,AND(C2508&gt;0,Paths!$O$234&gt;(C2508-1)*12,Paths!$O$234&lt;=C2508*12)),Paths!$N$234,0),"n.a."))</f>
        <v>0</v>
      </c>
      <c r="L2508" s="16">
        <f>IF(NOT(Paths!$C$234=1),0,IF(Paths!$P$234="Complete",IF(C2508=10,Paths!$I$234,0),"n.a."))</f>
        <v>0</v>
      </c>
      <c r="M2508" s="16">
        <f>IF(NOT(Paths!$C$234=1),0,IF(Paths!$P$234="Complete",IF(AND(Paths!$D$234="EV",Paths!$E$234&lt;120,Paths!$E$234+'Operating costs'!$B$65&gt;Paths!$E$234,Paths!$E$234+'Operating costs'!$B$65&lt;=120,IF(Paths!$E$234+'Operating costs'!$B$65=0,C2508=0,AND(C2508&gt;0,Paths!$E$234+'Operating costs'!$B$65&gt;(C2508-1)*12,Paths!$E$234+'Operating costs'!$B$65&lt;=C2508*12))),'Operating costs'!$B$64,0)+IF(AND('Operating costs'!$B$67&gt;0,'Operating costs'!$B$67&lt;=120,OR(Paths!$D$234="ICE",'Operating costs'!$B$67&lt;=Paths!$E$234),IF('Operating costs'!$B$67=0,C2508=0,AND(C2508&gt;0,'Operating costs'!$B$67&gt;(C2508-1)*12,'Operating costs'!$B$67&lt;=C2508*12))),'Operating costs'!$B$66,0),"n.a."))</f>
        <v>0</v>
      </c>
      <c r="N2508" s="16">
        <f>IF(NOT(Paths!$C$234=1),0,IF(Paths!$P$234="Complete",SUM(G2508:I2508)-J2508-K2508-L2508+M2508+IF(C2508=0,Paths!$F$234,0)+IF(IF(Paths!$E$234=0,C2508=0,AND(C2508&gt;0,Paths!$E$234&gt;(C2508-1)*12,Paths!$E$234&lt;=C2508*12)),VLOOKUP(A2508,'Fleet register'!$A$7:$S$106,16,FALSE),0),"n.a."))</f>
        <v>0</v>
      </c>
      <c r="O2508" s="16">
        <f>IF(NOT(Paths!$C$234=1),0,IF(Paths!$P$234="Complete",N2508-IF(C2508=0,Paths!$F$234,0),"n.a."))</f>
        <v>0</v>
      </c>
      <c r="P2508" s="16">
        <f>IF(NOT(Paths!$C$234=1),0,IF(Paths!$P$234="Complete",O2508+L2508,"n.a."))</f>
        <v>0</v>
      </c>
      <c r="Q2508" s="16">
        <f>IF(NOT(Paths!$C$234=1),0,IF(Paths!$P$234="Complete",N2508*(1+'Operating costs'!$B$54)^-C2508,"n.a."))</f>
        <v>0</v>
      </c>
      <c r="R2508" s="16">
        <f>IF(NOT(Paths!$C$234=1),0,IF(Paths!$P$234="Complete",IF(AND(C2508=0,Paths!$E$234=0),I2508-J2508-K2508+VLOOKUP(A2508,'Fleet register'!$A$7:$S$106,15,FALSE)+VLOOKUP(A2508,'Fleet register'!$A$7:$S$106,16,FALSE),0),"n.a."))</f>
        <v>0</v>
      </c>
      <c r="S2508" s="1">
        <f>IF(NOT(Paths!$C$234=1),0,IF(Paths!$P$234="Complete",IF(C2508=0,0,Paths!$S$234*Paths!$R$234),"n.a."))</f>
        <v>0</v>
      </c>
      <c r="T2508" s="1">
        <f>IF(NOT(Paths!$C$234=1),0,IF(Paths!$P$234="Complete",IF(C2508=0,0,VLOOKUP(A2508,'Fleet register'!$A$7:$S$106,9,FALSE)*Paths!$R$234),"n.a."))</f>
        <v>0</v>
      </c>
    </row>
    <row r="2509" spans="1:20" ht="24" customHeight="1">
      <c r="A2509" s="1" t="str">
        <f>Paths!$A$234</f>
        <v>T057</v>
      </c>
      <c r="B2509" s="1">
        <f>Paths!$B$234</f>
        <v>3</v>
      </c>
      <c r="C2509" s="1">
        <v>5</v>
      </c>
      <c r="D2509" s="1">
        <v>234</v>
      </c>
      <c r="E2509" s="1">
        <f>IF(OR(Paths!$C$234=0,C2509=0),0,MAX(0,MIN(C2509*12,Paths!$E$234)-(C2509-1)*12))</f>
        <v>0</v>
      </c>
      <c r="F2509" s="1">
        <f>IF(OR(Paths!$C$234=0,C2509=0),0,12-E2509)</f>
        <v>0</v>
      </c>
      <c r="G2509" s="16">
        <f>IF(NOT(Paths!$C$234=1),0,IF(Paths!$P$234="Complete",E2509/12*(Paths!$J$234*(1+'Operating costs'!$B$51)^MAX(0,C2509-1)+Paths!$K$234*(1+'Operating costs'!$B$53)^MAX(0,C2509-1)),"n.a."))</f>
        <v>0</v>
      </c>
      <c r="H2509" s="16">
        <f>IF(NOT(Paths!$C$234=1),0,IF(Paths!$P$234="Complete",F2509/12*(Paths!$L$234*(1+IF(Paths!$D$234="EV",'Operating costs'!$B$52,'Operating costs'!$B$51))^MAX(0,C2509-1)+Paths!$M$234*(1+'Operating costs'!$B$53)^MAX(0,C2509-1)),"n.a."))</f>
        <v>0</v>
      </c>
      <c r="I2509" s="16">
        <f>IF(NOT(Paths!$C$234=1),0,IF(Paths!$P$234="Complete",IF(IF(Paths!$E$234=0,C2509=0,AND(C2509&gt;0,Paths!$E$234&gt;(C2509-1)*12,Paths!$E$234&lt;=C2509*12)),Paths!$G$234,0),"n.a."))</f>
        <v>0</v>
      </c>
      <c r="J2509" s="16">
        <f>IF(NOT(Paths!$C$234=1),0,IF(Paths!$P$234="Complete",IF(IF(Paths!$E$234=0,C2509=0,AND(C2509&gt;0,Paths!$E$234&gt;(C2509-1)*12,Paths!$E$234&lt;=C2509*12)),Paths!$H$234,0),"n.a."))</f>
        <v>0</v>
      </c>
      <c r="K2509" s="16">
        <f>IF(NOT(Paths!$C$234=1),0,IF(Paths!$P$234="Complete",IF(IF(Paths!$O$234=0,C2509=0,AND(C2509&gt;0,Paths!$O$234&gt;(C2509-1)*12,Paths!$O$234&lt;=C2509*12)),Paths!$N$234,0),"n.a."))</f>
        <v>0</v>
      </c>
      <c r="L2509" s="16">
        <f>IF(NOT(Paths!$C$234=1),0,IF(Paths!$P$234="Complete",IF(C2509=10,Paths!$I$234,0),"n.a."))</f>
        <v>0</v>
      </c>
      <c r="M2509" s="16">
        <f>IF(NOT(Paths!$C$234=1),0,IF(Paths!$P$234="Complete",IF(AND(Paths!$D$234="EV",Paths!$E$234&lt;120,Paths!$E$234+'Operating costs'!$B$65&gt;Paths!$E$234,Paths!$E$234+'Operating costs'!$B$65&lt;=120,IF(Paths!$E$234+'Operating costs'!$B$65=0,C2509=0,AND(C2509&gt;0,Paths!$E$234+'Operating costs'!$B$65&gt;(C2509-1)*12,Paths!$E$234+'Operating costs'!$B$65&lt;=C2509*12))),'Operating costs'!$B$64,0)+IF(AND('Operating costs'!$B$67&gt;0,'Operating costs'!$B$67&lt;=120,OR(Paths!$D$234="ICE",'Operating costs'!$B$67&lt;=Paths!$E$234),IF('Operating costs'!$B$67=0,C2509=0,AND(C2509&gt;0,'Operating costs'!$B$67&gt;(C2509-1)*12,'Operating costs'!$B$67&lt;=C2509*12))),'Operating costs'!$B$66,0),"n.a."))</f>
        <v>0</v>
      </c>
      <c r="N2509" s="16">
        <f>IF(NOT(Paths!$C$234=1),0,IF(Paths!$P$234="Complete",SUM(G2509:I2509)-J2509-K2509-L2509+M2509+IF(C2509=0,Paths!$F$234,0)+IF(IF(Paths!$E$234=0,C2509=0,AND(C2509&gt;0,Paths!$E$234&gt;(C2509-1)*12,Paths!$E$234&lt;=C2509*12)),VLOOKUP(A2509,'Fleet register'!$A$7:$S$106,16,FALSE),0),"n.a."))</f>
        <v>0</v>
      </c>
      <c r="O2509" s="16">
        <f>IF(NOT(Paths!$C$234=1),0,IF(Paths!$P$234="Complete",N2509-IF(C2509=0,Paths!$F$234,0),"n.a."))</f>
        <v>0</v>
      </c>
      <c r="P2509" s="16">
        <f>IF(NOT(Paths!$C$234=1),0,IF(Paths!$P$234="Complete",O2509+L2509,"n.a."))</f>
        <v>0</v>
      </c>
      <c r="Q2509" s="16">
        <f>IF(NOT(Paths!$C$234=1),0,IF(Paths!$P$234="Complete",N2509*(1+'Operating costs'!$B$54)^-C2509,"n.a."))</f>
        <v>0</v>
      </c>
      <c r="R2509" s="16">
        <f>IF(NOT(Paths!$C$234=1),0,IF(Paths!$P$234="Complete",IF(AND(C2509=0,Paths!$E$234=0),I2509-J2509-K2509+VLOOKUP(A2509,'Fleet register'!$A$7:$S$106,15,FALSE)+VLOOKUP(A2509,'Fleet register'!$A$7:$S$106,16,FALSE),0),"n.a."))</f>
        <v>0</v>
      </c>
      <c r="S2509" s="1">
        <f>IF(NOT(Paths!$C$234=1),0,IF(Paths!$P$234="Complete",IF(C2509=0,0,Paths!$S$234*Paths!$R$234),"n.a."))</f>
        <v>0</v>
      </c>
      <c r="T2509" s="1">
        <f>IF(NOT(Paths!$C$234=1),0,IF(Paths!$P$234="Complete",IF(C2509=0,0,VLOOKUP(A2509,'Fleet register'!$A$7:$S$106,9,FALSE)*Paths!$R$234),"n.a."))</f>
        <v>0</v>
      </c>
    </row>
    <row r="2510" spans="1:20" ht="24" customHeight="1">
      <c r="A2510" s="1" t="str">
        <f>Paths!$A$234</f>
        <v>T057</v>
      </c>
      <c r="B2510" s="1">
        <f>Paths!$B$234</f>
        <v>3</v>
      </c>
      <c r="C2510" s="1">
        <v>6</v>
      </c>
      <c r="D2510" s="1">
        <v>234</v>
      </c>
      <c r="E2510" s="1">
        <f>IF(OR(Paths!$C$234=0,C2510=0),0,MAX(0,MIN(C2510*12,Paths!$E$234)-(C2510-1)*12))</f>
        <v>0</v>
      </c>
      <c r="F2510" s="1">
        <f>IF(OR(Paths!$C$234=0,C2510=0),0,12-E2510)</f>
        <v>0</v>
      </c>
      <c r="G2510" s="16">
        <f>IF(NOT(Paths!$C$234=1),0,IF(Paths!$P$234="Complete",E2510/12*(Paths!$J$234*(1+'Operating costs'!$B$51)^MAX(0,C2510-1)+Paths!$K$234*(1+'Operating costs'!$B$53)^MAX(0,C2510-1)),"n.a."))</f>
        <v>0</v>
      </c>
      <c r="H2510" s="16">
        <f>IF(NOT(Paths!$C$234=1),0,IF(Paths!$P$234="Complete",F2510/12*(Paths!$L$234*(1+IF(Paths!$D$234="EV",'Operating costs'!$B$52,'Operating costs'!$B$51))^MAX(0,C2510-1)+Paths!$M$234*(1+'Operating costs'!$B$53)^MAX(0,C2510-1)),"n.a."))</f>
        <v>0</v>
      </c>
      <c r="I2510" s="16">
        <f>IF(NOT(Paths!$C$234=1),0,IF(Paths!$P$234="Complete",IF(IF(Paths!$E$234=0,C2510=0,AND(C2510&gt;0,Paths!$E$234&gt;(C2510-1)*12,Paths!$E$234&lt;=C2510*12)),Paths!$G$234,0),"n.a."))</f>
        <v>0</v>
      </c>
      <c r="J2510" s="16">
        <f>IF(NOT(Paths!$C$234=1),0,IF(Paths!$P$234="Complete",IF(IF(Paths!$E$234=0,C2510=0,AND(C2510&gt;0,Paths!$E$234&gt;(C2510-1)*12,Paths!$E$234&lt;=C2510*12)),Paths!$H$234,0),"n.a."))</f>
        <v>0</v>
      </c>
      <c r="K2510" s="16">
        <f>IF(NOT(Paths!$C$234=1),0,IF(Paths!$P$234="Complete",IF(IF(Paths!$O$234=0,C2510=0,AND(C2510&gt;0,Paths!$O$234&gt;(C2510-1)*12,Paths!$O$234&lt;=C2510*12)),Paths!$N$234,0),"n.a."))</f>
        <v>0</v>
      </c>
      <c r="L2510" s="16">
        <f>IF(NOT(Paths!$C$234=1),0,IF(Paths!$P$234="Complete",IF(C2510=10,Paths!$I$234,0),"n.a."))</f>
        <v>0</v>
      </c>
      <c r="M2510" s="16">
        <f>IF(NOT(Paths!$C$234=1),0,IF(Paths!$P$234="Complete",IF(AND(Paths!$D$234="EV",Paths!$E$234&lt;120,Paths!$E$234+'Operating costs'!$B$65&gt;Paths!$E$234,Paths!$E$234+'Operating costs'!$B$65&lt;=120,IF(Paths!$E$234+'Operating costs'!$B$65=0,C2510=0,AND(C2510&gt;0,Paths!$E$234+'Operating costs'!$B$65&gt;(C2510-1)*12,Paths!$E$234+'Operating costs'!$B$65&lt;=C2510*12))),'Operating costs'!$B$64,0)+IF(AND('Operating costs'!$B$67&gt;0,'Operating costs'!$B$67&lt;=120,OR(Paths!$D$234="ICE",'Operating costs'!$B$67&lt;=Paths!$E$234),IF('Operating costs'!$B$67=0,C2510=0,AND(C2510&gt;0,'Operating costs'!$B$67&gt;(C2510-1)*12,'Operating costs'!$B$67&lt;=C2510*12))),'Operating costs'!$B$66,0),"n.a."))</f>
        <v>0</v>
      </c>
      <c r="N2510" s="16">
        <f>IF(NOT(Paths!$C$234=1),0,IF(Paths!$P$234="Complete",SUM(G2510:I2510)-J2510-K2510-L2510+M2510+IF(C2510=0,Paths!$F$234,0)+IF(IF(Paths!$E$234=0,C2510=0,AND(C2510&gt;0,Paths!$E$234&gt;(C2510-1)*12,Paths!$E$234&lt;=C2510*12)),VLOOKUP(A2510,'Fleet register'!$A$7:$S$106,16,FALSE),0),"n.a."))</f>
        <v>0</v>
      </c>
      <c r="O2510" s="16">
        <f>IF(NOT(Paths!$C$234=1),0,IF(Paths!$P$234="Complete",N2510-IF(C2510=0,Paths!$F$234,0),"n.a."))</f>
        <v>0</v>
      </c>
      <c r="P2510" s="16">
        <f>IF(NOT(Paths!$C$234=1),0,IF(Paths!$P$234="Complete",O2510+L2510,"n.a."))</f>
        <v>0</v>
      </c>
      <c r="Q2510" s="16">
        <f>IF(NOT(Paths!$C$234=1),0,IF(Paths!$P$234="Complete",N2510*(1+'Operating costs'!$B$54)^-C2510,"n.a."))</f>
        <v>0</v>
      </c>
      <c r="R2510" s="16">
        <f>IF(NOT(Paths!$C$234=1),0,IF(Paths!$P$234="Complete",IF(AND(C2510=0,Paths!$E$234=0),I2510-J2510-K2510+VLOOKUP(A2510,'Fleet register'!$A$7:$S$106,15,FALSE)+VLOOKUP(A2510,'Fleet register'!$A$7:$S$106,16,FALSE),0),"n.a."))</f>
        <v>0</v>
      </c>
      <c r="S2510" s="1">
        <f>IF(NOT(Paths!$C$234=1),0,IF(Paths!$P$234="Complete",IF(C2510=0,0,Paths!$S$234*Paths!$R$234),"n.a."))</f>
        <v>0</v>
      </c>
      <c r="T2510" s="1">
        <f>IF(NOT(Paths!$C$234=1),0,IF(Paths!$P$234="Complete",IF(C2510=0,0,VLOOKUP(A2510,'Fleet register'!$A$7:$S$106,9,FALSE)*Paths!$R$234),"n.a."))</f>
        <v>0</v>
      </c>
    </row>
    <row r="2511" spans="1:20" ht="24" customHeight="1">
      <c r="A2511" s="1" t="str">
        <f>Paths!$A$234</f>
        <v>T057</v>
      </c>
      <c r="B2511" s="1">
        <f>Paths!$B$234</f>
        <v>3</v>
      </c>
      <c r="C2511" s="1">
        <v>7</v>
      </c>
      <c r="D2511" s="1">
        <v>234</v>
      </c>
      <c r="E2511" s="1">
        <f>IF(OR(Paths!$C$234=0,C2511=0),0,MAX(0,MIN(C2511*12,Paths!$E$234)-(C2511-1)*12))</f>
        <v>0</v>
      </c>
      <c r="F2511" s="1">
        <f>IF(OR(Paths!$C$234=0,C2511=0),0,12-E2511)</f>
        <v>0</v>
      </c>
      <c r="G2511" s="16">
        <f>IF(NOT(Paths!$C$234=1),0,IF(Paths!$P$234="Complete",E2511/12*(Paths!$J$234*(1+'Operating costs'!$B$51)^MAX(0,C2511-1)+Paths!$K$234*(1+'Operating costs'!$B$53)^MAX(0,C2511-1)),"n.a."))</f>
        <v>0</v>
      </c>
      <c r="H2511" s="16">
        <f>IF(NOT(Paths!$C$234=1),0,IF(Paths!$P$234="Complete",F2511/12*(Paths!$L$234*(1+IF(Paths!$D$234="EV",'Operating costs'!$B$52,'Operating costs'!$B$51))^MAX(0,C2511-1)+Paths!$M$234*(1+'Operating costs'!$B$53)^MAX(0,C2511-1)),"n.a."))</f>
        <v>0</v>
      </c>
      <c r="I2511" s="16">
        <f>IF(NOT(Paths!$C$234=1),0,IF(Paths!$P$234="Complete",IF(IF(Paths!$E$234=0,C2511=0,AND(C2511&gt;0,Paths!$E$234&gt;(C2511-1)*12,Paths!$E$234&lt;=C2511*12)),Paths!$G$234,0),"n.a."))</f>
        <v>0</v>
      </c>
      <c r="J2511" s="16">
        <f>IF(NOT(Paths!$C$234=1),0,IF(Paths!$P$234="Complete",IF(IF(Paths!$E$234=0,C2511=0,AND(C2511&gt;0,Paths!$E$234&gt;(C2511-1)*12,Paths!$E$234&lt;=C2511*12)),Paths!$H$234,0),"n.a."))</f>
        <v>0</v>
      </c>
      <c r="K2511" s="16">
        <f>IF(NOT(Paths!$C$234=1),0,IF(Paths!$P$234="Complete",IF(IF(Paths!$O$234=0,C2511=0,AND(C2511&gt;0,Paths!$O$234&gt;(C2511-1)*12,Paths!$O$234&lt;=C2511*12)),Paths!$N$234,0),"n.a."))</f>
        <v>0</v>
      </c>
      <c r="L2511" s="16">
        <f>IF(NOT(Paths!$C$234=1),0,IF(Paths!$P$234="Complete",IF(C2511=10,Paths!$I$234,0),"n.a."))</f>
        <v>0</v>
      </c>
      <c r="M2511" s="16">
        <f>IF(NOT(Paths!$C$234=1),0,IF(Paths!$P$234="Complete",IF(AND(Paths!$D$234="EV",Paths!$E$234&lt;120,Paths!$E$234+'Operating costs'!$B$65&gt;Paths!$E$234,Paths!$E$234+'Operating costs'!$B$65&lt;=120,IF(Paths!$E$234+'Operating costs'!$B$65=0,C2511=0,AND(C2511&gt;0,Paths!$E$234+'Operating costs'!$B$65&gt;(C2511-1)*12,Paths!$E$234+'Operating costs'!$B$65&lt;=C2511*12))),'Operating costs'!$B$64,0)+IF(AND('Operating costs'!$B$67&gt;0,'Operating costs'!$B$67&lt;=120,OR(Paths!$D$234="ICE",'Operating costs'!$B$67&lt;=Paths!$E$234),IF('Operating costs'!$B$67=0,C2511=0,AND(C2511&gt;0,'Operating costs'!$B$67&gt;(C2511-1)*12,'Operating costs'!$B$67&lt;=C2511*12))),'Operating costs'!$B$66,0),"n.a."))</f>
        <v>0</v>
      </c>
      <c r="N2511" s="16">
        <f>IF(NOT(Paths!$C$234=1),0,IF(Paths!$P$234="Complete",SUM(G2511:I2511)-J2511-K2511-L2511+M2511+IF(C2511=0,Paths!$F$234,0)+IF(IF(Paths!$E$234=0,C2511=0,AND(C2511&gt;0,Paths!$E$234&gt;(C2511-1)*12,Paths!$E$234&lt;=C2511*12)),VLOOKUP(A2511,'Fleet register'!$A$7:$S$106,16,FALSE),0),"n.a."))</f>
        <v>0</v>
      </c>
      <c r="O2511" s="16">
        <f>IF(NOT(Paths!$C$234=1),0,IF(Paths!$P$234="Complete",N2511-IF(C2511=0,Paths!$F$234,0),"n.a."))</f>
        <v>0</v>
      </c>
      <c r="P2511" s="16">
        <f>IF(NOT(Paths!$C$234=1),0,IF(Paths!$P$234="Complete",O2511+L2511,"n.a."))</f>
        <v>0</v>
      </c>
      <c r="Q2511" s="16">
        <f>IF(NOT(Paths!$C$234=1),0,IF(Paths!$P$234="Complete",N2511*(1+'Operating costs'!$B$54)^-C2511,"n.a."))</f>
        <v>0</v>
      </c>
      <c r="R2511" s="16">
        <f>IF(NOT(Paths!$C$234=1),0,IF(Paths!$P$234="Complete",IF(AND(C2511=0,Paths!$E$234=0),I2511-J2511-K2511+VLOOKUP(A2511,'Fleet register'!$A$7:$S$106,15,FALSE)+VLOOKUP(A2511,'Fleet register'!$A$7:$S$106,16,FALSE),0),"n.a."))</f>
        <v>0</v>
      </c>
      <c r="S2511" s="1">
        <f>IF(NOT(Paths!$C$234=1),0,IF(Paths!$P$234="Complete",IF(C2511=0,0,Paths!$S$234*Paths!$R$234),"n.a."))</f>
        <v>0</v>
      </c>
      <c r="T2511" s="1">
        <f>IF(NOT(Paths!$C$234=1),0,IF(Paths!$P$234="Complete",IF(C2511=0,0,VLOOKUP(A2511,'Fleet register'!$A$7:$S$106,9,FALSE)*Paths!$R$234),"n.a."))</f>
        <v>0</v>
      </c>
    </row>
    <row r="2512" spans="1:20" ht="24" customHeight="1">
      <c r="A2512" s="1" t="str">
        <f>Paths!$A$234</f>
        <v>T057</v>
      </c>
      <c r="B2512" s="1">
        <f>Paths!$B$234</f>
        <v>3</v>
      </c>
      <c r="C2512" s="1">
        <v>8</v>
      </c>
      <c r="D2512" s="1">
        <v>234</v>
      </c>
      <c r="E2512" s="1">
        <f>IF(OR(Paths!$C$234=0,C2512=0),0,MAX(0,MIN(C2512*12,Paths!$E$234)-(C2512-1)*12))</f>
        <v>0</v>
      </c>
      <c r="F2512" s="1">
        <f>IF(OR(Paths!$C$234=0,C2512=0),0,12-E2512)</f>
        <v>0</v>
      </c>
      <c r="G2512" s="16">
        <f>IF(NOT(Paths!$C$234=1),0,IF(Paths!$P$234="Complete",E2512/12*(Paths!$J$234*(1+'Operating costs'!$B$51)^MAX(0,C2512-1)+Paths!$K$234*(1+'Operating costs'!$B$53)^MAX(0,C2512-1)),"n.a."))</f>
        <v>0</v>
      </c>
      <c r="H2512" s="16">
        <f>IF(NOT(Paths!$C$234=1),0,IF(Paths!$P$234="Complete",F2512/12*(Paths!$L$234*(1+IF(Paths!$D$234="EV",'Operating costs'!$B$52,'Operating costs'!$B$51))^MAX(0,C2512-1)+Paths!$M$234*(1+'Operating costs'!$B$53)^MAX(0,C2512-1)),"n.a."))</f>
        <v>0</v>
      </c>
      <c r="I2512" s="16">
        <f>IF(NOT(Paths!$C$234=1),0,IF(Paths!$P$234="Complete",IF(IF(Paths!$E$234=0,C2512=0,AND(C2512&gt;0,Paths!$E$234&gt;(C2512-1)*12,Paths!$E$234&lt;=C2512*12)),Paths!$G$234,0),"n.a."))</f>
        <v>0</v>
      </c>
      <c r="J2512" s="16">
        <f>IF(NOT(Paths!$C$234=1),0,IF(Paths!$P$234="Complete",IF(IF(Paths!$E$234=0,C2512=0,AND(C2512&gt;0,Paths!$E$234&gt;(C2512-1)*12,Paths!$E$234&lt;=C2512*12)),Paths!$H$234,0),"n.a."))</f>
        <v>0</v>
      </c>
      <c r="K2512" s="16">
        <f>IF(NOT(Paths!$C$234=1),0,IF(Paths!$P$234="Complete",IF(IF(Paths!$O$234=0,C2512=0,AND(C2512&gt;0,Paths!$O$234&gt;(C2512-1)*12,Paths!$O$234&lt;=C2512*12)),Paths!$N$234,0),"n.a."))</f>
        <v>0</v>
      </c>
      <c r="L2512" s="16">
        <f>IF(NOT(Paths!$C$234=1),0,IF(Paths!$P$234="Complete",IF(C2512=10,Paths!$I$234,0),"n.a."))</f>
        <v>0</v>
      </c>
      <c r="M2512" s="16">
        <f>IF(NOT(Paths!$C$234=1),0,IF(Paths!$P$234="Complete",IF(AND(Paths!$D$234="EV",Paths!$E$234&lt;120,Paths!$E$234+'Operating costs'!$B$65&gt;Paths!$E$234,Paths!$E$234+'Operating costs'!$B$65&lt;=120,IF(Paths!$E$234+'Operating costs'!$B$65=0,C2512=0,AND(C2512&gt;0,Paths!$E$234+'Operating costs'!$B$65&gt;(C2512-1)*12,Paths!$E$234+'Operating costs'!$B$65&lt;=C2512*12))),'Operating costs'!$B$64,0)+IF(AND('Operating costs'!$B$67&gt;0,'Operating costs'!$B$67&lt;=120,OR(Paths!$D$234="ICE",'Operating costs'!$B$67&lt;=Paths!$E$234),IF('Operating costs'!$B$67=0,C2512=0,AND(C2512&gt;0,'Operating costs'!$B$67&gt;(C2512-1)*12,'Operating costs'!$B$67&lt;=C2512*12))),'Operating costs'!$B$66,0),"n.a."))</f>
        <v>0</v>
      </c>
      <c r="N2512" s="16">
        <f>IF(NOT(Paths!$C$234=1),0,IF(Paths!$P$234="Complete",SUM(G2512:I2512)-J2512-K2512-L2512+M2512+IF(C2512=0,Paths!$F$234,0)+IF(IF(Paths!$E$234=0,C2512=0,AND(C2512&gt;0,Paths!$E$234&gt;(C2512-1)*12,Paths!$E$234&lt;=C2512*12)),VLOOKUP(A2512,'Fleet register'!$A$7:$S$106,16,FALSE),0),"n.a."))</f>
        <v>0</v>
      </c>
      <c r="O2512" s="16">
        <f>IF(NOT(Paths!$C$234=1),0,IF(Paths!$P$234="Complete",N2512-IF(C2512=0,Paths!$F$234,0),"n.a."))</f>
        <v>0</v>
      </c>
      <c r="P2512" s="16">
        <f>IF(NOT(Paths!$C$234=1),0,IF(Paths!$P$234="Complete",O2512+L2512,"n.a."))</f>
        <v>0</v>
      </c>
      <c r="Q2512" s="16">
        <f>IF(NOT(Paths!$C$234=1),0,IF(Paths!$P$234="Complete",N2512*(1+'Operating costs'!$B$54)^-C2512,"n.a."))</f>
        <v>0</v>
      </c>
      <c r="R2512" s="16">
        <f>IF(NOT(Paths!$C$234=1),0,IF(Paths!$P$234="Complete",IF(AND(C2512=0,Paths!$E$234=0),I2512-J2512-K2512+VLOOKUP(A2512,'Fleet register'!$A$7:$S$106,15,FALSE)+VLOOKUP(A2512,'Fleet register'!$A$7:$S$106,16,FALSE),0),"n.a."))</f>
        <v>0</v>
      </c>
      <c r="S2512" s="1">
        <f>IF(NOT(Paths!$C$234=1),0,IF(Paths!$P$234="Complete",IF(C2512=0,0,Paths!$S$234*Paths!$R$234),"n.a."))</f>
        <v>0</v>
      </c>
      <c r="T2512" s="1">
        <f>IF(NOT(Paths!$C$234=1),0,IF(Paths!$P$234="Complete",IF(C2512=0,0,VLOOKUP(A2512,'Fleet register'!$A$7:$S$106,9,FALSE)*Paths!$R$234),"n.a."))</f>
        <v>0</v>
      </c>
    </row>
    <row r="2513" spans="1:20" ht="24" customHeight="1">
      <c r="A2513" s="1" t="str">
        <f>Paths!$A$234</f>
        <v>T057</v>
      </c>
      <c r="B2513" s="1">
        <f>Paths!$B$234</f>
        <v>3</v>
      </c>
      <c r="C2513" s="1">
        <v>9</v>
      </c>
      <c r="D2513" s="1">
        <v>234</v>
      </c>
      <c r="E2513" s="1">
        <f>IF(OR(Paths!$C$234=0,C2513=0),0,MAX(0,MIN(C2513*12,Paths!$E$234)-(C2513-1)*12))</f>
        <v>0</v>
      </c>
      <c r="F2513" s="1">
        <f>IF(OR(Paths!$C$234=0,C2513=0),0,12-E2513)</f>
        <v>0</v>
      </c>
      <c r="G2513" s="16">
        <f>IF(NOT(Paths!$C$234=1),0,IF(Paths!$P$234="Complete",E2513/12*(Paths!$J$234*(1+'Operating costs'!$B$51)^MAX(0,C2513-1)+Paths!$K$234*(1+'Operating costs'!$B$53)^MAX(0,C2513-1)),"n.a."))</f>
        <v>0</v>
      </c>
      <c r="H2513" s="16">
        <f>IF(NOT(Paths!$C$234=1),0,IF(Paths!$P$234="Complete",F2513/12*(Paths!$L$234*(1+IF(Paths!$D$234="EV",'Operating costs'!$B$52,'Operating costs'!$B$51))^MAX(0,C2513-1)+Paths!$M$234*(1+'Operating costs'!$B$53)^MAX(0,C2513-1)),"n.a."))</f>
        <v>0</v>
      </c>
      <c r="I2513" s="16">
        <f>IF(NOT(Paths!$C$234=1),0,IF(Paths!$P$234="Complete",IF(IF(Paths!$E$234=0,C2513=0,AND(C2513&gt;0,Paths!$E$234&gt;(C2513-1)*12,Paths!$E$234&lt;=C2513*12)),Paths!$G$234,0),"n.a."))</f>
        <v>0</v>
      </c>
      <c r="J2513" s="16">
        <f>IF(NOT(Paths!$C$234=1),0,IF(Paths!$P$234="Complete",IF(IF(Paths!$E$234=0,C2513=0,AND(C2513&gt;0,Paths!$E$234&gt;(C2513-1)*12,Paths!$E$234&lt;=C2513*12)),Paths!$H$234,0),"n.a."))</f>
        <v>0</v>
      </c>
      <c r="K2513" s="16">
        <f>IF(NOT(Paths!$C$234=1),0,IF(Paths!$P$234="Complete",IF(IF(Paths!$O$234=0,C2513=0,AND(C2513&gt;0,Paths!$O$234&gt;(C2513-1)*12,Paths!$O$234&lt;=C2513*12)),Paths!$N$234,0),"n.a."))</f>
        <v>0</v>
      </c>
      <c r="L2513" s="16">
        <f>IF(NOT(Paths!$C$234=1),0,IF(Paths!$P$234="Complete",IF(C2513=10,Paths!$I$234,0),"n.a."))</f>
        <v>0</v>
      </c>
      <c r="M2513" s="16">
        <f>IF(NOT(Paths!$C$234=1),0,IF(Paths!$P$234="Complete",IF(AND(Paths!$D$234="EV",Paths!$E$234&lt;120,Paths!$E$234+'Operating costs'!$B$65&gt;Paths!$E$234,Paths!$E$234+'Operating costs'!$B$65&lt;=120,IF(Paths!$E$234+'Operating costs'!$B$65=0,C2513=0,AND(C2513&gt;0,Paths!$E$234+'Operating costs'!$B$65&gt;(C2513-1)*12,Paths!$E$234+'Operating costs'!$B$65&lt;=C2513*12))),'Operating costs'!$B$64,0)+IF(AND('Operating costs'!$B$67&gt;0,'Operating costs'!$B$67&lt;=120,OR(Paths!$D$234="ICE",'Operating costs'!$B$67&lt;=Paths!$E$234),IF('Operating costs'!$B$67=0,C2513=0,AND(C2513&gt;0,'Operating costs'!$B$67&gt;(C2513-1)*12,'Operating costs'!$B$67&lt;=C2513*12))),'Operating costs'!$B$66,0),"n.a."))</f>
        <v>0</v>
      </c>
      <c r="N2513" s="16">
        <f>IF(NOT(Paths!$C$234=1),0,IF(Paths!$P$234="Complete",SUM(G2513:I2513)-J2513-K2513-L2513+M2513+IF(C2513=0,Paths!$F$234,0)+IF(IF(Paths!$E$234=0,C2513=0,AND(C2513&gt;0,Paths!$E$234&gt;(C2513-1)*12,Paths!$E$234&lt;=C2513*12)),VLOOKUP(A2513,'Fleet register'!$A$7:$S$106,16,FALSE),0),"n.a."))</f>
        <v>0</v>
      </c>
      <c r="O2513" s="16">
        <f>IF(NOT(Paths!$C$234=1),0,IF(Paths!$P$234="Complete",N2513-IF(C2513=0,Paths!$F$234,0),"n.a."))</f>
        <v>0</v>
      </c>
      <c r="P2513" s="16">
        <f>IF(NOT(Paths!$C$234=1),0,IF(Paths!$P$234="Complete",O2513+L2513,"n.a."))</f>
        <v>0</v>
      </c>
      <c r="Q2513" s="16">
        <f>IF(NOT(Paths!$C$234=1),0,IF(Paths!$P$234="Complete",N2513*(1+'Operating costs'!$B$54)^-C2513,"n.a."))</f>
        <v>0</v>
      </c>
      <c r="R2513" s="16">
        <f>IF(NOT(Paths!$C$234=1),0,IF(Paths!$P$234="Complete",IF(AND(C2513=0,Paths!$E$234=0),I2513-J2513-K2513+VLOOKUP(A2513,'Fleet register'!$A$7:$S$106,15,FALSE)+VLOOKUP(A2513,'Fleet register'!$A$7:$S$106,16,FALSE),0),"n.a."))</f>
        <v>0</v>
      </c>
      <c r="S2513" s="1">
        <f>IF(NOT(Paths!$C$234=1),0,IF(Paths!$P$234="Complete",IF(C2513=0,0,Paths!$S$234*Paths!$R$234),"n.a."))</f>
        <v>0</v>
      </c>
      <c r="T2513" s="1">
        <f>IF(NOT(Paths!$C$234=1),0,IF(Paths!$P$234="Complete",IF(C2513=0,0,VLOOKUP(A2513,'Fleet register'!$A$7:$S$106,9,FALSE)*Paths!$R$234),"n.a."))</f>
        <v>0</v>
      </c>
    </row>
    <row r="2514" spans="1:20" ht="24" customHeight="1">
      <c r="A2514" s="1" t="str">
        <f>Paths!$A$234</f>
        <v>T057</v>
      </c>
      <c r="B2514" s="1">
        <f>Paths!$B$234</f>
        <v>3</v>
      </c>
      <c r="C2514" s="1">
        <v>10</v>
      </c>
      <c r="D2514" s="1">
        <v>234</v>
      </c>
      <c r="E2514" s="1">
        <f>IF(OR(Paths!$C$234=0,C2514=0),0,MAX(0,MIN(C2514*12,Paths!$E$234)-(C2514-1)*12))</f>
        <v>0</v>
      </c>
      <c r="F2514" s="1">
        <f>IF(OR(Paths!$C$234=0,C2514=0),0,12-E2514)</f>
        <v>0</v>
      </c>
      <c r="G2514" s="16">
        <f>IF(NOT(Paths!$C$234=1),0,IF(Paths!$P$234="Complete",E2514/12*(Paths!$J$234*(1+'Operating costs'!$B$51)^MAX(0,C2514-1)+Paths!$K$234*(1+'Operating costs'!$B$53)^MAX(0,C2514-1)),"n.a."))</f>
        <v>0</v>
      </c>
      <c r="H2514" s="16">
        <f>IF(NOT(Paths!$C$234=1),0,IF(Paths!$P$234="Complete",F2514/12*(Paths!$L$234*(1+IF(Paths!$D$234="EV",'Operating costs'!$B$52,'Operating costs'!$B$51))^MAX(0,C2514-1)+Paths!$M$234*(1+'Operating costs'!$B$53)^MAX(0,C2514-1)),"n.a."))</f>
        <v>0</v>
      </c>
      <c r="I2514" s="16">
        <f>IF(NOT(Paths!$C$234=1),0,IF(Paths!$P$234="Complete",IF(IF(Paths!$E$234=0,C2514=0,AND(C2514&gt;0,Paths!$E$234&gt;(C2514-1)*12,Paths!$E$234&lt;=C2514*12)),Paths!$G$234,0),"n.a."))</f>
        <v>0</v>
      </c>
      <c r="J2514" s="16">
        <f>IF(NOT(Paths!$C$234=1),0,IF(Paths!$P$234="Complete",IF(IF(Paths!$E$234=0,C2514=0,AND(C2514&gt;0,Paths!$E$234&gt;(C2514-1)*12,Paths!$E$234&lt;=C2514*12)),Paths!$H$234,0),"n.a."))</f>
        <v>0</v>
      </c>
      <c r="K2514" s="16">
        <f>IF(NOT(Paths!$C$234=1),0,IF(Paths!$P$234="Complete",IF(IF(Paths!$O$234=0,C2514=0,AND(C2514&gt;0,Paths!$O$234&gt;(C2514-1)*12,Paths!$O$234&lt;=C2514*12)),Paths!$N$234,0),"n.a."))</f>
        <v>0</v>
      </c>
      <c r="L2514" s="16">
        <f>IF(NOT(Paths!$C$234=1),0,IF(Paths!$P$234="Complete",IF(C2514=10,Paths!$I$234,0),"n.a."))</f>
        <v>0</v>
      </c>
      <c r="M2514" s="16">
        <f>IF(NOT(Paths!$C$234=1),0,IF(Paths!$P$234="Complete",IF(AND(Paths!$D$234="EV",Paths!$E$234&lt;120,Paths!$E$234+'Operating costs'!$B$65&gt;Paths!$E$234,Paths!$E$234+'Operating costs'!$B$65&lt;=120,IF(Paths!$E$234+'Operating costs'!$B$65=0,C2514=0,AND(C2514&gt;0,Paths!$E$234+'Operating costs'!$B$65&gt;(C2514-1)*12,Paths!$E$234+'Operating costs'!$B$65&lt;=C2514*12))),'Operating costs'!$B$64,0)+IF(AND('Operating costs'!$B$67&gt;0,'Operating costs'!$B$67&lt;=120,OR(Paths!$D$234="ICE",'Operating costs'!$B$67&lt;=Paths!$E$234),IF('Operating costs'!$B$67=0,C2514=0,AND(C2514&gt;0,'Operating costs'!$B$67&gt;(C2514-1)*12,'Operating costs'!$B$67&lt;=C2514*12))),'Operating costs'!$B$66,0),"n.a."))</f>
        <v>0</v>
      </c>
      <c r="N2514" s="16">
        <f>IF(NOT(Paths!$C$234=1),0,IF(Paths!$P$234="Complete",SUM(G2514:I2514)-J2514-K2514-L2514+M2514+IF(C2514=0,Paths!$F$234,0)+IF(IF(Paths!$E$234=0,C2514=0,AND(C2514&gt;0,Paths!$E$234&gt;(C2514-1)*12,Paths!$E$234&lt;=C2514*12)),VLOOKUP(A2514,'Fleet register'!$A$7:$S$106,16,FALSE),0),"n.a."))</f>
        <v>0</v>
      </c>
      <c r="O2514" s="16">
        <f>IF(NOT(Paths!$C$234=1),0,IF(Paths!$P$234="Complete",N2514-IF(C2514=0,Paths!$F$234,0),"n.a."))</f>
        <v>0</v>
      </c>
      <c r="P2514" s="16">
        <f>IF(NOT(Paths!$C$234=1),0,IF(Paths!$P$234="Complete",O2514+L2514,"n.a."))</f>
        <v>0</v>
      </c>
      <c r="Q2514" s="16">
        <f>IF(NOT(Paths!$C$234=1),0,IF(Paths!$P$234="Complete",N2514*(1+'Operating costs'!$B$54)^-C2514,"n.a."))</f>
        <v>0</v>
      </c>
      <c r="R2514" s="16">
        <f>IF(NOT(Paths!$C$234=1),0,IF(Paths!$P$234="Complete",IF(AND(C2514=0,Paths!$E$234=0),I2514-J2514-K2514+VLOOKUP(A2514,'Fleet register'!$A$7:$S$106,15,FALSE)+VLOOKUP(A2514,'Fleet register'!$A$7:$S$106,16,FALSE),0),"n.a."))</f>
        <v>0</v>
      </c>
      <c r="S2514" s="1">
        <f>IF(NOT(Paths!$C$234=1),0,IF(Paths!$P$234="Complete",IF(C2514=0,0,Paths!$S$234*Paths!$R$234),"n.a."))</f>
        <v>0</v>
      </c>
      <c r="T2514" s="1">
        <f>IF(NOT(Paths!$C$234=1),0,IF(Paths!$P$234="Complete",IF(C2514=0,0,VLOOKUP(A2514,'Fleet register'!$A$7:$S$106,9,FALSE)*Paths!$R$234),"n.a."))</f>
        <v>0</v>
      </c>
    </row>
    <row r="2515" spans="1:20" ht="24" customHeight="1">
      <c r="A2515" s="1" t="str">
        <f>Paths!$A$235</f>
        <v>T058</v>
      </c>
      <c r="B2515" s="1">
        <f>Paths!$B$235</f>
        <v>0</v>
      </c>
      <c r="C2515" s="1">
        <v>0</v>
      </c>
      <c r="D2515" s="1">
        <v>235</v>
      </c>
      <c r="E2515" s="1">
        <f>IF(OR(Paths!$C$235=0,C2515=0),0,MAX(0,MIN(C2515*12,Paths!$E$235)-(C2515-1)*12))</f>
        <v>0</v>
      </c>
      <c r="F2515" s="1">
        <f>IF(OR(Paths!$C$235=0,C2515=0),0,12-E2515)</f>
        <v>0</v>
      </c>
      <c r="G2515" s="16">
        <f>IF(NOT(Paths!$C$235=1),0,IF(Paths!$P$235="Complete",E2515/12*(Paths!$J$235*(1+'Operating costs'!$B$51)^MAX(0,C2515-1)+Paths!$K$235*(1+'Operating costs'!$B$53)^MAX(0,C2515-1)),"n.a."))</f>
        <v>0</v>
      </c>
      <c r="H2515" s="16">
        <f>IF(NOT(Paths!$C$235=1),0,IF(Paths!$P$235="Complete",F2515/12*(Paths!$L$235*(1+IF(Paths!$D$235="EV",'Operating costs'!$B$52,'Operating costs'!$B$51))^MAX(0,C2515-1)+Paths!$M$235*(1+'Operating costs'!$B$53)^MAX(0,C2515-1)),"n.a."))</f>
        <v>0</v>
      </c>
      <c r="I2515" s="16">
        <f>IF(NOT(Paths!$C$235=1),0,IF(Paths!$P$235="Complete",IF(IF(Paths!$E$235=0,C2515=0,AND(C2515&gt;0,Paths!$E$235&gt;(C2515-1)*12,Paths!$E$235&lt;=C2515*12)),Paths!$G$235,0),"n.a."))</f>
        <v>0</v>
      </c>
      <c r="J2515" s="16">
        <f>IF(NOT(Paths!$C$235=1),0,IF(Paths!$P$235="Complete",IF(IF(Paths!$E$235=0,C2515=0,AND(C2515&gt;0,Paths!$E$235&gt;(C2515-1)*12,Paths!$E$235&lt;=C2515*12)),Paths!$H$235,0),"n.a."))</f>
        <v>0</v>
      </c>
      <c r="K2515" s="16">
        <f>IF(NOT(Paths!$C$235=1),0,IF(Paths!$P$235="Complete",IF(IF(Paths!$O$235=0,C2515=0,AND(C2515&gt;0,Paths!$O$235&gt;(C2515-1)*12,Paths!$O$235&lt;=C2515*12)),Paths!$N$235,0),"n.a."))</f>
        <v>0</v>
      </c>
      <c r="L2515" s="16">
        <f>IF(NOT(Paths!$C$235=1),0,IF(Paths!$P$235="Complete",IF(C2515=10,Paths!$I$235,0),"n.a."))</f>
        <v>0</v>
      </c>
      <c r="M2515" s="16">
        <f>IF(NOT(Paths!$C$235=1),0,IF(Paths!$P$235="Complete",IF(AND(Paths!$D$235="EV",Paths!$E$235&lt;120,Paths!$E$235+'Operating costs'!$B$65&gt;Paths!$E$235,Paths!$E$235+'Operating costs'!$B$65&lt;=120,IF(Paths!$E$235+'Operating costs'!$B$65=0,C2515=0,AND(C2515&gt;0,Paths!$E$235+'Operating costs'!$B$65&gt;(C2515-1)*12,Paths!$E$235+'Operating costs'!$B$65&lt;=C2515*12))),'Operating costs'!$B$64,0)+IF(AND('Operating costs'!$B$67&gt;0,'Operating costs'!$B$67&lt;=120,OR(Paths!$D$235="ICE",'Operating costs'!$B$67&lt;=Paths!$E$235),IF('Operating costs'!$B$67=0,C2515=0,AND(C2515&gt;0,'Operating costs'!$B$67&gt;(C2515-1)*12,'Operating costs'!$B$67&lt;=C2515*12))),'Operating costs'!$B$66,0),"n.a."))</f>
        <v>0</v>
      </c>
      <c r="N2515" s="16">
        <f>IF(NOT(Paths!$C$235=1),0,IF(Paths!$P$235="Complete",SUM(G2515:I2515)-J2515-K2515-L2515+M2515+IF(C2515=0,Paths!$F$235,0)+IF(IF(Paths!$E$235=0,C2515=0,AND(C2515&gt;0,Paths!$E$235&gt;(C2515-1)*12,Paths!$E$235&lt;=C2515*12)),VLOOKUP(A2515,'Fleet register'!$A$7:$S$106,16,FALSE),0),"n.a."))</f>
        <v>0</v>
      </c>
      <c r="O2515" s="16">
        <f>IF(NOT(Paths!$C$235=1),0,IF(Paths!$P$235="Complete",N2515-IF(C2515=0,Paths!$F$235,0),"n.a."))</f>
        <v>0</v>
      </c>
      <c r="P2515" s="16">
        <f>IF(NOT(Paths!$C$235=1),0,IF(Paths!$P$235="Complete",O2515+L2515,"n.a."))</f>
        <v>0</v>
      </c>
      <c r="Q2515" s="16">
        <f>IF(NOT(Paths!$C$235=1),0,IF(Paths!$P$235="Complete",N2515*(1+'Operating costs'!$B$54)^-C2515,"n.a."))</f>
        <v>0</v>
      </c>
      <c r="R2515" s="16">
        <f>IF(NOT(Paths!$C$235=1),0,IF(Paths!$P$235="Complete",IF(AND(C2515=0,Paths!$E$235=0),I2515-J2515-K2515+VLOOKUP(A2515,'Fleet register'!$A$7:$S$106,15,FALSE)+VLOOKUP(A2515,'Fleet register'!$A$7:$S$106,16,FALSE),0),"n.a."))</f>
        <v>0</v>
      </c>
      <c r="S2515" s="1">
        <f>IF(NOT(Paths!$C$235=1),0,IF(Paths!$P$235="Complete",IF(C2515=0,0,Paths!$S$235*Paths!$R$235),"n.a."))</f>
        <v>0</v>
      </c>
      <c r="T2515" s="1">
        <f>IF(NOT(Paths!$C$235=1),0,IF(Paths!$P$235="Complete",IF(C2515=0,0,VLOOKUP(A2515,'Fleet register'!$A$7:$S$106,9,FALSE)*Paths!$R$235),"n.a."))</f>
        <v>0</v>
      </c>
    </row>
    <row r="2516" spans="1:20" ht="24" customHeight="1">
      <c r="A2516" s="1" t="str">
        <f>Paths!$A$235</f>
        <v>T058</v>
      </c>
      <c r="B2516" s="1">
        <f>Paths!$B$235</f>
        <v>0</v>
      </c>
      <c r="C2516" s="1">
        <v>1</v>
      </c>
      <c r="D2516" s="1">
        <v>235</v>
      </c>
      <c r="E2516" s="1">
        <f>IF(OR(Paths!$C$235=0,C2516=0),0,MAX(0,MIN(C2516*12,Paths!$E$235)-(C2516-1)*12))</f>
        <v>0</v>
      </c>
      <c r="F2516" s="1">
        <f>IF(OR(Paths!$C$235=0,C2516=0),0,12-E2516)</f>
        <v>0</v>
      </c>
      <c r="G2516" s="16">
        <f>IF(NOT(Paths!$C$235=1),0,IF(Paths!$P$235="Complete",E2516/12*(Paths!$J$235*(1+'Operating costs'!$B$51)^MAX(0,C2516-1)+Paths!$K$235*(1+'Operating costs'!$B$53)^MAX(0,C2516-1)),"n.a."))</f>
        <v>0</v>
      </c>
      <c r="H2516" s="16">
        <f>IF(NOT(Paths!$C$235=1),0,IF(Paths!$P$235="Complete",F2516/12*(Paths!$L$235*(1+IF(Paths!$D$235="EV",'Operating costs'!$B$52,'Operating costs'!$B$51))^MAX(0,C2516-1)+Paths!$M$235*(1+'Operating costs'!$B$53)^MAX(0,C2516-1)),"n.a."))</f>
        <v>0</v>
      </c>
      <c r="I2516" s="16">
        <f>IF(NOT(Paths!$C$235=1),0,IF(Paths!$P$235="Complete",IF(IF(Paths!$E$235=0,C2516=0,AND(C2516&gt;0,Paths!$E$235&gt;(C2516-1)*12,Paths!$E$235&lt;=C2516*12)),Paths!$G$235,0),"n.a."))</f>
        <v>0</v>
      </c>
      <c r="J2516" s="16">
        <f>IF(NOT(Paths!$C$235=1),0,IF(Paths!$P$235="Complete",IF(IF(Paths!$E$235=0,C2516=0,AND(C2516&gt;0,Paths!$E$235&gt;(C2516-1)*12,Paths!$E$235&lt;=C2516*12)),Paths!$H$235,0),"n.a."))</f>
        <v>0</v>
      </c>
      <c r="K2516" s="16">
        <f>IF(NOT(Paths!$C$235=1),0,IF(Paths!$P$235="Complete",IF(IF(Paths!$O$235=0,C2516=0,AND(C2516&gt;0,Paths!$O$235&gt;(C2516-1)*12,Paths!$O$235&lt;=C2516*12)),Paths!$N$235,0),"n.a."))</f>
        <v>0</v>
      </c>
      <c r="L2516" s="16">
        <f>IF(NOT(Paths!$C$235=1),0,IF(Paths!$P$235="Complete",IF(C2516=10,Paths!$I$235,0),"n.a."))</f>
        <v>0</v>
      </c>
      <c r="M2516" s="16">
        <f>IF(NOT(Paths!$C$235=1),0,IF(Paths!$P$235="Complete",IF(AND(Paths!$D$235="EV",Paths!$E$235&lt;120,Paths!$E$235+'Operating costs'!$B$65&gt;Paths!$E$235,Paths!$E$235+'Operating costs'!$B$65&lt;=120,IF(Paths!$E$235+'Operating costs'!$B$65=0,C2516=0,AND(C2516&gt;0,Paths!$E$235+'Operating costs'!$B$65&gt;(C2516-1)*12,Paths!$E$235+'Operating costs'!$B$65&lt;=C2516*12))),'Operating costs'!$B$64,0)+IF(AND('Operating costs'!$B$67&gt;0,'Operating costs'!$B$67&lt;=120,OR(Paths!$D$235="ICE",'Operating costs'!$B$67&lt;=Paths!$E$235),IF('Operating costs'!$B$67=0,C2516=0,AND(C2516&gt;0,'Operating costs'!$B$67&gt;(C2516-1)*12,'Operating costs'!$B$67&lt;=C2516*12))),'Operating costs'!$B$66,0),"n.a."))</f>
        <v>0</v>
      </c>
      <c r="N2516" s="16">
        <f>IF(NOT(Paths!$C$235=1),0,IF(Paths!$P$235="Complete",SUM(G2516:I2516)-J2516-K2516-L2516+M2516+IF(C2516=0,Paths!$F$235,0)+IF(IF(Paths!$E$235=0,C2516=0,AND(C2516&gt;0,Paths!$E$235&gt;(C2516-1)*12,Paths!$E$235&lt;=C2516*12)),VLOOKUP(A2516,'Fleet register'!$A$7:$S$106,16,FALSE),0),"n.a."))</f>
        <v>0</v>
      </c>
      <c r="O2516" s="16">
        <f>IF(NOT(Paths!$C$235=1),0,IF(Paths!$P$235="Complete",N2516-IF(C2516=0,Paths!$F$235,0),"n.a."))</f>
        <v>0</v>
      </c>
      <c r="P2516" s="16">
        <f>IF(NOT(Paths!$C$235=1),0,IF(Paths!$P$235="Complete",O2516+L2516,"n.a."))</f>
        <v>0</v>
      </c>
      <c r="Q2516" s="16">
        <f>IF(NOT(Paths!$C$235=1),0,IF(Paths!$P$235="Complete",N2516*(1+'Operating costs'!$B$54)^-C2516,"n.a."))</f>
        <v>0</v>
      </c>
      <c r="R2516" s="16">
        <f>IF(NOT(Paths!$C$235=1),0,IF(Paths!$P$235="Complete",IF(AND(C2516=0,Paths!$E$235=0),I2516-J2516-K2516+VLOOKUP(A2516,'Fleet register'!$A$7:$S$106,15,FALSE)+VLOOKUP(A2516,'Fleet register'!$A$7:$S$106,16,FALSE),0),"n.a."))</f>
        <v>0</v>
      </c>
      <c r="S2516" s="1">
        <f>IF(NOT(Paths!$C$235=1),0,IF(Paths!$P$235="Complete",IF(C2516=0,0,Paths!$S$235*Paths!$R$235),"n.a."))</f>
        <v>0</v>
      </c>
      <c r="T2516" s="1">
        <f>IF(NOT(Paths!$C$235=1),0,IF(Paths!$P$235="Complete",IF(C2516=0,0,VLOOKUP(A2516,'Fleet register'!$A$7:$S$106,9,FALSE)*Paths!$R$235),"n.a."))</f>
        <v>0</v>
      </c>
    </row>
    <row r="2517" spans="1:20" ht="24" customHeight="1">
      <c r="A2517" s="1" t="str">
        <f>Paths!$A$235</f>
        <v>T058</v>
      </c>
      <c r="B2517" s="1">
        <f>Paths!$B$235</f>
        <v>0</v>
      </c>
      <c r="C2517" s="1">
        <v>2</v>
      </c>
      <c r="D2517" s="1">
        <v>235</v>
      </c>
      <c r="E2517" s="1">
        <f>IF(OR(Paths!$C$235=0,C2517=0),0,MAX(0,MIN(C2517*12,Paths!$E$235)-(C2517-1)*12))</f>
        <v>0</v>
      </c>
      <c r="F2517" s="1">
        <f>IF(OR(Paths!$C$235=0,C2517=0),0,12-E2517)</f>
        <v>0</v>
      </c>
      <c r="G2517" s="16">
        <f>IF(NOT(Paths!$C$235=1),0,IF(Paths!$P$235="Complete",E2517/12*(Paths!$J$235*(1+'Operating costs'!$B$51)^MAX(0,C2517-1)+Paths!$K$235*(1+'Operating costs'!$B$53)^MAX(0,C2517-1)),"n.a."))</f>
        <v>0</v>
      </c>
      <c r="H2517" s="16">
        <f>IF(NOT(Paths!$C$235=1),0,IF(Paths!$P$235="Complete",F2517/12*(Paths!$L$235*(1+IF(Paths!$D$235="EV",'Operating costs'!$B$52,'Operating costs'!$B$51))^MAX(0,C2517-1)+Paths!$M$235*(1+'Operating costs'!$B$53)^MAX(0,C2517-1)),"n.a."))</f>
        <v>0</v>
      </c>
      <c r="I2517" s="16">
        <f>IF(NOT(Paths!$C$235=1),0,IF(Paths!$P$235="Complete",IF(IF(Paths!$E$235=0,C2517=0,AND(C2517&gt;0,Paths!$E$235&gt;(C2517-1)*12,Paths!$E$235&lt;=C2517*12)),Paths!$G$235,0),"n.a."))</f>
        <v>0</v>
      </c>
      <c r="J2517" s="16">
        <f>IF(NOT(Paths!$C$235=1),0,IF(Paths!$P$235="Complete",IF(IF(Paths!$E$235=0,C2517=0,AND(C2517&gt;0,Paths!$E$235&gt;(C2517-1)*12,Paths!$E$235&lt;=C2517*12)),Paths!$H$235,0),"n.a."))</f>
        <v>0</v>
      </c>
      <c r="K2517" s="16">
        <f>IF(NOT(Paths!$C$235=1),0,IF(Paths!$P$235="Complete",IF(IF(Paths!$O$235=0,C2517=0,AND(C2517&gt;0,Paths!$O$235&gt;(C2517-1)*12,Paths!$O$235&lt;=C2517*12)),Paths!$N$235,0),"n.a."))</f>
        <v>0</v>
      </c>
      <c r="L2517" s="16">
        <f>IF(NOT(Paths!$C$235=1),0,IF(Paths!$P$235="Complete",IF(C2517=10,Paths!$I$235,0),"n.a."))</f>
        <v>0</v>
      </c>
      <c r="M2517" s="16">
        <f>IF(NOT(Paths!$C$235=1),0,IF(Paths!$P$235="Complete",IF(AND(Paths!$D$235="EV",Paths!$E$235&lt;120,Paths!$E$235+'Operating costs'!$B$65&gt;Paths!$E$235,Paths!$E$235+'Operating costs'!$B$65&lt;=120,IF(Paths!$E$235+'Operating costs'!$B$65=0,C2517=0,AND(C2517&gt;0,Paths!$E$235+'Operating costs'!$B$65&gt;(C2517-1)*12,Paths!$E$235+'Operating costs'!$B$65&lt;=C2517*12))),'Operating costs'!$B$64,0)+IF(AND('Operating costs'!$B$67&gt;0,'Operating costs'!$B$67&lt;=120,OR(Paths!$D$235="ICE",'Operating costs'!$B$67&lt;=Paths!$E$235),IF('Operating costs'!$B$67=0,C2517=0,AND(C2517&gt;0,'Operating costs'!$B$67&gt;(C2517-1)*12,'Operating costs'!$B$67&lt;=C2517*12))),'Operating costs'!$B$66,0),"n.a."))</f>
        <v>0</v>
      </c>
      <c r="N2517" s="16">
        <f>IF(NOT(Paths!$C$235=1),0,IF(Paths!$P$235="Complete",SUM(G2517:I2517)-J2517-K2517-L2517+M2517+IF(C2517=0,Paths!$F$235,0)+IF(IF(Paths!$E$235=0,C2517=0,AND(C2517&gt;0,Paths!$E$235&gt;(C2517-1)*12,Paths!$E$235&lt;=C2517*12)),VLOOKUP(A2517,'Fleet register'!$A$7:$S$106,16,FALSE),0),"n.a."))</f>
        <v>0</v>
      </c>
      <c r="O2517" s="16">
        <f>IF(NOT(Paths!$C$235=1),0,IF(Paths!$P$235="Complete",N2517-IF(C2517=0,Paths!$F$235,0),"n.a."))</f>
        <v>0</v>
      </c>
      <c r="P2517" s="16">
        <f>IF(NOT(Paths!$C$235=1),0,IF(Paths!$P$235="Complete",O2517+L2517,"n.a."))</f>
        <v>0</v>
      </c>
      <c r="Q2517" s="16">
        <f>IF(NOT(Paths!$C$235=1),0,IF(Paths!$P$235="Complete",N2517*(1+'Operating costs'!$B$54)^-C2517,"n.a."))</f>
        <v>0</v>
      </c>
      <c r="R2517" s="16">
        <f>IF(NOT(Paths!$C$235=1),0,IF(Paths!$P$235="Complete",IF(AND(C2517=0,Paths!$E$235=0),I2517-J2517-K2517+VLOOKUP(A2517,'Fleet register'!$A$7:$S$106,15,FALSE)+VLOOKUP(A2517,'Fleet register'!$A$7:$S$106,16,FALSE),0),"n.a."))</f>
        <v>0</v>
      </c>
      <c r="S2517" s="1">
        <f>IF(NOT(Paths!$C$235=1),0,IF(Paths!$P$235="Complete",IF(C2517=0,0,Paths!$S$235*Paths!$R$235),"n.a."))</f>
        <v>0</v>
      </c>
      <c r="T2517" s="1">
        <f>IF(NOT(Paths!$C$235=1),0,IF(Paths!$P$235="Complete",IF(C2517=0,0,VLOOKUP(A2517,'Fleet register'!$A$7:$S$106,9,FALSE)*Paths!$R$235),"n.a."))</f>
        <v>0</v>
      </c>
    </row>
    <row r="2518" spans="1:20" ht="24" customHeight="1">
      <c r="A2518" s="1" t="str">
        <f>Paths!$A$235</f>
        <v>T058</v>
      </c>
      <c r="B2518" s="1">
        <f>Paths!$B$235</f>
        <v>0</v>
      </c>
      <c r="C2518" s="1">
        <v>3</v>
      </c>
      <c r="D2518" s="1">
        <v>235</v>
      </c>
      <c r="E2518" s="1">
        <f>IF(OR(Paths!$C$235=0,C2518=0),0,MAX(0,MIN(C2518*12,Paths!$E$235)-(C2518-1)*12))</f>
        <v>0</v>
      </c>
      <c r="F2518" s="1">
        <f>IF(OR(Paths!$C$235=0,C2518=0),0,12-E2518)</f>
        <v>0</v>
      </c>
      <c r="G2518" s="16">
        <f>IF(NOT(Paths!$C$235=1),0,IF(Paths!$P$235="Complete",E2518/12*(Paths!$J$235*(1+'Operating costs'!$B$51)^MAX(0,C2518-1)+Paths!$K$235*(1+'Operating costs'!$B$53)^MAX(0,C2518-1)),"n.a."))</f>
        <v>0</v>
      </c>
      <c r="H2518" s="16">
        <f>IF(NOT(Paths!$C$235=1),0,IF(Paths!$P$235="Complete",F2518/12*(Paths!$L$235*(1+IF(Paths!$D$235="EV",'Operating costs'!$B$52,'Operating costs'!$B$51))^MAX(0,C2518-1)+Paths!$M$235*(1+'Operating costs'!$B$53)^MAX(0,C2518-1)),"n.a."))</f>
        <v>0</v>
      </c>
      <c r="I2518" s="16">
        <f>IF(NOT(Paths!$C$235=1),0,IF(Paths!$P$235="Complete",IF(IF(Paths!$E$235=0,C2518=0,AND(C2518&gt;0,Paths!$E$235&gt;(C2518-1)*12,Paths!$E$235&lt;=C2518*12)),Paths!$G$235,0),"n.a."))</f>
        <v>0</v>
      </c>
      <c r="J2518" s="16">
        <f>IF(NOT(Paths!$C$235=1),0,IF(Paths!$P$235="Complete",IF(IF(Paths!$E$235=0,C2518=0,AND(C2518&gt;0,Paths!$E$235&gt;(C2518-1)*12,Paths!$E$235&lt;=C2518*12)),Paths!$H$235,0),"n.a."))</f>
        <v>0</v>
      </c>
      <c r="K2518" s="16">
        <f>IF(NOT(Paths!$C$235=1),0,IF(Paths!$P$235="Complete",IF(IF(Paths!$O$235=0,C2518=0,AND(C2518&gt;0,Paths!$O$235&gt;(C2518-1)*12,Paths!$O$235&lt;=C2518*12)),Paths!$N$235,0),"n.a."))</f>
        <v>0</v>
      </c>
      <c r="L2518" s="16">
        <f>IF(NOT(Paths!$C$235=1),0,IF(Paths!$P$235="Complete",IF(C2518=10,Paths!$I$235,0),"n.a."))</f>
        <v>0</v>
      </c>
      <c r="M2518" s="16">
        <f>IF(NOT(Paths!$C$235=1),0,IF(Paths!$P$235="Complete",IF(AND(Paths!$D$235="EV",Paths!$E$235&lt;120,Paths!$E$235+'Operating costs'!$B$65&gt;Paths!$E$235,Paths!$E$235+'Operating costs'!$B$65&lt;=120,IF(Paths!$E$235+'Operating costs'!$B$65=0,C2518=0,AND(C2518&gt;0,Paths!$E$235+'Operating costs'!$B$65&gt;(C2518-1)*12,Paths!$E$235+'Operating costs'!$B$65&lt;=C2518*12))),'Operating costs'!$B$64,0)+IF(AND('Operating costs'!$B$67&gt;0,'Operating costs'!$B$67&lt;=120,OR(Paths!$D$235="ICE",'Operating costs'!$B$67&lt;=Paths!$E$235),IF('Operating costs'!$B$67=0,C2518=0,AND(C2518&gt;0,'Operating costs'!$B$67&gt;(C2518-1)*12,'Operating costs'!$B$67&lt;=C2518*12))),'Operating costs'!$B$66,0),"n.a."))</f>
        <v>0</v>
      </c>
      <c r="N2518" s="16">
        <f>IF(NOT(Paths!$C$235=1),0,IF(Paths!$P$235="Complete",SUM(G2518:I2518)-J2518-K2518-L2518+M2518+IF(C2518=0,Paths!$F$235,0)+IF(IF(Paths!$E$235=0,C2518=0,AND(C2518&gt;0,Paths!$E$235&gt;(C2518-1)*12,Paths!$E$235&lt;=C2518*12)),VLOOKUP(A2518,'Fleet register'!$A$7:$S$106,16,FALSE),0),"n.a."))</f>
        <v>0</v>
      </c>
      <c r="O2518" s="16">
        <f>IF(NOT(Paths!$C$235=1),0,IF(Paths!$P$235="Complete",N2518-IF(C2518=0,Paths!$F$235,0),"n.a."))</f>
        <v>0</v>
      </c>
      <c r="P2518" s="16">
        <f>IF(NOT(Paths!$C$235=1),0,IF(Paths!$P$235="Complete",O2518+L2518,"n.a."))</f>
        <v>0</v>
      </c>
      <c r="Q2518" s="16">
        <f>IF(NOT(Paths!$C$235=1),0,IF(Paths!$P$235="Complete",N2518*(1+'Operating costs'!$B$54)^-C2518,"n.a."))</f>
        <v>0</v>
      </c>
      <c r="R2518" s="16">
        <f>IF(NOT(Paths!$C$235=1),0,IF(Paths!$P$235="Complete",IF(AND(C2518=0,Paths!$E$235=0),I2518-J2518-K2518+VLOOKUP(A2518,'Fleet register'!$A$7:$S$106,15,FALSE)+VLOOKUP(A2518,'Fleet register'!$A$7:$S$106,16,FALSE),0),"n.a."))</f>
        <v>0</v>
      </c>
      <c r="S2518" s="1">
        <f>IF(NOT(Paths!$C$235=1),0,IF(Paths!$P$235="Complete",IF(C2518=0,0,Paths!$S$235*Paths!$R$235),"n.a."))</f>
        <v>0</v>
      </c>
      <c r="T2518" s="1">
        <f>IF(NOT(Paths!$C$235=1),0,IF(Paths!$P$235="Complete",IF(C2518=0,0,VLOOKUP(A2518,'Fleet register'!$A$7:$S$106,9,FALSE)*Paths!$R$235),"n.a."))</f>
        <v>0</v>
      </c>
    </row>
    <row r="2519" spans="1:20" ht="24" customHeight="1">
      <c r="A2519" s="1" t="str">
        <f>Paths!$A$235</f>
        <v>T058</v>
      </c>
      <c r="B2519" s="1">
        <f>Paths!$B$235</f>
        <v>0</v>
      </c>
      <c r="C2519" s="1">
        <v>4</v>
      </c>
      <c r="D2519" s="1">
        <v>235</v>
      </c>
      <c r="E2519" s="1">
        <f>IF(OR(Paths!$C$235=0,C2519=0),0,MAX(0,MIN(C2519*12,Paths!$E$235)-(C2519-1)*12))</f>
        <v>0</v>
      </c>
      <c r="F2519" s="1">
        <f>IF(OR(Paths!$C$235=0,C2519=0),0,12-E2519)</f>
        <v>0</v>
      </c>
      <c r="G2519" s="16">
        <f>IF(NOT(Paths!$C$235=1),0,IF(Paths!$P$235="Complete",E2519/12*(Paths!$J$235*(1+'Operating costs'!$B$51)^MAX(0,C2519-1)+Paths!$K$235*(1+'Operating costs'!$B$53)^MAX(0,C2519-1)),"n.a."))</f>
        <v>0</v>
      </c>
      <c r="H2519" s="16">
        <f>IF(NOT(Paths!$C$235=1),0,IF(Paths!$P$235="Complete",F2519/12*(Paths!$L$235*(1+IF(Paths!$D$235="EV",'Operating costs'!$B$52,'Operating costs'!$B$51))^MAX(0,C2519-1)+Paths!$M$235*(1+'Operating costs'!$B$53)^MAX(0,C2519-1)),"n.a."))</f>
        <v>0</v>
      </c>
      <c r="I2519" s="16">
        <f>IF(NOT(Paths!$C$235=1),0,IF(Paths!$P$235="Complete",IF(IF(Paths!$E$235=0,C2519=0,AND(C2519&gt;0,Paths!$E$235&gt;(C2519-1)*12,Paths!$E$235&lt;=C2519*12)),Paths!$G$235,0),"n.a."))</f>
        <v>0</v>
      </c>
      <c r="J2519" s="16">
        <f>IF(NOT(Paths!$C$235=1),0,IF(Paths!$P$235="Complete",IF(IF(Paths!$E$235=0,C2519=0,AND(C2519&gt;0,Paths!$E$235&gt;(C2519-1)*12,Paths!$E$235&lt;=C2519*12)),Paths!$H$235,0),"n.a."))</f>
        <v>0</v>
      </c>
      <c r="K2519" s="16">
        <f>IF(NOT(Paths!$C$235=1),0,IF(Paths!$P$235="Complete",IF(IF(Paths!$O$235=0,C2519=0,AND(C2519&gt;0,Paths!$O$235&gt;(C2519-1)*12,Paths!$O$235&lt;=C2519*12)),Paths!$N$235,0),"n.a."))</f>
        <v>0</v>
      </c>
      <c r="L2519" s="16">
        <f>IF(NOT(Paths!$C$235=1),0,IF(Paths!$P$235="Complete",IF(C2519=10,Paths!$I$235,0),"n.a."))</f>
        <v>0</v>
      </c>
      <c r="M2519" s="16">
        <f>IF(NOT(Paths!$C$235=1),0,IF(Paths!$P$235="Complete",IF(AND(Paths!$D$235="EV",Paths!$E$235&lt;120,Paths!$E$235+'Operating costs'!$B$65&gt;Paths!$E$235,Paths!$E$235+'Operating costs'!$B$65&lt;=120,IF(Paths!$E$235+'Operating costs'!$B$65=0,C2519=0,AND(C2519&gt;0,Paths!$E$235+'Operating costs'!$B$65&gt;(C2519-1)*12,Paths!$E$235+'Operating costs'!$B$65&lt;=C2519*12))),'Operating costs'!$B$64,0)+IF(AND('Operating costs'!$B$67&gt;0,'Operating costs'!$B$67&lt;=120,OR(Paths!$D$235="ICE",'Operating costs'!$B$67&lt;=Paths!$E$235),IF('Operating costs'!$B$67=0,C2519=0,AND(C2519&gt;0,'Operating costs'!$B$67&gt;(C2519-1)*12,'Operating costs'!$B$67&lt;=C2519*12))),'Operating costs'!$B$66,0),"n.a."))</f>
        <v>0</v>
      </c>
      <c r="N2519" s="16">
        <f>IF(NOT(Paths!$C$235=1),0,IF(Paths!$P$235="Complete",SUM(G2519:I2519)-J2519-K2519-L2519+M2519+IF(C2519=0,Paths!$F$235,0)+IF(IF(Paths!$E$235=0,C2519=0,AND(C2519&gt;0,Paths!$E$235&gt;(C2519-1)*12,Paths!$E$235&lt;=C2519*12)),VLOOKUP(A2519,'Fleet register'!$A$7:$S$106,16,FALSE),0),"n.a."))</f>
        <v>0</v>
      </c>
      <c r="O2519" s="16">
        <f>IF(NOT(Paths!$C$235=1),0,IF(Paths!$P$235="Complete",N2519-IF(C2519=0,Paths!$F$235,0),"n.a."))</f>
        <v>0</v>
      </c>
      <c r="P2519" s="16">
        <f>IF(NOT(Paths!$C$235=1),0,IF(Paths!$P$235="Complete",O2519+L2519,"n.a."))</f>
        <v>0</v>
      </c>
      <c r="Q2519" s="16">
        <f>IF(NOT(Paths!$C$235=1),0,IF(Paths!$P$235="Complete",N2519*(1+'Operating costs'!$B$54)^-C2519,"n.a."))</f>
        <v>0</v>
      </c>
      <c r="R2519" s="16">
        <f>IF(NOT(Paths!$C$235=1),0,IF(Paths!$P$235="Complete",IF(AND(C2519=0,Paths!$E$235=0),I2519-J2519-K2519+VLOOKUP(A2519,'Fleet register'!$A$7:$S$106,15,FALSE)+VLOOKUP(A2519,'Fleet register'!$A$7:$S$106,16,FALSE),0),"n.a."))</f>
        <v>0</v>
      </c>
      <c r="S2519" s="1">
        <f>IF(NOT(Paths!$C$235=1),0,IF(Paths!$P$235="Complete",IF(C2519=0,0,Paths!$S$235*Paths!$R$235),"n.a."))</f>
        <v>0</v>
      </c>
      <c r="T2519" s="1">
        <f>IF(NOT(Paths!$C$235=1),0,IF(Paths!$P$235="Complete",IF(C2519=0,0,VLOOKUP(A2519,'Fleet register'!$A$7:$S$106,9,FALSE)*Paths!$R$235),"n.a."))</f>
        <v>0</v>
      </c>
    </row>
    <row r="2520" spans="1:20" ht="24" customHeight="1">
      <c r="A2520" s="1" t="str">
        <f>Paths!$A$235</f>
        <v>T058</v>
      </c>
      <c r="B2520" s="1">
        <f>Paths!$B$235</f>
        <v>0</v>
      </c>
      <c r="C2520" s="1">
        <v>5</v>
      </c>
      <c r="D2520" s="1">
        <v>235</v>
      </c>
      <c r="E2520" s="1">
        <f>IF(OR(Paths!$C$235=0,C2520=0),0,MAX(0,MIN(C2520*12,Paths!$E$235)-(C2520-1)*12))</f>
        <v>0</v>
      </c>
      <c r="F2520" s="1">
        <f>IF(OR(Paths!$C$235=0,C2520=0),0,12-E2520)</f>
        <v>0</v>
      </c>
      <c r="G2520" s="16">
        <f>IF(NOT(Paths!$C$235=1),0,IF(Paths!$P$235="Complete",E2520/12*(Paths!$J$235*(1+'Operating costs'!$B$51)^MAX(0,C2520-1)+Paths!$K$235*(1+'Operating costs'!$B$53)^MAX(0,C2520-1)),"n.a."))</f>
        <v>0</v>
      </c>
      <c r="H2520" s="16">
        <f>IF(NOT(Paths!$C$235=1),0,IF(Paths!$P$235="Complete",F2520/12*(Paths!$L$235*(1+IF(Paths!$D$235="EV",'Operating costs'!$B$52,'Operating costs'!$B$51))^MAX(0,C2520-1)+Paths!$M$235*(1+'Operating costs'!$B$53)^MAX(0,C2520-1)),"n.a."))</f>
        <v>0</v>
      </c>
      <c r="I2520" s="16">
        <f>IF(NOT(Paths!$C$235=1),0,IF(Paths!$P$235="Complete",IF(IF(Paths!$E$235=0,C2520=0,AND(C2520&gt;0,Paths!$E$235&gt;(C2520-1)*12,Paths!$E$235&lt;=C2520*12)),Paths!$G$235,0),"n.a."))</f>
        <v>0</v>
      </c>
      <c r="J2520" s="16">
        <f>IF(NOT(Paths!$C$235=1),0,IF(Paths!$P$235="Complete",IF(IF(Paths!$E$235=0,C2520=0,AND(C2520&gt;0,Paths!$E$235&gt;(C2520-1)*12,Paths!$E$235&lt;=C2520*12)),Paths!$H$235,0),"n.a."))</f>
        <v>0</v>
      </c>
      <c r="K2520" s="16">
        <f>IF(NOT(Paths!$C$235=1),0,IF(Paths!$P$235="Complete",IF(IF(Paths!$O$235=0,C2520=0,AND(C2520&gt;0,Paths!$O$235&gt;(C2520-1)*12,Paths!$O$235&lt;=C2520*12)),Paths!$N$235,0),"n.a."))</f>
        <v>0</v>
      </c>
      <c r="L2520" s="16">
        <f>IF(NOT(Paths!$C$235=1),0,IF(Paths!$P$235="Complete",IF(C2520=10,Paths!$I$235,0),"n.a."))</f>
        <v>0</v>
      </c>
      <c r="M2520" s="16">
        <f>IF(NOT(Paths!$C$235=1),0,IF(Paths!$P$235="Complete",IF(AND(Paths!$D$235="EV",Paths!$E$235&lt;120,Paths!$E$235+'Operating costs'!$B$65&gt;Paths!$E$235,Paths!$E$235+'Operating costs'!$B$65&lt;=120,IF(Paths!$E$235+'Operating costs'!$B$65=0,C2520=0,AND(C2520&gt;0,Paths!$E$235+'Operating costs'!$B$65&gt;(C2520-1)*12,Paths!$E$235+'Operating costs'!$B$65&lt;=C2520*12))),'Operating costs'!$B$64,0)+IF(AND('Operating costs'!$B$67&gt;0,'Operating costs'!$B$67&lt;=120,OR(Paths!$D$235="ICE",'Operating costs'!$B$67&lt;=Paths!$E$235),IF('Operating costs'!$B$67=0,C2520=0,AND(C2520&gt;0,'Operating costs'!$B$67&gt;(C2520-1)*12,'Operating costs'!$B$67&lt;=C2520*12))),'Operating costs'!$B$66,0),"n.a."))</f>
        <v>0</v>
      </c>
      <c r="N2520" s="16">
        <f>IF(NOT(Paths!$C$235=1),0,IF(Paths!$P$235="Complete",SUM(G2520:I2520)-J2520-K2520-L2520+M2520+IF(C2520=0,Paths!$F$235,0)+IF(IF(Paths!$E$235=0,C2520=0,AND(C2520&gt;0,Paths!$E$235&gt;(C2520-1)*12,Paths!$E$235&lt;=C2520*12)),VLOOKUP(A2520,'Fleet register'!$A$7:$S$106,16,FALSE),0),"n.a."))</f>
        <v>0</v>
      </c>
      <c r="O2520" s="16">
        <f>IF(NOT(Paths!$C$235=1),0,IF(Paths!$P$235="Complete",N2520-IF(C2520=0,Paths!$F$235,0),"n.a."))</f>
        <v>0</v>
      </c>
      <c r="P2520" s="16">
        <f>IF(NOT(Paths!$C$235=1),0,IF(Paths!$P$235="Complete",O2520+L2520,"n.a."))</f>
        <v>0</v>
      </c>
      <c r="Q2520" s="16">
        <f>IF(NOT(Paths!$C$235=1),0,IF(Paths!$P$235="Complete",N2520*(1+'Operating costs'!$B$54)^-C2520,"n.a."))</f>
        <v>0</v>
      </c>
      <c r="R2520" s="16">
        <f>IF(NOT(Paths!$C$235=1),0,IF(Paths!$P$235="Complete",IF(AND(C2520=0,Paths!$E$235=0),I2520-J2520-K2520+VLOOKUP(A2520,'Fleet register'!$A$7:$S$106,15,FALSE)+VLOOKUP(A2520,'Fleet register'!$A$7:$S$106,16,FALSE),0),"n.a."))</f>
        <v>0</v>
      </c>
      <c r="S2520" s="1">
        <f>IF(NOT(Paths!$C$235=1),0,IF(Paths!$P$235="Complete",IF(C2520=0,0,Paths!$S$235*Paths!$R$235),"n.a."))</f>
        <v>0</v>
      </c>
      <c r="T2520" s="1">
        <f>IF(NOT(Paths!$C$235=1),0,IF(Paths!$P$235="Complete",IF(C2520=0,0,VLOOKUP(A2520,'Fleet register'!$A$7:$S$106,9,FALSE)*Paths!$R$235),"n.a."))</f>
        <v>0</v>
      </c>
    </row>
    <row r="2521" spans="1:20" ht="24" customHeight="1">
      <c r="A2521" s="1" t="str">
        <f>Paths!$A$235</f>
        <v>T058</v>
      </c>
      <c r="B2521" s="1">
        <f>Paths!$B$235</f>
        <v>0</v>
      </c>
      <c r="C2521" s="1">
        <v>6</v>
      </c>
      <c r="D2521" s="1">
        <v>235</v>
      </c>
      <c r="E2521" s="1">
        <f>IF(OR(Paths!$C$235=0,C2521=0),0,MAX(0,MIN(C2521*12,Paths!$E$235)-(C2521-1)*12))</f>
        <v>0</v>
      </c>
      <c r="F2521" s="1">
        <f>IF(OR(Paths!$C$235=0,C2521=0),0,12-E2521)</f>
        <v>0</v>
      </c>
      <c r="G2521" s="16">
        <f>IF(NOT(Paths!$C$235=1),0,IF(Paths!$P$235="Complete",E2521/12*(Paths!$J$235*(1+'Operating costs'!$B$51)^MAX(0,C2521-1)+Paths!$K$235*(1+'Operating costs'!$B$53)^MAX(0,C2521-1)),"n.a."))</f>
        <v>0</v>
      </c>
      <c r="H2521" s="16">
        <f>IF(NOT(Paths!$C$235=1),0,IF(Paths!$P$235="Complete",F2521/12*(Paths!$L$235*(1+IF(Paths!$D$235="EV",'Operating costs'!$B$52,'Operating costs'!$B$51))^MAX(0,C2521-1)+Paths!$M$235*(1+'Operating costs'!$B$53)^MAX(0,C2521-1)),"n.a."))</f>
        <v>0</v>
      </c>
      <c r="I2521" s="16">
        <f>IF(NOT(Paths!$C$235=1),0,IF(Paths!$P$235="Complete",IF(IF(Paths!$E$235=0,C2521=0,AND(C2521&gt;0,Paths!$E$235&gt;(C2521-1)*12,Paths!$E$235&lt;=C2521*12)),Paths!$G$235,0),"n.a."))</f>
        <v>0</v>
      </c>
      <c r="J2521" s="16">
        <f>IF(NOT(Paths!$C$235=1),0,IF(Paths!$P$235="Complete",IF(IF(Paths!$E$235=0,C2521=0,AND(C2521&gt;0,Paths!$E$235&gt;(C2521-1)*12,Paths!$E$235&lt;=C2521*12)),Paths!$H$235,0),"n.a."))</f>
        <v>0</v>
      </c>
      <c r="K2521" s="16">
        <f>IF(NOT(Paths!$C$235=1),0,IF(Paths!$P$235="Complete",IF(IF(Paths!$O$235=0,C2521=0,AND(C2521&gt;0,Paths!$O$235&gt;(C2521-1)*12,Paths!$O$235&lt;=C2521*12)),Paths!$N$235,0),"n.a."))</f>
        <v>0</v>
      </c>
      <c r="L2521" s="16">
        <f>IF(NOT(Paths!$C$235=1),0,IF(Paths!$P$235="Complete",IF(C2521=10,Paths!$I$235,0),"n.a."))</f>
        <v>0</v>
      </c>
      <c r="M2521" s="16">
        <f>IF(NOT(Paths!$C$235=1),0,IF(Paths!$P$235="Complete",IF(AND(Paths!$D$235="EV",Paths!$E$235&lt;120,Paths!$E$235+'Operating costs'!$B$65&gt;Paths!$E$235,Paths!$E$235+'Operating costs'!$B$65&lt;=120,IF(Paths!$E$235+'Operating costs'!$B$65=0,C2521=0,AND(C2521&gt;0,Paths!$E$235+'Operating costs'!$B$65&gt;(C2521-1)*12,Paths!$E$235+'Operating costs'!$B$65&lt;=C2521*12))),'Operating costs'!$B$64,0)+IF(AND('Operating costs'!$B$67&gt;0,'Operating costs'!$B$67&lt;=120,OR(Paths!$D$235="ICE",'Operating costs'!$B$67&lt;=Paths!$E$235),IF('Operating costs'!$B$67=0,C2521=0,AND(C2521&gt;0,'Operating costs'!$B$67&gt;(C2521-1)*12,'Operating costs'!$B$67&lt;=C2521*12))),'Operating costs'!$B$66,0),"n.a."))</f>
        <v>0</v>
      </c>
      <c r="N2521" s="16">
        <f>IF(NOT(Paths!$C$235=1),0,IF(Paths!$P$235="Complete",SUM(G2521:I2521)-J2521-K2521-L2521+M2521+IF(C2521=0,Paths!$F$235,0)+IF(IF(Paths!$E$235=0,C2521=0,AND(C2521&gt;0,Paths!$E$235&gt;(C2521-1)*12,Paths!$E$235&lt;=C2521*12)),VLOOKUP(A2521,'Fleet register'!$A$7:$S$106,16,FALSE),0),"n.a."))</f>
        <v>0</v>
      </c>
      <c r="O2521" s="16">
        <f>IF(NOT(Paths!$C$235=1),0,IF(Paths!$P$235="Complete",N2521-IF(C2521=0,Paths!$F$235,0),"n.a."))</f>
        <v>0</v>
      </c>
      <c r="P2521" s="16">
        <f>IF(NOT(Paths!$C$235=1),0,IF(Paths!$P$235="Complete",O2521+L2521,"n.a."))</f>
        <v>0</v>
      </c>
      <c r="Q2521" s="16">
        <f>IF(NOT(Paths!$C$235=1),0,IF(Paths!$P$235="Complete",N2521*(1+'Operating costs'!$B$54)^-C2521,"n.a."))</f>
        <v>0</v>
      </c>
      <c r="R2521" s="16">
        <f>IF(NOT(Paths!$C$235=1),0,IF(Paths!$P$235="Complete",IF(AND(C2521=0,Paths!$E$235=0),I2521-J2521-K2521+VLOOKUP(A2521,'Fleet register'!$A$7:$S$106,15,FALSE)+VLOOKUP(A2521,'Fleet register'!$A$7:$S$106,16,FALSE),0),"n.a."))</f>
        <v>0</v>
      </c>
      <c r="S2521" s="1">
        <f>IF(NOT(Paths!$C$235=1),0,IF(Paths!$P$235="Complete",IF(C2521=0,0,Paths!$S$235*Paths!$R$235),"n.a."))</f>
        <v>0</v>
      </c>
      <c r="T2521" s="1">
        <f>IF(NOT(Paths!$C$235=1),0,IF(Paths!$P$235="Complete",IF(C2521=0,0,VLOOKUP(A2521,'Fleet register'!$A$7:$S$106,9,FALSE)*Paths!$R$235),"n.a."))</f>
        <v>0</v>
      </c>
    </row>
    <row r="2522" spans="1:20" ht="24" customHeight="1">
      <c r="A2522" s="1" t="str">
        <f>Paths!$A$235</f>
        <v>T058</v>
      </c>
      <c r="B2522" s="1">
        <f>Paths!$B$235</f>
        <v>0</v>
      </c>
      <c r="C2522" s="1">
        <v>7</v>
      </c>
      <c r="D2522" s="1">
        <v>235</v>
      </c>
      <c r="E2522" s="1">
        <f>IF(OR(Paths!$C$235=0,C2522=0),0,MAX(0,MIN(C2522*12,Paths!$E$235)-(C2522-1)*12))</f>
        <v>0</v>
      </c>
      <c r="F2522" s="1">
        <f>IF(OR(Paths!$C$235=0,C2522=0),0,12-E2522)</f>
        <v>0</v>
      </c>
      <c r="G2522" s="16">
        <f>IF(NOT(Paths!$C$235=1),0,IF(Paths!$P$235="Complete",E2522/12*(Paths!$J$235*(1+'Operating costs'!$B$51)^MAX(0,C2522-1)+Paths!$K$235*(1+'Operating costs'!$B$53)^MAX(0,C2522-1)),"n.a."))</f>
        <v>0</v>
      </c>
      <c r="H2522" s="16">
        <f>IF(NOT(Paths!$C$235=1),0,IF(Paths!$P$235="Complete",F2522/12*(Paths!$L$235*(1+IF(Paths!$D$235="EV",'Operating costs'!$B$52,'Operating costs'!$B$51))^MAX(0,C2522-1)+Paths!$M$235*(1+'Operating costs'!$B$53)^MAX(0,C2522-1)),"n.a."))</f>
        <v>0</v>
      </c>
      <c r="I2522" s="16">
        <f>IF(NOT(Paths!$C$235=1),0,IF(Paths!$P$235="Complete",IF(IF(Paths!$E$235=0,C2522=0,AND(C2522&gt;0,Paths!$E$235&gt;(C2522-1)*12,Paths!$E$235&lt;=C2522*12)),Paths!$G$235,0),"n.a."))</f>
        <v>0</v>
      </c>
      <c r="J2522" s="16">
        <f>IF(NOT(Paths!$C$235=1),0,IF(Paths!$P$235="Complete",IF(IF(Paths!$E$235=0,C2522=0,AND(C2522&gt;0,Paths!$E$235&gt;(C2522-1)*12,Paths!$E$235&lt;=C2522*12)),Paths!$H$235,0),"n.a."))</f>
        <v>0</v>
      </c>
      <c r="K2522" s="16">
        <f>IF(NOT(Paths!$C$235=1),0,IF(Paths!$P$235="Complete",IF(IF(Paths!$O$235=0,C2522=0,AND(C2522&gt;0,Paths!$O$235&gt;(C2522-1)*12,Paths!$O$235&lt;=C2522*12)),Paths!$N$235,0),"n.a."))</f>
        <v>0</v>
      </c>
      <c r="L2522" s="16">
        <f>IF(NOT(Paths!$C$235=1),0,IF(Paths!$P$235="Complete",IF(C2522=10,Paths!$I$235,0),"n.a."))</f>
        <v>0</v>
      </c>
      <c r="M2522" s="16">
        <f>IF(NOT(Paths!$C$235=1),0,IF(Paths!$P$235="Complete",IF(AND(Paths!$D$235="EV",Paths!$E$235&lt;120,Paths!$E$235+'Operating costs'!$B$65&gt;Paths!$E$235,Paths!$E$235+'Operating costs'!$B$65&lt;=120,IF(Paths!$E$235+'Operating costs'!$B$65=0,C2522=0,AND(C2522&gt;0,Paths!$E$235+'Operating costs'!$B$65&gt;(C2522-1)*12,Paths!$E$235+'Operating costs'!$B$65&lt;=C2522*12))),'Operating costs'!$B$64,0)+IF(AND('Operating costs'!$B$67&gt;0,'Operating costs'!$B$67&lt;=120,OR(Paths!$D$235="ICE",'Operating costs'!$B$67&lt;=Paths!$E$235),IF('Operating costs'!$B$67=0,C2522=0,AND(C2522&gt;0,'Operating costs'!$B$67&gt;(C2522-1)*12,'Operating costs'!$B$67&lt;=C2522*12))),'Operating costs'!$B$66,0),"n.a."))</f>
        <v>0</v>
      </c>
      <c r="N2522" s="16">
        <f>IF(NOT(Paths!$C$235=1),0,IF(Paths!$P$235="Complete",SUM(G2522:I2522)-J2522-K2522-L2522+M2522+IF(C2522=0,Paths!$F$235,0)+IF(IF(Paths!$E$235=0,C2522=0,AND(C2522&gt;0,Paths!$E$235&gt;(C2522-1)*12,Paths!$E$235&lt;=C2522*12)),VLOOKUP(A2522,'Fleet register'!$A$7:$S$106,16,FALSE),0),"n.a."))</f>
        <v>0</v>
      </c>
      <c r="O2522" s="16">
        <f>IF(NOT(Paths!$C$235=1),0,IF(Paths!$P$235="Complete",N2522-IF(C2522=0,Paths!$F$235,0),"n.a."))</f>
        <v>0</v>
      </c>
      <c r="P2522" s="16">
        <f>IF(NOT(Paths!$C$235=1),0,IF(Paths!$P$235="Complete",O2522+L2522,"n.a."))</f>
        <v>0</v>
      </c>
      <c r="Q2522" s="16">
        <f>IF(NOT(Paths!$C$235=1),0,IF(Paths!$P$235="Complete",N2522*(1+'Operating costs'!$B$54)^-C2522,"n.a."))</f>
        <v>0</v>
      </c>
      <c r="R2522" s="16">
        <f>IF(NOT(Paths!$C$235=1),0,IF(Paths!$P$235="Complete",IF(AND(C2522=0,Paths!$E$235=0),I2522-J2522-K2522+VLOOKUP(A2522,'Fleet register'!$A$7:$S$106,15,FALSE)+VLOOKUP(A2522,'Fleet register'!$A$7:$S$106,16,FALSE),0),"n.a."))</f>
        <v>0</v>
      </c>
      <c r="S2522" s="1">
        <f>IF(NOT(Paths!$C$235=1),0,IF(Paths!$P$235="Complete",IF(C2522=0,0,Paths!$S$235*Paths!$R$235),"n.a."))</f>
        <v>0</v>
      </c>
      <c r="T2522" s="1">
        <f>IF(NOT(Paths!$C$235=1),0,IF(Paths!$P$235="Complete",IF(C2522=0,0,VLOOKUP(A2522,'Fleet register'!$A$7:$S$106,9,FALSE)*Paths!$R$235),"n.a."))</f>
        <v>0</v>
      </c>
    </row>
    <row r="2523" spans="1:20" ht="24" customHeight="1">
      <c r="A2523" s="1" t="str">
        <f>Paths!$A$235</f>
        <v>T058</v>
      </c>
      <c r="B2523" s="1">
        <f>Paths!$B$235</f>
        <v>0</v>
      </c>
      <c r="C2523" s="1">
        <v>8</v>
      </c>
      <c r="D2523" s="1">
        <v>235</v>
      </c>
      <c r="E2523" s="1">
        <f>IF(OR(Paths!$C$235=0,C2523=0),0,MAX(0,MIN(C2523*12,Paths!$E$235)-(C2523-1)*12))</f>
        <v>0</v>
      </c>
      <c r="F2523" s="1">
        <f>IF(OR(Paths!$C$235=0,C2523=0),0,12-E2523)</f>
        <v>0</v>
      </c>
      <c r="G2523" s="16">
        <f>IF(NOT(Paths!$C$235=1),0,IF(Paths!$P$235="Complete",E2523/12*(Paths!$J$235*(1+'Operating costs'!$B$51)^MAX(0,C2523-1)+Paths!$K$235*(1+'Operating costs'!$B$53)^MAX(0,C2523-1)),"n.a."))</f>
        <v>0</v>
      </c>
      <c r="H2523" s="16">
        <f>IF(NOT(Paths!$C$235=1),0,IF(Paths!$P$235="Complete",F2523/12*(Paths!$L$235*(1+IF(Paths!$D$235="EV",'Operating costs'!$B$52,'Operating costs'!$B$51))^MAX(0,C2523-1)+Paths!$M$235*(1+'Operating costs'!$B$53)^MAX(0,C2523-1)),"n.a."))</f>
        <v>0</v>
      </c>
      <c r="I2523" s="16">
        <f>IF(NOT(Paths!$C$235=1),0,IF(Paths!$P$235="Complete",IF(IF(Paths!$E$235=0,C2523=0,AND(C2523&gt;0,Paths!$E$235&gt;(C2523-1)*12,Paths!$E$235&lt;=C2523*12)),Paths!$G$235,0),"n.a."))</f>
        <v>0</v>
      </c>
      <c r="J2523" s="16">
        <f>IF(NOT(Paths!$C$235=1),0,IF(Paths!$P$235="Complete",IF(IF(Paths!$E$235=0,C2523=0,AND(C2523&gt;0,Paths!$E$235&gt;(C2523-1)*12,Paths!$E$235&lt;=C2523*12)),Paths!$H$235,0),"n.a."))</f>
        <v>0</v>
      </c>
      <c r="K2523" s="16">
        <f>IF(NOT(Paths!$C$235=1),0,IF(Paths!$P$235="Complete",IF(IF(Paths!$O$235=0,C2523=0,AND(C2523&gt;0,Paths!$O$235&gt;(C2523-1)*12,Paths!$O$235&lt;=C2523*12)),Paths!$N$235,0),"n.a."))</f>
        <v>0</v>
      </c>
      <c r="L2523" s="16">
        <f>IF(NOT(Paths!$C$235=1),0,IF(Paths!$P$235="Complete",IF(C2523=10,Paths!$I$235,0),"n.a."))</f>
        <v>0</v>
      </c>
      <c r="M2523" s="16">
        <f>IF(NOT(Paths!$C$235=1),0,IF(Paths!$P$235="Complete",IF(AND(Paths!$D$235="EV",Paths!$E$235&lt;120,Paths!$E$235+'Operating costs'!$B$65&gt;Paths!$E$235,Paths!$E$235+'Operating costs'!$B$65&lt;=120,IF(Paths!$E$235+'Operating costs'!$B$65=0,C2523=0,AND(C2523&gt;0,Paths!$E$235+'Operating costs'!$B$65&gt;(C2523-1)*12,Paths!$E$235+'Operating costs'!$B$65&lt;=C2523*12))),'Operating costs'!$B$64,0)+IF(AND('Operating costs'!$B$67&gt;0,'Operating costs'!$B$67&lt;=120,OR(Paths!$D$235="ICE",'Operating costs'!$B$67&lt;=Paths!$E$235),IF('Operating costs'!$B$67=0,C2523=0,AND(C2523&gt;0,'Operating costs'!$B$67&gt;(C2523-1)*12,'Operating costs'!$B$67&lt;=C2523*12))),'Operating costs'!$B$66,0),"n.a."))</f>
        <v>0</v>
      </c>
      <c r="N2523" s="16">
        <f>IF(NOT(Paths!$C$235=1),0,IF(Paths!$P$235="Complete",SUM(G2523:I2523)-J2523-K2523-L2523+M2523+IF(C2523=0,Paths!$F$235,0)+IF(IF(Paths!$E$235=0,C2523=0,AND(C2523&gt;0,Paths!$E$235&gt;(C2523-1)*12,Paths!$E$235&lt;=C2523*12)),VLOOKUP(A2523,'Fleet register'!$A$7:$S$106,16,FALSE),0),"n.a."))</f>
        <v>0</v>
      </c>
      <c r="O2523" s="16">
        <f>IF(NOT(Paths!$C$235=1),0,IF(Paths!$P$235="Complete",N2523-IF(C2523=0,Paths!$F$235,0),"n.a."))</f>
        <v>0</v>
      </c>
      <c r="P2523" s="16">
        <f>IF(NOT(Paths!$C$235=1),0,IF(Paths!$P$235="Complete",O2523+L2523,"n.a."))</f>
        <v>0</v>
      </c>
      <c r="Q2523" s="16">
        <f>IF(NOT(Paths!$C$235=1),0,IF(Paths!$P$235="Complete",N2523*(1+'Operating costs'!$B$54)^-C2523,"n.a."))</f>
        <v>0</v>
      </c>
      <c r="R2523" s="16">
        <f>IF(NOT(Paths!$C$235=1),0,IF(Paths!$P$235="Complete",IF(AND(C2523=0,Paths!$E$235=0),I2523-J2523-K2523+VLOOKUP(A2523,'Fleet register'!$A$7:$S$106,15,FALSE)+VLOOKUP(A2523,'Fleet register'!$A$7:$S$106,16,FALSE),0),"n.a."))</f>
        <v>0</v>
      </c>
      <c r="S2523" s="1">
        <f>IF(NOT(Paths!$C$235=1),0,IF(Paths!$P$235="Complete",IF(C2523=0,0,Paths!$S$235*Paths!$R$235),"n.a."))</f>
        <v>0</v>
      </c>
      <c r="T2523" s="1">
        <f>IF(NOT(Paths!$C$235=1),0,IF(Paths!$P$235="Complete",IF(C2523=0,0,VLOOKUP(A2523,'Fleet register'!$A$7:$S$106,9,FALSE)*Paths!$R$235),"n.a."))</f>
        <v>0</v>
      </c>
    </row>
    <row r="2524" spans="1:20" ht="24" customHeight="1">
      <c r="A2524" s="1" t="str">
        <f>Paths!$A$235</f>
        <v>T058</v>
      </c>
      <c r="B2524" s="1">
        <f>Paths!$B$235</f>
        <v>0</v>
      </c>
      <c r="C2524" s="1">
        <v>9</v>
      </c>
      <c r="D2524" s="1">
        <v>235</v>
      </c>
      <c r="E2524" s="1">
        <f>IF(OR(Paths!$C$235=0,C2524=0),0,MAX(0,MIN(C2524*12,Paths!$E$235)-(C2524-1)*12))</f>
        <v>0</v>
      </c>
      <c r="F2524" s="1">
        <f>IF(OR(Paths!$C$235=0,C2524=0),0,12-E2524)</f>
        <v>0</v>
      </c>
      <c r="G2524" s="16">
        <f>IF(NOT(Paths!$C$235=1),0,IF(Paths!$P$235="Complete",E2524/12*(Paths!$J$235*(1+'Operating costs'!$B$51)^MAX(0,C2524-1)+Paths!$K$235*(1+'Operating costs'!$B$53)^MAX(0,C2524-1)),"n.a."))</f>
        <v>0</v>
      </c>
      <c r="H2524" s="16">
        <f>IF(NOT(Paths!$C$235=1),0,IF(Paths!$P$235="Complete",F2524/12*(Paths!$L$235*(1+IF(Paths!$D$235="EV",'Operating costs'!$B$52,'Operating costs'!$B$51))^MAX(0,C2524-1)+Paths!$M$235*(1+'Operating costs'!$B$53)^MAX(0,C2524-1)),"n.a."))</f>
        <v>0</v>
      </c>
      <c r="I2524" s="16">
        <f>IF(NOT(Paths!$C$235=1),0,IF(Paths!$P$235="Complete",IF(IF(Paths!$E$235=0,C2524=0,AND(C2524&gt;0,Paths!$E$235&gt;(C2524-1)*12,Paths!$E$235&lt;=C2524*12)),Paths!$G$235,0),"n.a."))</f>
        <v>0</v>
      </c>
      <c r="J2524" s="16">
        <f>IF(NOT(Paths!$C$235=1),0,IF(Paths!$P$235="Complete",IF(IF(Paths!$E$235=0,C2524=0,AND(C2524&gt;0,Paths!$E$235&gt;(C2524-1)*12,Paths!$E$235&lt;=C2524*12)),Paths!$H$235,0),"n.a."))</f>
        <v>0</v>
      </c>
      <c r="K2524" s="16">
        <f>IF(NOT(Paths!$C$235=1),0,IF(Paths!$P$235="Complete",IF(IF(Paths!$O$235=0,C2524=0,AND(C2524&gt;0,Paths!$O$235&gt;(C2524-1)*12,Paths!$O$235&lt;=C2524*12)),Paths!$N$235,0),"n.a."))</f>
        <v>0</v>
      </c>
      <c r="L2524" s="16">
        <f>IF(NOT(Paths!$C$235=1),0,IF(Paths!$P$235="Complete",IF(C2524=10,Paths!$I$235,0),"n.a."))</f>
        <v>0</v>
      </c>
      <c r="M2524" s="16">
        <f>IF(NOT(Paths!$C$235=1),0,IF(Paths!$P$235="Complete",IF(AND(Paths!$D$235="EV",Paths!$E$235&lt;120,Paths!$E$235+'Operating costs'!$B$65&gt;Paths!$E$235,Paths!$E$235+'Operating costs'!$B$65&lt;=120,IF(Paths!$E$235+'Operating costs'!$B$65=0,C2524=0,AND(C2524&gt;0,Paths!$E$235+'Operating costs'!$B$65&gt;(C2524-1)*12,Paths!$E$235+'Operating costs'!$B$65&lt;=C2524*12))),'Operating costs'!$B$64,0)+IF(AND('Operating costs'!$B$67&gt;0,'Operating costs'!$B$67&lt;=120,OR(Paths!$D$235="ICE",'Operating costs'!$B$67&lt;=Paths!$E$235),IF('Operating costs'!$B$67=0,C2524=0,AND(C2524&gt;0,'Operating costs'!$B$67&gt;(C2524-1)*12,'Operating costs'!$B$67&lt;=C2524*12))),'Operating costs'!$B$66,0),"n.a."))</f>
        <v>0</v>
      </c>
      <c r="N2524" s="16">
        <f>IF(NOT(Paths!$C$235=1),0,IF(Paths!$P$235="Complete",SUM(G2524:I2524)-J2524-K2524-L2524+M2524+IF(C2524=0,Paths!$F$235,0)+IF(IF(Paths!$E$235=0,C2524=0,AND(C2524&gt;0,Paths!$E$235&gt;(C2524-1)*12,Paths!$E$235&lt;=C2524*12)),VLOOKUP(A2524,'Fleet register'!$A$7:$S$106,16,FALSE),0),"n.a."))</f>
        <v>0</v>
      </c>
      <c r="O2524" s="16">
        <f>IF(NOT(Paths!$C$235=1),0,IF(Paths!$P$235="Complete",N2524-IF(C2524=0,Paths!$F$235,0),"n.a."))</f>
        <v>0</v>
      </c>
      <c r="P2524" s="16">
        <f>IF(NOT(Paths!$C$235=1),0,IF(Paths!$P$235="Complete",O2524+L2524,"n.a."))</f>
        <v>0</v>
      </c>
      <c r="Q2524" s="16">
        <f>IF(NOT(Paths!$C$235=1),0,IF(Paths!$P$235="Complete",N2524*(1+'Operating costs'!$B$54)^-C2524,"n.a."))</f>
        <v>0</v>
      </c>
      <c r="R2524" s="16">
        <f>IF(NOT(Paths!$C$235=1),0,IF(Paths!$P$235="Complete",IF(AND(C2524=0,Paths!$E$235=0),I2524-J2524-K2524+VLOOKUP(A2524,'Fleet register'!$A$7:$S$106,15,FALSE)+VLOOKUP(A2524,'Fleet register'!$A$7:$S$106,16,FALSE),0),"n.a."))</f>
        <v>0</v>
      </c>
      <c r="S2524" s="1">
        <f>IF(NOT(Paths!$C$235=1),0,IF(Paths!$P$235="Complete",IF(C2524=0,0,Paths!$S$235*Paths!$R$235),"n.a."))</f>
        <v>0</v>
      </c>
      <c r="T2524" s="1">
        <f>IF(NOT(Paths!$C$235=1),0,IF(Paths!$P$235="Complete",IF(C2524=0,0,VLOOKUP(A2524,'Fleet register'!$A$7:$S$106,9,FALSE)*Paths!$R$235),"n.a."))</f>
        <v>0</v>
      </c>
    </row>
    <row r="2525" spans="1:20" ht="24" customHeight="1">
      <c r="A2525" s="1" t="str">
        <f>Paths!$A$235</f>
        <v>T058</v>
      </c>
      <c r="B2525" s="1">
        <f>Paths!$B$235</f>
        <v>0</v>
      </c>
      <c r="C2525" s="1">
        <v>10</v>
      </c>
      <c r="D2525" s="1">
        <v>235</v>
      </c>
      <c r="E2525" s="1">
        <f>IF(OR(Paths!$C$235=0,C2525=0),0,MAX(0,MIN(C2525*12,Paths!$E$235)-(C2525-1)*12))</f>
        <v>0</v>
      </c>
      <c r="F2525" s="1">
        <f>IF(OR(Paths!$C$235=0,C2525=0),0,12-E2525)</f>
        <v>0</v>
      </c>
      <c r="G2525" s="16">
        <f>IF(NOT(Paths!$C$235=1),0,IF(Paths!$P$235="Complete",E2525/12*(Paths!$J$235*(1+'Operating costs'!$B$51)^MAX(0,C2525-1)+Paths!$K$235*(1+'Operating costs'!$B$53)^MAX(0,C2525-1)),"n.a."))</f>
        <v>0</v>
      </c>
      <c r="H2525" s="16">
        <f>IF(NOT(Paths!$C$235=1),0,IF(Paths!$P$235="Complete",F2525/12*(Paths!$L$235*(1+IF(Paths!$D$235="EV",'Operating costs'!$B$52,'Operating costs'!$B$51))^MAX(0,C2525-1)+Paths!$M$235*(1+'Operating costs'!$B$53)^MAX(0,C2525-1)),"n.a."))</f>
        <v>0</v>
      </c>
      <c r="I2525" s="16">
        <f>IF(NOT(Paths!$C$235=1),0,IF(Paths!$P$235="Complete",IF(IF(Paths!$E$235=0,C2525=0,AND(C2525&gt;0,Paths!$E$235&gt;(C2525-1)*12,Paths!$E$235&lt;=C2525*12)),Paths!$G$235,0),"n.a."))</f>
        <v>0</v>
      </c>
      <c r="J2525" s="16">
        <f>IF(NOT(Paths!$C$235=1),0,IF(Paths!$P$235="Complete",IF(IF(Paths!$E$235=0,C2525=0,AND(C2525&gt;0,Paths!$E$235&gt;(C2525-1)*12,Paths!$E$235&lt;=C2525*12)),Paths!$H$235,0),"n.a."))</f>
        <v>0</v>
      </c>
      <c r="K2525" s="16">
        <f>IF(NOT(Paths!$C$235=1),0,IF(Paths!$P$235="Complete",IF(IF(Paths!$O$235=0,C2525=0,AND(C2525&gt;0,Paths!$O$235&gt;(C2525-1)*12,Paths!$O$235&lt;=C2525*12)),Paths!$N$235,0),"n.a."))</f>
        <v>0</v>
      </c>
      <c r="L2525" s="16">
        <f>IF(NOT(Paths!$C$235=1),0,IF(Paths!$P$235="Complete",IF(C2525=10,Paths!$I$235,0),"n.a."))</f>
        <v>0</v>
      </c>
      <c r="M2525" s="16">
        <f>IF(NOT(Paths!$C$235=1),0,IF(Paths!$P$235="Complete",IF(AND(Paths!$D$235="EV",Paths!$E$235&lt;120,Paths!$E$235+'Operating costs'!$B$65&gt;Paths!$E$235,Paths!$E$235+'Operating costs'!$B$65&lt;=120,IF(Paths!$E$235+'Operating costs'!$B$65=0,C2525=0,AND(C2525&gt;0,Paths!$E$235+'Operating costs'!$B$65&gt;(C2525-1)*12,Paths!$E$235+'Operating costs'!$B$65&lt;=C2525*12))),'Operating costs'!$B$64,0)+IF(AND('Operating costs'!$B$67&gt;0,'Operating costs'!$B$67&lt;=120,OR(Paths!$D$235="ICE",'Operating costs'!$B$67&lt;=Paths!$E$235),IF('Operating costs'!$B$67=0,C2525=0,AND(C2525&gt;0,'Operating costs'!$B$67&gt;(C2525-1)*12,'Operating costs'!$B$67&lt;=C2525*12))),'Operating costs'!$B$66,0),"n.a."))</f>
        <v>0</v>
      </c>
      <c r="N2525" s="16">
        <f>IF(NOT(Paths!$C$235=1),0,IF(Paths!$P$235="Complete",SUM(G2525:I2525)-J2525-K2525-L2525+M2525+IF(C2525=0,Paths!$F$235,0)+IF(IF(Paths!$E$235=0,C2525=0,AND(C2525&gt;0,Paths!$E$235&gt;(C2525-1)*12,Paths!$E$235&lt;=C2525*12)),VLOOKUP(A2525,'Fleet register'!$A$7:$S$106,16,FALSE),0),"n.a."))</f>
        <v>0</v>
      </c>
      <c r="O2525" s="16">
        <f>IF(NOT(Paths!$C$235=1),0,IF(Paths!$P$235="Complete",N2525-IF(C2525=0,Paths!$F$235,0),"n.a."))</f>
        <v>0</v>
      </c>
      <c r="P2525" s="16">
        <f>IF(NOT(Paths!$C$235=1),0,IF(Paths!$P$235="Complete",O2525+L2525,"n.a."))</f>
        <v>0</v>
      </c>
      <c r="Q2525" s="16">
        <f>IF(NOT(Paths!$C$235=1),0,IF(Paths!$P$235="Complete",N2525*(1+'Operating costs'!$B$54)^-C2525,"n.a."))</f>
        <v>0</v>
      </c>
      <c r="R2525" s="16">
        <f>IF(NOT(Paths!$C$235=1),0,IF(Paths!$P$235="Complete",IF(AND(C2525=0,Paths!$E$235=0),I2525-J2525-K2525+VLOOKUP(A2525,'Fleet register'!$A$7:$S$106,15,FALSE)+VLOOKUP(A2525,'Fleet register'!$A$7:$S$106,16,FALSE),0),"n.a."))</f>
        <v>0</v>
      </c>
      <c r="S2525" s="1">
        <f>IF(NOT(Paths!$C$235=1),0,IF(Paths!$P$235="Complete",IF(C2525=0,0,Paths!$S$235*Paths!$R$235),"n.a."))</f>
        <v>0</v>
      </c>
      <c r="T2525" s="1">
        <f>IF(NOT(Paths!$C$235=1),0,IF(Paths!$P$235="Complete",IF(C2525=0,0,VLOOKUP(A2525,'Fleet register'!$A$7:$S$106,9,FALSE)*Paths!$R$235),"n.a."))</f>
        <v>0</v>
      </c>
    </row>
    <row r="2526" spans="1:20" ht="24" customHeight="1">
      <c r="A2526" s="1" t="str">
        <f>Paths!$A$236</f>
        <v>T058</v>
      </c>
      <c r="B2526" s="1">
        <f>Paths!$B$236</f>
        <v>1</v>
      </c>
      <c r="C2526" s="1">
        <v>0</v>
      </c>
      <c r="D2526" s="1">
        <v>236</v>
      </c>
      <c r="E2526" s="1">
        <f>IF(OR(Paths!$C$236=0,C2526=0),0,MAX(0,MIN(C2526*12,Paths!$E$236)-(C2526-1)*12))</f>
        <v>0</v>
      </c>
      <c r="F2526" s="1">
        <f>IF(OR(Paths!$C$236=0,C2526=0),0,12-E2526)</f>
        <v>0</v>
      </c>
      <c r="G2526" s="16">
        <f>IF(NOT(Paths!$C$236=1),0,IF(Paths!$P$236="Complete",E2526/12*(Paths!$J$236*(1+'Operating costs'!$B$51)^MAX(0,C2526-1)+Paths!$K$236*(1+'Operating costs'!$B$53)^MAX(0,C2526-1)),"n.a."))</f>
        <v>0</v>
      </c>
      <c r="H2526" s="16">
        <f>IF(NOT(Paths!$C$236=1),0,IF(Paths!$P$236="Complete",F2526/12*(Paths!$L$236*(1+IF(Paths!$D$236="EV",'Operating costs'!$B$52,'Operating costs'!$B$51))^MAX(0,C2526-1)+Paths!$M$236*(1+'Operating costs'!$B$53)^MAX(0,C2526-1)),"n.a."))</f>
        <v>0</v>
      </c>
      <c r="I2526" s="16">
        <f>IF(NOT(Paths!$C$236=1),0,IF(Paths!$P$236="Complete",IF(IF(Paths!$E$236=0,C2526=0,AND(C2526&gt;0,Paths!$E$236&gt;(C2526-1)*12,Paths!$E$236&lt;=C2526*12)),Paths!$G$236,0),"n.a."))</f>
        <v>0</v>
      </c>
      <c r="J2526" s="16">
        <f>IF(NOT(Paths!$C$236=1),0,IF(Paths!$P$236="Complete",IF(IF(Paths!$E$236=0,C2526=0,AND(C2526&gt;0,Paths!$E$236&gt;(C2526-1)*12,Paths!$E$236&lt;=C2526*12)),Paths!$H$236,0),"n.a."))</f>
        <v>0</v>
      </c>
      <c r="K2526" s="16">
        <f>IF(NOT(Paths!$C$236=1),0,IF(Paths!$P$236="Complete",IF(IF(Paths!$O$236=0,C2526=0,AND(C2526&gt;0,Paths!$O$236&gt;(C2526-1)*12,Paths!$O$236&lt;=C2526*12)),Paths!$N$236,0),"n.a."))</f>
        <v>0</v>
      </c>
      <c r="L2526" s="16">
        <f>IF(NOT(Paths!$C$236=1),0,IF(Paths!$P$236="Complete",IF(C2526=10,Paths!$I$236,0),"n.a."))</f>
        <v>0</v>
      </c>
      <c r="M2526" s="16">
        <f>IF(NOT(Paths!$C$236=1),0,IF(Paths!$P$236="Complete",IF(AND(Paths!$D$236="EV",Paths!$E$236&lt;120,Paths!$E$236+'Operating costs'!$B$65&gt;Paths!$E$236,Paths!$E$236+'Operating costs'!$B$65&lt;=120,IF(Paths!$E$236+'Operating costs'!$B$65=0,C2526=0,AND(C2526&gt;0,Paths!$E$236+'Operating costs'!$B$65&gt;(C2526-1)*12,Paths!$E$236+'Operating costs'!$B$65&lt;=C2526*12))),'Operating costs'!$B$64,0)+IF(AND('Operating costs'!$B$67&gt;0,'Operating costs'!$B$67&lt;=120,OR(Paths!$D$236="ICE",'Operating costs'!$B$67&lt;=Paths!$E$236),IF('Operating costs'!$B$67=0,C2526=0,AND(C2526&gt;0,'Operating costs'!$B$67&gt;(C2526-1)*12,'Operating costs'!$B$67&lt;=C2526*12))),'Operating costs'!$B$66,0),"n.a."))</f>
        <v>0</v>
      </c>
      <c r="N2526" s="16">
        <f>IF(NOT(Paths!$C$236=1),0,IF(Paths!$P$236="Complete",SUM(G2526:I2526)-J2526-K2526-L2526+M2526+IF(C2526=0,Paths!$F$236,0)+IF(IF(Paths!$E$236=0,C2526=0,AND(C2526&gt;0,Paths!$E$236&gt;(C2526-1)*12,Paths!$E$236&lt;=C2526*12)),VLOOKUP(A2526,'Fleet register'!$A$7:$S$106,16,FALSE),0),"n.a."))</f>
        <v>0</v>
      </c>
      <c r="O2526" s="16">
        <f>IF(NOT(Paths!$C$236=1),0,IF(Paths!$P$236="Complete",N2526-IF(C2526=0,Paths!$F$236,0),"n.a."))</f>
        <v>0</v>
      </c>
      <c r="P2526" s="16">
        <f>IF(NOT(Paths!$C$236=1),0,IF(Paths!$P$236="Complete",O2526+L2526,"n.a."))</f>
        <v>0</v>
      </c>
      <c r="Q2526" s="16">
        <f>IF(NOT(Paths!$C$236=1),0,IF(Paths!$P$236="Complete",N2526*(1+'Operating costs'!$B$54)^-C2526,"n.a."))</f>
        <v>0</v>
      </c>
      <c r="R2526" s="16">
        <f>IF(NOT(Paths!$C$236=1),0,IF(Paths!$P$236="Complete",IF(AND(C2526=0,Paths!$E$236=0),I2526-J2526-K2526+VLOOKUP(A2526,'Fleet register'!$A$7:$S$106,15,FALSE)+VLOOKUP(A2526,'Fleet register'!$A$7:$S$106,16,FALSE),0),"n.a."))</f>
        <v>0</v>
      </c>
      <c r="S2526" s="1">
        <f>IF(NOT(Paths!$C$236=1),0,IF(Paths!$P$236="Complete",IF(C2526=0,0,Paths!$S$236*Paths!$R$236),"n.a."))</f>
        <v>0</v>
      </c>
      <c r="T2526" s="1">
        <f>IF(NOT(Paths!$C$236=1),0,IF(Paths!$P$236="Complete",IF(C2526=0,0,VLOOKUP(A2526,'Fleet register'!$A$7:$S$106,9,FALSE)*Paths!$R$236),"n.a."))</f>
        <v>0</v>
      </c>
    </row>
    <row r="2527" spans="1:20" ht="24" customHeight="1">
      <c r="A2527" s="1" t="str">
        <f>Paths!$A$236</f>
        <v>T058</v>
      </c>
      <c r="B2527" s="1">
        <f>Paths!$B$236</f>
        <v>1</v>
      </c>
      <c r="C2527" s="1">
        <v>1</v>
      </c>
      <c r="D2527" s="1">
        <v>236</v>
      </c>
      <c r="E2527" s="1">
        <f>IF(OR(Paths!$C$236=0,C2527=0),0,MAX(0,MIN(C2527*12,Paths!$E$236)-(C2527-1)*12))</f>
        <v>0</v>
      </c>
      <c r="F2527" s="1">
        <f>IF(OR(Paths!$C$236=0,C2527=0),0,12-E2527)</f>
        <v>0</v>
      </c>
      <c r="G2527" s="16">
        <f>IF(NOT(Paths!$C$236=1),0,IF(Paths!$P$236="Complete",E2527/12*(Paths!$J$236*(1+'Operating costs'!$B$51)^MAX(0,C2527-1)+Paths!$K$236*(1+'Operating costs'!$B$53)^MAX(0,C2527-1)),"n.a."))</f>
        <v>0</v>
      </c>
      <c r="H2527" s="16">
        <f>IF(NOT(Paths!$C$236=1),0,IF(Paths!$P$236="Complete",F2527/12*(Paths!$L$236*(1+IF(Paths!$D$236="EV",'Operating costs'!$B$52,'Operating costs'!$B$51))^MAX(0,C2527-1)+Paths!$M$236*(1+'Operating costs'!$B$53)^MAX(0,C2527-1)),"n.a."))</f>
        <v>0</v>
      </c>
      <c r="I2527" s="16">
        <f>IF(NOT(Paths!$C$236=1),0,IF(Paths!$P$236="Complete",IF(IF(Paths!$E$236=0,C2527=0,AND(C2527&gt;0,Paths!$E$236&gt;(C2527-1)*12,Paths!$E$236&lt;=C2527*12)),Paths!$G$236,0),"n.a."))</f>
        <v>0</v>
      </c>
      <c r="J2527" s="16">
        <f>IF(NOT(Paths!$C$236=1),0,IF(Paths!$P$236="Complete",IF(IF(Paths!$E$236=0,C2527=0,AND(C2527&gt;0,Paths!$E$236&gt;(C2527-1)*12,Paths!$E$236&lt;=C2527*12)),Paths!$H$236,0),"n.a."))</f>
        <v>0</v>
      </c>
      <c r="K2527" s="16">
        <f>IF(NOT(Paths!$C$236=1),0,IF(Paths!$P$236="Complete",IF(IF(Paths!$O$236=0,C2527=0,AND(C2527&gt;0,Paths!$O$236&gt;(C2527-1)*12,Paths!$O$236&lt;=C2527*12)),Paths!$N$236,0),"n.a."))</f>
        <v>0</v>
      </c>
      <c r="L2527" s="16">
        <f>IF(NOT(Paths!$C$236=1),0,IF(Paths!$P$236="Complete",IF(C2527=10,Paths!$I$236,0),"n.a."))</f>
        <v>0</v>
      </c>
      <c r="M2527" s="16">
        <f>IF(NOT(Paths!$C$236=1),0,IF(Paths!$P$236="Complete",IF(AND(Paths!$D$236="EV",Paths!$E$236&lt;120,Paths!$E$236+'Operating costs'!$B$65&gt;Paths!$E$236,Paths!$E$236+'Operating costs'!$B$65&lt;=120,IF(Paths!$E$236+'Operating costs'!$B$65=0,C2527=0,AND(C2527&gt;0,Paths!$E$236+'Operating costs'!$B$65&gt;(C2527-1)*12,Paths!$E$236+'Operating costs'!$B$65&lt;=C2527*12))),'Operating costs'!$B$64,0)+IF(AND('Operating costs'!$B$67&gt;0,'Operating costs'!$B$67&lt;=120,OR(Paths!$D$236="ICE",'Operating costs'!$B$67&lt;=Paths!$E$236),IF('Operating costs'!$B$67=0,C2527=0,AND(C2527&gt;0,'Operating costs'!$B$67&gt;(C2527-1)*12,'Operating costs'!$B$67&lt;=C2527*12))),'Operating costs'!$B$66,0),"n.a."))</f>
        <v>0</v>
      </c>
      <c r="N2527" s="16">
        <f>IF(NOT(Paths!$C$236=1),0,IF(Paths!$P$236="Complete",SUM(G2527:I2527)-J2527-K2527-L2527+M2527+IF(C2527=0,Paths!$F$236,0)+IF(IF(Paths!$E$236=0,C2527=0,AND(C2527&gt;0,Paths!$E$236&gt;(C2527-1)*12,Paths!$E$236&lt;=C2527*12)),VLOOKUP(A2527,'Fleet register'!$A$7:$S$106,16,FALSE),0),"n.a."))</f>
        <v>0</v>
      </c>
      <c r="O2527" s="16">
        <f>IF(NOT(Paths!$C$236=1),0,IF(Paths!$P$236="Complete",N2527-IF(C2527=0,Paths!$F$236,0),"n.a."))</f>
        <v>0</v>
      </c>
      <c r="P2527" s="16">
        <f>IF(NOT(Paths!$C$236=1),0,IF(Paths!$P$236="Complete",O2527+L2527,"n.a."))</f>
        <v>0</v>
      </c>
      <c r="Q2527" s="16">
        <f>IF(NOT(Paths!$C$236=1),0,IF(Paths!$P$236="Complete",N2527*(1+'Operating costs'!$B$54)^-C2527,"n.a."))</f>
        <v>0</v>
      </c>
      <c r="R2527" s="16">
        <f>IF(NOT(Paths!$C$236=1),0,IF(Paths!$P$236="Complete",IF(AND(C2527=0,Paths!$E$236=0),I2527-J2527-K2527+VLOOKUP(A2527,'Fleet register'!$A$7:$S$106,15,FALSE)+VLOOKUP(A2527,'Fleet register'!$A$7:$S$106,16,FALSE),0),"n.a."))</f>
        <v>0</v>
      </c>
      <c r="S2527" s="1">
        <f>IF(NOT(Paths!$C$236=1),0,IF(Paths!$P$236="Complete",IF(C2527=0,0,Paths!$S$236*Paths!$R$236),"n.a."))</f>
        <v>0</v>
      </c>
      <c r="T2527" s="1">
        <f>IF(NOT(Paths!$C$236=1),0,IF(Paths!$P$236="Complete",IF(C2527=0,0,VLOOKUP(A2527,'Fleet register'!$A$7:$S$106,9,FALSE)*Paths!$R$236),"n.a."))</f>
        <v>0</v>
      </c>
    </row>
    <row r="2528" spans="1:20" ht="24" customHeight="1">
      <c r="A2528" s="1" t="str">
        <f>Paths!$A$236</f>
        <v>T058</v>
      </c>
      <c r="B2528" s="1">
        <f>Paths!$B$236</f>
        <v>1</v>
      </c>
      <c r="C2528" s="1">
        <v>2</v>
      </c>
      <c r="D2528" s="1">
        <v>236</v>
      </c>
      <c r="E2528" s="1">
        <f>IF(OR(Paths!$C$236=0,C2528=0),0,MAX(0,MIN(C2528*12,Paths!$E$236)-(C2528-1)*12))</f>
        <v>0</v>
      </c>
      <c r="F2528" s="1">
        <f>IF(OR(Paths!$C$236=0,C2528=0),0,12-E2528)</f>
        <v>0</v>
      </c>
      <c r="G2528" s="16">
        <f>IF(NOT(Paths!$C$236=1),0,IF(Paths!$P$236="Complete",E2528/12*(Paths!$J$236*(1+'Operating costs'!$B$51)^MAX(0,C2528-1)+Paths!$K$236*(1+'Operating costs'!$B$53)^MAX(0,C2528-1)),"n.a."))</f>
        <v>0</v>
      </c>
      <c r="H2528" s="16">
        <f>IF(NOT(Paths!$C$236=1),0,IF(Paths!$P$236="Complete",F2528/12*(Paths!$L$236*(1+IF(Paths!$D$236="EV",'Operating costs'!$B$52,'Operating costs'!$B$51))^MAX(0,C2528-1)+Paths!$M$236*(1+'Operating costs'!$B$53)^MAX(0,C2528-1)),"n.a."))</f>
        <v>0</v>
      </c>
      <c r="I2528" s="16">
        <f>IF(NOT(Paths!$C$236=1),0,IF(Paths!$P$236="Complete",IF(IF(Paths!$E$236=0,C2528=0,AND(C2528&gt;0,Paths!$E$236&gt;(C2528-1)*12,Paths!$E$236&lt;=C2528*12)),Paths!$G$236,0),"n.a."))</f>
        <v>0</v>
      </c>
      <c r="J2528" s="16">
        <f>IF(NOT(Paths!$C$236=1),0,IF(Paths!$P$236="Complete",IF(IF(Paths!$E$236=0,C2528=0,AND(C2528&gt;0,Paths!$E$236&gt;(C2528-1)*12,Paths!$E$236&lt;=C2528*12)),Paths!$H$236,0),"n.a."))</f>
        <v>0</v>
      </c>
      <c r="K2528" s="16">
        <f>IF(NOT(Paths!$C$236=1),0,IF(Paths!$P$236="Complete",IF(IF(Paths!$O$236=0,C2528=0,AND(C2528&gt;0,Paths!$O$236&gt;(C2528-1)*12,Paths!$O$236&lt;=C2528*12)),Paths!$N$236,0),"n.a."))</f>
        <v>0</v>
      </c>
      <c r="L2528" s="16">
        <f>IF(NOT(Paths!$C$236=1),0,IF(Paths!$P$236="Complete",IF(C2528=10,Paths!$I$236,0),"n.a."))</f>
        <v>0</v>
      </c>
      <c r="M2528" s="16">
        <f>IF(NOT(Paths!$C$236=1),0,IF(Paths!$P$236="Complete",IF(AND(Paths!$D$236="EV",Paths!$E$236&lt;120,Paths!$E$236+'Operating costs'!$B$65&gt;Paths!$E$236,Paths!$E$236+'Operating costs'!$B$65&lt;=120,IF(Paths!$E$236+'Operating costs'!$B$65=0,C2528=0,AND(C2528&gt;0,Paths!$E$236+'Operating costs'!$B$65&gt;(C2528-1)*12,Paths!$E$236+'Operating costs'!$B$65&lt;=C2528*12))),'Operating costs'!$B$64,0)+IF(AND('Operating costs'!$B$67&gt;0,'Operating costs'!$B$67&lt;=120,OR(Paths!$D$236="ICE",'Operating costs'!$B$67&lt;=Paths!$E$236),IF('Operating costs'!$B$67=0,C2528=0,AND(C2528&gt;0,'Operating costs'!$B$67&gt;(C2528-1)*12,'Operating costs'!$B$67&lt;=C2528*12))),'Operating costs'!$B$66,0),"n.a."))</f>
        <v>0</v>
      </c>
      <c r="N2528" s="16">
        <f>IF(NOT(Paths!$C$236=1),0,IF(Paths!$P$236="Complete",SUM(G2528:I2528)-J2528-K2528-L2528+M2528+IF(C2528=0,Paths!$F$236,0)+IF(IF(Paths!$E$236=0,C2528=0,AND(C2528&gt;0,Paths!$E$236&gt;(C2528-1)*12,Paths!$E$236&lt;=C2528*12)),VLOOKUP(A2528,'Fleet register'!$A$7:$S$106,16,FALSE),0),"n.a."))</f>
        <v>0</v>
      </c>
      <c r="O2528" s="16">
        <f>IF(NOT(Paths!$C$236=1),0,IF(Paths!$P$236="Complete",N2528-IF(C2528=0,Paths!$F$236,0),"n.a."))</f>
        <v>0</v>
      </c>
      <c r="P2528" s="16">
        <f>IF(NOT(Paths!$C$236=1),0,IF(Paths!$P$236="Complete",O2528+L2528,"n.a."))</f>
        <v>0</v>
      </c>
      <c r="Q2528" s="16">
        <f>IF(NOT(Paths!$C$236=1),0,IF(Paths!$P$236="Complete",N2528*(1+'Operating costs'!$B$54)^-C2528,"n.a."))</f>
        <v>0</v>
      </c>
      <c r="R2528" s="16">
        <f>IF(NOT(Paths!$C$236=1),0,IF(Paths!$P$236="Complete",IF(AND(C2528=0,Paths!$E$236=0),I2528-J2528-K2528+VLOOKUP(A2528,'Fleet register'!$A$7:$S$106,15,FALSE)+VLOOKUP(A2528,'Fleet register'!$A$7:$S$106,16,FALSE),0),"n.a."))</f>
        <v>0</v>
      </c>
      <c r="S2528" s="1">
        <f>IF(NOT(Paths!$C$236=1),0,IF(Paths!$P$236="Complete",IF(C2528=0,0,Paths!$S$236*Paths!$R$236),"n.a."))</f>
        <v>0</v>
      </c>
      <c r="T2528" s="1">
        <f>IF(NOT(Paths!$C$236=1),0,IF(Paths!$P$236="Complete",IF(C2528=0,0,VLOOKUP(A2528,'Fleet register'!$A$7:$S$106,9,FALSE)*Paths!$R$236),"n.a."))</f>
        <v>0</v>
      </c>
    </row>
    <row r="2529" spans="1:20" ht="24" customHeight="1">
      <c r="A2529" s="1" t="str">
        <f>Paths!$A$236</f>
        <v>T058</v>
      </c>
      <c r="B2529" s="1">
        <f>Paths!$B$236</f>
        <v>1</v>
      </c>
      <c r="C2529" s="1">
        <v>3</v>
      </c>
      <c r="D2529" s="1">
        <v>236</v>
      </c>
      <c r="E2529" s="1">
        <f>IF(OR(Paths!$C$236=0,C2529=0),0,MAX(0,MIN(C2529*12,Paths!$E$236)-(C2529-1)*12))</f>
        <v>0</v>
      </c>
      <c r="F2529" s="1">
        <f>IF(OR(Paths!$C$236=0,C2529=0),0,12-E2529)</f>
        <v>0</v>
      </c>
      <c r="G2529" s="16">
        <f>IF(NOT(Paths!$C$236=1),0,IF(Paths!$P$236="Complete",E2529/12*(Paths!$J$236*(1+'Operating costs'!$B$51)^MAX(0,C2529-1)+Paths!$K$236*(1+'Operating costs'!$B$53)^MAX(0,C2529-1)),"n.a."))</f>
        <v>0</v>
      </c>
      <c r="H2529" s="16">
        <f>IF(NOT(Paths!$C$236=1),0,IF(Paths!$P$236="Complete",F2529/12*(Paths!$L$236*(1+IF(Paths!$D$236="EV",'Operating costs'!$B$52,'Operating costs'!$B$51))^MAX(0,C2529-1)+Paths!$M$236*(1+'Operating costs'!$B$53)^MAX(0,C2529-1)),"n.a."))</f>
        <v>0</v>
      </c>
      <c r="I2529" s="16">
        <f>IF(NOT(Paths!$C$236=1),0,IF(Paths!$P$236="Complete",IF(IF(Paths!$E$236=0,C2529=0,AND(C2529&gt;0,Paths!$E$236&gt;(C2529-1)*12,Paths!$E$236&lt;=C2529*12)),Paths!$G$236,0),"n.a."))</f>
        <v>0</v>
      </c>
      <c r="J2529" s="16">
        <f>IF(NOT(Paths!$C$236=1),0,IF(Paths!$P$236="Complete",IF(IF(Paths!$E$236=0,C2529=0,AND(C2529&gt;0,Paths!$E$236&gt;(C2529-1)*12,Paths!$E$236&lt;=C2529*12)),Paths!$H$236,0),"n.a."))</f>
        <v>0</v>
      </c>
      <c r="K2529" s="16">
        <f>IF(NOT(Paths!$C$236=1),0,IF(Paths!$P$236="Complete",IF(IF(Paths!$O$236=0,C2529=0,AND(C2529&gt;0,Paths!$O$236&gt;(C2529-1)*12,Paths!$O$236&lt;=C2529*12)),Paths!$N$236,0),"n.a."))</f>
        <v>0</v>
      </c>
      <c r="L2529" s="16">
        <f>IF(NOT(Paths!$C$236=1),0,IF(Paths!$P$236="Complete",IF(C2529=10,Paths!$I$236,0),"n.a."))</f>
        <v>0</v>
      </c>
      <c r="M2529" s="16">
        <f>IF(NOT(Paths!$C$236=1),0,IF(Paths!$P$236="Complete",IF(AND(Paths!$D$236="EV",Paths!$E$236&lt;120,Paths!$E$236+'Operating costs'!$B$65&gt;Paths!$E$236,Paths!$E$236+'Operating costs'!$B$65&lt;=120,IF(Paths!$E$236+'Operating costs'!$B$65=0,C2529=0,AND(C2529&gt;0,Paths!$E$236+'Operating costs'!$B$65&gt;(C2529-1)*12,Paths!$E$236+'Operating costs'!$B$65&lt;=C2529*12))),'Operating costs'!$B$64,0)+IF(AND('Operating costs'!$B$67&gt;0,'Operating costs'!$B$67&lt;=120,OR(Paths!$D$236="ICE",'Operating costs'!$B$67&lt;=Paths!$E$236),IF('Operating costs'!$B$67=0,C2529=0,AND(C2529&gt;0,'Operating costs'!$B$67&gt;(C2529-1)*12,'Operating costs'!$B$67&lt;=C2529*12))),'Operating costs'!$B$66,0),"n.a."))</f>
        <v>0</v>
      </c>
      <c r="N2529" s="16">
        <f>IF(NOT(Paths!$C$236=1),0,IF(Paths!$P$236="Complete",SUM(G2529:I2529)-J2529-K2529-L2529+M2529+IF(C2529=0,Paths!$F$236,0)+IF(IF(Paths!$E$236=0,C2529=0,AND(C2529&gt;0,Paths!$E$236&gt;(C2529-1)*12,Paths!$E$236&lt;=C2529*12)),VLOOKUP(A2529,'Fleet register'!$A$7:$S$106,16,FALSE),0),"n.a."))</f>
        <v>0</v>
      </c>
      <c r="O2529" s="16">
        <f>IF(NOT(Paths!$C$236=1),0,IF(Paths!$P$236="Complete",N2529-IF(C2529=0,Paths!$F$236,0),"n.a."))</f>
        <v>0</v>
      </c>
      <c r="P2529" s="16">
        <f>IF(NOT(Paths!$C$236=1),0,IF(Paths!$P$236="Complete",O2529+L2529,"n.a."))</f>
        <v>0</v>
      </c>
      <c r="Q2529" s="16">
        <f>IF(NOT(Paths!$C$236=1),0,IF(Paths!$P$236="Complete",N2529*(1+'Operating costs'!$B$54)^-C2529,"n.a."))</f>
        <v>0</v>
      </c>
      <c r="R2529" s="16">
        <f>IF(NOT(Paths!$C$236=1),0,IF(Paths!$P$236="Complete",IF(AND(C2529=0,Paths!$E$236=0),I2529-J2529-K2529+VLOOKUP(A2529,'Fleet register'!$A$7:$S$106,15,FALSE)+VLOOKUP(A2529,'Fleet register'!$A$7:$S$106,16,FALSE),0),"n.a."))</f>
        <v>0</v>
      </c>
      <c r="S2529" s="1">
        <f>IF(NOT(Paths!$C$236=1),0,IF(Paths!$P$236="Complete",IF(C2529=0,0,Paths!$S$236*Paths!$R$236),"n.a."))</f>
        <v>0</v>
      </c>
      <c r="T2529" s="1">
        <f>IF(NOT(Paths!$C$236=1),0,IF(Paths!$P$236="Complete",IF(C2529=0,0,VLOOKUP(A2529,'Fleet register'!$A$7:$S$106,9,FALSE)*Paths!$R$236),"n.a."))</f>
        <v>0</v>
      </c>
    </row>
    <row r="2530" spans="1:20" ht="24" customHeight="1">
      <c r="A2530" s="1" t="str">
        <f>Paths!$A$236</f>
        <v>T058</v>
      </c>
      <c r="B2530" s="1">
        <f>Paths!$B$236</f>
        <v>1</v>
      </c>
      <c r="C2530" s="1">
        <v>4</v>
      </c>
      <c r="D2530" s="1">
        <v>236</v>
      </c>
      <c r="E2530" s="1">
        <f>IF(OR(Paths!$C$236=0,C2530=0),0,MAX(0,MIN(C2530*12,Paths!$E$236)-(C2530-1)*12))</f>
        <v>0</v>
      </c>
      <c r="F2530" s="1">
        <f>IF(OR(Paths!$C$236=0,C2530=0),0,12-E2530)</f>
        <v>0</v>
      </c>
      <c r="G2530" s="16">
        <f>IF(NOT(Paths!$C$236=1),0,IF(Paths!$P$236="Complete",E2530/12*(Paths!$J$236*(1+'Operating costs'!$B$51)^MAX(0,C2530-1)+Paths!$K$236*(1+'Operating costs'!$B$53)^MAX(0,C2530-1)),"n.a."))</f>
        <v>0</v>
      </c>
      <c r="H2530" s="16">
        <f>IF(NOT(Paths!$C$236=1),0,IF(Paths!$P$236="Complete",F2530/12*(Paths!$L$236*(1+IF(Paths!$D$236="EV",'Operating costs'!$B$52,'Operating costs'!$B$51))^MAX(0,C2530-1)+Paths!$M$236*(1+'Operating costs'!$B$53)^MAX(0,C2530-1)),"n.a."))</f>
        <v>0</v>
      </c>
      <c r="I2530" s="16">
        <f>IF(NOT(Paths!$C$236=1),0,IF(Paths!$P$236="Complete",IF(IF(Paths!$E$236=0,C2530=0,AND(C2530&gt;0,Paths!$E$236&gt;(C2530-1)*12,Paths!$E$236&lt;=C2530*12)),Paths!$G$236,0),"n.a."))</f>
        <v>0</v>
      </c>
      <c r="J2530" s="16">
        <f>IF(NOT(Paths!$C$236=1),0,IF(Paths!$P$236="Complete",IF(IF(Paths!$E$236=0,C2530=0,AND(C2530&gt;0,Paths!$E$236&gt;(C2530-1)*12,Paths!$E$236&lt;=C2530*12)),Paths!$H$236,0),"n.a."))</f>
        <v>0</v>
      </c>
      <c r="K2530" s="16">
        <f>IF(NOT(Paths!$C$236=1),0,IF(Paths!$P$236="Complete",IF(IF(Paths!$O$236=0,C2530=0,AND(C2530&gt;0,Paths!$O$236&gt;(C2530-1)*12,Paths!$O$236&lt;=C2530*12)),Paths!$N$236,0),"n.a."))</f>
        <v>0</v>
      </c>
      <c r="L2530" s="16">
        <f>IF(NOT(Paths!$C$236=1),0,IF(Paths!$P$236="Complete",IF(C2530=10,Paths!$I$236,0),"n.a."))</f>
        <v>0</v>
      </c>
      <c r="M2530" s="16">
        <f>IF(NOT(Paths!$C$236=1),0,IF(Paths!$P$236="Complete",IF(AND(Paths!$D$236="EV",Paths!$E$236&lt;120,Paths!$E$236+'Operating costs'!$B$65&gt;Paths!$E$236,Paths!$E$236+'Operating costs'!$B$65&lt;=120,IF(Paths!$E$236+'Operating costs'!$B$65=0,C2530=0,AND(C2530&gt;0,Paths!$E$236+'Operating costs'!$B$65&gt;(C2530-1)*12,Paths!$E$236+'Operating costs'!$B$65&lt;=C2530*12))),'Operating costs'!$B$64,0)+IF(AND('Operating costs'!$B$67&gt;0,'Operating costs'!$B$67&lt;=120,OR(Paths!$D$236="ICE",'Operating costs'!$B$67&lt;=Paths!$E$236),IF('Operating costs'!$B$67=0,C2530=0,AND(C2530&gt;0,'Operating costs'!$B$67&gt;(C2530-1)*12,'Operating costs'!$B$67&lt;=C2530*12))),'Operating costs'!$B$66,0),"n.a."))</f>
        <v>0</v>
      </c>
      <c r="N2530" s="16">
        <f>IF(NOT(Paths!$C$236=1),0,IF(Paths!$P$236="Complete",SUM(G2530:I2530)-J2530-K2530-L2530+M2530+IF(C2530=0,Paths!$F$236,0)+IF(IF(Paths!$E$236=0,C2530=0,AND(C2530&gt;0,Paths!$E$236&gt;(C2530-1)*12,Paths!$E$236&lt;=C2530*12)),VLOOKUP(A2530,'Fleet register'!$A$7:$S$106,16,FALSE),0),"n.a."))</f>
        <v>0</v>
      </c>
      <c r="O2530" s="16">
        <f>IF(NOT(Paths!$C$236=1),0,IF(Paths!$P$236="Complete",N2530-IF(C2530=0,Paths!$F$236,0),"n.a."))</f>
        <v>0</v>
      </c>
      <c r="P2530" s="16">
        <f>IF(NOT(Paths!$C$236=1),0,IF(Paths!$P$236="Complete",O2530+L2530,"n.a."))</f>
        <v>0</v>
      </c>
      <c r="Q2530" s="16">
        <f>IF(NOT(Paths!$C$236=1),0,IF(Paths!$P$236="Complete",N2530*(1+'Operating costs'!$B$54)^-C2530,"n.a."))</f>
        <v>0</v>
      </c>
      <c r="R2530" s="16">
        <f>IF(NOT(Paths!$C$236=1),0,IF(Paths!$P$236="Complete",IF(AND(C2530=0,Paths!$E$236=0),I2530-J2530-K2530+VLOOKUP(A2530,'Fleet register'!$A$7:$S$106,15,FALSE)+VLOOKUP(A2530,'Fleet register'!$A$7:$S$106,16,FALSE),0),"n.a."))</f>
        <v>0</v>
      </c>
      <c r="S2530" s="1">
        <f>IF(NOT(Paths!$C$236=1),0,IF(Paths!$P$236="Complete",IF(C2530=0,0,Paths!$S$236*Paths!$R$236),"n.a."))</f>
        <v>0</v>
      </c>
      <c r="T2530" s="1">
        <f>IF(NOT(Paths!$C$236=1),0,IF(Paths!$P$236="Complete",IF(C2530=0,0,VLOOKUP(A2530,'Fleet register'!$A$7:$S$106,9,FALSE)*Paths!$R$236),"n.a."))</f>
        <v>0</v>
      </c>
    </row>
    <row r="2531" spans="1:20" ht="24" customHeight="1">
      <c r="A2531" s="1" t="str">
        <f>Paths!$A$236</f>
        <v>T058</v>
      </c>
      <c r="B2531" s="1">
        <f>Paths!$B$236</f>
        <v>1</v>
      </c>
      <c r="C2531" s="1">
        <v>5</v>
      </c>
      <c r="D2531" s="1">
        <v>236</v>
      </c>
      <c r="E2531" s="1">
        <f>IF(OR(Paths!$C$236=0,C2531=0),0,MAX(0,MIN(C2531*12,Paths!$E$236)-(C2531-1)*12))</f>
        <v>0</v>
      </c>
      <c r="F2531" s="1">
        <f>IF(OR(Paths!$C$236=0,C2531=0),0,12-E2531)</f>
        <v>0</v>
      </c>
      <c r="G2531" s="16">
        <f>IF(NOT(Paths!$C$236=1),0,IF(Paths!$P$236="Complete",E2531/12*(Paths!$J$236*(1+'Operating costs'!$B$51)^MAX(0,C2531-1)+Paths!$K$236*(1+'Operating costs'!$B$53)^MAX(0,C2531-1)),"n.a."))</f>
        <v>0</v>
      </c>
      <c r="H2531" s="16">
        <f>IF(NOT(Paths!$C$236=1),0,IF(Paths!$P$236="Complete",F2531/12*(Paths!$L$236*(1+IF(Paths!$D$236="EV",'Operating costs'!$B$52,'Operating costs'!$B$51))^MAX(0,C2531-1)+Paths!$M$236*(1+'Operating costs'!$B$53)^MAX(0,C2531-1)),"n.a."))</f>
        <v>0</v>
      </c>
      <c r="I2531" s="16">
        <f>IF(NOT(Paths!$C$236=1),0,IF(Paths!$P$236="Complete",IF(IF(Paths!$E$236=0,C2531=0,AND(C2531&gt;0,Paths!$E$236&gt;(C2531-1)*12,Paths!$E$236&lt;=C2531*12)),Paths!$G$236,0),"n.a."))</f>
        <v>0</v>
      </c>
      <c r="J2531" s="16">
        <f>IF(NOT(Paths!$C$236=1),0,IF(Paths!$P$236="Complete",IF(IF(Paths!$E$236=0,C2531=0,AND(C2531&gt;0,Paths!$E$236&gt;(C2531-1)*12,Paths!$E$236&lt;=C2531*12)),Paths!$H$236,0),"n.a."))</f>
        <v>0</v>
      </c>
      <c r="K2531" s="16">
        <f>IF(NOT(Paths!$C$236=1),0,IF(Paths!$P$236="Complete",IF(IF(Paths!$O$236=0,C2531=0,AND(C2531&gt;0,Paths!$O$236&gt;(C2531-1)*12,Paths!$O$236&lt;=C2531*12)),Paths!$N$236,0),"n.a."))</f>
        <v>0</v>
      </c>
      <c r="L2531" s="16">
        <f>IF(NOT(Paths!$C$236=1),0,IF(Paths!$P$236="Complete",IF(C2531=10,Paths!$I$236,0),"n.a."))</f>
        <v>0</v>
      </c>
      <c r="M2531" s="16">
        <f>IF(NOT(Paths!$C$236=1),0,IF(Paths!$P$236="Complete",IF(AND(Paths!$D$236="EV",Paths!$E$236&lt;120,Paths!$E$236+'Operating costs'!$B$65&gt;Paths!$E$236,Paths!$E$236+'Operating costs'!$B$65&lt;=120,IF(Paths!$E$236+'Operating costs'!$B$65=0,C2531=0,AND(C2531&gt;0,Paths!$E$236+'Operating costs'!$B$65&gt;(C2531-1)*12,Paths!$E$236+'Operating costs'!$B$65&lt;=C2531*12))),'Operating costs'!$B$64,0)+IF(AND('Operating costs'!$B$67&gt;0,'Operating costs'!$B$67&lt;=120,OR(Paths!$D$236="ICE",'Operating costs'!$B$67&lt;=Paths!$E$236),IF('Operating costs'!$B$67=0,C2531=0,AND(C2531&gt;0,'Operating costs'!$B$67&gt;(C2531-1)*12,'Operating costs'!$B$67&lt;=C2531*12))),'Operating costs'!$B$66,0),"n.a."))</f>
        <v>0</v>
      </c>
      <c r="N2531" s="16">
        <f>IF(NOT(Paths!$C$236=1),0,IF(Paths!$P$236="Complete",SUM(G2531:I2531)-J2531-K2531-L2531+M2531+IF(C2531=0,Paths!$F$236,0)+IF(IF(Paths!$E$236=0,C2531=0,AND(C2531&gt;0,Paths!$E$236&gt;(C2531-1)*12,Paths!$E$236&lt;=C2531*12)),VLOOKUP(A2531,'Fleet register'!$A$7:$S$106,16,FALSE),0),"n.a."))</f>
        <v>0</v>
      </c>
      <c r="O2531" s="16">
        <f>IF(NOT(Paths!$C$236=1),0,IF(Paths!$P$236="Complete",N2531-IF(C2531=0,Paths!$F$236,0),"n.a."))</f>
        <v>0</v>
      </c>
      <c r="P2531" s="16">
        <f>IF(NOT(Paths!$C$236=1),0,IF(Paths!$P$236="Complete",O2531+L2531,"n.a."))</f>
        <v>0</v>
      </c>
      <c r="Q2531" s="16">
        <f>IF(NOT(Paths!$C$236=1),0,IF(Paths!$P$236="Complete",N2531*(1+'Operating costs'!$B$54)^-C2531,"n.a."))</f>
        <v>0</v>
      </c>
      <c r="R2531" s="16">
        <f>IF(NOT(Paths!$C$236=1),0,IF(Paths!$P$236="Complete",IF(AND(C2531=0,Paths!$E$236=0),I2531-J2531-K2531+VLOOKUP(A2531,'Fleet register'!$A$7:$S$106,15,FALSE)+VLOOKUP(A2531,'Fleet register'!$A$7:$S$106,16,FALSE),0),"n.a."))</f>
        <v>0</v>
      </c>
      <c r="S2531" s="1">
        <f>IF(NOT(Paths!$C$236=1),0,IF(Paths!$P$236="Complete",IF(C2531=0,0,Paths!$S$236*Paths!$R$236),"n.a."))</f>
        <v>0</v>
      </c>
      <c r="T2531" s="1">
        <f>IF(NOT(Paths!$C$236=1),0,IF(Paths!$P$236="Complete",IF(C2531=0,0,VLOOKUP(A2531,'Fleet register'!$A$7:$S$106,9,FALSE)*Paths!$R$236),"n.a."))</f>
        <v>0</v>
      </c>
    </row>
    <row r="2532" spans="1:20" ht="24" customHeight="1">
      <c r="A2532" s="1" t="str">
        <f>Paths!$A$236</f>
        <v>T058</v>
      </c>
      <c r="B2532" s="1">
        <f>Paths!$B$236</f>
        <v>1</v>
      </c>
      <c r="C2532" s="1">
        <v>6</v>
      </c>
      <c r="D2532" s="1">
        <v>236</v>
      </c>
      <c r="E2532" s="1">
        <f>IF(OR(Paths!$C$236=0,C2532=0),0,MAX(0,MIN(C2532*12,Paths!$E$236)-(C2532-1)*12))</f>
        <v>0</v>
      </c>
      <c r="F2532" s="1">
        <f>IF(OR(Paths!$C$236=0,C2532=0),0,12-E2532)</f>
        <v>0</v>
      </c>
      <c r="G2532" s="16">
        <f>IF(NOT(Paths!$C$236=1),0,IF(Paths!$P$236="Complete",E2532/12*(Paths!$J$236*(1+'Operating costs'!$B$51)^MAX(0,C2532-1)+Paths!$K$236*(1+'Operating costs'!$B$53)^MAX(0,C2532-1)),"n.a."))</f>
        <v>0</v>
      </c>
      <c r="H2532" s="16">
        <f>IF(NOT(Paths!$C$236=1),0,IF(Paths!$P$236="Complete",F2532/12*(Paths!$L$236*(1+IF(Paths!$D$236="EV",'Operating costs'!$B$52,'Operating costs'!$B$51))^MAX(0,C2532-1)+Paths!$M$236*(1+'Operating costs'!$B$53)^MAX(0,C2532-1)),"n.a."))</f>
        <v>0</v>
      </c>
      <c r="I2532" s="16">
        <f>IF(NOT(Paths!$C$236=1),0,IF(Paths!$P$236="Complete",IF(IF(Paths!$E$236=0,C2532=0,AND(C2532&gt;0,Paths!$E$236&gt;(C2532-1)*12,Paths!$E$236&lt;=C2532*12)),Paths!$G$236,0),"n.a."))</f>
        <v>0</v>
      </c>
      <c r="J2532" s="16">
        <f>IF(NOT(Paths!$C$236=1),0,IF(Paths!$P$236="Complete",IF(IF(Paths!$E$236=0,C2532=0,AND(C2532&gt;0,Paths!$E$236&gt;(C2532-1)*12,Paths!$E$236&lt;=C2532*12)),Paths!$H$236,0),"n.a."))</f>
        <v>0</v>
      </c>
      <c r="K2532" s="16">
        <f>IF(NOT(Paths!$C$236=1),0,IF(Paths!$P$236="Complete",IF(IF(Paths!$O$236=0,C2532=0,AND(C2532&gt;0,Paths!$O$236&gt;(C2532-1)*12,Paths!$O$236&lt;=C2532*12)),Paths!$N$236,0),"n.a."))</f>
        <v>0</v>
      </c>
      <c r="L2532" s="16">
        <f>IF(NOT(Paths!$C$236=1),0,IF(Paths!$P$236="Complete",IF(C2532=10,Paths!$I$236,0),"n.a."))</f>
        <v>0</v>
      </c>
      <c r="M2532" s="16">
        <f>IF(NOT(Paths!$C$236=1),0,IF(Paths!$P$236="Complete",IF(AND(Paths!$D$236="EV",Paths!$E$236&lt;120,Paths!$E$236+'Operating costs'!$B$65&gt;Paths!$E$236,Paths!$E$236+'Operating costs'!$B$65&lt;=120,IF(Paths!$E$236+'Operating costs'!$B$65=0,C2532=0,AND(C2532&gt;0,Paths!$E$236+'Operating costs'!$B$65&gt;(C2532-1)*12,Paths!$E$236+'Operating costs'!$B$65&lt;=C2532*12))),'Operating costs'!$B$64,0)+IF(AND('Operating costs'!$B$67&gt;0,'Operating costs'!$B$67&lt;=120,OR(Paths!$D$236="ICE",'Operating costs'!$B$67&lt;=Paths!$E$236),IF('Operating costs'!$B$67=0,C2532=0,AND(C2532&gt;0,'Operating costs'!$B$67&gt;(C2532-1)*12,'Operating costs'!$B$67&lt;=C2532*12))),'Operating costs'!$B$66,0),"n.a."))</f>
        <v>0</v>
      </c>
      <c r="N2532" s="16">
        <f>IF(NOT(Paths!$C$236=1),0,IF(Paths!$P$236="Complete",SUM(G2532:I2532)-J2532-K2532-L2532+M2532+IF(C2532=0,Paths!$F$236,0)+IF(IF(Paths!$E$236=0,C2532=0,AND(C2532&gt;0,Paths!$E$236&gt;(C2532-1)*12,Paths!$E$236&lt;=C2532*12)),VLOOKUP(A2532,'Fleet register'!$A$7:$S$106,16,FALSE),0),"n.a."))</f>
        <v>0</v>
      </c>
      <c r="O2532" s="16">
        <f>IF(NOT(Paths!$C$236=1),0,IF(Paths!$P$236="Complete",N2532-IF(C2532=0,Paths!$F$236,0),"n.a."))</f>
        <v>0</v>
      </c>
      <c r="P2532" s="16">
        <f>IF(NOT(Paths!$C$236=1),0,IF(Paths!$P$236="Complete",O2532+L2532,"n.a."))</f>
        <v>0</v>
      </c>
      <c r="Q2532" s="16">
        <f>IF(NOT(Paths!$C$236=1),0,IF(Paths!$P$236="Complete",N2532*(1+'Operating costs'!$B$54)^-C2532,"n.a."))</f>
        <v>0</v>
      </c>
      <c r="R2532" s="16">
        <f>IF(NOT(Paths!$C$236=1),0,IF(Paths!$P$236="Complete",IF(AND(C2532=0,Paths!$E$236=0),I2532-J2532-K2532+VLOOKUP(A2532,'Fleet register'!$A$7:$S$106,15,FALSE)+VLOOKUP(A2532,'Fleet register'!$A$7:$S$106,16,FALSE),0),"n.a."))</f>
        <v>0</v>
      </c>
      <c r="S2532" s="1">
        <f>IF(NOT(Paths!$C$236=1),0,IF(Paths!$P$236="Complete",IF(C2532=0,0,Paths!$S$236*Paths!$R$236),"n.a."))</f>
        <v>0</v>
      </c>
      <c r="T2532" s="1">
        <f>IF(NOT(Paths!$C$236=1),0,IF(Paths!$P$236="Complete",IF(C2532=0,0,VLOOKUP(A2532,'Fleet register'!$A$7:$S$106,9,FALSE)*Paths!$R$236),"n.a."))</f>
        <v>0</v>
      </c>
    </row>
    <row r="2533" spans="1:20" ht="24" customHeight="1">
      <c r="A2533" s="1" t="str">
        <f>Paths!$A$236</f>
        <v>T058</v>
      </c>
      <c r="B2533" s="1">
        <f>Paths!$B$236</f>
        <v>1</v>
      </c>
      <c r="C2533" s="1">
        <v>7</v>
      </c>
      <c r="D2533" s="1">
        <v>236</v>
      </c>
      <c r="E2533" s="1">
        <f>IF(OR(Paths!$C$236=0,C2533=0),0,MAX(0,MIN(C2533*12,Paths!$E$236)-(C2533-1)*12))</f>
        <v>0</v>
      </c>
      <c r="F2533" s="1">
        <f>IF(OR(Paths!$C$236=0,C2533=0),0,12-E2533)</f>
        <v>0</v>
      </c>
      <c r="G2533" s="16">
        <f>IF(NOT(Paths!$C$236=1),0,IF(Paths!$P$236="Complete",E2533/12*(Paths!$J$236*(1+'Operating costs'!$B$51)^MAX(0,C2533-1)+Paths!$K$236*(1+'Operating costs'!$B$53)^MAX(0,C2533-1)),"n.a."))</f>
        <v>0</v>
      </c>
      <c r="H2533" s="16">
        <f>IF(NOT(Paths!$C$236=1),0,IF(Paths!$P$236="Complete",F2533/12*(Paths!$L$236*(1+IF(Paths!$D$236="EV",'Operating costs'!$B$52,'Operating costs'!$B$51))^MAX(0,C2533-1)+Paths!$M$236*(1+'Operating costs'!$B$53)^MAX(0,C2533-1)),"n.a."))</f>
        <v>0</v>
      </c>
      <c r="I2533" s="16">
        <f>IF(NOT(Paths!$C$236=1),0,IF(Paths!$P$236="Complete",IF(IF(Paths!$E$236=0,C2533=0,AND(C2533&gt;0,Paths!$E$236&gt;(C2533-1)*12,Paths!$E$236&lt;=C2533*12)),Paths!$G$236,0),"n.a."))</f>
        <v>0</v>
      </c>
      <c r="J2533" s="16">
        <f>IF(NOT(Paths!$C$236=1),0,IF(Paths!$P$236="Complete",IF(IF(Paths!$E$236=0,C2533=0,AND(C2533&gt;0,Paths!$E$236&gt;(C2533-1)*12,Paths!$E$236&lt;=C2533*12)),Paths!$H$236,0),"n.a."))</f>
        <v>0</v>
      </c>
      <c r="K2533" s="16">
        <f>IF(NOT(Paths!$C$236=1),0,IF(Paths!$P$236="Complete",IF(IF(Paths!$O$236=0,C2533=0,AND(C2533&gt;0,Paths!$O$236&gt;(C2533-1)*12,Paths!$O$236&lt;=C2533*12)),Paths!$N$236,0),"n.a."))</f>
        <v>0</v>
      </c>
      <c r="L2533" s="16">
        <f>IF(NOT(Paths!$C$236=1),0,IF(Paths!$P$236="Complete",IF(C2533=10,Paths!$I$236,0),"n.a."))</f>
        <v>0</v>
      </c>
      <c r="M2533" s="16">
        <f>IF(NOT(Paths!$C$236=1),0,IF(Paths!$P$236="Complete",IF(AND(Paths!$D$236="EV",Paths!$E$236&lt;120,Paths!$E$236+'Operating costs'!$B$65&gt;Paths!$E$236,Paths!$E$236+'Operating costs'!$B$65&lt;=120,IF(Paths!$E$236+'Operating costs'!$B$65=0,C2533=0,AND(C2533&gt;0,Paths!$E$236+'Operating costs'!$B$65&gt;(C2533-1)*12,Paths!$E$236+'Operating costs'!$B$65&lt;=C2533*12))),'Operating costs'!$B$64,0)+IF(AND('Operating costs'!$B$67&gt;0,'Operating costs'!$B$67&lt;=120,OR(Paths!$D$236="ICE",'Operating costs'!$B$67&lt;=Paths!$E$236),IF('Operating costs'!$B$67=0,C2533=0,AND(C2533&gt;0,'Operating costs'!$B$67&gt;(C2533-1)*12,'Operating costs'!$B$67&lt;=C2533*12))),'Operating costs'!$B$66,0),"n.a."))</f>
        <v>0</v>
      </c>
      <c r="N2533" s="16">
        <f>IF(NOT(Paths!$C$236=1),0,IF(Paths!$P$236="Complete",SUM(G2533:I2533)-J2533-K2533-L2533+M2533+IF(C2533=0,Paths!$F$236,0)+IF(IF(Paths!$E$236=0,C2533=0,AND(C2533&gt;0,Paths!$E$236&gt;(C2533-1)*12,Paths!$E$236&lt;=C2533*12)),VLOOKUP(A2533,'Fleet register'!$A$7:$S$106,16,FALSE),0),"n.a."))</f>
        <v>0</v>
      </c>
      <c r="O2533" s="16">
        <f>IF(NOT(Paths!$C$236=1),0,IF(Paths!$P$236="Complete",N2533-IF(C2533=0,Paths!$F$236,0),"n.a."))</f>
        <v>0</v>
      </c>
      <c r="P2533" s="16">
        <f>IF(NOT(Paths!$C$236=1),0,IF(Paths!$P$236="Complete",O2533+L2533,"n.a."))</f>
        <v>0</v>
      </c>
      <c r="Q2533" s="16">
        <f>IF(NOT(Paths!$C$236=1),0,IF(Paths!$P$236="Complete",N2533*(1+'Operating costs'!$B$54)^-C2533,"n.a."))</f>
        <v>0</v>
      </c>
      <c r="R2533" s="16">
        <f>IF(NOT(Paths!$C$236=1),0,IF(Paths!$P$236="Complete",IF(AND(C2533=0,Paths!$E$236=0),I2533-J2533-K2533+VLOOKUP(A2533,'Fleet register'!$A$7:$S$106,15,FALSE)+VLOOKUP(A2533,'Fleet register'!$A$7:$S$106,16,FALSE),0),"n.a."))</f>
        <v>0</v>
      </c>
      <c r="S2533" s="1">
        <f>IF(NOT(Paths!$C$236=1),0,IF(Paths!$P$236="Complete",IF(C2533=0,0,Paths!$S$236*Paths!$R$236),"n.a."))</f>
        <v>0</v>
      </c>
      <c r="T2533" s="1">
        <f>IF(NOT(Paths!$C$236=1),0,IF(Paths!$P$236="Complete",IF(C2533=0,0,VLOOKUP(A2533,'Fleet register'!$A$7:$S$106,9,FALSE)*Paths!$R$236),"n.a."))</f>
        <v>0</v>
      </c>
    </row>
    <row r="2534" spans="1:20" ht="24" customHeight="1">
      <c r="A2534" s="1" t="str">
        <f>Paths!$A$236</f>
        <v>T058</v>
      </c>
      <c r="B2534" s="1">
        <f>Paths!$B$236</f>
        <v>1</v>
      </c>
      <c r="C2534" s="1">
        <v>8</v>
      </c>
      <c r="D2534" s="1">
        <v>236</v>
      </c>
      <c r="E2534" s="1">
        <f>IF(OR(Paths!$C$236=0,C2534=0),0,MAX(0,MIN(C2534*12,Paths!$E$236)-(C2534-1)*12))</f>
        <v>0</v>
      </c>
      <c r="F2534" s="1">
        <f>IF(OR(Paths!$C$236=0,C2534=0),0,12-E2534)</f>
        <v>0</v>
      </c>
      <c r="G2534" s="16">
        <f>IF(NOT(Paths!$C$236=1),0,IF(Paths!$P$236="Complete",E2534/12*(Paths!$J$236*(1+'Operating costs'!$B$51)^MAX(0,C2534-1)+Paths!$K$236*(1+'Operating costs'!$B$53)^MAX(0,C2534-1)),"n.a."))</f>
        <v>0</v>
      </c>
      <c r="H2534" s="16">
        <f>IF(NOT(Paths!$C$236=1),0,IF(Paths!$P$236="Complete",F2534/12*(Paths!$L$236*(1+IF(Paths!$D$236="EV",'Operating costs'!$B$52,'Operating costs'!$B$51))^MAX(0,C2534-1)+Paths!$M$236*(1+'Operating costs'!$B$53)^MAX(0,C2534-1)),"n.a."))</f>
        <v>0</v>
      </c>
      <c r="I2534" s="16">
        <f>IF(NOT(Paths!$C$236=1),0,IF(Paths!$P$236="Complete",IF(IF(Paths!$E$236=0,C2534=0,AND(C2534&gt;0,Paths!$E$236&gt;(C2534-1)*12,Paths!$E$236&lt;=C2534*12)),Paths!$G$236,0),"n.a."))</f>
        <v>0</v>
      </c>
      <c r="J2534" s="16">
        <f>IF(NOT(Paths!$C$236=1),0,IF(Paths!$P$236="Complete",IF(IF(Paths!$E$236=0,C2534=0,AND(C2534&gt;0,Paths!$E$236&gt;(C2534-1)*12,Paths!$E$236&lt;=C2534*12)),Paths!$H$236,0),"n.a."))</f>
        <v>0</v>
      </c>
      <c r="K2534" s="16">
        <f>IF(NOT(Paths!$C$236=1),0,IF(Paths!$P$236="Complete",IF(IF(Paths!$O$236=0,C2534=0,AND(C2534&gt;0,Paths!$O$236&gt;(C2534-1)*12,Paths!$O$236&lt;=C2534*12)),Paths!$N$236,0),"n.a."))</f>
        <v>0</v>
      </c>
      <c r="L2534" s="16">
        <f>IF(NOT(Paths!$C$236=1),0,IF(Paths!$P$236="Complete",IF(C2534=10,Paths!$I$236,0),"n.a."))</f>
        <v>0</v>
      </c>
      <c r="M2534" s="16">
        <f>IF(NOT(Paths!$C$236=1),0,IF(Paths!$P$236="Complete",IF(AND(Paths!$D$236="EV",Paths!$E$236&lt;120,Paths!$E$236+'Operating costs'!$B$65&gt;Paths!$E$236,Paths!$E$236+'Operating costs'!$B$65&lt;=120,IF(Paths!$E$236+'Operating costs'!$B$65=0,C2534=0,AND(C2534&gt;0,Paths!$E$236+'Operating costs'!$B$65&gt;(C2534-1)*12,Paths!$E$236+'Operating costs'!$B$65&lt;=C2534*12))),'Operating costs'!$B$64,0)+IF(AND('Operating costs'!$B$67&gt;0,'Operating costs'!$B$67&lt;=120,OR(Paths!$D$236="ICE",'Operating costs'!$B$67&lt;=Paths!$E$236),IF('Operating costs'!$B$67=0,C2534=0,AND(C2534&gt;0,'Operating costs'!$B$67&gt;(C2534-1)*12,'Operating costs'!$B$67&lt;=C2534*12))),'Operating costs'!$B$66,0),"n.a."))</f>
        <v>0</v>
      </c>
      <c r="N2534" s="16">
        <f>IF(NOT(Paths!$C$236=1),0,IF(Paths!$P$236="Complete",SUM(G2534:I2534)-J2534-K2534-L2534+M2534+IF(C2534=0,Paths!$F$236,0)+IF(IF(Paths!$E$236=0,C2534=0,AND(C2534&gt;0,Paths!$E$236&gt;(C2534-1)*12,Paths!$E$236&lt;=C2534*12)),VLOOKUP(A2534,'Fleet register'!$A$7:$S$106,16,FALSE),0),"n.a."))</f>
        <v>0</v>
      </c>
      <c r="O2534" s="16">
        <f>IF(NOT(Paths!$C$236=1),0,IF(Paths!$P$236="Complete",N2534-IF(C2534=0,Paths!$F$236,0),"n.a."))</f>
        <v>0</v>
      </c>
      <c r="P2534" s="16">
        <f>IF(NOT(Paths!$C$236=1),0,IF(Paths!$P$236="Complete",O2534+L2534,"n.a."))</f>
        <v>0</v>
      </c>
      <c r="Q2534" s="16">
        <f>IF(NOT(Paths!$C$236=1),0,IF(Paths!$P$236="Complete",N2534*(1+'Operating costs'!$B$54)^-C2534,"n.a."))</f>
        <v>0</v>
      </c>
      <c r="R2534" s="16">
        <f>IF(NOT(Paths!$C$236=1),0,IF(Paths!$P$236="Complete",IF(AND(C2534=0,Paths!$E$236=0),I2534-J2534-K2534+VLOOKUP(A2534,'Fleet register'!$A$7:$S$106,15,FALSE)+VLOOKUP(A2534,'Fleet register'!$A$7:$S$106,16,FALSE),0),"n.a."))</f>
        <v>0</v>
      </c>
      <c r="S2534" s="1">
        <f>IF(NOT(Paths!$C$236=1),0,IF(Paths!$P$236="Complete",IF(C2534=0,0,Paths!$S$236*Paths!$R$236),"n.a."))</f>
        <v>0</v>
      </c>
      <c r="T2534" s="1">
        <f>IF(NOT(Paths!$C$236=1),0,IF(Paths!$P$236="Complete",IF(C2534=0,0,VLOOKUP(A2534,'Fleet register'!$A$7:$S$106,9,FALSE)*Paths!$R$236),"n.a."))</f>
        <v>0</v>
      </c>
    </row>
    <row r="2535" spans="1:20" ht="24" customHeight="1">
      <c r="A2535" s="1" t="str">
        <f>Paths!$A$236</f>
        <v>T058</v>
      </c>
      <c r="B2535" s="1">
        <f>Paths!$B$236</f>
        <v>1</v>
      </c>
      <c r="C2535" s="1">
        <v>9</v>
      </c>
      <c r="D2535" s="1">
        <v>236</v>
      </c>
      <c r="E2535" s="1">
        <f>IF(OR(Paths!$C$236=0,C2535=0),0,MAX(0,MIN(C2535*12,Paths!$E$236)-(C2535-1)*12))</f>
        <v>0</v>
      </c>
      <c r="F2535" s="1">
        <f>IF(OR(Paths!$C$236=0,C2535=0),0,12-E2535)</f>
        <v>0</v>
      </c>
      <c r="G2535" s="16">
        <f>IF(NOT(Paths!$C$236=1),0,IF(Paths!$P$236="Complete",E2535/12*(Paths!$J$236*(1+'Operating costs'!$B$51)^MAX(0,C2535-1)+Paths!$K$236*(1+'Operating costs'!$B$53)^MAX(0,C2535-1)),"n.a."))</f>
        <v>0</v>
      </c>
      <c r="H2535" s="16">
        <f>IF(NOT(Paths!$C$236=1),0,IF(Paths!$P$236="Complete",F2535/12*(Paths!$L$236*(1+IF(Paths!$D$236="EV",'Operating costs'!$B$52,'Operating costs'!$B$51))^MAX(0,C2535-1)+Paths!$M$236*(1+'Operating costs'!$B$53)^MAX(0,C2535-1)),"n.a."))</f>
        <v>0</v>
      </c>
      <c r="I2535" s="16">
        <f>IF(NOT(Paths!$C$236=1),0,IF(Paths!$P$236="Complete",IF(IF(Paths!$E$236=0,C2535=0,AND(C2535&gt;0,Paths!$E$236&gt;(C2535-1)*12,Paths!$E$236&lt;=C2535*12)),Paths!$G$236,0),"n.a."))</f>
        <v>0</v>
      </c>
      <c r="J2535" s="16">
        <f>IF(NOT(Paths!$C$236=1),0,IF(Paths!$P$236="Complete",IF(IF(Paths!$E$236=0,C2535=0,AND(C2535&gt;0,Paths!$E$236&gt;(C2535-1)*12,Paths!$E$236&lt;=C2535*12)),Paths!$H$236,0),"n.a."))</f>
        <v>0</v>
      </c>
      <c r="K2535" s="16">
        <f>IF(NOT(Paths!$C$236=1),0,IF(Paths!$P$236="Complete",IF(IF(Paths!$O$236=0,C2535=0,AND(C2535&gt;0,Paths!$O$236&gt;(C2535-1)*12,Paths!$O$236&lt;=C2535*12)),Paths!$N$236,0),"n.a."))</f>
        <v>0</v>
      </c>
      <c r="L2535" s="16">
        <f>IF(NOT(Paths!$C$236=1),0,IF(Paths!$P$236="Complete",IF(C2535=10,Paths!$I$236,0),"n.a."))</f>
        <v>0</v>
      </c>
      <c r="M2535" s="16">
        <f>IF(NOT(Paths!$C$236=1),0,IF(Paths!$P$236="Complete",IF(AND(Paths!$D$236="EV",Paths!$E$236&lt;120,Paths!$E$236+'Operating costs'!$B$65&gt;Paths!$E$236,Paths!$E$236+'Operating costs'!$B$65&lt;=120,IF(Paths!$E$236+'Operating costs'!$B$65=0,C2535=0,AND(C2535&gt;0,Paths!$E$236+'Operating costs'!$B$65&gt;(C2535-1)*12,Paths!$E$236+'Operating costs'!$B$65&lt;=C2535*12))),'Operating costs'!$B$64,0)+IF(AND('Operating costs'!$B$67&gt;0,'Operating costs'!$B$67&lt;=120,OR(Paths!$D$236="ICE",'Operating costs'!$B$67&lt;=Paths!$E$236),IF('Operating costs'!$B$67=0,C2535=0,AND(C2535&gt;0,'Operating costs'!$B$67&gt;(C2535-1)*12,'Operating costs'!$B$67&lt;=C2535*12))),'Operating costs'!$B$66,0),"n.a."))</f>
        <v>0</v>
      </c>
      <c r="N2535" s="16">
        <f>IF(NOT(Paths!$C$236=1),0,IF(Paths!$P$236="Complete",SUM(G2535:I2535)-J2535-K2535-L2535+M2535+IF(C2535=0,Paths!$F$236,0)+IF(IF(Paths!$E$236=0,C2535=0,AND(C2535&gt;0,Paths!$E$236&gt;(C2535-1)*12,Paths!$E$236&lt;=C2535*12)),VLOOKUP(A2535,'Fleet register'!$A$7:$S$106,16,FALSE),0),"n.a."))</f>
        <v>0</v>
      </c>
      <c r="O2535" s="16">
        <f>IF(NOT(Paths!$C$236=1),0,IF(Paths!$P$236="Complete",N2535-IF(C2535=0,Paths!$F$236,0),"n.a."))</f>
        <v>0</v>
      </c>
      <c r="P2535" s="16">
        <f>IF(NOT(Paths!$C$236=1),0,IF(Paths!$P$236="Complete",O2535+L2535,"n.a."))</f>
        <v>0</v>
      </c>
      <c r="Q2535" s="16">
        <f>IF(NOT(Paths!$C$236=1),0,IF(Paths!$P$236="Complete",N2535*(1+'Operating costs'!$B$54)^-C2535,"n.a."))</f>
        <v>0</v>
      </c>
      <c r="R2535" s="16">
        <f>IF(NOT(Paths!$C$236=1),0,IF(Paths!$P$236="Complete",IF(AND(C2535=0,Paths!$E$236=0),I2535-J2535-K2535+VLOOKUP(A2535,'Fleet register'!$A$7:$S$106,15,FALSE)+VLOOKUP(A2535,'Fleet register'!$A$7:$S$106,16,FALSE),0),"n.a."))</f>
        <v>0</v>
      </c>
      <c r="S2535" s="1">
        <f>IF(NOT(Paths!$C$236=1),0,IF(Paths!$P$236="Complete",IF(C2535=0,0,Paths!$S$236*Paths!$R$236),"n.a."))</f>
        <v>0</v>
      </c>
      <c r="T2535" s="1">
        <f>IF(NOT(Paths!$C$236=1),0,IF(Paths!$P$236="Complete",IF(C2535=0,0,VLOOKUP(A2535,'Fleet register'!$A$7:$S$106,9,FALSE)*Paths!$R$236),"n.a."))</f>
        <v>0</v>
      </c>
    </row>
    <row r="2536" spans="1:20" ht="24" customHeight="1">
      <c r="A2536" s="1" t="str">
        <f>Paths!$A$236</f>
        <v>T058</v>
      </c>
      <c r="B2536" s="1">
        <f>Paths!$B$236</f>
        <v>1</v>
      </c>
      <c r="C2536" s="1">
        <v>10</v>
      </c>
      <c r="D2536" s="1">
        <v>236</v>
      </c>
      <c r="E2536" s="1">
        <f>IF(OR(Paths!$C$236=0,C2536=0),0,MAX(0,MIN(C2536*12,Paths!$E$236)-(C2536-1)*12))</f>
        <v>0</v>
      </c>
      <c r="F2536" s="1">
        <f>IF(OR(Paths!$C$236=0,C2536=0),0,12-E2536)</f>
        <v>0</v>
      </c>
      <c r="G2536" s="16">
        <f>IF(NOT(Paths!$C$236=1),0,IF(Paths!$P$236="Complete",E2536/12*(Paths!$J$236*(1+'Operating costs'!$B$51)^MAX(0,C2536-1)+Paths!$K$236*(1+'Operating costs'!$B$53)^MAX(0,C2536-1)),"n.a."))</f>
        <v>0</v>
      </c>
      <c r="H2536" s="16">
        <f>IF(NOT(Paths!$C$236=1),0,IF(Paths!$P$236="Complete",F2536/12*(Paths!$L$236*(1+IF(Paths!$D$236="EV",'Operating costs'!$B$52,'Operating costs'!$B$51))^MAX(0,C2536-1)+Paths!$M$236*(1+'Operating costs'!$B$53)^MAX(0,C2536-1)),"n.a."))</f>
        <v>0</v>
      </c>
      <c r="I2536" s="16">
        <f>IF(NOT(Paths!$C$236=1),0,IF(Paths!$P$236="Complete",IF(IF(Paths!$E$236=0,C2536=0,AND(C2536&gt;0,Paths!$E$236&gt;(C2536-1)*12,Paths!$E$236&lt;=C2536*12)),Paths!$G$236,0),"n.a."))</f>
        <v>0</v>
      </c>
      <c r="J2536" s="16">
        <f>IF(NOT(Paths!$C$236=1),0,IF(Paths!$P$236="Complete",IF(IF(Paths!$E$236=0,C2536=0,AND(C2536&gt;0,Paths!$E$236&gt;(C2536-1)*12,Paths!$E$236&lt;=C2536*12)),Paths!$H$236,0),"n.a."))</f>
        <v>0</v>
      </c>
      <c r="K2536" s="16">
        <f>IF(NOT(Paths!$C$236=1),0,IF(Paths!$P$236="Complete",IF(IF(Paths!$O$236=0,C2536=0,AND(C2536&gt;0,Paths!$O$236&gt;(C2536-1)*12,Paths!$O$236&lt;=C2536*12)),Paths!$N$236,0),"n.a."))</f>
        <v>0</v>
      </c>
      <c r="L2536" s="16">
        <f>IF(NOT(Paths!$C$236=1),0,IF(Paths!$P$236="Complete",IF(C2536=10,Paths!$I$236,0),"n.a."))</f>
        <v>0</v>
      </c>
      <c r="M2536" s="16">
        <f>IF(NOT(Paths!$C$236=1),0,IF(Paths!$P$236="Complete",IF(AND(Paths!$D$236="EV",Paths!$E$236&lt;120,Paths!$E$236+'Operating costs'!$B$65&gt;Paths!$E$236,Paths!$E$236+'Operating costs'!$B$65&lt;=120,IF(Paths!$E$236+'Operating costs'!$B$65=0,C2536=0,AND(C2536&gt;0,Paths!$E$236+'Operating costs'!$B$65&gt;(C2536-1)*12,Paths!$E$236+'Operating costs'!$B$65&lt;=C2536*12))),'Operating costs'!$B$64,0)+IF(AND('Operating costs'!$B$67&gt;0,'Operating costs'!$B$67&lt;=120,OR(Paths!$D$236="ICE",'Operating costs'!$B$67&lt;=Paths!$E$236),IF('Operating costs'!$B$67=0,C2536=0,AND(C2536&gt;0,'Operating costs'!$B$67&gt;(C2536-1)*12,'Operating costs'!$B$67&lt;=C2536*12))),'Operating costs'!$B$66,0),"n.a."))</f>
        <v>0</v>
      </c>
      <c r="N2536" s="16">
        <f>IF(NOT(Paths!$C$236=1),0,IF(Paths!$P$236="Complete",SUM(G2536:I2536)-J2536-K2536-L2536+M2536+IF(C2536=0,Paths!$F$236,0)+IF(IF(Paths!$E$236=0,C2536=0,AND(C2536&gt;0,Paths!$E$236&gt;(C2536-1)*12,Paths!$E$236&lt;=C2536*12)),VLOOKUP(A2536,'Fleet register'!$A$7:$S$106,16,FALSE),0),"n.a."))</f>
        <v>0</v>
      </c>
      <c r="O2536" s="16">
        <f>IF(NOT(Paths!$C$236=1),0,IF(Paths!$P$236="Complete",N2536-IF(C2536=0,Paths!$F$236,0),"n.a."))</f>
        <v>0</v>
      </c>
      <c r="P2536" s="16">
        <f>IF(NOT(Paths!$C$236=1),0,IF(Paths!$P$236="Complete",O2536+L2536,"n.a."))</f>
        <v>0</v>
      </c>
      <c r="Q2536" s="16">
        <f>IF(NOT(Paths!$C$236=1),0,IF(Paths!$P$236="Complete",N2536*(1+'Operating costs'!$B$54)^-C2536,"n.a."))</f>
        <v>0</v>
      </c>
      <c r="R2536" s="16">
        <f>IF(NOT(Paths!$C$236=1),0,IF(Paths!$P$236="Complete",IF(AND(C2536=0,Paths!$E$236=0),I2536-J2536-K2536+VLOOKUP(A2536,'Fleet register'!$A$7:$S$106,15,FALSE)+VLOOKUP(A2536,'Fleet register'!$A$7:$S$106,16,FALSE),0),"n.a."))</f>
        <v>0</v>
      </c>
      <c r="S2536" s="1">
        <f>IF(NOT(Paths!$C$236=1),0,IF(Paths!$P$236="Complete",IF(C2536=0,0,Paths!$S$236*Paths!$R$236),"n.a."))</f>
        <v>0</v>
      </c>
      <c r="T2536" s="1">
        <f>IF(NOT(Paths!$C$236=1),0,IF(Paths!$P$236="Complete",IF(C2536=0,0,VLOOKUP(A2536,'Fleet register'!$A$7:$S$106,9,FALSE)*Paths!$R$236),"n.a."))</f>
        <v>0</v>
      </c>
    </row>
    <row r="2537" spans="1:20" ht="24" customHeight="1">
      <c r="A2537" s="1" t="str">
        <f>Paths!$A$237</f>
        <v>T058</v>
      </c>
      <c r="B2537" s="1">
        <f>Paths!$B$237</f>
        <v>2</v>
      </c>
      <c r="C2537" s="1">
        <v>0</v>
      </c>
      <c r="D2537" s="1">
        <v>237</v>
      </c>
      <c r="E2537" s="1">
        <f>IF(OR(Paths!$C$237=0,C2537=0),0,MAX(0,MIN(C2537*12,Paths!$E$237)-(C2537-1)*12))</f>
        <v>0</v>
      </c>
      <c r="F2537" s="1">
        <f>IF(OR(Paths!$C$237=0,C2537=0),0,12-E2537)</f>
        <v>0</v>
      </c>
      <c r="G2537" s="16">
        <f>IF(NOT(Paths!$C$237=1),0,IF(Paths!$P$237="Complete",E2537/12*(Paths!$J$237*(1+'Operating costs'!$B$51)^MAX(0,C2537-1)+Paths!$K$237*(1+'Operating costs'!$B$53)^MAX(0,C2537-1)),"n.a."))</f>
        <v>0</v>
      </c>
      <c r="H2537" s="16">
        <f>IF(NOT(Paths!$C$237=1),0,IF(Paths!$P$237="Complete",F2537/12*(Paths!$L$237*(1+IF(Paths!$D$237="EV",'Operating costs'!$B$52,'Operating costs'!$B$51))^MAX(0,C2537-1)+Paths!$M$237*(1+'Operating costs'!$B$53)^MAX(0,C2537-1)),"n.a."))</f>
        <v>0</v>
      </c>
      <c r="I2537" s="16">
        <f>IF(NOT(Paths!$C$237=1),0,IF(Paths!$P$237="Complete",IF(IF(Paths!$E$237=0,C2537=0,AND(C2537&gt;0,Paths!$E$237&gt;(C2537-1)*12,Paths!$E$237&lt;=C2537*12)),Paths!$G$237,0),"n.a."))</f>
        <v>0</v>
      </c>
      <c r="J2537" s="16">
        <f>IF(NOT(Paths!$C$237=1),0,IF(Paths!$P$237="Complete",IF(IF(Paths!$E$237=0,C2537=0,AND(C2537&gt;0,Paths!$E$237&gt;(C2537-1)*12,Paths!$E$237&lt;=C2537*12)),Paths!$H$237,0),"n.a."))</f>
        <v>0</v>
      </c>
      <c r="K2537" s="16">
        <f>IF(NOT(Paths!$C$237=1),0,IF(Paths!$P$237="Complete",IF(IF(Paths!$O$237=0,C2537=0,AND(C2537&gt;0,Paths!$O$237&gt;(C2537-1)*12,Paths!$O$237&lt;=C2537*12)),Paths!$N$237,0),"n.a."))</f>
        <v>0</v>
      </c>
      <c r="L2537" s="16">
        <f>IF(NOT(Paths!$C$237=1),0,IF(Paths!$P$237="Complete",IF(C2537=10,Paths!$I$237,0),"n.a."))</f>
        <v>0</v>
      </c>
      <c r="M2537" s="16">
        <f>IF(NOT(Paths!$C$237=1),0,IF(Paths!$P$237="Complete",IF(AND(Paths!$D$237="EV",Paths!$E$237&lt;120,Paths!$E$237+'Operating costs'!$B$65&gt;Paths!$E$237,Paths!$E$237+'Operating costs'!$B$65&lt;=120,IF(Paths!$E$237+'Operating costs'!$B$65=0,C2537=0,AND(C2537&gt;0,Paths!$E$237+'Operating costs'!$B$65&gt;(C2537-1)*12,Paths!$E$237+'Operating costs'!$B$65&lt;=C2537*12))),'Operating costs'!$B$64,0)+IF(AND('Operating costs'!$B$67&gt;0,'Operating costs'!$B$67&lt;=120,OR(Paths!$D$237="ICE",'Operating costs'!$B$67&lt;=Paths!$E$237),IF('Operating costs'!$B$67=0,C2537=0,AND(C2537&gt;0,'Operating costs'!$B$67&gt;(C2537-1)*12,'Operating costs'!$B$67&lt;=C2537*12))),'Operating costs'!$B$66,0),"n.a."))</f>
        <v>0</v>
      </c>
      <c r="N2537" s="16">
        <f>IF(NOT(Paths!$C$237=1),0,IF(Paths!$P$237="Complete",SUM(G2537:I2537)-J2537-K2537-L2537+M2537+IF(C2537=0,Paths!$F$237,0)+IF(IF(Paths!$E$237=0,C2537=0,AND(C2537&gt;0,Paths!$E$237&gt;(C2537-1)*12,Paths!$E$237&lt;=C2537*12)),VLOOKUP(A2537,'Fleet register'!$A$7:$S$106,16,FALSE),0),"n.a."))</f>
        <v>0</v>
      </c>
      <c r="O2537" s="16">
        <f>IF(NOT(Paths!$C$237=1),0,IF(Paths!$P$237="Complete",N2537-IF(C2537=0,Paths!$F$237,0),"n.a."))</f>
        <v>0</v>
      </c>
      <c r="P2537" s="16">
        <f>IF(NOT(Paths!$C$237=1),0,IF(Paths!$P$237="Complete",O2537+L2537,"n.a."))</f>
        <v>0</v>
      </c>
      <c r="Q2537" s="16">
        <f>IF(NOT(Paths!$C$237=1),0,IF(Paths!$P$237="Complete",N2537*(1+'Operating costs'!$B$54)^-C2537,"n.a."))</f>
        <v>0</v>
      </c>
      <c r="R2537" s="16">
        <f>IF(NOT(Paths!$C$237=1),0,IF(Paths!$P$237="Complete",IF(AND(C2537=0,Paths!$E$237=0),I2537-J2537-K2537+VLOOKUP(A2537,'Fleet register'!$A$7:$S$106,15,FALSE)+VLOOKUP(A2537,'Fleet register'!$A$7:$S$106,16,FALSE),0),"n.a."))</f>
        <v>0</v>
      </c>
      <c r="S2537" s="1">
        <f>IF(NOT(Paths!$C$237=1),0,IF(Paths!$P$237="Complete",IF(C2537=0,0,Paths!$S$237*Paths!$R$237),"n.a."))</f>
        <v>0</v>
      </c>
      <c r="T2537" s="1">
        <f>IF(NOT(Paths!$C$237=1),0,IF(Paths!$P$237="Complete",IF(C2537=0,0,VLOOKUP(A2537,'Fleet register'!$A$7:$S$106,9,FALSE)*Paths!$R$237),"n.a."))</f>
        <v>0</v>
      </c>
    </row>
    <row r="2538" spans="1:20" ht="24" customHeight="1">
      <c r="A2538" s="1" t="str">
        <f>Paths!$A$237</f>
        <v>T058</v>
      </c>
      <c r="B2538" s="1">
        <f>Paths!$B$237</f>
        <v>2</v>
      </c>
      <c r="C2538" s="1">
        <v>1</v>
      </c>
      <c r="D2538" s="1">
        <v>237</v>
      </c>
      <c r="E2538" s="1">
        <f>IF(OR(Paths!$C$237=0,C2538=0),0,MAX(0,MIN(C2538*12,Paths!$E$237)-(C2538-1)*12))</f>
        <v>0</v>
      </c>
      <c r="F2538" s="1">
        <f>IF(OR(Paths!$C$237=0,C2538=0),0,12-E2538)</f>
        <v>0</v>
      </c>
      <c r="G2538" s="16">
        <f>IF(NOT(Paths!$C$237=1),0,IF(Paths!$P$237="Complete",E2538/12*(Paths!$J$237*(1+'Operating costs'!$B$51)^MAX(0,C2538-1)+Paths!$K$237*(1+'Operating costs'!$B$53)^MAX(0,C2538-1)),"n.a."))</f>
        <v>0</v>
      </c>
      <c r="H2538" s="16">
        <f>IF(NOT(Paths!$C$237=1),0,IF(Paths!$P$237="Complete",F2538/12*(Paths!$L$237*(1+IF(Paths!$D$237="EV",'Operating costs'!$B$52,'Operating costs'!$B$51))^MAX(0,C2538-1)+Paths!$M$237*(1+'Operating costs'!$B$53)^MAX(0,C2538-1)),"n.a."))</f>
        <v>0</v>
      </c>
      <c r="I2538" s="16">
        <f>IF(NOT(Paths!$C$237=1),0,IF(Paths!$P$237="Complete",IF(IF(Paths!$E$237=0,C2538=0,AND(C2538&gt;0,Paths!$E$237&gt;(C2538-1)*12,Paths!$E$237&lt;=C2538*12)),Paths!$G$237,0),"n.a."))</f>
        <v>0</v>
      </c>
      <c r="J2538" s="16">
        <f>IF(NOT(Paths!$C$237=1),0,IF(Paths!$P$237="Complete",IF(IF(Paths!$E$237=0,C2538=0,AND(C2538&gt;0,Paths!$E$237&gt;(C2538-1)*12,Paths!$E$237&lt;=C2538*12)),Paths!$H$237,0),"n.a."))</f>
        <v>0</v>
      </c>
      <c r="K2538" s="16">
        <f>IF(NOT(Paths!$C$237=1),0,IF(Paths!$P$237="Complete",IF(IF(Paths!$O$237=0,C2538=0,AND(C2538&gt;0,Paths!$O$237&gt;(C2538-1)*12,Paths!$O$237&lt;=C2538*12)),Paths!$N$237,0),"n.a."))</f>
        <v>0</v>
      </c>
      <c r="L2538" s="16">
        <f>IF(NOT(Paths!$C$237=1),0,IF(Paths!$P$237="Complete",IF(C2538=10,Paths!$I$237,0),"n.a."))</f>
        <v>0</v>
      </c>
      <c r="M2538" s="16">
        <f>IF(NOT(Paths!$C$237=1),0,IF(Paths!$P$237="Complete",IF(AND(Paths!$D$237="EV",Paths!$E$237&lt;120,Paths!$E$237+'Operating costs'!$B$65&gt;Paths!$E$237,Paths!$E$237+'Operating costs'!$B$65&lt;=120,IF(Paths!$E$237+'Operating costs'!$B$65=0,C2538=0,AND(C2538&gt;0,Paths!$E$237+'Operating costs'!$B$65&gt;(C2538-1)*12,Paths!$E$237+'Operating costs'!$B$65&lt;=C2538*12))),'Operating costs'!$B$64,0)+IF(AND('Operating costs'!$B$67&gt;0,'Operating costs'!$B$67&lt;=120,OR(Paths!$D$237="ICE",'Operating costs'!$B$67&lt;=Paths!$E$237),IF('Operating costs'!$B$67=0,C2538=0,AND(C2538&gt;0,'Operating costs'!$B$67&gt;(C2538-1)*12,'Operating costs'!$B$67&lt;=C2538*12))),'Operating costs'!$B$66,0),"n.a."))</f>
        <v>0</v>
      </c>
      <c r="N2538" s="16">
        <f>IF(NOT(Paths!$C$237=1),0,IF(Paths!$P$237="Complete",SUM(G2538:I2538)-J2538-K2538-L2538+M2538+IF(C2538=0,Paths!$F$237,0)+IF(IF(Paths!$E$237=0,C2538=0,AND(C2538&gt;0,Paths!$E$237&gt;(C2538-1)*12,Paths!$E$237&lt;=C2538*12)),VLOOKUP(A2538,'Fleet register'!$A$7:$S$106,16,FALSE),0),"n.a."))</f>
        <v>0</v>
      </c>
      <c r="O2538" s="16">
        <f>IF(NOT(Paths!$C$237=1),0,IF(Paths!$P$237="Complete",N2538-IF(C2538=0,Paths!$F$237,0),"n.a."))</f>
        <v>0</v>
      </c>
      <c r="P2538" s="16">
        <f>IF(NOT(Paths!$C$237=1),0,IF(Paths!$P$237="Complete",O2538+L2538,"n.a."))</f>
        <v>0</v>
      </c>
      <c r="Q2538" s="16">
        <f>IF(NOT(Paths!$C$237=1),0,IF(Paths!$P$237="Complete",N2538*(1+'Operating costs'!$B$54)^-C2538,"n.a."))</f>
        <v>0</v>
      </c>
      <c r="R2538" s="16">
        <f>IF(NOT(Paths!$C$237=1),0,IF(Paths!$P$237="Complete",IF(AND(C2538=0,Paths!$E$237=0),I2538-J2538-K2538+VLOOKUP(A2538,'Fleet register'!$A$7:$S$106,15,FALSE)+VLOOKUP(A2538,'Fleet register'!$A$7:$S$106,16,FALSE),0),"n.a."))</f>
        <v>0</v>
      </c>
      <c r="S2538" s="1">
        <f>IF(NOT(Paths!$C$237=1),0,IF(Paths!$P$237="Complete",IF(C2538=0,0,Paths!$S$237*Paths!$R$237),"n.a."))</f>
        <v>0</v>
      </c>
      <c r="T2538" s="1">
        <f>IF(NOT(Paths!$C$237=1),0,IF(Paths!$P$237="Complete",IF(C2538=0,0,VLOOKUP(A2538,'Fleet register'!$A$7:$S$106,9,FALSE)*Paths!$R$237),"n.a."))</f>
        <v>0</v>
      </c>
    </row>
    <row r="2539" spans="1:20" ht="24" customHeight="1">
      <c r="A2539" s="1" t="str">
        <f>Paths!$A$237</f>
        <v>T058</v>
      </c>
      <c r="B2539" s="1">
        <f>Paths!$B$237</f>
        <v>2</v>
      </c>
      <c r="C2539" s="1">
        <v>2</v>
      </c>
      <c r="D2539" s="1">
        <v>237</v>
      </c>
      <c r="E2539" s="1">
        <f>IF(OR(Paths!$C$237=0,C2539=0),0,MAX(0,MIN(C2539*12,Paths!$E$237)-(C2539-1)*12))</f>
        <v>0</v>
      </c>
      <c r="F2539" s="1">
        <f>IF(OR(Paths!$C$237=0,C2539=0),0,12-E2539)</f>
        <v>0</v>
      </c>
      <c r="G2539" s="16">
        <f>IF(NOT(Paths!$C$237=1),0,IF(Paths!$P$237="Complete",E2539/12*(Paths!$J$237*(1+'Operating costs'!$B$51)^MAX(0,C2539-1)+Paths!$K$237*(1+'Operating costs'!$B$53)^MAX(0,C2539-1)),"n.a."))</f>
        <v>0</v>
      </c>
      <c r="H2539" s="16">
        <f>IF(NOT(Paths!$C$237=1),0,IF(Paths!$P$237="Complete",F2539/12*(Paths!$L$237*(1+IF(Paths!$D$237="EV",'Operating costs'!$B$52,'Operating costs'!$B$51))^MAX(0,C2539-1)+Paths!$M$237*(1+'Operating costs'!$B$53)^MAX(0,C2539-1)),"n.a."))</f>
        <v>0</v>
      </c>
      <c r="I2539" s="16">
        <f>IF(NOT(Paths!$C$237=1),0,IF(Paths!$P$237="Complete",IF(IF(Paths!$E$237=0,C2539=0,AND(C2539&gt;0,Paths!$E$237&gt;(C2539-1)*12,Paths!$E$237&lt;=C2539*12)),Paths!$G$237,0),"n.a."))</f>
        <v>0</v>
      </c>
      <c r="J2539" s="16">
        <f>IF(NOT(Paths!$C$237=1),0,IF(Paths!$P$237="Complete",IF(IF(Paths!$E$237=0,C2539=0,AND(C2539&gt;0,Paths!$E$237&gt;(C2539-1)*12,Paths!$E$237&lt;=C2539*12)),Paths!$H$237,0),"n.a."))</f>
        <v>0</v>
      </c>
      <c r="K2539" s="16">
        <f>IF(NOT(Paths!$C$237=1),0,IF(Paths!$P$237="Complete",IF(IF(Paths!$O$237=0,C2539=0,AND(C2539&gt;0,Paths!$O$237&gt;(C2539-1)*12,Paths!$O$237&lt;=C2539*12)),Paths!$N$237,0),"n.a."))</f>
        <v>0</v>
      </c>
      <c r="L2539" s="16">
        <f>IF(NOT(Paths!$C$237=1),0,IF(Paths!$P$237="Complete",IF(C2539=10,Paths!$I$237,0),"n.a."))</f>
        <v>0</v>
      </c>
      <c r="M2539" s="16">
        <f>IF(NOT(Paths!$C$237=1),0,IF(Paths!$P$237="Complete",IF(AND(Paths!$D$237="EV",Paths!$E$237&lt;120,Paths!$E$237+'Operating costs'!$B$65&gt;Paths!$E$237,Paths!$E$237+'Operating costs'!$B$65&lt;=120,IF(Paths!$E$237+'Operating costs'!$B$65=0,C2539=0,AND(C2539&gt;0,Paths!$E$237+'Operating costs'!$B$65&gt;(C2539-1)*12,Paths!$E$237+'Operating costs'!$B$65&lt;=C2539*12))),'Operating costs'!$B$64,0)+IF(AND('Operating costs'!$B$67&gt;0,'Operating costs'!$B$67&lt;=120,OR(Paths!$D$237="ICE",'Operating costs'!$B$67&lt;=Paths!$E$237),IF('Operating costs'!$B$67=0,C2539=0,AND(C2539&gt;0,'Operating costs'!$B$67&gt;(C2539-1)*12,'Operating costs'!$B$67&lt;=C2539*12))),'Operating costs'!$B$66,0),"n.a."))</f>
        <v>0</v>
      </c>
      <c r="N2539" s="16">
        <f>IF(NOT(Paths!$C$237=1),0,IF(Paths!$P$237="Complete",SUM(G2539:I2539)-J2539-K2539-L2539+M2539+IF(C2539=0,Paths!$F$237,0)+IF(IF(Paths!$E$237=0,C2539=0,AND(C2539&gt;0,Paths!$E$237&gt;(C2539-1)*12,Paths!$E$237&lt;=C2539*12)),VLOOKUP(A2539,'Fleet register'!$A$7:$S$106,16,FALSE),0),"n.a."))</f>
        <v>0</v>
      </c>
      <c r="O2539" s="16">
        <f>IF(NOT(Paths!$C$237=1),0,IF(Paths!$P$237="Complete",N2539-IF(C2539=0,Paths!$F$237,0),"n.a."))</f>
        <v>0</v>
      </c>
      <c r="P2539" s="16">
        <f>IF(NOT(Paths!$C$237=1),0,IF(Paths!$P$237="Complete",O2539+L2539,"n.a."))</f>
        <v>0</v>
      </c>
      <c r="Q2539" s="16">
        <f>IF(NOT(Paths!$C$237=1),0,IF(Paths!$P$237="Complete",N2539*(1+'Operating costs'!$B$54)^-C2539,"n.a."))</f>
        <v>0</v>
      </c>
      <c r="R2539" s="16">
        <f>IF(NOT(Paths!$C$237=1),0,IF(Paths!$P$237="Complete",IF(AND(C2539=0,Paths!$E$237=0),I2539-J2539-K2539+VLOOKUP(A2539,'Fleet register'!$A$7:$S$106,15,FALSE)+VLOOKUP(A2539,'Fleet register'!$A$7:$S$106,16,FALSE),0),"n.a."))</f>
        <v>0</v>
      </c>
      <c r="S2539" s="1">
        <f>IF(NOT(Paths!$C$237=1),0,IF(Paths!$P$237="Complete",IF(C2539=0,0,Paths!$S$237*Paths!$R$237),"n.a."))</f>
        <v>0</v>
      </c>
      <c r="T2539" s="1">
        <f>IF(NOT(Paths!$C$237=1),0,IF(Paths!$P$237="Complete",IF(C2539=0,0,VLOOKUP(A2539,'Fleet register'!$A$7:$S$106,9,FALSE)*Paths!$R$237),"n.a."))</f>
        <v>0</v>
      </c>
    </row>
    <row r="2540" spans="1:20" ht="24" customHeight="1">
      <c r="A2540" s="1" t="str">
        <f>Paths!$A$237</f>
        <v>T058</v>
      </c>
      <c r="B2540" s="1">
        <f>Paths!$B$237</f>
        <v>2</v>
      </c>
      <c r="C2540" s="1">
        <v>3</v>
      </c>
      <c r="D2540" s="1">
        <v>237</v>
      </c>
      <c r="E2540" s="1">
        <f>IF(OR(Paths!$C$237=0,C2540=0),0,MAX(0,MIN(C2540*12,Paths!$E$237)-(C2540-1)*12))</f>
        <v>0</v>
      </c>
      <c r="F2540" s="1">
        <f>IF(OR(Paths!$C$237=0,C2540=0),0,12-E2540)</f>
        <v>0</v>
      </c>
      <c r="G2540" s="16">
        <f>IF(NOT(Paths!$C$237=1),0,IF(Paths!$P$237="Complete",E2540/12*(Paths!$J$237*(1+'Operating costs'!$B$51)^MAX(0,C2540-1)+Paths!$K$237*(1+'Operating costs'!$B$53)^MAX(0,C2540-1)),"n.a."))</f>
        <v>0</v>
      </c>
      <c r="H2540" s="16">
        <f>IF(NOT(Paths!$C$237=1),0,IF(Paths!$P$237="Complete",F2540/12*(Paths!$L$237*(1+IF(Paths!$D$237="EV",'Operating costs'!$B$52,'Operating costs'!$B$51))^MAX(0,C2540-1)+Paths!$M$237*(1+'Operating costs'!$B$53)^MAX(0,C2540-1)),"n.a."))</f>
        <v>0</v>
      </c>
      <c r="I2540" s="16">
        <f>IF(NOT(Paths!$C$237=1),0,IF(Paths!$P$237="Complete",IF(IF(Paths!$E$237=0,C2540=0,AND(C2540&gt;0,Paths!$E$237&gt;(C2540-1)*12,Paths!$E$237&lt;=C2540*12)),Paths!$G$237,0),"n.a."))</f>
        <v>0</v>
      </c>
      <c r="J2540" s="16">
        <f>IF(NOT(Paths!$C$237=1),0,IF(Paths!$P$237="Complete",IF(IF(Paths!$E$237=0,C2540=0,AND(C2540&gt;0,Paths!$E$237&gt;(C2540-1)*12,Paths!$E$237&lt;=C2540*12)),Paths!$H$237,0),"n.a."))</f>
        <v>0</v>
      </c>
      <c r="K2540" s="16">
        <f>IF(NOT(Paths!$C$237=1),0,IF(Paths!$P$237="Complete",IF(IF(Paths!$O$237=0,C2540=0,AND(C2540&gt;0,Paths!$O$237&gt;(C2540-1)*12,Paths!$O$237&lt;=C2540*12)),Paths!$N$237,0),"n.a."))</f>
        <v>0</v>
      </c>
      <c r="L2540" s="16">
        <f>IF(NOT(Paths!$C$237=1),0,IF(Paths!$P$237="Complete",IF(C2540=10,Paths!$I$237,0),"n.a."))</f>
        <v>0</v>
      </c>
      <c r="M2540" s="16">
        <f>IF(NOT(Paths!$C$237=1),0,IF(Paths!$P$237="Complete",IF(AND(Paths!$D$237="EV",Paths!$E$237&lt;120,Paths!$E$237+'Operating costs'!$B$65&gt;Paths!$E$237,Paths!$E$237+'Operating costs'!$B$65&lt;=120,IF(Paths!$E$237+'Operating costs'!$B$65=0,C2540=0,AND(C2540&gt;0,Paths!$E$237+'Operating costs'!$B$65&gt;(C2540-1)*12,Paths!$E$237+'Operating costs'!$B$65&lt;=C2540*12))),'Operating costs'!$B$64,0)+IF(AND('Operating costs'!$B$67&gt;0,'Operating costs'!$B$67&lt;=120,OR(Paths!$D$237="ICE",'Operating costs'!$B$67&lt;=Paths!$E$237),IF('Operating costs'!$B$67=0,C2540=0,AND(C2540&gt;0,'Operating costs'!$B$67&gt;(C2540-1)*12,'Operating costs'!$B$67&lt;=C2540*12))),'Operating costs'!$B$66,0),"n.a."))</f>
        <v>0</v>
      </c>
      <c r="N2540" s="16">
        <f>IF(NOT(Paths!$C$237=1),0,IF(Paths!$P$237="Complete",SUM(G2540:I2540)-J2540-K2540-L2540+M2540+IF(C2540=0,Paths!$F$237,0)+IF(IF(Paths!$E$237=0,C2540=0,AND(C2540&gt;0,Paths!$E$237&gt;(C2540-1)*12,Paths!$E$237&lt;=C2540*12)),VLOOKUP(A2540,'Fleet register'!$A$7:$S$106,16,FALSE),0),"n.a."))</f>
        <v>0</v>
      </c>
      <c r="O2540" s="16">
        <f>IF(NOT(Paths!$C$237=1),0,IF(Paths!$P$237="Complete",N2540-IF(C2540=0,Paths!$F$237,0),"n.a."))</f>
        <v>0</v>
      </c>
      <c r="P2540" s="16">
        <f>IF(NOT(Paths!$C$237=1),0,IF(Paths!$P$237="Complete",O2540+L2540,"n.a."))</f>
        <v>0</v>
      </c>
      <c r="Q2540" s="16">
        <f>IF(NOT(Paths!$C$237=1),0,IF(Paths!$P$237="Complete",N2540*(1+'Operating costs'!$B$54)^-C2540,"n.a."))</f>
        <v>0</v>
      </c>
      <c r="R2540" s="16">
        <f>IF(NOT(Paths!$C$237=1),0,IF(Paths!$P$237="Complete",IF(AND(C2540=0,Paths!$E$237=0),I2540-J2540-K2540+VLOOKUP(A2540,'Fleet register'!$A$7:$S$106,15,FALSE)+VLOOKUP(A2540,'Fleet register'!$A$7:$S$106,16,FALSE),0),"n.a."))</f>
        <v>0</v>
      </c>
      <c r="S2540" s="1">
        <f>IF(NOT(Paths!$C$237=1),0,IF(Paths!$P$237="Complete",IF(C2540=0,0,Paths!$S$237*Paths!$R$237),"n.a."))</f>
        <v>0</v>
      </c>
      <c r="T2540" s="1">
        <f>IF(NOT(Paths!$C$237=1),0,IF(Paths!$P$237="Complete",IF(C2540=0,0,VLOOKUP(A2540,'Fleet register'!$A$7:$S$106,9,FALSE)*Paths!$R$237),"n.a."))</f>
        <v>0</v>
      </c>
    </row>
    <row r="2541" spans="1:20" ht="24" customHeight="1">
      <c r="A2541" s="1" t="str">
        <f>Paths!$A$237</f>
        <v>T058</v>
      </c>
      <c r="B2541" s="1">
        <f>Paths!$B$237</f>
        <v>2</v>
      </c>
      <c r="C2541" s="1">
        <v>4</v>
      </c>
      <c r="D2541" s="1">
        <v>237</v>
      </c>
      <c r="E2541" s="1">
        <f>IF(OR(Paths!$C$237=0,C2541=0),0,MAX(0,MIN(C2541*12,Paths!$E$237)-(C2541-1)*12))</f>
        <v>0</v>
      </c>
      <c r="F2541" s="1">
        <f>IF(OR(Paths!$C$237=0,C2541=0),0,12-E2541)</f>
        <v>0</v>
      </c>
      <c r="G2541" s="16">
        <f>IF(NOT(Paths!$C$237=1),0,IF(Paths!$P$237="Complete",E2541/12*(Paths!$J$237*(1+'Operating costs'!$B$51)^MAX(0,C2541-1)+Paths!$K$237*(1+'Operating costs'!$B$53)^MAX(0,C2541-1)),"n.a."))</f>
        <v>0</v>
      </c>
      <c r="H2541" s="16">
        <f>IF(NOT(Paths!$C$237=1),0,IF(Paths!$P$237="Complete",F2541/12*(Paths!$L$237*(1+IF(Paths!$D$237="EV",'Operating costs'!$B$52,'Operating costs'!$B$51))^MAX(0,C2541-1)+Paths!$M$237*(1+'Operating costs'!$B$53)^MAX(0,C2541-1)),"n.a."))</f>
        <v>0</v>
      </c>
      <c r="I2541" s="16">
        <f>IF(NOT(Paths!$C$237=1),0,IF(Paths!$P$237="Complete",IF(IF(Paths!$E$237=0,C2541=0,AND(C2541&gt;0,Paths!$E$237&gt;(C2541-1)*12,Paths!$E$237&lt;=C2541*12)),Paths!$G$237,0),"n.a."))</f>
        <v>0</v>
      </c>
      <c r="J2541" s="16">
        <f>IF(NOT(Paths!$C$237=1),0,IF(Paths!$P$237="Complete",IF(IF(Paths!$E$237=0,C2541=0,AND(C2541&gt;0,Paths!$E$237&gt;(C2541-1)*12,Paths!$E$237&lt;=C2541*12)),Paths!$H$237,0),"n.a."))</f>
        <v>0</v>
      </c>
      <c r="K2541" s="16">
        <f>IF(NOT(Paths!$C$237=1),0,IF(Paths!$P$237="Complete",IF(IF(Paths!$O$237=0,C2541=0,AND(C2541&gt;0,Paths!$O$237&gt;(C2541-1)*12,Paths!$O$237&lt;=C2541*12)),Paths!$N$237,0),"n.a."))</f>
        <v>0</v>
      </c>
      <c r="L2541" s="16">
        <f>IF(NOT(Paths!$C$237=1),0,IF(Paths!$P$237="Complete",IF(C2541=10,Paths!$I$237,0),"n.a."))</f>
        <v>0</v>
      </c>
      <c r="M2541" s="16">
        <f>IF(NOT(Paths!$C$237=1),0,IF(Paths!$P$237="Complete",IF(AND(Paths!$D$237="EV",Paths!$E$237&lt;120,Paths!$E$237+'Operating costs'!$B$65&gt;Paths!$E$237,Paths!$E$237+'Operating costs'!$B$65&lt;=120,IF(Paths!$E$237+'Operating costs'!$B$65=0,C2541=0,AND(C2541&gt;0,Paths!$E$237+'Operating costs'!$B$65&gt;(C2541-1)*12,Paths!$E$237+'Operating costs'!$B$65&lt;=C2541*12))),'Operating costs'!$B$64,0)+IF(AND('Operating costs'!$B$67&gt;0,'Operating costs'!$B$67&lt;=120,OR(Paths!$D$237="ICE",'Operating costs'!$B$67&lt;=Paths!$E$237),IF('Operating costs'!$B$67=0,C2541=0,AND(C2541&gt;0,'Operating costs'!$B$67&gt;(C2541-1)*12,'Operating costs'!$B$67&lt;=C2541*12))),'Operating costs'!$B$66,0),"n.a."))</f>
        <v>0</v>
      </c>
      <c r="N2541" s="16">
        <f>IF(NOT(Paths!$C$237=1),0,IF(Paths!$P$237="Complete",SUM(G2541:I2541)-J2541-K2541-L2541+M2541+IF(C2541=0,Paths!$F$237,0)+IF(IF(Paths!$E$237=0,C2541=0,AND(C2541&gt;0,Paths!$E$237&gt;(C2541-1)*12,Paths!$E$237&lt;=C2541*12)),VLOOKUP(A2541,'Fleet register'!$A$7:$S$106,16,FALSE),0),"n.a."))</f>
        <v>0</v>
      </c>
      <c r="O2541" s="16">
        <f>IF(NOT(Paths!$C$237=1),0,IF(Paths!$P$237="Complete",N2541-IF(C2541=0,Paths!$F$237,0),"n.a."))</f>
        <v>0</v>
      </c>
      <c r="P2541" s="16">
        <f>IF(NOT(Paths!$C$237=1),0,IF(Paths!$P$237="Complete",O2541+L2541,"n.a."))</f>
        <v>0</v>
      </c>
      <c r="Q2541" s="16">
        <f>IF(NOT(Paths!$C$237=1),0,IF(Paths!$P$237="Complete",N2541*(1+'Operating costs'!$B$54)^-C2541,"n.a."))</f>
        <v>0</v>
      </c>
      <c r="R2541" s="16">
        <f>IF(NOT(Paths!$C$237=1),0,IF(Paths!$P$237="Complete",IF(AND(C2541=0,Paths!$E$237=0),I2541-J2541-K2541+VLOOKUP(A2541,'Fleet register'!$A$7:$S$106,15,FALSE)+VLOOKUP(A2541,'Fleet register'!$A$7:$S$106,16,FALSE),0),"n.a."))</f>
        <v>0</v>
      </c>
      <c r="S2541" s="1">
        <f>IF(NOT(Paths!$C$237=1),0,IF(Paths!$P$237="Complete",IF(C2541=0,0,Paths!$S$237*Paths!$R$237),"n.a."))</f>
        <v>0</v>
      </c>
      <c r="T2541" s="1">
        <f>IF(NOT(Paths!$C$237=1),0,IF(Paths!$P$237="Complete",IF(C2541=0,0,VLOOKUP(A2541,'Fleet register'!$A$7:$S$106,9,FALSE)*Paths!$R$237),"n.a."))</f>
        <v>0</v>
      </c>
    </row>
    <row r="2542" spans="1:20" ht="24" customHeight="1">
      <c r="A2542" s="1" t="str">
        <f>Paths!$A$237</f>
        <v>T058</v>
      </c>
      <c r="B2542" s="1">
        <f>Paths!$B$237</f>
        <v>2</v>
      </c>
      <c r="C2542" s="1">
        <v>5</v>
      </c>
      <c r="D2542" s="1">
        <v>237</v>
      </c>
      <c r="E2542" s="1">
        <f>IF(OR(Paths!$C$237=0,C2542=0),0,MAX(0,MIN(C2542*12,Paths!$E$237)-(C2542-1)*12))</f>
        <v>0</v>
      </c>
      <c r="F2542" s="1">
        <f>IF(OR(Paths!$C$237=0,C2542=0),0,12-E2542)</f>
        <v>0</v>
      </c>
      <c r="G2542" s="16">
        <f>IF(NOT(Paths!$C$237=1),0,IF(Paths!$P$237="Complete",E2542/12*(Paths!$J$237*(1+'Operating costs'!$B$51)^MAX(0,C2542-1)+Paths!$K$237*(1+'Operating costs'!$B$53)^MAX(0,C2542-1)),"n.a."))</f>
        <v>0</v>
      </c>
      <c r="H2542" s="16">
        <f>IF(NOT(Paths!$C$237=1),0,IF(Paths!$P$237="Complete",F2542/12*(Paths!$L$237*(1+IF(Paths!$D$237="EV",'Operating costs'!$B$52,'Operating costs'!$B$51))^MAX(0,C2542-1)+Paths!$M$237*(1+'Operating costs'!$B$53)^MAX(0,C2542-1)),"n.a."))</f>
        <v>0</v>
      </c>
      <c r="I2542" s="16">
        <f>IF(NOT(Paths!$C$237=1),0,IF(Paths!$P$237="Complete",IF(IF(Paths!$E$237=0,C2542=0,AND(C2542&gt;0,Paths!$E$237&gt;(C2542-1)*12,Paths!$E$237&lt;=C2542*12)),Paths!$G$237,0),"n.a."))</f>
        <v>0</v>
      </c>
      <c r="J2542" s="16">
        <f>IF(NOT(Paths!$C$237=1),0,IF(Paths!$P$237="Complete",IF(IF(Paths!$E$237=0,C2542=0,AND(C2542&gt;0,Paths!$E$237&gt;(C2542-1)*12,Paths!$E$237&lt;=C2542*12)),Paths!$H$237,0),"n.a."))</f>
        <v>0</v>
      </c>
      <c r="K2542" s="16">
        <f>IF(NOT(Paths!$C$237=1),0,IF(Paths!$P$237="Complete",IF(IF(Paths!$O$237=0,C2542=0,AND(C2542&gt;0,Paths!$O$237&gt;(C2542-1)*12,Paths!$O$237&lt;=C2542*12)),Paths!$N$237,0),"n.a."))</f>
        <v>0</v>
      </c>
      <c r="L2542" s="16">
        <f>IF(NOT(Paths!$C$237=1),0,IF(Paths!$P$237="Complete",IF(C2542=10,Paths!$I$237,0),"n.a."))</f>
        <v>0</v>
      </c>
      <c r="M2542" s="16">
        <f>IF(NOT(Paths!$C$237=1),0,IF(Paths!$P$237="Complete",IF(AND(Paths!$D$237="EV",Paths!$E$237&lt;120,Paths!$E$237+'Operating costs'!$B$65&gt;Paths!$E$237,Paths!$E$237+'Operating costs'!$B$65&lt;=120,IF(Paths!$E$237+'Operating costs'!$B$65=0,C2542=0,AND(C2542&gt;0,Paths!$E$237+'Operating costs'!$B$65&gt;(C2542-1)*12,Paths!$E$237+'Operating costs'!$B$65&lt;=C2542*12))),'Operating costs'!$B$64,0)+IF(AND('Operating costs'!$B$67&gt;0,'Operating costs'!$B$67&lt;=120,OR(Paths!$D$237="ICE",'Operating costs'!$B$67&lt;=Paths!$E$237),IF('Operating costs'!$B$67=0,C2542=0,AND(C2542&gt;0,'Operating costs'!$B$67&gt;(C2542-1)*12,'Operating costs'!$B$67&lt;=C2542*12))),'Operating costs'!$B$66,0),"n.a."))</f>
        <v>0</v>
      </c>
      <c r="N2542" s="16">
        <f>IF(NOT(Paths!$C$237=1),0,IF(Paths!$P$237="Complete",SUM(G2542:I2542)-J2542-K2542-L2542+M2542+IF(C2542=0,Paths!$F$237,0)+IF(IF(Paths!$E$237=0,C2542=0,AND(C2542&gt;0,Paths!$E$237&gt;(C2542-1)*12,Paths!$E$237&lt;=C2542*12)),VLOOKUP(A2542,'Fleet register'!$A$7:$S$106,16,FALSE),0),"n.a."))</f>
        <v>0</v>
      </c>
      <c r="O2542" s="16">
        <f>IF(NOT(Paths!$C$237=1),0,IF(Paths!$P$237="Complete",N2542-IF(C2542=0,Paths!$F$237,0),"n.a."))</f>
        <v>0</v>
      </c>
      <c r="P2542" s="16">
        <f>IF(NOT(Paths!$C$237=1),0,IF(Paths!$P$237="Complete",O2542+L2542,"n.a."))</f>
        <v>0</v>
      </c>
      <c r="Q2542" s="16">
        <f>IF(NOT(Paths!$C$237=1),0,IF(Paths!$P$237="Complete",N2542*(1+'Operating costs'!$B$54)^-C2542,"n.a."))</f>
        <v>0</v>
      </c>
      <c r="R2542" s="16">
        <f>IF(NOT(Paths!$C$237=1),0,IF(Paths!$P$237="Complete",IF(AND(C2542=0,Paths!$E$237=0),I2542-J2542-K2542+VLOOKUP(A2542,'Fleet register'!$A$7:$S$106,15,FALSE)+VLOOKUP(A2542,'Fleet register'!$A$7:$S$106,16,FALSE),0),"n.a."))</f>
        <v>0</v>
      </c>
      <c r="S2542" s="1">
        <f>IF(NOT(Paths!$C$237=1),0,IF(Paths!$P$237="Complete",IF(C2542=0,0,Paths!$S$237*Paths!$R$237),"n.a."))</f>
        <v>0</v>
      </c>
      <c r="T2542" s="1">
        <f>IF(NOT(Paths!$C$237=1),0,IF(Paths!$P$237="Complete",IF(C2542=0,0,VLOOKUP(A2542,'Fleet register'!$A$7:$S$106,9,FALSE)*Paths!$R$237),"n.a."))</f>
        <v>0</v>
      </c>
    </row>
    <row r="2543" spans="1:20" ht="24" customHeight="1">
      <c r="A2543" s="1" t="str">
        <f>Paths!$A$237</f>
        <v>T058</v>
      </c>
      <c r="B2543" s="1">
        <f>Paths!$B$237</f>
        <v>2</v>
      </c>
      <c r="C2543" s="1">
        <v>6</v>
      </c>
      <c r="D2543" s="1">
        <v>237</v>
      </c>
      <c r="E2543" s="1">
        <f>IF(OR(Paths!$C$237=0,C2543=0),0,MAX(0,MIN(C2543*12,Paths!$E$237)-(C2543-1)*12))</f>
        <v>0</v>
      </c>
      <c r="F2543" s="1">
        <f>IF(OR(Paths!$C$237=0,C2543=0),0,12-E2543)</f>
        <v>0</v>
      </c>
      <c r="G2543" s="16">
        <f>IF(NOT(Paths!$C$237=1),0,IF(Paths!$P$237="Complete",E2543/12*(Paths!$J$237*(1+'Operating costs'!$B$51)^MAX(0,C2543-1)+Paths!$K$237*(1+'Operating costs'!$B$53)^MAX(0,C2543-1)),"n.a."))</f>
        <v>0</v>
      </c>
      <c r="H2543" s="16">
        <f>IF(NOT(Paths!$C$237=1),0,IF(Paths!$P$237="Complete",F2543/12*(Paths!$L$237*(1+IF(Paths!$D$237="EV",'Operating costs'!$B$52,'Operating costs'!$B$51))^MAX(0,C2543-1)+Paths!$M$237*(1+'Operating costs'!$B$53)^MAX(0,C2543-1)),"n.a."))</f>
        <v>0</v>
      </c>
      <c r="I2543" s="16">
        <f>IF(NOT(Paths!$C$237=1),0,IF(Paths!$P$237="Complete",IF(IF(Paths!$E$237=0,C2543=0,AND(C2543&gt;0,Paths!$E$237&gt;(C2543-1)*12,Paths!$E$237&lt;=C2543*12)),Paths!$G$237,0),"n.a."))</f>
        <v>0</v>
      </c>
      <c r="J2543" s="16">
        <f>IF(NOT(Paths!$C$237=1),0,IF(Paths!$P$237="Complete",IF(IF(Paths!$E$237=0,C2543=0,AND(C2543&gt;0,Paths!$E$237&gt;(C2543-1)*12,Paths!$E$237&lt;=C2543*12)),Paths!$H$237,0),"n.a."))</f>
        <v>0</v>
      </c>
      <c r="K2543" s="16">
        <f>IF(NOT(Paths!$C$237=1),0,IF(Paths!$P$237="Complete",IF(IF(Paths!$O$237=0,C2543=0,AND(C2543&gt;0,Paths!$O$237&gt;(C2543-1)*12,Paths!$O$237&lt;=C2543*12)),Paths!$N$237,0),"n.a."))</f>
        <v>0</v>
      </c>
      <c r="L2543" s="16">
        <f>IF(NOT(Paths!$C$237=1),0,IF(Paths!$P$237="Complete",IF(C2543=10,Paths!$I$237,0),"n.a."))</f>
        <v>0</v>
      </c>
      <c r="M2543" s="16">
        <f>IF(NOT(Paths!$C$237=1),0,IF(Paths!$P$237="Complete",IF(AND(Paths!$D$237="EV",Paths!$E$237&lt;120,Paths!$E$237+'Operating costs'!$B$65&gt;Paths!$E$237,Paths!$E$237+'Operating costs'!$B$65&lt;=120,IF(Paths!$E$237+'Operating costs'!$B$65=0,C2543=0,AND(C2543&gt;0,Paths!$E$237+'Operating costs'!$B$65&gt;(C2543-1)*12,Paths!$E$237+'Operating costs'!$B$65&lt;=C2543*12))),'Operating costs'!$B$64,0)+IF(AND('Operating costs'!$B$67&gt;0,'Operating costs'!$B$67&lt;=120,OR(Paths!$D$237="ICE",'Operating costs'!$B$67&lt;=Paths!$E$237),IF('Operating costs'!$B$67=0,C2543=0,AND(C2543&gt;0,'Operating costs'!$B$67&gt;(C2543-1)*12,'Operating costs'!$B$67&lt;=C2543*12))),'Operating costs'!$B$66,0),"n.a."))</f>
        <v>0</v>
      </c>
      <c r="N2543" s="16">
        <f>IF(NOT(Paths!$C$237=1),0,IF(Paths!$P$237="Complete",SUM(G2543:I2543)-J2543-K2543-L2543+M2543+IF(C2543=0,Paths!$F$237,0)+IF(IF(Paths!$E$237=0,C2543=0,AND(C2543&gt;0,Paths!$E$237&gt;(C2543-1)*12,Paths!$E$237&lt;=C2543*12)),VLOOKUP(A2543,'Fleet register'!$A$7:$S$106,16,FALSE),0),"n.a."))</f>
        <v>0</v>
      </c>
      <c r="O2543" s="16">
        <f>IF(NOT(Paths!$C$237=1),0,IF(Paths!$P$237="Complete",N2543-IF(C2543=0,Paths!$F$237,0),"n.a."))</f>
        <v>0</v>
      </c>
      <c r="P2543" s="16">
        <f>IF(NOT(Paths!$C$237=1),0,IF(Paths!$P$237="Complete",O2543+L2543,"n.a."))</f>
        <v>0</v>
      </c>
      <c r="Q2543" s="16">
        <f>IF(NOT(Paths!$C$237=1),0,IF(Paths!$P$237="Complete",N2543*(1+'Operating costs'!$B$54)^-C2543,"n.a."))</f>
        <v>0</v>
      </c>
      <c r="R2543" s="16">
        <f>IF(NOT(Paths!$C$237=1),0,IF(Paths!$P$237="Complete",IF(AND(C2543=0,Paths!$E$237=0),I2543-J2543-K2543+VLOOKUP(A2543,'Fleet register'!$A$7:$S$106,15,FALSE)+VLOOKUP(A2543,'Fleet register'!$A$7:$S$106,16,FALSE),0),"n.a."))</f>
        <v>0</v>
      </c>
      <c r="S2543" s="1">
        <f>IF(NOT(Paths!$C$237=1),0,IF(Paths!$P$237="Complete",IF(C2543=0,0,Paths!$S$237*Paths!$R$237),"n.a."))</f>
        <v>0</v>
      </c>
      <c r="T2543" s="1">
        <f>IF(NOT(Paths!$C$237=1),0,IF(Paths!$P$237="Complete",IF(C2543=0,0,VLOOKUP(A2543,'Fleet register'!$A$7:$S$106,9,FALSE)*Paths!$R$237),"n.a."))</f>
        <v>0</v>
      </c>
    </row>
    <row r="2544" spans="1:20" ht="24" customHeight="1">
      <c r="A2544" s="1" t="str">
        <f>Paths!$A$237</f>
        <v>T058</v>
      </c>
      <c r="B2544" s="1">
        <f>Paths!$B$237</f>
        <v>2</v>
      </c>
      <c r="C2544" s="1">
        <v>7</v>
      </c>
      <c r="D2544" s="1">
        <v>237</v>
      </c>
      <c r="E2544" s="1">
        <f>IF(OR(Paths!$C$237=0,C2544=0),0,MAX(0,MIN(C2544*12,Paths!$E$237)-(C2544-1)*12))</f>
        <v>0</v>
      </c>
      <c r="F2544" s="1">
        <f>IF(OR(Paths!$C$237=0,C2544=0),0,12-E2544)</f>
        <v>0</v>
      </c>
      <c r="G2544" s="16">
        <f>IF(NOT(Paths!$C$237=1),0,IF(Paths!$P$237="Complete",E2544/12*(Paths!$J$237*(1+'Operating costs'!$B$51)^MAX(0,C2544-1)+Paths!$K$237*(1+'Operating costs'!$B$53)^MAX(0,C2544-1)),"n.a."))</f>
        <v>0</v>
      </c>
      <c r="H2544" s="16">
        <f>IF(NOT(Paths!$C$237=1),0,IF(Paths!$P$237="Complete",F2544/12*(Paths!$L$237*(1+IF(Paths!$D$237="EV",'Operating costs'!$B$52,'Operating costs'!$B$51))^MAX(0,C2544-1)+Paths!$M$237*(1+'Operating costs'!$B$53)^MAX(0,C2544-1)),"n.a."))</f>
        <v>0</v>
      </c>
      <c r="I2544" s="16">
        <f>IF(NOT(Paths!$C$237=1),0,IF(Paths!$P$237="Complete",IF(IF(Paths!$E$237=0,C2544=0,AND(C2544&gt;0,Paths!$E$237&gt;(C2544-1)*12,Paths!$E$237&lt;=C2544*12)),Paths!$G$237,0),"n.a."))</f>
        <v>0</v>
      </c>
      <c r="J2544" s="16">
        <f>IF(NOT(Paths!$C$237=1),0,IF(Paths!$P$237="Complete",IF(IF(Paths!$E$237=0,C2544=0,AND(C2544&gt;0,Paths!$E$237&gt;(C2544-1)*12,Paths!$E$237&lt;=C2544*12)),Paths!$H$237,0),"n.a."))</f>
        <v>0</v>
      </c>
      <c r="K2544" s="16">
        <f>IF(NOT(Paths!$C$237=1),0,IF(Paths!$P$237="Complete",IF(IF(Paths!$O$237=0,C2544=0,AND(C2544&gt;0,Paths!$O$237&gt;(C2544-1)*12,Paths!$O$237&lt;=C2544*12)),Paths!$N$237,0),"n.a."))</f>
        <v>0</v>
      </c>
      <c r="L2544" s="16">
        <f>IF(NOT(Paths!$C$237=1),0,IF(Paths!$P$237="Complete",IF(C2544=10,Paths!$I$237,0),"n.a."))</f>
        <v>0</v>
      </c>
      <c r="M2544" s="16">
        <f>IF(NOT(Paths!$C$237=1),0,IF(Paths!$P$237="Complete",IF(AND(Paths!$D$237="EV",Paths!$E$237&lt;120,Paths!$E$237+'Operating costs'!$B$65&gt;Paths!$E$237,Paths!$E$237+'Operating costs'!$B$65&lt;=120,IF(Paths!$E$237+'Operating costs'!$B$65=0,C2544=0,AND(C2544&gt;0,Paths!$E$237+'Operating costs'!$B$65&gt;(C2544-1)*12,Paths!$E$237+'Operating costs'!$B$65&lt;=C2544*12))),'Operating costs'!$B$64,0)+IF(AND('Operating costs'!$B$67&gt;0,'Operating costs'!$B$67&lt;=120,OR(Paths!$D$237="ICE",'Operating costs'!$B$67&lt;=Paths!$E$237),IF('Operating costs'!$B$67=0,C2544=0,AND(C2544&gt;0,'Operating costs'!$B$67&gt;(C2544-1)*12,'Operating costs'!$B$67&lt;=C2544*12))),'Operating costs'!$B$66,0),"n.a."))</f>
        <v>0</v>
      </c>
      <c r="N2544" s="16">
        <f>IF(NOT(Paths!$C$237=1),0,IF(Paths!$P$237="Complete",SUM(G2544:I2544)-J2544-K2544-L2544+M2544+IF(C2544=0,Paths!$F$237,0)+IF(IF(Paths!$E$237=0,C2544=0,AND(C2544&gt;0,Paths!$E$237&gt;(C2544-1)*12,Paths!$E$237&lt;=C2544*12)),VLOOKUP(A2544,'Fleet register'!$A$7:$S$106,16,FALSE),0),"n.a."))</f>
        <v>0</v>
      </c>
      <c r="O2544" s="16">
        <f>IF(NOT(Paths!$C$237=1),0,IF(Paths!$P$237="Complete",N2544-IF(C2544=0,Paths!$F$237,0),"n.a."))</f>
        <v>0</v>
      </c>
      <c r="P2544" s="16">
        <f>IF(NOT(Paths!$C$237=1),0,IF(Paths!$P$237="Complete",O2544+L2544,"n.a."))</f>
        <v>0</v>
      </c>
      <c r="Q2544" s="16">
        <f>IF(NOT(Paths!$C$237=1),0,IF(Paths!$P$237="Complete",N2544*(1+'Operating costs'!$B$54)^-C2544,"n.a."))</f>
        <v>0</v>
      </c>
      <c r="R2544" s="16">
        <f>IF(NOT(Paths!$C$237=1),0,IF(Paths!$P$237="Complete",IF(AND(C2544=0,Paths!$E$237=0),I2544-J2544-K2544+VLOOKUP(A2544,'Fleet register'!$A$7:$S$106,15,FALSE)+VLOOKUP(A2544,'Fleet register'!$A$7:$S$106,16,FALSE),0),"n.a."))</f>
        <v>0</v>
      </c>
      <c r="S2544" s="1">
        <f>IF(NOT(Paths!$C$237=1),0,IF(Paths!$P$237="Complete",IF(C2544=0,0,Paths!$S$237*Paths!$R$237),"n.a."))</f>
        <v>0</v>
      </c>
      <c r="T2544" s="1">
        <f>IF(NOT(Paths!$C$237=1),0,IF(Paths!$P$237="Complete",IF(C2544=0,0,VLOOKUP(A2544,'Fleet register'!$A$7:$S$106,9,FALSE)*Paths!$R$237),"n.a."))</f>
        <v>0</v>
      </c>
    </row>
    <row r="2545" spans="1:20" ht="24" customHeight="1">
      <c r="A2545" s="1" t="str">
        <f>Paths!$A$237</f>
        <v>T058</v>
      </c>
      <c r="B2545" s="1">
        <f>Paths!$B$237</f>
        <v>2</v>
      </c>
      <c r="C2545" s="1">
        <v>8</v>
      </c>
      <c r="D2545" s="1">
        <v>237</v>
      </c>
      <c r="E2545" s="1">
        <f>IF(OR(Paths!$C$237=0,C2545=0),0,MAX(0,MIN(C2545*12,Paths!$E$237)-(C2545-1)*12))</f>
        <v>0</v>
      </c>
      <c r="F2545" s="1">
        <f>IF(OR(Paths!$C$237=0,C2545=0),0,12-E2545)</f>
        <v>0</v>
      </c>
      <c r="G2545" s="16">
        <f>IF(NOT(Paths!$C$237=1),0,IF(Paths!$P$237="Complete",E2545/12*(Paths!$J$237*(1+'Operating costs'!$B$51)^MAX(0,C2545-1)+Paths!$K$237*(1+'Operating costs'!$B$53)^MAX(0,C2545-1)),"n.a."))</f>
        <v>0</v>
      </c>
      <c r="H2545" s="16">
        <f>IF(NOT(Paths!$C$237=1),0,IF(Paths!$P$237="Complete",F2545/12*(Paths!$L$237*(1+IF(Paths!$D$237="EV",'Operating costs'!$B$52,'Operating costs'!$B$51))^MAX(0,C2545-1)+Paths!$M$237*(1+'Operating costs'!$B$53)^MAX(0,C2545-1)),"n.a."))</f>
        <v>0</v>
      </c>
      <c r="I2545" s="16">
        <f>IF(NOT(Paths!$C$237=1),0,IF(Paths!$P$237="Complete",IF(IF(Paths!$E$237=0,C2545=0,AND(C2545&gt;0,Paths!$E$237&gt;(C2545-1)*12,Paths!$E$237&lt;=C2545*12)),Paths!$G$237,0),"n.a."))</f>
        <v>0</v>
      </c>
      <c r="J2545" s="16">
        <f>IF(NOT(Paths!$C$237=1),0,IF(Paths!$P$237="Complete",IF(IF(Paths!$E$237=0,C2545=0,AND(C2545&gt;0,Paths!$E$237&gt;(C2545-1)*12,Paths!$E$237&lt;=C2545*12)),Paths!$H$237,0),"n.a."))</f>
        <v>0</v>
      </c>
      <c r="K2545" s="16">
        <f>IF(NOT(Paths!$C$237=1),0,IF(Paths!$P$237="Complete",IF(IF(Paths!$O$237=0,C2545=0,AND(C2545&gt;0,Paths!$O$237&gt;(C2545-1)*12,Paths!$O$237&lt;=C2545*12)),Paths!$N$237,0),"n.a."))</f>
        <v>0</v>
      </c>
      <c r="L2545" s="16">
        <f>IF(NOT(Paths!$C$237=1),0,IF(Paths!$P$237="Complete",IF(C2545=10,Paths!$I$237,0),"n.a."))</f>
        <v>0</v>
      </c>
      <c r="M2545" s="16">
        <f>IF(NOT(Paths!$C$237=1),0,IF(Paths!$P$237="Complete",IF(AND(Paths!$D$237="EV",Paths!$E$237&lt;120,Paths!$E$237+'Operating costs'!$B$65&gt;Paths!$E$237,Paths!$E$237+'Operating costs'!$B$65&lt;=120,IF(Paths!$E$237+'Operating costs'!$B$65=0,C2545=0,AND(C2545&gt;0,Paths!$E$237+'Operating costs'!$B$65&gt;(C2545-1)*12,Paths!$E$237+'Operating costs'!$B$65&lt;=C2545*12))),'Operating costs'!$B$64,0)+IF(AND('Operating costs'!$B$67&gt;0,'Operating costs'!$B$67&lt;=120,OR(Paths!$D$237="ICE",'Operating costs'!$B$67&lt;=Paths!$E$237),IF('Operating costs'!$B$67=0,C2545=0,AND(C2545&gt;0,'Operating costs'!$B$67&gt;(C2545-1)*12,'Operating costs'!$B$67&lt;=C2545*12))),'Operating costs'!$B$66,0),"n.a."))</f>
        <v>0</v>
      </c>
      <c r="N2545" s="16">
        <f>IF(NOT(Paths!$C$237=1),0,IF(Paths!$P$237="Complete",SUM(G2545:I2545)-J2545-K2545-L2545+M2545+IF(C2545=0,Paths!$F$237,0)+IF(IF(Paths!$E$237=0,C2545=0,AND(C2545&gt;0,Paths!$E$237&gt;(C2545-1)*12,Paths!$E$237&lt;=C2545*12)),VLOOKUP(A2545,'Fleet register'!$A$7:$S$106,16,FALSE),0),"n.a."))</f>
        <v>0</v>
      </c>
      <c r="O2545" s="16">
        <f>IF(NOT(Paths!$C$237=1),0,IF(Paths!$P$237="Complete",N2545-IF(C2545=0,Paths!$F$237,0),"n.a."))</f>
        <v>0</v>
      </c>
      <c r="P2545" s="16">
        <f>IF(NOT(Paths!$C$237=1),0,IF(Paths!$P$237="Complete",O2545+L2545,"n.a."))</f>
        <v>0</v>
      </c>
      <c r="Q2545" s="16">
        <f>IF(NOT(Paths!$C$237=1),0,IF(Paths!$P$237="Complete",N2545*(1+'Operating costs'!$B$54)^-C2545,"n.a."))</f>
        <v>0</v>
      </c>
      <c r="R2545" s="16">
        <f>IF(NOT(Paths!$C$237=1),0,IF(Paths!$P$237="Complete",IF(AND(C2545=0,Paths!$E$237=0),I2545-J2545-K2545+VLOOKUP(A2545,'Fleet register'!$A$7:$S$106,15,FALSE)+VLOOKUP(A2545,'Fleet register'!$A$7:$S$106,16,FALSE),0),"n.a."))</f>
        <v>0</v>
      </c>
      <c r="S2545" s="1">
        <f>IF(NOT(Paths!$C$237=1),0,IF(Paths!$P$237="Complete",IF(C2545=0,0,Paths!$S$237*Paths!$R$237),"n.a."))</f>
        <v>0</v>
      </c>
      <c r="T2545" s="1">
        <f>IF(NOT(Paths!$C$237=1),0,IF(Paths!$P$237="Complete",IF(C2545=0,0,VLOOKUP(A2545,'Fleet register'!$A$7:$S$106,9,FALSE)*Paths!$R$237),"n.a."))</f>
        <v>0</v>
      </c>
    </row>
    <row r="2546" spans="1:20" ht="24" customHeight="1">
      <c r="A2546" s="1" t="str">
        <f>Paths!$A$237</f>
        <v>T058</v>
      </c>
      <c r="B2546" s="1">
        <f>Paths!$B$237</f>
        <v>2</v>
      </c>
      <c r="C2546" s="1">
        <v>9</v>
      </c>
      <c r="D2546" s="1">
        <v>237</v>
      </c>
      <c r="E2546" s="1">
        <f>IF(OR(Paths!$C$237=0,C2546=0),0,MAX(0,MIN(C2546*12,Paths!$E$237)-(C2546-1)*12))</f>
        <v>0</v>
      </c>
      <c r="F2546" s="1">
        <f>IF(OR(Paths!$C$237=0,C2546=0),0,12-E2546)</f>
        <v>0</v>
      </c>
      <c r="G2546" s="16">
        <f>IF(NOT(Paths!$C$237=1),0,IF(Paths!$P$237="Complete",E2546/12*(Paths!$J$237*(1+'Operating costs'!$B$51)^MAX(0,C2546-1)+Paths!$K$237*(1+'Operating costs'!$B$53)^MAX(0,C2546-1)),"n.a."))</f>
        <v>0</v>
      </c>
      <c r="H2546" s="16">
        <f>IF(NOT(Paths!$C$237=1),0,IF(Paths!$P$237="Complete",F2546/12*(Paths!$L$237*(1+IF(Paths!$D$237="EV",'Operating costs'!$B$52,'Operating costs'!$B$51))^MAX(0,C2546-1)+Paths!$M$237*(1+'Operating costs'!$B$53)^MAX(0,C2546-1)),"n.a."))</f>
        <v>0</v>
      </c>
      <c r="I2546" s="16">
        <f>IF(NOT(Paths!$C$237=1),0,IF(Paths!$P$237="Complete",IF(IF(Paths!$E$237=0,C2546=0,AND(C2546&gt;0,Paths!$E$237&gt;(C2546-1)*12,Paths!$E$237&lt;=C2546*12)),Paths!$G$237,0),"n.a."))</f>
        <v>0</v>
      </c>
      <c r="J2546" s="16">
        <f>IF(NOT(Paths!$C$237=1),0,IF(Paths!$P$237="Complete",IF(IF(Paths!$E$237=0,C2546=0,AND(C2546&gt;0,Paths!$E$237&gt;(C2546-1)*12,Paths!$E$237&lt;=C2546*12)),Paths!$H$237,0),"n.a."))</f>
        <v>0</v>
      </c>
      <c r="K2546" s="16">
        <f>IF(NOT(Paths!$C$237=1),0,IF(Paths!$P$237="Complete",IF(IF(Paths!$O$237=0,C2546=0,AND(C2546&gt;0,Paths!$O$237&gt;(C2546-1)*12,Paths!$O$237&lt;=C2546*12)),Paths!$N$237,0),"n.a."))</f>
        <v>0</v>
      </c>
      <c r="L2546" s="16">
        <f>IF(NOT(Paths!$C$237=1),0,IF(Paths!$P$237="Complete",IF(C2546=10,Paths!$I$237,0),"n.a."))</f>
        <v>0</v>
      </c>
      <c r="M2546" s="16">
        <f>IF(NOT(Paths!$C$237=1),0,IF(Paths!$P$237="Complete",IF(AND(Paths!$D$237="EV",Paths!$E$237&lt;120,Paths!$E$237+'Operating costs'!$B$65&gt;Paths!$E$237,Paths!$E$237+'Operating costs'!$B$65&lt;=120,IF(Paths!$E$237+'Operating costs'!$B$65=0,C2546=0,AND(C2546&gt;0,Paths!$E$237+'Operating costs'!$B$65&gt;(C2546-1)*12,Paths!$E$237+'Operating costs'!$B$65&lt;=C2546*12))),'Operating costs'!$B$64,0)+IF(AND('Operating costs'!$B$67&gt;0,'Operating costs'!$B$67&lt;=120,OR(Paths!$D$237="ICE",'Operating costs'!$B$67&lt;=Paths!$E$237),IF('Operating costs'!$B$67=0,C2546=0,AND(C2546&gt;0,'Operating costs'!$B$67&gt;(C2546-1)*12,'Operating costs'!$B$67&lt;=C2546*12))),'Operating costs'!$B$66,0),"n.a."))</f>
        <v>0</v>
      </c>
      <c r="N2546" s="16">
        <f>IF(NOT(Paths!$C$237=1),0,IF(Paths!$P$237="Complete",SUM(G2546:I2546)-J2546-K2546-L2546+M2546+IF(C2546=0,Paths!$F$237,0)+IF(IF(Paths!$E$237=0,C2546=0,AND(C2546&gt;0,Paths!$E$237&gt;(C2546-1)*12,Paths!$E$237&lt;=C2546*12)),VLOOKUP(A2546,'Fleet register'!$A$7:$S$106,16,FALSE),0),"n.a."))</f>
        <v>0</v>
      </c>
      <c r="O2546" s="16">
        <f>IF(NOT(Paths!$C$237=1),0,IF(Paths!$P$237="Complete",N2546-IF(C2546=0,Paths!$F$237,0),"n.a."))</f>
        <v>0</v>
      </c>
      <c r="P2546" s="16">
        <f>IF(NOT(Paths!$C$237=1),0,IF(Paths!$P$237="Complete",O2546+L2546,"n.a."))</f>
        <v>0</v>
      </c>
      <c r="Q2546" s="16">
        <f>IF(NOT(Paths!$C$237=1),0,IF(Paths!$P$237="Complete",N2546*(1+'Operating costs'!$B$54)^-C2546,"n.a."))</f>
        <v>0</v>
      </c>
      <c r="R2546" s="16">
        <f>IF(NOT(Paths!$C$237=1),0,IF(Paths!$P$237="Complete",IF(AND(C2546=0,Paths!$E$237=0),I2546-J2546-K2546+VLOOKUP(A2546,'Fleet register'!$A$7:$S$106,15,FALSE)+VLOOKUP(A2546,'Fleet register'!$A$7:$S$106,16,FALSE),0),"n.a."))</f>
        <v>0</v>
      </c>
      <c r="S2546" s="1">
        <f>IF(NOT(Paths!$C$237=1),0,IF(Paths!$P$237="Complete",IF(C2546=0,0,Paths!$S$237*Paths!$R$237),"n.a."))</f>
        <v>0</v>
      </c>
      <c r="T2546" s="1">
        <f>IF(NOT(Paths!$C$237=1),0,IF(Paths!$P$237="Complete",IF(C2546=0,0,VLOOKUP(A2546,'Fleet register'!$A$7:$S$106,9,FALSE)*Paths!$R$237),"n.a."))</f>
        <v>0</v>
      </c>
    </row>
    <row r="2547" spans="1:20" ht="24" customHeight="1">
      <c r="A2547" s="1" t="str">
        <f>Paths!$A$237</f>
        <v>T058</v>
      </c>
      <c r="B2547" s="1">
        <f>Paths!$B$237</f>
        <v>2</v>
      </c>
      <c r="C2547" s="1">
        <v>10</v>
      </c>
      <c r="D2547" s="1">
        <v>237</v>
      </c>
      <c r="E2547" s="1">
        <f>IF(OR(Paths!$C$237=0,C2547=0),0,MAX(0,MIN(C2547*12,Paths!$E$237)-(C2547-1)*12))</f>
        <v>0</v>
      </c>
      <c r="F2547" s="1">
        <f>IF(OR(Paths!$C$237=0,C2547=0),0,12-E2547)</f>
        <v>0</v>
      </c>
      <c r="G2547" s="16">
        <f>IF(NOT(Paths!$C$237=1),0,IF(Paths!$P$237="Complete",E2547/12*(Paths!$J$237*(1+'Operating costs'!$B$51)^MAX(0,C2547-1)+Paths!$K$237*(1+'Operating costs'!$B$53)^MAX(0,C2547-1)),"n.a."))</f>
        <v>0</v>
      </c>
      <c r="H2547" s="16">
        <f>IF(NOT(Paths!$C$237=1),0,IF(Paths!$P$237="Complete",F2547/12*(Paths!$L$237*(1+IF(Paths!$D$237="EV",'Operating costs'!$B$52,'Operating costs'!$B$51))^MAX(0,C2547-1)+Paths!$M$237*(1+'Operating costs'!$B$53)^MAX(0,C2547-1)),"n.a."))</f>
        <v>0</v>
      </c>
      <c r="I2547" s="16">
        <f>IF(NOT(Paths!$C$237=1),0,IF(Paths!$P$237="Complete",IF(IF(Paths!$E$237=0,C2547=0,AND(C2547&gt;0,Paths!$E$237&gt;(C2547-1)*12,Paths!$E$237&lt;=C2547*12)),Paths!$G$237,0),"n.a."))</f>
        <v>0</v>
      </c>
      <c r="J2547" s="16">
        <f>IF(NOT(Paths!$C$237=1),0,IF(Paths!$P$237="Complete",IF(IF(Paths!$E$237=0,C2547=0,AND(C2547&gt;0,Paths!$E$237&gt;(C2547-1)*12,Paths!$E$237&lt;=C2547*12)),Paths!$H$237,0),"n.a."))</f>
        <v>0</v>
      </c>
      <c r="K2547" s="16">
        <f>IF(NOT(Paths!$C$237=1),0,IF(Paths!$P$237="Complete",IF(IF(Paths!$O$237=0,C2547=0,AND(C2547&gt;0,Paths!$O$237&gt;(C2547-1)*12,Paths!$O$237&lt;=C2547*12)),Paths!$N$237,0),"n.a."))</f>
        <v>0</v>
      </c>
      <c r="L2547" s="16">
        <f>IF(NOT(Paths!$C$237=1),0,IF(Paths!$P$237="Complete",IF(C2547=10,Paths!$I$237,0),"n.a."))</f>
        <v>0</v>
      </c>
      <c r="M2547" s="16">
        <f>IF(NOT(Paths!$C$237=1),0,IF(Paths!$P$237="Complete",IF(AND(Paths!$D$237="EV",Paths!$E$237&lt;120,Paths!$E$237+'Operating costs'!$B$65&gt;Paths!$E$237,Paths!$E$237+'Operating costs'!$B$65&lt;=120,IF(Paths!$E$237+'Operating costs'!$B$65=0,C2547=0,AND(C2547&gt;0,Paths!$E$237+'Operating costs'!$B$65&gt;(C2547-1)*12,Paths!$E$237+'Operating costs'!$B$65&lt;=C2547*12))),'Operating costs'!$B$64,0)+IF(AND('Operating costs'!$B$67&gt;0,'Operating costs'!$B$67&lt;=120,OR(Paths!$D$237="ICE",'Operating costs'!$B$67&lt;=Paths!$E$237),IF('Operating costs'!$B$67=0,C2547=0,AND(C2547&gt;0,'Operating costs'!$B$67&gt;(C2547-1)*12,'Operating costs'!$B$67&lt;=C2547*12))),'Operating costs'!$B$66,0),"n.a."))</f>
        <v>0</v>
      </c>
      <c r="N2547" s="16">
        <f>IF(NOT(Paths!$C$237=1),0,IF(Paths!$P$237="Complete",SUM(G2547:I2547)-J2547-K2547-L2547+M2547+IF(C2547=0,Paths!$F$237,0)+IF(IF(Paths!$E$237=0,C2547=0,AND(C2547&gt;0,Paths!$E$237&gt;(C2547-1)*12,Paths!$E$237&lt;=C2547*12)),VLOOKUP(A2547,'Fleet register'!$A$7:$S$106,16,FALSE),0),"n.a."))</f>
        <v>0</v>
      </c>
      <c r="O2547" s="16">
        <f>IF(NOT(Paths!$C$237=1),0,IF(Paths!$P$237="Complete",N2547-IF(C2547=0,Paths!$F$237,0),"n.a."))</f>
        <v>0</v>
      </c>
      <c r="P2547" s="16">
        <f>IF(NOT(Paths!$C$237=1),0,IF(Paths!$P$237="Complete",O2547+L2547,"n.a."))</f>
        <v>0</v>
      </c>
      <c r="Q2547" s="16">
        <f>IF(NOT(Paths!$C$237=1),0,IF(Paths!$P$237="Complete",N2547*(1+'Operating costs'!$B$54)^-C2547,"n.a."))</f>
        <v>0</v>
      </c>
      <c r="R2547" s="16">
        <f>IF(NOT(Paths!$C$237=1),0,IF(Paths!$P$237="Complete",IF(AND(C2547=0,Paths!$E$237=0),I2547-J2547-K2547+VLOOKUP(A2547,'Fleet register'!$A$7:$S$106,15,FALSE)+VLOOKUP(A2547,'Fleet register'!$A$7:$S$106,16,FALSE),0),"n.a."))</f>
        <v>0</v>
      </c>
      <c r="S2547" s="1">
        <f>IF(NOT(Paths!$C$237=1),0,IF(Paths!$P$237="Complete",IF(C2547=0,0,Paths!$S$237*Paths!$R$237),"n.a."))</f>
        <v>0</v>
      </c>
      <c r="T2547" s="1">
        <f>IF(NOT(Paths!$C$237=1),0,IF(Paths!$P$237="Complete",IF(C2547=0,0,VLOOKUP(A2547,'Fleet register'!$A$7:$S$106,9,FALSE)*Paths!$R$237),"n.a."))</f>
        <v>0</v>
      </c>
    </row>
    <row r="2548" spans="1:20" ht="24" customHeight="1">
      <c r="A2548" s="1" t="str">
        <f>Paths!$A$238</f>
        <v>T058</v>
      </c>
      <c r="B2548" s="1">
        <f>Paths!$B$238</f>
        <v>3</v>
      </c>
      <c r="C2548" s="1">
        <v>0</v>
      </c>
      <c r="D2548" s="1">
        <v>238</v>
      </c>
      <c r="E2548" s="1">
        <f>IF(OR(Paths!$C$238=0,C2548=0),0,MAX(0,MIN(C2548*12,Paths!$E$238)-(C2548-1)*12))</f>
        <v>0</v>
      </c>
      <c r="F2548" s="1">
        <f>IF(OR(Paths!$C$238=0,C2548=0),0,12-E2548)</f>
        <v>0</v>
      </c>
      <c r="G2548" s="16">
        <f>IF(NOT(Paths!$C$238=1),0,IF(Paths!$P$238="Complete",E2548/12*(Paths!$J$238*(1+'Operating costs'!$B$51)^MAX(0,C2548-1)+Paths!$K$238*(1+'Operating costs'!$B$53)^MAX(0,C2548-1)),"n.a."))</f>
        <v>0</v>
      </c>
      <c r="H2548" s="16">
        <f>IF(NOT(Paths!$C$238=1),0,IF(Paths!$P$238="Complete",F2548/12*(Paths!$L$238*(1+IF(Paths!$D$238="EV",'Operating costs'!$B$52,'Operating costs'!$B$51))^MAX(0,C2548-1)+Paths!$M$238*(1+'Operating costs'!$B$53)^MAX(0,C2548-1)),"n.a."))</f>
        <v>0</v>
      </c>
      <c r="I2548" s="16">
        <f>IF(NOT(Paths!$C$238=1),0,IF(Paths!$P$238="Complete",IF(IF(Paths!$E$238=0,C2548=0,AND(C2548&gt;0,Paths!$E$238&gt;(C2548-1)*12,Paths!$E$238&lt;=C2548*12)),Paths!$G$238,0),"n.a."))</f>
        <v>0</v>
      </c>
      <c r="J2548" s="16">
        <f>IF(NOT(Paths!$C$238=1),0,IF(Paths!$P$238="Complete",IF(IF(Paths!$E$238=0,C2548=0,AND(C2548&gt;0,Paths!$E$238&gt;(C2548-1)*12,Paths!$E$238&lt;=C2548*12)),Paths!$H$238,0),"n.a."))</f>
        <v>0</v>
      </c>
      <c r="K2548" s="16">
        <f>IF(NOT(Paths!$C$238=1),0,IF(Paths!$P$238="Complete",IF(IF(Paths!$O$238=0,C2548=0,AND(C2548&gt;0,Paths!$O$238&gt;(C2548-1)*12,Paths!$O$238&lt;=C2548*12)),Paths!$N$238,0),"n.a."))</f>
        <v>0</v>
      </c>
      <c r="L2548" s="16">
        <f>IF(NOT(Paths!$C$238=1),0,IF(Paths!$P$238="Complete",IF(C2548=10,Paths!$I$238,0),"n.a."))</f>
        <v>0</v>
      </c>
      <c r="M2548" s="16">
        <f>IF(NOT(Paths!$C$238=1),0,IF(Paths!$P$238="Complete",IF(AND(Paths!$D$238="EV",Paths!$E$238&lt;120,Paths!$E$238+'Operating costs'!$B$65&gt;Paths!$E$238,Paths!$E$238+'Operating costs'!$B$65&lt;=120,IF(Paths!$E$238+'Operating costs'!$B$65=0,C2548=0,AND(C2548&gt;0,Paths!$E$238+'Operating costs'!$B$65&gt;(C2548-1)*12,Paths!$E$238+'Operating costs'!$B$65&lt;=C2548*12))),'Operating costs'!$B$64,0)+IF(AND('Operating costs'!$B$67&gt;0,'Operating costs'!$B$67&lt;=120,OR(Paths!$D$238="ICE",'Operating costs'!$B$67&lt;=Paths!$E$238),IF('Operating costs'!$B$67=0,C2548=0,AND(C2548&gt;0,'Operating costs'!$B$67&gt;(C2548-1)*12,'Operating costs'!$B$67&lt;=C2548*12))),'Operating costs'!$B$66,0),"n.a."))</f>
        <v>0</v>
      </c>
      <c r="N2548" s="16">
        <f>IF(NOT(Paths!$C$238=1),0,IF(Paths!$P$238="Complete",SUM(G2548:I2548)-J2548-K2548-L2548+M2548+IF(C2548=0,Paths!$F$238,0)+IF(IF(Paths!$E$238=0,C2548=0,AND(C2548&gt;0,Paths!$E$238&gt;(C2548-1)*12,Paths!$E$238&lt;=C2548*12)),VLOOKUP(A2548,'Fleet register'!$A$7:$S$106,16,FALSE),0),"n.a."))</f>
        <v>0</v>
      </c>
      <c r="O2548" s="16">
        <f>IF(NOT(Paths!$C$238=1),0,IF(Paths!$P$238="Complete",N2548-IF(C2548=0,Paths!$F$238,0),"n.a."))</f>
        <v>0</v>
      </c>
      <c r="P2548" s="16">
        <f>IF(NOT(Paths!$C$238=1),0,IF(Paths!$P$238="Complete",O2548+L2548,"n.a."))</f>
        <v>0</v>
      </c>
      <c r="Q2548" s="16">
        <f>IF(NOT(Paths!$C$238=1),0,IF(Paths!$P$238="Complete",N2548*(1+'Operating costs'!$B$54)^-C2548,"n.a."))</f>
        <v>0</v>
      </c>
      <c r="R2548" s="16">
        <f>IF(NOT(Paths!$C$238=1),0,IF(Paths!$P$238="Complete",IF(AND(C2548=0,Paths!$E$238=0),I2548-J2548-K2548+VLOOKUP(A2548,'Fleet register'!$A$7:$S$106,15,FALSE)+VLOOKUP(A2548,'Fleet register'!$A$7:$S$106,16,FALSE),0),"n.a."))</f>
        <v>0</v>
      </c>
      <c r="S2548" s="1">
        <f>IF(NOT(Paths!$C$238=1),0,IF(Paths!$P$238="Complete",IF(C2548=0,0,Paths!$S$238*Paths!$R$238),"n.a."))</f>
        <v>0</v>
      </c>
      <c r="T2548" s="1">
        <f>IF(NOT(Paths!$C$238=1),0,IF(Paths!$P$238="Complete",IF(C2548=0,0,VLOOKUP(A2548,'Fleet register'!$A$7:$S$106,9,FALSE)*Paths!$R$238),"n.a."))</f>
        <v>0</v>
      </c>
    </row>
    <row r="2549" spans="1:20" ht="24" customHeight="1">
      <c r="A2549" s="1" t="str">
        <f>Paths!$A$238</f>
        <v>T058</v>
      </c>
      <c r="B2549" s="1">
        <f>Paths!$B$238</f>
        <v>3</v>
      </c>
      <c r="C2549" s="1">
        <v>1</v>
      </c>
      <c r="D2549" s="1">
        <v>238</v>
      </c>
      <c r="E2549" s="1">
        <f>IF(OR(Paths!$C$238=0,C2549=0),0,MAX(0,MIN(C2549*12,Paths!$E$238)-(C2549-1)*12))</f>
        <v>0</v>
      </c>
      <c r="F2549" s="1">
        <f>IF(OR(Paths!$C$238=0,C2549=0),0,12-E2549)</f>
        <v>0</v>
      </c>
      <c r="G2549" s="16">
        <f>IF(NOT(Paths!$C$238=1),0,IF(Paths!$P$238="Complete",E2549/12*(Paths!$J$238*(1+'Operating costs'!$B$51)^MAX(0,C2549-1)+Paths!$K$238*(1+'Operating costs'!$B$53)^MAX(0,C2549-1)),"n.a."))</f>
        <v>0</v>
      </c>
      <c r="H2549" s="16">
        <f>IF(NOT(Paths!$C$238=1),0,IF(Paths!$P$238="Complete",F2549/12*(Paths!$L$238*(1+IF(Paths!$D$238="EV",'Operating costs'!$B$52,'Operating costs'!$B$51))^MAX(0,C2549-1)+Paths!$M$238*(1+'Operating costs'!$B$53)^MAX(0,C2549-1)),"n.a."))</f>
        <v>0</v>
      </c>
      <c r="I2549" s="16">
        <f>IF(NOT(Paths!$C$238=1),0,IF(Paths!$P$238="Complete",IF(IF(Paths!$E$238=0,C2549=0,AND(C2549&gt;0,Paths!$E$238&gt;(C2549-1)*12,Paths!$E$238&lt;=C2549*12)),Paths!$G$238,0),"n.a."))</f>
        <v>0</v>
      </c>
      <c r="J2549" s="16">
        <f>IF(NOT(Paths!$C$238=1),0,IF(Paths!$P$238="Complete",IF(IF(Paths!$E$238=0,C2549=0,AND(C2549&gt;0,Paths!$E$238&gt;(C2549-1)*12,Paths!$E$238&lt;=C2549*12)),Paths!$H$238,0),"n.a."))</f>
        <v>0</v>
      </c>
      <c r="K2549" s="16">
        <f>IF(NOT(Paths!$C$238=1),0,IF(Paths!$P$238="Complete",IF(IF(Paths!$O$238=0,C2549=0,AND(C2549&gt;0,Paths!$O$238&gt;(C2549-1)*12,Paths!$O$238&lt;=C2549*12)),Paths!$N$238,0),"n.a."))</f>
        <v>0</v>
      </c>
      <c r="L2549" s="16">
        <f>IF(NOT(Paths!$C$238=1),0,IF(Paths!$P$238="Complete",IF(C2549=10,Paths!$I$238,0),"n.a."))</f>
        <v>0</v>
      </c>
      <c r="M2549" s="16">
        <f>IF(NOT(Paths!$C$238=1),0,IF(Paths!$P$238="Complete",IF(AND(Paths!$D$238="EV",Paths!$E$238&lt;120,Paths!$E$238+'Operating costs'!$B$65&gt;Paths!$E$238,Paths!$E$238+'Operating costs'!$B$65&lt;=120,IF(Paths!$E$238+'Operating costs'!$B$65=0,C2549=0,AND(C2549&gt;0,Paths!$E$238+'Operating costs'!$B$65&gt;(C2549-1)*12,Paths!$E$238+'Operating costs'!$B$65&lt;=C2549*12))),'Operating costs'!$B$64,0)+IF(AND('Operating costs'!$B$67&gt;0,'Operating costs'!$B$67&lt;=120,OR(Paths!$D$238="ICE",'Operating costs'!$B$67&lt;=Paths!$E$238),IF('Operating costs'!$B$67=0,C2549=0,AND(C2549&gt;0,'Operating costs'!$B$67&gt;(C2549-1)*12,'Operating costs'!$B$67&lt;=C2549*12))),'Operating costs'!$B$66,0),"n.a."))</f>
        <v>0</v>
      </c>
      <c r="N2549" s="16">
        <f>IF(NOT(Paths!$C$238=1),0,IF(Paths!$P$238="Complete",SUM(G2549:I2549)-J2549-K2549-L2549+M2549+IF(C2549=0,Paths!$F$238,0)+IF(IF(Paths!$E$238=0,C2549=0,AND(C2549&gt;0,Paths!$E$238&gt;(C2549-1)*12,Paths!$E$238&lt;=C2549*12)),VLOOKUP(A2549,'Fleet register'!$A$7:$S$106,16,FALSE),0),"n.a."))</f>
        <v>0</v>
      </c>
      <c r="O2549" s="16">
        <f>IF(NOT(Paths!$C$238=1),0,IF(Paths!$P$238="Complete",N2549-IF(C2549=0,Paths!$F$238,0),"n.a."))</f>
        <v>0</v>
      </c>
      <c r="P2549" s="16">
        <f>IF(NOT(Paths!$C$238=1),0,IF(Paths!$P$238="Complete",O2549+L2549,"n.a."))</f>
        <v>0</v>
      </c>
      <c r="Q2549" s="16">
        <f>IF(NOT(Paths!$C$238=1),0,IF(Paths!$P$238="Complete",N2549*(1+'Operating costs'!$B$54)^-C2549,"n.a."))</f>
        <v>0</v>
      </c>
      <c r="R2549" s="16">
        <f>IF(NOT(Paths!$C$238=1),0,IF(Paths!$P$238="Complete",IF(AND(C2549=0,Paths!$E$238=0),I2549-J2549-K2549+VLOOKUP(A2549,'Fleet register'!$A$7:$S$106,15,FALSE)+VLOOKUP(A2549,'Fleet register'!$A$7:$S$106,16,FALSE),0),"n.a."))</f>
        <v>0</v>
      </c>
      <c r="S2549" s="1">
        <f>IF(NOT(Paths!$C$238=1),0,IF(Paths!$P$238="Complete",IF(C2549=0,0,Paths!$S$238*Paths!$R$238),"n.a."))</f>
        <v>0</v>
      </c>
      <c r="T2549" s="1">
        <f>IF(NOT(Paths!$C$238=1),0,IF(Paths!$P$238="Complete",IF(C2549=0,0,VLOOKUP(A2549,'Fleet register'!$A$7:$S$106,9,FALSE)*Paths!$R$238),"n.a."))</f>
        <v>0</v>
      </c>
    </row>
    <row r="2550" spans="1:20" ht="24" customHeight="1">
      <c r="A2550" s="1" t="str">
        <f>Paths!$A$238</f>
        <v>T058</v>
      </c>
      <c r="B2550" s="1">
        <f>Paths!$B$238</f>
        <v>3</v>
      </c>
      <c r="C2550" s="1">
        <v>2</v>
      </c>
      <c r="D2550" s="1">
        <v>238</v>
      </c>
      <c r="E2550" s="1">
        <f>IF(OR(Paths!$C$238=0,C2550=0),0,MAX(0,MIN(C2550*12,Paths!$E$238)-(C2550-1)*12))</f>
        <v>0</v>
      </c>
      <c r="F2550" s="1">
        <f>IF(OR(Paths!$C$238=0,C2550=0),0,12-E2550)</f>
        <v>0</v>
      </c>
      <c r="G2550" s="16">
        <f>IF(NOT(Paths!$C$238=1),0,IF(Paths!$P$238="Complete",E2550/12*(Paths!$J$238*(1+'Operating costs'!$B$51)^MAX(0,C2550-1)+Paths!$K$238*(1+'Operating costs'!$B$53)^MAX(0,C2550-1)),"n.a."))</f>
        <v>0</v>
      </c>
      <c r="H2550" s="16">
        <f>IF(NOT(Paths!$C$238=1),0,IF(Paths!$P$238="Complete",F2550/12*(Paths!$L$238*(1+IF(Paths!$D$238="EV",'Operating costs'!$B$52,'Operating costs'!$B$51))^MAX(0,C2550-1)+Paths!$M$238*(1+'Operating costs'!$B$53)^MAX(0,C2550-1)),"n.a."))</f>
        <v>0</v>
      </c>
      <c r="I2550" s="16">
        <f>IF(NOT(Paths!$C$238=1),0,IF(Paths!$P$238="Complete",IF(IF(Paths!$E$238=0,C2550=0,AND(C2550&gt;0,Paths!$E$238&gt;(C2550-1)*12,Paths!$E$238&lt;=C2550*12)),Paths!$G$238,0),"n.a."))</f>
        <v>0</v>
      </c>
      <c r="J2550" s="16">
        <f>IF(NOT(Paths!$C$238=1),0,IF(Paths!$P$238="Complete",IF(IF(Paths!$E$238=0,C2550=0,AND(C2550&gt;0,Paths!$E$238&gt;(C2550-1)*12,Paths!$E$238&lt;=C2550*12)),Paths!$H$238,0),"n.a."))</f>
        <v>0</v>
      </c>
      <c r="K2550" s="16">
        <f>IF(NOT(Paths!$C$238=1),0,IF(Paths!$P$238="Complete",IF(IF(Paths!$O$238=0,C2550=0,AND(C2550&gt;0,Paths!$O$238&gt;(C2550-1)*12,Paths!$O$238&lt;=C2550*12)),Paths!$N$238,0),"n.a."))</f>
        <v>0</v>
      </c>
      <c r="L2550" s="16">
        <f>IF(NOT(Paths!$C$238=1),0,IF(Paths!$P$238="Complete",IF(C2550=10,Paths!$I$238,0),"n.a."))</f>
        <v>0</v>
      </c>
      <c r="M2550" s="16">
        <f>IF(NOT(Paths!$C$238=1),0,IF(Paths!$P$238="Complete",IF(AND(Paths!$D$238="EV",Paths!$E$238&lt;120,Paths!$E$238+'Operating costs'!$B$65&gt;Paths!$E$238,Paths!$E$238+'Operating costs'!$B$65&lt;=120,IF(Paths!$E$238+'Operating costs'!$B$65=0,C2550=0,AND(C2550&gt;0,Paths!$E$238+'Operating costs'!$B$65&gt;(C2550-1)*12,Paths!$E$238+'Operating costs'!$B$65&lt;=C2550*12))),'Operating costs'!$B$64,0)+IF(AND('Operating costs'!$B$67&gt;0,'Operating costs'!$B$67&lt;=120,OR(Paths!$D$238="ICE",'Operating costs'!$B$67&lt;=Paths!$E$238),IF('Operating costs'!$B$67=0,C2550=0,AND(C2550&gt;0,'Operating costs'!$B$67&gt;(C2550-1)*12,'Operating costs'!$B$67&lt;=C2550*12))),'Operating costs'!$B$66,0),"n.a."))</f>
        <v>0</v>
      </c>
      <c r="N2550" s="16">
        <f>IF(NOT(Paths!$C$238=1),0,IF(Paths!$P$238="Complete",SUM(G2550:I2550)-J2550-K2550-L2550+M2550+IF(C2550=0,Paths!$F$238,0)+IF(IF(Paths!$E$238=0,C2550=0,AND(C2550&gt;0,Paths!$E$238&gt;(C2550-1)*12,Paths!$E$238&lt;=C2550*12)),VLOOKUP(A2550,'Fleet register'!$A$7:$S$106,16,FALSE),0),"n.a."))</f>
        <v>0</v>
      </c>
      <c r="O2550" s="16">
        <f>IF(NOT(Paths!$C$238=1),0,IF(Paths!$P$238="Complete",N2550-IF(C2550=0,Paths!$F$238,0),"n.a."))</f>
        <v>0</v>
      </c>
      <c r="P2550" s="16">
        <f>IF(NOT(Paths!$C$238=1),0,IF(Paths!$P$238="Complete",O2550+L2550,"n.a."))</f>
        <v>0</v>
      </c>
      <c r="Q2550" s="16">
        <f>IF(NOT(Paths!$C$238=1),0,IF(Paths!$P$238="Complete",N2550*(1+'Operating costs'!$B$54)^-C2550,"n.a."))</f>
        <v>0</v>
      </c>
      <c r="R2550" s="16">
        <f>IF(NOT(Paths!$C$238=1),0,IF(Paths!$P$238="Complete",IF(AND(C2550=0,Paths!$E$238=0),I2550-J2550-K2550+VLOOKUP(A2550,'Fleet register'!$A$7:$S$106,15,FALSE)+VLOOKUP(A2550,'Fleet register'!$A$7:$S$106,16,FALSE),0),"n.a."))</f>
        <v>0</v>
      </c>
      <c r="S2550" s="1">
        <f>IF(NOT(Paths!$C$238=1),0,IF(Paths!$P$238="Complete",IF(C2550=0,0,Paths!$S$238*Paths!$R$238),"n.a."))</f>
        <v>0</v>
      </c>
      <c r="T2550" s="1">
        <f>IF(NOT(Paths!$C$238=1),0,IF(Paths!$P$238="Complete",IF(C2550=0,0,VLOOKUP(A2550,'Fleet register'!$A$7:$S$106,9,FALSE)*Paths!$R$238),"n.a."))</f>
        <v>0</v>
      </c>
    </row>
    <row r="2551" spans="1:20" ht="24" customHeight="1">
      <c r="A2551" s="1" t="str">
        <f>Paths!$A$238</f>
        <v>T058</v>
      </c>
      <c r="B2551" s="1">
        <f>Paths!$B$238</f>
        <v>3</v>
      </c>
      <c r="C2551" s="1">
        <v>3</v>
      </c>
      <c r="D2551" s="1">
        <v>238</v>
      </c>
      <c r="E2551" s="1">
        <f>IF(OR(Paths!$C$238=0,C2551=0),0,MAX(0,MIN(C2551*12,Paths!$E$238)-(C2551-1)*12))</f>
        <v>0</v>
      </c>
      <c r="F2551" s="1">
        <f>IF(OR(Paths!$C$238=0,C2551=0),0,12-E2551)</f>
        <v>0</v>
      </c>
      <c r="G2551" s="16">
        <f>IF(NOT(Paths!$C$238=1),0,IF(Paths!$P$238="Complete",E2551/12*(Paths!$J$238*(1+'Operating costs'!$B$51)^MAX(0,C2551-1)+Paths!$K$238*(1+'Operating costs'!$B$53)^MAX(0,C2551-1)),"n.a."))</f>
        <v>0</v>
      </c>
      <c r="H2551" s="16">
        <f>IF(NOT(Paths!$C$238=1),0,IF(Paths!$P$238="Complete",F2551/12*(Paths!$L$238*(1+IF(Paths!$D$238="EV",'Operating costs'!$B$52,'Operating costs'!$B$51))^MAX(0,C2551-1)+Paths!$M$238*(1+'Operating costs'!$B$53)^MAX(0,C2551-1)),"n.a."))</f>
        <v>0</v>
      </c>
      <c r="I2551" s="16">
        <f>IF(NOT(Paths!$C$238=1),0,IF(Paths!$P$238="Complete",IF(IF(Paths!$E$238=0,C2551=0,AND(C2551&gt;0,Paths!$E$238&gt;(C2551-1)*12,Paths!$E$238&lt;=C2551*12)),Paths!$G$238,0),"n.a."))</f>
        <v>0</v>
      </c>
      <c r="J2551" s="16">
        <f>IF(NOT(Paths!$C$238=1),0,IF(Paths!$P$238="Complete",IF(IF(Paths!$E$238=0,C2551=0,AND(C2551&gt;0,Paths!$E$238&gt;(C2551-1)*12,Paths!$E$238&lt;=C2551*12)),Paths!$H$238,0),"n.a."))</f>
        <v>0</v>
      </c>
      <c r="K2551" s="16">
        <f>IF(NOT(Paths!$C$238=1),0,IF(Paths!$P$238="Complete",IF(IF(Paths!$O$238=0,C2551=0,AND(C2551&gt;0,Paths!$O$238&gt;(C2551-1)*12,Paths!$O$238&lt;=C2551*12)),Paths!$N$238,0),"n.a."))</f>
        <v>0</v>
      </c>
      <c r="L2551" s="16">
        <f>IF(NOT(Paths!$C$238=1),0,IF(Paths!$P$238="Complete",IF(C2551=10,Paths!$I$238,0),"n.a."))</f>
        <v>0</v>
      </c>
      <c r="M2551" s="16">
        <f>IF(NOT(Paths!$C$238=1),0,IF(Paths!$P$238="Complete",IF(AND(Paths!$D$238="EV",Paths!$E$238&lt;120,Paths!$E$238+'Operating costs'!$B$65&gt;Paths!$E$238,Paths!$E$238+'Operating costs'!$B$65&lt;=120,IF(Paths!$E$238+'Operating costs'!$B$65=0,C2551=0,AND(C2551&gt;0,Paths!$E$238+'Operating costs'!$B$65&gt;(C2551-1)*12,Paths!$E$238+'Operating costs'!$B$65&lt;=C2551*12))),'Operating costs'!$B$64,0)+IF(AND('Operating costs'!$B$67&gt;0,'Operating costs'!$B$67&lt;=120,OR(Paths!$D$238="ICE",'Operating costs'!$B$67&lt;=Paths!$E$238),IF('Operating costs'!$B$67=0,C2551=0,AND(C2551&gt;0,'Operating costs'!$B$67&gt;(C2551-1)*12,'Operating costs'!$B$67&lt;=C2551*12))),'Operating costs'!$B$66,0),"n.a."))</f>
        <v>0</v>
      </c>
      <c r="N2551" s="16">
        <f>IF(NOT(Paths!$C$238=1),0,IF(Paths!$P$238="Complete",SUM(G2551:I2551)-J2551-K2551-L2551+M2551+IF(C2551=0,Paths!$F$238,0)+IF(IF(Paths!$E$238=0,C2551=0,AND(C2551&gt;0,Paths!$E$238&gt;(C2551-1)*12,Paths!$E$238&lt;=C2551*12)),VLOOKUP(A2551,'Fleet register'!$A$7:$S$106,16,FALSE),0),"n.a."))</f>
        <v>0</v>
      </c>
      <c r="O2551" s="16">
        <f>IF(NOT(Paths!$C$238=1),0,IF(Paths!$P$238="Complete",N2551-IF(C2551=0,Paths!$F$238,0),"n.a."))</f>
        <v>0</v>
      </c>
      <c r="P2551" s="16">
        <f>IF(NOT(Paths!$C$238=1),0,IF(Paths!$P$238="Complete",O2551+L2551,"n.a."))</f>
        <v>0</v>
      </c>
      <c r="Q2551" s="16">
        <f>IF(NOT(Paths!$C$238=1),0,IF(Paths!$P$238="Complete",N2551*(1+'Operating costs'!$B$54)^-C2551,"n.a."))</f>
        <v>0</v>
      </c>
      <c r="R2551" s="16">
        <f>IF(NOT(Paths!$C$238=1),0,IF(Paths!$P$238="Complete",IF(AND(C2551=0,Paths!$E$238=0),I2551-J2551-K2551+VLOOKUP(A2551,'Fleet register'!$A$7:$S$106,15,FALSE)+VLOOKUP(A2551,'Fleet register'!$A$7:$S$106,16,FALSE),0),"n.a."))</f>
        <v>0</v>
      </c>
      <c r="S2551" s="1">
        <f>IF(NOT(Paths!$C$238=1),0,IF(Paths!$P$238="Complete",IF(C2551=0,0,Paths!$S$238*Paths!$R$238),"n.a."))</f>
        <v>0</v>
      </c>
      <c r="T2551" s="1">
        <f>IF(NOT(Paths!$C$238=1),0,IF(Paths!$P$238="Complete",IF(C2551=0,0,VLOOKUP(A2551,'Fleet register'!$A$7:$S$106,9,FALSE)*Paths!$R$238),"n.a."))</f>
        <v>0</v>
      </c>
    </row>
    <row r="2552" spans="1:20" ht="24" customHeight="1">
      <c r="A2552" s="1" t="str">
        <f>Paths!$A$238</f>
        <v>T058</v>
      </c>
      <c r="B2552" s="1">
        <f>Paths!$B$238</f>
        <v>3</v>
      </c>
      <c r="C2552" s="1">
        <v>4</v>
      </c>
      <c r="D2552" s="1">
        <v>238</v>
      </c>
      <c r="E2552" s="1">
        <f>IF(OR(Paths!$C$238=0,C2552=0),0,MAX(0,MIN(C2552*12,Paths!$E$238)-(C2552-1)*12))</f>
        <v>0</v>
      </c>
      <c r="F2552" s="1">
        <f>IF(OR(Paths!$C$238=0,C2552=0),0,12-E2552)</f>
        <v>0</v>
      </c>
      <c r="G2552" s="16">
        <f>IF(NOT(Paths!$C$238=1),0,IF(Paths!$P$238="Complete",E2552/12*(Paths!$J$238*(1+'Operating costs'!$B$51)^MAX(0,C2552-1)+Paths!$K$238*(1+'Operating costs'!$B$53)^MAX(0,C2552-1)),"n.a."))</f>
        <v>0</v>
      </c>
      <c r="H2552" s="16">
        <f>IF(NOT(Paths!$C$238=1),0,IF(Paths!$P$238="Complete",F2552/12*(Paths!$L$238*(1+IF(Paths!$D$238="EV",'Operating costs'!$B$52,'Operating costs'!$B$51))^MAX(0,C2552-1)+Paths!$M$238*(1+'Operating costs'!$B$53)^MAX(0,C2552-1)),"n.a."))</f>
        <v>0</v>
      </c>
      <c r="I2552" s="16">
        <f>IF(NOT(Paths!$C$238=1),0,IF(Paths!$P$238="Complete",IF(IF(Paths!$E$238=0,C2552=0,AND(C2552&gt;0,Paths!$E$238&gt;(C2552-1)*12,Paths!$E$238&lt;=C2552*12)),Paths!$G$238,0),"n.a."))</f>
        <v>0</v>
      </c>
      <c r="J2552" s="16">
        <f>IF(NOT(Paths!$C$238=1),0,IF(Paths!$P$238="Complete",IF(IF(Paths!$E$238=0,C2552=0,AND(C2552&gt;0,Paths!$E$238&gt;(C2552-1)*12,Paths!$E$238&lt;=C2552*12)),Paths!$H$238,0),"n.a."))</f>
        <v>0</v>
      </c>
      <c r="K2552" s="16">
        <f>IF(NOT(Paths!$C$238=1),0,IF(Paths!$P$238="Complete",IF(IF(Paths!$O$238=0,C2552=0,AND(C2552&gt;0,Paths!$O$238&gt;(C2552-1)*12,Paths!$O$238&lt;=C2552*12)),Paths!$N$238,0),"n.a."))</f>
        <v>0</v>
      </c>
      <c r="L2552" s="16">
        <f>IF(NOT(Paths!$C$238=1),0,IF(Paths!$P$238="Complete",IF(C2552=10,Paths!$I$238,0),"n.a."))</f>
        <v>0</v>
      </c>
      <c r="M2552" s="16">
        <f>IF(NOT(Paths!$C$238=1),0,IF(Paths!$P$238="Complete",IF(AND(Paths!$D$238="EV",Paths!$E$238&lt;120,Paths!$E$238+'Operating costs'!$B$65&gt;Paths!$E$238,Paths!$E$238+'Operating costs'!$B$65&lt;=120,IF(Paths!$E$238+'Operating costs'!$B$65=0,C2552=0,AND(C2552&gt;0,Paths!$E$238+'Operating costs'!$B$65&gt;(C2552-1)*12,Paths!$E$238+'Operating costs'!$B$65&lt;=C2552*12))),'Operating costs'!$B$64,0)+IF(AND('Operating costs'!$B$67&gt;0,'Operating costs'!$B$67&lt;=120,OR(Paths!$D$238="ICE",'Operating costs'!$B$67&lt;=Paths!$E$238),IF('Operating costs'!$B$67=0,C2552=0,AND(C2552&gt;0,'Operating costs'!$B$67&gt;(C2552-1)*12,'Operating costs'!$B$67&lt;=C2552*12))),'Operating costs'!$B$66,0),"n.a."))</f>
        <v>0</v>
      </c>
      <c r="N2552" s="16">
        <f>IF(NOT(Paths!$C$238=1),0,IF(Paths!$P$238="Complete",SUM(G2552:I2552)-J2552-K2552-L2552+M2552+IF(C2552=0,Paths!$F$238,0)+IF(IF(Paths!$E$238=0,C2552=0,AND(C2552&gt;0,Paths!$E$238&gt;(C2552-1)*12,Paths!$E$238&lt;=C2552*12)),VLOOKUP(A2552,'Fleet register'!$A$7:$S$106,16,FALSE),0),"n.a."))</f>
        <v>0</v>
      </c>
      <c r="O2552" s="16">
        <f>IF(NOT(Paths!$C$238=1),0,IF(Paths!$P$238="Complete",N2552-IF(C2552=0,Paths!$F$238,0),"n.a."))</f>
        <v>0</v>
      </c>
      <c r="P2552" s="16">
        <f>IF(NOT(Paths!$C$238=1),0,IF(Paths!$P$238="Complete",O2552+L2552,"n.a."))</f>
        <v>0</v>
      </c>
      <c r="Q2552" s="16">
        <f>IF(NOT(Paths!$C$238=1),0,IF(Paths!$P$238="Complete",N2552*(1+'Operating costs'!$B$54)^-C2552,"n.a."))</f>
        <v>0</v>
      </c>
      <c r="R2552" s="16">
        <f>IF(NOT(Paths!$C$238=1),0,IF(Paths!$P$238="Complete",IF(AND(C2552=0,Paths!$E$238=0),I2552-J2552-K2552+VLOOKUP(A2552,'Fleet register'!$A$7:$S$106,15,FALSE)+VLOOKUP(A2552,'Fleet register'!$A$7:$S$106,16,FALSE),0),"n.a."))</f>
        <v>0</v>
      </c>
      <c r="S2552" s="1">
        <f>IF(NOT(Paths!$C$238=1),0,IF(Paths!$P$238="Complete",IF(C2552=0,0,Paths!$S$238*Paths!$R$238),"n.a."))</f>
        <v>0</v>
      </c>
      <c r="T2552" s="1">
        <f>IF(NOT(Paths!$C$238=1),0,IF(Paths!$P$238="Complete",IF(C2552=0,0,VLOOKUP(A2552,'Fleet register'!$A$7:$S$106,9,FALSE)*Paths!$R$238),"n.a."))</f>
        <v>0</v>
      </c>
    </row>
    <row r="2553" spans="1:20" ht="24" customHeight="1">
      <c r="A2553" s="1" t="str">
        <f>Paths!$A$238</f>
        <v>T058</v>
      </c>
      <c r="B2553" s="1">
        <f>Paths!$B$238</f>
        <v>3</v>
      </c>
      <c r="C2553" s="1">
        <v>5</v>
      </c>
      <c r="D2553" s="1">
        <v>238</v>
      </c>
      <c r="E2553" s="1">
        <f>IF(OR(Paths!$C$238=0,C2553=0),0,MAX(0,MIN(C2553*12,Paths!$E$238)-(C2553-1)*12))</f>
        <v>0</v>
      </c>
      <c r="F2553" s="1">
        <f>IF(OR(Paths!$C$238=0,C2553=0),0,12-E2553)</f>
        <v>0</v>
      </c>
      <c r="G2553" s="16">
        <f>IF(NOT(Paths!$C$238=1),0,IF(Paths!$P$238="Complete",E2553/12*(Paths!$J$238*(1+'Operating costs'!$B$51)^MAX(0,C2553-1)+Paths!$K$238*(1+'Operating costs'!$B$53)^MAX(0,C2553-1)),"n.a."))</f>
        <v>0</v>
      </c>
      <c r="H2553" s="16">
        <f>IF(NOT(Paths!$C$238=1),0,IF(Paths!$P$238="Complete",F2553/12*(Paths!$L$238*(1+IF(Paths!$D$238="EV",'Operating costs'!$B$52,'Operating costs'!$B$51))^MAX(0,C2553-1)+Paths!$M$238*(1+'Operating costs'!$B$53)^MAX(0,C2553-1)),"n.a."))</f>
        <v>0</v>
      </c>
      <c r="I2553" s="16">
        <f>IF(NOT(Paths!$C$238=1),0,IF(Paths!$P$238="Complete",IF(IF(Paths!$E$238=0,C2553=0,AND(C2553&gt;0,Paths!$E$238&gt;(C2553-1)*12,Paths!$E$238&lt;=C2553*12)),Paths!$G$238,0),"n.a."))</f>
        <v>0</v>
      </c>
      <c r="J2553" s="16">
        <f>IF(NOT(Paths!$C$238=1),0,IF(Paths!$P$238="Complete",IF(IF(Paths!$E$238=0,C2553=0,AND(C2553&gt;0,Paths!$E$238&gt;(C2553-1)*12,Paths!$E$238&lt;=C2553*12)),Paths!$H$238,0),"n.a."))</f>
        <v>0</v>
      </c>
      <c r="K2553" s="16">
        <f>IF(NOT(Paths!$C$238=1),0,IF(Paths!$P$238="Complete",IF(IF(Paths!$O$238=0,C2553=0,AND(C2553&gt;0,Paths!$O$238&gt;(C2553-1)*12,Paths!$O$238&lt;=C2553*12)),Paths!$N$238,0),"n.a."))</f>
        <v>0</v>
      </c>
      <c r="L2553" s="16">
        <f>IF(NOT(Paths!$C$238=1),0,IF(Paths!$P$238="Complete",IF(C2553=10,Paths!$I$238,0),"n.a."))</f>
        <v>0</v>
      </c>
      <c r="M2553" s="16">
        <f>IF(NOT(Paths!$C$238=1),0,IF(Paths!$P$238="Complete",IF(AND(Paths!$D$238="EV",Paths!$E$238&lt;120,Paths!$E$238+'Operating costs'!$B$65&gt;Paths!$E$238,Paths!$E$238+'Operating costs'!$B$65&lt;=120,IF(Paths!$E$238+'Operating costs'!$B$65=0,C2553=0,AND(C2553&gt;0,Paths!$E$238+'Operating costs'!$B$65&gt;(C2553-1)*12,Paths!$E$238+'Operating costs'!$B$65&lt;=C2553*12))),'Operating costs'!$B$64,0)+IF(AND('Operating costs'!$B$67&gt;0,'Operating costs'!$B$67&lt;=120,OR(Paths!$D$238="ICE",'Operating costs'!$B$67&lt;=Paths!$E$238),IF('Operating costs'!$B$67=0,C2553=0,AND(C2553&gt;0,'Operating costs'!$B$67&gt;(C2553-1)*12,'Operating costs'!$B$67&lt;=C2553*12))),'Operating costs'!$B$66,0),"n.a."))</f>
        <v>0</v>
      </c>
      <c r="N2553" s="16">
        <f>IF(NOT(Paths!$C$238=1),0,IF(Paths!$P$238="Complete",SUM(G2553:I2553)-J2553-K2553-L2553+M2553+IF(C2553=0,Paths!$F$238,0)+IF(IF(Paths!$E$238=0,C2553=0,AND(C2553&gt;0,Paths!$E$238&gt;(C2553-1)*12,Paths!$E$238&lt;=C2553*12)),VLOOKUP(A2553,'Fleet register'!$A$7:$S$106,16,FALSE),0),"n.a."))</f>
        <v>0</v>
      </c>
      <c r="O2553" s="16">
        <f>IF(NOT(Paths!$C$238=1),0,IF(Paths!$P$238="Complete",N2553-IF(C2553=0,Paths!$F$238,0),"n.a."))</f>
        <v>0</v>
      </c>
      <c r="P2553" s="16">
        <f>IF(NOT(Paths!$C$238=1),0,IF(Paths!$P$238="Complete",O2553+L2553,"n.a."))</f>
        <v>0</v>
      </c>
      <c r="Q2553" s="16">
        <f>IF(NOT(Paths!$C$238=1),0,IF(Paths!$P$238="Complete",N2553*(1+'Operating costs'!$B$54)^-C2553,"n.a."))</f>
        <v>0</v>
      </c>
      <c r="R2553" s="16">
        <f>IF(NOT(Paths!$C$238=1),0,IF(Paths!$P$238="Complete",IF(AND(C2553=0,Paths!$E$238=0),I2553-J2553-K2553+VLOOKUP(A2553,'Fleet register'!$A$7:$S$106,15,FALSE)+VLOOKUP(A2553,'Fleet register'!$A$7:$S$106,16,FALSE),0),"n.a."))</f>
        <v>0</v>
      </c>
      <c r="S2553" s="1">
        <f>IF(NOT(Paths!$C$238=1),0,IF(Paths!$P$238="Complete",IF(C2553=0,0,Paths!$S$238*Paths!$R$238),"n.a."))</f>
        <v>0</v>
      </c>
      <c r="T2553" s="1">
        <f>IF(NOT(Paths!$C$238=1),0,IF(Paths!$P$238="Complete",IF(C2553=0,0,VLOOKUP(A2553,'Fleet register'!$A$7:$S$106,9,FALSE)*Paths!$R$238),"n.a."))</f>
        <v>0</v>
      </c>
    </row>
    <row r="2554" spans="1:20" ht="24" customHeight="1">
      <c r="A2554" s="1" t="str">
        <f>Paths!$A$238</f>
        <v>T058</v>
      </c>
      <c r="B2554" s="1">
        <f>Paths!$B$238</f>
        <v>3</v>
      </c>
      <c r="C2554" s="1">
        <v>6</v>
      </c>
      <c r="D2554" s="1">
        <v>238</v>
      </c>
      <c r="E2554" s="1">
        <f>IF(OR(Paths!$C$238=0,C2554=0),0,MAX(0,MIN(C2554*12,Paths!$E$238)-(C2554-1)*12))</f>
        <v>0</v>
      </c>
      <c r="F2554" s="1">
        <f>IF(OR(Paths!$C$238=0,C2554=0),0,12-E2554)</f>
        <v>0</v>
      </c>
      <c r="G2554" s="16">
        <f>IF(NOT(Paths!$C$238=1),0,IF(Paths!$P$238="Complete",E2554/12*(Paths!$J$238*(1+'Operating costs'!$B$51)^MAX(0,C2554-1)+Paths!$K$238*(1+'Operating costs'!$B$53)^MAX(0,C2554-1)),"n.a."))</f>
        <v>0</v>
      </c>
      <c r="H2554" s="16">
        <f>IF(NOT(Paths!$C$238=1),0,IF(Paths!$P$238="Complete",F2554/12*(Paths!$L$238*(1+IF(Paths!$D$238="EV",'Operating costs'!$B$52,'Operating costs'!$B$51))^MAX(0,C2554-1)+Paths!$M$238*(1+'Operating costs'!$B$53)^MAX(0,C2554-1)),"n.a."))</f>
        <v>0</v>
      </c>
      <c r="I2554" s="16">
        <f>IF(NOT(Paths!$C$238=1),0,IF(Paths!$P$238="Complete",IF(IF(Paths!$E$238=0,C2554=0,AND(C2554&gt;0,Paths!$E$238&gt;(C2554-1)*12,Paths!$E$238&lt;=C2554*12)),Paths!$G$238,0),"n.a."))</f>
        <v>0</v>
      </c>
      <c r="J2554" s="16">
        <f>IF(NOT(Paths!$C$238=1),0,IF(Paths!$P$238="Complete",IF(IF(Paths!$E$238=0,C2554=0,AND(C2554&gt;0,Paths!$E$238&gt;(C2554-1)*12,Paths!$E$238&lt;=C2554*12)),Paths!$H$238,0),"n.a."))</f>
        <v>0</v>
      </c>
      <c r="K2554" s="16">
        <f>IF(NOT(Paths!$C$238=1),0,IF(Paths!$P$238="Complete",IF(IF(Paths!$O$238=0,C2554=0,AND(C2554&gt;0,Paths!$O$238&gt;(C2554-1)*12,Paths!$O$238&lt;=C2554*12)),Paths!$N$238,0),"n.a."))</f>
        <v>0</v>
      </c>
      <c r="L2554" s="16">
        <f>IF(NOT(Paths!$C$238=1),0,IF(Paths!$P$238="Complete",IF(C2554=10,Paths!$I$238,0),"n.a."))</f>
        <v>0</v>
      </c>
      <c r="M2554" s="16">
        <f>IF(NOT(Paths!$C$238=1),0,IF(Paths!$P$238="Complete",IF(AND(Paths!$D$238="EV",Paths!$E$238&lt;120,Paths!$E$238+'Operating costs'!$B$65&gt;Paths!$E$238,Paths!$E$238+'Operating costs'!$B$65&lt;=120,IF(Paths!$E$238+'Operating costs'!$B$65=0,C2554=0,AND(C2554&gt;0,Paths!$E$238+'Operating costs'!$B$65&gt;(C2554-1)*12,Paths!$E$238+'Operating costs'!$B$65&lt;=C2554*12))),'Operating costs'!$B$64,0)+IF(AND('Operating costs'!$B$67&gt;0,'Operating costs'!$B$67&lt;=120,OR(Paths!$D$238="ICE",'Operating costs'!$B$67&lt;=Paths!$E$238),IF('Operating costs'!$B$67=0,C2554=0,AND(C2554&gt;0,'Operating costs'!$B$67&gt;(C2554-1)*12,'Operating costs'!$B$67&lt;=C2554*12))),'Operating costs'!$B$66,0),"n.a."))</f>
        <v>0</v>
      </c>
      <c r="N2554" s="16">
        <f>IF(NOT(Paths!$C$238=1),0,IF(Paths!$P$238="Complete",SUM(G2554:I2554)-J2554-K2554-L2554+M2554+IF(C2554=0,Paths!$F$238,0)+IF(IF(Paths!$E$238=0,C2554=0,AND(C2554&gt;0,Paths!$E$238&gt;(C2554-1)*12,Paths!$E$238&lt;=C2554*12)),VLOOKUP(A2554,'Fleet register'!$A$7:$S$106,16,FALSE),0),"n.a."))</f>
        <v>0</v>
      </c>
      <c r="O2554" s="16">
        <f>IF(NOT(Paths!$C$238=1),0,IF(Paths!$P$238="Complete",N2554-IF(C2554=0,Paths!$F$238,0),"n.a."))</f>
        <v>0</v>
      </c>
      <c r="P2554" s="16">
        <f>IF(NOT(Paths!$C$238=1),0,IF(Paths!$P$238="Complete",O2554+L2554,"n.a."))</f>
        <v>0</v>
      </c>
      <c r="Q2554" s="16">
        <f>IF(NOT(Paths!$C$238=1),0,IF(Paths!$P$238="Complete",N2554*(1+'Operating costs'!$B$54)^-C2554,"n.a."))</f>
        <v>0</v>
      </c>
      <c r="R2554" s="16">
        <f>IF(NOT(Paths!$C$238=1),0,IF(Paths!$P$238="Complete",IF(AND(C2554=0,Paths!$E$238=0),I2554-J2554-K2554+VLOOKUP(A2554,'Fleet register'!$A$7:$S$106,15,FALSE)+VLOOKUP(A2554,'Fleet register'!$A$7:$S$106,16,FALSE),0),"n.a."))</f>
        <v>0</v>
      </c>
      <c r="S2554" s="1">
        <f>IF(NOT(Paths!$C$238=1),0,IF(Paths!$P$238="Complete",IF(C2554=0,0,Paths!$S$238*Paths!$R$238),"n.a."))</f>
        <v>0</v>
      </c>
      <c r="T2554" s="1">
        <f>IF(NOT(Paths!$C$238=1),0,IF(Paths!$P$238="Complete",IF(C2554=0,0,VLOOKUP(A2554,'Fleet register'!$A$7:$S$106,9,FALSE)*Paths!$R$238),"n.a."))</f>
        <v>0</v>
      </c>
    </row>
    <row r="2555" spans="1:20" ht="24" customHeight="1">
      <c r="A2555" s="1" t="str">
        <f>Paths!$A$238</f>
        <v>T058</v>
      </c>
      <c r="B2555" s="1">
        <f>Paths!$B$238</f>
        <v>3</v>
      </c>
      <c r="C2555" s="1">
        <v>7</v>
      </c>
      <c r="D2555" s="1">
        <v>238</v>
      </c>
      <c r="E2555" s="1">
        <f>IF(OR(Paths!$C$238=0,C2555=0),0,MAX(0,MIN(C2555*12,Paths!$E$238)-(C2555-1)*12))</f>
        <v>0</v>
      </c>
      <c r="F2555" s="1">
        <f>IF(OR(Paths!$C$238=0,C2555=0),0,12-E2555)</f>
        <v>0</v>
      </c>
      <c r="G2555" s="16">
        <f>IF(NOT(Paths!$C$238=1),0,IF(Paths!$P$238="Complete",E2555/12*(Paths!$J$238*(1+'Operating costs'!$B$51)^MAX(0,C2555-1)+Paths!$K$238*(1+'Operating costs'!$B$53)^MAX(0,C2555-1)),"n.a."))</f>
        <v>0</v>
      </c>
      <c r="H2555" s="16">
        <f>IF(NOT(Paths!$C$238=1),0,IF(Paths!$P$238="Complete",F2555/12*(Paths!$L$238*(1+IF(Paths!$D$238="EV",'Operating costs'!$B$52,'Operating costs'!$B$51))^MAX(0,C2555-1)+Paths!$M$238*(1+'Operating costs'!$B$53)^MAX(0,C2555-1)),"n.a."))</f>
        <v>0</v>
      </c>
      <c r="I2555" s="16">
        <f>IF(NOT(Paths!$C$238=1),0,IF(Paths!$P$238="Complete",IF(IF(Paths!$E$238=0,C2555=0,AND(C2555&gt;0,Paths!$E$238&gt;(C2555-1)*12,Paths!$E$238&lt;=C2555*12)),Paths!$G$238,0),"n.a."))</f>
        <v>0</v>
      </c>
      <c r="J2555" s="16">
        <f>IF(NOT(Paths!$C$238=1),0,IF(Paths!$P$238="Complete",IF(IF(Paths!$E$238=0,C2555=0,AND(C2555&gt;0,Paths!$E$238&gt;(C2555-1)*12,Paths!$E$238&lt;=C2555*12)),Paths!$H$238,0),"n.a."))</f>
        <v>0</v>
      </c>
      <c r="K2555" s="16">
        <f>IF(NOT(Paths!$C$238=1),0,IF(Paths!$P$238="Complete",IF(IF(Paths!$O$238=0,C2555=0,AND(C2555&gt;0,Paths!$O$238&gt;(C2555-1)*12,Paths!$O$238&lt;=C2555*12)),Paths!$N$238,0),"n.a."))</f>
        <v>0</v>
      </c>
      <c r="L2555" s="16">
        <f>IF(NOT(Paths!$C$238=1),0,IF(Paths!$P$238="Complete",IF(C2555=10,Paths!$I$238,0),"n.a."))</f>
        <v>0</v>
      </c>
      <c r="M2555" s="16">
        <f>IF(NOT(Paths!$C$238=1),0,IF(Paths!$P$238="Complete",IF(AND(Paths!$D$238="EV",Paths!$E$238&lt;120,Paths!$E$238+'Operating costs'!$B$65&gt;Paths!$E$238,Paths!$E$238+'Operating costs'!$B$65&lt;=120,IF(Paths!$E$238+'Operating costs'!$B$65=0,C2555=0,AND(C2555&gt;0,Paths!$E$238+'Operating costs'!$B$65&gt;(C2555-1)*12,Paths!$E$238+'Operating costs'!$B$65&lt;=C2555*12))),'Operating costs'!$B$64,0)+IF(AND('Operating costs'!$B$67&gt;0,'Operating costs'!$B$67&lt;=120,OR(Paths!$D$238="ICE",'Operating costs'!$B$67&lt;=Paths!$E$238),IF('Operating costs'!$B$67=0,C2555=0,AND(C2555&gt;0,'Operating costs'!$B$67&gt;(C2555-1)*12,'Operating costs'!$B$67&lt;=C2555*12))),'Operating costs'!$B$66,0),"n.a."))</f>
        <v>0</v>
      </c>
      <c r="N2555" s="16">
        <f>IF(NOT(Paths!$C$238=1),0,IF(Paths!$P$238="Complete",SUM(G2555:I2555)-J2555-K2555-L2555+M2555+IF(C2555=0,Paths!$F$238,0)+IF(IF(Paths!$E$238=0,C2555=0,AND(C2555&gt;0,Paths!$E$238&gt;(C2555-1)*12,Paths!$E$238&lt;=C2555*12)),VLOOKUP(A2555,'Fleet register'!$A$7:$S$106,16,FALSE),0),"n.a."))</f>
        <v>0</v>
      </c>
      <c r="O2555" s="16">
        <f>IF(NOT(Paths!$C$238=1),0,IF(Paths!$P$238="Complete",N2555-IF(C2555=0,Paths!$F$238,0),"n.a."))</f>
        <v>0</v>
      </c>
      <c r="P2555" s="16">
        <f>IF(NOT(Paths!$C$238=1),0,IF(Paths!$P$238="Complete",O2555+L2555,"n.a."))</f>
        <v>0</v>
      </c>
      <c r="Q2555" s="16">
        <f>IF(NOT(Paths!$C$238=1),0,IF(Paths!$P$238="Complete",N2555*(1+'Operating costs'!$B$54)^-C2555,"n.a."))</f>
        <v>0</v>
      </c>
      <c r="R2555" s="16">
        <f>IF(NOT(Paths!$C$238=1),0,IF(Paths!$P$238="Complete",IF(AND(C2555=0,Paths!$E$238=0),I2555-J2555-K2555+VLOOKUP(A2555,'Fleet register'!$A$7:$S$106,15,FALSE)+VLOOKUP(A2555,'Fleet register'!$A$7:$S$106,16,FALSE),0),"n.a."))</f>
        <v>0</v>
      </c>
      <c r="S2555" s="1">
        <f>IF(NOT(Paths!$C$238=1),0,IF(Paths!$P$238="Complete",IF(C2555=0,0,Paths!$S$238*Paths!$R$238),"n.a."))</f>
        <v>0</v>
      </c>
      <c r="T2555" s="1">
        <f>IF(NOT(Paths!$C$238=1),0,IF(Paths!$P$238="Complete",IF(C2555=0,0,VLOOKUP(A2555,'Fleet register'!$A$7:$S$106,9,FALSE)*Paths!$R$238),"n.a."))</f>
        <v>0</v>
      </c>
    </row>
    <row r="2556" spans="1:20" ht="24" customHeight="1">
      <c r="A2556" s="1" t="str">
        <f>Paths!$A$238</f>
        <v>T058</v>
      </c>
      <c r="B2556" s="1">
        <f>Paths!$B$238</f>
        <v>3</v>
      </c>
      <c r="C2556" s="1">
        <v>8</v>
      </c>
      <c r="D2556" s="1">
        <v>238</v>
      </c>
      <c r="E2556" s="1">
        <f>IF(OR(Paths!$C$238=0,C2556=0),0,MAX(0,MIN(C2556*12,Paths!$E$238)-(C2556-1)*12))</f>
        <v>0</v>
      </c>
      <c r="F2556" s="1">
        <f>IF(OR(Paths!$C$238=0,C2556=0),0,12-E2556)</f>
        <v>0</v>
      </c>
      <c r="G2556" s="16">
        <f>IF(NOT(Paths!$C$238=1),0,IF(Paths!$P$238="Complete",E2556/12*(Paths!$J$238*(1+'Operating costs'!$B$51)^MAX(0,C2556-1)+Paths!$K$238*(1+'Operating costs'!$B$53)^MAX(0,C2556-1)),"n.a."))</f>
        <v>0</v>
      </c>
      <c r="H2556" s="16">
        <f>IF(NOT(Paths!$C$238=1),0,IF(Paths!$P$238="Complete",F2556/12*(Paths!$L$238*(1+IF(Paths!$D$238="EV",'Operating costs'!$B$52,'Operating costs'!$B$51))^MAX(0,C2556-1)+Paths!$M$238*(1+'Operating costs'!$B$53)^MAX(0,C2556-1)),"n.a."))</f>
        <v>0</v>
      </c>
      <c r="I2556" s="16">
        <f>IF(NOT(Paths!$C$238=1),0,IF(Paths!$P$238="Complete",IF(IF(Paths!$E$238=0,C2556=0,AND(C2556&gt;0,Paths!$E$238&gt;(C2556-1)*12,Paths!$E$238&lt;=C2556*12)),Paths!$G$238,0),"n.a."))</f>
        <v>0</v>
      </c>
      <c r="J2556" s="16">
        <f>IF(NOT(Paths!$C$238=1),0,IF(Paths!$P$238="Complete",IF(IF(Paths!$E$238=0,C2556=0,AND(C2556&gt;0,Paths!$E$238&gt;(C2556-1)*12,Paths!$E$238&lt;=C2556*12)),Paths!$H$238,0),"n.a."))</f>
        <v>0</v>
      </c>
      <c r="K2556" s="16">
        <f>IF(NOT(Paths!$C$238=1),0,IF(Paths!$P$238="Complete",IF(IF(Paths!$O$238=0,C2556=0,AND(C2556&gt;0,Paths!$O$238&gt;(C2556-1)*12,Paths!$O$238&lt;=C2556*12)),Paths!$N$238,0),"n.a."))</f>
        <v>0</v>
      </c>
      <c r="L2556" s="16">
        <f>IF(NOT(Paths!$C$238=1),0,IF(Paths!$P$238="Complete",IF(C2556=10,Paths!$I$238,0),"n.a."))</f>
        <v>0</v>
      </c>
      <c r="M2556" s="16">
        <f>IF(NOT(Paths!$C$238=1),0,IF(Paths!$P$238="Complete",IF(AND(Paths!$D$238="EV",Paths!$E$238&lt;120,Paths!$E$238+'Operating costs'!$B$65&gt;Paths!$E$238,Paths!$E$238+'Operating costs'!$B$65&lt;=120,IF(Paths!$E$238+'Operating costs'!$B$65=0,C2556=0,AND(C2556&gt;0,Paths!$E$238+'Operating costs'!$B$65&gt;(C2556-1)*12,Paths!$E$238+'Operating costs'!$B$65&lt;=C2556*12))),'Operating costs'!$B$64,0)+IF(AND('Operating costs'!$B$67&gt;0,'Operating costs'!$B$67&lt;=120,OR(Paths!$D$238="ICE",'Operating costs'!$B$67&lt;=Paths!$E$238),IF('Operating costs'!$B$67=0,C2556=0,AND(C2556&gt;0,'Operating costs'!$B$67&gt;(C2556-1)*12,'Operating costs'!$B$67&lt;=C2556*12))),'Operating costs'!$B$66,0),"n.a."))</f>
        <v>0</v>
      </c>
      <c r="N2556" s="16">
        <f>IF(NOT(Paths!$C$238=1),0,IF(Paths!$P$238="Complete",SUM(G2556:I2556)-J2556-K2556-L2556+M2556+IF(C2556=0,Paths!$F$238,0)+IF(IF(Paths!$E$238=0,C2556=0,AND(C2556&gt;0,Paths!$E$238&gt;(C2556-1)*12,Paths!$E$238&lt;=C2556*12)),VLOOKUP(A2556,'Fleet register'!$A$7:$S$106,16,FALSE),0),"n.a."))</f>
        <v>0</v>
      </c>
      <c r="O2556" s="16">
        <f>IF(NOT(Paths!$C$238=1),0,IF(Paths!$P$238="Complete",N2556-IF(C2556=0,Paths!$F$238,0),"n.a."))</f>
        <v>0</v>
      </c>
      <c r="P2556" s="16">
        <f>IF(NOT(Paths!$C$238=1),0,IF(Paths!$P$238="Complete",O2556+L2556,"n.a."))</f>
        <v>0</v>
      </c>
      <c r="Q2556" s="16">
        <f>IF(NOT(Paths!$C$238=1),0,IF(Paths!$P$238="Complete",N2556*(1+'Operating costs'!$B$54)^-C2556,"n.a."))</f>
        <v>0</v>
      </c>
      <c r="R2556" s="16">
        <f>IF(NOT(Paths!$C$238=1),0,IF(Paths!$P$238="Complete",IF(AND(C2556=0,Paths!$E$238=0),I2556-J2556-K2556+VLOOKUP(A2556,'Fleet register'!$A$7:$S$106,15,FALSE)+VLOOKUP(A2556,'Fleet register'!$A$7:$S$106,16,FALSE),0),"n.a."))</f>
        <v>0</v>
      </c>
      <c r="S2556" s="1">
        <f>IF(NOT(Paths!$C$238=1),0,IF(Paths!$P$238="Complete",IF(C2556=0,0,Paths!$S$238*Paths!$R$238),"n.a."))</f>
        <v>0</v>
      </c>
      <c r="T2556" s="1">
        <f>IF(NOT(Paths!$C$238=1),0,IF(Paths!$P$238="Complete",IF(C2556=0,0,VLOOKUP(A2556,'Fleet register'!$A$7:$S$106,9,FALSE)*Paths!$R$238),"n.a."))</f>
        <v>0</v>
      </c>
    </row>
    <row r="2557" spans="1:20" ht="24" customHeight="1">
      <c r="A2557" s="1" t="str">
        <f>Paths!$A$238</f>
        <v>T058</v>
      </c>
      <c r="B2557" s="1">
        <f>Paths!$B$238</f>
        <v>3</v>
      </c>
      <c r="C2557" s="1">
        <v>9</v>
      </c>
      <c r="D2557" s="1">
        <v>238</v>
      </c>
      <c r="E2557" s="1">
        <f>IF(OR(Paths!$C$238=0,C2557=0),0,MAX(0,MIN(C2557*12,Paths!$E$238)-(C2557-1)*12))</f>
        <v>0</v>
      </c>
      <c r="F2557" s="1">
        <f>IF(OR(Paths!$C$238=0,C2557=0),0,12-E2557)</f>
        <v>0</v>
      </c>
      <c r="G2557" s="16">
        <f>IF(NOT(Paths!$C$238=1),0,IF(Paths!$P$238="Complete",E2557/12*(Paths!$J$238*(1+'Operating costs'!$B$51)^MAX(0,C2557-1)+Paths!$K$238*(1+'Operating costs'!$B$53)^MAX(0,C2557-1)),"n.a."))</f>
        <v>0</v>
      </c>
      <c r="H2557" s="16">
        <f>IF(NOT(Paths!$C$238=1),0,IF(Paths!$P$238="Complete",F2557/12*(Paths!$L$238*(1+IF(Paths!$D$238="EV",'Operating costs'!$B$52,'Operating costs'!$B$51))^MAX(0,C2557-1)+Paths!$M$238*(1+'Operating costs'!$B$53)^MAX(0,C2557-1)),"n.a."))</f>
        <v>0</v>
      </c>
      <c r="I2557" s="16">
        <f>IF(NOT(Paths!$C$238=1),0,IF(Paths!$P$238="Complete",IF(IF(Paths!$E$238=0,C2557=0,AND(C2557&gt;0,Paths!$E$238&gt;(C2557-1)*12,Paths!$E$238&lt;=C2557*12)),Paths!$G$238,0),"n.a."))</f>
        <v>0</v>
      </c>
      <c r="J2557" s="16">
        <f>IF(NOT(Paths!$C$238=1),0,IF(Paths!$P$238="Complete",IF(IF(Paths!$E$238=0,C2557=0,AND(C2557&gt;0,Paths!$E$238&gt;(C2557-1)*12,Paths!$E$238&lt;=C2557*12)),Paths!$H$238,0),"n.a."))</f>
        <v>0</v>
      </c>
      <c r="K2557" s="16">
        <f>IF(NOT(Paths!$C$238=1),0,IF(Paths!$P$238="Complete",IF(IF(Paths!$O$238=0,C2557=0,AND(C2557&gt;0,Paths!$O$238&gt;(C2557-1)*12,Paths!$O$238&lt;=C2557*12)),Paths!$N$238,0),"n.a."))</f>
        <v>0</v>
      </c>
      <c r="L2557" s="16">
        <f>IF(NOT(Paths!$C$238=1),0,IF(Paths!$P$238="Complete",IF(C2557=10,Paths!$I$238,0),"n.a."))</f>
        <v>0</v>
      </c>
      <c r="M2557" s="16">
        <f>IF(NOT(Paths!$C$238=1),0,IF(Paths!$P$238="Complete",IF(AND(Paths!$D$238="EV",Paths!$E$238&lt;120,Paths!$E$238+'Operating costs'!$B$65&gt;Paths!$E$238,Paths!$E$238+'Operating costs'!$B$65&lt;=120,IF(Paths!$E$238+'Operating costs'!$B$65=0,C2557=0,AND(C2557&gt;0,Paths!$E$238+'Operating costs'!$B$65&gt;(C2557-1)*12,Paths!$E$238+'Operating costs'!$B$65&lt;=C2557*12))),'Operating costs'!$B$64,0)+IF(AND('Operating costs'!$B$67&gt;0,'Operating costs'!$B$67&lt;=120,OR(Paths!$D$238="ICE",'Operating costs'!$B$67&lt;=Paths!$E$238),IF('Operating costs'!$B$67=0,C2557=0,AND(C2557&gt;0,'Operating costs'!$B$67&gt;(C2557-1)*12,'Operating costs'!$B$67&lt;=C2557*12))),'Operating costs'!$B$66,0),"n.a."))</f>
        <v>0</v>
      </c>
      <c r="N2557" s="16">
        <f>IF(NOT(Paths!$C$238=1),0,IF(Paths!$P$238="Complete",SUM(G2557:I2557)-J2557-K2557-L2557+M2557+IF(C2557=0,Paths!$F$238,0)+IF(IF(Paths!$E$238=0,C2557=0,AND(C2557&gt;0,Paths!$E$238&gt;(C2557-1)*12,Paths!$E$238&lt;=C2557*12)),VLOOKUP(A2557,'Fleet register'!$A$7:$S$106,16,FALSE),0),"n.a."))</f>
        <v>0</v>
      </c>
      <c r="O2557" s="16">
        <f>IF(NOT(Paths!$C$238=1),0,IF(Paths!$P$238="Complete",N2557-IF(C2557=0,Paths!$F$238,0),"n.a."))</f>
        <v>0</v>
      </c>
      <c r="P2557" s="16">
        <f>IF(NOT(Paths!$C$238=1),0,IF(Paths!$P$238="Complete",O2557+L2557,"n.a."))</f>
        <v>0</v>
      </c>
      <c r="Q2557" s="16">
        <f>IF(NOT(Paths!$C$238=1),0,IF(Paths!$P$238="Complete",N2557*(1+'Operating costs'!$B$54)^-C2557,"n.a."))</f>
        <v>0</v>
      </c>
      <c r="R2557" s="16">
        <f>IF(NOT(Paths!$C$238=1),0,IF(Paths!$P$238="Complete",IF(AND(C2557=0,Paths!$E$238=0),I2557-J2557-K2557+VLOOKUP(A2557,'Fleet register'!$A$7:$S$106,15,FALSE)+VLOOKUP(A2557,'Fleet register'!$A$7:$S$106,16,FALSE),0),"n.a."))</f>
        <v>0</v>
      </c>
      <c r="S2557" s="1">
        <f>IF(NOT(Paths!$C$238=1),0,IF(Paths!$P$238="Complete",IF(C2557=0,0,Paths!$S$238*Paths!$R$238),"n.a."))</f>
        <v>0</v>
      </c>
      <c r="T2557" s="1">
        <f>IF(NOT(Paths!$C$238=1),0,IF(Paths!$P$238="Complete",IF(C2557=0,0,VLOOKUP(A2557,'Fleet register'!$A$7:$S$106,9,FALSE)*Paths!$R$238),"n.a."))</f>
        <v>0</v>
      </c>
    </row>
    <row r="2558" spans="1:20" ht="24" customHeight="1">
      <c r="A2558" s="1" t="str">
        <f>Paths!$A$238</f>
        <v>T058</v>
      </c>
      <c r="B2558" s="1">
        <f>Paths!$B$238</f>
        <v>3</v>
      </c>
      <c r="C2558" s="1">
        <v>10</v>
      </c>
      <c r="D2558" s="1">
        <v>238</v>
      </c>
      <c r="E2558" s="1">
        <f>IF(OR(Paths!$C$238=0,C2558=0),0,MAX(0,MIN(C2558*12,Paths!$E$238)-(C2558-1)*12))</f>
        <v>0</v>
      </c>
      <c r="F2558" s="1">
        <f>IF(OR(Paths!$C$238=0,C2558=0),0,12-E2558)</f>
        <v>0</v>
      </c>
      <c r="G2558" s="16">
        <f>IF(NOT(Paths!$C$238=1),0,IF(Paths!$P$238="Complete",E2558/12*(Paths!$J$238*(1+'Operating costs'!$B$51)^MAX(0,C2558-1)+Paths!$K$238*(1+'Operating costs'!$B$53)^MAX(0,C2558-1)),"n.a."))</f>
        <v>0</v>
      </c>
      <c r="H2558" s="16">
        <f>IF(NOT(Paths!$C$238=1),0,IF(Paths!$P$238="Complete",F2558/12*(Paths!$L$238*(1+IF(Paths!$D$238="EV",'Operating costs'!$B$52,'Operating costs'!$B$51))^MAX(0,C2558-1)+Paths!$M$238*(1+'Operating costs'!$B$53)^MAX(0,C2558-1)),"n.a."))</f>
        <v>0</v>
      </c>
      <c r="I2558" s="16">
        <f>IF(NOT(Paths!$C$238=1),0,IF(Paths!$P$238="Complete",IF(IF(Paths!$E$238=0,C2558=0,AND(C2558&gt;0,Paths!$E$238&gt;(C2558-1)*12,Paths!$E$238&lt;=C2558*12)),Paths!$G$238,0),"n.a."))</f>
        <v>0</v>
      </c>
      <c r="J2558" s="16">
        <f>IF(NOT(Paths!$C$238=1),0,IF(Paths!$P$238="Complete",IF(IF(Paths!$E$238=0,C2558=0,AND(C2558&gt;0,Paths!$E$238&gt;(C2558-1)*12,Paths!$E$238&lt;=C2558*12)),Paths!$H$238,0),"n.a."))</f>
        <v>0</v>
      </c>
      <c r="K2558" s="16">
        <f>IF(NOT(Paths!$C$238=1),0,IF(Paths!$P$238="Complete",IF(IF(Paths!$O$238=0,C2558=0,AND(C2558&gt;0,Paths!$O$238&gt;(C2558-1)*12,Paths!$O$238&lt;=C2558*12)),Paths!$N$238,0),"n.a."))</f>
        <v>0</v>
      </c>
      <c r="L2558" s="16">
        <f>IF(NOT(Paths!$C$238=1),0,IF(Paths!$P$238="Complete",IF(C2558=10,Paths!$I$238,0),"n.a."))</f>
        <v>0</v>
      </c>
      <c r="M2558" s="16">
        <f>IF(NOT(Paths!$C$238=1),0,IF(Paths!$P$238="Complete",IF(AND(Paths!$D$238="EV",Paths!$E$238&lt;120,Paths!$E$238+'Operating costs'!$B$65&gt;Paths!$E$238,Paths!$E$238+'Operating costs'!$B$65&lt;=120,IF(Paths!$E$238+'Operating costs'!$B$65=0,C2558=0,AND(C2558&gt;0,Paths!$E$238+'Operating costs'!$B$65&gt;(C2558-1)*12,Paths!$E$238+'Operating costs'!$B$65&lt;=C2558*12))),'Operating costs'!$B$64,0)+IF(AND('Operating costs'!$B$67&gt;0,'Operating costs'!$B$67&lt;=120,OR(Paths!$D$238="ICE",'Operating costs'!$B$67&lt;=Paths!$E$238),IF('Operating costs'!$B$67=0,C2558=0,AND(C2558&gt;0,'Operating costs'!$B$67&gt;(C2558-1)*12,'Operating costs'!$B$67&lt;=C2558*12))),'Operating costs'!$B$66,0),"n.a."))</f>
        <v>0</v>
      </c>
      <c r="N2558" s="16">
        <f>IF(NOT(Paths!$C$238=1),0,IF(Paths!$P$238="Complete",SUM(G2558:I2558)-J2558-K2558-L2558+M2558+IF(C2558=0,Paths!$F$238,0)+IF(IF(Paths!$E$238=0,C2558=0,AND(C2558&gt;0,Paths!$E$238&gt;(C2558-1)*12,Paths!$E$238&lt;=C2558*12)),VLOOKUP(A2558,'Fleet register'!$A$7:$S$106,16,FALSE),0),"n.a."))</f>
        <v>0</v>
      </c>
      <c r="O2558" s="16">
        <f>IF(NOT(Paths!$C$238=1),0,IF(Paths!$P$238="Complete",N2558-IF(C2558=0,Paths!$F$238,0),"n.a."))</f>
        <v>0</v>
      </c>
      <c r="P2558" s="16">
        <f>IF(NOT(Paths!$C$238=1),0,IF(Paths!$P$238="Complete",O2558+L2558,"n.a."))</f>
        <v>0</v>
      </c>
      <c r="Q2558" s="16">
        <f>IF(NOT(Paths!$C$238=1),0,IF(Paths!$P$238="Complete",N2558*(1+'Operating costs'!$B$54)^-C2558,"n.a."))</f>
        <v>0</v>
      </c>
      <c r="R2558" s="16">
        <f>IF(NOT(Paths!$C$238=1),0,IF(Paths!$P$238="Complete",IF(AND(C2558=0,Paths!$E$238=0),I2558-J2558-K2558+VLOOKUP(A2558,'Fleet register'!$A$7:$S$106,15,FALSE)+VLOOKUP(A2558,'Fleet register'!$A$7:$S$106,16,FALSE),0),"n.a."))</f>
        <v>0</v>
      </c>
      <c r="S2558" s="1">
        <f>IF(NOT(Paths!$C$238=1),0,IF(Paths!$P$238="Complete",IF(C2558=0,0,Paths!$S$238*Paths!$R$238),"n.a."))</f>
        <v>0</v>
      </c>
      <c r="T2558" s="1">
        <f>IF(NOT(Paths!$C$238=1),0,IF(Paths!$P$238="Complete",IF(C2558=0,0,VLOOKUP(A2558,'Fleet register'!$A$7:$S$106,9,FALSE)*Paths!$R$238),"n.a."))</f>
        <v>0</v>
      </c>
    </row>
    <row r="2559" spans="1:20" ht="24" customHeight="1">
      <c r="A2559" s="1" t="str">
        <f>Paths!$A$239</f>
        <v>T059</v>
      </c>
      <c r="B2559" s="1">
        <f>Paths!$B$239</f>
        <v>0</v>
      </c>
      <c r="C2559" s="1">
        <v>0</v>
      </c>
      <c r="D2559" s="1">
        <v>239</v>
      </c>
      <c r="E2559" s="1">
        <f>IF(OR(Paths!$C$239=0,C2559=0),0,MAX(0,MIN(C2559*12,Paths!$E$239)-(C2559-1)*12))</f>
        <v>0</v>
      </c>
      <c r="F2559" s="1">
        <f>IF(OR(Paths!$C$239=0,C2559=0),0,12-E2559)</f>
        <v>0</v>
      </c>
      <c r="G2559" s="16">
        <f>IF(NOT(Paths!$C$239=1),0,IF(Paths!$P$239="Complete",E2559/12*(Paths!$J$239*(1+'Operating costs'!$B$51)^MAX(0,C2559-1)+Paths!$K$239*(1+'Operating costs'!$B$53)^MAX(0,C2559-1)),"n.a."))</f>
        <v>0</v>
      </c>
      <c r="H2559" s="16">
        <f>IF(NOT(Paths!$C$239=1),0,IF(Paths!$P$239="Complete",F2559/12*(Paths!$L$239*(1+IF(Paths!$D$239="EV",'Operating costs'!$B$52,'Operating costs'!$B$51))^MAX(0,C2559-1)+Paths!$M$239*(1+'Operating costs'!$B$53)^MAX(0,C2559-1)),"n.a."))</f>
        <v>0</v>
      </c>
      <c r="I2559" s="16">
        <f>IF(NOT(Paths!$C$239=1),0,IF(Paths!$P$239="Complete",IF(IF(Paths!$E$239=0,C2559=0,AND(C2559&gt;0,Paths!$E$239&gt;(C2559-1)*12,Paths!$E$239&lt;=C2559*12)),Paths!$G$239,0),"n.a."))</f>
        <v>0</v>
      </c>
      <c r="J2559" s="16">
        <f>IF(NOT(Paths!$C$239=1),0,IF(Paths!$P$239="Complete",IF(IF(Paths!$E$239=0,C2559=0,AND(C2559&gt;0,Paths!$E$239&gt;(C2559-1)*12,Paths!$E$239&lt;=C2559*12)),Paths!$H$239,0),"n.a."))</f>
        <v>0</v>
      </c>
      <c r="K2559" s="16">
        <f>IF(NOT(Paths!$C$239=1),0,IF(Paths!$P$239="Complete",IF(IF(Paths!$O$239=0,C2559=0,AND(C2559&gt;0,Paths!$O$239&gt;(C2559-1)*12,Paths!$O$239&lt;=C2559*12)),Paths!$N$239,0),"n.a."))</f>
        <v>0</v>
      </c>
      <c r="L2559" s="16">
        <f>IF(NOT(Paths!$C$239=1),0,IF(Paths!$P$239="Complete",IF(C2559=10,Paths!$I$239,0),"n.a."))</f>
        <v>0</v>
      </c>
      <c r="M2559" s="16">
        <f>IF(NOT(Paths!$C$239=1),0,IF(Paths!$P$239="Complete",IF(AND(Paths!$D$239="EV",Paths!$E$239&lt;120,Paths!$E$239+'Operating costs'!$B$65&gt;Paths!$E$239,Paths!$E$239+'Operating costs'!$B$65&lt;=120,IF(Paths!$E$239+'Operating costs'!$B$65=0,C2559=0,AND(C2559&gt;0,Paths!$E$239+'Operating costs'!$B$65&gt;(C2559-1)*12,Paths!$E$239+'Operating costs'!$B$65&lt;=C2559*12))),'Operating costs'!$B$64,0)+IF(AND('Operating costs'!$B$67&gt;0,'Operating costs'!$B$67&lt;=120,OR(Paths!$D$239="ICE",'Operating costs'!$B$67&lt;=Paths!$E$239),IF('Operating costs'!$B$67=0,C2559=0,AND(C2559&gt;0,'Operating costs'!$B$67&gt;(C2559-1)*12,'Operating costs'!$B$67&lt;=C2559*12))),'Operating costs'!$B$66,0),"n.a."))</f>
        <v>0</v>
      </c>
      <c r="N2559" s="16">
        <f>IF(NOT(Paths!$C$239=1),0,IF(Paths!$P$239="Complete",SUM(G2559:I2559)-J2559-K2559-L2559+M2559+IF(C2559=0,Paths!$F$239,0)+IF(IF(Paths!$E$239=0,C2559=0,AND(C2559&gt;0,Paths!$E$239&gt;(C2559-1)*12,Paths!$E$239&lt;=C2559*12)),VLOOKUP(A2559,'Fleet register'!$A$7:$S$106,16,FALSE),0),"n.a."))</f>
        <v>0</v>
      </c>
      <c r="O2559" s="16">
        <f>IF(NOT(Paths!$C$239=1),0,IF(Paths!$P$239="Complete",N2559-IF(C2559=0,Paths!$F$239,0),"n.a."))</f>
        <v>0</v>
      </c>
      <c r="P2559" s="16">
        <f>IF(NOT(Paths!$C$239=1),0,IF(Paths!$P$239="Complete",O2559+L2559,"n.a."))</f>
        <v>0</v>
      </c>
      <c r="Q2559" s="16">
        <f>IF(NOT(Paths!$C$239=1),0,IF(Paths!$P$239="Complete",N2559*(1+'Operating costs'!$B$54)^-C2559,"n.a."))</f>
        <v>0</v>
      </c>
      <c r="R2559" s="16">
        <f>IF(NOT(Paths!$C$239=1),0,IF(Paths!$P$239="Complete",IF(AND(C2559=0,Paths!$E$239=0),I2559-J2559-K2559+VLOOKUP(A2559,'Fleet register'!$A$7:$S$106,15,FALSE)+VLOOKUP(A2559,'Fleet register'!$A$7:$S$106,16,FALSE),0),"n.a."))</f>
        <v>0</v>
      </c>
      <c r="S2559" s="1">
        <f>IF(NOT(Paths!$C$239=1),0,IF(Paths!$P$239="Complete",IF(C2559=0,0,Paths!$S$239*Paths!$R$239),"n.a."))</f>
        <v>0</v>
      </c>
      <c r="T2559" s="1">
        <f>IF(NOT(Paths!$C$239=1),0,IF(Paths!$P$239="Complete",IF(C2559=0,0,VLOOKUP(A2559,'Fleet register'!$A$7:$S$106,9,FALSE)*Paths!$R$239),"n.a."))</f>
        <v>0</v>
      </c>
    </row>
    <row r="2560" spans="1:20" ht="24" customHeight="1">
      <c r="A2560" s="1" t="str">
        <f>Paths!$A$239</f>
        <v>T059</v>
      </c>
      <c r="B2560" s="1">
        <f>Paths!$B$239</f>
        <v>0</v>
      </c>
      <c r="C2560" s="1">
        <v>1</v>
      </c>
      <c r="D2560" s="1">
        <v>239</v>
      </c>
      <c r="E2560" s="1">
        <f>IF(OR(Paths!$C$239=0,C2560=0),0,MAX(0,MIN(C2560*12,Paths!$E$239)-(C2560-1)*12))</f>
        <v>0</v>
      </c>
      <c r="F2560" s="1">
        <f>IF(OR(Paths!$C$239=0,C2560=0),0,12-E2560)</f>
        <v>0</v>
      </c>
      <c r="G2560" s="16">
        <f>IF(NOT(Paths!$C$239=1),0,IF(Paths!$P$239="Complete",E2560/12*(Paths!$J$239*(1+'Operating costs'!$B$51)^MAX(0,C2560-1)+Paths!$K$239*(1+'Operating costs'!$B$53)^MAX(0,C2560-1)),"n.a."))</f>
        <v>0</v>
      </c>
      <c r="H2560" s="16">
        <f>IF(NOT(Paths!$C$239=1),0,IF(Paths!$P$239="Complete",F2560/12*(Paths!$L$239*(1+IF(Paths!$D$239="EV",'Operating costs'!$B$52,'Operating costs'!$B$51))^MAX(0,C2560-1)+Paths!$M$239*(1+'Operating costs'!$B$53)^MAX(0,C2560-1)),"n.a."))</f>
        <v>0</v>
      </c>
      <c r="I2560" s="16">
        <f>IF(NOT(Paths!$C$239=1),0,IF(Paths!$P$239="Complete",IF(IF(Paths!$E$239=0,C2560=0,AND(C2560&gt;0,Paths!$E$239&gt;(C2560-1)*12,Paths!$E$239&lt;=C2560*12)),Paths!$G$239,0),"n.a."))</f>
        <v>0</v>
      </c>
      <c r="J2560" s="16">
        <f>IF(NOT(Paths!$C$239=1),0,IF(Paths!$P$239="Complete",IF(IF(Paths!$E$239=0,C2560=0,AND(C2560&gt;0,Paths!$E$239&gt;(C2560-1)*12,Paths!$E$239&lt;=C2560*12)),Paths!$H$239,0),"n.a."))</f>
        <v>0</v>
      </c>
      <c r="K2560" s="16">
        <f>IF(NOT(Paths!$C$239=1),0,IF(Paths!$P$239="Complete",IF(IF(Paths!$O$239=0,C2560=0,AND(C2560&gt;0,Paths!$O$239&gt;(C2560-1)*12,Paths!$O$239&lt;=C2560*12)),Paths!$N$239,0),"n.a."))</f>
        <v>0</v>
      </c>
      <c r="L2560" s="16">
        <f>IF(NOT(Paths!$C$239=1),0,IF(Paths!$P$239="Complete",IF(C2560=10,Paths!$I$239,0),"n.a."))</f>
        <v>0</v>
      </c>
      <c r="M2560" s="16">
        <f>IF(NOT(Paths!$C$239=1),0,IF(Paths!$P$239="Complete",IF(AND(Paths!$D$239="EV",Paths!$E$239&lt;120,Paths!$E$239+'Operating costs'!$B$65&gt;Paths!$E$239,Paths!$E$239+'Operating costs'!$B$65&lt;=120,IF(Paths!$E$239+'Operating costs'!$B$65=0,C2560=0,AND(C2560&gt;0,Paths!$E$239+'Operating costs'!$B$65&gt;(C2560-1)*12,Paths!$E$239+'Operating costs'!$B$65&lt;=C2560*12))),'Operating costs'!$B$64,0)+IF(AND('Operating costs'!$B$67&gt;0,'Operating costs'!$B$67&lt;=120,OR(Paths!$D$239="ICE",'Operating costs'!$B$67&lt;=Paths!$E$239),IF('Operating costs'!$B$67=0,C2560=0,AND(C2560&gt;0,'Operating costs'!$B$67&gt;(C2560-1)*12,'Operating costs'!$B$67&lt;=C2560*12))),'Operating costs'!$B$66,0),"n.a."))</f>
        <v>0</v>
      </c>
      <c r="N2560" s="16">
        <f>IF(NOT(Paths!$C$239=1),0,IF(Paths!$P$239="Complete",SUM(G2560:I2560)-J2560-K2560-L2560+M2560+IF(C2560=0,Paths!$F$239,0)+IF(IF(Paths!$E$239=0,C2560=0,AND(C2560&gt;0,Paths!$E$239&gt;(C2560-1)*12,Paths!$E$239&lt;=C2560*12)),VLOOKUP(A2560,'Fleet register'!$A$7:$S$106,16,FALSE),0),"n.a."))</f>
        <v>0</v>
      </c>
      <c r="O2560" s="16">
        <f>IF(NOT(Paths!$C$239=1),0,IF(Paths!$P$239="Complete",N2560-IF(C2560=0,Paths!$F$239,0),"n.a."))</f>
        <v>0</v>
      </c>
      <c r="P2560" s="16">
        <f>IF(NOT(Paths!$C$239=1),0,IF(Paths!$P$239="Complete",O2560+L2560,"n.a."))</f>
        <v>0</v>
      </c>
      <c r="Q2560" s="16">
        <f>IF(NOT(Paths!$C$239=1),0,IF(Paths!$P$239="Complete",N2560*(1+'Operating costs'!$B$54)^-C2560,"n.a."))</f>
        <v>0</v>
      </c>
      <c r="R2560" s="16">
        <f>IF(NOT(Paths!$C$239=1),0,IF(Paths!$P$239="Complete",IF(AND(C2560=0,Paths!$E$239=0),I2560-J2560-K2560+VLOOKUP(A2560,'Fleet register'!$A$7:$S$106,15,FALSE)+VLOOKUP(A2560,'Fleet register'!$A$7:$S$106,16,FALSE),0),"n.a."))</f>
        <v>0</v>
      </c>
      <c r="S2560" s="1">
        <f>IF(NOT(Paths!$C$239=1),0,IF(Paths!$P$239="Complete",IF(C2560=0,0,Paths!$S$239*Paths!$R$239),"n.a."))</f>
        <v>0</v>
      </c>
      <c r="T2560" s="1">
        <f>IF(NOT(Paths!$C$239=1),0,IF(Paths!$P$239="Complete",IF(C2560=0,0,VLOOKUP(A2560,'Fleet register'!$A$7:$S$106,9,FALSE)*Paths!$R$239),"n.a."))</f>
        <v>0</v>
      </c>
    </row>
    <row r="2561" spans="1:20" ht="24" customHeight="1">
      <c r="A2561" s="1" t="str">
        <f>Paths!$A$239</f>
        <v>T059</v>
      </c>
      <c r="B2561" s="1">
        <f>Paths!$B$239</f>
        <v>0</v>
      </c>
      <c r="C2561" s="1">
        <v>2</v>
      </c>
      <c r="D2561" s="1">
        <v>239</v>
      </c>
      <c r="E2561" s="1">
        <f>IF(OR(Paths!$C$239=0,C2561=0),0,MAX(0,MIN(C2561*12,Paths!$E$239)-(C2561-1)*12))</f>
        <v>0</v>
      </c>
      <c r="F2561" s="1">
        <f>IF(OR(Paths!$C$239=0,C2561=0),0,12-E2561)</f>
        <v>0</v>
      </c>
      <c r="G2561" s="16">
        <f>IF(NOT(Paths!$C$239=1),0,IF(Paths!$P$239="Complete",E2561/12*(Paths!$J$239*(1+'Operating costs'!$B$51)^MAX(0,C2561-1)+Paths!$K$239*(1+'Operating costs'!$B$53)^MAX(0,C2561-1)),"n.a."))</f>
        <v>0</v>
      </c>
      <c r="H2561" s="16">
        <f>IF(NOT(Paths!$C$239=1),0,IF(Paths!$P$239="Complete",F2561/12*(Paths!$L$239*(1+IF(Paths!$D$239="EV",'Operating costs'!$B$52,'Operating costs'!$B$51))^MAX(0,C2561-1)+Paths!$M$239*(1+'Operating costs'!$B$53)^MAX(0,C2561-1)),"n.a."))</f>
        <v>0</v>
      </c>
      <c r="I2561" s="16">
        <f>IF(NOT(Paths!$C$239=1),0,IF(Paths!$P$239="Complete",IF(IF(Paths!$E$239=0,C2561=0,AND(C2561&gt;0,Paths!$E$239&gt;(C2561-1)*12,Paths!$E$239&lt;=C2561*12)),Paths!$G$239,0),"n.a."))</f>
        <v>0</v>
      </c>
      <c r="J2561" s="16">
        <f>IF(NOT(Paths!$C$239=1),0,IF(Paths!$P$239="Complete",IF(IF(Paths!$E$239=0,C2561=0,AND(C2561&gt;0,Paths!$E$239&gt;(C2561-1)*12,Paths!$E$239&lt;=C2561*12)),Paths!$H$239,0),"n.a."))</f>
        <v>0</v>
      </c>
      <c r="K2561" s="16">
        <f>IF(NOT(Paths!$C$239=1),0,IF(Paths!$P$239="Complete",IF(IF(Paths!$O$239=0,C2561=0,AND(C2561&gt;0,Paths!$O$239&gt;(C2561-1)*12,Paths!$O$239&lt;=C2561*12)),Paths!$N$239,0),"n.a."))</f>
        <v>0</v>
      </c>
      <c r="L2561" s="16">
        <f>IF(NOT(Paths!$C$239=1),0,IF(Paths!$P$239="Complete",IF(C2561=10,Paths!$I$239,0),"n.a."))</f>
        <v>0</v>
      </c>
      <c r="M2561" s="16">
        <f>IF(NOT(Paths!$C$239=1),0,IF(Paths!$P$239="Complete",IF(AND(Paths!$D$239="EV",Paths!$E$239&lt;120,Paths!$E$239+'Operating costs'!$B$65&gt;Paths!$E$239,Paths!$E$239+'Operating costs'!$B$65&lt;=120,IF(Paths!$E$239+'Operating costs'!$B$65=0,C2561=0,AND(C2561&gt;0,Paths!$E$239+'Operating costs'!$B$65&gt;(C2561-1)*12,Paths!$E$239+'Operating costs'!$B$65&lt;=C2561*12))),'Operating costs'!$B$64,0)+IF(AND('Operating costs'!$B$67&gt;0,'Operating costs'!$B$67&lt;=120,OR(Paths!$D$239="ICE",'Operating costs'!$B$67&lt;=Paths!$E$239),IF('Operating costs'!$B$67=0,C2561=0,AND(C2561&gt;0,'Operating costs'!$B$67&gt;(C2561-1)*12,'Operating costs'!$B$67&lt;=C2561*12))),'Operating costs'!$B$66,0),"n.a."))</f>
        <v>0</v>
      </c>
      <c r="N2561" s="16">
        <f>IF(NOT(Paths!$C$239=1),0,IF(Paths!$P$239="Complete",SUM(G2561:I2561)-J2561-K2561-L2561+M2561+IF(C2561=0,Paths!$F$239,0)+IF(IF(Paths!$E$239=0,C2561=0,AND(C2561&gt;0,Paths!$E$239&gt;(C2561-1)*12,Paths!$E$239&lt;=C2561*12)),VLOOKUP(A2561,'Fleet register'!$A$7:$S$106,16,FALSE),0),"n.a."))</f>
        <v>0</v>
      </c>
      <c r="O2561" s="16">
        <f>IF(NOT(Paths!$C$239=1),0,IF(Paths!$P$239="Complete",N2561-IF(C2561=0,Paths!$F$239,0),"n.a."))</f>
        <v>0</v>
      </c>
      <c r="P2561" s="16">
        <f>IF(NOT(Paths!$C$239=1),0,IF(Paths!$P$239="Complete",O2561+L2561,"n.a."))</f>
        <v>0</v>
      </c>
      <c r="Q2561" s="16">
        <f>IF(NOT(Paths!$C$239=1),0,IF(Paths!$P$239="Complete",N2561*(1+'Operating costs'!$B$54)^-C2561,"n.a."))</f>
        <v>0</v>
      </c>
      <c r="R2561" s="16">
        <f>IF(NOT(Paths!$C$239=1),0,IF(Paths!$P$239="Complete",IF(AND(C2561=0,Paths!$E$239=0),I2561-J2561-K2561+VLOOKUP(A2561,'Fleet register'!$A$7:$S$106,15,FALSE)+VLOOKUP(A2561,'Fleet register'!$A$7:$S$106,16,FALSE),0),"n.a."))</f>
        <v>0</v>
      </c>
      <c r="S2561" s="1">
        <f>IF(NOT(Paths!$C$239=1),0,IF(Paths!$P$239="Complete",IF(C2561=0,0,Paths!$S$239*Paths!$R$239),"n.a."))</f>
        <v>0</v>
      </c>
      <c r="T2561" s="1">
        <f>IF(NOT(Paths!$C$239=1),0,IF(Paths!$P$239="Complete",IF(C2561=0,0,VLOOKUP(A2561,'Fleet register'!$A$7:$S$106,9,FALSE)*Paths!$R$239),"n.a."))</f>
        <v>0</v>
      </c>
    </row>
    <row r="2562" spans="1:20" ht="24" customHeight="1">
      <c r="A2562" s="1" t="str">
        <f>Paths!$A$239</f>
        <v>T059</v>
      </c>
      <c r="B2562" s="1">
        <f>Paths!$B$239</f>
        <v>0</v>
      </c>
      <c r="C2562" s="1">
        <v>3</v>
      </c>
      <c r="D2562" s="1">
        <v>239</v>
      </c>
      <c r="E2562" s="1">
        <f>IF(OR(Paths!$C$239=0,C2562=0),0,MAX(0,MIN(C2562*12,Paths!$E$239)-(C2562-1)*12))</f>
        <v>0</v>
      </c>
      <c r="F2562" s="1">
        <f>IF(OR(Paths!$C$239=0,C2562=0),0,12-E2562)</f>
        <v>0</v>
      </c>
      <c r="G2562" s="16">
        <f>IF(NOT(Paths!$C$239=1),0,IF(Paths!$P$239="Complete",E2562/12*(Paths!$J$239*(1+'Operating costs'!$B$51)^MAX(0,C2562-1)+Paths!$K$239*(1+'Operating costs'!$B$53)^MAX(0,C2562-1)),"n.a."))</f>
        <v>0</v>
      </c>
      <c r="H2562" s="16">
        <f>IF(NOT(Paths!$C$239=1),0,IF(Paths!$P$239="Complete",F2562/12*(Paths!$L$239*(1+IF(Paths!$D$239="EV",'Operating costs'!$B$52,'Operating costs'!$B$51))^MAX(0,C2562-1)+Paths!$M$239*(1+'Operating costs'!$B$53)^MAX(0,C2562-1)),"n.a."))</f>
        <v>0</v>
      </c>
      <c r="I2562" s="16">
        <f>IF(NOT(Paths!$C$239=1),0,IF(Paths!$P$239="Complete",IF(IF(Paths!$E$239=0,C2562=0,AND(C2562&gt;0,Paths!$E$239&gt;(C2562-1)*12,Paths!$E$239&lt;=C2562*12)),Paths!$G$239,0),"n.a."))</f>
        <v>0</v>
      </c>
      <c r="J2562" s="16">
        <f>IF(NOT(Paths!$C$239=1),0,IF(Paths!$P$239="Complete",IF(IF(Paths!$E$239=0,C2562=0,AND(C2562&gt;0,Paths!$E$239&gt;(C2562-1)*12,Paths!$E$239&lt;=C2562*12)),Paths!$H$239,0),"n.a."))</f>
        <v>0</v>
      </c>
      <c r="K2562" s="16">
        <f>IF(NOT(Paths!$C$239=1),0,IF(Paths!$P$239="Complete",IF(IF(Paths!$O$239=0,C2562=0,AND(C2562&gt;0,Paths!$O$239&gt;(C2562-1)*12,Paths!$O$239&lt;=C2562*12)),Paths!$N$239,0),"n.a."))</f>
        <v>0</v>
      </c>
      <c r="L2562" s="16">
        <f>IF(NOT(Paths!$C$239=1),0,IF(Paths!$P$239="Complete",IF(C2562=10,Paths!$I$239,0),"n.a."))</f>
        <v>0</v>
      </c>
      <c r="M2562" s="16">
        <f>IF(NOT(Paths!$C$239=1),0,IF(Paths!$P$239="Complete",IF(AND(Paths!$D$239="EV",Paths!$E$239&lt;120,Paths!$E$239+'Operating costs'!$B$65&gt;Paths!$E$239,Paths!$E$239+'Operating costs'!$B$65&lt;=120,IF(Paths!$E$239+'Operating costs'!$B$65=0,C2562=0,AND(C2562&gt;0,Paths!$E$239+'Operating costs'!$B$65&gt;(C2562-1)*12,Paths!$E$239+'Operating costs'!$B$65&lt;=C2562*12))),'Operating costs'!$B$64,0)+IF(AND('Operating costs'!$B$67&gt;0,'Operating costs'!$B$67&lt;=120,OR(Paths!$D$239="ICE",'Operating costs'!$B$67&lt;=Paths!$E$239),IF('Operating costs'!$B$67=0,C2562=0,AND(C2562&gt;0,'Operating costs'!$B$67&gt;(C2562-1)*12,'Operating costs'!$B$67&lt;=C2562*12))),'Operating costs'!$B$66,0),"n.a."))</f>
        <v>0</v>
      </c>
      <c r="N2562" s="16">
        <f>IF(NOT(Paths!$C$239=1),0,IF(Paths!$P$239="Complete",SUM(G2562:I2562)-J2562-K2562-L2562+M2562+IF(C2562=0,Paths!$F$239,0)+IF(IF(Paths!$E$239=0,C2562=0,AND(C2562&gt;0,Paths!$E$239&gt;(C2562-1)*12,Paths!$E$239&lt;=C2562*12)),VLOOKUP(A2562,'Fleet register'!$A$7:$S$106,16,FALSE),0),"n.a."))</f>
        <v>0</v>
      </c>
      <c r="O2562" s="16">
        <f>IF(NOT(Paths!$C$239=1),0,IF(Paths!$P$239="Complete",N2562-IF(C2562=0,Paths!$F$239,0),"n.a."))</f>
        <v>0</v>
      </c>
      <c r="P2562" s="16">
        <f>IF(NOT(Paths!$C$239=1),0,IF(Paths!$P$239="Complete",O2562+L2562,"n.a."))</f>
        <v>0</v>
      </c>
      <c r="Q2562" s="16">
        <f>IF(NOT(Paths!$C$239=1),0,IF(Paths!$P$239="Complete",N2562*(1+'Operating costs'!$B$54)^-C2562,"n.a."))</f>
        <v>0</v>
      </c>
      <c r="R2562" s="16">
        <f>IF(NOT(Paths!$C$239=1),0,IF(Paths!$P$239="Complete",IF(AND(C2562=0,Paths!$E$239=0),I2562-J2562-K2562+VLOOKUP(A2562,'Fleet register'!$A$7:$S$106,15,FALSE)+VLOOKUP(A2562,'Fleet register'!$A$7:$S$106,16,FALSE),0),"n.a."))</f>
        <v>0</v>
      </c>
      <c r="S2562" s="1">
        <f>IF(NOT(Paths!$C$239=1),0,IF(Paths!$P$239="Complete",IF(C2562=0,0,Paths!$S$239*Paths!$R$239),"n.a."))</f>
        <v>0</v>
      </c>
      <c r="T2562" s="1">
        <f>IF(NOT(Paths!$C$239=1),0,IF(Paths!$P$239="Complete",IF(C2562=0,0,VLOOKUP(A2562,'Fleet register'!$A$7:$S$106,9,FALSE)*Paths!$R$239),"n.a."))</f>
        <v>0</v>
      </c>
    </row>
    <row r="2563" spans="1:20" ht="24" customHeight="1">
      <c r="A2563" s="1" t="str">
        <f>Paths!$A$239</f>
        <v>T059</v>
      </c>
      <c r="B2563" s="1">
        <f>Paths!$B$239</f>
        <v>0</v>
      </c>
      <c r="C2563" s="1">
        <v>4</v>
      </c>
      <c r="D2563" s="1">
        <v>239</v>
      </c>
      <c r="E2563" s="1">
        <f>IF(OR(Paths!$C$239=0,C2563=0),0,MAX(0,MIN(C2563*12,Paths!$E$239)-(C2563-1)*12))</f>
        <v>0</v>
      </c>
      <c r="F2563" s="1">
        <f>IF(OR(Paths!$C$239=0,C2563=0),0,12-E2563)</f>
        <v>0</v>
      </c>
      <c r="G2563" s="16">
        <f>IF(NOT(Paths!$C$239=1),0,IF(Paths!$P$239="Complete",E2563/12*(Paths!$J$239*(1+'Operating costs'!$B$51)^MAX(0,C2563-1)+Paths!$K$239*(1+'Operating costs'!$B$53)^MAX(0,C2563-1)),"n.a."))</f>
        <v>0</v>
      </c>
      <c r="H2563" s="16">
        <f>IF(NOT(Paths!$C$239=1),0,IF(Paths!$P$239="Complete",F2563/12*(Paths!$L$239*(1+IF(Paths!$D$239="EV",'Operating costs'!$B$52,'Operating costs'!$B$51))^MAX(0,C2563-1)+Paths!$M$239*(1+'Operating costs'!$B$53)^MAX(0,C2563-1)),"n.a."))</f>
        <v>0</v>
      </c>
      <c r="I2563" s="16">
        <f>IF(NOT(Paths!$C$239=1),0,IF(Paths!$P$239="Complete",IF(IF(Paths!$E$239=0,C2563=0,AND(C2563&gt;0,Paths!$E$239&gt;(C2563-1)*12,Paths!$E$239&lt;=C2563*12)),Paths!$G$239,0),"n.a."))</f>
        <v>0</v>
      </c>
      <c r="J2563" s="16">
        <f>IF(NOT(Paths!$C$239=1),0,IF(Paths!$P$239="Complete",IF(IF(Paths!$E$239=0,C2563=0,AND(C2563&gt;0,Paths!$E$239&gt;(C2563-1)*12,Paths!$E$239&lt;=C2563*12)),Paths!$H$239,0),"n.a."))</f>
        <v>0</v>
      </c>
      <c r="K2563" s="16">
        <f>IF(NOT(Paths!$C$239=1),0,IF(Paths!$P$239="Complete",IF(IF(Paths!$O$239=0,C2563=0,AND(C2563&gt;0,Paths!$O$239&gt;(C2563-1)*12,Paths!$O$239&lt;=C2563*12)),Paths!$N$239,0),"n.a."))</f>
        <v>0</v>
      </c>
      <c r="L2563" s="16">
        <f>IF(NOT(Paths!$C$239=1),0,IF(Paths!$P$239="Complete",IF(C2563=10,Paths!$I$239,0),"n.a."))</f>
        <v>0</v>
      </c>
      <c r="M2563" s="16">
        <f>IF(NOT(Paths!$C$239=1),0,IF(Paths!$P$239="Complete",IF(AND(Paths!$D$239="EV",Paths!$E$239&lt;120,Paths!$E$239+'Operating costs'!$B$65&gt;Paths!$E$239,Paths!$E$239+'Operating costs'!$B$65&lt;=120,IF(Paths!$E$239+'Operating costs'!$B$65=0,C2563=0,AND(C2563&gt;0,Paths!$E$239+'Operating costs'!$B$65&gt;(C2563-1)*12,Paths!$E$239+'Operating costs'!$B$65&lt;=C2563*12))),'Operating costs'!$B$64,0)+IF(AND('Operating costs'!$B$67&gt;0,'Operating costs'!$B$67&lt;=120,OR(Paths!$D$239="ICE",'Operating costs'!$B$67&lt;=Paths!$E$239),IF('Operating costs'!$B$67=0,C2563=0,AND(C2563&gt;0,'Operating costs'!$B$67&gt;(C2563-1)*12,'Operating costs'!$B$67&lt;=C2563*12))),'Operating costs'!$B$66,0),"n.a."))</f>
        <v>0</v>
      </c>
      <c r="N2563" s="16">
        <f>IF(NOT(Paths!$C$239=1),0,IF(Paths!$P$239="Complete",SUM(G2563:I2563)-J2563-K2563-L2563+M2563+IF(C2563=0,Paths!$F$239,0)+IF(IF(Paths!$E$239=0,C2563=0,AND(C2563&gt;0,Paths!$E$239&gt;(C2563-1)*12,Paths!$E$239&lt;=C2563*12)),VLOOKUP(A2563,'Fleet register'!$A$7:$S$106,16,FALSE),0),"n.a."))</f>
        <v>0</v>
      </c>
      <c r="O2563" s="16">
        <f>IF(NOT(Paths!$C$239=1),0,IF(Paths!$P$239="Complete",N2563-IF(C2563=0,Paths!$F$239,0),"n.a."))</f>
        <v>0</v>
      </c>
      <c r="P2563" s="16">
        <f>IF(NOT(Paths!$C$239=1),0,IF(Paths!$P$239="Complete",O2563+L2563,"n.a."))</f>
        <v>0</v>
      </c>
      <c r="Q2563" s="16">
        <f>IF(NOT(Paths!$C$239=1),0,IF(Paths!$P$239="Complete",N2563*(1+'Operating costs'!$B$54)^-C2563,"n.a."))</f>
        <v>0</v>
      </c>
      <c r="R2563" s="16">
        <f>IF(NOT(Paths!$C$239=1),0,IF(Paths!$P$239="Complete",IF(AND(C2563=0,Paths!$E$239=0),I2563-J2563-K2563+VLOOKUP(A2563,'Fleet register'!$A$7:$S$106,15,FALSE)+VLOOKUP(A2563,'Fleet register'!$A$7:$S$106,16,FALSE),0),"n.a."))</f>
        <v>0</v>
      </c>
      <c r="S2563" s="1">
        <f>IF(NOT(Paths!$C$239=1),0,IF(Paths!$P$239="Complete",IF(C2563=0,0,Paths!$S$239*Paths!$R$239),"n.a."))</f>
        <v>0</v>
      </c>
      <c r="T2563" s="1">
        <f>IF(NOT(Paths!$C$239=1),0,IF(Paths!$P$239="Complete",IF(C2563=0,0,VLOOKUP(A2563,'Fleet register'!$A$7:$S$106,9,FALSE)*Paths!$R$239),"n.a."))</f>
        <v>0</v>
      </c>
    </row>
    <row r="2564" spans="1:20" ht="24" customHeight="1">
      <c r="A2564" s="1" t="str">
        <f>Paths!$A$239</f>
        <v>T059</v>
      </c>
      <c r="B2564" s="1">
        <f>Paths!$B$239</f>
        <v>0</v>
      </c>
      <c r="C2564" s="1">
        <v>5</v>
      </c>
      <c r="D2564" s="1">
        <v>239</v>
      </c>
      <c r="E2564" s="1">
        <f>IF(OR(Paths!$C$239=0,C2564=0),0,MAX(0,MIN(C2564*12,Paths!$E$239)-(C2564-1)*12))</f>
        <v>0</v>
      </c>
      <c r="F2564" s="1">
        <f>IF(OR(Paths!$C$239=0,C2564=0),0,12-E2564)</f>
        <v>0</v>
      </c>
      <c r="G2564" s="16">
        <f>IF(NOT(Paths!$C$239=1),0,IF(Paths!$P$239="Complete",E2564/12*(Paths!$J$239*(1+'Operating costs'!$B$51)^MAX(0,C2564-1)+Paths!$K$239*(1+'Operating costs'!$B$53)^MAX(0,C2564-1)),"n.a."))</f>
        <v>0</v>
      </c>
      <c r="H2564" s="16">
        <f>IF(NOT(Paths!$C$239=1),0,IF(Paths!$P$239="Complete",F2564/12*(Paths!$L$239*(1+IF(Paths!$D$239="EV",'Operating costs'!$B$52,'Operating costs'!$B$51))^MAX(0,C2564-1)+Paths!$M$239*(1+'Operating costs'!$B$53)^MAX(0,C2564-1)),"n.a."))</f>
        <v>0</v>
      </c>
      <c r="I2564" s="16">
        <f>IF(NOT(Paths!$C$239=1),0,IF(Paths!$P$239="Complete",IF(IF(Paths!$E$239=0,C2564=0,AND(C2564&gt;0,Paths!$E$239&gt;(C2564-1)*12,Paths!$E$239&lt;=C2564*12)),Paths!$G$239,0),"n.a."))</f>
        <v>0</v>
      </c>
      <c r="J2564" s="16">
        <f>IF(NOT(Paths!$C$239=1),0,IF(Paths!$P$239="Complete",IF(IF(Paths!$E$239=0,C2564=0,AND(C2564&gt;0,Paths!$E$239&gt;(C2564-1)*12,Paths!$E$239&lt;=C2564*12)),Paths!$H$239,0),"n.a."))</f>
        <v>0</v>
      </c>
      <c r="K2564" s="16">
        <f>IF(NOT(Paths!$C$239=1),0,IF(Paths!$P$239="Complete",IF(IF(Paths!$O$239=0,C2564=0,AND(C2564&gt;0,Paths!$O$239&gt;(C2564-1)*12,Paths!$O$239&lt;=C2564*12)),Paths!$N$239,0),"n.a."))</f>
        <v>0</v>
      </c>
      <c r="L2564" s="16">
        <f>IF(NOT(Paths!$C$239=1),0,IF(Paths!$P$239="Complete",IF(C2564=10,Paths!$I$239,0),"n.a."))</f>
        <v>0</v>
      </c>
      <c r="M2564" s="16">
        <f>IF(NOT(Paths!$C$239=1),0,IF(Paths!$P$239="Complete",IF(AND(Paths!$D$239="EV",Paths!$E$239&lt;120,Paths!$E$239+'Operating costs'!$B$65&gt;Paths!$E$239,Paths!$E$239+'Operating costs'!$B$65&lt;=120,IF(Paths!$E$239+'Operating costs'!$B$65=0,C2564=0,AND(C2564&gt;0,Paths!$E$239+'Operating costs'!$B$65&gt;(C2564-1)*12,Paths!$E$239+'Operating costs'!$B$65&lt;=C2564*12))),'Operating costs'!$B$64,0)+IF(AND('Operating costs'!$B$67&gt;0,'Operating costs'!$B$67&lt;=120,OR(Paths!$D$239="ICE",'Operating costs'!$B$67&lt;=Paths!$E$239),IF('Operating costs'!$B$67=0,C2564=0,AND(C2564&gt;0,'Operating costs'!$B$67&gt;(C2564-1)*12,'Operating costs'!$B$67&lt;=C2564*12))),'Operating costs'!$B$66,0),"n.a."))</f>
        <v>0</v>
      </c>
      <c r="N2564" s="16">
        <f>IF(NOT(Paths!$C$239=1),0,IF(Paths!$P$239="Complete",SUM(G2564:I2564)-J2564-K2564-L2564+M2564+IF(C2564=0,Paths!$F$239,0)+IF(IF(Paths!$E$239=0,C2564=0,AND(C2564&gt;0,Paths!$E$239&gt;(C2564-1)*12,Paths!$E$239&lt;=C2564*12)),VLOOKUP(A2564,'Fleet register'!$A$7:$S$106,16,FALSE),0),"n.a."))</f>
        <v>0</v>
      </c>
      <c r="O2564" s="16">
        <f>IF(NOT(Paths!$C$239=1),0,IF(Paths!$P$239="Complete",N2564-IF(C2564=0,Paths!$F$239,0),"n.a."))</f>
        <v>0</v>
      </c>
      <c r="P2564" s="16">
        <f>IF(NOT(Paths!$C$239=1),0,IF(Paths!$P$239="Complete",O2564+L2564,"n.a."))</f>
        <v>0</v>
      </c>
      <c r="Q2564" s="16">
        <f>IF(NOT(Paths!$C$239=1),0,IF(Paths!$P$239="Complete",N2564*(1+'Operating costs'!$B$54)^-C2564,"n.a."))</f>
        <v>0</v>
      </c>
      <c r="R2564" s="16">
        <f>IF(NOT(Paths!$C$239=1),0,IF(Paths!$P$239="Complete",IF(AND(C2564=0,Paths!$E$239=0),I2564-J2564-K2564+VLOOKUP(A2564,'Fleet register'!$A$7:$S$106,15,FALSE)+VLOOKUP(A2564,'Fleet register'!$A$7:$S$106,16,FALSE),0),"n.a."))</f>
        <v>0</v>
      </c>
      <c r="S2564" s="1">
        <f>IF(NOT(Paths!$C$239=1),0,IF(Paths!$P$239="Complete",IF(C2564=0,0,Paths!$S$239*Paths!$R$239),"n.a."))</f>
        <v>0</v>
      </c>
      <c r="T2564" s="1">
        <f>IF(NOT(Paths!$C$239=1),0,IF(Paths!$P$239="Complete",IF(C2564=0,0,VLOOKUP(A2564,'Fleet register'!$A$7:$S$106,9,FALSE)*Paths!$R$239),"n.a."))</f>
        <v>0</v>
      </c>
    </row>
    <row r="2565" spans="1:20" ht="24" customHeight="1">
      <c r="A2565" s="1" t="str">
        <f>Paths!$A$239</f>
        <v>T059</v>
      </c>
      <c r="B2565" s="1">
        <f>Paths!$B$239</f>
        <v>0</v>
      </c>
      <c r="C2565" s="1">
        <v>6</v>
      </c>
      <c r="D2565" s="1">
        <v>239</v>
      </c>
      <c r="E2565" s="1">
        <f>IF(OR(Paths!$C$239=0,C2565=0),0,MAX(0,MIN(C2565*12,Paths!$E$239)-(C2565-1)*12))</f>
        <v>0</v>
      </c>
      <c r="F2565" s="1">
        <f>IF(OR(Paths!$C$239=0,C2565=0),0,12-E2565)</f>
        <v>0</v>
      </c>
      <c r="G2565" s="16">
        <f>IF(NOT(Paths!$C$239=1),0,IF(Paths!$P$239="Complete",E2565/12*(Paths!$J$239*(1+'Operating costs'!$B$51)^MAX(0,C2565-1)+Paths!$K$239*(1+'Operating costs'!$B$53)^MAX(0,C2565-1)),"n.a."))</f>
        <v>0</v>
      </c>
      <c r="H2565" s="16">
        <f>IF(NOT(Paths!$C$239=1),0,IF(Paths!$P$239="Complete",F2565/12*(Paths!$L$239*(1+IF(Paths!$D$239="EV",'Operating costs'!$B$52,'Operating costs'!$B$51))^MAX(0,C2565-1)+Paths!$M$239*(1+'Operating costs'!$B$53)^MAX(0,C2565-1)),"n.a."))</f>
        <v>0</v>
      </c>
      <c r="I2565" s="16">
        <f>IF(NOT(Paths!$C$239=1),0,IF(Paths!$P$239="Complete",IF(IF(Paths!$E$239=0,C2565=0,AND(C2565&gt;0,Paths!$E$239&gt;(C2565-1)*12,Paths!$E$239&lt;=C2565*12)),Paths!$G$239,0),"n.a."))</f>
        <v>0</v>
      </c>
      <c r="J2565" s="16">
        <f>IF(NOT(Paths!$C$239=1),0,IF(Paths!$P$239="Complete",IF(IF(Paths!$E$239=0,C2565=0,AND(C2565&gt;0,Paths!$E$239&gt;(C2565-1)*12,Paths!$E$239&lt;=C2565*12)),Paths!$H$239,0),"n.a."))</f>
        <v>0</v>
      </c>
      <c r="K2565" s="16">
        <f>IF(NOT(Paths!$C$239=1),0,IF(Paths!$P$239="Complete",IF(IF(Paths!$O$239=0,C2565=0,AND(C2565&gt;0,Paths!$O$239&gt;(C2565-1)*12,Paths!$O$239&lt;=C2565*12)),Paths!$N$239,0),"n.a."))</f>
        <v>0</v>
      </c>
      <c r="L2565" s="16">
        <f>IF(NOT(Paths!$C$239=1),0,IF(Paths!$P$239="Complete",IF(C2565=10,Paths!$I$239,0),"n.a."))</f>
        <v>0</v>
      </c>
      <c r="M2565" s="16">
        <f>IF(NOT(Paths!$C$239=1),0,IF(Paths!$P$239="Complete",IF(AND(Paths!$D$239="EV",Paths!$E$239&lt;120,Paths!$E$239+'Operating costs'!$B$65&gt;Paths!$E$239,Paths!$E$239+'Operating costs'!$B$65&lt;=120,IF(Paths!$E$239+'Operating costs'!$B$65=0,C2565=0,AND(C2565&gt;0,Paths!$E$239+'Operating costs'!$B$65&gt;(C2565-1)*12,Paths!$E$239+'Operating costs'!$B$65&lt;=C2565*12))),'Operating costs'!$B$64,0)+IF(AND('Operating costs'!$B$67&gt;0,'Operating costs'!$B$67&lt;=120,OR(Paths!$D$239="ICE",'Operating costs'!$B$67&lt;=Paths!$E$239),IF('Operating costs'!$B$67=0,C2565=0,AND(C2565&gt;0,'Operating costs'!$B$67&gt;(C2565-1)*12,'Operating costs'!$B$67&lt;=C2565*12))),'Operating costs'!$B$66,0),"n.a."))</f>
        <v>0</v>
      </c>
      <c r="N2565" s="16">
        <f>IF(NOT(Paths!$C$239=1),0,IF(Paths!$P$239="Complete",SUM(G2565:I2565)-J2565-K2565-L2565+M2565+IF(C2565=0,Paths!$F$239,0)+IF(IF(Paths!$E$239=0,C2565=0,AND(C2565&gt;0,Paths!$E$239&gt;(C2565-1)*12,Paths!$E$239&lt;=C2565*12)),VLOOKUP(A2565,'Fleet register'!$A$7:$S$106,16,FALSE),0),"n.a."))</f>
        <v>0</v>
      </c>
      <c r="O2565" s="16">
        <f>IF(NOT(Paths!$C$239=1),0,IF(Paths!$P$239="Complete",N2565-IF(C2565=0,Paths!$F$239,0),"n.a."))</f>
        <v>0</v>
      </c>
      <c r="P2565" s="16">
        <f>IF(NOT(Paths!$C$239=1),0,IF(Paths!$P$239="Complete",O2565+L2565,"n.a."))</f>
        <v>0</v>
      </c>
      <c r="Q2565" s="16">
        <f>IF(NOT(Paths!$C$239=1),0,IF(Paths!$P$239="Complete",N2565*(1+'Operating costs'!$B$54)^-C2565,"n.a."))</f>
        <v>0</v>
      </c>
      <c r="R2565" s="16">
        <f>IF(NOT(Paths!$C$239=1),0,IF(Paths!$P$239="Complete",IF(AND(C2565=0,Paths!$E$239=0),I2565-J2565-K2565+VLOOKUP(A2565,'Fleet register'!$A$7:$S$106,15,FALSE)+VLOOKUP(A2565,'Fleet register'!$A$7:$S$106,16,FALSE),0),"n.a."))</f>
        <v>0</v>
      </c>
      <c r="S2565" s="1">
        <f>IF(NOT(Paths!$C$239=1),0,IF(Paths!$P$239="Complete",IF(C2565=0,0,Paths!$S$239*Paths!$R$239),"n.a."))</f>
        <v>0</v>
      </c>
      <c r="T2565" s="1">
        <f>IF(NOT(Paths!$C$239=1),0,IF(Paths!$P$239="Complete",IF(C2565=0,0,VLOOKUP(A2565,'Fleet register'!$A$7:$S$106,9,FALSE)*Paths!$R$239),"n.a."))</f>
        <v>0</v>
      </c>
    </row>
    <row r="2566" spans="1:20" ht="24" customHeight="1">
      <c r="A2566" s="1" t="str">
        <f>Paths!$A$239</f>
        <v>T059</v>
      </c>
      <c r="B2566" s="1">
        <f>Paths!$B$239</f>
        <v>0</v>
      </c>
      <c r="C2566" s="1">
        <v>7</v>
      </c>
      <c r="D2566" s="1">
        <v>239</v>
      </c>
      <c r="E2566" s="1">
        <f>IF(OR(Paths!$C$239=0,C2566=0),0,MAX(0,MIN(C2566*12,Paths!$E$239)-(C2566-1)*12))</f>
        <v>0</v>
      </c>
      <c r="F2566" s="1">
        <f>IF(OR(Paths!$C$239=0,C2566=0),0,12-E2566)</f>
        <v>0</v>
      </c>
      <c r="G2566" s="16">
        <f>IF(NOT(Paths!$C$239=1),0,IF(Paths!$P$239="Complete",E2566/12*(Paths!$J$239*(1+'Operating costs'!$B$51)^MAX(0,C2566-1)+Paths!$K$239*(1+'Operating costs'!$B$53)^MAX(0,C2566-1)),"n.a."))</f>
        <v>0</v>
      </c>
      <c r="H2566" s="16">
        <f>IF(NOT(Paths!$C$239=1),0,IF(Paths!$P$239="Complete",F2566/12*(Paths!$L$239*(1+IF(Paths!$D$239="EV",'Operating costs'!$B$52,'Operating costs'!$B$51))^MAX(0,C2566-1)+Paths!$M$239*(1+'Operating costs'!$B$53)^MAX(0,C2566-1)),"n.a."))</f>
        <v>0</v>
      </c>
      <c r="I2566" s="16">
        <f>IF(NOT(Paths!$C$239=1),0,IF(Paths!$P$239="Complete",IF(IF(Paths!$E$239=0,C2566=0,AND(C2566&gt;0,Paths!$E$239&gt;(C2566-1)*12,Paths!$E$239&lt;=C2566*12)),Paths!$G$239,0),"n.a."))</f>
        <v>0</v>
      </c>
      <c r="J2566" s="16">
        <f>IF(NOT(Paths!$C$239=1),0,IF(Paths!$P$239="Complete",IF(IF(Paths!$E$239=0,C2566=0,AND(C2566&gt;0,Paths!$E$239&gt;(C2566-1)*12,Paths!$E$239&lt;=C2566*12)),Paths!$H$239,0),"n.a."))</f>
        <v>0</v>
      </c>
      <c r="K2566" s="16">
        <f>IF(NOT(Paths!$C$239=1),0,IF(Paths!$P$239="Complete",IF(IF(Paths!$O$239=0,C2566=0,AND(C2566&gt;0,Paths!$O$239&gt;(C2566-1)*12,Paths!$O$239&lt;=C2566*12)),Paths!$N$239,0),"n.a."))</f>
        <v>0</v>
      </c>
      <c r="L2566" s="16">
        <f>IF(NOT(Paths!$C$239=1),0,IF(Paths!$P$239="Complete",IF(C2566=10,Paths!$I$239,0),"n.a."))</f>
        <v>0</v>
      </c>
      <c r="M2566" s="16">
        <f>IF(NOT(Paths!$C$239=1),0,IF(Paths!$P$239="Complete",IF(AND(Paths!$D$239="EV",Paths!$E$239&lt;120,Paths!$E$239+'Operating costs'!$B$65&gt;Paths!$E$239,Paths!$E$239+'Operating costs'!$B$65&lt;=120,IF(Paths!$E$239+'Operating costs'!$B$65=0,C2566=0,AND(C2566&gt;0,Paths!$E$239+'Operating costs'!$B$65&gt;(C2566-1)*12,Paths!$E$239+'Operating costs'!$B$65&lt;=C2566*12))),'Operating costs'!$B$64,0)+IF(AND('Operating costs'!$B$67&gt;0,'Operating costs'!$B$67&lt;=120,OR(Paths!$D$239="ICE",'Operating costs'!$B$67&lt;=Paths!$E$239),IF('Operating costs'!$B$67=0,C2566=0,AND(C2566&gt;0,'Operating costs'!$B$67&gt;(C2566-1)*12,'Operating costs'!$B$67&lt;=C2566*12))),'Operating costs'!$B$66,0),"n.a."))</f>
        <v>0</v>
      </c>
      <c r="N2566" s="16">
        <f>IF(NOT(Paths!$C$239=1),0,IF(Paths!$P$239="Complete",SUM(G2566:I2566)-J2566-K2566-L2566+M2566+IF(C2566=0,Paths!$F$239,0)+IF(IF(Paths!$E$239=0,C2566=0,AND(C2566&gt;0,Paths!$E$239&gt;(C2566-1)*12,Paths!$E$239&lt;=C2566*12)),VLOOKUP(A2566,'Fleet register'!$A$7:$S$106,16,FALSE),0),"n.a."))</f>
        <v>0</v>
      </c>
      <c r="O2566" s="16">
        <f>IF(NOT(Paths!$C$239=1),0,IF(Paths!$P$239="Complete",N2566-IF(C2566=0,Paths!$F$239,0),"n.a."))</f>
        <v>0</v>
      </c>
      <c r="P2566" s="16">
        <f>IF(NOT(Paths!$C$239=1),0,IF(Paths!$P$239="Complete",O2566+L2566,"n.a."))</f>
        <v>0</v>
      </c>
      <c r="Q2566" s="16">
        <f>IF(NOT(Paths!$C$239=1),0,IF(Paths!$P$239="Complete",N2566*(1+'Operating costs'!$B$54)^-C2566,"n.a."))</f>
        <v>0</v>
      </c>
      <c r="R2566" s="16">
        <f>IF(NOT(Paths!$C$239=1),0,IF(Paths!$P$239="Complete",IF(AND(C2566=0,Paths!$E$239=0),I2566-J2566-K2566+VLOOKUP(A2566,'Fleet register'!$A$7:$S$106,15,FALSE)+VLOOKUP(A2566,'Fleet register'!$A$7:$S$106,16,FALSE),0),"n.a."))</f>
        <v>0</v>
      </c>
      <c r="S2566" s="1">
        <f>IF(NOT(Paths!$C$239=1),0,IF(Paths!$P$239="Complete",IF(C2566=0,0,Paths!$S$239*Paths!$R$239),"n.a."))</f>
        <v>0</v>
      </c>
      <c r="T2566" s="1">
        <f>IF(NOT(Paths!$C$239=1),0,IF(Paths!$P$239="Complete",IF(C2566=0,0,VLOOKUP(A2566,'Fleet register'!$A$7:$S$106,9,FALSE)*Paths!$R$239),"n.a."))</f>
        <v>0</v>
      </c>
    </row>
    <row r="2567" spans="1:20" ht="24" customHeight="1">
      <c r="A2567" s="1" t="str">
        <f>Paths!$A$239</f>
        <v>T059</v>
      </c>
      <c r="B2567" s="1">
        <f>Paths!$B$239</f>
        <v>0</v>
      </c>
      <c r="C2567" s="1">
        <v>8</v>
      </c>
      <c r="D2567" s="1">
        <v>239</v>
      </c>
      <c r="E2567" s="1">
        <f>IF(OR(Paths!$C$239=0,C2567=0),0,MAX(0,MIN(C2567*12,Paths!$E$239)-(C2567-1)*12))</f>
        <v>0</v>
      </c>
      <c r="F2567" s="1">
        <f>IF(OR(Paths!$C$239=0,C2567=0),0,12-E2567)</f>
        <v>0</v>
      </c>
      <c r="G2567" s="16">
        <f>IF(NOT(Paths!$C$239=1),0,IF(Paths!$P$239="Complete",E2567/12*(Paths!$J$239*(1+'Operating costs'!$B$51)^MAX(0,C2567-1)+Paths!$K$239*(1+'Operating costs'!$B$53)^MAX(0,C2567-1)),"n.a."))</f>
        <v>0</v>
      </c>
      <c r="H2567" s="16">
        <f>IF(NOT(Paths!$C$239=1),0,IF(Paths!$P$239="Complete",F2567/12*(Paths!$L$239*(1+IF(Paths!$D$239="EV",'Operating costs'!$B$52,'Operating costs'!$B$51))^MAX(0,C2567-1)+Paths!$M$239*(1+'Operating costs'!$B$53)^MAX(0,C2567-1)),"n.a."))</f>
        <v>0</v>
      </c>
      <c r="I2567" s="16">
        <f>IF(NOT(Paths!$C$239=1),0,IF(Paths!$P$239="Complete",IF(IF(Paths!$E$239=0,C2567=0,AND(C2567&gt;0,Paths!$E$239&gt;(C2567-1)*12,Paths!$E$239&lt;=C2567*12)),Paths!$G$239,0),"n.a."))</f>
        <v>0</v>
      </c>
      <c r="J2567" s="16">
        <f>IF(NOT(Paths!$C$239=1),0,IF(Paths!$P$239="Complete",IF(IF(Paths!$E$239=0,C2567=0,AND(C2567&gt;0,Paths!$E$239&gt;(C2567-1)*12,Paths!$E$239&lt;=C2567*12)),Paths!$H$239,0),"n.a."))</f>
        <v>0</v>
      </c>
      <c r="K2567" s="16">
        <f>IF(NOT(Paths!$C$239=1),0,IF(Paths!$P$239="Complete",IF(IF(Paths!$O$239=0,C2567=0,AND(C2567&gt;0,Paths!$O$239&gt;(C2567-1)*12,Paths!$O$239&lt;=C2567*12)),Paths!$N$239,0),"n.a."))</f>
        <v>0</v>
      </c>
      <c r="L2567" s="16">
        <f>IF(NOT(Paths!$C$239=1),0,IF(Paths!$P$239="Complete",IF(C2567=10,Paths!$I$239,0),"n.a."))</f>
        <v>0</v>
      </c>
      <c r="M2567" s="16">
        <f>IF(NOT(Paths!$C$239=1),0,IF(Paths!$P$239="Complete",IF(AND(Paths!$D$239="EV",Paths!$E$239&lt;120,Paths!$E$239+'Operating costs'!$B$65&gt;Paths!$E$239,Paths!$E$239+'Operating costs'!$B$65&lt;=120,IF(Paths!$E$239+'Operating costs'!$B$65=0,C2567=0,AND(C2567&gt;0,Paths!$E$239+'Operating costs'!$B$65&gt;(C2567-1)*12,Paths!$E$239+'Operating costs'!$B$65&lt;=C2567*12))),'Operating costs'!$B$64,0)+IF(AND('Operating costs'!$B$67&gt;0,'Operating costs'!$B$67&lt;=120,OR(Paths!$D$239="ICE",'Operating costs'!$B$67&lt;=Paths!$E$239),IF('Operating costs'!$B$67=0,C2567=0,AND(C2567&gt;0,'Operating costs'!$B$67&gt;(C2567-1)*12,'Operating costs'!$B$67&lt;=C2567*12))),'Operating costs'!$B$66,0),"n.a."))</f>
        <v>0</v>
      </c>
      <c r="N2567" s="16">
        <f>IF(NOT(Paths!$C$239=1),0,IF(Paths!$P$239="Complete",SUM(G2567:I2567)-J2567-K2567-L2567+M2567+IF(C2567=0,Paths!$F$239,0)+IF(IF(Paths!$E$239=0,C2567=0,AND(C2567&gt;0,Paths!$E$239&gt;(C2567-1)*12,Paths!$E$239&lt;=C2567*12)),VLOOKUP(A2567,'Fleet register'!$A$7:$S$106,16,FALSE),0),"n.a."))</f>
        <v>0</v>
      </c>
      <c r="O2567" s="16">
        <f>IF(NOT(Paths!$C$239=1),0,IF(Paths!$P$239="Complete",N2567-IF(C2567=0,Paths!$F$239,0),"n.a."))</f>
        <v>0</v>
      </c>
      <c r="P2567" s="16">
        <f>IF(NOT(Paths!$C$239=1),0,IF(Paths!$P$239="Complete",O2567+L2567,"n.a."))</f>
        <v>0</v>
      </c>
      <c r="Q2567" s="16">
        <f>IF(NOT(Paths!$C$239=1),0,IF(Paths!$P$239="Complete",N2567*(1+'Operating costs'!$B$54)^-C2567,"n.a."))</f>
        <v>0</v>
      </c>
      <c r="R2567" s="16">
        <f>IF(NOT(Paths!$C$239=1),0,IF(Paths!$P$239="Complete",IF(AND(C2567=0,Paths!$E$239=0),I2567-J2567-K2567+VLOOKUP(A2567,'Fleet register'!$A$7:$S$106,15,FALSE)+VLOOKUP(A2567,'Fleet register'!$A$7:$S$106,16,FALSE),0),"n.a."))</f>
        <v>0</v>
      </c>
      <c r="S2567" s="1">
        <f>IF(NOT(Paths!$C$239=1),0,IF(Paths!$P$239="Complete",IF(C2567=0,0,Paths!$S$239*Paths!$R$239),"n.a."))</f>
        <v>0</v>
      </c>
      <c r="T2567" s="1">
        <f>IF(NOT(Paths!$C$239=1),0,IF(Paths!$P$239="Complete",IF(C2567=0,0,VLOOKUP(A2567,'Fleet register'!$A$7:$S$106,9,FALSE)*Paths!$R$239),"n.a."))</f>
        <v>0</v>
      </c>
    </row>
    <row r="2568" spans="1:20" ht="24" customHeight="1">
      <c r="A2568" s="1" t="str">
        <f>Paths!$A$239</f>
        <v>T059</v>
      </c>
      <c r="B2568" s="1">
        <f>Paths!$B$239</f>
        <v>0</v>
      </c>
      <c r="C2568" s="1">
        <v>9</v>
      </c>
      <c r="D2568" s="1">
        <v>239</v>
      </c>
      <c r="E2568" s="1">
        <f>IF(OR(Paths!$C$239=0,C2568=0),0,MAX(0,MIN(C2568*12,Paths!$E$239)-(C2568-1)*12))</f>
        <v>0</v>
      </c>
      <c r="F2568" s="1">
        <f>IF(OR(Paths!$C$239=0,C2568=0),0,12-E2568)</f>
        <v>0</v>
      </c>
      <c r="G2568" s="16">
        <f>IF(NOT(Paths!$C$239=1),0,IF(Paths!$P$239="Complete",E2568/12*(Paths!$J$239*(1+'Operating costs'!$B$51)^MAX(0,C2568-1)+Paths!$K$239*(1+'Operating costs'!$B$53)^MAX(0,C2568-1)),"n.a."))</f>
        <v>0</v>
      </c>
      <c r="H2568" s="16">
        <f>IF(NOT(Paths!$C$239=1),0,IF(Paths!$P$239="Complete",F2568/12*(Paths!$L$239*(1+IF(Paths!$D$239="EV",'Operating costs'!$B$52,'Operating costs'!$B$51))^MAX(0,C2568-1)+Paths!$M$239*(1+'Operating costs'!$B$53)^MAX(0,C2568-1)),"n.a."))</f>
        <v>0</v>
      </c>
      <c r="I2568" s="16">
        <f>IF(NOT(Paths!$C$239=1),0,IF(Paths!$P$239="Complete",IF(IF(Paths!$E$239=0,C2568=0,AND(C2568&gt;0,Paths!$E$239&gt;(C2568-1)*12,Paths!$E$239&lt;=C2568*12)),Paths!$G$239,0),"n.a."))</f>
        <v>0</v>
      </c>
      <c r="J2568" s="16">
        <f>IF(NOT(Paths!$C$239=1),0,IF(Paths!$P$239="Complete",IF(IF(Paths!$E$239=0,C2568=0,AND(C2568&gt;0,Paths!$E$239&gt;(C2568-1)*12,Paths!$E$239&lt;=C2568*12)),Paths!$H$239,0),"n.a."))</f>
        <v>0</v>
      </c>
      <c r="K2568" s="16">
        <f>IF(NOT(Paths!$C$239=1),0,IF(Paths!$P$239="Complete",IF(IF(Paths!$O$239=0,C2568=0,AND(C2568&gt;0,Paths!$O$239&gt;(C2568-1)*12,Paths!$O$239&lt;=C2568*12)),Paths!$N$239,0),"n.a."))</f>
        <v>0</v>
      </c>
      <c r="L2568" s="16">
        <f>IF(NOT(Paths!$C$239=1),0,IF(Paths!$P$239="Complete",IF(C2568=10,Paths!$I$239,0),"n.a."))</f>
        <v>0</v>
      </c>
      <c r="M2568" s="16">
        <f>IF(NOT(Paths!$C$239=1),0,IF(Paths!$P$239="Complete",IF(AND(Paths!$D$239="EV",Paths!$E$239&lt;120,Paths!$E$239+'Operating costs'!$B$65&gt;Paths!$E$239,Paths!$E$239+'Operating costs'!$B$65&lt;=120,IF(Paths!$E$239+'Operating costs'!$B$65=0,C2568=0,AND(C2568&gt;0,Paths!$E$239+'Operating costs'!$B$65&gt;(C2568-1)*12,Paths!$E$239+'Operating costs'!$B$65&lt;=C2568*12))),'Operating costs'!$B$64,0)+IF(AND('Operating costs'!$B$67&gt;0,'Operating costs'!$B$67&lt;=120,OR(Paths!$D$239="ICE",'Operating costs'!$B$67&lt;=Paths!$E$239),IF('Operating costs'!$B$67=0,C2568=0,AND(C2568&gt;0,'Operating costs'!$B$67&gt;(C2568-1)*12,'Operating costs'!$B$67&lt;=C2568*12))),'Operating costs'!$B$66,0),"n.a."))</f>
        <v>0</v>
      </c>
      <c r="N2568" s="16">
        <f>IF(NOT(Paths!$C$239=1),0,IF(Paths!$P$239="Complete",SUM(G2568:I2568)-J2568-K2568-L2568+M2568+IF(C2568=0,Paths!$F$239,0)+IF(IF(Paths!$E$239=0,C2568=0,AND(C2568&gt;0,Paths!$E$239&gt;(C2568-1)*12,Paths!$E$239&lt;=C2568*12)),VLOOKUP(A2568,'Fleet register'!$A$7:$S$106,16,FALSE),0),"n.a."))</f>
        <v>0</v>
      </c>
      <c r="O2568" s="16">
        <f>IF(NOT(Paths!$C$239=1),0,IF(Paths!$P$239="Complete",N2568-IF(C2568=0,Paths!$F$239,0),"n.a."))</f>
        <v>0</v>
      </c>
      <c r="P2568" s="16">
        <f>IF(NOT(Paths!$C$239=1),0,IF(Paths!$P$239="Complete",O2568+L2568,"n.a."))</f>
        <v>0</v>
      </c>
      <c r="Q2568" s="16">
        <f>IF(NOT(Paths!$C$239=1),0,IF(Paths!$P$239="Complete",N2568*(1+'Operating costs'!$B$54)^-C2568,"n.a."))</f>
        <v>0</v>
      </c>
      <c r="R2568" s="16">
        <f>IF(NOT(Paths!$C$239=1),0,IF(Paths!$P$239="Complete",IF(AND(C2568=0,Paths!$E$239=0),I2568-J2568-K2568+VLOOKUP(A2568,'Fleet register'!$A$7:$S$106,15,FALSE)+VLOOKUP(A2568,'Fleet register'!$A$7:$S$106,16,FALSE),0),"n.a."))</f>
        <v>0</v>
      </c>
      <c r="S2568" s="1">
        <f>IF(NOT(Paths!$C$239=1),0,IF(Paths!$P$239="Complete",IF(C2568=0,0,Paths!$S$239*Paths!$R$239),"n.a."))</f>
        <v>0</v>
      </c>
      <c r="T2568" s="1">
        <f>IF(NOT(Paths!$C$239=1),0,IF(Paths!$P$239="Complete",IF(C2568=0,0,VLOOKUP(A2568,'Fleet register'!$A$7:$S$106,9,FALSE)*Paths!$R$239),"n.a."))</f>
        <v>0</v>
      </c>
    </row>
    <row r="2569" spans="1:20" ht="24" customHeight="1">
      <c r="A2569" s="1" t="str">
        <f>Paths!$A$239</f>
        <v>T059</v>
      </c>
      <c r="B2569" s="1">
        <f>Paths!$B$239</f>
        <v>0</v>
      </c>
      <c r="C2569" s="1">
        <v>10</v>
      </c>
      <c r="D2569" s="1">
        <v>239</v>
      </c>
      <c r="E2569" s="1">
        <f>IF(OR(Paths!$C$239=0,C2569=0),0,MAX(0,MIN(C2569*12,Paths!$E$239)-(C2569-1)*12))</f>
        <v>0</v>
      </c>
      <c r="F2569" s="1">
        <f>IF(OR(Paths!$C$239=0,C2569=0),0,12-E2569)</f>
        <v>0</v>
      </c>
      <c r="G2569" s="16">
        <f>IF(NOT(Paths!$C$239=1),0,IF(Paths!$P$239="Complete",E2569/12*(Paths!$J$239*(1+'Operating costs'!$B$51)^MAX(0,C2569-1)+Paths!$K$239*(1+'Operating costs'!$B$53)^MAX(0,C2569-1)),"n.a."))</f>
        <v>0</v>
      </c>
      <c r="H2569" s="16">
        <f>IF(NOT(Paths!$C$239=1),0,IF(Paths!$P$239="Complete",F2569/12*(Paths!$L$239*(1+IF(Paths!$D$239="EV",'Operating costs'!$B$52,'Operating costs'!$B$51))^MAX(0,C2569-1)+Paths!$M$239*(1+'Operating costs'!$B$53)^MAX(0,C2569-1)),"n.a."))</f>
        <v>0</v>
      </c>
      <c r="I2569" s="16">
        <f>IF(NOT(Paths!$C$239=1),0,IF(Paths!$P$239="Complete",IF(IF(Paths!$E$239=0,C2569=0,AND(C2569&gt;0,Paths!$E$239&gt;(C2569-1)*12,Paths!$E$239&lt;=C2569*12)),Paths!$G$239,0),"n.a."))</f>
        <v>0</v>
      </c>
      <c r="J2569" s="16">
        <f>IF(NOT(Paths!$C$239=1),0,IF(Paths!$P$239="Complete",IF(IF(Paths!$E$239=0,C2569=0,AND(C2569&gt;0,Paths!$E$239&gt;(C2569-1)*12,Paths!$E$239&lt;=C2569*12)),Paths!$H$239,0),"n.a."))</f>
        <v>0</v>
      </c>
      <c r="K2569" s="16">
        <f>IF(NOT(Paths!$C$239=1),0,IF(Paths!$P$239="Complete",IF(IF(Paths!$O$239=0,C2569=0,AND(C2569&gt;0,Paths!$O$239&gt;(C2569-1)*12,Paths!$O$239&lt;=C2569*12)),Paths!$N$239,0),"n.a."))</f>
        <v>0</v>
      </c>
      <c r="L2569" s="16">
        <f>IF(NOT(Paths!$C$239=1),0,IF(Paths!$P$239="Complete",IF(C2569=10,Paths!$I$239,0),"n.a."))</f>
        <v>0</v>
      </c>
      <c r="M2569" s="16">
        <f>IF(NOT(Paths!$C$239=1),0,IF(Paths!$P$239="Complete",IF(AND(Paths!$D$239="EV",Paths!$E$239&lt;120,Paths!$E$239+'Operating costs'!$B$65&gt;Paths!$E$239,Paths!$E$239+'Operating costs'!$B$65&lt;=120,IF(Paths!$E$239+'Operating costs'!$B$65=0,C2569=0,AND(C2569&gt;0,Paths!$E$239+'Operating costs'!$B$65&gt;(C2569-1)*12,Paths!$E$239+'Operating costs'!$B$65&lt;=C2569*12))),'Operating costs'!$B$64,0)+IF(AND('Operating costs'!$B$67&gt;0,'Operating costs'!$B$67&lt;=120,OR(Paths!$D$239="ICE",'Operating costs'!$B$67&lt;=Paths!$E$239),IF('Operating costs'!$B$67=0,C2569=0,AND(C2569&gt;0,'Operating costs'!$B$67&gt;(C2569-1)*12,'Operating costs'!$B$67&lt;=C2569*12))),'Operating costs'!$B$66,0),"n.a."))</f>
        <v>0</v>
      </c>
      <c r="N2569" s="16">
        <f>IF(NOT(Paths!$C$239=1),0,IF(Paths!$P$239="Complete",SUM(G2569:I2569)-J2569-K2569-L2569+M2569+IF(C2569=0,Paths!$F$239,0)+IF(IF(Paths!$E$239=0,C2569=0,AND(C2569&gt;0,Paths!$E$239&gt;(C2569-1)*12,Paths!$E$239&lt;=C2569*12)),VLOOKUP(A2569,'Fleet register'!$A$7:$S$106,16,FALSE),0),"n.a."))</f>
        <v>0</v>
      </c>
      <c r="O2569" s="16">
        <f>IF(NOT(Paths!$C$239=1),0,IF(Paths!$P$239="Complete",N2569-IF(C2569=0,Paths!$F$239,0),"n.a."))</f>
        <v>0</v>
      </c>
      <c r="P2569" s="16">
        <f>IF(NOT(Paths!$C$239=1),0,IF(Paths!$P$239="Complete",O2569+L2569,"n.a."))</f>
        <v>0</v>
      </c>
      <c r="Q2569" s="16">
        <f>IF(NOT(Paths!$C$239=1),0,IF(Paths!$P$239="Complete",N2569*(1+'Operating costs'!$B$54)^-C2569,"n.a."))</f>
        <v>0</v>
      </c>
      <c r="R2569" s="16">
        <f>IF(NOT(Paths!$C$239=1),0,IF(Paths!$P$239="Complete",IF(AND(C2569=0,Paths!$E$239=0),I2569-J2569-K2569+VLOOKUP(A2569,'Fleet register'!$A$7:$S$106,15,FALSE)+VLOOKUP(A2569,'Fleet register'!$A$7:$S$106,16,FALSE),0),"n.a."))</f>
        <v>0</v>
      </c>
      <c r="S2569" s="1">
        <f>IF(NOT(Paths!$C$239=1),0,IF(Paths!$P$239="Complete",IF(C2569=0,0,Paths!$S$239*Paths!$R$239),"n.a."))</f>
        <v>0</v>
      </c>
      <c r="T2569" s="1">
        <f>IF(NOT(Paths!$C$239=1),0,IF(Paths!$P$239="Complete",IF(C2569=0,0,VLOOKUP(A2569,'Fleet register'!$A$7:$S$106,9,FALSE)*Paths!$R$239),"n.a."))</f>
        <v>0</v>
      </c>
    </row>
    <row r="2570" spans="1:20" ht="24" customHeight="1">
      <c r="A2570" s="1" t="str">
        <f>Paths!$A$240</f>
        <v>T059</v>
      </c>
      <c r="B2570" s="1">
        <f>Paths!$B$240</f>
        <v>1</v>
      </c>
      <c r="C2570" s="1">
        <v>0</v>
      </c>
      <c r="D2570" s="1">
        <v>240</v>
      </c>
      <c r="E2570" s="1">
        <f>IF(OR(Paths!$C$240=0,C2570=0),0,MAX(0,MIN(C2570*12,Paths!$E$240)-(C2570-1)*12))</f>
        <v>0</v>
      </c>
      <c r="F2570" s="1">
        <f>IF(OR(Paths!$C$240=0,C2570=0),0,12-E2570)</f>
        <v>0</v>
      </c>
      <c r="G2570" s="16">
        <f>IF(NOT(Paths!$C$240=1),0,IF(Paths!$P$240="Complete",E2570/12*(Paths!$J$240*(1+'Operating costs'!$B$51)^MAX(0,C2570-1)+Paths!$K$240*(1+'Operating costs'!$B$53)^MAX(0,C2570-1)),"n.a."))</f>
        <v>0</v>
      </c>
      <c r="H2570" s="16">
        <f>IF(NOT(Paths!$C$240=1),0,IF(Paths!$P$240="Complete",F2570/12*(Paths!$L$240*(1+IF(Paths!$D$240="EV",'Operating costs'!$B$52,'Operating costs'!$B$51))^MAX(0,C2570-1)+Paths!$M$240*(1+'Operating costs'!$B$53)^MAX(0,C2570-1)),"n.a."))</f>
        <v>0</v>
      </c>
      <c r="I2570" s="16">
        <f>IF(NOT(Paths!$C$240=1),0,IF(Paths!$P$240="Complete",IF(IF(Paths!$E$240=0,C2570=0,AND(C2570&gt;0,Paths!$E$240&gt;(C2570-1)*12,Paths!$E$240&lt;=C2570*12)),Paths!$G$240,0),"n.a."))</f>
        <v>0</v>
      </c>
      <c r="J2570" s="16">
        <f>IF(NOT(Paths!$C$240=1),0,IF(Paths!$P$240="Complete",IF(IF(Paths!$E$240=0,C2570=0,AND(C2570&gt;0,Paths!$E$240&gt;(C2570-1)*12,Paths!$E$240&lt;=C2570*12)),Paths!$H$240,0),"n.a."))</f>
        <v>0</v>
      </c>
      <c r="K2570" s="16">
        <f>IF(NOT(Paths!$C$240=1),0,IF(Paths!$P$240="Complete",IF(IF(Paths!$O$240=0,C2570=0,AND(C2570&gt;0,Paths!$O$240&gt;(C2570-1)*12,Paths!$O$240&lt;=C2570*12)),Paths!$N$240,0),"n.a."))</f>
        <v>0</v>
      </c>
      <c r="L2570" s="16">
        <f>IF(NOT(Paths!$C$240=1),0,IF(Paths!$P$240="Complete",IF(C2570=10,Paths!$I$240,0),"n.a."))</f>
        <v>0</v>
      </c>
      <c r="M2570" s="16">
        <f>IF(NOT(Paths!$C$240=1),0,IF(Paths!$P$240="Complete",IF(AND(Paths!$D$240="EV",Paths!$E$240&lt;120,Paths!$E$240+'Operating costs'!$B$65&gt;Paths!$E$240,Paths!$E$240+'Operating costs'!$B$65&lt;=120,IF(Paths!$E$240+'Operating costs'!$B$65=0,C2570=0,AND(C2570&gt;0,Paths!$E$240+'Operating costs'!$B$65&gt;(C2570-1)*12,Paths!$E$240+'Operating costs'!$B$65&lt;=C2570*12))),'Operating costs'!$B$64,0)+IF(AND('Operating costs'!$B$67&gt;0,'Operating costs'!$B$67&lt;=120,OR(Paths!$D$240="ICE",'Operating costs'!$B$67&lt;=Paths!$E$240),IF('Operating costs'!$B$67=0,C2570=0,AND(C2570&gt;0,'Operating costs'!$B$67&gt;(C2570-1)*12,'Operating costs'!$B$67&lt;=C2570*12))),'Operating costs'!$B$66,0),"n.a."))</f>
        <v>0</v>
      </c>
      <c r="N2570" s="16">
        <f>IF(NOT(Paths!$C$240=1),0,IF(Paths!$P$240="Complete",SUM(G2570:I2570)-J2570-K2570-L2570+M2570+IF(C2570=0,Paths!$F$240,0)+IF(IF(Paths!$E$240=0,C2570=0,AND(C2570&gt;0,Paths!$E$240&gt;(C2570-1)*12,Paths!$E$240&lt;=C2570*12)),VLOOKUP(A2570,'Fleet register'!$A$7:$S$106,16,FALSE),0),"n.a."))</f>
        <v>0</v>
      </c>
      <c r="O2570" s="16">
        <f>IF(NOT(Paths!$C$240=1),0,IF(Paths!$P$240="Complete",N2570-IF(C2570=0,Paths!$F$240,0),"n.a."))</f>
        <v>0</v>
      </c>
      <c r="P2570" s="16">
        <f>IF(NOT(Paths!$C$240=1),0,IF(Paths!$P$240="Complete",O2570+L2570,"n.a."))</f>
        <v>0</v>
      </c>
      <c r="Q2570" s="16">
        <f>IF(NOT(Paths!$C$240=1),0,IF(Paths!$P$240="Complete",N2570*(1+'Operating costs'!$B$54)^-C2570,"n.a."))</f>
        <v>0</v>
      </c>
      <c r="R2570" s="16">
        <f>IF(NOT(Paths!$C$240=1),0,IF(Paths!$P$240="Complete",IF(AND(C2570=0,Paths!$E$240=0),I2570-J2570-K2570+VLOOKUP(A2570,'Fleet register'!$A$7:$S$106,15,FALSE)+VLOOKUP(A2570,'Fleet register'!$A$7:$S$106,16,FALSE),0),"n.a."))</f>
        <v>0</v>
      </c>
      <c r="S2570" s="1">
        <f>IF(NOT(Paths!$C$240=1),0,IF(Paths!$P$240="Complete",IF(C2570=0,0,Paths!$S$240*Paths!$R$240),"n.a."))</f>
        <v>0</v>
      </c>
      <c r="T2570" s="1">
        <f>IF(NOT(Paths!$C$240=1),0,IF(Paths!$P$240="Complete",IF(C2570=0,0,VLOOKUP(A2570,'Fleet register'!$A$7:$S$106,9,FALSE)*Paths!$R$240),"n.a."))</f>
        <v>0</v>
      </c>
    </row>
    <row r="2571" spans="1:20" ht="24" customHeight="1">
      <c r="A2571" s="1" t="str">
        <f>Paths!$A$240</f>
        <v>T059</v>
      </c>
      <c r="B2571" s="1">
        <f>Paths!$B$240</f>
        <v>1</v>
      </c>
      <c r="C2571" s="1">
        <v>1</v>
      </c>
      <c r="D2571" s="1">
        <v>240</v>
      </c>
      <c r="E2571" s="1">
        <f>IF(OR(Paths!$C$240=0,C2571=0),0,MAX(0,MIN(C2571*12,Paths!$E$240)-(C2571-1)*12))</f>
        <v>0</v>
      </c>
      <c r="F2571" s="1">
        <f>IF(OR(Paths!$C$240=0,C2571=0),0,12-E2571)</f>
        <v>0</v>
      </c>
      <c r="G2571" s="16">
        <f>IF(NOT(Paths!$C$240=1),0,IF(Paths!$P$240="Complete",E2571/12*(Paths!$J$240*(1+'Operating costs'!$B$51)^MAX(0,C2571-1)+Paths!$K$240*(1+'Operating costs'!$B$53)^MAX(0,C2571-1)),"n.a."))</f>
        <v>0</v>
      </c>
      <c r="H2571" s="16">
        <f>IF(NOT(Paths!$C$240=1),0,IF(Paths!$P$240="Complete",F2571/12*(Paths!$L$240*(1+IF(Paths!$D$240="EV",'Operating costs'!$B$52,'Operating costs'!$B$51))^MAX(0,C2571-1)+Paths!$M$240*(1+'Operating costs'!$B$53)^MAX(0,C2571-1)),"n.a."))</f>
        <v>0</v>
      </c>
      <c r="I2571" s="16">
        <f>IF(NOT(Paths!$C$240=1),0,IF(Paths!$P$240="Complete",IF(IF(Paths!$E$240=0,C2571=0,AND(C2571&gt;0,Paths!$E$240&gt;(C2571-1)*12,Paths!$E$240&lt;=C2571*12)),Paths!$G$240,0),"n.a."))</f>
        <v>0</v>
      </c>
      <c r="J2571" s="16">
        <f>IF(NOT(Paths!$C$240=1),0,IF(Paths!$P$240="Complete",IF(IF(Paths!$E$240=0,C2571=0,AND(C2571&gt;0,Paths!$E$240&gt;(C2571-1)*12,Paths!$E$240&lt;=C2571*12)),Paths!$H$240,0),"n.a."))</f>
        <v>0</v>
      </c>
      <c r="K2571" s="16">
        <f>IF(NOT(Paths!$C$240=1),0,IF(Paths!$P$240="Complete",IF(IF(Paths!$O$240=0,C2571=0,AND(C2571&gt;0,Paths!$O$240&gt;(C2571-1)*12,Paths!$O$240&lt;=C2571*12)),Paths!$N$240,0),"n.a."))</f>
        <v>0</v>
      </c>
      <c r="L2571" s="16">
        <f>IF(NOT(Paths!$C$240=1),0,IF(Paths!$P$240="Complete",IF(C2571=10,Paths!$I$240,0),"n.a."))</f>
        <v>0</v>
      </c>
      <c r="M2571" s="16">
        <f>IF(NOT(Paths!$C$240=1),0,IF(Paths!$P$240="Complete",IF(AND(Paths!$D$240="EV",Paths!$E$240&lt;120,Paths!$E$240+'Operating costs'!$B$65&gt;Paths!$E$240,Paths!$E$240+'Operating costs'!$B$65&lt;=120,IF(Paths!$E$240+'Operating costs'!$B$65=0,C2571=0,AND(C2571&gt;0,Paths!$E$240+'Operating costs'!$B$65&gt;(C2571-1)*12,Paths!$E$240+'Operating costs'!$B$65&lt;=C2571*12))),'Operating costs'!$B$64,0)+IF(AND('Operating costs'!$B$67&gt;0,'Operating costs'!$B$67&lt;=120,OR(Paths!$D$240="ICE",'Operating costs'!$B$67&lt;=Paths!$E$240),IF('Operating costs'!$B$67=0,C2571=0,AND(C2571&gt;0,'Operating costs'!$B$67&gt;(C2571-1)*12,'Operating costs'!$B$67&lt;=C2571*12))),'Operating costs'!$B$66,0),"n.a."))</f>
        <v>0</v>
      </c>
      <c r="N2571" s="16">
        <f>IF(NOT(Paths!$C$240=1),0,IF(Paths!$P$240="Complete",SUM(G2571:I2571)-J2571-K2571-L2571+M2571+IF(C2571=0,Paths!$F$240,0)+IF(IF(Paths!$E$240=0,C2571=0,AND(C2571&gt;0,Paths!$E$240&gt;(C2571-1)*12,Paths!$E$240&lt;=C2571*12)),VLOOKUP(A2571,'Fleet register'!$A$7:$S$106,16,FALSE),0),"n.a."))</f>
        <v>0</v>
      </c>
      <c r="O2571" s="16">
        <f>IF(NOT(Paths!$C$240=1),0,IF(Paths!$P$240="Complete",N2571-IF(C2571=0,Paths!$F$240,0),"n.a."))</f>
        <v>0</v>
      </c>
      <c r="P2571" s="16">
        <f>IF(NOT(Paths!$C$240=1),0,IF(Paths!$P$240="Complete",O2571+L2571,"n.a."))</f>
        <v>0</v>
      </c>
      <c r="Q2571" s="16">
        <f>IF(NOT(Paths!$C$240=1),0,IF(Paths!$P$240="Complete",N2571*(1+'Operating costs'!$B$54)^-C2571,"n.a."))</f>
        <v>0</v>
      </c>
      <c r="R2571" s="16">
        <f>IF(NOT(Paths!$C$240=1),0,IF(Paths!$P$240="Complete",IF(AND(C2571=0,Paths!$E$240=0),I2571-J2571-K2571+VLOOKUP(A2571,'Fleet register'!$A$7:$S$106,15,FALSE)+VLOOKUP(A2571,'Fleet register'!$A$7:$S$106,16,FALSE),0),"n.a."))</f>
        <v>0</v>
      </c>
      <c r="S2571" s="1">
        <f>IF(NOT(Paths!$C$240=1),0,IF(Paths!$P$240="Complete",IF(C2571=0,0,Paths!$S$240*Paths!$R$240),"n.a."))</f>
        <v>0</v>
      </c>
      <c r="T2571" s="1">
        <f>IF(NOT(Paths!$C$240=1),0,IF(Paths!$P$240="Complete",IF(C2571=0,0,VLOOKUP(A2571,'Fleet register'!$A$7:$S$106,9,FALSE)*Paths!$R$240),"n.a."))</f>
        <v>0</v>
      </c>
    </row>
    <row r="2572" spans="1:20" ht="24" customHeight="1">
      <c r="A2572" s="1" t="str">
        <f>Paths!$A$240</f>
        <v>T059</v>
      </c>
      <c r="B2572" s="1">
        <f>Paths!$B$240</f>
        <v>1</v>
      </c>
      <c r="C2572" s="1">
        <v>2</v>
      </c>
      <c r="D2572" s="1">
        <v>240</v>
      </c>
      <c r="E2572" s="1">
        <f>IF(OR(Paths!$C$240=0,C2572=0),0,MAX(0,MIN(C2572*12,Paths!$E$240)-(C2572-1)*12))</f>
        <v>0</v>
      </c>
      <c r="F2572" s="1">
        <f>IF(OR(Paths!$C$240=0,C2572=0),0,12-E2572)</f>
        <v>0</v>
      </c>
      <c r="G2572" s="16">
        <f>IF(NOT(Paths!$C$240=1),0,IF(Paths!$P$240="Complete",E2572/12*(Paths!$J$240*(1+'Operating costs'!$B$51)^MAX(0,C2572-1)+Paths!$K$240*(1+'Operating costs'!$B$53)^MAX(0,C2572-1)),"n.a."))</f>
        <v>0</v>
      </c>
      <c r="H2572" s="16">
        <f>IF(NOT(Paths!$C$240=1),0,IF(Paths!$P$240="Complete",F2572/12*(Paths!$L$240*(1+IF(Paths!$D$240="EV",'Operating costs'!$B$52,'Operating costs'!$B$51))^MAX(0,C2572-1)+Paths!$M$240*(1+'Operating costs'!$B$53)^MAX(0,C2572-1)),"n.a."))</f>
        <v>0</v>
      </c>
      <c r="I2572" s="16">
        <f>IF(NOT(Paths!$C$240=1),0,IF(Paths!$P$240="Complete",IF(IF(Paths!$E$240=0,C2572=0,AND(C2572&gt;0,Paths!$E$240&gt;(C2572-1)*12,Paths!$E$240&lt;=C2572*12)),Paths!$G$240,0),"n.a."))</f>
        <v>0</v>
      </c>
      <c r="J2572" s="16">
        <f>IF(NOT(Paths!$C$240=1),0,IF(Paths!$P$240="Complete",IF(IF(Paths!$E$240=0,C2572=0,AND(C2572&gt;0,Paths!$E$240&gt;(C2572-1)*12,Paths!$E$240&lt;=C2572*12)),Paths!$H$240,0),"n.a."))</f>
        <v>0</v>
      </c>
      <c r="K2572" s="16">
        <f>IF(NOT(Paths!$C$240=1),0,IF(Paths!$P$240="Complete",IF(IF(Paths!$O$240=0,C2572=0,AND(C2572&gt;0,Paths!$O$240&gt;(C2572-1)*12,Paths!$O$240&lt;=C2572*12)),Paths!$N$240,0),"n.a."))</f>
        <v>0</v>
      </c>
      <c r="L2572" s="16">
        <f>IF(NOT(Paths!$C$240=1),0,IF(Paths!$P$240="Complete",IF(C2572=10,Paths!$I$240,0),"n.a."))</f>
        <v>0</v>
      </c>
      <c r="M2572" s="16">
        <f>IF(NOT(Paths!$C$240=1),0,IF(Paths!$P$240="Complete",IF(AND(Paths!$D$240="EV",Paths!$E$240&lt;120,Paths!$E$240+'Operating costs'!$B$65&gt;Paths!$E$240,Paths!$E$240+'Operating costs'!$B$65&lt;=120,IF(Paths!$E$240+'Operating costs'!$B$65=0,C2572=0,AND(C2572&gt;0,Paths!$E$240+'Operating costs'!$B$65&gt;(C2572-1)*12,Paths!$E$240+'Operating costs'!$B$65&lt;=C2572*12))),'Operating costs'!$B$64,0)+IF(AND('Operating costs'!$B$67&gt;0,'Operating costs'!$B$67&lt;=120,OR(Paths!$D$240="ICE",'Operating costs'!$B$67&lt;=Paths!$E$240),IF('Operating costs'!$B$67=0,C2572=0,AND(C2572&gt;0,'Operating costs'!$B$67&gt;(C2572-1)*12,'Operating costs'!$B$67&lt;=C2572*12))),'Operating costs'!$B$66,0),"n.a."))</f>
        <v>0</v>
      </c>
      <c r="N2572" s="16">
        <f>IF(NOT(Paths!$C$240=1),0,IF(Paths!$P$240="Complete",SUM(G2572:I2572)-J2572-K2572-L2572+M2572+IF(C2572=0,Paths!$F$240,0)+IF(IF(Paths!$E$240=0,C2572=0,AND(C2572&gt;0,Paths!$E$240&gt;(C2572-1)*12,Paths!$E$240&lt;=C2572*12)),VLOOKUP(A2572,'Fleet register'!$A$7:$S$106,16,FALSE),0),"n.a."))</f>
        <v>0</v>
      </c>
      <c r="O2572" s="16">
        <f>IF(NOT(Paths!$C$240=1),0,IF(Paths!$P$240="Complete",N2572-IF(C2572=0,Paths!$F$240,0),"n.a."))</f>
        <v>0</v>
      </c>
      <c r="P2572" s="16">
        <f>IF(NOT(Paths!$C$240=1),0,IF(Paths!$P$240="Complete",O2572+L2572,"n.a."))</f>
        <v>0</v>
      </c>
      <c r="Q2572" s="16">
        <f>IF(NOT(Paths!$C$240=1),0,IF(Paths!$P$240="Complete",N2572*(1+'Operating costs'!$B$54)^-C2572,"n.a."))</f>
        <v>0</v>
      </c>
      <c r="R2572" s="16">
        <f>IF(NOT(Paths!$C$240=1),0,IF(Paths!$P$240="Complete",IF(AND(C2572=0,Paths!$E$240=0),I2572-J2572-K2572+VLOOKUP(A2572,'Fleet register'!$A$7:$S$106,15,FALSE)+VLOOKUP(A2572,'Fleet register'!$A$7:$S$106,16,FALSE),0),"n.a."))</f>
        <v>0</v>
      </c>
      <c r="S2572" s="1">
        <f>IF(NOT(Paths!$C$240=1),0,IF(Paths!$P$240="Complete",IF(C2572=0,0,Paths!$S$240*Paths!$R$240),"n.a."))</f>
        <v>0</v>
      </c>
      <c r="T2572" s="1">
        <f>IF(NOT(Paths!$C$240=1),0,IF(Paths!$P$240="Complete",IF(C2572=0,0,VLOOKUP(A2572,'Fleet register'!$A$7:$S$106,9,FALSE)*Paths!$R$240),"n.a."))</f>
        <v>0</v>
      </c>
    </row>
    <row r="2573" spans="1:20" ht="24" customHeight="1">
      <c r="A2573" s="1" t="str">
        <f>Paths!$A$240</f>
        <v>T059</v>
      </c>
      <c r="B2573" s="1">
        <f>Paths!$B$240</f>
        <v>1</v>
      </c>
      <c r="C2573" s="1">
        <v>3</v>
      </c>
      <c r="D2573" s="1">
        <v>240</v>
      </c>
      <c r="E2573" s="1">
        <f>IF(OR(Paths!$C$240=0,C2573=0),0,MAX(0,MIN(C2573*12,Paths!$E$240)-(C2573-1)*12))</f>
        <v>0</v>
      </c>
      <c r="F2573" s="1">
        <f>IF(OR(Paths!$C$240=0,C2573=0),0,12-E2573)</f>
        <v>0</v>
      </c>
      <c r="G2573" s="16">
        <f>IF(NOT(Paths!$C$240=1),0,IF(Paths!$P$240="Complete",E2573/12*(Paths!$J$240*(1+'Operating costs'!$B$51)^MAX(0,C2573-1)+Paths!$K$240*(1+'Operating costs'!$B$53)^MAX(0,C2573-1)),"n.a."))</f>
        <v>0</v>
      </c>
      <c r="H2573" s="16">
        <f>IF(NOT(Paths!$C$240=1),0,IF(Paths!$P$240="Complete",F2573/12*(Paths!$L$240*(1+IF(Paths!$D$240="EV",'Operating costs'!$B$52,'Operating costs'!$B$51))^MAX(0,C2573-1)+Paths!$M$240*(1+'Operating costs'!$B$53)^MAX(0,C2573-1)),"n.a."))</f>
        <v>0</v>
      </c>
      <c r="I2573" s="16">
        <f>IF(NOT(Paths!$C$240=1),0,IF(Paths!$P$240="Complete",IF(IF(Paths!$E$240=0,C2573=0,AND(C2573&gt;0,Paths!$E$240&gt;(C2573-1)*12,Paths!$E$240&lt;=C2573*12)),Paths!$G$240,0),"n.a."))</f>
        <v>0</v>
      </c>
      <c r="J2573" s="16">
        <f>IF(NOT(Paths!$C$240=1),0,IF(Paths!$P$240="Complete",IF(IF(Paths!$E$240=0,C2573=0,AND(C2573&gt;0,Paths!$E$240&gt;(C2573-1)*12,Paths!$E$240&lt;=C2573*12)),Paths!$H$240,0),"n.a."))</f>
        <v>0</v>
      </c>
      <c r="K2573" s="16">
        <f>IF(NOT(Paths!$C$240=1),0,IF(Paths!$P$240="Complete",IF(IF(Paths!$O$240=0,C2573=0,AND(C2573&gt;0,Paths!$O$240&gt;(C2573-1)*12,Paths!$O$240&lt;=C2573*12)),Paths!$N$240,0),"n.a."))</f>
        <v>0</v>
      </c>
      <c r="L2573" s="16">
        <f>IF(NOT(Paths!$C$240=1),0,IF(Paths!$P$240="Complete",IF(C2573=10,Paths!$I$240,0),"n.a."))</f>
        <v>0</v>
      </c>
      <c r="M2573" s="16">
        <f>IF(NOT(Paths!$C$240=1),0,IF(Paths!$P$240="Complete",IF(AND(Paths!$D$240="EV",Paths!$E$240&lt;120,Paths!$E$240+'Operating costs'!$B$65&gt;Paths!$E$240,Paths!$E$240+'Operating costs'!$B$65&lt;=120,IF(Paths!$E$240+'Operating costs'!$B$65=0,C2573=0,AND(C2573&gt;0,Paths!$E$240+'Operating costs'!$B$65&gt;(C2573-1)*12,Paths!$E$240+'Operating costs'!$B$65&lt;=C2573*12))),'Operating costs'!$B$64,0)+IF(AND('Operating costs'!$B$67&gt;0,'Operating costs'!$B$67&lt;=120,OR(Paths!$D$240="ICE",'Operating costs'!$B$67&lt;=Paths!$E$240),IF('Operating costs'!$B$67=0,C2573=0,AND(C2573&gt;0,'Operating costs'!$B$67&gt;(C2573-1)*12,'Operating costs'!$B$67&lt;=C2573*12))),'Operating costs'!$B$66,0),"n.a."))</f>
        <v>0</v>
      </c>
      <c r="N2573" s="16">
        <f>IF(NOT(Paths!$C$240=1),0,IF(Paths!$P$240="Complete",SUM(G2573:I2573)-J2573-K2573-L2573+M2573+IF(C2573=0,Paths!$F$240,0)+IF(IF(Paths!$E$240=0,C2573=0,AND(C2573&gt;0,Paths!$E$240&gt;(C2573-1)*12,Paths!$E$240&lt;=C2573*12)),VLOOKUP(A2573,'Fleet register'!$A$7:$S$106,16,FALSE),0),"n.a."))</f>
        <v>0</v>
      </c>
      <c r="O2573" s="16">
        <f>IF(NOT(Paths!$C$240=1),0,IF(Paths!$P$240="Complete",N2573-IF(C2573=0,Paths!$F$240,0),"n.a."))</f>
        <v>0</v>
      </c>
      <c r="P2573" s="16">
        <f>IF(NOT(Paths!$C$240=1),0,IF(Paths!$P$240="Complete",O2573+L2573,"n.a."))</f>
        <v>0</v>
      </c>
      <c r="Q2573" s="16">
        <f>IF(NOT(Paths!$C$240=1),0,IF(Paths!$P$240="Complete",N2573*(1+'Operating costs'!$B$54)^-C2573,"n.a."))</f>
        <v>0</v>
      </c>
      <c r="R2573" s="16">
        <f>IF(NOT(Paths!$C$240=1),0,IF(Paths!$P$240="Complete",IF(AND(C2573=0,Paths!$E$240=0),I2573-J2573-K2573+VLOOKUP(A2573,'Fleet register'!$A$7:$S$106,15,FALSE)+VLOOKUP(A2573,'Fleet register'!$A$7:$S$106,16,FALSE),0),"n.a."))</f>
        <v>0</v>
      </c>
      <c r="S2573" s="1">
        <f>IF(NOT(Paths!$C$240=1),0,IF(Paths!$P$240="Complete",IF(C2573=0,0,Paths!$S$240*Paths!$R$240),"n.a."))</f>
        <v>0</v>
      </c>
      <c r="T2573" s="1">
        <f>IF(NOT(Paths!$C$240=1),0,IF(Paths!$P$240="Complete",IF(C2573=0,0,VLOOKUP(A2573,'Fleet register'!$A$7:$S$106,9,FALSE)*Paths!$R$240),"n.a."))</f>
        <v>0</v>
      </c>
    </row>
    <row r="2574" spans="1:20" ht="24" customHeight="1">
      <c r="A2574" s="1" t="str">
        <f>Paths!$A$240</f>
        <v>T059</v>
      </c>
      <c r="B2574" s="1">
        <f>Paths!$B$240</f>
        <v>1</v>
      </c>
      <c r="C2574" s="1">
        <v>4</v>
      </c>
      <c r="D2574" s="1">
        <v>240</v>
      </c>
      <c r="E2574" s="1">
        <f>IF(OR(Paths!$C$240=0,C2574=0),0,MAX(0,MIN(C2574*12,Paths!$E$240)-(C2574-1)*12))</f>
        <v>0</v>
      </c>
      <c r="F2574" s="1">
        <f>IF(OR(Paths!$C$240=0,C2574=0),0,12-E2574)</f>
        <v>0</v>
      </c>
      <c r="G2574" s="16">
        <f>IF(NOT(Paths!$C$240=1),0,IF(Paths!$P$240="Complete",E2574/12*(Paths!$J$240*(1+'Operating costs'!$B$51)^MAX(0,C2574-1)+Paths!$K$240*(1+'Operating costs'!$B$53)^MAX(0,C2574-1)),"n.a."))</f>
        <v>0</v>
      </c>
      <c r="H2574" s="16">
        <f>IF(NOT(Paths!$C$240=1),0,IF(Paths!$P$240="Complete",F2574/12*(Paths!$L$240*(1+IF(Paths!$D$240="EV",'Operating costs'!$B$52,'Operating costs'!$B$51))^MAX(0,C2574-1)+Paths!$M$240*(1+'Operating costs'!$B$53)^MAX(0,C2574-1)),"n.a."))</f>
        <v>0</v>
      </c>
      <c r="I2574" s="16">
        <f>IF(NOT(Paths!$C$240=1),0,IF(Paths!$P$240="Complete",IF(IF(Paths!$E$240=0,C2574=0,AND(C2574&gt;0,Paths!$E$240&gt;(C2574-1)*12,Paths!$E$240&lt;=C2574*12)),Paths!$G$240,0),"n.a."))</f>
        <v>0</v>
      </c>
      <c r="J2574" s="16">
        <f>IF(NOT(Paths!$C$240=1),0,IF(Paths!$P$240="Complete",IF(IF(Paths!$E$240=0,C2574=0,AND(C2574&gt;0,Paths!$E$240&gt;(C2574-1)*12,Paths!$E$240&lt;=C2574*12)),Paths!$H$240,0),"n.a."))</f>
        <v>0</v>
      </c>
      <c r="K2574" s="16">
        <f>IF(NOT(Paths!$C$240=1),0,IF(Paths!$P$240="Complete",IF(IF(Paths!$O$240=0,C2574=0,AND(C2574&gt;0,Paths!$O$240&gt;(C2574-1)*12,Paths!$O$240&lt;=C2574*12)),Paths!$N$240,0),"n.a."))</f>
        <v>0</v>
      </c>
      <c r="L2574" s="16">
        <f>IF(NOT(Paths!$C$240=1),0,IF(Paths!$P$240="Complete",IF(C2574=10,Paths!$I$240,0),"n.a."))</f>
        <v>0</v>
      </c>
      <c r="M2574" s="16">
        <f>IF(NOT(Paths!$C$240=1),0,IF(Paths!$P$240="Complete",IF(AND(Paths!$D$240="EV",Paths!$E$240&lt;120,Paths!$E$240+'Operating costs'!$B$65&gt;Paths!$E$240,Paths!$E$240+'Operating costs'!$B$65&lt;=120,IF(Paths!$E$240+'Operating costs'!$B$65=0,C2574=0,AND(C2574&gt;0,Paths!$E$240+'Operating costs'!$B$65&gt;(C2574-1)*12,Paths!$E$240+'Operating costs'!$B$65&lt;=C2574*12))),'Operating costs'!$B$64,0)+IF(AND('Operating costs'!$B$67&gt;0,'Operating costs'!$B$67&lt;=120,OR(Paths!$D$240="ICE",'Operating costs'!$B$67&lt;=Paths!$E$240),IF('Operating costs'!$B$67=0,C2574=0,AND(C2574&gt;0,'Operating costs'!$B$67&gt;(C2574-1)*12,'Operating costs'!$B$67&lt;=C2574*12))),'Operating costs'!$B$66,0),"n.a."))</f>
        <v>0</v>
      </c>
      <c r="N2574" s="16">
        <f>IF(NOT(Paths!$C$240=1),0,IF(Paths!$P$240="Complete",SUM(G2574:I2574)-J2574-K2574-L2574+M2574+IF(C2574=0,Paths!$F$240,0)+IF(IF(Paths!$E$240=0,C2574=0,AND(C2574&gt;0,Paths!$E$240&gt;(C2574-1)*12,Paths!$E$240&lt;=C2574*12)),VLOOKUP(A2574,'Fleet register'!$A$7:$S$106,16,FALSE),0),"n.a."))</f>
        <v>0</v>
      </c>
      <c r="O2574" s="16">
        <f>IF(NOT(Paths!$C$240=1),0,IF(Paths!$P$240="Complete",N2574-IF(C2574=0,Paths!$F$240,0),"n.a."))</f>
        <v>0</v>
      </c>
      <c r="P2574" s="16">
        <f>IF(NOT(Paths!$C$240=1),0,IF(Paths!$P$240="Complete",O2574+L2574,"n.a."))</f>
        <v>0</v>
      </c>
      <c r="Q2574" s="16">
        <f>IF(NOT(Paths!$C$240=1),0,IF(Paths!$P$240="Complete",N2574*(1+'Operating costs'!$B$54)^-C2574,"n.a."))</f>
        <v>0</v>
      </c>
      <c r="R2574" s="16">
        <f>IF(NOT(Paths!$C$240=1),0,IF(Paths!$P$240="Complete",IF(AND(C2574=0,Paths!$E$240=0),I2574-J2574-K2574+VLOOKUP(A2574,'Fleet register'!$A$7:$S$106,15,FALSE)+VLOOKUP(A2574,'Fleet register'!$A$7:$S$106,16,FALSE),0),"n.a."))</f>
        <v>0</v>
      </c>
      <c r="S2574" s="1">
        <f>IF(NOT(Paths!$C$240=1),0,IF(Paths!$P$240="Complete",IF(C2574=0,0,Paths!$S$240*Paths!$R$240),"n.a."))</f>
        <v>0</v>
      </c>
      <c r="T2574" s="1">
        <f>IF(NOT(Paths!$C$240=1),0,IF(Paths!$P$240="Complete",IF(C2574=0,0,VLOOKUP(A2574,'Fleet register'!$A$7:$S$106,9,FALSE)*Paths!$R$240),"n.a."))</f>
        <v>0</v>
      </c>
    </row>
    <row r="2575" spans="1:20" ht="24" customHeight="1">
      <c r="A2575" s="1" t="str">
        <f>Paths!$A$240</f>
        <v>T059</v>
      </c>
      <c r="B2575" s="1">
        <f>Paths!$B$240</f>
        <v>1</v>
      </c>
      <c r="C2575" s="1">
        <v>5</v>
      </c>
      <c r="D2575" s="1">
        <v>240</v>
      </c>
      <c r="E2575" s="1">
        <f>IF(OR(Paths!$C$240=0,C2575=0),0,MAX(0,MIN(C2575*12,Paths!$E$240)-(C2575-1)*12))</f>
        <v>0</v>
      </c>
      <c r="F2575" s="1">
        <f>IF(OR(Paths!$C$240=0,C2575=0),0,12-E2575)</f>
        <v>0</v>
      </c>
      <c r="G2575" s="16">
        <f>IF(NOT(Paths!$C$240=1),0,IF(Paths!$P$240="Complete",E2575/12*(Paths!$J$240*(1+'Operating costs'!$B$51)^MAX(0,C2575-1)+Paths!$K$240*(1+'Operating costs'!$B$53)^MAX(0,C2575-1)),"n.a."))</f>
        <v>0</v>
      </c>
      <c r="H2575" s="16">
        <f>IF(NOT(Paths!$C$240=1),0,IF(Paths!$P$240="Complete",F2575/12*(Paths!$L$240*(1+IF(Paths!$D$240="EV",'Operating costs'!$B$52,'Operating costs'!$B$51))^MAX(0,C2575-1)+Paths!$M$240*(1+'Operating costs'!$B$53)^MAX(0,C2575-1)),"n.a."))</f>
        <v>0</v>
      </c>
      <c r="I2575" s="16">
        <f>IF(NOT(Paths!$C$240=1),0,IF(Paths!$P$240="Complete",IF(IF(Paths!$E$240=0,C2575=0,AND(C2575&gt;0,Paths!$E$240&gt;(C2575-1)*12,Paths!$E$240&lt;=C2575*12)),Paths!$G$240,0),"n.a."))</f>
        <v>0</v>
      </c>
      <c r="J2575" s="16">
        <f>IF(NOT(Paths!$C$240=1),0,IF(Paths!$P$240="Complete",IF(IF(Paths!$E$240=0,C2575=0,AND(C2575&gt;0,Paths!$E$240&gt;(C2575-1)*12,Paths!$E$240&lt;=C2575*12)),Paths!$H$240,0),"n.a."))</f>
        <v>0</v>
      </c>
      <c r="K2575" s="16">
        <f>IF(NOT(Paths!$C$240=1),0,IF(Paths!$P$240="Complete",IF(IF(Paths!$O$240=0,C2575=0,AND(C2575&gt;0,Paths!$O$240&gt;(C2575-1)*12,Paths!$O$240&lt;=C2575*12)),Paths!$N$240,0),"n.a."))</f>
        <v>0</v>
      </c>
      <c r="L2575" s="16">
        <f>IF(NOT(Paths!$C$240=1),0,IF(Paths!$P$240="Complete",IF(C2575=10,Paths!$I$240,0),"n.a."))</f>
        <v>0</v>
      </c>
      <c r="M2575" s="16">
        <f>IF(NOT(Paths!$C$240=1),0,IF(Paths!$P$240="Complete",IF(AND(Paths!$D$240="EV",Paths!$E$240&lt;120,Paths!$E$240+'Operating costs'!$B$65&gt;Paths!$E$240,Paths!$E$240+'Operating costs'!$B$65&lt;=120,IF(Paths!$E$240+'Operating costs'!$B$65=0,C2575=0,AND(C2575&gt;0,Paths!$E$240+'Operating costs'!$B$65&gt;(C2575-1)*12,Paths!$E$240+'Operating costs'!$B$65&lt;=C2575*12))),'Operating costs'!$B$64,0)+IF(AND('Operating costs'!$B$67&gt;0,'Operating costs'!$B$67&lt;=120,OR(Paths!$D$240="ICE",'Operating costs'!$B$67&lt;=Paths!$E$240),IF('Operating costs'!$B$67=0,C2575=0,AND(C2575&gt;0,'Operating costs'!$B$67&gt;(C2575-1)*12,'Operating costs'!$B$67&lt;=C2575*12))),'Operating costs'!$B$66,0),"n.a."))</f>
        <v>0</v>
      </c>
      <c r="N2575" s="16">
        <f>IF(NOT(Paths!$C$240=1),0,IF(Paths!$P$240="Complete",SUM(G2575:I2575)-J2575-K2575-L2575+M2575+IF(C2575=0,Paths!$F$240,0)+IF(IF(Paths!$E$240=0,C2575=0,AND(C2575&gt;0,Paths!$E$240&gt;(C2575-1)*12,Paths!$E$240&lt;=C2575*12)),VLOOKUP(A2575,'Fleet register'!$A$7:$S$106,16,FALSE),0),"n.a."))</f>
        <v>0</v>
      </c>
      <c r="O2575" s="16">
        <f>IF(NOT(Paths!$C$240=1),0,IF(Paths!$P$240="Complete",N2575-IF(C2575=0,Paths!$F$240,0),"n.a."))</f>
        <v>0</v>
      </c>
      <c r="P2575" s="16">
        <f>IF(NOT(Paths!$C$240=1),0,IF(Paths!$P$240="Complete",O2575+L2575,"n.a."))</f>
        <v>0</v>
      </c>
      <c r="Q2575" s="16">
        <f>IF(NOT(Paths!$C$240=1),0,IF(Paths!$P$240="Complete",N2575*(1+'Operating costs'!$B$54)^-C2575,"n.a."))</f>
        <v>0</v>
      </c>
      <c r="R2575" s="16">
        <f>IF(NOT(Paths!$C$240=1),0,IF(Paths!$P$240="Complete",IF(AND(C2575=0,Paths!$E$240=0),I2575-J2575-K2575+VLOOKUP(A2575,'Fleet register'!$A$7:$S$106,15,FALSE)+VLOOKUP(A2575,'Fleet register'!$A$7:$S$106,16,FALSE),0),"n.a."))</f>
        <v>0</v>
      </c>
      <c r="S2575" s="1">
        <f>IF(NOT(Paths!$C$240=1),0,IF(Paths!$P$240="Complete",IF(C2575=0,0,Paths!$S$240*Paths!$R$240),"n.a."))</f>
        <v>0</v>
      </c>
      <c r="T2575" s="1">
        <f>IF(NOT(Paths!$C$240=1),0,IF(Paths!$P$240="Complete",IF(C2575=0,0,VLOOKUP(A2575,'Fleet register'!$A$7:$S$106,9,FALSE)*Paths!$R$240),"n.a."))</f>
        <v>0</v>
      </c>
    </row>
    <row r="2576" spans="1:20" ht="24" customHeight="1">
      <c r="A2576" s="1" t="str">
        <f>Paths!$A$240</f>
        <v>T059</v>
      </c>
      <c r="B2576" s="1">
        <f>Paths!$B$240</f>
        <v>1</v>
      </c>
      <c r="C2576" s="1">
        <v>6</v>
      </c>
      <c r="D2576" s="1">
        <v>240</v>
      </c>
      <c r="E2576" s="1">
        <f>IF(OR(Paths!$C$240=0,C2576=0),0,MAX(0,MIN(C2576*12,Paths!$E$240)-(C2576-1)*12))</f>
        <v>0</v>
      </c>
      <c r="F2576" s="1">
        <f>IF(OR(Paths!$C$240=0,C2576=0),0,12-E2576)</f>
        <v>0</v>
      </c>
      <c r="G2576" s="16">
        <f>IF(NOT(Paths!$C$240=1),0,IF(Paths!$P$240="Complete",E2576/12*(Paths!$J$240*(1+'Operating costs'!$B$51)^MAX(0,C2576-1)+Paths!$K$240*(1+'Operating costs'!$B$53)^MAX(0,C2576-1)),"n.a."))</f>
        <v>0</v>
      </c>
      <c r="H2576" s="16">
        <f>IF(NOT(Paths!$C$240=1),0,IF(Paths!$P$240="Complete",F2576/12*(Paths!$L$240*(1+IF(Paths!$D$240="EV",'Operating costs'!$B$52,'Operating costs'!$B$51))^MAX(0,C2576-1)+Paths!$M$240*(1+'Operating costs'!$B$53)^MAX(0,C2576-1)),"n.a."))</f>
        <v>0</v>
      </c>
      <c r="I2576" s="16">
        <f>IF(NOT(Paths!$C$240=1),0,IF(Paths!$P$240="Complete",IF(IF(Paths!$E$240=0,C2576=0,AND(C2576&gt;0,Paths!$E$240&gt;(C2576-1)*12,Paths!$E$240&lt;=C2576*12)),Paths!$G$240,0),"n.a."))</f>
        <v>0</v>
      </c>
      <c r="J2576" s="16">
        <f>IF(NOT(Paths!$C$240=1),0,IF(Paths!$P$240="Complete",IF(IF(Paths!$E$240=0,C2576=0,AND(C2576&gt;0,Paths!$E$240&gt;(C2576-1)*12,Paths!$E$240&lt;=C2576*12)),Paths!$H$240,0),"n.a."))</f>
        <v>0</v>
      </c>
      <c r="K2576" s="16">
        <f>IF(NOT(Paths!$C$240=1),0,IF(Paths!$P$240="Complete",IF(IF(Paths!$O$240=0,C2576=0,AND(C2576&gt;0,Paths!$O$240&gt;(C2576-1)*12,Paths!$O$240&lt;=C2576*12)),Paths!$N$240,0),"n.a."))</f>
        <v>0</v>
      </c>
      <c r="L2576" s="16">
        <f>IF(NOT(Paths!$C$240=1),0,IF(Paths!$P$240="Complete",IF(C2576=10,Paths!$I$240,0),"n.a."))</f>
        <v>0</v>
      </c>
      <c r="M2576" s="16">
        <f>IF(NOT(Paths!$C$240=1),0,IF(Paths!$P$240="Complete",IF(AND(Paths!$D$240="EV",Paths!$E$240&lt;120,Paths!$E$240+'Operating costs'!$B$65&gt;Paths!$E$240,Paths!$E$240+'Operating costs'!$B$65&lt;=120,IF(Paths!$E$240+'Operating costs'!$B$65=0,C2576=0,AND(C2576&gt;0,Paths!$E$240+'Operating costs'!$B$65&gt;(C2576-1)*12,Paths!$E$240+'Operating costs'!$B$65&lt;=C2576*12))),'Operating costs'!$B$64,0)+IF(AND('Operating costs'!$B$67&gt;0,'Operating costs'!$B$67&lt;=120,OR(Paths!$D$240="ICE",'Operating costs'!$B$67&lt;=Paths!$E$240),IF('Operating costs'!$B$67=0,C2576=0,AND(C2576&gt;0,'Operating costs'!$B$67&gt;(C2576-1)*12,'Operating costs'!$B$67&lt;=C2576*12))),'Operating costs'!$B$66,0),"n.a."))</f>
        <v>0</v>
      </c>
      <c r="N2576" s="16">
        <f>IF(NOT(Paths!$C$240=1),0,IF(Paths!$P$240="Complete",SUM(G2576:I2576)-J2576-K2576-L2576+M2576+IF(C2576=0,Paths!$F$240,0)+IF(IF(Paths!$E$240=0,C2576=0,AND(C2576&gt;0,Paths!$E$240&gt;(C2576-1)*12,Paths!$E$240&lt;=C2576*12)),VLOOKUP(A2576,'Fleet register'!$A$7:$S$106,16,FALSE),0),"n.a."))</f>
        <v>0</v>
      </c>
      <c r="O2576" s="16">
        <f>IF(NOT(Paths!$C$240=1),0,IF(Paths!$P$240="Complete",N2576-IF(C2576=0,Paths!$F$240,0),"n.a."))</f>
        <v>0</v>
      </c>
      <c r="P2576" s="16">
        <f>IF(NOT(Paths!$C$240=1),0,IF(Paths!$P$240="Complete",O2576+L2576,"n.a."))</f>
        <v>0</v>
      </c>
      <c r="Q2576" s="16">
        <f>IF(NOT(Paths!$C$240=1),0,IF(Paths!$P$240="Complete",N2576*(1+'Operating costs'!$B$54)^-C2576,"n.a."))</f>
        <v>0</v>
      </c>
      <c r="R2576" s="16">
        <f>IF(NOT(Paths!$C$240=1),0,IF(Paths!$P$240="Complete",IF(AND(C2576=0,Paths!$E$240=0),I2576-J2576-K2576+VLOOKUP(A2576,'Fleet register'!$A$7:$S$106,15,FALSE)+VLOOKUP(A2576,'Fleet register'!$A$7:$S$106,16,FALSE),0),"n.a."))</f>
        <v>0</v>
      </c>
      <c r="S2576" s="1">
        <f>IF(NOT(Paths!$C$240=1),0,IF(Paths!$P$240="Complete",IF(C2576=0,0,Paths!$S$240*Paths!$R$240),"n.a."))</f>
        <v>0</v>
      </c>
      <c r="T2576" s="1">
        <f>IF(NOT(Paths!$C$240=1),0,IF(Paths!$P$240="Complete",IF(C2576=0,0,VLOOKUP(A2576,'Fleet register'!$A$7:$S$106,9,FALSE)*Paths!$R$240),"n.a."))</f>
        <v>0</v>
      </c>
    </row>
    <row r="2577" spans="1:20" ht="24" customHeight="1">
      <c r="A2577" s="1" t="str">
        <f>Paths!$A$240</f>
        <v>T059</v>
      </c>
      <c r="B2577" s="1">
        <f>Paths!$B$240</f>
        <v>1</v>
      </c>
      <c r="C2577" s="1">
        <v>7</v>
      </c>
      <c r="D2577" s="1">
        <v>240</v>
      </c>
      <c r="E2577" s="1">
        <f>IF(OR(Paths!$C$240=0,C2577=0),0,MAX(0,MIN(C2577*12,Paths!$E$240)-(C2577-1)*12))</f>
        <v>0</v>
      </c>
      <c r="F2577" s="1">
        <f>IF(OR(Paths!$C$240=0,C2577=0),0,12-E2577)</f>
        <v>0</v>
      </c>
      <c r="G2577" s="16">
        <f>IF(NOT(Paths!$C$240=1),0,IF(Paths!$P$240="Complete",E2577/12*(Paths!$J$240*(1+'Operating costs'!$B$51)^MAX(0,C2577-1)+Paths!$K$240*(1+'Operating costs'!$B$53)^MAX(0,C2577-1)),"n.a."))</f>
        <v>0</v>
      </c>
      <c r="H2577" s="16">
        <f>IF(NOT(Paths!$C$240=1),0,IF(Paths!$P$240="Complete",F2577/12*(Paths!$L$240*(1+IF(Paths!$D$240="EV",'Operating costs'!$B$52,'Operating costs'!$B$51))^MAX(0,C2577-1)+Paths!$M$240*(1+'Operating costs'!$B$53)^MAX(0,C2577-1)),"n.a."))</f>
        <v>0</v>
      </c>
      <c r="I2577" s="16">
        <f>IF(NOT(Paths!$C$240=1),0,IF(Paths!$P$240="Complete",IF(IF(Paths!$E$240=0,C2577=0,AND(C2577&gt;0,Paths!$E$240&gt;(C2577-1)*12,Paths!$E$240&lt;=C2577*12)),Paths!$G$240,0),"n.a."))</f>
        <v>0</v>
      </c>
      <c r="J2577" s="16">
        <f>IF(NOT(Paths!$C$240=1),0,IF(Paths!$P$240="Complete",IF(IF(Paths!$E$240=0,C2577=0,AND(C2577&gt;0,Paths!$E$240&gt;(C2577-1)*12,Paths!$E$240&lt;=C2577*12)),Paths!$H$240,0),"n.a."))</f>
        <v>0</v>
      </c>
      <c r="K2577" s="16">
        <f>IF(NOT(Paths!$C$240=1),0,IF(Paths!$P$240="Complete",IF(IF(Paths!$O$240=0,C2577=0,AND(C2577&gt;0,Paths!$O$240&gt;(C2577-1)*12,Paths!$O$240&lt;=C2577*12)),Paths!$N$240,0),"n.a."))</f>
        <v>0</v>
      </c>
      <c r="L2577" s="16">
        <f>IF(NOT(Paths!$C$240=1),0,IF(Paths!$P$240="Complete",IF(C2577=10,Paths!$I$240,0),"n.a."))</f>
        <v>0</v>
      </c>
      <c r="M2577" s="16">
        <f>IF(NOT(Paths!$C$240=1),0,IF(Paths!$P$240="Complete",IF(AND(Paths!$D$240="EV",Paths!$E$240&lt;120,Paths!$E$240+'Operating costs'!$B$65&gt;Paths!$E$240,Paths!$E$240+'Operating costs'!$B$65&lt;=120,IF(Paths!$E$240+'Operating costs'!$B$65=0,C2577=0,AND(C2577&gt;0,Paths!$E$240+'Operating costs'!$B$65&gt;(C2577-1)*12,Paths!$E$240+'Operating costs'!$B$65&lt;=C2577*12))),'Operating costs'!$B$64,0)+IF(AND('Operating costs'!$B$67&gt;0,'Operating costs'!$B$67&lt;=120,OR(Paths!$D$240="ICE",'Operating costs'!$B$67&lt;=Paths!$E$240),IF('Operating costs'!$B$67=0,C2577=0,AND(C2577&gt;0,'Operating costs'!$B$67&gt;(C2577-1)*12,'Operating costs'!$B$67&lt;=C2577*12))),'Operating costs'!$B$66,0),"n.a."))</f>
        <v>0</v>
      </c>
      <c r="N2577" s="16">
        <f>IF(NOT(Paths!$C$240=1),0,IF(Paths!$P$240="Complete",SUM(G2577:I2577)-J2577-K2577-L2577+M2577+IF(C2577=0,Paths!$F$240,0)+IF(IF(Paths!$E$240=0,C2577=0,AND(C2577&gt;0,Paths!$E$240&gt;(C2577-1)*12,Paths!$E$240&lt;=C2577*12)),VLOOKUP(A2577,'Fleet register'!$A$7:$S$106,16,FALSE),0),"n.a."))</f>
        <v>0</v>
      </c>
      <c r="O2577" s="16">
        <f>IF(NOT(Paths!$C$240=1),0,IF(Paths!$P$240="Complete",N2577-IF(C2577=0,Paths!$F$240,0),"n.a."))</f>
        <v>0</v>
      </c>
      <c r="P2577" s="16">
        <f>IF(NOT(Paths!$C$240=1),0,IF(Paths!$P$240="Complete",O2577+L2577,"n.a."))</f>
        <v>0</v>
      </c>
      <c r="Q2577" s="16">
        <f>IF(NOT(Paths!$C$240=1),0,IF(Paths!$P$240="Complete",N2577*(1+'Operating costs'!$B$54)^-C2577,"n.a."))</f>
        <v>0</v>
      </c>
      <c r="R2577" s="16">
        <f>IF(NOT(Paths!$C$240=1),0,IF(Paths!$P$240="Complete",IF(AND(C2577=0,Paths!$E$240=0),I2577-J2577-K2577+VLOOKUP(A2577,'Fleet register'!$A$7:$S$106,15,FALSE)+VLOOKUP(A2577,'Fleet register'!$A$7:$S$106,16,FALSE),0),"n.a."))</f>
        <v>0</v>
      </c>
      <c r="S2577" s="1">
        <f>IF(NOT(Paths!$C$240=1),0,IF(Paths!$P$240="Complete",IF(C2577=0,0,Paths!$S$240*Paths!$R$240),"n.a."))</f>
        <v>0</v>
      </c>
      <c r="T2577" s="1">
        <f>IF(NOT(Paths!$C$240=1),0,IF(Paths!$P$240="Complete",IF(C2577=0,0,VLOOKUP(A2577,'Fleet register'!$A$7:$S$106,9,FALSE)*Paths!$R$240),"n.a."))</f>
        <v>0</v>
      </c>
    </row>
    <row r="2578" spans="1:20" ht="24" customHeight="1">
      <c r="A2578" s="1" t="str">
        <f>Paths!$A$240</f>
        <v>T059</v>
      </c>
      <c r="B2578" s="1">
        <f>Paths!$B$240</f>
        <v>1</v>
      </c>
      <c r="C2578" s="1">
        <v>8</v>
      </c>
      <c r="D2578" s="1">
        <v>240</v>
      </c>
      <c r="E2578" s="1">
        <f>IF(OR(Paths!$C$240=0,C2578=0),0,MAX(0,MIN(C2578*12,Paths!$E$240)-(C2578-1)*12))</f>
        <v>0</v>
      </c>
      <c r="F2578" s="1">
        <f>IF(OR(Paths!$C$240=0,C2578=0),0,12-E2578)</f>
        <v>0</v>
      </c>
      <c r="G2578" s="16">
        <f>IF(NOT(Paths!$C$240=1),0,IF(Paths!$P$240="Complete",E2578/12*(Paths!$J$240*(1+'Operating costs'!$B$51)^MAX(0,C2578-1)+Paths!$K$240*(1+'Operating costs'!$B$53)^MAX(0,C2578-1)),"n.a."))</f>
        <v>0</v>
      </c>
      <c r="H2578" s="16">
        <f>IF(NOT(Paths!$C$240=1),0,IF(Paths!$P$240="Complete",F2578/12*(Paths!$L$240*(1+IF(Paths!$D$240="EV",'Operating costs'!$B$52,'Operating costs'!$B$51))^MAX(0,C2578-1)+Paths!$M$240*(1+'Operating costs'!$B$53)^MAX(0,C2578-1)),"n.a."))</f>
        <v>0</v>
      </c>
      <c r="I2578" s="16">
        <f>IF(NOT(Paths!$C$240=1),0,IF(Paths!$P$240="Complete",IF(IF(Paths!$E$240=0,C2578=0,AND(C2578&gt;0,Paths!$E$240&gt;(C2578-1)*12,Paths!$E$240&lt;=C2578*12)),Paths!$G$240,0),"n.a."))</f>
        <v>0</v>
      </c>
      <c r="J2578" s="16">
        <f>IF(NOT(Paths!$C$240=1),0,IF(Paths!$P$240="Complete",IF(IF(Paths!$E$240=0,C2578=0,AND(C2578&gt;0,Paths!$E$240&gt;(C2578-1)*12,Paths!$E$240&lt;=C2578*12)),Paths!$H$240,0),"n.a."))</f>
        <v>0</v>
      </c>
      <c r="K2578" s="16">
        <f>IF(NOT(Paths!$C$240=1),0,IF(Paths!$P$240="Complete",IF(IF(Paths!$O$240=0,C2578=0,AND(C2578&gt;0,Paths!$O$240&gt;(C2578-1)*12,Paths!$O$240&lt;=C2578*12)),Paths!$N$240,0),"n.a."))</f>
        <v>0</v>
      </c>
      <c r="L2578" s="16">
        <f>IF(NOT(Paths!$C$240=1),0,IF(Paths!$P$240="Complete",IF(C2578=10,Paths!$I$240,0),"n.a."))</f>
        <v>0</v>
      </c>
      <c r="M2578" s="16">
        <f>IF(NOT(Paths!$C$240=1),0,IF(Paths!$P$240="Complete",IF(AND(Paths!$D$240="EV",Paths!$E$240&lt;120,Paths!$E$240+'Operating costs'!$B$65&gt;Paths!$E$240,Paths!$E$240+'Operating costs'!$B$65&lt;=120,IF(Paths!$E$240+'Operating costs'!$B$65=0,C2578=0,AND(C2578&gt;0,Paths!$E$240+'Operating costs'!$B$65&gt;(C2578-1)*12,Paths!$E$240+'Operating costs'!$B$65&lt;=C2578*12))),'Operating costs'!$B$64,0)+IF(AND('Operating costs'!$B$67&gt;0,'Operating costs'!$B$67&lt;=120,OR(Paths!$D$240="ICE",'Operating costs'!$B$67&lt;=Paths!$E$240),IF('Operating costs'!$B$67=0,C2578=0,AND(C2578&gt;0,'Operating costs'!$B$67&gt;(C2578-1)*12,'Operating costs'!$B$67&lt;=C2578*12))),'Operating costs'!$B$66,0),"n.a."))</f>
        <v>0</v>
      </c>
      <c r="N2578" s="16">
        <f>IF(NOT(Paths!$C$240=1),0,IF(Paths!$P$240="Complete",SUM(G2578:I2578)-J2578-K2578-L2578+M2578+IF(C2578=0,Paths!$F$240,0)+IF(IF(Paths!$E$240=0,C2578=0,AND(C2578&gt;0,Paths!$E$240&gt;(C2578-1)*12,Paths!$E$240&lt;=C2578*12)),VLOOKUP(A2578,'Fleet register'!$A$7:$S$106,16,FALSE),0),"n.a."))</f>
        <v>0</v>
      </c>
      <c r="O2578" s="16">
        <f>IF(NOT(Paths!$C$240=1),0,IF(Paths!$P$240="Complete",N2578-IF(C2578=0,Paths!$F$240,0),"n.a."))</f>
        <v>0</v>
      </c>
      <c r="P2578" s="16">
        <f>IF(NOT(Paths!$C$240=1),0,IF(Paths!$P$240="Complete",O2578+L2578,"n.a."))</f>
        <v>0</v>
      </c>
      <c r="Q2578" s="16">
        <f>IF(NOT(Paths!$C$240=1),0,IF(Paths!$P$240="Complete",N2578*(1+'Operating costs'!$B$54)^-C2578,"n.a."))</f>
        <v>0</v>
      </c>
      <c r="R2578" s="16">
        <f>IF(NOT(Paths!$C$240=1),0,IF(Paths!$P$240="Complete",IF(AND(C2578=0,Paths!$E$240=0),I2578-J2578-K2578+VLOOKUP(A2578,'Fleet register'!$A$7:$S$106,15,FALSE)+VLOOKUP(A2578,'Fleet register'!$A$7:$S$106,16,FALSE),0),"n.a."))</f>
        <v>0</v>
      </c>
      <c r="S2578" s="1">
        <f>IF(NOT(Paths!$C$240=1),0,IF(Paths!$P$240="Complete",IF(C2578=0,0,Paths!$S$240*Paths!$R$240),"n.a."))</f>
        <v>0</v>
      </c>
      <c r="T2578" s="1">
        <f>IF(NOT(Paths!$C$240=1),0,IF(Paths!$P$240="Complete",IF(C2578=0,0,VLOOKUP(A2578,'Fleet register'!$A$7:$S$106,9,FALSE)*Paths!$R$240),"n.a."))</f>
        <v>0</v>
      </c>
    </row>
    <row r="2579" spans="1:20" ht="24" customHeight="1">
      <c r="A2579" s="1" t="str">
        <f>Paths!$A$240</f>
        <v>T059</v>
      </c>
      <c r="B2579" s="1">
        <f>Paths!$B$240</f>
        <v>1</v>
      </c>
      <c r="C2579" s="1">
        <v>9</v>
      </c>
      <c r="D2579" s="1">
        <v>240</v>
      </c>
      <c r="E2579" s="1">
        <f>IF(OR(Paths!$C$240=0,C2579=0),0,MAX(0,MIN(C2579*12,Paths!$E$240)-(C2579-1)*12))</f>
        <v>0</v>
      </c>
      <c r="F2579" s="1">
        <f>IF(OR(Paths!$C$240=0,C2579=0),0,12-E2579)</f>
        <v>0</v>
      </c>
      <c r="G2579" s="16">
        <f>IF(NOT(Paths!$C$240=1),0,IF(Paths!$P$240="Complete",E2579/12*(Paths!$J$240*(1+'Operating costs'!$B$51)^MAX(0,C2579-1)+Paths!$K$240*(1+'Operating costs'!$B$53)^MAX(0,C2579-1)),"n.a."))</f>
        <v>0</v>
      </c>
      <c r="H2579" s="16">
        <f>IF(NOT(Paths!$C$240=1),0,IF(Paths!$P$240="Complete",F2579/12*(Paths!$L$240*(1+IF(Paths!$D$240="EV",'Operating costs'!$B$52,'Operating costs'!$B$51))^MAX(0,C2579-1)+Paths!$M$240*(1+'Operating costs'!$B$53)^MAX(0,C2579-1)),"n.a."))</f>
        <v>0</v>
      </c>
      <c r="I2579" s="16">
        <f>IF(NOT(Paths!$C$240=1),0,IF(Paths!$P$240="Complete",IF(IF(Paths!$E$240=0,C2579=0,AND(C2579&gt;0,Paths!$E$240&gt;(C2579-1)*12,Paths!$E$240&lt;=C2579*12)),Paths!$G$240,0),"n.a."))</f>
        <v>0</v>
      </c>
      <c r="J2579" s="16">
        <f>IF(NOT(Paths!$C$240=1),0,IF(Paths!$P$240="Complete",IF(IF(Paths!$E$240=0,C2579=0,AND(C2579&gt;0,Paths!$E$240&gt;(C2579-1)*12,Paths!$E$240&lt;=C2579*12)),Paths!$H$240,0),"n.a."))</f>
        <v>0</v>
      </c>
      <c r="K2579" s="16">
        <f>IF(NOT(Paths!$C$240=1),0,IF(Paths!$P$240="Complete",IF(IF(Paths!$O$240=0,C2579=0,AND(C2579&gt;0,Paths!$O$240&gt;(C2579-1)*12,Paths!$O$240&lt;=C2579*12)),Paths!$N$240,0),"n.a."))</f>
        <v>0</v>
      </c>
      <c r="L2579" s="16">
        <f>IF(NOT(Paths!$C$240=1),0,IF(Paths!$P$240="Complete",IF(C2579=10,Paths!$I$240,0),"n.a."))</f>
        <v>0</v>
      </c>
      <c r="M2579" s="16">
        <f>IF(NOT(Paths!$C$240=1),0,IF(Paths!$P$240="Complete",IF(AND(Paths!$D$240="EV",Paths!$E$240&lt;120,Paths!$E$240+'Operating costs'!$B$65&gt;Paths!$E$240,Paths!$E$240+'Operating costs'!$B$65&lt;=120,IF(Paths!$E$240+'Operating costs'!$B$65=0,C2579=0,AND(C2579&gt;0,Paths!$E$240+'Operating costs'!$B$65&gt;(C2579-1)*12,Paths!$E$240+'Operating costs'!$B$65&lt;=C2579*12))),'Operating costs'!$B$64,0)+IF(AND('Operating costs'!$B$67&gt;0,'Operating costs'!$B$67&lt;=120,OR(Paths!$D$240="ICE",'Operating costs'!$B$67&lt;=Paths!$E$240),IF('Operating costs'!$B$67=0,C2579=0,AND(C2579&gt;0,'Operating costs'!$B$67&gt;(C2579-1)*12,'Operating costs'!$B$67&lt;=C2579*12))),'Operating costs'!$B$66,0),"n.a."))</f>
        <v>0</v>
      </c>
      <c r="N2579" s="16">
        <f>IF(NOT(Paths!$C$240=1),0,IF(Paths!$P$240="Complete",SUM(G2579:I2579)-J2579-K2579-L2579+M2579+IF(C2579=0,Paths!$F$240,0)+IF(IF(Paths!$E$240=0,C2579=0,AND(C2579&gt;0,Paths!$E$240&gt;(C2579-1)*12,Paths!$E$240&lt;=C2579*12)),VLOOKUP(A2579,'Fleet register'!$A$7:$S$106,16,FALSE),0),"n.a."))</f>
        <v>0</v>
      </c>
      <c r="O2579" s="16">
        <f>IF(NOT(Paths!$C$240=1),0,IF(Paths!$P$240="Complete",N2579-IF(C2579=0,Paths!$F$240,0),"n.a."))</f>
        <v>0</v>
      </c>
      <c r="P2579" s="16">
        <f>IF(NOT(Paths!$C$240=1),0,IF(Paths!$P$240="Complete",O2579+L2579,"n.a."))</f>
        <v>0</v>
      </c>
      <c r="Q2579" s="16">
        <f>IF(NOT(Paths!$C$240=1),0,IF(Paths!$P$240="Complete",N2579*(1+'Operating costs'!$B$54)^-C2579,"n.a."))</f>
        <v>0</v>
      </c>
      <c r="R2579" s="16">
        <f>IF(NOT(Paths!$C$240=1),0,IF(Paths!$P$240="Complete",IF(AND(C2579=0,Paths!$E$240=0),I2579-J2579-K2579+VLOOKUP(A2579,'Fleet register'!$A$7:$S$106,15,FALSE)+VLOOKUP(A2579,'Fleet register'!$A$7:$S$106,16,FALSE),0),"n.a."))</f>
        <v>0</v>
      </c>
      <c r="S2579" s="1">
        <f>IF(NOT(Paths!$C$240=1),0,IF(Paths!$P$240="Complete",IF(C2579=0,0,Paths!$S$240*Paths!$R$240),"n.a."))</f>
        <v>0</v>
      </c>
      <c r="T2579" s="1">
        <f>IF(NOT(Paths!$C$240=1),0,IF(Paths!$P$240="Complete",IF(C2579=0,0,VLOOKUP(A2579,'Fleet register'!$A$7:$S$106,9,FALSE)*Paths!$R$240),"n.a."))</f>
        <v>0</v>
      </c>
    </row>
    <row r="2580" spans="1:20" ht="24" customHeight="1">
      <c r="A2580" s="1" t="str">
        <f>Paths!$A$240</f>
        <v>T059</v>
      </c>
      <c r="B2580" s="1">
        <f>Paths!$B$240</f>
        <v>1</v>
      </c>
      <c r="C2580" s="1">
        <v>10</v>
      </c>
      <c r="D2580" s="1">
        <v>240</v>
      </c>
      <c r="E2580" s="1">
        <f>IF(OR(Paths!$C$240=0,C2580=0),0,MAX(0,MIN(C2580*12,Paths!$E$240)-(C2580-1)*12))</f>
        <v>0</v>
      </c>
      <c r="F2580" s="1">
        <f>IF(OR(Paths!$C$240=0,C2580=0),0,12-E2580)</f>
        <v>0</v>
      </c>
      <c r="G2580" s="16">
        <f>IF(NOT(Paths!$C$240=1),0,IF(Paths!$P$240="Complete",E2580/12*(Paths!$J$240*(1+'Operating costs'!$B$51)^MAX(0,C2580-1)+Paths!$K$240*(1+'Operating costs'!$B$53)^MAX(0,C2580-1)),"n.a."))</f>
        <v>0</v>
      </c>
      <c r="H2580" s="16">
        <f>IF(NOT(Paths!$C$240=1),0,IF(Paths!$P$240="Complete",F2580/12*(Paths!$L$240*(1+IF(Paths!$D$240="EV",'Operating costs'!$B$52,'Operating costs'!$B$51))^MAX(0,C2580-1)+Paths!$M$240*(1+'Operating costs'!$B$53)^MAX(0,C2580-1)),"n.a."))</f>
        <v>0</v>
      </c>
      <c r="I2580" s="16">
        <f>IF(NOT(Paths!$C$240=1),0,IF(Paths!$P$240="Complete",IF(IF(Paths!$E$240=0,C2580=0,AND(C2580&gt;0,Paths!$E$240&gt;(C2580-1)*12,Paths!$E$240&lt;=C2580*12)),Paths!$G$240,0),"n.a."))</f>
        <v>0</v>
      </c>
      <c r="J2580" s="16">
        <f>IF(NOT(Paths!$C$240=1),0,IF(Paths!$P$240="Complete",IF(IF(Paths!$E$240=0,C2580=0,AND(C2580&gt;0,Paths!$E$240&gt;(C2580-1)*12,Paths!$E$240&lt;=C2580*12)),Paths!$H$240,0),"n.a."))</f>
        <v>0</v>
      </c>
      <c r="K2580" s="16">
        <f>IF(NOT(Paths!$C$240=1),0,IF(Paths!$P$240="Complete",IF(IF(Paths!$O$240=0,C2580=0,AND(C2580&gt;0,Paths!$O$240&gt;(C2580-1)*12,Paths!$O$240&lt;=C2580*12)),Paths!$N$240,0),"n.a."))</f>
        <v>0</v>
      </c>
      <c r="L2580" s="16">
        <f>IF(NOT(Paths!$C$240=1),0,IF(Paths!$P$240="Complete",IF(C2580=10,Paths!$I$240,0),"n.a."))</f>
        <v>0</v>
      </c>
      <c r="M2580" s="16">
        <f>IF(NOT(Paths!$C$240=1),0,IF(Paths!$P$240="Complete",IF(AND(Paths!$D$240="EV",Paths!$E$240&lt;120,Paths!$E$240+'Operating costs'!$B$65&gt;Paths!$E$240,Paths!$E$240+'Operating costs'!$B$65&lt;=120,IF(Paths!$E$240+'Operating costs'!$B$65=0,C2580=0,AND(C2580&gt;0,Paths!$E$240+'Operating costs'!$B$65&gt;(C2580-1)*12,Paths!$E$240+'Operating costs'!$B$65&lt;=C2580*12))),'Operating costs'!$B$64,0)+IF(AND('Operating costs'!$B$67&gt;0,'Operating costs'!$B$67&lt;=120,OR(Paths!$D$240="ICE",'Operating costs'!$B$67&lt;=Paths!$E$240),IF('Operating costs'!$B$67=0,C2580=0,AND(C2580&gt;0,'Operating costs'!$B$67&gt;(C2580-1)*12,'Operating costs'!$B$67&lt;=C2580*12))),'Operating costs'!$B$66,0),"n.a."))</f>
        <v>0</v>
      </c>
      <c r="N2580" s="16">
        <f>IF(NOT(Paths!$C$240=1),0,IF(Paths!$P$240="Complete",SUM(G2580:I2580)-J2580-K2580-L2580+M2580+IF(C2580=0,Paths!$F$240,0)+IF(IF(Paths!$E$240=0,C2580=0,AND(C2580&gt;0,Paths!$E$240&gt;(C2580-1)*12,Paths!$E$240&lt;=C2580*12)),VLOOKUP(A2580,'Fleet register'!$A$7:$S$106,16,FALSE),0),"n.a."))</f>
        <v>0</v>
      </c>
      <c r="O2580" s="16">
        <f>IF(NOT(Paths!$C$240=1),0,IF(Paths!$P$240="Complete",N2580-IF(C2580=0,Paths!$F$240,0),"n.a."))</f>
        <v>0</v>
      </c>
      <c r="P2580" s="16">
        <f>IF(NOT(Paths!$C$240=1),0,IF(Paths!$P$240="Complete",O2580+L2580,"n.a."))</f>
        <v>0</v>
      </c>
      <c r="Q2580" s="16">
        <f>IF(NOT(Paths!$C$240=1),0,IF(Paths!$P$240="Complete",N2580*(1+'Operating costs'!$B$54)^-C2580,"n.a."))</f>
        <v>0</v>
      </c>
      <c r="R2580" s="16">
        <f>IF(NOT(Paths!$C$240=1),0,IF(Paths!$P$240="Complete",IF(AND(C2580=0,Paths!$E$240=0),I2580-J2580-K2580+VLOOKUP(A2580,'Fleet register'!$A$7:$S$106,15,FALSE)+VLOOKUP(A2580,'Fleet register'!$A$7:$S$106,16,FALSE),0),"n.a."))</f>
        <v>0</v>
      </c>
      <c r="S2580" s="1">
        <f>IF(NOT(Paths!$C$240=1),0,IF(Paths!$P$240="Complete",IF(C2580=0,0,Paths!$S$240*Paths!$R$240),"n.a."))</f>
        <v>0</v>
      </c>
      <c r="T2580" s="1">
        <f>IF(NOT(Paths!$C$240=1),0,IF(Paths!$P$240="Complete",IF(C2580=0,0,VLOOKUP(A2580,'Fleet register'!$A$7:$S$106,9,FALSE)*Paths!$R$240),"n.a."))</f>
        <v>0</v>
      </c>
    </row>
    <row r="2581" spans="1:20" ht="24" customHeight="1">
      <c r="A2581" s="1" t="str">
        <f>Paths!$A$241</f>
        <v>T059</v>
      </c>
      <c r="B2581" s="1">
        <f>Paths!$B$241</f>
        <v>2</v>
      </c>
      <c r="C2581" s="1">
        <v>0</v>
      </c>
      <c r="D2581" s="1">
        <v>241</v>
      </c>
      <c r="E2581" s="1">
        <f>IF(OR(Paths!$C$241=0,C2581=0),0,MAX(0,MIN(C2581*12,Paths!$E$241)-(C2581-1)*12))</f>
        <v>0</v>
      </c>
      <c r="F2581" s="1">
        <f>IF(OR(Paths!$C$241=0,C2581=0),0,12-E2581)</f>
        <v>0</v>
      </c>
      <c r="G2581" s="16">
        <f>IF(NOT(Paths!$C$241=1),0,IF(Paths!$P$241="Complete",E2581/12*(Paths!$J$241*(1+'Operating costs'!$B$51)^MAX(0,C2581-1)+Paths!$K$241*(1+'Operating costs'!$B$53)^MAX(0,C2581-1)),"n.a."))</f>
        <v>0</v>
      </c>
      <c r="H2581" s="16">
        <f>IF(NOT(Paths!$C$241=1),0,IF(Paths!$P$241="Complete",F2581/12*(Paths!$L$241*(1+IF(Paths!$D$241="EV",'Operating costs'!$B$52,'Operating costs'!$B$51))^MAX(0,C2581-1)+Paths!$M$241*(1+'Operating costs'!$B$53)^MAX(0,C2581-1)),"n.a."))</f>
        <v>0</v>
      </c>
      <c r="I2581" s="16">
        <f>IF(NOT(Paths!$C$241=1),0,IF(Paths!$P$241="Complete",IF(IF(Paths!$E$241=0,C2581=0,AND(C2581&gt;0,Paths!$E$241&gt;(C2581-1)*12,Paths!$E$241&lt;=C2581*12)),Paths!$G$241,0),"n.a."))</f>
        <v>0</v>
      </c>
      <c r="J2581" s="16">
        <f>IF(NOT(Paths!$C$241=1),0,IF(Paths!$P$241="Complete",IF(IF(Paths!$E$241=0,C2581=0,AND(C2581&gt;0,Paths!$E$241&gt;(C2581-1)*12,Paths!$E$241&lt;=C2581*12)),Paths!$H$241,0),"n.a."))</f>
        <v>0</v>
      </c>
      <c r="K2581" s="16">
        <f>IF(NOT(Paths!$C$241=1),0,IF(Paths!$P$241="Complete",IF(IF(Paths!$O$241=0,C2581=0,AND(C2581&gt;0,Paths!$O$241&gt;(C2581-1)*12,Paths!$O$241&lt;=C2581*12)),Paths!$N$241,0),"n.a."))</f>
        <v>0</v>
      </c>
      <c r="L2581" s="16">
        <f>IF(NOT(Paths!$C$241=1),0,IF(Paths!$P$241="Complete",IF(C2581=10,Paths!$I$241,0),"n.a."))</f>
        <v>0</v>
      </c>
      <c r="M2581" s="16">
        <f>IF(NOT(Paths!$C$241=1),0,IF(Paths!$P$241="Complete",IF(AND(Paths!$D$241="EV",Paths!$E$241&lt;120,Paths!$E$241+'Operating costs'!$B$65&gt;Paths!$E$241,Paths!$E$241+'Operating costs'!$B$65&lt;=120,IF(Paths!$E$241+'Operating costs'!$B$65=0,C2581=0,AND(C2581&gt;0,Paths!$E$241+'Operating costs'!$B$65&gt;(C2581-1)*12,Paths!$E$241+'Operating costs'!$B$65&lt;=C2581*12))),'Operating costs'!$B$64,0)+IF(AND('Operating costs'!$B$67&gt;0,'Operating costs'!$B$67&lt;=120,OR(Paths!$D$241="ICE",'Operating costs'!$B$67&lt;=Paths!$E$241),IF('Operating costs'!$B$67=0,C2581=0,AND(C2581&gt;0,'Operating costs'!$B$67&gt;(C2581-1)*12,'Operating costs'!$B$67&lt;=C2581*12))),'Operating costs'!$B$66,0),"n.a."))</f>
        <v>0</v>
      </c>
      <c r="N2581" s="16">
        <f>IF(NOT(Paths!$C$241=1),0,IF(Paths!$P$241="Complete",SUM(G2581:I2581)-J2581-K2581-L2581+M2581+IF(C2581=0,Paths!$F$241,0)+IF(IF(Paths!$E$241=0,C2581=0,AND(C2581&gt;0,Paths!$E$241&gt;(C2581-1)*12,Paths!$E$241&lt;=C2581*12)),VLOOKUP(A2581,'Fleet register'!$A$7:$S$106,16,FALSE),0),"n.a."))</f>
        <v>0</v>
      </c>
      <c r="O2581" s="16">
        <f>IF(NOT(Paths!$C$241=1),0,IF(Paths!$P$241="Complete",N2581-IF(C2581=0,Paths!$F$241,0),"n.a."))</f>
        <v>0</v>
      </c>
      <c r="P2581" s="16">
        <f>IF(NOT(Paths!$C$241=1),0,IF(Paths!$P$241="Complete",O2581+L2581,"n.a."))</f>
        <v>0</v>
      </c>
      <c r="Q2581" s="16">
        <f>IF(NOT(Paths!$C$241=1),0,IF(Paths!$P$241="Complete",N2581*(1+'Operating costs'!$B$54)^-C2581,"n.a."))</f>
        <v>0</v>
      </c>
      <c r="R2581" s="16">
        <f>IF(NOT(Paths!$C$241=1),0,IF(Paths!$P$241="Complete",IF(AND(C2581=0,Paths!$E$241=0),I2581-J2581-K2581+VLOOKUP(A2581,'Fleet register'!$A$7:$S$106,15,FALSE)+VLOOKUP(A2581,'Fleet register'!$A$7:$S$106,16,FALSE),0),"n.a."))</f>
        <v>0</v>
      </c>
      <c r="S2581" s="1">
        <f>IF(NOT(Paths!$C$241=1),0,IF(Paths!$P$241="Complete",IF(C2581=0,0,Paths!$S$241*Paths!$R$241),"n.a."))</f>
        <v>0</v>
      </c>
      <c r="T2581" s="1">
        <f>IF(NOT(Paths!$C$241=1),0,IF(Paths!$P$241="Complete",IF(C2581=0,0,VLOOKUP(A2581,'Fleet register'!$A$7:$S$106,9,FALSE)*Paths!$R$241),"n.a."))</f>
        <v>0</v>
      </c>
    </row>
    <row r="2582" spans="1:20" ht="24" customHeight="1">
      <c r="A2582" s="1" t="str">
        <f>Paths!$A$241</f>
        <v>T059</v>
      </c>
      <c r="B2582" s="1">
        <f>Paths!$B$241</f>
        <v>2</v>
      </c>
      <c r="C2582" s="1">
        <v>1</v>
      </c>
      <c r="D2582" s="1">
        <v>241</v>
      </c>
      <c r="E2582" s="1">
        <f>IF(OR(Paths!$C$241=0,C2582=0),0,MAX(0,MIN(C2582*12,Paths!$E$241)-(C2582-1)*12))</f>
        <v>0</v>
      </c>
      <c r="F2582" s="1">
        <f>IF(OR(Paths!$C$241=0,C2582=0),0,12-E2582)</f>
        <v>0</v>
      </c>
      <c r="G2582" s="16">
        <f>IF(NOT(Paths!$C$241=1),0,IF(Paths!$P$241="Complete",E2582/12*(Paths!$J$241*(1+'Operating costs'!$B$51)^MAX(0,C2582-1)+Paths!$K$241*(1+'Operating costs'!$B$53)^MAX(0,C2582-1)),"n.a."))</f>
        <v>0</v>
      </c>
      <c r="H2582" s="16">
        <f>IF(NOT(Paths!$C$241=1),0,IF(Paths!$P$241="Complete",F2582/12*(Paths!$L$241*(1+IF(Paths!$D$241="EV",'Operating costs'!$B$52,'Operating costs'!$B$51))^MAX(0,C2582-1)+Paths!$M$241*(1+'Operating costs'!$B$53)^MAX(0,C2582-1)),"n.a."))</f>
        <v>0</v>
      </c>
      <c r="I2582" s="16">
        <f>IF(NOT(Paths!$C$241=1),0,IF(Paths!$P$241="Complete",IF(IF(Paths!$E$241=0,C2582=0,AND(C2582&gt;0,Paths!$E$241&gt;(C2582-1)*12,Paths!$E$241&lt;=C2582*12)),Paths!$G$241,0),"n.a."))</f>
        <v>0</v>
      </c>
      <c r="J2582" s="16">
        <f>IF(NOT(Paths!$C$241=1),0,IF(Paths!$P$241="Complete",IF(IF(Paths!$E$241=0,C2582=0,AND(C2582&gt;0,Paths!$E$241&gt;(C2582-1)*12,Paths!$E$241&lt;=C2582*12)),Paths!$H$241,0),"n.a."))</f>
        <v>0</v>
      </c>
      <c r="K2582" s="16">
        <f>IF(NOT(Paths!$C$241=1),0,IF(Paths!$P$241="Complete",IF(IF(Paths!$O$241=0,C2582=0,AND(C2582&gt;0,Paths!$O$241&gt;(C2582-1)*12,Paths!$O$241&lt;=C2582*12)),Paths!$N$241,0),"n.a."))</f>
        <v>0</v>
      </c>
      <c r="L2582" s="16">
        <f>IF(NOT(Paths!$C$241=1),0,IF(Paths!$P$241="Complete",IF(C2582=10,Paths!$I$241,0),"n.a."))</f>
        <v>0</v>
      </c>
      <c r="M2582" s="16">
        <f>IF(NOT(Paths!$C$241=1),0,IF(Paths!$P$241="Complete",IF(AND(Paths!$D$241="EV",Paths!$E$241&lt;120,Paths!$E$241+'Operating costs'!$B$65&gt;Paths!$E$241,Paths!$E$241+'Operating costs'!$B$65&lt;=120,IF(Paths!$E$241+'Operating costs'!$B$65=0,C2582=0,AND(C2582&gt;0,Paths!$E$241+'Operating costs'!$B$65&gt;(C2582-1)*12,Paths!$E$241+'Operating costs'!$B$65&lt;=C2582*12))),'Operating costs'!$B$64,0)+IF(AND('Operating costs'!$B$67&gt;0,'Operating costs'!$B$67&lt;=120,OR(Paths!$D$241="ICE",'Operating costs'!$B$67&lt;=Paths!$E$241),IF('Operating costs'!$B$67=0,C2582=0,AND(C2582&gt;0,'Operating costs'!$B$67&gt;(C2582-1)*12,'Operating costs'!$B$67&lt;=C2582*12))),'Operating costs'!$B$66,0),"n.a."))</f>
        <v>0</v>
      </c>
      <c r="N2582" s="16">
        <f>IF(NOT(Paths!$C$241=1),0,IF(Paths!$P$241="Complete",SUM(G2582:I2582)-J2582-K2582-L2582+M2582+IF(C2582=0,Paths!$F$241,0)+IF(IF(Paths!$E$241=0,C2582=0,AND(C2582&gt;0,Paths!$E$241&gt;(C2582-1)*12,Paths!$E$241&lt;=C2582*12)),VLOOKUP(A2582,'Fleet register'!$A$7:$S$106,16,FALSE),0),"n.a."))</f>
        <v>0</v>
      </c>
      <c r="O2582" s="16">
        <f>IF(NOT(Paths!$C$241=1),0,IF(Paths!$P$241="Complete",N2582-IF(C2582=0,Paths!$F$241,0),"n.a."))</f>
        <v>0</v>
      </c>
      <c r="P2582" s="16">
        <f>IF(NOT(Paths!$C$241=1),0,IF(Paths!$P$241="Complete",O2582+L2582,"n.a."))</f>
        <v>0</v>
      </c>
      <c r="Q2582" s="16">
        <f>IF(NOT(Paths!$C$241=1),0,IF(Paths!$P$241="Complete",N2582*(1+'Operating costs'!$B$54)^-C2582,"n.a."))</f>
        <v>0</v>
      </c>
      <c r="R2582" s="16">
        <f>IF(NOT(Paths!$C$241=1),0,IF(Paths!$P$241="Complete",IF(AND(C2582=0,Paths!$E$241=0),I2582-J2582-K2582+VLOOKUP(A2582,'Fleet register'!$A$7:$S$106,15,FALSE)+VLOOKUP(A2582,'Fleet register'!$A$7:$S$106,16,FALSE),0),"n.a."))</f>
        <v>0</v>
      </c>
      <c r="S2582" s="1">
        <f>IF(NOT(Paths!$C$241=1),0,IF(Paths!$P$241="Complete",IF(C2582=0,0,Paths!$S$241*Paths!$R$241),"n.a."))</f>
        <v>0</v>
      </c>
      <c r="T2582" s="1">
        <f>IF(NOT(Paths!$C$241=1),0,IF(Paths!$P$241="Complete",IF(C2582=0,0,VLOOKUP(A2582,'Fleet register'!$A$7:$S$106,9,FALSE)*Paths!$R$241),"n.a."))</f>
        <v>0</v>
      </c>
    </row>
    <row r="2583" spans="1:20" ht="24" customHeight="1">
      <c r="A2583" s="1" t="str">
        <f>Paths!$A$241</f>
        <v>T059</v>
      </c>
      <c r="B2583" s="1">
        <f>Paths!$B$241</f>
        <v>2</v>
      </c>
      <c r="C2583" s="1">
        <v>2</v>
      </c>
      <c r="D2583" s="1">
        <v>241</v>
      </c>
      <c r="E2583" s="1">
        <f>IF(OR(Paths!$C$241=0,C2583=0),0,MAX(0,MIN(C2583*12,Paths!$E$241)-(C2583-1)*12))</f>
        <v>0</v>
      </c>
      <c r="F2583" s="1">
        <f>IF(OR(Paths!$C$241=0,C2583=0),0,12-E2583)</f>
        <v>0</v>
      </c>
      <c r="G2583" s="16">
        <f>IF(NOT(Paths!$C$241=1),0,IF(Paths!$P$241="Complete",E2583/12*(Paths!$J$241*(1+'Operating costs'!$B$51)^MAX(0,C2583-1)+Paths!$K$241*(1+'Operating costs'!$B$53)^MAX(0,C2583-1)),"n.a."))</f>
        <v>0</v>
      </c>
      <c r="H2583" s="16">
        <f>IF(NOT(Paths!$C$241=1),0,IF(Paths!$P$241="Complete",F2583/12*(Paths!$L$241*(1+IF(Paths!$D$241="EV",'Operating costs'!$B$52,'Operating costs'!$B$51))^MAX(0,C2583-1)+Paths!$M$241*(1+'Operating costs'!$B$53)^MAX(0,C2583-1)),"n.a."))</f>
        <v>0</v>
      </c>
      <c r="I2583" s="16">
        <f>IF(NOT(Paths!$C$241=1),0,IF(Paths!$P$241="Complete",IF(IF(Paths!$E$241=0,C2583=0,AND(C2583&gt;0,Paths!$E$241&gt;(C2583-1)*12,Paths!$E$241&lt;=C2583*12)),Paths!$G$241,0),"n.a."))</f>
        <v>0</v>
      </c>
      <c r="J2583" s="16">
        <f>IF(NOT(Paths!$C$241=1),0,IF(Paths!$P$241="Complete",IF(IF(Paths!$E$241=0,C2583=0,AND(C2583&gt;0,Paths!$E$241&gt;(C2583-1)*12,Paths!$E$241&lt;=C2583*12)),Paths!$H$241,0),"n.a."))</f>
        <v>0</v>
      </c>
      <c r="K2583" s="16">
        <f>IF(NOT(Paths!$C$241=1),0,IF(Paths!$P$241="Complete",IF(IF(Paths!$O$241=0,C2583=0,AND(C2583&gt;0,Paths!$O$241&gt;(C2583-1)*12,Paths!$O$241&lt;=C2583*12)),Paths!$N$241,0),"n.a."))</f>
        <v>0</v>
      </c>
      <c r="L2583" s="16">
        <f>IF(NOT(Paths!$C$241=1),0,IF(Paths!$P$241="Complete",IF(C2583=10,Paths!$I$241,0),"n.a."))</f>
        <v>0</v>
      </c>
      <c r="M2583" s="16">
        <f>IF(NOT(Paths!$C$241=1),0,IF(Paths!$P$241="Complete",IF(AND(Paths!$D$241="EV",Paths!$E$241&lt;120,Paths!$E$241+'Operating costs'!$B$65&gt;Paths!$E$241,Paths!$E$241+'Operating costs'!$B$65&lt;=120,IF(Paths!$E$241+'Operating costs'!$B$65=0,C2583=0,AND(C2583&gt;0,Paths!$E$241+'Operating costs'!$B$65&gt;(C2583-1)*12,Paths!$E$241+'Operating costs'!$B$65&lt;=C2583*12))),'Operating costs'!$B$64,0)+IF(AND('Operating costs'!$B$67&gt;0,'Operating costs'!$B$67&lt;=120,OR(Paths!$D$241="ICE",'Operating costs'!$B$67&lt;=Paths!$E$241),IF('Operating costs'!$B$67=0,C2583=0,AND(C2583&gt;0,'Operating costs'!$B$67&gt;(C2583-1)*12,'Operating costs'!$B$67&lt;=C2583*12))),'Operating costs'!$B$66,0),"n.a."))</f>
        <v>0</v>
      </c>
      <c r="N2583" s="16">
        <f>IF(NOT(Paths!$C$241=1),0,IF(Paths!$P$241="Complete",SUM(G2583:I2583)-J2583-K2583-L2583+M2583+IF(C2583=0,Paths!$F$241,0)+IF(IF(Paths!$E$241=0,C2583=0,AND(C2583&gt;0,Paths!$E$241&gt;(C2583-1)*12,Paths!$E$241&lt;=C2583*12)),VLOOKUP(A2583,'Fleet register'!$A$7:$S$106,16,FALSE),0),"n.a."))</f>
        <v>0</v>
      </c>
      <c r="O2583" s="16">
        <f>IF(NOT(Paths!$C$241=1),0,IF(Paths!$P$241="Complete",N2583-IF(C2583=0,Paths!$F$241,0),"n.a."))</f>
        <v>0</v>
      </c>
      <c r="P2583" s="16">
        <f>IF(NOT(Paths!$C$241=1),0,IF(Paths!$P$241="Complete",O2583+L2583,"n.a."))</f>
        <v>0</v>
      </c>
      <c r="Q2583" s="16">
        <f>IF(NOT(Paths!$C$241=1),0,IF(Paths!$P$241="Complete",N2583*(1+'Operating costs'!$B$54)^-C2583,"n.a."))</f>
        <v>0</v>
      </c>
      <c r="R2583" s="16">
        <f>IF(NOT(Paths!$C$241=1),0,IF(Paths!$P$241="Complete",IF(AND(C2583=0,Paths!$E$241=0),I2583-J2583-K2583+VLOOKUP(A2583,'Fleet register'!$A$7:$S$106,15,FALSE)+VLOOKUP(A2583,'Fleet register'!$A$7:$S$106,16,FALSE),0),"n.a."))</f>
        <v>0</v>
      </c>
      <c r="S2583" s="1">
        <f>IF(NOT(Paths!$C$241=1),0,IF(Paths!$P$241="Complete",IF(C2583=0,0,Paths!$S$241*Paths!$R$241),"n.a."))</f>
        <v>0</v>
      </c>
      <c r="T2583" s="1">
        <f>IF(NOT(Paths!$C$241=1),0,IF(Paths!$P$241="Complete",IF(C2583=0,0,VLOOKUP(A2583,'Fleet register'!$A$7:$S$106,9,FALSE)*Paths!$R$241),"n.a."))</f>
        <v>0</v>
      </c>
    </row>
    <row r="2584" spans="1:20" ht="24" customHeight="1">
      <c r="A2584" s="1" t="str">
        <f>Paths!$A$241</f>
        <v>T059</v>
      </c>
      <c r="B2584" s="1">
        <f>Paths!$B$241</f>
        <v>2</v>
      </c>
      <c r="C2584" s="1">
        <v>3</v>
      </c>
      <c r="D2584" s="1">
        <v>241</v>
      </c>
      <c r="E2584" s="1">
        <f>IF(OR(Paths!$C$241=0,C2584=0),0,MAX(0,MIN(C2584*12,Paths!$E$241)-(C2584-1)*12))</f>
        <v>0</v>
      </c>
      <c r="F2584" s="1">
        <f>IF(OR(Paths!$C$241=0,C2584=0),0,12-E2584)</f>
        <v>0</v>
      </c>
      <c r="G2584" s="16">
        <f>IF(NOT(Paths!$C$241=1),0,IF(Paths!$P$241="Complete",E2584/12*(Paths!$J$241*(1+'Operating costs'!$B$51)^MAX(0,C2584-1)+Paths!$K$241*(1+'Operating costs'!$B$53)^MAX(0,C2584-1)),"n.a."))</f>
        <v>0</v>
      </c>
      <c r="H2584" s="16">
        <f>IF(NOT(Paths!$C$241=1),0,IF(Paths!$P$241="Complete",F2584/12*(Paths!$L$241*(1+IF(Paths!$D$241="EV",'Operating costs'!$B$52,'Operating costs'!$B$51))^MAX(0,C2584-1)+Paths!$M$241*(1+'Operating costs'!$B$53)^MAX(0,C2584-1)),"n.a."))</f>
        <v>0</v>
      </c>
      <c r="I2584" s="16">
        <f>IF(NOT(Paths!$C$241=1),0,IF(Paths!$P$241="Complete",IF(IF(Paths!$E$241=0,C2584=0,AND(C2584&gt;0,Paths!$E$241&gt;(C2584-1)*12,Paths!$E$241&lt;=C2584*12)),Paths!$G$241,0),"n.a."))</f>
        <v>0</v>
      </c>
      <c r="J2584" s="16">
        <f>IF(NOT(Paths!$C$241=1),0,IF(Paths!$P$241="Complete",IF(IF(Paths!$E$241=0,C2584=0,AND(C2584&gt;0,Paths!$E$241&gt;(C2584-1)*12,Paths!$E$241&lt;=C2584*12)),Paths!$H$241,0),"n.a."))</f>
        <v>0</v>
      </c>
      <c r="K2584" s="16">
        <f>IF(NOT(Paths!$C$241=1),0,IF(Paths!$P$241="Complete",IF(IF(Paths!$O$241=0,C2584=0,AND(C2584&gt;0,Paths!$O$241&gt;(C2584-1)*12,Paths!$O$241&lt;=C2584*12)),Paths!$N$241,0),"n.a."))</f>
        <v>0</v>
      </c>
      <c r="L2584" s="16">
        <f>IF(NOT(Paths!$C$241=1),0,IF(Paths!$P$241="Complete",IF(C2584=10,Paths!$I$241,0),"n.a."))</f>
        <v>0</v>
      </c>
      <c r="M2584" s="16">
        <f>IF(NOT(Paths!$C$241=1),0,IF(Paths!$P$241="Complete",IF(AND(Paths!$D$241="EV",Paths!$E$241&lt;120,Paths!$E$241+'Operating costs'!$B$65&gt;Paths!$E$241,Paths!$E$241+'Operating costs'!$B$65&lt;=120,IF(Paths!$E$241+'Operating costs'!$B$65=0,C2584=0,AND(C2584&gt;0,Paths!$E$241+'Operating costs'!$B$65&gt;(C2584-1)*12,Paths!$E$241+'Operating costs'!$B$65&lt;=C2584*12))),'Operating costs'!$B$64,0)+IF(AND('Operating costs'!$B$67&gt;0,'Operating costs'!$B$67&lt;=120,OR(Paths!$D$241="ICE",'Operating costs'!$B$67&lt;=Paths!$E$241),IF('Operating costs'!$B$67=0,C2584=0,AND(C2584&gt;0,'Operating costs'!$B$67&gt;(C2584-1)*12,'Operating costs'!$B$67&lt;=C2584*12))),'Operating costs'!$B$66,0),"n.a."))</f>
        <v>0</v>
      </c>
      <c r="N2584" s="16">
        <f>IF(NOT(Paths!$C$241=1),0,IF(Paths!$P$241="Complete",SUM(G2584:I2584)-J2584-K2584-L2584+M2584+IF(C2584=0,Paths!$F$241,0)+IF(IF(Paths!$E$241=0,C2584=0,AND(C2584&gt;0,Paths!$E$241&gt;(C2584-1)*12,Paths!$E$241&lt;=C2584*12)),VLOOKUP(A2584,'Fleet register'!$A$7:$S$106,16,FALSE),0),"n.a."))</f>
        <v>0</v>
      </c>
      <c r="O2584" s="16">
        <f>IF(NOT(Paths!$C$241=1),0,IF(Paths!$P$241="Complete",N2584-IF(C2584=0,Paths!$F$241,0),"n.a."))</f>
        <v>0</v>
      </c>
      <c r="P2584" s="16">
        <f>IF(NOT(Paths!$C$241=1),0,IF(Paths!$P$241="Complete",O2584+L2584,"n.a."))</f>
        <v>0</v>
      </c>
      <c r="Q2584" s="16">
        <f>IF(NOT(Paths!$C$241=1),0,IF(Paths!$P$241="Complete",N2584*(1+'Operating costs'!$B$54)^-C2584,"n.a."))</f>
        <v>0</v>
      </c>
      <c r="R2584" s="16">
        <f>IF(NOT(Paths!$C$241=1),0,IF(Paths!$P$241="Complete",IF(AND(C2584=0,Paths!$E$241=0),I2584-J2584-K2584+VLOOKUP(A2584,'Fleet register'!$A$7:$S$106,15,FALSE)+VLOOKUP(A2584,'Fleet register'!$A$7:$S$106,16,FALSE),0),"n.a."))</f>
        <v>0</v>
      </c>
      <c r="S2584" s="1">
        <f>IF(NOT(Paths!$C$241=1),0,IF(Paths!$P$241="Complete",IF(C2584=0,0,Paths!$S$241*Paths!$R$241),"n.a."))</f>
        <v>0</v>
      </c>
      <c r="T2584" s="1">
        <f>IF(NOT(Paths!$C$241=1),0,IF(Paths!$P$241="Complete",IF(C2584=0,0,VLOOKUP(A2584,'Fleet register'!$A$7:$S$106,9,FALSE)*Paths!$R$241),"n.a."))</f>
        <v>0</v>
      </c>
    </row>
    <row r="2585" spans="1:20" ht="24" customHeight="1">
      <c r="A2585" s="1" t="str">
        <f>Paths!$A$241</f>
        <v>T059</v>
      </c>
      <c r="B2585" s="1">
        <f>Paths!$B$241</f>
        <v>2</v>
      </c>
      <c r="C2585" s="1">
        <v>4</v>
      </c>
      <c r="D2585" s="1">
        <v>241</v>
      </c>
      <c r="E2585" s="1">
        <f>IF(OR(Paths!$C$241=0,C2585=0),0,MAX(0,MIN(C2585*12,Paths!$E$241)-(C2585-1)*12))</f>
        <v>0</v>
      </c>
      <c r="F2585" s="1">
        <f>IF(OR(Paths!$C$241=0,C2585=0),0,12-E2585)</f>
        <v>0</v>
      </c>
      <c r="G2585" s="16">
        <f>IF(NOT(Paths!$C$241=1),0,IF(Paths!$P$241="Complete",E2585/12*(Paths!$J$241*(1+'Operating costs'!$B$51)^MAX(0,C2585-1)+Paths!$K$241*(1+'Operating costs'!$B$53)^MAX(0,C2585-1)),"n.a."))</f>
        <v>0</v>
      </c>
      <c r="H2585" s="16">
        <f>IF(NOT(Paths!$C$241=1),0,IF(Paths!$P$241="Complete",F2585/12*(Paths!$L$241*(1+IF(Paths!$D$241="EV",'Operating costs'!$B$52,'Operating costs'!$B$51))^MAX(0,C2585-1)+Paths!$M$241*(1+'Operating costs'!$B$53)^MAX(0,C2585-1)),"n.a."))</f>
        <v>0</v>
      </c>
      <c r="I2585" s="16">
        <f>IF(NOT(Paths!$C$241=1),0,IF(Paths!$P$241="Complete",IF(IF(Paths!$E$241=0,C2585=0,AND(C2585&gt;0,Paths!$E$241&gt;(C2585-1)*12,Paths!$E$241&lt;=C2585*12)),Paths!$G$241,0),"n.a."))</f>
        <v>0</v>
      </c>
      <c r="J2585" s="16">
        <f>IF(NOT(Paths!$C$241=1),0,IF(Paths!$P$241="Complete",IF(IF(Paths!$E$241=0,C2585=0,AND(C2585&gt;0,Paths!$E$241&gt;(C2585-1)*12,Paths!$E$241&lt;=C2585*12)),Paths!$H$241,0),"n.a."))</f>
        <v>0</v>
      </c>
      <c r="K2585" s="16">
        <f>IF(NOT(Paths!$C$241=1),0,IF(Paths!$P$241="Complete",IF(IF(Paths!$O$241=0,C2585=0,AND(C2585&gt;0,Paths!$O$241&gt;(C2585-1)*12,Paths!$O$241&lt;=C2585*12)),Paths!$N$241,0),"n.a."))</f>
        <v>0</v>
      </c>
      <c r="L2585" s="16">
        <f>IF(NOT(Paths!$C$241=1),0,IF(Paths!$P$241="Complete",IF(C2585=10,Paths!$I$241,0),"n.a."))</f>
        <v>0</v>
      </c>
      <c r="M2585" s="16">
        <f>IF(NOT(Paths!$C$241=1),0,IF(Paths!$P$241="Complete",IF(AND(Paths!$D$241="EV",Paths!$E$241&lt;120,Paths!$E$241+'Operating costs'!$B$65&gt;Paths!$E$241,Paths!$E$241+'Operating costs'!$B$65&lt;=120,IF(Paths!$E$241+'Operating costs'!$B$65=0,C2585=0,AND(C2585&gt;0,Paths!$E$241+'Operating costs'!$B$65&gt;(C2585-1)*12,Paths!$E$241+'Operating costs'!$B$65&lt;=C2585*12))),'Operating costs'!$B$64,0)+IF(AND('Operating costs'!$B$67&gt;0,'Operating costs'!$B$67&lt;=120,OR(Paths!$D$241="ICE",'Operating costs'!$B$67&lt;=Paths!$E$241),IF('Operating costs'!$B$67=0,C2585=0,AND(C2585&gt;0,'Operating costs'!$B$67&gt;(C2585-1)*12,'Operating costs'!$B$67&lt;=C2585*12))),'Operating costs'!$B$66,0),"n.a."))</f>
        <v>0</v>
      </c>
      <c r="N2585" s="16">
        <f>IF(NOT(Paths!$C$241=1),0,IF(Paths!$P$241="Complete",SUM(G2585:I2585)-J2585-K2585-L2585+M2585+IF(C2585=0,Paths!$F$241,0)+IF(IF(Paths!$E$241=0,C2585=0,AND(C2585&gt;0,Paths!$E$241&gt;(C2585-1)*12,Paths!$E$241&lt;=C2585*12)),VLOOKUP(A2585,'Fleet register'!$A$7:$S$106,16,FALSE),0),"n.a."))</f>
        <v>0</v>
      </c>
      <c r="O2585" s="16">
        <f>IF(NOT(Paths!$C$241=1),0,IF(Paths!$P$241="Complete",N2585-IF(C2585=0,Paths!$F$241,0),"n.a."))</f>
        <v>0</v>
      </c>
      <c r="P2585" s="16">
        <f>IF(NOT(Paths!$C$241=1),0,IF(Paths!$P$241="Complete",O2585+L2585,"n.a."))</f>
        <v>0</v>
      </c>
      <c r="Q2585" s="16">
        <f>IF(NOT(Paths!$C$241=1),0,IF(Paths!$P$241="Complete",N2585*(1+'Operating costs'!$B$54)^-C2585,"n.a."))</f>
        <v>0</v>
      </c>
      <c r="R2585" s="16">
        <f>IF(NOT(Paths!$C$241=1),0,IF(Paths!$P$241="Complete",IF(AND(C2585=0,Paths!$E$241=0),I2585-J2585-K2585+VLOOKUP(A2585,'Fleet register'!$A$7:$S$106,15,FALSE)+VLOOKUP(A2585,'Fleet register'!$A$7:$S$106,16,FALSE),0),"n.a."))</f>
        <v>0</v>
      </c>
      <c r="S2585" s="1">
        <f>IF(NOT(Paths!$C$241=1),0,IF(Paths!$P$241="Complete",IF(C2585=0,0,Paths!$S$241*Paths!$R$241),"n.a."))</f>
        <v>0</v>
      </c>
      <c r="T2585" s="1">
        <f>IF(NOT(Paths!$C$241=1),0,IF(Paths!$P$241="Complete",IF(C2585=0,0,VLOOKUP(A2585,'Fleet register'!$A$7:$S$106,9,FALSE)*Paths!$R$241),"n.a."))</f>
        <v>0</v>
      </c>
    </row>
    <row r="2586" spans="1:20" ht="24" customHeight="1">
      <c r="A2586" s="1" t="str">
        <f>Paths!$A$241</f>
        <v>T059</v>
      </c>
      <c r="B2586" s="1">
        <f>Paths!$B$241</f>
        <v>2</v>
      </c>
      <c r="C2586" s="1">
        <v>5</v>
      </c>
      <c r="D2586" s="1">
        <v>241</v>
      </c>
      <c r="E2586" s="1">
        <f>IF(OR(Paths!$C$241=0,C2586=0),0,MAX(0,MIN(C2586*12,Paths!$E$241)-(C2586-1)*12))</f>
        <v>0</v>
      </c>
      <c r="F2586" s="1">
        <f>IF(OR(Paths!$C$241=0,C2586=0),0,12-E2586)</f>
        <v>0</v>
      </c>
      <c r="G2586" s="16">
        <f>IF(NOT(Paths!$C$241=1),0,IF(Paths!$P$241="Complete",E2586/12*(Paths!$J$241*(1+'Operating costs'!$B$51)^MAX(0,C2586-1)+Paths!$K$241*(1+'Operating costs'!$B$53)^MAX(0,C2586-1)),"n.a."))</f>
        <v>0</v>
      </c>
      <c r="H2586" s="16">
        <f>IF(NOT(Paths!$C$241=1),0,IF(Paths!$P$241="Complete",F2586/12*(Paths!$L$241*(1+IF(Paths!$D$241="EV",'Operating costs'!$B$52,'Operating costs'!$B$51))^MAX(0,C2586-1)+Paths!$M$241*(1+'Operating costs'!$B$53)^MAX(0,C2586-1)),"n.a."))</f>
        <v>0</v>
      </c>
      <c r="I2586" s="16">
        <f>IF(NOT(Paths!$C$241=1),0,IF(Paths!$P$241="Complete",IF(IF(Paths!$E$241=0,C2586=0,AND(C2586&gt;0,Paths!$E$241&gt;(C2586-1)*12,Paths!$E$241&lt;=C2586*12)),Paths!$G$241,0),"n.a."))</f>
        <v>0</v>
      </c>
      <c r="J2586" s="16">
        <f>IF(NOT(Paths!$C$241=1),0,IF(Paths!$P$241="Complete",IF(IF(Paths!$E$241=0,C2586=0,AND(C2586&gt;0,Paths!$E$241&gt;(C2586-1)*12,Paths!$E$241&lt;=C2586*12)),Paths!$H$241,0),"n.a."))</f>
        <v>0</v>
      </c>
      <c r="K2586" s="16">
        <f>IF(NOT(Paths!$C$241=1),0,IF(Paths!$P$241="Complete",IF(IF(Paths!$O$241=0,C2586=0,AND(C2586&gt;0,Paths!$O$241&gt;(C2586-1)*12,Paths!$O$241&lt;=C2586*12)),Paths!$N$241,0),"n.a."))</f>
        <v>0</v>
      </c>
      <c r="L2586" s="16">
        <f>IF(NOT(Paths!$C$241=1),0,IF(Paths!$P$241="Complete",IF(C2586=10,Paths!$I$241,0),"n.a."))</f>
        <v>0</v>
      </c>
      <c r="M2586" s="16">
        <f>IF(NOT(Paths!$C$241=1),0,IF(Paths!$P$241="Complete",IF(AND(Paths!$D$241="EV",Paths!$E$241&lt;120,Paths!$E$241+'Operating costs'!$B$65&gt;Paths!$E$241,Paths!$E$241+'Operating costs'!$B$65&lt;=120,IF(Paths!$E$241+'Operating costs'!$B$65=0,C2586=0,AND(C2586&gt;0,Paths!$E$241+'Operating costs'!$B$65&gt;(C2586-1)*12,Paths!$E$241+'Operating costs'!$B$65&lt;=C2586*12))),'Operating costs'!$B$64,0)+IF(AND('Operating costs'!$B$67&gt;0,'Operating costs'!$B$67&lt;=120,OR(Paths!$D$241="ICE",'Operating costs'!$B$67&lt;=Paths!$E$241),IF('Operating costs'!$B$67=0,C2586=0,AND(C2586&gt;0,'Operating costs'!$B$67&gt;(C2586-1)*12,'Operating costs'!$B$67&lt;=C2586*12))),'Operating costs'!$B$66,0),"n.a."))</f>
        <v>0</v>
      </c>
      <c r="N2586" s="16">
        <f>IF(NOT(Paths!$C$241=1),0,IF(Paths!$P$241="Complete",SUM(G2586:I2586)-J2586-K2586-L2586+M2586+IF(C2586=0,Paths!$F$241,0)+IF(IF(Paths!$E$241=0,C2586=0,AND(C2586&gt;0,Paths!$E$241&gt;(C2586-1)*12,Paths!$E$241&lt;=C2586*12)),VLOOKUP(A2586,'Fleet register'!$A$7:$S$106,16,FALSE),0),"n.a."))</f>
        <v>0</v>
      </c>
      <c r="O2586" s="16">
        <f>IF(NOT(Paths!$C$241=1),0,IF(Paths!$P$241="Complete",N2586-IF(C2586=0,Paths!$F$241,0),"n.a."))</f>
        <v>0</v>
      </c>
      <c r="P2586" s="16">
        <f>IF(NOT(Paths!$C$241=1),0,IF(Paths!$P$241="Complete",O2586+L2586,"n.a."))</f>
        <v>0</v>
      </c>
      <c r="Q2586" s="16">
        <f>IF(NOT(Paths!$C$241=1),0,IF(Paths!$P$241="Complete",N2586*(1+'Operating costs'!$B$54)^-C2586,"n.a."))</f>
        <v>0</v>
      </c>
      <c r="R2586" s="16">
        <f>IF(NOT(Paths!$C$241=1),0,IF(Paths!$P$241="Complete",IF(AND(C2586=0,Paths!$E$241=0),I2586-J2586-K2586+VLOOKUP(A2586,'Fleet register'!$A$7:$S$106,15,FALSE)+VLOOKUP(A2586,'Fleet register'!$A$7:$S$106,16,FALSE),0),"n.a."))</f>
        <v>0</v>
      </c>
      <c r="S2586" s="1">
        <f>IF(NOT(Paths!$C$241=1),0,IF(Paths!$P$241="Complete",IF(C2586=0,0,Paths!$S$241*Paths!$R$241),"n.a."))</f>
        <v>0</v>
      </c>
      <c r="T2586" s="1">
        <f>IF(NOT(Paths!$C$241=1),0,IF(Paths!$P$241="Complete",IF(C2586=0,0,VLOOKUP(A2586,'Fleet register'!$A$7:$S$106,9,FALSE)*Paths!$R$241),"n.a."))</f>
        <v>0</v>
      </c>
    </row>
    <row r="2587" spans="1:20" ht="24" customHeight="1">
      <c r="A2587" s="1" t="str">
        <f>Paths!$A$241</f>
        <v>T059</v>
      </c>
      <c r="B2587" s="1">
        <f>Paths!$B$241</f>
        <v>2</v>
      </c>
      <c r="C2587" s="1">
        <v>6</v>
      </c>
      <c r="D2587" s="1">
        <v>241</v>
      </c>
      <c r="E2587" s="1">
        <f>IF(OR(Paths!$C$241=0,C2587=0),0,MAX(0,MIN(C2587*12,Paths!$E$241)-(C2587-1)*12))</f>
        <v>0</v>
      </c>
      <c r="F2587" s="1">
        <f>IF(OR(Paths!$C$241=0,C2587=0),0,12-E2587)</f>
        <v>0</v>
      </c>
      <c r="G2587" s="16">
        <f>IF(NOT(Paths!$C$241=1),0,IF(Paths!$P$241="Complete",E2587/12*(Paths!$J$241*(1+'Operating costs'!$B$51)^MAX(0,C2587-1)+Paths!$K$241*(1+'Operating costs'!$B$53)^MAX(0,C2587-1)),"n.a."))</f>
        <v>0</v>
      </c>
      <c r="H2587" s="16">
        <f>IF(NOT(Paths!$C$241=1),0,IF(Paths!$P$241="Complete",F2587/12*(Paths!$L$241*(1+IF(Paths!$D$241="EV",'Operating costs'!$B$52,'Operating costs'!$B$51))^MAX(0,C2587-1)+Paths!$M$241*(1+'Operating costs'!$B$53)^MAX(0,C2587-1)),"n.a."))</f>
        <v>0</v>
      </c>
      <c r="I2587" s="16">
        <f>IF(NOT(Paths!$C$241=1),0,IF(Paths!$P$241="Complete",IF(IF(Paths!$E$241=0,C2587=0,AND(C2587&gt;0,Paths!$E$241&gt;(C2587-1)*12,Paths!$E$241&lt;=C2587*12)),Paths!$G$241,0),"n.a."))</f>
        <v>0</v>
      </c>
      <c r="J2587" s="16">
        <f>IF(NOT(Paths!$C$241=1),0,IF(Paths!$P$241="Complete",IF(IF(Paths!$E$241=0,C2587=0,AND(C2587&gt;0,Paths!$E$241&gt;(C2587-1)*12,Paths!$E$241&lt;=C2587*12)),Paths!$H$241,0),"n.a."))</f>
        <v>0</v>
      </c>
      <c r="K2587" s="16">
        <f>IF(NOT(Paths!$C$241=1),0,IF(Paths!$P$241="Complete",IF(IF(Paths!$O$241=0,C2587=0,AND(C2587&gt;0,Paths!$O$241&gt;(C2587-1)*12,Paths!$O$241&lt;=C2587*12)),Paths!$N$241,0),"n.a."))</f>
        <v>0</v>
      </c>
      <c r="L2587" s="16">
        <f>IF(NOT(Paths!$C$241=1),0,IF(Paths!$P$241="Complete",IF(C2587=10,Paths!$I$241,0),"n.a."))</f>
        <v>0</v>
      </c>
      <c r="M2587" s="16">
        <f>IF(NOT(Paths!$C$241=1),0,IF(Paths!$P$241="Complete",IF(AND(Paths!$D$241="EV",Paths!$E$241&lt;120,Paths!$E$241+'Operating costs'!$B$65&gt;Paths!$E$241,Paths!$E$241+'Operating costs'!$B$65&lt;=120,IF(Paths!$E$241+'Operating costs'!$B$65=0,C2587=0,AND(C2587&gt;0,Paths!$E$241+'Operating costs'!$B$65&gt;(C2587-1)*12,Paths!$E$241+'Operating costs'!$B$65&lt;=C2587*12))),'Operating costs'!$B$64,0)+IF(AND('Operating costs'!$B$67&gt;0,'Operating costs'!$B$67&lt;=120,OR(Paths!$D$241="ICE",'Operating costs'!$B$67&lt;=Paths!$E$241),IF('Operating costs'!$B$67=0,C2587=0,AND(C2587&gt;0,'Operating costs'!$B$67&gt;(C2587-1)*12,'Operating costs'!$B$67&lt;=C2587*12))),'Operating costs'!$B$66,0),"n.a."))</f>
        <v>0</v>
      </c>
      <c r="N2587" s="16">
        <f>IF(NOT(Paths!$C$241=1),0,IF(Paths!$P$241="Complete",SUM(G2587:I2587)-J2587-K2587-L2587+M2587+IF(C2587=0,Paths!$F$241,0)+IF(IF(Paths!$E$241=0,C2587=0,AND(C2587&gt;0,Paths!$E$241&gt;(C2587-1)*12,Paths!$E$241&lt;=C2587*12)),VLOOKUP(A2587,'Fleet register'!$A$7:$S$106,16,FALSE),0),"n.a."))</f>
        <v>0</v>
      </c>
      <c r="O2587" s="16">
        <f>IF(NOT(Paths!$C$241=1),0,IF(Paths!$P$241="Complete",N2587-IF(C2587=0,Paths!$F$241,0),"n.a."))</f>
        <v>0</v>
      </c>
      <c r="P2587" s="16">
        <f>IF(NOT(Paths!$C$241=1),0,IF(Paths!$P$241="Complete",O2587+L2587,"n.a."))</f>
        <v>0</v>
      </c>
      <c r="Q2587" s="16">
        <f>IF(NOT(Paths!$C$241=1),0,IF(Paths!$P$241="Complete",N2587*(1+'Operating costs'!$B$54)^-C2587,"n.a."))</f>
        <v>0</v>
      </c>
      <c r="R2587" s="16">
        <f>IF(NOT(Paths!$C$241=1),0,IF(Paths!$P$241="Complete",IF(AND(C2587=0,Paths!$E$241=0),I2587-J2587-K2587+VLOOKUP(A2587,'Fleet register'!$A$7:$S$106,15,FALSE)+VLOOKUP(A2587,'Fleet register'!$A$7:$S$106,16,FALSE),0),"n.a."))</f>
        <v>0</v>
      </c>
      <c r="S2587" s="1">
        <f>IF(NOT(Paths!$C$241=1),0,IF(Paths!$P$241="Complete",IF(C2587=0,0,Paths!$S$241*Paths!$R$241),"n.a."))</f>
        <v>0</v>
      </c>
      <c r="T2587" s="1">
        <f>IF(NOT(Paths!$C$241=1),0,IF(Paths!$P$241="Complete",IF(C2587=0,0,VLOOKUP(A2587,'Fleet register'!$A$7:$S$106,9,FALSE)*Paths!$R$241),"n.a."))</f>
        <v>0</v>
      </c>
    </row>
    <row r="2588" spans="1:20" ht="24" customHeight="1">
      <c r="A2588" s="1" t="str">
        <f>Paths!$A$241</f>
        <v>T059</v>
      </c>
      <c r="B2588" s="1">
        <f>Paths!$B$241</f>
        <v>2</v>
      </c>
      <c r="C2588" s="1">
        <v>7</v>
      </c>
      <c r="D2588" s="1">
        <v>241</v>
      </c>
      <c r="E2588" s="1">
        <f>IF(OR(Paths!$C$241=0,C2588=0),0,MAX(0,MIN(C2588*12,Paths!$E$241)-(C2588-1)*12))</f>
        <v>0</v>
      </c>
      <c r="F2588" s="1">
        <f>IF(OR(Paths!$C$241=0,C2588=0),0,12-E2588)</f>
        <v>0</v>
      </c>
      <c r="G2588" s="16">
        <f>IF(NOT(Paths!$C$241=1),0,IF(Paths!$P$241="Complete",E2588/12*(Paths!$J$241*(1+'Operating costs'!$B$51)^MAX(0,C2588-1)+Paths!$K$241*(1+'Operating costs'!$B$53)^MAX(0,C2588-1)),"n.a."))</f>
        <v>0</v>
      </c>
      <c r="H2588" s="16">
        <f>IF(NOT(Paths!$C$241=1),0,IF(Paths!$P$241="Complete",F2588/12*(Paths!$L$241*(1+IF(Paths!$D$241="EV",'Operating costs'!$B$52,'Operating costs'!$B$51))^MAX(0,C2588-1)+Paths!$M$241*(1+'Operating costs'!$B$53)^MAX(0,C2588-1)),"n.a."))</f>
        <v>0</v>
      </c>
      <c r="I2588" s="16">
        <f>IF(NOT(Paths!$C$241=1),0,IF(Paths!$P$241="Complete",IF(IF(Paths!$E$241=0,C2588=0,AND(C2588&gt;0,Paths!$E$241&gt;(C2588-1)*12,Paths!$E$241&lt;=C2588*12)),Paths!$G$241,0),"n.a."))</f>
        <v>0</v>
      </c>
      <c r="J2588" s="16">
        <f>IF(NOT(Paths!$C$241=1),0,IF(Paths!$P$241="Complete",IF(IF(Paths!$E$241=0,C2588=0,AND(C2588&gt;0,Paths!$E$241&gt;(C2588-1)*12,Paths!$E$241&lt;=C2588*12)),Paths!$H$241,0),"n.a."))</f>
        <v>0</v>
      </c>
      <c r="K2588" s="16">
        <f>IF(NOT(Paths!$C$241=1),0,IF(Paths!$P$241="Complete",IF(IF(Paths!$O$241=0,C2588=0,AND(C2588&gt;0,Paths!$O$241&gt;(C2588-1)*12,Paths!$O$241&lt;=C2588*12)),Paths!$N$241,0),"n.a."))</f>
        <v>0</v>
      </c>
      <c r="L2588" s="16">
        <f>IF(NOT(Paths!$C$241=1),0,IF(Paths!$P$241="Complete",IF(C2588=10,Paths!$I$241,0),"n.a."))</f>
        <v>0</v>
      </c>
      <c r="M2588" s="16">
        <f>IF(NOT(Paths!$C$241=1),0,IF(Paths!$P$241="Complete",IF(AND(Paths!$D$241="EV",Paths!$E$241&lt;120,Paths!$E$241+'Operating costs'!$B$65&gt;Paths!$E$241,Paths!$E$241+'Operating costs'!$B$65&lt;=120,IF(Paths!$E$241+'Operating costs'!$B$65=0,C2588=0,AND(C2588&gt;0,Paths!$E$241+'Operating costs'!$B$65&gt;(C2588-1)*12,Paths!$E$241+'Operating costs'!$B$65&lt;=C2588*12))),'Operating costs'!$B$64,0)+IF(AND('Operating costs'!$B$67&gt;0,'Operating costs'!$B$67&lt;=120,OR(Paths!$D$241="ICE",'Operating costs'!$B$67&lt;=Paths!$E$241),IF('Operating costs'!$B$67=0,C2588=0,AND(C2588&gt;0,'Operating costs'!$B$67&gt;(C2588-1)*12,'Operating costs'!$B$67&lt;=C2588*12))),'Operating costs'!$B$66,0),"n.a."))</f>
        <v>0</v>
      </c>
      <c r="N2588" s="16">
        <f>IF(NOT(Paths!$C$241=1),0,IF(Paths!$P$241="Complete",SUM(G2588:I2588)-J2588-K2588-L2588+M2588+IF(C2588=0,Paths!$F$241,0)+IF(IF(Paths!$E$241=0,C2588=0,AND(C2588&gt;0,Paths!$E$241&gt;(C2588-1)*12,Paths!$E$241&lt;=C2588*12)),VLOOKUP(A2588,'Fleet register'!$A$7:$S$106,16,FALSE),0),"n.a."))</f>
        <v>0</v>
      </c>
      <c r="O2588" s="16">
        <f>IF(NOT(Paths!$C$241=1),0,IF(Paths!$P$241="Complete",N2588-IF(C2588=0,Paths!$F$241,0),"n.a."))</f>
        <v>0</v>
      </c>
      <c r="P2588" s="16">
        <f>IF(NOT(Paths!$C$241=1),0,IF(Paths!$P$241="Complete",O2588+L2588,"n.a."))</f>
        <v>0</v>
      </c>
      <c r="Q2588" s="16">
        <f>IF(NOT(Paths!$C$241=1),0,IF(Paths!$P$241="Complete",N2588*(1+'Operating costs'!$B$54)^-C2588,"n.a."))</f>
        <v>0</v>
      </c>
      <c r="R2588" s="16">
        <f>IF(NOT(Paths!$C$241=1),0,IF(Paths!$P$241="Complete",IF(AND(C2588=0,Paths!$E$241=0),I2588-J2588-K2588+VLOOKUP(A2588,'Fleet register'!$A$7:$S$106,15,FALSE)+VLOOKUP(A2588,'Fleet register'!$A$7:$S$106,16,FALSE),0),"n.a."))</f>
        <v>0</v>
      </c>
      <c r="S2588" s="1">
        <f>IF(NOT(Paths!$C$241=1),0,IF(Paths!$P$241="Complete",IF(C2588=0,0,Paths!$S$241*Paths!$R$241),"n.a."))</f>
        <v>0</v>
      </c>
      <c r="T2588" s="1">
        <f>IF(NOT(Paths!$C$241=1),0,IF(Paths!$P$241="Complete",IF(C2588=0,0,VLOOKUP(A2588,'Fleet register'!$A$7:$S$106,9,FALSE)*Paths!$R$241),"n.a."))</f>
        <v>0</v>
      </c>
    </row>
    <row r="2589" spans="1:20" ht="24" customHeight="1">
      <c r="A2589" s="1" t="str">
        <f>Paths!$A$241</f>
        <v>T059</v>
      </c>
      <c r="B2589" s="1">
        <f>Paths!$B$241</f>
        <v>2</v>
      </c>
      <c r="C2589" s="1">
        <v>8</v>
      </c>
      <c r="D2589" s="1">
        <v>241</v>
      </c>
      <c r="E2589" s="1">
        <f>IF(OR(Paths!$C$241=0,C2589=0),0,MAX(0,MIN(C2589*12,Paths!$E$241)-(C2589-1)*12))</f>
        <v>0</v>
      </c>
      <c r="F2589" s="1">
        <f>IF(OR(Paths!$C$241=0,C2589=0),0,12-E2589)</f>
        <v>0</v>
      </c>
      <c r="G2589" s="16">
        <f>IF(NOT(Paths!$C$241=1),0,IF(Paths!$P$241="Complete",E2589/12*(Paths!$J$241*(1+'Operating costs'!$B$51)^MAX(0,C2589-1)+Paths!$K$241*(1+'Operating costs'!$B$53)^MAX(0,C2589-1)),"n.a."))</f>
        <v>0</v>
      </c>
      <c r="H2589" s="16">
        <f>IF(NOT(Paths!$C$241=1),0,IF(Paths!$P$241="Complete",F2589/12*(Paths!$L$241*(1+IF(Paths!$D$241="EV",'Operating costs'!$B$52,'Operating costs'!$B$51))^MAX(0,C2589-1)+Paths!$M$241*(1+'Operating costs'!$B$53)^MAX(0,C2589-1)),"n.a."))</f>
        <v>0</v>
      </c>
      <c r="I2589" s="16">
        <f>IF(NOT(Paths!$C$241=1),0,IF(Paths!$P$241="Complete",IF(IF(Paths!$E$241=0,C2589=0,AND(C2589&gt;0,Paths!$E$241&gt;(C2589-1)*12,Paths!$E$241&lt;=C2589*12)),Paths!$G$241,0),"n.a."))</f>
        <v>0</v>
      </c>
      <c r="J2589" s="16">
        <f>IF(NOT(Paths!$C$241=1),0,IF(Paths!$P$241="Complete",IF(IF(Paths!$E$241=0,C2589=0,AND(C2589&gt;0,Paths!$E$241&gt;(C2589-1)*12,Paths!$E$241&lt;=C2589*12)),Paths!$H$241,0),"n.a."))</f>
        <v>0</v>
      </c>
      <c r="K2589" s="16">
        <f>IF(NOT(Paths!$C$241=1),0,IF(Paths!$P$241="Complete",IF(IF(Paths!$O$241=0,C2589=0,AND(C2589&gt;0,Paths!$O$241&gt;(C2589-1)*12,Paths!$O$241&lt;=C2589*12)),Paths!$N$241,0),"n.a."))</f>
        <v>0</v>
      </c>
      <c r="L2589" s="16">
        <f>IF(NOT(Paths!$C$241=1),0,IF(Paths!$P$241="Complete",IF(C2589=10,Paths!$I$241,0),"n.a."))</f>
        <v>0</v>
      </c>
      <c r="M2589" s="16">
        <f>IF(NOT(Paths!$C$241=1),0,IF(Paths!$P$241="Complete",IF(AND(Paths!$D$241="EV",Paths!$E$241&lt;120,Paths!$E$241+'Operating costs'!$B$65&gt;Paths!$E$241,Paths!$E$241+'Operating costs'!$B$65&lt;=120,IF(Paths!$E$241+'Operating costs'!$B$65=0,C2589=0,AND(C2589&gt;0,Paths!$E$241+'Operating costs'!$B$65&gt;(C2589-1)*12,Paths!$E$241+'Operating costs'!$B$65&lt;=C2589*12))),'Operating costs'!$B$64,0)+IF(AND('Operating costs'!$B$67&gt;0,'Operating costs'!$B$67&lt;=120,OR(Paths!$D$241="ICE",'Operating costs'!$B$67&lt;=Paths!$E$241),IF('Operating costs'!$B$67=0,C2589=0,AND(C2589&gt;0,'Operating costs'!$B$67&gt;(C2589-1)*12,'Operating costs'!$B$67&lt;=C2589*12))),'Operating costs'!$B$66,0),"n.a."))</f>
        <v>0</v>
      </c>
      <c r="N2589" s="16">
        <f>IF(NOT(Paths!$C$241=1),0,IF(Paths!$P$241="Complete",SUM(G2589:I2589)-J2589-K2589-L2589+M2589+IF(C2589=0,Paths!$F$241,0)+IF(IF(Paths!$E$241=0,C2589=0,AND(C2589&gt;0,Paths!$E$241&gt;(C2589-1)*12,Paths!$E$241&lt;=C2589*12)),VLOOKUP(A2589,'Fleet register'!$A$7:$S$106,16,FALSE),0),"n.a."))</f>
        <v>0</v>
      </c>
      <c r="O2589" s="16">
        <f>IF(NOT(Paths!$C$241=1),0,IF(Paths!$P$241="Complete",N2589-IF(C2589=0,Paths!$F$241,0),"n.a."))</f>
        <v>0</v>
      </c>
      <c r="P2589" s="16">
        <f>IF(NOT(Paths!$C$241=1),0,IF(Paths!$P$241="Complete",O2589+L2589,"n.a."))</f>
        <v>0</v>
      </c>
      <c r="Q2589" s="16">
        <f>IF(NOT(Paths!$C$241=1),0,IF(Paths!$P$241="Complete",N2589*(1+'Operating costs'!$B$54)^-C2589,"n.a."))</f>
        <v>0</v>
      </c>
      <c r="R2589" s="16">
        <f>IF(NOT(Paths!$C$241=1),0,IF(Paths!$P$241="Complete",IF(AND(C2589=0,Paths!$E$241=0),I2589-J2589-K2589+VLOOKUP(A2589,'Fleet register'!$A$7:$S$106,15,FALSE)+VLOOKUP(A2589,'Fleet register'!$A$7:$S$106,16,FALSE),0),"n.a."))</f>
        <v>0</v>
      </c>
      <c r="S2589" s="1">
        <f>IF(NOT(Paths!$C$241=1),0,IF(Paths!$P$241="Complete",IF(C2589=0,0,Paths!$S$241*Paths!$R$241),"n.a."))</f>
        <v>0</v>
      </c>
      <c r="T2589" s="1">
        <f>IF(NOT(Paths!$C$241=1),0,IF(Paths!$P$241="Complete",IF(C2589=0,0,VLOOKUP(A2589,'Fleet register'!$A$7:$S$106,9,FALSE)*Paths!$R$241),"n.a."))</f>
        <v>0</v>
      </c>
    </row>
    <row r="2590" spans="1:20" ht="24" customHeight="1">
      <c r="A2590" s="1" t="str">
        <f>Paths!$A$241</f>
        <v>T059</v>
      </c>
      <c r="B2590" s="1">
        <f>Paths!$B$241</f>
        <v>2</v>
      </c>
      <c r="C2590" s="1">
        <v>9</v>
      </c>
      <c r="D2590" s="1">
        <v>241</v>
      </c>
      <c r="E2590" s="1">
        <f>IF(OR(Paths!$C$241=0,C2590=0),0,MAX(0,MIN(C2590*12,Paths!$E$241)-(C2590-1)*12))</f>
        <v>0</v>
      </c>
      <c r="F2590" s="1">
        <f>IF(OR(Paths!$C$241=0,C2590=0),0,12-E2590)</f>
        <v>0</v>
      </c>
      <c r="G2590" s="16">
        <f>IF(NOT(Paths!$C$241=1),0,IF(Paths!$P$241="Complete",E2590/12*(Paths!$J$241*(1+'Operating costs'!$B$51)^MAX(0,C2590-1)+Paths!$K$241*(1+'Operating costs'!$B$53)^MAX(0,C2590-1)),"n.a."))</f>
        <v>0</v>
      </c>
      <c r="H2590" s="16">
        <f>IF(NOT(Paths!$C$241=1),0,IF(Paths!$P$241="Complete",F2590/12*(Paths!$L$241*(1+IF(Paths!$D$241="EV",'Operating costs'!$B$52,'Operating costs'!$B$51))^MAX(0,C2590-1)+Paths!$M$241*(1+'Operating costs'!$B$53)^MAX(0,C2590-1)),"n.a."))</f>
        <v>0</v>
      </c>
      <c r="I2590" s="16">
        <f>IF(NOT(Paths!$C$241=1),0,IF(Paths!$P$241="Complete",IF(IF(Paths!$E$241=0,C2590=0,AND(C2590&gt;0,Paths!$E$241&gt;(C2590-1)*12,Paths!$E$241&lt;=C2590*12)),Paths!$G$241,0),"n.a."))</f>
        <v>0</v>
      </c>
      <c r="J2590" s="16">
        <f>IF(NOT(Paths!$C$241=1),0,IF(Paths!$P$241="Complete",IF(IF(Paths!$E$241=0,C2590=0,AND(C2590&gt;0,Paths!$E$241&gt;(C2590-1)*12,Paths!$E$241&lt;=C2590*12)),Paths!$H$241,0),"n.a."))</f>
        <v>0</v>
      </c>
      <c r="K2590" s="16">
        <f>IF(NOT(Paths!$C$241=1),0,IF(Paths!$P$241="Complete",IF(IF(Paths!$O$241=0,C2590=0,AND(C2590&gt;0,Paths!$O$241&gt;(C2590-1)*12,Paths!$O$241&lt;=C2590*12)),Paths!$N$241,0),"n.a."))</f>
        <v>0</v>
      </c>
      <c r="L2590" s="16">
        <f>IF(NOT(Paths!$C$241=1),0,IF(Paths!$P$241="Complete",IF(C2590=10,Paths!$I$241,0),"n.a."))</f>
        <v>0</v>
      </c>
      <c r="M2590" s="16">
        <f>IF(NOT(Paths!$C$241=1),0,IF(Paths!$P$241="Complete",IF(AND(Paths!$D$241="EV",Paths!$E$241&lt;120,Paths!$E$241+'Operating costs'!$B$65&gt;Paths!$E$241,Paths!$E$241+'Operating costs'!$B$65&lt;=120,IF(Paths!$E$241+'Operating costs'!$B$65=0,C2590=0,AND(C2590&gt;0,Paths!$E$241+'Operating costs'!$B$65&gt;(C2590-1)*12,Paths!$E$241+'Operating costs'!$B$65&lt;=C2590*12))),'Operating costs'!$B$64,0)+IF(AND('Operating costs'!$B$67&gt;0,'Operating costs'!$B$67&lt;=120,OR(Paths!$D$241="ICE",'Operating costs'!$B$67&lt;=Paths!$E$241),IF('Operating costs'!$B$67=0,C2590=0,AND(C2590&gt;0,'Operating costs'!$B$67&gt;(C2590-1)*12,'Operating costs'!$B$67&lt;=C2590*12))),'Operating costs'!$B$66,0),"n.a."))</f>
        <v>0</v>
      </c>
      <c r="N2590" s="16">
        <f>IF(NOT(Paths!$C$241=1),0,IF(Paths!$P$241="Complete",SUM(G2590:I2590)-J2590-K2590-L2590+M2590+IF(C2590=0,Paths!$F$241,0)+IF(IF(Paths!$E$241=0,C2590=0,AND(C2590&gt;0,Paths!$E$241&gt;(C2590-1)*12,Paths!$E$241&lt;=C2590*12)),VLOOKUP(A2590,'Fleet register'!$A$7:$S$106,16,FALSE),0),"n.a."))</f>
        <v>0</v>
      </c>
      <c r="O2590" s="16">
        <f>IF(NOT(Paths!$C$241=1),0,IF(Paths!$P$241="Complete",N2590-IF(C2590=0,Paths!$F$241,0),"n.a."))</f>
        <v>0</v>
      </c>
      <c r="P2590" s="16">
        <f>IF(NOT(Paths!$C$241=1),0,IF(Paths!$P$241="Complete",O2590+L2590,"n.a."))</f>
        <v>0</v>
      </c>
      <c r="Q2590" s="16">
        <f>IF(NOT(Paths!$C$241=1),0,IF(Paths!$P$241="Complete",N2590*(1+'Operating costs'!$B$54)^-C2590,"n.a."))</f>
        <v>0</v>
      </c>
      <c r="R2590" s="16">
        <f>IF(NOT(Paths!$C$241=1),0,IF(Paths!$P$241="Complete",IF(AND(C2590=0,Paths!$E$241=0),I2590-J2590-K2590+VLOOKUP(A2590,'Fleet register'!$A$7:$S$106,15,FALSE)+VLOOKUP(A2590,'Fleet register'!$A$7:$S$106,16,FALSE),0),"n.a."))</f>
        <v>0</v>
      </c>
      <c r="S2590" s="1">
        <f>IF(NOT(Paths!$C$241=1),0,IF(Paths!$P$241="Complete",IF(C2590=0,0,Paths!$S$241*Paths!$R$241),"n.a."))</f>
        <v>0</v>
      </c>
      <c r="T2590" s="1">
        <f>IF(NOT(Paths!$C$241=1),0,IF(Paths!$P$241="Complete",IF(C2590=0,0,VLOOKUP(A2590,'Fleet register'!$A$7:$S$106,9,FALSE)*Paths!$R$241),"n.a."))</f>
        <v>0</v>
      </c>
    </row>
    <row r="2591" spans="1:20" ht="24" customHeight="1">
      <c r="A2591" s="1" t="str">
        <f>Paths!$A$241</f>
        <v>T059</v>
      </c>
      <c r="B2591" s="1">
        <f>Paths!$B$241</f>
        <v>2</v>
      </c>
      <c r="C2591" s="1">
        <v>10</v>
      </c>
      <c r="D2591" s="1">
        <v>241</v>
      </c>
      <c r="E2591" s="1">
        <f>IF(OR(Paths!$C$241=0,C2591=0),0,MAX(0,MIN(C2591*12,Paths!$E$241)-(C2591-1)*12))</f>
        <v>0</v>
      </c>
      <c r="F2591" s="1">
        <f>IF(OR(Paths!$C$241=0,C2591=0),0,12-E2591)</f>
        <v>0</v>
      </c>
      <c r="G2591" s="16">
        <f>IF(NOT(Paths!$C$241=1),0,IF(Paths!$P$241="Complete",E2591/12*(Paths!$J$241*(1+'Operating costs'!$B$51)^MAX(0,C2591-1)+Paths!$K$241*(1+'Operating costs'!$B$53)^MAX(0,C2591-1)),"n.a."))</f>
        <v>0</v>
      </c>
      <c r="H2591" s="16">
        <f>IF(NOT(Paths!$C$241=1),0,IF(Paths!$P$241="Complete",F2591/12*(Paths!$L$241*(1+IF(Paths!$D$241="EV",'Operating costs'!$B$52,'Operating costs'!$B$51))^MAX(0,C2591-1)+Paths!$M$241*(1+'Operating costs'!$B$53)^MAX(0,C2591-1)),"n.a."))</f>
        <v>0</v>
      </c>
      <c r="I2591" s="16">
        <f>IF(NOT(Paths!$C$241=1),0,IF(Paths!$P$241="Complete",IF(IF(Paths!$E$241=0,C2591=0,AND(C2591&gt;0,Paths!$E$241&gt;(C2591-1)*12,Paths!$E$241&lt;=C2591*12)),Paths!$G$241,0),"n.a."))</f>
        <v>0</v>
      </c>
      <c r="J2591" s="16">
        <f>IF(NOT(Paths!$C$241=1),0,IF(Paths!$P$241="Complete",IF(IF(Paths!$E$241=0,C2591=0,AND(C2591&gt;0,Paths!$E$241&gt;(C2591-1)*12,Paths!$E$241&lt;=C2591*12)),Paths!$H$241,0),"n.a."))</f>
        <v>0</v>
      </c>
      <c r="K2591" s="16">
        <f>IF(NOT(Paths!$C$241=1),0,IF(Paths!$P$241="Complete",IF(IF(Paths!$O$241=0,C2591=0,AND(C2591&gt;0,Paths!$O$241&gt;(C2591-1)*12,Paths!$O$241&lt;=C2591*12)),Paths!$N$241,0),"n.a."))</f>
        <v>0</v>
      </c>
      <c r="L2591" s="16">
        <f>IF(NOT(Paths!$C$241=1),0,IF(Paths!$P$241="Complete",IF(C2591=10,Paths!$I$241,0),"n.a."))</f>
        <v>0</v>
      </c>
      <c r="M2591" s="16">
        <f>IF(NOT(Paths!$C$241=1),0,IF(Paths!$P$241="Complete",IF(AND(Paths!$D$241="EV",Paths!$E$241&lt;120,Paths!$E$241+'Operating costs'!$B$65&gt;Paths!$E$241,Paths!$E$241+'Operating costs'!$B$65&lt;=120,IF(Paths!$E$241+'Operating costs'!$B$65=0,C2591=0,AND(C2591&gt;0,Paths!$E$241+'Operating costs'!$B$65&gt;(C2591-1)*12,Paths!$E$241+'Operating costs'!$B$65&lt;=C2591*12))),'Operating costs'!$B$64,0)+IF(AND('Operating costs'!$B$67&gt;0,'Operating costs'!$B$67&lt;=120,OR(Paths!$D$241="ICE",'Operating costs'!$B$67&lt;=Paths!$E$241),IF('Operating costs'!$B$67=0,C2591=0,AND(C2591&gt;0,'Operating costs'!$B$67&gt;(C2591-1)*12,'Operating costs'!$B$67&lt;=C2591*12))),'Operating costs'!$B$66,0),"n.a."))</f>
        <v>0</v>
      </c>
      <c r="N2591" s="16">
        <f>IF(NOT(Paths!$C$241=1),0,IF(Paths!$P$241="Complete",SUM(G2591:I2591)-J2591-K2591-L2591+M2591+IF(C2591=0,Paths!$F$241,0)+IF(IF(Paths!$E$241=0,C2591=0,AND(C2591&gt;0,Paths!$E$241&gt;(C2591-1)*12,Paths!$E$241&lt;=C2591*12)),VLOOKUP(A2591,'Fleet register'!$A$7:$S$106,16,FALSE),0),"n.a."))</f>
        <v>0</v>
      </c>
      <c r="O2591" s="16">
        <f>IF(NOT(Paths!$C$241=1),0,IF(Paths!$P$241="Complete",N2591-IF(C2591=0,Paths!$F$241,0),"n.a."))</f>
        <v>0</v>
      </c>
      <c r="P2591" s="16">
        <f>IF(NOT(Paths!$C$241=1),0,IF(Paths!$P$241="Complete",O2591+L2591,"n.a."))</f>
        <v>0</v>
      </c>
      <c r="Q2591" s="16">
        <f>IF(NOT(Paths!$C$241=1),0,IF(Paths!$P$241="Complete",N2591*(1+'Operating costs'!$B$54)^-C2591,"n.a."))</f>
        <v>0</v>
      </c>
      <c r="R2591" s="16">
        <f>IF(NOT(Paths!$C$241=1),0,IF(Paths!$P$241="Complete",IF(AND(C2591=0,Paths!$E$241=0),I2591-J2591-K2591+VLOOKUP(A2591,'Fleet register'!$A$7:$S$106,15,FALSE)+VLOOKUP(A2591,'Fleet register'!$A$7:$S$106,16,FALSE),0),"n.a."))</f>
        <v>0</v>
      </c>
      <c r="S2591" s="1">
        <f>IF(NOT(Paths!$C$241=1),0,IF(Paths!$P$241="Complete",IF(C2591=0,0,Paths!$S$241*Paths!$R$241),"n.a."))</f>
        <v>0</v>
      </c>
      <c r="T2591" s="1">
        <f>IF(NOT(Paths!$C$241=1),0,IF(Paths!$P$241="Complete",IF(C2591=0,0,VLOOKUP(A2591,'Fleet register'!$A$7:$S$106,9,FALSE)*Paths!$R$241),"n.a."))</f>
        <v>0</v>
      </c>
    </row>
    <row r="2592" spans="1:20" ht="24" customHeight="1">
      <c r="A2592" s="1" t="str">
        <f>Paths!$A$242</f>
        <v>T059</v>
      </c>
      <c r="B2592" s="1">
        <f>Paths!$B$242</f>
        <v>3</v>
      </c>
      <c r="C2592" s="1">
        <v>0</v>
      </c>
      <c r="D2592" s="1">
        <v>242</v>
      </c>
      <c r="E2592" s="1">
        <f>IF(OR(Paths!$C$242=0,C2592=0),0,MAX(0,MIN(C2592*12,Paths!$E$242)-(C2592-1)*12))</f>
        <v>0</v>
      </c>
      <c r="F2592" s="1">
        <f>IF(OR(Paths!$C$242=0,C2592=0),0,12-E2592)</f>
        <v>0</v>
      </c>
      <c r="G2592" s="16">
        <f>IF(NOT(Paths!$C$242=1),0,IF(Paths!$P$242="Complete",E2592/12*(Paths!$J$242*(1+'Operating costs'!$B$51)^MAX(0,C2592-1)+Paths!$K$242*(1+'Operating costs'!$B$53)^MAX(0,C2592-1)),"n.a."))</f>
        <v>0</v>
      </c>
      <c r="H2592" s="16">
        <f>IF(NOT(Paths!$C$242=1),0,IF(Paths!$P$242="Complete",F2592/12*(Paths!$L$242*(1+IF(Paths!$D$242="EV",'Operating costs'!$B$52,'Operating costs'!$B$51))^MAX(0,C2592-1)+Paths!$M$242*(1+'Operating costs'!$B$53)^MAX(0,C2592-1)),"n.a."))</f>
        <v>0</v>
      </c>
      <c r="I2592" s="16">
        <f>IF(NOT(Paths!$C$242=1),0,IF(Paths!$P$242="Complete",IF(IF(Paths!$E$242=0,C2592=0,AND(C2592&gt;0,Paths!$E$242&gt;(C2592-1)*12,Paths!$E$242&lt;=C2592*12)),Paths!$G$242,0),"n.a."))</f>
        <v>0</v>
      </c>
      <c r="J2592" s="16">
        <f>IF(NOT(Paths!$C$242=1),0,IF(Paths!$P$242="Complete",IF(IF(Paths!$E$242=0,C2592=0,AND(C2592&gt;0,Paths!$E$242&gt;(C2592-1)*12,Paths!$E$242&lt;=C2592*12)),Paths!$H$242,0),"n.a."))</f>
        <v>0</v>
      </c>
      <c r="K2592" s="16">
        <f>IF(NOT(Paths!$C$242=1),0,IF(Paths!$P$242="Complete",IF(IF(Paths!$O$242=0,C2592=0,AND(C2592&gt;0,Paths!$O$242&gt;(C2592-1)*12,Paths!$O$242&lt;=C2592*12)),Paths!$N$242,0),"n.a."))</f>
        <v>0</v>
      </c>
      <c r="L2592" s="16">
        <f>IF(NOT(Paths!$C$242=1),0,IF(Paths!$P$242="Complete",IF(C2592=10,Paths!$I$242,0),"n.a."))</f>
        <v>0</v>
      </c>
      <c r="M2592" s="16">
        <f>IF(NOT(Paths!$C$242=1),0,IF(Paths!$P$242="Complete",IF(AND(Paths!$D$242="EV",Paths!$E$242&lt;120,Paths!$E$242+'Operating costs'!$B$65&gt;Paths!$E$242,Paths!$E$242+'Operating costs'!$B$65&lt;=120,IF(Paths!$E$242+'Operating costs'!$B$65=0,C2592=0,AND(C2592&gt;0,Paths!$E$242+'Operating costs'!$B$65&gt;(C2592-1)*12,Paths!$E$242+'Operating costs'!$B$65&lt;=C2592*12))),'Operating costs'!$B$64,0)+IF(AND('Operating costs'!$B$67&gt;0,'Operating costs'!$B$67&lt;=120,OR(Paths!$D$242="ICE",'Operating costs'!$B$67&lt;=Paths!$E$242),IF('Operating costs'!$B$67=0,C2592=0,AND(C2592&gt;0,'Operating costs'!$B$67&gt;(C2592-1)*12,'Operating costs'!$B$67&lt;=C2592*12))),'Operating costs'!$B$66,0),"n.a."))</f>
        <v>0</v>
      </c>
      <c r="N2592" s="16">
        <f>IF(NOT(Paths!$C$242=1),0,IF(Paths!$P$242="Complete",SUM(G2592:I2592)-J2592-K2592-L2592+M2592+IF(C2592=0,Paths!$F$242,0)+IF(IF(Paths!$E$242=0,C2592=0,AND(C2592&gt;0,Paths!$E$242&gt;(C2592-1)*12,Paths!$E$242&lt;=C2592*12)),VLOOKUP(A2592,'Fleet register'!$A$7:$S$106,16,FALSE),0),"n.a."))</f>
        <v>0</v>
      </c>
      <c r="O2592" s="16">
        <f>IF(NOT(Paths!$C$242=1),0,IF(Paths!$P$242="Complete",N2592-IF(C2592=0,Paths!$F$242,0),"n.a."))</f>
        <v>0</v>
      </c>
      <c r="P2592" s="16">
        <f>IF(NOT(Paths!$C$242=1),0,IF(Paths!$P$242="Complete",O2592+L2592,"n.a."))</f>
        <v>0</v>
      </c>
      <c r="Q2592" s="16">
        <f>IF(NOT(Paths!$C$242=1),0,IF(Paths!$P$242="Complete",N2592*(1+'Operating costs'!$B$54)^-C2592,"n.a."))</f>
        <v>0</v>
      </c>
      <c r="R2592" s="16">
        <f>IF(NOT(Paths!$C$242=1),0,IF(Paths!$P$242="Complete",IF(AND(C2592=0,Paths!$E$242=0),I2592-J2592-K2592+VLOOKUP(A2592,'Fleet register'!$A$7:$S$106,15,FALSE)+VLOOKUP(A2592,'Fleet register'!$A$7:$S$106,16,FALSE),0),"n.a."))</f>
        <v>0</v>
      </c>
      <c r="S2592" s="1">
        <f>IF(NOT(Paths!$C$242=1),0,IF(Paths!$P$242="Complete",IF(C2592=0,0,Paths!$S$242*Paths!$R$242),"n.a."))</f>
        <v>0</v>
      </c>
      <c r="T2592" s="1">
        <f>IF(NOT(Paths!$C$242=1),0,IF(Paths!$P$242="Complete",IF(C2592=0,0,VLOOKUP(A2592,'Fleet register'!$A$7:$S$106,9,FALSE)*Paths!$R$242),"n.a."))</f>
        <v>0</v>
      </c>
    </row>
    <row r="2593" spans="1:20" ht="24" customHeight="1">
      <c r="A2593" s="1" t="str">
        <f>Paths!$A$242</f>
        <v>T059</v>
      </c>
      <c r="B2593" s="1">
        <f>Paths!$B$242</f>
        <v>3</v>
      </c>
      <c r="C2593" s="1">
        <v>1</v>
      </c>
      <c r="D2593" s="1">
        <v>242</v>
      </c>
      <c r="E2593" s="1">
        <f>IF(OR(Paths!$C$242=0,C2593=0),0,MAX(0,MIN(C2593*12,Paths!$E$242)-(C2593-1)*12))</f>
        <v>0</v>
      </c>
      <c r="F2593" s="1">
        <f>IF(OR(Paths!$C$242=0,C2593=0),0,12-E2593)</f>
        <v>0</v>
      </c>
      <c r="G2593" s="16">
        <f>IF(NOT(Paths!$C$242=1),0,IF(Paths!$P$242="Complete",E2593/12*(Paths!$J$242*(1+'Operating costs'!$B$51)^MAX(0,C2593-1)+Paths!$K$242*(1+'Operating costs'!$B$53)^MAX(0,C2593-1)),"n.a."))</f>
        <v>0</v>
      </c>
      <c r="H2593" s="16">
        <f>IF(NOT(Paths!$C$242=1),0,IF(Paths!$P$242="Complete",F2593/12*(Paths!$L$242*(1+IF(Paths!$D$242="EV",'Operating costs'!$B$52,'Operating costs'!$B$51))^MAX(0,C2593-1)+Paths!$M$242*(1+'Operating costs'!$B$53)^MAX(0,C2593-1)),"n.a."))</f>
        <v>0</v>
      </c>
      <c r="I2593" s="16">
        <f>IF(NOT(Paths!$C$242=1),0,IF(Paths!$P$242="Complete",IF(IF(Paths!$E$242=0,C2593=0,AND(C2593&gt;0,Paths!$E$242&gt;(C2593-1)*12,Paths!$E$242&lt;=C2593*12)),Paths!$G$242,0),"n.a."))</f>
        <v>0</v>
      </c>
      <c r="J2593" s="16">
        <f>IF(NOT(Paths!$C$242=1),0,IF(Paths!$P$242="Complete",IF(IF(Paths!$E$242=0,C2593=0,AND(C2593&gt;0,Paths!$E$242&gt;(C2593-1)*12,Paths!$E$242&lt;=C2593*12)),Paths!$H$242,0),"n.a."))</f>
        <v>0</v>
      </c>
      <c r="K2593" s="16">
        <f>IF(NOT(Paths!$C$242=1),0,IF(Paths!$P$242="Complete",IF(IF(Paths!$O$242=0,C2593=0,AND(C2593&gt;0,Paths!$O$242&gt;(C2593-1)*12,Paths!$O$242&lt;=C2593*12)),Paths!$N$242,0),"n.a."))</f>
        <v>0</v>
      </c>
      <c r="L2593" s="16">
        <f>IF(NOT(Paths!$C$242=1),0,IF(Paths!$P$242="Complete",IF(C2593=10,Paths!$I$242,0),"n.a."))</f>
        <v>0</v>
      </c>
      <c r="M2593" s="16">
        <f>IF(NOT(Paths!$C$242=1),0,IF(Paths!$P$242="Complete",IF(AND(Paths!$D$242="EV",Paths!$E$242&lt;120,Paths!$E$242+'Operating costs'!$B$65&gt;Paths!$E$242,Paths!$E$242+'Operating costs'!$B$65&lt;=120,IF(Paths!$E$242+'Operating costs'!$B$65=0,C2593=0,AND(C2593&gt;0,Paths!$E$242+'Operating costs'!$B$65&gt;(C2593-1)*12,Paths!$E$242+'Operating costs'!$B$65&lt;=C2593*12))),'Operating costs'!$B$64,0)+IF(AND('Operating costs'!$B$67&gt;0,'Operating costs'!$B$67&lt;=120,OR(Paths!$D$242="ICE",'Operating costs'!$B$67&lt;=Paths!$E$242),IF('Operating costs'!$B$67=0,C2593=0,AND(C2593&gt;0,'Operating costs'!$B$67&gt;(C2593-1)*12,'Operating costs'!$B$67&lt;=C2593*12))),'Operating costs'!$B$66,0),"n.a."))</f>
        <v>0</v>
      </c>
      <c r="N2593" s="16">
        <f>IF(NOT(Paths!$C$242=1),0,IF(Paths!$P$242="Complete",SUM(G2593:I2593)-J2593-K2593-L2593+M2593+IF(C2593=0,Paths!$F$242,0)+IF(IF(Paths!$E$242=0,C2593=0,AND(C2593&gt;0,Paths!$E$242&gt;(C2593-1)*12,Paths!$E$242&lt;=C2593*12)),VLOOKUP(A2593,'Fleet register'!$A$7:$S$106,16,FALSE),0),"n.a."))</f>
        <v>0</v>
      </c>
      <c r="O2593" s="16">
        <f>IF(NOT(Paths!$C$242=1),0,IF(Paths!$P$242="Complete",N2593-IF(C2593=0,Paths!$F$242,0),"n.a."))</f>
        <v>0</v>
      </c>
      <c r="P2593" s="16">
        <f>IF(NOT(Paths!$C$242=1),0,IF(Paths!$P$242="Complete",O2593+L2593,"n.a."))</f>
        <v>0</v>
      </c>
      <c r="Q2593" s="16">
        <f>IF(NOT(Paths!$C$242=1),0,IF(Paths!$P$242="Complete",N2593*(1+'Operating costs'!$B$54)^-C2593,"n.a."))</f>
        <v>0</v>
      </c>
      <c r="R2593" s="16">
        <f>IF(NOT(Paths!$C$242=1),0,IF(Paths!$P$242="Complete",IF(AND(C2593=0,Paths!$E$242=0),I2593-J2593-K2593+VLOOKUP(A2593,'Fleet register'!$A$7:$S$106,15,FALSE)+VLOOKUP(A2593,'Fleet register'!$A$7:$S$106,16,FALSE),0),"n.a."))</f>
        <v>0</v>
      </c>
      <c r="S2593" s="1">
        <f>IF(NOT(Paths!$C$242=1),0,IF(Paths!$P$242="Complete",IF(C2593=0,0,Paths!$S$242*Paths!$R$242),"n.a."))</f>
        <v>0</v>
      </c>
      <c r="T2593" s="1">
        <f>IF(NOT(Paths!$C$242=1),0,IF(Paths!$P$242="Complete",IF(C2593=0,0,VLOOKUP(A2593,'Fleet register'!$A$7:$S$106,9,FALSE)*Paths!$R$242),"n.a."))</f>
        <v>0</v>
      </c>
    </row>
    <row r="2594" spans="1:20" ht="24" customHeight="1">
      <c r="A2594" s="1" t="str">
        <f>Paths!$A$242</f>
        <v>T059</v>
      </c>
      <c r="B2594" s="1">
        <f>Paths!$B$242</f>
        <v>3</v>
      </c>
      <c r="C2594" s="1">
        <v>2</v>
      </c>
      <c r="D2594" s="1">
        <v>242</v>
      </c>
      <c r="E2594" s="1">
        <f>IF(OR(Paths!$C$242=0,C2594=0),0,MAX(0,MIN(C2594*12,Paths!$E$242)-(C2594-1)*12))</f>
        <v>0</v>
      </c>
      <c r="F2594" s="1">
        <f>IF(OR(Paths!$C$242=0,C2594=0),0,12-E2594)</f>
        <v>0</v>
      </c>
      <c r="G2594" s="16">
        <f>IF(NOT(Paths!$C$242=1),0,IF(Paths!$P$242="Complete",E2594/12*(Paths!$J$242*(1+'Operating costs'!$B$51)^MAX(0,C2594-1)+Paths!$K$242*(1+'Operating costs'!$B$53)^MAX(0,C2594-1)),"n.a."))</f>
        <v>0</v>
      </c>
      <c r="H2594" s="16">
        <f>IF(NOT(Paths!$C$242=1),0,IF(Paths!$P$242="Complete",F2594/12*(Paths!$L$242*(1+IF(Paths!$D$242="EV",'Operating costs'!$B$52,'Operating costs'!$B$51))^MAX(0,C2594-1)+Paths!$M$242*(1+'Operating costs'!$B$53)^MAX(0,C2594-1)),"n.a."))</f>
        <v>0</v>
      </c>
      <c r="I2594" s="16">
        <f>IF(NOT(Paths!$C$242=1),0,IF(Paths!$P$242="Complete",IF(IF(Paths!$E$242=0,C2594=0,AND(C2594&gt;0,Paths!$E$242&gt;(C2594-1)*12,Paths!$E$242&lt;=C2594*12)),Paths!$G$242,0),"n.a."))</f>
        <v>0</v>
      </c>
      <c r="J2594" s="16">
        <f>IF(NOT(Paths!$C$242=1),0,IF(Paths!$P$242="Complete",IF(IF(Paths!$E$242=0,C2594=0,AND(C2594&gt;0,Paths!$E$242&gt;(C2594-1)*12,Paths!$E$242&lt;=C2594*12)),Paths!$H$242,0),"n.a."))</f>
        <v>0</v>
      </c>
      <c r="K2594" s="16">
        <f>IF(NOT(Paths!$C$242=1),0,IF(Paths!$P$242="Complete",IF(IF(Paths!$O$242=0,C2594=0,AND(C2594&gt;0,Paths!$O$242&gt;(C2594-1)*12,Paths!$O$242&lt;=C2594*12)),Paths!$N$242,0),"n.a."))</f>
        <v>0</v>
      </c>
      <c r="L2594" s="16">
        <f>IF(NOT(Paths!$C$242=1),0,IF(Paths!$P$242="Complete",IF(C2594=10,Paths!$I$242,0),"n.a."))</f>
        <v>0</v>
      </c>
      <c r="M2594" s="16">
        <f>IF(NOT(Paths!$C$242=1),0,IF(Paths!$P$242="Complete",IF(AND(Paths!$D$242="EV",Paths!$E$242&lt;120,Paths!$E$242+'Operating costs'!$B$65&gt;Paths!$E$242,Paths!$E$242+'Operating costs'!$B$65&lt;=120,IF(Paths!$E$242+'Operating costs'!$B$65=0,C2594=0,AND(C2594&gt;0,Paths!$E$242+'Operating costs'!$B$65&gt;(C2594-1)*12,Paths!$E$242+'Operating costs'!$B$65&lt;=C2594*12))),'Operating costs'!$B$64,0)+IF(AND('Operating costs'!$B$67&gt;0,'Operating costs'!$B$67&lt;=120,OR(Paths!$D$242="ICE",'Operating costs'!$B$67&lt;=Paths!$E$242),IF('Operating costs'!$B$67=0,C2594=0,AND(C2594&gt;0,'Operating costs'!$B$67&gt;(C2594-1)*12,'Operating costs'!$B$67&lt;=C2594*12))),'Operating costs'!$B$66,0),"n.a."))</f>
        <v>0</v>
      </c>
      <c r="N2594" s="16">
        <f>IF(NOT(Paths!$C$242=1),0,IF(Paths!$P$242="Complete",SUM(G2594:I2594)-J2594-K2594-L2594+M2594+IF(C2594=0,Paths!$F$242,0)+IF(IF(Paths!$E$242=0,C2594=0,AND(C2594&gt;0,Paths!$E$242&gt;(C2594-1)*12,Paths!$E$242&lt;=C2594*12)),VLOOKUP(A2594,'Fleet register'!$A$7:$S$106,16,FALSE),0),"n.a."))</f>
        <v>0</v>
      </c>
      <c r="O2594" s="16">
        <f>IF(NOT(Paths!$C$242=1),0,IF(Paths!$P$242="Complete",N2594-IF(C2594=0,Paths!$F$242,0),"n.a."))</f>
        <v>0</v>
      </c>
      <c r="P2594" s="16">
        <f>IF(NOT(Paths!$C$242=1),0,IF(Paths!$P$242="Complete",O2594+L2594,"n.a."))</f>
        <v>0</v>
      </c>
      <c r="Q2594" s="16">
        <f>IF(NOT(Paths!$C$242=1),0,IF(Paths!$P$242="Complete",N2594*(1+'Operating costs'!$B$54)^-C2594,"n.a."))</f>
        <v>0</v>
      </c>
      <c r="R2594" s="16">
        <f>IF(NOT(Paths!$C$242=1),0,IF(Paths!$P$242="Complete",IF(AND(C2594=0,Paths!$E$242=0),I2594-J2594-K2594+VLOOKUP(A2594,'Fleet register'!$A$7:$S$106,15,FALSE)+VLOOKUP(A2594,'Fleet register'!$A$7:$S$106,16,FALSE),0),"n.a."))</f>
        <v>0</v>
      </c>
      <c r="S2594" s="1">
        <f>IF(NOT(Paths!$C$242=1),0,IF(Paths!$P$242="Complete",IF(C2594=0,0,Paths!$S$242*Paths!$R$242),"n.a."))</f>
        <v>0</v>
      </c>
      <c r="T2594" s="1">
        <f>IF(NOT(Paths!$C$242=1),0,IF(Paths!$P$242="Complete",IF(C2594=0,0,VLOOKUP(A2594,'Fleet register'!$A$7:$S$106,9,FALSE)*Paths!$R$242),"n.a."))</f>
        <v>0</v>
      </c>
    </row>
    <row r="2595" spans="1:20" ht="24" customHeight="1">
      <c r="A2595" s="1" t="str">
        <f>Paths!$A$242</f>
        <v>T059</v>
      </c>
      <c r="B2595" s="1">
        <f>Paths!$B$242</f>
        <v>3</v>
      </c>
      <c r="C2595" s="1">
        <v>3</v>
      </c>
      <c r="D2595" s="1">
        <v>242</v>
      </c>
      <c r="E2595" s="1">
        <f>IF(OR(Paths!$C$242=0,C2595=0),0,MAX(0,MIN(C2595*12,Paths!$E$242)-(C2595-1)*12))</f>
        <v>0</v>
      </c>
      <c r="F2595" s="1">
        <f>IF(OR(Paths!$C$242=0,C2595=0),0,12-E2595)</f>
        <v>0</v>
      </c>
      <c r="G2595" s="16">
        <f>IF(NOT(Paths!$C$242=1),0,IF(Paths!$P$242="Complete",E2595/12*(Paths!$J$242*(1+'Operating costs'!$B$51)^MAX(0,C2595-1)+Paths!$K$242*(1+'Operating costs'!$B$53)^MAX(0,C2595-1)),"n.a."))</f>
        <v>0</v>
      </c>
      <c r="H2595" s="16">
        <f>IF(NOT(Paths!$C$242=1),0,IF(Paths!$P$242="Complete",F2595/12*(Paths!$L$242*(1+IF(Paths!$D$242="EV",'Operating costs'!$B$52,'Operating costs'!$B$51))^MAX(0,C2595-1)+Paths!$M$242*(1+'Operating costs'!$B$53)^MAX(0,C2595-1)),"n.a."))</f>
        <v>0</v>
      </c>
      <c r="I2595" s="16">
        <f>IF(NOT(Paths!$C$242=1),0,IF(Paths!$P$242="Complete",IF(IF(Paths!$E$242=0,C2595=0,AND(C2595&gt;0,Paths!$E$242&gt;(C2595-1)*12,Paths!$E$242&lt;=C2595*12)),Paths!$G$242,0),"n.a."))</f>
        <v>0</v>
      </c>
      <c r="J2595" s="16">
        <f>IF(NOT(Paths!$C$242=1),0,IF(Paths!$P$242="Complete",IF(IF(Paths!$E$242=0,C2595=0,AND(C2595&gt;0,Paths!$E$242&gt;(C2595-1)*12,Paths!$E$242&lt;=C2595*12)),Paths!$H$242,0),"n.a."))</f>
        <v>0</v>
      </c>
      <c r="K2595" s="16">
        <f>IF(NOT(Paths!$C$242=1),0,IF(Paths!$P$242="Complete",IF(IF(Paths!$O$242=0,C2595=0,AND(C2595&gt;0,Paths!$O$242&gt;(C2595-1)*12,Paths!$O$242&lt;=C2595*12)),Paths!$N$242,0),"n.a."))</f>
        <v>0</v>
      </c>
      <c r="L2595" s="16">
        <f>IF(NOT(Paths!$C$242=1),0,IF(Paths!$P$242="Complete",IF(C2595=10,Paths!$I$242,0),"n.a."))</f>
        <v>0</v>
      </c>
      <c r="M2595" s="16">
        <f>IF(NOT(Paths!$C$242=1),0,IF(Paths!$P$242="Complete",IF(AND(Paths!$D$242="EV",Paths!$E$242&lt;120,Paths!$E$242+'Operating costs'!$B$65&gt;Paths!$E$242,Paths!$E$242+'Operating costs'!$B$65&lt;=120,IF(Paths!$E$242+'Operating costs'!$B$65=0,C2595=0,AND(C2595&gt;0,Paths!$E$242+'Operating costs'!$B$65&gt;(C2595-1)*12,Paths!$E$242+'Operating costs'!$B$65&lt;=C2595*12))),'Operating costs'!$B$64,0)+IF(AND('Operating costs'!$B$67&gt;0,'Operating costs'!$B$67&lt;=120,OR(Paths!$D$242="ICE",'Operating costs'!$B$67&lt;=Paths!$E$242),IF('Operating costs'!$B$67=0,C2595=0,AND(C2595&gt;0,'Operating costs'!$B$67&gt;(C2595-1)*12,'Operating costs'!$B$67&lt;=C2595*12))),'Operating costs'!$B$66,0),"n.a."))</f>
        <v>0</v>
      </c>
      <c r="N2595" s="16">
        <f>IF(NOT(Paths!$C$242=1),0,IF(Paths!$P$242="Complete",SUM(G2595:I2595)-J2595-K2595-L2595+M2595+IF(C2595=0,Paths!$F$242,0)+IF(IF(Paths!$E$242=0,C2595=0,AND(C2595&gt;0,Paths!$E$242&gt;(C2595-1)*12,Paths!$E$242&lt;=C2595*12)),VLOOKUP(A2595,'Fleet register'!$A$7:$S$106,16,FALSE),0),"n.a."))</f>
        <v>0</v>
      </c>
      <c r="O2595" s="16">
        <f>IF(NOT(Paths!$C$242=1),0,IF(Paths!$P$242="Complete",N2595-IF(C2595=0,Paths!$F$242,0),"n.a."))</f>
        <v>0</v>
      </c>
      <c r="P2595" s="16">
        <f>IF(NOT(Paths!$C$242=1),0,IF(Paths!$P$242="Complete",O2595+L2595,"n.a."))</f>
        <v>0</v>
      </c>
      <c r="Q2595" s="16">
        <f>IF(NOT(Paths!$C$242=1),0,IF(Paths!$P$242="Complete",N2595*(1+'Operating costs'!$B$54)^-C2595,"n.a."))</f>
        <v>0</v>
      </c>
      <c r="R2595" s="16">
        <f>IF(NOT(Paths!$C$242=1),0,IF(Paths!$P$242="Complete",IF(AND(C2595=0,Paths!$E$242=0),I2595-J2595-K2595+VLOOKUP(A2595,'Fleet register'!$A$7:$S$106,15,FALSE)+VLOOKUP(A2595,'Fleet register'!$A$7:$S$106,16,FALSE),0),"n.a."))</f>
        <v>0</v>
      </c>
      <c r="S2595" s="1">
        <f>IF(NOT(Paths!$C$242=1),0,IF(Paths!$P$242="Complete",IF(C2595=0,0,Paths!$S$242*Paths!$R$242),"n.a."))</f>
        <v>0</v>
      </c>
      <c r="T2595" s="1">
        <f>IF(NOT(Paths!$C$242=1),0,IF(Paths!$P$242="Complete",IF(C2595=0,0,VLOOKUP(A2595,'Fleet register'!$A$7:$S$106,9,FALSE)*Paths!$R$242),"n.a."))</f>
        <v>0</v>
      </c>
    </row>
    <row r="2596" spans="1:20" ht="24" customHeight="1">
      <c r="A2596" s="1" t="str">
        <f>Paths!$A$242</f>
        <v>T059</v>
      </c>
      <c r="B2596" s="1">
        <f>Paths!$B$242</f>
        <v>3</v>
      </c>
      <c r="C2596" s="1">
        <v>4</v>
      </c>
      <c r="D2596" s="1">
        <v>242</v>
      </c>
      <c r="E2596" s="1">
        <f>IF(OR(Paths!$C$242=0,C2596=0),0,MAX(0,MIN(C2596*12,Paths!$E$242)-(C2596-1)*12))</f>
        <v>0</v>
      </c>
      <c r="F2596" s="1">
        <f>IF(OR(Paths!$C$242=0,C2596=0),0,12-E2596)</f>
        <v>0</v>
      </c>
      <c r="G2596" s="16">
        <f>IF(NOT(Paths!$C$242=1),0,IF(Paths!$P$242="Complete",E2596/12*(Paths!$J$242*(1+'Operating costs'!$B$51)^MAX(0,C2596-1)+Paths!$K$242*(1+'Operating costs'!$B$53)^MAX(0,C2596-1)),"n.a."))</f>
        <v>0</v>
      </c>
      <c r="H2596" s="16">
        <f>IF(NOT(Paths!$C$242=1),0,IF(Paths!$P$242="Complete",F2596/12*(Paths!$L$242*(1+IF(Paths!$D$242="EV",'Operating costs'!$B$52,'Operating costs'!$B$51))^MAX(0,C2596-1)+Paths!$M$242*(1+'Operating costs'!$B$53)^MAX(0,C2596-1)),"n.a."))</f>
        <v>0</v>
      </c>
      <c r="I2596" s="16">
        <f>IF(NOT(Paths!$C$242=1),0,IF(Paths!$P$242="Complete",IF(IF(Paths!$E$242=0,C2596=0,AND(C2596&gt;0,Paths!$E$242&gt;(C2596-1)*12,Paths!$E$242&lt;=C2596*12)),Paths!$G$242,0),"n.a."))</f>
        <v>0</v>
      </c>
      <c r="J2596" s="16">
        <f>IF(NOT(Paths!$C$242=1),0,IF(Paths!$P$242="Complete",IF(IF(Paths!$E$242=0,C2596=0,AND(C2596&gt;0,Paths!$E$242&gt;(C2596-1)*12,Paths!$E$242&lt;=C2596*12)),Paths!$H$242,0),"n.a."))</f>
        <v>0</v>
      </c>
      <c r="K2596" s="16">
        <f>IF(NOT(Paths!$C$242=1),0,IF(Paths!$P$242="Complete",IF(IF(Paths!$O$242=0,C2596=0,AND(C2596&gt;0,Paths!$O$242&gt;(C2596-1)*12,Paths!$O$242&lt;=C2596*12)),Paths!$N$242,0),"n.a."))</f>
        <v>0</v>
      </c>
      <c r="L2596" s="16">
        <f>IF(NOT(Paths!$C$242=1),0,IF(Paths!$P$242="Complete",IF(C2596=10,Paths!$I$242,0),"n.a."))</f>
        <v>0</v>
      </c>
      <c r="M2596" s="16">
        <f>IF(NOT(Paths!$C$242=1),0,IF(Paths!$P$242="Complete",IF(AND(Paths!$D$242="EV",Paths!$E$242&lt;120,Paths!$E$242+'Operating costs'!$B$65&gt;Paths!$E$242,Paths!$E$242+'Operating costs'!$B$65&lt;=120,IF(Paths!$E$242+'Operating costs'!$B$65=0,C2596=0,AND(C2596&gt;0,Paths!$E$242+'Operating costs'!$B$65&gt;(C2596-1)*12,Paths!$E$242+'Operating costs'!$B$65&lt;=C2596*12))),'Operating costs'!$B$64,0)+IF(AND('Operating costs'!$B$67&gt;0,'Operating costs'!$B$67&lt;=120,OR(Paths!$D$242="ICE",'Operating costs'!$B$67&lt;=Paths!$E$242),IF('Operating costs'!$B$67=0,C2596=0,AND(C2596&gt;0,'Operating costs'!$B$67&gt;(C2596-1)*12,'Operating costs'!$B$67&lt;=C2596*12))),'Operating costs'!$B$66,0),"n.a."))</f>
        <v>0</v>
      </c>
      <c r="N2596" s="16">
        <f>IF(NOT(Paths!$C$242=1),0,IF(Paths!$P$242="Complete",SUM(G2596:I2596)-J2596-K2596-L2596+M2596+IF(C2596=0,Paths!$F$242,0)+IF(IF(Paths!$E$242=0,C2596=0,AND(C2596&gt;0,Paths!$E$242&gt;(C2596-1)*12,Paths!$E$242&lt;=C2596*12)),VLOOKUP(A2596,'Fleet register'!$A$7:$S$106,16,FALSE),0),"n.a."))</f>
        <v>0</v>
      </c>
      <c r="O2596" s="16">
        <f>IF(NOT(Paths!$C$242=1),0,IF(Paths!$P$242="Complete",N2596-IF(C2596=0,Paths!$F$242,0),"n.a."))</f>
        <v>0</v>
      </c>
      <c r="P2596" s="16">
        <f>IF(NOT(Paths!$C$242=1),0,IF(Paths!$P$242="Complete",O2596+L2596,"n.a."))</f>
        <v>0</v>
      </c>
      <c r="Q2596" s="16">
        <f>IF(NOT(Paths!$C$242=1),0,IF(Paths!$P$242="Complete",N2596*(1+'Operating costs'!$B$54)^-C2596,"n.a."))</f>
        <v>0</v>
      </c>
      <c r="R2596" s="16">
        <f>IF(NOT(Paths!$C$242=1),0,IF(Paths!$P$242="Complete",IF(AND(C2596=0,Paths!$E$242=0),I2596-J2596-K2596+VLOOKUP(A2596,'Fleet register'!$A$7:$S$106,15,FALSE)+VLOOKUP(A2596,'Fleet register'!$A$7:$S$106,16,FALSE),0),"n.a."))</f>
        <v>0</v>
      </c>
      <c r="S2596" s="1">
        <f>IF(NOT(Paths!$C$242=1),0,IF(Paths!$P$242="Complete",IF(C2596=0,0,Paths!$S$242*Paths!$R$242),"n.a."))</f>
        <v>0</v>
      </c>
      <c r="T2596" s="1">
        <f>IF(NOT(Paths!$C$242=1),0,IF(Paths!$P$242="Complete",IF(C2596=0,0,VLOOKUP(A2596,'Fleet register'!$A$7:$S$106,9,FALSE)*Paths!$R$242),"n.a."))</f>
        <v>0</v>
      </c>
    </row>
    <row r="2597" spans="1:20" ht="24" customHeight="1">
      <c r="A2597" s="1" t="str">
        <f>Paths!$A$242</f>
        <v>T059</v>
      </c>
      <c r="B2597" s="1">
        <f>Paths!$B$242</f>
        <v>3</v>
      </c>
      <c r="C2597" s="1">
        <v>5</v>
      </c>
      <c r="D2597" s="1">
        <v>242</v>
      </c>
      <c r="E2597" s="1">
        <f>IF(OR(Paths!$C$242=0,C2597=0),0,MAX(0,MIN(C2597*12,Paths!$E$242)-(C2597-1)*12))</f>
        <v>0</v>
      </c>
      <c r="F2597" s="1">
        <f>IF(OR(Paths!$C$242=0,C2597=0),0,12-E2597)</f>
        <v>0</v>
      </c>
      <c r="G2597" s="16">
        <f>IF(NOT(Paths!$C$242=1),0,IF(Paths!$P$242="Complete",E2597/12*(Paths!$J$242*(1+'Operating costs'!$B$51)^MAX(0,C2597-1)+Paths!$K$242*(1+'Operating costs'!$B$53)^MAX(0,C2597-1)),"n.a."))</f>
        <v>0</v>
      </c>
      <c r="H2597" s="16">
        <f>IF(NOT(Paths!$C$242=1),0,IF(Paths!$P$242="Complete",F2597/12*(Paths!$L$242*(1+IF(Paths!$D$242="EV",'Operating costs'!$B$52,'Operating costs'!$B$51))^MAX(0,C2597-1)+Paths!$M$242*(1+'Operating costs'!$B$53)^MAX(0,C2597-1)),"n.a."))</f>
        <v>0</v>
      </c>
      <c r="I2597" s="16">
        <f>IF(NOT(Paths!$C$242=1),0,IF(Paths!$P$242="Complete",IF(IF(Paths!$E$242=0,C2597=0,AND(C2597&gt;0,Paths!$E$242&gt;(C2597-1)*12,Paths!$E$242&lt;=C2597*12)),Paths!$G$242,0),"n.a."))</f>
        <v>0</v>
      </c>
      <c r="J2597" s="16">
        <f>IF(NOT(Paths!$C$242=1),0,IF(Paths!$P$242="Complete",IF(IF(Paths!$E$242=0,C2597=0,AND(C2597&gt;0,Paths!$E$242&gt;(C2597-1)*12,Paths!$E$242&lt;=C2597*12)),Paths!$H$242,0),"n.a."))</f>
        <v>0</v>
      </c>
      <c r="K2597" s="16">
        <f>IF(NOT(Paths!$C$242=1),0,IF(Paths!$P$242="Complete",IF(IF(Paths!$O$242=0,C2597=0,AND(C2597&gt;0,Paths!$O$242&gt;(C2597-1)*12,Paths!$O$242&lt;=C2597*12)),Paths!$N$242,0),"n.a."))</f>
        <v>0</v>
      </c>
      <c r="L2597" s="16">
        <f>IF(NOT(Paths!$C$242=1),0,IF(Paths!$P$242="Complete",IF(C2597=10,Paths!$I$242,0),"n.a."))</f>
        <v>0</v>
      </c>
      <c r="M2597" s="16">
        <f>IF(NOT(Paths!$C$242=1),0,IF(Paths!$P$242="Complete",IF(AND(Paths!$D$242="EV",Paths!$E$242&lt;120,Paths!$E$242+'Operating costs'!$B$65&gt;Paths!$E$242,Paths!$E$242+'Operating costs'!$B$65&lt;=120,IF(Paths!$E$242+'Operating costs'!$B$65=0,C2597=0,AND(C2597&gt;0,Paths!$E$242+'Operating costs'!$B$65&gt;(C2597-1)*12,Paths!$E$242+'Operating costs'!$B$65&lt;=C2597*12))),'Operating costs'!$B$64,0)+IF(AND('Operating costs'!$B$67&gt;0,'Operating costs'!$B$67&lt;=120,OR(Paths!$D$242="ICE",'Operating costs'!$B$67&lt;=Paths!$E$242),IF('Operating costs'!$B$67=0,C2597=0,AND(C2597&gt;0,'Operating costs'!$B$67&gt;(C2597-1)*12,'Operating costs'!$B$67&lt;=C2597*12))),'Operating costs'!$B$66,0),"n.a."))</f>
        <v>0</v>
      </c>
      <c r="N2597" s="16">
        <f>IF(NOT(Paths!$C$242=1),0,IF(Paths!$P$242="Complete",SUM(G2597:I2597)-J2597-K2597-L2597+M2597+IF(C2597=0,Paths!$F$242,0)+IF(IF(Paths!$E$242=0,C2597=0,AND(C2597&gt;0,Paths!$E$242&gt;(C2597-1)*12,Paths!$E$242&lt;=C2597*12)),VLOOKUP(A2597,'Fleet register'!$A$7:$S$106,16,FALSE),0),"n.a."))</f>
        <v>0</v>
      </c>
      <c r="O2597" s="16">
        <f>IF(NOT(Paths!$C$242=1),0,IF(Paths!$P$242="Complete",N2597-IF(C2597=0,Paths!$F$242,0),"n.a."))</f>
        <v>0</v>
      </c>
      <c r="P2597" s="16">
        <f>IF(NOT(Paths!$C$242=1),0,IF(Paths!$P$242="Complete",O2597+L2597,"n.a."))</f>
        <v>0</v>
      </c>
      <c r="Q2597" s="16">
        <f>IF(NOT(Paths!$C$242=1),0,IF(Paths!$P$242="Complete",N2597*(1+'Operating costs'!$B$54)^-C2597,"n.a."))</f>
        <v>0</v>
      </c>
      <c r="R2597" s="16">
        <f>IF(NOT(Paths!$C$242=1),0,IF(Paths!$P$242="Complete",IF(AND(C2597=0,Paths!$E$242=0),I2597-J2597-K2597+VLOOKUP(A2597,'Fleet register'!$A$7:$S$106,15,FALSE)+VLOOKUP(A2597,'Fleet register'!$A$7:$S$106,16,FALSE),0),"n.a."))</f>
        <v>0</v>
      </c>
      <c r="S2597" s="1">
        <f>IF(NOT(Paths!$C$242=1),0,IF(Paths!$P$242="Complete",IF(C2597=0,0,Paths!$S$242*Paths!$R$242),"n.a."))</f>
        <v>0</v>
      </c>
      <c r="T2597" s="1">
        <f>IF(NOT(Paths!$C$242=1),0,IF(Paths!$P$242="Complete",IF(C2597=0,0,VLOOKUP(A2597,'Fleet register'!$A$7:$S$106,9,FALSE)*Paths!$R$242),"n.a."))</f>
        <v>0</v>
      </c>
    </row>
    <row r="2598" spans="1:20" ht="24" customHeight="1">
      <c r="A2598" s="1" t="str">
        <f>Paths!$A$242</f>
        <v>T059</v>
      </c>
      <c r="B2598" s="1">
        <f>Paths!$B$242</f>
        <v>3</v>
      </c>
      <c r="C2598" s="1">
        <v>6</v>
      </c>
      <c r="D2598" s="1">
        <v>242</v>
      </c>
      <c r="E2598" s="1">
        <f>IF(OR(Paths!$C$242=0,C2598=0),0,MAX(0,MIN(C2598*12,Paths!$E$242)-(C2598-1)*12))</f>
        <v>0</v>
      </c>
      <c r="F2598" s="1">
        <f>IF(OR(Paths!$C$242=0,C2598=0),0,12-E2598)</f>
        <v>0</v>
      </c>
      <c r="G2598" s="16">
        <f>IF(NOT(Paths!$C$242=1),0,IF(Paths!$P$242="Complete",E2598/12*(Paths!$J$242*(1+'Operating costs'!$B$51)^MAX(0,C2598-1)+Paths!$K$242*(1+'Operating costs'!$B$53)^MAX(0,C2598-1)),"n.a."))</f>
        <v>0</v>
      </c>
      <c r="H2598" s="16">
        <f>IF(NOT(Paths!$C$242=1),0,IF(Paths!$P$242="Complete",F2598/12*(Paths!$L$242*(1+IF(Paths!$D$242="EV",'Operating costs'!$B$52,'Operating costs'!$B$51))^MAX(0,C2598-1)+Paths!$M$242*(1+'Operating costs'!$B$53)^MAX(0,C2598-1)),"n.a."))</f>
        <v>0</v>
      </c>
      <c r="I2598" s="16">
        <f>IF(NOT(Paths!$C$242=1),0,IF(Paths!$P$242="Complete",IF(IF(Paths!$E$242=0,C2598=0,AND(C2598&gt;0,Paths!$E$242&gt;(C2598-1)*12,Paths!$E$242&lt;=C2598*12)),Paths!$G$242,0),"n.a."))</f>
        <v>0</v>
      </c>
      <c r="J2598" s="16">
        <f>IF(NOT(Paths!$C$242=1),0,IF(Paths!$P$242="Complete",IF(IF(Paths!$E$242=0,C2598=0,AND(C2598&gt;0,Paths!$E$242&gt;(C2598-1)*12,Paths!$E$242&lt;=C2598*12)),Paths!$H$242,0),"n.a."))</f>
        <v>0</v>
      </c>
      <c r="K2598" s="16">
        <f>IF(NOT(Paths!$C$242=1),0,IF(Paths!$P$242="Complete",IF(IF(Paths!$O$242=0,C2598=0,AND(C2598&gt;0,Paths!$O$242&gt;(C2598-1)*12,Paths!$O$242&lt;=C2598*12)),Paths!$N$242,0),"n.a."))</f>
        <v>0</v>
      </c>
      <c r="L2598" s="16">
        <f>IF(NOT(Paths!$C$242=1),0,IF(Paths!$P$242="Complete",IF(C2598=10,Paths!$I$242,0),"n.a."))</f>
        <v>0</v>
      </c>
      <c r="M2598" s="16">
        <f>IF(NOT(Paths!$C$242=1),0,IF(Paths!$P$242="Complete",IF(AND(Paths!$D$242="EV",Paths!$E$242&lt;120,Paths!$E$242+'Operating costs'!$B$65&gt;Paths!$E$242,Paths!$E$242+'Operating costs'!$B$65&lt;=120,IF(Paths!$E$242+'Operating costs'!$B$65=0,C2598=0,AND(C2598&gt;0,Paths!$E$242+'Operating costs'!$B$65&gt;(C2598-1)*12,Paths!$E$242+'Operating costs'!$B$65&lt;=C2598*12))),'Operating costs'!$B$64,0)+IF(AND('Operating costs'!$B$67&gt;0,'Operating costs'!$B$67&lt;=120,OR(Paths!$D$242="ICE",'Operating costs'!$B$67&lt;=Paths!$E$242),IF('Operating costs'!$B$67=0,C2598=0,AND(C2598&gt;0,'Operating costs'!$B$67&gt;(C2598-1)*12,'Operating costs'!$B$67&lt;=C2598*12))),'Operating costs'!$B$66,0),"n.a."))</f>
        <v>0</v>
      </c>
      <c r="N2598" s="16">
        <f>IF(NOT(Paths!$C$242=1),0,IF(Paths!$P$242="Complete",SUM(G2598:I2598)-J2598-K2598-L2598+M2598+IF(C2598=0,Paths!$F$242,0)+IF(IF(Paths!$E$242=0,C2598=0,AND(C2598&gt;0,Paths!$E$242&gt;(C2598-1)*12,Paths!$E$242&lt;=C2598*12)),VLOOKUP(A2598,'Fleet register'!$A$7:$S$106,16,FALSE),0),"n.a."))</f>
        <v>0</v>
      </c>
      <c r="O2598" s="16">
        <f>IF(NOT(Paths!$C$242=1),0,IF(Paths!$P$242="Complete",N2598-IF(C2598=0,Paths!$F$242,0),"n.a."))</f>
        <v>0</v>
      </c>
      <c r="P2598" s="16">
        <f>IF(NOT(Paths!$C$242=1),0,IF(Paths!$P$242="Complete",O2598+L2598,"n.a."))</f>
        <v>0</v>
      </c>
      <c r="Q2598" s="16">
        <f>IF(NOT(Paths!$C$242=1),0,IF(Paths!$P$242="Complete",N2598*(1+'Operating costs'!$B$54)^-C2598,"n.a."))</f>
        <v>0</v>
      </c>
      <c r="R2598" s="16">
        <f>IF(NOT(Paths!$C$242=1),0,IF(Paths!$P$242="Complete",IF(AND(C2598=0,Paths!$E$242=0),I2598-J2598-K2598+VLOOKUP(A2598,'Fleet register'!$A$7:$S$106,15,FALSE)+VLOOKUP(A2598,'Fleet register'!$A$7:$S$106,16,FALSE),0),"n.a."))</f>
        <v>0</v>
      </c>
      <c r="S2598" s="1">
        <f>IF(NOT(Paths!$C$242=1),0,IF(Paths!$P$242="Complete",IF(C2598=0,0,Paths!$S$242*Paths!$R$242),"n.a."))</f>
        <v>0</v>
      </c>
      <c r="T2598" s="1">
        <f>IF(NOT(Paths!$C$242=1),0,IF(Paths!$P$242="Complete",IF(C2598=0,0,VLOOKUP(A2598,'Fleet register'!$A$7:$S$106,9,FALSE)*Paths!$R$242),"n.a."))</f>
        <v>0</v>
      </c>
    </row>
    <row r="2599" spans="1:20" ht="24" customHeight="1">
      <c r="A2599" s="1" t="str">
        <f>Paths!$A$242</f>
        <v>T059</v>
      </c>
      <c r="B2599" s="1">
        <f>Paths!$B$242</f>
        <v>3</v>
      </c>
      <c r="C2599" s="1">
        <v>7</v>
      </c>
      <c r="D2599" s="1">
        <v>242</v>
      </c>
      <c r="E2599" s="1">
        <f>IF(OR(Paths!$C$242=0,C2599=0),0,MAX(0,MIN(C2599*12,Paths!$E$242)-(C2599-1)*12))</f>
        <v>0</v>
      </c>
      <c r="F2599" s="1">
        <f>IF(OR(Paths!$C$242=0,C2599=0),0,12-E2599)</f>
        <v>0</v>
      </c>
      <c r="G2599" s="16">
        <f>IF(NOT(Paths!$C$242=1),0,IF(Paths!$P$242="Complete",E2599/12*(Paths!$J$242*(1+'Operating costs'!$B$51)^MAX(0,C2599-1)+Paths!$K$242*(1+'Operating costs'!$B$53)^MAX(0,C2599-1)),"n.a."))</f>
        <v>0</v>
      </c>
      <c r="H2599" s="16">
        <f>IF(NOT(Paths!$C$242=1),0,IF(Paths!$P$242="Complete",F2599/12*(Paths!$L$242*(1+IF(Paths!$D$242="EV",'Operating costs'!$B$52,'Operating costs'!$B$51))^MAX(0,C2599-1)+Paths!$M$242*(1+'Operating costs'!$B$53)^MAX(0,C2599-1)),"n.a."))</f>
        <v>0</v>
      </c>
      <c r="I2599" s="16">
        <f>IF(NOT(Paths!$C$242=1),0,IF(Paths!$P$242="Complete",IF(IF(Paths!$E$242=0,C2599=0,AND(C2599&gt;0,Paths!$E$242&gt;(C2599-1)*12,Paths!$E$242&lt;=C2599*12)),Paths!$G$242,0),"n.a."))</f>
        <v>0</v>
      </c>
      <c r="J2599" s="16">
        <f>IF(NOT(Paths!$C$242=1),0,IF(Paths!$P$242="Complete",IF(IF(Paths!$E$242=0,C2599=0,AND(C2599&gt;0,Paths!$E$242&gt;(C2599-1)*12,Paths!$E$242&lt;=C2599*12)),Paths!$H$242,0),"n.a."))</f>
        <v>0</v>
      </c>
      <c r="K2599" s="16">
        <f>IF(NOT(Paths!$C$242=1),0,IF(Paths!$P$242="Complete",IF(IF(Paths!$O$242=0,C2599=0,AND(C2599&gt;0,Paths!$O$242&gt;(C2599-1)*12,Paths!$O$242&lt;=C2599*12)),Paths!$N$242,0),"n.a."))</f>
        <v>0</v>
      </c>
      <c r="L2599" s="16">
        <f>IF(NOT(Paths!$C$242=1),0,IF(Paths!$P$242="Complete",IF(C2599=10,Paths!$I$242,0),"n.a."))</f>
        <v>0</v>
      </c>
      <c r="M2599" s="16">
        <f>IF(NOT(Paths!$C$242=1),0,IF(Paths!$P$242="Complete",IF(AND(Paths!$D$242="EV",Paths!$E$242&lt;120,Paths!$E$242+'Operating costs'!$B$65&gt;Paths!$E$242,Paths!$E$242+'Operating costs'!$B$65&lt;=120,IF(Paths!$E$242+'Operating costs'!$B$65=0,C2599=0,AND(C2599&gt;0,Paths!$E$242+'Operating costs'!$B$65&gt;(C2599-1)*12,Paths!$E$242+'Operating costs'!$B$65&lt;=C2599*12))),'Operating costs'!$B$64,0)+IF(AND('Operating costs'!$B$67&gt;0,'Operating costs'!$B$67&lt;=120,OR(Paths!$D$242="ICE",'Operating costs'!$B$67&lt;=Paths!$E$242),IF('Operating costs'!$B$67=0,C2599=0,AND(C2599&gt;0,'Operating costs'!$B$67&gt;(C2599-1)*12,'Operating costs'!$B$67&lt;=C2599*12))),'Operating costs'!$B$66,0),"n.a."))</f>
        <v>0</v>
      </c>
      <c r="N2599" s="16">
        <f>IF(NOT(Paths!$C$242=1),0,IF(Paths!$P$242="Complete",SUM(G2599:I2599)-J2599-K2599-L2599+M2599+IF(C2599=0,Paths!$F$242,0)+IF(IF(Paths!$E$242=0,C2599=0,AND(C2599&gt;0,Paths!$E$242&gt;(C2599-1)*12,Paths!$E$242&lt;=C2599*12)),VLOOKUP(A2599,'Fleet register'!$A$7:$S$106,16,FALSE),0),"n.a."))</f>
        <v>0</v>
      </c>
      <c r="O2599" s="16">
        <f>IF(NOT(Paths!$C$242=1),0,IF(Paths!$P$242="Complete",N2599-IF(C2599=0,Paths!$F$242,0),"n.a."))</f>
        <v>0</v>
      </c>
      <c r="P2599" s="16">
        <f>IF(NOT(Paths!$C$242=1),0,IF(Paths!$P$242="Complete",O2599+L2599,"n.a."))</f>
        <v>0</v>
      </c>
      <c r="Q2599" s="16">
        <f>IF(NOT(Paths!$C$242=1),0,IF(Paths!$P$242="Complete",N2599*(1+'Operating costs'!$B$54)^-C2599,"n.a."))</f>
        <v>0</v>
      </c>
      <c r="R2599" s="16">
        <f>IF(NOT(Paths!$C$242=1),0,IF(Paths!$P$242="Complete",IF(AND(C2599=0,Paths!$E$242=0),I2599-J2599-K2599+VLOOKUP(A2599,'Fleet register'!$A$7:$S$106,15,FALSE)+VLOOKUP(A2599,'Fleet register'!$A$7:$S$106,16,FALSE),0),"n.a."))</f>
        <v>0</v>
      </c>
      <c r="S2599" s="1">
        <f>IF(NOT(Paths!$C$242=1),0,IF(Paths!$P$242="Complete",IF(C2599=0,0,Paths!$S$242*Paths!$R$242),"n.a."))</f>
        <v>0</v>
      </c>
      <c r="T2599" s="1">
        <f>IF(NOT(Paths!$C$242=1),0,IF(Paths!$P$242="Complete",IF(C2599=0,0,VLOOKUP(A2599,'Fleet register'!$A$7:$S$106,9,FALSE)*Paths!$R$242),"n.a."))</f>
        <v>0</v>
      </c>
    </row>
    <row r="2600" spans="1:20" ht="24" customHeight="1">
      <c r="A2600" s="1" t="str">
        <f>Paths!$A$242</f>
        <v>T059</v>
      </c>
      <c r="B2600" s="1">
        <f>Paths!$B$242</f>
        <v>3</v>
      </c>
      <c r="C2600" s="1">
        <v>8</v>
      </c>
      <c r="D2600" s="1">
        <v>242</v>
      </c>
      <c r="E2600" s="1">
        <f>IF(OR(Paths!$C$242=0,C2600=0),0,MAX(0,MIN(C2600*12,Paths!$E$242)-(C2600-1)*12))</f>
        <v>0</v>
      </c>
      <c r="F2600" s="1">
        <f>IF(OR(Paths!$C$242=0,C2600=0),0,12-E2600)</f>
        <v>0</v>
      </c>
      <c r="G2600" s="16">
        <f>IF(NOT(Paths!$C$242=1),0,IF(Paths!$P$242="Complete",E2600/12*(Paths!$J$242*(1+'Operating costs'!$B$51)^MAX(0,C2600-1)+Paths!$K$242*(1+'Operating costs'!$B$53)^MAX(0,C2600-1)),"n.a."))</f>
        <v>0</v>
      </c>
      <c r="H2600" s="16">
        <f>IF(NOT(Paths!$C$242=1),0,IF(Paths!$P$242="Complete",F2600/12*(Paths!$L$242*(1+IF(Paths!$D$242="EV",'Operating costs'!$B$52,'Operating costs'!$B$51))^MAX(0,C2600-1)+Paths!$M$242*(1+'Operating costs'!$B$53)^MAX(0,C2600-1)),"n.a."))</f>
        <v>0</v>
      </c>
      <c r="I2600" s="16">
        <f>IF(NOT(Paths!$C$242=1),0,IF(Paths!$P$242="Complete",IF(IF(Paths!$E$242=0,C2600=0,AND(C2600&gt;0,Paths!$E$242&gt;(C2600-1)*12,Paths!$E$242&lt;=C2600*12)),Paths!$G$242,0),"n.a."))</f>
        <v>0</v>
      </c>
      <c r="J2600" s="16">
        <f>IF(NOT(Paths!$C$242=1),0,IF(Paths!$P$242="Complete",IF(IF(Paths!$E$242=0,C2600=0,AND(C2600&gt;0,Paths!$E$242&gt;(C2600-1)*12,Paths!$E$242&lt;=C2600*12)),Paths!$H$242,0),"n.a."))</f>
        <v>0</v>
      </c>
      <c r="K2600" s="16">
        <f>IF(NOT(Paths!$C$242=1),0,IF(Paths!$P$242="Complete",IF(IF(Paths!$O$242=0,C2600=0,AND(C2600&gt;0,Paths!$O$242&gt;(C2600-1)*12,Paths!$O$242&lt;=C2600*12)),Paths!$N$242,0),"n.a."))</f>
        <v>0</v>
      </c>
      <c r="L2600" s="16">
        <f>IF(NOT(Paths!$C$242=1),0,IF(Paths!$P$242="Complete",IF(C2600=10,Paths!$I$242,0),"n.a."))</f>
        <v>0</v>
      </c>
      <c r="M2600" s="16">
        <f>IF(NOT(Paths!$C$242=1),0,IF(Paths!$P$242="Complete",IF(AND(Paths!$D$242="EV",Paths!$E$242&lt;120,Paths!$E$242+'Operating costs'!$B$65&gt;Paths!$E$242,Paths!$E$242+'Operating costs'!$B$65&lt;=120,IF(Paths!$E$242+'Operating costs'!$B$65=0,C2600=0,AND(C2600&gt;0,Paths!$E$242+'Operating costs'!$B$65&gt;(C2600-1)*12,Paths!$E$242+'Operating costs'!$B$65&lt;=C2600*12))),'Operating costs'!$B$64,0)+IF(AND('Operating costs'!$B$67&gt;0,'Operating costs'!$B$67&lt;=120,OR(Paths!$D$242="ICE",'Operating costs'!$B$67&lt;=Paths!$E$242),IF('Operating costs'!$B$67=0,C2600=0,AND(C2600&gt;0,'Operating costs'!$B$67&gt;(C2600-1)*12,'Operating costs'!$B$67&lt;=C2600*12))),'Operating costs'!$B$66,0),"n.a."))</f>
        <v>0</v>
      </c>
      <c r="N2600" s="16">
        <f>IF(NOT(Paths!$C$242=1),0,IF(Paths!$P$242="Complete",SUM(G2600:I2600)-J2600-K2600-L2600+M2600+IF(C2600=0,Paths!$F$242,0)+IF(IF(Paths!$E$242=0,C2600=0,AND(C2600&gt;0,Paths!$E$242&gt;(C2600-1)*12,Paths!$E$242&lt;=C2600*12)),VLOOKUP(A2600,'Fleet register'!$A$7:$S$106,16,FALSE),0),"n.a."))</f>
        <v>0</v>
      </c>
      <c r="O2600" s="16">
        <f>IF(NOT(Paths!$C$242=1),0,IF(Paths!$P$242="Complete",N2600-IF(C2600=0,Paths!$F$242,0),"n.a."))</f>
        <v>0</v>
      </c>
      <c r="P2600" s="16">
        <f>IF(NOT(Paths!$C$242=1),0,IF(Paths!$P$242="Complete",O2600+L2600,"n.a."))</f>
        <v>0</v>
      </c>
      <c r="Q2600" s="16">
        <f>IF(NOT(Paths!$C$242=1),0,IF(Paths!$P$242="Complete",N2600*(1+'Operating costs'!$B$54)^-C2600,"n.a."))</f>
        <v>0</v>
      </c>
      <c r="R2600" s="16">
        <f>IF(NOT(Paths!$C$242=1),0,IF(Paths!$P$242="Complete",IF(AND(C2600=0,Paths!$E$242=0),I2600-J2600-K2600+VLOOKUP(A2600,'Fleet register'!$A$7:$S$106,15,FALSE)+VLOOKUP(A2600,'Fleet register'!$A$7:$S$106,16,FALSE),0),"n.a."))</f>
        <v>0</v>
      </c>
      <c r="S2600" s="1">
        <f>IF(NOT(Paths!$C$242=1),0,IF(Paths!$P$242="Complete",IF(C2600=0,0,Paths!$S$242*Paths!$R$242),"n.a."))</f>
        <v>0</v>
      </c>
      <c r="T2600" s="1">
        <f>IF(NOT(Paths!$C$242=1),0,IF(Paths!$P$242="Complete",IF(C2600=0,0,VLOOKUP(A2600,'Fleet register'!$A$7:$S$106,9,FALSE)*Paths!$R$242),"n.a."))</f>
        <v>0</v>
      </c>
    </row>
    <row r="2601" spans="1:20" ht="24" customHeight="1">
      <c r="A2601" s="1" t="str">
        <f>Paths!$A$242</f>
        <v>T059</v>
      </c>
      <c r="B2601" s="1">
        <f>Paths!$B$242</f>
        <v>3</v>
      </c>
      <c r="C2601" s="1">
        <v>9</v>
      </c>
      <c r="D2601" s="1">
        <v>242</v>
      </c>
      <c r="E2601" s="1">
        <f>IF(OR(Paths!$C$242=0,C2601=0),0,MAX(0,MIN(C2601*12,Paths!$E$242)-(C2601-1)*12))</f>
        <v>0</v>
      </c>
      <c r="F2601" s="1">
        <f>IF(OR(Paths!$C$242=0,C2601=0),0,12-E2601)</f>
        <v>0</v>
      </c>
      <c r="G2601" s="16">
        <f>IF(NOT(Paths!$C$242=1),0,IF(Paths!$P$242="Complete",E2601/12*(Paths!$J$242*(1+'Operating costs'!$B$51)^MAX(0,C2601-1)+Paths!$K$242*(1+'Operating costs'!$B$53)^MAX(0,C2601-1)),"n.a."))</f>
        <v>0</v>
      </c>
      <c r="H2601" s="16">
        <f>IF(NOT(Paths!$C$242=1),0,IF(Paths!$P$242="Complete",F2601/12*(Paths!$L$242*(1+IF(Paths!$D$242="EV",'Operating costs'!$B$52,'Operating costs'!$B$51))^MAX(0,C2601-1)+Paths!$M$242*(1+'Operating costs'!$B$53)^MAX(0,C2601-1)),"n.a."))</f>
        <v>0</v>
      </c>
      <c r="I2601" s="16">
        <f>IF(NOT(Paths!$C$242=1),0,IF(Paths!$P$242="Complete",IF(IF(Paths!$E$242=0,C2601=0,AND(C2601&gt;0,Paths!$E$242&gt;(C2601-1)*12,Paths!$E$242&lt;=C2601*12)),Paths!$G$242,0),"n.a."))</f>
        <v>0</v>
      </c>
      <c r="J2601" s="16">
        <f>IF(NOT(Paths!$C$242=1),0,IF(Paths!$P$242="Complete",IF(IF(Paths!$E$242=0,C2601=0,AND(C2601&gt;0,Paths!$E$242&gt;(C2601-1)*12,Paths!$E$242&lt;=C2601*12)),Paths!$H$242,0),"n.a."))</f>
        <v>0</v>
      </c>
      <c r="K2601" s="16">
        <f>IF(NOT(Paths!$C$242=1),0,IF(Paths!$P$242="Complete",IF(IF(Paths!$O$242=0,C2601=0,AND(C2601&gt;0,Paths!$O$242&gt;(C2601-1)*12,Paths!$O$242&lt;=C2601*12)),Paths!$N$242,0),"n.a."))</f>
        <v>0</v>
      </c>
      <c r="L2601" s="16">
        <f>IF(NOT(Paths!$C$242=1),0,IF(Paths!$P$242="Complete",IF(C2601=10,Paths!$I$242,0),"n.a."))</f>
        <v>0</v>
      </c>
      <c r="M2601" s="16">
        <f>IF(NOT(Paths!$C$242=1),0,IF(Paths!$P$242="Complete",IF(AND(Paths!$D$242="EV",Paths!$E$242&lt;120,Paths!$E$242+'Operating costs'!$B$65&gt;Paths!$E$242,Paths!$E$242+'Operating costs'!$B$65&lt;=120,IF(Paths!$E$242+'Operating costs'!$B$65=0,C2601=0,AND(C2601&gt;0,Paths!$E$242+'Operating costs'!$B$65&gt;(C2601-1)*12,Paths!$E$242+'Operating costs'!$B$65&lt;=C2601*12))),'Operating costs'!$B$64,0)+IF(AND('Operating costs'!$B$67&gt;0,'Operating costs'!$B$67&lt;=120,OR(Paths!$D$242="ICE",'Operating costs'!$B$67&lt;=Paths!$E$242),IF('Operating costs'!$B$67=0,C2601=0,AND(C2601&gt;0,'Operating costs'!$B$67&gt;(C2601-1)*12,'Operating costs'!$B$67&lt;=C2601*12))),'Operating costs'!$B$66,0),"n.a."))</f>
        <v>0</v>
      </c>
      <c r="N2601" s="16">
        <f>IF(NOT(Paths!$C$242=1),0,IF(Paths!$P$242="Complete",SUM(G2601:I2601)-J2601-K2601-L2601+M2601+IF(C2601=0,Paths!$F$242,0)+IF(IF(Paths!$E$242=0,C2601=0,AND(C2601&gt;0,Paths!$E$242&gt;(C2601-1)*12,Paths!$E$242&lt;=C2601*12)),VLOOKUP(A2601,'Fleet register'!$A$7:$S$106,16,FALSE),0),"n.a."))</f>
        <v>0</v>
      </c>
      <c r="O2601" s="16">
        <f>IF(NOT(Paths!$C$242=1),0,IF(Paths!$P$242="Complete",N2601-IF(C2601=0,Paths!$F$242,0),"n.a."))</f>
        <v>0</v>
      </c>
      <c r="P2601" s="16">
        <f>IF(NOT(Paths!$C$242=1),0,IF(Paths!$P$242="Complete",O2601+L2601,"n.a."))</f>
        <v>0</v>
      </c>
      <c r="Q2601" s="16">
        <f>IF(NOT(Paths!$C$242=1),0,IF(Paths!$P$242="Complete",N2601*(1+'Operating costs'!$B$54)^-C2601,"n.a."))</f>
        <v>0</v>
      </c>
      <c r="R2601" s="16">
        <f>IF(NOT(Paths!$C$242=1),0,IF(Paths!$P$242="Complete",IF(AND(C2601=0,Paths!$E$242=0),I2601-J2601-K2601+VLOOKUP(A2601,'Fleet register'!$A$7:$S$106,15,FALSE)+VLOOKUP(A2601,'Fleet register'!$A$7:$S$106,16,FALSE),0),"n.a."))</f>
        <v>0</v>
      </c>
      <c r="S2601" s="1">
        <f>IF(NOT(Paths!$C$242=1),0,IF(Paths!$P$242="Complete",IF(C2601=0,0,Paths!$S$242*Paths!$R$242),"n.a."))</f>
        <v>0</v>
      </c>
      <c r="T2601" s="1">
        <f>IF(NOT(Paths!$C$242=1),0,IF(Paths!$P$242="Complete",IF(C2601=0,0,VLOOKUP(A2601,'Fleet register'!$A$7:$S$106,9,FALSE)*Paths!$R$242),"n.a."))</f>
        <v>0</v>
      </c>
    </row>
    <row r="2602" spans="1:20" ht="24" customHeight="1">
      <c r="A2602" s="1" t="str">
        <f>Paths!$A$242</f>
        <v>T059</v>
      </c>
      <c r="B2602" s="1">
        <f>Paths!$B$242</f>
        <v>3</v>
      </c>
      <c r="C2602" s="1">
        <v>10</v>
      </c>
      <c r="D2602" s="1">
        <v>242</v>
      </c>
      <c r="E2602" s="1">
        <f>IF(OR(Paths!$C$242=0,C2602=0),0,MAX(0,MIN(C2602*12,Paths!$E$242)-(C2602-1)*12))</f>
        <v>0</v>
      </c>
      <c r="F2602" s="1">
        <f>IF(OR(Paths!$C$242=0,C2602=0),0,12-E2602)</f>
        <v>0</v>
      </c>
      <c r="G2602" s="16">
        <f>IF(NOT(Paths!$C$242=1),0,IF(Paths!$P$242="Complete",E2602/12*(Paths!$J$242*(1+'Operating costs'!$B$51)^MAX(0,C2602-1)+Paths!$K$242*(1+'Operating costs'!$B$53)^MAX(0,C2602-1)),"n.a."))</f>
        <v>0</v>
      </c>
      <c r="H2602" s="16">
        <f>IF(NOT(Paths!$C$242=1),0,IF(Paths!$P$242="Complete",F2602/12*(Paths!$L$242*(1+IF(Paths!$D$242="EV",'Operating costs'!$B$52,'Operating costs'!$B$51))^MAX(0,C2602-1)+Paths!$M$242*(1+'Operating costs'!$B$53)^MAX(0,C2602-1)),"n.a."))</f>
        <v>0</v>
      </c>
      <c r="I2602" s="16">
        <f>IF(NOT(Paths!$C$242=1),0,IF(Paths!$P$242="Complete",IF(IF(Paths!$E$242=0,C2602=0,AND(C2602&gt;0,Paths!$E$242&gt;(C2602-1)*12,Paths!$E$242&lt;=C2602*12)),Paths!$G$242,0),"n.a."))</f>
        <v>0</v>
      </c>
      <c r="J2602" s="16">
        <f>IF(NOT(Paths!$C$242=1),0,IF(Paths!$P$242="Complete",IF(IF(Paths!$E$242=0,C2602=0,AND(C2602&gt;0,Paths!$E$242&gt;(C2602-1)*12,Paths!$E$242&lt;=C2602*12)),Paths!$H$242,0),"n.a."))</f>
        <v>0</v>
      </c>
      <c r="K2602" s="16">
        <f>IF(NOT(Paths!$C$242=1),0,IF(Paths!$P$242="Complete",IF(IF(Paths!$O$242=0,C2602=0,AND(C2602&gt;0,Paths!$O$242&gt;(C2602-1)*12,Paths!$O$242&lt;=C2602*12)),Paths!$N$242,0),"n.a."))</f>
        <v>0</v>
      </c>
      <c r="L2602" s="16">
        <f>IF(NOT(Paths!$C$242=1),0,IF(Paths!$P$242="Complete",IF(C2602=10,Paths!$I$242,0),"n.a."))</f>
        <v>0</v>
      </c>
      <c r="M2602" s="16">
        <f>IF(NOT(Paths!$C$242=1),0,IF(Paths!$P$242="Complete",IF(AND(Paths!$D$242="EV",Paths!$E$242&lt;120,Paths!$E$242+'Operating costs'!$B$65&gt;Paths!$E$242,Paths!$E$242+'Operating costs'!$B$65&lt;=120,IF(Paths!$E$242+'Operating costs'!$B$65=0,C2602=0,AND(C2602&gt;0,Paths!$E$242+'Operating costs'!$B$65&gt;(C2602-1)*12,Paths!$E$242+'Operating costs'!$B$65&lt;=C2602*12))),'Operating costs'!$B$64,0)+IF(AND('Operating costs'!$B$67&gt;0,'Operating costs'!$B$67&lt;=120,OR(Paths!$D$242="ICE",'Operating costs'!$B$67&lt;=Paths!$E$242),IF('Operating costs'!$B$67=0,C2602=0,AND(C2602&gt;0,'Operating costs'!$B$67&gt;(C2602-1)*12,'Operating costs'!$B$67&lt;=C2602*12))),'Operating costs'!$B$66,0),"n.a."))</f>
        <v>0</v>
      </c>
      <c r="N2602" s="16">
        <f>IF(NOT(Paths!$C$242=1),0,IF(Paths!$P$242="Complete",SUM(G2602:I2602)-J2602-K2602-L2602+M2602+IF(C2602=0,Paths!$F$242,0)+IF(IF(Paths!$E$242=0,C2602=0,AND(C2602&gt;0,Paths!$E$242&gt;(C2602-1)*12,Paths!$E$242&lt;=C2602*12)),VLOOKUP(A2602,'Fleet register'!$A$7:$S$106,16,FALSE),0),"n.a."))</f>
        <v>0</v>
      </c>
      <c r="O2602" s="16">
        <f>IF(NOT(Paths!$C$242=1),0,IF(Paths!$P$242="Complete",N2602-IF(C2602=0,Paths!$F$242,0),"n.a."))</f>
        <v>0</v>
      </c>
      <c r="P2602" s="16">
        <f>IF(NOT(Paths!$C$242=1),0,IF(Paths!$P$242="Complete",O2602+L2602,"n.a."))</f>
        <v>0</v>
      </c>
      <c r="Q2602" s="16">
        <f>IF(NOT(Paths!$C$242=1),0,IF(Paths!$P$242="Complete",N2602*(1+'Operating costs'!$B$54)^-C2602,"n.a."))</f>
        <v>0</v>
      </c>
      <c r="R2602" s="16">
        <f>IF(NOT(Paths!$C$242=1),0,IF(Paths!$P$242="Complete",IF(AND(C2602=0,Paths!$E$242=0),I2602-J2602-K2602+VLOOKUP(A2602,'Fleet register'!$A$7:$S$106,15,FALSE)+VLOOKUP(A2602,'Fleet register'!$A$7:$S$106,16,FALSE),0),"n.a."))</f>
        <v>0</v>
      </c>
      <c r="S2602" s="1">
        <f>IF(NOT(Paths!$C$242=1),0,IF(Paths!$P$242="Complete",IF(C2602=0,0,Paths!$S$242*Paths!$R$242),"n.a."))</f>
        <v>0</v>
      </c>
      <c r="T2602" s="1">
        <f>IF(NOT(Paths!$C$242=1),0,IF(Paths!$P$242="Complete",IF(C2602=0,0,VLOOKUP(A2602,'Fleet register'!$A$7:$S$106,9,FALSE)*Paths!$R$242),"n.a."))</f>
        <v>0</v>
      </c>
    </row>
    <row r="2603" spans="1:20" ht="24" customHeight="1">
      <c r="A2603" s="1" t="str">
        <f>Paths!$A$243</f>
        <v>T060</v>
      </c>
      <c r="B2603" s="1">
        <f>Paths!$B$243</f>
        <v>0</v>
      </c>
      <c r="C2603" s="1">
        <v>0</v>
      </c>
      <c r="D2603" s="1">
        <v>243</v>
      </c>
      <c r="E2603" s="1">
        <f>IF(OR(Paths!$C$243=0,C2603=0),0,MAX(0,MIN(C2603*12,Paths!$E$243)-(C2603-1)*12))</f>
        <v>0</v>
      </c>
      <c r="F2603" s="1">
        <f>IF(OR(Paths!$C$243=0,C2603=0),0,12-E2603)</f>
        <v>0</v>
      </c>
      <c r="G2603" s="16">
        <f>IF(NOT(Paths!$C$243=1),0,IF(Paths!$P$243="Complete",E2603/12*(Paths!$J$243*(1+'Operating costs'!$B$51)^MAX(0,C2603-1)+Paths!$K$243*(1+'Operating costs'!$B$53)^MAX(0,C2603-1)),"n.a."))</f>
        <v>0</v>
      </c>
      <c r="H2603" s="16">
        <f>IF(NOT(Paths!$C$243=1),0,IF(Paths!$P$243="Complete",F2603/12*(Paths!$L$243*(1+IF(Paths!$D$243="EV",'Operating costs'!$B$52,'Operating costs'!$B$51))^MAX(0,C2603-1)+Paths!$M$243*(1+'Operating costs'!$B$53)^MAX(0,C2603-1)),"n.a."))</f>
        <v>0</v>
      </c>
      <c r="I2603" s="16">
        <f>IF(NOT(Paths!$C$243=1),0,IF(Paths!$P$243="Complete",IF(IF(Paths!$E$243=0,C2603=0,AND(C2603&gt;0,Paths!$E$243&gt;(C2603-1)*12,Paths!$E$243&lt;=C2603*12)),Paths!$G$243,0),"n.a."))</f>
        <v>0</v>
      </c>
      <c r="J2603" s="16">
        <f>IF(NOT(Paths!$C$243=1),0,IF(Paths!$P$243="Complete",IF(IF(Paths!$E$243=0,C2603=0,AND(C2603&gt;0,Paths!$E$243&gt;(C2603-1)*12,Paths!$E$243&lt;=C2603*12)),Paths!$H$243,0),"n.a."))</f>
        <v>0</v>
      </c>
      <c r="K2603" s="16">
        <f>IF(NOT(Paths!$C$243=1),0,IF(Paths!$P$243="Complete",IF(IF(Paths!$O$243=0,C2603=0,AND(C2603&gt;0,Paths!$O$243&gt;(C2603-1)*12,Paths!$O$243&lt;=C2603*12)),Paths!$N$243,0),"n.a."))</f>
        <v>0</v>
      </c>
      <c r="L2603" s="16">
        <f>IF(NOT(Paths!$C$243=1),0,IF(Paths!$P$243="Complete",IF(C2603=10,Paths!$I$243,0),"n.a."))</f>
        <v>0</v>
      </c>
      <c r="M2603" s="16">
        <f>IF(NOT(Paths!$C$243=1),0,IF(Paths!$P$243="Complete",IF(AND(Paths!$D$243="EV",Paths!$E$243&lt;120,Paths!$E$243+'Operating costs'!$B$65&gt;Paths!$E$243,Paths!$E$243+'Operating costs'!$B$65&lt;=120,IF(Paths!$E$243+'Operating costs'!$B$65=0,C2603=0,AND(C2603&gt;0,Paths!$E$243+'Operating costs'!$B$65&gt;(C2603-1)*12,Paths!$E$243+'Operating costs'!$B$65&lt;=C2603*12))),'Operating costs'!$B$64,0)+IF(AND('Operating costs'!$B$67&gt;0,'Operating costs'!$B$67&lt;=120,OR(Paths!$D$243="ICE",'Operating costs'!$B$67&lt;=Paths!$E$243),IF('Operating costs'!$B$67=0,C2603=0,AND(C2603&gt;0,'Operating costs'!$B$67&gt;(C2603-1)*12,'Operating costs'!$B$67&lt;=C2603*12))),'Operating costs'!$B$66,0),"n.a."))</f>
        <v>0</v>
      </c>
      <c r="N2603" s="16">
        <f>IF(NOT(Paths!$C$243=1),0,IF(Paths!$P$243="Complete",SUM(G2603:I2603)-J2603-K2603-L2603+M2603+IF(C2603=0,Paths!$F$243,0)+IF(IF(Paths!$E$243=0,C2603=0,AND(C2603&gt;0,Paths!$E$243&gt;(C2603-1)*12,Paths!$E$243&lt;=C2603*12)),VLOOKUP(A2603,'Fleet register'!$A$7:$S$106,16,FALSE),0),"n.a."))</f>
        <v>0</v>
      </c>
      <c r="O2603" s="16">
        <f>IF(NOT(Paths!$C$243=1),0,IF(Paths!$P$243="Complete",N2603-IF(C2603=0,Paths!$F$243,0),"n.a."))</f>
        <v>0</v>
      </c>
      <c r="P2603" s="16">
        <f>IF(NOT(Paths!$C$243=1),0,IF(Paths!$P$243="Complete",O2603+L2603,"n.a."))</f>
        <v>0</v>
      </c>
      <c r="Q2603" s="16">
        <f>IF(NOT(Paths!$C$243=1),0,IF(Paths!$P$243="Complete",N2603*(1+'Operating costs'!$B$54)^-C2603,"n.a."))</f>
        <v>0</v>
      </c>
      <c r="R2603" s="16">
        <f>IF(NOT(Paths!$C$243=1),0,IF(Paths!$P$243="Complete",IF(AND(C2603=0,Paths!$E$243=0),I2603-J2603-K2603+VLOOKUP(A2603,'Fleet register'!$A$7:$S$106,15,FALSE)+VLOOKUP(A2603,'Fleet register'!$A$7:$S$106,16,FALSE),0),"n.a."))</f>
        <v>0</v>
      </c>
      <c r="S2603" s="1">
        <f>IF(NOT(Paths!$C$243=1),0,IF(Paths!$P$243="Complete",IF(C2603=0,0,Paths!$S$243*Paths!$R$243),"n.a."))</f>
        <v>0</v>
      </c>
      <c r="T2603" s="1">
        <f>IF(NOT(Paths!$C$243=1),0,IF(Paths!$P$243="Complete",IF(C2603=0,0,VLOOKUP(A2603,'Fleet register'!$A$7:$S$106,9,FALSE)*Paths!$R$243),"n.a."))</f>
        <v>0</v>
      </c>
    </row>
    <row r="2604" spans="1:20" ht="24" customHeight="1">
      <c r="A2604" s="1" t="str">
        <f>Paths!$A$243</f>
        <v>T060</v>
      </c>
      <c r="B2604" s="1">
        <f>Paths!$B$243</f>
        <v>0</v>
      </c>
      <c r="C2604" s="1">
        <v>1</v>
      </c>
      <c r="D2604" s="1">
        <v>243</v>
      </c>
      <c r="E2604" s="1">
        <f>IF(OR(Paths!$C$243=0,C2604=0),0,MAX(0,MIN(C2604*12,Paths!$E$243)-(C2604-1)*12))</f>
        <v>0</v>
      </c>
      <c r="F2604" s="1">
        <f>IF(OR(Paths!$C$243=0,C2604=0),0,12-E2604)</f>
        <v>0</v>
      </c>
      <c r="G2604" s="16">
        <f>IF(NOT(Paths!$C$243=1),0,IF(Paths!$P$243="Complete",E2604/12*(Paths!$J$243*(1+'Operating costs'!$B$51)^MAX(0,C2604-1)+Paths!$K$243*(1+'Operating costs'!$B$53)^MAX(0,C2604-1)),"n.a."))</f>
        <v>0</v>
      </c>
      <c r="H2604" s="16">
        <f>IF(NOT(Paths!$C$243=1),0,IF(Paths!$P$243="Complete",F2604/12*(Paths!$L$243*(1+IF(Paths!$D$243="EV",'Operating costs'!$B$52,'Operating costs'!$B$51))^MAX(0,C2604-1)+Paths!$M$243*(1+'Operating costs'!$B$53)^MAX(0,C2604-1)),"n.a."))</f>
        <v>0</v>
      </c>
      <c r="I2604" s="16">
        <f>IF(NOT(Paths!$C$243=1),0,IF(Paths!$P$243="Complete",IF(IF(Paths!$E$243=0,C2604=0,AND(C2604&gt;0,Paths!$E$243&gt;(C2604-1)*12,Paths!$E$243&lt;=C2604*12)),Paths!$G$243,0),"n.a."))</f>
        <v>0</v>
      </c>
      <c r="J2604" s="16">
        <f>IF(NOT(Paths!$C$243=1),0,IF(Paths!$P$243="Complete",IF(IF(Paths!$E$243=0,C2604=0,AND(C2604&gt;0,Paths!$E$243&gt;(C2604-1)*12,Paths!$E$243&lt;=C2604*12)),Paths!$H$243,0),"n.a."))</f>
        <v>0</v>
      </c>
      <c r="K2604" s="16">
        <f>IF(NOT(Paths!$C$243=1),0,IF(Paths!$P$243="Complete",IF(IF(Paths!$O$243=0,C2604=0,AND(C2604&gt;0,Paths!$O$243&gt;(C2604-1)*12,Paths!$O$243&lt;=C2604*12)),Paths!$N$243,0),"n.a."))</f>
        <v>0</v>
      </c>
      <c r="L2604" s="16">
        <f>IF(NOT(Paths!$C$243=1),0,IF(Paths!$P$243="Complete",IF(C2604=10,Paths!$I$243,0),"n.a."))</f>
        <v>0</v>
      </c>
      <c r="M2604" s="16">
        <f>IF(NOT(Paths!$C$243=1),0,IF(Paths!$P$243="Complete",IF(AND(Paths!$D$243="EV",Paths!$E$243&lt;120,Paths!$E$243+'Operating costs'!$B$65&gt;Paths!$E$243,Paths!$E$243+'Operating costs'!$B$65&lt;=120,IF(Paths!$E$243+'Operating costs'!$B$65=0,C2604=0,AND(C2604&gt;0,Paths!$E$243+'Operating costs'!$B$65&gt;(C2604-1)*12,Paths!$E$243+'Operating costs'!$B$65&lt;=C2604*12))),'Operating costs'!$B$64,0)+IF(AND('Operating costs'!$B$67&gt;0,'Operating costs'!$B$67&lt;=120,OR(Paths!$D$243="ICE",'Operating costs'!$B$67&lt;=Paths!$E$243),IF('Operating costs'!$B$67=0,C2604=0,AND(C2604&gt;0,'Operating costs'!$B$67&gt;(C2604-1)*12,'Operating costs'!$B$67&lt;=C2604*12))),'Operating costs'!$B$66,0),"n.a."))</f>
        <v>0</v>
      </c>
      <c r="N2604" s="16">
        <f>IF(NOT(Paths!$C$243=1),0,IF(Paths!$P$243="Complete",SUM(G2604:I2604)-J2604-K2604-L2604+M2604+IF(C2604=0,Paths!$F$243,0)+IF(IF(Paths!$E$243=0,C2604=0,AND(C2604&gt;0,Paths!$E$243&gt;(C2604-1)*12,Paths!$E$243&lt;=C2604*12)),VLOOKUP(A2604,'Fleet register'!$A$7:$S$106,16,FALSE),0),"n.a."))</f>
        <v>0</v>
      </c>
      <c r="O2604" s="16">
        <f>IF(NOT(Paths!$C$243=1),0,IF(Paths!$P$243="Complete",N2604-IF(C2604=0,Paths!$F$243,0),"n.a."))</f>
        <v>0</v>
      </c>
      <c r="P2604" s="16">
        <f>IF(NOT(Paths!$C$243=1),0,IF(Paths!$P$243="Complete",O2604+L2604,"n.a."))</f>
        <v>0</v>
      </c>
      <c r="Q2604" s="16">
        <f>IF(NOT(Paths!$C$243=1),0,IF(Paths!$P$243="Complete",N2604*(1+'Operating costs'!$B$54)^-C2604,"n.a."))</f>
        <v>0</v>
      </c>
      <c r="R2604" s="16">
        <f>IF(NOT(Paths!$C$243=1),0,IF(Paths!$P$243="Complete",IF(AND(C2604=0,Paths!$E$243=0),I2604-J2604-K2604+VLOOKUP(A2604,'Fleet register'!$A$7:$S$106,15,FALSE)+VLOOKUP(A2604,'Fleet register'!$A$7:$S$106,16,FALSE),0),"n.a."))</f>
        <v>0</v>
      </c>
      <c r="S2604" s="1">
        <f>IF(NOT(Paths!$C$243=1),0,IF(Paths!$P$243="Complete",IF(C2604=0,0,Paths!$S$243*Paths!$R$243),"n.a."))</f>
        <v>0</v>
      </c>
      <c r="T2604" s="1">
        <f>IF(NOT(Paths!$C$243=1),0,IF(Paths!$P$243="Complete",IF(C2604=0,0,VLOOKUP(A2604,'Fleet register'!$A$7:$S$106,9,FALSE)*Paths!$R$243),"n.a."))</f>
        <v>0</v>
      </c>
    </row>
    <row r="2605" spans="1:20" ht="24" customHeight="1">
      <c r="A2605" s="1" t="str">
        <f>Paths!$A$243</f>
        <v>T060</v>
      </c>
      <c r="B2605" s="1">
        <f>Paths!$B$243</f>
        <v>0</v>
      </c>
      <c r="C2605" s="1">
        <v>2</v>
      </c>
      <c r="D2605" s="1">
        <v>243</v>
      </c>
      <c r="E2605" s="1">
        <f>IF(OR(Paths!$C$243=0,C2605=0),0,MAX(0,MIN(C2605*12,Paths!$E$243)-(C2605-1)*12))</f>
        <v>0</v>
      </c>
      <c r="F2605" s="1">
        <f>IF(OR(Paths!$C$243=0,C2605=0),0,12-E2605)</f>
        <v>0</v>
      </c>
      <c r="G2605" s="16">
        <f>IF(NOT(Paths!$C$243=1),0,IF(Paths!$P$243="Complete",E2605/12*(Paths!$J$243*(1+'Operating costs'!$B$51)^MAX(0,C2605-1)+Paths!$K$243*(1+'Operating costs'!$B$53)^MAX(0,C2605-1)),"n.a."))</f>
        <v>0</v>
      </c>
      <c r="H2605" s="16">
        <f>IF(NOT(Paths!$C$243=1),0,IF(Paths!$P$243="Complete",F2605/12*(Paths!$L$243*(1+IF(Paths!$D$243="EV",'Operating costs'!$B$52,'Operating costs'!$B$51))^MAX(0,C2605-1)+Paths!$M$243*(1+'Operating costs'!$B$53)^MAX(0,C2605-1)),"n.a."))</f>
        <v>0</v>
      </c>
      <c r="I2605" s="16">
        <f>IF(NOT(Paths!$C$243=1),0,IF(Paths!$P$243="Complete",IF(IF(Paths!$E$243=0,C2605=0,AND(C2605&gt;0,Paths!$E$243&gt;(C2605-1)*12,Paths!$E$243&lt;=C2605*12)),Paths!$G$243,0),"n.a."))</f>
        <v>0</v>
      </c>
      <c r="J2605" s="16">
        <f>IF(NOT(Paths!$C$243=1),0,IF(Paths!$P$243="Complete",IF(IF(Paths!$E$243=0,C2605=0,AND(C2605&gt;0,Paths!$E$243&gt;(C2605-1)*12,Paths!$E$243&lt;=C2605*12)),Paths!$H$243,0),"n.a."))</f>
        <v>0</v>
      </c>
      <c r="K2605" s="16">
        <f>IF(NOT(Paths!$C$243=1),0,IF(Paths!$P$243="Complete",IF(IF(Paths!$O$243=0,C2605=0,AND(C2605&gt;0,Paths!$O$243&gt;(C2605-1)*12,Paths!$O$243&lt;=C2605*12)),Paths!$N$243,0),"n.a."))</f>
        <v>0</v>
      </c>
      <c r="L2605" s="16">
        <f>IF(NOT(Paths!$C$243=1),0,IF(Paths!$P$243="Complete",IF(C2605=10,Paths!$I$243,0),"n.a."))</f>
        <v>0</v>
      </c>
      <c r="M2605" s="16">
        <f>IF(NOT(Paths!$C$243=1),0,IF(Paths!$P$243="Complete",IF(AND(Paths!$D$243="EV",Paths!$E$243&lt;120,Paths!$E$243+'Operating costs'!$B$65&gt;Paths!$E$243,Paths!$E$243+'Operating costs'!$B$65&lt;=120,IF(Paths!$E$243+'Operating costs'!$B$65=0,C2605=0,AND(C2605&gt;0,Paths!$E$243+'Operating costs'!$B$65&gt;(C2605-1)*12,Paths!$E$243+'Operating costs'!$B$65&lt;=C2605*12))),'Operating costs'!$B$64,0)+IF(AND('Operating costs'!$B$67&gt;0,'Operating costs'!$B$67&lt;=120,OR(Paths!$D$243="ICE",'Operating costs'!$B$67&lt;=Paths!$E$243),IF('Operating costs'!$B$67=0,C2605=0,AND(C2605&gt;0,'Operating costs'!$B$67&gt;(C2605-1)*12,'Operating costs'!$B$67&lt;=C2605*12))),'Operating costs'!$B$66,0),"n.a."))</f>
        <v>0</v>
      </c>
      <c r="N2605" s="16">
        <f>IF(NOT(Paths!$C$243=1),0,IF(Paths!$P$243="Complete",SUM(G2605:I2605)-J2605-K2605-L2605+M2605+IF(C2605=0,Paths!$F$243,0)+IF(IF(Paths!$E$243=0,C2605=0,AND(C2605&gt;0,Paths!$E$243&gt;(C2605-1)*12,Paths!$E$243&lt;=C2605*12)),VLOOKUP(A2605,'Fleet register'!$A$7:$S$106,16,FALSE),0),"n.a."))</f>
        <v>0</v>
      </c>
      <c r="O2605" s="16">
        <f>IF(NOT(Paths!$C$243=1),0,IF(Paths!$P$243="Complete",N2605-IF(C2605=0,Paths!$F$243,0),"n.a."))</f>
        <v>0</v>
      </c>
      <c r="P2605" s="16">
        <f>IF(NOT(Paths!$C$243=1),0,IF(Paths!$P$243="Complete",O2605+L2605,"n.a."))</f>
        <v>0</v>
      </c>
      <c r="Q2605" s="16">
        <f>IF(NOT(Paths!$C$243=1),0,IF(Paths!$P$243="Complete",N2605*(1+'Operating costs'!$B$54)^-C2605,"n.a."))</f>
        <v>0</v>
      </c>
      <c r="R2605" s="16">
        <f>IF(NOT(Paths!$C$243=1),0,IF(Paths!$P$243="Complete",IF(AND(C2605=0,Paths!$E$243=0),I2605-J2605-K2605+VLOOKUP(A2605,'Fleet register'!$A$7:$S$106,15,FALSE)+VLOOKUP(A2605,'Fleet register'!$A$7:$S$106,16,FALSE),0),"n.a."))</f>
        <v>0</v>
      </c>
      <c r="S2605" s="1">
        <f>IF(NOT(Paths!$C$243=1),0,IF(Paths!$P$243="Complete",IF(C2605=0,0,Paths!$S$243*Paths!$R$243),"n.a."))</f>
        <v>0</v>
      </c>
      <c r="T2605" s="1">
        <f>IF(NOT(Paths!$C$243=1),0,IF(Paths!$P$243="Complete",IF(C2605=0,0,VLOOKUP(A2605,'Fleet register'!$A$7:$S$106,9,FALSE)*Paths!$R$243),"n.a."))</f>
        <v>0</v>
      </c>
    </row>
    <row r="2606" spans="1:20" ht="24" customHeight="1">
      <c r="A2606" s="1" t="str">
        <f>Paths!$A$243</f>
        <v>T060</v>
      </c>
      <c r="B2606" s="1">
        <f>Paths!$B$243</f>
        <v>0</v>
      </c>
      <c r="C2606" s="1">
        <v>3</v>
      </c>
      <c r="D2606" s="1">
        <v>243</v>
      </c>
      <c r="E2606" s="1">
        <f>IF(OR(Paths!$C$243=0,C2606=0),0,MAX(0,MIN(C2606*12,Paths!$E$243)-(C2606-1)*12))</f>
        <v>0</v>
      </c>
      <c r="F2606" s="1">
        <f>IF(OR(Paths!$C$243=0,C2606=0),0,12-E2606)</f>
        <v>0</v>
      </c>
      <c r="G2606" s="16">
        <f>IF(NOT(Paths!$C$243=1),0,IF(Paths!$P$243="Complete",E2606/12*(Paths!$J$243*(1+'Operating costs'!$B$51)^MAX(0,C2606-1)+Paths!$K$243*(1+'Operating costs'!$B$53)^MAX(0,C2606-1)),"n.a."))</f>
        <v>0</v>
      </c>
      <c r="H2606" s="16">
        <f>IF(NOT(Paths!$C$243=1),0,IF(Paths!$P$243="Complete",F2606/12*(Paths!$L$243*(1+IF(Paths!$D$243="EV",'Operating costs'!$B$52,'Operating costs'!$B$51))^MAX(0,C2606-1)+Paths!$M$243*(1+'Operating costs'!$B$53)^MAX(0,C2606-1)),"n.a."))</f>
        <v>0</v>
      </c>
      <c r="I2606" s="16">
        <f>IF(NOT(Paths!$C$243=1),0,IF(Paths!$P$243="Complete",IF(IF(Paths!$E$243=0,C2606=0,AND(C2606&gt;0,Paths!$E$243&gt;(C2606-1)*12,Paths!$E$243&lt;=C2606*12)),Paths!$G$243,0),"n.a."))</f>
        <v>0</v>
      </c>
      <c r="J2606" s="16">
        <f>IF(NOT(Paths!$C$243=1),0,IF(Paths!$P$243="Complete",IF(IF(Paths!$E$243=0,C2606=0,AND(C2606&gt;0,Paths!$E$243&gt;(C2606-1)*12,Paths!$E$243&lt;=C2606*12)),Paths!$H$243,0),"n.a."))</f>
        <v>0</v>
      </c>
      <c r="K2606" s="16">
        <f>IF(NOT(Paths!$C$243=1),0,IF(Paths!$P$243="Complete",IF(IF(Paths!$O$243=0,C2606=0,AND(C2606&gt;0,Paths!$O$243&gt;(C2606-1)*12,Paths!$O$243&lt;=C2606*12)),Paths!$N$243,0),"n.a."))</f>
        <v>0</v>
      </c>
      <c r="L2606" s="16">
        <f>IF(NOT(Paths!$C$243=1),0,IF(Paths!$P$243="Complete",IF(C2606=10,Paths!$I$243,0),"n.a."))</f>
        <v>0</v>
      </c>
      <c r="M2606" s="16">
        <f>IF(NOT(Paths!$C$243=1),0,IF(Paths!$P$243="Complete",IF(AND(Paths!$D$243="EV",Paths!$E$243&lt;120,Paths!$E$243+'Operating costs'!$B$65&gt;Paths!$E$243,Paths!$E$243+'Operating costs'!$B$65&lt;=120,IF(Paths!$E$243+'Operating costs'!$B$65=0,C2606=0,AND(C2606&gt;0,Paths!$E$243+'Operating costs'!$B$65&gt;(C2606-1)*12,Paths!$E$243+'Operating costs'!$B$65&lt;=C2606*12))),'Operating costs'!$B$64,0)+IF(AND('Operating costs'!$B$67&gt;0,'Operating costs'!$B$67&lt;=120,OR(Paths!$D$243="ICE",'Operating costs'!$B$67&lt;=Paths!$E$243),IF('Operating costs'!$B$67=0,C2606=0,AND(C2606&gt;0,'Operating costs'!$B$67&gt;(C2606-1)*12,'Operating costs'!$B$67&lt;=C2606*12))),'Operating costs'!$B$66,0),"n.a."))</f>
        <v>0</v>
      </c>
      <c r="N2606" s="16">
        <f>IF(NOT(Paths!$C$243=1),0,IF(Paths!$P$243="Complete",SUM(G2606:I2606)-J2606-K2606-L2606+M2606+IF(C2606=0,Paths!$F$243,0)+IF(IF(Paths!$E$243=0,C2606=0,AND(C2606&gt;0,Paths!$E$243&gt;(C2606-1)*12,Paths!$E$243&lt;=C2606*12)),VLOOKUP(A2606,'Fleet register'!$A$7:$S$106,16,FALSE),0),"n.a."))</f>
        <v>0</v>
      </c>
      <c r="O2606" s="16">
        <f>IF(NOT(Paths!$C$243=1),0,IF(Paths!$P$243="Complete",N2606-IF(C2606=0,Paths!$F$243,0),"n.a."))</f>
        <v>0</v>
      </c>
      <c r="P2606" s="16">
        <f>IF(NOT(Paths!$C$243=1),0,IF(Paths!$P$243="Complete",O2606+L2606,"n.a."))</f>
        <v>0</v>
      </c>
      <c r="Q2606" s="16">
        <f>IF(NOT(Paths!$C$243=1),0,IF(Paths!$P$243="Complete",N2606*(1+'Operating costs'!$B$54)^-C2606,"n.a."))</f>
        <v>0</v>
      </c>
      <c r="R2606" s="16">
        <f>IF(NOT(Paths!$C$243=1),0,IF(Paths!$P$243="Complete",IF(AND(C2606=0,Paths!$E$243=0),I2606-J2606-K2606+VLOOKUP(A2606,'Fleet register'!$A$7:$S$106,15,FALSE)+VLOOKUP(A2606,'Fleet register'!$A$7:$S$106,16,FALSE),0),"n.a."))</f>
        <v>0</v>
      </c>
      <c r="S2606" s="1">
        <f>IF(NOT(Paths!$C$243=1),0,IF(Paths!$P$243="Complete",IF(C2606=0,0,Paths!$S$243*Paths!$R$243),"n.a."))</f>
        <v>0</v>
      </c>
      <c r="T2606" s="1">
        <f>IF(NOT(Paths!$C$243=1),0,IF(Paths!$P$243="Complete",IF(C2606=0,0,VLOOKUP(A2606,'Fleet register'!$A$7:$S$106,9,FALSE)*Paths!$R$243),"n.a."))</f>
        <v>0</v>
      </c>
    </row>
    <row r="2607" spans="1:20" ht="24" customHeight="1">
      <c r="A2607" s="1" t="str">
        <f>Paths!$A$243</f>
        <v>T060</v>
      </c>
      <c r="B2607" s="1">
        <f>Paths!$B$243</f>
        <v>0</v>
      </c>
      <c r="C2607" s="1">
        <v>4</v>
      </c>
      <c r="D2607" s="1">
        <v>243</v>
      </c>
      <c r="E2607" s="1">
        <f>IF(OR(Paths!$C$243=0,C2607=0),0,MAX(0,MIN(C2607*12,Paths!$E$243)-(C2607-1)*12))</f>
        <v>0</v>
      </c>
      <c r="F2607" s="1">
        <f>IF(OR(Paths!$C$243=0,C2607=0),0,12-E2607)</f>
        <v>0</v>
      </c>
      <c r="G2607" s="16">
        <f>IF(NOT(Paths!$C$243=1),0,IF(Paths!$P$243="Complete",E2607/12*(Paths!$J$243*(1+'Operating costs'!$B$51)^MAX(0,C2607-1)+Paths!$K$243*(1+'Operating costs'!$B$53)^MAX(0,C2607-1)),"n.a."))</f>
        <v>0</v>
      </c>
      <c r="H2607" s="16">
        <f>IF(NOT(Paths!$C$243=1),0,IF(Paths!$P$243="Complete",F2607/12*(Paths!$L$243*(1+IF(Paths!$D$243="EV",'Operating costs'!$B$52,'Operating costs'!$B$51))^MAX(0,C2607-1)+Paths!$M$243*(1+'Operating costs'!$B$53)^MAX(0,C2607-1)),"n.a."))</f>
        <v>0</v>
      </c>
      <c r="I2607" s="16">
        <f>IF(NOT(Paths!$C$243=1),0,IF(Paths!$P$243="Complete",IF(IF(Paths!$E$243=0,C2607=0,AND(C2607&gt;0,Paths!$E$243&gt;(C2607-1)*12,Paths!$E$243&lt;=C2607*12)),Paths!$G$243,0),"n.a."))</f>
        <v>0</v>
      </c>
      <c r="J2607" s="16">
        <f>IF(NOT(Paths!$C$243=1),0,IF(Paths!$P$243="Complete",IF(IF(Paths!$E$243=0,C2607=0,AND(C2607&gt;0,Paths!$E$243&gt;(C2607-1)*12,Paths!$E$243&lt;=C2607*12)),Paths!$H$243,0),"n.a."))</f>
        <v>0</v>
      </c>
      <c r="K2607" s="16">
        <f>IF(NOT(Paths!$C$243=1),0,IF(Paths!$P$243="Complete",IF(IF(Paths!$O$243=0,C2607=0,AND(C2607&gt;0,Paths!$O$243&gt;(C2607-1)*12,Paths!$O$243&lt;=C2607*12)),Paths!$N$243,0),"n.a."))</f>
        <v>0</v>
      </c>
      <c r="L2607" s="16">
        <f>IF(NOT(Paths!$C$243=1),0,IF(Paths!$P$243="Complete",IF(C2607=10,Paths!$I$243,0),"n.a."))</f>
        <v>0</v>
      </c>
      <c r="M2607" s="16">
        <f>IF(NOT(Paths!$C$243=1),0,IF(Paths!$P$243="Complete",IF(AND(Paths!$D$243="EV",Paths!$E$243&lt;120,Paths!$E$243+'Operating costs'!$B$65&gt;Paths!$E$243,Paths!$E$243+'Operating costs'!$B$65&lt;=120,IF(Paths!$E$243+'Operating costs'!$B$65=0,C2607=0,AND(C2607&gt;0,Paths!$E$243+'Operating costs'!$B$65&gt;(C2607-1)*12,Paths!$E$243+'Operating costs'!$B$65&lt;=C2607*12))),'Operating costs'!$B$64,0)+IF(AND('Operating costs'!$B$67&gt;0,'Operating costs'!$B$67&lt;=120,OR(Paths!$D$243="ICE",'Operating costs'!$B$67&lt;=Paths!$E$243),IF('Operating costs'!$B$67=0,C2607=0,AND(C2607&gt;0,'Operating costs'!$B$67&gt;(C2607-1)*12,'Operating costs'!$B$67&lt;=C2607*12))),'Operating costs'!$B$66,0),"n.a."))</f>
        <v>0</v>
      </c>
      <c r="N2607" s="16">
        <f>IF(NOT(Paths!$C$243=1),0,IF(Paths!$P$243="Complete",SUM(G2607:I2607)-J2607-K2607-L2607+M2607+IF(C2607=0,Paths!$F$243,0)+IF(IF(Paths!$E$243=0,C2607=0,AND(C2607&gt;0,Paths!$E$243&gt;(C2607-1)*12,Paths!$E$243&lt;=C2607*12)),VLOOKUP(A2607,'Fleet register'!$A$7:$S$106,16,FALSE),0),"n.a."))</f>
        <v>0</v>
      </c>
      <c r="O2607" s="16">
        <f>IF(NOT(Paths!$C$243=1),0,IF(Paths!$P$243="Complete",N2607-IF(C2607=0,Paths!$F$243,0),"n.a."))</f>
        <v>0</v>
      </c>
      <c r="P2607" s="16">
        <f>IF(NOT(Paths!$C$243=1),0,IF(Paths!$P$243="Complete",O2607+L2607,"n.a."))</f>
        <v>0</v>
      </c>
      <c r="Q2607" s="16">
        <f>IF(NOT(Paths!$C$243=1),0,IF(Paths!$P$243="Complete",N2607*(1+'Operating costs'!$B$54)^-C2607,"n.a."))</f>
        <v>0</v>
      </c>
      <c r="R2607" s="16">
        <f>IF(NOT(Paths!$C$243=1),0,IF(Paths!$P$243="Complete",IF(AND(C2607=0,Paths!$E$243=0),I2607-J2607-K2607+VLOOKUP(A2607,'Fleet register'!$A$7:$S$106,15,FALSE)+VLOOKUP(A2607,'Fleet register'!$A$7:$S$106,16,FALSE),0),"n.a."))</f>
        <v>0</v>
      </c>
      <c r="S2607" s="1">
        <f>IF(NOT(Paths!$C$243=1),0,IF(Paths!$P$243="Complete",IF(C2607=0,0,Paths!$S$243*Paths!$R$243),"n.a."))</f>
        <v>0</v>
      </c>
      <c r="T2607" s="1">
        <f>IF(NOT(Paths!$C$243=1),0,IF(Paths!$P$243="Complete",IF(C2607=0,0,VLOOKUP(A2607,'Fleet register'!$A$7:$S$106,9,FALSE)*Paths!$R$243),"n.a."))</f>
        <v>0</v>
      </c>
    </row>
    <row r="2608" spans="1:20" ht="24" customHeight="1">
      <c r="A2608" s="1" t="str">
        <f>Paths!$A$243</f>
        <v>T060</v>
      </c>
      <c r="B2608" s="1">
        <f>Paths!$B$243</f>
        <v>0</v>
      </c>
      <c r="C2608" s="1">
        <v>5</v>
      </c>
      <c r="D2608" s="1">
        <v>243</v>
      </c>
      <c r="E2608" s="1">
        <f>IF(OR(Paths!$C$243=0,C2608=0),0,MAX(0,MIN(C2608*12,Paths!$E$243)-(C2608-1)*12))</f>
        <v>0</v>
      </c>
      <c r="F2608" s="1">
        <f>IF(OR(Paths!$C$243=0,C2608=0),0,12-E2608)</f>
        <v>0</v>
      </c>
      <c r="G2608" s="16">
        <f>IF(NOT(Paths!$C$243=1),0,IF(Paths!$P$243="Complete",E2608/12*(Paths!$J$243*(1+'Operating costs'!$B$51)^MAX(0,C2608-1)+Paths!$K$243*(1+'Operating costs'!$B$53)^MAX(0,C2608-1)),"n.a."))</f>
        <v>0</v>
      </c>
      <c r="H2608" s="16">
        <f>IF(NOT(Paths!$C$243=1),0,IF(Paths!$P$243="Complete",F2608/12*(Paths!$L$243*(1+IF(Paths!$D$243="EV",'Operating costs'!$B$52,'Operating costs'!$B$51))^MAX(0,C2608-1)+Paths!$M$243*(1+'Operating costs'!$B$53)^MAX(0,C2608-1)),"n.a."))</f>
        <v>0</v>
      </c>
      <c r="I2608" s="16">
        <f>IF(NOT(Paths!$C$243=1),0,IF(Paths!$P$243="Complete",IF(IF(Paths!$E$243=0,C2608=0,AND(C2608&gt;0,Paths!$E$243&gt;(C2608-1)*12,Paths!$E$243&lt;=C2608*12)),Paths!$G$243,0),"n.a."))</f>
        <v>0</v>
      </c>
      <c r="J2608" s="16">
        <f>IF(NOT(Paths!$C$243=1),0,IF(Paths!$P$243="Complete",IF(IF(Paths!$E$243=0,C2608=0,AND(C2608&gt;0,Paths!$E$243&gt;(C2608-1)*12,Paths!$E$243&lt;=C2608*12)),Paths!$H$243,0),"n.a."))</f>
        <v>0</v>
      </c>
      <c r="K2608" s="16">
        <f>IF(NOT(Paths!$C$243=1),0,IF(Paths!$P$243="Complete",IF(IF(Paths!$O$243=0,C2608=0,AND(C2608&gt;0,Paths!$O$243&gt;(C2608-1)*12,Paths!$O$243&lt;=C2608*12)),Paths!$N$243,0),"n.a."))</f>
        <v>0</v>
      </c>
      <c r="L2608" s="16">
        <f>IF(NOT(Paths!$C$243=1),0,IF(Paths!$P$243="Complete",IF(C2608=10,Paths!$I$243,0),"n.a."))</f>
        <v>0</v>
      </c>
      <c r="M2608" s="16">
        <f>IF(NOT(Paths!$C$243=1),0,IF(Paths!$P$243="Complete",IF(AND(Paths!$D$243="EV",Paths!$E$243&lt;120,Paths!$E$243+'Operating costs'!$B$65&gt;Paths!$E$243,Paths!$E$243+'Operating costs'!$B$65&lt;=120,IF(Paths!$E$243+'Operating costs'!$B$65=0,C2608=0,AND(C2608&gt;0,Paths!$E$243+'Operating costs'!$B$65&gt;(C2608-1)*12,Paths!$E$243+'Operating costs'!$B$65&lt;=C2608*12))),'Operating costs'!$B$64,0)+IF(AND('Operating costs'!$B$67&gt;0,'Operating costs'!$B$67&lt;=120,OR(Paths!$D$243="ICE",'Operating costs'!$B$67&lt;=Paths!$E$243),IF('Operating costs'!$B$67=0,C2608=0,AND(C2608&gt;0,'Operating costs'!$B$67&gt;(C2608-1)*12,'Operating costs'!$B$67&lt;=C2608*12))),'Operating costs'!$B$66,0),"n.a."))</f>
        <v>0</v>
      </c>
      <c r="N2608" s="16">
        <f>IF(NOT(Paths!$C$243=1),0,IF(Paths!$P$243="Complete",SUM(G2608:I2608)-J2608-K2608-L2608+M2608+IF(C2608=0,Paths!$F$243,0)+IF(IF(Paths!$E$243=0,C2608=0,AND(C2608&gt;0,Paths!$E$243&gt;(C2608-1)*12,Paths!$E$243&lt;=C2608*12)),VLOOKUP(A2608,'Fleet register'!$A$7:$S$106,16,FALSE),0),"n.a."))</f>
        <v>0</v>
      </c>
      <c r="O2608" s="16">
        <f>IF(NOT(Paths!$C$243=1),0,IF(Paths!$P$243="Complete",N2608-IF(C2608=0,Paths!$F$243,0),"n.a."))</f>
        <v>0</v>
      </c>
      <c r="P2608" s="16">
        <f>IF(NOT(Paths!$C$243=1),0,IF(Paths!$P$243="Complete",O2608+L2608,"n.a."))</f>
        <v>0</v>
      </c>
      <c r="Q2608" s="16">
        <f>IF(NOT(Paths!$C$243=1),0,IF(Paths!$P$243="Complete",N2608*(1+'Operating costs'!$B$54)^-C2608,"n.a."))</f>
        <v>0</v>
      </c>
      <c r="R2608" s="16">
        <f>IF(NOT(Paths!$C$243=1),0,IF(Paths!$P$243="Complete",IF(AND(C2608=0,Paths!$E$243=0),I2608-J2608-K2608+VLOOKUP(A2608,'Fleet register'!$A$7:$S$106,15,FALSE)+VLOOKUP(A2608,'Fleet register'!$A$7:$S$106,16,FALSE),0),"n.a."))</f>
        <v>0</v>
      </c>
      <c r="S2608" s="1">
        <f>IF(NOT(Paths!$C$243=1),0,IF(Paths!$P$243="Complete",IF(C2608=0,0,Paths!$S$243*Paths!$R$243),"n.a."))</f>
        <v>0</v>
      </c>
      <c r="T2608" s="1">
        <f>IF(NOT(Paths!$C$243=1),0,IF(Paths!$P$243="Complete",IF(C2608=0,0,VLOOKUP(A2608,'Fleet register'!$A$7:$S$106,9,FALSE)*Paths!$R$243),"n.a."))</f>
        <v>0</v>
      </c>
    </row>
    <row r="2609" spans="1:20" ht="24" customHeight="1">
      <c r="A2609" s="1" t="str">
        <f>Paths!$A$243</f>
        <v>T060</v>
      </c>
      <c r="B2609" s="1">
        <f>Paths!$B$243</f>
        <v>0</v>
      </c>
      <c r="C2609" s="1">
        <v>6</v>
      </c>
      <c r="D2609" s="1">
        <v>243</v>
      </c>
      <c r="E2609" s="1">
        <f>IF(OR(Paths!$C$243=0,C2609=0),0,MAX(0,MIN(C2609*12,Paths!$E$243)-(C2609-1)*12))</f>
        <v>0</v>
      </c>
      <c r="F2609" s="1">
        <f>IF(OR(Paths!$C$243=0,C2609=0),0,12-E2609)</f>
        <v>0</v>
      </c>
      <c r="G2609" s="16">
        <f>IF(NOT(Paths!$C$243=1),0,IF(Paths!$P$243="Complete",E2609/12*(Paths!$J$243*(1+'Operating costs'!$B$51)^MAX(0,C2609-1)+Paths!$K$243*(1+'Operating costs'!$B$53)^MAX(0,C2609-1)),"n.a."))</f>
        <v>0</v>
      </c>
      <c r="H2609" s="16">
        <f>IF(NOT(Paths!$C$243=1),0,IF(Paths!$P$243="Complete",F2609/12*(Paths!$L$243*(1+IF(Paths!$D$243="EV",'Operating costs'!$B$52,'Operating costs'!$B$51))^MAX(0,C2609-1)+Paths!$M$243*(1+'Operating costs'!$B$53)^MAX(0,C2609-1)),"n.a."))</f>
        <v>0</v>
      </c>
      <c r="I2609" s="16">
        <f>IF(NOT(Paths!$C$243=1),0,IF(Paths!$P$243="Complete",IF(IF(Paths!$E$243=0,C2609=0,AND(C2609&gt;0,Paths!$E$243&gt;(C2609-1)*12,Paths!$E$243&lt;=C2609*12)),Paths!$G$243,0),"n.a."))</f>
        <v>0</v>
      </c>
      <c r="J2609" s="16">
        <f>IF(NOT(Paths!$C$243=1),0,IF(Paths!$P$243="Complete",IF(IF(Paths!$E$243=0,C2609=0,AND(C2609&gt;0,Paths!$E$243&gt;(C2609-1)*12,Paths!$E$243&lt;=C2609*12)),Paths!$H$243,0),"n.a."))</f>
        <v>0</v>
      </c>
      <c r="K2609" s="16">
        <f>IF(NOT(Paths!$C$243=1),0,IF(Paths!$P$243="Complete",IF(IF(Paths!$O$243=0,C2609=0,AND(C2609&gt;0,Paths!$O$243&gt;(C2609-1)*12,Paths!$O$243&lt;=C2609*12)),Paths!$N$243,0),"n.a."))</f>
        <v>0</v>
      </c>
      <c r="L2609" s="16">
        <f>IF(NOT(Paths!$C$243=1),0,IF(Paths!$P$243="Complete",IF(C2609=10,Paths!$I$243,0),"n.a."))</f>
        <v>0</v>
      </c>
      <c r="M2609" s="16">
        <f>IF(NOT(Paths!$C$243=1),0,IF(Paths!$P$243="Complete",IF(AND(Paths!$D$243="EV",Paths!$E$243&lt;120,Paths!$E$243+'Operating costs'!$B$65&gt;Paths!$E$243,Paths!$E$243+'Operating costs'!$B$65&lt;=120,IF(Paths!$E$243+'Operating costs'!$B$65=0,C2609=0,AND(C2609&gt;0,Paths!$E$243+'Operating costs'!$B$65&gt;(C2609-1)*12,Paths!$E$243+'Operating costs'!$B$65&lt;=C2609*12))),'Operating costs'!$B$64,0)+IF(AND('Operating costs'!$B$67&gt;0,'Operating costs'!$B$67&lt;=120,OR(Paths!$D$243="ICE",'Operating costs'!$B$67&lt;=Paths!$E$243),IF('Operating costs'!$B$67=0,C2609=0,AND(C2609&gt;0,'Operating costs'!$B$67&gt;(C2609-1)*12,'Operating costs'!$B$67&lt;=C2609*12))),'Operating costs'!$B$66,0),"n.a."))</f>
        <v>0</v>
      </c>
      <c r="N2609" s="16">
        <f>IF(NOT(Paths!$C$243=1),0,IF(Paths!$P$243="Complete",SUM(G2609:I2609)-J2609-K2609-L2609+M2609+IF(C2609=0,Paths!$F$243,0)+IF(IF(Paths!$E$243=0,C2609=0,AND(C2609&gt;0,Paths!$E$243&gt;(C2609-1)*12,Paths!$E$243&lt;=C2609*12)),VLOOKUP(A2609,'Fleet register'!$A$7:$S$106,16,FALSE),0),"n.a."))</f>
        <v>0</v>
      </c>
      <c r="O2609" s="16">
        <f>IF(NOT(Paths!$C$243=1),0,IF(Paths!$P$243="Complete",N2609-IF(C2609=0,Paths!$F$243,0),"n.a."))</f>
        <v>0</v>
      </c>
      <c r="P2609" s="16">
        <f>IF(NOT(Paths!$C$243=1),0,IF(Paths!$P$243="Complete",O2609+L2609,"n.a."))</f>
        <v>0</v>
      </c>
      <c r="Q2609" s="16">
        <f>IF(NOT(Paths!$C$243=1),0,IF(Paths!$P$243="Complete",N2609*(1+'Operating costs'!$B$54)^-C2609,"n.a."))</f>
        <v>0</v>
      </c>
      <c r="R2609" s="16">
        <f>IF(NOT(Paths!$C$243=1),0,IF(Paths!$P$243="Complete",IF(AND(C2609=0,Paths!$E$243=0),I2609-J2609-K2609+VLOOKUP(A2609,'Fleet register'!$A$7:$S$106,15,FALSE)+VLOOKUP(A2609,'Fleet register'!$A$7:$S$106,16,FALSE),0),"n.a."))</f>
        <v>0</v>
      </c>
      <c r="S2609" s="1">
        <f>IF(NOT(Paths!$C$243=1),0,IF(Paths!$P$243="Complete",IF(C2609=0,0,Paths!$S$243*Paths!$R$243),"n.a."))</f>
        <v>0</v>
      </c>
      <c r="T2609" s="1">
        <f>IF(NOT(Paths!$C$243=1),0,IF(Paths!$P$243="Complete",IF(C2609=0,0,VLOOKUP(A2609,'Fleet register'!$A$7:$S$106,9,FALSE)*Paths!$R$243),"n.a."))</f>
        <v>0</v>
      </c>
    </row>
    <row r="2610" spans="1:20" ht="24" customHeight="1">
      <c r="A2610" s="1" t="str">
        <f>Paths!$A$243</f>
        <v>T060</v>
      </c>
      <c r="B2610" s="1">
        <f>Paths!$B$243</f>
        <v>0</v>
      </c>
      <c r="C2610" s="1">
        <v>7</v>
      </c>
      <c r="D2610" s="1">
        <v>243</v>
      </c>
      <c r="E2610" s="1">
        <f>IF(OR(Paths!$C$243=0,C2610=0),0,MAX(0,MIN(C2610*12,Paths!$E$243)-(C2610-1)*12))</f>
        <v>0</v>
      </c>
      <c r="F2610" s="1">
        <f>IF(OR(Paths!$C$243=0,C2610=0),0,12-E2610)</f>
        <v>0</v>
      </c>
      <c r="G2610" s="16">
        <f>IF(NOT(Paths!$C$243=1),0,IF(Paths!$P$243="Complete",E2610/12*(Paths!$J$243*(1+'Operating costs'!$B$51)^MAX(0,C2610-1)+Paths!$K$243*(1+'Operating costs'!$B$53)^MAX(0,C2610-1)),"n.a."))</f>
        <v>0</v>
      </c>
      <c r="H2610" s="16">
        <f>IF(NOT(Paths!$C$243=1),0,IF(Paths!$P$243="Complete",F2610/12*(Paths!$L$243*(1+IF(Paths!$D$243="EV",'Operating costs'!$B$52,'Operating costs'!$B$51))^MAX(0,C2610-1)+Paths!$M$243*(1+'Operating costs'!$B$53)^MAX(0,C2610-1)),"n.a."))</f>
        <v>0</v>
      </c>
      <c r="I2610" s="16">
        <f>IF(NOT(Paths!$C$243=1),0,IF(Paths!$P$243="Complete",IF(IF(Paths!$E$243=0,C2610=0,AND(C2610&gt;0,Paths!$E$243&gt;(C2610-1)*12,Paths!$E$243&lt;=C2610*12)),Paths!$G$243,0),"n.a."))</f>
        <v>0</v>
      </c>
      <c r="J2610" s="16">
        <f>IF(NOT(Paths!$C$243=1),0,IF(Paths!$P$243="Complete",IF(IF(Paths!$E$243=0,C2610=0,AND(C2610&gt;0,Paths!$E$243&gt;(C2610-1)*12,Paths!$E$243&lt;=C2610*12)),Paths!$H$243,0),"n.a."))</f>
        <v>0</v>
      </c>
      <c r="K2610" s="16">
        <f>IF(NOT(Paths!$C$243=1),0,IF(Paths!$P$243="Complete",IF(IF(Paths!$O$243=0,C2610=0,AND(C2610&gt;0,Paths!$O$243&gt;(C2610-1)*12,Paths!$O$243&lt;=C2610*12)),Paths!$N$243,0),"n.a."))</f>
        <v>0</v>
      </c>
      <c r="L2610" s="16">
        <f>IF(NOT(Paths!$C$243=1),0,IF(Paths!$P$243="Complete",IF(C2610=10,Paths!$I$243,0),"n.a."))</f>
        <v>0</v>
      </c>
      <c r="M2610" s="16">
        <f>IF(NOT(Paths!$C$243=1),0,IF(Paths!$P$243="Complete",IF(AND(Paths!$D$243="EV",Paths!$E$243&lt;120,Paths!$E$243+'Operating costs'!$B$65&gt;Paths!$E$243,Paths!$E$243+'Operating costs'!$B$65&lt;=120,IF(Paths!$E$243+'Operating costs'!$B$65=0,C2610=0,AND(C2610&gt;0,Paths!$E$243+'Operating costs'!$B$65&gt;(C2610-1)*12,Paths!$E$243+'Operating costs'!$B$65&lt;=C2610*12))),'Operating costs'!$B$64,0)+IF(AND('Operating costs'!$B$67&gt;0,'Operating costs'!$B$67&lt;=120,OR(Paths!$D$243="ICE",'Operating costs'!$B$67&lt;=Paths!$E$243),IF('Operating costs'!$B$67=0,C2610=0,AND(C2610&gt;0,'Operating costs'!$B$67&gt;(C2610-1)*12,'Operating costs'!$B$67&lt;=C2610*12))),'Operating costs'!$B$66,0),"n.a."))</f>
        <v>0</v>
      </c>
      <c r="N2610" s="16">
        <f>IF(NOT(Paths!$C$243=1),0,IF(Paths!$P$243="Complete",SUM(G2610:I2610)-J2610-K2610-L2610+M2610+IF(C2610=0,Paths!$F$243,0)+IF(IF(Paths!$E$243=0,C2610=0,AND(C2610&gt;0,Paths!$E$243&gt;(C2610-1)*12,Paths!$E$243&lt;=C2610*12)),VLOOKUP(A2610,'Fleet register'!$A$7:$S$106,16,FALSE),0),"n.a."))</f>
        <v>0</v>
      </c>
      <c r="O2610" s="16">
        <f>IF(NOT(Paths!$C$243=1),0,IF(Paths!$P$243="Complete",N2610-IF(C2610=0,Paths!$F$243,0),"n.a."))</f>
        <v>0</v>
      </c>
      <c r="P2610" s="16">
        <f>IF(NOT(Paths!$C$243=1),0,IF(Paths!$P$243="Complete",O2610+L2610,"n.a."))</f>
        <v>0</v>
      </c>
      <c r="Q2610" s="16">
        <f>IF(NOT(Paths!$C$243=1),0,IF(Paths!$P$243="Complete",N2610*(1+'Operating costs'!$B$54)^-C2610,"n.a."))</f>
        <v>0</v>
      </c>
      <c r="R2610" s="16">
        <f>IF(NOT(Paths!$C$243=1),0,IF(Paths!$P$243="Complete",IF(AND(C2610=0,Paths!$E$243=0),I2610-J2610-K2610+VLOOKUP(A2610,'Fleet register'!$A$7:$S$106,15,FALSE)+VLOOKUP(A2610,'Fleet register'!$A$7:$S$106,16,FALSE),0),"n.a."))</f>
        <v>0</v>
      </c>
      <c r="S2610" s="1">
        <f>IF(NOT(Paths!$C$243=1),0,IF(Paths!$P$243="Complete",IF(C2610=0,0,Paths!$S$243*Paths!$R$243),"n.a."))</f>
        <v>0</v>
      </c>
      <c r="T2610" s="1">
        <f>IF(NOT(Paths!$C$243=1),0,IF(Paths!$P$243="Complete",IF(C2610=0,0,VLOOKUP(A2610,'Fleet register'!$A$7:$S$106,9,FALSE)*Paths!$R$243),"n.a."))</f>
        <v>0</v>
      </c>
    </row>
    <row r="2611" spans="1:20" ht="24" customHeight="1">
      <c r="A2611" s="1" t="str">
        <f>Paths!$A$243</f>
        <v>T060</v>
      </c>
      <c r="B2611" s="1">
        <f>Paths!$B$243</f>
        <v>0</v>
      </c>
      <c r="C2611" s="1">
        <v>8</v>
      </c>
      <c r="D2611" s="1">
        <v>243</v>
      </c>
      <c r="E2611" s="1">
        <f>IF(OR(Paths!$C$243=0,C2611=0),0,MAX(0,MIN(C2611*12,Paths!$E$243)-(C2611-1)*12))</f>
        <v>0</v>
      </c>
      <c r="F2611" s="1">
        <f>IF(OR(Paths!$C$243=0,C2611=0),0,12-E2611)</f>
        <v>0</v>
      </c>
      <c r="G2611" s="16">
        <f>IF(NOT(Paths!$C$243=1),0,IF(Paths!$P$243="Complete",E2611/12*(Paths!$J$243*(1+'Operating costs'!$B$51)^MAX(0,C2611-1)+Paths!$K$243*(1+'Operating costs'!$B$53)^MAX(0,C2611-1)),"n.a."))</f>
        <v>0</v>
      </c>
      <c r="H2611" s="16">
        <f>IF(NOT(Paths!$C$243=1),0,IF(Paths!$P$243="Complete",F2611/12*(Paths!$L$243*(1+IF(Paths!$D$243="EV",'Operating costs'!$B$52,'Operating costs'!$B$51))^MAX(0,C2611-1)+Paths!$M$243*(1+'Operating costs'!$B$53)^MAX(0,C2611-1)),"n.a."))</f>
        <v>0</v>
      </c>
      <c r="I2611" s="16">
        <f>IF(NOT(Paths!$C$243=1),0,IF(Paths!$P$243="Complete",IF(IF(Paths!$E$243=0,C2611=0,AND(C2611&gt;0,Paths!$E$243&gt;(C2611-1)*12,Paths!$E$243&lt;=C2611*12)),Paths!$G$243,0),"n.a."))</f>
        <v>0</v>
      </c>
      <c r="J2611" s="16">
        <f>IF(NOT(Paths!$C$243=1),0,IF(Paths!$P$243="Complete",IF(IF(Paths!$E$243=0,C2611=0,AND(C2611&gt;0,Paths!$E$243&gt;(C2611-1)*12,Paths!$E$243&lt;=C2611*12)),Paths!$H$243,0),"n.a."))</f>
        <v>0</v>
      </c>
      <c r="K2611" s="16">
        <f>IF(NOT(Paths!$C$243=1),0,IF(Paths!$P$243="Complete",IF(IF(Paths!$O$243=0,C2611=0,AND(C2611&gt;0,Paths!$O$243&gt;(C2611-1)*12,Paths!$O$243&lt;=C2611*12)),Paths!$N$243,0),"n.a."))</f>
        <v>0</v>
      </c>
      <c r="L2611" s="16">
        <f>IF(NOT(Paths!$C$243=1),0,IF(Paths!$P$243="Complete",IF(C2611=10,Paths!$I$243,0),"n.a."))</f>
        <v>0</v>
      </c>
      <c r="M2611" s="16">
        <f>IF(NOT(Paths!$C$243=1),0,IF(Paths!$P$243="Complete",IF(AND(Paths!$D$243="EV",Paths!$E$243&lt;120,Paths!$E$243+'Operating costs'!$B$65&gt;Paths!$E$243,Paths!$E$243+'Operating costs'!$B$65&lt;=120,IF(Paths!$E$243+'Operating costs'!$B$65=0,C2611=0,AND(C2611&gt;0,Paths!$E$243+'Operating costs'!$B$65&gt;(C2611-1)*12,Paths!$E$243+'Operating costs'!$B$65&lt;=C2611*12))),'Operating costs'!$B$64,0)+IF(AND('Operating costs'!$B$67&gt;0,'Operating costs'!$B$67&lt;=120,OR(Paths!$D$243="ICE",'Operating costs'!$B$67&lt;=Paths!$E$243),IF('Operating costs'!$B$67=0,C2611=0,AND(C2611&gt;0,'Operating costs'!$B$67&gt;(C2611-1)*12,'Operating costs'!$B$67&lt;=C2611*12))),'Operating costs'!$B$66,0),"n.a."))</f>
        <v>0</v>
      </c>
      <c r="N2611" s="16">
        <f>IF(NOT(Paths!$C$243=1),0,IF(Paths!$P$243="Complete",SUM(G2611:I2611)-J2611-K2611-L2611+M2611+IF(C2611=0,Paths!$F$243,0)+IF(IF(Paths!$E$243=0,C2611=0,AND(C2611&gt;0,Paths!$E$243&gt;(C2611-1)*12,Paths!$E$243&lt;=C2611*12)),VLOOKUP(A2611,'Fleet register'!$A$7:$S$106,16,FALSE),0),"n.a."))</f>
        <v>0</v>
      </c>
      <c r="O2611" s="16">
        <f>IF(NOT(Paths!$C$243=1),0,IF(Paths!$P$243="Complete",N2611-IF(C2611=0,Paths!$F$243,0),"n.a."))</f>
        <v>0</v>
      </c>
      <c r="P2611" s="16">
        <f>IF(NOT(Paths!$C$243=1),0,IF(Paths!$P$243="Complete",O2611+L2611,"n.a."))</f>
        <v>0</v>
      </c>
      <c r="Q2611" s="16">
        <f>IF(NOT(Paths!$C$243=1),0,IF(Paths!$P$243="Complete",N2611*(1+'Operating costs'!$B$54)^-C2611,"n.a."))</f>
        <v>0</v>
      </c>
      <c r="R2611" s="16">
        <f>IF(NOT(Paths!$C$243=1),0,IF(Paths!$P$243="Complete",IF(AND(C2611=0,Paths!$E$243=0),I2611-J2611-K2611+VLOOKUP(A2611,'Fleet register'!$A$7:$S$106,15,FALSE)+VLOOKUP(A2611,'Fleet register'!$A$7:$S$106,16,FALSE),0),"n.a."))</f>
        <v>0</v>
      </c>
      <c r="S2611" s="1">
        <f>IF(NOT(Paths!$C$243=1),0,IF(Paths!$P$243="Complete",IF(C2611=0,0,Paths!$S$243*Paths!$R$243),"n.a."))</f>
        <v>0</v>
      </c>
      <c r="T2611" s="1">
        <f>IF(NOT(Paths!$C$243=1),0,IF(Paths!$P$243="Complete",IF(C2611=0,0,VLOOKUP(A2611,'Fleet register'!$A$7:$S$106,9,FALSE)*Paths!$R$243),"n.a."))</f>
        <v>0</v>
      </c>
    </row>
    <row r="2612" spans="1:20" ht="24" customHeight="1">
      <c r="A2612" s="1" t="str">
        <f>Paths!$A$243</f>
        <v>T060</v>
      </c>
      <c r="B2612" s="1">
        <f>Paths!$B$243</f>
        <v>0</v>
      </c>
      <c r="C2612" s="1">
        <v>9</v>
      </c>
      <c r="D2612" s="1">
        <v>243</v>
      </c>
      <c r="E2612" s="1">
        <f>IF(OR(Paths!$C$243=0,C2612=0),0,MAX(0,MIN(C2612*12,Paths!$E$243)-(C2612-1)*12))</f>
        <v>0</v>
      </c>
      <c r="F2612" s="1">
        <f>IF(OR(Paths!$C$243=0,C2612=0),0,12-E2612)</f>
        <v>0</v>
      </c>
      <c r="G2612" s="16">
        <f>IF(NOT(Paths!$C$243=1),0,IF(Paths!$P$243="Complete",E2612/12*(Paths!$J$243*(1+'Operating costs'!$B$51)^MAX(0,C2612-1)+Paths!$K$243*(1+'Operating costs'!$B$53)^MAX(0,C2612-1)),"n.a."))</f>
        <v>0</v>
      </c>
      <c r="H2612" s="16">
        <f>IF(NOT(Paths!$C$243=1),0,IF(Paths!$P$243="Complete",F2612/12*(Paths!$L$243*(1+IF(Paths!$D$243="EV",'Operating costs'!$B$52,'Operating costs'!$B$51))^MAX(0,C2612-1)+Paths!$M$243*(1+'Operating costs'!$B$53)^MAX(0,C2612-1)),"n.a."))</f>
        <v>0</v>
      </c>
      <c r="I2612" s="16">
        <f>IF(NOT(Paths!$C$243=1),0,IF(Paths!$P$243="Complete",IF(IF(Paths!$E$243=0,C2612=0,AND(C2612&gt;0,Paths!$E$243&gt;(C2612-1)*12,Paths!$E$243&lt;=C2612*12)),Paths!$G$243,0),"n.a."))</f>
        <v>0</v>
      </c>
      <c r="J2612" s="16">
        <f>IF(NOT(Paths!$C$243=1),0,IF(Paths!$P$243="Complete",IF(IF(Paths!$E$243=0,C2612=0,AND(C2612&gt;0,Paths!$E$243&gt;(C2612-1)*12,Paths!$E$243&lt;=C2612*12)),Paths!$H$243,0),"n.a."))</f>
        <v>0</v>
      </c>
      <c r="K2612" s="16">
        <f>IF(NOT(Paths!$C$243=1),0,IF(Paths!$P$243="Complete",IF(IF(Paths!$O$243=0,C2612=0,AND(C2612&gt;0,Paths!$O$243&gt;(C2612-1)*12,Paths!$O$243&lt;=C2612*12)),Paths!$N$243,0),"n.a."))</f>
        <v>0</v>
      </c>
      <c r="L2612" s="16">
        <f>IF(NOT(Paths!$C$243=1),0,IF(Paths!$P$243="Complete",IF(C2612=10,Paths!$I$243,0),"n.a."))</f>
        <v>0</v>
      </c>
      <c r="M2612" s="16">
        <f>IF(NOT(Paths!$C$243=1),0,IF(Paths!$P$243="Complete",IF(AND(Paths!$D$243="EV",Paths!$E$243&lt;120,Paths!$E$243+'Operating costs'!$B$65&gt;Paths!$E$243,Paths!$E$243+'Operating costs'!$B$65&lt;=120,IF(Paths!$E$243+'Operating costs'!$B$65=0,C2612=0,AND(C2612&gt;0,Paths!$E$243+'Operating costs'!$B$65&gt;(C2612-1)*12,Paths!$E$243+'Operating costs'!$B$65&lt;=C2612*12))),'Operating costs'!$B$64,0)+IF(AND('Operating costs'!$B$67&gt;0,'Operating costs'!$B$67&lt;=120,OR(Paths!$D$243="ICE",'Operating costs'!$B$67&lt;=Paths!$E$243),IF('Operating costs'!$B$67=0,C2612=0,AND(C2612&gt;0,'Operating costs'!$B$67&gt;(C2612-1)*12,'Operating costs'!$B$67&lt;=C2612*12))),'Operating costs'!$B$66,0),"n.a."))</f>
        <v>0</v>
      </c>
      <c r="N2612" s="16">
        <f>IF(NOT(Paths!$C$243=1),0,IF(Paths!$P$243="Complete",SUM(G2612:I2612)-J2612-K2612-L2612+M2612+IF(C2612=0,Paths!$F$243,0)+IF(IF(Paths!$E$243=0,C2612=0,AND(C2612&gt;0,Paths!$E$243&gt;(C2612-1)*12,Paths!$E$243&lt;=C2612*12)),VLOOKUP(A2612,'Fleet register'!$A$7:$S$106,16,FALSE),0),"n.a."))</f>
        <v>0</v>
      </c>
      <c r="O2612" s="16">
        <f>IF(NOT(Paths!$C$243=1),0,IF(Paths!$P$243="Complete",N2612-IF(C2612=0,Paths!$F$243,0),"n.a."))</f>
        <v>0</v>
      </c>
      <c r="P2612" s="16">
        <f>IF(NOT(Paths!$C$243=1),0,IF(Paths!$P$243="Complete",O2612+L2612,"n.a."))</f>
        <v>0</v>
      </c>
      <c r="Q2612" s="16">
        <f>IF(NOT(Paths!$C$243=1),0,IF(Paths!$P$243="Complete",N2612*(1+'Operating costs'!$B$54)^-C2612,"n.a."))</f>
        <v>0</v>
      </c>
      <c r="R2612" s="16">
        <f>IF(NOT(Paths!$C$243=1),0,IF(Paths!$P$243="Complete",IF(AND(C2612=0,Paths!$E$243=0),I2612-J2612-K2612+VLOOKUP(A2612,'Fleet register'!$A$7:$S$106,15,FALSE)+VLOOKUP(A2612,'Fleet register'!$A$7:$S$106,16,FALSE),0),"n.a."))</f>
        <v>0</v>
      </c>
      <c r="S2612" s="1">
        <f>IF(NOT(Paths!$C$243=1),0,IF(Paths!$P$243="Complete",IF(C2612=0,0,Paths!$S$243*Paths!$R$243),"n.a."))</f>
        <v>0</v>
      </c>
      <c r="T2612" s="1">
        <f>IF(NOT(Paths!$C$243=1),0,IF(Paths!$P$243="Complete",IF(C2612=0,0,VLOOKUP(A2612,'Fleet register'!$A$7:$S$106,9,FALSE)*Paths!$R$243),"n.a."))</f>
        <v>0</v>
      </c>
    </row>
    <row r="2613" spans="1:20" ht="24" customHeight="1">
      <c r="A2613" s="1" t="str">
        <f>Paths!$A$243</f>
        <v>T060</v>
      </c>
      <c r="B2613" s="1">
        <f>Paths!$B$243</f>
        <v>0</v>
      </c>
      <c r="C2613" s="1">
        <v>10</v>
      </c>
      <c r="D2613" s="1">
        <v>243</v>
      </c>
      <c r="E2613" s="1">
        <f>IF(OR(Paths!$C$243=0,C2613=0),0,MAX(0,MIN(C2613*12,Paths!$E$243)-(C2613-1)*12))</f>
        <v>0</v>
      </c>
      <c r="F2613" s="1">
        <f>IF(OR(Paths!$C$243=0,C2613=0),0,12-E2613)</f>
        <v>0</v>
      </c>
      <c r="G2613" s="16">
        <f>IF(NOT(Paths!$C$243=1),0,IF(Paths!$P$243="Complete",E2613/12*(Paths!$J$243*(1+'Operating costs'!$B$51)^MAX(0,C2613-1)+Paths!$K$243*(1+'Operating costs'!$B$53)^MAX(0,C2613-1)),"n.a."))</f>
        <v>0</v>
      </c>
      <c r="H2613" s="16">
        <f>IF(NOT(Paths!$C$243=1),0,IF(Paths!$P$243="Complete",F2613/12*(Paths!$L$243*(1+IF(Paths!$D$243="EV",'Operating costs'!$B$52,'Operating costs'!$B$51))^MAX(0,C2613-1)+Paths!$M$243*(1+'Operating costs'!$B$53)^MAX(0,C2613-1)),"n.a."))</f>
        <v>0</v>
      </c>
      <c r="I2613" s="16">
        <f>IF(NOT(Paths!$C$243=1),0,IF(Paths!$P$243="Complete",IF(IF(Paths!$E$243=0,C2613=0,AND(C2613&gt;0,Paths!$E$243&gt;(C2613-1)*12,Paths!$E$243&lt;=C2613*12)),Paths!$G$243,0),"n.a."))</f>
        <v>0</v>
      </c>
      <c r="J2613" s="16">
        <f>IF(NOT(Paths!$C$243=1),0,IF(Paths!$P$243="Complete",IF(IF(Paths!$E$243=0,C2613=0,AND(C2613&gt;0,Paths!$E$243&gt;(C2613-1)*12,Paths!$E$243&lt;=C2613*12)),Paths!$H$243,0),"n.a."))</f>
        <v>0</v>
      </c>
      <c r="K2613" s="16">
        <f>IF(NOT(Paths!$C$243=1),0,IF(Paths!$P$243="Complete",IF(IF(Paths!$O$243=0,C2613=0,AND(C2613&gt;0,Paths!$O$243&gt;(C2613-1)*12,Paths!$O$243&lt;=C2613*12)),Paths!$N$243,0),"n.a."))</f>
        <v>0</v>
      </c>
      <c r="L2613" s="16">
        <f>IF(NOT(Paths!$C$243=1),0,IF(Paths!$P$243="Complete",IF(C2613=10,Paths!$I$243,0),"n.a."))</f>
        <v>0</v>
      </c>
      <c r="M2613" s="16">
        <f>IF(NOT(Paths!$C$243=1),0,IF(Paths!$P$243="Complete",IF(AND(Paths!$D$243="EV",Paths!$E$243&lt;120,Paths!$E$243+'Operating costs'!$B$65&gt;Paths!$E$243,Paths!$E$243+'Operating costs'!$B$65&lt;=120,IF(Paths!$E$243+'Operating costs'!$B$65=0,C2613=0,AND(C2613&gt;0,Paths!$E$243+'Operating costs'!$B$65&gt;(C2613-1)*12,Paths!$E$243+'Operating costs'!$B$65&lt;=C2613*12))),'Operating costs'!$B$64,0)+IF(AND('Operating costs'!$B$67&gt;0,'Operating costs'!$B$67&lt;=120,OR(Paths!$D$243="ICE",'Operating costs'!$B$67&lt;=Paths!$E$243),IF('Operating costs'!$B$67=0,C2613=0,AND(C2613&gt;0,'Operating costs'!$B$67&gt;(C2613-1)*12,'Operating costs'!$B$67&lt;=C2613*12))),'Operating costs'!$B$66,0),"n.a."))</f>
        <v>0</v>
      </c>
      <c r="N2613" s="16">
        <f>IF(NOT(Paths!$C$243=1),0,IF(Paths!$P$243="Complete",SUM(G2613:I2613)-J2613-K2613-L2613+M2613+IF(C2613=0,Paths!$F$243,0)+IF(IF(Paths!$E$243=0,C2613=0,AND(C2613&gt;0,Paths!$E$243&gt;(C2613-1)*12,Paths!$E$243&lt;=C2613*12)),VLOOKUP(A2613,'Fleet register'!$A$7:$S$106,16,FALSE),0),"n.a."))</f>
        <v>0</v>
      </c>
      <c r="O2613" s="16">
        <f>IF(NOT(Paths!$C$243=1),0,IF(Paths!$P$243="Complete",N2613-IF(C2613=0,Paths!$F$243,0),"n.a."))</f>
        <v>0</v>
      </c>
      <c r="P2613" s="16">
        <f>IF(NOT(Paths!$C$243=1),0,IF(Paths!$P$243="Complete",O2613+L2613,"n.a."))</f>
        <v>0</v>
      </c>
      <c r="Q2613" s="16">
        <f>IF(NOT(Paths!$C$243=1),0,IF(Paths!$P$243="Complete",N2613*(1+'Operating costs'!$B$54)^-C2613,"n.a."))</f>
        <v>0</v>
      </c>
      <c r="R2613" s="16">
        <f>IF(NOT(Paths!$C$243=1),0,IF(Paths!$P$243="Complete",IF(AND(C2613=0,Paths!$E$243=0),I2613-J2613-K2613+VLOOKUP(A2613,'Fleet register'!$A$7:$S$106,15,FALSE)+VLOOKUP(A2613,'Fleet register'!$A$7:$S$106,16,FALSE),0),"n.a."))</f>
        <v>0</v>
      </c>
      <c r="S2613" s="1">
        <f>IF(NOT(Paths!$C$243=1),0,IF(Paths!$P$243="Complete",IF(C2613=0,0,Paths!$S$243*Paths!$R$243),"n.a."))</f>
        <v>0</v>
      </c>
      <c r="T2613" s="1">
        <f>IF(NOT(Paths!$C$243=1),0,IF(Paths!$P$243="Complete",IF(C2613=0,0,VLOOKUP(A2613,'Fleet register'!$A$7:$S$106,9,FALSE)*Paths!$R$243),"n.a."))</f>
        <v>0</v>
      </c>
    </row>
    <row r="2614" spans="1:20" ht="24" customHeight="1">
      <c r="A2614" s="1" t="str">
        <f>Paths!$A$244</f>
        <v>T060</v>
      </c>
      <c r="B2614" s="1">
        <f>Paths!$B$244</f>
        <v>1</v>
      </c>
      <c r="C2614" s="1">
        <v>0</v>
      </c>
      <c r="D2614" s="1">
        <v>244</v>
      </c>
      <c r="E2614" s="1">
        <f>IF(OR(Paths!$C$244=0,C2614=0),0,MAX(0,MIN(C2614*12,Paths!$E$244)-(C2614-1)*12))</f>
        <v>0</v>
      </c>
      <c r="F2614" s="1">
        <f>IF(OR(Paths!$C$244=0,C2614=0),0,12-E2614)</f>
        <v>0</v>
      </c>
      <c r="G2614" s="16">
        <f>IF(NOT(Paths!$C$244=1),0,IF(Paths!$P$244="Complete",E2614/12*(Paths!$J$244*(1+'Operating costs'!$B$51)^MAX(0,C2614-1)+Paths!$K$244*(1+'Operating costs'!$B$53)^MAX(0,C2614-1)),"n.a."))</f>
        <v>0</v>
      </c>
      <c r="H2614" s="16">
        <f>IF(NOT(Paths!$C$244=1),0,IF(Paths!$P$244="Complete",F2614/12*(Paths!$L$244*(1+IF(Paths!$D$244="EV",'Operating costs'!$B$52,'Operating costs'!$B$51))^MAX(0,C2614-1)+Paths!$M$244*(1+'Operating costs'!$B$53)^MAX(0,C2614-1)),"n.a."))</f>
        <v>0</v>
      </c>
      <c r="I2614" s="16">
        <f>IF(NOT(Paths!$C$244=1),0,IF(Paths!$P$244="Complete",IF(IF(Paths!$E$244=0,C2614=0,AND(C2614&gt;0,Paths!$E$244&gt;(C2614-1)*12,Paths!$E$244&lt;=C2614*12)),Paths!$G$244,0),"n.a."))</f>
        <v>0</v>
      </c>
      <c r="J2614" s="16">
        <f>IF(NOT(Paths!$C$244=1),0,IF(Paths!$P$244="Complete",IF(IF(Paths!$E$244=0,C2614=0,AND(C2614&gt;0,Paths!$E$244&gt;(C2614-1)*12,Paths!$E$244&lt;=C2614*12)),Paths!$H$244,0),"n.a."))</f>
        <v>0</v>
      </c>
      <c r="K2614" s="16">
        <f>IF(NOT(Paths!$C$244=1),0,IF(Paths!$P$244="Complete",IF(IF(Paths!$O$244=0,C2614=0,AND(C2614&gt;0,Paths!$O$244&gt;(C2614-1)*12,Paths!$O$244&lt;=C2614*12)),Paths!$N$244,0),"n.a."))</f>
        <v>0</v>
      </c>
      <c r="L2614" s="16">
        <f>IF(NOT(Paths!$C$244=1),0,IF(Paths!$P$244="Complete",IF(C2614=10,Paths!$I$244,0),"n.a."))</f>
        <v>0</v>
      </c>
      <c r="M2614" s="16">
        <f>IF(NOT(Paths!$C$244=1),0,IF(Paths!$P$244="Complete",IF(AND(Paths!$D$244="EV",Paths!$E$244&lt;120,Paths!$E$244+'Operating costs'!$B$65&gt;Paths!$E$244,Paths!$E$244+'Operating costs'!$B$65&lt;=120,IF(Paths!$E$244+'Operating costs'!$B$65=0,C2614=0,AND(C2614&gt;0,Paths!$E$244+'Operating costs'!$B$65&gt;(C2614-1)*12,Paths!$E$244+'Operating costs'!$B$65&lt;=C2614*12))),'Operating costs'!$B$64,0)+IF(AND('Operating costs'!$B$67&gt;0,'Operating costs'!$B$67&lt;=120,OR(Paths!$D$244="ICE",'Operating costs'!$B$67&lt;=Paths!$E$244),IF('Operating costs'!$B$67=0,C2614=0,AND(C2614&gt;0,'Operating costs'!$B$67&gt;(C2614-1)*12,'Operating costs'!$B$67&lt;=C2614*12))),'Operating costs'!$B$66,0),"n.a."))</f>
        <v>0</v>
      </c>
      <c r="N2614" s="16">
        <f>IF(NOT(Paths!$C$244=1),0,IF(Paths!$P$244="Complete",SUM(G2614:I2614)-J2614-K2614-L2614+M2614+IF(C2614=0,Paths!$F$244,0)+IF(IF(Paths!$E$244=0,C2614=0,AND(C2614&gt;0,Paths!$E$244&gt;(C2614-1)*12,Paths!$E$244&lt;=C2614*12)),VLOOKUP(A2614,'Fleet register'!$A$7:$S$106,16,FALSE),0),"n.a."))</f>
        <v>0</v>
      </c>
      <c r="O2614" s="16">
        <f>IF(NOT(Paths!$C$244=1),0,IF(Paths!$P$244="Complete",N2614-IF(C2614=0,Paths!$F$244,0),"n.a."))</f>
        <v>0</v>
      </c>
      <c r="P2614" s="16">
        <f>IF(NOT(Paths!$C$244=1),0,IF(Paths!$P$244="Complete",O2614+L2614,"n.a."))</f>
        <v>0</v>
      </c>
      <c r="Q2614" s="16">
        <f>IF(NOT(Paths!$C$244=1),0,IF(Paths!$P$244="Complete",N2614*(1+'Operating costs'!$B$54)^-C2614,"n.a."))</f>
        <v>0</v>
      </c>
      <c r="R2614" s="16">
        <f>IF(NOT(Paths!$C$244=1),0,IF(Paths!$P$244="Complete",IF(AND(C2614=0,Paths!$E$244=0),I2614-J2614-K2614+VLOOKUP(A2614,'Fleet register'!$A$7:$S$106,15,FALSE)+VLOOKUP(A2614,'Fleet register'!$A$7:$S$106,16,FALSE),0),"n.a."))</f>
        <v>0</v>
      </c>
      <c r="S2614" s="1">
        <f>IF(NOT(Paths!$C$244=1),0,IF(Paths!$P$244="Complete",IF(C2614=0,0,Paths!$S$244*Paths!$R$244),"n.a."))</f>
        <v>0</v>
      </c>
      <c r="T2614" s="1">
        <f>IF(NOT(Paths!$C$244=1),0,IF(Paths!$P$244="Complete",IF(C2614=0,0,VLOOKUP(A2614,'Fleet register'!$A$7:$S$106,9,FALSE)*Paths!$R$244),"n.a."))</f>
        <v>0</v>
      </c>
    </row>
    <row r="2615" spans="1:20" ht="24" customHeight="1">
      <c r="A2615" s="1" t="str">
        <f>Paths!$A$244</f>
        <v>T060</v>
      </c>
      <c r="B2615" s="1">
        <f>Paths!$B$244</f>
        <v>1</v>
      </c>
      <c r="C2615" s="1">
        <v>1</v>
      </c>
      <c r="D2615" s="1">
        <v>244</v>
      </c>
      <c r="E2615" s="1">
        <f>IF(OR(Paths!$C$244=0,C2615=0),0,MAX(0,MIN(C2615*12,Paths!$E$244)-(C2615-1)*12))</f>
        <v>0</v>
      </c>
      <c r="F2615" s="1">
        <f>IF(OR(Paths!$C$244=0,C2615=0),0,12-E2615)</f>
        <v>0</v>
      </c>
      <c r="G2615" s="16">
        <f>IF(NOT(Paths!$C$244=1),0,IF(Paths!$P$244="Complete",E2615/12*(Paths!$J$244*(1+'Operating costs'!$B$51)^MAX(0,C2615-1)+Paths!$K$244*(1+'Operating costs'!$B$53)^MAX(0,C2615-1)),"n.a."))</f>
        <v>0</v>
      </c>
      <c r="H2615" s="16">
        <f>IF(NOT(Paths!$C$244=1),0,IF(Paths!$P$244="Complete",F2615/12*(Paths!$L$244*(1+IF(Paths!$D$244="EV",'Operating costs'!$B$52,'Operating costs'!$B$51))^MAX(0,C2615-1)+Paths!$M$244*(1+'Operating costs'!$B$53)^MAX(0,C2615-1)),"n.a."))</f>
        <v>0</v>
      </c>
      <c r="I2615" s="16">
        <f>IF(NOT(Paths!$C$244=1),0,IF(Paths!$P$244="Complete",IF(IF(Paths!$E$244=0,C2615=0,AND(C2615&gt;0,Paths!$E$244&gt;(C2615-1)*12,Paths!$E$244&lt;=C2615*12)),Paths!$G$244,0),"n.a."))</f>
        <v>0</v>
      </c>
      <c r="J2615" s="16">
        <f>IF(NOT(Paths!$C$244=1),0,IF(Paths!$P$244="Complete",IF(IF(Paths!$E$244=0,C2615=0,AND(C2615&gt;0,Paths!$E$244&gt;(C2615-1)*12,Paths!$E$244&lt;=C2615*12)),Paths!$H$244,0),"n.a."))</f>
        <v>0</v>
      </c>
      <c r="K2615" s="16">
        <f>IF(NOT(Paths!$C$244=1),0,IF(Paths!$P$244="Complete",IF(IF(Paths!$O$244=0,C2615=0,AND(C2615&gt;0,Paths!$O$244&gt;(C2615-1)*12,Paths!$O$244&lt;=C2615*12)),Paths!$N$244,0),"n.a."))</f>
        <v>0</v>
      </c>
      <c r="L2615" s="16">
        <f>IF(NOT(Paths!$C$244=1),0,IF(Paths!$P$244="Complete",IF(C2615=10,Paths!$I$244,0),"n.a."))</f>
        <v>0</v>
      </c>
      <c r="M2615" s="16">
        <f>IF(NOT(Paths!$C$244=1),0,IF(Paths!$P$244="Complete",IF(AND(Paths!$D$244="EV",Paths!$E$244&lt;120,Paths!$E$244+'Operating costs'!$B$65&gt;Paths!$E$244,Paths!$E$244+'Operating costs'!$B$65&lt;=120,IF(Paths!$E$244+'Operating costs'!$B$65=0,C2615=0,AND(C2615&gt;0,Paths!$E$244+'Operating costs'!$B$65&gt;(C2615-1)*12,Paths!$E$244+'Operating costs'!$B$65&lt;=C2615*12))),'Operating costs'!$B$64,0)+IF(AND('Operating costs'!$B$67&gt;0,'Operating costs'!$B$67&lt;=120,OR(Paths!$D$244="ICE",'Operating costs'!$B$67&lt;=Paths!$E$244),IF('Operating costs'!$B$67=0,C2615=0,AND(C2615&gt;0,'Operating costs'!$B$67&gt;(C2615-1)*12,'Operating costs'!$B$67&lt;=C2615*12))),'Operating costs'!$B$66,0),"n.a."))</f>
        <v>0</v>
      </c>
      <c r="N2615" s="16">
        <f>IF(NOT(Paths!$C$244=1),0,IF(Paths!$P$244="Complete",SUM(G2615:I2615)-J2615-K2615-L2615+M2615+IF(C2615=0,Paths!$F$244,0)+IF(IF(Paths!$E$244=0,C2615=0,AND(C2615&gt;0,Paths!$E$244&gt;(C2615-1)*12,Paths!$E$244&lt;=C2615*12)),VLOOKUP(A2615,'Fleet register'!$A$7:$S$106,16,FALSE),0),"n.a."))</f>
        <v>0</v>
      </c>
      <c r="O2615" s="16">
        <f>IF(NOT(Paths!$C$244=1),0,IF(Paths!$P$244="Complete",N2615-IF(C2615=0,Paths!$F$244,0),"n.a."))</f>
        <v>0</v>
      </c>
      <c r="P2615" s="16">
        <f>IF(NOT(Paths!$C$244=1),0,IF(Paths!$P$244="Complete",O2615+L2615,"n.a."))</f>
        <v>0</v>
      </c>
      <c r="Q2615" s="16">
        <f>IF(NOT(Paths!$C$244=1),0,IF(Paths!$P$244="Complete",N2615*(1+'Operating costs'!$B$54)^-C2615,"n.a."))</f>
        <v>0</v>
      </c>
      <c r="R2615" s="16">
        <f>IF(NOT(Paths!$C$244=1),0,IF(Paths!$P$244="Complete",IF(AND(C2615=0,Paths!$E$244=0),I2615-J2615-K2615+VLOOKUP(A2615,'Fleet register'!$A$7:$S$106,15,FALSE)+VLOOKUP(A2615,'Fleet register'!$A$7:$S$106,16,FALSE),0),"n.a."))</f>
        <v>0</v>
      </c>
      <c r="S2615" s="1">
        <f>IF(NOT(Paths!$C$244=1),0,IF(Paths!$P$244="Complete",IF(C2615=0,0,Paths!$S$244*Paths!$R$244),"n.a."))</f>
        <v>0</v>
      </c>
      <c r="T2615" s="1">
        <f>IF(NOT(Paths!$C$244=1),0,IF(Paths!$P$244="Complete",IF(C2615=0,0,VLOOKUP(A2615,'Fleet register'!$A$7:$S$106,9,FALSE)*Paths!$R$244),"n.a."))</f>
        <v>0</v>
      </c>
    </row>
    <row r="2616" spans="1:20" ht="24" customHeight="1">
      <c r="A2616" s="1" t="str">
        <f>Paths!$A$244</f>
        <v>T060</v>
      </c>
      <c r="B2616" s="1">
        <f>Paths!$B$244</f>
        <v>1</v>
      </c>
      <c r="C2616" s="1">
        <v>2</v>
      </c>
      <c r="D2616" s="1">
        <v>244</v>
      </c>
      <c r="E2616" s="1">
        <f>IF(OR(Paths!$C$244=0,C2616=0),0,MAX(0,MIN(C2616*12,Paths!$E$244)-(C2616-1)*12))</f>
        <v>0</v>
      </c>
      <c r="F2616" s="1">
        <f>IF(OR(Paths!$C$244=0,C2616=0),0,12-E2616)</f>
        <v>0</v>
      </c>
      <c r="G2616" s="16">
        <f>IF(NOT(Paths!$C$244=1),0,IF(Paths!$P$244="Complete",E2616/12*(Paths!$J$244*(1+'Operating costs'!$B$51)^MAX(0,C2616-1)+Paths!$K$244*(1+'Operating costs'!$B$53)^MAX(0,C2616-1)),"n.a."))</f>
        <v>0</v>
      </c>
      <c r="H2616" s="16">
        <f>IF(NOT(Paths!$C$244=1),0,IF(Paths!$P$244="Complete",F2616/12*(Paths!$L$244*(1+IF(Paths!$D$244="EV",'Operating costs'!$B$52,'Operating costs'!$B$51))^MAX(0,C2616-1)+Paths!$M$244*(1+'Operating costs'!$B$53)^MAX(0,C2616-1)),"n.a."))</f>
        <v>0</v>
      </c>
      <c r="I2616" s="16">
        <f>IF(NOT(Paths!$C$244=1),0,IF(Paths!$P$244="Complete",IF(IF(Paths!$E$244=0,C2616=0,AND(C2616&gt;0,Paths!$E$244&gt;(C2616-1)*12,Paths!$E$244&lt;=C2616*12)),Paths!$G$244,0),"n.a."))</f>
        <v>0</v>
      </c>
      <c r="J2616" s="16">
        <f>IF(NOT(Paths!$C$244=1),0,IF(Paths!$P$244="Complete",IF(IF(Paths!$E$244=0,C2616=0,AND(C2616&gt;0,Paths!$E$244&gt;(C2616-1)*12,Paths!$E$244&lt;=C2616*12)),Paths!$H$244,0),"n.a."))</f>
        <v>0</v>
      </c>
      <c r="K2616" s="16">
        <f>IF(NOT(Paths!$C$244=1),0,IF(Paths!$P$244="Complete",IF(IF(Paths!$O$244=0,C2616=0,AND(C2616&gt;0,Paths!$O$244&gt;(C2616-1)*12,Paths!$O$244&lt;=C2616*12)),Paths!$N$244,0),"n.a."))</f>
        <v>0</v>
      </c>
      <c r="L2616" s="16">
        <f>IF(NOT(Paths!$C$244=1),0,IF(Paths!$P$244="Complete",IF(C2616=10,Paths!$I$244,0),"n.a."))</f>
        <v>0</v>
      </c>
      <c r="M2616" s="16">
        <f>IF(NOT(Paths!$C$244=1),0,IF(Paths!$P$244="Complete",IF(AND(Paths!$D$244="EV",Paths!$E$244&lt;120,Paths!$E$244+'Operating costs'!$B$65&gt;Paths!$E$244,Paths!$E$244+'Operating costs'!$B$65&lt;=120,IF(Paths!$E$244+'Operating costs'!$B$65=0,C2616=0,AND(C2616&gt;0,Paths!$E$244+'Operating costs'!$B$65&gt;(C2616-1)*12,Paths!$E$244+'Operating costs'!$B$65&lt;=C2616*12))),'Operating costs'!$B$64,0)+IF(AND('Operating costs'!$B$67&gt;0,'Operating costs'!$B$67&lt;=120,OR(Paths!$D$244="ICE",'Operating costs'!$B$67&lt;=Paths!$E$244),IF('Operating costs'!$B$67=0,C2616=0,AND(C2616&gt;0,'Operating costs'!$B$67&gt;(C2616-1)*12,'Operating costs'!$B$67&lt;=C2616*12))),'Operating costs'!$B$66,0),"n.a."))</f>
        <v>0</v>
      </c>
      <c r="N2616" s="16">
        <f>IF(NOT(Paths!$C$244=1),0,IF(Paths!$P$244="Complete",SUM(G2616:I2616)-J2616-K2616-L2616+M2616+IF(C2616=0,Paths!$F$244,0)+IF(IF(Paths!$E$244=0,C2616=0,AND(C2616&gt;0,Paths!$E$244&gt;(C2616-1)*12,Paths!$E$244&lt;=C2616*12)),VLOOKUP(A2616,'Fleet register'!$A$7:$S$106,16,FALSE),0),"n.a."))</f>
        <v>0</v>
      </c>
      <c r="O2616" s="16">
        <f>IF(NOT(Paths!$C$244=1),0,IF(Paths!$P$244="Complete",N2616-IF(C2616=0,Paths!$F$244,0),"n.a."))</f>
        <v>0</v>
      </c>
      <c r="P2616" s="16">
        <f>IF(NOT(Paths!$C$244=1),0,IF(Paths!$P$244="Complete",O2616+L2616,"n.a."))</f>
        <v>0</v>
      </c>
      <c r="Q2616" s="16">
        <f>IF(NOT(Paths!$C$244=1),0,IF(Paths!$P$244="Complete",N2616*(1+'Operating costs'!$B$54)^-C2616,"n.a."))</f>
        <v>0</v>
      </c>
      <c r="R2616" s="16">
        <f>IF(NOT(Paths!$C$244=1),0,IF(Paths!$P$244="Complete",IF(AND(C2616=0,Paths!$E$244=0),I2616-J2616-K2616+VLOOKUP(A2616,'Fleet register'!$A$7:$S$106,15,FALSE)+VLOOKUP(A2616,'Fleet register'!$A$7:$S$106,16,FALSE),0),"n.a."))</f>
        <v>0</v>
      </c>
      <c r="S2616" s="1">
        <f>IF(NOT(Paths!$C$244=1),0,IF(Paths!$P$244="Complete",IF(C2616=0,0,Paths!$S$244*Paths!$R$244),"n.a."))</f>
        <v>0</v>
      </c>
      <c r="T2616" s="1">
        <f>IF(NOT(Paths!$C$244=1),0,IF(Paths!$P$244="Complete",IF(C2616=0,0,VLOOKUP(A2616,'Fleet register'!$A$7:$S$106,9,FALSE)*Paths!$R$244),"n.a."))</f>
        <v>0</v>
      </c>
    </row>
    <row r="2617" spans="1:20" ht="24" customHeight="1">
      <c r="A2617" s="1" t="str">
        <f>Paths!$A$244</f>
        <v>T060</v>
      </c>
      <c r="B2617" s="1">
        <f>Paths!$B$244</f>
        <v>1</v>
      </c>
      <c r="C2617" s="1">
        <v>3</v>
      </c>
      <c r="D2617" s="1">
        <v>244</v>
      </c>
      <c r="E2617" s="1">
        <f>IF(OR(Paths!$C$244=0,C2617=0),0,MAX(0,MIN(C2617*12,Paths!$E$244)-(C2617-1)*12))</f>
        <v>0</v>
      </c>
      <c r="F2617" s="1">
        <f>IF(OR(Paths!$C$244=0,C2617=0),0,12-E2617)</f>
        <v>0</v>
      </c>
      <c r="G2617" s="16">
        <f>IF(NOT(Paths!$C$244=1),0,IF(Paths!$P$244="Complete",E2617/12*(Paths!$J$244*(1+'Operating costs'!$B$51)^MAX(0,C2617-1)+Paths!$K$244*(1+'Operating costs'!$B$53)^MAX(0,C2617-1)),"n.a."))</f>
        <v>0</v>
      </c>
      <c r="H2617" s="16">
        <f>IF(NOT(Paths!$C$244=1),0,IF(Paths!$P$244="Complete",F2617/12*(Paths!$L$244*(1+IF(Paths!$D$244="EV",'Operating costs'!$B$52,'Operating costs'!$B$51))^MAX(0,C2617-1)+Paths!$M$244*(1+'Operating costs'!$B$53)^MAX(0,C2617-1)),"n.a."))</f>
        <v>0</v>
      </c>
      <c r="I2617" s="16">
        <f>IF(NOT(Paths!$C$244=1),0,IF(Paths!$P$244="Complete",IF(IF(Paths!$E$244=0,C2617=0,AND(C2617&gt;0,Paths!$E$244&gt;(C2617-1)*12,Paths!$E$244&lt;=C2617*12)),Paths!$G$244,0),"n.a."))</f>
        <v>0</v>
      </c>
      <c r="J2617" s="16">
        <f>IF(NOT(Paths!$C$244=1),0,IF(Paths!$P$244="Complete",IF(IF(Paths!$E$244=0,C2617=0,AND(C2617&gt;0,Paths!$E$244&gt;(C2617-1)*12,Paths!$E$244&lt;=C2617*12)),Paths!$H$244,0),"n.a."))</f>
        <v>0</v>
      </c>
      <c r="K2617" s="16">
        <f>IF(NOT(Paths!$C$244=1),0,IF(Paths!$P$244="Complete",IF(IF(Paths!$O$244=0,C2617=0,AND(C2617&gt;0,Paths!$O$244&gt;(C2617-1)*12,Paths!$O$244&lt;=C2617*12)),Paths!$N$244,0),"n.a."))</f>
        <v>0</v>
      </c>
      <c r="L2617" s="16">
        <f>IF(NOT(Paths!$C$244=1),0,IF(Paths!$P$244="Complete",IF(C2617=10,Paths!$I$244,0),"n.a."))</f>
        <v>0</v>
      </c>
      <c r="M2617" s="16">
        <f>IF(NOT(Paths!$C$244=1),0,IF(Paths!$P$244="Complete",IF(AND(Paths!$D$244="EV",Paths!$E$244&lt;120,Paths!$E$244+'Operating costs'!$B$65&gt;Paths!$E$244,Paths!$E$244+'Operating costs'!$B$65&lt;=120,IF(Paths!$E$244+'Operating costs'!$B$65=0,C2617=0,AND(C2617&gt;0,Paths!$E$244+'Operating costs'!$B$65&gt;(C2617-1)*12,Paths!$E$244+'Operating costs'!$B$65&lt;=C2617*12))),'Operating costs'!$B$64,0)+IF(AND('Operating costs'!$B$67&gt;0,'Operating costs'!$B$67&lt;=120,OR(Paths!$D$244="ICE",'Operating costs'!$B$67&lt;=Paths!$E$244),IF('Operating costs'!$B$67=0,C2617=0,AND(C2617&gt;0,'Operating costs'!$B$67&gt;(C2617-1)*12,'Operating costs'!$B$67&lt;=C2617*12))),'Operating costs'!$B$66,0),"n.a."))</f>
        <v>0</v>
      </c>
      <c r="N2617" s="16">
        <f>IF(NOT(Paths!$C$244=1),0,IF(Paths!$P$244="Complete",SUM(G2617:I2617)-J2617-K2617-L2617+M2617+IF(C2617=0,Paths!$F$244,0)+IF(IF(Paths!$E$244=0,C2617=0,AND(C2617&gt;0,Paths!$E$244&gt;(C2617-1)*12,Paths!$E$244&lt;=C2617*12)),VLOOKUP(A2617,'Fleet register'!$A$7:$S$106,16,FALSE),0),"n.a."))</f>
        <v>0</v>
      </c>
      <c r="O2617" s="16">
        <f>IF(NOT(Paths!$C$244=1),0,IF(Paths!$P$244="Complete",N2617-IF(C2617=0,Paths!$F$244,0),"n.a."))</f>
        <v>0</v>
      </c>
      <c r="P2617" s="16">
        <f>IF(NOT(Paths!$C$244=1),0,IF(Paths!$P$244="Complete",O2617+L2617,"n.a."))</f>
        <v>0</v>
      </c>
      <c r="Q2617" s="16">
        <f>IF(NOT(Paths!$C$244=1),0,IF(Paths!$P$244="Complete",N2617*(1+'Operating costs'!$B$54)^-C2617,"n.a."))</f>
        <v>0</v>
      </c>
      <c r="R2617" s="16">
        <f>IF(NOT(Paths!$C$244=1),0,IF(Paths!$P$244="Complete",IF(AND(C2617=0,Paths!$E$244=0),I2617-J2617-K2617+VLOOKUP(A2617,'Fleet register'!$A$7:$S$106,15,FALSE)+VLOOKUP(A2617,'Fleet register'!$A$7:$S$106,16,FALSE),0),"n.a."))</f>
        <v>0</v>
      </c>
      <c r="S2617" s="1">
        <f>IF(NOT(Paths!$C$244=1),0,IF(Paths!$P$244="Complete",IF(C2617=0,0,Paths!$S$244*Paths!$R$244),"n.a."))</f>
        <v>0</v>
      </c>
      <c r="T2617" s="1">
        <f>IF(NOT(Paths!$C$244=1),0,IF(Paths!$P$244="Complete",IF(C2617=0,0,VLOOKUP(A2617,'Fleet register'!$A$7:$S$106,9,FALSE)*Paths!$R$244),"n.a."))</f>
        <v>0</v>
      </c>
    </row>
    <row r="2618" spans="1:20" ht="24" customHeight="1">
      <c r="A2618" s="1" t="str">
        <f>Paths!$A$244</f>
        <v>T060</v>
      </c>
      <c r="B2618" s="1">
        <f>Paths!$B$244</f>
        <v>1</v>
      </c>
      <c r="C2618" s="1">
        <v>4</v>
      </c>
      <c r="D2618" s="1">
        <v>244</v>
      </c>
      <c r="E2618" s="1">
        <f>IF(OR(Paths!$C$244=0,C2618=0),0,MAX(0,MIN(C2618*12,Paths!$E$244)-(C2618-1)*12))</f>
        <v>0</v>
      </c>
      <c r="F2618" s="1">
        <f>IF(OR(Paths!$C$244=0,C2618=0),0,12-E2618)</f>
        <v>0</v>
      </c>
      <c r="G2618" s="16">
        <f>IF(NOT(Paths!$C$244=1),0,IF(Paths!$P$244="Complete",E2618/12*(Paths!$J$244*(1+'Operating costs'!$B$51)^MAX(0,C2618-1)+Paths!$K$244*(1+'Operating costs'!$B$53)^MAX(0,C2618-1)),"n.a."))</f>
        <v>0</v>
      </c>
      <c r="H2618" s="16">
        <f>IF(NOT(Paths!$C$244=1),0,IF(Paths!$P$244="Complete",F2618/12*(Paths!$L$244*(1+IF(Paths!$D$244="EV",'Operating costs'!$B$52,'Operating costs'!$B$51))^MAX(0,C2618-1)+Paths!$M$244*(1+'Operating costs'!$B$53)^MAX(0,C2618-1)),"n.a."))</f>
        <v>0</v>
      </c>
      <c r="I2618" s="16">
        <f>IF(NOT(Paths!$C$244=1),0,IF(Paths!$P$244="Complete",IF(IF(Paths!$E$244=0,C2618=0,AND(C2618&gt;0,Paths!$E$244&gt;(C2618-1)*12,Paths!$E$244&lt;=C2618*12)),Paths!$G$244,0),"n.a."))</f>
        <v>0</v>
      </c>
      <c r="J2618" s="16">
        <f>IF(NOT(Paths!$C$244=1),0,IF(Paths!$P$244="Complete",IF(IF(Paths!$E$244=0,C2618=0,AND(C2618&gt;0,Paths!$E$244&gt;(C2618-1)*12,Paths!$E$244&lt;=C2618*12)),Paths!$H$244,0),"n.a."))</f>
        <v>0</v>
      </c>
      <c r="K2618" s="16">
        <f>IF(NOT(Paths!$C$244=1),0,IF(Paths!$P$244="Complete",IF(IF(Paths!$O$244=0,C2618=0,AND(C2618&gt;0,Paths!$O$244&gt;(C2618-1)*12,Paths!$O$244&lt;=C2618*12)),Paths!$N$244,0),"n.a."))</f>
        <v>0</v>
      </c>
      <c r="L2618" s="16">
        <f>IF(NOT(Paths!$C$244=1),0,IF(Paths!$P$244="Complete",IF(C2618=10,Paths!$I$244,0),"n.a."))</f>
        <v>0</v>
      </c>
      <c r="M2618" s="16">
        <f>IF(NOT(Paths!$C$244=1),0,IF(Paths!$P$244="Complete",IF(AND(Paths!$D$244="EV",Paths!$E$244&lt;120,Paths!$E$244+'Operating costs'!$B$65&gt;Paths!$E$244,Paths!$E$244+'Operating costs'!$B$65&lt;=120,IF(Paths!$E$244+'Operating costs'!$B$65=0,C2618=0,AND(C2618&gt;0,Paths!$E$244+'Operating costs'!$B$65&gt;(C2618-1)*12,Paths!$E$244+'Operating costs'!$B$65&lt;=C2618*12))),'Operating costs'!$B$64,0)+IF(AND('Operating costs'!$B$67&gt;0,'Operating costs'!$B$67&lt;=120,OR(Paths!$D$244="ICE",'Operating costs'!$B$67&lt;=Paths!$E$244),IF('Operating costs'!$B$67=0,C2618=0,AND(C2618&gt;0,'Operating costs'!$B$67&gt;(C2618-1)*12,'Operating costs'!$B$67&lt;=C2618*12))),'Operating costs'!$B$66,0),"n.a."))</f>
        <v>0</v>
      </c>
      <c r="N2618" s="16">
        <f>IF(NOT(Paths!$C$244=1),0,IF(Paths!$P$244="Complete",SUM(G2618:I2618)-J2618-K2618-L2618+M2618+IF(C2618=0,Paths!$F$244,0)+IF(IF(Paths!$E$244=0,C2618=0,AND(C2618&gt;0,Paths!$E$244&gt;(C2618-1)*12,Paths!$E$244&lt;=C2618*12)),VLOOKUP(A2618,'Fleet register'!$A$7:$S$106,16,FALSE),0),"n.a."))</f>
        <v>0</v>
      </c>
      <c r="O2618" s="16">
        <f>IF(NOT(Paths!$C$244=1),0,IF(Paths!$P$244="Complete",N2618-IF(C2618=0,Paths!$F$244,0),"n.a."))</f>
        <v>0</v>
      </c>
      <c r="P2618" s="16">
        <f>IF(NOT(Paths!$C$244=1),0,IF(Paths!$P$244="Complete",O2618+L2618,"n.a."))</f>
        <v>0</v>
      </c>
      <c r="Q2618" s="16">
        <f>IF(NOT(Paths!$C$244=1),0,IF(Paths!$P$244="Complete",N2618*(1+'Operating costs'!$B$54)^-C2618,"n.a."))</f>
        <v>0</v>
      </c>
      <c r="R2618" s="16">
        <f>IF(NOT(Paths!$C$244=1),0,IF(Paths!$P$244="Complete",IF(AND(C2618=0,Paths!$E$244=0),I2618-J2618-K2618+VLOOKUP(A2618,'Fleet register'!$A$7:$S$106,15,FALSE)+VLOOKUP(A2618,'Fleet register'!$A$7:$S$106,16,FALSE),0),"n.a."))</f>
        <v>0</v>
      </c>
      <c r="S2618" s="1">
        <f>IF(NOT(Paths!$C$244=1),0,IF(Paths!$P$244="Complete",IF(C2618=0,0,Paths!$S$244*Paths!$R$244),"n.a."))</f>
        <v>0</v>
      </c>
      <c r="T2618" s="1">
        <f>IF(NOT(Paths!$C$244=1),0,IF(Paths!$P$244="Complete",IF(C2618=0,0,VLOOKUP(A2618,'Fleet register'!$A$7:$S$106,9,FALSE)*Paths!$R$244),"n.a."))</f>
        <v>0</v>
      </c>
    </row>
    <row r="2619" spans="1:20" ht="24" customHeight="1">
      <c r="A2619" s="1" t="str">
        <f>Paths!$A$244</f>
        <v>T060</v>
      </c>
      <c r="B2619" s="1">
        <f>Paths!$B$244</f>
        <v>1</v>
      </c>
      <c r="C2619" s="1">
        <v>5</v>
      </c>
      <c r="D2619" s="1">
        <v>244</v>
      </c>
      <c r="E2619" s="1">
        <f>IF(OR(Paths!$C$244=0,C2619=0),0,MAX(0,MIN(C2619*12,Paths!$E$244)-(C2619-1)*12))</f>
        <v>0</v>
      </c>
      <c r="F2619" s="1">
        <f>IF(OR(Paths!$C$244=0,C2619=0),0,12-E2619)</f>
        <v>0</v>
      </c>
      <c r="G2619" s="16">
        <f>IF(NOT(Paths!$C$244=1),0,IF(Paths!$P$244="Complete",E2619/12*(Paths!$J$244*(1+'Operating costs'!$B$51)^MAX(0,C2619-1)+Paths!$K$244*(1+'Operating costs'!$B$53)^MAX(0,C2619-1)),"n.a."))</f>
        <v>0</v>
      </c>
      <c r="H2619" s="16">
        <f>IF(NOT(Paths!$C$244=1),0,IF(Paths!$P$244="Complete",F2619/12*(Paths!$L$244*(1+IF(Paths!$D$244="EV",'Operating costs'!$B$52,'Operating costs'!$B$51))^MAX(0,C2619-1)+Paths!$M$244*(1+'Operating costs'!$B$53)^MAX(0,C2619-1)),"n.a."))</f>
        <v>0</v>
      </c>
      <c r="I2619" s="16">
        <f>IF(NOT(Paths!$C$244=1),0,IF(Paths!$P$244="Complete",IF(IF(Paths!$E$244=0,C2619=0,AND(C2619&gt;0,Paths!$E$244&gt;(C2619-1)*12,Paths!$E$244&lt;=C2619*12)),Paths!$G$244,0),"n.a."))</f>
        <v>0</v>
      </c>
      <c r="J2619" s="16">
        <f>IF(NOT(Paths!$C$244=1),0,IF(Paths!$P$244="Complete",IF(IF(Paths!$E$244=0,C2619=0,AND(C2619&gt;0,Paths!$E$244&gt;(C2619-1)*12,Paths!$E$244&lt;=C2619*12)),Paths!$H$244,0),"n.a."))</f>
        <v>0</v>
      </c>
      <c r="K2619" s="16">
        <f>IF(NOT(Paths!$C$244=1),0,IF(Paths!$P$244="Complete",IF(IF(Paths!$O$244=0,C2619=0,AND(C2619&gt;0,Paths!$O$244&gt;(C2619-1)*12,Paths!$O$244&lt;=C2619*12)),Paths!$N$244,0),"n.a."))</f>
        <v>0</v>
      </c>
      <c r="L2619" s="16">
        <f>IF(NOT(Paths!$C$244=1),0,IF(Paths!$P$244="Complete",IF(C2619=10,Paths!$I$244,0),"n.a."))</f>
        <v>0</v>
      </c>
      <c r="M2619" s="16">
        <f>IF(NOT(Paths!$C$244=1),0,IF(Paths!$P$244="Complete",IF(AND(Paths!$D$244="EV",Paths!$E$244&lt;120,Paths!$E$244+'Operating costs'!$B$65&gt;Paths!$E$244,Paths!$E$244+'Operating costs'!$B$65&lt;=120,IF(Paths!$E$244+'Operating costs'!$B$65=0,C2619=0,AND(C2619&gt;0,Paths!$E$244+'Operating costs'!$B$65&gt;(C2619-1)*12,Paths!$E$244+'Operating costs'!$B$65&lt;=C2619*12))),'Operating costs'!$B$64,0)+IF(AND('Operating costs'!$B$67&gt;0,'Operating costs'!$B$67&lt;=120,OR(Paths!$D$244="ICE",'Operating costs'!$B$67&lt;=Paths!$E$244),IF('Operating costs'!$B$67=0,C2619=0,AND(C2619&gt;0,'Operating costs'!$B$67&gt;(C2619-1)*12,'Operating costs'!$B$67&lt;=C2619*12))),'Operating costs'!$B$66,0),"n.a."))</f>
        <v>0</v>
      </c>
      <c r="N2619" s="16">
        <f>IF(NOT(Paths!$C$244=1),0,IF(Paths!$P$244="Complete",SUM(G2619:I2619)-J2619-K2619-L2619+M2619+IF(C2619=0,Paths!$F$244,0)+IF(IF(Paths!$E$244=0,C2619=0,AND(C2619&gt;0,Paths!$E$244&gt;(C2619-1)*12,Paths!$E$244&lt;=C2619*12)),VLOOKUP(A2619,'Fleet register'!$A$7:$S$106,16,FALSE),0),"n.a."))</f>
        <v>0</v>
      </c>
      <c r="O2619" s="16">
        <f>IF(NOT(Paths!$C$244=1),0,IF(Paths!$P$244="Complete",N2619-IF(C2619=0,Paths!$F$244,0),"n.a."))</f>
        <v>0</v>
      </c>
      <c r="P2619" s="16">
        <f>IF(NOT(Paths!$C$244=1),0,IF(Paths!$P$244="Complete",O2619+L2619,"n.a."))</f>
        <v>0</v>
      </c>
      <c r="Q2619" s="16">
        <f>IF(NOT(Paths!$C$244=1),0,IF(Paths!$P$244="Complete",N2619*(1+'Operating costs'!$B$54)^-C2619,"n.a."))</f>
        <v>0</v>
      </c>
      <c r="R2619" s="16">
        <f>IF(NOT(Paths!$C$244=1),0,IF(Paths!$P$244="Complete",IF(AND(C2619=0,Paths!$E$244=0),I2619-J2619-K2619+VLOOKUP(A2619,'Fleet register'!$A$7:$S$106,15,FALSE)+VLOOKUP(A2619,'Fleet register'!$A$7:$S$106,16,FALSE),0),"n.a."))</f>
        <v>0</v>
      </c>
      <c r="S2619" s="1">
        <f>IF(NOT(Paths!$C$244=1),0,IF(Paths!$P$244="Complete",IF(C2619=0,0,Paths!$S$244*Paths!$R$244),"n.a."))</f>
        <v>0</v>
      </c>
      <c r="T2619" s="1">
        <f>IF(NOT(Paths!$C$244=1),0,IF(Paths!$P$244="Complete",IF(C2619=0,0,VLOOKUP(A2619,'Fleet register'!$A$7:$S$106,9,FALSE)*Paths!$R$244),"n.a."))</f>
        <v>0</v>
      </c>
    </row>
    <row r="2620" spans="1:20" ht="24" customHeight="1">
      <c r="A2620" s="1" t="str">
        <f>Paths!$A$244</f>
        <v>T060</v>
      </c>
      <c r="B2620" s="1">
        <f>Paths!$B$244</f>
        <v>1</v>
      </c>
      <c r="C2620" s="1">
        <v>6</v>
      </c>
      <c r="D2620" s="1">
        <v>244</v>
      </c>
      <c r="E2620" s="1">
        <f>IF(OR(Paths!$C$244=0,C2620=0),0,MAX(0,MIN(C2620*12,Paths!$E$244)-(C2620-1)*12))</f>
        <v>0</v>
      </c>
      <c r="F2620" s="1">
        <f>IF(OR(Paths!$C$244=0,C2620=0),0,12-E2620)</f>
        <v>0</v>
      </c>
      <c r="G2620" s="16">
        <f>IF(NOT(Paths!$C$244=1),0,IF(Paths!$P$244="Complete",E2620/12*(Paths!$J$244*(1+'Operating costs'!$B$51)^MAX(0,C2620-1)+Paths!$K$244*(1+'Operating costs'!$B$53)^MAX(0,C2620-1)),"n.a."))</f>
        <v>0</v>
      </c>
      <c r="H2620" s="16">
        <f>IF(NOT(Paths!$C$244=1),0,IF(Paths!$P$244="Complete",F2620/12*(Paths!$L$244*(1+IF(Paths!$D$244="EV",'Operating costs'!$B$52,'Operating costs'!$B$51))^MAX(0,C2620-1)+Paths!$M$244*(1+'Operating costs'!$B$53)^MAX(0,C2620-1)),"n.a."))</f>
        <v>0</v>
      </c>
      <c r="I2620" s="16">
        <f>IF(NOT(Paths!$C$244=1),0,IF(Paths!$P$244="Complete",IF(IF(Paths!$E$244=0,C2620=0,AND(C2620&gt;0,Paths!$E$244&gt;(C2620-1)*12,Paths!$E$244&lt;=C2620*12)),Paths!$G$244,0),"n.a."))</f>
        <v>0</v>
      </c>
      <c r="J2620" s="16">
        <f>IF(NOT(Paths!$C$244=1),0,IF(Paths!$P$244="Complete",IF(IF(Paths!$E$244=0,C2620=0,AND(C2620&gt;0,Paths!$E$244&gt;(C2620-1)*12,Paths!$E$244&lt;=C2620*12)),Paths!$H$244,0),"n.a."))</f>
        <v>0</v>
      </c>
      <c r="K2620" s="16">
        <f>IF(NOT(Paths!$C$244=1),0,IF(Paths!$P$244="Complete",IF(IF(Paths!$O$244=0,C2620=0,AND(C2620&gt;0,Paths!$O$244&gt;(C2620-1)*12,Paths!$O$244&lt;=C2620*12)),Paths!$N$244,0),"n.a."))</f>
        <v>0</v>
      </c>
      <c r="L2620" s="16">
        <f>IF(NOT(Paths!$C$244=1),0,IF(Paths!$P$244="Complete",IF(C2620=10,Paths!$I$244,0),"n.a."))</f>
        <v>0</v>
      </c>
      <c r="M2620" s="16">
        <f>IF(NOT(Paths!$C$244=1),0,IF(Paths!$P$244="Complete",IF(AND(Paths!$D$244="EV",Paths!$E$244&lt;120,Paths!$E$244+'Operating costs'!$B$65&gt;Paths!$E$244,Paths!$E$244+'Operating costs'!$B$65&lt;=120,IF(Paths!$E$244+'Operating costs'!$B$65=0,C2620=0,AND(C2620&gt;0,Paths!$E$244+'Operating costs'!$B$65&gt;(C2620-1)*12,Paths!$E$244+'Operating costs'!$B$65&lt;=C2620*12))),'Operating costs'!$B$64,0)+IF(AND('Operating costs'!$B$67&gt;0,'Operating costs'!$B$67&lt;=120,OR(Paths!$D$244="ICE",'Operating costs'!$B$67&lt;=Paths!$E$244),IF('Operating costs'!$B$67=0,C2620=0,AND(C2620&gt;0,'Operating costs'!$B$67&gt;(C2620-1)*12,'Operating costs'!$B$67&lt;=C2620*12))),'Operating costs'!$B$66,0),"n.a."))</f>
        <v>0</v>
      </c>
      <c r="N2620" s="16">
        <f>IF(NOT(Paths!$C$244=1),0,IF(Paths!$P$244="Complete",SUM(G2620:I2620)-J2620-K2620-L2620+M2620+IF(C2620=0,Paths!$F$244,0)+IF(IF(Paths!$E$244=0,C2620=0,AND(C2620&gt;0,Paths!$E$244&gt;(C2620-1)*12,Paths!$E$244&lt;=C2620*12)),VLOOKUP(A2620,'Fleet register'!$A$7:$S$106,16,FALSE),0),"n.a."))</f>
        <v>0</v>
      </c>
      <c r="O2620" s="16">
        <f>IF(NOT(Paths!$C$244=1),0,IF(Paths!$P$244="Complete",N2620-IF(C2620=0,Paths!$F$244,0),"n.a."))</f>
        <v>0</v>
      </c>
      <c r="P2620" s="16">
        <f>IF(NOT(Paths!$C$244=1),0,IF(Paths!$P$244="Complete",O2620+L2620,"n.a."))</f>
        <v>0</v>
      </c>
      <c r="Q2620" s="16">
        <f>IF(NOT(Paths!$C$244=1),0,IF(Paths!$P$244="Complete",N2620*(1+'Operating costs'!$B$54)^-C2620,"n.a."))</f>
        <v>0</v>
      </c>
      <c r="R2620" s="16">
        <f>IF(NOT(Paths!$C$244=1),0,IF(Paths!$P$244="Complete",IF(AND(C2620=0,Paths!$E$244=0),I2620-J2620-K2620+VLOOKUP(A2620,'Fleet register'!$A$7:$S$106,15,FALSE)+VLOOKUP(A2620,'Fleet register'!$A$7:$S$106,16,FALSE),0),"n.a."))</f>
        <v>0</v>
      </c>
      <c r="S2620" s="1">
        <f>IF(NOT(Paths!$C$244=1),0,IF(Paths!$P$244="Complete",IF(C2620=0,0,Paths!$S$244*Paths!$R$244),"n.a."))</f>
        <v>0</v>
      </c>
      <c r="T2620" s="1">
        <f>IF(NOT(Paths!$C$244=1),0,IF(Paths!$P$244="Complete",IF(C2620=0,0,VLOOKUP(A2620,'Fleet register'!$A$7:$S$106,9,FALSE)*Paths!$R$244),"n.a."))</f>
        <v>0</v>
      </c>
    </row>
    <row r="2621" spans="1:20" ht="24" customHeight="1">
      <c r="A2621" s="1" t="str">
        <f>Paths!$A$244</f>
        <v>T060</v>
      </c>
      <c r="B2621" s="1">
        <f>Paths!$B$244</f>
        <v>1</v>
      </c>
      <c r="C2621" s="1">
        <v>7</v>
      </c>
      <c r="D2621" s="1">
        <v>244</v>
      </c>
      <c r="E2621" s="1">
        <f>IF(OR(Paths!$C$244=0,C2621=0),0,MAX(0,MIN(C2621*12,Paths!$E$244)-(C2621-1)*12))</f>
        <v>0</v>
      </c>
      <c r="F2621" s="1">
        <f>IF(OR(Paths!$C$244=0,C2621=0),0,12-E2621)</f>
        <v>0</v>
      </c>
      <c r="G2621" s="16">
        <f>IF(NOT(Paths!$C$244=1),0,IF(Paths!$P$244="Complete",E2621/12*(Paths!$J$244*(1+'Operating costs'!$B$51)^MAX(0,C2621-1)+Paths!$K$244*(1+'Operating costs'!$B$53)^MAX(0,C2621-1)),"n.a."))</f>
        <v>0</v>
      </c>
      <c r="H2621" s="16">
        <f>IF(NOT(Paths!$C$244=1),0,IF(Paths!$P$244="Complete",F2621/12*(Paths!$L$244*(1+IF(Paths!$D$244="EV",'Operating costs'!$B$52,'Operating costs'!$B$51))^MAX(0,C2621-1)+Paths!$M$244*(1+'Operating costs'!$B$53)^MAX(0,C2621-1)),"n.a."))</f>
        <v>0</v>
      </c>
      <c r="I2621" s="16">
        <f>IF(NOT(Paths!$C$244=1),0,IF(Paths!$P$244="Complete",IF(IF(Paths!$E$244=0,C2621=0,AND(C2621&gt;0,Paths!$E$244&gt;(C2621-1)*12,Paths!$E$244&lt;=C2621*12)),Paths!$G$244,0),"n.a."))</f>
        <v>0</v>
      </c>
      <c r="J2621" s="16">
        <f>IF(NOT(Paths!$C$244=1),0,IF(Paths!$P$244="Complete",IF(IF(Paths!$E$244=0,C2621=0,AND(C2621&gt;0,Paths!$E$244&gt;(C2621-1)*12,Paths!$E$244&lt;=C2621*12)),Paths!$H$244,0),"n.a."))</f>
        <v>0</v>
      </c>
      <c r="K2621" s="16">
        <f>IF(NOT(Paths!$C$244=1),0,IF(Paths!$P$244="Complete",IF(IF(Paths!$O$244=0,C2621=0,AND(C2621&gt;0,Paths!$O$244&gt;(C2621-1)*12,Paths!$O$244&lt;=C2621*12)),Paths!$N$244,0),"n.a."))</f>
        <v>0</v>
      </c>
      <c r="L2621" s="16">
        <f>IF(NOT(Paths!$C$244=1),0,IF(Paths!$P$244="Complete",IF(C2621=10,Paths!$I$244,0),"n.a."))</f>
        <v>0</v>
      </c>
      <c r="M2621" s="16">
        <f>IF(NOT(Paths!$C$244=1),0,IF(Paths!$P$244="Complete",IF(AND(Paths!$D$244="EV",Paths!$E$244&lt;120,Paths!$E$244+'Operating costs'!$B$65&gt;Paths!$E$244,Paths!$E$244+'Operating costs'!$B$65&lt;=120,IF(Paths!$E$244+'Operating costs'!$B$65=0,C2621=0,AND(C2621&gt;0,Paths!$E$244+'Operating costs'!$B$65&gt;(C2621-1)*12,Paths!$E$244+'Operating costs'!$B$65&lt;=C2621*12))),'Operating costs'!$B$64,0)+IF(AND('Operating costs'!$B$67&gt;0,'Operating costs'!$B$67&lt;=120,OR(Paths!$D$244="ICE",'Operating costs'!$B$67&lt;=Paths!$E$244),IF('Operating costs'!$B$67=0,C2621=0,AND(C2621&gt;0,'Operating costs'!$B$67&gt;(C2621-1)*12,'Operating costs'!$B$67&lt;=C2621*12))),'Operating costs'!$B$66,0),"n.a."))</f>
        <v>0</v>
      </c>
      <c r="N2621" s="16">
        <f>IF(NOT(Paths!$C$244=1),0,IF(Paths!$P$244="Complete",SUM(G2621:I2621)-J2621-K2621-L2621+M2621+IF(C2621=0,Paths!$F$244,0)+IF(IF(Paths!$E$244=0,C2621=0,AND(C2621&gt;0,Paths!$E$244&gt;(C2621-1)*12,Paths!$E$244&lt;=C2621*12)),VLOOKUP(A2621,'Fleet register'!$A$7:$S$106,16,FALSE),0),"n.a."))</f>
        <v>0</v>
      </c>
      <c r="O2621" s="16">
        <f>IF(NOT(Paths!$C$244=1),0,IF(Paths!$P$244="Complete",N2621-IF(C2621=0,Paths!$F$244,0),"n.a."))</f>
        <v>0</v>
      </c>
      <c r="P2621" s="16">
        <f>IF(NOT(Paths!$C$244=1),0,IF(Paths!$P$244="Complete",O2621+L2621,"n.a."))</f>
        <v>0</v>
      </c>
      <c r="Q2621" s="16">
        <f>IF(NOT(Paths!$C$244=1),0,IF(Paths!$P$244="Complete",N2621*(1+'Operating costs'!$B$54)^-C2621,"n.a."))</f>
        <v>0</v>
      </c>
      <c r="R2621" s="16">
        <f>IF(NOT(Paths!$C$244=1),0,IF(Paths!$P$244="Complete",IF(AND(C2621=0,Paths!$E$244=0),I2621-J2621-K2621+VLOOKUP(A2621,'Fleet register'!$A$7:$S$106,15,FALSE)+VLOOKUP(A2621,'Fleet register'!$A$7:$S$106,16,FALSE),0),"n.a."))</f>
        <v>0</v>
      </c>
      <c r="S2621" s="1">
        <f>IF(NOT(Paths!$C$244=1),0,IF(Paths!$P$244="Complete",IF(C2621=0,0,Paths!$S$244*Paths!$R$244),"n.a."))</f>
        <v>0</v>
      </c>
      <c r="T2621" s="1">
        <f>IF(NOT(Paths!$C$244=1),0,IF(Paths!$P$244="Complete",IF(C2621=0,0,VLOOKUP(A2621,'Fleet register'!$A$7:$S$106,9,FALSE)*Paths!$R$244),"n.a."))</f>
        <v>0</v>
      </c>
    </row>
    <row r="2622" spans="1:20" ht="24" customHeight="1">
      <c r="A2622" s="1" t="str">
        <f>Paths!$A$244</f>
        <v>T060</v>
      </c>
      <c r="B2622" s="1">
        <f>Paths!$B$244</f>
        <v>1</v>
      </c>
      <c r="C2622" s="1">
        <v>8</v>
      </c>
      <c r="D2622" s="1">
        <v>244</v>
      </c>
      <c r="E2622" s="1">
        <f>IF(OR(Paths!$C$244=0,C2622=0),0,MAX(0,MIN(C2622*12,Paths!$E$244)-(C2622-1)*12))</f>
        <v>0</v>
      </c>
      <c r="F2622" s="1">
        <f>IF(OR(Paths!$C$244=0,C2622=0),0,12-E2622)</f>
        <v>0</v>
      </c>
      <c r="G2622" s="16">
        <f>IF(NOT(Paths!$C$244=1),0,IF(Paths!$P$244="Complete",E2622/12*(Paths!$J$244*(1+'Operating costs'!$B$51)^MAX(0,C2622-1)+Paths!$K$244*(1+'Operating costs'!$B$53)^MAX(0,C2622-1)),"n.a."))</f>
        <v>0</v>
      </c>
      <c r="H2622" s="16">
        <f>IF(NOT(Paths!$C$244=1),0,IF(Paths!$P$244="Complete",F2622/12*(Paths!$L$244*(1+IF(Paths!$D$244="EV",'Operating costs'!$B$52,'Operating costs'!$B$51))^MAX(0,C2622-1)+Paths!$M$244*(1+'Operating costs'!$B$53)^MAX(0,C2622-1)),"n.a."))</f>
        <v>0</v>
      </c>
      <c r="I2622" s="16">
        <f>IF(NOT(Paths!$C$244=1),0,IF(Paths!$P$244="Complete",IF(IF(Paths!$E$244=0,C2622=0,AND(C2622&gt;0,Paths!$E$244&gt;(C2622-1)*12,Paths!$E$244&lt;=C2622*12)),Paths!$G$244,0),"n.a."))</f>
        <v>0</v>
      </c>
      <c r="J2622" s="16">
        <f>IF(NOT(Paths!$C$244=1),0,IF(Paths!$P$244="Complete",IF(IF(Paths!$E$244=0,C2622=0,AND(C2622&gt;0,Paths!$E$244&gt;(C2622-1)*12,Paths!$E$244&lt;=C2622*12)),Paths!$H$244,0),"n.a."))</f>
        <v>0</v>
      </c>
      <c r="K2622" s="16">
        <f>IF(NOT(Paths!$C$244=1),0,IF(Paths!$P$244="Complete",IF(IF(Paths!$O$244=0,C2622=0,AND(C2622&gt;0,Paths!$O$244&gt;(C2622-1)*12,Paths!$O$244&lt;=C2622*12)),Paths!$N$244,0),"n.a."))</f>
        <v>0</v>
      </c>
      <c r="L2622" s="16">
        <f>IF(NOT(Paths!$C$244=1),0,IF(Paths!$P$244="Complete",IF(C2622=10,Paths!$I$244,0),"n.a."))</f>
        <v>0</v>
      </c>
      <c r="M2622" s="16">
        <f>IF(NOT(Paths!$C$244=1),0,IF(Paths!$P$244="Complete",IF(AND(Paths!$D$244="EV",Paths!$E$244&lt;120,Paths!$E$244+'Operating costs'!$B$65&gt;Paths!$E$244,Paths!$E$244+'Operating costs'!$B$65&lt;=120,IF(Paths!$E$244+'Operating costs'!$B$65=0,C2622=0,AND(C2622&gt;0,Paths!$E$244+'Operating costs'!$B$65&gt;(C2622-1)*12,Paths!$E$244+'Operating costs'!$B$65&lt;=C2622*12))),'Operating costs'!$B$64,0)+IF(AND('Operating costs'!$B$67&gt;0,'Operating costs'!$B$67&lt;=120,OR(Paths!$D$244="ICE",'Operating costs'!$B$67&lt;=Paths!$E$244),IF('Operating costs'!$B$67=0,C2622=0,AND(C2622&gt;0,'Operating costs'!$B$67&gt;(C2622-1)*12,'Operating costs'!$B$67&lt;=C2622*12))),'Operating costs'!$B$66,0),"n.a."))</f>
        <v>0</v>
      </c>
      <c r="N2622" s="16">
        <f>IF(NOT(Paths!$C$244=1),0,IF(Paths!$P$244="Complete",SUM(G2622:I2622)-J2622-K2622-L2622+M2622+IF(C2622=0,Paths!$F$244,0)+IF(IF(Paths!$E$244=0,C2622=0,AND(C2622&gt;0,Paths!$E$244&gt;(C2622-1)*12,Paths!$E$244&lt;=C2622*12)),VLOOKUP(A2622,'Fleet register'!$A$7:$S$106,16,FALSE),0),"n.a."))</f>
        <v>0</v>
      </c>
      <c r="O2622" s="16">
        <f>IF(NOT(Paths!$C$244=1),0,IF(Paths!$P$244="Complete",N2622-IF(C2622=0,Paths!$F$244,0),"n.a."))</f>
        <v>0</v>
      </c>
      <c r="P2622" s="16">
        <f>IF(NOT(Paths!$C$244=1),0,IF(Paths!$P$244="Complete",O2622+L2622,"n.a."))</f>
        <v>0</v>
      </c>
      <c r="Q2622" s="16">
        <f>IF(NOT(Paths!$C$244=1),0,IF(Paths!$P$244="Complete",N2622*(1+'Operating costs'!$B$54)^-C2622,"n.a."))</f>
        <v>0</v>
      </c>
      <c r="R2622" s="16">
        <f>IF(NOT(Paths!$C$244=1),0,IF(Paths!$P$244="Complete",IF(AND(C2622=0,Paths!$E$244=0),I2622-J2622-K2622+VLOOKUP(A2622,'Fleet register'!$A$7:$S$106,15,FALSE)+VLOOKUP(A2622,'Fleet register'!$A$7:$S$106,16,FALSE),0),"n.a."))</f>
        <v>0</v>
      </c>
      <c r="S2622" s="1">
        <f>IF(NOT(Paths!$C$244=1),0,IF(Paths!$P$244="Complete",IF(C2622=0,0,Paths!$S$244*Paths!$R$244),"n.a."))</f>
        <v>0</v>
      </c>
      <c r="T2622" s="1">
        <f>IF(NOT(Paths!$C$244=1),0,IF(Paths!$P$244="Complete",IF(C2622=0,0,VLOOKUP(A2622,'Fleet register'!$A$7:$S$106,9,FALSE)*Paths!$R$244),"n.a."))</f>
        <v>0</v>
      </c>
    </row>
    <row r="2623" spans="1:20" ht="24" customHeight="1">
      <c r="A2623" s="1" t="str">
        <f>Paths!$A$244</f>
        <v>T060</v>
      </c>
      <c r="B2623" s="1">
        <f>Paths!$B$244</f>
        <v>1</v>
      </c>
      <c r="C2623" s="1">
        <v>9</v>
      </c>
      <c r="D2623" s="1">
        <v>244</v>
      </c>
      <c r="E2623" s="1">
        <f>IF(OR(Paths!$C$244=0,C2623=0),0,MAX(0,MIN(C2623*12,Paths!$E$244)-(C2623-1)*12))</f>
        <v>0</v>
      </c>
      <c r="F2623" s="1">
        <f>IF(OR(Paths!$C$244=0,C2623=0),0,12-E2623)</f>
        <v>0</v>
      </c>
      <c r="G2623" s="16">
        <f>IF(NOT(Paths!$C$244=1),0,IF(Paths!$P$244="Complete",E2623/12*(Paths!$J$244*(1+'Operating costs'!$B$51)^MAX(0,C2623-1)+Paths!$K$244*(1+'Operating costs'!$B$53)^MAX(0,C2623-1)),"n.a."))</f>
        <v>0</v>
      </c>
      <c r="H2623" s="16">
        <f>IF(NOT(Paths!$C$244=1),0,IF(Paths!$P$244="Complete",F2623/12*(Paths!$L$244*(1+IF(Paths!$D$244="EV",'Operating costs'!$B$52,'Operating costs'!$B$51))^MAX(0,C2623-1)+Paths!$M$244*(1+'Operating costs'!$B$53)^MAX(0,C2623-1)),"n.a."))</f>
        <v>0</v>
      </c>
      <c r="I2623" s="16">
        <f>IF(NOT(Paths!$C$244=1),0,IF(Paths!$P$244="Complete",IF(IF(Paths!$E$244=0,C2623=0,AND(C2623&gt;0,Paths!$E$244&gt;(C2623-1)*12,Paths!$E$244&lt;=C2623*12)),Paths!$G$244,0),"n.a."))</f>
        <v>0</v>
      </c>
      <c r="J2623" s="16">
        <f>IF(NOT(Paths!$C$244=1),0,IF(Paths!$P$244="Complete",IF(IF(Paths!$E$244=0,C2623=0,AND(C2623&gt;0,Paths!$E$244&gt;(C2623-1)*12,Paths!$E$244&lt;=C2623*12)),Paths!$H$244,0),"n.a."))</f>
        <v>0</v>
      </c>
      <c r="K2623" s="16">
        <f>IF(NOT(Paths!$C$244=1),0,IF(Paths!$P$244="Complete",IF(IF(Paths!$O$244=0,C2623=0,AND(C2623&gt;0,Paths!$O$244&gt;(C2623-1)*12,Paths!$O$244&lt;=C2623*12)),Paths!$N$244,0),"n.a."))</f>
        <v>0</v>
      </c>
      <c r="L2623" s="16">
        <f>IF(NOT(Paths!$C$244=1),0,IF(Paths!$P$244="Complete",IF(C2623=10,Paths!$I$244,0),"n.a."))</f>
        <v>0</v>
      </c>
      <c r="M2623" s="16">
        <f>IF(NOT(Paths!$C$244=1),0,IF(Paths!$P$244="Complete",IF(AND(Paths!$D$244="EV",Paths!$E$244&lt;120,Paths!$E$244+'Operating costs'!$B$65&gt;Paths!$E$244,Paths!$E$244+'Operating costs'!$B$65&lt;=120,IF(Paths!$E$244+'Operating costs'!$B$65=0,C2623=0,AND(C2623&gt;0,Paths!$E$244+'Operating costs'!$B$65&gt;(C2623-1)*12,Paths!$E$244+'Operating costs'!$B$65&lt;=C2623*12))),'Operating costs'!$B$64,0)+IF(AND('Operating costs'!$B$67&gt;0,'Operating costs'!$B$67&lt;=120,OR(Paths!$D$244="ICE",'Operating costs'!$B$67&lt;=Paths!$E$244),IF('Operating costs'!$B$67=0,C2623=0,AND(C2623&gt;0,'Operating costs'!$B$67&gt;(C2623-1)*12,'Operating costs'!$B$67&lt;=C2623*12))),'Operating costs'!$B$66,0),"n.a."))</f>
        <v>0</v>
      </c>
      <c r="N2623" s="16">
        <f>IF(NOT(Paths!$C$244=1),0,IF(Paths!$P$244="Complete",SUM(G2623:I2623)-J2623-K2623-L2623+M2623+IF(C2623=0,Paths!$F$244,0)+IF(IF(Paths!$E$244=0,C2623=0,AND(C2623&gt;0,Paths!$E$244&gt;(C2623-1)*12,Paths!$E$244&lt;=C2623*12)),VLOOKUP(A2623,'Fleet register'!$A$7:$S$106,16,FALSE),0),"n.a."))</f>
        <v>0</v>
      </c>
      <c r="O2623" s="16">
        <f>IF(NOT(Paths!$C$244=1),0,IF(Paths!$P$244="Complete",N2623-IF(C2623=0,Paths!$F$244,0),"n.a."))</f>
        <v>0</v>
      </c>
      <c r="P2623" s="16">
        <f>IF(NOT(Paths!$C$244=1),0,IF(Paths!$P$244="Complete",O2623+L2623,"n.a."))</f>
        <v>0</v>
      </c>
      <c r="Q2623" s="16">
        <f>IF(NOT(Paths!$C$244=1),0,IF(Paths!$P$244="Complete",N2623*(1+'Operating costs'!$B$54)^-C2623,"n.a."))</f>
        <v>0</v>
      </c>
      <c r="R2623" s="16">
        <f>IF(NOT(Paths!$C$244=1),0,IF(Paths!$P$244="Complete",IF(AND(C2623=0,Paths!$E$244=0),I2623-J2623-K2623+VLOOKUP(A2623,'Fleet register'!$A$7:$S$106,15,FALSE)+VLOOKUP(A2623,'Fleet register'!$A$7:$S$106,16,FALSE),0),"n.a."))</f>
        <v>0</v>
      </c>
      <c r="S2623" s="1">
        <f>IF(NOT(Paths!$C$244=1),0,IF(Paths!$P$244="Complete",IF(C2623=0,0,Paths!$S$244*Paths!$R$244),"n.a."))</f>
        <v>0</v>
      </c>
      <c r="T2623" s="1">
        <f>IF(NOT(Paths!$C$244=1),0,IF(Paths!$P$244="Complete",IF(C2623=0,0,VLOOKUP(A2623,'Fleet register'!$A$7:$S$106,9,FALSE)*Paths!$R$244),"n.a."))</f>
        <v>0</v>
      </c>
    </row>
    <row r="2624" spans="1:20" ht="24" customHeight="1">
      <c r="A2624" s="1" t="str">
        <f>Paths!$A$244</f>
        <v>T060</v>
      </c>
      <c r="B2624" s="1">
        <f>Paths!$B$244</f>
        <v>1</v>
      </c>
      <c r="C2624" s="1">
        <v>10</v>
      </c>
      <c r="D2624" s="1">
        <v>244</v>
      </c>
      <c r="E2624" s="1">
        <f>IF(OR(Paths!$C$244=0,C2624=0),0,MAX(0,MIN(C2624*12,Paths!$E$244)-(C2624-1)*12))</f>
        <v>0</v>
      </c>
      <c r="F2624" s="1">
        <f>IF(OR(Paths!$C$244=0,C2624=0),0,12-E2624)</f>
        <v>0</v>
      </c>
      <c r="G2624" s="16">
        <f>IF(NOT(Paths!$C$244=1),0,IF(Paths!$P$244="Complete",E2624/12*(Paths!$J$244*(1+'Operating costs'!$B$51)^MAX(0,C2624-1)+Paths!$K$244*(1+'Operating costs'!$B$53)^MAX(0,C2624-1)),"n.a."))</f>
        <v>0</v>
      </c>
      <c r="H2624" s="16">
        <f>IF(NOT(Paths!$C$244=1),0,IF(Paths!$P$244="Complete",F2624/12*(Paths!$L$244*(1+IF(Paths!$D$244="EV",'Operating costs'!$B$52,'Operating costs'!$B$51))^MAX(0,C2624-1)+Paths!$M$244*(1+'Operating costs'!$B$53)^MAX(0,C2624-1)),"n.a."))</f>
        <v>0</v>
      </c>
      <c r="I2624" s="16">
        <f>IF(NOT(Paths!$C$244=1),0,IF(Paths!$P$244="Complete",IF(IF(Paths!$E$244=0,C2624=0,AND(C2624&gt;0,Paths!$E$244&gt;(C2624-1)*12,Paths!$E$244&lt;=C2624*12)),Paths!$G$244,0),"n.a."))</f>
        <v>0</v>
      </c>
      <c r="J2624" s="16">
        <f>IF(NOT(Paths!$C$244=1),0,IF(Paths!$P$244="Complete",IF(IF(Paths!$E$244=0,C2624=0,AND(C2624&gt;0,Paths!$E$244&gt;(C2624-1)*12,Paths!$E$244&lt;=C2624*12)),Paths!$H$244,0),"n.a."))</f>
        <v>0</v>
      </c>
      <c r="K2624" s="16">
        <f>IF(NOT(Paths!$C$244=1),0,IF(Paths!$P$244="Complete",IF(IF(Paths!$O$244=0,C2624=0,AND(C2624&gt;0,Paths!$O$244&gt;(C2624-1)*12,Paths!$O$244&lt;=C2624*12)),Paths!$N$244,0),"n.a."))</f>
        <v>0</v>
      </c>
      <c r="L2624" s="16">
        <f>IF(NOT(Paths!$C$244=1),0,IF(Paths!$P$244="Complete",IF(C2624=10,Paths!$I$244,0),"n.a."))</f>
        <v>0</v>
      </c>
      <c r="M2624" s="16">
        <f>IF(NOT(Paths!$C$244=1),0,IF(Paths!$P$244="Complete",IF(AND(Paths!$D$244="EV",Paths!$E$244&lt;120,Paths!$E$244+'Operating costs'!$B$65&gt;Paths!$E$244,Paths!$E$244+'Operating costs'!$B$65&lt;=120,IF(Paths!$E$244+'Operating costs'!$B$65=0,C2624=0,AND(C2624&gt;0,Paths!$E$244+'Operating costs'!$B$65&gt;(C2624-1)*12,Paths!$E$244+'Operating costs'!$B$65&lt;=C2624*12))),'Operating costs'!$B$64,0)+IF(AND('Operating costs'!$B$67&gt;0,'Operating costs'!$B$67&lt;=120,OR(Paths!$D$244="ICE",'Operating costs'!$B$67&lt;=Paths!$E$244),IF('Operating costs'!$B$67=0,C2624=0,AND(C2624&gt;0,'Operating costs'!$B$67&gt;(C2624-1)*12,'Operating costs'!$B$67&lt;=C2624*12))),'Operating costs'!$B$66,0),"n.a."))</f>
        <v>0</v>
      </c>
      <c r="N2624" s="16">
        <f>IF(NOT(Paths!$C$244=1),0,IF(Paths!$P$244="Complete",SUM(G2624:I2624)-J2624-K2624-L2624+M2624+IF(C2624=0,Paths!$F$244,0)+IF(IF(Paths!$E$244=0,C2624=0,AND(C2624&gt;0,Paths!$E$244&gt;(C2624-1)*12,Paths!$E$244&lt;=C2624*12)),VLOOKUP(A2624,'Fleet register'!$A$7:$S$106,16,FALSE),0),"n.a."))</f>
        <v>0</v>
      </c>
      <c r="O2624" s="16">
        <f>IF(NOT(Paths!$C$244=1),0,IF(Paths!$P$244="Complete",N2624-IF(C2624=0,Paths!$F$244,0),"n.a."))</f>
        <v>0</v>
      </c>
      <c r="P2624" s="16">
        <f>IF(NOT(Paths!$C$244=1),0,IF(Paths!$P$244="Complete",O2624+L2624,"n.a."))</f>
        <v>0</v>
      </c>
      <c r="Q2624" s="16">
        <f>IF(NOT(Paths!$C$244=1),0,IF(Paths!$P$244="Complete",N2624*(1+'Operating costs'!$B$54)^-C2624,"n.a."))</f>
        <v>0</v>
      </c>
      <c r="R2624" s="16">
        <f>IF(NOT(Paths!$C$244=1),0,IF(Paths!$P$244="Complete",IF(AND(C2624=0,Paths!$E$244=0),I2624-J2624-K2624+VLOOKUP(A2624,'Fleet register'!$A$7:$S$106,15,FALSE)+VLOOKUP(A2624,'Fleet register'!$A$7:$S$106,16,FALSE),0),"n.a."))</f>
        <v>0</v>
      </c>
      <c r="S2624" s="1">
        <f>IF(NOT(Paths!$C$244=1),0,IF(Paths!$P$244="Complete",IF(C2624=0,0,Paths!$S$244*Paths!$R$244),"n.a."))</f>
        <v>0</v>
      </c>
      <c r="T2624" s="1">
        <f>IF(NOT(Paths!$C$244=1),0,IF(Paths!$P$244="Complete",IF(C2624=0,0,VLOOKUP(A2624,'Fleet register'!$A$7:$S$106,9,FALSE)*Paths!$R$244),"n.a."))</f>
        <v>0</v>
      </c>
    </row>
    <row r="2625" spans="1:20" ht="24" customHeight="1">
      <c r="A2625" s="1" t="str">
        <f>Paths!$A$245</f>
        <v>T060</v>
      </c>
      <c r="B2625" s="1">
        <f>Paths!$B$245</f>
        <v>2</v>
      </c>
      <c r="C2625" s="1">
        <v>0</v>
      </c>
      <c r="D2625" s="1">
        <v>245</v>
      </c>
      <c r="E2625" s="1">
        <f>IF(OR(Paths!$C$245=0,C2625=0),0,MAX(0,MIN(C2625*12,Paths!$E$245)-(C2625-1)*12))</f>
        <v>0</v>
      </c>
      <c r="F2625" s="1">
        <f>IF(OR(Paths!$C$245=0,C2625=0),0,12-E2625)</f>
        <v>0</v>
      </c>
      <c r="G2625" s="16">
        <f>IF(NOT(Paths!$C$245=1),0,IF(Paths!$P$245="Complete",E2625/12*(Paths!$J$245*(1+'Operating costs'!$B$51)^MAX(0,C2625-1)+Paths!$K$245*(1+'Operating costs'!$B$53)^MAX(0,C2625-1)),"n.a."))</f>
        <v>0</v>
      </c>
      <c r="H2625" s="16">
        <f>IF(NOT(Paths!$C$245=1),0,IF(Paths!$P$245="Complete",F2625/12*(Paths!$L$245*(1+IF(Paths!$D$245="EV",'Operating costs'!$B$52,'Operating costs'!$B$51))^MAX(0,C2625-1)+Paths!$M$245*(1+'Operating costs'!$B$53)^MAX(0,C2625-1)),"n.a."))</f>
        <v>0</v>
      </c>
      <c r="I2625" s="16">
        <f>IF(NOT(Paths!$C$245=1),0,IF(Paths!$P$245="Complete",IF(IF(Paths!$E$245=0,C2625=0,AND(C2625&gt;0,Paths!$E$245&gt;(C2625-1)*12,Paths!$E$245&lt;=C2625*12)),Paths!$G$245,0),"n.a."))</f>
        <v>0</v>
      </c>
      <c r="J2625" s="16">
        <f>IF(NOT(Paths!$C$245=1),0,IF(Paths!$P$245="Complete",IF(IF(Paths!$E$245=0,C2625=0,AND(C2625&gt;0,Paths!$E$245&gt;(C2625-1)*12,Paths!$E$245&lt;=C2625*12)),Paths!$H$245,0),"n.a."))</f>
        <v>0</v>
      </c>
      <c r="K2625" s="16">
        <f>IF(NOT(Paths!$C$245=1),0,IF(Paths!$P$245="Complete",IF(IF(Paths!$O$245=0,C2625=0,AND(C2625&gt;0,Paths!$O$245&gt;(C2625-1)*12,Paths!$O$245&lt;=C2625*12)),Paths!$N$245,0),"n.a."))</f>
        <v>0</v>
      </c>
      <c r="L2625" s="16">
        <f>IF(NOT(Paths!$C$245=1),0,IF(Paths!$P$245="Complete",IF(C2625=10,Paths!$I$245,0),"n.a."))</f>
        <v>0</v>
      </c>
      <c r="M2625" s="16">
        <f>IF(NOT(Paths!$C$245=1),0,IF(Paths!$P$245="Complete",IF(AND(Paths!$D$245="EV",Paths!$E$245&lt;120,Paths!$E$245+'Operating costs'!$B$65&gt;Paths!$E$245,Paths!$E$245+'Operating costs'!$B$65&lt;=120,IF(Paths!$E$245+'Operating costs'!$B$65=0,C2625=0,AND(C2625&gt;0,Paths!$E$245+'Operating costs'!$B$65&gt;(C2625-1)*12,Paths!$E$245+'Operating costs'!$B$65&lt;=C2625*12))),'Operating costs'!$B$64,0)+IF(AND('Operating costs'!$B$67&gt;0,'Operating costs'!$B$67&lt;=120,OR(Paths!$D$245="ICE",'Operating costs'!$B$67&lt;=Paths!$E$245),IF('Operating costs'!$B$67=0,C2625=0,AND(C2625&gt;0,'Operating costs'!$B$67&gt;(C2625-1)*12,'Operating costs'!$B$67&lt;=C2625*12))),'Operating costs'!$B$66,0),"n.a."))</f>
        <v>0</v>
      </c>
      <c r="N2625" s="16">
        <f>IF(NOT(Paths!$C$245=1),0,IF(Paths!$P$245="Complete",SUM(G2625:I2625)-J2625-K2625-L2625+M2625+IF(C2625=0,Paths!$F$245,0)+IF(IF(Paths!$E$245=0,C2625=0,AND(C2625&gt;0,Paths!$E$245&gt;(C2625-1)*12,Paths!$E$245&lt;=C2625*12)),VLOOKUP(A2625,'Fleet register'!$A$7:$S$106,16,FALSE),0),"n.a."))</f>
        <v>0</v>
      </c>
      <c r="O2625" s="16">
        <f>IF(NOT(Paths!$C$245=1),0,IF(Paths!$P$245="Complete",N2625-IF(C2625=0,Paths!$F$245,0),"n.a."))</f>
        <v>0</v>
      </c>
      <c r="P2625" s="16">
        <f>IF(NOT(Paths!$C$245=1),0,IF(Paths!$P$245="Complete",O2625+L2625,"n.a."))</f>
        <v>0</v>
      </c>
      <c r="Q2625" s="16">
        <f>IF(NOT(Paths!$C$245=1),0,IF(Paths!$P$245="Complete",N2625*(1+'Operating costs'!$B$54)^-C2625,"n.a."))</f>
        <v>0</v>
      </c>
      <c r="R2625" s="16">
        <f>IF(NOT(Paths!$C$245=1),0,IF(Paths!$P$245="Complete",IF(AND(C2625=0,Paths!$E$245=0),I2625-J2625-K2625+VLOOKUP(A2625,'Fleet register'!$A$7:$S$106,15,FALSE)+VLOOKUP(A2625,'Fleet register'!$A$7:$S$106,16,FALSE),0),"n.a."))</f>
        <v>0</v>
      </c>
      <c r="S2625" s="1">
        <f>IF(NOT(Paths!$C$245=1),0,IF(Paths!$P$245="Complete",IF(C2625=0,0,Paths!$S$245*Paths!$R$245),"n.a."))</f>
        <v>0</v>
      </c>
      <c r="T2625" s="1">
        <f>IF(NOT(Paths!$C$245=1),0,IF(Paths!$P$245="Complete",IF(C2625=0,0,VLOOKUP(A2625,'Fleet register'!$A$7:$S$106,9,FALSE)*Paths!$R$245),"n.a."))</f>
        <v>0</v>
      </c>
    </row>
    <row r="2626" spans="1:20" ht="24" customHeight="1">
      <c r="A2626" s="1" t="str">
        <f>Paths!$A$245</f>
        <v>T060</v>
      </c>
      <c r="B2626" s="1">
        <f>Paths!$B$245</f>
        <v>2</v>
      </c>
      <c r="C2626" s="1">
        <v>1</v>
      </c>
      <c r="D2626" s="1">
        <v>245</v>
      </c>
      <c r="E2626" s="1">
        <f>IF(OR(Paths!$C$245=0,C2626=0),0,MAX(0,MIN(C2626*12,Paths!$E$245)-(C2626-1)*12))</f>
        <v>0</v>
      </c>
      <c r="F2626" s="1">
        <f>IF(OR(Paths!$C$245=0,C2626=0),0,12-E2626)</f>
        <v>0</v>
      </c>
      <c r="G2626" s="16">
        <f>IF(NOT(Paths!$C$245=1),0,IF(Paths!$P$245="Complete",E2626/12*(Paths!$J$245*(1+'Operating costs'!$B$51)^MAX(0,C2626-1)+Paths!$K$245*(1+'Operating costs'!$B$53)^MAX(0,C2626-1)),"n.a."))</f>
        <v>0</v>
      </c>
      <c r="H2626" s="16">
        <f>IF(NOT(Paths!$C$245=1),0,IF(Paths!$P$245="Complete",F2626/12*(Paths!$L$245*(1+IF(Paths!$D$245="EV",'Operating costs'!$B$52,'Operating costs'!$B$51))^MAX(0,C2626-1)+Paths!$M$245*(1+'Operating costs'!$B$53)^MAX(0,C2626-1)),"n.a."))</f>
        <v>0</v>
      </c>
      <c r="I2626" s="16">
        <f>IF(NOT(Paths!$C$245=1),0,IF(Paths!$P$245="Complete",IF(IF(Paths!$E$245=0,C2626=0,AND(C2626&gt;0,Paths!$E$245&gt;(C2626-1)*12,Paths!$E$245&lt;=C2626*12)),Paths!$G$245,0),"n.a."))</f>
        <v>0</v>
      </c>
      <c r="J2626" s="16">
        <f>IF(NOT(Paths!$C$245=1),0,IF(Paths!$P$245="Complete",IF(IF(Paths!$E$245=0,C2626=0,AND(C2626&gt;0,Paths!$E$245&gt;(C2626-1)*12,Paths!$E$245&lt;=C2626*12)),Paths!$H$245,0),"n.a."))</f>
        <v>0</v>
      </c>
      <c r="K2626" s="16">
        <f>IF(NOT(Paths!$C$245=1),0,IF(Paths!$P$245="Complete",IF(IF(Paths!$O$245=0,C2626=0,AND(C2626&gt;0,Paths!$O$245&gt;(C2626-1)*12,Paths!$O$245&lt;=C2626*12)),Paths!$N$245,0),"n.a."))</f>
        <v>0</v>
      </c>
      <c r="L2626" s="16">
        <f>IF(NOT(Paths!$C$245=1),0,IF(Paths!$P$245="Complete",IF(C2626=10,Paths!$I$245,0),"n.a."))</f>
        <v>0</v>
      </c>
      <c r="M2626" s="16">
        <f>IF(NOT(Paths!$C$245=1),0,IF(Paths!$P$245="Complete",IF(AND(Paths!$D$245="EV",Paths!$E$245&lt;120,Paths!$E$245+'Operating costs'!$B$65&gt;Paths!$E$245,Paths!$E$245+'Operating costs'!$B$65&lt;=120,IF(Paths!$E$245+'Operating costs'!$B$65=0,C2626=0,AND(C2626&gt;0,Paths!$E$245+'Operating costs'!$B$65&gt;(C2626-1)*12,Paths!$E$245+'Operating costs'!$B$65&lt;=C2626*12))),'Operating costs'!$B$64,0)+IF(AND('Operating costs'!$B$67&gt;0,'Operating costs'!$B$67&lt;=120,OR(Paths!$D$245="ICE",'Operating costs'!$B$67&lt;=Paths!$E$245),IF('Operating costs'!$B$67=0,C2626=0,AND(C2626&gt;0,'Operating costs'!$B$67&gt;(C2626-1)*12,'Operating costs'!$B$67&lt;=C2626*12))),'Operating costs'!$B$66,0),"n.a."))</f>
        <v>0</v>
      </c>
      <c r="N2626" s="16">
        <f>IF(NOT(Paths!$C$245=1),0,IF(Paths!$P$245="Complete",SUM(G2626:I2626)-J2626-K2626-L2626+M2626+IF(C2626=0,Paths!$F$245,0)+IF(IF(Paths!$E$245=0,C2626=0,AND(C2626&gt;0,Paths!$E$245&gt;(C2626-1)*12,Paths!$E$245&lt;=C2626*12)),VLOOKUP(A2626,'Fleet register'!$A$7:$S$106,16,FALSE),0),"n.a."))</f>
        <v>0</v>
      </c>
      <c r="O2626" s="16">
        <f>IF(NOT(Paths!$C$245=1),0,IF(Paths!$P$245="Complete",N2626-IF(C2626=0,Paths!$F$245,0),"n.a."))</f>
        <v>0</v>
      </c>
      <c r="P2626" s="16">
        <f>IF(NOT(Paths!$C$245=1),0,IF(Paths!$P$245="Complete",O2626+L2626,"n.a."))</f>
        <v>0</v>
      </c>
      <c r="Q2626" s="16">
        <f>IF(NOT(Paths!$C$245=1),0,IF(Paths!$P$245="Complete",N2626*(1+'Operating costs'!$B$54)^-C2626,"n.a."))</f>
        <v>0</v>
      </c>
      <c r="R2626" s="16">
        <f>IF(NOT(Paths!$C$245=1),0,IF(Paths!$P$245="Complete",IF(AND(C2626=0,Paths!$E$245=0),I2626-J2626-K2626+VLOOKUP(A2626,'Fleet register'!$A$7:$S$106,15,FALSE)+VLOOKUP(A2626,'Fleet register'!$A$7:$S$106,16,FALSE),0),"n.a."))</f>
        <v>0</v>
      </c>
      <c r="S2626" s="1">
        <f>IF(NOT(Paths!$C$245=1),0,IF(Paths!$P$245="Complete",IF(C2626=0,0,Paths!$S$245*Paths!$R$245),"n.a."))</f>
        <v>0</v>
      </c>
      <c r="T2626" s="1">
        <f>IF(NOT(Paths!$C$245=1),0,IF(Paths!$P$245="Complete",IF(C2626=0,0,VLOOKUP(A2626,'Fleet register'!$A$7:$S$106,9,FALSE)*Paths!$R$245),"n.a."))</f>
        <v>0</v>
      </c>
    </row>
    <row r="2627" spans="1:20" ht="24" customHeight="1">
      <c r="A2627" s="1" t="str">
        <f>Paths!$A$245</f>
        <v>T060</v>
      </c>
      <c r="B2627" s="1">
        <f>Paths!$B$245</f>
        <v>2</v>
      </c>
      <c r="C2627" s="1">
        <v>2</v>
      </c>
      <c r="D2627" s="1">
        <v>245</v>
      </c>
      <c r="E2627" s="1">
        <f>IF(OR(Paths!$C$245=0,C2627=0),0,MAX(0,MIN(C2627*12,Paths!$E$245)-(C2627-1)*12))</f>
        <v>0</v>
      </c>
      <c r="F2627" s="1">
        <f>IF(OR(Paths!$C$245=0,C2627=0),0,12-E2627)</f>
        <v>0</v>
      </c>
      <c r="G2627" s="16">
        <f>IF(NOT(Paths!$C$245=1),0,IF(Paths!$P$245="Complete",E2627/12*(Paths!$J$245*(1+'Operating costs'!$B$51)^MAX(0,C2627-1)+Paths!$K$245*(1+'Operating costs'!$B$53)^MAX(0,C2627-1)),"n.a."))</f>
        <v>0</v>
      </c>
      <c r="H2627" s="16">
        <f>IF(NOT(Paths!$C$245=1),0,IF(Paths!$P$245="Complete",F2627/12*(Paths!$L$245*(1+IF(Paths!$D$245="EV",'Operating costs'!$B$52,'Operating costs'!$B$51))^MAX(0,C2627-1)+Paths!$M$245*(1+'Operating costs'!$B$53)^MAX(0,C2627-1)),"n.a."))</f>
        <v>0</v>
      </c>
      <c r="I2627" s="16">
        <f>IF(NOT(Paths!$C$245=1),0,IF(Paths!$P$245="Complete",IF(IF(Paths!$E$245=0,C2627=0,AND(C2627&gt;0,Paths!$E$245&gt;(C2627-1)*12,Paths!$E$245&lt;=C2627*12)),Paths!$G$245,0),"n.a."))</f>
        <v>0</v>
      </c>
      <c r="J2627" s="16">
        <f>IF(NOT(Paths!$C$245=1),0,IF(Paths!$P$245="Complete",IF(IF(Paths!$E$245=0,C2627=0,AND(C2627&gt;0,Paths!$E$245&gt;(C2627-1)*12,Paths!$E$245&lt;=C2627*12)),Paths!$H$245,0),"n.a."))</f>
        <v>0</v>
      </c>
      <c r="K2627" s="16">
        <f>IF(NOT(Paths!$C$245=1),0,IF(Paths!$P$245="Complete",IF(IF(Paths!$O$245=0,C2627=0,AND(C2627&gt;0,Paths!$O$245&gt;(C2627-1)*12,Paths!$O$245&lt;=C2627*12)),Paths!$N$245,0),"n.a."))</f>
        <v>0</v>
      </c>
      <c r="L2627" s="16">
        <f>IF(NOT(Paths!$C$245=1),0,IF(Paths!$P$245="Complete",IF(C2627=10,Paths!$I$245,0),"n.a."))</f>
        <v>0</v>
      </c>
      <c r="M2627" s="16">
        <f>IF(NOT(Paths!$C$245=1),0,IF(Paths!$P$245="Complete",IF(AND(Paths!$D$245="EV",Paths!$E$245&lt;120,Paths!$E$245+'Operating costs'!$B$65&gt;Paths!$E$245,Paths!$E$245+'Operating costs'!$B$65&lt;=120,IF(Paths!$E$245+'Operating costs'!$B$65=0,C2627=0,AND(C2627&gt;0,Paths!$E$245+'Operating costs'!$B$65&gt;(C2627-1)*12,Paths!$E$245+'Operating costs'!$B$65&lt;=C2627*12))),'Operating costs'!$B$64,0)+IF(AND('Operating costs'!$B$67&gt;0,'Operating costs'!$B$67&lt;=120,OR(Paths!$D$245="ICE",'Operating costs'!$B$67&lt;=Paths!$E$245),IF('Operating costs'!$B$67=0,C2627=0,AND(C2627&gt;0,'Operating costs'!$B$67&gt;(C2627-1)*12,'Operating costs'!$B$67&lt;=C2627*12))),'Operating costs'!$B$66,0),"n.a."))</f>
        <v>0</v>
      </c>
      <c r="N2627" s="16">
        <f>IF(NOT(Paths!$C$245=1),0,IF(Paths!$P$245="Complete",SUM(G2627:I2627)-J2627-K2627-L2627+M2627+IF(C2627=0,Paths!$F$245,0)+IF(IF(Paths!$E$245=0,C2627=0,AND(C2627&gt;0,Paths!$E$245&gt;(C2627-1)*12,Paths!$E$245&lt;=C2627*12)),VLOOKUP(A2627,'Fleet register'!$A$7:$S$106,16,FALSE),0),"n.a."))</f>
        <v>0</v>
      </c>
      <c r="O2627" s="16">
        <f>IF(NOT(Paths!$C$245=1),0,IF(Paths!$P$245="Complete",N2627-IF(C2627=0,Paths!$F$245,0),"n.a."))</f>
        <v>0</v>
      </c>
      <c r="P2627" s="16">
        <f>IF(NOT(Paths!$C$245=1),0,IF(Paths!$P$245="Complete",O2627+L2627,"n.a."))</f>
        <v>0</v>
      </c>
      <c r="Q2627" s="16">
        <f>IF(NOT(Paths!$C$245=1),0,IF(Paths!$P$245="Complete",N2627*(1+'Operating costs'!$B$54)^-C2627,"n.a."))</f>
        <v>0</v>
      </c>
      <c r="R2627" s="16">
        <f>IF(NOT(Paths!$C$245=1),0,IF(Paths!$P$245="Complete",IF(AND(C2627=0,Paths!$E$245=0),I2627-J2627-K2627+VLOOKUP(A2627,'Fleet register'!$A$7:$S$106,15,FALSE)+VLOOKUP(A2627,'Fleet register'!$A$7:$S$106,16,FALSE),0),"n.a."))</f>
        <v>0</v>
      </c>
      <c r="S2627" s="1">
        <f>IF(NOT(Paths!$C$245=1),0,IF(Paths!$P$245="Complete",IF(C2627=0,0,Paths!$S$245*Paths!$R$245),"n.a."))</f>
        <v>0</v>
      </c>
      <c r="T2627" s="1">
        <f>IF(NOT(Paths!$C$245=1),0,IF(Paths!$P$245="Complete",IF(C2627=0,0,VLOOKUP(A2627,'Fleet register'!$A$7:$S$106,9,FALSE)*Paths!$R$245),"n.a."))</f>
        <v>0</v>
      </c>
    </row>
    <row r="2628" spans="1:20" ht="24" customHeight="1">
      <c r="A2628" s="1" t="str">
        <f>Paths!$A$245</f>
        <v>T060</v>
      </c>
      <c r="B2628" s="1">
        <f>Paths!$B$245</f>
        <v>2</v>
      </c>
      <c r="C2628" s="1">
        <v>3</v>
      </c>
      <c r="D2628" s="1">
        <v>245</v>
      </c>
      <c r="E2628" s="1">
        <f>IF(OR(Paths!$C$245=0,C2628=0),0,MAX(0,MIN(C2628*12,Paths!$E$245)-(C2628-1)*12))</f>
        <v>0</v>
      </c>
      <c r="F2628" s="1">
        <f>IF(OR(Paths!$C$245=0,C2628=0),0,12-E2628)</f>
        <v>0</v>
      </c>
      <c r="G2628" s="16">
        <f>IF(NOT(Paths!$C$245=1),0,IF(Paths!$P$245="Complete",E2628/12*(Paths!$J$245*(1+'Operating costs'!$B$51)^MAX(0,C2628-1)+Paths!$K$245*(1+'Operating costs'!$B$53)^MAX(0,C2628-1)),"n.a."))</f>
        <v>0</v>
      </c>
      <c r="H2628" s="16">
        <f>IF(NOT(Paths!$C$245=1),0,IF(Paths!$P$245="Complete",F2628/12*(Paths!$L$245*(1+IF(Paths!$D$245="EV",'Operating costs'!$B$52,'Operating costs'!$B$51))^MAX(0,C2628-1)+Paths!$M$245*(1+'Operating costs'!$B$53)^MAX(0,C2628-1)),"n.a."))</f>
        <v>0</v>
      </c>
      <c r="I2628" s="16">
        <f>IF(NOT(Paths!$C$245=1),0,IF(Paths!$P$245="Complete",IF(IF(Paths!$E$245=0,C2628=0,AND(C2628&gt;0,Paths!$E$245&gt;(C2628-1)*12,Paths!$E$245&lt;=C2628*12)),Paths!$G$245,0),"n.a."))</f>
        <v>0</v>
      </c>
      <c r="J2628" s="16">
        <f>IF(NOT(Paths!$C$245=1),0,IF(Paths!$P$245="Complete",IF(IF(Paths!$E$245=0,C2628=0,AND(C2628&gt;0,Paths!$E$245&gt;(C2628-1)*12,Paths!$E$245&lt;=C2628*12)),Paths!$H$245,0),"n.a."))</f>
        <v>0</v>
      </c>
      <c r="K2628" s="16">
        <f>IF(NOT(Paths!$C$245=1),0,IF(Paths!$P$245="Complete",IF(IF(Paths!$O$245=0,C2628=0,AND(C2628&gt;0,Paths!$O$245&gt;(C2628-1)*12,Paths!$O$245&lt;=C2628*12)),Paths!$N$245,0),"n.a."))</f>
        <v>0</v>
      </c>
      <c r="L2628" s="16">
        <f>IF(NOT(Paths!$C$245=1),0,IF(Paths!$P$245="Complete",IF(C2628=10,Paths!$I$245,0),"n.a."))</f>
        <v>0</v>
      </c>
      <c r="M2628" s="16">
        <f>IF(NOT(Paths!$C$245=1),0,IF(Paths!$P$245="Complete",IF(AND(Paths!$D$245="EV",Paths!$E$245&lt;120,Paths!$E$245+'Operating costs'!$B$65&gt;Paths!$E$245,Paths!$E$245+'Operating costs'!$B$65&lt;=120,IF(Paths!$E$245+'Operating costs'!$B$65=0,C2628=0,AND(C2628&gt;0,Paths!$E$245+'Operating costs'!$B$65&gt;(C2628-1)*12,Paths!$E$245+'Operating costs'!$B$65&lt;=C2628*12))),'Operating costs'!$B$64,0)+IF(AND('Operating costs'!$B$67&gt;0,'Operating costs'!$B$67&lt;=120,OR(Paths!$D$245="ICE",'Operating costs'!$B$67&lt;=Paths!$E$245),IF('Operating costs'!$B$67=0,C2628=0,AND(C2628&gt;0,'Operating costs'!$B$67&gt;(C2628-1)*12,'Operating costs'!$B$67&lt;=C2628*12))),'Operating costs'!$B$66,0),"n.a."))</f>
        <v>0</v>
      </c>
      <c r="N2628" s="16">
        <f>IF(NOT(Paths!$C$245=1),0,IF(Paths!$P$245="Complete",SUM(G2628:I2628)-J2628-K2628-L2628+M2628+IF(C2628=0,Paths!$F$245,0)+IF(IF(Paths!$E$245=0,C2628=0,AND(C2628&gt;0,Paths!$E$245&gt;(C2628-1)*12,Paths!$E$245&lt;=C2628*12)),VLOOKUP(A2628,'Fleet register'!$A$7:$S$106,16,FALSE),0),"n.a."))</f>
        <v>0</v>
      </c>
      <c r="O2628" s="16">
        <f>IF(NOT(Paths!$C$245=1),0,IF(Paths!$P$245="Complete",N2628-IF(C2628=0,Paths!$F$245,0),"n.a."))</f>
        <v>0</v>
      </c>
      <c r="P2628" s="16">
        <f>IF(NOT(Paths!$C$245=1),0,IF(Paths!$P$245="Complete",O2628+L2628,"n.a."))</f>
        <v>0</v>
      </c>
      <c r="Q2628" s="16">
        <f>IF(NOT(Paths!$C$245=1),0,IF(Paths!$P$245="Complete",N2628*(1+'Operating costs'!$B$54)^-C2628,"n.a."))</f>
        <v>0</v>
      </c>
      <c r="R2628" s="16">
        <f>IF(NOT(Paths!$C$245=1),0,IF(Paths!$P$245="Complete",IF(AND(C2628=0,Paths!$E$245=0),I2628-J2628-K2628+VLOOKUP(A2628,'Fleet register'!$A$7:$S$106,15,FALSE)+VLOOKUP(A2628,'Fleet register'!$A$7:$S$106,16,FALSE),0),"n.a."))</f>
        <v>0</v>
      </c>
      <c r="S2628" s="1">
        <f>IF(NOT(Paths!$C$245=1),0,IF(Paths!$P$245="Complete",IF(C2628=0,0,Paths!$S$245*Paths!$R$245),"n.a."))</f>
        <v>0</v>
      </c>
      <c r="T2628" s="1">
        <f>IF(NOT(Paths!$C$245=1),0,IF(Paths!$P$245="Complete",IF(C2628=0,0,VLOOKUP(A2628,'Fleet register'!$A$7:$S$106,9,FALSE)*Paths!$R$245),"n.a."))</f>
        <v>0</v>
      </c>
    </row>
    <row r="2629" spans="1:20" ht="24" customHeight="1">
      <c r="A2629" s="1" t="str">
        <f>Paths!$A$245</f>
        <v>T060</v>
      </c>
      <c r="B2629" s="1">
        <f>Paths!$B$245</f>
        <v>2</v>
      </c>
      <c r="C2629" s="1">
        <v>4</v>
      </c>
      <c r="D2629" s="1">
        <v>245</v>
      </c>
      <c r="E2629" s="1">
        <f>IF(OR(Paths!$C$245=0,C2629=0),0,MAX(0,MIN(C2629*12,Paths!$E$245)-(C2629-1)*12))</f>
        <v>0</v>
      </c>
      <c r="F2629" s="1">
        <f>IF(OR(Paths!$C$245=0,C2629=0),0,12-E2629)</f>
        <v>0</v>
      </c>
      <c r="G2629" s="16">
        <f>IF(NOT(Paths!$C$245=1),0,IF(Paths!$P$245="Complete",E2629/12*(Paths!$J$245*(1+'Operating costs'!$B$51)^MAX(0,C2629-1)+Paths!$K$245*(1+'Operating costs'!$B$53)^MAX(0,C2629-1)),"n.a."))</f>
        <v>0</v>
      </c>
      <c r="H2629" s="16">
        <f>IF(NOT(Paths!$C$245=1),0,IF(Paths!$P$245="Complete",F2629/12*(Paths!$L$245*(1+IF(Paths!$D$245="EV",'Operating costs'!$B$52,'Operating costs'!$B$51))^MAX(0,C2629-1)+Paths!$M$245*(1+'Operating costs'!$B$53)^MAX(0,C2629-1)),"n.a."))</f>
        <v>0</v>
      </c>
      <c r="I2629" s="16">
        <f>IF(NOT(Paths!$C$245=1),0,IF(Paths!$P$245="Complete",IF(IF(Paths!$E$245=0,C2629=0,AND(C2629&gt;0,Paths!$E$245&gt;(C2629-1)*12,Paths!$E$245&lt;=C2629*12)),Paths!$G$245,0),"n.a."))</f>
        <v>0</v>
      </c>
      <c r="J2629" s="16">
        <f>IF(NOT(Paths!$C$245=1),0,IF(Paths!$P$245="Complete",IF(IF(Paths!$E$245=0,C2629=0,AND(C2629&gt;0,Paths!$E$245&gt;(C2629-1)*12,Paths!$E$245&lt;=C2629*12)),Paths!$H$245,0),"n.a."))</f>
        <v>0</v>
      </c>
      <c r="K2629" s="16">
        <f>IF(NOT(Paths!$C$245=1),0,IF(Paths!$P$245="Complete",IF(IF(Paths!$O$245=0,C2629=0,AND(C2629&gt;0,Paths!$O$245&gt;(C2629-1)*12,Paths!$O$245&lt;=C2629*12)),Paths!$N$245,0),"n.a."))</f>
        <v>0</v>
      </c>
      <c r="L2629" s="16">
        <f>IF(NOT(Paths!$C$245=1),0,IF(Paths!$P$245="Complete",IF(C2629=10,Paths!$I$245,0),"n.a."))</f>
        <v>0</v>
      </c>
      <c r="M2629" s="16">
        <f>IF(NOT(Paths!$C$245=1),0,IF(Paths!$P$245="Complete",IF(AND(Paths!$D$245="EV",Paths!$E$245&lt;120,Paths!$E$245+'Operating costs'!$B$65&gt;Paths!$E$245,Paths!$E$245+'Operating costs'!$B$65&lt;=120,IF(Paths!$E$245+'Operating costs'!$B$65=0,C2629=0,AND(C2629&gt;0,Paths!$E$245+'Operating costs'!$B$65&gt;(C2629-1)*12,Paths!$E$245+'Operating costs'!$B$65&lt;=C2629*12))),'Operating costs'!$B$64,0)+IF(AND('Operating costs'!$B$67&gt;0,'Operating costs'!$B$67&lt;=120,OR(Paths!$D$245="ICE",'Operating costs'!$B$67&lt;=Paths!$E$245),IF('Operating costs'!$B$67=0,C2629=0,AND(C2629&gt;0,'Operating costs'!$B$67&gt;(C2629-1)*12,'Operating costs'!$B$67&lt;=C2629*12))),'Operating costs'!$B$66,0),"n.a."))</f>
        <v>0</v>
      </c>
      <c r="N2629" s="16">
        <f>IF(NOT(Paths!$C$245=1),0,IF(Paths!$P$245="Complete",SUM(G2629:I2629)-J2629-K2629-L2629+M2629+IF(C2629=0,Paths!$F$245,0)+IF(IF(Paths!$E$245=0,C2629=0,AND(C2629&gt;0,Paths!$E$245&gt;(C2629-1)*12,Paths!$E$245&lt;=C2629*12)),VLOOKUP(A2629,'Fleet register'!$A$7:$S$106,16,FALSE),0),"n.a."))</f>
        <v>0</v>
      </c>
      <c r="O2629" s="16">
        <f>IF(NOT(Paths!$C$245=1),0,IF(Paths!$P$245="Complete",N2629-IF(C2629=0,Paths!$F$245,0),"n.a."))</f>
        <v>0</v>
      </c>
      <c r="P2629" s="16">
        <f>IF(NOT(Paths!$C$245=1),0,IF(Paths!$P$245="Complete",O2629+L2629,"n.a."))</f>
        <v>0</v>
      </c>
      <c r="Q2629" s="16">
        <f>IF(NOT(Paths!$C$245=1),0,IF(Paths!$P$245="Complete",N2629*(1+'Operating costs'!$B$54)^-C2629,"n.a."))</f>
        <v>0</v>
      </c>
      <c r="R2629" s="16">
        <f>IF(NOT(Paths!$C$245=1),0,IF(Paths!$P$245="Complete",IF(AND(C2629=0,Paths!$E$245=0),I2629-J2629-K2629+VLOOKUP(A2629,'Fleet register'!$A$7:$S$106,15,FALSE)+VLOOKUP(A2629,'Fleet register'!$A$7:$S$106,16,FALSE),0),"n.a."))</f>
        <v>0</v>
      </c>
      <c r="S2629" s="1">
        <f>IF(NOT(Paths!$C$245=1),0,IF(Paths!$P$245="Complete",IF(C2629=0,0,Paths!$S$245*Paths!$R$245),"n.a."))</f>
        <v>0</v>
      </c>
      <c r="T2629" s="1">
        <f>IF(NOT(Paths!$C$245=1),0,IF(Paths!$P$245="Complete",IF(C2629=0,0,VLOOKUP(A2629,'Fleet register'!$A$7:$S$106,9,FALSE)*Paths!$R$245),"n.a."))</f>
        <v>0</v>
      </c>
    </row>
    <row r="2630" spans="1:20" ht="24" customHeight="1">
      <c r="A2630" s="1" t="str">
        <f>Paths!$A$245</f>
        <v>T060</v>
      </c>
      <c r="B2630" s="1">
        <f>Paths!$B$245</f>
        <v>2</v>
      </c>
      <c r="C2630" s="1">
        <v>5</v>
      </c>
      <c r="D2630" s="1">
        <v>245</v>
      </c>
      <c r="E2630" s="1">
        <f>IF(OR(Paths!$C$245=0,C2630=0),0,MAX(0,MIN(C2630*12,Paths!$E$245)-(C2630-1)*12))</f>
        <v>0</v>
      </c>
      <c r="F2630" s="1">
        <f>IF(OR(Paths!$C$245=0,C2630=0),0,12-E2630)</f>
        <v>0</v>
      </c>
      <c r="G2630" s="16">
        <f>IF(NOT(Paths!$C$245=1),0,IF(Paths!$P$245="Complete",E2630/12*(Paths!$J$245*(1+'Operating costs'!$B$51)^MAX(0,C2630-1)+Paths!$K$245*(1+'Operating costs'!$B$53)^MAX(0,C2630-1)),"n.a."))</f>
        <v>0</v>
      </c>
      <c r="H2630" s="16">
        <f>IF(NOT(Paths!$C$245=1),0,IF(Paths!$P$245="Complete",F2630/12*(Paths!$L$245*(1+IF(Paths!$D$245="EV",'Operating costs'!$B$52,'Operating costs'!$B$51))^MAX(0,C2630-1)+Paths!$M$245*(1+'Operating costs'!$B$53)^MAX(0,C2630-1)),"n.a."))</f>
        <v>0</v>
      </c>
      <c r="I2630" s="16">
        <f>IF(NOT(Paths!$C$245=1),0,IF(Paths!$P$245="Complete",IF(IF(Paths!$E$245=0,C2630=0,AND(C2630&gt;0,Paths!$E$245&gt;(C2630-1)*12,Paths!$E$245&lt;=C2630*12)),Paths!$G$245,0),"n.a."))</f>
        <v>0</v>
      </c>
      <c r="J2630" s="16">
        <f>IF(NOT(Paths!$C$245=1),0,IF(Paths!$P$245="Complete",IF(IF(Paths!$E$245=0,C2630=0,AND(C2630&gt;0,Paths!$E$245&gt;(C2630-1)*12,Paths!$E$245&lt;=C2630*12)),Paths!$H$245,0),"n.a."))</f>
        <v>0</v>
      </c>
      <c r="K2630" s="16">
        <f>IF(NOT(Paths!$C$245=1),0,IF(Paths!$P$245="Complete",IF(IF(Paths!$O$245=0,C2630=0,AND(C2630&gt;0,Paths!$O$245&gt;(C2630-1)*12,Paths!$O$245&lt;=C2630*12)),Paths!$N$245,0),"n.a."))</f>
        <v>0</v>
      </c>
      <c r="L2630" s="16">
        <f>IF(NOT(Paths!$C$245=1),0,IF(Paths!$P$245="Complete",IF(C2630=10,Paths!$I$245,0),"n.a."))</f>
        <v>0</v>
      </c>
      <c r="M2630" s="16">
        <f>IF(NOT(Paths!$C$245=1),0,IF(Paths!$P$245="Complete",IF(AND(Paths!$D$245="EV",Paths!$E$245&lt;120,Paths!$E$245+'Operating costs'!$B$65&gt;Paths!$E$245,Paths!$E$245+'Operating costs'!$B$65&lt;=120,IF(Paths!$E$245+'Operating costs'!$B$65=0,C2630=0,AND(C2630&gt;0,Paths!$E$245+'Operating costs'!$B$65&gt;(C2630-1)*12,Paths!$E$245+'Operating costs'!$B$65&lt;=C2630*12))),'Operating costs'!$B$64,0)+IF(AND('Operating costs'!$B$67&gt;0,'Operating costs'!$B$67&lt;=120,OR(Paths!$D$245="ICE",'Operating costs'!$B$67&lt;=Paths!$E$245),IF('Operating costs'!$B$67=0,C2630=0,AND(C2630&gt;0,'Operating costs'!$B$67&gt;(C2630-1)*12,'Operating costs'!$B$67&lt;=C2630*12))),'Operating costs'!$B$66,0),"n.a."))</f>
        <v>0</v>
      </c>
      <c r="N2630" s="16">
        <f>IF(NOT(Paths!$C$245=1),0,IF(Paths!$P$245="Complete",SUM(G2630:I2630)-J2630-K2630-L2630+M2630+IF(C2630=0,Paths!$F$245,0)+IF(IF(Paths!$E$245=0,C2630=0,AND(C2630&gt;0,Paths!$E$245&gt;(C2630-1)*12,Paths!$E$245&lt;=C2630*12)),VLOOKUP(A2630,'Fleet register'!$A$7:$S$106,16,FALSE),0),"n.a."))</f>
        <v>0</v>
      </c>
      <c r="O2630" s="16">
        <f>IF(NOT(Paths!$C$245=1),0,IF(Paths!$P$245="Complete",N2630-IF(C2630=0,Paths!$F$245,0),"n.a."))</f>
        <v>0</v>
      </c>
      <c r="P2630" s="16">
        <f>IF(NOT(Paths!$C$245=1),0,IF(Paths!$P$245="Complete",O2630+L2630,"n.a."))</f>
        <v>0</v>
      </c>
      <c r="Q2630" s="16">
        <f>IF(NOT(Paths!$C$245=1),0,IF(Paths!$P$245="Complete",N2630*(1+'Operating costs'!$B$54)^-C2630,"n.a."))</f>
        <v>0</v>
      </c>
      <c r="R2630" s="16">
        <f>IF(NOT(Paths!$C$245=1),0,IF(Paths!$P$245="Complete",IF(AND(C2630=0,Paths!$E$245=0),I2630-J2630-K2630+VLOOKUP(A2630,'Fleet register'!$A$7:$S$106,15,FALSE)+VLOOKUP(A2630,'Fleet register'!$A$7:$S$106,16,FALSE),0),"n.a."))</f>
        <v>0</v>
      </c>
      <c r="S2630" s="1">
        <f>IF(NOT(Paths!$C$245=1),0,IF(Paths!$P$245="Complete",IF(C2630=0,0,Paths!$S$245*Paths!$R$245),"n.a."))</f>
        <v>0</v>
      </c>
      <c r="T2630" s="1">
        <f>IF(NOT(Paths!$C$245=1),0,IF(Paths!$P$245="Complete",IF(C2630=0,0,VLOOKUP(A2630,'Fleet register'!$A$7:$S$106,9,FALSE)*Paths!$R$245),"n.a."))</f>
        <v>0</v>
      </c>
    </row>
    <row r="2631" spans="1:20" ht="24" customHeight="1">
      <c r="A2631" s="1" t="str">
        <f>Paths!$A$245</f>
        <v>T060</v>
      </c>
      <c r="B2631" s="1">
        <f>Paths!$B$245</f>
        <v>2</v>
      </c>
      <c r="C2631" s="1">
        <v>6</v>
      </c>
      <c r="D2631" s="1">
        <v>245</v>
      </c>
      <c r="E2631" s="1">
        <f>IF(OR(Paths!$C$245=0,C2631=0),0,MAX(0,MIN(C2631*12,Paths!$E$245)-(C2631-1)*12))</f>
        <v>0</v>
      </c>
      <c r="F2631" s="1">
        <f>IF(OR(Paths!$C$245=0,C2631=0),0,12-E2631)</f>
        <v>0</v>
      </c>
      <c r="G2631" s="16">
        <f>IF(NOT(Paths!$C$245=1),0,IF(Paths!$P$245="Complete",E2631/12*(Paths!$J$245*(1+'Operating costs'!$B$51)^MAX(0,C2631-1)+Paths!$K$245*(1+'Operating costs'!$B$53)^MAX(0,C2631-1)),"n.a."))</f>
        <v>0</v>
      </c>
      <c r="H2631" s="16">
        <f>IF(NOT(Paths!$C$245=1),0,IF(Paths!$P$245="Complete",F2631/12*(Paths!$L$245*(1+IF(Paths!$D$245="EV",'Operating costs'!$B$52,'Operating costs'!$B$51))^MAX(0,C2631-1)+Paths!$M$245*(1+'Operating costs'!$B$53)^MAX(0,C2631-1)),"n.a."))</f>
        <v>0</v>
      </c>
      <c r="I2631" s="16">
        <f>IF(NOT(Paths!$C$245=1),0,IF(Paths!$P$245="Complete",IF(IF(Paths!$E$245=0,C2631=0,AND(C2631&gt;0,Paths!$E$245&gt;(C2631-1)*12,Paths!$E$245&lt;=C2631*12)),Paths!$G$245,0),"n.a."))</f>
        <v>0</v>
      </c>
      <c r="J2631" s="16">
        <f>IF(NOT(Paths!$C$245=1),0,IF(Paths!$P$245="Complete",IF(IF(Paths!$E$245=0,C2631=0,AND(C2631&gt;0,Paths!$E$245&gt;(C2631-1)*12,Paths!$E$245&lt;=C2631*12)),Paths!$H$245,0),"n.a."))</f>
        <v>0</v>
      </c>
      <c r="K2631" s="16">
        <f>IF(NOT(Paths!$C$245=1),0,IF(Paths!$P$245="Complete",IF(IF(Paths!$O$245=0,C2631=0,AND(C2631&gt;0,Paths!$O$245&gt;(C2631-1)*12,Paths!$O$245&lt;=C2631*12)),Paths!$N$245,0),"n.a."))</f>
        <v>0</v>
      </c>
      <c r="L2631" s="16">
        <f>IF(NOT(Paths!$C$245=1),0,IF(Paths!$P$245="Complete",IF(C2631=10,Paths!$I$245,0),"n.a."))</f>
        <v>0</v>
      </c>
      <c r="M2631" s="16">
        <f>IF(NOT(Paths!$C$245=1),0,IF(Paths!$P$245="Complete",IF(AND(Paths!$D$245="EV",Paths!$E$245&lt;120,Paths!$E$245+'Operating costs'!$B$65&gt;Paths!$E$245,Paths!$E$245+'Operating costs'!$B$65&lt;=120,IF(Paths!$E$245+'Operating costs'!$B$65=0,C2631=0,AND(C2631&gt;0,Paths!$E$245+'Operating costs'!$B$65&gt;(C2631-1)*12,Paths!$E$245+'Operating costs'!$B$65&lt;=C2631*12))),'Operating costs'!$B$64,0)+IF(AND('Operating costs'!$B$67&gt;0,'Operating costs'!$B$67&lt;=120,OR(Paths!$D$245="ICE",'Operating costs'!$B$67&lt;=Paths!$E$245),IF('Operating costs'!$B$67=0,C2631=0,AND(C2631&gt;0,'Operating costs'!$B$67&gt;(C2631-1)*12,'Operating costs'!$B$67&lt;=C2631*12))),'Operating costs'!$B$66,0),"n.a."))</f>
        <v>0</v>
      </c>
      <c r="N2631" s="16">
        <f>IF(NOT(Paths!$C$245=1),0,IF(Paths!$P$245="Complete",SUM(G2631:I2631)-J2631-K2631-L2631+M2631+IF(C2631=0,Paths!$F$245,0)+IF(IF(Paths!$E$245=0,C2631=0,AND(C2631&gt;0,Paths!$E$245&gt;(C2631-1)*12,Paths!$E$245&lt;=C2631*12)),VLOOKUP(A2631,'Fleet register'!$A$7:$S$106,16,FALSE),0),"n.a."))</f>
        <v>0</v>
      </c>
      <c r="O2631" s="16">
        <f>IF(NOT(Paths!$C$245=1),0,IF(Paths!$P$245="Complete",N2631-IF(C2631=0,Paths!$F$245,0),"n.a."))</f>
        <v>0</v>
      </c>
      <c r="P2631" s="16">
        <f>IF(NOT(Paths!$C$245=1),0,IF(Paths!$P$245="Complete",O2631+L2631,"n.a."))</f>
        <v>0</v>
      </c>
      <c r="Q2631" s="16">
        <f>IF(NOT(Paths!$C$245=1),0,IF(Paths!$P$245="Complete",N2631*(1+'Operating costs'!$B$54)^-C2631,"n.a."))</f>
        <v>0</v>
      </c>
      <c r="R2631" s="16">
        <f>IF(NOT(Paths!$C$245=1),0,IF(Paths!$P$245="Complete",IF(AND(C2631=0,Paths!$E$245=0),I2631-J2631-K2631+VLOOKUP(A2631,'Fleet register'!$A$7:$S$106,15,FALSE)+VLOOKUP(A2631,'Fleet register'!$A$7:$S$106,16,FALSE),0),"n.a."))</f>
        <v>0</v>
      </c>
      <c r="S2631" s="1">
        <f>IF(NOT(Paths!$C$245=1),0,IF(Paths!$P$245="Complete",IF(C2631=0,0,Paths!$S$245*Paths!$R$245),"n.a."))</f>
        <v>0</v>
      </c>
      <c r="T2631" s="1">
        <f>IF(NOT(Paths!$C$245=1),0,IF(Paths!$P$245="Complete",IF(C2631=0,0,VLOOKUP(A2631,'Fleet register'!$A$7:$S$106,9,FALSE)*Paths!$R$245),"n.a."))</f>
        <v>0</v>
      </c>
    </row>
    <row r="2632" spans="1:20" ht="24" customHeight="1">
      <c r="A2632" s="1" t="str">
        <f>Paths!$A$245</f>
        <v>T060</v>
      </c>
      <c r="B2632" s="1">
        <f>Paths!$B$245</f>
        <v>2</v>
      </c>
      <c r="C2632" s="1">
        <v>7</v>
      </c>
      <c r="D2632" s="1">
        <v>245</v>
      </c>
      <c r="E2632" s="1">
        <f>IF(OR(Paths!$C$245=0,C2632=0),0,MAX(0,MIN(C2632*12,Paths!$E$245)-(C2632-1)*12))</f>
        <v>0</v>
      </c>
      <c r="F2632" s="1">
        <f>IF(OR(Paths!$C$245=0,C2632=0),0,12-E2632)</f>
        <v>0</v>
      </c>
      <c r="G2632" s="16">
        <f>IF(NOT(Paths!$C$245=1),0,IF(Paths!$P$245="Complete",E2632/12*(Paths!$J$245*(1+'Operating costs'!$B$51)^MAX(0,C2632-1)+Paths!$K$245*(1+'Operating costs'!$B$53)^MAX(0,C2632-1)),"n.a."))</f>
        <v>0</v>
      </c>
      <c r="H2632" s="16">
        <f>IF(NOT(Paths!$C$245=1),0,IF(Paths!$P$245="Complete",F2632/12*(Paths!$L$245*(1+IF(Paths!$D$245="EV",'Operating costs'!$B$52,'Operating costs'!$B$51))^MAX(0,C2632-1)+Paths!$M$245*(1+'Operating costs'!$B$53)^MAX(0,C2632-1)),"n.a."))</f>
        <v>0</v>
      </c>
      <c r="I2632" s="16">
        <f>IF(NOT(Paths!$C$245=1),0,IF(Paths!$P$245="Complete",IF(IF(Paths!$E$245=0,C2632=0,AND(C2632&gt;0,Paths!$E$245&gt;(C2632-1)*12,Paths!$E$245&lt;=C2632*12)),Paths!$G$245,0),"n.a."))</f>
        <v>0</v>
      </c>
      <c r="J2632" s="16">
        <f>IF(NOT(Paths!$C$245=1),0,IF(Paths!$P$245="Complete",IF(IF(Paths!$E$245=0,C2632=0,AND(C2632&gt;0,Paths!$E$245&gt;(C2632-1)*12,Paths!$E$245&lt;=C2632*12)),Paths!$H$245,0),"n.a."))</f>
        <v>0</v>
      </c>
      <c r="K2632" s="16">
        <f>IF(NOT(Paths!$C$245=1),0,IF(Paths!$P$245="Complete",IF(IF(Paths!$O$245=0,C2632=0,AND(C2632&gt;0,Paths!$O$245&gt;(C2632-1)*12,Paths!$O$245&lt;=C2632*12)),Paths!$N$245,0),"n.a."))</f>
        <v>0</v>
      </c>
      <c r="L2632" s="16">
        <f>IF(NOT(Paths!$C$245=1),0,IF(Paths!$P$245="Complete",IF(C2632=10,Paths!$I$245,0),"n.a."))</f>
        <v>0</v>
      </c>
      <c r="M2632" s="16">
        <f>IF(NOT(Paths!$C$245=1),0,IF(Paths!$P$245="Complete",IF(AND(Paths!$D$245="EV",Paths!$E$245&lt;120,Paths!$E$245+'Operating costs'!$B$65&gt;Paths!$E$245,Paths!$E$245+'Operating costs'!$B$65&lt;=120,IF(Paths!$E$245+'Operating costs'!$B$65=0,C2632=0,AND(C2632&gt;0,Paths!$E$245+'Operating costs'!$B$65&gt;(C2632-1)*12,Paths!$E$245+'Operating costs'!$B$65&lt;=C2632*12))),'Operating costs'!$B$64,0)+IF(AND('Operating costs'!$B$67&gt;0,'Operating costs'!$B$67&lt;=120,OR(Paths!$D$245="ICE",'Operating costs'!$B$67&lt;=Paths!$E$245),IF('Operating costs'!$B$67=0,C2632=0,AND(C2632&gt;0,'Operating costs'!$B$67&gt;(C2632-1)*12,'Operating costs'!$B$67&lt;=C2632*12))),'Operating costs'!$B$66,0),"n.a."))</f>
        <v>0</v>
      </c>
      <c r="N2632" s="16">
        <f>IF(NOT(Paths!$C$245=1),0,IF(Paths!$P$245="Complete",SUM(G2632:I2632)-J2632-K2632-L2632+M2632+IF(C2632=0,Paths!$F$245,0)+IF(IF(Paths!$E$245=0,C2632=0,AND(C2632&gt;0,Paths!$E$245&gt;(C2632-1)*12,Paths!$E$245&lt;=C2632*12)),VLOOKUP(A2632,'Fleet register'!$A$7:$S$106,16,FALSE),0),"n.a."))</f>
        <v>0</v>
      </c>
      <c r="O2632" s="16">
        <f>IF(NOT(Paths!$C$245=1),0,IF(Paths!$P$245="Complete",N2632-IF(C2632=0,Paths!$F$245,0),"n.a."))</f>
        <v>0</v>
      </c>
      <c r="P2632" s="16">
        <f>IF(NOT(Paths!$C$245=1),0,IF(Paths!$P$245="Complete",O2632+L2632,"n.a."))</f>
        <v>0</v>
      </c>
      <c r="Q2632" s="16">
        <f>IF(NOT(Paths!$C$245=1),0,IF(Paths!$P$245="Complete",N2632*(1+'Operating costs'!$B$54)^-C2632,"n.a."))</f>
        <v>0</v>
      </c>
      <c r="R2632" s="16">
        <f>IF(NOT(Paths!$C$245=1),0,IF(Paths!$P$245="Complete",IF(AND(C2632=0,Paths!$E$245=0),I2632-J2632-K2632+VLOOKUP(A2632,'Fleet register'!$A$7:$S$106,15,FALSE)+VLOOKUP(A2632,'Fleet register'!$A$7:$S$106,16,FALSE),0),"n.a."))</f>
        <v>0</v>
      </c>
      <c r="S2632" s="1">
        <f>IF(NOT(Paths!$C$245=1),0,IF(Paths!$P$245="Complete",IF(C2632=0,0,Paths!$S$245*Paths!$R$245),"n.a."))</f>
        <v>0</v>
      </c>
      <c r="T2632" s="1">
        <f>IF(NOT(Paths!$C$245=1),0,IF(Paths!$P$245="Complete",IF(C2632=0,0,VLOOKUP(A2632,'Fleet register'!$A$7:$S$106,9,FALSE)*Paths!$R$245),"n.a."))</f>
        <v>0</v>
      </c>
    </row>
    <row r="2633" spans="1:20" ht="24" customHeight="1">
      <c r="A2633" s="1" t="str">
        <f>Paths!$A$245</f>
        <v>T060</v>
      </c>
      <c r="B2633" s="1">
        <f>Paths!$B$245</f>
        <v>2</v>
      </c>
      <c r="C2633" s="1">
        <v>8</v>
      </c>
      <c r="D2633" s="1">
        <v>245</v>
      </c>
      <c r="E2633" s="1">
        <f>IF(OR(Paths!$C$245=0,C2633=0),0,MAX(0,MIN(C2633*12,Paths!$E$245)-(C2633-1)*12))</f>
        <v>0</v>
      </c>
      <c r="F2633" s="1">
        <f>IF(OR(Paths!$C$245=0,C2633=0),0,12-E2633)</f>
        <v>0</v>
      </c>
      <c r="G2633" s="16">
        <f>IF(NOT(Paths!$C$245=1),0,IF(Paths!$P$245="Complete",E2633/12*(Paths!$J$245*(1+'Operating costs'!$B$51)^MAX(0,C2633-1)+Paths!$K$245*(1+'Operating costs'!$B$53)^MAX(0,C2633-1)),"n.a."))</f>
        <v>0</v>
      </c>
      <c r="H2633" s="16">
        <f>IF(NOT(Paths!$C$245=1),0,IF(Paths!$P$245="Complete",F2633/12*(Paths!$L$245*(1+IF(Paths!$D$245="EV",'Operating costs'!$B$52,'Operating costs'!$B$51))^MAX(0,C2633-1)+Paths!$M$245*(1+'Operating costs'!$B$53)^MAX(0,C2633-1)),"n.a."))</f>
        <v>0</v>
      </c>
      <c r="I2633" s="16">
        <f>IF(NOT(Paths!$C$245=1),0,IF(Paths!$P$245="Complete",IF(IF(Paths!$E$245=0,C2633=0,AND(C2633&gt;0,Paths!$E$245&gt;(C2633-1)*12,Paths!$E$245&lt;=C2633*12)),Paths!$G$245,0),"n.a."))</f>
        <v>0</v>
      </c>
      <c r="J2633" s="16">
        <f>IF(NOT(Paths!$C$245=1),0,IF(Paths!$P$245="Complete",IF(IF(Paths!$E$245=0,C2633=0,AND(C2633&gt;0,Paths!$E$245&gt;(C2633-1)*12,Paths!$E$245&lt;=C2633*12)),Paths!$H$245,0),"n.a."))</f>
        <v>0</v>
      </c>
      <c r="K2633" s="16">
        <f>IF(NOT(Paths!$C$245=1),0,IF(Paths!$P$245="Complete",IF(IF(Paths!$O$245=0,C2633=0,AND(C2633&gt;0,Paths!$O$245&gt;(C2633-1)*12,Paths!$O$245&lt;=C2633*12)),Paths!$N$245,0),"n.a."))</f>
        <v>0</v>
      </c>
      <c r="L2633" s="16">
        <f>IF(NOT(Paths!$C$245=1),0,IF(Paths!$P$245="Complete",IF(C2633=10,Paths!$I$245,0),"n.a."))</f>
        <v>0</v>
      </c>
      <c r="M2633" s="16">
        <f>IF(NOT(Paths!$C$245=1),0,IF(Paths!$P$245="Complete",IF(AND(Paths!$D$245="EV",Paths!$E$245&lt;120,Paths!$E$245+'Operating costs'!$B$65&gt;Paths!$E$245,Paths!$E$245+'Operating costs'!$B$65&lt;=120,IF(Paths!$E$245+'Operating costs'!$B$65=0,C2633=0,AND(C2633&gt;0,Paths!$E$245+'Operating costs'!$B$65&gt;(C2633-1)*12,Paths!$E$245+'Operating costs'!$B$65&lt;=C2633*12))),'Operating costs'!$B$64,0)+IF(AND('Operating costs'!$B$67&gt;0,'Operating costs'!$B$67&lt;=120,OR(Paths!$D$245="ICE",'Operating costs'!$B$67&lt;=Paths!$E$245),IF('Operating costs'!$B$67=0,C2633=0,AND(C2633&gt;0,'Operating costs'!$B$67&gt;(C2633-1)*12,'Operating costs'!$B$67&lt;=C2633*12))),'Operating costs'!$B$66,0),"n.a."))</f>
        <v>0</v>
      </c>
      <c r="N2633" s="16">
        <f>IF(NOT(Paths!$C$245=1),0,IF(Paths!$P$245="Complete",SUM(G2633:I2633)-J2633-K2633-L2633+M2633+IF(C2633=0,Paths!$F$245,0)+IF(IF(Paths!$E$245=0,C2633=0,AND(C2633&gt;0,Paths!$E$245&gt;(C2633-1)*12,Paths!$E$245&lt;=C2633*12)),VLOOKUP(A2633,'Fleet register'!$A$7:$S$106,16,FALSE),0),"n.a."))</f>
        <v>0</v>
      </c>
      <c r="O2633" s="16">
        <f>IF(NOT(Paths!$C$245=1),0,IF(Paths!$P$245="Complete",N2633-IF(C2633=0,Paths!$F$245,0),"n.a."))</f>
        <v>0</v>
      </c>
      <c r="P2633" s="16">
        <f>IF(NOT(Paths!$C$245=1),0,IF(Paths!$P$245="Complete",O2633+L2633,"n.a."))</f>
        <v>0</v>
      </c>
      <c r="Q2633" s="16">
        <f>IF(NOT(Paths!$C$245=1),0,IF(Paths!$P$245="Complete",N2633*(1+'Operating costs'!$B$54)^-C2633,"n.a."))</f>
        <v>0</v>
      </c>
      <c r="R2633" s="16">
        <f>IF(NOT(Paths!$C$245=1),0,IF(Paths!$P$245="Complete",IF(AND(C2633=0,Paths!$E$245=0),I2633-J2633-K2633+VLOOKUP(A2633,'Fleet register'!$A$7:$S$106,15,FALSE)+VLOOKUP(A2633,'Fleet register'!$A$7:$S$106,16,FALSE),0),"n.a."))</f>
        <v>0</v>
      </c>
      <c r="S2633" s="1">
        <f>IF(NOT(Paths!$C$245=1),0,IF(Paths!$P$245="Complete",IF(C2633=0,0,Paths!$S$245*Paths!$R$245),"n.a."))</f>
        <v>0</v>
      </c>
      <c r="T2633" s="1">
        <f>IF(NOT(Paths!$C$245=1),0,IF(Paths!$P$245="Complete",IF(C2633=0,0,VLOOKUP(A2633,'Fleet register'!$A$7:$S$106,9,FALSE)*Paths!$R$245),"n.a."))</f>
        <v>0</v>
      </c>
    </row>
    <row r="2634" spans="1:20" ht="24" customHeight="1">
      <c r="A2634" s="1" t="str">
        <f>Paths!$A$245</f>
        <v>T060</v>
      </c>
      <c r="B2634" s="1">
        <f>Paths!$B$245</f>
        <v>2</v>
      </c>
      <c r="C2634" s="1">
        <v>9</v>
      </c>
      <c r="D2634" s="1">
        <v>245</v>
      </c>
      <c r="E2634" s="1">
        <f>IF(OR(Paths!$C$245=0,C2634=0),0,MAX(0,MIN(C2634*12,Paths!$E$245)-(C2634-1)*12))</f>
        <v>0</v>
      </c>
      <c r="F2634" s="1">
        <f>IF(OR(Paths!$C$245=0,C2634=0),0,12-E2634)</f>
        <v>0</v>
      </c>
      <c r="G2634" s="16">
        <f>IF(NOT(Paths!$C$245=1),0,IF(Paths!$P$245="Complete",E2634/12*(Paths!$J$245*(1+'Operating costs'!$B$51)^MAX(0,C2634-1)+Paths!$K$245*(1+'Operating costs'!$B$53)^MAX(0,C2634-1)),"n.a."))</f>
        <v>0</v>
      </c>
      <c r="H2634" s="16">
        <f>IF(NOT(Paths!$C$245=1),0,IF(Paths!$P$245="Complete",F2634/12*(Paths!$L$245*(1+IF(Paths!$D$245="EV",'Operating costs'!$B$52,'Operating costs'!$B$51))^MAX(0,C2634-1)+Paths!$M$245*(1+'Operating costs'!$B$53)^MAX(0,C2634-1)),"n.a."))</f>
        <v>0</v>
      </c>
      <c r="I2634" s="16">
        <f>IF(NOT(Paths!$C$245=1),0,IF(Paths!$P$245="Complete",IF(IF(Paths!$E$245=0,C2634=0,AND(C2634&gt;0,Paths!$E$245&gt;(C2634-1)*12,Paths!$E$245&lt;=C2634*12)),Paths!$G$245,0),"n.a."))</f>
        <v>0</v>
      </c>
      <c r="J2634" s="16">
        <f>IF(NOT(Paths!$C$245=1),0,IF(Paths!$P$245="Complete",IF(IF(Paths!$E$245=0,C2634=0,AND(C2634&gt;0,Paths!$E$245&gt;(C2634-1)*12,Paths!$E$245&lt;=C2634*12)),Paths!$H$245,0),"n.a."))</f>
        <v>0</v>
      </c>
      <c r="K2634" s="16">
        <f>IF(NOT(Paths!$C$245=1),0,IF(Paths!$P$245="Complete",IF(IF(Paths!$O$245=0,C2634=0,AND(C2634&gt;0,Paths!$O$245&gt;(C2634-1)*12,Paths!$O$245&lt;=C2634*12)),Paths!$N$245,0),"n.a."))</f>
        <v>0</v>
      </c>
      <c r="L2634" s="16">
        <f>IF(NOT(Paths!$C$245=1),0,IF(Paths!$P$245="Complete",IF(C2634=10,Paths!$I$245,0),"n.a."))</f>
        <v>0</v>
      </c>
      <c r="M2634" s="16">
        <f>IF(NOT(Paths!$C$245=1),0,IF(Paths!$P$245="Complete",IF(AND(Paths!$D$245="EV",Paths!$E$245&lt;120,Paths!$E$245+'Operating costs'!$B$65&gt;Paths!$E$245,Paths!$E$245+'Operating costs'!$B$65&lt;=120,IF(Paths!$E$245+'Operating costs'!$B$65=0,C2634=0,AND(C2634&gt;0,Paths!$E$245+'Operating costs'!$B$65&gt;(C2634-1)*12,Paths!$E$245+'Operating costs'!$B$65&lt;=C2634*12))),'Operating costs'!$B$64,0)+IF(AND('Operating costs'!$B$67&gt;0,'Operating costs'!$B$67&lt;=120,OR(Paths!$D$245="ICE",'Operating costs'!$B$67&lt;=Paths!$E$245),IF('Operating costs'!$B$67=0,C2634=0,AND(C2634&gt;0,'Operating costs'!$B$67&gt;(C2634-1)*12,'Operating costs'!$B$67&lt;=C2634*12))),'Operating costs'!$B$66,0),"n.a."))</f>
        <v>0</v>
      </c>
      <c r="N2634" s="16">
        <f>IF(NOT(Paths!$C$245=1),0,IF(Paths!$P$245="Complete",SUM(G2634:I2634)-J2634-K2634-L2634+M2634+IF(C2634=0,Paths!$F$245,0)+IF(IF(Paths!$E$245=0,C2634=0,AND(C2634&gt;0,Paths!$E$245&gt;(C2634-1)*12,Paths!$E$245&lt;=C2634*12)),VLOOKUP(A2634,'Fleet register'!$A$7:$S$106,16,FALSE),0),"n.a."))</f>
        <v>0</v>
      </c>
      <c r="O2634" s="16">
        <f>IF(NOT(Paths!$C$245=1),0,IF(Paths!$P$245="Complete",N2634-IF(C2634=0,Paths!$F$245,0),"n.a."))</f>
        <v>0</v>
      </c>
      <c r="P2634" s="16">
        <f>IF(NOT(Paths!$C$245=1),0,IF(Paths!$P$245="Complete",O2634+L2634,"n.a."))</f>
        <v>0</v>
      </c>
      <c r="Q2634" s="16">
        <f>IF(NOT(Paths!$C$245=1),0,IF(Paths!$P$245="Complete",N2634*(1+'Operating costs'!$B$54)^-C2634,"n.a."))</f>
        <v>0</v>
      </c>
      <c r="R2634" s="16">
        <f>IF(NOT(Paths!$C$245=1),0,IF(Paths!$P$245="Complete",IF(AND(C2634=0,Paths!$E$245=0),I2634-J2634-K2634+VLOOKUP(A2634,'Fleet register'!$A$7:$S$106,15,FALSE)+VLOOKUP(A2634,'Fleet register'!$A$7:$S$106,16,FALSE),0),"n.a."))</f>
        <v>0</v>
      </c>
      <c r="S2634" s="1">
        <f>IF(NOT(Paths!$C$245=1),0,IF(Paths!$P$245="Complete",IF(C2634=0,0,Paths!$S$245*Paths!$R$245),"n.a."))</f>
        <v>0</v>
      </c>
      <c r="T2634" s="1">
        <f>IF(NOT(Paths!$C$245=1),0,IF(Paths!$P$245="Complete",IF(C2634=0,0,VLOOKUP(A2634,'Fleet register'!$A$7:$S$106,9,FALSE)*Paths!$R$245),"n.a."))</f>
        <v>0</v>
      </c>
    </row>
    <row r="2635" spans="1:20" ht="24" customHeight="1">
      <c r="A2635" s="1" t="str">
        <f>Paths!$A$245</f>
        <v>T060</v>
      </c>
      <c r="B2635" s="1">
        <f>Paths!$B$245</f>
        <v>2</v>
      </c>
      <c r="C2635" s="1">
        <v>10</v>
      </c>
      <c r="D2635" s="1">
        <v>245</v>
      </c>
      <c r="E2635" s="1">
        <f>IF(OR(Paths!$C$245=0,C2635=0),0,MAX(0,MIN(C2635*12,Paths!$E$245)-(C2635-1)*12))</f>
        <v>0</v>
      </c>
      <c r="F2635" s="1">
        <f>IF(OR(Paths!$C$245=0,C2635=0),0,12-E2635)</f>
        <v>0</v>
      </c>
      <c r="G2635" s="16">
        <f>IF(NOT(Paths!$C$245=1),0,IF(Paths!$P$245="Complete",E2635/12*(Paths!$J$245*(1+'Operating costs'!$B$51)^MAX(0,C2635-1)+Paths!$K$245*(1+'Operating costs'!$B$53)^MAX(0,C2635-1)),"n.a."))</f>
        <v>0</v>
      </c>
      <c r="H2635" s="16">
        <f>IF(NOT(Paths!$C$245=1),0,IF(Paths!$P$245="Complete",F2635/12*(Paths!$L$245*(1+IF(Paths!$D$245="EV",'Operating costs'!$B$52,'Operating costs'!$B$51))^MAX(0,C2635-1)+Paths!$M$245*(1+'Operating costs'!$B$53)^MAX(0,C2635-1)),"n.a."))</f>
        <v>0</v>
      </c>
      <c r="I2635" s="16">
        <f>IF(NOT(Paths!$C$245=1),0,IF(Paths!$P$245="Complete",IF(IF(Paths!$E$245=0,C2635=0,AND(C2635&gt;0,Paths!$E$245&gt;(C2635-1)*12,Paths!$E$245&lt;=C2635*12)),Paths!$G$245,0),"n.a."))</f>
        <v>0</v>
      </c>
      <c r="J2635" s="16">
        <f>IF(NOT(Paths!$C$245=1),0,IF(Paths!$P$245="Complete",IF(IF(Paths!$E$245=0,C2635=0,AND(C2635&gt;0,Paths!$E$245&gt;(C2635-1)*12,Paths!$E$245&lt;=C2635*12)),Paths!$H$245,0),"n.a."))</f>
        <v>0</v>
      </c>
      <c r="K2635" s="16">
        <f>IF(NOT(Paths!$C$245=1),0,IF(Paths!$P$245="Complete",IF(IF(Paths!$O$245=0,C2635=0,AND(C2635&gt;0,Paths!$O$245&gt;(C2635-1)*12,Paths!$O$245&lt;=C2635*12)),Paths!$N$245,0),"n.a."))</f>
        <v>0</v>
      </c>
      <c r="L2635" s="16">
        <f>IF(NOT(Paths!$C$245=1),0,IF(Paths!$P$245="Complete",IF(C2635=10,Paths!$I$245,0),"n.a."))</f>
        <v>0</v>
      </c>
      <c r="M2635" s="16">
        <f>IF(NOT(Paths!$C$245=1),0,IF(Paths!$P$245="Complete",IF(AND(Paths!$D$245="EV",Paths!$E$245&lt;120,Paths!$E$245+'Operating costs'!$B$65&gt;Paths!$E$245,Paths!$E$245+'Operating costs'!$B$65&lt;=120,IF(Paths!$E$245+'Operating costs'!$B$65=0,C2635=0,AND(C2635&gt;0,Paths!$E$245+'Operating costs'!$B$65&gt;(C2635-1)*12,Paths!$E$245+'Operating costs'!$B$65&lt;=C2635*12))),'Operating costs'!$B$64,0)+IF(AND('Operating costs'!$B$67&gt;0,'Operating costs'!$B$67&lt;=120,OR(Paths!$D$245="ICE",'Operating costs'!$B$67&lt;=Paths!$E$245),IF('Operating costs'!$B$67=0,C2635=0,AND(C2635&gt;0,'Operating costs'!$B$67&gt;(C2635-1)*12,'Operating costs'!$B$67&lt;=C2635*12))),'Operating costs'!$B$66,0),"n.a."))</f>
        <v>0</v>
      </c>
      <c r="N2635" s="16">
        <f>IF(NOT(Paths!$C$245=1),0,IF(Paths!$P$245="Complete",SUM(G2635:I2635)-J2635-K2635-L2635+M2635+IF(C2635=0,Paths!$F$245,0)+IF(IF(Paths!$E$245=0,C2635=0,AND(C2635&gt;0,Paths!$E$245&gt;(C2635-1)*12,Paths!$E$245&lt;=C2635*12)),VLOOKUP(A2635,'Fleet register'!$A$7:$S$106,16,FALSE),0),"n.a."))</f>
        <v>0</v>
      </c>
      <c r="O2635" s="16">
        <f>IF(NOT(Paths!$C$245=1),0,IF(Paths!$P$245="Complete",N2635-IF(C2635=0,Paths!$F$245,0),"n.a."))</f>
        <v>0</v>
      </c>
      <c r="P2635" s="16">
        <f>IF(NOT(Paths!$C$245=1),0,IF(Paths!$P$245="Complete",O2635+L2635,"n.a."))</f>
        <v>0</v>
      </c>
      <c r="Q2635" s="16">
        <f>IF(NOT(Paths!$C$245=1),0,IF(Paths!$P$245="Complete",N2635*(1+'Operating costs'!$B$54)^-C2635,"n.a."))</f>
        <v>0</v>
      </c>
      <c r="R2635" s="16">
        <f>IF(NOT(Paths!$C$245=1),0,IF(Paths!$P$245="Complete",IF(AND(C2635=0,Paths!$E$245=0),I2635-J2635-K2635+VLOOKUP(A2635,'Fleet register'!$A$7:$S$106,15,FALSE)+VLOOKUP(A2635,'Fleet register'!$A$7:$S$106,16,FALSE),0),"n.a."))</f>
        <v>0</v>
      </c>
      <c r="S2635" s="1">
        <f>IF(NOT(Paths!$C$245=1),0,IF(Paths!$P$245="Complete",IF(C2635=0,0,Paths!$S$245*Paths!$R$245),"n.a."))</f>
        <v>0</v>
      </c>
      <c r="T2635" s="1">
        <f>IF(NOT(Paths!$C$245=1),0,IF(Paths!$P$245="Complete",IF(C2635=0,0,VLOOKUP(A2635,'Fleet register'!$A$7:$S$106,9,FALSE)*Paths!$R$245),"n.a."))</f>
        <v>0</v>
      </c>
    </row>
    <row r="2636" spans="1:20" ht="24" customHeight="1">
      <c r="A2636" s="1" t="str">
        <f>Paths!$A$246</f>
        <v>T060</v>
      </c>
      <c r="B2636" s="1">
        <f>Paths!$B$246</f>
        <v>3</v>
      </c>
      <c r="C2636" s="1">
        <v>0</v>
      </c>
      <c r="D2636" s="1">
        <v>246</v>
      </c>
      <c r="E2636" s="1">
        <f>IF(OR(Paths!$C$246=0,C2636=0),0,MAX(0,MIN(C2636*12,Paths!$E$246)-(C2636-1)*12))</f>
        <v>0</v>
      </c>
      <c r="F2636" s="1">
        <f>IF(OR(Paths!$C$246=0,C2636=0),0,12-E2636)</f>
        <v>0</v>
      </c>
      <c r="G2636" s="16">
        <f>IF(NOT(Paths!$C$246=1),0,IF(Paths!$P$246="Complete",E2636/12*(Paths!$J$246*(1+'Operating costs'!$B$51)^MAX(0,C2636-1)+Paths!$K$246*(1+'Operating costs'!$B$53)^MAX(0,C2636-1)),"n.a."))</f>
        <v>0</v>
      </c>
      <c r="H2636" s="16">
        <f>IF(NOT(Paths!$C$246=1),0,IF(Paths!$P$246="Complete",F2636/12*(Paths!$L$246*(1+IF(Paths!$D$246="EV",'Operating costs'!$B$52,'Operating costs'!$B$51))^MAX(0,C2636-1)+Paths!$M$246*(1+'Operating costs'!$B$53)^MAX(0,C2636-1)),"n.a."))</f>
        <v>0</v>
      </c>
      <c r="I2636" s="16">
        <f>IF(NOT(Paths!$C$246=1),0,IF(Paths!$P$246="Complete",IF(IF(Paths!$E$246=0,C2636=0,AND(C2636&gt;0,Paths!$E$246&gt;(C2636-1)*12,Paths!$E$246&lt;=C2636*12)),Paths!$G$246,0),"n.a."))</f>
        <v>0</v>
      </c>
      <c r="J2636" s="16">
        <f>IF(NOT(Paths!$C$246=1),0,IF(Paths!$P$246="Complete",IF(IF(Paths!$E$246=0,C2636=0,AND(C2636&gt;0,Paths!$E$246&gt;(C2636-1)*12,Paths!$E$246&lt;=C2636*12)),Paths!$H$246,0),"n.a."))</f>
        <v>0</v>
      </c>
      <c r="K2636" s="16">
        <f>IF(NOT(Paths!$C$246=1),0,IF(Paths!$P$246="Complete",IF(IF(Paths!$O$246=0,C2636=0,AND(C2636&gt;0,Paths!$O$246&gt;(C2636-1)*12,Paths!$O$246&lt;=C2636*12)),Paths!$N$246,0),"n.a."))</f>
        <v>0</v>
      </c>
      <c r="L2636" s="16">
        <f>IF(NOT(Paths!$C$246=1),0,IF(Paths!$P$246="Complete",IF(C2636=10,Paths!$I$246,0),"n.a."))</f>
        <v>0</v>
      </c>
      <c r="M2636" s="16">
        <f>IF(NOT(Paths!$C$246=1),0,IF(Paths!$P$246="Complete",IF(AND(Paths!$D$246="EV",Paths!$E$246&lt;120,Paths!$E$246+'Operating costs'!$B$65&gt;Paths!$E$246,Paths!$E$246+'Operating costs'!$B$65&lt;=120,IF(Paths!$E$246+'Operating costs'!$B$65=0,C2636=0,AND(C2636&gt;0,Paths!$E$246+'Operating costs'!$B$65&gt;(C2636-1)*12,Paths!$E$246+'Operating costs'!$B$65&lt;=C2636*12))),'Operating costs'!$B$64,0)+IF(AND('Operating costs'!$B$67&gt;0,'Operating costs'!$B$67&lt;=120,OR(Paths!$D$246="ICE",'Operating costs'!$B$67&lt;=Paths!$E$246),IF('Operating costs'!$B$67=0,C2636=0,AND(C2636&gt;0,'Operating costs'!$B$67&gt;(C2636-1)*12,'Operating costs'!$B$67&lt;=C2636*12))),'Operating costs'!$B$66,0),"n.a."))</f>
        <v>0</v>
      </c>
      <c r="N2636" s="16">
        <f>IF(NOT(Paths!$C$246=1),0,IF(Paths!$P$246="Complete",SUM(G2636:I2636)-J2636-K2636-L2636+M2636+IF(C2636=0,Paths!$F$246,0)+IF(IF(Paths!$E$246=0,C2636=0,AND(C2636&gt;0,Paths!$E$246&gt;(C2636-1)*12,Paths!$E$246&lt;=C2636*12)),VLOOKUP(A2636,'Fleet register'!$A$7:$S$106,16,FALSE),0),"n.a."))</f>
        <v>0</v>
      </c>
      <c r="O2636" s="16">
        <f>IF(NOT(Paths!$C$246=1),0,IF(Paths!$P$246="Complete",N2636-IF(C2636=0,Paths!$F$246,0),"n.a."))</f>
        <v>0</v>
      </c>
      <c r="P2636" s="16">
        <f>IF(NOT(Paths!$C$246=1),0,IF(Paths!$P$246="Complete",O2636+L2636,"n.a."))</f>
        <v>0</v>
      </c>
      <c r="Q2636" s="16">
        <f>IF(NOT(Paths!$C$246=1),0,IF(Paths!$P$246="Complete",N2636*(1+'Operating costs'!$B$54)^-C2636,"n.a."))</f>
        <v>0</v>
      </c>
      <c r="R2636" s="16">
        <f>IF(NOT(Paths!$C$246=1),0,IF(Paths!$P$246="Complete",IF(AND(C2636=0,Paths!$E$246=0),I2636-J2636-K2636+VLOOKUP(A2636,'Fleet register'!$A$7:$S$106,15,FALSE)+VLOOKUP(A2636,'Fleet register'!$A$7:$S$106,16,FALSE),0),"n.a."))</f>
        <v>0</v>
      </c>
      <c r="S2636" s="1">
        <f>IF(NOT(Paths!$C$246=1),0,IF(Paths!$P$246="Complete",IF(C2636=0,0,Paths!$S$246*Paths!$R$246),"n.a."))</f>
        <v>0</v>
      </c>
      <c r="T2636" s="1">
        <f>IF(NOT(Paths!$C$246=1),0,IF(Paths!$P$246="Complete",IF(C2636=0,0,VLOOKUP(A2636,'Fleet register'!$A$7:$S$106,9,FALSE)*Paths!$R$246),"n.a."))</f>
        <v>0</v>
      </c>
    </row>
    <row r="2637" spans="1:20" ht="24" customHeight="1">
      <c r="A2637" s="1" t="str">
        <f>Paths!$A$246</f>
        <v>T060</v>
      </c>
      <c r="B2637" s="1">
        <f>Paths!$B$246</f>
        <v>3</v>
      </c>
      <c r="C2637" s="1">
        <v>1</v>
      </c>
      <c r="D2637" s="1">
        <v>246</v>
      </c>
      <c r="E2637" s="1">
        <f>IF(OR(Paths!$C$246=0,C2637=0),0,MAX(0,MIN(C2637*12,Paths!$E$246)-(C2637-1)*12))</f>
        <v>0</v>
      </c>
      <c r="F2637" s="1">
        <f>IF(OR(Paths!$C$246=0,C2637=0),0,12-E2637)</f>
        <v>0</v>
      </c>
      <c r="G2637" s="16">
        <f>IF(NOT(Paths!$C$246=1),0,IF(Paths!$P$246="Complete",E2637/12*(Paths!$J$246*(1+'Operating costs'!$B$51)^MAX(0,C2637-1)+Paths!$K$246*(1+'Operating costs'!$B$53)^MAX(0,C2637-1)),"n.a."))</f>
        <v>0</v>
      </c>
      <c r="H2637" s="16">
        <f>IF(NOT(Paths!$C$246=1),0,IF(Paths!$P$246="Complete",F2637/12*(Paths!$L$246*(1+IF(Paths!$D$246="EV",'Operating costs'!$B$52,'Operating costs'!$B$51))^MAX(0,C2637-1)+Paths!$M$246*(1+'Operating costs'!$B$53)^MAX(0,C2637-1)),"n.a."))</f>
        <v>0</v>
      </c>
      <c r="I2637" s="16">
        <f>IF(NOT(Paths!$C$246=1),0,IF(Paths!$P$246="Complete",IF(IF(Paths!$E$246=0,C2637=0,AND(C2637&gt;0,Paths!$E$246&gt;(C2637-1)*12,Paths!$E$246&lt;=C2637*12)),Paths!$G$246,0),"n.a."))</f>
        <v>0</v>
      </c>
      <c r="J2637" s="16">
        <f>IF(NOT(Paths!$C$246=1),0,IF(Paths!$P$246="Complete",IF(IF(Paths!$E$246=0,C2637=0,AND(C2637&gt;0,Paths!$E$246&gt;(C2637-1)*12,Paths!$E$246&lt;=C2637*12)),Paths!$H$246,0),"n.a."))</f>
        <v>0</v>
      </c>
      <c r="K2637" s="16">
        <f>IF(NOT(Paths!$C$246=1),0,IF(Paths!$P$246="Complete",IF(IF(Paths!$O$246=0,C2637=0,AND(C2637&gt;0,Paths!$O$246&gt;(C2637-1)*12,Paths!$O$246&lt;=C2637*12)),Paths!$N$246,0),"n.a."))</f>
        <v>0</v>
      </c>
      <c r="L2637" s="16">
        <f>IF(NOT(Paths!$C$246=1),0,IF(Paths!$P$246="Complete",IF(C2637=10,Paths!$I$246,0),"n.a."))</f>
        <v>0</v>
      </c>
      <c r="M2637" s="16">
        <f>IF(NOT(Paths!$C$246=1),0,IF(Paths!$P$246="Complete",IF(AND(Paths!$D$246="EV",Paths!$E$246&lt;120,Paths!$E$246+'Operating costs'!$B$65&gt;Paths!$E$246,Paths!$E$246+'Operating costs'!$B$65&lt;=120,IF(Paths!$E$246+'Operating costs'!$B$65=0,C2637=0,AND(C2637&gt;0,Paths!$E$246+'Operating costs'!$B$65&gt;(C2637-1)*12,Paths!$E$246+'Operating costs'!$B$65&lt;=C2637*12))),'Operating costs'!$B$64,0)+IF(AND('Operating costs'!$B$67&gt;0,'Operating costs'!$B$67&lt;=120,OR(Paths!$D$246="ICE",'Operating costs'!$B$67&lt;=Paths!$E$246),IF('Operating costs'!$B$67=0,C2637=0,AND(C2637&gt;0,'Operating costs'!$B$67&gt;(C2637-1)*12,'Operating costs'!$B$67&lt;=C2637*12))),'Operating costs'!$B$66,0),"n.a."))</f>
        <v>0</v>
      </c>
      <c r="N2637" s="16">
        <f>IF(NOT(Paths!$C$246=1),0,IF(Paths!$P$246="Complete",SUM(G2637:I2637)-J2637-K2637-L2637+M2637+IF(C2637=0,Paths!$F$246,0)+IF(IF(Paths!$E$246=0,C2637=0,AND(C2637&gt;0,Paths!$E$246&gt;(C2637-1)*12,Paths!$E$246&lt;=C2637*12)),VLOOKUP(A2637,'Fleet register'!$A$7:$S$106,16,FALSE),0),"n.a."))</f>
        <v>0</v>
      </c>
      <c r="O2637" s="16">
        <f>IF(NOT(Paths!$C$246=1),0,IF(Paths!$P$246="Complete",N2637-IF(C2637=0,Paths!$F$246,0),"n.a."))</f>
        <v>0</v>
      </c>
      <c r="P2637" s="16">
        <f>IF(NOT(Paths!$C$246=1),0,IF(Paths!$P$246="Complete",O2637+L2637,"n.a."))</f>
        <v>0</v>
      </c>
      <c r="Q2637" s="16">
        <f>IF(NOT(Paths!$C$246=1),0,IF(Paths!$P$246="Complete",N2637*(1+'Operating costs'!$B$54)^-C2637,"n.a."))</f>
        <v>0</v>
      </c>
      <c r="R2637" s="16">
        <f>IF(NOT(Paths!$C$246=1),0,IF(Paths!$P$246="Complete",IF(AND(C2637=0,Paths!$E$246=0),I2637-J2637-K2637+VLOOKUP(A2637,'Fleet register'!$A$7:$S$106,15,FALSE)+VLOOKUP(A2637,'Fleet register'!$A$7:$S$106,16,FALSE),0),"n.a."))</f>
        <v>0</v>
      </c>
      <c r="S2637" s="1">
        <f>IF(NOT(Paths!$C$246=1),0,IF(Paths!$P$246="Complete",IF(C2637=0,0,Paths!$S$246*Paths!$R$246),"n.a."))</f>
        <v>0</v>
      </c>
      <c r="T2637" s="1">
        <f>IF(NOT(Paths!$C$246=1),0,IF(Paths!$P$246="Complete",IF(C2637=0,0,VLOOKUP(A2637,'Fleet register'!$A$7:$S$106,9,FALSE)*Paths!$R$246),"n.a."))</f>
        <v>0</v>
      </c>
    </row>
    <row r="2638" spans="1:20" ht="24" customHeight="1">
      <c r="A2638" s="1" t="str">
        <f>Paths!$A$246</f>
        <v>T060</v>
      </c>
      <c r="B2638" s="1">
        <f>Paths!$B$246</f>
        <v>3</v>
      </c>
      <c r="C2638" s="1">
        <v>2</v>
      </c>
      <c r="D2638" s="1">
        <v>246</v>
      </c>
      <c r="E2638" s="1">
        <f>IF(OR(Paths!$C$246=0,C2638=0),0,MAX(0,MIN(C2638*12,Paths!$E$246)-(C2638-1)*12))</f>
        <v>0</v>
      </c>
      <c r="F2638" s="1">
        <f>IF(OR(Paths!$C$246=0,C2638=0),0,12-E2638)</f>
        <v>0</v>
      </c>
      <c r="G2638" s="16">
        <f>IF(NOT(Paths!$C$246=1),0,IF(Paths!$P$246="Complete",E2638/12*(Paths!$J$246*(1+'Operating costs'!$B$51)^MAX(0,C2638-1)+Paths!$K$246*(1+'Operating costs'!$B$53)^MAX(0,C2638-1)),"n.a."))</f>
        <v>0</v>
      </c>
      <c r="H2638" s="16">
        <f>IF(NOT(Paths!$C$246=1),0,IF(Paths!$P$246="Complete",F2638/12*(Paths!$L$246*(1+IF(Paths!$D$246="EV",'Operating costs'!$B$52,'Operating costs'!$B$51))^MAX(0,C2638-1)+Paths!$M$246*(1+'Operating costs'!$B$53)^MAX(0,C2638-1)),"n.a."))</f>
        <v>0</v>
      </c>
      <c r="I2638" s="16">
        <f>IF(NOT(Paths!$C$246=1),0,IF(Paths!$P$246="Complete",IF(IF(Paths!$E$246=0,C2638=0,AND(C2638&gt;0,Paths!$E$246&gt;(C2638-1)*12,Paths!$E$246&lt;=C2638*12)),Paths!$G$246,0),"n.a."))</f>
        <v>0</v>
      </c>
      <c r="J2638" s="16">
        <f>IF(NOT(Paths!$C$246=1),0,IF(Paths!$P$246="Complete",IF(IF(Paths!$E$246=0,C2638=0,AND(C2638&gt;0,Paths!$E$246&gt;(C2638-1)*12,Paths!$E$246&lt;=C2638*12)),Paths!$H$246,0),"n.a."))</f>
        <v>0</v>
      </c>
      <c r="K2638" s="16">
        <f>IF(NOT(Paths!$C$246=1),0,IF(Paths!$P$246="Complete",IF(IF(Paths!$O$246=0,C2638=0,AND(C2638&gt;0,Paths!$O$246&gt;(C2638-1)*12,Paths!$O$246&lt;=C2638*12)),Paths!$N$246,0),"n.a."))</f>
        <v>0</v>
      </c>
      <c r="L2638" s="16">
        <f>IF(NOT(Paths!$C$246=1),0,IF(Paths!$P$246="Complete",IF(C2638=10,Paths!$I$246,0),"n.a."))</f>
        <v>0</v>
      </c>
      <c r="M2638" s="16">
        <f>IF(NOT(Paths!$C$246=1),0,IF(Paths!$P$246="Complete",IF(AND(Paths!$D$246="EV",Paths!$E$246&lt;120,Paths!$E$246+'Operating costs'!$B$65&gt;Paths!$E$246,Paths!$E$246+'Operating costs'!$B$65&lt;=120,IF(Paths!$E$246+'Operating costs'!$B$65=0,C2638=0,AND(C2638&gt;0,Paths!$E$246+'Operating costs'!$B$65&gt;(C2638-1)*12,Paths!$E$246+'Operating costs'!$B$65&lt;=C2638*12))),'Operating costs'!$B$64,0)+IF(AND('Operating costs'!$B$67&gt;0,'Operating costs'!$B$67&lt;=120,OR(Paths!$D$246="ICE",'Operating costs'!$B$67&lt;=Paths!$E$246),IF('Operating costs'!$B$67=0,C2638=0,AND(C2638&gt;0,'Operating costs'!$B$67&gt;(C2638-1)*12,'Operating costs'!$B$67&lt;=C2638*12))),'Operating costs'!$B$66,0),"n.a."))</f>
        <v>0</v>
      </c>
      <c r="N2638" s="16">
        <f>IF(NOT(Paths!$C$246=1),0,IF(Paths!$P$246="Complete",SUM(G2638:I2638)-J2638-K2638-L2638+M2638+IF(C2638=0,Paths!$F$246,0)+IF(IF(Paths!$E$246=0,C2638=0,AND(C2638&gt;0,Paths!$E$246&gt;(C2638-1)*12,Paths!$E$246&lt;=C2638*12)),VLOOKUP(A2638,'Fleet register'!$A$7:$S$106,16,FALSE),0),"n.a."))</f>
        <v>0</v>
      </c>
      <c r="O2638" s="16">
        <f>IF(NOT(Paths!$C$246=1),0,IF(Paths!$P$246="Complete",N2638-IF(C2638=0,Paths!$F$246,0),"n.a."))</f>
        <v>0</v>
      </c>
      <c r="P2638" s="16">
        <f>IF(NOT(Paths!$C$246=1),0,IF(Paths!$P$246="Complete",O2638+L2638,"n.a."))</f>
        <v>0</v>
      </c>
      <c r="Q2638" s="16">
        <f>IF(NOT(Paths!$C$246=1),0,IF(Paths!$P$246="Complete",N2638*(1+'Operating costs'!$B$54)^-C2638,"n.a."))</f>
        <v>0</v>
      </c>
      <c r="R2638" s="16">
        <f>IF(NOT(Paths!$C$246=1),0,IF(Paths!$P$246="Complete",IF(AND(C2638=0,Paths!$E$246=0),I2638-J2638-K2638+VLOOKUP(A2638,'Fleet register'!$A$7:$S$106,15,FALSE)+VLOOKUP(A2638,'Fleet register'!$A$7:$S$106,16,FALSE),0),"n.a."))</f>
        <v>0</v>
      </c>
      <c r="S2638" s="1">
        <f>IF(NOT(Paths!$C$246=1),0,IF(Paths!$P$246="Complete",IF(C2638=0,0,Paths!$S$246*Paths!$R$246),"n.a."))</f>
        <v>0</v>
      </c>
      <c r="T2638" s="1">
        <f>IF(NOT(Paths!$C$246=1),0,IF(Paths!$P$246="Complete",IF(C2638=0,0,VLOOKUP(A2638,'Fleet register'!$A$7:$S$106,9,FALSE)*Paths!$R$246),"n.a."))</f>
        <v>0</v>
      </c>
    </row>
    <row r="2639" spans="1:20" ht="24" customHeight="1">
      <c r="A2639" s="1" t="str">
        <f>Paths!$A$246</f>
        <v>T060</v>
      </c>
      <c r="B2639" s="1">
        <f>Paths!$B$246</f>
        <v>3</v>
      </c>
      <c r="C2639" s="1">
        <v>3</v>
      </c>
      <c r="D2639" s="1">
        <v>246</v>
      </c>
      <c r="E2639" s="1">
        <f>IF(OR(Paths!$C$246=0,C2639=0),0,MAX(0,MIN(C2639*12,Paths!$E$246)-(C2639-1)*12))</f>
        <v>0</v>
      </c>
      <c r="F2639" s="1">
        <f>IF(OR(Paths!$C$246=0,C2639=0),0,12-E2639)</f>
        <v>0</v>
      </c>
      <c r="G2639" s="16">
        <f>IF(NOT(Paths!$C$246=1),0,IF(Paths!$P$246="Complete",E2639/12*(Paths!$J$246*(1+'Operating costs'!$B$51)^MAX(0,C2639-1)+Paths!$K$246*(1+'Operating costs'!$B$53)^MAX(0,C2639-1)),"n.a."))</f>
        <v>0</v>
      </c>
      <c r="H2639" s="16">
        <f>IF(NOT(Paths!$C$246=1),0,IF(Paths!$P$246="Complete",F2639/12*(Paths!$L$246*(1+IF(Paths!$D$246="EV",'Operating costs'!$B$52,'Operating costs'!$B$51))^MAX(0,C2639-1)+Paths!$M$246*(1+'Operating costs'!$B$53)^MAX(0,C2639-1)),"n.a."))</f>
        <v>0</v>
      </c>
      <c r="I2639" s="16">
        <f>IF(NOT(Paths!$C$246=1),0,IF(Paths!$P$246="Complete",IF(IF(Paths!$E$246=0,C2639=0,AND(C2639&gt;0,Paths!$E$246&gt;(C2639-1)*12,Paths!$E$246&lt;=C2639*12)),Paths!$G$246,0),"n.a."))</f>
        <v>0</v>
      </c>
      <c r="J2639" s="16">
        <f>IF(NOT(Paths!$C$246=1),0,IF(Paths!$P$246="Complete",IF(IF(Paths!$E$246=0,C2639=0,AND(C2639&gt;0,Paths!$E$246&gt;(C2639-1)*12,Paths!$E$246&lt;=C2639*12)),Paths!$H$246,0),"n.a."))</f>
        <v>0</v>
      </c>
      <c r="K2639" s="16">
        <f>IF(NOT(Paths!$C$246=1),0,IF(Paths!$P$246="Complete",IF(IF(Paths!$O$246=0,C2639=0,AND(C2639&gt;0,Paths!$O$246&gt;(C2639-1)*12,Paths!$O$246&lt;=C2639*12)),Paths!$N$246,0),"n.a."))</f>
        <v>0</v>
      </c>
      <c r="L2639" s="16">
        <f>IF(NOT(Paths!$C$246=1),0,IF(Paths!$P$246="Complete",IF(C2639=10,Paths!$I$246,0),"n.a."))</f>
        <v>0</v>
      </c>
      <c r="M2639" s="16">
        <f>IF(NOT(Paths!$C$246=1),0,IF(Paths!$P$246="Complete",IF(AND(Paths!$D$246="EV",Paths!$E$246&lt;120,Paths!$E$246+'Operating costs'!$B$65&gt;Paths!$E$246,Paths!$E$246+'Operating costs'!$B$65&lt;=120,IF(Paths!$E$246+'Operating costs'!$B$65=0,C2639=0,AND(C2639&gt;0,Paths!$E$246+'Operating costs'!$B$65&gt;(C2639-1)*12,Paths!$E$246+'Operating costs'!$B$65&lt;=C2639*12))),'Operating costs'!$B$64,0)+IF(AND('Operating costs'!$B$67&gt;0,'Operating costs'!$B$67&lt;=120,OR(Paths!$D$246="ICE",'Operating costs'!$B$67&lt;=Paths!$E$246),IF('Operating costs'!$B$67=0,C2639=0,AND(C2639&gt;0,'Operating costs'!$B$67&gt;(C2639-1)*12,'Operating costs'!$B$67&lt;=C2639*12))),'Operating costs'!$B$66,0),"n.a."))</f>
        <v>0</v>
      </c>
      <c r="N2639" s="16">
        <f>IF(NOT(Paths!$C$246=1),0,IF(Paths!$P$246="Complete",SUM(G2639:I2639)-J2639-K2639-L2639+M2639+IF(C2639=0,Paths!$F$246,0)+IF(IF(Paths!$E$246=0,C2639=0,AND(C2639&gt;0,Paths!$E$246&gt;(C2639-1)*12,Paths!$E$246&lt;=C2639*12)),VLOOKUP(A2639,'Fleet register'!$A$7:$S$106,16,FALSE),0),"n.a."))</f>
        <v>0</v>
      </c>
      <c r="O2639" s="16">
        <f>IF(NOT(Paths!$C$246=1),0,IF(Paths!$P$246="Complete",N2639-IF(C2639=0,Paths!$F$246,0),"n.a."))</f>
        <v>0</v>
      </c>
      <c r="P2639" s="16">
        <f>IF(NOT(Paths!$C$246=1),0,IF(Paths!$P$246="Complete",O2639+L2639,"n.a."))</f>
        <v>0</v>
      </c>
      <c r="Q2639" s="16">
        <f>IF(NOT(Paths!$C$246=1),0,IF(Paths!$P$246="Complete",N2639*(1+'Operating costs'!$B$54)^-C2639,"n.a."))</f>
        <v>0</v>
      </c>
      <c r="R2639" s="16">
        <f>IF(NOT(Paths!$C$246=1),0,IF(Paths!$P$246="Complete",IF(AND(C2639=0,Paths!$E$246=0),I2639-J2639-K2639+VLOOKUP(A2639,'Fleet register'!$A$7:$S$106,15,FALSE)+VLOOKUP(A2639,'Fleet register'!$A$7:$S$106,16,FALSE),0),"n.a."))</f>
        <v>0</v>
      </c>
      <c r="S2639" s="1">
        <f>IF(NOT(Paths!$C$246=1),0,IF(Paths!$P$246="Complete",IF(C2639=0,0,Paths!$S$246*Paths!$R$246),"n.a."))</f>
        <v>0</v>
      </c>
      <c r="T2639" s="1">
        <f>IF(NOT(Paths!$C$246=1),0,IF(Paths!$P$246="Complete",IF(C2639=0,0,VLOOKUP(A2639,'Fleet register'!$A$7:$S$106,9,FALSE)*Paths!$R$246),"n.a."))</f>
        <v>0</v>
      </c>
    </row>
    <row r="2640" spans="1:20" ht="24" customHeight="1">
      <c r="A2640" s="1" t="str">
        <f>Paths!$A$246</f>
        <v>T060</v>
      </c>
      <c r="B2640" s="1">
        <f>Paths!$B$246</f>
        <v>3</v>
      </c>
      <c r="C2640" s="1">
        <v>4</v>
      </c>
      <c r="D2640" s="1">
        <v>246</v>
      </c>
      <c r="E2640" s="1">
        <f>IF(OR(Paths!$C$246=0,C2640=0),0,MAX(0,MIN(C2640*12,Paths!$E$246)-(C2640-1)*12))</f>
        <v>0</v>
      </c>
      <c r="F2640" s="1">
        <f>IF(OR(Paths!$C$246=0,C2640=0),0,12-E2640)</f>
        <v>0</v>
      </c>
      <c r="G2640" s="16">
        <f>IF(NOT(Paths!$C$246=1),0,IF(Paths!$P$246="Complete",E2640/12*(Paths!$J$246*(1+'Operating costs'!$B$51)^MAX(0,C2640-1)+Paths!$K$246*(1+'Operating costs'!$B$53)^MAX(0,C2640-1)),"n.a."))</f>
        <v>0</v>
      </c>
      <c r="H2640" s="16">
        <f>IF(NOT(Paths!$C$246=1),0,IF(Paths!$P$246="Complete",F2640/12*(Paths!$L$246*(1+IF(Paths!$D$246="EV",'Operating costs'!$B$52,'Operating costs'!$B$51))^MAX(0,C2640-1)+Paths!$M$246*(1+'Operating costs'!$B$53)^MAX(0,C2640-1)),"n.a."))</f>
        <v>0</v>
      </c>
      <c r="I2640" s="16">
        <f>IF(NOT(Paths!$C$246=1),0,IF(Paths!$P$246="Complete",IF(IF(Paths!$E$246=0,C2640=0,AND(C2640&gt;0,Paths!$E$246&gt;(C2640-1)*12,Paths!$E$246&lt;=C2640*12)),Paths!$G$246,0),"n.a."))</f>
        <v>0</v>
      </c>
      <c r="J2640" s="16">
        <f>IF(NOT(Paths!$C$246=1),0,IF(Paths!$P$246="Complete",IF(IF(Paths!$E$246=0,C2640=0,AND(C2640&gt;0,Paths!$E$246&gt;(C2640-1)*12,Paths!$E$246&lt;=C2640*12)),Paths!$H$246,0),"n.a."))</f>
        <v>0</v>
      </c>
      <c r="K2640" s="16">
        <f>IF(NOT(Paths!$C$246=1),0,IF(Paths!$P$246="Complete",IF(IF(Paths!$O$246=0,C2640=0,AND(C2640&gt;0,Paths!$O$246&gt;(C2640-1)*12,Paths!$O$246&lt;=C2640*12)),Paths!$N$246,0),"n.a."))</f>
        <v>0</v>
      </c>
      <c r="L2640" s="16">
        <f>IF(NOT(Paths!$C$246=1),0,IF(Paths!$P$246="Complete",IF(C2640=10,Paths!$I$246,0),"n.a."))</f>
        <v>0</v>
      </c>
      <c r="M2640" s="16">
        <f>IF(NOT(Paths!$C$246=1),0,IF(Paths!$P$246="Complete",IF(AND(Paths!$D$246="EV",Paths!$E$246&lt;120,Paths!$E$246+'Operating costs'!$B$65&gt;Paths!$E$246,Paths!$E$246+'Operating costs'!$B$65&lt;=120,IF(Paths!$E$246+'Operating costs'!$B$65=0,C2640=0,AND(C2640&gt;0,Paths!$E$246+'Operating costs'!$B$65&gt;(C2640-1)*12,Paths!$E$246+'Operating costs'!$B$65&lt;=C2640*12))),'Operating costs'!$B$64,0)+IF(AND('Operating costs'!$B$67&gt;0,'Operating costs'!$B$67&lt;=120,OR(Paths!$D$246="ICE",'Operating costs'!$B$67&lt;=Paths!$E$246),IF('Operating costs'!$B$67=0,C2640=0,AND(C2640&gt;0,'Operating costs'!$B$67&gt;(C2640-1)*12,'Operating costs'!$B$67&lt;=C2640*12))),'Operating costs'!$B$66,0),"n.a."))</f>
        <v>0</v>
      </c>
      <c r="N2640" s="16">
        <f>IF(NOT(Paths!$C$246=1),0,IF(Paths!$P$246="Complete",SUM(G2640:I2640)-J2640-K2640-L2640+M2640+IF(C2640=0,Paths!$F$246,0)+IF(IF(Paths!$E$246=0,C2640=0,AND(C2640&gt;0,Paths!$E$246&gt;(C2640-1)*12,Paths!$E$246&lt;=C2640*12)),VLOOKUP(A2640,'Fleet register'!$A$7:$S$106,16,FALSE),0),"n.a."))</f>
        <v>0</v>
      </c>
      <c r="O2640" s="16">
        <f>IF(NOT(Paths!$C$246=1),0,IF(Paths!$P$246="Complete",N2640-IF(C2640=0,Paths!$F$246,0),"n.a."))</f>
        <v>0</v>
      </c>
      <c r="P2640" s="16">
        <f>IF(NOT(Paths!$C$246=1),0,IF(Paths!$P$246="Complete",O2640+L2640,"n.a."))</f>
        <v>0</v>
      </c>
      <c r="Q2640" s="16">
        <f>IF(NOT(Paths!$C$246=1),0,IF(Paths!$P$246="Complete",N2640*(1+'Operating costs'!$B$54)^-C2640,"n.a."))</f>
        <v>0</v>
      </c>
      <c r="R2640" s="16">
        <f>IF(NOT(Paths!$C$246=1),0,IF(Paths!$P$246="Complete",IF(AND(C2640=0,Paths!$E$246=0),I2640-J2640-K2640+VLOOKUP(A2640,'Fleet register'!$A$7:$S$106,15,FALSE)+VLOOKUP(A2640,'Fleet register'!$A$7:$S$106,16,FALSE),0),"n.a."))</f>
        <v>0</v>
      </c>
      <c r="S2640" s="1">
        <f>IF(NOT(Paths!$C$246=1),0,IF(Paths!$P$246="Complete",IF(C2640=0,0,Paths!$S$246*Paths!$R$246),"n.a."))</f>
        <v>0</v>
      </c>
      <c r="T2640" s="1">
        <f>IF(NOT(Paths!$C$246=1),0,IF(Paths!$P$246="Complete",IF(C2640=0,0,VLOOKUP(A2640,'Fleet register'!$A$7:$S$106,9,FALSE)*Paths!$R$246),"n.a."))</f>
        <v>0</v>
      </c>
    </row>
    <row r="2641" spans="1:20" ht="24" customHeight="1">
      <c r="A2641" s="1" t="str">
        <f>Paths!$A$246</f>
        <v>T060</v>
      </c>
      <c r="B2641" s="1">
        <f>Paths!$B$246</f>
        <v>3</v>
      </c>
      <c r="C2641" s="1">
        <v>5</v>
      </c>
      <c r="D2641" s="1">
        <v>246</v>
      </c>
      <c r="E2641" s="1">
        <f>IF(OR(Paths!$C$246=0,C2641=0),0,MAX(0,MIN(C2641*12,Paths!$E$246)-(C2641-1)*12))</f>
        <v>0</v>
      </c>
      <c r="F2641" s="1">
        <f>IF(OR(Paths!$C$246=0,C2641=0),0,12-E2641)</f>
        <v>0</v>
      </c>
      <c r="G2641" s="16">
        <f>IF(NOT(Paths!$C$246=1),0,IF(Paths!$P$246="Complete",E2641/12*(Paths!$J$246*(1+'Operating costs'!$B$51)^MAX(0,C2641-1)+Paths!$K$246*(1+'Operating costs'!$B$53)^MAX(0,C2641-1)),"n.a."))</f>
        <v>0</v>
      </c>
      <c r="H2641" s="16">
        <f>IF(NOT(Paths!$C$246=1),0,IF(Paths!$P$246="Complete",F2641/12*(Paths!$L$246*(1+IF(Paths!$D$246="EV",'Operating costs'!$B$52,'Operating costs'!$B$51))^MAX(0,C2641-1)+Paths!$M$246*(1+'Operating costs'!$B$53)^MAX(0,C2641-1)),"n.a."))</f>
        <v>0</v>
      </c>
      <c r="I2641" s="16">
        <f>IF(NOT(Paths!$C$246=1),0,IF(Paths!$P$246="Complete",IF(IF(Paths!$E$246=0,C2641=0,AND(C2641&gt;0,Paths!$E$246&gt;(C2641-1)*12,Paths!$E$246&lt;=C2641*12)),Paths!$G$246,0),"n.a."))</f>
        <v>0</v>
      </c>
      <c r="J2641" s="16">
        <f>IF(NOT(Paths!$C$246=1),0,IF(Paths!$P$246="Complete",IF(IF(Paths!$E$246=0,C2641=0,AND(C2641&gt;0,Paths!$E$246&gt;(C2641-1)*12,Paths!$E$246&lt;=C2641*12)),Paths!$H$246,0),"n.a."))</f>
        <v>0</v>
      </c>
      <c r="K2641" s="16">
        <f>IF(NOT(Paths!$C$246=1),0,IF(Paths!$P$246="Complete",IF(IF(Paths!$O$246=0,C2641=0,AND(C2641&gt;0,Paths!$O$246&gt;(C2641-1)*12,Paths!$O$246&lt;=C2641*12)),Paths!$N$246,0),"n.a."))</f>
        <v>0</v>
      </c>
      <c r="L2641" s="16">
        <f>IF(NOT(Paths!$C$246=1),0,IF(Paths!$P$246="Complete",IF(C2641=10,Paths!$I$246,0),"n.a."))</f>
        <v>0</v>
      </c>
      <c r="M2641" s="16">
        <f>IF(NOT(Paths!$C$246=1),0,IF(Paths!$P$246="Complete",IF(AND(Paths!$D$246="EV",Paths!$E$246&lt;120,Paths!$E$246+'Operating costs'!$B$65&gt;Paths!$E$246,Paths!$E$246+'Operating costs'!$B$65&lt;=120,IF(Paths!$E$246+'Operating costs'!$B$65=0,C2641=0,AND(C2641&gt;0,Paths!$E$246+'Operating costs'!$B$65&gt;(C2641-1)*12,Paths!$E$246+'Operating costs'!$B$65&lt;=C2641*12))),'Operating costs'!$B$64,0)+IF(AND('Operating costs'!$B$67&gt;0,'Operating costs'!$B$67&lt;=120,OR(Paths!$D$246="ICE",'Operating costs'!$B$67&lt;=Paths!$E$246),IF('Operating costs'!$B$67=0,C2641=0,AND(C2641&gt;0,'Operating costs'!$B$67&gt;(C2641-1)*12,'Operating costs'!$B$67&lt;=C2641*12))),'Operating costs'!$B$66,0),"n.a."))</f>
        <v>0</v>
      </c>
      <c r="N2641" s="16">
        <f>IF(NOT(Paths!$C$246=1),0,IF(Paths!$P$246="Complete",SUM(G2641:I2641)-J2641-K2641-L2641+M2641+IF(C2641=0,Paths!$F$246,0)+IF(IF(Paths!$E$246=0,C2641=0,AND(C2641&gt;0,Paths!$E$246&gt;(C2641-1)*12,Paths!$E$246&lt;=C2641*12)),VLOOKUP(A2641,'Fleet register'!$A$7:$S$106,16,FALSE),0),"n.a."))</f>
        <v>0</v>
      </c>
      <c r="O2641" s="16">
        <f>IF(NOT(Paths!$C$246=1),0,IF(Paths!$P$246="Complete",N2641-IF(C2641=0,Paths!$F$246,0),"n.a."))</f>
        <v>0</v>
      </c>
      <c r="P2641" s="16">
        <f>IF(NOT(Paths!$C$246=1),0,IF(Paths!$P$246="Complete",O2641+L2641,"n.a."))</f>
        <v>0</v>
      </c>
      <c r="Q2641" s="16">
        <f>IF(NOT(Paths!$C$246=1),0,IF(Paths!$P$246="Complete",N2641*(1+'Operating costs'!$B$54)^-C2641,"n.a."))</f>
        <v>0</v>
      </c>
      <c r="R2641" s="16">
        <f>IF(NOT(Paths!$C$246=1),0,IF(Paths!$P$246="Complete",IF(AND(C2641=0,Paths!$E$246=0),I2641-J2641-K2641+VLOOKUP(A2641,'Fleet register'!$A$7:$S$106,15,FALSE)+VLOOKUP(A2641,'Fleet register'!$A$7:$S$106,16,FALSE),0),"n.a."))</f>
        <v>0</v>
      </c>
      <c r="S2641" s="1">
        <f>IF(NOT(Paths!$C$246=1),0,IF(Paths!$P$246="Complete",IF(C2641=0,0,Paths!$S$246*Paths!$R$246),"n.a."))</f>
        <v>0</v>
      </c>
      <c r="T2641" s="1">
        <f>IF(NOT(Paths!$C$246=1),0,IF(Paths!$P$246="Complete",IF(C2641=0,0,VLOOKUP(A2641,'Fleet register'!$A$7:$S$106,9,FALSE)*Paths!$R$246),"n.a."))</f>
        <v>0</v>
      </c>
    </row>
    <row r="2642" spans="1:20" ht="24" customHeight="1">
      <c r="A2642" s="1" t="str">
        <f>Paths!$A$246</f>
        <v>T060</v>
      </c>
      <c r="B2642" s="1">
        <f>Paths!$B$246</f>
        <v>3</v>
      </c>
      <c r="C2642" s="1">
        <v>6</v>
      </c>
      <c r="D2642" s="1">
        <v>246</v>
      </c>
      <c r="E2642" s="1">
        <f>IF(OR(Paths!$C$246=0,C2642=0),0,MAX(0,MIN(C2642*12,Paths!$E$246)-(C2642-1)*12))</f>
        <v>0</v>
      </c>
      <c r="F2642" s="1">
        <f>IF(OR(Paths!$C$246=0,C2642=0),0,12-E2642)</f>
        <v>0</v>
      </c>
      <c r="G2642" s="16">
        <f>IF(NOT(Paths!$C$246=1),0,IF(Paths!$P$246="Complete",E2642/12*(Paths!$J$246*(1+'Operating costs'!$B$51)^MAX(0,C2642-1)+Paths!$K$246*(1+'Operating costs'!$B$53)^MAX(0,C2642-1)),"n.a."))</f>
        <v>0</v>
      </c>
      <c r="H2642" s="16">
        <f>IF(NOT(Paths!$C$246=1),0,IF(Paths!$P$246="Complete",F2642/12*(Paths!$L$246*(1+IF(Paths!$D$246="EV",'Operating costs'!$B$52,'Operating costs'!$B$51))^MAX(0,C2642-1)+Paths!$M$246*(1+'Operating costs'!$B$53)^MAX(0,C2642-1)),"n.a."))</f>
        <v>0</v>
      </c>
      <c r="I2642" s="16">
        <f>IF(NOT(Paths!$C$246=1),0,IF(Paths!$P$246="Complete",IF(IF(Paths!$E$246=0,C2642=0,AND(C2642&gt;0,Paths!$E$246&gt;(C2642-1)*12,Paths!$E$246&lt;=C2642*12)),Paths!$G$246,0),"n.a."))</f>
        <v>0</v>
      </c>
      <c r="J2642" s="16">
        <f>IF(NOT(Paths!$C$246=1),0,IF(Paths!$P$246="Complete",IF(IF(Paths!$E$246=0,C2642=0,AND(C2642&gt;0,Paths!$E$246&gt;(C2642-1)*12,Paths!$E$246&lt;=C2642*12)),Paths!$H$246,0),"n.a."))</f>
        <v>0</v>
      </c>
      <c r="K2642" s="16">
        <f>IF(NOT(Paths!$C$246=1),0,IF(Paths!$P$246="Complete",IF(IF(Paths!$O$246=0,C2642=0,AND(C2642&gt;0,Paths!$O$246&gt;(C2642-1)*12,Paths!$O$246&lt;=C2642*12)),Paths!$N$246,0),"n.a."))</f>
        <v>0</v>
      </c>
      <c r="L2642" s="16">
        <f>IF(NOT(Paths!$C$246=1),0,IF(Paths!$P$246="Complete",IF(C2642=10,Paths!$I$246,0),"n.a."))</f>
        <v>0</v>
      </c>
      <c r="M2642" s="16">
        <f>IF(NOT(Paths!$C$246=1),0,IF(Paths!$P$246="Complete",IF(AND(Paths!$D$246="EV",Paths!$E$246&lt;120,Paths!$E$246+'Operating costs'!$B$65&gt;Paths!$E$246,Paths!$E$246+'Operating costs'!$B$65&lt;=120,IF(Paths!$E$246+'Operating costs'!$B$65=0,C2642=0,AND(C2642&gt;0,Paths!$E$246+'Operating costs'!$B$65&gt;(C2642-1)*12,Paths!$E$246+'Operating costs'!$B$65&lt;=C2642*12))),'Operating costs'!$B$64,0)+IF(AND('Operating costs'!$B$67&gt;0,'Operating costs'!$B$67&lt;=120,OR(Paths!$D$246="ICE",'Operating costs'!$B$67&lt;=Paths!$E$246),IF('Operating costs'!$B$67=0,C2642=0,AND(C2642&gt;0,'Operating costs'!$B$67&gt;(C2642-1)*12,'Operating costs'!$B$67&lt;=C2642*12))),'Operating costs'!$B$66,0),"n.a."))</f>
        <v>0</v>
      </c>
      <c r="N2642" s="16">
        <f>IF(NOT(Paths!$C$246=1),0,IF(Paths!$P$246="Complete",SUM(G2642:I2642)-J2642-K2642-L2642+M2642+IF(C2642=0,Paths!$F$246,0)+IF(IF(Paths!$E$246=0,C2642=0,AND(C2642&gt;0,Paths!$E$246&gt;(C2642-1)*12,Paths!$E$246&lt;=C2642*12)),VLOOKUP(A2642,'Fleet register'!$A$7:$S$106,16,FALSE),0),"n.a."))</f>
        <v>0</v>
      </c>
      <c r="O2642" s="16">
        <f>IF(NOT(Paths!$C$246=1),0,IF(Paths!$P$246="Complete",N2642-IF(C2642=0,Paths!$F$246,0),"n.a."))</f>
        <v>0</v>
      </c>
      <c r="P2642" s="16">
        <f>IF(NOT(Paths!$C$246=1),0,IF(Paths!$P$246="Complete",O2642+L2642,"n.a."))</f>
        <v>0</v>
      </c>
      <c r="Q2642" s="16">
        <f>IF(NOT(Paths!$C$246=1),0,IF(Paths!$P$246="Complete",N2642*(1+'Operating costs'!$B$54)^-C2642,"n.a."))</f>
        <v>0</v>
      </c>
      <c r="R2642" s="16">
        <f>IF(NOT(Paths!$C$246=1),0,IF(Paths!$P$246="Complete",IF(AND(C2642=0,Paths!$E$246=0),I2642-J2642-K2642+VLOOKUP(A2642,'Fleet register'!$A$7:$S$106,15,FALSE)+VLOOKUP(A2642,'Fleet register'!$A$7:$S$106,16,FALSE),0),"n.a."))</f>
        <v>0</v>
      </c>
      <c r="S2642" s="1">
        <f>IF(NOT(Paths!$C$246=1),0,IF(Paths!$P$246="Complete",IF(C2642=0,0,Paths!$S$246*Paths!$R$246),"n.a."))</f>
        <v>0</v>
      </c>
      <c r="T2642" s="1">
        <f>IF(NOT(Paths!$C$246=1),0,IF(Paths!$P$246="Complete",IF(C2642=0,0,VLOOKUP(A2642,'Fleet register'!$A$7:$S$106,9,FALSE)*Paths!$R$246),"n.a."))</f>
        <v>0</v>
      </c>
    </row>
    <row r="2643" spans="1:20" ht="24" customHeight="1">
      <c r="A2643" s="1" t="str">
        <f>Paths!$A$246</f>
        <v>T060</v>
      </c>
      <c r="B2643" s="1">
        <f>Paths!$B$246</f>
        <v>3</v>
      </c>
      <c r="C2643" s="1">
        <v>7</v>
      </c>
      <c r="D2643" s="1">
        <v>246</v>
      </c>
      <c r="E2643" s="1">
        <f>IF(OR(Paths!$C$246=0,C2643=0),0,MAX(0,MIN(C2643*12,Paths!$E$246)-(C2643-1)*12))</f>
        <v>0</v>
      </c>
      <c r="F2643" s="1">
        <f>IF(OR(Paths!$C$246=0,C2643=0),0,12-E2643)</f>
        <v>0</v>
      </c>
      <c r="G2643" s="16">
        <f>IF(NOT(Paths!$C$246=1),0,IF(Paths!$P$246="Complete",E2643/12*(Paths!$J$246*(1+'Operating costs'!$B$51)^MAX(0,C2643-1)+Paths!$K$246*(1+'Operating costs'!$B$53)^MAX(0,C2643-1)),"n.a."))</f>
        <v>0</v>
      </c>
      <c r="H2643" s="16">
        <f>IF(NOT(Paths!$C$246=1),0,IF(Paths!$P$246="Complete",F2643/12*(Paths!$L$246*(1+IF(Paths!$D$246="EV",'Operating costs'!$B$52,'Operating costs'!$B$51))^MAX(0,C2643-1)+Paths!$M$246*(1+'Operating costs'!$B$53)^MAX(0,C2643-1)),"n.a."))</f>
        <v>0</v>
      </c>
      <c r="I2643" s="16">
        <f>IF(NOT(Paths!$C$246=1),0,IF(Paths!$P$246="Complete",IF(IF(Paths!$E$246=0,C2643=0,AND(C2643&gt;0,Paths!$E$246&gt;(C2643-1)*12,Paths!$E$246&lt;=C2643*12)),Paths!$G$246,0),"n.a."))</f>
        <v>0</v>
      </c>
      <c r="J2643" s="16">
        <f>IF(NOT(Paths!$C$246=1),0,IF(Paths!$P$246="Complete",IF(IF(Paths!$E$246=0,C2643=0,AND(C2643&gt;0,Paths!$E$246&gt;(C2643-1)*12,Paths!$E$246&lt;=C2643*12)),Paths!$H$246,0),"n.a."))</f>
        <v>0</v>
      </c>
      <c r="K2643" s="16">
        <f>IF(NOT(Paths!$C$246=1),0,IF(Paths!$P$246="Complete",IF(IF(Paths!$O$246=0,C2643=0,AND(C2643&gt;0,Paths!$O$246&gt;(C2643-1)*12,Paths!$O$246&lt;=C2643*12)),Paths!$N$246,0),"n.a."))</f>
        <v>0</v>
      </c>
      <c r="L2643" s="16">
        <f>IF(NOT(Paths!$C$246=1),0,IF(Paths!$P$246="Complete",IF(C2643=10,Paths!$I$246,0),"n.a."))</f>
        <v>0</v>
      </c>
      <c r="M2643" s="16">
        <f>IF(NOT(Paths!$C$246=1),0,IF(Paths!$P$246="Complete",IF(AND(Paths!$D$246="EV",Paths!$E$246&lt;120,Paths!$E$246+'Operating costs'!$B$65&gt;Paths!$E$246,Paths!$E$246+'Operating costs'!$B$65&lt;=120,IF(Paths!$E$246+'Operating costs'!$B$65=0,C2643=0,AND(C2643&gt;0,Paths!$E$246+'Operating costs'!$B$65&gt;(C2643-1)*12,Paths!$E$246+'Operating costs'!$B$65&lt;=C2643*12))),'Operating costs'!$B$64,0)+IF(AND('Operating costs'!$B$67&gt;0,'Operating costs'!$B$67&lt;=120,OR(Paths!$D$246="ICE",'Operating costs'!$B$67&lt;=Paths!$E$246),IF('Operating costs'!$B$67=0,C2643=0,AND(C2643&gt;0,'Operating costs'!$B$67&gt;(C2643-1)*12,'Operating costs'!$B$67&lt;=C2643*12))),'Operating costs'!$B$66,0),"n.a."))</f>
        <v>0</v>
      </c>
      <c r="N2643" s="16">
        <f>IF(NOT(Paths!$C$246=1),0,IF(Paths!$P$246="Complete",SUM(G2643:I2643)-J2643-K2643-L2643+M2643+IF(C2643=0,Paths!$F$246,0)+IF(IF(Paths!$E$246=0,C2643=0,AND(C2643&gt;0,Paths!$E$246&gt;(C2643-1)*12,Paths!$E$246&lt;=C2643*12)),VLOOKUP(A2643,'Fleet register'!$A$7:$S$106,16,FALSE),0),"n.a."))</f>
        <v>0</v>
      </c>
      <c r="O2643" s="16">
        <f>IF(NOT(Paths!$C$246=1),0,IF(Paths!$P$246="Complete",N2643-IF(C2643=0,Paths!$F$246,0),"n.a."))</f>
        <v>0</v>
      </c>
      <c r="P2643" s="16">
        <f>IF(NOT(Paths!$C$246=1),0,IF(Paths!$P$246="Complete",O2643+L2643,"n.a."))</f>
        <v>0</v>
      </c>
      <c r="Q2643" s="16">
        <f>IF(NOT(Paths!$C$246=1),0,IF(Paths!$P$246="Complete",N2643*(1+'Operating costs'!$B$54)^-C2643,"n.a."))</f>
        <v>0</v>
      </c>
      <c r="R2643" s="16">
        <f>IF(NOT(Paths!$C$246=1),0,IF(Paths!$P$246="Complete",IF(AND(C2643=0,Paths!$E$246=0),I2643-J2643-K2643+VLOOKUP(A2643,'Fleet register'!$A$7:$S$106,15,FALSE)+VLOOKUP(A2643,'Fleet register'!$A$7:$S$106,16,FALSE),0),"n.a."))</f>
        <v>0</v>
      </c>
      <c r="S2643" s="1">
        <f>IF(NOT(Paths!$C$246=1),0,IF(Paths!$P$246="Complete",IF(C2643=0,0,Paths!$S$246*Paths!$R$246),"n.a."))</f>
        <v>0</v>
      </c>
      <c r="T2643" s="1">
        <f>IF(NOT(Paths!$C$246=1),0,IF(Paths!$P$246="Complete",IF(C2643=0,0,VLOOKUP(A2643,'Fleet register'!$A$7:$S$106,9,FALSE)*Paths!$R$246),"n.a."))</f>
        <v>0</v>
      </c>
    </row>
    <row r="2644" spans="1:20" ht="24" customHeight="1">
      <c r="A2644" s="1" t="str">
        <f>Paths!$A$246</f>
        <v>T060</v>
      </c>
      <c r="B2644" s="1">
        <f>Paths!$B$246</f>
        <v>3</v>
      </c>
      <c r="C2644" s="1">
        <v>8</v>
      </c>
      <c r="D2644" s="1">
        <v>246</v>
      </c>
      <c r="E2644" s="1">
        <f>IF(OR(Paths!$C$246=0,C2644=0),0,MAX(0,MIN(C2644*12,Paths!$E$246)-(C2644-1)*12))</f>
        <v>0</v>
      </c>
      <c r="F2644" s="1">
        <f>IF(OR(Paths!$C$246=0,C2644=0),0,12-E2644)</f>
        <v>0</v>
      </c>
      <c r="G2644" s="16">
        <f>IF(NOT(Paths!$C$246=1),0,IF(Paths!$P$246="Complete",E2644/12*(Paths!$J$246*(1+'Operating costs'!$B$51)^MAX(0,C2644-1)+Paths!$K$246*(1+'Operating costs'!$B$53)^MAX(0,C2644-1)),"n.a."))</f>
        <v>0</v>
      </c>
      <c r="H2644" s="16">
        <f>IF(NOT(Paths!$C$246=1),0,IF(Paths!$P$246="Complete",F2644/12*(Paths!$L$246*(1+IF(Paths!$D$246="EV",'Operating costs'!$B$52,'Operating costs'!$B$51))^MAX(0,C2644-1)+Paths!$M$246*(1+'Operating costs'!$B$53)^MAX(0,C2644-1)),"n.a."))</f>
        <v>0</v>
      </c>
      <c r="I2644" s="16">
        <f>IF(NOT(Paths!$C$246=1),0,IF(Paths!$P$246="Complete",IF(IF(Paths!$E$246=0,C2644=0,AND(C2644&gt;0,Paths!$E$246&gt;(C2644-1)*12,Paths!$E$246&lt;=C2644*12)),Paths!$G$246,0),"n.a."))</f>
        <v>0</v>
      </c>
      <c r="J2644" s="16">
        <f>IF(NOT(Paths!$C$246=1),0,IF(Paths!$P$246="Complete",IF(IF(Paths!$E$246=0,C2644=0,AND(C2644&gt;0,Paths!$E$246&gt;(C2644-1)*12,Paths!$E$246&lt;=C2644*12)),Paths!$H$246,0),"n.a."))</f>
        <v>0</v>
      </c>
      <c r="K2644" s="16">
        <f>IF(NOT(Paths!$C$246=1),0,IF(Paths!$P$246="Complete",IF(IF(Paths!$O$246=0,C2644=0,AND(C2644&gt;0,Paths!$O$246&gt;(C2644-1)*12,Paths!$O$246&lt;=C2644*12)),Paths!$N$246,0),"n.a."))</f>
        <v>0</v>
      </c>
      <c r="L2644" s="16">
        <f>IF(NOT(Paths!$C$246=1),0,IF(Paths!$P$246="Complete",IF(C2644=10,Paths!$I$246,0),"n.a."))</f>
        <v>0</v>
      </c>
      <c r="M2644" s="16">
        <f>IF(NOT(Paths!$C$246=1),0,IF(Paths!$P$246="Complete",IF(AND(Paths!$D$246="EV",Paths!$E$246&lt;120,Paths!$E$246+'Operating costs'!$B$65&gt;Paths!$E$246,Paths!$E$246+'Operating costs'!$B$65&lt;=120,IF(Paths!$E$246+'Operating costs'!$B$65=0,C2644=0,AND(C2644&gt;0,Paths!$E$246+'Operating costs'!$B$65&gt;(C2644-1)*12,Paths!$E$246+'Operating costs'!$B$65&lt;=C2644*12))),'Operating costs'!$B$64,0)+IF(AND('Operating costs'!$B$67&gt;0,'Operating costs'!$B$67&lt;=120,OR(Paths!$D$246="ICE",'Operating costs'!$B$67&lt;=Paths!$E$246),IF('Operating costs'!$B$67=0,C2644=0,AND(C2644&gt;0,'Operating costs'!$B$67&gt;(C2644-1)*12,'Operating costs'!$B$67&lt;=C2644*12))),'Operating costs'!$B$66,0),"n.a."))</f>
        <v>0</v>
      </c>
      <c r="N2644" s="16">
        <f>IF(NOT(Paths!$C$246=1),0,IF(Paths!$P$246="Complete",SUM(G2644:I2644)-J2644-K2644-L2644+M2644+IF(C2644=0,Paths!$F$246,0)+IF(IF(Paths!$E$246=0,C2644=0,AND(C2644&gt;0,Paths!$E$246&gt;(C2644-1)*12,Paths!$E$246&lt;=C2644*12)),VLOOKUP(A2644,'Fleet register'!$A$7:$S$106,16,FALSE),0),"n.a."))</f>
        <v>0</v>
      </c>
      <c r="O2644" s="16">
        <f>IF(NOT(Paths!$C$246=1),0,IF(Paths!$P$246="Complete",N2644-IF(C2644=0,Paths!$F$246,0),"n.a."))</f>
        <v>0</v>
      </c>
      <c r="P2644" s="16">
        <f>IF(NOT(Paths!$C$246=1),0,IF(Paths!$P$246="Complete",O2644+L2644,"n.a."))</f>
        <v>0</v>
      </c>
      <c r="Q2644" s="16">
        <f>IF(NOT(Paths!$C$246=1),0,IF(Paths!$P$246="Complete",N2644*(1+'Operating costs'!$B$54)^-C2644,"n.a."))</f>
        <v>0</v>
      </c>
      <c r="R2644" s="16">
        <f>IF(NOT(Paths!$C$246=1),0,IF(Paths!$P$246="Complete",IF(AND(C2644=0,Paths!$E$246=0),I2644-J2644-K2644+VLOOKUP(A2644,'Fleet register'!$A$7:$S$106,15,FALSE)+VLOOKUP(A2644,'Fleet register'!$A$7:$S$106,16,FALSE),0),"n.a."))</f>
        <v>0</v>
      </c>
      <c r="S2644" s="1">
        <f>IF(NOT(Paths!$C$246=1),0,IF(Paths!$P$246="Complete",IF(C2644=0,0,Paths!$S$246*Paths!$R$246),"n.a."))</f>
        <v>0</v>
      </c>
      <c r="T2644" s="1">
        <f>IF(NOT(Paths!$C$246=1),0,IF(Paths!$P$246="Complete",IF(C2644=0,0,VLOOKUP(A2644,'Fleet register'!$A$7:$S$106,9,FALSE)*Paths!$R$246),"n.a."))</f>
        <v>0</v>
      </c>
    </row>
    <row r="2645" spans="1:20" ht="24" customHeight="1">
      <c r="A2645" s="1" t="str">
        <f>Paths!$A$246</f>
        <v>T060</v>
      </c>
      <c r="B2645" s="1">
        <f>Paths!$B$246</f>
        <v>3</v>
      </c>
      <c r="C2645" s="1">
        <v>9</v>
      </c>
      <c r="D2645" s="1">
        <v>246</v>
      </c>
      <c r="E2645" s="1">
        <f>IF(OR(Paths!$C$246=0,C2645=0),0,MAX(0,MIN(C2645*12,Paths!$E$246)-(C2645-1)*12))</f>
        <v>0</v>
      </c>
      <c r="F2645" s="1">
        <f>IF(OR(Paths!$C$246=0,C2645=0),0,12-E2645)</f>
        <v>0</v>
      </c>
      <c r="G2645" s="16">
        <f>IF(NOT(Paths!$C$246=1),0,IF(Paths!$P$246="Complete",E2645/12*(Paths!$J$246*(1+'Operating costs'!$B$51)^MAX(0,C2645-1)+Paths!$K$246*(1+'Operating costs'!$B$53)^MAX(0,C2645-1)),"n.a."))</f>
        <v>0</v>
      </c>
      <c r="H2645" s="16">
        <f>IF(NOT(Paths!$C$246=1),0,IF(Paths!$P$246="Complete",F2645/12*(Paths!$L$246*(1+IF(Paths!$D$246="EV",'Operating costs'!$B$52,'Operating costs'!$B$51))^MAX(0,C2645-1)+Paths!$M$246*(1+'Operating costs'!$B$53)^MAX(0,C2645-1)),"n.a."))</f>
        <v>0</v>
      </c>
      <c r="I2645" s="16">
        <f>IF(NOT(Paths!$C$246=1),0,IF(Paths!$P$246="Complete",IF(IF(Paths!$E$246=0,C2645=0,AND(C2645&gt;0,Paths!$E$246&gt;(C2645-1)*12,Paths!$E$246&lt;=C2645*12)),Paths!$G$246,0),"n.a."))</f>
        <v>0</v>
      </c>
      <c r="J2645" s="16">
        <f>IF(NOT(Paths!$C$246=1),0,IF(Paths!$P$246="Complete",IF(IF(Paths!$E$246=0,C2645=0,AND(C2645&gt;0,Paths!$E$246&gt;(C2645-1)*12,Paths!$E$246&lt;=C2645*12)),Paths!$H$246,0),"n.a."))</f>
        <v>0</v>
      </c>
      <c r="K2645" s="16">
        <f>IF(NOT(Paths!$C$246=1),0,IF(Paths!$P$246="Complete",IF(IF(Paths!$O$246=0,C2645=0,AND(C2645&gt;0,Paths!$O$246&gt;(C2645-1)*12,Paths!$O$246&lt;=C2645*12)),Paths!$N$246,0),"n.a."))</f>
        <v>0</v>
      </c>
      <c r="L2645" s="16">
        <f>IF(NOT(Paths!$C$246=1),0,IF(Paths!$P$246="Complete",IF(C2645=10,Paths!$I$246,0),"n.a."))</f>
        <v>0</v>
      </c>
      <c r="M2645" s="16">
        <f>IF(NOT(Paths!$C$246=1),0,IF(Paths!$P$246="Complete",IF(AND(Paths!$D$246="EV",Paths!$E$246&lt;120,Paths!$E$246+'Operating costs'!$B$65&gt;Paths!$E$246,Paths!$E$246+'Operating costs'!$B$65&lt;=120,IF(Paths!$E$246+'Operating costs'!$B$65=0,C2645=0,AND(C2645&gt;0,Paths!$E$246+'Operating costs'!$B$65&gt;(C2645-1)*12,Paths!$E$246+'Operating costs'!$B$65&lt;=C2645*12))),'Operating costs'!$B$64,0)+IF(AND('Operating costs'!$B$67&gt;0,'Operating costs'!$B$67&lt;=120,OR(Paths!$D$246="ICE",'Operating costs'!$B$67&lt;=Paths!$E$246),IF('Operating costs'!$B$67=0,C2645=0,AND(C2645&gt;0,'Operating costs'!$B$67&gt;(C2645-1)*12,'Operating costs'!$B$67&lt;=C2645*12))),'Operating costs'!$B$66,0),"n.a."))</f>
        <v>0</v>
      </c>
      <c r="N2645" s="16">
        <f>IF(NOT(Paths!$C$246=1),0,IF(Paths!$P$246="Complete",SUM(G2645:I2645)-J2645-K2645-L2645+M2645+IF(C2645=0,Paths!$F$246,0)+IF(IF(Paths!$E$246=0,C2645=0,AND(C2645&gt;0,Paths!$E$246&gt;(C2645-1)*12,Paths!$E$246&lt;=C2645*12)),VLOOKUP(A2645,'Fleet register'!$A$7:$S$106,16,FALSE),0),"n.a."))</f>
        <v>0</v>
      </c>
      <c r="O2645" s="16">
        <f>IF(NOT(Paths!$C$246=1),0,IF(Paths!$P$246="Complete",N2645-IF(C2645=0,Paths!$F$246,0),"n.a."))</f>
        <v>0</v>
      </c>
      <c r="P2645" s="16">
        <f>IF(NOT(Paths!$C$246=1),0,IF(Paths!$P$246="Complete",O2645+L2645,"n.a."))</f>
        <v>0</v>
      </c>
      <c r="Q2645" s="16">
        <f>IF(NOT(Paths!$C$246=1),0,IF(Paths!$P$246="Complete",N2645*(1+'Operating costs'!$B$54)^-C2645,"n.a."))</f>
        <v>0</v>
      </c>
      <c r="R2645" s="16">
        <f>IF(NOT(Paths!$C$246=1),0,IF(Paths!$P$246="Complete",IF(AND(C2645=0,Paths!$E$246=0),I2645-J2645-K2645+VLOOKUP(A2645,'Fleet register'!$A$7:$S$106,15,FALSE)+VLOOKUP(A2645,'Fleet register'!$A$7:$S$106,16,FALSE),0),"n.a."))</f>
        <v>0</v>
      </c>
      <c r="S2645" s="1">
        <f>IF(NOT(Paths!$C$246=1),0,IF(Paths!$P$246="Complete",IF(C2645=0,0,Paths!$S$246*Paths!$R$246),"n.a."))</f>
        <v>0</v>
      </c>
      <c r="T2645" s="1">
        <f>IF(NOT(Paths!$C$246=1),0,IF(Paths!$P$246="Complete",IF(C2645=0,0,VLOOKUP(A2645,'Fleet register'!$A$7:$S$106,9,FALSE)*Paths!$R$246),"n.a."))</f>
        <v>0</v>
      </c>
    </row>
    <row r="2646" spans="1:20" ht="24" customHeight="1">
      <c r="A2646" s="1" t="str">
        <f>Paths!$A$246</f>
        <v>T060</v>
      </c>
      <c r="B2646" s="1">
        <f>Paths!$B$246</f>
        <v>3</v>
      </c>
      <c r="C2646" s="1">
        <v>10</v>
      </c>
      <c r="D2646" s="1">
        <v>246</v>
      </c>
      <c r="E2646" s="1">
        <f>IF(OR(Paths!$C$246=0,C2646=0),0,MAX(0,MIN(C2646*12,Paths!$E$246)-(C2646-1)*12))</f>
        <v>0</v>
      </c>
      <c r="F2646" s="1">
        <f>IF(OR(Paths!$C$246=0,C2646=0),0,12-E2646)</f>
        <v>0</v>
      </c>
      <c r="G2646" s="16">
        <f>IF(NOT(Paths!$C$246=1),0,IF(Paths!$P$246="Complete",E2646/12*(Paths!$J$246*(1+'Operating costs'!$B$51)^MAX(0,C2646-1)+Paths!$K$246*(1+'Operating costs'!$B$53)^MAX(0,C2646-1)),"n.a."))</f>
        <v>0</v>
      </c>
      <c r="H2646" s="16">
        <f>IF(NOT(Paths!$C$246=1),0,IF(Paths!$P$246="Complete",F2646/12*(Paths!$L$246*(1+IF(Paths!$D$246="EV",'Operating costs'!$B$52,'Operating costs'!$B$51))^MAX(0,C2646-1)+Paths!$M$246*(1+'Operating costs'!$B$53)^MAX(0,C2646-1)),"n.a."))</f>
        <v>0</v>
      </c>
      <c r="I2646" s="16">
        <f>IF(NOT(Paths!$C$246=1),0,IF(Paths!$P$246="Complete",IF(IF(Paths!$E$246=0,C2646=0,AND(C2646&gt;0,Paths!$E$246&gt;(C2646-1)*12,Paths!$E$246&lt;=C2646*12)),Paths!$G$246,0),"n.a."))</f>
        <v>0</v>
      </c>
      <c r="J2646" s="16">
        <f>IF(NOT(Paths!$C$246=1),0,IF(Paths!$P$246="Complete",IF(IF(Paths!$E$246=0,C2646=0,AND(C2646&gt;0,Paths!$E$246&gt;(C2646-1)*12,Paths!$E$246&lt;=C2646*12)),Paths!$H$246,0),"n.a."))</f>
        <v>0</v>
      </c>
      <c r="K2646" s="16">
        <f>IF(NOT(Paths!$C$246=1),0,IF(Paths!$P$246="Complete",IF(IF(Paths!$O$246=0,C2646=0,AND(C2646&gt;0,Paths!$O$246&gt;(C2646-1)*12,Paths!$O$246&lt;=C2646*12)),Paths!$N$246,0),"n.a."))</f>
        <v>0</v>
      </c>
      <c r="L2646" s="16">
        <f>IF(NOT(Paths!$C$246=1),0,IF(Paths!$P$246="Complete",IF(C2646=10,Paths!$I$246,0),"n.a."))</f>
        <v>0</v>
      </c>
      <c r="M2646" s="16">
        <f>IF(NOT(Paths!$C$246=1),0,IF(Paths!$P$246="Complete",IF(AND(Paths!$D$246="EV",Paths!$E$246&lt;120,Paths!$E$246+'Operating costs'!$B$65&gt;Paths!$E$246,Paths!$E$246+'Operating costs'!$B$65&lt;=120,IF(Paths!$E$246+'Operating costs'!$B$65=0,C2646=0,AND(C2646&gt;0,Paths!$E$246+'Operating costs'!$B$65&gt;(C2646-1)*12,Paths!$E$246+'Operating costs'!$B$65&lt;=C2646*12))),'Operating costs'!$B$64,0)+IF(AND('Operating costs'!$B$67&gt;0,'Operating costs'!$B$67&lt;=120,OR(Paths!$D$246="ICE",'Operating costs'!$B$67&lt;=Paths!$E$246),IF('Operating costs'!$B$67=0,C2646=0,AND(C2646&gt;0,'Operating costs'!$B$67&gt;(C2646-1)*12,'Operating costs'!$B$67&lt;=C2646*12))),'Operating costs'!$B$66,0),"n.a."))</f>
        <v>0</v>
      </c>
      <c r="N2646" s="16">
        <f>IF(NOT(Paths!$C$246=1),0,IF(Paths!$P$246="Complete",SUM(G2646:I2646)-J2646-K2646-L2646+M2646+IF(C2646=0,Paths!$F$246,0)+IF(IF(Paths!$E$246=0,C2646=0,AND(C2646&gt;0,Paths!$E$246&gt;(C2646-1)*12,Paths!$E$246&lt;=C2646*12)),VLOOKUP(A2646,'Fleet register'!$A$7:$S$106,16,FALSE),0),"n.a."))</f>
        <v>0</v>
      </c>
      <c r="O2646" s="16">
        <f>IF(NOT(Paths!$C$246=1),0,IF(Paths!$P$246="Complete",N2646-IF(C2646=0,Paths!$F$246,0),"n.a."))</f>
        <v>0</v>
      </c>
      <c r="P2646" s="16">
        <f>IF(NOT(Paths!$C$246=1),0,IF(Paths!$P$246="Complete",O2646+L2646,"n.a."))</f>
        <v>0</v>
      </c>
      <c r="Q2646" s="16">
        <f>IF(NOT(Paths!$C$246=1),0,IF(Paths!$P$246="Complete",N2646*(1+'Operating costs'!$B$54)^-C2646,"n.a."))</f>
        <v>0</v>
      </c>
      <c r="R2646" s="16">
        <f>IF(NOT(Paths!$C$246=1),0,IF(Paths!$P$246="Complete",IF(AND(C2646=0,Paths!$E$246=0),I2646-J2646-K2646+VLOOKUP(A2646,'Fleet register'!$A$7:$S$106,15,FALSE)+VLOOKUP(A2646,'Fleet register'!$A$7:$S$106,16,FALSE),0),"n.a."))</f>
        <v>0</v>
      </c>
      <c r="S2646" s="1">
        <f>IF(NOT(Paths!$C$246=1),0,IF(Paths!$P$246="Complete",IF(C2646=0,0,Paths!$S$246*Paths!$R$246),"n.a."))</f>
        <v>0</v>
      </c>
      <c r="T2646" s="1">
        <f>IF(NOT(Paths!$C$246=1),0,IF(Paths!$P$246="Complete",IF(C2646=0,0,VLOOKUP(A2646,'Fleet register'!$A$7:$S$106,9,FALSE)*Paths!$R$246),"n.a."))</f>
        <v>0</v>
      </c>
    </row>
    <row r="2647" spans="1:20" ht="24" customHeight="1">
      <c r="A2647" s="1" t="str">
        <f>Paths!$A$247</f>
        <v>T061</v>
      </c>
      <c r="B2647" s="1">
        <f>Paths!$B$247</f>
        <v>0</v>
      </c>
      <c r="C2647" s="1">
        <v>0</v>
      </c>
      <c r="D2647" s="1">
        <v>247</v>
      </c>
      <c r="E2647" s="1">
        <f>IF(OR(Paths!$C$247=0,C2647=0),0,MAX(0,MIN(C2647*12,Paths!$E$247)-(C2647-1)*12))</f>
        <v>0</v>
      </c>
      <c r="F2647" s="1">
        <f>IF(OR(Paths!$C$247=0,C2647=0),0,12-E2647)</f>
        <v>0</v>
      </c>
      <c r="G2647" s="16">
        <f>IF(NOT(Paths!$C$247=1),0,IF(Paths!$P$247="Complete",E2647/12*(Paths!$J$247*(1+'Operating costs'!$B$51)^MAX(0,C2647-1)+Paths!$K$247*(1+'Operating costs'!$B$53)^MAX(0,C2647-1)),"n.a."))</f>
        <v>0</v>
      </c>
      <c r="H2647" s="16">
        <f>IF(NOT(Paths!$C$247=1),0,IF(Paths!$P$247="Complete",F2647/12*(Paths!$L$247*(1+IF(Paths!$D$247="EV",'Operating costs'!$B$52,'Operating costs'!$B$51))^MAX(0,C2647-1)+Paths!$M$247*(1+'Operating costs'!$B$53)^MAX(0,C2647-1)),"n.a."))</f>
        <v>0</v>
      </c>
      <c r="I2647" s="16">
        <f>IF(NOT(Paths!$C$247=1),0,IF(Paths!$P$247="Complete",IF(IF(Paths!$E$247=0,C2647=0,AND(C2647&gt;0,Paths!$E$247&gt;(C2647-1)*12,Paths!$E$247&lt;=C2647*12)),Paths!$G$247,0),"n.a."))</f>
        <v>0</v>
      </c>
      <c r="J2647" s="16">
        <f>IF(NOT(Paths!$C$247=1),0,IF(Paths!$P$247="Complete",IF(IF(Paths!$E$247=0,C2647=0,AND(C2647&gt;0,Paths!$E$247&gt;(C2647-1)*12,Paths!$E$247&lt;=C2647*12)),Paths!$H$247,0),"n.a."))</f>
        <v>0</v>
      </c>
      <c r="K2647" s="16">
        <f>IF(NOT(Paths!$C$247=1),0,IF(Paths!$P$247="Complete",IF(IF(Paths!$O$247=0,C2647=0,AND(C2647&gt;0,Paths!$O$247&gt;(C2647-1)*12,Paths!$O$247&lt;=C2647*12)),Paths!$N$247,0),"n.a."))</f>
        <v>0</v>
      </c>
      <c r="L2647" s="16">
        <f>IF(NOT(Paths!$C$247=1),0,IF(Paths!$P$247="Complete",IF(C2647=10,Paths!$I$247,0),"n.a."))</f>
        <v>0</v>
      </c>
      <c r="M2647" s="16">
        <f>IF(NOT(Paths!$C$247=1),0,IF(Paths!$P$247="Complete",IF(AND(Paths!$D$247="EV",Paths!$E$247&lt;120,Paths!$E$247+'Operating costs'!$B$65&gt;Paths!$E$247,Paths!$E$247+'Operating costs'!$B$65&lt;=120,IF(Paths!$E$247+'Operating costs'!$B$65=0,C2647=0,AND(C2647&gt;0,Paths!$E$247+'Operating costs'!$B$65&gt;(C2647-1)*12,Paths!$E$247+'Operating costs'!$B$65&lt;=C2647*12))),'Operating costs'!$B$64,0)+IF(AND('Operating costs'!$B$67&gt;0,'Operating costs'!$B$67&lt;=120,OR(Paths!$D$247="ICE",'Operating costs'!$B$67&lt;=Paths!$E$247),IF('Operating costs'!$B$67=0,C2647=0,AND(C2647&gt;0,'Operating costs'!$B$67&gt;(C2647-1)*12,'Operating costs'!$B$67&lt;=C2647*12))),'Operating costs'!$B$66,0),"n.a."))</f>
        <v>0</v>
      </c>
      <c r="N2647" s="16">
        <f>IF(NOT(Paths!$C$247=1),0,IF(Paths!$P$247="Complete",SUM(G2647:I2647)-J2647-K2647-L2647+M2647+IF(C2647=0,Paths!$F$247,0)+IF(IF(Paths!$E$247=0,C2647=0,AND(C2647&gt;0,Paths!$E$247&gt;(C2647-1)*12,Paths!$E$247&lt;=C2647*12)),VLOOKUP(A2647,'Fleet register'!$A$7:$S$106,16,FALSE),0),"n.a."))</f>
        <v>0</v>
      </c>
      <c r="O2647" s="16">
        <f>IF(NOT(Paths!$C$247=1),0,IF(Paths!$P$247="Complete",N2647-IF(C2647=0,Paths!$F$247,0),"n.a."))</f>
        <v>0</v>
      </c>
      <c r="P2647" s="16">
        <f>IF(NOT(Paths!$C$247=1),0,IF(Paths!$P$247="Complete",O2647+L2647,"n.a."))</f>
        <v>0</v>
      </c>
      <c r="Q2647" s="16">
        <f>IF(NOT(Paths!$C$247=1),0,IF(Paths!$P$247="Complete",N2647*(1+'Operating costs'!$B$54)^-C2647,"n.a."))</f>
        <v>0</v>
      </c>
      <c r="R2647" s="16">
        <f>IF(NOT(Paths!$C$247=1),0,IF(Paths!$P$247="Complete",IF(AND(C2647=0,Paths!$E$247=0),I2647-J2647-K2647+VLOOKUP(A2647,'Fleet register'!$A$7:$S$106,15,FALSE)+VLOOKUP(A2647,'Fleet register'!$A$7:$S$106,16,FALSE),0),"n.a."))</f>
        <v>0</v>
      </c>
      <c r="S2647" s="1">
        <f>IF(NOT(Paths!$C$247=1),0,IF(Paths!$P$247="Complete",IF(C2647=0,0,Paths!$S$247*Paths!$R$247),"n.a."))</f>
        <v>0</v>
      </c>
      <c r="T2647" s="1">
        <f>IF(NOT(Paths!$C$247=1),0,IF(Paths!$P$247="Complete",IF(C2647=0,0,VLOOKUP(A2647,'Fleet register'!$A$7:$S$106,9,FALSE)*Paths!$R$247),"n.a."))</f>
        <v>0</v>
      </c>
    </row>
    <row r="2648" spans="1:20" ht="24" customHeight="1">
      <c r="A2648" s="1" t="str">
        <f>Paths!$A$247</f>
        <v>T061</v>
      </c>
      <c r="B2648" s="1">
        <f>Paths!$B$247</f>
        <v>0</v>
      </c>
      <c r="C2648" s="1">
        <v>1</v>
      </c>
      <c r="D2648" s="1">
        <v>247</v>
      </c>
      <c r="E2648" s="1">
        <f>IF(OR(Paths!$C$247=0,C2648=0),0,MAX(0,MIN(C2648*12,Paths!$E$247)-(C2648-1)*12))</f>
        <v>0</v>
      </c>
      <c r="F2648" s="1">
        <f>IF(OR(Paths!$C$247=0,C2648=0),0,12-E2648)</f>
        <v>0</v>
      </c>
      <c r="G2648" s="16">
        <f>IF(NOT(Paths!$C$247=1),0,IF(Paths!$P$247="Complete",E2648/12*(Paths!$J$247*(1+'Operating costs'!$B$51)^MAX(0,C2648-1)+Paths!$K$247*(1+'Operating costs'!$B$53)^MAX(0,C2648-1)),"n.a."))</f>
        <v>0</v>
      </c>
      <c r="H2648" s="16">
        <f>IF(NOT(Paths!$C$247=1),0,IF(Paths!$P$247="Complete",F2648/12*(Paths!$L$247*(1+IF(Paths!$D$247="EV",'Operating costs'!$B$52,'Operating costs'!$B$51))^MAX(0,C2648-1)+Paths!$M$247*(1+'Operating costs'!$B$53)^MAX(0,C2648-1)),"n.a."))</f>
        <v>0</v>
      </c>
      <c r="I2648" s="16">
        <f>IF(NOT(Paths!$C$247=1),0,IF(Paths!$P$247="Complete",IF(IF(Paths!$E$247=0,C2648=0,AND(C2648&gt;0,Paths!$E$247&gt;(C2648-1)*12,Paths!$E$247&lt;=C2648*12)),Paths!$G$247,0),"n.a."))</f>
        <v>0</v>
      </c>
      <c r="J2648" s="16">
        <f>IF(NOT(Paths!$C$247=1),0,IF(Paths!$P$247="Complete",IF(IF(Paths!$E$247=0,C2648=0,AND(C2648&gt;0,Paths!$E$247&gt;(C2648-1)*12,Paths!$E$247&lt;=C2648*12)),Paths!$H$247,0),"n.a."))</f>
        <v>0</v>
      </c>
      <c r="K2648" s="16">
        <f>IF(NOT(Paths!$C$247=1),0,IF(Paths!$P$247="Complete",IF(IF(Paths!$O$247=0,C2648=0,AND(C2648&gt;0,Paths!$O$247&gt;(C2648-1)*12,Paths!$O$247&lt;=C2648*12)),Paths!$N$247,0),"n.a."))</f>
        <v>0</v>
      </c>
      <c r="L2648" s="16">
        <f>IF(NOT(Paths!$C$247=1),0,IF(Paths!$P$247="Complete",IF(C2648=10,Paths!$I$247,0),"n.a."))</f>
        <v>0</v>
      </c>
      <c r="M2648" s="16">
        <f>IF(NOT(Paths!$C$247=1),0,IF(Paths!$P$247="Complete",IF(AND(Paths!$D$247="EV",Paths!$E$247&lt;120,Paths!$E$247+'Operating costs'!$B$65&gt;Paths!$E$247,Paths!$E$247+'Operating costs'!$B$65&lt;=120,IF(Paths!$E$247+'Operating costs'!$B$65=0,C2648=0,AND(C2648&gt;0,Paths!$E$247+'Operating costs'!$B$65&gt;(C2648-1)*12,Paths!$E$247+'Operating costs'!$B$65&lt;=C2648*12))),'Operating costs'!$B$64,0)+IF(AND('Operating costs'!$B$67&gt;0,'Operating costs'!$B$67&lt;=120,OR(Paths!$D$247="ICE",'Operating costs'!$B$67&lt;=Paths!$E$247),IF('Operating costs'!$B$67=0,C2648=0,AND(C2648&gt;0,'Operating costs'!$B$67&gt;(C2648-1)*12,'Operating costs'!$B$67&lt;=C2648*12))),'Operating costs'!$B$66,0),"n.a."))</f>
        <v>0</v>
      </c>
      <c r="N2648" s="16">
        <f>IF(NOT(Paths!$C$247=1),0,IF(Paths!$P$247="Complete",SUM(G2648:I2648)-J2648-K2648-L2648+M2648+IF(C2648=0,Paths!$F$247,0)+IF(IF(Paths!$E$247=0,C2648=0,AND(C2648&gt;0,Paths!$E$247&gt;(C2648-1)*12,Paths!$E$247&lt;=C2648*12)),VLOOKUP(A2648,'Fleet register'!$A$7:$S$106,16,FALSE),0),"n.a."))</f>
        <v>0</v>
      </c>
      <c r="O2648" s="16">
        <f>IF(NOT(Paths!$C$247=1),0,IF(Paths!$P$247="Complete",N2648-IF(C2648=0,Paths!$F$247,0),"n.a."))</f>
        <v>0</v>
      </c>
      <c r="P2648" s="16">
        <f>IF(NOT(Paths!$C$247=1),0,IF(Paths!$P$247="Complete",O2648+L2648,"n.a."))</f>
        <v>0</v>
      </c>
      <c r="Q2648" s="16">
        <f>IF(NOT(Paths!$C$247=1),0,IF(Paths!$P$247="Complete",N2648*(1+'Operating costs'!$B$54)^-C2648,"n.a."))</f>
        <v>0</v>
      </c>
      <c r="R2648" s="16">
        <f>IF(NOT(Paths!$C$247=1),0,IF(Paths!$P$247="Complete",IF(AND(C2648=0,Paths!$E$247=0),I2648-J2648-K2648+VLOOKUP(A2648,'Fleet register'!$A$7:$S$106,15,FALSE)+VLOOKUP(A2648,'Fleet register'!$A$7:$S$106,16,FALSE),0),"n.a."))</f>
        <v>0</v>
      </c>
      <c r="S2648" s="1">
        <f>IF(NOT(Paths!$C$247=1),0,IF(Paths!$P$247="Complete",IF(C2648=0,0,Paths!$S$247*Paths!$R$247),"n.a."))</f>
        <v>0</v>
      </c>
      <c r="T2648" s="1">
        <f>IF(NOT(Paths!$C$247=1),0,IF(Paths!$P$247="Complete",IF(C2648=0,0,VLOOKUP(A2648,'Fleet register'!$A$7:$S$106,9,FALSE)*Paths!$R$247),"n.a."))</f>
        <v>0</v>
      </c>
    </row>
    <row r="2649" spans="1:20" ht="24" customHeight="1">
      <c r="A2649" s="1" t="str">
        <f>Paths!$A$247</f>
        <v>T061</v>
      </c>
      <c r="B2649" s="1">
        <f>Paths!$B$247</f>
        <v>0</v>
      </c>
      <c r="C2649" s="1">
        <v>2</v>
      </c>
      <c r="D2649" s="1">
        <v>247</v>
      </c>
      <c r="E2649" s="1">
        <f>IF(OR(Paths!$C$247=0,C2649=0),0,MAX(0,MIN(C2649*12,Paths!$E$247)-(C2649-1)*12))</f>
        <v>0</v>
      </c>
      <c r="F2649" s="1">
        <f>IF(OR(Paths!$C$247=0,C2649=0),0,12-E2649)</f>
        <v>0</v>
      </c>
      <c r="G2649" s="16">
        <f>IF(NOT(Paths!$C$247=1),0,IF(Paths!$P$247="Complete",E2649/12*(Paths!$J$247*(1+'Operating costs'!$B$51)^MAX(0,C2649-1)+Paths!$K$247*(1+'Operating costs'!$B$53)^MAX(0,C2649-1)),"n.a."))</f>
        <v>0</v>
      </c>
      <c r="H2649" s="16">
        <f>IF(NOT(Paths!$C$247=1),0,IF(Paths!$P$247="Complete",F2649/12*(Paths!$L$247*(1+IF(Paths!$D$247="EV",'Operating costs'!$B$52,'Operating costs'!$B$51))^MAX(0,C2649-1)+Paths!$M$247*(1+'Operating costs'!$B$53)^MAX(0,C2649-1)),"n.a."))</f>
        <v>0</v>
      </c>
      <c r="I2649" s="16">
        <f>IF(NOT(Paths!$C$247=1),0,IF(Paths!$P$247="Complete",IF(IF(Paths!$E$247=0,C2649=0,AND(C2649&gt;0,Paths!$E$247&gt;(C2649-1)*12,Paths!$E$247&lt;=C2649*12)),Paths!$G$247,0),"n.a."))</f>
        <v>0</v>
      </c>
      <c r="J2649" s="16">
        <f>IF(NOT(Paths!$C$247=1),0,IF(Paths!$P$247="Complete",IF(IF(Paths!$E$247=0,C2649=0,AND(C2649&gt;0,Paths!$E$247&gt;(C2649-1)*12,Paths!$E$247&lt;=C2649*12)),Paths!$H$247,0),"n.a."))</f>
        <v>0</v>
      </c>
      <c r="K2649" s="16">
        <f>IF(NOT(Paths!$C$247=1),0,IF(Paths!$P$247="Complete",IF(IF(Paths!$O$247=0,C2649=0,AND(C2649&gt;0,Paths!$O$247&gt;(C2649-1)*12,Paths!$O$247&lt;=C2649*12)),Paths!$N$247,0),"n.a."))</f>
        <v>0</v>
      </c>
      <c r="L2649" s="16">
        <f>IF(NOT(Paths!$C$247=1),0,IF(Paths!$P$247="Complete",IF(C2649=10,Paths!$I$247,0),"n.a."))</f>
        <v>0</v>
      </c>
      <c r="M2649" s="16">
        <f>IF(NOT(Paths!$C$247=1),0,IF(Paths!$P$247="Complete",IF(AND(Paths!$D$247="EV",Paths!$E$247&lt;120,Paths!$E$247+'Operating costs'!$B$65&gt;Paths!$E$247,Paths!$E$247+'Operating costs'!$B$65&lt;=120,IF(Paths!$E$247+'Operating costs'!$B$65=0,C2649=0,AND(C2649&gt;0,Paths!$E$247+'Operating costs'!$B$65&gt;(C2649-1)*12,Paths!$E$247+'Operating costs'!$B$65&lt;=C2649*12))),'Operating costs'!$B$64,0)+IF(AND('Operating costs'!$B$67&gt;0,'Operating costs'!$B$67&lt;=120,OR(Paths!$D$247="ICE",'Operating costs'!$B$67&lt;=Paths!$E$247),IF('Operating costs'!$B$67=0,C2649=0,AND(C2649&gt;0,'Operating costs'!$B$67&gt;(C2649-1)*12,'Operating costs'!$B$67&lt;=C2649*12))),'Operating costs'!$B$66,0),"n.a."))</f>
        <v>0</v>
      </c>
      <c r="N2649" s="16">
        <f>IF(NOT(Paths!$C$247=1),0,IF(Paths!$P$247="Complete",SUM(G2649:I2649)-J2649-K2649-L2649+M2649+IF(C2649=0,Paths!$F$247,0)+IF(IF(Paths!$E$247=0,C2649=0,AND(C2649&gt;0,Paths!$E$247&gt;(C2649-1)*12,Paths!$E$247&lt;=C2649*12)),VLOOKUP(A2649,'Fleet register'!$A$7:$S$106,16,FALSE),0),"n.a."))</f>
        <v>0</v>
      </c>
      <c r="O2649" s="16">
        <f>IF(NOT(Paths!$C$247=1),0,IF(Paths!$P$247="Complete",N2649-IF(C2649=0,Paths!$F$247,0),"n.a."))</f>
        <v>0</v>
      </c>
      <c r="P2649" s="16">
        <f>IF(NOT(Paths!$C$247=1),0,IF(Paths!$P$247="Complete",O2649+L2649,"n.a."))</f>
        <v>0</v>
      </c>
      <c r="Q2649" s="16">
        <f>IF(NOT(Paths!$C$247=1),0,IF(Paths!$P$247="Complete",N2649*(1+'Operating costs'!$B$54)^-C2649,"n.a."))</f>
        <v>0</v>
      </c>
      <c r="R2649" s="16">
        <f>IF(NOT(Paths!$C$247=1),0,IF(Paths!$P$247="Complete",IF(AND(C2649=0,Paths!$E$247=0),I2649-J2649-K2649+VLOOKUP(A2649,'Fleet register'!$A$7:$S$106,15,FALSE)+VLOOKUP(A2649,'Fleet register'!$A$7:$S$106,16,FALSE),0),"n.a."))</f>
        <v>0</v>
      </c>
      <c r="S2649" s="1">
        <f>IF(NOT(Paths!$C$247=1),0,IF(Paths!$P$247="Complete",IF(C2649=0,0,Paths!$S$247*Paths!$R$247),"n.a."))</f>
        <v>0</v>
      </c>
      <c r="T2649" s="1">
        <f>IF(NOT(Paths!$C$247=1),0,IF(Paths!$P$247="Complete",IF(C2649=0,0,VLOOKUP(A2649,'Fleet register'!$A$7:$S$106,9,FALSE)*Paths!$R$247),"n.a."))</f>
        <v>0</v>
      </c>
    </row>
    <row r="2650" spans="1:20" ht="24" customHeight="1">
      <c r="A2650" s="1" t="str">
        <f>Paths!$A$247</f>
        <v>T061</v>
      </c>
      <c r="B2650" s="1">
        <f>Paths!$B$247</f>
        <v>0</v>
      </c>
      <c r="C2650" s="1">
        <v>3</v>
      </c>
      <c r="D2650" s="1">
        <v>247</v>
      </c>
      <c r="E2650" s="1">
        <f>IF(OR(Paths!$C$247=0,C2650=0),0,MAX(0,MIN(C2650*12,Paths!$E$247)-(C2650-1)*12))</f>
        <v>0</v>
      </c>
      <c r="F2650" s="1">
        <f>IF(OR(Paths!$C$247=0,C2650=0),0,12-E2650)</f>
        <v>0</v>
      </c>
      <c r="G2650" s="16">
        <f>IF(NOT(Paths!$C$247=1),0,IF(Paths!$P$247="Complete",E2650/12*(Paths!$J$247*(1+'Operating costs'!$B$51)^MAX(0,C2650-1)+Paths!$K$247*(1+'Operating costs'!$B$53)^MAX(0,C2650-1)),"n.a."))</f>
        <v>0</v>
      </c>
      <c r="H2650" s="16">
        <f>IF(NOT(Paths!$C$247=1),0,IF(Paths!$P$247="Complete",F2650/12*(Paths!$L$247*(1+IF(Paths!$D$247="EV",'Operating costs'!$B$52,'Operating costs'!$B$51))^MAX(0,C2650-1)+Paths!$M$247*(1+'Operating costs'!$B$53)^MAX(0,C2650-1)),"n.a."))</f>
        <v>0</v>
      </c>
      <c r="I2650" s="16">
        <f>IF(NOT(Paths!$C$247=1),0,IF(Paths!$P$247="Complete",IF(IF(Paths!$E$247=0,C2650=0,AND(C2650&gt;0,Paths!$E$247&gt;(C2650-1)*12,Paths!$E$247&lt;=C2650*12)),Paths!$G$247,0),"n.a."))</f>
        <v>0</v>
      </c>
      <c r="J2650" s="16">
        <f>IF(NOT(Paths!$C$247=1),0,IF(Paths!$P$247="Complete",IF(IF(Paths!$E$247=0,C2650=0,AND(C2650&gt;0,Paths!$E$247&gt;(C2650-1)*12,Paths!$E$247&lt;=C2650*12)),Paths!$H$247,0),"n.a."))</f>
        <v>0</v>
      </c>
      <c r="K2650" s="16">
        <f>IF(NOT(Paths!$C$247=1),0,IF(Paths!$P$247="Complete",IF(IF(Paths!$O$247=0,C2650=0,AND(C2650&gt;0,Paths!$O$247&gt;(C2650-1)*12,Paths!$O$247&lt;=C2650*12)),Paths!$N$247,0),"n.a."))</f>
        <v>0</v>
      </c>
      <c r="L2650" s="16">
        <f>IF(NOT(Paths!$C$247=1),0,IF(Paths!$P$247="Complete",IF(C2650=10,Paths!$I$247,0),"n.a."))</f>
        <v>0</v>
      </c>
      <c r="M2650" s="16">
        <f>IF(NOT(Paths!$C$247=1),0,IF(Paths!$P$247="Complete",IF(AND(Paths!$D$247="EV",Paths!$E$247&lt;120,Paths!$E$247+'Operating costs'!$B$65&gt;Paths!$E$247,Paths!$E$247+'Operating costs'!$B$65&lt;=120,IF(Paths!$E$247+'Operating costs'!$B$65=0,C2650=0,AND(C2650&gt;0,Paths!$E$247+'Operating costs'!$B$65&gt;(C2650-1)*12,Paths!$E$247+'Operating costs'!$B$65&lt;=C2650*12))),'Operating costs'!$B$64,0)+IF(AND('Operating costs'!$B$67&gt;0,'Operating costs'!$B$67&lt;=120,OR(Paths!$D$247="ICE",'Operating costs'!$B$67&lt;=Paths!$E$247),IF('Operating costs'!$B$67=0,C2650=0,AND(C2650&gt;0,'Operating costs'!$B$67&gt;(C2650-1)*12,'Operating costs'!$B$67&lt;=C2650*12))),'Operating costs'!$B$66,0),"n.a."))</f>
        <v>0</v>
      </c>
      <c r="N2650" s="16">
        <f>IF(NOT(Paths!$C$247=1),0,IF(Paths!$P$247="Complete",SUM(G2650:I2650)-J2650-K2650-L2650+M2650+IF(C2650=0,Paths!$F$247,0)+IF(IF(Paths!$E$247=0,C2650=0,AND(C2650&gt;0,Paths!$E$247&gt;(C2650-1)*12,Paths!$E$247&lt;=C2650*12)),VLOOKUP(A2650,'Fleet register'!$A$7:$S$106,16,FALSE),0),"n.a."))</f>
        <v>0</v>
      </c>
      <c r="O2650" s="16">
        <f>IF(NOT(Paths!$C$247=1),0,IF(Paths!$P$247="Complete",N2650-IF(C2650=0,Paths!$F$247,0),"n.a."))</f>
        <v>0</v>
      </c>
      <c r="P2650" s="16">
        <f>IF(NOT(Paths!$C$247=1),0,IF(Paths!$P$247="Complete",O2650+L2650,"n.a."))</f>
        <v>0</v>
      </c>
      <c r="Q2650" s="16">
        <f>IF(NOT(Paths!$C$247=1),0,IF(Paths!$P$247="Complete",N2650*(1+'Operating costs'!$B$54)^-C2650,"n.a."))</f>
        <v>0</v>
      </c>
      <c r="R2650" s="16">
        <f>IF(NOT(Paths!$C$247=1),0,IF(Paths!$P$247="Complete",IF(AND(C2650=0,Paths!$E$247=0),I2650-J2650-K2650+VLOOKUP(A2650,'Fleet register'!$A$7:$S$106,15,FALSE)+VLOOKUP(A2650,'Fleet register'!$A$7:$S$106,16,FALSE),0),"n.a."))</f>
        <v>0</v>
      </c>
      <c r="S2650" s="1">
        <f>IF(NOT(Paths!$C$247=1),0,IF(Paths!$P$247="Complete",IF(C2650=0,0,Paths!$S$247*Paths!$R$247),"n.a."))</f>
        <v>0</v>
      </c>
      <c r="T2650" s="1">
        <f>IF(NOT(Paths!$C$247=1),0,IF(Paths!$P$247="Complete",IF(C2650=0,0,VLOOKUP(A2650,'Fleet register'!$A$7:$S$106,9,FALSE)*Paths!$R$247),"n.a."))</f>
        <v>0</v>
      </c>
    </row>
    <row r="2651" spans="1:20" ht="24" customHeight="1">
      <c r="A2651" s="1" t="str">
        <f>Paths!$A$247</f>
        <v>T061</v>
      </c>
      <c r="B2651" s="1">
        <f>Paths!$B$247</f>
        <v>0</v>
      </c>
      <c r="C2651" s="1">
        <v>4</v>
      </c>
      <c r="D2651" s="1">
        <v>247</v>
      </c>
      <c r="E2651" s="1">
        <f>IF(OR(Paths!$C$247=0,C2651=0),0,MAX(0,MIN(C2651*12,Paths!$E$247)-(C2651-1)*12))</f>
        <v>0</v>
      </c>
      <c r="F2651" s="1">
        <f>IF(OR(Paths!$C$247=0,C2651=0),0,12-E2651)</f>
        <v>0</v>
      </c>
      <c r="G2651" s="16">
        <f>IF(NOT(Paths!$C$247=1),0,IF(Paths!$P$247="Complete",E2651/12*(Paths!$J$247*(1+'Operating costs'!$B$51)^MAX(0,C2651-1)+Paths!$K$247*(1+'Operating costs'!$B$53)^MAX(0,C2651-1)),"n.a."))</f>
        <v>0</v>
      </c>
      <c r="H2651" s="16">
        <f>IF(NOT(Paths!$C$247=1),0,IF(Paths!$P$247="Complete",F2651/12*(Paths!$L$247*(1+IF(Paths!$D$247="EV",'Operating costs'!$B$52,'Operating costs'!$B$51))^MAX(0,C2651-1)+Paths!$M$247*(1+'Operating costs'!$B$53)^MAX(0,C2651-1)),"n.a."))</f>
        <v>0</v>
      </c>
      <c r="I2651" s="16">
        <f>IF(NOT(Paths!$C$247=1),0,IF(Paths!$P$247="Complete",IF(IF(Paths!$E$247=0,C2651=0,AND(C2651&gt;0,Paths!$E$247&gt;(C2651-1)*12,Paths!$E$247&lt;=C2651*12)),Paths!$G$247,0),"n.a."))</f>
        <v>0</v>
      </c>
      <c r="J2651" s="16">
        <f>IF(NOT(Paths!$C$247=1),0,IF(Paths!$P$247="Complete",IF(IF(Paths!$E$247=0,C2651=0,AND(C2651&gt;0,Paths!$E$247&gt;(C2651-1)*12,Paths!$E$247&lt;=C2651*12)),Paths!$H$247,0),"n.a."))</f>
        <v>0</v>
      </c>
      <c r="K2651" s="16">
        <f>IF(NOT(Paths!$C$247=1),0,IF(Paths!$P$247="Complete",IF(IF(Paths!$O$247=0,C2651=0,AND(C2651&gt;0,Paths!$O$247&gt;(C2651-1)*12,Paths!$O$247&lt;=C2651*12)),Paths!$N$247,0),"n.a."))</f>
        <v>0</v>
      </c>
      <c r="L2651" s="16">
        <f>IF(NOT(Paths!$C$247=1),0,IF(Paths!$P$247="Complete",IF(C2651=10,Paths!$I$247,0),"n.a."))</f>
        <v>0</v>
      </c>
      <c r="M2651" s="16">
        <f>IF(NOT(Paths!$C$247=1),0,IF(Paths!$P$247="Complete",IF(AND(Paths!$D$247="EV",Paths!$E$247&lt;120,Paths!$E$247+'Operating costs'!$B$65&gt;Paths!$E$247,Paths!$E$247+'Operating costs'!$B$65&lt;=120,IF(Paths!$E$247+'Operating costs'!$B$65=0,C2651=0,AND(C2651&gt;0,Paths!$E$247+'Operating costs'!$B$65&gt;(C2651-1)*12,Paths!$E$247+'Operating costs'!$B$65&lt;=C2651*12))),'Operating costs'!$B$64,0)+IF(AND('Operating costs'!$B$67&gt;0,'Operating costs'!$B$67&lt;=120,OR(Paths!$D$247="ICE",'Operating costs'!$B$67&lt;=Paths!$E$247),IF('Operating costs'!$B$67=0,C2651=0,AND(C2651&gt;0,'Operating costs'!$B$67&gt;(C2651-1)*12,'Operating costs'!$B$67&lt;=C2651*12))),'Operating costs'!$B$66,0),"n.a."))</f>
        <v>0</v>
      </c>
      <c r="N2651" s="16">
        <f>IF(NOT(Paths!$C$247=1),0,IF(Paths!$P$247="Complete",SUM(G2651:I2651)-J2651-K2651-L2651+M2651+IF(C2651=0,Paths!$F$247,0)+IF(IF(Paths!$E$247=0,C2651=0,AND(C2651&gt;0,Paths!$E$247&gt;(C2651-1)*12,Paths!$E$247&lt;=C2651*12)),VLOOKUP(A2651,'Fleet register'!$A$7:$S$106,16,FALSE),0),"n.a."))</f>
        <v>0</v>
      </c>
      <c r="O2651" s="16">
        <f>IF(NOT(Paths!$C$247=1),0,IF(Paths!$P$247="Complete",N2651-IF(C2651=0,Paths!$F$247,0),"n.a."))</f>
        <v>0</v>
      </c>
      <c r="P2651" s="16">
        <f>IF(NOT(Paths!$C$247=1),0,IF(Paths!$P$247="Complete",O2651+L2651,"n.a."))</f>
        <v>0</v>
      </c>
      <c r="Q2651" s="16">
        <f>IF(NOT(Paths!$C$247=1),0,IF(Paths!$P$247="Complete",N2651*(1+'Operating costs'!$B$54)^-C2651,"n.a."))</f>
        <v>0</v>
      </c>
      <c r="R2651" s="16">
        <f>IF(NOT(Paths!$C$247=1),0,IF(Paths!$P$247="Complete",IF(AND(C2651=0,Paths!$E$247=0),I2651-J2651-K2651+VLOOKUP(A2651,'Fleet register'!$A$7:$S$106,15,FALSE)+VLOOKUP(A2651,'Fleet register'!$A$7:$S$106,16,FALSE),0),"n.a."))</f>
        <v>0</v>
      </c>
      <c r="S2651" s="1">
        <f>IF(NOT(Paths!$C$247=1),0,IF(Paths!$P$247="Complete",IF(C2651=0,0,Paths!$S$247*Paths!$R$247),"n.a."))</f>
        <v>0</v>
      </c>
      <c r="T2651" s="1">
        <f>IF(NOT(Paths!$C$247=1),0,IF(Paths!$P$247="Complete",IF(C2651=0,0,VLOOKUP(A2651,'Fleet register'!$A$7:$S$106,9,FALSE)*Paths!$R$247),"n.a."))</f>
        <v>0</v>
      </c>
    </row>
    <row r="2652" spans="1:20" ht="24" customHeight="1">
      <c r="A2652" s="1" t="str">
        <f>Paths!$A$247</f>
        <v>T061</v>
      </c>
      <c r="B2652" s="1">
        <f>Paths!$B$247</f>
        <v>0</v>
      </c>
      <c r="C2652" s="1">
        <v>5</v>
      </c>
      <c r="D2652" s="1">
        <v>247</v>
      </c>
      <c r="E2652" s="1">
        <f>IF(OR(Paths!$C$247=0,C2652=0),0,MAX(0,MIN(C2652*12,Paths!$E$247)-(C2652-1)*12))</f>
        <v>0</v>
      </c>
      <c r="F2652" s="1">
        <f>IF(OR(Paths!$C$247=0,C2652=0),0,12-E2652)</f>
        <v>0</v>
      </c>
      <c r="G2652" s="16">
        <f>IF(NOT(Paths!$C$247=1),0,IF(Paths!$P$247="Complete",E2652/12*(Paths!$J$247*(1+'Operating costs'!$B$51)^MAX(0,C2652-1)+Paths!$K$247*(1+'Operating costs'!$B$53)^MAX(0,C2652-1)),"n.a."))</f>
        <v>0</v>
      </c>
      <c r="H2652" s="16">
        <f>IF(NOT(Paths!$C$247=1),0,IF(Paths!$P$247="Complete",F2652/12*(Paths!$L$247*(1+IF(Paths!$D$247="EV",'Operating costs'!$B$52,'Operating costs'!$B$51))^MAX(0,C2652-1)+Paths!$M$247*(1+'Operating costs'!$B$53)^MAX(0,C2652-1)),"n.a."))</f>
        <v>0</v>
      </c>
      <c r="I2652" s="16">
        <f>IF(NOT(Paths!$C$247=1),0,IF(Paths!$P$247="Complete",IF(IF(Paths!$E$247=0,C2652=0,AND(C2652&gt;0,Paths!$E$247&gt;(C2652-1)*12,Paths!$E$247&lt;=C2652*12)),Paths!$G$247,0),"n.a."))</f>
        <v>0</v>
      </c>
      <c r="J2652" s="16">
        <f>IF(NOT(Paths!$C$247=1),0,IF(Paths!$P$247="Complete",IF(IF(Paths!$E$247=0,C2652=0,AND(C2652&gt;0,Paths!$E$247&gt;(C2652-1)*12,Paths!$E$247&lt;=C2652*12)),Paths!$H$247,0),"n.a."))</f>
        <v>0</v>
      </c>
      <c r="K2652" s="16">
        <f>IF(NOT(Paths!$C$247=1),0,IF(Paths!$P$247="Complete",IF(IF(Paths!$O$247=0,C2652=0,AND(C2652&gt;0,Paths!$O$247&gt;(C2652-1)*12,Paths!$O$247&lt;=C2652*12)),Paths!$N$247,0),"n.a."))</f>
        <v>0</v>
      </c>
      <c r="L2652" s="16">
        <f>IF(NOT(Paths!$C$247=1),0,IF(Paths!$P$247="Complete",IF(C2652=10,Paths!$I$247,0),"n.a."))</f>
        <v>0</v>
      </c>
      <c r="M2652" s="16">
        <f>IF(NOT(Paths!$C$247=1),0,IF(Paths!$P$247="Complete",IF(AND(Paths!$D$247="EV",Paths!$E$247&lt;120,Paths!$E$247+'Operating costs'!$B$65&gt;Paths!$E$247,Paths!$E$247+'Operating costs'!$B$65&lt;=120,IF(Paths!$E$247+'Operating costs'!$B$65=0,C2652=0,AND(C2652&gt;0,Paths!$E$247+'Operating costs'!$B$65&gt;(C2652-1)*12,Paths!$E$247+'Operating costs'!$B$65&lt;=C2652*12))),'Operating costs'!$B$64,0)+IF(AND('Operating costs'!$B$67&gt;0,'Operating costs'!$B$67&lt;=120,OR(Paths!$D$247="ICE",'Operating costs'!$B$67&lt;=Paths!$E$247),IF('Operating costs'!$B$67=0,C2652=0,AND(C2652&gt;0,'Operating costs'!$B$67&gt;(C2652-1)*12,'Operating costs'!$B$67&lt;=C2652*12))),'Operating costs'!$B$66,0),"n.a."))</f>
        <v>0</v>
      </c>
      <c r="N2652" s="16">
        <f>IF(NOT(Paths!$C$247=1),0,IF(Paths!$P$247="Complete",SUM(G2652:I2652)-J2652-K2652-L2652+M2652+IF(C2652=0,Paths!$F$247,0)+IF(IF(Paths!$E$247=0,C2652=0,AND(C2652&gt;0,Paths!$E$247&gt;(C2652-1)*12,Paths!$E$247&lt;=C2652*12)),VLOOKUP(A2652,'Fleet register'!$A$7:$S$106,16,FALSE),0),"n.a."))</f>
        <v>0</v>
      </c>
      <c r="O2652" s="16">
        <f>IF(NOT(Paths!$C$247=1),0,IF(Paths!$P$247="Complete",N2652-IF(C2652=0,Paths!$F$247,0),"n.a."))</f>
        <v>0</v>
      </c>
      <c r="P2652" s="16">
        <f>IF(NOT(Paths!$C$247=1),0,IF(Paths!$P$247="Complete",O2652+L2652,"n.a."))</f>
        <v>0</v>
      </c>
      <c r="Q2652" s="16">
        <f>IF(NOT(Paths!$C$247=1),0,IF(Paths!$P$247="Complete",N2652*(1+'Operating costs'!$B$54)^-C2652,"n.a."))</f>
        <v>0</v>
      </c>
      <c r="R2652" s="16">
        <f>IF(NOT(Paths!$C$247=1),0,IF(Paths!$P$247="Complete",IF(AND(C2652=0,Paths!$E$247=0),I2652-J2652-K2652+VLOOKUP(A2652,'Fleet register'!$A$7:$S$106,15,FALSE)+VLOOKUP(A2652,'Fleet register'!$A$7:$S$106,16,FALSE),0),"n.a."))</f>
        <v>0</v>
      </c>
      <c r="S2652" s="1">
        <f>IF(NOT(Paths!$C$247=1),0,IF(Paths!$P$247="Complete",IF(C2652=0,0,Paths!$S$247*Paths!$R$247),"n.a."))</f>
        <v>0</v>
      </c>
      <c r="T2652" s="1">
        <f>IF(NOT(Paths!$C$247=1),0,IF(Paths!$P$247="Complete",IF(C2652=0,0,VLOOKUP(A2652,'Fleet register'!$A$7:$S$106,9,FALSE)*Paths!$R$247),"n.a."))</f>
        <v>0</v>
      </c>
    </row>
    <row r="2653" spans="1:20" ht="24" customHeight="1">
      <c r="A2653" s="1" t="str">
        <f>Paths!$A$247</f>
        <v>T061</v>
      </c>
      <c r="B2653" s="1">
        <f>Paths!$B$247</f>
        <v>0</v>
      </c>
      <c r="C2653" s="1">
        <v>6</v>
      </c>
      <c r="D2653" s="1">
        <v>247</v>
      </c>
      <c r="E2653" s="1">
        <f>IF(OR(Paths!$C$247=0,C2653=0),0,MAX(0,MIN(C2653*12,Paths!$E$247)-(C2653-1)*12))</f>
        <v>0</v>
      </c>
      <c r="F2653" s="1">
        <f>IF(OR(Paths!$C$247=0,C2653=0),0,12-E2653)</f>
        <v>0</v>
      </c>
      <c r="G2653" s="16">
        <f>IF(NOT(Paths!$C$247=1),0,IF(Paths!$P$247="Complete",E2653/12*(Paths!$J$247*(1+'Operating costs'!$B$51)^MAX(0,C2653-1)+Paths!$K$247*(1+'Operating costs'!$B$53)^MAX(0,C2653-1)),"n.a."))</f>
        <v>0</v>
      </c>
      <c r="H2653" s="16">
        <f>IF(NOT(Paths!$C$247=1),0,IF(Paths!$P$247="Complete",F2653/12*(Paths!$L$247*(1+IF(Paths!$D$247="EV",'Operating costs'!$B$52,'Operating costs'!$B$51))^MAX(0,C2653-1)+Paths!$M$247*(1+'Operating costs'!$B$53)^MAX(0,C2653-1)),"n.a."))</f>
        <v>0</v>
      </c>
      <c r="I2653" s="16">
        <f>IF(NOT(Paths!$C$247=1),0,IF(Paths!$P$247="Complete",IF(IF(Paths!$E$247=0,C2653=0,AND(C2653&gt;0,Paths!$E$247&gt;(C2653-1)*12,Paths!$E$247&lt;=C2653*12)),Paths!$G$247,0),"n.a."))</f>
        <v>0</v>
      </c>
      <c r="J2653" s="16">
        <f>IF(NOT(Paths!$C$247=1),0,IF(Paths!$P$247="Complete",IF(IF(Paths!$E$247=0,C2653=0,AND(C2653&gt;0,Paths!$E$247&gt;(C2653-1)*12,Paths!$E$247&lt;=C2653*12)),Paths!$H$247,0),"n.a."))</f>
        <v>0</v>
      </c>
      <c r="K2653" s="16">
        <f>IF(NOT(Paths!$C$247=1),0,IF(Paths!$P$247="Complete",IF(IF(Paths!$O$247=0,C2653=0,AND(C2653&gt;0,Paths!$O$247&gt;(C2653-1)*12,Paths!$O$247&lt;=C2653*12)),Paths!$N$247,0),"n.a."))</f>
        <v>0</v>
      </c>
      <c r="L2653" s="16">
        <f>IF(NOT(Paths!$C$247=1),0,IF(Paths!$P$247="Complete",IF(C2653=10,Paths!$I$247,0),"n.a."))</f>
        <v>0</v>
      </c>
      <c r="M2653" s="16">
        <f>IF(NOT(Paths!$C$247=1),0,IF(Paths!$P$247="Complete",IF(AND(Paths!$D$247="EV",Paths!$E$247&lt;120,Paths!$E$247+'Operating costs'!$B$65&gt;Paths!$E$247,Paths!$E$247+'Operating costs'!$B$65&lt;=120,IF(Paths!$E$247+'Operating costs'!$B$65=0,C2653=0,AND(C2653&gt;0,Paths!$E$247+'Operating costs'!$B$65&gt;(C2653-1)*12,Paths!$E$247+'Operating costs'!$B$65&lt;=C2653*12))),'Operating costs'!$B$64,0)+IF(AND('Operating costs'!$B$67&gt;0,'Operating costs'!$B$67&lt;=120,OR(Paths!$D$247="ICE",'Operating costs'!$B$67&lt;=Paths!$E$247),IF('Operating costs'!$B$67=0,C2653=0,AND(C2653&gt;0,'Operating costs'!$B$67&gt;(C2653-1)*12,'Operating costs'!$B$67&lt;=C2653*12))),'Operating costs'!$B$66,0),"n.a."))</f>
        <v>0</v>
      </c>
      <c r="N2653" s="16">
        <f>IF(NOT(Paths!$C$247=1),0,IF(Paths!$P$247="Complete",SUM(G2653:I2653)-J2653-K2653-L2653+M2653+IF(C2653=0,Paths!$F$247,0)+IF(IF(Paths!$E$247=0,C2653=0,AND(C2653&gt;0,Paths!$E$247&gt;(C2653-1)*12,Paths!$E$247&lt;=C2653*12)),VLOOKUP(A2653,'Fleet register'!$A$7:$S$106,16,FALSE),0),"n.a."))</f>
        <v>0</v>
      </c>
      <c r="O2653" s="16">
        <f>IF(NOT(Paths!$C$247=1),0,IF(Paths!$P$247="Complete",N2653-IF(C2653=0,Paths!$F$247,0),"n.a."))</f>
        <v>0</v>
      </c>
      <c r="P2653" s="16">
        <f>IF(NOT(Paths!$C$247=1),0,IF(Paths!$P$247="Complete",O2653+L2653,"n.a."))</f>
        <v>0</v>
      </c>
      <c r="Q2653" s="16">
        <f>IF(NOT(Paths!$C$247=1),0,IF(Paths!$P$247="Complete",N2653*(1+'Operating costs'!$B$54)^-C2653,"n.a."))</f>
        <v>0</v>
      </c>
      <c r="R2653" s="16">
        <f>IF(NOT(Paths!$C$247=1),0,IF(Paths!$P$247="Complete",IF(AND(C2653=0,Paths!$E$247=0),I2653-J2653-K2653+VLOOKUP(A2653,'Fleet register'!$A$7:$S$106,15,FALSE)+VLOOKUP(A2653,'Fleet register'!$A$7:$S$106,16,FALSE),0),"n.a."))</f>
        <v>0</v>
      </c>
      <c r="S2653" s="1">
        <f>IF(NOT(Paths!$C$247=1),0,IF(Paths!$P$247="Complete",IF(C2653=0,0,Paths!$S$247*Paths!$R$247),"n.a."))</f>
        <v>0</v>
      </c>
      <c r="T2653" s="1">
        <f>IF(NOT(Paths!$C$247=1),0,IF(Paths!$P$247="Complete",IF(C2653=0,0,VLOOKUP(A2653,'Fleet register'!$A$7:$S$106,9,FALSE)*Paths!$R$247),"n.a."))</f>
        <v>0</v>
      </c>
    </row>
    <row r="2654" spans="1:20" ht="24" customHeight="1">
      <c r="A2654" s="1" t="str">
        <f>Paths!$A$247</f>
        <v>T061</v>
      </c>
      <c r="B2654" s="1">
        <f>Paths!$B$247</f>
        <v>0</v>
      </c>
      <c r="C2654" s="1">
        <v>7</v>
      </c>
      <c r="D2654" s="1">
        <v>247</v>
      </c>
      <c r="E2654" s="1">
        <f>IF(OR(Paths!$C$247=0,C2654=0),0,MAX(0,MIN(C2654*12,Paths!$E$247)-(C2654-1)*12))</f>
        <v>0</v>
      </c>
      <c r="F2654" s="1">
        <f>IF(OR(Paths!$C$247=0,C2654=0),0,12-E2654)</f>
        <v>0</v>
      </c>
      <c r="G2654" s="16">
        <f>IF(NOT(Paths!$C$247=1),0,IF(Paths!$P$247="Complete",E2654/12*(Paths!$J$247*(1+'Operating costs'!$B$51)^MAX(0,C2654-1)+Paths!$K$247*(1+'Operating costs'!$B$53)^MAX(0,C2654-1)),"n.a."))</f>
        <v>0</v>
      </c>
      <c r="H2654" s="16">
        <f>IF(NOT(Paths!$C$247=1),0,IF(Paths!$P$247="Complete",F2654/12*(Paths!$L$247*(1+IF(Paths!$D$247="EV",'Operating costs'!$B$52,'Operating costs'!$B$51))^MAX(0,C2654-1)+Paths!$M$247*(1+'Operating costs'!$B$53)^MAX(0,C2654-1)),"n.a."))</f>
        <v>0</v>
      </c>
      <c r="I2654" s="16">
        <f>IF(NOT(Paths!$C$247=1),0,IF(Paths!$P$247="Complete",IF(IF(Paths!$E$247=0,C2654=0,AND(C2654&gt;0,Paths!$E$247&gt;(C2654-1)*12,Paths!$E$247&lt;=C2654*12)),Paths!$G$247,0),"n.a."))</f>
        <v>0</v>
      </c>
      <c r="J2654" s="16">
        <f>IF(NOT(Paths!$C$247=1),0,IF(Paths!$P$247="Complete",IF(IF(Paths!$E$247=0,C2654=0,AND(C2654&gt;0,Paths!$E$247&gt;(C2654-1)*12,Paths!$E$247&lt;=C2654*12)),Paths!$H$247,0),"n.a."))</f>
        <v>0</v>
      </c>
      <c r="K2654" s="16">
        <f>IF(NOT(Paths!$C$247=1),0,IF(Paths!$P$247="Complete",IF(IF(Paths!$O$247=0,C2654=0,AND(C2654&gt;0,Paths!$O$247&gt;(C2654-1)*12,Paths!$O$247&lt;=C2654*12)),Paths!$N$247,0),"n.a."))</f>
        <v>0</v>
      </c>
      <c r="L2654" s="16">
        <f>IF(NOT(Paths!$C$247=1),0,IF(Paths!$P$247="Complete",IF(C2654=10,Paths!$I$247,0),"n.a."))</f>
        <v>0</v>
      </c>
      <c r="M2654" s="16">
        <f>IF(NOT(Paths!$C$247=1),0,IF(Paths!$P$247="Complete",IF(AND(Paths!$D$247="EV",Paths!$E$247&lt;120,Paths!$E$247+'Operating costs'!$B$65&gt;Paths!$E$247,Paths!$E$247+'Operating costs'!$B$65&lt;=120,IF(Paths!$E$247+'Operating costs'!$B$65=0,C2654=0,AND(C2654&gt;0,Paths!$E$247+'Operating costs'!$B$65&gt;(C2654-1)*12,Paths!$E$247+'Operating costs'!$B$65&lt;=C2654*12))),'Operating costs'!$B$64,0)+IF(AND('Operating costs'!$B$67&gt;0,'Operating costs'!$B$67&lt;=120,OR(Paths!$D$247="ICE",'Operating costs'!$B$67&lt;=Paths!$E$247),IF('Operating costs'!$B$67=0,C2654=0,AND(C2654&gt;0,'Operating costs'!$B$67&gt;(C2654-1)*12,'Operating costs'!$B$67&lt;=C2654*12))),'Operating costs'!$B$66,0),"n.a."))</f>
        <v>0</v>
      </c>
      <c r="N2654" s="16">
        <f>IF(NOT(Paths!$C$247=1),0,IF(Paths!$P$247="Complete",SUM(G2654:I2654)-J2654-K2654-L2654+M2654+IF(C2654=0,Paths!$F$247,0)+IF(IF(Paths!$E$247=0,C2654=0,AND(C2654&gt;0,Paths!$E$247&gt;(C2654-1)*12,Paths!$E$247&lt;=C2654*12)),VLOOKUP(A2654,'Fleet register'!$A$7:$S$106,16,FALSE),0),"n.a."))</f>
        <v>0</v>
      </c>
      <c r="O2654" s="16">
        <f>IF(NOT(Paths!$C$247=1),0,IF(Paths!$P$247="Complete",N2654-IF(C2654=0,Paths!$F$247,0),"n.a."))</f>
        <v>0</v>
      </c>
      <c r="P2654" s="16">
        <f>IF(NOT(Paths!$C$247=1),0,IF(Paths!$P$247="Complete",O2654+L2654,"n.a."))</f>
        <v>0</v>
      </c>
      <c r="Q2654" s="16">
        <f>IF(NOT(Paths!$C$247=1),0,IF(Paths!$P$247="Complete",N2654*(1+'Operating costs'!$B$54)^-C2654,"n.a."))</f>
        <v>0</v>
      </c>
      <c r="R2654" s="16">
        <f>IF(NOT(Paths!$C$247=1),0,IF(Paths!$P$247="Complete",IF(AND(C2654=0,Paths!$E$247=0),I2654-J2654-K2654+VLOOKUP(A2654,'Fleet register'!$A$7:$S$106,15,FALSE)+VLOOKUP(A2654,'Fleet register'!$A$7:$S$106,16,FALSE),0),"n.a."))</f>
        <v>0</v>
      </c>
      <c r="S2654" s="1">
        <f>IF(NOT(Paths!$C$247=1),0,IF(Paths!$P$247="Complete",IF(C2654=0,0,Paths!$S$247*Paths!$R$247),"n.a."))</f>
        <v>0</v>
      </c>
      <c r="T2654" s="1">
        <f>IF(NOT(Paths!$C$247=1),0,IF(Paths!$P$247="Complete",IF(C2654=0,0,VLOOKUP(A2654,'Fleet register'!$A$7:$S$106,9,FALSE)*Paths!$R$247),"n.a."))</f>
        <v>0</v>
      </c>
    </row>
    <row r="2655" spans="1:20" ht="24" customHeight="1">
      <c r="A2655" s="1" t="str">
        <f>Paths!$A$247</f>
        <v>T061</v>
      </c>
      <c r="B2655" s="1">
        <f>Paths!$B$247</f>
        <v>0</v>
      </c>
      <c r="C2655" s="1">
        <v>8</v>
      </c>
      <c r="D2655" s="1">
        <v>247</v>
      </c>
      <c r="E2655" s="1">
        <f>IF(OR(Paths!$C$247=0,C2655=0),0,MAX(0,MIN(C2655*12,Paths!$E$247)-(C2655-1)*12))</f>
        <v>0</v>
      </c>
      <c r="F2655" s="1">
        <f>IF(OR(Paths!$C$247=0,C2655=0),0,12-E2655)</f>
        <v>0</v>
      </c>
      <c r="G2655" s="16">
        <f>IF(NOT(Paths!$C$247=1),0,IF(Paths!$P$247="Complete",E2655/12*(Paths!$J$247*(1+'Operating costs'!$B$51)^MAX(0,C2655-1)+Paths!$K$247*(1+'Operating costs'!$B$53)^MAX(0,C2655-1)),"n.a."))</f>
        <v>0</v>
      </c>
      <c r="H2655" s="16">
        <f>IF(NOT(Paths!$C$247=1),0,IF(Paths!$P$247="Complete",F2655/12*(Paths!$L$247*(1+IF(Paths!$D$247="EV",'Operating costs'!$B$52,'Operating costs'!$B$51))^MAX(0,C2655-1)+Paths!$M$247*(1+'Operating costs'!$B$53)^MAX(0,C2655-1)),"n.a."))</f>
        <v>0</v>
      </c>
      <c r="I2655" s="16">
        <f>IF(NOT(Paths!$C$247=1),0,IF(Paths!$P$247="Complete",IF(IF(Paths!$E$247=0,C2655=0,AND(C2655&gt;0,Paths!$E$247&gt;(C2655-1)*12,Paths!$E$247&lt;=C2655*12)),Paths!$G$247,0),"n.a."))</f>
        <v>0</v>
      </c>
      <c r="J2655" s="16">
        <f>IF(NOT(Paths!$C$247=1),0,IF(Paths!$P$247="Complete",IF(IF(Paths!$E$247=0,C2655=0,AND(C2655&gt;0,Paths!$E$247&gt;(C2655-1)*12,Paths!$E$247&lt;=C2655*12)),Paths!$H$247,0),"n.a."))</f>
        <v>0</v>
      </c>
      <c r="K2655" s="16">
        <f>IF(NOT(Paths!$C$247=1),0,IF(Paths!$P$247="Complete",IF(IF(Paths!$O$247=0,C2655=0,AND(C2655&gt;0,Paths!$O$247&gt;(C2655-1)*12,Paths!$O$247&lt;=C2655*12)),Paths!$N$247,0),"n.a."))</f>
        <v>0</v>
      </c>
      <c r="L2655" s="16">
        <f>IF(NOT(Paths!$C$247=1),0,IF(Paths!$P$247="Complete",IF(C2655=10,Paths!$I$247,0),"n.a."))</f>
        <v>0</v>
      </c>
      <c r="M2655" s="16">
        <f>IF(NOT(Paths!$C$247=1),0,IF(Paths!$P$247="Complete",IF(AND(Paths!$D$247="EV",Paths!$E$247&lt;120,Paths!$E$247+'Operating costs'!$B$65&gt;Paths!$E$247,Paths!$E$247+'Operating costs'!$B$65&lt;=120,IF(Paths!$E$247+'Operating costs'!$B$65=0,C2655=0,AND(C2655&gt;0,Paths!$E$247+'Operating costs'!$B$65&gt;(C2655-1)*12,Paths!$E$247+'Operating costs'!$B$65&lt;=C2655*12))),'Operating costs'!$B$64,0)+IF(AND('Operating costs'!$B$67&gt;0,'Operating costs'!$B$67&lt;=120,OR(Paths!$D$247="ICE",'Operating costs'!$B$67&lt;=Paths!$E$247),IF('Operating costs'!$B$67=0,C2655=0,AND(C2655&gt;0,'Operating costs'!$B$67&gt;(C2655-1)*12,'Operating costs'!$B$67&lt;=C2655*12))),'Operating costs'!$B$66,0),"n.a."))</f>
        <v>0</v>
      </c>
      <c r="N2655" s="16">
        <f>IF(NOT(Paths!$C$247=1),0,IF(Paths!$P$247="Complete",SUM(G2655:I2655)-J2655-K2655-L2655+M2655+IF(C2655=0,Paths!$F$247,0)+IF(IF(Paths!$E$247=0,C2655=0,AND(C2655&gt;0,Paths!$E$247&gt;(C2655-1)*12,Paths!$E$247&lt;=C2655*12)),VLOOKUP(A2655,'Fleet register'!$A$7:$S$106,16,FALSE),0),"n.a."))</f>
        <v>0</v>
      </c>
      <c r="O2655" s="16">
        <f>IF(NOT(Paths!$C$247=1),0,IF(Paths!$P$247="Complete",N2655-IF(C2655=0,Paths!$F$247,0),"n.a."))</f>
        <v>0</v>
      </c>
      <c r="P2655" s="16">
        <f>IF(NOT(Paths!$C$247=1),0,IF(Paths!$P$247="Complete",O2655+L2655,"n.a."))</f>
        <v>0</v>
      </c>
      <c r="Q2655" s="16">
        <f>IF(NOT(Paths!$C$247=1),0,IF(Paths!$P$247="Complete",N2655*(1+'Operating costs'!$B$54)^-C2655,"n.a."))</f>
        <v>0</v>
      </c>
      <c r="R2655" s="16">
        <f>IF(NOT(Paths!$C$247=1),0,IF(Paths!$P$247="Complete",IF(AND(C2655=0,Paths!$E$247=0),I2655-J2655-K2655+VLOOKUP(A2655,'Fleet register'!$A$7:$S$106,15,FALSE)+VLOOKUP(A2655,'Fleet register'!$A$7:$S$106,16,FALSE),0),"n.a."))</f>
        <v>0</v>
      </c>
      <c r="S2655" s="1">
        <f>IF(NOT(Paths!$C$247=1),0,IF(Paths!$P$247="Complete",IF(C2655=0,0,Paths!$S$247*Paths!$R$247),"n.a."))</f>
        <v>0</v>
      </c>
      <c r="T2655" s="1">
        <f>IF(NOT(Paths!$C$247=1),0,IF(Paths!$P$247="Complete",IF(C2655=0,0,VLOOKUP(A2655,'Fleet register'!$A$7:$S$106,9,FALSE)*Paths!$R$247),"n.a."))</f>
        <v>0</v>
      </c>
    </row>
    <row r="2656" spans="1:20" ht="24" customHeight="1">
      <c r="A2656" s="1" t="str">
        <f>Paths!$A$247</f>
        <v>T061</v>
      </c>
      <c r="B2656" s="1">
        <f>Paths!$B$247</f>
        <v>0</v>
      </c>
      <c r="C2656" s="1">
        <v>9</v>
      </c>
      <c r="D2656" s="1">
        <v>247</v>
      </c>
      <c r="E2656" s="1">
        <f>IF(OR(Paths!$C$247=0,C2656=0),0,MAX(0,MIN(C2656*12,Paths!$E$247)-(C2656-1)*12))</f>
        <v>0</v>
      </c>
      <c r="F2656" s="1">
        <f>IF(OR(Paths!$C$247=0,C2656=0),0,12-E2656)</f>
        <v>0</v>
      </c>
      <c r="G2656" s="16">
        <f>IF(NOT(Paths!$C$247=1),0,IF(Paths!$P$247="Complete",E2656/12*(Paths!$J$247*(1+'Operating costs'!$B$51)^MAX(0,C2656-1)+Paths!$K$247*(1+'Operating costs'!$B$53)^MAX(0,C2656-1)),"n.a."))</f>
        <v>0</v>
      </c>
      <c r="H2656" s="16">
        <f>IF(NOT(Paths!$C$247=1),0,IF(Paths!$P$247="Complete",F2656/12*(Paths!$L$247*(1+IF(Paths!$D$247="EV",'Operating costs'!$B$52,'Operating costs'!$B$51))^MAX(0,C2656-1)+Paths!$M$247*(1+'Operating costs'!$B$53)^MAX(0,C2656-1)),"n.a."))</f>
        <v>0</v>
      </c>
      <c r="I2656" s="16">
        <f>IF(NOT(Paths!$C$247=1),0,IF(Paths!$P$247="Complete",IF(IF(Paths!$E$247=0,C2656=0,AND(C2656&gt;0,Paths!$E$247&gt;(C2656-1)*12,Paths!$E$247&lt;=C2656*12)),Paths!$G$247,0),"n.a."))</f>
        <v>0</v>
      </c>
      <c r="J2656" s="16">
        <f>IF(NOT(Paths!$C$247=1),0,IF(Paths!$P$247="Complete",IF(IF(Paths!$E$247=0,C2656=0,AND(C2656&gt;0,Paths!$E$247&gt;(C2656-1)*12,Paths!$E$247&lt;=C2656*12)),Paths!$H$247,0),"n.a."))</f>
        <v>0</v>
      </c>
      <c r="K2656" s="16">
        <f>IF(NOT(Paths!$C$247=1),0,IF(Paths!$P$247="Complete",IF(IF(Paths!$O$247=0,C2656=0,AND(C2656&gt;0,Paths!$O$247&gt;(C2656-1)*12,Paths!$O$247&lt;=C2656*12)),Paths!$N$247,0),"n.a."))</f>
        <v>0</v>
      </c>
      <c r="L2656" s="16">
        <f>IF(NOT(Paths!$C$247=1),0,IF(Paths!$P$247="Complete",IF(C2656=10,Paths!$I$247,0),"n.a."))</f>
        <v>0</v>
      </c>
      <c r="M2656" s="16">
        <f>IF(NOT(Paths!$C$247=1),0,IF(Paths!$P$247="Complete",IF(AND(Paths!$D$247="EV",Paths!$E$247&lt;120,Paths!$E$247+'Operating costs'!$B$65&gt;Paths!$E$247,Paths!$E$247+'Operating costs'!$B$65&lt;=120,IF(Paths!$E$247+'Operating costs'!$B$65=0,C2656=0,AND(C2656&gt;0,Paths!$E$247+'Operating costs'!$B$65&gt;(C2656-1)*12,Paths!$E$247+'Operating costs'!$B$65&lt;=C2656*12))),'Operating costs'!$B$64,0)+IF(AND('Operating costs'!$B$67&gt;0,'Operating costs'!$B$67&lt;=120,OR(Paths!$D$247="ICE",'Operating costs'!$B$67&lt;=Paths!$E$247),IF('Operating costs'!$B$67=0,C2656=0,AND(C2656&gt;0,'Operating costs'!$B$67&gt;(C2656-1)*12,'Operating costs'!$B$67&lt;=C2656*12))),'Operating costs'!$B$66,0),"n.a."))</f>
        <v>0</v>
      </c>
      <c r="N2656" s="16">
        <f>IF(NOT(Paths!$C$247=1),0,IF(Paths!$P$247="Complete",SUM(G2656:I2656)-J2656-K2656-L2656+M2656+IF(C2656=0,Paths!$F$247,0)+IF(IF(Paths!$E$247=0,C2656=0,AND(C2656&gt;0,Paths!$E$247&gt;(C2656-1)*12,Paths!$E$247&lt;=C2656*12)),VLOOKUP(A2656,'Fleet register'!$A$7:$S$106,16,FALSE),0),"n.a."))</f>
        <v>0</v>
      </c>
      <c r="O2656" s="16">
        <f>IF(NOT(Paths!$C$247=1),0,IF(Paths!$P$247="Complete",N2656-IF(C2656=0,Paths!$F$247,0),"n.a."))</f>
        <v>0</v>
      </c>
      <c r="P2656" s="16">
        <f>IF(NOT(Paths!$C$247=1),0,IF(Paths!$P$247="Complete",O2656+L2656,"n.a."))</f>
        <v>0</v>
      </c>
      <c r="Q2656" s="16">
        <f>IF(NOT(Paths!$C$247=1),0,IF(Paths!$P$247="Complete",N2656*(1+'Operating costs'!$B$54)^-C2656,"n.a."))</f>
        <v>0</v>
      </c>
      <c r="R2656" s="16">
        <f>IF(NOT(Paths!$C$247=1),0,IF(Paths!$P$247="Complete",IF(AND(C2656=0,Paths!$E$247=0),I2656-J2656-K2656+VLOOKUP(A2656,'Fleet register'!$A$7:$S$106,15,FALSE)+VLOOKUP(A2656,'Fleet register'!$A$7:$S$106,16,FALSE),0),"n.a."))</f>
        <v>0</v>
      </c>
      <c r="S2656" s="1">
        <f>IF(NOT(Paths!$C$247=1),0,IF(Paths!$P$247="Complete",IF(C2656=0,0,Paths!$S$247*Paths!$R$247),"n.a."))</f>
        <v>0</v>
      </c>
      <c r="T2656" s="1">
        <f>IF(NOT(Paths!$C$247=1),0,IF(Paths!$P$247="Complete",IF(C2656=0,0,VLOOKUP(A2656,'Fleet register'!$A$7:$S$106,9,FALSE)*Paths!$R$247),"n.a."))</f>
        <v>0</v>
      </c>
    </row>
    <row r="2657" spans="1:20" ht="24" customHeight="1">
      <c r="A2657" s="1" t="str">
        <f>Paths!$A$247</f>
        <v>T061</v>
      </c>
      <c r="B2657" s="1">
        <f>Paths!$B$247</f>
        <v>0</v>
      </c>
      <c r="C2657" s="1">
        <v>10</v>
      </c>
      <c r="D2657" s="1">
        <v>247</v>
      </c>
      <c r="E2657" s="1">
        <f>IF(OR(Paths!$C$247=0,C2657=0),0,MAX(0,MIN(C2657*12,Paths!$E$247)-(C2657-1)*12))</f>
        <v>0</v>
      </c>
      <c r="F2657" s="1">
        <f>IF(OR(Paths!$C$247=0,C2657=0),0,12-E2657)</f>
        <v>0</v>
      </c>
      <c r="G2657" s="16">
        <f>IF(NOT(Paths!$C$247=1),0,IF(Paths!$P$247="Complete",E2657/12*(Paths!$J$247*(1+'Operating costs'!$B$51)^MAX(0,C2657-1)+Paths!$K$247*(1+'Operating costs'!$B$53)^MAX(0,C2657-1)),"n.a."))</f>
        <v>0</v>
      </c>
      <c r="H2657" s="16">
        <f>IF(NOT(Paths!$C$247=1),0,IF(Paths!$P$247="Complete",F2657/12*(Paths!$L$247*(1+IF(Paths!$D$247="EV",'Operating costs'!$B$52,'Operating costs'!$B$51))^MAX(0,C2657-1)+Paths!$M$247*(1+'Operating costs'!$B$53)^MAX(0,C2657-1)),"n.a."))</f>
        <v>0</v>
      </c>
      <c r="I2657" s="16">
        <f>IF(NOT(Paths!$C$247=1),0,IF(Paths!$P$247="Complete",IF(IF(Paths!$E$247=0,C2657=0,AND(C2657&gt;0,Paths!$E$247&gt;(C2657-1)*12,Paths!$E$247&lt;=C2657*12)),Paths!$G$247,0),"n.a."))</f>
        <v>0</v>
      </c>
      <c r="J2657" s="16">
        <f>IF(NOT(Paths!$C$247=1),0,IF(Paths!$P$247="Complete",IF(IF(Paths!$E$247=0,C2657=0,AND(C2657&gt;0,Paths!$E$247&gt;(C2657-1)*12,Paths!$E$247&lt;=C2657*12)),Paths!$H$247,0),"n.a."))</f>
        <v>0</v>
      </c>
      <c r="K2657" s="16">
        <f>IF(NOT(Paths!$C$247=1),0,IF(Paths!$P$247="Complete",IF(IF(Paths!$O$247=0,C2657=0,AND(C2657&gt;0,Paths!$O$247&gt;(C2657-1)*12,Paths!$O$247&lt;=C2657*12)),Paths!$N$247,0),"n.a."))</f>
        <v>0</v>
      </c>
      <c r="L2657" s="16">
        <f>IF(NOT(Paths!$C$247=1),0,IF(Paths!$P$247="Complete",IF(C2657=10,Paths!$I$247,0),"n.a."))</f>
        <v>0</v>
      </c>
      <c r="M2657" s="16">
        <f>IF(NOT(Paths!$C$247=1),0,IF(Paths!$P$247="Complete",IF(AND(Paths!$D$247="EV",Paths!$E$247&lt;120,Paths!$E$247+'Operating costs'!$B$65&gt;Paths!$E$247,Paths!$E$247+'Operating costs'!$B$65&lt;=120,IF(Paths!$E$247+'Operating costs'!$B$65=0,C2657=0,AND(C2657&gt;0,Paths!$E$247+'Operating costs'!$B$65&gt;(C2657-1)*12,Paths!$E$247+'Operating costs'!$B$65&lt;=C2657*12))),'Operating costs'!$B$64,0)+IF(AND('Operating costs'!$B$67&gt;0,'Operating costs'!$B$67&lt;=120,OR(Paths!$D$247="ICE",'Operating costs'!$B$67&lt;=Paths!$E$247),IF('Operating costs'!$B$67=0,C2657=0,AND(C2657&gt;0,'Operating costs'!$B$67&gt;(C2657-1)*12,'Operating costs'!$B$67&lt;=C2657*12))),'Operating costs'!$B$66,0),"n.a."))</f>
        <v>0</v>
      </c>
      <c r="N2657" s="16">
        <f>IF(NOT(Paths!$C$247=1),0,IF(Paths!$P$247="Complete",SUM(G2657:I2657)-J2657-K2657-L2657+M2657+IF(C2657=0,Paths!$F$247,0)+IF(IF(Paths!$E$247=0,C2657=0,AND(C2657&gt;0,Paths!$E$247&gt;(C2657-1)*12,Paths!$E$247&lt;=C2657*12)),VLOOKUP(A2657,'Fleet register'!$A$7:$S$106,16,FALSE),0),"n.a."))</f>
        <v>0</v>
      </c>
      <c r="O2657" s="16">
        <f>IF(NOT(Paths!$C$247=1),0,IF(Paths!$P$247="Complete",N2657-IF(C2657=0,Paths!$F$247,0),"n.a."))</f>
        <v>0</v>
      </c>
      <c r="P2657" s="16">
        <f>IF(NOT(Paths!$C$247=1),0,IF(Paths!$P$247="Complete",O2657+L2657,"n.a."))</f>
        <v>0</v>
      </c>
      <c r="Q2657" s="16">
        <f>IF(NOT(Paths!$C$247=1),0,IF(Paths!$P$247="Complete",N2657*(1+'Operating costs'!$B$54)^-C2657,"n.a."))</f>
        <v>0</v>
      </c>
      <c r="R2657" s="16">
        <f>IF(NOT(Paths!$C$247=1),0,IF(Paths!$P$247="Complete",IF(AND(C2657=0,Paths!$E$247=0),I2657-J2657-K2657+VLOOKUP(A2657,'Fleet register'!$A$7:$S$106,15,FALSE)+VLOOKUP(A2657,'Fleet register'!$A$7:$S$106,16,FALSE),0),"n.a."))</f>
        <v>0</v>
      </c>
      <c r="S2657" s="1">
        <f>IF(NOT(Paths!$C$247=1),0,IF(Paths!$P$247="Complete",IF(C2657=0,0,Paths!$S$247*Paths!$R$247),"n.a."))</f>
        <v>0</v>
      </c>
      <c r="T2657" s="1">
        <f>IF(NOT(Paths!$C$247=1),0,IF(Paths!$P$247="Complete",IF(C2657=0,0,VLOOKUP(A2657,'Fleet register'!$A$7:$S$106,9,FALSE)*Paths!$R$247),"n.a."))</f>
        <v>0</v>
      </c>
    </row>
    <row r="2658" spans="1:20" ht="24" customHeight="1">
      <c r="A2658" s="1" t="str">
        <f>Paths!$A$248</f>
        <v>T061</v>
      </c>
      <c r="B2658" s="1">
        <f>Paths!$B$248</f>
        <v>1</v>
      </c>
      <c r="C2658" s="1">
        <v>0</v>
      </c>
      <c r="D2658" s="1">
        <v>248</v>
      </c>
      <c r="E2658" s="1">
        <f>IF(OR(Paths!$C$248=0,C2658=0),0,MAX(0,MIN(C2658*12,Paths!$E$248)-(C2658-1)*12))</f>
        <v>0</v>
      </c>
      <c r="F2658" s="1">
        <f>IF(OR(Paths!$C$248=0,C2658=0),0,12-E2658)</f>
        <v>0</v>
      </c>
      <c r="G2658" s="16">
        <f>IF(NOT(Paths!$C$248=1),0,IF(Paths!$P$248="Complete",E2658/12*(Paths!$J$248*(1+'Operating costs'!$B$51)^MAX(0,C2658-1)+Paths!$K$248*(1+'Operating costs'!$B$53)^MAX(0,C2658-1)),"n.a."))</f>
        <v>0</v>
      </c>
      <c r="H2658" s="16">
        <f>IF(NOT(Paths!$C$248=1),0,IF(Paths!$P$248="Complete",F2658/12*(Paths!$L$248*(1+IF(Paths!$D$248="EV",'Operating costs'!$B$52,'Operating costs'!$B$51))^MAX(0,C2658-1)+Paths!$M$248*(1+'Operating costs'!$B$53)^MAX(0,C2658-1)),"n.a."))</f>
        <v>0</v>
      </c>
      <c r="I2658" s="16">
        <f>IF(NOT(Paths!$C$248=1),0,IF(Paths!$P$248="Complete",IF(IF(Paths!$E$248=0,C2658=0,AND(C2658&gt;0,Paths!$E$248&gt;(C2658-1)*12,Paths!$E$248&lt;=C2658*12)),Paths!$G$248,0),"n.a."))</f>
        <v>0</v>
      </c>
      <c r="J2658" s="16">
        <f>IF(NOT(Paths!$C$248=1),0,IF(Paths!$P$248="Complete",IF(IF(Paths!$E$248=0,C2658=0,AND(C2658&gt;0,Paths!$E$248&gt;(C2658-1)*12,Paths!$E$248&lt;=C2658*12)),Paths!$H$248,0),"n.a."))</f>
        <v>0</v>
      </c>
      <c r="K2658" s="16">
        <f>IF(NOT(Paths!$C$248=1),0,IF(Paths!$P$248="Complete",IF(IF(Paths!$O$248=0,C2658=0,AND(C2658&gt;0,Paths!$O$248&gt;(C2658-1)*12,Paths!$O$248&lt;=C2658*12)),Paths!$N$248,0),"n.a."))</f>
        <v>0</v>
      </c>
      <c r="L2658" s="16">
        <f>IF(NOT(Paths!$C$248=1),0,IF(Paths!$P$248="Complete",IF(C2658=10,Paths!$I$248,0),"n.a."))</f>
        <v>0</v>
      </c>
      <c r="M2658" s="16">
        <f>IF(NOT(Paths!$C$248=1),0,IF(Paths!$P$248="Complete",IF(AND(Paths!$D$248="EV",Paths!$E$248&lt;120,Paths!$E$248+'Operating costs'!$B$65&gt;Paths!$E$248,Paths!$E$248+'Operating costs'!$B$65&lt;=120,IF(Paths!$E$248+'Operating costs'!$B$65=0,C2658=0,AND(C2658&gt;0,Paths!$E$248+'Operating costs'!$B$65&gt;(C2658-1)*12,Paths!$E$248+'Operating costs'!$B$65&lt;=C2658*12))),'Operating costs'!$B$64,0)+IF(AND('Operating costs'!$B$67&gt;0,'Operating costs'!$B$67&lt;=120,OR(Paths!$D$248="ICE",'Operating costs'!$B$67&lt;=Paths!$E$248),IF('Operating costs'!$B$67=0,C2658=0,AND(C2658&gt;0,'Operating costs'!$B$67&gt;(C2658-1)*12,'Operating costs'!$B$67&lt;=C2658*12))),'Operating costs'!$B$66,0),"n.a."))</f>
        <v>0</v>
      </c>
      <c r="N2658" s="16">
        <f>IF(NOT(Paths!$C$248=1),0,IF(Paths!$P$248="Complete",SUM(G2658:I2658)-J2658-K2658-L2658+M2658+IF(C2658=0,Paths!$F$248,0)+IF(IF(Paths!$E$248=0,C2658=0,AND(C2658&gt;0,Paths!$E$248&gt;(C2658-1)*12,Paths!$E$248&lt;=C2658*12)),VLOOKUP(A2658,'Fleet register'!$A$7:$S$106,16,FALSE),0),"n.a."))</f>
        <v>0</v>
      </c>
      <c r="O2658" s="16">
        <f>IF(NOT(Paths!$C$248=1),0,IF(Paths!$P$248="Complete",N2658-IF(C2658=0,Paths!$F$248,0),"n.a."))</f>
        <v>0</v>
      </c>
      <c r="P2658" s="16">
        <f>IF(NOT(Paths!$C$248=1),0,IF(Paths!$P$248="Complete",O2658+L2658,"n.a."))</f>
        <v>0</v>
      </c>
      <c r="Q2658" s="16">
        <f>IF(NOT(Paths!$C$248=1),0,IF(Paths!$P$248="Complete",N2658*(1+'Operating costs'!$B$54)^-C2658,"n.a."))</f>
        <v>0</v>
      </c>
      <c r="R2658" s="16">
        <f>IF(NOT(Paths!$C$248=1),0,IF(Paths!$P$248="Complete",IF(AND(C2658=0,Paths!$E$248=0),I2658-J2658-K2658+VLOOKUP(A2658,'Fleet register'!$A$7:$S$106,15,FALSE)+VLOOKUP(A2658,'Fleet register'!$A$7:$S$106,16,FALSE),0),"n.a."))</f>
        <v>0</v>
      </c>
      <c r="S2658" s="1">
        <f>IF(NOT(Paths!$C$248=1),0,IF(Paths!$P$248="Complete",IF(C2658=0,0,Paths!$S$248*Paths!$R$248),"n.a."))</f>
        <v>0</v>
      </c>
      <c r="T2658" s="1">
        <f>IF(NOT(Paths!$C$248=1),0,IF(Paths!$P$248="Complete",IF(C2658=0,0,VLOOKUP(A2658,'Fleet register'!$A$7:$S$106,9,FALSE)*Paths!$R$248),"n.a."))</f>
        <v>0</v>
      </c>
    </row>
    <row r="2659" spans="1:20" ht="24" customHeight="1">
      <c r="A2659" s="1" t="str">
        <f>Paths!$A$248</f>
        <v>T061</v>
      </c>
      <c r="B2659" s="1">
        <f>Paths!$B$248</f>
        <v>1</v>
      </c>
      <c r="C2659" s="1">
        <v>1</v>
      </c>
      <c r="D2659" s="1">
        <v>248</v>
      </c>
      <c r="E2659" s="1">
        <f>IF(OR(Paths!$C$248=0,C2659=0),0,MAX(0,MIN(C2659*12,Paths!$E$248)-(C2659-1)*12))</f>
        <v>0</v>
      </c>
      <c r="F2659" s="1">
        <f>IF(OR(Paths!$C$248=0,C2659=0),0,12-E2659)</f>
        <v>0</v>
      </c>
      <c r="G2659" s="16">
        <f>IF(NOT(Paths!$C$248=1),0,IF(Paths!$P$248="Complete",E2659/12*(Paths!$J$248*(1+'Operating costs'!$B$51)^MAX(0,C2659-1)+Paths!$K$248*(1+'Operating costs'!$B$53)^MAX(0,C2659-1)),"n.a."))</f>
        <v>0</v>
      </c>
      <c r="H2659" s="16">
        <f>IF(NOT(Paths!$C$248=1),0,IF(Paths!$P$248="Complete",F2659/12*(Paths!$L$248*(1+IF(Paths!$D$248="EV",'Operating costs'!$B$52,'Operating costs'!$B$51))^MAX(0,C2659-1)+Paths!$M$248*(1+'Operating costs'!$B$53)^MAX(0,C2659-1)),"n.a."))</f>
        <v>0</v>
      </c>
      <c r="I2659" s="16">
        <f>IF(NOT(Paths!$C$248=1),0,IF(Paths!$P$248="Complete",IF(IF(Paths!$E$248=0,C2659=0,AND(C2659&gt;0,Paths!$E$248&gt;(C2659-1)*12,Paths!$E$248&lt;=C2659*12)),Paths!$G$248,0),"n.a."))</f>
        <v>0</v>
      </c>
      <c r="J2659" s="16">
        <f>IF(NOT(Paths!$C$248=1),0,IF(Paths!$P$248="Complete",IF(IF(Paths!$E$248=0,C2659=0,AND(C2659&gt;0,Paths!$E$248&gt;(C2659-1)*12,Paths!$E$248&lt;=C2659*12)),Paths!$H$248,0),"n.a."))</f>
        <v>0</v>
      </c>
      <c r="K2659" s="16">
        <f>IF(NOT(Paths!$C$248=1),0,IF(Paths!$P$248="Complete",IF(IF(Paths!$O$248=0,C2659=0,AND(C2659&gt;0,Paths!$O$248&gt;(C2659-1)*12,Paths!$O$248&lt;=C2659*12)),Paths!$N$248,0),"n.a."))</f>
        <v>0</v>
      </c>
      <c r="L2659" s="16">
        <f>IF(NOT(Paths!$C$248=1),0,IF(Paths!$P$248="Complete",IF(C2659=10,Paths!$I$248,0),"n.a."))</f>
        <v>0</v>
      </c>
      <c r="M2659" s="16">
        <f>IF(NOT(Paths!$C$248=1),0,IF(Paths!$P$248="Complete",IF(AND(Paths!$D$248="EV",Paths!$E$248&lt;120,Paths!$E$248+'Operating costs'!$B$65&gt;Paths!$E$248,Paths!$E$248+'Operating costs'!$B$65&lt;=120,IF(Paths!$E$248+'Operating costs'!$B$65=0,C2659=0,AND(C2659&gt;0,Paths!$E$248+'Operating costs'!$B$65&gt;(C2659-1)*12,Paths!$E$248+'Operating costs'!$B$65&lt;=C2659*12))),'Operating costs'!$B$64,0)+IF(AND('Operating costs'!$B$67&gt;0,'Operating costs'!$B$67&lt;=120,OR(Paths!$D$248="ICE",'Operating costs'!$B$67&lt;=Paths!$E$248),IF('Operating costs'!$B$67=0,C2659=0,AND(C2659&gt;0,'Operating costs'!$B$67&gt;(C2659-1)*12,'Operating costs'!$B$67&lt;=C2659*12))),'Operating costs'!$B$66,0),"n.a."))</f>
        <v>0</v>
      </c>
      <c r="N2659" s="16">
        <f>IF(NOT(Paths!$C$248=1),0,IF(Paths!$P$248="Complete",SUM(G2659:I2659)-J2659-K2659-L2659+M2659+IF(C2659=0,Paths!$F$248,0)+IF(IF(Paths!$E$248=0,C2659=0,AND(C2659&gt;0,Paths!$E$248&gt;(C2659-1)*12,Paths!$E$248&lt;=C2659*12)),VLOOKUP(A2659,'Fleet register'!$A$7:$S$106,16,FALSE),0),"n.a."))</f>
        <v>0</v>
      </c>
      <c r="O2659" s="16">
        <f>IF(NOT(Paths!$C$248=1),0,IF(Paths!$P$248="Complete",N2659-IF(C2659=0,Paths!$F$248,0),"n.a."))</f>
        <v>0</v>
      </c>
      <c r="P2659" s="16">
        <f>IF(NOT(Paths!$C$248=1),0,IF(Paths!$P$248="Complete",O2659+L2659,"n.a."))</f>
        <v>0</v>
      </c>
      <c r="Q2659" s="16">
        <f>IF(NOT(Paths!$C$248=1),0,IF(Paths!$P$248="Complete",N2659*(1+'Operating costs'!$B$54)^-C2659,"n.a."))</f>
        <v>0</v>
      </c>
      <c r="R2659" s="16">
        <f>IF(NOT(Paths!$C$248=1),0,IF(Paths!$P$248="Complete",IF(AND(C2659=0,Paths!$E$248=0),I2659-J2659-K2659+VLOOKUP(A2659,'Fleet register'!$A$7:$S$106,15,FALSE)+VLOOKUP(A2659,'Fleet register'!$A$7:$S$106,16,FALSE),0),"n.a."))</f>
        <v>0</v>
      </c>
      <c r="S2659" s="1">
        <f>IF(NOT(Paths!$C$248=1),0,IF(Paths!$P$248="Complete",IF(C2659=0,0,Paths!$S$248*Paths!$R$248),"n.a."))</f>
        <v>0</v>
      </c>
      <c r="T2659" s="1">
        <f>IF(NOT(Paths!$C$248=1),0,IF(Paths!$P$248="Complete",IF(C2659=0,0,VLOOKUP(A2659,'Fleet register'!$A$7:$S$106,9,FALSE)*Paths!$R$248),"n.a."))</f>
        <v>0</v>
      </c>
    </row>
    <row r="2660" spans="1:20" ht="24" customHeight="1">
      <c r="A2660" s="1" t="str">
        <f>Paths!$A$248</f>
        <v>T061</v>
      </c>
      <c r="B2660" s="1">
        <f>Paths!$B$248</f>
        <v>1</v>
      </c>
      <c r="C2660" s="1">
        <v>2</v>
      </c>
      <c r="D2660" s="1">
        <v>248</v>
      </c>
      <c r="E2660" s="1">
        <f>IF(OR(Paths!$C$248=0,C2660=0),0,MAX(0,MIN(C2660*12,Paths!$E$248)-(C2660-1)*12))</f>
        <v>0</v>
      </c>
      <c r="F2660" s="1">
        <f>IF(OR(Paths!$C$248=0,C2660=0),0,12-E2660)</f>
        <v>0</v>
      </c>
      <c r="G2660" s="16">
        <f>IF(NOT(Paths!$C$248=1),0,IF(Paths!$P$248="Complete",E2660/12*(Paths!$J$248*(1+'Operating costs'!$B$51)^MAX(0,C2660-1)+Paths!$K$248*(1+'Operating costs'!$B$53)^MAX(0,C2660-1)),"n.a."))</f>
        <v>0</v>
      </c>
      <c r="H2660" s="16">
        <f>IF(NOT(Paths!$C$248=1),0,IF(Paths!$P$248="Complete",F2660/12*(Paths!$L$248*(1+IF(Paths!$D$248="EV",'Operating costs'!$B$52,'Operating costs'!$B$51))^MAX(0,C2660-1)+Paths!$M$248*(1+'Operating costs'!$B$53)^MAX(0,C2660-1)),"n.a."))</f>
        <v>0</v>
      </c>
      <c r="I2660" s="16">
        <f>IF(NOT(Paths!$C$248=1),0,IF(Paths!$P$248="Complete",IF(IF(Paths!$E$248=0,C2660=0,AND(C2660&gt;0,Paths!$E$248&gt;(C2660-1)*12,Paths!$E$248&lt;=C2660*12)),Paths!$G$248,0),"n.a."))</f>
        <v>0</v>
      </c>
      <c r="J2660" s="16">
        <f>IF(NOT(Paths!$C$248=1),0,IF(Paths!$P$248="Complete",IF(IF(Paths!$E$248=0,C2660=0,AND(C2660&gt;0,Paths!$E$248&gt;(C2660-1)*12,Paths!$E$248&lt;=C2660*12)),Paths!$H$248,0),"n.a."))</f>
        <v>0</v>
      </c>
      <c r="K2660" s="16">
        <f>IF(NOT(Paths!$C$248=1),0,IF(Paths!$P$248="Complete",IF(IF(Paths!$O$248=0,C2660=0,AND(C2660&gt;0,Paths!$O$248&gt;(C2660-1)*12,Paths!$O$248&lt;=C2660*12)),Paths!$N$248,0),"n.a."))</f>
        <v>0</v>
      </c>
      <c r="L2660" s="16">
        <f>IF(NOT(Paths!$C$248=1),0,IF(Paths!$P$248="Complete",IF(C2660=10,Paths!$I$248,0),"n.a."))</f>
        <v>0</v>
      </c>
      <c r="M2660" s="16">
        <f>IF(NOT(Paths!$C$248=1),0,IF(Paths!$P$248="Complete",IF(AND(Paths!$D$248="EV",Paths!$E$248&lt;120,Paths!$E$248+'Operating costs'!$B$65&gt;Paths!$E$248,Paths!$E$248+'Operating costs'!$B$65&lt;=120,IF(Paths!$E$248+'Operating costs'!$B$65=0,C2660=0,AND(C2660&gt;0,Paths!$E$248+'Operating costs'!$B$65&gt;(C2660-1)*12,Paths!$E$248+'Operating costs'!$B$65&lt;=C2660*12))),'Operating costs'!$B$64,0)+IF(AND('Operating costs'!$B$67&gt;0,'Operating costs'!$B$67&lt;=120,OR(Paths!$D$248="ICE",'Operating costs'!$B$67&lt;=Paths!$E$248),IF('Operating costs'!$B$67=0,C2660=0,AND(C2660&gt;0,'Operating costs'!$B$67&gt;(C2660-1)*12,'Operating costs'!$B$67&lt;=C2660*12))),'Operating costs'!$B$66,0),"n.a."))</f>
        <v>0</v>
      </c>
      <c r="N2660" s="16">
        <f>IF(NOT(Paths!$C$248=1),0,IF(Paths!$P$248="Complete",SUM(G2660:I2660)-J2660-K2660-L2660+M2660+IF(C2660=0,Paths!$F$248,0)+IF(IF(Paths!$E$248=0,C2660=0,AND(C2660&gt;0,Paths!$E$248&gt;(C2660-1)*12,Paths!$E$248&lt;=C2660*12)),VLOOKUP(A2660,'Fleet register'!$A$7:$S$106,16,FALSE),0),"n.a."))</f>
        <v>0</v>
      </c>
      <c r="O2660" s="16">
        <f>IF(NOT(Paths!$C$248=1),0,IF(Paths!$P$248="Complete",N2660-IF(C2660=0,Paths!$F$248,0),"n.a."))</f>
        <v>0</v>
      </c>
      <c r="P2660" s="16">
        <f>IF(NOT(Paths!$C$248=1),0,IF(Paths!$P$248="Complete",O2660+L2660,"n.a."))</f>
        <v>0</v>
      </c>
      <c r="Q2660" s="16">
        <f>IF(NOT(Paths!$C$248=1),0,IF(Paths!$P$248="Complete",N2660*(1+'Operating costs'!$B$54)^-C2660,"n.a."))</f>
        <v>0</v>
      </c>
      <c r="R2660" s="16">
        <f>IF(NOT(Paths!$C$248=1),0,IF(Paths!$P$248="Complete",IF(AND(C2660=0,Paths!$E$248=0),I2660-J2660-K2660+VLOOKUP(A2660,'Fleet register'!$A$7:$S$106,15,FALSE)+VLOOKUP(A2660,'Fleet register'!$A$7:$S$106,16,FALSE),0),"n.a."))</f>
        <v>0</v>
      </c>
      <c r="S2660" s="1">
        <f>IF(NOT(Paths!$C$248=1),0,IF(Paths!$P$248="Complete",IF(C2660=0,0,Paths!$S$248*Paths!$R$248),"n.a."))</f>
        <v>0</v>
      </c>
      <c r="T2660" s="1">
        <f>IF(NOT(Paths!$C$248=1),0,IF(Paths!$P$248="Complete",IF(C2660=0,0,VLOOKUP(A2660,'Fleet register'!$A$7:$S$106,9,FALSE)*Paths!$R$248),"n.a."))</f>
        <v>0</v>
      </c>
    </row>
    <row r="2661" spans="1:20" ht="24" customHeight="1">
      <c r="A2661" s="1" t="str">
        <f>Paths!$A$248</f>
        <v>T061</v>
      </c>
      <c r="B2661" s="1">
        <f>Paths!$B$248</f>
        <v>1</v>
      </c>
      <c r="C2661" s="1">
        <v>3</v>
      </c>
      <c r="D2661" s="1">
        <v>248</v>
      </c>
      <c r="E2661" s="1">
        <f>IF(OR(Paths!$C$248=0,C2661=0),0,MAX(0,MIN(C2661*12,Paths!$E$248)-(C2661-1)*12))</f>
        <v>0</v>
      </c>
      <c r="F2661" s="1">
        <f>IF(OR(Paths!$C$248=0,C2661=0),0,12-E2661)</f>
        <v>0</v>
      </c>
      <c r="G2661" s="16">
        <f>IF(NOT(Paths!$C$248=1),0,IF(Paths!$P$248="Complete",E2661/12*(Paths!$J$248*(1+'Operating costs'!$B$51)^MAX(0,C2661-1)+Paths!$K$248*(1+'Operating costs'!$B$53)^MAX(0,C2661-1)),"n.a."))</f>
        <v>0</v>
      </c>
      <c r="H2661" s="16">
        <f>IF(NOT(Paths!$C$248=1),0,IF(Paths!$P$248="Complete",F2661/12*(Paths!$L$248*(1+IF(Paths!$D$248="EV",'Operating costs'!$B$52,'Operating costs'!$B$51))^MAX(0,C2661-1)+Paths!$M$248*(1+'Operating costs'!$B$53)^MAX(0,C2661-1)),"n.a."))</f>
        <v>0</v>
      </c>
      <c r="I2661" s="16">
        <f>IF(NOT(Paths!$C$248=1),0,IF(Paths!$P$248="Complete",IF(IF(Paths!$E$248=0,C2661=0,AND(C2661&gt;0,Paths!$E$248&gt;(C2661-1)*12,Paths!$E$248&lt;=C2661*12)),Paths!$G$248,0),"n.a."))</f>
        <v>0</v>
      </c>
      <c r="J2661" s="16">
        <f>IF(NOT(Paths!$C$248=1),0,IF(Paths!$P$248="Complete",IF(IF(Paths!$E$248=0,C2661=0,AND(C2661&gt;0,Paths!$E$248&gt;(C2661-1)*12,Paths!$E$248&lt;=C2661*12)),Paths!$H$248,0),"n.a."))</f>
        <v>0</v>
      </c>
      <c r="K2661" s="16">
        <f>IF(NOT(Paths!$C$248=1),0,IF(Paths!$P$248="Complete",IF(IF(Paths!$O$248=0,C2661=0,AND(C2661&gt;0,Paths!$O$248&gt;(C2661-1)*12,Paths!$O$248&lt;=C2661*12)),Paths!$N$248,0),"n.a."))</f>
        <v>0</v>
      </c>
      <c r="L2661" s="16">
        <f>IF(NOT(Paths!$C$248=1),0,IF(Paths!$P$248="Complete",IF(C2661=10,Paths!$I$248,0),"n.a."))</f>
        <v>0</v>
      </c>
      <c r="M2661" s="16">
        <f>IF(NOT(Paths!$C$248=1),0,IF(Paths!$P$248="Complete",IF(AND(Paths!$D$248="EV",Paths!$E$248&lt;120,Paths!$E$248+'Operating costs'!$B$65&gt;Paths!$E$248,Paths!$E$248+'Operating costs'!$B$65&lt;=120,IF(Paths!$E$248+'Operating costs'!$B$65=0,C2661=0,AND(C2661&gt;0,Paths!$E$248+'Operating costs'!$B$65&gt;(C2661-1)*12,Paths!$E$248+'Operating costs'!$B$65&lt;=C2661*12))),'Operating costs'!$B$64,0)+IF(AND('Operating costs'!$B$67&gt;0,'Operating costs'!$B$67&lt;=120,OR(Paths!$D$248="ICE",'Operating costs'!$B$67&lt;=Paths!$E$248),IF('Operating costs'!$B$67=0,C2661=0,AND(C2661&gt;0,'Operating costs'!$B$67&gt;(C2661-1)*12,'Operating costs'!$B$67&lt;=C2661*12))),'Operating costs'!$B$66,0),"n.a."))</f>
        <v>0</v>
      </c>
      <c r="N2661" s="16">
        <f>IF(NOT(Paths!$C$248=1),0,IF(Paths!$P$248="Complete",SUM(G2661:I2661)-J2661-K2661-L2661+M2661+IF(C2661=0,Paths!$F$248,0)+IF(IF(Paths!$E$248=0,C2661=0,AND(C2661&gt;0,Paths!$E$248&gt;(C2661-1)*12,Paths!$E$248&lt;=C2661*12)),VLOOKUP(A2661,'Fleet register'!$A$7:$S$106,16,FALSE),0),"n.a."))</f>
        <v>0</v>
      </c>
      <c r="O2661" s="16">
        <f>IF(NOT(Paths!$C$248=1),0,IF(Paths!$P$248="Complete",N2661-IF(C2661=0,Paths!$F$248,0),"n.a."))</f>
        <v>0</v>
      </c>
      <c r="P2661" s="16">
        <f>IF(NOT(Paths!$C$248=1),0,IF(Paths!$P$248="Complete",O2661+L2661,"n.a."))</f>
        <v>0</v>
      </c>
      <c r="Q2661" s="16">
        <f>IF(NOT(Paths!$C$248=1),0,IF(Paths!$P$248="Complete",N2661*(1+'Operating costs'!$B$54)^-C2661,"n.a."))</f>
        <v>0</v>
      </c>
      <c r="R2661" s="16">
        <f>IF(NOT(Paths!$C$248=1),0,IF(Paths!$P$248="Complete",IF(AND(C2661=0,Paths!$E$248=0),I2661-J2661-K2661+VLOOKUP(A2661,'Fleet register'!$A$7:$S$106,15,FALSE)+VLOOKUP(A2661,'Fleet register'!$A$7:$S$106,16,FALSE),0),"n.a."))</f>
        <v>0</v>
      </c>
      <c r="S2661" s="1">
        <f>IF(NOT(Paths!$C$248=1),0,IF(Paths!$P$248="Complete",IF(C2661=0,0,Paths!$S$248*Paths!$R$248),"n.a."))</f>
        <v>0</v>
      </c>
      <c r="T2661" s="1">
        <f>IF(NOT(Paths!$C$248=1),0,IF(Paths!$P$248="Complete",IF(C2661=0,0,VLOOKUP(A2661,'Fleet register'!$A$7:$S$106,9,FALSE)*Paths!$R$248),"n.a."))</f>
        <v>0</v>
      </c>
    </row>
    <row r="2662" spans="1:20" ht="24" customHeight="1">
      <c r="A2662" s="1" t="str">
        <f>Paths!$A$248</f>
        <v>T061</v>
      </c>
      <c r="B2662" s="1">
        <f>Paths!$B$248</f>
        <v>1</v>
      </c>
      <c r="C2662" s="1">
        <v>4</v>
      </c>
      <c r="D2662" s="1">
        <v>248</v>
      </c>
      <c r="E2662" s="1">
        <f>IF(OR(Paths!$C$248=0,C2662=0),0,MAX(0,MIN(C2662*12,Paths!$E$248)-(C2662-1)*12))</f>
        <v>0</v>
      </c>
      <c r="F2662" s="1">
        <f>IF(OR(Paths!$C$248=0,C2662=0),0,12-E2662)</f>
        <v>0</v>
      </c>
      <c r="G2662" s="16">
        <f>IF(NOT(Paths!$C$248=1),0,IF(Paths!$P$248="Complete",E2662/12*(Paths!$J$248*(1+'Operating costs'!$B$51)^MAX(0,C2662-1)+Paths!$K$248*(1+'Operating costs'!$B$53)^MAX(0,C2662-1)),"n.a."))</f>
        <v>0</v>
      </c>
      <c r="H2662" s="16">
        <f>IF(NOT(Paths!$C$248=1),0,IF(Paths!$P$248="Complete",F2662/12*(Paths!$L$248*(1+IF(Paths!$D$248="EV",'Operating costs'!$B$52,'Operating costs'!$B$51))^MAX(0,C2662-1)+Paths!$M$248*(1+'Operating costs'!$B$53)^MAX(0,C2662-1)),"n.a."))</f>
        <v>0</v>
      </c>
      <c r="I2662" s="16">
        <f>IF(NOT(Paths!$C$248=1),0,IF(Paths!$P$248="Complete",IF(IF(Paths!$E$248=0,C2662=0,AND(C2662&gt;0,Paths!$E$248&gt;(C2662-1)*12,Paths!$E$248&lt;=C2662*12)),Paths!$G$248,0),"n.a."))</f>
        <v>0</v>
      </c>
      <c r="J2662" s="16">
        <f>IF(NOT(Paths!$C$248=1),0,IF(Paths!$P$248="Complete",IF(IF(Paths!$E$248=0,C2662=0,AND(C2662&gt;0,Paths!$E$248&gt;(C2662-1)*12,Paths!$E$248&lt;=C2662*12)),Paths!$H$248,0),"n.a."))</f>
        <v>0</v>
      </c>
      <c r="K2662" s="16">
        <f>IF(NOT(Paths!$C$248=1),0,IF(Paths!$P$248="Complete",IF(IF(Paths!$O$248=0,C2662=0,AND(C2662&gt;0,Paths!$O$248&gt;(C2662-1)*12,Paths!$O$248&lt;=C2662*12)),Paths!$N$248,0),"n.a."))</f>
        <v>0</v>
      </c>
      <c r="L2662" s="16">
        <f>IF(NOT(Paths!$C$248=1),0,IF(Paths!$P$248="Complete",IF(C2662=10,Paths!$I$248,0),"n.a."))</f>
        <v>0</v>
      </c>
      <c r="M2662" s="16">
        <f>IF(NOT(Paths!$C$248=1),0,IF(Paths!$P$248="Complete",IF(AND(Paths!$D$248="EV",Paths!$E$248&lt;120,Paths!$E$248+'Operating costs'!$B$65&gt;Paths!$E$248,Paths!$E$248+'Operating costs'!$B$65&lt;=120,IF(Paths!$E$248+'Operating costs'!$B$65=0,C2662=0,AND(C2662&gt;0,Paths!$E$248+'Operating costs'!$B$65&gt;(C2662-1)*12,Paths!$E$248+'Operating costs'!$B$65&lt;=C2662*12))),'Operating costs'!$B$64,0)+IF(AND('Operating costs'!$B$67&gt;0,'Operating costs'!$B$67&lt;=120,OR(Paths!$D$248="ICE",'Operating costs'!$B$67&lt;=Paths!$E$248),IF('Operating costs'!$B$67=0,C2662=0,AND(C2662&gt;0,'Operating costs'!$B$67&gt;(C2662-1)*12,'Operating costs'!$B$67&lt;=C2662*12))),'Operating costs'!$B$66,0),"n.a."))</f>
        <v>0</v>
      </c>
      <c r="N2662" s="16">
        <f>IF(NOT(Paths!$C$248=1),0,IF(Paths!$P$248="Complete",SUM(G2662:I2662)-J2662-K2662-L2662+M2662+IF(C2662=0,Paths!$F$248,0)+IF(IF(Paths!$E$248=0,C2662=0,AND(C2662&gt;0,Paths!$E$248&gt;(C2662-1)*12,Paths!$E$248&lt;=C2662*12)),VLOOKUP(A2662,'Fleet register'!$A$7:$S$106,16,FALSE),0),"n.a."))</f>
        <v>0</v>
      </c>
      <c r="O2662" s="16">
        <f>IF(NOT(Paths!$C$248=1),0,IF(Paths!$P$248="Complete",N2662-IF(C2662=0,Paths!$F$248,0),"n.a."))</f>
        <v>0</v>
      </c>
      <c r="P2662" s="16">
        <f>IF(NOT(Paths!$C$248=1),0,IF(Paths!$P$248="Complete",O2662+L2662,"n.a."))</f>
        <v>0</v>
      </c>
      <c r="Q2662" s="16">
        <f>IF(NOT(Paths!$C$248=1),0,IF(Paths!$P$248="Complete",N2662*(1+'Operating costs'!$B$54)^-C2662,"n.a."))</f>
        <v>0</v>
      </c>
      <c r="R2662" s="16">
        <f>IF(NOT(Paths!$C$248=1),0,IF(Paths!$P$248="Complete",IF(AND(C2662=0,Paths!$E$248=0),I2662-J2662-K2662+VLOOKUP(A2662,'Fleet register'!$A$7:$S$106,15,FALSE)+VLOOKUP(A2662,'Fleet register'!$A$7:$S$106,16,FALSE),0),"n.a."))</f>
        <v>0</v>
      </c>
      <c r="S2662" s="1">
        <f>IF(NOT(Paths!$C$248=1),0,IF(Paths!$P$248="Complete",IF(C2662=0,0,Paths!$S$248*Paths!$R$248),"n.a."))</f>
        <v>0</v>
      </c>
      <c r="T2662" s="1">
        <f>IF(NOT(Paths!$C$248=1),0,IF(Paths!$P$248="Complete",IF(C2662=0,0,VLOOKUP(A2662,'Fleet register'!$A$7:$S$106,9,FALSE)*Paths!$R$248),"n.a."))</f>
        <v>0</v>
      </c>
    </row>
    <row r="2663" spans="1:20" ht="24" customHeight="1">
      <c r="A2663" s="1" t="str">
        <f>Paths!$A$248</f>
        <v>T061</v>
      </c>
      <c r="B2663" s="1">
        <f>Paths!$B$248</f>
        <v>1</v>
      </c>
      <c r="C2663" s="1">
        <v>5</v>
      </c>
      <c r="D2663" s="1">
        <v>248</v>
      </c>
      <c r="E2663" s="1">
        <f>IF(OR(Paths!$C$248=0,C2663=0),0,MAX(0,MIN(C2663*12,Paths!$E$248)-(C2663-1)*12))</f>
        <v>0</v>
      </c>
      <c r="F2663" s="1">
        <f>IF(OR(Paths!$C$248=0,C2663=0),0,12-E2663)</f>
        <v>0</v>
      </c>
      <c r="G2663" s="16">
        <f>IF(NOT(Paths!$C$248=1),0,IF(Paths!$P$248="Complete",E2663/12*(Paths!$J$248*(1+'Operating costs'!$B$51)^MAX(0,C2663-1)+Paths!$K$248*(1+'Operating costs'!$B$53)^MAX(0,C2663-1)),"n.a."))</f>
        <v>0</v>
      </c>
      <c r="H2663" s="16">
        <f>IF(NOT(Paths!$C$248=1),0,IF(Paths!$P$248="Complete",F2663/12*(Paths!$L$248*(1+IF(Paths!$D$248="EV",'Operating costs'!$B$52,'Operating costs'!$B$51))^MAX(0,C2663-1)+Paths!$M$248*(1+'Operating costs'!$B$53)^MAX(0,C2663-1)),"n.a."))</f>
        <v>0</v>
      </c>
      <c r="I2663" s="16">
        <f>IF(NOT(Paths!$C$248=1),0,IF(Paths!$P$248="Complete",IF(IF(Paths!$E$248=0,C2663=0,AND(C2663&gt;0,Paths!$E$248&gt;(C2663-1)*12,Paths!$E$248&lt;=C2663*12)),Paths!$G$248,0),"n.a."))</f>
        <v>0</v>
      </c>
      <c r="J2663" s="16">
        <f>IF(NOT(Paths!$C$248=1),0,IF(Paths!$P$248="Complete",IF(IF(Paths!$E$248=0,C2663=0,AND(C2663&gt;0,Paths!$E$248&gt;(C2663-1)*12,Paths!$E$248&lt;=C2663*12)),Paths!$H$248,0),"n.a."))</f>
        <v>0</v>
      </c>
      <c r="K2663" s="16">
        <f>IF(NOT(Paths!$C$248=1),0,IF(Paths!$P$248="Complete",IF(IF(Paths!$O$248=0,C2663=0,AND(C2663&gt;0,Paths!$O$248&gt;(C2663-1)*12,Paths!$O$248&lt;=C2663*12)),Paths!$N$248,0),"n.a."))</f>
        <v>0</v>
      </c>
      <c r="L2663" s="16">
        <f>IF(NOT(Paths!$C$248=1),0,IF(Paths!$P$248="Complete",IF(C2663=10,Paths!$I$248,0),"n.a."))</f>
        <v>0</v>
      </c>
      <c r="M2663" s="16">
        <f>IF(NOT(Paths!$C$248=1),0,IF(Paths!$P$248="Complete",IF(AND(Paths!$D$248="EV",Paths!$E$248&lt;120,Paths!$E$248+'Operating costs'!$B$65&gt;Paths!$E$248,Paths!$E$248+'Operating costs'!$B$65&lt;=120,IF(Paths!$E$248+'Operating costs'!$B$65=0,C2663=0,AND(C2663&gt;0,Paths!$E$248+'Operating costs'!$B$65&gt;(C2663-1)*12,Paths!$E$248+'Operating costs'!$B$65&lt;=C2663*12))),'Operating costs'!$B$64,0)+IF(AND('Operating costs'!$B$67&gt;0,'Operating costs'!$B$67&lt;=120,OR(Paths!$D$248="ICE",'Operating costs'!$B$67&lt;=Paths!$E$248),IF('Operating costs'!$B$67=0,C2663=0,AND(C2663&gt;0,'Operating costs'!$B$67&gt;(C2663-1)*12,'Operating costs'!$B$67&lt;=C2663*12))),'Operating costs'!$B$66,0),"n.a."))</f>
        <v>0</v>
      </c>
      <c r="N2663" s="16">
        <f>IF(NOT(Paths!$C$248=1),0,IF(Paths!$P$248="Complete",SUM(G2663:I2663)-J2663-K2663-L2663+M2663+IF(C2663=0,Paths!$F$248,0)+IF(IF(Paths!$E$248=0,C2663=0,AND(C2663&gt;0,Paths!$E$248&gt;(C2663-1)*12,Paths!$E$248&lt;=C2663*12)),VLOOKUP(A2663,'Fleet register'!$A$7:$S$106,16,FALSE),0),"n.a."))</f>
        <v>0</v>
      </c>
      <c r="O2663" s="16">
        <f>IF(NOT(Paths!$C$248=1),0,IF(Paths!$P$248="Complete",N2663-IF(C2663=0,Paths!$F$248,0),"n.a."))</f>
        <v>0</v>
      </c>
      <c r="P2663" s="16">
        <f>IF(NOT(Paths!$C$248=1),0,IF(Paths!$P$248="Complete",O2663+L2663,"n.a."))</f>
        <v>0</v>
      </c>
      <c r="Q2663" s="16">
        <f>IF(NOT(Paths!$C$248=1),0,IF(Paths!$P$248="Complete",N2663*(1+'Operating costs'!$B$54)^-C2663,"n.a."))</f>
        <v>0</v>
      </c>
      <c r="R2663" s="16">
        <f>IF(NOT(Paths!$C$248=1),0,IF(Paths!$P$248="Complete",IF(AND(C2663=0,Paths!$E$248=0),I2663-J2663-K2663+VLOOKUP(A2663,'Fleet register'!$A$7:$S$106,15,FALSE)+VLOOKUP(A2663,'Fleet register'!$A$7:$S$106,16,FALSE),0),"n.a."))</f>
        <v>0</v>
      </c>
      <c r="S2663" s="1">
        <f>IF(NOT(Paths!$C$248=1),0,IF(Paths!$P$248="Complete",IF(C2663=0,0,Paths!$S$248*Paths!$R$248),"n.a."))</f>
        <v>0</v>
      </c>
      <c r="T2663" s="1">
        <f>IF(NOT(Paths!$C$248=1),0,IF(Paths!$P$248="Complete",IF(C2663=0,0,VLOOKUP(A2663,'Fleet register'!$A$7:$S$106,9,FALSE)*Paths!$R$248),"n.a."))</f>
        <v>0</v>
      </c>
    </row>
    <row r="2664" spans="1:20" ht="24" customHeight="1">
      <c r="A2664" s="1" t="str">
        <f>Paths!$A$248</f>
        <v>T061</v>
      </c>
      <c r="B2664" s="1">
        <f>Paths!$B$248</f>
        <v>1</v>
      </c>
      <c r="C2664" s="1">
        <v>6</v>
      </c>
      <c r="D2664" s="1">
        <v>248</v>
      </c>
      <c r="E2664" s="1">
        <f>IF(OR(Paths!$C$248=0,C2664=0),0,MAX(0,MIN(C2664*12,Paths!$E$248)-(C2664-1)*12))</f>
        <v>0</v>
      </c>
      <c r="F2664" s="1">
        <f>IF(OR(Paths!$C$248=0,C2664=0),0,12-E2664)</f>
        <v>0</v>
      </c>
      <c r="G2664" s="16">
        <f>IF(NOT(Paths!$C$248=1),0,IF(Paths!$P$248="Complete",E2664/12*(Paths!$J$248*(1+'Operating costs'!$B$51)^MAX(0,C2664-1)+Paths!$K$248*(1+'Operating costs'!$B$53)^MAX(0,C2664-1)),"n.a."))</f>
        <v>0</v>
      </c>
      <c r="H2664" s="16">
        <f>IF(NOT(Paths!$C$248=1),0,IF(Paths!$P$248="Complete",F2664/12*(Paths!$L$248*(1+IF(Paths!$D$248="EV",'Operating costs'!$B$52,'Operating costs'!$B$51))^MAX(0,C2664-1)+Paths!$M$248*(1+'Operating costs'!$B$53)^MAX(0,C2664-1)),"n.a."))</f>
        <v>0</v>
      </c>
      <c r="I2664" s="16">
        <f>IF(NOT(Paths!$C$248=1),0,IF(Paths!$P$248="Complete",IF(IF(Paths!$E$248=0,C2664=0,AND(C2664&gt;0,Paths!$E$248&gt;(C2664-1)*12,Paths!$E$248&lt;=C2664*12)),Paths!$G$248,0),"n.a."))</f>
        <v>0</v>
      </c>
      <c r="J2664" s="16">
        <f>IF(NOT(Paths!$C$248=1),0,IF(Paths!$P$248="Complete",IF(IF(Paths!$E$248=0,C2664=0,AND(C2664&gt;0,Paths!$E$248&gt;(C2664-1)*12,Paths!$E$248&lt;=C2664*12)),Paths!$H$248,0),"n.a."))</f>
        <v>0</v>
      </c>
      <c r="K2664" s="16">
        <f>IF(NOT(Paths!$C$248=1),0,IF(Paths!$P$248="Complete",IF(IF(Paths!$O$248=0,C2664=0,AND(C2664&gt;0,Paths!$O$248&gt;(C2664-1)*12,Paths!$O$248&lt;=C2664*12)),Paths!$N$248,0),"n.a."))</f>
        <v>0</v>
      </c>
      <c r="L2664" s="16">
        <f>IF(NOT(Paths!$C$248=1),0,IF(Paths!$P$248="Complete",IF(C2664=10,Paths!$I$248,0),"n.a."))</f>
        <v>0</v>
      </c>
      <c r="M2664" s="16">
        <f>IF(NOT(Paths!$C$248=1),0,IF(Paths!$P$248="Complete",IF(AND(Paths!$D$248="EV",Paths!$E$248&lt;120,Paths!$E$248+'Operating costs'!$B$65&gt;Paths!$E$248,Paths!$E$248+'Operating costs'!$B$65&lt;=120,IF(Paths!$E$248+'Operating costs'!$B$65=0,C2664=0,AND(C2664&gt;0,Paths!$E$248+'Operating costs'!$B$65&gt;(C2664-1)*12,Paths!$E$248+'Operating costs'!$B$65&lt;=C2664*12))),'Operating costs'!$B$64,0)+IF(AND('Operating costs'!$B$67&gt;0,'Operating costs'!$B$67&lt;=120,OR(Paths!$D$248="ICE",'Operating costs'!$B$67&lt;=Paths!$E$248),IF('Operating costs'!$B$67=0,C2664=0,AND(C2664&gt;0,'Operating costs'!$B$67&gt;(C2664-1)*12,'Operating costs'!$B$67&lt;=C2664*12))),'Operating costs'!$B$66,0),"n.a."))</f>
        <v>0</v>
      </c>
      <c r="N2664" s="16">
        <f>IF(NOT(Paths!$C$248=1),0,IF(Paths!$P$248="Complete",SUM(G2664:I2664)-J2664-K2664-L2664+M2664+IF(C2664=0,Paths!$F$248,0)+IF(IF(Paths!$E$248=0,C2664=0,AND(C2664&gt;0,Paths!$E$248&gt;(C2664-1)*12,Paths!$E$248&lt;=C2664*12)),VLOOKUP(A2664,'Fleet register'!$A$7:$S$106,16,FALSE),0),"n.a."))</f>
        <v>0</v>
      </c>
      <c r="O2664" s="16">
        <f>IF(NOT(Paths!$C$248=1),0,IF(Paths!$P$248="Complete",N2664-IF(C2664=0,Paths!$F$248,0),"n.a."))</f>
        <v>0</v>
      </c>
      <c r="P2664" s="16">
        <f>IF(NOT(Paths!$C$248=1),0,IF(Paths!$P$248="Complete",O2664+L2664,"n.a."))</f>
        <v>0</v>
      </c>
      <c r="Q2664" s="16">
        <f>IF(NOT(Paths!$C$248=1),0,IF(Paths!$P$248="Complete",N2664*(1+'Operating costs'!$B$54)^-C2664,"n.a."))</f>
        <v>0</v>
      </c>
      <c r="R2664" s="16">
        <f>IF(NOT(Paths!$C$248=1),0,IF(Paths!$P$248="Complete",IF(AND(C2664=0,Paths!$E$248=0),I2664-J2664-K2664+VLOOKUP(A2664,'Fleet register'!$A$7:$S$106,15,FALSE)+VLOOKUP(A2664,'Fleet register'!$A$7:$S$106,16,FALSE),0),"n.a."))</f>
        <v>0</v>
      </c>
      <c r="S2664" s="1">
        <f>IF(NOT(Paths!$C$248=1),0,IF(Paths!$P$248="Complete",IF(C2664=0,0,Paths!$S$248*Paths!$R$248),"n.a."))</f>
        <v>0</v>
      </c>
      <c r="T2664" s="1">
        <f>IF(NOT(Paths!$C$248=1),0,IF(Paths!$P$248="Complete",IF(C2664=0,0,VLOOKUP(A2664,'Fleet register'!$A$7:$S$106,9,FALSE)*Paths!$R$248),"n.a."))</f>
        <v>0</v>
      </c>
    </row>
    <row r="2665" spans="1:20" ht="24" customHeight="1">
      <c r="A2665" s="1" t="str">
        <f>Paths!$A$248</f>
        <v>T061</v>
      </c>
      <c r="B2665" s="1">
        <f>Paths!$B$248</f>
        <v>1</v>
      </c>
      <c r="C2665" s="1">
        <v>7</v>
      </c>
      <c r="D2665" s="1">
        <v>248</v>
      </c>
      <c r="E2665" s="1">
        <f>IF(OR(Paths!$C$248=0,C2665=0),0,MAX(0,MIN(C2665*12,Paths!$E$248)-(C2665-1)*12))</f>
        <v>0</v>
      </c>
      <c r="F2665" s="1">
        <f>IF(OR(Paths!$C$248=0,C2665=0),0,12-E2665)</f>
        <v>0</v>
      </c>
      <c r="G2665" s="16">
        <f>IF(NOT(Paths!$C$248=1),0,IF(Paths!$P$248="Complete",E2665/12*(Paths!$J$248*(1+'Operating costs'!$B$51)^MAX(0,C2665-1)+Paths!$K$248*(1+'Operating costs'!$B$53)^MAX(0,C2665-1)),"n.a."))</f>
        <v>0</v>
      </c>
      <c r="H2665" s="16">
        <f>IF(NOT(Paths!$C$248=1),0,IF(Paths!$P$248="Complete",F2665/12*(Paths!$L$248*(1+IF(Paths!$D$248="EV",'Operating costs'!$B$52,'Operating costs'!$B$51))^MAX(0,C2665-1)+Paths!$M$248*(1+'Operating costs'!$B$53)^MAX(0,C2665-1)),"n.a."))</f>
        <v>0</v>
      </c>
      <c r="I2665" s="16">
        <f>IF(NOT(Paths!$C$248=1),0,IF(Paths!$P$248="Complete",IF(IF(Paths!$E$248=0,C2665=0,AND(C2665&gt;0,Paths!$E$248&gt;(C2665-1)*12,Paths!$E$248&lt;=C2665*12)),Paths!$G$248,0),"n.a."))</f>
        <v>0</v>
      </c>
      <c r="J2665" s="16">
        <f>IF(NOT(Paths!$C$248=1),0,IF(Paths!$P$248="Complete",IF(IF(Paths!$E$248=0,C2665=0,AND(C2665&gt;0,Paths!$E$248&gt;(C2665-1)*12,Paths!$E$248&lt;=C2665*12)),Paths!$H$248,0),"n.a."))</f>
        <v>0</v>
      </c>
      <c r="K2665" s="16">
        <f>IF(NOT(Paths!$C$248=1),0,IF(Paths!$P$248="Complete",IF(IF(Paths!$O$248=0,C2665=0,AND(C2665&gt;0,Paths!$O$248&gt;(C2665-1)*12,Paths!$O$248&lt;=C2665*12)),Paths!$N$248,0),"n.a."))</f>
        <v>0</v>
      </c>
      <c r="L2665" s="16">
        <f>IF(NOT(Paths!$C$248=1),0,IF(Paths!$P$248="Complete",IF(C2665=10,Paths!$I$248,0),"n.a."))</f>
        <v>0</v>
      </c>
      <c r="M2665" s="16">
        <f>IF(NOT(Paths!$C$248=1),0,IF(Paths!$P$248="Complete",IF(AND(Paths!$D$248="EV",Paths!$E$248&lt;120,Paths!$E$248+'Operating costs'!$B$65&gt;Paths!$E$248,Paths!$E$248+'Operating costs'!$B$65&lt;=120,IF(Paths!$E$248+'Operating costs'!$B$65=0,C2665=0,AND(C2665&gt;0,Paths!$E$248+'Operating costs'!$B$65&gt;(C2665-1)*12,Paths!$E$248+'Operating costs'!$B$65&lt;=C2665*12))),'Operating costs'!$B$64,0)+IF(AND('Operating costs'!$B$67&gt;0,'Operating costs'!$B$67&lt;=120,OR(Paths!$D$248="ICE",'Operating costs'!$B$67&lt;=Paths!$E$248),IF('Operating costs'!$B$67=0,C2665=0,AND(C2665&gt;0,'Operating costs'!$B$67&gt;(C2665-1)*12,'Operating costs'!$B$67&lt;=C2665*12))),'Operating costs'!$B$66,0),"n.a."))</f>
        <v>0</v>
      </c>
      <c r="N2665" s="16">
        <f>IF(NOT(Paths!$C$248=1),0,IF(Paths!$P$248="Complete",SUM(G2665:I2665)-J2665-K2665-L2665+M2665+IF(C2665=0,Paths!$F$248,0)+IF(IF(Paths!$E$248=0,C2665=0,AND(C2665&gt;0,Paths!$E$248&gt;(C2665-1)*12,Paths!$E$248&lt;=C2665*12)),VLOOKUP(A2665,'Fleet register'!$A$7:$S$106,16,FALSE),0),"n.a."))</f>
        <v>0</v>
      </c>
      <c r="O2665" s="16">
        <f>IF(NOT(Paths!$C$248=1),0,IF(Paths!$P$248="Complete",N2665-IF(C2665=0,Paths!$F$248,0),"n.a."))</f>
        <v>0</v>
      </c>
      <c r="P2665" s="16">
        <f>IF(NOT(Paths!$C$248=1),0,IF(Paths!$P$248="Complete",O2665+L2665,"n.a."))</f>
        <v>0</v>
      </c>
      <c r="Q2665" s="16">
        <f>IF(NOT(Paths!$C$248=1),0,IF(Paths!$P$248="Complete",N2665*(1+'Operating costs'!$B$54)^-C2665,"n.a."))</f>
        <v>0</v>
      </c>
      <c r="R2665" s="16">
        <f>IF(NOT(Paths!$C$248=1),0,IF(Paths!$P$248="Complete",IF(AND(C2665=0,Paths!$E$248=0),I2665-J2665-K2665+VLOOKUP(A2665,'Fleet register'!$A$7:$S$106,15,FALSE)+VLOOKUP(A2665,'Fleet register'!$A$7:$S$106,16,FALSE),0),"n.a."))</f>
        <v>0</v>
      </c>
      <c r="S2665" s="1">
        <f>IF(NOT(Paths!$C$248=1),0,IF(Paths!$P$248="Complete",IF(C2665=0,0,Paths!$S$248*Paths!$R$248),"n.a."))</f>
        <v>0</v>
      </c>
      <c r="T2665" s="1">
        <f>IF(NOT(Paths!$C$248=1),0,IF(Paths!$P$248="Complete",IF(C2665=0,0,VLOOKUP(A2665,'Fleet register'!$A$7:$S$106,9,FALSE)*Paths!$R$248),"n.a."))</f>
        <v>0</v>
      </c>
    </row>
    <row r="2666" spans="1:20" ht="24" customHeight="1">
      <c r="A2666" s="1" t="str">
        <f>Paths!$A$248</f>
        <v>T061</v>
      </c>
      <c r="B2666" s="1">
        <f>Paths!$B$248</f>
        <v>1</v>
      </c>
      <c r="C2666" s="1">
        <v>8</v>
      </c>
      <c r="D2666" s="1">
        <v>248</v>
      </c>
      <c r="E2666" s="1">
        <f>IF(OR(Paths!$C$248=0,C2666=0),0,MAX(0,MIN(C2666*12,Paths!$E$248)-(C2666-1)*12))</f>
        <v>0</v>
      </c>
      <c r="F2666" s="1">
        <f>IF(OR(Paths!$C$248=0,C2666=0),0,12-E2666)</f>
        <v>0</v>
      </c>
      <c r="G2666" s="16">
        <f>IF(NOT(Paths!$C$248=1),0,IF(Paths!$P$248="Complete",E2666/12*(Paths!$J$248*(1+'Operating costs'!$B$51)^MAX(0,C2666-1)+Paths!$K$248*(1+'Operating costs'!$B$53)^MAX(0,C2666-1)),"n.a."))</f>
        <v>0</v>
      </c>
      <c r="H2666" s="16">
        <f>IF(NOT(Paths!$C$248=1),0,IF(Paths!$P$248="Complete",F2666/12*(Paths!$L$248*(1+IF(Paths!$D$248="EV",'Operating costs'!$B$52,'Operating costs'!$B$51))^MAX(0,C2666-1)+Paths!$M$248*(1+'Operating costs'!$B$53)^MAX(0,C2666-1)),"n.a."))</f>
        <v>0</v>
      </c>
      <c r="I2666" s="16">
        <f>IF(NOT(Paths!$C$248=1),0,IF(Paths!$P$248="Complete",IF(IF(Paths!$E$248=0,C2666=0,AND(C2666&gt;0,Paths!$E$248&gt;(C2666-1)*12,Paths!$E$248&lt;=C2666*12)),Paths!$G$248,0),"n.a."))</f>
        <v>0</v>
      </c>
      <c r="J2666" s="16">
        <f>IF(NOT(Paths!$C$248=1),0,IF(Paths!$P$248="Complete",IF(IF(Paths!$E$248=0,C2666=0,AND(C2666&gt;0,Paths!$E$248&gt;(C2666-1)*12,Paths!$E$248&lt;=C2666*12)),Paths!$H$248,0),"n.a."))</f>
        <v>0</v>
      </c>
      <c r="K2666" s="16">
        <f>IF(NOT(Paths!$C$248=1),0,IF(Paths!$P$248="Complete",IF(IF(Paths!$O$248=0,C2666=0,AND(C2666&gt;0,Paths!$O$248&gt;(C2666-1)*12,Paths!$O$248&lt;=C2666*12)),Paths!$N$248,0),"n.a."))</f>
        <v>0</v>
      </c>
      <c r="L2666" s="16">
        <f>IF(NOT(Paths!$C$248=1),0,IF(Paths!$P$248="Complete",IF(C2666=10,Paths!$I$248,0),"n.a."))</f>
        <v>0</v>
      </c>
      <c r="M2666" s="16">
        <f>IF(NOT(Paths!$C$248=1),0,IF(Paths!$P$248="Complete",IF(AND(Paths!$D$248="EV",Paths!$E$248&lt;120,Paths!$E$248+'Operating costs'!$B$65&gt;Paths!$E$248,Paths!$E$248+'Operating costs'!$B$65&lt;=120,IF(Paths!$E$248+'Operating costs'!$B$65=0,C2666=0,AND(C2666&gt;0,Paths!$E$248+'Operating costs'!$B$65&gt;(C2666-1)*12,Paths!$E$248+'Operating costs'!$B$65&lt;=C2666*12))),'Operating costs'!$B$64,0)+IF(AND('Operating costs'!$B$67&gt;0,'Operating costs'!$B$67&lt;=120,OR(Paths!$D$248="ICE",'Operating costs'!$B$67&lt;=Paths!$E$248),IF('Operating costs'!$B$67=0,C2666=0,AND(C2666&gt;0,'Operating costs'!$B$67&gt;(C2666-1)*12,'Operating costs'!$B$67&lt;=C2666*12))),'Operating costs'!$B$66,0),"n.a."))</f>
        <v>0</v>
      </c>
      <c r="N2666" s="16">
        <f>IF(NOT(Paths!$C$248=1),0,IF(Paths!$P$248="Complete",SUM(G2666:I2666)-J2666-K2666-L2666+M2666+IF(C2666=0,Paths!$F$248,0)+IF(IF(Paths!$E$248=0,C2666=0,AND(C2666&gt;0,Paths!$E$248&gt;(C2666-1)*12,Paths!$E$248&lt;=C2666*12)),VLOOKUP(A2666,'Fleet register'!$A$7:$S$106,16,FALSE),0),"n.a."))</f>
        <v>0</v>
      </c>
      <c r="O2666" s="16">
        <f>IF(NOT(Paths!$C$248=1),0,IF(Paths!$P$248="Complete",N2666-IF(C2666=0,Paths!$F$248,0),"n.a."))</f>
        <v>0</v>
      </c>
      <c r="P2666" s="16">
        <f>IF(NOT(Paths!$C$248=1),0,IF(Paths!$P$248="Complete",O2666+L2666,"n.a."))</f>
        <v>0</v>
      </c>
      <c r="Q2666" s="16">
        <f>IF(NOT(Paths!$C$248=1),0,IF(Paths!$P$248="Complete",N2666*(1+'Operating costs'!$B$54)^-C2666,"n.a."))</f>
        <v>0</v>
      </c>
      <c r="R2666" s="16">
        <f>IF(NOT(Paths!$C$248=1),0,IF(Paths!$P$248="Complete",IF(AND(C2666=0,Paths!$E$248=0),I2666-J2666-K2666+VLOOKUP(A2666,'Fleet register'!$A$7:$S$106,15,FALSE)+VLOOKUP(A2666,'Fleet register'!$A$7:$S$106,16,FALSE),0),"n.a."))</f>
        <v>0</v>
      </c>
      <c r="S2666" s="1">
        <f>IF(NOT(Paths!$C$248=1),0,IF(Paths!$P$248="Complete",IF(C2666=0,0,Paths!$S$248*Paths!$R$248),"n.a."))</f>
        <v>0</v>
      </c>
      <c r="T2666" s="1">
        <f>IF(NOT(Paths!$C$248=1),0,IF(Paths!$P$248="Complete",IF(C2666=0,0,VLOOKUP(A2666,'Fleet register'!$A$7:$S$106,9,FALSE)*Paths!$R$248),"n.a."))</f>
        <v>0</v>
      </c>
    </row>
    <row r="2667" spans="1:20" ht="24" customHeight="1">
      <c r="A2667" s="1" t="str">
        <f>Paths!$A$248</f>
        <v>T061</v>
      </c>
      <c r="B2667" s="1">
        <f>Paths!$B$248</f>
        <v>1</v>
      </c>
      <c r="C2667" s="1">
        <v>9</v>
      </c>
      <c r="D2667" s="1">
        <v>248</v>
      </c>
      <c r="E2667" s="1">
        <f>IF(OR(Paths!$C$248=0,C2667=0),0,MAX(0,MIN(C2667*12,Paths!$E$248)-(C2667-1)*12))</f>
        <v>0</v>
      </c>
      <c r="F2667" s="1">
        <f>IF(OR(Paths!$C$248=0,C2667=0),0,12-E2667)</f>
        <v>0</v>
      </c>
      <c r="G2667" s="16">
        <f>IF(NOT(Paths!$C$248=1),0,IF(Paths!$P$248="Complete",E2667/12*(Paths!$J$248*(1+'Operating costs'!$B$51)^MAX(0,C2667-1)+Paths!$K$248*(1+'Operating costs'!$B$53)^MAX(0,C2667-1)),"n.a."))</f>
        <v>0</v>
      </c>
      <c r="H2667" s="16">
        <f>IF(NOT(Paths!$C$248=1),0,IF(Paths!$P$248="Complete",F2667/12*(Paths!$L$248*(1+IF(Paths!$D$248="EV",'Operating costs'!$B$52,'Operating costs'!$B$51))^MAX(0,C2667-1)+Paths!$M$248*(1+'Operating costs'!$B$53)^MAX(0,C2667-1)),"n.a."))</f>
        <v>0</v>
      </c>
      <c r="I2667" s="16">
        <f>IF(NOT(Paths!$C$248=1),0,IF(Paths!$P$248="Complete",IF(IF(Paths!$E$248=0,C2667=0,AND(C2667&gt;0,Paths!$E$248&gt;(C2667-1)*12,Paths!$E$248&lt;=C2667*12)),Paths!$G$248,0),"n.a."))</f>
        <v>0</v>
      </c>
      <c r="J2667" s="16">
        <f>IF(NOT(Paths!$C$248=1),0,IF(Paths!$P$248="Complete",IF(IF(Paths!$E$248=0,C2667=0,AND(C2667&gt;0,Paths!$E$248&gt;(C2667-1)*12,Paths!$E$248&lt;=C2667*12)),Paths!$H$248,0),"n.a."))</f>
        <v>0</v>
      </c>
      <c r="K2667" s="16">
        <f>IF(NOT(Paths!$C$248=1),0,IF(Paths!$P$248="Complete",IF(IF(Paths!$O$248=0,C2667=0,AND(C2667&gt;0,Paths!$O$248&gt;(C2667-1)*12,Paths!$O$248&lt;=C2667*12)),Paths!$N$248,0),"n.a."))</f>
        <v>0</v>
      </c>
      <c r="L2667" s="16">
        <f>IF(NOT(Paths!$C$248=1),0,IF(Paths!$P$248="Complete",IF(C2667=10,Paths!$I$248,0),"n.a."))</f>
        <v>0</v>
      </c>
      <c r="M2667" s="16">
        <f>IF(NOT(Paths!$C$248=1),0,IF(Paths!$P$248="Complete",IF(AND(Paths!$D$248="EV",Paths!$E$248&lt;120,Paths!$E$248+'Operating costs'!$B$65&gt;Paths!$E$248,Paths!$E$248+'Operating costs'!$B$65&lt;=120,IF(Paths!$E$248+'Operating costs'!$B$65=0,C2667=0,AND(C2667&gt;0,Paths!$E$248+'Operating costs'!$B$65&gt;(C2667-1)*12,Paths!$E$248+'Operating costs'!$B$65&lt;=C2667*12))),'Operating costs'!$B$64,0)+IF(AND('Operating costs'!$B$67&gt;0,'Operating costs'!$B$67&lt;=120,OR(Paths!$D$248="ICE",'Operating costs'!$B$67&lt;=Paths!$E$248),IF('Operating costs'!$B$67=0,C2667=0,AND(C2667&gt;0,'Operating costs'!$B$67&gt;(C2667-1)*12,'Operating costs'!$B$67&lt;=C2667*12))),'Operating costs'!$B$66,0),"n.a."))</f>
        <v>0</v>
      </c>
      <c r="N2667" s="16">
        <f>IF(NOT(Paths!$C$248=1),0,IF(Paths!$P$248="Complete",SUM(G2667:I2667)-J2667-K2667-L2667+M2667+IF(C2667=0,Paths!$F$248,0)+IF(IF(Paths!$E$248=0,C2667=0,AND(C2667&gt;0,Paths!$E$248&gt;(C2667-1)*12,Paths!$E$248&lt;=C2667*12)),VLOOKUP(A2667,'Fleet register'!$A$7:$S$106,16,FALSE),0),"n.a."))</f>
        <v>0</v>
      </c>
      <c r="O2667" s="16">
        <f>IF(NOT(Paths!$C$248=1),0,IF(Paths!$P$248="Complete",N2667-IF(C2667=0,Paths!$F$248,0),"n.a."))</f>
        <v>0</v>
      </c>
      <c r="P2667" s="16">
        <f>IF(NOT(Paths!$C$248=1),0,IF(Paths!$P$248="Complete",O2667+L2667,"n.a."))</f>
        <v>0</v>
      </c>
      <c r="Q2667" s="16">
        <f>IF(NOT(Paths!$C$248=1),0,IF(Paths!$P$248="Complete",N2667*(1+'Operating costs'!$B$54)^-C2667,"n.a."))</f>
        <v>0</v>
      </c>
      <c r="R2667" s="16">
        <f>IF(NOT(Paths!$C$248=1),0,IF(Paths!$P$248="Complete",IF(AND(C2667=0,Paths!$E$248=0),I2667-J2667-K2667+VLOOKUP(A2667,'Fleet register'!$A$7:$S$106,15,FALSE)+VLOOKUP(A2667,'Fleet register'!$A$7:$S$106,16,FALSE),0),"n.a."))</f>
        <v>0</v>
      </c>
      <c r="S2667" s="1">
        <f>IF(NOT(Paths!$C$248=1),0,IF(Paths!$P$248="Complete",IF(C2667=0,0,Paths!$S$248*Paths!$R$248),"n.a."))</f>
        <v>0</v>
      </c>
      <c r="T2667" s="1">
        <f>IF(NOT(Paths!$C$248=1),0,IF(Paths!$P$248="Complete",IF(C2667=0,0,VLOOKUP(A2667,'Fleet register'!$A$7:$S$106,9,FALSE)*Paths!$R$248),"n.a."))</f>
        <v>0</v>
      </c>
    </row>
    <row r="2668" spans="1:20" ht="24" customHeight="1">
      <c r="A2668" s="1" t="str">
        <f>Paths!$A$248</f>
        <v>T061</v>
      </c>
      <c r="B2668" s="1">
        <f>Paths!$B$248</f>
        <v>1</v>
      </c>
      <c r="C2668" s="1">
        <v>10</v>
      </c>
      <c r="D2668" s="1">
        <v>248</v>
      </c>
      <c r="E2668" s="1">
        <f>IF(OR(Paths!$C$248=0,C2668=0),0,MAX(0,MIN(C2668*12,Paths!$E$248)-(C2668-1)*12))</f>
        <v>0</v>
      </c>
      <c r="F2668" s="1">
        <f>IF(OR(Paths!$C$248=0,C2668=0),0,12-E2668)</f>
        <v>0</v>
      </c>
      <c r="G2668" s="16">
        <f>IF(NOT(Paths!$C$248=1),0,IF(Paths!$P$248="Complete",E2668/12*(Paths!$J$248*(1+'Operating costs'!$B$51)^MAX(0,C2668-1)+Paths!$K$248*(1+'Operating costs'!$B$53)^MAX(0,C2668-1)),"n.a."))</f>
        <v>0</v>
      </c>
      <c r="H2668" s="16">
        <f>IF(NOT(Paths!$C$248=1),0,IF(Paths!$P$248="Complete",F2668/12*(Paths!$L$248*(1+IF(Paths!$D$248="EV",'Operating costs'!$B$52,'Operating costs'!$B$51))^MAX(0,C2668-1)+Paths!$M$248*(1+'Operating costs'!$B$53)^MAX(0,C2668-1)),"n.a."))</f>
        <v>0</v>
      </c>
      <c r="I2668" s="16">
        <f>IF(NOT(Paths!$C$248=1),0,IF(Paths!$P$248="Complete",IF(IF(Paths!$E$248=0,C2668=0,AND(C2668&gt;0,Paths!$E$248&gt;(C2668-1)*12,Paths!$E$248&lt;=C2668*12)),Paths!$G$248,0),"n.a."))</f>
        <v>0</v>
      </c>
      <c r="J2668" s="16">
        <f>IF(NOT(Paths!$C$248=1),0,IF(Paths!$P$248="Complete",IF(IF(Paths!$E$248=0,C2668=0,AND(C2668&gt;0,Paths!$E$248&gt;(C2668-1)*12,Paths!$E$248&lt;=C2668*12)),Paths!$H$248,0),"n.a."))</f>
        <v>0</v>
      </c>
      <c r="K2668" s="16">
        <f>IF(NOT(Paths!$C$248=1),0,IF(Paths!$P$248="Complete",IF(IF(Paths!$O$248=0,C2668=0,AND(C2668&gt;0,Paths!$O$248&gt;(C2668-1)*12,Paths!$O$248&lt;=C2668*12)),Paths!$N$248,0),"n.a."))</f>
        <v>0</v>
      </c>
      <c r="L2668" s="16">
        <f>IF(NOT(Paths!$C$248=1),0,IF(Paths!$P$248="Complete",IF(C2668=10,Paths!$I$248,0),"n.a."))</f>
        <v>0</v>
      </c>
      <c r="M2668" s="16">
        <f>IF(NOT(Paths!$C$248=1),0,IF(Paths!$P$248="Complete",IF(AND(Paths!$D$248="EV",Paths!$E$248&lt;120,Paths!$E$248+'Operating costs'!$B$65&gt;Paths!$E$248,Paths!$E$248+'Operating costs'!$B$65&lt;=120,IF(Paths!$E$248+'Operating costs'!$B$65=0,C2668=0,AND(C2668&gt;0,Paths!$E$248+'Operating costs'!$B$65&gt;(C2668-1)*12,Paths!$E$248+'Operating costs'!$B$65&lt;=C2668*12))),'Operating costs'!$B$64,0)+IF(AND('Operating costs'!$B$67&gt;0,'Operating costs'!$B$67&lt;=120,OR(Paths!$D$248="ICE",'Operating costs'!$B$67&lt;=Paths!$E$248),IF('Operating costs'!$B$67=0,C2668=0,AND(C2668&gt;0,'Operating costs'!$B$67&gt;(C2668-1)*12,'Operating costs'!$B$67&lt;=C2668*12))),'Operating costs'!$B$66,0),"n.a."))</f>
        <v>0</v>
      </c>
      <c r="N2668" s="16">
        <f>IF(NOT(Paths!$C$248=1),0,IF(Paths!$P$248="Complete",SUM(G2668:I2668)-J2668-K2668-L2668+M2668+IF(C2668=0,Paths!$F$248,0)+IF(IF(Paths!$E$248=0,C2668=0,AND(C2668&gt;0,Paths!$E$248&gt;(C2668-1)*12,Paths!$E$248&lt;=C2668*12)),VLOOKUP(A2668,'Fleet register'!$A$7:$S$106,16,FALSE),0),"n.a."))</f>
        <v>0</v>
      </c>
      <c r="O2668" s="16">
        <f>IF(NOT(Paths!$C$248=1),0,IF(Paths!$P$248="Complete",N2668-IF(C2668=0,Paths!$F$248,0),"n.a."))</f>
        <v>0</v>
      </c>
      <c r="P2668" s="16">
        <f>IF(NOT(Paths!$C$248=1),0,IF(Paths!$P$248="Complete",O2668+L2668,"n.a."))</f>
        <v>0</v>
      </c>
      <c r="Q2668" s="16">
        <f>IF(NOT(Paths!$C$248=1),0,IF(Paths!$P$248="Complete",N2668*(1+'Operating costs'!$B$54)^-C2668,"n.a."))</f>
        <v>0</v>
      </c>
      <c r="R2668" s="16">
        <f>IF(NOT(Paths!$C$248=1),0,IF(Paths!$P$248="Complete",IF(AND(C2668=0,Paths!$E$248=0),I2668-J2668-K2668+VLOOKUP(A2668,'Fleet register'!$A$7:$S$106,15,FALSE)+VLOOKUP(A2668,'Fleet register'!$A$7:$S$106,16,FALSE),0),"n.a."))</f>
        <v>0</v>
      </c>
      <c r="S2668" s="1">
        <f>IF(NOT(Paths!$C$248=1),0,IF(Paths!$P$248="Complete",IF(C2668=0,0,Paths!$S$248*Paths!$R$248),"n.a."))</f>
        <v>0</v>
      </c>
      <c r="T2668" s="1">
        <f>IF(NOT(Paths!$C$248=1),0,IF(Paths!$P$248="Complete",IF(C2668=0,0,VLOOKUP(A2668,'Fleet register'!$A$7:$S$106,9,FALSE)*Paths!$R$248),"n.a."))</f>
        <v>0</v>
      </c>
    </row>
    <row r="2669" spans="1:20" ht="24" customHeight="1">
      <c r="A2669" s="1" t="str">
        <f>Paths!$A$249</f>
        <v>T061</v>
      </c>
      <c r="B2669" s="1">
        <f>Paths!$B$249</f>
        <v>2</v>
      </c>
      <c r="C2669" s="1">
        <v>0</v>
      </c>
      <c r="D2669" s="1">
        <v>249</v>
      </c>
      <c r="E2669" s="1">
        <f>IF(OR(Paths!$C$249=0,C2669=0),0,MAX(0,MIN(C2669*12,Paths!$E$249)-(C2669-1)*12))</f>
        <v>0</v>
      </c>
      <c r="F2669" s="1">
        <f>IF(OR(Paths!$C$249=0,C2669=0),0,12-E2669)</f>
        <v>0</v>
      </c>
      <c r="G2669" s="16">
        <f>IF(NOT(Paths!$C$249=1),0,IF(Paths!$P$249="Complete",E2669/12*(Paths!$J$249*(1+'Operating costs'!$B$51)^MAX(0,C2669-1)+Paths!$K$249*(1+'Operating costs'!$B$53)^MAX(0,C2669-1)),"n.a."))</f>
        <v>0</v>
      </c>
      <c r="H2669" s="16">
        <f>IF(NOT(Paths!$C$249=1),0,IF(Paths!$P$249="Complete",F2669/12*(Paths!$L$249*(1+IF(Paths!$D$249="EV",'Operating costs'!$B$52,'Operating costs'!$B$51))^MAX(0,C2669-1)+Paths!$M$249*(1+'Operating costs'!$B$53)^MAX(0,C2669-1)),"n.a."))</f>
        <v>0</v>
      </c>
      <c r="I2669" s="16">
        <f>IF(NOT(Paths!$C$249=1),0,IF(Paths!$P$249="Complete",IF(IF(Paths!$E$249=0,C2669=0,AND(C2669&gt;0,Paths!$E$249&gt;(C2669-1)*12,Paths!$E$249&lt;=C2669*12)),Paths!$G$249,0),"n.a."))</f>
        <v>0</v>
      </c>
      <c r="J2669" s="16">
        <f>IF(NOT(Paths!$C$249=1),0,IF(Paths!$P$249="Complete",IF(IF(Paths!$E$249=0,C2669=0,AND(C2669&gt;0,Paths!$E$249&gt;(C2669-1)*12,Paths!$E$249&lt;=C2669*12)),Paths!$H$249,0),"n.a."))</f>
        <v>0</v>
      </c>
      <c r="K2669" s="16">
        <f>IF(NOT(Paths!$C$249=1),0,IF(Paths!$P$249="Complete",IF(IF(Paths!$O$249=0,C2669=0,AND(C2669&gt;0,Paths!$O$249&gt;(C2669-1)*12,Paths!$O$249&lt;=C2669*12)),Paths!$N$249,0),"n.a."))</f>
        <v>0</v>
      </c>
      <c r="L2669" s="16">
        <f>IF(NOT(Paths!$C$249=1),0,IF(Paths!$P$249="Complete",IF(C2669=10,Paths!$I$249,0),"n.a."))</f>
        <v>0</v>
      </c>
      <c r="M2669" s="16">
        <f>IF(NOT(Paths!$C$249=1),0,IF(Paths!$P$249="Complete",IF(AND(Paths!$D$249="EV",Paths!$E$249&lt;120,Paths!$E$249+'Operating costs'!$B$65&gt;Paths!$E$249,Paths!$E$249+'Operating costs'!$B$65&lt;=120,IF(Paths!$E$249+'Operating costs'!$B$65=0,C2669=0,AND(C2669&gt;0,Paths!$E$249+'Operating costs'!$B$65&gt;(C2669-1)*12,Paths!$E$249+'Operating costs'!$B$65&lt;=C2669*12))),'Operating costs'!$B$64,0)+IF(AND('Operating costs'!$B$67&gt;0,'Operating costs'!$B$67&lt;=120,OR(Paths!$D$249="ICE",'Operating costs'!$B$67&lt;=Paths!$E$249),IF('Operating costs'!$B$67=0,C2669=0,AND(C2669&gt;0,'Operating costs'!$B$67&gt;(C2669-1)*12,'Operating costs'!$B$67&lt;=C2669*12))),'Operating costs'!$B$66,0),"n.a."))</f>
        <v>0</v>
      </c>
      <c r="N2669" s="16">
        <f>IF(NOT(Paths!$C$249=1),0,IF(Paths!$P$249="Complete",SUM(G2669:I2669)-J2669-K2669-L2669+M2669+IF(C2669=0,Paths!$F$249,0)+IF(IF(Paths!$E$249=0,C2669=0,AND(C2669&gt;0,Paths!$E$249&gt;(C2669-1)*12,Paths!$E$249&lt;=C2669*12)),VLOOKUP(A2669,'Fleet register'!$A$7:$S$106,16,FALSE),0),"n.a."))</f>
        <v>0</v>
      </c>
      <c r="O2669" s="16">
        <f>IF(NOT(Paths!$C$249=1),0,IF(Paths!$P$249="Complete",N2669-IF(C2669=0,Paths!$F$249,0),"n.a."))</f>
        <v>0</v>
      </c>
      <c r="P2669" s="16">
        <f>IF(NOT(Paths!$C$249=1),0,IF(Paths!$P$249="Complete",O2669+L2669,"n.a."))</f>
        <v>0</v>
      </c>
      <c r="Q2669" s="16">
        <f>IF(NOT(Paths!$C$249=1),0,IF(Paths!$P$249="Complete",N2669*(1+'Operating costs'!$B$54)^-C2669,"n.a."))</f>
        <v>0</v>
      </c>
      <c r="R2669" s="16">
        <f>IF(NOT(Paths!$C$249=1),0,IF(Paths!$P$249="Complete",IF(AND(C2669=0,Paths!$E$249=0),I2669-J2669-K2669+VLOOKUP(A2669,'Fleet register'!$A$7:$S$106,15,FALSE)+VLOOKUP(A2669,'Fleet register'!$A$7:$S$106,16,FALSE),0),"n.a."))</f>
        <v>0</v>
      </c>
      <c r="S2669" s="1">
        <f>IF(NOT(Paths!$C$249=1),0,IF(Paths!$P$249="Complete",IF(C2669=0,0,Paths!$S$249*Paths!$R$249),"n.a."))</f>
        <v>0</v>
      </c>
      <c r="T2669" s="1">
        <f>IF(NOT(Paths!$C$249=1),0,IF(Paths!$P$249="Complete",IF(C2669=0,0,VLOOKUP(A2669,'Fleet register'!$A$7:$S$106,9,FALSE)*Paths!$R$249),"n.a."))</f>
        <v>0</v>
      </c>
    </row>
    <row r="2670" spans="1:20" ht="24" customHeight="1">
      <c r="A2670" s="1" t="str">
        <f>Paths!$A$249</f>
        <v>T061</v>
      </c>
      <c r="B2670" s="1">
        <f>Paths!$B$249</f>
        <v>2</v>
      </c>
      <c r="C2670" s="1">
        <v>1</v>
      </c>
      <c r="D2670" s="1">
        <v>249</v>
      </c>
      <c r="E2670" s="1">
        <f>IF(OR(Paths!$C$249=0,C2670=0),0,MAX(0,MIN(C2670*12,Paths!$E$249)-(C2670-1)*12))</f>
        <v>0</v>
      </c>
      <c r="F2670" s="1">
        <f>IF(OR(Paths!$C$249=0,C2670=0),0,12-E2670)</f>
        <v>0</v>
      </c>
      <c r="G2670" s="16">
        <f>IF(NOT(Paths!$C$249=1),0,IF(Paths!$P$249="Complete",E2670/12*(Paths!$J$249*(1+'Operating costs'!$B$51)^MAX(0,C2670-1)+Paths!$K$249*(1+'Operating costs'!$B$53)^MAX(0,C2670-1)),"n.a."))</f>
        <v>0</v>
      </c>
      <c r="H2670" s="16">
        <f>IF(NOT(Paths!$C$249=1),0,IF(Paths!$P$249="Complete",F2670/12*(Paths!$L$249*(1+IF(Paths!$D$249="EV",'Operating costs'!$B$52,'Operating costs'!$B$51))^MAX(0,C2670-1)+Paths!$M$249*(1+'Operating costs'!$B$53)^MAX(0,C2670-1)),"n.a."))</f>
        <v>0</v>
      </c>
      <c r="I2670" s="16">
        <f>IF(NOT(Paths!$C$249=1),0,IF(Paths!$P$249="Complete",IF(IF(Paths!$E$249=0,C2670=0,AND(C2670&gt;0,Paths!$E$249&gt;(C2670-1)*12,Paths!$E$249&lt;=C2670*12)),Paths!$G$249,0),"n.a."))</f>
        <v>0</v>
      </c>
      <c r="J2670" s="16">
        <f>IF(NOT(Paths!$C$249=1),0,IF(Paths!$P$249="Complete",IF(IF(Paths!$E$249=0,C2670=0,AND(C2670&gt;0,Paths!$E$249&gt;(C2670-1)*12,Paths!$E$249&lt;=C2670*12)),Paths!$H$249,0),"n.a."))</f>
        <v>0</v>
      </c>
      <c r="K2670" s="16">
        <f>IF(NOT(Paths!$C$249=1),0,IF(Paths!$P$249="Complete",IF(IF(Paths!$O$249=0,C2670=0,AND(C2670&gt;0,Paths!$O$249&gt;(C2670-1)*12,Paths!$O$249&lt;=C2670*12)),Paths!$N$249,0),"n.a."))</f>
        <v>0</v>
      </c>
      <c r="L2670" s="16">
        <f>IF(NOT(Paths!$C$249=1),0,IF(Paths!$P$249="Complete",IF(C2670=10,Paths!$I$249,0),"n.a."))</f>
        <v>0</v>
      </c>
      <c r="M2670" s="16">
        <f>IF(NOT(Paths!$C$249=1),0,IF(Paths!$P$249="Complete",IF(AND(Paths!$D$249="EV",Paths!$E$249&lt;120,Paths!$E$249+'Operating costs'!$B$65&gt;Paths!$E$249,Paths!$E$249+'Operating costs'!$B$65&lt;=120,IF(Paths!$E$249+'Operating costs'!$B$65=0,C2670=0,AND(C2670&gt;0,Paths!$E$249+'Operating costs'!$B$65&gt;(C2670-1)*12,Paths!$E$249+'Operating costs'!$B$65&lt;=C2670*12))),'Operating costs'!$B$64,0)+IF(AND('Operating costs'!$B$67&gt;0,'Operating costs'!$B$67&lt;=120,OR(Paths!$D$249="ICE",'Operating costs'!$B$67&lt;=Paths!$E$249),IF('Operating costs'!$B$67=0,C2670=0,AND(C2670&gt;0,'Operating costs'!$B$67&gt;(C2670-1)*12,'Operating costs'!$B$67&lt;=C2670*12))),'Operating costs'!$B$66,0),"n.a."))</f>
        <v>0</v>
      </c>
      <c r="N2670" s="16">
        <f>IF(NOT(Paths!$C$249=1),0,IF(Paths!$P$249="Complete",SUM(G2670:I2670)-J2670-K2670-L2670+M2670+IF(C2670=0,Paths!$F$249,0)+IF(IF(Paths!$E$249=0,C2670=0,AND(C2670&gt;0,Paths!$E$249&gt;(C2670-1)*12,Paths!$E$249&lt;=C2670*12)),VLOOKUP(A2670,'Fleet register'!$A$7:$S$106,16,FALSE),0),"n.a."))</f>
        <v>0</v>
      </c>
      <c r="O2670" s="16">
        <f>IF(NOT(Paths!$C$249=1),0,IF(Paths!$P$249="Complete",N2670-IF(C2670=0,Paths!$F$249,0),"n.a."))</f>
        <v>0</v>
      </c>
      <c r="P2670" s="16">
        <f>IF(NOT(Paths!$C$249=1),0,IF(Paths!$P$249="Complete",O2670+L2670,"n.a."))</f>
        <v>0</v>
      </c>
      <c r="Q2670" s="16">
        <f>IF(NOT(Paths!$C$249=1),0,IF(Paths!$P$249="Complete",N2670*(1+'Operating costs'!$B$54)^-C2670,"n.a."))</f>
        <v>0</v>
      </c>
      <c r="R2670" s="16">
        <f>IF(NOT(Paths!$C$249=1),0,IF(Paths!$P$249="Complete",IF(AND(C2670=0,Paths!$E$249=0),I2670-J2670-K2670+VLOOKUP(A2670,'Fleet register'!$A$7:$S$106,15,FALSE)+VLOOKUP(A2670,'Fleet register'!$A$7:$S$106,16,FALSE),0),"n.a."))</f>
        <v>0</v>
      </c>
      <c r="S2670" s="1">
        <f>IF(NOT(Paths!$C$249=1),0,IF(Paths!$P$249="Complete",IF(C2670=0,0,Paths!$S$249*Paths!$R$249),"n.a."))</f>
        <v>0</v>
      </c>
      <c r="T2670" s="1">
        <f>IF(NOT(Paths!$C$249=1),0,IF(Paths!$P$249="Complete",IF(C2670=0,0,VLOOKUP(A2670,'Fleet register'!$A$7:$S$106,9,FALSE)*Paths!$R$249),"n.a."))</f>
        <v>0</v>
      </c>
    </row>
    <row r="2671" spans="1:20" ht="24" customHeight="1">
      <c r="A2671" s="1" t="str">
        <f>Paths!$A$249</f>
        <v>T061</v>
      </c>
      <c r="B2671" s="1">
        <f>Paths!$B$249</f>
        <v>2</v>
      </c>
      <c r="C2671" s="1">
        <v>2</v>
      </c>
      <c r="D2671" s="1">
        <v>249</v>
      </c>
      <c r="E2671" s="1">
        <f>IF(OR(Paths!$C$249=0,C2671=0),0,MAX(0,MIN(C2671*12,Paths!$E$249)-(C2671-1)*12))</f>
        <v>0</v>
      </c>
      <c r="F2671" s="1">
        <f>IF(OR(Paths!$C$249=0,C2671=0),0,12-E2671)</f>
        <v>0</v>
      </c>
      <c r="G2671" s="16">
        <f>IF(NOT(Paths!$C$249=1),0,IF(Paths!$P$249="Complete",E2671/12*(Paths!$J$249*(1+'Operating costs'!$B$51)^MAX(0,C2671-1)+Paths!$K$249*(1+'Operating costs'!$B$53)^MAX(0,C2671-1)),"n.a."))</f>
        <v>0</v>
      </c>
      <c r="H2671" s="16">
        <f>IF(NOT(Paths!$C$249=1),0,IF(Paths!$P$249="Complete",F2671/12*(Paths!$L$249*(1+IF(Paths!$D$249="EV",'Operating costs'!$B$52,'Operating costs'!$B$51))^MAX(0,C2671-1)+Paths!$M$249*(1+'Operating costs'!$B$53)^MAX(0,C2671-1)),"n.a."))</f>
        <v>0</v>
      </c>
      <c r="I2671" s="16">
        <f>IF(NOT(Paths!$C$249=1),0,IF(Paths!$P$249="Complete",IF(IF(Paths!$E$249=0,C2671=0,AND(C2671&gt;0,Paths!$E$249&gt;(C2671-1)*12,Paths!$E$249&lt;=C2671*12)),Paths!$G$249,0),"n.a."))</f>
        <v>0</v>
      </c>
      <c r="J2671" s="16">
        <f>IF(NOT(Paths!$C$249=1),0,IF(Paths!$P$249="Complete",IF(IF(Paths!$E$249=0,C2671=0,AND(C2671&gt;0,Paths!$E$249&gt;(C2671-1)*12,Paths!$E$249&lt;=C2671*12)),Paths!$H$249,0),"n.a."))</f>
        <v>0</v>
      </c>
      <c r="K2671" s="16">
        <f>IF(NOT(Paths!$C$249=1),0,IF(Paths!$P$249="Complete",IF(IF(Paths!$O$249=0,C2671=0,AND(C2671&gt;0,Paths!$O$249&gt;(C2671-1)*12,Paths!$O$249&lt;=C2671*12)),Paths!$N$249,0),"n.a."))</f>
        <v>0</v>
      </c>
      <c r="L2671" s="16">
        <f>IF(NOT(Paths!$C$249=1),0,IF(Paths!$P$249="Complete",IF(C2671=10,Paths!$I$249,0),"n.a."))</f>
        <v>0</v>
      </c>
      <c r="M2671" s="16">
        <f>IF(NOT(Paths!$C$249=1),0,IF(Paths!$P$249="Complete",IF(AND(Paths!$D$249="EV",Paths!$E$249&lt;120,Paths!$E$249+'Operating costs'!$B$65&gt;Paths!$E$249,Paths!$E$249+'Operating costs'!$B$65&lt;=120,IF(Paths!$E$249+'Operating costs'!$B$65=0,C2671=0,AND(C2671&gt;0,Paths!$E$249+'Operating costs'!$B$65&gt;(C2671-1)*12,Paths!$E$249+'Operating costs'!$B$65&lt;=C2671*12))),'Operating costs'!$B$64,0)+IF(AND('Operating costs'!$B$67&gt;0,'Operating costs'!$B$67&lt;=120,OR(Paths!$D$249="ICE",'Operating costs'!$B$67&lt;=Paths!$E$249),IF('Operating costs'!$B$67=0,C2671=0,AND(C2671&gt;0,'Operating costs'!$B$67&gt;(C2671-1)*12,'Operating costs'!$B$67&lt;=C2671*12))),'Operating costs'!$B$66,0),"n.a."))</f>
        <v>0</v>
      </c>
      <c r="N2671" s="16">
        <f>IF(NOT(Paths!$C$249=1),0,IF(Paths!$P$249="Complete",SUM(G2671:I2671)-J2671-K2671-L2671+M2671+IF(C2671=0,Paths!$F$249,0)+IF(IF(Paths!$E$249=0,C2671=0,AND(C2671&gt;0,Paths!$E$249&gt;(C2671-1)*12,Paths!$E$249&lt;=C2671*12)),VLOOKUP(A2671,'Fleet register'!$A$7:$S$106,16,FALSE),0),"n.a."))</f>
        <v>0</v>
      </c>
      <c r="O2671" s="16">
        <f>IF(NOT(Paths!$C$249=1),0,IF(Paths!$P$249="Complete",N2671-IF(C2671=0,Paths!$F$249,0),"n.a."))</f>
        <v>0</v>
      </c>
      <c r="P2671" s="16">
        <f>IF(NOT(Paths!$C$249=1),0,IF(Paths!$P$249="Complete",O2671+L2671,"n.a."))</f>
        <v>0</v>
      </c>
      <c r="Q2671" s="16">
        <f>IF(NOT(Paths!$C$249=1),0,IF(Paths!$P$249="Complete",N2671*(1+'Operating costs'!$B$54)^-C2671,"n.a."))</f>
        <v>0</v>
      </c>
      <c r="R2671" s="16">
        <f>IF(NOT(Paths!$C$249=1),0,IF(Paths!$P$249="Complete",IF(AND(C2671=0,Paths!$E$249=0),I2671-J2671-K2671+VLOOKUP(A2671,'Fleet register'!$A$7:$S$106,15,FALSE)+VLOOKUP(A2671,'Fleet register'!$A$7:$S$106,16,FALSE),0),"n.a."))</f>
        <v>0</v>
      </c>
      <c r="S2671" s="1">
        <f>IF(NOT(Paths!$C$249=1),0,IF(Paths!$P$249="Complete",IF(C2671=0,0,Paths!$S$249*Paths!$R$249),"n.a."))</f>
        <v>0</v>
      </c>
      <c r="T2671" s="1">
        <f>IF(NOT(Paths!$C$249=1),0,IF(Paths!$P$249="Complete",IF(C2671=0,0,VLOOKUP(A2671,'Fleet register'!$A$7:$S$106,9,FALSE)*Paths!$R$249),"n.a."))</f>
        <v>0</v>
      </c>
    </row>
    <row r="2672" spans="1:20" ht="24" customHeight="1">
      <c r="A2672" s="1" t="str">
        <f>Paths!$A$249</f>
        <v>T061</v>
      </c>
      <c r="B2672" s="1">
        <f>Paths!$B$249</f>
        <v>2</v>
      </c>
      <c r="C2672" s="1">
        <v>3</v>
      </c>
      <c r="D2672" s="1">
        <v>249</v>
      </c>
      <c r="E2672" s="1">
        <f>IF(OR(Paths!$C$249=0,C2672=0),0,MAX(0,MIN(C2672*12,Paths!$E$249)-(C2672-1)*12))</f>
        <v>0</v>
      </c>
      <c r="F2672" s="1">
        <f>IF(OR(Paths!$C$249=0,C2672=0),0,12-E2672)</f>
        <v>0</v>
      </c>
      <c r="G2672" s="16">
        <f>IF(NOT(Paths!$C$249=1),0,IF(Paths!$P$249="Complete",E2672/12*(Paths!$J$249*(1+'Operating costs'!$B$51)^MAX(0,C2672-1)+Paths!$K$249*(1+'Operating costs'!$B$53)^MAX(0,C2672-1)),"n.a."))</f>
        <v>0</v>
      </c>
      <c r="H2672" s="16">
        <f>IF(NOT(Paths!$C$249=1),0,IF(Paths!$P$249="Complete",F2672/12*(Paths!$L$249*(1+IF(Paths!$D$249="EV",'Operating costs'!$B$52,'Operating costs'!$B$51))^MAX(0,C2672-1)+Paths!$M$249*(1+'Operating costs'!$B$53)^MAX(0,C2672-1)),"n.a."))</f>
        <v>0</v>
      </c>
      <c r="I2672" s="16">
        <f>IF(NOT(Paths!$C$249=1),0,IF(Paths!$P$249="Complete",IF(IF(Paths!$E$249=0,C2672=0,AND(C2672&gt;0,Paths!$E$249&gt;(C2672-1)*12,Paths!$E$249&lt;=C2672*12)),Paths!$G$249,0),"n.a."))</f>
        <v>0</v>
      </c>
      <c r="J2672" s="16">
        <f>IF(NOT(Paths!$C$249=1),0,IF(Paths!$P$249="Complete",IF(IF(Paths!$E$249=0,C2672=0,AND(C2672&gt;0,Paths!$E$249&gt;(C2672-1)*12,Paths!$E$249&lt;=C2672*12)),Paths!$H$249,0),"n.a."))</f>
        <v>0</v>
      </c>
      <c r="K2672" s="16">
        <f>IF(NOT(Paths!$C$249=1),0,IF(Paths!$P$249="Complete",IF(IF(Paths!$O$249=0,C2672=0,AND(C2672&gt;0,Paths!$O$249&gt;(C2672-1)*12,Paths!$O$249&lt;=C2672*12)),Paths!$N$249,0),"n.a."))</f>
        <v>0</v>
      </c>
      <c r="L2672" s="16">
        <f>IF(NOT(Paths!$C$249=1),0,IF(Paths!$P$249="Complete",IF(C2672=10,Paths!$I$249,0),"n.a."))</f>
        <v>0</v>
      </c>
      <c r="M2672" s="16">
        <f>IF(NOT(Paths!$C$249=1),0,IF(Paths!$P$249="Complete",IF(AND(Paths!$D$249="EV",Paths!$E$249&lt;120,Paths!$E$249+'Operating costs'!$B$65&gt;Paths!$E$249,Paths!$E$249+'Operating costs'!$B$65&lt;=120,IF(Paths!$E$249+'Operating costs'!$B$65=0,C2672=0,AND(C2672&gt;0,Paths!$E$249+'Operating costs'!$B$65&gt;(C2672-1)*12,Paths!$E$249+'Operating costs'!$B$65&lt;=C2672*12))),'Operating costs'!$B$64,0)+IF(AND('Operating costs'!$B$67&gt;0,'Operating costs'!$B$67&lt;=120,OR(Paths!$D$249="ICE",'Operating costs'!$B$67&lt;=Paths!$E$249),IF('Operating costs'!$B$67=0,C2672=0,AND(C2672&gt;0,'Operating costs'!$B$67&gt;(C2672-1)*12,'Operating costs'!$B$67&lt;=C2672*12))),'Operating costs'!$B$66,0),"n.a."))</f>
        <v>0</v>
      </c>
      <c r="N2672" s="16">
        <f>IF(NOT(Paths!$C$249=1),0,IF(Paths!$P$249="Complete",SUM(G2672:I2672)-J2672-K2672-L2672+M2672+IF(C2672=0,Paths!$F$249,0)+IF(IF(Paths!$E$249=0,C2672=0,AND(C2672&gt;0,Paths!$E$249&gt;(C2672-1)*12,Paths!$E$249&lt;=C2672*12)),VLOOKUP(A2672,'Fleet register'!$A$7:$S$106,16,FALSE),0),"n.a."))</f>
        <v>0</v>
      </c>
      <c r="O2672" s="16">
        <f>IF(NOT(Paths!$C$249=1),0,IF(Paths!$P$249="Complete",N2672-IF(C2672=0,Paths!$F$249,0),"n.a."))</f>
        <v>0</v>
      </c>
      <c r="P2672" s="16">
        <f>IF(NOT(Paths!$C$249=1),0,IF(Paths!$P$249="Complete",O2672+L2672,"n.a."))</f>
        <v>0</v>
      </c>
      <c r="Q2672" s="16">
        <f>IF(NOT(Paths!$C$249=1),0,IF(Paths!$P$249="Complete",N2672*(1+'Operating costs'!$B$54)^-C2672,"n.a."))</f>
        <v>0</v>
      </c>
      <c r="R2672" s="16">
        <f>IF(NOT(Paths!$C$249=1),0,IF(Paths!$P$249="Complete",IF(AND(C2672=0,Paths!$E$249=0),I2672-J2672-K2672+VLOOKUP(A2672,'Fleet register'!$A$7:$S$106,15,FALSE)+VLOOKUP(A2672,'Fleet register'!$A$7:$S$106,16,FALSE),0),"n.a."))</f>
        <v>0</v>
      </c>
      <c r="S2672" s="1">
        <f>IF(NOT(Paths!$C$249=1),0,IF(Paths!$P$249="Complete",IF(C2672=0,0,Paths!$S$249*Paths!$R$249),"n.a."))</f>
        <v>0</v>
      </c>
      <c r="T2672" s="1">
        <f>IF(NOT(Paths!$C$249=1),0,IF(Paths!$P$249="Complete",IF(C2672=0,0,VLOOKUP(A2672,'Fleet register'!$A$7:$S$106,9,FALSE)*Paths!$R$249),"n.a."))</f>
        <v>0</v>
      </c>
    </row>
    <row r="2673" spans="1:20" ht="24" customHeight="1">
      <c r="A2673" s="1" t="str">
        <f>Paths!$A$249</f>
        <v>T061</v>
      </c>
      <c r="B2673" s="1">
        <f>Paths!$B$249</f>
        <v>2</v>
      </c>
      <c r="C2673" s="1">
        <v>4</v>
      </c>
      <c r="D2673" s="1">
        <v>249</v>
      </c>
      <c r="E2673" s="1">
        <f>IF(OR(Paths!$C$249=0,C2673=0),0,MAX(0,MIN(C2673*12,Paths!$E$249)-(C2673-1)*12))</f>
        <v>0</v>
      </c>
      <c r="F2673" s="1">
        <f>IF(OR(Paths!$C$249=0,C2673=0),0,12-E2673)</f>
        <v>0</v>
      </c>
      <c r="G2673" s="16">
        <f>IF(NOT(Paths!$C$249=1),0,IF(Paths!$P$249="Complete",E2673/12*(Paths!$J$249*(1+'Operating costs'!$B$51)^MAX(0,C2673-1)+Paths!$K$249*(1+'Operating costs'!$B$53)^MAX(0,C2673-1)),"n.a."))</f>
        <v>0</v>
      </c>
      <c r="H2673" s="16">
        <f>IF(NOT(Paths!$C$249=1),0,IF(Paths!$P$249="Complete",F2673/12*(Paths!$L$249*(1+IF(Paths!$D$249="EV",'Operating costs'!$B$52,'Operating costs'!$B$51))^MAX(0,C2673-1)+Paths!$M$249*(1+'Operating costs'!$B$53)^MAX(0,C2673-1)),"n.a."))</f>
        <v>0</v>
      </c>
      <c r="I2673" s="16">
        <f>IF(NOT(Paths!$C$249=1),0,IF(Paths!$P$249="Complete",IF(IF(Paths!$E$249=0,C2673=0,AND(C2673&gt;0,Paths!$E$249&gt;(C2673-1)*12,Paths!$E$249&lt;=C2673*12)),Paths!$G$249,0),"n.a."))</f>
        <v>0</v>
      </c>
      <c r="J2673" s="16">
        <f>IF(NOT(Paths!$C$249=1),0,IF(Paths!$P$249="Complete",IF(IF(Paths!$E$249=0,C2673=0,AND(C2673&gt;0,Paths!$E$249&gt;(C2673-1)*12,Paths!$E$249&lt;=C2673*12)),Paths!$H$249,0),"n.a."))</f>
        <v>0</v>
      </c>
      <c r="K2673" s="16">
        <f>IF(NOT(Paths!$C$249=1),0,IF(Paths!$P$249="Complete",IF(IF(Paths!$O$249=0,C2673=0,AND(C2673&gt;0,Paths!$O$249&gt;(C2673-1)*12,Paths!$O$249&lt;=C2673*12)),Paths!$N$249,0),"n.a."))</f>
        <v>0</v>
      </c>
      <c r="L2673" s="16">
        <f>IF(NOT(Paths!$C$249=1),0,IF(Paths!$P$249="Complete",IF(C2673=10,Paths!$I$249,0),"n.a."))</f>
        <v>0</v>
      </c>
      <c r="M2673" s="16">
        <f>IF(NOT(Paths!$C$249=1),0,IF(Paths!$P$249="Complete",IF(AND(Paths!$D$249="EV",Paths!$E$249&lt;120,Paths!$E$249+'Operating costs'!$B$65&gt;Paths!$E$249,Paths!$E$249+'Operating costs'!$B$65&lt;=120,IF(Paths!$E$249+'Operating costs'!$B$65=0,C2673=0,AND(C2673&gt;0,Paths!$E$249+'Operating costs'!$B$65&gt;(C2673-1)*12,Paths!$E$249+'Operating costs'!$B$65&lt;=C2673*12))),'Operating costs'!$B$64,0)+IF(AND('Operating costs'!$B$67&gt;0,'Operating costs'!$B$67&lt;=120,OR(Paths!$D$249="ICE",'Operating costs'!$B$67&lt;=Paths!$E$249),IF('Operating costs'!$B$67=0,C2673=0,AND(C2673&gt;0,'Operating costs'!$B$67&gt;(C2673-1)*12,'Operating costs'!$B$67&lt;=C2673*12))),'Operating costs'!$B$66,0),"n.a."))</f>
        <v>0</v>
      </c>
      <c r="N2673" s="16">
        <f>IF(NOT(Paths!$C$249=1),0,IF(Paths!$P$249="Complete",SUM(G2673:I2673)-J2673-K2673-L2673+M2673+IF(C2673=0,Paths!$F$249,0)+IF(IF(Paths!$E$249=0,C2673=0,AND(C2673&gt;0,Paths!$E$249&gt;(C2673-1)*12,Paths!$E$249&lt;=C2673*12)),VLOOKUP(A2673,'Fleet register'!$A$7:$S$106,16,FALSE),0),"n.a."))</f>
        <v>0</v>
      </c>
      <c r="O2673" s="16">
        <f>IF(NOT(Paths!$C$249=1),0,IF(Paths!$P$249="Complete",N2673-IF(C2673=0,Paths!$F$249,0),"n.a."))</f>
        <v>0</v>
      </c>
      <c r="P2673" s="16">
        <f>IF(NOT(Paths!$C$249=1),0,IF(Paths!$P$249="Complete",O2673+L2673,"n.a."))</f>
        <v>0</v>
      </c>
      <c r="Q2673" s="16">
        <f>IF(NOT(Paths!$C$249=1),0,IF(Paths!$P$249="Complete",N2673*(1+'Operating costs'!$B$54)^-C2673,"n.a."))</f>
        <v>0</v>
      </c>
      <c r="R2673" s="16">
        <f>IF(NOT(Paths!$C$249=1),0,IF(Paths!$P$249="Complete",IF(AND(C2673=0,Paths!$E$249=0),I2673-J2673-K2673+VLOOKUP(A2673,'Fleet register'!$A$7:$S$106,15,FALSE)+VLOOKUP(A2673,'Fleet register'!$A$7:$S$106,16,FALSE),0),"n.a."))</f>
        <v>0</v>
      </c>
      <c r="S2673" s="1">
        <f>IF(NOT(Paths!$C$249=1),0,IF(Paths!$P$249="Complete",IF(C2673=0,0,Paths!$S$249*Paths!$R$249),"n.a."))</f>
        <v>0</v>
      </c>
      <c r="T2673" s="1">
        <f>IF(NOT(Paths!$C$249=1),0,IF(Paths!$P$249="Complete",IF(C2673=0,0,VLOOKUP(A2673,'Fleet register'!$A$7:$S$106,9,FALSE)*Paths!$R$249),"n.a."))</f>
        <v>0</v>
      </c>
    </row>
    <row r="2674" spans="1:20" ht="24" customHeight="1">
      <c r="A2674" s="1" t="str">
        <f>Paths!$A$249</f>
        <v>T061</v>
      </c>
      <c r="B2674" s="1">
        <f>Paths!$B$249</f>
        <v>2</v>
      </c>
      <c r="C2674" s="1">
        <v>5</v>
      </c>
      <c r="D2674" s="1">
        <v>249</v>
      </c>
      <c r="E2674" s="1">
        <f>IF(OR(Paths!$C$249=0,C2674=0),0,MAX(0,MIN(C2674*12,Paths!$E$249)-(C2674-1)*12))</f>
        <v>0</v>
      </c>
      <c r="F2674" s="1">
        <f>IF(OR(Paths!$C$249=0,C2674=0),0,12-E2674)</f>
        <v>0</v>
      </c>
      <c r="G2674" s="16">
        <f>IF(NOT(Paths!$C$249=1),0,IF(Paths!$P$249="Complete",E2674/12*(Paths!$J$249*(1+'Operating costs'!$B$51)^MAX(0,C2674-1)+Paths!$K$249*(1+'Operating costs'!$B$53)^MAX(0,C2674-1)),"n.a."))</f>
        <v>0</v>
      </c>
      <c r="H2674" s="16">
        <f>IF(NOT(Paths!$C$249=1),0,IF(Paths!$P$249="Complete",F2674/12*(Paths!$L$249*(1+IF(Paths!$D$249="EV",'Operating costs'!$B$52,'Operating costs'!$B$51))^MAX(0,C2674-1)+Paths!$M$249*(1+'Operating costs'!$B$53)^MAX(0,C2674-1)),"n.a."))</f>
        <v>0</v>
      </c>
      <c r="I2674" s="16">
        <f>IF(NOT(Paths!$C$249=1),0,IF(Paths!$P$249="Complete",IF(IF(Paths!$E$249=0,C2674=0,AND(C2674&gt;0,Paths!$E$249&gt;(C2674-1)*12,Paths!$E$249&lt;=C2674*12)),Paths!$G$249,0),"n.a."))</f>
        <v>0</v>
      </c>
      <c r="J2674" s="16">
        <f>IF(NOT(Paths!$C$249=1),0,IF(Paths!$P$249="Complete",IF(IF(Paths!$E$249=0,C2674=0,AND(C2674&gt;0,Paths!$E$249&gt;(C2674-1)*12,Paths!$E$249&lt;=C2674*12)),Paths!$H$249,0),"n.a."))</f>
        <v>0</v>
      </c>
      <c r="K2674" s="16">
        <f>IF(NOT(Paths!$C$249=1),0,IF(Paths!$P$249="Complete",IF(IF(Paths!$O$249=0,C2674=0,AND(C2674&gt;0,Paths!$O$249&gt;(C2674-1)*12,Paths!$O$249&lt;=C2674*12)),Paths!$N$249,0),"n.a."))</f>
        <v>0</v>
      </c>
      <c r="L2674" s="16">
        <f>IF(NOT(Paths!$C$249=1),0,IF(Paths!$P$249="Complete",IF(C2674=10,Paths!$I$249,0),"n.a."))</f>
        <v>0</v>
      </c>
      <c r="M2674" s="16">
        <f>IF(NOT(Paths!$C$249=1),0,IF(Paths!$P$249="Complete",IF(AND(Paths!$D$249="EV",Paths!$E$249&lt;120,Paths!$E$249+'Operating costs'!$B$65&gt;Paths!$E$249,Paths!$E$249+'Operating costs'!$B$65&lt;=120,IF(Paths!$E$249+'Operating costs'!$B$65=0,C2674=0,AND(C2674&gt;0,Paths!$E$249+'Operating costs'!$B$65&gt;(C2674-1)*12,Paths!$E$249+'Operating costs'!$B$65&lt;=C2674*12))),'Operating costs'!$B$64,0)+IF(AND('Operating costs'!$B$67&gt;0,'Operating costs'!$B$67&lt;=120,OR(Paths!$D$249="ICE",'Operating costs'!$B$67&lt;=Paths!$E$249),IF('Operating costs'!$B$67=0,C2674=0,AND(C2674&gt;0,'Operating costs'!$B$67&gt;(C2674-1)*12,'Operating costs'!$B$67&lt;=C2674*12))),'Operating costs'!$B$66,0),"n.a."))</f>
        <v>0</v>
      </c>
      <c r="N2674" s="16">
        <f>IF(NOT(Paths!$C$249=1),0,IF(Paths!$P$249="Complete",SUM(G2674:I2674)-J2674-K2674-L2674+M2674+IF(C2674=0,Paths!$F$249,0)+IF(IF(Paths!$E$249=0,C2674=0,AND(C2674&gt;0,Paths!$E$249&gt;(C2674-1)*12,Paths!$E$249&lt;=C2674*12)),VLOOKUP(A2674,'Fleet register'!$A$7:$S$106,16,FALSE),0),"n.a."))</f>
        <v>0</v>
      </c>
      <c r="O2674" s="16">
        <f>IF(NOT(Paths!$C$249=1),0,IF(Paths!$P$249="Complete",N2674-IF(C2674=0,Paths!$F$249,0),"n.a."))</f>
        <v>0</v>
      </c>
      <c r="P2674" s="16">
        <f>IF(NOT(Paths!$C$249=1),0,IF(Paths!$P$249="Complete",O2674+L2674,"n.a."))</f>
        <v>0</v>
      </c>
      <c r="Q2674" s="16">
        <f>IF(NOT(Paths!$C$249=1),0,IF(Paths!$P$249="Complete",N2674*(1+'Operating costs'!$B$54)^-C2674,"n.a."))</f>
        <v>0</v>
      </c>
      <c r="R2674" s="16">
        <f>IF(NOT(Paths!$C$249=1),0,IF(Paths!$P$249="Complete",IF(AND(C2674=0,Paths!$E$249=0),I2674-J2674-K2674+VLOOKUP(A2674,'Fleet register'!$A$7:$S$106,15,FALSE)+VLOOKUP(A2674,'Fleet register'!$A$7:$S$106,16,FALSE),0),"n.a."))</f>
        <v>0</v>
      </c>
      <c r="S2674" s="1">
        <f>IF(NOT(Paths!$C$249=1),0,IF(Paths!$P$249="Complete",IF(C2674=0,0,Paths!$S$249*Paths!$R$249),"n.a."))</f>
        <v>0</v>
      </c>
      <c r="T2674" s="1">
        <f>IF(NOT(Paths!$C$249=1),0,IF(Paths!$P$249="Complete",IF(C2674=0,0,VLOOKUP(A2674,'Fleet register'!$A$7:$S$106,9,FALSE)*Paths!$R$249),"n.a."))</f>
        <v>0</v>
      </c>
    </row>
    <row r="2675" spans="1:20" ht="24" customHeight="1">
      <c r="A2675" s="1" t="str">
        <f>Paths!$A$249</f>
        <v>T061</v>
      </c>
      <c r="B2675" s="1">
        <f>Paths!$B$249</f>
        <v>2</v>
      </c>
      <c r="C2675" s="1">
        <v>6</v>
      </c>
      <c r="D2675" s="1">
        <v>249</v>
      </c>
      <c r="E2675" s="1">
        <f>IF(OR(Paths!$C$249=0,C2675=0),0,MAX(0,MIN(C2675*12,Paths!$E$249)-(C2675-1)*12))</f>
        <v>0</v>
      </c>
      <c r="F2675" s="1">
        <f>IF(OR(Paths!$C$249=0,C2675=0),0,12-E2675)</f>
        <v>0</v>
      </c>
      <c r="G2675" s="16">
        <f>IF(NOT(Paths!$C$249=1),0,IF(Paths!$P$249="Complete",E2675/12*(Paths!$J$249*(1+'Operating costs'!$B$51)^MAX(0,C2675-1)+Paths!$K$249*(1+'Operating costs'!$B$53)^MAX(0,C2675-1)),"n.a."))</f>
        <v>0</v>
      </c>
      <c r="H2675" s="16">
        <f>IF(NOT(Paths!$C$249=1),0,IF(Paths!$P$249="Complete",F2675/12*(Paths!$L$249*(1+IF(Paths!$D$249="EV",'Operating costs'!$B$52,'Operating costs'!$B$51))^MAX(0,C2675-1)+Paths!$M$249*(1+'Operating costs'!$B$53)^MAX(0,C2675-1)),"n.a."))</f>
        <v>0</v>
      </c>
      <c r="I2675" s="16">
        <f>IF(NOT(Paths!$C$249=1),0,IF(Paths!$P$249="Complete",IF(IF(Paths!$E$249=0,C2675=0,AND(C2675&gt;0,Paths!$E$249&gt;(C2675-1)*12,Paths!$E$249&lt;=C2675*12)),Paths!$G$249,0),"n.a."))</f>
        <v>0</v>
      </c>
      <c r="J2675" s="16">
        <f>IF(NOT(Paths!$C$249=1),0,IF(Paths!$P$249="Complete",IF(IF(Paths!$E$249=0,C2675=0,AND(C2675&gt;0,Paths!$E$249&gt;(C2675-1)*12,Paths!$E$249&lt;=C2675*12)),Paths!$H$249,0),"n.a."))</f>
        <v>0</v>
      </c>
      <c r="K2675" s="16">
        <f>IF(NOT(Paths!$C$249=1),0,IF(Paths!$P$249="Complete",IF(IF(Paths!$O$249=0,C2675=0,AND(C2675&gt;0,Paths!$O$249&gt;(C2675-1)*12,Paths!$O$249&lt;=C2675*12)),Paths!$N$249,0),"n.a."))</f>
        <v>0</v>
      </c>
      <c r="L2675" s="16">
        <f>IF(NOT(Paths!$C$249=1),0,IF(Paths!$P$249="Complete",IF(C2675=10,Paths!$I$249,0),"n.a."))</f>
        <v>0</v>
      </c>
      <c r="M2675" s="16">
        <f>IF(NOT(Paths!$C$249=1),0,IF(Paths!$P$249="Complete",IF(AND(Paths!$D$249="EV",Paths!$E$249&lt;120,Paths!$E$249+'Operating costs'!$B$65&gt;Paths!$E$249,Paths!$E$249+'Operating costs'!$B$65&lt;=120,IF(Paths!$E$249+'Operating costs'!$B$65=0,C2675=0,AND(C2675&gt;0,Paths!$E$249+'Operating costs'!$B$65&gt;(C2675-1)*12,Paths!$E$249+'Operating costs'!$B$65&lt;=C2675*12))),'Operating costs'!$B$64,0)+IF(AND('Operating costs'!$B$67&gt;0,'Operating costs'!$B$67&lt;=120,OR(Paths!$D$249="ICE",'Operating costs'!$B$67&lt;=Paths!$E$249),IF('Operating costs'!$B$67=0,C2675=0,AND(C2675&gt;0,'Operating costs'!$B$67&gt;(C2675-1)*12,'Operating costs'!$B$67&lt;=C2675*12))),'Operating costs'!$B$66,0),"n.a."))</f>
        <v>0</v>
      </c>
      <c r="N2675" s="16">
        <f>IF(NOT(Paths!$C$249=1),0,IF(Paths!$P$249="Complete",SUM(G2675:I2675)-J2675-K2675-L2675+M2675+IF(C2675=0,Paths!$F$249,0)+IF(IF(Paths!$E$249=0,C2675=0,AND(C2675&gt;0,Paths!$E$249&gt;(C2675-1)*12,Paths!$E$249&lt;=C2675*12)),VLOOKUP(A2675,'Fleet register'!$A$7:$S$106,16,FALSE),0),"n.a."))</f>
        <v>0</v>
      </c>
      <c r="O2675" s="16">
        <f>IF(NOT(Paths!$C$249=1),0,IF(Paths!$P$249="Complete",N2675-IF(C2675=0,Paths!$F$249,0),"n.a."))</f>
        <v>0</v>
      </c>
      <c r="P2675" s="16">
        <f>IF(NOT(Paths!$C$249=1),0,IF(Paths!$P$249="Complete",O2675+L2675,"n.a."))</f>
        <v>0</v>
      </c>
      <c r="Q2675" s="16">
        <f>IF(NOT(Paths!$C$249=1),0,IF(Paths!$P$249="Complete",N2675*(1+'Operating costs'!$B$54)^-C2675,"n.a."))</f>
        <v>0</v>
      </c>
      <c r="R2675" s="16">
        <f>IF(NOT(Paths!$C$249=1),0,IF(Paths!$P$249="Complete",IF(AND(C2675=0,Paths!$E$249=0),I2675-J2675-K2675+VLOOKUP(A2675,'Fleet register'!$A$7:$S$106,15,FALSE)+VLOOKUP(A2675,'Fleet register'!$A$7:$S$106,16,FALSE),0),"n.a."))</f>
        <v>0</v>
      </c>
      <c r="S2675" s="1">
        <f>IF(NOT(Paths!$C$249=1),0,IF(Paths!$P$249="Complete",IF(C2675=0,0,Paths!$S$249*Paths!$R$249),"n.a."))</f>
        <v>0</v>
      </c>
      <c r="T2675" s="1">
        <f>IF(NOT(Paths!$C$249=1),0,IF(Paths!$P$249="Complete",IF(C2675=0,0,VLOOKUP(A2675,'Fleet register'!$A$7:$S$106,9,FALSE)*Paths!$R$249),"n.a."))</f>
        <v>0</v>
      </c>
    </row>
    <row r="2676" spans="1:20" ht="24" customHeight="1">
      <c r="A2676" s="1" t="str">
        <f>Paths!$A$249</f>
        <v>T061</v>
      </c>
      <c r="B2676" s="1">
        <f>Paths!$B$249</f>
        <v>2</v>
      </c>
      <c r="C2676" s="1">
        <v>7</v>
      </c>
      <c r="D2676" s="1">
        <v>249</v>
      </c>
      <c r="E2676" s="1">
        <f>IF(OR(Paths!$C$249=0,C2676=0),0,MAX(0,MIN(C2676*12,Paths!$E$249)-(C2676-1)*12))</f>
        <v>0</v>
      </c>
      <c r="F2676" s="1">
        <f>IF(OR(Paths!$C$249=0,C2676=0),0,12-E2676)</f>
        <v>0</v>
      </c>
      <c r="G2676" s="16">
        <f>IF(NOT(Paths!$C$249=1),0,IF(Paths!$P$249="Complete",E2676/12*(Paths!$J$249*(1+'Operating costs'!$B$51)^MAX(0,C2676-1)+Paths!$K$249*(1+'Operating costs'!$B$53)^MAX(0,C2676-1)),"n.a."))</f>
        <v>0</v>
      </c>
      <c r="H2676" s="16">
        <f>IF(NOT(Paths!$C$249=1),0,IF(Paths!$P$249="Complete",F2676/12*(Paths!$L$249*(1+IF(Paths!$D$249="EV",'Operating costs'!$B$52,'Operating costs'!$B$51))^MAX(0,C2676-1)+Paths!$M$249*(1+'Operating costs'!$B$53)^MAX(0,C2676-1)),"n.a."))</f>
        <v>0</v>
      </c>
      <c r="I2676" s="16">
        <f>IF(NOT(Paths!$C$249=1),0,IF(Paths!$P$249="Complete",IF(IF(Paths!$E$249=0,C2676=0,AND(C2676&gt;0,Paths!$E$249&gt;(C2676-1)*12,Paths!$E$249&lt;=C2676*12)),Paths!$G$249,0),"n.a."))</f>
        <v>0</v>
      </c>
      <c r="J2676" s="16">
        <f>IF(NOT(Paths!$C$249=1),0,IF(Paths!$P$249="Complete",IF(IF(Paths!$E$249=0,C2676=0,AND(C2676&gt;0,Paths!$E$249&gt;(C2676-1)*12,Paths!$E$249&lt;=C2676*12)),Paths!$H$249,0),"n.a."))</f>
        <v>0</v>
      </c>
      <c r="K2676" s="16">
        <f>IF(NOT(Paths!$C$249=1),0,IF(Paths!$P$249="Complete",IF(IF(Paths!$O$249=0,C2676=0,AND(C2676&gt;0,Paths!$O$249&gt;(C2676-1)*12,Paths!$O$249&lt;=C2676*12)),Paths!$N$249,0),"n.a."))</f>
        <v>0</v>
      </c>
      <c r="L2676" s="16">
        <f>IF(NOT(Paths!$C$249=1),0,IF(Paths!$P$249="Complete",IF(C2676=10,Paths!$I$249,0),"n.a."))</f>
        <v>0</v>
      </c>
      <c r="M2676" s="16">
        <f>IF(NOT(Paths!$C$249=1),0,IF(Paths!$P$249="Complete",IF(AND(Paths!$D$249="EV",Paths!$E$249&lt;120,Paths!$E$249+'Operating costs'!$B$65&gt;Paths!$E$249,Paths!$E$249+'Operating costs'!$B$65&lt;=120,IF(Paths!$E$249+'Operating costs'!$B$65=0,C2676=0,AND(C2676&gt;0,Paths!$E$249+'Operating costs'!$B$65&gt;(C2676-1)*12,Paths!$E$249+'Operating costs'!$B$65&lt;=C2676*12))),'Operating costs'!$B$64,0)+IF(AND('Operating costs'!$B$67&gt;0,'Operating costs'!$B$67&lt;=120,OR(Paths!$D$249="ICE",'Operating costs'!$B$67&lt;=Paths!$E$249),IF('Operating costs'!$B$67=0,C2676=0,AND(C2676&gt;0,'Operating costs'!$B$67&gt;(C2676-1)*12,'Operating costs'!$B$67&lt;=C2676*12))),'Operating costs'!$B$66,0),"n.a."))</f>
        <v>0</v>
      </c>
      <c r="N2676" s="16">
        <f>IF(NOT(Paths!$C$249=1),0,IF(Paths!$P$249="Complete",SUM(G2676:I2676)-J2676-K2676-L2676+M2676+IF(C2676=0,Paths!$F$249,0)+IF(IF(Paths!$E$249=0,C2676=0,AND(C2676&gt;0,Paths!$E$249&gt;(C2676-1)*12,Paths!$E$249&lt;=C2676*12)),VLOOKUP(A2676,'Fleet register'!$A$7:$S$106,16,FALSE),0),"n.a."))</f>
        <v>0</v>
      </c>
      <c r="O2676" s="16">
        <f>IF(NOT(Paths!$C$249=1),0,IF(Paths!$P$249="Complete",N2676-IF(C2676=0,Paths!$F$249,0),"n.a."))</f>
        <v>0</v>
      </c>
      <c r="P2676" s="16">
        <f>IF(NOT(Paths!$C$249=1),0,IF(Paths!$P$249="Complete",O2676+L2676,"n.a."))</f>
        <v>0</v>
      </c>
      <c r="Q2676" s="16">
        <f>IF(NOT(Paths!$C$249=1),0,IF(Paths!$P$249="Complete",N2676*(1+'Operating costs'!$B$54)^-C2676,"n.a."))</f>
        <v>0</v>
      </c>
      <c r="R2676" s="16">
        <f>IF(NOT(Paths!$C$249=1),0,IF(Paths!$P$249="Complete",IF(AND(C2676=0,Paths!$E$249=0),I2676-J2676-K2676+VLOOKUP(A2676,'Fleet register'!$A$7:$S$106,15,FALSE)+VLOOKUP(A2676,'Fleet register'!$A$7:$S$106,16,FALSE),0),"n.a."))</f>
        <v>0</v>
      </c>
      <c r="S2676" s="1">
        <f>IF(NOT(Paths!$C$249=1),0,IF(Paths!$P$249="Complete",IF(C2676=0,0,Paths!$S$249*Paths!$R$249),"n.a."))</f>
        <v>0</v>
      </c>
      <c r="T2676" s="1">
        <f>IF(NOT(Paths!$C$249=1),0,IF(Paths!$P$249="Complete",IF(C2676=0,0,VLOOKUP(A2676,'Fleet register'!$A$7:$S$106,9,FALSE)*Paths!$R$249),"n.a."))</f>
        <v>0</v>
      </c>
    </row>
    <row r="2677" spans="1:20" ht="24" customHeight="1">
      <c r="A2677" s="1" t="str">
        <f>Paths!$A$249</f>
        <v>T061</v>
      </c>
      <c r="B2677" s="1">
        <f>Paths!$B$249</f>
        <v>2</v>
      </c>
      <c r="C2677" s="1">
        <v>8</v>
      </c>
      <c r="D2677" s="1">
        <v>249</v>
      </c>
      <c r="E2677" s="1">
        <f>IF(OR(Paths!$C$249=0,C2677=0),0,MAX(0,MIN(C2677*12,Paths!$E$249)-(C2677-1)*12))</f>
        <v>0</v>
      </c>
      <c r="F2677" s="1">
        <f>IF(OR(Paths!$C$249=0,C2677=0),0,12-E2677)</f>
        <v>0</v>
      </c>
      <c r="G2677" s="16">
        <f>IF(NOT(Paths!$C$249=1),0,IF(Paths!$P$249="Complete",E2677/12*(Paths!$J$249*(1+'Operating costs'!$B$51)^MAX(0,C2677-1)+Paths!$K$249*(1+'Operating costs'!$B$53)^MAX(0,C2677-1)),"n.a."))</f>
        <v>0</v>
      </c>
      <c r="H2677" s="16">
        <f>IF(NOT(Paths!$C$249=1),0,IF(Paths!$P$249="Complete",F2677/12*(Paths!$L$249*(1+IF(Paths!$D$249="EV",'Operating costs'!$B$52,'Operating costs'!$B$51))^MAX(0,C2677-1)+Paths!$M$249*(1+'Operating costs'!$B$53)^MAX(0,C2677-1)),"n.a."))</f>
        <v>0</v>
      </c>
      <c r="I2677" s="16">
        <f>IF(NOT(Paths!$C$249=1),0,IF(Paths!$P$249="Complete",IF(IF(Paths!$E$249=0,C2677=0,AND(C2677&gt;0,Paths!$E$249&gt;(C2677-1)*12,Paths!$E$249&lt;=C2677*12)),Paths!$G$249,0),"n.a."))</f>
        <v>0</v>
      </c>
      <c r="J2677" s="16">
        <f>IF(NOT(Paths!$C$249=1),0,IF(Paths!$P$249="Complete",IF(IF(Paths!$E$249=0,C2677=0,AND(C2677&gt;0,Paths!$E$249&gt;(C2677-1)*12,Paths!$E$249&lt;=C2677*12)),Paths!$H$249,0),"n.a."))</f>
        <v>0</v>
      </c>
      <c r="K2677" s="16">
        <f>IF(NOT(Paths!$C$249=1),0,IF(Paths!$P$249="Complete",IF(IF(Paths!$O$249=0,C2677=0,AND(C2677&gt;0,Paths!$O$249&gt;(C2677-1)*12,Paths!$O$249&lt;=C2677*12)),Paths!$N$249,0),"n.a."))</f>
        <v>0</v>
      </c>
      <c r="L2677" s="16">
        <f>IF(NOT(Paths!$C$249=1),0,IF(Paths!$P$249="Complete",IF(C2677=10,Paths!$I$249,0),"n.a."))</f>
        <v>0</v>
      </c>
      <c r="M2677" s="16">
        <f>IF(NOT(Paths!$C$249=1),0,IF(Paths!$P$249="Complete",IF(AND(Paths!$D$249="EV",Paths!$E$249&lt;120,Paths!$E$249+'Operating costs'!$B$65&gt;Paths!$E$249,Paths!$E$249+'Operating costs'!$B$65&lt;=120,IF(Paths!$E$249+'Operating costs'!$B$65=0,C2677=0,AND(C2677&gt;0,Paths!$E$249+'Operating costs'!$B$65&gt;(C2677-1)*12,Paths!$E$249+'Operating costs'!$B$65&lt;=C2677*12))),'Operating costs'!$B$64,0)+IF(AND('Operating costs'!$B$67&gt;0,'Operating costs'!$B$67&lt;=120,OR(Paths!$D$249="ICE",'Operating costs'!$B$67&lt;=Paths!$E$249),IF('Operating costs'!$B$67=0,C2677=0,AND(C2677&gt;0,'Operating costs'!$B$67&gt;(C2677-1)*12,'Operating costs'!$B$67&lt;=C2677*12))),'Operating costs'!$B$66,0),"n.a."))</f>
        <v>0</v>
      </c>
      <c r="N2677" s="16">
        <f>IF(NOT(Paths!$C$249=1),0,IF(Paths!$P$249="Complete",SUM(G2677:I2677)-J2677-K2677-L2677+M2677+IF(C2677=0,Paths!$F$249,0)+IF(IF(Paths!$E$249=0,C2677=0,AND(C2677&gt;0,Paths!$E$249&gt;(C2677-1)*12,Paths!$E$249&lt;=C2677*12)),VLOOKUP(A2677,'Fleet register'!$A$7:$S$106,16,FALSE),0),"n.a."))</f>
        <v>0</v>
      </c>
      <c r="O2677" s="16">
        <f>IF(NOT(Paths!$C$249=1),0,IF(Paths!$P$249="Complete",N2677-IF(C2677=0,Paths!$F$249,0),"n.a."))</f>
        <v>0</v>
      </c>
      <c r="P2677" s="16">
        <f>IF(NOT(Paths!$C$249=1),0,IF(Paths!$P$249="Complete",O2677+L2677,"n.a."))</f>
        <v>0</v>
      </c>
      <c r="Q2677" s="16">
        <f>IF(NOT(Paths!$C$249=1),0,IF(Paths!$P$249="Complete",N2677*(1+'Operating costs'!$B$54)^-C2677,"n.a."))</f>
        <v>0</v>
      </c>
      <c r="R2677" s="16">
        <f>IF(NOT(Paths!$C$249=1),0,IF(Paths!$P$249="Complete",IF(AND(C2677=0,Paths!$E$249=0),I2677-J2677-K2677+VLOOKUP(A2677,'Fleet register'!$A$7:$S$106,15,FALSE)+VLOOKUP(A2677,'Fleet register'!$A$7:$S$106,16,FALSE),0),"n.a."))</f>
        <v>0</v>
      </c>
      <c r="S2677" s="1">
        <f>IF(NOT(Paths!$C$249=1),0,IF(Paths!$P$249="Complete",IF(C2677=0,0,Paths!$S$249*Paths!$R$249),"n.a."))</f>
        <v>0</v>
      </c>
      <c r="T2677" s="1">
        <f>IF(NOT(Paths!$C$249=1),0,IF(Paths!$P$249="Complete",IF(C2677=0,0,VLOOKUP(A2677,'Fleet register'!$A$7:$S$106,9,FALSE)*Paths!$R$249),"n.a."))</f>
        <v>0</v>
      </c>
    </row>
    <row r="2678" spans="1:20" ht="24" customHeight="1">
      <c r="A2678" s="1" t="str">
        <f>Paths!$A$249</f>
        <v>T061</v>
      </c>
      <c r="B2678" s="1">
        <f>Paths!$B$249</f>
        <v>2</v>
      </c>
      <c r="C2678" s="1">
        <v>9</v>
      </c>
      <c r="D2678" s="1">
        <v>249</v>
      </c>
      <c r="E2678" s="1">
        <f>IF(OR(Paths!$C$249=0,C2678=0),0,MAX(0,MIN(C2678*12,Paths!$E$249)-(C2678-1)*12))</f>
        <v>0</v>
      </c>
      <c r="F2678" s="1">
        <f>IF(OR(Paths!$C$249=0,C2678=0),0,12-E2678)</f>
        <v>0</v>
      </c>
      <c r="G2678" s="16">
        <f>IF(NOT(Paths!$C$249=1),0,IF(Paths!$P$249="Complete",E2678/12*(Paths!$J$249*(1+'Operating costs'!$B$51)^MAX(0,C2678-1)+Paths!$K$249*(1+'Operating costs'!$B$53)^MAX(0,C2678-1)),"n.a."))</f>
        <v>0</v>
      </c>
      <c r="H2678" s="16">
        <f>IF(NOT(Paths!$C$249=1),0,IF(Paths!$P$249="Complete",F2678/12*(Paths!$L$249*(1+IF(Paths!$D$249="EV",'Operating costs'!$B$52,'Operating costs'!$B$51))^MAX(0,C2678-1)+Paths!$M$249*(1+'Operating costs'!$B$53)^MAX(0,C2678-1)),"n.a."))</f>
        <v>0</v>
      </c>
      <c r="I2678" s="16">
        <f>IF(NOT(Paths!$C$249=1),0,IF(Paths!$P$249="Complete",IF(IF(Paths!$E$249=0,C2678=0,AND(C2678&gt;0,Paths!$E$249&gt;(C2678-1)*12,Paths!$E$249&lt;=C2678*12)),Paths!$G$249,0),"n.a."))</f>
        <v>0</v>
      </c>
      <c r="J2678" s="16">
        <f>IF(NOT(Paths!$C$249=1),0,IF(Paths!$P$249="Complete",IF(IF(Paths!$E$249=0,C2678=0,AND(C2678&gt;0,Paths!$E$249&gt;(C2678-1)*12,Paths!$E$249&lt;=C2678*12)),Paths!$H$249,0),"n.a."))</f>
        <v>0</v>
      </c>
      <c r="K2678" s="16">
        <f>IF(NOT(Paths!$C$249=1),0,IF(Paths!$P$249="Complete",IF(IF(Paths!$O$249=0,C2678=0,AND(C2678&gt;0,Paths!$O$249&gt;(C2678-1)*12,Paths!$O$249&lt;=C2678*12)),Paths!$N$249,0),"n.a."))</f>
        <v>0</v>
      </c>
      <c r="L2678" s="16">
        <f>IF(NOT(Paths!$C$249=1),0,IF(Paths!$P$249="Complete",IF(C2678=10,Paths!$I$249,0),"n.a."))</f>
        <v>0</v>
      </c>
      <c r="M2678" s="16">
        <f>IF(NOT(Paths!$C$249=1),0,IF(Paths!$P$249="Complete",IF(AND(Paths!$D$249="EV",Paths!$E$249&lt;120,Paths!$E$249+'Operating costs'!$B$65&gt;Paths!$E$249,Paths!$E$249+'Operating costs'!$B$65&lt;=120,IF(Paths!$E$249+'Operating costs'!$B$65=0,C2678=0,AND(C2678&gt;0,Paths!$E$249+'Operating costs'!$B$65&gt;(C2678-1)*12,Paths!$E$249+'Operating costs'!$B$65&lt;=C2678*12))),'Operating costs'!$B$64,0)+IF(AND('Operating costs'!$B$67&gt;0,'Operating costs'!$B$67&lt;=120,OR(Paths!$D$249="ICE",'Operating costs'!$B$67&lt;=Paths!$E$249),IF('Operating costs'!$B$67=0,C2678=0,AND(C2678&gt;0,'Operating costs'!$B$67&gt;(C2678-1)*12,'Operating costs'!$B$67&lt;=C2678*12))),'Operating costs'!$B$66,0),"n.a."))</f>
        <v>0</v>
      </c>
      <c r="N2678" s="16">
        <f>IF(NOT(Paths!$C$249=1),0,IF(Paths!$P$249="Complete",SUM(G2678:I2678)-J2678-K2678-L2678+M2678+IF(C2678=0,Paths!$F$249,0)+IF(IF(Paths!$E$249=0,C2678=0,AND(C2678&gt;0,Paths!$E$249&gt;(C2678-1)*12,Paths!$E$249&lt;=C2678*12)),VLOOKUP(A2678,'Fleet register'!$A$7:$S$106,16,FALSE),0),"n.a."))</f>
        <v>0</v>
      </c>
      <c r="O2678" s="16">
        <f>IF(NOT(Paths!$C$249=1),0,IF(Paths!$P$249="Complete",N2678-IF(C2678=0,Paths!$F$249,0),"n.a."))</f>
        <v>0</v>
      </c>
      <c r="P2678" s="16">
        <f>IF(NOT(Paths!$C$249=1),0,IF(Paths!$P$249="Complete",O2678+L2678,"n.a."))</f>
        <v>0</v>
      </c>
      <c r="Q2678" s="16">
        <f>IF(NOT(Paths!$C$249=1),0,IF(Paths!$P$249="Complete",N2678*(1+'Operating costs'!$B$54)^-C2678,"n.a."))</f>
        <v>0</v>
      </c>
      <c r="R2678" s="16">
        <f>IF(NOT(Paths!$C$249=1),0,IF(Paths!$P$249="Complete",IF(AND(C2678=0,Paths!$E$249=0),I2678-J2678-K2678+VLOOKUP(A2678,'Fleet register'!$A$7:$S$106,15,FALSE)+VLOOKUP(A2678,'Fleet register'!$A$7:$S$106,16,FALSE),0),"n.a."))</f>
        <v>0</v>
      </c>
      <c r="S2678" s="1">
        <f>IF(NOT(Paths!$C$249=1),0,IF(Paths!$P$249="Complete",IF(C2678=0,0,Paths!$S$249*Paths!$R$249),"n.a."))</f>
        <v>0</v>
      </c>
      <c r="T2678" s="1">
        <f>IF(NOT(Paths!$C$249=1),0,IF(Paths!$P$249="Complete",IF(C2678=0,0,VLOOKUP(A2678,'Fleet register'!$A$7:$S$106,9,FALSE)*Paths!$R$249),"n.a."))</f>
        <v>0</v>
      </c>
    </row>
    <row r="2679" spans="1:20" ht="24" customHeight="1">
      <c r="A2679" s="1" t="str">
        <f>Paths!$A$249</f>
        <v>T061</v>
      </c>
      <c r="B2679" s="1">
        <f>Paths!$B$249</f>
        <v>2</v>
      </c>
      <c r="C2679" s="1">
        <v>10</v>
      </c>
      <c r="D2679" s="1">
        <v>249</v>
      </c>
      <c r="E2679" s="1">
        <f>IF(OR(Paths!$C$249=0,C2679=0),0,MAX(0,MIN(C2679*12,Paths!$E$249)-(C2679-1)*12))</f>
        <v>0</v>
      </c>
      <c r="F2679" s="1">
        <f>IF(OR(Paths!$C$249=0,C2679=0),0,12-E2679)</f>
        <v>0</v>
      </c>
      <c r="G2679" s="16">
        <f>IF(NOT(Paths!$C$249=1),0,IF(Paths!$P$249="Complete",E2679/12*(Paths!$J$249*(1+'Operating costs'!$B$51)^MAX(0,C2679-1)+Paths!$K$249*(1+'Operating costs'!$B$53)^MAX(0,C2679-1)),"n.a."))</f>
        <v>0</v>
      </c>
      <c r="H2679" s="16">
        <f>IF(NOT(Paths!$C$249=1),0,IF(Paths!$P$249="Complete",F2679/12*(Paths!$L$249*(1+IF(Paths!$D$249="EV",'Operating costs'!$B$52,'Operating costs'!$B$51))^MAX(0,C2679-1)+Paths!$M$249*(1+'Operating costs'!$B$53)^MAX(0,C2679-1)),"n.a."))</f>
        <v>0</v>
      </c>
      <c r="I2679" s="16">
        <f>IF(NOT(Paths!$C$249=1),0,IF(Paths!$P$249="Complete",IF(IF(Paths!$E$249=0,C2679=0,AND(C2679&gt;0,Paths!$E$249&gt;(C2679-1)*12,Paths!$E$249&lt;=C2679*12)),Paths!$G$249,0),"n.a."))</f>
        <v>0</v>
      </c>
      <c r="J2679" s="16">
        <f>IF(NOT(Paths!$C$249=1),0,IF(Paths!$P$249="Complete",IF(IF(Paths!$E$249=0,C2679=0,AND(C2679&gt;0,Paths!$E$249&gt;(C2679-1)*12,Paths!$E$249&lt;=C2679*12)),Paths!$H$249,0),"n.a."))</f>
        <v>0</v>
      </c>
      <c r="K2679" s="16">
        <f>IF(NOT(Paths!$C$249=1),0,IF(Paths!$P$249="Complete",IF(IF(Paths!$O$249=0,C2679=0,AND(C2679&gt;0,Paths!$O$249&gt;(C2679-1)*12,Paths!$O$249&lt;=C2679*12)),Paths!$N$249,0),"n.a."))</f>
        <v>0</v>
      </c>
      <c r="L2679" s="16">
        <f>IF(NOT(Paths!$C$249=1),0,IF(Paths!$P$249="Complete",IF(C2679=10,Paths!$I$249,0),"n.a."))</f>
        <v>0</v>
      </c>
      <c r="M2679" s="16">
        <f>IF(NOT(Paths!$C$249=1),0,IF(Paths!$P$249="Complete",IF(AND(Paths!$D$249="EV",Paths!$E$249&lt;120,Paths!$E$249+'Operating costs'!$B$65&gt;Paths!$E$249,Paths!$E$249+'Operating costs'!$B$65&lt;=120,IF(Paths!$E$249+'Operating costs'!$B$65=0,C2679=0,AND(C2679&gt;0,Paths!$E$249+'Operating costs'!$B$65&gt;(C2679-1)*12,Paths!$E$249+'Operating costs'!$B$65&lt;=C2679*12))),'Operating costs'!$B$64,0)+IF(AND('Operating costs'!$B$67&gt;0,'Operating costs'!$B$67&lt;=120,OR(Paths!$D$249="ICE",'Operating costs'!$B$67&lt;=Paths!$E$249),IF('Operating costs'!$B$67=0,C2679=0,AND(C2679&gt;0,'Operating costs'!$B$67&gt;(C2679-1)*12,'Operating costs'!$B$67&lt;=C2679*12))),'Operating costs'!$B$66,0),"n.a."))</f>
        <v>0</v>
      </c>
      <c r="N2679" s="16">
        <f>IF(NOT(Paths!$C$249=1),0,IF(Paths!$P$249="Complete",SUM(G2679:I2679)-J2679-K2679-L2679+M2679+IF(C2679=0,Paths!$F$249,0)+IF(IF(Paths!$E$249=0,C2679=0,AND(C2679&gt;0,Paths!$E$249&gt;(C2679-1)*12,Paths!$E$249&lt;=C2679*12)),VLOOKUP(A2679,'Fleet register'!$A$7:$S$106,16,FALSE),0),"n.a."))</f>
        <v>0</v>
      </c>
      <c r="O2679" s="16">
        <f>IF(NOT(Paths!$C$249=1),0,IF(Paths!$P$249="Complete",N2679-IF(C2679=0,Paths!$F$249,0),"n.a."))</f>
        <v>0</v>
      </c>
      <c r="P2679" s="16">
        <f>IF(NOT(Paths!$C$249=1),0,IF(Paths!$P$249="Complete",O2679+L2679,"n.a."))</f>
        <v>0</v>
      </c>
      <c r="Q2679" s="16">
        <f>IF(NOT(Paths!$C$249=1),0,IF(Paths!$P$249="Complete",N2679*(1+'Operating costs'!$B$54)^-C2679,"n.a."))</f>
        <v>0</v>
      </c>
      <c r="R2679" s="16">
        <f>IF(NOT(Paths!$C$249=1),0,IF(Paths!$P$249="Complete",IF(AND(C2679=0,Paths!$E$249=0),I2679-J2679-K2679+VLOOKUP(A2679,'Fleet register'!$A$7:$S$106,15,FALSE)+VLOOKUP(A2679,'Fleet register'!$A$7:$S$106,16,FALSE),0),"n.a."))</f>
        <v>0</v>
      </c>
      <c r="S2679" s="1">
        <f>IF(NOT(Paths!$C$249=1),0,IF(Paths!$P$249="Complete",IF(C2679=0,0,Paths!$S$249*Paths!$R$249),"n.a."))</f>
        <v>0</v>
      </c>
      <c r="T2679" s="1">
        <f>IF(NOT(Paths!$C$249=1),0,IF(Paths!$P$249="Complete",IF(C2679=0,0,VLOOKUP(A2679,'Fleet register'!$A$7:$S$106,9,FALSE)*Paths!$R$249),"n.a."))</f>
        <v>0</v>
      </c>
    </row>
    <row r="2680" spans="1:20" ht="24" customHeight="1">
      <c r="A2680" s="1" t="str">
        <f>Paths!$A$250</f>
        <v>T061</v>
      </c>
      <c r="B2680" s="1">
        <f>Paths!$B$250</f>
        <v>3</v>
      </c>
      <c r="C2680" s="1">
        <v>0</v>
      </c>
      <c r="D2680" s="1">
        <v>250</v>
      </c>
      <c r="E2680" s="1">
        <f>IF(OR(Paths!$C$250=0,C2680=0),0,MAX(0,MIN(C2680*12,Paths!$E$250)-(C2680-1)*12))</f>
        <v>0</v>
      </c>
      <c r="F2680" s="1">
        <f>IF(OR(Paths!$C$250=0,C2680=0),0,12-E2680)</f>
        <v>0</v>
      </c>
      <c r="G2680" s="16">
        <f>IF(NOT(Paths!$C$250=1),0,IF(Paths!$P$250="Complete",E2680/12*(Paths!$J$250*(1+'Operating costs'!$B$51)^MAX(0,C2680-1)+Paths!$K$250*(1+'Operating costs'!$B$53)^MAX(0,C2680-1)),"n.a."))</f>
        <v>0</v>
      </c>
      <c r="H2680" s="16">
        <f>IF(NOT(Paths!$C$250=1),0,IF(Paths!$P$250="Complete",F2680/12*(Paths!$L$250*(1+IF(Paths!$D$250="EV",'Operating costs'!$B$52,'Operating costs'!$B$51))^MAX(0,C2680-1)+Paths!$M$250*(1+'Operating costs'!$B$53)^MAX(0,C2680-1)),"n.a."))</f>
        <v>0</v>
      </c>
      <c r="I2680" s="16">
        <f>IF(NOT(Paths!$C$250=1),0,IF(Paths!$P$250="Complete",IF(IF(Paths!$E$250=0,C2680=0,AND(C2680&gt;0,Paths!$E$250&gt;(C2680-1)*12,Paths!$E$250&lt;=C2680*12)),Paths!$G$250,0),"n.a."))</f>
        <v>0</v>
      </c>
      <c r="J2680" s="16">
        <f>IF(NOT(Paths!$C$250=1),0,IF(Paths!$P$250="Complete",IF(IF(Paths!$E$250=0,C2680=0,AND(C2680&gt;0,Paths!$E$250&gt;(C2680-1)*12,Paths!$E$250&lt;=C2680*12)),Paths!$H$250,0),"n.a."))</f>
        <v>0</v>
      </c>
      <c r="K2680" s="16">
        <f>IF(NOT(Paths!$C$250=1),0,IF(Paths!$P$250="Complete",IF(IF(Paths!$O$250=0,C2680=0,AND(C2680&gt;0,Paths!$O$250&gt;(C2680-1)*12,Paths!$O$250&lt;=C2680*12)),Paths!$N$250,0),"n.a."))</f>
        <v>0</v>
      </c>
      <c r="L2680" s="16">
        <f>IF(NOT(Paths!$C$250=1),0,IF(Paths!$P$250="Complete",IF(C2680=10,Paths!$I$250,0),"n.a."))</f>
        <v>0</v>
      </c>
      <c r="M2680" s="16">
        <f>IF(NOT(Paths!$C$250=1),0,IF(Paths!$P$250="Complete",IF(AND(Paths!$D$250="EV",Paths!$E$250&lt;120,Paths!$E$250+'Operating costs'!$B$65&gt;Paths!$E$250,Paths!$E$250+'Operating costs'!$B$65&lt;=120,IF(Paths!$E$250+'Operating costs'!$B$65=0,C2680=0,AND(C2680&gt;0,Paths!$E$250+'Operating costs'!$B$65&gt;(C2680-1)*12,Paths!$E$250+'Operating costs'!$B$65&lt;=C2680*12))),'Operating costs'!$B$64,0)+IF(AND('Operating costs'!$B$67&gt;0,'Operating costs'!$B$67&lt;=120,OR(Paths!$D$250="ICE",'Operating costs'!$B$67&lt;=Paths!$E$250),IF('Operating costs'!$B$67=0,C2680=0,AND(C2680&gt;0,'Operating costs'!$B$67&gt;(C2680-1)*12,'Operating costs'!$B$67&lt;=C2680*12))),'Operating costs'!$B$66,0),"n.a."))</f>
        <v>0</v>
      </c>
      <c r="N2680" s="16">
        <f>IF(NOT(Paths!$C$250=1),0,IF(Paths!$P$250="Complete",SUM(G2680:I2680)-J2680-K2680-L2680+M2680+IF(C2680=0,Paths!$F$250,0)+IF(IF(Paths!$E$250=0,C2680=0,AND(C2680&gt;0,Paths!$E$250&gt;(C2680-1)*12,Paths!$E$250&lt;=C2680*12)),VLOOKUP(A2680,'Fleet register'!$A$7:$S$106,16,FALSE),0),"n.a."))</f>
        <v>0</v>
      </c>
      <c r="O2680" s="16">
        <f>IF(NOT(Paths!$C$250=1),0,IF(Paths!$P$250="Complete",N2680-IF(C2680=0,Paths!$F$250,0),"n.a."))</f>
        <v>0</v>
      </c>
      <c r="P2680" s="16">
        <f>IF(NOT(Paths!$C$250=1),0,IF(Paths!$P$250="Complete",O2680+L2680,"n.a."))</f>
        <v>0</v>
      </c>
      <c r="Q2680" s="16">
        <f>IF(NOT(Paths!$C$250=1),0,IF(Paths!$P$250="Complete",N2680*(1+'Operating costs'!$B$54)^-C2680,"n.a."))</f>
        <v>0</v>
      </c>
      <c r="R2680" s="16">
        <f>IF(NOT(Paths!$C$250=1),0,IF(Paths!$P$250="Complete",IF(AND(C2680=0,Paths!$E$250=0),I2680-J2680-K2680+VLOOKUP(A2680,'Fleet register'!$A$7:$S$106,15,FALSE)+VLOOKUP(A2680,'Fleet register'!$A$7:$S$106,16,FALSE),0),"n.a."))</f>
        <v>0</v>
      </c>
      <c r="S2680" s="1">
        <f>IF(NOT(Paths!$C$250=1),0,IF(Paths!$P$250="Complete",IF(C2680=0,0,Paths!$S$250*Paths!$R$250),"n.a."))</f>
        <v>0</v>
      </c>
      <c r="T2680" s="1">
        <f>IF(NOT(Paths!$C$250=1),0,IF(Paths!$P$250="Complete",IF(C2680=0,0,VLOOKUP(A2680,'Fleet register'!$A$7:$S$106,9,FALSE)*Paths!$R$250),"n.a."))</f>
        <v>0</v>
      </c>
    </row>
    <row r="2681" spans="1:20" ht="24" customHeight="1">
      <c r="A2681" s="1" t="str">
        <f>Paths!$A$250</f>
        <v>T061</v>
      </c>
      <c r="B2681" s="1">
        <f>Paths!$B$250</f>
        <v>3</v>
      </c>
      <c r="C2681" s="1">
        <v>1</v>
      </c>
      <c r="D2681" s="1">
        <v>250</v>
      </c>
      <c r="E2681" s="1">
        <f>IF(OR(Paths!$C$250=0,C2681=0),0,MAX(0,MIN(C2681*12,Paths!$E$250)-(C2681-1)*12))</f>
        <v>0</v>
      </c>
      <c r="F2681" s="1">
        <f>IF(OR(Paths!$C$250=0,C2681=0),0,12-E2681)</f>
        <v>0</v>
      </c>
      <c r="G2681" s="16">
        <f>IF(NOT(Paths!$C$250=1),0,IF(Paths!$P$250="Complete",E2681/12*(Paths!$J$250*(1+'Operating costs'!$B$51)^MAX(0,C2681-1)+Paths!$K$250*(1+'Operating costs'!$B$53)^MAX(0,C2681-1)),"n.a."))</f>
        <v>0</v>
      </c>
      <c r="H2681" s="16">
        <f>IF(NOT(Paths!$C$250=1),0,IF(Paths!$P$250="Complete",F2681/12*(Paths!$L$250*(1+IF(Paths!$D$250="EV",'Operating costs'!$B$52,'Operating costs'!$B$51))^MAX(0,C2681-1)+Paths!$M$250*(1+'Operating costs'!$B$53)^MAX(0,C2681-1)),"n.a."))</f>
        <v>0</v>
      </c>
      <c r="I2681" s="16">
        <f>IF(NOT(Paths!$C$250=1),0,IF(Paths!$P$250="Complete",IF(IF(Paths!$E$250=0,C2681=0,AND(C2681&gt;0,Paths!$E$250&gt;(C2681-1)*12,Paths!$E$250&lt;=C2681*12)),Paths!$G$250,0),"n.a."))</f>
        <v>0</v>
      </c>
      <c r="J2681" s="16">
        <f>IF(NOT(Paths!$C$250=1),0,IF(Paths!$P$250="Complete",IF(IF(Paths!$E$250=0,C2681=0,AND(C2681&gt;0,Paths!$E$250&gt;(C2681-1)*12,Paths!$E$250&lt;=C2681*12)),Paths!$H$250,0),"n.a."))</f>
        <v>0</v>
      </c>
      <c r="K2681" s="16">
        <f>IF(NOT(Paths!$C$250=1),0,IF(Paths!$P$250="Complete",IF(IF(Paths!$O$250=0,C2681=0,AND(C2681&gt;0,Paths!$O$250&gt;(C2681-1)*12,Paths!$O$250&lt;=C2681*12)),Paths!$N$250,0),"n.a."))</f>
        <v>0</v>
      </c>
      <c r="L2681" s="16">
        <f>IF(NOT(Paths!$C$250=1),0,IF(Paths!$P$250="Complete",IF(C2681=10,Paths!$I$250,0),"n.a."))</f>
        <v>0</v>
      </c>
      <c r="M2681" s="16">
        <f>IF(NOT(Paths!$C$250=1),0,IF(Paths!$P$250="Complete",IF(AND(Paths!$D$250="EV",Paths!$E$250&lt;120,Paths!$E$250+'Operating costs'!$B$65&gt;Paths!$E$250,Paths!$E$250+'Operating costs'!$B$65&lt;=120,IF(Paths!$E$250+'Operating costs'!$B$65=0,C2681=0,AND(C2681&gt;0,Paths!$E$250+'Operating costs'!$B$65&gt;(C2681-1)*12,Paths!$E$250+'Operating costs'!$B$65&lt;=C2681*12))),'Operating costs'!$B$64,0)+IF(AND('Operating costs'!$B$67&gt;0,'Operating costs'!$B$67&lt;=120,OR(Paths!$D$250="ICE",'Operating costs'!$B$67&lt;=Paths!$E$250),IF('Operating costs'!$B$67=0,C2681=0,AND(C2681&gt;0,'Operating costs'!$B$67&gt;(C2681-1)*12,'Operating costs'!$B$67&lt;=C2681*12))),'Operating costs'!$B$66,0),"n.a."))</f>
        <v>0</v>
      </c>
      <c r="N2681" s="16">
        <f>IF(NOT(Paths!$C$250=1),0,IF(Paths!$P$250="Complete",SUM(G2681:I2681)-J2681-K2681-L2681+M2681+IF(C2681=0,Paths!$F$250,0)+IF(IF(Paths!$E$250=0,C2681=0,AND(C2681&gt;0,Paths!$E$250&gt;(C2681-1)*12,Paths!$E$250&lt;=C2681*12)),VLOOKUP(A2681,'Fleet register'!$A$7:$S$106,16,FALSE),0),"n.a."))</f>
        <v>0</v>
      </c>
      <c r="O2681" s="16">
        <f>IF(NOT(Paths!$C$250=1),0,IF(Paths!$P$250="Complete",N2681-IF(C2681=0,Paths!$F$250,0),"n.a."))</f>
        <v>0</v>
      </c>
      <c r="P2681" s="16">
        <f>IF(NOT(Paths!$C$250=1),0,IF(Paths!$P$250="Complete",O2681+L2681,"n.a."))</f>
        <v>0</v>
      </c>
      <c r="Q2681" s="16">
        <f>IF(NOT(Paths!$C$250=1),0,IF(Paths!$P$250="Complete",N2681*(1+'Operating costs'!$B$54)^-C2681,"n.a."))</f>
        <v>0</v>
      </c>
      <c r="R2681" s="16">
        <f>IF(NOT(Paths!$C$250=1),0,IF(Paths!$P$250="Complete",IF(AND(C2681=0,Paths!$E$250=0),I2681-J2681-K2681+VLOOKUP(A2681,'Fleet register'!$A$7:$S$106,15,FALSE)+VLOOKUP(A2681,'Fleet register'!$A$7:$S$106,16,FALSE),0),"n.a."))</f>
        <v>0</v>
      </c>
      <c r="S2681" s="1">
        <f>IF(NOT(Paths!$C$250=1),0,IF(Paths!$P$250="Complete",IF(C2681=0,0,Paths!$S$250*Paths!$R$250),"n.a."))</f>
        <v>0</v>
      </c>
      <c r="T2681" s="1">
        <f>IF(NOT(Paths!$C$250=1),0,IF(Paths!$P$250="Complete",IF(C2681=0,0,VLOOKUP(A2681,'Fleet register'!$A$7:$S$106,9,FALSE)*Paths!$R$250),"n.a."))</f>
        <v>0</v>
      </c>
    </row>
    <row r="2682" spans="1:20" ht="24" customHeight="1">
      <c r="A2682" s="1" t="str">
        <f>Paths!$A$250</f>
        <v>T061</v>
      </c>
      <c r="B2682" s="1">
        <f>Paths!$B$250</f>
        <v>3</v>
      </c>
      <c r="C2682" s="1">
        <v>2</v>
      </c>
      <c r="D2682" s="1">
        <v>250</v>
      </c>
      <c r="E2682" s="1">
        <f>IF(OR(Paths!$C$250=0,C2682=0),0,MAX(0,MIN(C2682*12,Paths!$E$250)-(C2682-1)*12))</f>
        <v>0</v>
      </c>
      <c r="F2682" s="1">
        <f>IF(OR(Paths!$C$250=0,C2682=0),0,12-E2682)</f>
        <v>0</v>
      </c>
      <c r="G2682" s="16">
        <f>IF(NOT(Paths!$C$250=1),0,IF(Paths!$P$250="Complete",E2682/12*(Paths!$J$250*(1+'Operating costs'!$B$51)^MAX(0,C2682-1)+Paths!$K$250*(1+'Operating costs'!$B$53)^MAX(0,C2682-1)),"n.a."))</f>
        <v>0</v>
      </c>
      <c r="H2682" s="16">
        <f>IF(NOT(Paths!$C$250=1),0,IF(Paths!$P$250="Complete",F2682/12*(Paths!$L$250*(1+IF(Paths!$D$250="EV",'Operating costs'!$B$52,'Operating costs'!$B$51))^MAX(0,C2682-1)+Paths!$M$250*(1+'Operating costs'!$B$53)^MAX(0,C2682-1)),"n.a."))</f>
        <v>0</v>
      </c>
      <c r="I2682" s="16">
        <f>IF(NOT(Paths!$C$250=1),0,IF(Paths!$P$250="Complete",IF(IF(Paths!$E$250=0,C2682=0,AND(C2682&gt;0,Paths!$E$250&gt;(C2682-1)*12,Paths!$E$250&lt;=C2682*12)),Paths!$G$250,0),"n.a."))</f>
        <v>0</v>
      </c>
      <c r="J2682" s="16">
        <f>IF(NOT(Paths!$C$250=1),0,IF(Paths!$P$250="Complete",IF(IF(Paths!$E$250=0,C2682=0,AND(C2682&gt;0,Paths!$E$250&gt;(C2682-1)*12,Paths!$E$250&lt;=C2682*12)),Paths!$H$250,0),"n.a."))</f>
        <v>0</v>
      </c>
      <c r="K2682" s="16">
        <f>IF(NOT(Paths!$C$250=1),0,IF(Paths!$P$250="Complete",IF(IF(Paths!$O$250=0,C2682=0,AND(C2682&gt;0,Paths!$O$250&gt;(C2682-1)*12,Paths!$O$250&lt;=C2682*12)),Paths!$N$250,0),"n.a."))</f>
        <v>0</v>
      </c>
      <c r="L2682" s="16">
        <f>IF(NOT(Paths!$C$250=1),0,IF(Paths!$P$250="Complete",IF(C2682=10,Paths!$I$250,0),"n.a."))</f>
        <v>0</v>
      </c>
      <c r="M2682" s="16">
        <f>IF(NOT(Paths!$C$250=1),0,IF(Paths!$P$250="Complete",IF(AND(Paths!$D$250="EV",Paths!$E$250&lt;120,Paths!$E$250+'Operating costs'!$B$65&gt;Paths!$E$250,Paths!$E$250+'Operating costs'!$B$65&lt;=120,IF(Paths!$E$250+'Operating costs'!$B$65=0,C2682=0,AND(C2682&gt;0,Paths!$E$250+'Operating costs'!$B$65&gt;(C2682-1)*12,Paths!$E$250+'Operating costs'!$B$65&lt;=C2682*12))),'Operating costs'!$B$64,0)+IF(AND('Operating costs'!$B$67&gt;0,'Operating costs'!$B$67&lt;=120,OR(Paths!$D$250="ICE",'Operating costs'!$B$67&lt;=Paths!$E$250),IF('Operating costs'!$B$67=0,C2682=0,AND(C2682&gt;0,'Operating costs'!$B$67&gt;(C2682-1)*12,'Operating costs'!$B$67&lt;=C2682*12))),'Operating costs'!$B$66,0),"n.a."))</f>
        <v>0</v>
      </c>
      <c r="N2682" s="16">
        <f>IF(NOT(Paths!$C$250=1),0,IF(Paths!$P$250="Complete",SUM(G2682:I2682)-J2682-K2682-L2682+M2682+IF(C2682=0,Paths!$F$250,0)+IF(IF(Paths!$E$250=0,C2682=0,AND(C2682&gt;0,Paths!$E$250&gt;(C2682-1)*12,Paths!$E$250&lt;=C2682*12)),VLOOKUP(A2682,'Fleet register'!$A$7:$S$106,16,FALSE),0),"n.a."))</f>
        <v>0</v>
      </c>
      <c r="O2682" s="16">
        <f>IF(NOT(Paths!$C$250=1),0,IF(Paths!$P$250="Complete",N2682-IF(C2682=0,Paths!$F$250,0),"n.a."))</f>
        <v>0</v>
      </c>
      <c r="P2682" s="16">
        <f>IF(NOT(Paths!$C$250=1),0,IF(Paths!$P$250="Complete",O2682+L2682,"n.a."))</f>
        <v>0</v>
      </c>
      <c r="Q2682" s="16">
        <f>IF(NOT(Paths!$C$250=1),0,IF(Paths!$P$250="Complete",N2682*(1+'Operating costs'!$B$54)^-C2682,"n.a."))</f>
        <v>0</v>
      </c>
      <c r="R2682" s="16">
        <f>IF(NOT(Paths!$C$250=1),0,IF(Paths!$P$250="Complete",IF(AND(C2682=0,Paths!$E$250=0),I2682-J2682-K2682+VLOOKUP(A2682,'Fleet register'!$A$7:$S$106,15,FALSE)+VLOOKUP(A2682,'Fleet register'!$A$7:$S$106,16,FALSE),0),"n.a."))</f>
        <v>0</v>
      </c>
      <c r="S2682" s="1">
        <f>IF(NOT(Paths!$C$250=1),0,IF(Paths!$P$250="Complete",IF(C2682=0,0,Paths!$S$250*Paths!$R$250),"n.a."))</f>
        <v>0</v>
      </c>
      <c r="T2682" s="1">
        <f>IF(NOT(Paths!$C$250=1),0,IF(Paths!$P$250="Complete",IF(C2682=0,0,VLOOKUP(A2682,'Fleet register'!$A$7:$S$106,9,FALSE)*Paths!$R$250),"n.a."))</f>
        <v>0</v>
      </c>
    </row>
    <row r="2683" spans="1:20" ht="24" customHeight="1">
      <c r="A2683" s="1" t="str">
        <f>Paths!$A$250</f>
        <v>T061</v>
      </c>
      <c r="B2683" s="1">
        <f>Paths!$B$250</f>
        <v>3</v>
      </c>
      <c r="C2683" s="1">
        <v>3</v>
      </c>
      <c r="D2683" s="1">
        <v>250</v>
      </c>
      <c r="E2683" s="1">
        <f>IF(OR(Paths!$C$250=0,C2683=0),0,MAX(0,MIN(C2683*12,Paths!$E$250)-(C2683-1)*12))</f>
        <v>0</v>
      </c>
      <c r="F2683" s="1">
        <f>IF(OR(Paths!$C$250=0,C2683=0),0,12-E2683)</f>
        <v>0</v>
      </c>
      <c r="G2683" s="16">
        <f>IF(NOT(Paths!$C$250=1),0,IF(Paths!$P$250="Complete",E2683/12*(Paths!$J$250*(1+'Operating costs'!$B$51)^MAX(0,C2683-1)+Paths!$K$250*(1+'Operating costs'!$B$53)^MAX(0,C2683-1)),"n.a."))</f>
        <v>0</v>
      </c>
      <c r="H2683" s="16">
        <f>IF(NOT(Paths!$C$250=1),0,IF(Paths!$P$250="Complete",F2683/12*(Paths!$L$250*(1+IF(Paths!$D$250="EV",'Operating costs'!$B$52,'Operating costs'!$B$51))^MAX(0,C2683-1)+Paths!$M$250*(1+'Operating costs'!$B$53)^MAX(0,C2683-1)),"n.a."))</f>
        <v>0</v>
      </c>
      <c r="I2683" s="16">
        <f>IF(NOT(Paths!$C$250=1),0,IF(Paths!$P$250="Complete",IF(IF(Paths!$E$250=0,C2683=0,AND(C2683&gt;0,Paths!$E$250&gt;(C2683-1)*12,Paths!$E$250&lt;=C2683*12)),Paths!$G$250,0),"n.a."))</f>
        <v>0</v>
      </c>
      <c r="J2683" s="16">
        <f>IF(NOT(Paths!$C$250=1),0,IF(Paths!$P$250="Complete",IF(IF(Paths!$E$250=0,C2683=0,AND(C2683&gt;0,Paths!$E$250&gt;(C2683-1)*12,Paths!$E$250&lt;=C2683*12)),Paths!$H$250,0),"n.a."))</f>
        <v>0</v>
      </c>
      <c r="K2683" s="16">
        <f>IF(NOT(Paths!$C$250=1),0,IF(Paths!$P$250="Complete",IF(IF(Paths!$O$250=0,C2683=0,AND(C2683&gt;0,Paths!$O$250&gt;(C2683-1)*12,Paths!$O$250&lt;=C2683*12)),Paths!$N$250,0),"n.a."))</f>
        <v>0</v>
      </c>
      <c r="L2683" s="16">
        <f>IF(NOT(Paths!$C$250=1),0,IF(Paths!$P$250="Complete",IF(C2683=10,Paths!$I$250,0),"n.a."))</f>
        <v>0</v>
      </c>
      <c r="M2683" s="16">
        <f>IF(NOT(Paths!$C$250=1),0,IF(Paths!$P$250="Complete",IF(AND(Paths!$D$250="EV",Paths!$E$250&lt;120,Paths!$E$250+'Operating costs'!$B$65&gt;Paths!$E$250,Paths!$E$250+'Operating costs'!$B$65&lt;=120,IF(Paths!$E$250+'Operating costs'!$B$65=0,C2683=0,AND(C2683&gt;0,Paths!$E$250+'Operating costs'!$B$65&gt;(C2683-1)*12,Paths!$E$250+'Operating costs'!$B$65&lt;=C2683*12))),'Operating costs'!$B$64,0)+IF(AND('Operating costs'!$B$67&gt;0,'Operating costs'!$B$67&lt;=120,OR(Paths!$D$250="ICE",'Operating costs'!$B$67&lt;=Paths!$E$250),IF('Operating costs'!$B$67=0,C2683=0,AND(C2683&gt;0,'Operating costs'!$B$67&gt;(C2683-1)*12,'Operating costs'!$B$67&lt;=C2683*12))),'Operating costs'!$B$66,0),"n.a."))</f>
        <v>0</v>
      </c>
      <c r="N2683" s="16">
        <f>IF(NOT(Paths!$C$250=1),0,IF(Paths!$P$250="Complete",SUM(G2683:I2683)-J2683-K2683-L2683+M2683+IF(C2683=0,Paths!$F$250,0)+IF(IF(Paths!$E$250=0,C2683=0,AND(C2683&gt;0,Paths!$E$250&gt;(C2683-1)*12,Paths!$E$250&lt;=C2683*12)),VLOOKUP(A2683,'Fleet register'!$A$7:$S$106,16,FALSE),0),"n.a."))</f>
        <v>0</v>
      </c>
      <c r="O2683" s="16">
        <f>IF(NOT(Paths!$C$250=1),0,IF(Paths!$P$250="Complete",N2683-IF(C2683=0,Paths!$F$250,0),"n.a."))</f>
        <v>0</v>
      </c>
      <c r="P2683" s="16">
        <f>IF(NOT(Paths!$C$250=1),0,IF(Paths!$P$250="Complete",O2683+L2683,"n.a."))</f>
        <v>0</v>
      </c>
      <c r="Q2683" s="16">
        <f>IF(NOT(Paths!$C$250=1),0,IF(Paths!$P$250="Complete",N2683*(1+'Operating costs'!$B$54)^-C2683,"n.a."))</f>
        <v>0</v>
      </c>
      <c r="R2683" s="16">
        <f>IF(NOT(Paths!$C$250=1),0,IF(Paths!$P$250="Complete",IF(AND(C2683=0,Paths!$E$250=0),I2683-J2683-K2683+VLOOKUP(A2683,'Fleet register'!$A$7:$S$106,15,FALSE)+VLOOKUP(A2683,'Fleet register'!$A$7:$S$106,16,FALSE),0),"n.a."))</f>
        <v>0</v>
      </c>
      <c r="S2683" s="1">
        <f>IF(NOT(Paths!$C$250=1),0,IF(Paths!$P$250="Complete",IF(C2683=0,0,Paths!$S$250*Paths!$R$250),"n.a."))</f>
        <v>0</v>
      </c>
      <c r="T2683" s="1">
        <f>IF(NOT(Paths!$C$250=1),0,IF(Paths!$P$250="Complete",IF(C2683=0,0,VLOOKUP(A2683,'Fleet register'!$A$7:$S$106,9,FALSE)*Paths!$R$250),"n.a."))</f>
        <v>0</v>
      </c>
    </row>
    <row r="2684" spans="1:20" ht="24" customHeight="1">
      <c r="A2684" s="1" t="str">
        <f>Paths!$A$250</f>
        <v>T061</v>
      </c>
      <c r="B2684" s="1">
        <f>Paths!$B$250</f>
        <v>3</v>
      </c>
      <c r="C2684" s="1">
        <v>4</v>
      </c>
      <c r="D2684" s="1">
        <v>250</v>
      </c>
      <c r="E2684" s="1">
        <f>IF(OR(Paths!$C$250=0,C2684=0),0,MAX(0,MIN(C2684*12,Paths!$E$250)-(C2684-1)*12))</f>
        <v>0</v>
      </c>
      <c r="F2684" s="1">
        <f>IF(OR(Paths!$C$250=0,C2684=0),0,12-E2684)</f>
        <v>0</v>
      </c>
      <c r="G2684" s="16">
        <f>IF(NOT(Paths!$C$250=1),0,IF(Paths!$P$250="Complete",E2684/12*(Paths!$J$250*(1+'Operating costs'!$B$51)^MAX(0,C2684-1)+Paths!$K$250*(1+'Operating costs'!$B$53)^MAX(0,C2684-1)),"n.a."))</f>
        <v>0</v>
      </c>
      <c r="H2684" s="16">
        <f>IF(NOT(Paths!$C$250=1),0,IF(Paths!$P$250="Complete",F2684/12*(Paths!$L$250*(1+IF(Paths!$D$250="EV",'Operating costs'!$B$52,'Operating costs'!$B$51))^MAX(0,C2684-1)+Paths!$M$250*(1+'Operating costs'!$B$53)^MAX(0,C2684-1)),"n.a."))</f>
        <v>0</v>
      </c>
      <c r="I2684" s="16">
        <f>IF(NOT(Paths!$C$250=1),0,IF(Paths!$P$250="Complete",IF(IF(Paths!$E$250=0,C2684=0,AND(C2684&gt;0,Paths!$E$250&gt;(C2684-1)*12,Paths!$E$250&lt;=C2684*12)),Paths!$G$250,0),"n.a."))</f>
        <v>0</v>
      </c>
      <c r="J2684" s="16">
        <f>IF(NOT(Paths!$C$250=1),0,IF(Paths!$P$250="Complete",IF(IF(Paths!$E$250=0,C2684=0,AND(C2684&gt;0,Paths!$E$250&gt;(C2684-1)*12,Paths!$E$250&lt;=C2684*12)),Paths!$H$250,0),"n.a."))</f>
        <v>0</v>
      </c>
      <c r="K2684" s="16">
        <f>IF(NOT(Paths!$C$250=1),0,IF(Paths!$P$250="Complete",IF(IF(Paths!$O$250=0,C2684=0,AND(C2684&gt;0,Paths!$O$250&gt;(C2684-1)*12,Paths!$O$250&lt;=C2684*12)),Paths!$N$250,0),"n.a."))</f>
        <v>0</v>
      </c>
      <c r="L2684" s="16">
        <f>IF(NOT(Paths!$C$250=1),0,IF(Paths!$P$250="Complete",IF(C2684=10,Paths!$I$250,0),"n.a."))</f>
        <v>0</v>
      </c>
      <c r="M2684" s="16">
        <f>IF(NOT(Paths!$C$250=1),0,IF(Paths!$P$250="Complete",IF(AND(Paths!$D$250="EV",Paths!$E$250&lt;120,Paths!$E$250+'Operating costs'!$B$65&gt;Paths!$E$250,Paths!$E$250+'Operating costs'!$B$65&lt;=120,IF(Paths!$E$250+'Operating costs'!$B$65=0,C2684=0,AND(C2684&gt;0,Paths!$E$250+'Operating costs'!$B$65&gt;(C2684-1)*12,Paths!$E$250+'Operating costs'!$B$65&lt;=C2684*12))),'Operating costs'!$B$64,0)+IF(AND('Operating costs'!$B$67&gt;0,'Operating costs'!$B$67&lt;=120,OR(Paths!$D$250="ICE",'Operating costs'!$B$67&lt;=Paths!$E$250),IF('Operating costs'!$B$67=0,C2684=0,AND(C2684&gt;0,'Operating costs'!$B$67&gt;(C2684-1)*12,'Operating costs'!$B$67&lt;=C2684*12))),'Operating costs'!$B$66,0),"n.a."))</f>
        <v>0</v>
      </c>
      <c r="N2684" s="16">
        <f>IF(NOT(Paths!$C$250=1),0,IF(Paths!$P$250="Complete",SUM(G2684:I2684)-J2684-K2684-L2684+M2684+IF(C2684=0,Paths!$F$250,0)+IF(IF(Paths!$E$250=0,C2684=0,AND(C2684&gt;0,Paths!$E$250&gt;(C2684-1)*12,Paths!$E$250&lt;=C2684*12)),VLOOKUP(A2684,'Fleet register'!$A$7:$S$106,16,FALSE),0),"n.a."))</f>
        <v>0</v>
      </c>
      <c r="O2684" s="16">
        <f>IF(NOT(Paths!$C$250=1),0,IF(Paths!$P$250="Complete",N2684-IF(C2684=0,Paths!$F$250,0),"n.a."))</f>
        <v>0</v>
      </c>
      <c r="P2684" s="16">
        <f>IF(NOT(Paths!$C$250=1),0,IF(Paths!$P$250="Complete",O2684+L2684,"n.a."))</f>
        <v>0</v>
      </c>
      <c r="Q2684" s="16">
        <f>IF(NOT(Paths!$C$250=1),0,IF(Paths!$P$250="Complete",N2684*(1+'Operating costs'!$B$54)^-C2684,"n.a."))</f>
        <v>0</v>
      </c>
      <c r="R2684" s="16">
        <f>IF(NOT(Paths!$C$250=1),0,IF(Paths!$P$250="Complete",IF(AND(C2684=0,Paths!$E$250=0),I2684-J2684-K2684+VLOOKUP(A2684,'Fleet register'!$A$7:$S$106,15,FALSE)+VLOOKUP(A2684,'Fleet register'!$A$7:$S$106,16,FALSE),0),"n.a."))</f>
        <v>0</v>
      </c>
      <c r="S2684" s="1">
        <f>IF(NOT(Paths!$C$250=1),0,IF(Paths!$P$250="Complete",IF(C2684=0,0,Paths!$S$250*Paths!$R$250),"n.a."))</f>
        <v>0</v>
      </c>
      <c r="T2684" s="1">
        <f>IF(NOT(Paths!$C$250=1),0,IF(Paths!$P$250="Complete",IF(C2684=0,0,VLOOKUP(A2684,'Fleet register'!$A$7:$S$106,9,FALSE)*Paths!$R$250),"n.a."))</f>
        <v>0</v>
      </c>
    </row>
    <row r="2685" spans="1:20" ht="24" customHeight="1">
      <c r="A2685" s="1" t="str">
        <f>Paths!$A$250</f>
        <v>T061</v>
      </c>
      <c r="B2685" s="1">
        <f>Paths!$B$250</f>
        <v>3</v>
      </c>
      <c r="C2685" s="1">
        <v>5</v>
      </c>
      <c r="D2685" s="1">
        <v>250</v>
      </c>
      <c r="E2685" s="1">
        <f>IF(OR(Paths!$C$250=0,C2685=0),0,MAX(0,MIN(C2685*12,Paths!$E$250)-(C2685-1)*12))</f>
        <v>0</v>
      </c>
      <c r="F2685" s="1">
        <f>IF(OR(Paths!$C$250=0,C2685=0),0,12-E2685)</f>
        <v>0</v>
      </c>
      <c r="G2685" s="16">
        <f>IF(NOT(Paths!$C$250=1),0,IF(Paths!$P$250="Complete",E2685/12*(Paths!$J$250*(1+'Operating costs'!$B$51)^MAX(0,C2685-1)+Paths!$K$250*(1+'Operating costs'!$B$53)^MAX(0,C2685-1)),"n.a."))</f>
        <v>0</v>
      </c>
      <c r="H2685" s="16">
        <f>IF(NOT(Paths!$C$250=1),0,IF(Paths!$P$250="Complete",F2685/12*(Paths!$L$250*(1+IF(Paths!$D$250="EV",'Operating costs'!$B$52,'Operating costs'!$B$51))^MAX(0,C2685-1)+Paths!$M$250*(1+'Operating costs'!$B$53)^MAX(0,C2685-1)),"n.a."))</f>
        <v>0</v>
      </c>
      <c r="I2685" s="16">
        <f>IF(NOT(Paths!$C$250=1),0,IF(Paths!$P$250="Complete",IF(IF(Paths!$E$250=0,C2685=0,AND(C2685&gt;0,Paths!$E$250&gt;(C2685-1)*12,Paths!$E$250&lt;=C2685*12)),Paths!$G$250,0),"n.a."))</f>
        <v>0</v>
      </c>
      <c r="J2685" s="16">
        <f>IF(NOT(Paths!$C$250=1),0,IF(Paths!$P$250="Complete",IF(IF(Paths!$E$250=0,C2685=0,AND(C2685&gt;0,Paths!$E$250&gt;(C2685-1)*12,Paths!$E$250&lt;=C2685*12)),Paths!$H$250,0),"n.a."))</f>
        <v>0</v>
      </c>
      <c r="K2685" s="16">
        <f>IF(NOT(Paths!$C$250=1),0,IF(Paths!$P$250="Complete",IF(IF(Paths!$O$250=0,C2685=0,AND(C2685&gt;0,Paths!$O$250&gt;(C2685-1)*12,Paths!$O$250&lt;=C2685*12)),Paths!$N$250,0),"n.a."))</f>
        <v>0</v>
      </c>
      <c r="L2685" s="16">
        <f>IF(NOT(Paths!$C$250=1),0,IF(Paths!$P$250="Complete",IF(C2685=10,Paths!$I$250,0),"n.a."))</f>
        <v>0</v>
      </c>
      <c r="M2685" s="16">
        <f>IF(NOT(Paths!$C$250=1),0,IF(Paths!$P$250="Complete",IF(AND(Paths!$D$250="EV",Paths!$E$250&lt;120,Paths!$E$250+'Operating costs'!$B$65&gt;Paths!$E$250,Paths!$E$250+'Operating costs'!$B$65&lt;=120,IF(Paths!$E$250+'Operating costs'!$B$65=0,C2685=0,AND(C2685&gt;0,Paths!$E$250+'Operating costs'!$B$65&gt;(C2685-1)*12,Paths!$E$250+'Operating costs'!$B$65&lt;=C2685*12))),'Operating costs'!$B$64,0)+IF(AND('Operating costs'!$B$67&gt;0,'Operating costs'!$B$67&lt;=120,OR(Paths!$D$250="ICE",'Operating costs'!$B$67&lt;=Paths!$E$250),IF('Operating costs'!$B$67=0,C2685=0,AND(C2685&gt;0,'Operating costs'!$B$67&gt;(C2685-1)*12,'Operating costs'!$B$67&lt;=C2685*12))),'Operating costs'!$B$66,0),"n.a."))</f>
        <v>0</v>
      </c>
      <c r="N2685" s="16">
        <f>IF(NOT(Paths!$C$250=1),0,IF(Paths!$P$250="Complete",SUM(G2685:I2685)-J2685-K2685-L2685+M2685+IF(C2685=0,Paths!$F$250,0)+IF(IF(Paths!$E$250=0,C2685=0,AND(C2685&gt;0,Paths!$E$250&gt;(C2685-1)*12,Paths!$E$250&lt;=C2685*12)),VLOOKUP(A2685,'Fleet register'!$A$7:$S$106,16,FALSE),0),"n.a."))</f>
        <v>0</v>
      </c>
      <c r="O2685" s="16">
        <f>IF(NOT(Paths!$C$250=1),0,IF(Paths!$P$250="Complete",N2685-IF(C2685=0,Paths!$F$250,0),"n.a."))</f>
        <v>0</v>
      </c>
      <c r="P2685" s="16">
        <f>IF(NOT(Paths!$C$250=1),0,IF(Paths!$P$250="Complete",O2685+L2685,"n.a."))</f>
        <v>0</v>
      </c>
      <c r="Q2685" s="16">
        <f>IF(NOT(Paths!$C$250=1),0,IF(Paths!$P$250="Complete",N2685*(1+'Operating costs'!$B$54)^-C2685,"n.a."))</f>
        <v>0</v>
      </c>
      <c r="R2685" s="16">
        <f>IF(NOT(Paths!$C$250=1),0,IF(Paths!$P$250="Complete",IF(AND(C2685=0,Paths!$E$250=0),I2685-J2685-K2685+VLOOKUP(A2685,'Fleet register'!$A$7:$S$106,15,FALSE)+VLOOKUP(A2685,'Fleet register'!$A$7:$S$106,16,FALSE),0),"n.a."))</f>
        <v>0</v>
      </c>
      <c r="S2685" s="1">
        <f>IF(NOT(Paths!$C$250=1),0,IF(Paths!$P$250="Complete",IF(C2685=0,0,Paths!$S$250*Paths!$R$250),"n.a."))</f>
        <v>0</v>
      </c>
      <c r="T2685" s="1">
        <f>IF(NOT(Paths!$C$250=1),0,IF(Paths!$P$250="Complete",IF(C2685=0,0,VLOOKUP(A2685,'Fleet register'!$A$7:$S$106,9,FALSE)*Paths!$R$250),"n.a."))</f>
        <v>0</v>
      </c>
    </row>
    <row r="2686" spans="1:20" ht="24" customHeight="1">
      <c r="A2686" s="1" t="str">
        <f>Paths!$A$250</f>
        <v>T061</v>
      </c>
      <c r="B2686" s="1">
        <f>Paths!$B$250</f>
        <v>3</v>
      </c>
      <c r="C2686" s="1">
        <v>6</v>
      </c>
      <c r="D2686" s="1">
        <v>250</v>
      </c>
      <c r="E2686" s="1">
        <f>IF(OR(Paths!$C$250=0,C2686=0),0,MAX(0,MIN(C2686*12,Paths!$E$250)-(C2686-1)*12))</f>
        <v>0</v>
      </c>
      <c r="F2686" s="1">
        <f>IF(OR(Paths!$C$250=0,C2686=0),0,12-E2686)</f>
        <v>0</v>
      </c>
      <c r="G2686" s="16">
        <f>IF(NOT(Paths!$C$250=1),0,IF(Paths!$P$250="Complete",E2686/12*(Paths!$J$250*(1+'Operating costs'!$B$51)^MAX(0,C2686-1)+Paths!$K$250*(1+'Operating costs'!$B$53)^MAX(0,C2686-1)),"n.a."))</f>
        <v>0</v>
      </c>
      <c r="H2686" s="16">
        <f>IF(NOT(Paths!$C$250=1),0,IF(Paths!$P$250="Complete",F2686/12*(Paths!$L$250*(1+IF(Paths!$D$250="EV",'Operating costs'!$B$52,'Operating costs'!$B$51))^MAX(0,C2686-1)+Paths!$M$250*(1+'Operating costs'!$B$53)^MAX(0,C2686-1)),"n.a."))</f>
        <v>0</v>
      </c>
      <c r="I2686" s="16">
        <f>IF(NOT(Paths!$C$250=1),0,IF(Paths!$P$250="Complete",IF(IF(Paths!$E$250=0,C2686=0,AND(C2686&gt;0,Paths!$E$250&gt;(C2686-1)*12,Paths!$E$250&lt;=C2686*12)),Paths!$G$250,0),"n.a."))</f>
        <v>0</v>
      </c>
      <c r="J2686" s="16">
        <f>IF(NOT(Paths!$C$250=1),0,IF(Paths!$P$250="Complete",IF(IF(Paths!$E$250=0,C2686=0,AND(C2686&gt;0,Paths!$E$250&gt;(C2686-1)*12,Paths!$E$250&lt;=C2686*12)),Paths!$H$250,0),"n.a."))</f>
        <v>0</v>
      </c>
      <c r="K2686" s="16">
        <f>IF(NOT(Paths!$C$250=1),0,IF(Paths!$P$250="Complete",IF(IF(Paths!$O$250=0,C2686=0,AND(C2686&gt;0,Paths!$O$250&gt;(C2686-1)*12,Paths!$O$250&lt;=C2686*12)),Paths!$N$250,0),"n.a."))</f>
        <v>0</v>
      </c>
      <c r="L2686" s="16">
        <f>IF(NOT(Paths!$C$250=1),0,IF(Paths!$P$250="Complete",IF(C2686=10,Paths!$I$250,0),"n.a."))</f>
        <v>0</v>
      </c>
      <c r="M2686" s="16">
        <f>IF(NOT(Paths!$C$250=1),0,IF(Paths!$P$250="Complete",IF(AND(Paths!$D$250="EV",Paths!$E$250&lt;120,Paths!$E$250+'Operating costs'!$B$65&gt;Paths!$E$250,Paths!$E$250+'Operating costs'!$B$65&lt;=120,IF(Paths!$E$250+'Operating costs'!$B$65=0,C2686=0,AND(C2686&gt;0,Paths!$E$250+'Operating costs'!$B$65&gt;(C2686-1)*12,Paths!$E$250+'Operating costs'!$B$65&lt;=C2686*12))),'Operating costs'!$B$64,0)+IF(AND('Operating costs'!$B$67&gt;0,'Operating costs'!$B$67&lt;=120,OR(Paths!$D$250="ICE",'Operating costs'!$B$67&lt;=Paths!$E$250),IF('Operating costs'!$B$67=0,C2686=0,AND(C2686&gt;0,'Operating costs'!$B$67&gt;(C2686-1)*12,'Operating costs'!$B$67&lt;=C2686*12))),'Operating costs'!$B$66,0),"n.a."))</f>
        <v>0</v>
      </c>
      <c r="N2686" s="16">
        <f>IF(NOT(Paths!$C$250=1),0,IF(Paths!$P$250="Complete",SUM(G2686:I2686)-J2686-K2686-L2686+M2686+IF(C2686=0,Paths!$F$250,0)+IF(IF(Paths!$E$250=0,C2686=0,AND(C2686&gt;0,Paths!$E$250&gt;(C2686-1)*12,Paths!$E$250&lt;=C2686*12)),VLOOKUP(A2686,'Fleet register'!$A$7:$S$106,16,FALSE),0),"n.a."))</f>
        <v>0</v>
      </c>
      <c r="O2686" s="16">
        <f>IF(NOT(Paths!$C$250=1),0,IF(Paths!$P$250="Complete",N2686-IF(C2686=0,Paths!$F$250,0),"n.a."))</f>
        <v>0</v>
      </c>
      <c r="P2686" s="16">
        <f>IF(NOT(Paths!$C$250=1),0,IF(Paths!$P$250="Complete",O2686+L2686,"n.a."))</f>
        <v>0</v>
      </c>
      <c r="Q2686" s="16">
        <f>IF(NOT(Paths!$C$250=1),0,IF(Paths!$P$250="Complete",N2686*(1+'Operating costs'!$B$54)^-C2686,"n.a."))</f>
        <v>0</v>
      </c>
      <c r="R2686" s="16">
        <f>IF(NOT(Paths!$C$250=1),0,IF(Paths!$P$250="Complete",IF(AND(C2686=0,Paths!$E$250=0),I2686-J2686-K2686+VLOOKUP(A2686,'Fleet register'!$A$7:$S$106,15,FALSE)+VLOOKUP(A2686,'Fleet register'!$A$7:$S$106,16,FALSE),0),"n.a."))</f>
        <v>0</v>
      </c>
      <c r="S2686" s="1">
        <f>IF(NOT(Paths!$C$250=1),0,IF(Paths!$P$250="Complete",IF(C2686=0,0,Paths!$S$250*Paths!$R$250),"n.a."))</f>
        <v>0</v>
      </c>
      <c r="T2686" s="1">
        <f>IF(NOT(Paths!$C$250=1),0,IF(Paths!$P$250="Complete",IF(C2686=0,0,VLOOKUP(A2686,'Fleet register'!$A$7:$S$106,9,FALSE)*Paths!$R$250),"n.a."))</f>
        <v>0</v>
      </c>
    </row>
    <row r="2687" spans="1:20" ht="24" customHeight="1">
      <c r="A2687" s="1" t="str">
        <f>Paths!$A$250</f>
        <v>T061</v>
      </c>
      <c r="B2687" s="1">
        <f>Paths!$B$250</f>
        <v>3</v>
      </c>
      <c r="C2687" s="1">
        <v>7</v>
      </c>
      <c r="D2687" s="1">
        <v>250</v>
      </c>
      <c r="E2687" s="1">
        <f>IF(OR(Paths!$C$250=0,C2687=0),0,MAX(0,MIN(C2687*12,Paths!$E$250)-(C2687-1)*12))</f>
        <v>0</v>
      </c>
      <c r="F2687" s="1">
        <f>IF(OR(Paths!$C$250=0,C2687=0),0,12-E2687)</f>
        <v>0</v>
      </c>
      <c r="G2687" s="16">
        <f>IF(NOT(Paths!$C$250=1),0,IF(Paths!$P$250="Complete",E2687/12*(Paths!$J$250*(1+'Operating costs'!$B$51)^MAX(0,C2687-1)+Paths!$K$250*(1+'Operating costs'!$B$53)^MAX(0,C2687-1)),"n.a."))</f>
        <v>0</v>
      </c>
      <c r="H2687" s="16">
        <f>IF(NOT(Paths!$C$250=1),0,IF(Paths!$P$250="Complete",F2687/12*(Paths!$L$250*(1+IF(Paths!$D$250="EV",'Operating costs'!$B$52,'Operating costs'!$B$51))^MAX(0,C2687-1)+Paths!$M$250*(1+'Operating costs'!$B$53)^MAX(0,C2687-1)),"n.a."))</f>
        <v>0</v>
      </c>
      <c r="I2687" s="16">
        <f>IF(NOT(Paths!$C$250=1),0,IF(Paths!$P$250="Complete",IF(IF(Paths!$E$250=0,C2687=0,AND(C2687&gt;0,Paths!$E$250&gt;(C2687-1)*12,Paths!$E$250&lt;=C2687*12)),Paths!$G$250,0),"n.a."))</f>
        <v>0</v>
      </c>
      <c r="J2687" s="16">
        <f>IF(NOT(Paths!$C$250=1),0,IF(Paths!$P$250="Complete",IF(IF(Paths!$E$250=0,C2687=0,AND(C2687&gt;0,Paths!$E$250&gt;(C2687-1)*12,Paths!$E$250&lt;=C2687*12)),Paths!$H$250,0),"n.a."))</f>
        <v>0</v>
      </c>
      <c r="K2687" s="16">
        <f>IF(NOT(Paths!$C$250=1),0,IF(Paths!$P$250="Complete",IF(IF(Paths!$O$250=0,C2687=0,AND(C2687&gt;0,Paths!$O$250&gt;(C2687-1)*12,Paths!$O$250&lt;=C2687*12)),Paths!$N$250,0),"n.a."))</f>
        <v>0</v>
      </c>
      <c r="L2687" s="16">
        <f>IF(NOT(Paths!$C$250=1),0,IF(Paths!$P$250="Complete",IF(C2687=10,Paths!$I$250,0),"n.a."))</f>
        <v>0</v>
      </c>
      <c r="M2687" s="16">
        <f>IF(NOT(Paths!$C$250=1),0,IF(Paths!$P$250="Complete",IF(AND(Paths!$D$250="EV",Paths!$E$250&lt;120,Paths!$E$250+'Operating costs'!$B$65&gt;Paths!$E$250,Paths!$E$250+'Operating costs'!$B$65&lt;=120,IF(Paths!$E$250+'Operating costs'!$B$65=0,C2687=0,AND(C2687&gt;0,Paths!$E$250+'Operating costs'!$B$65&gt;(C2687-1)*12,Paths!$E$250+'Operating costs'!$B$65&lt;=C2687*12))),'Operating costs'!$B$64,0)+IF(AND('Operating costs'!$B$67&gt;0,'Operating costs'!$B$67&lt;=120,OR(Paths!$D$250="ICE",'Operating costs'!$B$67&lt;=Paths!$E$250),IF('Operating costs'!$B$67=0,C2687=0,AND(C2687&gt;0,'Operating costs'!$B$67&gt;(C2687-1)*12,'Operating costs'!$B$67&lt;=C2687*12))),'Operating costs'!$B$66,0),"n.a."))</f>
        <v>0</v>
      </c>
      <c r="N2687" s="16">
        <f>IF(NOT(Paths!$C$250=1),0,IF(Paths!$P$250="Complete",SUM(G2687:I2687)-J2687-K2687-L2687+M2687+IF(C2687=0,Paths!$F$250,0)+IF(IF(Paths!$E$250=0,C2687=0,AND(C2687&gt;0,Paths!$E$250&gt;(C2687-1)*12,Paths!$E$250&lt;=C2687*12)),VLOOKUP(A2687,'Fleet register'!$A$7:$S$106,16,FALSE),0),"n.a."))</f>
        <v>0</v>
      </c>
      <c r="O2687" s="16">
        <f>IF(NOT(Paths!$C$250=1),0,IF(Paths!$P$250="Complete",N2687-IF(C2687=0,Paths!$F$250,0),"n.a."))</f>
        <v>0</v>
      </c>
      <c r="P2687" s="16">
        <f>IF(NOT(Paths!$C$250=1),0,IF(Paths!$P$250="Complete",O2687+L2687,"n.a."))</f>
        <v>0</v>
      </c>
      <c r="Q2687" s="16">
        <f>IF(NOT(Paths!$C$250=1),0,IF(Paths!$P$250="Complete",N2687*(1+'Operating costs'!$B$54)^-C2687,"n.a."))</f>
        <v>0</v>
      </c>
      <c r="R2687" s="16">
        <f>IF(NOT(Paths!$C$250=1),0,IF(Paths!$P$250="Complete",IF(AND(C2687=0,Paths!$E$250=0),I2687-J2687-K2687+VLOOKUP(A2687,'Fleet register'!$A$7:$S$106,15,FALSE)+VLOOKUP(A2687,'Fleet register'!$A$7:$S$106,16,FALSE),0),"n.a."))</f>
        <v>0</v>
      </c>
      <c r="S2687" s="1">
        <f>IF(NOT(Paths!$C$250=1),0,IF(Paths!$P$250="Complete",IF(C2687=0,0,Paths!$S$250*Paths!$R$250),"n.a."))</f>
        <v>0</v>
      </c>
      <c r="T2687" s="1">
        <f>IF(NOT(Paths!$C$250=1),0,IF(Paths!$P$250="Complete",IF(C2687=0,0,VLOOKUP(A2687,'Fleet register'!$A$7:$S$106,9,FALSE)*Paths!$R$250),"n.a."))</f>
        <v>0</v>
      </c>
    </row>
    <row r="2688" spans="1:20" ht="24" customHeight="1">
      <c r="A2688" s="1" t="str">
        <f>Paths!$A$250</f>
        <v>T061</v>
      </c>
      <c r="B2688" s="1">
        <f>Paths!$B$250</f>
        <v>3</v>
      </c>
      <c r="C2688" s="1">
        <v>8</v>
      </c>
      <c r="D2688" s="1">
        <v>250</v>
      </c>
      <c r="E2688" s="1">
        <f>IF(OR(Paths!$C$250=0,C2688=0),0,MAX(0,MIN(C2688*12,Paths!$E$250)-(C2688-1)*12))</f>
        <v>0</v>
      </c>
      <c r="F2688" s="1">
        <f>IF(OR(Paths!$C$250=0,C2688=0),0,12-E2688)</f>
        <v>0</v>
      </c>
      <c r="G2688" s="16">
        <f>IF(NOT(Paths!$C$250=1),0,IF(Paths!$P$250="Complete",E2688/12*(Paths!$J$250*(1+'Operating costs'!$B$51)^MAX(0,C2688-1)+Paths!$K$250*(1+'Operating costs'!$B$53)^MAX(0,C2688-1)),"n.a."))</f>
        <v>0</v>
      </c>
      <c r="H2688" s="16">
        <f>IF(NOT(Paths!$C$250=1),0,IF(Paths!$P$250="Complete",F2688/12*(Paths!$L$250*(1+IF(Paths!$D$250="EV",'Operating costs'!$B$52,'Operating costs'!$B$51))^MAX(0,C2688-1)+Paths!$M$250*(1+'Operating costs'!$B$53)^MAX(0,C2688-1)),"n.a."))</f>
        <v>0</v>
      </c>
      <c r="I2688" s="16">
        <f>IF(NOT(Paths!$C$250=1),0,IF(Paths!$P$250="Complete",IF(IF(Paths!$E$250=0,C2688=0,AND(C2688&gt;0,Paths!$E$250&gt;(C2688-1)*12,Paths!$E$250&lt;=C2688*12)),Paths!$G$250,0),"n.a."))</f>
        <v>0</v>
      </c>
      <c r="J2688" s="16">
        <f>IF(NOT(Paths!$C$250=1),0,IF(Paths!$P$250="Complete",IF(IF(Paths!$E$250=0,C2688=0,AND(C2688&gt;0,Paths!$E$250&gt;(C2688-1)*12,Paths!$E$250&lt;=C2688*12)),Paths!$H$250,0),"n.a."))</f>
        <v>0</v>
      </c>
      <c r="K2688" s="16">
        <f>IF(NOT(Paths!$C$250=1),0,IF(Paths!$P$250="Complete",IF(IF(Paths!$O$250=0,C2688=0,AND(C2688&gt;0,Paths!$O$250&gt;(C2688-1)*12,Paths!$O$250&lt;=C2688*12)),Paths!$N$250,0),"n.a."))</f>
        <v>0</v>
      </c>
      <c r="L2688" s="16">
        <f>IF(NOT(Paths!$C$250=1),0,IF(Paths!$P$250="Complete",IF(C2688=10,Paths!$I$250,0),"n.a."))</f>
        <v>0</v>
      </c>
      <c r="M2688" s="16">
        <f>IF(NOT(Paths!$C$250=1),0,IF(Paths!$P$250="Complete",IF(AND(Paths!$D$250="EV",Paths!$E$250&lt;120,Paths!$E$250+'Operating costs'!$B$65&gt;Paths!$E$250,Paths!$E$250+'Operating costs'!$B$65&lt;=120,IF(Paths!$E$250+'Operating costs'!$B$65=0,C2688=0,AND(C2688&gt;0,Paths!$E$250+'Operating costs'!$B$65&gt;(C2688-1)*12,Paths!$E$250+'Operating costs'!$B$65&lt;=C2688*12))),'Operating costs'!$B$64,0)+IF(AND('Operating costs'!$B$67&gt;0,'Operating costs'!$B$67&lt;=120,OR(Paths!$D$250="ICE",'Operating costs'!$B$67&lt;=Paths!$E$250),IF('Operating costs'!$B$67=0,C2688=0,AND(C2688&gt;0,'Operating costs'!$B$67&gt;(C2688-1)*12,'Operating costs'!$B$67&lt;=C2688*12))),'Operating costs'!$B$66,0),"n.a."))</f>
        <v>0</v>
      </c>
      <c r="N2688" s="16">
        <f>IF(NOT(Paths!$C$250=1),0,IF(Paths!$P$250="Complete",SUM(G2688:I2688)-J2688-K2688-L2688+M2688+IF(C2688=0,Paths!$F$250,0)+IF(IF(Paths!$E$250=0,C2688=0,AND(C2688&gt;0,Paths!$E$250&gt;(C2688-1)*12,Paths!$E$250&lt;=C2688*12)),VLOOKUP(A2688,'Fleet register'!$A$7:$S$106,16,FALSE),0),"n.a."))</f>
        <v>0</v>
      </c>
      <c r="O2688" s="16">
        <f>IF(NOT(Paths!$C$250=1),0,IF(Paths!$P$250="Complete",N2688-IF(C2688=0,Paths!$F$250,0),"n.a."))</f>
        <v>0</v>
      </c>
      <c r="P2688" s="16">
        <f>IF(NOT(Paths!$C$250=1),0,IF(Paths!$P$250="Complete",O2688+L2688,"n.a."))</f>
        <v>0</v>
      </c>
      <c r="Q2688" s="16">
        <f>IF(NOT(Paths!$C$250=1),0,IF(Paths!$P$250="Complete",N2688*(1+'Operating costs'!$B$54)^-C2688,"n.a."))</f>
        <v>0</v>
      </c>
      <c r="R2688" s="16">
        <f>IF(NOT(Paths!$C$250=1),0,IF(Paths!$P$250="Complete",IF(AND(C2688=0,Paths!$E$250=0),I2688-J2688-K2688+VLOOKUP(A2688,'Fleet register'!$A$7:$S$106,15,FALSE)+VLOOKUP(A2688,'Fleet register'!$A$7:$S$106,16,FALSE),0),"n.a."))</f>
        <v>0</v>
      </c>
      <c r="S2688" s="1">
        <f>IF(NOT(Paths!$C$250=1),0,IF(Paths!$P$250="Complete",IF(C2688=0,0,Paths!$S$250*Paths!$R$250),"n.a."))</f>
        <v>0</v>
      </c>
      <c r="T2688" s="1">
        <f>IF(NOT(Paths!$C$250=1),0,IF(Paths!$P$250="Complete",IF(C2688=0,0,VLOOKUP(A2688,'Fleet register'!$A$7:$S$106,9,FALSE)*Paths!$R$250),"n.a."))</f>
        <v>0</v>
      </c>
    </row>
    <row r="2689" spans="1:20" ht="24" customHeight="1">
      <c r="A2689" s="1" t="str">
        <f>Paths!$A$250</f>
        <v>T061</v>
      </c>
      <c r="B2689" s="1">
        <f>Paths!$B$250</f>
        <v>3</v>
      </c>
      <c r="C2689" s="1">
        <v>9</v>
      </c>
      <c r="D2689" s="1">
        <v>250</v>
      </c>
      <c r="E2689" s="1">
        <f>IF(OR(Paths!$C$250=0,C2689=0),0,MAX(0,MIN(C2689*12,Paths!$E$250)-(C2689-1)*12))</f>
        <v>0</v>
      </c>
      <c r="F2689" s="1">
        <f>IF(OR(Paths!$C$250=0,C2689=0),0,12-E2689)</f>
        <v>0</v>
      </c>
      <c r="G2689" s="16">
        <f>IF(NOT(Paths!$C$250=1),0,IF(Paths!$P$250="Complete",E2689/12*(Paths!$J$250*(1+'Operating costs'!$B$51)^MAX(0,C2689-1)+Paths!$K$250*(1+'Operating costs'!$B$53)^MAX(0,C2689-1)),"n.a."))</f>
        <v>0</v>
      </c>
      <c r="H2689" s="16">
        <f>IF(NOT(Paths!$C$250=1),0,IF(Paths!$P$250="Complete",F2689/12*(Paths!$L$250*(1+IF(Paths!$D$250="EV",'Operating costs'!$B$52,'Operating costs'!$B$51))^MAX(0,C2689-1)+Paths!$M$250*(1+'Operating costs'!$B$53)^MAX(0,C2689-1)),"n.a."))</f>
        <v>0</v>
      </c>
      <c r="I2689" s="16">
        <f>IF(NOT(Paths!$C$250=1),0,IF(Paths!$P$250="Complete",IF(IF(Paths!$E$250=0,C2689=0,AND(C2689&gt;0,Paths!$E$250&gt;(C2689-1)*12,Paths!$E$250&lt;=C2689*12)),Paths!$G$250,0),"n.a."))</f>
        <v>0</v>
      </c>
      <c r="J2689" s="16">
        <f>IF(NOT(Paths!$C$250=1),0,IF(Paths!$P$250="Complete",IF(IF(Paths!$E$250=0,C2689=0,AND(C2689&gt;0,Paths!$E$250&gt;(C2689-1)*12,Paths!$E$250&lt;=C2689*12)),Paths!$H$250,0),"n.a."))</f>
        <v>0</v>
      </c>
      <c r="K2689" s="16">
        <f>IF(NOT(Paths!$C$250=1),0,IF(Paths!$P$250="Complete",IF(IF(Paths!$O$250=0,C2689=0,AND(C2689&gt;0,Paths!$O$250&gt;(C2689-1)*12,Paths!$O$250&lt;=C2689*12)),Paths!$N$250,0),"n.a."))</f>
        <v>0</v>
      </c>
      <c r="L2689" s="16">
        <f>IF(NOT(Paths!$C$250=1),0,IF(Paths!$P$250="Complete",IF(C2689=10,Paths!$I$250,0),"n.a."))</f>
        <v>0</v>
      </c>
      <c r="M2689" s="16">
        <f>IF(NOT(Paths!$C$250=1),0,IF(Paths!$P$250="Complete",IF(AND(Paths!$D$250="EV",Paths!$E$250&lt;120,Paths!$E$250+'Operating costs'!$B$65&gt;Paths!$E$250,Paths!$E$250+'Operating costs'!$B$65&lt;=120,IF(Paths!$E$250+'Operating costs'!$B$65=0,C2689=0,AND(C2689&gt;0,Paths!$E$250+'Operating costs'!$B$65&gt;(C2689-1)*12,Paths!$E$250+'Operating costs'!$B$65&lt;=C2689*12))),'Operating costs'!$B$64,0)+IF(AND('Operating costs'!$B$67&gt;0,'Operating costs'!$B$67&lt;=120,OR(Paths!$D$250="ICE",'Operating costs'!$B$67&lt;=Paths!$E$250),IF('Operating costs'!$B$67=0,C2689=0,AND(C2689&gt;0,'Operating costs'!$B$67&gt;(C2689-1)*12,'Operating costs'!$B$67&lt;=C2689*12))),'Operating costs'!$B$66,0),"n.a."))</f>
        <v>0</v>
      </c>
      <c r="N2689" s="16">
        <f>IF(NOT(Paths!$C$250=1),0,IF(Paths!$P$250="Complete",SUM(G2689:I2689)-J2689-K2689-L2689+M2689+IF(C2689=0,Paths!$F$250,0)+IF(IF(Paths!$E$250=0,C2689=0,AND(C2689&gt;0,Paths!$E$250&gt;(C2689-1)*12,Paths!$E$250&lt;=C2689*12)),VLOOKUP(A2689,'Fleet register'!$A$7:$S$106,16,FALSE),0),"n.a."))</f>
        <v>0</v>
      </c>
      <c r="O2689" s="16">
        <f>IF(NOT(Paths!$C$250=1),0,IF(Paths!$P$250="Complete",N2689-IF(C2689=0,Paths!$F$250,0),"n.a."))</f>
        <v>0</v>
      </c>
      <c r="P2689" s="16">
        <f>IF(NOT(Paths!$C$250=1),0,IF(Paths!$P$250="Complete",O2689+L2689,"n.a."))</f>
        <v>0</v>
      </c>
      <c r="Q2689" s="16">
        <f>IF(NOT(Paths!$C$250=1),0,IF(Paths!$P$250="Complete",N2689*(1+'Operating costs'!$B$54)^-C2689,"n.a."))</f>
        <v>0</v>
      </c>
      <c r="R2689" s="16">
        <f>IF(NOT(Paths!$C$250=1),0,IF(Paths!$P$250="Complete",IF(AND(C2689=0,Paths!$E$250=0),I2689-J2689-K2689+VLOOKUP(A2689,'Fleet register'!$A$7:$S$106,15,FALSE)+VLOOKUP(A2689,'Fleet register'!$A$7:$S$106,16,FALSE),0),"n.a."))</f>
        <v>0</v>
      </c>
      <c r="S2689" s="1">
        <f>IF(NOT(Paths!$C$250=1),0,IF(Paths!$P$250="Complete",IF(C2689=0,0,Paths!$S$250*Paths!$R$250),"n.a."))</f>
        <v>0</v>
      </c>
      <c r="T2689" s="1">
        <f>IF(NOT(Paths!$C$250=1),0,IF(Paths!$P$250="Complete",IF(C2689=0,0,VLOOKUP(A2689,'Fleet register'!$A$7:$S$106,9,FALSE)*Paths!$R$250),"n.a."))</f>
        <v>0</v>
      </c>
    </row>
    <row r="2690" spans="1:20" ht="24" customHeight="1">
      <c r="A2690" s="1" t="str">
        <f>Paths!$A$250</f>
        <v>T061</v>
      </c>
      <c r="B2690" s="1">
        <f>Paths!$B$250</f>
        <v>3</v>
      </c>
      <c r="C2690" s="1">
        <v>10</v>
      </c>
      <c r="D2690" s="1">
        <v>250</v>
      </c>
      <c r="E2690" s="1">
        <f>IF(OR(Paths!$C$250=0,C2690=0),0,MAX(0,MIN(C2690*12,Paths!$E$250)-(C2690-1)*12))</f>
        <v>0</v>
      </c>
      <c r="F2690" s="1">
        <f>IF(OR(Paths!$C$250=0,C2690=0),0,12-E2690)</f>
        <v>0</v>
      </c>
      <c r="G2690" s="16">
        <f>IF(NOT(Paths!$C$250=1),0,IF(Paths!$P$250="Complete",E2690/12*(Paths!$J$250*(1+'Operating costs'!$B$51)^MAX(0,C2690-1)+Paths!$K$250*(1+'Operating costs'!$B$53)^MAX(0,C2690-1)),"n.a."))</f>
        <v>0</v>
      </c>
      <c r="H2690" s="16">
        <f>IF(NOT(Paths!$C$250=1),0,IF(Paths!$P$250="Complete",F2690/12*(Paths!$L$250*(1+IF(Paths!$D$250="EV",'Operating costs'!$B$52,'Operating costs'!$B$51))^MAX(0,C2690-1)+Paths!$M$250*(1+'Operating costs'!$B$53)^MAX(0,C2690-1)),"n.a."))</f>
        <v>0</v>
      </c>
      <c r="I2690" s="16">
        <f>IF(NOT(Paths!$C$250=1),0,IF(Paths!$P$250="Complete",IF(IF(Paths!$E$250=0,C2690=0,AND(C2690&gt;0,Paths!$E$250&gt;(C2690-1)*12,Paths!$E$250&lt;=C2690*12)),Paths!$G$250,0),"n.a."))</f>
        <v>0</v>
      </c>
      <c r="J2690" s="16">
        <f>IF(NOT(Paths!$C$250=1),0,IF(Paths!$P$250="Complete",IF(IF(Paths!$E$250=0,C2690=0,AND(C2690&gt;0,Paths!$E$250&gt;(C2690-1)*12,Paths!$E$250&lt;=C2690*12)),Paths!$H$250,0),"n.a."))</f>
        <v>0</v>
      </c>
      <c r="K2690" s="16">
        <f>IF(NOT(Paths!$C$250=1),0,IF(Paths!$P$250="Complete",IF(IF(Paths!$O$250=0,C2690=0,AND(C2690&gt;0,Paths!$O$250&gt;(C2690-1)*12,Paths!$O$250&lt;=C2690*12)),Paths!$N$250,0),"n.a."))</f>
        <v>0</v>
      </c>
      <c r="L2690" s="16">
        <f>IF(NOT(Paths!$C$250=1),0,IF(Paths!$P$250="Complete",IF(C2690=10,Paths!$I$250,0),"n.a."))</f>
        <v>0</v>
      </c>
      <c r="M2690" s="16">
        <f>IF(NOT(Paths!$C$250=1),0,IF(Paths!$P$250="Complete",IF(AND(Paths!$D$250="EV",Paths!$E$250&lt;120,Paths!$E$250+'Operating costs'!$B$65&gt;Paths!$E$250,Paths!$E$250+'Operating costs'!$B$65&lt;=120,IF(Paths!$E$250+'Operating costs'!$B$65=0,C2690=0,AND(C2690&gt;0,Paths!$E$250+'Operating costs'!$B$65&gt;(C2690-1)*12,Paths!$E$250+'Operating costs'!$B$65&lt;=C2690*12))),'Operating costs'!$B$64,0)+IF(AND('Operating costs'!$B$67&gt;0,'Operating costs'!$B$67&lt;=120,OR(Paths!$D$250="ICE",'Operating costs'!$B$67&lt;=Paths!$E$250),IF('Operating costs'!$B$67=0,C2690=0,AND(C2690&gt;0,'Operating costs'!$B$67&gt;(C2690-1)*12,'Operating costs'!$B$67&lt;=C2690*12))),'Operating costs'!$B$66,0),"n.a."))</f>
        <v>0</v>
      </c>
      <c r="N2690" s="16">
        <f>IF(NOT(Paths!$C$250=1),0,IF(Paths!$P$250="Complete",SUM(G2690:I2690)-J2690-K2690-L2690+M2690+IF(C2690=0,Paths!$F$250,0)+IF(IF(Paths!$E$250=0,C2690=0,AND(C2690&gt;0,Paths!$E$250&gt;(C2690-1)*12,Paths!$E$250&lt;=C2690*12)),VLOOKUP(A2690,'Fleet register'!$A$7:$S$106,16,FALSE),0),"n.a."))</f>
        <v>0</v>
      </c>
      <c r="O2690" s="16">
        <f>IF(NOT(Paths!$C$250=1),0,IF(Paths!$P$250="Complete",N2690-IF(C2690=0,Paths!$F$250,0),"n.a."))</f>
        <v>0</v>
      </c>
      <c r="P2690" s="16">
        <f>IF(NOT(Paths!$C$250=1),0,IF(Paths!$P$250="Complete",O2690+L2690,"n.a."))</f>
        <v>0</v>
      </c>
      <c r="Q2690" s="16">
        <f>IF(NOT(Paths!$C$250=1),0,IF(Paths!$P$250="Complete",N2690*(1+'Operating costs'!$B$54)^-C2690,"n.a."))</f>
        <v>0</v>
      </c>
      <c r="R2690" s="16">
        <f>IF(NOT(Paths!$C$250=1),0,IF(Paths!$P$250="Complete",IF(AND(C2690=0,Paths!$E$250=0),I2690-J2690-K2690+VLOOKUP(A2690,'Fleet register'!$A$7:$S$106,15,FALSE)+VLOOKUP(A2690,'Fleet register'!$A$7:$S$106,16,FALSE),0),"n.a."))</f>
        <v>0</v>
      </c>
      <c r="S2690" s="1">
        <f>IF(NOT(Paths!$C$250=1),0,IF(Paths!$P$250="Complete",IF(C2690=0,0,Paths!$S$250*Paths!$R$250),"n.a."))</f>
        <v>0</v>
      </c>
      <c r="T2690" s="1">
        <f>IF(NOT(Paths!$C$250=1),0,IF(Paths!$P$250="Complete",IF(C2690=0,0,VLOOKUP(A2690,'Fleet register'!$A$7:$S$106,9,FALSE)*Paths!$R$250),"n.a."))</f>
        <v>0</v>
      </c>
    </row>
    <row r="2691" spans="1:20" ht="24" customHeight="1">
      <c r="A2691" s="1" t="str">
        <f>Paths!$A$251</f>
        <v>T062</v>
      </c>
      <c r="B2691" s="1">
        <f>Paths!$B$251</f>
        <v>0</v>
      </c>
      <c r="C2691" s="1">
        <v>0</v>
      </c>
      <c r="D2691" s="1">
        <v>251</v>
      </c>
      <c r="E2691" s="1">
        <f>IF(OR(Paths!$C$251=0,C2691=0),0,MAX(0,MIN(C2691*12,Paths!$E$251)-(C2691-1)*12))</f>
        <v>0</v>
      </c>
      <c r="F2691" s="1">
        <f>IF(OR(Paths!$C$251=0,C2691=0),0,12-E2691)</f>
        <v>0</v>
      </c>
      <c r="G2691" s="16">
        <f>IF(NOT(Paths!$C$251=1),0,IF(Paths!$P$251="Complete",E2691/12*(Paths!$J$251*(1+'Operating costs'!$B$51)^MAX(0,C2691-1)+Paths!$K$251*(1+'Operating costs'!$B$53)^MAX(0,C2691-1)),"n.a."))</f>
        <v>0</v>
      </c>
      <c r="H2691" s="16">
        <f>IF(NOT(Paths!$C$251=1),0,IF(Paths!$P$251="Complete",F2691/12*(Paths!$L$251*(1+IF(Paths!$D$251="EV",'Operating costs'!$B$52,'Operating costs'!$B$51))^MAX(0,C2691-1)+Paths!$M$251*(1+'Operating costs'!$B$53)^MAX(0,C2691-1)),"n.a."))</f>
        <v>0</v>
      </c>
      <c r="I2691" s="16">
        <f>IF(NOT(Paths!$C$251=1),0,IF(Paths!$P$251="Complete",IF(IF(Paths!$E$251=0,C2691=0,AND(C2691&gt;0,Paths!$E$251&gt;(C2691-1)*12,Paths!$E$251&lt;=C2691*12)),Paths!$G$251,0),"n.a."))</f>
        <v>0</v>
      </c>
      <c r="J2691" s="16">
        <f>IF(NOT(Paths!$C$251=1),0,IF(Paths!$P$251="Complete",IF(IF(Paths!$E$251=0,C2691=0,AND(C2691&gt;0,Paths!$E$251&gt;(C2691-1)*12,Paths!$E$251&lt;=C2691*12)),Paths!$H$251,0),"n.a."))</f>
        <v>0</v>
      </c>
      <c r="K2691" s="16">
        <f>IF(NOT(Paths!$C$251=1),0,IF(Paths!$P$251="Complete",IF(IF(Paths!$O$251=0,C2691=0,AND(C2691&gt;0,Paths!$O$251&gt;(C2691-1)*12,Paths!$O$251&lt;=C2691*12)),Paths!$N$251,0),"n.a."))</f>
        <v>0</v>
      </c>
      <c r="L2691" s="16">
        <f>IF(NOT(Paths!$C$251=1),0,IF(Paths!$P$251="Complete",IF(C2691=10,Paths!$I$251,0),"n.a."))</f>
        <v>0</v>
      </c>
      <c r="M2691" s="16">
        <f>IF(NOT(Paths!$C$251=1),0,IF(Paths!$P$251="Complete",IF(AND(Paths!$D$251="EV",Paths!$E$251&lt;120,Paths!$E$251+'Operating costs'!$B$65&gt;Paths!$E$251,Paths!$E$251+'Operating costs'!$B$65&lt;=120,IF(Paths!$E$251+'Operating costs'!$B$65=0,C2691=0,AND(C2691&gt;0,Paths!$E$251+'Operating costs'!$B$65&gt;(C2691-1)*12,Paths!$E$251+'Operating costs'!$B$65&lt;=C2691*12))),'Operating costs'!$B$64,0)+IF(AND('Operating costs'!$B$67&gt;0,'Operating costs'!$B$67&lt;=120,OR(Paths!$D$251="ICE",'Operating costs'!$B$67&lt;=Paths!$E$251),IF('Operating costs'!$B$67=0,C2691=0,AND(C2691&gt;0,'Operating costs'!$B$67&gt;(C2691-1)*12,'Operating costs'!$B$67&lt;=C2691*12))),'Operating costs'!$B$66,0),"n.a."))</f>
        <v>0</v>
      </c>
      <c r="N2691" s="16">
        <f>IF(NOT(Paths!$C$251=1),0,IF(Paths!$P$251="Complete",SUM(G2691:I2691)-J2691-K2691-L2691+M2691+IF(C2691=0,Paths!$F$251,0)+IF(IF(Paths!$E$251=0,C2691=0,AND(C2691&gt;0,Paths!$E$251&gt;(C2691-1)*12,Paths!$E$251&lt;=C2691*12)),VLOOKUP(A2691,'Fleet register'!$A$7:$S$106,16,FALSE),0),"n.a."))</f>
        <v>0</v>
      </c>
      <c r="O2691" s="16">
        <f>IF(NOT(Paths!$C$251=1),0,IF(Paths!$P$251="Complete",N2691-IF(C2691=0,Paths!$F$251,0),"n.a."))</f>
        <v>0</v>
      </c>
      <c r="P2691" s="16">
        <f>IF(NOT(Paths!$C$251=1),0,IF(Paths!$P$251="Complete",O2691+L2691,"n.a."))</f>
        <v>0</v>
      </c>
      <c r="Q2691" s="16">
        <f>IF(NOT(Paths!$C$251=1),0,IF(Paths!$P$251="Complete",N2691*(1+'Operating costs'!$B$54)^-C2691,"n.a."))</f>
        <v>0</v>
      </c>
      <c r="R2691" s="16">
        <f>IF(NOT(Paths!$C$251=1),0,IF(Paths!$P$251="Complete",IF(AND(C2691=0,Paths!$E$251=0),I2691-J2691-K2691+VLOOKUP(A2691,'Fleet register'!$A$7:$S$106,15,FALSE)+VLOOKUP(A2691,'Fleet register'!$A$7:$S$106,16,FALSE),0),"n.a."))</f>
        <v>0</v>
      </c>
      <c r="S2691" s="1">
        <f>IF(NOT(Paths!$C$251=1),0,IF(Paths!$P$251="Complete",IF(C2691=0,0,Paths!$S$251*Paths!$R$251),"n.a."))</f>
        <v>0</v>
      </c>
      <c r="T2691" s="1">
        <f>IF(NOT(Paths!$C$251=1),0,IF(Paths!$P$251="Complete",IF(C2691=0,0,VLOOKUP(A2691,'Fleet register'!$A$7:$S$106,9,FALSE)*Paths!$R$251),"n.a."))</f>
        <v>0</v>
      </c>
    </row>
    <row r="2692" spans="1:20" ht="24" customHeight="1">
      <c r="A2692" s="1" t="str">
        <f>Paths!$A$251</f>
        <v>T062</v>
      </c>
      <c r="B2692" s="1">
        <f>Paths!$B$251</f>
        <v>0</v>
      </c>
      <c r="C2692" s="1">
        <v>1</v>
      </c>
      <c r="D2692" s="1">
        <v>251</v>
      </c>
      <c r="E2692" s="1">
        <f>IF(OR(Paths!$C$251=0,C2692=0),0,MAX(0,MIN(C2692*12,Paths!$E$251)-(C2692-1)*12))</f>
        <v>0</v>
      </c>
      <c r="F2692" s="1">
        <f>IF(OR(Paths!$C$251=0,C2692=0),0,12-E2692)</f>
        <v>0</v>
      </c>
      <c r="G2692" s="16">
        <f>IF(NOT(Paths!$C$251=1),0,IF(Paths!$P$251="Complete",E2692/12*(Paths!$J$251*(1+'Operating costs'!$B$51)^MAX(0,C2692-1)+Paths!$K$251*(1+'Operating costs'!$B$53)^MAX(0,C2692-1)),"n.a."))</f>
        <v>0</v>
      </c>
      <c r="H2692" s="16">
        <f>IF(NOT(Paths!$C$251=1),0,IF(Paths!$P$251="Complete",F2692/12*(Paths!$L$251*(1+IF(Paths!$D$251="EV",'Operating costs'!$B$52,'Operating costs'!$B$51))^MAX(0,C2692-1)+Paths!$M$251*(1+'Operating costs'!$B$53)^MAX(0,C2692-1)),"n.a."))</f>
        <v>0</v>
      </c>
      <c r="I2692" s="16">
        <f>IF(NOT(Paths!$C$251=1),0,IF(Paths!$P$251="Complete",IF(IF(Paths!$E$251=0,C2692=0,AND(C2692&gt;0,Paths!$E$251&gt;(C2692-1)*12,Paths!$E$251&lt;=C2692*12)),Paths!$G$251,0),"n.a."))</f>
        <v>0</v>
      </c>
      <c r="J2692" s="16">
        <f>IF(NOT(Paths!$C$251=1),0,IF(Paths!$P$251="Complete",IF(IF(Paths!$E$251=0,C2692=0,AND(C2692&gt;0,Paths!$E$251&gt;(C2692-1)*12,Paths!$E$251&lt;=C2692*12)),Paths!$H$251,0),"n.a."))</f>
        <v>0</v>
      </c>
      <c r="K2692" s="16">
        <f>IF(NOT(Paths!$C$251=1),0,IF(Paths!$P$251="Complete",IF(IF(Paths!$O$251=0,C2692=0,AND(C2692&gt;0,Paths!$O$251&gt;(C2692-1)*12,Paths!$O$251&lt;=C2692*12)),Paths!$N$251,0),"n.a."))</f>
        <v>0</v>
      </c>
      <c r="L2692" s="16">
        <f>IF(NOT(Paths!$C$251=1),0,IF(Paths!$P$251="Complete",IF(C2692=10,Paths!$I$251,0),"n.a."))</f>
        <v>0</v>
      </c>
      <c r="M2692" s="16">
        <f>IF(NOT(Paths!$C$251=1),0,IF(Paths!$P$251="Complete",IF(AND(Paths!$D$251="EV",Paths!$E$251&lt;120,Paths!$E$251+'Operating costs'!$B$65&gt;Paths!$E$251,Paths!$E$251+'Operating costs'!$B$65&lt;=120,IF(Paths!$E$251+'Operating costs'!$B$65=0,C2692=0,AND(C2692&gt;0,Paths!$E$251+'Operating costs'!$B$65&gt;(C2692-1)*12,Paths!$E$251+'Operating costs'!$B$65&lt;=C2692*12))),'Operating costs'!$B$64,0)+IF(AND('Operating costs'!$B$67&gt;0,'Operating costs'!$B$67&lt;=120,OR(Paths!$D$251="ICE",'Operating costs'!$B$67&lt;=Paths!$E$251),IF('Operating costs'!$B$67=0,C2692=0,AND(C2692&gt;0,'Operating costs'!$B$67&gt;(C2692-1)*12,'Operating costs'!$B$67&lt;=C2692*12))),'Operating costs'!$B$66,0),"n.a."))</f>
        <v>0</v>
      </c>
      <c r="N2692" s="16">
        <f>IF(NOT(Paths!$C$251=1),0,IF(Paths!$P$251="Complete",SUM(G2692:I2692)-J2692-K2692-L2692+M2692+IF(C2692=0,Paths!$F$251,0)+IF(IF(Paths!$E$251=0,C2692=0,AND(C2692&gt;0,Paths!$E$251&gt;(C2692-1)*12,Paths!$E$251&lt;=C2692*12)),VLOOKUP(A2692,'Fleet register'!$A$7:$S$106,16,FALSE),0),"n.a."))</f>
        <v>0</v>
      </c>
      <c r="O2692" s="16">
        <f>IF(NOT(Paths!$C$251=1),0,IF(Paths!$P$251="Complete",N2692-IF(C2692=0,Paths!$F$251,0),"n.a."))</f>
        <v>0</v>
      </c>
      <c r="P2692" s="16">
        <f>IF(NOT(Paths!$C$251=1),0,IF(Paths!$P$251="Complete",O2692+L2692,"n.a."))</f>
        <v>0</v>
      </c>
      <c r="Q2692" s="16">
        <f>IF(NOT(Paths!$C$251=1),0,IF(Paths!$P$251="Complete",N2692*(1+'Operating costs'!$B$54)^-C2692,"n.a."))</f>
        <v>0</v>
      </c>
      <c r="R2692" s="16">
        <f>IF(NOT(Paths!$C$251=1),0,IF(Paths!$P$251="Complete",IF(AND(C2692=0,Paths!$E$251=0),I2692-J2692-K2692+VLOOKUP(A2692,'Fleet register'!$A$7:$S$106,15,FALSE)+VLOOKUP(A2692,'Fleet register'!$A$7:$S$106,16,FALSE),0),"n.a."))</f>
        <v>0</v>
      </c>
      <c r="S2692" s="1">
        <f>IF(NOT(Paths!$C$251=1),0,IF(Paths!$P$251="Complete",IF(C2692=0,0,Paths!$S$251*Paths!$R$251),"n.a."))</f>
        <v>0</v>
      </c>
      <c r="T2692" s="1">
        <f>IF(NOT(Paths!$C$251=1),0,IF(Paths!$P$251="Complete",IF(C2692=0,0,VLOOKUP(A2692,'Fleet register'!$A$7:$S$106,9,FALSE)*Paths!$R$251),"n.a."))</f>
        <v>0</v>
      </c>
    </row>
    <row r="2693" spans="1:20" ht="24" customHeight="1">
      <c r="A2693" s="1" t="str">
        <f>Paths!$A$251</f>
        <v>T062</v>
      </c>
      <c r="B2693" s="1">
        <f>Paths!$B$251</f>
        <v>0</v>
      </c>
      <c r="C2693" s="1">
        <v>2</v>
      </c>
      <c r="D2693" s="1">
        <v>251</v>
      </c>
      <c r="E2693" s="1">
        <f>IF(OR(Paths!$C$251=0,C2693=0),0,MAX(0,MIN(C2693*12,Paths!$E$251)-(C2693-1)*12))</f>
        <v>0</v>
      </c>
      <c r="F2693" s="1">
        <f>IF(OR(Paths!$C$251=0,C2693=0),0,12-E2693)</f>
        <v>0</v>
      </c>
      <c r="G2693" s="16">
        <f>IF(NOT(Paths!$C$251=1),0,IF(Paths!$P$251="Complete",E2693/12*(Paths!$J$251*(1+'Operating costs'!$B$51)^MAX(0,C2693-1)+Paths!$K$251*(1+'Operating costs'!$B$53)^MAX(0,C2693-1)),"n.a."))</f>
        <v>0</v>
      </c>
      <c r="H2693" s="16">
        <f>IF(NOT(Paths!$C$251=1),0,IF(Paths!$P$251="Complete",F2693/12*(Paths!$L$251*(1+IF(Paths!$D$251="EV",'Operating costs'!$B$52,'Operating costs'!$B$51))^MAX(0,C2693-1)+Paths!$M$251*(1+'Operating costs'!$B$53)^MAX(0,C2693-1)),"n.a."))</f>
        <v>0</v>
      </c>
      <c r="I2693" s="16">
        <f>IF(NOT(Paths!$C$251=1),0,IF(Paths!$P$251="Complete",IF(IF(Paths!$E$251=0,C2693=0,AND(C2693&gt;0,Paths!$E$251&gt;(C2693-1)*12,Paths!$E$251&lt;=C2693*12)),Paths!$G$251,0),"n.a."))</f>
        <v>0</v>
      </c>
      <c r="J2693" s="16">
        <f>IF(NOT(Paths!$C$251=1),0,IF(Paths!$P$251="Complete",IF(IF(Paths!$E$251=0,C2693=0,AND(C2693&gt;0,Paths!$E$251&gt;(C2693-1)*12,Paths!$E$251&lt;=C2693*12)),Paths!$H$251,0),"n.a."))</f>
        <v>0</v>
      </c>
      <c r="K2693" s="16">
        <f>IF(NOT(Paths!$C$251=1),0,IF(Paths!$P$251="Complete",IF(IF(Paths!$O$251=0,C2693=0,AND(C2693&gt;0,Paths!$O$251&gt;(C2693-1)*12,Paths!$O$251&lt;=C2693*12)),Paths!$N$251,0),"n.a."))</f>
        <v>0</v>
      </c>
      <c r="L2693" s="16">
        <f>IF(NOT(Paths!$C$251=1),0,IF(Paths!$P$251="Complete",IF(C2693=10,Paths!$I$251,0),"n.a."))</f>
        <v>0</v>
      </c>
      <c r="M2693" s="16">
        <f>IF(NOT(Paths!$C$251=1),0,IF(Paths!$P$251="Complete",IF(AND(Paths!$D$251="EV",Paths!$E$251&lt;120,Paths!$E$251+'Operating costs'!$B$65&gt;Paths!$E$251,Paths!$E$251+'Operating costs'!$B$65&lt;=120,IF(Paths!$E$251+'Operating costs'!$B$65=0,C2693=0,AND(C2693&gt;0,Paths!$E$251+'Operating costs'!$B$65&gt;(C2693-1)*12,Paths!$E$251+'Operating costs'!$B$65&lt;=C2693*12))),'Operating costs'!$B$64,0)+IF(AND('Operating costs'!$B$67&gt;0,'Operating costs'!$B$67&lt;=120,OR(Paths!$D$251="ICE",'Operating costs'!$B$67&lt;=Paths!$E$251),IF('Operating costs'!$B$67=0,C2693=0,AND(C2693&gt;0,'Operating costs'!$B$67&gt;(C2693-1)*12,'Operating costs'!$B$67&lt;=C2693*12))),'Operating costs'!$B$66,0),"n.a."))</f>
        <v>0</v>
      </c>
      <c r="N2693" s="16">
        <f>IF(NOT(Paths!$C$251=1),0,IF(Paths!$P$251="Complete",SUM(G2693:I2693)-J2693-K2693-L2693+M2693+IF(C2693=0,Paths!$F$251,0)+IF(IF(Paths!$E$251=0,C2693=0,AND(C2693&gt;0,Paths!$E$251&gt;(C2693-1)*12,Paths!$E$251&lt;=C2693*12)),VLOOKUP(A2693,'Fleet register'!$A$7:$S$106,16,FALSE),0),"n.a."))</f>
        <v>0</v>
      </c>
      <c r="O2693" s="16">
        <f>IF(NOT(Paths!$C$251=1),0,IF(Paths!$P$251="Complete",N2693-IF(C2693=0,Paths!$F$251,0),"n.a."))</f>
        <v>0</v>
      </c>
      <c r="P2693" s="16">
        <f>IF(NOT(Paths!$C$251=1),0,IF(Paths!$P$251="Complete",O2693+L2693,"n.a."))</f>
        <v>0</v>
      </c>
      <c r="Q2693" s="16">
        <f>IF(NOT(Paths!$C$251=1),0,IF(Paths!$P$251="Complete",N2693*(1+'Operating costs'!$B$54)^-C2693,"n.a."))</f>
        <v>0</v>
      </c>
      <c r="R2693" s="16">
        <f>IF(NOT(Paths!$C$251=1),0,IF(Paths!$P$251="Complete",IF(AND(C2693=0,Paths!$E$251=0),I2693-J2693-K2693+VLOOKUP(A2693,'Fleet register'!$A$7:$S$106,15,FALSE)+VLOOKUP(A2693,'Fleet register'!$A$7:$S$106,16,FALSE),0),"n.a."))</f>
        <v>0</v>
      </c>
      <c r="S2693" s="1">
        <f>IF(NOT(Paths!$C$251=1),0,IF(Paths!$P$251="Complete",IF(C2693=0,0,Paths!$S$251*Paths!$R$251),"n.a."))</f>
        <v>0</v>
      </c>
      <c r="T2693" s="1">
        <f>IF(NOT(Paths!$C$251=1),0,IF(Paths!$P$251="Complete",IF(C2693=0,0,VLOOKUP(A2693,'Fleet register'!$A$7:$S$106,9,FALSE)*Paths!$R$251),"n.a."))</f>
        <v>0</v>
      </c>
    </row>
    <row r="2694" spans="1:20" ht="24" customHeight="1">
      <c r="A2694" s="1" t="str">
        <f>Paths!$A$251</f>
        <v>T062</v>
      </c>
      <c r="B2694" s="1">
        <f>Paths!$B$251</f>
        <v>0</v>
      </c>
      <c r="C2694" s="1">
        <v>3</v>
      </c>
      <c r="D2694" s="1">
        <v>251</v>
      </c>
      <c r="E2694" s="1">
        <f>IF(OR(Paths!$C$251=0,C2694=0),0,MAX(0,MIN(C2694*12,Paths!$E$251)-(C2694-1)*12))</f>
        <v>0</v>
      </c>
      <c r="F2694" s="1">
        <f>IF(OR(Paths!$C$251=0,C2694=0),0,12-E2694)</f>
        <v>0</v>
      </c>
      <c r="G2694" s="16">
        <f>IF(NOT(Paths!$C$251=1),0,IF(Paths!$P$251="Complete",E2694/12*(Paths!$J$251*(1+'Operating costs'!$B$51)^MAX(0,C2694-1)+Paths!$K$251*(1+'Operating costs'!$B$53)^MAX(0,C2694-1)),"n.a."))</f>
        <v>0</v>
      </c>
      <c r="H2694" s="16">
        <f>IF(NOT(Paths!$C$251=1),0,IF(Paths!$P$251="Complete",F2694/12*(Paths!$L$251*(1+IF(Paths!$D$251="EV",'Operating costs'!$B$52,'Operating costs'!$B$51))^MAX(0,C2694-1)+Paths!$M$251*(1+'Operating costs'!$B$53)^MAX(0,C2694-1)),"n.a."))</f>
        <v>0</v>
      </c>
      <c r="I2694" s="16">
        <f>IF(NOT(Paths!$C$251=1),0,IF(Paths!$P$251="Complete",IF(IF(Paths!$E$251=0,C2694=0,AND(C2694&gt;0,Paths!$E$251&gt;(C2694-1)*12,Paths!$E$251&lt;=C2694*12)),Paths!$G$251,0),"n.a."))</f>
        <v>0</v>
      </c>
      <c r="J2694" s="16">
        <f>IF(NOT(Paths!$C$251=1),0,IF(Paths!$P$251="Complete",IF(IF(Paths!$E$251=0,C2694=0,AND(C2694&gt;0,Paths!$E$251&gt;(C2694-1)*12,Paths!$E$251&lt;=C2694*12)),Paths!$H$251,0),"n.a."))</f>
        <v>0</v>
      </c>
      <c r="K2694" s="16">
        <f>IF(NOT(Paths!$C$251=1),0,IF(Paths!$P$251="Complete",IF(IF(Paths!$O$251=0,C2694=0,AND(C2694&gt;0,Paths!$O$251&gt;(C2694-1)*12,Paths!$O$251&lt;=C2694*12)),Paths!$N$251,0),"n.a."))</f>
        <v>0</v>
      </c>
      <c r="L2694" s="16">
        <f>IF(NOT(Paths!$C$251=1),0,IF(Paths!$P$251="Complete",IF(C2694=10,Paths!$I$251,0),"n.a."))</f>
        <v>0</v>
      </c>
      <c r="M2694" s="16">
        <f>IF(NOT(Paths!$C$251=1),0,IF(Paths!$P$251="Complete",IF(AND(Paths!$D$251="EV",Paths!$E$251&lt;120,Paths!$E$251+'Operating costs'!$B$65&gt;Paths!$E$251,Paths!$E$251+'Operating costs'!$B$65&lt;=120,IF(Paths!$E$251+'Operating costs'!$B$65=0,C2694=0,AND(C2694&gt;0,Paths!$E$251+'Operating costs'!$B$65&gt;(C2694-1)*12,Paths!$E$251+'Operating costs'!$B$65&lt;=C2694*12))),'Operating costs'!$B$64,0)+IF(AND('Operating costs'!$B$67&gt;0,'Operating costs'!$B$67&lt;=120,OR(Paths!$D$251="ICE",'Operating costs'!$B$67&lt;=Paths!$E$251),IF('Operating costs'!$B$67=0,C2694=0,AND(C2694&gt;0,'Operating costs'!$B$67&gt;(C2694-1)*12,'Operating costs'!$B$67&lt;=C2694*12))),'Operating costs'!$B$66,0),"n.a."))</f>
        <v>0</v>
      </c>
      <c r="N2694" s="16">
        <f>IF(NOT(Paths!$C$251=1),0,IF(Paths!$P$251="Complete",SUM(G2694:I2694)-J2694-K2694-L2694+M2694+IF(C2694=0,Paths!$F$251,0)+IF(IF(Paths!$E$251=0,C2694=0,AND(C2694&gt;0,Paths!$E$251&gt;(C2694-1)*12,Paths!$E$251&lt;=C2694*12)),VLOOKUP(A2694,'Fleet register'!$A$7:$S$106,16,FALSE),0),"n.a."))</f>
        <v>0</v>
      </c>
      <c r="O2694" s="16">
        <f>IF(NOT(Paths!$C$251=1),0,IF(Paths!$P$251="Complete",N2694-IF(C2694=0,Paths!$F$251,0),"n.a."))</f>
        <v>0</v>
      </c>
      <c r="P2694" s="16">
        <f>IF(NOT(Paths!$C$251=1),0,IF(Paths!$P$251="Complete",O2694+L2694,"n.a."))</f>
        <v>0</v>
      </c>
      <c r="Q2694" s="16">
        <f>IF(NOT(Paths!$C$251=1),0,IF(Paths!$P$251="Complete",N2694*(1+'Operating costs'!$B$54)^-C2694,"n.a."))</f>
        <v>0</v>
      </c>
      <c r="R2694" s="16">
        <f>IF(NOT(Paths!$C$251=1),0,IF(Paths!$P$251="Complete",IF(AND(C2694=0,Paths!$E$251=0),I2694-J2694-K2694+VLOOKUP(A2694,'Fleet register'!$A$7:$S$106,15,FALSE)+VLOOKUP(A2694,'Fleet register'!$A$7:$S$106,16,FALSE),0),"n.a."))</f>
        <v>0</v>
      </c>
      <c r="S2694" s="1">
        <f>IF(NOT(Paths!$C$251=1),0,IF(Paths!$P$251="Complete",IF(C2694=0,0,Paths!$S$251*Paths!$R$251),"n.a."))</f>
        <v>0</v>
      </c>
      <c r="T2694" s="1">
        <f>IF(NOT(Paths!$C$251=1),0,IF(Paths!$P$251="Complete",IF(C2694=0,0,VLOOKUP(A2694,'Fleet register'!$A$7:$S$106,9,FALSE)*Paths!$R$251),"n.a."))</f>
        <v>0</v>
      </c>
    </row>
    <row r="2695" spans="1:20" ht="24" customHeight="1">
      <c r="A2695" s="1" t="str">
        <f>Paths!$A$251</f>
        <v>T062</v>
      </c>
      <c r="B2695" s="1">
        <f>Paths!$B$251</f>
        <v>0</v>
      </c>
      <c r="C2695" s="1">
        <v>4</v>
      </c>
      <c r="D2695" s="1">
        <v>251</v>
      </c>
      <c r="E2695" s="1">
        <f>IF(OR(Paths!$C$251=0,C2695=0),0,MAX(0,MIN(C2695*12,Paths!$E$251)-(C2695-1)*12))</f>
        <v>0</v>
      </c>
      <c r="F2695" s="1">
        <f>IF(OR(Paths!$C$251=0,C2695=0),0,12-E2695)</f>
        <v>0</v>
      </c>
      <c r="G2695" s="16">
        <f>IF(NOT(Paths!$C$251=1),0,IF(Paths!$P$251="Complete",E2695/12*(Paths!$J$251*(1+'Operating costs'!$B$51)^MAX(0,C2695-1)+Paths!$K$251*(1+'Operating costs'!$B$53)^MAX(0,C2695-1)),"n.a."))</f>
        <v>0</v>
      </c>
      <c r="H2695" s="16">
        <f>IF(NOT(Paths!$C$251=1),0,IF(Paths!$P$251="Complete",F2695/12*(Paths!$L$251*(1+IF(Paths!$D$251="EV",'Operating costs'!$B$52,'Operating costs'!$B$51))^MAX(0,C2695-1)+Paths!$M$251*(1+'Operating costs'!$B$53)^MAX(0,C2695-1)),"n.a."))</f>
        <v>0</v>
      </c>
      <c r="I2695" s="16">
        <f>IF(NOT(Paths!$C$251=1),0,IF(Paths!$P$251="Complete",IF(IF(Paths!$E$251=0,C2695=0,AND(C2695&gt;0,Paths!$E$251&gt;(C2695-1)*12,Paths!$E$251&lt;=C2695*12)),Paths!$G$251,0),"n.a."))</f>
        <v>0</v>
      </c>
      <c r="J2695" s="16">
        <f>IF(NOT(Paths!$C$251=1),0,IF(Paths!$P$251="Complete",IF(IF(Paths!$E$251=0,C2695=0,AND(C2695&gt;0,Paths!$E$251&gt;(C2695-1)*12,Paths!$E$251&lt;=C2695*12)),Paths!$H$251,0),"n.a."))</f>
        <v>0</v>
      </c>
      <c r="K2695" s="16">
        <f>IF(NOT(Paths!$C$251=1),0,IF(Paths!$P$251="Complete",IF(IF(Paths!$O$251=0,C2695=0,AND(C2695&gt;0,Paths!$O$251&gt;(C2695-1)*12,Paths!$O$251&lt;=C2695*12)),Paths!$N$251,0),"n.a."))</f>
        <v>0</v>
      </c>
      <c r="L2695" s="16">
        <f>IF(NOT(Paths!$C$251=1),0,IF(Paths!$P$251="Complete",IF(C2695=10,Paths!$I$251,0),"n.a."))</f>
        <v>0</v>
      </c>
      <c r="M2695" s="16">
        <f>IF(NOT(Paths!$C$251=1),0,IF(Paths!$P$251="Complete",IF(AND(Paths!$D$251="EV",Paths!$E$251&lt;120,Paths!$E$251+'Operating costs'!$B$65&gt;Paths!$E$251,Paths!$E$251+'Operating costs'!$B$65&lt;=120,IF(Paths!$E$251+'Operating costs'!$B$65=0,C2695=0,AND(C2695&gt;0,Paths!$E$251+'Operating costs'!$B$65&gt;(C2695-1)*12,Paths!$E$251+'Operating costs'!$B$65&lt;=C2695*12))),'Operating costs'!$B$64,0)+IF(AND('Operating costs'!$B$67&gt;0,'Operating costs'!$B$67&lt;=120,OR(Paths!$D$251="ICE",'Operating costs'!$B$67&lt;=Paths!$E$251),IF('Operating costs'!$B$67=0,C2695=0,AND(C2695&gt;0,'Operating costs'!$B$67&gt;(C2695-1)*12,'Operating costs'!$B$67&lt;=C2695*12))),'Operating costs'!$B$66,0),"n.a."))</f>
        <v>0</v>
      </c>
      <c r="N2695" s="16">
        <f>IF(NOT(Paths!$C$251=1),0,IF(Paths!$P$251="Complete",SUM(G2695:I2695)-J2695-K2695-L2695+M2695+IF(C2695=0,Paths!$F$251,0)+IF(IF(Paths!$E$251=0,C2695=0,AND(C2695&gt;0,Paths!$E$251&gt;(C2695-1)*12,Paths!$E$251&lt;=C2695*12)),VLOOKUP(A2695,'Fleet register'!$A$7:$S$106,16,FALSE),0),"n.a."))</f>
        <v>0</v>
      </c>
      <c r="O2695" s="16">
        <f>IF(NOT(Paths!$C$251=1),0,IF(Paths!$P$251="Complete",N2695-IF(C2695=0,Paths!$F$251,0),"n.a."))</f>
        <v>0</v>
      </c>
      <c r="P2695" s="16">
        <f>IF(NOT(Paths!$C$251=1),0,IF(Paths!$P$251="Complete",O2695+L2695,"n.a."))</f>
        <v>0</v>
      </c>
      <c r="Q2695" s="16">
        <f>IF(NOT(Paths!$C$251=1),0,IF(Paths!$P$251="Complete",N2695*(1+'Operating costs'!$B$54)^-C2695,"n.a."))</f>
        <v>0</v>
      </c>
      <c r="R2695" s="16">
        <f>IF(NOT(Paths!$C$251=1),0,IF(Paths!$P$251="Complete",IF(AND(C2695=0,Paths!$E$251=0),I2695-J2695-K2695+VLOOKUP(A2695,'Fleet register'!$A$7:$S$106,15,FALSE)+VLOOKUP(A2695,'Fleet register'!$A$7:$S$106,16,FALSE),0),"n.a."))</f>
        <v>0</v>
      </c>
      <c r="S2695" s="1">
        <f>IF(NOT(Paths!$C$251=1),0,IF(Paths!$P$251="Complete",IF(C2695=0,0,Paths!$S$251*Paths!$R$251),"n.a."))</f>
        <v>0</v>
      </c>
      <c r="T2695" s="1">
        <f>IF(NOT(Paths!$C$251=1),0,IF(Paths!$P$251="Complete",IF(C2695=0,0,VLOOKUP(A2695,'Fleet register'!$A$7:$S$106,9,FALSE)*Paths!$R$251),"n.a."))</f>
        <v>0</v>
      </c>
    </row>
    <row r="2696" spans="1:20" ht="24" customHeight="1">
      <c r="A2696" s="1" t="str">
        <f>Paths!$A$251</f>
        <v>T062</v>
      </c>
      <c r="B2696" s="1">
        <f>Paths!$B$251</f>
        <v>0</v>
      </c>
      <c r="C2696" s="1">
        <v>5</v>
      </c>
      <c r="D2696" s="1">
        <v>251</v>
      </c>
      <c r="E2696" s="1">
        <f>IF(OR(Paths!$C$251=0,C2696=0),0,MAX(0,MIN(C2696*12,Paths!$E$251)-(C2696-1)*12))</f>
        <v>0</v>
      </c>
      <c r="F2696" s="1">
        <f>IF(OR(Paths!$C$251=0,C2696=0),0,12-E2696)</f>
        <v>0</v>
      </c>
      <c r="G2696" s="16">
        <f>IF(NOT(Paths!$C$251=1),0,IF(Paths!$P$251="Complete",E2696/12*(Paths!$J$251*(1+'Operating costs'!$B$51)^MAX(0,C2696-1)+Paths!$K$251*(1+'Operating costs'!$B$53)^MAX(0,C2696-1)),"n.a."))</f>
        <v>0</v>
      </c>
      <c r="H2696" s="16">
        <f>IF(NOT(Paths!$C$251=1),0,IF(Paths!$P$251="Complete",F2696/12*(Paths!$L$251*(1+IF(Paths!$D$251="EV",'Operating costs'!$B$52,'Operating costs'!$B$51))^MAX(0,C2696-1)+Paths!$M$251*(1+'Operating costs'!$B$53)^MAX(0,C2696-1)),"n.a."))</f>
        <v>0</v>
      </c>
      <c r="I2696" s="16">
        <f>IF(NOT(Paths!$C$251=1),0,IF(Paths!$P$251="Complete",IF(IF(Paths!$E$251=0,C2696=0,AND(C2696&gt;0,Paths!$E$251&gt;(C2696-1)*12,Paths!$E$251&lt;=C2696*12)),Paths!$G$251,0),"n.a."))</f>
        <v>0</v>
      </c>
      <c r="J2696" s="16">
        <f>IF(NOT(Paths!$C$251=1),0,IF(Paths!$P$251="Complete",IF(IF(Paths!$E$251=0,C2696=0,AND(C2696&gt;0,Paths!$E$251&gt;(C2696-1)*12,Paths!$E$251&lt;=C2696*12)),Paths!$H$251,0),"n.a."))</f>
        <v>0</v>
      </c>
      <c r="K2696" s="16">
        <f>IF(NOT(Paths!$C$251=1),0,IF(Paths!$P$251="Complete",IF(IF(Paths!$O$251=0,C2696=0,AND(C2696&gt;0,Paths!$O$251&gt;(C2696-1)*12,Paths!$O$251&lt;=C2696*12)),Paths!$N$251,0),"n.a."))</f>
        <v>0</v>
      </c>
      <c r="L2696" s="16">
        <f>IF(NOT(Paths!$C$251=1),0,IF(Paths!$P$251="Complete",IF(C2696=10,Paths!$I$251,0),"n.a."))</f>
        <v>0</v>
      </c>
      <c r="M2696" s="16">
        <f>IF(NOT(Paths!$C$251=1),0,IF(Paths!$P$251="Complete",IF(AND(Paths!$D$251="EV",Paths!$E$251&lt;120,Paths!$E$251+'Operating costs'!$B$65&gt;Paths!$E$251,Paths!$E$251+'Operating costs'!$B$65&lt;=120,IF(Paths!$E$251+'Operating costs'!$B$65=0,C2696=0,AND(C2696&gt;0,Paths!$E$251+'Operating costs'!$B$65&gt;(C2696-1)*12,Paths!$E$251+'Operating costs'!$B$65&lt;=C2696*12))),'Operating costs'!$B$64,0)+IF(AND('Operating costs'!$B$67&gt;0,'Operating costs'!$B$67&lt;=120,OR(Paths!$D$251="ICE",'Operating costs'!$B$67&lt;=Paths!$E$251),IF('Operating costs'!$B$67=0,C2696=0,AND(C2696&gt;0,'Operating costs'!$B$67&gt;(C2696-1)*12,'Operating costs'!$B$67&lt;=C2696*12))),'Operating costs'!$B$66,0),"n.a."))</f>
        <v>0</v>
      </c>
      <c r="N2696" s="16">
        <f>IF(NOT(Paths!$C$251=1),0,IF(Paths!$P$251="Complete",SUM(G2696:I2696)-J2696-K2696-L2696+M2696+IF(C2696=0,Paths!$F$251,0)+IF(IF(Paths!$E$251=0,C2696=0,AND(C2696&gt;0,Paths!$E$251&gt;(C2696-1)*12,Paths!$E$251&lt;=C2696*12)),VLOOKUP(A2696,'Fleet register'!$A$7:$S$106,16,FALSE),0),"n.a."))</f>
        <v>0</v>
      </c>
      <c r="O2696" s="16">
        <f>IF(NOT(Paths!$C$251=1),0,IF(Paths!$P$251="Complete",N2696-IF(C2696=0,Paths!$F$251,0),"n.a."))</f>
        <v>0</v>
      </c>
      <c r="P2696" s="16">
        <f>IF(NOT(Paths!$C$251=1),0,IF(Paths!$P$251="Complete",O2696+L2696,"n.a."))</f>
        <v>0</v>
      </c>
      <c r="Q2696" s="16">
        <f>IF(NOT(Paths!$C$251=1),0,IF(Paths!$P$251="Complete",N2696*(1+'Operating costs'!$B$54)^-C2696,"n.a."))</f>
        <v>0</v>
      </c>
      <c r="R2696" s="16">
        <f>IF(NOT(Paths!$C$251=1),0,IF(Paths!$P$251="Complete",IF(AND(C2696=0,Paths!$E$251=0),I2696-J2696-K2696+VLOOKUP(A2696,'Fleet register'!$A$7:$S$106,15,FALSE)+VLOOKUP(A2696,'Fleet register'!$A$7:$S$106,16,FALSE),0),"n.a."))</f>
        <v>0</v>
      </c>
      <c r="S2696" s="1">
        <f>IF(NOT(Paths!$C$251=1),0,IF(Paths!$P$251="Complete",IF(C2696=0,0,Paths!$S$251*Paths!$R$251),"n.a."))</f>
        <v>0</v>
      </c>
      <c r="T2696" s="1">
        <f>IF(NOT(Paths!$C$251=1),0,IF(Paths!$P$251="Complete",IF(C2696=0,0,VLOOKUP(A2696,'Fleet register'!$A$7:$S$106,9,FALSE)*Paths!$R$251),"n.a."))</f>
        <v>0</v>
      </c>
    </row>
    <row r="2697" spans="1:20" ht="24" customHeight="1">
      <c r="A2697" s="1" t="str">
        <f>Paths!$A$251</f>
        <v>T062</v>
      </c>
      <c r="B2697" s="1">
        <f>Paths!$B$251</f>
        <v>0</v>
      </c>
      <c r="C2697" s="1">
        <v>6</v>
      </c>
      <c r="D2697" s="1">
        <v>251</v>
      </c>
      <c r="E2697" s="1">
        <f>IF(OR(Paths!$C$251=0,C2697=0),0,MAX(0,MIN(C2697*12,Paths!$E$251)-(C2697-1)*12))</f>
        <v>0</v>
      </c>
      <c r="F2697" s="1">
        <f>IF(OR(Paths!$C$251=0,C2697=0),0,12-E2697)</f>
        <v>0</v>
      </c>
      <c r="G2697" s="16">
        <f>IF(NOT(Paths!$C$251=1),0,IF(Paths!$P$251="Complete",E2697/12*(Paths!$J$251*(1+'Operating costs'!$B$51)^MAX(0,C2697-1)+Paths!$K$251*(1+'Operating costs'!$B$53)^MAX(0,C2697-1)),"n.a."))</f>
        <v>0</v>
      </c>
      <c r="H2697" s="16">
        <f>IF(NOT(Paths!$C$251=1),0,IF(Paths!$P$251="Complete",F2697/12*(Paths!$L$251*(1+IF(Paths!$D$251="EV",'Operating costs'!$B$52,'Operating costs'!$B$51))^MAX(0,C2697-1)+Paths!$M$251*(1+'Operating costs'!$B$53)^MAX(0,C2697-1)),"n.a."))</f>
        <v>0</v>
      </c>
      <c r="I2697" s="16">
        <f>IF(NOT(Paths!$C$251=1),0,IF(Paths!$P$251="Complete",IF(IF(Paths!$E$251=0,C2697=0,AND(C2697&gt;0,Paths!$E$251&gt;(C2697-1)*12,Paths!$E$251&lt;=C2697*12)),Paths!$G$251,0),"n.a."))</f>
        <v>0</v>
      </c>
      <c r="J2697" s="16">
        <f>IF(NOT(Paths!$C$251=1),0,IF(Paths!$P$251="Complete",IF(IF(Paths!$E$251=0,C2697=0,AND(C2697&gt;0,Paths!$E$251&gt;(C2697-1)*12,Paths!$E$251&lt;=C2697*12)),Paths!$H$251,0),"n.a."))</f>
        <v>0</v>
      </c>
      <c r="K2697" s="16">
        <f>IF(NOT(Paths!$C$251=1),0,IF(Paths!$P$251="Complete",IF(IF(Paths!$O$251=0,C2697=0,AND(C2697&gt;0,Paths!$O$251&gt;(C2697-1)*12,Paths!$O$251&lt;=C2697*12)),Paths!$N$251,0),"n.a."))</f>
        <v>0</v>
      </c>
      <c r="L2697" s="16">
        <f>IF(NOT(Paths!$C$251=1),0,IF(Paths!$P$251="Complete",IF(C2697=10,Paths!$I$251,0),"n.a."))</f>
        <v>0</v>
      </c>
      <c r="M2697" s="16">
        <f>IF(NOT(Paths!$C$251=1),0,IF(Paths!$P$251="Complete",IF(AND(Paths!$D$251="EV",Paths!$E$251&lt;120,Paths!$E$251+'Operating costs'!$B$65&gt;Paths!$E$251,Paths!$E$251+'Operating costs'!$B$65&lt;=120,IF(Paths!$E$251+'Operating costs'!$B$65=0,C2697=0,AND(C2697&gt;0,Paths!$E$251+'Operating costs'!$B$65&gt;(C2697-1)*12,Paths!$E$251+'Operating costs'!$B$65&lt;=C2697*12))),'Operating costs'!$B$64,0)+IF(AND('Operating costs'!$B$67&gt;0,'Operating costs'!$B$67&lt;=120,OR(Paths!$D$251="ICE",'Operating costs'!$B$67&lt;=Paths!$E$251),IF('Operating costs'!$B$67=0,C2697=0,AND(C2697&gt;0,'Operating costs'!$B$67&gt;(C2697-1)*12,'Operating costs'!$B$67&lt;=C2697*12))),'Operating costs'!$B$66,0),"n.a."))</f>
        <v>0</v>
      </c>
      <c r="N2697" s="16">
        <f>IF(NOT(Paths!$C$251=1),0,IF(Paths!$P$251="Complete",SUM(G2697:I2697)-J2697-K2697-L2697+M2697+IF(C2697=0,Paths!$F$251,0)+IF(IF(Paths!$E$251=0,C2697=0,AND(C2697&gt;0,Paths!$E$251&gt;(C2697-1)*12,Paths!$E$251&lt;=C2697*12)),VLOOKUP(A2697,'Fleet register'!$A$7:$S$106,16,FALSE),0),"n.a."))</f>
        <v>0</v>
      </c>
      <c r="O2697" s="16">
        <f>IF(NOT(Paths!$C$251=1),0,IF(Paths!$P$251="Complete",N2697-IF(C2697=0,Paths!$F$251,0),"n.a."))</f>
        <v>0</v>
      </c>
      <c r="P2697" s="16">
        <f>IF(NOT(Paths!$C$251=1),0,IF(Paths!$P$251="Complete",O2697+L2697,"n.a."))</f>
        <v>0</v>
      </c>
      <c r="Q2697" s="16">
        <f>IF(NOT(Paths!$C$251=1),0,IF(Paths!$P$251="Complete",N2697*(1+'Operating costs'!$B$54)^-C2697,"n.a."))</f>
        <v>0</v>
      </c>
      <c r="R2697" s="16">
        <f>IF(NOT(Paths!$C$251=1),0,IF(Paths!$P$251="Complete",IF(AND(C2697=0,Paths!$E$251=0),I2697-J2697-K2697+VLOOKUP(A2697,'Fleet register'!$A$7:$S$106,15,FALSE)+VLOOKUP(A2697,'Fleet register'!$A$7:$S$106,16,FALSE),0),"n.a."))</f>
        <v>0</v>
      </c>
      <c r="S2697" s="1">
        <f>IF(NOT(Paths!$C$251=1),0,IF(Paths!$P$251="Complete",IF(C2697=0,0,Paths!$S$251*Paths!$R$251),"n.a."))</f>
        <v>0</v>
      </c>
      <c r="T2697" s="1">
        <f>IF(NOT(Paths!$C$251=1),0,IF(Paths!$P$251="Complete",IF(C2697=0,0,VLOOKUP(A2697,'Fleet register'!$A$7:$S$106,9,FALSE)*Paths!$R$251),"n.a."))</f>
        <v>0</v>
      </c>
    </row>
    <row r="2698" spans="1:20" ht="24" customHeight="1">
      <c r="A2698" s="1" t="str">
        <f>Paths!$A$251</f>
        <v>T062</v>
      </c>
      <c r="B2698" s="1">
        <f>Paths!$B$251</f>
        <v>0</v>
      </c>
      <c r="C2698" s="1">
        <v>7</v>
      </c>
      <c r="D2698" s="1">
        <v>251</v>
      </c>
      <c r="E2698" s="1">
        <f>IF(OR(Paths!$C$251=0,C2698=0),0,MAX(0,MIN(C2698*12,Paths!$E$251)-(C2698-1)*12))</f>
        <v>0</v>
      </c>
      <c r="F2698" s="1">
        <f>IF(OR(Paths!$C$251=0,C2698=0),0,12-E2698)</f>
        <v>0</v>
      </c>
      <c r="G2698" s="16">
        <f>IF(NOT(Paths!$C$251=1),0,IF(Paths!$P$251="Complete",E2698/12*(Paths!$J$251*(1+'Operating costs'!$B$51)^MAX(0,C2698-1)+Paths!$K$251*(1+'Operating costs'!$B$53)^MAX(0,C2698-1)),"n.a."))</f>
        <v>0</v>
      </c>
      <c r="H2698" s="16">
        <f>IF(NOT(Paths!$C$251=1),0,IF(Paths!$P$251="Complete",F2698/12*(Paths!$L$251*(1+IF(Paths!$D$251="EV",'Operating costs'!$B$52,'Operating costs'!$B$51))^MAX(0,C2698-1)+Paths!$M$251*(1+'Operating costs'!$B$53)^MAX(0,C2698-1)),"n.a."))</f>
        <v>0</v>
      </c>
      <c r="I2698" s="16">
        <f>IF(NOT(Paths!$C$251=1),0,IF(Paths!$P$251="Complete",IF(IF(Paths!$E$251=0,C2698=0,AND(C2698&gt;0,Paths!$E$251&gt;(C2698-1)*12,Paths!$E$251&lt;=C2698*12)),Paths!$G$251,0),"n.a."))</f>
        <v>0</v>
      </c>
      <c r="J2698" s="16">
        <f>IF(NOT(Paths!$C$251=1),0,IF(Paths!$P$251="Complete",IF(IF(Paths!$E$251=0,C2698=0,AND(C2698&gt;0,Paths!$E$251&gt;(C2698-1)*12,Paths!$E$251&lt;=C2698*12)),Paths!$H$251,0),"n.a."))</f>
        <v>0</v>
      </c>
      <c r="K2698" s="16">
        <f>IF(NOT(Paths!$C$251=1),0,IF(Paths!$P$251="Complete",IF(IF(Paths!$O$251=0,C2698=0,AND(C2698&gt;0,Paths!$O$251&gt;(C2698-1)*12,Paths!$O$251&lt;=C2698*12)),Paths!$N$251,0),"n.a."))</f>
        <v>0</v>
      </c>
      <c r="L2698" s="16">
        <f>IF(NOT(Paths!$C$251=1),0,IF(Paths!$P$251="Complete",IF(C2698=10,Paths!$I$251,0),"n.a."))</f>
        <v>0</v>
      </c>
      <c r="M2698" s="16">
        <f>IF(NOT(Paths!$C$251=1),0,IF(Paths!$P$251="Complete",IF(AND(Paths!$D$251="EV",Paths!$E$251&lt;120,Paths!$E$251+'Operating costs'!$B$65&gt;Paths!$E$251,Paths!$E$251+'Operating costs'!$B$65&lt;=120,IF(Paths!$E$251+'Operating costs'!$B$65=0,C2698=0,AND(C2698&gt;0,Paths!$E$251+'Operating costs'!$B$65&gt;(C2698-1)*12,Paths!$E$251+'Operating costs'!$B$65&lt;=C2698*12))),'Operating costs'!$B$64,0)+IF(AND('Operating costs'!$B$67&gt;0,'Operating costs'!$B$67&lt;=120,OR(Paths!$D$251="ICE",'Operating costs'!$B$67&lt;=Paths!$E$251),IF('Operating costs'!$B$67=0,C2698=0,AND(C2698&gt;0,'Operating costs'!$B$67&gt;(C2698-1)*12,'Operating costs'!$B$67&lt;=C2698*12))),'Operating costs'!$B$66,0),"n.a."))</f>
        <v>0</v>
      </c>
      <c r="N2698" s="16">
        <f>IF(NOT(Paths!$C$251=1),0,IF(Paths!$P$251="Complete",SUM(G2698:I2698)-J2698-K2698-L2698+M2698+IF(C2698=0,Paths!$F$251,0)+IF(IF(Paths!$E$251=0,C2698=0,AND(C2698&gt;0,Paths!$E$251&gt;(C2698-1)*12,Paths!$E$251&lt;=C2698*12)),VLOOKUP(A2698,'Fleet register'!$A$7:$S$106,16,FALSE),0),"n.a."))</f>
        <v>0</v>
      </c>
      <c r="O2698" s="16">
        <f>IF(NOT(Paths!$C$251=1),0,IF(Paths!$P$251="Complete",N2698-IF(C2698=0,Paths!$F$251,0),"n.a."))</f>
        <v>0</v>
      </c>
      <c r="P2698" s="16">
        <f>IF(NOT(Paths!$C$251=1),0,IF(Paths!$P$251="Complete",O2698+L2698,"n.a."))</f>
        <v>0</v>
      </c>
      <c r="Q2698" s="16">
        <f>IF(NOT(Paths!$C$251=1),0,IF(Paths!$P$251="Complete",N2698*(1+'Operating costs'!$B$54)^-C2698,"n.a."))</f>
        <v>0</v>
      </c>
      <c r="R2698" s="16">
        <f>IF(NOT(Paths!$C$251=1),0,IF(Paths!$P$251="Complete",IF(AND(C2698=0,Paths!$E$251=0),I2698-J2698-K2698+VLOOKUP(A2698,'Fleet register'!$A$7:$S$106,15,FALSE)+VLOOKUP(A2698,'Fleet register'!$A$7:$S$106,16,FALSE),0),"n.a."))</f>
        <v>0</v>
      </c>
      <c r="S2698" s="1">
        <f>IF(NOT(Paths!$C$251=1),0,IF(Paths!$P$251="Complete",IF(C2698=0,0,Paths!$S$251*Paths!$R$251),"n.a."))</f>
        <v>0</v>
      </c>
      <c r="T2698" s="1">
        <f>IF(NOT(Paths!$C$251=1),0,IF(Paths!$P$251="Complete",IF(C2698=0,0,VLOOKUP(A2698,'Fleet register'!$A$7:$S$106,9,FALSE)*Paths!$R$251),"n.a."))</f>
        <v>0</v>
      </c>
    </row>
    <row r="2699" spans="1:20" ht="24" customHeight="1">
      <c r="A2699" s="1" t="str">
        <f>Paths!$A$251</f>
        <v>T062</v>
      </c>
      <c r="B2699" s="1">
        <f>Paths!$B$251</f>
        <v>0</v>
      </c>
      <c r="C2699" s="1">
        <v>8</v>
      </c>
      <c r="D2699" s="1">
        <v>251</v>
      </c>
      <c r="E2699" s="1">
        <f>IF(OR(Paths!$C$251=0,C2699=0),0,MAX(0,MIN(C2699*12,Paths!$E$251)-(C2699-1)*12))</f>
        <v>0</v>
      </c>
      <c r="F2699" s="1">
        <f>IF(OR(Paths!$C$251=0,C2699=0),0,12-E2699)</f>
        <v>0</v>
      </c>
      <c r="G2699" s="16">
        <f>IF(NOT(Paths!$C$251=1),0,IF(Paths!$P$251="Complete",E2699/12*(Paths!$J$251*(1+'Operating costs'!$B$51)^MAX(0,C2699-1)+Paths!$K$251*(1+'Operating costs'!$B$53)^MAX(0,C2699-1)),"n.a."))</f>
        <v>0</v>
      </c>
      <c r="H2699" s="16">
        <f>IF(NOT(Paths!$C$251=1),0,IF(Paths!$P$251="Complete",F2699/12*(Paths!$L$251*(1+IF(Paths!$D$251="EV",'Operating costs'!$B$52,'Operating costs'!$B$51))^MAX(0,C2699-1)+Paths!$M$251*(1+'Operating costs'!$B$53)^MAX(0,C2699-1)),"n.a."))</f>
        <v>0</v>
      </c>
      <c r="I2699" s="16">
        <f>IF(NOT(Paths!$C$251=1),0,IF(Paths!$P$251="Complete",IF(IF(Paths!$E$251=0,C2699=0,AND(C2699&gt;0,Paths!$E$251&gt;(C2699-1)*12,Paths!$E$251&lt;=C2699*12)),Paths!$G$251,0),"n.a."))</f>
        <v>0</v>
      </c>
      <c r="J2699" s="16">
        <f>IF(NOT(Paths!$C$251=1),0,IF(Paths!$P$251="Complete",IF(IF(Paths!$E$251=0,C2699=0,AND(C2699&gt;0,Paths!$E$251&gt;(C2699-1)*12,Paths!$E$251&lt;=C2699*12)),Paths!$H$251,0),"n.a."))</f>
        <v>0</v>
      </c>
      <c r="K2699" s="16">
        <f>IF(NOT(Paths!$C$251=1),0,IF(Paths!$P$251="Complete",IF(IF(Paths!$O$251=0,C2699=0,AND(C2699&gt;0,Paths!$O$251&gt;(C2699-1)*12,Paths!$O$251&lt;=C2699*12)),Paths!$N$251,0),"n.a."))</f>
        <v>0</v>
      </c>
      <c r="L2699" s="16">
        <f>IF(NOT(Paths!$C$251=1),0,IF(Paths!$P$251="Complete",IF(C2699=10,Paths!$I$251,0),"n.a."))</f>
        <v>0</v>
      </c>
      <c r="M2699" s="16">
        <f>IF(NOT(Paths!$C$251=1),0,IF(Paths!$P$251="Complete",IF(AND(Paths!$D$251="EV",Paths!$E$251&lt;120,Paths!$E$251+'Operating costs'!$B$65&gt;Paths!$E$251,Paths!$E$251+'Operating costs'!$B$65&lt;=120,IF(Paths!$E$251+'Operating costs'!$B$65=0,C2699=0,AND(C2699&gt;0,Paths!$E$251+'Operating costs'!$B$65&gt;(C2699-1)*12,Paths!$E$251+'Operating costs'!$B$65&lt;=C2699*12))),'Operating costs'!$B$64,0)+IF(AND('Operating costs'!$B$67&gt;0,'Operating costs'!$B$67&lt;=120,OR(Paths!$D$251="ICE",'Operating costs'!$B$67&lt;=Paths!$E$251),IF('Operating costs'!$B$67=0,C2699=0,AND(C2699&gt;0,'Operating costs'!$B$67&gt;(C2699-1)*12,'Operating costs'!$B$67&lt;=C2699*12))),'Operating costs'!$B$66,0),"n.a."))</f>
        <v>0</v>
      </c>
      <c r="N2699" s="16">
        <f>IF(NOT(Paths!$C$251=1),0,IF(Paths!$P$251="Complete",SUM(G2699:I2699)-J2699-K2699-L2699+M2699+IF(C2699=0,Paths!$F$251,0)+IF(IF(Paths!$E$251=0,C2699=0,AND(C2699&gt;0,Paths!$E$251&gt;(C2699-1)*12,Paths!$E$251&lt;=C2699*12)),VLOOKUP(A2699,'Fleet register'!$A$7:$S$106,16,FALSE),0),"n.a."))</f>
        <v>0</v>
      </c>
      <c r="O2699" s="16">
        <f>IF(NOT(Paths!$C$251=1),0,IF(Paths!$P$251="Complete",N2699-IF(C2699=0,Paths!$F$251,0),"n.a."))</f>
        <v>0</v>
      </c>
      <c r="P2699" s="16">
        <f>IF(NOT(Paths!$C$251=1),0,IF(Paths!$P$251="Complete",O2699+L2699,"n.a."))</f>
        <v>0</v>
      </c>
      <c r="Q2699" s="16">
        <f>IF(NOT(Paths!$C$251=1),0,IF(Paths!$P$251="Complete",N2699*(1+'Operating costs'!$B$54)^-C2699,"n.a."))</f>
        <v>0</v>
      </c>
      <c r="R2699" s="16">
        <f>IF(NOT(Paths!$C$251=1),0,IF(Paths!$P$251="Complete",IF(AND(C2699=0,Paths!$E$251=0),I2699-J2699-K2699+VLOOKUP(A2699,'Fleet register'!$A$7:$S$106,15,FALSE)+VLOOKUP(A2699,'Fleet register'!$A$7:$S$106,16,FALSE),0),"n.a."))</f>
        <v>0</v>
      </c>
      <c r="S2699" s="1">
        <f>IF(NOT(Paths!$C$251=1),0,IF(Paths!$P$251="Complete",IF(C2699=0,0,Paths!$S$251*Paths!$R$251),"n.a."))</f>
        <v>0</v>
      </c>
      <c r="T2699" s="1">
        <f>IF(NOT(Paths!$C$251=1),0,IF(Paths!$P$251="Complete",IF(C2699=0,0,VLOOKUP(A2699,'Fleet register'!$A$7:$S$106,9,FALSE)*Paths!$R$251),"n.a."))</f>
        <v>0</v>
      </c>
    </row>
    <row r="2700" spans="1:20" ht="24" customHeight="1">
      <c r="A2700" s="1" t="str">
        <f>Paths!$A$251</f>
        <v>T062</v>
      </c>
      <c r="B2700" s="1">
        <f>Paths!$B$251</f>
        <v>0</v>
      </c>
      <c r="C2700" s="1">
        <v>9</v>
      </c>
      <c r="D2700" s="1">
        <v>251</v>
      </c>
      <c r="E2700" s="1">
        <f>IF(OR(Paths!$C$251=0,C2700=0),0,MAX(0,MIN(C2700*12,Paths!$E$251)-(C2700-1)*12))</f>
        <v>0</v>
      </c>
      <c r="F2700" s="1">
        <f>IF(OR(Paths!$C$251=0,C2700=0),0,12-E2700)</f>
        <v>0</v>
      </c>
      <c r="G2700" s="16">
        <f>IF(NOT(Paths!$C$251=1),0,IF(Paths!$P$251="Complete",E2700/12*(Paths!$J$251*(1+'Operating costs'!$B$51)^MAX(0,C2700-1)+Paths!$K$251*(1+'Operating costs'!$B$53)^MAX(0,C2700-1)),"n.a."))</f>
        <v>0</v>
      </c>
      <c r="H2700" s="16">
        <f>IF(NOT(Paths!$C$251=1),0,IF(Paths!$P$251="Complete",F2700/12*(Paths!$L$251*(1+IF(Paths!$D$251="EV",'Operating costs'!$B$52,'Operating costs'!$B$51))^MAX(0,C2700-1)+Paths!$M$251*(1+'Operating costs'!$B$53)^MAX(0,C2700-1)),"n.a."))</f>
        <v>0</v>
      </c>
      <c r="I2700" s="16">
        <f>IF(NOT(Paths!$C$251=1),0,IF(Paths!$P$251="Complete",IF(IF(Paths!$E$251=0,C2700=0,AND(C2700&gt;0,Paths!$E$251&gt;(C2700-1)*12,Paths!$E$251&lt;=C2700*12)),Paths!$G$251,0),"n.a."))</f>
        <v>0</v>
      </c>
      <c r="J2700" s="16">
        <f>IF(NOT(Paths!$C$251=1),0,IF(Paths!$P$251="Complete",IF(IF(Paths!$E$251=0,C2700=0,AND(C2700&gt;0,Paths!$E$251&gt;(C2700-1)*12,Paths!$E$251&lt;=C2700*12)),Paths!$H$251,0),"n.a."))</f>
        <v>0</v>
      </c>
      <c r="K2700" s="16">
        <f>IF(NOT(Paths!$C$251=1),0,IF(Paths!$P$251="Complete",IF(IF(Paths!$O$251=0,C2700=0,AND(C2700&gt;0,Paths!$O$251&gt;(C2700-1)*12,Paths!$O$251&lt;=C2700*12)),Paths!$N$251,0),"n.a."))</f>
        <v>0</v>
      </c>
      <c r="L2700" s="16">
        <f>IF(NOT(Paths!$C$251=1),0,IF(Paths!$P$251="Complete",IF(C2700=10,Paths!$I$251,0),"n.a."))</f>
        <v>0</v>
      </c>
      <c r="M2700" s="16">
        <f>IF(NOT(Paths!$C$251=1),0,IF(Paths!$P$251="Complete",IF(AND(Paths!$D$251="EV",Paths!$E$251&lt;120,Paths!$E$251+'Operating costs'!$B$65&gt;Paths!$E$251,Paths!$E$251+'Operating costs'!$B$65&lt;=120,IF(Paths!$E$251+'Operating costs'!$B$65=0,C2700=0,AND(C2700&gt;0,Paths!$E$251+'Operating costs'!$B$65&gt;(C2700-1)*12,Paths!$E$251+'Operating costs'!$B$65&lt;=C2700*12))),'Operating costs'!$B$64,0)+IF(AND('Operating costs'!$B$67&gt;0,'Operating costs'!$B$67&lt;=120,OR(Paths!$D$251="ICE",'Operating costs'!$B$67&lt;=Paths!$E$251),IF('Operating costs'!$B$67=0,C2700=0,AND(C2700&gt;0,'Operating costs'!$B$67&gt;(C2700-1)*12,'Operating costs'!$B$67&lt;=C2700*12))),'Operating costs'!$B$66,0),"n.a."))</f>
        <v>0</v>
      </c>
      <c r="N2700" s="16">
        <f>IF(NOT(Paths!$C$251=1),0,IF(Paths!$P$251="Complete",SUM(G2700:I2700)-J2700-K2700-L2700+M2700+IF(C2700=0,Paths!$F$251,0)+IF(IF(Paths!$E$251=0,C2700=0,AND(C2700&gt;0,Paths!$E$251&gt;(C2700-1)*12,Paths!$E$251&lt;=C2700*12)),VLOOKUP(A2700,'Fleet register'!$A$7:$S$106,16,FALSE),0),"n.a."))</f>
        <v>0</v>
      </c>
      <c r="O2700" s="16">
        <f>IF(NOT(Paths!$C$251=1),0,IF(Paths!$P$251="Complete",N2700-IF(C2700=0,Paths!$F$251,0),"n.a."))</f>
        <v>0</v>
      </c>
      <c r="P2700" s="16">
        <f>IF(NOT(Paths!$C$251=1),0,IF(Paths!$P$251="Complete",O2700+L2700,"n.a."))</f>
        <v>0</v>
      </c>
      <c r="Q2700" s="16">
        <f>IF(NOT(Paths!$C$251=1),0,IF(Paths!$P$251="Complete",N2700*(1+'Operating costs'!$B$54)^-C2700,"n.a."))</f>
        <v>0</v>
      </c>
      <c r="R2700" s="16">
        <f>IF(NOT(Paths!$C$251=1),0,IF(Paths!$P$251="Complete",IF(AND(C2700=0,Paths!$E$251=0),I2700-J2700-K2700+VLOOKUP(A2700,'Fleet register'!$A$7:$S$106,15,FALSE)+VLOOKUP(A2700,'Fleet register'!$A$7:$S$106,16,FALSE),0),"n.a."))</f>
        <v>0</v>
      </c>
      <c r="S2700" s="1">
        <f>IF(NOT(Paths!$C$251=1),0,IF(Paths!$P$251="Complete",IF(C2700=0,0,Paths!$S$251*Paths!$R$251),"n.a."))</f>
        <v>0</v>
      </c>
      <c r="T2700" s="1">
        <f>IF(NOT(Paths!$C$251=1),0,IF(Paths!$P$251="Complete",IF(C2700=0,0,VLOOKUP(A2700,'Fleet register'!$A$7:$S$106,9,FALSE)*Paths!$R$251),"n.a."))</f>
        <v>0</v>
      </c>
    </row>
    <row r="2701" spans="1:20" ht="24" customHeight="1">
      <c r="A2701" s="1" t="str">
        <f>Paths!$A$251</f>
        <v>T062</v>
      </c>
      <c r="B2701" s="1">
        <f>Paths!$B$251</f>
        <v>0</v>
      </c>
      <c r="C2701" s="1">
        <v>10</v>
      </c>
      <c r="D2701" s="1">
        <v>251</v>
      </c>
      <c r="E2701" s="1">
        <f>IF(OR(Paths!$C$251=0,C2701=0),0,MAX(0,MIN(C2701*12,Paths!$E$251)-(C2701-1)*12))</f>
        <v>0</v>
      </c>
      <c r="F2701" s="1">
        <f>IF(OR(Paths!$C$251=0,C2701=0),0,12-E2701)</f>
        <v>0</v>
      </c>
      <c r="G2701" s="16">
        <f>IF(NOT(Paths!$C$251=1),0,IF(Paths!$P$251="Complete",E2701/12*(Paths!$J$251*(1+'Operating costs'!$B$51)^MAX(0,C2701-1)+Paths!$K$251*(1+'Operating costs'!$B$53)^MAX(0,C2701-1)),"n.a."))</f>
        <v>0</v>
      </c>
      <c r="H2701" s="16">
        <f>IF(NOT(Paths!$C$251=1),0,IF(Paths!$P$251="Complete",F2701/12*(Paths!$L$251*(1+IF(Paths!$D$251="EV",'Operating costs'!$B$52,'Operating costs'!$B$51))^MAX(0,C2701-1)+Paths!$M$251*(1+'Operating costs'!$B$53)^MAX(0,C2701-1)),"n.a."))</f>
        <v>0</v>
      </c>
      <c r="I2701" s="16">
        <f>IF(NOT(Paths!$C$251=1),0,IF(Paths!$P$251="Complete",IF(IF(Paths!$E$251=0,C2701=0,AND(C2701&gt;0,Paths!$E$251&gt;(C2701-1)*12,Paths!$E$251&lt;=C2701*12)),Paths!$G$251,0),"n.a."))</f>
        <v>0</v>
      </c>
      <c r="J2701" s="16">
        <f>IF(NOT(Paths!$C$251=1),0,IF(Paths!$P$251="Complete",IF(IF(Paths!$E$251=0,C2701=0,AND(C2701&gt;0,Paths!$E$251&gt;(C2701-1)*12,Paths!$E$251&lt;=C2701*12)),Paths!$H$251,0),"n.a."))</f>
        <v>0</v>
      </c>
      <c r="K2701" s="16">
        <f>IF(NOT(Paths!$C$251=1),0,IF(Paths!$P$251="Complete",IF(IF(Paths!$O$251=0,C2701=0,AND(C2701&gt;0,Paths!$O$251&gt;(C2701-1)*12,Paths!$O$251&lt;=C2701*12)),Paths!$N$251,0),"n.a."))</f>
        <v>0</v>
      </c>
      <c r="L2701" s="16">
        <f>IF(NOT(Paths!$C$251=1),0,IF(Paths!$P$251="Complete",IF(C2701=10,Paths!$I$251,0),"n.a."))</f>
        <v>0</v>
      </c>
      <c r="M2701" s="16">
        <f>IF(NOT(Paths!$C$251=1),0,IF(Paths!$P$251="Complete",IF(AND(Paths!$D$251="EV",Paths!$E$251&lt;120,Paths!$E$251+'Operating costs'!$B$65&gt;Paths!$E$251,Paths!$E$251+'Operating costs'!$B$65&lt;=120,IF(Paths!$E$251+'Operating costs'!$B$65=0,C2701=0,AND(C2701&gt;0,Paths!$E$251+'Operating costs'!$B$65&gt;(C2701-1)*12,Paths!$E$251+'Operating costs'!$B$65&lt;=C2701*12))),'Operating costs'!$B$64,0)+IF(AND('Operating costs'!$B$67&gt;0,'Operating costs'!$B$67&lt;=120,OR(Paths!$D$251="ICE",'Operating costs'!$B$67&lt;=Paths!$E$251),IF('Operating costs'!$B$67=0,C2701=0,AND(C2701&gt;0,'Operating costs'!$B$67&gt;(C2701-1)*12,'Operating costs'!$B$67&lt;=C2701*12))),'Operating costs'!$B$66,0),"n.a."))</f>
        <v>0</v>
      </c>
      <c r="N2701" s="16">
        <f>IF(NOT(Paths!$C$251=1),0,IF(Paths!$P$251="Complete",SUM(G2701:I2701)-J2701-K2701-L2701+M2701+IF(C2701=0,Paths!$F$251,0)+IF(IF(Paths!$E$251=0,C2701=0,AND(C2701&gt;0,Paths!$E$251&gt;(C2701-1)*12,Paths!$E$251&lt;=C2701*12)),VLOOKUP(A2701,'Fleet register'!$A$7:$S$106,16,FALSE),0),"n.a."))</f>
        <v>0</v>
      </c>
      <c r="O2701" s="16">
        <f>IF(NOT(Paths!$C$251=1),0,IF(Paths!$P$251="Complete",N2701-IF(C2701=0,Paths!$F$251,0),"n.a."))</f>
        <v>0</v>
      </c>
      <c r="P2701" s="16">
        <f>IF(NOT(Paths!$C$251=1),0,IF(Paths!$P$251="Complete",O2701+L2701,"n.a."))</f>
        <v>0</v>
      </c>
      <c r="Q2701" s="16">
        <f>IF(NOT(Paths!$C$251=1),0,IF(Paths!$P$251="Complete",N2701*(1+'Operating costs'!$B$54)^-C2701,"n.a."))</f>
        <v>0</v>
      </c>
      <c r="R2701" s="16">
        <f>IF(NOT(Paths!$C$251=1),0,IF(Paths!$P$251="Complete",IF(AND(C2701=0,Paths!$E$251=0),I2701-J2701-K2701+VLOOKUP(A2701,'Fleet register'!$A$7:$S$106,15,FALSE)+VLOOKUP(A2701,'Fleet register'!$A$7:$S$106,16,FALSE),0),"n.a."))</f>
        <v>0</v>
      </c>
      <c r="S2701" s="1">
        <f>IF(NOT(Paths!$C$251=1),0,IF(Paths!$P$251="Complete",IF(C2701=0,0,Paths!$S$251*Paths!$R$251),"n.a."))</f>
        <v>0</v>
      </c>
      <c r="T2701" s="1">
        <f>IF(NOT(Paths!$C$251=1),0,IF(Paths!$P$251="Complete",IF(C2701=0,0,VLOOKUP(A2701,'Fleet register'!$A$7:$S$106,9,FALSE)*Paths!$R$251),"n.a."))</f>
        <v>0</v>
      </c>
    </row>
    <row r="2702" spans="1:20" ht="24" customHeight="1">
      <c r="A2702" s="1" t="str">
        <f>Paths!$A$252</f>
        <v>T062</v>
      </c>
      <c r="B2702" s="1">
        <f>Paths!$B$252</f>
        <v>1</v>
      </c>
      <c r="C2702" s="1">
        <v>0</v>
      </c>
      <c r="D2702" s="1">
        <v>252</v>
      </c>
      <c r="E2702" s="1">
        <f>IF(OR(Paths!$C$252=0,C2702=0),0,MAX(0,MIN(C2702*12,Paths!$E$252)-(C2702-1)*12))</f>
        <v>0</v>
      </c>
      <c r="F2702" s="1">
        <f>IF(OR(Paths!$C$252=0,C2702=0),0,12-E2702)</f>
        <v>0</v>
      </c>
      <c r="G2702" s="16">
        <f>IF(NOT(Paths!$C$252=1),0,IF(Paths!$P$252="Complete",E2702/12*(Paths!$J$252*(1+'Operating costs'!$B$51)^MAX(0,C2702-1)+Paths!$K$252*(1+'Operating costs'!$B$53)^MAX(0,C2702-1)),"n.a."))</f>
        <v>0</v>
      </c>
      <c r="H2702" s="16">
        <f>IF(NOT(Paths!$C$252=1),0,IF(Paths!$P$252="Complete",F2702/12*(Paths!$L$252*(1+IF(Paths!$D$252="EV",'Operating costs'!$B$52,'Operating costs'!$B$51))^MAX(0,C2702-1)+Paths!$M$252*(1+'Operating costs'!$B$53)^MAX(0,C2702-1)),"n.a."))</f>
        <v>0</v>
      </c>
      <c r="I2702" s="16">
        <f>IF(NOT(Paths!$C$252=1),0,IF(Paths!$P$252="Complete",IF(IF(Paths!$E$252=0,C2702=0,AND(C2702&gt;0,Paths!$E$252&gt;(C2702-1)*12,Paths!$E$252&lt;=C2702*12)),Paths!$G$252,0),"n.a."))</f>
        <v>0</v>
      </c>
      <c r="J2702" s="16">
        <f>IF(NOT(Paths!$C$252=1),0,IF(Paths!$P$252="Complete",IF(IF(Paths!$E$252=0,C2702=0,AND(C2702&gt;0,Paths!$E$252&gt;(C2702-1)*12,Paths!$E$252&lt;=C2702*12)),Paths!$H$252,0),"n.a."))</f>
        <v>0</v>
      </c>
      <c r="K2702" s="16">
        <f>IF(NOT(Paths!$C$252=1),0,IF(Paths!$P$252="Complete",IF(IF(Paths!$O$252=0,C2702=0,AND(C2702&gt;0,Paths!$O$252&gt;(C2702-1)*12,Paths!$O$252&lt;=C2702*12)),Paths!$N$252,0),"n.a."))</f>
        <v>0</v>
      </c>
      <c r="L2702" s="16">
        <f>IF(NOT(Paths!$C$252=1),0,IF(Paths!$P$252="Complete",IF(C2702=10,Paths!$I$252,0),"n.a."))</f>
        <v>0</v>
      </c>
      <c r="M2702" s="16">
        <f>IF(NOT(Paths!$C$252=1),0,IF(Paths!$P$252="Complete",IF(AND(Paths!$D$252="EV",Paths!$E$252&lt;120,Paths!$E$252+'Operating costs'!$B$65&gt;Paths!$E$252,Paths!$E$252+'Operating costs'!$B$65&lt;=120,IF(Paths!$E$252+'Operating costs'!$B$65=0,C2702=0,AND(C2702&gt;0,Paths!$E$252+'Operating costs'!$B$65&gt;(C2702-1)*12,Paths!$E$252+'Operating costs'!$B$65&lt;=C2702*12))),'Operating costs'!$B$64,0)+IF(AND('Operating costs'!$B$67&gt;0,'Operating costs'!$B$67&lt;=120,OR(Paths!$D$252="ICE",'Operating costs'!$B$67&lt;=Paths!$E$252),IF('Operating costs'!$B$67=0,C2702=0,AND(C2702&gt;0,'Operating costs'!$B$67&gt;(C2702-1)*12,'Operating costs'!$B$67&lt;=C2702*12))),'Operating costs'!$B$66,0),"n.a."))</f>
        <v>0</v>
      </c>
      <c r="N2702" s="16">
        <f>IF(NOT(Paths!$C$252=1),0,IF(Paths!$P$252="Complete",SUM(G2702:I2702)-J2702-K2702-L2702+M2702+IF(C2702=0,Paths!$F$252,0)+IF(IF(Paths!$E$252=0,C2702=0,AND(C2702&gt;0,Paths!$E$252&gt;(C2702-1)*12,Paths!$E$252&lt;=C2702*12)),VLOOKUP(A2702,'Fleet register'!$A$7:$S$106,16,FALSE),0),"n.a."))</f>
        <v>0</v>
      </c>
      <c r="O2702" s="16">
        <f>IF(NOT(Paths!$C$252=1),0,IF(Paths!$P$252="Complete",N2702-IF(C2702=0,Paths!$F$252,0),"n.a."))</f>
        <v>0</v>
      </c>
      <c r="P2702" s="16">
        <f>IF(NOT(Paths!$C$252=1),0,IF(Paths!$P$252="Complete",O2702+L2702,"n.a."))</f>
        <v>0</v>
      </c>
      <c r="Q2702" s="16">
        <f>IF(NOT(Paths!$C$252=1),0,IF(Paths!$P$252="Complete",N2702*(1+'Operating costs'!$B$54)^-C2702,"n.a."))</f>
        <v>0</v>
      </c>
      <c r="R2702" s="16">
        <f>IF(NOT(Paths!$C$252=1),0,IF(Paths!$P$252="Complete",IF(AND(C2702=0,Paths!$E$252=0),I2702-J2702-K2702+VLOOKUP(A2702,'Fleet register'!$A$7:$S$106,15,FALSE)+VLOOKUP(A2702,'Fleet register'!$A$7:$S$106,16,FALSE),0),"n.a."))</f>
        <v>0</v>
      </c>
      <c r="S2702" s="1">
        <f>IF(NOT(Paths!$C$252=1),0,IF(Paths!$P$252="Complete",IF(C2702=0,0,Paths!$S$252*Paths!$R$252),"n.a."))</f>
        <v>0</v>
      </c>
      <c r="T2702" s="1">
        <f>IF(NOT(Paths!$C$252=1),0,IF(Paths!$P$252="Complete",IF(C2702=0,0,VLOOKUP(A2702,'Fleet register'!$A$7:$S$106,9,FALSE)*Paths!$R$252),"n.a."))</f>
        <v>0</v>
      </c>
    </row>
    <row r="2703" spans="1:20" ht="24" customHeight="1">
      <c r="A2703" s="1" t="str">
        <f>Paths!$A$252</f>
        <v>T062</v>
      </c>
      <c r="B2703" s="1">
        <f>Paths!$B$252</f>
        <v>1</v>
      </c>
      <c r="C2703" s="1">
        <v>1</v>
      </c>
      <c r="D2703" s="1">
        <v>252</v>
      </c>
      <c r="E2703" s="1">
        <f>IF(OR(Paths!$C$252=0,C2703=0),0,MAX(0,MIN(C2703*12,Paths!$E$252)-(C2703-1)*12))</f>
        <v>0</v>
      </c>
      <c r="F2703" s="1">
        <f>IF(OR(Paths!$C$252=0,C2703=0),0,12-E2703)</f>
        <v>0</v>
      </c>
      <c r="G2703" s="16">
        <f>IF(NOT(Paths!$C$252=1),0,IF(Paths!$P$252="Complete",E2703/12*(Paths!$J$252*(1+'Operating costs'!$B$51)^MAX(0,C2703-1)+Paths!$K$252*(1+'Operating costs'!$B$53)^MAX(0,C2703-1)),"n.a."))</f>
        <v>0</v>
      </c>
      <c r="H2703" s="16">
        <f>IF(NOT(Paths!$C$252=1),0,IF(Paths!$P$252="Complete",F2703/12*(Paths!$L$252*(1+IF(Paths!$D$252="EV",'Operating costs'!$B$52,'Operating costs'!$B$51))^MAX(0,C2703-1)+Paths!$M$252*(1+'Operating costs'!$B$53)^MAX(0,C2703-1)),"n.a."))</f>
        <v>0</v>
      </c>
      <c r="I2703" s="16">
        <f>IF(NOT(Paths!$C$252=1),0,IF(Paths!$P$252="Complete",IF(IF(Paths!$E$252=0,C2703=0,AND(C2703&gt;0,Paths!$E$252&gt;(C2703-1)*12,Paths!$E$252&lt;=C2703*12)),Paths!$G$252,0),"n.a."))</f>
        <v>0</v>
      </c>
      <c r="J2703" s="16">
        <f>IF(NOT(Paths!$C$252=1),0,IF(Paths!$P$252="Complete",IF(IF(Paths!$E$252=0,C2703=0,AND(C2703&gt;0,Paths!$E$252&gt;(C2703-1)*12,Paths!$E$252&lt;=C2703*12)),Paths!$H$252,0),"n.a."))</f>
        <v>0</v>
      </c>
      <c r="K2703" s="16">
        <f>IF(NOT(Paths!$C$252=1),0,IF(Paths!$P$252="Complete",IF(IF(Paths!$O$252=0,C2703=0,AND(C2703&gt;0,Paths!$O$252&gt;(C2703-1)*12,Paths!$O$252&lt;=C2703*12)),Paths!$N$252,0),"n.a."))</f>
        <v>0</v>
      </c>
      <c r="L2703" s="16">
        <f>IF(NOT(Paths!$C$252=1),0,IF(Paths!$P$252="Complete",IF(C2703=10,Paths!$I$252,0),"n.a."))</f>
        <v>0</v>
      </c>
      <c r="M2703" s="16">
        <f>IF(NOT(Paths!$C$252=1),0,IF(Paths!$P$252="Complete",IF(AND(Paths!$D$252="EV",Paths!$E$252&lt;120,Paths!$E$252+'Operating costs'!$B$65&gt;Paths!$E$252,Paths!$E$252+'Operating costs'!$B$65&lt;=120,IF(Paths!$E$252+'Operating costs'!$B$65=0,C2703=0,AND(C2703&gt;0,Paths!$E$252+'Operating costs'!$B$65&gt;(C2703-1)*12,Paths!$E$252+'Operating costs'!$B$65&lt;=C2703*12))),'Operating costs'!$B$64,0)+IF(AND('Operating costs'!$B$67&gt;0,'Operating costs'!$B$67&lt;=120,OR(Paths!$D$252="ICE",'Operating costs'!$B$67&lt;=Paths!$E$252),IF('Operating costs'!$B$67=0,C2703=0,AND(C2703&gt;0,'Operating costs'!$B$67&gt;(C2703-1)*12,'Operating costs'!$B$67&lt;=C2703*12))),'Operating costs'!$B$66,0),"n.a."))</f>
        <v>0</v>
      </c>
      <c r="N2703" s="16">
        <f>IF(NOT(Paths!$C$252=1),0,IF(Paths!$P$252="Complete",SUM(G2703:I2703)-J2703-K2703-L2703+M2703+IF(C2703=0,Paths!$F$252,0)+IF(IF(Paths!$E$252=0,C2703=0,AND(C2703&gt;0,Paths!$E$252&gt;(C2703-1)*12,Paths!$E$252&lt;=C2703*12)),VLOOKUP(A2703,'Fleet register'!$A$7:$S$106,16,FALSE),0),"n.a."))</f>
        <v>0</v>
      </c>
      <c r="O2703" s="16">
        <f>IF(NOT(Paths!$C$252=1),0,IF(Paths!$P$252="Complete",N2703-IF(C2703=0,Paths!$F$252,0),"n.a."))</f>
        <v>0</v>
      </c>
      <c r="P2703" s="16">
        <f>IF(NOT(Paths!$C$252=1),0,IF(Paths!$P$252="Complete",O2703+L2703,"n.a."))</f>
        <v>0</v>
      </c>
      <c r="Q2703" s="16">
        <f>IF(NOT(Paths!$C$252=1),0,IF(Paths!$P$252="Complete",N2703*(1+'Operating costs'!$B$54)^-C2703,"n.a."))</f>
        <v>0</v>
      </c>
      <c r="R2703" s="16">
        <f>IF(NOT(Paths!$C$252=1),0,IF(Paths!$P$252="Complete",IF(AND(C2703=0,Paths!$E$252=0),I2703-J2703-K2703+VLOOKUP(A2703,'Fleet register'!$A$7:$S$106,15,FALSE)+VLOOKUP(A2703,'Fleet register'!$A$7:$S$106,16,FALSE),0),"n.a."))</f>
        <v>0</v>
      </c>
      <c r="S2703" s="1">
        <f>IF(NOT(Paths!$C$252=1),0,IF(Paths!$P$252="Complete",IF(C2703=0,0,Paths!$S$252*Paths!$R$252),"n.a."))</f>
        <v>0</v>
      </c>
      <c r="T2703" s="1">
        <f>IF(NOT(Paths!$C$252=1),0,IF(Paths!$P$252="Complete",IF(C2703=0,0,VLOOKUP(A2703,'Fleet register'!$A$7:$S$106,9,FALSE)*Paths!$R$252),"n.a."))</f>
        <v>0</v>
      </c>
    </row>
    <row r="2704" spans="1:20" ht="24" customHeight="1">
      <c r="A2704" s="1" t="str">
        <f>Paths!$A$252</f>
        <v>T062</v>
      </c>
      <c r="B2704" s="1">
        <f>Paths!$B$252</f>
        <v>1</v>
      </c>
      <c r="C2704" s="1">
        <v>2</v>
      </c>
      <c r="D2704" s="1">
        <v>252</v>
      </c>
      <c r="E2704" s="1">
        <f>IF(OR(Paths!$C$252=0,C2704=0),0,MAX(0,MIN(C2704*12,Paths!$E$252)-(C2704-1)*12))</f>
        <v>0</v>
      </c>
      <c r="F2704" s="1">
        <f>IF(OR(Paths!$C$252=0,C2704=0),0,12-E2704)</f>
        <v>0</v>
      </c>
      <c r="G2704" s="16">
        <f>IF(NOT(Paths!$C$252=1),0,IF(Paths!$P$252="Complete",E2704/12*(Paths!$J$252*(1+'Operating costs'!$B$51)^MAX(0,C2704-1)+Paths!$K$252*(1+'Operating costs'!$B$53)^MAX(0,C2704-1)),"n.a."))</f>
        <v>0</v>
      </c>
      <c r="H2704" s="16">
        <f>IF(NOT(Paths!$C$252=1),0,IF(Paths!$P$252="Complete",F2704/12*(Paths!$L$252*(1+IF(Paths!$D$252="EV",'Operating costs'!$B$52,'Operating costs'!$B$51))^MAX(0,C2704-1)+Paths!$M$252*(1+'Operating costs'!$B$53)^MAX(0,C2704-1)),"n.a."))</f>
        <v>0</v>
      </c>
      <c r="I2704" s="16">
        <f>IF(NOT(Paths!$C$252=1),0,IF(Paths!$P$252="Complete",IF(IF(Paths!$E$252=0,C2704=0,AND(C2704&gt;0,Paths!$E$252&gt;(C2704-1)*12,Paths!$E$252&lt;=C2704*12)),Paths!$G$252,0),"n.a."))</f>
        <v>0</v>
      </c>
      <c r="J2704" s="16">
        <f>IF(NOT(Paths!$C$252=1),0,IF(Paths!$P$252="Complete",IF(IF(Paths!$E$252=0,C2704=0,AND(C2704&gt;0,Paths!$E$252&gt;(C2704-1)*12,Paths!$E$252&lt;=C2704*12)),Paths!$H$252,0),"n.a."))</f>
        <v>0</v>
      </c>
      <c r="K2704" s="16">
        <f>IF(NOT(Paths!$C$252=1),0,IF(Paths!$P$252="Complete",IF(IF(Paths!$O$252=0,C2704=0,AND(C2704&gt;0,Paths!$O$252&gt;(C2704-1)*12,Paths!$O$252&lt;=C2704*12)),Paths!$N$252,0),"n.a."))</f>
        <v>0</v>
      </c>
      <c r="L2704" s="16">
        <f>IF(NOT(Paths!$C$252=1),0,IF(Paths!$P$252="Complete",IF(C2704=10,Paths!$I$252,0),"n.a."))</f>
        <v>0</v>
      </c>
      <c r="M2704" s="16">
        <f>IF(NOT(Paths!$C$252=1),0,IF(Paths!$P$252="Complete",IF(AND(Paths!$D$252="EV",Paths!$E$252&lt;120,Paths!$E$252+'Operating costs'!$B$65&gt;Paths!$E$252,Paths!$E$252+'Operating costs'!$B$65&lt;=120,IF(Paths!$E$252+'Operating costs'!$B$65=0,C2704=0,AND(C2704&gt;0,Paths!$E$252+'Operating costs'!$B$65&gt;(C2704-1)*12,Paths!$E$252+'Operating costs'!$B$65&lt;=C2704*12))),'Operating costs'!$B$64,0)+IF(AND('Operating costs'!$B$67&gt;0,'Operating costs'!$B$67&lt;=120,OR(Paths!$D$252="ICE",'Operating costs'!$B$67&lt;=Paths!$E$252),IF('Operating costs'!$B$67=0,C2704=0,AND(C2704&gt;0,'Operating costs'!$B$67&gt;(C2704-1)*12,'Operating costs'!$B$67&lt;=C2704*12))),'Operating costs'!$B$66,0),"n.a."))</f>
        <v>0</v>
      </c>
      <c r="N2704" s="16">
        <f>IF(NOT(Paths!$C$252=1),0,IF(Paths!$P$252="Complete",SUM(G2704:I2704)-J2704-K2704-L2704+M2704+IF(C2704=0,Paths!$F$252,0)+IF(IF(Paths!$E$252=0,C2704=0,AND(C2704&gt;0,Paths!$E$252&gt;(C2704-1)*12,Paths!$E$252&lt;=C2704*12)),VLOOKUP(A2704,'Fleet register'!$A$7:$S$106,16,FALSE),0),"n.a."))</f>
        <v>0</v>
      </c>
      <c r="O2704" s="16">
        <f>IF(NOT(Paths!$C$252=1),0,IF(Paths!$P$252="Complete",N2704-IF(C2704=0,Paths!$F$252,0),"n.a."))</f>
        <v>0</v>
      </c>
      <c r="P2704" s="16">
        <f>IF(NOT(Paths!$C$252=1),0,IF(Paths!$P$252="Complete",O2704+L2704,"n.a."))</f>
        <v>0</v>
      </c>
      <c r="Q2704" s="16">
        <f>IF(NOT(Paths!$C$252=1),0,IF(Paths!$P$252="Complete",N2704*(1+'Operating costs'!$B$54)^-C2704,"n.a."))</f>
        <v>0</v>
      </c>
      <c r="R2704" s="16">
        <f>IF(NOT(Paths!$C$252=1),0,IF(Paths!$P$252="Complete",IF(AND(C2704=0,Paths!$E$252=0),I2704-J2704-K2704+VLOOKUP(A2704,'Fleet register'!$A$7:$S$106,15,FALSE)+VLOOKUP(A2704,'Fleet register'!$A$7:$S$106,16,FALSE),0),"n.a."))</f>
        <v>0</v>
      </c>
      <c r="S2704" s="1">
        <f>IF(NOT(Paths!$C$252=1),0,IF(Paths!$P$252="Complete",IF(C2704=0,0,Paths!$S$252*Paths!$R$252),"n.a."))</f>
        <v>0</v>
      </c>
      <c r="T2704" s="1">
        <f>IF(NOT(Paths!$C$252=1),0,IF(Paths!$P$252="Complete",IF(C2704=0,0,VLOOKUP(A2704,'Fleet register'!$A$7:$S$106,9,FALSE)*Paths!$R$252),"n.a."))</f>
        <v>0</v>
      </c>
    </row>
    <row r="2705" spans="1:20" ht="24" customHeight="1">
      <c r="A2705" s="1" t="str">
        <f>Paths!$A$252</f>
        <v>T062</v>
      </c>
      <c r="B2705" s="1">
        <f>Paths!$B$252</f>
        <v>1</v>
      </c>
      <c r="C2705" s="1">
        <v>3</v>
      </c>
      <c r="D2705" s="1">
        <v>252</v>
      </c>
      <c r="E2705" s="1">
        <f>IF(OR(Paths!$C$252=0,C2705=0),0,MAX(0,MIN(C2705*12,Paths!$E$252)-(C2705-1)*12))</f>
        <v>0</v>
      </c>
      <c r="F2705" s="1">
        <f>IF(OR(Paths!$C$252=0,C2705=0),0,12-E2705)</f>
        <v>0</v>
      </c>
      <c r="G2705" s="16">
        <f>IF(NOT(Paths!$C$252=1),0,IF(Paths!$P$252="Complete",E2705/12*(Paths!$J$252*(1+'Operating costs'!$B$51)^MAX(0,C2705-1)+Paths!$K$252*(1+'Operating costs'!$B$53)^MAX(0,C2705-1)),"n.a."))</f>
        <v>0</v>
      </c>
      <c r="H2705" s="16">
        <f>IF(NOT(Paths!$C$252=1),0,IF(Paths!$P$252="Complete",F2705/12*(Paths!$L$252*(1+IF(Paths!$D$252="EV",'Operating costs'!$B$52,'Operating costs'!$B$51))^MAX(0,C2705-1)+Paths!$M$252*(1+'Operating costs'!$B$53)^MAX(0,C2705-1)),"n.a."))</f>
        <v>0</v>
      </c>
      <c r="I2705" s="16">
        <f>IF(NOT(Paths!$C$252=1),0,IF(Paths!$P$252="Complete",IF(IF(Paths!$E$252=0,C2705=0,AND(C2705&gt;0,Paths!$E$252&gt;(C2705-1)*12,Paths!$E$252&lt;=C2705*12)),Paths!$G$252,0),"n.a."))</f>
        <v>0</v>
      </c>
      <c r="J2705" s="16">
        <f>IF(NOT(Paths!$C$252=1),0,IF(Paths!$P$252="Complete",IF(IF(Paths!$E$252=0,C2705=0,AND(C2705&gt;0,Paths!$E$252&gt;(C2705-1)*12,Paths!$E$252&lt;=C2705*12)),Paths!$H$252,0),"n.a."))</f>
        <v>0</v>
      </c>
      <c r="K2705" s="16">
        <f>IF(NOT(Paths!$C$252=1),0,IF(Paths!$P$252="Complete",IF(IF(Paths!$O$252=0,C2705=0,AND(C2705&gt;0,Paths!$O$252&gt;(C2705-1)*12,Paths!$O$252&lt;=C2705*12)),Paths!$N$252,0),"n.a."))</f>
        <v>0</v>
      </c>
      <c r="L2705" s="16">
        <f>IF(NOT(Paths!$C$252=1),0,IF(Paths!$P$252="Complete",IF(C2705=10,Paths!$I$252,0),"n.a."))</f>
        <v>0</v>
      </c>
      <c r="M2705" s="16">
        <f>IF(NOT(Paths!$C$252=1),0,IF(Paths!$P$252="Complete",IF(AND(Paths!$D$252="EV",Paths!$E$252&lt;120,Paths!$E$252+'Operating costs'!$B$65&gt;Paths!$E$252,Paths!$E$252+'Operating costs'!$B$65&lt;=120,IF(Paths!$E$252+'Operating costs'!$B$65=0,C2705=0,AND(C2705&gt;0,Paths!$E$252+'Operating costs'!$B$65&gt;(C2705-1)*12,Paths!$E$252+'Operating costs'!$B$65&lt;=C2705*12))),'Operating costs'!$B$64,0)+IF(AND('Operating costs'!$B$67&gt;0,'Operating costs'!$B$67&lt;=120,OR(Paths!$D$252="ICE",'Operating costs'!$B$67&lt;=Paths!$E$252),IF('Operating costs'!$B$67=0,C2705=0,AND(C2705&gt;0,'Operating costs'!$B$67&gt;(C2705-1)*12,'Operating costs'!$B$67&lt;=C2705*12))),'Operating costs'!$B$66,0),"n.a."))</f>
        <v>0</v>
      </c>
      <c r="N2705" s="16">
        <f>IF(NOT(Paths!$C$252=1),0,IF(Paths!$P$252="Complete",SUM(G2705:I2705)-J2705-K2705-L2705+M2705+IF(C2705=0,Paths!$F$252,0)+IF(IF(Paths!$E$252=0,C2705=0,AND(C2705&gt;0,Paths!$E$252&gt;(C2705-1)*12,Paths!$E$252&lt;=C2705*12)),VLOOKUP(A2705,'Fleet register'!$A$7:$S$106,16,FALSE),0),"n.a."))</f>
        <v>0</v>
      </c>
      <c r="O2705" s="16">
        <f>IF(NOT(Paths!$C$252=1),0,IF(Paths!$P$252="Complete",N2705-IF(C2705=0,Paths!$F$252,0),"n.a."))</f>
        <v>0</v>
      </c>
      <c r="P2705" s="16">
        <f>IF(NOT(Paths!$C$252=1),0,IF(Paths!$P$252="Complete",O2705+L2705,"n.a."))</f>
        <v>0</v>
      </c>
      <c r="Q2705" s="16">
        <f>IF(NOT(Paths!$C$252=1),0,IF(Paths!$P$252="Complete",N2705*(1+'Operating costs'!$B$54)^-C2705,"n.a."))</f>
        <v>0</v>
      </c>
      <c r="R2705" s="16">
        <f>IF(NOT(Paths!$C$252=1),0,IF(Paths!$P$252="Complete",IF(AND(C2705=0,Paths!$E$252=0),I2705-J2705-K2705+VLOOKUP(A2705,'Fleet register'!$A$7:$S$106,15,FALSE)+VLOOKUP(A2705,'Fleet register'!$A$7:$S$106,16,FALSE),0),"n.a."))</f>
        <v>0</v>
      </c>
      <c r="S2705" s="1">
        <f>IF(NOT(Paths!$C$252=1),0,IF(Paths!$P$252="Complete",IF(C2705=0,0,Paths!$S$252*Paths!$R$252),"n.a."))</f>
        <v>0</v>
      </c>
      <c r="T2705" s="1">
        <f>IF(NOT(Paths!$C$252=1),0,IF(Paths!$P$252="Complete",IF(C2705=0,0,VLOOKUP(A2705,'Fleet register'!$A$7:$S$106,9,FALSE)*Paths!$R$252),"n.a."))</f>
        <v>0</v>
      </c>
    </row>
    <row r="2706" spans="1:20" ht="24" customHeight="1">
      <c r="A2706" s="1" t="str">
        <f>Paths!$A$252</f>
        <v>T062</v>
      </c>
      <c r="B2706" s="1">
        <f>Paths!$B$252</f>
        <v>1</v>
      </c>
      <c r="C2706" s="1">
        <v>4</v>
      </c>
      <c r="D2706" s="1">
        <v>252</v>
      </c>
      <c r="E2706" s="1">
        <f>IF(OR(Paths!$C$252=0,C2706=0),0,MAX(0,MIN(C2706*12,Paths!$E$252)-(C2706-1)*12))</f>
        <v>0</v>
      </c>
      <c r="F2706" s="1">
        <f>IF(OR(Paths!$C$252=0,C2706=0),0,12-E2706)</f>
        <v>0</v>
      </c>
      <c r="G2706" s="16">
        <f>IF(NOT(Paths!$C$252=1),0,IF(Paths!$P$252="Complete",E2706/12*(Paths!$J$252*(1+'Operating costs'!$B$51)^MAX(0,C2706-1)+Paths!$K$252*(1+'Operating costs'!$B$53)^MAX(0,C2706-1)),"n.a."))</f>
        <v>0</v>
      </c>
      <c r="H2706" s="16">
        <f>IF(NOT(Paths!$C$252=1),0,IF(Paths!$P$252="Complete",F2706/12*(Paths!$L$252*(1+IF(Paths!$D$252="EV",'Operating costs'!$B$52,'Operating costs'!$B$51))^MAX(0,C2706-1)+Paths!$M$252*(1+'Operating costs'!$B$53)^MAX(0,C2706-1)),"n.a."))</f>
        <v>0</v>
      </c>
      <c r="I2706" s="16">
        <f>IF(NOT(Paths!$C$252=1),0,IF(Paths!$P$252="Complete",IF(IF(Paths!$E$252=0,C2706=0,AND(C2706&gt;0,Paths!$E$252&gt;(C2706-1)*12,Paths!$E$252&lt;=C2706*12)),Paths!$G$252,0),"n.a."))</f>
        <v>0</v>
      </c>
      <c r="J2706" s="16">
        <f>IF(NOT(Paths!$C$252=1),0,IF(Paths!$P$252="Complete",IF(IF(Paths!$E$252=0,C2706=0,AND(C2706&gt;0,Paths!$E$252&gt;(C2706-1)*12,Paths!$E$252&lt;=C2706*12)),Paths!$H$252,0),"n.a."))</f>
        <v>0</v>
      </c>
      <c r="K2706" s="16">
        <f>IF(NOT(Paths!$C$252=1),0,IF(Paths!$P$252="Complete",IF(IF(Paths!$O$252=0,C2706=0,AND(C2706&gt;0,Paths!$O$252&gt;(C2706-1)*12,Paths!$O$252&lt;=C2706*12)),Paths!$N$252,0),"n.a."))</f>
        <v>0</v>
      </c>
      <c r="L2706" s="16">
        <f>IF(NOT(Paths!$C$252=1),0,IF(Paths!$P$252="Complete",IF(C2706=10,Paths!$I$252,0),"n.a."))</f>
        <v>0</v>
      </c>
      <c r="M2706" s="16">
        <f>IF(NOT(Paths!$C$252=1),0,IF(Paths!$P$252="Complete",IF(AND(Paths!$D$252="EV",Paths!$E$252&lt;120,Paths!$E$252+'Operating costs'!$B$65&gt;Paths!$E$252,Paths!$E$252+'Operating costs'!$B$65&lt;=120,IF(Paths!$E$252+'Operating costs'!$B$65=0,C2706=0,AND(C2706&gt;0,Paths!$E$252+'Operating costs'!$B$65&gt;(C2706-1)*12,Paths!$E$252+'Operating costs'!$B$65&lt;=C2706*12))),'Operating costs'!$B$64,0)+IF(AND('Operating costs'!$B$67&gt;0,'Operating costs'!$B$67&lt;=120,OR(Paths!$D$252="ICE",'Operating costs'!$B$67&lt;=Paths!$E$252),IF('Operating costs'!$B$67=0,C2706=0,AND(C2706&gt;0,'Operating costs'!$B$67&gt;(C2706-1)*12,'Operating costs'!$B$67&lt;=C2706*12))),'Operating costs'!$B$66,0),"n.a."))</f>
        <v>0</v>
      </c>
      <c r="N2706" s="16">
        <f>IF(NOT(Paths!$C$252=1),0,IF(Paths!$P$252="Complete",SUM(G2706:I2706)-J2706-K2706-L2706+M2706+IF(C2706=0,Paths!$F$252,0)+IF(IF(Paths!$E$252=0,C2706=0,AND(C2706&gt;0,Paths!$E$252&gt;(C2706-1)*12,Paths!$E$252&lt;=C2706*12)),VLOOKUP(A2706,'Fleet register'!$A$7:$S$106,16,FALSE),0),"n.a."))</f>
        <v>0</v>
      </c>
      <c r="O2706" s="16">
        <f>IF(NOT(Paths!$C$252=1),0,IF(Paths!$P$252="Complete",N2706-IF(C2706=0,Paths!$F$252,0),"n.a."))</f>
        <v>0</v>
      </c>
      <c r="P2706" s="16">
        <f>IF(NOT(Paths!$C$252=1),0,IF(Paths!$P$252="Complete",O2706+L2706,"n.a."))</f>
        <v>0</v>
      </c>
      <c r="Q2706" s="16">
        <f>IF(NOT(Paths!$C$252=1),0,IF(Paths!$P$252="Complete",N2706*(1+'Operating costs'!$B$54)^-C2706,"n.a."))</f>
        <v>0</v>
      </c>
      <c r="R2706" s="16">
        <f>IF(NOT(Paths!$C$252=1),0,IF(Paths!$P$252="Complete",IF(AND(C2706=0,Paths!$E$252=0),I2706-J2706-K2706+VLOOKUP(A2706,'Fleet register'!$A$7:$S$106,15,FALSE)+VLOOKUP(A2706,'Fleet register'!$A$7:$S$106,16,FALSE),0),"n.a."))</f>
        <v>0</v>
      </c>
      <c r="S2706" s="1">
        <f>IF(NOT(Paths!$C$252=1),0,IF(Paths!$P$252="Complete",IF(C2706=0,0,Paths!$S$252*Paths!$R$252),"n.a."))</f>
        <v>0</v>
      </c>
      <c r="T2706" s="1">
        <f>IF(NOT(Paths!$C$252=1),0,IF(Paths!$P$252="Complete",IF(C2706=0,0,VLOOKUP(A2706,'Fleet register'!$A$7:$S$106,9,FALSE)*Paths!$R$252),"n.a."))</f>
        <v>0</v>
      </c>
    </row>
    <row r="2707" spans="1:20" ht="24" customHeight="1">
      <c r="A2707" s="1" t="str">
        <f>Paths!$A$252</f>
        <v>T062</v>
      </c>
      <c r="B2707" s="1">
        <f>Paths!$B$252</f>
        <v>1</v>
      </c>
      <c r="C2707" s="1">
        <v>5</v>
      </c>
      <c r="D2707" s="1">
        <v>252</v>
      </c>
      <c r="E2707" s="1">
        <f>IF(OR(Paths!$C$252=0,C2707=0),0,MAX(0,MIN(C2707*12,Paths!$E$252)-(C2707-1)*12))</f>
        <v>0</v>
      </c>
      <c r="F2707" s="1">
        <f>IF(OR(Paths!$C$252=0,C2707=0),0,12-E2707)</f>
        <v>0</v>
      </c>
      <c r="G2707" s="16">
        <f>IF(NOT(Paths!$C$252=1),0,IF(Paths!$P$252="Complete",E2707/12*(Paths!$J$252*(1+'Operating costs'!$B$51)^MAX(0,C2707-1)+Paths!$K$252*(1+'Operating costs'!$B$53)^MAX(0,C2707-1)),"n.a."))</f>
        <v>0</v>
      </c>
      <c r="H2707" s="16">
        <f>IF(NOT(Paths!$C$252=1),0,IF(Paths!$P$252="Complete",F2707/12*(Paths!$L$252*(1+IF(Paths!$D$252="EV",'Operating costs'!$B$52,'Operating costs'!$B$51))^MAX(0,C2707-1)+Paths!$M$252*(1+'Operating costs'!$B$53)^MAX(0,C2707-1)),"n.a."))</f>
        <v>0</v>
      </c>
      <c r="I2707" s="16">
        <f>IF(NOT(Paths!$C$252=1),0,IF(Paths!$P$252="Complete",IF(IF(Paths!$E$252=0,C2707=0,AND(C2707&gt;0,Paths!$E$252&gt;(C2707-1)*12,Paths!$E$252&lt;=C2707*12)),Paths!$G$252,0),"n.a."))</f>
        <v>0</v>
      </c>
      <c r="J2707" s="16">
        <f>IF(NOT(Paths!$C$252=1),0,IF(Paths!$P$252="Complete",IF(IF(Paths!$E$252=0,C2707=0,AND(C2707&gt;0,Paths!$E$252&gt;(C2707-1)*12,Paths!$E$252&lt;=C2707*12)),Paths!$H$252,0),"n.a."))</f>
        <v>0</v>
      </c>
      <c r="K2707" s="16">
        <f>IF(NOT(Paths!$C$252=1),0,IF(Paths!$P$252="Complete",IF(IF(Paths!$O$252=0,C2707=0,AND(C2707&gt;0,Paths!$O$252&gt;(C2707-1)*12,Paths!$O$252&lt;=C2707*12)),Paths!$N$252,0),"n.a."))</f>
        <v>0</v>
      </c>
      <c r="L2707" s="16">
        <f>IF(NOT(Paths!$C$252=1),0,IF(Paths!$P$252="Complete",IF(C2707=10,Paths!$I$252,0),"n.a."))</f>
        <v>0</v>
      </c>
      <c r="M2707" s="16">
        <f>IF(NOT(Paths!$C$252=1),0,IF(Paths!$P$252="Complete",IF(AND(Paths!$D$252="EV",Paths!$E$252&lt;120,Paths!$E$252+'Operating costs'!$B$65&gt;Paths!$E$252,Paths!$E$252+'Operating costs'!$B$65&lt;=120,IF(Paths!$E$252+'Operating costs'!$B$65=0,C2707=0,AND(C2707&gt;0,Paths!$E$252+'Operating costs'!$B$65&gt;(C2707-1)*12,Paths!$E$252+'Operating costs'!$B$65&lt;=C2707*12))),'Operating costs'!$B$64,0)+IF(AND('Operating costs'!$B$67&gt;0,'Operating costs'!$B$67&lt;=120,OR(Paths!$D$252="ICE",'Operating costs'!$B$67&lt;=Paths!$E$252),IF('Operating costs'!$B$67=0,C2707=0,AND(C2707&gt;0,'Operating costs'!$B$67&gt;(C2707-1)*12,'Operating costs'!$B$67&lt;=C2707*12))),'Operating costs'!$B$66,0),"n.a."))</f>
        <v>0</v>
      </c>
      <c r="N2707" s="16">
        <f>IF(NOT(Paths!$C$252=1),0,IF(Paths!$P$252="Complete",SUM(G2707:I2707)-J2707-K2707-L2707+M2707+IF(C2707=0,Paths!$F$252,0)+IF(IF(Paths!$E$252=0,C2707=0,AND(C2707&gt;0,Paths!$E$252&gt;(C2707-1)*12,Paths!$E$252&lt;=C2707*12)),VLOOKUP(A2707,'Fleet register'!$A$7:$S$106,16,FALSE),0),"n.a."))</f>
        <v>0</v>
      </c>
      <c r="O2707" s="16">
        <f>IF(NOT(Paths!$C$252=1),0,IF(Paths!$P$252="Complete",N2707-IF(C2707=0,Paths!$F$252,0),"n.a."))</f>
        <v>0</v>
      </c>
      <c r="P2707" s="16">
        <f>IF(NOT(Paths!$C$252=1),0,IF(Paths!$P$252="Complete",O2707+L2707,"n.a."))</f>
        <v>0</v>
      </c>
      <c r="Q2707" s="16">
        <f>IF(NOT(Paths!$C$252=1),0,IF(Paths!$P$252="Complete",N2707*(1+'Operating costs'!$B$54)^-C2707,"n.a."))</f>
        <v>0</v>
      </c>
      <c r="R2707" s="16">
        <f>IF(NOT(Paths!$C$252=1),0,IF(Paths!$P$252="Complete",IF(AND(C2707=0,Paths!$E$252=0),I2707-J2707-K2707+VLOOKUP(A2707,'Fleet register'!$A$7:$S$106,15,FALSE)+VLOOKUP(A2707,'Fleet register'!$A$7:$S$106,16,FALSE),0),"n.a."))</f>
        <v>0</v>
      </c>
      <c r="S2707" s="1">
        <f>IF(NOT(Paths!$C$252=1),0,IF(Paths!$P$252="Complete",IF(C2707=0,0,Paths!$S$252*Paths!$R$252),"n.a."))</f>
        <v>0</v>
      </c>
      <c r="T2707" s="1">
        <f>IF(NOT(Paths!$C$252=1),0,IF(Paths!$P$252="Complete",IF(C2707=0,0,VLOOKUP(A2707,'Fleet register'!$A$7:$S$106,9,FALSE)*Paths!$R$252),"n.a."))</f>
        <v>0</v>
      </c>
    </row>
    <row r="2708" spans="1:20" ht="24" customHeight="1">
      <c r="A2708" s="1" t="str">
        <f>Paths!$A$252</f>
        <v>T062</v>
      </c>
      <c r="B2708" s="1">
        <f>Paths!$B$252</f>
        <v>1</v>
      </c>
      <c r="C2708" s="1">
        <v>6</v>
      </c>
      <c r="D2708" s="1">
        <v>252</v>
      </c>
      <c r="E2708" s="1">
        <f>IF(OR(Paths!$C$252=0,C2708=0),0,MAX(0,MIN(C2708*12,Paths!$E$252)-(C2708-1)*12))</f>
        <v>0</v>
      </c>
      <c r="F2708" s="1">
        <f>IF(OR(Paths!$C$252=0,C2708=0),0,12-E2708)</f>
        <v>0</v>
      </c>
      <c r="G2708" s="16">
        <f>IF(NOT(Paths!$C$252=1),0,IF(Paths!$P$252="Complete",E2708/12*(Paths!$J$252*(1+'Operating costs'!$B$51)^MAX(0,C2708-1)+Paths!$K$252*(1+'Operating costs'!$B$53)^MAX(0,C2708-1)),"n.a."))</f>
        <v>0</v>
      </c>
      <c r="H2708" s="16">
        <f>IF(NOT(Paths!$C$252=1),0,IF(Paths!$P$252="Complete",F2708/12*(Paths!$L$252*(1+IF(Paths!$D$252="EV",'Operating costs'!$B$52,'Operating costs'!$B$51))^MAX(0,C2708-1)+Paths!$M$252*(1+'Operating costs'!$B$53)^MAX(0,C2708-1)),"n.a."))</f>
        <v>0</v>
      </c>
      <c r="I2708" s="16">
        <f>IF(NOT(Paths!$C$252=1),0,IF(Paths!$P$252="Complete",IF(IF(Paths!$E$252=0,C2708=0,AND(C2708&gt;0,Paths!$E$252&gt;(C2708-1)*12,Paths!$E$252&lt;=C2708*12)),Paths!$G$252,0),"n.a."))</f>
        <v>0</v>
      </c>
      <c r="J2708" s="16">
        <f>IF(NOT(Paths!$C$252=1),0,IF(Paths!$P$252="Complete",IF(IF(Paths!$E$252=0,C2708=0,AND(C2708&gt;0,Paths!$E$252&gt;(C2708-1)*12,Paths!$E$252&lt;=C2708*12)),Paths!$H$252,0),"n.a."))</f>
        <v>0</v>
      </c>
      <c r="K2708" s="16">
        <f>IF(NOT(Paths!$C$252=1),0,IF(Paths!$P$252="Complete",IF(IF(Paths!$O$252=0,C2708=0,AND(C2708&gt;0,Paths!$O$252&gt;(C2708-1)*12,Paths!$O$252&lt;=C2708*12)),Paths!$N$252,0),"n.a."))</f>
        <v>0</v>
      </c>
      <c r="L2708" s="16">
        <f>IF(NOT(Paths!$C$252=1),0,IF(Paths!$P$252="Complete",IF(C2708=10,Paths!$I$252,0),"n.a."))</f>
        <v>0</v>
      </c>
      <c r="M2708" s="16">
        <f>IF(NOT(Paths!$C$252=1),0,IF(Paths!$P$252="Complete",IF(AND(Paths!$D$252="EV",Paths!$E$252&lt;120,Paths!$E$252+'Operating costs'!$B$65&gt;Paths!$E$252,Paths!$E$252+'Operating costs'!$B$65&lt;=120,IF(Paths!$E$252+'Operating costs'!$B$65=0,C2708=0,AND(C2708&gt;0,Paths!$E$252+'Operating costs'!$B$65&gt;(C2708-1)*12,Paths!$E$252+'Operating costs'!$B$65&lt;=C2708*12))),'Operating costs'!$B$64,0)+IF(AND('Operating costs'!$B$67&gt;0,'Operating costs'!$B$67&lt;=120,OR(Paths!$D$252="ICE",'Operating costs'!$B$67&lt;=Paths!$E$252),IF('Operating costs'!$B$67=0,C2708=0,AND(C2708&gt;0,'Operating costs'!$B$67&gt;(C2708-1)*12,'Operating costs'!$B$67&lt;=C2708*12))),'Operating costs'!$B$66,0),"n.a."))</f>
        <v>0</v>
      </c>
      <c r="N2708" s="16">
        <f>IF(NOT(Paths!$C$252=1),0,IF(Paths!$P$252="Complete",SUM(G2708:I2708)-J2708-K2708-L2708+M2708+IF(C2708=0,Paths!$F$252,0)+IF(IF(Paths!$E$252=0,C2708=0,AND(C2708&gt;0,Paths!$E$252&gt;(C2708-1)*12,Paths!$E$252&lt;=C2708*12)),VLOOKUP(A2708,'Fleet register'!$A$7:$S$106,16,FALSE),0),"n.a."))</f>
        <v>0</v>
      </c>
      <c r="O2708" s="16">
        <f>IF(NOT(Paths!$C$252=1),0,IF(Paths!$P$252="Complete",N2708-IF(C2708=0,Paths!$F$252,0),"n.a."))</f>
        <v>0</v>
      </c>
      <c r="P2708" s="16">
        <f>IF(NOT(Paths!$C$252=1),0,IF(Paths!$P$252="Complete",O2708+L2708,"n.a."))</f>
        <v>0</v>
      </c>
      <c r="Q2708" s="16">
        <f>IF(NOT(Paths!$C$252=1),0,IF(Paths!$P$252="Complete",N2708*(1+'Operating costs'!$B$54)^-C2708,"n.a."))</f>
        <v>0</v>
      </c>
      <c r="R2708" s="16">
        <f>IF(NOT(Paths!$C$252=1),0,IF(Paths!$P$252="Complete",IF(AND(C2708=0,Paths!$E$252=0),I2708-J2708-K2708+VLOOKUP(A2708,'Fleet register'!$A$7:$S$106,15,FALSE)+VLOOKUP(A2708,'Fleet register'!$A$7:$S$106,16,FALSE),0),"n.a."))</f>
        <v>0</v>
      </c>
      <c r="S2708" s="1">
        <f>IF(NOT(Paths!$C$252=1),0,IF(Paths!$P$252="Complete",IF(C2708=0,0,Paths!$S$252*Paths!$R$252),"n.a."))</f>
        <v>0</v>
      </c>
      <c r="T2708" s="1">
        <f>IF(NOT(Paths!$C$252=1),0,IF(Paths!$P$252="Complete",IF(C2708=0,0,VLOOKUP(A2708,'Fleet register'!$A$7:$S$106,9,FALSE)*Paths!$R$252),"n.a."))</f>
        <v>0</v>
      </c>
    </row>
    <row r="2709" spans="1:20" ht="24" customHeight="1">
      <c r="A2709" s="1" t="str">
        <f>Paths!$A$252</f>
        <v>T062</v>
      </c>
      <c r="B2709" s="1">
        <f>Paths!$B$252</f>
        <v>1</v>
      </c>
      <c r="C2709" s="1">
        <v>7</v>
      </c>
      <c r="D2709" s="1">
        <v>252</v>
      </c>
      <c r="E2709" s="1">
        <f>IF(OR(Paths!$C$252=0,C2709=0),0,MAX(0,MIN(C2709*12,Paths!$E$252)-(C2709-1)*12))</f>
        <v>0</v>
      </c>
      <c r="F2709" s="1">
        <f>IF(OR(Paths!$C$252=0,C2709=0),0,12-E2709)</f>
        <v>0</v>
      </c>
      <c r="G2709" s="16">
        <f>IF(NOT(Paths!$C$252=1),0,IF(Paths!$P$252="Complete",E2709/12*(Paths!$J$252*(1+'Operating costs'!$B$51)^MAX(0,C2709-1)+Paths!$K$252*(1+'Operating costs'!$B$53)^MAX(0,C2709-1)),"n.a."))</f>
        <v>0</v>
      </c>
      <c r="H2709" s="16">
        <f>IF(NOT(Paths!$C$252=1),0,IF(Paths!$P$252="Complete",F2709/12*(Paths!$L$252*(1+IF(Paths!$D$252="EV",'Operating costs'!$B$52,'Operating costs'!$B$51))^MAX(0,C2709-1)+Paths!$M$252*(1+'Operating costs'!$B$53)^MAX(0,C2709-1)),"n.a."))</f>
        <v>0</v>
      </c>
      <c r="I2709" s="16">
        <f>IF(NOT(Paths!$C$252=1),0,IF(Paths!$P$252="Complete",IF(IF(Paths!$E$252=0,C2709=0,AND(C2709&gt;0,Paths!$E$252&gt;(C2709-1)*12,Paths!$E$252&lt;=C2709*12)),Paths!$G$252,0),"n.a."))</f>
        <v>0</v>
      </c>
      <c r="J2709" s="16">
        <f>IF(NOT(Paths!$C$252=1),0,IF(Paths!$P$252="Complete",IF(IF(Paths!$E$252=0,C2709=0,AND(C2709&gt;0,Paths!$E$252&gt;(C2709-1)*12,Paths!$E$252&lt;=C2709*12)),Paths!$H$252,0),"n.a."))</f>
        <v>0</v>
      </c>
      <c r="K2709" s="16">
        <f>IF(NOT(Paths!$C$252=1),0,IF(Paths!$P$252="Complete",IF(IF(Paths!$O$252=0,C2709=0,AND(C2709&gt;0,Paths!$O$252&gt;(C2709-1)*12,Paths!$O$252&lt;=C2709*12)),Paths!$N$252,0),"n.a."))</f>
        <v>0</v>
      </c>
      <c r="L2709" s="16">
        <f>IF(NOT(Paths!$C$252=1),0,IF(Paths!$P$252="Complete",IF(C2709=10,Paths!$I$252,0),"n.a."))</f>
        <v>0</v>
      </c>
      <c r="M2709" s="16">
        <f>IF(NOT(Paths!$C$252=1),0,IF(Paths!$P$252="Complete",IF(AND(Paths!$D$252="EV",Paths!$E$252&lt;120,Paths!$E$252+'Operating costs'!$B$65&gt;Paths!$E$252,Paths!$E$252+'Operating costs'!$B$65&lt;=120,IF(Paths!$E$252+'Operating costs'!$B$65=0,C2709=0,AND(C2709&gt;0,Paths!$E$252+'Operating costs'!$B$65&gt;(C2709-1)*12,Paths!$E$252+'Operating costs'!$B$65&lt;=C2709*12))),'Operating costs'!$B$64,0)+IF(AND('Operating costs'!$B$67&gt;0,'Operating costs'!$B$67&lt;=120,OR(Paths!$D$252="ICE",'Operating costs'!$B$67&lt;=Paths!$E$252),IF('Operating costs'!$B$67=0,C2709=0,AND(C2709&gt;0,'Operating costs'!$B$67&gt;(C2709-1)*12,'Operating costs'!$B$67&lt;=C2709*12))),'Operating costs'!$B$66,0),"n.a."))</f>
        <v>0</v>
      </c>
      <c r="N2709" s="16">
        <f>IF(NOT(Paths!$C$252=1),0,IF(Paths!$P$252="Complete",SUM(G2709:I2709)-J2709-K2709-L2709+M2709+IF(C2709=0,Paths!$F$252,0)+IF(IF(Paths!$E$252=0,C2709=0,AND(C2709&gt;0,Paths!$E$252&gt;(C2709-1)*12,Paths!$E$252&lt;=C2709*12)),VLOOKUP(A2709,'Fleet register'!$A$7:$S$106,16,FALSE),0),"n.a."))</f>
        <v>0</v>
      </c>
      <c r="O2709" s="16">
        <f>IF(NOT(Paths!$C$252=1),0,IF(Paths!$P$252="Complete",N2709-IF(C2709=0,Paths!$F$252,0),"n.a."))</f>
        <v>0</v>
      </c>
      <c r="P2709" s="16">
        <f>IF(NOT(Paths!$C$252=1),0,IF(Paths!$P$252="Complete",O2709+L2709,"n.a."))</f>
        <v>0</v>
      </c>
      <c r="Q2709" s="16">
        <f>IF(NOT(Paths!$C$252=1),0,IF(Paths!$P$252="Complete",N2709*(1+'Operating costs'!$B$54)^-C2709,"n.a."))</f>
        <v>0</v>
      </c>
      <c r="R2709" s="16">
        <f>IF(NOT(Paths!$C$252=1),0,IF(Paths!$P$252="Complete",IF(AND(C2709=0,Paths!$E$252=0),I2709-J2709-K2709+VLOOKUP(A2709,'Fleet register'!$A$7:$S$106,15,FALSE)+VLOOKUP(A2709,'Fleet register'!$A$7:$S$106,16,FALSE),0),"n.a."))</f>
        <v>0</v>
      </c>
      <c r="S2709" s="1">
        <f>IF(NOT(Paths!$C$252=1),0,IF(Paths!$P$252="Complete",IF(C2709=0,0,Paths!$S$252*Paths!$R$252),"n.a."))</f>
        <v>0</v>
      </c>
      <c r="T2709" s="1">
        <f>IF(NOT(Paths!$C$252=1),0,IF(Paths!$P$252="Complete",IF(C2709=0,0,VLOOKUP(A2709,'Fleet register'!$A$7:$S$106,9,FALSE)*Paths!$R$252),"n.a."))</f>
        <v>0</v>
      </c>
    </row>
    <row r="2710" spans="1:20" ht="24" customHeight="1">
      <c r="A2710" s="1" t="str">
        <f>Paths!$A$252</f>
        <v>T062</v>
      </c>
      <c r="B2710" s="1">
        <f>Paths!$B$252</f>
        <v>1</v>
      </c>
      <c r="C2710" s="1">
        <v>8</v>
      </c>
      <c r="D2710" s="1">
        <v>252</v>
      </c>
      <c r="E2710" s="1">
        <f>IF(OR(Paths!$C$252=0,C2710=0),0,MAX(0,MIN(C2710*12,Paths!$E$252)-(C2710-1)*12))</f>
        <v>0</v>
      </c>
      <c r="F2710" s="1">
        <f>IF(OR(Paths!$C$252=0,C2710=0),0,12-E2710)</f>
        <v>0</v>
      </c>
      <c r="G2710" s="16">
        <f>IF(NOT(Paths!$C$252=1),0,IF(Paths!$P$252="Complete",E2710/12*(Paths!$J$252*(1+'Operating costs'!$B$51)^MAX(0,C2710-1)+Paths!$K$252*(1+'Operating costs'!$B$53)^MAX(0,C2710-1)),"n.a."))</f>
        <v>0</v>
      </c>
      <c r="H2710" s="16">
        <f>IF(NOT(Paths!$C$252=1),0,IF(Paths!$P$252="Complete",F2710/12*(Paths!$L$252*(1+IF(Paths!$D$252="EV",'Operating costs'!$B$52,'Operating costs'!$B$51))^MAX(0,C2710-1)+Paths!$M$252*(1+'Operating costs'!$B$53)^MAX(0,C2710-1)),"n.a."))</f>
        <v>0</v>
      </c>
      <c r="I2710" s="16">
        <f>IF(NOT(Paths!$C$252=1),0,IF(Paths!$P$252="Complete",IF(IF(Paths!$E$252=0,C2710=0,AND(C2710&gt;0,Paths!$E$252&gt;(C2710-1)*12,Paths!$E$252&lt;=C2710*12)),Paths!$G$252,0),"n.a."))</f>
        <v>0</v>
      </c>
      <c r="J2710" s="16">
        <f>IF(NOT(Paths!$C$252=1),0,IF(Paths!$P$252="Complete",IF(IF(Paths!$E$252=0,C2710=0,AND(C2710&gt;0,Paths!$E$252&gt;(C2710-1)*12,Paths!$E$252&lt;=C2710*12)),Paths!$H$252,0),"n.a."))</f>
        <v>0</v>
      </c>
      <c r="K2710" s="16">
        <f>IF(NOT(Paths!$C$252=1),0,IF(Paths!$P$252="Complete",IF(IF(Paths!$O$252=0,C2710=0,AND(C2710&gt;0,Paths!$O$252&gt;(C2710-1)*12,Paths!$O$252&lt;=C2710*12)),Paths!$N$252,0),"n.a."))</f>
        <v>0</v>
      </c>
      <c r="L2710" s="16">
        <f>IF(NOT(Paths!$C$252=1),0,IF(Paths!$P$252="Complete",IF(C2710=10,Paths!$I$252,0),"n.a."))</f>
        <v>0</v>
      </c>
      <c r="M2710" s="16">
        <f>IF(NOT(Paths!$C$252=1),0,IF(Paths!$P$252="Complete",IF(AND(Paths!$D$252="EV",Paths!$E$252&lt;120,Paths!$E$252+'Operating costs'!$B$65&gt;Paths!$E$252,Paths!$E$252+'Operating costs'!$B$65&lt;=120,IF(Paths!$E$252+'Operating costs'!$B$65=0,C2710=0,AND(C2710&gt;0,Paths!$E$252+'Operating costs'!$B$65&gt;(C2710-1)*12,Paths!$E$252+'Operating costs'!$B$65&lt;=C2710*12))),'Operating costs'!$B$64,0)+IF(AND('Operating costs'!$B$67&gt;0,'Operating costs'!$B$67&lt;=120,OR(Paths!$D$252="ICE",'Operating costs'!$B$67&lt;=Paths!$E$252),IF('Operating costs'!$B$67=0,C2710=0,AND(C2710&gt;0,'Operating costs'!$B$67&gt;(C2710-1)*12,'Operating costs'!$B$67&lt;=C2710*12))),'Operating costs'!$B$66,0),"n.a."))</f>
        <v>0</v>
      </c>
      <c r="N2710" s="16">
        <f>IF(NOT(Paths!$C$252=1),0,IF(Paths!$P$252="Complete",SUM(G2710:I2710)-J2710-K2710-L2710+M2710+IF(C2710=0,Paths!$F$252,0)+IF(IF(Paths!$E$252=0,C2710=0,AND(C2710&gt;0,Paths!$E$252&gt;(C2710-1)*12,Paths!$E$252&lt;=C2710*12)),VLOOKUP(A2710,'Fleet register'!$A$7:$S$106,16,FALSE),0),"n.a."))</f>
        <v>0</v>
      </c>
      <c r="O2710" s="16">
        <f>IF(NOT(Paths!$C$252=1),0,IF(Paths!$P$252="Complete",N2710-IF(C2710=0,Paths!$F$252,0),"n.a."))</f>
        <v>0</v>
      </c>
      <c r="P2710" s="16">
        <f>IF(NOT(Paths!$C$252=1),0,IF(Paths!$P$252="Complete",O2710+L2710,"n.a."))</f>
        <v>0</v>
      </c>
      <c r="Q2710" s="16">
        <f>IF(NOT(Paths!$C$252=1),0,IF(Paths!$P$252="Complete",N2710*(1+'Operating costs'!$B$54)^-C2710,"n.a."))</f>
        <v>0</v>
      </c>
      <c r="R2710" s="16">
        <f>IF(NOT(Paths!$C$252=1),0,IF(Paths!$P$252="Complete",IF(AND(C2710=0,Paths!$E$252=0),I2710-J2710-K2710+VLOOKUP(A2710,'Fleet register'!$A$7:$S$106,15,FALSE)+VLOOKUP(A2710,'Fleet register'!$A$7:$S$106,16,FALSE),0),"n.a."))</f>
        <v>0</v>
      </c>
      <c r="S2710" s="1">
        <f>IF(NOT(Paths!$C$252=1),0,IF(Paths!$P$252="Complete",IF(C2710=0,0,Paths!$S$252*Paths!$R$252),"n.a."))</f>
        <v>0</v>
      </c>
      <c r="T2710" s="1">
        <f>IF(NOT(Paths!$C$252=1),0,IF(Paths!$P$252="Complete",IF(C2710=0,0,VLOOKUP(A2710,'Fleet register'!$A$7:$S$106,9,FALSE)*Paths!$R$252),"n.a."))</f>
        <v>0</v>
      </c>
    </row>
    <row r="2711" spans="1:20" ht="24" customHeight="1">
      <c r="A2711" s="1" t="str">
        <f>Paths!$A$252</f>
        <v>T062</v>
      </c>
      <c r="B2711" s="1">
        <f>Paths!$B$252</f>
        <v>1</v>
      </c>
      <c r="C2711" s="1">
        <v>9</v>
      </c>
      <c r="D2711" s="1">
        <v>252</v>
      </c>
      <c r="E2711" s="1">
        <f>IF(OR(Paths!$C$252=0,C2711=0),0,MAX(0,MIN(C2711*12,Paths!$E$252)-(C2711-1)*12))</f>
        <v>0</v>
      </c>
      <c r="F2711" s="1">
        <f>IF(OR(Paths!$C$252=0,C2711=0),0,12-E2711)</f>
        <v>0</v>
      </c>
      <c r="G2711" s="16">
        <f>IF(NOT(Paths!$C$252=1),0,IF(Paths!$P$252="Complete",E2711/12*(Paths!$J$252*(1+'Operating costs'!$B$51)^MAX(0,C2711-1)+Paths!$K$252*(1+'Operating costs'!$B$53)^MAX(0,C2711-1)),"n.a."))</f>
        <v>0</v>
      </c>
      <c r="H2711" s="16">
        <f>IF(NOT(Paths!$C$252=1),0,IF(Paths!$P$252="Complete",F2711/12*(Paths!$L$252*(1+IF(Paths!$D$252="EV",'Operating costs'!$B$52,'Operating costs'!$B$51))^MAX(0,C2711-1)+Paths!$M$252*(1+'Operating costs'!$B$53)^MAX(0,C2711-1)),"n.a."))</f>
        <v>0</v>
      </c>
      <c r="I2711" s="16">
        <f>IF(NOT(Paths!$C$252=1),0,IF(Paths!$P$252="Complete",IF(IF(Paths!$E$252=0,C2711=0,AND(C2711&gt;0,Paths!$E$252&gt;(C2711-1)*12,Paths!$E$252&lt;=C2711*12)),Paths!$G$252,0),"n.a."))</f>
        <v>0</v>
      </c>
      <c r="J2711" s="16">
        <f>IF(NOT(Paths!$C$252=1),0,IF(Paths!$P$252="Complete",IF(IF(Paths!$E$252=0,C2711=0,AND(C2711&gt;0,Paths!$E$252&gt;(C2711-1)*12,Paths!$E$252&lt;=C2711*12)),Paths!$H$252,0),"n.a."))</f>
        <v>0</v>
      </c>
      <c r="K2711" s="16">
        <f>IF(NOT(Paths!$C$252=1),0,IF(Paths!$P$252="Complete",IF(IF(Paths!$O$252=0,C2711=0,AND(C2711&gt;0,Paths!$O$252&gt;(C2711-1)*12,Paths!$O$252&lt;=C2711*12)),Paths!$N$252,0),"n.a."))</f>
        <v>0</v>
      </c>
      <c r="L2711" s="16">
        <f>IF(NOT(Paths!$C$252=1),0,IF(Paths!$P$252="Complete",IF(C2711=10,Paths!$I$252,0),"n.a."))</f>
        <v>0</v>
      </c>
      <c r="M2711" s="16">
        <f>IF(NOT(Paths!$C$252=1),0,IF(Paths!$P$252="Complete",IF(AND(Paths!$D$252="EV",Paths!$E$252&lt;120,Paths!$E$252+'Operating costs'!$B$65&gt;Paths!$E$252,Paths!$E$252+'Operating costs'!$B$65&lt;=120,IF(Paths!$E$252+'Operating costs'!$B$65=0,C2711=0,AND(C2711&gt;0,Paths!$E$252+'Operating costs'!$B$65&gt;(C2711-1)*12,Paths!$E$252+'Operating costs'!$B$65&lt;=C2711*12))),'Operating costs'!$B$64,0)+IF(AND('Operating costs'!$B$67&gt;0,'Operating costs'!$B$67&lt;=120,OR(Paths!$D$252="ICE",'Operating costs'!$B$67&lt;=Paths!$E$252),IF('Operating costs'!$B$67=0,C2711=0,AND(C2711&gt;0,'Operating costs'!$B$67&gt;(C2711-1)*12,'Operating costs'!$B$67&lt;=C2711*12))),'Operating costs'!$B$66,0),"n.a."))</f>
        <v>0</v>
      </c>
      <c r="N2711" s="16">
        <f>IF(NOT(Paths!$C$252=1),0,IF(Paths!$P$252="Complete",SUM(G2711:I2711)-J2711-K2711-L2711+M2711+IF(C2711=0,Paths!$F$252,0)+IF(IF(Paths!$E$252=0,C2711=0,AND(C2711&gt;0,Paths!$E$252&gt;(C2711-1)*12,Paths!$E$252&lt;=C2711*12)),VLOOKUP(A2711,'Fleet register'!$A$7:$S$106,16,FALSE),0),"n.a."))</f>
        <v>0</v>
      </c>
      <c r="O2711" s="16">
        <f>IF(NOT(Paths!$C$252=1),0,IF(Paths!$P$252="Complete",N2711-IF(C2711=0,Paths!$F$252,0),"n.a."))</f>
        <v>0</v>
      </c>
      <c r="P2711" s="16">
        <f>IF(NOT(Paths!$C$252=1),0,IF(Paths!$P$252="Complete",O2711+L2711,"n.a."))</f>
        <v>0</v>
      </c>
      <c r="Q2711" s="16">
        <f>IF(NOT(Paths!$C$252=1),0,IF(Paths!$P$252="Complete",N2711*(1+'Operating costs'!$B$54)^-C2711,"n.a."))</f>
        <v>0</v>
      </c>
      <c r="R2711" s="16">
        <f>IF(NOT(Paths!$C$252=1),0,IF(Paths!$P$252="Complete",IF(AND(C2711=0,Paths!$E$252=0),I2711-J2711-K2711+VLOOKUP(A2711,'Fleet register'!$A$7:$S$106,15,FALSE)+VLOOKUP(A2711,'Fleet register'!$A$7:$S$106,16,FALSE),0),"n.a."))</f>
        <v>0</v>
      </c>
      <c r="S2711" s="1">
        <f>IF(NOT(Paths!$C$252=1),0,IF(Paths!$P$252="Complete",IF(C2711=0,0,Paths!$S$252*Paths!$R$252),"n.a."))</f>
        <v>0</v>
      </c>
      <c r="T2711" s="1">
        <f>IF(NOT(Paths!$C$252=1),0,IF(Paths!$P$252="Complete",IF(C2711=0,0,VLOOKUP(A2711,'Fleet register'!$A$7:$S$106,9,FALSE)*Paths!$R$252),"n.a."))</f>
        <v>0</v>
      </c>
    </row>
    <row r="2712" spans="1:20" ht="24" customHeight="1">
      <c r="A2712" s="1" t="str">
        <f>Paths!$A$252</f>
        <v>T062</v>
      </c>
      <c r="B2712" s="1">
        <f>Paths!$B$252</f>
        <v>1</v>
      </c>
      <c r="C2712" s="1">
        <v>10</v>
      </c>
      <c r="D2712" s="1">
        <v>252</v>
      </c>
      <c r="E2712" s="1">
        <f>IF(OR(Paths!$C$252=0,C2712=0),0,MAX(0,MIN(C2712*12,Paths!$E$252)-(C2712-1)*12))</f>
        <v>0</v>
      </c>
      <c r="F2712" s="1">
        <f>IF(OR(Paths!$C$252=0,C2712=0),0,12-E2712)</f>
        <v>0</v>
      </c>
      <c r="G2712" s="16">
        <f>IF(NOT(Paths!$C$252=1),0,IF(Paths!$P$252="Complete",E2712/12*(Paths!$J$252*(1+'Operating costs'!$B$51)^MAX(0,C2712-1)+Paths!$K$252*(1+'Operating costs'!$B$53)^MAX(0,C2712-1)),"n.a."))</f>
        <v>0</v>
      </c>
      <c r="H2712" s="16">
        <f>IF(NOT(Paths!$C$252=1),0,IF(Paths!$P$252="Complete",F2712/12*(Paths!$L$252*(1+IF(Paths!$D$252="EV",'Operating costs'!$B$52,'Operating costs'!$B$51))^MAX(0,C2712-1)+Paths!$M$252*(1+'Operating costs'!$B$53)^MAX(0,C2712-1)),"n.a."))</f>
        <v>0</v>
      </c>
      <c r="I2712" s="16">
        <f>IF(NOT(Paths!$C$252=1),0,IF(Paths!$P$252="Complete",IF(IF(Paths!$E$252=0,C2712=0,AND(C2712&gt;0,Paths!$E$252&gt;(C2712-1)*12,Paths!$E$252&lt;=C2712*12)),Paths!$G$252,0),"n.a."))</f>
        <v>0</v>
      </c>
      <c r="J2712" s="16">
        <f>IF(NOT(Paths!$C$252=1),0,IF(Paths!$P$252="Complete",IF(IF(Paths!$E$252=0,C2712=0,AND(C2712&gt;0,Paths!$E$252&gt;(C2712-1)*12,Paths!$E$252&lt;=C2712*12)),Paths!$H$252,0),"n.a."))</f>
        <v>0</v>
      </c>
      <c r="K2712" s="16">
        <f>IF(NOT(Paths!$C$252=1),0,IF(Paths!$P$252="Complete",IF(IF(Paths!$O$252=0,C2712=0,AND(C2712&gt;0,Paths!$O$252&gt;(C2712-1)*12,Paths!$O$252&lt;=C2712*12)),Paths!$N$252,0),"n.a."))</f>
        <v>0</v>
      </c>
      <c r="L2712" s="16">
        <f>IF(NOT(Paths!$C$252=1),0,IF(Paths!$P$252="Complete",IF(C2712=10,Paths!$I$252,0),"n.a."))</f>
        <v>0</v>
      </c>
      <c r="M2712" s="16">
        <f>IF(NOT(Paths!$C$252=1),0,IF(Paths!$P$252="Complete",IF(AND(Paths!$D$252="EV",Paths!$E$252&lt;120,Paths!$E$252+'Operating costs'!$B$65&gt;Paths!$E$252,Paths!$E$252+'Operating costs'!$B$65&lt;=120,IF(Paths!$E$252+'Operating costs'!$B$65=0,C2712=0,AND(C2712&gt;0,Paths!$E$252+'Operating costs'!$B$65&gt;(C2712-1)*12,Paths!$E$252+'Operating costs'!$B$65&lt;=C2712*12))),'Operating costs'!$B$64,0)+IF(AND('Operating costs'!$B$67&gt;0,'Operating costs'!$B$67&lt;=120,OR(Paths!$D$252="ICE",'Operating costs'!$B$67&lt;=Paths!$E$252),IF('Operating costs'!$B$67=0,C2712=0,AND(C2712&gt;0,'Operating costs'!$B$67&gt;(C2712-1)*12,'Operating costs'!$B$67&lt;=C2712*12))),'Operating costs'!$B$66,0),"n.a."))</f>
        <v>0</v>
      </c>
      <c r="N2712" s="16">
        <f>IF(NOT(Paths!$C$252=1),0,IF(Paths!$P$252="Complete",SUM(G2712:I2712)-J2712-K2712-L2712+M2712+IF(C2712=0,Paths!$F$252,0)+IF(IF(Paths!$E$252=0,C2712=0,AND(C2712&gt;0,Paths!$E$252&gt;(C2712-1)*12,Paths!$E$252&lt;=C2712*12)),VLOOKUP(A2712,'Fleet register'!$A$7:$S$106,16,FALSE),0),"n.a."))</f>
        <v>0</v>
      </c>
      <c r="O2712" s="16">
        <f>IF(NOT(Paths!$C$252=1),0,IF(Paths!$P$252="Complete",N2712-IF(C2712=0,Paths!$F$252,0),"n.a."))</f>
        <v>0</v>
      </c>
      <c r="P2712" s="16">
        <f>IF(NOT(Paths!$C$252=1),0,IF(Paths!$P$252="Complete",O2712+L2712,"n.a."))</f>
        <v>0</v>
      </c>
      <c r="Q2712" s="16">
        <f>IF(NOT(Paths!$C$252=1),0,IF(Paths!$P$252="Complete",N2712*(1+'Operating costs'!$B$54)^-C2712,"n.a."))</f>
        <v>0</v>
      </c>
      <c r="R2712" s="16">
        <f>IF(NOT(Paths!$C$252=1),0,IF(Paths!$P$252="Complete",IF(AND(C2712=0,Paths!$E$252=0),I2712-J2712-K2712+VLOOKUP(A2712,'Fleet register'!$A$7:$S$106,15,FALSE)+VLOOKUP(A2712,'Fleet register'!$A$7:$S$106,16,FALSE),0),"n.a."))</f>
        <v>0</v>
      </c>
      <c r="S2712" s="1">
        <f>IF(NOT(Paths!$C$252=1),0,IF(Paths!$P$252="Complete",IF(C2712=0,0,Paths!$S$252*Paths!$R$252),"n.a."))</f>
        <v>0</v>
      </c>
      <c r="T2712" s="1">
        <f>IF(NOT(Paths!$C$252=1),0,IF(Paths!$P$252="Complete",IF(C2712=0,0,VLOOKUP(A2712,'Fleet register'!$A$7:$S$106,9,FALSE)*Paths!$R$252),"n.a."))</f>
        <v>0</v>
      </c>
    </row>
    <row r="2713" spans="1:20" ht="24" customHeight="1">
      <c r="A2713" s="1" t="str">
        <f>Paths!$A$253</f>
        <v>T062</v>
      </c>
      <c r="B2713" s="1">
        <f>Paths!$B$253</f>
        <v>2</v>
      </c>
      <c r="C2713" s="1">
        <v>0</v>
      </c>
      <c r="D2713" s="1">
        <v>253</v>
      </c>
      <c r="E2713" s="1">
        <f>IF(OR(Paths!$C$253=0,C2713=0),0,MAX(0,MIN(C2713*12,Paths!$E$253)-(C2713-1)*12))</f>
        <v>0</v>
      </c>
      <c r="F2713" s="1">
        <f>IF(OR(Paths!$C$253=0,C2713=0),0,12-E2713)</f>
        <v>0</v>
      </c>
      <c r="G2713" s="16">
        <f>IF(NOT(Paths!$C$253=1),0,IF(Paths!$P$253="Complete",E2713/12*(Paths!$J$253*(1+'Operating costs'!$B$51)^MAX(0,C2713-1)+Paths!$K$253*(1+'Operating costs'!$B$53)^MAX(0,C2713-1)),"n.a."))</f>
        <v>0</v>
      </c>
      <c r="H2713" s="16">
        <f>IF(NOT(Paths!$C$253=1),0,IF(Paths!$P$253="Complete",F2713/12*(Paths!$L$253*(1+IF(Paths!$D$253="EV",'Operating costs'!$B$52,'Operating costs'!$B$51))^MAX(0,C2713-1)+Paths!$M$253*(1+'Operating costs'!$B$53)^MAX(0,C2713-1)),"n.a."))</f>
        <v>0</v>
      </c>
      <c r="I2713" s="16">
        <f>IF(NOT(Paths!$C$253=1),0,IF(Paths!$P$253="Complete",IF(IF(Paths!$E$253=0,C2713=0,AND(C2713&gt;0,Paths!$E$253&gt;(C2713-1)*12,Paths!$E$253&lt;=C2713*12)),Paths!$G$253,0),"n.a."))</f>
        <v>0</v>
      </c>
      <c r="J2713" s="16">
        <f>IF(NOT(Paths!$C$253=1),0,IF(Paths!$P$253="Complete",IF(IF(Paths!$E$253=0,C2713=0,AND(C2713&gt;0,Paths!$E$253&gt;(C2713-1)*12,Paths!$E$253&lt;=C2713*12)),Paths!$H$253,0),"n.a."))</f>
        <v>0</v>
      </c>
      <c r="K2713" s="16">
        <f>IF(NOT(Paths!$C$253=1),0,IF(Paths!$P$253="Complete",IF(IF(Paths!$O$253=0,C2713=0,AND(C2713&gt;0,Paths!$O$253&gt;(C2713-1)*12,Paths!$O$253&lt;=C2713*12)),Paths!$N$253,0),"n.a."))</f>
        <v>0</v>
      </c>
      <c r="L2713" s="16">
        <f>IF(NOT(Paths!$C$253=1),0,IF(Paths!$P$253="Complete",IF(C2713=10,Paths!$I$253,0),"n.a."))</f>
        <v>0</v>
      </c>
      <c r="M2713" s="16">
        <f>IF(NOT(Paths!$C$253=1),0,IF(Paths!$P$253="Complete",IF(AND(Paths!$D$253="EV",Paths!$E$253&lt;120,Paths!$E$253+'Operating costs'!$B$65&gt;Paths!$E$253,Paths!$E$253+'Operating costs'!$B$65&lt;=120,IF(Paths!$E$253+'Operating costs'!$B$65=0,C2713=0,AND(C2713&gt;0,Paths!$E$253+'Operating costs'!$B$65&gt;(C2713-1)*12,Paths!$E$253+'Operating costs'!$B$65&lt;=C2713*12))),'Operating costs'!$B$64,0)+IF(AND('Operating costs'!$B$67&gt;0,'Operating costs'!$B$67&lt;=120,OR(Paths!$D$253="ICE",'Operating costs'!$B$67&lt;=Paths!$E$253),IF('Operating costs'!$B$67=0,C2713=0,AND(C2713&gt;0,'Operating costs'!$B$67&gt;(C2713-1)*12,'Operating costs'!$B$67&lt;=C2713*12))),'Operating costs'!$B$66,0),"n.a."))</f>
        <v>0</v>
      </c>
      <c r="N2713" s="16">
        <f>IF(NOT(Paths!$C$253=1),0,IF(Paths!$P$253="Complete",SUM(G2713:I2713)-J2713-K2713-L2713+M2713+IF(C2713=0,Paths!$F$253,0)+IF(IF(Paths!$E$253=0,C2713=0,AND(C2713&gt;0,Paths!$E$253&gt;(C2713-1)*12,Paths!$E$253&lt;=C2713*12)),VLOOKUP(A2713,'Fleet register'!$A$7:$S$106,16,FALSE),0),"n.a."))</f>
        <v>0</v>
      </c>
      <c r="O2713" s="16">
        <f>IF(NOT(Paths!$C$253=1),0,IF(Paths!$P$253="Complete",N2713-IF(C2713=0,Paths!$F$253,0),"n.a."))</f>
        <v>0</v>
      </c>
      <c r="P2713" s="16">
        <f>IF(NOT(Paths!$C$253=1),0,IF(Paths!$P$253="Complete",O2713+L2713,"n.a."))</f>
        <v>0</v>
      </c>
      <c r="Q2713" s="16">
        <f>IF(NOT(Paths!$C$253=1),0,IF(Paths!$P$253="Complete",N2713*(1+'Operating costs'!$B$54)^-C2713,"n.a."))</f>
        <v>0</v>
      </c>
      <c r="R2713" s="16">
        <f>IF(NOT(Paths!$C$253=1),0,IF(Paths!$P$253="Complete",IF(AND(C2713=0,Paths!$E$253=0),I2713-J2713-K2713+VLOOKUP(A2713,'Fleet register'!$A$7:$S$106,15,FALSE)+VLOOKUP(A2713,'Fleet register'!$A$7:$S$106,16,FALSE),0),"n.a."))</f>
        <v>0</v>
      </c>
      <c r="S2713" s="1">
        <f>IF(NOT(Paths!$C$253=1),0,IF(Paths!$P$253="Complete",IF(C2713=0,0,Paths!$S$253*Paths!$R$253),"n.a."))</f>
        <v>0</v>
      </c>
      <c r="T2713" s="1">
        <f>IF(NOT(Paths!$C$253=1),0,IF(Paths!$P$253="Complete",IF(C2713=0,0,VLOOKUP(A2713,'Fleet register'!$A$7:$S$106,9,FALSE)*Paths!$R$253),"n.a."))</f>
        <v>0</v>
      </c>
    </row>
    <row r="2714" spans="1:20" ht="24" customHeight="1">
      <c r="A2714" s="1" t="str">
        <f>Paths!$A$253</f>
        <v>T062</v>
      </c>
      <c r="B2714" s="1">
        <f>Paths!$B$253</f>
        <v>2</v>
      </c>
      <c r="C2714" s="1">
        <v>1</v>
      </c>
      <c r="D2714" s="1">
        <v>253</v>
      </c>
      <c r="E2714" s="1">
        <f>IF(OR(Paths!$C$253=0,C2714=0),0,MAX(0,MIN(C2714*12,Paths!$E$253)-(C2714-1)*12))</f>
        <v>0</v>
      </c>
      <c r="F2714" s="1">
        <f>IF(OR(Paths!$C$253=0,C2714=0),0,12-E2714)</f>
        <v>0</v>
      </c>
      <c r="G2714" s="16">
        <f>IF(NOT(Paths!$C$253=1),0,IF(Paths!$P$253="Complete",E2714/12*(Paths!$J$253*(1+'Operating costs'!$B$51)^MAX(0,C2714-1)+Paths!$K$253*(1+'Operating costs'!$B$53)^MAX(0,C2714-1)),"n.a."))</f>
        <v>0</v>
      </c>
      <c r="H2714" s="16">
        <f>IF(NOT(Paths!$C$253=1),0,IF(Paths!$P$253="Complete",F2714/12*(Paths!$L$253*(1+IF(Paths!$D$253="EV",'Operating costs'!$B$52,'Operating costs'!$B$51))^MAX(0,C2714-1)+Paths!$M$253*(1+'Operating costs'!$B$53)^MAX(0,C2714-1)),"n.a."))</f>
        <v>0</v>
      </c>
      <c r="I2714" s="16">
        <f>IF(NOT(Paths!$C$253=1),0,IF(Paths!$P$253="Complete",IF(IF(Paths!$E$253=0,C2714=0,AND(C2714&gt;0,Paths!$E$253&gt;(C2714-1)*12,Paths!$E$253&lt;=C2714*12)),Paths!$G$253,0),"n.a."))</f>
        <v>0</v>
      </c>
      <c r="J2714" s="16">
        <f>IF(NOT(Paths!$C$253=1),0,IF(Paths!$P$253="Complete",IF(IF(Paths!$E$253=0,C2714=0,AND(C2714&gt;0,Paths!$E$253&gt;(C2714-1)*12,Paths!$E$253&lt;=C2714*12)),Paths!$H$253,0),"n.a."))</f>
        <v>0</v>
      </c>
      <c r="K2714" s="16">
        <f>IF(NOT(Paths!$C$253=1),0,IF(Paths!$P$253="Complete",IF(IF(Paths!$O$253=0,C2714=0,AND(C2714&gt;0,Paths!$O$253&gt;(C2714-1)*12,Paths!$O$253&lt;=C2714*12)),Paths!$N$253,0),"n.a."))</f>
        <v>0</v>
      </c>
      <c r="L2714" s="16">
        <f>IF(NOT(Paths!$C$253=1),0,IF(Paths!$P$253="Complete",IF(C2714=10,Paths!$I$253,0),"n.a."))</f>
        <v>0</v>
      </c>
      <c r="M2714" s="16">
        <f>IF(NOT(Paths!$C$253=1),0,IF(Paths!$P$253="Complete",IF(AND(Paths!$D$253="EV",Paths!$E$253&lt;120,Paths!$E$253+'Operating costs'!$B$65&gt;Paths!$E$253,Paths!$E$253+'Operating costs'!$B$65&lt;=120,IF(Paths!$E$253+'Operating costs'!$B$65=0,C2714=0,AND(C2714&gt;0,Paths!$E$253+'Operating costs'!$B$65&gt;(C2714-1)*12,Paths!$E$253+'Operating costs'!$B$65&lt;=C2714*12))),'Operating costs'!$B$64,0)+IF(AND('Operating costs'!$B$67&gt;0,'Operating costs'!$B$67&lt;=120,OR(Paths!$D$253="ICE",'Operating costs'!$B$67&lt;=Paths!$E$253),IF('Operating costs'!$B$67=0,C2714=0,AND(C2714&gt;0,'Operating costs'!$B$67&gt;(C2714-1)*12,'Operating costs'!$B$67&lt;=C2714*12))),'Operating costs'!$B$66,0),"n.a."))</f>
        <v>0</v>
      </c>
      <c r="N2714" s="16">
        <f>IF(NOT(Paths!$C$253=1),0,IF(Paths!$P$253="Complete",SUM(G2714:I2714)-J2714-K2714-L2714+M2714+IF(C2714=0,Paths!$F$253,0)+IF(IF(Paths!$E$253=0,C2714=0,AND(C2714&gt;0,Paths!$E$253&gt;(C2714-1)*12,Paths!$E$253&lt;=C2714*12)),VLOOKUP(A2714,'Fleet register'!$A$7:$S$106,16,FALSE),0),"n.a."))</f>
        <v>0</v>
      </c>
      <c r="O2714" s="16">
        <f>IF(NOT(Paths!$C$253=1),0,IF(Paths!$P$253="Complete",N2714-IF(C2714=0,Paths!$F$253,0),"n.a."))</f>
        <v>0</v>
      </c>
      <c r="P2714" s="16">
        <f>IF(NOT(Paths!$C$253=1),0,IF(Paths!$P$253="Complete",O2714+L2714,"n.a."))</f>
        <v>0</v>
      </c>
      <c r="Q2714" s="16">
        <f>IF(NOT(Paths!$C$253=1),0,IF(Paths!$P$253="Complete",N2714*(1+'Operating costs'!$B$54)^-C2714,"n.a."))</f>
        <v>0</v>
      </c>
      <c r="R2714" s="16">
        <f>IF(NOT(Paths!$C$253=1),0,IF(Paths!$P$253="Complete",IF(AND(C2714=0,Paths!$E$253=0),I2714-J2714-K2714+VLOOKUP(A2714,'Fleet register'!$A$7:$S$106,15,FALSE)+VLOOKUP(A2714,'Fleet register'!$A$7:$S$106,16,FALSE),0),"n.a."))</f>
        <v>0</v>
      </c>
      <c r="S2714" s="1">
        <f>IF(NOT(Paths!$C$253=1),0,IF(Paths!$P$253="Complete",IF(C2714=0,0,Paths!$S$253*Paths!$R$253),"n.a."))</f>
        <v>0</v>
      </c>
      <c r="T2714" s="1">
        <f>IF(NOT(Paths!$C$253=1),0,IF(Paths!$P$253="Complete",IF(C2714=0,0,VLOOKUP(A2714,'Fleet register'!$A$7:$S$106,9,FALSE)*Paths!$R$253),"n.a."))</f>
        <v>0</v>
      </c>
    </row>
    <row r="2715" spans="1:20" ht="24" customHeight="1">
      <c r="A2715" s="1" t="str">
        <f>Paths!$A$253</f>
        <v>T062</v>
      </c>
      <c r="B2715" s="1">
        <f>Paths!$B$253</f>
        <v>2</v>
      </c>
      <c r="C2715" s="1">
        <v>2</v>
      </c>
      <c r="D2715" s="1">
        <v>253</v>
      </c>
      <c r="E2715" s="1">
        <f>IF(OR(Paths!$C$253=0,C2715=0),0,MAX(0,MIN(C2715*12,Paths!$E$253)-(C2715-1)*12))</f>
        <v>0</v>
      </c>
      <c r="F2715" s="1">
        <f>IF(OR(Paths!$C$253=0,C2715=0),0,12-E2715)</f>
        <v>0</v>
      </c>
      <c r="G2715" s="16">
        <f>IF(NOT(Paths!$C$253=1),0,IF(Paths!$P$253="Complete",E2715/12*(Paths!$J$253*(1+'Operating costs'!$B$51)^MAX(0,C2715-1)+Paths!$K$253*(1+'Operating costs'!$B$53)^MAX(0,C2715-1)),"n.a."))</f>
        <v>0</v>
      </c>
      <c r="H2715" s="16">
        <f>IF(NOT(Paths!$C$253=1),0,IF(Paths!$P$253="Complete",F2715/12*(Paths!$L$253*(1+IF(Paths!$D$253="EV",'Operating costs'!$B$52,'Operating costs'!$B$51))^MAX(0,C2715-1)+Paths!$M$253*(1+'Operating costs'!$B$53)^MAX(0,C2715-1)),"n.a."))</f>
        <v>0</v>
      </c>
      <c r="I2715" s="16">
        <f>IF(NOT(Paths!$C$253=1),0,IF(Paths!$P$253="Complete",IF(IF(Paths!$E$253=0,C2715=0,AND(C2715&gt;0,Paths!$E$253&gt;(C2715-1)*12,Paths!$E$253&lt;=C2715*12)),Paths!$G$253,0),"n.a."))</f>
        <v>0</v>
      </c>
      <c r="J2715" s="16">
        <f>IF(NOT(Paths!$C$253=1),0,IF(Paths!$P$253="Complete",IF(IF(Paths!$E$253=0,C2715=0,AND(C2715&gt;0,Paths!$E$253&gt;(C2715-1)*12,Paths!$E$253&lt;=C2715*12)),Paths!$H$253,0),"n.a."))</f>
        <v>0</v>
      </c>
      <c r="K2715" s="16">
        <f>IF(NOT(Paths!$C$253=1),0,IF(Paths!$P$253="Complete",IF(IF(Paths!$O$253=0,C2715=0,AND(C2715&gt;0,Paths!$O$253&gt;(C2715-1)*12,Paths!$O$253&lt;=C2715*12)),Paths!$N$253,0),"n.a."))</f>
        <v>0</v>
      </c>
      <c r="L2715" s="16">
        <f>IF(NOT(Paths!$C$253=1),0,IF(Paths!$P$253="Complete",IF(C2715=10,Paths!$I$253,0),"n.a."))</f>
        <v>0</v>
      </c>
      <c r="M2715" s="16">
        <f>IF(NOT(Paths!$C$253=1),0,IF(Paths!$P$253="Complete",IF(AND(Paths!$D$253="EV",Paths!$E$253&lt;120,Paths!$E$253+'Operating costs'!$B$65&gt;Paths!$E$253,Paths!$E$253+'Operating costs'!$B$65&lt;=120,IF(Paths!$E$253+'Operating costs'!$B$65=0,C2715=0,AND(C2715&gt;0,Paths!$E$253+'Operating costs'!$B$65&gt;(C2715-1)*12,Paths!$E$253+'Operating costs'!$B$65&lt;=C2715*12))),'Operating costs'!$B$64,0)+IF(AND('Operating costs'!$B$67&gt;0,'Operating costs'!$B$67&lt;=120,OR(Paths!$D$253="ICE",'Operating costs'!$B$67&lt;=Paths!$E$253),IF('Operating costs'!$B$67=0,C2715=0,AND(C2715&gt;0,'Operating costs'!$B$67&gt;(C2715-1)*12,'Operating costs'!$B$67&lt;=C2715*12))),'Operating costs'!$B$66,0),"n.a."))</f>
        <v>0</v>
      </c>
      <c r="N2715" s="16">
        <f>IF(NOT(Paths!$C$253=1),0,IF(Paths!$P$253="Complete",SUM(G2715:I2715)-J2715-K2715-L2715+M2715+IF(C2715=0,Paths!$F$253,0)+IF(IF(Paths!$E$253=0,C2715=0,AND(C2715&gt;0,Paths!$E$253&gt;(C2715-1)*12,Paths!$E$253&lt;=C2715*12)),VLOOKUP(A2715,'Fleet register'!$A$7:$S$106,16,FALSE),0),"n.a."))</f>
        <v>0</v>
      </c>
      <c r="O2715" s="16">
        <f>IF(NOT(Paths!$C$253=1),0,IF(Paths!$P$253="Complete",N2715-IF(C2715=0,Paths!$F$253,0),"n.a."))</f>
        <v>0</v>
      </c>
      <c r="P2715" s="16">
        <f>IF(NOT(Paths!$C$253=1),0,IF(Paths!$P$253="Complete",O2715+L2715,"n.a."))</f>
        <v>0</v>
      </c>
      <c r="Q2715" s="16">
        <f>IF(NOT(Paths!$C$253=1),0,IF(Paths!$P$253="Complete",N2715*(1+'Operating costs'!$B$54)^-C2715,"n.a."))</f>
        <v>0</v>
      </c>
      <c r="R2715" s="16">
        <f>IF(NOT(Paths!$C$253=1),0,IF(Paths!$P$253="Complete",IF(AND(C2715=0,Paths!$E$253=0),I2715-J2715-K2715+VLOOKUP(A2715,'Fleet register'!$A$7:$S$106,15,FALSE)+VLOOKUP(A2715,'Fleet register'!$A$7:$S$106,16,FALSE),0),"n.a."))</f>
        <v>0</v>
      </c>
      <c r="S2715" s="1">
        <f>IF(NOT(Paths!$C$253=1),0,IF(Paths!$P$253="Complete",IF(C2715=0,0,Paths!$S$253*Paths!$R$253),"n.a."))</f>
        <v>0</v>
      </c>
      <c r="T2715" s="1">
        <f>IF(NOT(Paths!$C$253=1),0,IF(Paths!$P$253="Complete",IF(C2715=0,0,VLOOKUP(A2715,'Fleet register'!$A$7:$S$106,9,FALSE)*Paths!$R$253),"n.a."))</f>
        <v>0</v>
      </c>
    </row>
    <row r="2716" spans="1:20" ht="24" customHeight="1">
      <c r="A2716" s="1" t="str">
        <f>Paths!$A$253</f>
        <v>T062</v>
      </c>
      <c r="B2716" s="1">
        <f>Paths!$B$253</f>
        <v>2</v>
      </c>
      <c r="C2716" s="1">
        <v>3</v>
      </c>
      <c r="D2716" s="1">
        <v>253</v>
      </c>
      <c r="E2716" s="1">
        <f>IF(OR(Paths!$C$253=0,C2716=0),0,MAX(0,MIN(C2716*12,Paths!$E$253)-(C2716-1)*12))</f>
        <v>0</v>
      </c>
      <c r="F2716" s="1">
        <f>IF(OR(Paths!$C$253=0,C2716=0),0,12-E2716)</f>
        <v>0</v>
      </c>
      <c r="G2716" s="16">
        <f>IF(NOT(Paths!$C$253=1),0,IF(Paths!$P$253="Complete",E2716/12*(Paths!$J$253*(1+'Operating costs'!$B$51)^MAX(0,C2716-1)+Paths!$K$253*(1+'Operating costs'!$B$53)^MAX(0,C2716-1)),"n.a."))</f>
        <v>0</v>
      </c>
      <c r="H2716" s="16">
        <f>IF(NOT(Paths!$C$253=1),0,IF(Paths!$P$253="Complete",F2716/12*(Paths!$L$253*(1+IF(Paths!$D$253="EV",'Operating costs'!$B$52,'Operating costs'!$B$51))^MAX(0,C2716-1)+Paths!$M$253*(1+'Operating costs'!$B$53)^MAX(0,C2716-1)),"n.a."))</f>
        <v>0</v>
      </c>
      <c r="I2716" s="16">
        <f>IF(NOT(Paths!$C$253=1),0,IF(Paths!$P$253="Complete",IF(IF(Paths!$E$253=0,C2716=0,AND(C2716&gt;0,Paths!$E$253&gt;(C2716-1)*12,Paths!$E$253&lt;=C2716*12)),Paths!$G$253,0),"n.a."))</f>
        <v>0</v>
      </c>
      <c r="J2716" s="16">
        <f>IF(NOT(Paths!$C$253=1),0,IF(Paths!$P$253="Complete",IF(IF(Paths!$E$253=0,C2716=0,AND(C2716&gt;0,Paths!$E$253&gt;(C2716-1)*12,Paths!$E$253&lt;=C2716*12)),Paths!$H$253,0),"n.a."))</f>
        <v>0</v>
      </c>
      <c r="K2716" s="16">
        <f>IF(NOT(Paths!$C$253=1),0,IF(Paths!$P$253="Complete",IF(IF(Paths!$O$253=0,C2716=0,AND(C2716&gt;0,Paths!$O$253&gt;(C2716-1)*12,Paths!$O$253&lt;=C2716*12)),Paths!$N$253,0),"n.a."))</f>
        <v>0</v>
      </c>
      <c r="L2716" s="16">
        <f>IF(NOT(Paths!$C$253=1),0,IF(Paths!$P$253="Complete",IF(C2716=10,Paths!$I$253,0),"n.a."))</f>
        <v>0</v>
      </c>
      <c r="M2716" s="16">
        <f>IF(NOT(Paths!$C$253=1),0,IF(Paths!$P$253="Complete",IF(AND(Paths!$D$253="EV",Paths!$E$253&lt;120,Paths!$E$253+'Operating costs'!$B$65&gt;Paths!$E$253,Paths!$E$253+'Operating costs'!$B$65&lt;=120,IF(Paths!$E$253+'Operating costs'!$B$65=0,C2716=0,AND(C2716&gt;0,Paths!$E$253+'Operating costs'!$B$65&gt;(C2716-1)*12,Paths!$E$253+'Operating costs'!$B$65&lt;=C2716*12))),'Operating costs'!$B$64,0)+IF(AND('Operating costs'!$B$67&gt;0,'Operating costs'!$B$67&lt;=120,OR(Paths!$D$253="ICE",'Operating costs'!$B$67&lt;=Paths!$E$253),IF('Operating costs'!$B$67=0,C2716=0,AND(C2716&gt;0,'Operating costs'!$B$67&gt;(C2716-1)*12,'Operating costs'!$B$67&lt;=C2716*12))),'Operating costs'!$B$66,0),"n.a."))</f>
        <v>0</v>
      </c>
      <c r="N2716" s="16">
        <f>IF(NOT(Paths!$C$253=1),0,IF(Paths!$P$253="Complete",SUM(G2716:I2716)-J2716-K2716-L2716+M2716+IF(C2716=0,Paths!$F$253,0)+IF(IF(Paths!$E$253=0,C2716=0,AND(C2716&gt;0,Paths!$E$253&gt;(C2716-1)*12,Paths!$E$253&lt;=C2716*12)),VLOOKUP(A2716,'Fleet register'!$A$7:$S$106,16,FALSE),0),"n.a."))</f>
        <v>0</v>
      </c>
      <c r="O2716" s="16">
        <f>IF(NOT(Paths!$C$253=1),0,IF(Paths!$P$253="Complete",N2716-IF(C2716=0,Paths!$F$253,0),"n.a."))</f>
        <v>0</v>
      </c>
      <c r="P2716" s="16">
        <f>IF(NOT(Paths!$C$253=1),0,IF(Paths!$P$253="Complete",O2716+L2716,"n.a."))</f>
        <v>0</v>
      </c>
      <c r="Q2716" s="16">
        <f>IF(NOT(Paths!$C$253=1),0,IF(Paths!$P$253="Complete",N2716*(1+'Operating costs'!$B$54)^-C2716,"n.a."))</f>
        <v>0</v>
      </c>
      <c r="R2716" s="16">
        <f>IF(NOT(Paths!$C$253=1),0,IF(Paths!$P$253="Complete",IF(AND(C2716=0,Paths!$E$253=0),I2716-J2716-K2716+VLOOKUP(A2716,'Fleet register'!$A$7:$S$106,15,FALSE)+VLOOKUP(A2716,'Fleet register'!$A$7:$S$106,16,FALSE),0),"n.a."))</f>
        <v>0</v>
      </c>
      <c r="S2716" s="1">
        <f>IF(NOT(Paths!$C$253=1),0,IF(Paths!$P$253="Complete",IF(C2716=0,0,Paths!$S$253*Paths!$R$253),"n.a."))</f>
        <v>0</v>
      </c>
      <c r="T2716" s="1">
        <f>IF(NOT(Paths!$C$253=1),0,IF(Paths!$P$253="Complete",IF(C2716=0,0,VLOOKUP(A2716,'Fleet register'!$A$7:$S$106,9,FALSE)*Paths!$R$253),"n.a."))</f>
        <v>0</v>
      </c>
    </row>
    <row r="2717" spans="1:20" ht="24" customHeight="1">
      <c r="A2717" s="1" t="str">
        <f>Paths!$A$253</f>
        <v>T062</v>
      </c>
      <c r="B2717" s="1">
        <f>Paths!$B$253</f>
        <v>2</v>
      </c>
      <c r="C2717" s="1">
        <v>4</v>
      </c>
      <c r="D2717" s="1">
        <v>253</v>
      </c>
      <c r="E2717" s="1">
        <f>IF(OR(Paths!$C$253=0,C2717=0),0,MAX(0,MIN(C2717*12,Paths!$E$253)-(C2717-1)*12))</f>
        <v>0</v>
      </c>
      <c r="F2717" s="1">
        <f>IF(OR(Paths!$C$253=0,C2717=0),0,12-E2717)</f>
        <v>0</v>
      </c>
      <c r="G2717" s="16">
        <f>IF(NOT(Paths!$C$253=1),0,IF(Paths!$P$253="Complete",E2717/12*(Paths!$J$253*(1+'Operating costs'!$B$51)^MAX(0,C2717-1)+Paths!$K$253*(1+'Operating costs'!$B$53)^MAX(0,C2717-1)),"n.a."))</f>
        <v>0</v>
      </c>
      <c r="H2717" s="16">
        <f>IF(NOT(Paths!$C$253=1),0,IF(Paths!$P$253="Complete",F2717/12*(Paths!$L$253*(1+IF(Paths!$D$253="EV",'Operating costs'!$B$52,'Operating costs'!$B$51))^MAX(0,C2717-1)+Paths!$M$253*(1+'Operating costs'!$B$53)^MAX(0,C2717-1)),"n.a."))</f>
        <v>0</v>
      </c>
      <c r="I2717" s="16">
        <f>IF(NOT(Paths!$C$253=1),0,IF(Paths!$P$253="Complete",IF(IF(Paths!$E$253=0,C2717=0,AND(C2717&gt;0,Paths!$E$253&gt;(C2717-1)*12,Paths!$E$253&lt;=C2717*12)),Paths!$G$253,0),"n.a."))</f>
        <v>0</v>
      </c>
      <c r="J2717" s="16">
        <f>IF(NOT(Paths!$C$253=1),0,IF(Paths!$P$253="Complete",IF(IF(Paths!$E$253=0,C2717=0,AND(C2717&gt;0,Paths!$E$253&gt;(C2717-1)*12,Paths!$E$253&lt;=C2717*12)),Paths!$H$253,0),"n.a."))</f>
        <v>0</v>
      </c>
      <c r="K2717" s="16">
        <f>IF(NOT(Paths!$C$253=1),0,IF(Paths!$P$253="Complete",IF(IF(Paths!$O$253=0,C2717=0,AND(C2717&gt;0,Paths!$O$253&gt;(C2717-1)*12,Paths!$O$253&lt;=C2717*12)),Paths!$N$253,0),"n.a."))</f>
        <v>0</v>
      </c>
      <c r="L2717" s="16">
        <f>IF(NOT(Paths!$C$253=1),0,IF(Paths!$P$253="Complete",IF(C2717=10,Paths!$I$253,0),"n.a."))</f>
        <v>0</v>
      </c>
      <c r="M2717" s="16">
        <f>IF(NOT(Paths!$C$253=1),0,IF(Paths!$P$253="Complete",IF(AND(Paths!$D$253="EV",Paths!$E$253&lt;120,Paths!$E$253+'Operating costs'!$B$65&gt;Paths!$E$253,Paths!$E$253+'Operating costs'!$B$65&lt;=120,IF(Paths!$E$253+'Operating costs'!$B$65=0,C2717=0,AND(C2717&gt;0,Paths!$E$253+'Operating costs'!$B$65&gt;(C2717-1)*12,Paths!$E$253+'Operating costs'!$B$65&lt;=C2717*12))),'Operating costs'!$B$64,0)+IF(AND('Operating costs'!$B$67&gt;0,'Operating costs'!$B$67&lt;=120,OR(Paths!$D$253="ICE",'Operating costs'!$B$67&lt;=Paths!$E$253),IF('Operating costs'!$B$67=0,C2717=0,AND(C2717&gt;0,'Operating costs'!$B$67&gt;(C2717-1)*12,'Operating costs'!$B$67&lt;=C2717*12))),'Operating costs'!$B$66,0),"n.a."))</f>
        <v>0</v>
      </c>
      <c r="N2717" s="16">
        <f>IF(NOT(Paths!$C$253=1),0,IF(Paths!$P$253="Complete",SUM(G2717:I2717)-J2717-K2717-L2717+M2717+IF(C2717=0,Paths!$F$253,0)+IF(IF(Paths!$E$253=0,C2717=0,AND(C2717&gt;0,Paths!$E$253&gt;(C2717-1)*12,Paths!$E$253&lt;=C2717*12)),VLOOKUP(A2717,'Fleet register'!$A$7:$S$106,16,FALSE),0),"n.a."))</f>
        <v>0</v>
      </c>
      <c r="O2717" s="16">
        <f>IF(NOT(Paths!$C$253=1),0,IF(Paths!$P$253="Complete",N2717-IF(C2717=0,Paths!$F$253,0),"n.a."))</f>
        <v>0</v>
      </c>
      <c r="P2717" s="16">
        <f>IF(NOT(Paths!$C$253=1),0,IF(Paths!$P$253="Complete",O2717+L2717,"n.a."))</f>
        <v>0</v>
      </c>
      <c r="Q2717" s="16">
        <f>IF(NOT(Paths!$C$253=1),0,IF(Paths!$P$253="Complete",N2717*(1+'Operating costs'!$B$54)^-C2717,"n.a."))</f>
        <v>0</v>
      </c>
      <c r="R2717" s="16">
        <f>IF(NOT(Paths!$C$253=1),0,IF(Paths!$P$253="Complete",IF(AND(C2717=0,Paths!$E$253=0),I2717-J2717-K2717+VLOOKUP(A2717,'Fleet register'!$A$7:$S$106,15,FALSE)+VLOOKUP(A2717,'Fleet register'!$A$7:$S$106,16,FALSE),0),"n.a."))</f>
        <v>0</v>
      </c>
      <c r="S2717" s="1">
        <f>IF(NOT(Paths!$C$253=1),0,IF(Paths!$P$253="Complete",IF(C2717=0,0,Paths!$S$253*Paths!$R$253),"n.a."))</f>
        <v>0</v>
      </c>
      <c r="T2717" s="1">
        <f>IF(NOT(Paths!$C$253=1),0,IF(Paths!$P$253="Complete",IF(C2717=0,0,VLOOKUP(A2717,'Fleet register'!$A$7:$S$106,9,FALSE)*Paths!$R$253),"n.a."))</f>
        <v>0</v>
      </c>
    </row>
    <row r="2718" spans="1:20" ht="24" customHeight="1">
      <c r="A2718" s="1" t="str">
        <f>Paths!$A$253</f>
        <v>T062</v>
      </c>
      <c r="B2718" s="1">
        <f>Paths!$B$253</f>
        <v>2</v>
      </c>
      <c r="C2718" s="1">
        <v>5</v>
      </c>
      <c r="D2718" s="1">
        <v>253</v>
      </c>
      <c r="E2718" s="1">
        <f>IF(OR(Paths!$C$253=0,C2718=0),0,MAX(0,MIN(C2718*12,Paths!$E$253)-(C2718-1)*12))</f>
        <v>0</v>
      </c>
      <c r="F2718" s="1">
        <f>IF(OR(Paths!$C$253=0,C2718=0),0,12-E2718)</f>
        <v>0</v>
      </c>
      <c r="G2718" s="16">
        <f>IF(NOT(Paths!$C$253=1),0,IF(Paths!$P$253="Complete",E2718/12*(Paths!$J$253*(1+'Operating costs'!$B$51)^MAX(0,C2718-1)+Paths!$K$253*(1+'Operating costs'!$B$53)^MAX(0,C2718-1)),"n.a."))</f>
        <v>0</v>
      </c>
      <c r="H2718" s="16">
        <f>IF(NOT(Paths!$C$253=1),0,IF(Paths!$P$253="Complete",F2718/12*(Paths!$L$253*(1+IF(Paths!$D$253="EV",'Operating costs'!$B$52,'Operating costs'!$B$51))^MAX(0,C2718-1)+Paths!$M$253*(1+'Operating costs'!$B$53)^MAX(0,C2718-1)),"n.a."))</f>
        <v>0</v>
      </c>
      <c r="I2718" s="16">
        <f>IF(NOT(Paths!$C$253=1),0,IF(Paths!$P$253="Complete",IF(IF(Paths!$E$253=0,C2718=0,AND(C2718&gt;0,Paths!$E$253&gt;(C2718-1)*12,Paths!$E$253&lt;=C2718*12)),Paths!$G$253,0),"n.a."))</f>
        <v>0</v>
      </c>
      <c r="J2718" s="16">
        <f>IF(NOT(Paths!$C$253=1),0,IF(Paths!$P$253="Complete",IF(IF(Paths!$E$253=0,C2718=0,AND(C2718&gt;0,Paths!$E$253&gt;(C2718-1)*12,Paths!$E$253&lt;=C2718*12)),Paths!$H$253,0),"n.a."))</f>
        <v>0</v>
      </c>
      <c r="K2718" s="16">
        <f>IF(NOT(Paths!$C$253=1),0,IF(Paths!$P$253="Complete",IF(IF(Paths!$O$253=0,C2718=0,AND(C2718&gt;0,Paths!$O$253&gt;(C2718-1)*12,Paths!$O$253&lt;=C2718*12)),Paths!$N$253,0),"n.a."))</f>
        <v>0</v>
      </c>
      <c r="L2718" s="16">
        <f>IF(NOT(Paths!$C$253=1),0,IF(Paths!$P$253="Complete",IF(C2718=10,Paths!$I$253,0),"n.a."))</f>
        <v>0</v>
      </c>
      <c r="M2718" s="16">
        <f>IF(NOT(Paths!$C$253=1),0,IF(Paths!$P$253="Complete",IF(AND(Paths!$D$253="EV",Paths!$E$253&lt;120,Paths!$E$253+'Operating costs'!$B$65&gt;Paths!$E$253,Paths!$E$253+'Operating costs'!$B$65&lt;=120,IF(Paths!$E$253+'Operating costs'!$B$65=0,C2718=0,AND(C2718&gt;0,Paths!$E$253+'Operating costs'!$B$65&gt;(C2718-1)*12,Paths!$E$253+'Operating costs'!$B$65&lt;=C2718*12))),'Operating costs'!$B$64,0)+IF(AND('Operating costs'!$B$67&gt;0,'Operating costs'!$B$67&lt;=120,OR(Paths!$D$253="ICE",'Operating costs'!$B$67&lt;=Paths!$E$253),IF('Operating costs'!$B$67=0,C2718=0,AND(C2718&gt;0,'Operating costs'!$B$67&gt;(C2718-1)*12,'Operating costs'!$B$67&lt;=C2718*12))),'Operating costs'!$B$66,0),"n.a."))</f>
        <v>0</v>
      </c>
      <c r="N2718" s="16">
        <f>IF(NOT(Paths!$C$253=1),0,IF(Paths!$P$253="Complete",SUM(G2718:I2718)-J2718-K2718-L2718+M2718+IF(C2718=0,Paths!$F$253,0)+IF(IF(Paths!$E$253=0,C2718=0,AND(C2718&gt;0,Paths!$E$253&gt;(C2718-1)*12,Paths!$E$253&lt;=C2718*12)),VLOOKUP(A2718,'Fleet register'!$A$7:$S$106,16,FALSE),0),"n.a."))</f>
        <v>0</v>
      </c>
      <c r="O2718" s="16">
        <f>IF(NOT(Paths!$C$253=1),0,IF(Paths!$P$253="Complete",N2718-IF(C2718=0,Paths!$F$253,0),"n.a."))</f>
        <v>0</v>
      </c>
      <c r="P2718" s="16">
        <f>IF(NOT(Paths!$C$253=1),0,IF(Paths!$P$253="Complete",O2718+L2718,"n.a."))</f>
        <v>0</v>
      </c>
      <c r="Q2718" s="16">
        <f>IF(NOT(Paths!$C$253=1),0,IF(Paths!$P$253="Complete",N2718*(1+'Operating costs'!$B$54)^-C2718,"n.a."))</f>
        <v>0</v>
      </c>
      <c r="R2718" s="16">
        <f>IF(NOT(Paths!$C$253=1),0,IF(Paths!$P$253="Complete",IF(AND(C2718=0,Paths!$E$253=0),I2718-J2718-K2718+VLOOKUP(A2718,'Fleet register'!$A$7:$S$106,15,FALSE)+VLOOKUP(A2718,'Fleet register'!$A$7:$S$106,16,FALSE),0),"n.a."))</f>
        <v>0</v>
      </c>
      <c r="S2718" s="1">
        <f>IF(NOT(Paths!$C$253=1),0,IF(Paths!$P$253="Complete",IF(C2718=0,0,Paths!$S$253*Paths!$R$253),"n.a."))</f>
        <v>0</v>
      </c>
      <c r="T2718" s="1">
        <f>IF(NOT(Paths!$C$253=1),0,IF(Paths!$P$253="Complete",IF(C2718=0,0,VLOOKUP(A2718,'Fleet register'!$A$7:$S$106,9,FALSE)*Paths!$R$253),"n.a."))</f>
        <v>0</v>
      </c>
    </row>
    <row r="2719" spans="1:20" ht="24" customHeight="1">
      <c r="A2719" s="1" t="str">
        <f>Paths!$A$253</f>
        <v>T062</v>
      </c>
      <c r="B2719" s="1">
        <f>Paths!$B$253</f>
        <v>2</v>
      </c>
      <c r="C2719" s="1">
        <v>6</v>
      </c>
      <c r="D2719" s="1">
        <v>253</v>
      </c>
      <c r="E2719" s="1">
        <f>IF(OR(Paths!$C$253=0,C2719=0),0,MAX(0,MIN(C2719*12,Paths!$E$253)-(C2719-1)*12))</f>
        <v>0</v>
      </c>
      <c r="F2719" s="1">
        <f>IF(OR(Paths!$C$253=0,C2719=0),0,12-E2719)</f>
        <v>0</v>
      </c>
      <c r="G2719" s="16">
        <f>IF(NOT(Paths!$C$253=1),0,IF(Paths!$P$253="Complete",E2719/12*(Paths!$J$253*(1+'Operating costs'!$B$51)^MAX(0,C2719-1)+Paths!$K$253*(1+'Operating costs'!$B$53)^MAX(0,C2719-1)),"n.a."))</f>
        <v>0</v>
      </c>
      <c r="H2719" s="16">
        <f>IF(NOT(Paths!$C$253=1),0,IF(Paths!$P$253="Complete",F2719/12*(Paths!$L$253*(1+IF(Paths!$D$253="EV",'Operating costs'!$B$52,'Operating costs'!$B$51))^MAX(0,C2719-1)+Paths!$M$253*(1+'Operating costs'!$B$53)^MAX(0,C2719-1)),"n.a."))</f>
        <v>0</v>
      </c>
      <c r="I2719" s="16">
        <f>IF(NOT(Paths!$C$253=1),0,IF(Paths!$P$253="Complete",IF(IF(Paths!$E$253=0,C2719=0,AND(C2719&gt;0,Paths!$E$253&gt;(C2719-1)*12,Paths!$E$253&lt;=C2719*12)),Paths!$G$253,0),"n.a."))</f>
        <v>0</v>
      </c>
      <c r="J2719" s="16">
        <f>IF(NOT(Paths!$C$253=1),0,IF(Paths!$P$253="Complete",IF(IF(Paths!$E$253=0,C2719=0,AND(C2719&gt;0,Paths!$E$253&gt;(C2719-1)*12,Paths!$E$253&lt;=C2719*12)),Paths!$H$253,0),"n.a."))</f>
        <v>0</v>
      </c>
      <c r="K2719" s="16">
        <f>IF(NOT(Paths!$C$253=1),0,IF(Paths!$P$253="Complete",IF(IF(Paths!$O$253=0,C2719=0,AND(C2719&gt;0,Paths!$O$253&gt;(C2719-1)*12,Paths!$O$253&lt;=C2719*12)),Paths!$N$253,0),"n.a."))</f>
        <v>0</v>
      </c>
      <c r="L2719" s="16">
        <f>IF(NOT(Paths!$C$253=1),0,IF(Paths!$P$253="Complete",IF(C2719=10,Paths!$I$253,0),"n.a."))</f>
        <v>0</v>
      </c>
      <c r="M2719" s="16">
        <f>IF(NOT(Paths!$C$253=1),0,IF(Paths!$P$253="Complete",IF(AND(Paths!$D$253="EV",Paths!$E$253&lt;120,Paths!$E$253+'Operating costs'!$B$65&gt;Paths!$E$253,Paths!$E$253+'Operating costs'!$B$65&lt;=120,IF(Paths!$E$253+'Operating costs'!$B$65=0,C2719=0,AND(C2719&gt;0,Paths!$E$253+'Operating costs'!$B$65&gt;(C2719-1)*12,Paths!$E$253+'Operating costs'!$B$65&lt;=C2719*12))),'Operating costs'!$B$64,0)+IF(AND('Operating costs'!$B$67&gt;0,'Operating costs'!$B$67&lt;=120,OR(Paths!$D$253="ICE",'Operating costs'!$B$67&lt;=Paths!$E$253),IF('Operating costs'!$B$67=0,C2719=0,AND(C2719&gt;0,'Operating costs'!$B$67&gt;(C2719-1)*12,'Operating costs'!$B$67&lt;=C2719*12))),'Operating costs'!$B$66,0),"n.a."))</f>
        <v>0</v>
      </c>
      <c r="N2719" s="16">
        <f>IF(NOT(Paths!$C$253=1),0,IF(Paths!$P$253="Complete",SUM(G2719:I2719)-J2719-K2719-L2719+M2719+IF(C2719=0,Paths!$F$253,0)+IF(IF(Paths!$E$253=0,C2719=0,AND(C2719&gt;0,Paths!$E$253&gt;(C2719-1)*12,Paths!$E$253&lt;=C2719*12)),VLOOKUP(A2719,'Fleet register'!$A$7:$S$106,16,FALSE),0),"n.a."))</f>
        <v>0</v>
      </c>
      <c r="O2719" s="16">
        <f>IF(NOT(Paths!$C$253=1),0,IF(Paths!$P$253="Complete",N2719-IF(C2719=0,Paths!$F$253,0),"n.a."))</f>
        <v>0</v>
      </c>
      <c r="P2719" s="16">
        <f>IF(NOT(Paths!$C$253=1),0,IF(Paths!$P$253="Complete",O2719+L2719,"n.a."))</f>
        <v>0</v>
      </c>
      <c r="Q2719" s="16">
        <f>IF(NOT(Paths!$C$253=1),0,IF(Paths!$P$253="Complete",N2719*(1+'Operating costs'!$B$54)^-C2719,"n.a."))</f>
        <v>0</v>
      </c>
      <c r="R2719" s="16">
        <f>IF(NOT(Paths!$C$253=1),0,IF(Paths!$P$253="Complete",IF(AND(C2719=0,Paths!$E$253=0),I2719-J2719-K2719+VLOOKUP(A2719,'Fleet register'!$A$7:$S$106,15,FALSE)+VLOOKUP(A2719,'Fleet register'!$A$7:$S$106,16,FALSE),0),"n.a."))</f>
        <v>0</v>
      </c>
      <c r="S2719" s="1">
        <f>IF(NOT(Paths!$C$253=1),0,IF(Paths!$P$253="Complete",IF(C2719=0,0,Paths!$S$253*Paths!$R$253),"n.a."))</f>
        <v>0</v>
      </c>
      <c r="T2719" s="1">
        <f>IF(NOT(Paths!$C$253=1),0,IF(Paths!$P$253="Complete",IF(C2719=0,0,VLOOKUP(A2719,'Fleet register'!$A$7:$S$106,9,FALSE)*Paths!$R$253),"n.a."))</f>
        <v>0</v>
      </c>
    </row>
    <row r="2720" spans="1:20" ht="24" customHeight="1">
      <c r="A2720" s="1" t="str">
        <f>Paths!$A$253</f>
        <v>T062</v>
      </c>
      <c r="B2720" s="1">
        <f>Paths!$B$253</f>
        <v>2</v>
      </c>
      <c r="C2720" s="1">
        <v>7</v>
      </c>
      <c r="D2720" s="1">
        <v>253</v>
      </c>
      <c r="E2720" s="1">
        <f>IF(OR(Paths!$C$253=0,C2720=0),0,MAX(0,MIN(C2720*12,Paths!$E$253)-(C2720-1)*12))</f>
        <v>0</v>
      </c>
      <c r="F2720" s="1">
        <f>IF(OR(Paths!$C$253=0,C2720=0),0,12-E2720)</f>
        <v>0</v>
      </c>
      <c r="G2720" s="16">
        <f>IF(NOT(Paths!$C$253=1),0,IF(Paths!$P$253="Complete",E2720/12*(Paths!$J$253*(1+'Operating costs'!$B$51)^MAX(0,C2720-1)+Paths!$K$253*(1+'Operating costs'!$B$53)^MAX(0,C2720-1)),"n.a."))</f>
        <v>0</v>
      </c>
      <c r="H2720" s="16">
        <f>IF(NOT(Paths!$C$253=1),0,IF(Paths!$P$253="Complete",F2720/12*(Paths!$L$253*(1+IF(Paths!$D$253="EV",'Operating costs'!$B$52,'Operating costs'!$B$51))^MAX(0,C2720-1)+Paths!$M$253*(1+'Operating costs'!$B$53)^MAX(0,C2720-1)),"n.a."))</f>
        <v>0</v>
      </c>
      <c r="I2720" s="16">
        <f>IF(NOT(Paths!$C$253=1),0,IF(Paths!$P$253="Complete",IF(IF(Paths!$E$253=0,C2720=0,AND(C2720&gt;0,Paths!$E$253&gt;(C2720-1)*12,Paths!$E$253&lt;=C2720*12)),Paths!$G$253,0),"n.a."))</f>
        <v>0</v>
      </c>
      <c r="J2720" s="16">
        <f>IF(NOT(Paths!$C$253=1),0,IF(Paths!$P$253="Complete",IF(IF(Paths!$E$253=0,C2720=0,AND(C2720&gt;0,Paths!$E$253&gt;(C2720-1)*12,Paths!$E$253&lt;=C2720*12)),Paths!$H$253,0),"n.a."))</f>
        <v>0</v>
      </c>
      <c r="K2720" s="16">
        <f>IF(NOT(Paths!$C$253=1),0,IF(Paths!$P$253="Complete",IF(IF(Paths!$O$253=0,C2720=0,AND(C2720&gt;0,Paths!$O$253&gt;(C2720-1)*12,Paths!$O$253&lt;=C2720*12)),Paths!$N$253,0),"n.a."))</f>
        <v>0</v>
      </c>
      <c r="L2720" s="16">
        <f>IF(NOT(Paths!$C$253=1),0,IF(Paths!$P$253="Complete",IF(C2720=10,Paths!$I$253,0),"n.a."))</f>
        <v>0</v>
      </c>
      <c r="M2720" s="16">
        <f>IF(NOT(Paths!$C$253=1),0,IF(Paths!$P$253="Complete",IF(AND(Paths!$D$253="EV",Paths!$E$253&lt;120,Paths!$E$253+'Operating costs'!$B$65&gt;Paths!$E$253,Paths!$E$253+'Operating costs'!$B$65&lt;=120,IF(Paths!$E$253+'Operating costs'!$B$65=0,C2720=0,AND(C2720&gt;0,Paths!$E$253+'Operating costs'!$B$65&gt;(C2720-1)*12,Paths!$E$253+'Operating costs'!$B$65&lt;=C2720*12))),'Operating costs'!$B$64,0)+IF(AND('Operating costs'!$B$67&gt;0,'Operating costs'!$B$67&lt;=120,OR(Paths!$D$253="ICE",'Operating costs'!$B$67&lt;=Paths!$E$253),IF('Operating costs'!$B$67=0,C2720=0,AND(C2720&gt;0,'Operating costs'!$B$67&gt;(C2720-1)*12,'Operating costs'!$B$67&lt;=C2720*12))),'Operating costs'!$B$66,0),"n.a."))</f>
        <v>0</v>
      </c>
      <c r="N2720" s="16">
        <f>IF(NOT(Paths!$C$253=1),0,IF(Paths!$P$253="Complete",SUM(G2720:I2720)-J2720-K2720-L2720+M2720+IF(C2720=0,Paths!$F$253,0)+IF(IF(Paths!$E$253=0,C2720=0,AND(C2720&gt;0,Paths!$E$253&gt;(C2720-1)*12,Paths!$E$253&lt;=C2720*12)),VLOOKUP(A2720,'Fleet register'!$A$7:$S$106,16,FALSE),0),"n.a."))</f>
        <v>0</v>
      </c>
      <c r="O2720" s="16">
        <f>IF(NOT(Paths!$C$253=1),0,IF(Paths!$P$253="Complete",N2720-IF(C2720=0,Paths!$F$253,0),"n.a."))</f>
        <v>0</v>
      </c>
      <c r="P2720" s="16">
        <f>IF(NOT(Paths!$C$253=1),0,IF(Paths!$P$253="Complete",O2720+L2720,"n.a."))</f>
        <v>0</v>
      </c>
      <c r="Q2720" s="16">
        <f>IF(NOT(Paths!$C$253=1),0,IF(Paths!$P$253="Complete",N2720*(1+'Operating costs'!$B$54)^-C2720,"n.a."))</f>
        <v>0</v>
      </c>
      <c r="R2720" s="16">
        <f>IF(NOT(Paths!$C$253=1),0,IF(Paths!$P$253="Complete",IF(AND(C2720=0,Paths!$E$253=0),I2720-J2720-K2720+VLOOKUP(A2720,'Fleet register'!$A$7:$S$106,15,FALSE)+VLOOKUP(A2720,'Fleet register'!$A$7:$S$106,16,FALSE),0),"n.a."))</f>
        <v>0</v>
      </c>
      <c r="S2720" s="1">
        <f>IF(NOT(Paths!$C$253=1),0,IF(Paths!$P$253="Complete",IF(C2720=0,0,Paths!$S$253*Paths!$R$253),"n.a."))</f>
        <v>0</v>
      </c>
      <c r="T2720" s="1">
        <f>IF(NOT(Paths!$C$253=1),0,IF(Paths!$P$253="Complete",IF(C2720=0,0,VLOOKUP(A2720,'Fleet register'!$A$7:$S$106,9,FALSE)*Paths!$R$253),"n.a."))</f>
        <v>0</v>
      </c>
    </row>
    <row r="2721" spans="1:20" ht="24" customHeight="1">
      <c r="A2721" s="1" t="str">
        <f>Paths!$A$253</f>
        <v>T062</v>
      </c>
      <c r="B2721" s="1">
        <f>Paths!$B$253</f>
        <v>2</v>
      </c>
      <c r="C2721" s="1">
        <v>8</v>
      </c>
      <c r="D2721" s="1">
        <v>253</v>
      </c>
      <c r="E2721" s="1">
        <f>IF(OR(Paths!$C$253=0,C2721=0),0,MAX(0,MIN(C2721*12,Paths!$E$253)-(C2721-1)*12))</f>
        <v>0</v>
      </c>
      <c r="F2721" s="1">
        <f>IF(OR(Paths!$C$253=0,C2721=0),0,12-E2721)</f>
        <v>0</v>
      </c>
      <c r="G2721" s="16">
        <f>IF(NOT(Paths!$C$253=1),0,IF(Paths!$P$253="Complete",E2721/12*(Paths!$J$253*(1+'Operating costs'!$B$51)^MAX(0,C2721-1)+Paths!$K$253*(1+'Operating costs'!$B$53)^MAX(0,C2721-1)),"n.a."))</f>
        <v>0</v>
      </c>
      <c r="H2721" s="16">
        <f>IF(NOT(Paths!$C$253=1),0,IF(Paths!$P$253="Complete",F2721/12*(Paths!$L$253*(1+IF(Paths!$D$253="EV",'Operating costs'!$B$52,'Operating costs'!$B$51))^MAX(0,C2721-1)+Paths!$M$253*(1+'Operating costs'!$B$53)^MAX(0,C2721-1)),"n.a."))</f>
        <v>0</v>
      </c>
      <c r="I2721" s="16">
        <f>IF(NOT(Paths!$C$253=1),0,IF(Paths!$P$253="Complete",IF(IF(Paths!$E$253=0,C2721=0,AND(C2721&gt;0,Paths!$E$253&gt;(C2721-1)*12,Paths!$E$253&lt;=C2721*12)),Paths!$G$253,0),"n.a."))</f>
        <v>0</v>
      </c>
      <c r="J2721" s="16">
        <f>IF(NOT(Paths!$C$253=1),0,IF(Paths!$P$253="Complete",IF(IF(Paths!$E$253=0,C2721=0,AND(C2721&gt;0,Paths!$E$253&gt;(C2721-1)*12,Paths!$E$253&lt;=C2721*12)),Paths!$H$253,0),"n.a."))</f>
        <v>0</v>
      </c>
      <c r="K2721" s="16">
        <f>IF(NOT(Paths!$C$253=1),0,IF(Paths!$P$253="Complete",IF(IF(Paths!$O$253=0,C2721=0,AND(C2721&gt;0,Paths!$O$253&gt;(C2721-1)*12,Paths!$O$253&lt;=C2721*12)),Paths!$N$253,0),"n.a."))</f>
        <v>0</v>
      </c>
      <c r="L2721" s="16">
        <f>IF(NOT(Paths!$C$253=1),0,IF(Paths!$P$253="Complete",IF(C2721=10,Paths!$I$253,0),"n.a."))</f>
        <v>0</v>
      </c>
      <c r="M2721" s="16">
        <f>IF(NOT(Paths!$C$253=1),0,IF(Paths!$P$253="Complete",IF(AND(Paths!$D$253="EV",Paths!$E$253&lt;120,Paths!$E$253+'Operating costs'!$B$65&gt;Paths!$E$253,Paths!$E$253+'Operating costs'!$B$65&lt;=120,IF(Paths!$E$253+'Operating costs'!$B$65=0,C2721=0,AND(C2721&gt;0,Paths!$E$253+'Operating costs'!$B$65&gt;(C2721-1)*12,Paths!$E$253+'Operating costs'!$B$65&lt;=C2721*12))),'Operating costs'!$B$64,0)+IF(AND('Operating costs'!$B$67&gt;0,'Operating costs'!$B$67&lt;=120,OR(Paths!$D$253="ICE",'Operating costs'!$B$67&lt;=Paths!$E$253),IF('Operating costs'!$B$67=0,C2721=0,AND(C2721&gt;0,'Operating costs'!$B$67&gt;(C2721-1)*12,'Operating costs'!$B$67&lt;=C2721*12))),'Operating costs'!$B$66,0),"n.a."))</f>
        <v>0</v>
      </c>
      <c r="N2721" s="16">
        <f>IF(NOT(Paths!$C$253=1),0,IF(Paths!$P$253="Complete",SUM(G2721:I2721)-J2721-K2721-L2721+M2721+IF(C2721=0,Paths!$F$253,0)+IF(IF(Paths!$E$253=0,C2721=0,AND(C2721&gt;0,Paths!$E$253&gt;(C2721-1)*12,Paths!$E$253&lt;=C2721*12)),VLOOKUP(A2721,'Fleet register'!$A$7:$S$106,16,FALSE),0),"n.a."))</f>
        <v>0</v>
      </c>
      <c r="O2721" s="16">
        <f>IF(NOT(Paths!$C$253=1),0,IF(Paths!$P$253="Complete",N2721-IF(C2721=0,Paths!$F$253,0),"n.a."))</f>
        <v>0</v>
      </c>
      <c r="P2721" s="16">
        <f>IF(NOT(Paths!$C$253=1),0,IF(Paths!$P$253="Complete",O2721+L2721,"n.a."))</f>
        <v>0</v>
      </c>
      <c r="Q2721" s="16">
        <f>IF(NOT(Paths!$C$253=1),0,IF(Paths!$P$253="Complete",N2721*(1+'Operating costs'!$B$54)^-C2721,"n.a."))</f>
        <v>0</v>
      </c>
      <c r="R2721" s="16">
        <f>IF(NOT(Paths!$C$253=1),0,IF(Paths!$P$253="Complete",IF(AND(C2721=0,Paths!$E$253=0),I2721-J2721-K2721+VLOOKUP(A2721,'Fleet register'!$A$7:$S$106,15,FALSE)+VLOOKUP(A2721,'Fleet register'!$A$7:$S$106,16,FALSE),0),"n.a."))</f>
        <v>0</v>
      </c>
      <c r="S2721" s="1">
        <f>IF(NOT(Paths!$C$253=1),0,IF(Paths!$P$253="Complete",IF(C2721=0,0,Paths!$S$253*Paths!$R$253),"n.a."))</f>
        <v>0</v>
      </c>
      <c r="T2721" s="1">
        <f>IF(NOT(Paths!$C$253=1),0,IF(Paths!$P$253="Complete",IF(C2721=0,0,VLOOKUP(A2721,'Fleet register'!$A$7:$S$106,9,FALSE)*Paths!$R$253),"n.a."))</f>
        <v>0</v>
      </c>
    </row>
    <row r="2722" spans="1:20" ht="24" customHeight="1">
      <c r="A2722" s="1" t="str">
        <f>Paths!$A$253</f>
        <v>T062</v>
      </c>
      <c r="B2722" s="1">
        <f>Paths!$B$253</f>
        <v>2</v>
      </c>
      <c r="C2722" s="1">
        <v>9</v>
      </c>
      <c r="D2722" s="1">
        <v>253</v>
      </c>
      <c r="E2722" s="1">
        <f>IF(OR(Paths!$C$253=0,C2722=0),0,MAX(0,MIN(C2722*12,Paths!$E$253)-(C2722-1)*12))</f>
        <v>0</v>
      </c>
      <c r="F2722" s="1">
        <f>IF(OR(Paths!$C$253=0,C2722=0),0,12-E2722)</f>
        <v>0</v>
      </c>
      <c r="G2722" s="16">
        <f>IF(NOT(Paths!$C$253=1),0,IF(Paths!$P$253="Complete",E2722/12*(Paths!$J$253*(1+'Operating costs'!$B$51)^MAX(0,C2722-1)+Paths!$K$253*(1+'Operating costs'!$B$53)^MAX(0,C2722-1)),"n.a."))</f>
        <v>0</v>
      </c>
      <c r="H2722" s="16">
        <f>IF(NOT(Paths!$C$253=1),0,IF(Paths!$P$253="Complete",F2722/12*(Paths!$L$253*(1+IF(Paths!$D$253="EV",'Operating costs'!$B$52,'Operating costs'!$B$51))^MAX(0,C2722-1)+Paths!$M$253*(1+'Operating costs'!$B$53)^MAX(0,C2722-1)),"n.a."))</f>
        <v>0</v>
      </c>
      <c r="I2722" s="16">
        <f>IF(NOT(Paths!$C$253=1),0,IF(Paths!$P$253="Complete",IF(IF(Paths!$E$253=0,C2722=0,AND(C2722&gt;0,Paths!$E$253&gt;(C2722-1)*12,Paths!$E$253&lt;=C2722*12)),Paths!$G$253,0),"n.a."))</f>
        <v>0</v>
      </c>
      <c r="J2722" s="16">
        <f>IF(NOT(Paths!$C$253=1),0,IF(Paths!$P$253="Complete",IF(IF(Paths!$E$253=0,C2722=0,AND(C2722&gt;0,Paths!$E$253&gt;(C2722-1)*12,Paths!$E$253&lt;=C2722*12)),Paths!$H$253,0),"n.a."))</f>
        <v>0</v>
      </c>
      <c r="K2722" s="16">
        <f>IF(NOT(Paths!$C$253=1),0,IF(Paths!$P$253="Complete",IF(IF(Paths!$O$253=0,C2722=0,AND(C2722&gt;0,Paths!$O$253&gt;(C2722-1)*12,Paths!$O$253&lt;=C2722*12)),Paths!$N$253,0),"n.a."))</f>
        <v>0</v>
      </c>
      <c r="L2722" s="16">
        <f>IF(NOT(Paths!$C$253=1),0,IF(Paths!$P$253="Complete",IF(C2722=10,Paths!$I$253,0),"n.a."))</f>
        <v>0</v>
      </c>
      <c r="M2722" s="16">
        <f>IF(NOT(Paths!$C$253=1),0,IF(Paths!$P$253="Complete",IF(AND(Paths!$D$253="EV",Paths!$E$253&lt;120,Paths!$E$253+'Operating costs'!$B$65&gt;Paths!$E$253,Paths!$E$253+'Operating costs'!$B$65&lt;=120,IF(Paths!$E$253+'Operating costs'!$B$65=0,C2722=0,AND(C2722&gt;0,Paths!$E$253+'Operating costs'!$B$65&gt;(C2722-1)*12,Paths!$E$253+'Operating costs'!$B$65&lt;=C2722*12))),'Operating costs'!$B$64,0)+IF(AND('Operating costs'!$B$67&gt;0,'Operating costs'!$B$67&lt;=120,OR(Paths!$D$253="ICE",'Operating costs'!$B$67&lt;=Paths!$E$253),IF('Operating costs'!$B$67=0,C2722=0,AND(C2722&gt;0,'Operating costs'!$B$67&gt;(C2722-1)*12,'Operating costs'!$B$67&lt;=C2722*12))),'Operating costs'!$B$66,0),"n.a."))</f>
        <v>0</v>
      </c>
      <c r="N2722" s="16">
        <f>IF(NOT(Paths!$C$253=1),0,IF(Paths!$P$253="Complete",SUM(G2722:I2722)-J2722-K2722-L2722+M2722+IF(C2722=0,Paths!$F$253,0)+IF(IF(Paths!$E$253=0,C2722=0,AND(C2722&gt;0,Paths!$E$253&gt;(C2722-1)*12,Paths!$E$253&lt;=C2722*12)),VLOOKUP(A2722,'Fleet register'!$A$7:$S$106,16,FALSE),0),"n.a."))</f>
        <v>0</v>
      </c>
      <c r="O2722" s="16">
        <f>IF(NOT(Paths!$C$253=1),0,IF(Paths!$P$253="Complete",N2722-IF(C2722=0,Paths!$F$253,0),"n.a."))</f>
        <v>0</v>
      </c>
      <c r="P2722" s="16">
        <f>IF(NOT(Paths!$C$253=1),0,IF(Paths!$P$253="Complete",O2722+L2722,"n.a."))</f>
        <v>0</v>
      </c>
      <c r="Q2722" s="16">
        <f>IF(NOT(Paths!$C$253=1),0,IF(Paths!$P$253="Complete",N2722*(1+'Operating costs'!$B$54)^-C2722,"n.a."))</f>
        <v>0</v>
      </c>
      <c r="R2722" s="16">
        <f>IF(NOT(Paths!$C$253=1),0,IF(Paths!$P$253="Complete",IF(AND(C2722=0,Paths!$E$253=0),I2722-J2722-K2722+VLOOKUP(A2722,'Fleet register'!$A$7:$S$106,15,FALSE)+VLOOKUP(A2722,'Fleet register'!$A$7:$S$106,16,FALSE),0),"n.a."))</f>
        <v>0</v>
      </c>
      <c r="S2722" s="1">
        <f>IF(NOT(Paths!$C$253=1),0,IF(Paths!$P$253="Complete",IF(C2722=0,0,Paths!$S$253*Paths!$R$253),"n.a."))</f>
        <v>0</v>
      </c>
      <c r="T2722" s="1">
        <f>IF(NOT(Paths!$C$253=1),0,IF(Paths!$P$253="Complete",IF(C2722=0,0,VLOOKUP(A2722,'Fleet register'!$A$7:$S$106,9,FALSE)*Paths!$R$253),"n.a."))</f>
        <v>0</v>
      </c>
    </row>
    <row r="2723" spans="1:20" ht="24" customHeight="1">
      <c r="A2723" s="1" t="str">
        <f>Paths!$A$253</f>
        <v>T062</v>
      </c>
      <c r="B2723" s="1">
        <f>Paths!$B$253</f>
        <v>2</v>
      </c>
      <c r="C2723" s="1">
        <v>10</v>
      </c>
      <c r="D2723" s="1">
        <v>253</v>
      </c>
      <c r="E2723" s="1">
        <f>IF(OR(Paths!$C$253=0,C2723=0),0,MAX(0,MIN(C2723*12,Paths!$E$253)-(C2723-1)*12))</f>
        <v>0</v>
      </c>
      <c r="F2723" s="1">
        <f>IF(OR(Paths!$C$253=0,C2723=0),0,12-E2723)</f>
        <v>0</v>
      </c>
      <c r="G2723" s="16">
        <f>IF(NOT(Paths!$C$253=1),0,IF(Paths!$P$253="Complete",E2723/12*(Paths!$J$253*(1+'Operating costs'!$B$51)^MAX(0,C2723-1)+Paths!$K$253*(1+'Operating costs'!$B$53)^MAX(0,C2723-1)),"n.a."))</f>
        <v>0</v>
      </c>
      <c r="H2723" s="16">
        <f>IF(NOT(Paths!$C$253=1),0,IF(Paths!$P$253="Complete",F2723/12*(Paths!$L$253*(1+IF(Paths!$D$253="EV",'Operating costs'!$B$52,'Operating costs'!$B$51))^MAX(0,C2723-1)+Paths!$M$253*(1+'Operating costs'!$B$53)^MAX(0,C2723-1)),"n.a."))</f>
        <v>0</v>
      </c>
      <c r="I2723" s="16">
        <f>IF(NOT(Paths!$C$253=1),0,IF(Paths!$P$253="Complete",IF(IF(Paths!$E$253=0,C2723=0,AND(C2723&gt;0,Paths!$E$253&gt;(C2723-1)*12,Paths!$E$253&lt;=C2723*12)),Paths!$G$253,0),"n.a."))</f>
        <v>0</v>
      </c>
      <c r="J2723" s="16">
        <f>IF(NOT(Paths!$C$253=1),0,IF(Paths!$P$253="Complete",IF(IF(Paths!$E$253=0,C2723=0,AND(C2723&gt;0,Paths!$E$253&gt;(C2723-1)*12,Paths!$E$253&lt;=C2723*12)),Paths!$H$253,0),"n.a."))</f>
        <v>0</v>
      </c>
      <c r="K2723" s="16">
        <f>IF(NOT(Paths!$C$253=1),0,IF(Paths!$P$253="Complete",IF(IF(Paths!$O$253=0,C2723=0,AND(C2723&gt;0,Paths!$O$253&gt;(C2723-1)*12,Paths!$O$253&lt;=C2723*12)),Paths!$N$253,0),"n.a."))</f>
        <v>0</v>
      </c>
      <c r="L2723" s="16">
        <f>IF(NOT(Paths!$C$253=1),0,IF(Paths!$P$253="Complete",IF(C2723=10,Paths!$I$253,0),"n.a."))</f>
        <v>0</v>
      </c>
      <c r="M2723" s="16">
        <f>IF(NOT(Paths!$C$253=1),0,IF(Paths!$P$253="Complete",IF(AND(Paths!$D$253="EV",Paths!$E$253&lt;120,Paths!$E$253+'Operating costs'!$B$65&gt;Paths!$E$253,Paths!$E$253+'Operating costs'!$B$65&lt;=120,IF(Paths!$E$253+'Operating costs'!$B$65=0,C2723=0,AND(C2723&gt;0,Paths!$E$253+'Operating costs'!$B$65&gt;(C2723-1)*12,Paths!$E$253+'Operating costs'!$B$65&lt;=C2723*12))),'Operating costs'!$B$64,0)+IF(AND('Operating costs'!$B$67&gt;0,'Operating costs'!$B$67&lt;=120,OR(Paths!$D$253="ICE",'Operating costs'!$B$67&lt;=Paths!$E$253),IF('Operating costs'!$B$67=0,C2723=0,AND(C2723&gt;0,'Operating costs'!$B$67&gt;(C2723-1)*12,'Operating costs'!$B$67&lt;=C2723*12))),'Operating costs'!$B$66,0),"n.a."))</f>
        <v>0</v>
      </c>
      <c r="N2723" s="16">
        <f>IF(NOT(Paths!$C$253=1),0,IF(Paths!$P$253="Complete",SUM(G2723:I2723)-J2723-K2723-L2723+M2723+IF(C2723=0,Paths!$F$253,0)+IF(IF(Paths!$E$253=0,C2723=0,AND(C2723&gt;0,Paths!$E$253&gt;(C2723-1)*12,Paths!$E$253&lt;=C2723*12)),VLOOKUP(A2723,'Fleet register'!$A$7:$S$106,16,FALSE),0),"n.a."))</f>
        <v>0</v>
      </c>
      <c r="O2723" s="16">
        <f>IF(NOT(Paths!$C$253=1),0,IF(Paths!$P$253="Complete",N2723-IF(C2723=0,Paths!$F$253,0),"n.a."))</f>
        <v>0</v>
      </c>
      <c r="P2723" s="16">
        <f>IF(NOT(Paths!$C$253=1),0,IF(Paths!$P$253="Complete",O2723+L2723,"n.a."))</f>
        <v>0</v>
      </c>
      <c r="Q2723" s="16">
        <f>IF(NOT(Paths!$C$253=1),0,IF(Paths!$P$253="Complete",N2723*(1+'Operating costs'!$B$54)^-C2723,"n.a."))</f>
        <v>0</v>
      </c>
      <c r="R2723" s="16">
        <f>IF(NOT(Paths!$C$253=1),0,IF(Paths!$P$253="Complete",IF(AND(C2723=0,Paths!$E$253=0),I2723-J2723-K2723+VLOOKUP(A2723,'Fleet register'!$A$7:$S$106,15,FALSE)+VLOOKUP(A2723,'Fleet register'!$A$7:$S$106,16,FALSE),0),"n.a."))</f>
        <v>0</v>
      </c>
      <c r="S2723" s="1">
        <f>IF(NOT(Paths!$C$253=1),0,IF(Paths!$P$253="Complete",IF(C2723=0,0,Paths!$S$253*Paths!$R$253),"n.a."))</f>
        <v>0</v>
      </c>
      <c r="T2723" s="1">
        <f>IF(NOT(Paths!$C$253=1),0,IF(Paths!$P$253="Complete",IF(C2723=0,0,VLOOKUP(A2723,'Fleet register'!$A$7:$S$106,9,FALSE)*Paths!$R$253),"n.a."))</f>
        <v>0</v>
      </c>
    </row>
    <row r="2724" spans="1:20" ht="24" customHeight="1">
      <c r="A2724" s="1" t="str">
        <f>Paths!$A$254</f>
        <v>T062</v>
      </c>
      <c r="B2724" s="1">
        <f>Paths!$B$254</f>
        <v>3</v>
      </c>
      <c r="C2724" s="1">
        <v>0</v>
      </c>
      <c r="D2724" s="1">
        <v>254</v>
      </c>
      <c r="E2724" s="1">
        <f>IF(OR(Paths!$C$254=0,C2724=0),0,MAX(0,MIN(C2724*12,Paths!$E$254)-(C2724-1)*12))</f>
        <v>0</v>
      </c>
      <c r="F2724" s="1">
        <f>IF(OR(Paths!$C$254=0,C2724=0),0,12-E2724)</f>
        <v>0</v>
      </c>
      <c r="G2724" s="16">
        <f>IF(NOT(Paths!$C$254=1),0,IF(Paths!$P$254="Complete",E2724/12*(Paths!$J$254*(1+'Operating costs'!$B$51)^MAX(0,C2724-1)+Paths!$K$254*(1+'Operating costs'!$B$53)^MAX(0,C2724-1)),"n.a."))</f>
        <v>0</v>
      </c>
      <c r="H2724" s="16">
        <f>IF(NOT(Paths!$C$254=1),0,IF(Paths!$P$254="Complete",F2724/12*(Paths!$L$254*(1+IF(Paths!$D$254="EV",'Operating costs'!$B$52,'Operating costs'!$B$51))^MAX(0,C2724-1)+Paths!$M$254*(1+'Operating costs'!$B$53)^MAX(0,C2724-1)),"n.a."))</f>
        <v>0</v>
      </c>
      <c r="I2724" s="16">
        <f>IF(NOT(Paths!$C$254=1),0,IF(Paths!$P$254="Complete",IF(IF(Paths!$E$254=0,C2724=0,AND(C2724&gt;0,Paths!$E$254&gt;(C2724-1)*12,Paths!$E$254&lt;=C2724*12)),Paths!$G$254,0),"n.a."))</f>
        <v>0</v>
      </c>
      <c r="J2724" s="16">
        <f>IF(NOT(Paths!$C$254=1),0,IF(Paths!$P$254="Complete",IF(IF(Paths!$E$254=0,C2724=0,AND(C2724&gt;0,Paths!$E$254&gt;(C2724-1)*12,Paths!$E$254&lt;=C2724*12)),Paths!$H$254,0),"n.a."))</f>
        <v>0</v>
      </c>
      <c r="K2724" s="16">
        <f>IF(NOT(Paths!$C$254=1),0,IF(Paths!$P$254="Complete",IF(IF(Paths!$O$254=0,C2724=0,AND(C2724&gt;0,Paths!$O$254&gt;(C2724-1)*12,Paths!$O$254&lt;=C2724*12)),Paths!$N$254,0),"n.a."))</f>
        <v>0</v>
      </c>
      <c r="L2724" s="16">
        <f>IF(NOT(Paths!$C$254=1),0,IF(Paths!$P$254="Complete",IF(C2724=10,Paths!$I$254,0),"n.a."))</f>
        <v>0</v>
      </c>
      <c r="M2724" s="16">
        <f>IF(NOT(Paths!$C$254=1),0,IF(Paths!$P$254="Complete",IF(AND(Paths!$D$254="EV",Paths!$E$254&lt;120,Paths!$E$254+'Operating costs'!$B$65&gt;Paths!$E$254,Paths!$E$254+'Operating costs'!$B$65&lt;=120,IF(Paths!$E$254+'Operating costs'!$B$65=0,C2724=0,AND(C2724&gt;0,Paths!$E$254+'Operating costs'!$B$65&gt;(C2724-1)*12,Paths!$E$254+'Operating costs'!$B$65&lt;=C2724*12))),'Operating costs'!$B$64,0)+IF(AND('Operating costs'!$B$67&gt;0,'Operating costs'!$B$67&lt;=120,OR(Paths!$D$254="ICE",'Operating costs'!$B$67&lt;=Paths!$E$254),IF('Operating costs'!$B$67=0,C2724=0,AND(C2724&gt;0,'Operating costs'!$B$67&gt;(C2724-1)*12,'Operating costs'!$B$67&lt;=C2724*12))),'Operating costs'!$B$66,0),"n.a."))</f>
        <v>0</v>
      </c>
      <c r="N2724" s="16">
        <f>IF(NOT(Paths!$C$254=1),0,IF(Paths!$P$254="Complete",SUM(G2724:I2724)-J2724-K2724-L2724+M2724+IF(C2724=0,Paths!$F$254,0)+IF(IF(Paths!$E$254=0,C2724=0,AND(C2724&gt;0,Paths!$E$254&gt;(C2724-1)*12,Paths!$E$254&lt;=C2724*12)),VLOOKUP(A2724,'Fleet register'!$A$7:$S$106,16,FALSE),0),"n.a."))</f>
        <v>0</v>
      </c>
      <c r="O2724" s="16">
        <f>IF(NOT(Paths!$C$254=1),0,IF(Paths!$P$254="Complete",N2724-IF(C2724=0,Paths!$F$254,0),"n.a."))</f>
        <v>0</v>
      </c>
      <c r="P2724" s="16">
        <f>IF(NOT(Paths!$C$254=1),0,IF(Paths!$P$254="Complete",O2724+L2724,"n.a."))</f>
        <v>0</v>
      </c>
      <c r="Q2724" s="16">
        <f>IF(NOT(Paths!$C$254=1),0,IF(Paths!$P$254="Complete",N2724*(1+'Operating costs'!$B$54)^-C2724,"n.a."))</f>
        <v>0</v>
      </c>
      <c r="R2724" s="16">
        <f>IF(NOT(Paths!$C$254=1),0,IF(Paths!$P$254="Complete",IF(AND(C2724=0,Paths!$E$254=0),I2724-J2724-K2724+VLOOKUP(A2724,'Fleet register'!$A$7:$S$106,15,FALSE)+VLOOKUP(A2724,'Fleet register'!$A$7:$S$106,16,FALSE),0),"n.a."))</f>
        <v>0</v>
      </c>
      <c r="S2724" s="1">
        <f>IF(NOT(Paths!$C$254=1),0,IF(Paths!$P$254="Complete",IF(C2724=0,0,Paths!$S$254*Paths!$R$254),"n.a."))</f>
        <v>0</v>
      </c>
      <c r="T2724" s="1">
        <f>IF(NOT(Paths!$C$254=1),0,IF(Paths!$P$254="Complete",IF(C2724=0,0,VLOOKUP(A2724,'Fleet register'!$A$7:$S$106,9,FALSE)*Paths!$R$254),"n.a."))</f>
        <v>0</v>
      </c>
    </row>
    <row r="2725" spans="1:20" ht="24" customHeight="1">
      <c r="A2725" s="1" t="str">
        <f>Paths!$A$254</f>
        <v>T062</v>
      </c>
      <c r="B2725" s="1">
        <f>Paths!$B$254</f>
        <v>3</v>
      </c>
      <c r="C2725" s="1">
        <v>1</v>
      </c>
      <c r="D2725" s="1">
        <v>254</v>
      </c>
      <c r="E2725" s="1">
        <f>IF(OR(Paths!$C$254=0,C2725=0),0,MAX(0,MIN(C2725*12,Paths!$E$254)-(C2725-1)*12))</f>
        <v>0</v>
      </c>
      <c r="F2725" s="1">
        <f>IF(OR(Paths!$C$254=0,C2725=0),0,12-E2725)</f>
        <v>0</v>
      </c>
      <c r="G2725" s="16">
        <f>IF(NOT(Paths!$C$254=1),0,IF(Paths!$P$254="Complete",E2725/12*(Paths!$J$254*(1+'Operating costs'!$B$51)^MAX(0,C2725-1)+Paths!$K$254*(1+'Operating costs'!$B$53)^MAX(0,C2725-1)),"n.a."))</f>
        <v>0</v>
      </c>
      <c r="H2725" s="16">
        <f>IF(NOT(Paths!$C$254=1),0,IF(Paths!$P$254="Complete",F2725/12*(Paths!$L$254*(1+IF(Paths!$D$254="EV",'Operating costs'!$B$52,'Operating costs'!$B$51))^MAX(0,C2725-1)+Paths!$M$254*(1+'Operating costs'!$B$53)^MAX(0,C2725-1)),"n.a."))</f>
        <v>0</v>
      </c>
      <c r="I2725" s="16">
        <f>IF(NOT(Paths!$C$254=1),0,IF(Paths!$P$254="Complete",IF(IF(Paths!$E$254=0,C2725=0,AND(C2725&gt;0,Paths!$E$254&gt;(C2725-1)*12,Paths!$E$254&lt;=C2725*12)),Paths!$G$254,0),"n.a."))</f>
        <v>0</v>
      </c>
      <c r="J2725" s="16">
        <f>IF(NOT(Paths!$C$254=1),0,IF(Paths!$P$254="Complete",IF(IF(Paths!$E$254=0,C2725=0,AND(C2725&gt;0,Paths!$E$254&gt;(C2725-1)*12,Paths!$E$254&lt;=C2725*12)),Paths!$H$254,0),"n.a."))</f>
        <v>0</v>
      </c>
      <c r="K2725" s="16">
        <f>IF(NOT(Paths!$C$254=1),0,IF(Paths!$P$254="Complete",IF(IF(Paths!$O$254=0,C2725=0,AND(C2725&gt;0,Paths!$O$254&gt;(C2725-1)*12,Paths!$O$254&lt;=C2725*12)),Paths!$N$254,0),"n.a."))</f>
        <v>0</v>
      </c>
      <c r="L2725" s="16">
        <f>IF(NOT(Paths!$C$254=1),0,IF(Paths!$P$254="Complete",IF(C2725=10,Paths!$I$254,0),"n.a."))</f>
        <v>0</v>
      </c>
      <c r="M2725" s="16">
        <f>IF(NOT(Paths!$C$254=1),0,IF(Paths!$P$254="Complete",IF(AND(Paths!$D$254="EV",Paths!$E$254&lt;120,Paths!$E$254+'Operating costs'!$B$65&gt;Paths!$E$254,Paths!$E$254+'Operating costs'!$B$65&lt;=120,IF(Paths!$E$254+'Operating costs'!$B$65=0,C2725=0,AND(C2725&gt;0,Paths!$E$254+'Operating costs'!$B$65&gt;(C2725-1)*12,Paths!$E$254+'Operating costs'!$B$65&lt;=C2725*12))),'Operating costs'!$B$64,0)+IF(AND('Operating costs'!$B$67&gt;0,'Operating costs'!$B$67&lt;=120,OR(Paths!$D$254="ICE",'Operating costs'!$B$67&lt;=Paths!$E$254),IF('Operating costs'!$B$67=0,C2725=0,AND(C2725&gt;0,'Operating costs'!$B$67&gt;(C2725-1)*12,'Operating costs'!$B$67&lt;=C2725*12))),'Operating costs'!$B$66,0),"n.a."))</f>
        <v>0</v>
      </c>
      <c r="N2725" s="16">
        <f>IF(NOT(Paths!$C$254=1),0,IF(Paths!$P$254="Complete",SUM(G2725:I2725)-J2725-K2725-L2725+M2725+IF(C2725=0,Paths!$F$254,0)+IF(IF(Paths!$E$254=0,C2725=0,AND(C2725&gt;0,Paths!$E$254&gt;(C2725-1)*12,Paths!$E$254&lt;=C2725*12)),VLOOKUP(A2725,'Fleet register'!$A$7:$S$106,16,FALSE),0),"n.a."))</f>
        <v>0</v>
      </c>
      <c r="O2725" s="16">
        <f>IF(NOT(Paths!$C$254=1),0,IF(Paths!$P$254="Complete",N2725-IF(C2725=0,Paths!$F$254,0),"n.a."))</f>
        <v>0</v>
      </c>
      <c r="P2725" s="16">
        <f>IF(NOT(Paths!$C$254=1),0,IF(Paths!$P$254="Complete",O2725+L2725,"n.a."))</f>
        <v>0</v>
      </c>
      <c r="Q2725" s="16">
        <f>IF(NOT(Paths!$C$254=1),0,IF(Paths!$P$254="Complete",N2725*(1+'Operating costs'!$B$54)^-C2725,"n.a."))</f>
        <v>0</v>
      </c>
      <c r="R2725" s="16">
        <f>IF(NOT(Paths!$C$254=1),0,IF(Paths!$P$254="Complete",IF(AND(C2725=0,Paths!$E$254=0),I2725-J2725-K2725+VLOOKUP(A2725,'Fleet register'!$A$7:$S$106,15,FALSE)+VLOOKUP(A2725,'Fleet register'!$A$7:$S$106,16,FALSE),0),"n.a."))</f>
        <v>0</v>
      </c>
      <c r="S2725" s="1">
        <f>IF(NOT(Paths!$C$254=1),0,IF(Paths!$P$254="Complete",IF(C2725=0,0,Paths!$S$254*Paths!$R$254),"n.a."))</f>
        <v>0</v>
      </c>
      <c r="T2725" s="1">
        <f>IF(NOT(Paths!$C$254=1),0,IF(Paths!$P$254="Complete",IF(C2725=0,0,VLOOKUP(A2725,'Fleet register'!$A$7:$S$106,9,FALSE)*Paths!$R$254),"n.a."))</f>
        <v>0</v>
      </c>
    </row>
    <row r="2726" spans="1:20" ht="24" customHeight="1">
      <c r="A2726" s="1" t="str">
        <f>Paths!$A$254</f>
        <v>T062</v>
      </c>
      <c r="B2726" s="1">
        <f>Paths!$B$254</f>
        <v>3</v>
      </c>
      <c r="C2726" s="1">
        <v>2</v>
      </c>
      <c r="D2726" s="1">
        <v>254</v>
      </c>
      <c r="E2726" s="1">
        <f>IF(OR(Paths!$C$254=0,C2726=0),0,MAX(0,MIN(C2726*12,Paths!$E$254)-(C2726-1)*12))</f>
        <v>0</v>
      </c>
      <c r="F2726" s="1">
        <f>IF(OR(Paths!$C$254=0,C2726=0),0,12-E2726)</f>
        <v>0</v>
      </c>
      <c r="G2726" s="16">
        <f>IF(NOT(Paths!$C$254=1),0,IF(Paths!$P$254="Complete",E2726/12*(Paths!$J$254*(1+'Operating costs'!$B$51)^MAX(0,C2726-1)+Paths!$K$254*(1+'Operating costs'!$B$53)^MAX(0,C2726-1)),"n.a."))</f>
        <v>0</v>
      </c>
      <c r="H2726" s="16">
        <f>IF(NOT(Paths!$C$254=1),0,IF(Paths!$P$254="Complete",F2726/12*(Paths!$L$254*(1+IF(Paths!$D$254="EV",'Operating costs'!$B$52,'Operating costs'!$B$51))^MAX(0,C2726-1)+Paths!$M$254*(1+'Operating costs'!$B$53)^MAX(0,C2726-1)),"n.a."))</f>
        <v>0</v>
      </c>
      <c r="I2726" s="16">
        <f>IF(NOT(Paths!$C$254=1),0,IF(Paths!$P$254="Complete",IF(IF(Paths!$E$254=0,C2726=0,AND(C2726&gt;0,Paths!$E$254&gt;(C2726-1)*12,Paths!$E$254&lt;=C2726*12)),Paths!$G$254,0),"n.a."))</f>
        <v>0</v>
      </c>
      <c r="J2726" s="16">
        <f>IF(NOT(Paths!$C$254=1),0,IF(Paths!$P$254="Complete",IF(IF(Paths!$E$254=0,C2726=0,AND(C2726&gt;0,Paths!$E$254&gt;(C2726-1)*12,Paths!$E$254&lt;=C2726*12)),Paths!$H$254,0),"n.a."))</f>
        <v>0</v>
      </c>
      <c r="K2726" s="16">
        <f>IF(NOT(Paths!$C$254=1),0,IF(Paths!$P$254="Complete",IF(IF(Paths!$O$254=0,C2726=0,AND(C2726&gt;0,Paths!$O$254&gt;(C2726-1)*12,Paths!$O$254&lt;=C2726*12)),Paths!$N$254,0),"n.a."))</f>
        <v>0</v>
      </c>
      <c r="L2726" s="16">
        <f>IF(NOT(Paths!$C$254=1),0,IF(Paths!$P$254="Complete",IF(C2726=10,Paths!$I$254,0),"n.a."))</f>
        <v>0</v>
      </c>
      <c r="M2726" s="16">
        <f>IF(NOT(Paths!$C$254=1),0,IF(Paths!$P$254="Complete",IF(AND(Paths!$D$254="EV",Paths!$E$254&lt;120,Paths!$E$254+'Operating costs'!$B$65&gt;Paths!$E$254,Paths!$E$254+'Operating costs'!$B$65&lt;=120,IF(Paths!$E$254+'Operating costs'!$B$65=0,C2726=0,AND(C2726&gt;0,Paths!$E$254+'Operating costs'!$B$65&gt;(C2726-1)*12,Paths!$E$254+'Operating costs'!$B$65&lt;=C2726*12))),'Operating costs'!$B$64,0)+IF(AND('Operating costs'!$B$67&gt;0,'Operating costs'!$B$67&lt;=120,OR(Paths!$D$254="ICE",'Operating costs'!$B$67&lt;=Paths!$E$254),IF('Operating costs'!$B$67=0,C2726=0,AND(C2726&gt;0,'Operating costs'!$B$67&gt;(C2726-1)*12,'Operating costs'!$B$67&lt;=C2726*12))),'Operating costs'!$B$66,0),"n.a."))</f>
        <v>0</v>
      </c>
      <c r="N2726" s="16">
        <f>IF(NOT(Paths!$C$254=1),0,IF(Paths!$P$254="Complete",SUM(G2726:I2726)-J2726-K2726-L2726+M2726+IF(C2726=0,Paths!$F$254,0)+IF(IF(Paths!$E$254=0,C2726=0,AND(C2726&gt;0,Paths!$E$254&gt;(C2726-1)*12,Paths!$E$254&lt;=C2726*12)),VLOOKUP(A2726,'Fleet register'!$A$7:$S$106,16,FALSE),0),"n.a."))</f>
        <v>0</v>
      </c>
      <c r="O2726" s="16">
        <f>IF(NOT(Paths!$C$254=1),0,IF(Paths!$P$254="Complete",N2726-IF(C2726=0,Paths!$F$254,0),"n.a."))</f>
        <v>0</v>
      </c>
      <c r="P2726" s="16">
        <f>IF(NOT(Paths!$C$254=1),0,IF(Paths!$P$254="Complete",O2726+L2726,"n.a."))</f>
        <v>0</v>
      </c>
      <c r="Q2726" s="16">
        <f>IF(NOT(Paths!$C$254=1),0,IF(Paths!$P$254="Complete",N2726*(1+'Operating costs'!$B$54)^-C2726,"n.a."))</f>
        <v>0</v>
      </c>
      <c r="R2726" s="16">
        <f>IF(NOT(Paths!$C$254=1),0,IF(Paths!$P$254="Complete",IF(AND(C2726=0,Paths!$E$254=0),I2726-J2726-K2726+VLOOKUP(A2726,'Fleet register'!$A$7:$S$106,15,FALSE)+VLOOKUP(A2726,'Fleet register'!$A$7:$S$106,16,FALSE),0),"n.a."))</f>
        <v>0</v>
      </c>
      <c r="S2726" s="1">
        <f>IF(NOT(Paths!$C$254=1),0,IF(Paths!$P$254="Complete",IF(C2726=0,0,Paths!$S$254*Paths!$R$254),"n.a."))</f>
        <v>0</v>
      </c>
      <c r="T2726" s="1">
        <f>IF(NOT(Paths!$C$254=1),0,IF(Paths!$P$254="Complete",IF(C2726=0,0,VLOOKUP(A2726,'Fleet register'!$A$7:$S$106,9,FALSE)*Paths!$R$254),"n.a."))</f>
        <v>0</v>
      </c>
    </row>
    <row r="2727" spans="1:20" ht="24" customHeight="1">
      <c r="A2727" s="1" t="str">
        <f>Paths!$A$254</f>
        <v>T062</v>
      </c>
      <c r="B2727" s="1">
        <f>Paths!$B$254</f>
        <v>3</v>
      </c>
      <c r="C2727" s="1">
        <v>3</v>
      </c>
      <c r="D2727" s="1">
        <v>254</v>
      </c>
      <c r="E2727" s="1">
        <f>IF(OR(Paths!$C$254=0,C2727=0),0,MAX(0,MIN(C2727*12,Paths!$E$254)-(C2727-1)*12))</f>
        <v>0</v>
      </c>
      <c r="F2727" s="1">
        <f>IF(OR(Paths!$C$254=0,C2727=0),0,12-E2727)</f>
        <v>0</v>
      </c>
      <c r="G2727" s="16">
        <f>IF(NOT(Paths!$C$254=1),0,IF(Paths!$P$254="Complete",E2727/12*(Paths!$J$254*(1+'Operating costs'!$B$51)^MAX(0,C2727-1)+Paths!$K$254*(1+'Operating costs'!$B$53)^MAX(0,C2727-1)),"n.a."))</f>
        <v>0</v>
      </c>
      <c r="H2727" s="16">
        <f>IF(NOT(Paths!$C$254=1),0,IF(Paths!$P$254="Complete",F2727/12*(Paths!$L$254*(1+IF(Paths!$D$254="EV",'Operating costs'!$B$52,'Operating costs'!$B$51))^MAX(0,C2727-1)+Paths!$M$254*(1+'Operating costs'!$B$53)^MAX(0,C2727-1)),"n.a."))</f>
        <v>0</v>
      </c>
      <c r="I2727" s="16">
        <f>IF(NOT(Paths!$C$254=1),0,IF(Paths!$P$254="Complete",IF(IF(Paths!$E$254=0,C2727=0,AND(C2727&gt;0,Paths!$E$254&gt;(C2727-1)*12,Paths!$E$254&lt;=C2727*12)),Paths!$G$254,0),"n.a."))</f>
        <v>0</v>
      </c>
      <c r="J2727" s="16">
        <f>IF(NOT(Paths!$C$254=1),0,IF(Paths!$P$254="Complete",IF(IF(Paths!$E$254=0,C2727=0,AND(C2727&gt;0,Paths!$E$254&gt;(C2727-1)*12,Paths!$E$254&lt;=C2727*12)),Paths!$H$254,0),"n.a."))</f>
        <v>0</v>
      </c>
      <c r="K2727" s="16">
        <f>IF(NOT(Paths!$C$254=1),0,IF(Paths!$P$254="Complete",IF(IF(Paths!$O$254=0,C2727=0,AND(C2727&gt;0,Paths!$O$254&gt;(C2727-1)*12,Paths!$O$254&lt;=C2727*12)),Paths!$N$254,0),"n.a."))</f>
        <v>0</v>
      </c>
      <c r="L2727" s="16">
        <f>IF(NOT(Paths!$C$254=1),0,IF(Paths!$P$254="Complete",IF(C2727=10,Paths!$I$254,0),"n.a."))</f>
        <v>0</v>
      </c>
      <c r="M2727" s="16">
        <f>IF(NOT(Paths!$C$254=1),0,IF(Paths!$P$254="Complete",IF(AND(Paths!$D$254="EV",Paths!$E$254&lt;120,Paths!$E$254+'Operating costs'!$B$65&gt;Paths!$E$254,Paths!$E$254+'Operating costs'!$B$65&lt;=120,IF(Paths!$E$254+'Operating costs'!$B$65=0,C2727=0,AND(C2727&gt;0,Paths!$E$254+'Operating costs'!$B$65&gt;(C2727-1)*12,Paths!$E$254+'Operating costs'!$B$65&lt;=C2727*12))),'Operating costs'!$B$64,0)+IF(AND('Operating costs'!$B$67&gt;0,'Operating costs'!$B$67&lt;=120,OR(Paths!$D$254="ICE",'Operating costs'!$B$67&lt;=Paths!$E$254),IF('Operating costs'!$B$67=0,C2727=0,AND(C2727&gt;0,'Operating costs'!$B$67&gt;(C2727-1)*12,'Operating costs'!$B$67&lt;=C2727*12))),'Operating costs'!$B$66,0),"n.a."))</f>
        <v>0</v>
      </c>
      <c r="N2727" s="16">
        <f>IF(NOT(Paths!$C$254=1),0,IF(Paths!$P$254="Complete",SUM(G2727:I2727)-J2727-K2727-L2727+M2727+IF(C2727=0,Paths!$F$254,0)+IF(IF(Paths!$E$254=0,C2727=0,AND(C2727&gt;0,Paths!$E$254&gt;(C2727-1)*12,Paths!$E$254&lt;=C2727*12)),VLOOKUP(A2727,'Fleet register'!$A$7:$S$106,16,FALSE),0),"n.a."))</f>
        <v>0</v>
      </c>
      <c r="O2727" s="16">
        <f>IF(NOT(Paths!$C$254=1),0,IF(Paths!$P$254="Complete",N2727-IF(C2727=0,Paths!$F$254,0),"n.a."))</f>
        <v>0</v>
      </c>
      <c r="P2727" s="16">
        <f>IF(NOT(Paths!$C$254=1),0,IF(Paths!$P$254="Complete",O2727+L2727,"n.a."))</f>
        <v>0</v>
      </c>
      <c r="Q2727" s="16">
        <f>IF(NOT(Paths!$C$254=1),0,IF(Paths!$P$254="Complete",N2727*(1+'Operating costs'!$B$54)^-C2727,"n.a."))</f>
        <v>0</v>
      </c>
      <c r="R2727" s="16">
        <f>IF(NOT(Paths!$C$254=1),0,IF(Paths!$P$254="Complete",IF(AND(C2727=0,Paths!$E$254=0),I2727-J2727-K2727+VLOOKUP(A2727,'Fleet register'!$A$7:$S$106,15,FALSE)+VLOOKUP(A2727,'Fleet register'!$A$7:$S$106,16,FALSE),0),"n.a."))</f>
        <v>0</v>
      </c>
      <c r="S2727" s="1">
        <f>IF(NOT(Paths!$C$254=1),0,IF(Paths!$P$254="Complete",IF(C2727=0,0,Paths!$S$254*Paths!$R$254),"n.a."))</f>
        <v>0</v>
      </c>
      <c r="T2727" s="1">
        <f>IF(NOT(Paths!$C$254=1),0,IF(Paths!$P$254="Complete",IF(C2727=0,0,VLOOKUP(A2727,'Fleet register'!$A$7:$S$106,9,FALSE)*Paths!$R$254),"n.a."))</f>
        <v>0</v>
      </c>
    </row>
    <row r="2728" spans="1:20" ht="24" customHeight="1">
      <c r="A2728" s="1" t="str">
        <f>Paths!$A$254</f>
        <v>T062</v>
      </c>
      <c r="B2728" s="1">
        <f>Paths!$B$254</f>
        <v>3</v>
      </c>
      <c r="C2728" s="1">
        <v>4</v>
      </c>
      <c r="D2728" s="1">
        <v>254</v>
      </c>
      <c r="E2728" s="1">
        <f>IF(OR(Paths!$C$254=0,C2728=0),0,MAX(0,MIN(C2728*12,Paths!$E$254)-(C2728-1)*12))</f>
        <v>0</v>
      </c>
      <c r="F2728" s="1">
        <f>IF(OR(Paths!$C$254=0,C2728=0),0,12-E2728)</f>
        <v>0</v>
      </c>
      <c r="G2728" s="16">
        <f>IF(NOT(Paths!$C$254=1),0,IF(Paths!$P$254="Complete",E2728/12*(Paths!$J$254*(1+'Operating costs'!$B$51)^MAX(0,C2728-1)+Paths!$K$254*(1+'Operating costs'!$B$53)^MAX(0,C2728-1)),"n.a."))</f>
        <v>0</v>
      </c>
      <c r="H2728" s="16">
        <f>IF(NOT(Paths!$C$254=1),0,IF(Paths!$P$254="Complete",F2728/12*(Paths!$L$254*(1+IF(Paths!$D$254="EV",'Operating costs'!$B$52,'Operating costs'!$B$51))^MAX(0,C2728-1)+Paths!$M$254*(1+'Operating costs'!$B$53)^MAX(0,C2728-1)),"n.a."))</f>
        <v>0</v>
      </c>
      <c r="I2728" s="16">
        <f>IF(NOT(Paths!$C$254=1),0,IF(Paths!$P$254="Complete",IF(IF(Paths!$E$254=0,C2728=0,AND(C2728&gt;0,Paths!$E$254&gt;(C2728-1)*12,Paths!$E$254&lt;=C2728*12)),Paths!$G$254,0),"n.a."))</f>
        <v>0</v>
      </c>
      <c r="J2728" s="16">
        <f>IF(NOT(Paths!$C$254=1),0,IF(Paths!$P$254="Complete",IF(IF(Paths!$E$254=0,C2728=0,AND(C2728&gt;0,Paths!$E$254&gt;(C2728-1)*12,Paths!$E$254&lt;=C2728*12)),Paths!$H$254,0),"n.a."))</f>
        <v>0</v>
      </c>
      <c r="K2728" s="16">
        <f>IF(NOT(Paths!$C$254=1),0,IF(Paths!$P$254="Complete",IF(IF(Paths!$O$254=0,C2728=0,AND(C2728&gt;0,Paths!$O$254&gt;(C2728-1)*12,Paths!$O$254&lt;=C2728*12)),Paths!$N$254,0),"n.a."))</f>
        <v>0</v>
      </c>
      <c r="L2728" s="16">
        <f>IF(NOT(Paths!$C$254=1),0,IF(Paths!$P$254="Complete",IF(C2728=10,Paths!$I$254,0),"n.a."))</f>
        <v>0</v>
      </c>
      <c r="M2728" s="16">
        <f>IF(NOT(Paths!$C$254=1),0,IF(Paths!$P$254="Complete",IF(AND(Paths!$D$254="EV",Paths!$E$254&lt;120,Paths!$E$254+'Operating costs'!$B$65&gt;Paths!$E$254,Paths!$E$254+'Operating costs'!$B$65&lt;=120,IF(Paths!$E$254+'Operating costs'!$B$65=0,C2728=0,AND(C2728&gt;0,Paths!$E$254+'Operating costs'!$B$65&gt;(C2728-1)*12,Paths!$E$254+'Operating costs'!$B$65&lt;=C2728*12))),'Operating costs'!$B$64,0)+IF(AND('Operating costs'!$B$67&gt;0,'Operating costs'!$B$67&lt;=120,OR(Paths!$D$254="ICE",'Operating costs'!$B$67&lt;=Paths!$E$254),IF('Operating costs'!$B$67=0,C2728=0,AND(C2728&gt;0,'Operating costs'!$B$67&gt;(C2728-1)*12,'Operating costs'!$B$67&lt;=C2728*12))),'Operating costs'!$B$66,0),"n.a."))</f>
        <v>0</v>
      </c>
      <c r="N2728" s="16">
        <f>IF(NOT(Paths!$C$254=1),0,IF(Paths!$P$254="Complete",SUM(G2728:I2728)-J2728-K2728-L2728+M2728+IF(C2728=0,Paths!$F$254,0)+IF(IF(Paths!$E$254=0,C2728=0,AND(C2728&gt;0,Paths!$E$254&gt;(C2728-1)*12,Paths!$E$254&lt;=C2728*12)),VLOOKUP(A2728,'Fleet register'!$A$7:$S$106,16,FALSE),0),"n.a."))</f>
        <v>0</v>
      </c>
      <c r="O2728" s="16">
        <f>IF(NOT(Paths!$C$254=1),0,IF(Paths!$P$254="Complete",N2728-IF(C2728=0,Paths!$F$254,0),"n.a."))</f>
        <v>0</v>
      </c>
      <c r="P2728" s="16">
        <f>IF(NOT(Paths!$C$254=1),0,IF(Paths!$P$254="Complete",O2728+L2728,"n.a."))</f>
        <v>0</v>
      </c>
      <c r="Q2728" s="16">
        <f>IF(NOT(Paths!$C$254=1),0,IF(Paths!$P$254="Complete",N2728*(1+'Operating costs'!$B$54)^-C2728,"n.a."))</f>
        <v>0</v>
      </c>
      <c r="R2728" s="16">
        <f>IF(NOT(Paths!$C$254=1),0,IF(Paths!$P$254="Complete",IF(AND(C2728=0,Paths!$E$254=0),I2728-J2728-K2728+VLOOKUP(A2728,'Fleet register'!$A$7:$S$106,15,FALSE)+VLOOKUP(A2728,'Fleet register'!$A$7:$S$106,16,FALSE),0),"n.a."))</f>
        <v>0</v>
      </c>
      <c r="S2728" s="1">
        <f>IF(NOT(Paths!$C$254=1),0,IF(Paths!$P$254="Complete",IF(C2728=0,0,Paths!$S$254*Paths!$R$254),"n.a."))</f>
        <v>0</v>
      </c>
      <c r="T2728" s="1">
        <f>IF(NOT(Paths!$C$254=1),0,IF(Paths!$P$254="Complete",IF(C2728=0,0,VLOOKUP(A2728,'Fleet register'!$A$7:$S$106,9,FALSE)*Paths!$R$254),"n.a."))</f>
        <v>0</v>
      </c>
    </row>
    <row r="2729" spans="1:20" ht="24" customHeight="1">
      <c r="A2729" s="1" t="str">
        <f>Paths!$A$254</f>
        <v>T062</v>
      </c>
      <c r="B2729" s="1">
        <f>Paths!$B$254</f>
        <v>3</v>
      </c>
      <c r="C2729" s="1">
        <v>5</v>
      </c>
      <c r="D2729" s="1">
        <v>254</v>
      </c>
      <c r="E2729" s="1">
        <f>IF(OR(Paths!$C$254=0,C2729=0),0,MAX(0,MIN(C2729*12,Paths!$E$254)-(C2729-1)*12))</f>
        <v>0</v>
      </c>
      <c r="F2729" s="1">
        <f>IF(OR(Paths!$C$254=0,C2729=0),0,12-E2729)</f>
        <v>0</v>
      </c>
      <c r="G2729" s="16">
        <f>IF(NOT(Paths!$C$254=1),0,IF(Paths!$P$254="Complete",E2729/12*(Paths!$J$254*(1+'Operating costs'!$B$51)^MAX(0,C2729-1)+Paths!$K$254*(1+'Operating costs'!$B$53)^MAX(0,C2729-1)),"n.a."))</f>
        <v>0</v>
      </c>
      <c r="H2729" s="16">
        <f>IF(NOT(Paths!$C$254=1),0,IF(Paths!$P$254="Complete",F2729/12*(Paths!$L$254*(1+IF(Paths!$D$254="EV",'Operating costs'!$B$52,'Operating costs'!$B$51))^MAX(0,C2729-1)+Paths!$M$254*(1+'Operating costs'!$B$53)^MAX(0,C2729-1)),"n.a."))</f>
        <v>0</v>
      </c>
      <c r="I2729" s="16">
        <f>IF(NOT(Paths!$C$254=1),0,IF(Paths!$P$254="Complete",IF(IF(Paths!$E$254=0,C2729=0,AND(C2729&gt;0,Paths!$E$254&gt;(C2729-1)*12,Paths!$E$254&lt;=C2729*12)),Paths!$G$254,0),"n.a."))</f>
        <v>0</v>
      </c>
      <c r="J2729" s="16">
        <f>IF(NOT(Paths!$C$254=1),0,IF(Paths!$P$254="Complete",IF(IF(Paths!$E$254=0,C2729=0,AND(C2729&gt;0,Paths!$E$254&gt;(C2729-1)*12,Paths!$E$254&lt;=C2729*12)),Paths!$H$254,0),"n.a."))</f>
        <v>0</v>
      </c>
      <c r="K2729" s="16">
        <f>IF(NOT(Paths!$C$254=1),0,IF(Paths!$P$254="Complete",IF(IF(Paths!$O$254=0,C2729=0,AND(C2729&gt;0,Paths!$O$254&gt;(C2729-1)*12,Paths!$O$254&lt;=C2729*12)),Paths!$N$254,0),"n.a."))</f>
        <v>0</v>
      </c>
      <c r="L2729" s="16">
        <f>IF(NOT(Paths!$C$254=1),0,IF(Paths!$P$254="Complete",IF(C2729=10,Paths!$I$254,0),"n.a."))</f>
        <v>0</v>
      </c>
      <c r="M2729" s="16">
        <f>IF(NOT(Paths!$C$254=1),0,IF(Paths!$P$254="Complete",IF(AND(Paths!$D$254="EV",Paths!$E$254&lt;120,Paths!$E$254+'Operating costs'!$B$65&gt;Paths!$E$254,Paths!$E$254+'Operating costs'!$B$65&lt;=120,IF(Paths!$E$254+'Operating costs'!$B$65=0,C2729=0,AND(C2729&gt;0,Paths!$E$254+'Operating costs'!$B$65&gt;(C2729-1)*12,Paths!$E$254+'Operating costs'!$B$65&lt;=C2729*12))),'Operating costs'!$B$64,0)+IF(AND('Operating costs'!$B$67&gt;0,'Operating costs'!$B$67&lt;=120,OR(Paths!$D$254="ICE",'Operating costs'!$B$67&lt;=Paths!$E$254),IF('Operating costs'!$B$67=0,C2729=0,AND(C2729&gt;0,'Operating costs'!$B$67&gt;(C2729-1)*12,'Operating costs'!$B$67&lt;=C2729*12))),'Operating costs'!$B$66,0),"n.a."))</f>
        <v>0</v>
      </c>
      <c r="N2729" s="16">
        <f>IF(NOT(Paths!$C$254=1),0,IF(Paths!$P$254="Complete",SUM(G2729:I2729)-J2729-K2729-L2729+M2729+IF(C2729=0,Paths!$F$254,0)+IF(IF(Paths!$E$254=0,C2729=0,AND(C2729&gt;0,Paths!$E$254&gt;(C2729-1)*12,Paths!$E$254&lt;=C2729*12)),VLOOKUP(A2729,'Fleet register'!$A$7:$S$106,16,FALSE),0),"n.a."))</f>
        <v>0</v>
      </c>
      <c r="O2729" s="16">
        <f>IF(NOT(Paths!$C$254=1),0,IF(Paths!$P$254="Complete",N2729-IF(C2729=0,Paths!$F$254,0),"n.a."))</f>
        <v>0</v>
      </c>
      <c r="P2729" s="16">
        <f>IF(NOT(Paths!$C$254=1),0,IF(Paths!$P$254="Complete",O2729+L2729,"n.a."))</f>
        <v>0</v>
      </c>
      <c r="Q2729" s="16">
        <f>IF(NOT(Paths!$C$254=1),0,IF(Paths!$P$254="Complete",N2729*(1+'Operating costs'!$B$54)^-C2729,"n.a."))</f>
        <v>0</v>
      </c>
      <c r="R2729" s="16">
        <f>IF(NOT(Paths!$C$254=1),0,IF(Paths!$P$254="Complete",IF(AND(C2729=0,Paths!$E$254=0),I2729-J2729-K2729+VLOOKUP(A2729,'Fleet register'!$A$7:$S$106,15,FALSE)+VLOOKUP(A2729,'Fleet register'!$A$7:$S$106,16,FALSE),0),"n.a."))</f>
        <v>0</v>
      </c>
      <c r="S2729" s="1">
        <f>IF(NOT(Paths!$C$254=1),0,IF(Paths!$P$254="Complete",IF(C2729=0,0,Paths!$S$254*Paths!$R$254),"n.a."))</f>
        <v>0</v>
      </c>
      <c r="T2729" s="1">
        <f>IF(NOT(Paths!$C$254=1),0,IF(Paths!$P$254="Complete",IF(C2729=0,0,VLOOKUP(A2729,'Fleet register'!$A$7:$S$106,9,FALSE)*Paths!$R$254),"n.a."))</f>
        <v>0</v>
      </c>
    </row>
    <row r="2730" spans="1:20" ht="24" customHeight="1">
      <c r="A2730" s="1" t="str">
        <f>Paths!$A$254</f>
        <v>T062</v>
      </c>
      <c r="B2730" s="1">
        <f>Paths!$B$254</f>
        <v>3</v>
      </c>
      <c r="C2730" s="1">
        <v>6</v>
      </c>
      <c r="D2730" s="1">
        <v>254</v>
      </c>
      <c r="E2730" s="1">
        <f>IF(OR(Paths!$C$254=0,C2730=0),0,MAX(0,MIN(C2730*12,Paths!$E$254)-(C2730-1)*12))</f>
        <v>0</v>
      </c>
      <c r="F2730" s="1">
        <f>IF(OR(Paths!$C$254=0,C2730=0),0,12-E2730)</f>
        <v>0</v>
      </c>
      <c r="G2730" s="16">
        <f>IF(NOT(Paths!$C$254=1),0,IF(Paths!$P$254="Complete",E2730/12*(Paths!$J$254*(1+'Operating costs'!$B$51)^MAX(0,C2730-1)+Paths!$K$254*(1+'Operating costs'!$B$53)^MAX(0,C2730-1)),"n.a."))</f>
        <v>0</v>
      </c>
      <c r="H2730" s="16">
        <f>IF(NOT(Paths!$C$254=1),0,IF(Paths!$P$254="Complete",F2730/12*(Paths!$L$254*(1+IF(Paths!$D$254="EV",'Operating costs'!$B$52,'Operating costs'!$B$51))^MAX(0,C2730-1)+Paths!$M$254*(1+'Operating costs'!$B$53)^MAX(0,C2730-1)),"n.a."))</f>
        <v>0</v>
      </c>
      <c r="I2730" s="16">
        <f>IF(NOT(Paths!$C$254=1),0,IF(Paths!$P$254="Complete",IF(IF(Paths!$E$254=0,C2730=0,AND(C2730&gt;0,Paths!$E$254&gt;(C2730-1)*12,Paths!$E$254&lt;=C2730*12)),Paths!$G$254,0),"n.a."))</f>
        <v>0</v>
      </c>
      <c r="J2730" s="16">
        <f>IF(NOT(Paths!$C$254=1),0,IF(Paths!$P$254="Complete",IF(IF(Paths!$E$254=0,C2730=0,AND(C2730&gt;0,Paths!$E$254&gt;(C2730-1)*12,Paths!$E$254&lt;=C2730*12)),Paths!$H$254,0),"n.a."))</f>
        <v>0</v>
      </c>
      <c r="K2730" s="16">
        <f>IF(NOT(Paths!$C$254=1),0,IF(Paths!$P$254="Complete",IF(IF(Paths!$O$254=0,C2730=0,AND(C2730&gt;0,Paths!$O$254&gt;(C2730-1)*12,Paths!$O$254&lt;=C2730*12)),Paths!$N$254,0),"n.a."))</f>
        <v>0</v>
      </c>
      <c r="L2730" s="16">
        <f>IF(NOT(Paths!$C$254=1),0,IF(Paths!$P$254="Complete",IF(C2730=10,Paths!$I$254,0),"n.a."))</f>
        <v>0</v>
      </c>
      <c r="M2730" s="16">
        <f>IF(NOT(Paths!$C$254=1),0,IF(Paths!$P$254="Complete",IF(AND(Paths!$D$254="EV",Paths!$E$254&lt;120,Paths!$E$254+'Operating costs'!$B$65&gt;Paths!$E$254,Paths!$E$254+'Operating costs'!$B$65&lt;=120,IF(Paths!$E$254+'Operating costs'!$B$65=0,C2730=0,AND(C2730&gt;0,Paths!$E$254+'Operating costs'!$B$65&gt;(C2730-1)*12,Paths!$E$254+'Operating costs'!$B$65&lt;=C2730*12))),'Operating costs'!$B$64,0)+IF(AND('Operating costs'!$B$67&gt;0,'Operating costs'!$B$67&lt;=120,OR(Paths!$D$254="ICE",'Operating costs'!$B$67&lt;=Paths!$E$254),IF('Operating costs'!$B$67=0,C2730=0,AND(C2730&gt;0,'Operating costs'!$B$67&gt;(C2730-1)*12,'Operating costs'!$B$67&lt;=C2730*12))),'Operating costs'!$B$66,0),"n.a."))</f>
        <v>0</v>
      </c>
      <c r="N2730" s="16">
        <f>IF(NOT(Paths!$C$254=1),0,IF(Paths!$P$254="Complete",SUM(G2730:I2730)-J2730-K2730-L2730+M2730+IF(C2730=0,Paths!$F$254,0)+IF(IF(Paths!$E$254=0,C2730=0,AND(C2730&gt;0,Paths!$E$254&gt;(C2730-1)*12,Paths!$E$254&lt;=C2730*12)),VLOOKUP(A2730,'Fleet register'!$A$7:$S$106,16,FALSE),0),"n.a."))</f>
        <v>0</v>
      </c>
      <c r="O2730" s="16">
        <f>IF(NOT(Paths!$C$254=1),0,IF(Paths!$P$254="Complete",N2730-IF(C2730=0,Paths!$F$254,0),"n.a."))</f>
        <v>0</v>
      </c>
      <c r="P2730" s="16">
        <f>IF(NOT(Paths!$C$254=1),0,IF(Paths!$P$254="Complete",O2730+L2730,"n.a."))</f>
        <v>0</v>
      </c>
      <c r="Q2730" s="16">
        <f>IF(NOT(Paths!$C$254=1),0,IF(Paths!$P$254="Complete",N2730*(1+'Operating costs'!$B$54)^-C2730,"n.a."))</f>
        <v>0</v>
      </c>
      <c r="R2730" s="16">
        <f>IF(NOT(Paths!$C$254=1),0,IF(Paths!$P$254="Complete",IF(AND(C2730=0,Paths!$E$254=0),I2730-J2730-K2730+VLOOKUP(A2730,'Fleet register'!$A$7:$S$106,15,FALSE)+VLOOKUP(A2730,'Fleet register'!$A$7:$S$106,16,FALSE),0),"n.a."))</f>
        <v>0</v>
      </c>
      <c r="S2730" s="1">
        <f>IF(NOT(Paths!$C$254=1),0,IF(Paths!$P$254="Complete",IF(C2730=0,0,Paths!$S$254*Paths!$R$254),"n.a."))</f>
        <v>0</v>
      </c>
      <c r="T2730" s="1">
        <f>IF(NOT(Paths!$C$254=1),0,IF(Paths!$P$254="Complete",IF(C2730=0,0,VLOOKUP(A2730,'Fleet register'!$A$7:$S$106,9,FALSE)*Paths!$R$254),"n.a."))</f>
        <v>0</v>
      </c>
    </row>
    <row r="2731" spans="1:20" ht="24" customHeight="1">
      <c r="A2731" s="1" t="str">
        <f>Paths!$A$254</f>
        <v>T062</v>
      </c>
      <c r="B2731" s="1">
        <f>Paths!$B$254</f>
        <v>3</v>
      </c>
      <c r="C2731" s="1">
        <v>7</v>
      </c>
      <c r="D2731" s="1">
        <v>254</v>
      </c>
      <c r="E2731" s="1">
        <f>IF(OR(Paths!$C$254=0,C2731=0),0,MAX(0,MIN(C2731*12,Paths!$E$254)-(C2731-1)*12))</f>
        <v>0</v>
      </c>
      <c r="F2731" s="1">
        <f>IF(OR(Paths!$C$254=0,C2731=0),0,12-E2731)</f>
        <v>0</v>
      </c>
      <c r="G2731" s="16">
        <f>IF(NOT(Paths!$C$254=1),0,IF(Paths!$P$254="Complete",E2731/12*(Paths!$J$254*(1+'Operating costs'!$B$51)^MAX(0,C2731-1)+Paths!$K$254*(1+'Operating costs'!$B$53)^MAX(0,C2731-1)),"n.a."))</f>
        <v>0</v>
      </c>
      <c r="H2731" s="16">
        <f>IF(NOT(Paths!$C$254=1),0,IF(Paths!$P$254="Complete",F2731/12*(Paths!$L$254*(1+IF(Paths!$D$254="EV",'Operating costs'!$B$52,'Operating costs'!$B$51))^MAX(0,C2731-1)+Paths!$M$254*(1+'Operating costs'!$B$53)^MAX(0,C2731-1)),"n.a."))</f>
        <v>0</v>
      </c>
      <c r="I2731" s="16">
        <f>IF(NOT(Paths!$C$254=1),0,IF(Paths!$P$254="Complete",IF(IF(Paths!$E$254=0,C2731=0,AND(C2731&gt;0,Paths!$E$254&gt;(C2731-1)*12,Paths!$E$254&lt;=C2731*12)),Paths!$G$254,0),"n.a."))</f>
        <v>0</v>
      </c>
      <c r="J2731" s="16">
        <f>IF(NOT(Paths!$C$254=1),0,IF(Paths!$P$254="Complete",IF(IF(Paths!$E$254=0,C2731=0,AND(C2731&gt;0,Paths!$E$254&gt;(C2731-1)*12,Paths!$E$254&lt;=C2731*12)),Paths!$H$254,0),"n.a."))</f>
        <v>0</v>
      </c>
      <c r="K2731" s="16">
        <f>IF(NOT(Paths!$C$254=1),0,IF(Paths!$P$254="Complete",IF(IF(Paths!$O$254=0,C2731=0,AND(C2731&gt;0,Paths!$O$254&gt;(C2731-1)*12,Paths!$O$254&lt;=C2731*12)),Paths!$N$254,0),"n.a."))</f>
        <v>0</v>
      </c>
      <c r="L2731" s="16">
        <f>IF(NOT(Paths!$C$254=1),0,IF(Paths!$P$254="Complete",IF(C2731=10,Paths!$I$254,0),"n.a."))</f>
        <v>0</v>
      </c>
      <c r="M2731" s="16">
        <f>IF(NOT(Paths!$C$254=1),0,IF(Paths!$P$254="Complete",IF(AND(Paths!$D$254="EV",Paths!$E$254&lt;120,Paths!$E$254+'Operating costs'!$B$65&gt;Paths!$E$254,Paths!$E$254+'Operating costs'!$B$65&lt;=120,IF(Paths!$E$254+'Operating costs'!$B$65=0,C2731=0,AND(C2731&gt;0,Paths!$E$254+'Operating costs'!$B$65&gt;(C2731-1)*12,Paths!$E$254+'Operating costs'!$B$65&lt;=C2731*12))),'Operating costs'!$B$64,0)+IF(AND('Operating costs'!$B$67&gt;0,'Operating costs'!$B$67&lt;=120,OR(Paths!$D$254="ICE",'Operating costs'!$B$67&lt;=Paths!$E$254),IF('Operating costs'!$B$67=0,C2731=0,AND(C2731&gt;0,'Operating costs'!$B$67&gt;(C2731-1)*12,'Operating costs'!$B$67&lt;=C2731*12))),'Operating costs'!$B$66,0),"n.a."))</f>
        <v>0</v>
      </c>
      <c r="N2731" s="16">
        <f>IF(NOT(Paths!$C$254=1),0,IF(Paths!$P$254="Complete",SUM(G2731:I2731)-J2731-K2731-L2731+M2731+IF(C2731=0,Paths!$F$254,0)+IF(IF(Paths!$E$254=0,C2731=0,AND(C2731&gt;0,Paths!$E$254&gt;(C2731-1)*12,Paths!$E$254&lt;=C2731*12)),VLOOKUP(A2731,'Fleet register'!$A$7:$S$106,16,FALSE),0),"n.a."))</f>
        <v>0</v>
      </c>
      <c r="O2731" s="16">
        <f>IF(NOT(Paths!$C$254=1),0,IF(Paths!$P$254="Complete",N2731-IF(C2731=0,Paths!$F$254,0),"n.a."))</f>
        <v>0</v>
      </c>
      <c r="P2731" s="16">
        <f>IF(NOT(Paths!$C$254=1),0,IF(Paths!$P$254="Complete",O2731+L2731,"n.a."))</f>
        <v>0</v>
      </c>
      <c r="Q2731" s="16">
        <f>IF(NOT(Paths!$C$254=1),0,IF(Paths!$P$254="Complete",N2731*(1+'Operating costs'!$B$54)^-C2731,"n.a."))</f>
        <v>0</v>
      </c>
      <c r="R2731" s="16">
        <f>IF(NOT(Paths!$C$254=1),0,IF(Paths!$P$254="Complete",IF(AND(C2731=0,Paths!$E$254=0),I2731-J2731-K2731+VLOOKUP(A2731,'Fleet register'!$A$7:$S$106,15,FALSE)+VLOOKUP(A2731,'Fleet register'!$A$7:$S$106,16,FALSE),0),"n.a."))</f>
        <v>0</v>
      </c>
      <c r="S2731" s="1">
        <f>IF(NOT(Paths!$C$254=1),0,IF(Paths!$P$254="Complete",IF(C2731=0,0,Paths!$S$254*Paths!$R$254),"n.a."))</f>
        <v>0</v>
      </c>
      <c r="T2731" s="1">
        <f>IF(NOT(Paths!$C$254=1),0,IF(Paths!$P$254="Complete",IF(C2731=0,0,VLOOKUP(A2731,'Fleet register'!$A$7:$S$106,9,FALSE)*Paths!$R$254),"n.a."))</f>
        <v>0</v>
      </c>
    </row>
    <row r="2732" spans="1:20" ht="24" customHeight="1">
      <c r="A2732" s="1" t="str">
        <f>Paths!$A$254</f>
        <v>T062</v>
      </c>
      <c r="B2732" s="1">
        <f>Paths!$B$254</f>
        <v>3</v>
      </c>
      <c r="C2732" s="1">
        <v>8</v>
      </c>
      <c r="D2732" s="1">
        <v>254</v>
      </c>
      <c r="E2732" s="1">
        <f>IF(OR(Paths!$C$254=0,C2732=0),0,MAX(0,MIN(C2732*12,Paths!$E$254)-(C2732-1)*12))</f>
        <v>0</v>
      </c>
      <c r="F2732" s="1">
        <f>IF(OR(Paths!$C$254=0,C2732=0),0,12-E2732)</f>
        <v>0</v>
      </c>
      <c r="G2732" s="16">
        <f>IF(NOT(Paths!$C$254=1),0,IF(Paths!$P$254="Complete",E2732/12*(Paths!$J$254*(1+'Operating costs'!$B$51)^MAX(0,C2732-1)+Paths!$K$254*(1+'Operating costs'!$B$53)^MAX(0,C2732-1)),"n.a."))</f>
        <v>0</v>
      </c>
      <c r="H2732" s="16">
        <f>IF(NOT(Paths!$C$254=1),0,IF(Paths!$P$254="Complete",F2732/12*(Paths!$L$254*(1+IF(Paths!$D$254="EV",'Operating costs'!$B$52,'Operating costs'!$B$51))^MAX(0,C2732-1)+Paths!$M$254*(1+'Operating costs'!$B$53)^MAX(0,C2732-1)),"n.a."))</f>
        <v>0</v>
      </c>
      <c r="I2732" s="16">
        <f>IF(NOT(Paths!$C$254=1),0,IF(Paths!$P$254="Complete",IF(IF(Paths!$E$254=0,C2732=0,AND(C2732&gt;0,Paths!$E$254&gt;(C2732-1)*12,Paths!$E$254&lt;=C2732*12)),Paths!$G$254,0),"n.a."))</f>
        <v>0</v>
      </c>
      <c r="J2732" s="16">
        <f>IF(NOT(Paths!$C$254=1),0,IF(Paths!$P$254="Complete",IF(IF(Paths!$E$254=0,C2732=0,AND(C2732&gt;0,Paths!$E$254&gt;(C2732-1)*12,Paths!$E$254&lt;=C2732*12)),Paths!$H$254,0),"n.a."))</f>
        <v>0</v>
      </c>
      <c r="K2732" s="16">
        <f>IF(NOT(Paths!$C$254=1),0,IF(Paths!$P$254="Complete",IF(IF(Paths!$O$254=0,C2732=0,AND(C2732&gt;0,Paths!$O$254&gt;(C2732-1)*12,Paths!$O$254&lt;=C2732*12)),Paths!$N$254,0),"n.a."))</f>
        <v>0</v>
      </c>
      <c r="L2732" s="16">
        <f>IF(NOT(Paths!$C$254=1),0,IF(Paths!$P$254="Complete",IF(C2732=10,Paths!$I$254,0),"n.a."))</f>
        <v>0</v>
      </c>
      <c r="M2732" s="16">
        <f>IF(NOT(Paths!$C$254=1),0,IF(Paths!$P$254="Complete",IF(AND(Paths!$D$254="EV",Paths!$E$254&lt;120,Paths!$E$254+'Operating costs'!$B$65&gt;Paths!$E$254,Paths!$E$254+'Operating costs'!$B$65&lt;=120,IF(Paths!$E$254+'Operating costs'!$B$65=0,C2732=0,AND(C2732&gt;0,Paths!$E$254+'Operating costs'!$B$65&gt;(C2732-1)*12,Paths!$E$254+'Operating costs'!$B$65&lt;=C2732*12))),'Operating costs'!$B$64,0)+IF(AND('Operating costs'!$B$67&gt;0,'Operating costs'!$B$67&lt;=120,OR(Paths!$D$254="ICE",'Operating costs'!$B$67&lt;=Paths!$E$254),IF('Operating costs'!$B$67=0,C2732=0,AND(C2732&gt;0,'Operating costs'!$B$67&gt;(C2732-1)*12,'Operating costs'!$B$67&lt;=C2732*12))),'Operating costs'!$B$66,0),"n.a."))</f>
        <v>0</v>
      </c>
      <c r="N2732" s="16">
        <f>IF(NOT(Paths!$C$254=1),0,IF(Paths!$P$254="Complete",SUM(G2732:I2732)-J2732-K2732-L2732+M2732+IF(C2732=0,Paths!$F$254,0)+IF(IF(Paths!$E$254=0,C2732=0,AND(C2732&gt;0,Paths!$E$254&gt;(C2732-1)*12,Paths!$E$254&lt;=C2732*12)),VLOOKUP(A2732,'Fleet register'!$A$7:$S$106,16,FALSE),0),"n.a."))</f>
        <v>0</v>
      </c>
      <c r="O2732" s="16">
        <f>IF(NOT(Paths!$C$254=1),0,IF(Paths!$P$254="Complete",N2732-IF(C2732=0,Paths!$F$254,0),"n.a."))</f>
        <v>0</v>
      </c>
      <c r="P2732" s="16">
        <f>IF(NOT(Paths!$C$254=1),0,IF(Paths!$P$254="Complete",O2732+L2732,"n.a."))</f>
        <v>0</v>
      </c>
      <c r="Q2732" s="16">
        <f>IF(NOT(Paths!$C$254=1),0,IF(Paths!$P$254="Complete",N2732*(1+'Operating costs'!$B$54)^-C2732,"n.a."))</f>
        <v>0</v>
      </c>
      <c r="R2732" s="16">
        <f>IF(NOT(Paths!$C$254=1),0,IF(Paths!$P$254="Complete",IF(AND(C2732=0,Paths!$E$254=0),I2732-J2732-K2732+VLOOKUP(A2732,'Fleet register'!$A$7:$S$106,15,FALSE)+VLOOKUP(A2732,'Fleet register'!$A$7:$S$106,16,FALSE),0),"n.a."))</f>
        <v>0</v>
      </c>
      <c r="S2732" s="1">
        <f>IF(NOT(Paths!$C$254=1),0,IF(Paths!$P$254="Complete",IF(C2732=0,0,Paths!$S$254*Paths!$R$254),"n.a."))</f>
        <v>0</v>
      </c>
      <c r="T2732" s="1">
        <f>IF(NOT(Paths!$C$254=1),0,IF(Paths!$P$254="Complete",IF(C2732=0,0,VLOOKUP(A2732,'Fleet register'!$A$7:$S$106,9,FALSE)*Paths!$R$254),"n.a."))</f>
        <v>0</v>
      </c>
    </row>
    <row r="2733" spans="1:20" ht="24" customHeight="1">
      <c r="A2733" s="1" t="str">
        <f>Paths!$A$254</f>
        <v>T062</v>
      </c>
      <c r="B2733" s="1">
        <f>Paths!$B$254</f>
        <v>3</v>
      </c>
      <c r="C2733" s="1">
        <v>9</v>
      </c>
      <c r="D2733" s="1">
        <v>254</v>
      </c>
      <c r="E2733" s="1">
        <f>IF(OR(Paths!$C$254=0,C2733=0),0,MAX(0,MIN(C2733*12,Paths!$E$254)-(C2733-1)*12))</f>
        <v>0</v>
      </c>
      <c r="F2733" s="1">
        <f>IF(OR(Paths!$C$254=0,C2733=0),0,12-E2733)</f>
        <v>0</v>
      </c>
      <c r="G2733" s="16">
        <f>IF(NOT(Paths!$C$254=1),0,IF(Paths!$P$254="Complete",E2733/12*(Paths!$J$254*(1+'Operating costs'!$B$51)^MAX(0,C2733-1)+Paths!$K$254*(1+'Operating costs'!$B$53)^MAX(0,C2733-1)),"n.a."))</f>
        <v>0</v>
      </c>
      <c r="H2733" s="16">
        <f>IF(NOT(Paths!$C$254=1),0,IF(Paths!$P$254="Complete",F2733/12*(Paths!$L$254*(1+IF(Paths!$D$254="EV",'Operating costs'!$B$52,'Operating costs'!$B$51))^MAX(0,C2733-1)+Paths!$M$254*(1+'Operating costs'!$B$53)^MAX(0,C2733-1)),"n.a."))</f>
        <v>0</v>
      </c>
      <c r="I2733" s="16">
        <f>IF(NOT(Paths!$C$254=1),0,IF(Paths!$P$254="Complete",IF(IF(Paths!$E$254=0,C2733=0,AND(C2733&gt;0,Paths!$E$254&gt;(C2733-1)*12,Paths!$E$254&lt;=C2733*12)),Paths!$G$254,0),"n.a."))</f>
        <v>0</v>
      </c>
      <c r="J2733" s="16">
        <f>IF(NOT(Paths!$C$254=1),0,IF(Paths!$P$254="Complete",IF(IF(Paths!$E$254=0,C2733=0,AND(C2733&gt;0,Paths!$E$254&gt;(C2733-1)*12,Paths!$E$254&lt;=C2733*12)),Paths!$H$254,0),"n.a."))</f>
        <v>0</v>
      </c>
      <c r="K2733" s="16">
        <f>IF(NOT(Paths!$C$254=1),0,IF(Paths!$P$254="Complete",IF(IF(Paths!$O$254=0,C2733=0,AND(C2733&gt;0,Paths!$O$254&gt;(C2733-1)*12,Paths!$O$254&lt;=C2733*12)),Paths!$N$254,0),"n.a."))</f>
        <v>0</v>
      </c>
      <c r="L2733" s="16">
        <f>IF(NOT(Paths!$C$254=1),0,IF(Paths!$P$254="Complete",IF(C2733=10,Paths!$I$254,0),"n.a."))</f>
        <v>0</v>
      </c>
      <c r="M2733" s="16">
        <f>IF(NOT(Paths!$C$254=1),0,IF(Paths!$P$254="Complete",IF(AND(Paths!$D$254="EV",Paths!$E$254&lt;120,Paths!$E$254+'Operating costs'!$B$65&gt;Paths!$E$254,Paths!$E$254+'Operating costs'!$B$65&lt;=120,IF(Paths!$E$254+'Operating costs'!$B$65=0,C2733=0,AND(C2733&gt;0,Paths!$E$254+'Operating costs'!$B$65&gt;(C2733-1)*12,Paths!$E$254+'Operating costs'!$B$65&lt;=C2733*12))),'Operating costs'!$B$64,0)+IF(AND('Operating costs'!$B$67&gt;0,'Operating costs'!$B$67&lt;=120,OR(Paths!$D$254="ICE",'Operating costs'!$B$67&lt;=Paths!$E$254),IF('Operating costs'!$B$67=0,C2733=0,AND(C2733&gt;0,'Operating costs'!$B$67&gt;(C2733-1)*12,'Operating costs'!$B$67&lt;=C2733*12))),'Operating costs'!$B$66,0),"n.a."))</f>
        <v>0</v>
      </c>
      <c r="N2733" s="16">
        <f>IF(NOT(Paths!$C$254=1),0,IF(Paths!$P$254="Complete",SUM(G2733:I2733)-J2733-K2733-L2733+M2733+IF(C2733=0,Paths!$F$254,0)+IF(IF(Paths!$E$254=0,C2733=0,AND(C2733&gt;0,Paths!$E$254&gt;(C2733-1)*12,Paths!$E$254&lt;=C2733*12)),VLOOKUP(A2733,'Fleet register'!$A$7:$S$106,16,FALSE),0),"n.a."))</f>
        <v>0</v>
      </c>
      <c r="O2733" s="16">
        <f>IF(NOT(Paths!$C$254=1),0,IF(Paths!$P$254="Complete",N2733-IF(C2733=0,Paths!$F$254,0),"n.a."))</f>
        <v>0</v>
      </c>
      <c r="P2733" s="16">
        <f>IF(NOT(Paths!$C$254=1),0,IF(Paths!$P$254="Complete",O2733+L2733,"n.a."))</f>
        <v>0</v>
      </c>
      <c r="Q2733" s="16">
        <f>IF(NOT(Paths!$C$254=1),0,IF(Paths!$P$254="Complete",N2733*(1+'Operating costs'!$B$54)^-C2733,"n.a."))</f>
        <v>0</v>
      </c>
      <c r="R2733" s="16">
        <f>IF(NOT(Paths!$C$254=1),0,IF(Paths!$P$254="Complete",IF(AND(C2733=0,Paths!$E$254=0),I2733-J2733-K2733+VLOOKUP(A2733,'Fleet register'!$A$7:$S$106,15,FALSE)+VLOOKUP(A2733,'Fleet register'!$A$7:$S$106,16,FALSE),0),"n.a."))</f>
        <v>0</v>
      </c>
      <c r="S2733" s="1">
        <f>IF(NOT(Paths!$C$254=1),0,IF(Paths!$P$254="Complete",IF(C2733=0,0,Paths!$S$254*Paths!$R$254),"n.a."))</f>
        <v>0</v>
      </c>
      <c r="T2733" s="1">
        <f>IF(NOT(Paths!$C$254=1),0,IF(Paths!$P$254="Complete",IF(C2733=0,0,VLOOKUP(A2733,'Fleet register'!$A$7:$S$106,9,FALSE)*Paths!$R$254),"n.a."))</f>
        <v>0</v>
      </c>
    </row>
    <row r="2734" spans="1:20" ht="24" customHeight="1">
      <c r="A2734" s="1" t="str">
        <f>Paths!$A$254</f>
        <v>T062</v>
      </c>
      <c r="B2734" s="1">
        <f>Paths!$B$254</f>
        <v>3</v>
      </c>
      <c r="C2734" s="1">
        <v>10</v>
      </c>
      <c r="D2734" s="1">
        <v>254</v>
      </c>
      <c r="E2734" s="1">
        <f>IF(OR(Paths!$C$254=0,C2734=0),0,MAX(0,MIN(C2734*12,Paths!$E$254)-(C2734-1)*12))</f>
        <v>0</v>
      </c>
      <c r="F2734" s="1">
        <f>IF(OR(Paths!$C$254=0,C2734=0),0,12-E2734)</f>
        <v>0</v>
      </c>
      <c r="G2734" s="16">
        <f>IF(NOT(Paths!$C$254=1),0,IF(Paths!$P$254="Complete",E2734/12*(Paths!$J$254*(1+'Operating costs'!$B$51)^MAX(0,C2734-1)+Paths!$K$254*(1+'Operating costs'!$B$53)^MAX(0,C2734-1)),"n.a."))</f>
        <v>0</v>
      </c>
      <c r="H2734" s="16">
        <f>IF(NOT(Paths!$C$254=1),0,IF(Paths!$P$254="Complete",F2734/12*(Paths!$L$254*(1+IF(Paths!$D$254="EV",'Operating costs'!$B$52,'Operating costs'!$B$51))^MAX(0,C2734-1)+Paths!$M$254*(1+'Operating costs'!$B$53)^MAX(0,C2734-1)),"n.a."))</f>
        <v>0</v>
      </c>
      <c r="I2734" s="16">
        <f>IF(NOT(Paths!$C$254=1),0,IF(Paths!$P$254="Complete",IF(IF(Paths!$E$254=0,C2734=0,AND(C2734&gt;0,Paths!$E$254&gt;(C2734-1)*12,Paths!$E$254&lt;=C2734*12)),Paths!$G$254,0),"n.a."))</f>
        <v>0</v>
      </c>
      <c r="J2734" s="16">
        <f>IF(NOT(Paths!$C$254=1),0,IF(Paths!$P$254="Complete",IF(IF(Paths!$E$254=0,C2734=0,AND(C2734&gt;0,Paths!$E$254&gt;(C2734-1)*12,Paths!$E$254&lt;=C2734*12)),Paths!$H$254,0),"n.a."))</f>
        <v>0</v>
      </c>
      <c r="K2734" s="16">
        <f>IF(NOT(Paths!$C$254=1),0,IF(Paths!$P$254="Complete",IF(IF(Paths!$O$254=0,C2734=0,AND(C2734&gt;0,Paths!$O$254&gt;(C2734-1)*12,Paths!$O$254&lt;=C2734*12)),Paths!$N$254,0),"n.a."))</f>
        <v>0</v>
      </c>
      <c r="L2734" s="16">
        <f>IF(NOT(Paths!$C$254=1),0,IF(Paths!$P$254="Complete",IF(C2734=10,Paths!$I$254,0),"n.a."))</f>
        <v>0</v>
      </c>
      <c r="M2734" s="16">
        <f>IF(NOT(Paths!$C$254=1),0,IF(Paths!$P$254="Complete",IF(AND(Paths!$D$254="EV",Paths!$E$254&lt;120,Paths!$E$254+'Operating costs'!$B$65&gt;Paths!$E$254,Paths!$E$254+'Operating costs'!$B$65&lt;=120,IF(Paths!$E$254+'Operating costs'!$B$65=0,C2734=0,AND(C2734&gt;0,Paths!$E$254+'Operating costs'!$B$65&gt;(C2734-1)*12,Paths!$E$254+'Operating costs'!$B$65&lt;=C2734*12))),'Operating costs'!$B$64,0)+IF(AND('Operating costs'!$B$67&gt;0,'Operating costs'!$B$67&lt;=120,OR(Paths!$D$254="ICE",'Operating costs'!$B$67&lt;=Paths!$E$254),IF('Operating costs'!$B$67=0,C2734=0,AND(C2734&gt;0,'Operating costs'!$B$67&gt;(C2734-1)*12,'Operating costs'!$B$67&lt;=C2734*12))),'Operating costs'!$B$66,0),"n.a."))</f>
        <v>0</v>
      </c>
      <c r="N2734" s="16">
        <f>IF(NOT(Paths!$C$254=1),0,IF(Paths!$P$254="Complete",SUM(G2734:I2734)-J2734-K2734-L2734+M2734+IF(C2734=0,Paths!$F$254,0)+IF(IF(Paths!$E$254=0,C2734=0,AND(C2734&gt;0,Paths!$E$254&gt;(C2734-1)*12,Paths!$E$254&lt;=C2734*12)),VLOOKUP(A2734,'Fleet register'!$A$7:$S$106,16,FALSE),0),"n.a."))</f>
        <v>0</v>
      </c>
      <c r="O2734" s="16">
        <f>IF(NOT(Paths!$C$254=1),0,IF(Paths!$P$254="Complete",N2734-IF(C2734=0,Paths!$F$254,0),"n.a."))</f>
        <v>0</v>
      </c>
      <c r="P2734" s="16">
        <f>IF(NOT(Paths!$C$254=1),0,IF(Paths!$P$254="Complete",O2734+L2734,"n.a."))</f>
        <v>0</v>
      </c>
      <c r="Q2734" s="16">
        <f>IF(NOT(Paths!$C$254=1),0,IF(Paths!$P$254="Complete",N2734*(1+'Operating costs'!$B$54)^-C2734,"n.a."))</f>
        <v>0</v>
      </c>
      <c r="R2734" s="16">
        <f>IF(NOT(Paths!$C$254=1),0,IF(Paths!$P$254="Complete",IF(AND(C2734=0,Paths!$E$254=0),I2734-J2734-K2734+VLOOKUP(A2734,'Fleet register'!$A$7:$S$106,15,FALSE)+VLOOKUP(A2734,'Fleet register'!$A$7:$S$106,16,FALSE),0),"n.a."))</f>
        <v>0</v>
      </c>
      <c r="S2734" s="1">
        <f>IF(NOT(Paths!$C$254=1),0,IF(Paths!$P$254="Complete",IF(C2734=0,0,Paths!$S$254*Paths!$R$254),"n.a."))</f>
        <v>0</v>
      </c>
      <c r="T2734" s="1">
        <f>IF(NOT(Paths!$C$254=1),0,IF(Paths!$P$254="Complete",IF(C2734=0,0,VLOOKUP(A2734,'Fleet register'!$A$7:$S$106,9,FALSE)*Paths!$R$254),"n.a."))</f>
        <v>0</v>
      </c>
    </row>
    <row r="2735" spans="1:20" ht="24" customHeight="1">
      <c r="A2735" s="1" t="str">
        <f>Paths!$A$255</f>
        <v>T063</v>
      </c>
      <c r="B2735" s="1">
        <f>Paths!$B$255</f>
        <v>0</v>
      </c>
      <c r="C2735" s="1">
        <v>0</v>
      </c>
      <c r="D2735" s="1">
        <v>255</v>
      </c>
      <c r="E2735" s="1">
        <f>IF(OR(Paths!$C$255=0,C2735=0),0,MAX(0,MIN(C2735*12,Paths!$E$255)-(C2735-1)*12))</f>
        <v>0</v>
      </c>
      <c r="F2735" s="1">
        <f>IF(OR(Paths!$C$255=0,C2735=0),0,12-E2735)</f>
        <v>0</v>
      </c>
      <c r="G2735" s="16">
        <f>IF(NOT(Paths!$C$255=1),0,IF(Paths!$P$255="Complete",E2735/12*(Paths!$J$255*(1+'Operating costs'!$B$51)^MAX(0,C2735-1)+Paths!$K$255*(1+'Operating costs'!$B$53)^MAX(0,C2735-1)),"n.a."))</f>
        <v>0</v>
      </c>
      <c r="H2735" s="16">
        <f>IF(NOT(Paths!$C$255=1),0,IF(Paths!$P$255="Complete",F2735/12*(Paths!$L$255*(1+IF(Paths!$D$255="EV",'Operating costs'!$B$52,'Operating costs'!$B$51))^MAX(0,C2735-1)+Paths!$M$255*(1+'Operating costs'!$B$53)^MAX(0,C2735-1)),"n.a."))</f>
        <v>0</v>
      </c>
      <c r="I2735" s="16">
        <f>IF(NOT(Paths!$C$255=1),0,IF(Paths!$P$255="Complete",IF(IF(Paths!$E$255=0,C2735=0,AND(C2735&gt;0,Paths!$E$255&gt;(C2735-1)*12,Paths!$E$255&lt;=C2735*12)),Paths!$G$255,0),"n.a."))</f>
        <v>0</v>
      </c>
      <c r="J2735" s="16">
        <f>IF(NOT(Paths!$C$255=1),0,IF(Paths!$P$255="Complete",IF(IF(Paths!$E$255=0,C2735=0,AND(C2735&gt;0,Paths!$E$255&gt;(C2735-1)*12,Paths!$E$255&lt;=C2735*12)),Paths!$H$255,0),"n.a."))</f>
        <v>0</v>
      </c>
      <c r="K2735" s="16">
        <f>IF(NOT(Paths!$C$255=1),0,IF(Paths!$P$255="Complete",IF(IF(Paths!$O$255=0,C2735=0,AND(C2735&gt;0,Paths!$O$255&gt;(C2735-1)*12,Paths!$O$255&lt;=C2735*12)),Paths!$N$255,0),"n.a."))</f>
        <v>0</v>
      </c>
      <c r="L2735" s="16">
        <f>IF(NOT(Paths!$C$255=1),0,IF(Paths!$P$255="Complete",IF(C2735=10,Paths!$I$255,0),"n.a."))</f>
        <v>0</v>
      </c>
      <c r="M2735" s="16">
        <f>IF(NOT(Paths!$C$255=1),0,IF(Paths!$P$255="Complete",IF(AND(Paths!$D$255="EV",Paths!$E$255&lt;120,Paths!$E$255+'Operating costs'!$B$65&gt;Paths!$E$255,Paths!$E$255+'Operating costs'!$B$65&lt;=120,IF(Paths!$E$255+'Operating costs'!$B$65=0,C2735=0,AND(C2735&gt;0,Paths!$E$255+'Operating costs'!$B$65&gt;(C2735-1)*12,Paths!$E$255+'Operating costs'!$B$65&lt;=C2735*12))),'Operating costs'!$B$64,0)+IF(AND('Operating costs'!$B$67&gt;0,'Operating costs'!$B$67&lt;=120,OR(Paths!$D$255="ICE",'Operating costs'!$B$67&lt;=Paths!$E$255),IF('Operating costs'!$B$67=0,C2735=0,AND(C2735&gt;0,'Operating costs'!$B$67&gt;(C2735-1)*12,'Operating costs'!$B$67&lt;=C2735*12))),'Operating costs'!$B$66,0),"n.a."))</f>
        <v>0</v>
      </c>
      <c r="N2735" s="16">
        <f>IF(NOT(Paths!$C$255=1),0,IF(Paths!$P$255="Complete",SUM(G2735:I2735)-J2735-K2735-L2735+M2735+IF(C2735=0,Paths!$F$255,0)+IF(IF(Paths!$E$255=0,C2735=0,AND(C2735&gt;0,Paths!$E$255&gt;(C2735-1)*12,Paths!$E$255&lt;=C2735*12)),VLOOKUP(A2735,'Fleet register'!$A$7:$S$106,16,FALSE),0),"n.a."))</f>
        <v>0</v>
      </c>
      <c r="O2735" s="16">
        <f>IF(NOT(Paths!$C$255=1),0,IF(Paths!$P$255="Complete",N2735-IF(C2735=0,Paths!$F$255,0),"n.a."))</f>
        <v>0</v>
      </c>
      <c r="P2735" s="16">
        <f>IF(NOT(Paths!$C$255=1),0,IF(Paths!$P$255="Complete",O2735+L2735,"n.a."))</f>
        <v>0</v>
      </c>
      <c r="Q2735" s="16">
        <f>IF(NOT(Paths!$C$255=1),0,IF(Paths!$P$255="Complete",N2735*(1+'Operating costs'!$B$54)^-C2735,"n.a."))</f>
        <v>0</v>
      </c>
      <c r="R2735" s="16">
        <f>IF(NOT(Paths!$C$255=1),0,IF(Paths!$P$255="Complete",IF(AND(C2735=0,Paths!$E$255=0),I2735-J2735-K2735+VLOOKUP(A2735,'Fleet register'!$A$7:$S$106,15,FALSE)+VLOOKUP(A2735,'Fleet register'!$A$7:$S$106,16,FALSE),0),"n.a."))</f>
        <v>0</v>
      </c>
      <c r="S2735" s="1">
        <f>IF(NOT(Paths!$C$255=1),0,IF(Paths!$P$255="Complete",IF(C2735=0,0,Paths!$S$255*Paths!$R$255),"n.a."))</f>
        <v>0</v>
      </c>
      <c r="T2735" s="1">
        <f>IF(NOT(Paths!$C$255=1),0,IF(Paths!$P$255="Complete",IF(C2735=0,0,VLOOKUP(A2735,'Fleet register'!$A$7:$S$106,9,FALSE)*Paths!$R$255),"n.a."))</f>
        <v>0</v>
      </c>
    </row>
    <row r="2736" spans="1:20" ht="24" customHeight="1">
      <c r="A2736" s="1" t="str">
        <f>Paths!$A$255</f>
        <v>T063</v>
      </c>
      <c r="B2736" s="1">
        <f>Paths!$B$255</f>
        <v>0</v>
      </c>
      <c r="C2736" s="1">
        <v>1</v>
      </c>
      <c r="D2736" s="1">
        <v>255</v>
      </c>
      <c r="E2736" s="1">
        <f>IF(OR(Paths!$C$255=0,C2736=0),0,MAX(0,MIN(C2736*12,Paths!$E$255)-(C2736-1)*12))</f>
        <v>0</v>
      </c>
      <c r="F2736" s="1">
        <f>IF(OR(Paths!$C$255=0,C2736=0),0,12-E2736)</f>
        <v>0</v>
      </c>
      <c r="G2736" s="16">
        <f>IF(NOT(Paths!$C$255=1),0,IF(Paths!$P$255="Complete",E2736/12*(Paths!$J$255*(1+'Operating costs'!$B$51)^MAX(0,C2736-1)+Paths!$K$255*(1+'Operating costs'!$B$53)^MAX(0,C2736-1)),"n.a."))</f>
        <v>0</v>
      </c>
      <c r="H2736" s="16">
        <f>IF(NOT(Paths!$C$255=1),0,IF(Paths!$P$255="Complete",F2736/12*(Paths!$L$255*(1+IF(Paths!$D$255="EV",'Operating costs'!$B$52,'Operating costs'!$B$51))^MAX(0,C2736-1)+Paths!$M$255*(1+'Operating costs'!$B$53)^MAX(0,C2736-1)),"n.a."))</f>
        <v>0</v>
      </c>
      <c r="I2736" s="16">
        <f>IF(NOT(Paths!$C$255=1),0,IF(Paths!$P$255="Complete",IF(IF(Paths!$E$255=0,C2736=0,AND(C2736&gt;0,Paths!$E$255&gt;(C2736-1)*12,Paths!$E$255&lt;=C2736*12)),Paths!$G$255,0),"n.a."))</f>
        <v>0</v>
      </c>
      <c r="J2736" s="16">
        <f>IF(NOT(Paths!$C$255=1),0,IF(Paths!$P$255="Complete",IF(IF(Paths!$E$255=0,C2736=0,AND(C2736&gt;0,Paths!$E$255&gt;(C2736-1)*12,Paths!$E$255&lt;=C2736*12)),Paths!$H$255,0),"n.a."))</f>
        <v>0</v>
      </c>
      <c r="K2736" s="16">
        <f>IF(NOT(Paths!$C$255=1),0,IF(Paths!$P$255="Complete",IF(IF(Paths!$O$255=0,C2736=0,AND(C2736&gt;0,Paths!$O$255&gt;(C2736-1)*12,Paths!$O$255&lt;=C2736*12)),Paths!$N$255,0),"n.a."))</f>
        <v>0</v>
      </c>
      <c r="L2736" s="16">
        <f>IF(NOT(Paths!$C$255=1),0,IF(Paths!$P$255="Complete",IF(C2736=10,Paths!$I$255,0),"n.a."))</f>
        <v>0</v>
      </c>
      <c r="M2736" s="16">
        <f>IF(NOT(Paths!$C$255=1),0,IF(Paths!$P$255="Complete",IF(AND(Paths!$D$255="EV",Paths!$E$255&lt;120,Paths!$E$255+'Operating costs'!$B$65&gt;Paths!$E$255,Paths!$E$255+'Operating costs'!$B$65&lt;=120,IF(Paths!$E$255+'Operating costs'!$B$65=0,C2736=0,AND(C2736&gt;0,Paths!$E$255+'Operating costs'!$B$65&gt;(C2736-1)*12,Paths!$E$255+'Operating costs'!$B$65&lt;=C2736*12))),'Operating costs'!$B$64,0)+IF(AND('Operating costs'!$B$67&gt;0,'Operating costs'!$B$67&lt;=120,OR(Paths!$D$255="ICE",'Operating costs'!$B$67&lt;=Paths!$E$255),IF('Operating costs'!$B$67=0,C2736=0,AND(C2736&gt;0,'Operating costs'!$B$67&gt;(C2736-1)*12,'Operating costs'!$B$67&lt;=C2736*12))),'Operating costs'!$B$66,0),"n.a."))</f>
        <v>0</v>
      </c>
      <c r="N2736" s="16">
        <f>IF(NOT(Paths!$C$255=1),0,IF(Paths!$P$255="Complete",SUM(G2736:I2736)-J2736-K2736-L2736+M2736+IF(C2736=0,Paths!$F$255,0)+IF(IF(Paths!$E$255=0,C2736=0,AND(C2736&gt;0,Paths!$E$255&gt;(C2736-1)*12,Paths!$E$255&lt;=C2736*12)),VLOOKUP(A2736,'Fleet register'!$A$7:$S$106,16,FALSE),0),"n.a."))</f>
        <v>0</v>
      </c>
      <c r="O2736" s="16">
        <f>IF(NOT(Paths!$C$255=1),0,IF(Paths!$P$255="Complete",N2736-IF(C2736=0,Paths!$F$255,0),"n.a."))</f>
        <v>0</v>
      </c>
      <c r="P2736" s="16">
        <f>IF(NOT(Paths!$C$255=1),0,IF(Paths!$P$255="Complete",O2736+L2736,"n.a."))</f>
        <v>0</v>
      </c>
      <c r="Q2736" s="16">
        <f>IF(NOT(Paths!$C$255=1),0,IF(Paths!$P$255="Complete",N2736*(1+'Operating costs'!$B$54)^-C2736,"n.a."))</f>
        <v>0</v>
      </c>
      <c r="R2736" s="16">
        <f>IF(NOT(Paths!$C$255=1),0,IF(Paths!$P$255="Complete",IF(AND(C2736=0,Paths!$E$255=0),I2736-J2736-K2736+VLOOKUP(A2736,'Fleet register'!$A$7:$S$106,15,FALSE)+VLOOKUP(A2736,'Fleet register'!$A$7:$S$106,16,FALSE),0),"n.a."))</f>
        <v>0</v>
      </c>
      <c r="S2736" s="1">
        <f>IF(NOT(Paths!$C$255=1),0,IF(Paths!$P$255="Complete",IF(C2736=0,0,Paths!$S$255*Paths!$R$255),"n.a."))</f>
        <v>0</v>
      </c>
      <c r="T2736" s="1">
        <f>IF(NOT(Paths!$C$255=1),0,IF(Paths!$P$255="Complete",IF(C2736=0,0,VLOOKUP(A2736,'Fleet register'!$A$7:$S$106,9,FALSE)*Paths!$R$255),"n.a."))</f>
        <v>0</v>
      </c>
    </row>
    <row r="2737" spans="1:20" ht="24" customHeight="1">
      <c r="A2737" s="1" t="str">
        <f>Paths!$A$255</f>
        <v>T063</v>
      </c>
      <c r="B2737" s="1">
        <f>Paths!$B$255</f>
        <v>0</v>
      </c>
      <c r="C2737" s="1">
        <v>2</v>
      </c>
      <c r="D2737" s="1">
        <v>255</v>
      </c>
      <c r="E2737" s="1">
        <f>IF(OR(Paths!$C$255=0,C2737=0),0,MAX(0,MIN(C2737*12,Paths!$E$255)-(C2737-1)*12))</f>
        <v>0</v>
      </c>
      <c r="F2737" s="1">
        <f>IF(OR(Paths!$C$255=0,C2737=0),0,12-E2737)</f>
        <v>0</v>
      </c>
      <c r="G2737" s="16">
        <f>IF(NOT(Paths!$C$255=1),0,IF(Paths!$P$255="Complete",E2737/12*(Paths!$J$255*(1+'Operating costs'!$B$51)^MAX(0,C2737-1)+Paths!$K$255*(1+'Operating costs'!$B$53)^MAX(0,C2737-1)),"n.a."))</f>
        <v>0</v>
      </c>
      <c r="H2737" s="16">
        <f>IF(NOT(Paths!$C$255=1),0,IF(Paths!$P$255="Complete",F2737/12*(Paths!$L$255*(1+IF(Paths!$D$255="EV",'Operating costs'!$B$52,'Operating costs'!$B$51))^MAX(0,C2737-1)+Paths!$M$255*(1+'Operating costs'!$B$53)^MAX(0,C2737-1)),"n.a."))</f>
        <v>0</v>
      </c>
      <c r="I2737" s="16">
        <f>IF(NOT(Paths!$C$255=1),0,IF(Paths!$P$255="Complete",IF(IF(Paths!$E$255=0,C2737=0,AND(C2737&gt;0,Paths!$E$255&gt;(C2737-1)*12,Paths!$E$255&lt;=C2737*12)),Paths!$G$255,0),"n.a."))</f>
        <v>0</v>
      </c>
      <c r="J2737" s="16">
        <f>IF(NOT(Paths!$C$255=1),0,IF(Paths!$P$255="Complete",IF(IF(Paths!$E$255=0,C2737=0,AND(C2737&gt;0,Paths!$E$255&gt;(C2737-1)*12,Paths!$E$255&lt;=C2737*12)),Paths!$H$255,0),"n.a."))</f>
        <v>0</v>
      </c>
      <c r="K2737" s="16">
        <f>IF(NOT(Paths!$C$255=1),0,IF(Paths!$P$255="Complete",IF(IF(Paths!$O$255=0,C2737=0,AND(C2737&gt;0,Paths!$O$255&gt;(C2737-1)*12,Paths!$O$255&lt;=C2737*12)),Paths!$N$255,0),"n.a."))</f>
        <v>0</v>
      </c>
      <c r="L2737" s="16">
        <f>IF(NOT(Paths!$C$255=1),0,IF(Paths!$P$255="Complete",IF(C2737=10,Paths!$I$255,0),"n.a."))</f>
        <v>0</v>
      </c>
      <c r="M2737" s="16">
        <f>IF(NOT(Paths!$C$255=1),0,IF(Paths!$P$255="Complete",IF(AND(Paths!$D$255="EV",Paths!$E$255&lt;120,Paths!$E$255+'Operating costs'!$B$65&gt;Paths!$E$255,Paths!$E$255+'Operating costs'!$B$65&lt;=120,IF(Paths!$E$255+'Operating costs'!$B$65=0,C2737=0,AND(C2737&gt;0,Paths!$E$255+'Operating costs'!$B$65&gt;(C2737-1)*12,Paths!$E$255+'Operating costs'!$B$65&lt;=C2737*12))),'Operating costs'!$B$64,0)+IF(AND('Operating costs'!$B$67&gt;0,'Operating costs'!$B$67&lt;=120,OR(Paths!$D$255="ICE",'Operating costs'!$B$67&lt;=Paths!$E$255),IF('Operating costs'!$B$67=0,C2737=0,AND(C2737&gt;0,'Operating costs'!$B$67&gt;(C2737-1)*12,'Operating costs'!$B$67&lt;=C2737*12))),'Operating costs'!$B$66,0),"n.a."))</f>
        <v>0</v>
      </c>
      <c r="N2737" s="16">
        <f>IF(NOT(Paths!$C$255=1),0,IF(Paths!$P$255="Complete",SUM(G2737:I2737)-J2737-K2737-L2737+M2737+IF(C2737=0,Paths!$F$255,0)+IF(IF(Paths!$E$255=0,C2737=0,AND(C2737&gt;0,Paths!$E$255&gt;(C2737-1)*12,Paths!$E$255&lt;=C2737*12)),VLOOKUP(A2737,'Fleet register'!$A$7:$S$106,16,FALSE),0),"n.a."))</f>
        <v>0</v>
      </c>
      <c r="O2737" s="16">
        <f>IF(NOT(Paths!$C$255=1),0,IF(Paths!$P$255="Complete",N2737-IF(C2737=0,Paths!$F$255,0),"n.a."))</f>
        <v>0</v>
      </c>
      <c r="P2737" s="16">
        <f>IF(NOT(Paths!$C$255=1),0,IF(Paths!$P$255="Complete",O2737+L2737,"n.a."))</f>
        <v>0</v>
      </c>
      <c r="Q2737" s="16">
        <f>IF(NOT(Paths!$C$255=1),0,IF(Paths!$P$255="Complete",N2737*(1+'Operating costs'!$B$54)^-C2737,"n.a."))</f>
        <v>0</v>
      </c>
      <c r="R2737" s="16">
        <f>IF(NOT(Paths!$C$255=1),0,IF(Paths!$P$255="Complete",IF(AND(C2737=0,Paths!$E$255=0),I2737-J2737-K2737+VLOOKUP(A2737,'Fleet register'!$A$7:$S$106,15,FALSE)+VLOOKUP(A2737,'Fleet register'!$A$7:$S$106,16,FALSE),0),"n.a."))</f>
        <v>0</v>
      </c>
      <c r="S2737" s="1">
        <f>IF(NOT(Paths!$C$255=1),0,IF(Paths!$P$255="Complete",IF(C2737=0,0,Paths!$S$255*Paths!$R$255),"n.a."))</f>
        <v>0</v>
      </c>
      <c r="T2737" s="1">
        <f>IF(NOT(Paths!$C$255=1),0,IF(Paths!$P$255="Complete",IF(C2737=0,0,VLOOKUP(A2737,'Fleet register'!$A$7:$S$106,9,FALSE)*Paths!$R$255),"n.a."))</f>
        <v>0</v>
      </c>
    </row>
    <row r="2738" spans="1:20" ht="24" customHeight="1">
      <c r="A2738" s="1" t="str">
        <f>Paths!$A$255</f>
        <v>T063</v>
      </c>
      <c r="B2738" s="1">
        <f>Paths!$B$255</f>
        <v>0</v>
      </c>
      <c r="C2738" s="1">
        <v>3</v>
      </c>
      <c r="D2738" s="1">
        <v>255</v>
      </c>
      <c r="E2738" s="1">
        <f>IF(OR(Paths!$C$255=0,C2738=0),0,MAX(0,MIN(C2738*12,Paths!$E$255)-(C2738-1)*12))</f>
        <v>0</v>
      </c>
      <c r="F2738" s="1">
        <f>IF(OR(Paths!$C$255=0,C2738=0),0,12-E2738)</f>
        <v>0</v>
      </c>
      <c r="G2738" s="16">
        <f>IF(NOT(Paths!$C$255=1),0,IF(Paths!$P$255="Complete",E2738/12*(Paths!$J$255*(1+'Operating costs'!$B$51)^MAX(0,C2738-1)+Paths!$K$255*(1+'Operating costs'!$B$53)^MAX(0,C2738-1)),"n.a."))</f>
        <v>0</v>
      </c>
      <c r="H2738" s="16">
        <f>IF(NOT(Paths!$C$255=1),0,IF(Paths!$P$255="Complete",F2738/12*(Paths!$L$255*(1+IF(Paths!$D$255="EV",'Operating costs'!$B$52,'Operating costs'!$B$51))^MAX(0,C2738-1)+Paths!$M$255*(1+'Operating costs'!$B$53)^MAX(0,C2738-1)),"n.a."))</f>
        <v>0</v>
      </c>
      <c r="I2738" s="16">
        <f>IF(NOT(Paths!$C$255=1),0,IF(Paths!$P$255="Complete",IF(IF(Paths!$E$255=0,C2738=0,AND(C2738&gt;0,Paths!$E$255&gt;(C2738-1)*12,Paths!$E$255&lt;=C2738*12)),Paths!$G$255,0),"n.a."))</f>
        <v>0</v>
      </c>
      <c r="J2738" s="16">
        <f>IF(NOT(Paths!$C$255=1),0,IF(Paths!$P$255="Complete",IF(IF(Paths!$E$255=0,C2738=0,AND(C2738&gt;0,Paths!$E$255&gt;(C2738-1)*12,Paths!$E$255&lt;=C2738*12)),Paths!$H$255,0),"n.a."))</f>
        <v>0</v>
      </c>
      <c r="K2738" s="16">
        <f>IF(NOT(Paths!$C$255=1),0,IF(Paths!$P$255="Complete",IF(IF(Paths!$O$255=0,C2738=0,AND(C2738&gt;0,Paths!$O$255&gt;(C2738-1)*12,Paths!$O$255&lt;=C2738*12)),Paths!$N$255,0),"n.a."))</f>
        <v>0</v>
      </c>
      <c r="L2738" s="16">
        <f>IF(NOT(Paths!$C$255=1),0,IF(Paths!$P$255="Complete",IF(C2738=10,Paths!$I$255,0),"n.a."))</f>
        <v>0</v>
      </c>
      <c r="M2738" s="16">
        <f>IF(NOT(Paths!$C$255=1),0,IF(Paths!$P$255="Complete",IF(AND(Paths!$D$255="EV",Paths!$E$255&lt;120,Paths!$E$255+'Operating costs'!$B$65&gt;Paths!$E$255,Paths!$E$255+'Operating costs'!$B$65&lt;=120,IF(Paths!$E$255+'Operating costs'!$B$65=0,C2738=0,AND(C2738&gt;0,Paths!$E$255+'Operating costs'!$B$65&gt;(C2738-1)*12,Paths!$E$255+'Operating costs'!$B$65&lt;=C2738*12))),'Operating costs'!$B$64,0)+IF(AND('Operating costs'!$B$67&gt;0,'Operating costs'!$B$67&lt;=120,OR(Paths!$D$255="ICE",'Operating costs'!$B$67&lt;=Paths!$E$255),IF('Operating costs'!$B$67=0,C2738=0,AND(C2738&gt;0,'Operating costs'!$B$67&gt;(C2738-1)*12,'Operating costs'!$B$67&lt;=C2738*12))),'Operating costs'!$B$66,0),"n.a."))</f>
        <v>0</v>
      </c>
      <c r="N2738" s="16">
        <f>IF(NOT(Paths!$C$255=1),0,IF(Paths!$P$255="Complete",SUM(G2738:I2738)-J2738-K2738-L2738+M2738+IF(C2738=0,Paths!$F$255,0)+IF(IF(Paths!$E$255=0,C2738=0,AND(C2738&gt;0,Paths!$E$255&gt;(C2738-1)*12,Paths!$E$255&lt;=C2738*12)),VLOOKUP(A2738,'Fleet register'!$A$7:$S$106,16,FALSE),0),"n.a."))</f>
        <v>0</v>
      </c>
      <c r="O2738" s="16">
        <f>IF(NOT(Paths!$C$255=1),0,IF(Paths!$P$255="Complete",N2738-IF(C2738=0,Paths!$F$255,0),"n.a."))</f>
        <v>0</v>
      </c>
      <c r="P2738" s="16">
        <f>IF(NOT(Paths!$C$255=1),0,IF(Paths!$P$255="Complete",O2738+L2738,"n.a."))</f>
        <v>0</v>
      </c>
      <c r="Q2738" s="16">
        <f>IF(NOT(Paths!$C$255=1),0,IF(Paths!$P$255="Complete",N2738*(1+'Operating costs'!$B$54)^-C2738,"n.a."))</f>
        <v>0</v>
      </c>
      <c r="R2738" s="16">
        <f>IF(NOT(Paths!$C$255=1),0,IF(Paths!$P$255="Complete",IF(AND(C2738=0,Paths!$E$255=0),I2738-J2738-K2738+VLOOKUP(A2738,'Fleet register'!$A$7:$S$106,15,FALSE)+VLOOKUP(A2738,'Fleet register'!$A$7:$S$106,16,FALSE),0),"n.a."))</f>
        <v>0</v>
      </c>
      <c r="S2738" s="1">
        <f>IF(NOT(Paths!$C$255=1),0,IF(Paths!$P$255="Complete",IF(C2738=0,0,Paths!$S$255*Paths!$R$255),"n.a."))</f>
        <v>0</v>
      </c>
      <c r="T2738" s="1">
        <f>IF(NOT(Paths!$C$255=1),0,IF(Paths!$P$255="Complete",IF(C2738=0,0,VLOOKUP(A2738,'Fleet register'!$A$7:$S$106,9,FALSE)*Paths!$R$255),"n.a."))</f>
        <v>0</v>
      </c>
    </row>
    <row r="2739" spans="1:20" ht="24" customHeight="1">
      <c r="A2739" s="1" t="str">
        <f>Paths!$A$255</f>
        <v>T063</v>
      </c>
      <c r="B2739" s="1">
        <f>Paths!$B$255</f>
        <v>0</v>
      </c>
      <c r="C2739" s="1">
        <v>4</v>
      </c>
      <c r="D2739" s="1">
        <v>255</v>
      </c>
      <c r="E2739" s="1">
        <f>IF(OR(Paths!$C$255=0,C2739=0),0,MAX(0,MIN(C2739*12,Paths!$E$255)-(C2739-1)*12))</f>
        <v>0</v>
      </c>
      <c r="F2739" s="1">
        <f>IF(OR(Paths!$C$255=0,C2739=0),0,12-E2739)</f>
        <v>0</v>
      </c>
      <c r="G2739" s="16">
        <f>IF(NOT(Paths!$C$255=1),0,IF(Paths!$P$255="Complete",E2739/12*(Paths!$J$255*(1+'Operating costs'!$B$51)^MAX(0,C2739-1)+Paths!$K$255*(1+'Operating costs'!$B$53)^MAX(0,C2739-1)),"n.a."))</f>
        <v>0</v>
      </c>
      <c r="H2739" s="16">
        <f>IF(NOT(Paths!$C$255=1),0,IF(Paths!$P$255="Complete",F2739/12*(Paths!$L$255*(1+IF(Paths!$D$255="EV",'Operating costs'!$B$52,'Operating costs'!$B$51))^MAX(0,C2739-1)+Paths!$M$255*(1+'Operating costs'!$B$53)^MAX(0,C2739-1)),"n.a."))</f>
        <v>0</v>
      </c>
      <c r="I2739" s="16">
        <f>IF(NOT(Paths!$C$255=1),0,IF(Paths!$P$255="Complete",IF(IF(Paths!$E$255=0,C2739=0,AND(C2739&gt;0,Paths!$E$255&gt;(C2739-1)*12,Paths!$E$255&lt;=C2739*12)),Paths!$G$255,0),"n.a."))</f>
        <v>0</v>
      </c>
      <c r="J2739" s="16">
        <f>IF(NOT(Paths!$C$255=1),0,IF(Paths!$P$255="Complete",IF(IF(Paths!$E$255=0,C2739=0,AND(C2739&gt;0,Paths!$E$255&gt;(C2739-1)*12,Paths!$E$255&lt;=C2739*12)),Paths!$H$255,0),"n.a."))</f>
        <v>0</v>
      </c>
      <c r="K2739" s="16">
        <f>IF(NOT(Paths!$C$255=1),0,IF(Paths!$P$255="Complete",IF(IF(Paths!$O$255=0,C2739=0,AND(C2739&gt;0,Paths!$O$255&gt;(C2739-1)*12,Paths!$O$255&lt;=C2739*12)),Paths!$N$255,0),"n.a."))</f>
        <v>0</v>
      </c>
      <c r="L2739" s="16">
        <f>IF(NOT(Paths!$C$255=1),0,IF(Paths!$P$255="Complete",IF(C2739=10,Paths!$I$255,0),"n.a."))</f>
        <v>0</v>
      </c>
      <c r="M2739" s="16">
        <f>IF(NOT(Paths!$C$255=1),0,IF(Paths!$P$255="Complete",IF(AND(Paths!$D$255="EV",Paths!$E$255&lt;120,Paths!$E$255+'Operating costs'!$B$65&gt;Paths!$E$255,Paths!$E$255+'Operating costs'!$B$65&lt;=120,IF(Paths!$E$255+'Operating costs'!$B$65=0,C2739=0,AND(C2739&gt;0,Paths!$E$255+'Operating costs'!$B$65&gt;(C2739-1)*12,Paths!$E$255+'Operating costs'!$B$65&lt;=C2739*12))),'Operating costs'!$B$64,0)+IF(AND('Operating costs'!$B$67&gt;0,'Operating costs'!$B$67&lt;=120,OR(Paths!$D$255="ICE",'Operating costs'!$B$67&lt;=Paths!$E$255),IF('Operating costs'!$B$67=0,C2739=0,AND(C2739&gt;0,'Operating costs'!$B$67&gt;(C2739-1)*12,'Operating costs'!$B$67&lt;=C2739*12))),'Operating costs'!$B$66,0),"n.a."))</f>
        <v>0</v>
      </c>
      <c r="N2739" s="16">
        <f>IF(NOT(Paths!$C$255=1),0,IF(Paths!$P$255="Complete",SUM(G2739:I2739)-J2739-K2739-L2739+M2739+IF(C2739=0,Paths!$F$255,0)+IF(IF(Paths!$E$255=0,C2739=0,AND(C2739&gt;0,Paths!$E$255&gt;(C2739-1)*12,Paths!$E$255&lt;=C2739*12)),VLOOKUP(A2739,'Fleet register'!$A$7:$S$106,16,FALSE),0),"n.a."))</f>
        <v>0</v>
      </c>
      <c r="O2739" s="16">
        <f>IF(NOT(Paths!$C$255=1),0,IF(Paths!$P$255="Complete",N2739-IF(C2739=0,Paths!$F$255,0),"n.a."))</f>
        <v>0</v>
      </c>
      <c r="P2739" s="16">
        <f>IF(NOT(Paths!$C$255=1),0,IF(Paths!$P$255="Complete",O2739+L2739,"n.a."))</f>
        <v>0</v>
      </c>
      <c r="Q2739" s="16">
        <f>IF(NOT(Paths!$C$255=1),0,IF(Paths!$P$255="Complete",N2739*(1+'Operating costs'!$B$54)^-C2739,"n.a."))</f>
        <v>0</v>
      </c>
      <c r="R2739" s="16">
        <f>IF(NOT(Paths!$C$255=1),0,IF(Paths!$P$255="Complete",IF(AND(C2739=0,Paths!$E$255=0),I2739-J2739-K2739+VLOOKUP(A2739,'Fleet register'!$A$7:$S$106,15,FALSE)+VLOOKUP(A2739,'Fleet register'!$A$7:$S$106,16,FALSE),0),"n.a."))</f>
        <v>0</v>
      </c>
      <c r="S2739" s="1">
        <f>IF(NOT(Paths!$C$255=1),0,IF(Paths!$P$255="Complete",IF(C2739=0,0,Paths!$S$255*Paths!$R$255),"n.a."))</f>
        <v>0</v>
      </c>
      <c r="T2739" s="1">
        <f>IF(NOT(Paths!$C$255=1),0,IF(Paths!$P$255="Complete",IF(C2739=0,0,VLOOKUP(A2739,'Fleet register'!$A$7:$S$106,9,FALSE)*Paths!$R$255),"n.a."))</f>
        <v>0</v>
      </c>
    </row>
    <row r="2740" spans="1:20" ht="24" customHeight="1">
      <c r="A2740" s="1" t="str">
        <f>Paths!$A$255</f>
        <v>T063</v>
      </c>
      <c r="B2740" s="1">
        <f>Paths!$B$255</f>
        <v>0</v>
      </c>
      <c r="C2740" s="1">
        <v>5</v>
      </c>
      <c r="D2740" s="1">
        <v>255</v>
      </c>
      <c r="E2740" s="1">
        <f>IF(OR(Paths!$C$255=0,C2740=0),0,MAX(0,MIN(C2740*12,Paths!$E$255)-(C2740-1)*12))</f>
        <v>0</v>
      </c>
      <c r="F2740" s="1">
        <f>IF(OR(Paths!$C$255=0,C2740=0),0,12-E2740)</f>
        <v>0</v>
      </c>
      <c r="G2740" s="16">
        <f>IF(NOT(Paths!$C$255=1),0,IF(Paths!$P$255="Complete",E2740/12*(Paths!$J$255*(1+'Operating costs'!$B$51)^MAX(0,C2740-1)+Paths!$K$255*(1+'Operating costs'!$B$53)^MAX(0,C2740-1)),"n.a."))</f>
        <v>0</v>
      </c>
      <c r="H2740" s="16">
        <f>IF(NOT(Paths!$C$255=1),0,IF(Paths!$P$255="Complete",F2740/12*(Paths!$L$255*(1+IF(Paths!$D$255="EV",'Operating costs'!$B$52,'Operating costs'!$B$51))^MAX(0,C2740-1)+Paths!$M$255*(1+'Operating costs'!$B$53)^MAX(0,C2740-1)),"n.a."))</f>
        <v>0</v>
      </c>
      <c r="I2740" s="16">
        <f>IF(NOT(Paths!$C$255=1),0,IF(Paths!$P$255="Complete",IF(IF(Paths!$E$255=0,C2740=0,AND(C2740&gt;0,Paths!$E$255&gt;(C2740-1)*12,Paths!$E$255&lt;=C2740*12)),Paths!$G$255,0),"n.a."))</f>
        <v>0</v>
      </c>
      <c r="J2740" s="16">
        <f>IF(NOT(Paths!$C$255=1),0,IF(Paths!$P$255="Complete",IF(IF(Paths!$E$255=0,C2740=0,AND(C2740&gt;0,Paths!$E$255&gt;(C2740-1)*12,Paths!$E$255&lt;=C2740*12)),Paths!$H$255,0),"n.a."))</f>
        <v>0</v>
      </c>
      <c r="K2740" s="16">
        <f>IF(NOT(Paths!$C$255=1),0,IF(Paths!$P$255="Complete",IF(IF(Paths!$O$255=0,C2740=0,AND(C2740&gt;0,Paths!$O$255&gt;(C2740-1)*12,Paths!$O$255&lt;=C2740*12)),Paths!$N$255,0),"n.a."))</f>
        <v>0</v>
      </c>
      <c r="L2740" s="16">
        <f>IF(NOT(Paths!$C$255=1),0,IF(Paths!$P$255="Complete",IF(C2740=10,Paths!$I$255,0),"n.a."))</f>
        <v>0</v>
      </c>
      <c r="M2740" s="16">
        <f>IF(NOT(Paths!$C$255=1),0,IF(Paths!$P$255="Complete",IF(AND(Paths!$D$255="EV",Paths!$E$255&lt;120,Paths!$E$255+'Operating costs'!$B$65&gt;Paths!$E$255,Paths!$E$255+'Operating costs'!$B$65&lt;=120,IF(Paths!$E$255+'Operating costs'!$B$65=0,C2740=0,AND(C2740&gt;0,Paths!$E$255+'Operating costs'!$B$65&gt;(C2740-1)*12,Paths!$E$255+'Operating costs'!$B$65&lt;=C2740*12))),'Operating costs'!$B$64,0)+IF(AND('Operating costs'!$B$67&gt;0,'Operating costs'!$B$67&lt;=120,OR(Paths!$D$255="ICE",'Operating costs'!$B$67&lt;=Paths!$E$255),IF('Operating costs'!$B$67=0,C2740=0,AND(C2740&gt;0,'Operating costs'!$B$67&gt;(C2740-1)*12,'Operating costs'!$B$67&lt;=C2740*12))),'Operating costs'!$B$66,0),"n.a."))</f>
        <v>0</v>
      </c>
      <c r="N2740" s="16">
        <f>IF(NOT(Paths!$C$255=1),0,IF(Paths!$P$255="Complete",SUM(G2740:I2740)-J2740-K2740-L2740+M2740+IF(C2740=0,Paths!$F$255,0)+IF(IF(Paths!$E$255=0,C2740=0,AND(C2740&gt;0,Paths!$E$255&gt;(C2740-1)*12,Paths!$E$255&lt;=C2740*12)),VLOOKUP(A2740,'Fleet register'!$A$7:$S$106,16,FALSE),0),"n.a."))</f>
        <v>0</v>
      </c>
      <c r="O2740" s="16">
        <f>IF(NOT(Paths!$C$255=1),0,IF(Paths!$P$255="Complete",N2740-IF(C2740=0,Paths!$F$255,0),"n.a."))</f>
        <v>0</v>
      </c>
      <c r="P2740" s="16">
        <f>IF(NOT(Paths!$C$255=1),0,IF(Paths!$P$255="Complete",O2740+L2740,"n.a."))</f>
        <v>0</v>
      </c>
      <c r="Q2740" s="16">
        <f>IF(NOT(Paths!$C$255=1),0,IF(Paths!$P$255="Complete",N2740*(1+'Operating costs'!$B$54)^-C2740,"n.a."))</f>
        <v>0</v>
      </c>
      <c r="R2740" s="16">
        <f>IF(NOT(Paths!$C$255=1),0,IF(Paths!$P$255="Complete",IF(AND(C2740=0,Paths!$E$255=0),I2740-J2740-K2740+VLOOKUP(A2740,'Fleet register'!$A$7:$S$106,15,FALSE)+VLOOKUP(A2740,'Fleet register'!$A$7:$S$106,16,FALSE),0),"n.a."))</f>
        <v>0</v>
      </c>
      <c r="S2740" s="1">
        <f>IF(NOT(Paths!$C$255=1),0,IF(Paths!$P$255="Complete",IF(C2740=0,0,Paths!$S$255*Paths!$R$255),"n.a."))</f>
        <v>0</v>
      </c>
      <c r="T2740" s="1">
        <f>IF(NOT(Paths!$C$255=1),0,IF(Paths!$P$255="Complete",IF(C2740=0,0,VLOOKUP(A2740,'Fleet register'!$A$7:$S$106,9,FALSE)*Paths!$R$255),"n.a."))</f>
        <v>0</v>
      </c>
    </row>
    <row r="2741" spans="1:20" ht="24" customHeight="1">
      <c r="A2741" s="1" t="str">
        <f>Paths!$A$255</f>
        <v>T063</v>
      </c>
      <c r="B2741" s="1">
        <f>Paths!$B$255</f>
        <v>0</v>
      </c>
      <c r="C2741" s="1">
        <v>6</v>
      </c>
      <c r="D2741" s="1">
        <v>255</v>
      </c>
      <c r="E2741" s="1">
        <f>IF(OR(Paths!$C$255=0,C2741=0),0,MAX(0,MIN(C2741*12,Paths!$E$255)-(C2741-1)*12))</f>
        <v>0</v>
      </c>
      <c r="F2741" s="1">
        <f>IF(OR(Paths!$C$255=0,C2741=0),0,12-E2741)</f>
        <v>0</v>
      </c>
      <c r="G2741" s="16">
        <f>IF(NOT(Paths!$C$255=1),0,IF(Paths!$P$255="Complete",E2741/12*(Paths!$J$255*(1+'Operating costs'!$B$51)^MAX(0,C2741-1)+Paths!$K$255*(1+'Operating costs'!$B$53)^MAX(0,C2741-1)),"n.a."))</f>
        <v>0</v>
      </c>
      <c r="H2741" s="16">
        <f>IF(NOT(Paths!$C$255=1),0,IF(Paths!$P$255="Complete",F2741/12*(Paths!$L$255*(1+IF(Paths!$D$255="EV",'Operating costs'!$B$52,'Operating costs'!$B$51))^MAX(0,C2741-1)+Paths!$M$255*(1+'Operating costs'!$B$53)^MAX(0,C2741-1)),"n.a."))</f>
        <v>0</v>
      </c>
      <c r="I2741" s="16">
        <f>IF(NOT(Paths!$C$255=1),0,IF(Paths!$P$255="Complete",IF(IF(Paths!$E$255=0,C2741=0,AND(C2741&gt;0,Paths!$E$255&gt;(C2741-1)*12,Paths!$E$255&lt;=C2741*12)),Paths!$G$255,0),"n.a."))</f>
        <v>0</v>
      </c>
      <c r="J2741" s="16">
        <f>IF(NOT(Paths!$C$255=1),0,IF(Paths!$P$255="Complete",IF(IF(Paths!$E$255=0,C2741=0,AND(C2741&gt;0,Paths!$E$255&gt;(C2741-1)*12,Paths!$E$255&lt;=C2741*12)),Paths!$H$255,0),"n.a."))</f>
        <v>0</v>
      </c>
      <c r="K2741" s="16">
        <f>IF(NOT(Paths!$C$255=1),0,IF(Paths!$P$255="Complete",IF(IF(Paths!$O$255=0,C2741=0,AND(C2741&gt;0,Paths!$O$255&gt;(C2741-1)*12,Paths!$O$255&lt;=C2741*12)),Paths!$N$255,0),"n.a."))</f>
        <v>0</v>
      </c>
      <c r="L2741" s="16">
        <f>IF(NOT(Paths!$C$255=1),0,IF(Paths!$P$255="Complete",IF(C2741=10,Paths!$I$255,0),"n.a."))</f>
        <v>0</v>
      </c>
      <c r="M2741" s="16">
        <f>IF(NOT(Paths!$C$255=1),0,IF(Paths!$P$255="Complete",IF(AND(Paths!$D$255="EV",Paths!$E$255&lt;120,Paths!$E$255+'Operating costs'!$B$65&gt;Paths!$E$255,Paths!$E$255+'Operating costs'!$B$65&lt;=120,IF(Paths!$E$255+'Operating costs'!$B$65=0,C2741=0,AND(C2741&gt;0,Paths!$E$255+'Operating costs'!$B$65&gt;(C2741-1)*12,Paths!$E$255+'Operating costs'!$B$65&lt;=C2741*12))),'Operating costs'!$B$64,0)+IF(AND('Operating costs'!$B$67&gt;0,'Operating costs'!$B$67&lt;=120,OR(Paths!$D$255="ICE",'Operating costs'!$B$67&lt;=Paths!$E$255),IF('Operating costs'!$B$67=0,C2741=0,AND(C2741&gt;0,'Operating costs'!$B$67&gt;(C2741-1)*12,'Operating costs'!$B$67&lt;=C2741*12))),'Operating costs'!$B$66,0),"n.a."))</f>
        <v>0</v>
      </c>
      <c r="N2741" s="16">
        <f>IF(NOT(Paths!$C$255=1),0,IF(Paths!$P$255="Complete",SUM(G2741:I2741)-J2741-K2741-L2741+M2741+IF(C2741=0,Paths!$F$255,0)+IF(IF(Paths!$E$255=0,C2741=0,AND(C2741&gt;0,Paths!$E$255&gt;(C2741-1)*12,Paths!$E$255&lt;=C2741*12)),VLOOKUP(A2741,'Fleet register'!$A$7:$S$106,16,FALSE),0),"n.a."))</f>
        <v>0</v>
      </c>
      <c r="O2741" s="16">
        <f>IF(NOT(Paths!$C$255=1),0,IF(Paths!$P$255="Complete",N2741-IF(C2741=0,Paths!$F$255,0),"n.a."))</f>
        <v>0</v>
      </c>
      <c r="P2741" s="16">
        <f>IF(NOT(Paths!$C$255=1),0,IF(Paths!$P$255="Complete",O2741+L2741,"n.a."))</f>
        <v>0</v>
      </c>
      <c r="Q2741" s="16">
        <f>IF(NOT(Paths!$C$255=1),0,IF(Paths!$P$255="Complete",N2741*(1+'Operating costs'!$B$54)^-C2741,"n.a."))</f>
        <v>0</v>
      </c>
      <c r="R2741" s="16">
        <f>IF(NOT(Paths!$C$255=1),0,IF(Paths!$P$255="Complete",IF(AND(C2741=0,Paths!$E$255=0),I2741-J2741-K2741+VLOOKUP(A2741,'Fleet register'!$A$7:$S$106,15,FALSE)+VLOOKUP(A2741,'Fleet register'!$A$7:$S$106,16,FALSE),0),"n.a."))</f>
        <v>0</v>
      </c>
      <c r="S2741" s="1">
        <f>IF(NOT(Paths!$C$255=1),0,IF(Paths!$P$255="Complete",IF(C2741=0,0,Paths!$S$255*Paths!$R$255),"n.a."))</f>
        <v>0</v>
      </c>
      <c r="T2741" s="1">
        <f>IF(NOT(Paths!$C$255=1),0,IF(Paths!$P$255="Complete",IF(C2741=0,0,VLOOKUP(A2741,'Fleet register'!$A$7:$S$106,9,FALSE)*Paths!$R$255),"n.a."))</f>
        <v>0</v>
      </c>
    </row>
    <row r="2742" spans="1:20" ht="24" customHeight="1">
      <c r="A2742" s="1" t="str">
        <f>Paths!$A$255</f>
        <v>T063</v>
      </c>
      <c r="B2742" s="1">
        <f>Paths!$B$255</f>
        <v>0</v>
      </c>
      <c r="C2742" s="1">
        <v>7</v>
      </c>
      <c r="D2742" s="1">
        <v>255</v>
      </c>
      <c r="E2742" s="1">
        <f>IF(OR(Paths!$C$255=0,C2742=0),0,MAX(0,MIN(C2742*12,Paths!$E$255)-(C2742-1)*12))</f>
        <v>0</v>
      </c>
      <c r="F2742" s="1">
        <f>IF(OR(Paths!$C$255=0,C2742=0),0,12-E2742)</f>
        <v>0</v>
      </c>
      <c r="G2742" s="16">
        <f>IF(NOT(Paths!$C$255=1),0,IF(Paths!$P$255="Complete",E2742/12*(Paths!$J$255*(1+'Operating costs'!$B$51)^MAX(0,C2742-1)+Paths!$K$255*(1+'Operating costs'!$B$53)^MAX(0,C2742-1)),"n.a."))</f>
        <v>0</v>
      </c>
      <c r="H2742" s="16">
        <f>IF(NOT(Paths!$C$255=1),0,IF(Paths!$P$255="Complete",F2742/12*(Paths!$L$255*(1+IF(Paths!$D$255="EV",'Operating costs'!$B$52,'Operating costs'!$B$51))^MAX(0,C2742-1)+Paths!$M$255*(1+'Operating costs'!$B$53)^MAX(0,C2742-1)),"n.a."))</f>
        <v>0</v>
      </c>
      <c r="I2742" s="16">
        <f>IF(NOT(Paths!$C$255=1),0,IF(Paths!$P$255="Complete",IF(IF(Paths!$E$255=0,C2742=0,AND(C2742&gt;0,Paths!$E$255&gt;(C2742-1)*12,Paths!$E$255&lt;=C2742*12)),Paths!$G$255,0),"n.a."))</f>
        <v>0</v>
      </c>
      <c r="J2742" s="16">
        <f>IF(NOT(Paths!$C$255=1),0,IF(Paths!$P$255="Complete",IF(IF(Paths!$E$255=0,C2742=0,AND(C2742&gt;0,Paths!$E$255&gt;(C2742-1)*12,Paths!$E$255&lt;=C2742*12)),Paths!$H$255,0),"n.a."))</f>
        <v>0</v>
      </c>
      <c r="K2742" s="16">
        <f>IF(NOT(Paths!$C$255=1),0,IF(Paths!$P$255="Complete",IF(IF(Paths!$O$255=0,C2742=0,AND(C2742&gt;0,Paths!$O$255&gt;(C2742-1)*12,Paths!$O$255&lt;=C2742*12)),Paths!$N$255,0),"n.a."))</f>
        <v>0</v>
      </c>
      <c r="L2742" s="16">
        <f>IF(NOT(Paths!$C$255=1),0,IF(Paths!$P$255="Complete",IF(C2742=10,Paths!$I$255,0),"n.a."))</f>
        <v>0</v>
      </c>
      <c r="M2742" s="16">
        <f>IF(NOT(Paths!$C$255=1),0,IF(Paths!$P$255="Complete",IF(AND(Paths!$D$255="EV",Paths!$E$255&lt;120,Paths!$E$255+'Operating costs'!$B$65&gt;Paths!$E$255,Paths!$E$255+'Operating costs'!$B$65&lt;=120,IF(Paths!$E$255+'Operating costs'!$B$65=0,C2742=0,AND(C2742&gt;0,Paths!$E$255+'Operating costs'!$B$65&gt;(C2742-1)*12,Paths!$E$255+'Operating costs'!$B$65&lt;=C2742*12))),'Operating costs'!$B$64,0)+IF(AND('Operating costs'!$B$67&gt;0,'Operating costs'!$B$67&lt;=120,OR(Paths!$D$255="ICE",'Operating costs'!$B$67&lt;=Paths!$E$255),IF('Operating costs'!$B$67=0,C2742=0,AND(C2742&gt;0,'Operating costs'!$B$67&gt;(C2742-1)*12,'Operating costs'!$B$67&lt;=C2742*12))),'Operating costs'!$B$66,0),"n.a."))</f>
        <v>0</v>
      </c>
      <c r="N2742" s="16">
        <f>IF(NOT(Paths!$C$255=1),0,IF(Paths!$P$255="Complete",SUM(G2742:I2742)-J2742-K2742-L2742+M2742+IF(C2742=0,Paths!$F$255,0)+IF(IF(Paths!$E$255=0,C2742=0,AND(C2742&gt;0,Paths!$E$255&gt;(C2742-1)*12,Paths!$E$255&lt;=C2742*12)),VLOOKUP(A2742,'Fleet register'!$A$7:$S$106,16,FALSE),0),"n.a."))</f>
        <v>0</v>
      </c>
      <c r="O2742" s="16">
        <f>IF(NOT(Paths!$C$255=1),0,IF(Paths!$P$255="Complete",N2742-IF(C2742=0,Paths!$F$255,0),"n.a."))</f>
        <v>0</v>
      </c>
      <c r="P2742" s="16">
        <f>IF(NOT(Paths!$C$255=1),0,IF(Paths!$P$255="Complete",O2742+L2742,"n.a."))</f>
        <v>0</v>
      </c>
      <c r="Q2742" s="16">
        <f>IF(NOT(Paths!$C$255=1),0,IF(Paths!$P$255="Complete",N2742*(1+'Operating costs'!$B$54)^-C2742,"n.a."))</f>
        <v>0</v>
      </c>
      <c r="R2742" s="16">
        <f>IF(NOT(Paths!$C$255=1),0,IF(Paths!$P$255="Complete",IF(AND(C2742=0,Paths!$E$255=0),I2742-J2742-K2742+VLOOKUP(A2742,'Fleet register'!$A$7:$S$106,15,FALSE)+VLOOKUP(A2742,'Fleet register'!$A$7:$S$106,16,FALSE),0),"n.a."))</f>
        <v>0</v>
      </c>
      <c r="S2742" s="1">
        <f>IF(NOT(Paths!$C$255=1),0,IF(Paths!$P$255="Complete",IF(C2742=0,0,Paths!$S$255*Paths!$R$255),"n.a."))</f>
        <v>0</v>
      </c>
      <c r="T2742" s="1">
        <f>IF(NOT(Paths!$C$255=1),0,IF(Paths!$P$255="Complete",IF(C2742=0,0,VLOOKUP(A2742,'Fleet register'!$A$7:$S$106,9,FALSE)*Paths!$R$255),"n.a."))</f>
        <v>0</v>
      </c>
    </row>
    <row r="2743" spans="1:20" ht="24" customHeight="1">
      <c r="A2743" s="1" t="str">
        <f>Paths!$A$255</f>
        <v>T063</v>
      </c>
      <c r="B2743" s="1">
        <f>Paths!$B$255</f>
        <v>0</v>
      </c>
      <c r="C2743" s="1">
        <v>8</v>
      </c>
      <c r="D2743" s="1">
        <v>255</v>
      </c>
      <c r="E2743" s="1">
        <f>IF(OR(Paths!$C$255=0,C2743=0),0,MAX(0,MIN(C2743*12,Paths!$E$255)-(C2743-1)*12))</f>
        <v>0</v>
      </c>
      <c r="F2743" s="1">
        <f>IF(OR(Paths!$C$255=0,C2743=0),0,12-E2743)</f>
        <v>0</v>
      </c>
      <c r="G2743" s="16">
        <f>IF(NOT(Paths!$C$255=1),0,IF(Paths!$P$255="Complete",E2743/12*(Paths!$J$255*(1+'Operating costs'!$B$51)^MAX(0,C2743-1)+Paths!$K$255*(1+'Operating costs'!$B$53)^MAX(0,C2743-1)),"n.a."))</f>
        <v>0</v>
      </c>
      <c r="H2743" s="16">
        <f>IF(NOT(Paths!$C$255=1),0,IF(Paths!$P$255="Complete",F2743/12*(Paths!$L$255*(1+IF(Paths!$D$255="EV",'Operating costs'!$B$52,'Operating costs'!$B$51))^MAX(0,C2743-1)+Paths!$M$255*(1+'Operating costs'!$B$53)^MAX(0,C2743-1)),"n.a."))</f>
        <v>0</v>
      </c>
      <c r="I2743" s="16">
        <f>IF(NOT(Paths!$C$255=1),0,IF(Paths!$P$255="Complete",IF(IF(Paths!$E$255=0,C2743=0,AND(C2743&gt;0,Paths!$E$255&gt;(C2743-1)*12,Paths!$E$255&lt;=C2743*12)),Paths!$G$255,0),"n.a."))</f>
        <v>0</v>
      </c>
      <c r="J2743" s="16">
        <f>IF(NOT(Paths!$C$255=1),0,IF(Paths!$P$255="Complete",IF(IF(Paths!$E$255=0,C2743=0,AND(C2743&gt;0,Paths!$E$255&gt;(C2743-1)*12,Paths!$E$255&lt;=C2743*12)),Paths!$H$255,0),"n.a."))</f>
        <v>0</v>
      </c>
      <c r="K2743" s="16">
        <f>IF(NOT(Paths!$C$255=1),0,IF(Paths!$P$255="Complete",IF(IF(Paths!$O$255=0,C2743=0,AND(C2743&gt;0,Paths!$O$255&gt;(C2743-1)*12,Paths!$O$255&lt;=C2743*12)),Paths!$N$255,0),"n.a."))</f>
        <v>0</v>
      </c>
      <c r="L2743" s="16">
        <f>IF(NOT(Paths!$C$255=1),0,IF(Paths!$P$255="Complete",IF(C2743=10,Paths!$I$255,0),"n.a."))</f>
        <v>0</v>
      </c>
      <c r="M2743" s="16">
        <f>IF(NOT(Paths!$C$255=1),0,IF(Paths!$P$255="Complete",IF(AND(Paths!$D$255="EV",Paths!$E$255&lt;120,Paths!$E$255+'Operating costs'!$B$65&gt;Paths!$E$255,Paths!$E$255+'Operating costs'!$B$65&lt;=120,IF(Paths!$E$255+'Operating costs'!$B$65=0,C2743=0,AND(C2743&gt;0,Paths!$E$255+'Operating costs'!$B$65&gt;(C2743-1)*12,Paths!$E$255+'Operating costs'!$B$65&lt;=C2743*12))),'Operating costs'!$B$64,0)+IF(AND('Operating costs'!$B$67&gt;0,'Operating costs'!$B$67&lt;=120,OR(Paths!$D$255="ICE",'Operating costs'!$B$67&lt;=Paths!$E$255),IF('Operating costs'!$B$67=0,C2743=0,AND(C2743&gt;0,'Operating costs'!$B$67&gt;(C2743-1)*12,'Operating costs'!$B$67&lt;=C2743*12))),'Operating costs'!$B$66,0),"n.a."))</f>
        <v>0</v>
      </c>
      <c r="N2743" s="16">
        <f>IF(NOT(Paths!$C$255=1),0,IF(Paths!$P$255="Complete",SUM(G2743:I2743)-J2743-K2743-L2743+M2743+IF(C2743=0,Paths!$F$255,0)+IF(IF(Paths!$E$255=0,C2743=0,AND(C2743&gt;0,Paths!$E$255&gt;(C2743-1)*12,Paths!$E$255&lt;=C2743*12)),VLOOKUP(A2743,'Fleet register'!$A$7:$S$106,16,FALSE),0),"n.a."))</f>
        <v>0</v>
      </c>
      <c r="O2743" s="16">
        <f>IF(NOT(Paths!$C$255=1),0,IF(Paths!$P$255="Complete",N2743-IF(C2743=0,Paths!$F$255,0),"n.a."))</f>
        <v>0</v>
      </c>
      <c r="P2743" s="16">
        <f>IF(NOT(Paths!$C$255=1),0,IF(Paths!$P$255="Complete",O2743+L2743,"n.a."))</f>
        <v>0</v>
      </c>
      <c r="Q2743" s="16">
        <f>IF(NOT(Paths!$C$255=1),0,IF(Paths!$P$255="Complete",N2743*(1+'Operating costs'!$B$54)^-C2743,"n.a."))</f>
        <v>0</v>
      </c>
      <c r="R2743" s="16">
        <f>IF(NOT(Paths!$C$255=1),0,IF(Paths!$P$255="Complete",IF(AND(C2743=0,Paths!$E$255=0),I2743-J2743-K2743+VLOOKUP(A2743,'Fleet register'!$A$7:$S$106,15,FALSE)+VLOOKUP(A2743,'Fleet register'!$A$7:$S$106,16,FALSE),0),"n.a."))</f>
        <v>0</v>
      </c>
      <c r="S2743" s="1">
        <f>IF(NOT(Paths!$C$255=1),0,IF(Paths!$P$255="Complete",IF(C2743=0,0,Paths!$S$255*Paths!$R$255),"n.a."))</f>
        <v>0</v>
      </c>
      <c r="T2743" s="1">
        <f>IF(NOT(Paths!$C$255=1),0,IF(Paths!$P$255="Complete",IF(C2743=0,0,VLOOKUP(A2743,'Fleet register'!$A$7:$S$106,9,FALSE)*Paths!$R$255),"n.a."))</f>
        <v>0</v>
      </c>
    </row>
    <row r="2744" spans="1:20" ht="24" customHeight="1">
      <c r="A2744" s="1" t="str">
        <f>Paths!$A$255</f>
        <v>T063</v>
      </c>
      <c r="B2744" s="1">
        <f>Paths!$B$255</f>
        <v>0</v>
      </c>
      <c r="C2744" s="1">
        <v>9</v>
      </c>
      <c r="D2744" s="1">
        <v>255</v>
      </c>
      <c r="E2744" s="1">
        <f>IF(OR(Paths!$C$255=0,C2744=0),0,MAX(0,MIN(C2744*12,Paths!$E$255)-(C2744-1)*12))</f>
        <v>0</v>
      </c>
      <c r="F2744" s="1">
        <f>IF(OR(Paths!$C$255=0,C2744=0),0,12-E2744)</f>
        <v>0</v>
      </c>
      <c r="G2744" s="16">
        <f>IF(NOT(Paths!$C$255=1),0,IF(Paths!$P$255="Complete",E2744/12*(Paths!$J$255*(1+'Operating costs'!$B$51)^MAX(0,C2744-1)+Paths!$K$255*(1+'Operating costs'!$B$53)^MAX(0,C2744-1)),"n.a."))</f>
        <v>0</v>
      </c>
      <c r="H2744" s="16">
        <f>IF(NOT(Paths!$C$255=1),0,IF(Paths!$P$255="Complete",F2744/12*(Paths!$L$255*(1+IF(Paths!$D$255="EV",'Operating costs'!$B$52,'Operating costs'!$B$51))^MAX(0,C2744-1)+Paths!$M$255*(1+'Operating costs'!$B$53)^MAX(0,C2744-1)),"n.a."))</f>
        <v>0</v>
      </c>
      <c r="I2744" s="16">
        <f>IF(NOT(Paths!$C$255=1),0,IF(Paths!$P$255="Complete",IF(IF(Paths!$E$255=0,C2744=0,AND(C2744&gt;0,Paths!$E$255&gt;(C2744-1)*12,Paths!$E$255&lt;=C2744*12)),Paths!$G$255,0),"n.a."))</f>
        <v>0</v>
      </c>
      <c r="J2744" s="16">
        <f>IF(NOT(Paths!$C$255=1),0,IF(Paths!$P$255="Complete",IF(IF(Paths!$E$255=0,C2744=0,AND(C2744&gt;0,Paths!$E$255&gt;(C2744-1)*12,Paths!$E$255&lt;=C2744*12)),Paths!$H$255,0),"n.a."))</f>
        <v>0</v>
      </c>
      <c r="K2744" s="16">
        <f>IF(NOT(Paths!$C$255=1),0,IF(Paths!$P$255="Complete",IF(IF(Paths!$O$255=0,C2744=0,AND(C2744&gt;0,Paths!$O$255&gt;(C2744-1)*12,Paths!$O$255&lt;=C2744*12)),Paths!$N$255,0),"n.a."))</f>
        <v>0</v>
      </c>
      <c r="L2744" s="16">
        <f>IF(NOT(Paths!$C$255=1),0,IF(Paths!$P$255="Complete",IF(C2744=10,Paths!$I$255,0),"n.a."))</f>
        <v>0</v>
      </c>
      <c r="M2744" s="16">
        <f>IF(NOT(Paths!$C$255=1),0,IF(Paths!$P$255="Complete",IF(AND(Paths!$D$255="EV",Paths!$E$255&lt;120,Paths!$E$255+'Operating costs'!$B$65&gt;Paths!$E$255,Paths!$E$255+'Operating costs'!$B$65&lt;=120,IF(Paths!$E$255+'Operating costs'!$B$65=0,C2744=0,AND(C2744&gt;0,Paths!$E$255+'Operating costs'!$B$65&gt;(C2744-1)*12,Paths!$E$255+'Operating costs'!$B$65&lt;=C2744*12))),'Operating costs'!$B$64,0)+IF(AND('Operating costs'!$B$67&gt;0,'Operating costs'!$B$67&lt;=120,OR(Paths!$D$255="ICE",'Operating costs'!$B$67&lt;=Paths!$E$255),IF('Operating costs'!$B$67=0,C2744=0,AND(C2744&gt;0,'Operating costs'!$B$67&gt;(C2744-1)*12,'Operating costs'!$B$67&lt;=C2744*12))),'Operating costs'!$B$66,0),"n.a."))</f>
        <v>0</v>
      </c>
      <c r="N2744" s="16">
        <f>IF(NOT(Paths!$C$255=1),0,IF(Paths!$P$255="Complete",SUM(G2744:I2744)-J2744-K2744-L2744+M2744+IF(C2744=0,Paths!$F$255,0)+IF(IF(Paths!$E$255=0,C2744=0,AND(C2744&gt;0,Paths!$E$255&gt;(C2744-1)*12,Paths!$E$255&lt;=C2744*12)),VLOOKUP(A2744,'Fleet register'!$A$7:$S$106,16,FALSE),0),"n.a."))</f>
        <v>0</v>
      </c>
      <c r="O2744" s="16">
        <f>IF(NOT(Paths!$C$255=1),0,IF(Paths!$P$255="Complete",N2744-IF(C2744=0,Paths!$F$255,0),"n.a."))</f>
        <v>0</v>
      </c>
      <c r="P2744" s="16">
        <f>IF(NOT(Paths!$C$255=1),0,IF(Paths!$P$255="Complete",O2744+L2744,"n.a."))</f>
        <v>0</v>
      </c>
      <c r="Q2744" s="16">
        <f>IF(NOT(Paths!$C$255=1),0,IF(Paths!$P$255="Complete",N2744*(1+'Operating costs'!$B$54)^-C2744,"n.a."))</f>
        <v>0</v>
      </c>
      <c r="R2744" s="16">
        <f>IF(NOT(Paths!$C$255=1),0,IF(Paths!$P$255="Complete",IF(AND(C2744=0,Paths!$E$255=0),I2744-J2744-K2744+VLOOKUP(A2744,'Fleet register'!$A$7:$S$106,15,FALSE)+VLOOKUP(A2744,'Fleet register'!$A$7:$S$106,16,FALSE),0),"n.a."))</f>
        <v>0</v>
      </c>
      <c r="S2744" s="1">
        <f>IF(NOT(Paths!$C$255=1),0,IF(Paths!$P$255="Complete",IF(C2744=0,0,Paths!$S$255*Paths!$R$255),"n.a."))</f>
        <v>0</v>
      </c>
      <c r="T2744" s="1">
        <f>IF(NOT(Paths!$C$255=1),0,IF(Paths!$P$255="Complete",IF(C2744=0,0,VLOOKUP(A2744,'Fleet register'!$A$7:$S$106,9,FALSE)*Paths!$R$255),"n.a."))</f>
        <v>0</v>
      </c>
    </row>
    <row r="2745" spans="1:20" ht="24" customHeight="1">
      <c r="A2745" s="1" t="str">
        <f>Paths!$A$255</f>
        <v>T063</v>
      </c>
      <c r="B2745" s="1">
        <f>Paths!$B$255</f>
        <v>0</v>
      </c>
      <c r="C2745" s="1">
        <v>10</v>
      </c>
      <c r="D2745" s="1">
        <v>255</v>
      </c>
      <c r="E2745" s="1">
        <f>IF(OR(Paths!$C$255=0,C2745=0),0,MAX(0,MIN(C2745*12,Paths!$E$255)-(C2745-1)*12))</f>
        <v>0</v>
      </c>
      <c r="F2745" s="1">
        <f>IF(OR(Paths!$C$255=0,C2745=0),0,12-E2745)</f>
        <v>0</v>
      </c>
      <c r="G2745" s="16">
        <f>IF(NOT(Paths!$C$255=1),0,IF(Paths!$P$255="Complete",E2745/12*(Paths!$J$255*(1+'Operating costs'!$B$51)^MAX(0,C2745-1)+Paths!$K$255*(1+'Operating costs'!$B$53)^MAX(0,C2745-1)),"n.a."))</f>
        <v>0</v>
      </c>
      <c r="H2745" s="16">
        <f>IF(NOT(Paths!$C$255=1),0,IF(Paths!$P$255="Complete",F2745/12*(Paths!$L$255*(1+IF(Paths!$D$255="EV",'Operating costs'!$B$52,'Operating costs'!$B$51))^MAX(0,C2745-1)+Paths!$M$255*(1+'Operating costs'!$B$53)^MAX(0,C2745-1)),"n.a."))</f>
        <v>0</v>
      </c>
      <c r="I2745" s="16">
        <f>IF(NOT(Paths!$C$255=1),0,IF(Paths!$P$255="Complete",IF(IF(Paths!$E$255=0,C2745=0,AND(C2745&gt;0,Paths!$E$255&gt;(C2745-1)*12,Paths!$E$255&lt;=C2745*12)),Paths!$G$255,0),"n.a."))</f>
        <v>0</v>
      </c>
      <c r="J2745" s="16">
        <f>IF(NOT(Paths!$C$255=1),0,IF(Paths!$P$255="Complete",IF(IF(Paths!$E$255=0,C2745=0,AND(C2745&gt;0,Paths!$E$255&gt;(C2745-1)*12,Paths!$E$255&lt;=C2745*12)),Paths!$H$255,0),"n.a."))</f>
        <v>0</v>
      </c>
      <c r="K2745" s="16">
        <f>IF(NOT(Paths!$C$255=1),0,IF(Paths!$P$255="Complete",IF(IF(Paths!$O$255=0,C2745=0,AND(C2745&gt;0,Paths!$O$255&gt;(C2745-1)*12,Paths!$O$255&lt;=C2745*12)),Paths!$N$255,0),"n.a."))</f>
        <v>0</v>
      </c>
      <c r="L2745" s="16">
        <f>IF(NOT(Paths!$C$255=1),0,IF(Paths!$P$255="Complete",IF(C2745=10,Paths!$I$255,0),"n.a."))</f>
        <v>0</v>
      </c>
      <c r="M2745" s="16">
        <f>IF(NOT(Paths!$C$255=1),0,IF(Paths!$P$255="Complete",IF(AND(Paths!$D$255="EV",Paths!$E$255&lt;120,Paths!$E$255+'Operating costs'!$B$65&gt;Paths!$E$255,Paths!$E$255+'Operating costs'!$B$65&lt;=120,IF(Paths!$E$255+'Operating costs'!$B$65=0,C2745=0,AND(C2745&gt;0,Paths!$E$255+'Operating costs'!$B$65&gt;(C2745-1)*12,Paths!$E$255+'Operating costs'!$B$65&lt;=C2745*12))),'Operating costs'!$B$64,0)+IF(AND('Operating costs'!$B$67&gt;0,'Operating costs'!$B$67&lt;=120,OR(Paths!$D$255="ICE",'Operating costs'!$B$67&lt;=Paths!$E$255),IF('Operating costs'!$B$67=0,C2745=0,AND(C2745&gt;0,'Operating costs'!$B$67&gt;(C2745-1)*12,'Operating costs'!$B$67&lt;=C2745*12))),'Operating costs'!$B$66,0),"n.a."))</f>
        <v>0</v>
      </c>
      <c r="N2745" s="16">
        <f>IF(NOT(Paths!$C$255=1),0,IF(Paths!$P$255="Complete",SUM(G2745:I2745)-J2745-K2745-L2745+M2745+IF(C2745=0,Paths!$F$255,0)+IF(IF(Paths!$E$255=0,C2745=0,AND(C2745&gt;0,Paths!$E$255&gt;(C2745-1)*12,Paths!$E$255&lt;=C2745*12)),VLOOKUP(A2745,'Fleet register'!$A$7:$S$106,16,FALSE),0),"n.a."))</f>
        <v>0</v>
      </c>
      <c r="O2745" s="16">
        <f>IF(NOT(Paths!$C$255=1),0,IF(Paths!$P$255="Complete",N2745-IF(C2745=0,Paths!$F$255,0),"n.a."))</f>
        <v>0</v>
      </c>
      <c r="P2745" s="16">
        <f>IF(NOT(Paths!$C$255=1),0,IF(Paths!$P$255="Complete",O2745+L2745,"n.a."))</f>
        <v>0</v>
      </c>
      <c r="Q2745" s="16">
        <f>IF(NOT(Paths!$C$255=1),0,IF(Paths!$P$255="Complete",N2745*(1+'Operating costs'!$B$54)^-C2745,"n.a."))</f>
        <v>0</v>
      </c>
      <c r="R2745" s="16">
        <f>IF(NOT(Paths!$C$255=1),0,IF(Paths!$P$255="Complete",IF(AND(C2745=0,Paths!$E$255=0),I2745-J2745-K2745+VLOOKUP(A2745,'Fleet register'!$A$7:$S$106,15,FALSE)+VLOOKUP(A2745,'Fleet register'!$A$7:$S$106,16,FALSE),0),"n.a."))</f>
        <v>0</v>
      </c>
      <c r="S2745" s="1">
        <f>IF(NOT(Paths!$C$255=1),0,IF(Paths!$P$255="Complete",IF(C2745=0,0,Paths!$S$255*Paths!$R$255),"n.a."))</f>
        <v>0</v>
      </c>
      <c r="T2745" s="1">
        <f>IF(NOT(Paths!$C$255=1),0,IF(Paths!$P$255="Complete",IF(C2745=0,0,VLOOKUP(A2745,'Fleet register'!$A$7:$S$106,9,FALSE)*Paths!$R$255),"n.a."))</f>
        <v>0</v>
      </c>
    </row>
    <row r="2746" spans="1:20" ht="24" customHeight="1">
      <c r="A2746" s="1" t="str">
        <f>Paths!$A$256</f>
        <v>T063</v>
      </c>
      <c r="B2746" s="1">
        <f>Paths!$B$256</f>
        <v>1</v>
      </c>
      <c r="C2746" s="1">
        <v>0</v>
      </c>
      <c r="D2746" s="1">
        <v>256</v>
      </c>
      <c r="E2746" s="1">
        <f>IF(OR(Paths!$C$256=0,C2746=0),0,MAX(0,MIN(C2746*12,Paths!$E$256)-(C2746-1)*12))</f>
        <v>0</v>
      </c>
      <c r="F2746" s="1">
        <f>IF(OR(Paths!$C$256=0,C2746=0),0,12-E2746)</f>
        <v>0</v>
      </c>
      <c r="G2746" s="16">
        <f>IF(NOT(Paths!$C$256=1),0,IF(Paths!$P$256="Complete",E2746/12*(Paths!$J$256*(1+'Operating costs'!$B$51)^MAX(0,C2746-1)+Paths!$K$256*(1+'Operating costs'!$B$53)^MAX(0,C2746-1)),"n.a."))</f>
        <v>0</v>
      </c>
      <c r="H2746" s="16">
        <f>IF(NOT(Paths!$C$256=1),0,IF(Paths!$P$256="Complete",F2746/12*(Paths!$L$256*(1+IF(Paths!$D$256="EV",'Operating costs'!$B$52,'Operating costs'!$B$51))^MAX(0,C2746-1)+Paths!$M$256*(1+'Operating costs'!$B$53)^MAX(0,C2746-1)),"n.a."))</f>
        <v>0</v>
      </c>
      <c r="I2746" s="16">
        <f>IF(NOT(Paths!$C$256=1),0,IF(Paths!$P$256="Complete",IF(IF(Paths!$E$256=0,C2746=0,AND(C2746&gt;0,Paths!$E$256&gt;(C2746-1)*12,Paths!$E$256&lt;=C2746*12)),Paths!$G$256,0),"n.a."))</f>
        <v>0</v>
      </c>
      <c r="J2746" s="16">
        <f>IF(NOT(Paths!$C$256=1),0,IF(Paths!$P$256="Complete",IF(IF(Paths!$E$256=0,C2746=0,AND(C2746&gt;0,Paths!$E$256&gt;(C2746-1)*12,Paths!$E$256&lt;=C2746*12)),Paths!$H$256,0),"n.a."))</f>
        <v>0</v>
      </c>
      <c r="K2746" s="16">
        <f>IF(NOT(Paths!$C$256=1),0,IF(Paths!$P$256="Complete",IF(IF(Paths!$O$256=0,C2746=0,AND(C2746&gt;0,Paths!$O$256&gt;(C2746-1)*12,Paths!$O$256&lt;=C2746*12)),Paths!$N$256,0),"n.a."))</f>
        <v>0</v>
      </c>
      <c r="L2746" s="16">
        <f>IF(NOT(Paths!$C$256=1),0,IF(Paths!$P$256="Complete",IF(C2746=10,Paths!$I$256,0),"n.a."))</f>
        <v>0</v>
      </c>
      <c r="M2746" s="16">
        <f>IF(NOT(Paths!$C$256=1),0,IF(Paths!$P$256="Complete",IF(AND(Paths!$D$256="EV",Paths!$E$256&lt;120,Paths!$E$256+'Operating costs'!$B$65&gt;Paths!$E$256,Paths!$E$256+'Operating costs'!$B$65&lt;=120,IF(Paths!$E$256+'Operating costs'!$B$65=0,C2746=0,AND(C2746&gt;0,Paths!$E$256+'Operating costs'!$B$65&gt;(C2746-1)*12,Paths!$E$256+'Operating costs'!$B$65&lt;=C2746*12))),'Operating costs'!$B$64,0)+IF(AND('Operating costs'!$B$67&gt;0,'Operating costs'!$B$67&lt;=120,OR(Paths!$D$256="ICE",'Operating costs'!$B$67&lt;=Paths!$E$256),IF('Operating costs'!$B$67=0,C2746=0,AND(C2746&gt;0,'Operating costs'!$B$67&gt;(C2746-1)*12,'Operating costs'!$B$67&lt;=C2746*12))),'Operating costs'!$B$66,0),"n.a."))</f>
        <v>0</v>
      </c>
      <c r="N2746" s="16">
        <f>IF(NOT(Paths!$C$256=1),0,IF(Paths!$P$256="Complete",SUM(G2746:I2746)-J2746-K2746-L2746+M2746+IF(C2746=0,Paths!$F$256,0)+IF(IF(Paths!$E$256=0,C2746=0,AND(C2746&gt;0,Paths!$E$256&gt;(C2746-1)*12,Paths!$E$256&lt;=C2746*12)),VLOOKUP(A2746,'Fleet register'!$A$7:$S$106,16,FALSE),0),"n.a."))</f>
        <v>0</v>
      </c>
      <c r="O2746" s="16">
        <f>IF(NOT(Paths!$C$256=1),0,IF(Paths!$P$256="Complete",N2746-IF(C2746=0,Paths!$F$256,0),"n.a."))</f>
        <v>0</v>
      </c>
      <c r="P2746" s="16">
        <f>IF(NOT(Paths!$C$256=1),0,IF(Paths!$P$256="Complete",O2746+L2746,"n.a."))</f>
        <v>0</v>
      </c>
      <c r="Q2746" s="16">
        <f>IF(NOT(Paths!$C$256=1),0,IF(Paths!$P$256="Complete",N2746*(1+'Operating costs'!$B$54)^-C2746,"n.a."))</f>
        <v>0</v>
      </c>
      <c r="R2746" s="16">
        <f>IF(NOT(Paths!$C$256=1),0,IF(Paths!$P$256="Complete",IF(AND(C2746=0,Paths!$E$256=0),I2746-J2746-K2746+VLOOKUP(A2746,'Fleet register'!$A$7:$S$106,15,FALSE)+VLOOKUP(A2746,'Fleet register'!$A$7:$S$106,16,FALSE),0),"n.a."))</f>
        <v>0</v>
      </c>
      <c r="S2746" s="1">
        <f>IF(NOT(Paths!$C$256=1),0,IF(Paths!$P$256="Complete",IF(C2746=0,0,Paths!$S$256*Paths!$R$256),"n.a."))</f>
        <v>0</v>
      </c>
      <c r="T2746" s="1">
        <f>IF(NOT(Paths!$C$256=1),0,IF(Paths!$P$256="Complete",IF(C2746=0,0,VLOOKUP(A2746,'Fleet register'!$A$7:$S$106,9,FALSE)*Paths!$R$256),"n.a."))</f>
        <v>0</v>
      </c>
    </row>
    <row r="2747" spans="1:20" ht="24" customHeight="1">
      <c r="A2747" s="1" t="str">
        <f>Paths!$A$256</f>
        <v>T063</v>
      </c>
      <c r="B2747" s="1">
        <f>Paths!$B$256</f>
        <v>1</v>
      </c>
      <c r="C2747" s="1">
        <v>1</v>
      </c>
      <c r="D2747" s="1">
        <v>256</v>
      </c>
      <c r="E2747" s="1">
        <f>IF(OR(Paths!$C$256=0,C2747=0),0,MAX(0,MIN(C2747*12,Paths!$E$256)-(C2747-1)*12))</f>
        <v>0</v>
      </c>
      <c r="F2747" s="1">
        <f>IF(OR(Paths!$C$256=0,C2747=0),0,12-E2747)</f>
        <v>0</v>
      </c>
      <c r="G2747" s="16">
        <f>IF(NOT(Paths!$C$256=1),0,IF(Paths!$P$256="Complete",E2747/12*(Paths!$J$256*(1+'Operating costs'!$B$51)^MAX(0,C2747-1)+Paths!$K$256*(1+'Operating costs'!$B$53)^MAX(0,C2747-1)),"n.a."))</f>
        <v>0</v>
      </c>
      <c r="H2747" s="16">
        <f>IF(NOT(Paths!$C$256=1),0,IF(Paths!$P$256="Complete",F2747/12*(Paths!$L$256*(1+IF(Paths!$D$256="EV",'Operating costs'!$B$52,'Operating costs'!$B$51))^MAX(0,C2747-1)+Paths!$M$256*(1+'Operating costs'!$B$53)^MAX(0,C2747-1)),"n.a."))</f>
        <v>0</v>
      </c>
      <c r="I2747" s="16">
        <f>IF(NOT(Paths!$C$256=1),0,IF(Paths!$P$256="Complete",IF(IF(Paths!$E$256=0,C2747=0,AND(C2747&gt;0,Paths!$E$256&gt;(C2747-1)*12,Paths!$E$256&lt;=C2747*12)),Paths!$G$256,0),"n.a."))</f>
        <v>0</v>
      </c>
      <c r="J2747" s="16">
        <f>IF(NOT(Paths!$C$256=1),0,IF(Paths!$P$256="Complete",IF(IF(Paths!$E$256=0,C2747=0,AND(C2747&gt;0,Paths!$E$256&gt;(C2747-1)*12,Paths!$E$256&lt;=C2747*12)),Paths!$H$256,0),"n.a."))</f>
        <v>0</v>
      </c>
      <c r="K2747" s="16">
        <f>IF(NOT(Paths!$C$256=1),0,IF(Paths!$P$256="Complete",IF(IF(Paths!$O$256=0,C2747=0,AND(C2747&gt;0,Paths!$O$256&gt;(C2747-1)*12,Paths!$O$256&lt;=C2747*12)),Paths!$N$256,0),"n.a."))</f>
        <v>0</v>
      </c>
      <c r="L2747" s="16">
        <f>IF(NOT(Paths!$C$256=1),0,IF(Paths!$P$256="Complete",IF(C2747=10,Paths!$I$256,0),"n.a."))</f>
        <v>0</v>
      </c>
      <c r="M2747" s="16">
        <f>IF(NOT(Paths!$C$256=1),0,IF(Paths!$P$256="Complete",IF(AND(Paths!$D$256="EV",Paths!$E$256&lt;120,Paths!$E$256+'Operating costs'!$B$65&gt;Paths!$E$256,Paths!$E$256+'Operating costs'!$B$65&lt;=120,IF(Paths!$E$256+'Operating costs'!$B$65=0,C2747=0,AND(C2747&gt;0,Paths!$E$256+'Operating costs'!$B$65&gt;(C2747-1)*12,Paths!$E$256+'Operating costs'!$B$65&lt;=C2747*12))),'Operating costs'!$B$64,0)+IF(AND('Operating costs'!$B$67&gt;0,'Operating costs'!$B$67&lt;=120,OR(Paths!$D$256="ICE",'Operating costs'!$B$67&lt;=Paths!$E$256),IF('Operating costs'!$B$67=0,C2747=0,AND(C2747&gt;0,'Operating costs'!$B$67&gt;(C2747-1)*12,'Operating costs'!$B$67&lt;=C2747*12))),'Operating costs'!$B$66,0),"n.a."))</f>
        <v>0</v>
      </c>
      <c r="N2747" s="16">
        <f>IF(NOT(Paths!$C$256=1),0,IF(Paths!$P$256="Complete",SUM(G2747:I2747)-J2747-K2747-L2747+M2747+IF(C2747=0,Paths!$F$256,0)+IF(IF(Paths!$E$256=0,C2747=0,AND(C2747&gt;0,Paths!$E$256&gt;(C2747-1)*12,Paths!$E$256&lt;=C2747*12)),VLOOKUP(A2747,'Fleet register'!$A$7:$S$106,16,FALSE),0),"n.a."))</f>
        <v>0</v>
      </c>
      <c r="O2747" s="16">
        <f>IF(NOT(Paths!$C$256=1),0,IF(Paths!$P$256="Complete",N2747-IF(C2747=0,Paths!$F$256,0),"n.a."))</f>
        <v>0</v>
      </c>
      <c r="P2747" s="16">
        <f>IF(NOT(Paths!$C$256=1),0,IF(Paths!$P$256="Complete",O2747+L2747,"n.a."))</f>
        <v>0</v>
      </c>
      <c r="Q2747" s="16">
        <f>IF(NOT(Paths!$C$256=1),0,IF(Paths!$P$256="Complete",N2747*(1+'Operating costs'!$B$54)^-C2747,"n.a."))</f>
        <v>0</v>
      </c>
      <c r="R2747" s="16">
        <f>IF(NOT(Paths!$C$256=1),0,IF(Paths!$P$256="Complete",IF(AND(C2747=0,Paths!$E$256=0),I2747-J2747-K2747+VLOOKUP(A2747,'Fleet register'!$A$7:$S$106,15,FALSE)+VLOOKUP(A2747,'Fleet register'!$A$7:$S$106,16,FALSE),0),"n.a."))</f>
        <v>0</v>
      </c>
      <c r="S2747" s="1">
        <f>IF(NOT(Paths!$C$256=1),0,IF(Paths!$P$256="Complete",IF(C2747=0,0,Paths!$S$256*Paths!$R$256),"n.a."))</f>
        <v>0</v>
      </c>
      <c r="T2747" s="1">
        <f>IF(NOT(Paths!$C$256=1),0,IF(Paths!$P$256="Complete",IF(C2747=0,0,VLOOKUP(A2747,'Fleet register'!$A$7:$S$106,9,FALSE)*Paths!$R$256),"n.a."))</f>
        <v>0</v>
      </c>
    </row>
    <row r="2748" spans="1:20" ht="24" customHeight="1">
      <c r="A2748" s="1" t="str">
        <f>Paths!$A$256</f>
        <v>T063</v>
      </c>
      <c r="B2748" s="1">
        <f>Paths!$B$256</f>
        <v>1</v>
      </c>
      <c r="C2748" s="1">
        <v>2</v>
      </c>
      <c r="D2748" s="1">
        <v>256</v>
      </c>
      <c r="E2748" s="1">
        <f>IF(OR(Paths!$C$256=0,C2748=0),0,MAX(0,MIN(C2748*12,Paths!$E$256)-(C2748-1)*12))</f>
        <v>0</v>
      </c>
      <c r="F2748" s="1">
        <f>IF(OR(Paths!$C$256=0,C2748=0),0,12-E2748)</f>
        <v>0</v>
      </c>
      <c r="G2748" s="16">
        <f>IF(NOT(Paths!$C$256=1),0,IF(Paths!$P$256="Complete",E2748/12*(Paths!$J$256*(1+'Operating costs'!$B$51)^MAX(0,C2748-1)+Paths!$K$256*(1+'Operating costs'!$B$53)^MAX(0,C2748-1)),"n.a."))</f>
        <v>0</v>
      </c>
      <c r="H2748" s="16">
        <f>IF(NOT(Paths!$C$256=1),0,IF(Paths!$P$256="Complete",F2748/12*(Paths!$L$256*(1+IF(Paths!$D$256="EV",'Operating costs'!$B$52,'Operating costs'!$B$51))^MAX(0,C2748-1)+Paths!$M$256*(1+'Operating costs'!$B$53)^MAX(0,C2748-1)),"n.a."))</f>
        <v>0</v>
      </c>
      <c r="I2748" s="16">
        <f>IF(NOT(Paths!$C$256=1),0,IF(Paths!$P$256="Complete",IF(IF(Paths!$E$256=0,C2748=0,AND(C2748&gt;0,Paths!$E$256&gt;(C2748-1)*12,Paths!$E$256&lt;=C2748*12)),Paths!$G$256,0),"n.a."))</f>
        <v>0</v>
      </c>
      <c r="J2748" s="16">
        <f>IF(NOT(Paths!$C$256=1),0,IF(Paths!$P$256="Complete",IF(IF(Paths!$E$256=0,C2748=0,AND(C2748&gt;0,Paths!$E$256&gt;(C2748-1)*12,Paths!$E$256&lt;=C2748*12)),Paths!$H$256,0),"n.a."))</f>
        <v>0</v>
      </c>
      <c r="K2748" s="16">
        <f>IF(NOT(Paths!$C$256=1),0,IF(Paths!$P$256="Complete",IF(IF(Paths!$O$256=0,C2748=0,AND(C2748&gt;0,Paths!$O$256&gt;(C2748-1)*12,Paths!$O$256&lt;=C2748*12)),Paths!$N$256,0),"n.a."))</f>
        <v>0</v>
      </c>
      <c r="L2748" s="16">
        <f>IF(NOT(Paths!$C$256=1),0,IF(Paths!$P$256="Complete",IF(C2748=10,Paths!$I$256,0),"n.a."))</f>
        <v>0</v>
      </c>
      <c r="M2748" s="16">
        <f>IF(NOT(Paths!$C$256=1),0,IF(Paths!$P$256="Complete",IF(AND(Paths!$D$256="EV",Paths!$E$256&lt;120,Paths!$E$256+'Operating costs'!$B$65&gt;Paths!$E$256,Paths!$E$256+'Operating costs'!$B$65&lt;=120,IF(Paths!$E$256+'Operating costs'!$B$65=0,C2748=0,AND(C2748&gt;0,Paths!$E$256+'Operating costs'!$B$65&gt;(C2748-1)*12,Paths!$E$256+'Operating costs'!$B$65&lt;=C2748*12))),'Operating costs'!$B$64,0)+IF(AND('Operating costs'!$B$67&gt;0,'Operating costs'!$B$67&lt;=120,OR(Paths!$D$256="ICE",'Operating costs'!$B$67&lt;=Paths!$E$256),IF('Operating costs'!$B$67=0,C2748=0,AND(C2748&gt;0,'Operating costs'!$B$67&gt;(C2748-1)*12,'Operating costs'!$B$67&lt;=C2748*12))),'Operating costs'!$B$66,0),"n.a."))</f>
        <v>0</v>
      </c>
      <c r="N2748" s="16">
        <f>IF(NOT(Paths!$C$256=1),0,IF(Paths!$P$256="Complete",SUM(G2748:I2748)-J2748-K2748-L2748+M2748+IF(C2748=0,Paths!$F$256,0)+IF(IF(Paths!$E$256=0,C2748=0,AND(C2748&gt;0,Paths!$E$256&gt;(C2748-1)*12,Paths!$E$256&lt;=C2748*12)),VLOOKUP(A2748,'Fleet register'!$A$7:$S$106,16,FALSE),0),"n.a."))</f>
        <v>0</v>
      </c>
      <c r="O2748" s="16">
        <f>IF(NOT(Paths!$C$256=1),0,IF(Paths!$P$256="Complete",N2748-IF(C2748=0,Paths!$F$256,0),"n.a."))</f>
        <v>0</v>
      </c>
      <c r="P2748" s="16">
        <f>IF(NOT(Paths!$C$256=1),0,IF(Paths!$P$256="Complete",O2748+L2748,"n.a."))</f>
        <v>0</v>
      </c>
      <c r="Q2748" s="16">
        <f>IF(NOT(Paths!$C$256=1),0,IF(Paths!$P$256="Complete",N2748*(1+'Operating costs'!$B$54)^-C2748,"n.a."))</f>
        <v>0</v>
      </c>
      <c r="R2748" s="16">
        <f>IF(NOT(Paths!$C$256=1),0,IF(Paths!$P$256="Complete",IF(AND(C2748=0,Paths!$E$256=0),I2748-J2748-K2748+VLOOKUP(A2748,'Fleet register'!$A$7:$S$106,15,FALSE)+VLOOKUP(A2748,'Fleet register'!$A$7:$S$106,16,FALSE),0),"n.a."))</f>
        <v>0</v>
      </c>
      <c r="S2748" s="1">
        <f>IF(NOT(Paths!$C$256=1),0,IF(Paths!$P$256="Complete",IF(C2748=0,0,Paths!$S$256*Paths!$R$256),"n.a."))</f>
        <v>0</v>
      </c>
      <c r="T2748" s="1">
        <f>IF(NOT(Paths!$C$256=1),0,IF(Paths!$P$256="Complete",IF(C2748=0,0,VLOOKUP(A2748,'Fleet register'!$A$7:$S$106,9,FALSE)*Paths!$R$256),"n.a."))</f>
        <v>0</v>
      </c>
    </row>
    <row r="2749" spans="1:20" ht="24" customHeight="1">
      <c r="A2749" s="1" t="str">
        <f>Paths!$A$256</f>
        <v>T063</v>
      </c>
      <c r="B2749" s="1">
        <f>Paths!$B$256</f>
        <v>1</v>
      </c>
      <c r="C2749" s="1">
        <v>3</v>
      </c>
      <c r="D2749" s="1">
        <v>256</v>
      </c>
      <c r="E2749" s="1">
        <f>IF(OR(Paths!$C$256=0,C2749=0),0,MAX(0,MIN(C2749*12,Paths!$E$256)-(C2749-1)*12))</f>
        <v>0</v>
      </c>
      <c r="F2749" s="1">
        <f>IF(OR(Paths!$C$256=0,C2749=0),0,12-E2749)</f>
        <v>0</v>
      </c>
      <c r="G2749" s="16">
        <f>IF(NOT(Paths!$C$256=1),0,IF(Paths!$P$256="Complete",E2749/12*(Paths!$J$256*(1+'Operating costs'!$B$51)^MAX(0,C2749-1)+Paths!$K$256*(1+'Operating costs'!$B$53)^MAX(0,C2749-1)),"n.a."))</f>
        <v>0</v>
      </c>
      <c r="H2749" s="16">
        <f>IF(NOT(Paths!$C$256=1),0,IF(Paths!$P$256="Complete",F2749/12*(Paths!$L$256*(1+IF(Paths!$D$256="EV",'Operating costs'!$B$52,'Operating costs'!$B$51))^MAX(0,C2749-1)+Paths!$M$256*(1+'Operating costs'!$B$53)^MAX(0,C2749-1)),"n.a."))</f>
        <v>0</v>
      </c>
      <c r="I2749" s="16">
        <f>IF(NOT(Paths!$C$256=1),0,IF(Paths!$P$256="Complete",IF(IF(Paths!$E$256=0,C2749=0,AND(C2749&gt;0,Paths!$E$256&gt;(C2749-1)*12,Paths!$E$256&lt;=C2749*12)),Paths!$G$256,0),"n.a."))</f>
        <v>0</v>
      </c>
      <c r="J2749" s="16">
        <f>IF(NOT(Paths!$C$256=1),0,IF(Paths!$P$256="Complete",IF(IF(Paths!$E$256=0,C2749=0,AND(C2749&gt;0,Paths!$E$256&gt;(C2749-1)*12,Paths!$E$256&lt;=C2749*12)),Paths!$H$256,0),"n.a."))</f>
        <v>0</v>
      </c>
      <c r="K2749" s="16">
        <f>IF(NOT(Paths!$C$256=1),0,IF(Paths!$P$256="Complete",IF(IF(Paths!$O$256=0,C2749=0,AND(C2749&gt;0,Paths!$O$256&gt;(C2749-1)*12,Paths!$O$256&lt;=C2749*12)),Paths!$N$256,0),"n.a."))</f>
        <v>0</v>
      </c>
      <c r="L2749" s="16">
        <f>IF(NOT(Paths!$C$256=1),0,IF(Paths!$P$256="Complete",IF(C2749=10,Paths!$I$256,0),"n.a."))</f>
        <v>0</v>
      </c>
      <c r="M2749" s="16">
        <f>IF(NOT(Paths!$C$256=1),0,IF(Paths!$P$256="Complete",IF(AND(Paths!$D$256="EV",Paths!$E$256&lt;120,Paths!$E$256+'Operating costs'!$B$65&gt;Paths!$E$256,Paths!$E$256+'Operating costs'!$B$65&lt;=120,IF(Paths!$E$256+'Operating costs'!$B$65=0,C2749=0,AND(C2749&gt;0,Paths!$E$256+'Operating costs'!$B$65&gt;(C2749-1)*12,Paths!$E$256+'Operating costs'!$B$65&lt;=C2749*12))),'Operating costs'!$B$64,0)+IF(AND('Operating costs'!$B$67&gt;0,'Operating costs'!$B$67&lt;=120,OR(Paths!$D$256="ICE",'Operating costs'!$B$67&lt;=Paths!$E$256),IF('Operating costs'!$B$67=0,C2749=0,AND(C2749&gt;0,'Operating costs'!$B$67&gt;(C2749-1)*12,'Operating costs'!$B$67&lt;=C2749*12))),'Operating costs'!$B$66,0),"n.a."))</f>
        <v>0</v>
      </c>
      <c r="N2749" s="16">
        <f>IF(NOT(Paths!$C$256=1),0,IF(Paths!$P$256="Complete",SUM(G2749:I2749)-J2749-K2749-L2749+M2749+IF(C2749=0,Paths!$F$256,0)+IF(IF(Paths!$E$256=0,C2749=0,AND(C2749&gt;0,Paths!$E$256&gt;(C2749-1)*12,Paths!$E$256&lt;=C2749*12)),VLOOKUP(A2749,'Fleet register'!$A$7:$S$106,16,FALSE),0),"n.a."))</f>
        <v>0</v>
      </c>
      <c r="O2749" s="16">
        <f>IF(NOT(Paths!$C$256=1),0,IF(Paths!$P$256="Complete",N2749-IF(C2749=0,Paths!$F$256,0),"n.a."))</f>
        <v>0</v>
      </c>
      <c r="P2749" s="16">
        <f>IF(NOT(Paths!$C$256=1),0,IF(Paths!$P$256="Complete",O2749+L2749,"n.a."))</f>
        <v>0</v>
      </c>
      <c r="Q2749" s="16">
        <f>IF(NOT(Paths!$C$256=1),0,IF(Paths!$P$256="Complete",N2749*(1+'Operating costs'!$B$54)^-C2749,"n.a."))</f>
        <v>0</v>
      </c>
      <c r="R2749" s="16">
        <f>IF(NOT(Paths!$C$256=1),0,IF(Paths!$P$256="Complete",IF(AND(C2749=0,Paths!$E$256=0),I2749-J2749-K2749+VLOOKUP(A2749,'Fleet register'!$A$7:$S$106,15,FALSE)+VLOOKUP(A2749,'Fleet register'!$A$7:$S$106,16,FALSE),0),"n.a."))</f>
        <v>0</v>
      </c>
      <c r="S2749" s="1">
        <f>IF(NOT(Paths!$C$256=1),0,IF(Paths!$P$256="Complete",IF(C2749=0,0,Paths!$S$256*Paths!$R$256),"n.a."))</f>
        <v>0</v>
      </c>
      <c r="T2749" s="1">
        <f>IF(NOT(Paths!$C$256=1),0,IF(Paths!$P$256="Complete",IF(C2749=0,0,VLOOKUP(A2749,'Fleet register'!$A$7:$S$106,9,FALSE)*Paths!$R$256),"n.a."))</f>
        <v>0</v>
      </c>
    </row>
    <row r="2750" spans="1:20" ht="24" customHeight="1">
      <c r="A2750" s="1" t="str">
        <f>Paths!$A$256</f>
        <v>T063</v>
      </c>
      <c r="B2750" s="1">
        <f>Paths!$B$256</f>
        <v>1</v>
      </c>
      <c r="C2750" s="1">
        <v>4</v>
      </c>
      <c r="D2750" s="1">
        <v>256</v>
      </c>
      <c r="E2750" s="1">
        <f>IF(OR(Paths!$C$256=0,C2750=0),0,MAX(0,MIN(C2750*12,Paths!$E$256)-(C2750-1)*12))</f>
        <v>0</v>
      </c>
      <c r="F2750" s="1">
        <f>IF(OR(Paths!$C$256=0,C2750=0),0,12-E2750)</f>
        <v>0</v>
      </c>
      <c r="G2750" s="16">
        <f>IF(NOT(Paths!$C$256=1),0,IF(Paths!$P$256="Complete",E2750/12*(Paths!$J$256*(1+'Operating costs'!$B$51)^MAX(0,C2750-1)+Paths!$K$256*(1+'Operating costs'!$B$53)^MAX(0,C2750-1)),"n.a."))</f>
        <v>0</v>
      </c>
      <c r="H2750" s="16">
        <f>IF(NOT(Paths!$C$256=1),0,IF(Paths!$P$256="Complete",F2750/12*(Paths!$L$256*(1+IF(Paths!$D$256="EV",'Operating costs'!$B$52,'Operating costs'!$B$51))^MAX(0,C2750-1)+Paths!$M$256*(1+'Operating costs'!$B$53)^MAX(0,C2750-1)),"n.a."))</f>
        <v>0</v>
      </c>
      <c r="I2750" s="16">
        <f>IF(NOT(Paths!$C$256=1),0,IF(Paths!$P$256="Complete",IF(IF(Paths!$E$256=0,C2750=0,AND(C2750&gt;0,Paths!$E$256&gt;(C2750-1)*12,Paths!$E$256&lt;=C2750*12)),Paths!$G$256,0),"n.a."))</f>
        <v>0</v>
      </c>
      <c r="J2750" s="16">
        <f>IF(NOT(Paths!$C$256=1),0,IF(Paths!$P$256="Complete",IF(IF(Paths!$E$256=0,C2750=0,AND(C2750&gt;0,Paths!$E$256&gt;(C2750-1)*12,Paths!$E$256&lt;=C2750*12)),Paths!$H$256,0),"n.a."))</f>
        <v>0</v>
      </c>
      <c r="K2750" s="16">
        <f>IF(NOT(Paths!$C$256=1),0,IF(Paths!$P$256="Complete",IF(IF(Paths!$O$256=0,C2750=0,AND(C2750&gt;0,Paths!$O$256&gt;(C2750-1)*12,Paths!$O$256&lt;=C2750*12)),Paths!$N$256,0),"n.a."))</f>
        <v>0</v>
      </c>
      <c r="L2750" s="16">
        <f>IF(NOT(Paths!$C$256=1),0,IF(Paths!$P$256="Complete",IF(C2750=10,Paths!$I$256,0),"n.a."))</f>
        <v>0</v>
      </c>
      <c r="M2750" s="16">
        <f>IF(NOT(Paths!$C$256=1),0,IF(Paths!$P$256="Complete",IF(AND(Paths!$D$256="EV",Paths!$E$256&lt;120,Paths!$E$256+'Operating costs'!$B$65&gt;Paths!$E$256,Paths!$E$256+'Operating costs'!$B$65&lt;=120,IF(Paths!$E$256+'Operating costs'!$B$65=0,C2750=0,AND(C2750&gt;0,Paths!$E$256+'Operating costs'!$B$65&gt;(C2750-1)*12,Paths!$E$256+'Operating costs'!$B$65&lt;=C2750*12))),'Operating costs'!$B$64,0)+IF(AND('Operating costs'!$B$67&gt;0,'Operating costs'!$B$67&lt;=120,OR(Paths!$D$256="ICE",'Operating costs'!$B$67&lt;=Paths!$E$256),IF('Operating costs'!$B$67=0,C2750=0,AND(C2750&gt;0,'Operating costs'!$B$67&gt;(C2750-1)*12,'Operating costs'!$B$67&lt;=C2750*12))),'Operating costs'!$B$66,0),"n.a."))</f>
        <v>0</v>
      </c>
      <c r="N2750" s="16">
        <f>IF(NOT(Paths!$C$256=1),0,IF(Paths!$P$256="Complete",SUM(G2750:I2750)-J2750-K2750-L2750+M2750+IF(C2750=0,Paths!$F$256,0)+IF(IF(Paths!$E$256=0,C2750=0,AND(C2750&gt;0,Paths!$E$256&gt;(C2750-1)*12,Paths!$E$256&lt;=C2750*12)),VLOOKUP(A2750,'Fleet register'!$A$7:$S$106,16,FALSE),0),"n.a."))</f>
        <v>0</v>
      </c>
      <c r="O2750" s="16">
        <f>IF(NOT(Paths!$C$256=1),0,IF(Paths!$P$256="Complete",N2750-IF(C2750=0,Paths!$F$256,0),"n.a."))</f>
        <v>0</v>
      </c>
      <c r="P2750" s="16">
        <f>IF(NOT(Paths!$C$256=1),0,IF(Paths!$P$256="Complete",O2750+L2750,"n.a."))</f>
        <v>0</v>
      </c>
      <c r="Q2750" s="16">
        <f>IF(NOT(Paths!$C$256=1),0,IF(Paths!$P$256="Complete",N2750*(1+'Operating costs'!$B$54)^-C2750,"n.a."))</f>
        <v>0</v>
      </c>
      <c r="R2750" s="16">
        <f>IF(NOT(Paths!$C$256=1),0,IF(Paths!$P$256="Complete",IF(AND(C2750=0,Paths!$E$256=0),I2750-J2750-K2750+VLOOKUP(A2750,'Fleet register'!$A$7:$S$106,15,FALSE)+VLOOKUP(A2750,'Fleet register'!$A$7:$S$106,16,FALSE),0),"n.a."))</f>
        <v>0</v>
      </c>
      <c r="S2750" s="1">
        <f>IF(NOT(Paths!$C$256=1),0,IF(Paths!$P$256="Complete",IF(C2750=0,0,Paths!$S$256*Paths!$R$256),"n.a."))</f>
        <v>0</v>
      </c>
      <c r="T2750" s="1">
        <f>IF(NOT(Paths!$C$256=1),0,IF(Paths!$P$256="Complete",IF(C2750=0,0,VLOOKUP(A2750,'Fleet register'!$A$7:$S$106,9,FALSE)*Paths!$R$256),"n.a."))</f>
        <v>0</v>
      </c>
    </row>
    <row r="2751" spans="1:20" ht="24" customHeight="1">
      <c r="A2751" s="1" t="str">
        <f>Paths!$A$256</f>
        <v>T063</v>
      </c>
      <c r="B2751" s="1">
        <f>Paths!$B$256</f>
        <v>1</v>
      </c>
      <c r="C2751" s="1">
        <v>5</v>
      </c>
      <c r="D2751" s="1">
        <v>256</v>
      </c>
      <c r="E2751" s="1">
        <f>IF(OR(Paths!$C$256=0,C2751=0),0,MAX(0,MIN(C2751*12,Paths!$E$256)-(C2751-1)*12))</f>
        <v>0</v>
      </c>
      <c r="F2751" s="1">
        <f>IF(OR(Paths!$C$256=0,C2751=0),0,12-E2751)</f>
        <v>0</v>
      </c>
      <c r="G2751" s="16">
        <f>IF(NOT(Paths!$C$256=1),0,IF(Paths!$P$256="Complete",E2751/12*(Paths!$J$256*(1+'Operating costs'!$B$51)^MAX(0,C2751-1)+Paths!$K$256*(1+'Operating costs'!$B$53)^MAX(0,C2751-1)),"n.a."))</f>
        <v>0</v>
      </c>
      <c r="H2751" s="16">
        <f>IF(NOT(Paths!$C$256=1),0,IF(Paths!$P$256="Complete",F2751/12*(Paths!$L$256*(1+IF(Paths!$D$256="EV",'Operating costs'!$B$52,'Operating costs'!$B$51))^MAX(0,C2751-1)+Paths!$M$256*(1+'Operating costs'!$B$53)^MAX(0,C2751-1)),"n.a."))</f>
        <v>0</v>
      </c>
      <c r="I2751" s="16">
        <f>IF(NOT(Paths!$C$256=1),0,IF(Paths!$P$256="Complete",IF(IF(Paths!$E$256=0,C2751=0,AND(C2751&gt;0,Paths!$E$256&gt;(C2751-1)*12,Paths!$E$256&lt;=C2751*12)),Paths!$G$256,0),"n.a."))</f>
        <v>0</v>
      </c>
      <c r="J2751" s="16">
        <f>IF(NOT(Paths!$C$256=1),0,IF(Paths!$P$256="Complete",IF(IF(Paths!$E$256=0,C2751=0,AND(C2751&gt;0,Paths!$E$256&gt;(C2751-1)*12,Paths!$E$256&lt;=C2751*12)),Paths!$H$256,0),"n.a."))</f>
        <v>0</v>
      </c>
      <c r="K2751" s="16">
        <f>IF(NOT(Paths!$C$256=1),0,IF(Paths!$P$256="Complete",IF(IF(Paths!$O$256=0,C2751=0,AND(C2751&gt;0,Paths!$O$256&gt;(C2751-1)*12,Paths!$O$256&lt;=C2751*12)),Paths!$N$256,0),"n.a."))</f>
        <v>0</v>
      </c>
      <c r="L2751" s="16">
        <f>IF(NOT(Paths!$C$256=1),0,IF(Paths!$P$256="Complete",IF(C2751=10,Paths!$I$256,0),"n.a."))</f>
        <v>0</v>
      </c>
      <c r="M2751" s="16">
        <f>IF(NOT(Paths!$C$256=1),0,IF(Paths!$P$256="Complete",IF(AND(Paths!$D$256="EV",Paths!$E$256&lt;120,Paths!$E$256+'Operating costs'!$B$65&gt;Paths!$E$256,Paths!$E$256+'Operating costs'!$B$65&lt;=120,IF(Paths!$E$256+'Operating costs'!$B$65=0,C2751=0,AND(C2751&gt;0,Paths!$E$256+'Operating costs'!$B$65&gt;(C2751-1)*12,Paths!$E$256+'Operating costs'!$B$65&lt;=C2751*12))),'Operating costs'!$B$64,0)+IF(AND('Operating costs'!$B$67&gt;0,'Operating costs'!$B$67&lt;=120,OR(Paths!$D$256="ICE",'Operating costs'!$B$67&lt;=Paths!$E$256),IF('Operating costs'!$B$67=0,C2751=0,AND(C2751&gt;0,'Operating costs'!$B$67&gt;(C2751-1)*12,'Operating costs'!$B$67&lt;=C2751*12))),'Operating costs'!$B$66,0),"n.a."))</f>
        <v>0</v>
      </c>
      <c r="N2751" s="16">
        <f>IF(NOT(Paths!$C$256=1),0,IF(Paths!$P$256="Complete",SUM(G2751:I2751)-J2751-K2751-L2751+M2751+IF(C2751=0,Paths!$F$256,0)+IF(IF(Paths!$E$256=0,C2751=0,AND(C2751&gt;0,Paths!$E$256&gt;(C2751-1)*12,Paths!$E$256&lt;=C2751*12)),VLOOKUP(A2751,'Fleet register'!$A$7:$S$106,16,FALSE),0),"n.a."))</f>
        <v>0</v>
      </c>
      <c r="O2751" s="16">
        <f>IF(NOT(Paths!$C$256=1),0,IF(Paths!$P$256="Complete",N2751-IF(C2751=0,Paths!$F$256,0),"n.a."))</f>
        <v>0</v>
      </c>
      <c r="P2751" s="16">
        <f>IF(NOT(Paths!$C$256=1),0,IF(Paths!$P$256="Complete",O2751+L2751,"n.a."))</f>
        <v>0</v>
      </c>
      <c r="Q2751" s="16">
        <f>IF(NOT(Paths!$C$256=1),0,IF(Paths!$P$256="Complete",N2751*(1+'Operating costs'!$B$54)^-C2751,"n.a."))</f>
        <v>0</v>
      </c>
      <c r="R2751" s="16">
        <f>IF(NOT(Paths!$C$256=1),0,IF(Paths!$P$256="Complete",IF(AND(C2751=0,Paths!$E$256=0),I2751-J2751-K2751+VLOOKUP(A2751,'Fleet register'!$A$7:$S$106,15,FALSE)+VLOOKUP(A2751,'Fleet register'!$A$7:$S$106,16,FALSE),0),"n.a."))</f>
        <v>0</v>
      </c>
      <c r="S2751" s="1">
        <f>IF(NOT(Paths!$C$256=1),0,IF(Paths!$P$256="Complete",IF(C2751=0,0,Paths!$S$256*Paths!$R$256),"n.a."))</f>
        <v>0</v>
      </c>
      <c r="T2751" s="1">
        <f>IF(NOT(Paths!$C$256=1),0,IF(Paths!$P$256="Complete",IF(C2751=0,0,VLOOKUP(A2751,'Fleet register'!$A$7:$S$106,9,FALSE)*Paths!$R$256),"n.a."))</f>
        <v>0</v>
      </c>
    </row>
    <row r="2752" spans="1:20" ht="24" customHeight="1">
      <c r="A2752" s="1" t="str">
        <f>Paths!$A$256</f>
        <v>T063</v>
      </c>
      <c r="B2752" s="1">
        <f>Paths!$B$256</f>
        <v>1</v>
      </c>
      <c r="C2752" s="1">
        <v>6</v>
      </c>
      <c r="D2752" s="1">
        <v>256</v>
      </c>
      <c r="E2752" s="1">
        <f>IF(OR(Paths!$C$256=0,C2752=0),0,MAX(0,MIN(C2752*12,Paths!$E$256)-(C2752-1)*12))</f>
        <v>0</v>
      </c>
      <c r="F2752" s="1">
        <f>IF(OR(Paths!$C$256=0,C2752=0),0,12-E2752)</f>
        <v>0</v>
      </c>
      <c r="G2752" s="16">
        <f>IF(NOT(Paths!$C$256=1),0,IF(Paths!$P$256="Complete",E2752/12*(Paths!$J$256*(1+'Operating costs'!$B$51)^MAX(0,C2752-1)+Paths!$K$256*(1+'Operating costs'!$B$53)^MAX(0,C2752-1)),"n.a."))</f>
        <v>0</v>
      </c>
      <c r="H2752" s="16">
        <f>IF(NOT(Paths!$C$256=1),0,IF(Paths!$P$256="Complete",F2752/12*(Paths!$L$256*(1+IF(Paths!$D$256="EV",'Operating costs'!$B$52,'Operating costs'!$B$51))^MAX(0,C2752-1)+Paths!$M$256*(1+'Operating costs'!$B$53)^MAX(0,C2752-1)),"n.a."))</f>
        <v>0</v>
      </c>
      <c r="I2752" s="16">
        <f>IF(NOT(Paths!$C$256=1),0,IF(Paths!$P$256="Complete",IF(IF(Paths!$E$256=0,C2752=0,AND(C2752&gt;0,Paths!$E$256&gt;(C2752-1)*12,Paths!$E$256&lt;=C2752*12)),Paths!$G$256,0),"n.a."))</f>
        <v>0</v>
      </c>
      <c r="J2752" s="16">
        <f>IF(NOT(Paths!$C$256=1),0,IF(Paths!$P$256="Complete",IF(IF(Paths!$E$256=0,C2752=0,AND(C2752&gt;0,Paths!$E$256&gt;(C2752-1)*12,Paths!$E$256&lt;=C2752*12)),Paths!$H$256,0),"n.a."))</f>
        <v>0</v>
      </c>
      <c r="K2752" s="16">
        <f>IF(NOT(Paths!$C$256=1),0,IF(Paths!$P$256="Complete",IF(IF(Paths!$O$256=0,C2752=0,AND(C2752&gt;0,Paths!$O$256&gt;(C2752-1)*12,Paths!$O$256&lt;=C2752*12)),Paths!$N$256,0),"n.a."))</f>
        <v>0</v>
      </c>
      <c r="L2752" s="16">
        <f>IF(NOT(Paths!$C$256=1),0,IF(Paths!$P$256="Complete",IF(C2752=10,Paths!$I$256,0),"n.a."))</f>
        <v>0</v>
      </c>
      <c r="M2752" s="16">
        <f>IF(NOT(Paths!$C$256=1),0,IF(Paths!$P$256="Complete",IF(AND(Paths!$D$256="EV",Paths!$E$256&lt;120,Paths!$E$256+'Operating costs'!$B$65&gt;Paths!$E$256,Paths!$E$256+'Operating costs'!$B$65&lt;=120,IF(Paths!$E$256+'Operating costs'!$B$65=0,C2752=0,AND(C2752&gt;0,Paths!$E$256+'Operating costs'!$B$65&gt;(C2752-1)*12,Paths!$E$256+'Operating costs'!$B$65&lt;=C2752*12))),'Operating costs'!$B$64,0)+IF(AND('Operating costs'!$B$67&gt;0,'Operating costs'!$B$67&lt;=120,OR(Paths!$D$256="ICE",'Operating costs'!$B$67&lt;=Paths!$E$256),IF('Operating costs'!$B$67=0,C2752=0,AND(C2752&gt;0,'Operating costs'!$B$67&gt;(C2752-1)*12,'Operating costs'!$B$67&lt;=C2752*12))),'Operating costs'!$B$66,0),"n.a."))</f>
        <v>0</v>
      </c>
      <c r="N2752" s="16">
        <f>IF(NOT(Paths!$C$256=1),0,IF(Paths!$P$256="Complete",SUM(G2752:I2752)-J2752-K2752-L2752+M2752+IF(C2752=0,Paths!$F$256,0)+IF(IF(Paths!$E$256=0,C2752=0,AND(C2752&gt;0,Paths!$E$256&gt;(C2752-1)*12,Paths!$E$256&lt;=C2752*12)),VLOOKUP(A2752,'Fleet register'!$A$7:$S$106,16,FALSE),0),"n.a."))</f>
        <v>0</v>
      </c>
      <c r="O2752" s="16">
        <f>IF(NOT(Paths!$C$256=1),0,IF(Paths!$P$256="Complete",N2752-IF(C2752=0,Paths!$F$256,0),"n.a."))</f>
        <v>0</v>
      </c>
      <c r="P2752" s="16">
        <f>IF(NOT(Paths!$C$256=1),0,IF(Paths!$P$256="Complete",O2752+L2752,"n.a."))</f>
        <v>0</v>
      </c>
      <c r="Q2752" s="16">
        <f>IF(NOT(Paths!$C$256=1),0,IF(Paths!$P$256="Complete",N2752*(1+'Operating costs'!$B$54)^-C2752,"n.a."))</f>
        <v>0</v>
      </c>
      <c r="R2752" s="16">
        <f>IF(NOT(Paths!$C$256=1),0,IF(Paths!$P$256="Complete",IF(AND(C2752=0,Paths!$E$256=0),I2752-J2752-K2752+VLOOKUP(A2752,'Fleet register'!$A$7:$S$106,15,FALSE)+VLOOKUP(A2752,'Fleet register'!$A$7:$S$106,16,FALSE),0),"n.a."))</f>
        <v>0</v>
      </c>
      <c r="S2752" s="1">
        <f>IF(NOT(Paths!$C$256=1),0,IF(Paths!$P$256="Complete",IF(C2752=0,0,Paths!$S$256*Paths!$R$256),"n.a."))</f>
        <v>0</v>
      </c>
      <c r="T2752" s="1">
        <f>IF(NOT(Paths!$C$256=1),0,IF(Paths!$P$256="Complete",IF(C2752=0,0,VLOOKUP(A2752,'Fleet register'!$A$7:$S$106,9,FALSE)*Paths!$R$256),"n.a."))</f>
        <v>0</v>
      </c>
    </row>
    <row r="2753" spans="1:20" ht="24" customHeight="1">
      <c r="A2753" s="1" t="str">
        <f>Paths!$A$256</f>
        <v>T063</v>
      </c>
      <c r="B2753" s="1">
        <f>Paths!$B$256</f>
        <v>1</v>
      </c>
      <c r="C2753" s="1">
        <v>7</v>
      </c>
      <c r="D2753" s="1">
        <v>256</v>
      </c>
      <c r="E2753" s="1">
        <f>IF(OR(Paths!$C$256=0,C2753=0),0,MAX(0,MIN(C2753*12,Paths!$E$256)-(C2753-1)*12))</f>
        <v>0</v>
      </c>
      <c r="F2753" s="1">
        <f>IF(OR(Paths!$C$256=0,C2753=0),0,12-E2753)</f>
        <v>0</v>
      </c>
      <c r="G2753" s="16">
        <f>IF(NOT(Paths!$C$256=1),0,IF(Paths!$P$256="Complete",E2753/12*(Paths!$J$256*(1+'Operating costs'!$B$51)^MAX(0,C2753-1)+Paths!$K$256*(1+'Operating costs'!$B$53)^MAX(0,C2753-1)),"n.a."))</f>
        <v>0</v>
      </c>
      <c r="H2753" s="16">
        <f>IF(NOT(Paths!$C$256=1),0,IF(Paths!$P$256="Complete",F2753/12*(Paths!$L$256*(1+IF(Paths!$D$256="EV",'Operating costs'!$B$52,'Operating costs'!$B$51))^MAX(0,C2753-1)+Paths!$M$256*(1+'Operating costs'!$B$53)^MAX(0,C2753-1)),"n.a."))</f>
        <v>0</v>
      </c>
      <c r="I2753" s="16">
        <f>IF(NOT(Paths!$C$256=1),0,IF(Paths!$P$256="Complete",IF(IF(Paths!$E$256=0,C2753=0,AND(C2753&gt;0,Paths!$E$256&gt;(C2753-1)*12,Paths!$E$256&lt;=C2753*12)),Paths!$G$256,0),"n.a."))</f>
        <v>0</v>
      </c>
      <c r="J2753" s="16">
        <f>IF(NOT(Paths!$C$256=1),0,IF(Paths!$P$256="Complete",IF(IF(Paths!$E$256=0,C2753=0,AND(C2753&gt;0,Paths!$E$256&gt;(C2753-1)*12,Paths!$E$256&lt;=C2753*12)),Paths!$H$256,0),"n.a."))</f>
        <v>0</v>
      </c>
      <c r="K2753" s="16">
        <f>IF(NOT(Paths!$C$256=1),0,IF(Paths!$P$256="Complete",IF(IF(Paths!$O$256=0,C2753=0,AND(C2753&gt;0,Paths!$O$256&gt;(C2753-1)*12,Paths!$O$256&lt;=C2753*12)),Paths!$N$256,0),"n.a."))</f>
        <v>0</v>
      </c>
      <c r="L2753" s="16">
        <f>IF(NOT(Paths!$C$256=1),0,IF(Paths!$P$256="Complete",IF(C2753=10,Paths!$I$256,0),"n.a."))</f>
        <v>0</v>
      </c>
      <c r="M2753" s="16">
        <f>IF(NOT(Paths!$C$256=1),0,IF(Paths!$P$256="Complete",IF(AND(Paths!$D$256="EV",Paths!$E$256&lt;120,Paths!$E$256+'Operating costs'!$B$65&gt;Paths!$E$256,Paths!$E$256+'Operating costs'!$B$65&lt;=120,IF(Paths!$E$256+'Operating costs'!$B$65=0,C2753=0,AND(C2753&gt;0,Paths!$E$256+'Operating costs'!$B$65&gt;(C2753-1)*12,Paths!$E$256+'Operating costs'!$B$65&lt;=C2753*12))),'Operating costs'!$B$64,0)+IF(AND('Operating costs'!$B$67&gt;0,'Operating costs'!$B$67&lt;=120,OR(Paths!$D$256="ICE",'Operating costs'!$B$67&lt;=Paths!$E$256),IF('Operating costs'!$B$67=0,C2753=0,AND(C2753&gt;0,'Operating costs'!$B$67&gt;(C2753-1)*12,'Operating costs'!$B$67&lt;=C2753*12))),'Operating costs'!$B$66,0),"n.a."))</f>
        <v>0</v>
      </c>
      <c r="N2753" s="16">
        <f>IF(NOT(Paths!$C$256=1),0,IF(Paths!$P$256="Complete",SUM(G2753:I2753)-J2753-K2753-L2753+M2753+IF(C2753=0,Paths!$F$256,0)+IF(IF(Paths!$E$256=0,C2753=0,AND(C2753&gt;0,Paths!$E$256&gt;(C2753-1)*12,Paths!$E$256&lt;=C2753*12)),VLOOKUP(A2753,'Fleet register'!$A$7:$S$106,16,FALSE),0),"n.a."))</f>
        <v>0</v>
      </c>
      <c r="O2753" s="16">
        <f>IF(NOT(Paths!$C$256=1),0,IF(Paths!$P$256="Complete",N2753-IF(C2753=0,Paths!$F$256,0),"n.a."))</f>
        <v>0</v>
      </c>
      <c r="P2753" s="16">
        <f>IF(NOT(Paths!$C$256=1),0,IF(Paths!$P$256="Complete",O2753+L2753,"n.a."))</f>
        <v>0</v>
      </c>
      <c r="Q2753" s="16">
        <f>IF(NOT(Paths!$C$256=1),0,IF(Paths!$P$256="Complete",N2753*(1+'Operating costs'!$B$54)^-C2753,"n.a."))</f>
        <v>0</v>
      </c>
      <c r="R2753" s="16">
        <f>IF(NOT(Paths!$C$256=1),0,IF(Paths!$P$256="Complete",IF(AND(C2753=0,Paths!$E$256=0),I2753-J2753-K2753+VLOOKUP(A2753,'Fleet register'!$A$7:$S$106,15,FALSE)+VLOOKUP(A2753,'Fleet register'!$A$7:$S$106,16,FALSE),0),"n.a."))</f>
        <v>0</v>
      </c>
      <c r="S2753" s="1">
        <f>IF(NOT(Paths!$C$256=1),0,IF(Paths!$P$256="Complete",IF(C2753=0,0,Paths!$S$256*Paths!$R$256),"n.a."))</f>
        <v>0</v>
      </c>
      <c r="T2753" s="1">
        <f>IF(NOT(Paths!$C$256=1),0,IF(Paths!$P$256="Complete",IF(C2753=0,0,VLOOKUP(A2753,'Fleet register'!$A$7:$S$106,9,FALSE)*Paths!$R$256),"n.a."))</f>
        <v>0</v>
      </c>
    </row>
    <row r="2754" spans="1:20" ht="24" customHeight="1">
      <c r="A2754" s="1" t="str">
        <f>Paths!$A$256</f>
        <v>T063</v>
      </c>
      <c r="B2754" s="1">
        <f>Paths!$B$256</f>
        <v>1</v>
      </c>
      <c r="C2754" s="1">
        <v>8</v>
      </c>
      <c r="D2754" s="1">
        <v>256</v>
      </c>
      <c r="E2754" s="1">
        <f>IF(OR(Paths!$C$256=0,C2754=0),0,MAX(0,MIN(C2754*12,Paths!$E$256)-(C2754-1)*12))</f>
        <v>0</v>
      </c>
      <c r="F2754" s="1">
        <f>IF(OR(Paths!$C$256=0,C2754=0),0,12-E2754)</f>
        <v>0</v>
      </c>
      <c r="G2754" s="16">
        <f>IF(NOT(Paths!$C$256=1),0,IF(Paths!$P$256="Complete",E2754/12*(Paths!$J$256*(1+'Operating costs'!$B$51)^MAX(0,C2754-1)+Paths!$K$256*(1+'Operating costs'!$B$53)^MAX(0,C2754-1)),"n.a."))</f>
        <v>0</v>
      </c>
      <c r="H2754" s="16">
        <f>IF(NOT(Paths!$C$256=1),0,IF(Paths!$P$256="Complete",F2754/12*(Paths!$L$256*(1+IF(Paths!$D$256="EV",'Operating costs'!$B$52,'Operating costs'!$B$51))^MAX(0,C2754-1)+Paths!$M$256*(1+'Operating costs'!$B$53)^MAX(0,C2754-1)),"n.a."))</f>
        <v>0</v>
      </c>
      <c r="I2754" s="16">
        <f>IF(NOT(Paths!$C$256=1),0,IF(Paths!$P$256="Complete",IF(IF(Paths!$E$256=0,C2754=0,AND(C2754&gt;0,Paths!$E$256&gt;(C2754-1)*12,Paths!$E$256&lt;=C2754*12)),Paths!$G$256,0),"n.a."))</f>
        <v>0</v>
      </c>
      <c r="J2754" s="16">
        <f>IF(NOT(Paths!$C$256=1),0,IF(Paths!$P$256="Complete",IF(IF(Paths!$E$256=0,C2754=0,AND(C2754&gt;0,Paths!$E$256&gt;(C2754-1)*12,Paths!$E$256&lt;=C2754*12)),Paths!$H$256,0),"n.a."))</f>
        <v>0</v>
      </c>
      <c r="K2754" s="16">
        <f>IF(NOT(Paths!$C$256=1),0,IF(Paths!$P$256="Complete",IF(IF(Paths!$O$256=0,C2754=0,AND(C2754&gt;0,Paths!$O$256&gt;(C2754-1)*12,Paths!$O$256&lt;=C2754*12)),Paths!$N$256,0),"n.a."))</f>
        <v>0</v>
      </c>
      <c r="L2754" s="16">
        <f>IF(NOT(Paths!$C$256=1),0,IF(Paths!$P$256="Complete",IF(C2754=10,Paths!$I$256,0),"n.a."))</f>
        <v>0</v>
      </c>
      <c r="M2754" s="16">
        <f>IF(NOT(Paths!$C$256=1),0,IF(Paths!$P$256="Complete",IF(AND(Paths!$D$256="EV",Paths!$E$256&lt;120,Paths!$E$256+'Operating costs'!$B$65&gt;Paths!$E$256,Paths!$E$256+'Operating costs'!$B$65&lt;=120,IF(Paths!$E$256+'Operating costs'!$B$65=0,C2754=0,AND(C2754&gt;0,Paths!$E$256+'Operating costs'!$B$65&gt;(C2754-1)*12,Paths!$E$256+'Operating costs'!$B$65&lt;=C2754*12))),'Operating costs'!$B$64,0)+IF(AND('Operating costs'!$B$67&gt;0,'Operating costs'!$B$67&lt;=120,OR(Paths!$D$256="ICE",'Operating costs'!$B$67&lt;=Paths!$E$256),IF('Operating costs'!$B$67=0,C2754=0,AND(C2754&gt;0,'Operating costs'!$B$67&gt;(C2754-1)*12,'Operating costs'!$B$67&lt;=C2754*12))),'Operating costs'!$B$66,0),"n.a."))</f>
        <v>0</v>
      </c>
      <c r="N2754" s="16">
        <f>IF(NOT(Paths!$C$256=1),0,IF(Paths!$P$256="Complete",SUM(G2754:I2754)-J2754-K2754-L2754+M2754+IF(C2754=0,Paths!$F$256,0)+IF(IF(Paths!$E$256=0,C2754=0,AND(C2754&gt;0,Paths!$E$256&gt;(C2754-1)*12,Paths!$E$256&lt;=C2754*12)),VLOOKUP(A2754,'Fleet register'!$A$7:$S$106,16,FALSE),0),"n.a."))</f>
        <v>0</v>
      </c>
      <c r="O2754" s="16">
        <f>IF(NOT(Paths!$C$256=1),0,IF(Paths!$P$256="Complete",N2754-IF(C2754=0,Paths!$F$256,0),"n.a."))</f>
        <v>0</v>
      </c>
      <c r="P2754" s="16">
        <f>IF(NOT(Paths!$C$256=1),0,IF(Paths!$P$256="Complete",O2754+L2754,"n.a."))</f>
        <v>0</v>
      </c>
      <c r="Q2754" s="16">
        <f>IF(NOT(Paths!$C$256=1),0,IF(Paths!$P$256="Complete",N2754*(1+'Operating costs'!$B$54)^-C2754,"n.a."))</f>
        <v>0</v>
      </c>
      <c r="R2754" s="16">
        <f>IF(NOT(Paths!$C$256=1),0,IF(Paths!$P$256="Complete",IF(AND(C2754=0,Paths!$E$256=0),I2754-J2754-K2754+VLOOKUP(A2754,'Fleet register'!$A$7:$S$106,15,FALSE)+VLOOKUP(A2754,'Fleet register'!$A$7:$S$106,16,FALSE),0),"n.a."))</f>
        <v>0</v>
      </c>
      <c r="S2754" s="1">
        <f>IF(NOT(Paths!$C$256=1),0,IF(Paths!$P$256="Complete",IF(C2754=0,0,Paths!$S$256*Paths!$R$256),"n.a."))</f>
        <v>0</v>
      </c>
      <c r="T2754" s="1">
        <f>IF(NOT(Paths!$C$256=1),0,IF(Paths!$P$256="Complete",IF(C2754=0,0,VLOOKUP(A2754,'Fleet register'!$A$7:$S$106,9,FALSE)*Paths!$R$256),"n.a."))</f>
        <v>0</v>
      </c>
    </row>
    <row r="2755" spans="1:20" ht="24" customHeight="1">
      <c r="A2755" s="1" t="str">
        <f>Paths!$A$256</f>
        <v>T063</v>
      </c>
      <c r="B2755" s="1">
        <f>Paths!$B$256</f>
        <v>1</v>
      </c>
      <c r="C2755" s="1">
        <v>9</v>
      </c>
      <c r="D2755" s="1">
        <v>256</v>
      </c>
      <c r="E2755" s="1">
        <f>IF(OR(Paths!$C$256=0,C2755=0),0,MAX(0,MIN(C2755*12,Paths!$E$256)-(C2755-1)*12))</f>
        <v>0</v>
      </c>
      <c r="F2755" s="1">
        <f>IF(OR(Paths!$C$256=0,C2755=0),0,12-E2755)</f>
        <v>0</v>
      </c>
      <c r="G2755" s="16">
        <f>IF(NOT(Paths!$C$256=1),0,IF(Paths!$P$256="Complete",E2755/12*(Paths!$J$256*(1+'Operating costs'!$B$51)^MAX(0,C2755-1)+Paths!$K$256*(1+'Operating costs'!$B$53)^MAX(0,C2755-1)),"n.a."))</f>
        <v>0</v>
      </c>
      <c r="H2755" s="16">
        <f>IF(NOT(Paths!$C$256=1),0,IF(Paths!$P$256="Complete",F2755/12*(Paths!$L$256*(1+IF(Paths!$D$256="EV",'Operating costs'!$B$52,'Operating costs'!$B$51))^MAX(0,C2755-1)+Paths!$M$256*(1+'Operating costs'!$B$53)^MAX(0,C2755-1)),"n.a."))</f>
        <v>0</v>
      </c>
      <c r="I2755" s="16">
        <f>IF(NOT(Paths!$C$256=1),0,IF(Paths!$P$256="Complete",IF(IF(Paths!$E$256=0,C2755=0,AND(C2755&gt;0,Paths!$E$256&gt;(C2755-1)*12,Paths!$E$256&lt;=C2755*12)),Paths!$G$256,0),"n.a."))</f>
        <v>0</v>
      </c>
      <c r="J2755" s="16">
        <f>IF(NOT(Paths!$C$256=1),0,IF(Paths!$P$256="Complete",IF(IF(Paths!$E$256=0,C2755=0,AND(C2755&gt;0,Paths!$E$256&gt;(C2755-1)*12,Paths!$E$256&lt;=C2755*12)),Paths!$H$256,0),"n.a."))</f>
        <v>0</v>
      </c>
      <c r="K2755" s="16">
        <f>IF(NOT(Paths!$C$256=1),0,IF(Paths!$P$256="Complete",IF(IF(Paths!$O$256=0,C2755=0,AND(C2755&gt;0,Paths!$O$256&gt;(C2755-1)*12,Paths!$O$256&lt;=C2755*12)),Paths!$N$256,0),"n.a."))</f>
        <v>0</v>
      </c>
      <c r="L2755" s="16">
        <f>IF(NOT(Paths!$C$256=1),0,IF(Paths!$P$256="Complete",IF(C2755=10,Paths!$I$256,0),"n.a."))</f>
        <v>0</v>
      </c>
      <c r="M2755" s="16">
        <f>IF(NOT(Paths!$C$256=1),0,IF(Paths!$P$256="Complete",IF(AND(Paths!$D$256="EV",Paths!$E$256&lt;120,Paths!$E$256+'Operating costs'!$B$65&gt;Paths!$E$256,Paths!$E$256+'Operating costs'!$B$65&lt;=120,IF(Paths!$E$256+'Operating costs'!$B$65=0,C2755=0,AND(C2755&gt;0,Paths!$E$256+'Operating costs'!$B$65&gt;(C2755-1)*12,Paths!$E$256+'Operating costs'!$B$65&lt;=C2755*12))),'Operating costs'!$B$64,0)+IF(AND('Operating costs'!$B$67&gt;0,'Operating costs'!$B$67&lt;=120,OR(Paths!$D$256="ICE",'Operating costs'!$B$67&lt;=Paths!$E$256),IF('Operating costs'!$B$67=0,C2755=0,AND(C2755&gt;0,'Operating costs'!$B$67&gt;(C2755-1)*12,'Operating costs'!$B$67&lt;=C2755*12))),'Operating costs'!$B$66,0),"n.a."))</f>
        <v>0</v>
      </c>
      <c r="N2755" s="16">
        <f>IF(NOT(Paths!$C$256=1),0,IF(Paths!$P$256="Complete",SUM(G2755:I2755)-J2755-K2755-L2755+M2755+IF(C2755=0,Paths!$F$256,0)+IF(IF(Paths!$E$256=0,C2755=0,AND(C2755&gt;0,Paths!$E$256&gt;(C2755-1)*12,Paths!$E$256&lt;=C2755*12)),VLOOKUP(A2755,'Fleet register'!$A$7:$S$106,16,FALSE),0),"n.a."))</f>
        <v>0</v>
      </c>
      <c r="O2755" s="16">
        <f>IF(NOT(Paths!$C$256=1),0,IF(Paths!$P$256="Complete",N2755-IF(C2755=0,Paths!$F$256,0),"n.a."))</f>
        <v>0</v>
      </c>
      <c r="P2755" s="16">
        <f>IF(NOT(Paths!$C$256=1),0,IF(Paths!$P$256="Complete",O2755+L2755,"n.a."))</f>
        <v>0</v>
      </c>
      <c r="Q2755" s="16">
        <f>IF(NOT(Paths!$C$256=1),0,IF(Paths!$P$256="Complete",N2755*(1+'Operating costs'!$B$54)^-C2755,"n.a."))</f>
        <v>0</v>
      </c>
      <c r="R2755" s="16">
        <f>IF(NOT(Paths!$C$256=1),0,IF(Paths!$P$256="Complete",IF(AND(C2755=0,Paths!$E$256=0),I2755-J2755-K2755+VLOOKUP(A2755,'Fleet register'!$A$7:$S$106,15,FALSE)+VLOOKUP(A2755,'Fleet register'!$A$7:$S$106,16,FALSE),0),"n.a."))</f>
        <v>0</v>
      </c>
      <c r="S2755" s="1">
        <f>IF(NOT(Paths!$C$256=1),0,IF(Paths!$P$256="Complete",IF(C2755=0,0,Paths!$S$256*Paths!$R$256),"n.a."))</f>
        <v>0</v>
      </c>
      <c r="T2755" s="1">
        <f>IF(NOT(Paths!$C$256=1),0,IF(Paths!$P$256="Complete",IF(C2755=0,0,VLOOKUP(A2755,'Fleet register'!$A$7:$S$106,9,FALSE)*Paths!$R$256),"n.a."))</f>
        <v>0</v>
      </c>
    </row>
    <row r="2756" spans="1:20" ht="24" customHeight="1">
      <c r="A2756" s="1" t="str">
        <f>Paths!$A$256</f>
        <v>T063</v>
      </c>
      <c r="B2756" s="1">
        <f>Paths!$B$256</f>
        <v>1</v>
      </c>
      <c r="C2756" s="1">
        <v>10</v>
      </c>
      <c r="D2756" s="1">
        <v>256</v>
      </c>
      <c r="E2756" s="1">
        <f>IF(OR(Paths!$C$256=0,C2756=0),0,MAX(0,MIN(C2756*12,Paths!$E$256)-(C2756-1)*12))</f>
        <v>0</v>
      </c>
      <c r="F2756" s="1">
        <f>IF(OR(Paths!$C$256=0,C2756=0),0,12-E2756)</f>
        <v>0</v>
      </c>
      <c r="G2756" s="16">
        <f>IF(NOT(Paths!$C$256=1),0,IF(Paths!$P$256="Complete",E2756/12*(Paths!$J$256*(1+'Operating costs'!$B$51)^MAX(0,C2756-1)+Paths!$K$256*(1+'Operating costs'!$B$53)^MAX(0,C2756-1)),"n.a."))</f>
        <v>0</v>
      </c>
      <c r="H2756" s="16">
        <f>IF(NOT(Paths!$C$256=1),0,IF(Paths!$P$256="Complete",F2756/12*(Paths!$L$256*(1+IF(Paths!$D$256="EV",'Operating costs'!$B$52,'Operating costs'!$B$51))^MAX(0,C2756-1)+Paths!$M$256*(1+'Operating costs'!$B$53)^MAX(0,C2756-1)),"n.a."))</f>
        <v>0</v>
      </c>
      <c r="I2756" s="16">
        <f>IF(NOT(Paths!$C$256=1),0,IF(Paths!$P$256="Complete",IF(IF(Paths!$E$256=0,C2756=0,AND(C2756&gt;0,Paths!$E$256&gt;(C2756-1)*12,Paths!$E$256&lt;=C2756*12)),Paths!$G$256,0),"n.a."))</f>
        <v>0</v>
      </c>
      <c r="J2756" s="16">
        <f>IF(NOT(Paths!$C$256=1),0,IF(Paths!$P$256="Complete",IF(IF(Paths!$E$256=0,C2756=0,AND(C2756&gt;0,Paths!$E$256&gt;(C2756-1)*12,Paths!$E$256&lt;=C2756*12)),Paths!$H$256,0),"n.a."))</f>
        <v>0</v>
      </c>
      <c r="K2756" s="16">
        <f>IF(NOT(Paths!$C$256=1),0,IF(Paths!$P$256="Complete",IF(IF(Paths!$O$256=0,C2756=0,AND(C2756&gt;0,Paths!$O$256&gt;(C2756-1)*12,Paths!$O$256&lt;=C2756*12)),Paths!$N$256,0),"n.a."))</f>
        <v>0</v>
      </c>
      <c r="L2756" s="16">
        <f>IF(NOT(Paths!$C$256=1),0,IF(Paths!$P$256="Complete",IF(C2756=10,Paths!$I$256,0),"n.a."))</f>
        <v>0</v>
      </c>
      <c r="M2756" s="16">
        <f>IF(NOT(Paths!$C$256=1),0,IF(Paths!$P$256="Complete",IF(AND(Paths!$D$256="EV",Paths!$E$256&lt;120,Paths!$E$256+'Operating costs'!$B$65&gt;Paths!$E$256,Paths!$E$256+'Operating costs'!$B$65&lt;=120,IF(Paths!$E$256+'Operating costs'!$B$65=0,C2756=0,AND(C2756&gt;0,Paths!$E$256+'Operating costs'!$B$65&gt;(C2756-1)*12,Paths!$E$256+'Operating costs'!$B$65&lt;=C2756*12))),'Operating costs'!$B$64,0)+IF(AND('Operating costs'!$B$67&gt;0,'Operating costs'!$B$67&lt;=120,OR(Paths!$D$256="ICE",'Operating costs'!$B$67&lt;=Paths!$E$256),IF('Operating costs'!$B$67=0,C2756=0,AND(C2756&gt;0,'Operating costs'!$B$67&gt;(C2756-1)*12,'Operating costs'!$B$67&lt;=C2756*12))),'Operating costs'!$B$66,0),"n.a."))</f>
        <v>0</v>
      </c>
      <c r="N2756" s="16">
        <f>IF(NOT(Paths!$C$256=1),0,IF(Paths!$P$256="Complete",SUM(G2756:I2756)-J2756-K2756-L2756+M2756+IF(C2756=0,Paths!$F$256,0)+IF(IF(Paths!$E$256=0,C2756=0,AND(C2756&gt;0,Paths!$E$256&gt;(C2756-1)*12,Paths!$E$256&lt;=C2756*12)),VLOOKUP(A2756,'Fleet register'!$A$7:$S$106,16,FALSE),0),"n.a."))</f>
        <v>0</v>
      </c>
      <c r="O2756" s="16">
        <f>IF(NOT(Paths!$C$256=1),0,IF(Paths!$P$256="Complete",N2756-IF(C2756=0,Paths!$F$256,0),"n.a."))</f>
        <v>0</v>
      </c>
      <c r="P2756" s="16">
        <f>IF(NOT(Paths!$C$256=1),0,IF(Paths!$P$256="Complete",O2756+L2756,"n.a."))</f>
        <v>0</v>
      </c>
      <c r="Q2756" s="16">
        <f>IF(NOT(Paths!$C$256=1),0,IF(Paths!$P$256="Complete",N2756*(1+'Operating costs'!$B$54)^-C2756,"n.a."))</f>
        <v>0</v>
      </c>
      <c r="R2756" s="16">
        <f>IF(NOT(Paths!$C$256=1),0,IF(Paths!$P$256="Complete",IF(AND(C2756=0,Paths!$E$256=0),I2756-J2756-K2756+VLOOKUP(A2756,'Fleet register'!$A$7:$S$106,15,FALSE)+VLOOKUP(A2756,'Fleet register'!$A$7:$S$106,16,FALSE),0),"n.a."))</f>
        <v>0</v>
      </c>
      <c r="S2756" s="1">
        <f>IF(NOT(Paths!$C$256=1),0,IF(Paths!$P$256="Complete",IF(C2756=0,0,Paths!$S$256*Paths!$R$256),"n.a."))</f>
        <v>0</v>
      </c>
      <c r="T2756" s="1">
        <f>IF(NOT(Paths!$C$256=1),0,IF(Paths!$P$256="Complete",IF(C2756=0,0,VLOOKUP(A2756,'Fleet register'!$A$7:$S$106,9,FALSE)*Paths!$R$256),"n.a."))</f>
        <v>0</v>
      </c>
    </row>
    <row r="2757" spans="1:20" ht="24" customHeight="1">
      <c r="A2757" s="1" t="str">
        <f>Paths!$A$257</f>
        <v>T063</v>
      </c>
      <c r="B2757" s="1">
        <f>Paths!$B$257</f>
        <v>2</v>
      </c>
      <c r="C2757" s="1">
        <v>0</v>
      </c>
      <c r="D2757" s="1">
        <v>257</v>
      </c>
      <c r="E2757" s="1">
        <f>IF(OR(Paths!$C$257=0,C2757=0),0,MAX(0,MIN(C2757*12,Paths!$E$257)-(C2757-1)*12))</f>
        <v>0</v>
      </c>
      <c r="F2757" s="1">
        <f>IF(OR(Paths!$C$257=0,C2757=0),0,12-E2757)</f>
        <v>0</v>
      </c>
      <c r="G2757" s="16">
        <f>IF(NOT(Paths!$C$257=1),0,IF(Paths!$P$257="Complete",E2757/12*(Paths!$J$257*(1+'Operating costs'!$B$51)^MAX(0,C2757-1)+Paths!$K$257*(1+'Operating costs'!$B$53)^MAX(0,C2757-1)),"n.a."))</f>
        <v>0</v>
      </c>
      <c r="H2757" s="16">
        <f>IF(NOT(Paths!$C$257=1),0,IF(Paths!$P$257="Complete",F2757/12*(Paths!$L$257*(1+IF(Paths!$D$257="EV",'Operating costs'!$B$52,'Operating costs'!$B$51))^MAX(0,C2757-1)+Paths!$M$257*(1+'Operating costs'!$B$53)^MAX(0,C2757-1)),"n.a."))</f>
        <v>0</v>
      </c>
      <c r="I2757" s="16">
        <f>IF(NOT(Paths!$C$257=1),0,IF(Paths!$P$257="Complete",IF(IF(Paths!$E$257=0,C2757=0,AND(C2757&gt;0,Paths!$E$257&gt;(C2757-1)*12,Paths!$E$257&lt;=C2757*12)),Paths!$G$257,0),"n.a."))</f>
        <v>0</v>
      </c>
      <c r="J2757" s="16">
        <f>IF(NOT(Paths!$C$257=1),0,IF(Paths!$P$257="Complete",IF(IF(Paths!$E$257=0,C2757=0,AND(C2757&gt;0,Paths!$E$257&gt;(C2757-1)*12,Paths!$E$257&lt;=C2757*12)),Paths!$H$257,0),"n.a."))</f>
        <v>0</v>
      </c>
      <c r="K2757" s="16">
        <f>IF(NOT(Paths!$C$257=1),0,IF(Paths!$P$257="Complete",IF(IF(Paths!$O$257=0,C2757=0,AND(C2757&gt;0,Paths!$O$257&gt;(C2757-1)*12,Paths!$O$257&lt;=C2757*12)),Paths!$N$257,0),"n.a."))</f>
        <v>0</v>
      </c>
      <c r="L2757" s="16">
        <f>IF(NOT(Paths!$C$257=1),0,IF(Paths!$P$257="Complete",IF(C2757=10,Paths!$I$257,0),"n.a."))</f>
        <v>0</v>
      </c>
      <c r="M2757" s="16">
        <f>IF(NOT(Paths!$C$257=1),0,IF(Paths!$P$257="Complete",IF(AND(Paths!$D$257="EV",Paths!$E$257&lt;120,Paths!$E$257+'Operating costs'!$B$65&gt;Paths!$E$257,Paths!$E$257+'Operating costs'!$B$65&lt;=120,IF(Paths!$E$257+'Operating costs'!$B$65=0,C2757=0,AND(C2757&gt;0,Paths!$E$257+'Operating costs'!$B$65&gt;(C2757-1)*12,Paths!$E$257+'Operating costs'!$B$65&lt;=C2757*12))),'Operating costs'!$B$64,0)+IF(AND('Operating costs'!$B$67&gt;0,'Operating costs'!$B$67&lt;=120,OR(Paths!$D$257="ICE",'Operating costs'!$B$67&lt;=Paths!$E$257),IF('Operating costs'!$B$67=0,C2757=0,AND(C2757&gt;0,'Operating costs'!$B$67&gt;(C2757-1)*12,'Operating costs'!$B$67&lt;=C2757*12))),'Operating costs'!$B$66,0),"n.a."))</f>
        <v>0</v>
      </c>
      <c r="N2757" s="16">
        <f>IF(NOT(Paths!$C$257=1),0,IF(Paths!$P$257="Complete",SUM(G2757:I2757)-J2757-K2757-L2757+M2757+IF(C2757=0,Paths!$F$257,0)+IF(IF(Paths!$E$257=0,C2757=0,AND(C2757&gt;0,Paths!$E$257&gt;(C2757-1)*12,Paths!$E$257&lt;=C2757*12)),VLOOKUP(A2757,'Fleet register'!$A$7:$S$106,16,FALSE),0),"n.a."))</f>
        <v>0</v>
      </c>
      <c r="O2757" s="16">
        <f>IF(NOT(Paths!$C$257=1),0,IF(Paths!$P$257="Complete",N2757-IF(C2757=0,Paths!$F$257,0),"n.a."))</f>
        <v>0</v>
      </c>
      <c r="P2757" s="16">
        <f>IF(NOT(Paths!$C$257=1),0,IF(Paths!$P$257="Complete",O2757+L2757,"n.a."))</f>
        <v>0</v>
      </c>
      <c r="Q2757" s="16">
        <f>IF(NOT(Paths!$C$257=1),0,IF(Paths!$P$257="Complete",N2757*(1+'Operating costs'!$B$54)^-C2757,"n.a."))</f>
        <v>0</v>
      </c>
      <c r="R2757" s="16">
        <f>IF(NOT(Paths!$C$257=1),0,IF(Paths!$P$257="Complete",IF(AND(C2757=0,Paths!$E$257=0),I2757-J2757-K2757+VLOOKUP(A2757,'Fleet register'!$A$7:$S$106,15,FALSE)+VLOOKUP(A2757,'Fleet register'!$A$7:$S$106,16,FALSE),0),"n.a."))</f>
        <v>0</v>
      </c>
      <c r="S2757" s="1">
        <f>IF(NOT(Paths!$C$257=1),0,IF(Paths!$P$257="Complete",IF(C2757=0,0,Paths!$S$257*Paths!$R$257),"n.a."))</f>
        <v>0</v>
      </c>
      <c r="T2757" s="1">
        <f>IF(NOT(Paths!$C$257=1),0,IF(Paths!$P$257="Complete",IF(C2757=0,0,VLOOKUP(A2757,'Fleet register'!$A$7:$S$106,9,FALSE)*Paths!$R$257),"n.a."))</f>
        <v>0</v>
      </c>
    </row>
    <row r="2758" spans="1:20" ht="24" customHeight="1">
      <c r="A2758" s="1" t="str">
        <f>Paths!$A$257</f>
        <v>T063</v>
      </c>
      <c r="B2758" s="1">
        <f>Paths!$B$257</f>
        <v>2</v>
      </c>
      <c r="C2758" s="1">
        <v>1</v>
      </c>
      <c r="D2758" s="1">
        <v>257</v>
      </c>
      <c r="E2758" s="1">
        <f>IF(OR(Paths!$C$257=0,C2758=0),0,MAX(0,MIN(C2758*12,Paths!$E$257)-(C2758-1)*12))</f>
        <v>0</v>
      </c>
      <c r="F2758" s="1">
        <f>IF(OR(Paths!$C$257=0,C2758=0),0,12-E2758)</f>
        <v>0</v>
      </c>
      <c r="G2758" s="16">
        <f>IF(NOT(Paths!$C$257=1),0,IF(Paths!$P$257="Complete",E2758/12*(Paths!$J$257*(1+'Operating costs'!$B$51)^MAX(0,C2758-1)+Paths!$K$257*(1+'Operating costs'!$B$53)^MAX(0,C2758-1)),"n.a."))</f>
        <v>0</v>
      </c>
      <c r="H2758" s="16">
        <f>IF(NOT(Paths!$C$257=1),0,IF(Paths!$P$257="Complete",F2758/12*(Paths!$L$257*(1+IF(Paths!$D$257="EV",'Operating costs'!$B$52,'Operating costs'!$B$51))^MAX(0,C2758-1)+Paths!$M$257*(1+'Operating costs'!$B$53)^MAX(0,C2758-1)),"n.a."))</f>
        <v>0</v>
      </c>
      <c r="I2758" s="16">
        <f>IF(NOT(Paths!$C$257=1),0,IF(Paths!$P$257="Complete",IF(IF(Paths!$E$257=0,C2758=0,AND(C2758&gt;0,Paths!$E$257&gt;(C2758-1)*12,Paths!$E$257&lt;=C2758*12)),Paths!$G$257,0),"n.a."))</f>
        <v>0</v>
      </c>
      <c r="J2758" s="16">
        <f>IF(NOT(Paths!$C$257=1),0,IF(Paths!$P$257="Complete",IF(IF(Paths!$E$257=0,C2758=0,AND(C2758&gt;0,Paths!$E$257&gt;(C2758-1)*12,Paths!$E$257&lt;=C2758*12)),Paths!$H$257,0),"n.a."))</f>
        <v>0</v>
      </c>
      <c r="K2758" s="16">
        <f>IF(NOT(Paths!$C$257=1),0,IF(Paths!$P$257="Complete",IF(IF(Paths!$O$257=0,C2758=0,AND(C2758&gt;0,Paths!$O$257&gt;(C2758-1)*12,Paths!$O$257&lt;=C2758*12)),Paths!$N$257,0),"n.a."))</f>
        <v>0</v>
      </c>
      <c r="L2758" s="16">
        <f>IF(NOT(Paths!$C$257=1),0,IF(Paths!$P$257="Complete",IF(C2758=10,Paths!$I$257,0),"n.a."))</f>
        <v>0</v>
      </c>
      <c r="M2758" s="16">
        <f>IF(NOT(Paths!$C$257=1),0,IF(Paths!$P$257="Complete",IF(AND(Paths!$D$257="EV",Paths!$E$257&lt;120,Paths!$E$257+'Operating costs'!$B$65&gt;Paths!$E$257,Paths!$E$257+'Operating costs'!$B$65&lt;=120,IF(Paths!$E$257+'Operating costs'!$B$65=0,C2758=0,AND(C2758&gt;0,Paths!$E$257+'Operating costs'!$B$65&gt;(C2758-1)*12,Paths!$E$257+'Operating costs'!$B$65&lt;=C2758*12))),'Operating costs'!$B$64,0)+IF(AND('Operating costs'!$B$67&gt;0,'Operating costs'!$B$67&lt;=120,OR(Paths!$D$257="ICE",'Operating costs'!$B$67&lt;=Paths!$E$257),IF('Operating costs'!$B$67=0,C2758=0,AND(C2758&gt;0,'Operating costs'!$B$67&gt;(C2758-1)*12,'Operating costs'!$B$67&lt;=C2758*12))),'Operating costs'!$B$66,0),"n.a."))</f>
        <v>0</v>
      </c>
      <c r="N2758" s="16">
        <f>IF(NOT(Paths!$C$257=1),0,IF(Paths!$P$257="Complete",SUM(G2758:I2758)-J2758-K2758-L2758+M2758+IF(C2758=0,Paths!$F$257,0)+IF(IF(Paths!$E$257=0,C2758=0,AND(C2758&gt;0,Paths!$E$257&gt;(C2758-1)*12,Paths!$E$257&lt;=C2758*12)),VLOOKUP(A2758,'Fleet register'!$A$7:$S$106,16,FALSE),0),"n.a."))</f>
        <v>0</v>
      </c>
      <c r="O2758" s="16">
        <f>IF(NOT(Paths!$C$257=1),0,IF(Paths!$P$257="Complete",N2758-IF(C2758=0,Paths!$F$257,0),"n.a."))</f>
        <v>0</v>
      </c>
      <c r="P2758" s="16">
        <f>IF(NOT(Paths!$C$257=1),0,IF(Paths!$P$257="Complete",O2758+L2758,"n.a."))</f>
        <v>0</v>
      </c>
      <c r="Q2758" s="16">
        <f>IF(NOT(Paths!$C$257=1),0,IF(Paths!$P$257="Complete",N2758*(1+'Operating costs'!$B$54)^-C2758,"n.a."))</f>
        <v>0</v>
      </c>
      <c r="R2758" s="16">
        <f>IF(NOT(Paths!$C$257=1),0,IF(Paths!$P$257="Complete",IF(AND(C2758=0,Paths!$E$257=0),I2758-J2758-K2758+VLOOKUP(A2758,'Fleet register'!$A$7:$S$106,15,FALSE)+VLOOKUP(A2758,'Fleet register'!$A$7:$S$106,16,FALSE),0),"n.a."))</f>
        <v>0</v>
      </c>
      <c r="S2758" s="1">
        <f>IF(NOT(Paths!$C$257=1),0,IF(Paths!$P$257="Complete",IF(C2758=0,0,Paths!$S$257*Paths!$R$257),"n.a."))</f>
        <v>0</v>
      </c>
      <c r="T2758" s="1">
        <f>IF(NOT(Paths!$C$257=1),0,IF(Paths!$P$257="Complete",IF(C2758=0,0,VLOOKUP(A2758,'Fleet register'!$A$7:$S$106,9,FALSE)*Paths!$R$257),"n.a."))</f>
        <v>0</v>
      </c>
    </row>
    <row r="2759" spans="1:20" ht="24" customHeight="1">
      <c r="A2759" s="1" t="str">
        <f>Paths!$A$257</f>
        <v>T063</v>
      </c>
      <c r="B2759" s="1">
        <f>Paths!$B$257</f>
        <v>2</v>
      </c>
      <c r="C2759" s="1">
        <v>2</v>
      </c>
      <c r="D2759" s="1">
        <v>257</v>
      </c>
      <c r="E2759" s="1">
        <f>IF(OR(Paths!$C$257=0,C2759=0),0,MAX(0,MIN(C2759*12,Paths!$E$257)-(C2759-1)*12))</f>
        <v>0</v>
      </c>
      <c r="F2759" s="1">
        <f>IF(OR(Paths!$C$257=0,C2759=0),0,12-E2759)</f>
        <v>0</v>
      </c>
      <c r="G2759" s="16">
        <f>IF(NOT(Paths!$C$257=1),0,IF(Paths!$P$257="Complete",E2759/12*(Paths!$J$257*(1+'Operating costs'!$B$51)^MAX(0,C2759-1)+Paths!$K$257*(1+'Operating costs'!$B$53)^MAX(0,C2759-1)),"n.a."))</f>
        <v>0</v>
      </c>
      <c r="H2759" s="16">
        <f>IF(NOT(Paths!$C$257=1),0,IF(Paths!$P$257="Complete",F2759/12*(Paths!$L$257*(1+IF(Paths!$D$257="EV",'Operating costs'!$B$52,'Operating costs'!$B$51))^MAX(0,C2759-1)+Paths!$M$257*(1+'Operating costs'!$B$53)^MAX(0,C2759-1)),"n.a."))</f>
        <v>0</v>
      </c>
      <c r="I2759" s="16">
        <f>IF(NOT(Paths!$C$257=1),0,IF(Paths!$P$257="Complete",IF(IF(Paths!$E$257=0,C2759=0,AND(C2759&gt;0,Paths!$E$257&gt;(C2759-1)*12,Paths!$E$257&lt;=C2759*12)),Paths!$G$257,0),"n.a."))</f>
        <v>0</v>
      </c>
      <c r="J2759" s="16">
        <f>IF(NOT(Paths!$C$257=1),0,IF(Paths!$P$257="Complete",IF(IF(Paths!$E$257=0,C2759=0,AND(C2759&gt;0,Paths!$E$257&gt;(C2759-1)*12,Paths!$E$257&lt;=C2759*12)),Paths!$H$257,0),"n.a."))</f>
        <v>0</v>
      </c>
      <c r="K2759" s="16">
        <f>IF(NOT(Paths!$C$257=1),0,IF(Paths!$P$257="Complete",IF(IF(Paths!$O$257=0,C2759=0,AND(C2759&gt;0,Paths!$O$257&gt;(C2759-1)*12,Paths!$O$257&lt;=C2759*12)),Paths!$N$257,0),"n.a."))</f>
        <v>0</v>
      </c>
      <c r="L2759" s="16">
        <f>IF(NOT(Paths!$C$257=1),0,IF(Paths!$P$257="Complete",IF(C2759=10,Paths!$I$257,0),"n.a."))</f>
        <v>0</v>
      </c>
      <c r="M2759" s="16">
        <f>IF(NOT(Paths!$C$257=1),0,IF(Paths!$P$257="Complete",IF(AND(Paths!$D$257="EV",Paths!$E$257&lt;120,Paths!$E$257+'Operating costs'!$B$65&gt;Paths!$E$257,Paths!$E$257+'Operating costs'!$B$65&lt;=120,IF(Paths!$E$257+'Operating costs'!$B$65=0,C2759=0,AND(C2759&gt;0,Paths!$E$257+'Operating costs'!$B$65&gt;(C2759-1)*12,Paths!$E$257+'Operating costs'!$B$65&lt;=C2759*12))),'Operating costs'!$B$64,0)+IF(AND('Operating costs'!$B$67&gt;0,'Operating costs'!$B$67&lt;=120,OR(Paths!$D$257="ICE",'Operating costs'!$B$67&lt;=Paths!$E$257),IF('Operating costs'!$B$67=0,C2759=0,AND(C2759&gt;0,'Operating costs'!$B$67&gt;(C2759-1)*12,'Operating costs'!$B$67&lt;=C2759*12))),'Operating costs'!$B$66,0),"n.a."))</f>
        <v>0</v>
      </c>
      <c r="N2759" s="16">
        <f>IF(NOT(Paths!$C$257=1),0,IF(Paths!$P$257="Complete",SUM(G2759:I2759)-J2759-K2759-L2759+M2759+IF(C2759=0,Paths!$F$257,0)+IF(IF(Paths!$E$257=0,C2759=0,AND(C2759&gt;0,Paths!$E$257&gt;(C2759-1)*12,Paths!$E$257&lt;=C2759*12)),VLOOKUP(A2759,'Fleet register'!$A$7:$S$106,16,FALSE),0),"n.a."))</f>
        <v>0</v>
      </c>
      <c r="O2759" s="16">
        <f>IF(NOT(Paths!$C$257=1),0,IF(Paths!$P$257="Complete",N2759-IF(C2759=0,Paths!$F$257,0),"n.a."))</f>
        <v>0</v>
      </c>
      <c r="P2759" s="16">
        <f>IF(NOT(Paths!$C$257=1),0,IF(Paths!$P$257="Complete",O2759+L2759,"n.a."))</f>
        <v>0</v>
      </c>
      <c r="Q2759" s="16">
        <f>IF(NOT(Paths!$C$257=1),0,IF(Paths!$P$257="Complete",N2759*(1+'Operating costs'!$B$54)^-C2759,"n.a."))</f>
        <v>0</v>
      </c>
      <c r="R2759" s="16">
        <f>IF(NOT(Paths!$C$257=1),0,IF(Paths!$P$257="Complete",IF(AND(C2759=0,Paths!$E$257=0),I2759-J2759-K2759+VLOOKUP(A2759,'Fleet register'!$A$7:$S$106,15,FALSE)+VLOOKUP(A2759,'Fleet register'!$A$7:$S$106,16,FALSE),0),"n.a."))</f>
        <v>0</v>
      </c>
      <c r="S2759" s="1">
        <f>IF(NOT(Paths!$C$257=1),0,IF(Paths!$P$257="Complete",IF(C2759=0,0,Paths!$S$257*Paths!$R$257),"n.a."))</f>
        <v>0</v>
      </c>
      <c r="T2759" s="1">
        <f>IF(NOT(Paths!$C$257=1),0,IF(Paths!$P$257="Complete",IF(C2759=0,0,VLOOKUP(A2759,'Fleet register'!$A$7:$S$106,9,FALSE)*Paths!$R$257),"n.a."))</f>
        <v>0</v>
      </c>
    </row>
    <row r="2760" spans="1:20" ht="24" customHeight="1">
      <c r="A2760" s="1" t="str">
        <f>Paths!$A$257</f>
        <v>T063</v>
      </c>
      <c r="B2760" s="1">
        <f>Paths!$B$257</f>
        <v>2</v>
      </c>
      <c r="C2760" s="1">
        <v>3</v>
      </c>
      <c r="D2760" s="1">
        <v>257</v>
      </c>
      <c r="E2760" s="1">
        <f>IF(OR(Paths!$C$257=0,C2760=0),0,MAX(0,MIN(C2760*12,Paths!$E$257)-(C2760-1)*12))</f>
        <v>0</v>
      </c>
      <c r="F2760" s="1">
        <f>IF(OR(Paths!$C$257=0,C2760=0),0,12-E2760)</f>
        <v>0</v>
      </c>
      <c r="G2760" s="16">
        <f>IF(NOT(Paths!$C$257=1),0,IF(Paths!$P$257="Complete",E2760/12*(Paths!$J$257*(1+'Operating costs'!$B$51)^MAX(0,C2760-1)+Paths!$K$257*(1+'Operating costs'!$B$53)^MAX(0,C2760-1)),"n.a."))</f>
        <v>0</v>
      </c>
      <c r="H2760" s="16">
        <f>IF(NOT(Paths!$C$257=1),0,IF(Paths!$P$257="Complete",F2760/12*(Paths!$L$257*(1+IF(Paths!$D$257="EV",'Operating costs'!$B$52,'Operating costs'!$B$51))^MAX(0,C2760-1)+Paths!$M$257*(1+'Operating costs'!$B$53)^MAX(0,C2760-1)),"n.a."))</f>
        <v>0</v>
      </c>
      <c r="I2760" s="16">
        <f>IF(NOT(Paths!$C$257=1),0,IF(Paths!$P$257="Complete",IF(IF(Paths!$E$257=0,C2760=0,AND(C2760&gt;0,Paths!$E$257&gt;(C2760-1)*12,Paths!$E$257&lt;=C2760*12)),Paths!$G$257,0),"n.a."))</f>
        <v>0</v>
      </c>
      <c r="J2760" s="16">
        <f>IF(NOT(Paths!$C$257=1),0,IF(Paths!$P$257="Complete",IF(IF(Paths!$E$257=0,C2760=0,AND(C2760&gt;0,Paths!$E$257&gt;(C2760-1)*12,Paths!$E$257&lt;=C2760*12)),Paths!$H$257,0),"n.a."))</f>
        <v>0</v>
      </c>
      <c r="K2760" s="16">
        <f>IF(NOT(Paths!$C$257=1),0,IF(Paths!$P$257="Complete",IF(IF(Paths!$O$257=0,C2760=0,AND(C2760&gt;0,Paths!$O$257&gt;(C2760-1)*12,Paths!$O$257&lt;=C2760*12)),Paths!$N$257,0),"n.a."))</f>
        <v>0</v>
      </c>
      <c r="L2760" s="16">
        <f>IF(NOT(Paths!$C$257=1),0,IF(Paths!$P$257="Complete",IF(C2760=10,Paths!$I$257,0),"n.a."))</f>
        <v>0</v>
      </c>
      <c r="M2760" s="16">
        <f>IF(NOT(Paths!$C$257=1),0,IF(Paths!$P$257="Complete",IF(AND(Paths!$D$257="EV",Paths!$E$257&lt;120,Paths!$E$257+'Operating costs'!$B$65&gt;Paths!$E$257,Paths!$E$257+'Operating costs'!$B$65&lt;=120,IF(Paths!$E$257+'Operating costs'!$B$65=0,C2760=0,AND(C2760&gt;0,Paths!$E$257+'Operating costs'!$B$65&gt;(C2760-1)*12,Paths!$E$257+'Operating costs'!$B$65&lt;=C2760*12))),'Operating costs'!$B$64,0)+IF(AND('Operating costs'!$B$67&gt;0,'Operating costs'!$B$67&lt;=120,OR(Paths!$D$257="ICE",'Operating costs'!$B$67&lt;=Paths!$E$257),IF('Operating costs'!$B$67=0,C2760=0,AND(C2760&gt;0,'Operating costs'!$B$67&gt;(C2760-1)*12,'Operating costs'!$B$67&lt;=C2760*12))),'Operating costs'!$B$66,0),"n.a."))</f>
        <v>0</v>
      </c>
      <c r="N2760" s="16">
        <f>IF(NOT(Paths!$C$257=1),0,IF(Paths!$P$257="Complete",SUM(G2760:I2760)-J2760-K2760-L2760+M2760+IF(C2760=0,Paths!$F$257,0)+IF(IF(Paths!$E$257=0,C2760=0,AND(C2760&gt;0,Paths!$E$257&gt;(C2760-1)*12,Paths!$E$257&lt;=C2760*12)),VLOOKUP(A2760,'Fleet register'!$A$7:$S$106,16,FALSE),0),"n.a."))</f>
        <v>0</v>
      </c>
      <c r="O2760" s="16">
        <f>IF(NOT(Paths!$C$257=1),0,IF(Paths!$P$257="Complete",N2760-IF(C2760=0,Paths!$F$257,0),"n.a."))</f>
        <v>0</v>
      </c>
      <c r="P2760" s="16">
        <f>IF(NOT(Paths!$C$257=1),0,IF(Paths!$P$257="Complete",O2760+L2760,"n.a."))</f>
        <v>0</v>
      </c>
      <c r="Q2760" s="16">
        <f>IF(NOT(Paths!$C$257=1),0,IF(Paths!$P$257="Complete",N2760*(1+'Operating costs'!$B$54)^-C2760,"n.a."))</f>
        <v>0</v>
      </c>
      <c r="R2760" s="16">
        <f>IF(NOT(Paths!$C$257=1),0,IF(Paths!$P$257="Complete",IF(AND(C2760=0,Paths!$E$257=0),I2760-J2760-K2760+VLOOKUP(A2760,'Fleet register'!$A$7:$S$106,15,FALSE)+VLOOKUP(A2760,'Fleet register'!$A$7:$S$106,16,FALSE),0),"n.a."))</f>
        <v>0</v>
      </c>
      <c r="S2760" s="1">
        <f>IF(NOT(Paths!$C$257=1),0,IF(Paths!$P$257="Complete",IF(C2760=0,0,Paths!$S$257*Paths!$R$257),"n.a."))</f>
        <v>0</v>
      </c>
      <c r="T2760" s="1">
        <f>IF(NOT(Paths!$C$257=1),0,IF(Paths!$P$257="Complete",IF(C2760=0,0,VLOOKUP(A2760,'Fleet register'!$A$7:$S$106,9,FALSE)*Paths!$R$257),"n.a."))</f>
        <v>0</v>
      </c>
    </row>
    <row r="2761" spans="1:20" ht="24" customHeight="1">
      <c r="A2761" s="1" t="str">
        <f>Paths!$A$257</f>
        <v>T063</v>
      </c>
      <c r="B2761" s="1">
        <f>Paths!$B$257</f>
        <v>2</v>
      </c>
      <c r="C2761" s="1">
        <v>4</v>
      </c>
      <c r="D2761" s="1">
        <v>257</v>
      </c>
      <c r="E2761" s="1">
        <f>IF(OR(Paths!$C$257=0,C2761=0),0,MAX(0,MIN(C2761*12,Paths!$E$257)-(C2761-1)*12))</f>
        <v>0</v>
      </c>
      <c r="F2761" s="1">
        <f>IF(OR(Paths!$C$257=0,C2761=0),0,12-E2761)</f>
        <v>0</v>
      </c>
      <c r="G2761" s="16">
        <f>IF(NOT(Paths!$C$257=1),0,IF(Paths!$P$257="Complete",E2761/12*(Paths!$J$257*(1+'Operating costs'!$B$51)^MAX(0,C2761-1)+Paths!$K$257*(1+'Operating costs'!$B$53)^MAX(0,C2761-1)),"n.a."))</f>
        <v>0</v>
      </c>
      <c r="H2761" s="16">
        <f>IF(NOT(Paths!$C$257=1),0,IF(Paths!$P$257="Complete",F2761/12*(Paths!$L$257*(1+IF(Paths!$D$257="EV",'Operating costs'!$B$52,'Operating costs'!$B$51))^MAX(0,C2761-1)+Paths!$M$257*(1+'Operating costs'!$B$53)^MAX(0,C2761-1)),"n.a."))</f>
        <v>0</v>
      </c>
      <c r="I2761" s="16">
        <f>IF(NOT(Paths!$C$257=1),0,IF(Paths!$P$257="Complete",IF(IF(Paths!$E$257=0,C2761=0,AND(C2761&gt;0,Paths!$E$257&gt;(C2761-1)*12,Paths!$E$257&lt;=C2761*12)),Paths!$G$257,0),"n.a."))</f>
        <v>0</v>
      </c>
      <c r="J2761" s="16">
        <f>IF(NOT(Paths!$C$257=1),0,IF(Paths!$P$257="Complete",IF(IF(Paths!$E$257=0,C2761=0,AND(C2761&gt;0,Paths!$E$257&gt;(C2761-1)*12,Paths!$E$257&lt;=C2761*12)),Paths!$H$257,0),"n.a."))</f>
        <v>0</v>
      </c>
      <c r="K2761" s="16">
        <f>IF(NOT(Paths!$C$257=1),0,IF(Paths!$P$257="Complete",IF(IF(Paths!$O$257=0,C2761=0,AND(C2761&gt;0,Paths!$O$257&gt;(C2761-1)*12,Paths!$O$257&lt;=C2761*12)),Paths!$N$257,0),"n.a."))</f>
        <v>0</v>
      </c>
      <c r="L2761" s="16">
        <f>IF(NOT(Paths!$C$257=1),0,IF(Paths!$P$257="Complete",IF(C2761=10,Paths!$I$257,0),"n.a."))</f>
        <v>0</v>
      </c>
      <c r="M2761" s="16">
        <f>IF(NOT(Paths!$C$257=1),0,IF(Paths!$P$257="Complete",IF(AND(Paths!$D$257="EV",Paths!$E$257&lt;120,Paths!$E$257+'Operating costs'!$B$65&gt;Paths!$E$257,Paths!$E$257+'Operating costs'!$B$65&lt;=120,IF(Paths!$E$257+'Operating costs'!$B$65=0,C2761=0,AND(C2761&gt;0,Paths!$E$257+'Operating costs'!$B$65&gt;(C2761-1)*12,Paths!$E$257+'Operating costs'!$B$65&lt;=C2761*12))),'Operating costs'!$B$64,0)+IF(AND('Operating costs'!$B$67&gt;0,'Operating costs'!$B$67&lt;=120,OR(Paths!$D$257="ICE",'Operating costs'!$B$67&lt;=Paths!$E$257),IF('Operating costs'!$B$67=0,C2761=0,AND(C2761&gt;0,'Operating costs'!$B$67&gt;(C2761-1)*12,'Operating costs'!$B$67&lt;=C2761*12))),'Operating costs'!$B$66,0),"n.a."))</f>
        <v>0</v>
      </c>
      <c r="N2761" s="16">
        <f>IF(NOT(Paths!$C$257=1),0,IF(Paths!$P$257="Complete",SUM(G2761:I2761)-J2761-K2761-L2761+M2761+IF(C2761=0,Paths!$F$257,0)+IF(IF(Paths!$E$257=0,C2761=0,AND(C2761&gt;0,Paths!$E$257&gt;(C2761-1)*12,Paths!$E$257&lt;=C2761*12)),VLOOKUP(A2761,'Fleet register'!$A$7:$S$106,16,FALSE),0),"n.a."))</f>
        <v>0</v>
      </c>
      <c r="O2761" s="16">
        <f>IF(NOT(Paths!$C$257=1),0,IF(Paths!$P$257="Complete",N2761-IF(C2761=0,Paths!$F$257,0),"n.a."))</f>
        <v>0</v>
      </c>
      <c r="P2761" s="16">
        <f>IF(NOT(Paths!$C$257=1),0,IF(Paths!$P$257="Complete",O2761+L2761,"n.a."))</f>
        <v>0</v>
      </c>
      <c r="Q2761" s="16">
        <f>IF(NOT(Paths!$C$257=1),0,IF(Paths!$P$257="Complete",N2761*(1+'Operating costs'!$B$54)^-C2761,"n.a."))</f>
        <v>0</v>
      </c>
      <c r="R2761" s="16">
        <f>IF(NOT(Paths!$C$257=1),0,IF(Paths!$P$257="Complete",IF(AND(C2761=0,Paths!$E$257=0),I2761-J2761-K2761+VLOOKUP(A2761,'Fleet register'!$A$7:$S$106,15,FALSE)+VLOOKUP(A2761,'Fleet register'!$A$7:$S$106,16,FALSE),0),"n.a."))</f>
        <v>0</v>
      </c>
      <c r="S2761" s="1">
        <f>IF(NOT(Paths!$C$257=1),0,IF(Paths!$P$257="Complete",IF(C2761=0,0,Paths!$S$257*Paths!$R$257),"n.a."))</f>
        <v>0</v>
      </c>
      <c r="T2761" s="1">
        <f>IF(NOT(Paths!$C$257=1),0,IF(Paths!$P$257="Complete",IF(C2761=0,0,VLOOKUP(A2761,'Fleet register'!$A$7:$S$106,9,FALSE)*Paths!$R$257),"n.a."))</f>
        <v>0</v>
      </c>
    </row>
    <row r="2762" spans="1:20" ht="24" customHeight="1">
      <c r="A2762" s="1" t="str">
        <f>Paths!$A$257</f>
        <v>T063</v>
      </c>
      <c r="B2762" s="1">
        <f>Paths!$B$257</f>
        <v>2</v>
      </c>
      <c r="C2762" s="1">
        <v>5</v>
      </c>
      <c r="D2762" s="1">
        <v>257</v>
      </c>
      <c r="E2762" s="1">
        <f>IF(OR(Paths!$C$257=0,C2762=0),0,MAX(0,MIN(C2762*12,Paths!$E$257)-(C2762-1)*12))</f>
        <v>0</v>
      </c>
      <c r="F2762" s="1">
        <f>IF(OR(Paths!$C$257=0,C2762=0),0,12-E2762)</f>
        <v>0</v>
      </c>
      <c r="G2762" s="16">
        <f>IF(NOT(Paths!$C$257=1),0,IF(Paths!$P$257="Complete",E2762/12*(Paths!$J$257*(1+'Operating costs'!$B$51)^MAX(0,C2762-1)+Paths!$K$257*(1+'Operating costs'!$B$53)^MAX(0,C2762-1)),"n.a."))</f>
        <v>0</v>
      </c>
      <c r="H2762" s="16">
        <f>IF(NOT(Paths!$C$257=1),0,IF(Paths!$P$257="Complete",F2762/12*(Paths!$L$257*(1+IF(Paths!$D$257="EV",'Operating costs'!$B$52,'Operating costs'!$B$51))^MAX(0,C2762-1)+Paths!$M$257*(1+'Operating costs'!$B$53)^MAX(0,C2762-1)),"n.a."))</f>
        <v>0</v>
      </c>
      <c r="I2762" s="16">
        <f>IF(NOT(Paths!$C$257=1),0,IF(Paths!$P$257="Complete",IF(IF(Paths!$E$257=0,C2762=0,AND(C2762&gt;0,Paths!$E$257&gt;(C2762-1)*12,Paths!$E$257&lt;=C2762*12)),Paths!$G$257,0),"n.a."))</f>
        <v>0</v>
      </c>
      <c r="J2762" s="16">
        <f>IF(NOT(Paths!$C$257=1),0,IF(Paths!$P$257="Complete",IF(IF(Paths!$E$257=0,C2762=0,AND(C2762&gt;0,Paths!$E$257&gt;(C2762-1)*12,Paths!$E$257&lt;=C2762*12)),Paths!$H$257,0),"n.a."))</f>
        <v>0</v>
      </c>
      <c r="K2762" s="16">
        <f>IF(NOT(Paths!$C$257=1),0,IF(Paths!$P$257="Complete",IF(IF(Paths!$O$257=0,C2762=0,AND(C2762&gt;0,Paths!$O$257&gt;(C2762-1)*12,Paths!$O$257&lt;=C2762*12)),Paths!$N$257,0),"n.a."))</f>
        <v>0</v>
      </c>
      <c r="L2762" s="16">
        <f>IF(NOT(Paths!$C$257=1),0,IF(Paths!$P$257="Complete",IF(C2762=10,Paths!$I$257,0),"n.a."))</f>
        <v>0</v>
      </c>
      <c r="M2762" s="16">
        <f>IF(NOT(Paths!$C$257=1),0,IF(Paths!$P$257="Complete",IF(AND(Paths!$D$257="EV",Paths!$E$257&lt;120,Paths!$E$257+'Operating costs'!$B$65&gt;Paths!$E$257,Paths!$E$257+'Operating costs'!$B$65&lt;=120,IF(Paths!$E$257+'Operating costs'!$B$65=0,C2762=0,AND(C2762&gt;0,Paths!$E$257+'Operating costs'!$B$65&gt;(C2762-1)*12,Paths!$E$257+'Operating costs'!$B$65&lt;=C2762*12))),'Operating costs'!$B$64,0)+IF(AND('Operating costs'!$B$67&gt;0,'Operating costs'!$B$67&lt;=120,OR(Paths!$D$257="ICE",'Operating costs'!$B$67&lt;=Paths!$E$257),IF('Operating costs'!$B$67=0,C2762=0,AND(C2762&gt;0,'Operating costs'!$B$67&gt;(C2762-1)*12,'Operating costs'!$B$67&lt;=C2762*12))),'Operating costs'!$B$66,0),"n.a."))</f>
        <v>0</v>
      </c>
      <c r="N2762" s="16">
        <f>IF(NOT(Paths!$C$257=1),0,IF(Paths!$P$257="Complete",SUM(G2762:I2762)-J2762-K2762-L2762+M2762+IF(C2762=0,Paths!$F$257,0)+IF(IF(Paths!$E$257=0,C2762=0,AND(C2762&gt;0,Paths!$E$257&gt;(C2762-1)*12,Paths!$E$257&lt;=C2762*12)),VLOOKUP(A2762,'Fleet register'!$A$7:$S$106,16,FALSE),0),"n.a."))</f>
        <v>0</v>
      </c>
      <c r="O2762" s="16">
        <f>IF(NOT(Paths!$C$257=1),0,IF(Paths!$P$257="Complete",N2762-IF(C2762=0,Paths!$F$257,0),"n.a."))</f>
        <v>0</v>
      </c>
      <c r="P2762" s="16">
        <f>IF(NOT(Paths!$C$257=1),0,IF(Paths!$P$257="Complete",O2762+L2762,"n.a."))</f>
        <v>0</v>
      </c>
      <c r="Q2762" s="16">
        <f>IF(NOT(Paths!$C$257=1),0,IF(Paths!$P$257="Complete",N2762*(1+'Operating costs'!$B$54)^-C2762,"n.a."))</f>
        <v>0</v>
      </c>
      <c r="R2762" s="16">
        <f>IF(NOT(Paths!$C$257=1),0,IF(Paths!$P$257="Complete",IF(AND(C2762=0,Paths!$E$257=0),I2762-J2762-K2762+VLOOKUP(A2762,'Fleet register'!$A$7:$S$106,15,FALSE)+VLOOKUP(A2762,'Fleet register'!$A$7:$S$106,16,FALSE),0),"n.a."))</f>
        <v>0</v>
      </c>
      <c r="S2762" s="1">
        <f>IF(NOT(Paths!$C$257=1),0,IF(Paths!$P$257="Complete",IF(C2762=0,0,Paths!$S$257*Paths!$R$257),"n.a."))</f>
        <v>0</v>
      </c>
      <c r="T2762" s="1">
        <f>IF(NOT(Paths!$C$257=1),0,IF(Paths!$P$257="Complete",IF(C2762=0,0,VLOOKUP(A2762,'Fleet register'!$A$7:$S$106,9,FALSE)*Paths!$R$257),"n.a."))</f>
        <v>0</v>
      </c>
    </row>
    <row r="2763" spans="1:20" ht="24" customHeight="1">
      <c r="A2763" s="1" t="str">
        <f>Paths!$A$257</f>
        <v>T063</v>
      </c>
      <c r="B2763" s="1">
        <f>Paths!$B$257</f>
        <v>2</v>
      </c>
      <c r="C2763" s="1">
        <v>6</v>
      </c>
      <c r="D2763" s="1">
        <v>257</v>
      </c>
      <c r="E2763" s="1">
        <f>IF(OR(Paths!$C$257=0,C2763=0),0,MAX(0,MIN(C2763*12,Paths!$E$257)-(C2763-1)*12))</f>
        <v>0</v>
      </c>
      <c r="F2763" s="1">
        <f>IF(OR(Paths!$C$257=0,C2763=0),0,12-E2763)</f>
        <v>0</v>
      </c>
      <c r="G2763" s="16">
        <f>IF(NOT(Paths!$C$257=1),0,IF(Paths!$P$257="Complete",E2763/12*(Paths!$J$257*(1+'Operating costs'!$B$51)^MAX(0,C2763-1)+Paths!$K$257*(1+'Operating costs'!$B$53)^MAX(0,C2763-1)),"n.a."))</f>
        <v>0</v>
      </c>
      <c r="H2763" s="16">
        <f>IF(NOT(Paths!$C$257=1),0,IF(Paths!$P$257="Complete",F2763/12*(Paths!$L$257*(1+IF(Paths!$D$257="EV",'Operating costs'!$B$52,'Operating costs'!$B$51))^MAX(0,C2763-1)+Paths!$M$257*(1+'Operating costs'!$B$53)^MAX(0,C2763-1)),"n.a."))</f>
        <v>0</v>
      </c>
      <c r="I2763" s="16">
        <f>IF(NOT(Paths!$C$257=1),0,IF(Paths!$P$257="Complete",IF(IF(Paths!$E$257=0,C2763=0,AND(C2763&gt;0,Paths!$E$257&gt;(C2763-1)*12,Paths!$E$257&lt;=C2763*12)),Paths!$G$257,0),"n.a."))</f>
        <v>0</v>
      </c>
      <c r="J2763" s="16">
        <f>IF(NOT(Paths!$C$257=1),0,IF(Paths!$P$257="Complete",IF(IF(Paths!$E$257=0,C2763=0,AND(C2763&gt;0,Paths!$E$257&gt;(C2763-1)*12,Paths!$E$257&lt;=C2763*12)),Paths!$H$257,0),"n.a."))</f>
        <v>0</v>
      </c>
      <c r="K2763" s="16">
        <f>IF(NOT(Paths!$C$257=1),0,IF(Paths!$P$257="Complete",IF(IF(Paths!$O$257=0,C2763=0,AND(C2763&gt;0,Paths!$O$257&gt;(C2763-1)*12,Paths!$O$257&lt;=C2763*12)),Paths!$N$257,0),"n.a."))</f>
        <v>0</v>
      </c>
      <c r="L2763" s="16">
        <f>IF(NOT(Paths!$C$257=1),0,IF(Paths!$P$257="Complete",IF(C2763=10,Paths!$I$257,0),"n.a."))</f>
        <v>0</v>
      </c>
      <c r="M2763" s="16">
        <f>IF(NOT(Paths!$C$257=1),0,IF(Paths!$P$257="Complete",IF(AND(Paths!$D$257="EV",Paths!$E$257&lt;120,Paths!$E$257+'Operating costs'!$B$65&gt;Paths!$E$257,Paths!$E$257+'Operating costs'!$B$65&lt;=120,IF(Paths!$E$257+'Operating costs'!$B$65=0,C2763=0,AND(C2763&gt;0,Paths!$E$257+'Operating costs'!$B$65&gt;(C2763-1)*12,Paths!$E$257+'Operating costs'!$B$65&lt;=C2763*12))),'Operating costs'!$B$64,0)+IF(AND('Operating costs'!$B$67&gt;0,'Operating costs'!$B$67&lt;=120,OR(Paths!$D$257="ICE",'Operating costs'!$B$67&lt;=Paths!$E$257),IF('Operating costs'!$B$67=0,C2763=0,AND(C2763&gt;0,'Operating costs'!$B$67&gt;(C2763-1)*12,'Operating costs'!$B$67&lt;=C2763*12))),'Operating costs'!$B$66,0),"n.a."))</f>
        <v>0</v>
      </c>
      <c r="N2763" s="16">
        <f>IF(NOT(Paths!$C$257=1),0,IF(Paths!$P$257="Complete",SUM(G2763:I2763)-J2763-K2763-L2763+M2763+IF(C2763=0,Paths!$F$257,0)+IF(IF(Paths!$E$257=0,C2763=0,AND(C2763&gt;0,Paths!$E$257&gt;(C2763-1)*12,Paths!$E$257&lt;=C2763*12)),VLOOKUP(A2763,'Fleet register'!$A$7:$S$106,16,FALSE),0),"n.a."))</f>
        <v>0</v>
      </c>
      <c r="O2763" s="16">
        <f>IF(NOT(Paths!$C$257=1),0,IF(Paths!$P$257="Complete",N2763-IF(C2763=0,Paths!$F$257,0),"n.a."))</f>
        <v>0</v>
      </c>
      <c r="P2763" s="16">
        <f>IF(NOT(Paths!$C$257=1),0,IF(Paths!$P$257="Complete",O2763+L2763,"n.a."))</f>
        <v>0</v>
      </c>
      <c r="Q2763" s="16">
        <f>IF(NOT(Paths!$C$257=1),0,IF(Paths!$P$257="Complete",N2763*(1+'Operating costs'!$B$54)^-C2763,"n.a."))</f>
        <v>0</v>
      </c>
      <c r="R2763" s="16">
        <f>IF(NOT(Paths!$C$257=1),0,IF(Paths!$P$257="Complete",IF(AND(C2763=0,Paths!$E$257=0),I2763-J2763-K2763+VLOOKUP(A2763,'Fleet register'!$A$7:$S$106,15,FALSE)+VLOOKUP(A2763,'Fleet register'!$A$7:$S$106,16,FALSE),0),"n.a."))</f>
        <v>0</v>
      </c>
      <c r="S2763" s="1">
        <f>IF(NOT(Paths!$C$257=1),0,IF(Paths!$P$257="Complete",IF(C2763=0,0,Paths!$S$257*Paths!$R$257),"n.a."))</f>
        <v>0</v>
      </c>
      <c r="T2763" s="1">
        <f>IF(NOT(Paths!$C$257=1),0,IF(Paths!$P$257="Complete",IF(C2763=0,0,VLOOKUP(A2763,'Fleet register'!$A$7:$S$106,9,FALSE)*Paths!$R$257),"n.a."))</f>
        <v>0</v>
      </c>
    </row>
    <row r="2764" spans="1:20" ht="24" customHeight="1">
      <c r="A2764" s="1" t="str">
        <f>Paths!$A$257</f>
        <v>T063</v>
      </c>
      <c r="B2764" s="1">
        <f>Paths!$B$257</f>
        <v>2</v>
      </c>
      <c r="C2764" s="1">
        <v>7</v>
      </c>
      <c r="D2764" s="1">
        <v>257</v>
      </c>
      <c r="E2764" s="1">
        <f>IF(OR(Paths!$C$257=0,C2764=0),0,MAX(0,MIN(C2764*12,Paths!$E$257)-(C2764-1)*12))</f>
        <v>0</v>
      </c>
      <c r="F2764" s="1">
        <f>IF(OR(Paths!$C$257=0,C2764=0),0,12-E2764)</f>
        <v>0</v>
      </c>
      <c r="G2764" s="16">
        <f>IF(NOT(Paths!$C$257=1),0,IF(Paths!$P$257="Complete",E2764/12*(Paths!$J$257*(1+'Operating costs'!$B$51)^MAX(0,C2764-1)+Paths!$K$257*(1+'Operating costs'!$B$53)^MAX(0,C2764-1)),"n.a."))</f>
        <v>0</v>
      </c>
      <c r="H2764" s="16">
        <f>IF(NOT(Paths!$C$257=1),0,IF(Paths!$P$257="Complete",F2764/12*(Paths!$L$257*(1+IF(Paths!$D$257="EV",'Operating costs'!$B$52,'Operating costs'!$B$51))^MAX(0,C2764-1)+Paths!$M$257*(1+'Operating costs'!$B$53)^MAX(0,C2764-1)),"n.a."))</f>
        <v>0</v>
      </c>
      <c r="I2764" s="16">
        <f>IF(NOT(Paths!$C$257=1),0,IF(Paths!$P$257="Complete",IF(IF(Paths!$E$257=0,C2764=0,AND(C2764&gt;0,Paths!$E$257&gt;(C2764-1)*12,Paths!$E$257&lt;=C2764*12)),Paths!$G$257,0),"n.a."))</f>
        <v>0</v>
      </c>
      <c r="J2764" s="16">
        <f>IF(NOT(Paths!$C$257=1),0,IF(Paths!$P$257="Complete",IF(IF(Paths!$E$257=0,C2764=0,AND(C2764&gt;0,Paths!$E$257&gt;(C2764-1)*12,Paths!$E$257&lt;=C2764*12)),Paths!$H$257,0),"n.a."))</f>
        <v>0</v>
      </c>
      <c r="K2764" s="16">
        <f>IF(NOT(Paths!$C$257=1),0,IF(Paths!$P$257="Complete",IF(IF(Paths!$O$257=0,C2764=0,AND(C2764&gt;0,Paths!$O$257&gt;(C2764-1)*12,Paths!$O$257&lt;=C2764*12)),Paths!$N$257,0),"n.a."))</f>
        <v>0</v>
      </c>
      <c r="L2764" s="16">
        <f>IF(NOT(Paths!$C$257=1),0,IF(Paths!$P$257="Complete",IF(C2764=10,Paths!$I$257,0),"n.a."))</f>
        <v>0</v>
      </c>
      <c r="M2764" s="16">
        <f>IF(NOT(Paths!$C$257=1),0,IF(Paths!$P$257="Complete",IF(AND(Paths!$D$257="EV",Paths!$E$257&lt;120,Paths!$E$257+'Operating costs'!$B$65&gt;Paths!$E$257,Paths!$E$257+'Operating costs'!$B$65&lt;=120,IF(Paths!$E$257+'Operating costs'!$B$65=0,C2764=0,AND(C2764&gt;0,Paths!$E$257+'Operating costs'!$B$65&gt;(C2764-1)*12,Paths!$E$257+'Operating costs'!$B$65&lt;=C2764*12))),'Operating costs'!$B$64,0)+IF(AND('Operating costs'!$B$67&gt;0,'Operating costs'!$B$67&lt;=120,OR(Paths!$D$257="ICE",'Operating costs'!$B$67&lt;=Paths!$E$257),IF('Operating costs'!$B$67=0,C2764=0,AND(C2764&gt;0,'Operating costs'!$B$67&gt;(C2764-1)*12,'Operating costs'!$B$67&lt;=C2764*12))),'Operating costs'!$B$66,0),"n.a."))</f>
        <v>0</v>
      </c>
      <c r="N2764" s="16">
        <f>IF(NOT(Paths!$C$257=1),0,IF(Paths!$P$257="Complete",SUM(G2764:I2764)-J2764-K2764-L2764+M2764+IF(C2764=0,Paths!$F$257,0)+IF(IF(Paths!$E$257=0,C2764=0,AND(C2764&gt;0,Paths!$E$257&gt;(C2764-1)*12,Paths!$E$257&lt;=C2764*12)),VLOOKUP(A2764,'Fleet register'!$A$7:$S$106,16,FALSE),0),"n.a."))</f>
        <v>0</v>
      </c>
      <c r="O2764" s="16">
        <f>IF(NOT(Paths!$C$257=1),0,IF(Paths!$P$257="Complete",N2764-IF(C2764=0,Paths!$F$257,0),"n.a."))</f>
        <v>0</v>
      </c>
      <c r="P2764" s="16">
        <f>IF(NOT(Paths!$C$257=1),0,IF(Paths!$P$257="Complete",O2764+L2764,"n.a."))</f>
        <v>0</v>
      </c>
      <c r="Q2764" s="16">
        <f>IF(NOT(Paths!$C$257=1),0,IF(Paths!$P$257="Complete",N2764*(1+'Operating costs'!$B$54)^-C2764,"n.a."))</f>
        <v>0</v>
      </c>
      <c r="R2764" s="16">
        <f>IF(NOT(Paths!$C$257=1),0,IF(Paths!$P$257="Complete",IF(AND(C2764=0,Paths!$E$257=0),I2764-J2764-K2764+VLOOKUP(A2764,'Fleet register'!$A$7:$S$106,15,FALSE)+VLOOKUP(A2764,'Fleet register'!$A$7:$S$106,16,FALSE),0),"n.a."))</f>
        <v>0</v>
      </c>
      <c r="S2764" s="1">
        <f>IF(NOT(Paths!$C$257=1),0,IF(Paths!$P$257="Complete",IF(C2764=0,0,Paths!$S$257*Paths!$R$257),"n.a."))</f>
        <v>0</v>
      </c>
      <c r="T2764" s="1">
        <f>IF(NOT(Paths!$C$257=1),0,IF(Paths!$P$257="Complete",IF(C2764=0,0,VLOOKUP(A2764,'Fleet register'!$A$7:$S$106,9,FALSE)*Paths!$R$257),"n.a."))</f>
        <v>0</v>
      </c>
    </row>
    <row r="2765" spans="1:20" ht="24" customHeight="1">
      <c r="A2765" s="1" t="str">
        <f>Paths!$A$257</f>
        <v>T063</v>
      </c>
      <c r="B2765" s="1">
        <f>Paths!$B$257</f>
        <v>2</v>
      </c>
      <c r="C2765" s="1">
        <v>8</v>
      </c>
      <c r="D2765" s="1">
        <v>257</v>
      </c>
      <c r="E2765" s="1">
        <f>IF(OR(Paths!$C$257=0,C2765=0),0,MAX(0,MIN(C2765*12,Paths!$E$257)-(C2765-1)*12))</f>
        <v>0</v>
      </c>
      <c r="F2765" s="1">
        <f>IF(OR(Paths!$C$257=0,C2765=0),0,12-E2765)</f>
        <v>0</v>
      </c>
      <c r="G2765" s="16">
        <f>IF(NOT(Paths!$C$257=1),0,IF(Paths!$P$257="Complete",E2765/12*(Paths!$J$257*(1+'Operating costs'!$B$51)^MAX(0,C2765-1)+Paths!$K$257*(1+'Operating costs'!$B$53)^MAX(0,C2765-1)),"n.a."))</f>
        <v>0</v>
      </c>
      <c r="H2765" s="16">
        <f>IF(NOT(Paths!$C$257=1),0,IF(Paths!$P$257="Complete",F2765/12*(Paths!$L$257*(1+IF(Paths!$D$257="EV",'Operating costs'!$B$52,'Operating costs'!$B$51))^MAX(0,C2765-1)+Paths!$M$257*(1+'Operating costs'!$B$53)^MAX(0,C2765-1)),"n.a."))</f>
        <v>0</v>
      </c>
      <c r="I2765" s="16">
        <f>IF(NOT(Paths!$C$257=1),0,IF(Paths!$P$257="Complete",IF(IF(Paths!$E$257=0,C2765=0,AND(C2765&gt;0,Paths!$E$257&gt;(C2765-1)*12,Paths!$E$257&lt;=C2765*12)),Paths!$G$257,0),"n.a."))</f>
        <v>0</v>
      </c>
      <c r="J2765" s="16">
        <f>IF(NOT(Paths!$C$257=1),0,IF(Paths!$P$257="Complete",IF(IF(Paths!$E$257=0,C2765=0,AND(C2765&gt;0,Paths!$E$257&gt;(C2765-1)*12,Paths!$E$257&lt;=C2765*12)),Paths!$H$257,0),"n.a."))</f>
        <v>0</v>
      </c>
      <c r="K2765" s="16">
        <f>IF(NOT(Paths!$C$257=1),0,IF(Paths!$P$257="Complete",IF(IF(Paths!$O$257=0,C2765=0,AND(C2765&gt;0,Paths!$O$257&gt;(C2765-1)*12,Paths!$O$257&lt;=C2765*12)),Paths!$N$257,0),"n.a."))</f>
        <v>0</v>
      </c>
      <c r="L2765" s="16">
        <f>IF(NOT(Paths!$C$257=1),0,IF(Paths!$P$257="Complete",IF(C2765=10,Paths!$I$257,0),"n.a."))</f>
        <v>0</v>
      </c>
      <c r="M2765" s="16">
        <f>IF(NOT(Paths!$C$257=1),0,IF(Paths!$P$257="Complete",IF(AND(Paths!$D$257="EV",Paths!$E$257&lt;120,Paths!$E$257+'Operating costs'!$B$65&gt;Paths!$E$257,Paths!$E$257+'Operating costs'!$B$65&lt;=120,IF(Paths!$E$257+'Operating costs'!$B$65=0,C2765=0,AND(C2765&gt;0,Paths!$E$257+'Operating costs'!$B$65&gt;(C2765-1)*12,Paths!$E$257+'Operating costs'!$B$65&lt;=C2765*12))),'Operating costs'!$B$64,0)+IF(AND('Operating costs'!$B$67&gt;0,'Operating costs'!$B$67&lt;=120,OR(Paths!$D$257="ICE",'Operating costs'!$B$67&lt;=Paths!$E$257),IF('Operating costs'!$B$67=0,C2765=0,AND(C2765&gt;0,'Operating costs'!$B$67&gt;(C2765-1)*12,'Operating costs'!$B$67&lt;=C2765*12))),'Operating costs'!$B$66,0),"n.a."))</f>
        <v>0</v>
      </c>
      <c r="N2765" s="16">
        <f>IF(NOT(Paths!$C$257=1),0,IF(Paths!$P$257="Complete",SUM(G2765:I2765)-J2765-K2765-L2765+M2765+IF(C2765=0,Paths!$F$257,0)+IF(IF(Paths!$E$257=0,C2765=0,AND(C2765&gt;0,Paths!$E$257&gt;(C2765-1)*12,Paths!$E$257&lt;=C2765*12)),VLOOKUP(A2765,'Fleet register'!$A$7:$S$106,16,FALSE),0),"n.a."))</f>
        <v>0</v>
      </c>
      <c r="O2765" s="16">
        <f>IF(NOT(Paths!$C$257=1),0,IF(Paths!$P$257="Complete",N2765-IF(C2765=0,Paths!$F$257,0),"n.a."))</f>
        <v>0</v>
      </c>
      <c r="P2765" s="16">
        <f>IF(NOT(Paths!$C$257=1),0,IF(Paths!$P$257="Complete",O2765+L2765,"n.a."))</f>
        <v>0</v>
      </c>
      <c r="Q2765" s="16">
        <f>IF(NOT(Paths!$C$257=1),0,IF(Paths!$P$257="Complete",N2765*(1+'Operating costs'!$B$54)^-C2765,"n.a."))</f>
        <v>0</v>
      </c>
      <c r="R2765" s="16">
        <f>IF(NOT(Paths!$C$257=1),0,IF(Paths!$P$257="Complete",IF(AND(C2765=0,Paths!$E$257=0),I2765-J2765-K2765+VLOOKUP(A2765,'Fleet register'!$A$7:$S$106,15,FALSE)+VLOOKUP(A2765,'Fleet register'!$A$7:$S$106,16,FALSE),0),"n.a."))</f>
        <v>0</v>
      </c>
      <c r="S2765" s="1">
        <f>IF(NOT(Paths!$C$257=1),0,IF(Paths!$P$257="Complete",IF(C2765=0,0,Paths!$S$257*Paths!$R$257),"n.a."))</f>
        <v>0</v>
      </c>
      <c r="T2765" s="1">
        <f>IF(NOT(Paths!$C$257=1),0,IF(Paths!$P$257="Complete",IF(C2765=0,0,VLOOKUP(A2765,'Fleet register'!$A$7:$S$106,9,FALSE)*Paths!$R$257),"n.a."))</f>
        <v>0</v>
      </c>
    </row>
    <row r="2766" spans="1:20" ht="24" customHeight="1">
      <c r="A2766" s="1" t="str">
        <f>Paths!$A$257</f>
        <v>T063</v>
      </c>
      <c r="B2766" s="1">
        <f>Paths!$B$257</f>
        <v>2</v>
      </c>
      <c r="C2766" s="1">
        <v>9</v>
      </c>
      <c r="D2766" s="1">
        <v>257</v>
      </c>
      <c r="E2766" s="1">
        <f>IF(OR(Paths!$C$257=0,C2766=0),0,MAX(0,MIN(C2766*12,Paths!$E$257)-(C2766-1)*12))</f>
        <v>0</v>
      </c>
      <c r="F2766" s="1">
        <f>IF(OR(Paths!$C$257=0,C2766=0),0,12-E2766)</f>
        <v>0</v>
      </c>
      <c r="G2766" s="16">
        <f>IF(NOT(Paths!$C$257=1),0,IF(Paths!$P$257="Complete",E2766/12*(Paths!$J$257*(1+'Operating costs'!$B$51)^MAX(0,C2766-1)+Paths!$K$257*(1+'Operating costs'!$B$53)^MAX(0,C2766-1)),"n.a."))</f>
        <v>0</v>
      </c>
      <c r="H2766" s="16">
        <f>IF(NOT(Paths!$C$257=1),0,IF(Paths!$P$257="Complete",F2766/12*(Paths!$L$257*(1+IF(Paths!$D$257="EV",'Operating costs'!$B$52,'Operating costs'!$B$51))^MAX(0,C2766-1)+Paths!$M$257*(1+'Operating costs'!$B$53)^MAX(0,C2766-1)),"n.a."))</f>
        <v>0</v>
      </c>
      <c r="I2766" s="16">
        <f>IF(NOT(Paths!$C$257=1),0,IF(Paths!$P$257="Complete",IF(IF(Paths!$E$257=0,C2766=0,AND(C2766&gt;0,Paths!$E$257&gt;(C2766-1)*12,Paths!$E$257&lt;=C2766*12)),Paths!$G$257,0),"n.a."))</f>
        <v>0</v>
      </c>
      <c r="J2766" s="16">
        <f>IF(NOT(Paths!$C$257=1),0,IF(Paths!$P$257="Complete",IF(IF(Paths!$E$257=0,C2766=0,AND(C2766&gt;0,Paths!$E$257&gt;(C2766-1)*12,Paths!$E$257&lt;=C2766*12)),Paths!$H$257,0),"n.a."))</f>
        <v>0</v>
      </c>
      <c r="K2766" s="16">
        <f>IF(NOT(Paths!$C$257=1),0,IF(Paths!$P$257="Complete",IF(IF(Paths!$O$257=0,C2766=0,AND(C2766&gt;0,Paths!$O$257&gt;(C2766-1)*12,Paths!$O$257&lt;=C2766*12)),Paths!$N$257,0),"n.a."))</f>
        <v>0</v>
      </c>
      <c r="L2766" s="16">
        <f>IF(NOT(Paths!$C$257=1),0,IF(Paths!$P$257="Complete",IF(C2766=10,Paths!$I$257,0),"n.a."))</f>
        <v>0</v>
      </c>
      <c r="M2766" s="16">
        <f>IF(NOT(Paths!$C$257=1),0,IF(Paths!$P$257="Complete",IF(AND(Paths!$D$257="EV",Paths!$E$257&lt;120,Paths!$E$257+'Operating costs'!$B$65&gt;Paths!$E$257,Paths!$E$257+'Operating costs'!$B$65&lt;=120,IF(Paths!$E$257+'Operating costs'!$B$65=0,C2766=0,AND(C2766&gt;0,Paths!$E$257+'Operating costs'!$B$65&gt;(C2766-1)*12,Paths!$E$257+'Operating costs'!$B$65&lt;=C2766*12))),'Operating costs'!$B$64,0)+IF(AND('Operating costs'!$B$67&gt;0,'Operating costs'!$B$67&lt;=120,OR(Paths!$D$257="ICE",'Operating costs'!$B$67&lt;=Paths!$E$257),IF('Operating costs'!$B$67=0,C2766=0,AND(C2766&gt;0,'Operating costs'!$B$67&gt;(C2766-1)*12,'Operating costs'!$B$67&lt;=C2766*12))),'Operating costs'!$B$66,0),"n.a."))</f>
        <v>0</v>
      </c>
      <c r="N2766" s="16">
        <f>IF(NOT(Paths!$C$257=1),0,IF(Paths!$P$257="Complete",SUM(G2766:I2766)-J2766-K2766-L2766+M2766+IF(C2766=0,Paths!$F$257,0)+IF(IF(Paths!$E$257=0,C2766=0,AND(C2766&gt;0,Paths!$E$257&gt;(C2766-1)*12,Paths!$E$257&lt;=C2766*12)),VLOOKUP(A2766,'Fleet register'!$A$7:$S$106,16,FALSE),0),"n.a."))</f>
        <v>0</v>
      </c>
      <c r="O2766" s="16">
        <f>IF(NOT(Paths!$C$257=1),0,IF(Paths!$P$257="Complete",N2766-IF(C2766=0,Paths!$F$257,0),"n.a."))</f>
        <v>0</v>
      </c>
      <c r="P2766" s="16">
        <f>IF(NOT(Paths!$C$257=1),0,IF(Paths!$P$257="Complete",O2766+L2766,"n.a."))</f>
        <v>0</v>
      </c>
      <c r="Q2766" s="16">
        <f>IF(NOT(Paths!$C$257=1),0,IF(Paths!$P$257="Complete",N2766*(1+'Operating costs'!$B$54)^-C2766,"n.a."))</f>
        <v>0</v>
      </c>
      <c r="R2766" s="16">
        <f>IF(NOT(Paths!$C$257=1),0,IF(Paths!$P$257="Complete",IF(AND(C2766=0,Paths!$E$257=0),I2766-J2766-K2766+VLOOKUP(A2766,'Fleet register'!$A$7:$S$106,15,FALSE)+VLOOKUP(A2766,'Fleet register'!$A$7:$S$106,16,FALSE),0),"n.a."))</f>
        <v>0</v>
      </c>
      <c r="S2766" s="1">
        <f>IF(NOT(Paths!$C$257=1),0,IF(Paths!$P$257="Complete",IF(C2766=0,0,Paths!$S$257*Paths!$R$257),"n.a."))</f>
        <v>0</v>
      </c>
      <c r="T2766" s="1">
        <f>IF(NOT(Paths!$C$257=1),0,IF(Paths!$P$257="Complete",IF(C2766=0,0,VLOOKUP(A2766,'Fleet register'!$A$7:$S$106,9,FALSE)*Paths!$R$257),"n.a."))</f>
        <v>0</v>
      </c>
    </row>
    <row r="2767" spans="1:20" ht="24" customHeight="1">
      <c r="A2767" s="1" t="str">
        <f>Paths!$A$257</f>
        <v>T063</v>
      </c>
      <c r="B2767" s="1">
        <f>Paths!$B$257</f>
        <v>2</v>
      </c>
      <c r="C2767" s="1">
        <v>10</v>
      </c>
      <c r="D2767" s="1">
        <v>257</v>
      </c>
      <c r="E2767" s="1">
        <f>IF(OR(Paths!$C$257=0,C2767=0),0,MAX(0,MIN(C2767*12,Paths!$E$257)-(C2767-1)*12))</f>
        <v>0</v>
      </c>
      <c r="F2767" s="1">
        <f>IF(OR(Paths!$C$257=0,C2767=0),0,12-E2767)</f>
        <v>0</v>
      </c>
      <c r="G2767" s="16">
        <f>IF(NOT(Paths!$C$257=1),0,IF(Paths!$P$257="Complete",E2767/12*(Paths!$J$257*(1+'Operating costs'!$B$51)^MAX(0,C2767-1)+Paths!$K$257*(1+'Operating costs'!$B$53)^MAX(0,C2767-1)),"n.a."))</f>
        <v>0</v>
      </c>
      <c r="H2767" s="16">
        <f>IF(NOT(Paths!$C$257=1),0,IF(Paths!$P$257="Complete",F2767/12*(Paths!$L$257*(1+IF(Paths!$D$257="EV",'Operating costs'!$B$52,'Operating costs'!$B$51))^MAX(0,C2767-1)+Paths!$M$257*(1+'Operating costs'!$B$53)^MAX(0,C2767-1)),"n.a."))</f>
        <v>0</v>
      </c>
      <c r="I2767" s="16">
        <f>IF(NOT(Paths!$C$257=1),0,IF(Paths!$P$257="Complete",IF(IF(Paths!$E$257=0,C2767=0,AND(C2767&gt;0,Paths!$E$257&gt;(C2767-1)*12,Paths!$E$257&lt;=C2767*12)),Paths!$G$257,0),"n.a."))</f>
        <v>0</v>
      </c>
      <c r="J2767" s="16">
        <f>IF(NOT(Paths!$C$257=1),0,IF(Paths!$P$257="Complete",IF(IF(Paths!$E$257=0,C2767=0,AND(C2767&gt;0,Paths!$E$257&gt;(C2767-1)*12,Paths!$E$257&lt;=C2767*12)),Paths!$H$257,0),"n.a."))</f>
        <v>0</v>
      </c>
      <c r="K2767" s="16">
        <f>IF(NOT(Paths!$C$257=1),0,IF(Paths!$P$257="Complete",IF(IF(Paths!$O$257=0,C2767=0,AND(C2767&gt;0,Paths!$O$257&gt;(C2767-1)*12,Paths!$O$257&lt;=C2767*12)),Paths!$N$257,0),"n.a."))</f>
        <v>0</v>
      </c>
      <c r="L2767" s="16">
        <f>IF(NOT(Paths!$C$257=1),0,IF(Paths!$P$257="Complete",IF(C2767=10,Paths!$I$257,0),"n.a."))</f>
        <v>0</v>
      </c>
      <c r="M2767" s="16">
        <f>IF(NOT(Paths!$C$257=1),0,IF(Paths!$P$257="Complete",IF(AND(Paths!$D$257="EV",Paths!$E$257&lt;120,Paths!$E$257+'Operating costs'!$B$65&gt;Paths!$E$257,Paths!$E$257+'Operating costs'!$B$65&lt;=120,IF(Paths!$E$257+'Operating costs'!$B$65=0,C2767=0,AND(C2767&gt;0,Paths!$E$257+'Operating costs'!$B$65&gt;(C2767-1)*12,Paths!$E$257+'Operating costs'!$B$65&lt;=C2767*12))),'Operating costs'!$B$64,0)+IF(AND('Operating costs'!$B$67&gt;0,'Operating costs'!$B$67&lt;=120,OR(Paths!$D$257="ICE",'Operating costs'!$B$67&lt;=Paths!$E$257),IF('Operating costs'!$B$67=0,C2767=0,AND(C2767&gt;0,'Operating costs'!$B$67&gt;(C2767-1)*12,'Operating costs'!$B$67&lt;=C2767*12))),'Operating costs'!$B$66,0),"n.a."))</f>
        <v>0</v>
      </c>
      <c r="N2767" s="16">
        <f>IF(NOT(Paths!$C$257=1),0,IF(Paths!$P$257="Complete",SUM(G2767:I2767)-J2767-K2767-L2767+M2767+IF(C2767=0,Paths!$F$257,0)+IF(IF(Paths!$E$257=0,C2767=0,AND(C2767&gt;0,Paths!$E$257&gt;(C2767-1)*12,Paths!$E$257&lt;=C2767*12)),VLOOKUP(A2767,'Fleet register'!$A$7:$S$106,16,FALSE),0),"n.a."))</f>
        <v>0</v>
      </c>
      <c r="O2767" s="16">
        <f>IF(NOT(Paths!$C$257=1),0,IF(Paths!$P$257="Complete",N2767-IF(C2767=0,Paths!$F$257,0),"n.a."))</f>
        <v>0</v>
      </c>
      <c r="P2767" s="16">
        <f>IF(NOT(Paths!$C$257=1),0,IF(Paths!$P$257="Complete",O2767+L2767,"n.a."))</f>
        <v>0</v>
      </c>
      <c r="Q2767" s="16">
        <f>IF(NOT(Paths!$C$257=1),0,IF(Paths!$P$257="Complete",N2767*(1+'Operating costs'!$B$54)^-C2767,"n.a."))</f>
        <v>0</v>
      </c>
      <c r="R2767" s="16">
        <f>IF(NOT(Paths!$C$257=1),0,IF(Paths!$P$257="Complete",IF(AND(C2767=0,Paths!$E$257=0),I2767-J2767-K2767+VLOOKUP(A2767,'Fleet register'!$A$7:$S$106,15,FALSE)+VLOOKUP(A2767,'Fleet register'!$A$7:$S$106,16,FALSE),0),"n.a."))</f>
        <v>0</v>
      </c>
      <c r="S2767" s="1">
        <f>IF(NOT(Paths!$C$257=1),0,IF(Paths!$P$257="Complete",IF(C2767=0,0,Paths!$S$257*Paths!$R$257),"n.a."))</f>
        <v>0</v>
      </c>
      <c r="T2767" s="1">
        <f>IF(NOT(Paths!$C$257=1),0,IF(Paths!$P$257="Complete",IF(C2767=0,0,VLOOKUP(A2767,'Fleet register'!$A$7:$S$106,9,FALSE)*Paths!$R$257),"n.a."))</f>
        <v>0</v>
      </c>
    </row>
    <row r="2768" spans="1:20" ht="24" customHeight="1">
      <c r="A2768" s="1" t="str">
        <f>Paths!$A$258</f>
        <v>T063</v>
      </c>
      <c r="B2768" s="1">
        <f>Paths!$B$258</f>
        <v>3</v>
      </c>
      <c r="C2768" s="1">
        <v>0</v>
      </c>
      <c r="D2768" s="1">
        <v>258</v>
      </c>
      <c r="E2768" s="1">
        <f>IF(OR(Paths!$C$258=0,C2768=0),0,MAX(0,MIN(C2768*12,Paths!$E$258)-(C2768-1)*12))</f>
        <v>0</v>
      </c>
      <c r="F2768" s="1">
        <f>IF(OR(Paths!$C$258=0,C2768=0),0,12-E2768)</f>
        <v>0</v>
      </c>
      <c r="G2768" s="16">
        <f>IF(NOT(Paths!$C$258=1),0,IF(Paths!$P$258="Complete",E2768/12*(Paths!$J$258*(1+'Operating costs'!$B$51)^MAX(0,C2768-1)+Paths!$K$258*(1+'Operating costs'!$B$53)^MAX(0,C2768-1)),"n.a."))</f>
        <v>0</v>
      </c>
      <c r="H2768" s="16">
        <f>IF(NOT(Paths!$C$258=1),0,IF(Paths!$P$258="Complete",F2768/12*(Paths!$L$258*(1+IF(Paths!$D$258="EV",'Operating costs'!$B$52,'Operating costs'!$B$51))^MAX(0,C2768-1)+Paths!$M$258*(1+'Operating costs'!$B$53)^MAX(0,C2768-1)),"n.a."))</f>
        <v>0</v>
      </c>
      <c r="I2768" s="16">
        <f>IF(NOT(Paths!$C$258=1),0,IF(Paths!$P$258="Complete",IF(IF(Paths!$E$258=0,C2768=0,AND(C2768&gt;0,Paths!$E$258&gt;(C2768-1)*12,Paths!$E$258&lt;=C2768*12)),Paths!$G$258,0),"n.a."))</f>
        <v>0</v>
      </c>
      <c r="J2768" s="16">
        <f>IF(NOT(Paths!$C$258=1),0,IF(Paths!$P$258="Complete",IF(IF(Paths!$E$258=0,C2768=0,AND(C2768&gt;0,Paths!$E$258&gt;(C2768-1)*12,Paths!$E$258&lt;=C2768*12)),Paths!$H$258,0),"n.a."))</f>
        <v>0</v>
      </c>
      <c r="K2768" s="16">
        <f>IF(NOT(Paths!$C$258=1),0,IF(Paths!$P$258="Complete",IF(IF(Paths!$O$258=0,C2768=0,AND(C2768&gt;0,Paths!$O$258&gt;(C2768-1)*12,Paths!$O$258&lt;=C2768*12)),Paths!$N$258,0),"n.a."))</f>
        <v>0</v>
      </c>
      <c r="L2768" s="16">
        <f>IF(NOT(Paths!$C$258=1),0,IF(Paths!$P$258="Complete",IF(C2768=10,Paths!$I$258,0),"n.a."))</f>
        <v>0</v>
      </c>
      <c r="M2768" s="16">
        <f>IF(NOT(Paths!$C$258=1),0,IF(Paths!$P$258="Complete",IF(AND(Paths!$D$258="EV",Paths!$E$258&lt;120,Paths!$E$258+'Operating costs'!$B$65&gt;Paths!$E$258,Paths!$E$258+'Operating costs'!$B$65&lt;=120,IF(Paths!$E$258+'Operating costs'!$B$65=0,C2768=0,AND(C2768&gt;0,Paths!$E$258+'Operating costs'!$B$65&gt;(C2768-1)*12,Paths!$E$258+'Operating costs'!$B$65&lt;=C2768*12))),'Operating costs'!$B$64,0)+IF(AND('Operating costs'!$B$67&gt;0,'Operating costs'!$B$67&lt;=120,OR(Paths!$D$258="ICE",'Operating costs'!$B$67&lt;=Paths!$E$258),IF('Operating costs'!$B$67=0,C2768=0,AND(C2768&gt;0,'Operating costs'!$B$67&gt;(C2768-1)*12,'Operating costs'!$B$67&lt;=C2768*12))),'Operating costs'!$B$66,0),"n.a."))</f>
        <v>0</v>
      </c>
      <c r="N2768" s="16">
        <f>IF(NOT(Paths!$C$258=1),0,IF(Paths!$P$258="Complete",SUM(G2768:I2768)-J2768-K2768-L2768+M2768+IF(C2768=0,Paths!$F$258,0)+IF(IF(Paths!$E$258=0,C2768=0,AND(C2768&gt;0,Paths!$E$258&gt;(C2768-1)*12,Paths!$E$258&lt;=C2768*12)),VLOOKUP(A2768,'Fleet register'!$A$7:$S$106,16,FALSE),0),"n.a."))</f>
        <v>0</v>
      </c>
      <c r="O2768" s="16">
        <f>IF(NOT(Paths!$C$258=1),0,IF(Paths!$P$258="Complete",N2768-IF(C2768=0,Paths!$F$258,0),"n.a."))</f>
        <v>0</v>
      </c>
      <c r="P2768" s="16">
        <f>IF(NOT(Paths!$C$258=1),0,IF(Paths!$P$258="Complete",O2768+L2768,"n.a."))</f>
        <v>0</v>
      </c>
      <c r="Q2768" s="16">
        <f>IF(NOT(Paths!$C$258=1),0,IF(Paths!$P$258="Complete",N2768*(1+'Operating costs'!$B$54)^-C2768,"n.a."))</f>
        <v>0</v>
      </c>
      <c r="R2768" s="16">
        <f>IF(NOT(Paths!$C$258=1),0,IF(Paths!$P$258="Complete",IF(AND(C2768=0,Paths!$E$258=0),I2768-J2768-K2768+VLOOKUP(A2768,'Fleet register'!$A$7:$S$106,15,FALSE)+VLOOKUP(A2768,'Fleet register'!$A$7:$S$106,16,FALSE),0),"n.a."))</f>
        <v>0</v>
      </c>
      <c r="S2768" s="1">
        <f>IF(NOT(Paths!$C$258=1),0,IF(Paths!$P$258="Complete",IF(C2768=0,0,Paths!$S$258*Paths!$R$258),"n.a."))</f>
        <v>0</v>
      </c>
      <c r="T2768" s="1">
        <f>IF(NOT(Paths!$C$258=1),0,IF(Paths!$P$258="Complete",IF(C2768=0,0,VLOOKUP(A2768,'Fleet register'!$A$7:$S$106,9,FALSE)*Paths!$R$258),"n.a."))</f>
        <v>0</v>
      </c>
    </row>
    <row r="2769" spans="1:20" ht="24" customHeight="1">
      <c r="A2769" s="1" t="str">
        <f>Paths!$A$258</f>
        <v>T063</v>
      </c>
      <c r="B2769" s="1">
        <f>Paths!$B$258</f>
        <v>3</v>
      </c>
      <c r="C2769" s="1">
        <v>1</v>
      </c>
      <c r="D2769" s="1">
        <v>258</v>
      </c>
      <c r="E2769" s="1">
        <f>IF(OR(Paths!$C$258=0,C2769=0),0,MAX(0,MIN(C2769*12,Paths!$E$258)-(C2769-1)*12))</f>
        <v>0</v>
      </c>
      <c r="F2769" s="1">
        <f>IF(OR(Paths!$C$258=0,C2769=0),0,12-E2769)</f>
        <v>0</v>
      </c>
      <c r="G2769" s="16">
        <f>IF(NOT(Paths!$C$258=1),0,IF(Paths!$P$258="Complete",E2769/12*(Paths!$J$258*(1+'Operating costs'!$B$51)^MAX(0,C2769-1)+Paths!$K$258*(1+'Operating costs'!$B$53)^MAX(0,C2769-1)),"n.a."))</f>
        <v>0</v>
      </c>
      <c r="H2769" s="16">
        <f>IF(NOT(Paths!$C$258=1),0,IF(Paths!$P$258="Complete",F2769/12*(Paths!$L$258*(1+IF(Paths!$D$258="EV",'Operating costs'!$B$52,'Operating costs'!$B$51))^MAX(0,C2769-1)+Paths!$M$258*(1+'Operating costs'!$B$53)^MAX(0,C2769-1)),"n.a."))</f>
        <v>0</v>
      </c>
      <c r="I2769" s="16">
        <f>IF(NOT(Paths!$C$258=1),0,IF(Paths!$P$258="Complete",IF(IF(Paths!$E$258=0,C2769=0,AND(C2769&gt;0,Paths!$E$258&gt;(C2769-1)*12,Paths!$E$258&lt;=C2769*12)),Paths!$G$258,0),"n.a."))</f>
        <v>0</v>
      </c>
      <c r="J2769" s="16">
        <f>IF(NOT(Paths!$C$258=1),0,IF(Paths!$P$258="Complete",IF(IF(Paths!$E$258=0,C2769=0,AND(C2769&gt;0,Paths!$E$258&gt;(C2769-1)*12,Paths!$E$258&lt;=C2769*12)),Paths!$H$258,0),"n.a."))</f>
        <v>0</v>
      </c>
      <c r="K2769" s="16">
        <f>IF(NOT(Paths!$C$258=1),0,IF(Paths!$P$258="Complete",IF(IF(Paths!$O$258=0,C2769=0,AND(C2769&gt;0,Paths!$O$258&gt;(C2769-1)*12,Paths!$O$258&lt;=C2769*12)),Paths!$N$258,0),"n.a."))</f>
        <v>0</v>
      </c>
      <c r="L2769" s="16">
        <f>IF(NOT(Paths!$C$258=1),0,IF(Paths!$P$258="Complete",IF(C2769=10,Paths!$I$258,0),"n.a."))</f>
        <v>0</v>
      </c>
      <c r="M2769" s="16">
        <f>IF(NOT(Paths!$C$258=1),0,IF(Paths!$P$258="Complete",IF(AND(Paths!$D$258="EV",Paths!$E$258&lt;120,Paths!$E$258+'Operating costs'!$B$65&gt;Paths!$E$258,Paths!$E$258+'Operating costs'!$B$65&lt;=120,IF(Paths!$E$258+'Operating costs'!$B$65=0,C2769=0,AND(C2769&gt;0,Paths!$E$258+'Operating costs'!$B$65&gt;(C2769-1)*12,Paths!$E$258+'Operating costs'!$B$65&lt;=C2769*12))),'Operating costs'!$B$64,0)+IF(AND('Operating costs'!$B$67&gt;0,'Operating costs'!$B$67&lt;=120,OR(Paths!$D$258="ICE",'Operating costs'!$B$67&lt;=Paths!$E$258),IF('Operating costs'!$B$67=0,C2769=0,AND(C2769&gt;0,'Operating costs'!$B$67&gt;(C2769-1)*12,'Operating costs'!$B$67&lt;=C2769*12))),'Operating costs'!$B$66,0),"n.a."))</f>
        <v>0</v>
      </c>
      <c r="N2769" s="16">
        <f>IF(NOT(Paths!$C$258=1),0,IF(Paths!$P$258="Complete",SUM(G2769:I2769)-J2769-K2769-L2769+M2769+IF(C2769=0,Paths!$F$258,0)+IF(IF(Paths!$E$258=0,C2769=0,AND(C2769&gt;0,Paths!$E$258&gt;(C2769-1)*12,Paths!$E$258&lt;=C2769*12)),VLOOKUP(A2769,'Fleet register'!$A$7:$S$106,16,FALSE),0),"n.a."))</f>
        <v>0</v>
      </c>
      <c r="O2769" s="16">
        <f>IF(NOT(Paths!$C$258=1),0,IF(Paths!$P$258="Complete",N2769-IF(C2769=0,Paths!$F$258,0),"n.a."))</f>
        <v>0</v>
      </c>
      <c r="P2769" s="16">
        <f>IF(NOT(Paths!$C$258=1),0,IF(Paths!$P$258="Complete",O2769+L2769,"n.a."))</f>
        <v>0</v>
      </c>
      <c r="Q2769" s="16">
        <f>IF(NOT(Paths!$C$258=1),0,IF(Paths!$P$258="Complete",N2769*(1+'Operating costs'!$B$54)^-C2769,"n.a."))</f>
        <v>0</v>
      </c>
      <c r="R2769" s="16">
        <f>IF(NOT(Paths!$C$258=1),0,IF(Paths!$P$258="Complete",IF(AND(C2769=0,Paths!$E$258=0),I2769-J2769-K2769+VLOOKUP(A2769,'Fleet register'!$A$7:$S$106,15,FALSE)+VLOOKUP(A2769,'Fleet register'!$A$7:$S$106,16,FALSE),0),"n.a."))</f>
        <v>0</v>
      </c>
      <c r="S2769" s="1">
        <f>IF(NOT(Paths!$C$258=1),0,IF(Paths!$P$258="Complete",IF(C2769=0,0,Paths!$S$258*Paths!$R$258),"n.a."))</f>
        <v>0</v>
      </c>
      <c r="T2769" s="1">
        <f>IF(NOT(Paths!$C$258=1),0,IF(Paths!$P$258="Complete",IF(C2769=0,0,VLOOKUP(A2769,'Fleet register'!$A$7:$S$106,9,FALSE)*Paths!$R$258),"n.a."))</f>
        <v>0</v>
      </c>
    </row>
    <row r="2770" spans="1:20" ht="24" customHeight="1">
      <c r="A2770" s="1" t="str">
        <f>Paths!$A$258</f>
        <v>T063</v>
      </c>
      <c r="B2770" s="1">
        <f>Paths!$B$258</f>
        <v>3</v>
      </c>
      <c r="C2770" s="1">
        <v>2</v>
      </c>
      <c r="D2770" s="1">
        <v>258</v>
      </c>
      <c r="E2770" s="1">
        <f>IF(OR(Paths!$C$258=0,C2770=0),0,MAX(0,MIN(C2770*12,Paths!$E$258)-(C2770-1)*12))</f>
        <v>0</v>
      </c>
      <c r="F2770" s="1">
        <f>IF(OR(Paths!$C$258=0,C2770=0),0,12-E2770)</f>
        <v>0</v>
      </c>
      <c r="G2770" s="16">
        <f>IF(NOT(Paths!$C$258=1),0,IF(Paths!$P$258="Complete",E2770/12*(Paths!$J$258*(1+'Operating costs'!$B$51)^MAX(0,C2770-1)+Paths!$K$258*(1+'Operating costs'!$B$53)^MAX(0,C2770-1)),"n.a."))</f>
        <v>0</v>
      </c>
      <c r="H2770" s="16">
        <f>IF(NOT(Paths!$C$258=1),0,IF(Paths!$P$258="Complete",F2770/12*(Paths!$L$258*(1+IF(Paths!$D$258="EV",'Operating costs'!$B$52,'Operating costs'!$B$51))^MAX(0,C2770-1)+Paths!$M$258*(1+'Operating costs'!$B$53)^MAX(0,C2770-1)),"n.a."))</f>
        <v>0</v>
      </c>
      <c r="I2770" s="16">
        <f>IF(NOT(Paths!$C$258=1),0,IF(Paths!$P$258="Complete",IF(IF(Paths!$E$258=0,C2770=0,AND(C2770&gt;0,Paths!$E$258&gt;(C2770-1)*12,Paths!$E$258&lt;=C2770*12)),Paths!$G$258,0),"n.a."))</f>
        <v>0</v>
      </c>
      <c r="J2770" s="16">
        <f>IF(NOT(Paths!$C$258=1),0,IF(Paths!$P$258="Complete",IF(IF(Paths!$E$258=0,C2770=0,AND(C2770&gt;0,Paths!$E$258&gt;(C2770-1)*12,Paths!$E$258&lt;=C2770*12)),Paths!$H$258,0),"n.a."))</f>
        <v>0</v>
      </c>
      <c r="K2770" s="16">
        <f>IF(NOT(Paths!$C$258=1),0,IF(Paths!$P$258="Complete",IF(IF(Paths!$O$258=0,C2770=0,AND(C2770&gt;0,Paths!$O$258&gt;(C2770-1)*12,Paths!$O$258&lt;=C2770*12)),Paths!$N$258,0),"n.a."))</f>
        <v>0</v>
      </c>
      <c r="L2770" s="16">
        <f>IF(NOT(Paths!$C$258=1),0,IF(Paths!$P$258="Complete",IF(C2770=10,Paths!$I$258,0),"n.a."))</f>
        <v>0</v>
      </c>
      <c r="M2770" s="16">
        <f>IF(NOT(Paths!$C$258=1),0,IF(Paths!$P$258="Complete",IF(AND(Paths!$D$258="EV",Paths!$E$258&lt;120,Paths!$E$258+'Operating costs'!$B$65&gt;Paths!$E$258,Paths!$E$258+'Operating costs'!$B$65&lt;=120,IF(Paths!$E$258+'Operating costs'!$B$65=0,C2770=0,AND(C2770&gt;0,Paths!$E$258+'Operating costs'!$B$65&gt;(C2770-1)*12,Paths!$E$258+'Operating costs'!$B$65&lt;=C2770*12))),'Operating costs'!$B$64,0)+IF(AND('Operating costs'!$B$67&gt;0,'Operating costs'!$B$67&lt;=120,OR(Paths!$D$258="ICE",'Operating costs'!$B$67&lt;=Paths!$E$258),IF('Operating costs'!$B$67=0,C2770=0,AND(C2770&gt;0,'Operating costs'!$B$67&gt;(C2770-1)*12,'Operating costs'!$B$67&lt;=C2770*12))),'Operating costs'!$B$66,0),"n.a."))</f>
        <v>0</v>
      </c>
      <c r="N2770" s="16">
        <f>IF(NOT(Paths!$C$258=1),0,IF(Paths!$P$258="Complete",SUM(G2770:I2770)-J2770-K2770-L2770+M2770+IF(C2770=0,Paths!$F$258,0)+IF(IF(Paths!$E$258=0,C2770=0,AND(C2770&gt;0,Paths!$E$258&gt;(C2770-1)*12,Paths!$E$258&lt;=C2770*12)),VLOOKUP(A2770,'Fleet register'!$A$7:$S$106,16,FALSE),0),"n.a."))</f>
        <v>0</v>
      </c>
      <c r="O2770" s="16">
        <f>IF(NOT(Paths!$C$258=1),0,IF(Paths!$P$258="Complete",N2770-IF(C2770=0,Paths!$F$258,0),"n.a."))</f>
        <v>0</v>
      </c>
      <c r="P2770" s="16">
        <f>IF(NOT(Paths!$C$258=1),0,IF(Paths!$P$258="Complete",O2770+L2770,"n.a."))</f>
        <v>0</v>
      </c>
      <c r="Q2770" s="16">
        <f>IF(NOT(Paths!$C$258=1),0,IF(Paths!$P$258="Complete",N2770*(1+'Operating costs'!$B$54)^-C2770,"n.a."))</f>
        <v>0</v>
      </c>
      <c r="R2770" s="16">
        <f>IF(NOT(Paths!$C$258=1),0,IF(Paths!$P$258="Complete",IF(AND(C2770=0,Paths!$E$258=0),I2770-J2770-K2770+VLOOKUP(A2770,'Fleet register'!$A$7:$S$106,15,FALSE)+VLOOKUP(A2770,'Fleet register'!$A$7:$S$106,16,FALSE),0),"n.a."))</f>
        <v>0</v>
      </c>
      <c r="S2770" s="1">
        <f>IF(NOT(Paths!$C$258=1),0,IF(Paths!$P$258="Complete",IF(C2770=0,0,Paths!$S$258*Paths!$R$258),"n.a."))</f>
        <v>0</v>
      </c>
      <c r="T2770" s="1">
        <f>IF(NOT(Paths!$C$258=1),0,IF(Paths!$P$258="Complete",IF(C2770=0,0,VLOOKUP(A2770,'Fleet register'!$A$7:$S$106,9,FALSE)*Paths!$R$258),"n.a."))</f>
        <v>0</v>
      </c>
    </row>
    <row r="2771" spans="1:20" ht="24" customHeight="1">
      <c r="A2771" s="1" t="str">
        <f>Paths!$A$258</f>
        <v>T063</v>
      </c>
      <c r="B2771" s="1">
        <f>Paths!$B$258</f>
        <v>3</v>
      </c>
      <c r="C2771" s="1">
        <v>3</v>
      </c>
      <c r="D2771" s="1">
        <v>258</v>
      </c>
      <c r="E2771" s="1">
        <f>IF(OR(Paths!$C$258=0,C2771=0),0,MAX(0,MIN(C2771*12,Paths!$E$258)-(C2771-1)*12))</f>
        <v>0</v>
      </c>
      <c r="F2771" s="1">
        <f>IF(OR(Paths!$C$258=0,C2771=0),0,12-E2771)</f>
        <v>0</v>
      </c>
      <c r="G2771" s="16">
        <f>IF(NOT(Paths!$C$258=1),0,IF(Paths!$P$258="Complete",E2771/12*(Paths!$J$258*(1+'Operating costs'!$B$51)^MAX(0,C2771-1)+Paths!$K$258*(1+'Operating costs'!$B$53)^MAX(0,C2771-1)),"n.a."))</f>
        <v>0</v>
      </c>
      <c r="H2771" s="16">
        <f>IF(NOT(Paths!$C$258=1),0,IF(Paths!$P$258="Complete",F2771/12*(Paths!$L$258*(1+IF(Paths!$D$258="EV",'Operating costs'!$B$52,'Operating costs'!$B$51))^MAX(0,C2771-1)+Paths!$M$258*(1+'Operating costs'!$B$53)^MAX(0,C2771-1)),"n.a."))</f>
        <v>0</v>
      </c>
      <c r="I2771" s="16">
        <f>IF(NOT(Paths!$C$258=1),0,IF(Paths!$P$258="Complete",IF(IF(Paths!$E$258=0,C2771=0,AND(C2771&gt;0,Paths!$E$258&gt;(C2771-1)*12,Paths!$E$258&lt;=C2771*12)),Paths!$G$258,0),"n.a."))</f>
        <v>0</v>
      </c>
      <c r="J2771" s="16">
        <f>IF(NOT(Paths!$C$258=1),0,IF(Paths!$P$258="Complete",IF(IF(Paths!$E$258=0,C2771=0,AND(C2771&gt;0,Paths!$E$258&gt;(C2771-1)*12,Paths!$E$258&lt;=C2771*12)),Paths!$H$258,0),"n.a."))</f>
        <v>0</v>
      </c>
      <c r="K2771" s="16">
        <f>IF(NOT(Paths!$C$258=1),0,IF(Paths!$P$258="Complete",IF(IF(Paths!$O$258=0,C2771=0,AND(C2771&gt;0,Paths!$O$258&gt;(C2771-1)*12,Paths!$O$258&lt;=C2771*12)),Paths!$N$258,0),"n.a."))</f>
        <v>0</v>
      </c>
      <c r="L2771" s="16">
        <f>IF(NOT(Paths!$C$258=1),0,IF(Paths!$P$258="Complete",IF(C2771=10,Paths!$I$258,0),"n.a."))</f>
        <v>0</v>
      </c>
      <c r="M2771" s="16">
        <f>IF(NOT(Paths!$C$258=1),0,IF(Paths!$P$258="Complete",IF(AND(Paths!$D$258="EV",Paths!$E$258&lt;120,Paths!$E$258+'Operating costs'!$B$65&gt;Paths!$E$258,Paths!$E$258+'Operating costs'!$B$65&lt;=120,IF(Paths!$E$258+'Operating costs'!$B$65=0,C2771=0,AND(C2771&gt;0,Paths!$E$258+'Operating costs'!$B$65&gt;(C2771-1)*12,Paths!$E$258+'Operating costs'!$B$65&lt;=C2771*12))),'Operating costs'!$B$64,0)+IF(AND('Operating costs'!$B$67&gt;0,'Operating costs'!$B$67&lt;=120,OR(Paths!$D$258="ICE",'Operating costs'!$B$67&lt;=Paths!$E$258),IF('Operating costs'!$B$67=0,C2771=0,AND(C2771&gt;0,'Operating costs'!$B$67&gt;(C2771-1)*12,'Operating costs'!$B$67&lt;=C2771*12))),'Operating costs'!$B$66,0),"n.a."))</f>
        <v>0</v>
      </c>
      <c r="N2771" s="16">
        <f>IF(NOT(Paths!$C$258=1),0,IF(Paths!$P$258="Complete",SUM(G2771:I2771)-J2771-K2771-L2771+M2771+IF(C2771=0,Paths!$F$258,0)+IF(IF(Paths!$E$258=0,C2771=0,AND(C2771&gt;0,Paths!$E$258&gt;(C2771-1)*12,Paths!$E$258&lt;=C2771*12)),VLOOKUP(A2771,'Fleet register'!$A$7:$S$106,16,FALSE),0),"n.a."))</f>
        <v>0</v>
      </c>
      <c r="O2771" s="16">
        <f>IF(NOT(Paths!$C$258=1),0,IF(Paths!$P$258="Complete",N2771-IF(C2771=0,Paths!$F$258,0),"n.a."))</f>
        <v>0</v>
      </c>
      <c r="P2771" s="16">
        <f>IF(NOT(Paths!$C$258=1),0,IF(Paths!$P$258="Complete",O2771+L2771,"n.a."))</f>
        <v>0</v>
      </c>
      <c r="Q2771" s="16">
        <f>IF(NOT(Paths!$C$258=1),0,IF(Paths!$P$258="Complete",N2771*(1+'Operating costs'!$B$54)^-C2771,"n.a."))</f>
        <v>0</v>
      </c>
      <c r="R2771" s="16">
        <f>IF(NOT(Paths!$C$258=1),0,IF(Paths!$P$258="Complete",IF(AND(C2771=0,Paths!$E$258=0),I2771-J2771-K2771+VLOOKUP(A2771,'Fleet register'!$A$7:$S$106,15,FALSE)+VLOOKUP(A2771,'Fleet register'!$A$7:$S$106,16,FALSE),0),"n.a."))</f>
        <v>0</v>
      </c>
      <c r="S2771" s="1">
        <f>IF(NOT(Paths!$C$258=1),0,IF(Paths!$P$258="Complete",IF(C2771=0,0,Paths!$S$258*Paths!$R$258),"n.a."))</f>
        <v>0</v>
      </c>
      <c r="T2771" s="1">
        <f>IF(NOT(Paths!$C$258=1),0,IF(Paths!$P$258="Complete",IF(C2771=0,0,VLOOKUP(A2771,'Fleet register'!$A$7:$S$106,9,FALSE)*Paths!$R$258),"n.a."))</f>
        <v>0</v>
      </c>
    </row>
    <row r="2772" spans="1:20" ht="24" customHeight="1">
      <c r="A2772" s="1" t="str">
        <f>Paths!$A$258</f>
        <v>T063</v>
      </c>
      <c r="B2772" s="1">
        <f>Paths!$B$258</f>
        <v>3</v>
      </c>
      <c r="C2772" s="1">
        <v>4</v>
      </c>
      <c r="D2772" s="1">
        <v>258</v>
      </c>
      <c r="E2772" s="1">
        <f>IF(OR(Paths!$C$258=0,C2772=0),0,MAX(0,MIN(C2772*12,Paths!$E$258)-(C2772-1)*12))</f>
        <v>0</v>
      </c>
      <c r="F2772" s="1">
        <f>IF(OR(Paths!$C$258=0,C2772=0),0,12-E2772)</f>
        <v>0</v>
      </c>
      <c r="G2772" s="16">
        <f>IF(NOT(Paths!$C$258=1),0,IF(Paths!$P$258="Complete",E2772/12*(Paths!$J$258*(1+'Operating costs'!$B$51)^MAX(0,C2772-1)+Paths!$K$258*(1+'Operating costs'!$B$53)^MAX(0,C2772-1)),"n.a."))</f>
        <v>0</v>
      </c>
      <c r="H2772" s="16">
        <f>IF(NOT(Paths!$C$258=1),0,IF(Paths!$P$258="Complete",F2772/12*(Paths!$L$258*(1+IF(Paths!$D$258="EV",'Operating costs'!$B$52,'Operating costs'!$B$51))^MAX(0,C2772-1)+Paths!$M$258*(1+'Operating costs'!$B$53)^MAX(0,C2772-1)),"n.a."))</f>
        <v>0</v>
      </c>
      <c r="I2772" s="16">
        <f>IF(NOT(Paths!$C$258=1),0,IF(Paths!$P$258="Complete",IF(IF(Paths!$E$258=0,C2772=0,AND(C2772&gt;0,Paths!$E$258&gt;(C2772-1)*12,Paths!$E$258&lt;=C2772*12)),Paths!$G$258,0),"n.a."))</f>
        <v>0</v>
      </c>
      <c r="J2772" s="16">
        <f>IF(NOT(Paths!$C$258=1),0,IF(Paths!$P$258="Complete",IF(IF(Paths!$E$258=0,C2772=0,AND(C2772&gt;0,Paths!$E$258&gt;(C2772-1)*12,Paths!$E$258&lt;=C2772*12)),Paths!$H$258,0),"n.a."))</f>
        <v>0</v>
      </c>
      <c r="K2772" s="16">
        <f>IF(NOT(Paths!$C$258=1),0,IF(Paths!$P$258="Complete",IF(IF(Paths!$O$258=0,C2772=0,AND(C2772&gt;0,Paths!$O$258&gt;(C2772-1)*12,Paths!$O$258&lt;=C2772*12)),Paths!$N$258,0),"n.a."))</f>
        <v>0</v>
      </c>
      <c r="L2772" s="16">
        <f>IF(NOT(Paths!$C$258=1),0,IF(Paths!$P$258="Complete",IF(C2772=10,Paths!$I$258,0),"n.a."))</f>
        <v>0</v>
      </c>
      <c r="M2772" s="16">
        <f>IF(NOT(Paths!$C$258=1),0,IF(Paths!$P$258="Complete",IF(AND(Paths!$D$258="EV",Paths!$E$258&lt;120,Paths!$E$258+'Operating costs'!$B$65&gt;Paths!$E$258,Paths!$E$258+'Operating costs'!$B$65&lt;=120,IF(Paths!$E$258+'Operating costs'!$B$65=0,C2772=0,AND(C2772&gt;0,Paths!$E$258+'Operating costs'!$B$65&gt;(C2772-1)*12,Paths!$E$258+'Operating costs'!$B$65&lt;=C2772*12))),'Operating costs'!$B$64,0)+IF(AND('Operating costs'!$B$67&gt;0,'Operating costs'!$B$67&lt;=120,OR(Paths!$D$258="ICE",'Operating costs'!$B$67&lt;=Paths!$E$258),IF('Operating costs'!$B$67=0,C2772=0,AND(C2772&gt;0,'Operating costs'!$B$67&gt;(C2772-1)*12,'Operating costs'!$B$67&lt;=C2772*12))),'Operating costs'!$B$66,0),"n.a."))</f>
        <v>0</v>
      </c>
      <c r="N2772" s="16">
        <f>IF(NOT(Paths!$C$258=1),0,IF(Paths!$P$258="Complete",SUM(G2772:I2772)-J2772-K2772-L2772+M2772+IF(C2772=0,Paths!$F$258,0)+IF(IF(Paths!$E$258=0,C2772=0,AND(C2772&gt;0,Paths!$E$258&gt;(C2772-1)*12,Paths!$E$258&lt;=C2772*12)),VLOOKUP(A2772,'Fleet register'!$A$7:$S$106,16,FALSE),0),"n.a."))</f>
        <v>0</v>
      </c>
      <c r="O2772" s="16">
        <f>IF(NOT(Paths!$C$258=1),0,IF(Paths!$P$258="Complete",N2772-IF(C2772=0,Paths!$F$258,0),"n.a."))</f>
        <v>0</v>
      </c>
      <c r="P2772" s="16">
        <f>IF(NOT(Paths!$C$258=1),0,IF(Paths!$P$258="Complete",O2772+L2772,"n.a."))</f>
        <v>0</v>
      </c>
      <c r="Q2772" s="16">
        <f>IF(NOT(Paths!$C$258=1),0,IF(Paths!$P$258="Complete",N2772*(1+'Operating costs'!$B$54)^-C2772,"n.a."))</f>
        <v>0</v>
      </c>
      <c r="R2772" s="16">
        <f>IF(NOT(Paths!$C$258=1),0,IF(Paths!$P$258="Complete",IF(AND(C2772=0,Paths!$E$258=0),I2772-J2772-K2772+VLOOKUP(A2772,'Fleet register'!$A$7:$S$106,15,FALSE)+VLOOKUP(A2772,'Fleet register'!$A$7:$S$106,16,FALSE),0),"n.a."))</f>
        <v>0</v>
      </c>
      <c r="S2772" s="1">
        <f>IF(NOT(Paths!$C$258=1),0,IF(Paths!$P$258="Complete",IF(C2772=0,0,Paths!$S$258*Paths!$R$258),"n.a."))</f>
        <v>0</v>
      </c>
      <c r="T2772" s="1">
        <f>IF(NOT(Paths!$C$258=1),0,IF(Paths!$P$258="Complete",IF(C2772=0,0,VLOOKUP(A2772,'Fleet register'!$A$7:$S$106,9,FALSE)*Paths!$R$258),"n.a."))</f>
        <v>0</v>
      </c>
    </row>
    <row r="2773" spans="1:20" ht="24" customHeight="1">
      <c r="A2773" s="1" t="str">
        <f>Paths!$A$258</f>
        <v>T063</v>
      </c>
      <c r="B2773" s="1">
        <f>Paths!$B$258</f>
        <v>3</v>
      </c>
      <c r="C2773" s="1">
        <v>5</v>
      </c>
      <c r="D2773" s="1">
        <v>258</v>
      </c>
      <c r="E2773" s="1">
        <f>IF(OR(Paths!$C$258=0,C2773=0),0,MAX(0,MIN(C2773*12,Paths!$E$258)-(C2773-1)*12))</f>
        <v>0</v>
      </c>
      <c r="F2773" s="1">
        <f>IF(OR(Paths!$C$258=0,C2773=0),0,12-E2773)</f>
        <v>0</v>
      </c>
      <c r="G2773" s="16">
        <f>IF(NOT(Paths!$C$258=1),0,IF(Paths!$P$258="Complete",E2773/12*(Paths!$J$258*(1+'Operating costs'!$B$51)^MAX(0,C2773-1)+Paths!$K$258*(1+'Operating costs'!$B$53)^MAX(0,C2773-1)),"n.a."))</f>
        <v>0</v>
      </c>
      <c r="H2773" s="16">
        <f>IF(NOT(Paths!$C$258=1),0,IF(Paths!$P$258="Complete",F2773/12*(Paths!$L$258*(1+IF(Paths!$D$258="EV",'Operating costs'!$B$52,'Operating costs'!$B$51))^MAX(0,C2773-1)+Paths!$M$258*(1+'Operating costs'!$B$53)^MAX(0,C2773-1)),"n.a."))</f>
        <v>0</v>
      </c>
      <c r="I2773" s="16">
        <f>IF(NOT(Paths!$C$258=1),0,IF(Paths!$P$258="Complete",IF(IF(Paths!$E$258=0,C2773=0,AND(C2773&gt;0,Paths!$E$258&gt;(C2773-1)*12,Paths!$E$258&lt;=C2773*12)),Paths!$G$258,0),"n.a."))</f>
        <v>0</v>
      </c>
      <c r="J2773" s="16">
        <f>IF(NOT(Paths!$C$258=1),0,IF(Paths!$P$258="Complete",IF(IF(Paths!$E$258=0,C2773=0,AND(C2773&gt;0,Paths!$E$258&gt;(C2773-1)*12,Paths!$E$258&lt;=C2773*12)),Paths!$H$258,0),"n.a."))</f>
        <v>0</v>
      </c>
      <c r="K2773" s="16">
        <f>IF(NOT(Paths!$C$258=1),0,IF(Paths!$P$258="Complete",IF(IF(Paths!$O$258=0,C2773=0,AND(C2773&gt;0,Paths!$O$258&gt;(C2773-1)*12,Paths!$O$258&lt;=C2773*12)),Paths!$N$258,0),"n.a."))</f>
        <v>0</v>
      </c>
      <c r="L2773" s="16">
        <f>IF(NOT(Paths!$C$258=1),0,IF(Paths!$P$258="Complete",IF(C2773=10,Paths!$I$258,0),"n.a."))</f>
        <v>0</v>
      </c>
      <c r="M2773" s="16">
        <f>IF(NOT(Paths!$C$258=1),0,IF(Paths!$P$258="Complete",IF(AND(Paths!$D$258="EV",Paths!$E$258&lt;120,Paths!$E$258+'Operating costs'!$B$65&gt;Paths!$E$258,Paths!$E$258+'Operating costs'!$B$65&lt;=120,IF(Paths!$E$258+'Operating costs'!$B$65=0,C2773=0,AND(C2773&gt;0,Paths!$E$258+'Operating costs'!$B$65&gt;(C2773-1)*12,Paths!$E$258+'Operating costs'!$B$65&lt;=C2773*12))),'Operating costs'!$B$64,0)+IF(AND('Operating costs'!$B$67&gt;0,'Operating costs'!$B$67&lt;=120,OR(Paths!$D$258="ICE",'Operating costs'!$B$67&lt;=Paths!$E$258),IF('Operating costs'!$B$67=0,C2773=0,AND(C2773&gt;0,'Operating costs'!$B$67&gt;(C2773-1)*12,'Operating costs'!$B$67&lt;=C2773*12))),'Operating costs'!$B$66,0),"n.a."))</f>
        <v>0</v>
      </c>
      <c r="N2773" s="16">
        <f>IF(NOT(Paths!$C$258=1),0,IF(Paths!$P$258="Complete",SUM(G2773:I2773)-J2773-K2773-L2773+M2773+IF(C2773=0,Paths!$F$258,0)+IF(IF(Paths!$E$258=0,C2773=0,AND(C2773&gt;0,Paths!$E$258&gt;(C2773-1)*12,Paths!$E$258&lt;=C2773*12)),VLOOKUP(A2773,'Fleet register'!$A$7:$S$106,16,FALSE),0),"n.a."))</f>
        <v>0</v>
      </c>
      <c r="O2773" s="16">
        <f>IF(NOT(Paths!$C$258=1),0,IF(Paths!$P$258="Complete",N2773-IF(C2773=0,Paths!$F$258,0),"n.a."))</f>
        <v>0</v>
      </c>
      <c r="P2773" s="16">
        <f>IF(NOT(Paths!$C$258=1),0,IF(Paths!$P$258="Complete",O2773+L2773,"n.a."))</f>
        <v>0</v>
      </c>
      <c r="Q2773" s="16">
        <f>IF(NOT(Paths!$C$258=1),0,IF(Paths!$P$258="Complete",N2773*(1+'Operating costs'!$B$54)^-C2773,"n.a."))</f>
        <v>0</v>
      </c>
      <c r="R2773" s="16">
        <f>IF(NOT(Paths!$C$258=1),0,IF(Paths!$P$258="Complete",IF(AND(C2773=0,Paths!$E$258=0),I2773-J2773-K2773+VLOOKUP(A2773,'Fleet register'!$A$7:$S$106,15,FALSE)+VLOOKUP(A2773,'Fleet register'!$A$7:$S$106,16,FALSE),0),"n.a."))</f>
        <v>0</v>
      </c>
      <c r="S2773" s="1">
        <f>IF(NOT(Paths!$C$258=1),0,IF(Paths!$P$258="Complete",IF(C2773=0,0,Paths!$S$258*Paths!$R$258),"n.a."))</f>
        <v>0</v>
      </c>
      <c r="T2773" s="1">
        <f>IF(NOT(Paths!$C$258=1),0,IF(Paths!$P$258="Complete",IF(C2773=0,0,VLOOKUP(A2773,'Fleet register'!$A$7:$S$106,9,FALSE)*Paths!$R$258),"n.a."))</f>
        <v>0</v>
      </c>
    </row>
    <row r="2774" spans="1:20" ht="24" customHeight="1">
      <c r="A2774" s="1" t="str">
        <f>Paths!$A$258</f>
        <v>T063</v>
      </c>
      <c r="B2774" s="1">
        <f>Paths!$B$258</f>
        <v>3</v>
      </c>
      <c r="C2774" s="1">
        <v>6</v>
      </c>
      <c r="D2774" s="1">
        <v>258</v>
      </c>
      <c r="E2774" s="1">
        <f>IF(OR(Paths!$C$258=0,C2774=0),0,MAX(0,MIN(C2774*12,Paths!$E$258)-(C2774-1)*12))</f>
        <v>0</v>
      </c>
      <c r="F2774" s="1">
        <f>IF(OR(Paths!$C$258=0,C2774=0),0,12-E2774)</f>
        <v>0</v>
      </c>
      <c r="G2774" s="16">
        <f>IF(NOT(Paths!$C$258=1),0,IF(Paths!$P$258="Complete",E2774/12*(Paths!$J$258*(1+'Operating costs'!$B$51)^MAX(0,C2774-1)+Paths!$K$258*(1+'Operating costs'!$B$53)^MAX(0,C2774-1)),"n.a."))</f>
        <v>0</v>
      </c>
      <c r="H2774" s="16">
        <f>IF(NOT(Paths!$C$258=1),0,IF(Paths!$P$258="Complete",F2774/12*(Paths!$L$258*(1+IF(Paths!$D$258="EV",'Operating costs'!$B$52,'Operating costs'!$B$51))^MAX(0,C2774-1)+Paths!$M$258*(1+'Operating costs'!$B$53)^MAX(0,C2774-1)),"n.a."))</f>
        <v>0</v>
      </c>
      <c r="I2774" s="16">
        <f>IF(NOT(Paths!$C$258=1),0,IF(Paths!$P$258="Complete",IF(IF(Paths!$E$258=0,C2774=0,AND(C2774&gt;0,Paths!$E$258&gt;(C2774-1)*12,Paths!$E$258&lt;=C2774*12)),Paths!$G$258,0),"n.a."))</f>
        <v>0</v>
      </c>
      <c r="J2774" s="16">
        <f>IF(NOT(Paths!$C$258=1),0,IF(Paths!$P$258="Complete",IF(IF(Paths!$E$258=0,C2774=0,AND(C2774&gt;0,Paths!$E$258&gt;(C2774-1)*12,Paths!$E$258&lt;=C2774*12)),Paths!$H$258,0),"n.a."))</f>
        <v>0</v>
      </c>
      <c r="K2774" s="16">
        <f>IF(NOT(Paths!$C$258=1),0,IF(Paths!$P$258="Complete",IF(IF(Paths!$O$258=0,C2774=0,AND(C2774&gt;0,Paths!$O$258&gt;(C2774-1)*12,Paths!$O$258&lt;=C2774*12)),Paths!$N$258,0),"n.a."))</f>
        <v>0</v>
      </c>
      <c r="L2774" s="16">
        <f>IF(NOT(Paths!$C$258=1),0,IF(Paths!$P$258="Complete",IF(C2774=10,Paths!$I$258,0),"n.a."))</f>
        <v>0</v>
      </c>
      <c r="M2774" s="16">
        <f>IF(NOT(Paths!$C$258=1),0,IF(Paths!$P$258="Complete",IF(AND(Paths!$D$258="EV",Paths!$E$258&lt;120,Paths!$E$258+'Operating costs'!$B$65&gt;Paths!$E$258,Paths!$E$258+'Operating costs'!$B$65&lt;=120,IF(Paths!$E$258+'Operating costs'!$B$65=0,C2774=0,AND(C2774&gt;0,Paths!$E$258+'Operating costs'!$B$65&gt;(C2774-1)*12,Paths!$E$258+'Operating costs'!$B$65&lt;=C2774*12))),'Operating costs'!$B$64,0)+IF(AND('Operating costs'!$B$67&gt;0,'Operating costs'!$B$67&lt;=120,OR(Paths!$D$258="ICE",'Operating costs'!$B$67&lt;=Paths!$E$258),IF('Operating costs'!$B$67=0,C2774=0,AND(C2774&gt;0,'Operating costs'!$B$67&gt;(C2774-1)*12,'Operating costs'!$B$67&lt;=C2774*12))),'Operating costs'!$B$66,0),"n.a."))</f>
        <v>0</v>
      </c>
      <c r="N2774" s="16">
        <f>IF(NOT(Paths!$C$258=1),0,IF(Paths!$P$258="Complete",SUM(G2774:I2774)-J2774-K2774-L2774+M2774+IF(C2774=0,Paths!$F$258,0)+IF(IF(Paths!$E$258=0,C2774=0,AND(C2774&gt;0,Paths!$E$258&gt;(C2774-1)*12,Paths!$E$258&lt;=C2774*12)),VLOOKUP(A2774,'Fleet register'!$A$7:$S$106,16,FALSE),0),"n.a."))</f>
        <v>0</v>
      </c>
      <c r="O2774" s="16">
        <f>IF(NOT(Paths!$C$258=1),0,IF(Paths!$P$258="Complete",N2774-IF(C2774=0,Paths!$F$258,0),"n.a."))</f>
        <v>0</v>
      </c>
      <c r="P2774" s="16">
        <f>IF(NOT(Paths!$C$258=1),0,IF(Paths!$P$258="Complete",O2774+L2774,"n.a."))</f>
        <v>0</v>
      </c>
      <c r="Q2774" s="16">
        <f>IF(NOT(Paths!$C$258=1),0,IF(Paths!$P$258="Complete",N2774*(1+'Operating costs'!$B$54)^-C2774,"n.a."))</f>
        <v>0</v>
      </c>
      <c r="R2774" s="16">
        <f>IF(NOT(Paths!$C$258=1),0,IF(Paths!$P$258="Complete",IF(AND(C2774=0,Paths!$E$258=0),I2774-J2774-K2774+VLOOKUP(A2774,'Fleet register'!$A$7:$S$106,15,FALSE)+VLOOKUP(A2774,'Fleet register'!$A$7:$S$106,16,FALSE),0),"n.a."))</f>
        <v>0</v>
      </c>
      <c r="S2774" s="1">
        <f>IF(NOT(Paths!$C$258=1),0,IF(Paths!$P$258="Complete",IF(C2774=0,0,Paths!$S$258*Paths!$R$258),"n.a."))</f>
        <v>0</v>
      </c>
      <c r="T2774" s="1">
        <f>IF(NOT(Paths!$C$258=1),0,IF(Paths!$P$258="Complete",IF(C2774=0,0,VLOOKUP(A2774,'Fleet register'!$A$7:$S$106,9,FALSE)*Paths!$R$258),"n.a."))</f>
        <v>0</v>
      </c>
    </row>
    <row r="2775" spans="1:20" ht="24" customHeight="1">
      <c r="A2775" s="1" t="str">
        <f>Paths!$A$258</f>
        <v>T063</v>
      </c>
      <c r="B2775" s="1">
        <f>Paths!$B$258</f>
        <v>3</v>
      </c>
      <c r="C2775" s="1">
        <v>7</v>
      </c>
      <c r="D2775" s="1">
        <v>258</v>
      </c>
      <c r="E2775" s="1">
        <f>IF(OR(Paths!$C$258=0,C2775=0),0,MAX(0,MIN(C2775*12,Paths!$E$258)-(C2775-1)*12))</f>
        <v>0</v>
      </c>
      <c r="F2775" s="1">
        <f>IF(OR(Paths!$C$258=0,C2775=0),0,12-E2775)</f>
        <v>0</v>
      </c>
      <c r="G2775" s="16">
        <f>IF(NOT(Paths!$C$258=1),0,IF(Paths!$P$258="Complete",E2775/12*(Paths!$J$258*(1+'Operating costs'!$B$51)^MAX(0,C2775-1)+Paths!$K$258*(1+'Operating costs'!$B$53)^MAX(0,C2775-1)),"n.a."))</f>
        <v>0</v>
      </c>
      <c r="H2775" s="16">
        <f>IF(NOT(Paths!$C$258=1),0,IF(Paths!$P$258="Complete",F2775/12*(Paths!$L$258*(1+IF(Paths!$D$258="EV",'Operating costs'!$B$52,'Operating costs'!$B$51))^MAX(0,C2775-1)+Paths!$M$258*(1+'Operating costs'!$B$53)^MAX(0,C2775-1)),"n.a."))</f>
        <v>0</v>
      </c>
      <c r="I2775" s="16">
        <f>IF(NOT(Paths!$C$258=1),0,IF(Paths!$P$258="Complete",IF(IF(Paths!$E$258=0,C2775=0,AND(C2775&gt;0,Paths!$E$258&gt;(C2775-1)*12,Paths!$E$258&lt;=C2775*12)),Paths!$G$258,0),"n.a."))</f>
        <v>0</v>
      </c>
      <c r="J2775" s="16">
        <f>IF(NOT(Paths!$C$258=1),0,IF(Paths!$P$258="Complete",IF(IF(Paths!$E$258=0,C2775=0,AND(C2775&gt;0,Paths!$E$258&gt;(C2775-1)*12,Paths!$E$258&lt;=C2775*12)),Paths!$H$258,0),"n.a."))</f>
        <v>0</v>
      </c>
      <c r="K2775" s="16">
        <f>IF(NOT(Paths!$C$258=1),0,IF(Paths!$P$258="Complete",IF(IF(Paths!$O$258=0,C2775=0,AND(C2775&gt;0,Paths!$O$258&gt;(C2775-1)*12,Paths!$O$258&lt;=C2775*12)),Paths!$N$258,0),"n.a."))</f>
        <v>0</v>
      </c>
      <c r="L2775" s="16">
        <f>IF(NOT(Paths!$C$258=1),0,IF(Paths!$P$258="Complete",IF(C2775=10,Paths!$I$258,0),"n.a."))</f>
        <v>0</v>
      </c>
      <c r="M2775" s="16">
        <f>IF(NOT(Paths!$C$258=1),0,IF(Paths!$P$258="Complete",IF(AND(Paths!$D$258="EV",Paths!$E$258&lt;120,Paths!$E$258+'Operating costs'!$B$65&gt;Paths!$E$258,Paths!$E$258+'Operating costs'!$B$65&lt;=120,IF(Paths!$E$258+'Operating costs'!$B$65=0,C2775=0,AND(C2775&gt;0,Paths!$E$258+'Operating costs'!$B$65&gt;(C2775-1)*12,Paths!$E$258+'Operating costs'!$B$65&lt;=C2775*12))),'Operating costs'!$B$64,0)+IF(AND('Operating costs'!$B$67&gt;0,'Operating costs'!$B$67&lt;=120,OR(Paths!$D$258="ICE",'Operating costs'!$B$67&lt;=Paths!$E$258),IF('Operating costs'!$B$67=0,C2775=0,AND(C2775&gt;0,'Operating costs'!$B$67&gt;(C2775-1)*12,'Operating costs'!$B$67&lt;=C2775*12))),'Operating costs'!$B$66,0),"n.a."))</f>
        <v>0</v>
      </c>
      <c r="N2775" s="16">
        <f>IF(NOT(Paths!$C$258=1),0,IF(Paths!$P$258="Complete",SUM(G2775:I2775)-J2775-K2775-L2775+M2775+IF(C2775=0,Paths!$F$258,0)+IF(IF(Paths!$E$258=0,C2775=0,AND(C2775&gt;0,Paths!$E$258&gt;(C2775-1)*12,Paths!$E$258&lt;=C2775*12)),VLOOKUP(A2775,'Fleet register'!$A$7:$S$106,16,FALSE),0),"n.a."))</f>
        <v>0</v>
      </c>
      <c r="O2775" s="16">
        <f>IF(NOT(Paths!$C$258=1),0,IF(Paths!$P$258="Complete",N2775-IF(C2775=0,Paths!$F$258,0),"n.a."))</f>
        <v>0</v>
      </c>
      <c r="P2775" s="16">
        <f>IF(NOT(Paths!$C$258=1),0,IF(Paths!$P$258="Complete",O2775+L2775,"n.a."))</f>
        <v>0</v>
      </c>
      <c r="Q2775" s="16">
        <f>IF(NOT(Paths!$C$258=1),0,IF(Paths!$P$258="Complete",N2775*(1+'Operating costs'!$B$54)^-C2775,"n.a."))</f>
        <v>0</v>
      </c>
      <c r="R2775" s="16">
        <f>IF(NOT(Paths!$C$258=1),0,IF(Paths!$P$258="Complete",IF(AND(C2775=0,Paths!$E$258=0),I2775-J2775-K2775+VLOOKUP(A2775,'Fleet register'!$A$7:$S$106,15,FALSE)+VLOOKUP(A2775,'Fleet register'!$A$7:$S$106,16,FALSE),0),"n.a."))</f>
        <v>0</v>
      </c>
      <c r="S2775" s="1">
        <f>IF(NOT(Paths!$C$258=1),0,IF(Paths!$P$258="Complete",IF(C2775=0,0,Paths!$S$258*Paths!$R$258),"n.a."))</f>
        <v>0</v>
      </c>
      <c r="T2775" s="1">
        <f>IF(NOT(Paths!$C$258=1),0,IF(Paths!$P$258="Complete",IF(C2775=0,0,VLOOKUP(A2775,'Fleet register'!$A$7:$S$106,9,FALSE)*Paths!$R$258),"n.a."))</f>
        <v>0</v>
      </c>
    </row>
    <row r="2776" spans="1:20" ht="24" customHeight="1">
      <c r="A2776" s="1" t="str">
        <f>Paths!$A$258</f>
        <v>T063</v>
      </c>
      <c r="B2776" s="1">
        <f>Paths!$B$258</f>
        <v>3</v>
      </c>
      <c r="C2776" s="1">
        <v>8</v>
      </c>
      <c r="D2776" s="1">
        <v>258</v>
      </c>
      <c r="E2776" s="1">
        <f>IF(OR(Paths!$C$258=0,C2776=0),0,MAX(0,MIN(C2776*12,Paths!$E$258)-(C2776-1)*12))</f>
        <v>0</v>
      </c>
      <c r="F2776" s="1">
        <f>IF(OR(Paths!$C$258=0,C2776=0),0,12-E2776)</f>
        <v>0</v>
      </c>
      <c r="G2776" s="16">
        <f>IF(NOT(Paths!$C$258=1),0,IF(Paths!$P$258="Complete",E2776/12*(Paths!$J$258*(1+'Operating costs'!$B$51)^MAX(0,C2776-1)+Paths!$K$258*(1+'Operating costs'!$B$53)^MAX(0,C2776-1)),"n.a."))</f>
        <v>0</v>
      </c>
      <c r="H2776" s="16">
        <f>IF(NOT(Paths!$C$258=1),0,IF(Paths!$P$258="Complete",F2776/12*(Paths!$L$258*(1+IF(Paths!$D$258="EV",'Operating costs'!$B$52,'Operating costs'!$B$51))^MAX(0,C2776-1)+Paths!$M$258*(1+'Operating costs'!$B$53)^MAX(0,C2776-1)),"n.a."))</f>
        <v>0</v>
      </c>
      <c r="I2776" s="16">
        <f>IF(NOT(Paths!$C$258=1),0,IF(Paths!$P$258="Complete",IF(IF(Paths!$E$258=0,C2776=0,AND(C2776&gt;0,Paths!$E$258&gt;(C2776-1)*12,Paths!$E$258&lt;=C2776*12)),Paths!$G$258,0),"n.a."))</f>
        <v>0</v>
      </c>
      <c r="J2776" s="16">
        <f>IF(NOT(Paths!$C$258=1),0,IF(Paths!$P$258="Complete",IF(IF(Paths!$E$258=0,C2776=0,AND(C2776&gt;0,Paths!$E$258&gt;(C2776-1)*12,Paths!$E$258&lt;=C2776*12)),Paths!$H$258,0),"n.a."))</f>
        <v>0</v>
      </c>
      <c r="K2776" s="16">
        <f>IF(NOT(Paths!$C$258=1),0,IF(Paths!$P$258="Complete",IF(IF(Paths!$O$258=0,C2776=0,AND(C2776&gt;0,Paths!$O$258&gt;(C2776-1)*12,Paths!$O$258&lt;=C2776*12)),Paths!$N$258,0),"n.a."))</f>
        <v>0</v>
      </c>
      <c r="L2776" s="16">
        <f>IF(NOT(Paths!$C$258=1),0,IF(Paths!$P$258="Complete",IF(C2776=10,Paths!$I$258,0),"n.a."))</f>
        <v>0</v>
      </c>
      <c r="M2776" s="16">
        <f>IF(NOT(Paths!$C$258=1),0,IF(Paths!$P$258="Complete",IF(AND(Paths!$D$258="EV",Paths!$E$258&lt;120,Paths!$E$258+'Operating costs'!$B$65&gt;Paths!$E$258,Paths!$E$258+'Operating costs'!$B$65&lt;=120,IF(Paths!$E$258+'Operating costs'!$B$65=0,C2776=0,AND(C2776&gt;0,Paths!$E$258+'Operating costs'!$B$65&gt;(C2776-1)*12,Paths!$E$258+'Operating costs'!$B$65&lt;=C2776*12))),'Operating costs'!$B$64,0)+IF(AND('Operating costs'!$B$67&gt;0,'Operating costs'!$B$67&lt;=120,OR(Paths!$D$258="ICE",'Operating costs'!$B$67&lt;=Paths!$E$258),IF('Operating costs'!$B$67=0,C2776=0,AND(C2776&gt;0,'Operating costs'!$B$67&gt;(C2776-1)*12,'Operating costs'!$B$67&lt;=C2776*12))),'Operating costs'!$B$66,0),"n.a."))</f>
        <v>0</v>
      </c>
      <c r="N2776" s="16">
        <f>IF(NOT(Paths!$C$258=1),0,IF(Paths!$P$258="Complete",SUM(G2776:I2776)-J2776-K2776-L2776+M2776+IF(C2776=0,Paths!$F$258,0)+IF(IF(Paths!$E$258=0,C2776=0,AND(C2776&gt;0,Paths!$E$258&gt;(C2776-1)*12,Paths!$E$258&lt;=C2776*12)),VLOOKUP(A2776,'Fleet register'!$A$7:$S$106,16,FALSE),0),"n.a."))</f>
        <v>0</v>
      </c>
      <c r="O2776" s="16">
        <f>IF(NOT(Paths!$C$258=1),0,IF(Paths!$P$258="Complete",N2776-IF(C2776=0,Paths!$F$258,0),"n.a."))</f>
        <v>0</v>
      </c>
      <c r="P2776" s="16">
        <f>IF(NOT(Paths!$C$258=1),0,IF(Paths!$P$258="Complete",O2776+L2776,"n.a."))</f>
        <v>0</v>
      </c>
      <c r="Q2776" s="16">
        <f>IF(NOT(Paths!$C$258=1),0,IF(Paths!$P$258="Complete",N2776*(1+'Operating costs'!$B$54)^-C2776,"n.a."))</f>
        <v>0</v>
      </c>
      <c r="R2776" s="16">
        <f>IF(NOT(Paths!$C$258=1),0,IF(Paths!$P$258="Complete",IF(AND(C2776=0,Paths!$E$258=0),I2776-J2776-K2776+VLOOKUP(A2776,'Fleet register'!$A$7:$S$106,15,FALSE)+VLOOKUP(A2776,'Fleet register'!$A$7:$S$106,16,FALSE),0),"n.a."))</f>
        <v>0</v>
      </c>
      <c r="S2776" s="1">
        <f>IF(NOT(Paths!$C$258=1),0,IF(Paths!$P$258="Complete",IF(C2776=0,0,Paths!$S$258*Paths!$R$258),"n.a."))</f>
        <v>0</v>
      </c>
      <c r="T2776" s="1">
        <f>IF(NOT(Paths!$C$258=1),0,IF(Paths!$P$258="Complete",IF(C2776=0,0,VLOOKUP(A2776,'Fleet register'!$A$7:$S$106,9,FALSE)*Paths!$R$258),"n.a."))</f>
        <v>0</v>
      </c>
    </row>
    <row r="2777" spans="1:20" ht="24" customHeight="1">
      <c r="A2777" s="1" t="str">
        <f>Paths!$A$258</f>
        <v>T063</v>
      </c>
      <c r="B2777" s="1">
        <f>Paths!$B$258</f>
        <v>3</v>
      </c>
      <c r="C2777" s="1">
        <v>9</v>
      </c>
      <c r="D2777" s="1">
        <v>258</v>
      </c>
      <c r="E2777" s="1">
        <f>IF(OR(Paths!$C$258=0,C2777=0),0,MAX(0,MIN(C2777*12,Paths!$E$258)-(C2777-1)*12))</f>
        <v>0</v>
      </c>
      <c r="F2777" s="1">
        <f>IF(OR(Paths!$C$258=0,C2777=0),0,12-E2777)</f>
        <v>0</v>
      </c>
      <c r="G2777" s="16">
        <f>IF(NOT(Paths!$C$258=1),0,IF(Paths!$P$258="Complete",E2777/12*(Paths!$J$258*(1+'Operating costs'!$B$51)^MAX(0,C2777-1)+Paths!$K$258*(1+'Operating costs'!$B$53)^MAX(0,C2777-1)),"n.a."))</f>
        <v>0</v>
      </c>
      <c r="H2777" s="16">
        <f>IF(NOT(Paths!$C$258=1),0,IF(Paths!$P$258="Complete",F2777/12*(Paths!$L$258*(1+IF(Paths!$D$258="EV",'Operating costs'!$B$52,'Operating costs'!$B$51))^MAX(0,C2777-1)+Paths!$M$258*(1+'Operating costs'!$B$53)^MAX(0,C2777-1)),"n.a."))</f>
        <v>0</v>
      </c>
      <c r="I2777" s="16">
        <f>IF(NOT(Paths!$C$258=1),0,IF(Paths!$P$258="Complete",IF(IF(Paths!$E$258=0,C2777=0,AND(C2777&gt;0,Paths!$E$258&gt;(C2777-1)*12,Paths!$E$258&lt;=C2777*12)),Paths!$G$258,0),"n.a."))</f>
        <v>0</v>
      </c>
      <c r="J2777" s="16">
        <f>IF(NOT(Paths!$C$258=1),0,IF(Paths!$P$258="Complete",IF(IF(Paths!$E$258=0,C2777=0,AND(C2777&gt;0,Paths!$E$258&gt;(C2777-1)*12,Paths!$E$258&lt;=C2777*12)),Paths!$H$258,0),"n.a."))</f>
        <v>0</v>
      </c>
      <c r="K2777" s="16">
        <f>IF(NOT(Paths!$C$258=1),0,IF(Paths!$P$258="Complete",IF(IF(Paths!$O$258=0,C2777=0,AND(C2777&gt;0,Paths!$O$258&gt;(C2777-1)*12,Paths!$O$258&lt;=C2777*12)),Paths!$N$258,0),"n.a."))</f>
        <v>0</v>
      </c>
      <c r="L2777" s="16">
        <f>IF(NOT(Paths!$C$258=1),0,IF(Paths!$P$258="Complete",IF(C2777=10,Paths!$I$258,0),"n.a."))</f>
        <v>0</v>
      </c>
      <c r="M2777" s="16">
        <f>IF(NOT(Paths!$C$258=1),0,IF(Paths!$P$258="Complete",IF(AND(Paths!$D$258="EV",Paths!$E$258&lt;120,Paths!$E$258+'Operating costs'!$B$65&gt;Paths!$E$258,Paths!$E$258+'Operating costs'!$B$65&lt;=120,IF(Paths!$E$258+'Operating costs'!$B$65=0,C2777=0,AND(C2777&gt;0,Paths!$E$258+'Operating costs'!$B$65&gt;(C2777-1)*12,Paths!$E$258+'Operating costs'!$B$65&lt;=C2777*12))),'Operating costs'!$B$64,0)+IF(AND('Operating costs'!$B$67&gt;0,'Operating costs'!$B$67&lt;=120,OR(Paths!$D$258="ICE",'Operating costs'!$B$67&lt;=Paths!$E$258),IF('Operating costs'!$B$67=0,C2777=0,AND(C2777&gt;0,'Operating costs'!$B$67&gt;(C2777-1)*12,'Operating costs'!$B$67&lt;=C2777*12))),'Operating costs'!$B$66,0),"n.a."))</f>
        <v>0</v>
      </c>
      <c r="N2777" s="16">
        <f>IF(NOT(Paths!$C$258=1),0,IF(Paths!$P$258="Complete",SUM(G2777:I2777)-J2777-K2777-L2777+M2777+IF(C2777=0,Paths!$F$258,0)+IF(IF(Paths!$E$258=0,C2777=0,AND(C2777&gt;0,Paths!$E$258&gt;(C2777-1)*12,Paths!$E$258&lt;=C2777*12)),VLOOKUP(A2777,'Fleet register'!$A$7:$S$106,16,FALSE),0),"n.a."))</f>
        <v>0</v>
      </c>
      <c r="O2777" s="16">
        <f>IF(NOT(Paths!$C$258=1),0,IF(Paths!$P$258="Complete",N2777-IF(C2777=0,Paths!$F$258,0),"n.a."))</f>
        <v>0</v>
      </c>
      <c r="P2777" s="16">
        <f>IF(NOT(Paths!$C$258=1),0,IF(Paths!$P$258="Complete",O2777+L2777,"n.a."))</f>
        <v>0</v>
      </c>
      <c r="Q2777" s="16">
        <f>IF(NOT(Paths!$C$258=1),0,IF(Paths!$P$258="Complete",N2777*(1+'Operating costs'!$B$54)^-C2777,"n.a."))</f>
        <v>0</v>
      </c>
      <c r="R2777" s="16">
        <f>IF(NOT(Paths!$C$258=1),0,IF(Paths!$P$258="Complete",IF(AND(C2777=0,Paths!$E$258=0),I2777-J2777-K2777+VLOOKUP(A2777,'Fleet register'!$A$7:$S$106,15,FALSE)+VLOOKUP(A2777,'Fleet register'!$A$7:$S$106,16,FALSE),0),"n.a."))</f>
        <v>0</v>
      </c>
      <c r="S2777" s="1">
        <f>IF(NOT(Paths!$C$258=1),0,IF(Paths!$P$258="Complete",IF(C2777=0,0,Paths!$S$258*Paths!$R$258),"n.a."))</f>
        <v>0</v>
      </c>
      <c r="T2777" s="1">
        <f>IF(NOT(Paths!$C$258=1),0,IF(Paths!$P$258="Complete",IF(C2777=0,0,VLOOKUP(A2777,'Fleet register'!$A$7:$S$106,9,FALSE)*Paths!$R$258),"n.a."))</f>
        <v>0</v>
      </c>
    </row>
    <row r="2778" spans="1:20" ht="24" customHeight="1">
      <c r="A2778" s="1" t="str">
        <f>Paths!$A$258</f>
        <v>T063</v>
      </c>
      <c r="B2778" s="1">
        <f>Paths!$B$258</f>
        <v>3</v>
      </c>
      <c r="C2778" s="1">
        <v>10</v>
      </c>
      <c r="D2778" s="1">
        <v>258</v>
      </c>
      <c r="E2778" s="1">
        <f>IF(OR(Paths!$C$258=0,C2778=0),0,MAX(0,MIN(C2778*12,Paths!$E$258)-(C2778-1)*12))</f>
        <v>0</v>
      </c>
      <c r="F2778" s="1">
        <f>IF(OR(Paths!$C$258=0,C2778=0),0,12-E2778)</f>
        <v>0</v>
      </c>
      <c r="G2778" s="16">
        <f>IF(NOT(Paths!$C$258=1),0,IF(Paths!$P$258="Complete",E2778/12*(Paths!$J$258*(1+'Operating costs'!$B$51)^MAX(0,C2778-1)+Paths!$K$258*(1+'Operating costs'!$B$53)^MAX(0,C2778-1)),"n.a."))</f>
        <v>0</v>
      </c>
      <c r="H2778" s="16">
        <f>IF(NOT(Paths!$C$258=1),0,IF(Paths!$P$258="Complete",F2778/12*(Paths!$L$258*(1+IF(Paths!$D$258="EV",'Operating costs'!$B$52,'Operating costs'!$B$51))^MAX(0,C2778-1)+Paths!$M$258*(1+'Operating costs'!$B$53)^MAX(0,C2778-1)),"n.a."))</f>
        <v>0</v>
      </c>
      <c r="I2778" s="16">
        <f>IF(NOT(Paths!$C$258=1),0,IF(Paths!$P$258="Complete",IF(IF(Paths!$E$258=0,C2778=0,AND(C2778&gt;0,Paths!$E$258&gt;(C2778-1)*12,Paths!$E$258&lt;=C2778*12)),Paths!$G$258,0),"n.a."))</f>
        <v>0</v>
      </c>
      <c r="J2778" s="16">
        <f>IF(NOT(Paths!$C$258=1),0,IF(Paths!$P$258="Complete",IF(IF(Paths!$E$258=0,C2778=0,AND(C2778&gt;0,Paths!$E$258&gt;(C2778-1)*12,Paths!$E$258&lt;=C2778*12)),Paths!$H$258,0),"n.a."))</f>
        <v>0</v>
      </c>
      <c r="K2778" s="16">
        <f>IF(NOT(Paths!$C$258=1),0,IF(Paths!$P$258="Complete",IF(IF(Paths!$O$258=0,C2778=0,AND(C2778&gt;0,Paths!$O$258&gt;(C2778-1)*12,Paths!$O$258&lt;=C2778*12)),Paths!$N$258,0),"n.a."))</f>
        <v>0</v>
      </c>
      <c r="L2778" s="16">
        <f>IF(NOT(Paths!$C$258=1),0,IF(Paths!$P$258="Complete",IF(C2778=10,Paths!$I$258,0),"n.a."))</f>
        <v>0</v>
      </c>
      <c r="M2778" s="16">
        <f>IF(NOT(Paths!$C$258=1),0,IF(Paths!$P$258="Complete",IF(AND(Paths!$D$258="EV",Paths!$E$258&lt;120,Paths!$E$258+'Operating costs'!$B$65&gt;Paths!$E$258,Paths!$E$258+'Operating costs'!$B$65&lt;=120,IF(Paths!$E$258+'Operating costs'!$B$65=0,C2778=0,AND(C2778&gt;0,Paths!$E$258+'Operating costs'!$B$65&gt;(C2778-1)*12,Paths!$E$258+'Operating costs'!$B$65&lt;=C2778*12))),'Operating costs'!$B$64,0)+IF(AND('Operating costs'!$B$67&gt;0,'Operating costs'!$B$67&lt;=120,OR(Paths!$D$258="ICE",'Operating costs'!$B$67&lt;=Paths!$E$258),IF('Operating costs'!$B$67=0,C2778=0,AND(C2778&gt;0,'Operating costs'!$B$67&gt;(C2778-1)*12,'Operating costs'!$B$67&lt;=C2778*12))),'Operating costs'!$B$66,0),"n.a."))</f>
        <v>0</v>
      </c>
      <c r="N2778" s="16">
        <f>IF(NOT(Paths!$C$258=1),0,IF(Paths!$P$258="Complete",SUM(G2778:I2778)-J2778-K2778-L2778+M2778+IF(C2778=0,Paths!$F$258,0)+IF(IF(Paths!$E$258=0,C2778=0,AND(C2778&gt;0,Paths!$E$258&gt;(C2778-1)*12,Paths!$E$258&lt;=C2778*12)),VLOOKUP(A2778,'Fleet register'!$A$7:$S$106,16,FALSE),0),"n.a."))</f>
        <v>0</v>
      </c>
      <c r="O2778" s="16">
        <f>IF(NOT(Paths!$C$258=1),0,IF(Paths!$P$258="Complete",N2778-IF(C2778=0,Paths!$F$258,0),"n.a."))</f>
        <v>0</v>
      </c>
      <c r="P2778" s="16">
        <f>IF(NOT(Paths!$C$258=1),0,IF(Paths!$P$258="Complete",O2778+L2778,"n.a."))</f>
        <v>0</v>
      </c>
      <c r="Q2778" s="16">
        <f>IF(NOT(Paths!$C$258=1),0,IF(Paths!$P$258="Complete",N2778*(1+'Operating costs'!$B$54)^-C2778,"n.a."))</f>
        <v>0</v>
      </c>
      <c r="R2778" s="16">
        <f>IF(NOT(Paths!$C$258=1),0,IF(Paths!$P$258="Complete",IF(AND(C2778=0,Paths!$E$258=0),I2778-J2778-K2778+VLOOKUP(A2778,'Fleet register'!$A$7:$S$106,15,FALSE)+VLOOKUP(A2778,'Fleet register'!$A$7:$S$106,16,FALSE),0),"n.a."))</f>
        <v>0</v>
      </c>
      <c r="S2778" s="1">
        <f>IF(NOT(Paths!$C$258=1),0,IF(Paths!$P$258="Complete",IF(C2778=0,0,Paths!$S$258*Paths!$R$258),"n.a."))</f>
        <v>0</v>
      </c>
      <c r="T2778" s="1">
        <f>IF(NOT(Paths!$C$258=1),0,IF(Paths!$P$258="Complete",IF(C2778=0,0,VLOOKUP(A2778,'Fleet register'!$A$7:$S$106,9,FALSE)*Paths!$R$258),"n.a."))</f>
        <v>0</v>
      </c>
    </row>
    <row r="2779" spans="1:20" ht="24" customHeight="1">
      <c r="A2779" s="1" t="str">
        <f>Paths!$A$259</f>
        <v>T064</v>
      </c>
      <c r="B2779" s="1">
        <f>Paths!$B$259</f>
        <v>0</v>
      </c>
      <c r="C2779" s="1">
        <v>0</v>
      </c>
      <c r="D2779" s="1">
        <v>259</v>
      </c>
      <c r="E2779" s="1">
        <f>IF(OR(Paths!$C$259=0,C2779=0),0,MAX(0,MIN(C2779*12,Paths!$E$259)-(C2779-1)*12))</f>
        <v>0</v>
      </c>
      <c r="F2779" s="1">
        <f>IF(OR(Paths!$C$259=0,C2779=0),0,12-E2779)</f>
        <v>0</v>
      </c>
      <c r="G2779" s="16">
        <f>IF(NOT(Paths!$C$259=1),0,IF(Paths!$P$259="Complete",E2779/12*(Paths!$J$259*(1+'Operating costs'!$B$51)^MAX(0,C2779-1)+Paths!$K$259*(1+'Operating costs'!$B$53)^MAX(0,C2779-1)),"n.a."))</f>
        <v>0</v>
      </c>
      <c r="H2779" s="16">
        <f>IF(NOT(Paths!$C$259=1),0,IF(Paths!$P$259="Complete",F2779/12*(Paths!$L$259*(1+IF(Paths!$D$259="EV",'Operating costs'!$B$52,'Operating costs'!$B$51))^MAX(0,C2779-1)+Paths!$M$259*(1+'Operating costs'!$B$53)^MAX(0,C2779-1)),"n.a."))</f>
        <v>0</v>
      </c>
      <c r="I2779" s="16">
        <f>IF(NOT(Paths!$C$259=1),0,IF(Paths!$P$259="Complete",IF(IF(Paths!$E$259=0,C2779=0,AND(C2779&gt;0,Paths!$E$259&gt;(C2779-1)*12,Paths!$E$259&lt;=C2779*12)),Paths!$G$259,0),"n.a."))</f>
        <v>0</v>
      </c>
      <c r="J2779" s="16">
        <f>IF(NOT(Paths!$C$259=1),0,IF(Paths!$P$259="Complete",IF(IF(Paths!$E$259=0,C2779=0,AND(C2779&gt;0,Paths!$E$259&gt;(C2779-1)*12,Paths!$E$259&lt;=C2779*12)),Paths!$H$259,0),"n.a."))</f>
        <v>0</v>
      </c>
      <c r="K2779" s="16">
        <f>IF(NOT(Paths!$C$259=1),0,IF(Paths!$P$259="Complete",IF(IF(Paths!$O$259=0,C2779=0,AND(C2779&gt;0,Paths!$O$259&gt;(C2779-1)*12,Paths!$O$259&lt;=C2779*12)),Paths!$N$259,0),"n.a."))</f>
        <v>0</v>
      </c>
      <c r="L2779" s="16">
        <f>IF(NOT(Paths!$C$259=1),0,IF(Paths!$P$259="Complete",IF(C2779=10,Paths!$I$259,0),"n.a."))</f>
        <v>0</v>
      </c>
      <c r="M2779" s="16">
        <f>IF(NOT(Paths!$C$259=1),0,IF(Paths!$P$259="Complete",IF(AND(Paths!$D$259="EV",Paths!$E$259&lt;120,Paths!$E$259+'Operating costs'!$B$65&gt;Paths!$E$259,Paths!$E$259+'Operating costs'!$B$65&lt;=120,IF(Paths!$E$259+'Operating costs'!$B$65=0,C2779=0,AND(C2779&gt;0,Paths!$E$259+'Operating costs'!$B$65&gt;(C2779-1)*12,Paths!$E$259+'Operating costs'!$B$65&lt;=C2779*12))),'Operating costs'!$B$64,0)+IF(AND('Operating costs'!$B$67&gt;0,'Operating costs'!$B$67&lt;=120,OR(Paths!$D$259="ICE",'Operating costs'!$B$67&lt;=Paths!$E$259),IF('Operating costs'!$B$67=0,C2779=0,AND(C2779&gt;0,'Operating costs'!$B$67&gt;(C2779-1)*12,'Operating costs'!$B$67&lt;=C2779*12))),'Operating costs'!$B$66,0),"n.a."))</f>
        <v>0</v>
      </c>
      <c r="N2779" s="16">
        <f>IF(NOT(Paths!$C$259=1),0,IF(Paths!$P$259="Complete",SUM(G2779:I2779)-J2779-K2779-L2779+M2779+IF(C2779=0,Paths!$F$259,0)+IF(IF(Paths!$E$259=0,C2779=0,AND(C2779&gt;0,Paths!$E$259&gt;(C2779-1)*12,Paths!$E$259&lt;=C2779*12)),VLOOKUP(A2779,'Fleet register'!$A$7:$S$106,16,FALSE),0),"n.a."))</f>
        <v>0</v>
      </c>
      <c r="O2779" s="16">
        <f>IF(NOT(Paths!$C$259=1),0,IF(Paths!$P$259="Complete",N2779-IF(C2779=0,Paths!$F$259,0),"n.a."))</f>
        <v>0</v>
      </c>
      <c r="P2779" s="16">
        <f>IF(NOT(Paths!$C$259=1),0,IF(Paths!$P$259="Complete",O2779+L2779,"n.a."))</f>
        <v>0</v>
      </c>
      <c r="Q2779" s="16">
        <f>IF(NOT(Paths!$C$259=1),0,IF(Paths!$P$259="Complete",N2779*(1+'Operating costs'!$B$54)^-C2779,"n.a."))</f>
        <v>0</v>
      </c>
      <c r="R2779" s="16">
        <f>IF(NOT(Paths!$C$259=1),0,IF(Paths!$P$259="Complete",IF(AND(C2779=0,Paths!$E$259=0),I2779-J2779-K2779+VLOOKUP(A2779,'Fleet register'!$A$7:$S$106,15,FALSE)+VLOOKUP(A2779,'Fleet register'!$A$7:$S$106,16,FALSE),0),"n.a."))</f>
        <v>0</v>
      </c>
      <c r="S2779" s="1">
        <f>IF(NOT(Paths!$C$259=1),0,IF(Paths!$P$259="Complete",IF(C2779=0,0,Paths!$S$259*Paths!$R$259),"n.a."))</f>
        <v>0</v>
      </c>
      <c r="T2779" s="1">
        <f>IF(NOT(Paths!$C$259=1),0,IF(Paths!$P$259="Complete",IF(C2779=0,0,VLOOKUP(A2779,'Fleet register'!$A$7:$S$106,9,FALSE)*Paths!$R$259),"n.a."))</f>
        <v>0</v>
      </c>
    </row>
    <row r="2780" spans="1:20" ht="24" customHeight="1">
      <c r="A2780" s="1" t="str">
        <f>Paths!$A$259</f>
        <v>T064</v>
      </c>
      <c r="B2780" s="1">
        <f>Paths!$B$259</f>
        <v>0</v>
      </c>
      <c r="C2780" s="1">
        <v>1</v>
      </c>
      <c r="D2780" s="1">
        <v>259</v>
      </c>
      <c r="E2780" s="1">
        <f>IF(OR(Paths!$C$259=0,C2780=0),0,MAX(0,MIN(C2780*12,Paths!$E$259)-(C2780-1)*12))</f>
        <v>0</v>
      </c>
      <c r="F2780" s="1">
        <f>IF(OR(Paths!$C$259=0,C2780=0),0,12-E2780)</f>
        <v>0</v>
      </c>
      <c r="G2780" s="16">
        <f>IF(NOT(Paths!$C$259=1),0,IF(Paths!$P$259="Complete",E2780/12*(Paths!$J$259*(1+'Operating costs'!$B$51)^MAX(0,C2780-1)+Paths!$K$259*(1+'Operating costs'!$B$53)^MAX(0,C2780-1)),"n.a."))</f>
        <v>0</v>
      </c>
      <c r="H2780" s="16">
        <f>IF(NOT(Paths!$C$259=1),0,IF(Paths!$P$259="Complete",F2780/12*(Paths!$L$259*(1+IF(Paths!$D$259="EV",'Operating costs'!$B$52,'Operating costs'!$B$51))^MAX(0,C2780-1)+Paths!$M$259*(1+'Operating costs'!$B$53)^MAX(0,C2780-1)),"n.a."))</f>
        <v>0</v>
      </c>
      <c r="I2780" s="16">
        <f>IF(NOT(Paths!$C$259=1),0,IF(Paths!$P$259="Complete",IF(IF(Paths!$E$259=0,C2780=0,AND(C2780&gt;0,Paths!$E$259&gt;(C2780-1)*12,Paths!$E$259&lt;=C2780*12)),Paths!$G$259,0),"n.a."))</f>
        <v>0</v>
      </c>
      <c r="J2780" s="16">
        <f>IF(NOT(Paths!$C$259=1),0,IF(Paths!$P$259="Complete",IF(IF(Paths!$E$259=0,C2780=0,AND(C2780&gt;0,Paths!$E$259&gt;(C2780-1)*12,Paths!$E$259&lt;=C2780*12)),Paths!$H$259,0),"n.a."))</f>
        <v>0</v>
      </c>
      <c r="K2780" s="16">
        <f>IF(NOT(Paths!$C$259=1),0,IF(Paths!$P$259="Complete",IF(IF(Paths!$O$259=0,C2780=0,AND(C2780&gt;0,Paths!$O$259&gt;(C2780-1)*12,Paths!$O$259&lt;=C2780*12)),Paths!$N$259,0),"n.a."))</f>
        <v>0</v>
      </c>
      <c r="L2780" s="16">
        <f>IF(NOT(Paths!$C$259=1),0,IF(Paths!$P$259="Complete",IF(C2780=10,Paths!$I$259,0),"n.a."))</f>
        <v>0</v>
      </c>
      <c r="M2780" s="16">
        <f>IF(NOT(Paths!$C$259=1),0,IF(Paths!$P$259="Complete",IF(AND(Paths!$D$259="EV",Paths!$E$259&lt;120,Paths!$E$259+'Operating costs'!$B$65&gt;Paths!$E$259,Paths!$E$259+'Operating costs'!$B$65&lt;=120,IF(Paths!$E$259+'Operating costs'!$B$65=0,C2780=0,AND(C2780&gt;0,Paths!$E$259+'Operating costs'!$B$65&gt;(C2780-1)*12,Paths!$E$259+'Operating costs'!$B$65&lt;=C2780*12))),'Operating costs'!$B$64,0)+IF(AND('Operating costs'!$B$67&gt;0,'Operating costs'!$B$67&lt;=120,OR(Paths!$D$259="ICE",'Operating costs'!$B$67&lt;=Paths!$E$259),IF('Operating costs'!$B$67=0,C2780=0,AND(C2780&gt;0,'Operating costs'!$B$67&gt;(C2780-1)*12,'Operating costs'!$B$67&lt;=C2780*12))),'Operating costs'!$B$66,0),"n.a."))</f>
        <v>0</v>
      </c>
      <c r="N2780" s="16">
        <f>IF(NOT(Paths!$C$259=1),0,IF(Paths!$P$259="Complete",SUM(G2780:I2780)-J2780-K2780-L2780+M2780+IF(C2780=0,Paths!$F$259,0)+IF(IF(Paths!$E$259=0,C2780=0,AND(C2780&gt;0,Paths!$E$259&gt;(C2780-1)*12,Paths!$E$259&lt;=C2780*12)),VLOOKUP(A2780,'Fleet register'!$A$7:$S$106,16,FALSE),0),"n.a."))</f>
        <v>0</v>
      </c>
      <c r="O2780" s="16">
        <f>IF(NOT(Paths!$C$259=1),0,IF(Paths!$P$259="Complete",N2780-IF(C2780=0,Paths!$F$259,0),"n.a."))</f>
        <v>0</v>
      </c>
      <c r="P2780" s="16">
        <f>IF(NOT(Paths!$C$259=1),0,IF(Paths!$P$259="Complete",O2780+L2780,"n.a."))</f>
        <v>0</v>
      </c>
      <c r="Q2780" s="16">
        <f>IF(NOT(Paths!$C$259=1),0,IF(Paths!$P$259="Complete",N2780*(1+'Operating costs'!$B$54)^-C2780,"n.a."))</f>
        <v>0</v>
      </c>
      <c r="R2780" s="16">
        <f>IF(NOT(Paths!$C$259=1),0,IF(Paths!$P$259="Complete",IF(AND(C2780=0,Paths!$E$259=0),I2780-J2780-K2780+VLOOKUP(A2780,'Fleet register'!$A$7:$S$106,15,FALSE)+VLOOKUP(A2780,'Fleet register'!$A$7:$S$106,16,FALSE),0),"n.a."))</f>
        <v>0</v>
      </c>
      <c r="S2780" s="1">
        <f>IF(NOT(Paths!$C$259=1),0,IF(Paths!$P$259="Complete",IF(C2780=0,0,Paths!$S$259*Paths!$R$259),"n.a."))</f>
        <v>0</v>
      </c>
      <c r="T2780" s="1">
        <f>IF(NOT(Paths!$C$259=1),0,IF(Paths!$P$259="Complete",IF(C2780=0,0,VLOOKUP(A2780,'Fleet register'!$A$7:$S$106,9,FALSE)*Paths!$R$259),"n.a."))</f>
        <v>0</v>
      </c>
    </row>
    <row r="2781" spans="1:20" ht="24" customHeight="1">
      <c r="A2781" s="1" t="str">
        <f>Paths!$A$259</f>
        <v>T064</v>
      </c>
      <c r="B2781" s="1">
        <f>Paths!$B$259</f>
        <v>0</v>
      </c>
      <c r="C2781" s="1">
        <v>2</v>
      </c>
      <c r="D2781" s="1">
        <v>259</v>
      </c>
      <c r="E2781" s="1">
        <f>IF(OR(Paths!$C$259=0,C2781=0),0,MAX(0,MIN(C2781*12,Paths!$E$259)-(C2781-1)*12))</f>
        <v>0</v>
      </c>
      <c r="F2781" s="1">
        <f>IF(OR(Paths!$C$259=0,C2781=0),0,12-E2781)</f>
        <v>0</v>
      </c>
      <c r="G2781" s="16">
        <f>IF(NOT(Paths!$C$259=1),0,IF(Paths!$P$259="Complete",E2781/12*(Paths!$J$259*(1+'Operating costs'!$B$51)^MAX(0,C2781-1)+Paths!$K$259*(1+'Operating costs'!$B$53)^MAX(0,C2781-1)),"n.a."))</f>
        <v>0</v>
      </c>
      <c r="H2781" s="16">
        <f>IF(NOT(Paths!$C$259=1),0,IF(Paths!$P$259="Complete",F2781/12*(Paths!$L$259*(1+IF(Paths!$D$259="EV",'Operating costs'!$B$52,'Operating costs'!$B$51))^MAX(0,C2781-1)+Paths!$M$259*(1+'Operating costs'!$B$53)^MAX(0,C2781-1)),"n.a."))</f>
        <v>0</v>
      </c>
      <c r="I2781" s="16">
        <f>IF(NOT(Paths!$C$259=1),0,IF(Paths!$P$259="Complete",IF(IF(Paths!$E$259=0,C2781=0,AND(C2781&gt;0,Paths!$E$259&gt;(C2781-1)*12,Paths!$E$259&lt;=C2781*12)),Paths!$G$259,0),"n.a."))</f>
        <v>0</v>
      </c>
      <c r="J2781" s="16">
        <f>IF(NOT(Paths!$C$259=1),0,IF(Paths!$P$259="Complete",IF(IF(Paths!$E$259=0,C2781=0,AND(C2781&gt;0,Paths!$E$259&gt;(C2781-1)*12,Paths!$E$259&lt;=C2781*12)),Paths!$H$259,0),"n.a."))</f>
        <v>0</v>
      </c>
      <c r="K2781" s="16">
        <f>IF(NOT(Paths!$C$259=1),0,IF(Paths!$P$259="Complete",IF(IF(Paths!$O$259=0,C2781=0,AND(C2781&gt;0,Paths!$O$259&gt;(C2781-1)*12,Paths!$O$259&lt;=C2781*12)),Paths!$N$259,0),"n.a."))</f>
        <v>0</v>
      </c>
      <c r="L2781" s="16">
        <f>IF(NOT(Paths!$C$259=1),0,IF(Paths!$P$259="Complete",IF(C2781=10,Paths!$I$259,0),"n.a."))</f>
        <v>0</v>
      </c>
      <c r="M2781" s="16">
        <f>IF(NOT(Paths!$C$259=1),0,IF(Paths!$P$259="Complete",IF(AND(Paths!$D$259="EV",Paths!$E$259&lt;120,Paths!$E$259+'Operating costs'!$B$65&gt;Paths!$E$259,Paths!$E$259+'Operating costs'!$B$65&lt;=120,IF(Paths!$E$259+'Operating costs'!$B$65=0,C2781=0,AND(C2781&gt;0,Paths!$E$259+'Operating costs'!$B$65&gt;(C2781-1)*12,Paths!$E$259+'Operating costs'!$B$65&lt;=C2781*12))),'Operating costs'!$B$64,0)+IF(AND('Operating costs'!$B$67&gt;0,'Operating costs'!$B$67&lt;=120,OR(Paths!$D$259="ICE",'Operating costs'!$B$67&lt;=Paths!$E$259),IF('Operating costs'!$B$67=0,C2781=0,AND(C2781&gt;0,'Operating costs'!$B$67&gt;(C2781-1)*12,'Operating costs'!$B$67&lt;=C2781*12))),'Operating costs'!$B$66,0),"n.a."))</f>
        <v>0</v>
      </c>
      <c r="N2781" s="16">
        <f>IF(NOT(Paths!$C$259=1),0,IF(Paths!$P$259="Complete",SUM(G2781:I2781)-J2781-K2781-L2781+M2781+IF(C2781=0,Paths!$F$259,0)+IF(IF(Paths!$E$259=0,C2781=0,AND(C2781&gt;0,Paths!$E$259&gt;(C2781-1)*12,Paths!$E$259&lt;=C2781*12)),VLOOKUP(A2781,'Fleet register'!$A$7:$S$106,16,FALSE),0),"n.a."))</f>
        <v>0</v>
      </c>
      <c r="O2781" s="16">
        <f>IF(NOT(Paths!$C$259=1),0,IF(Paths!$P$259="Complete",N2781-IF(C2781=0,Paths!$F$259,0),"n.a."))</f>
        <v>0</v>
      </c>
      <c r="P2781" s="16">
        <f>IF(NOT(Paths!$C$259=1),0,IF(Paths!$P$259="Complete",O2781+L2781,"n.a."))</f>
        <v>0</v>
      </c>
      <c r="Q2781" s="16">
        <f>IF(NOT(Paths!$C$259=1),0,IF(Paths!$P$259="Complete",N2781*(1+'Operating costs'!$B$54)^-C2781,"n.a."))</f>
        <v>0</v>
      </c>
      <c r="R2781" s="16">
        <f>IF(NOT(Paths!$C$259=1),0,IF(Paths!$P$259="Complete",IF(AND(C2781=0,Paths!$E$259=0),I2781-J2781-K2781+VLOOKUP(A2781,'Fleet register'!$A$7:$S$106,15,FALSE)+VLOOKUP(A2781,'Fleet register'!$A$7:$S$106,16,FALSE),0),"n.a."))</f>
        <v>0</v>
      </c>
      <c r="S2781" s="1">
        <f>IF(NOT(Paths!$C$259=1),0,IF(Paths!$P$259="Complete",IF(C2781=0,0,Paths!$S$259*Paths!$R$259),"n.a."))</f>
        <v>0</v>
      </c>
      <c r="T2781" s="1">
        <f>IF(NOT(Paths!$C$259=1),0,IF(Paths!$P$259="Complete",IF(C2781=0,0,VLOOKUP(A2781,'Fleet register'!$A$7:$S$106,9,FALSE)*Paths!$R$259),"n.a."))</f>
        <v>0</v>
      </c>
    </row>
    <row r="2782" spans="1:20" ht="24" customHeight="1">
      <c r="A2782" s="1" t="str">
        <f>Paths!$A$259</f>
        <v>T064</v>
      </c>
      <c r="B2782" s="1">
        <f>Paths!$B$259</f>
        <v>0</v>
      </c>
      <c r="C2782" s="1">
        <v>3</v>
      </c>
      <c r="D2782" s="1">
        <v>259</v>
      </c>
      <c r="E2782" s="1">
        <f>IF(OR(Paths!$C$259=0,C2782=0),0,MAX(0,MIN(C2782*12,Paths!$E$259)-(C2782-1)*12))</f>
        <v>0</v>
      </c>
      <c r="F2782" s="1">
        <f>IF(OR(Paths!$C$259=0,C2782=0),0,12-E2782)</f>
        <v>0</v>
      </c>
      <c r="G2782" s="16">
        <f>IF(NOT(Paths!$C$259=1),0,IF(Paths!$P$259="Complete",E2782/12*(Paths!$J$259*(1+'Operating costs'!$B$51)^MAX(0,C2782-1)+Paths!$K$259*(1+'Operating costs'!$B$53)^MAX(0,C2782-1)),"n.a."))</f>
        <v>0</v>
      </c>
      <c r="H2782" s="16">
        <f>IF(NOT(Paths!$C$259=1),0,IF(Paths!$P$259="Complete",F2782/12*(Paths!$L$259*(1+IF(Paths!$D$259="EV",'Operating costs'!$B$52,'Operating costs'!$B$51))^MAX(0,C2782-1)+Paths!$M$259*(1+'Operating costs'!$B$53)^MAX(0,C2782-1)),"n.a."))</f>
        <v>0</v>
      </c>
      <c r="I2782" s="16">
        <f>IF(NOT(Paths!$C$259=1),0,IF(Paths!$P$259="Complete",IF(IF(Paths!$E$259=0,C2782=0,AND(C2782&gt;0,Paths!$E$259&gt;(C2782-1)*12,Paths!$E$259&lt;=C2782*12)),Paths!$G$259,0),"n.a."))</f>
        <v>0</v>
      </c>
      <c r="J2782" s="16">
        <f>IF(NOT(Paths!$C$259=1),0,IF(Paths!$P$259="Complete",IF(IF(Paths!$E$259=0,C2782=0,AND(C2782&gt;0,Paths!$E$259&gt;(C2782-1)*12,Paths!$E$259&lt;=C2782*12)),Paths!$H$259,0),"n.a."))</f>
        <v>0</v>
      </c>
      <c r="K2782" s="16">
        <f>IF(NOT(Paths!$C$259=1),0,IF(Paths!$P$259="Complete",IF(IF(Paths!$O$259=0,C2782=0,AND(C2782&gt;0,Paths!$O$259&gt;(C2782-1)*12,Paths!$O$259&lt;=C2782*12)),Paths!$N$259,0),"n.a."))</f>
        <v>0</v>
      </c>
      <c r="L2782" s="16">
        <f>IF(NOT(Paths!$C$259=1),0,IF(Paths!$P$259="Complete",IF(C2782=10,Paths!$I$259,0),"n.a."))</f>
        <v>0</v>
      </c>
      <c r="M2782" s="16">
        <f>IF(NOT(Paths!$C$259=1),0,IF(Paths!$P$259="Complete",IF(AND(Paths!$D$259="EV",Paths!$E$259&lt;120,Paths!$E$259+'Operating costs'!$B$65&gt;Paths!$E$259,Paths!$E$259+'Operating costs'!$B$65&lt;=120,IF(Paths!$E$259+'Operating costs'!$B$65=0,C2782=0,AND(C2782&gt;0,Paths!$E$259+'Operating costs'!$B$65&gt;(C2782-1)*12,Paths!$E$259+'Operating costs'!$B$65&lt;=C2782*12))),'Operating costs'!$B$64,0)+IF(AND('Operating costs'!$B$67&gt;0,'Operating costs'!$B$67&lt;=120,OR(Paths!$D$259="ICE",'Operating costs'!$B$67&lt;=Paths!$E$259),IF('Operating costs'!$B$67=0,C2782=0,AND(C2782&gt;0,'Operating costs'!$B$67&gt;(C2782-1)*12,'Operating costs'!$B$67&lt;=C2782*12))),'Operating costs'!$B$66,0),"n.a."))</f>
        <v>0</v>
      </c>
      <c r="N2782" s="16">
        <f>IF(NOT(Paths!$C$259=1),0,IF(Paths!$P$259="Complete",SUM(G2782:I2782)-J2782-K2782-L2782+M2782+IF(C2782=0,Paths!$F$259,0)+IF(IF(Paths!$E$259=0,C2782=0,AND(C2782&gt;0,Paths!$E$259&gt;(C2782-1)*12,Paths!$E$259&lt;=C2782*12)),VLOOKUP(A2782,'Fleet register'!$A$7:$S$106,16,FALSE),0),"n.a."))</f>
        <v>0</v>
      </c>
      <c r="O2782" s="16">
        <f>IF(NOT(Paths!$C$259=1),0,IF(Paths!$P$259="Complete",N2782-IF(C2782=0,Paths!$F$259,0),"n.a."))</f>
        <v>0</v>
      </c>
      <c r="P2782" s="16">
        <f>IF(NOT(Paths!$C$259=1),0,IF(Paths!$P$259="Complete",O2782+L2782,"n.a."))</f>
        <v>0</v>
      </c>
      <c r="Q2782" s="16">
        <f>IF(NOT(Paths!$C$259=1),0,IF(Paths!$P$259="Complete",N2782*(1+'Operating costs'!$B$54)^-C2782,"n.a."))</f>
        <v>0</v>
      </c>
      <c r="R2782" s="16">
        <f>IF(NOT(Paths!$C$259=1),0,IF(Paths!$P$259="Complete",IF(AND(C2782=0,Paths!$E$259=0),I2782-J2782-K2782+VLOOKUP(A2782,'Fleet register'!$A$7:$S$106,15,FALSE)+VLOOKUP(A2782,'Fleet register'!$A$7:$S$106,16,FALSE),0),"n.a."))</f>
        <v>0</v>
      </c>
      <c r="S2782" s="1">
        <f>IF(NOT(Paths!$C$259=1),0,IF(Paths!$P$259="Complete",IF(C2782=0,0,Paths!$S$259*Paths!$R$259),"n.a."))</f>
        <v>0</v>
      </c>
      <c r="T2782" s="1">
        <f>IF(NOT(Paths!$C$259=1),0,IF(Paths!$P$259="Complete",IF(C2782=0,0,VLOOKUP(A2782,'Fleet register'!$A$7:$S$106,9,FALSE)*Paths!$R$259),"n.a."))</f>
        <v>0</v>
      </c>
    </row>
    <row r="2783" spans="1:20" ht="24" customHeight="1">
      <c r="A2783" s="1" t="str">
        <f>Paths!$A$259</f>
        <v>T064</v>
      </c>
      <c r="B2783" s="1">
        <f>Paths!$B$259</f>
        <v>0</v>
      </c>
      <c r="C2783" s="1">
        <v>4</v>
      </c>
      <c r="D2783" s="1">
        <v>259</v>
      </c>
      <c r="E2783" s="1">
        <f>IF(OR(Paths!$C$259=0,C2783=0),0,MAX(0,MIN(C2783*12,Paths!$E$259)-(C2783-1)*12))</f>
        <v>0</v>
      </c>
      <c r="F2783" s="1">
        <f>IF(OR(Paths!$C$259=0,C2783=0),0,12-E2783)</f>
        <v>0</v>
      </c>
      <c r="G2783" s="16">
        <f>IF(NOT(Paths!$C$259=1),0,IF(Paths!$P$259="Complete",E2783/12*(Paths!$J$259*(1+'Operating costs'!$B$51)^MAX(0,C2783-1)+Paths!$K$259*(1+'Operating costs'!$B$53)^MAX(0,C2783-1)),"n.a."))</f>
        <v>0</v>
      </c>
      <c r="H2783" s="16">
        <f>IF(NOT(Paths!$C$259=1),0,IF(Paths!$P$259="Complete",F2783/12*(Paths!$L$259*(1+IF(Paths!$D$259="EV",'Operating costs'!$B$52,'Operating costs'!$B$51))^MAX(0,C2783-1)+Paths!$M$259*(1+'Operating costs'!$B$53)^MAX(0,C2783-1)),"n.a."))</f>
        <v>0</v>
      </c>
      <c r="I2783" s="16">
        <f>IF(NOT(Paths!$C$259=1),0,IF(Paths!$P$259="Complete",IF(IF(Paths!$E$259=0,C2783=0,AND(C2783&gt;0,Paths!$E$259&gt;(C2783-1)*12,Paths!$E$259&lt;=C2783*12)),Paths!$G$259,0),"n.a."))</f>
        <v>0</v>
      </c>
      <c r="J2783" s="16">
        <f>IF(NOT(Paths!$C$259=1),0,IF(Paths!$P$259="Complete",IF(IF(Paths!$E$259=0,C2783=0,AND(C2783&gt;0,Paths!$E$259&gt;(C2783-1)*12,Paths!$E$259&lt;=C2783*12)),Paths!$H$259,0),"n.a."))</f>
        <v>0</v>
      </c>
      <c r="K2783" s="16">
        <f>IF(NOT(Paths!$C$259=1),0,IF(Paths!$P$259="Complete",IF(IF(Paths!$O$259=0,C2783=0,AND(C2783&gt;0,Paths!$O$259&gt;(C2783-1)*12,Paths!$O$259&lt;=C2783*12)),Paths!$N$259,0),"n.a."))</f>
        <v>0</v>
      </c>
      <c r="L2783" s="16">
        <f>IF(NOT(Paths!$C$259=1),0,IF(Paths!$P$259="Complete",IF(C2783=10,Paths!$I$259,0),"n.a."))</f>
        <v>0</v>
      </c>
      <c r="M2783" s="16">
        <f>IF(NOT(Paths!$C$259=1),0,IF(Paths!$P$259="Complete",IF(AND(Paths!$D$259="EV",Paths!$E$259&lt;120,Paths!$E$259+'Operating costs'!$B$65&gt;Paths!$E$259,Paths!$E$259+'Operating costs'!$B$65&lt;=120,IF(Paths!$E$259+'Operating costs'!$B$65=0,C2783=0,AND(C2783&gt;0,Paths!$E$259+'Operating costs'!$B$65&gt;(C2783-1)*12,Paths!$E$259+'Operating costs'!$B$65&lt;=C2783*12))),'Operating costs'!$B$64,0)+IF(AND('Operating costs'!$B$67&gt;0,'Operating costs'!$B$67&lt;=120,OR(Paths!$D$259="ICE",'Operating costs'!$B$67&lt;=Paths!$E$259),IF('Operating costs'!$B$67=0,C2783=0,AND(C2783&gt;0,'Operating costs'!$B$67&gt;(C2783-1)*12,'Operating costs'!$B$67&lt;=C2783*12))),'Operating costs'!$B$66,0),"n.a."))</f>
        <v>0</v>
      </c>
      <c r="N2783" s="16">
        <f>IF(NOT(Paths!$C$259=1),0,IF(Paths!$P$259="Complete",SUM(G2783:I2783)-J2783-K2783-L2783+M2783+IF(C2783=0,Paths!$F$259,0)+IF(IF(Paths!$E$259=0,C2783=0,AND(C2783&gt;0,Paths!$E$259&gt;(C2783-1)*12,Paths!$E$259&lt;=C2783*12)),VLOOKUP(A2783,'Fleet register'!$A$7:$S$106,16,FALSE),0),"n.a."))</f>
        <v>0</v>
      </c>
      <c r="O2783" s="16">
        <f>IF(NOT(Paths!$C$259=1),0,IF(Paths!$P$259="Complete",N2783-IF(C2783=0,Paths!$F$259,0),"n.a."))</f>
        <v>0</v>
      </c>
      <c r="P2783" s="16">
        <f>IF(NOT(Paths!$C$259=1),0,IF(Paths!$P$259="Complete",O2783+L2783,"n.a."))</f>
        <v>0</v>
      </c>
      <c r="Q2783" s="16">
        <f>IF(NOT(Paths!$C$259=1),0,IF(Paths!$P$259="Complete",N2783*(1+'Operating costs'!$B$54)^-C2783,"n.a."))</f>
        <v>0</v>
      </c>
      <c r="R2783" s="16">
        <f>IF(NOT(Paths!$C$259=1),0,IF(Paths!$P$259="Complete",IF(AND(C2783=0,Paths!$E$259=0),I2783-J2783-K2783+VLOOKUP(A2783,'Fleet register'!$A$7:$S$106,15,FALSE)+VLOOKUP(A2783,'Fleet register'!$A$7:$S$106,16,FALSE),0),"n.a."))</f>
        <v>0</v>
      </c>
      <c r="S2783" s="1">
        <f>IF(NOT(Paths!$C$259=1),0,IF(Paths!$P$259="Complete",IF(C2783=0,0,Paths!$S$259*Paths!$R$259),"n.a."))</f>
        <v>0</v>
      </c>
      <c r="T2783" s="1">
        <f>IF(NOT(Paths!$C$259=1),0,IF(Paths!$P$259="Complete",IF(C2783=0,0,VLOOKUP(A2783,'Fleet register'!$A$7:$S$106,9,FALSE)*Paths!$R$259),"n.a."))</f>
        <v>0</v>
      </c>
    </row>
    <row r="2784" spans="1:20" ht="24" customHeight="1">
      <c r="A2784" s="1" t="str">
        <f>Paths!$A$259</f>
        <v>T064</v>
      </c>
      <c r="B2784" s="1">
        <f>Paths!$B$259</f>
        <v>0</v>
      </c>
      <c r="C2784" s="1">
        <v>5</v>
      </c>
      <c r="D2784" s="1">
        <v>259</v>
      </c>
      <c r="E2784" s="1">
        <f>IF(OR(Paths!$C$259=0,C2784=0),0,MAX(0,MIN(C2784*12,Paths!$E$259)-(C2784-1)*12))</f>
        <v>0</v>
      </c>
      <c r="F2784" s="1">
        <f>IF(OR(Paths!$C$259=0,C2784=0),0,12-E2784)</f>
        <v>0</v>
      </c>
      <c r="G2784" s="16">
        <f>IF(NOT(Paths!$C$259=1),0,IF(Paths!$P$259="Complete",E2784/12*(Paths!$J$259*(1+'Operating costs'!$B$51)^MAX(0,C2784-1)+Paths!$K$259*(1+'Operating costs'!$B$53)^MAX(0,C2784-1)),"n.a."))</f>
        <v>0</v>
      </c>
      <c r="H2784" s="16">
        <f>IF(NOT(Paths!$C$259=1),0,IF(Paths!$P$259="Complete",F2784/12*(Paths!$L$259*(1+IF(Paths!$D$259="EV",'Operating costs'!$B$52,'Operating costs'!$B$51))^MAX(0,C2784-1)+Paths!$M$259*(1+'Operating costs'!$B$53)^MAX(0,C2784-1)),"n.a."))</f>
        <v>0</v>
      </c>
      <c r="I2784" s="16">
        <f>IF(NOT(Paths!$C$259=1),0,IF(Paths!$P$259="Complete",IF(IF(Paths!$E$259=0,C2784=0,AND(C2784&gt;0,Paths!$E$259&gt;(C2784-1)*12,Paths!$E$259&lt;=C2784*12)),Paths!$G$259,0),"n.a."))</f>
        <v>0</v>
      </c>
      <c r="J2784" s="16">
        <f>IF(NOT(Paths!$C$259=1),0,IF(Paths!$P$259="Complete",IF(IF(Paths!$E$259=0,C2784=0,AND(C2784&gt;0,Paths!$E$259&gt;(C2784-1)*12,Paths!$E$259&lt;=C2784*12)),Paths!$H$259,0),"n.a."))</f>
        <v>0</v>
      </c>
      <c r="K2784" s="16">
        <f>IF(NOT(Paths!$C$259=1),0,IF(Paths!$P$259="Complete",IF(IF(Paths!$O$259=0,C2784=0,AND(C2784&gt;0,Paths!$O$259&gt;(C2784-1)*12,Paths!$O$259&lt;=C2784*12)),Paths!$N$259,0),"n.a."))</f>
        <v>0</v>
      </c>
      <c r="L2784" s="16">
        <f>IF(NOT(Paths!$C$259=1),0,IF(Paths!$P$259="Complete",IF(C2784=10,Paths!$I$259,0),"n.a."))</f>
        <v>0</v>
      </c>
      <c r="M2784" s="16">
        <f>IF(NOT(Paths!$C$259=1),0,IF(Paths!$P$259="Complete",IF(AND(Paths!$D$259="EV",Paths!$E$259&lt;120,Paths!$E$259+'Operating costs'!$B$65&gt;Paths!$E$259,Paths!$E$259+'Operating costs'!$B$65&lt;=120,IF(Paths!$E$259+'Operating costs'!$B$65=0,C2784=0,AND(C2784&gt;0,Paths!$E$259+'Operating costs'!$B$65&gt;(C2784-1)*12,Paths!$E$259+'Operating costs'!$B$65&lt;=C2784*12))),'Operating costs'!$B$64,0)+IF(AND('Operating costs'!$B$67&gt;0,'Operating costs'!$B$67&lt;=120,OR(Paths!$D$259="ICE",'Operating costs'!$B$67&lt;=Paths!$E$259),IF('Operating costs'!$B$67=0,C2784=0,AND(C2784&gt;0,'Operating costs'!$B$67&gt;(C2784-1)*12,'Operating costs'!$B$67&lt;=C2784*12))),'Operating costs'!$B$66,0),"n.a."))</f>
        <v>0</v>
      </c>
      <c r="N2784" s="16">
        <f>IF(NOT(Paths!$C$259=1),0,IF(Paths!$P$259="Complete",SUM(G2784:I2784)-J2784-K2784-L2784+M2784+IF(C2784=0,Paths!$F$259,0)+IF(IF(Paths!$E$259=0,C2784=0,AND(C2784&gt;0,Paths!$E$259&gt;(C2784-1)*12,Paths!$E$259&lt;=C2784*12)),VLOOKUP(A2784,'Fleet register'!$A$7:$S$106,16,FALSE),0),"n.a."))</f>
        <v>0</v>
      </c>
      <c r="O2784" s="16">
        <f>IF(NOT(Paths!$C$259=1),0,IF(Paths!$P$259="Complete",N2784-IF(C2784=0,Paths!$F$259,0),"n.a."))</f>
        <v>0</v>
      </c>
      <c r="P2784" s="16">
        <f>IF(NOT(Paths!$C$259=1),0,IF(Paths!$P$259="Complete",O2784+L2784,"n.a."))</f>
        <v>0</v>
      </c>
      <c r="Q2784" s="16">
        <f>IF(NOT(Paths!$C$259=1),0,IF(Paths!$P$259="Complete",N2784*(1+'Operating costs'!$B$54)^-C2784,"n.a."))</f>
        <v>0</v>
      </c>
      <c r="R2784" s="16">
        <f>IF(NOT(Paths!$C$259=1),0,IF(Paths!$P$259="Complete",IF(AND(C2784=0,Paths!$E$259=0),I2784-J2784-K2784+VLOOKUP(A2784,'Fleet register'!$A$7:$S$106,15,FALSE)+VLOOKUP(A2784,'Fleet register'!$A$7:$S$106,16,FALSE),0),"n.a."))</f>
        <v>0</v>
      </c>
      <c r="S2784" s="1">
        <f>IF(NOT(Paths!$C$259=1),0,IF(Paths!$P$259="Complete",IF(C2784=0,0,Paths!$S$259*Paths!$R$259),"n.a."))</f>
        <v>0</v>
      </c>
      <c r="T2784" s="1">
        <f>IF(NOT(Paths!$C$259=1),0,IF(Paths!$P$259="Complete",IF(C2784=0,0,VLOOKUP(A2784,'Fleet register'!$A$7:$S$106,9,FALSE)*Paths!$R$259),"n.a."))</f>
        <v>0</v>
      </c>
    </row>
    <row r="2785" spans="1:20" ht="24" customHeight="1">
      <c r="A2785" s="1" t="str">
        <f>Paths!$A$259</f>
        <v>T064</v>
      </c>
      <c r="B2785" s="1">
        <f>Paths!$B$259</f>
        <v>0</v>
      </c>
      <c r="C2785" s="1">
        <v>6</v>
      </c>
      <c r="D2785" s="1">
        <v>259</v>
      </c>
      <c r="E2785" s="1">
        <f>IF(OR(Paths!$C$259=0,C2785=0),0,MAX(0,MIN(C2785*12,Paths!$E$259)-(C2785-1)*12))</f>
        <v>0</v>
      </c>
      <c r="F2785" s="1">
        <f>IF(OR(Paths!$C$259=0,C2785=0),0,12-E2785)</f>
        <v>0</v>
      </c>
      <c r="G2785" s="16">
        <f>IF(NOT(Paths!$C$259=1),0,IF(Paths!$P$259="Complete",E2785/12*(Paths!$J$259*(1+'Operating costs'!$B$51)^MAX(0,C2785-1)+Paths!$K$259*(1+'Operating costs'!$B$53)^MAX(0,C2785-1)),"n.a."))</f>
        <v>0</v>
      </c>
      <c r="H2785" s="16">
        <f>IF(NOT(Paths!$C$259=1),0,IF(Paths!$P$259="Complete",F2785/12*(Paths!$L$259*(1+IF(Paths!$D$259="EV",'Operating costs'!$B$52,'Operating costs'!$B$51))^MAX(0,C2785-1)+Paths!$M$259*(1+'Operating costs'!$B$53)^MAX(0,C2785-1)),"n.a."))</f>
        <v>0</v>
      </c>
      <c r="I2785" s="16">
        <f>IF(NOT(Paths!$C$259=1),0,IF(Paths!$P$259="Complete",IF(IF(Paths!$E$259=0,C2785=0,AND(C2785&gt;0,Paths!$E$259&gt;(C2785-1)*12,Paths!$E$259&lt;=C2785*12)),Paths!$G$259,0),"n.a."))</f>
        <v>0</v>
      </c>
      <c r="J2785" s="16">
        <f>IF(NOT(Paths!$C$259=1),0,IF(Paths!$P$259="Complete",IF(IF(Paths!$E$259=0,C2785=0,AND(C2785&gt;0,Paths!$E$259&gt;(C2785-1)*12,Paths!$E$259&lt;=C2785*12)),Paths!$H$259,0),"n.a."))</f>
        <v>0</v>
      </c>
      <c r="K2785" s="16">
        <f>IF(NOT(Paths!$C$259=1),0,IF(Paths!$P$259="Complete",IF(IF(Paths!$O$259=0,C2785=0,AND(C2785&gt;0,Paths!$O$259&gt;(C2785-1)*12,Paths!$O$259&lt;=C2785*12)),Paths!$N$259,0),"n.a."))</f>
        <v>0</v>
      </c>
      <c r="L2785" s="16">
        <f>IF(NOT(Paths!$C$259=1),0,IF(Paths!$P$259="Complete",IF(C2785=10,Paths!$I$259,0),"n.a."))</f>
        <v>0</v>
      </c>
      <c r="M2785" s="16">
        <f>IF(NOT(Paths!$C$259=1),0,IF(Paths!$P$259="Complete",IF(AND(Paths!$D$259="EV",Paths!$E$259&lt;120,Paths!$E$259+'Operating costs'!$B$65&gt;Paths!$E$259,Paths!$E$259+'Operating costs'!$B$65&lt;=120,IF(Paths!$E$259+'Operating costs'!$B$65=0,C2785=0,AND(C2785&gt;0,Paths!$E$259+'Operating costs'!$B$65&gt;(C2785-1)*12,Paths!$E$259+'Operating costs'!$B$65&lt;=C2785*12))),'Operating costs'!$B$64,0)+IF(AND('Operating costs'!$B$67&gt;0,'Operating costs'!$B$67&lt;=120,OR(Paths!$D$259="ICE",'Operating costs'!$B$67&lt;=Paths!$E$259),IF('Operating costs'!$B$67=0,C2785=0,AND(C2785&gt;0,'Operating costs'!$B$67&gt;(C2785-1)*12,'Operating costs'!$B$67&lt;=C2785*12))),'Operating costs'!$B$66,0),"n.a."))</f>
        <v>0</v>
      </c>
      <c r="N2785" s="16">
        <f>IF(NOT(Paths!$C$259=1),0,IF(Paths!$P$259="Complete",SUM(G2785:I2785)-J2785-K2785-L2785+M2785+IF(C2785=0,Paths!$F$259,0)+IF(IF(Paths!$E$259=0,C2785=0,AND(C2785&gt;0,Paths!$E$259&gt;(C2785-1)*12,Paths!$E$259&lt;=C2785*12)),VLOOKUP(A2785,'Fleet register'!$A$7:$S$106,16,FALSE),0),"n.a."))</f>
        <v>0</v>
      </c>
      <c r="O2785" s="16">
        <f>IF(NOT(Paths!$C$259=1),0,IF(Paths!$P$259="Complete",N2785-IF(C2785=0,Paths!$F$259,0),"n.a."))</f>
        <v>0</v>
      </c>
      <c r="P2785" s="16">
        <f>IF(NOT(Paths!$C$259=1),0,IF(Paths!$P$259="Complete",O2785+L2785,"n.a."))</f>
        <v>0</v>
      </c>
      <c r="Q2785" s="16">
        <f>IF(NOT(Paths!$C$259=1),0,IF(Paths!$P$259="Complete",N2785*(1+'Operating costs'!$B$54)^-C2785,"n.a."))</f>
        <v>0</v>
      </c>
      <c r="R2785" s="16">
        <f>IF(NOT(Paths!$C$259=1),0,IF(Paths!$P$259="Complete",IF(AND(C2785=0,Paths!$E$259=0),I2785-J2785-K2785+VLOOKUP(A2785,'Fleet register'!$A$7:$S$106,15,FALSE)+VLOOKUP(A2785,'Fleet register'!$A$7:$S$106,16,FALSE),0),"n.a."))</f>
        <v>0</v>
      </c>
      <c r="S2785" s="1">
        <f>IF(NOT(Paths!$C$259=1),0,IF(Paths!$P$259="Complete",IF(C2785=0,0,Paths!$S$259*Paths!$R$259),"n.a."))</f>
        <v>0</v>
      </c>
      <c r="T2785" s="1">
        <f>IF(NOT(Paths!$C$259=1),0,IF(Paths!$P$259="Complete",IF(C2785=0,0,VLOOKUP(A2785,'Fleet register'!$A$7:$S$106,9,FALSE)*Paths!$R$259),"n.a."))</f>
        <v>0</v>
      </c>
    </row>
    <row r="2786" spans="1:20" ht="24" customHeight="1">
      <c r="A2786" s="1" t="str">
        <f>Paths!$A$259</f>
        <v>T064</v>
      </c>
      <c r="B2786" s="1">
        <f>Paths!$B$259</f>
        <v>0</v>
      </c>
      <c r="C2786" s="1">
        <v>7</v>
      </c>
      <c r="D2786" s="1">
        <v>259</v>
      </c>
      <c r="E2786" s="1">
        <f>IF(OR(Paths!$C$259=0,C2786=0),0,MAX(0,MIN(C2786*12,Paths!$E$259)-(C2786-1)*12))</f>
        <v>0</v>
      </c>
      <c r="F2786" s="1">
        <f>IF(OR(Paths!$C$259=0,C2786=0),0,12-E2786)</f>
        <v>0</v>
      </c>
      <c r="G2786" s="16">
        <f>IF(NOT(Paths!$C$259=1),0,IF(Paths!$P$259="Complete",E2786/12*(Paths!$J$259*(1+'Operating costs'!$B$51)^MAX(0,C2786-1)+Paths!$K$259*(1+'Operating costs'!$B$53)^MAX(0,C2786-1)),"n.a."))</f>
        <v>0</v>
      </c>
      <c r="H2786" s="16">
        <f>IF(NOT(Paths!$C$259=1),0,IF(Paths!$P$259="Complete",F2786/12*(Paths!$L$259*(1+IF(Paths!$D$259="EV",'Operating costs'!$B$52,'Operating costs'!$B$51))^MAX(0,C2786-1)+Paths!$M$259*(1+'Operating costs'!$B$53)^MAX(0,C2786-1)),"n.a."))</f>
        <v>0</v>
      </c>
      <c r="I2786" s="16">
        <f>IF(NOT(Paths!$C$259=1),0,IF(Paths!$P$259="Complete",IF(IF(Paths!$E$259=0,C2786=0,AND(C2786&gt;0,Paths!$E$259&gt;(C2786-1)*12,Paths!$E$259&lt;=C2786*12)),Paths!$G$259,0),"n.a."))</f>
        <v>0</v>
      </c>
      <c r="J2786" s="16">
        <f>IF(NOT(Paths!$C$259=1),0,IF(Paths!$P$259="Complete",IF(IF(Paths!$E$259=0,C2786=0,AND(C2786&gt;0,Paths!$E$259&gt;(C2786-1)*12,Paths!$E$259&lt;=C2786*12)),Paths!$H$259,0),"n.a."))</f>
        <v>0</v>
      </c>
      <c r="K2786" s="16">
        <f>IF(NOT(Paths!$C$259=1),0,IF(Paths!$P$259="Complete",IF(IF(Paths!$O$259=0,C2786=0,AND(C2786&gt;0,Paths!$O$259&gt;(C2786-1)*12,Paths!$O$259&lt;=C2786*12)),Paths!$N$259,0),"n.a."))</f>
        <v>0</v>
      </c>
      <c r="L2786" s="16">
        <f>IF(NOT(Paths!$C$259=1),0,IF(Paths!$P$259="Complete",IF(C2786=10,Paths!$I$259,0),"n.a."))</f>
        <v>0</v>
      </c>
      <c r="M2786" s="16">
        <f>IF(NOT(Paths!$C$259=1),0,IF(Paths!$P$259="Complete",IF(AND(Paths!$D$259="EV",Paths!$E$259&lt;120,Paths!$E$259+'Operating costs'!$B$65&gt;Paths!$E$259,Paths!$E$259+'Operating costs'!$B$65&lt;=120,IF(Paths!$E$259+'Operating costs'!$B$65=0,C2786=0,AND(C2786&gt;0,Paths!$E$259+'Operating costs'!$B$65&gt;(C2786-1)*12,Paths!$E$259+'Operating costs'!$B$65&lt;=C2786*12))),'Operating costs'!$B$64,0)+IF(AND('Operating costs'!$B$67&gt;0,'Operating costs'!$B$67&lt;=120,OR(Paths!$D$259="ICE",'Operating costs'!$B$67&lt;=Paths!$E$259),IF('Operating costs'!$B$67=0,C2786=0,AND(C2786&gt;0,'Operating costs'!$B$67&gt;(C2786-1)*12,'Operating costs'!$B$67&lt;=C2786*12))),'Operating costs'!$B$66,0),"n.a."))</f>
        <v>0</v>
      </c>
      <c r="N2786" s="16">
        <f>IF(NOT(Paths!$C$259=1),0,IF(Paths!$P$259="Complete",SUM(G2786:I2786)-J2786-K2786-L2786+M2786+IF(C2786=0,Paths!$F$259,0)+IF(IF(Paths!$E$259=0,C2786=0,AND(C2786&gt;0,Paths!$E$259&gt;(C2786-1)*12,Paths!$E$259&lt;=C2786*12)),VLOOKUP(A2786,'Fleet register'!$A$7:$S$106,16,FALSE),0),"n.a."))</f>
        <v>0</v>
      </c>
      <c r="O2786" s="16">
        <f>IF(NOT(Paths!$C$259=1),0,IF(Paths!$P$259="Complete",N2786-IF(C2786=0,Paths!$F$259,0),"n.a."))</f>
        <v>0</v>
      </c>
      <c r="P2786" s="16">
        <f>IF(NOT(Paths!$C$259=1),0,IF(Paths!$P$259="Complete",O2786+L2786,"n.a."))</f>
        <v>0</v>
      </c>
      <c r="Q2786" s="16">
        <f>IF(NOT(Paths!$C$259=1),0,IF(Paths!$P$259="Complete",N2786*(1+'Operating costs'!$B$54)^-C2786,"n.a."))</f>
        <v>0</v>
      </c>
      <c r="R2786" s="16">
        <f>IF(NOT(Paths!$C$259=1),0,IF(Paths!$P$259="Complete",IF(AND(C2786=0,Paths!$E$259=0),I2786-J2786-K2786+VLOOKUP(A2786,'Fleet register'!$A$7:$S$106,15,FALSE)+VLOOKUP(A2786,'Fleet register'!$A$7:$S$106,16,FALSE),0),"n.a."))</f>
        <v>0</v>
      </c>
      <c r="S2786" s="1">
        <f>IF(NOT(Paths!$C$259=1),0,IF(Paths!$P$259="Complete",IF(C2786=0,0,Paths!$S$259*Paths!$R$259),"n.a."))</f>
        <v>0</v>
      </c>
      <c r="T2786" s="1">
        <f>IF(NOT(Paths!$C$259=1),0,IF(Paths!$P$259="Complete",IF(C2786=0,0,VLOOKUP(A2786,'Fleet register'!$A$7:$S$106,9,FALSE)*Paths!$R$259),"n.a."))</f>
        <v>0</v>
      </c>
    </row>
    <row r="2787" spans="1:20" ht="24" customHeight="1">
      <c r="A2787" s="1" t="str">
        <f>Paths!$A$259</f>
        <v>T064</v>
      </c>
      <c r="B2787" s="1">
        <f>Paths!$B$259</f>
        <v>0</v>
      </c>
      <c r="C2787" s="1">
        <v>8</v>
      </c>
      <c r="D2787" s="1">
        <v>259</v>
      </c>
      <c r="E2787" s="1">
        <f>IF(OR(Paths!$C$259=0,C2787=0),0,MAX(0,MIN(C2787*12,Paths!$E$259)-(C2787-1)*12))</f>
        <v>0</v>
      </c>
      <c r="F2787" s="1">
        <f>IF(OR(Paths!$C$259=0,C2787=0),0,12-E2787)</f>
        <v>0</v>
      </c>
      <c r="G2787" s="16">
        <f>IF(NOT(Paths!$C$259=1),0,IF(Paths!$P$259="Complete",E2787/12*(Paths!$J$259*(1+'Operating costs'!$B$51)^MAX(0,C2787-1)+Paths!$K$259*(1+'Operating costs'!$B$53)^MAX(0,C2787-1)),"n.a."))</f>
        <v>0</v>
      </c>
      <c r="H2787" s="16">
        <f>IF(NOT(Paths!$C$259=1),0,IF(Paths!$P$259="Complete",F2787/12*(Paths!$L$259*(1+IF(Paths!$D$259="EV",'Operating costs'!$B$52,'Operating costs'!$B$51))^MAX(0,C2787-1)+Paths!$M$259*(1+'Operating costs'!$B$53)^MAX(0,C2787-1)),"n.a."))</f>
        <v>0</v>
      </c>
      <c r="I2787" s="16">
        <f>IF(NOT(Paths!$C$259=1),0,IF(Paths!$P$259="Complete",IF(IF(Paths!$E$259=0,C2787=0,AND(C2787&gt;0,Paths!$E$259&gt;(C2787-1)*12,Paths!$E$259&lt;=C2787*12)),Paths!$G$259,0),"n.a."))</f>
        <v>0</v>
      </c>
      <c r="J2787" s="16">
        <f>IF(NOT(Paths!$C$259=1),0,IF(Paths!$P$259="Complete",IF(IF(Paths!$E$259=0,C2787=0,AND(C2787&gt;0,Paths!$E$259&gt;(C2787-1)*12,Paths!$E$259&lt;=C2787*12)),Paths!$H$259,0),"n.a."))</f>
        <v>0</v>
      </c>
      <c r="K2787" s="16">
        <f>IF(NOT(Paths!$C$259=1),0,IF(Paths!$P$259="Complete",IF(IF(Paths!$O$259=0,C2787=0,AND(C2787&gt;0,Paths!$O$259&gt;(C2787-1)*12,Paths!$O$259&lt;=C2787*12)),Paths!$N$259,0),"n.a."))</f>
        <v>0</v>
      </c>
      <c r="L2787" s="16">
        <f>IF(NOT(Paths!$C$259=1),0,IF(Paths!$P$259="Complete",IF(C2787=10,Paths!$I$259,0),"n.a."))</f>
        <v>0</v>
      </c>
      <c r="M2787" s="16">
        <f>IF(NOT(Paths!$C$259=1),0,IF(Paths!$P$259="Complete",IF(AND(Paths!$D$259="EV",Paths!$E$259&lt;120,Paths!$E$259+'Operating costs'!$B$65&gt;Paths!$E$259,Paths!$E$259+'Operating costs'!$B$65&lt;=120,IF(Paths!$E$259+'Operating costs'!$B$65=0,C2787=0,AND(C2787&gt;0,Paths!$E$259+'Operating costs'!$B$65&gt;(C2787-1)*12,Paths!$E$259+'Operating costs'!$B$65&lt;=C2787*12))),'Operating costs'!$B$64,0)+IF(AND('Operating costs'!$B$67&gt;0,'Operating costs'!$B$67&lt;=120,OR(Paths!$D$259="ICE",'Operating costs'!$B$67&lt;=Paths!$E$259),IF('Operating costs'!$B$67=0,C2787=0,AND(C2787&gt;0,'Operating costs'!$B$67&gt;(C2787-1)*12,'Operating costs'!$B$67&lt;=C2787*12))),'Operating costs'!$B$66,0),"n.a."))</f>
        <v>0</v>
      </c>
      <c r="N2787" s="16">
        <f>IF(NOT(Paths!$C$259=1),0,IF(Paths!$P$259="Complete",SUM(G2787:I2787)-J2787-K2787-L2787+M2787+IF(C2787=0,Paths!$F$259,0)+IF(IF(Paths!$E$259=0,C2787=0,AND(C2787&gt;0,Paths!$E$259&gt;(C2787-1)*12,Paths!$E$259&lt;=C2787*12)),VLOOKUP(A2787,'Fleet register'!$A$7:$S$106,16,FALSE),0),"n.a."))</f>
        <v>0</v>
      </c>
      <c r="O2787" s="16">
        <f>IF(NOT(Paths!$C$259=1),0,IF(Paths!$P$259="Complete",N2787-IF(C2787=0,Paths!$F$259,0),"n.a."))</f>
        <v>0</v>
      </c>
      <c r="P2787" s="16">
        <f>IF(NOT(Paths!$C$259=1),0,IF(Paths!$P$259="Complete",O2787+L2787,"n.a."))</f>
        <v>0</v>
      </c>
      <c r="Q2787" s="16">
        <f>IF(NOT(Paths!$C$259=1),0,IF(Paths!$P$259="Complete",N2787*(1+'Operating costs'!$B$54)^-C2787,"n.a."))</f>
        <v>0</v>
      </c>
      <c r="R2787" s="16">
        <f>IF(NOT(Paths!$C$259=1),0,IF(Paths!$P$259="Complete",IF(AND(C2787=0,Paths!$E$259=0),I2787-J2787-K2787+VLOOKUP(A2787,'Fleet register'!$A$7:$S$106,15,FALSE)+VLOOKUP(A2787,'Fleet register'!$A$7:$S$106,16,FALSE),0),"n.a."))</f>
        <v>0</v>
      </c>
      <c r="S2787" s="1">
        <f>IF(NOT(Paths!$C$259=1),0,IF(Paths!$P$259="Complete",IF(C2787=0,0,Paths!$S$259*Paths!$R$259),"n.a."))</f>
        <v>0</v>
      </c>
      <c r="T2787" s="1">
        <f>IF(NOT(Paths!$C$259=1),0,IF(Paths!$P$259="Complete",IF(C2787=0,0,VLOOKUP(A2787,'Fleet register'!$A$7:$S$106,9,FALSE)*Paths!$R$259),"n.a."))</f>
        <v>0</v>
      </c>
    </row>
    <row r="2788" spans="1:20" ht="24" customHeight="1">
      <c r="A2788" s="1" t="str">
        <f>Paths!$A$259</f>
        <v>T064</v>
      </c>
      <c r="B2788" s="1">
        <f>Paths!$B$259</f>
        <v>0</v>
      </c>
      <c r="C2788" s="1">
        <v>9</v>
      </c>
      <c r="D2788" s="1">
        <v>259</v>
      </c>
      <c r="E2788" s="1">
        <f>IF(OR(Paths!$C$259=0,C2788=0),0,MAX(0,MIN(C2788*12,Paths!$E$259)-(C2788-1)*12))</f>
        <v>0</v>
      </c>
      <c r="F2788" s="1">
        <f>IF(OR(Paths!$C$259=0,C2788=0),0,12-E2788)</f>
        <v>0</v>
      </c>
      <c r="G2788" s="16">
        <f>IF(NOT(Paths!$C$259=1),0,IF(Paths!$P$259="Complete",E2788/12*(Paths!$J$259*(1+'Operating costs'!$B$51)^MAX(0,C2788-1)+Paths!$K$259*(1+'Operating costs'!$B$53)^MAX(0,C2788-1)),"n.a."))</f>
        <v>0</v>
      </c>
      <c r="H2788" s="16">
        <f>IF(NOT(Paths!$C$259=1),0,IF(Paths!$P$259="Complete",F2788/12*(Paths!$L$259*(1+IF(Paths!$D$259="EV",'Operating costs'!$B$52,'Operating costs'!$B$51))^MAX(0,C2788-1)+Paths!$M$259*(1+'Operating costs'!$B$53)^MAX(0,C2788-1)),"n.a."))</f>
        <v>0</v>
      </c>
      <c r="I2788" s="16">
        <f>IF(NOT(Paths!$C$259=1),0,IF(Paths!$P$259="Complete",IF(IF(Paths!$E$259=0,C2788=0,AND(C2788&gt;0,Paths!$E$259&gt;(C2788-1)*12,Paths!$E$259&lt;=C2788*12)),Paths!$G$259,0),"n.a."))</f>
        <v>0</v>
      </c>
      <c r="J2788" s="16">
        <f>IF(NOT(Paths!$C$259=1),0,IF(Paths!$P$259="Complete",IF(IF(Paths!$E$259=0,C2788=0,AND(C2788&gt;0,Paths!$E$259&gt;(C2788-1)*12,Paths!$E$259&lt;=C2788*12)),Paths!$H$259,0),"n.a."))</f>
        <v>0</v>
      </c>
      <c r="K2788" s="16">
        <f>IF(NOT(Paths!$C$259=1),0,IF(Paths!$P$259="Complete",IF(IF(Paths!$O$259=0,C2788=0,AND(C2788&gt;0,Paths!$O$259&gt;(C2788-1)*12,Paths!$O$259&lt;=C2788*12)),Paths!$N$259,0),"n.a."))</f>
        <v>0</v>
      </c>
      <c r="L2788" s="16">
        <f>IF(NOT(Paths!$C$259=1),0,IF(Paths!$P$259="Complete",IF(C2788=10,Paths!$I$259,0),"n.a."))</f>
        <v>0</v>
      </c>
      <c r="M2788" s="16">
        <f>IF(NOT(Paths!$C$259=1),0,IF(Paths!$P$259="Complete",IF(AND(Paths!$D$259="EV",Paths!$E$259&lt;120,Paths!$E$259+'Operating costs'!$B$65&gt;Paths!$E$259,Paths!$E$259+'Operating costs'!$B$65&lt;=120,IF(Paths!$E$259+'Operating costs'!$B$65=0,C2788=0,AND(C2788&gt;0,Paths!$E$259+'Operating costs'!$B$65&gt;(C2788-1)*12,Paths!$E$259+'Operating costs'!$B$65&lt;=C2788*12))),'Operating costs'!$B$64,0)+IF(AND('Operating costs'!$B$67&gt;0,'Operating costs'!$B$67&lt;=120,OR(Paths!$D$259="ICE",'Operating costs'!$B$67&lt;=Paths!$E$259),IF('Operating costs'!$B$67=0,C2788=0,AND(C2788&gt;0,'Operating costs'!$B$67&gt;(C2788-1)*12,'Operating costs'!$B$67&lt;=C2788*12))),'Operating costs'!$B$66,0),"n.a."))</f>
        <v>0</v>
      </c>
      <c r="N2788" s="16">
        <f>IF(NOT(Paths!$C$259=1),0,IF(Paths!$P$259="Complete",SUM(G2788:I2788)-J2788-K2788-L2788+M2788+IF(C2788=0,Paths!$F$259,0)+IF(IF(Paths!$E$259=0,C2788=0,AND(C2788&gt;0,Paths!$E$259&gt;(C2788-1)*12,Paths!$E$259&lt;=C2788*12)),VLOOKUP(A2788,'Fleet register'!$A$7:$S$106,16,FALSE),0),"n.a."))</f>
        <v>0</v>
      </c>
      <c r="O2788" s="16">
        <f>IF(NOT(Paths!$C$259=1),0,IF(Paths!$P$259="Complete",N2788-IF(C2788=0,Paths!$F$259,0),"n.a."))</f>
        <v>0</v>
      </c>
      <c r="P2788" s="16">
        <f>IF(NOT(Paths!$C$259=1),0,IF(Paths!$P$259="Complete",O2788+L2788,"n.a."))</f>
        <v>0</v>
      </c>
      <c r="Q2788" s="16">
        <f>IF(NOT(Paths!$C$259=1),0,IF(Paths!$P$259="Complete",N2788*(1+'Operating costs'!$B$54)^-C2788,"n.a."))</f>
        <v>0</v>
      </c>
      <c r="R2788" s="16">
        <f>IF(NOT(Paths!$C$259=1),0,IF(Paths!$P$259="Complete",IF(AND(C2788=0,Paths!$E$259=0),I2788-J2788-K2788+VLOOKUP(A2788,'Fleet register'!$A$7:$S$106,15,FALSE)+VLOOKUP(A2788,'Fleet register'!$A$7:$S$106,16,FALSE),0),"n.a."))</f>
        <v>0</v>
      </c>
      <c r="S2788" s="1">
        <f>IF(NOT(Paths!$C$259=1),0,IF(Paths!$P$259="Complete",IF(C2788=0,0,Paths!$S$259*Paths!$R$259),"n.a."))</f>
        <v>0</v>
      </c>
      <c r="T2788" s="1">
        <f>IF(NOT(Paths!$C$259=1),0,IF(Paths!$P$259="Complete",IF(C2788=0,0,VLOOKUP(A2788,'Fleet register'!$A$7:$S$106,9,FALSE)*Paths!$R$259),"n.a."))</f>
        <v>0</v>
      </c>
    </row>
    <row r="2789" spans="1:20" ht="24" customHeight="1">
      <c r="A2789" s="1" t="str">
        <f>Paths!$A$259</f>
        <v>T064</v>
      </c>
      <c r="B2789" s="1">
        <f>Paths!$B$259</f>
        <v>0</v>
      </c>
      <c r="C2789" s="1">
        <v>10</v>
      </c>
      <c r="D2789" s="1">
        <v>259</v>
      </c>
      <c r="E2789" s="1">
        <f>IF(OR(Paths!$C$259=0,C2789=0),0,MAX(0,MIN(C2789*12,Paths!$E$259)-(C2789-1)*12))</f>
        <v>0</v>
      </c>
      <c r="F2789" s="1">
        <f>IF(OR(Paths!$C$259=0,C2789=0),0,12-E2789)</f>
        <v>0</v>
      </c>
      <c r="G2789" s="16">
        <f>IF(NOT(Paths!$C$259=1),0,IF(Paths!$P$259="Complete",E2789/12*(Paths!$J$259*(1+'Operating costs'!$B$51)^MAX(0,C2789-1)+Paths!$K$259*(1+'Operating costs'!$B$53)^MAX(0,C2789-1)),"n.a."))</f>
        <v>0</v>
      </c>
      <c r="H2789" s="16">
        <f>IF(NOT(Paths!$C$259=1),0,IF(Paths!$P$259="Complete",F2789/12*(Paths!$L$259*(1+IF(Paths!$D$259="EV",'Operating costs'!$B$52,'Operating costs'!$B$51))^MAX(0,C2789-1)+Paths!$M$259*(1+'Operating costs'!$B$53)^MAX(0,C2789-1)),"n.a."))</f>
        <v>0</v>
      </c>
      <c r="I2789" s="16">
        <f>IF(NOT(Paths!$C$259=1),0,IF(Paths!$P$259="Complete",IF(IF(Paths!$E$259=0,C2789=0,AND(C2789&gt;0,Paths!$E$259&gt;(C2789-1)*12,Paths!$E$259&lt;=C2789*12)),Paths!$G$259,0),"n.a."))</f>
        <v>0</v>
      </c>
      <c r="J2789" s="16">
        <f>IF(NOT(Paths!$C$259=1),0,IF(Paths!$P$259="Complete",IF(IF(Paths!$E$259=0,C2789=0,AND(C2789&gt;0,Paths!$E$259&gt;(C2789-1)*12,Paths!$E$259&lt;=C2789*12)),Paths!$H$259,0),"n.a."))</f>
        <v>0</v>
      </c>
      <c r="K2789" s="16">
        <f>IF(NOT(Paths!$C$259=1),0,IF(Paths!$P$259="Complete",IF(IF(Paths!$O$259=0,C2789=0,AND(C2789&gt;0,Paths!$O$259&gt;(C2789-1)*12,Paths!$O$259&lt;=C2789*12)),Paths!$N$259,0),"n.a."))</f>
        <v>0</v>
      </c>
      <c r="L2789" s="16">
        <f>IF(NOT(Paths!$C$259=1),0,IF(Paths!$P$259="Complete",IF(C2789=10,Paths!$I$259,0),"n.a."))</f>
        <v>0</v>
      </c>
      <c r="M2789" s="16">
        <f>IF(NOT(Paths!$C$259=1),0,IF(Paths!$P$259="Complete",IF(AND(Paths!$D$259="EV",Paths!$E$259&lt;120,Paths!$E$259+'Operating costs'!$B$65&gt;Paths!$E$259,Paths!$E$259+'Operating costs'!$B$65&lt;=120,IF(Paths!$E$259+'Operating costs'!$B$65=0,C2789=0,AND(C2789&gt;0,Paths!$E$259+'Operating costs'!$B$65&gt;(C2789-1)*12,Paths!$E$259+'Operating costs'!$B$65&lt;=C2789*12))),'Operating costs'!$B$64,0)+IF(AND('Operating costs'!$B$67&gt;0,'Operating costs'!$B$67&lt;=120,OR(Paths!$D$259="ICE",'Operating costs'!$B$67&lt;=Paths!$E$259),IF('Operating costs'!$B$67=0,C2789=0,AND(C2789&gt;0,'Operating costs'!$B$67&gt;(C2789-1)*12,'Operating costs'!$B$67&lt;=C2789*12))),'Operating costs'!$B$66,0),"n.a."))</f>
        <v>0</v>
      </c>
      <c r="N2789" s="16">
        <f>IF(NOT(Paths!$C$259=1),0,IF(Paths!$P$259="Complete",SUM(G2789:I2789)-J2789-K2789-L2789+M2789+IF(C2789=0,Paths!$F$259,0)+IF(IF(Paths!$E$259=0,C2789=0,AND(C2789&gt;0,Paths!$E$259&gt;(C2789-1)*12,Paths!$E$259&lt;=C2789*12)),VLOOKUP(A2789,'Fleet register'!$A$7:$S$106,16,FALSE),0),"n.a."))</f>
        <v>0</v>
      </c>
      <c r="O2789" s="16">
        <f>IF(NOT(Paths!$C$259=1),0,IF(Paths!$P$259="Complete",N2789-IF(C2789=0,Paths!$F$259,0),"n.a."))</f>
        <v>0</v>
      </c>
      <c r="P2789" s="16">
        <f>IF(NOT(Paths!$C$259=1),0,IF(Paths!$P$259="Complete",O2789+L2789,"n.a."))</f>
        <v>0</v>
      </c>
      <c r="Q2789" s="16">
        <f>IF(NOT(Paths!$C$259=1),0,IF(Paths!$P$259="Complete",N2789*(1+'Operating costs'!$B$54)^-C2789,"n.a."))</f>
        <v>0</v>
      </c>
      <c r="R2789" s="16">
        <f>IF(NOT(Paths!$C$259=1),0,IF(Paths!$P$259="Complete",IF(AND(C2789=0,Paths!$E$259=0),I2789-J2789-K2789+VLOOKUP(A2789,'Fleet register'!$A$7:$S$106,15,FALSE)+VLOOKUP(A2789,'Fleet register'!$A$7:$S$106,16,FALSE),0),"n.a."))</f>
        <v>0</v>
      </c>
      <c r="S2789" s="1">
        <f>IF(NOT(Paths!$C$259=1),0,IF(Paths!$P$259="Complete",IF(C2789=0,0,Paths!$S$259*Paths!$R$259),"n.a."))</f>
        <v>0</v>
      </c>
      <c r="T2789" s="1">
        <f>IF(NOT(Paths!$C$259=1),0,IF(Paths!$P$259="Complete",IF(C2789=0,0,VLOOKUP(A2789,'Fleet register'!$A$7:$S$106,9,FALSE)*Paths!$R$259),"n.a."))</f>
        <v>0</v>
      </c>
    </row>
    <row r="2790" spans="1:20" ht="24" customHeight="1">
      <c r="A2790" s="1" t="str">
        <f>Paths!$A$260</f>
        <v>T064</v>
      </c>
      <c r="B2790" s="1">
        <f>Paths!$B$260</f>
        <v>1</v>
      </c>
      <c r="C2790" s="1">
        <v>0</v>
      </c>
      <c r="D2790" s="1">
        <v>260</v>
      </c>
      <c r="E2790" s="1">
        <f>IF(OR(Paths!$C$260=0,C2790=0),0,MAX(0,MIN(C2790*12,Paths!$E$260)-(C2790-1)*12))</f>
        <v>0</v>
      </c>
      <c r="F2790" s="1">
        <f>IF(OR(Paths!$C$260=0,C2790=0),0,12-E2790)</f>
        <v>0</v>
      </c>
      <c r="G2790" s="16">
        <f>IF(NOT(Paths!$C$260=1),0,IF(Paths!$P$260="Complete",E2790/12*(Paths!$J$260*(1+'Operating costs'!$B$51)^MAX(0,C2790-1)+Paths!$K$260*(1+'Operating costs'!$B$53)^MAX(0,C2790-1)),"n.a."))</f>
        <v>0</v>
      </c>
      <c r="H2790" s="16">
        <f>IF(NOT(Paths!$C$260=1),0,IF(Paths!$P$260="Complete",F2790/12*(Paths!$L$260*(1+IF(Paths!$D$260="EV",'Operating costs'!$B$52,'Operating costs'!$B$51))^MAX(0,C2790-1)+Paths!$M$260*(1+'Operating costs'!$B$53)^MAX(0,C2790-1)),"n.a."))</f>
        <v>0</v>
      </c>
      <c r="I2790" s="16">
        <f>IF(NOT(Paths!$C$260=1),0,IF(Paths!$P$260="Complete",IF(IF(Paths!$E$260=0,C2790=0,AND(C2790&gt;0,Paths!$E$260&gt;(C2790-1)*12,Paths!$E$260&lt;=C2790*12)),Paths!$G$260,0),"n.a."))</f>
        <v>0</v>
      </c>
      <c r="J2790" s="16">
        <f>IF(NOT(Paths!$C$260=1),0,IF(Paths!$P$260="Complete",IF(IF(Paths!$E$260=0,C2790=0,AND(C2790&gt;0,Paths!$E$260&gt;(C2790-1)*12,Paths!$E$260&lt;=C2790*12)),Paths!$H$260,0),"n.a."))</f>
        <v>0</v>
      </c>
      <c r="K2790" s="16">
        <f>IF(NOT(Paths!$C$260=1),0,IF(Paths!$P$260="Complete",IF(IF(Paths!$O$260=0,C2790=0,AND(C2790&gt;0,Paths!$O$260&gt;(C2790-1)*12,Paths!$O$260&lt;=C2790*12)),Paths!$N$260,0),"n.a."))</f>
        <v>0</v>
      </c>
      <c r="L2790" s="16">
        <f>IF(NOT(Paths!$C$260=1),0,IF(Paths!$P$260="Complete",IF(C2790=10,Paths!$I$260,0),"n.a."))</f>
        <v>0</v>
      </c>
      <c r="M2790" s="16">
        <f>IF(NOT(Paths!$C$260=1),0,IF(Paths!$P$260="Complete",IF(AND(Paths!$D$260="EV",Paths!$E$260&lt;120,Paths!$E$260+'Operating costs'!$B$65&gt;Paths!$E$260,Paths!$E$260+'Operating costs'!$B$65&lt;=120,IF(Paths!$E$260+'Operating costs'!$B$65=0,C2790=0,AND(C2790&gt;0,Paths!$E$260+'Operating costs'!$B$65&gt;(C2790-1)*12,Paths!$E$260+'Operating costs'!$B$65&lt;=C2790*12))),'Operating costs'!$B$64,0)+IF(AND('Operating costs'!$B$67&gt;0,'Operating costs'!$B$67&lt;=120,OR(Paths!$D$260="ICE",'Operating costs'!$B$67&lt;=Paths!$E$260),IF('Operating costs'!$B$67=0,C2790=0,AND(C2790&gt;0,'Operating costs'!$B$67&gt;(C2790-1)*12,'Operating costs'!$B$67&lt;=C2790*12))),'Operating costs'!$B$66,0),"n.a."))</f>
        <v>0</v>
      </c>
      <c r="N2790" s="16">
        <f>IF(NOT(Paths!$C$260=1),0,IF(Paths!$P$260="Complete",SUM(G2790:I2790)-J2790-K2790-L2790+M2790+IF(C2790=0,Paths!$F$260,0)+IF(IF(Paths!$E$260=0,C2790=0,AND(C2790&gt;0,Paths!$E$260&gt;(C2790-1)*12,Paths!$E$260&lt;=C2790*12)),VLOOKUP(A2790,'Fleet register'!$A$7:$S$106,16,FALSE),0),"n.a."))</f>
        <v>0</v>
      </c>
      <c r="O2790" s="16">
        <f>IF(NOT(Paths!$C$260=1),0,IF(Paths!$P$260="Complete",N2790-IF(C2790=0,Paths!$F$260,0),"n.a."))</f>
        <v>0</v>
      </c>
      <c r="P2790" s="16">
        <f>IF(NOT(Paths!$C$260=1),0,IF(Paths!$P$260="Complete",O2790+L2790,"n.a."))</f>
        <v>0</v>
      </c>
      <c r="Q2790" s="16">
        <f>IF(NOT(Paths!$C$260=1),0,IF(Paths!$P$260="Complete",N2790*(1+'Operating costs'!$B$54)^-C2790,"n.a."))</f>
        <v>0</v>
      </c>
      <c r="R2790" s="16">
        <f>IF(NOT(Paths!$C$260=1),0,IF(Paths!$P$260="Complete",IF(AND(C2790=0,Paths!$E$260=0),I2790-J2790-K2790+VLOOKUP(A2790,'Fleet register'!$A$7:$S$106,15,FALSE)+VLOOKUP(A2790,'Fleet register'!$A$7:$S$106,16,FALSE),0),"n.a."))</f>
        <v>0</v>
      </c>
      <c r="S2790" s="1">
        <f>IF(NOT(Paths!$C$260=1),0,IF(Paths!$P$260="Complete",IF(C2790=0,0,Paths!$S$260*Paths!$R$260),"n.a."))</f>
        <v>0</v>
      </c>
      <c r="T2790" s="1">
        <f>IF(NOT(Paths!$C$260=1),0,IF(Paths!$P$260="Complete",IF(C2790=0,0,VLOOKUP(A2790,'Fleet register'!$A$7:$S$106,9,FALSE)*Paths!$R$260),"n.a."))</f>
        <v>0</v>
      </c>
    </row>
    <row r="2791" spans="1:20" ht="24" customHeight="1">
      <c r="A2791" s="1" t="str">
        <f>Paths!$A$260</f>
        <v>T064</v>
      </c>
      <c r="B2791" s="1">
        <f>Paths!$B$260</f>
        <v>1</v>
      </c>
      <c r="C2791" s="1">
        <v>1</v>
      </c>
      <c r="D2791" s="1">
        <v>260</v>
      </c>
      <c r="E2791" s="1">
        <f>IF(OR(Paths!$C$260=0,C2791=0),0,MAX(0,MIN(C2791*12,Paths!$E$260)-(C2791-1)*12))</f>
        <v>0</v>
      </c>
      <c r="F2791" s="1">
        <f>IF(OR(Paths!$C$260=0,C2791=0),0,12-E2791)</f>
        <v>0</v>
      </c>
      <c r="G2791" s="16">
        <f>IF(NOT(Paths!$C$260=1),0,IF(Paths!$P$260="Complete",E2791/12*(Paths!$J$260*(1+'Operating costs'!$B$51)^MAX(0,C2791-1)+Paths!$K$260*(1+'Operating costs'!$B$53)^MAX(0,C2791-1)),"n.a."))</f>
        <v>0</v>
      </c>
      <c r="H2791" s="16">
        <f>IF(NOT(Paths!$C$260=1),0,IF(Paths!$P$260="Complete",F2791/12*(Paths!$L$260*(1+IF(Paths!$D$260="EV",'Operating costs'!$B$52,'Operating costs'!$B$51))^MAX(0,C2791-1)+Paths!$M$260*(1+'Operating costs'!$B$53)^MAX(0,C2791-1)),"n.a."))</f>
        <v>0</v>
      </c>
      <c r="I2791" s="16">
        <f>IF(NOT(Paths!$C$260=1),0,IF(Paths!$P$260="Complete",IF(IF(Paths!$E$260=0,C2791=0,AND(C2791&gt;0,Paths!$E$260&gt;(C2791-1)*12,Paths!$E$260&lt;=C2791*12)),Paths!$G$260,0),"n.a."))</f>
        <v>0</v>
      </c>
      <c r="J2791" s="16">
        <f>IF(NOT(Paths!$C$260=1),0,IF(Paths!$P$260="Complete",IF(IF(Paths!$E$260=0,C2791=0,AND(C2791&gt;0,Paths!$E$260&gt;(C2791-1)*12,Paths!$E$260&lt;=C2791*12)),Paths!$H$260,0),"n.a."))</f>
        <v>0</v>
      </c>
      <c r="K2791" s="16">
        <f>IF(NOT(Paths!$C$260=1),0,IF(Paths!$P$260="Complete",IF(IF(Paths!$O$260=0,C2791=0,AND(C2791&gt;0,Paths!$O$260&gt;(C2791-1)*12,Paths!$O$260&lt;=C2791*12)),Paths!$N$260,0),"n.a."))</f>
        <v>0</v>
      </c>
      <c r="L2791" s="16">
        <f>IF(NOT(Paths!$C$260=1),0,IF(Paths!$P$260="Complete",IF(C2791=10,Paths!$I$260,0),"n.a."))</f>
        <v>0</v>
      </c>
      <c r="M2791" s="16">
        <f>IF(NOT(Paths!$C$260=1),0,IF(Paths!$P$260="Complete",IF(AND(Paths!$D$260="EV",Paths!$E$260&lt;120,Paths!$E$260+'Operating costs'!$B$65&gt;Paths!$E$260,Paths!$E$260+'Operating costs'!$B$65&lt;=120,IF(Paths!$E$260+'Operating costs'!$B$65=0,C2791=0,AND(C2791&gt;0,Paths!$E$260+'Operating costs'!$B$65&gt;(C2791-1)*12,Paths!$E$260+'Operating costs'!$B$65&lt;=C2791*12))),'Operating costs'!$B$64,0)+IF(AND('Operating costs'!$B$67&gt;0,'Operating costs'!$B$67&lt;=120,OR(Paths!$D$260="ICE",'Operating costs'!$B$67&lt;=Paths!$E$260),IF('Operating costs'!$B$67=0,C2791=0,AND(C2791&gt;0,'Operating costs'!$B$67&gt;(C2791-1)*12,'Operating costs'!$B$67&lt;=C2791*12))),'Operating costs'!$B$66,0),"n.a."))</f>
        <v>0</v>
      </c>
      <c r="N2791" s="16">
        <f>IF(NOT(Paths!$C$260=1),0,IF(Paths!$P$260="Complete",SUM(G2791:I2791)-J2791-K2791-L2791+M2791+IF(C2791=0,Paths!$F$260,0)+IF(IF(Paths!$E$260=0,C2791=0,AND(C2791&gt;0,Paths!$E$260&gt;(C2791-1)*12,Paths!$E$260&lt;=C2791*12)),VLOOKUP(A2791,'Fleet register'!$A$7:$S$106,16,FALSE),0),"n.a."))</f>
        <v>0</v>
      </c>
      <c r="O2791" s="16">
        <f>IF(NOT(Paths!$C$260=1),0,IF(Paths!$P$260="Complete",N2791-IF(C2791=0,Paths!$F$260,0),"n.a."))</f>
        <v>0</v>
      </c>
      <c r="P2791" s="16">
        <f>IF(NOT(Paths!$C$260=1),0,IF(Paths!$P$260="Complete",O2791+L2791,"n.a."))</f>
        <v>0</v>
      </c>
      <c r="Q2791" s="16">
        <f>IF(NOT(Paths!$C$260=1),0,IF(Paths!$P$260="Complete",N2791*(1+'Operating costs'!$B$54)^-C2791,"n.a."))</f>
        <v>0</v>
      </c>
      <c r="R2791" s="16">
        <f>IF(NOT(Paths!$C$260=1),0,IF(Paths!$P$260="Complete",IF(AND(C2791=0,Paths!$E$260=0),I2791-J2791-K2791+VLOOKUP(A2791,'Fleet register'!$A$7:$S$106,15,FALSE)+VLOOKUP(A2791,'Fleet register'!$A$7:$S$106,16,FALSE),0),"n.a."))</f>
        <v>0</v>
      </c>
      <c r="S2791" s="1">
        <f>IF(NOT(Paths!$C$260=1),0,IF(Paths!$P$260="Complete",IF(C2791=0,0,Paths!$S$260*Paths!$R$260),"n.a."))</f>
        <v>0</v>
      </c>
      <c r="T2791" s="1">
        <f>IF(NOT(Paths!$C$260=1),0,IF(Paths!$P$260="Complete",IF(C2791=0,0,VLOOKUP(A2791,'Fleet register'!$A$7:$S$106,9,FALSE)*Paths!$R$260),"n.a."))</f>
        <v>0</v>
      </c>
    </row>
    <row r="2792" spans="1:20" ht="24" customHeight="1">
      <c r="A2792" s="1" t="str">
        <f>Paths!$A$260</f>
        <v>T064</v>
      </c>
      <c r="B2792" s="1">
        <f>Paths!$B$260</f>
        <v>1</v>
      </c>
      <c r="C2792" s="1">
        <v>2</v>
      </c>
      <c r="D2792" s="1">
        <v>260</v>
      </c>
      <c r="E2792" s="1">
        <f>IF(OR(Paths!$C$260=0,C2792=0),0,MAX(0,MIN(C2792*12,Paths!$E$260)-(C2792-1)*12))</f>
        <v>0</v>
      </c>
      <c r="F2792" s="1">
        <f>IF(OR(Paths!$C$260=0,C2792=0),0,12-E2792)</f>
        <v>0</v>
      </c>
      <c r="G2792" s="16">
        <f>IF(NOT(Paths!$C$260=1),0,IF(Paths!$P$260="Complete",E2792/12*(Paths!$J$260*(1+'Operating costs'!$B$51)^MAX(0,C2792-1)+Paths!$K$260*(1+'Operating costs'!$B$53)^MAX(0,C2792-1)),"n.a."))</f>
        <v>0</v>
      </c>
      <c r="H2792" s="16">
        <f>IF(NOT(Paths!$C$260=1),0,IF(Paths!$P$260="Complete",F2792/12*(Paths!$L$260*(1+IF(Paths!$D$260="EV",'Operating costs'!$B$52,'Operating costs'!$B$51))^MAX(0,C2792-1)+Paths!$M$260*(1+'Operating costs'!$B$53)^MAX(0,C2792-1)),"n.a."))</f>
        <v>0</v>
      </c>
      <c r="I2792" s="16">
        <f>IF(NOT(Paths!$C$260=1),0,IF(Paths!$P$260="Complete",IF(IF(Paths!$E$260=0,C2792=0,AND(C2792&gt;0,Paths!$E$260&gt;(C2792-1)*12,Paths!$E$260&lt;=C2792*12)),Paths!$G$260,0),"n.a."))</f>
        <v>0</v>
      </c>
      <c r="J2792" s="16">
        <f>IF(NOT(Paths!$C$260=1),0,IF(Paths!$P$260="Complete",IF(IF(Paths!$E$260=0,C2792=0,AND(C2792&gt;0,Paths!$E$260&gt;(C2792-1)*12,Paths!$E$260&lt;=C2792*12)),Paths!$H$260,0),"n.a."))</f>
        <v>0</v>
      </c>
      <c r="K2792" s="16">
        <f>IF(NOT(Paths!$C$260=1),0,IF(Paths!$P$260="Complete",IF(IF(Paths!$O$260=0,C2792=0,AND(C2792&gt;0,Paths!$O$260&gt;(C2792-1)*12,Paths!$O$260&lt;=C2792*12)),Paths!$N$260,0),"n.a."))</f>
        <v>0</v>
      </c>
      <c r="L2792" s="16">
        <f>IF(NOT(Paths!$C$260=1),0,IF(Paths!$P$260="Complete",IF(C2792=10,Paths!$I$260,0),"n.a."))</f>
        <v>0</v>
      </c>
      <c r="M2792" s="16">
        <f>IF(NOT(Paths!$C$260=1),0,IF(Paths!$P$260="Complete",IF(AND(Paths!$D$260="EV",Paths!$E$260&lt;120,Paths!$E$260+'Operating costs'!$B$65&gt;Paths!$E$260,Paths!$E$260+'Operating costs'!$B$65&lt;=120,IF(Paths!$E$260+'Operating costs'!$B$65=0,C2792=0,AND(C2792&gt;0,Paths!$E$260+'Operating costs'!$B$65&gt;(C2792-1)*12,Paths!$E$260+'Operating costs'!$B$65&lt;=C2792*12))),'Operating costs'!$B$64,0)+IF(AND('Operating costs'!$B$67&gt;0,'Operating costs'!$B$67&lt;=120,OR(Paths!$D$260="ICE",'Operating costs'!$B$67&lt;=Paths!$E$260),IF('Operating costs'!$B$67=0,C2792=0,AND(C2792&gt;0,'Operating costs'!$B$67&gt;(C2792-1)*12,'Operating costs'!$B$67&lt;=C2792*12))),'Operating costs'!$B$66,0),"n.a."))</f>
        <v>0</v>
      </c>
      <c r="N2792" s="16">
        <f>IF(NOT(Paths!$C$260=1),0,IF(Paths!$P$260="Complete",SUM(G2792:I2792)-J2792-K2792-L2792+M2792+IF(C2792=0,Paths!$F$260,0)+IF(IF(Paths!$E$260=0,C2792=0,AND(C2792&gt;0,Paths!$E$260&gt;(C2792-1)*12,Paths!$E$260&lt;=C2792*12)),VLOOKUP(A2792,'Fleet register'!$A$7:$S$106,16,FALSE),0),"n.a."))</f>
        <v>0</v>
      </c>
      <c r="O2792" s="16">
        <f>IF(NOT(Paths!$C$260=1),0,IF(Paths!$P$260="Complete",N2792-IF(C2792=0,Paths!$F$260,0),"n.a."))</f>
        <v>0</v>
      </c>
      <c r="P2792" s="16">
        <f>IF(NOT(Paths!$C$260=1),0,IF(Paths!$P$260="Complete",O2792+L2792,"n.a."))</f>
        <v>0</v>
      </c>
      <c r="Q2792" s="16">
        <f>IF(NOT(Paths!$C$260=1),0,IF(Paths!$P$260="Complete",N2792*(1+'Operating costs'!$B$54)^-C2792,"n.a."))</f>
        <v>0</v>
      </c>
      <c r="R2792" s="16">
        <f>IF(NOT(Paths!$C$260=1),0,IF(Paths!$P$260="Complete",IF(AND(C2792=0,Paths!$E$260=0),I2792-J2792-K2792+VLOOKUP(A2792,'Fleet register'!$A$7:$S$106,15,FALSE)+VLOOKUP(A2792,'Fleet register'!$A$7:$S$106,16,FALSE),0),"n.a."))</f>
        <v>0</v>
      </c>
      <c r="S2792" s="1">
        <f>IF(NOT(Paths!$C$260=1),0,IF(Paths!$P$260="Complete",IF(C2792=0,0,Paths!$S$260*Paths!$R$260),"n.a."))</f>
        <v>0</v>
      </c>
      <c r="T2792" s="1">
        <f>IF(NOT(Paths!$C$260=1),0,IF(Paths!$P$260="Complete",IF(C2792=0,0,VLOOKUP(A2792,'Fleet register'!$A$7:$S$106,9,FALSE)*Paths!$R$260),"n.a."))</f>
        <v>0</v>
      </c>
    </row>
    <row r="2793" spans="1:20" ht="24" customHeight="1">
      <c r="A2793" s="1" t="str">
        <f>Paths!$A$260</f>
        <v>T064</v>
      </c>
      <c r="B2793" s="1">
        <f>Paths!$B$260</f>
        <v>1</v>
      </c>
      <c r="C2793" s="1">
        <v>3</v>
      </c>
      <c r="D2793" s="1">
        <v>260</v>
      </c>
      <c r="E2793" s="1">
        <f>IF(OR(Paths!$C$260=0,C2793=0),0,MAX(0,MIN(C2793*12,Paths!$E$260)-(C2793-1)*12))</f>
        <v>0</v>
      </c>
      <c r="F2793" s="1">
        <f>IF(OR(Paths!$C$260=0,C2793=0),0,12-E2793)</f>
        <v>0</v>
      </c>
      <c r="G2793" s="16">
        <f>IF(NOT(Paths!$C$260=1),0,IF(Paths!$P$260="Complete",E2793/12*(Paths!$J$260*(1+'Operating costs'!$B$51)^MAX(0,C2793-1)+Paths!$K$260*(1+'Operating costs'!$B$53)^MAX(0,C2793-1)),"n.a."))</f>
        <v>0</v>
      </c>
      <c r="H2793" s="16">
        <f>IF(NOT(Paths!$C$260=1),0,IF(Paths!$P$260="Complete",F2793/12*(Paths!$L$260*(1+IF(Paths!$D$260="EV",'Operating costs'!$B$52,'Operating costs'!$B$51))^MAX(0,C2793-1)+Paths!$M$260*(1+'Operating costs'!$B$53)^MAX(0,C2793-1)),"n.a."))</f>
        <v>0</v>
      </c>
      <c r="I2793" s="16">
        <f>IF(NOT(Paths!$C$260=1),0,IF(Paths!$P$260="Complete",IF(IF(Paths!$E$260=0,C2793=0,AND(C2793&gt;0,Paths!$E$260&gt;(C2793-1)*12,Paths!$E$260&lt;=C2793*12)),Paths!$G$260,0),"n.a."))</f>
        <v>0</v>
      </c>
      <c r="J2793" s="16">
        <f>IF(NOT(Paths!$C$260=1),0,IF(Paths!$P$260="Complete",IF(IF(Paths!$E$260=0,C2793=0,AND(C2793&gt;0,Paths!$E$260&gt;(C2793-1)*12,Paths!$E$260&lt;=C2793*12)),Paths!$H$260,0),"n.a."))</f>
        <v>0</v>
      </c>
      <c r="K2793" s="16">
        <f>IF(NOT(Paths!$C$260=1),0,IF(Paths!$P$260="Complete",IF(IF(Paths!$O$260=0,C2793=0,AND(C2793&gt;0,Paths!$O$260&gt;(C2793-1)*12,Paths!$O$260&lt;=C2793*12)),Paths!$N$260,0),"n.a."))</f>
        <v>0</v>
      </c>
      <c r="L2793" s="16">
        <f>IF(NOT(Paths!$C$260=1),0,IF(Paths!$P$260="Complete",IF(C2793=10,Paths!$I$260,0),"n.a."))</f>
        <v>0</v>
      </c>
      <c r="M2793" s="16">
        <f>IF(NOT(Paths!$C$260=1),0,IF(Paths!$P$260="Complete",IF(AND(Paths!$D$260="EV",Paths!$E$260&lt;120,Paths!$E$260+'Operating costs'!$B$65&gt;Paths!$E$260,Paths!$E$260+'Operating costs'!$B$65&lt;=120,IF(Paths!$E$260+'Operating costs'!$B$65=0,C2793=0,AND(C2793&gt;0,Paths!$E$260+'Operating costs'!$B$65&gt;(C2793-1)*12,Paths!$E$260+'Operating costs'!$B$65&lt;=C2793*12))),'Operating costs'!$B$64,0)+IF(AND('Operating costs'!$B$67&gt;0,'Operating costs'!$B$67&lt;=120,OR(Paths!$D$260="ICE",'Operating costs'!$B$67&lt;=Paths!$E$260),IF('Operating costs'!$B$67=0,C2793=0,AND(C2793&gt;0,'Operating costs'!$B$67&gt;(C2793-1)*12,'Operating costs'!$B$67&lt;=C2793*12))),'Operating costs'!$B$66,0),"n.a."))</f>
        <v>0</v>
      </c>
      <c r="N2793" s="16">
        <f>IF(NOT(Paths!$C$260=1),0,IF(Paths!$P$260="Complete",SUM(G2793:I2793)-J2793-K2793-L2793+M2793+IF(C2793=0,Paths!$F$260,0)+IF(IF(Paths!$E$260=0,C2793=0,AND(C2793&gt;0,Paths!$E$260&gt;(C2793-1)*12,Paths!$E$260&lt;=C2793*12)),VLOOKUP(A2793,'Fleet register'!$A$7:$S$106,16,FALSE),0),"n.a."))</f>
        <v>0</v>
      </c>
      <c r="O2793" s="16">
        <f>IF(NOT(Paths!$C$260=1),0,IF(Paths!$P$260="Complete",N2793-IF(C2793=0,Paths!$F$260,0),"n.a."))</f>
        <v>0</v>
      </c>
      <c r="P2793" s="16">
        <f>IF(NOT(Paths!$C$260=1),0,IF(Paths!$P$260="Complete",O2793+L2793,"n.a."))</f>
        <v>0</v>
      </c>
      <c r="Q2793" s="16">
        <f>IF(NOT(Paths!$C$260=1),0,IF(Paths!$P$260="Complete",N2793*(1+'Operating costs'!$B$54)^-C2793,"n.a."))</f>
        <v>0</v>
      </c>
      <c r="R2793" s="16">
        <f>IF(NOT(Paths!$C$260=1),0,IF(Paths!$P$260="Complete",IF(AND(C2793=0,Paths!$E$260=0),I2793-J2793-K2793+VLOOKUP(A2793,'Fleet register'!$A$7:$S$106,15,FALSE)+VLOOKUP(A2793,'Fleet register'!$A$7:$S$106,16,FALSE),0),"n.a."))</f>
        <v>0</v>
      </c>
      <c r="S2793" s="1">
        <f>IF(NOT(Paths!$C$260=1),0,IF(Paths!$P$260="Complete",IF(C2793=0,0,Paths!$S$260*Paths!$R$260),"n.a."))</f>
        <v>0</v>
      </c>
      <c r="T2793" s="1">
        <f>IF(NOT(Paths!$C$260=1),0,IF(Paths!$P$260="Complete",IF(C2793=0,0,VLOOKUP(A2793,'Fleet register'!$A$7:$S$106,9,FALSE)*Paths!$R$260),"n.a."))</f>
        <v>0</v>
      </c>
    </row>
    <row r="2794" spans="1:20" ht="24" customHeight="1">
      <c r="A2794" s="1" t="str">
        <f>Paths!$A$260</f>
        <v>T064</v>
      </c>
      <c r="B2794" s="1">
        <f>Paths!$B$260</f>
        <v>1</v>
      </c>
      <c r="C2794" s="1">
        <v>4</v>
      </c>
      <c r="D2794" s="1">
        <v>260</v>
      </c>
      <c r="E2794" s="1">
        <f>IF(OR(Paths!$C$260=0,C2794=0),0,MAX(0,MIN(C2794*12,Paths!$E$260)-(C2794-1)*12))</f>
        <v>0</v>
      </c>
      <c r="F2794" s="1">
        <f>IF(OR(Paths!$C$260=0,C2794=0),0,12-E2794)</f>
        <v>0</v>
      </c>
      <c r="G2794" s="16">
        <f>IF(NOT(Paths!$C$260=1),0,IF(Paths!$P$260="Complete",E2794/12*(Paths!$J$260*(1+'Operating costs'!$B$51)^MAX(0,C2794-1)+Paths!$K$260*(1+'Operating costs'!$B$53)^MAX(0,C2794-1)),"n.a."))</f>
        <v>0</v>
      </c>
      <c r="H2794" s="16">
        <f>IF(NOT(Paths!$C$260=1),0,IF(Paths!$P$260="Complete",F2794/12*(Paths!$L$260*(1+IF(Paths!$D$260="EV",'Operating costs'!$B$52,'Operating costs'!$B$51))^MAX(0,C2794-1)+Paths!$M$260*(1+'Operating costs'!$B$53)^MAX(0,C2794-1)),"n.a."))</f>
        <v>0</v>
      </c>
      <c r="I2794" s="16">
        <f>IF(NOT(Paths!$C$260=1),0,IF(Paths!$P$260="Complete",IF(IF(Paths!$E$260=0,C2794=0,AND(C2794&gt;0,Paths!$E$260&gt;(C2794-1)*12,Paths!$E$260&lt;=C2794*12)),Paths!$G$260,0),"n.a."))</f>
        <v>0</v>
      </c>
      <c r="J2794" s="16">
        <f>IF(NOT(Paths!$C$260=1),0,IF(Paths!$P$260="Complete",IF(IF(Paths!$E$260=0,C2794=0,AND(C2794&gt;0,Paths!$E$260&gt;(C2794-1)*12,Paths!$E$260&lt;=C2794*12)),Paths!$H$260,0),"n.a."))</f>
        <v>0</v>
      </c>
      <c r="K2794" s="16">
        <f>IF(NOT(Paths!$C$260=1),0,IF(Paths!$P$260="Complete",IF(IF(Paths!$O$260=0,C2794=0,AND(C2794&gt;0,Paths!$O$260&gt;(C2794-1)*12,Paths!$O$260&lt;=C2794*12)),Paths!$N$260,0),"n.a."))</f>
        <v>0</v>
      </c>
      <c r="L2794" s="16">
        <f>IF(NOT(Paths!$C$260=1),0,IF(Paths!$P$260="Complete",IF(C2794=10,Paths!$I$260,0),"n.a."))</f>
        <v>0</v>
      </c>
      <c r="M2794" s="16">
        <f>IF(NOT(Paths!$C$260=1),0,IF(Paths!$P$260="Complete",IF(AND(Paths!$D$260="EV",Paths!$E$260&lt;120,Paths!$E$260+'Operating costs'!$B$65&gt;Paths!$E$260,Paths!$E$260+'Operating costs'!$B$65&lt;=120,IF(Paths!$E$260+'Operating costs'!$B$65=0,C2794=0,AND(C2794&gt;0,Paths!$E$260+'Operating costs'!$B$65&gt;(C2794-1)*12,Paths!$E$260+'Operating costs'!$B$65&lt;=C2794*12))),'Operating costs'!$B$64,0)+IF(AND('Operating costs'!$B$67&gt;0,'Operating costs'!$B$67&lt;=120,OR(Paths!$D$260="ICE",'Operating costs'!$B$67&lt;=Paths!$E$260),IF('Operating costs'!$B$67=0,C2794=0,AND(C2794&gt;0,'Operating costs'!$B$67&gt;(C2794-1)*12,'Operating costs'!$B$67&lt;=C2794*12))),'Operating costs'!$B$66,0),"n.a."))</f>
        <v>0</v>
      </c>
      <c r="N2794" s="16">
        <f>IF(NOT(Paths!$C$260=1),0,IF(Paths!$P$260="Complete",SUM(G2794:I2794)-J2794-K2794-L2794+M2794+IF(C2794=0,Paths!$F$260,0)+IF(IF(Paths!$E$260=0,C2794=0,AND(C2794&gt;0,Paths!$E$260&gt;(C2794-1)*12,Paths!$E$260&lt;=C2794*12)),VLOOKUP(A2794,'Fleet register'!$A$7:$S$106,16,FALSE),0),"n.a."))</f>
        <v>0</v>
      </c>
      <c r="O2794" s="16">
        <f>IF(NOT(Paths!$C$260=1),0,IF(Paths!$P$260="Complete",N2794-IF(C2794=0,Paths!$F$260,0),"n.a."))</f>
        <v>0</v>
      </c>
      <c r="P2794" s="16">
        <f>IF(NOT(Paths!$C$260=1),0,IF(Paths!$P$260="Complete",O2794+L2794,"n.a."))</f>
        <v>0</v>
      </c>
      <c r="Q2794" s="16">
        <f>IF(NOT(Paths!$C$260=1),0,IF(Paths!$P$260="Complete",N2794*(1+'Operating costs'!$B$54)^-C2794,"n.a."))</f>
        <v>0</v>
      </c>
      <c r="R2794" s="16">
        <f>IF(NOT(Paths!$C$260=1),0,IF(Paths!$P$260="Complete",IF(AND(C2794=0,Paths!$E$260=0),I2794-J2794-K2794+VLOOKUP(A2794,'Fleet register'!$A$7:$S$106,15,FALSE)+VLOOKUP(A2794,'Fleet register'!$A$7:$S$106,16,FALSE),0),"n.a."))</f>
        <v>0</v>
      </c>
      <c r="S2794" s="1">
        <f>IF(NOT(Paths!$C$260=1),0,IF(Paths!$P$260="Complete",IF(C2794=0,0,Paths!$S$260*Paths!$R$260),"n.a."))</f>
        <v>0</v>
      </c>
      <c r="T2794" s="1">
        <f>IF(NOT(Paths!$C$260=1),0,IF(Paths!$P$260="Complete",IF(C2794=0,0,VLOOKUP(A2794,'Fleet register'!$A$7:$S$106,9,FALSE)*Paths!$R$260),"n.a."))</f>
        <v>0</v>
      </c>
    </row>
    <row r="2795" spans="1:20" ht="24" customHeight="1">
      <c r="A2795" s="1" t="str">
        <f>Paths!$A$260</f>
        <v>T064</v>
      </c>
      <c r="B2795" s="1">
        <f>Paths!$B$260</f>
        <v>1</v>
      </c>
      <c r="C2795" s="1">
        <v>5</v>
      </c>
      <c r="D2795" s="1">
        <v>260</v>
      </c>
      <c r="E2795" s="1">
        <f>IF(OR(Paths!$C$260=0,C2795=0),0,MAX(0,MIN(C2795*12,Paths!$E$260)-(C2795-1)*12))</f>
        <v>0</v>
      </c>
      <c r="F2795" s="1">
        <f>IF(OR(Paths!$C$260=0,C2795=0),0,12-E2795)</f>
        <v>0</v>
      </c>
      <c r="G2795" s="16">
        <f>IF(NOT(Paths!$C$260=1),0,IF(Paths!$P$260="Complete",E2795/12*(Paths!$J$260*(1+'Operating costs'!$B$51)^MAX(0,C2795-1)+Paths!$K$260*(1+'Operating costs'!$B$53)^MAX(0,C2795-1)),"n.a."))</f>
        <v>0</v>
      </c>
      <c r="H2795" s="16">
        <f>IF(NOT(Paths!$C$260=1),0,IF(Paths!$P$260="Complete",F2795/12*(Paths!$L$260*(1+IF(Paths!$D$260="EV",'Operating costs'!$B$52,'Operating costs'!$B$51))^MAX(0,C2795-1)+Paths!$M$260*(1+'Operating costs'!$B$53)^MAX(0,C2795-1)),"n.a."))</f>
        <v>0</v>
      </c>
      <c r="I2795" s="16">
        <f>IF(NOT(Paths!$C$260=1),0,IF(Paths!$P$260="Complete",IF(IF(Paths!$E$260=0,C2795=0,AND(C2795&gt;0,Paths!$E$260&gt;(C2795-1)*12,Paths!$E$260&lt;=C2795*12)),Paths!$G$260,0),"n.a."))</f>
        <v>0</v>
      </c>
      <c r="J2795" s="16">
        <f>IF(NOT(Paths!$C$260=1),0,IF(Paths!$P$260="Complete",IF(IF(Paths!$E$260=0,C2795=0,AND(C2795&gt;0,Paths!$E$260&gt;(C2795-1)*12,Paths!$E$260&lt;=C2795*12)),Paths!$H$260,0),"n.a."))</f>
        <v>0</v>
      </c>
      <c r="K2795" s="16">
        <f>IF(NOT(Paths!$C$260=1),0,IF(Paths!$P$260="Complete",IF(IF(Paths!$O$260=0,C2795=0,AND(C2795&gt;0,Paths!$O$260&gt;(C2795-1)*12,Paths!$O$260&lt;=C2795*12)),Paths!$N$260,0),"n.a."))</f>
        <v>0</v>
      </c>
      <c r="L2795" s="16">
        <f>IF(NOT(Paths!$C$260=1),0,IF(Paths!$P$260="Complete",IF(C2795=10,Paths!$I$260,0),"n.a."))</f>
        <v>0</v>
      </c>
      <c r="M2795" s="16">
        <f>IF(NOT(Paths!$C$260=1),0,IF(Paths!$P$260="Complete",IF(AND(Paths!$D$260="EV",Paths!$E$260&lt;120,Paths!$E$260+'Operating costs'!$B$65&gt;Paths!$E$260,Paths!$E$260+'Operating costs'!$B$65&lt;=120,IF(Paths!$E$260+'Operating costs'!$B$65=0,C2795=0,AND(C2795&gt;0,Paths!$E$260+'Operating costs'!$B$65&gt;(C2795-1)*12,Paths!$E$260+'Operating costs'!$B$65&lt;=C2795*12))),'Operating costs'!$B$64,0)+IF(AND('Operating costs'!$B$67&gt;0,'Operating costs'!$B$67&lt;=120,OR(Paths!$D$260="ICE",'Operating costs'!$B$67&lt;=Paths!$E$260),IF('Operating costs'!$B$67=0,C2795=0,AND(C2795&gt;0,'Operating costs'!$B$67&gt;(C2795-1)*12,'Operating costs'!$B$67&lt;=C2795*12))),'Operating costs'!$B$66,0),"n.a."))</f>
        <v>0</v>
      </c>
      <c r="N2795" s="16">
        <f>IF(NOT(Paths!$C$260=1),0,IF(Paths!$P$260="Complete",SUM(G2795:I2795)-J2795-K2795-L2795+M2795+IF(C2795=0,Paths!$F$260,0)+IF(IF(Paths!$E$260=0,C2795=0,AND(C2795&gt;0,Paths!$E$260&gt;(C2795-1)*12,Paths!$E$260&lt;=C2795*12)),VLOOKUP(A2795,'Fleet register'!$A$7:$S$106,16,FALSE),0),"n.a."))</f>
        <v>0</v>
      </c>
      <c r="O2795" s="16">
        <f>IF(NOT(Paths!$C$260=1),0,IF(Paths!$P$260="Complete",N2795-IF(C2795=0,Paths!$F$260,0),"n.a."))</f>
        <v>0</v>
      </c>
      <c r="P2795" s="16">
        <f>IF(NOT(Paths!$C$260=1),0,IF(Paths!$P$260="Complete",O2795+L2795,"n.a."))</f>
        <v>0</v>
      </c>
      <c r="Q2795" s="16">
        <f>IF(NOT(Paths!$C$260=1),0,IF(Paths!$P$260="Complete",N2795*(1+'Operating costs'!$B$54)^-C2795,"n.a."))</f>
        <v>0</v>
      </c>
      <c r="R2795" s="16">
        <f>IF(NOT(Paths!$C$260=1),0,IF(Paths!$P$260="Complete",IF(AND(C2795=0,Paths!$E$260=0),I2795-J2795-K2795+VLOOKUP(A2795,'Fleet register'!$A$7:$S$106,15,FALSE)+VLOOKUP(A2795,'Fleet register'!$A$7:$S$106,16,FALSE),0),"n.a."))</f>
        <v>0</v>
      </c>
      <c r="S2795" s="1">
        <f>IF(NOT(Paths!$C$260=1),0,IF(Paths!$P$260="Complete",IF(C2795=0,0,Paths!$S$260*Paths!$R$260),"n.a."))</f>
        <v>0</v>
      </c>
      <c r="T2795" s="1">
        <f>IF(NOT(Paths!$C$260=1),0,IF(Paths!$P$260="Complete",IF(C2795=0,0,VLOOKUP(A2795,'Fleet register'!$A$7:$S$106,9,FALSE)*Paths!$R$260),"n.a."))</f>
        <v>0</v>
      </c>
    </row>
    <row r="2796" spans="1:20" ht="24" customHeight="1">
      <c r="A2796" s="1" t="str">
        <f>Paths!$A$260</f>
        <v>T064</v>
      </c>
      <c r="B2796" s="1">
        <f>Paths!$B$260</f>
        <v>1</v>
      </c>
      <c r="C2796" s="1">
        <v>6</v>
      </c>
      <c r="D2796" s="1">
        <v>260</v>
      </c>
      <c r="E2796" s="1">
        <f>IF(OR(Paths!$C$260=0,C2796=0),0,MAX(0,MIN(C2796*12,Paths!$E$260)-(C2796-1)*12))</f>
        <v>0</v>
      </c>
      <c r="F2796" s="1">
        <f>IF(OR(Paths!$C$260=0,C2796=0),0,12-E2796)</f>
        <v>0</v>
      </c>
      <c r="G2796" s="16">
        <f>IF(NOT(Paths!$C$260=1),0,IF(Paths!$P$260="Complete",E2796/12*(Paths!$J$260*(1+'Operating costs'!$B$51)^MAX(0,C2796-1)+Paths!$K$260*(1+'Operating costs'!$B$53)^MAX(0,C2796-1)),"n.a."))</f>
        <v>0</v>
      </c>
      <c r="H2796" s="16">
        <f>IF(NOT(Paths!$C$260=1),0,IF(Paths!$P$260="Complete",F2796/12*(Paths!$L$260*(1+IF(Paths!$D$260="EV",'Operating costs'!$B$52,'Operating costs'!$B$51))^MAX(0,C2796-1)+Paths!$M$260*(1+'Operating costs'!$B$53)^MAX(0,C2796-1)),"n.a."))</f>
        <v>0</v>
      </c>
      <c r="I2796" s="16">
        <f>IF(NOT(Paths!$C$260=1),0,IF(Paths!$P$260="Complete",IF(IF(Paths!$E$260=0,C2796=0,AND(C2796&gt;0,Paths!$E$260&gt;(C2796-1)*12,Paths!$E$260&lt;=C2796*12)),Paths!$G$260,0),"n.a."))</f>
        <v>0</v>
      </c>
      <c r="J2796" s="16">
        <f>IF(NOT(Paths!$C$260=1),0,IF(Paths!$P$260="Complete",IF(IF(Paths!$E$260=0,C2796=0,AND(C2796&gt;0,Paths!$E$260&gt;(C2796-1)*12,Paths!$E$260&lt;=C2796*12)),Paths!$H$260,0),"n.a."))</f>
        <v>0</v>
      </c>
      <c r="K2796" s="16">
        <f>IF(NOT(Paths!$C$260=1),0,IF(Paths!$P$260="Complete",IF(IF(Paths!$O$260=0,C2796=0,AND(C2796&gt;0,Paths!$O$260&gt;(C2796-1)*12,Paths!$O$260&lt;=C2796*12)),Paths!$N$260,0),"n.a."))</f>
        <v>0</v>
      </c>
      <c r="L2796" s="16">
        <f>IF(NOT(Paths!$C$260=1),0,IF(Paths!$P$260="Complete",IF(C2796=10,Paths!$I$260,0),"n.a."))</f>
        <v>0</v>
      </c>
      <c r="M2796" s="16">
        <f>IF(NOT(Paths!$C$260=1),0,IF(Paths!$P$260="Complete",IF(AND(Paths!$D$260="EV",Paths!$E$260&lt;120,Paths!$E$260+'Operating costs'!$B$65&gt;Paths!$E$260,Paths!$E$260+'Operating costs'!$B$65&lt;=120,IF(Paths!$E$260+'Operating costs'!$B$65=0,C2796=0,AND(C2796&gt;0,Paths!$E$260+'Operating costs'!$B$65&gt;(C2796-1)*12,Paths!$E$260+'Operating costs'!$B$65&lt;=C2796*12))),'Operating costs'!$B$64,0)+IF(AND('Operating costs'!$B$67&gt;0,'Operating costs'!$B$67&lt;=120,OR(Paths!$D$260="ICE",'Operating costs'!$B$67&lt;=Paths!$E$260),IF('Operating costs'!$B$67=0,C2796=0,AND(C2796&gt;0,'Operating costs'!$B$67&gt;(C2796-1)*12,'Operating costs'!$B$67&lt;=C2796*12))),'Operating costs'!$B$66,0),"n.a."))</f>
        <v>0</v>
      </c>
      <c r="N2796" s="16">
        <f>IF(NOT(Paths!$C$260=1),0,IF(Paths!$P$260="Complete",SUM(G2796:I2796)-J2796-K2796-L2796+M2796+IF(C2796=0,Paths!$F$260,0)+IF(IF(Paths!$E$260=0,C2796=0,AND(C2796&gt;0,Paths!$E$260&gt;(C2796-1)*12,Paths!$E$260&lt;=C2796*12)),VLOOKUP(A2796,'Fleet register'!$A$7:$S$106,16,FALSE),0),"n.a."))</f>
        <v>0</v>
      </c>
      <c r="O2796" s="16">
        <f>IF(NOT(Paths!$C$260=1),0,IF(Paths!$P$260="Complete",N2796-IF(C2796=0,Paths!$F$260,0),"n.a."))</f>
        <v>0</v>
      </c>
      <c r="P2796" s="16">
        <f>IF(NOT(Paths!$C$260=1),0,IF(Paths!$P$260="Complete",O2796+L2796,"n.a."))</f>
        <v>0</v>
      </c>
      <c r="Q2796" s="16">
        <f>IF(NOT(Paths!$C$260=1),0,IF(Paths!$P$260="Complete",N2796*(1+'Operating costs'!$B$54)^-C2796,"n.a."))</f>
        <v>0</v>
      </c>
      <c r="R2796" s="16">
        <f>IF(NOT(Paths!$C$260=1),0,IF(Paths!$P$260="Complete",IF(AND(C2796=0,Paths!$E$260=0),I2796-J2796-K2796+VLOOKUP(A2796,'Fleet register'!$A$7:$S$106,15,FALSE)+VLOOKUP(A2796,'Fleet register'!$A$7:$S$106,16,FALSE),0),"n.a."))</f>
        <v>0</v>
      </c>
      <c r="S2796" s="1">
        <f>IF(NOT(Paths!$C$260=1),0,IF(Paths!$P$260="Complete",IF(C2796=0,0,Paths!$S$260*Paths!$R$260),"n.a."))</f>
        <v>0</v>
      </c>
      <c r="T2796" s="1">
        <f>IF(NOT(Paths!$C$260=1),0,IF(Paths!$P$260="Complete",IF(C2796=0,0,VLOOKUP(A2796,'Fleet register'!$A$7:$S$106,9,FALSE)*Paths!$R$260),"n.a."))</f>
        <v>0</v>
      </c>
    </row>
    <row r="2797" spans="1:20" ht="24" customHeight="1">
      <c r="A2797" s="1" t="str">
        <f>Paths!$A$260</f>
        <v>T064</v>
      </c>
      <c r="B2797" s="1">
        <f>Paths!$B$260</f>
        <v>1</v>
      </c>
      <c r="C2797" s="1">
        <v>7</v>
      </c>
      <c r="D2797" s="1">
        <v>260</v>
      </c>
      <c r="E2797" s="1">
        <f>IF(OR(Paths!$C$260=0,C2797=0),0,MAX(0,MIN(C2797*12,Paths!$E$260)-(C2797-1)*12))</f>
        <v>0</v>
      </c>
      <c r="F2797" s="1">
        <f>IF(OR(Paths!$C$260=0,C2797=0),0,12-E2797)</f>
        <v>0</v>
      </c>
      <c r="G2797" s="16">
        <f>IF(NOT(Paths!$C$260=1),0,IF(Paths!$P$260="Complete",E2797/12*(Paths!$J$260*(1+'Operating costs'!$B$51)^MAX(0,C2797-1)+Paths!$K$260*(1+'Operating costs'!$B$53)^MAX(0,C2797-1)),"n.a."))</f>
        <v>0</v>
      </c>
      <c r="H2797" s="16">
        <f>IF(NOT(Paths!$C$260=1),0,IF(Paths!$P$260="Complete",F2797/12*(Paths!$L$260*(1+IF(Paths!$D$260="EV",'Operating costs'!$B$52,'Operating costs'!$B$51))^MAX(0,C2797-1)+Paths!$M$260*(1+'Operating costs'!$B$53)^MAX(0,C2797-1)),"n.a."))</f>
        <v>0</v>
      </c>
      <c r="I2797" s="16">
        <f>IF(NOT(Paths!$C$260=1),0,IF(Paths!$P$260="Complete",IF(IF(Paths!$E$260=0,C2797=0,AND(C2797&gt;0,Paths!$E$260&gt;(C2797-1)*12,Paths!$E$260&lt;=C2797*12)),Paths!$G$260,0),"n.a."))</f>
        <v>0</v>
      </c>
      <c r="J2797" s="16">
        <f>IF(NOT(Paths!$C$260=1),0,IF(Paths!$P$260="Complete",IF(IF(Paths!$E$260=0,C2797=0,AND(C2797&gt;0,Paths!$E$260&gt;(C2797-1)*12,Paths!$E$260&lt;=C2797*12)),Paths!$H$260,0),"n.a."))</f>
        <v>0</v>
      </c>
      <c r="K2797" s="16">
        <f>IF(NOT(Paths!$C$260=1),0,IF(Paths!$P$260="Complete",IF(IF(Paths!$O$260=0,C2797=0,AND(C2797&gt;0,Paths!$O$260&gt;(C2797-1)*12,Paths!$O$260&lt;=C2797*12)),Paths!$N$260,0),"n.a."))</f>
        <v>0</v>
      </c>
      <c r="L2797" s="16">
        <f>IF(NOT(Paths!$C$260=1),0,IF(Paths!$P$260="Complete",IF(C2797=10,Paths!$I$260,0),"n.a."))</f>
        <v>0</v>
      </c>
      <c r="M2797" s="16">
        <f>IF(NOT(Paths!$C$260=1),0,IF(Paths!$P$260="Complete",IF(AND(Paths!$D$260="EV",Paths!$E$260&lt;120,Paths!$E$260+'Operating costs'!$B$65&gt;Paths!$E$260,Paths!$E$260+'Operating costs'!$B$65&lt;=120,IF(Paths!$E$260+'Operating costs'!$B$65=0,C2797=0,AND(C2797&gt;0,Paths!$E$260+'Operating costs'!$B$65&gt;(C2797-1)*12,Paths!$E$260+'Operating costs'!$B$65&lt;=C2797*12))),'Operating costs'!$B$64,0)+IF(AND('Operating costs'!$B$67&gt;0,'Operating costs'!$B$67&lt;=120,OR(Paths!$D$260="ICE",'Operating costs'!$B$67&lt;=Paths!$E$260),IF('Operating costs'!$B$67=0,C2797=0,AND(C2797&gt;0,'Operating costs'!$B$67&gt;(C2797-1)*12,'Operating costs'!$B$67&lt;=C2797*12))),'Operating costs'!$B$66,0),"n.a."))</f>
        <v>0</v>
      </c>
      <c r="N2797" s="16">
        <f>IF(NOT(Paths!$C$260=1),0,IF(Paths!$P$260="Complete",SUM(G2797:I2797)-J2797-K2797-L2797+M2797+IF(C2797=0,Paths!$F$260,0)+IF(IF(Paths!$E$260=0,C2797=0,AND(C2797&gt;0,Paths!$E$260&gt;(C2797-1)*12,Paths!$E$260&lt;=C2797*12)),VLOOKUP(A2797,'Fleet register'!$A$7:$S$106,16,FALSE),0),"n.a."))</f>
        <v>0</v>
      </c>
      <c r="O2797" s="16">
        <f>IF(NOT(Paths!$C$260=1),0,IF(Paths!$P$260="Complete",N2797-IF(C2797=0,Paths!$F$260,0),"n.a."))</f>
        <v>0</v>
      </c>
      <c r="P2797" s="16">
        <f>IF(NOT(Paths!$C$260=1),0,IF(Paths!$P$260="Complete",O2797+L2797,"n.a."))</f>
        <v>0</v>
      </c>
      <c r="Q2797" s="16">
        <f>IF(NOT(Paths!$C$260=1),0,IF(Paths!$P$260="Complete",N2797*(1+'Operating costs'!$B$54)^-C2797,"n.a."))</f>
        <v>0</v>
      </c>
      <c r="R2797" s="16">
        <f>IF(NOT(Paths!$C$260=1),0,IF(Paths!$P$260="Complete",IF(AND(C2797=0,Paths!$E$260=0),I2797-J2797-K2797+VLOOKUP(A2797,'Fleet register'!$A$7:$S$106,15,FALSE)+VLOOKUP(A2797,'Fleet register'!$A$7:$S$106,16,FALSE),0),"n.a."))</f>
        <v>0</v>
      </c>
      <c r="S2797" s="1">
        <f>IF(NOT(Paths!$C$260=1),0,IF(Paths!$P$260="Complete",IF(C2797=0,0,Paths!$S$260*Paths!$R$260),"n.a."))</f>
        <v>0</v>
      </c>
      <c r="T2797" s="1">
        <f>IF(NOT(Paths!$C$260=1),0,IF(Paths!$P$260="Complete",IF(C2797=0,0,VLOOKUP(A2797,'Fleet register'!$A$7:$S$106,9,FALSE)*Paths!$R$260),"n.a."))</f>
        <v>0</v>
      </c>
    </row>
    <row r="2798" spans="1:20" ht="24" customHeight="1">
      <c r="A2798" s="1" t="str">
        <f>Paths!$A$260</f>
        <v>T064</v>
      </c>
      <c r="B2798" s="1">
        <f>Paths!$B$260</f>
        <v>1</v>
      </c>
      <c r="C2798" s="1">
        <v>8</v>
      </c>
      <c r="D2798" s="1">
        <v>260</v>
      </c>
      <c r="E2798" s="1">
        <f>IF(OR(Paths!$C$260=0,C2798=0),0,MAX(0,MIN(C2798*12,Paths!$E$260)-(C2798-1)*12))</f>
        <v>0</v>
      </c>
      <c r="F2798" s="1">
        <f>IF(OR(Paths!$C$260=0,C2798=0),0,12-E2798)</f>
        <v>0</v>
      </c>
      <c r="G2798" s="16">
        <f>IF(NOT(Paths!$C$260=1),0,IF(Paths!$P$260="Complete",E2798/12*(Paths!$J$260*(1+'Operating costs'!$B$51)^MAX(0,C2798-1)+Paths!$K$260*(1+'Operating costs'!$B$53)^MAX(0,C2798-1)),"n.a."))</f>
        <v>0</v>
      </c>
      <c r="H2798" s="16">
        <f>IF(NOT(Paths!$C$260=1),0,IF(Paths!$P$260="Complete",F2798/12*(Paths!$L$260*(1+IF(Paths!$D$260="EV",'Operating costs'!$B$52,'Operating costs'!$B$51))^MAX(0,C2798-1)+Paths!$M$260*(1+'Operating costs'!$B$53)^MAX(0,C2798-1)),"n.a."))</f>
        <v>0</v>
      </c>
      <c r="I2798" s="16">
        <f>IF(NOT(Paths!$C$260=1),0,IF(Paths!$P$260="Complete",IF(IF(Paths!$E$260=0,C2798=0,AND(C2798&gt;0,Paths!$E$260&gt;(C2798-1)*12,Paths!$E$260&lt;=C2798*12)),Paths!$G$260,0),"n.a."))</f>
        <v>0</v>
      </c>
      <c r="J2798" s="16">
        <f>IF(NOT(Paths!$C$260=1),0,IF(Paths!$P$260="Complete",IF(IF(Paths!$E$260=0,C2798=0,AND(C2798&gt;0,Paths!$E$260&gt;(C2798-1)*12,Paths!$E$260&lt;=C2798*12)),Paths!$H$260,0),"n.a."))</f>
        <v>0</v>
      </c>
      <c r="K2798" s="16">
        <f>IF(NOT(Paths!$C$260=1),0,IF(Paths!$P$260="Complete",IF(IF(Paths!$O$260=0,C2798=0,AND(C2798&gt;0,Paths!$O$260&gt;(C2798-1)*12,Paths!$O$260&lt;=C2798*12)),Paths!$N$260,0),"n.a."))</f>
        <v>0</v>
      </c>
      <c r="L2798" s="16">
        <f>IF(NOT(Paths!$C$260=1),0,IF(Paths!$P$260="Complete",IF(C2798=10,Paths!$I$260,0),"n.a."))</f>
        <v>0</v>
      </c>
      <c r="M2798" s="16">
        <f>IF(NOT(Paths!$C$260=1),0,IF(Paths!$P$260="Complete",IF(AND(Paths!$D$260="EV",Paths!$E$260&lt;120,Paths!$E$260+'Operating costs'!$B$65&gt;Paths!$E$260,Paths!$E$260+'Operating costs'!$B$65&lt;=120,IF(Paths!$E$260+'Operating costs'!$B$65=0,C2798=0,AND(C2798&gt;0,Paths!$E$260+'Operating costs'!$B$65&gt;(C2798-1)*12,Paths!$E$260+'Operating costs'!$B$65&lt;=C2798*12))),'Operating costs'!$B$64,0)+IF(AND('Operating costs'!$B$67&gt;0,'Operating costs'!$B$67&lt;=120,OR(Paths!$D$260="ICE",'Operating costs'!$B$67&lt;=Paths!$E$260),IF('Operating costs'!$B$67=0,C2798=0,AND(C2798&gt;0,'Operating costs'!$B$67&gt;(C2798-1)*12,'Operating costs'!$B$67&lt;=C2798*12))),'Operating costs'!$B$66,0),"n.a."))</f>
        <v>0</v>
      </c>
      <c r="N2798" s="16">
        <f>IF(NOT(Paths!$C$260=1),0,IF(Paths!$P$260="Complete",SUM(G2798:I2798)-J2798-K2798-L2798+M2798+IF(C2798=0,Paths!$F$260,0)+IF(IF(Paths!$E$260=0,C2798=0,AND(C2798&gt;0,Paths!$E$260&gt;(C2798-1)*12,Paths!$E$260&lt;=C2798*12)),VLOOKUP(A2798,'Fleet register'!$A$7:$S$106,16,FALSE),0),"n.a."))</f>
        <v>0</v>
      </c>
      <c r="O2798" s="16">
        <f>IF(NOT(Paths!$C$260=1),0,IF(Paths!$P$260="Complete",N2798-IF(C2798=0,Paths!$F$260,0),"n.a."))</f>
        <v>0</v>
      </c>
      <c r="P2798" s="16">
        <f>IF(NOT(Paths!$C$260=1),0,IF(Paths!$P$260="Complete",O2798+L2798,"n.a."))</f>
        <v>0</v>
      </c>
      <c r="Q2798" s="16">
        <f>IF(NOT(Paths!$C$260=1),0,IF(Paths!$P$260="Complete",N2798*(1+'Operating costs'!$B$54)^-C2798,"n.a."))</f>
        <v>0</v>
      </c>
      <c r="R2798" s="16">
        <f>IF(NOT(Paths!$C$260=1),0,IF(Paths!$P$260="Complete",IF(AND(C2798=0,Paths!$E$260=0),I2798-J2798-K2798+VLOOKUP(A2798,'Fleet register'!$A$7:$S$106,15,FALSE)+VLOOKUP(A2798,'Fleet register'!$A$7:$S$106,16,FALSE),0),"n.a."))</f>
        <v>0</v>
      </c>
      <c r="S2798" s="1">
        <f>IF(NOT(Paths!$C$260=1),0,IF(Paths!$P$260="Complete",IF(C2798=0,0,Paths!$S$260*Paths!$R$260),"n.a."))</f>
        <v>0</v>
      </c>
      <c r="T2798" s="1">
        <f>IF(NOT(Paths!$C$260=1),0,IF(Paths!$P$260="Complete",IF(C2798=0,0,VLOOKUP(A2798,'Fleet register'!$A$7:$S$106,9,FALSE)*Paths!$R$260),"n.a."))</f>
        <v>0</v>
      </c>
    </row>
    <row r="2799" spans="1:20" ht="24" customHeight="1">
      <c r="A2799" s="1" t="str">
        <f>Paths!$A$260</f>
        <v>T064</v>
      </c>
      <c r="B2799" s="1">
        <f>Paths!$B$260</f>
        <v>1</v>
      </c>
      <c r="C2799" s="1">
        <v>9</v>
      </c>
      <c r="D2799" s="1">
        <v>260</v>
      </c>
      <c r="E2799" s="1">
        <f>IF(OR(Paths!$C$260=0,C2799=0),0,MAX(0,MIN(C2799*12,Paths!$E$260)-(C2799-1)*12))</f>
        <v>0</v>
      </c>
      <c r="F2799" s="1">
        <f>IF(OR(Paths!$C$260=0,C2799=0),0,12-E2799)</f>
        <v>0</v>
      </c>
      <c r="G2799" s="16">
        <f>IF(NOT(Paths!$C$260=1),0,IF(Paths!$P$260="Complete",E2799/12*(Paths!$J$260*(1+'Operating costs'!$B$51)^MAX(0,C2799-1)+Paths!$K$260*(1+'Operating costs'!$B$53)^MAX(0,C2799-1)),"n.a."))</f>
        <v>0</v>
      </c>
      <c r="H2799" s="16">
        <f>IF(NOT(Paths!$C$260=1),0,IF(Paths!$P$260="Complete",F2799/12*(Paths!$L$260*(1+IF(Paths!$D$260="EV",'Operating costs'!$B$52,'Operating costs'!$B$51))^MAX(0,C2799-1)+Paths!$M$260*(1+'Operating costs'!$B$53)^MAX(0,C2799-1)),"n.a."))</f>
        <v>0</v>
      </c>
      <c r="I2799" s="16">
        <f>IF(NOT(Paths!$C$260=1),0,IF(Paths!$P$260="Complete",IF(IF(Paths!$E$260=0,C2799=0,AND(C2799&gt;0,Paths!$E$260&gt;(C2799-1)*12,Paths!$E$260&lt;=C2799*12)),Paths!$G$260,0),"n.a."))</f>
        <v>0</v>
      </c>
      <c r="J2799" s="16">
        <f>IF(NOT(Paths!$C$260=1),0,IF(Paths!$P$260="Complete",IF(IF(Paths!$E$260=0,C2799=0,AND(C2799&gt;0,Paths!$E$260&gt;(C2799-1)*12,Paths!$E$260&lt;=C2799*12)),Paths!$H$260,0),"n.a."))</f>
        <v>0</v>
      </c>
      <c r="K2799" s="16">
        <f>IF(NOT(Paths!$C$260=1),0,IF(Paths!$P$260="Complete",IF(IF(Paths!$O$260=0,C2799=0,AND(C2799&gt;0,Paths!$O$260&gt;(C2799-1)*12,Paths!$O$260&lt;=C2799*12)),Paths!$N$260,0),"n.a."))</f>
        <v>0</v>
      </c>
      <c r="L2799" s="16">
        <f>IF(NOT(Paths!$C$260=1),0,IF(Paths!$P$260="Complete",IF(C2799=10,Paths!$I$260,0),"n.a."))</f>
        <v>0</v>
      </c>
      <c r="M2799" s="16">
        <f>IF(NOT(Paths!$C$260=1),0,IF(Paths!$P$260="Complete",IF(AND(Paths!$D$260="EV",Paths!$E$260&lt;120,Paths!$E$260+'Operating costs'!$B$65&gt;Paths!$E$260,Paths!$E$260+'Operating costs'!$B$65&lt;=120,IF(Paths!$E$260+'Operating costs'!$B$65=0,C2799=0,AND(C2799&gt;0,Paths!$E$260+'Operating costs'!$B$65&gt;(C2799-1)*12,Paths!$E$260+'Operating costs'!$B$65&lt;=C2799*12))),'Operating costs'!$B$64,0)+IF(AND('Operating costs'!$B$67&gt;0,'Operating costs'!$B$67&lt;=120,OR(Paths!$D$260="ICE",'Operating costs'!$B$67&lt;=Paths!$E$260),IF('Operating costs'!$B$67=0,C2799=0,AND(C2799&gt;0,'Operating costs'!$B$67&gt;(C2799-1)*12,'Operating costs'!$B$67&lt;=C2799*12))),'Operating costs'!$B$66,0),"n.a."))</f>
        <v>0</v>
      </c>
      <c r="N2799" s="16">
        <f>IF(NOT(Paths!$C$260=1),0,IF(Paths!$P$260="Complete",SUM(G2799:I2799)-J2799-K2799-L2799+M2799+IF(C2799=0,Paths!$F$260,0)+IF(IF(Paths!$E$260=0,C2799=0,AND(C2799&gt;0,Paths!$E$260&gt;(C2799-1)*12,Paths!$E$260&lt;=C2799*12)),VLOOKUP(A2799,'Fleet register'!$A$7:$S$106,16,FALSE),0),"n.a."))</f>
        <v>0</v>
      </c>
      <c r="O2799" s="16">
        <f>IF(NOT(Paths!$C$260=1),0,IF(Paths!$P$260="Complete",N2799-IF(C2799=0,Paths!$F$260,0),"n.a."))</f>
        <v>0</v>
      </c>
      <c r="P2799" s="16">
        <f>IF(NOT(Paths!$C$260=1),0,IF(Paths!$P$260="Complete",O2799+L2799,"n.a."))</f>
        <v>0</v>
      </c>
      <c r="Q2799" s="16">
        <f>IF(NOT(Paths!$C$260=1),0,IF(Paths!$P$260="Complete",N2799*(1+'Operating costs'!$B$54)^-C2799,"n.a."))</f>
        <v>0</v>
      </c>
      <c r="R2799" s="16">
        <f>IF(NOT(Paths!$C$260=1),0,IF(Paths!$P$260="Complete",IF(AND(C2799=0,Paths!$E$260=0),I2799-J2799-K2799+VLOOKUP(A2799,'Fleet register'!$A$7:$S$106,15,FALSE)+VLOOKUP(A2799,'Fleet register'!$A$7:$S$106,16,FALSE),0),"n.a."))</f>
        <v>0</v>
      </c>
      <c r="S2799" s="1">
        <f>IF(NOT(Paths!$C$260=1),0,IF(Paths!$P$260="Complete",IF(C2799=0,0,Paths!$S$260*Paths!$R$260),"n.a."))</f>
        <v>0</v>
      </c>
      <c r="T2799" s="1">
        <f>IF(NOT(Paths!$C$260=1),0,IF(Paths!$P$260="Complete",IF(C2799=0,0,VLOOKUP(A2799,'Fleet register'!$A$7:$S$106,9,FALSE)*Paths!$R$260),"n.a."))</f>
        <v>0</v>
      </c>
    </row>
    <row r="2800" spans="1:20" ht="24" customHeight="1">
      <c r="A2800" s="1" t="str">
        <f>Paths!$A$260</f>
        <v>T064</v>
      </c>
      <c r="B2800" s="1">
        <f>Paths!$B$260</f>
        <v>1</v>
      </c>
      <c r="C2800" s="1">
        <v>10</v>
      </c>
      <c r="D2800" s="1">
        <v>260</v>
      </c>
      <c r="E2800" s="1">
        <f>IF(OR(Paths!$C$260=0,C2800=0),0,MAX(0,MIN(C2800*12,Paths!$E$260)-(C2800-1)*12))</f>
        <v>0</v>
      </c>
      <c r="F2800" s="1">
        <f>IF(OR(Paths!$C$260=0,C2800=0),0,12-E2800)</f>
        <v>0</v>
      </c>
      <c r="G2800" s="16">
        <f>IF(NOT(Paths!$C$260=1),0,IF(Paths!$P$260="Complete",E2800/12*(Paths!$J$260*(1+'Operating costs'!$B$51)^MAX(0,C2800-1)+Paths!$K$260*(1+'Operating costs'!$B$53)^MAX(0,C2800-1)),"n.a."))</f>
        <v>0</v>
      </c>
      <c r="H2800" s="16">
        <f>IF(NOT(Paths!$C$260=1),0,IF(Paths!$P$260="Complete",F2800/12*(Paths!$L$260*(1+IF(Paths!$D$260="EV",'Operating costs'!$B$52,'Operating costs'!$B$51))^MAX(0,C2800-1)+Paths!$M$260*(1+'Operating costs'!$B$53)^MAX(0,C2800-1)),"n.a."))</f>
        <v>0</v>
      </c>
      <c r="I2800" s="16">
        <f>IF(NOT(Paths!$C$260=1),0,IF(Paths!$P$260="Complete",IF(IF(Paths!$E$260=0,C2800=0,AND(C2800&gt;0,Paths!$E$260&gt;(C2800-1)*12,Paths!$E$260&lt;=C2800*12)),Paths!$G$260,0),"n.a."))</f>
        <v>0</v>
      </c>
      <c r="J2800" s="16">
        <f>IF(NOT(Paths!$C$260=1),0,IF(Paths!$P$260="Complete",IF(IF(Paths!$E$260=0,C2800=0,AND(C2800&gt;0,Paths!$E$260&gt;(C2800-1)*12,Paths!$E$260&lt;=C2800*12)),Paths!$H$260,0),"n.a."))</f>
        <v>0</v>
      </c>
      <c r="K2800" s="16">
        <f>IF(NOT(Paths!$C$260=1),0,IF(Paths!$P$260="Complete",IF(IF(Paths!$O$260=0,C2800=0,AND(C2800&gt;0,Paths!$O$260&gt;(C2800-1)*12,Paths!$O$260&lt;=C2800*12)),Paths!$N$260,0),"n.a."))</f>
        <v>0</v>
      </c>
      <c r="L2800" s="16">
        <f>IF(NOT(Paths!$C$260=1),0,IF(Paths!$P$260="Complete",IF(C2800=10,Paths!$I$260,0),"n.a."))</f>
        <v>0</v>
      </c>
      <c r="M2800" s="16">
        <f>IF(NOT(Paths!$C$260=1),0,IF(Paths!$P$260="Complete",IF(AND(Paths!$D$260="EV",Paths!$E$260&lt;120,Paths!$E$260+'Operating costs'!$B$65&gt;Paths!$E$260,Paths!$E$260+'Operating costs'!$B$65&lt;=120,IF(Paths!$E$260+'Operating costs'!$B$65=0,C2800=0,AND(C2800&gt;0,Paths!$E$260+'Operating costs'!$B$65&gt;(C2800-1)*12,Paths!$E$260+'Operating costs'!$B$65&lt;=C2800*12))),'Operating costs'!$B$64,0)+IF(AND('Operating costs'!$B$67&gt;0,'Operating costs'!$B$67&lt;=120,OR(Paths!$D$260="ICE",'Operating costs'!$B$67&lt;=Paths!$E$260),IF('Operating costs'!$B$67=0,C2800=0,AND(C2800&gt;0,'Operating costs'!$B$67&gt;(C2800-1)*12,'Operating costs'!$B$67&lt;=C2800*12))),'Operating costs'!$B$66,0),"n.a."))</f>
        <v>0</v>
      </c>
      <c r="N2800" s="16">
        <f>IF(NOT(Paths!$C$260=1),0,IF(Paths!$P$260="Complete",SUM(G2800:I2800)-J2800-K2800-L2800+M2800+IF(C2800=0,Paths!$F$260,0)+IF(IF(Paths!$E$260=0,C2800=0,AND(C2800&gt;0,Paths!$E$260&gt;(C2800-1)*12,Paths!$E$260&lt;=C2800*12)),VLOOKUP(A2800,'Fleet register'!$A$7:$S$106,16,FALSE),0),"n.a."))</f>
        <v>0</v>
      </c>
      <c r="O2800" s="16">
        <f>IF(NOT(Paths!$C$260=1),0,IF(Paths!$P$260="Complete",N2800-IF(C2800=0,Paths!$F$260,0),"n.a."))</f>
        <v>0</v>
      </c>
      <c r="P2800" s="16">
        <f>IF(NOT(Paths!$C$260=1),0,IF(Paths!$P$260="Complete",O2800+L2800,"n.a."))</f>
        <v>0</v>
      </c>
      <c r="Q2800" s="16">
        <f>IF(NOT(Paths!$C$260=1),0,IF(Paths!$P$260="Complete",N2800*(1+'Operating costs'!$B$54)^-C2800,"n.a."))</f>
        <v>0</v>
      </c>
      <c r="R2800" s="16">
        <f>IF(NOT(Paths!$C$260=1),0,IF(Paths!$P$260="Complete",IF(AND(C2800=0,Paths!$E$260=0),I2800-J2800-K2800+VLOOKUP(A2800,'Fleet register'!$A$7:$S$106,15,FALSE)+VLOOKUP(A2800,'Fleet register'!$A$7:$S$106,16,FALSE),0),"n.a."))</f>
        <v>0</v>
      </c>
      <c r="S2800" s="1">
        <f>IF(NOT(Paths!$C$260=1),0,IF(Paths!$P$260="Complete",IF(C2800=0,0,Paths!$S$260*Paths!$R$260),"n.a."))</f>
        <v>0</v>
      </c>
      <c r="T2800" s="1">
        <f>IF(NOT(Paths!$C$260=1),0,IF(Paths!$P$260="Complete",IF(C2800=0,0,VLOOKUP(A2800,'Fleet register'!$A$7:$S$106,9,FALSE)*Paths!$R$260),"n.a."))</f>
        <v>0</v>
      </c>
    </row>
    <row r="2801" spans="1:20" ht="24" customHeight="1">
      <c r="A2801" s="1" t="str">
        <f>Paths!$A$261</f>
        <v>T064</v>
      </c>
      <c r="B2801" s="1">
        <f>Paths!$B$261</f>
        <v>2</v>
      </c>
      <c r="C2801" s="1">
        <v>0</v>
      </c>
      <c r="D2801" s="1">
        <v>261</v>
      </c>
      <c r="E2801" s="1">
        <f>IF(OR(Paths!$C$261=0,C2801=0),0,MAX(0,MIN(C2801*12,Paths!$E$261)-(C2801-1)*12))</f>
        <v>0</v>
      </c>
      <c r="F2801" s="1">
        <f>IF(OR(Paths!$C$261=0,C2801=0),0,12-E2801)</f>
        <v>0</v>
      </c>
      <c r="G2801" s="16">
        <f>IF(NOT(Paths!$C$261=1),0,IF(Paths!$P$261="Complete",E2801/12*(Paths!$J$261*(1+'Operating costs'!$B$51)^MAX(0,C2801-1)+Paths!$K$261*(1+'Operating costs'!$B$53)^MAX(0,C2801-1)),"n.a."))</f>
        <v>0</v>
      </c>
      <c r="H2801" s="16">
        <f>IF(NOT(Paths!$C$261=1),0,IF(Paths!$P$261="Complete",F2801/12*(Paths!$L$261*(1+IF(Paths!$D$261="EV",'Operating costs'!$B$52,'Operating costs'!$B$51))^MAX(0,C2801-1)+Paths!$M$261*(1+'Operating costs'!$B$53)^MAX(0,C2801-1)),"n.a."))</f>
        <v>0</v>
      </c>
      <c r="I2801" s="16">
        <f>IF(NOT(Paths!$C$261=1),0,IF(Paths!$P$261="Complete",IF(IF(Paths!$E$261=0,C2801=0,AND(C2801&gt;0,Paths!$E$261&gt;(C2801-1)*12,Paths!$E$261&lt;=C2801*12)),Paths!$G$261,0),"n.a."))</f>
        <v>0</v>
      </c>
      <c r="J2801" s="16">
        <f>IF(NOT(Paths!$C$261=1),0,IF(Paths!$P$261="Complete",IF(IF(Paths!$E$261=0,C2801=0,AND(C2801&gt;0,Paths!$E$261&gt;(C2801-1)*12,Paths!$E$261&lt;=C2801*12)),Paths!$H$261,0),"n.a."))</f>
        <v>0</v>
      </c>
      <c r="K2801" s="16">
        <f>IF(NOT(Paths!$C$261=1),0,IF(Paths!$P$261="Complete",IF(IF(Paths!$O$261=0,C2801=0,AND(C2801&gt;0,Paths!$O$261&gt;(C2801-1)*12,Paths!$O$261&lt;=C2801*12)),Paths!$N$261,0),"n.a."))</f>
        <v>0</v>
      </c>
      <c r="L2801" s="16">
        <f>IF(NOT(Paths!$C$261=1),0,IF(Paths!$P$261="Complete",IF(C2801=10,Paths!$I$261,0),"n.a."))</f>
        <v>0</v>
      </c>
      <c r="M2801" s="16">
        <f>IF(NOT(Paths!$C$261=1),0,IF(Paths!$P$261="Complete",IF(AND(Paths!$D$261="EV",Paths!$E$261&lt;120,Paths!$E$261+'Operating costs'!$B$65&gt;Paths!$E$261,Paths!$E$261+'Operating costs'!$B$65&lt;=120,IF(Paths!$E$261+'Operating costs'!$B$65=0,C2801=0,AND(C2801&gt;0,Paths!$E$261+'Operating costs'!$B$65&gt;(C2801-1)*12,Paths!$E$261+'Operating costs'!$B$65&lt;=C2801*12))),'Operating costs'!$B$64,0)+IF(AND('Operating costs'!$B$67&gt;0,'Operating costs'!$B$67&lt;=120,OR(Paths!$D$261="ICE",'Operating costs'!$B$67&lt;=Paths!$E$261),IF('Operating costs'!$B$67=0,C2801=0,AND(C2801&gt;0,'Operating costs'!$B$67&gt;(C2801-1)*12,'Operating costs'!$B$67&lt;=C2801*12))),'Operating costs'!$B$66,0),"n.a."))</f>
        <v>0</v>
      </c>
      <c r="N2801" s="16">
        <f>IF(NOT(Paths!$C$261=1),0,IF(Paths!$P$261="Complete",SUM(G2801:I2801)-J2801-K2801-L2801+M2801+IF(C2801=0,Paths!$F$261,0)+IF(IF(Paths!$E$261=0,C2801=0,AND(C2801&gt;0,Paths!$E$261&gt;(C2801-1)*12,Paths!$E$261&lt;=C2801*12)),VLOOKUP(A2801,'Fleet register'!$A$7:$S$106,16,FALSE),0),"n.a."))</f>
        <v>0</v>
      </c>
      <c r="O2801" s="16">
        <f>IF(NOT(Paths!$C$261=1),0,IF(Paths!$P$261="Complete",N2801-IF(C2801=0,Paths!$F$261,0),"n.a."))</f>
        <v>0</v>
      </c>
      <c r="P2801" s="16">
        <f>IF(NOT(Paths!$C$261=1),0,IF(Paths!$P$261="Complete",O2801+L2801,"n.a."))</f>
        <v>0</v>
      </c>
      <c r="Q2801" s="16">
        <f>IF(NOT(Paths!$C$261=1),0,IF(Paths!$P$261="Complete",N2801*(1+'Operating costs'!$B$54)^-C2801,"n.a."))</f>
        <v>0</v>
      </c>
      <c r="R2801" s="16">
        <f>IF(NOT(Paths!$C$261=1),0,IF(Paths!$P$261="Complete",IF(AND(C2801=0,Paths!$E$261=0),I2801-J2801-K2801+VLOOKUP(A2801,'Fleet register'!$A$7:$S$106,15,FALSE)+VLOOKUP(A2801,'Fleet register'!$A$7:$S$106,16,FALSE),0),"n.a."))</f>
        <v>0</v>
      </c>
      <c r="S2801" s="1">
        <f>IF(NOT(Paths!$C$261=1),0,IF(Paths!$P$261="Complete",IF(C2801=0,0,Paths!$S$261*Paths!$R$261),"n.a."))</f>
        <v>0</v>
      </c>
      <c r="T2801" s="1">
        <f>IF(NOT(Paths!$C$261=1),0,IF(Paths!$P$261="Complete",IF(C2801=0,0,VLOOKUP(A2801,'Fleet register'!$A$7:$S$106,9,FALSE)*Paths!$R$261),"n.a."))</f>
        <v>0</v>
      </c>
    </row>
    <row r="2802" spans="1:20" ht="24" customHeight="1">
      <c r="A2802" s="1" t="str">
        <f>Paths!$A$261</f>
        <v>T064</v>
      </c>
      <c r="B2802" s="1">
        <f>Paths!$B$261</f>
        <v>2</v>
      </c>
      <c r="C2802" s="1">
        <v>1</v>
      </c>
      <c r="D2802" s="1">
        <v>261</v>
      </c>
      <c r="E2802" s="1">
        <f>IF(OR(Paths!$C$261=0,C2802=0),0,MAX(0,MIN(C2802*12,Paths!$E$261)-(C2802-1)*12))</f>
        <v>0</v>
      </c>
      <c r="F2802" s="1">
        <f>IF(OR(Paths!$C$261=0,C2802=0),0,12-E2802)</f>
        <v>0</v>
      </c>
      <c r="G2802" s="16">
        <f>IF(NOT(Paths!$C$261=1),0,IF(Paths!$P$261="Complete",E2802/12*(Paths!$J$261*(1+'Operating costs'!$B$51)^MAX(0,C2802-1)+Paths!$K$261*(1+'Operating costs'!$B$53)^MAX(0,C2802-1)),"n.a."))</f>
        <v>0</v>
      </c>
      <c r="H2802" s="16">
        <f>IF(NOT(Paths!$C$261=1),0,IF(Paths!$P$261="Complete",F2802/12*(Paths!$L$261*(1+IF(Paths!$D$261="EV",'Operating costs'!$B$52,'Operating costs'!$B$51))^MAX(0,C2802-1)+Paths!$M$261*(1+'Operating costs'!$B$53)^MAX(0,C2802-1)),"n.a."))</f>
        <v>0</v>
      </c>
      <c r="I2802" s="16">
        <f>IF(NOT(Paths!$C$261=1),0,IF(Paths!$P$261="Complete",IF(IF(Paths!$E$261=0,C2802=0,AND(C2802&gt;0,Paths!$E$261&gt;(C2802-1)*12,Paths!$E$261&lt;=C2802*12)),Paths!$G$261,0),"n.a."))</f>
        <v>0</v>
      </c>
      <c r="J2802" s="16">
        <f>IF(NOT(Paths!$C$261=1),0,IF(Paths!$P$261="Complete",IF(IF(Paths!$E$261=0,C2802=0,AND(C2802&gt;0,Paths!$E$261&gt;(C2802-1)*12,Paths!$E$261&lt;=C2802*12)),Paths!$H$261,0),"n.a."))</f>
        <v>0</v>
      </c>
      <c r="K2802" s="16">
        <f>IF(NOT(Paths!$C$261=1),0,IF(Paths!$P$261="Complete",IF(IF(Paths!$O$261=0,C2802=0,AND(C2802&gt;0,Paths!$O$261&gt;(C2802-1)*12,Paths!$O$261&lt;=C2802*12)),Paths!$N$261,0),"n.a."))</f>
        <v>0</v>
      </c>
      <c r="L2802" s="16">
        <f>IF(NOT(Paths!$C$261=1),0,IF(Paths!$P$261="Complete",IF(C2802=10,Paths!$I$261,0),"n.a."))</f>
        <v>0</v>
      </c>
      <c r="M2802" s="16">
        <f>IF(NOT(Paths!$C$261=1),0,IF(Paths!$P$261="Complete",IF(AND(Paths!$D$261="EV",Paths!$E$261&lt;120,Paths!$E$261+'Operating costs'!$B$65&gt;Paths!$E$261,Paths!$E$261+'Operating costs'!$B$65&lt;=120,IF(Paths!$E$261+'Operating costs'!$B$65=0,C2802=0,AND(C2802&gt;0,Paths!$E$261+'Operating costs'!$B$65&gt;(C2802-1)*12,Paths!$E$261+'Operating costs'!$B$65&lt;=C2802*12))),'Operating costs'!$B$64,0)+IF(AND('Operating costs'!$B$67&gt;0,'Operating costs'!$B$67&lt;=120,OR(Paths!$D$261="ICE",'Operating costs'!$B$67&lt;=Paths!$E$261),IF('Operating costs'!$B$67=0,C2802=0,AND(C2802&gt;0,'Operating costs'!$B$67&gt;(C2802-1)*12,'Operating costs'!$B$67&lt;=C2802*12))),'Operating costs'!$B$66,0),"n.a."))</f>
        <v>0</v>
      </c>
      <c r="N2802" s="16">
        <f>IF(NOT(Paths!$C$261=1),0,IF(Paths!$P$261="Complete",SUM(G2802:I2802)-J2802-K2802-L2802+M2802+IF(C2802=0,Paths!$F$261,0)+IF(IF(Paths!$E$261=0,C2802=0,AND(C2802&gt;0,Paths!$E$261&gt;(C2802-1)*12,Paths!$E$261&lt;=C2802*12)),VLOOKUP(A2802,'Fleet register'!$A$7:$S$106,16,FALSE),0),"n.a."))</f>
        <v>0</v>
      </c>
      <c r="O2802" s="16">
        <f>IF(NOT(Paths!$C$261=1),0,IF(Paths!$P$261="Complete",N2802-IF(C2802=0,Paths!$F$261,0),"n.a."))</f>
        <v>0</v>
      </c>
      <c r="P2802" s="16">
        <f>IF(NOT(Paths!$C$261=1),0,IF(Paths!$P$261="Complete",O2802+L2802,"n.a."))</f>
        <v>0</v>
      </c>
      <c r="Q2802" s="16">
        <f>IF(NOT(Paths!$C$261=1),0,IF(Paths!$P$261="Complete",N2802*(1+'Operating costs'!$B$54)^-C2802,"n.a."))</f>
        <v>0</v>
      </c>
      <c r="R2802" s="16">
        <f>IF(NOT(Paths!$C$261=1),0,IF(Paths!$P$261="Complete",IF(AND(C2802=0,Paths!$E$261=0),I2802-J2802-K2802+VLOOKUP(A2802,'Fleet register'!$A$7:$S$106,15,FALSE)+VLOOKUP(A2802,'Fleet register'!$A$7:$S$106,16,FALSE),0),"n.a."))</f>
        <v>0</v>
      </c>
      <c r="S2802" s="1">
        <f>IF(NOT(Paths!$C$261=1),0,IF(Paths!$P$261="Complete",IF(C2802=0,0,Paths!$S$261*Paths!$R$261),"n.a."))</f>
        <v>0</v>
      </c>
      <c r="T2802" s="1">
        <f>IF(NOT(Paths!$C$261=1),0,IF(Paths!$P$261="Complete",IF(C2802=0,0,VLOOKUP(A2802,'Fleet register'!$A$7:$S$106,9,FALSE)*Paths!$R$261),"n.a."))</f>
        <v>0</v>
      </c>
    </row>
    <row r="2803" spans="1:20" ht="24" customHeight="1">
      <c r="A2803" s="1" t="str">
        <f>Paths!$A$261</f>
        <v>T064</v>
      </c>
      <c r="B2803" s="1">
        <f>Paths!$B$261</f>
        <v>2</v>
      </c>
      <c r="C2803" s="1">
        <v>2</v>
      </c>
      <c r="D2803" s="1">
        <v>261</v>
      </c>
      <c r="E2803" s="1">
        <f>IF(OR(Paths!$C$261=0,C2803=0),0,MAX(0,MIN(C2803*12,Paths!$E$261)-(C2803-1)*12))</f>
        <v>0</v>
      </c>
      <c r="F2803" s="1">
        <f>IF(OR(Paths!$C$261=0,C2803=0),0,12-E2803)</f>
        <v>0</v>
      </c>
      <c r="G2803" s="16">
        <f>IF(NOT(Paths!$C$261=1),0,IF(Paths!$P$261="Complete",E2803/12*(Paths!$J$261*(1+'Operating costs'!$B$51)^MAX(0,C2803-1)+Paths!$K$261*(1+'Operating costs'!$B$53)^MAX(0,C2803-1)),"n.a."))</f>
        <v>0</v>
      </c>
      <c r="H2803" s="16">
        <f>IF(NOT(Paths!$C$261=1),0,IF(Paths!$P$261="Complete",F2803/12*(Paths!$L$261*(1+IF(Paths!$D$261="EV",'Operating costs'!$B$52,'Operating costs'!$B$51))^MAX(0,C2803-1)+Paths!$M$261*(1+'Operating costs'!$B$53)^MAX(0,C2803-1)),"n.a."))</f>
        <v>0</v>
      </c>
      <c r="I2803" s="16">
        <f>IF(NOT(Paths!$C$261=1),0,IF(Paths!$P$261="Complete",IF(IF(Paths!$E$261=0,C2803=0,AND(C2803&gt;0,Paths!$E$261&gt;(C2803-1)*12,Paths!$E$261&lt;=C2803*12)),Paths!$G$261,0),"n.a."))</f>
        <v>0</v>
      </c>
      <c r="J2803" s="16">
        <f>IF(NOT(Paths!$C$261=1),0,IF(Paths!$P$261="Complete",IF(IF(Paths!$E$261=0,C2803=0,AND(C2803&gt;0,Paths!$E$261&gt;(C2803-1)*12,Paths!$E$261&lt;=C2803*12)),Paths!$H$261,0),"n.a."))</f>
        <v>0</v>
      </c>
      <c r="K2803" s="16">
        <f>IF(NOT(Paths!$C$261=1),0,IF(Paths!$P$261="Complete",IF(IF(Paths!$O$261=0,C2803=0,AND(C2803&gt;0,Paths!$O$261&gt;(C2803-1)*12,Paths!$O$261&lt;=C2803*12)),Paths!$N$261,0),"n.a."))</f>
        <v>0</v>
      </c>
      <c r="L2803" s="16">
        <f>IF(NOT(Paths!$C$261=1),0,IF(Paths!$P$261="Complete",IF(C2803=10,Paths!$I$261,0),"n.a."))</f>
        <v>0</v>
      </c>
      <c r="M2803" s="16">
        <f>IF(NOT(Paths!$C$261=1),0,IF(Paths!$P$261="Complete",IF(AND(Paths!$D$261="EV",Paths!$E$261&lt;120,Paths!$E$261+'Operating costs'!$B$65&gt;Paths!$E$261,Paths!$E$261+'Operating costs'!$B$65&lt;=120,IF(Paths!$E$261+'Operating costs'!$B$65=0,C2803=0,AND(C2803&gt;0,Paths!$E$261+'Operating costs'!$B$65&gt;(C2803-1)*12,Paths!$E$261+'Operating costs'!$B$65&lt;=C2803*12))),'Operating costs'!$B$64,0)+IF(AND('Operating costs'!$B$67&gt;0,'Operating costs'!$B$67&lt;=120,OR(Paths!$D$261="ICE",'Operating costs'!$B$67&lt;=Paths!$E$261),IF('Operating costs'!$B$67=0,C2803=0,AND(C2803&gt;0,'Operating costs'!$B$67&gt;(C2803-1)*12,'Operating costs'!$B$67&lt;=C2803*12))),'Operating costs'!$B$66,0),"n.a."))</f>
        <v>0</v>
      </c>
      <c r="N2803" s="16">
        <f>IF(NOT(Paths!$C$261=1),0,IF(Paths!$P$261="Complete",SUM(G2803:I2803)-J2803-K2803-L2803+M2803+IF(C2803=0,Paths!$F$261,0)+IF(IF(Paths!$E$261=0,C2803=0,AND(C2803&gt;0,Paths!$E$261&gt;(C2803-1)*12,Paths!$E$261&lt;=C2803*12)),VLOOKUP(A2803,'Fleet register'!$A$7:$S$106,16,FALSE),0),"n.a."))</f>
        <v>0</v>
      </c>
      <c r="O2803" s="16">
        <f>IF(NOT(Paths!$C$261=1),0,IF(Paths!$P$261="Complete",N2803-IF(C2803=0,Paths!$F$261,0),"n.a."))</f>
        <v>0</v>
      </c>
      <c r="P2803" s="16">
        <f>IF(NOT(Paths!$C$261=1),0,IF(Paths!$P$261="Complete",O2803+L2803,"n.a."))</f>
        <v>0</v>
      </c>
      <c r="Q2803" s="16">
        <f>IF(NOT(Paths!$C$261=1),0,IF(Paths!$P$261="Complete",N2803*(1+'Operating costs'!$B$54)^-C2803,"n.a."))</f>
        <v>0</v>
      </c>
      <c r="R2803" s="16">
        <f>IF(NOT(Paths!$C$261=1),0,IF(Paths!$P$261="Complete",IF(AND(C2803=0,Paths!$E$261=0),I2803-J2803-K2803+VLOOKUP(A2803,'Fleet register'!$A$7:$S$106,15,FALSE)+VLOOKUP(A2803,'Fleet register'!$A$7:$S$106,16,FALSE),0),"n.a."))</f>
        <v>0</v>
      </c>
      <c r="S2803" s="1">
        <f>IF(NOT(Paths!$C$261=1),0,IF(Paths!$P$261="Complete",IF(C2803=0,0,Paths!$S$261*Paths!$R$261),"n.a."))</f>
        <v>0</v>
      </c>
      <c r="T2803" s="1">
        <f>IF(NOT(Paths!$C$261=1),0,IF(Paths!$P$261="Complete",IF(C2803=0,0,VLOOKUP(A2803,'Fleet register'!$A$7:$S$106,9,FALSE)*Paths!$R$261),"n.a."))</f>
        <v>0</v>
      </c>
    </row>
    <row r="2804" spans="1:20" ht="24" customHeight="1">
      <c r="A2804" s="1" t="str">
        <f>Paths!$A$261</f>
        <v>T064</v>
      </c>
      <c r="B2804" s="1">
        <f>Paths!$B$261</f>
        <v>2</v>
      </c>
      <c r="C2804" s="1">
        <v>3</v>
      </c>
      <c r="D2804" s="1">
        <v>261</v>
      </c>
      <c r="E2804" s="1">
        <f>IF(OR(Paths!$C$261=0,C2804=0),0,MAX(0,MIN(C2804*12,Paths!$E$261)-(C2804-1)*12))</f>
        <v>0</v>
      </c>
      <c r="F2804" s="1">
        <f>IF(OR(Paths!$C$261=0,C2804=0),0,12-E2804)</f>
        <v>0</v>
      </c>
      <c r="G2804" s="16">
        <f>IF(NOT(Paths!$C$261=1),0,IF(Paths!$P$261="Complete",E2804/12*(Paths!$J$261*(1+'Operating costs'!$B$51)^MAX(0,C2804-1)+Paths!$K$261*(1+'Operating costs'!$B$53)^MAX(0,C2804-1)),"n.a."))</f>
        <v>0</v>
      </c>
      <c r="H2804" s="16">
        <f>IF(NOT(Paths!$C$261=1),0,IF(Paths!$P$261="Complete",F2804/12*(Paths!$L$261*(1+IF(Paths!$D$261="EV",'Operating costs'!$B$52,'Operating costs'!$B$51))^MAX(0,C2804-1)+Paths!$M$261*(1+'Operating costs'!$B$53)^MAX(0,C2804-1)),"n.a."))</f>
        <v>0</v>
      </c>
      <c r="I2804" s="16">
        <f>IF(NOT(Paths!$C$261=1),0,IF(Paths!$P$261="Complete",IF(IF(Paths!$E$261=0,C2804=0,AND(C2804&gt;0,Paths!$E$261&gt;(C2804-1)*12,Paths!$E$261&lt;=C2804*12)),Paths!$G$261,0),"n.a."))</f>
        <v>0</v>
      </c>
      <c r="J2804" s="16">
        <f>IF(NOT(Paths!$C$261=1),0,IF(Paths!$P$261="Complete",IF(IF(Paths!$E$261=0,C2804=0,AND(C2804&gt;0,Paths!$E$261&gt;(C2804-1)*12,Paths!$E$261&lt;=C2804*12)),Paths!$H$261,0),"n.a."))</f>
        <v>0</v>
      </c>
      <c r="K2804" s="16">
        <f>IF(NOT(Paths!$C$261=1),0,IF(Paths!$P$261="Complete",IF(IF(Paths!$O$261=0,C2804=0,AND(C2804&gt;0,Paths!$O$261&gt;(C2804-1)*12,Paths!$O$261&lt;=C2804*12)),Paths!$N$261,0),"n.a."))</f>
        <v>0</v>
      </c>
      <c r="L2804" s="16">
        <f>IF(NOT(Paths!$C$261=1),0,IF(Paths!$P$261="Complete",IF(C2804=10,Paths!$I$261,0),"n.a."))</f>
        <v>0</v>
      </c>
      <c r="M2804" s="16">
        <f>IF(NOT(Paths!$C$261=1),0,IF(Paths!$P$261="Complete",IF(AND(Paths!$D$261="EV",Paths!$E$261&lt;120,Paths!$E$261+'Operating costs'!$B$65&gt;Paths!$E$261,Paths!$E$261+'Operating costs'!$B$65&lt;=120,IF(Paths!$E$261+'Operating costs'!$B$65=0,C2804=0,AND(C2804&gt;0,Paths!$E$261+'Operating costs'!$B$65&gt;(C2804-1)*12,Paths!$E$261+'Operating costs'!$B$65&lt;=C2804*12))),'Operating costs'!$B$64,0)+IF(AND('Operating costs'!$B$67&gt;0,'Operating costs'!$B$67&lt;=120,OR(Paths!$D$261="ICE",'Operating costs'!$B$67&lt;=Paths!$E$261),IF('Operating costs'!$B$67=0,C2804=0,AND(C2804&gt;0,'Operating costs'!$B$67&gt;(C2804-1)*12,'Operating costs'!$B$67&lt;=C2804*12))),'Operating costs'!$B$66,0),"n.a."))</f>
        <v>0</v>
      </c>
      <c r="N2804" s="16">
        <f>IF(NOT(Paths!$C$261=1),0,IF(Paths!$P$261="Complete",SUM(G2804:I2804)-J2804-K2804-L2804+M2804+IF(C2804=0,Paths!$F$261,0)+IF(IF(Paths!$E$261=0,C2804=0,AND(C2804&gt;0,Paths!$E$261&gt;(C2804-1)*12,Paths!$E$261&lt;=C2804*12)),VLOOKUP(A2804,'Fleet register'!$A$7:$S$106,16,FALSE),0),"n.a."))</f>
        <v>0</v>
      </c>
      <c r="O2804" s="16">
        <f>IF(NOT(Paths!$C$261=1),0,IF(Paths!$P$261="Complete",N2804-IF(C2804=0,Paths!$F$261,0),"n.a."))</f>
        <v>0</v>
      </c>
      <c r="P2804" s="16">
        <f>IF(NOT(Paths!$C$261=1),0,IF(Paths!$P$261="Complete",O2804+L2804,"n.a."))</f>
        <v>0</v>
      </c>
      <c r="Q2804" s="16">
        <f>IF(NOT(Paths!$C$261=1),0,IF(Paths!$P$261="Complete",N2804*(1+'Operating costs'!$B$54)^-C2804,"n.a."))</f>
        <v>0</v>
      </c>
      <c r="R2804" s="16">
        <f>IF(NOT(Paths!$C$261=1),0,IF(Paths!$P$261="Complete",IF(AND(C2804=0,Paths!$E$261=0),I2804-J2804-K2804+VLOOKUP(A2804,'Fleet register'!$A$7:$S$106,15,FALSE)+VLOOKUP(A2804,'Fleet register'!$A$7:$S$106,16,FALSE),0),"n.a."))</f>
        <v>0</v>
      </c>
      <c r="S2804" s="1">
        <f>IF(NOT(Paths!$C$261=1),0,IF(Paths!$P$261="Complete",IF(C2804=0,0,Paths!$S$261*Paths!$R$261),"n.a."))</f>
        <v>0</v>
      </c>
      <c r="T2804" s="1">
        <f>IF(NOT(Paths!$C$261=1),0,IF(Paths!$P$261="Complete",IF(C2804=0,0,VLOOKUP(A2804,'Fleet register'!$A$7:$S$106,9,FALSE)*Paths!$R$261),"n.a."))</f>
        <v>0</v>
      </c>
    </row>
    <row r="2805" spans="1:20" ht="24" customHeight="1">
      <c r="A2805" s="1" t="str">
        <f>Paths!$A$261</f>
        <v>T064</v>
      </c>
      <c r="B2805" s="1">
        <f>Paths!$B$261</f>
        <v>2</v>
      </c>
      <c r="C2805" s="1">
        <v>4</v>
      </c>
      <c r="D2805" s="1">
        <v>261</v>
      </c>
      <c r="E2805" s="1">
        <f>IF(OR(Paths!$C$261=0,C2805=0),0,MAX(0,MIN(C2805*12,Paths!$E$261)-(C2805-1)*12))</f>
        <v>0</v>
      </c>
      <c r="F2805" s="1">
        <f>IF(OR(Paths!$C$261=0,C2805=0),0,12-E2805)</f>
        <v>0</v>
      </c>
      <c r="G2805" s="16">
        <f>IF(NOT(Paths!$C$261=1),0,IF(Paths!$P$261="Complete",E2805/12*(Paths!$J$261*(1+'Operating costs'!$B$51)^MAX(0,C2805-1)+Paths!$K$261*(1+'Operating costs'!$B$53)^MAX(0,C2805-1)),"n.a."))</f>
        <v>0</v>
      </c>
      <c r="H2805" s="16">
        <f>IF(NOT(Paths!$C$261=1),0,IF(Paths!$P$261="Complete",F2805/12*(Paths!$L$261*(1+IF(Paths!$D$261="EV",'Operating costs'!$B$52,'Operating costs'!$B$51))^MAX(0,C2805-1)+Paths!$M$261*(1+'Operating costs'!$B$53)^MAX(0,C2805-1)),"n.a."))</f>
        <v>0</v>
      </c>
      <c r="I2805" s="16">
        <f>IF(NOT(Paths!$C$261=1),0,IF(Paths!$P$261="Complete",IF(IF(Paths!$E$261=0,C2805=0,AND(C2805&gt;0,Paths!$E$261&gt;(C2805-1)*12,Paths!$E$261&lt;=C2805*12)),Paths!$G$261,0),"n.a."))</f>
        <v>0</v>
      </c>
      <c r="J2805" s="16">
        <f>IF(NOT(Paths!$C$261=1),0,IF(Paths!$P$261="Complete",IF(IF(Paths!$E$261=0,C2805=0,AND(C2805&gt;0,Paths!$E$261&gt;(C2805-1)*12,Paths!$E$261&lt;=C2805*12)),Paths!$H$261,0),"n.a."))</f>
        <v>0</v>
      </c>
      <c r="K2805" s="16">
        <f>IF(NOT(Paths!$C$261=1),0,IF(Paths!$P$261="Complete",IF(IF(Paths!$O$261=0,C2805=0,AND(C2805&gt;0,Paths!$O$261&gt;(C2805-1)*12,Paths!$O$261&lt;=C2805*12)),Paths!$N$261,0),"n.a."))</f>
        <v>0</v>
      </c>
      <c r="L2805" s="16">
        <f>IF(NOT(Paths!$C$261=1),0,IF(Paths!$P$261="Complete",IF(C2805=10,Paths!$I$261,0),"n.a."))</f>
        <v>0</v>
      </c>
      <c r="M2805" s="16">
        <f>IF(NOT(Paths!$C$261=1),0,IF(Paths!$P$261="Complete",IF(AND(Paths!$D$261="EV",Paths!$E$261&lt;120,Paths!$E$261+'Operating costs'!$B$65&gt;Paths!$E$261,Paths!$E$261+'Operating costs'!$B$65&lt;=120,IF(Paths!$E$261+'Operating costs'!$B$65=0,C2805=0,AND(C2805&gt;0,Paths!$E$261+'Operating costs'!$B$65&gt;(C2805-1)*12,Paths!$E$261+'Operating costs'!$B$65&lt;=C2805*12))),'Operating costs'!$B$64,0)+IF(AND('Operating costs'!$B$67&gt;0,'Operating costs'!$B$67&lt;=120,OR(Paths!$D$261="ICE",'Operating costs'!$B$67&lt;=Paths!$E$261),IF('Operating costs'!$B$67=0,C2805=0,AND(C2805&gt;0,'Operating costs'!$B$67&gt;(C2805-1)*12,'Operating costs'!$B$67&lt;=C2805*12))),'Operating costs'!$B$66,0),"n.a."))</f>
        <v>0</v>
      </c>
      <c r="N2805" s="16">
        <f>IF(NOT(Paths!$C$261=1),0,IF(Paths!$P$261="Complete",SUM(G2805:I2805)-J2805-K2805-L2805+M2805+IF(C2805=0,Paths!$F$261,0)+IF(IF(Paths!$E$261=0,C2805=0,AND(C2805&gt;0,Paths!$E$261&gt;(C2805-1)*12,Paths!$E$261&lt;=C2805*12)),VLOOKUP(A2805,'Fleet register'!$A$7:$S$106,16,FALSE),0),"n.a."))</f>
        <v>0</v>
      </c>
      <c r="O2805" s="16">
        <f>IF(NOT(Paths!$C$261=1),0,IF(Paths!$P$261="Complete",N2805-IF(C2805=0,Paths!$F$261,0),"n.a."))</f>
        <v>0</v>
      </c>
      <c r="P2805" s="16">
        <f>IF(NOT(Paths!$C$261=1),0,IF(Paths!$P$261="Complete",O2805+L2805,"n.a."))</f>
        <v>0</v>
      </c>
      <c r="Q2805" s="16">
        <f>IF(NOT(Paths!$C$261=1),0,IF(Paths!$P$261="Complete",N2805*(1+'Operating costs'!$B$54)^-C2805,"n.a."))</f>
        <v>0</v>
      </c>
      <c r="R2805" s="16">
        <f>IF(NOT(Paths!$C$261=1),0,IF(Paths!$P$261="Complete",IF(AND(C2805=0,Paths!$E$261=0),I2805-J2805-K2805+VLOOKUP(A2805,'Fleet register'!$A$7:$S$106,15,FALSE)+VLOOKUP(A2805,'Fleet register'!$A$7:$S$106,16,FALSE),0),"n.a."))</f>
        <v>0</v>
      </c>
      <c r="S2805" s="1">
        <f>IF(NOT(Paths!$C$261=1),0,IF(Paths!$P$261="Complete",IF(C2805=0,0,Paths!$S$261*Paths!$R$261),"n.a."))</f>
        <v>0</v>
      </c>
      <c r="T2805" s="1">
        <f>IF(NOT(Paths!$C$261=1),0,IF(Paths!$P$261="Complete",IF(C2805=0,0,VLOOKUP(A2805,'Fleet register'!$A$7:$S$106,9,FALSE)*Paths!$R$261),"n.a."))</f>
        <v>0</v>
      </c>
    </row>
    <row r="2806" spans="1:20" ht="24" customHeight="1">
      <c r="A2806" s="1" t="str">
        <f>Paths!$A$261</f>
        <v>T064</v>
      </c>
      <c r="B2806" s="1">
        <f>Paths!$B$261</f>
        <v>2</v>
      </c>
      <c r="C2806" s="1">
        <v>5</v>
      </c>
      <c r="D2806" s="1">
        <v>261</v>
      </c>
      <c r="E2806" s="1">
        <f>IF(OR(Paths!$C$261=0,C2806=0),0,MAX(0,MIN(C2806*12,Paths!$E$261)-(C2806-1)*12))</f>
        <v>0</v>
      </c>
      <c r="F2806" s="1">
        <f>IF(OR(Paths!$C$261=0,C2806=0),0,12-E2806)</f>
        <v>0</v>
      </c>
      <c r="G2806" s="16">
        <f>IF(NOT(Paths!$C$261=1),0,IF(Paths!$P$261="Complete",E2806/12*(Paths!$J$261*(1+'Operating costs'!$B$51)^MAX(0,C2806-1)+Paths!$K$261*(1+'Operating costs'!$B$53)^MAX(0,C2806-1)),"n.a."))</f>
        <v>0</v>
      </c>
      <c r="H2806" s="16">
        <f>IF(NOT(Paths!$C$261=1),0,IF(Paths!$P$261="Complete",F2806/12*(Paths!$L$261*(1+IF(Paths!$D$261="EV",'Operating costs'!$B$52,'Operating costs'!$B$51))^MAX(0,C2806-1)+Paths!$M$261*(1+'Operating costs'!$B$53)^MAX(0,C2806-1)),"n.a."))</f>
        <v>0</v>
      </c>
      <c r="I2806" s="16">
        <f>IF(NOT(Paths!$C$261=1),0,IF(Paths!$P$261="Complete",IF(IF(Paths!$E$261=0,C2806=0,AND(C2806&gt;0,Paths!$E$261&gt;(C2806-1)*12,Paths!$E$261&lt;=C2806*12)),Paths!$G$261,0),"n.a."))</f>
        <v>0</v>
      </c>
      <c r="J2806" s="16">
        <f>IF(NOT(Paths!$C$261=1),0,IF(Paths!$P$261="Complete",IF(IF(Paths!$E$261=0,C2806=0,AND(C2806&gt;0,Paths!$E$261&gt;(C2806-1)*12,Paths!$E$261&lt;=C2806*12)),Paths!$H$261,0),"n.a."))</f>
        <v>0</v>
      </c>
      <c r="K2806" s="16">
        <f>IF(NOT(Paths!$C$261=1),0,IF(Paths!$P$261="Complete",IF(IF(Paths!$O$261=0,C2806=0,AND(C2806&gt;0,Paths!$O$261&gt;(C2806-1)*12,Paths!$O$261&lt;=C2806*12)),Paths!$N$261,0),"n.a."))</f>
        <v>0</v>
      </c>
      <c r="L2806" s="16">
        <f>IF(NOT(Paths!$C$261=1),0,IF(Paths!$P$261="Complete",IF(C2806=10,Paths!$I$261,0),"n.a."))</f>
        <v>0</v>
      </c>
      <c r="M2806" s="16">
        <f>IF(NOT(Paths!$C$261=1),0,IF(Paths!$P$261="Complete",IF(AND(Paths!$D$261="EV",Paths!$E$261&lt;120,Paths!$E$261+'Operating costs'!$B$65&gt;Paths!$E$261,Paths!$E$261+'Operating costs'!$B$65&lt;=120,IF(Paths!$E$261+'Operating costs'!$B$65=0,C2806=0,AND(C2806&gt;0,Paths!$E$261+'Operating costs'!$B$65&gt;(C2806-1)*12,Paths!$E$261+'Operating costs'!$B$65&lt;=C2806*12))),'Operating costs'!$B$64,0)+IF(AND('Operating costs'!$B$67&gt;0,'Operating costs'!$B$67&lt;=120,OR(Paths!$D$261="ICE",'Operating costs'!$B$67&lt;=Paths!$E$261),IF('Operating costs'!$B$67=0,C2806=0,AND(C2806&gt;0,'Operating costs'!$B$67&gt;(C2806-1)*12,'Operating costs'!$B$67&lt;=C2806*12))),'Operating costs'!$B$66,0),"n.a."))</f>
        <v>0</v>
      </c>
      <c r="N2806" s="16">
        <f>IF(NOT(Paths!$C$261=1),0,IF(Paths!$P$261="Complete",SUM(G2806:I2806)-J2806-K2806-L2806+M2806+IF(C2806=0,Paths!$F$261,0)+IF(IF(Paths!$E$261=0,C2806=0,AND(C2806&gt;0,Paths!$E$261&gt;(C2806-1)*12,Paths!$E$261&lt;=C2806*12)),VLOOKUP(A2806,'Fleet register'!$A$7:$S$106,16,FALSE),0),"n.a."))</f>
        <v>0</v>
      </c>
      <c r="O2806" s="16">
        <f>IF(NOT(Paths!$C$261=1),0,IF(Paths!$P$261="Complete",N2806-IF(C2806=0,Paths!$F$261,0),"n.a."))</f>
        <v>0</v>
      </c>
      <c r="P2806" s="16">
        <f>IF(NOT(Paths!$C$261=1),0,IF(Paths!$P$261="Complete",O2806+L2806,"n.a."))</f>
        <v>0</v>
      </c>
      <c r="Q2806" s="16">
        <f>IF(NOT(Paths!$C$261=1),0,IF(Paths!$P$261="Complete",N2806*(1+'Operating costs'!$B$54)^-C2806,"n.a."))</f>
        <v>0</v>
      </c>
      <c r="R2806" s="16">
        <f>IF(NOT(Paths!$C$261=1),0,IF(Paths!$P$261="Complete",IF(AND(C2806=0,Paths!$E$261=0),I2806-J2806-K2806+VLOOKUP(A2806,'Fleet register'!$A$7:$S$106,15,FALSE)+VLOOKUP(A2806,'Fleet register'!$A$7:$S$106,16,FALSE),0),"n.a."))</f>
        <v>0</v>
      </c>
      <c r="S2806" s="1">
        <f>IF(NOT(Paths!$C$261=1),0,IF(Paths!$P$261="Complete",IF(C2806=0,0,Paths!$S$261*Paths!$R$261),"n.a."))</f>
        <v>0</v>
      </c>
      <c r="T2806" s="1">
        <f>IF(NOT(Paths!$C$261=1),0,IF(Paths!$P$261="Complete",IF(C2806=0,0,VLOOKUP(A2806,'Fleet register'!$A$7:$S$106,9,FALSE)*Paths!$R$261),"n.a."))</f>
        <v>0</v>
      </c>
    </row>
    <row r="2807" spans="1:20" ht="24" customHeight="1">
      <c r="A2807" s="1" t="str">
        <f>Paths!$A$261</f>
        <v>T064</v>
      </c>
      <c r="B2807" s="1">
        <f>Paths!$B$261</f>
        <v>2</v>
      </c>
      <c r="C2807" s="1">
        <v>6</v>
      </c>
      <c r="D2807" s="1">
        <v>261</v>
      </c>
      <c r="E2807" s="1">
        <f>IF(OR(Paths!$C$261=0,C2807=0),0,MAX(0,MIN(C2807*12,Paths!$E$261)-(C2807-1)*12))</f>
        <v>0</v>
      </c>
      <c r="F2807" s="1">
        <f>IF(OR(Paths!$C$261=0,C2807=0),0,12-E2807)</f>
        <v>0</v>
      </c>
      <c r="G2807" s="16">
        <f>IF(NOT(Paths!$C$261=1),0,IF(Paths!$P$261="Complete",E2807/12*(Paths!$J$261*(1+'Operating costs'!$B$51)^MAX(0,C2807-1)+Paths!$K$261*(1+'Operating costs'!$B$53)^MAX(0,C2807-1)),"n.a."))</f>
        <v>0</v>
      </c>
      <c r="H2807" s="16">
        <f>IF(NOT(Paths!$C$261=1),0,IF(Paths!$P$261="Complete",F2807/12*(Paths!$L$261*(1+IF(Paths!$D$261="EV",'Operating costs'!$B$52,'Operating costs'!$B$51))^MAX(0,C2807-1)+Paths!$M$261*(1+'Operating costs'!$B$53)^MAX(0,C2807-1)),"n.a."))</f>
        <v>0</v>
      </c>
      <c r="I2807" s="16">
        <f>IF(NOT(Paths!$C$261=1),0,IF(Paths!$P$261="Complete",IF(IF(Paths!$E$261=0,C2807=0,AND(C2807&gt;0,Paths!$E$261&gt;(C2807-1)*12,Paths!$E$261&lt;=C2807*12)),Paths!$G$261,0),"n.a."))</f>
        <v>0</v>
      </c>
      <c r="J2807" s="16">
        <f>IF(NOT(Paths!$C$261=1),0,IF(Paths!$P$261="Complete",IF(IF(Paths!$E$261=0,C2807=0,AND(C2807&gt;0,Paths!$E$261&gt;(C2807-1)*12,Paths!$E$261&lt;=C2807*12)),Paths!$H$261,0),"n.a."))</f>
        <v>0</v>
      </c>
      <c r="K2807" s="16">
        <f>IF(NOT(Paths!$C$261=1),0,IF(Paths!$P$261="Complete",IF(IF(Paths!$O$261=0,C2807=0,AND(C2807&gt;0,Paths!$O$261&gt;(C2807-1)*12,Paths!$O$261&lt;=C2807*12)),Paths!$N$261,0),"n.a."))</f>
        <v>0</v>
      </c>
      <c r="L2807" s="16">
        <f>IF(NOT(Paths!$C$261=1),0,IF(Paths!$P$261="Complete",IF(C2807=10,Paths!$I$261,0),"n.a."))</f>
        <v>0</v>
      </c>
      <c r="M2807" s="16">
        <f>IF(NOT(Paths!$C$261=1),0,IF(Paths!$P$261="Complete",IF(AND(Paths!$D$261="EV",Paths!$E$261&lt;120,Paths!$E$261+'Operating costs'!$B$65&gt;Paths!$E$261,Paths!$E$261+'Operating costs'!$B$65&lt;=120,IF(Paths!$E$261+'Operating costs'!$B$65=0,C2807=0,AND(C2807&gt;0,Paths!$E$261+'Operating costs'!$B$65&gt;(C2807-1)*12,Paths!$E$261+'Operating costs'!$B$65&lt;=C2807*12))),'Operating costs'!$B$64,0)+IF(AND('Operating costs'!$B$67&gt;0,'Operating costs'!$B$67&lt;=120,OR(Paths!$D$261="ICE",'Operating costs'!$B$67&lt;=Paths!$E$261),IF('Operating costs'!$B$67=0,C2807=0,AND(C2807&gt;0,'Operating costs'!$B$67&gt;(C2807-1)*12,'Operating costs'!$B$67&lt;=C2807*12))),'Operating costs'!$B$66,0),"n.a."))</f>
        <v>0</v>
      </c>
      <c r="N2807" s="16">
        <f>IF(NOT(Paths!$C$261=1),0,IF(Paths!$P$261="Complete",SUM(G2807:I2807)-J2807-K2807-L2807+M2807+IF(C2807=0,Paths!$F$261,0)+IF(IF(Paths!$E$261=0,C2807=0,AND(C2807&gt;0,Paths!$E$261&gt;(C2807-1)*12,Paths!$E$261&lt;=C2807*12)),VLOOKUP(A2807,'Fleet register'!$A$7:$S$106,16,FALSE),0),"n.a."))</f>
        <v>0</v>
      </c>
      <c r="O2807" s="16">
        <f>IF(NOT(Paths!$C$261=1),0,IF(Paths!$P$261="Complete",N2807-IF(C2807=0,Paths!$F$261,0),"n.a."))</f>
        <v>0</v>
      </c>
      <c r="P2807" s="16">
        <f>IF(NOT(Paths!$C$261=1),0,IF(Paths!$P$261="Complete",O2807+L2807,"n.a."))</f>
        <v>0</v>
      </c>
      <c r="Q2807" s="16">
        <f>IF(NOT(Paths!$C$261=1),0,IF(Paths!$P$261="Complete",N2807*(1+'Operating costs'!$B$54)^-C2807,"n.a."))</f>
        <v>0</v>
      </c>
      <c r="R2807" s="16">
        <f>IF(NOT(Paths!$C$261=1),0,IF(Paths!$P$261="Complete",IF(AND(C2807=0,Paths!$E$261=0),I2807-J2807-K2807+VLOOKUP(A2807,'Fleet register'!$A$7:$S$106,15,FALSE)+VLOOKUP(A2807,'Fleet register'!$A$7:$S$106,16,FALSE),0),"n.a."))</f>
        <v>0</v>
      </c>
      <c r="S2807" s="1">
        <f>IF(NOT(Paths!$C$261=1),0,IF(Paths!$P$261="Complete",IF(C2807=0,0,Paths!$S$261*Paths!$R$261),"n.a."))</f>
        <v>0</v>
      </c>
      <c r="T2807" s="1">
        <f>IF(NOT(Paths!$C$261=1),0,IF(Paths!$P$261="Complete",IF(C2807=0,0,VLOOKUP(A2807,'Fleet register'!$A$7:$S$106,9,FALSE)*Paths!$R$261),"n.a."))</f>
        <v>0</v>
      </c>
    </row>
    <row r="2808" spans="1:20" ht="24" customHeight="1">
      <c r="A2808" s="1" t="str">
        <f>Paths!$A$261</f>
        <v>T064</v>
      </c>
      <c r="B2808" s="1">
        <f>Paths!$B$261</f>
        <v>2</v>
      </c>
      <c r="C2808" s="1">
        <v>7</v>
      </c>
      <c r="D2808" s="1">
        <v>261</v>
      </c>
      <c r="E2808" s="1">
        <f>IF(OR(Paths!$C$261=0,C2808=0),0,MAX(0,MIN(C2808*12,Paths!$E$261)-(C2808-1)*12))</f>
        <v>0</v>
      </c>
      <c r="F2808" s="1">
        <f>IF(OR(Paths!$C$261=0,C2808=0),0,12-E2808)</f>
        <v>0</v>
      </c>
      <c r="G2808" s="16">
        <f>IF(NOT(Paths!$C$261=1),0,IF(Paths!$P$261="Complete",E2808/12*(Paths!$J$261*(1+'Operating costs'!$B$51)^MAX(0,C2808-1)+Paths!$K$261*(1+'Operating costs'!$B$53)^MAX(0,C2808-1)),"n.a."))</f>
        <v>0</v>
      </c>
      <c r="H2808" s="16">
        <f>IF(NOT(Paths!$C$261=1),0,IF(Paths!$P$261="Complete",F2808/12*(Paths!$L$261*(1+IF(Paths!$D$261="EV",'Operating costs'!$B$52,'Operating costs'!$B$51))^MAX(0,C2808-1)+Paths!$M$261*(1+'Operating costs'!$B$53)^MAX(0,C2808-1)),"n.a."))</f>
        <v>0</v>
      </c>
      <c r="I2808" s="16">
        <f>IF(NOT(Paths!$C$261=1),0,IF(Paths!$P$261="Complete",IF(IF(Paths!$E$261=0,C2808=0,AND(C2808&gt;0,Paths!$E$261&gt;(C2808-1)*12,Paths!$E$261&lt;=C2808*12)),Paths!$G$261,0),"n.a."))</f>
        <v>0</v>
      </c>
      <c r="J2808" s="16">
        <f>IF(NOT(Paths!$C$261=1),0,IF(Paths!$P$261="Complete",IF(IF(Paths!$E$261=0,C2808=0,AND(C2808&gt;0,Paths!$E$261&gt;(C2808-1)*12,Paths!$E$261&lt;=C2808*12)),Paths!$H$261,0),"n.a."))</f>
        <v>0</v>
      </c>
      <c r="K2808" s="16">
        <f>IF(NOT(Paths!$C$261=1),0,IF(Paths!$P$261="Complete",IF(IF(Paths!$O$261=0,C2808=0,AND(C2808&gt;0,Paths!$O$261&gt;(C2808-1)*12,Paths!$O$261&lt;=C2808*12)),Paths!$N$261,0),"n.a."))</f>
        <v>0</v>
      </c>
      <c r="L2808" s="16">
        <f>IF(NOT(Paths!$C$261=1),0,IF(Paths!$P$261="Complete",IF(C2808=10,Paths!$I$261,0),"n.a."))</f>
        <v>0</v>
      </c>
      <c r="M2808" s="16">
        <f>IF(NOT(Paths!$C$261=1),0,IF(Paths!$P$261="Complete",IF(AND(Paths!$D$261="EV",Paths!$E$261&lt;120,Paths!$E$261+'Operating costs'!$B$65&gt;Paths!$E$261,Paths!$E$261+'Operating costs'!$B$65&lt;=120,IF(Paths!$E$261+'Operating costs'!$B$65=0,C2808=0,AND(C2808&gt;0,Paths!$E$261+'Operating costs'!$B$65&gt;(C2808-1)*12,Paths!$E$261+'Operating costs'!$B$65&lt;=C2808*12))),'Operating costs'!$B$64,0)+IF(AND('Operating costs'!$B$67&gt;0,'Operating costs'!$B$67&lt;=120,OR(Paths!$D$261="ICE",'Operating costs'!$B$67&lt;=Paths!$E$261),IF('Operating costs'!$B$67=0,C2808=0,AND(C2808&gt;0,'Operating costs'!$B$67&gt;(C2808-1)*12,'Operating costs'!$B$67&lt;=C2808*12))),'Operating costs'!$B$66,0),"n.a."))</f>
        <v>0</v>
      </c>
      <c r="N2808" s="16">
        <f>IF(NOT(Paths!$C$261=1),0,IF(Paths!$P$261="Complete",SUM(G2808:I2808)-J2808-K2808-L2808+M2808+IF(C2808=0,Paths!$F$261,0)+IF(IF(Paths!$E$261=0,C2808=0,AND(C2808&gt;0,Paths!$E$261&gt;(C2808-1)*12,Paths!$E$261&lt;=C2808*12)),VLOOKUP(A2808,'Fleet register'!$A$7:$S$106,16,FALSE),0),"n.a."))</f>
        <v>0</v>
      </c>
      <c r="O2808" s="16">
        <f>IF(NOT(Paths!$C$261=1),0,IF(Paths!$P$261="Complete",N2808-IF(C2808=0,Paths!$F$261,0),"n.a."))</f>
        <v>0</v>
      </c>
      <c r="P2808" s="16">
        <f>IF(NOT(Paths!$C$261=1),0,IF(Paths!$P$261="Complete",O2808+L2808,"n.a."))</f>
        <v>0</v>
      </c>
      <c r="Q2808" s="16">
        <f>IF(NOT(Paths!$C$261=1),0,IF(Paths!$P$261="Complete",N2808*(1+'Operating costs'!$B$54)^-C2808,"n.a."))</f>
        <v>0</v>
      </c>
      <c r="R2808" s="16">
        <f>IF(NOT(Paths!$C$261=1),0,IF(Paths!$P$261="Complete",IF(AND(C2808=0,Paths!$E$261=0),I2808-J2808-K2808+VLOOKUP(A2808,'Fleet register'!$A$7:$S$106,15,FALSE)+VLOOKUP(A2808,'Fleet register'!$A$7:$S$106,16,FALSE),0),"n.a."))</f>
        <v>0</v>
      </c>
      <c r="S2808" s="1">
        <f>IF(NOT(Paths!$C$261=1),0,IF(Paths!$P$261="Complete",IF(C2808=0,0,Paths!$S$261*Paths!$R$261),"n.a."))</f>
        <v>0</v>
      </c>
      <c r="T2808" s="1">
        <f>IF(NOT(Paths!$C$261=1),0,IF(Paths!$P$261="Complete",IF(C2808=0,0,VLOOKUP(A2808,'Fleet register'!$A$7:$S$106,9,FALSE)*Paths!$R$261),"n.a."))</f>
        <v>0</v>
      </c>
    </row>
    <row r="2809" spans="1:20" ht="24" customHeight="1">
      <c r="A2809" s="1" t="str">
        <f>Paths!$A$261</f>
        <v>T064</v>
      </c>
      <c r="B2809" s="1">
        <f>Paths!$B$261</f>
        <v>2</v>
      </c>
      <c r="C2809" s="1">
        <v>8</v>
      </c>
      <c r="D2809" s="1">
        <v>261</v>
      </c>
      <c r="E2809" s="1">
        <f>IF(OR(Paths!$C$261=0,C2809=0),0,MAX(0,MIN(C2809*12,Paths!$E$261)-(C2809-1)*12))</f>
        <v>0</v>
      </c>
      <c r="F2809" s="1">
        <f>IF(OR(Paths!$C$261=0,C2809=0),0,12-E2809)</f>
        <v>0</v>
      </c>
      <c r="G2809" s="16">
        <f>IF(NOT(Paths!$C$261=1),0,IF(Paths!$P$261="Complete",E2809/12*(Paths!$J$261*(1+'Operating costs'!$B$51)^MAX(0,C2809-1)+Paths!$K$261*(1+'Operating costs'!$B$53)^MAX(0,C2809-1)),"n.a."))</f>
        <v>0</v>
      </c>
      <c r="H2809" s="16">
        <f>IF(NOT(Paths!$C$261=1),0,IF(Paths!$P$261="Complete",F2809/12*(Paths!$L$261*(1+IF(Paths!$D$261="EV",'Operating costs'!$B$52,'Operating costs'!$B$51))^MAX(0,C2809-1)+Paths!$M$261*(1+'Operating costs'!$B$53)^MAX(0,C2809-1)),"n.a."))</f>
        <v>0</v>
      </c>
      <c r="I2809" s="16">
        <f>IF(NOT(Paths!$C$261=1),0,IF(Paths!$P$261="Complete",IF(IF(Paths!$E$261=0,C2809=0,AND(C2809&gt;0,Paths!$E$261&gt;(C2809-1)*12,Paths!$E$261&lt;=C2809*12)),Paths!$G$261,0),"n.a."))</f>
        <v>0</v>
      </c>
      <c r="J2809" s="16">
        <f>IF(NOT(Paths!$C$261=1),0,IF(Paths!$P$261="Complete",IF(IF(Paths!$E$261=0,C2809=0,AND(C2809&gt;0,Paths!$E$261&gt;(C2809-1)*12,Paths!$E$261&lt;=C2809*12)),Paths!$H$261,0),"n.a."))</f>
        <v>0</v>
      </c>
      <c r="K2809" s="16">
        <f>IF(NOT(Paths!$C$261=1),0,IF(Paths!$P$261="Complete",IF(IF(Paths!$O$261=0,C2809=0,AND(C2809&gt;0,Paths!$O$261&gt;(C2809-1)*12,Paths!$O$261&lt;=C2809*12)),Paths!$N$261,0),"n.a."))</f>
        <v>0</v>
      </c>
      <c r="L2809" s="16">
        <f>IF(NOT(Paths!$C$261=1),0,IF(Paths!$P$261="Complete",IF(C2809=10,Paths!$I$261,0),"n.a."))</f>
        <v>0</v>
      </c>
      <c r="M2809" s="16">
        <f>IF(NOT(Paths!$C$261=1),0,IF(Paths!$P$261="Complete",IF(AND(Paths!$D$261="EV",Paths!$E$261&lt;120,Paths!$E$261+'Operating costs'!$B$65&gt;Paths!$E$261,Paths!$E$261+'Operating costs'!$B$65&lt;=120,IF(Paths!$E$261+'Operating costs'!$B$65=0,C2809=0,AND(C2809&gt;0,Paths!$E$261+'Operating costs'!$B$65&gt;(C2809-1)*12,Paths!$E$261+'Operating costs'!$B$65&lt;=C2809*12))),'Operating costs'!$B$64,0)+IF(AND('Operating costs'!$B$67&gt;0,'Operating costs'!$B$67&lt;=120,OR(Paths!$D$261="ICE",'Operating costs'!$B$67&lt;=Paths!$E$261),IF('Operating costs'!$B$67=0,C2809=0,AND(C2809&gt;0,'Operating costs'!$B$67&gt;(C2809-1)*12,'Operating costs'!$B$67&lt;=C2809*12))),'Operating costs'!$B$66,0),"n.a."))</f>
        <v>0</v>
      </c>
      <c r="N2809" s="16">
        <f>IF(NOT(Paths!$C$261=1),0,IF(Paths!$P$261="Complete",SUM(G2809:I2809)-J2809-K2809-L2809+M2809+IF(C2809=0,Paths!$F$261,0)+IF(IF(Paths!$E$261=0,C2809=0,AND(C2809&gt;0,Paths!$E$261&gt;(C2809-1)*12,Paths!$E$261&lt;=C2809*12)),VLOOKUP(A2809,'Fleet register'!$A$7:$S$106,16,FALSE),0),"n.a."))</f>
        <v>0</v>
      </c>
      <c r="O2809" s="16">
        <f>IF(NOT(Paths!$C$261=1),0,IF(Paths!$P$261="Complete",N2809-IF(C2809=0,Paths!$F$261,0),"n.a."))</f>
        <v>0</v>
      </c>
      <c r="P2809" s="16">
        <f>IF(NOT(Paths!$C$261=1),0,IF(Paths!$P$261="Complete",O2809+L2809,"n.a."))</f>
        <v>0</v>
      </c>
      <c r="Q2809" s="16">
        <f>IF(NOT(Paths!$C$261=1),0,IF(Paths!$P$261="Complete",N2809*(1+'Operating costs'!$B$54)^-C2809,"n.a."))</f>
        <v>0</v>
      </c>
      <c r="R2809" s="16">
        <f>IF(NOT(Paths!$C$261=1),0,IF(Paths!$P$261="Complete",IF(AND(C2809=0,Paths!$E$261=0),I2809-J2809-K2809+VLOOKUP(A2809,'Fleet register'!$A$7:$S$106,15,FALSE)+VLOOKUP(A2809,'Fleet register'!$A$7:$S$106,16,FALSE),0),"n.a."))</f>
        <v>0</v>
      </c>
      <c r="S2809" s="1">
        <f>IF(NOT(Paths!$C$261=1),0,IF(Paths!$P$261="Complete",IF(C2809=0,0,Paths!$S$261*Paths!$R$261),"n.a."))</f>
        <v>0</v>
      </c>
      <c r="T2809" s="1">
        <f>IF(NOT(Paths!$C$261=1),0,IF(Paths!$P$261="Complete",IF(C2809=0,0,VLOOKUP(A2809,'Fleet register'!$A$7:$S$106,9,FALSE)*Paths!$R$261),"n.a."))</f>
        <v>0</v>
      </c>
    </row>
    <row r="2810" spans="1:20" ht="24" customHeight="1">
      <c r="A2810" s="1" t="str">
        <f>Paths!$A$261</f>
        <v>T064</v>
      </c>
      <c r="B2810" s="1">
        <f>Paths!$B$261</f>
        <v>2</v>
      </c>
      <c r="C2810" s="1">
        <v>9</v>
      </c>
      <c r="D2810" s="1">
        <v>261</v>
      </c>
      <c r="E2810" s="1">
        <f>IF(OR(Paths!$C$261=0,C2810=0),0,MAX(0,MIN(C2810*12,Paths!$E$261)-(C2810-1)*12))</f>
        <v>0</v>
      </c>
      <c r="F2810" s="1">
        <f>IF(OR(Paths!$C$261=0,C2810=0),0,12-E2810)</f>
        <v>0</v>
      </c>
      <c r="G2810" s="16">
        <f>IF(NOT(Paths!$C$261=1),0,IF(Paths!$P$261="Complete",E2810/12*(Paths!$J$261*(1+'Operating costs'!$B$51)^MAX(0,C2810-1)+Paths!$K$261*(1+'Operating costs'!$B$53)^MAX(0,C2810-1)),"n.a."))</f>
        <v>0</v>
      </c>
      <c r="H2810" s="16">
        <f>IF(NOT(Paths!$C$261=1),0,IF(Paths!$P$261="Complete",F2810/12*(Paths!$L$261*(1+IF(Paths!$D$261="EV",'Operating costs'!$B$52,'Operating costs'!$B$51))^MAX(0,C2810-1)+Paths!$M$261*(1+'Operating costs'!$B$53)^MAX(0,C2810-1)),"n.a."))</f>
        <v>0</v>
      </c>
      <c r="I2810" s="16">
        <f>IF(NOT(Paths!$C$261=1),0,IF(Paths!$P$261="Complete",IF(IF(Paths!$E$261=0,C2810=0,AND(C2810&gt;0,Paths!$E$261&gt;(C2810-1)*12,Paths!$E$261&lt;=C2810*12)),Paths!$G$261,0),"n.a."))</f>
        <v>0</v>
      </c>
      <c r="J2810" s="16">
        <f>IF(NOT(Paths!$C$261=1),0,IF(Paths!$P$261="Complete",IF(IF(Paths!$E$261=0,C2810=0,AND(C2810&gt;0,Paths!$E$261&gt;(C2810-1)*12,Paths!$E$261&lt;=C2810*12)),Paths!$H$261,0),"n.a."))</f>
        <v>0</v>
      </c>
      <c r="K2810" s="16">
        <f>IF(NOT(Paths!$C$261=1),0,IF(Paths!$P$261="Complete",IF(IF(Paths!$O$261=0,C2810=0,AND(C2810&gt;0,Paths!$O$261&gt;(C2810-1)*12,Paths!$O$261&lt;=C2810*12)),Paths!$N$261,0),"n.a."))</f>
        <v>0</v>
      </c>
      <c r="L2810" s="16">
        <f>IF(NOT(Paths!$C$261=1),0,IF(Paths!$P$261="Complete",IF(C2810=10,Paths!$I$261,0),"n.a."))</f>
        <v>0</v>
      </c>
      <c r="M2810" s="16">
        <f>IF(NOT(Paths!$C$261=1),0,IF(Paths!$P$261="Complete",IF(AND(Paths!$D$261="EV",Paths!$E$261&lt;120,Paths!$E$261+'Operating costs'!$B$65&gt;Paths!$E$261,Paths!$E$261+'Operating costs'!$B$65&lt;=120,IF(Paths!$E$261+'Operating costs'!$B$65=0,C2810=0,AND(C2810&gt;0,Paths!$E$261+'Operating costs'!$B$65&gt;(C2810-1)*12,Paths!$E$261+'Operating costs'!$B$65&lt;=C2810*12))),'Operating costs'!$B$64,0)+IF(AND('Operating costs'!$B$67&gt;0,'Operating costs'!$B$67&lt;=120,OR(Paths!$D$261="ICE",'Operating costs'!$B$67&lt;=Paths!$E$261),IF('Operating costs'!$B$67=0,C2810=0,AND(C2810&gt;0,'Operating costs'!$B$67&gt;(C2810-1)*12,'Operating costs'!$B$67&lt;=C2810*12))),'Operating costs'!$B$66,0),"n.a."))</f>
        <v>0</v>
      </c>
      <c r="N2810" s="16">
        <f>IF(NOT(Paths!$C$261=1),0,IF(Paths!$P$261="Complete",SUM(G2810:I2810)-J2810-K2810-L2810+M2810+IF(C2810=0,Paths!$F$261,0)+IF(IF(Paths!$E$261=0,C2810=0,AND(C2810&gt;0,Paths!$E$261&gt;(C2810-1)*12,Paths!$E$261&lt;=C2810*12)),VLOOKUP(A2810,'Fleet register'!$A$7:$S$106,16,FALSE),0),"n.a."))</f>
        <v>0</v>
      </c>
      <c r="O2810" s="16">
        <f>IF(NOT(Paths!$C$261=1),0,IF(Paths!$P$261="Complete",N2810-IF(C2810=0,Paths!$F$261,0),"n.a."))</f>
        <v>0</v>
      </c>
      <c r="P2810" s="16">
        <f>IF(NOT(Paths!$C$261=1),0,IF(Paths!$P$261="Complete",O2810+L2810,"n.a."))</f>
        <v>0</v>
      </c>
      <c r="Q2810" s="16">
        <f>IF(NOT(Paths!$C$261=1),0,IF(Paths!$P$261="Complete",N2810*(1+'Operating costs'!$B$54)^-C2810,"n.a."))</f>
        <v>0</v>
      </c>
      <c r="R2810" s="16">
        <f>IF(NOT(Paths!$C$261=1),0,IF(Paths!$P$261="Complete",IF(AND(C2810=0,Paths!$E$261=0),I2810-J2810-K2810+VLOOKUP(A2810,'Fleet register'!$A$7:$S$106,15,FALSE)+VLOOKUP(A2810,'Fleet register'!$A$7:$S$106,16,FALSE),0),"n.a."))</f>
        <v>0</v>
      </c>
      <c r="S2810" s="1">
        <f>IF(NOT(Paths!$C$261=1),0,IF(Paths!$P$261="Complete",IF(C2810=0,0,Paths!$S$261*Paths!$R$261),"n.a."))</f>
        <v>0</v>
      </c>
      <c r="T2810" s="1">
        <f>IF(NOT(Paths!$C$261=1),0,IF(Paths!$P$261="Complete",IF(C2810=0,0,VLOOKUP(A2810,'Fleet register'!$A$7:$S$106,9,FALSE)*Paths!$R$261),"n.a."))</f>
        <v>0</v>
      </c>
    </row>
    <row r="2811" spans="1:20" ht="24" customHeight="1">
      <c r="A2811" s="1" t="str">
        <f>Paths!$A$261</f>
        <v>T064</v>
      </c>
      <c r="B2811" s="1">
        <f>Paths!$B$261</f>
        <v>2</v>
      </c>
      <c r="C2811" s="1">
        <v>10</v>
      </c>
      <c r="D2811" s="1">
        <v>261</v>
      </c>
      <c r="E2811" s="1">
        <f>IF(OR(Paths!$C$261=0,C2811=0),0,MAX(0,MIN(C2811*12,Paths!$E$261)-(C2811-1)*12))</f>
        <v>0</v>
      </c>
      <c r="F2811" s="1">
        <f>IF(OR(Paths!$C$261=0,C2811=0),0,12-E2811)</f>
        <v>0</v>
      </c>
      <c r="G2811" s="16">
        <f>IF(NOT(Paths!$C$261=1),0,IF(Paths!$P$261="Complete",E2811/12*(Paths!$J$261*(1+'Operating costs'!$B$51)^MAX(0,C2811-1)+Paths!$K$261*(1+'Operating costs'!$B$53)^MAX(0,C2811-1)),"n.a."))</f>
        <v>0</v>
      </c>
      <c r="H2811" s="16">
        <f>IF(NOT(Paths!$C$261=1),0,IF(Paths!$P$261="Complete",F2811/12*(Paths!$L$261*(1+IF(Paths!$D$261="EV",'Operating costs'!$B$52,'Operating costs'!$B$51))^MAX(0,C2811-1)+Paths!$M$261*(1+'Operating costs'!$B$53)^MAX(0,C2811-1)),"n.a."))</f>
        <v>0</v>
      </c>
      <c r="I2811" s="16">
        <f>IF(NOT(Paths!$C$261=1),0,IF(Paths!$P$261="Complete",IF(IF(Paths!$E$261=0,C2811=0,AND(C2811&gt;0,Paths!$E$261&gt;(C2811-1)*12,Paths!$E$261&lt;=C2811*12)),Paths!$G$261,0),"n.a."))</f>
        <v>0</v>
      </c>
      <c r="J2811" s="16">
        <f>IF(NOT(Paths!$C$261=1),0,IF(Paths!$P$261="Complete",IF(IF(Paths!$E$261=0,C2811=0,AND(C2811&gt;0,Paths!$E$261&gt;(C2811-1)*12,Paths!$E$261&lt;=C2811*12)),Paths!$H$261,0),"n.a."))</f>
        <v>0</v>
      </c>
      <c r="K2811" s="16">
        <f>IF(NOT(Paths!$C$261=1),0,IF(Paths!$P$261="Complete",IF(IF(Paths!$O$261=0,C2811=0,AND(C2811&gt;0,Paths!$O$261&gt;(C2811-1)*12,Paths!$O$261&lt;=C2811*12)),Paths!$N$261,0),"n.a."))</f>
        <v>0</v>
      </c>
      <c r="L2811" s="16">
        <f>IF(NOT(Paths!$C$261=1),0,IF(Paths!$P$261="Complete",IF(C2811=10,Paths!$I$261,0),"n.a."))</f>
        <v>0</v>
      </c>
      <c r="M2811" s="16">
        <f>IF(NOT(Paths!$C$261=1),0,IF(Paths!$P$261="Complete",IF(AND(Paths!$D$261="EV",Paths!$E$261&lt;120,Paths!$E$261+'Operating costs'!$B$65&gt;Paths!$E$261,Paths!$E$261+'Operating costs'!$B$65&lt;=120,IF(Paths!$E$261+'Operating costs'!$B$65=0,C2811=0,AND(C2811&gt;0,Paths!$E$261+'Operating costs'!$B$65&gt;(C2811-1)*12,Paths!$E$261+'Operating costs'!$B$65&lt;=C2811*12))),'Operating costs'!$B$64,0)+IF(AND('Operating costs'!$B$67&gt;0,'Operating costs'!$B$67&lt;=120,OR(Paths!$D$261="ICE",'Operating costs'!$B$67&lt;=Paths!$E$261),IF('Operating costs'!$B$67=0,C2811=0,AND(C2811&gt;0,'Operating costs'!$B$67&gt;(C2811-1)*12,'Operating costs'!$B$67&lt;=C2811*12))),'Operating costs'!$B$66,0),"n.a."))</f>
        <v>0</v>
      </c>
      <c r="N2811" s="16">
        <f>IF(NOT(Paths!$C$261=1),0,IF(Paths!$P$261="Complete",SUM(G2811:I2811)-J2811-K2811-L2811+M2811+IF(C2811=0,Paths!$F$261,0)+IF(IF(Paths!$E$261=0,C2811=0,AND(C2811&gt;0,Paths!$E$261&gt;(C2811-1)*12,Paths!$E$261&lt;=C2811*12)),VLOOKUP(A2811,'Fleet register'!$A$7:$S$106,16,FALSE),0),"n.a."))</f>
        <v>0</v>
      </c>
      <c r="O2811" s="16">
        <f>IF(NOT(Paths!$C$261=1),0,IF(Paths!$P$261="Complete",N2811-IF(C2811=0,Paths!$F$261,0),"n.a."))</f>
        <v>0</v>
      </c>
      <c r="P2811" s="16">
        <f>IF(NOT(Paths!$C$261=1),0,IF(Paths!$P$261="Complete",O2811+L2811,"n.a."))</f>
        <v>0</v>
      </c>
      <c r="Q2811" s="16">
        <f>IF(NOT(Paths!$C$261=1),0,IF(Paths!$P$261="Complete",N2811*(1+'Operating costs'!$B$54)^-C2811,"n.a."))</f>
        <v>0</v>
      </c>
      <c r="R2811" s="16">
        <f>IF(NOT(Paths!$C$261=1),0,IF(Paths!$P$261="Complete",IF(AND(C2811=0,Paths!$E$261=0),I2811-J2811-K2811+VLOOKUP(A2811,'Fleet register'!$A$7:$S$106,15,FALSE)+VLOOKUP(A2811,'Fleet register'!$A$7:$S$106,16,FALSE),0),"n.a."))</f>
        <v>0</v>
      </c>
      <c r="S2811" s="1">
        <f>IF(NOT(Paths!$C$261=1),0,IF(Paths!$P$261="Complete",IF(C2811=0,0,Paths!$S$261*Paths!$R$261),"n.a."))</f>
        <v>0</v>
      </c>
      <c r="T2811" s="1">
        <f>IF(NOT(Paths!$C$261=1),0,IF(Paths!$P$261="Complete",IF(C2811=0,0,VLOOKUP(A2811,'Fleet register'!$A$7:$S$106,9,FALSE)*Paths!$R$261),"n.a."))</f>
        <v>0</v>
      </c>
    </row>
    <row r="2812" spans="1:20" ht="24" customHeight="1">
      <c r="A2812" s="1" t="str">
        <f>Paths!$A$262</f>
        <v>T064</v>
      </c>
      <c r="B2812" s="1">
        <f>Paths!$B$262</f>
        <v>3</v>
      </c>
      <c r="C2812" s="1">
        <v>0</v>
      </c>
      <c r="D2812" s="1">
        <v>262</v>
      </c>
      <c r="E2812" s="1">
        <f>IF(OR(Paths!$C$262=0,C2812=0),0,MAX(0,MIN(C2812*12,Paths!$E$262)-(C2812-1)*12))</f>
        <v>0</v>
      </c>
      <c r="F2812" s="1">
        <f>IF(OR(Paths!$C$262=0,C2812=0),0,12-E2812)</f>
        <v>0</v>
      </c>
      <c r="G2812" s="16">
        <f>IF(NOT(Paths!$C$262=1),0,IF(Paths!$P$262="Complete",E2812/12*(Paths!$J$262*(1+'Operating costs'!$B$51)^MAX(0,C2812-1)+Paths!$K$262*(1+'Operating costs'!$B$53)^MAX(0,C2812-1)),"n.a."))</f>
        <v>0</v>
      </c>
      <c r="H2812" s="16">
        <f>IF(NOT(Paths!$C$262=1),0,IF(Paths!$P$262="Complete",F2812/12*(Paths!$L$262*(1+IF(Paths!$D$262="EV",'Operating costs'!$B$52,'Operating costs'!$B$51))^MAX(0,C2812-1)+Paths!$M$262*(1+'Operating costs'!$B$53)^MAX(0,C2812-1)),"n.a."))</f>
        <v>0</v>
      </c>
      <c r="I2812" s="16">
        <f>IF(NOT(Paths!$C$262=1),0,IF(Paths!$P$262="Complete",IF(IF(Paths!$E$262=0,C2812=0,AND(C2812&gt;0,Paths!$E$262&gt;(C2812-1)*12,Paths!$E$262&lt;=C2812*12)),Paths!$G$262,0),"n.a."))</f>
        <v>0</v>
      </c>
      <c r="J2812" s="16">
        <f>IF(NOT(Paths!$C$262=1),0,IF(Paths!$P$262="Complete",IF(IF(Paths!$E$262=0,C2812=0,AND(C2812&gt;0,Paths!$E$262&gt;(C2812-1)*12,Paths!$E$262&lt;=C2812*12)),Paths!$H$262,0),"n.a."))</f>
        <v>0</v>
      </c>
      <c r="K2812" s="16">
        <f>IF(NOT(Paths!$C$262=1),0,IF(Paths!$P$262="Complete",IF(IF(Paths!$O$262=0,C2812=0,AND(C2812&gt;0,Paths!$O$262&gt;(C2812-1)*12,Paths!$O$262&lt;=C2812*12)),Paths!$N$262,0),"n.a."))</f>
        <v>0</v>
      </c>
      <c r="L2812" s="16">
        <f>IF(NOT(Paths!$C$262=1),0,IF(Paths!$P$262="Complete",IF(C2812=10,Paths!$I$262,0),"n.a."))</f>
        <v>0</v>
      </c>
      <c r="M2812" s="16">
        <f>IF(NOT(Paths!$C$262=1),0,IF(Paths!$P$262="Complete",IF(AND(Paths!$D$262="EV",Paths!$E$262&lt;120,Paths!$E$262+'Operating costs'!$B$65&gt;Paths!$E$262,Paths!$E$262+'Operating costs'!$B$65&lt;=120,IF(Paths!$E$262+'Operating costs'!$B$65=0,C2812=0,AND(C2812&gt;0,Paths!$E$262+'Operating costs'!$B$65&gt;(C2812-1)*12,Paths!$E$262+'Operating costs'!$B$65&lt;=C2812*12))),'Operating costs'!$B$64,0)+IF(AND('Operating costs'!$B$67&gt;0,'Operating costs'!$B$67&lt;=120,OR(Paths!$D$262="ICE",'Operating costs'!$B$67&lt;=Paths!$E$262),IF('Operating costs'!$B$67=0,C2812=0,AND(C2812&gt;0,'Operating costs'!$B$67&gt;(C2812-1)*12,'Operating costs'!$B$67&lt;=C2812*12))),'Operating costs'!$B$66,0),"n.a."))</f>
        <v>0</v>
      </c>
      <c r="N2812" s="16">
        <f>IF(NOT(Paths!$C$262=1),0,IF(Paths!$P$262="Complete",SUM(G2812:I2812)-J2812-K2812-L2812+M2812+IF(C2812=0,Paths!$F$262,0)+IF(IF(Paths!$E$262=0,C2812=0,AND(C2812&gt;0,Paths!$E$262&gt;(C2812-1)*12,Paths!$E$262&lt;=C2812*12)),VLOOKUP(A2812,'Fleet register'!$A$7:$S$106,16,FALSE),0),"n.a."))</f>
        <v>0</v>
      </c>
      <c r="O2812" s="16">
        <f>IF(NOT(Paths!$C$262=1),0,IF(Paths!$P$262="Complete",N2812-IF(C2812=0,Paths!$F$262,0),"n.a."))</f>
        <v>0</v>
      </c>
      <c r="P2812" s="16">
        <f>IF(NOT(Paths!$C$262=1),0,IF(Paths!$P$262="Complete",O2812+L2812,"n.a."))</f>
        <v>0</v>
      </c>
      <c r="Q2812" s="16">
        <f>IF(NOT(Paths!$C$262=1),0,IF(Paths!$P$262="Complete",N2812*(1+'Operating costs'!$B$54)^-C2812,"n.a."))</f>
        <v>0</v>
      </c>
      <c r="R2812" s="16">
        <f>IF(NOT(Paths!$C$262=1),0,IF(Paths!$P$262="Complete",IF(AND(C2812=0,Paths!$E$262=0),I2812-J2812-K2812+VLOOKUP(A2812,'Fleet register'!$A$7:$S$106,15,FALSE)+VLOOKUP(A2812,'Fleet register'!$A$7:$S$106,16,FALSE),0),"n.a."))</f>
        <v>0</v>
      </c>
      <c r="S2812" s="1">
        <f>IF(NOT(Paths!$C$262=1),0,IF(Paths!$P$262="Complete",IF(C2812=0,0,Paths!$S$262*Paths!$R$262),"n.a."))</f>
        <v>0</v>
      </c>
      <c r="T2812" s="1">
        <f>IF(NOT(Paths!$C$262=1),0,IF(Paths!$P$262="Complete",IF(C2812=0,0,VLOOKUP(A2812,'Fleet register'!$A$7:$S$106,9,FALSE)*Paths!$R$262),"n.a."))</f>
        <v>0</v>
      </c>
    </row>
    <row r="2813" spans="1:20" ht="24" customHeight="1">
      <c r="A2813" s="1" t="str">
        <f>Paths!$A$262</f>
        <v>T064</v>
      </c>
      <c r="B2813" s="1">
        <f>Paths!$B$262</f>
        <v>3</v>
      </c>
      <c r="C2813" s="1">
        <v>1</v>
      </c>
      <c r="D2813" s="1">
        <v>262</v>
      </c>
      <c r="E2813" s="1">
        <f>IF(OR(Paths!$C$262=0,C2813=0),0,MAX(0,MIN(C2813*12,Paths!$E$262)-(C2813-1)*12))</f>
        <v>0</v>
      </c>
      <c r="F2813" s="1">
        <f>IF(OR(Paths!$C$262=0,C2813=0),0,12-E2813)</f>
        <v>0</v>
      </c>
      <c r="G2813" s="16">
        <f>IF(NOT(Paths!$C$262=1),0,IF(Paths!$P$262="Complete",E2813/12*(Paths!$J$262*(1+'Operating costs'!$B$51)^MAX(0,C2813-1)+Paths!$K$262*(1+'Operating costs'!$B$53)^MAX(0,C2813-1)),"n.a."))</f>
        <v>0</v>
      </c>
      <c r="H2813" s="16">
        <f>IF(NOT(Paths!$C$262=1),0,IF(Paths!$P$262="Complete",F2813/12*(Paths!$L$262*(1+IF(Paths!$D$262="EV",'Operating costs'!$B$52,'Operating costs'!$B$51))^MAX(0,C2813-1)+Paths!$M$262*(1+'Operating costs'!$B$53)^MAX(0,C2813-1)),"n.a."))</f>
        <v>0</v>
      </c>
      <c r="I2813" s="16">
        <f>IF(NOT(Paths!$C$262=1),0,IF(Paths!$P$262="Complete",IF(IF(Paths!$E$262=0,C2813=0,AND(C2813&gt;0,Paths!$E$262&gt;(C2813-1)*12,Paths!$E$262&lt;=C2813*12)),Paths!$G$262,0),"n.a."))</f>
        <v>0</v>
      </c>
      <c r="J2813" s="16">
        <f>IF(NOT(Paths!$C$262=1),0,IF(Paths!$P$262="Complete",IF(IF(Paths!$E$262=0,C2813=0,AND(C2813&gt;0,Paths!$E$262&gt;(C2813-1)*12,Paths!$E$262&lt;=C2813*12)),Paths!$H$262,0),"n.a."))</f>
        <v>0</v>
      </c>
      <c r="K2813" s="16">
        <f>IF(NOT(Paths!$C$262=1),0,IF(Paths!$P$262="Complete",IF(IF(Paths!$O$262=0,C2813=0,AND(C2813&gt;0,Paths!$O$262&gt;(C2813-1)*12,Paths!$O$262&lt;=C2813*12)),Paths!$N$262,0),"n.a."))</f>
        <v>0</v>
      </c>
      <c r="L2813" s="16">
        <f>IF(NOT(Paths!$C$262=1),0,IF(Paths!$P$262="Complete",IF(C2813=10,Paths!$I$262,0),"n.a."))</f>
        <v>0</v>
      </c>
      <c r="M2813" s="16">
        <f>IF(NOT(Paths!$C$262=1),0,IF(Paths!$P$262="Complete",IF(AND(Paths!$D$262="EV",Paths!$E$262&lt;120,Paths!$E$262+'Operating costs'!$B$65&gt;Paths!$E$262,Paths!$E$262+'Operating costs'!$B$65&lt;=120,IF(Paths!$E$262+'Operating costs'!$B$65=0,C2813=0,AND(C2813&gt;0,Paths!$E$262+'Operating costs'!$B$65&gt;(C2813-1)*12,Paths!$E$262+'Operating costs'!$B$65&lt;=C2813*12))),'Operating costs'!$B$64,0)+IF(AND('Operating costs'!$B$67&gt;0,'Operating costs'!$B$67&lt;=120,OR(Paths!$D$262="ICE",'Operating costs'!$B$67&lt;=Paths!$E$262),IF('Operating costs'!$B$67=0,C2813=0,AND(C2813&gt;0,'Operating costs'!$B$67&gt;(C2813-1)*12,'Operating costs'!$B$67&lt;=C2813*12))),'Operating costs'!$B$66,0),"n.a."))</f>
        <v>0</v>
      </c>
      <c r="N2813" s="16">
        <f>IF(NOT(Paths!$C$262=1),0,IF(Paths!$P$262="Complete",SUM(G2813:I2813)-J2813-K2813-L2813+M2813+IF(C2813=0,Paths!$F$262,0)+IF(IF(Paths!$E$262=0,C2813=0,AND(C2813&gt;0,Paths!$E$262&gt;(C2813-1)*12,Paths!$E$262&lt;=C2813*12)),VLOOKUP(A2813,'Fleet register'!$A$7:$S$106,16,FALSE),0),"n.a."))</f>
        <v>0</v>
      </c>
      <c r="O2813" s="16">
        <f>IF(NOT(Paths!$C$262=1),0,IF(Paths!$P$262="Complete",N2813-IF(C2813=0,Paths!$F$262,0),"n.a."))</f>
        <v>0</v>
      </c>
      <c r="P2813" s="16">
        <f>IF(NOT(Paths!$C$262=1),0,IF(Paths!$P$262="Complete",O2813+L2813,"n.a."))</f>
        <v>0</v>
      </c>
      <c r="Q2813" s="16">
        <f>IF(NOT(Paths!$C$262=1),0,IF(Paths!$P$262="Complete",N2813*(1+'Operating costs'!$B$54)^-C2813,"n.a."))</f>
        <v>0</v>
      </c>
      <c r="R2813" s="16">
        <f>IF(NOT(Paths!$C$262=1),0,IF(Paths!$P$262="Complete",IF(AND(C2813=0,Paths!$E$262=0),I2813-J2813-K2813+VLOOKUP(A2813,'Fleet register'!$A$7:$S$106,15,FALSE)+VLOOKUP(A2813,'Fleet register'!$A$7:$S$106,16,FALSE),0),"n.a."))</f>
        <v>0</v>
      </c>
      <c r="S2813" s="1">
        <f>IF(NOT(Paths!$C$262=1),0,IF(Paths!$P$262="Complete",IF(C2813=0,0,Paths!$S$262*Paths!$R$262),"n.a."))</f>
        <v>0</v>
      </c>
      <c r="T2813" s="1">
        <f>IF(NOT(Paths!$C$262=1),0,IF(Paths!$P$262="Complete",IF(C2813=0,0,VLOOKUP(A2813,'Fleet register'!$A$7:$S$106,9,FALSE)*Paths!$R$262),"n.a."))</f>
        <v>0</v>
      </c>
    </row>
    <row r="2814" spans="1:20" ht="24" customHeight="1">
      <c r="A2814" s="1" t="str">
        <f>Paths!$A$262</f>
        <v>T064</v>
      </c>
      <c r="B2814" s="1">
        <f>Paths!$B$262</f>
        <v>3</v>
      </c>
      <c r="C2814" s="1">
        <v>2</v>
      </c>
      <c r="D2814" s="1">
        <v>262</v>
      </c>
      <c r="E2814" s="1">
        <f>IF(OR(Paths!$C$262=0,C2814=0),0,MAX(0,MIN(C2814*12,Paths!$E$262)-(C2814-1)*12))</f>
        <v>0</v>
      </c>
      <c r="F2814" s="1">
        <f>IF(OR(Paths!$C$262=0,C2814=0),0,12-E2814)</f>
        <v>0</v>
      </c>
      <c r="G2814" s="16">
        <f>IF(NOT(Paths!$C$262=1),0,IF(Paths!$P$262="Complete",E2814/12*(Paths!$J$262*(1+'Operating costs'!$B$51)^MAX(0,C2814-1)+Paths!$K$262*(1+'Operating costs'!$B$53)^MAX(0,C2814-1)),"n.a."))</f>
        <v>0</v>
      </c>
      <c r="H2814" s="16">
        <f>IF(NOT(Paths!$C$262=1),0,IF(Paths!$P$262="Complete",F2814/12*(Paths!$L$262*(1+IF(Paths!$D$262="EV",'Operating costs'!$B$52,'Operating costs'!$B$51))^MAX(0,C2814-1)+Paths!$M$262*(1+'Operating costs'!$B$53)^MAX(0,C2814-1)),"n.a."))</f>
        <v>0</v>
      </c>
      <c r="I2814" s="16">
        <f>IF(NOT(Paths!$C$262=1),0,IF(Paths!$P$262="Complete",IF(IF(Paths!$E$262=0,C2814=0,AND(C2814&gt;0,Paths!$E$262&gt;(C2814-1)*12,Paths!$E$262&lt;=C2814*12)),Paths!$G$262,0),"n.a."))</f>
        <v>0</v>
      </c>
      <c r="J2814" s="16">
        <f>IF(NOT(Paths!$C$262=1),0,IF(Paths!$P$262="Complete",IF(IF(Paths!$E$262=0,C2814=0,AND(C2814&gt;0,Paths!$E$262&gt;(C2814-1)*12,Paths!$E$262&lt;=C2814*12)),Paths!$H$262,0),"n.a."))</f>
        <v>0</v>
      </c>
      <c r="K2814" s="16">
        <f>IF(NOT(Paths!$C$262=1),0,IF(Paths!$P$262="Complete",IF(IF(Paths!$O$262=0,C2814=0,AND(C2814&gt;0,Paths!$O$262&gt;(C2814-1)*12,Paths!$O$262&lt;=C2814*12)),Paths!$N$262,0),"n.a."))</f>
        <v>0</v>
      </c>
      <c r="L2814" s="16">
        <f>IF(NOT(Paths!$C$262=1),0,IF(Paths!$P$262="Complete",IF(C2814=10,Paths!$I$262,0),"n.a."))</f>
        <v>0</v>
      </c>
      <c r="M2814" s="16">
        <f>IF(NOT(Paths!$C$262=1),0,IF(Paths!$P$262="Complete",IF(AND(Paths!$D$262="EV",Paths!$E$262&lt;120,Paths!$E$262+'Operating costs'!$B$65&gt;Paths!$E$262,Paths!$E$262+'Operating costs'!$B$65&lt;=120,IF(Paths!$E$262+'Operating costs'!$B$65=0,C2814=0,AND(C2814&gt;0,Paths!$E$262+'Operating costs'!$B$65&gt;(C2814-1)*12,Paths!$E$262+'Operating costs'!$B$65&lt;=C2814*12))),'Operating costs'!$B$64,0)+IF(AND('Operating costs'!$B$67&gt;0,'Operating costs'!$B$67&lt;=120,OR(Paths!$D$262="ICE",'Operating costs'!$B$67&lt;=Paths!$E$262),IF('Operating costs'!$B$67=0,C2814=0,AND(C2814&gt;0,'Operating costs'!$B$67&gt;(C2814-1)*12,'Operating costs'!$B$67&lt;=C2814*12))),'Operating costs'!$B$66,0),"n.a."))</f>
        <v>0</v>
      </c>
      <c r="N2814" s="16">
        <f>IF(NOT(Paths!$C$262=1),0,IF(Paths!$P$262="Complete",SUM(G2814:I2814)-J2814-K2814-L2814+M2814+IF(C2814=0,Paths!$F$262,0)+IF(IF(Paths!$E$262=0,C2814=0,AND(C2814&gt;0,Paths!$E$262&gt;(C2814-1)*12,Paths!$E$262&lt;=C2814*12)),VLOOKUP(A2814,'Fleet register'!$A$7:$S$106,16,FALSE),0),"n.a."))</f>
        <v>0</v>
      </c>
      <c r="O2814" s="16">
        <f>IF(NOT(Paths!$C$262=1),0,IF(Paths!$P$262="Complete",N2814-IF(C2814=0,Paths!$F$262,0),"n.a."))</f>
        <v>0</v>
      </c>
      <c r="P2814" s="16">
        <f>IF(NOT(Paths!$C$262=1),0,IF(Paths!$P$262="Complete",O2814+L2814,"n.a."))</f>
        <v>0</v>
      </c>
      <c r="Q2814" s="16">
        <f>IF(NOT(Paths!$C$262=1),0,IF(Paths!$P$262="Complete",N2814*(1+'Operating costs'!$B$54)^-C2814,"n.a."))</f>
        <v>0</v>
      </c>
      <c r="R2814" s="16">
        <f>IF(NOT(Paths!$C$262=1),0,IF(Paths!$P$262="Complete",IF(AND(C2814=0,Paths!$E$262=0),I2814-J2814-K2814+VLOOKUP(A2814,'Fleet register'!$A$7:$S$106,15,FALSE)+VLOOKUP(A2814,'Fleet register'!$A$7:$S$106,16,FALSE),0),"n.a."))</f>
        <v>0</v>
      </c>
      <c r="S2814" s="1">
        <f>IF(NOT(Paths!$C$262=1),0,IF(Paths!$P$262="Complete",IF(C2814=0,0,Paths!$S$262*Paths!$R$262),"n.a."))</f>
        <v>0</v>
      </c>
      <c r="T2814" s="1">
        <f>IF(NOT(Paths!$C$262=1),0,IF(Paths!$P$262="Complete",IF(C2814=0,0,VLOOKUP(A2814,'Fleet register'!$A$7:$S$106,9,FALSE)*Paths!$R$262),"n.a."))</f>
        <v>0</v>
      </c>
    </row>
    <row r="2815" spans="1:20" ht="24" customHeight="1">
      <c r="A2815" s="1" t="str">
        <f>Paths!$A$262</f>
        <v>T064</v>
      </c>
      <c r="B2815" s="1">
        <f>Paths!$B$262</f>
        <v>3</v>
      </c>
      <c r="C2815" s="1">
        <v>3</v>
      </c>
      <c r="D2815" s="1">
        <v>262</v>
      </c>
      <c r="E2815" s="1">
        <f>IF(OR(Paths!$C$262=0,C2815=0),0,MAX(0,MIN(C2815*12,Paths!$E$262)-(C2815-1)*12))</f>
        <v>0</v>
      </c>
      <c r="F2815" s="1">
        <f>IF(OR(Paths!$C$262=0,C2815=0),0,12-E2815)</f>
        <v>0</v>
      </c>
      <c r="G2815" s="16">
        <f>IF(NOT(Paths!$C$262=1),0,IF(Paths!$P$262="Complete",E2815/12*(Paths!$J$262*(1+'Operating costs'!$B$51)^MAX(0,C2815-1)+Paths!$K$262*(1+'Operating costs'!$B$53)^MAX(0,C2815-1)),"n.a."))</f>
        <v>0</v>
      </c>
      <c r="H2815" s="16">
        <f>IF(NOT(Paths!$C$262=1),0,IF(Paths!$P$262="Complete",F2815/12*(Paths!$L$262*(1+IF(Paths!$D$262="EV",'Operating costs'!$B$52,'Operating costs'!$B$51))^MAX(0,C2815-1)+Paths!$M$262*(1+'Operating costs'!$B$53)^MAX(0,C2815-1)),"n.a."))</f>
        <v>0</v>
      </c>
      <c r="I2815" s="16">
        <f>IF(NOT(Paths!$C$262=1),0,IF(Paths!$P$262="Complete",IF(IF(Paths!$E$262=0,C2815=0,AND(C2815&gt;0,Paths!$E$262&gt;(C2815-1)*12,Paths!$E$262&lt;=C2815*12)),Paths!$G$262,0),"n.a."))</f>
        <v>0</v>
      </c>
      <c r="J2815" s="16">
        <f>IF(NOT(Paths!$C$262=1),0,IF(Paths!$P$262="Complete",IF(IF(Paths!$E$262=0,C2815=0,AND(C2815&gt;0,Paths!$E$262&gt;(C2815-1)*12,Paths!$E$262&lt;=C2815*12)),Paths!$H$262,0),"n.a."))</f>
        <v>0</v>
      </c>
      <c r="K2815" s="16">
        <f>IF(NOT(Paths!$C$262=1),0,IF(Paths!$P$262="Complete",IF(IF(Paths!$O$262=0,C2815=0,AND(C2815&gt;0,Paths!$O$262&gt;(C2815-1)*12,Paths!$O$262&lt;=C2815*12)),Paths!$N$262,0),"n.a."))</f>
        <v>0</v>
      </c>
      <c r="L2815" s="16">
        <f>IF(NOT(Paths!$C$262=1),0,IF(Paths!$P$262="Complete",IF(C2815=10,Paths!$I$262,0),"n.a."))</f>
        <v>0</v>
      </c>
      <c r="M2815" s="16">
        <f>IF(NOT(Paths!$C$262=1),0,IF(Paths!$P$262="Complete",IF(AND(Paths!$D$262="EV",Paths!$E$262&lt;120,Paths!$E$262+'Operating costs'!$B$65&gt;Paths!$E$262,Paths!$E$262+'Operating costs'!$B$65&lt;=120,IF(Paths!$E$262+'Operating costs'!$B$65=0,C2815=0,AND(C2815&gt;0,Paths!$E$262+'Operating costs'!$B$65&gt;(C2815-1)*12,Paths!$E$262+'Operating costs'!$B$65&lt;=C2815*12))),'Operating costs'!$B$64,0)+IF(AND('Operating costs'!$B$67&gt;0,'Operating costs'!$B$67&lt;=120,OR(Paths!$D$262="ICE",'Operating costs'!$B$67&lt;=Paths!$E$262),IF('Operating costs'!$B$67=0,C2815=0,AND(C2815&gt;0,'Operating costs'!$B$67&gt;(C2815-1)*12,'Operating costs'!$B$67&lt;=C2815*12))),'Operating costs'!$B$66,0),"n.a."))</f>
        <v>0</v>
      </c>
      <c r="N2815" s="16">
        <f>IF(NOT(Paths!$C$262=1),0,IF(Paths!$P$262="Complete",SUM(G2815:I2815)-J2815-K2815-L2815+M2815+IF(C2815=0,Paths!$F$262,0)+IF(IF(Paths!$E$262=0,C2815=0,AND(C2815&gt;0,Paths!$E$262&gt;(C2815-1)*12,Paths!$E$262&lt;=C2815*12)),VLOOKUP(A2815,'Fleet register'!$A$7:$S$106,16,FALSE),0),"n.a."))</f>
        <v>0</v>
      </c>
      <c r="O2815" s="16">
        <f>IF(NOT(Paths!$C$262=1),0,IF(Paths!$P$262="Complete",N2815-IF(C2815=0,Paths!$F$262,0),"n.a."))</f>
        <v>0</v>
      </c>
      <c r="P2815" s="16">
        <f>IF(NOT(Paths!$C$262=1),0,IF(Paths!$P$262="Complete",O2815+L2815,"n.a."))</f>
        <v>0</v>
      </c>
      <c r="Q2815" s="16">
        <f>IF(NOT(Paths!$C$262=1),0,IF(Paths!$P$262="Complete",N2815*(1+'Operating costs'!$B$54)^-C2815,"n.a."))</f>
        <v>0</v>
      </c>
      <c r="R2815" s="16">
        <f>IF(NOT(Paths!$C$262=1),0,IF(Paths!$P$262="Complete",IF(AND(C2815=0,Paths!$E$262=0),I2815-J2815-K2815+VLOOKUP(A2815,'Fleet register'!$A$7:$S$106,15,FALSE)+VLOOKUP(A2815,'Fleet register'!$A$7:$S$106,16,FALSE),0),"n.a."))</f>
        <v>0</v>
      </c>
      <c r="S2815" s="1">
        <f>IF(NOT(Paths!$C$262=1),0,IF(Paths!$P$262="Complete",IF(C2815=0,0,Paths!$S$262*Paths!$R$262),"n.a."))</f>
        <v>0</v>
      </c>
      <c r="T2815" s="1">
        <f>IF(NOT(Paths!$C$262=1),0,IF(Paths!$P$262="Complete",IF(C2815=0,0,VLOOKUP(A2815,'Fleet register'!$A$7:$S$106,9,FALSE)*Paths!$R$262),"n.a."))</f>
        <v>0</v>
      </c>
    </row>
    <row r="2816" spans="1:20" ht="24" customHeight="1">
      <c r="A2816" s="1" t="str">
        <f>Paths!$A$262</f>
        <v>T064</v>
      </c>
      <c r="B2816" s="1">
        <f>Paths!$B$262</f>
        <v>3</v>
      </c>
      <c r="C2816" s="1">
        <v>4</v>
      </c>
      <c r="D2816" s="1">
        <v>262</v>
      </c>
      <c r="E2816" s="1">
        <f>IF(OR(Paths!$C$262=0,C2816=0),0,MAX(0,MIN(C2816*12,Paths!$E$262)-(C2816-1)*12))</f>
        <v>0</v>
      </c>
      <c r="F2816" s="1">
        <f>IF(OR(Paths!$C$262=0,C2816=0),0,12-E2816)</f>
        <v>0</v>
      </c>
      <c r="G2816" s="16">
        <f>IF(NOT(Paths!$C$262=1),0,IF(Paths!$P$262="Complete",E2816/12*(Paths!$J$262*(1+'Operating costs'!$B$51)^MAX(0,C2816-1)+Paths!$K$262*(1+'Operating costs'!$B$53)^MAX(0,C2816-1)),"n.a."))</f>
        <v>0</v>
      </c>
      <c r="H2816" s="16">
        <f>IF(NOT(Paths!$C$262=1),0,IF(Paths!$P$262="Complete",F2816/12*(Paths!$L$262*(1+IF(Paths!$D$262="EV",'Operating costs'!$B$52,'Operating costs'!$B$51))^MAX(0,C2816-1)+Paths!$M$262*(1+'Operating costs'!$B$53)^MAX(0,C2816-1)),"n.a."))</f>
        <v>0</v>
      </c>
      <c r="I2816" s="16">
        <f>IF(NOT(Paths!$C$262=1),0,IF(Paths!$P$262="Complete",IF(IF(Paths!$E$262=0,C2816=0,AND(C2816&gt;0,Paths!$E$262&gt;(C2816-1)*12,Paths!$E$262&lt;=C2816*12)),Paths!$G$262,0),"n.a."))</f>
        <v>0</v>
      </c>
      <c r="J2816" s="16">
        <f>IF(NOT(Paths!$C$262=1),0,IF(Paths!$P$262="Complete",IF(IF(Paths!$E$262=0,C2816=0,AND(C2816&gt;0,Paths!$E$262&gt;(C2816-1)*12,Paths!$E$262&lt;=C2816*12)),Paths!$H$262,0),"n.a."))</f>
        <v>0</v>
      </c>
      <c r="K2816" s="16">
        <f>IF(NOT(Paths!$C$262=1),0,IF(Paths!$P$262="Complete",IF(IF(Paths!$O$262=0,C2816=0,AND(C2816&gt;0,Paths!$O$262&gt;(C2816-1)*12,Paths!$O$262&lt;=C2816*12)),Paths!$N$262,0),"n.a."))</f>
        <v>0</v>
      </c>
      <c r="L2816" s="16">
        <f>IF(NOT(Paths!$C$262=1),0,IF(Paths!$P$262="Complete",IF(C2816=10,Paths!$I$262,0),"n.a."))</f>
        <v>0</v>
      </c>
      <c r="M2816" s="16">
        <f>IF(NOT(Paths!$C$262=1),0,IF(Paths!$P$262="Complete",IF(AND(Paths!$D$262="EV",Paths!$E$262&lt;120,Paths!$E$262+'Operating costs'!$B$65&gt;Paths!$E$262,Paths!$E$262+'Operating costs'!$B$65&lt;=120,IF(Paths!$E$262+'Operating costs'!$B$65=0,C2816=0,AND(C2816&gt;0,Paths!$E$262+'Operating costs'!$B$65&gt;(C2816-1)*12,Paths!$E$262+'Operating costs'!$B$65&lt;=C2816*12))),'Operating costs'!$B$64,0)+IF(AND('Operating costs'!$B$67&gt;0,'Operating costs'!$B$67&lt;=120,OR(Paths!$D$262="ICE",'Operating costs'!$B$67&lt;=Paths!$E$262),IF('Operating costs'!$B$67=0,C2816=0,AND(C2816&gt;0,'Operating costs'!$B$67&gt;(C2816-1)*12,'Operating costs'!$B$67&lt;=C2816*12))),'Operating costs'!$B$66,0),"n.a."))</f>
        <v>0</v>
      </c>
      <c r="N2816" s="16">
        <f>IF(NOT(Paths!$C$262=1),0,IF(Paths!$P$262="Complete",SUM(G2816:I2816)-J2816-K2816-L2816+M2816+IF(C2816=0,Paths!$F$262,0)+IF(IF(Paths!$E$262=0,C2816=0,AND(C2816&gt;0,Paths!$E$262&gt;(C2816-1)*12,Paths!$E$262&lt;=C2816*12)),VLOOKUP(A2816,'Fleet register'!$A$7:$S$106,16,FALSE),0),"n.a."))</f>
        <v>0</v>
      </c>
      <c r="O2816" s="16">
        <f>IF(NOT(Paths!$C$262=1),0,IF(Paths!$P$262="Complete",N2816-IF(C2816=0,Paths!$F$262,0),"n.a."))</f>
        <v>0</v>
      </c>
      <c r="P2816" s="16">
        <f>IF(NOT(Paths!$C$262=1),0,IF(Paths!$P$262="Complete",O2816+L2816,"n.a."))</f>
        <v>0</v>
      </c>
      <c r="Q2816" s="16">
        <f>IF(NOT(Paths!$C$262=1),0,IF(Paths!$P$262="Complete",N2816*(1+'Operating costs'!$B$54)^-C2816,"n.a."))</f>
        <v>0</v>
      </c>
      <c r="R2816" s="16">
        <f>IF(NOT(Paths!$C$262=1),0,IF(Paths!$P$262="Complete",IF(AND(C2816=0,Paths!$E$262=0),I2816-J2816-K2816+VLOOKUP(A2816,'Fleet register'!$A$7:$S$106,15,FALSE)+VLOOKUP(A2816,'Fleet register'!$A$7:$S$106,16,FALSE),0),"n.a."))</f>
        <v>0</v>
      </c>
      <c r="S2816" s="1">
        <f>IF(NOT(Paths!$C$262=1),0,IF(Paths!$P$262="Complete",IF(C2816=0,0,Paths!$S$262*Paths!$R$262),"n.a."))</f>
        <v>0</v>
      </c>
      <c r="T2816" s="1">
        <f>IF(NOT(Paths!$C$262=1),0,IF(Paths!$P$262="Complete",IF(C2816=0,0,VLOOKUP(A2816,'Fleet register'!$A$7:$S$106,9,FALSE)*Paths!$R$262),"n.a."))</f>
        <v>0</v>
      </c>
    </row>
    <row r="2817" spans="1:20" ht="24" customHeight="1">
      <c r="A2817" s="1" t="str">
        <f>Paths!$A$262</f>
        <v>T064</v>
      </c>
      <c r="B2817" s="1">
        <f>Paths!$B$262</f>
        <v>3</v>
      </c>
      <c r="C2817" s="1">
        <v>5</v>
      </c>
      <c r="D2817" s="1">
        <v>262</v>
      </c>
      <c r="E2817" s="1">
        <f>IF(OR(Paths!$C$262=0,C2817=0),0,MAX(0,MIN(C2817*12,Paths!$E$262)-(C2817-1)*12))</f>
        <v>0</v>
      </c>
      <c r="F2817" s="1">
        <f>IF(OR(Paths!$C$262=0,C2817=0),0,12-E2817)</f>
        <v>0</v>
      </c>
      <c r="G2817" s="16">
        <f>IF(NOT(Paths!$C$262=1),0,IF(Paths!$P$262="Complete",E2817/12*(Paths!$J$262*(1+'Operating costs'!$B$51)^MAX(0,C2817-1)+Paths!$K$262*(1+'Operating costs'!$B$53)^MAX(0,C2817-1)),"n.a."))</f>
        <v>0</v>
      </c>
      <c r="H2817" s="16">
        <f>IF(NOT(Paths!$C$262=1),0,IF(Paths!$P$262="Complete",F2817/12*(Paths!$L$262*(1+IF(Paths!$D$262="EV",'Operating costs'!$B$52,'Operating costs'!$B$51))^MAX(0,C2817-1)+Paths!$M$262*(1+'Operating costs'!$B$53)^MAX(0,C2817-1)),"n.a."))</f>
        <v>0</v>
      </c>
      <c r="I2817" s="16">
        <f>IF(NOT(Paths!$C$262=1),0,IF(Paths!$P$262="Complete",IF(IF(Paths!$E$262=0,C2817=0,AND(C2817&gt;0,Paths!$E$262&gt;(C2817-1)*12,Paths!$E$262&lt;=C2817*12)),Paths!$G$262,0),"n.a."))</f>
        <v>0</v>
      </c>
      <c r="J2817" s="16">
        <f>IF(NOT(Paths!$C$262=1),0,IF(Paths!$P$262="Complete",IF(IF(Paths!$E$262=0,C2817=0,AND(C2817&gt;0,Paths!$E$262&gt;(C2817-1)*12,Paths!$E$262&lt;=C2817*12)),Paths!$H$262,0),"n.a."))</f>
        <v>0</v>
      </c>
      <c r="K2817" s="16">
        <f>IF(NOT(Paths!$C$262=1),0,IF(Paths!$P$262="Complete",IF(IF(Paths!$O$262=0,C2817=0,AND(C2817&gt;0,Paths!$O$262&gt;(C2817-1)*12,Paths!$O$262&lt;=C2817*12)),Paths!$N$262,0),"n.a."))</f>
        <v>0</v>
      </c>
      <c r="L2817" s="16">
        <f>IF(NOT(Paths!$C$262=1),0,IF(Paths!$P$262="Complete",IF(C2817=10,Paths!$I$262,0),"n.a."))</f>
        <v>0</v>
      </c>
      <c r="M2817" s="16">
        <f>IF(NOT(Paths!$C$262=1),0,IF(Paths!$P$262="Complete",IF(AND(Paths!$D$262="EV",Paths!$E$262&lt;120,Paths!$E$262+'Operating costs'!$B$65&gt;Paths!$E$262,Paths!$E$262+'Operating costs'!$B$65&lt;=120,IF(Paths!$E$262+'Operating costs'!$B$65=0,C2817=0,AND(C2817&gt;0,Paths!$E$262+'Operating costs'!$B$65&gt;(C2817-1)*12,Paths!$E$262+'Operating costs'!$B$65&lt;=C2817*12))),'Operating costs'!$B$64,0)+IF(AND('Operating costs'!$B$67&gt;0,'Operating costs'!$B$67&lt;=120,OR(Paths!$D$262="ICE",'Operating costs'!$B$67&lt;=Paths!$E$262),IF('Operating costs'!$B$67=0,C2817=0,AND(C2817&gt;0,'Operating costs'!$B$67&gt;(C2817-1)*12,'Operating costs'!$B$67&lt;=C2817*12))),'Operating costs'!$B$66,0),"n.a."))</f>
        <v>0</v>
      </c>
      <c r="N2817" s="16">
        <f>IF(NOT(Paths!$C$262=1),0,IF(Paths!$P$262="Complete",SUM(G2817:I2817)-J2817-K2817-L2817+M2817+IF(C2817=0,Paths!$F$262,0)+IF(IF(Paths!$E$262=0,C2817=0,AND(C2817&gt;0,Paths!$E$262&gt;(C2817-1)*12,Paths!$E$262&lt;=C2817*12)),VLOOKUP(A2817,'Fleet register'!$A$7:$S$106,16,FALSE),0),"n.a."))</f>
        <v>0</v>
      </c>
      <c r="O2817" s="16">
        <f>IF(NOT(Paths!$C$262=1),0,IF(Paths!$P$262="Complete",N2817-IF(C2817=0,Paths!$F$262,0),"n.a."))</f>
        <v>0</v>
      </c>
      <c r="P2817" s="16">
        <f>IF(NOT(Paths!$C$262=1),0,IF(Paths!$P$262="Complete",O2817+L2817,"n.a."))</f>
        <v>0</v>
      </c>
      <c r="Q2817" s="16">
        <f>IF(NOT(Paths!$C$262=1),0,IF(Paths!$P$262="Complete",N2817*(1+'Operating costs'!$B$54)^-C2817,"n.a."))</f>
        <v>0</v>
      </c>
      <c r="R2817" s="16">
        <f>IF(NOT(Paths!$C$262=1),0,IF(Paths!$P$262="Complete",IF(AND(C2817=0,Paths!$E$262=0),I2817-J2817-K2817+VLOOKUP(A2817,'Fleet register'!$A$7:$S$106,15,FALSE)+VLOOKUP(A2817,'Fleet register'!$A$7:$S$106,16,FALSE),0),"n.a."))</f>
        <v>0</v>
      </c>
      <c r="S2817" s="1">
        <f>IF(NOT(Paths!$C$262=1),0,IF(Paths!$P$262="Complete",IF(C2817=0,0,Paths!$S$262*Paths!$R$262),"n.a."))</f>
        <v>0</v>
      </c>
      <c r="T2817" s="1">
        <f>IF(NOT(Paths!$C$262=1),0,IF(Paths!$P$262="Complete",IF(C2817=0,0,VLOOKUP(A2817,'Fleet register'!$A$7:$S$106,9,FALSE)*Paths!$R$262),"n.a."))</f>
        <v>0</v>
      </c>
    </row>
    <row r="2818" spans="1:20" ht="24" customHeight="1">
      <c r="A2818" s="1" t="str">
        <f>Paths!$A$262</f>
        <v>T064</v>
      </c>
      <c r="B2818" s="1">
        <f>Paths!$B$262</f>
        <v>3</v>
      </c>
      <c r="C2818" s="1">
        <v>6</v>
      </c>
      <c r="D2818" s="1">
        <v>262</v>
      </c>
      <c r="E2818" s="1">
        <f>IF(OR(Paths!$C$262=0,C2818=0),0,MAX(0,MIN(C2818*12,Paths!$E$262)-(C2818-1)*12))</f>
        <v>0</v>
      </c>
      <c r="F2818" s="1">
        <f>IF(OR(Paths!$C$262=0,C2818=0),0,12-E2818)</f>
        <v>0</v>
      </c>
      <c r="G2818" s="16">
        <f>IF(NOT(Paths!$C$262=1),0,IF(Paths!$P$262="Complete",E2818/12*(Paths!$J$262*(1+'Operating costs'!$B$51)^MAX(0,C2818-1)+Paths!$K$262*(1+'Operating costs'!$B$53)^MAX(0,C2818-1)),"n.a."))</f>
        <v>0</v>
      </c>
      <c r="H2818" s="16">
        <f>IF(NOT(Paths!$C$262=1),0,IF(Paths!$P$262="Complete",F2818/12*(Paths!$L$262*(1+IF(Paths!$D$262="EV",'Operating costs'!$B$52,'Operating costs'!$B$51))^MAX(0,C2818-1)+Paths!$M$262*(1+'Operating costs'!$B$53)^MAX(0,C2818-1)),"n.a."))</f>
        <v>0</v>
      </c>
      <c r="I2818" s="16">
        <f>IF(NOT(Paths!$C$262=1),0,IF(Paths!$P$262="Complete",IF(IF(Paths!$E$262=0,C2818=0,AND(C2818&gt;0,Paths!$E$262&gt;(C2818-1)*12,Paths!$E$262&lt;=C2818*12)),Paths!$G$262,0),"n.a."))</f>
        <v>0</v>
      </c>
      <c r="J2818" s="16">
        <f>IF(NOT(Paths!$C$262=1),0,IF(Paths!$P$262="Complete",IF(IF(Paths!$E$262=0,C2818=0,AND(C2818&gt;0,Paths!$E$262&gt;(C2818-1)*12,Paths!$E$262&lt;=C2818*12)),Paths!$H$262,0),"n.a."))</f>
        <v>0</v>
      </c>
      <c r="K2818" s="16">
        <f>IF(NOT(Paths!$C$262=1),0,IF(Paths!$P$262="Complete",IF(IF(Paths!$O$262=0,C2818=0,AND(C2818&gt;0,Paths!$O$262&gt;(C2818-1)*12,Paths!$O$262&lt;=C2818*12)),Paths!$N$262,0),"n.a."))</f>
        <v>0</v>
      </c>
      <c r="L2818" s="16">
        <f>IF(NOT(Paths!$C$262=1),0,IF(Paths!$P$262="Complete",IF(C2818=10,Paths!$I$262,0),"n.a."))</f>
        <v>0</v>
      </c>
      <c r="M2818" s="16">
        <f>IF(NOT(Paths!$C$262=1),0,IF(Paths!$P$262="Complete",IF(AND(Paths!$D$262="EV",Paths!$E$262&lt;120,Paths!$E$262+'Operating costs'!$B$65&gt;Paths!$E$262,Paths!$E$262+'Operating costs'!$B$65&lt;=120,IF(Paths!$E$262+'Operating costs'!$B$65=0,C2818=0,AND(C2818&gt;0,Paths!$E$262+'Operating costs'!$B$65&gt;(C2818-1)*12,Paths!$E$262+'Operating costs'!$B$65&lt;=C2818*12))),'Operating costs'!$B$64,0)+IF(AND('Operating costs'!$B$67&gt;0,'Operating costs'!$B$67&lt;=120,OR(Paths!$D$262="ICE",'Operating costs'!$B$67&lt;=Paths!$E$262),IF('Operating costs'!$B$67=0,C2818=0,AND(C2818&gt;0,'Operating costs'!$B$67&gt;(C2818-1)*12,'Operating costs'!$B$67&lt;=C2818*12))),'Operating costs'!$B$66,0),"n.a."))</f>
        <v>0</v>
      </c>
      <c r="N2818" s="16">
        <f>IF(NOT(Paths!$C$262=1),0,IF(Paths!$P$262="Complete",SUM(G2818:I2818)-J2818-K2818-L2818+M2818+IF(C2818=0,Paths!$F$262,0)+IF(IF(Paths!$E$262=0,C2818=0,AND(C2818&gt;0,Paths!$E$262&gt;(C2818-1)*12,Paths!$E$262&lt;=C2818*12)),VLOOKUP(A2818,'Fleet register'!$A$7:$S$106,16,FALSE),0),"n.a."))</f>
        <v>0</v>
      </c>
      <c r="O2818" s="16">
        <f>IF(NOT(Paths!$C$262=1),0,IF(Paths!$P$262="Complete",N2818-IF(C2818=0,Paths!$F$262,0),"n.a."))</f>
        <v>0</v>
      </c>
      <c r="P2818" s="16">
        <f>IF(NOT(Paths!$C$262=1),0,IF(Paths!$P$262="Complete",O2818+L2818,"n.a."))</f>
        <v>0</v>
      </c>
      <c r="Q2818" s="16">
        <f>IF(NOT(Paths!$C$262=1),0,IF(Paths!$P$262="Complete",N2818*(1+'Operating costs'!$B$54)^-C2818,"n.a."))</f>
        <v>0</v>
      </c>
      <c r="R2818" s="16">
        <f>IF(NOT(Paths!$C$262=1),0,IF(Paths!$P$262="Complete",IF(AND(C2818=0,Paths!$E$262=0),I2818-J2818-K2818+VLOOKUP(A2818,'Fleet register'!$A$7:$S$106,15,FALSE)+VLOOKUP(A2818,'Fleet register'!$A$7:$S$106,16,FALSE),0),"n.a."))</f>
        <v>0</v>
      </c>
      <c r="S2818" s="1">
        <f>IF(NOT(Paths!$C$262=1),0,IF(Paths!$P$262="Complete",IF(C2818=0,0,Paths!$S$262*Paths!$R$262),"n.a."))</f>
        <v>0</v>
      </c>
      <c r="T2818" s="1">
        <f>IF(NOT(Paths!$C$262=1),0,IF(Paths!$P$262="Complete",IF(C2818=0,0,VLOOKUP(A2818,'Fleet register'!$A$7:$S$106,9,FALSE)*Paths!$R$262),"n.a."))</f>
        <v>0</v>
      </c>
    </row>
    <row r="2819" spans="1:20" ht="24" customHeight="1">
      <c r="A2819" s="1" t="str">
        <f>Paths!$A$262</f>
        <v>T064</v>
      </c>
      <c r="B2819" s="1">
        <f>Paths!$B$262</f>
        <v>3</v>
      </c>
      <c r="C2819" s="1">
        <v>7</v>
      </c>
      <c r="D2819" s="1">
        <v>262</v>
      </c>
      <c r="E2819" s="1">
        <f>IF(OR(Paths!$C$262=0,C2819=0),0,MAX(0,MIN(C2819*12,Paths!$E$262)-(C2819-1)*12))</f>
        <v>0</v>
      </c>
      <c r="F2819" s="1">
        <f>IF(OR(Paths!$C$262=0,C2819=0),0,12-E2819)</f>
        <v>0</v>
      </c>
      <c r="G2819" s="16">
        <f>IF(NOT(Paths!$C$262=1),0,IF(Paths!$P$262="Complete",E2819/12*(Paths!$J$262*(1+'Operating costs'!$B$51)^MAX(0,C2819-1)+Paths!$K$262*(1+'Operating costs'!$B$53)^MAX(0,C2819-1)),"n.a."))</f>
        <v>0</v>
      </c>
      <c r="H2819" s="16">
        <f>IF(NOT(Paths!$C$262=1),0,IF(Paths!$P$262="Complete",F2819/12*(Paths!$L$262*(1+IF(Paths!$D$262="EV",'Operating costs'!$B$52,'Operating costs'!$B$51))^MAX(0,C2819-1)+Paths!$M$262*(1+'Operating costs'!$B$53)^MAX(0,C2819-1)),"n.a."))</f>
        <v>0</v>
      </c>
      <c r="I2819" s="16">
        <f>IF(NOT(Paths!$C$262=1),0,IF(Paths!$P$262="Complete",IF(IF(Paths!$E$262=0,C2819=0,AND(C2819&gt;0,Paths!$E$262&gt;(C2819-1)*12,Paths!$E$262&lt;=C2819*12)),Paths!$G$262,0),"n.a."))</f>
        <v>0</v>
      </c>
      <c r="J2819" s="16">
        <f>IF(NOT(Paths!$C$262=1),0,IF(Paths!$P$262="Complete",IF(IF(Paths!$E$262=0,C2819=0,AND(C2819&gt;0,Paths!$E$262&gt;(C2819-1)*12,Paths!$E$262&lt;=C2819*12)),Paths!$H$262,0),"n.a."))</f>
        <v>0</v>
      </c>
      <c r="K2819" s="16">
        <f>IF(NOT(Paths!$C$262=1),0,IF(Paths!$P$262="Complete",IF(IF(Paths!$O$262=0,C2819=0,AND(C2819&gt;0,Paths!$O$262&gt;(C2819-1)*12,Paths!$O$262&lt;=C2819*12)),Paths!$N$262,0),"n.a."))</f>
        <v>0</v>
      </c>
      <c r="L2819" s="16">
        <f>IF(NOT(Paths!$C$262=1),0,IF(Paths!$P$262="Complete",IF(C2819=10,Paths!$I$262,0),"n.a."))</f>
        <v>0</v>
      </c>
      <c r="M2819" s="16">
        <f>IF(NOT(Paths!$C$262=1),0,IF(Paths!$P$262="Complete",IF(AND(Paths!$D$262="EV",Paths!$E$262&lt;120,Paths!$E$262+'Operating costs'!$B$65&gt;Paths!$E$262,Paths!$E$262+'Operating costs'!$B$65&lt;=120,IF(Paths!$E$262+'Operating costs'!$B$65=0,C2819=0,AND(C2819&gt;0,Paths!$E$262+'Operating costs'!$B$65&gt;(C2819-1)*12,Paths!$E$262+'Operating costs'!$B$65&lt;=C2819*12))),'Operating costs'!$B$64,0)+IF(AND('Operating costs'!$B$67&gt;0,'Operating costs'!$B$67&lt;=120,OR(Paths!$D$262="ICE",'Operating costs'!$B$67&lt;=Paths!$E$262),IF('Operating costs'!$B$67=0,C2819=0,AND(C2819&gt;0,'Operating costs'!$B$67&gt;(C2819-1)*12,'Operating costs'!$B$67&lt;=C2819*12))),'Operating costs'!$B$66,0),"n.a."))</f>
        <v>0</v>
      </c>
      <c r="N2819" s="16">
        <f>IF(NOT(Paths!$C$262=1),0,IF(Paths!$P$262="Complete",SUM(G2819:I2819)-J2819-K2819-L2819+M2819+IF(C2819=0,Paths!$F$262,0)+IF(IF(Paths!$E$262=0,C2819=0,AND(C2819&gt;0,Paths!$E$262&gt;(C2819-1)*12,Paths!$E$262&lt;=C2819*12)),VLOOKUP(A2819,'Fleet register'!$A$7:$S$106,16,FALSE),0),"n.a."))</f>
        <v>0</v>
      </c>
      <c r="O2819" s="16">
        <f>IF(NOT(Paths!$C$262=1),0,IF(Paths!$P$262="Complete",N2819-IF(C2819=0,Paths!$F$262,0),"n.a."))</f>
        <v>0</v>
      </c>
      <c r="P2819" s="16">
        <f>IF(NOT(Paths!$C$262=1),0,IF(Paths!$P$262="Complete",O2819+L2819,"n.a."))</f>
        <v>0</v>
      </c>
      <c r="Q2819" s="16">
        <f>IF(NOT(Paths!$C$262=1),0,IF(Paths!$P$262="Complete",N2819*(1+'Operating costs'!$B$54)^-C2819,"n.a."))</f>
        <v>0</v>
      </c>
      <c r="R2819" s="16">
        <f>IF(NOT(Paths!$C$262=1),0,IF(Paths!$P$262="Complete",IF(AND(C2819=0,Paths!$E$262=0),I2819-J2819-K2819+VLOOKUP(A2819,'Fleet register'!$A$7:$S$106,15,FALSE)+VLOOKUP(A2819,'Fleet register'!$A$7:$S$106,16,FALSE),0),"n.a."))</f>
        <v>0</v>
      </c>
      <c r="S2819" s="1">
        <f>IF(NOT(Paths!$C$262=1),0,IF(Paths!$P$262="Complete",IF(C2819=0,0,Paths!$S$262*Paths!$R$262),"n.a."))</f>
        <v>0</v>
      </c>
      <c r="T2819" s="1">
        <f>IF(NOT(Paths!$C$262=1),0,IF(Paths!$P$262="Complete",IF(C2819=0,0,VLOOKUP(A2819,'Fleet register'!$A$7:$S$106,9,FALSE)*Paths!$R$262),"n.a."))</f>
        <v>0</v>
      </c>
    </row>
    <row r="2820" spans="1:20" ht="24" customHeight="1">
      <c r="A2820" s="1" t="str">
        <f>Paths!$A$262</f>
        <v>T064</v>
      </c>
      <c r="B2820" s="1">
        <f>Paths!$B$262</f>
        <v>3</v>
      </c>
      <c r="C2820" s="1">
        <v>8</v>
      </c>
      <c r="D2820" s="1">
        <v>262</v>
      </c>
      <c r="E2820" s="1">
        <f>IF(OR(Paths!$C$262=0,C2820=0),0,MAX(0,MIN(C2820*12,Paths!$E$262)-(C2820-1)*12))</f>
        <v>0</v>
      </c>
      <c r="F2820" s="1">
        <f>IF(OR(Paths!$C$262=0,C2820=0),0,12-E2820)</f>
        <v>0</v>
      </c>
      <c r="G2820" s="16">
        <f>IF(NOT(Paths!$C$262=1),0,IF(Paths!$P$262="Complete",E2820/12*(Paths!$J$262*(1+'Operating costs'!$B$51)^MAX(0,C2820-1)+Paths!$K$262*(1+'Operating costs'!$B$53)^MAX(0,C2820-1)),"n.a."))</f>
        <v>0</v>
      </c>
      <c r="H2820" s="16">
        <f>IF(NOT(Paths!$C$262=1),0,IF(Paths!$P$262="Complete",F2820/12*(Paths!$L$262*(1+IF(Paths!$D$262="EV",'Operating costs'!$B$52,'Operating costs'!$B$51))^MAX(0,C2820-1)+Paths!$M$262*(1+'Operating costs'!$B$53)^MAX(0,C2820-1)),"n.a."))</f>
        <v>0</v>
      </c>
      <c r="I2820" s="16">
        <f>IF(NOT(Paths!$C$262=1),0,IF(Paths!$P$262="Complete",IF(IF(Paths!$E$262=0,C2820=0,AND(C2820&gt;0,Paths!$E$262&gt;(C2820-1)*12,Paths!$E$262&lt;=C2820*12)),Paths!$G$262,0),"n.a."))</f>
        <v>0</v>
      </c>
      <c r="J2820" s="16">
        <f>IF(NOT(Paths!$C$262=1),0,IF(Paths!$P$262="Complete",IF(IF(Paths!$E$262=0,C2820=0,AND(C2820&gt;0,Paths!$E$262&gt;(C2820-1)*12,Paths!$E$262&lt;=C2820*12)),Paths!$H$262,0),"n.a."))</f>
        <v>0</v>
      </c>
      <c r="K2820" s="16">
        <f>IF(NOT(Paths!$C$262=1),0,IF(Paths!$P$262="Complete",IF(IF(Paths!$O$262=0,C2820=0,AND(C2820&gt;0,Paths!$O$262&gt;(C2820-1)*12,Paths!$O$262&lt;=C2820*12)),Paths!$N$262,0),"n.a."))</f>
        <v>0</v>
      </c>
      <c r="L2820" s="16">
        <f>IF(NOT(Paths!$C$262=1),0,IF(Paths!$P$262="Complete",IF(C2820=10,Paths!$I$262,0),"n.a."))</f>
        <v>0</v>
      </c>
      <c r="M2820" s="16">
        <f>IF(NOT(Paths!$C$262=1),0,IF(Paths!$P$262="Complete",IF(AND(Paths!$D$262="EV",Paths!$E$262&lt;120,Paths!$E$262+'Operating costs'!$B$65&gt;Paths!$E$262,Paths!$E$262+'Operating costs'!$B$65&lt;=120,IF(Paths!$E$262+'Operating costs'!$B$65=0,C2820=0,AND(C2820&gt;0,Paths!$E$262+'Operating costs'!$B$65&gt;(C2820-1)*12,Paths!$E$262+'Operating costs'!$B$65&lt;=C2820*12))),'Operating costs'!$B$64,0)+IF(AND('Operating costs'!$B$67&gt;0,'Operating costs'!$B$67&lt;=120,OR(Paths!$D$262="ICE",'Operating costs'!$B$67&lt;=Paths!$E$262),IF('Operating costs'!$B$67=0,C2820=0,AND(C2820&gt;0,'Operating costs'!$B$67&gt;(C2820-1)*12,'Operating costs'!$B$67&lt;=C2820*12))),'Operating costs'!$B$66,0),"n.a."))</f>
        <v>0</v>
      </c>
      <c r="N2820" s="16">
        <f>IF(NOT(Paths!$C$262=1),0,IF(Paths!$P$262="Complete",SUM(G2820:I2820)-J2820-K2820-L2820+M2820+IF(C2820=0,Paths!$F$262,0)+IF(IF(Paths!$E$262=0,C2820=0,AND(C2820&gt;0,Paths!$E$262&gt;(C2820-1)*12,Paths!$E$262&lt;=C2820*12)),VLOOKUP(A2820,'Fleet register'!$A$7:$S$106,16,FALSE),0),"n.a."))</f>
        <v>0</v>
      </c>
      <c r="O2820" s="16">
        <f>IF(NOT(Paths!$C$262=1),0,IF(Paths!$P$262="Complete",N2820-IF(C2820=0,Paths!$F$262,0),"n.a."))</f>
        <v>0</v>
      </c>
      <c r="P2820" s="16">
        <f>IF(NOT(Paths!$C$262=1),0,IF(Paths!$P$262="Complete",O2820+L2820,"n.a."))</f>
        <v>0</v>
      </c>
      <c r="Q2820" s="16">
        <f>IF(NOT(Paths!$C$262=1),0,IF(Paths!$P$262="Complete",N2820*(1+'Operating costs'!$B$54)^-C2820,"n.a."))</f>
        <v>0</v>
      </c>
      <c r="R2820" s="16">
        <f>IF(NOT(Paths!$C$262=1),0,IF(Paths!$P$262="Complete",IF(AND(C2820=0,Paths!$E$262=0),I2820-J2820-K2820+VLOOKUP(A2820,'Fleet register'!$A$7:$S$106,15,FALSE)+VLOOKUP(A2820,'Fleet register'!$A$7:$S$106,16,FALSE),0),"n.a."))</f>
        <v>0</v>
      </c>
      <c r="S2820" s="1">
        <f>IF(NOT(Paths!$C$262=1),0,IF(Paths!$P$262="Complete",IF(C2820=0,0,Paths!$S$262*Paths!$R$262),"n.a."))</f>
        <v>0</v>
      </c>
      <c r="T2820" s="1">
        <f>IF(NOT(Paths!$C$262=1),0,IF(Paths!$P$262="Complete",IF(C2820=0,0,VLOOKUP(A2820,'Fleet register'!$A$7:$S$106,9,FALSE)*Paths!$R$262),"n.a."))</f>
        <v>0</v>
      </c>
    </row>
    <row r="2821" spans="1:20" ht="24" customHeight="1">
      <c r="A2821" s="1" t="str">
        <f>Paths!$A$262</f>
        <v>T064</v>
      </c>
      <c r="B2821" s="1">
        <f>Paths!$B$262</f>
        <v>3</v>
      </c>
      <c r="C2821" s="1">
        <v>9</v>
      </c>
      <c r="D2821" s="1">
        <v>262</v>
      </c>
      <c r="E2821" s="1">
        <f>IF(OR(Paths!$C$262=0,C2821=0),0,MAX(0,MIN(C2821*12,Paths!$E$262)-(C2821-1)*12))</f>
        <v>0</v>
      </c>
      <c r="F2821" s="1">
        <f>IF(OR(Paths!$C$262=0,C2821=0),0,12-E2821)</f>
        <v>0</v>
      </c>
      <c r="G2821" s="16">
        <f>IF(NOT(Paths!$C$262=1),0,IF(Paths!$P$262="Complete",E2821/12*(Paths!$J$262*(1+'Operating costs'!$B$51)^MAX(0,C2821-1)+Paths!$K$262*(1+'Operating costs'!$B$53)^MAX(0,C2821-1)),"n.a."))</f>
        <v>0</v>
      </c>
      <c r="H2821" s="16">
        <f>IF(NOT(Paths!$C$262=1),0,IF(Paths!$P$262="Complete",F2821/12*(Paths!$L$262*(1+IF(Paths!$D$262="EV",'Operating costs'!$B$52,'Operating costs'!$B$51))^MAX(0,C2821-1)+Paths!$M$262*(1+'Operating costs'!$B$53)^MAX(0,C2821-1)),"n.a."))</f>
        <v>0</v>
      </c>
      <c r="I2821" s="16">
        <f>IF(NOT(Paths!$C$262=1),0,IF(Paths!$P$262="Complete",IF(IF(Paths!$E$262=0,C2821=0,AND(C2821&gt;0,Paths!$E$262&gt;(C2821-1)*12,Paths!$E$262&lt;=C2821*12)),Paths!$G$262,0),"n.a."))</f>
        <v>0</v>
      </c>
      <c r="J2821" s="16">
        <f>IF(NOT(Paths!$C$262=1),0,IF(Paths!$P$262="Complete",IF(IF(Paths!$E$262=0,C2821=0,AND(C2821&gt;0,Paths!$E$262&gt;(C2821-1)*12,Paths!$E$262&lt;=C2821*12)),Paths!$H$262,0),"n.a."))</f>
        <v>0</v>
      </c>
      <c r="K2821" s="16">
        <f>IF(NOT(Paths!$C$262=1),0,IF(Paths!$P$262="Complete",IF(IF(Paths!$O$262=0,C2821=0,AND(C2821&gt;0,Paths!$O$262&gt;(C2821-1)*12,Paths!$O$262&lt;=C2821*12)),Paths!$N$262,0),"n.a."))</f>
        <v>0</v>
      </c>
      <c r="L2821" s="16">
        <f>IF(NOT(Paths!$C$262=1),0,IF(Paths!$P$262="Complete",IF(C2821=10,Paths!$I$262,0),"n.a."))</f>
        <v>0</v>
      </c>
      <c r="M2821" s="16">
        <f>IF(NOT(Paths!$C$262=1),0,IF(Paths!$P$262="Complete",IF(AND(Paths!$D$262="EV",Paths!$E$262&lt;120,Paths!$E$262+'Operating costs'!$B$65&gt;Paths!$E$262,Paths!$E$262+'Operating costs'!$B$65&lt;=120,IF(Paths!$E$262+'Operating costs'!$B$65=0,C2821=0,AND(C2821&gt;0,Paths!$E$262+'Operating costs'!$B$65&gt;(C2821-1)*12,Paths!$E$262+'Operating costs'!$B$65&lt;=C2821*12))),'Operating costs'!$B$64,0)+IF(AND('Operating costs'!$B$67&gt;0,'Operating costs'!$B$67&lt;=120,OR(Paths!$D$262="ICE",'Operating costs'!$B$67&lt;=Paths!$E$262),IF('Operating costs'!$B$67=0,C2821=0,AND(C2821&gt;0,'Operating costs'!$B$67&gt;(C2821-1)*12,'Operating costs'!$B$67&lt;=C2821*12))),'Operating costs'!$B$66,0),"n.a."))</f>
        <v>0</v>
      </c>
      <c r="N2821" s="16">
        <f>IF(NOT(Paths!$C$262=1),0,IF(Paths!$P$262="Complete",SUM(G2821:I2821)-J2821-K2821-L2821+M2821+IF(C2821=0,Paths!$F$262,0)+IF(IF(Paths!$E$262=0,C2821=0,AND(C2821&gt;0,Paths!$E$262&gt;(C2821-1)*12,Paths!$E$262&lt;=C2821*12)),VLOOKUP(A2821,'Fleet register'!$A$7:$S$106,16,FALSE),0),"n.a."))</f>
        <v>0</v>
      </c>
      <c r="O2821" s="16">
        <f>IF(NOT(Paths!$C$262=1),0,IF(Paths!$P$262="Complete",N2821-IF(C2821=0,Paths!$F$262,0),"n.a."))</f>
        <v>0</v>
      </c>
      <c r="P2821" s="16">
        <f>IF(NOT(Paths!$C$262=1),0,IF(Paths!$P$262="Complete",O2821+L2821,"n.a."))</f>
        <v>0</v>
      </c>
      <c r="Q2821" s="16">
        <f>IF(NOT(Paths!$C$262=1),0,IF(Paths!$P$262="Complete",N2821*(1+'Operating costs'!$B$54)^-C2821,"n.a."))</f>
        <v>0</v>
      </c>
      <c r="R2821" s="16">
        <f>IF(NOT(Paths!$C$262=1),0,IF(Paths!$P$262="Complete",IF(AND(C2821=0,Paths!$E$262=0),I2821-J2821-K2821+VLOOKUP(A2821,'Fleet register'!$A$7:$S$106,15,FALSE)+VLOOKUP(A2821,'Fleet register'!$A$7:$S$106,16,FALSE),0),"n.a."))</f>
        <v>0</v>
      </c>
      <c r="S2821" s="1">
        <f>IF(NOT(Paths!$C$262=1),0,IF(Paths!$P$262="Complete",IF(C2821=0,0,Paths!$S$262*Paths!$R$262),"n.a."))</f>
        <v>0</v>
      </c>
      <c r="T2821" s="1">
        <f>IF(NOT(Paths!$C$262=1),0,IF(Paths!$P$262="Complete",IF(C2821=0,0,VLOOKUP(A2821,'Fleet register'!$A$7:$S$106,9,FALSE)*Paths!$R$262),"n.a."))</f>
        <v>0</v>
      </c>
    </row>
    <row r="2822" spans="1:20" ht="24" customHeight="1">
      <c r="A2822" s="1" t="str">
        <f>Paths!$A$262</f>
        <v>T064</v>
      </c>
      <c r="B2822" s="1">
        <f>Paths!$B$262</f>
        <v>3</v>
      </c>
      <c r="C2822" s="1">
        <v>10</v>
      </c>
      <c r="D2822" s="1">
        <v>262</v>
      </c>
      <c r="E2822" s="1">
        <f>IF(OR(Paths!$C$262=0,C2822=0),0,MAX(0,MIN(C2822*12,Paths!$E$262)-(C2822-1)*12))</f>
        <v>0</v>
      </c>
      <c r="F2822" s="1">
        <f>IF(OR(Paths!$C$262=0,C2822=0),0,12-E2822)</f>
        <v>0</v>
      </c>
      <c r="G2822" s="16">
        <f>IF(NOT(Paths!$C$262=1),0,IF(Paths!$P$262="Complete",E2822/12*(Paths!$J$262*(1+'Operating costs'!$B$51)^MAX(0,C2822-1)+Paths!$K$262*(1+'Operating costs'!$B$53)^MAX(0,C2822-1)),"n.a."))</f>
        <v>0</v>
      </c>
      <c r="H2822" s="16">
        <f>IF(NOT(Paths!$C$262=1),0,IF(Paths!$P$262="Complete",F2822/12*(Paths!$L$262*(1+IF(Paths!$D$262="EV",'Operating costs'!$B$52,'Operating costs'!$B$51))^MAX(0,C2822-1)+Paths!$M$262*(1+'Operating costs'!$B$53)^MAX(0,C2822-1)),"n.a."))</f>
        <v>0</v>
      </c>
      <c r="I2822" s="16">
        <f>IF(NOT(Paths!$C$262=1),0,IF(Paths!$P$262="Complete",IF(IF(Paths!$E$262=0,C2822=0,AND(C2822&gt;0,Paths!$E$262&gt;(C2822-1)*12,Paths!$E$262&lt;=C2822*12)),Paths!$G$262,0),"n.a."))</f>
        <v>0</v>
      </c>
      <c r="J2822" s="16">
        <f>IF(NOT(Paths!$C$262=1),0,IF(Paths!$P$262="Complete",IF(IF(Paths!$E$262=0,C2822=0,AND(C2822&gt;0,Paths!$E$262&gt;(C2822-1)*12,Paths!$E$262&lt;=C2822*12)),Paths!$H$262,0),"n.a."))</f>
        <v>0</v>
      </c>
      <c r="K2822" s="16">
        <f>IF(NOT(Paths!$C$262=1),0,IF(Paths!$P$262="Complete",IF(IF(Paths!$O$262=0,C2822=0,AND(C2822&gt;0,Paths!$O$262&gt;(C2822-1)*12,Paths!$O$262&lt;=C2822*12)),Paths!$N$262,0),"n.a."))</f>
        <v>0</v>
      </c>
      <c r="L2822" s="16">
        <f>IF(NOT(Paths!$C$262=1),0,IF(Paths!$P$262="Complete",IF(C2822=10,Paths!$I$262,0),"n.a."))</f>
        <v>0</v>
      </c>
      <c r="M2822" s="16">
        <f>IF(NOT(Paths!$C$262=1),0,IF(Paths!$P$262="Complete",IF(AND(Paths!$D$262="EV",Paths!$E$262&lt;120,Paths!$E$262+'Operating costs'!$B$65&gt;Paths!$E$262,Paths!$E$262+'Operating costs'!$B$65&lt;=120,IF(Paths!$E$262+'Operating costs'!$B$65=0,C2822=0,AND(C2822&gt;0,Paths!$E$262+'Operating costs'!$B$65&gt;(C2822-1)*12,Paths!$E$262+'Operating costs'!$B$65&lt;=C2822*12))),'Operating costs'!$B$64,0)+IF(AND('Operating costs'!$B$67&gt;0,'Operating costs'!$B$67&lt;=120,OR(Paths!$D$262="ICE",'Operating costs'!$B$67&lt;=Paths!$E$262),IF('Operating costs'!$B$67=0,C2822=0,AND(C2822&gt;0,'Operating costs'!$B$67&gt;(C2822-1)*12,'Operating costs'!$B$67&lt;=C2822*12))),'Operating costs'!$B$66,0),"n.a."))</f>
        <v>0</v>
      </c>
      <c r="N2822" s="16">
        <f>IF(NOT(Paths!$C$262=1),0,IF(Paths!$P$262="Complete",SUM(G2822:I2822)-J2822-K2822-L2822+M2822+IF(C2822=0,Paths!$F$262,0)+IF(IF(Paths!$E$262=0,C2822=0,AND(C2822&gt;0,Paths!$E$262&gt;(C2822-1)*12,Paths!$E$262&lt;=C2822*12)),VLOOKUP(A2822,'Fleet register'!$A$7:$S$106,16,FALSE),0),"n.a."))</f>
        <v>0</v>
      </c>
      <c r="O2822" s="16">
        <f>IF(NOT(Paths!$C$262=1),0,IF(Paths!$P$262="Complete",N2822-IF(C2822=0,Paths!$F$262,0),"n.a."))</f>
        <v>0</v>
      </c>
      <c r="P2822" s="16">
        <f>IF(NOT(Paths!$C$262=1),0,IF(Paths!$P$262="Complete",O2822+L2822,"n.a."))</f>
        <v>0</v>
      </c>
      <c r="Q2822" s="16">
        <f>IF(NOT(Paths!$C$262=1),0,IF(Paths!$P$262="Complete",N2822*(1+'Operating costs'!$B$54)^-C2822,"n.a."))</f>
        <v>0</v>
      </c>
      <c r="R2822" s="16">
        <f>IF(NOT(Paths!$C$262=1),0,IF(Paths!$P$262="Complete",IF(AND(C2822=0,Paths!$E$262=0),I2822-J2822-K2822+VLOOKUP(A2822,'Fleet register'!$A$7:$S$106,15,FALSE)+VLOOKUP(A2822,'Fleet register'!$A$7:$S$106,16,FALSE),0),"n.a."))</f>
        <v>0</v>
      </c>
      <c r="S2822" s="1">
        <f>IF(NOT(Paths!$C$262=1),0,IF(Paths!$P$262="Complete",IF(C2822=0,0,Paths!$S$262*Paths!$R$262),"n.a."))</f>
        <v>0</v>
      </c>
      <c r="T2822" s="1">
        <f>IF(NOT(Paths!$C$262=1),0,IF(Paths!$P$262="Complete",IF(C2822=0,0,VLOOKUP(A2822,'Fleet register'!$A$7:$S$106,9,FALSE)*Paths!$R$262),"n.a."))</f>
        <v>0</v>
      </c>
    </row>
    <row r="2823" spans="1:20" ht="24" customHeight="1">
      <c r="A2823" s="1" t="str">
        <f>Paths!$A$263</f>
        <v>T065</v>
      </c>
      <c r="B2823" s="1">
        <f>Paths!$B$263</f>
        <v>0</v>
      </c>
      <c r="C2823" s="1">
        <v>0</v>
      </c>
      <c r="D2823" s="1">
        <v>263</v>
      </c>
      <c r="E2823" s="1">
        <f>IF(OR(Paths!$C$263=0,C2823=0),0,MAX(0,MIN(C2823*12,Paths!$E$263)-(C2823-1)*12))</f>
        <v>0</v>
      </c>
      <c r="F2823" s="1">
        <f>IF(OR(Paths!$C$263=0,C2823=0),0,12-E2823)</f>
        <v>0</v>
      </c>
      <c r="G2823" s="16">
        <f>IF(NOT(Paths!$C$263=1),0,IF(Paths!$P$263="Complete",E2823/12*(Paths!$J$263*(1+'Operating costs'!$B$51)^MAX(0,C2823-1)+Paths!$K$263*(1+'Operating costs'!$B$53)^MAX(0,C2823-1)),"n.a."))</f>
        <v>0</v>
      </c>
      <c r="H2823" s="16">
        <f>IF(NOT(Paths!$C$263=1),0,IF(Paths!$P$263="Complete",F2823/12*(Paths!$L$263*(1+IF(Paths!$D$263="EV",'Operating costs'!$B$52,'Operating costs'!$B$51))^MAX(0,C2823-1)+Paths!$M$263*(1+'Operating costs'!$B$53)^MAX(0,C2823-1)),"n.a."))</f>
        <v>0</v>
      </c>
      <c r="I2823" s="16">
        <f>IF(NOT(Paths!$C$263=1),0,IF(Paths!$P$263="Complete",IF(IF(Paths!$E$263=0,C2823=0,AND(C2823&gt;0,Paths!$E$263&gt;(C2823-1)*12,Paths!$E$263&lt;=C2823*12)),Paths!$G$263,0),"n.a."))</f>
        <v>0</v>
      </c>
      <c r="J2823" s="16">
        <f>IF(NOT(Paths!$C$263=1),0,IF(Paths!$P$263="Complete",IF(IF(Paths!$E$263=0,C2823=0,AND(C2823&gt;0,Paths!$E$263&gt;(C2823-1)*12,Paths!$E$263&lt;=C2823*12)),Paths!$H$263,0),"n.a."))</f>
        <v>0</v>
      </c>
      <c r="K2823" s="16">
        <f>IF(NOT(Paths!$C$263=1),0,IF(Paths!$P$263="Complete",IF(IF(Paths!$O$263=0,C2823=0,AND(C2823&gt;0,Paths!$O$263&gt;(C2823-1)*12,Paths!$O$263&lt;=C2823*12)),Paths!$N$263,0),"n.a."))</f>
        <v>0</v>
      </c>
      <c r="L2823" s="16">
        <f>IF(NOT(Paths!$C$263=1),0,IF(Paths!$P$263="Complete",IF(C2823=10,Paths!$I$263,0),"n.a."))</f>
        <v>0</v>
      </c>
      <c r="M2823" s="16">
        <f>IF(NOT(Paths!$C$263=1),0,IF(Paths!$P$263="Complete",IF(AND(Paths!$D$263="EV",Paths!$E$263&lt;120,Paths!$E$263+'Operating costs'!$B$65&gt;Paths!$E$263,Paths!$E$263+'Operating costs'!$B$65&lt;=120,IF(Paths!$E$263+'Operating costs'!$B$65=0,C2823=0,AND(C2823&gt;0,Paths!$E$263+'Operating costs'!$B$65&gt;(C2823-1)*12,Paths!$E$263+'Operating costs'!$B$65&lt;=C2823*12))),'Operating costs'!$B$64,0)+IF(AND('Operating costs'!$B$67&gt;0,'Operating costs'!$B$67&lt;=120,OR(Paths!$D$263="ICE",'Operating costs'!$B$67&lt;=Paths!$E$263),IF('Operating costs'!$B$67=0,C2823=0,AND(C2823&gt;0,'Operating costs'!$B$67&gt;(C2823-1)*12,'Operating costs'!$B$67&lt;=C2823*12))),'Operating costs'!$B$66,0),"n.a."))</f>
        <v>0</v>
      </c>
      <c r="N2823" s="16">
        <f>IF(NOT(Paths!$C$263=1),0,IF(Paths!$P$263="Complete",SUM(G2823:I2823)-J2823-K2823-L2823+M2823+IF(C2823=0,Paths!$F$263,0)+IF(IF(Paths!$E$263=0,C2823=0,AND(C2823&gt;0,Paths!$E$263&gt;(C2823-1)*12,Paths!$E$263&lt;=C2823*12)),VLOOKUP(A2823,'Fleet register'!$A$7:$S$106,16,FALSE),0),"n.a."))</f>
        <v>0</v>
      </c>
      <c r="O2823" s="16">
        <f>IF(NOT(Paths!$C$263=1),0,IF(Paths!$P$263="Complete",N2823-IF(C2823=0,Paths!$F$263,0),"n.a."))</f>
        <v>0</v>
      </c>
      <c r="P2823" s="16">
        <f>IF(NOT(Paths!$C$263=1),0,IF(Paths!$P$263="Complete",O2823+L2823,"n.a."))</f>
        <v>0</v>
      </c>
      <c r="Q2823" s="16">
        <f>IF(NOT(Paths!$C$263=1),0,IF(Paths!$P$263="Complete",N2823*(1+'Operating costs'!$B$54)^-C2823,"n.a."))</f>
        <v>0</v>
      </c>
      <c r="R2823" s="16">
        <f>IF(NOT(Paths!$C$263=1),0,IF(Paths!$P$263="Complete",IF(AND(C2823=0,Paths!$E$263=0),I2823-J2823-K2823+VLOOKUP(A2823,'Fleet register'!$A$7:$S$106,15,FALSE)+VLOOKUP(A2823,'Fleet register'!$A$7:$S$106,16,FALSE),0),"n.a."))</f>
        <v>0</v>
      </c>
      <c r="S2823" s="1">
        <f>IF(NOT(Paths!$C$263=1),0,IF(Paths!$P$263="Complete",IF(C2823=0,0,Paths!$S$263*Paths!$R$263),"n.a."))</f>
        <v>0</v>
      </c>
      <c r="T2823" s="1">
        <f>IF(NOT(Paths!$C$263=1),0,IF(Paths!$P$263="Complete",IF(C2823=0,0,VLOOKUP(A2823,'Fleet register'!$A$7:$S$106,9,FALSE)*Paths!$R$263),"n.a."))</f>
        <v>0</v>
      </c>
    </row>
    <row r="2824" spans="1:20" ht="24" customHeight="1">
      <c r="A2824" s="1" t="str">
        <f>Paths!$A$263</f>
        <v>T065</v>
      </c>
      <c r="B2824" s="1">
        <f>Paths!$B$263</f>
        <v>0</v>
      </c>
      <c r="C2824" s="1">
        <v>1</v>
      </c>
      <c r="D2824" s="1">
        <v>263</v>
      </c>
      <c r="E2824" s="1">
        <f>IF(OR(Paths!$C$263=0,C2824=0),0,MAX(0,MIN(C2824*12,Paths!$E$263)-(C2824-1)*12))</f>
        <v>0</v>
      </c>
      <c r="F2824" s="1">
        <f>IF(OR(Paths!$C$263=0,C2824=0),0,12-E2824)</f>
        <v>0</v>
      </c>
      <c r="G2824" s="16">
        <f>IF(NOT(Paths!$C$263=1),0,IF(Paths!$P$263="Complete",E2824/12*(Paths!$J$263*(1+'Operating costs'!$B$51)^MAX(0,C2824-1)+Paths!$K$263*(1+'Operating costs'!$B$53)^MAX(0,C2824-1)),"n.a."))</f>
        <v>0</v>
      </c>
      <c r="H2824" s="16">
        <f>IF(NOT(Paths!$C$263=1),0,IF(Paths!$P$263="Complete",F2824/12*(Paths!$L$263*(1+IF(Paths!$D$263="EV",'Operating costs'!$B$52,'Operating costs'!$B$51))^MAX(0,C2824-1)+Paths!$M$263*(1+'Operating costs'!$B$53)^MAX(0,C2824-1)),"n.a."))</f>
        <v>0</v>
      </c>
      <c r="I2824" s="16">
        <f>IF(NOT(Paths!$C$263=1),0,IF(Paths!$P$263="Complete",IF(IF(Paths!$E$263=0,C2824=0,AND(C2824&gt;0,Paths!$E$263&gt;(C2824-1)*12,Paths!$E$263&lt;=C2824*12)),Paths!$G$263,0),"n.a."))</f>
        <v>0</v>
      </c>
      <c r="J2824" s="16">
        <f>IF(NOT(Paths!$C$263=1),0,IF(Paths!$P$263="Complete",IF(IF(Paths!$E$263=0,C2824=0,AND(C2824&gt;0,Paths!$E$263&gt;(C2824-1)*12,Paths!$E$263&lt;=C2824*12)),Paths!$H$263,0),"n.a."))</f>
        <v>0</v>
      </c>
      <c r="K2824" s="16">
        <f>IF(NOT(Paths!$C$263=1),0,IF(Paths!$P$263="Complete",IF(IF(Paths!$O$263=0,C2824=0,AND(C2824&gt;0,Paths!$O$263&gt;(C2824-1)*12,Paths!$O$263&lt;=C2824*12)),Paths!$N$263,0),"n.a."))</f>
        <v>0</v>
      </c>
      <c r="L2824" s="16">
        <f>IF(NOT(Paths!$C$263=1),0,IF(Paths!$P$263="Complete",IF(C2824=10,Paths!$I$263,0),"n.a."))</f>
        <v>0</v>
      </c>
      <c r="M2824" s="16">
        <f>IF(NOT(Paths!$C$263=1),0,IF(Paths!$P$263="Complete",IF(AND(Paths!$D$263="EV",Paths!$E$263&lt;120,Paths!$E$263+'Operating costs'!$B$65&gt;Paths!$E$263,Paths!$E$263+'Operating costs'!$B$65&lt;=120,IF(Paths!$E$263+'Operating costs'!$B$65=0,C2824=0,AND(C2824&gt;0,Paths!$E$263+'Operating costs'!$B$65&gt;(C2824-1)*12,Paths!$E$263+'Operating costs'!$B$65&lt;=C2824*12))),'Operating costs'!$B$64,0)+IF(AND('Operating costs'!$B$67&gt;0,'Operating costs'!$B$67&lt;=120,OR(Paths!$D$263="ICE",'Operating costs'!$B$67&lt;=Paths!$E$263),IF('Operating costs'!$B$67=0,C2824=0,AND(C2824&gt;0,'Operating costs'!$B$67&gt;(C2824-1)*12,'Operating costs'!$B$67&lt;=C2824*12))),'Operating costs'!$B$66,0),"n.a."))</f>
        <v>0</v>
      </c>
      <c r="N2824" s="16">
        <f>IF(NOT(Paths!$C$263=1),0,IF(Paths!$P$263="Complete",SUM(G2824:I2824)-J2824-K2824-L2824+M2824+IF(C2824=0,Paths!$F$263,0)+IF(IF(Paths!$E$263=0,C2824=0,AND(C2824&gt;0,Paths!$E$263&gt;(C2824-1)*12,Paths!$E$263&lt;=C2824*12)),VLOOKUP(A2824,'Fleet register'!$A$7:$S$106,16,FALSE),0),"n.a."))</f>
        <v>0</v>
      </c>
      <c r="O2824" s="16">
        <f>IF(NOT(Paths!$C$263=1),0,IF(Paths!$P$263="Complete",N2824-IF(C2824=0,Paths!$F$263,0),"n.a."))</f>
        <v>0</v>
      </c>
      <c r="P2824" s="16">
        <f>IF(NOT(Paths!$C$263=1),0,IF(Paths!$P$263="Complete",O2824+L2824,"n.a."))</f>
        <v>0</v>
      </c>
      <c r="Q2824" s="16">
        <f>IF(NOT(Paths!$C$263=1),0,IF(Paths!$P$263="Complete",N2824*(1+'Operating costs'!$B$54)^-C2824,"n.a."))</f>
        <v>0</v>
      </c>
      <c r="R2824" s="16">
        <f>IF(NOT(Paths!$C$263=1),0,IF(Paths!$P$263="Complete",IF(AND(C2824=0,Paths!$E$263=0),I2824-J2824-K2824+VLOOKUP(A2824,'Fleet register'!$A$7:$S$106,15,FALSE)+VLOOKUP(A2824,'Fleet register'!$A$7:$S$106,16,FALSE),0),"n.a."))</f>
        <v>0</v>
      </c>
      <c r="S2824" s="1">
        <f>IF(NOT(Paths!$C$263=1),0,IF(Paths!$P$263="Complete",IF(C2824=0,0,Paths!$S$263*Paths!$R$263),"n.a."))</f>
        <v>0</v>
      </c>
      <c r="T2824" s="1">
        <f>IF(NOT(Paths!$C$263=1),0,IF(Paths!$P$263="Complete",IF(C2824=0,0,VLOOKUP(A2824,'Fleet register'!$A$7:$S$106,9,FALSE)*Paths!$R$263),"n.a."))</f>
        <v>0</v>
      </c>
    </row>
    <row r="2825" spans="1:20" ht="24" customHeight="1">
      <c r="A2825" s="1" t="str">
        <f>Paths!$A$263</f>
        <v>T065</v>
      </c>
      <c r="B2825" s="1">
        <f>Paths!$B$263</f>
        <v>0</v>
      </c>
      <c r="C2825" s="1">
        <v>2</v>
      </c>
      <c r="D2825" s="1">
        <v>263</v>
      </c>
      <c r="E2825" s="1">
        <f>IF(OR(Paths!$C$263=0,C2825=0),0,MAX(0,MIN(C2825*12,Paths!$E$263)-(C2825-1)*12))</f>
        <v>0</v>
      </c>
      <c r="F2825" s="1">
        <f>IF(OR(Paths!$C$263=0,C2825=0),0,12-E2825)</f>
        <v>0</v>
      </c>
      <c r="G2825" s="16">
        <f>IF(NOT(Paths!$C$263=1),0,IF(Paths!$P$263="Complete",E2825/12*(Paths!$J$263*(1+'Operating costs'!$B$51)^MAX(0,C2825-1)+Paths!$K$263*(1+'Operating costs'!$B$53)^MAX(0,C2825-1)),"n.a."))</f>
        <v>0</v>
      </c>
      <c r="H2825" s="16">
        <f>IF(NOT(Paths!$C$263=1),0,IF(Paths!$P$263="Complete",F2825/12*(Paths!$L$263*(1+IF(Paths!$D$263="EV",'Operating costs'!$B$52,'Operating costs'!$B$51))^MAX(0,C2825-1)+Paths!$M$263*(1+'Operating costs'!$B$53)^MAX(0,C2825-1)),"n.a."))</f>
        <v>0</v>
      </c>
      <c r="I2825" s="16">
        <f>IF(NOT(Paths!$C$263=1),0,IF(Paths!$P$263="Complete",IF(IF(Paths!$E$263=0,C2825=0,AND(C2825&gt;0,Paths!$E$263&gt;(C2825-1)*12,Paths!$E$263&lt;=C2825*12)),Paths!$G$263,0),"n.a."))</f>
        <v>0</v>
      </c>
      <c r="J2825" s="16">
        <f>IF(NOT(Paths!$C$263=1),0,IF(Paths!$P$263="Complete",IF(IF(Paths!$E$263=0,C2825=0,AND(C2825&gt;0,Paths!$E$263&gt;(C2825-1)*12,Paths!$E$263&lt;=C2825*12)),Paths!$H$263,0),"n.a."))</f>
        <v>0</v>
      </c>
      <c r="K2825" s="16">
        <f>IF(NOT(Paths!$C$263=1),0,IF(Paths!$P$263="Complete",IF(IF(Paths!$O$263=0,C2825=0,AND(C2825&gt;0,Paths!$O$263&gt;(C2825-1)*12,Paths!$O$263&lt;=C2825*12)),Paths!$N$263,0),"n.a."))</f>
        <v>0</v>
      </c>
      <c r="L2825" s="16">
        <f>IF(NOT(Paths!$C$263=1),0,IF(Paths!$P$263="Complete",IF(C2825=10,Paths!$I$263,0),"n.a."))</f>
        <v>0</v>
      </c>
      <c r="M2825" s="16">
        <f>IF(NOT(Paths!$C$263=1),0,IF(Paths!$P$263="Complete",IF(AND(Paths!$D$263="EV",Paths!$E$263&lt;120,Paths!$E$263+'Operating costs'!$B$65&gt;Paths!$E$263,Paths!$E$263+'Operating costs'!$B$65&lt;=120,IF(Paths!$E$263+'Operating costs'!$B$65=0,C2825=0,AND(C2825&gt;0,Paths!$E$263+'Operating costs'!$B$65&gt;(C2825-1)*12,Paths!$E$263+'Operating costs'!$B$65&lt;=C2825*12))),'Operating costs'!$B$64,0)+IF(AND('Operating costs'!$B$67&gt;0,'Operating costs'!$B$67&lt;=120,OR(Paths!$D$263="ICE",'Operating costs'!$B$67&lt;=Paths!$E$263),IF('Operating costs'!$B$67=0,C2825=0,AND(C2825&gt;0,'Operating costs'!$B$67&gt;(C2825-1)*12,'Operating costs'!$B$67&lt;=C2825*12))),'Operating costs'!$B$66,0),"n.a."))</f>
        <v>0</v>
      </c>
      <c r="N2825" s="16">
        <f>IF(NOT(Paths!$C$263=1),0,IF(Paths!$P$263="Complete",SUM(G2825:I2825)-J2825-K2825-L2825+M2825+IF(C2825=0,Paths!$F$263,0)+IF(IF(Paths!$E$263=0,C2825=0,AND(C2825&gt;0,Paths!$E$263&gt;(C2825-1)*12,Paths!$E$263&lt;=C2825*12)),VLOOKUP(A2825,'Fleet register'!$A$7:$S$106,16,FALSE),0),"n.a."))</f>
        <v>0</v>
      </c>
      <c r="O2825" s="16">
        <f>IF(NOT(Paths!$C$263=1),0,IF(Paths!$P$263="Complete",N2825-IF(C2825=0,Paths!$F$263,0),"n.a."))</f>
        <v>0</v>
      </c>
      <c r="P2825" s="16">
        <f>IF(NOT(Paths!$C$263=1),0,IF(Paths!$P$263="Complete",O2825+L2825,"n.a."))</f>
        <v>0</v>
      </c>
      <c r="Q2825" s="16">
        <f>IF(NOT(Paths!$C$263=1),0,IF(Paths!$P$263="Complete",N2825*(1+'Operating costs'!$B$54)^-C2825,"n.a."))</f>
        <v>0</v>
      </c>
      <c r="R2825" s="16">
        <f>IF(NOT(Paths!$C$263=1),0,IF(Paths!$P$263="Complete",IF(AND(C2825=0,Paths!$E$263=0),I2825-J2825-K2825+VLOOKUP(A2825,'Fleet register'!$A$7:$S$106,15,FALSE)+VLOOKUP(A2825,'Fleet register'!$A$7:$S$106,16,FALSE),0),"n.a."))</f>
        <v>0</v>
      </c>
      <c r="S2825" s="1">
        <f>IF(NOT(Paths!$C$263=1),0,IF(Paths!$P$263="Complete",IF(C2825=0,0,Paths!$S$263*Paths!$R$263),"n.a."))</f>
        <v>0</v>
      </c>
      <c r="T2825" s="1">
        <f>IF(NOT(Paths!$C$263=1),0,IF(Paths!$P$263="Complete",IF(C2825=0,0,VLOOKUP(A2825,'Fleet register'!$A$7:$S$106,9,FALSE)*Paths!$R$263),"n.a."))</f>
        <v>0</v>
      </c>
    </row>
    <row r="2826" spans="1:20" ht="24" customHeight="1">
      <c r="A2826" s="1" t="str">
        <f>Paths!$A$263</f>
        <v>T065</v>
      </c>
      <c r="B2826" s="1">
        <f>Paths!$B$263</f>
        <v>0</v>
      </c>
      <c r="C2826" s="1">
        <v>3</v>
      </c>
      <c r="D2826" s="1">
        <v>263</v>
      </c>
      <c r="E2826" s="1">
        <f>IF(OR(Paths!$C$263=0,C2826=0),0,MAX(0,MIN(C2826*12,Paths!$E$263)-(C2826-1)*12))</f>
        <v>0</v>
      </c>
      <c r="F2826" s="1">
        <f>IF(OR(Paths!$C$263=0,C2826=0),0,12-E2826)</f>
        <v>0</v>
      </c>
      <c r="G2826" s="16">
        <f>IF(NOT(Paths!$C$263=1),0,IF(Paths!$P$263="Complete",E2826/12*(Paths!$J$263*(1+'Operating costs'!$B$51)^MAX(0,C2826-1)+Paths!$K$263*(1+'Operating costs'!$B$53)^MAX(0,C2826-1)),"n.a."))</f>
        <v>0</v>
      </c>
      <c r="H2826" s="16">
        <f>IF(NOT(Paths!$C$263=1),0,IF(Paths!$P$263="Complete",F2826/12*(Paths!$L$263*(1+IF(Paths!$D$263="EV",'Operating costs'!$B$52,'Operating costs'!$B$51))^MAX(0,C2826-1)+Paths!$M$263*(1+'Operating costs'!$B$53)^MAX(0,C2826-1)),"n.a."))</f>
        <v>0</v>
      </c>
      <c r="I2826" s="16">
        <f>IF(NOT(Paths!$C$263=1),0,IF(Paths!$P$263="Complete",IF(IF(Paths!$E$263=0,C2826=0,AND(C2826&gt;0,Paths!$E$263&gt;(C2826-1)*12,Paths!$E$263&lt;=C2826*12)),Paths!$G$263,0),"n.a."))</f>
        <v>0</v>
      </c>
      <c r="J2826" s="16">
        <f>IF(NOT(Paths!$C$263=1),0,IF(Paths!$P$263="Complete",IF(IF(Paths!$E$263=0,C2826=0,AND(C2826&gt;0,Paths!$E$263&gt;(C2826-1)*12,Paths!$E$263&lt;=C2826*12)),Paths!$H$263,0),"n.a."))</f>
        <v>0</v>
      </c>
      <c r="K2826" s="16">
        <f>IF(NOT(Paths!$C$263=1),0,IF(Paths!$P$263="Complete",IF(IF(Paths!$O$263=0,C2826=0,AND(C2826&gt;0,Paths!$O$263&gt;(C2826-1)*12,Paths!$O$263&lt;=C2826*12)),Paths!$N$263,0),"n.a."))</f>
        <v>0</v>
      </c>
      <c r="L2826" s="16">
        <f>IF(NOT(Paths!$C$263=1),0,IF(Paths!$P$263="Complete",IF(C2826=10,Paths!$I$263,0),"n.a."))</f>
        <v>0</v>
      </c>
      <c r="M2826" s="16">
        <f>IF(NOT(Paths!$C$263=1),0,IF(Paths!$P$263="Complete",IF(AND(Paths!$D$263="EV",Paths!$E$263&lt;120,Paths!$E$263+'Operating costs'!$B$65&gt;Paths!$E$263,Paths!$E$263+'Operating costs'!$B$65&lt;=120,IF(Paths!$E$263+'Operating costs'!$B$65=0,C2826=0,AND(C2826&gt;0,Paths!$E$263+'Operating costs'!$B$65&gt;(C2826-1)*12,Paths!$E$263+'Operating costs'!$B$65&lt;=C2826*12))),'Operating costs'!$B$64,0)+IF(AND('Operating costs'!$B$67&gt;0,'Operating costs'!$B$67&lt;=120,OR(Paths!$D$263="ICE",'Operating costs'!$B$67&lt;=Paths!$E$263),IF('Operating costs'!$B$67=0,C2826=0,AND(C2826&gt;0,'Operating costs'!$B$67&gt;(C2826-1)*12,'Operating costs'!$B$67&lt;=C2826*12))),'Operating costs'!$B$66,0),"n.a."))</f>
        <v>0</v>
      </c>
      <c r="N2826" s="16">
        <f>IF(NOT(Paths!$C$263=1),0,IF(Paths!$P$263="Complete",SUM(G2826:I2826)-J2826-K2826-L2826+M2826+IF(C2826=0,Paths!$F$263,0)+IF(IF(Paths!$E$263=0,C2826=0,AND(C2826&gt;0,Paths!$E$263&gt;(C2826-1)*12,Paths!$E$263&lt;=C2826*12)),VLOOKUP(A2826,'Fleet register'!$A$7:$S$106,16,FALSE),0),"n.a."))</f>
        <v>0</v>
      </c>
      <c r="O2826" s="16">
        <f>IF(NOT(Paths!$C$263=1),0,IF(Paths!$P$263="Complete",N2826-IF(C2826=0,Paths!$F$263,0),"n.a."))</f>
        <v>0</v>
      </c>
      <c r="P2826" s="16">
        <f>IF(NOT(Paths!$C$263=1),0,IF(Paths!$P$263="Complete",O2826+L2826,"n.a."))</f>
        <v>0</v>
      </c>
      <c r="Q2826" s="16">
        <f>IF(NOT(Paths!$C$263=1),0,IF(Paths!$P$263="Complete",N2826*(1+'Operating costs'!$B$54)^-C2826,"n.a."))</f>
        <v>0</v>
      </c>
      <c r="R2826" s="16">
        <f>IF(NOT(Paths!$C$263=1),0,IF(Paths!$P$263="Complete",IF(AND(C2826=0,Paths!$E$263=0),I2826-J2826-K2826+VLOOKUP(A2826,'Fleet register'!$A$7:$S$106,15,FALSE)+VLOOKUP(A2826,'Fleet register'!$A$7:$S$106,16,FALSE),0),"n.a."))</f>
        <v>0</v>
      </c>
      <c r="S2826" s="1">
        <f>IF(NOT(Paths!$C$263=1),0,IF(Paths!$P$263="Complete",IF(C2826=0,0,Paths!$S$263*Paths!$R$263),"n.a."))</f>
        <v>0</v>
      </c>
      <c r="T2826" s="1">
        <f>IF(NOT(Paths!$C$263=1),0,IF(Paths!$P$263="Complete",IF(C2826=0,0,VLOOKUP(A2826,'Fleet register'!$A$7:$S$106,9,FALSE)*Paths!$R$263),"n.a."))</f>
        <v>0</v>
      </c>
    </row>
    <row r="2827" spans="1:20" ht="24" customHeight="1">
      <c r="A2827" s="1" t="str">
        <f>Paths!$A$263</f>
        <v>T065</v>
      </c>
      <c r="B2827" s="1">
        <f>Paths!$B$263</f>
        <v>0</v>
      </c>
      <c r="C2827" s="1">
        <v>4</v>
      </c>
      <c r="D2827" s="1">
        <v>263</v>
      </c>
      <c r="E2827" s="1">
        <f>IF(OR(Paths!$C$263=0,C2827=0),0,MAX(0,MIN(C2827*12,Paths!$E$263)-(C2827-1)*12))</f>
        <v>0</v>
      </c>
      <c r="F2827" s="1">
        <f>IF(OR(Paths!$C$263=0,C2827=0),0,12-E2827)</f>
        <v>0</v>
      </c>
      <c r="G2827" s="16">
        <f>IF(NOT(Paths!$C$263=1),0,IF(Paths!$P$263="Complete",E2827/12*(Paths!$J$263*(1+'Operating costs'!$B$51)^MAX(0,C2827-1)+Paths!$K$263*(1+'Operating costs'!$B$53)^MAX(0,C2827-1)),"n.a."))</f>
        <v>0</v>
      </c>
      <c r="H2827" s="16">
        <f>IF(NOT(Paths!$C$263=1),0,IF(Paths!$P$263="Complete",F2827/12*(Paths!$L$263*(1+IF(Paths!$D$263="EV",'Operating costs'!$B$52,'Operating costs'!$B$51))^MAX(0,C2827-1)+Paths!$M$263*(1+'Operating costs'!$B$53)^MAX(0,C2827-1)),"n.a."))</f>
        <v>0</v>
      </c>
      <c r="I2827" s="16">
        <f>IF(NOT(Paths!$C$263=1),0,IF(Paths!$P$263="Complete",IF(IF(Paths!$E$263=0,C2827=0,AND(C2827&gt;0,Paths!$E$263&gt;(C2827-1)*12,Paths!$E$263&lt;=C2827*12)),Paths!$G$263,0),"n.a."))</f>
        <v>0</v>
      </c>
      <c r="J2827" s="16">
        <f>IF(NOT(Paths!$C$263=1),0,IF(Paths!$P$263="Complete",IF(IF(Paths!$E$263=0,C2827=0,AND(C2827&gt;0,Paths!$E$263&gt;(C2827-1)*12,Paths!$E$263&lt;=C2827*12)),Paths!$H$263,0),"n.a."))</f>
        <v>0</v>
      </c>
      <c r="K2827" s="16">
        <f>IF(NOT(Paths!$C$263=1),0,IF(Paths!$P$263="Complete",IF(IF(Paths!$O$263=0,C2827=0,AND(C2827&gt;0,Paths!$O$263&gt;(C2827-1)*12,Paths!$O$263&lt;=C2827*12)),Paths!$N$263,0),"n.a."))</f>
        <v>0</v>
      </c>
      <c r="L2827" s="16">
        <f>IF(NOT(Paths!$C$263=1),0,IF(Paths!$P$263="Complete",IF(C2827=10,Paths!$I$263,0),"n.a."))</f>
        <v>0</v>
      </c>
      <c r="M2827" s="16">
        <f>IF(NOT(Paths!$C$263=1),0,IF(Paths!$P$263="Complete",IF(AND(Paths!$D$263="EV",Paths!$E$263&lt;120,Paths!$E$263+'Operating costs'!$B$65&gt;Paths!$E$263,Paths!$E$263+'Operating costs'!$B$65&lt;=120,IF(Paths!$E$263+'Operating costs'!$B$65=0,C2827=0,AND(C2827&gt;0,Paths!$E$263+'Operating costs'!$B$65&gt;(C2827-1)*12,Paths!$E$263+'Operating costs'!$B$65&lt;=C2827*12))),'Operating costs'!$B$64,0)+IF(AND('Operating costs'!$B$67&gt;0,'Operating costs'!$B$67&lt;=120,OR(Paths!$D$263="ICE",'Operating costs'!$B$67&lt;=Paths!$E$263),IF('Operating costs'!$B$67=0,C2827=0,AND(C2827&gt;0,'Operating costs'!$B$67&gt;(C2827-1)*12,'Operating costs'!$B$67&lt;=C2827*12))),'Operating costs'!$B$66,0),"n.a."))</f>
        <v>0</v>
      </c>
      <c r="N2827" s="16">
        <f>IF(NOT(Paths!$C$263=1),0,IF(Paths!$P$263="Complete",SUM(G2827:I2827)-J2827-K2827-L2827+M2827+IF(C2827=0,Paths!$F$263,0)+IF(IF(Paths!$E$263=0,C2827=0,AND(C2827&gt;0,Paths!$E$263&gt;(C2827-1)*12,Paths!$E$263&lt;=C2827*12)),VLOOKUP(A2827,'Fleet register'!$A$7:$S$106,16,FALSE),0),"n.a."))</f>
        <v>0</v>
      </c>
      <c r="O2827" s="16">
        <f>IF(NOT(Paths!$C$263=1),0,IF(Paths!$P$263="Complete",N2827-IF(C2827=0,Paths!$F$263,0),"n.a."))</f>
        <v>0</v>
      </c>
      <c r="P2827" s="16">
        <f>IF(NOT(Paths!$C$263=1),0,IF(Paths!$P$263="Complete",O2827+L2827,"n.a."))</f>
        <v>0</v>
      </c>
      <c r="Q2827" s="16">
        <f>IF(NOT(Paths!$C$263=1),0,IF(Paths!$P$263="Complete",N2827*(1+'Operating costs'!$B$54)^-C2827,"n.a."))</f>
        <v>0</v>
      </c>
      <c r="R2827" s="16">
        <f>IF(NOT(Paths!$C$263=1),0,IF(Paths!$P$263="Complete",IF(AND(C2827=0,Paths!$E$263=0),I2827-J2827-K2827+VLOOKUP(A2827,'Fleet register'!$A$7:$S$106,15,FALSE)+VLOOKUP(A2827,'Fleet register'!$A$7:$S$106,16,FALSE),0),"n.a."))</f>
        <v>0</v>
      </c>
      <c r="S2827" s="1">
        <f>IF(NOT(Paths!$C$263=1),0,IF(Paths!$P$263="Complete",IF(C2827=0,0,Paths!$S$263*Paths!$R$263),"n.a."))</f>
        <v>0</v>
      </c>
      <c r="T2827" s="1">
        <f>IF(NOT(Paths!$C$263=1),0,IF(Paths!$P$263="Complete",IF(C2827=0,0,VLOOKUP(A2827,'Fleet register'!$A$7:$S$106,9,FALSE)*Paths!$R$263),"n.a."))</f>
        <v>0</v>
      </c>
    </row>
    <row r="2828" spans="1:20" ht="24" customHeight="1">
      <c r="A2828" s="1" t="str">
        <f>Paths!$A$263</f>
        <v>T065</v>
      </c>
      <c r="B2828" s="1">
        <f>Paths!$B$263</f>
        <v>0</v>
      </c>
      <c r="C2828" s="1">
        <v>5</v>
      </c>
      <c r="D2828" s="1">
        <v>263</v>
      </c>
      <c r="E2828" s="1">
        <f>IF(OR(Paths!$C$263=0,C2828=0),0,MAX(0,MIN(C2828*12,Paths!$E$263)-(C2828-1)*12))</f>
        <v>0</v>
      </c>
      <c r="F2828" s="1">
        <f>IF(OR(Paths!$C$263=0,C2828=0),0,12-E2828)</f>
        <v>0</v>
      </c>
      <c r="G2828" s="16">
        <f>IF(NOT(Paths!$C$263=1),0,IF(Paths!$P$263="Complete",E2828/12*(Paths!$J$263*(1+'Operating costs'!$B$51)^MAX(0,C2828-1)+Paths!$K$263*(1+'Operating costs'!$B$53)^MAX(0,C2828-1)),"n.a."))</f>
        <v>0</v>
      </c>
      <c r="H2828" s="16">
        <f>IF(NOT(Paths!$C$263=1),0,IF(Paths!$P$263="Complete",F2828/12*(Paths!$L$263*(1+IF(Paths!$D$263="EV",'Operating costs'!$B$52,'Operating costs'!$B$51))^MAX(0,C2828-1)+Paths!$M$263*(1+'Operating costs'!$B$53)^MAX(0,C2828-1)),"n.a."))</f>
        <v>0</v>
      </c>
      <c r="I2828" s="16">
        <f>IF(NOT(Paths!$C$263=1),0,IF(Paths!$P$263="Complete",IF(IF(Paths!$E$263=0,C2828=0,AND(C2828&gt;0,Paths!$E$263&gt;(C2828-1)*12,Paths!$E$263&lt;=C2828*12)),Paths!$G$263,0),"n.a."))</f>
        <v>0</v>
      </c>
      <c r="J2828" s="16">
        <f>IF(NOT(Paths!$C$263=1),0,IF(Paths!$P$263="Complete",IF(IF(Paths!$E$263=0,C2828=0,AND(C2828&gt;0,Paths!$E$263&gt;(C2828-1)*12,Paths!$E$263&lt;=C2828*12)),Paths!$H$263,0),"n.a."))</f>
        <v>0</v>
      </c>
      <c r="K2828" s="16">
        <f>IF(NOT(Paths!$C$263=1),0,IF(Paths!$P$263="Complete",IF(IF(Paths!$O$263=0,C2828=0,AND(C2828&gt;0,Paths!$O$263&gt;(C2828-1)*12,Paths!$O$263&lt;=C2828*12)),Paths!$N$263,0),"n.a."))</f>
        <v>0</v>
      </c>
      <c r="L2828" s="16">
        <f>IF(NOT(Paths!$C$263=1),0,IF(Paths!$P$263="Complete",IF(C2828=10,Paths!$I$263,0),"n.a."))</f>
        <v>0</v>
      </c>
      <c r="M2828" s="16">
        <f>IF(NOT(Paths!$C$263=1),0,IF(Paths!$P$263="Complete",IF(AND(Paths!$D$263="EV",Paths!$E$263&lt;120,Paths!$E$263+'Operating costs'!$B$65&gt;Paths!$E$263,Paths!$E$263+'Operating costs'!$B$65&lt;=120,IF(Paths!$E$263+'Operating costs'!$B$65=0,C2828=0,AND(C2828&gt;0,Paths!$E$263+'Operating costs'!$B$65&gt;(C2828-1)*12,Paths!$E$263+'Operating costs'!$B$65&lt;=C2828*12))),'Operating costs'!$B$64,0)+IF(AND('Operating costs'!$B$67&gt;0,'Operating costs'!$B$67&lt;=120,OR(Paths!$D$263="ICE",'Operating costs'!$B$67&lt;=Paths!$E$263),IF('Operating costs'!$B$67=0,C2828=0,AND(C2828&gt;0,'Operating costs'!$B$67&gt;(C2828-1)*12,'Operating costs'!$B$67&lt;=C2828*12))),'Operating costs'!$B$66,0),"n.a."))</f>
        <v>0</v>
      </c>
      <c r="N2828" s="16">
        <f>IF(NOT(Paths!$C$263=1),0,IF(Paths!$P$263="Complete",SUM(G2828:I2828)-J2828-K2828-L2828+M2828+IF(C2828=0,Paths!$F$263,0)+IF(IF(Paths!$E$263=0,C2828=0,AND(C2828&gt;0,Paths!$E$263&gt;(C2828-1)*12,Paths!$E$263&lt;=C2828*12)),VLOOKUP(A2828,'Fleet register'!$A$7:$S$106,16,FALSE),0),"n.a."))</f>
        <v>0</v>
      </c>
      <c r="O2828" s="16">
        <f>IF(NOT(Paths!$C$263=1),0,IF(Paths!$P$263="Complete",N2828-IF(C2828=0,Paths!$F$263,0),"n.a."))</f>
        <v>0</v>
      </c>
      <c r="P2828" s="16">
        <f>IF(NOT(Paths!$C$263=1),0,IF(Paths!$P$263="Complete",O2828+L2828,"n.a."))</f>
        <v>0</v>
      </c>
      <c r="Q2828" s="16">
        <f>IF(NOT(Paths!$C$263=1),0,IF(Paths!$P$263="Complete",N2828*(1+'Operating costs'!$B$54)^-C2828,"n.a."))</f>
        <v>0</v>
      </c>
      <c r="R2828" s="16">
        <f>IF(NOT(Paths!$C$263=1),0,IF(Paths!$P$263="Complete",IF(AND(C2828=0,Paths!$E$263=0),I2828-J2828-K2828+VLOOKUP(A2828,'Fleet register'!$A$7:$S$106,15,FALSE)+VLOOKUP(A2828,'Fleet register'!$A$7:$S$106,16,FALSE),0),"n.a."))</f>
        <v>0</v>
      </c>
      <c r="S2828" s="1">
        <f>IF(NOT(Paths!$C$263=1),0,IF(Paths!$P$263="Complete",IF(C2828=0,0,Paths!$S$263*Paths!$R$263),"n.a."))</f>
        <v>0</v>
      </c>
      <c r="T2828" s="1">
        <f>IF(NOT(Paths!$C$263=1),0,IF(Paths!$P$263="Complete",IF(C2828=0,0,VLOOKUP(A2828,'Fleet register'!$A$7:$S$106,9,FALSE)*Paths!$R$263),"n.a."))</f>
        <v>0</v>
      </c>
    </row>
    <row r="2829" spans="1:20" ht="24" customHeight="1">
      <c r="A2829" s="1" t="str">
        <f>Paths!$A$263</f>
        <v>T065</v>
      </c>
      <c r="B2829" s="1">
        <f>Paths!$B$263</f>
        <v>0</v>
      </c>
      <c r="C2829" s="1">
        <v>6</v>
      </c>
      <c r="D2829" s="1">
        <v>263</v>
      </c>
      <c r="E2829" s="1">
        <f>IF(OR(Paths!$C$263=0,C2829=0),0,MAX(0,MIN(C2829*12,Paths!$E$263)-(C2829-1)*12))</f>
        <v>0</v>
      </c>
      <c r="F2829" s="1">
        <f>IF(OR(Paths!$C$263=0,C2829=0),0,12-E2829)</f>
        <v>0</v>
      </c>
      <c r="G2829" s="16">
        <f>IF(NOT(Paths!$C$263=1),0,IF(Paths!$P$263="Complete",E2829/12*(Paths!$J$263*(1+'Operating costs'!$B$51)^MAX(0,C2829-1)+Paths!$K$263*(1+'Operating costs'!$B$53)^MAX(0,C2829-1)),"n.a."))</f>
        <v>0</v>
      </c>
      <c r="H2829" s="16">
        <f>IF(NOT(Paths!$C$263=1),0,IF(Paths!$P$263="Complete",F2829/12*(Paths!$L$263*(1+IF(Paths!$D$263="EV",'Operating costs'!$B$52,'Operating costs'!$B$51))^MAX(0,C2829-1)+Paths!$M$263*(1+'Operating costs'!$B$53)^MAX(0,C2829-1)),"n.a."))</f>
        <v>0</v>
      </c>
      <c r="I2829" s="16">
        <f>IF(NOT(Paths!$C$263=1),0,IF(Paths!$P$263="Complete",IF(IF(Paths!$E$263=0,C2829=0,AND(C2829&gt;0,Paths!$E$263&gt;(C2829-1)*12,Paths!$E$263&lt;=C2829*12)),Paths!$G$263,0),"n.a."))</f>
        <v>0</v>
      </c>
      <c r="J2829" s="16">
        <f>IF(NOT(Paths!$C$263=1),0,IF(Paths!$P$263="Complete",IF(IF(Paths!$E$263=0,C2829=0,AND(C2829&gt;0,Paths!$E$263&gt;(C2829-1)*12,Paths!$E$263&lt;=C2829*12)),Paths!$H$263,0),"n.a."))</f>
        <v>0</v>
      </c>
      <c r="K2829" s="16">
        <f>IF(NOT(Paths!$C$263=1),0,IF(Paths!$P$263="Complete",IF(IF(Paths!$O$263=0,C2829=0,AND(C2829&gt;0,Paths!$O$263&gt;(C2829-1)*12,Paths!$O$263&lt;=C2829*12)),Paths!$N$263,0),"n.a."))</f>
        <v>0</v>
      </c>
      <c r="L2829" s="16">
        <f>IF(NOT(Paths!$C$263=1),0,IF(Paths!$P$263="Complete",IF(C2829=10,Paths!$I$263,0),"n.a."))</f>
        <v>0</v>
      </c>
      <c r="M2829" s="16">
        <f>IF(NOT(Paths!$C$263=1),0,IF(Paths!$P$263="Complete",IF(AND(Paths!$D$263="EV",Paths!$E$263&lt;120,Paths!$E$263+'Operating costs'!$B$65&gt;Paths!$E$263,Paths!$E$263+'Operating costs'!$B$65&lt;=120,IF(Paths!$E$263+'Operating costs'!$B$65=0,C2829=0,AND(C2829&gt;0,Paths!$E$263+'Operating costs'!$B$65&gt;(C2829-1)*12,Paths!$E$263+'Operating costs'!$B$65&lt;=C2829*12))),'Operating costs'!$B$64,0)+IF(AND('Operating costs'!$B$67&gt;0,'Operating costs'!$B$67&lt;=120,OR(Paths!$D$263="ICE",'Operating costs'!$B$67&lt;=Paths!$E$263),IF('Operating costs'!$B$67=0,C2829=0,AND(C2829&gt;0,'Operating costs'!$B$67&gt;(C2829-1)*12,'Operating costs'!$B$67&lt;=C2829*12))),'Operating costs'!$B$66,0),"n.a."))</f>
        <v>0</v>
      </c>
      <c r="N2829" s="16">
        <f>IF(NOT(Paths!$C$263=1),0,IF(Paths!$P$263="Complete",SUM(G2829:I2829)-J2829-K2829-L2829+M2829+IF(C2829=0,Paths!$F$263,0)+IF(IF(Paths!$E$263=0,C2829=0,AND(C2829&gt;0,Paths!$E$263&gt;(C2829-1)*12,Paths!$E$263&lt;=C2829*12)),VLOOKUP(A2829,'Fleet register'!$A$7:$S$106,16,FALSE),0),"n.a."))</f>
        <v>0</v>
      </c>
      <c r="O2829" s="16">
        <f>IF(NOT(Paths!$C$263=1),0,IF(Paths!$P$263="Complete",N2829-IF(C2829=0,Paths!$F$263,0),"n.a."))</f>
        <v>0</v>
      </c>
      <c r="P2829" s="16">
        <f>IF(NOT(Paths!$C$263=1),0,IF(Paths!$P$263="Complete",O2829+L2829,"n.a."))</f>
        <v>0</v>
      </c>
      <c r="Q2829" s="16">
        <f>IF(NOT(Paths!$C$263=1),0,IF(Paths!$P$263="Complete",N2829*(1+'Operating costs'!$B$54)^-C2829,"n.a."))</f>
        <v>0</v>
      </c>
      <c r="R2829" s="16">
        <f>IF(NOT(Paths!$C$263=1),0,IF(Paths!$P$263="Complete",IF(AND(C2829=0,Paths!$E$263=0),I2829-J2829-K2829+VLOOKUP(A2829,'Fleet register'!$A$7:$S$106,15,FALSE)+VLOOKUP(A2829,'Fleet register'!$A$7:$S$106,16,FALSE),0),"n.a."))</f>
        <v>0</v>
      </c>
      <c r="S2829" s="1">
        <f>IF(NOT(Paths!$C$263=1),0,IF(Paths!$P$263="Complete",IF(C2829=0,0,Paths!$S$263*Paths!$R$263),"n.a."))</f>
        <v>0</v>
      </c>
      <c r="T2829" s="1">
        <f>IF(NOT(Paths!$C$263=1),0,IF(Paths!$P$263="Complete",IF(C2829=0,0,VLOOKUP(A2829,'Fleet register'!$A$7:$S$106,9,FALSE)*Paths!$R$263),"n.a."))</f>
        <v>0</v>
      </c>
    </row>
    <row r="2830" spans="1:20" ht="24" customHeight="1">
      <c r="A2830" s="1" t="str">
        <f>Paths!$A$263</f>
        <v>T065</v>
      </c>
      <c r="B2830" s="1">
        <f>Paths!$B$263</f>
        <v>0</v>
      </c>
      <c r="C2830" s="1">
        <v>7</v>
      </c>
      <c r="D2830" s="1">
        <v>263</v>
      </c>
      <c r="E2830" s="1">
        <f>IF(OR(Paths!$C$263=0,C2830=0),0,MAX(0,MIN(C2830*12,Paths!$E$263)-(C2830-1)*12))</f>
        <v>0</v>
      </c>
      <c r="F2830" s="1">
        <f>IF(OR(Paths!$C$263=0,C2830=0),0,12-E2830)</f>
        <v>0</v>
      </c>
      <c r="G2830" s="16">
        <f>IF(NOT(Paths!$C$263=1),0,IF(Paths!$P$263="Complete",E2830/12*(Paths!$J$263*(1+'Operating costs'!$B$51)^MAX(0,C2830-1)+Paths!$K$263*(1+'Operating costs'!$B$53)^MAX(0,C2830-1)),"n.a."))</f>
        <v>0</v>
      </c>
      <c r="H2830" s="16">
        <f>IF(NOT(Paths!$C$263=1),0,IF(Paths!$P$263="Complete",F2830/12*(Paths!$L$263*(1+IF(Paths!$D$263="EV",'Operating costs'!$B$52,'Operating costs'!$B$51))^MAX(0,C2830-1)+Paths!$M$263*(1+'Operating costs'!$B$53)^MAX(0,C2830-1)),"n.a."))</f>
        <v>0</v>
      </c>
      <c r="I2830" s="16">
        <f>IF(NOT(Paths!$C$263=1),0,IF(Paths!$P$263="Complete",IF(IF(Paths!$E$263=0,C2830=0,AND(C2830&gt;0,Paths!$E$263&gt;(C2830-1)*12,Paths!$E$263&lt;=C2830*12)),Paths!$G$263,0),"n.a."))</f>
        <v>0</v>
      </c>
      <c r="J2830" s="16">
        <f>IF(NOT(Paths!$C$263=1),0,IF(Paths!$P$263="Complete",IF(IF(Paths!$E$263=0,C2830=0,AND(C2830&gt;0,Paths!$E$263&gt;(C2830-1)*12,Paths!$E$263&lt;=C2830*12)),Paths!$H$263,0),"n.a."))</f>
        <v>0</v>
      </c>
      <c r="K2830" s="16">
        <f>IF(NOT(Paths!$C$263=1),0,IF(Paths!$P$263="Complete",IF(IF(Paths!$O$263=0,C2830=0,AND(C2830&gt;0,Paths!$O$263&gt;(C2830-1)*12,Paths!$O$263&lt;=C2830*12)),Paths!$N$263,0),"n.a."))</f>
        <v>0</v>
      </c>
      <c r="L2830" s="16">
        <f>IF(NOT(Paths!$C$263=1),0,IF(Paths!$P$263="Complete",IF(C2830=10,Paths!$I$263,0),"n.a."))</f>
        <v>0</v>
      </c>
      <c r="M2830" s="16">
        <f>IF(NOT(Paths!$C$263=1),0,IF(Paths!$P$263="Complete",IF(AND(Paths!$D$263="EV",Paths!$E$263&lt;120,Paths!$E$263+'Operating costs'!$B$65&gt;Paths!$E$263,Paths!$E$263+'Operating costs'!$B$65&lt;=120,IF(Paths!$E$263+'Operating costs'!$B$65=0,C2830=0,AND(C2830&gt;0,Paths!$E$263+'Operating costs'!$B$65&gt;(C2830-1)*12,Paths!$E$263+'Operating costs'!$B$65&lt;=C2830*12))),'Operating costs'!$B$64,0)+IF(AND('Operating costs'!$B$67&gt;0,'Operating costs'!$B$67&lt;=120,OR(Paths!$D$263="ICE",'Operating costs'!$B$67&lt;=Paths!$E$263),IF('Operating costs'!$B$67=0,C2830=0,AND(C2830&gt;0,'Operating costs'!$B$67&gt;(C2830-1)*12,'Operating costs'!$B$67&lt;=C2830*12))),'Operating costs'!$B$66,0),"n.a."))</f>
        <v>0</v>
      </c>
      <c r="N2830" s="16">
        <f>IF(NOT(Paths!$C$263=1),0,IF(Paths!$P$263="Complete",SUM(G2830:I2830)-J2830-K2830-L2830+M2830+IF(C2830=0,Paths!$F$263,0)+IF(IF(Paths!$E$263=0,C2830=0,AND(C2830&gt;0,Paths!$E$263&gt;(C2830-1)*12,Paths!$E$263&lt;=C2830*12)),VLOOKUP(A2830,'Fleet register'!$A$7:$S$106,16,FALSE),0),"n.a."))</f>
        <v>0</v>
      </c>
      <c r="O2830" s="16">
        <f>IF(NOT(Paths!$C$263=1),0,IF(Paths!$P$263="Complete",N2830-IF(C2830=0,Paths!$F$263,0),"n.a."))</f>
        <v>0</v>
      </c>
      <c r="P2830" s="16">
        <f>IF(NOT(Paths!$C$263=1),0,IF(Paths!$P$263="Complete",O2830+L2830,"n.a."))</f>
        <v>0</v>
      </c>
      <c r="Q2830" s="16">
        <f>IF(NOT(Paths!$C$263=1),0,IF(Paths!$P$263="Complete",N2830*(1+'Operating costs'!$B$54)^-C2830,"n.a."))</f>
        <v>0</v>
      </c>
      <c r="R2830" s="16">
        <f>IF(NOT(Paths!$C$263=1),0,IF(Paths!$P$263="Complete",IF(AND(C2830=0,Paths!$E$263=0),I2830-J2830-K2830+VLOOKUP(A2830,'Fleet register'!$A$7:$S$106,15,FALSE)+VLOOKUP(A2830,'Fleet register'!$A$7:$S$106,16,FALSE),0),"n.a."))</f>
        <v>0</v>
      </c>
      <c r="S2830" s="1">
        <f>IF(NOT(Paths!$C$263=1),0,IF(Paths!$P$263="Complete",IF(C2830=0,0,Paths!$S$263*Paths!$R$263),"n.a."))</f>
        <v>0</v>
      </c>
      <c r="T2830" s="1">
        <f>IF(NOT(Paths!$C$263=1),0,IF(Paths!$P$263="Complete",IF(C2830=0,0,VLOOKUP(A2830,'Fleet register'!$A$7:$S$106,9,FALSE)*Paths!$R$263),"n.a."))</f>
        <v>0</v>
      </c>
    </row>
    <row r="2831" spans="1:20" ht="24" customHeight="1">
      <c r="A2831" s="1" t="str">
        <f>Paths!$A$263</f>
        <v>T065</v>
      </c>
      <c r="B2831" s="1">
        <f>Paths!$B$263</f>
        <v>0</v>
      </c>
      <c r="C2831" s="1">
        <v>8</v>
      </c>
      <c r="D2831" s="1">
        <v>263</v>
      </c>
      <c r="E2831" s="1">
        <f>IF(OR(Paths!$C$263=0,C2831=0),0,MAX(0,MIN(C2831*12,Paths!$E$263)-(C2831-1)*12))</f>
        <v>0</v>
      </c>
      <c r="F2831" s="1">
        <f>IF(OR(Paths!$C$263=0,C2831=0),0,12-E2831)</f>
        <v>0</v>
      </c>
      <c r="G2831" s="16">
        <f>IF(NOT(Paths!$C$263=1),0,IF(Paths!$P$263="Complete",E2831/12*(Paths!$J$263*(1+'Operating costs'!$B$51)^MAX(0,C2831-1)+Paths!$K$263*(1+'Operating costs'!$B$53)^MAX(0,C2831-1)),"n.a."))</f>
        <v>0</v>
      </c>
      <c r="H2831" s="16">
        <f>IF(NOT(Paths!$C$263=1),0,IF(Paths!$P$263="Complete",F2831/12*(Paths!$L$263*(1+IF(Paths!$D$263="EV",'Operating costs'!$B$52,'Operating costs'!$B$51))^MAX(0,C2831-1)+Paths!$M$263*(1+'Operating costs'!$B$53)^MAX(0,C2831-1)),"n.a."))</f>
        <v>0</v>
      </c>
      <c r="I2831" s="16">
        <f>IF(NOT(Paths!$C$263=1),0,IF(Paths!$P$263="Complete",IF(IF(Paths!$E$263=0,C2831=0,AND(C2831&gt;0,Paths!$E$263&gt;(C2831-1)*12,Paths!$E$263&lt;=C2831*12)),Paths!$G$263,0),"n.a."))</f>
        <v>0</v>
      </c>
      <c r="J2831" s="16">
        <f>IF(NOT(Paths!$C$263=1),0,IF(Paths!$P$263="Complete",IF(IF(Paths!$E$263=0,C2831=0,AND(C2831&gt;0,Paths!$E$263&gt;(C2831-1)*12,Paths!$E$263&lt;=C2831*12)),Paths!$H$263,0),"n.a."))</f>
        <v>0</v>
      </c>
      <c r="K2831" s="16">
        <f>IF(NOT(Paths!$C$263=1),0,IF(Paths!$P$263="Complete",IF(IF(Paths!$O$263=0,C2831=0,AND(C2831&gt;0,Paths!$O$263&gt;(C2831-1)*12,Paths!$O$263&lt;=C2831*12)),Paths!$N$263,0),"n.a."))</f>
        <v>0</v>
      </c>
      <c r="L2831" s="16">
        <f>IF(NOT(Paths!$C$263=1),0,IF(Paths!$P$263="Complete",IF(C2831=10,Paths!$I$263,0),"n.a."))</f>
        <v>0</v>
      </c>
      <c r="M2831" s="16">
        <f>IF(NOT(Paths!$C$263=1),0,IF(Paths!$P$263="Complete",IF(AND(Paths!$D$263="EV",Paths!$E$263&lt;120,Paths!$E$263+'Operating costs'!$B$65&gt;Paths!$E$263,Paths!$E$263+'Operating costs'!$B$65&lt;=120,IF(Paths!$E$263+'Operating costs'!$B$65=0,C2831=0,AND(C2831&gt;0,Paths!$E$263+'Operating costs'!$B$65&gt;(C2831-1)*12,Paths!$E$263+'Operating costs'!$B$65&lt;=C2831*12))),'Operating costs'!$B$64,0)+IF(AND('Operating costs'!$B$67&gt;0,'Operating costs'!$B$67&lt;=120,OR(Paths!$D$263="ICE",'Operating costs'!$B$67&lt;=Paths!$E$263),IF('Operating costs'!$B$67=0,C2831=0,AND(C2831&gt;0,'Operating costs'!$B$67&gt;(C2831-1)*12,'Operating costs'!$B$67&lt;=C2831*12))),'Operating costs'!$B$66,0),"n.a."))</f>
        <v>0</v>
      </c>
      <c r="N2831" s="16">
        <f>IF(NOT(Paths!$C$263=1),0,IF(Paths!$P$263="Complete",SUM(G2831:I2831)-J2831-K2831-L2831+M2831+IF(C2831=0,Paths!$F$263,0)+IF(IF(Paths!$E$263=0,C2831=0,AND(C2831&gt;0,Paths!$E$263&gt;(C2831-1)*12,Paths!$E$263&lt;=C2831*12)),VLOOKUP(A2831,'Fleet register'!$A$7:$S$106,16,FALSE),0),"n.a."))</f>
        <v>0</v>
      </c>
      <c r="O2831" s="16">
        <f>IF(NOT(Paths!$C$263=1),0,IF(Paths!$P$263="Complete",N2831-IF(C2831=0,Paths!$F$263,0),"n.a."))</f>
        <v>0</v>
      </c>
      <c r="P2831" s="16">
        <f>IF(NOT(Paths!$C$263=1),0,IF(Paths!$P$263="Complete",O2831+L2831,"n.a."))</f>
        <v>0</v>
      </c>
      <c r="Q2831" s="16">
        <f>IF(NOT(Paths!$C$263=1),0,IF(Paths!$P$263="Complete",N2831*(1+'Operating costs'!$B$54)^-C2831,"n.a."))</f>
        <v>0</v>
      </c>
      <c r="R2831" s="16">
        <f>IF(NOT(Paths!$C$263=1),0,IF(Paths!$P$263="Complete",IF(AND(C2831=0,Paths!$E$263=0),I2831-J2831-K2831+VLOOKUP(A2831,'Fleet register'!$A$7:$S$106,15,FALSE)+VLOOKUP(A2831,'Fleet register'!$A$7:$S$106,16,FALSE),0),"n.a."))</f>
        <v>0</v>
      </c>
      <c r="S2831" s="1">
        <f>IF(NOT(Paths!$C$263=1),0,IF(Paths!$P$263="Complete",IF(C2831=0,0,Paths!$S$263*Paths!$R$263),"n.a."))</f>
        <v>0</v>
      </c>
      <c r="T2831" s="1">
        <f>IF(NOT(Paths!$C$263=1),0,IF(Paths!$P$263="Complete",IF(C2831=0,0,VLOOKUP(A2831,'Fleet register'!$A$7:$S$106,9,FALSE)*Paths!$R$263),"n.a."))</f>
        <v>0</v>
      </c>
    </row>
    <row r="2832" spans="1:20" ht="24" customHeight="1">
      <c r="A2832" s="1" t="str">
        <f>Paths!$A$263</f>
        <v>T065</v>
      </c>
      <c r="B2832" s="1">
        <f>Paths!$B$263</f>
        <v>0</v>
      </c>
      <c r="C2832" s="1">
        <v>9</v>
      </c>
      <c r="D2832" s="1">
        <v>263</v>
      </c>
      <c r="E2832" s="1">
        <f>IF(OR(Paths!$C$263=0,C2832=0),0,MAX(0,MIN(C2832*12,Paths!$E$263)-(C2832-1)*12))</f>
        <v>0</v>
      </c>
      <c r="F2832" s="1">
        <f>IF(OR(Paths!$C$263=0,C2832=0),0,12-E2832)</f>
        <v>0</v>
      </c>
      <c r="G2832" s="16">
        <f>IF(NOT(Paths!$C$263=1),0,IF(Paths!$P$263="Complete",E2832/12*(Paths!$J$263*(1+'Operating costs'!$B$51)^MAX(0,C2832-1)+Paths!$K$263*(1+'Operating costs'!$B$53)^MAX(0,C2832-1)),"n.a."))</f>
        <v>0</v>
      </c>
      <c r="H2832" s="16">
        <f>IF(NOT(Paths!$C$263=1),0,IF(Paths!$P$263="Complete",F2832/12*(Paths!$L$263*(1+IF(Paths!$D$263="EV",'Operating costs'!$B$52,'Operating costs'!$B$51))^MAX(0,C2832-1)+Paths!$M$263*(1+'Operating costs'!$B$53)^MAX(0,C2832-1)),"n.a."))</f>
        <v>0</v>
      </c>
      <c r="I2832" s="16">
        <f>IF(NOT(Paths!$C$263=1),0,IF(Paths!$P$263="Complete",IF(IF(Paths!$E$263=0,C2832=0,AND(C2832&gt;0,Paths!$E$263&gt;(C2832-1)*12,Paths!$E$263&lt;=C2832*12)),Paths!$G$263,0),"n.a."))</f>
        <v>0</v>
      </c>
      <c r="J2832" s="16">
        <f>IF(NOT(Paths!$C$263=1),0,IF(Paths!$P$263="Complete",IF(IF(Paths!$E$263=0,C2832=0,AND(C2832&gt;0,Paths!$E$263&gt;(C2832-1)*12,Paths!$E$263&lt;=C2832*12)),Paths!$H$263,0),"n.a."))</f>
        <v>0</v>
      </c>
      <c r="K2832" s="16">
        <f>IF(NOT(Paths!$C$263=1),0,IF(Paths!$P$263="Complete",IF(IF(Paths!$O$263=0,C2832=0,AND(C2832&gt;0,Paths!$O$263&gt;(C2832-1)*12,Paths!$O$263&lt;=C2832*12)),Paths!$N$263,0),"n.a."))</f>
        <v>0</v>
      </c>
      <c r="L2832" s="16">
        <f>IF(NOT(Paths!$C$263=1),0,IF(Paths!$P$263="Complete",IF(C2832=10,Paths!$I$263,0),"n.a."))</f>
        <v>0</v>
      </c>
      <c r="M2832" s="16">
        <f>IF(NOT(Paths!$C$263=1),0,IF(Paths!$P$263="Complete",IF(AND(Paths!$D$263="EV",Paths!$E$263&lt;120,Paths!$E$263+'Operating costs'!$B$65&gt;Paths!$E$263,Paths!$E$263+'Operating costs'!$B$65&lt;=120,IF(Paths!$E$263+'Operating costs'!$B$65=0,C2832=0,AND(C2832&gt;0,Paths!$E$263+'Operating costs'!$B$65&gt;(C2832-1)*12,Paths!$E$263+'Operating costs'!$B$65&lt;=C2832*12))),'Operating costs'!$B$64,0)+IF(AND('Operating costs'!$B$67&gt;0,'Operating costs'!$B$67&lt;=120,OR(Paths!$D$263="ICE",'Operating costs'!$B$67&lt;=Paths!$E$263),IF('Operating costs'!$B$67=0,C2832=0,AND(C2832&gt;0,'Operating costs'!$B$67&gt;(C2832-1)*12,'Operating costs'!$B$67&lt;=C2832*12))),'Operating costs'!$B$66,0),"n.a."))</f>
        <v>0</v>
      </c>
      <c r="N2832" s="16">
        <f>IF(NOT(Paths!$C$263=1),0,IF(Paths!$P$263="Complete",SUM(G2832:I2832)-J2832-K2832-L2832+M2832+IF(C2832=0,Paths!$F$263,0)+IF(IF(Paths!$E$263=0,C2832=0,AND(C2832&gt;0,Paths!$E$263&gt;(C2832-1)*12,Paths!$E$263&lt;=C2832*12)),VLOOKUP(A2832,'Fleet register'!$A$7:$S$106,16,FALSE),0),"n.a."))</f>
        <v>0</v>
      </c>
      <c r="O2832" s="16">
        <f>IF(NOT(Paths!$C$263=1),0,IF(Paths!$P$263="Complete",N2832-IF(C2832=0,Paths!$F$263,0),"n.a."))</f>
        <v>0</v>
      </c>
      <c r="P2832" s="16">
        <f>IF(NOT(Paths!$C$263=1),0,IF(Paths!$P$263="Complete",O2832+L2832,"n.a."))</f>
        <v>0</v>
      </c>
      <c r="Q2832" s="16">
        <f>IF(NOT(Paths!$C$263=1),0,IF(Paths!$P$263="Complete",N2832*(1+'Operating costs'!$B$54)^-C2832,"n.a."))</f>
        <v>0</v>
      </c>
      <c r="R2832" s="16">
        <f>IF(NOT(Paths!$C$263=1),0,IF(Paths!$P$263="Complete",IF(AND(C2832=0,Paths!$E$263=0),I2832-J2832-K2832+VLOOKUP(A2832,'Fleet register'!$A$7:$S$106,15,FALSE)+VLOOKUP(A2832,'Fleet register'!$A$7:$S$106,16,FALSE),0),"n.a."))</f>
        <v>0</v>
      </c>
      <c r="S2832" s="1">
        <f>IF(NOT(Paths!$C$263=1),0,IF(Paths!$P$263="Complete",IF(C2832=0,0,Paths!$S$263*Paths!$R$263),"n.a."))</f>
        <v>0</v>
      </c>
      <c r="T2832" s="1">
        <f>IF(NOT(Paths!$C$263=1),0,IF(Paths!$P$263="Complete",IF(C2832=0,0,VLOOKUP(A2832,'Fleet register'!$A$7:$S$106,9,FALSE)*Paths!$R$263),"n.a."))</f>
        <v>0</v>
      </c>
    </row>
    <row r="2833" spans="1:20" ht="24" customHeight="1">
      <c r="A2833" s="1" t="str">
        <f>Paths!$A$263</f>
        <v>T065</v>
      </c>
      <c r="B2833" s="1">
        <f>Paths!$B$263</f>
        <v>0</v>
      </c>
      <c r="C2833" s="1">
        <v>10</v>
      </c>
      <c r="D2833" s="1">
        <v>263</v>
      </c>
      <c r="E2833" s="1">
        <f>IF(OR(Paths!$C$263=0,C2833=0),0,MAX(0,MIN(C2833*12,Paths!$E$263)-(C2833-1)*12))</f>
        <v>0</v>
      </c>
      <c r="F2833" s="1">
        <f>IF(OR(Paths!$C$263=0,C2833=0),0,12-E2833)</f>
        <v>0</v>
      </c>
      <c r="G2833" s="16">
        <f>IF(NOT(Paths!$C$263=1),0,IF(Paths!$P$263="Complete",E2833/12*(Paths!$J$263*(1+'Operating costs'!$B$51)^MAX(0,C2833-1)+Paths!$K$263*(1+'Operating costs'!$B$53)^MAX(0,C2833-1)),"n.a."))</f>
        <v>0</v>
      </c>
      <c r="H2833" s="16">
        <f>IF(NOT(Paths!$C$263=1),0,IF(Paths!$P$263="Complete",F2833/12*(Paths!$L$263*(1+IF(Paths!$D$263="EV",'Operating costs'!$B$52,'Operating costs'!$B$51))^MAX(0,C2833-1)+Paths!$M$263*(1+'Operating costs'!$B$53)^MAX(0,C2833-1)),"n.a."))</f>
        <v>0</v>
      </c>
      <c r="I2833" s="16">
        <f>IF(NOT(Paths!$C$263=1),0,IF(Paths!$P$263="Complete",IF(IF(Paths!$E$263=0,C2833=0,AND(C2833&gt;0,Paths!$E$263&gt;(C2833-1)*12,Paths!$E$263&lt;=C2833*12)),Paths!$G$263,0),"n.a."))</f>
        <v>0</v>
      </c>
      <c r="J2833" s="16">
        <f>IF(NOT(Paths!$C$263=1),0,IF(Paths!$P$263="Complete",IF(IF(Paths!$E$263=0,C2833=0,AND(C2833&gt;0,Paths!$E$263&gt;(C2833-1)*12,Paths!$E$263&lt;=C2833*12)),Paths!$H$263,0),"n.a."))</f>
        <v>0</v>
      </c>
      <c r="K2833" s="16">
        <f>IF(NOT(Paths!$C$263=1),0,IF(Paths!$P$263="Complete",IF(IF(Paths!$O$263=0,C2833=0,AND(C2833&gt;0,Paths!$O$263&gt;(C2833-1)*12,Paths!$O$263&lt;=C2833*12)),Paths!$N$263,0),"n.a."))</f>
        <v>0</v>
      </c>
      <c r="L2833" s="16">
        <f>IF(NOT(Paths!$C$263=1),0,IF(Paths!$P$263="Complete",IF(C2833=10,Paths!$I$263,0),"n.a."))</f>
        <v>0</v>
      </c>
      <c r="M2833" s="16">
        <f>IF(NOT(Paths!$C$263=1),0,IF(Paths!$P$263="Complete",IF(AND(Paths!$D$263="EV",Paths!$E$263&lt;120,Paths!$E$263+'Operating costs'!$B$65&gt;Paths!$E$263,Paths!$E$263+'Operating costs'!$B$65&lt;=120,IF(Paths!$E$263+'Operating costs'!$B$65=0,C2833=0,AND(C2833&gt;0,Paths!$E$263+'Operating costs'!$B$65&gt;(C2833-1)*12,Paths!$E$263+'Operating costs'!$B$65&lt;=C2833*12))),'Operating costs'!$B$64,0)+IF(AND('Operating costs'!$B$67&gt;0,'Operating costs'!$B$67&lt;=120,OR(Paths!$D$263="ICE",'Operating costs'!$B$67&lt;=Paths!$E$263),IF('Operating costs'!$B$67=0,C2833=0,AND(C2833&gt;0,'Operating costs'!$B$67&gt;(C2833-1)*12,'Operating costs'!$B$67&lt;=C2833*12))),'Operating costs'!$B$66,0),"n.a."))</f>
        <v>0</v>
      </c>
      <c r="N2833" s="16">
        <f>IF(NOT(Paths!$C$263=1),0,IF(Paths!$P$263="Complete",SUM(G2833:I2833)-J2833-K2833-L2833+M2833+IF(C2833=0,Paths!$F$263,0)+IF(IF(Paths!$E$263=0,C2833=0,AND(C2833&gt;0,Paths!$E$263&gt;(C2833-1)*12,Paths!$E$263&lt;=C2833*12)),VLOOKUP(A2833,'Fleet register'!$A$7:$S$106,16,FALSE),0),"n.a."))</f>
        <v>0</v>
      </c>
      <c r="O2833" s="16">
        <f>IF(NOT(Paths!$C$263=1),0,IF(Paths!$P$263="Complete",N2833-IF(C2833=0,Paths!$F$263,0),"n.a."))</f>
        <v>0</v>
      </c>
      <c r="P2833" s="16">
        <f>IF(NOT(Paths!$C$263=1),0,IF(Paths!$P$263="Complete",O2833+L2833,"n.a."))</f>
        <v>0</v>
      </c>
      <c r="Q2833" s="16">
        <f>IF(NOT(Paths!$C$263=1),0,IF(Paths!$P$263="Complete",N2833*(1+'Operating costs'!$B$54)^-C2833,"n.a."))</f>
        <v>0</v>
      </c>
      <c r="R2833" s="16">
        <f>IF(NOT(Paths!$C$263=1),0,IF(Paths!$P$263="Complete",IF(AND(C2833=0,Paths!$E$263=0),I2833-J2833-K2833+VLOOKUP(A2833,'Fleet register'!$A$7:$S$106,15,FALSE)+VLOOKUP(A2833,'Fleet register'!$A$7:$S$106,16,FALSE),0),"n.a."))</f>
        <v>0</v>
      </c>
      <c r="S2833" s="1">
        <f>IF(NOT(Paths!$C$263=1),0,IF(Paths!$P$263="Complete",IF(C2833=0,0,Paths!$S$263*Paths!$R$263),"n.a."))</f>
        <v>0</v>
      </c>
      <c r="T2833" s="1">
        <f>IF(NOT(Paths!$C$263=1),0,IF(Paths!$P$263="Complete",IF(C2833=0,0,VLOOKUP(A2833,'Fleet register'!$A$7:$S$106,9,FALSE)*Paths!$R$263),"n.a."))</f>
        <v>0</v>
      </c>
    </row>
    <row r="2834" spans="1:20" ht="24" customHeight="1">
      <c r="A2834" s="1" t="str">
        <f>Paths!$A$264</f>
        <v>T065</v>
      </c>
      <c r="B2834" s="1">
        <f>Paths!$B$264</f>
        <v>1</v>
      </c>
      <c r="C2834" s="1">
        <v>0</v>
      </c>
      <c r="D2834" s="1">
        <v>264</v>
      </c>
      <c r="E2834" s="1">
        <f>IF(OR(Paths!$C$264=0,C2834=0),0,MAX(0,MIN(C2834*12,Paths!$E$264)-(C2834-1)*12))</f>
        <v>0</v>
      </c>
      <c r="F2834" s="1">
        <f>IF(OR(Paths!$C$264=0,C2834=0),0,12-E2834)</f>
        <v>0</v>
      </c>
      <c r="G2834" s="16">
        <f>IF(NOT(Paths!$C$264=1),0,IF(Paths!$P$264="Complete",E2834/12*(Paths!$J$264*(1+'Operating costs'!$B$51)^MAX(0,C2834-1)+Paths!$K$264*(1+'Operating costs'!$B$53)^MAX(0,C2834-1)),"n.a."))</f>
        <v>0</v>
      </c>
      <c r="H2834" s="16">
        <f>IF(NOT(Paths!$C$264=1),0,IF(Paths!$P$264="Complete",F2834/12*(Paths!$L$264*(1+IF(Paths!$D$264="EV",'Operating costs'!$B$52,'Operating costs'!$B$51))^MAX(0,C2834-1)+Paths!$M$264*(1+'Operating costs'!$B$53)^MAX(0,C2834-1)),"n.a."))</f>
        <v>0</v>
      </c>
      <c r="I2834" s="16">
        <f>IF(NOT(Paths!$C$264=1),0,IF(Paths!$P$264="Complete",IF(IF(Paths!$E$264=0,C2834=0,AND(C2834&gt;0,Paths!$E$264&gt;(C2834-1)*12,Paths!$E$264&lt;=C2834*12)),Paths!$G$264,0),"n.a."))</f>
        <v>0</v>
      </c>
      <c r="J2834" s="16">
        <f>IF(NOT(Paths!$C$264=1),0,IF(Paths!$P$264="Complete",IF(IF(Paths!$E$264=0,C2834=0,AND(C2834&gt;0,Paths!$E$264&gt;(C2834-1)*12,Paths!$E$264&lt;=C2834*12)),Paths!$H$264,0),"n.a."))</f>
        <v>0</v>
      </c>
      <c r="K2834" s="16">
        <f>IF(NOT(Paths!$C$264=1),0,IF(Paths!$P$264="Complete",IF(IF(Paths!$O$264=0,C2834=0,AND(C2834&gt;0,Paths!$O$264&gt;(C2834-1)*12,Paths!$O$264&lt;=C2834*12)),Paths!$N$264,0),"n.a."))</f>
        <v>0</v>
      </c>
      <c r="L2834" s="16">
        <f>IF(NOT(Paths!$C$264=1),0,IF(Paths!$P$264="Complete",IF(C2834=10,Paths!$I$264,0),"n.a."))</f>
        <v>0</v>
      </c>
      <c r="M2834" s="16">
        <f>IF(NOT(Paths!$C$264=1),0,IF(Paths!$P$264="Complete",IF(AND(Paths!$D$264="EV",Paths!$E$264&lt;120,Paths!$E$264+'Operating costs'!$B$65&gt;Paths!$E$264,Paths!$E$264+'Operating costs'!$B$65&lt;=120,IF(Paths!$E$264+'Operating costs'!$B$65=0,C2834=0,AND(C2834&gt;0,Paths!$E$264+'Operating costs'!$B$65&gt;(C2834-1)*12,Paths!$E$264+'Operating costs'!$B$65&lt;=C2834*12))),'Operating costs'!$B$64,0)+IF(AND('Operating costs'!$B$67&gt;0,'Operating costs'!$B$67&lt;=120,OR(Paths!$D$264="ICE",'Operating costs'!$B$67&lt;=Paths!$E$264),IF('Operating costs'!$B$67=0,C2834=0,AND(C2834&gt;0,'Operating costs'!$B$67&gt;(C2834-1)*12,'Operating costs'!$B$67&lt;=C2834*12))),'Operating costs'!$B$66,0),"n.a."))</f>
        <v>0</v>
      </c>
      <c r="N2834" s="16">
        <f>IF(NOT(Paths!$C$264=1),0,IF(Paths!$P$264="Complete",SUM(G2834:I2834)-J2834-K2834-L2834+M2834+IF(C2834=0,Paths!$F$264,0)+IF(IF(Paths!$E$264=0,C2834=0,AND(C2834&gt;0,Paths!$E$264&gt;(C2834-1)*12,Paths!$E$264&lt;=C2834*12)),VLOOKUP(A2834,'Fleet register'!$A$7:$S$106,16,FALSE),0),"n.a."))</f>
        <v>0</v>
      </c>
      <c r="O2834" s="16">
        <f>IF(NOT(Paths!$C$264=1),0,IF(Paths!$P$264="Complete",N2834-IF(C2834=0,Paths!$F$264,0),"n.a."))</f>
        <v>0</v>
      </c>
      <c r="P2834" s="16">
        <f>IF(NOT(Paths!$C$264=1),0,IF(Paths!$P$264="Complete",O2834+L2834,"n.a."))</f>
        <v>0</v>
      </c>
      <c r="Q2834" s="16">
        <f>IF(NOT(Paths!$C$264=1),0,IF(Paths!$P$264="Complete",N2834*(1+'Operating costs'!$B$54)^-C2834,"n.a."))</f>
        <v>0</v>
      </c>
      <c r="R2834" s="16">
        <f>IF(NOT(Paths!$C$264=1),0,IF(Paths!$P$264="Complete",IF(AND(C2834=0,Paths!$E$264=0),I2834-J2834-K2834+VLOOKUP(A2834,'Fleet register'!$A$7:$S$106,15,FALSE)+VLOOKUP(A2834,'Fleet register'!$A$7:$S$106,16,FALSE),0),"n.a."))</f>
        <v>0</v>
      </c>
      <c r="S2834" s="1">
        <f>IF(NOT(Paths!$C$264=1),0,IF(Paths!$P$264="Complete",IF(C2834=0,0,Paths!$S$264*Paths!$R$264),"n.a."))</f>
        <v>0</v>
      </c>
      <c r="T2834" s="1">
        <f>IF(NOT(Paths!$C$264=1),0,IF(Paths!$P$264="Complete",IF(C2834=0,0,VLOOKUP(A2834,'Fleet register'!$A$7:$S$106,9,FALSE)*Paths!$R$264),"n.a."))</f>
        <v>0</v>
      </c>
    </row>
    <row r="2835" spans="1:20" ht="24" customHeight="1">
      <c r="A2835" s="1" t="str">
        <f>Paths!$A$264</f>
        <v>T065</v>
      </c>
      <c r="B2835" s="1">
        <f>Paths!$B$264</f>
        <v>1</v>
      </c>
      <c r="C2835" s="1">
        <v>1</v>
      </c>
      <c r="D2835" s="1">
        <v>264</v>
      </c>
      <c r="E2835" s="1">
        <f>IF(OR(Paths!$C$264=0,C2835=0),0,MAX(0,MIN(C2835*12,Paths!$E$264)-(C2835-1)*12))</f>
        <v>0</v>
      </c>
      <c r="F2835" s="1">
        <f>IF(OR(Paths!$C$264=0,C2835=0),0,12-E2835)</f>
        <v>0</v>
      </c>
      <c r="G2835" s="16">
        <f>IF(NOT(Paths!$C$264=1),0,IF(Paths!$P$264="Complete",E2835/12*(Paths!$J$264*(1+'Operating costs'!$B$51)^MAX(0,C2835-1)+Paths!$K$264*(1+'Operating costs'!$B$53)^MAX(0,C2835-1)),"n.a."))</f>
        <v>0</v>
      </c>
      <c r="H2835" s="16">
        <f>IF(NOT(Paths!$C$264=1),0,IF(Paths!$P$264="Complete",F2835/12*(Paths!$L$264*(1+IF(Paths!$D$264="EV",'Operating costs'!$B$52,'Operating costs'!$B$51))^MAX(0,C2835-1)+Paths!$M$264*(1+'Operating costs'!$B$53)^MAX(0,C2835-1)),"n.a."))</f>
        <v>0</v>
      </c>
      <c r="I2835" s="16">
        <f>IF(NOT(Paths!$C$264=1),0,IF(Paths!$P$264="Complete",IF(IF(Paths!$E$264=0,C2835=0,AND(C2835&gt;0,Paths!$E$264&gt;(C2835-1)*12,Paths!$E$264&lt;=C2835*12)),Paths!$G$264,0),"n.a."))</f>
        <v>0</v>
      </c>
      <c r="J2835" s="16">
        <f>IF(NOT(Paths!$C$264=1),0,IF(Paths!$P$264="Complete",IF(IF(Paths!$E$264=0,C2835=0,AND(C2835&gt;0,Paths!$E$264&gt;(C2835-1)*12,Paths!$E$264&lt;=C2835*12)),Paths!$H$264,0),"n.a."))</f>
        <v>0</v>
      </c>
      <c r="K2835" s="16">
        <f>IF(NOT(Paths!$C$264=1),0,IF(Paths!$P$264="Complete",IF(IF(Paths!$O$264=0,C2835=0,AND(C2835&gt;0,Paths!$O$264&gt;(C2835-1)*12,Paths!$O$264&lt;=C2835*12)),Paths!$N$264,0),"n.a."))</f>
        <v>0</v>
      </c>
      <c r="L2835" s="16">
        <f>IF(NOT(Paths!$C$264=1),0,IF(Paths!$P$264="Complete",IF(C2835=10,Paths!$I$264,0),"n.a."))</f>
        <v>0</v>
      </c>
      <c r="M2835" s="16">
        <f>IF(NOT(Paths!$C$264=1),0,IF(Paths!$P$264="Complete",IF(AND(Paths!$D$264="EV",Paths!$E$264&lt;120,Paths!$E$264+'Operating costs'!$B$65&gt;Paths!$E$264,Paths!$E$264+'Operating costs'!$B$65&lt;=120,IF(Paths!$E$264+'Operating costs'!$B$65=0,C2835=0,AND(C2835&gt;0,Paths!$E$264+'Operating costs'!$B$65&gt;(C2835-1)*12,Paths!$E$264+'Operating costs'!$B$65&lt;=C2835*12))),'Operating costs'!$B$64,0)+IF(AND('Operating costs'!$B$67&gt;0,'Operating costs'!$B$67&lt;=120,OR(Paths!$D$264="ICE",'Operating costs'!$B$67&lt;=Paths!$E$264),IF('Operating costs'!$B$67=0,C2835=0,AND(C2835&gt;0,'Operating costs'!$B$67&gt;(C2835-1)*12,'Operating costs'!$B$67&lt;=C2835*12))),'Operating costs'!$B$66,0),"n.a."))</f>
        <v>0</v>
      </c>
      <c r="N2835" s="16">
        <f>IF(NOT(Paths!$C$264=1),0,IF(Paths!$P$264="Complete",SUM(G2835:I2835)-J2835-K2835-L2835+M2835+IF(C2835=0,Paths!$F$264,0)+IF(IF(Paths!$E$264=0,C2835=0,AND(C2835&gt;0,Paths!$E$264&gt;(C2835-1)*12,Paths!$E$264&lt;=C2835*12)),VLOOKUP(A2835,'Fleet register'!$A$7:$S$106,16,FALSE),0),"n.a."))</f>
        <v>0</v>
      </c>
      <c r="O2835" s="16">
        <f>IF(NOT(Paths!$C$264=1),0,IF(Paths!$P$264="Complete",N2835-IF(C2835=0,Paths!$F$264,0),"n.a."))</f>
        <v>0</v>
      </c>
      <c r="P2835" s="16">
        <f>IF(NOT(Paths!$C$264=1),0,IF(Paths!$P$264="Complete",O2835+L2835,"n.a."))</f>
        <v>0</v>
      </c>
      <c r="Q2835" s="16">
        <f>IF(NOT(Paths!$C$264=1),0,IF(Paths!$P$264="Complete",N2835*(1+'Operating costs'!$B$54)^-C2835,"n.a."))</f>
        <v>0</v>
      </c>
      <c r="R2835" s="16">
        <f>IF(NOT(Paths!$C$264=1),0,IF(Paths!$P$264="Complete",IF(AND(C2835=0,Paths!$E$264=0),I2835-J2835-K2835+VLOOKUP(A2835,'Fleet register'!$A$7:$S$106,15,FALSE)+VLOOKUP(A2835,'Fleet register'!$A$7:$S$106,16,FALSE),0),"n.a."))</f>
        <v>0</v>
      </c>
      <c r="S2835" s="1">
        <f>IF(NOT(Paths!$C$264=1),0,IF(Paths!$P$264="Complete",IF(C2835=0,0,Paths!$S$264*Paths!$R$264),"n.a."))</f>
        <v>0</v>
      </c>
      <c r="T2835" s="1">
        <f>IF(NOT(Paths!$C$264=1),0,IF(Paths!$P$264="Complete",IF(C2835=0,0,VLOOKUP(A2835,'Fleet register'!$A$7:$S$106,9,FALSE)*Paths!$R$264),"n.a."))</f>
        <v>0</v>
      </c>
    </row>
    <row r="2836" spans="1:20" ht="24" customHeight="1">
      <c r="A2836" s="1" t="str">
        <f>Paths!$A$264</f>
        <v>T065</v>
      </c>
      <c r="B2836" s="1">
        <f>Paths!$B$264</f>
        <v>1</v>
      </c>
      <c r="C2836" s="1">
        <v>2</v>
      </c>
      <c r="D2836" s="1">
        <v>264</v>
      </c>
      <c r="E2836" s="1">
        <f>IF(OR(Paths!$C$264=0,C2836=0),0,MAX(0,MIN(C2836*12,Paths!$E$264)-(C2836-1)*12))</f>
        <v>0</v>
      </c>
      <c r="F2836" s="1">
        <f>IF(OR(Paths!$C$264=0,C2836=0),0,12-E2836)</f>
        <v>0</v>
      </c>
      <c r="G2836" s="16">
        <f>IF(NOT(Paths!$C$264=1),0,IF(Paths!$P$264="Complete",E2836/12*(Paths!$J$264*(1+'Operating costs'!$B$51)^MAX(0,C2836-1)+Paths!$K$264*(1+'Operating costs'!$B$53)^MAX(0,C2836-1)),"n.a."))</f>
        <v>0</v>
      </c>
      <c r="H2836" s="16">
        <f>IF(NOT(Paths!$C$264=1),0,IF(Paths!$P$264="Complete",F2836/12*(Paths!$L$264*(1+IF(Paths!$D$264="EV",'Operating costs'!$B$52,'Operating costs'!$B$51))^MAX(0,C2836-1)+Paths!$M$264*(1+'Operating costs'!$B$53)^MAX(0,C2836-1)),"n.a."))</f>
        <v>0</v>
      </c>
      <c r="I2836" s="16">
        <f>IF(NOT(Paths!$C$264=1),0,IF(Paths!$P$264="Complete",IF(IF(Paths!$E$264=0,C2836=0,AND(C2836&gt;0,Paths!$E$264&gt;(C2836-1)*12,Paths!$E$264&lt;=C2836*12)),Paths!$G$264,0),"n.a."))</f>
        <v>0</v>
      </c>
      <c r="J2836" s="16">
        <f>IF(NOT(Paths!$C$264=1),0,IF(Paths!$P$264="Complete",IF(IF(Paths!$E$264=0,C2836=0,AND(C2836&gt;0,Paths!$E$264&gt;(C2836-1)*12,Paths!$E$264&lt;=C2836*12)),Paths!$H$264,0),"n.a."))</f>
        <v>0</v>
      </c>
      <c r="K2836" s="16">
        <f>IF(NOT(Paths!$C$264=1),0,IF(Paths!$P$264="Complete",IF(IF(Paths!$O$264=0,C2836=0,AND(C2836&gt;0,Paths!$O$264&gt;(C2836-1)*12,Paths!$O$264&lt;=C2836*12)),Paths!$N$264,0),"n.a."))</f>
        <v>0</v>
      </c>
      <c r="L2836" s="16">
        <f>IF(NOT(Paths!$C$264=1),0,IF(Paths!$P$264="Complete",IF(C2836=10,Paths!$I$264,0),"n.a."))</f>
        <v>0</v>
      </c>
      <c r="M2836" s="16">
        <f>IF(NOT(Paths!$C$264=1),0,IF(Paths!$P$264="Complete",IF(AND(Paths!$D$264="EV",Paths!$E$264&lt;120,Paths!$E$264+'Operating costs'!$B$65&gt;Paths!$E$264,Paths!$E$264+'Operating costs'!$B$65&lt;=120,IF(Paths!$E$264+'Operating costs'!$B$65=0,C2836=0,AND(C2836&gt;0,Paths!$E$264+'Operating costs'!$B$65&gt;(C2836-1)*12,Paths!$E$264+'Operating costs'!$B$65&lt;=C2836*12))),'Operating costs'!$B$64,0)+IF(AND('Operating costs'!$B$67&gt;0,'Operating costs'!$B$67&lt;=120,OR(Paths!$D$264="ICE",'Operating costs'!$B$67&lt;=Paths!$E$264),IF('Operating costs'!$B$67=0,C2836=0,AND(C2836&gt;0,'Operating costs'!$B$67&gt;(C2836-1)*12,'Operating costs'!$B$67&lt;=C2836*12))),'Operating costs'!$B$66,0),"n.a."))</f>
        <v>0</v>
      </c>
      <c r="N2836" s="16">
        <f>IF(NOT(Paths!$C$264=1),0,IF(Paths!$P$264="Complete",SUM(G2836:I2836)-J2836-K2836-L2836+M2836+IF(C2836=0,Paths!$F$264,0)+IF(IF(Paths!$E$264=0,C2836=0,AND(C2836&gt;0,Paths!$E$264&gt;(C2836-1)*12,Paths!$E$264&lt;=C2836*12)),VLOOKUP(A2836,'Fleet register'!$A$7:$S$106,16,FALSE),0),"n.a."))</f>
        <v>0</v>
      </c>
      <c r="O2836" s="16">
        <f>IF(NOT(Paths!$C$264=1),0,IF(Paths!$P$264="Complete",N2836-IF(C2836=0,Paths!$F$264,0),"n.a."))</f>
        <v>0</v>
      </c>
      <c r="P2836" s="16">
        <f>IF(NOT(Paths!$C$264=1),0,IF(Paths!$P$264="Complete",O2836+L2836,"n.a."))</f>
        <v>0</v>
      </c>
      <c r="Q2836" s="16">
        <f>IF(NOT(Paths!$C$264=1),0,IF(Paths!$P$264="Complete",N2836*(1+'Operating costs'!$B$54)^-C2836,"n.a."))</f>
        <v>0</v>
      </c>
      <c r="R2836" s="16">
        <f>IF(NOT(Paths!$C$264=1),0,IF(Paths!$P$264="Complete",IF(AND(C2836=0,Paths!$E$264=0),I2836-J2836-K2836+VLOOKUP(A2836,'Fleet register'!$A$7:$S$106,15,FALSE)+VLOOKUP(A2836,'Fleet register'!$A$7:$S$106,16,FALSE),0),"n.a."))</f>
        <v>0</v>
      </c>
      <c r="S2836" s="1">
        <f>IF(NOT(Paths!$C$264=1),0,IF(Paths!$P$264="Complete",IF(C2836=0,0,Paths!$S$264*Paths!$R$264),"n.a."))</f>
        <v>0</v>
      </c>
      <c r="T2836" s="1">
        <f>IF(NOT(Paths!$C$264=1),0,IF(Paths!$P$264="Complete",IF(C2836=0,0,VLOOKUP(A2836,'Fleet register'!$A$7:$S$106,9,FALSE)*Paths!$R$264),"n.a."))</f>
        <v>0</v>
      </c>
    </row>
    <row r="2837" spans="1:20" ht="24" customHeight="1">
      <c r="A2837" s="1" t="str">
        <f>Paths!$A$264</f>
        <v>T065</v>
      </c>
      <c r="B2837" s="1">
        <f>Paths!$B$264</f>
        <v>1</v>
      </c>
      <c r="C2837" s="1">
        <v>3</v>
      </c>
      <c r="D2837" s="1">
        <v>264</v>
      </c>
      <c r="E2837" s="1">
        <f>IF(OR(Paths!$C$264=0,C2837=0),0,MAX(0,MIN(C2837*12,Paths!$E$264)-(C2837-1)*12))</f>
        <v>0</v>
      </c>
      <c r="F2837" s="1">
        <f>IF(OR(Paths!$C$264=0,C2837=0),0,12-E2837)</f>
        <v>0</v>
      </c>
      <c r="G2837" s="16">
        <f>IF(NOT(Paths!$C$264=1),0,IF(Paths!$P$264="Complete",E2837/12*(Paths!$J$264*(1+'Operating costs'!$B$51)^MAX(0,C2837-1)+Paths!$K$264*(1+'Operating costs'!$B$53)^MAX(0,C2837-1)),"n.a."))</f>
        <v>0</v>
      </c>
      <c r="H2837" s="16">
        <f>IF(NOT(Paths!$C$264=1),0,IF(Paths!$P$264="Complete",F2837/12*(Paths!$L$264*(1+IF(Paths!$D$264="EV",'Operating costs'!$B$52,'Operating costs'!$B$51))^MAX(0,C2837-1)+Paths!$M$264*(1+'Operating costs'!$B$53)^MAX(0,C2837-1)),"n.a."))</f>
        <v>0</v>
      </c>
      <c r="I2837" s="16">
        <f>IF(NOT(Paths!$C$264=1),0,IF(Paths!$P$264="Complete",IF(IF(Paths!$E$264=0,C2837=0,AND(C2837&gt;0,Paths!$E$264&gt;(C2837-1)*12,Paths!$E$264&lt;=C2837*12)),Paths!$G$264,0),"n.a."))</f>
        <v>0</v>
      </c>
      <c r="J2837" s="16">
        <f>IF(NOT(Paths!$C$264=1),0,IF(Paths!$P$264="Complete",IF(IF(Paths!$E$264=0,C2837=0,AND(C2837&gt;0,Paths!$E$264&gt;(C2837-1)*12,Paths!$E$264&lt;=C2837*12)),Paths!$H$264,0),"n.a."))</f>
        <v>0</v>
      </c>
      <c r="K2837" s="16">
        <f>IF(NOT(Paths!$C$264=1),0,IF(Paths!$P$264="Complete",IF(IF(Paths!$O$264=0,C2837=0,AND(C2837&gt;0,Paths!$O$264&gt;(C2837-1)*12,Paths!$O$264&lt;=C2837*12)),Paths!$N$264,0),"n.a."))</f>
        <v>0</v>
      </c>
      <c r="L2837" s="16">
        <f>IF(NOT(Paths!$C$264=1),0,IF(Paths!$P$264="Complete",IF(C2837=10,Paths!$I$264,0),"n.a."))</f>
        <v>0</v>
      </c>
      <c r="M2837" s="16">
        <f>IF(NOT(Paths!$C$264=1),0,IF(Paths!$P$264="Complete",IF(AND(Paths!$D$264="EV",Paths!$E$264&lt;120,Paths!$E$264+'Operating costs'!$B$65&gt;Paths!$E$264,Paths!$E$264+'Operating costs'!$B$65&lt;=120,IF(Paths!$E$264+'Operating costs'!$B$65=0,C2837=0,AND(C2837&gt;0,Paths!$E$264+'Operating costs'!$B$65&gt;(C2837-1)*12,Paths!$E$264+'Operating costs'!$B$65&lt;=C2837*12))),'Operating costs'!$B$64,0)+IF(AND('Operating costs'!$B$67&gt;0,'Operating costs'!$B$67&lt;=120,OR(Paths!$D$264="ICE",'Operating costs'!$B$67&lt;=Paths!$E$264),IF('Operating costs'!$B$67=0,C2837=0,AND(C2837&gt;0,'Operating costs'!$B$67&gt;(C2837-1)*12,'Operating costs'!$B$67&lt;=C2837*12))),'Operating costs'!$B$66,0),"n.a."))</f>
        <v>0</v>
      </c>
      <c r="N2837" s="16">
        <f>IF(NOT(Paths!$C$264=1),0,IF(Paths!$P$264="Complete",SUM(G2837:I2837)-J2837-K2837-L2837+M2837+IF(C2837=0,Paths!$F$264,0)+IF(IF(Paths!$E$264=0,C2837=0,AND(C2837&gt;0,Paths!$E$264&gt;(C2837-1)*12,Paths!$E$264&lt;=C2837*12)),VLOOKUP(A2837,'Fleet register'!$A$7:$S$106,16,FALSE),0),"n.a."))</f>
        <v>0</v>
      </c>
      <c r="O2837" s="16">
        <f>IF(NOT(Paths!$C$264=1),0,IF(Paths!$P$264="Complete",N2837-IF(C2837=0,Paths!$F$264,0),"n.a."))</f>
        <v>0</v>
      </c>
      <c r="P2837" s="16">
        <f>IF(NOT(Paths!$C$264=1),0,IF(Paths!$P$264="Complete",O2837+L2837,"n.a."))</f>
        <v>0</v>
      </c>
      <c r="Q2837" s="16">
        <f>IF(NOT(Paths!$C$264=1),0,IF(Paths!$P$264="Complete",N2837*(1+'Operating costs'!$B$54)^-C2837,"n.a."))</f>
        <v>0</v>
      </c>
      <c r="R2837" s="16">
        <f>IF(NOT(Paths!$C$264=1),0,IF(Paths!$P$264="Complete",IF(AND(C2837=0,Paths!$E$264=0),I2837-J2837-K2837+VLOOKUP(A2837,'Fleet register'!$A$7:$S$106,15,FALSE)+VLOOKUP(A2837,'Fleet register'!$A$7:$S$106,16,FALSE),0),"n.a."))</f>
        <v>0</v>
      </c>
      <c r="S2837" s="1">
        <f>IF(NOT(Paths!$C$264=1),0,IF(Paths!$P$264="Complete",IF(C2837=0,0,Paths!$S$264*Paths!$R$264),"n.a."))</f>
        <v>0</v>
      </c>
      <c r="T2837" s="1">
        <f>IF(NOT(Paths!$C$264=1),0,IF(Paths!$P$264="Complete",IF(C2837=0,0,VLOOKUP(A2837,'Fleet register'!$A$7:$S$106,9,FALSE)*Paths!$R$264),"n.a."))</f>
        <v>0</v>
      </c>
    </row>
    <row r="2838" spans="1:20" ht="24" customHeight="1">
      <c r="A2838" s="1" t="str">
        <f>Paths!$A$264</f>
        <v>T065</v>
      </c>
      <c r="B2838" s="1">
        <f>Paths!$B$264</f>
        <v>1</v>
      </c>
      <c r="C2838" s="1">
        <v>4</v>
      </c>
      <c r="D2838" s="1">
        <v>264</v>
      </c>
      <c r="E2838" s="1">
        <f>IF(OR(Paths!$C$264=0,C2838=0),0,MAX(0,MIN(C2838*12,Paths!$E$264)-(C2838-1)*12))</f>
        <v>0</v>
      </c>
      <c r="F2838" s="1">
        <f>IF(OR(Paths!$C$264=0,C2838=0),0,12-E2838)</f>
        <v>0</v>
      </c>
      <c r="G2838" s="16">
        <f>IF(NOT(Paths!$C$264=1),0,IF(Paths!$P$264="Complete",E2838/12*(Paths!$J$264*(1+'Operating costs'!$B$51)^MAX(0,C2838-1)+Paths!$K$264*(1+'Operating costs'!$B$53)^MAX(0,C2838-1)),"n.a."))</f>
        <v>0</v>
      </c>
      <c r="H2838" s="16">
        <f>IF(NOT(Paths!$C$264=1),0,IF(Paths!$P$264="Complete",F2838/12*(Paths!$L$264*(1+IF(Paths!$D$264="EV",'Operating costs'!$B$52,'Operating costs'!$B$51))^MAX(0,C2838-1)+Paths!$M$264*(1+'Operating costs'!$B$53)^MAX(0,C2838-1)),"n.a."))</f>
        <v>0</v>
      </c>
      <c r="I2838" s="16">
        <f>IF(NOT(Paths!$C$264=1),0,IF(Paths!$P$264="Complete",IF(IF(Paths!$E$264=0,C2838=0,AND(C2838&gt;0,Paths!$E$264&gt;(C2838-1)*12,Paths!$E$264&lt;=C2838*12)),Paths!$G$264,0),"n.a."))</f>
        <v>0</v>
      </c>
      <c r="J2838" s="16">
        <f>IF(NOT(Paths!$C$264=1),0,IF(Paths!$P$264="Complete",IF(IF(Paths!$E$264=0,C2838=0,AND(C2838&gt;0,Paths!$E$264&gt;(C2838-1)*12,Paths!$E$264&lt;=C2838*12)),Paths!$H$264,0),"n.a."))</f>
        <v>0</v>
      </c>
      <c r="K2838" s="16">
        <f>IF(NOT(Paths!$C$264=1),0,IF(Paths!$P$264="Complete",IF(IF(Paths!$O$264=0,C2838=0,AND(C2838&gt;0,Paths!$O$264&gt;(C2838-1)*12,Paths!$O$264&lt;=C2838*12)),Paths!$N$264,0),"n.a."))</f>
        <v>0</v>
      </c>
      <c r="L2838" s="16">
        <f>IF(NOT(Paths!$C$264=1),0,IF(Paths!$P$264="Complete",IF(C2838=10,Paths!$I$264,0),"n.a."))</f>
        <v>0</v>
      </c>
      <c r="M2838" s="16">
        <f>IF(NOT(Paths!$C$264=1),0,IF(Paths!$P$264="Complete",IF(AND(Paths!$D$264="EV",Paths!$E$264&lt;120,Paths!$E$264+'Operating costs'!$B$65&gt;Paths!$E$264,Paths!$E$264+'Operating costs'!$B$65&lt;=120,IF(Paths!$E$264+'Operating costs'!$B$65=0,C2838=0,AND(C2838&gt;0,Paths!$E$264+'Operating costs'!$B$65&gt;(C2838-1)*12,Paths!$E$264+'Operating costs'!$B$65&lt;=C2838*12))),'Operating costs'!$B$64,0)+IF(AND('Operating costs'!$B$67&gt;0,'Operating costs'!$B$67&lt;=120,OR(Paths!$D$264="ICE",'Operating costs'!$B$67&lt;=Paths!$E$264),IF('Operating costs'!$B$67=0,C2838=0,AND(C2838&gt;0,'Operating costs'!$B$67&gt;(C2838-1)*12,'Operating costs'!$B$67&lt;=C2838*12))),'Operating costs'!$B$66,0),"n.a."))</f>
        <v>0</v>
      </c>
      <c r="N2838" s="16">
        <f>IF(NOT(Paths!$C$264=1),0,IF(Paths!$P$264="Complete",SUM(G2838:I2838)-J2838-K2838-L2838+M2838+IF(C2838=0,Paths!$F$264,0)+IF(IF(Paths!$E$264=0,C2838=0,AND(C2838&gt;0,Paths!$E$264&gt;(C2838-1)*12,Paths!$E$264&lt;=C2838*12)),VLOOKUP(A2838,'Fleet register'!$A$7:$S$106,16,FALSE),0),"n.a."))</f>
        <v>0</v>
      </c>
      <c r="O2838" s="16">
        <f>IF(NOT(Paths!$C$264=1),0,IF(Paths!$P$264="Complete",N2838-IF(C2838=0,Paths!$F$264,0),"n.a."))</f>
        <v>0</v>
      </c>
      <c r="P2838" s="16">
        <f>IF(NOT(Paths!$C$264=1),0,IF(Paths!$P$264="Complete",O2838+L2838,"n.a."))</f>
        <v>0</v>
      </c>
      <c r="Q2838" s="16">
        <f>IF(NOT(Paths!$C$264=1),0,IF(Paths!$P$264="Complete",N2838*(1+'Operating costs'!$B$54)^-C2838,"n.a."))</f>
        <v>0</v>
      </c>
      <c r="R2838" s="16">
        <f>IF(NOT(Paths!$C$264=1),0,IF(Paths!$P$264="Complete",IF(AND(C2838=0,Paths!$E$264=0),I2838-J2838-K2838+VLOOKUP(A2838,'Fleet register'!$A$7:$S$106,15,FALSE)+VLOOKUP(A2838,'Fleet register'!$A$7:$S$106,16,FALSE),0),"n.a."))</f>
        <v>0</v>
      </c>
      <c r="S2838" s="1">
        <f>IF(NOT(Paths!$C$264=1),0,IF(Paths!$P$264="Complete",IF(C2838=0,0,Paths!$S$264*Paths!$R$264),"n.a."))</f>
        <v>0</v>
      </c>
      <c r="T2838" s="1">
        <f>IF(NOT(Paths!$C$264=1),0,IF(Paths!$P$264="Complete",IF(C2838=0,0,VLOOKUP(A2838,'Fleet register'!$A$7:$S$106,9,FALSE)*Paths!$R$264),"n.a."))</f>
        <v>0</v>
      </c>
    </row>
    <row r="2839" spans="1:20" ht="24" customHeight="1">
      <c r="A2839" s="1" t="str">
        <f>Paths!$A$264</f>
        <v>T065</v>
      </c>
      <c r="B2839" s="1">
        <f>Paths!$B$264</f>
        <v>1</v>
      </c>
      <c r="C2839" s="1">
        <v>5</v>
      </c>
      <c r="D2839" s="1">
        <v>264</v>
      </c>
      <c r="E2839" s="1">
        <f>IF(OR(Paths!$C$264=0,C2839=0),0,MAX(0,MIN(C2839*12,Paths!$E$264)-(C2839-1)*12))</f>
        <v>0</v>
      </c>
      <c r="F2839" s="1">
        <f>IF(OR(Paths!$C$264=0,C2839=0),0,12-E2839)</f>
        <v>0</v>
      </c>
      <c r="G2839" s="16">
        <f>IF(NOT(Paths!$C$264=1),0,IF(Paths!$P$264="Complete",E2839/12*(Paths!$J$264*(1+'Operating costs'!$B$51)^MAX(0,C2839-1)+Paths!$K$264*(1+'Operating costs'!$B$53)^MAX(0,C2839-1)),"n.a."))</f>
        <v>0</v>
      </c>
      <c r="H2839" s="16">
        <f>IF(NOT(Paths!$C$264=1),0,IF(Paths!$P$264="Complete",F2839/12*(Paths!$L$264*(1+IF(Paths!$D$264="EV",'Operating costs'!$B$52,'Operating costs'!$B$51))^MAX(0,C2839-1)+Paths!$M$264*(1+'Operating costs'!$B$53)^MAX(0,C2839-1)),"n.a."))</f>
        <v>0</v>
      </c>
      <c r="I2839" s="16">
        <f>IF(NOT(Paths!$C$264=1),0,IF(Paths!$P$264="Complete",IF(IF(Paths!$E$264=0,C2839=0,AND(C2839&gt;0,Paths!$E$264&gt;(C2839-1)*12,Paths!$E$264&lt;=C2839*12)),Paths!$G$264,0),"n.a."))</f>
        <v>0</v>
      </c>
      <c r="J2839" s="16">
        <f>IF(NOT(Paths!$C$264=1),0,IF(Paths!$P$264="Complete",IF(IF(Paths!$E$264=0,C2839=0,AND(C2839&gt;0,Paths!$E$264&gt;(C2839-1)*12,Paths!$E$264&lt;=C2839*12)),Paths!$H$264,0),"n.a."))</f>
        <v>0</v>
      </c>
      <c r="K2839" s="16">
        <f>IF(NOT(Paths!$C$264=1),0,IF(Paths!$P$264="Complete",IF(IF(Paths!$O$264=0,C2839=0,AND(C2839&gt;0,Paths!$O$264&gt;(C2839-1)*12,Paths!$O$264&lt;=C2839*12)),Paths!$N$264,0),"n.a."))</f>
        <v>0</v>
      </c>
      <c r="L2839" s="16">
        <f>IF(NOT(Paths!$C$264=1),0,IF(Paths!$P$264="Complete",IF(C2839=10,Paths!$I$264,0),"n.a."))</f>
        <v>0</v>
      </c>
      <c r="M2839" s="16">
        <f>IF(NOT(Paths!$C$264=1),0,IF(Paths!$P$264="Complete",IF(AND(Paths!$D$264="EV",Paths!$E$264&lt;120,Paths!$E$264+'Operating costs'!$B$65&gt;Paths!$E$264,Paths!$E$264+'Operating costs'!$B$65&lt;=120,IF(Paths!$E$264+'Operating costs'!$B$65=0,C2839=0,AND(C2839&gt;0,Paths!$E$264+'Operating costs'!$B$65&gt;(C2839-1)*12,Paths!$E$264+'Operating costs'!$B$65&lt;=C2839*12))),'Operating costs'!$B$64,0)+IF(AND('Operating costs'!$B$67&gt;0,'Operating costs'!$B$67&lt;=120,OR(Paths!$D$264="ICE",'Operating costs'!$B$67&lt;=Paths!$E$264),IF('Operating costs'!$B$67=0,C2839=0,AND(C2839&gt;0,'Operating costs'!$B$67&gt;(C2839-1)*12,'Operating costs'!$B$67&lt;=C2839*12))),'Operating costs'!$B$66,0),"n.a."))</f>
        <v>0</v>
      </c>
      <c r="N2839" s="16">
        <f>IF(NOT(Paths!$C$264=1),0,IF(Paths!$P$264="Complete",SUM(G2839:I2839)-J2839-K2839-L2839+M2839+IF(C2839=0,Paths!$F$264,0)+IF(IF(Paths!$E$264=0,C2839=0,AND(C2839&gt;0,Paths!$E$264&gt;(C2839-1)*12,Paths!$E$264&lt;=C2839*12)),VLOOKUP(A2839,'Fleet register'!$A$7:$S$106,16,FALSE),0),"n.a."))</f>
        <v>0</v>
      </c>
      <c r="O2839" s="16">
        <f>IF(NOT(Paths!$C$264=1),0,IF(Paths!$P$264="Complete",N2839-IF(C2839=0,Paths!$F$264,0),"n.a."))</f>
        <v>0</v>
      </c>
      <c r="P2839" s="16">
        <f>IF(NOT(Paths!$C$264=1),0,IF(Paths!$P$264="Complete",O2839+L2839,"n.a."))</f>
        <v>0</v>
      </c>
      <c r="Q2839" s="16">
        <f>IF(NOT(Paths!$C$264=1),0,IF(Paths!$P$264="Complete",N2839*(1+'Operating costs'!$B$54)^-C2839,"n.a."))</f>
        <v>0</v>
      </c>
      <c r="R2839" s="16">
        <f>IF(NOT(Paths!$C$264=1),0,IF(Paths!$P$264="Complete",IF(AND(C2839=0,Paths!$E$264=0),I2839-J2839-K2839+VLOOKUP(A2839,'Fleet register'!$A$7:$S$106,15,FALSE)+VLOOKUP(A2839,'Fleet register'!$A$7:$S$106,16,FALSE),0),"n.a."))</f>
        <v>0</v>
      </c>
      <c r="S2839" s="1">
        <f>IF(NOT(Paths!$C$264=1),0,IF(Paths!$P$264="Complete",IF(C2839=0,0,Paths!$S$264*Paths!$R$264),"n.a."))</f>
        <v>0</v>
      </c>
      <c r="T2839" s="1">
        <f>IF(NOT(Paths!$C$264=1),0,IF(Paths!$P$264="Complete",IF(C2839=0,0,VLOOKUP(A2839,'Fleet register'!$A$7:$S$106,9,FALSE)*Paths!$R$264),"n.a."))</f>
        <v>0</v>
      </c>
    </row>
    <row r="2840" spans="1:20" ht="24" customHeight="1">
      <c r="A2840" s="1" t="str">
        <f>Paths!$A$264</f>
        <v>T065</v>
      </c>
      <c r="B2840" s="1">
        <f>Paths!$B$264</f>
        <v>1</v>
      </c>
      <c r="C2840" s="1">
        <v>6</v>
      </c>
      <c r="D2840" s="1">
        <v>264</v>
      </c>
      <c r="E2840" s="1">
        <f>IF(OR(Paths!$C$264=0,C2840=0),0,MAX(0,MIN(C2840*12,Paths!$E$264)-(C2840-1)*12))</f>
        <v>0</v>
      </c>
      <c r="F2840" s="1">
        <f>IF(OR(Paths!$C$264=0,C2840=0),0,12-E2840)</f>
        <v>0</v>
      </c>
      <c r="G2840" s="16">
        <f>IF(NOT(Paths!$C$264=1),0,IF(Paths!$P$264="Complete",E2840/12*(Paths!$J$264*(1+'Operating costs'!$B$51)^MAX(0,C2840-1)+Paths!$K$264*(1+'Operating costs'!$B$53)^MAX(0,C2840-1)),"n.a."))</f>
        <v>0</v>
      </c>
      <c r="H2840" s="16">
        <f>IF(NOT(Paths!$C$264=1),0,IF(Paths!$P$264="Complete",F2840/12*(Paths!$L$264*(1+IF(Paths!$D$264="EV",'Operating costs'!$B$52,'Operating costs'!$B$51))^MAX(0,C2840-1)+Paths!$M$264*(1+'Operating costs'!$B$53)^MAX(0,C2840-1)),"n.a."))</f>
        <v>0</v>
      </c>
      <c r="I2840" s="16">
        <f>IF(NOT(Paths!$C$264=1),0,IF(Paths!$P$264="Complete",IF(IF(Paths!$E$264=0,C2840=0,AND(C2840&gt;0,Paths!$E$264&gt;(C2840-1)*12,Paths!$E$264&lt;=C2840*12)),Paths!$G$264,0),"n.a."))</f>
        <v>0</v>
      </c>
      <c r="J2840" s="16">
        <f>IF(NOT(Paths!$C$264=1),0,IF(Paths!$P$264="Complete",IF(IF(Paths!$E$264=0,C2840=0,AND(C2840&gt;0,Paths!$E$264&gt;(C2840-1)*12,Paths!$E$264&lt;=C2840*12)),Paths!$H$264,0),"n.a."))</f>
        <v>0</v>
      </c>
      <c r="K2840" s="16">
        <f>IF(NOT(Paths!$C$264=1),0,IF(Paths!$P$264="Complete",IF(IF(Paths!$O$264=0,C2840=0,AND(C2840&gt;0,Paths!$O$264&gt;(C2840-1)*12,Paths!$O$264&lt;=C2840*12)),Paths!$N$264,0),"n.a."))</f>
        <v>0</v>
      </c>
      <c r="L2840" s="16">
        <f>IF(NOT(Paths!$C$264=1),0,IF(Paths!$P$264="Complete",IF(C2840=10,Paths!$I$264,0),"n.a."))</f>
        <v>0</v>
      </c>
      <c r="M2840" s="16">
        <f>IF(NOT(Paths!$C$264=1),0,IF(Paths!$P$264="Complete",IF(AND(Paths!$D$264="EV",Paths!$E$264&lt;120,Paths!$E$264+'Operating costs'!$B$65&gt;Paths!$E$264,Paths!$E$264+'Operating costs'!$B$65&lt;=120,IF(Paths!$E$264+'Operating costs'!$B$65=0,C2840=0,AND(C2840&gt;0,Paths!$E$264+'Operating costs'!$B$65&gt;(C2840-1)*12,Paths!$E$264+'Operating costs'!$B$65&lt;=C2840*12))),'Operating costs'!$B$64,0)+IF(AND('Operating costs'!$B$67&gt;0,'Operating costs'!$B$67&lt;=120,OR(Paths!$D$264="ICE",'Operating costs'!$B$67&lt;=Paths!$E$264),IF('Operating costs'!$B$67=0,C2840=0,AND(C2840&gt;0,'Operating costs'!$B$67&gt;(C2840-1)*12,'Operating costs'!$B$67&lt;=C2840*12))),'Operating costs'!$B$66,0),"n.a."))</f>
        <v>0</v>
      </c>
      <c r="N2840" s="16">
        <f>IF(NOT(Paths!$C$264=1),0,IF(Paths!$P$264="Complete",SUM(G2840:I2840)-J2840-K2840-L2840+M2840+IF(C2840=0,Paths!$F$264,0)+IF(IF(Paths!$E$264=0,C2840=0,AND(C2840&gt;0,Paths!$E$264&gt;(C2840-1)*12,Paths!$E$264&lt;=C2840*12)),VLOOKUP(A2840,'Fleet register'!$A$7:$S$106,16,FALSE),0),"n.a."))</f>
        <v>0</v>
      </c>
      <c r="O2840" s="16">
        <f>IF(NOT(Paths!$C$264=1),0,IF(Paths!$P$264="Complete",N2840-IF(C2840=0,Paths!$F$264,0),"n.a."))</f>
        <v>0</v>
      </c>
      <c r="P2840" s="16">
        <f>IF(NOT(Paths!$C$264=1),0,IF(Paths!$P$264="Complete",O2840+L2840,"n.a."))</f>
        <v>0</v>
      </c>
      <c r="Q2840" s="16">
        <f>IF(NOT(Paths!$C$264=1),0,IF(Paths!$P$264="Complete",N2840*(1+'Operating costs'!$B$54)^-C2840,"n.a."))</f>
        <v>0</v>
      </c>
      <c r="R2840" s="16">
        <f>IF(NOT(Paths!$C$264=1),0,IF(Paths!$P$264="Complete",IF(AND(C2840=0,Paths!$E$264=0),I2840-J2840-K2840+VLOOKUP(A2840,'Fleet register'!$A$7:$S$106,15,FALSE)+VLOOKUP(A2840,'Fleet register'!$A$7:$S$106,16,FALSE),0),"n.a."))</f>
        <v>0</v>
      </c>
      <c r="S2840" s="1">
        <f>IF(NOT(Paths!$C$264=1),0,IF(Paths!$P$264="Complete",IF(C2840=0,0,Paths!$S$264*Paths!$R$264),"n.a."))</f>
        <v>0</v>
      </c>
      <c r="T2840" s="1">
        <f>IF(NOT(Paths!$C$264=1),0,IF(Paths!$P$264="Complete",IF(C2840=0,0,VLOOKUP(A2840,'Fleet register'!$A$7:$S$106,9,FALSE)*Paths!$R$264),"n.a."))</f>
        <v>0</v>
      </c>
    </row>
    <row r="2841" spans="1:20" ht="24" customHeight="1">
      <c r="A2841" s="1" t="str">
        <f>Paths!$A$264</f>
        <v>T065</v>
      </c>
      <c r="B2841" s="1">
        <f>Paths!$B$264</f>
        <v>1</v>
      </c>
      <c r="C2841" s="1">
        <v>7</v>
      </c>
      <c r="D2841" s="1">
        <v>264</v>
      </c>
      <c r="E2841" s="1">
        <f>IF(OR(Paths!$C$264=0,C2841=0),0,MAX(0,MIN(C2841*12,Paths!$E$264)-(C2841-1)*12))</f>
        <v>0</v>
      </c>
      <c r="F2841" s="1">
        <f>IF(OR(Paths!$C$264=0,C2841=0),0,12-E2841)</f>
        <v>0</v>
      </c>
      <c r="G2841" s="16">
        <f>IF(NOT(Paths!$C$264=1),0,IF(Paths!$P$264="Complete",E2841/12*(Paths!$J$264*(1+'Operating costs'!$B$51)^MAX(0,C2841-1)+Paths!$K$264*(1+'Operating costs'!$B$53)^MAX(0,C2841-1)),"n.a."))</f>
        <v>0</v>
      </c>
      <c r="H2841" s="16">
        <f>IF(NOT(Paths!$C$264=1),0,IF(Paths!$P$264="Complete",F2841/12*(Paths!$L$264*(1+IF(Paths!$D$264="EV",'Operating costs'!$B$52,'Operating costs'!$B$51))^MAX(0,C2841-1)+Paths!$M$264*(1+'Operating costs'!$B$53)^MAX(0,C2841-1)),"n.a."))</f>
        <v>0</v>
      </c>
      <c r="I2841" s="16">
        <f>IF(NOT(Paths!$C$264=1),0,IF(Paths!$P$264="Complete",IF(IF(Paths!$E$264=0,C2841=0,AND(C2841&gt;0,Paths!$E$264&gt;(C2841-1)*12,Paths!$E$264&lt;=C2841*12)),Paths!$G$264,0),"n.a."))</f>
        <v>0</v>
      </c>
      <c r="J2841" s="16">
        <f>IF(NOT(Paths!$C$264=1),0,IF(Paths!$P$264="Complete",IF(IF(Paths!$E$264=0,C2841=0,AND(C2841&gt;0,Paths!$E$264&gt;(C2841-1)*12,Paths!$E$264&lt;=C2841*12)),Paths!$H$264,0),"n.a."))</f>
        <v>0</v>
      </c>
      <c r="K2841" s="16">
        <f>IF(NOT(Paths!$C$264=1),0,IF(Paths!$P$264="Complete",IF(IF(Paths!$O$264=0,C2841=0,AND(C2841&gt;0,Paths!$O$264&gt;(C2841-1)*12,Paths!$O$264&lt;=C2841*12)),Paths!$N$264,0),"n.a."))</f>
        <v>0</v>
      </c>
      <c r="L2841" s="16">
        <f>IF(NOT(Paths!$C$264=1),0,IF(Paths!$P$264="Complete",IF(C2841=10,Paths!$I$264,0),"n.a."))</f>
        <v>0</v>
      </c>
      <c r="M2841" s="16">
        <f>IF(NOT(Paths!$C$264=1),0,IF(Paths!$P$264="Complete",IF(AND(Paths!$D$264="EV",Paths!$E$264&lt;120,Paths!$E$264+'Operating costs'!$B$65&gt;Paths!$E$264,Paths!$E$264+'Operating costs'!$B$65&lt;=120,IF(Paths!$E$264+'Operating costs'!$B$65=0,C2841=0,AND(C2841&gt;0,Paths!$E$264+'Operating costs'!$B$65&gt;(C2841-1)*12,Paths!$E$264+'Operating costs'!$B$65&lt;=C2841*12))),'Operating costs'!$B$64,0)+IF(AND('Operating costs'!$B$67&gt;0,'Operating costs'!$B$67&lt;=120,OR(Paths!$D$264="ICE",'Operating costs'!$B$67&lt;=Paths!$E$264),IF('Operating costs'!$B$67=0,C2841=0,AND(C2841&gt;0,'Operating costs'!$B$67&gt;(C2841-1)*12,'Operating costs'!$B$67&lt;=C2841*12))),'Operating costs'!$B$66,0),"n.a."))</f>
        <v>0</v>
      </c>
      <c r="N2841" s="16">
        <f>IF(NOT(Paths!$C$264=1),0,IF(Paths!$P$264="Complete",SUM(G2841:I2841)-J2841-K2841-L2841+M2841+IF(C2841=0,Paths!$F$264,0)+IF(IF(Paths!$E$264=0,C2841=0,AND(C2841&gt;0,Paths!$E$264&gt;(C2841-1)*12,Paths!$E$264&lt;=C2841*12)),VLOOKUP(A2841,'Fleet register'!$A$7:$S$106,16,FALSE),0),"n.a."))</f>
        <v>0</v>
      </c>
      <c r="O2841" s="16">
        <f>IF(NOT(Paths!$C$264=1),0,IF(Paths!$P$264="Complete",N2841-IF(C2841=0,Paths!$F$264,0),"n.a."))</f>
        <v>0</v>
      </c>
      <c r="P2841" s="16">
        <f>IF(NOT(Paths!$C$264=1),0,IF(Paths!$P$264="Complete",O2841+L2841,"n.a."))</f>
        <v>0</v>
      </c>
      <c r="Q2841" s="16">
        <f>IF(NOT(Paths!$C$264=1),0,IF(Paths!$P$264="Complete",N2841*(1+'Operating costs'!$B$54)^-C2841,"n.a."))</f>
        <v>0</v>
      </c>
      <c r="R2841" s="16">
        <f>IF(NOT(Paths!$C$264=1),0,IF(Paths!$P$264="Complete",IF(AND(C2841=0,Paths!$E$264=0),I2841-J2841-K2841+VLOOKUP(A2841,'Fleet register'!$A$7:$S$106,15,FALSE)+VLOOKUP(A2841,'Fleet register'!$A$7:$S$106,16,FALSE),0),"n.a."))</f>
        <v>0</v>
      </c>
      <c r="S2841" s="1">
        <f>IF(NOT(Paths!$C$264=1),0,IF(Paths!$P$264="Complete",IF(C2841=0,0,Paths!$S$264*Paths!$R$264),"n.a."))</f>
        <v>0</v>
      </c>
      <c r="T2841" s="1">
        <f>IF(NOT(Paths!$C$264=1),0,IF(Paths!$P$264="Complete",IF(C2841=0,0,VLOOKUP(A2841,'Fleet register'!$A$7:$S$106,9,FALSE)*Paths!$R$264),"n.a."))</f>
        <v>0</v>
      </c>
    </row>
    <row r="2842" spans="1:20" ht="24" customHeight="1">
      <c r="A2842" s="1" t="str">
        <f>Paths!$A$264</f>
        <v>T065</v>
      </c>
      <c r="B2842" s="1">
        <f>Paths!$B$264</f>
        <v>1</v>
      </c>
      <c r="C2842" s="1">
        <v>8</v>
      </c>
      <c r="D2842" s="1">
        <v>264</v>
      </c>
      <c r="E2842" s="1">
        <f>IF(OR(Paths!$C$264=0,C2842=0),0,MAX(0,MIN(C2842*12,Paths!$E$264)-(C2842-1)*12))</f>
        <v>0</v>
      </c>
      <c r="F2842" s="1">
        <f>IF(OR(Paths!$C$264=0,C2842=0),0,12-E2842)</f>
        <v>0</v>
      </c>
      <c r="G2842" s="16">
        <f>IF(NOT(Paths!$C$264=1),0,IF(Paths!$P$264="Complete",E2842/12*(Paths!$J$264*(1+'Operating costs'!$B$51)^MAX(0,C2842-1)+Paths!$K$264*(1+'Operating costs'!$B$53)^MAX(0,C2842-1)),"n.a."))</f>
        <v>0</v>
      </c>
      <c r="H2842" s="16">
        <f>IF(NOT(Paths!$C$264=1),0,IF(Paths!$P$264="Complete",F2842/12*(Paths!$L$264*(1+IF(Paths!$D$264="EV",'Operating costs'!$B$52,'Operating costs'!$B$51))^MAX(0,C2842-1)+Paths!$M$264*(1+'Operating costs'!$B$53)^MAX(0,C2842-1)),"n.a."))</f>
        <v>0</v>
      </c>
      <c r="I2842" s="16">
        <f>IF(NOT(Paths!$C$264=1),0,IF(Paths!$P$264="Complete",IF(IF(Paths!$E$264=0,C2842=0,AND(C2842&gt;0,Paths!$E$264&gt;(C2842-1)*12,Paths!$E$264&lt;=C2842*12)),Paths!$G$264,0),"n.a."))</f>
        <v>0</v>
      </c>
      <c r="J2842" s="16">
        <f>IF(NOT(Paths!$C$264=1),0,IF(Paths!$P$264="Complete",IF(IF(Paths!$E$264=0,C2842=0,AND(C2842&gt;0,Paths!$E$264&gt;(C2842-1)*12,Paths!$E$264&lt;=C2842*12)),Paths!$H$264,0),"n.a."))</f>
        <v>0</v>
      </c>
      <c r="K2842" s="16">
        <f>IF(NOT(Paths!$C$264=1),0,IF(Paths!$P$264="Complete",IF(IF(Paths!$O$264=0,C2842=0,AND(C2842&gt;0,Paths!$O$264&gt;(C2842-1)*12,Paths!$O$264&lt;=C2842*12)),Paths!$N$264,0),"n.a."))</f>
        <v>0</v>
      </c>
      <c r="L2842" s="16">
        <f>IF(NOT(Paths!$C$264=1),0,IF(Paths!$P$264="Complete",IF(C2842=10,Paths!$I$264,0),"n.a."))</f>
        <v>0</v>
      </c>
      <c r="M2842" s="16">
        <f>IF(NOT(Paths!$C$264=1),0,IF(Paths!$P$264="Complete",IF(AND(Paths!$D$264="EV",Paths!$E$264&lt;120,Paths!$E$264+'Operating costs'!$B$65&gt;Paths!$E$264,Paths!$E$264+'Operating costs'!$B$65&lt;=120,IF(Paths!$E$264+'Operating costs'!$B$65=0,C2842=0,AND(C2842&gt;0,Paths!$E$264+'Operating costs'!$B$65&gt;(C2842-1)*12,Paths!$E$264+'Operating costs'!$B$65&lt;=C2842*12))),'Operating costs'!$B$64,0)+IF(AND('Operating costs'!$B$67&gt;0,'Operating costs'!$B$67&lt;=120,OR(Paths!$D$264="ICE",'Operating costs'!$B$67&lt;=Paths!$E$264),IF('Operating costs'!$B$67=0,C2842=0,AND(C2842&gt;0,'Operating costs'!$B$67&gt;(C2842-1)*12,'Operating costs'!$B$67&lt;=C2842*12))),'Operating costs'!$B$66,0),"n.a."))</f>
        <v>0</v>
      </c>
      <c r="N2842" s="16">
        <f>IF(NOT(Paths!$C$264=1),0,IF(Paths!$P$264="Complete",SUM(G2842:I2842)-J2842-K2842-L2842+M2842+IF(C2842=0,Paths!$F$264,0)+IF(IF(Paths!$E$264=0,C2842=0,AND(C2842&gt;0,Paths!$E$264&gt;(C2842-1)*12,Paths!$E$264&lt;=C2842*12)),VLOOKUP(A2842,'Fleet register'!$A$7:$S$106,16,FALSE),0),"n.a."))</f>
        <v>0</v>
      </c>
      <c r="O2842" s="16">
        <f>IF(NOT(Paths!$C$264=1),0,IF(Paths!$P$264="Complete",N2842-IF(C2842=0,Paths!$F$264,0),"n.a."))</f>
        <v>0</v>
      </c>
      <c r="P2842" s="16">
        <f>IF(NOT(Paths!$C$264=1),0,IF(Paths!$P$264="Complete",O2842+L2842,"n.a."))</f>
        <v>0</v>
      </c>
      <c r="Q2842" s="16">
        <f>IF(NOT(Paths!$C$264=1),0,IF(Paths!$P$264="Complete",N2842*(1+'Operating costs'!$B$54)^-C2842,"n.a."))</f>
        <v>0</v>
      </c>
      <c r="R2842" s="16">
        <f>IF(NOT(Paths!$C$264=1),0,IF(Paths!$P$264="Complete",IF(AND(C2842=0,Paths!$E$264=0),I2842-J2842-K2842+VLOOKUP(A2842,'Fleet register'!$A$7:$S$106,15,FALSE)+VLOOKUP(A2842,'Fleet register'!$A$7:$S$106,16,FALSE),0),"n.a."))</f>
        <v>0</v>
      </c>
      <c r="S2842" s="1">
        <f>IF(NOT(Paths!$C$264=1),0,IF(Paths!$P$264="Complete",IF(C2842=0,0,Paths!$S$264*Paths!$R$264),"n.a."))</f>
        <v>0</v>
      </c>
      <c r="T2842" s="1">
        <f>IF(NOT(Paths!$C$264=1),0,IF(Paths!$P$264="Complete",IF(C2842=0,0,VLOOKUP(A2842,'Fleet register'!$A$7:$S$106,9,FALSE)*Paths!$R$264),"n.a."))</f>
        <v>0</v>
      </c>
    </row>
    <row r="2843" spans="1:20" ht="24" customHeight="1">
      <c r="A2843" s="1" t="str">
        <f>Paths!$A$264</f>
        <v>T065</v>
      </c>
      <c r="B2843" s="1">
        <f>Paths!$B$264</f>
        <v>1</v>
      </c>
      <c r="C2843" s="1">
        <v>9</v>
      </c>
      <c r="D2843" s="1">
        <v>264</v>
      </c>
      <c r="E2843" s="1">
        <f>IF(OR(Paths!$C$264=0,C2843=0),0,MAX(0,MIN(C2843*12,Paths!$E$264)-(C2843-1)*12))</f>
        <v>0</v>
      </c>
      <c r="F2843" s="1">
        <f>IF(OR(Paths!$C$264=0,C2843=0),0,12-E2843)</f>
        <v>0</v>
      </c>
      <c r="G2843" s="16">
        <f>IF(NOT(Paths!$C$264=1),0,IF(Paths!$P$264="Complete",E2843/12*(Paths!$J$264*(1+'Operating costs'!$B$51)^MAX(0,C2843-1)+Paths!$K$264*(1+'Operating costs'!$B$53)^MAX(0,C2843-1)),"n.a."))</f>
        <v>0</v>
      </c>
      <c r="H2843" s="16">
        <f>IF(NOT(Paths!$C$264=1),0,IF(Paths!$P$264="Complete",F2843/12*(Paths!$L$264*(1+IF(Paths!$D$264="EV",'Operating costs'!$B$52,'Operating costs'!$B$51))^MAX(0,C2843-1)+Paths!$M$264*(1+'Operating costs'!$B$53)^MAX(0,C2843-1)),"n.a."))</f>
        <v>0</v>
      </c>
      <c r="I2843" s="16">
        <f>IF(NOT(Paths!$C$264=1),0,IF(Paths!$P$264="Complete",IF(IF(Paths!$E$264=0,C2843=0,AND(C2843&gt;0,Paths!$E$264&gt;(C2843-1)*12,Paths!$E$264&lt;=C2843*12)),Paths!$G$264,0),"n.a."))</f>
        <v>0</v>
      </c>
      <c r="J2843" s="16">
        <f>IF(NOT(Paths!$C$264=1),0,IF(Paths!$P$264="Complete",IF(IF(Paths!$E$264=0,C2843=0,AND(C2843&gt;0,Paths!$E$264&gt;(C2843-1)*12,Paths!$E$264&lt;=C2843*12)),Paths!$H$264,0),"n.a."))</f>
        <v>0</v>
      </c>
      <c r="K2843" s="16">
        <f>IF(NOT(Paths!$C$264=1),0,IF(Paths!$P$264="Complete",IF(IF(Paths!$O$264=0,C2843=0,AND(C2843&gt;0,Paths!$O$264&gt;(C2843-1)*12,Paths!$O$264&lt;=C2843*12)),Paths!$N$264,0),"n.a."))</f>
        <v>0</v>
      </c>
      <c r="L2843" s="16">
        <f>IF(NOT(Paths!$C$264=1),0,IF(Paths!$P$264="Complete",IF(C2843=10,Paths!$I$264,0),"n.a."))</f>
        <v>0</v>
      </c>
      <c r="M2843" s="16">
        <f>IF(NOT(Paths!$C$264=1),0,IF(Paths!$P$264="Complete",IF(AND(Paths!$D$264="EV",Paths!$E$264&lt;120,Paths!$E$264+'Operating costs'!$B$65&gt;Paths!$E$264,Paths!$E$264+'Operating costs'!$B$65&lt;=120,IF(Paths!$E$264+'Operating costs'!$B$65=0,C2843=0,AND(C2843&gt;0,Paths!$E$264+'Operating costs'!$B$65&gt;(C2843-1)*12,Paths!$E$264+'Operating costs'!$B$65&lt;=C2843*12))),'Operating costs'!$B$64,0)+IF(AND('Operating costs'!$B$67&gt;0,'Operating costs'!$B$67&lt;=120,OR(Paths!$D$264="ICE",'Operating costs'!$B$67&lt;=Paths!$E$264),IF('Operating costs'!$B$67=0,C2843=0,AND(C2843&gt;0,'Operating costs'!$B$67&gt;(C2843-1)*12,'Operating costs'!$B$67&lt;=C2843*12))),'Operating costs'!$B$66,0),"n.a."))</f>
        <v>0</v>
      </c>
      <c r="N2843" s="16">
        <f>IF(NOT(Paths!$C$264=1),0,IF(Paths!$P$264="Complete",SUM(G2843:I2843)-J2843-K2843-L2843+M2843+IF(C2843=0,Paths!$F$264,0)+IF(IF(Paths!$E$264=0,C2843=0,AND(C2843&gt;0,Paths!$E$264&gt;(C2843-1)*12,Paths!$E$264&lt;=C2843*12)),VLOOKUP(A2843,'Fleet register'!$A$7:$S$106,16,FALSE),0),"n.a."))</f>
        <v>0</v>
      </c>
      <c r="O2843" s="16">
        <f>IF(NOT(Paths!$C$264=1),0,IF(Paths!$P$264="Complete",N2843-IF(C2843=0,Paths!$F$264,0),"n.a."))</f>
        <v>0</v>
      </c>
      <c r="P2843" s="16">
        <f>IF(NOT(Paths!$C$264=1),0,IF(Paths!$P$264="Complete",O2843+L2843,"n.a."))</f>
        <v>0</v>
      </c>
      <c r="Q2843" s="16">
        <f>IF(NOT(Paths!$C$264=1),0,IF(Paths!$P$264="Complete",N2843*(1+'Operating costs'!$B$54)^-C2843,"n.a."))</f>
        <v>0</v>
      </c>
      <c r="R2843" s="16">
        <f>IF(NOT(Paths!$C$264=1),0,IF(Paths!$P$264="Complete",IF(AND(C2843=0,Paths!$E$264=0),I2843-J2843-K2843+VLOOKUP(A2843,'Fleet register'!$A$7:$S$106,15,FALSE)+VLOOKUP(A2843,'Fleet register'!$A$7:$S$106,16,FALSE),0),"n.a."))</f>
        <v>0</v>
      </c>
      <c r="S2843" s="1">
        <f>IF(NOT(Paths!$C$264=1),0,IF(Paths!$P$264="Complete",IF(C2843=0,0,Paths!$S$264*Paths!$R$264),"n.a."))</f>
        <v>0</v>
      </c>
      <c r="T2843" s="1">
        <f>IF(NOT(Paths!$C$264=1),0,IF(Paths!$P$264="Complete",IF(C2843=0,0,VLOOKUP(A2843,'Fleet register'!$A$7:$S$106,9,FALSE)*Paths!$R$264),"n.a."))</f>
        <v>0</v>
      </c>
    </row>
    <row r="2844" spans="1:20" ht="24" customHeight="1">
      <c r="A2844" s="1" t="str">
        <f>Paths!$A$264</f>
        <v>T065</v>
      </c>
      <c r="B2844" s="1">
        <f>Paths!$B$264</f>
        <v>1</v>
      </c>
      <c r="C2844" s="1">
        <v>10</v>
      </c>
      <c r="D2844" s="1">
        <v>264</v>
      </c>
      <c r="E2844" s="1">
        <f>IF(OR(Paths!$C$264=0,C2844=0),0,MAX(0,MIN(C2844*12,Paths!$E$264)-(C2844-1)*12))</f>
        <v>0</v>
      </c>
      <c r="F2844" s="1">
        <f>IF(OR(Paths!$C$264=0,C2844=0),0,12-E2844)</f>
        <v>0</v>
      </c>
      <c r="G2844" s="16">
        <f>IF(NOT(Paths!$C$264=1),0,IF(Paths!$P$264="Complete",E2844/12*(Paths!$J$264*(1+'Operating costs'!$B$51)^MAX(0,C2844-1)+Paths!$K$264*(1+'Operating costs'!$B$53)^MAX(0,C2844-1)),"n.a."))</f>
        <v>0</v>
      </c>
      <c r="H2844" s="16">
        <f>IF(NOT(Paths!$C$264=1),0,IF(Paths!$P$264="Complete",F2844/12*(Paths!$L$264*(1+IF(Paths!$D$264="EV",'Operating costs'!$B$52,'Operating costs'!$B$51))^MAX(0,C2844-1)+Paths!$M$264*(1+'Operating costs'!$B$53)^MAX(0,C2844-1)),"n.a."))</f>
        <v>0</v>
      </c>
      <c r="I2844" s="16">
        <f>IF(NOT(Paths!$C$264=1),0,IF(Paths!$P$264="Complete",IF(IF(Paths!$E$264=0,C2844=0,AND(C2844&gt;0,Paths!$E$264&gt;(C2844-1)*12,Paths!$E$264&lt;=C2844*12)),Paths!$G$264,0),"n.a."))</f>
        <v>0</v>
      </c>
      <c r="J2844" s="16">
        <f>IF(NOT(Paths!$C$264=1),0,IF(Paths!$P$264="Complete",IF(IF(Paths!$E$264=0,C2844=0,AND(C2844&gt;0,Paths!$E$264&gt;(C2844-1)*12,Paths!$E$264&lt;=C2844*12)),Paths!$H$264,0),"n.a."))</f>
        <v>0</v>
      </c>
      <c r="K2844" s="16">
        <f>IF(NOT(Paths!$C$264=1),0,IF(Paths!$P$264="Complete",IF(IF(Paths!$O$264=0,C2844=0,AND(C2844&gt;0,Paths!$O$264&gt;(C2844-1)*12,Paths!$O$264&lt;=C2844*12)),Paths!$N$264,0),"n.a."))</f>
        <v>0</v>
      </c>
      <c r="L2844" s="16">
        <f>IF(NOT(Paths!$C$264=1),0,IF(Paths!$P$264="Complete",IF(C2844=10,Paths!$I$264,0),"n.a."))</f>
        <v>0</v>
      </c>
      <c r="M2844" s="16">
        <f>IF(NOT(Paths!$C$264=1),0,IF(Paths!$P$264="Complete",IF(AND(Paths!$D$264="EV",Paths!$E$264&lt;120,Paths!$E$264+'Operating costs'!$B$65&gt;Paths!$E$264,Paths!$E$264+'Operating costs'!$B$65&lt;=120,IF(Paths!$E$264+'Operating costs'!$B$65=0,C2844=0,AND(C2844&gt;0,Paths!$E$264+'Operating costs'!$B$65&gt;(C2844-1)*12,Paths!$E$264+'Operating costs'!$B$65&lt;=C2844*12))),'Operating costs'!$B$64,0)+IF(AND('Operating costs'!$B$67&gt;0,'Operating costs'!$B$67&lt;=120,OR(Paths!$D$264="ICE",'Operating costs'!$B$67&lt;=Paths!$E$264),IF('Operating costs'!$B$67=0,C2844=0,AND(C2844&gt;0,'Operating costs'!$B$67&gt;(C2844-1)*12,'Operating costs'!$B$67&lt;=C2844*12))),'Operating costs'!$B$66,0),"n.a."))</f>
        <v>0</v>
      </c>
      <c r="N2844" s="16">
        <f>IF(NOT(Paths!$C$264=1),0,IF(Paths!$P$264="Complete",SUM(G2844:I2844)-J2844-K2844-L2844+M2844+IF(C2844=0,Paths!$F$264,0)+IF(IF(Paths!$E$264=0,C2844=0,AND(C2844&gt;0,Paths!$E$264&gt;(C2844-1)*12,Paths!$E$264&lt;=C2844*12)),VLOOKUP(A2844,'Fleet register'!$A$7:$S$106,16,FALSE),0),"n.a."))</f>
        <v>0</v>
      </c>
      <c r="O2844" s="16">
        <f>IF(NOT(Paths!$C$264=1),0,IF(Paths!$P$264="Complete",N2844-IF(C2844=0,Paths!$F$264,0),"n.a."))</f>
        <v>0</v>
      </c>
      <c r="P2844" s="16">
        <f>IF(NOT(Paths!$C$264=1),0,IF(Paths!$P$264="Complete",O2844+L2844,"n.a."))</f>
        <v>0</v>
      </c>
      <c r="Q2844" s="16">
        <f>IF(NOT(Paths!$C$264=1),0,IF(Paths!$P$264="Complete",N2844*(1+'Operating costs'!$B$54)^-C2844,"n.a."))</f>
        <v>0</v>
      </c>
      <c r="R2844" s="16">
        <f>IF(NOT(Paths!$C$264=1),0,IF(Paths!$P$264="Complete",IF(AND(C2844=0,Paths!$E$264=0),I2844-J2844-K2844+VLOOKUP(A2844,'Fleet register'!$A$7:$S$106,15,FALSE)+VLOOKUP(A2844,'Fleet register'!$A$7:$S$106,16,FALSE),0),"n.a."))</f>
        <v>0</v>
      </c>
      <c r="S2844" s="1">
        <f>IF(NOT(Paths!$C$264=1),0,IF(Paths!$P$264="Complete",IF(C2844=0,0,Paths!$S$264*Paths!$R$264),"n.a."))</f>
        <v>0</v>
      </c>
      <c r="T2844" s="1">
        <f>IF(NOT(Paths!$C$264=1),0,IF(Paths!$P$264="Complete",IF(C2844=0,0,VLOOKUP(A2844,'Fleet register'!$A$7:$S$106,9,FALSE)*Paths!$R$264),"n.a."))</f>
        <v>0</v>
      </c>
    </row>
    <row r="2845" spans="1:20" ht="24" customHeight="1">
      <c r="A2845" s="1" t="str">
        <f>Paths!$A$265</f>
        <v>T065</v>
      </c>
      <c r="B2845" s="1">
        <f>Paths!$B$265</f>
        <v>2</v>
      </c>
      <c r="C2845" s="1">
        <v>0</v>
      </c>
      <c r="D2845" s="1">
        <v>265</v>
      </c>
      <c r="E2845" s="1">
        <f>IF(OR(Paths!$C$265=0,C2845=0),0,MAX(0,MIN(C2845*12,Paths!$E$265)-(C2845-1)*12))</f>
        <v>0</v>
      </c>
      <c r="F2845" s="1">
        <f>IF(OR(Paths!$C$265=0,C2845=0),0,12-E2845)</f>
        <v>0</v>
      </c>
      <c r="G2845" s="16">
        <f>IF(NOT(Paths!$C$265=1),0,IF(Paths!$P$265="Complete",E2845/12*(Paths!$J$265*(1+'Operating costs'!$B$51)^MAX(0,C2845-1)+Paths!$K$265*(1+'Operating costs'!$B$53)^MAX(0,C2845-1)),"n.a."))</f>
        <v>0</v>
      </c>
      <c r="H2845" s="16">
        <f>IF(NOT(Paths!$C$265=1),0,IF(Paths!$P$265="Complete",F2845/12*(Paths!$L$265*(1+IF(Paths!$D$265="EV",'Operating costs'!$B$52,'Operating costs'!$B$51))^MAX(0,C2845-1)+Paths!$M$265*(1+'Operating costs'!$B$53)^MAX(0,C2845-1)),"n.a."))</f>
        <v>0</v>
      </c>
      <c r="I2845" s="16">
        <f>IF(NOT(Paths!$C$265=1),0,IF(Paths!$P$265="Complete",IF(IF(Paths!$E$265=0,C2845=0,AND(C2845&gt;0,Paths!$E$265&gt;(C2845-1)*12,Paths!$E$265&lt;=C2845*12)),Paths!$G$265,0),"n.a."))</f>
        <v>0</v>
      </c>
      <c r="J2845" s="16">
        <f>IF(NOT(Paths!$C$265=1),0,IF(Paths!$P$265="Complete",IF(IF(Paths!$E$265=0,C2845=0,AND(C2845&gt;0,Paths!$E$265&gt;(C2845-1)*12,Paths!$E$265&lt;=C2845*12)),Paths!$H$265,0),"n.a."))</f>
        <v>0</v>
      </c>
      <c r="K2845" s="16">
        <f>IF(NOT(Paths!$C$265=1),0,IF(Paths!$P$265="Complete",IF(IF(Paths!$O$265=0,C2845=0,AND(C2845&gt;0,Paths!$O$265&gt;(C2845-1)*12,Paths!$O$265&lt;=C2845*12)),Paths!$N$265,0),"n.a."))</f>
        <v>0</v>
      </c>
      <c r="L2845" s="16">
        <f>IF(NOT(Paths!$C$265=1),0,IF(Paths!$P$265="Complete",IF(C2845=10,Paths!$I$265,0),"n.a."))</f>
        <v>0</v>
      </c>
      <c r="M2845" s="16">
        <f>IF(NOT(Paths!$C$265=1),0,IF(Paths!$P$265="Complete",IF(AND(Paths!$D$265="EV",Paths!$E$265&lt;120,Paths!$E$265+'Operating costs'!$B$65&gt;Paths!$E$265,Paths!$E$265+'Operating costs'!$B$65&lt;=120,IF(Paths!$E$265+'Operating costs'!$B$65=0,C2845=0,AND(C2845&gt;0,Paths!$E$265+'Operating costs'!$B$65&gt;(C2845-1)*12,Paths!$E$265+'Operating costs'!$B$65&lt;=C2845*12))),'Operating costs'!$B$64,0)+IF(AND('Operating costs'!$B$67&gt;0,'Operating costs'!$B$67&lt;=120,OR(Paths!$D$265="ICE",'Operating costs'!$B$67&lt;=Paths!$E$265),IF('Operating costs'!$B$67=0,C2845=0,AND(C2845&gt;0,'Operating costs'!$B$67&gt;(C2845-1)*12,'Operating costs'!$B$67&lt;=C2845*12))),'Operating costs'!$B$66,0),"n.a."))</f>
        <v>0</v>
      </c>
      <c r="N2845" s="16">
        <f>IF(NOT(Paths!$C$265=1),0,IF(Paths!$P$265="Complete",SUM(G2845:I2845)-J2845-K2845-L2845+M2845+IF(C2845=0,Paths!$F$265,0)+IF(IF(Paths!$E$265=0,C2845=0,AND(C2845&gt;0,Paths!$E$265&gt;(C2845-1)*12,Paths!$E$265&lt;=C2845*12)),VLOOKUP(A2845,'Fleet register'!$A$7:$S$106,16,FALSE),0),"n.a."))</f>
        <v>0</v>
      </c>
      <c r="O2845" s="16">
        <f>IF(NOT(Paths!$C$265=1),0,IF(Paths!$P$265="Complete",N2845-IF(C2845=0,Paths!$F$265,0),"n.a."))</f>
        <v>0</v>
      </c>
      <c r="P2845" s="16">
        <f>IF(NOT(Paths!$C$265=1),0,IF(Paths!$P$265="Complete",O2845+L2845,"n.a."))</f>
        <v>0</v>
      </c>
      <c r="Q2845" s="16">
        <f>IF(NOT(Paths!$C$265=1),0,IF(Paths!$P$265="Complete",N2845*(1+'Operating costs'!$B$54)^-C2845,"n.a."))</f>
        <v>0</v>
      </c>
      <c r="R2845" s="16">
        <f>IF(NOT(Paths!$C$265=1),0,IF(Paths!$P$265="Complete",IF(AND(C2845=0,Paths!$E$265=0),I2845-J2845-K2845+VLOOKUP(A2845,'Fleet register'!$A$7:$S$106,15,FALSE)+VLOOKUP(A2845,'Fleet register'!$A$7:$S$106,16,FALSE),0),"n.a."))</f>
        <v>0</v>
      </c>
      <c r="S2845" s="1">
        <f>IF(NOT(Paths!$C$265=1),0,IF(Paths!$P$265="Complete",IF(C2845=0,0,Paths!$S$265*Paths!$R$265),"n.a."))</f>
        <v>0</v>
      </c>
      <c r="T2845" s="1">
        <f>IF(NOT(Paths!$C$265=1),0,IF(Paths!$P$265="Complete",IF(C2845=0,0,VLOOKUP(A2845,'Fleet register'!$A$7:$S$106,9,FALSE)*Paths!$R$265),"n.a."))</f>
        <v>0</v>
      </c>
    </row>
    <row r="2846" spans="1:20" ht="24" customHeight="1">
      <c r="A2846" s="1" t="str">
        <f>Paths!$A$265</f>
        <v>T065</v>
      </c>
      <c r="B2846" s="1">
        <f>Paths!$B$265</f>
        <v>2</v>
      </c>
      <c r="C2846" s="1">
        <v>1</v>
      </c>
      <c r="D2846" s="1">
        <v>265</v>
      </c>
      <c r="E2846" s="1">
        <f>IF(OR(Paths!$C$265=0,C2846=0),0,MAX(0,MIN(C2846*12,Paths!$E$265)-(C2846-1)*12))</f>
        <v>0</v>
      </c>
      <c r="F2846" s="1">
        <f>IF(OR(Paths!$C$265=0,C2846=0),0,12-E2846)</f>
        <v>0</v>
      </c>
      <c r="G2846" s="16">
        <f>IF(NOT(Paths!$C$265=1),0,IF(Paths!$P$265="Complete",E2846/12*(Paths!$J$265*(1+'Operating costs'!$B$51)^MAX(0,C2846-1)+Paths!$K$265*(1+'Operating costs'!$B$53)^MAX(0,C2846-1)),"n.a."))</f>
        <v>0</v>
      </c>
      <c r="H2846" s="16">
        <f>IF(NOT(Paths!$C$265=1),0,IF(Paths!$P$265="Complete",F2846/12*(Paths!$L$265*(1+IF(Paths!$D$265="EV",'Operating costs'!$B$52,'Operating costs'!$B$51))^MAX(0,C2846-1)+Paths!$M$265*(1+'Operating costs'!$B$53)^MAX(0,C2846-1)),"n.a."))</f>
        <v>0</v>
      </c>
      <c r="I2846" s="16">
        <f>IF(NOT(Paths!$C$265=1),0,IF(Paths!$P$265="Complete",IF(IF(Paths!$E$265=0,C2846=0,AND(C2846&gt;0,Paths!$E$265&gt;(C2846-1)*12,Paths!$E$265&lt;=C2846*12)),Paths!$G$265,0),"n.a."))</f>
        <v>0</v>
      </c>
      <c r="J2846" s="16">
        <f>IF(NOT(Paths!$C$265=1),0,IF(Paths!$P$265="Complete",IF(IF(Paths!$E$265=0,C2846=0,AND(C2846&gt;0,Paths!$E$265&gt;(C2846-1)*12,Paths!$E$265&lt;=C2846*12)),Paths!$H$265,0),"n.a."))</f>
        <v>0</v>
      </c>
      <c r="K2846" s="16">
        <f>IF(NOT(Paths!$C$265=1),0,IF(Paths!$P$265="Complete",IF(IF(Paths!$O$265=0,C2846=0,AND(C2846&gt;0,Paths!$O$265&gt;(C2846-1)*12,Paths!$O$265&lt;=C2846*12)),Paths!$N$265,0),"n.a."))</f>
        <v>0</v>
      </c>
      <c r="L2846" s="16">
        <f>IF(NOT(Paths!$C$265=1),0,IF(Paths!$P$265="Complete",IF(C2846=10,Paths!$I$265,0),"n.a."))</f>
        <v>0</v>
      </c>
      <c r="M2846" s="16">
        <f>IF(NOT(Paths!$C$265=1),0,IF(Paths!$P$265="Complete",IF(AND(Paths!$D$265="EV",Paths!$E$265&lt;120,Paths!$E$265+'Operating costs'!$B$65&gt;Paths!$E$265,Paths!$E$265+'Operating costs'!$B$65&lt;=120,IF(Paths!$E$265+'Operating costs'!$B$65=0,C2846=0,AND(C2846&gt;0,Paths!$E$265+'Operating costs'!$B$65&gt;(C2846-1)*12,Paths!$E$265+'Operating costs'!$B$65&lt;=C2846*12))),'Operating costs'!$B$64,0)+IF(AND('Operating costs'!$B$67&gt;0,'Operating costs'!$B$67&lt;=120,OR(Paths!$D$265="ICE",'Operating costs'!$B$67&lt;=Paths!$E$265),IF('Operating costs'!$B$67=0,C2846=0,AND(C2846&gt;0,'Operating costs'!$B$67&gt;(C2846-1)*12,'Operating costs'!$B$67&lt;=C2846*12))),'Operating costs'!$B$66,0),"n.a."))</f>
        <v>0</v>
      </c>
      <c r="N2846" s="16">
        <f>IF(NOT(Paths!$C$265=1),0,IF(Paths!$P$265="Complete",SUM(G2846:I2846)-J2846-K2846-L2846+M2846+IF(C2846=0,Paths!$F$265,0)+IF(IF(Paths!$E$265=0,C2846=0,AND(C2846&gt;0,Paths!$E$265&gt;(C2846-1)*12,Paths!$E$265&lt;=C2846*12)),VLOOKUP(A2846,'Fleet register'!$A$7:$S$106,16,FALSE),0),"n.a."))</f>
        <v>0</v>
      </c>
      <c r="O2846" s="16">
        <f>IF(NOT(Paths!$C$265=1),0,IF(Paths!$P$265="Complete",N2846-IF(C2846=0,Paths!$F$265,0),"n.a."))</f>
        <v>0</v>
      </c>
      <c r="P2846" s="16">
        <f>IF(NOT(Paths!$C$265=1),0,IF(Paths!$P$265="Complete",O2846+L2846,"n.a."))</f>
        <v>0</v>
      </c>
      <c r="Q2846" s="16">
        <f>IF(NOT(Paths!$C$265=1),0,IF(Paths!$P$265="Complete",N2846*(1+'Operating costs'!$B$54)^-C2846,"n.a."))</f>
        <v>0</v>
      </c>
      <c r="R2846" s="16">
        <f>IF(NOT(Paths!$C$265=1),0,IF(Paths!$P$265="Complete",IF(AND(C2846=0,Paths!$E$265=0),I2846-J2846-K2846+VLOOKUP(A2846,'Fleet register'!$A$7:$S$106,15,FALSE)+VLOOKUP(A2846,'Fleet register'!$A$7:$S$106,16,FALSE),0),"n.a."))</f>
        <v>0</v>
      </c>
      <c r="S2846" s="1">
        <f>IF(NOT(Paths!$C$265=1),0,IF(Paths!$P$265="Complete",IF(C2846=0,0,Paths!$S$265*Paths!$R$265),"n.a."))</f>
        <v>0</v>
      </c>
      <c r="T2846" s="1">
        <f>IF(NOT(Paths!$C$265=1),0,IF(Paths!$P$265="Complete",IF(C2846=0,0,VLOOKUP(A2846,'Fleet register'!$A$7:$S$106,9,FALSE)*Paths!$R$265),"n.a."))</f>
        <v>0</v>
      </c>
    </row>
    <row r="2847" spans="1:20" ht="24" customHeight="1">
      <c r="A2847" s="1" t="str">
        <f>Paths!$A$265</f>
        <v>T065</v>
      </c>
      <c r="B2847" s="1">
        <f>Paths!$B$265</f>
        <v>2</v>
      </c>
      <c r="C2847" s="1">
        <v>2</v>
      </c>
      <c r="D2847" s="1">
        <v>265</v>
      </c>
      <c r="E2847" s="1">
        <f>IF(OR(Paths!$C$265=0,C2847=0),0,MAX(0,MIN(C2847*12,Paths!$E$265)-(C2847-1)*12))</f>
        <v>0</v>
      </c>
      <c r="F2847" s="1">
        <f>IF(OR(Paths!$C$265=0,C2847=0),0,12-E2847)</f>
        <v>0</v>
      </c>
      <c r="G2847" s="16">
        <f>IF(NOT(Paths!$C$265=1),0,IF(Paths!$P$265="Complete",E2847/12*(Paths!$J$265*(1+'Operating costs'!$B$51)^MAX(0,C2847-1)+Paths!$K$265*(1+'Operating costs'!$B$53)^MAX(0,C2847-1)),"n.a."))</f>
        <v>0</v>
      </c>
      <c r="H2847" s="16">
        <f>IF(NOT(Paths!$C$265=1),0,IF(Paths!$P$265="Complete",F2847/12*(Paths!$L$265*(1+IF(Paths!$D$265="EV",'Operating costs'!$B$52,'Operating costs'!$B$51))^MAX(0,C2847-1)+Paths!$M$265*(1+'Operating costs'!$B$53)^MAX(0,C2847-1)),"n.a."))</f>
        <v>0</v>
      </c>
      <c r="I2847" s="16">
        <f>IF(NOT(Paths!$C$265=1),0,IF(Paths!$P$265="Complete",IF(IF(Paths!$E$265=0,C2847=0,AND(C2847&gt;0,Paths!$E$265&gt;(C2847-1)*12,Paths!$E$265&lt;=C2847*12)),Paths!$G$265,0),"n.a."))</f>
        <v>0</v>
      </c>
      <c r="J2847" s="16">
        <f>IF(NOT(Paths!$C$265=1),0,IF(Paths!$P$265="Complete",IF(IF(Paths!$E$265=0,C2847=0,AND(C2847&gt;0,Paths!$E$265&gt;(C2847-1)*12,Paths!$E$265&lt;=C2847*12)),Paths!$H$265,0),"n.a."))</f>
        <v>0</v>
      </c>
      <c r="K2847" s="16">
        <f>IF(NOT(Paths!$C$265=1),0,IF(Paths!$P$265="Complete",IF(IF(Paths!$O$265=0,C2847=0,AND(C2847&gt;0,Paths!$O$265&gt;(C2847-1)*12,Paths!$O$265&lt;=C2847*12)),Paths!$N$265,0),"n.a."))</f>
        <v>0</v>
      </c>
      <c r="L2847" s="16">
        <f>IF(NOT(Paths!$C$265=1),0,IF(Paths!$P$265="Complete",IF(C2847=10,Paths!$I$265,0),"n.a."))</f>
        <v>0</v>
      </c>
      <c r="M2847" s="16">
        <f>IF(NOT(Paths!$C$265=1),0,IF(Paths!$P$265="Complete",IF(AND(Paths!$D$265="EV",Paths!$E$265&lt;120,Paths!$E$265+'Operating costs'!$B$65&gt;Paths!$E$265,Paths!$E$265+'Operating costs'!$B$65&lt;=120,IF(Paths!$E$265+'Operating costs'!$B$65=0,C2847=0,AND(C2847&gt;0,Paths!$E$265+'Operating costs'!$B$65&gt;(C2847-1)*12,Paths!$E$265+'Operating costs'!$B$65&lt;=C2847*12))),'Operating costs'!$B$64,0)+IF(AND('Operating costs'!$B$67&gt;0,'Operating costs'!$B$67&lt;=120,OR(Paths!$D$265="ICE",'Operating costs'!$B$67&lt;=Paths!$E$265),IF('Operating costs'!$B$67=0,C2847=0,AND(C2847&gt;0,'Operating costs'!$B$67&gt;(C2847-1)*12,'Operating costs'!$B$67&lt;=C2847*12))),'Operating costs'!$B$66,0),"n.a."))</f>
        <v>0</v>
      </c>
      <c r="N2847" s="16">
        <f>IF(NOT(Paths!$C$265=1),0,IF(Paths!$P$265="Complete",SUM(G2847:I2847)-J2847-K2847-L2847+M2847+IF(C2847=0,Paths!$F$265,0)+IF(IF(Paths!$E$265=0,C2847=0,AND(C2847&gt;0,Paths!$E$265&gt;(C2847-1)*12,Paths!$E$265&lt;=C2847*12)),VLOOKUP(A2847,'Fleet register'!$A$7:$S$106,16,FALSE),0),"n.a."))</f>
        <v>0</v>
      </c>
      <c r="O2847" s="16">
        <f>IF(NOT(Paths!$C$265=1),0,IF(Paths!$P$265="Complete",N2847-IF(C2847=0,Paths!$F$265,0),"n.a."))</f>
        <v>0</v>
      </c>
      <c r="P2847" s="16">
        <f>IF(NOT(Paths!$C$265=1),0,IF(Paths!$P$265="Complete",O2847+L2847,"n.a."))</f>
        <v>0</v>
      </c>
      <c r="Q2847" s="16">
        <f>IF(NOT(Paths!$C$265=1),0,IF(Paths!$P$265="Complete",N2847*(1+'Operating costs'!$B$54)^-C2847,"n.a."))</f>
        <v>0</v>
      </c>
      <c r="R2847" s="16">
        <f>IF(NOT(Paths!$C$265=1),0,IF(Paths!$P$265="Complete",IF(AND(C2847=0,Paths!$E$265=0),I2847-J2847-K2847+VLOOKUP(A2847,'Fleet register'!$A$7:$S$106,15,FALSE)+VLOOKUP(A2847,'Fleet register'!$A$7:$S$106,16,FALSE),0),"n.a."))</f>
        <v>0</v>
      </c>
      <c r="S2847" s="1">
        <f>IF(NOT(Paths!$C$265=1),0,IF(Paths!$P$265="Complete",IF(C2847=0,0,Paths!$S$265*Paths!$R$265),"n.a."))</f>
        <v>0</v>
      </c>
      <c r="T2847" s="1">
        <f>IF(NOT(Paths!$C$265=1),0,IF(Paths!$P$265="Complete",IF(C2847=0,0,VLOOKUP(A2847,'Fleet register'!$A$7:$S$106,9,FALSE)*Paths!$R$265),"n.a."))</f>
        <v>0</v>
      </c>
    </row>
    <row r="2848" spans="1:20" ht="24" customHeight="1">
      <c r="A2848" s="1" t="str">
        <f>Paths!$A$265</f>
        <v>T065</v>
      </c>
      <c r="B2848" s="1">
        <f>Paths!$B$265</f>
        <v>2</v>
      </c>
      <c r="C2848" s="1">
        <v>3</v>
      </c>
      <c r="D2848" s="1">
        <v>265</v>
      </c>
      <c r="E2848" s="1">
        <f>IF(OR(Paths!$C$265=0,C2848=0),0,MAX(0,MIN(C2848*12,Paths!$E$265)-(C2848-1)*12))</f>
        <v>0</v>
      </c>
      <c r="F2848" s="1">
        <f>IF(OR(Paths!$C$265=0,C2848=0),0,12-E2848)</f>
        <v>0</v>
      </c>
      <c r="G2848" s="16">
        <f>IF(NOT(Paths!$C$265=1),0,IF(Paths!$P$265="Complete",E2848/12*(Paths!$J$265*(1+'Operating costs'!$B$51)^MAX(0,C2848-1)+Paths!$K$265*(1+'Operating costs'!$B$53)^MAX(0,C2848-1)),"n.a."))</f>
        <v>0</v>
      </c>
      <c r="H2848" s="16">
        <f>IF(NOT(Paths!$C$265=1),0,IF(Paths!$P$265="Complete",F2848/12*(Paths!$L$265*(1+IF(Paths!$D$265="EV",'Operating costs'!$B$52,'Operating costs'!$B$51))^MAX(0,C2848-1)+Paths!$M$265*(1+'Operating costs'!$B$53)^MAX(0,C2848-1)),"n.a."))</f>
        <v>0</v>
      </c>
      <c r="I2848" s="16">
        <f>IF(NOT(Paths!$C$265=1),0,IF(Paths!$P$265="Complete",IF(IF(Paths!$E$265=0,C2848=0,AND(C2848&gt;0,Paths!$E$265&gt;(C2848-1)*12,Paths!$E$265&lt;=C2848*12)),Paths!$G$265,0),"n.a."))</f>
        <v>0</v>
      </c>
      <c r="J2848" s="16">
        <f>IF(NOT(Paths!$C$265=1),0,IF(Paths!$P$265="Complete",IF(IF(Paths!$E$265=0,C2848=0,AND(C2848&gt;0,Paths!$E$265&gt;(C2848-1)*12,Paths!$E$265&lt;=C2848*12)),Paths!$H$265,0),"n.a."))</f>
        <v>0</v>
      </c>
      <c r="K2848" s="16">
        <f>IF(NOT(Paths!$C$265=1),0,IF(Paths!$P$265="Complete",IF(IF(Paths!$O$265=0,C2848=0,AND(C2848&gt;0,Paths!$O$265&gt;(C2848-1)*12,Paths!$O$265&lt;=C2848*12)),Paths!$N$265,0),"n.a."))</f>
        <v>0</v>
      </c>
      <c r="L2848" s="16">
        <f>IF(NOT(Paths!$C$265=1),0,IF(Paths!$P$265="Complete",IF(C2848=10,Paths!$I$265,0),"n.a."))</f>
        <v>0</v>
      </c>
      <c r="M2848" s="16">
        <f>IF(NOT(Paths!$C$265=1),0,IF(Paths!$P$265="Complete",IF(AND(Paths!$D$265="EV",Paths!$E$265&lt;120,Paths!$E$265+'Operating costs'!$B$65&gt;Paths!$E$265,Paths!$E$265+'Operating costs'!$B$65&lt;=120,IF(Paths!$E$265+'Operating costs'!$B$65=0,C2848=0,AND(C2848&gt;0,Paths!$E$265+'Operating costs'!$B$65&gt;(C2848-1)*12,Paths!$E$265+'Operating costs'!$B$65&lt;=C2848*12))),'Operating costs'!$B$64,0)+IF(AND('Operating costs'!$B$67&gt;0,'Operating costs'!$B$67&lt;=120,OR(Paths!$D$265="ICE",'Operating costs'!$B$67&lt;=Paths!$E$265),IF('Operating costs'!$B$67=0,C2848=0,AND(C2848&gt;0,'Operating costs'!$B$67&gt;(C2848-1)*12,'Operating costs'!$B$67&lt;=C2848*12))),'Operating costs'!$B$66,0),"n.a."))</f>
        <v>0</v>
      </c>
      <c r="N2848" s="16">
        <f>IF(NOT(Paths!$C$265=1),0,IF(Paths!$P$265="Complete",SUM(G2848:I2848)-J2848-K2848-L2848+M2848+IF(C2848=0,Paths!$F$265,0)+IF(IF(Paths!$E$265=0,C2848=0,AND(C2848&gt;0,Paths!$E$265&gt;(C2848-1)*12,Paths!$E$265&lt;=C2848*12)),VLOOKUP(A2848,'Fleet register'!$A$7:$S$106,16,FALSE),0),"n.a."))</f>
        <v>0</v>
      </c>
      <c r="O2848" s="16">
        <f>IF(NOT(Paths!$C$265=1),0,IF(Paths!$P$265="Complete",N2848-IF(C2848=0,Paths!$F$265,0),"n.a."))</f>
        <v>0</v>
      </c>
      <c r="P2848" s="16">
        <f>IF(NOT(Paths!$C$265=1),0,IF(Paths!$P$265="Complete",O2848+L2848,"n.a."))</f>
        <v>0</v>
      </c>
      <c r="Q2848" s="16">
        <f>IF(NOT(Paths!$C$265=1),0,IF(Paths!$P$265="Complete",N2848*(1+'Operating costs'!$B$54)^-C2848,"n.a."))</f>
        <v>0</v>
      </c>
      <c r="R2848" s="16">
        <f>IF(NOT(Paths!$C$265=1),0,IF(Paths!$P$265="Complete",IF(AND(C2848=0,Paths!$E$265=0),I2848-J2848-K2848+VLOOKUP(A2848,'Fleet register'!$A$7:$S$106,15,FALSE)+VLOOKUP(A2848,'Fleet register'!$A$7:$S$106,16,FALSE),0),"n.a."))</f>
        <v>0</v>
      </c>
      <c r="S2848" s="1">
        <f>IF(NOT(Paths!$C$265=1),0,IF(Paths!$P$265="Complete",IF(C2848=0,0,Paths!$S$265*Paths!$R$265),"n.a."))</f>
        <v>0</v>
      </c>
      <c r="T2848" s="1">
        <f>IF(NOT(Paths!$C$265=1),0,IF(Paths!$P$265="Complete",IF(C2848=0,0,VLOOKUP(A2848,'Fleet register'!$A$7:$S$106,9,FALSE)*Paths!$R$265),"n.a."))</f>
        <v>0</v>
      </c>
    </row>
    <row r="2849" spans="1:20" ht="24" customHeight="1">
      <c r="A2849" s="1" t="str">
        <f>Paths!$A$265</f>
        <v>T065</v>
      </c>
      <c r="B2849" s="1">
        <f>Paths!$B$265</f>
        <v>2</v>
      </c>
      <c r="C2849" s="1">
        <v>4</v>
      </c>
      <c r="D2849" s="1">
        <v>265</v>
      </c>
      <c r="E2849" s="1">
        <f>IF(OR(Paths!$C$265=0,C2849=0),0,MAX(0,MIN(C2849*12,Paths!$E$265)-(C2849-1)*12))</f>
        <v>0</v>
      </c>
      <c r="F2849" s="1">
        <f>IF(OR(Paths!$C$265=0,C2849=0),0,12-E2849)</f>
        <v>0</v>
      </c>
      <c r="G2849" s="16">
        <f>IF(NOT(Paths!$C$265=1),0,IF(Paths!$P$265="Complete",E2849/12*(Paths!$J$265*(1+'Operating costs'!$B$51)^MAX(0,C2849-1)+Paths!$K$265*(1+'Operating costs'!$B$53)^MAX(0,C2849-1)),"n.a."))</f>
        <v>0</v>
      </c>
      <c r="H2849" s="16">
        <f>IF(NOT(Paths!$C$265=1),0,IF(Paths!$P$265="Complete",F2849/12*(Paths!$L$265*(1+IF(Paths!$D$265="EV",'Operating costs'!$B$52,'Operating costs'!$B$51))^MAX(0,C2849-1)+Paths!$M$265*(1+'Operating costs'!$B$53)^MAX(0,C2849-1)),"n.a."))</f>
        <v>0</v>
      </c>
      <c r="I2849" s="16">
        <f>IF(NOT(Paths!$C$265=1),0,IF(Paths!$P$265="Complete",IF(IF(Paths!$E$265=0,C2849=0,AND(C2849&gt;0,Paths!$E$265&gt;(C2849-1)*12,Paths!$E$265&lt;=C2849*12)),Paths!$G$265,0),"n.a."))</f>
        <v>0</v>
      </c>
      <c r="J2849" s="16">
        <f>IF(NOT(Paths!$C$265=1),0,IF(Paths!$P$265="Complete",IF(IF(Paths!$E$265=0,C2849=0,AND(C2849&gt;0,Paths!$E$265&gt;(C2849-1)*12,Paths!$E$265&lt;=C2849*12)),Paths!$H$265,0),"n.a."))</f>
        <v>0</v>
      </c>
      <c r="K2849" s="16">
        <f>IF(NOT(Paths!$C$265=1),0,IF(Paths!$P$265="Complete",IF(IF(Paths!$O$265=0,C2849=0,AND(C2849&gt;0,Paths!$O$265&gt;(C2849-1)*12,Paths!$O$265&lt;=C2849*12)),Paths!$N$265,0),"n.a."))</f>
        <v>0</v>
      </c>
      <c r="L2849" s="16">
        <f>IF(NOT(Paths!$C$265=1),0,IF(Paths!$P$265="Complete",IF(C2849=10,Paths!$I$265,0),"n.a."))</f>
        <v>0</v>
      </c>
      <c r="M2849" s="16">
        <f>IF(NOT(Paths!$C$265=1),0,IF(Paths!$P$265="Complete",IF(AND(Paths!$D$265="EV",Paths!$E$265&lt;120,Paths!$E$265+'Operating costs'!$B$65&gt;Paths!$E$265,Paths!$E$265+'Operating costs'!$B$65&lt;=120,IF(Paths!$E$265+'Operating costs'!$B$65=0,C2849=0,AND(C2849&gt;0,Paths!$E$265+'Operating costs'!$B$65&gt;(C2849-1)*12,Paths!$E$265+'Operating costs'!$B$65&lt;=C2849*12))),'Operating costs'!$B$64,0)+IF(AND('Operating costs'!$B$67&gt;0,'Operating costs'!$B$67&lt;=120,OR(Paths!$D$265="ICE",'Operating costs'!$B$67&lt;=Paths!$E$265),IF('Operating costs'!$B$67=0,C2849=0,AND(C2849&gt;0,'Operating costs'!$B$67&gt;(C2849-1)*12,'Operating costs'!$B$67&lt;=C2849*12))),'Operating costs'!$B$66,0),"n.a."))</f>
        <v>0</v>
      </c>
      <c r="N2849" s="16">
        <f>IF(NOT(Paths!$C$265=1),0,IF(Paths!$P$265="Complete",SUM(G2849:I2849)-J2849-K2849-L2849+M2849+IF(C2849=0,Paths!$F$265,0)+IF(IF(Paths!$E$265=0,C2849=0,AND(C2849&gt;0,Paths!$E$265&gt;(C2849-1)*12,Paths!$E$265&lt;=C2849*12)),VLOOKUP(A2849,'Fleet register'!$A$7:$S$106,16,FALSE),0),"n.a."))</f>
        <v>0</v>
      </c>
      <c r="O2849" s="16">
        <f>IF(NOT(Paths!$C$265=1),0,IF(Paths!$P$265="Complete",N2849-IF(C2849=0,Paths!$F$265,0),"n.a."))</f>
        <v>0</v>
      </c>
      <c r="P2849" s="16">
        <f>IF(NOT(Paths!$C$265=1),0,IF(Paths!$P$265="Complete",O2849+L2849,"n.a."))</f>
        <v>0</v>
      </c>
      <c r="Q2849" s="16">
        <f>IF(NOT(Paths!$C$265=1),0,IF(Paths!$P$265="Complete",N2849*(1+'Operating costs'!$B$54)^-C2849,"n.a."))</f>
        <v>0</v>
      </c>
      <c r="R2849" s="16">
        <f>IF(NOT(Paths!$C$265=1),0,IF(Paths!$P$265="Complete",IF(AND(C2849=0,Paths!$E$265=0),I2849-J2849-K2849+VLOOKUP(A2849,'Fleet register'!$A$7:$S$106,15,FALSE)+VLOOKUP(A2849,'Fleet register'!$A$7:$S$106,16,FALSE),0),"n.a."))</f>
        <v>0</v>
      </c>
      <c r="S2849" s="1">
        <f>IF(NOT(Paths!$C$265=1),0,IF(Paths!$P$265="Complete",IF(C2849=0,0,Paths!$S$265*Paths!$R$265),"n.a."))</f>
        <v>0</v>
      </c>
      <c r="T2849" s="1">
        <f>IF(NOT(Paths!$C$265=1),0,IF(Paths!$P$265="Complete",IF(C2849=0,0,VLOOKUP(A2849,'Fleet register'!$A$7:$S$106,9,FALSE)*Paths!$R$265),"n.a."))</f>
        <v>0</v>
      </c>
    </row>
    <row r="2850" spans="1:20" ht="24" customHeight="1">
      <c r="A2850" s="1" t="str">
        <f>Paths!$A$265</f>
        <v>T065</v>
      </c>
      <c r="B2850" s="1">
        <f>Paths!$B$265</f>
        <v>2</v>
      </c>
      <c r="C2850" s="1">
        <v>5</v>
      </c>
      <c r="D2850" s="1">
        <v>265</v>
      </c>
      <c r="E2850" s="1">
        <f>IF(OR(Paths!$C$265=0,C2850=0),0,MAX(0,MIN(C2850*12,Paths!$E$265)-(C2850-1)*12))</f>
        <v>0</v>
      </c>
      <c r="F2850" s="1">
        <f>IF(OR(Paths!$C$265=0,C2850=0),0,12-E2850)</f>
        <v>0</v>
      </c>
      <c r="G2850" s="16">
        <f>IF(NOT(Paths!$C$265=1),0,IF(Paths!$P$265="Complete",E2850/12*(Paths!$J$265*(1+'Operating costs'!$B$51)^MAX(0,C2850-1)+Paths!$K$265*(1+'Operating costs'!$B$53)^MAX(0,C2850-1)),"n.a."))</f>
        <v>0</v>
      </c>
      <c r="H2850" s="16">
        <f>IF(NOT(Paths!$C$265=1),0,IF(Paths!$P$265="Complete",F2850/12*(Paths!$L$265*(1+IF(Paths!$D$265="EV",'Operating costs'!$B$52,'Operating costs'!$B$51))^MAX(0,C2850-1)+Paths!$M$265*(1+'Operating costs'!$B$53)^MAX(0,C2850-1)),"n.a."))</f>
        <v>0</v>
      </c>
      <c r="I2850" s="16">
        <f>IF(NOT(Paths!$C$265=1),0,IF(Paths!$P$265="Complete",IF(IF(Paths!$E$265=0,C2850=0,AND(C2850&gt;0,Paths!$E$265&gt;(C2850-1)*12,Paths!$E$265&lt;=C2850*12)),Paths!$G$265,0),"n.a."))</f>
        <v>0</v>
      </c>
      <c r="J2850" s="16">
        <f>IF(NOT(Paths!$C$265=1),0,IF(Paths!$P$265="Complete",IF(IF(Paths!$E$265=0,C2850=0,AND(C2850&gt;0,Paths!$E$265&gt;(C2850-1)*12,Paths!$E$265&lt;=C2850*12)),Paths!$H$265,0),"n.a."))</f>
        <v>0</v>
      </c>
      <c r="K2850" s="16">
        <f>IF(NOT(Paths!$C$265=1),0,IF(Paths!$P$265="Complete",IF(IF(Paths!$O$265=0,C2850=0,AND(C2850&gt;0,Paths!$O$265&gt;(C2850-1)*12,Paths!$O$265&lt;=C2850*12)),Paths!$N$265,0),"n.a."))</f>
        <v>0</v>
      </c>
      <c r="L2850" s="16">
        <f>IF(NOT(Paths!$C$265=1),0,IF(Paths!$P$265="Complete",IF(C2850=10,Paths!$I$265,0),"n.a."))</f>
        <v>0</v>
      </c>
      <c r="M2850" s="16">
        <f>IF(NOT(Paths!$C$265=1),0,IF(Paths!$P$265="Complete",IF(AND(Paths!$D$265="EV",Paths!$E$265&lt;120,Paths!$E$265+'Operating costs'!$B$65&gt;Paths!$E$265,Paths!$E$265+'Operating costs'!$B$65&lt;=120,IF(Paths!$E$265+'Operating costs'!$B$65=0,C2850=0,AND(C2850&gt;0,Paths!$E$265+'Operating costs'!$B$65&gt;(C2850-1)*12,Paths!$E$265+'Operating costs'!$B$65&lt;=C2850*12))),'Operating costs'!$B$64,0)+IF(AND('Operating costs'!$B$67&gt;0,'Operating costs'!$B$67&lt;=120,OR(Paths!$D$265="ICE",'Operating costs'!$B$67&lt;=Paths!$E$265),IF('Operating costs'!$B$67=0,C2850=0,AND(C2850&gt;0,'Operating costs'!$B$67&gt;(C2850-1)*12,'Operating costs'!$B$67&lt;=C2850*12))),'Operating costs'!$B$66,0),"n.a."))</f>
        <v>0</v>
      </c>
      <c r="N2850" s="16">
        <f>IF(NOT(Paths!$C$265=1),0,IF(Paths!$P$265="Complete",SUM(G2850:I2850)-J2850-K2850-L2850+M2850+IF(C2850=0,Paths!$F$265,0)+IF(IF(Paths!$E$265=0,C2850=0,AND(C2850&gt;0,Paths!$E$265&gt;(C2850-1)*12,Paths!$E$265&lt;=C2850*12)),VLOOKUP(A2850,'Fleet register'!$A$7:$S$106,16,FALSE),0),"n.a."))</f>
        <v>0</v>
      </c>
      <c r="O2850" s="16">
        <f>IF(NOT(Paths!$C$265=1),0,IF(Paths!$P$265="Complete",N2850-IF(C2850=0,Paths!$F$265,0),"n.a."))</f>
        <v>0</v>
      </c>
      <c r="P2850" s="16">
        <f>IF(NOT(Paths!$C$265=1),0,IF(Paths!$P$265="Complete",O2850+L2850,"n.a."))</f>
        <v>0</v>
      </c>
      <c r="Q2850" s="16">
        <f>IF(NOT(Paths!$C$265=1),0,IF(Paths!$P$265="Complete",N2850*(1+'Operating costs'!$B$54)^-C2850,"n.a."))</f>
        <v>0</v>
      </c>
      <c r="R2850" s="16">
        <f>IF(NOT(Paths!$C$265=1),0,IF(Paths!$P$265="Complete",IF(AND(C2850=0,Paths!$E$265=0),I2850-J2850-K2850+VLOOKUP(A2850,'Fleet register'!$A$7:$S$106,15,FALSE)+VLOOKUP(A2850,'Fleet register'!$A$7:$S$106,16,FALSE),0),"n.a."))</f>
        <v>0</v>
      </c>
      <c r="S2850" s="1">
        <f>IF(NOT(Paths!$C$265=1),0,IF(Paths!$P$265="Complete",IF(C2850=0,0,Paths!$S$265*Paths!$R$265),"n.a."))</f>
        <v>0</v>
      </c>
      <c r="T2850" s="1">
        <f>IF(NOT(Paths!$C$265=1),0,IF(Paths!$P$265="Complete",IF(C2850=0,0,VLOOKUP(A2850,'Fleet register'!$A$7:$S$106,9,FALSE)*Paths!$R$265),"n.a."))</f>
        <v>0</v>
      </c>
    </row>
    <row r="2851" spans="1:20" ht="24" customHeight="1">
      <c r="A2851" s="1" t="str">
        <f>Paths!$A$265</f>
        <v>T065</v>
      </c>
      <c r="B2851" s="1">
        <f>Paths!$B$265</f>
        <v>2</v>
      </c>
      <c r="C2851" s="1">
        <v>6</v>
      </c>
      <c r="D2851" s="1">
        <v>265</v>
      </c>
      <c r="E2851" s="1">
        <f>IF(OR(Paths!$C$265=0,C2851=0),0,MAX(0,MIN(C2851*12,Paths!$E$265)-(C2851-1)*12))</f>
        <v>0</v>
      </c>
      <c r="F2851" s="1">
        <f>IF(OR(Paths!$C$265=0,C2851=0),0,12-E2851)</f>
        <v>0</v>
      </c>
      <c r="G2851" s="16">
        <f>IF(NOT(Paths!$C$265=1),0,IF(Paths!$P$265="Complete",E2851/12*(Paths!$J$265*(1+'Operating costs'!$B$51)^MAX(0,C2851-1)+Paths!$K$265*(1+'Operating costs'!$B$53)^MAX(0,C2851-1)),"n.a."))</f>
        <v>0</v>
      </c>
      <c r="H2851" s="16">
        <f>IF(NOT(Paths!$C$265=1),0,IF(Paths!$P$265="Complete",F2851/12*(Paths!$L$265*(1+IF(Paths!$D$265="EV",'Operating costs'!$B$52,'Operating costs'!$B$51))^MAX(0,C2851-1)+Paths!$M$265*(1+'Operating costs'!$B$53)^MAX(0,C2851-1)),"n.a."))</f>
        <v>0</v>
      </c>
      <c r="I2851" s="16">
        <f>IF(NOT(Paths!$C$265=1),0,IF(Paths!$P$265="Complete",IF(IF(Paths!$E$265=0,C2851=0,AND(C2851&gt;0,Paths!$E$265&gt;(C2851-1)*12,Paths!$E$265&lt;=C2851*12)),Paths!$G$265,0),"n.a."))</f>
        <v>0</v>
      </c>
      <c r="J2851" s="16">
        <f>IF(NOT(Paths!$C$265=1),0,IF(Paths!$P$265="Complete",IF(IF(Paths!$E$265=0,C2851=0,AND(C2851&gt;0,Paths!$E$265&gt;(C2851-1)*12,Paths!$E$265&lt;=C2851*12)),Paths!$H$265,0),"n.a."))</f>
        <v>0</v>
      </c>
      <c r="K2851" s="16">
        <f>IF(NOT(Paths!$C$265=1),0,IF(Paths!$P$265="Complete",IF(IF(Paths!$O$265=0,C2851=0,AND(C2851&gt;0,Paths!$O$265&gt;(C2851-1)*12,Paths!$O$265&lt;=C2851*12)),Paths!$N$265,0),"n.a."))</f>
        <v>0</v>
      </c>
      <c r="L2851" s="16">
        <f>IF(NOT(Paths!$C$265=1),0,IF(Paths!$P$265="Complete",IF(C2851=10,Paths!$I$265,0),"n.a."))</f>
        <v>0</v>
      </c>
      <c r="M2851" s="16">
        <f>IF(NOT(Paths!$C$265=1),0,IF(Paths!$P$265="Complete",IF(AND(Paths!$D$265="EV",Paths!$E$265&lt;120,Paths!$E$265+'Operating costs'!$B$65&gt;Paths!$E$265,Paths!$E$265+'Operating costs'!$B$65&lt;=120,IF(Paths!$E$265+'Operating costs'!$B$65=0,C2851=0,AND(C2851&gt;0,Paths!$E$265+'Operating costs'!$B$65&gt;(C2851-1)*12,Paths!$E$265+'Operating costs'!$B$65&lt;=C2851*12))),'Operating costs'!$B$64,0)+IF(AND('Operating costs'!$B$67&gt;0,'Operating costs'!$B$67&lt;=120,OR(Paths!$D$265="ICE",'Operating costs'!$B$67&lt;=Paths!$E$265),IF('Operating costs'!$B$67=0,C2851=0,AND(C2851&gt;0,'Operating costs'!$B$67&gt;(C2851-1)*12,'Operating costs'!$B$67&lt;=C2851*12))),'Operating costs'!$B$66,0),"n.a."))</f>
        <v>0</v>
      </c>
      <c r="N2851" s="16">
        <f>IF(NOT(Paths!$C$265=1),0,IF(Paths!$P$265="Complete",SUM(G2851:I2851)-J2851-K2851-L2851+M2851+IF(C2851=0,Paths!$F$265,0)+IF(IF(Paths!$E$265=0,C2851=0,AND(C2851&gt;0,Paths!$E$265&gt;(C2851-1)*12,Paths!$E$265&lt;=C2851*12)),VLOOKUP(A2851,'Fleet register'!$A$7:$S$106,16,FALSE),0),"n.a."))</f>
        <v>0</v>
      </c>
      <c r="O2851" s="16">
        <f>IF(NOT(Paths!$C$265=1),0,IF(Paths!$P$265="Complete",N2851-IF(C2851=0,Paths!$F$265,0),"n.a."))</f>
        <v>0</v>
      </c>
      <c r="P2851" s="16">
        <f>IF(NOT(Paths!$C$265=1),0,IF(Paths!$P$265="Complete",O2851+L2851,"n.a."))</f>
        <v>0</v>
      </c>
      <c r="Q2851" s="16">
        <f>IF(NOT(Paths!$C$265=1),0,IF(Paths!$P$265="Complete",N2851*(1+'Operating costs'!$B$54)^-C2851,"n.a."))</f>
        <v>0</v>
      </c>
      <c r="R2851" s="16">
        <f>IF(NOT(Paths!$C$265=1),0,IF(Paths!$P$265="Complete",IF(AND(C2851=0,Paths!$E$265=0),I2851-J2851-K2851+VLOOKUP(A2851,'Fleet register'!$A$7:$S$106,15,FALSE)+VLOOKUP(A2851,'Fleet register'!$A$7:$S$106,16,FALSE),0),"n.a."))</f>
        <v>0</v>
      </c>
      <c r="S2851" s="1">
        <f>IF(NOT(Paths!$C$265=1),0,IF(Paths!$P$265="Complete",IF(C2851=0,0,Paths!$S$265*Paths!$R$265),"n.a."))</f>
        <v>0</v>
      </c>
      <c r="T2851" s="1">
        <f>IF(NOT(Paths!$C$265=1),0,IF(Paths!$P$265="Complete",IF(C2851=0,0,VLOOKUP(A2851,'Fleet register'!$A$7:$S$106,9,FALSE)*Paths!$R$265),"n.a."))</f>
        <v>0</v>
      </c>
    </row>
    <row r="2852" spans="1:20" ht="24" customHeight="1">
      <c r="A2852" s="1" t="str">
        <f>Paths!$A$265</f>
        <v>T065</v>
      </c>
      <c r="B2852" s="1">
        <f>Paths!$B$265</f>
        <v>2</v>
      </c>
      <c r="C2852" s="1">
        <v>7</v>
      </c>
      <c r="D2852" s="1">
        <v>265</v>
      </c>
      <c r="E2852" s="1">
        <f>IF(OR(Paths!$C$265=0,C2852=0),0,MAX(0,MIN(C2852*12,Paths!$E$265)-(C2852-1)*12))</f>
        <v>0</v>
      </c>
      <c r="F2852" s="1">
        <f>IF(OR(Paths!$C$265=0,C2852=0),0,12-E2852)</f>
        <v>0</v>
      </c>
      <c r="G2852" s="16">
        <f>IF(NOT(Paths!$C$265=1),0,IF(Paths!$P$265="Complete",E2852/12*(Paths!$J$265*(1+'Operating costs'!$B$51)^MAX(0,C2852-1)+Paths!$K$265*(1+'Operating costs'!$B$53)^MAX(0,C2852-1)),"n.a."))</f>
        <v>0</v>
      </c>
      <c r="H2852" s="16">
        <f>IF(NOT(Paths!$C$265=1),0,IF(Paths!$P$265="Complete",F2852/12*(Paths!$L$265*(1+IF(Paths!$D$265="EV",'Operating costs'!$B$52,'Operating costs'!$B$51))^MAX(0,C2852-1)+Paths!$M$265*(1+'Operating costs'!$B$53)^MAX(0,C2852-1)),"n.a."))</f>
        <v>0</v>
      </c>
      <c r="I2852" s="16">
        <f>IF(NOT(Paths!$C$265=1),0,IF(Paths!$P$265="Complete",IF(IF(Paths!$E$265=0,C2852=0,AND(C2852&gt;0,Paths!$E$265&gt;(C2852-1)*12,Paths!$E$265&lt;=C2852*12)),Paths!$G$265,0),"n.a."))</f>
        <v>0</v>
      </c>
      <c r="J2852" s="16">
        <f>IF(NOT(Paths!$C$265=1),0,IF(Paths!$P$265="Complete",IF(IF(Paths!$E$265=0,C2852=0,AND(C2852&gt;0,Paths!$E$265&gt;(C2852-1)*12,Paths!$E$265&lt;=C2852*12)),Paths!$H$265,0),"n.a."))</f>
        <v>0</v>
      </c>
      <c r="K2852" s="16">
        <f>IF(NOT(Paths!$C$265=1),0,IF(Paths!$P$265="Complete",IF(IF(Paths!$O$265=0,C2852=0,AND(C2852&gt;0,Paths!$O$265&gt;(C2852-1)*12,Paths!$O$265&lt;=C2852*12)),Paths!$N$265,0),"n.a."))</f>
        <v>0</v>
      </c>
      <c r="L2852" s="16">
        <f>IF(NOT(Paths!$C$265=1),0,IF(Paths!$P$265="Complete",IF(C2852=10,Paths!$I$265,0),"n.a."))</f>
        <v>0</v>
      </c>
      <c r="M2852" s="16">
        <f>IF(NOT(Paths!$C$265=1),0,IF(Paths!$P$265="Complete",IF(AND(Paths!$D$265="EV",Paths!$E$265&lt;120,Paths!$E$265+'Operating costs'!$B$65&gt;Paths!$E$265,Paths!$E$265+'Operating costs'!$B$65&lt;=120,IF(Paths!$E$265+'Operating costs'!$B$65=0,C2852=0,AND(C2852&gt;0,Paths!$E$265+'Operating costs'!$B$65&gt;(C2852-1)*12,Paths!$E$265+'Operating costs'!$B$65&lt;=C2852*12))),'Operating costs'!$B$64,0)+IF(AND('Operating costs'!$B$67&gt;0,'Operating costs'!$B$67&lt;=120,OR(Paths!$D$265="ICE",'Operating costs'!$B$67&lt;=Paths!$E$265),IF('Operating costs'!$B$67=0,C2852=0,AND(C2852&gt;0,'Operating costs'!$B$67&gt;(C2852-1)*12,'Operating costs'!$B$67&lt;=C2852*12))),'Operating costs'!$B$66,0),"n.a."))</f>
        <v>0</v>
      </c>
      <c r="N2852" s="16">
        <f>IF(NOT(Paths!$C$265=1),0,IF(Paths!$P$265="Complete",SUM(G2852:I2852)-J2852-K2852-L2852+M2852+IF(C2852=0,Paths!$F$265,0)+IF(IF(Paths!$E$265=0,C2852=0,AND(C2852&gt;0,Paths!$E$265&gt;(C2852-1)*12,Paths!$E$265&lt;=C2852*12)),VLOOKUP(A2852,'Fleet register'!$A$7:$S$106,16,FALSE),0),"n.a."))</f>
        <v>0</v>
      </c>
      <c r="O2852" s="16">
        <f>IF(NOT(Paths!$C$265=1),0,IF(Paths!$P$265="Complete",N2852-IF(C2852=0,Paths!$F$265,0),"n.a."))</f>
        <v>0</v>
      </c>
      <c r="P2852" s="16">
        <f>IF(NOT(Paths!$C$265=1),0,IF(Paths!$P$265="Complete",O2852+L2852,"n.a."))</f>
        <v>0</v>
      </c>
      <c r="Q2852" s="16">
        <f>IF(NOT(Paths!$C$265=1),0,IF(Paths!$P$265="Complete",N2852*(1+'Operating costs'!$B$54)^-C2852,"n.a."))</f>
        <v>0</v>
      </c>
      <c r="R2852" s="16">
        <f>IF(NOT(Paths!$C$265=1),0,IF(Paths!$P$265="Complete",IF(AND(C2852=0,Paths!$E$265=0),I2852-J2852-K2852+VLOOKUP(A2852,'Fleet register'!$A$7:$S$106,15,FALSE)+VLOOKUP(A2852,'Fleet register'!$A$7:$S$106,16,FALSE),0),"n.a."))</f>
        <v>0</v>
      </c>
      <c r="S2852" s="1">
        <f>IF(NOT(Paths!$C$265=1),0,IF(Paths!$P$265="Complete",IF(C2852=0,0,Paths!$S$265*Paths!$R$265),"n.a."))</f>
        <v>0</v>
      </c>
      <c r="T2852" s="1">
        <f>IF(NOT(Paths!$C$265=1),0,IF(Paths!$P$265="Complete",IF(C2852=0,0,VLOOKUP(A2852,'Fleet register'!$A$7:$S$106,9,FALSE)*Paths!$R$265),"n.a."))</f>
        <v>0</v>
      </c>
    </row>
    <row r="2853" spans="1:20" ht="24" customHeight="1">
      <c r="A2853" s="1" t="str">
        <f>Paths!$A$265</f>
        <v>T065</v>
      </c>
      <c r="B2853" s="1">
        <f>Paths!$B$265</f>
        <v>2</v>
      </c>
      <c r="C2853" s="1">
        <v>8</v>
      </c>
      <c r="D2853" s="1">
        <v>265</v>
      </c>
      <c r="E2853" s="1">
        <f>IF(OR(Paths!$C$265=0,C2853=0),0,MAX(0,MIN(C2853*12,Paths!$E$265)-(C2853-1)*12))</f>
        <v>0</v>
      </c>
      <c r="F2853" s="1">
        <f>IF(OR(Paths!$C$265=0,C2853=0),0,12-E2853)</f>
        <v>0</v>
      </c>
      <c r="G2853" s="16">
        <f>IF(NOT(Paths!$C$265=1),0,IF(Paths!$P$265="Complete",E2853/12*(Paths!$J$265*(1+'Operating costs'!$B$51)^MAX(0,C2853-1)+Paths!$K$265*(1+'Operating costs'!$B$53)^MAX(0,C2853-1)),"n.a."))</f>
        <v>0</v>
      </c>
      <c r="H2853" s="16">
        <f>IF(NOT(Paths!$C$265=1),0,IF(Paths!$P$265="Complete",F2853/12*(Paths!$L$265*(1+IF(Paths!$D$265="EV",'Operating costs'!$B$52,'Operating costs'!$B$51))^MAX(0,C2853-1)+Paths!$M$265*(1+'Operating costs'!$B$53)^MAX(0,C2853-1)),"n.a."))</f>
        <v>0</v>
      </c>
      <c r="I2853" s="16">
        <f>IF(NOT(Paths!$C$265=1),0,IF(Paths!$P$265="Complete",IF(IF(Paths!$E$265=0,C2853=0,AND(C2853&gt;0,Paths!$E$265&gt;(C2853-1)*12,Paths!$E$265&lt;=C2853*12)),Paths!$G$265,0),"n.a."))</f>
        <v>0</v>
      </c>
      <c r="J2853" s="16">
        <f>IF(NOT(Paths!$C$265=1),0,IF(Paths!$P$265="Complete",IF(IF(Paths!$E$265=0,C2853=0,AND(C2853&gt;0,Paths!$E$265&gt;(C2853-1)*12,Paths!$E$265&lt;=C2853*12)),Paths!$H$265,0),"n.a."))</f>
        <v>0</v>
      </c>
      <c r="K2853" s="16">
        <f>IF(NOT(Paths!$C$265=1),0,IF(Paths!$P$265="Complete",IF(IF(Paths!$O$265=0,C2853=0,AND(C2853&gt;0,Paths!$O$265&gt;(C2853-1)*12,Paths!$O$265&lt;=C2853*12)),Paths!$N$265,0),"n.a."))</f>
        <v>0</v>
      </c>
      <c r="L2853" s="16">
        <f>IF(NOT(Paths!$C$265=1),0,IF(Paths!$P$265="Complete",IF(C2853=10,Paths!$I$265,0),"n.a."))</f>
        <v>0</v>
      </c>
      <c r="M2853" s="16">
        <f>IF(NOT(Paths!$C$265=1),0,IF(Paths!$P$265="Complete",IF(AND(Paths!$D$265="EV",Paths!$E$265&lt;120,Paths!$E$265+'Operating costs'!$B$65&gt;Paths!$E$265,Paths!$E$265+'Operating costs'!$B$65&lt;=120,IF(Paths!$E$265+'Operating costs'!$B$65=0,C2853=0,AND(C2853&gt;0,Paths!$E$265+'Operating costs'!$B$65&gt;(C2853-1)*12,Paths!$E$265+'Operating costs'!$B$65&lt;=C2853*12))),'Operating costs'!$B$64,0)+IF(AND('Operating costs'!$B$67&gt;0,'Operating costs'!$B$67&lt;=120,OR(Paths!$D$265="ICE",'Operating costs'!$B$67&lt;=Paths!$E$265),IF('Operating costs'!$B$67=0,C2853=0,AND(C2853&gt;0,'Operating costs'!$B$67&gt;(C2853-1)*12,'Operating costs'!$B$67&lt;=C2853*12))),'Operating costs'!$B$66,0),"n.a."))</f>
        <v>0</v>
      </c>
      <c r="N2853" s="16">
        <f>IF(NOT(Paths!$C$265=1),0,IF(Paths!$P$265="Complete",SUM(G2853:I2853)-J2853-K2853-L2853+M2853+IF(C2853=0,Paths!$F$265,0)+IF(IF(Paths!$E$265=0,C2853=0,AND(C2853&gt;0,Paths!$E$265&gt;(C2853-1)*12,Paths!$E$265&lt;=C2853*12)),VLOOKUP(A2853,'Fleet register'!$A$7:$S$106,16,FALSE),0),"n.a."))</f>
        <v>0</v>
      </c>
      <c r="O2853" s="16">
        <f>IF(NOT(Paths!$C$265=1),0,IF(Paths!$P$265="Complete",N2853-IF(C2853=0,Paths!$F$265,0),"n.a."))</f>
        <v>0</v>
      </c>
      <c r="P2853" s="16">
        <f>IF(NOT(Paths!$C$265=1),0,IF(Paths!$P$265="Complete",O2853+L2853,"n.a."))</f>
        <v>0</v>
      </c>
      <c r="Q2853" s="16">
        <f>IF(NOT(Paths!$C$265=1),0,IF(Paths!$P$265="Complete",N2853*(1+'Operating costs'!$B$54)^-C2853,"n.a."))</f>
        <v>0</v>
      </c>
      <c r="R2853" s="16">
        <f>IF(NOT(Paths!$C$265=1),0,IF(Paths!$P$265="Complete",IF(AND(C2853=0,Paths!$E$265=0),I2853-J2853-K2853+VLOOKUP(A2853,'Fleet register'!$A$7:$S$106,15,FALSE)+VLOOKUP(A2853,'Fleet register'!$A$7:$S$106,16,FALSE),0),"n.a."))</f>
        <v>0</v>
      </c>
      <c r="S2853" s="1">
        <f>IF(NOT(Paths!$C$265=1),0,IF(Paths!$P$265="Complete",IF(C2853=0,0,Paths!$S$265*Paths!$R$265),"n.a."))</f>
        <v>0</v>
      </c>
      <c r="T2853" s="1">
        <f>IF(NOT(Paths!$C$265=1),0,IF(Paths!$P$265="Complete",IF(C2853=0,0,VLOOKUP(A2853,'Fleet register'!$A$7:$S$106,9,FALSE)*Paths!$R$265),"n.a."))</f>
        <v>0</v>
      </c>
    </row>
    <row r="2854" spans="1:20" ht="24" customHeight="1">
      <c r="A2854" s="1" t="str">
        <f>Paths!$A$265</f>
        <v>T065</v>
      </c>
      <c r="B2854" s="1">
        <f>Paths!$B$265</f>
        <v>2</v>
      </c>
      <c r="C2854" s="1">
        <v>9</v>
      </c>
      <c r="D2854" s="1">
        <v>265</v>
      </c>
      <c r="E2854" s="1">
        <f>IF(OR(Paths!$C$265=0,C2854=0),0,MAX(0,MIN(C2854*12,Paths!$E$265)-(C2854-1)*12))</f>
        <v>0</v>
      </c>
      <c r="F2854" s="1">
        <f>IF(OR(Paths!$C$265=0,C2854=0),0,12-E2854)</f>
        <v>0</v>
      </c>
      <c r="G2854" s="16">
        <f>IF(NOT(Paths!$C$265=1),0,IF(Paths!$P$265="Complete",E2854/12*(Paths!$J$265*(1+'Operating costs'!$B$51)^MAX(0,C2854-1)+Paths!$K$265*(1+'Operating costs'!$B$53)^MAX(0,C2854-1)),"n.a."))</f>
        <v>0</v>
      </c>
      <c r="H2854" s="16">
        <f>IF(NOT(Paths!$C$265=1),0,IF(Paths!$P$265="Complete",F2854/12*(Paths!$L$265*(1+IF(Paths!$D$265="EV",'Operating costs'!$B$52,'Operating costs'!$B$51))^MAX(0,C2854-1)+Paths!$M$265*(1+'Operating costs'!$B$53)^MAX(0,C2854-1)),"n.a."))</f>
        <v>0</v>
      </c>
      <c r="I2854" s="16">
        <f>IF(NOT(Paths!$C$265=1),0,IF(Paths!$P$265="Complete",IF(IF(Paths!$E$265=0,C2854=0,AND(C2854&gt;0,Paths!$E$265&gt;(C2854-1)*12,Paths!$E$265&lt;=C2854*12)),Paths!$G$265,0),"n.a."))</f>
        <v>0</v>
      </c>
      <c r="J2854" s="16">
        <f>IF(NOT(Paths!$C$265=1),0,IF(Paths!$P$265="Complete",IF(IF(Paths!$E$265=0,C2854=0,AND(C2854&gt;0,Paths!$E$265&gt;(C2854-1)*12,Paths!$E$265&lt;=C2854*12)),Paths!$H$265,0),"n.a."))</f>
        <v>0</v>
      </c>
      <c r="K2854" s="16">
        <f>IF(NOT(Paths!$C$265=1),0,IF(Paths!$P$265="Complete",IF(IF(Paths!$O$265=0,C2854=0,AND(C2854&gt;0,Paths!$O$265&gt;(C2854-1)*12,Paths!$O$265&lt;=C2854*12)),Paths!$N$265,0),"n.a."))</f>
        <v>0</v>
      </c>
      <c r="L2854" s="16">
        <f>IF(NOT(Paths!$C$265=1),0,IF(Paths!$P$265="Complete",IF(C2854=10,Paths!$I$265,0),"n.a."))</f>
        <v>0</v>
      </c>
      <c r="M2854" s="16">
        <f>IF(NOT(Paths!$C$265=1),0,IF(Paths!$P$265="Complete",IF(AND(Paths!$D$265="EV",Paths!$E$265&lt;120,Paths!$E$265+'Operating costs'!$B$65&gt;Paths!$E$265,Paths!$E$265+'Operating costs'!$B$65&lt;=120,IF(Paths!$E$265+'Operating costs'!$B$65=0,C2854=0,AND(C2854&gt;0,Paths!$E$265+'Operating costs'!$B$65&gt;(C2854-1)*12,Paths!$E$265+'Operating costs'!$B$65&lt;=C2854*12))),'Operating costs'!$B$64,0)+IF(AND('Operating costs'!$B$67&gt;0,'Operating costs'!$B$67&lt;=120,OR(Paths!$D$265="ICE",'Operating costs'!$B$67&lt;=Paths!$E$265),IF('Operating costs'!$B$67=0,C2854=0,AND(C2854&gt;0,'Operating costs'!$B$67&gt;(C2854-1)*12,'Operating costs'!$B$67&lt;=C2854*12))),'Operating costs'!$B$66,0),"n.a."))</f>
        <v>0</v>
      </c>
      <c r="N2854" s="16">
        <f>IF(NOT(Paths!$C$265=1),0,IF(Paths!$P$265="Complete",SUM(G2854:I2854)-J2854-K2854-L2854+M2854+IF(C2854=0,Paths!$F$265,0)+IF(IF(Paths!$E$265=0,C2854=0,AND(C2854&gt;0,Paths!$E$265&gt;(C2854-1)*12,Paths!$E$265&lt;=C2854*12)),VLOOKUP(A2854,'Fleet register'!$A$7:$S$106,16,FALSE),0),"n.a."))</f>
        <v>0</v>
      </c>
      <c r="O2854" s="16">
        <f>IF(NOT(Paths!$C$265=1),0,IF(Paths!$P$265="Complete",N2854-IF(C2854=0,Paths!$F$265,0),"n.a."))</f>
        <v>0</v>
      </c>
      <c r="P2854" s="16">
        <f>IF(NOT(Paths!$C$265=1),0,IF(Paths!$P$265="Complete",O2854+L2854,"n.a."))</f>
        <v>0</v>
      </c>
      <c r="Q2854" s="16">
        <f>IF(NOT(Paths!$C$265=1),0,IF(Paths!$P$265="Complete",N2854*(1+'Operating costs'!$B$54)^-C2854,"n.a."))</f>
        <v>0</v>
      </c>
      <c r="R2854" s="16">
        <f>IF(NOT(Paths!$C$265=1),0,IF(Paths!$P$265="Complete",IF(AND(C2854=0,Paths!$E$265=0),I2854-J2854-K2854+VLOOKUP(A2854,'Fleet register'!$A$7:$S$106,15,FALSE)+VLOOKUP(A2854,'Fleet register'!$A$7:$S$106,16,FALSE),0),"n.a."))</f>
        <v>0</v>
      </c>
      <c r="S2854" s="1">
        <f>IF(NOT(Paths!$C$265=1),0,IF(Paths!$P$265="Complete",IF(C2854=0,0,Paths!$S$265*Paths!$R$265),"n.a."))</f>
        <v>0</v>
      </c>
      <c r="T2854" s="1">
        <f>IF(NOT(Paths!$C$265=1),0,IF(Paths!$P$265="Complete",IF(C2854=0,0,VLOOKUP(A2854,'Fleet register'!$A$7:$S$106,9,FALSE)*Paths!$R$265),"n.a."))</f>
        <v>0</v>
      </c>
    </row>
    <row r="2855" spans="1:20" ht="24" customHeight="1">
      <c r="A2855" s="1" t="str">
        <f>Paths!$A$265</f>
        <v>T065</v>
      </c>
      <c r="B2855" s="1">
        <f>Paths!$B$265</f>
        <v>2</v>
      </c>
      <c r="C2855" s="1">
        <v>10</v>
      </c>
      <c r="D2855" s="1">
        <v>265</v>
      </c>
      <c r="E2855" s="1">
        <f>IF(OR(Paths!$C$265=0,C2855=0),0,MAX(0,MIN(C2855*12,Paths!$E$265)-(C2855-1)*12))</f>
        <v>0</v>
      </c>
      <c r="F2855" s="1">
        <f>IF(OR(Paths!$C$265=0,C2855=0),0,12-E2855)</f>
        <v>0</v>
      </c>
      <c r="G2855" s="16">
        <f>IF(NOT(Paths!$C$265=1),0,IF(Paths!$P$265="Complete",E2855/12*(Paths!$J$265*(1+'Operating costs'!$B$51)^MAX(0,C2855-1)+Paths!$K$265*(1+'Operating costs'!$B$53)^MAX(0,C2855-1)),"n.a."))</f>
        <v>0</v>
      </c>
      <c r="H2855" s="16">
        <f>IF(NOT(Paths!$C$265=1),0,IF(Paths!$P$265="Complete",F2855/12*(Paths!$L$265*(1+IF(Paths!$D$265="EV",'Operating costs'!$B$52,'Operating costs'!$B$51))^MAX(0,C2855-1)+Paths!$M$265*(1+'Operating costs'!$B$53)^MAX(0,C2855-1)),"n.a."))</f>
        <v>0</v>
      </c>
      <c r="I2855" s="16">
        <f>IF(NOT(Paths!$C$265=1),0,IF(Paths!$P$265="Complete",IF(IF(Paths!$E$265=0,C2855=0,AND(C2855&gt;0,Paths!$E$265&gt;(C2855-1)*12,Paths!$E$265&lt;=C2855*12)),Paths!$G$265,0),"n.a."))</f>
        <v>0</v>
      </c>
      <c r="J2855" s="16">
        <f>IF(NOT(Paths!$C$265=1),0,IF(Paths!$P$265="Complete",IF(IF(Paths!$E$265=0,C2855=0,AND(C2855&gt;0,Paths!$E$265&gt;(C2855-1)*12,Paths!$E$265&lt;=C2855*12)),Paths!$H$265,0),"n.a."))</f>
        <v>0</v>
      </c>
      <c r="K2855" s="16">
        <f>IF(NOT(Paths!$C$265=1),0,IF(Paths!$P$265="Complete",IF(IF(Paths!$O$265=0,C2855=0,AND(C2855&gt;0,Paths!$O$265&gt;(C2855-1)*12,Paths!$O$265&lt;=C2855*12)),Paths!$N$265,0),"n.a."))</f>
        <v>0</v>
      </c>
      <c r="L2855" s="16">
        <f>IF(NOT(Paths!$C$265=1),0,IF(Paths!$P$265="Complete",IF(C2855=10,Paths!$I$265,0),"n.a."))</f>
        <v>0</v>
      </c>
      <c r="M2855" s="16">
        <f>IF(NOT(Paths!$C$265=1),0,IF(Paths!$P$265="Complete",IF(AND(Paths!$D$265="EV",Paths!$E$265&lt;120,Paths!$E$265+'Operating costs'!$B$65&gt;Paths!$E$265,Paths!$E$265+'Operating costs'!$B$65&lt;=120,IF(Paths!$E$265+'Operating costs'!$B$65=0,C2855=0,AND(C2855&gt;0,Paths!$E$265+'Operating costs'!$B$65&gt;(C2855-1)*12,Paths!$E$265+'Operating costs'!$B$65&lt;=C2855*12))),'Operating costs'!$B$64,0)+IF(AND('Operating costs'!$B$67&gt;0,'Operating costs'!$B$67&lt;=120,OR(Paths!$D$265="ICE",'Operating costs'!$B$67&lt;=Paths!$E$265),IF('Operating costs'!$B$67=0,C2855=0,AND(C2855&gt;0,'Operating costs'!$B$67&gt;(C2855-1)*12,'Operating costs'!$B$67&lt;=C2855*12))),'Operating costs'!$B$66,0),"n.a."))</f>
        <v>0</v>
      </c>
      <c r="N2855" s="16">
        <f>IF(NOT(Paths!$C$265=1),0,IF(Paths!$P$265="Complete",SUM(G2855:I2855)-J2855-K2855-L2855+M2855+IF(C2855=0,Paths!$F$265,0)+IF(IF(Paths!$E$265=0,C2855=0,AND(C2855&gt;0,Paths!$E$265&gt;(C2855-1)*12,Paths!$E$265&lt;=C2855*12)),VLOOKUP(A2855,'Fleet register'!$A$7:$S$106,16,FALSE),0),"n.a."))</f>
        <v>0</v>
      </c>
      <c r="O2855" s="16">
        <f>IF(NOT(Paths!$C$265=1),0,IF(Paths!$P$265="Complete",N2855-IF(C2855=0,Paths!$F$265,0),"n.a."))</f>
        <v>0</v>
      </c>
      <c r="P2855" s="16">
        <f>IF(NOT(Paths!$C$265=1),0,IF(Paths!$P$265="Complete",O2855+L2855,"n.a."))</f>
        <v>0</v>
      </c>
      <c r="Q2855" s="16">
        <f>IF(NOT(Paths!$C$265=1),0,IF(Paths!$P$265="Complete",N2855*(1+'Operating costs'!$B$54)^-C2855,"n.a."))</f>
        <v>0</v>
      </c>
      <c r="R2855" s="16">
        <f>IF(NOT(Paths!$C$265=1),0,IF(Paths!$P$265="Complete",IF(AND(C2855=0,Paths!$E$265=0),I2855-J2855-K2855+VLOOKUP(A2855,'Fleet register'!$A$7:$S$106,15,FALSE)+VLOOKUP(A2855,'Fleet register'!$A$7:$S$106,16,FALSE),0),"n.a."))</f>
        <v>0</v>
      </c>
      <c r="S2855" s="1">
        <f>IF(NOT(Paths!$C$265=1),0,IF(Paths!$P$265="Complete",IF(C2855=0,0,Paths!$S$265*Paths!$R$265),"n.a."))</f>
        <v>0</v>
      </c>
      <c r="T2855" s="1">
        <f>IF(NOT(Paths!$C$265=1),0,IF(Paths!$P$265="Complete",IF(C2855=0,0,VLOOKUP(A2855,'Fleet register'!$A$7:$S$106,9,FALSE)*Paths!$R$265),"n.a."))</f>
        <v>0</v>
      </c>
    </row>
    <row r="2856" spans="1:20" ht="24" customHeight="1">
      <c r="A2856" s="1" t="str">
        <f>Paths!$A$266</f>
        <v>T065</v>
      </c>
      <c r="B2856" s="1">
        <f>Paths!$B$266</f>
        <v>3</v>
      </c>
      <c r="C2856" s="1">
        <v>0</v>
      </c>
      <c r="D2856" s="1">
        <v>266</v>
      </c>
      <c r="E2856" s="1">
        <f>IF(OR(Paths!$C$266=0,C2856=0),0,MAX(0,MIN(C2856*12,Paths!$E$266)-(C2856-1)*12))</f>
        <v>0</v>
      </c>
      <c r="F2856" s="1">
        <f>IF(OR(Paths!$C$266=0,C2856=0),0,12-E2856)</f>
        <v>0</v>
      </c>
      <c r="G2856" s="16">
        <f>IF(NOT(Paths!$C$266=1),0,IF(Paths!$P$266="Complete",E2856/12*(Paths!$J$266*(1+'Operating costs'!$B$51)^MAX(0,C2856-1)+Paths!$K$266*(1+'Operating costs'!$B$53)^MAX(0,C2856-1)),"n.a."))</f>
        <v>0</v>
      </c>
      <c r="H2856" s="16">
        <f>IF(NOT(Paths!$C$266=1),0,IF(Paths!$P$266="Complete",F2856/12*(Paths!$L$266*(1+IF(Paths!$D$266="EV",'Operating costs'!$B$52,'Operating costs'!$B$51))^MAX(0,C2856-1)+Paths!$M$266*(1+'Operating costs'!$B$53)^MAX(0,C2856-1)),"n.a."))</f>
        <v>0</v>
      </c>
      <c r="I2856" s="16">
        <f>IF(NOT(Paths!$C$266=1),0,IF(Paths!$P$266="Complete",IF(IF(Paths!$E$266=0,C2856=0,AND(C2856&gt;0,Paths!$E$266&gt;(C2856-1)*12,Paths!$E$266&lt;=C2856*12)),Paths!$G$266,0),"n.a."))</f>
        <v>0</v>
      </c>
      <c r="J2856" s="16">
        <f>IF(NOT(Paths!$C$266=1),0,IF(Paths!$P$266="Complete",IF(IF(Paths!$E$266=0,C2856=0,AND(C2856&gt;0,Paths!$E$266&gt;(C2856-1)*12,Paths!$E$266&lt;=C2856*12)),Paths!$H$266,0),"n.a."))</f>
        <v>0</v>
      </c>
      <c r="K2856" s="16">
        <f>IF(NOT(Paths!$C$266=1),0,IF(Paths!$P$266="Complete",IF(IF(Paths!$O$266=0,C2856=0,AND(C2856&gt;0,Paths!$O$266&gt;(C2856-1)*12,Paths!$O$266&lt;=C2856*12)),Paths!$N$266,0),"n.a."))</f>
        <v>0</v>
      </c>
      <c r="L2856" s="16">
        <f>IF(NOT(Paths!$C$266=1),0,IF(Paths!$P$266="Complete",IF(C2856=10,Paths!$I$266,0),"n.a."))</f>
        <v>0</v>
      </c>
      <c r="M2856" s="16">
        <f>IF(NOT(Paths!$C$266=1),0,IF(Paths!$P$266="Complete",IF(AND(Paths!$D$266="EV",Paths!$E$266&lt;120,Paths!$E$266+'Operating costs'!$B$65&gt;Paths!$E$266,Paths!$E$266+'Operating costs'!$B$65&lt;=120,IF(Paths!$E$266+'Operating costs'!$B$65=0,C2856=0,AND(C2856&gt;0,Paths!$E$266+'Operating costs'!$B$65&gt;(C2856-1)*12,Paths!$E$266+'Operating costs'!$B$65&lt;=C2856*12))),'Operating costs'!$B$64,0)+IF(AND('Operating costs'!$B$67&gt;0,'Operating costs'!$B$67&lt;=120,OR(Paths!$D$266="ICE",'Operating costs'!$B$67&lt;=Paths!$E$266),IF('Operating costs'!$B$67=0,C2856=0,AND(C2856&gt;0,'Operating costs'!$B$67&gt;(C2856-1)*12,'Operating costs'!$B$67&lt;=C2856*12))),'Operating costs'!$B$66,0),"n.a."))</f>
        <v>0</v>
      </c>
      <c r="N2856" s="16">
        <f>IF(NOT(Paths!$C$266=1),0,IF(Paths!$P$266="Complete",SUM(G2856:I2856)-J2856-K2856-L2856+M2856+IF(C2856=0,Paths!$F$266,0)+IF(IF(Paths!$E$266=0,C2856=0,AND(C2856&gt;0,Paths!$E$266&gt;(C2856-1)*12,Paths!$E$266&lt;=C2856*12)),VLOOKUP(A2856,'Fleet register'!$A$7:$S$106,16,FALSE),0),"n.a."))</f>
        <v>0</v>
      </c>
      <c r="O2856" s="16">
        <f>IF(NOT(Paths!$C$266=1),0,IF(Paths!$P$266="Complete",N2856-IF(C2856=0,Paths!$F$266,0),"n.a."))</f>
        <v>0</v>
      </c>
      <c r="P2856" s="16">
        <f>IF(NOT(Paths!$C$266=1),0,IF(Paths!$P$266="Complete",O2856+L2856,"n.a."))</f>
        <v>0</v>
      </c>
      <c r="Q2856" s="16">
        <f>IF(NOT(Paths!$C$266=1),0,IF(Paths!$P$266="Complete",N2856*(1+'Operating costs'!$B$54)^-C2856,"n.a."))</f>
        <v>0</v>
      </c>
      <c r="R2856" s="16">
        <f>IF(NOT(Paths!$C$266=1),0,IF(Paths!$P$266="Complete",IF(AND(C2856=0,Paths!$E$266=0),I2856-J2856-K2856+VLOOKUP(A2856,'Fleet register'!$A$7:$S$106,15,FALSE)+VLOOKUP(A2856,'Fleet register'!$A$7:$S$106,16,FALSE),0),"n.a."))</f>
        <v>0</v>
      </c>
      <c r="S2856" s="1">
        <f>IF(NOT(Paths!$C$266=1),0,IF(Paths!$P$266="Complete",IF(C2856=0,0,Paths!$S$266*Paths!$R$266),"n.a."))</f>
        <v>0</v>
      </c>
      <c r="T2856" s="1">
        <f>IF(NOT(Paths!$C$266=1),0,IF(Paths!$P$266="Complete",IF(C2856=0,0,VLOOKUP(A2856,'Fleet register'!$A$7:$S$106,9,FALSE)*Paths!$R$266),"n.a."))</f>
        <v>0</v>
      </c>
    </row>
    <row r="2857" spans="1:20" ht="24" customHeight="1">
      <c r="A2857" s="1" t="str">
        <f>Paths!$A$266</f>
        <v>T065</v>
      </c>
      <c r="B2857" s="1">
        <f>Paths!$B$266</f>
        <v>3</v>
      </c>
      <c r="C2857" s="1">
        <v>1</v>
      </c>
      <c r="D2857" s="1">
        <v>266</v>
      </c>
      <c r="E2857" s="1">
        <f>IF(OR(Paths!$C$266=0,C2857=0),0,MAX(0,MIN(C2857*12,Paths!$E$266)-(C2857-1)*12))</f>
        <v>0</v>
      </c>
      <c r="F2857" s="1">
        <f>IF(OR(Paths!$C$266=0,C2857=0),0,12-E2857)</f>
        <v>0</v>
      </c>
      <c r="G2857" s="16">
        <f>IF(NOT(Paths!$C$266=1),0,IF(Paths!$P$266="Complete",E2857/12*(Paths!$J$266*(1+'Operating costs'!$B$51)^MAX(0,C2857-1)+Paths!$K$266*(1+'Operating costs'!$B$53)^MAX(0,C2857-1)),"n.a."))</f>
        <v>0</v>
      </c>
      <c r="H2857" s="16">
        <f>IF(NOT(Paths!$C$266=1),0,IF(Paths!$P$266="Complete",F2857/12*(Paths!$L$266*(1+IF(Paths!$D$266="EV",'Operating costs'!$B$52,'Operating costs'!$B$51))^MAX(0,C2857-1)+Paths!$M$266*(1+'Operating costs'!$B$53)^MAX(0,C2857-1)),"n.a."))</f>
        <v>0</v>
      </c>
      <c r="I2857" s="16">
        <f>IF(NOT(Paths!$C$266=1),0,IF(Paths!$P$266="Complete",IF(IF(Paths!$E$266=0,C2857=0,AND(C2857&gt;0,Paths!$E$266&gt;(C2857-1)*12,Paths!$E$266&lt;=C2857*12)),Paths!$G$266,0),"n.a."))</f>
        <v>0</v>
      </c>
      <c r="J2857" s="16">
        <f>IF(NOT(Paths!$C$266=1),0,IF(Paths!$P$266="Complete",IF(IF(Paths!$E$266=0,C2857=0,AND(C2857&gt;0,Paths!$E$266&gt;(C2857-1)*12,Paths!$E$266&lt;=C2857*12)),Paths!$H$266,0),"n.a."))</f>
        <v>0</v>
      </c>
      <c r="K2857" s="16">
        <f>IF(NOT(Paths!$C$266=1),0,IF(Paths!$P$266="Complete",IF(IF(Paths!$O$266=0,C2857=0,AND(C2857&gt;0,Paths!$O$266&gt;(C2857-1)*12,Paths!$O$266&lt;=C2857*12)),Paths!$N$266,0),"n.a."))</f>
        <v>0</v>
      </c>
      <c r="L2857" s="16">
        <f>IF(NOT(Paths!$C$266=1),0,IF(Paths!$P$266="Complete",IF(C2857=10,Paths!$I$266,0),"n.a."))</f>
        <v>0</v>
      </c>
      <c r="M2857" s="16">
        <f>IF(NOT(Paths!$C$266=1),0,IF(Paths!$P$266="Complete",IF(AND(Paths!$D$266="EV",Paths!$E$266&lt;120,Paths!$E$266+'Operating costs'!$B$65&gt;Paths!$E$266,Paths!$E$266+'Operating costs'!$B$65&lt;=120,IF(Paths!$E$266+'Operating costs'!$B$65=0,C2857=0,AND(C2857&gt;0,Paths!$E$266+'Operating costs'!$B$65&gt;(C2857-1)*12,Paths!$E$266+'Operating costs'!$B$65&lt;=C2857*12))),'Operating costs'!$B$64,0)+IF(AND('Operating costs'!$B$67&gt;0,'Operating costs'!$B$67&lt;=120,OR(Paths!$D$266="ICE",'Operating costs'!$B$67&lt;=Paths!$E$266),IF('Operating costs'!$B$67=0,C2857=0,AND(C2857&gt;0,'Operating costs'!$B$67&gt;(C2857-1)*12,'Operating costs'!$B$67&lt;=C2857*12))),'Operating costs'!$B$66,0),"n.a."))</f>
        <v>0</v>
      </c>
      <c r="N2857" s="16">
        <f>IF(NOT(Paths!$C$266=1),0,IF(Paths!$P$266="Complete",SUM(G2857:I2857)-J2857-K2857-L2857+M2857+IF(C2857=0,Paths!$F$266,0)+IF(IF(Paths!$E$266=0,C2857=0,AND(C2857&gt;0,Paths!$E$266&gt;(C2857-1)*12,Paths!$E$266&lt;=C2857*12)),VLOOKUP(A2857,'Fleet register'!$A$7:$S$106,16,FALSE),0),"n.a."))</f>
        <v>0</v>
      </c>
      <c r="O2857" s="16">
        <f>IF(NOT(Paths!$C$266=1),0,IF(Paths!$P$266="Complete",N2857-IF(C2857=0,Paths!$F$266,0),"n.a."))</f>
        <v>0</v>
      </c>
      <c r="P2857" s="16">
        <f>IF(NOT(Paths!$C$266=1),0,IF(Paths!$P$266="Complete",O2857+L2857,"n.a."))</f>
        <v>0</v>
      </c>
      <c r="Q2857" s="16">
        <f>IF(NOT(Paths!$C$266=1),0,IF(Paths!$P$266="Complete",N2857*(1+'Operating costs'!$B$54)^-C2857,"n.a."))</f>
        <v>0</v>
      </c>
      <c r="R2857" s="16">
        <f>IF(NOT(Paths!$C$266=1),0,IF(Paths!$P$266="Complete",IF(AND(C2857=0,Paths!$E$266=0),I2857-J2857-K2857+VLOOKUP(A2857,'Fleet register'!$A$7:$S$106,15,FALSE)+VLOOKUP(A2857,'Fleet register'!$A$7:$S$106,16,FALSE),0),"n.a."))</f>
        <v>0</v>
      </c>
      <c r="S2857" s="1">
        <f>IF(NOT(Paths!$C$266=1),0,IF(Paths!$P$266="Complete",IF(C2857=0,0,Paths!$S$266*Paths!$R$266),"n.a."))</f>
        <v>0</v>
      </c>
      <c r="T2857" s="1">
        <f>IF(NOT(Paths!$C$266=1),0,IF(Paths!$P$266="Complete",IF(C2857=0,0,VLOOKUP(A2857,'Fleet register'!$A$7:$S$106,9,FALSE)*Paths!$R$266),"n.a."))</f>
        <v>0</v>
      </c>
    </row>
    <row r="2858" spans="1:20" ht="24" customHeight="1">
      <c r="A2858" s="1" t="str">
        <f>Paths!$A$266</f>
        <v>T065</v>
      </c>
      <c r="B2858" s="1">
        <f>Paths!$B$266</f>
        <v>3</v>
      </c>
      <c r="C2858" s="1">
        <v>2</v>
      </c>
      <c r="D2858" s="1">
        <v>266</v>
      </c>
      <c r="E2858" s="1">
        <f>IF(OR(Paths!$C$266=0,C2858=0),0,MAX(0,MIN(C2858*12,Paths!$E$266)-(C2858-1)*12))</f>
        <v>0</v>
      </c>
      <c r="F2858" s="1">
        <f>IF(OR(Paths!$C$266=0,C2858=0),0,12-E2858)</f>
        <v>0</v>
      </c>
      <c r="G2858" s="16">
        <f>IF(NOT(Paths!$C$266=1),0,IF(Paths!$P$266="Complete",E2858/12*(Paths!$J$266*(1+'Operating costs'!$B$51)^MAX(0,C2858-1)+Paths!$K$266*(1+'Operating costs'!$B$53)^MAX(0,C2858-1)),"n.a."))</f>
        <v>0</v>
      </c>
      <c r="H2858" s="16">
        <f>IF(NOT(Paths!$C$266=1),0,IF(Paths!$P$266="Complete",F2858/12*(Paths!$L$266*(1+IF(Paths!$D$266="EV",'Operating costs'!$B$52,'Operating costs'!$B$51))^MAX(0,C2858-1)+Paths!$M$266*(1+'Operating costs'!$B$53)^MAX(0,C2858-1)),"n.a."))</f>
        <v>0</v>
      </c>
      <c r="I2858" s="16">
        <f>IF(NOT(Paths!$C$266=1),0,IF(Paths!$P$266="Complete",IF(IF(Paths!$E$266=0,C2858=0,AND(C2858&gt;0,Paths!$E$266&gt;(C2858-1)*12,Paths!$E$266&lt;=C2858*12)),Paths!$G$266,0),"n.a."))</f>
        <v>0</v>
      </c>
      <c r="J2858" s="16">
        <f>IF(NOT(Paths!$C$266=1),0,IF(Paths!$P$266="Complete",IF(IF(Paths!$E$266=0,C2858=0,AND(C2858&gt;0,Paths!$E$266&gt;(C2858-1)*12,Paths!$E$266&lt;=C2858*12)),Paths!$H$266,0),"n.a."))</f>
        <v>0</v>
      </c>
      <c r="K2858" s="16">
        <f>IF(NOT(Paths!$C$266=1),0,IF(Paths!$P$266="Complete",IF(IF(Paths!$O$266=0,C2858=0,AND(C2858&gt;0,Paths!$O$266&gt;(C2858-1)*12,Paths!$O$266&lt;=C2858*12)),Paths!$N$266,0),"n.a."))</f>
        <v>0</v>
      </c>
      <c r="L2858" s="16">
        <f>IF(NOT(Paths!$C$266=1),0,IF(Paths!$P$266="Complete",IF(C2858=10,Paths!$I$266,0),"n.a."))</f>
        <v>0</v>
      </c>
      <c r="M2858" s="16">
        <f>IF(NOT(Paths!$C$266=1),0,IF(Paths!$P$266="Complete",IF(AND(Paths!$D$266="EV",Paths!$E$266&lt;120,Paths!$E$266+'Operating costs'!$B$65&gt;Paths!$E$266,Paths!$E$266+'Operating costs'!$B$65&lt;=120,IF(Paths!$E$266+'Operating costs'!$B$65=0,C2858=0,AND(C2858&gt;0,Paths!$E$266+'Operating costs'!$B$65&gt;(C2858-1)*12,Paths!$E$266+'Operating costs'!$B$65&lt;=C2858*12))),'Operating costs'!$B$64,0)+IF(AND('Operating costs'!$B$67&gt;0,'Operating costs'!$B$67&lt;=120,OR(Paths!$D$266="ICE",'Operating costs'!$B$67&lt;=Paths!$E$266),IF('Operating costs'!$B$67=0,C2858=0,AND(C2858&gt;0,'Operating costs'!$B$67&gt;(C2858-1)*12,'Operating costs'!$B$67&lt;=C2858*12))),'Operating costs'!$B$66,0),"n.a."))</f>
        <v>0</v>
      </c>
      <c r="N2858" s="16">
        <f>IF(NOT(Paths!$C$266=1),0,IF(Paths!$P$266="Complete",SUM(G2858:I2858)-J2858-K2858-L2858+M2858+IF(C2858=0,Paths!$F$266,0)+IF(IF(Paths!$E$266=0,C2858=0,AND(C2858&gt;0,Paths!$E$266&gt;(C2858-1)*12,Paths!$E$266&lt;=C2858*12)),VLOOKUP(A2858,'Fleet register'!$A$7:$S$106,16,FALSE),0),"n.a."))</f>
        <v>0</v>
      </c>
      <c r="O2858" s="16">
        <f>IF(NOT(Paths!$C$266=1),0,IF(Paths!$P$266="Complete",N2858-IF(C2858=0,Paths!$F$266,0),"n.a."))</f>
        <v>0</v>
      </c>
      <c r="P2858" s="16">
        <f>IF(NOT(Paths!$C$266=1),0,IF(Paths!$P$266="Complete",O2858+L2858,"n.a."))</f>
        <v>0</v>
      </c>
      <c r="Q2858" s="16">
        <f>IF(NOT(Paths!$C$266=1),0,IF(Paths!$P$266="Complete",N2858*(1+'Operating costs'!$B$54)^-C2858,"n.a."))</f>
        <v>0</v>
      </c>
      <c r="R2858" s="16">
        <f>IF(NOT(Paths!$C$266=1),0,IF(Paths!$P$266="Complete",IF(AND(C2858=0,Paths!$E$266=0),I2858-J2858-K2858+VLOOKUP(A2858,'Fleet register'!$A$7:$S$106,15,FALSE)+VLOOKUP(A2858,'Fleet register'!$A$7:$S$106,16,FALSE),0),"n.a."))</f>
        <v>0</v>
      </c>
      <c r="S2858" s="1">
        <f>IF(NOT(Paths!$C$266=1),0,IF(Paths!$P$266="Complete",IF(C2858=0,0,Paths!$S$266*Paths!$R$266),"n.a."))</f>
        <v>0</v>
      </c>
      <c r="T2858" s="1">
        <f>IF(NOT(Paths!$C$266=1),0,IF(Paths!$P$266="Complete",IF(C2858=0,0,VLOOKUP(A2858,'Fleet register'!$A$7:$S$106,9,FALSE)*Paths!$R$266),"n.a."))</f>
        <v>0</v>
      </c>
    </row>
    <row r="2859" spans="1:20" ht="24" customHeight="1">
      <c r="A2859" s="1" t="str">
        <f>Paths!$A$266</f>
        <v>T065</v>
      </c>
      <c r="B2859" s="1">
        <f>Paths!$B$266</f>
        <v>3</v>
      </c>
      <c r="C2859" s="1">
        <v>3</v>
      </c>
      <c r="D2859" s="1">
        <v>266</v>
      </c>
      <c r="E2859" s="1">
        <f>IF(OR(Paths!$C$266=0,C2859=0),0,MAX(0,MIN(C2859*12,Paths!$E$266)-(C2859-1)*12))</f>
        <v>0</v>
      </c>
      <c r="F2859" s="1">
        <f>IF(OR(Paths!$C$266=0,C2859=0),0,12-E2859)</f>
        <v>0</v>
      </c>
      <c r="G2859" s="16">
        <f>IF(NOT(Paths!$C$266=1),0,IF(Paths!$P$266="Complete",E2859/12*(Paths!$J$266*(1+'Operating costs'!$B$51)^MAX(0,C2859-1)+Paths!$K$266*(1+'Operating costs'!$B$53)^MAX(0,C2859-1)),"n.a."))</f>
        <v>0</v>
      </c>
      <c r="H2859" s="16">
        <f>IF(NOT(Paths!$C$266=1),0,IF(Paths!$P$266="Complete",F2859/12*(Paths!$L$266*(1+IF(Paths!$D$266="EV",'Operating costs'!$B$52,'Operating costs'!$B$51))^MAX(0,C2859-1)+Paths!$M$266*(1+'Operating costs'!$B$53)^MAX(0,C2859-1)),"n.a."))</f>
        <v>0</v>
      </c>
      <c r="I2859" s="16">
        <f>IF(NOT(Paths!$C$266=1),0,IF(Paths!$P$266="Complete",IF(IF(Paths!$E$266=0,C2859=0,AND(C2859&gt;0,Paths!$E$266&gt;(C2859-1)*12,Paths!$E$266&lt;=C2859*12)),Paths!$G$266,0),"n.a."))</f>
        <v>0</v>
      </c>
      <c r="J2859" s="16">
        <f>IF(NOT(Paths!$C$266=1),0,IF(Paths!$P$266="Complete",IF(IF(Paths!$E$266=0,C2859=0,AND(C2859&gt;0,Paths!$E$266&gt;(C2859-1)*12,Paths!$E$266&lt;=C2859*12)),Paths!$H$266,0),"n.a."))</f>
        <v>0</v>
      </c>
      <c r="K2859" s="16">
        <f>IF(NOT(Paths!$C$266=1),0,IF(Paths!$P$266="Complete",IF(IF(Paths!$O$266=0,C2859=0,AND(C2859&gt;0,Paths!$O$266&gt;(C2859-1)*12,Paths!$O$266&lt;=C2859*12)),Paths!$N$266,0),"n.a."))</f>
        <v>0</v>
      </c>
      <c r="L2859" s="16">
        <f>IF(NOT(Paths!$C$266=1),0,IF(Paths!$P$266="Complete",IF(C2859=10,Paths!$I$266,0),"n.a."))</f>
        <v>0</v>
      </c>
      <c r="M2859" s="16">
        <f>IF(NOT(Paths!$C$266=1),0,IF(Paths!$P$266="Complete",IF(AND(Paths!$D$266="EV",Paths!$E$266&lt;120,Paths!$E$266+'Operating costs'!$B$65&gt;Paths!$E$266,Paths!$E$266+'Operating costs'!$B$65&lt;=120,IF(Paths!$E$266+'Operating costs'!$B$65=0,C2859=0,AND(C2859&gt;0,Paths!$E$266+'Operating costs'!$B$65&gt;(C2859-1)*12,Paths!$E$266+'Operating costs'!$B$65&lt;=C2859*12))),'Operating costs'!$B$64,0)+IF(AND('Operating costs'!$B$67&gt;0,'Operating costs'!$B$67&lt;=120,OR(Paths!$D$266="ICE",'Operating costs'!$B$67&lt;=Paths!$E$266),IF('Operating costs'!$B$67=0,C2859=0,AND(C2859&gt;0,'Operating costs'!$B$67&gt;(C2859-1)*12,'Operating costs'!$B$67&lt;=C2859*12))),'Operating costs'!$B$66,0),"n.a."))</f>
        <v>0</v>
      </c>
      <c r="N2859" s="16">
        <f>IF(NOT(Paths!$C$266=1),0,IF(Paths!$P$266="Complete",SUM(G2859:I2859)-J2859-K2859-L2859+M2859+IF(C2859=0,Paths!$F$266,0)+IF(IF(Paths!$E$266=0,C2859=0,AND(C2859&gt;0,Paths!$E$266&gt;(C2859-1)*12,Paths!$E$266&lt;=C2859*12)),VLOOKUP(A2859,'Fleet register'!$A$7:$S$106,16,FALSE),0),"n.a."))</f>
        <v>0</v>
      </c>
      <c r="O2859" s="16">
        <f>IF(NOT(Paths!$C$266=1),0,IF(Paths!$P$266="Complete",N2859-IF(C2859=0,Paths!$F$266,0),"n.a."))</f>
        <v>0</v>
      </c>
      <c r="P2859" s="16">
        <f>IF(NOT(Paths!$C$266=1),0,IF(Paths!$P$266="Complete",O2859+L2859,"n.a."))</f>
        <v>0</v>
      </c>
      <c r="Q2859" s="16">
        <f>IF(NOT(Paths!$C$266=1),0,IF(Paths!$P$266="Complete",N2859*(1+'Operating costs'!$B$54)^-C2859,"n.a."))</f>
        <v>0</v>
      </c>
      <c r="R2859" s="16">
        <f>IF(NOT(Paths!$C$266=1),0,IF(Paths!$P$266="Complete",IF(AND(C2859=0,Paths!$E$266=0),I2859-J2859-K2859+VLOOKUP(A2859,'Fleet register'!$A$7:$S$106,15,FALSE)+VLOOKUP(A2859,'Fleet register'!$A$7:$S$106,16,FALSE),0),"n.a."))</f>
        <v>0</v>
      </c>
      <c r="S2859" s="1">
        <f>IF(NOT(Paths!$C$266=1),0,IF(Paths!$P$266="Complete",IF(C2859=0,0,Paths!$S$266*Paths!$R$266),"n.a."))</f>
        <v>0</v>
      </c>
      <c r="T2859" s="1">
        <f>IF(NOT(Paths!$C$266=1),0,IF(Paths!$P$266="Complete",IF(C2859=0,0,VLOOKUP(A2859,'Fleet register'!$A$7:$S$106,9,FALSE)*Paths!$R$266),"n.a."))</f>
        <v>0</v>
      </c>
    </row>
    <row r="2860" spans="1:20" ht="24" customHeight="1">
      <c r="A2860" s="1" t="str">
        <f>Paths!$A$266</f>
        <v>T065</v>
      </c>
      <c r="B2860" s="1">
        <f>Paths!$B$266</f>
        <v>3</v>
      </c>
      <c r="C2860" s="1">
        <v>4</v>
      </c>
      <c r="D2860" s="1">
        <v>266</v>
      </c>
      <c r="E2860" s="1">
        <f>IF(OR(Paths!$C$266=0,C2860=0),0,MAX(0,MIN(C2860*12,Paths!$E$266)-(C2860-1)*12))</f>
        <v>0</v>
      </c>
      <c r="F2860" s="1">
        <f>IF(OR(Paths!$C$266=0,C2860=0),0,12-E2860)</f>
        <v>0</v>
      </c>
      <c r="G2860" s="16">
        <f>IF(NOT(Paths!$C$266=1),0,IF(Paths!$P$266="Complete",E2860/12*(Paths!$J$266*(1+'Operating costs'!$B$51)^MAX(0,C2860-1)+Paths!$K$266*(1+'Operating costs'!$B$53)^MAX(0,C2860-1)),"n.a."))</f>
        <v>0</v>
      </c>
      <c r="H2860" s="16">
        <f>IF(NOT(Paths!$C$266=1),0,IF(Paths!$P$266="Complete",F2860/12*(Paths!$L$266*(1+IF(Paths!$D$266="EV",'Operating costs'!$B$52,'Operating costs'!$B$51))^MAX(0,C2860-1)+Paths!$M$266*(1+'Operating costs'!$B$53)^MAX(0,C2860-1)),"n.a."))</f>
        <v>0</v>
      </c>
      <c r="I2860" s="16">
        <f>IF(NOT(Paths!$C$266=1),0,IF(Paths!$P$266="Complete",IF(IF(Paths!$E$266=0,C2860=0,AND(C2860&gt;0,Paths!$E$266&gt;(C2860-1)*12,Paths!$E$266&lt;=C2860*12)),Paths!$G$266,0),"n.a."))</f>
        <v>0</v>
      </c>
      <c r="J2860" s="16">
        <f>IF(NOT(Paths!$C$266=1),0,IF(Paths!$P$266="Complete",IF(IF(Paths!$E$266=0,C2860=0,AND(C2860&gt;0,Paths!$E$266&gt;(C2860-1)*12,Paths!$E$266&lt;=C2860*12)),Paths!$H$266,0),"n.a."))</f>
        <v>0</v>
      </c>
      <c r="K2860" s="16">
        <f>IF(NOT(Paths!$C$266=1),0,IF(Paths!$P$266="Complete",IF(IF(Paths!$O$266=0,C2860=0,AND(C2860&gt;0,Paths!$O$266&gt;(C2860-1)*12,Paths!$O$266&lt;=C2860*12)),Paths!$N$266,0),"n.a."))</f>
        <v>0</v>
      </c>
      <c r="L2860" s="16">
        <f>IF(NOT(Paths!$C$266=1),0,IF(Paths!$P$266="Complete",IF(C2860=10,Paths!$I$266,0),"n.a."))</f>
        <v>0</v>
      </c>
      <c r="M2860" s="16">
        <f>IF(NOT(Paths!$C$266=1),0,IF(Paths!$P$266="Complete",IF(AND(Paths!$D$266="EV",Paths!$E$266&lt;120,Paths!$E$266+'Operating costs'!$B$65&gt;Paths!$E$266,Paths!$E$266+'Operating costs'!$B$65&lt;=120,IF(Paths!$E$266+'Operating costs'!$B$65=0,C2860=0,AND(C2860&gt;0,Paths!$E$266+'Operating costs'!$B$65&gt;(C2860-1)*12,Paths!$E$266+'Operating costs'!$B$65&lt;=C2860*12))),'Operating costs'!$B$64,0)+IF(AND('Operating costs'!$B$67&gt;0,'Operating costs'!$B$67&lt;=120,OR(Paths!$D$266="ICE",'Operating costs'!$B$67&lt;=Paths!$E$266),IF('Operating costs'!$B$67=0,C2860=0,AND(C2860&gt;0,'Operating costs'!$B$67&gt;(C2860-1)*12,'Operating costs'!$B$67&lt;=C2860*12))),'Operating costs'!$B$66,0),"n.a."))</f>
        <v>0</v>
      </c>
      <c r="N2860" s="16">
        <f>IF(NOT(Paths!$C$266=1),0,IF(Paths!$P$266="Complete",SUM(G2860:I2860)-J2860-K2860-L2860+M2860+IF(C2860=0,Paths!$F$266,0)+IF(IF(Paths!$E$266=0,C2860=0,AND(C2860&gt;0,Paths!$E$266&gt;(C2860-1)*12,Paths!$E$266&lt;=C2860*12)),VLOOKUP(A2860,'Fleet register'!$A$7:$S$106,16,FALSE),0),"n.a."))</f>
        <v>0</v>
      </c>
      <c r="O2860" s="16">
        <f>IF(NOT(Paths!$C$266=1),0,IF(Paths!$P$266="Complete",N2860-IF(C2860=0,Paths!$F$266,0),"n.a."))</f>
        <v>0</v>
      </c>
      <c r="P2860" s="16">
        <f>IF(NOT(Paths!$C$266=1),0,IF(Paths!$P$266="Complete",O2860+L2860,"n.a."))</f>
        <v>0</v>
      </c>
      <c r="Q2860" s="16">
        <f>IF(NOT(Paths!$C$266=1),0,IF(Paths!$P$266="Complete",N2860*(1+'Operating costs'!$B$54)^-C2860,"n.a."))</f>
        <v>0</v>
      </c>
      <c r="R2860" s="16">
        <f>IF(NOT(Paths!$C$266=1),0,IF(Paths!$P$266="Complete",IF(AND(C2860=0,Paths!$E$266=0),I2860-J2860-K2860+VLOOKUP(A2860,'Fleet register'!$A$7:$S$106,15,FALSE)+VLOOKUP(A2860,'Fleet register'!$A$7:$S$106,16,FALSE),0),"n.a."))</f>
        <v>0</v>
      </c>
      <c r="S2860" s="1">
        <f>IF(NOT(Paths!$C$266=1),0,IF(Paths!$P$266="Complete",IF(C2860=0,0,Paths!$S$266*Paths!$R$266),"n.a."))</f>
        <v>0</v>
      </c>
      <c r="T2860" s="1">
        <f>IF(NOT(Paths!$C$266=1),0,IF(Paths!$P$266="Complete",IF(C2860=0,0,VLOOKUP(A2860,'Fleet register'!$A$7:$S$106,9,FALSE)*Paths!$R$266),"n.a."))</f>
        <v>0</v>
      </c>
    </row>
    <row r="2861" spans="1:20" ht="24" customHeight="1">
      <c r="A2861" s="1" t="str">
        <f>Paths!$A$266</f>
        <v>T065</v>
      </c>
      <c r="B2861" s="1">
        <f>Paths!$B$266</f>
        <v>3</v>
      </c>
      <c r="C2861" s="1">
        <v>5</v>
      </c>
      <c r="D2861" s="1">
        <v>266</v>
      </c>
      <c r="E2861" s="1">
        <f>IF(OR(Paths!$C$266=0,C2861=0),0,MAX(0,MIN(C2861*12,Paths!$E$266)-(C2861-1)*12))</f>
        <v>0</v>
      </c>
      <c r="F2861" s="1">
        <f>IF(OR(Paths!$C$266=0,C2861=0),0,12-E2861)</f>
        <v>0</v>
      </c>
      <c r="G2861" s="16">
        <f>IF(NOT(Paths!$C$266=1),0,IF(Paths!$P$266="Complete",E2861/12*(Paths!$J$266*(1+'Operating costs'!$B$51)^MAX(0,C2861-1)+Paths!$K$266*(1+'Operating costs'!$B$53)^MAX(0,C2861-1)),"n.a."))</f>
        <v>0</v>
      </c>
      <c r="H2861" s="16">
        <f>IF(NOT(Paths!$C$266=1),0,IF(Paths!$P$266="Complete",F2861/12*(Paths!$L$266*(1+IF(Paths!$D$266="EV",'Operating costs'!$B$52,'Operating costs'!$B$51))^MAX(0,C2861-1)+Paths!$M$266*(1+'Operating costs'!$B$53)^MAX(0,C2861-1)),"n.a."))</f>
        <v>0</v>
      </c>
      <c r="I2861" s="16">
        <f>IF(NOT(Paths!$C$266=1),0,IF(Paths!$P$266="Complete",IF(IF(Paths!$E$266=0,C2861=0,AND(C2861&gt;0,Paths!$E$266&gt;(C2861-1)*12,Paths!$E$266&lt;=C2861*12)),Paths!$G$266,0),"n.a."))</f>
        <v>0</v>
      </c>
      <c r="J2861" s="16">
        <f>IF(NOT(Paths!$C$266=1),0,IF(Paths!$P$266="Complete",IF(IF(Paths!$E$266=0,C2861=0,AND(C2861&gt;0,Paths!$E$266&gt;(C2861-1)*12,Paths!$E$266&lt;=C2861*12)),Paths!$H$266,0),"n.a."))</f>
        <v>0</v>
      </c>
      <c r="K2861" s="16">
        <f>IF(NOT(Paths!$C$266=1),0,IF(Paths!$P$266="Complete",IF(IF(Paths!$O$266=0,C2861=0,AND(C2861&gt;0,Paths!$O$266&gt;(C2861-1)*12,Paths!$O$266&lt;=C2861*12)),Paths!$N$266,0),"n.a."))</f>
        <v>0</v>
      </c>
      <c r="L2861" s="16">
        <f>IF(NOT(Paths!$C$266=1),0,IF(Paths!$P$266="Complete",IF(C2861=10,Paths!$I$266,0),"n.a."))</f>
        <v>0</v>
      </c>
      <c r="M2861" s="16">
        <f>IF(NOT(Paths!$C$266=1),0,IF(Paths!$P$266="Complete",IF(AND(Paths!$D$266="EV",Paths!$E$266&lt;120,Paths!$E$266+'Operating costs'!$B$65&gt;Paths!$E$266,Paths!$E$266+'Operating costs'!$B$65&lt;=120,IF(Paths!$E$266+'Operating costs'!$B$65=0,C2861=0,AND(C2861&gt;0,Paths!$E$266+'Operating costs'!$B$65&gt;(C2861-1)*12,Paths!$E$266+'Operating costs'!$B$65&lt;=C2861*12))),'Operating costs'!$B$64,0)+IF(AND('Operating costs'!$B$67&gt;0,'Operating costs'!$B$67&lt;=120,OR(Paths!$D$266="ICE",'Operating costs'!$B$67&lt;=Paths!$E$266),IF('Operating costs'!$B$67=0,C2861=0,AND(C2861&gt;0,'Operating costs'!$B$67&gt;(C2861-1)*12,'Operating costs'!$B$67&lt;=C2861*12))),'Operating costs'!$B$66,0),"n.a."))</f>
        <v>0</v>
      </c>
      <c r="N2861" s="16">
        <f>IF(NOT(Paths!$C$266=1),0,IF(Paths!$P$266="Complete",SUM(G2861:I2861)-J2861-K2861-L2861+M2861+IF(C2861=0,Paths!$F$266,0)+IF(IF(Paths!$E$266=0,C2861=0,AND(C2861&gt;0,Paths!$E$266&gt;(C2861-1)*12,Paths!$E$266&lt;=C2861*12)),VLOOKUP(A2861,'Fleet register'!$A$7:$S$106,16,FALSE),0),"n.a."))</f>
        <v>0</v>
      </c>
      <c r="O2861" s="16">
        <f>IF(NOT(Paths!$C$266=1),0,IF(Paths!$P$266="Complete",N2861-IF(C2861=0,Paths!$F$266,0),"n.a."))</f>
        <v>0</v>
      </c>
      <c r="P2861" s="16">
        <f>IF(NOT(Paths!$C$266=1),0,IF(Paths!$P$266="Complete",O2861+L2861,"n.a."))</f>
        <v>0</v>
      </c>
      <c r="Q2861" s="16">
        <f>IF(NOT(Paths!$C$266=1),0,IF(Paths!$P$266="Complete",N2861*(1+'Operating costs'!$B$54)^-C2861,"n.a."))</f>
        <v>0</v>
      </c>
      <c r="R2861" s="16">
        <f>IF(NOT(Paths!$C$266=1),0,IF(Paths!$P$266="Complete",IF(AND(C2861=0,Paths!$E$266=0),I2861-J2861-K2861+VLOOKUP(A2861,'Fleet register'!$A$7:$S$106,15,FALSE)+VLOOKUP(A2861,'Fleet register'!$A$7:$S$106,16,FALSE),0),"n.a."))</f>
        <v>0</v>
      </c>
      <c r="S2861" s="1">
        <f>IF(NOT(Paths!$C$266=1),0,IF(Paths!$P$266="Complete",IF(C2861=0,0,Paths!$S$266*Paths!$R$266),"n.a."))</f>
        <v>0</v>
      </c>
      <c r="T2861" s="1">
        <f>IF(NOT(Paths!$C$266=1),0,IF(Paths!$P$266="Complete",IF(C2861=0,0,VLOOKUP(A2861,'Fleet register'!$A$7:$S$106,9,FALSE)*Paths!$R$266),"n.a."))</f>
        <v>0</v>
      </c>
    </row>
    <row r="2862" spans="1:20" ht="24" customHeight="1">
      <c r="A2862" s="1" t="str">
        <f>Paths!$A$266</f>
        <v>T065</v>
      </c>
      <c r="B2862" s="1">
        <f>Paths!$B$266</f>
        <v>3</v>
      </c>
      <c r="C2862" s="1">
        <v>6</v>
      </c>
      <c r="D2862" s="1">
        <v>266</v>
      </c>
      <c r="E2862" s="1">
        <f>IF(OR(Paths!$C$266=0,C2862=0),0,MAX(0,MIN(C2862*12,Paths!$E$266)-(C2862-1)*12))</f>
        <v>0</v>
      </c>
      <c r="F2862" s="1">
        <f>IF(OR(Paths!$C$266=0,C2862=0),0,12-E2862)</f>
        <v>0</v>
      </c>
      <c r="G2862" s="16">
        <f>IF(NOT(Paths!$C$266=1),0,IF(Paths!$P$266="Complete",E2862/12*(Paths!$J$266*(1+'Operating costs'!$B$51)^MAX(0,C2862-1)+Paths!$K$266*(1+'Operating costs'!$B$53)^MAX(0,C2862-1)),"n.a."))</f>
        <v>0</v>
      </c>
      <c r="H2862" s="16">
        <f>IF(NOT(Paths!$C$266=1),0,IF(Paths!$P$266="Complete",F2862/12*(Paths!$L$266*(1+IF(Paths!$D$266="EV",'Operating costs'!$B$52,'Operating costs'!$B$51))^MAX(0,C2862-1)+Paths!$M$266*(1+'Operating costs'!$B$53)^MAX(0,C2862-1)),"n.a."))</f>
        <v>0</v>
      </c>
      <c r="I2862" s="16">
        <f>IF(NOT(Paths!$C$266=1),0,IF(Paths!$P$266="Complete",IF(IF(Paths!$E$266=0,C2862=0,AND(C2862&gt;0,Paths!$E$266&gt;(C2862-1)*12,Paths!$E$266&lt;=C2862*12)),Paths!$G$266,0),"n.a."))</f>
        <v>0</v>
      </c>
      <c r="J2862" s="16">
        <f>IF(NOT(Paths!$C$266=1),0,IF(Paths!$P$266="Complete",IF(IF(Paths!$E$266=0,C2862=0,AND(C2862&gt;0,Paths!$E$266&gt;(C2862-1)*12,Paths!$E$266&lt;=C2862*12)),Paths!$H$266,0),"n.a."))</f>
        <v>0</v>
      </c>
      <c r="K2862" s="16">
        <f>IF(NOT(Paths!$C$266=1),0,IF(Paths!$P$266="Complete",IF(IF(Paths!$O$266=0,C2862=0,AND(C2862&gt;0,Paths!$O$266&gt;(C2862-1)*12,Paths!$O$266&lt;=C2862*12)),Paths!$N$266,0),"n.a."))</f>
        <v>0</v>
      </c>
      <c r="L2862" s="16">
        <f>IF(NOT(Paths!$C$266=1),0,IF(Paths!$P$266="Complete",IF(C2862=10,Paths!$I$266,0),"n.a."))</f>
        <v>0</v>
      </c>
      <c r="M2862" s="16">
        <f>IF(NOT(Paths!$C$266=1),0,IF(Paths!$P$266="Complete",IF(AND(Paths!$D$266="EV",Paths!$E$266&lt;120,Paths!$E$266+'Operating costs'!$B$65&gt;Paths!$E$266,Paths!$E$266+'Operating costs'!$B$65&lt;=120,IF(Paths!$E$266+'Operating costs'!$B$65=0,C2862=0,AND(C2862&gt;0,Paths!$E$266+'Operating costs'!$B$65&gt;(C2862-1)*12,Paths!$E$266+'Operating costs'!$B$65&lt;=C2862*12))),'Operating costs'!$B$64,0)+IF(AND('Operating costs'!$B$67&gt;0,'Operating costs'!$B$67&lt;=120,OR(Paths!$D$266="ICE",'Operating costs'!$B$67&lt;=Paths!$E$266),IF('Operating costs'!$B$67=0,C2862=0,AND(C2862&gt;0,'Operating costs'!$B$67&gt;(C2862-1)*12,'Operating costs'!$B$67&lt;=C2862*12))),'Operating costs'!$B$66,0),"n.a."))</f>
        <v>0</v>
      </c>
      <c r="N2862" s="16">
        <f>IF(NOT(Paths!$C$266=1),0,IF(Paths!$P$266="Complete",SUM(G2862:I2862)-J2862-K2862-L2862+M2862+IF(C2862=0,Paths!$F$266,0)+IF(IF(Paths!$E$266=0,C2862=0,AND(C2862&gt;0,Paths!$E$266&gt;(C2862-1)*12,Paths!$E$266&lt;=C2862*12)),VLOOKUP(A2862,'Fleet register'!$A$7:$S$106,16,FALSE),0),"n.a."))</f>
        <v>0</v>
      </c>
      <c r="O2862" s="16">
        <f>IF(NOT(Paths!$C$266=1),0,IF(Paths!$P$266="Complete",N2862-IF(C2862=0,Paths!$F$266,0),"n.a."))</f>
        <v>0</v>
      </c>
      <c r="P2862" s="16">
        <f>IF(NOT(Paths!$C$266=1),0,IF(Paths!$P$266="Complete",O2862+L2862,"n.a."))</f>
        <v>0</v>
      </c>
      <c r="Q2862" s="16">
        <f>IF(NOT(Paths!$C$266=1),0,IF(Paths!$P$266="Complete",N2862*(1+'Operating costs'!$B$54)^-C2862,"n.a."))</f>
        <v>0</v>
      </c>
      <c r="R2862" s="16">
        <f>IF(NOT(Paths!$C$266=1),0,IF(Paths!$P$266="Complete",IF(AND(C2862=0,Paths!$E$266=0),I2862-J2862-K2862+VLOOKUP(A2862,'Fleet register'!$A$7:$S$106,15,FALSE)+VLOOKUP(A2862,'Fleet register'!$A$7:$S$106,16,FALSE),0),"n.a."))</f>
        <v>0</v>
      </c>
      <c r="S2862" s="1">
        <f>IF(NOT(Paths!$C$266=1),0,IF(Paths!$P$266="Complete",IF(C2862=0,0,Paths!$S$266*Paths!$R$266),"n.a."))</f>
        <v>0</v>
      </c>
      <c r="T2862" s="1">
        <f>IF(NOT(Paths!$C$266=1),0,IF(Paths!$P$266="Complete",IF(C2862=0,0,VLOOKUP(A2862,'Fleet register'!$A$7:$S$106,9,FALSE)*Paths!$R$266),"n.a."))</f>
        <v>0</v>
      </c>
    </row>
    <row r="2863" spans="1:20" ht="24" customHeight="1">
      <c r="A2863" s="1" t="str">
        <f>Paths!$A$266</f>
        <v>T065</v>
      </c>
      <c r="B2863" s="1">
        <f>Paths!$B$266</f>
        <v>3</v>
      </c>
      <c r="C2863" s="1">
        <v>7</v>
      </c>
      <c r="D2863" s="1">
        <v>266</v>
      </c>
      <c r="E2863" s="1">
        <f>IF(OR(Paths!$C$266=0,C2863=0),0,MAX(0,MIN(C2863*12,Paths!$E$266)-(C2863-1)*12))</f>
        <v>0</v>
      </c>
      <c r="F2863" s="1">
        <f>IF(OR(Paths!$C$266=0,C2863=0),0,12-E2863)</f>
        <v>0</v>
      </c>
      <c r="G2863" s="16">
        <f>IF(NOT(Paths!$C$266=1),0,IF(Paths!$P$266="Complete",E2863/12*(Paths!$J$266*(1+'Operating costs'!$B$51)^MAX(0,C2863-1)+Paths!$K$266*(1+'Operating costs'!$B$53)^MAX(0,C2863-1)),"n.a."))</f>
        <v>0</v>
      </c>
      <c r="H2863" s="16">
        <f>IF(NOT(Paths!$C$266=1),0,IF(Paths!$P$266="Complete",F2863/12*(Paths!$L$266*(1+IF(Paths!$D$266="EV",'Operating costs'!$B$52,'Operating costs'!$B$51))^MAX(0,C2863-1)+Paths!$M$266*(1+'Operating costs'!$B$53)^MAX(0,C2863-1)),"n.a."))</f>
        <v>0</v>
      </c>
      <c r="I2863" s="16">
        <f>IF(NOT(Paths!$C$266=1),0,IF(Paths!$P$266="Complete",IF(IF(Paths!$E$266=0,C2863=0,AND(C2863&gt;0,Paths!$E$266&gt;(C2863-1)*12,Paths!$E$266&lt;=C2863*12)),Paths!$G$266,0),"n.a."))</f>
        <v>0</v>
      </c>
      <c r="J2863" s="16">
        <f>IF(NOT(Paths!$C$266=1),0,IF(Paths!$P$266="Complete",IF(IF(Paths!$E$266=0,C2863=0,AND(C2863&gt;0,Paths!$E$266&gt;(C2863-1)*12,Paths!$E$266&lt;=C2863*12)),Paths!$H$266,0),"n.a."))</f>
        <v>0</v>
      </c>
      <c r="K2863" s="16">
        <f>IF(NOT(Paths!$C$266=1),0,IF(Paths!$P$266="Complete",IF(IF(Paths!$O$266=0,C2863=0,AND(C2863&gt;0,Paths!$O$266&gt;(C2863-1)*12,Paths!$O$266&lt;=C2863*12)),Paths!$N$266,0),"n.a."))</f>
        <v>0</v>
      </c>
      <c r="L2863" s="16">
        <f>IF(NOT(Paths!$C$266=1),0,IF(Paths!$P$266="Complete",IF(C2863=10,Paths!$I$266,0),"n.a."))</f>
        <v>0</v>
      </c>
      <c r="M2863" s="16">
        <f>IF(NOT(Paths!$C$266=1),0,IF(Paths!$P$266="Complete",IF(AND(Paths!$D$266="EV",Paths!$E$266&lt;120,Paths!$E$266+'Operating costs'!$B$65&gt;Paths!$E$266,Paths!$E$266+'Operating costs'!$B$65&lt;=120,IF(Paths!$E$266+'Operating costs'!$B$65=0,C2863=0,AND(C2863&gt;0,Paths!$E$266+'Operating costs'!$B$65&gt;(C2863-1)*12,Paths!$E$266+'Operating costs'!$B$65&lt;=C2863*12))),'Operating costs'!$B$64,0)+IF(AND('Operating costs'!$B$67&gt;0,'Operating costs'!$B$67&lt;=120,OR(Paths!$D$266="ICE",'Operating costs'!$B$67&lt;=Paths!$E$266),IF('Operating costs'!$B$67=0,C2863=0,AND(C2863&gt;0,'Operating costs'!$B$67&gt;(C2863-1)*12,'Operating costs'!$B$67&lt;=C2863*12))),'Operating costs'!$B$66,0),"n.a."))</f>
        <v>0</v>
      </c>
      <c r="N2863" s="16">
        <f>IF(NOT(Paths!$C$266=1),0,IF(Paths!$P$266="Complete",SUM(G2863:I2863)-J2863-K2863-L2863+M2863+IF(C2863=0,Paths!$F$266,0)+IF(IF(Paths!$E$266=0,C2863=0,AND(C2863&gt;0,Paths!$E$266&gt;(C2863-1)*12,Paths!$E$266&lt;=C2863*12)),VLOOKUP(A2863,'Fleet register'!$A$7:$S$106,16,FALSE),0),"n.a."))</f>
        <v>0</v>
      </c>
      <c r="O2863" s="16">
        <f>IF(NOT(Paths!$C$266=1),0,IF(Paths!$P$266="Complete",N2863-IF(C2863=0,Paths!$F$266,0),"n.a."))</f>
        <v>0</v>
      </c>
      <c r="P2863" s="16">
        <f>IF(NOT(Paths!$C$266=1),0,IF(Paths!$P$266="Complete",O2863+L2863,"n.a."))</f>
        <v>0</v>
      </c>
      <c r="Q2863" s="16">
        <f>IF(NOT(Paths!$C$266=1),0,IF(Paths!$P$266="Complete",N2863*(1+'Operating costs'!$B$54)^-C2863,"n.a."))</f>
        <v>0</v>
      </c>
      <c r="R2863" s="16">
        <f>IF(NOT(Paths!$C$266=1),0,IF(Paths!$P$266="Complete",IF(AND(C2863=0,Paths!$E$266=0),I2863-J2863-K2863+VLOOKUP(A2863,'Fleet register'!$A$7:$S$106,15,FALSE)+VLOOKUP(A2863,'Fleet register'!$A$7:$S$106,16,FALSE),0),"n.a."))</f>
        <v>0</v>
      </c>
      <c r="S2863" s="1">
        <f>IF(NOT(Paths!$C$266=1),0,IF(Paths!$P$266="Complete",IF(C2863=0,0,Paths!$S$266*Paths!$R$266),"n.a."))</f>
        <v>0</v>
      </c>
      <c r="T2863" s="1">
        <f>IF(NOT(Paths!$C$266=1),0,IF(Paths!$P$266="Complete",IF(C2863=0,0,VLOOKUP(A2863,'Fleet register'!$A$7:$S$106,9,FALSE)*Paths!$R$266),"n.a."))</f>
        <v>0</v>
      </c>
    </row>
    <row r="2864" spans="1:20" ht="24" customHeight="1">
      <c r="A2864" s="1" t="str">
        <f>Paths!$A$266</f>
        <v>T065</v>
      </c>
      <c r="B2864" s="1">
        <f>Paths!$B$266</f>
        <v>3</v>
      </c>
      <c r="C2864" s="1">
        <v>8</v>
      </c>
      <c r="D2864" s="1">
        <v>266</v>
      </c>
      <c r="E2864" s="1">
        <f>IF(OR(Paths!$C$266=0,C2864=0),0,MAX(0,MIN(C2864*12,Paths!$E$266)-(C2864-1)*12))</f>
        <v>0</v>
      </c>
      <c r="F2864" s="1">
        <f>IF(OR(Paths!$C$266=0,C2864=0),0,12-E2864)</f>
        <v>0</v>
      </c>
      <c r="G2864" s="16">
        <f>IF(NOT(Paths!$C$266=1),0,IF(Paths!$P$266="Complete",E2864/12*(Paths!$J$266*(1+'Operating costs'!$B$51)^MAX(0,C2864-1)+Paths!$K$266*(1+'Operating costs'!$B$53)^MAX(0,C2864-1)),"n.a."))</f>
        <v>0</v>
      </c>
      <c r="H2864" s="16">
        <f>IF(NOT(Paths!$C$266=1),0,IF(Paths!$P$266="Complete",F2864/12*(Paths!$L$266*(1+IF(Paths!$D$266="EV",'Operating costs'!$B$52,'Operating costs'!$B$51))^MAX(0,C2864-1)+Paths!$M$266*(1+'Operating costs'!$B$53)^MAX(0,C2864-1)),"n.a."))</f>
        <v>0</v>
      </c>
      <c r="I2864" s="16">
        <f>IF(NOT(Paths!$C$266=1),0,IF(Paths!$P$266="Complete",IF(IF(Paths!$E$266=0,C2864=0,AND(C2864&gt;0,Paths!$E$266&gt;(C2864-1)*12,Paths!$E$266&lt;=C2864*12)),Paths!$G$266,0),"n.a."))</f>
        <v>0</v>
      </c>
      <c r="J2864" s="16">
        <f>IF(NOT(Paths!$C$266=1),0,IF(Paths!$P$266="Complete",IF(IF(Paths!$E$266=0,C2864=0,AND(C2864&gt;0,Paths!$E$266&gt;(C2864-1)*12,Paths!$E$266&lt;=C2864*12)),Paths!$H$266,0),"n.a."))</f>
        <v>0</v>
      </c>
      <c r="K2864" s="16">
        <f>IF(NOT(Paths!$C$266=1),0,IF(Paths!$P$266="Complete",IF(IF(Paths!$O$266=0,C2864=0,AND(C2864&gt;0,Paths!$O$266&gt;(C2864-1)*12,Paths!$O$266&lt;=C2864*12)),Paths!$N$266,0),"n.a."))</f>
        <v>0</v>
      </c>
      <c r="L2864" s="16">
        <f>IF(NOT(Paths!$C$266=1),0,IF(Paths!$P$266="Complete",IF(C2864=10,Paths!$I$266,0),"n.a."))</f>
        <v>0</v>
      </c>
      <c r="M2864" s="16">
        <f>IF(NOT(Paths!$C$266=1),0,IF(Paths!$P$266="Complete",IF(AND(Paths!$D$266="EV",Paths!$E$266&lt;120,Paths!$E$266+'Operating costs'!$B$65&gt;Paths!$E$266,Paths!$E$266+'Operating costs'!$B$65&lt;=120,IF(Paths!$E$266+'Operating costs'!$B$65=0,C2864=0,AND(C2864&gt;0,Paths!$E$266+'Operating costs'!$B$65&gt;(C2864-1)*12,Paths!$E$266+'Operating costs'!$B$65&lt;=C2864*12))),'Operating costs'!$B$64,0)+IF(AND('Operating costs'!$B$67&gt;0,'Operating costs'!$B$67&lt;=120,OR(Paths!$D$266="ICE",'Operating costs'!$B$67&lt;=Paths!$E$266),IF('Operating costs'!$B$67=0,C2864=0,AND(C2864&gt;0,'Operating costs'!$B$67&gt;(C2864-1)*12,'Operating costs'!$B$67&lt;=C2864*12))),'Operating costs'!$B$66,0),"n.a."))</f>
        <v>0</v>
      </c>
      <c r="N2864" s="16">
        <f>IF(NOT(Paths!$C$266=1),0,IF(Paths!$P$266="Complete",SUM(G2864:I2864)-J2864-K2864-L2864+M2864+IF(C2864=0,Paths!$F$266,0)+IF(IF(Paths!$E$266=0,C2864=0,AND(C2864&gt;0,Paths!$E$266&gt;(C2864-1)*12,Paths!$E$266&lt;=C2864*12)),VLOOKUP(A2864,'Fleet register'!$A$7:$S$106,16,FALSE),0),"n.a."))</f>
        <v>0</v>
      </c>
      <c r="O2864" s="16">
        <f>IF(NOT(Paths!$C$266=1),0,IF(Paths!$P$266="Complete",N2864-IF(C2864=0,Paths!$F$266,0),"n.a."))</f>
        <v>0</v>
      </c>
      <c r="P2864" s="16">
        <f>IF(NOT(Paths!$C$266=1),0,IF(Paths!$P$266="Complete",O2864+L2864,"n.a."))</f>
        <v>0</v>
      </c>
      <c r="Q2864" s="16">
        <f>IF(NOT(Paths!$C$266=1),0,IF(Paths!$P$266="Complete",N2864*(1+'Operating costs'!$B$54)^-C2864,"n.a."))</f>
        <v>0</v>
      </c>
      <c r="R2864" s="16">
        <f>IF(NOT(Paths!$C$266=1),0,IF(Paths!$P$266="Complete",IF(AND(C2864=0,Paths!$E$266=0),I2864-J2864-K2864+VLOOKUP(A2864,'Fleet register'!$A$7:$S$106,15,FALSE)+VLOOKUP(A2864,'Fleet register'!$A$7:$S$106,16,FALSE),0),"n.a."))</f>
        <v>0</v>
      </c>
      <c r="S2864" s="1">
        <f>IF(NOT(Paths!$C$266=1),0,IF(Paths!$P$266="Complete",IF(C2864=0,0,Paths!$S$266*Paths!$R$266),"n.a."))</f>
        <v>0</v>
      </c>
      <c r="T2864" s="1">
        <f>IF(NOT(Paths!$C$266=1),0,IF(Paths!$P$266="Complete",IF(C2864=0,0,VLOOKUP(A2864,'Fleet register'!$A$7:$S$106,9,FALSE)*Paths!$R$266),"n.a."))</f>
        <v>0</v>
      </c>
    </row>
    <row r="2865" spans="1:20" ht="24" customHeight="1">
      <c r="A2865" s="1" t="str">
        <f>Paths!$A$266</f>
        <v>T065</v>
      </c>
      <c r="B2865" s="1">
        <f>Paths!$B$266</f>
        <v>3</v>
      </c>
      <c r="C2865" s="1">
        <v>9</v>
      </c>
      <c r="D2865" s="1">
        <v>266</v>
      </c>
      <c r="E2865" s="1">
        <f>IF(OR(Paths!$C$266=0,C2865=0),0,MAX(0,MIN(C2865*12,Paths!$E$266)-(C2865-1)*12))</f>
        <v>0</v>
      </c>
      <c r="F2865" s="1">
        <f>IF(OR(Paths!$C$266=0,C2865=0),0,12-E2865)</f>
        <v>0</v>
      </c>
      <c r="G2865" s="16">
        <f>IF(NOT(Paths!$C$266=1),0,IF(Paths!$P$266="Complete",E2865/12*(Paths!$J$266*(1+'Operating costs'!$B$51)^MAX(0,C2865-1)+Paths!$K$266*(1+'Operating costs'!$B$53)^MAX(0,C2865-1)),"n.a."))</f>
        <v>0</v>
      </c>
      <c r="H2865" s="16">
        <f>IF(NOT(Paths!$C$266=1),0,IF(Paths!$P$266="Complete",F2865/12*(Paths!$L$266*(1+IF(Paths!$D$266="EV",'Operating costs'!$B$52,'Operating costs'!$B$51))^MAX(0,C2865-1)+Paths!$M$266*(1+'Operating costs'!$B$53)^MAX(0,C2865-1)),"n.a."))</f>
        <v>0</v>
      </c>
      <c r="I2865" s="16">
        <f>IF(NOT(Paths!$C$266=1),0,IF(Paths!$P$266="Complete",IF(IF(Paths!$E$266=0,C2865=0,AND(C2865&gt;0,Paths!$E$266&gt;(C2865-1)*12,Paths!$E$266&lt;=C2865*12)),Paths!$G$266,0),"n.a."))</f>
        <v>0</v>
      </c>
      <c r="J2865" s="16">
        <f>IF(NOT(Paths!$C$266=1),0,IF(Paths!$P$266="Complete",IF(IF(Paths!$E$266=0,C2865=0,AND(C2865&gt;0,Paths!$E$266&gt;(C2865-1)*12,Paths!$E$266&lt;=C2865*12)),Paths!$H$266,0),"n.a."))</f>
        <v>0</v>
      </c>
      <c r="K2865" s="16">
        <f>IF(NOT(Paths!$C$266=1),0,IF(Paths!$P$266="Complete",IF(IF(Paths!$O$266=0,C2865=0,AND(C2865&gt;0,Paths!$O$266&gt;(C2865-1)*12,Paths!$O$266&lt;=C2865*12)),Paths!$N$266,0),"n.a."))</f>
        <v>0</v>
      </c>
      <c r="L2865" s="16">
        <f>IF(NOT(Paths!$C$266=1),0,IF(Paths!$P$266="Complete",IF(C2865=10,Paths!$I$266,0),"n.a."))</f>
        <v>0</v>
      </c>
      <c r="M2865" s="16">
        <f>IF(NOT(Paths!$C$266=1),0,IF(Paths!$P$266="Complete",IF(AND(Paths!$D$266="EV",Paths!$E$266&lt;120,Paths!$E$266+'Operating costs'!$B$65&gt;Paths!$E$266,Paths!$E$266+'Operating costs'!$B$65&lt;=120,IF(Paths!$E$266+'Operating costs'!$B$65=0,C2865=0,AND(C2865&gt;0,Paths!$E$266+'Operating costs'!$B$65&gt;(C2865-1)*12,Paths!$E$266+'Operating costs'!$B$65&lt;=C2865*12))),'Operating costs'!$B$64,0)+IF(AND('Operating costs'!$B$67&gt;0,'Operating costs'!$B$67&lt;=120,OR(Paths!$D$266="ICE",'Operating costs'!$B$67&lt;=Paths!$E$266),IF('Operating costs'!$B$67=0,C2865=0,AND(C2865&gt;0,'Operating costs'!$B$67&gt;(C2865-1)*12,'Operating costs'!$B$67&lt;=C2865*12))),'Operating costs'!$B$66,0),"n.a."))</f>
        <v>0</v>
      </c>
      <c r="N2865" s="16">
        <f>IF(NOT(Paths!$C$266=1),0,IF(Paths!$P$266="Complete",SUM(G2865:I2865)-J2865-K2865-L2865+M2865+IF(C2865=0,Paths!$F$266,0)+IF(IF(Paths!$E$266=0,C2865=0,AND(C2865&gt;0,Paths!$E$266&gt;(C2865-1)*12,Paths!$E$266&lt;=C2865*12)),VLOOKUP(A2865,'Fleet register'!$A$7:$S$106,16,FALSE),0),"n.a."))</f>
        <v>0</v>
      </c>
      <c r="O2865" s="16">
        <f>IF(NOT(Paths!$C$266=1),0,IF(Paths!$P$266="Complete",N2865-IF(C2865=0,Paths!$F$266,0),"n.a."))</f>
        <v>0</v>
      </c>
      <c r="P2865" s="16">
        <f>IF(NOT(Paths!$C$266=1),0,IF(Paths!$P$266="Complete",O2865+L2865,"n.a."))</f>
        <v>0</v>
      </c>
      <c r="Q2865" s="16">
        <f>IF(NOT(Paths!$C$266=1),0,IF(Paths!$P$266="Complete",N2865*(1+'Operating costs'!$B$54)^-C2865,"n.a."))</f>
        <v>0</v>
      </c>
      <c r="R2865" s="16">
        <f>IF(NOT(Paths!$C$266=1),0,IF(Paths!$P$266="Complete",IF(AND(C2865=0,Paths!$E$266=0),I2865-J2865-K2865+VLOOKUP(A2865,'Fleet register'!$A$7:$S$106,15,FALSE)+VLOOKUP(A2865,'Fleet register'!$A$7:$S$106,16,FALSE),0),"n.a."))</f>
        <v>0</v>
      </c>
      <c r="S2865" s="1">
        <f>IF(NOT(Paths!$C$266=1),0,IF(Paths!$P$266="Complete",IF(C2865=0,0,Paths!$S$266*Paths!$R$266),"n.a."))</f>
        <v>0</v>
      </c>
      <c r="T2865" s="1">
        <f>IF(NOT(Paths!$C$266=1),0,IF(Paths!$P$266="Complete",IF(C2865=0,0,VLOOKUP(A2865,'Fleet register'!$A$7:$S$106,9,FALSE)*Paths!$R$266),"n.a."))</f>
        <v>0</v>
      </c>
    </row>
    <row r="2866" spans="1:20" ht="24" customHeight="1">
      <c r="A2866" s="1" t="str">
        <f>Paths!$A$266</f>
        <v>T065</v>
      </c>
      <c r="B2866" s="1">
        <f>Paths!$B$266</f>
        <v>3</v>
      </c>
      <c r="C2866" s="1">
        <v>10</v>
      </c>
      <c r="D2866" s="1">
        <v>266</v>
      </c>
      <c r="E2866" s="1">
        <f>IF(OR(Paths!$C$266=0,C2866=0),0,MAX(0,MIN(C2866*12,Paths!$E$266)-(C2866-1)*12))</f>
        <v>0</v>
      </c>
      <c r="F2866" s="1">
        <f>IF(OR(Paths!$C$266=0,C2866=0),0,12-E2866)</f>
        <v>0</v>
      </c>
      <c r="G2866" s="16">
        <f>IF(NOT(Paths!$C$266=1),0,IF(Paths!$P$266="Complete",E2866/12*(Paths!$J$266*(1+'Operating costs'!$B$51)^MAX(0,C2866-1)+Paths!$K$266*(1+'Operating costs'!$B$53)^MAX(0,C2866-1)),"n.a."))</f>
        <v>0</v>
      </c>
      <c r="H2866" s="16">
        <f>IF(NOT(Paths!$C$266=1),0,IF(Paths!$P$266="Complete",F2866/12*(Paths!$L$266*(1+IF(Paths!$D$266="EV",'Operating costs'!$B$52,'Operating costs'!$B$51))^MAX(0,C2866-1)+Paths!$M$266*(1+'Operating costs'!$B$53)^MAX(0,C2866-1)),"n.a."))</f>
        <v>0</v>
      </c>
      <c r="I2866" s="16">
        <f>IF(NOT(Paths!$C$266=1),0,IF(Paths!$P$266="Complete",IF(IF(Paths!$E$266=0,C2866=0,AND(C2866&gt;0,Paths!$E$266&gt;(C2866-1)*12,Paths!$E$266&lt;=C2866*12)),Paths!$G$266,0),"n.a."))</f>
        <v>0</v>
      </c>
      <c r="J2866" s="16">
        <f>IF(NOT(Paths!$C$266=1),0,IF(Paths!$P$266="Complete",IF(IF(Paths!$E$266=0,C2866=0,AND(C2866&gt;0,Paths!$E$266&gt;(C2866-1)*12,Paths!$E$266&lt;=C2866*12)),Paths!$H$266,0),"n.a."))</f>
        <v>0</v>
      </c>
      <c r="K2866" s="16">
        <f>IF(NOT(Paths!$C$266=1),0,IF(Paths!$P$266="Complete",IF(IF(Paths!$O$266=0,C2866=0,AND(C2866&gt;0,Paths!$O$266&gt;(C2866-1)*12,Paths!$O$266&lt;=C2866*12)),Paths!$N$266,0),"n.a."))</f>
        <v>0</v>
      </c>
      <c r="L2866" s="16">
        <f>IF(NOT(Paths!$C$266=1),0,IF(Paths!$P$266="Complete",IF(C2866=10,Paths!$I$266,0),"n.a."))</f>
        <v>0</v>
      </c>
      <c r="M2866" s="16">
        <f>IF(NOT(Paths!$C$266=1),0,IF(Paths!$P$266="Complete",IF(AND(Paths!$D$266="EV",Paths!$E$266&lt;120,Paths!$E$266+'Operating costs'!$B$65&gt;Paths!$E$266,Paths!$E$266+'Operating costs'!$B$65&lt;=120,IF(Paths!$E$266+'Operating costs'!$B$65=0,C2866=0,AND(C2866&gt;0,Paths!$E$266+'Operating costs'!$B$65&gt;(C2866-1)*12,Paths!$E$266+'Operating costs'!$B$65&lt;=C2866*12))),'Operating costs'!$B$64,0)+IF(AND('Operating costs'!$B$67&gt;0,'Operating costs'!$B$67&lt;=120,OR(Paths!$D$266="ICE",'Operating costs'!$B$67&lt;=Paths!$E$266),IF('Operating costs'!$B$67=0,C2866=0,AND(C2866&gt;0,'Operating costs'!$B$67&gt;(C2866-1)*12,'Operating costs'!$B$67&lt;=C2866*12))),'Operating costs'!$B$66,0),"n.a."))</f>
        <v>0</v>
      </c>
      <c r="N2866" s="16">
        <f>IF(NOT(Paths!$C$266=1),0,IF(Paths!$P$266="Complete",SUM(G2866:I2866)-J2866-K2866-L2866+M2866+IF(C2866=0,Paths!$F$266,0)+IF(IF(Paths!$E$266=0,C2866=0,AND(C2866&gt;0,Paths!$E$266&gt;(C2866-1)*12,Paths!$E$266&lt;=C2866*12)),VLOOKUP(A2866,'Fleet register'!$A$7:$S$106,16,FALSE),0),"n.a."))</f>
        <v>0</v>
      </c>
      <c r="O2866" s="16">
        <f>IF(NOT(Paths!$C$266=1),0,IF(Paths!$P$266="Complete",N2866-IF(C2866=0,Paths!$F$266,0),"n.a."))</f>
        <v>0</v>
      </c>
      <c r="P2866" s="16">
        <f>IF(NOT(Paths!$C$266=1),0,IF(Paths!$P$266="Complete",O2866+L2866,"n.a."))</f>
        <v>0</v>
      </c>
      <c r="Q2866" s="16">
        <f>IF(NOT(Paths!$C$266=1),0,IF(Paths!$P$266="Complete",N2866*(1+'Operating costs'!$B$54)^-C2866,"n.a."))</f>
        <v>0</v>
      </c>
      <c r="R2866" s="16">
        <f>IF(NOT(Paths!$C$266=1),0,IF(Paths!$P$266="Complete",IF(AND(C2866=0,Paths!$E$266=0),I2866-J2866-K2866+VLOOKUP(A2866,'Fleet register'!$A$7:$S$106,15,FALSE)+VLOOKUP(A2866,'Fleet register'!$A$7:$S$106,16,FALSE),0),"n.a."))</f>
        <v>0</v>
      </c>
      <c r="S2866" s="1">
        <f>IF(NOT(Paths!$C$266=1),0,IF(Paths!$P$266="Complete",IF(C2866=0,0,Paths!$S$266*Paths!$R$266),"n.a."))</f>
        <v>0</v>
      </c>
      <c r="T2866" s="1">
        <f>IF(NOT(Paths!$C$266=1),0,IF(Paths!$P$266="Complete",IF(C2866=0,0,VLOOKUP(A2866,'Fleet register'!$A$7:$S$106,9,FALSE)*Paths!$R$266),"n.a."))</f>
        <v>0</v>
      </c>
    </row>
    <row r="2867" spans="1:20" ht="24" customHeight="1">
      <c r="A2867" s="1" t="str">
        <f>Paths!$A$267</f>
        <v>T066</v>
      </c>
      <c r="B2867" s="1">
        <f>Paths!$B$267</f>
        <v>0</v>
      </c>
      <c r="C2867" s="1">
        <v>0</v>
      </c>
      <c r="D2867" s="1">
        <v>267</v>
      </c>
      <c r="E2867" s="1">
        <f>IF(OR(Paths!$C$267=0,C2867=0),0,MAX(0,MIN(C2867*12,Paths!$E$267)-(C2867-1)*12))</f>
        <v>0</v>
      </c>
      <c r="F2867" s="1">
        <f>IF(OR(Paths!$C$267=0,C2867=0),0,12-E2867)</f>
        <v>0</v>
      </c>
      <c r="G2867" s="16">
        <f>IF(NOT(Paths!$C$267=1),0,IF(Paths!$P$267="Complete",E2867/12*(Paths!$J$267*(1+'Operating costs'!$B$51)^MAX(0,C2867-1)+Paths!$K$267*(1+'Operating costs'!$B$53)^MAX(0,C2867-1)),"n.a."))</f>
        <v>0</v>
      </c>
      <c r="H2867" s="16">
        <f>IF(NOT(Paths!$C$267=1),0,IF(Paths!$P$267="Complete",F2867/12*(Paths!$L$267*(1+IF(Paths!$D$267="EV",'Operating costs'!$B$52,'Operating costs'!$B$51))^MAX(0,C2867-1)+Paths!$M$267*(1+'Operating costs'!$B$53)^MAX(0,C2867-1)),"n.a."))</f>
        <v>0</v>
      </c>
      <c r="I2867" s="16">
        <f>IF(NOT(Paths!$C$267=1),0,IF(Paths!$P$267="Complete",IF(IF(Paths!$E$267=0,C2867=0,AND(C2867&gt;0,Paths!$E$267&gt;(C2867-1)*12,Paths!$E$267&lt;=C2867*12)),Paths!$G$267,0),"n.a."))</f>
        <v>0</v>
      </c>
      <c r="J2867" s="16">
        <f>IF(NOT(Paths!$C$267=1),0,IF(Paths!$P$267="Complete",IF(IF(Paths!$E$267=0,C2867=0,AND(C2867&gt;0,Paths!$E$267&gt;(C2867-1)*12,Paths!$E$267&lt;=C2867*12)),Paths!$H$267,0),"n.a."))</f>
        <v>0</v>
      </c>
      <c r="K2867" s="16">
        <f>IF(NOT(Paths!$C$267=1),0,IF(Paths!$P$267="Complete",IF(IF(Paths!$O$267=0,C2867=0,AND(C2867&gt;0,Paths!$O$267&gt;(C2867-1)*12,Paths!$O$267&lt;=C2867*12)),Paths!$N$267,0),"n.a."))</f>
        <v>0</v>
      </c>
      <c r="L2867" s="16">
        <f>IF(NOT(Paths!$C$267=1),0,IF(Paths!$P$267="Complete",IF(C2867=10,Paths!$I$267,0),"n.a."))</f>
        <v>0</v>
      </c>
      <c r="M2867" s="16">
        <f>IF(NOT(Paths!$C$267=1),0,IF(Paths!$P$267="Complete",IF(AND(Paths!$D$267="EV",Paths!$E$267&lt;120,Paths!$E$267+'Operating costs'!$B$65&gt;Paths!$E$267,Paths!$E$267+'Operating costs'!$B$65&lt;=120,IF(Paths!$E$267+'Operating costs'!$B$65=0,C2867=0,AND(C2867&gt;0,Paths!$E$267+'Operating costs'!$B$65&gt;(C2867-1)*12,Paths!$E$267+'Operating costs'!$B$65&lt;=C2867*12))),'Operating costs'!$B$64,0)+IF(AND('Operating costs'!$B$67&gt;0,'Operating costs'!$B$67&lt;=120,OR(Paths!$D$267="ICE",'Operating costs'!$B$67&lt;=Paths!$E$267),IF('Operating costs'!$B$67=0,C2867=0,AND(C2867&gt;0,'Operating costs'!$B$67&gt;(C2867-1)*12,'Operating costs'!$B$67&lt;=C2867*12))),'Operating costs'!$B$66,0),"n.a."))</f>
        <v>0</v>
      </c>
      <c r="N2867" s="16">
        <f>IF(NOT(Paths!$C$267=1),0,IF(Paths!$P$267="Complete",SUM(G2867:I2867)-J2867-K2867-L2867+M2867+IF(C2867=0,Paths!$F$267,0)+IF(IF(Paths!$E$267=0,C2867=0,AND(C2867&gt;0,Paths!$E$267&gt;(C2867-1)*12,Paths!$E$267&lt;=C2867*12)),VLOOKUP(A2867,'Fleet register'!$A$7:$S$106,16,FALSE),0),"n.a."))</f>
        <v>0</v>
      </c>
      <c r="O2867" s="16">
        <f>IF(NOT(Paths!$C$267=1),0,IF(Paths!$P$267="Complete",N2867-IF(C2867=0,Paths!$F$267,0),"n.a."))</f>
        <v>0</v>
      </c>
      <c r="P2867" s="16">
        <f>IF(NOT(Paths!$C$267=1),0,IF(Paths!$P$267="Complete",O2867+L2867,"n.a."))</f>
        <v>0</v>
      </c>
      <c r="Q2867" s="16">
        <f>IF(NOT(Paths!$C$267=1),0,IF(Paths!$P$267="Complete",N2867*(1+'Operating costs'!$B$54)^-C2867,"n.a."))</f>
        <v>0</v>
      </c>
      <c r="R2867" s="16">
        <f>IF(NOT(Paths!$C$267=1),0,IF(Paths!$P$267="Complete",IF(AND(C2867=0,Paths!$E$267=0),I2867-J2867-K2867+VLOOKUP(A2867,'Fleet register'!$A$7:$S$106,15,FALSE)+VLOOKUP(A2867,'Fleet register'!$A$7:$S$106,16,FALSE),0),"n.a."))</f>
        <v>0</v>
      </c>
      <c r="S2867" s="1">
        <f>IF(NOT(Paths!$C$267=1),0,IF(Paths!$P$267="Complete",IF(C2867=0,0,Paths!$S$267*Paths!$R$267),"n.a."))</f>
        <v>0</v>
      </c>
      <c r="T2867" s="1">
        <f>IF(NOT(Paths!$C$267=1),0,IF(Paths!$P$267="Complete",IF(C2867=0,0,VLOOKUP(A2867,'Fleet register'!$A$7:$S$106,9,FALSE)*Paths!$R$267),"n.a."))</f>
        <v>0</v>
      </c>
    </row>
    <row r="2868" spans="1:20" ht="24" customHeight="1">
      <c r="A2868" s="1" t="str">
        <f>Paths!$A$267</f>
        <v>T066</v>
      </c>
      <c r="B2868" s="1">
        <f>Paths!$B$267</f>
        <v>0</v>
      </c>
      <c r="C2868" s="1">
        <v>1</v>
      </c>
      <c r="D2868" s="1">
        <v>267</v>
      </c>
      <c r="E2868" s="1">
        <f>IF(OR(Paths!$C$267=0,C2868=0),0,MAX(0,MIN(C2868*12,Paths!$E$267)-(C2868-1)*12))</f>
        <v>0</v>
      </c>
      <c r="F2868" s="1">
        <f>IF(OR(Paths!$C$267=0,C2868=0),0,12-E2868)</f>
        <v>0</v>
      </c>
      <c r="G2868" s="16">
        <f>IF(NOT(Paths!$C$267=1),0,IF(Paths!$P$267="Complete",E2868/12*(Paths!$J$267*(1+'Operating costs'!$B$51)^MAX(0,C2868-1)+Paths!$K$267*(1+'Operating costs'!$B$53)^MAX(0,C2868-1)),"n.a."))</f>
        <v>0</v>
      </c>
      <c r="H2868" s="16">
        <f>IF(NOT(Paths!$C$267=1),0,IF(Paths!$P$267="Complete",F2868/12*(Paths!$L$267*(1+IF(Paths!$D$267="EV",'Operating costs'!$B$52,'Operating costs'!$B$51))^MAX(0,C2868-1)+Paths!$M$267*(1+'Operating costs'!$B$53)^MAX(0,C2868-1)),"n.a."))</f>
        <v>0</v>
      </c>
      <c r="I2868" s="16">
        <f>IF(NOT(Paths!$C$267=1),0,IF(Paths!$P$267="Complete",IF(IF(Paths!$E$267=0,C2868=0,AND(C2868&gt;0,Paths!$E$267&gt;(C2868-1)*12,Paths!$E$267&lt;=C2868*12)),Paths!$G$267,0),"n.a."))</f>
        <v>0</v>
      </c>
      <c r="J2868" s="16">
        <f>IF(NOT(Paths!$C$267=1),0,IF(Paths!$P$267="Complete",IF(IF(Paths!$E$267=0,C2868=0,AND(C2868&gt;0,Paths!$E$267&gt;(C2868-1)*12,Paths!$E$267&lt;=C2868*12)),Paths!$H$267,0),"n.a."))</f>
        <v>0</v>
      </c>
      <c r="K2868" s="16">
        <f>IF(NOT(Paths!$C$267=1),0,IF(Paths!$P$267="Complete",IF(IF(Paths!$O$267=0,C2868=0,AND(C2868&gt;0,Paths!$O$267&gt;(C2868-1)*12,Paths!$O$267&lt;=C2868*12)),Paths!$N$267,0),"n.a."))</f>
        <v>0</v>
      </c>
      <c r="L2868" s="16">
        <f>IF(NOT(Paths!$C$267=1),0,IF(Paths!$P$267="Complete",IF(C2868=10,Paths!$I$267,0),"n.a."))</f>
        <v>0</v>
      </c>
      <c r="M2868" s="16">
        <f>IF(NOT(Paths!$C$267=1),0,IF(Paths!$P$267="Complete",IF(AND(Paths!$D$267="EV",Paths!$E$267&lt;120,Paths!$E$267+'Operating costs'!$B$65&gt;Paths!$E$267,Paths!$E$267+'Operating costs'!$B$65&lt;=120,IF(Paths!$E$267+'Operating costs'!$B$65=0,C2868=0,AND(C2868&gt;0,Paths!$E$267+'Operating costs'!$B$65&gt;(C2868-1)*12,Paths!$E$267+'Operating costs'!$B$65&lt;=C2868*12))),'Operating costs'!$B$64,0)+IF(AND('Operating costs'!$B$67&gt;0,'Operating costs'!$B$67&lt;=120,OR(Paths!$D$267="ICE",'Operating costs'!$B$67&lt;=Paths!$E$267),IF('Operating costs'!$B$67=0,C2868=0,AND(C2868&gt;0,'Operating costs'!$B$67&gt;(C2868-1)*12,'Operating costs'!$B$67&lt;=C2868*12))),'Operating costs'!$B$66,0),"n.a."))</f>
        <v>0</v>
      </c>
      <c r="N2868" s="16">
        <f>IF(NOT(Paths!$C$267=1),0,IF(Paths!$P$267="Complete",SUM(G2868:I2868)-J2868-K2868-L2868+M2868+IF(C2868=0,Paths!$F$267,0)+IF(IF(Paths!$E$267=0,C2868=0,AND(C2868&gt;0,Paths!$E$267&gt;(C2868-1)*12,Paths!$E$267&lt;=C2868*12)),VLOOKUP(A2868,'Fleet register'!$A$7:$S$106,16,FALSE),0),"n.a."))</f>
        <v>0</v>
      </c>
      <c r="O2868" s="16">
        <f>IF(NOT(Paths!$C$267=1),0,IF(Paths!$P$267="Complete",N2868-IF(C2868=0,Paths!$F$267,0),"n.a."))</f>
        <v>0</v>
      </c>
      <c r="P2868" s="16">
        <f>IF(NOT(Paths!$C$267=1),0,IF(Paths!$P$267="Complete",O2868+L2868,"n.a."))</f>
        <v>0</v>
      </c>
      <c r="Q2868" s="16">
        <f>IF(NOT(Paths!$C$267=1),0,IF(Paths!$P$267="Complete",N2868*(1+'Operating costs'!$B$54)^-C2868,"n.a."))</f>
        <v>0</v>
      </c>
      <c r="R2868" s="16">
        <f>IF(NOT(Paths!$C$267=1),0,IF(Paths!$P$267="Complete",IF(AND(C2868=0,Paths!$E$267=0),I2868-J2868-K2868+VLOOKUP(A2868,'Fleet register'!$A$7:$S$106,15,FALSE)+VLOOKUP(A2868,'Fleet register'!$A$7:$S$106,16,FALSE),0),"n.a."))</f>
        <v>0</v>
      </c>
      <c r="S2868" s="1">
        <f>IF(NOT(Paths!$C$267=1),0,IF(Paths!$P$267="Complete",IF(C2868=0,0,Paths!$S$267*Paths!$R$267),"n.a."))</f>
        <v>0</v>
      </c>
      <c r="T2868" s="1">
        <f>IF(NOT(Paths!$C$267=1),0,IF(Paths!$P$267="Complete",IF(C2868=0,0,VLOOKUP(A2868,'Fleet register'!$A$7:$S$106,9,FALSE)*Paths!$R$267),"n.a."))</f>
        <v>0</v>
      </c>
    </row>
    <row r="2869" spans="1:20" ht="24" customHeight="1">
      <c r="A2869" s="1" t="str">
        <f>Paths!$A$267</f>
        <v>T066</v>
      </c>
      <c r="B2869" s="1">
        <f>Paths!$B$267</f>
        <v>0</v>
      </c>
      <c r="C2869" s="1">
        <v>2</v>
      </c>
      <c r="D2869" s="1">
        <v>267</v>
      </c>
      <c r="E2869" s="1">
        <f>IF(OR(Paths!$C$267=0,C2869=0),0,MAX(0,MIN(C2869*12,Paths!$E$267)-(C2869-1)*12))</f>
        <v>0</v>
      </c>
      <c r="F2869" s="1">
        <f>IF(OR(Paths!$C$267=0,C2869=0),0,12-E2869)</f>
        <v>0</v>
      </c>
      <c r="G2869" s="16">
        <f>IF(NOT(Paths!$C$267=1),0,IF(Paths!$P$267="Complete",E2869/12*(Paths!$J$267*(1+'Operating costs'!$B$51)^MAX(0,C2869-1)+Paths!$K$267*(1+'Operating costs'!$B$53)^MAX(0,C2869-1)),"n.a."))</f>
        <v>0</v>
      </c>
      <c r="H2869" s="16">
        <f>IF(NOT(Paths!$C$267=1),0,IF(Paths!$P$267="Complete",F2869/12*(Paths!$L$267*(1+IF(Paths!$D$267="EV",'Operating costs'!$B$52,'Operating costs'!$B$51))^MAX(0,C2869-1)+Paths!$M$267*(1+'Operating costs'!$B$53)^MAX(0,C2869-1)),"n.a."))</f>
        <v>0</v>
      </c>
      <c r="I2869" s="16">
        <f>IF(NOT(Paths!$C$267=1),0,IF(Paths!$P$267="Complete",IF(IF(Paths!$E$267=0,C2869=0,AND(C2869&gt;0,Paths!$E$267&gt;(C2869-1)*12,Paths!$E$267&lt;=C2869*12)),Paths!$G$267,0),"n.a."))</f>
        <v>0</v>
      </c>
      <c r="J2869" s="16">
        <f>IF(NOT(Paths!$C$267=1),0,IF(Paths!$P$267="Complete",IF(IF(Paths!$E$267=0,C2869=0,AND(C2869&gt;0,Paths!$E$267&gt;(C2869-1)*12,Paths!$E$267&lt;=C2869*12)),Paths!$H$267,0),"n.a."))</f>
        <v>0</v>
      </c>
      <c r="K2869" s="16">
        <f>IF(NOT(Paths!$C$267=1),0,IF(Paths!$P$267="Complete",IF(IF(Paths!$O$267=0,C2869=0,AND(C2869&gt;0,Paths!$O$267&gt;(C2869-1)*12,Paths!$O$267&lt;=C2869*12)),Paths!$N$267,0),"n.a."))</f>
        <v>0</v>
      </c>
      <c r="L2869" s="16">
        <f>IF(NOT(Paths!$C$267=1),0,IF(Paths!$P$267="Complete",IF(C2869=10,Paths!$I$267,0),"n.a."))</f>
        <v>0</v>
      </c>
      <c r="M2869" s="16">
        <f>IF(NOT(Paths!$C$267=1),0,IF(Paths!$P$267="Complete",IF(AND(Paths!$D$267="EV",Paths!$E$267&lt;120,Paths!$E$267+'Operating costs'!$B$65&gt;Paths!$E$267,Paths!$E$267+'Operating costs'!$B$65&lt;=120,IF(Paths!$E$267+'Operating costs'!$B$65=0,C2869=0,AND(C2869&gt;0,Paths!$E$267+'Operating costs'!$B$65&gt;(C2869-1)*12,Paths!$E$267+'Operating costs'!$B$65&lt;=C2869*12))),'Operating costs'!$B$64,0)+IF(AND('Operating costs'!$B$67&gt;0,'Operating costs'!$B$67&lt;=120,OR(Paths!$D$267="ICE",'Operating costs'!$B$67&lt;=Paths!$E$267),IF('Operating costs'!$B$67=0,C2869=0,AND(C2869&gt;0,'Operating costs'!$B$67&gt;(C2869-1)*12,'Operating costs'!$B$67&lt;=C2869*12))),'Operating costs'!$B$66,0),"n.a."))</f>
        <v>0</v>
      </c>
      <c r="N2869" s="16">
        <f>IF(NOT(Paths!$C$267=1),0,IF(Paths!$P$267="Complete",SUM(G2869:I2869)-J2869-K2869-L2869+M2869+IF(C2869=0,Paths!$F$267,0)+IF(IF(Paths!$E$267=0,C2869=0,AND(C2869&gt;0,Paths!$E$267&gt;(C2869-1)*12,Paths!$E$267&lt;=C2869*12)),VLOOKUP(A2869,'Fleet register'!$A$7:$S$106,16,FALSE),0),"n.a."))</f>
        <v>0</v>
      </c>
      <c r="O2869" s="16">
        <f>IF(NOT(Paths!$C$267=1),0,IF(Paths!$P$267="Complete",N2869-IF(C2869=0,Paths!$F$267,0),"n.a."))</f>
        <v>0</v>
      </c>
      <c r="P2869" s="16">
        <f>IF(NOT(Paths!$C$267=1),0,IF(Paths!$P$267="Complete",O2869+L2869,"n.a."))</f>
        <v>0</v>
      </c>
      <c r="Q2869" s="16">
        <f>IF(NOT(Paths!$C$267=1),0,IF(Paths!$P$267="Complete",N2869*(1+'Operating costs'!$B$54)^-C2869,"n.a."))</f>
        <v>0</v>
      </c>
      <c r="R2869" s="16">
        <f>IF(NOT(Paths!$C$267=1),0,IF(Paths!$P$267="Complete",IF(AND(C2869=0,Paths!$E$267=0),I2869-J2869-K2869+VLOOKUP(A2869,'Fleet register'!$A$7:$S$106,15,FALSE)+VLOOKUP(A2869,'Fleet register'!$A$7:$S$106,16,FALSE),0),"n.a."))</f>
        <v>0</v>
      </c>
      <c r="S2869" s="1">
        <f>IF(NOT(Paths!$C$267=1),0,IF(Paths!$P$267="Complete",IF(C2869=0,0,Paths!$S$267*Paths!$R$267),"n.a."))</f>
        <v>0</v>
      </c>
      <c r="T2869" s="1">
        <f>IF(NOT(Paths!$C$267=1),0,IF(Paths!$P$267="Complete",IF(C2869=0,0,VLOOKUP(A2869,'Fleet register'!$A$7:$S$106,9,FALSE)*Paths!$R$267),"n.a."))</f>
        <v>0</v>
      </c>
    </row>
    <row r="2870" spans="1:20" ht="24" customHeight="1">
      <c r="A2870" s="1" t="str">
        <f>Paths!$A$267</f>
        <v>T066</v>
      </c>
      <c r="B2870" s="1">
        <f>Paths!$B$267</f>
        <v>0</v>
      </c>
      <c r="C2870" s="1">
        <v>3</v>
      </c>
      <c r="D2870" s="1">
        <v>267</v>
      </c>
      <c r="E2870" s="1">
        <f>IF(OR(Paths!$C$267=0,C2870=0),0,MAX(0,MIN(C2870*12,Paths!$E$267)-(C2870-1)*12))</f>
        <v>0</v>
      </c>
      <c r="F2870" s="1">
        <f>IF(OR(Paths!$C$267=0,C2870=0),0,12-E2870)</f>
        <v>0</v>
      </c>
      <c r="G2870" s="16">
        <f>IF(NOT(Paths!$C$267=1),0,IF(Paths!$P$267="Complete",E2870/12*(Paths!$J$267*(1+'Operating costs'!$B$51)^MAX(0,C2870-1)+Paths!$K$267*(1+'Operating costs'!$B$53)^MAX(0,C2870-1)),"n.a."))</f>
        <v>0</v>
      </c>
      <c r="H2870" s="16">
        <f>IF(NOT(Paths!$C$267=1),0,IF(Paths!$P$267="Complete",F2870/12*(Paths!$L$267*(1+IF(Paths!$D$267="EV",'Operating costs'!$B$52,'Operating costs'!$B$51))^MAX(0,C2870-1)+Paths!$M$267*(1+'Operating costs'!$B$53)^MAX(0,C2870-1)),"n.a."))</f>
        <v>0</v>
      </c>
      <c r="I2870" s="16">
        <f>IF(NOT(Paths!$C$267=1),0,IF(Paths!$P$267="Complete",IF(IF(Paths!$E$267=0,C2870=0,AND(C2870&gt;0,Paths!$E$267&gt;(C2870-1)*12,Paths!$E$267&lt;=C2870*12)),Paths!$G$267,0),"n.a."))</f>
        <v>0</v>
      </c>
      <c r="J2870" s="16">
        <f>IF(NOT(Paths!$C$267=1),0,IF(Paths!$P$267="Complete",IF(IF(Paths!$E$267=0,C2870=0,AND(C2870&gt;0,Paths!$E$267&gt;(C2870-1)*12,Paths!$E$267&lt;=C2870*12)),Paths!$H$267,0),"n.a."))</f>
        <v>0</v>
      </c>
      <c r="K2870" s="16">
        <f>IF(NOT(Paths!$C$267=1),0,IF(Paths!$P$267="Complete",IF(IF(Paths!$O$267=0,C2870=0,AND(C2870&gt;0,Paths!$O$267&gt;(C2870-1)*12,Paths!$O$267&lt;=C2870*12)),Paths!$N$267,0),"n.a."))</f>
        <v>0</v>
      </c>
      <c r="L2870" s="16">
        <f>IF(NOT(Paths!$C$267=1),0,IF(Paths!$P$267="Complete",IF(C2870=10,Paths!$I$267,0),"n.a."))</f>
        <v>0</v>
      </c>
      <c r="M2870" s="16">
        <f>IF(NOT(Paths!$C$267=1),0,IF(Paths!$P$267="Complete",IF(AND(Paths!$D$267="EV",Paths!$E$267&lt;120,Paths!$E$267+'Operating costs'!$B$65&gt;Paths!$E$267,Paths!$E$267+'Operating costs'!$B$65&lt;=120,IF(Paths!$E$267+'Operating costs'!$B$65=0,C2870=0,AND(C2870&gt;0,Paths!$E$267+'Operating costs'!$B$65&gt;(C2870-1)*12,Paths!$E$267+'Operating costs'!$B$65&lt;=C2870*12))),'Operating costs'!$B$64,0)+IF(AND('Operating costs'!$B$67&gt;0,'Operating costs'!$B$67&lt;=120,OR(Paths!$D$267="ICE",'Operating costs'!$B$67&lt;=Paths!$E$267),IF('Operating costs'!$B$67=0,C2870=0,AND(C2870&gt;0,'Operating costs'!$B$67&gt;(C2870-1)*12,'Operating costs'!$B$67&lt;=C2870*12))),'Operating costs'!$B$66,0),"n.a."))</f>
        <v>0</v>
      </c>
      <c r="N2870" s="16">
        <f>IF(NOT(Paths!$C$267=1),0,IF(Paths!$P$267="Complete",SUM(G2870:I2870)-J2870-K2870-L2870+M2870+IF(C2870=0,Paths!$F$267,0)+IF(IF(Paths!$E$267=0,C2870=0,AND(C2870&gt;0,Paths!$E$267&gt;(C2870-1)*12,Paths!$E$267&lt;=C2870*12)),VLOOKUP(A2870,'Fleet register'!$A$7:$S$106,16,FALSE),0),"n.a."))</f>
        <v>0</v>
      </c>
      <c r="O2870" s="16">
        <f>IF(NOT(Paths!$C$267=1),0,IF(Paths!$P$267="Complete",N2870-IF(C2870=0,Paths!$F$267,0),"n.a."))</f>
        <v>0</v>
      </c>
      <c r="P2870" s="16">
        <f>IF(NOT(Paths!$C$267=1),0,IF(Paths!$P$267="Complete",O2870+L2870,"n.a."))</f>
        <v>0</v>
      </c>
      <c r="Q2870" s="16">
        <f>IF(NOT(Paths!$C$267=1),0,IF(Paths!$P$267="Complete",N2870*(1+'Operating costs'!$B$54)^-C2870,"n.a."))</f>
        <v>0</v>
      </c>
      <c r="R2870" s="16">
        <f>IF(NOT(Paths!$C$267=1),0,IF(Paths!$P$267="Complete",IF(AND(C2870=0,Paths!$E$267=0),I2870-J2870-K2870+VLOOKUP(A2870,'Fleet register'!$A$7:$S$106,15,FALSE)+VLOOKUP(A2870,'Fleet register'!$A$7:$S$106,16,FALSE),0),"n.a."))</f>
        <v>0</v>
      </c>
      <c r="S2870" s="1">
        <f>IF(NOT(Paths!$C$267=1),0,IF(Paths!$P$267="Complete",IF(C2870=0,0,Paths!$S$267*Paths!$R$267),"n.a."))</f>
        <v>0</v>
      </c>
      <c r="T2870" s="1">
        <f>IF(NOT(Paths!$C$267=1),0,IF(Paths!$P$267="Complete",IF(C2870=0,0,VLOOKUP(A2870,'Fleet register'!$A$7:$S$106,9,FALSE)*Paths!$R$267),"n.a."))</f>
        <v>0</v>
      </c>
    </row>
    <row r="2871" spans="1:20" ht="24" customHeight="1">
      <c r="A2871" s="1" t="str">
        <f>Paths!$A$267</f>
        <v>T066</v>
      </c>
      <c r="B2871" s="1">
        <f>Paths!$B$267</f>
        <v>0</v>
      </c>
      <c r="C2871" s="1">
        <v>4</v>
      </c>
      <c r="D2871" s="1">
        <v>267</v>
      </c>
      <c r="E2871" s="1">
        <f>IF(OR(Paths!$C$267=0,C2871=0),0,MAX(0,MIN(C2871*12,Paths!$E$267)-(C2871-1)*12))</f>
        <v>0</v>
      </c>
      <c r="F2871" s="1">
        <f>IF(OR(Paths!$C$267=0,C2871=0),0,12-E2871)</f>
        <v>0</v>
      </c>
      <c r="G2871" s="16">
        <f>IF(NOT(Paths!$C$267=1),0,IF(Paths!$P$267="Complete",E2871/12*(Paths!$J$267*(1+'Operating costs'!$B$51)^MAX(0,C2871-1)+Paths!$K$267*(1+'Operating costs'!$B$53)^MAX(0,C2871-1)),"n.a."))</f>
        <v>0</v>
      </c>
      <c r="H2871" s="16">
        <f>IF(NOT(Paths!$C$267=1),0,IF(Paths!$P$267="Complete",F2871/12*(Paths!$L$267*(1+IF(Paths!$D$267="EV",'Operating costs'!$B$52,'Operating costs'!$B$51))^MAX(0,C2871-1)+Paths!$M$267*(1+'Operating costs'!$B$53)^MAX(0,C2871-1)),"n.a."))</f>
        <v>0</v>
      </c>
      <c r="I2871" s="16">
        <f>IF(NOT(Paths!$C$267=1),0,IF(Paths!$P$267="Complete",IF(IF(Paths!$E$267=0,C2871=0,AND(C2871&gt;0,Paths!$E$267&gt;(C2871-1)*12,Paths!$E$267&lt;=C2871*12)),Paths!$G$267,0),"n.a."))</f>
        <v>0</v>
      </c>
      <c r="J2871" s="16">
        <f>IF(NOT(Paths!$C$267=1),0,IF(Paths!$P$267="Complete",IF(IF(Paths!$E$267=0,C2871=0,AND(C2871&gt;0,Paths!$E$267&gt;(C2871-1)*12,Paths!$E$267&lt;=C2871*12)),Paths!$H$267,0),"n.a."))</f>
        <v>0</v>
      </c>
      <c r="K2871" s="16">
        <f>IF(NOT(Paths!$C$267=1),0,IF(Paths!$P$267="Complete",IF(IF(Paths!$O$267=0,C2871=0,AND(C2871&gt;0,Paths!$O$267&gt;(C2871-1)*12,Paths!$O$267&lt;=C2871*12)),Paths!$N$267,0),"n.a."))</f>
        <v>0</v>
      </c>
      <c r="L2871" s="16">
        <f>IF(NOT(Paths!$C$267=1),0,IF(Paths!$P$267="Complete",IF(C2871=10,Paths!$I$267,0),"n.a."))</f>
        <v>0</v>
      </c>
      <c r="M2871" s="16">
        <f>IF(NOT(Paths!$C$267=1),0,IF(Paths!$P$267="Complete",IF(AND(Paths!$D$267="EV",Paths!$E$267&lt;120,Paths!$E$267+'Operating costs'!$B$65&gt;Paths!$E$267,Paths!$E$267+'Operating costs'!$B$65&lt;=120,IF(Paths!$E$267+'Operating costs'!$B$65=0,C2871=0,AND(C2871&gt;0,Paths!$E$267+'Operating costs'!$B$65&gt;(C2871-1)*12,Paths!$E$267+'Operating costs'!$B$65&lt;=C2871*12))),'Operating costs'!$B$64,0)+IF(AND('Operating costs'!$B$67&gt;0,'Operating costs'!$B$67&lt;=120,OR(Paths!$D$267="ICE",'Operating costs'!$B$67&lt;=Paths!$E$267),IF('Operating costs'!$B$67=0,C2871=0,AND(C2871&gt;0,'Operating costs'!$B$67&gt;(C2871-1)*12,'Operating costs'!$B$67&lt;=C2871*12))),'Operating costs'!$B$66,0),"n.a."))</f>
        <v>0</v>
      </c>
      <c r="N2871" s="16">
        <f>IF(NOT(Paths!$C$267=1),0,IF(Paths!$P$267="Complete",SUM(G2871:I2871)-J2871-K2871-L2871+M2871+IF(C2871=0,Paths!$F$267,0)+IF(IF(Paths!$E$267=0,C2871=0,AND(C2871&gt;0,Paths!$E$267&gt;(C2871-1)*12,Paths!$E$267&lt;=C2871*12)),VLOOKUP(A2871,'Fleet register'!$A$7:$S$106,16,FALSE),0),"n.a."))</f>
        <v>0</v>
      </c>
      <c r="O2871" s="16">
        <f>IF(NOT(Paths!$C$267=1),0,IF(Paths!$P$267="Complete",N2871-IF(C2871=0,Paths!$F$267,0),"n.a."))</f>
        <v>0</v>
      </c>
      <c r="P2871" s="16">
        <f>IF(NOT(Paths!$C$267=1),0,IF(Paths!$P$267="Complete",O2871+L2871,"n.a."))</f>
        <v>0</v>
      </c>
      <c r="Q2871" s="16">
        <f>IF(NOT(Paths!$C$267=1),0,IF(Paths!$P$267="Complete",N2871*(1+'Operating costs'!$B$54)^-C2871,"n.a."))</f>
        <v>0</v>
      </c>
      <c r="R2871" s="16">
        <f>IF(NOT(Paths!$C$267=1),0,IF(Paths!$P$267="Complete",IF(AND(C2871=0,Paths!$E$267=0),I2871-J2871-K2871+VLOOKUP(A2871,'Fleet register'!$A$7:$S$106,15,FALSE)+VLOOKUP(A2871,'Fleet register'!$A$7:$S$106,16,FALSE),0),"n.a."))</f>
        <v>0</v>
      </c>
      <c r="S2871" s="1">
        <f>IF(NOT(Paths!$C$267=1),0,IF(Paths!$P$267="Complete",IF(C2871=0,0,Paths!$S$267*Paths!$R$267),"n.a."))</f>
        <v>0</v>
      </c>
      <c r="T2871" s="1">
        <f>IF(NOT(Paths!$C$267=1),0,IF(Paths!$P$267="Complete",IF(C2871=0,0,VLOOKUP(A2871,'Fleet register'!$A$7:$S$106,9,FALSE)*Paths!$R$267),"n.a."))</f>
        <v>0</v>
      </c>
    </row>
    <row r="2872" spans="1:20" ht="24" customHeight="1">
      <c r="A2872" s="1" t="str">
        <f>Paths!$A$267</f>
        <v>T066</v>
      </c>
      <c r="B2872" s="1">
        <f>Paths!$B$267</f>
        <v>0</v>
      </c>
      <c r="C2872" s="1">
        <v>5</v>
      </c>
      <c r="D2872" s="1">
        <v>267</v>
      </c>
      <c r="E2872" s="1">
        <f>IF(OR(Paths!$C$267=0,C2872=0),0,MAX(0,MIN(C2872*12,Paths!$E$267)-(C2872-1)*12))</f>
        <v>0</v>
      </c>
      <c r="F2872" s="1">
        <f>IF(OR(Paths!$C$267=0,C2872=0),0,12-E2872)</f>
        <v>0</v>
      </c>
      <c r="G2872" s="16">
        <f>IF(NOT(Paths!$C$267=1),0,IF(Paths!$P$267="Complete",E2872/12*(Paths!$J$267*(1+'Operating costs'!$B$51)^MAX(0,C2872-1)+Paths!$K$267*(1+'Operating costs'!$B$53)^MAX(0,C2872-1)),"n.a."))</f>
        <v>0</v>
      </c>
      <c r="H2872" s="16">
        <f>IF(NOT(Paths!$C$267=1),0,IF(Paths!$P$267="Complete",F2872/12*(Paths!$L$267*(1+IF(Paths!$D$267="EV",'Operating costs'!$B$52,'Operating costs'!$B$51))^MAX(0,C2872-1)+Paths!$M$267*(1+'Operating costs'!$B$53)^MAX(0,C2872-1)),"n.a."))</f>
        <v>0</v>
      </c>
      <c r="I2872" s="16">
        <f>IF(NOT(Paths!$C$267=1),0,IF(Paths!$P$267="Complete",IF(IF(Paths!$E$267=0,C2872=0,AND(C2872&gt;0,Paths!$E$267&gt;(C2872-1)*12,Paths!$E$267&lt;=C2872*12)),Paths!$G$267,0),"n.a."))</f>
        <v>0</v>
      </c>
      <c r="J2872" s="16">
        <f>IF(NOT(Paths!$C$267=1),0,IF(Paths!$P$267="Complete",IF(IF(Paths!$E$267=0,C2872=0,AND(C2872&gt;0,Paths!$E$267&gt;(C2872-1)*12,Paths!$E$267&lt;=C2872*12)),Paths!$H$267,0),"n.a."))</f>
        <v>0</v>
      </c>
      <c r="K2872" s="16">
        <f>IF(NOT(Paths!$C$267=1),0,IF(Paths!$P$267="Complete",IF(IF(Paths!$O$267=0,C2872=0,AND(C2872&gt;0,Paths!$O$267&gt;(C2872-1)*12,Paths!$O$267&lt;=C2872*12)),Paths!$N$267,0),"n.a."))</f>
        <v>0</v>
      </c>
      <c r="L2872" s="16">
        <f>IF(NOT(Paths!$C$267=1),0,IF(Paths!$P$267="Complete",IF(C2872=10,Paths!$I$267,0),"n.a."))</f>
        <v>0</v>
      </c>
      <c r="M2872" s="16">
        <f>IF(NOT(Paths!$C$267=1),0,IF(Paths!$P$267="Complete",IF(AND(Paths!$D$267="EV",Paths!$E$267&lt;120,Paths!$E$267+'Operating costs'!$B$65&gt;Paths!$E$267,Paths!$E$267+'Operating costs'!$B$65&lt;=120,IF(Paths!$E$267+'Operating costs'!$B$65=0,C2872=0,AND(C2872&gt;0,Paths!$E$267+'Operating costs'!$B$65&gt;(C2872-1)*12,Paths!$E$267+'Operating costs'!$B$65&lt;=C2872*12))),'Operating costs'!$B$64,0)+IF(AND('Operating costs'!$B$67&gt;0,'Operating costs'!$B$67&lt;=120,OR(Paths!$D$267="ICE",'Operating costs'!$B$67&lt;=Paths!$E$267),IF('Operating costs'!$B$67=0,C2872=0,AND(C2872&gt;0,'Operating costs'!$B$67&gt;(C2872-1)*12,'Operating costs'!$B$67&lt;=C2872*12))),'Operating costs'!$B$66,0),"n.a."))</f>
        <v>0</v>
      </c>
      <c r="N2872" s="16">
        <f>IF(NOT(Paths!$C$267=1),0,IF(Paths!$P$267="Complete",SUM(G2872:I2872)-J2872-K2872-L2872+M2872+IF(C2872=0,Paths!$F$267,0)+IF(IF(Paths!$E$267=0,C2872=0,AND(C2872&gt;0,Paths!$E$267&gt;(C2872-1)*12,Paths!$E$267&lt;=C2872*12)),VLOOKUP(A2872,'Fleet register'!$A$7:$S$106,16,FALSE),0),"n.a."))</f>
        <v>0</v>
      </c>
      <c r="O2872" s="16">
        <f>IF(NOT(Paths!$C$267=1),0,IF(Paths!$P$267="Complete",N2872-IF(C2872=0,Paths!$F$267,0),"n.a."))</f>
        <v>0</v>
      </c>
      <c r="P2872" s="16">
        <f>IF(NOT(Paths!$C$267=1),0,IF(Paths!$P$267="Complete",O2872+L2872,"n.a."))</f>
        <v>0</v>
      </c>
      <c r="Q2872" s="16">
        <f>IF(NOT(Paths!$C$267=1),0,IF(Paths!$P$267="Complete",N2872*(1+'Operating costs'!$B$54)^-C2872,"n.a."))</f>
        <v>0</v>
      </c>
      <c r="R2872" s="16">
        <f>IF(NOT(Paths!$C$267=1),0,IF(Paths!$P$267="Complete",IF(AND(C2872=0,Paths!$E$267=0),I2872-J2872-K2872+VLOOKUP(A2872,'Fleet register'!$A$7:$S$106,15,FALSE)+VLOOKUP(A2872,'Fleet register'!$A$7:$S$106,16,FALSE),0),"n.a."))</f>
        <v>0</v>
      </c>
      <c r="S2872" s="1">
        <f>IF(NOT(Paths!$C$267=1),0,IF(Paths!$P$267="Complete",IF(C2872=0,0,Paths!$S$267*Paths!$R$267),"n.a."))</f>
        <v>0</v>
      </c>
      <c r="T2872" s="1">
        <f>IF(NOT(Paths!$C$267=1),0,IF(Paths!$P$267="Complete",IF(C2872=0,0,VLOOKUP(A2872,'Fleet register'!$A$7:$S$106,9,FALSE)*Paths!$R$267),"n.a."))</f>
        <v>0</v>
      </c>
    </row>
    <row r="2873" spans="1:20" ht="24" customHeight="1">
      <c r="A2873" s="1" t="str">
        <f>Paths!$A$267</f>
        <v>T066</v>
      </c>
      <c r="B2873" s="1">
        <f>Paths!$B$267</f>
        <v>0</v>
      </c>
      <c r="C2873" s="1">
        <v>6</v>
      </c>
      <c r="D2873" s="1">
        <v>267</v>
      </c>
      <c r="E2873" s="1">
        <f>IF(OR(Paths!$C$267=0,C2873=0),0,MAX(0,MIN(C2873*12,Paths!$E$267)-(C2873-1)*12))</f>
        <v>0</v>
      </c>
      <c r="F2873" s="1">
        <f>IF(OR(Paths!$C$267=0,C2873=0),0,12-E2873)</f>
        <v>0</v>
      </c>
      <c r="G2873" s="16">
        <f>IF(NOT(Paths!$C$267=1),0,IF(Paths!$P$267="Complete",E2873/12*(Paths!$J$267*(1+'Operating costs'!$B$51)^MAX(0,C2873-1)+Paths!$K$267*(1+'Operating costs'!$B$53)^MAX(0,C2873-1)),"n.a."))</f>
        <v>0</v>
      </c>
      <c r="H2873" s="16">
        <f>IF(NOT(Paths!$C$267=1),0,IF(Paths!$P$267="Complete",F2873/12*(Paths!$L$267*(1+IF(Paths!$D$267="EV",'Operating costs'!$B$52,'Operating costs'!$B$51))^MAX(0,C2873-1)+Paths!$M$267*(1+'Operating costs'!$B$53)^MAX(0,C2873-1)),"n.a."))</f>
        <v>0</v>
      </c>
      <c r="I2873" s="16">
        <f>IF(NOT(Paths!$C$267=1),0,IF(Paths!$P$267="Complete",IF(IF(Paths!$E$267=0,C2873=0,AND(C2873&gt;0,Paths!$E$267&gt;(C2873-1)*12,Paths!$E$267&lt;=C2873*12)),Paths!$G$267,0),"n.a."))</f>
        <v>0</v>
      </c>
      <c r="J2873" s="16">
        <f>IF(NOT(Paths!$C$267=1),0,IF(Paths!$P$267="Complete",IF(IF(Paths!$E$267=0,C2873=0,AND(C2873&gt;0,Paths!$E$267&gt;(C2873-1)*12,Paths!$E$267&lt;=C2873*12)),Paths!$H$267,0),"n.a."))</f>
        <v>0</v>
      </c>
      <c r="K2873" s="16">
        <f>IF(NOT(Paths!$C$267=1),0,IF(Paths!$P$267="Complete",IF(IF(Paths!$O$267=0,C2873=0,AND(C2873&gt;0,Paths!$O$267&gt;(C2873-1)*12,Paths!$O$267&lt;=C2873*12)),Paths!$N$267,0),"n.a."))</f>
        <v>0</v>
      </c>
      <c r="L2873" s="16">
        <f>IF(NOT(Paths!$C$267=1),0,IF(Paths!$P$267="Complete",IF(C2873=10,Paths!$I$267,0),"n.a."))</f>
        <v>0</v>
      </c>
      <c r="M2873" s="16">
        <f>IF(NOT(Paths!$C$267=1),0,IF(Paths!$P$267="Complete",IF(AND(Paths!$D$267="EV",Paths!$E$267&lt;120,Paths!$E$267+'Operating costs'!$B$65&gt;Paths!$E$267,Paths!$E$267+'Operating costs'!$B$65&lt;=120,IF(Paths!$E$267+'Operating costs'!$B$65=0,C2873=0,AND(C2873&gt;0,Paths!$E$267+'Operating costs'!$B$65&gt;(C2873-1)*12,Paths!$E$267+'Operating costs'!$B$65&lt;=C2873*12))),'Operating costs'!$B$64,0)+IF(AND('Operating costs'!$B$67&gt;0,'Operating costs'!$B$67&lt;=120,OR(Paths!$D$267="ICE",'Operating costs'!$B$67&lt;=Paths!$E$267),IF('Operating costs'!$B$67=0,C2873=0,AND(C2873&gt;0,'Operating costs'!$B$67&gt;(C2873-1)*12,'Operating costs'!$B$67&lt;=C2873*12))),'Operating costs'!$B$66,0),"n.a."))</f>
        <v>0</v>
      </c>
      <c r="N2873" s="16">
        <f>IF(NOT(Paths!$C$267=1),0,IF(Paths!$P$267="Complete",SUM(G2873:I2873)-J2873-K2873-L2873+M2873+IF(C2873=0,Paths!$F$267,0)+IF(IF(Paths!$E$267=0,C2873=0,AND(C2873&gt;0,Paths!$E$267&gt;(C2873-1)*12,Paths!$E$267&lt;=C2873*12)),VLOOKUP(A2873,'Fleet register'!$A$7:$S$106,16,FALSE),0),"n.a."))</f>
        <v>0</v>
      </c>
      <c r="O2873" s="16">
        <f>IF(NOT(Paths!$C$267=1),0,IF(Paths!$P$267="Complete",N2873-IF(C2873=0,Paths!$F$267,0),"n.a."))</f>
        <v>0</v>
      </c>
      <c r="P2873" s="16">
        <f>IF(NOT(Paths!$C$267=1),0,IF(Paths!$P$267="Complete",O2873+L2873,"n.a."))</f>
        <v>0</v>
      </c>
      <c r="Q2873" s="16">
        <f>IF(NOT(Paths!$C$267=1),0,IF(Paths!$P$267="Complete",N2873*(1+'Operating costs'!$B$54)^-C2873,"n.a."))</f>
        <v>0</v>
      </c>
      <c r="R2873" s="16">
        <f>IF(NOT(Paths!$C$267=1),0,IF(Paths!$P$267="Complete",IF(AND(C2873=0,Paths!$E$267=0),I2873-J2873-K2873+VLOOKUP(A2873,'Fleet register'!$A$7:$S$106,15,FALSE)+VLOOKUP(A2873,'Fleet register'!$A$7:$S$106,16,FALSE),0),"n.a."))</f>
        <v>0</v>
      </c>
      <c r="S2873" s="1">
        <f>IF(NOT(Paths!$C$267=1),0,IF(Paths!$P$267="Complete",IF(C2873=0,0,Paths!$S$267*Paths!$R$267),"n.a."))</f>
        <v>0</v>
      </c>
      <c r="T2873" s="1">
        <f>IF(NOT(Paths!$C$267=1),0,IF(Paths!$P$267="Complete",IF(C2873=0,0,VLOOKUP(A2873,'Fleet register'!$A$7:$S$106,9,FALSE)*Paths!$R$267),"n.a."))</f>
        <v>0</v>
      </c>
    </row>
    <row r="2874" spans="1:20" ht="24" customHeight="1">
      <c r="A2874" s="1" t="str">
        <f>Paths!$A$267</f>
        <v>T066</v>
      </c>
      <c r="B2874" s="1">
        <f>Paths!$B$267</f>
        <v>0</v>
      </c>
      <c r="C2874" s="1">
        <v>7</v>
      </c>
      <c r="D2874" s="1">
        <v>267</v>
      </c>
      <c r="E2874" s="1">
        <f>IF(OR(Paths!$C$267=0,C2874=0),0,MAX(0,MIN(C2874*12,Paths!$E$267)-(C2874-1)*12))</f>
        <v>0</v>
      </c>
      <c r="F2874" s="1">
        <f>IF(OR(Paths!$C$267=0,C2874=0),0,12-E2874)</f>
        <v>0</v>
      </c>
      <c r="G2874" s="16">
        <f>IF(NOT(Paths!$C$267=1),0,IF(Paths!$P$267="Complete",E2874/12*(Paths!$J$267*(1+'Operating costs'!$B$51)^MAX(0,C2874-1)+Paths!$K$267*(1+'Operating costs'!$B$53)^MAX(0,C2874-1)),"n.a."))</f>
        <v>0</v>
      </c>
      <c r="H2874" s="16">
        <f>IF(NOT(Paths!$C$267=1),0,IF(Paths!$P$267="Complete",F2874/12*(Paths!$L$267*(1+IF(Paths!$D$267="EV",'Operating costs'!$B$52,'Operating costs'!$B$51))^MAX(0,C2874-1)+Paths!$M$267*(1+'Operating costs'!$B$53)^MAX(0,C2874-1)),"n.a."))</f>
        <v>0</v>
      </c>
      <c r="I2874" s="16">
        <f>IF(NOT(Paths!$C$267=1),0,IF(Paths!$P$267="Complete",IF(IF(Paths!$E$267=0,C2874=0,AND(C2874&gt;0,Paths!$E$267&gt;(C2874-1)*12,Paths!$E$267&lt;=C2874*12)),Paths!$G$267,0),"n.a."))</f>
        <v>0</v>
      </c>
      <c r="J2874" s="16">
        <f>IF(NOT(Paths!$C$267=1),0,IF(Paths!$P$267="Complete",IF(IF(Paths!$E$267=0,C2874=0,AND(C2874&gt;0,Paths!$E$267&gt;(C2874-1)*12,Paths!$E$267&lt;=C2874*12)),Paths!$H$267,0),"n.a."))</f>
        <v>0</v>
      </c>
      <c r="K2874" s="16">
        <f>IF(NOT(Paths!$C$267=1),0,IF(Paths!$P$267="Complete",IF(IF(Paths!$O$267=0,C2874=0,AND(C2874&gt;0,Paths!$O$267&gt;(C2874-1)*12,Paths!$O$267&lt;=C2874*12)),Paths!$N$267,0),"n.a."))</f>
        <v>0</v>
      </c>
      <c r="L2874" s="16">
        <f>IF(NOT(Paths!$C$267=1),0,IF(Paths!$P$267="Complete",IF(C2874=10,Paths!$I$267,0),"n.a."))</f>
        <v>0</v>
      </c>
      <c r="M2874" s="16">
        <f>IF(NOT(Paths!$C$267=1),0,IF(Paths!$P$267="Complete",IF(AND(Paths!$D$267="EV",Paths!$E$267&lt;120,Paths!$E$267+'Operating costs'!$B$65&gt;Paths!$E$267,Paths!$E$267+'Operating costs'!$B$65&lt;=120,IF(Paths!$E$267+'Operating costs'!$B$65=0,C2874=0,AND(C2874&gt;0,Paths!$E$267+'Operating costs'!$B$65&gt;(C2874-1)*12,Paths!$E$267+'Operating costs'!$B$65&lt;=C2874*12))),'Operating costs'!$B$64,0)+IF(AND('Operating costs'!$B$67&gt;0,'Operating costs'!$B$67&lt;=120,OR(Paths!$D$267="ICE",'Operating costs'!$B$67&lt;=Paths!$E$267),IF('Operating costs'!$B$67=0,C2874=0,AND(C2874&gt;0,'Operating costs'!$B$67&gt;(C2874-1)*12,'Operating costs'!$B$67&lt;=C2874*12))),'Operating costs'!$B$66,0),"n.a."))</f>
        <v>0</v>
      </c>
      <c r="N2874" s="16">
        <f>IF(NOT(Paths!$C$267=1),0,IF(Paths!$P$267="Complete",SUM(G2874:I2874)-J2874-K2874-L2874+M2874+IF(C2874=0,Paths!$F$267,0)+IF(IF(Paths!$E$267=0,C2874=0,AND(C2874&gt;0,Paths!$E$267&gt;(C2874-1)*12,Paths!$E$267&lt;=C2874*12)),VLOOKUP(A2874,'Fleet register'!$A$7:$S$106,16,FALSE),0),"n.a."))</f>
        <v>0</v>
      </c>
      <c r="O2874" s="16">
        <f>IF(NOT(Paths!$C$267=1),0,IF(Paths!$P$267="Complete",N2874-IF(C2874=0,Paths!$F$267,0),"n.a."))</f>
        <v>0</v>
      </c>
      <c r="P2874" s="16">
        <f>IF(NOT(Paths!$C$267=1),0,IF(Paths!$P$267="Complete",O2874+L2874,"n.a."))</f>
        <v>0</v>
      </c>
      <c r="Q2874" s="16">
        <f>IF(NOT(Paths!$C$267=1),0,IF(Paths!$P$267="Complete",N2874*(1+'Operating costs'!$B$54)^-C2874,"n.a."))</f>
        <v>0</v>
      </c>
      <c r="R2874" s="16">
        <f>IF(NOT(Paths!$C$267=1),0,IF(Paths!$P$267="Complete",IF(AND(C2874=0,Paths!$E$267=0),I2874-J2874-K2874+VLOOKUP(A2874,'Fleet register'!$A$7:$S$106,15,FALSE)+VLOOKUP(A2874,'Fleet register'!$A$7:$S$106,16,FALSE),0),"n.a."))</f>
        <v>0</v>
      </c>
      <c r="S2874" s="1">
        <f>IF(NOT(Paths!$C$267=1),0,IF(Paths!$P$267="Complete",IF(C2874=0,0,Paths!$S$267*Paths!$R$267),"n.a."))</f>
        <v>0</v>
      </c>
      <c r="T2874" s="1">
        <f>IF(NOT(Paths!$C$267=1),0,IF(Paths!$P$267="Complete",IF(C2874=0,0,VLOOKUP(A2874,'Fleet register'!$A$7:$S$106,9,FALSE)*Paths!$R$267),"n.a."))</f>
        <v>0</v>
      </c>
    </row>
    <row r="2875" spans="1:20" ht="24" customHeight="1">
      <c r="A2875" s="1" t="str">
        <f>Paths!$A$267</f>
        <v>T066</v>
      </c>
      <c r="B2875" s="1">
        <f>Paths!$B$267</f>
        <v>0</v>
      </c>
      <c r="C2875" s="1">
        <v>8</v>
      </c>
      <c r="D2875" s="1">
        <v>267</v>
      </c>
      <c r="E2875" s="1">
        <f>IF(OR(Paths!$C$267=0,C2875=0),0,MAX(0,MIN(C2875*12,Paths!$E$267)-(C2875-1)*12))</f>
        <v>0</v>
      </c>
      <c r="F2875" s="1">
        <f>IF(OR(Paths!$C$267=0,C2875=0),0,12-E2875)</f>
        <v>0</v>
      </c>
      <c r="G2875" s="16">
        <f>IF(NOT(Paths!$C$267=1),0,IF(Paths!$P$267="Complete",E2875/12*(Paths!$J$267*(1+'Operating costs'!$B$51)^MAX(0,C2875-1)+Paths!$K$267*(1+'Operating costs'!$B$53)^MAX(0,C2875-1)),"n.a."))</f>
        <v>0</v>
      </c>
      <c r="H2875" s="16">
        <f>IF(NOT(Paths!$C$267=1),0,IF(Paths!$P$267="Complete",F2875/12*(Paths!$L$267*(1+IF(Paths!$D$267="EV",'Operating costs'!$B$52,'Operating costs'!$B$51))^MAX(0,C2875-1)+Paths!$M$267*(1+'Operating costs'!$B$53)^MAX(0,C2875-1)),"n.a."))</f>
        <v>0</v>
      </c>
      <c r="I2875" s="16">
        <f>IF(NOT(Paths!$C$267=1),0,IF(Paths!$P$267="Complete",IF(IF(Paths!$E$267=0,C2875=0,AND(C2875&gt;0,Paths!$E$267&gt;(C2875-1)*12,Paths!$E$267&lt;=C2875*12)),Paths!$G$267,0),"n.a."))</f>
        <v>0</v>
      </c>
      <c r="J2875" s="16">
        <f>IF(NOT(Paths!$C$267=1),0,IF(Paths!$P$267="Complete",IF(IF(Paths!$E$267=0,C2875=0,AND(C2875&gt;0,Paths!$E$267&gt;(C2875-1)*12,Paths!$E$267&lt;=C2875*12)),Paths!$H$267,0),"n.a."))</f>
        <v>0</v>
      </c>
      <c r="K2875" s="16">
        <f>IF(NOT(Paths!$C$267=1),0,IF(Paths!$P$267="Complete",IF(IF(Paths!$O$267=0,C2875=0,AND(C2875&gt;0,Paths!$O$267&gt;(C2875-1)*12,Paths!$O$267&lt;=C2875*12)),Paths!$N$267,0),"n.a."))</f>
        <v>0</v>
      </c>
      <c r="L2875" s="16">
        <f>IF(NOT(Paths!$C$267=1),0,IF(Paths!$P$267="Complete",IF(C2875=10,Paths!$I$267,0),"n.a."))</f>
        <v>0</v>
      </c>
      <c r="M2875" s="16">
        <f>IF(NOT(Paths!$C$267=1),0,IF(Paths!$P$267="Complete",IF(AND(Paths!$D$267="EV",Paths!$E$267&lt;120,Paths!$E$267+'Operating costs'!$B$65&gt;Paths!$E$267,Paths!$E$267+'Operating costs'!$B$65&lt;=120,IF(Paths!$E$267+'Operating costs'!$B$65=0,C2875=0,AND(C2875&gt;0,Paths!$E$267+'Operating costs'!$B$65&gt;(C2875-1)*12,Paths!$E$267+'Operating costs'!$B$65&lt;=C2875*12))),'Operating costs'!$B$64,0)+IF(AND('Operating costs'!$B$67&gt;0,'Operating costs'!$B$67&lt;=120,OR(Paths!$D$267="ICE",'Operating costs'!$B$67&lt;=Paths!$E$267),IF('Operating costs'!$B$67=0,C2875=0,AND(C2875&gt;0,'Operating costs'!$B$67&gt;(C2875-1)*12,'Operating costs'!$B$67&lt;=C2875*12))),'Operating costs'!$B$66,0),"n.a."))</f>
        <v>0</v>
      </c>
      <c r="N2875" s="16">
        <f>IF(NOT(Paths!$C$267=1),0,IF(Paths!$P$267="Complete",SUM(G2875:I2875)-J2875-K2875-L2875+M2875+IF(C2875=0,Paths!$F$267,0)+IF(IF(Paths!$E$267=0,C2875=0,AND(C2875&gt;0,Paths!$E$267&gt;(C2875-1)*12,Paths!$E$267&lt;=C2875*12)),VLOOKUP(A2875,'Fleet register'!$A$7:$S$106,16,FALSE),0),"n.a."))</f>
        <v>0</v>
      </c>
      <c r="O2875" s="16">
        <f>IF(NOT(Paths!$C$267=1),0,IF(Paths!$P$267="Complete",N2875-IF(C2875=0,Paths!$F$267,0),"n.a."))</f>
        <v>0</v>
      </c>
      <c r="P2875" s="16">
        <f>IF(NOT(Paths!$C$267=1),0,IF(Paths!$P$267="Complete",O2875+L2875,"n.a."))</f>
        <v>0</v>
      </c>
      <c r="Q2875" s="16">
        <f>IF(NOT(Paths!$C$267=1),0,IF(Paths!$P$267="Complete",N2875*(1+'Operating costs'!$B$54)^-C2875,"n.a."))</f>
        <v>0</v>
      </c>
      <c r="R2875" s="16">
        <f>IF(NOT(Paths!$C$267=1),0,IF(Paths!$P$267="Complete",IF(AND(C2875=0,Paths!$E$267=0),I2875-J2875-K2875+VLOOKUP(A2875,'Fleet register'!$A$7:$S$106,15,FALSE)+VLOOKUP(A2875,'Fleet register'!$A$7:$S$106,16,FALSE),0),"n.a."))</f>
        <v>0</v>
      </c>
      <c r="S2875" s="1">
        <f>IF(NOT(Paths!$C$267=1),0,IF(Paths!$P$267="Complete",IF(C2875=0,0,Paths!$S$267*Paths!$R$267),"n.a."))</f>
        <v>0</v>
      </c>
      <c r="T2875" s="1">
        <f>IF(NOT(Paths!$C$267=1),0,IF(Paths!$P$267="Complete",IF(C2875=0,0,VLOOKUP(A2875,'Fleet register'!$A$7:$S$106,9,FALSE)*Paths!$R$267),"n.a."))</f>
        <v>0</v>
      </c>
    </row>
    <row r="2876" spans="1:20" ht="24" customHeight="1">
      <c r="A2876" s="1" t="str">
        <f>Paths!$A$267</f>
        <v>T066</v>
      </c>
      <c r="B2876" s="1">
        <f>Paths!$B$267</f>
        <v>0</v>
      </c>
      <c r="C2876" s="1">
        <v>9</v>
      </c>
      <c r="D2876" s="1">
        <v>267</v>
      </c>
      <c r="E2876" s="1">
        <f>IF(OR(Paths!$C$267=0,C2876=0),0,MAX(0,MIN(C2876*12,Paths!$E$267)-(C2876-1)*12))</f>
        <v>0</v>
      </c>
      <c r="F2876" s="1">
        <f>IF(OR(Paths!$C$267=0,C2876=0),0,12-E2876)</f>
        <v>0</v>
      </c>
      <c r="G2876" s="16">
        <f>IF(NOT(Paths!$C$267=1),0,IF(Paths!$P$267="Complete",E2876/12*(Paths!$J$267*(1+'Operating costs'!$B$51)^MAX(0,C2876-1)+Paths!$K$267*(1+'Operating costs'!$B$53)^MAX(0,C2876-1)),"n.a."))</f>
        <v>0</v>
      </c>
      <c r="H2876" s="16">
        <f>IF(NOT(Paths!$C$267=1),0,IF(Paths!$P$267="Complete",F2876/12*(Paths!$L$267*(1+IF(Paths!$D$267="EV",'Operating costs'!$B$52,'Operating costs'!$B$51))^MAX(0,C2876-1)+Paths!$M$267*(1+'Operating costs'!$B$53)^MAX(0,C2876-1)),"n.a."))</f>
        <v>0</v>
      </c>
      <c r="I2876" s="16">
        <f>IF(NOT(Paths!$C$267=1),0,IF(Paths!$P$267="Complete",IF(IF(Paths!$E$267=0,C2876=0,AND(C2876&gt;0,Paths!$E$267&gt;(C2876-1)*12,Paths!$E$267&lt;=C2876*12)),Paths!$G$267,0),"n.a."))</f>
        <v>0</v>
      </c>
      <c r="J2876" s="16">
        <f>IF(NOT(Paths!$C$267=1),0,IF(Paths!$P$267="Complete",IF(IF(Paths!$E$267=0,C2876=0,AND(C2876&gt;0,Paths!$E$267&gt;(C2876-1)*12,Paths!$E$267&lt;=C2876*12)),Paths!$H$267,0),"n.a."))</f>
        <v>0</v>
      </c>
      <c r="K2876" s="16">
        <f>IF(NOT(Paths!$C$267=1),0,IF(Paths!$P$267="Complete",IF(IF(Paths!$O$267=0,C2876=0,AND(C2876&gt;0,Paths!$O$267&gt;(C2876-1)*12,Paths!$O$267&lt;=C2876*12)),Paths!$N$267,0),"n.a."))</f>
        <v>0</v>
      </c>
      <c r="L2876" s="16">
        <f>IF(NOT(Paths!$C$267=1),0,IF(Paths!$P$267="Complete",IF(C2876=10,Paths!$I$267,0),"n.a."))</f>
        <v>0</v>
      </c>
      <c r="M2876" s="16">
        <f>IF(NOT(Paths!$C$267=1),0,IF(Paths!$P$267="Complete",IF(AND(Paths!$D$267="EV",Paths!$E$267&lt;120,Paths!$E$267+'Operating costs'!$B$65&gt;Paths!$E$267,Paths!$E$267+'Operating costs'!$B$65&lt;=120,IF(Paths!$E$267+'Operating costs'!$B$65=0,C2876=0,AND(C2876&gt;0,Paths!$E$267+'Operating costs'!$B$65&gt;(C2876-1)*12,Paths!$E$267+'Operating costs'!$B$65&lt;=C2876*12))),'Operating costs'!$B$64,0)+IF(AND('Operating costs'!$B$67&gt;0,'Operating costs'!$B$67&lt;=120,OR(Paths!$D$267="ICE",'Operating costs'!$B$67&lt;=Paths!$E$267),IF('Operating costs'!$B$67=0,C2876=0,AND(C2876&gt;0,'Operating costs'!$B$67&gt;(C2876-1)*12,'Operating costs'!$B$67&lt;=C2876*12))),'Operating costs'!$B$66,0),"n.a."))</f>
        <v>0</v>
      </c>
      <c r="N2876" s="16">
        <f>IF(NOT(Paths!$C$267=1),0,IF(Paths!$P$267="Complete",SUM(G2876:I2876)-J2876-K2876-L2876+M2876+IF(C2876=0,Paths!$F$267,0)+IF(IF(Paths!$E$267=0,C2876=0,AND(C2876&gt;0,Paths!$E$267&gt;(C2876-1)*12,Paths!$E$267&lt;=C2876*12)),VLOOKUP(A2876,'Fleet register'!$A$7:$S$106,16,FALSE),0),"n.a."))</f>
        <v>0</v>
      </c>
      <c r="O2876" s="16">
        <f>IF(NOT(Paths!$C$267=1),0,IF(Paths!$P$267="Complete",N2876-IF(C2876=0,Paths!$F$267,0),"n.a."))</f>
        <v>0</v>
      </c>
      <c r="P2876" s="16">
        <f>IF(NOT(Paths!$C$267=1),0,IF(Paths!$P$267="Complete",O2876+L2876,"n.a."))</f>
        <v>0</v>
      </c>
      <c r="Q2876" s="16">
        <f>IF(NOT(Paths!$C$267=1),0,IF(Paths!$P$267="Complete",N2876*(1+'Operating costs'!$B$54)^-C2876,"n.a."))</f>
        <v>0</v>
      </c>
      <c r="R2876" s="16">
        <f>IF(NOT(Paths!$C$267=1),0,IF(Paths!$P$267="Complete",IF(AND(C2876=0,Paths!$E$267=0),I2876-J2876-K2876+VLOOKUP(A2876,'Fleet register'!$A$7:$S$106,15,FALSE)+VLOOKUP(A2876,'Fleet register'!$A$7:$S$106,16,FALSE),0),"n.a."))</f>
        <v>0</v>
      </c>
      <c r="S2876" s="1">
        <f>IF(NOT(Paths!$C$267=1),0,IF(Paths!$P$267="Complete",IF(C2876=0,0,Paths!$S$267*Paths!$R$267),"n.a."))</f>
        <v>0</v>
      </c>
      <c r="T2876" s="1">
        <f>IF(NOT(Paths!$C$267=1),0,IF(Paths!$P$267="Complete",IF(C2876=0,0,VLOOKUP(A2876,'Fleet register'!$A$7:$S$106,9,FALSE)*Paths!$R$267),"n.a."))</f>
        <v>0</v>
      </c>
    </row>
    <row r="2877" spans="1:20" ht="24" customHeight="1">
      <c r="A2877" s="1" t="str">
        <f>Paths!$A$267</f>
        <v>T066</v>
      </c>
      <c r="B2877" s="1">
        <f>Paths!$B$267</f>
        <v>0</v>
      </c>
      <c r="C2877" s="1">
        <v>10</v>
      </c>
      <c r="D2877" s="1">
        <v>267</v>
      </c>
      <c r="E2877" s="1">
        <f>IF(OR(Paths!$C$267=0,C2877=0),0,MAX(0,MIN(C2877*12,Paths!$E$267)-(C2877-1)*12))</f>
        <v>0</v>
      </c>
      <c r="F2877" s="1">
        <f>IF(OR(Paths!$C$267=0,C2877=0),0,12-E2877)</f>
        <v>0</v>
      </c>
      <c r="G2877" s="16">
        <f>IF(NOT(Paths!$C$267=1),0,IF(Paths!$P$267="Complete",E2877/12*(Paths!$J$267*(1+'Operating costs'!$B$51)^MAX(0,C2877-1)+Paths!$K$267*(1+'Operating costs'!$B$53)^MAX(0,C2877-1)),"n.a."))</f>
        <v>0</v>
      </c>
      <c r="H2877" s="16">
        <f>IF(NOT(Paths!$C$267=1),0,IF(Paths!$P$267="Complete",F2877/12*(Paths!$L$267*(1+IF(Paths!$D$267="EV",'Operating costs'!$B$52,'Operating costs'!$B$51))^MAX(0,C2877-1)+Paths!$M$267*(1+'Operating costs'!$B$53)^MAX(0,C2877-1)),"n.a."))</f>
        <v>0</v>
      </c>
      <c r="I2877" s="16">
        <f>IF(NOT(Paths!$C$267=1),0,IF(Paths!$P$267="Complete",IF(IF(Paths!$E$267=0,C2877=0,AND(C2877&gt;0,Paths!$E$267&gt;(C2877-1)*12,Paths!$E$267&lt;=C2877*12)),Paths!$G$267,0),"n.a."))</f>
        <v>0</v>
      </c>
      <c r="J2877" s="16">
        <f>IF(NOT(Paths!$C$267=1),0,IF(Paths!$P$267="Complete",IF(IF(Paths!$E$267=0,C2877=0,AND(C2877&gt;0,Paths!$E$267&gt;(C2877-1)*12,Paths!$E$267&lt;=C2877*12)),Paths!$H$267,0),"n.a."))</f>
        <v>0</v>
      </c>
      <c r="K2877" s="16">
        <f>IF(NOT(Paths!$C$267=1),0,IF(Paths!$P$267="Complete",IF(IF(Paths!$O$267=0,C2877=0,AND(C2877&gt;0,Paths!$O$267&gt;(C2877-1)*12,Paths!$O$267&lt;=C2877*12)),Paths!$N$267,0),"n.a."))</f>
        <v>0</v>
      </c>
      <c r="L2877" s="16">
        <f>IF(NOT(Paths!$C$267=1),0,IF(Paths!$P$267="Complete",IF(C2877=10,Paths!$I$267,0),"n.a."))</f>
        <v>0</v>
      </c>
      <c r="M2877" s="16">
        <f>IF(NOT(Paths!$C$267=1),0,IF(Paths!$P$267="Complete",IF(AND(Paths!$D$267="EV",Paths!$E$267&lt;120,Paths!$E$267+'Operating costs'!$B$65&gt;Paths!$E$267,Paths!$E$267+'Operating costs'!$B$65&lt;=120,IF(Paths!$E$267+'Operating costs'!$B$65=0,C2877=0,AND(C2877&gt;0,Paths!$E$267+'Operating costs'!$B$65&gt;(C2877-1)*12,Paths!$E$267+'Operating costs'!$B$65&lt;=C2877*12))),'Operating costs'!$B$64,0)+IF(AND('Operating costs'!$B$67&gt;0,'Operating costs'!$B$67&lt;=120,OR(Paths!$D$267="ICE",'Operating costs'!$B$67&lt;=Paths!$E$267),IF('Operating costs'!$B$67=0,C2877=0,AND(C2877&gt;0,'Operating costs'!$B$67&gt;(C2877-1)*12,'Operating costs'!$B$67&lt;=C2877*12))),'Operating costs'!$B$66,0),"n.a."))</f>
        <v>0</v>
      </c>
      <c r="N2877" s="16">
        <f>IF(NOT(Paths!$C$267=1),0,IF(Paths!$P$267="Complete",SUM(G2877:I2877)-J2877-K2877-L2877+M2877+IF(C2877=0,Paths!$F$267,0)+IF(IF(Paths!$E$267=0,C2877=0,AND(C2877&gt;0,Paths!$E$267&gt;(C2877-1)*12,Paths!$E$267&lt;=C2877*12)),VLOOKUP(A2877,'Fleet register'!$A$7:$S$106,16,FALSE),0),"n.a."))</f>
        <v>0</v>
      </c>
      <c r="O2877" s="16">
        <f>IF(NOT(Paths!$C$267=1),0,IF(Paths!$P$267="Complete",N2877-IF(C2877=0,Paths!$F$267,0),"n.a."))</f>
        <v>0</v>
      </c>
      <c r="P2877" s="16">
        <f>IF(NOT(Paths!$C$267=1),0,IF(Paths!$P$267="Complete",O2877+L2877,"n.a."))</f>
        <v>0</v>
      </c>
      <c r="Q2877" s="16">
        <f>IF(NOT(Paths!$C$267=1),0,IF(Paths!$P$267="Complete",N2877*(1+'Operating costs'!$B$54)^-C2877,"n.a."))</f>
        <v>0</v>
      </c>
      <c r="R2877" s="16">
        <f>IF(NOT(Paths!$C$267=1),0,IF(Paths!$P$267="Complete",IF(AND(C2877=0,Paths!$E$267=0),I2877-J2877-K2877+VLOOKUP(A2877,'Fleet register'!$A$7:$S$106,15,FALSE)+VLOOKUP(A2877,'Fleet register'!$A$7:$S$106,16,FALSE),0),"n.a."))</f>
        <v>0</v>
      </c>
      <c r="S2877" s="1">
        <f>IF(NOT(Paths!$C$267=1),0,IF(Paths!$P$267="Complete",IF(C2877=0,0,Paths!$S$267*Paths!$R$267),"n.a."))</f>
        <v>0</v>
      </c>
      <c r="T2877" s="1">
        <f>IF(NOT(Paths!$C$267=1),0,IF(Paths!$P$267="Complete",IF(C2877=0,0,VLOOKUP(A2877,'Fleet register'!$A$7:$S$106,9,FALSE)*Paths!$R$267),"n.a."))</f>
        <v>0</v>
      </c>
    </row>
    <row r="2878" spans="1:20" ht="24" customHeight="1">
      <c r="A2878" s="1" t="str">
        <f>Paths!$A$268</f>
        <v>T066</v>
      </c>
      <c r="B2878" s="1">
        <f>Paths!$B$268</f>
        <v>1</v>
      </c>
      <c r="C2878" s="1">
        <v>0</v>
      </c>
      <c r="D2878" s="1">
        <v>268</v>
      </c>
      <c r="E2878" s="1">
        <f>IF(OR(Paths!$C$268=0,C2878=0),0,MAX(0,MIN(C2878*12,Paths!$E$268)-(C2878-1)*12))</f>
        <v>0</v>
      </c>
      <c r="F2878" s="1">
        <f>IF(OR(Paths!$C$268=0,C2878=0),0,12-E2878)</f>
        <v>0</v>
      </c>
      <c r="G2878" s="16">
        <f>IF(NOT(Paths!$C$268=1),0,IF(Paths!$P$268="Complete",E2878/12*(Paths!$J$268*(1+'Operating costs'!$B$51)^MAX(0,C2878-1)+Paths!$K$268*(1+'Operating costs'!$B$53)^MAX(0,C2878-1)),"n.a."))</f>
        <v>0</v>
      </c>
      <c r="H2878" s="16">
        <f>IF(NOT(Paths!$C$268=1),0,IF(Paths!$P$268="Complete",F2878/12*(Paths!$L$268*(1+IF(Paths!$D$268="EV",'Operating costs'!$B$52,'Operating costs'!$B$51))^MAX(0,C2878-1)+Paths!$M$268*(1+'Operating costs'!$B$53)^MAX(0,C2878-1)),"n.a."))</f>
        <v>0</v>
      </c>
      <c r="I2878" s="16">
        <f>IF(NOT(Paths!$C$268=1),0,IF(Paths!$P$268="Complete",IF(IF(Paths!$E$268=0,C2878=0,AND(C2878&gt;0,Paths!$E$268&gt;(C2878-1)*12,Paths!$E$268&lt;=C2878*12)),Paths!$G$268,0),"n.a."))</f>
        <v>0</v>
      </c>
      <c r="J2878" s="16">
        <f>IF(NOT(Paths!$C$268=1),0,IF(Paths!$P$268="Complete",IF(IF(Paths!$E$268=0,C2878=0,AND(C2878&gt;0,Paths!$E$268&gt;(C2878-1)*12,Paths!$E$268&lt;=C2878*12)),Paths!$H$268,0),"n.a."))</f>
        <v>0</v>
      </c>
      <c r="K2878" s="16">
        <f>IF(NOT(Paths!$C$268=1),0,IF(Paths!$P$268="Complete",IF(IF(Paths!$O$268=0,C2878=0,AND(C2878&gt;0,Paths!$O$268&gt;(C2878-1)*12,Paths!$O$268&lt;=C2878*12)),Paths!$N$268,0),"n.a."))</f>
        <v>0</v>
      </c>
      <c r="L2878" s="16">
        <f>IF(NOT(Paths!$C$268=1),0,IF(Paths!$P$268="Complete",IF(C2878=10,Paths!$I$268,0),"n.a."))</f>
        <v>0</v>
      </c>
      <c r="M2878" s="16">
        <f>IF(NOT(Paths!$C$268=1),0,IF(Paths!$P$268="Complete",IF(AND(Paths!$D$268="EV",Paths!$E$268&lt;120,Paths!$E$268+'Operating costs'!$B$65&gt;Paths!$E$268,Paths!$E$268+'Operating costs'!$B$65&lt;=120,IF(Paths!$E$268+'Operating costs'!$B$65=0,C2878=0,AND(C2878&gt;0,Paths!$E$268+'Operating costs'!$B$65&gt;(C2878-1)*12,Paths!$E$268+'Operating costs'!$B$65&lt;=C2878*12))),'Operating costs'!$B$64,0)+IF(AND('Operating costs'!$B$67&gt;0,'Operating costs'!$B$67&lt;=120,OR(Paths!$D$268="ICE",'Operating costs'!$B$67&lt;=Paths!$E$268),IF('Operating costs'!$B$67=0,C2878=0,AND(C2878&gt;0,'Operating costs'!$B$67&gt;(C2878-1)*12,'Operating costs'!$B$67&lt;=C2878*12))),'Operating costs'!$B$66,0),"n.a."))</f>
        <v>0</v>
      </c>
      <c r="N2878" s="16">
        <f>IF(NOT(Paths!$C$268=1),0,IF(Paths!$P$268="Complete",SUM(G2878:I2878)-J2878-K2878-L2878+M2878+IF(C2878=0,Paths!$F$268,0)+IF(IF(Paths!$E$268=0,C2878=0,AND(C2878&gt;0,Paths!$E$268&gt;(C2878-1)*12,Paths!$E$268&lt;=C2878*12)),VLOOKUP(A2878,'Fleet register'!$A$7:$S$106,16,FALSE),0),"n.a."))</f>
        <v>0</v>
      </c>
      <c r="O2878" s="16">
        <f>IF(NOT(Paths!$C$268=1),0,IF(Paths!$P$268="Complete",N2878-IF(C2878=0,Paths!$F$268,0),"n.a."))</f>
        <v>0</v>
      </c>
      <c r="P2878" s="16">
        <f>IF(NOT(Paths!$C$268=1),0,IF(Paths!$P$268="Complete",O2878+L2878,"n.a."))</f>
        <v>0</v>
      </c>
      <c r="Q2878" s="16">
        <f>IF(NOT(Paths!$C$268=1),0,IF(Paths!$P$268="Complete",N2878*(1+'Operating costs'!$B$54)^-C2878,"n.a."))</f>
        <v>0</v>
      </c>
      <c r="R2878" s="16">
        <f>IF(NOT(Paths!$C$268=1),0,IF(Paths!$P$268="Complete",IF(AND(C2878=0,Paths!$E$268=0),I2878-J2878-K2878+VLOOKUP(A2878,'Fleet register'!$A$7:$S$106,15,FALSE)+VLOOKUP(A2878,'Fleet register'!$A$7:$S$106,16,FALSE),0),"n.a."))</f>
        <v>0</v>
      </c>
      <c r="S2878" s="1">
        <f>IF(NOT(Paths!$C$268=1),0,IF(Paths!$P$268="Complete",IF(C2878=0,0,Paths!$S$268*Paths!$R$268),"n.a."))</f>
        <v>0</v>
      </c>
      <c r="T2878" s="1">
        <f>IF(NOT(Paths!$C$268=1),0,IF(Paths!$P$268="Complete",IF(C2878=0,0,VLOOKUP(A2878,'Fleet register'!$A$7:$S$106,9,FALSE)*Paths!$R$268),"n.a."))</f>
        <v>0</v>
      </c>
    </row>
    <row r="2879" spans="1:20" ht="24" customHeight="1">
      <c r="A2879" s="1" t="str">
        <f>Paths!$A$268</f>
        <v>T066</v>
      </c>
      <c r="B2879" s="1">
        <f>Paths!$B$268</f>
        <v>1</v>
      </c>
      <c r="C2879" s="1">
        <v>1</v>
      </c>
      <c r="D2879" s="1">
        <v>268</v>
      </c>
      <c r="E2879" s="1">
        <f>IF(OR(Paths!$C$268=0,C2879=0),0,MAX(0,MIN(C2879*12,Paths!$E$268)-(C2879-1)*12))</f>
        <v>0</v>
      </c>
      <c r="F2879" s="1">
        <f>IF(OR(Paths!$C$268=0,C2879=0),0,12-E2879)</f>
        <v>0</v>
      </c>
      <c r="G2879" s="16">
        <f>IF(NOT(Paths!$C$268=1),0,IF(Paths!$P$268="Complete",E2879/12*(Paths!$J$268*(1+'Operating costs'!$B$51)^MAX(0,C2879-1)+Paths!$K$268*(1+'Operating costs'!$B$53)^MAX(0,C2879-1)),"n.a."))</f>
        <v>0</v>
      </c>
      <c r="H2879" s="16">
        <f>IF(NOT(Paths!$C$268=1),0,IF(Paths!$P$268="Complete",F2879/12*(Paths!$L$268*(1+IF(Paths!$D$268="EV",'Operating costs'!$B$52,'Operating costs'!$B$51))^MAX(0,C2879-1)+Paths!$M$268*(1+'Operating costs'!$B$53)^MAX(0,C2879-1)),"n.a."))</f>
        <v>0</v>
      </c>
      <c r="I2879" s="16">
        <f>IF(NOT(Paths!$C$268=1),0,IF(Paths!$P$268="Complete",IF(IF(Paths!$E$268=0,C2879=0,AND(C2879&gt;0,Paths!$E$268&gt;(C2879-1)*12,Paths!$E$268&lt;=C2879*12)),Paths!$G$268,0),"n.a."))</f>
        <v>0</v>
      </c>
      <c r="J2879" s="16">
        <f>IF(NOT(Paths!$C$268=1),0,IF(Paths!$P$268="Complete",IF(IF(Paths!$E$268=0,C2879=0,AND(C2879&gt;0,Paths!$E$268&gt;(C2879-1)*12,Paths!$E$268&lt;=C2879*12)),Paths!$H$268,0),"n.a."))</f>
        <v>0</v>
      </c>
      <c r="K2879" s="16">
        <f>IF(NOT(Paths!$C$268=1),0,IF(Paths!$P$268="Complete",IF(IF(Paths!$O$268=0,C2879=0,AND(C2879&gt;0,Paths!$O$268&gt;(C2879-1)*12,Paths!$O$268&lt;=C2879*12)),Paths!$N$268,0),"n.a."))</f>
        <v>0</v>
      </c>
      <c r="L2879" s="16">
        <f>IF(NOT(Paths!$C$268=1),0,IF(Paths!$P$268="Complete",IF(C2879=10,Paths!$I$268,0),"n.a."))</f>
        <v>0</v>
      </c>
      <c r="M2879" s="16">
        <f>IF(NOT(Paths!$C$268=1),0,IF(Paths!$P$268="Complete",IF(AND(Paths!$D$268="EV",Paths!$E$268&lt;120,Paths!$E$268+'Operating costs'!$B$65&gt;Paths!$E$268,Paths!$E$268+'Operating costs'!$B$65&lt;=120,IF(Paths!$E$268+'Operating costs'!$B$65=0,C2879=0,AND(C2879&gt;0,Paths!$E$268+'Operating costs'!$B$65&gt;(C2879-1)*12,Paths!$E$268+'Operating costs'!$B$65&lt;=C2879*12))),'Operating costs'!$B$64,0)+IF(AND('Operating costs'!$B$67&gt;0,'Operating costs'!$B$67&lt;=120,OR(Paths!$D$268="ICE",'Operating costs'!$B$67&lt;=Paths!$E$268),IF('Operating costs'!$B$67=0,C2879=0,AND(C2879&gt;0,'Operating costs'!$B$67&gt;(C2879-1)*12,'Operating costs'!$B$67&lt;=C2879*12))),'Operating costs'!$B$66,0),"n.a."))</f>
        <v>0</v>
      </c>
      <c r="N2879" s="16">
        <f>IF(NOT(Paths!$C$268=1),0,IF(Paths!$P$268="Complete",SUM(G2879:I2879)-J2879-K2879-L2879+M2879+IF(C2879=0,Paths!$F$268,0)+IF(IF(Paths!$E$268=0,C2879=0,AND(C2879&gt;0,Paths!$E$268&gt;(C2879-1)*12,Paths!$E$268&lt;=C2879*12)),VLOOKUP(A2879,'Fleet register'!$A$7:$S$106,16,FALSE),0),"n.a."))</f>
        <v>0</v>
      </c>
      <c r="O2879" s="16">
        <f>IF(NOT(Paths!$C$268=1),0,IF(Paths!$P$268="Complete",N2879-IF(C2879=0,Paths!$F$268,0),"n.a."))</f>
        <v>0</v>
      </c>
      <c r="P2879" s="16">
        <f>IF(NOT(Paths!$C$268=1),0,IF(Paths!$P$268="Complete",O2879+L2879,"n.a."))</f>
        <v>0</v>
      </c>
      <c r="Q2879" s="16">
        <f>IF(NOT(Paths!$C$268=1),0,IF(Paths!$P$268="Complete",N2879*(1+'Operating costs'!$B$54)^-C2879,"n.a."))</f>
        <v>0</v>
      </c>
      <c r="R2879" s="16">
        <f>IF(NOT(Paths!$C$268=1),0,IF(Paths!$P$268="Complete",IF(AND(C2879=0,Paths!$E$268=0),I2879-J2879-K2879+VLOOKUP(A2879,'Fleet register'!$A$7:$S$106,15,FALSE)+VLOOKUP(A2879,'Fleet register'!$A$7:$S$106,16,FALSE),0),"n.a."))</f>
        <v>0</v>
      </c>
      <c r="S2879" s="1">
        <f>IF(NOT(Paths!$C$268=1),0,IF(Paths!$P$268="Complete",IF(C2879=0,0,Paths!$S$268*Paths!$R$268),"n.a."))</f>
        <v>0</v>
      </c>
      <c r="T2879" s="1">
        <f>IF(NOT(Paths!$C$268=1),0,IF(Paths!$P$268="Complete",IF(C2879=0,0,VLOOKUP(A2879,'Fleet register'!$A$7:$S$106,9,FALSE)*Paths!$R$268),"n.a."))</f>
        <v>0</v>
      </c>
    </row>
    <row r="2880" spans="1:20" ht="24" customHeight="1">
      <c r="A2880" s="1" t="str">
        <f>Paths!$A$268</f>
        <v>T066</v>
      </c>
      <c r="B2880" s="1">
        <f>Paths!$B$268</f>
        <v>1</v>
      </c>
      <c r="C2880" s="1">
        <v>2</v>
      </c>
      <c r="D2880" s="1">
        <v>268</v>
      </c>
      <c r="E2880" s="1">
        <f>IF(OR(Paths!$C$268=0,C2880=0),0,MAX(0,MIN(C2880*12,Paths!$E$268)-(C2880-1)*12))</f>
        <v>0</v>
      </c>
      <c r="F2880" s="1">
        <f>IF(OR(Paths!$C$268=0,C2880=0),0,12-E2880)</f>
        <v>0</v>
      </c>
      <c r="G2880" s="16">
        <f>IF(NOT(Paths!$C$268=1),0,IF(Paths!$P$268="Complete",E2880/12*(Paths!$J$268*(1+'Operating costs'!$B$51)^MAX(0,C2880-1)+Paths!$K$268*(1+'Operating costs'!$B$53)^MAX(0,C2880-1)),"n.a."))</f>
        <v>0</v>
      </c>
      <c r="H2880" s="16">
        <f>IF(NOT(Paths!$C$268=1),0,IF(Paths!$P$268="Complete",F2880/12*(Paths!$L$268*(1+IF(Paths!$D$268="EV",'Operating costs'!$B$52,'Operating costs'!$B$51))^MAX(0,C2880-1)+Paths!$M$268*(1+'Operating costs'!$B$53)^MAX(0,C2880-1)),"n.a."))</f>
        <v>0</v>
      </c>
      <c r="I2880" s="16">
        <f>IF(NOT(Paths!$C$268=1),0,IF(Paths!$P$268="Complete",IF(IF(Paths!$E$268=0,C2880=0,AND(C2880&gt;0,Paths!$E$268&gt;(C2880-1)*12,Paths!$E$268&lt;=C2880*12)),Paths!$G$268,0),"n.a."))</f>
        <v>0</v>
      </c>
      <c r="J2880" s="16">
        <f>IF(NOT(Paths!$C$268=1),0,IF(Paths!$P$268="Complete",IF(IF(Paths!$E$268=0,C2880=0,AND(C2880&gt;0,Paths!$E$268&gt;(C2880-1)*12,Paths!$E$268&lt;=C2880*12)),Paths!$H$268,0),"n.a."))</f>
        <v>0</v>
      </c>
      <c r="K2880" s="16">
        <f>IF(NOT(Paths!$C$268=1),0,IF(Paths!$P$268="Complete",IF(IF(Paths!$O$268=0,C2880=0,AND(C2880&gt;0,Paths!$O$268&gt;(C2880-1)*12,Paths!$O$268&lt;=C2880*12)),Paths!$N$268,0),"n.a."))</f>
        <v>0</v>
      </c>
      <c r="L2880" s="16">
        <f>IF(NOT(Paths!$C$268=1),0,IF(Paths!$P$268="Complete",IF(C2880=10,Paths!$I$268,0),"n.a."))</f>
        <v>0</v>
      </c>
      <c r="M2880" s="16">
        <f>IF(NOT(Paths!$C$268=1),0,IF(Paths!$P$268="Complete",IF(AND(Paths!$D$268="EV",Paths!$E$268&lt;120,Paths!$E$268+'Operating costs'!$B$65&gt;Paths!$E$268,Paths!$E$268+'Operating costs'!$B$65&lt;=120,IF(Paths!$E$268+'Operating costs'!$B$65=0,C2880=0,AND(C2880&gt;0,Paths!$E$268+'Operating costs'!$B$65&gt;(C2880-1)*12,Paths!$E$268+'Operating costs'!$B$65&lt;=C2880*12))),'Operating costs'!$B$64,0)+IF(AND('Operating costs'!$B$67&gt;0,'Operating costs'!$B$67&lt;=120,OR(Paths!$D$268="ICE",'Operating costs'!$B$67&lt;=Paths!$E$268),IF('Operating costs'!$B$67=0,C2880=0,AND(C2880&gt;0,'Operating costs'!$B$67&gt;(C2880-1)*12,'Operating costs'!$B$67&lt;=C2880*12))),'Operating costs'!$B$66,0),"n.a."))</f>
        <v>0</v>
      </c>
      <c r="N2880" s="16">
        <f>IF(NOT(Paths!$C$268=1),0,IF(Paths!$P$268="Complete",SUM(G2880:I2880)-J2880-K2880-L2880+M2880+IF(C2880=0,Paths!$F$268,0)+IF(IF(Paths!$E$268=0,C2880=0,AND(C2880&gt;0,Paths!$E$268&gt;(C2880-1)*12,Paths!$E$268&lt;=C2880*12)),VLOOKUP(A2880,'Fleet register'!$A$7:$S$106,16,FALSE),0),"n.a."))</f>
        <v>0</v>
      </c>
      <c r="O2880" s="16">
        <f>IF(NOT(Paths!$C$268=1),0,IF(Paths!$P$268="Complete",N2880-IF(C2880=0,Paths!$F$268,0),"n.a."))</f>
        <v>0</v>
      </c>
      <c r="P2880" s="16">
        <f>IF(NOT(Paths!$C$268=1),0,IF(Paths!$P$268="Complete",O2880+L2880,"n.a."))</f>
        <v>0</v>
      </c>
      <c r="Q2880" s="16">
        <f>IF(NOT(Paths!$C$268=1),0,IF(Paths!$P$268="Complete",N2880*(1+'Operating costs'!$B$54)^-C2880,"n.a."))</f>
        <v>0</v>
      </c>
      <c r="R2880" s="16">
        <f>IF(NOT(Paths!$C$268=1),0,IF(Paths!$P$268="Complete",IF(AND(C2880=0,Paths!$E$268=0),I2880-J2880-K2880+VLOOKUP(A2880,'Fleet register'!$A$7:$S$106,15,FALSE)+VLOOKUP(A2880,'Fleet register'!$A$7:$S$106,16,FALSE),0),"n.a."))</f>
        <v>0</v>
      </c>
      <c r="S2880" s="1">
        <f>IF(NOT(Paths!$C$268=1),0,IF(Paths!$P$268="Complete",IF(C2880=0,0,Paths!$S$268*Paths!$R$268),"n.a."))</f>
        <v>0</v>
      </c>
      <c r="T2880" s="1">
        <f>IF(NOT(Paths!$C$268=1),0,IF(Paths!$P$268="Complete",IF(C2880=0,0,VLOOKUP(A2880,'Fleet register'!$A$7:$S$106,9,FALSE)*Paths!$R$268),"n.a."))</f>
        <v>0</v>
      </c>
    </row>
    <row r="2881" spans="1:20" ht="24" customHeight="1">
      <c r="A2881" s="1" t="str">
        <f>Paths!$A$268</f>
        <v>T066</v>
      </c>
      <c r="B2881" s="1">
        <f>Paths!$B$268</f>
        <v>1</v>
      </c>
      <c r="C2881" s="1">
        <v>3</v>
      </c>
      <c r="D2881" s="1">
        <v>268</v>
      </c>
      <c r="E2881" s="1">
        <f>IF(OR(Paths!$C$268=0,C2881=0),0,MAX(0,MIN(C2881*12,Paths!$E$268)-(C2881-1)*12))</f>
        <v>0</v>
      </c>
      <c r="F2881" s="1">
        <f>IF(OR(Paths!$C$268=0,C2881=0),0,12-E2881)</f>
        <v>0</v>
      </c>
      <c r="G2881" s="16">
        <f>IF(NOT(Paths!$C$268=1),0,IF(Paths!$P$268="Complete",E2881/12*(Paths!$J$268*(1+'Operating costs'!$B$51)^MAX(0,C2881-1)+Paths!$K$268*(1+'Operating costs'!$B$53)^MAX(0,C2881-1)),"n.a."))</f>
        <v>0</v>
      </c>
      <c r="H2881" s="16">
        <f>IF(NOT(Paths!$C$268=1),0,IF(Paths!$P$268="Complete",F2881/12*(Paths!$L$268*(1+IF(Paths!$D$268="EV",'Operating costs'!$B$52,'Operating costs'!$B$51))^MAX(0,C2881-1)+Paths!$M$268*(1+'Operating costs'!$B$53)^MAX(0,C2881-1)),"n.a."))</f>
        <v>0</v>
      </c>
      <c r="I2881" s="16">
        <f>IF(NOT(Paths!$C$268=1),0,IF(Paths!$P$268="Complete",IF(IF(Paths!$E$268=0,C2881=0,AND(C2881&gt;0,Paths!$E$268&gt;(C2881-1)*12,Paths!$E$268&lt;=C2881*12)),Paths!$G$268,0),"n.a."))</f>
        <v>0</v>
      </c>
      <c r="J2881" s="16">
        <f>IF(NOT(Paths!$C$268=1),0,IF(Paths!$P$268="Complete",IF(IF(Paths!$E$268=0,C2881=0,AND(C2881&gt;0,Paths!$E$268&gt;(C2881-1)*12,Paths!$E$268&lt;=C2881*12)),Paths!$H$268,0),"n.a."))</f>
        <v>0</v>
      </c>
      <c r="K2881" s="16">
        <f>IF(NOT(Paths!$C$268=1),0,IF(Paths!$P$268="Complete",IF(IF(Paths!$O$268=0,C2881=0,AND(C2881&gt;0,Paths!$O$268&gt;(C2881-1)*12,Paths!$O$268&lt;=C2881*12)),Paths!$N$268,0),"n.a."))</f>
        <v>0</v>
      </c>
      <c r="L2881" s="16">
        <f>IF(NOT(Paths!$C$268=1),0,IF(Paths!$P$268="Complete",IF(C2881=10,Paths!$I$268,0),"n.a."))</f>
        <v>0</v>
      </c>
      <c r="M2881" s="16">
        <f>IF(NOT(Paths!$C$268=1),0,IF(Paths!$P$268="Complete",IF(AND(Paths!$D$268="EV",Paths!$E$268&lt;120,Paths!$E$268+'Operating costs'!$B$65&gt;Paths!$E$268,Paths!$E$268+'Operating costs'!$B$65&lt;=120,IF(Paths!$E$268+'Operating costs'!$B$65=0,C2881=0,AND(C2881&gt;0,Paths!$E$268+'Operating costs'!$B$65&gt;(C2881-1)*12,Paths!$E$268+'Operating costs'!$B$65&lt;=C2881*12))),'Operating costs'!$B$64,0)+IF(AND('Operating costs'!$B$67&gt;0,'Operating costs'!$B$67&lt;=120,OR(Paths!$D$268="ICE",'Operating costs'!$B$67&lt;=Paths!$E$268),IF('Operating costs'!$B$67=0,C2881=0,AND(C2881&gt;0,'Operating costs'!$B$67&gt;(C2881-1)*12,'Operating costs'!$B$67&lt;=C2881*12))),'Operating costs'!$B$66,0),"n.a."))</f>
        <v>0</v>
      </c>
      <c r="N2881" s="16">
        <f>IF(NOT(Paths!$C$268=1),0,IF(Paths!$P$268="Complete",SUM(G2881:I2881)-J2881-K2881-L2881+M2881+IF(C2881=0,Paths!$F$268,0)+IF(IF(Paths!$E$268=0,C2881=0,AND(C2881&gt;0,Paths!$E$268&gt;(C2881-1)*12,Paths!$E$268&lt;=C2881*12)),VLOOKUP(A2881,'Fleet register'!$A$7:$S$106,16,FALSE),0),"n.a."))</f>
        <v>0</v>
      </c>
      <c r="O2881" s="16">
        <f>IF(NOT(Paths!$C$268=1),0,IF(Paths!$P$268="Complete",N2881-IF(C2881=0,Paths!$F$268,0),"n.a."))</f>
        <v>0</v>
      </c>
      <c r="P2881" s="16">
        <f>IF(NOT(Paths!$C$268=1),0,IF(Paths!$P$268="Complete",O2881+L2881,"n.a."))</f>
        <v>0</v>
      </c>
      <c r="Q2881" s="16">
        <f>IF(NOT(Paths!$C$268=1),0,IF(Paths!$P$268="Complete",N2881*(1+'Operating costs'!$B$54)^-C2881,"n.a."))</f>
        <v>0</v>
      </c>
      <c r="R2881" s="16">
        <f>IF(NOT(Paths!$C$268=1),0,IF(Paths!$P$268="Complete",IF(AND(C2881=0,Paths!$E$268=0),I2881-J2881-K2881+VLOOKUP(A2881,'Fleet register'!$A$7:$S$106,15,FALSE)+VLOOKUP(A2881,'Fleet register'!$A$7:$S$106,16,FALSE),0),"n.a."))</f>
        <v>0</v>
      </c>
      <c r="S2881" s="1">
        <f>IF(NOT(Paths!$C$268=1),0,IF(Paths!$P$268="Complete",IF(C2881=0,0,Paths!$S$268*Paths!$R$268),"n.a."))</f>
        <v>0</v>
      </c>
      <c r="T2881" s="1">
        <f>IF(NOT(Paths!$C$268=1),0,IF(Paths!$P$268="Complete",IF(C2881=0,0,VLOOKUP(A2881,'Fleet register'!$A$7:$S$106,9,FALSE)*Paths!$R$268),"n.a."))</f>
        <v>0</v>
      </c>
    </row>
    <row r="2882" spans="1:20" ht="24" customHeight="1">
      <c r="A2882" s="1" t="str">
        <f>Paths!$A$268</f>
        <v>T066</v>
      </c>
      <c r="B2882" s="1">
        <f>Paths!$B$268</f>
        <v>1</v>
      </c>
      <c r="C2882" s="1">
        <v>4</v>
      </c>
      <c r="D2882" s="1">
        <v>268</v>
      </c>
      <c r="E2882" s="1">
        <f>IF(OR(Paths!$C$268=0,C2882=0),0,MAX(0,MIN(C2882*12,Paths!$E$268)-(C2882-1)*12))</f>
        <v>0</v>
      </c>
      <c r="F2882" s="1">
        <f>IF(OR(Paths!$C$268=0,C2882=0),0,12-E2882)</f>
        <v>0</v>
      </c>
      <c r="G2882" s="16">
        <f>IF(NOT(Paths!$C$268=1),0,IF(Paths!$P$268="Complete",E2882/12*(Paths!$J$268*(1+'Operating costs'!$B$51)^MAX(0,C2882-1)+Paths!$K$268*(1+'Operating costs'!$B$53)^MAX(0,C2882-1)),"n.a."))</f>
        <v>0</v>
      </c>
      <c r="H2882" s="16">
        <f>IF(NOT(Paths!$C$268=1),0,IF(Paths!$P$268="Complete",F2882/12*(Paths!$L$268*(1+IF(Paths!$D$268="EV",'Operating costs'!$B$52,'Operating costs'!$B$51))^MAX(0,C2882-1)+Paths!$M$268*(1+'Operating costs'!$B$53)^MAX(0,C2882-1)),"n.a."))</f>
        <v>0</v>
      </c>
      <c r="I2882" s="16">
        <f>IF(NOT(Paths!$C$268=1),0,IF(Paths!$P$268="Complete",IF(IF(Paths!$E$268=0,C2882=0,AND(C2882&gt;0,Paths!$E$268&gt;(C2882-1)*12,Paths!$E$268&lt;=C2882*12)),Paths!$G$268,0),"n.a."))</f>
        <v>0</v>
      </c>
      <c r="J2882" s="16">
        <f>IF(NOT(Paths!$C$268=1),0,IF(Paths!$P$268="Complete",IF(IF(Paths!$E$268=0,C2882=0,AND(C2882&gt;0,Paths!$E$268&gt;(C2882-1)*12,Paths!$E$268&lt;=C2882*12)),Paths!$H$268,0),"n.a."))</f>
        <v>0</v>
      </c>
      <c r="K2882" s="16">
        <f>IF(NOT(Paths!$C$268=1),0,IF(Paths!$P$268="Complete",IF(IF(Paths!$O$268=0,C2882=0,AND(C2882&gt;0,Paths!$O$268&gt;(C2882-1)*12,Paths!$O$268&lt;=C2882*12)),Paths!$N$268,0),"n.a."))</f>
        <v>0</v>
      </c>
      <c r="L2882" s="16">
        <f>IF(NOT(Paths!$C$268=1),0,IF(Paths!$P$268="Complete",IF(C2882=10,Paths!$I$268,0),"n.a."))</f>
        <v>0</v>
      </c>
      <c r="M2882" s="16">
        <f>IF(NOT(Paths!$C$268=1),0,IF(Paths!$P$268="Complete",IF(AND(Paths!$D$268="EV",Paths!$E$268&lt;120,Paths!$E$268+'Operating costs'!$B$65&gt;Paths!$E$268,Paths!$E$268+'Operating costs'!$B$65&lt;=120,IF(Paths!$E$268+'Operating costs'!$B$65=0,C2882=0,AND(C2882&gt;0,Paths!$E$268+'Operating costs'!$B$65&gt;(C2882-1)*12,Paths!$E$268+'Operating costs'!$B$65&lt;=C2882*12))),'Operating costs'!$B$64,0)+IF(AND('Operating costs'!$B$67&gt;0,'Operating costs'!$B$67&lt;=120,OR(Paths!$D$268="ICE",'Operating costs'!$B$67&lt;=Paths!$E$268),IF('Operating costs'!$B$67=0,C2882=0,AND(C2882&gt;0,'Operating costs'!$B$67&gt;(C2882-1)*12,'Operating costs'!$B$67&lt;=C2882*12))),'Operating costs'!$B$66,0),"n.a."))</f>
        <v>0</v>
      </c>
      <c r="N2882" s="16">
        <f>IF(NOT(Paths!$C$268=1),0,IF(Paths!$P$268="Complete",SUM(G2882:I2882)-J2882-K2882-L2882+M2882+IF(C2882=0,Paths!$F$268,0)+IF(IF(Paths!$E$268=0,C2882=0,AND(C2882&gt;0,Paths!$E$268&gt;(C2882-1)*12,Paths!$E$268&lt;=C2882*12)),VLOOKUP(A2882,'Fleet register'!$A$7:$S$106,16,FALSE),0),"n.a."))</f>
        <v>0</v>
      </c>
      <c r="O2882" s="16">
        <f>IF(NOT(Paths!$C$268=1),0,IF(Paths!$P$268="Complete",N2882-IF(C2882=0,Paths!$F$268,0),"n.a."))</f>
        <v>0</v>
      </c>
      <c r="P2882" s="16">
        <f>IF(NOT(Paths!$C$268=1),0,IF(Paths!$P$268="Complete",O2882+L2882,"n.a."))</f>
        <v>0</v>
      </c>
      <c r="Q2882" s="16">
        <f>IF(NOT(Paths!$C$268=1),0,IF(Paths!$P$268="Complete",N2882*(1+'Operating costs'!$B$54)^-C2882,"n.a."))</f>
        <v>0</v>
      </c>
      <c r="R2882" s="16">
        <f>IF(NOT(Paths!$C$268=1),0,IF(Paths!$P$268="Complete",IF(AND(C2882=0,Paths!$E$268=0),I2882-J2882-K2882+VLOOKUP(A2882,'Fleet register'!$A$7:$S$106,15,FALSE)+VLOOKUP(A2882,'Fleet register'!$A$7:$S$106,16,FALSE),0),"n.a."))</f>
        <v>0</v>
      </c>
      <c r="S2882" s="1">
        <f>IF(NOT(Paths!$C$268=1),0,IF(Paths!$P$268="Complete",IF(C2882=0,0,Paths!$S$268*Paths!$R$268),"n.a."))</f>
        <v>0</v>
      </c>
      <c r="T2882" s="1">
        <f>IF(NOT(Paths!$C$268=1),0,IF(Paths!$P$268="Complete",IF(C2882=0,0,VLOOKUP(A2882,'Fleet register'!$A$7:$S$106,9,FALSE)*Paths!$R$268),"n.a."))</f>
        <v>0</v>
      </c>
    </row>
    <row r="2883" spans="1:20" ht="24" customHeight="1">
      <c r="A2883" s="1" t="str">
        <f>Paths!$A$268</f>
        <v>T066</v>
      </c>
      <c r="B2883" s="1">
        <f>Paths!$B$268</f>
        <v>1</v>
      </c>
      <c r="C2883" s="1">
        <v>5</v>
      </c>
      <c r="D2883" s="1">
        <v>268</v>
      </c>
      <c r="E2883" s="1">
        <f>IF(OR(Paths!$C$268=0,C2883=0),0,MAX(0,MIN(C2883*12,Paths!$E$268)-(C2883-1)*12))</f>
        <v>0</v>
      </c>
      <c r="F2883" s="1">
        <f>IF(OR(Paths!$C$268=0,C2883=0),0,12-E2883)</f>
        <v>0</v>
      </c>
      <c r="G2883" s="16">
        <f>IF(NOT(Paths!$C$268=1),0,IF(Paths!$P$268="Complete",E2883/12*(Paths!$J$268*(1+'Operating costs'!$B$51)^MAX(0,C2883-1)+Paths!$K$268*(1+'Operating costs'!$B$53)^MAX(0,C2883-1)),"n.a."))</f>
        <v>0</v>
      </c>
      <c r="H2883" s="16">
        <f>IF(NOT(Paths!$C$268=1),0,IF(Paths!$P$268="Complete",F2883/12*(Paths!$L$268*(1+IF(Paths!$D$268="EV",'Operating costs'!$B$52,'Operating costs'!$B$51))^MAX(0,C2883-1)+Paths!$M$268*(1+'Operating costs'!$B$53)^MAX(0,C2883-1)),"n.a."))</f>
        <v>0</v>
      </c>
      <c r="I2883" s="16">
        <f>IF(NOT(Paths!$C$268=1),0,IF(Paths!$P$268="Complete",IF(IF(Paths!$E$268=0,C2883=0,AND(C2883&gt;0,Paths!$E$268&gt;(C2883-1)*12,Paths!$E$268&lt;=C2883*12)),Paths!$G$268,0),"n.a."))</f>
        <v>0</v>
      </c>
      <c r="J2883" s="16">
        <f>IF(NOT(Paths!$C$268=1),0,IF(Paths!$P$268="Complete",IF(IF(Paths!$E$268=0,C2883=0,AND(C2883&gt;0,Paths!$E$268&gt;(C2883-1)*12,Paths!$E$268&lt;=C2883*12)),Paths!$H$268,0),"n.a."))</f>
        <v>0</v>
      </c>
      <c r="K2883" s="16">
        <f>IF(NOT(Paths!$C$268=1),0,IF(Paths!$P$268="Complete",IF(IF(Paths!$O$268=0,C2883=0,AND(C2883&gt;0,Paths!$O$268&gt;(C2883-1)*12,Paths!$O$268&lt;=C2883*12)),Paths!$N$268,0),"n.a."))</f>
        <v>0</v>
      </c>
      <c r="L2883" s="16">
        <f>IF(NOT(Paths!$C$268=1),0,IF(Paths!$P$268="Complete",IF(C2883=10,Paths!$I$268,0),"n.a."))</f>
        <v>0</v>
      </c>
      <c r="M2883" s="16">
        <f>IF(NOT(Paths!$C$268=1),0,IF(Paths!$P$268="Complete",IF(AND(Paths!$D$268="EV",Paths!$E$268&lt;120,Paths!$E$268+'Operating costs'!$B$65&gt;Paths!$E$268,Paths!$E$268+'Operating costs'!$B$65&lt;=120,IF(Paths!$E$268+'Operating costs'!$B$65=0,C2883=0,AND(C2883&gt;0,Paths!$E$268+'Operating costs'!$B$65&gt;(C2883-1)*12,Paths!$E$268+'Operating costs'!$B$65&lt;=C2883*12))),'Operating costs'!$B$64,0)+IF(AND('Operating costs'!$B$67&gt;0,'Operating costs'!$B$67&lt;=120,OR(Paths!$D$268="ICE",'Operating costs'!$B$67&lt;=Paths!$E$268),IF('Operating costs'!$B$67=0,C2883=0,AND(C2883&gt;0,'Operating costs'!$B$67&gt;(C2883-1)*12,'Operating costs'!$B$67&lt;=C2883*12))),'Operating costs'!$B$66,0),"n.a."))</f>
        <v>0</v>
      </c>
      <c r="N2883" s="16">
        <f>IF(NOT(Paths!$C$268=1),0,IF(Paths!$P$268="Complete",SUM(G2883:I2883)-J2883-K2883-L2883+M2883+IF(C2883=0,Paths!$F$268,0)+IF(IF(Paths!$E$268=0,C2883=0,AND(C2883&gt;0,Paths!$E$268&gt;(C2883-1)*12,Paths!$E$268&lt;=C2883*12)),VLOOKUP(A2883,'Fleet register'!$A$7:$S$106,16,FALSE),0),"n.a."))</f>
        <v>0</v>
      </c>
      <c r="O2883" s="16">
        <f>IF(NOT(Paths!$C$268=1),0,IF(Paths!$P$268="Complete",N2883-IF(C2883=0,Paths!$F$268,0),"n.a."))</f>
        <v>0</v>
      </c>
      <c r="P2883" s="16">
        <f>IF(NOT(Paths!$C$268=1),0,IF(Paths!$P$268="Complete",O2883+L2883,"n.a."))</f>
        <v>0</v>
      </c>
      <c r="Q2883" s="16">
        <f>IF(NOT(Paths!$C$268=1),0,IF(Paths!$P$268="Complete",N2883*(1+'Operating costs'!$B$54)^-C2883,"n.a."))</f>
        <v>0</v>
      </c>
      <c r="R2883" s="16">
        <f>IF(NOT(Paths!$C$268=1),0,IF(Paths!$P$268="Complete",IF(AND(C2883=0,Paths!$E$268=0),I2883-J2883-K2883+VLOOKUP(A2883,'Fleet register'!$A$7:$S$106,15,FALSE)+VLOOKUP(A2883,'Fleet register'!$A$7:$S$106,16,FALSE),0),"n.a."))</f>
        <v>0</v>
      </c>
      <c r="S2883" s="1">
        <f>IF(NOT(Paths!$C$268=1),0,IF(Paths!$P$268="Complete",IF(C2883=0,0,Paths!$S$268*Paths!$R$268),"n.a."))</f>
        <v>0</v>
      </c>
      <c r="T2883" s="1">
        <f>IF(NOT(Paths!$C$268=1),0,IF(Paths!$P$268="Complete",IF(C2883=0,0,VLOOKUP(A2883,'Fleet register'!$A$7:$S$106,9,FALSE)*Paths!$R$268),"n.a."))</f>
        <v>0</v>
      </c>
    </row>
    <row r="2884" spans="1:20" ht="24" customHeight="1">
      <c r="A2884" s="1" t="str">
        <f>Paths!$A$268</f>
        <v>T066</v>
      </c>
      <c r="B2884" s="1">
        <f>Paths!$B$268</f>
        <v>1</v>
      </c>
      <c r="C2884" s="1">
        <v>6</v>
      </c>
      <c r="D2884" s="1">
        <v>268</v>
      </c>
      <c r="E2884" s="1">
        <f>IF(OR(Paths!$C$268=0,C2884=0),0,MAX(0,MIN(C2884*12,Paths!$E$268)-(C2884-1)*12))</f>
        <v>0</v>
      </c>
      <c r="F2884" s="1">
        <f>IF(OR(Paths!$C$268=0,C2884=0),0,12-E2884)</f>
        <v>0</v>
      </c>
      <c r="G2884" s="16">
        <f>IF(NOT(Paths!$C$268=1),0,IF(Paths!$P$268="Complete",E2884/12*(Paths!$J$268*(1+'Operating costs'!$B$51)^MAX(0,C2884-1)+Paths!$K$268*(1+'Operating costs'!$B$53)^MAX(0,C2884-1)),"n.a."))</f>
        <v>0</v>
      </c>
      <c r="H2884" s="16">
        <f>IF(NOT(Paths!$C$268=1),0,IF(Paths!$P$268="Complete",F2884/12*(Paths!$L$268*(1+IF(Paths!$D$268="EV",'Operating costs'!$B$52,'Operating costs'!$B$51))^MAX(0,C2884-1)+Paths!$M$268*(1+'Operating costs'!$B$53)^MAX(0,C2884-1)),"n.a."))</f>
        <v>0</v>
      </c>
      <c r="I2884" s="16">
        <f>IF(NOT(Paths!$C$268=1),0,IF(Paths!$P$268="Complete",IF(IF(Paths!$E$268=0,C2884=0,AND(C2884&gt;0,Paths!$E$268&gt;(C2884-1)*12,Paths!$E$268&lt;=C2884*12)),Paths!$G$268,0),"n.a."))</f>
        <v>0</v>
      </c>
      <c r="J2884" s="16">
        <f>IF(NOT(Paths!$C$268=1),0,IF(Paths!$P$268="Complete",IF(IF(Paths!$E$268=0,C2884=0,AND(C2884&gt;0,Paths!$E$268&gt;(C2884-1)*12,Paths!$E$268&lt;=C2884*12)),Paths!$H$268,0),"n.a."))</f>
        <v>0</v>
      </c>
      <c r="K2884" s="16">
        <f>IF(NOT(Paths!$C$268=1),0,IF(Paths!$P$268="Complete",IF(IF(Paths!$O$268=0,C2884=0,AND(C2884&gt;0,Paths!$O$268&gt;(C2884-1)*12,Paths!$O$268&lt;=C2884*12)),Paths!$N$268,0),"n.a."))</f>
        <v>0</v>
      </c>
      <c r="L2884" s="16">
        <f>IF(NOT(Paths!$C$268=1),0,IF(Paths!$P$268="Complete",IF(C2884=10,Paths!$I$268,0),"n.a."))</f>
        <v>0</v>
      </c>
      <c r="M2884" s="16">
        <f>IF(NOT(Paths!$C$268=1),0,IF(Paths!$P$268="Complete",IF(AND(Paths!$D$268="EV",Paths!$E$268&lt;120,Paths!$E$268+'Operating costs'!$B$65&gt;Paths!$E$268,Paths!$E$268+'Operating costs'!$B$65&lt;=120,IF(Paths!$E$268+'Operating costs'!$B$65=0,C2884=0,AND(C2884&gt;0,Paths!$E$268+'Operating costs'!$B$65&gt;(C2884-1)*12,Paths!$E$268+'Operating costs'!$B$65&lt;=C2884*12))),'Operating costs'!$B$64,0)+IF(AND('Operating costs'!$B$67&gt;0,'Operating costs'!$B$67&lt;=120,OR(Paths!$D$268="ICE",'Operating costs'!$B$67&lt;=Paths!$E$268),IF('Operating costs'!$B$67=0,C2884=0,AND(C2884&gt;0,'Operating costs'!$B$67&gt;(C2884-1)*12,'Operating costs'!$B$67&lt;=C2884*12))),'Operating costs'!$B$66,0),"n.a."))</f>
        <v>0</v>
      </c>
      <c r="N2884" s="16">
        <f>IF(NOT(Paths!$C$268=1),0,IF(Paths!$P$268="Complete",SUM(G2884:I2884)-J2884-K2884-L2884+M2884+IF(C2884=0,Paths!$F$268,0)+IF(IF(Paths!$E$268=0,C2884=0,AND(C2884&gt;0,Paths!$E$268&gt;(C2884-1)*12,Paths!$E$268&lt;=C2884*12)),VLOOKUP(A2884,'Fleet register'!$A$7:$S$106,16,FALSE),0),"n.a."))</f>
        <v>0</v>
      </c>
      <c r="O2884" s="16">
        <f>IF(NOT(Paths!$C$268=1),0,IF(Paths!$P$268="Complete",N2884-IF(C2884=0,Paths!$F$268,0),"n.a."))</f>
        <v>0</v>
      </c>
      <c r="P2884" s="16">
        <f>IF(NOT(Paths!$C$268=1),0,IF(Paths!$P$268="Complete",O2884+L2884,"n.a."))</f>
        <v>0</v>
      </c>
      <c r="Q2884" s="16">
        <f>IF(NOT(Paths!$C$268=1),0,IF(Paths!$P$268="Complete",N2884*(1+'Operating costs'!$B$54)^-C2884,"n.a."))</f>
        <v>0</v>
      </c>
      <c r="R2884" s="16">
        <f>IF(NOT(Paths!$C$268=1),0,IF(Paths!$P$268="Complete",IF(AND(C2884=0,Paths!$E$268=0),I2884-J2884-K2884+VLOOKUP(A2884,'Fleet register'!$A$7:$S$106,15,FALSE)+VLOOKUP(A2884,'Fleet register'!$A$7:$S$106,16,FALSE),0),"n.a."))</f>
        <v>0</v>
      </c>
      <c r="S2884" s="1">
        <f>IF(NOT(Paths!$C$268=1),0,IF(Paths!$P$268="Complete",IF(C2884=0,0,Paths!$S$268*Paths!$R$268),"n.a."))</f>
        <v>0</v>
      </c>
      <c r="T2884" s="1">
        <f>IF(NOT(Paths!$C$268=1),0,IF(Paths!$P$268="Complete",IF(C2884=0,0,VLOOKUP(A2884,'Fleet register'!$A$7:$S$106,9,FALSE)*Paths!$R$268),"n.a."))</f>
        <v>0</v>
      </c>
    </row>
    <row r="2885" spans="1:20" ht="24" customHeight="1">
      <c r="A2885" s="1" t="str">
        <f>Paths!$A$268</f>
        <v>T066</v>
      </c>
      <c r="B2885" s="1">
        <f>Paths!$B$268</f>
        <v>1</v>
      </c>
      <c r="C2885" s="1">
        <v>7</v>
      </c>
      <c r="D2885" s="1">
        <v>268</v>
      </c>
      <c r="E2885" s="1">
        <f>IF(OR(Paths!$C$268=0,C2885=0),0,MAX(0,MIN(C2885*12,Paths!$E$268)-(C2885-1)*12))</f>
        <v>0</v>
      </c>
      <c r="F2885" s="1">
        <f>IF(OR(Paths!$C$268=0,C2885=0),0,12-E2885)</f>
        <v>0</v>
      </c>
      <c r="G2885" s="16">
        <f>IF(NOT(Paths!$C$268=1),0,IF(Paths!$P$268="Complete",E2885/12*(Paths!$J$268*(1+'Operating costs'!$B$51)^MAX(0,C2885-1)+Paths!$K$268*(1+'Operating costs'!$B$53)^MAX(0,C2885-1)),"n.a."))</f>
        <v>0</v>
      </c>
      <c r="H2885" s="16">
        <f>IF(NOT(Paths!$C$268=1),0,IF(Paths!$P$268="Complete",F2885/12*(Paths!$L$268*(1+IF(Paths!$D$268="EV",'Operating costs'!$B$52,'Operating costs'!$B$51))^MAX(0,C2885-1)+Paths!$M$268*(1+'Operating costs'!$B$53)^MAX(0,C2885-1)),"n.a."))</f>
        <v>0</v>
      </c>
      <c r="I2885" s="16">
        <f>IF(NOT(Paths!$C$268=1),0,IF(Paths!$P$268="Complete",IF(IF(Paths!$E$268=0,C2885=0,AND(C2885&gt;0,Paths!$E$268&gt;(C2885-1)*12,Paths!$E$268&lt;=C2885*12)),Paths!$G$268,0),"n.a."))</f>
        <v>0</v>
      </c>
      <c r="J2885" s="16">
        <f>IF(NOT(Paths!$C$268=1),0,IF(Paths!$P$268="Complete",IF(IF(Paths!$E$268=0,C2885=0,AND(C2885&gt;0,Paths!$E$268&gt;(C2885-1)*12,Paths!$E$268&lt;=C2885*12)),Paths!$H$268,0),"n.a."))</f>
        <v>0</v>
      </c>
      <c r="K2885" s="16">
        <f>IF(NOT(Paths!$C$268=1),0,IF(Paths!$P$268="Complete",IF(IF(Paths!$O$268=0,C2885=0,AND(C2885&gt;0,Paths!$O$268&gt;(C2885-1)*12,Paths!$O$268&lt;=C2885*12)),Paths!$N$268,0),"n.a."))</f>
        <v>0</v>
      </c>
      <c r="L2885" s="16">
        <f>IF(NOT(Paths!$C$268=1),0,IF(Paths!$P$268="Complete",IF(C2885=10,Paths!$I$268,0),"n.a."))</f>
        <v>0</v>
      </c>
      <c r="M2885" s="16">
        <f>IF(NOT(Paths!$C$268=1),0,IF(Paths!$P$268="Complete",IF(AND(Paths!$D$268="EV",Paths!$E$268&lt;120,Paths!$E$268+'Operating costs'!$B$65&gt;Paths!$E$268,Paths!$E$268+'Operating costs'!$B$65&lt;=120,IF(Paths!$E$268+'Operating costs'!$B$65=0,C2885=0,AND(C2885&gt;0,Paths!$E$268+'Operating costs'!$B$65&gt;(C2885-1)*12,Paths!$E$268+'Operating costs'!$B$65&lt;=C2885*12))),'Operating costs'!$B$64,0)+IF(AND('Operating costs'!$B$67&gt;0,'Operating costs'!$B$67&lt;=120,OR(Paths!$D$268="ICE",'Operating costs'!$B$67&lt;=Paths!$E$268),IF('Operating costs'!$B$67=0,C2885=0,AND(C2885&gt;0,'Operating costs'!$B$67&gt;(C2885-1)*12,'Operating costs'!$B$67&lt;=C2885*12))),'Operating costs'!$B$66,0),"n.a."))</f>
        <v>0</v>
      </c>
      <c r="N2885" s="16">
        <f>IF(NOT(Paths!$C$268=1),0,IF(Paths!$P$268="Complete",SUM(G2885:I2885)-J2885-K2885-L2885+M2885+IF(C2885=0,Paths!$F$268,0)+IF(IF(Paths!$E$268=0,C2885=0,AND(C2885&gt;0,Paths!$E$268&gt;(C2885-1)*12,Paths!$E$268&lt;=C2885*12)),VLOOKUP(A2885,'Fleet register'!$A$7:$S$106,16,FALSE),0),"n.a."))</f>
        <v>0</v>
      </c>
      <c r="O2885" s="16">
        <f>IF(NOT(Paths!$C$268=1),0,IF(Paths!$P$268="Complete",N2885-IF(C2885=0,Paths!$F$268,0),"n.a."))</f>
        <v>0</v>
      </c>
      <c r="P2885" s="16">
        <f>IF(NOT(Paths!$C$268=1),0,IF(Paths!$P$268="Complete",O2885+L2885,"n.a."))</f>
        <v>0</v>
      </c>
      <c r="Q2885" s="16">
        <f>IF(NOT(Paths!$C$268=1),0,IF(Paths!$P$268="Complete",N2885*(1+'Operating costs'!$B$54)^-C2885,"n.a."))</f>
        <v>0</v>
      </c>
      <c r="R2885" s="16">
        <f>IF(NOT(Paths!$C$268=1),0,IF(Paths!$P$268="Complete",IF(AND(C2885=0,Paths!$E$268=0),I2885-J2885-K2885+VLOOKUP(A2885,'Fleet register'!$A$7:$S$106,15,FALSE)+VLOOKUP(A2885,'Fleet register'!$A$7:$S$106,16,FALSE),0),"n.a."))</f>
        <v>0</v>
      </c>
      <c r="S2885" s="1">
        <f>IF(NOT(Paths!$C$268=1),0,IF(Paths!$P$268="Complete",IF(C2885=0,0,Paths!$S$268*Paths!$R$268),"n.a."))</f>
        <v>0</v>
      </c>
      <c r="T2885" s="1">
        <f>IF(NOT(Paths!$C$268=1),0,IF(Paths!$P$268="Complete",IF(C2885=0,0,VLOOKUP(A2885,'Fleet register'!$A$7:$S$106,9,FALSE)*Paths!$R$268),"n.a."))</f>
        <v>0</v>
      </c>
    </row>
    <row r="2886" spans="1:20" ht="24" customHeight="1">
      <c r="A2886" s="1" t="str">
        <f>Paths!$A$268</f>
        <v>T066</v>
      </c>
      <c r="B2886" s="1">
        <f>Paths!$B$268</f>
        <v>1</v>
      </c>
      <c r="C2886" s="1">
        <v>8</v>
      </c>
      <c r="D2886" s="1">
        <v>268</v>
      </c>
      <c r="E2886" s="1">
        <f>IF(OR(Paths!$C$268=0,C2886=0),0,MAX(0,MIN(C2886*12,Paths!$E$268)-(C2886-1)*12))</f>
        <v>0</v>
      </c>
      <c r="F2886" s="1">
        <f>IF(OR(Paths!$C$268=0,C2886=0),0,12-E2886)</f>
        <v>0</v>
      </c>
      <c r="G2886" s="16">
        <f>IF(NOT(Paths!$C$268=1),0,IF(Paths!$P$268="Complete",E2886/12*(Paths!$J$268*(1+'Operating costs'!$B$51)^MAX(0,C2886-1)+Paths!$K$268*(1+'Operating costs'!$B$53)^MAX(0,C2886-1)),"n.a."))</f>
        <v>0</v>
      </c>
      <c r="H2886" s="16">
        <f>IF(NOT(Paths!$C$268=1),0,IF(Paths!$P$268="Complete",F2886/12*(Paths!$L$268*(1+IF(Paths!$D$268="EV",'Operating costs'!$B$52,'Operating costs'!$B$51))^MAX(0,C2886-1)+Paths!$M$268*(1+'Operating costs'!$B$53)^MAX(0,C2886-1)),"n.a."))</f>
        <v>0</v>
      </c>
      <c r="I2886" s="16">
        <f>IF(NOT(Paths!$C$268=1),0,IF(Paths!$P$268="Complete",IF(IF(Paths!$E$268=0,C2886=0,AND(C2886&gt;0,Paths!$E$268&gt;(C2886-1)*12,Paths!$E$268&lt;=C2886*12)),Paths!$G$268,0),"n.a."))</f>
        <v>0</v>
      </c>
      <c r="J2886" s="16">
        <f>IF(NOT(Paths!$C$268=1),0,IF(Paths!$P$268="Complete",IF(IF(Paths!$E$268=0,C2886=0,AND(C2886&gt;0,Paths!$E$268&gt;(C2886-1)*12,Paths!$E$268&lt;=C2886*12)),Paths!$H$268,0),"n.a."))</f>
        <v>0</v>
      </c>
      <c r="K2886" s="16">
        <f>IF(NOT(Paths!$C$268=1),0,IF(Paths!$P$268="Complete",IF(IF(Paths!$O$268=0,C2886=0,AND(C2886&gt;0,Paths!$O$268&gt;(C2886-1)*12,Paths!$O$268&lt;=C2886*12)),Paths!$N$268,0),"n.a."))</f>
        <v>0</v>
      </c>
      <c r="L2886" s="16">
        <f>IF(NOT(Paths!$C$268=1),0,IF(Paths!$P$268="Complete",IF(C2886=10,Paths!$I$268,0),"n.a."))</f>
        <v>0</v>
      </c>
      <c r="M2886" s="16">
        <f>IF(NOT(Paths!$C$268=1),0,IF(Paths!$P$268="Complete",IF(AND(Paths!$D$268="EV",Paths!$E$268&lt;120,Paths!$E$268+'Operating costs'!$B$65&gt;Paths!$E$268,Paths!$E$268+'Operating costs'!$B$65&lt;=120,IF(Paths!$E$268+'Operating costs'!$B$65=0,C2886=0,AND(C2886&gt;0,Paths!$E$268+'Operating costs'!$B$65&gt;(C2886-1)*12,Paths!$E$268+'Operating costs'!$B$65&lt;=C2886*12))),'Operating costs'!$B$64,0)+IF(AND('Operating costs'!$B$67&gt;0,'Operating costs'!$B$67&lt;=120,OR(Paths!$D$268="ICE",'Operating costs'!$B$67&lt;=Paths!$E$268),IF('Operating costs'!$B$67=0,C2886=0,AND(C2886&gt;0,'Operating costs'!$B$67&gt;(C2886-1)*12,'Operating costs'!$B$67&lt;=C2886*12))),'Operating costs'!$B$66,0),"n.a."))</f>
        <v>0</v>
      </c>
      <c r="N2886" s="16">
        <f>IF(NOT(Paths!$C$268=1),0,IF(Paths!$P$268="Complete",SUM(G2886:I2886)-J2886-K2886-L2886+M2886+IF(C2886=0,Paths!$F$268,0)+IF(IF(Paths!$E$268=0,C2886=0,AND(C2886&gt;0,Paths!$E$268&gt;(C2886-1)*12,Paths!$E$268&lt;=C2886*12)),VLOOKUP(A2886,'Fleet register'!$A$7:$S$106,16,FALSE),0),"n.a."))</f>
        <v>0</v>
      </c>
      <c r="O2886" s="16">
        <f>IF(NOT(Paths!$C$268=1),0,IF(Paths!$P$268="Complete",N2886-IF(C2886=0,Paths!$F$268,0),"n.a."))</f>
        <v>0</v>
      </c>
      <c r="P2886" s="16">
        <f>IF(NOT(Paths!$C$268=1),0,IF(Paths!$P$268="Complete",O2886+L2886,"n.a."))</f>
        <v>0</v>
      </c>
      <c r="Q2886" s="16">
        <f>IF(NOT(Paths!$C$268=1),0,IF(Paths!$P$268="Complete",N2886*(1+'Operating costs'!$B$54)^-C2886,"n.a."))</f>
        <v>0</v>
      </c>
      <c r="R2886" s="16">
        <f>IF(NOT(Paths!$C$268=1),0,IF(Paths!$P$268="Complete",IF(AND(C2886=0,Paths!$E$268=0),I2886-J2886-K2886+VLOOKUP(A2886,'Fleet register'!$A$7:$S$106,15,FALSE)+VLOOKUP(A2886,'Fleet register'!$A$7:$S$106,16,FALSE),0),"n.a."))</f>
        <v>0</v>
      </c>
      <c r="S2886" s="1">
        <f>IF(NOT(Paths!$C$268=1),0,IF(Paths!$P$268="Complete",IF(C2886=0,0,Paths!$S$268*Paths!$R$268),"n.a."))</f>
        <v>0</v>
      </c>
      <c r="T2886" s="1">
        <f>IF(NOT(Paths!$C$268=1),0,IF(Paths!$P$268="Complete",IF(C2886=0,0,VLOOKUP(A2886,'Fleet register'!$A$7:$S$106,9,FALSE)*Paths!$R$268),"n.a."))</f>
        <v>0</v>
      </c>
    </row>
    <row r="2887" spans="1:20" ht="24" customHeight="1">
      <c r="A2887" s="1" t="str">
        <f>Paths!$A$268</f>
        <v>T066</v>
      </c>
      <c r="B2887" s="1">
        <f>Paths!$B$268</f>
        <v>1</v>
      </c>
      <c r="C2887" s="1">
        <v>9</v>
      </c>
      <c r="D2887" s="1">
        <v>268</v>
      </c>
      <c r="E2887" s="1">
        <f>IF(OR(Paths!$C$268=0,C2887=0),0,MAX(0,MIN(C2887*12,Paths!$E$268)-(C2887-1)*12))</f>
        <v>0</v>
      </c>
      <c r="F2887" s="1">
        <f>IF(OR(Paths!$C$268=0,C2887=0),0,12-E2887)</f>
        <v>0</v>
      </c>
      <c r="G2887" s="16">
        <f>IF(NOT(Paths!$C$268=1),0,IF(Paths!$P$268="Complete",E2887/12*(Paths!$J$268*(1+'Operating costs'!$B$51)^MAX(0,C2887-1)+Paths!$K$268*(1+'Operating costs'!$B$53)^MAX(0,C2887-1)),"n.a."))</f>
        <v>0</v>
      </c>
      <c r="H2887" s="16">
        <f>IF(NOT(Paths!$C$268=1),0,IF(Paths!$P$268="Complete",F2887/12*(Paths!$L$268*(1+IF(Paths!$D$268="EV",'Operating costs'!$B$52,'Operating costs'!$B$51))^MAX(0,C2887-1)+Paths!$M$268*(1+'Operating costs'!$B$53)^MAX(0,C2887-1)),"n.a."))</f>
        <v>0</v>
      </c>
      <c r="I2887" s="16">
        <f>IF(NOT(Paths!$C$268=1),0,IF(Paths!$P$268="Complete",IF(IF(Paths!$E$268=0,C2887=0,AND(C2887&gt;0,Paths!$E$268&gt;(C2887-1)*12,Paths!$E$268&lt;=C2887*12)),Paths!$G$268,0),"n.a."))</f>
        <v>0</v>
      </c>
      <c r="J2887" s="16">
        <f>IF(NOT(Paths!$C$268=1),0,IF(Paths!$P$268="Complete",IF(IF(Paths!$E$268=0,C2887=0,AND(C2887&gt;0,Paths!$E$268&gt;(C2887-1)*12,Paths!$E$268&lt;=C2887*12)),Paths!$H$268,0),"n.a."))</f>
        <v>0</v>
      </c>
      <c r="K2887" s="16">
        <f>IF(NOT(Paths!$C$268=1),0,IF(Paths!$P$268="Complete",IF(IF(Paths!$O$268=0,C2887=0,AND(C2887&gt;0,Paths!$O$268&gt;(C2887-1)*12,Paths!$O$268&lt;=C2887*12)),Paths!$N$268,0),"n.a."))</f>
        <v>0</v>
      </c>
      <c r="L2887" s="16">
        <f>IF(NOT(Paths!$C$268=1),0,IF(Paths!$P$268="Complete",IF(C2887=10,Paths!$I$268,0),"n.a."))</f>
        <v>0</v>
      </c>
      <c r="M2887" s="16">
        <f>IF(NOT(Paths!$C$268=1),0,IF(Paths!$P$268="Complete",IF(AND(Paths!$D$268="EV",Paths!$E$268&lt;120,Paths!$E$268+'Operating costs'!$B$65&gt;Paths!$E$268,Paths!$E$268+'Operating costs'!$B$65&lt;=120,IF(Paths!$E$268+'Operating costs'!$B$65=0,C2887=0,AND(C2887&gt;0,Paths!$E$268+'Operating costs'!$B$65&gt;(C2887-1)*12,Paths!$E$268+'Operating costs'!$B$65&lt;=C2887*12))),'Operating costs'!$B$64,0)+IF(AND('Operating costs'!$B$67&gt;0,'Operating costs'!$B$67&lt;=120,OR(Paths!$D$268="ICE",'Operating costs'!$B$67&lt;=Paths!$E$268),IF('Operating costs'!$B$67=0,C2887=0,AND(C2887&gt;0,'Operating costs'!$B$67&gt;(C2887-1)*12,'Operating costs'!$B$67&lt;=C2887*12))),'Operating costs'!$B$66,0),"n.a."))</f>
        <v>0</v>
      </c>
      <c r="N2887" s="16">
        <f>IF(NOT(Paths!$C$268=1),0,IF(Paths!$P$268="Complete",SUM(G2887:I2887)-J2887-K2887-L2887+M2887+IF(C2887=0,Paths!$F$268,0)+IF(IF(Paths!$E$268=0,C2887=0,AND(C2887&gt;0,Paths!$E$268&gt;(C2887-1)*12,Paths!$E$268&lt;=C2887*12)),VLOOKUP(A2887,'Fleet register'!$A$7:$S$106,16,FALSE),0),"n.a."))</f>
        <v>0</v>
      </c>
      <c r="O2887" s="16">
        <f>IF(NOT(Paths!$C$268=1),0,IF(Paths!$P$268="Complete",N2887-IF(C2887=0,Paths!$F$268,0),"n.a."))</f>
        <v>0</v>
      </c>
      <c r="P2887" s="16">
        <f>IF(NOT(Paths!$C$268=1),0,IF(Paths!$P$268="Complete",O2887+L2887,"n.a."))</f>
        <v>0</v>
      </c>
      <c r="Q2887" s="16">
        <f>IF(NOT(Paths!$C$268=1),0,IF(Paths!$P$268="Complete",N2887*(1+'Operating costs'!$B$54)^-C2887,"n.a."))</f>
        <v>0</v>
      </c>
      <c r="R2887" s="16">
        <f>IF(NOT(Paths!$C$268=1),0,IF(Paths!$P$268="Complete",IF(AND(C2887=0,Paths!$E$268=0),I2887-J2887-K2887+VLOOKUP(A2887,'Fleet register'!$A$7:$S$106,15,FALSE)+VLOOKUP(A2887,'Fleet register'!$A$7:$S$106,16,FALSE),0),"n.a."))</f>
        <v>0</v>
      </c>
      <c r="S2887" s="1">
        <f>IF(NOT(Paths!$C$268=1),0,IF(Paths!$P$268="Complete",IF(C2887=0,0,Paths!$S$268*Paths!$R$268),"n.a."))</f>
        <v>0</v>
      </c>
      <c r="T2887" s="1">
        <f>IF(NOT(Paths!$C$268=1),0,IF(Paths!$P$268="Complete",IF(C2887=0,0,VLOOKUP(A2887,'Fleet register'!$A$7:$S$106,9,FALSE)*Paths!$R$268),"n.a."))</f>
        <v>0</v>
      </c>
    </row>
    <row r="2888" spans="1:20" ht="24" customHeight="1">
      <c r="A2888" s="1" t="str">
        <f>Paths!$A$268</f>
        <v>T066</v>
      </c>
      <c r="B2888" s="1">
        <f>Paths!$B$268</f>
        <v>1</v>
      </c>
      <c r="C2888" s="1">
        <v>10</v>
      </c>
      <c r="D2888" s="1">
        <v>268</v>
      </c>
      <c r="E2888" s="1">
        <f>IF(OR(Paths!$C$268=0,C2888=0),0,MAX(0,MIN(C2888*12,Paths!$E$268)-(C2888-1)*12))</f>
        <v>0</v>
      </c>
      <c r="F2888" s="1">
        <f>IF(OR(Paths!$C$268=0,C2888=0),0,12-E2888)</f>
        <v>0</v>
      </c>
      <c r="G2888" s="16">
        <f>IF(NOT(Paths!$C$268=1),0,IF(Paths!$P$268="Complete",E2888/12*(Paths!$J$268*(1+'Operating costs'!$B$51)^MAX(0,C2888-1)+Paths!$K$268*(1+'Operating costs'!$B$53)^MAX(0,C2888-1)),"n.a."))</f>
        <v>0</v>
      </c>
      <c r="H2888" s="16">
        <f>IF(NOT(Paths!$C$268=1),0,IF(Paths!$P$268="Complete",F2888/12*(Paths!$L$268*(1+IF(Paths!$D$268="EV",'Operating costs'!$B$52,'Operating costs'!$B$51))^MAX(0,C2888-1)+Paths!$M$268*(1+'Operating costs'!$B$53)^MAX(0,C2888-1)),"n.a."))</f>
        <v>0</v>
      </c>
      <c r="I2888" s="16">
        <f>IF(NOT(Paths!$C$268=1),0,IF(Paths!$P$268="Complete",IF(IF(Paths!$E$268=0,C2888=0,AND(C2888&gt;0,Paths!$E$268&gt;(C2888-1)*12,Paths!$E$268&lt;=C2888*12)),Paths!$G$268,0),"n.a."))</f>
        <v>0</v>
      </c>
      <c r="J2888" s="16">
        <f>IF(NOT(Paths!$C$268=1),0,IF(Paths!$P$268="Complete",IF(IF(Paths!$E$268=0,C2888=0,AND(C2888&gt;0,Paths!$E$268&gt;(C2888-1)*12,Paths!$E$268&lt;=C2888*12)),Paths!$H$268,0),"n.a."))</f>
        <v>0</v>
      </c>
      <c r="K2888" s="16">
        <f>IF(NOT(Paths!$C$268=1),0,IF(Paths!$P$268="Complete",IF(IF(Paths!$O$268=0,C2888=0,AND(C2888&gt;0,Paths!$O$268&gt;(C2888-1)*12,Paths!$O$268&lt;=C2888*12)),Paths!$N$268,0),"n.a."))</f>
        <v>0</v>
      </c>
      <c r="L2888" s="16">
        <f>IF(NOT(Paths!$C$268=1),0,IF(Paths!$P$268="Complete",IF(C2888=10,Paths!$I$268,0),"n.a."))</f>
        <v>0</v>
      </c>
      <c r="M2888" s="16">
        <f>IF(NOT(Paths!$C$268=1),0,IF(Paths!$P$268="Complete",IF(AND(Paths!$D$268="EV",Paths!$E$268&lt;120,Paths!$E$268+'Operating costs'!$B$65&gt;Paths!$E$268,Paths!$E$268+'Operating costs'!$B$65&lt;=120,IF(Paths!$E$268+'Operating costs'!$B$65=0,C2888=0,AND(C2888&gt;0,Paths!$E$268+'Operating costs'!$B$65&gt;(C2888-1)*12,Paths!$E$268+'Operating costs'!$B$65&lt;=C2888*12))),'Operating costs'!$B$64,0)+IF(AND('Operating costs'!$B$67&gt;0,'Operating costs'!$B$67&lt;=120,OR(Paths!$D$268="ICE",'Operating costs'!$B$67&lt;=Paths!$E$268),IF('Operating costs'!$B$67=0,C2888=0,AND(C2888&gt;0,'Operating costs'!$B$67&gt;(C2888-1)*12,'Operating costs'!$B$67&lt;=C2888*12))),'Operating costs'!$B$66,0),"n.a."))</f>
        <v>0</v>
      </c>
      <c r="N2888" s="16">
        <f>IF(NOT(Paths!$C$268=1),0,IF(Paths!$P$268="Complete",SUM(G2888:I2888)-J2888-K2888-L2888+M2888+IF(C2888=0,Paths!$F$268,0)+IF(IF(Paths!$E$268=0,C2888=0,AND(C2888&gt;0,Paths!$E$268&gt;(C2888-1)*12,Paths!$E$268&lt;=C2888*12)),VLOOKUP(A2888,'Fleet register'!$A$7:$S$106,16,FALSE),0),"n.a."))</f>
        <v>0</v>
      </c>
      <c r="O2888" s="16">
        <f>IF(NOT(Paths!$C$268=1),0,IF(Paths!$P$268="Complete",N2888-IF(C2888=0,Paths!$F$268,0),"n.a."))</f>
        <v>0</v>
      </c>
      <c r="P2888" s="16">
        <f>IF(NOT(Paths!$C$268=1),0,IF(Paths!$P$268="Complete",O2888+L2888,"n.a."))</f>
        <v>0</v>
      </c>
      <c r="Q2888" s="16">
        <f>IF(NOT(Paths!$C$268=1),0,IF(Paths!$P$268="Complete",N2888*(1+'Operating costs'!$B$54)^-C2888,"n.a."))</f>
        <v>0</v>
      </c>
      <c r="R2888" s="16">
        <f>IF(NOT(Paths!$C$268=1),0,IF(Paths!$P$268="Complete",IF(AND(C2888=0,Paths!$E$268=0),I2888-J2888-K2888+VLOOKUP(A2888,'Fleet register'!$A$7:$S$106,15,FALSE)+VLOOKUP(A2888,'Fleet register'!$A$7:$S$106,16,FALSE),0),"n.a."))</f>
        <v>0</v>
      </c>
      <c r="S2888" s="1">
        <f>IF(NOT(Paths!$C$268=1),0,IF(Paths!$P$268="Complete",IF(C2888=0,0,Paths!$S$268*Paths!$R$268),"n.a."))</f>
        <v>0</v>
      </c>
      <c r="T2888" s="1">
        <f>IF(NOT(Paths!$C$268=1),0,IF(Paths!$P$268="Complete",IF(C2888=0,0,VLOOKUP(A2888,'Fleet register'!$A$7:$S$106,9,FALSE)*Paths!$R$268),"n.a."))</f>
        <v>0</v>
      </c>
    </row>
    <row r="2889" spans="1:20" ht="24" customHeight="1">
      <c r="A2889" s="1" t="str">
        <f>Paths!$A$269</f>
        <v>T066</v>
      </c>
      <c r="B2889" s="1">
        <f>Paths!$B$269</f>
        <v>2</v>
      </c>
      <c r="C2889" s="1">
        <v>0</v>
      </c>
      <c r="D2889" s="1">
        <v>269</v>
      </c>
      <c r="E2889" s="1">
        <f>IF(OR(Paths!$C$269=0,C2889=0),0,MAX(0,MIN(C2889*12,Paths!$E$269)-(C2889-1)*12))</f>
        <v>0</v>
      </c>
      <c r="F2889" s="1">
        <f>IF(OR(Paths!$C$269=0,C2889=0),0,12-E2889)</f>
        <v>0</v>
      </c>
      <c r="G2889" s="16">
        <f>IF(NOT(Paths!$C$269=1),0,IF(Paths!$P$269="Complete",E2889/12*(Paths!$J$269*(1+'Operating costs'!$B$51)^MAX(0,C2889-1)+Paths!$K$269*(1+'Operating costs'!$B$53)^MAX(0,C2889-1)),"n.a."))</f>
        <v>0</v>
      </c>
      <c r="H2889" s="16">
        <f>IF(NOT(Paths!$C$269=1),0,IF(Paths!$P$269="Complete",F2889/12*(Paths!$L$269*(1+IF(Paths!$D$269="EV",'Operating costs'!$B$52,'Operating costs'!$B$51))^MAX(0,C2889-1)+Paths!$M$269*(1+'Operating costs'!$B$53)^MAX(0,C2889-1)),"n.a."))</f>
        <v>0</v>
      </c>
      <c r="I2889" s="16">
        <f>IF(NOT(Paths!$C$269=1),0,IF(Paths!$P$269="Complete",IF(IF(Paths!$E$269=0,C2889=0,AND(C2889&gt;0,Paths!$E$269&gt;(C2889-1)*12,Paths!$E$269&lt;=C2889*12)),Paths!$G$269,0),"n.a."))</f>
        <v>0</v>
      </c>
      <c r="J2889" s="16">
        <f>IF(NOT(Paths!$C$269=1),0,IF(Paths!$P$269="Complete",IF(IF(Paths!$E$269=0,C2889=0,AND(C2889&gt;0,Paths!$E$269&gt;(C2889-1)*12,Paths!$E$269&lt;=C2889*12)),Paths!$H$269,0),"n.a."))</f>
        <v>0</v>
      </c>
      <c r="K2889" s="16">
        <f>IF(NOT(Paths!$C$269=1),0,IF(Paths!$P$269="Complete",IF(IF(Paths!$O$269=0,C2889=0,AND(C2889&gt;0,Paths!$O$269&gt;(C2889-1)*12,Paths!$O$269&lt;=C2889*12)),Paths!$N$269,0),"n.a."))</f>
        <v>0</v>
      </c>
      <c r="L2889" s="16">
        <f>IF(NOT(Paths!$C$269=1),0,IF(Paths!$P$269="Complete",IF(C2889=10,Paths!$I$269,0),"n.a."))</f>
        <v>0</v>
      </c>
      <c r="M2889" s="16">
        <f>IF(NOT(Paths!$C$269=1),0,IF(Paths!$P$269="Complete",IF(AND(Paths!$D$269="EV",Paths!$E$269&lt;120,Paths!$E$269+'Operating costs'!$B$65&gt;Paths!$E$269,Paths!$E$269+'Operating costs'!$B$65&lt;=120,IF(Paths!$E$269+'Operating costs'!$B$65=0,C2889=0,AND(C2889&gt;0,Paths!$E$269+'Operating costs'!$B$65&gt;(C2889-1)*12,Paths!$E$269+'Operating costs'!$B$65&lt;=C2889*12))),'Operating costs'!$B$64,0)+IF(AND('Operating costs'!$B$67&gt;0,'Operating costs'!$B$67&lt;=120,OR(Paths!$D$269="ICE",'Operating costs'!$B$67&lt;=Paths!$E$269),IF('Operating costs'!$B$67=0,C2889=0,AND(C2889&gt;0,'Operating costs'!$B$67&gt;(C2889-1)*12,'Operating costs'!$B$67&lt;=C2889*12))),'Operating costs'!$B$66,0),"n.a."))</f>
        <v>0</v>
      </c>
      <c r="N2889" s="16">
        <f>IF(NOT(Paths!$C$269=1),0,IF(Paths!$P$269="Complete",SUM(G2889:I2889)-J2889-K2889-L2889+M2889+IF(C2889=0,Paths!$F$269,0)+IF(IF(Paths!$E$269=0,C2889=0,AND(C2889&gt;0,Paths!$E$269&gt;(C2889-1)*12,Paths!$E$269&lt;=C2889*12)),VLOOKUP(A2889,'Fleet register'!$A$7:$S$106,16,FALSE),0),"n.a."))</f>
        <v>0</v>
      </c>
      <c r="O2889" s="16">
        <f>IF(NOT(Paths!$C$269=1),0,IF(Paths!$P$269="Complete",N2889-IF(C2889=0,Paths!$F$269,0),"n.a."))</f>
        <v>0</v>
      </c>
      <c r="P2889" s="16">
        <f>IF(NOT(Paths!$C$269=1),0,IF(Paths!$P$269="Complete",O2889+L2889,"n.a."))</f>
        <v>0</v>
      </c>
      <c r="Q2889" s="16">
        <f>IF(NOT(Paths!$C$269=1),0,IF(Paths!$P$269="Complete",N2889*(1+'Operating costs'!$B$54)^-C2889,"n.a."))</f>
        <v>0</v>
      </c>
      <c r="R2889" s="16">
        <f>IF(NOT(Paths!$C$269=1),0,IF(Paths!$P$269="Complete",IF(AND(C2889=0,Paths!$E$269=0),I2889-J2889-K2889+VLOOKUP(A2889,'Fleet register'!$A$7:$S$106,15,FALSE)+VLOOKUP(A2889,'Fleet register'!$A$7:$S$106,16,FALSE),0),"n.a."))</f>
        <v>0</v>
      </c>
      <c r="S2889" s="1">
        <f>IF(NOT(Paths!$C$269=1),0,IF(Paths!$P$269="Complete",IF(C2889=0,0,Paths!$S$269*Paths!$R$269),"n.a."))</f>
        <v>0</v>
      </c>
      <c r="T2889" s="1">
        <f>IF(NOT(Paths!$C$269=1),0,IF(Paths!$P$269="Complete",IF(C2889=0,0,VLOOKUP(A2889,'Fleet register'!$A$7:$S$106,9,FALSE)*Paths!$R$269),"n.a."))</f>
        <v>0</v>
      </c>
    </row>
    <row r="2890" spans="1:20" ht="24" customHeight="1">
      <c r="A2890" s="1" t="str">
        <f>Paths!$A$269</f>
        <v>T066</v>
      </c>
      <c r="B2890" s="1">
        <f>Paths!$B$269</f>
        <v>2</v>
      </c>
      <c r="C2890" s="1">
        <v>1</v>
      </c>
      <c r="D2890" s="1">
        <v>269</v>
      </c>
      <c r="E2890" s="1">
        <f>IF(OR(Paths!$C$269=0,C2890=0),0,MAX(0,MIN(C2890*12,Paths!$E$269)-(C2890-1)*12))</f>
        <v>0</v>
      </c>
      <c r="F2890" s="1">
        <f>IF(OR(Paths!$C$269=0,C2890=0),0,12-E2890)</f>
        <v>0</v>
      </c>
      <c r="G2890" s="16">
        <f>IF(NOT(Paths!$C$269=1),0,IF(Paths!$P$269="Complete",E2890/12*(Paths!$J$269*(1+'Operating costs'!$B$51)^MAX(0,C2890-1)+Paths!$K$269*(1+'Operating costs'!$B$53)^MAX(0,C2890-1)),"n.a."))</f>
        <v>0</v>
      </c>
      <c r="H2890" s="16">
        <f>IF(NOT(Paths!$C$269=1),0,IF(Paths!$P$269="Complete",F2890/12*(Paths!$L$269*(1+IF(Paths!$D$269="EV",'Operating costs'!$B$52,'Operating costs'!$B$51))^MAX(0,C2890-1)+Paths!$M$269*(1+'Operating costs'!$B$53)^MAX(0,C2890-1)),"n.a."))</f>
        <v>0</v>
      </c>
      <c r="I2890" s="16">
        <f>IF(NOT(Paths!$C$269=1),0,IF(Paths!$P$269="Complete",IF(IF(Paths!$E$269=0,C2890=0,AND(C2890&gt;0,Paths!$E$269&gt;(C2890-1)*12,Paths!$E$269&lt;=C2890*12)),Paths!$G$269,0),"n.a."))</f>
        <v>0</v>
      </c>
      <c r="J2890" s="16">
        <f>IF(NOT(Paths!$C$269=1),0,IF(Paths!$P$269="Complete",IF(IF(Paths!$E$269=0,C2890=0,AND(C2890&gt;0,Paths!$E$269&gt;(C2890-1)*12,Paths!$E$269&lt;=C2890*12)),Paths!$H$269,0),"n.a."))</f>
        <v>0</v>
      </c>
      <c r="K2890" s="16">
        <f>IF(NOT(Paths!$C$269=1),0,IF(Paths!$P$269="Complete",IF(IF(Paths!$O$269=0,C2890=0,AND(C2890&gt;0,Paths!$O$269&gt;(C2890-1)*12,Paths!$O$269&lt;=C2890*12)),Paths!$N$269,0),"n.a."))</f>
        <v>0</v>
      </c>
      <c r="L2890" s="16">
        <f>IF(NOT(Paths!$C$269=1),0,IF(Paths!$P$269="Complete",IF(C2890=10,Paths!$I$269,0),"n.a."))</f>
        <v>0</v>
      </c>
      <c r="M2890" s="16">
        <f>IF(NOT(Paths!$C$269=1),0,IF(Paths!$P$269="Complete",IF(AND(Paths!$D$269="EV",Paths!$E$269&lt;120,Paths!$E$269+'Operating costs'!$B$65&gt;Paths!$E$269,Paths!$E$269+'Operating costs'!$B$65&lt;=120,IF(Paths!$E$269+'Operating costs'!$B$65=0,C2890=0,AND(C2890&gt;0,Paths!$E$269+'Operating costs'!$B$65&gt;(C2890-1)*12,Paths!$E$269+'Operating costs'!$B$65&lt;=C2890*12))),'Operating costs'!$B$64,0)+IF(AND('Operating costs'!$B$67&gt;0,'Operating costs'!$B$67&lt;=120,OR(Paths!$D$269="ICE",'Operating costs'!$B$67&lt;=Paths!$E$269),IF('Operating costs'!$B$67=0,C2890=0,AND(C2890&gt;0,'Operating costs'!$B$67&gt;(C2890-1)*12,'Operating costs'!$B$67&lt;=C2890*12))),'Operating costs'!$B$66,0),"n.a."))</f>
        <v>0</v>
      </c>
      <c r="N2890" s="16">
        <f>IF(NOT(Paths!$C$269=1),0,IF(Paths!$P$269="Complete",SUM(G2890:I2890)-J2890-K2890-L2890+M2890+IF(C2890=0,Paths!$F$269,0)+IF(IF(Paths!$E$269=0,C2890=0,AND(C2890&gt;0,Paths!$E$269&gt;(C2890-1)*12,Paths!$E$269&lt;=C2890*12)),VLOOKUP(A2890,'Fleet register'!$A$7:$S$106,16,FALSE),0),"n.a."))</f>
        <v>0</v>
      </c>
      <c r="O2890" s="16">
        <f>IF(NOT(Paths!$C$269=1),0,IF(Paths!$P$269="Complete",N2890-IF(C2890=0,Paths!$F$269,0),"n.a."))</f>
        <v>0</v>
      </c>
      <c r="P2890" s="16">
        <f>IF(NOT(Paths!$C$269=1),0,IF(Paths!$P$269="Complete",O2890+L2890,"n.a."))</f>
        <v>0</v>
      </c>
      <c r="Q2890" s="16">
        <f>IF(NOT(Paths!$C$269=1),0,IF(Paths!$P$269="Complete",N2890*(1+'Operating costs'!$B$54)^-C2890,"n.a."))</f>
        <v>0</v>
      </c>
      <c r="R2890" s="16">
        <f>IF(NOT(Paths!$C$269=1),0,IF(Paths!$P$269="Complete",IF(AND(C2890=0,Paths!$E$269=0),I2890-J2890-K2890+VLOOKUP(A2890,'Fleet register'!$A$7:$S$106,15,FALSE)+VLOOKUP(A2890,'Fleet register'!$A$7:$S$106,16,FALSE),0),"n.a."))</f>
        <v>0</v>
      </c>
      <c r="S2890" s="1">
        <f>IF(NOT(Paths!$C$269=1),0,IF(Paths!$P$269="Complete",IF(C2890=0,0,Paths!$S$269*Paths!$R$269),"n.a."))</f>
        <v>0</v>
      </c>
      <c r="T2890" s="1">
        <f>IF(NOT(Paths!$C$269=1),0,IF(Paths!$P$269="Complete",IF(C2890=0,0,VLOOKUP(A2890,'Fleet register'!$A$7:$S$106,9,FALSE)*Paths!$R$269),"n.a."))</f>
        <v>0</v>
      </c>
    </row>
    <row r="2891" spans="1:20" ht="24" customHeight="1">
      <c r="A2891" s="1" t="str">
        <f>Paths!$A$269</f>
        <v>T066</v>
      </c>
      <c r="B2891" s="1">
        <f>Paths!$B$269</f>
        <v>2</v>
      </c>
      <c r="C2891" s="1">
        <v>2</v>
      </c>
      <c r="D2891" s="1">
        <v>269</v>
      </c>
      <c r="E2891" s="1">
        <f>IF(OR(Paths!$C$269=0,C2891=0),0,MAX(0,MIN(C2891*12,Paths!$E$269)-(C2891-1)*12))</f>
        <v>0</v>
      </c>
      <c r="F2891" s="1">
        <f>IF(OR(Paths!$C$269=0,C2891=0),0,12-E2891)</f>
        <v>0</v>
      </c>
      <c r="G2891" s="16">
        <f>IF(NOT(Paths!$C$269=1),0,IF(Paths!$P$269="Complete",E2891/12*(Paths!$J$269*(1+'Operating costs'!$B$51)^MAX(0,C2891-1)+Paths!$K$269*(1+'Operating costs'!$B$53)^MAX(0,C2891-1)),"n.a."))</f>
        <v>0</v>
      </c>
      <c r="H2891" s="16">
        <f>IF(NOT(Paths!$C$269=1),0,IF(Paths!$P$269="Complete",F2891/12*(Paths!$L$269*(1+IF(Paths!$D$269="EV",'Operating costs'!$B$52,'Operating costs'!$B$51))^MAX(0,C2891-1)+Paths!$M$269*(1+'Operating costs'!$B$53)^MAX(0,C2891-1)),"n.a."))</f>
        <v>0</v>
      </c>
      <c r="I2891" s="16">
        <f>IF(NOT(Paths!$C$269=1),0,IF(Paths!$P$269="Complete",IF(IF(Paths!$E$269=0,C2891=0,AND(C2891&gt;0,Paths!$E$269&gt;(C2891-1)*12,Paths!$E$269&lt;=C2891*12)),Paths!$G$269,0),"n.a."))</f>
        <v>0</v>
      </c>
      <c r="J2891" s="16">
        <f>IF(NOT(Paths!$C$269=1),0,IF(Paths!$P$269="Complete",IF(IF(Paths!$E$269=0,C2891=0,AND(C2891&gt;0,Paths!$E$269&gt;(C2891-1)*12,Paths!$E$269&lt;=C2891*12)),Paths!$H$269,0),"n.a."))</f>
        <v>0</v>
      </c>
      <c r="K2891" s="16">
        <f>IF(NOT(Paths!$C$269=1),0,IF(Paths!$P$269="Complete",IF(IF(Paths!$O$269=0,C2891=0,AND(C2891&gt;0,Paths!$O$269&gt;(C2891-1)*12,Paths!$O$269&lt;=C2891*12)),Paths!$N$269,0),"n.a."))</f>
        <v>0</v>
      </c>
      <c r="L2891" s="16">
        <f>IF(NOT(Paths!$C$269=1),0,IF(Paths!$P$269="Complete",IF(C2891=10,Paths!$I$269,0),"n.a."))</f>
        <v>0</v>
      </c>
      <c r="M2891" s="16">
        <f>IF(NOT(Paths!$C$269=1),0,IF(Paths!$P$269="Complete",IF(AND(Paths!$D$269="EV",Paths!$E$269&lt;120,Paths!$E$269+'Operating costs'!$B$65&gt;Paths!$E$269,Paths!$E$269+'Operating costs'!$B$65&lt;=120,IF(Paths!$E$269+'Operating costs'!$B$65=0,C2891=0,AND(C2891&gt;0,Paths!$E$269+'Operating costs'!$B$65&gt;(C2891-1)*12,Paths!$E$269+'Operating costs'!$B$65&lt;=C2891*12))),'Operating costs'!$B$64,0)+IF(AND('Operating costs'!$B$67&gt;0,'Operating costs'!$B$67&lt;=120,OR(Paths!$D$269="ICE",'Operating costs'!$B$67&lt;=Paths!$E$269),IF('Operating costs'!$B$67=0,C2891=0,AND(C2891&gt;0,'Operating costs'!$B$67&gt;(C2891-1)*12,'Operating costs'!$B$67&lt;=C2891*12))),'Operating costs'!$B$66,0),"n.a."))</f>
        <v>0</v>
      </c>
      <c r="N2891" s="16">
        <f>IF(NOT(Paths!$C$269=1),0,IF(Paths!$P$269="Complete",SUM(G2891:I2891)-J2891-K2891-L2891+M2891+IF(C2891=0,Paths!$F$269,0)+IF(IF(Paths!$E$269=0,C2891=0,AND(C2891&gt;0,Paths!$E$269&gt;(C2891-1)*12,Paths!$E$269&lt;=C2891*12)),VLOOKUP(A2891,'Fleet register'!$A$7:$S$106,16,FALSE),0),"n.a."))</f>
        <v>0</v>
      </c>
      <c r="O2891" s="16">
        <f>IF(NOT(Paths!$C$269=1),0,IF(Paths!$P$269="Complete",N2891-IF(C2891=0,Paths!$F$269,0),"n.a."))</f>
        <v>0</v>
      </c>
      <c r="P2891" s="16">
        <f>IF(NOT(Paths!$C$269=1),0,IF(Paths!$P$269="Complete",O2891+L2891,"n.a."))</f>
        <v>0</v>
      </c>
      <c r="Q2891" s="16">
        <f>IF(NOT(Paths!$C$269=1),0,IF(Paths!$P$269="Complete",N2891*(1+'Operating costs'!$B$54)^-C2891,"n.a."))</f>
        <v>0</v>
      </c>
      <c r="R2891" s="16">
        <f>IF(NOT(Paths!$C$269=1),0,IF(Paths!$P$269="Complete",IF(AND(C2891=0,Paths!$E$269=0),I2891-J2891-K2891+VLOOKUP(A2891,'Fleet register'!$A$7:$S$106,15,FALSE)+VLOOKUP(A2891,'Fleet register'!$A$7:$S$106,16,FALSE),0),"n.a."))</f>
        <v>0</v>
      </c>
      <c r="S2891" s="1">
        <f>IF(NOT(Paths!$C$269=1),0,IF(Paths!$P$269="Complete",IF(C2891=0,0,Paths!$S$269*Paths!$R$269),"n.a."))</f>
        <v>0</v>
      </c>
      <c r="T2891" s="1">
        <f>IF(NOT(Paths!$C$269=1),0,IF(Paths!$P$269="Complete",IF(C2891=0,0,VLOOKUP(A2891,'Fleet register'!$A$7:$S$106,9,FALSE)*Paths!$R$269),"n.a."))</f>
        <v>0</v>
      </c>
    </row>
    <row r="2892" spans="1:20" ht="24" customHeight="1">
      <c r="A2892" s="1" t="str">
        <f>Paths!$A$269</f>
        <v>T066</v>
      </c>
      <c r="B2892" s="1">
        <f>Paths!$B$269</f>
        <v>2</v>
      </c>
      <c r="C2892" s="1">
        <v>3</v>
      </c>
      <c r="D2892" s="1">
        <v>269</v>
      </c>
      <c r="E2892" s="1">
        <f>IF(OR(Paths!$C$269=0,C2892=0),0,MAX(0,MIN(C2892*12,Paths!$E$269)-(C2892-1)*12))</f>
        <v>0</v>
      </c>
      <c r="F2892" s="1">
        <f>IF(OR(Paths!$C$269=0,C2892=0),0,12-E2892)</f>
        <v>0</v>
      </c>
      <c r="G2892" s="16">
        <f>IF(NOT(Paths!$C$269=1),0,IF(Paths!$P$269="Complete",E2892/12*(Paths!$J$269*(1+'Operating costs'!$B$51)^MAX(0,C2892-1)+Paths!$K$269*(1+'Operating costs'!$B$53)^MAX(0,C2892-1)),"n.a."))</f>
        <v>0</v>
      </c>
      <c r="H2892" s="16">
        <f>IF(NOT(Paths!$C$269=1),0,IF(Paths!$P$269="Complete",F2892/12*(Paths!$L$269*(1+IF(Paths!$D$269="EV",'Operating costs'!$B$52,'Operating costs'!$B$51))^MAX(0,C2892-1)+Paths!$M$269*(1+'Operating costs'!$B$53)^MAX(0,C2892-1)),"n.a."))</f>
        <v>0</v>
      </c>
      <c r="I2892" s="16">
        <f>IF(NOT(Paths!$C$269=1),0,IF(Paths!$P$269="Complete",IF(IF(Paths!$E$269=0,C2892=0,AND(C2892&gt;0,Paths!$E$269&gt;(C2892-1)*12,Paths!$E$269&lt;=C2892*12)),Paths!$G$269,0),"n.a."))</f>
        <v>0</v>
      </c>
      <c r="J2892" s="16">
        <f>IF(NOT(Paths!$C$269=1),0,IF(Paths!$P$269="Complete",IF(IF(Paths!$E$269=0,C2892=0,AND(C2892&gt;0,Paths!$E$269&gt;(C2892-1)*12,Paths!$E$269&lt;=C2892*12)),Paths!$H$269,0),"n.a."))</f>
        <v>0</v>
      </c>
      <c r="K2892" s="16">
        <f>IF(NOT(Paths!$C$269=1),0,IF(Paths!$P$269="Complete",IF(IF(Paths!$O$269=0,C2892=0,AND(C2892&gt;0,Paths!$O$269&gt;(C2892-1)*12,Paths!$O$269&lt;=C2892*12)),Paths!$N$269,0),"n.a."))</f>
        <v>0</v>
      </c>
      <c r="L2892" s="16">
        <f>IF(NOT(Paths!$C$269=1),0,IF(Paths!$P$269="Complete",IF(C2892=10,Paths!$I$269,0),"n.a."))</f>
        <v>0</v>
      </c>
      <c r="M2892" s="16">
        <f>IF(NOT(Paths!$C$269=1),0,IF(Paths!$P$269="Complete",IF(AND(Paths!$D$269="EV",Paths!$E$269&lt;120,Paths!$E$269+'Operating costs'!$B$65&gt;Paths!$E$269,Paths!$E$269+'Operating costs'!$B$65&lt;=120,IF(Paths!$E$269+'Operating costs'!$B$65=0,C2892=0,AND(C2892&gt;0,Paths!$E$269+'Operating costs'!$B$65&gt;(C2892-1)*12,Paths!$E$269+'Operating costs'!$B$65&lt;=C2892*12))),'Operating costs'!$B$64,0)+IF(AND('Operating costs'!$B$67&gt;0,'Operating costs'!$B$67&lt;=120,OR(Paths!$D$269="ICE",'Operating costs'!$B$67&lt;=Paths!$E$269),IF('Operating costs'!$B$67=0,C2892=0,AND(C2892&gt;0,'Operating costs'!$B$67&gt;(C2892-1)*12,'Operating costs'!$B$67&lt;=C2892*12))),'Operating costs'!$B$66,0),"n.a."))</f>
        <v>0</v>
      </c>
      <c r="N2892" s="16">
        <f>IF(NOT(Paths!$C$269=1),0,IF(Paths!$P$269="Complete",SUM(G2892:I2892)-J2892-K2892-L2892+M2892+IF(C2892=0,Paths!$F$269,0)+IF(IF(Paths!$E$269=0,C2892=0,AND(C2892&gt;0,Paths!$E$269&gt;(C2892-1)*12,Paths!$E$269&lt;=C2892*12)),VLOOKUP(A2892,'Fleet register'!$A$7:$S$106,16,FALSE),0),"n.a."))</f>
        <v>0</v>
      </c>
      <c r="O2892" s="16">
        <f>IF(NOT(Paths!$C$269=1),0,IF(Paths!$P$269="Complete",N2892-IF(C2892=0,Paths!$F$269,0),"n.a."))</f>
        <v>0</v>
      </c>
      <c r="P2892" s="16">
        <f>IF(NOT(Paths!$C$269=1),0,IF(Paths!$P$269="Complete",O2892+L2892,"n.a."))</f>
        <v>0</v>
      </c>
      <c r="Q2892" s="16">
        <f>IF(NOT(Paths!$C$269=1),0,IF(Paths!$P$269="Complete",N2892*(1+'Operating costs'!$B$54)^-C2892,"n.a."))</f>
        <v>0</v>
      </c>
      <c r="R2892" s="16">
        <f>IF(NOT(Paths!$C$269=1),0,IF(Paths!$P$269="Complete",IF(AND(C2892=0,Paths!$E$269=0),I2892-J2892-K2892+VLOOKUP(A2892,'Fleet register'!$A$7:$S$106,15,FALSE)+VLOOKUP(A2892,'Fleet register'!$A$7:$S$106,16,FALSE),0),"n.a."))</f>
        <v>0</v>
      </c>
      <c r="S2892" s="1">
        <f>IF(NOT(Paths!$C$269=1),0,IF(Paths!$P$269="Complete",IF(C2892=0,0,Paths!$S$269*Paths!$R$269),"n.a."))</f>
        <v>0</v>
      </c>
      <c r="T2892" s="1">
        <f>IF(NOT(Paths!$C$269=1),0,IF(Paths!$P$269="Complete",IF(C2892=0,0,VLOOKUP(A2892,'Fleet register'!$A$7:$S$106,9,FALSE)*Paths!$R$269),"n.a."))</f>
        <v>0</v>
      </c>
    </row>
    <row r="2893" spans="1:20" ht="24" customHeight="1">
      <c r="A2893" s="1" t="str">
        <f>Paths!$A$269</f>
        <v>T066</v>
      </c>
      <c r="B2893" s="1">
        <f>Paths!$B$269</f>
        <v>2</v>
      </c>
      <c r="C2893" s="1">
        <v>4</v>
      </c>
      <c r="D2893" s="1">
        <v>269</v>
      </c>
      <c r="E2893" s="1">
        <f>IF(OR(Paths!$C$269=0,C2893=0),0,MAX(0,MIN(C2893*12,Paths!$E$269)-(C2893-1)*12))</f>
        <v>0</v>
      </c>
      <c r="F2893" s="1">
        <f>IF(OR(Paths!$C$269=0,C2893=0),0,12-E2893)</f>
        <v>0</v>
      </c>
      <c r="G2893" s="16">
        <f>IF(NOT(Paths!$C$269=1),0,IF(Paths!$P$269="Complete",E2893/12*(Paths!$J$269*(1+'Operating costs'!$B$51)^MAX(0,C2893-1)+Paths!$K$269*(1+'Operating costs'!$B$53)^MAX(0,C2893-1)),"n.a."))</f>
        <v>0</v>
      </c>
      <c r="H2893" s="16">
        <f>IF(NOT(Paths!$C$269=1),0,IF(Paths!$P$269="Complete",F2893/12*(Paths!$L$269*(1+IF(Paths!$D$269="EV",'Operating costs'!$B$52,'Operating costs'!$B$51))^MAX(0,C2893-1)+Paths!$M$269*(1+'Operating costs'!$B$53)^MAX(0,C2893-1)),"n.a."))</f>
        <v>0</v>
      </c>
      <c r="I2893" s="16">
        <f>IF(NOT(Paths!$C$269=1),0,IF(Paths!$P$269="Complete",IF(IF(Paths!$E$269=0,C2893=0,AND(C2893&gt;0,Paths!$E$269&gt;(C2893-1)*12,Paths!$E$269&lt;=C2893*12)),Paths!$G$269,0),"n.a."))</f>
        <v>0</v>
      </c>
      <c r="J2893" s="16">
        <f>IF(NOT(Paths!$C$269=1),0,IF(Paths!$P$269="Complete",IF(IF(Paths!$E$269=0,C2893=0,AND(C2893&gt;0,Paths!$E$269&gt;(C2893-1)*12,Paths!$E$269&lt;=C2893*12)),Paths!$H$269,0),"n.a."))</f>
        <v>0</v>
      </c>
      <c r="K2893" s="16">
        <f>IF(NOT(Paths!$C$269=1),0,IF(Paths!$P$269="Complete",IF(IF(Paths!$O$269=0,C2893=0,AND(C2893&gt;0,Paths!$O$269&gt;(C2893-1)*12,Paths!$O$269&lt;=C2893*12)),Paths!$N$269,0),"n.a."))</f>
        <v>0</v>
      </c>
      <c r="L2893" s="16">
        <f>IF(NOT(Paths!$C$269=1),0,IF(Paths!$P$269="Complete",IF(C2893=10,Paths!$I$269,0),"n.a."))</f>
        <v>0</v>
      </c>
      <c r="M2893" s="16">
        <f>IF(NOT(Paths!$C$269=1),0,IF(Paths!$P$269="Complete",IF(AND(Paths!$D$269="EV",Paths!$E$269&lt;120,Paths!$E$269+'Operating costs'!$B$65&gt;Paths!$E$269,Paths!$E$269+'Operating costs'!$B$65&lt;=120,IF(Paths!$E$269+'Operating costs'!$B$65=0,C2893=0,AND(C2893&gt;0,Paths!$E$269+'Operating costs'!$B$65&gt;(C2893-1)*12,Paths!$E$269+'Operating costs'!$B$65&lt;=C2893*12))),'Operating costs'!$B$64,0)+IF(AND('Operating costs'!$B$67&gt;0,'Operating costs'!$B$67&lt;=120,OR(Paths!$D$269="ICE",'Operating costs'!$B$67&lt;=Paths!$E$269),IF('Operating costs'!$B$67=0,C2893=0,AND(C2893&gt;0,'Operating costs'!$B$67&gt;(C2893-1)*12,'Operating costs'!$B$67&lt;=C2893*12))),'Operating costs'!$B$66,0),"n.a."))</f>
        <v>0</v>
      </c>
      <c r="N2893" s="16">
        <f>IF(NOT(Paths!$C$269=1),0,IF(Paths!$P$269="Complete",SUM(G2893:I2893)-J2893-K2893-L2893+M2893+IF(C2893=0,Paths!$F$269,0)+IF(IF(Paths!$E$269=0,C2893=0,AND(C2893&gt;0,Paths!$E$269&gt;(C2893-1)*12,Paths!$E$269&lt;=C2893*12)),VLOOKUP(A2893,'Fleet register'!$A$7:$S$106,16,FALSE),0),"n.a."))</f>
        <v>0</v>
      </c>
      <c r="O2893" s="16">
        <f>IF(NOT(Paths!$C$269=1),0,IF(Paths!$P$269="Complete",N2893-IF(C2893=0,Paths!$F$269,0),"n.a."))</f>
        <v>0</v>
      </c>
      <c r="P2893" s="16">
        <f>IF(NOT(Paths!$C$269=1),0,IF(Paths!$P$269="Complete",O2893+L2893,"n.a."))</f>
        <v>0</v>
      </c>
      <c r="Q2893" s="16">
        <f>IF(NOT(Paths!$C$269=1),0,IF(Paths!$P$269="Complete",N2893*(1+'Operating costs'!$B$54)^-C2893,"n.a."))</f>
        <v>0</v>
      </c>
      <c r="R2893" s="16">
        <f>IF(NOT(Paths!$C$269=1),0,IF(Paths!$P$269="Complete",IF(AND(C2893=0,Paths!$E$269=0),I2893-J2893-K2893+VLOOKUP(A2893,'Fleet register'!$A$7:$S$106,15,FALSE)+VLOOKUP(A2893,'Fleet register'!$A$7:$S$106,16,FALSE),0),"n.a."))</f>
        <v>0</v>
      </c>
      <c r="S2893" s="1">
        <f>IF(NOT(Paths!$C$269=1),0,IF(Paths!$P$269="Complete",IF(C2893=0,0,Paths!$S$269*Paths!$R$269),"n.a."))</f>
        <v>0</v>
      </c>
      <c r="T2893" s="1">
        <f>IF(NOT(Paths!$C$269=1),0,IF(Paths!$P$269="Complete",IF(C2893=0,0,VLOOKUP(A2893,'Fleet register'!$A$7:$S$106,9,FALSE)*Paths!$R$269),"n.a."))</f>
        <v>0</v>
      </c>
    </row>
    <row r="2894" spans="1:20" ht="24" customHeight="1">
      <c r="A2894" s="1" t="str">
        <f>Paths!$A$269</f>
        <v>T066</v>
      </c>
      <c r="B2894" s="1">
        <f>Paths!$B$269</f>
        <v>2</v>
      </c>
      <c r="C2894" s="1">
        <v>5</v>
      </c>
      <c r="D2894" s="1">
        <v>269</v>
      </c>
      <c r="E2894" s="1">
        <f>IF(OR(Paths!$C$269=0,C2894=0),0,MAX(0,MIN(C2894*12,Paths!$E$269)-(C2894-1)*12))</f>
        <v>0</v>
      </c>
      <c r="F2894" s="1">
        <f>IF(OR(Paths!$C$269=0,C2894=0),0,12-E2894)</f>
        <v>0</v>
      </c>
      <c r="G2894" s="16">
        <f>IF(NOT(Paths!$C$269=1),0,IF(Paths!$P$269="Complete",E2894/12*(Paths!$J$269*(1+'Operating costs'!$B$51)^MAX(0,C2894-1)+Paths!$K$269*(1+'Operating costs'!$B$53)^MAX(0,C2894-1)),"n.a."))</f>
        <v>0</v>
      </c>
      <c r="H2894" s="16">
        <f>IF(NOT(Paths!$C$269=1),0,IF(Paths!$P$269="Complete",F2894/12*(Paths!$L$269*(1+IF(Paths!$D$269="EV",'Operating costs'!$B$52,'Operating costs'!$B$51))^MAX(0,C2894-1)+Paths!$M$269*(1+'Operating costs'!$B$53)^MAX(0,C2894-1)),"n.a."))</f>
        <v>0</v>
      </c>
      <c r="I2894" s="16">
        <f>IF(NOT(Paths!$C$269=1),0,IF(Paths!$P$269="Complete",IF(IF(Paths!$E$269=0,C2894=0,AND(C2894&gt;0,Paths!$E$269&gt;(C2894-1)*12,Paths!$E$269&lt;=C2894*12)),Paths!$G$269,0),"n.a."))</f>
        <v>0</v>
      </c>
      <c r="J2894" s="16">
        <f>IF(NOT(Paths!$C$269=1),0,IF(Paths!$P$269="Complete",IF(IF(Paths!$E$269=0,C2894=0,AND(C2894&gt;0,Paths!$E$269&gt;(C2894-1)*12,Paths!$E$269&lt;=C2894*12)),Paths!$H$269,0),"n.a."))</f>
        <v>0</v>
      </c>
      <c r="K2894" s="16">
        <f>IF(NOT(Paths!$C$269=1),0,IF(Paths!$P$269="Complete",IF(IF(Paths!$O$269=0,C2894=0,AND(C2894&gt;0,Paths!$O$269&gt;(C2894-1)*12,Paths!$O$269&lt;=C2894*12)),Paths!$N$269,0),"n.a."))</f>
        <v>0</v>
      </c>
      <c r="L2894" s="16">
        <f>IF(NOT(Paths!$C$269=1),0,IF(Paths!$P$269="Complete",IF(C2894=10,Paths!$I$269,0),"n.a."))</f>
        <v>0</v>
      </c>
      <c r="M2894" s="16">
        <f>IF(NOT(Paths!$C$269=1),0,IF(Paths!$P$269="Complete",IF(AND(Paths!$D$269="EV",Paths!$E$269&lt;120,Paths!$E$269+'Operating costs'!$B$65&gt;Paths!$E$269,Paths!$E$269+'Operating costs'!$B$65&lt;=120,IF(Paths!$E$269+'Operating costs'!$B$65=0,C2894=0,AND(C2894&gt;0,Paths!$E$269+'Operating costs'!$B$65&gt;(C2894-1)*12,Paths!$E$269+'Operating costs'!$B$65&lt;=C2894*12))),'Operating costs'!$B$64,0)+IF(AND('Operating costs'!$B$67&gt;0,'Operating costs'!$B$67&lt;=120,OR(Paths!$D$269="ICE",'Operating costs'!$B$67&lt;=Paths!$E$269),IF('Operating costs'!$B$67=0,C2894=0,AND(C2894&gt;0,'Operating costs'!$B$67&gt;(C2894-1)*12,'Operating costs'!$B$67&lt;=C2894*12))),'Operating costs'!$B$66,0),"n.a."))</f>
        <v>0</v>
      </c>
      <c r="N2894" s="16">
        <f>IF(NOT(Paths!$C$269=1),0,IF(Paths!$P$269="Complete",SUM(G2894:I2894)-J2894-K2894-L2894+M2894+IF(C2894=0,Paths!$F$269,0)+IF(IF(Paths!$E$269=0,C2894=0,AND(C2894&gt;0,Paths!$E$269&gt;(C2894-1)*12,Paths!$E$269&lt;=C2894*12)),VLOOKUP(A2894,'Fleet register'!$A$7:$S$106,16,FALSE),0),"n.a."))</f>
        <v>0</v>
      </c>
      <c r="O2894" s="16">
        <f>IF(NOT(Paths!$C$269=1),0,IF(Paths!$P$269="Complete",N2894-IF(C2894=0,Paths!$F$269,0),"n.a."))</f>
        <v>0</v>
      </c>
      <c r="P2894" s="16">
        <f>IF(NOT(Paths!$C$269=1),0,IF(Paths!$P$269="Complete",O2894+L2894,"n.a."))</f>
        <v>0</v>
      </c>
      <c r="Q2894" s="16">
        <f>IF(NOT(Paths!$C$269=1),0,IF(Paths!$P$269="Complete",N2894*(1+'Operating costs'!$B$54)^-C2894,"n.a."))</f>
        <v>0</v>
      </c>
      <c r="R2894" s="16">
        <f>IF(NOT(Paths!$C$269=1),0,IF(Paths!$P$269="Complete",IF(AND(C2894=0,Paths!$E$269=0),I2894-J2894-K2894+VLOOKUP(A2894,'Fleet register'!$A$7:$S$106,15,FALSE)+VLOOKUP(A2894,'Fleet register'!$A$7:$S$106,16,FALSE),0),"n.a."))</f>
        <v>0</v>
      </c>
      <c r="S2894" s="1">
        <f>IF(NOT(Paths!$C$269=1),0,IF(Paths!$P$269="Complete",IF(C2894=0,0,Paths!$S$269*Paths!$R$269),"n.a."))</f>
        <v>0</v>
      </c>
      <c r="T2894" s="1">
        <f>IF(NOT(Paths!$C$269=1),0,IF(Paths!$P$269="Complete",IF(C2894=0,0,VLOOKUP(A2894,'Fleet register'!$A$7:$S$106,9,FALSE)*Paths!$R$269),"n.a."))</f>
        <v>0</v>
      </c>
    </row>
    <row r="2895" spans="1:20" ht="24" customHeight="1">
      <c r="A2895" s="1" t="str">
        <f>Paths!$A$269</f>
        <v>T066</v>
      </c>
      <c r="B2895" s="1">
        <f>Paths!$B$269</f>
        <v>2</v>
      </c>
      <c r="C2895" s="1">
        <v>6</v>
      </c>
      <c r="D2895" s="1">
        <v>269</v>
      </c>
      <c r="E2895" s="1">
        <f>IF(OR(Paths!$C$269=0,C2895=0),0,MAX(0,MIN(C2895*12,Paths!$E$269)-(C2895-1)*12))</f>
        <v>0</v>
      </c>
      <c r="F2895" s="1">
        <f>IF(OR(Paths!$C$269=0,C2895=0),0,12-E2895)</f>
        <v>0</v>
      </c>
      <c r="G2895" s="16">
        <f>IF(NOT(Paths!$C$269=1),0,IF(Paths!$P$269="Complete",E2895/12*(Paths!$J$269*(1+'Operating costs'!$B$51)^MAX(0,C2895-1)+Paths!$K$269*(1+'Operating costs'!$B$53)^MAX(0,C2895-1)),"n.a."))</f>
        <v>0</v>
      </c>
      <c r="H2895" s="16">
        <f>IF(NOT(Paths!$C$269=1),0,IF(Paths!$P$269="Complete",F2895/12*(Paths!$L$269*(1+IF(Paths!$D$269="EV",'Operating costs'!$B$52,'Operating costs'!$B$51))^MAX(0,C2895-1)+Paths!$M$269*(1+'Operating costs'!$B$53)^MAX(0,C2895-1)),"n.a."))</f>
        <v>0</v>
      </c>
      <c r="I2895" s="16">
        <f>IF(NOT(Paths!$C$269=1),0,IF(Paths!$P$269="Complete",IF(IF(Paths!$E$269=0,C2895=0,AND(C2895&gt;0,Paths!$E$269&gt;(C2895-1)*12,Paths!$E$269&lt;=C2895*12)),Paths!$G$269,0),"n.a."))</f>
        <v>0</v>
      </c>
      <c r="J2895" s="16">
        <f>IF(NOT(Paths!$C$269=1),0,IF(Paths!$P$269="Complete",IF(IF(Paths!$E$269=0,C2895=0,AND(C2895&gt;0,Paths!$E$269&gt;(C2895-1)*12,Paths!$E$269&lt;=C2895*12)),Paths!$H$269,0),"n.a."))</f>
        <v>0</v>
      </c>
      <c r="K2895" s="16">
        <f>IF(NOT(Paths!$C$269=1),0,IF(Paths!$P$269="Complete",IF(IF(Paths!$O$269=0,C2895=0,AND(C2895&gt;0,Paths!$O$269&gt;(C2895-1)*12,Paths!$O$269&lt;=C2895*12)),Paths!$N$269,0),"n.a."))</f>
        <v>0</v>
      </c>
      <c r="L2895" s="16">
        <f>IF(NOT(Paths!$C$269=1),0,IF(Paths!$P$269="Complete",IF(C2895=10,Paths!$I$269,0),"n.a."))</f>
        <v>0</v>
      </c>
      <c r="M2895" s="16">
        <f>IF(NOT(Paths!$C$269=1),0,IF(Paths!$P$269="Complete",IF(AND(Paths!$D$269="EV",Paths!$E$269&lt;120,Paths!$E$269+'Operating costs'!$B$65&gt;Paths!$E$269,Paths!$E$269+'Operating costs'!$B$65&lt;=120,IF(Paths!$E$269+'Operating costs'!$B$65=0,C2895=0,AND(C2895&gt;0,Paths!$E$269+'Operating costs'!$B$65&gt;(C2895-1)*12,Paths!$E$269+'Operating costs'!$B$65&lt;=C2895*12))),'Operating costs'!$B$64,0)+IF(AND('Operating costs'!$B$67&gt;0,'Operating costs'!$B$67&lt;=120,OR(Paths!$D$269="ICE",'Operating costs'!$B$67&lt;=Paths!$E$269),IF('Operating costs'!$B$67=0,C2895=0,AND(C2895&gt;0,'Operating costs'!$B$67&gt;(C2895-1)*12,'Operating costs'!$B$67&lt;=C2895*12))),'Operating costs'!$B$66,0),"n.a."))</f>
        <v>0</v>
      </c>
      <c r="N2895" s="16">
        <f>IF(NOT(Paths!$C$269=1),0,IF(Paths!$P$269="Complete",SUM(G2895:I2895)-J2895-K2895-L2895+M2895+IF(C2895=0,Paths!$F$269,0)+IF(IF(Paths!$E$269=0,C2895=0,AND(C2895&gt;0,Paths!$E$269&gt;(C2895-1)*12,Paths!$E$269&lt;=C2895*12)),VLOOKUP(A2895,'Fleet register'!$A$7:$S$106,16,FALSE),0),"n.a."))</f>
        <v>0</v>
      </c>
      <c r="O2895" s="16">
        <f>IF(NOT(Paths!$C$269=1),0,IF(Paths!$P$269="Complete",N2895-IF(C2895=0,Paths!$F$269,0),"n.a."))</f>
        <v>0</v>
      </c>
      <c r="P2895" s="16">
        <f>IF(NOT(Paths!$C$269=1),0,IF(Paths!$P$269="Complete",O2895+L2895,"n.a."))</f>
        <v>0</v>
      </c>
      <c r="Q2895" s="16">
        <f>IF(NOT(Paths!$C$269=1),0,IF(Paths!$P$269="Complete",N2895*(1+'Operating costs'!$B$54)^-C2895,"n.a."))</f>
        <v>0</v>
      </c>
      <c r="R2895" s="16">
        <f>IF(NOT(Paths!$C$269=1),0,IF(Paths!$P$269="Complete",IF(AND(C2895=0,Paths!$E$269=0),I2895-J2895-K2895+VLOOKUP(A2895,'Fleet register'!$A$7:$S$106,15,FALSE)+VLOOKUP(A2895,'Fleet register'!$A$7:$S$106,16,FALSE),0),"n.a."))</f>
        <v>0</v>
      </c>
      <c r="S2895" s="1">
        <f>IF(NOT(Paths!$C$269=1),0,IF(Paths!$P$269="Complete",IF(C2895=0,0,Paths!$S$269*Paths!$R$269),"n.a."))</f>
        <v>0</v>
      </c>
      <c r="T2895" s="1">
        <f>IF(NOT(Paths!$C$269=1),0,IF(Paths!$P$269="Complete",IF(C2895=0,0,VLOOKUP(A2895,'Fleet register'!$A$7:$S$106,9,FALSE)*Paths!$R$269),"n.a."))</f>
        <v>0</v>
      </c>
    </row>
    <row r="2896" spans="1:20" ht="24" customHeight="1">
      <c r="A2896" s="1" t="str">
        <f>Paths!$A$269</f>
        <v>T066</v>
      </c>
      <c r="B2896" s="1">
        <f>Paths!$B$269</f>
        <v>2</v>
      </c>
      <c r="C2896" s="1">
        <v>7</v>
      </c>
      <c r="D2896" s="1">
        <v>269</v>
      </c>
      <c r="E2896" s="1">
        <f>IF(OR(Paths!$C$269=0,C2896=0),0,MAX(0,MIN(C2896*12,Paths!$E$269)-(C2896-1)*12))</f>
        <v>0</v>
      </c>
      <c r="F2896" s="1">
        <f>IF(OR(Paths!$C$269=0,C2896=0),0,12-E2896)</f>
        <v>0</v>
      </c>
      <c r="G2896" s="16">
        <f>IF(NOT(Paths!$C$269=1),0,IF(Paths!$P$269="Complete",E2896/12*(Paths!$J$269*(1+'Operating costs'!$B$51)^MAX(0,C2896-1)+Paths!$K$269*(1+'Operating costs'!$B$53)^MAX(0,C2896-1)),"n.a."))</f>
        <v>0</v>
      </c>
      <c r="H2896" s="16">
        <f>IF(NOT(Paths!$C$269=1),0,IF(Paths!$P$269="Complete",F2896/12*(Paths!$L$269*(1+IF(Paths!$D$269="EV",'Operating costs'!$B$52,'Operating costs'!$B$51))^MAX(0,C2896-1)+Paths!$M$269*(1+'Operating costs'!$B$53)^MAX(0,C2896-1)),"n.a."))</f>
        <v>0</v>
      </c>
      <c r="I2896" s="16">
        <f>IF(NOT(Paths!$C$269=1),0,IF(Paths!$P$269="Complete",IF(IF(Paths!$E$269=0,C2896=0,AND(C2896&gt;0,Paths!$E$269&gt;(C2896-1)*12,Paths!$E$269&lt;=C2896*12)),Paths!$G$269,0),"n.a."))</f>
        <v>0</v>
      </c>
      <c r="J2896" s="16">
        <f>IF(NOT(Paths!$C$269=1),0,IF(Paths!$P$269="Complete",IF(IF(Paths!$E$269=0,C2896=0,AND(C2896&gt;0,Paths!$E$269&gt;(C2896-1)*12,Paths!$E$269&lt;=C2896*12)),Paths!$H$269,0),"n.a."))</f>
        <v>0</v>
      </c>
      <c r="K2896" s="16">
        <f>IF(NOT(Paths!$C$269=1),0,IF(Paths!$P$269="Complete",IF(IF(Paths!$O$269=0,C2896=0,AND(C2896&gt;0,Paths!$O$269&gt;(C2896-1)*12,Paths!$O$269&lt;=C2896*12)),Paths!$N$269,0),"n.a."))</f>
        <v>0</v>
      </c>
      <c r="L2896" s="16">
        <f>IF(NOT(Paths!$C$269=1),0,IF(Paths!$P$269="Complete",IF(C2896=10,Paths!$I$269,0),"n.a."))</f>
        <v>0</v>
      </c>
      <c r="M2896" s="16">
        <f>IF(NOT(Paths!$C$269=1),0,IF(Paths!$P$269="Complete",IF(AND(Paths!$D$269="EV",Paths!$E$269&lt;120,Paths!$E$269+'Operating costs'!$B$65&gt;Paths!$E$269,Paths!$E$269+'Operating costs'!$B$65&lt;=120,IF(Paths!$E$269+'Operating costs'!$B$65=0,C2896=0,AND(C2896&gt;0,Paths!$E$269+'Operating costs'!$B$65&gt;(C2896-1)*12,Paths!$E$269+'Operating costs'!$B$65&lt;=C2896*12))),'Operating costs'!$B$64,0)+IF(AND('Operating costs'!$B$67&gt;0,'Operating costs'!$B$67&lt;=120,OR(Paths!$D$269="ICE",'Operating costs'!$B$67&lt;=Paths!$E$269),IF('Operating costs'!$B$67=0,C2896=0,AND(C2896&gt;0,'Operating costs'!$B$67&gt;(C2896-1)*12,'Operating costs'!$B$67&lt;=C2896*12))),'Operating costs'!$B$66,0),"n.a."))</f>
        <v>0</v>
      </c>
      <c r="N2896" s="16">
        <f>IF(NOT(Paths!$C$269=1),0,IF(Paths!$P$269="Complete",SUM(G2896:I2896)-J2896-K2896-L2896+M2896+IF(C2896=0,Paths!$F$269,0)+IF(IF(Paths!$E$269=0,C2896=0,AND(C2896&gt;0,Paths!$E$269&gt;(C2896-1)*12,Paths!$E$269&lt;=C2896*12)),VLOOKUP(A2896,'Fleet register'!$A$7:$S$106,16,FALSE),0),"n.a."))</f>
        <v>0</v>
      </c>
      <c r="O2896" s="16">
        <f>IF(NOT(Paths!$C$269=1),0,IF(Paths!$P$269="Complete",N2896-IF(C2896=0,Paths!$F$269,0),"n.a."))</f>
        <v>0</v>
      </c>
      <c r="P2896" s="16">
        <f>IF(NOT(Paths!$C$269=1),0,IF(Paths!$P$269="Complete",O2896+L2896,"n.a."))</f>
        <v>0</v>
      </c>
      <c r="Q2896" s="16">
        <f>IF(NOT(Paths!$C$269=1),0,IF(Paths!$P$269="Complete",N2896*(1+'Operating costs'!$B$54)^-C2896,"n.a."))</f>
        <v>0</v>
      </c>
      <c r="R2896" s="16">
        <f>IF(NOT(Paths!$C$269=1),0,IF(Paths!$P$269="Complete",IF(AND(C2896=0,Paths!$E$269=0),I2896-J2896-K2896+VLOOKUP(A2896,'Fleet register'!$A$7:$S$106,15,FALSE)+VLOOKUP(A2896,'Fleet register'!$A$7:$S$106,16,FALSE),0),"n.a."))</f>
        <v>0</v>
      </c>
      <c r="S2896" s="1">
        <f>IF(NOT(Paths!$C$269=1),0,IF(Paths!$P$269="Complete",IF(C2896=0,0,Paths!$S$269*Paths!$R$269),"n.a."))</f>
        <v>0</v>
      </c>
      <c r="T2896" s="1">
        <f>IF(NOT(Paths!$C$269=1),0,IF(Paths!$P$269="Complete",IF(C2896=0,0,VLOOKUP(A2896,'Fleet register'!$A$7:$S$106,9,FALSE)*Paths!$R$269),"n.a."))</f>
        <v>0</v>
      </c>
    </row>
    <row r="2897" spans="1:20" ht="24" customHeight="1">
      <c r="A2897" s="1" t="str">
        <f>Paths!$A$269</f>
        <v>T066</v>
      </c>
      <c r="B2897" s="1">
        <f>Paths!$B$269</f>
        <v>2</v>
      </c>
      <c r="C2897" s="1">
        <v>8</v>
      </c>
      <c r="D2897" s="1">
        <v>269</v>
      </c>
      <c r="E2897" s="1">
        <f>IF(OR(Paths!$C$269=0,C2897=0),0,MAX(0,MIN(C2897*12,Paths!$E$269)-(C2897-1)*12))</f>
        <v>0</v>
      </c>
      <c r="F2897" s="1">
        <f>IF(OR(Paths!$C$269=0,C2897=0),0,12-E2897)</f>
        <v>0</v>
      </c>
      <c r="G2897" s="16">
        <f>IF(NOT(Paths!$C$269=1),0,IF(Paths!$P$269="Complete",E2897/12*(Paths!$J$269*(1+'Operating costs'!$B$51)^MAX(0,C2897-1)+Paths!$K$269*(1+'Operating costs'!$B$53)^MAX(0,C2897-1)),"n.a."))</f>
        <v>0</v>
      </c>
      <c r="H2897" s="16">
        <f>IF(NOT(Paths!$C$269=1),0,IF(Paths!$P$269="Complete",F2897/12*(Paths!$L$269*(1+IF(Paths!$D$269="EV",'Operating costs'!$B$52,'Operating costs'!$B$51))^MAX(0,C2897-1)+Paths!$M$269*(1+'Operating costs'!$B$53)^MAX(0,C2897-1)),"n.a."))</f>
        <v>0</v>
      </c>
      <c r="I2897" s="16">
        <f>IF(NOT(Paths!$C$269=1),0,IF(Paths!$P$269="Complete",IF(IF(Paths!$E$269=0,C2897=0,AND(C2897&gt;0,Paths!$E$269&gt;(C2897-1)*12,Paths!$E$269&lt;=C2897*12)),Paths!$G$269,0),"n.a."))</f>
        <v>0</v>
      </c>
      <c r="J2897" s="16">
        <f>IF(NOT(Paths!$C$269=1),0,IF(Paths!$P$269="Complete",IF(IF(Paths!$E$269=0,C2897=0,AND(C2897&gt;0,Paths!$E$269&gt;(C2897-1)*12,Paths!$E$269&lt;=C2897*12)),Paths!$H$269,0),"n.a."))</f>
        <v>0</v>
      </c>
      <c r="K2897" s="16">
        <f>IF(NOT(Paths!$C$269=1),0,IF(Paths!$P$269="Complete",IF(IF(Paths!$O$269=0,C2897=0,AND(C2897&gt;0,Paths!$O$269&gt;(C2897-1)*12,Paths!$O$269&lt;=C2897*12)),Paths!$N$269,0),"n.a."))</f>
        <v>0</v>
      </c>
      <c r="L2897" s="16">
        <f>IF(NOT(Paths!$C$269=1),0,IF(Paths!$P$269="Complete",IF(C2897=10,Paths!$I$269,0),"n.a."))</f>
        <v>0</v>
      </c>
      <c r="M2897" s="16">
        <f>IF(NOT(Paths!$C$269=1),0,IF(Paths!$P$269="Complete",IF(AND(Paths!$D$269="EV",Paths!$E$269&lt;120,Paths!$E$269+'Operating costs'!$B$65&gt;Paths!$E$269,Paths!$E$269+'Operating costs'!$B$65&lt;=120,IF(Paths!$E$269+'Operating costs'!$B$65=0,C2897=0,AND(C2897&gt;0,Paths!$E$269+'Operating costs'!$B$65&gt;(C2897-1)*12,Paths!$E$269+'Operating costs'!$B$65&lt;=C2897*12))),'Operating costs'!$B$64,0)+IF(AND('Operating costs'!$B$67&gt;0,'Operating costs'!$B$67&lt;=120,OR(Paths!$D$269="ICE",'Operating costs'!$B$67&lt;=Paths!$E$269),IF('Operating costs'!$B$67=0,C2897=0,AND(C2897&gt;0,'Operating costs'!$B$67&gt;(C2897-1)*12,'Operating costs'!$B$67&lt;=C2897*12))),'Operating costs'!$B$66,0),"n.a."))</f>
        <v>0</v>
      </c>
      <c r="N2897" s="16">
        <f>IF(NOT(Paths!$C$269=1),0,IF(Paths!$P$269="Complete",SUM(G2897:I2897)-J2897-K2897-L2897+M2897+IF(C2897=0,Paths!$F$269,0)+IF(IF(Paths!$E$269=0,C2897=0,AND(C2897&gt;0,Paths!$E$269&gt;(C2897-1)*12,Paths!$E$269&lt;=C2897*12)),VLOOKUP(A2897,'Fleet register'!$A$7:$S$106,16,FALSE),0),"n.a."))</f>
        <v>0</v>
      </c>
      <c r="O2897" s="16">
        <f>IF(NOT(Paths!$C$269=1),0,IF(Paths!$P$269="Complete",N2897-IF(C2897=0,Paths!$F$269,0),"n.a."))</f>
        <v>0</v>
      </c>
      <c r="P2897" s="16">
        <f>IF(NOT(Paths!$C$269=1),0,IF(Paths!$P$269="Complete",O2897+L2897,"n.a."))</f>
        <v>0</v>
      </c>
      <c r="Q2897" s="16">
        <f>IF(NOT(Paths!$C$269=1),0,IF(Paths!$P$269="Complete",N2897*(1+'Operating costs'!$B$54)^-C2897,"n.a."))</f>
        <v>0</v>
      </c>
      <c r="R2897" s="16">
        <f>IF(NOT(Paths!$C$269=1),0,IF(Paths!$P$269="Complete",IF(AND(C2897=0,Paths!$E$269=0),I2897-J2897-K2897+VLOOKUP(A2897,'Fleet register'!$A$7:$S$106,15,FALSE)+VLOOKUP(A2897,'Fleet register'!$A$7:$S$106,16,FALSE),0),"n.a."))</f>
        <v>0</v>
      </c>
      <c r="S2897" s="1">
        <f>IF(NOT(Paths!$C$269=1),0,IF(Paths!$P$269="Complete",IF(C2897=0,0,Paths!$S$269*Paths!$R$269),"n.a."))</f>
        <v>0</v>
      </c>
      <c r="T2897" s="1">
        <f>IF(NOT(Paths!$C$269=1),0,IF(Paths!$P$269="Complete",IF(C2897=0,0,VLOOKUP(A2897,'Fleet register'!$A$7:$S$106,9,FALSE)*Paths!$R$269),"n.a."))</f>
        <v>0</v>
      </c>
    </row>
    <row r="2898" spans="1:20" ht="24" customHeight="1">
      <c r="A2898" s="1" t="str">
        <f>Paths!$A$269</f>
        <v>T066</v>
      </c>
      <c r="B2898" s="1">
        <f>Paths!$B$269</f>
        <v>2</v>
      </c>
      <c r="C2898" s="1">
        <v>9</v>
      </c>
      <c r="D2898" s="1">
        <v>269</v>
      </c>
      <c r="E2898" s="1">
        <f>IF(OR(Paths!$C$269=0,C2898=0),0,MAX(0,MIN(C2898*12,Paths!$E$269)-(C2898-1)*12))</f>
        <v>0</v>
      </c>
      <c r="F2898" s="1">
        <f>IF(OR(Paths!$C$269=0,C2898=0),0,12-E2898)</f>
        <v>0</v>
      </c>
      <c r="G2898" s="16">
        <f>IF(NOT(Paths!$C$269=1),0,IF(Paths!$P$269="Complete",E2898/12*(Paths!$J$269*(1+'Operating costs'!$B$51)^MAX(0,C2898-1)+Paths!$K$269*(1+'Operating costs'!$B$53)^MAX(0,C2898-1)),"n.a."))</f>
        <v>0</v>
      </c>
      <c r="H2898" s="16">
        <f>IF(NOT(Paths!$C$269=1),0,IF(Paths!$P$269="Complete",F2898/12*(Paths!$L$269*(1+IF(Paths!$D$269="EV",'Operating costs'!$B$52,'Operating costs'!$B$51))^MAX(0,C2898-1)+Paths!$M$269*(1+'Operating costs'!$B$53)^MAX(0,C2898-1)),"n.a."))</f>
        <v>0</v>
      </c>
      <c r="I2898" s="16">
        <f>IF(NOT(Paths!$C$269=1),0,IF(Paths!$P$269="Complete",IF(IF(Paths!$E$269=0,C2898=0,AND(C2898&gt;0,Paths!$E$269&gt;(C2898-1)*12,Paths!$E$269&lt;=C2898*12)),Paths!$G$269,0),"n.a."))</f>
        <v>0</v>
      </c>
      <c r="J2898" s="16">
        <f>IF(NOT(Paths!$C$269=1),0,IF(Paths!$P$269="Complete",IF(IF(Paths!$E$269=0,C2898=0,AND(C2898&gt;0,Paths!$E$269&gt;(C2898-1)*12,Paths!$E$269&lt;=C2898*12)),Paths!$H$269,0),"n.a."))</f>
        <v>0</v>
      </c>
      <c r="K2898" s="16">
        <f>IF(NOT(Paths!$C$269=1),0,IF(Paths!$P$269="Complete",IF(IF(Paths!$O$269=0,C2898=0,AND(C2898&gt;0,Paths!$O$269&gt;(C2898-1)*12,Paths!$O$269&lt;=C2898*12)),Paths!$N$269,0),"n.a."))</f>
        <v>0</v>
      </c>
      <c r="L2898" s="16">
        <f>IF(NOT(Paths!$C$269=1),0,IF(Paths!$P$269="Complete",IF(C2898=10,Paths!$I$269,0),"n.a."))</f>
        <v>0</v>
      </c>
      <c r="M2898" s="16">
        <f>IF(NOT(Paths!$C$269=1),0,IF(Paths!$P$269="Complete",IF(AND(Paths!$D$269="EV",Paths!$E$269&lt;120,Paths!$E$269+'Operating costs'!$B$65&gt;Paths!$E$269,Paths!$E$269+'Operating costs'!$B$65&lt;=120,IF(Paths!$E$269+'Operating costs'!$B$65=0,C2898=0,AND(C2898&gt;0,Paths!$E$269+'Operating costs'!$B$65&gt;(C2898-1)*12,Paths!$E$269+'Operating costs'!$B$65&lt;=C2898*12))),'Operating costs'!$B$64,0)+IF(AND('Operating costs'!$B$67&gt;0,'Operating costs'!$B$67&lt;=120,OR(Paths!$D$269="ICE",'Operating costs'!$B$67&lt;=Paths!$E$269),IF('Operating costs'!$B$67=0,C2898=0,AND(C2898&gt;0,'Operating costs'!$B$67&gt;(C2898-1)*12,'Operating costs'!$B$67&lt;=C2898*12))),'Operating costs'!$B$66,0),"n.a."))</f>
        <v>0</v>
      </c>
      <c r="N2898" s="16">
        <f>IF(NOT(Paths!$C$269=1),0,IF(Paths!$P$269="Complete",SUM(G2898:I2898)-J2898-K2898-L2898+M2898+IF(C2898=0,Paths!$F$269,0)+IF(IF(Paths!$E$269=0,C2898=0,AND(C2898&gt;0,Paths!$E$269&gt;(C2898-1)*12,Paths!$E$269&lt;=C2898*12)),VLOOKUP(A2898,'Fleet register'!$A$7:$S$106,16,FALSE),0),"n.a."))</f>
        <v>0</v>
      </c>
      <c r="O2898" s="16">
        <f>IF(NOT(Paths!$C$269=1),0,IF(Paths!$P$269="Complete",N2898-IF(C2898=0,Paths!$F$269,0),"n.a."))</f>
        <v>0</v>
      </c>
      <c r="P2898" s="16">
        <f>IF(NOT(Paths!$C$269=1),0,IF(Paths!$P$269="Complete",O2898+L2898,"n.a."))</f>
        <v>0</v>
      </c>
      <c r="Q2898" s="16">
        <f>IF(NOT(Paths!$C$269=1),0,IF(Paths!$P$269="Complete",N2898*(1+'Operating costs'!$B$54)^-C2898,"n.a."))</f>
        <v>0</v>
      </c>
      <c r="R2898" s="16">
        <f>IF(NOT(Paths!$C$269=1),0,IF(Paths!$P$269="Complete",IF(AND(C2898=0,Paths!$E$269=0),I2898-J2898-K2898+VLOOKUP(A2898,'Fleet register'!$A$7:$S$106,15,FALSE)+VLOOKUP(A2898,'Fleet register'!$A$7:$S$106,16,FALSE),0),"n.a."))</f>
        <v>0</v>
      </c>
      <c r="S2898" s="1">
        <f>IF(NOT(Paths!$C$269=1),0,IF(Paths!$P$269="Complete",IF(C2898=0,0,Paths!$S$269*Paths!$R$269),"n.a."))</f>
        <v>0</v>
      </c>
      <c r="T2898" s="1">
        <f>IF(NOT(Paths!$C$269=1),0,IF(Paths!$P$269="Complete",IF(C2898=0,0,VLOOKUP(A2898,'Fleet register'!$A$7:$S$106,9,FALSE)*Paths!$R$269),"n.a."))</f>
        <v>0</v>
      </c>
    </row>
    <row r="2899" spans="1:20" ht="24" customHeight="1">
      <c r="A2899" s="1" t="str">
        <f>Paths!$A$269</f>
        <v>T066</v>
      </c>
      <c r="B2899" s="1">
        <f>Paths!$B$269</f>
        <v>2</v>
      </c>
      <c r="C2899" s="1">
        <v>10</v>
      </c>
      <c r="D2899" s="1">
        <v>269</v>
      </c>
      <c r="E2899" s="1">
        <f>IF(OR(Paths!$C$269=0,C2899=0),0,MAX(0,MIN(C2899*12,Paths!$E$269)-(C2899-1)*12))</f>
        <v>0</v>
      </c>
      <c r="F2899" s="1">
        <f>IF(OR(Paths!$C$269=0,C2899=0),0,12-E2899)</f>
        <v>0</v>
      </c>
      <c r="G2899" s="16">
        <f>IF(NOT(Paths!$C$269=1),0,IF(Paths!$P$269="Complete",E2899/12*(Paths!$J$269*(1+'Operating costs'!$B$51)^MAX(0,C2899-1)+Paths!$K$269*(1+'Operating costs'!$B$53)^MAX(0,C2899-1)),"n.a."))</f>
        <v>0</v>
      </c>
      <c r="H2899" s="16">
        <f>IF(NOT(Paths!$C$269=1),0,IF(Paths!$P$269="Complete",F2899/12*(Paths!$L$269*(1+IF(Paths!$D$269="EV",'Operating costs'!$B$52,'Operating costs'!$B$51))^MAX(0,C2899-1)+Paths!$M$269*(1+'Operating costs'!$B$53)^MAX(0,C2899-1)),"n.a."))</f>
        <v>0</v>
      </c>
      <c r="I2899" s="16">
        <f>IF(NOT(Paths!$C$269=1),0,IF(Paths!$P$269="Complete",IF(IF(Paths!$E$269=0,C2899=0,AND(C2899&gt;0,Paths!$E$269&gt;(C2899-1)*12,Paths!$E$269&lt;=C2899*12)),Paths!$G$269,0),"n.a."))</f>
        <v>0</v>
      </c>
      <c r="J2899" s="16">
        <f>IF(NOT(Paths!$C$269=1),0,IF(Paths!$P$269="Complete",IF(IF(Paths!$E$269=0,C2899=0,AND(C2899&gt;0,Paths!$E$269&gt;(C2899-1)*12,Paths!$E$269&lt;=C2899*12)),Paths!$H$269,0),"n.a."))</f>
        <v>0</v>
      </c>
      <c r="K2899" s="16">
        <f>IF(NOT(Paths!$C$269=1),0,IF(Paths!$P$269="Complete",IF(IF(Paths!$O$269=0,C2899=0,AND(C2899&gt;0,Paths!$O$269&gt;(C2899-1)*12,Paths!$O$269&lt;=C2899*12)),Paths!$N$269,0),"n.a."))</f>
        <v>0</v>
      </c>
      <c r="L2899" s="16">
        <f>IF(NOT(Paths!$C$269=1),0,IF(Paths!$P$269="Complete",IF(C2899=10,Paths!$I$269,0),"n.a."))</f>
        <v>0</v>
      </c>
      <c r="M2899" s="16">
        <f>IF(NOT(Paths!$C$269=1),0,IF(Paths!$P$269="Complete",IF(AND(Paths!$D$269="EV",Paths!$E$269&lt;120,Paths!$E$269+'Operating costs'!$B$65&gt;Paths!$E$269,Paths!$E$269+'Operating costs'!$B$65&lt;=120,IF(Paths!$E$269+'Operating costs'!$B$65=0,C2899=0,AND(C2899&gt;0,Paths!$E$269+'Operating costs'!$B$65&gt;(C2899-1)*12,Paths!$E$269+'Operating costs'!$B$65&lt;=C2899*12))),'Operating costs'!$B$64,0)+IF(AND('Operating costs'!$B$67&gt;0,'Operating costs'!$B$67&lt;=120,OR(Paths!$D$269="ICE",'Operating costs'!$B$67&lt;=Paths!$E$269),IF('Operating costs'!$B$67=0,C2899=0,AND(C2899&gt;0,'Operating costs'!$B$67&gt;(C2899-1)*12,'Operating costs'!$B$67&lt;=C2899*12))),'Operating costs'!$B$66,0),"n.a."))</f>
        <v>0</v>
      </c>
      <c r="N2899" s="16">
        <f>IF(NOT(Paths!$C$269=1),0,IF(Paths!$P$269="Complete",SUM(G2899:I2899)-J2899-K2899-L2899+M2899+IF(C2899=0,Paths!$F$269,0)+IF(IF(Paths!$E$269=0,C2899=0,AND(C2899&gt;0,Paths!$E$269&gt;(C2899-1)*12,Paths!$E$269&lt;=C2899*12)),VLOOKUP(A2899,'Fleet register'!$A$7:$S$106,16,FALSE),0),"n.a."))</f>
        <v>0</v>
      </c>
      <c r="O2899" s="16">
        <f>IF(NOT(Paths!$C$269=1),0,IF(Paths!$P$269="Complete",N2899-IF(C2899=0,Paths!$F$269,0),"n.a."))</f>
        <v>0</v>
      </c>
      <c r="P2899" s="16">
        <f>IF(NOT(Paths!$C$269=1),0,IF(Paths!$P$269="Complete",O2899+L2899,"n.a."))</f>
        <v>0</v>
      </c>
      <c r="Q2899" s="16">
        <f>IF(NOT(Paths!$C$269=1),0,IF(Paths!$P$269="Complete",N2899*(1+'Operating costs'!$B$54)^-C2899,"n.a."))</f>
        <v>0</v>
      </c>
      <c r="R2899" s="16">
        <f>IF(NOT(Paths!$C$269=1),0,IF(Paths!$P$269="Complete",IF(AND(C2899=0,Paths!$E$269=0),I2899-J2899-K2899+VLOOKUP(A2899,'Fleet register'!$A$7:$S$106,15,FALSE)+VLOOKUP(A2899,'Fleet register'!$A$7:$S$106,16,FALSE),0),"n.a."))</f>
        <v>0</v>
      </c>
      <c r="S2899" s="1">
        <f>IF(NOT(Paths!$C$269=1),0,IF(Paths!$P$269="Complete",IF(C2899=0,0,Paths!$S$269*Paths!$R$269),"n.a."))</f>
        <v>0</v>
      </c>
      <c r="T2899" s="1">
        <f>IF(NOT(Paths!$C$269=1),0,IF(Paths!$P$269="Complete",IF(C2899=0,0,VLOOKUP(A2899,'Fleet register'!$A$7:$S$106,9,FALSE)*Paths!$R$269),"n.a."))</f>
        <v>0</v>
      </c>
    </row>
    <row r="2900" spans="1:20" ht="24" customHeight="1">
      <c r="A2900" s="1" t="str">
        <f>Paths!$A$270</f>
        <v>T066</v>
      </c>
      <c r="B2900" s="1">
        <f>Paths!$B$270</f>
        <v>3</v>
      </c>
      <c r="C2900" s="1">
        <v>0</v>
      </c>
      <c r="D2900" s="1">
        <v>270</v>
      </c>
      <c r="E2900" s="1">
        <f>IF(OR(Paths!$C$270=0,C2900=0),0,MAX(0,MIN(C2900*12,Paths!$E$270)-(C2900-1)*12))</f>
        <v>0</v>
      </c>
      <c r="F2900" s="1">
        <f>IF(OR(Paths!$C$270=0,C2900=0),0,12-E2900)</f>
        <v>0</v>
      </c>
      <c r="G2900" s="16">
        <f>IF(NOT(Paths!$C$270=1),0,IF(Paths!$P$270="Complete",E2900/12*(Paths!$J$270*(1+'Operating costs'!$B$51)^MAX(0,C2900-1)+Paths!$K$270*(1+'Operating costs'!$B$53)^MAX(0,C2900-1)),"n.a."))</f>
        <v>0</v>
      </c>
      <c r="H2900" s="16">
        <f>IF(NOT(Paths!$C$270=1),0,IF(Paths!$P$270="Complete",F2900/12*(Paths!$L$270*(1+IF(Paths!$D$270="EV",'Operating costs'!$B$52,'Operating costs'!$B$51))^MAX(0,C2900-1)+Paths!$M$270*(1+'Operating costs'!$B$53)^MAX(0,C2900-1)),"n.a."))</f>
        <v>0</v>
      </c>
      <c r="I2900" s="16">
        <f>IF(NOT(Paths!$C$270=1),0,IF(Paths!$P$270="Complete",IF(IF(Paths!$E$270=0,C2900=0,AND(C2900&gt;0,Paths!$E$270&gt;(C2900-1)*12,Paths!$E$270&lt;=C2900*12)),Paths!$G$270,0),"n.a."))</f>
        <v>0</v>
      </c>
      <c r="J2900" s="16">
        <f>IF(NOT(Paths!$C$270=1),0,IF(Paths!$P$270="Complete",IF(IF(Paths!$E$270=0,C2900=0,AND(C2900&gt;0,Paths!$E$270&gt;(C2900-1)*12,Paths!$E$270&lt;=C2900*12)),Paths!$H$270,0),"n.a."))</f>
        <v>0</v>
      </c>
      <c r="K2900" s="16">
        <f>IF(NOT(Paths!$C$270=1),0,IF(Paths!$P$270="Complete",IF(IF(Paths!$O$270=0,C2900=0,AND(C2900&gt;0,Paths!$O$270&gt;(C2900-1)*12,Paths!$O$270&lt;=C2900*12)),Paths!$N$270,0),"n.a."))</f>
        <v>0</v>
      </c>
      <c r="L2900" s="16">
        <f>IF(NOT(Paths!$C$270=1),0,IF(Paths!$P$270="Complete",IF(C2900=10,Paths!$I$270,0),"n.a."))</f>
        <v>0</v>
      </c>
      <c r="M2900" s="16">
        <f>IF(NOT(Paths!$C$270=1),0,IF(Paths!$P$270="Complete",IF(AND(Paths!$D$270="EV",Paths!$E$270&lt;120,Paths!$E$270+'Operating costs'!$B$65&gt;Paths!$E$270,Paths!$E$270+'Operating costs'!$B$65&lt;=120,IF(Paths!$E$270+'Operating costs'!$B$65=0,C2900=0,AND(C2900&gt;0,Paths!$E$270+'Operating costs'!$B$65&gt;(C2900-1)*12,Paths!$E$270+'Operating costs'!$B$65&lt;=C2900*12))),'Operating costs'!$B$64,0)+IF(AND('Operating costs'!$B$67&gt;0,'Operating costs'!$B$67&lt;=120,OR(Paths!$D$270="ICE",'Operating costs'!$B$67&lt;=Paths!$E$270),IF('Operating costs'!$B$67=0,C2900=0,AND(C2900&gt;0,'Operating costs'!$B$67&gt;(C2900-1)*12,'Operating costs'!$B$67&lt;=C2900*12))),'Operating costs'!$B$66,0),"n.a."))</f>
        <v>0</v>
      </c>
      <c r="N2900" s="16">
        <f>IF(NOT(Paths!$C$270=1),0,IF(Paths!$P$270="Complete",SUM(G2900:I2900)-J2900-K2900-L2900+M2900+IF(C2900=0,Paths!$F$270,0)+IF(IF(Paths!$E$270=0,C2900=0,AND(C2900&gt;0,Paths!$E$270&gt;(C2900-1)*12,Paths!$E$270&lt;=C2900*12)),VLOOKUP(A2900,'Fleet register'!$A$7:$S$106,16,FALSE),0),"n.a."))</f>
        <v>0</v>
      </c>
      <c r="O2900" s="16">
        <f>IF(NOT(Paths!$C$270=1),0,IF(Paths!$P$270="Complete",N2900-IF(C2900=0,Paths!$F$270,0),"n.a."))</f>
        <v>0</v>
      </c>
      <c r="P2900" s="16">
        <f>IF(NOT(Paths!$C$270=1),0,IF(Paths!$P$270="Complete",O2900+L2900,"n.a."))</f>
        <v>0</v>
      </c>
      <c r="Q2900" s="16">
        <f>IF(NOT(Paths!$C$270=1),0,IF(Paths!$P$270="Complete",N2900*(1+'Operating costs'!$B$54)^-C2900,"n.a."))</f>
        <v>0</v>
      </c>
      <c r="R2900" s="16">
        <f>IF(NOT(Paths!$C$270=1),0,IF(Paths!$P$270="Complete",IF(AND(C2900=0,Paths!$E$270=0),I2900-J2900-K2900+VLOOKUP(A2900,'Fleet register'!$A$7:$S$106,15,FALSE)+VLOOKUP(A2900,'Fleet register'!$A$7:$S$106,16,FALSE),0),"n.a."))</f>
        <v>0</v>
      </c>
      <c r="S2900" s="1">
        <f>IF(NOT(Paths!$C$270=1),0,IF(Paths!$P$270="Complete",IF(C2900=0,0,Paths!$S$270*Paths!$R$270),"n.a."))</f>
        <v>0</v>
      </c>
      <c r="T2900" s="1">
        <f>IF(NOT(Paths!$C$270=1),0,IF(Paths!$P$270="Complete",IF(C2900=0,0,VLOOKUP(A2900,'Fleet register'!$A$7:$S$106,9,FALSE)*Paths!$R$270),"n.a."))</f>
        <v>0</v>
      </c>
    </row>
    <row r="2901" spans="1:20" ht="24" customHeight="1">
      <c r="A2901" s="1" t="str">
        <f>Paths!$A$270</f>
        <v>T066</v>
      </c>
      <c r="B2901" s="1">
        <f>Paths!$B$270</f>
        <v>3</v>
      </c>
      <c r="C2901" s="1">
        <v>1</v>
      </c>
      <c r="D2901" s="1">
        <v>270</v>
      </c>
      <c r="E2901" s="1">
        <f>IF(OR(Paths!$C$270=0,C2901=0),0,MAX(0,MIN(C2901*12,Paths!$E$270)-(C2901-1)*12))</f>
        <v>0</v>
      </c>
      <c r="F2901" s="1">
        <f>IF(OR(Paths!$C$270=0,C2901=0),0,12-E2901)</f>
        <v>0</v>
      </c>
      <c r="G2901" s="16">
        <f>IF(NOT(Paths!$C$270=1),0,IF(Paths!$P$270="Complete",E2901/12*(Paths!$J$270*(1+'Operating costs'!$B$51)^MAX(0,C2901-1)+Paths!$K$270*(1+'Operating costs'!$B$53)^MAX(0,C2901-1)),"n.a."))</f>
        <v>0</v>
      </c>
      <c r="H2901" s="16">
        <f>IF(NOT(Paths!$C$270=1),0,IF(Paths!$P$270="Complete",F2901/12*(Paths!$L$270*(1+IF(Paths!$D$270="EV",'Operating costs'!$B$52,'Operating costs'!$B$51))^MAX(0,C2901-1)+Paths!$M$270*(1+'Operating costs'!$B$53)^MAX(0,C2901-1)),"n.a."))</f>
        <v>0</v>
      </c>
      <c r="I2901" s="16">
        <f>IF(NOT(Paths!$C$270=1),0,IF(Paths!$P$270="Complete",IF(IF(Paths!$E$270=0,C2901=0,AND(C2901&gt;0,Paths!$E$270&gt;(C2901-1)*12,Paths!$E$270&lt;=C2901*12)),Paths!$G$270,0),"n.a."))</f>
        <v>0</v>
      </c>
      <c r="J2901" s="16">
        <f>IF(NOT(Paths!$C$270=1),0,IF(Paths!$P$270="Complete",IF(IF(Paths!$E$270=0,C2901=0,AND(C2901&gt;0,Paths!$E$270&gt;(C2901-1)*12,Paths!$E$270&lt;=C2901*12)),Paths!$H$270,0),"n.a."))</f>
        <v>0</v>
      </c>
      <c r="K2901" s="16">
        <f>IF(NOT(Paths!$C$270=1),0,IF(Paths!$P$270="Complete",IF(IF(Paths!$O$270=0,C2901=0,AND(C2901&gt;0,Paths!$O$270&gt;(C2901-1)*12,Paths!$O$270&lt;=C2901*12)),Paths!$N$270,0),"n.a."))</f>
        <v>0</v>
      </c>
      <c r="L2901" s="16">
        <f>IF(NOT(Paths!$C$270=1),0,IF(Paths!$P$270="Complete",IF(C2901=10,Paths!$I$270,0),"n.a."))</f>
        <v>0</v>
      </c>
      <c r="M2901" s="16">
        <f>IF(NOT(Paths!$C$270=1),0,IF(Paths!$P$270="Complete",IF(AND(Paths!$D$270="EV",Paths!$E$270&lt;120,Paths!$E$270+'Operating costs'!$B$65&gt;Paths!$E$270,Paths!$E$270+'Operating costs'!$B$65&lt;=120,IF(Paths!$E$270+'Operating costs'!$B$65=0,C2901=0,AND(C2901&gt;0,Paths!$E$270+'Operating costs'!$B$65&gt;(C2901-1)*12,Paths!$E$270+'Operating costs'!$B$65&lt;=C2901*12))),'Operating costs'!$B$64,0)+IF(AND('Operating costs'!$B$67&gt;0,'Operating costs'!$B$67&lt;=120,OR(Paths!$D$270="ICE",'Operating costs'!$B$67&lt;=Paths!$E$270),IF('Operating costs'!$B$67=0,C2901=0,AND(C2901&gt;0,'Operating costs'!$B$67&gt;(C2901-1)*12,'Operating costs'!$B$67&lt;=C2901*12))),'Operating costs'!$B$66,0),"n.a."))</f>
        <v>0</v>
      </c>
      <c r="N2901" s="16">
        <f>IF(NOT(Paths!$C$270=1),0,IF(Paths!$P$270="Complete",SUM(G2901:I2901)-J2901-K2901-L2901+M2901+IF(C2901=0,Paths!$F$270,0)+IF(IF(Paths!$E$270=0,C2901=0,AND(C2901&gt;0,Paths!$E$270&gt;(C2901-1)*12,Paths!$E$270&lt;=C2901*12)),VLOOKUP(A2901,'Fleet register'!$A$7:$S$106,16,FALSE),0),"n.a."))</f>
        <v>0</v>
      </c>
      <c r="O2901" s="16">
        <f>IF(NOT(Paths!$C$270=1),0,IF(Paths!$P$270="Complete",N2901-IF(C2901=0,Paths!$F$270,0),"n.a."))</f>
        <v>0</v>
      </c>
      <c r="P2901" s="16">
        <f>IF(NOT(Paths!$C$270=1),0,IF(Paths!$P$270="Complete",O2901+L2901,"n.a."))</f>
        <v>0</v>
      </c>
      <c r="Q2901" s="16">
        <f>IF(NOT(Paths!$C$270=1),0,IF(Paths!$P$270="Complete",N2901*(1+'Operating costs'!$B$54)^-C2901,"n.a."))</f>
        <v>0</v>
      </c>
      <c r="R2901" s="16">
        <f>IF(NOT(Paths!$C$270=1),0,IF(Paths!$P$270="Complete",IF(AND(C2901=0,Paths!$E$270=0),I2901-J2901-K2901+VLOOKUP(A2901,'Fleet register'!$A$7:$S$106,15,FALSE)+VLOOKUP(A2901,'Fleet register'!$A$7:$S$106,16,FALSE),0),"n.a."))</f>
        <v>0</v>
      </c>
      <c r="S2901" s="1">
        <f>IF(NOT(Paths!$C$270=1),0,IF(Paths!$P$270="Complete",IF(C2901=0,0,Paths!$S$270*Paths!$R$270),"n.a."))</f>
        <v>0</v>
      </c>
      <c r="T2901" s="1">
        <f>IF(NOT(Paths!$C$270=1),0,IF(Paths!$P$270="Complete",IF(C2901=0,0,VLOOKUP(A2901,'Fleet register'!$A$7:$S$106,9,FALSE)*Paths!$R$270),"n.a."))</f>
        <v>0</v>
      </c>
    </row>
    <row r="2902" spans="1:20" ht="24" customHeight="1">
      <c r="A2902" s="1" t="str">
        <f>Paths!$A$270</f>
        <v>T066</v>
      </c>
      <c r="B2902" s="1">
        <f>Paths!$B$270</f>
        <v>3</v>
      </c>
      <c r="C2902" s="1">
        <v>2</v>
      </c>
      <c r="D2902" s="1">
        <v>270</v>
      </c>
      <c r="E2902" s="1">
        <f>IF(OR(Paths!$C$270=0,C2902=0),0,MAX(0,MIN(C2902*12,Paths!$E$270)-(C2902-1)*12))</f>
        <v>0</v>
      </c>
      <c r="F2902" s="1">
        <f>IF(OR(Paths!$C$270=0,C2902=0),0,12-E2902)</f>
        <v>0</v>
      </c>
      <c r="G2902" s="16">
        <f>IF(NOT(Paths!$C$270=1),0,IF(Paths!$P$270="Complete",E2902/12*(Paths!$J$270*(1+'Operating costs'!$B$51)^MAX(0,C2902-1)+Paths!$K$270*(1+'Operating costs'!$B$53)^MAX(0,C2902-1)),"n.a."))</f>
        <v>0</v>
      </c>
      <c r="H2902" s="16">
        <f>IF(NOT(Paths!$C$270=1),0,IF(Paths!$P$270="Complete",F2902/12*(Paths!$L$270*(1+IF(Paths!$D$270="EV",'Operating costs'!$B$52,'Operating costs'!$B$51))^MAX(0,C2902-1)+Paths!$M$270*(1+'Operating costs'!$B$53)^MAX(0,C2902-1)),"n.a."))</f>
        <v>0</v>
      </c>
      <c r="I2902" s="16">
        <f>IF(NOT(Paths!$C$270=1),0,IF(Paths!$P$270="Complete",IF(IF(Paths!$E$270=0,C2902=0,AND(C2902&gt;0,Paths!$E$270&gt;(C2902-1)*12,Paths!$E$270&lt;=C2902*12)),Paths!$G$270,0),"n.a."))</f>
        <v>0</v>
      </c>
      <c r="J2902" s="16">
        <f>IF(NOT(Paths!$C$270=1),0,IF(Paths!$P$270="Complete",IF(IF(Paths!$E$270=0,C2902=0,AND(C2902&gt;0,Paths!$E$270&gt;(C2902-1)*12,Paths!$E$270&lt;=C2902*12)),Paths!$H$270,0),"n.a."))</f>
        <v>0</v>
      </c>
      <c r="K2902" s="16">
        <f>IF(NOT(Paths!$C$270=1),0,IF(Paths!$P$270="Complete",IF(IF(Paths!$O$270=0,C2902=0,AND(C2902&gt;0,Paths!$O$270&gt;(C2902-1)*12,Paths!$O$270&lt;=C2902*12)),Paths!$N$270,0),"n.a."))</f>
        <v>0</v>
      </c>
      <c r="L2902" s="16">
        <f>IF(NOT(Paths!$C$270=1),0,IF(Paths!$P$270="Complete",IF(C2902=10,Paths!$I$270,0),"n.a."))</f>
        <v>0</v>
      </c>
      <c r="M2902" s="16">
        <f>IF(NOT(Paths!$C$270=1),0,IF(Paths!$P$270="Complete",IF(AND(Paths!$D$270="EV",Paths!$E$270&lt;120,Paths!$E$270+'Operating costs'!$B$65&gt;Paths!$E$270,Paths!$E$270+'Operating costs'!$B$65&lt;=120,IF(Paths!$E$270+'Operating costs'!$B$65=0,C2902=0,AND(C2902&gt;0,Paths!$E$270+'Operating costs'!$B$65&gt;(C2902-1)*12,Paths!$E$270+'Operating costs'!$B$65&lt;=C2902*12))),'Operating costs'!$B$64,0)+IF(AND('Operating costs'!$B$67&gt;0,'Operating costs'!$B$67&lt;=120,OR(Paths!$D$270="ICE",'Operating costs'!$B$67&lt;=Paths!$E$270),IF('Operating costs'!$B$67=0,C2902=0,AND(C2902&gt;0,'Operating costs'!$B$67&gt;(C2902-1)*12,'Operating costs'!$B$67&lt;=C2902*12))),'Operating costs'!$B$66,0),"n.a."))</f>
        <v>0</v>
      </c>
      <c r="N2902" s="16">
        <f>IF(NOT(Paths!$C$270=1),0,IF(Paths!$P$270="Complete",SUM(G2902:I2902)-J2902-K2902-L2902+M2902+IF(C2902=0,Paths!$F$270,0)+IF(IF(Paths!$E$270=0,C2902=0,AND(C2902&gt;0,Paths!$E$270&gt;(C2902-1)*12,Paths!$E$270&lt;=C2902*12)),VLOOKUP(A2902,'Fleet register'!$A$7:$S$106,16,FALSE),0),"n.a."))</f>
        <v>0</v>
      </c>
      <c r="O2902" s="16">
        <f>IF(NOT(Paths!$C$270=1),0,IF(Paths!$P$270="Complete",N2902-IF(C2902=0,Paths!$F$270,0),"n.a."))</f>
        <v>0</v>
      </c>
      <c r="P2902" s="16">
        <f>IF(NOT(Paths!$C$270=1),0,IF(Paths!$P$270="Complete",O2902+L2902,"n.a."))</f>
        <v>0</v>
      </c>
      <c r="Q2902" s="16">
        <f>IF(NOT(Paths!$C$270=1),0,IF(Paths!$P$270="Complete",N2902*(1+'Operating costs'!$B$54)^-C2902,"n.a."))</f>
        <v>0</v>
      </c>
      <c r="R2902" s="16">
        <f>IF(NOT(Paths!$C$270=1),0,IF(Paths!$P$270="Complete",IF(AND(C2902=0,Paths!$E$270=0),I2902-J2902-K2902+VLOOKUP(A2902,'Fleet register'!$A$7:$S$106,15,FALSE)+VLOOKUP(A2902,'Fleet register'!$A$7:$S$106,16,FALSE),0),"n.a."))</f>
        <v>0</v>
      </c>
      <c r="S2902" s="1">
        <f>IF(NOT(Paths!$C$270=1),0,IF(Paths!$P$270="Complete",IF(C2902=0,0,Paths!$S$270*Paths!$R$270),"n.a."))</f>
        <v>0</v>
      </c>
      <c r="T2902" s="1">
        <f>IF(NOT(Paths!$C$270=1),0,IF(Paths!$P$270="Complete",IF(C2902=0,0,VLOOKUP(A2902,'Fleet register'!$A$7:$S$106,9,FALSE)*Paths!$R$270),"n.a."))</f>
        <v>0</v>
      </c>
    </row>
    <row r="2903" spans="1:20" ht="24" customHeight="1">
      <c r="A2903" s="1" t="str">
        <f>Paths!$A$270</f>
        <v>T066</v>
      </c>
      <c r="B2903" s="1">
        <f>Paths!$B$270</f>
        <v>3</v>
      </c>
      <c r="C2903" s="1">
        <v>3</v>
      </c>
      <c r="D2903" s="1">
        <v>270</v>
      </c>
      <c r="E2903" s="1">
        <f>IF(OR(Paths!$C$270=0,C2903=0),0,MAX(0,MIN(C2903*12,Paths!$E$270)-(C2903-1)*12))</f>
        <v>0</v>
      </c>
      <c r="F2903" s="1">
        <f>IF(OR(Paths!$C$270=0,C2903=0),0,12-E2903)</f>
        <v>0</v>
      </c>
      <c r="G2903" s="16">
        <f>IF(NOT(Paths!$C$270=1),0,IF(Paths!$P$270="Complete",E2903/12*(Paths!$J$270*(1+'Operating costs'!$B$51)^MAX(0,C2903-1)+Paths!$K$270*(1+'Operating costs'!$B$53)^MAX(0,C2903-1)),"n.a."))</f>
        <v>0</v>
      </c>
      <c r="H2903" s="16">
        <f>IF(NOT(Paths!$C$270=1),0,IF(Paths!$P$270="Complete",F2903/12*(Paths!$L$270*(1+IF(Paths!$D$270="EV",'Operating costs'!$B$52,'Operating costs'!$B$51))^MAX(0,C2903-1)+Paths!$M$270*(1+'Operating costs'!$B$53)^MAX(0,C2903-1)),"n.a."))</f>
        <v>0</v>
      </c>
      <c r="I2903" s="16">
        <f>IF(NOT(Paths!$C$270=1),0,IF(Paths!$P$270="Complete",IF(IF(Paths!$E$270=0,C2903=0,AND(C2903&gt;0,Paths!$E$270&gt;(C2903-1)*12,Paths!$E$270&lt;=C2903*12)),Paths!$G$270,0),"n.a."))</f>
        <v>0</v>
      </c>
      <c r="J2903" s="16">
        <f>IF(NOT(Paths!$C$270=1),0,IF(Paths!$P$270="Complete",IF(IF(Paths!$E$270=0,C2903=0,AND(C2903&gt;0,Paths!$E$270&gt;(C2903-1)*12,Paths!$E$270&lt;=C2903*12)),Paths!$H$270,0),"n.a."))</f>
        <v>0</v>
      </c>
      <c r="K2903" s="16">
        <f>IF(NOT(Paths!$C$270=1),0,IF(Paths!$P$270="Complete",IF(IF(Paths!$O$270=0,C2903=0,AND(C2903&gt;0,Paths!$O$270&gt;(C2903-1)*12,Paths!$O$270&lt;=C2903*12)),Paths!$N$270,0),"n.a."))</f>
        <v>0</v>
      </c>
      <c r="L2903" s="16">
        <f>IF(NOT(Paths!$C$270=1),0,IF(Paths!$P$270="Complete",IF(C2903=10,Paths!$I$270,0),"n.a."))</f>
        <v>0</v>
      </c>
      <c r="M2903" s="16">
        <f>IF(NOT(Paths!$C$270=1),0,IF(Paths!$P$270="Complete",IF(AND(Paths!$D$270="EV",Paths!$E$270&lt;120,Paths!$E$270+'Operating costs'!$B$65&gt;Paths!$E$270,Paths!$E$270+'Operating costs'!$B$65&lt;=120,IF(Paths!$E$270+'Operating costs'!$B$65=0,C2903=0,AND(C2903&gt;0,Paths!$E$270+'Operating costs'!$B$65&gt;(C2903-1)*12,Paths!$E$270+'Operating costs'!$B$65&lt;=C2903*12))),'Operating costs'!$B$64,0)+IF(AND('Operating costs'!$B$67&gt;0,'Operating costs'!$B$67&lt;=120,OR(Paths!$D$270="ICE",'Operating costs'!$B$67&lt;=Paths!$E$270),IF('Operating costs'!$B$67=0,C2903=0,AND(C2903&gt;0,'Operating costs'!$B$67&gt;(C2903-1)*12,'Operating costs'!$B$67&lt;=C2903*12))),'Operating costs'!$B$66,0),"n.a."))</f>
        <v>0</v>
      </c>
      <c r="N2903" s="16">
        <f>IF(NOT(Paths!$C$270=1),0,IF(Paths!$P$270="Complete",SUM(G2903:I2903)-J2903-K2903-L2903+M2903+IF(C2903=0,Paths!$F$270,0)+IF(IF(Paths!$E$270=0,C2903=0,AND(C2903&gt;0,Paths!$E$270&gt;(C2903-1)*12,Paths!$E$270&lt;=C2903*12)),VLOOKUP(A2903,'Fleet register'!$A$7:$S$106,16,FALSE),0),"n.a."))</f>
        <v>0</v>
      </c>
      <c r="O2903" s="16">
        <f>IF(NOT(Paths!$C$270=1),0,IF(Paths!$P$270="Complete",N2903-IF(C2903=0,Paths!$F$270,0),"n.a."))</f>
        <v>0</v>
      </c>
      <c r="P2903" s="16">
        <f>IF(NOT(Paths!$C$270=1),0,IF(Paths!$P$270="Complete",O2903+L2903,"n.a."))</f>
        <v>0</v>
      </c>
      <c r="Q2903" s="16">
        <f>IF(NOT(Paths!$C$270=1),0,IF(Paths!$P$270="Complete",N2903*(1+'Operating costs'!$B$54)^-C2903,"n.a."))</f>
        <v>0</v>
      </c>
      <c r="R2903" s="16">
        <f>IF(NOT(Paths!$C$270=1),0,IF(Paths!$P$270="Complete",IF(AND(C2903=0,Paths!$E$270=0),I2903-J2903-K2903+VLOOKUP(A2903,'Fleet register'!$A$7:$S$106,15,FALSE)+VLOOKUP(A2903,'Fleet register'!$A$7:$S$106,16,FALSE),0),"n.a."))</f>
        <v>0</v>
      </c>
      <c r="S2903" s="1">
        <f>IF(NOT(Paths!$C$270=1),0,IF(Paths!$P$270="Complete",IF(C2903=0,0,Paths!$S$270*Paths!$R$270),"n.a."))</f>
        <v>0</v>
      </c>
      <c r="T2903" s="1">
        <f>IF(NOT(Paths!$C$270=1),0,IF(Paths!$P$270="Complete",IF(C2903=0,0,VLOOKUP(A2903,'Fleet register'!$A$7:$S$106,9,FALSE)*Paths!$R$270),"n.a."))</f>
        <v>0</v>
      </c>
    </row>
    <row r="2904" spans="1:20" ht="24" customHeight="1">
      <c r="A2904" s="1" t="str">
        <f>Paths!$A$270</f>
        <v>T066</v>
      </c>
      <c r="B2904" s="1">
        <f>Paths!$B$270</f>
        <v>3</v>
      </c>
      <c r="C2904" s="1">
        <v>4</v>
      </c>
      <c r="D2904" s="1">
        <v>270</v>
      </c>
      <c r="E2904" s="1">
        <f>IF(OR(Paths!$C$270=0,C2904=0),0,MAX(0,MIN(C2904*12,Paths!$E$270)-(C2904-1)*12))</f>
        <v>0</v>
      </c>
      <c r="F2904" s="1">
        <f>IF(OR(Paths!$C$270=0,C2904=0),0,12-E2904)</f>
        <v>0</v>
      </c>
      <c r="G2904" s="16">
        <f>IF(NOT(Paths!$C$270=1),0,IF(Paths!$P$270="Complete",E2904/12*(Paths!$J$270*(1+'Operating costs'!$B$51)^MAX(0,C2904-1)+Paths!$K$270*(1+'Operating costs'!$B$53)^MAX(0,C2904-1)),"n.a."))</f>
        <v>0</v>
      </c>
      <c r="H2904" s="16">
        <f>IF(NOT(Paths!$C$270=1),0,IF(Paths!$P$270="Complete",F2904/12*(Paths!$L$270*(1+IF(Paths!$D$270="EV",'Operating costs'!$B$52,'Operating costs'!$B$51))^MAX(0,C2904-1)+Paths!$M$270*(1+'Operating costs'!$B$53)^MAX(0,C2904-1)),"n.a."))</f>
        <v>0</v>
      </c>
      <c r="I2904" s="16">
        <f>IF(NOT(Paths!$C$270=1),0,IF(Paths!$P$270="Complete",IF(IF(Paths!$E$270=0,C2904=0,AND(C2904&gt;0,Paths!$E$270&gt;(C2904-1)*12,Paths!$E$270&lt;=C2904*12)),Paths!$G$270,0),"n.a."))</f>
        <v>0</v>
      </c>
      <c r="J2904" s="16">
        <f>IF(NOT(Paths!$C$270=1),0,IF(Paths!$P$270="Complete",IF(IF(Paths!$E$270=0,C2904=0,AND(C2904&gt;0,Paths!$E$270&gt;(C2904-1)*12,Paths!$E$270&lt;=C2904*12)),Paths!$H$270,0),"n.a."))</f>
        <v>0</v>
      </c>
      <c r="K2904" s="16">
        <f>IF(NOT(Paths!$C$270=1),0,IF(Paths!$P$270="Complete",IF(IF(Paths!$O$270=0,C2904=0,AND(C2904&gt;0,Paths!$O$270&gt;(C2904-1)*12,Paths!$O$270&lt;=C2904*12)),Paths!$N$270,0),"n.a."))</f>
        <v>0</v>
      </c>
      <c r="L2904" s="16">
        <f>IF(NOT(Paths!$C$270=1),0,IF(Paths!$P$270="Complete",IF(C2904=10,Paths!$I$270,0),"n.a."))</f>
        <v>0</v>
      </c>
      <c r="M2904" s="16">
        <f>IF(NOT(Paths!$C$270=1),0,IF(Paths!$P$270="Complete",IF(AND(Paths!$D$270="EV",Paths!$E$270&lt;120,Paths!$E$270+'Operating costs'!$B$65&gt;Paths!$E$270,Paths!$E$270+'Operating costs'!$B$65&lt;=120,IF(Paths!$E$270+'Operating costs'!$B$65=0,C2904=0,AND(C2904&gt;0,Paths!$E$270+'Operating costs'!$B$65&gt;(C2904-1)*12,Paths!$E$270+'Operating costs'!$B$65&lt;=C2904*12))),'Operating costs'!$B$64,0)+IF(AND('Operating costs'!$B$67&gt;0,'Operating costs'!$B$67&lt;=120,OR(Paths!$D$270="ICE",'Operating costs'!$B$67&lt;=Paths!$E$270),IF('Operating costs'!$B$67=0,C2904=0,AND(C2904&gt;0,'Operating costs'!$B$67&gt;(C2904-1)*12,'Operating costs'!$B$67&lt;=C2904*12))),'Operating costs'!$B$66,0),"n.a."))</f>
        <v>0</v>
      </c>
      <c r="N2904" s="16">
        <f>IF(NOT(Paths!$C$270=1),0,IF(Paths!$P$270="Complete",SUM(G2904:I2904)-J2904-K2904-L2904+M2904+IF(C2904=0,Paths!$F$270,0)+IF(IF(Paths!$E$270=0,C2904=0,AND(C2904&gt;0,Paths!$E$270&gt;(C2904-1)*12,Paths!$E$270&lt;=C2904*12)),VLOOKUP(A2904,'Fleet register'!$A$7:$S$106,16,FALSE),0),"n.a."))</f>
        <v>0</v>
      </c>
      <c r="O2904" s="16">
        <f>IF(NOT(Paths!$C$270=1),0,IF(Paths!$P$270="Complete",N2904-IF(C2904=0,Paths!$F$270,0),"n.a."))</f>
        <v>0</v>
      </c>
      <c r="P2904" s="16">
        <f>IF(NOT(Paths!$C$270=1),0,IF(Paths!$P$270="Complete",O2904+L2904,"n.a."))</f>
        <v>0</v>
      </c>
      <c r="Q2904" s="16">
        <f>IF(NOT(Paths!$C$270=1),0,IF(Paths!$P$270="Complete",N2904*(1+'Operating costs'!$B$54)^-C2904,"n.a."))</f>
        <v>0</v>
      </c>
      <c r="R2904" s="16">
        <f>IF(NOT(Paths!$C$270=1),0,IF(Paths!$P$270="Complete",IF(AND(C2904=0,Paths!$E$270=0),I2904-J2904-K2904+VLOOKUP(A2904,'Fleet register'!$A$7:$S$106,15,FALSE)+VLOOKUP(A2904,'Fleet register'!$A$7:$S$106,16,FALSE),0),"n.a."))</f>
        <v>0</v>
      </c>
      <c r="S2904" s="1">
        <f>IF(NOT(Paths!$C$270=1),0,IF(Paths!$P$270="Complete",IF(C2904=0,0,Paths!$S$270*Paths!$R$270),"n.a."))</f>
        <v>0</v>
      </c>
      <c r="T2904" s="1">
        <f>IF(NOT(Paths!$C$270=1),0,IF(Paths!$P$270="Complete",IF(C2904=0,0,VLOOKUP(A2904,'Fleet register'!$A$7:$S$106,9,FALSE)*Paths!$R$270),"n.a."))</f>
        <v>0</v>
      </c>
    </row>
    <row r="2905" spans="1:20" ht="24" customHeight="1">
      <c r="A2905" s="1" t="str">
        <f>Paths!$A$270</f>
        <v>T066</v>
      </c>
      <c r="B2905" s="1">
        <f>Paths!$B$270</f>
        <v>3</v>
      </c>
      <c r="C2905" s="1">
        <v>5</v>
      </c>
      <c r="D2905" s="1">
        <v>270</v>
      </c>
      <c r="E2905" s="1">
        <f>IF(OR(Paths!$C$270=0,C2905=0),0,MAX(0,MIN(C2905*12,Paths!$E$270)-(C2905-1)*12))</f>
        <v>0</v>
      </c>
      <c r="F2905" s="1">
        <f>IF(OR(Paths!$C$270=0,C2905=0),0,12-E2905)</f>
        <v>0</v>
      </c>
      <c r="G2905" s="16">
        <f>IF(NOT(Paths!$C$270=1),0,IF(Paths!$P$270="Complete",E2905/12*(Paths!$J$270*(1+'Operating costs'!$B$51)^MAX(0,C2905-1)+Paths!$K$270*(1+'Operating costs'!$B$53)^MAX(0,C2905-1)),"n.a."))</f>
        <v>0</v>
      </c>
      <c r="H2905" s="16">
        <f>IF(NOT(Paths!$C$270=1),0,IF(Paths!$P$270="Complete",F2905/12*(Paths!$L$270*(1+IF(Paths!$D$270="EV",'Operating costs'!$B$52,'Operating costs'!$B$51))^MAX(0,C2905-1)+Paths!$M$270*(1+'Operating costs'!$B$53)^MAX(0,C2905-1)),"n.a."))</f>
        <v>0</v>
      </c>
      <c r="I2905" s="16">
        <f>IF(NOT(Paths!$C$270=1),0,IF(Paths!$P$270="Complete",IF(IF(Paths!$E$270=0,C2905=0,AND(C2905&gt;0,Paths!$E$270&gt;(C2905-1)*12,Paths!$E$270&lt;=C2905*12)),Paths!$G$270,0),"n.a."))</f>
        <v>0</v>
      </c>
      <c r="J2905" s="16">
        <f>IF(NOT(Paths!$C$270=1),0,IF(Paths!$P$270="Complete",IF(IF(Paths!$E$270=0,C2905=0,AND(C2905&gt;0,Paths!$E$270&gt;(C2905-1)*12,Paths!$E$270&lt;=C2905*12)),Paths!$H$270,0),"n.a."))</f>
        <v>0</v>
      </c>
      <c r="K2905" s="16">
        <f>IF(NOT(Paths!$C$270=1),0,IF(Paths!$P$270="Complete",IF(IF(Paths!$O$270=0,C2905=0,AND(C2905&gt;0,Paths!$O$270&gt;(C2905-1)*12,Paths!$O$270&lt;=C2905*12)),Paths!$N$270,0),"n.a."))</f>
        <v>0</v>
      </c>
      <c r="L2905" s="16">
        <f>IF(NOT(Paths!$C$270=1),0,IF(Paths!$P$270="Complete",IF(C2905=10,Paths!$I$270,0),"n.a."))</f>
        <v>0</v>
      </c>
      <c r="M2905" s="16">
        <f>IF(NOT(Paths!$C$270=1),0,IF(Paths!$P$270="Complete",IF(AND(Paths!$D$270="EV",Paths!$E$270&lt;120,Paths!$E$270+'Operating costs'!$B$65&gt;Paths!$E$270,Paths!$E$270+'Operating costs'!$B$65&lt;=120,IF(Paths!$E$270+'Operating costs'!$B$65=0,C2905=0,AND(C2905&gt;0,Paths!$E$270+'Operating costs'!$B$65&gt;(C2905-1)*12,Paths!$E$270+'Operating costs'!$B$65&lt;=C2905*12))),'Operating costs'!$B$64,0)+IF(AND('Operating costs'!$B$67&gt;0,'Operating costs'!$B$67&lt;=120,OR(Paths!$D$270="ICE",'Operating costs'!$B$67&lt;=Paths!$E$270),IF('Operating costs'!$B$67=0,C2905=0,AND(C2905&gt;0,'Operating costs'!$B$67&gt;(C2905-1)*12,'Operating costs'!$B$67&lt;=C2905*12))),'Operating costs'!$B$66,0),"n.a."))</f>
        <v>0</v>
      </c>
      <c r="N2905" s="16">
        <f>IF(NOT(Paths!$C$270=1),0,IF(Paths!$P$270="Complete",SUM(G2905:I2905)-J2905-K2905-L2905+M2905+IF(C2905=0,Paths!$F$270,0)+IF(IF(Paths!$E$270=0,C2905=0,AND(C2905&gt;0,Paths!$E$270&gt;(C2905-1)*12,Paths!$E$270&lt;=C2905*12)),VLOOKUP(A2905,'Fleet register'!$A$7:$S$106,16,FALSE),0),"n.a."))</f>
        <v>0</v>
      </c>
      <c r="O2905" s="16">
        <f>IF(NOT(Paths!$C$270=1),0,IF(Paths!$P$270="Complete",N2905-IF(C2905=0,Paths!$F$270,0),"n.a."))</f>
        <v>0</v>
      </c>
      <c r="P2905" s="16">
        <f>IF(NOT(Paths!$C$270=1),0,IF(Paths!$P$270="Complete",O2905+L2905,"n.a."))</f>
        <v>0</v>
      </c>
      <c r="Q2905" s="16">
        <f>IF(NOT(Paths!$C$270=1),0,IF(Paths!$P$270="Complete",N2905*(1+'Operating costs'!$B$54)^-C2905,"n.a."))</f>
        <v>0</v>
      </c>
      <c r="R2905" s="16">
        <f>IF(NOT(Paths!$C$270=1),0,IF(Paths!$P$270="Complete",IF(AND(C2905=0,Paths!$E$270=0),I2905-J2905-K2905+VLOOKUP(A2905,'Fleet register'!$A$7:$S$106,15,FALSE)+VLOOKUP(A2905,'Fleet register'!$A$7:$S$106,16,FALSE),0),"n.a."))</f>
        <v>0</v>
      </c>
      <c r="S2905" s="1">
        <f>IF(NOT(Paths!$C$270=1),0,IF(Paths!$P$270="Complete",IF(C2905=0,0,Paths!$S$270*Paths!$R$270),"n.a."))</f>
        <v>0</v>
      </c>
      <c r="T2905" s="1">
        <f>IF(NOT(Paths!$C$270=1),0,IF(Paths!$P$270="Complete",IF(C2905=0,0,VLOOKUP(A2905,'Fleet register'!$A$7:$S$106,9,FALSE)*Paths!$R$270),"n.a."))</f>
        <v>0</v>
      </c>
    </row>
    <row r="2906" spans="1:20" ht="24" customHeight="1">
      <c r="A2906" s="1" t="str">
        <f>Paths!$A$270</f>
        <v>T066</v>
      </c>
      <c r="B2906" s="1">
        <f>Paths!$B$270</f>
        <v>3</v>
      </c>
      <c r="C2906" s="1">
        <v>6</v>
      </c>
      <c r="D2906" s="1">
        <v>270</v>
      </c>
      <c r="E2906" s="1">
        <f>IF(OR(Paths!$C$270=0,C2906=0),0,MAX(0,MIN(C2906*12,Paths!$E$270)-(C2906-1)*12))</f>
        <v>0</v>
      </c>
      <c r="F2906" s="1">
        <f>IF(OR(Paths!$C$270=0,C2906=0),0,12-E2906)</f>
        <v>0</v>
      </c>
      <c r="G2906" s="16">
        <f>IF(NOT(Paths!$C$270=1),0,IF(Paths!$P$270="Complete",E2906/12*(Paths!$J$270*(1+'Operating costs'!$B$51)^MAX(0,C2906-1)+Paths!$K$270*(1+'Operating costs'!$B$53)^MAX(0,C2906-1)),"n.a."))</f>
        <v>0</v>
      </c>
      <c r="H2906" s="16">
        <f>IF(NOT(Paths!$C$270=1),0,IF(Paths!$P$270="Complete",F2906/12*(Paths!$L$270*(1+IF(Paths!$D$270="EV",'Operating costs'!$B$52,'Operating costs'!$B$51))^MAX(0,C2906-1)+Paths!$M$270*(1+'Operating costs'!$B$53)^MAX(0,C2906-1)),"n.a."))</f>
        <v>0</v>
      </c>
      <c r="I2906" s="16">
        <f>IF(NOT(Paths!$C$270=1),0,IF(Paths!$P$270="Complete",IF(IF(Paths!$E$270=0,C2906=0,AND(C2906&gt;0,Paths!$E$270&gt;(C2906-1)*12,Paths!$E$270&lt;=C2906*12)),Paths!$G$270,0),"n.a."))</f>
        <v>0</v>
      </c>
      <c r="J2906" s="16">
        <f>IF(NOT(Paths!$C$270=1),0,IF(Paths!$P$270="Complete",IF(IF(Paths!$E$270=0,C2906=0,AND(C2906&gt;0,Paths!$E$270&gt;(C2906-1)*12,Paths!$E$270&lt;=C2906*12)),Paths!$H$270,0),"n.a."))</f>
        <v>0</v>
      </c>
      <c r="K2906" s="16">
        <f>IF(NOT(Paths!$C$270=1),0,IF(Paths!$P$270="Complete",IF(IF(Paths!$O$270=0,C2906=0,AND(C2906&gt;0,Paths!$O$270&gt;(C2906-1)*12,Paths!$O$270&lt;=C2906*12)),Paths!$N$270,0),"n.a."))</f>
        <v>0</v>
      </c>
      <c r="L2906" s="16">
        <f>IF(NOT(Paths!$C$270=1),0,IF(Paths!$P$270="Complete",IF(C2906=10,Paths!$I$270,0),"n.a."))</f>
        <v>0</v>
      </c>
      <c r="M2906" s="16">
        <f>IF(NOT(Paths!$C$270=1),0,IF(Paths!$P$270="Complete",IF(AND(Paths!$D$270="EV",Paths!$E$270&lt;120,Paths!$E$270+'Operating costs'!$B$65&gt;Paths!$E$270,Paths!$E$270+'Operating costs'!$B$65&lt;=120,IF(Paths!$E$270+'Operating costs'!$B$65=0,C2906=0,AND(C2906&gt;0,Paths!$E$270+'Operating costs'!$B$65&gt;(C2906-1)*12,Paths!$E$270+'Operating costs'!$B$65&lt;=C2906*12))),'Operating costs'!$B$64,0)+IF(AND('Operating costs'!$B$67&gt;0,'Operating costs'!$B$67&lt;=120,OR(Paths!$D$270="ICE",'Operating costs'!$B$67&lt;=Paths!$E$270),IF('Operating costs'!$B$67=0,C2906=0,AND(C2906&gt;0,'Operating costs'!$B$67&gt;(C2906-1)*12,'Operating costs'!$B$67&lt;=C2906*12))),'Operating costs'!$B$66,0),"n.a."))</f>
        <v>0</v>
      </c>
      <c r="N2906" s="16">
        <f>IF(NOT(Paths!$C$270=1),0,IF(Paths!$P$270="Complete",SUM(G2906:I2906)-J2906-K2906-L2906+M2906+IF(C2906=0,Paths!$F$270,0)+IF(IF(Paths!$E$270=0,C2906=0,AND(C2906&gt;0,Paths!$E$270&gt;(C2906-1)*12,Paths!$E$270&lt;=C2906*12)),VLOOKUP(A2906,'Fleet register'!$A$7:$S$106,16,FALSE),0),"n.a."))</f>
        <v>0</v>
      </c>
      <c r="O2906" s="16">
        <f>IF(NOT(Paths!$C$270=1),0,IF(Paths!$P$270="Complete",N2906-IF(C2906=0,Paths!$F$270,0),"n.a."))</f>
        <v>0</v>
      </c>
      <c r="P2906" s="16">
        <f>IF(NOT(Paths!$C$270=1),0,IF(Paths!$P$270="Complete",O2906+L2906,"n.a."))</f>
        <v>0</v>
      </c>
      <c r="Q2906" s="16">
        <f>IF(NOT(Paths!$C$270=1),0,IF(Paths!$P$270="Complete",N2906*(1+'Operating costs'!$B$54)^-C2906,"n.a."))</f>
        <v>0</v>
      </c>
      <c r="R2906" s="16">
        <f>IF(NOT(Paths!$C$270=1),0,IF(Paths!$P$270="Complete",IF(AND(C2906=0,Paths!$E$270=0),I2906-J2906-K2906+VLOOKUP(A2906,'Fleet register'!$A$7:$S$106,15,FALSE)+VLOOKUP(A2906,'Fleet register'!$A$7:$S$106,16,FALSE),0),"n.a."))</f>
        <v>0</v>
      </c>
      <c r="S2906" s="1">
        <f>IF(NOT(Paths!$C$270=1),0,IF(Paths!$P$270="Complete",IF(C2906=0,0,Paths!$S$270*Paths!$R$270),"n.a."))</f>
        <v>0</v>
      </c>
      <c r="T2906" s="1">
        <f>IF(NOT(Paths!$C$270=1),0,IF(Paths!$P$270="Complete",IF(C2906=0,0,VLOOKUP(A2906,'Fleet register'!$A$7:$S$106,9,FALSE)*Paths!$R$270),"n.a."))</f>
        <v>0</v>
      </c>
    </row>
    <row r="2907" spans="1:20" ht="24" customHeight="1">
      <c r="A2907" s="1" t="str">
        <f>Paths!$A$270</f>
        <v>T066</v>
      </c>
      <c r="B2907" s="1">
        <f>Paths!$B$270</f>
        <v>3</v>
      </c>
      <c r="C2907" s="1">
        <v>7</v>
      </c>
      <c r="D2907" s="1">
        <v>270</v>
      </c>
      <c r="E2907" s="1">
        <f>IF(OR(Paths!$C$270=0,C2907=0),0,MAX(0,MIN(C2907*12,Paths!$E$270)-(C2907-1)*12))</f>
        <v>0</v>
      </c>
      <c r="F2907" s="1">
        <f>IF(OR(Paths!$C$270=0,C2907=0),0,12-E2907)</f>
        <v>0</v>
      </c>
      <c r="G2907" s="16">
        <f>IF(NOT(Paths!$C$270=1),0,IF(Paths!$P$270="Complete",E2907/12*(Paths!$J$270*(1+'Operating costs'!$B$51)^MAX(0,C2907-1)+Paths!$K$270*(1+'Operating costs'!$B$53)^MAX(0,C2907-1)),"n.a."))</f>
        <v>0</v>
      </c>
      <c r="H2907" s="16">
        <f>IF(NOT(Paths!$C$270=1),0,IF(Paths!$P$270="Complete",F2907/12*(Paths!$L$270*(1+IF(Paths!$D$270="EV",'Operating costs'!$B$52,'Operating costs'!$B$51))^MAX(0,C2907-1)+Paths!$M$270*(1+'Operating costs'!$B$53)^MAX(0,C2907-1)),"n.a."))</f>
        <v>0</v>
      </c>
      <c r="I2907" s="16">
        <f>IF(NOT(Paths!$C$270=1),0,IF(Paths!$P$270="Complete",IF(IF(Paths!$E$270=0,C2907=0,AND(C2907&gt;0,Paths!$E$270&gt;(C2907-1)*12,Paths!$E$270&lt;=C2907*12)),Paths!$G$270,0),"n.a."))</f>
        <v>0</v>
      </c>
      <c r="J2907" s="16">
        <f>IF(NOT(Paths!$C$270=1),0,IF(Paths!$P$270="Complete",IF(IF(Paths!$E$270=0,C2907=0,AND(C2907&gt;0,Paths!$E$270&gt;(C2907-1)*12,Paths!$E$270&lt;=C2907*12)),Paths!$H$270,0),"n.a."))</f>
        <v>0</v>
      </c>
      <c r="K2907" s="16">
        <f>IF(NOT(Paths!$C$270=1),0,IF(Paths!$P$270="Complete",IF(IF(Paths!$O$270=0,C2907=0,AND(C2907&gt;0,Paths!$O$270&gt;(C2907-1)*12,Paths!$O$270&lt;=C2907*12)),Paths!$N$270,0),"n.a."))</f>
        <v>0</v>
      </c>
      <c r="L2907" s="16">
        <f>IF(NOT(Paths!$C$270=1),0,IF(Paths!$P$270="Complete",IF(C2907=10,Paths!$I$270,0),"n.a."))</f>
        <v>0</v>
      </c>
      <c r="M2907" s="16">
        <f>IF(NOT(Paths!$C$270=1),0,IF(Paths!$P$270="Complete",IF(AND(Paths!$D$270="EV",Paths!$E$270&lt;120,Paths!$E$270+'Operating costs'!$B$65&gt;Paths!$E$270,Paths!$E$270+'Operating costs'!$B$65&lt;=120,IF(Paths!$E$270+'Operating costs'!$B$65=0,C2907=0,AND(C2907&gt;0,Paths!$E$270+'Operating costs'!$B$65&gt;(C2907-1)*12,Paths!$E$270+'Operating costs'!$B$65&lt;=C2907*12))),'Operating costs'!$B$64,0)+IF(AND('Operating costs'!$B$67&gt;0,'Operating costs'!$B$67&lt;=120,OR(Paths!$D$270="ICE",'Operating costs'!$B$67&lt;=Paths!$E$270),IF('Operating costs'!$B$67=0,C2907=0,AND(C2907&gt;0,'Operating costs'!$B$67&gt;(C2907-1)*12,'Operating costs'!$B$67&lt;=C2907*12))),'Operating costs'!$B$66,0),"n.a."))</f>
        <v>0</v>
      </c>
      <c r="N2907" s="16">
        <f>IF(NOT(Paths!$C$270=1),0,IF(Paths!$P$270="Complete",SUM(G2907:I2907)-J2907-K2907-L2907+M2907+IF(C2907=0,Paths!$F$270,0)+IF(IF(Paths!$E$270=0,C2907=0,AND(C2907&gt;0,Paths!$E$270&gt;(C2907-1)*12,Paths!$E$270&lt;=C2907*12)),VLOOKUP(A2907,'Fleet register'!$A$7:$S$106,16,FALSE),0),"n.a."))</f>
        <v>0</v>
      </c>
      <c r="O2907" s="16">
        <f>IF(NOT(Paths!$C$270=1),0,IF(Paths!$P$270="Complete",N2907-IF(C2907=0,Paths!$F$270,0),"n.a."))</f>
        <v>0</v>
      </c>
      <c r="P2907" s="16">
        <f>IF(NOT(Paths!$C$270=1),0,IF(Paths!$P$270="Complete",O2907+L2907,"n.a."))</f>
        <v>0</v>
      </c>
      <c r="Q2907" s="16">
        <f>IF(NOT(Paths!$C$270=1),0,IF(Paths!$P$270="Complete",N2907*(1+'Operating costs'!$B$54)^-C2907,"n.a."))</f>
        <v>0</v>
      </c>
      <c r="R2907" s="16">
        <f>IF(NOT(Paths!$C$270=1),0,IF(Paths!$P$270="Complete",IF(AND(C2907=0,Paths!$E$270=0),I2907-J2907-K2907+VLOOKUP(A2907,'Fleet register'!$A$7:$S$106,15,FALSE)+VLOOKUP(A2907,'Fleet register'!$A$7:$S$106,16,FALSE),0),"n.a."))</f>
        <v>0</v>
      </c>
      <c r="S2907" s="1">
        <f>IF(NOT(Paths!$C$270=1),0,IF(Paths!$P$270="Complete",IF(C2907=0,0,Paths!$S$270*Paths!$R$270),"n.a."))</f>
        <v>0</v>
      </c>
      <c r="T2907" s="1">
        <f>IF(NOT(Paths!$C$270=1),0,IF(Paths!$P$270="Complete",IF(C2907=0,0,VLOOKUP(A2907,'Fleet register'!$A$7:$S$106,9,FALSE)*Paths!$R$270),"n.a."))</f>
        <v>0</v>
      </c>
    </row>
    <row r="2908" spans="1:20" ht="24" customHeight="1">
      <c r="A2908" s="1" t="str">
        <f>Paths!$A$270</f>
        <v>T066</v>
      </c>
      <c r="B2908" s="1">
        <f>Paths!$B$270</f>
        <v>3</v>
      </c>
      <c r="C2908" s="1">
        <v>8</v>
      </c>
      <c r="D2908" s="1">
        <v>270</v>
      </c>
      <c r="E2908" s="1">
        <f>IF(OR(Paths!$C$270=0,C2908=0),0,MAX(0,MIN(C2908*12,Paths!$E$270)-(C2908-1)*12))</f>
        <v>0</v>
      </c>
      <c r="F2908" s="1">
        <f>IF(OR(Paths!$C$270=0,C2908=0),0,12-E2908)</f>
        <v>0</v>
      </c>
      <c r="G2908" s="16">
        <f>IF(NOT(Paths!$C$270=1),0,IF(Paths!$P$270="Complete",E2908/12*(Paths!$J$270*(1+'Operating costs'!$B$51)^MAX(0,C2908-1)+Paths!$K$270*(1+'Operating costs'!$B$53)^MAX(0,C2908-1)),"n.a."))</f>
        <v>0</v>
      </c>
      <c r="H2908" s="16">
        <f>IF(NOT(Paths!$C$270=1),0,IF(Paths!$P$270="Complete",F2908/12*(Paths!$L$270*(1+IF(Paths!$D$270="EV",'Operating costs'!$B$52,'Operating costs'!$B$51))^MAX(0,C2908-1)+Paths!$M$270*(1+'Operating costs'!$B$53)^MAX(0,C2908-1)),"n.a."))</f>
        <v>0</v>
      </c>
      <c r="I2908" s="16">
        <f>IF(NOT(Paths!$C$270=1),0,IF(Paths!$P$270="Complete",IF(IF(Paths!$E$270=0,C2908=0,AND(C2908&gt;0,Paths!$E$270&gt;(C2908-1)*12,Paths!$E$270&lt;=C2908*12)),Paths!$G$270,0),"n.a."))</f>
        <v>0</v>
      </c>
      <c r="J2908" s="16">
        <f>IF(NOT(Paths!$C$270=1),0,IF(Paths!$P$270="Complete",IF(IF(Paths!$E$270=0,C2908=0,AND(C2908&gt;0,Paths!$E$270&gt;(C2908-1)*12,Paths!$E$270&lt;=C2908*12)),Paths!$H$270,0),"n.a."))</f>
        <v>0</v>
      </c>
      <c r="K2908" s="16">
        <f>IF(NOT(Paths!$C$270=1),0,IF(Paths!$P$270="Complete",IF(IF(Paths!$O$270=0,C2908=0,AND(C2908&gt;0,Paths!$O$270&gt;(C2908-1)*12,Paths!$O$270&lt;=C2908*12)),Paths!$N$270,0),"n.a."))</f>
        <v>0</v>
      </c>
      <c r="L2908" s="16">
        <f>IF(NOT(Paths!$C$270=1),0,IF(Paths!$P$270="Complete",IF(C2908=10,Paths!$I$270,0),"n.a."))</f>
        <v>0</v>
      </c>
      <c r="M2908" s="16">
        <f>IF(NOT(Paths!$C$270=1),0,IF(Paths!$P$270="Complete",IF(AND(Paths!$D$270="EV",Paths!$E$270&lt;120,Paths!$E$270+'Operating costs'!$B$65&gt;Paths!$E$270,Paths!$E$270+'Operating costs'!$B$65&lt;=120,IF(Paths!$E$270+'Operating costs'!$B$65=0,C2908=0,AND(C2908&gt;0,Paths!$E$270+'Operating costs'!$B$65&gt;(C2908-1)*12,Paths!$E$270+'Operating costs'!$B$65&lt;=C2908*12))),'Operating costs'!$B$64,0)+IF(AND('Operating costs'!$B$67&gt;0,'Operating costs'!$B$67&lt;=120,OR(Paths!$D$270="ICE",'Operating costs'!$B$67&lt;=Paths!$E$270),IF('Operating costs'!$B$67=0,C2908=0,AND(C2908&gt;0,'Operating costs'!$B$67&gt;(C2908-1)*12,'Operating costs'!$B$67&lt;=C2908*12))),'Operating costs'!$B$66,0),"n.a."))</f>
        <v>0</v>
      </c>
      <c r="N2908" s="16">
        <f>IF(NOT(Paths!$C$270=1),0,IF(Paths!$P$270="Complete",SUM(G2908:I2908)-J2908-K2908-L2908+M2908+IF(C2908=0,Paths!$F$270,0)+IF(IF(Paths!$E$270=0,C2908=0,AND(C2908&gt;0,Paths!$E$270&gt;(C2908-1)*12,Paths!$E$270&lt;=C2908*12)),VLOOKUP(A2908,'Fleet register'!$A$7:$S$106,16,FALSE),0),"n.a."))</f>
        <v>0</v>
      </c>
      <c r="O2908" s="16">
        <f>IF(NOT(Paths!$C$270=1),0,IF(Paths!$P$270="Complete",N2908-IF(C2908=0,Paths!$F$270,0),"n.a."))</f>
        <v>0</v>
      </c>
      <c r="P2908" s="16">
        <f>IF(NOT(Paths!$C$270=1),0,IF(Paths!$P$270="Complete",O2908+L2908,"n.a."))</f>
        <v>0</v>
      </c>
      <c r="Q2908" s="16">
        <f>IF(NOT(Paths!$C$270=1),0,IF(Paths!$P$270="Complete",N2908*(1+'Operating costs'!$B$54)^-C2908,"n.a."))</f>
        <v>0</v>
      </c>
      <c r="R2908" s="16">
        <f>IF(NOT(Paths!$C$270=1),0,IF(Paths!$P$270="Complete",IF(AND(C2908=0,Paths!$E$270=0),I2908-J2908-K2908+VLOOKUP(A2908,'Fleet register'!$A$7:$S$106,15,FALSE)+VLOOKUP(A2908,'Fleet register'!$A$7:$S$106,16,FALSE),0),"n.a."))</f>
        <v>0</v>
      </c>
      <c r="S2908" s="1">
        <f>IF(NOT(Paths!$C$270=1),0,IF(Paths!$P$270="Complete",IF(C2908=0,0,Paths!$S$270*Paths!$R$270),"n.a."))</f>
        <v>0</v>
      </c>
      <c r="T2908" s="1">
        <f>IF(NOT(Paths!$C$270=1),0,IF(Paths!$P$270="Complete",IF(C2908=0,0,VLOOKUP(A2908,'Fleet register'!$A$7:$S$106,9,FALSE)*Paths!$R$270),"n.a."))</f>
        <v>0</v>
      </c>
    </row>
    <row r="2909" spans="1:20" ht="24" customHeight="1">
      <c r="A2909" s="1" t="str">
        <f>Paths!$A$270</f>
        <v>T066</v>
      </c>
      <c r="B2909" s="1">
        <f>Paths!$B$270</f>
        <v>3</v>
      </c>
      <c r="C2909" s="1">
        <v>9</v>
      </c>
      <c r="D2909" s="1">
        <v>270</v>
      </c>
      <c r="E2909" s="1">
        <f>IF(OR(Paths!$C$270=0,C2909=0),0,MAX(0,MIN(C2909*12,Paths!$E$270)-(C2909-1)*12))</f>
        <v>0</v>
      </c>
      <c r="F2909" s="1">
        <f>IF(OR(Paths!$C$270=0,C2909=0),0,12-E2909)</f>
        <v>0</v>
      </c>
      <c r="G2909" s="16">
        <f>IF(NOT(Paths!$C$270=1),0,IF(Paths!$P$270="Complete",E2909/12*(Paths!$J$270*(1+'Operating costs'!$B$51)^MAX(0,C2909-1)+Paths!$K$270*(1+'Operating costs'!$B$53)^MAX(0,C2909-1)),"n.a."))</f>
        <v>0</v>
      </c>
      <c r="H2909" s="16">
        <f>IF(NOT(Paths!$C$270=1),0,IF(Paths!$P$270="Complete",F2909/12*(Paths!$L$270*(1+IF(Paths!$D$270="EV",'Operating costs'!$B$52,'Operating costs'!$B$51))^MAX(0,C2909-1)+Paths!$M$270*(1+'Operating costs'!$B$53)^MAX(0,C2909-1)),"n.a."))</f>
        <v>0</v>
      </c>
      <c r="I2909" s="16">
        <f>IF(NOT(Paths!$C$270=1),0,IF(Paths!$P$270="Complete",IF(IF(Paths!$E$270=0,C2909=0,AND(C2909&gt;0,Paths!$E$270&gt;(C2909-1)*12,Paths!$E$270&lt;=C2909*12)),Paths!$G$270,0),"n.a."))</f>
        <v>0</v>
      </c>
      <c r="J2909" s="16">
        <f>IF(NOT(Paths!$C$270=1),0,IF(Paths!$P$270="Complete",IF(IF(Paths!$E$270=0,C2909=0,AND(C2909&gt;0,Paths!$E$270&gt;(C2909-1)*12,Paths!$E$270&lt;=C2909*12)),Paths!$H$270,0),"n.a."))</f>
        <v>0</v>
      </c>
      <c r="K2909" s="16">
        <f>IF(NOT(Paths!$C$270=1),0,IF(Paths!$P$270="Complete",IF(IF(Paths!$O$270=0,C2909=0,AND(C2909&gt;0,Paths!$O$270&gt;(C2909-1)*12,Paths!$O$270&lt;=C2909*12)),Paths!$N$270,0),"n.a."))</f>
        <v>0</v>
      </c>
      <c r="L2909" s="16">
        <f>IF(NOT(Paths!$C$270=1),0,IF(Paths!$P$270="Complete",IF(C2909=10,Paths!$I$270,0),"n.a."))</f>
        <v>0</v>
      </c>
      <c r="M2909" s="16">
        <f>IF(NOT(Paths!$C$270=1),0,IF(Paths!$P$270="Complete",IF(AND(Paths!$D$270="EV",Paths!$E$270&lt;120,Paths!$E$270+'Operating costs'!$B$65&gt;Paths!$E$270,Paths!$E$270+'Operating costs'!$B$65&lt;=120,IF(Paths!$E$270+'Operating costs'!$B$65=0,C2909=0,AND(C2909&gt;0,Paths!$E$270+'Operating costs'!$B$65&gt;(C2909-1)*12,Paths!$E$270+'Operating costs'!$B$65&lt;=C2909*12))),'Operating costs'!$B$64,0)+IF(AND('Operating costs'!$B$67&gt;0,'Operating costs'!$B$67&lt;=120,OR(Paths!$D$270="ICE",'Operating costs'!$B$67&lt;=Paths!$E$270),IF('Operating costs'!$B$67=0,C2909=0,AND(C2909&gt;0,'Operating costs'!$B$67&gt;(C2909-1)*12,'Operating costs'!$B$67&lt;=C2909*12))),'Operating costs'!$B$66,0),"n.a."))</f>
        <v>0</v>
      </c>
      <c r="N2909" s="16">
        <f>IF(NOT(Paths!$C$270=1),0,IF(Paths!$P$270="Complete",SUM(G2909:I2909)-J2909-K2909-L2909+M2909+IF(C2909=0,Paths!$F$270,0)+IF(IF(Paths!$E$270=0,C2909=0,AND(C2909&gt;0,Paths!$E$270&gt;(C2909-1)*12,Paths!$E$270&lt;=C2909*12)),VLOOKUP(A2909,'Fleet register'!$A$7:$S$106,16,FALSE),0),"n.a."))</f>
        <v>0</v>
      </c>
      <c r="O2909" s="16">
        <f>IF(NOT(Paths!$C$270=1),0,IF(Paths!$P$270="Complete",N2909-IF(C2909=0,Paths!$F$270,0),"n.a."))</f>
        <v>0</v>
      </c>
      <c r="P2909" s="16">
        <f>IF(NOT(Paths!$C$270=1),0,IF(Paths!$P$270="Complete",O2909+L2909,"n.a."))</f>
        <v>0</v>
      </c>
      <c r="Q2909" s="16">
        <f>IF(NOT(Paths!$C$270=1),0,IF(Paths!$P$270="Complete",N2909*(1+'Operating costs'!$B$54)^-C2909,"n.a."))</f>
        <v>0</v>
      </c>
      <c r="R2909" s="16">
        <f>IF(NOT(Paths!$C$270=1),0,IF(Paths!$P$270="Complete",IF(AND(C2909=0,Paths!$E$270=0),I2909-J2909-K2909+VLOOKUP(A2909,'Fleet register'!$A$7:$S$106,15,FALSE)+VLOOKUP(A2909,'Fleet register'!$A$7:$S$106,16,FALSE),0),"n.a."))</f>
        <v>0</v>
      </c>
      <c r="S2909" s="1">
        <f>IF(NOT(Paths!$C$270=1),0,IF(Paths!$P$270="Complete",IF(C2909=0,0,Paths!$S$270*Paths!$R$270),"n.a."))</f>
        <v>0</v>
      </c>
      <c r="T2909" s="1">
        <f>IF(NOT(Paths!$C$270=1),0,IF(Paths!$P$270="Complete",IF(C2909=0,0,VLOOKUP(A2909,'Fleet register'!$A$7:$S$106,9,FALSE)*Paths!$R$270),"n.a."))</f>
        <v>0</v>
      </c>
    </row>
    <row r="2910" spans="1:20" ht="24" customHeight="1">
      <c r="A2910" s="1" t="str">
        <f>Paths!$A$270</f>
        <v>T066</v>
      </c>
      <c r="B2910" s="1">
        <f>Paths!$B$270</f>
        <v>3</v>
      </c>
      <c r="C2910" s="1">
        <v>10</v>
      </c>
      <c r="D2910" s="1">
        <v>270</v>
      </c>
      <c r="E2910" s="1">
        <f>IF(OR(Paths!$C$270=0,C2910=0),0,MAX(0,MIN(C2910*12,Paths!$E$270)-(C2910-1)*12))</f>
        <v>0</v>
      </c>
      <c r="F2910" s="1">
        <f>IF(OR(Paths!$C$270=0,C2910=0),0,12-E2910)</f>
        <v>0</v>
      </c>
      <c r="G2910" s="16">
        <f>IF(NOT(Paths!$C$270=1),0,IF(Paths!$P$270="Complete",E2910/12*(Paths!$J$270*(1+'Operating costs'!$B$51)^MAX(0,C2910-1)+Paths!$K$270*(1+'Operating costs'!$B$53)^MAX(0,C2910-1)),"n.a."))</f>
        <v>0</v>
      </c>
      <c r="H2910" s="16">
        <f>IF(NOT(Paths!$C$270=1),0,IF(Paths!$P$270="Complete",F2910/12*(Paths!$L$270*(1+IF(Paths!$D$270="EV",'Operating costs'!$B$52,'Operating costs'!$B$51))^MAX(0,C2910-1)+Paths!$M$270*(1+'Operating costs'!$B$53)^MAX(0,C2910-1)),"n.a."))</f>
        <v>0</v>
      </c>
      <c r="I2910" s="16">
        <f>IF(NOT(Paths!$C$270=1),0,IF(Paths!$P$270="Complete",IF(IF(Paths!$E$270=0,C2910=0,AND(C2910&gt;0,Paths!$E$270&gt;(C2910-1)*12,Paths!$E$270&lt;=C2910*12)),Paths!$G$270,0),"n.a."))</f>
        <v>0</v>
      </c>
      <c r="J2910" s="16">
        <f>IF(NOT(Paths!$C$270=1),0,IF(Paths!$P$270="Complete",IF(IF(Paths!$E$270=0,C2910=0,AND(C2910&gt;0,Paths!$E$270&gt;(C2910-1)*12,Paths!$E$270&lt;=C2910*12)),Paths!$H$270,0),"n.a."))</f>
        <v>0</v>
      </c>
      <c r="K2910" s="16">
        <f>IF(NOT(Paths!$C$270=1),0,IF(Paths!$P$270="Complete",IF(IF(Paths!$O$270=0,C2910=0,AND(C2910&gt;0,Paths!$O$270&gt;(C2910-1)*12,Paths!$O$270&lt;=C2910*12)),Paths!$N$270,0),"n.a."))</f>
        <v>0</v>
      </c>
      <c r="L2910" s="16">
        <f>IF(NOT(Paths!$C$270=1),0,IF(Paths!$P$270="Complete",IF(C2910=10,Paths!$I$270,0),"n.a."))</f>
        <v>0</v>
      </c>
      <c r="M2910" s="16">
        <f>IF(NOT(Paths!$C$270=1),0,IF(Paths!$P$270="Complete",IF(AND(Paths!$D$270="EV",Paths!$E$270&lt;120,Paths!$E$270+'Operating costs'!$B$65&gt;Paths!$E$270,Paths!$E$270+'Operating costs'!$B$65&lt;=120,IF(Paths!$E$270+'Operating costs'!$B$65=0,C2910=0,AND(C2910&gt;0,Paths!$E$270+'Operating costs'!$B$65&gt;(C2910-1)*12,Paths!$E$270+'Operating costs'!$B$65&lt;=C2910*12))),'Operating costs'!$B$64,0)+IF(AND('Operating costs'!$B$67&gt;0,'Operating costs'!$B$67&lt;=120,OR(Paths!$D$270="ICE",'Operating costs'!$B$67&lt;=Paths!$E$270),IF('Operating costs'!$B$67=0,C2910=0,AND(C2910&gt;0,'Operating costs'!$B$67&gt;(C2910-1)*12,'Operating costs'!$B$67&lt;=C2910*12))),'Operating costs'!$B$66,0),"n.a."))</f>
        <v>0</v>
      </c>
      <c r="N2910" s="16">
        <f>IF(NOT(Paths!$C$270=1),0,IF(Paths!$P$270="Complete",SUM(G2910:I2910)-J2910-K2910-L2910+M2910+IF(C2910=0,Paths!$F$270,0)+IF(IF(Paths!$E$270=0,C2910=0,AND(C2910&gt;0,Paths!$E$270&gt;(C2910-1)*12,Paths!$E$270&lt;=C2910*12)),VLOOKUP(A2910,'Fleet register'!$A$7:$S$106,16,FALSE),0),"n.a."))</f>
        <v>0</v>
      </c>
      <c r="O2910" s="16">
        <f>IF(NOT(Paths!$C$270=1),0,IF(Paths!$P$270="Complete",N2910-IF(C2910=0,Paths!$F$270,0),"n.a."))</f>
        <v>0</v>
      </c>
      <c r="P2910" s="16">
        <f>IF(NOT(Paths!$C$270=1),0,IF(Paths!$P$270="Complete",O2910+L2910,"n.a."))</f>
        <v>0</v>
      </c>
      <c r="Q2910" s="16">
        <f>IF(NOT(Paths!$C$270=1),0,IF(Paths!$P$270="Complete",N2910*(1+'Operating costs'!$B$54)^-C2910,"n.a."))</f>
        <v>0</v>
      </c>
      <c r="R2910" s="16">
        <f>IF(NOT(Paths!$C$270=1),0,IF(Paths!$P$270="Complete",IF(AND(C2910=0,Paths!$E$270=0),I2910-J2910-K2910+VLOOKUP(A2910,'Fleet register'!$A$7:$S$106,15,FALSE)+VLOOKUP(A2910,'Fleet register'!$A$7:$S$106,16,FALSE),0),"n.a."))</f>
        <v>0</v>
      </c>
      <c r="S2910" s="1">
        <f>IF(NOT(Paths!$C$270=1),0,IF(Paths!$P$270="Complete",IF(C2910=0,0,Paths!$S$270*Paths!$R$270),"n.a."))</f>
        <v>0</v>
      </c>
      <c r="T2910" s="1">
        <f>IF(NOT(Paths!$C$270=1),0,IF(Paths!$P$270="Complete",IF(C2910=0,0,VLOOKUP(A2910,'Fleet register'!$A$7:$S$106,9,FALSE)*Paths!$R$270),"n.a."))</f>
        <v>0</v>
      </c>
    </row>
    <row r="2911" spans="1:20" ht="24" customHeight="1">
      <c r="A2911" s="1" t="str">
        <f>Paths!$A$271</f>
        <v>T067</v>
      </c>
      <c r="B2911" s="1">
        <f>Paths!$B$271</f>
        <v>0</v>
      </c>
      <c r="C2911" s="1">
        <v>0</v>
      </c>
      <c r="D2911" s="1">
        <v>271</v>
      </c>
      <c r="E2911" s="1">
        <f>IF(OR(Paths!$C$271=0,C2911=0),0,MAX(0,MIN(C2911*12,Paths!$E$271)-(C2911-1)*12))</f>
        <v>0</v>
      </c>
      <c r="F2911" s="1">
        <f>IF(OR(Paths!$C$271=0,C2911=0),0,12-E2911)</f>
        <v>0</v>
      </c>
      <c r="G2911" s="16">
        <f>IF(NOT(Paths!$C$271=1),0,IF(Paths!$P$271="Complete",E2911/12*(Paths!$J$271*(1+'Operating costs'!$B$51)^MAX(0,C2911-1)+Paths!$K$271*(1+'Operating costs'!$B$53)^MAX(0,C2911-1)),"n.a."))</f>
        <v>0</v>
      </c>
      <c r="H2911" s="16">
        <f>IF(NOT(Paths!$C$271=1),0,IF(Paths!$P$271="Complete",F2911/12*(Paths!$L$271*(1+IF(Paths!$D$271="EV",'Operating costs'!$B$52,'Operating costs'!$B$51))^MAX(0,C2911-1)+Paths!$M$271*(1+'Operating costs'!$B$53)^MAX(0,C2911-1)),"n.a."))</f>
        <v>0</v>
      </c>
      <c r="I2911" s="16">
        <f>IF(NOT(Paths!$C$271=1),0,IF(Paths!$P$271="Complete",IF(IF(Paths!$E$271=0,C2911=0,AND(C2911&gt;0,Paths!$E$271&gt;(C2911-1)*12,Paths!$E$271&lt;=C2911*12)),Paths!$G$271,0),"n.a."))</f>
        <v>0</v>
      </c>
      <c r="J2911" s="16">
        <f>IF(NOT(Paths!$C$271=1),0,IF(Paths!$P$271="Complete",IF(IF(Paths!$E$271=0,C2911=0,AND(C2911&gt;0,Paths!$E$271&gt;(C2911-1)*12,Paths!$E$271&lt;=C2911*12)),Paths!$H$271,0),"n.a."))</f>
        <v>0</v>
      </c>
      <c r="K2911" s="16">
        <f>IF(NOT(Paths!$C$271=1),0,IF(Paths!$P$271="Complete",IF(IF(Paths!$O$271=0,C2911=0,AND(C2911&gt;0,Paths!$O$271&gt;(C2911-1)*12,Paths!$O$271&lt;=C2911*12)),Paths!$N$271,0),"n.a."))</f>
        <v>0</v>
      </c>
      <c r="L2911" s="16">
        <f>IF(NOT(Paths!$C$271=1),0,IF(Paths!$P$271="Complete",IF(C2911=10,Paths!$I$271,0),"n.a."))</f>
        <v>0</v>
      </c>
      <c r="M2911" s="16">
        <f>IF(NOT(Paths!$C$271=1),0,IF(Paths!$P$271="Complete",IF(AND(Paths!$D$271="EV",Paths!$E$271&lt;120,Paths!$E$271+'Operating costs'!$B$65&gt;Paths!$E$271,Paths!$E$271+'Operating costs'!$B$65&lt;=120,IF(Paths!$E$271+'Operating costs'!$B$65=0,C2911=0,AND(C2911&gt;0,Paths!$E$271+'Operating costs'!$B$65&gt;(C2911-1)*12,Paths!$E$271+'Operating costs'!$B$65&lt;=C2911*12))),'Operating costs'!$B$64,0)+IF(AND('Operating costs'!$B$67&gt;0,'Operating costs'!$B$67&lt;=120,OR(Paths!$D$271="ICE",'Operating costs'!$B$67&lt;=Paths!$E$271),IF('Operating costs'!$B$67=0,C2911=0,AND(C2911&gt;0,'Operating costs'!$B$67&gt;(C2911-1)*12,'Operating costs'!$B$67&lt;=C2911*12))),'Operating costs'!$B$66,0),"n.a."))</f>
        <v>0</v>
      </c>
      <c r="N2911" s="16">
        <f>IF(NOT(Paths!$C$271=1),0,IF(Paths!$P$271="Complete",SUM(G2911:I2911)-J2911-K2911-L2911+M2911+IF(C2911=0,Paths!$F$271,0)+IF(IF(Paths!$E$271=0,C2911=0,AND(C2911&gt;0,Paths!$E$271&gt;(C2911-1)*12,Paths!$E$271&lt;=C2911*12)),VLOOKUP(A2911,'Fleet register'!$A$7:$S$106,16,FALSE),0),"n.a."))</f>
        <v>0</v>
      </c>
      <c r="O2911" s="16">
        <f>IF(NOT(Paths!$C$271=1),0,IF(Paths!$P$271="Complete",N2911-IF(C2911=0,Paths!$F$271,0),"n.a."))</f>
        <v>0</v>
      </c>
      <c r="P2911" s="16">
        <f>IF(NOT(Paths!$C$271=1),0,IF(Paths!$P$271="Complete",O2911+L2911,"n.a."))</f>
        <v>0</v>
      </c>
      <c r="Q2911" s="16">
        <f>IF(NOT(Paths!$C$271=1),0,IF(Paths!$P$271="Complete",N2911*(1+'Operating costs'!$B$54)^-C2911,"n.a."))</f>
        <v>0</v>
      </c>
      <c r="R2911" s="16">
        <f>IF(NOT(Paths!$C$271=1),0,IF(Paths!$P$271="Complete",IF(AND(C2911=0,Paths!$E$271=0),I2911-J2911-K2911+VLOOKUP(A2911,'Fleet register'!$A$7:$S$106,15,FALSE)+VLOOKUP(A2911,'Fleet register'!$A$7:$S$106,16,FALSE),0),"n.a."))</f>
        <v>0</v>
      </c>
      <c r="S2911" s="1">
        <f>IF(NOT(Paths!$C$271=1),0,IF(Paths!$P$271="Complete",IF(C2911=0,0,Paths!$S$271*Paths!$R$271),"n.a."))</f>
        <v>0</v>
      </c>
      <c r="T2911" s="1">
        <f>IF(NOT(Paths!$C$271=1),0,IF(Paths!$P$271="Complete",IF(C2911=0,0,VLOOKUP(A2911,'Fleet register'!$A$7:$S$106,9,FALSE)*Paths!$R$271),"n.a."))</f>
        <v>0</v>
      </c>
    </row>
    <row r="2912" spans="1:20" ht="24" customHeight="1">
      <c r="A2912" s="1" t="str">
        <f>Paths!$A$271</f>
        <v>T067</v>
      </c>
      <c r="B2912" s="1">
        <f>Paths!$B$271</f>
        <v>0</v>
      </c>
      <c r="C2912" s="1">
        <v>1</v>
      </c>
      <c r="D2912" s="1">
        <v>271</v>
      </c>
      <c r="E2912" s="1">
        <f>IF(OR(Paths!$C$271=0,C2912=0),0,MAX(0,MIN(C2912*12,Paths!$E$271)-(C2912-1)*12))</f>
        <v>0</v>
      </c>
      <c r="F2912" s="1">
        <f>IF(OR(Paths!$C$271=0,C2912=0),0,12-E2912)</f>
        <v>0</v>
      </c>
      <c r="G2912" s="16">
        <f>IF(NOT(Paths!$C$271=1),0,IF(Paths!$P$271="Complete",E2912/12*(Paths!$J$271*(1+'Operating costs'!$B$51)^MAX(0,C2912-1)+Paths!$K$271*(1+'Operating costs'!$B$53)^MAX(0,C2912-1)),"n.a."))</f>
        <v>0</v>
      </c>
      <c r="H2912" s="16">
        <f>IF(NOT(Paths!$C$271=1),0,IF(Paths!$P$271="Complete",F2912/12*(Paths!$L$271*(1+IF(Paths!$D$271="EV",'Operating costs'!$B$52,'Operating costs'!$B$51))^MAX(0,C2912-1)+Paths!$M$271*(1+'Operating costs'!$B$53)^MAX(0,C2912-1)),"n.a."))</f>
        <v>0</v>
      </c>
      <c r="I2912" s="16">
        <f>IF(NOT(Paths!$C$271=1),0,IF(Paths!$P$271="Complete",IF(IF(Paths!$E$271=0,C2912=0,AND(C2912&gt;0,Paths!$E$271&gt;(C2912-1)*12,Paths!$E$271&lt;=C2912*12)),Paths!$G$271,0),"n.a."))</f>
        <v>0</v>
      </c>
      <c r="J2912" s="16">
        <f>IF(NOT(Paths!$C$271=1),0,IF(Paths!$P$271="Complete",IF(IF(Paths!$E$271=0,C2912=0,AND(C2912&gt;0,Paths!$E$271&gt;(C2912-1)*12,Paths!$E$271&lt;=C2912*12)),Paths!$H$271,0),"n.a."))</f>
        <v>0</v>
      </c>
      <c r="K2912" s="16">
        <f>IF(NOT(Paths!$C$271=1),0,IF(Paths!$P$271="Complete",IF(IF(Paths!$O$271=0,C2912=0,AND(C2912&gt;0,Paths!$O$271&gt;(C2912-1)*12,Paths!$O$271&lt;=C2912*12)),Paths!$N$271,0),"n.a."))</f>
        <v>0</v>
      </c>
      <c r="L2912" s="16">
        <f>IF(NOT(Paths!$C$271=1),0,IF(Paths!$P$271="Complete",IF(C2912=10,Paths!$I$271,0),"n.a."))</f>
        <v>0</v>
      </c>
      <c r="M2912" s="16">
        <f>IF(NOT(Paths!$C$271=1),0,IF(Paths!$P$271="Complete",IF(AND(Paths!$D$271="EV",Paths!$E$271&lt;120,Paths!$E$271+'Operating costs'!$B$65&gt;Paths!$E$271,Paths!$E$271+'Operating costs'!$B$65&lt;=120,IF(Paths!$E$271+'Operating costs'!$B$65=0,C2912=0,AND(C2912&gt;0,Paths!$E$271+'Operating costs'!$B$65&gt;(C2912-1)*12,Paths!$E$271+'Operating costs'!$B$65&lt;=C2912*12))),'Operating costs'!$B$64,0)+IF(AND('Operating costs'!$B$67&gt;0,'Operating costs'!$B$67&lt;=120,OR(Paths!$D$271="ICE",'Operating costs'!$B$67&lt;=Paths!$E$271),IF('Operating costs'!$B$67=0,C2912=0,AND(C2912&gt;0,'Operating costs'!$B$67&gt;(C2912-1)*12,'Operating costs'!$B$67&lt;=C2912*12))),'Operating costs'!$B$66,0),"n.a."))</f>
        <v>0</v>
      </c>
      <c r="N2912" s="16">
        <f>IF(NOT(Paths!$C$271=1),0,IF(Paths!$P$271="Complete",SUM(G2912:I2912)-J2912-K2912-L2912+M2912+IF(C2912=0,Paths!$F$271,0)+IF(IF(Paths!$E$271=0,C2912=0,AND(C2912&gt;0,Paths!$E$271&gt;(C2912-1)*12,Paths!$E$271&lt;=C2912*12)),VLOOKUP(A2912,'Fleet register'!$A$7:$S$106,16,FALSE),0),"n.a."))</f>
        <v>0</v>
      </c>
      <c r="O2912" s="16">
        <f>IF(NOT(Paths!$C$271=1),0,IF(Paths!$P$271="Complete",N2912-IF(C2912=0,Paths!$F$271,0),"n.a."))</f>
        <v>0</v>
      </c>
      <c r="P2912" s="16">
        <f>IF(NOT(Paths!$C$271=1),0,IF(Paths!$P$271="Complete",O2912+L2912,"n.a."))</f>
        <v>0</v>
      </c>
      <c r="Q2912" s="16">
        <f>IF(NOT(Paths!$C$271=1),0,IF(Paths!$P$271="Complete",N2912*(1+'Operating costs'!$B$54)^-C2912,"n.a."))</f>
        <v>0</v>
      </c>
      <c r="R2912" s="16">
        <f>IF(NOT(Paths!$C$271=1),0,IF(Paths!$P$271="Complete",IF(AND(C2912=0,Paths!$E$271=0),I2912-J2912-K2912+VLOOKUP(A2912,'Fleet register'!$A$7:$S$106,15,FALSE)+VLOOKUP(A2912,'Fleet register'!$A$7:$S$106,16,FALSE),0),"n.a."))</f>
        <v>0</v>
      </c>
      <c r="S2912" s="1">
        <f>IF(NOT(Paths!$C$271=1),0,IF(Paths!$P$271="Complete",IF(C2912=0,0,Paths!$S$271*Paths!$R$271),"n.a."))</f>
        <v>0</v>
      </c>
      <c r="T2912" s="1">
        <f>IF(NOT(Paths!$C$271=1),0,IF(Paths!$P$271="Complete",IF(C2912=0,0,VLOOKUP(A2912,'Fleet register'!$A$7:$S$106,9,FALSE)*Paths!$R$271),"n.a."))</f>
        <v>0</v>
      </c>
    </row>
    <row r="2913" spans="1:20" ht="24" customHeight="1">
      <c r="A2913" s="1" t="str">
        <f>Paths!$A$271</f>
        <v>T067</v>
      </c>
      <c r="B2913" s="1">
        <f>Paths!$B$271</f>
        <v>0</v>
      </c>
      <c r="C2913" s="1">
        <v>2</v>
      </c>
      <c r="D2913" s="1">
        <v>271</v>
      </c>
      <c r="E2913" s="1">
        <f>IF(OR(Paths!$C$271=0,C2913=0),0,MAX(0,MIN(C2913*12,Paths!$E$271)-(C2913-1)*12))</f>
        <v>0</v>
      </c>
      <c r="F2913" s="1">
        <f>IF(OR(Paths!$C$271=0,C2913=0),0,12-E2913)</f>
        <v>0</v>
      </c>
      <c r="G2913" s="16">
        <f>IF(NOT(Paths!$C$271=1),0,IF(Paths!$P$271="Complete",E2913/12*(Paths!$J$271*(1+'Operating costs'!$B$51)^MAX(0,C2913-1)+Paths!$K$271*(1+'Operating costs'!$B$53)^MAX(0,C2913-1)),"n.a."))</f>
        <v>0</v>
      </c>
      <c r="H2913" s="16">
        <f>IF(NOT(Paths!$C$271=1),0,IF(Paths!$P$271="Complete",F2913/12*(Paths!$L$271*(1+IF(Paths!$D$271="EV",'Operating costs'!$B$52,'Operating costs'!$B$51))^MAX(0,C2913-1)+Paths!$M$271*(1+'Operating costs'!$B$53)^MAX(0,C2913-1)),"n.a."))</f>
        <v>0</v>
      </c>
      <c r="I2913" s="16">
        <f>IF(NOT(Paths!$C$271=1),0,IF(Paths!$P$271="Complete",IF(IF(Paths!$E$271=0,C2913=0,AND(C2913&gt;0,Paths!$E$271&gt;(C2913-1)*12,Paths!$E$271&lt;=C2913*12)),Paths!$G$271,0),"n.a."))</f>
        <v>0</v>
      </c>
      <c r="J2913" s="16">
        <f>IF(NOT(Paths!$C$271=1),0,IF(Paths!$P$271="Complete",IF(IF(Paths!$E$271=0,C2913=0,AND(C2913&gt;0,Paths!$E$271&gt;(C2913-1)*12,Paths!$E$271&lt;=C2913*12)),Paths!$H$271,0),"n.a."))</f>
        <v>0</v>
      </c>
      <c r="K2913" s="16">
        <f>IF(NOT(Paths!$C$271=1),0,IF(Paths!$P$271="Complete",IF(IF(Paths!$O$271=0,C2913=0,AND(C2913&gt;0,Paths!$O$271&gt;(C2913-1)*12,Paths!$O$271&lt;=C2913*12)),Paths!$N$271,0),"n.a."))</f>
        <v>0</v>
      </c>
      <c r="L2913" s="16">
        <f>IF(NOT(Paths!$C$271=1),0,IF(Paths!$P$271="Complete",IF(C2913=10,Paths!$I$271,0),"n.a."))</f>
        <v>0</v>
      </c>
      <c r="M2913" s="16">
        <f>IF(NOT(Paths!$C$271=1),0,IF(Paths!$P$271="Complete",IF(AND(Paths!$D$271="EV",Paths!$E$271&lt;120,Paths!$E$271+'Operating costs'!$B$65&gt;Paths!$E$271,Paths!$E$271+'Operating costs'!$B$65&lt;=120,IF(Paths!$E$271+'Operating costs'!$B$65=0,C2913=0,AND(C2913&gt;0,Paths!$E$271+'Operating costs'!$B$65&gt;(C2913-1)*12,Paths!$E$271+'Operating costs'!$B$65&lt;=C2913*12))),'Operating costs'!$B$64,0)+IF(AND('Operating costs'!$B$67&gt;0,'Operating costs'!$B$67&lt;=120,OR(Paths!$D$271="ICE",'Operating costs'!$B$67&lt;=Paths!$E$271),IF('Operating costs'!$B$67=0,C2913=0,AND(C2913&gt;0,'Operating costs'!$B$67&gt;(C2913-1)*12,'Operating costs'!$B$67&lt;=C2913*12))),'Operating costs'!$B$66,0),"n.a."))</f>
        <v>0</v>
      </c>
      <c r="N2913" s="16">
        <f>IF(NOT(Paths!$C$271=1),0,IF(Paths!$P$271="Complete",SUM(G2913:I2913)-J2913-K2913-L2913+M2913+IF(C2913=0,Paths!$F$271,0)+IF(IF(Paths!$E$271=0,C2913=0,AND(C2913&gt;0,Paths!$E$271&gt;(C2913-1)*12,Paths!$E$271&lt;=C2913*12)),VLOOKUP(A2913,'Fleet register'!$A$7:$S$106,16,FALSE),0),"n.a."))</f>
        <v>0</v>
      </c>
      <c r="O2913" s="16">
        <f>IF(NOT(Paths!$C$271=1),0,IF(Paths!$P$271="Complete",N2913-IF(C2913=0,Paths!$F$271,0),"n.a."))</f>
        <v>0</v>
      </c>
      <c r="P2913" s="16">
        <f>IF(NOT(Paths!$C$271=1),0,IF(Paths!$P$271="Complete",O2913+L2913,"n.a."))</f>
        <v>0</v>
      </c>
      <c r="Q2913" s="16">
        <f>IF(NOT(Paths!$C$271=1),0,IF(Paths!$P$271="Complete",N2913*(1+'Operating costs'!$B$54)^-C2913,"n.a."))</f>
        <v>0</v>
      </c>
      <c r="R2913" s="16">
        <f>IF(NOT(Paths!$C$271=1),0,IF(Paths!$P$271="Complete",IF(AND(C2913=0,Paths!$E$271=0),I2913-J2913-K2913+VLOOKUP(A2913,'Fleet register'!$A$7:$S$106,15,FALSE)+VLOOKUP(A2913,'Fleet register'!$A$7:$S$106,16,FALSE),0),"n.a."))</f>
        <v>0</v>
      </c>
      <c r="S2913" s="1">
        <f>IF(NOT(Paths!$C$271=1),0,IF(Paths!$P$271="Complete",IF(C2913=0,0,Paths!$S$271*Paths!$R$271),"n.a."))</f>
        <v>0</v>
      </c>
      <c r="T2913" s="1">
        <f>IF(NOT(Paths!$C$271=1),0,IF(Paths!$P$271="Complete",IF(C2913=0,0,VLOOKUP(A2913,'Fleet register'!$A$7:$S$106,9,FALSE)*Paths!$R$271),"n.a."))</f>
        <v>0</v>
      </c>
    </row>
    <row r="2914" spans="1:20" ht="24" customHeight="1">
      <c r="A2914" s="1" t="str">
        <f>Paths!$A$271</f>
        <v>T067</v>
      </c>
      <c r="B2914" s="1">
        <f>Paths!$B$271</f>
        <v>0</v>
      </c>
      <c r="C2914" s="1">
        <v>3</v>
      </c>
      <c r="D2914" s="1">
        <v>271</v>
      </c>
      <c r="E2914" s="1">
        <f>IF(OR(Paths!$C$271=0,C2914=0),0,MAX(0,MIN(C2914*12,Paths!$E$271)-(C2914-1)*12))</f>
        <v>0</v>
      </c>
      <c r="F2914" s="1">
        <f>IF(OR(Paths!$C$271=0,C2914=0),0,12-E2914)</f>
        <v>0</v>
      </c>
      <c r="G2914" s="16">
        <f>IF(NOT(Paths!$C$271=1),0,IF(Paths!$P$271="Complete",E2914/12*(Paths!$J$271*(1+'Operating costs'!$B$51)^MAX(0,C2914-1)+Paths!$K$271*(1+'Operating costs'!$B$53)^MAX(0,C2914-1)),"n.a."))</f>
        <v>0</v>
      </c>
      <c r="H2914" s="16">
        <f>IF(NOT(Paths!$C$271=1),0,IF(Paths!$P$271="Complete",F2914/12*(Paths!$L$271*(1+IF(Paths!$D$271="EV",'Operating costs'!$B$52,'Operating costs'!$B$51))^MAX(0,C2914-1)+Paths!$M$271*(1+'Operating costs'!$B$53)^MAX(0,C2914-1)),"n.a."))</f>
        <v>0</v>
      </c>
      <c r="I2914" s="16">
        <f>IF(NOT(Paths!$C$271=1),0,IF(Paths!$P$271="Complete",IF(IF(Paths!$E$271=0,C2914=0,AND(C2914&gt;0,Paths!$E$271&gt;(C2914-1)*12,Paths!$E$271&lt;=C2914*12)),Paths!$G$271,0),"n.a."))</f>
        <v>0</v>
      </c>
      <c r="J2914" s="16">
        <f>IF(NOT(Paths!$C$271=1),0,IF(Paths!$P$271="Complete",IF(IF(Paths!$E$271=0,C2914=0,AND(C2914&gt;0,Paths!$E$271&gt;(C2914-1)*12,Paths!$E$271&lt;=C2914*12)),Paths!$H$271,0),"n.a."))</f>
        <v>0</v>
      </c>
      <c r="K2914" s="16">
        <f>IF(NOT(Paths!$C$271=1),0,IF(Paths!$P$271="Complete",IF(IF(Paths!$O$271=0,C2914=0,AND(C2914&gt;0,Paths!$O$271&gt;(C2914-1)*12,Paths!$O$271&lt;=C2914*12)),Paths!$N$271,0),"n.a."))</f>
        <v>0</v>
      </c>
      <c r="L2914" s="16">
        <f>IF(NOT(Paths!$C$271=1),0,IF(Paths!$P$271="Complete",IF(C2914=10,Paths!$I$271,0),"n.a."))</f>
        <v>0</v>
      </c>
      <c r="M2914" s="16">
        <f>IF(NOT(Paths!$C$271=1),0,IF(Paths!$P$271="Complete",IF(AND(Paths!$D$271="EV",Paths!$E$271&lt;120,Paths!$E$271+'Operating costs'!$B$65&gt;Paths!$E$271,Paths!$E$271+'Operating costs'!$B$65&lt;=120,IF(Paths!$E$271+'Operating costs'!$B$65=0,C2914=0,AND(C2914&gt;0,Paths!$E$271+'Operating costs'!$B$65&gt;(C2914-1)*12,Paths!$E$271+'Operating costs'!$B$65&lt;=C2914*12))),'Operating costs'!$B$64,0)+IF(AND('Operating costs'!$B$67&gt;0,'Operating costs'!$B$67&lt;=120,OR(Paths!$D$271="ICE",'Operating costs'!$B$67&lt;=Paths!$E$271),IF('Operating costs'!$B$67=0,C2914=0,AND(C2914&gt;0,'Operating costs'!$B$67&gt;(C2914-1)*12,'Operating costs'!$B$67&lt;=C2914*12))),'Operating costs'!$B$66,0),"n.a."))</f>
        <v>0</v>
      </c>
      <c r="N2914" s="16">
        <f>IF(NOT(Paths!$C$271=1),0,IF(Paths!$P$271="Complete",SUM(G2914:I2914)-J2914-K2914-L2914+M2914+IF(C2914=0,Paths!$F$271,0)+IF(IF(Paths!$E$271=0,C2914=0,AND(C2914&gt;0,Paths!$E$271&gt;(C2914-1)*12,Paths!$E$271&lt;=C2914*12)),VLOOKUP(A2914,'Fleet register'!$A$7:$S$106,16,FALSE),0),"n.a."))</f>
        <v>0</v>
      </c>
      <c r="O2914" s="16">
        <f>IF(NOT(Paths!$C$271=1),0,IF(Paths!$P$271="Complete",N2914-IF(C2914=0,Paths!$F$271,0),"n.a."))</f>
        <v>0</v>
      </c>
      <c r="P2914" s="16">
        <f>IF(NOT(Paths!$C$271=1),0,IF(Paths!$P$271="Complete",O2914+L2914,"n.a."))</f>
        <v>0</v>
      </c>
      <c r="Q2914" s="16">
        <f>IF(NOT(Paths!$C$271=1),0,IF(Paths!$P$271="Complete",N2914*(1+'Operating costs'!$B$54)^-C2914,"n.a."))</f>
        <v>0</v>
      </c>
      <c r="R2914" s="16">
        <f>IF(NOT(Paths!$C$271=1),0,IF(Paths!$P$271="Complete",IF(AND(C2914=0,Paths!$E$271=0),I2914-J2914-K2914+VLOOKUP(A2914,'Fleet register'!$A$7:$S$106,15,FALSE)+VLOOKUP(A2914,'Fleet register'!$A$7:$S$106,16,FALSE),0),"n.a."))</f>
        <v>0</v>
      </c>
      <c r="S2914" s="1">
        <f>IF(NOT(Paths!$C$271=1),0,IF(Paths!$P$271="Complete",IF(C2914=0,0,Paths!$S$271*Paths!$R$271),"n.a."))</f>
        <v>0</v>
      </c>
      <c r="T2914" s="1">
        <f>IF(NOT(Paths!$C$271=1),0,IF(Paths!$P$271="Complete",IF(C2914=0,0,VLOOKUP(A2914,'Fleet register'!$A$7:$S$106,9,FALSE)*Paths!$R$271),"n.a."))</f>
        <v>0</v>
      </c>
    </row>
    <row r="2915" spans="1:20" ht="24" customHeight="1">
      <c r="A2915" s="1" t="str">
        <f>Paths!$A$271</f>
        <v>T067</v>
      </c>
      <c r="B2915" s="1">
        <f>Paths!$B$271</f>
        <v>0</v>
      </c>
      <c r="C2915" s="1">
        <v>4</v>
      </c>
      <c r="D2915" s="1">
        <v>271</v>
      </c>
      <c r="E2915" s="1">
        <f>IF(OR(Paths!$C$271=0,C2915=0),0,MAX(0,MIN(C2915*12,Paths!$E$271)-(C2915-1)*12))</f>
        <v>0</v>
      </c>
      <c r="F2915" s="1">
        <f>IF(OR(Paths!$C$271=0,C2915=0),0,12-E2915)</f>
        <v>0</v>
      </c>
      <c r="G2915" s="16">
        <f>IF(NOT(Paths!$C$271=1),0,IF(Paths!$P$271="Complete",E2915/12*(Paths!$J$271*(1+'Operating costs'!$B$51)^MAX(0,C2915-1)+Paths!$K$271*(1+'Operating costs'!$B$53)^MAX(0,C2915-1)),"n.a."))</f>
        <v>0</v>
      </c>
      <c r="H2915" s="16">
        <f>IF(NOT(Paths!$C$271=1),0,IF(Paths!$P$271="Complete",F2915/12*(Paths!$L$271*(1+IF(Paths!$D$271="EV",'Operating costs'!$B$52,'Operating costs'!$B$51))^MAX(0,C2915-1)+Paths!$M$271*(1+'Operating costs'!$B$53)^MAX(0,C2915-1)),"n.a."))</f>
        <v>0</v>
      </c>
      <c r="I2915" s="16">
        <f>IF(NOT(Paths!$C$271=1),0,IF(Paths!$P$271="Complete",IF(IF(Paths!$E$271=0,C2915=0,AND(C2915&gt;0,Paths!$E$271&gt;(C2915-1)*12,Paths!$E$271&lt;=C2915*12)),Paths!$G$271,0),"n.a."))</f>
        <v>0</v>
      </c>
      <c r="J2915" s="16">
        <f>IF(NOT(Paths!$C$271=1),0,IF(Paths!$P$271="Complete",IF(IF(Paths!$E$271=0,C2915=0,AND(C2915&gt;0,Paths!$E$271&gt;(C2915-1)*12,Paths!$E$271&lt;=C2915*12)),Paths!$H$271,0),"n.a."))</f>
        <v>0</v>
      </c>
      <c r="K2915" s="16">
        <f>IF(NOT(Paths!$C$271=1),0,IF(Paths!$P$271="Complete",IF(IF(Paths!$O$271=0,C2915=0,AND(C2915&gt;0,Paths!$O$271&gt;(C2915-1)*12,Paths!$O$271&lt;=C2915*12)),Paths!$N$271,0),"n.a."))</f>
        <v>0</v>
      </c>
      <c r="L2915" s="16">
        <f>IF(NOT(Paths!$C$271=1),0,IF(Paths!$P$271="Complete",IF(C2915=10,Paths!$I$271,0),"n.a."))</f>
        <v>0</v>
      </c>
      <c r="M2915" s="16">
        <f>IF(NOT(Paths!$C$271=1),0,IF(Paths!$P$271="Complete",IF(AND(Paths!$D$271="EV",Paths!$E$271&lt;120,Paths!$E$271+'Operating costs'!$B$65&gt;Paths!$E$271,Paths!$E$271+'Operating costs'!$B$65&lt;=120,IF(Paths!$E$271+'Operating costs'!$B$65=0,C2915=0,AND(C2915&gt;0,Paths!$E$271+'Operating costs'!$B$65&gt;(C2915-1)*12,Paths!$E$271+'Operating costs'!$B$65&lt;=C2915*12))),'Operating costs'!$B$64,0)+IF(AND('Operating costs'!$B$67&gt;0,'Operating costs'!$B$67&lt;=120,OR(Paths!$D$271="ICE",'Operating costs'!$B$67&lt;=Paths!$E$271),IF('Operating costs'!$B$67=0,C2915=0,AND(C2915&gt;0,'Operating costs'!$B$67&gt;(C2915-1)*12,'Operating costs'!$B$67&lt;=C2915*12))),'Operating costs'!$B$66,0),"n.a."))</f>
        <v>0</v>
      </c>
      <c r="N2915" s="16">
        <f>IF(NOT(Paths!$C$271=1),0,IF(Paths!$P$271="Complete",SUM(G2915:I2915)-J2915-K2915-L2915+M2915+IF(C2915=0,Paths!$F$271,0)+IF(IF(Paths!$E$271=0,C2915=0,AND(C2915&gt;0,Paths!$E$271&gt;(C2915-1)*12,Paths!$E$271&lt;=C2915*12)),VLOOKUP(A2915,'Fleet register'!$A$7:$S$106,16,FALSE),0),"n.a."))</f>
        <v>0</v>
      </c>
      <c r="O2915" s="16">
        <f>IF(NOT(Paths!$C$271=1),0,IF(Paths!$P$271="Complete",N2915-IF(C2915=0,Paths!$F$271,0),"n.a."))</f>
        <v>0</v>
      </c>
      <c r="P2915" s="16">
        <f>IF(NOT(Paths!$C$271=1),0,IF(Paths!$P$271="Complete",O2915+L2915,"n.a."))</f>
        <v>0</v>
      </c>
      <c r="Q2915" s="16">
        <f>IF(NOT(Paths!$C$271=1),0,IF(Paths!$P$271="Complete",N2915*(1+'Operating costs'!$B$54)^-C2915,"n.a."))</f>
        <v>0</v>
      </c>
      <c r="R2915" s="16">
        <f>IF(NOT(Paths!$C$271=1),0,IF(Paths!$P$271="Complete",IF(AND(C2915=0,Paths!$E$271=0),I2915-J2915-K2915+VLOOKUP(A2915,'Fleet register'!$A$7:$S$106,15,FALSE)+VLOOKUP(A2915,'Fleet register'!$A$7:$S$106,16,FALSE),0),"n.a."))</f>
        <v>0</v>
      </c>
      <c r="S2915" s="1">
        <f>IF(NOT(Paths!$C$271=1),0,IF(Paths!$P$271="Complete",IF(C2915=0,0,Paths!$S$271*Paths!$R$271),"n.a."))</f>
        <v>0</v>
      </c>
      <c r="T2915" s="1">
        <f>IF(NOT(Paths!$C$271=1),0,IF(Paths!$P$271="Complete",IF(C2915=0,0,VLOOKUP(A2915,'Fleet register'!$A$7:$S$106,9,FALSE)*Paths!$R$271),"n.a."))</f>
        <v>0</v>
      </c>
    </row>
    <row r="2916" spans="1:20" ht="24" customHeight="1">
      <c r="A2916" s="1" t="str">
        <f>Paths!$A$271</f>
        <v>T067</v>
      </c>
      <c r="B2916" s="1">
        <f>Paths!$B$271</f>
        <v>0</v>
      </c>
      <c r="C2916" s="1">
        <v>5</v>
      </c>
      <c r="D2916" s="1">
        <v>271</v>
      </c>
      <c r="E2916" s="1">
        <f>IF(OR(Paths!$C$271=0,C2916=0),0,MAX(0,MIN(C2916*12,Paths!$E$271)-(C2916-1)*12))</f>
        <v>0</v>
      </c>
      <c r="F2916" s="1">
        <f>IF(OR(Paths!$C$271=0,C2916=0),0,12-E2916)</f>
        <v>0</v>
      </c>
      <c r="G2916" s="16">
        <f>IF(NOT(Paths!$C$271=1),0,IF(Paths!$P$271="Complete",E2916/12*(Paths!$J$271*(1+'Operating costs'!$B$51)^MAX(0,C2916-1)+Paths!$K$271*(1+'Operating costs'!$B$53)^MAX(0,C2916-1)),"n.a."))</f>
        <v>0</v>
      </c>
      <c r="H2916" s="16">
        <f>IF(NOT(Paths!$C$271=1),0,IF(Paths!$P$271="Complete",F2916/12*(Paths!$L$271*(1+IF(Paths!$D$271="EV",'Operating costs'!$B$52,'Operating costs'!$B$51))^MAX(0,C2916-1)+Paths!$M$271*(1+'Operating costs'!$B$53)^MAX(0,C2916-1)),"n.a."))</f>
        <v>0</v>
      </c>
      <c r="I2916" s="16">
        <f>IF(NOT(Paths!$C$271=1),0,IF(Paths!$P$271="Complete",IF(IF(Paths!$E$271=0,C2916=0,AND(C2916&gt;0,Paths!$E$271&gt;(C2916-1)*12,Paths!$E$271&lt;=C2916*12)),Paths!$G$271,0),"n.a."))</f>
        <v>0</v>
      </c>
      <c r="J2916" s="16">
        <f>IF(NOT(Paths!$C$271=1),0,IF(Paths!$P$271="Complete",IF(IF(Paths!$E$271=0,C2916=0,AND(C2916&gt;0,Paths!$E$271&gt;(C2916-1)*12,Paths!$E$271&lt;=C2916*12)),Paths!$H$271,0),"n.a."))</f>
        <v>0</v>
      </c>
      <c r="K2916" s="16">
        <f>IF(NOT(Paths!$C$271=1),0,IF(Paths!$P$271="Complete",IF(IF(Paths!$O$271=0,C2916=0,AND(C2916&gt;0,Paths!$O$271&gt;(C2916-1)*12,Paths!$O$271&lt;=C2916*12)),Paths!$N$271,0),"n.a."))</f>
        <v>0</v>
      </c>
      <c r="L2916" s="16">
        <f>IF(NOT(Paths!$C$271=1),0,IF(Paths!$P$271="Complete",IF(C2916=10,Paths!$I$271,0),"n.a."))</f>
        <v>0</v>
      </c>
      <c r="M2916" s="16">
        <f>IF(NOT(Paths!$C$271=1),0,IF(Paths!$P$271="Complete",IF(AND(Paths!$D$271="EV",Paths!$E$271&lt;120,Paths!$E$271+'Operating costs'!$B$65&gt;Paths!$E$271,Paths!$E$271+'Operating costs'!$B$65&lt;=120,IF(Paths!$E$271+'Operating costs'!$B$65=0,C2916=0,AND(C2916&gt;0,Paths!$E$271+'Operating costs'!$B$65&gt;(C2916-1)*12,Paths!$E$271+'Operating costs'!$B$65&lt;=C2916*12))),'Operating costs'!$B$64,0)+IF(AND('Operating costs'!$B$67&gt;0,'Operating costs'!$B$67&lt;=120,OR(Paths!$D$271="ICE",'Operating costs'!$B$67&lt;=Paths!$E$271),IF('Operating costs'!$B$67=0,C2916=0,AND(C2916&gt;0,'Operating costs'!$B$67&gt;(C2916-1)*12,'Operating costs'!$B$67&lt;=C2916*12))),'Operating costs'!$B$66,0),"n.a."))</f>
        <v>0</v>
      </c>
      <c r="N2916" s="16">
        <f>IF(NOT(Paths!$C$271=1),0,IF(Paths!$P$271="Complete",SUM(G2916:I2916)-J2916-K2916-L2916+M2916+IF(C2916=0,Paths!$F$271,0)+IF(IF(Paths!$E$271=0,C2916=0,AND(C2916&gt;0,Paths!$E$271&gt;(C2916-1)*12,Paths!$E$271&lt;=C2916*12)),VLOOKUP(A2916,'Fleet register'!$A$7:$S$106,16,FALSE),0),"n.a."))</f>
        <v>0</v>
      </c>
      <c r="O2916" s="16">
        <f>IF(NOT(Paths!$C$271=1),0,IF(Paths!$P$271="Complete",N2916-IF(C2916=0,Paths!$F$271,0),"n.a."))</f>
        <v>0</v>
      </c>
      <c r="P2916" s="16">
        <f>IF(NOT(Paths!$C$271=1),0,IF(Paths!$P$271="Complete",O2916+L2916,"n.a."))</f>
        <v>0</v>
      </c>
      <c r="Q2916" s="16">
        <f>IF(NOT(Paths!$C$271=1),0,IF(Paths!$P$271="Complete",N2916*(1+'Operating costs'!$B$54)^-C2916,"n.a."))</f>
        <v>0</v>
      </c>
      <c r="R2916" s="16">
        <f>IF(NOT(Paths!$C$271=1),0,IF(Paths!$P$271="Complete",IF(AND(C2916=0,Paths!$E$271=0),I2916-J2916-K2916+VLOOKUP(A2916,'Fleet register'!$A$7:$S$106,15,FALSE)+VLOOKUP(A2916,'Fleet register'!$A$7:$S$106,16,FALSE),0),"n.a."))</f>
        <v>0</v>
      </c>
      <c r="S2916" s="1">
        <f>IF(NOT(Paths!$C$271=1),0,IF(Paths!$P$271="Complete",IF(C2916=0,0,Paths!$S$271*Paths!$R$271),"n.a."))</f>
        <v>0</v>
      </c>
      <c r="T2916" s="1">
        <f>IF(NOT(Paths!$C$271=1),0,IF(Paths!$P$271="Complete",IF(C2916=0,0,VLOOKUP(A2916,'Fleet register'!$A$7:$S$106,9,FALSE)*Paths!$R$271),"n.a."))</f>
        <v>0</v>
      </c>
    </row>
    <row r="2917" spans="1:20" ht="24" customHeight="1">
      <c r="A2917" s="1" t="str">
        <f>Paths!$A$271</f>
        <v>T067</v>
      </c>
      <c r="B2917" s="1">
        <f>Paths!$B$271</f>
        <v>0</v>
      </c>
      <c r="C2917" s="1">
        <v>6</v>
      </c>
      <c r="D2917" s="1">
        <v>271</v>
      </c>
      <c r="E2917" s="1">
        <f>IF(OR(Paths!$C$271=0,C2917=0),0,MAX(0,MIN(C2917*12,Paths!$E$271)-(C2917-1)*12))</f>
        <v>0</v>
      </c>
      <c r="F2917" s="1">
        <f>IF(OR(Paths!$C$271=0,C2917=0),0,12-E2917)</f>
        <v>0</v>
      </c>
      <c r="G2917" s="16">
        <f>IF(NOT(Paths!$C$271=1),0,IF(Paths!$P$271="Complete",E2917/12*(Paths!$J$271*(1+'Operating costs'!$B$51)^MAX(0,C2917-1)+Paths!$K$271*(1+'Operating costs'!$B$53)^MAX(0,C2917-1)),"n.a."))</f>
        <v>0</v>
      </c>
      <c r="H2917" s="16">
        <f>IF(NOT(Paths!$C$271=1),0,IF(Paths!$P$271="Complete",F2917/12*(Paths!$L$271*(1+IF(Paths!$D$271="EV",'Operating costs'!$B$52,'Operating costs'!$B$51))^MAX(0,C2917-1)+Paths!$M$271*(1+'Operating costs'!$B$53)^MAX(0,C2917-1)),"n.a."))</f>
        <v>0</v>
      </c>
      <c r="I2917" s="16">
        <f>IF(NOT(Paths!$C$271=1),0,IF(Paths!$P$271="Complete",IF(IF(Paths!$E$271=0,C2917=0,AND(C2917&gt;0,Paths!$E$271&gt;(C2917-1)*12,Paths!$E$271&lt;=C2917*12)),Paths!$G$271,0),"n.a."))</f>
        <v>0</v>
      </c>
      <c r="J2917" s="16">
        <f>IF(NOT(Paths!$C$271=1),0,IF(Paths!$P$271="Complete",IF(IF(Paths!$E$271=0,C2917=0,AND(C2917&gt;0,Paths!$E$271&gt;(C2917-1)*12,Paths!$E$271&lt;=C2917*12)),Paths!$H$271,0),"n.a."))</f>
        <v>0</v>
      </c>
      <c r="K2917" s="16">
        <f>IF(NOT(Paths!$C$271=1),0,IF(Paths!$P$271="Complete",IF(IF(Paths!$O$271=0,C2917=0,AND(C2917&gt;0,Paths!$O$271&gt;(C2917-1)*12,Paths!$O$271&lt;=C2917*12)),Paths!$N$271,0),"n.a."))</f>
        <v>0</v>
      </c>
      <c r="L2917" s="16">
        <f>IF(NOT(Paths!$C$271=1),0,IF(Paths!$P$271="Complete",IF(C2917=10,Paths!$I$271,0),"n.a."))</f>
        <v>0</v>
      </c>
      <c r="M2917" s="16">
        <f>IF(NOT(Paths!$C$271=1),0,IF(Paths!$P$271="Complete",IF(AND(Paths!$D$271="EV",Paths!$E$271&lt;120,Paths!$E$271+'Operating costs'!$B$65&gt;Paths!$E$271,Paths!$E$271+'Operating costs'!$B$65&lt;=120,IF(Paths!$E$271+'Operating costs'!$B$65=0,C2917=0,AND(C2917&gt;0,Paths!$E$271+'Operating costs'!$B$65&gt;(C2917-1)*12,Paths!$E$271+'Operating costs'!$B$65&lt;=C2917*12))),'Operating costs'!$B$64,0)+IF(AND('Operating costs'!$B$67&gt;0,'Operating costs'!$B$67&lt;=120,OR(Paths!$D$271="ICE",'Operating costs'!$B$67&lt;=Paths!$E$271),IF('Operating costs'!$B$67=0,C2917=0,AND(C2917&gt;0,'Operating costs'!$B$67&gt;(C2917-1)*12,'Operating costs'!$B$67&lt;=C2917*12))),'Operating costs'!$B$66,0),"n.a."))</f>
        <v>0</v>
      </c>
      <c r="N2917" s="16">
        <f>IF(NOT(Paths!$C$271=1),0,IF(Paths!$P$271="Complete",SUM(G2917:I2917)-J2917-K2917-L2917+M2917+IF(C2917=0,Paths!$F$271,0)+IF(IF(Paths!$E$271=0,C2917=0,AND(C2917&gt;0,Paths!$E$271&gt;(C2917-1)*12,Paths!$E$271&lt;=C2917*12)),VLOOKUP(A2917,'Fleet register'!$A$7:$S$106,16,FALSE),0),"n.a."))</f>
        <v>0</v>
      </c>
      <c r="O2917" s="16">
        <f>IF(NOT(Paths!$C$271=1),0,IF(Paths!$P$271="Complete",N2917-IF(C2917=0,Paths!$F$271,0),"n.a."))</f>
        <v>0</v>
      </c>
      <c r="P2917" s="16">
        <f>IF(NOT(Paths!$C$271=1),0,IF(Paths!$P$271="Complete",O2917+L2917,"n.a."))</f>
        <v>0</v>
      </c>
      <c r="Q2917" s="16">
        <f>IF(NOT(Paths!$C$271=1),0,IF(Paths!$P$271="Complete",N2917*(1+'Operating costs'!$B$54)^-C2917,"n.a."))</f>
        <v>0</v>
      </c>
      <c r="R2917" s="16">
        <f>IF(NOT(Paths!$C$271=1),0,IF(Paths!$P$271="Complete",IF(AND(C2917=0,Paths!$E$271=0),I2917-J2917-K2917+VLOOKUP(A2917,'Fleet register'!$A$7:$S$106,15,FALSE)+VLOOKUP(A2917,'Fleet register'!$A$7:$S$106,16,FALSE),0),"n.a."))</f>
        <v>0</v>
      </c>
      <c r="S2917" s="1">
        <f>IF(NOT(Paths!$C$271=1),0,IF(Paths!$P$271="Complete",IF(C2917=0,0,Paths!$S$271*Paths!$R$271),"n.a."))</f>
        <v>0</v>
      </c>
      <c r="T2917" s="1">
        <f>IF(NOT(Paths!$C$271=1),0,IF(Paths!$P$271="Complete",IF(C2917=0,0,VLOOKUP(A2917,'Fleet register'!$A$7:$S$106,9,FALSE)*Paths!$R$271),"n.a."))</f>
        <v>0</v>
      </c>
    </row>
    <row r="2918" spans="1:20" ht="24" customHeight="1">
      <c r="A2918" s="1" t="str">
        <f>Paths!$A$271</f>
        <v>T067</v>
      </c>
      <c r="B2918" s="1">
        <f>Paths!$B$271</f>
        <v>0</v>
      </c>
      <c r="C2918" s="1">
        <v>7</v>
      </c>
      <c r="D2918" s="1">
        <v>271</v>
      </c>
      <c r="E2918" s="1">
        <f>IF(OR(Paths!$C$271=0,C2918=0),0,MAX(0,MIN(C2918*12,Paths!$E$271)-(C2918-1)*12))</f>
        <v>0</v>
      </c>
      <c r="F2918" s="1">
        <f>IF(OR(Paths!$C$271=0,C2918=0),0,12-E2918)</f>
        <v>0</v>
      </c>
      <c r="G2918" s="16">
        <f>IF(NOT(Paths!$C$271=1),0,IF(Paths!$P$271="Complete",E2918/12*(Paths!$J$271*(1+'Operating costs'!$B$51)^MAX(0,C2918-1)+Paths!$K$271*(1+'Operating costs'!$B$53)^MAX(0,C2918-1)),"n.a."))</f>
        <v>0</v>
      </c>
      <c r="H2918" s="16">
        <f>IF(NOT(Paths!$C$271=1),0,IF(Paths!$P$271="Complete",F2918/12*(Paths!$L$271*(1+IF(Paths!$D$271="EV",'Operating costs'!$B$52,'Operating costs'!$B$51))^MAX(0,C2918-1)+Paths!$M$271*(1+'Operating costs'!$B$53)^MAX(0,C2918-1)),"n.a."))</f>
        <v>0</v>
      </c>
      <c r="I2918" s="16">
        <f>IF(NOT(Paths!$C$271=1),0,IF(Paths!$P$271="Complete",IF(IF(Paths!$E$271=0,C2918=0,AND(C2918&gt;0,Paths!$E$271&gt;(C2918-1)*12,Paths!$E$271&lt;=C2918*12)),Paths!$G$271,0),"n.a."))</f>
        <v>0</v>
      </c>
      <c r="J2918" s="16">
        <f>IF(NOT(Paths!$C$271=1),0,IF(Paths!$P$271="Complete",IF(IF(Paths!$E$271=0,C2918=0,AND(C2918&gt;0,Paths!$E$271&gt;(C2918-1)*12,Paths!$E$271&lt;=C2918*12)),Paths!$H$271,0),"n.a."))</f>
        <v>0</v>
      </c>
      <c r="K2918" s="16">
        <f>IF(NOT(Paths!$C$271=1),0,IF(Paths!$P$271="Complete",IF(IF(Paths!$O$271=0,C2918=0,AND(C2918&gt;0,Paths!$O$271&gt;(C2918-1)*12,Paths!$O$271&lt;=C2918*12)),Paths!$N$271,0),"n.a."))</f>
        <v>0</v>
      </c>
      <c r="L2918" s="16">
        <f>IF(NOT(Paths!$C$271=1),0,IF(Paths!$P$271="Complete",IF(C2918=10,Paths!$I$271,0),"n.a."))</f>
        <v>0</v>
      </c>
      <c r="M2918" s="16">
        <f>IF(NOT(Paths!$C$271=1),0,IF(Paths!$P$271="Complete",IF(AND(Paths!$D$271="EV",Paths!$E$271&lt;120,Paths!$E$271+'Operating costs'!$B$65&gt;Paths!$E$271,Paths!$E$271+'Operating costs'!$B$65&lt;=120,IF(Paths!$E$271+'Operating costs'!$B$65=0,C2918=0,AND(C2918&gt;0,Paths!$E$271+'Operating costs'!$B$65&gt;(C2918-1)*12,Paths!$E$271+'Operating costs'!$B$65&lt;=C2918*12))),'Operating costs'!$B$64,0)+IF(AND('Operating costs'!$B$67&gt;0,'Operating costs'!$B$67&lt;=120,OR(Paths!$D$271="ICE",'Operating costs'!$B$67&lt;=Paths!$E$271),IF('Operating costs'!$B$67=0,C2918=0,AND(C2918&gt;0,'Operating costs'!$B$67&gt;(C2918-1)*12,'Operating costs'!$B$67&lt;=C2918*12))),'Operating costs'!$B$66,0),"n.a."))</f>
        <v>0</v>
      </c>
      <c r="N2918" s="16">
        <f>IF(NOT(Paths!$C$271=1),0,IF(Paths!$P$271="Complete",SUM(G2918:I2918)-J2918-K2918-L2918+M2918+IF(C2918=0,Paths!$F$271,0)+IF(IF(Paths!$E$271=0,C2918=0,AND(C2918&gt;0,Paths!$E$271&gt;(C2918-1)*12,Paths!$E$271&lt;=C2918*12)),VLOOKUP(A2918,'Fleet register'!$A$7:$S$106,16,FALSE),0),"n.a."))</f>
        <v>0</v>
      </c>
      <c r="O2918" s="16">
        <f>IF(NOT(Paths!$C$271=1),0,IF(Paths!$P$271="Complete",N2918-IF(C2918=0,Paths!$F$271,0),"n.a."))</f>
        <v>0</v>
      </c>
      <c r="P2918" s="16">
        <f>IF(NOT(Paths!$C$271=1),0,IF(Paths!$P$271="Complete",O2918+L2918,"n.a."))</f>
        <v>0</v>
      </c>
      <c r="Q2918" s="16">
        <f>IF(NOT(Paths!$C$271=1),0,IF(Paths!$P$271="Complete",N2918*(1+'Operating costs'!$B$54)^-C2918,"n.a."))</f>
        <v>0</v>
      </c>
      <c r="R2918" s="16">
        <f>IF(NOT(Paths!$C$271=1),0,IF(Paths!$P$271="Complete",IF(AND(C2918=0,Paths!$E$271=0),I2918-J2918-K2918+VLOOKUP(A2918,'Fleet register'!$A$7:$S$106,15,FALSE)+VLOOKUP(A2918,'Fleet register'!$A$7:$S$106,16,FALSE),0),"n.a."))</f>
        <v>0</v>
      </c>
      <c r="S2918" s="1">
        <f>IF(NOT(Paths!$C$271=1),0,IF(Paths!$P$271="Complete",IF(C2918=0,0,Paths!$S$271*Paths!$R$271),"n.a."))</f>
        <v>0</v>
      </c>
      <c r="T2918" s="1">
        <f>IF(NOT(Paths!$C$271=1),0,IF(Paths!$P$271="Complete",IF(C2918=0,0,VLOOKUP(A2918,'Fleet register'!$A$7:$S$106,9,FALSE)*Paths!$R$271),"n.a."))</f>
        <v>0</v>
      </c>
    </row>
    <row r="2919" spans="1:20" ht="24" customHeight="1">
      <c r="A2919" s="1" t="str">
        <f>Paths!$A$271</f>
        <v>T067</v>
      </c>
      <c r="B2919" s="1">
        <f>Paths!$B$271</f>
        <v>0</v>
      </c>
      <c r="C2919" s="1">
        <v>8</v>
      </c>
      <c r="D2919" s="1">
        <v>271</v>
      </c>
      <c r="E2919" s="1">
        <f>IF(OR(Paths!$C$271=0,C2919=0),0,MAX(0,MIN(C2919*12,Paths!$E$271)-(C2919-1)*12))</f>
        <v>0</v>
      </c>
      <c r="F2919" s="1">
        <f>IF(OR(Paths!$C$271=0,C2919=0),0,12-E2919)</f>
        <v>0</v>
      </c>
      <c r="G2919" s="16">
        <f>IF(NOT(Paths!$C$271=1),0,IF(Paths!$P$271="Complete",E2919/12*(Paths!$J$271*(1+'Operating costs'!$B$51)^MAX(0,C2919-1)+Paths!$K$271*(1+'Operating costs'!$B$53)^MAX(0,C2919-1)),"n.a."))</f>
        <v>0</v>
      </c>
      <c r="H2919" s="16">
        <f>IF(NOT(Paths!$C$271=1),0,IF(Paths!$P$271="Complete",F2919/12*(Paths!$L$271*(1+IF(Paths!$D$271="EV",'Operating costs'!$B$52,'Operating costs'!$B$51))^MAX(0,C2919-1)+Paths!$M$271*(1+'Operating costs'!$B$53)^MAX(0,C2919-1)),"n.a."))</f>
        <v>0</v>
      </c>
      <c r="I2919" s="16">
        <f>IF(NOT(Paths!$C$271=1),0,IF(Paths!$P$271="Complete",IF(IF(Paths!$E$271=0,C2919=0,AND(C2919&gt;0,Paths!$E$271&gt;(C2919-1)*12,Paths!$E$271&lt;=C2919*12)),Paths!$G$271,0),"n.a."))</f>
        <v>0</v>
      </c>
      <c r="J2919" s="16">
        <f>IF(NOT(Paths!$C$271=1),0,IF(Paths!$P$271="Complete",IF(IF(Paths!$E$271=0,C2919=0,AND(C2919&gt;0,Paths!$E$271&gt;(C2919-1)*12,Paths!$E$271&lt;=C2919*12)),Paths!$H$271,0),"n.a."))</f>
        <v>0</v>
      </c>
      <c r="K2919" s="16">
        <f>IF(NOT(Paths!$C$271=1),0,IF(Paths!$P$271="Complete",IF(IF(Paths!$O$271=0,C2919=0,AND(C2919&gt;0,Paths!$O$271&gt;(C2919-1)*12,Paths!$O$271&lt;=C2919*12)),Paths!$N$271,0),"n.a."))</f>
        <v>0</v>
      </c>
      <c r="L2919" s="16">
        <f>IF(NOT(Paths!$C$271=1),0,IF(Paths!$P$271="Complete",IF(C2919=10,Paths!$I$271,0),"n.a."))</f>
        <v>0</v>
      </c>
      <c r="M2919" s="16">
        <f>IF(NOT(Paths!$C$271=1),0,IF(Paths!$P$271="Complete",IF(AND(Paths!$D$271="EV",Paths!$E$271&lt;120,Paths!$E$271+'Operating costs'!$B$65&gt;Paths!$E$271,Paths!$E$271+'Operating costs'!$B$65&lt;=120,IF(Paths!$E$271+'Operating costs'!$B$65=0,C2919=0,AND(C2919&gt;0,Paths!$E$271+'Operating costs'!$B$65&gt;(C2919-1)*12,Paths!$E$271+'Operating costs'!$B$65&lt;=C2919*12))),'Operating costs'!$B$64,0)+IF(AND('Operating costs'!$B$67&gt;0,'Operating costs'!$B$67&lt;=120,OR(Paths!$D$271="ICE",'Operating costs'!$B$67&lt;=Paths!$E$271),IF('Operating costs'!$B$67=0,C2919=0,AND(C2919&gt;0,'Operating costs'!$B$67&gt;(C2919-1)*12,'Operating costs'!$B$67&lt;=C2919*12))),'Operating costs'!$B$66,0),"n.a."))</f>
        <v>0</v>
      </c>
      <c r="N2919" s="16">
        <f>IF(NOT(Paths!$C$271=1),0,IF(Paths!$P$271="Complete",SUM(G2919:I2919)-J2919-K2919-L2919+M2919+IF(C2919=0,Paths!$F$271,0)+IF(IF(Paths!$E$271=0,C2919=0,AND(C2919&gt;0,Paths!$E$271&gt;(C2919-1)*12,Paths!$E$271&lt;=C2919*12)),VLOOKUP(A2919,'Fleet register'!$A$7:$S$106,16,FALSE),0),"n.a."))</f>
        <v>0</v>
      </c>
      <c r="O2919" s="16">
        <f>IF(NOT(Paths!$C$271=1),0,IF(Paths!$P$271="Complete",N2919-IF(C2919=0,Paths!$F$271,0),"n.a."))</f>
        <v>0</v>
      </c>
      <c r="P2919" s="16">
        <f>IF(NOT(Paths!$C$271=1),0,IF(Paths!$P$271="Complete",O2919+L2919,"n.a."))</f>
        <v>0</v>
      </c>
      <c r="Q2919" s="16">
        <f>IF(NOT(Paths!$C$271=1),0,IF(Paths!$P$271="Complete",N2919*(1+'Operating costs'!$B$54)^-C2919,"n.a."))</f>
        <v>0</v>
      </c>
      <c r="R2919" s="16">
        <f>IF(NOT(Paths!$C$271=1),0,IF(Paths!$P$271="Complete",IF(AND(C2919=0,Paths!$E$271=0),I2919-J2919-K2919+VLOOKUP(A2919,'Fleet register'!$A$7:$S$106,15,FALSE)+VLOOKUP(A2919,'Fleet register'!$A$7:$S$106,16,FALSE),0),"n.a."))</f>
        <v>0</v>
      </c>
      <c r="S2919" s="1">
        <f>IF(NOT(Paths!$C$271=1),0,IF(Paths!$P$271="Complete",IF(C2919=0,0,Paths!$S$271*Paths!$R$271),"n.a."))</f>
        <v>0</v>
      </c>
      <c r="T2919" s="1">
        <f>IF(NOT(Paths!$C$271=1),0,IF(Paths!$P$271="Complete",IF(C2919=0,0,VLOOKUP(A2919,'Fleet register'!$A$7:$S$106,9,FALSE)*Paths!$R$271),"n.a."))</f>
        <v>0</v>
      </c>
    </row>
    <row r="2920" spans="1:20" ht="24" customHeight="1">
      <c r="A2920" s="1" t="str">
        <f>Paths!$A$271</f>
        <v>T067</v>
      </c>
      <c r="B2920" s="1">
        <f>Paths!$B$271</f>
        <v>0</v>
      </c>
      <c r="C2920" s="1">
        <v>9</v>
      </c>
      <c r="D2920" s="1">
        <v>271</v>
      </c>
      <c r="E2920" s="1">
        <f>IF(OR(Paths!$C$271=0,C2920=0),0,MAX(0,MIN(C2920*12,Paths!$E$271)-(C2920-1)*12))</f>
        <v>0</v>
      </c>
      <c r="F2920" s="1">
        <f>IF(OR(Paths!$C$271=0,C2920=0),0,12-E2920)</f>
        <v>0</v>
      </c>
      <c r="G2920" s="16">
        <f>IF(NOT(Paths!$C$271=1),0,IF(Paths!$P$271="Complete",E2920/12*(Paths!$J$271*(1+'Operating costs'!$B$51)^MAX(0,C2920-1)+Paths!$K$271*(1+'Operating costs'!$B$53)^MAX(0,C2920-1)),"n.a."))</f>
        <v>0</v>
      </c>
      <c r="H2920" s="16">
        <f>IF(NOT(Paths!$C$271=1),0,IF(Paths!$P$271="Complete",F2920/12*(Paths!$L$271*(1+IF(Paths!$D$271="EV",'Operating costs'!$B$52,'Operating costs'!$B$51))^MAX(0,C2920-1)+Paths!$M$271*(1+'Operating costs'!$B$53)^MAX(0,C2920-1)),"n.a."))</f>
        <v>0</v>
      </c>
      <c r="I2920" s="16">
        <f>IF(NOT(Paths!$C$271=1),0,IF(Paths!$P$271="Complete",IF(IF(Paths!$E$271=0,C2920=0,AND(C2920&gt;0,Paths!$E$271&gt;(C2920-1)*12,Paths!$E$271&lt;=C2920*12)),Paths!$G$271,0),"n.a."))</f>
        <v>0</v>
      </c>
      <c r="J2920" s="16">
        <f>IF(NOT(Paths!$C$271=1),0,IF(Paths!$P$271="Complete",IF(IF(Paths!$E$271=0,C2920=0,AND(C2920&gt;0,Paths!$E$271&gt;(C2920-1)*12,Paths!$E$271&lt;=C2920*12)),Paths!$H$271,0),"n.a."))</f>
        <v>0</v>
      </c>
      <c r="K2920" s="16">
        <f>IF(NOT(Paths!$C$271=1),0,IF(Paths!$P$271="Complete",IF(IF(Paths!$O$271=0,C2920=0,AND(C2920&gt;0,Paths!$O$271&gt;(C2920-1)*12,Paths!$O$271&lt;=C2920*12)),Paths!$N$271,0),"n.a."))</f>
        <v>0</v>
      </c>
      <c r="L2920" s="16">
        <f>IF(NOT(Paths!$C$271=1),0,IF(Paths!$P$271="Complete",IF(C2920=10,Paths!$I$271,0),"n.a."))</f>
        <v>0</v>
      </c>
      <c r="M2920" s="16">
        <f>IF(NOT(Paths!$C$271=1),0,IF(Paths!$P$271="Complete",IF(AND(Paths!$D$271="EV",Paths!$E$271&lt;120,Paths!$E$271+'Operating costs'!$B$65&gt;Paths!$E$271,Paths!$E$271+'Operating costs'!$B$65&lt;=120,IF(Paths!$E$271+'Operating costs'!$B$65=0,C2920=0,AND(C2920&gt;0,Paths!$E$271+'Operating costs'!$B$65&gt;(C2920-1)*12,Paths!$E$271+'Operating costs'!$B$65&lt;=C2920*12))),'Operating costs'!$B$64,0)+IF(AND('Operating costs'!$B$67&gt;0,'Operating costs'!$B$67&lt;=120,OR(Paths!$D$271="ICE",'Operating costs'!$B$67&lt;=Paths!$E$271),IF('Operating costs'!$B$67=0,C2920=0,AND(C2920&gt;0,'Operating costs'!$B$67&gt;(C2920-1)*12,'Operating costs'!$B$67&lt;=C2920*12))),'Operating costs'!$B$66,0),"n.a."))</f>
        <v>0</v>
      </c>
      <c r="N2920" s="16">
        <f>IF(NOT(Paths!$C$271=1),0,IF(Paths!$P$271="Complete",SUM(G2920:I2920)-J2920-K2920-L2920+M2920+IF(C2920=0,Paths!$F$271,0)+IF(IF(Paths!$E$271=0,C2920=0,AND(C2920&gt;0,Paths!$E$271&gt;(C2920-1)*12,Paths!$E$271&lt;=C2920*12)),VLOOKUP(A2920,'Fleet register'!$A$7:$S$106,16,FALSE),0),"n.a."))</f>
        <v>0</v>
      </c>
      <c r="O2920" s="16">
        <f>IF(NOT(Paths!$C$271=1),0,IF(Paths!$P$271="Complete",N2920-IF(C2920=0,Paths!$F$271,0),"n.a."))</f>
        <v>0</v>
      </c>
      <c r="P2920" s="16">
        <f>IF(NOT(Paths!$C$271=1),0,IF(Paths!$P$271="Complete",O2920+L2920,"n.a."))</f>
        <v>0</v>
      </c>
      <c r="Q2920" s="16">
        <f>IF(NOT(Paths!$C$271=1),0,IF(Paths!$P$271="Complete",N2920*(1+'Operating costs'!$B$54)^-C2920,"n.a."))</f>
        <v>0</v>
      </c>
      <c r="R2920" s="16">
        <f>IF(NOT(Paths!$C$271=1),0,IF(Paths!$P$271="Complete",IF(AND(C2920=0,Paths!$E$271=0),I2920-J2920-K2920+VLOOKUP(A2920,'Fleet register'!$A$7:$S$106,15,FALSE)+VLOOKUP(A2920,'Fleet register'!$A$7:$S$106,16,FALSE),0),"n.a."))</f>
        <v>0</v>
      </c>
      <c r="S2920" s="1">
        <f>IF(NOT(Paths!$C$271=1),0,IF(Paths!$P$271="Complete",IF(C2920=0,0,Paths!$S$271*Paths!$R$271),"n.a."))</f>
        <v>0</v>
      </c>
      <c r="T2920" s="1">
        <f>IF(NOT(Paths!$C$271=1),0,IF(Paths!$P$271="Complete",IF(C2920=0,0,VLOOKUP(A2920,'Fleet register'!$A$7:$S$106,9,FALSE)*Paths!$R$271),"n.a."))</f>
        <v>0</v>
      </c>
    </row>
    <row r="2921" spans="1:20" ht="24" customHeight="1">
      <c r="A2921" s="1" t="str">
        <f>Paths!$A$271</f>
        <v>T067</v>
      </c>
      <c r="B2921" s="1">
        <f>Paths!$B$271</f>
        <v>0</v>
      </c>
      <c r="C2921" s="1">
        <v>10</v>
      </c>
      <c r="D2921" s="1">
        <v>271</v>
      </c>
      <c r="E2921" s="1">
        <f>IF(OR(Paths!$C$271=0,C2921=0),0,MAX(0,MIN(C2921*12,Paths!$E$271)-(C2921-1)*12))</f>
        <v>0</v>
      </c>
      <c r="F2921" s="1">
        <f>IF(OR(Paths!$C$271=0,C2921=0),0,12-E2921)</f>
        <v>0</v>
      </c>
      <c r="G2921" s="16">
        <f>IF(NOT(Paths!$C$271=1),0,IF(Paths!$P$271="Complete",E2921/12*(Paths!$J$271*(1+'Operating costs'!$B$51)^MAX(0,C2921-1)+Paths!$K$271*(1+'Operating costs'!$B$53)^MAX(0,C2921-1)),"n.a."))</f>
        <v>0</v>
      </c>
      <c r="H2921" s="16">
        <f>IF(NOT(Paths!$C$271=1),0,IF(Paths!$P$271="Complete",F2921/12*(Paths!$L$271*(1+IF(Paths!$D$271="EV",'Operating costs'!$B$52,'Operating costs'!$B$51))^MAX(0,C2921-1)+Paths!$M$271*(1+'Operating costs'!$B$53)^MAX(0,C2921-1)),"n.a."))</f>
        <v>0</v>
      </c>
      <c r="I2921" s="16">
        <f>IF(NOT(Paths!$C$271=1),0,IF(Paths!$P$271="Complete",IF(IF(Paths!$E$271=0,C2921=0,AND(C2921&gt;0,Paths!$E$271&gt;(C2921-1)*12,Paths!$E$271&lt;=C2921*12)),Paths!$G$271,0),"n.a."))</f>
        <v>0</v>
      </c>
      <c r="J2921" s="16">
        <f>IF(NOT(Paths!$C$271=1),0,IF(Paths!$P$271="Complete",IF(IF(Paths!$E$271=0,C2921=0,AND(C2921&gt;0,Paths!$E$271&gt;(C2921-1)*12,Paths!$E$271&lt;=C2921*12)),Paths!$H$271,0),"n.a."))</f>
        <v>0</v>
      </c>
      <c r="K2921" s="16">
        <f>IF(NOT(Paths!$C$271=1),0,IF(Paths!$P$271="Complete",IF(IF(Paths!$O$271=0,C2921=0,AND(C2921&gt;0,Paths!$O$271&gt;(C2921-1)*12,Paths!$O$271&lt;=C2921*12)),Paths!$N$271,0),"n.a."))</f>
        <v>0</v>
      </c>
      <c r="L2921" s="16">
        <f>IF(NOT(Paths!$C$271=1),0,IF(Paths!$P$271="Complete",IF(C2921=10,Paths!$I$271,0),"n.a."))</f>
        <v>0</v>
      </c>
      <c r="M2921" s="16">
        <f>IF(NOT(Paths!$C$271=1),0,IF(Paths!$P$271="Complete",IF(AND(Paths!$D$271="EV",Paths!$E$271&lt;120,Paths!$E$271+'Operating costs'!$B$65&gt;Paths!$E$271,Paths!$E$271+'Operating costs'!$B$65&lt;=120,IF(Paths!$E$271+'Operating costs'!$B$65=0,C2921=0,AND(C2921&gt;0,Paths!$E$271+'Operating costs'!$B$65&gt;(C2921-1)*12,Paths!$E$271+'Operating costs'!$B$65&lt;=C2921*12))),'Operating costs'!$B$64,0)+IF(AND('Operating costs'!$B$67&gt;0,'Operating costs'!$B$67&lt;=120,OR(Paths!$D$271="ICE",'Operating costs'!$B$67&lt;=Paths!$E$271),IF('Operating costs'!$B$67=0,C2921=0,AND(C2921&gt;0,'Operating costs'!$B$67&gt;(C2921-1)*12,'Operating costs'!$B$67&lt;=C2921*12))),'Operating costs'!$B$66,0),"n.a."))</f>
        <v>0</v>
      </c>
      <c r="N2921" s="16">
        <f>IF(NOT(Paths!$C$271=1),0,IF(Paths!$P$271="Complete",SUM(G2921:I2921)-J2921-K2921-L2921+M2921+IF(C2921=0,Paths!$F$271,0)+IF(IF(Paths!$E$271=0,C2921=0,AND(C2921&gt;0,Paths!$E$271&gt;(C2921-1)*12,Paths!$E$271&lt;=C2921*12)),VLOOKUP(A2921,'Fleet register'!$A$7:$S$106,16,FALSE),0),"n.a."))</f>
        <v>0</v>
      </c>
      <c r="O2921" s="16">
        <f>IF(NOT(Paths!$C$271=1),0,IF(Paths!$P$271="Complete",N2921-IF(C2921=0,Paths!$F$271,0),"n.a."))</f>
        <v>0</v>
      </c>
      <c r="P2921" s="16">
        <f>IF(NOT(Paths!$C$271=1),0,IF(Paths!$P$271="Complete",O2921+L2921,"n.a."))</f>
        <v>0</v>
      </c>
      <c r="Q2921" s="16">
        <f>IF(NOT(Paths!$C$271=1),0,IF(Paths!$P$271="Complete",N2921*(1+'Operating costs'!$B$54)^-C2921,"n.a."))</f>
        <v>0</v>
      </c>
      <c r="R2921" s="16">
        <f>IF(NOT(Paths!$C$271=1),0,IF(Paths!$P$271="Complete",IF(AND(C2921=0,Paths!$E$271=0),I2921-J2921-K2921+VLOOKUP(A2921,'Fleet register'!$A$7:$S$106,15,FALSE)+VLOOKUP(A2921,'Fleet register'!$A$7:$S$106,16,FALSE),0),"n.a."))</f>
        <v>0</v>
      </c>
      <c r="S2921" s="1">
        <f>IF(NOT(Paths!$C$271=1),0,IF(Paths!$P$271="Complete",IF(C2921=0,0,Paths!$S$271*Paths!$R$271),"n.a."))</f>
        <v>0</v>
      </c>
      <c r="T2921" s="1">
        <f>IF(NOT(Paths!$C$271=1),0,IF(Paths!$P$271="Complete",IF(C2921=0,0,VLOOKUP(A2921,'Fleet register'!$A$7:$S$106,9,FALSE)*Paths!$R$271),"n.a."))</f>
        <v>0</v>
      </c>
    </row>
    <row r="2922" spans="1:20" ht="24" customHeight="1">
      <c r="A2922" s="1" t="str">
        <f>Paths!$A$272</f>
        <v>T067</v>
      </c>
      <c r="B2922" s="1">
        <f>Paths!$B$272</f>
        <v>1</v>
      </c>
      <c r="C2922" s="1">
        <v>0</v>
      </c>
      <c r="D2922" s="1">
        <v>272</v>
      </c>
      <c r="E2922" s="1">
        <f>IF(OR(Paths!$C$272=0,C2922=0),0,MAX(0,MIN(C2922*12,Paths!$E$272)-(C2922-1)*12))</f>
        <v>0</v>
      </c>
      <c r="F2922" s="1">
        <f>IF(OR(Paths!$C$272=0,C2922=0),0,12-E2922)</f>
        <v>0</v>
      </c>
      <c r="G2922" s="16">
        <f>IF(NOT(Paths!$C$272=1),0,IF(Paths!$P$272="Complete",E2922/12*(Paths!$J$272*(1+'Operating costs'!$B$51)^MAX(0,C2922-1)+Paths!$K$272*(1+'Operating costs'!$B$53)^MAX(0,C2922-1)),"n.a."))</f>
        <v>0</v>
      </c>
      <c r="H2922" s="16">
        <f>IF(NOT(Paths!$C$272=1),0,IF(Paths!$P$272="Complete",F2922/12*(Paths!$L$272*(1+IF(Paths!$D$272="EV",'Operating costs'!$B$52,'Operating costs'!$B$51))^MAX(0,C2922-1)+Paths!$M$272*(1+'Operating costs'!$B$53)^MAX(0,C2922-1)),"n.a."))</f>
        <v>0</v>
      </c>
      <c r="I2922" s="16">
        <f>IF(NOT(Paths!$C$272=1),0,IF(Paths!$P$272="Complete",IF(IF(Paths!$E$272=0,C2922=0,AND(C2922&gt;0,Paths!$E$272&gt;(C2922-1)*12,Paths!$E$272&lt;=C2922*12)),Paths!$G$272,0),"n.a."))</f>
        <v>0</v>
      </c>
      <c r="J2922" s="16">
        <f>IF(NOT(Paths!$C$272=1),0,IF(Paths!$P$272="Complete",IF(IF(Paths!$E$272=0,C2922=0,AND(C2922&gt;0,Paths!$E$272&gt;(C2922-1)*12,Paths!$E$272&lt;=C2922*12)),Paths!$H$272,0),"n.a."))</f>
        <v>0</v>
      </c>
      <c r="K2922" s="16">
        <f>IF(NOT(Paths!$C$272=1),0,IF(Paths!$P$272="Complete",IF(IF(Paths!$O$272=0,C2922=0,AND(C2922&gt;0,Paths!$O$272&gt;(C2922-1)*12,Paths!$O$272&lt;=C2922*12)),Paths!$N$272,0),"n.a."))</f>
        <v>0</v>
      </c>
      <c r="L2922" s="16">
        <f>IF(NOT(Paths!$C$272=1),0,IF(Paths!$P$272="Complete",IF(C2922=10,Paths!$I$272,0),"n.a."))</f>
        <v>0</v>
      </c>
      <c r="M2922" s="16">
        <f>IF(NOT(Paths!$C$272=1),0,IF(Paths!$P$272="Complete",IF(AND(Paths!$D$272="EV",Paths!$E$272&lt;120,Paths!$E$272+'Operating costs'!$B$65&gt;Paths!$E$272,Paths!$E$272+'Operating costs'!$B$65&lt;=120,IF(Paths!$E$272+'Operating costs'!$B$65=0,C2922=0,AND(C2922&gt;0,Paths!$E$272+'Operating costs'!$B$65&gt;(C2922-1)*12,Paths!$E$272+'Operating costs'!$B$65&lt;=C2922*12))),'Operating costs'!$B$64,0)+IF(AND('Operating costs'!$B$67&gt;0,'Operating costs'!$B$67&lt;=120,OR(Paths!$D$272="ICE",'Operating costs'!$B$67&lt;=Paths!$E$272),IF('Operating costs'!$B$67=0,C2922=0,AND(C2922&gt;0,'Operating costs'!$B$67&gt;(C2922-1)*12,'Operating costs'!$B$67&lt;=C2922*12))),'Operating costs'!$B$66,0),"n.a."))</f>
        <v>0</v>
      </c>
      <c r="N2922" s="16">
        <f>IF(NOT(Paths!$C$272=1),0,IF(Paths!$P$272="Complete",SUM(G2922:I2922)-J2922-K2922-L2922+M2922+IF(C2922=0,Paths!$F$272,0)+IF(IF(Paths!$E$272=0,C2922=0,AND(C2922&gt;0,Paths!$E$272&gt;(C2922-1)*12,Paths!$E$272&lt;=C2922*12)),VLOOKUP(A2922,'Fleet register'!$A$7:$S$106,16,FALSE),0),"n.a."))</f>
        <v>0</v>
      </c>
      <c r="O2922" s="16">
        <f>IF(NOT(Paths!$C$272=1),0,IF(Paths!$P$272="Complete",N2922-IF(C2922=0,Paths!$F$272,0),"n.a."))</f>
        <v>0</v>
      </c>
      <c r="P2922" s="16">
        <f>IF(NOT(Paths!$C$272=1),0,IF(Paths!$P$272="Complete",O2922+L2922,"n.a."))</f>
        <v>0</v>
      </c>
      <c r="Q2922" s="16">
        <f>IF(NOT(Paths!$C$272=1),0,IF(Paths!$P$272="Complete",N2922*(1+'Operating costs'!$B$54)^-C2922,"n.a."))</f>
        <v>0</v>
      </c>
      <c r="R2922" s="16">
        <f>IF(NOT(Paths!$C$272=1),0,IF(Paths!$P$272="Complete",IF(AND(C2922=0,Paths!$E$272=0),I2922-J2922-K2922+VLOOKUP(A2922,'Fleet register'!$A$7:$S$106,15,FALSE)+VLOOKUP(A2922,'Fleet register'!$A$7:$S$106,16,FALSE),0),"n.a."))</f>
        <v>0</v>
      </c>
      <c r="S2922" s="1">
        <f>IF(NOT(Paths!$C$272=1),0,IF(Paths!$P$272="Complete",IF(C2922=0,0,Paths!$S$272*Paths!$R$272),"n.a."))</f>
        <v>0</v>
      </c>
      <c r="T2922" s="1">
        <f>IF(NOT(Paths!$C$272=1),0,IF(Paths!$P$272="Complete",IF(C2922=0,0,VLOOKUP(A2922,'Fleet register'!$A$7:$S$106,9,FALSE)*Paths!$R$272),"n.a."))</f>
        <v>0</v>
      </c>
    </row>
    <row r="2923" spans="1:20" ht="24" customHeight="1">
      <c r="A2923" s="1" t="str">
        <f>Paths!$A$272</f>
        <v>T067</v>
      </c>
      <c r="B2923" s="1">
        <f>Paths!$B$272</f>
        <v>1</v>
      </c>
      <c r="C2923" s="1">
        <v>1</v>
      </c>
      <c r="D2923" s="1">
        <v>272</v>
      </c>
      <c r="E2923" s="1">
        <f>IF(OR(Paths!$C$272=0,C2923=0),0,MAX(0,MIN(C2923*12,Paths!$E$272)-(C2923-1)*12))</f>
        <v>0</v>
      </c>
      <c r="F2923" s="1">
        <f>IF(OR(Paths!$C$272=0,C2923=0),0,12-E2923)</f>
        <v>0</v>
      </c>
      <c r="G2923" s="16">
        <f>IF(NOT(Paths!$C$272=1),0,IF(Paths!$P$272="Complete",E2923/12*(Paths!$J$272*(1+'Operating costs'!$B$51)^MAX(0,C2923-1)+Paths!$K$272*(1+'Operating costs'!$B$53)^MAX(0,C2923-1)),"n.a."))</f>
        <v>0</v>
      </c>
      <c r="H2923" s="16">
        <f>IF(NOT(Paths!$C$272=1),0,IF(Paths!$P$272="Complete",F2923/12*(Paths!$L$272*(1+IF(Paths!$D$272="EV",'Operating costs'!$B$52,'Operating costs'!$B$51))^MAX(0,C2923-1)+Paths!$M$272*(1+'Operating costs'!$B$53)^MAX(0,C2923-1)),"n.a."))</f>
        <v>0</v>
      </c>
      <c r="I2923" s="16">
        <f>IF(NOT(Paths!$C$272=1),0,IF(Paths!$P$272="Complete",IF(IF(Paths!$E$272=0,C2923=0,AND(C2923&gt;0,Paths!$E$272&gt;(C2923-1)*12,Paths!$E$272&lt;=C2923*12)),Paths!$G$272,0),"n.a."))</f>
        <v>0</v>
      </c>
      <c r="J2923" s="16">
        <f>IF(NOT(Paths!$C$272=1),0,IF(Paths!$P$272="Complete",IF(IF(Paths!$E$272=0,C2923=0,AND(C2923&gt;0,Paths!$E$272&gt;(C2923-1)*12,Paths!$E$272&lt;=C2923*12)),Paths!$H$272,0),"n.a."))</f>
        <v>0</v>
      </c>
      <c r="K2923" s="16">
        <f>IF(NOT(Paths!$C$272=1),0,IF(Paths!$P$272="Complete",IF(IF(Paths!$O$272=0,C2923=0,AND(C2923&gt;0,Paths!$O$272&gt;(C2923-1)*12,Paths!$O$272&lt;=C2923*12)),Paths!$N$272,0),"n.a."))</f>
        <v>0</v>
      </c>
      <c r="L2923" s="16">
        <f>IF(NOT(Paths!$C$272=1),0,IF(Paths!$P$272="Complete",IF(C2923=10,Paths!$I$272,0),"n.a."))</f>
        <v>0</v>
      </c>
      <c r="M2923" s="16">
        <f>IF(NOT(Paths!$C$272=1),0,IF(Paths!$P$272="Complete",IF(AND(Paths!$D$272="EV",Paths!$E$272&lt;120,Paths!$E$272+'Operating costs'!$B$65&gt;Paths!$E$272,Paths!$E$272+'Operating costs'!$B$65&lt;=120,IF(Paths!$E$272+'Operating costs'!$B$65=0,C2923=0,AND(C2923&gt;0,Paths!$E$272+'Operating costs'!$B$65&gt;(C2923-1)*12,Paths!$E$272+'Operating costs'!$B$65&lt;=C2923*12))),'Operating costs'!$B$64,0)+IF(AND('Operating costs'!$B$67&gt;0,'Operating costs'!$B$67&lt;=120,OR(Paths!$D$272="ICE",'Operating costs'!$B$67&lt;=Paths!$E$272),IF('Operating costs'!$B$67=0,C2923=0,AND(C2923&gt;0,'Operating costs'!$B$67&gt;(C2923-1)*12,'Operating costs'!$B$67&lt;=C2923*12))),'Operating costs'!$B$66,0),"n.a."))</f>
        <v>0</v>
      </c>
      <c r="N2923" s="16">
        <f>IF(NOT(Paths!$C$272=1),0,IF(Paths!$P$272="Complete",SUM(G2923:I2923)-J2923-K2923-L2923+M2923+IF(C2923=0,Paths!$F$272,0)+IF(IF(Paths!$E$272=0,C2923=0,AND(C2923&gt;0,Paths!$E$272&gt;(C2923-1)*12,Paths!$E$272&lt;=C2923*12)),VLOOKUP(A2923,'Fleet register'!$A$7:$S$106,16,FALSE),0),"n.a."))</f>
        <v>0</v>
      </c>
      <c r="O2923" s="16">
        <f>IF(NOT(Paths!$C$272=1),0,IF(Paths!$P$272="Complete",N2923-IF(C2923=0,Paths!$F$272,0),"n.a."))</f>
        <v>0</v>
      </c>
      <c r="P2923" s="16">
        <f>IF(NOT(Paths!$C$272=1),0,IF(Paths!$P$272="Complete",O2923+L2923,"n.a."))</f>
        <v>0</v>
      </c>
      <c r="Q2923" s="16">
        <f>IF(NOT(Paths!$C$272=1),0,IF(Paths!$P$272="Complete",N2923*(1+'Operating costs'!$B$54)^-C2923,"n.a."))</f>
        <v>0</v>
      </c>
      <c r="R2923" s="16">
        <f>IF(NOT(Paths!$C$272=1),0,IF(Paths!$P$272="Complete",IF(AND(C2923=0,Paths!$E$272=0),I2923-J2923-K2923+VLOOKUP(A2923,'Fleet register'!$A$7:$S$106,15,FALSE)+VLOOKUP(A2923,'Fleet register'!$A$7:$S$106,16,FALSE),0),"n.a."))</f>
        <v>0</v>
      </c>
      <c r="S2923" s="1">
        <f>IF(NOT(Paths!$C$272=1),0,IF(Paths!$P$272="Complete",IF(C2923=0,0,Paths!$S$272*Paths!$R$272),"n.a."))</f>
        <v>0</v>
      </c>
      <c r="T2923" s="1">
        <f>IF(NOT(Paths!$C$272=1),0,IF(Paths!$P$272="Complete",IF(C2923=0,0,VLOOKUP(A2923,'Fleet register'!$A$7:$S$106,9,FALSE)*Paths!$R$272),"n.a."))</f>
        <v>0</v>
      </c>
    </row>
    <row r="2924" spans="1:20" ht="24" customHeight="1">
      <c r="A2924" s="1" t="str">
        <f>Paths!$A$272</f>
        <v>T067</v>
      </c>
      <c r="B2924" s="1">
        <f>Paths!$B$272</f>
        <v>1</v>
      </c>
      <c r="C2924" s="1">
        <v>2</v>
      </c>
      <c r="D2924" s="1">
        <v>272</v>
      </c>
      <c r="E2924" s="1">
        <f>IF(OR(Paths!$C$272=0,C2924=0),0,MAX(0,MIN(C2924*12,Paths!$E$272)-(C2924-1)*12))</f>
        <v>0</v>
      </c>
      <c r="F2924" s="1">
        <f>IF(OR(Paths!$C$272=0,C2924=0),0,12-E2924)</f>
        <v>0</v>
      </c>
      <c r="G2924" s="16">
        <f>IF(NOT(Paths!$C$272=1),0,IF(Paths!$P$272="Complete",E2924/12*(Paths!$J$272*(1+'Operating costs'!$B$51)^MAX(0,C2924-1)+Paths!$K$272*(1+'Operating costs'!$B$53)^MAX(0,C2924-1)),"n.a."))</f>
        <v>0</v>
      </c>
      <c r="H2924" s="16">
        <f>IF(NOT(Paths!$C$272=1),0,IF(Paths!$P$272="Complete",F2924/12*(Paths!$L$272*(1+IF(Paths!$D$272="EV",'Operating costs'!$B$52,'Operating costs'!$B$51))^MAX(0,C2924-1)+Paths!$M$272*(1+'Operating costs'!$B$53)^MAX(0,C2924-1)),"n.a."))</f>
        <v>0</v>
      </c>
      <c r="I2924" s="16">
        <f>IF(NOT(Paths!$C$272=1),0,IF(Paths!$P$272="Complete",IF(IF(Paths!$E$272=0,C2924=0,AND(C2924&gt;0,Paths!$E$272&gt;(C2924-1)*12,Paths!$E$272&lt;=C2924*12)),Paths!$G$272,0),"n.a."))</f>
        <v>0</v>
      </c>
      <c r="J2924" s="16">
        <f>IF(NOT(Paths!$C$272=1),0,IF(Paths!$P$272="Complete",IF(IF(Paths!$E$272=0,C2924=0,AND(C2924&gt;0,Paths!$E$272&gt;(C2924-1)*12,Paths!$E$272&lt;=C2924*12)),Paths!$H$272,0),"n.a."))</f>
        <v>0</v>
      </c>
      <c r="K2924" s="16">
        <f>IF(NOT(Paths!$C$272=1),0,IF(Paths!$P$272="Complete",IF(IF(Paths!$O$272=0,C2924=0,AND(C2924&gt;0,Paths!$O$272&gt;(C2924-1)*12,Paths!$O$272&lt;=C2924*12)),Paths!$N$272,0),"n.a."))</f>
        <v>0</v>
      </c>
      <c r="L2924" s="16">
        <f>IF(NOT(Paths!$C$272=1),0,IF(Paths!$P$272="Complete",IF(C2924=10,Paths!$I$272,0),"n.a."))</f>
        <v>0</v>
      </c>
      <c r="M2924" s="16">
        <f>IF(NOT(Paths!$C$272=1),0,IF(Paths!$P$272="Complete",IF(AND(Paths!$D$272="EV",Paths!$E$272&lt;120,Paths!$E$272+'Operating costs'!$B$65&gt;Paths!$E$272,Paths!$E$272+'Operating costs'!$B$65&lt;=120,IF(Paths!$E$272+'Operating costs'!$B$65=0,C2924=0,AND(C2924&gt;0,Paths!$E$272+'Operating costs'!$B$65&gt;(C2924-1)*12,Paths!$E$272+'Operating costs'!$B$65&lt;=C2924*12))),'Operating costs'!$B$64,0)+IF(AND('Operating costs'!$B$67&gt;0,'Operating costs'!$B$67&lt;=120,OR(Paths!$D$272="ICE",'Operating costs'!$B$67&lt;=Paths!$E$272),IF('Operating costs'!$B$67=0,C2924=0,AND(C2924&gt;0,'Operating costs'!$B$67&gt;(C2924-1)*12,'Operating costs'!$B$67&lt;=C2924*12))),'Operating costs'!$B$66,0),"n.a."))</f>
        <v>0</v>
      </c>
      <c r="N2924" s="16">
        <f>IF(NOT(Paths!$C$272=1),0,IF(Paths!$P$272="Complete",SUM(G2924:I2924)-J2924-K2924-L2924+M2924+IF(C2924=0,Paths!$F$272,0)+IF(IF(Paths!$E$272=0,C2924=0,AND(C2924&gt;0,Paths!$E$272&gt;(C2924-1)*12,Paths!$E$272&lt;=C2924*12)),VLOOKUP(A2924,'Fleet register'!$A$7:$S$106,16,FALSE),0),"n.a."))</f>
        <v>0</v>
      </c>
      <c r="O2924" s="16">
        <f>IF(NOT(Paths!$C$272=1),0,IF(Paths!$P$272="Complete",N2924-IF(C2924=0,Paths!$F$272,0),"n.a."))</f>
        <v>0</v>
      </c>
      <c r="P2924" s="16">
        <f>IF(NOT(Paths!$C$272=1),0,IF(Paths!$P$272="Complete",O2924+L2924,"n.a."))</f>
        <v>0</v>
      </c>
      <c r="Q2924" s="16">
        <f>IF(NOT(Paths!$C$272=1),0,IF(Paths!$P$272="Complete",N2924*(1+'Operating costs'!$B$54)^-C2924,"n.a."))</f>
        <v>0</v>
      </c>
      <c r="R2924" s="16">
        <f>IF(NOT(Paths!$C$272=1),0,IF(Paths!$P$272="Complete",IF(AND(C2924=0,Paths!$E$272=0),I2924-J2924-K2924+VLOOKUP(A2924,'Fleet register'!$A$7:$S$106,15,FALSE)+VLOOKUP(A2924,'Fleet register'!$A$7:$S$106,16,FALSE),0),"n.a."))</f>
        <v>0</v>
      </c>
      <c r="S2924" s="1">
        <f>IF(NOT(Paths!$C$272=1),0,IF(Paths!$P$272="Complete",IF(C2924=0,0,Paths!$S$272*Paths!$R$272),"n.a."))</f>
        <v>0</v>
      </c>
      <c r="T2924" s="1">
        <f>IF(NOT(Paths!$C$272=1),0,IF(Paths!$P$272="Complete",IF(C2924=0,0,VLOOKUP(A2924,'Fleet register'!$A$7:$S$106,9,FALSE)*Paths!$R$272),"n.a."))</f>
        <v>0</v>
      </c>
    </row>
    <row r="2925" spans="1:20" ht="24" customHeight="1">
      <c r="A2925" s="1" t="str">
        <f>Paths!$A$272</f>
        <v>T067</v>
      </c>
      <c r="B2925" s="1">
        <f>Paths!$B$272</f>
        <v>1</v>
      </c>
      <c r="C2925" s="1">
        <v>3</v>
      </c>
      <c r="D2925" s="1">
        <v>272</v>
      </c>
      <c r="E2925" s="1">
        <f>IF(OR(Paths!$C$272=0,C2925=0),0,MAX(0,MIN(C2925*12,Paths!$E$272)-(C2925-1)*12))</f>
        <v>0</v>
      </c>
      <c r="F2925" s="1">
        <f>IF(OR(Paths!$C$272=0,C2925=0),0,12-E2925)</f>
        <v>0</v>
      </c>
      <c r="G2925" s="16">
        <f>IF(NOT(Paths!$C$272=1),0,IF(Paths!$P$272="Complete",E2925/12*(Paths!$J$272*(1+'Operating costs'!$B$51)^MAX(0,C2925-1)+Paths!$K$272*(1+'Operating costs'!$B$53)^MAX(0,C2925-1)),"n.a."))</f>
        <v>0</v>
      </c>
      <c r="H2925" s="16">
        <f>IF(NOT(Paths!$C$272=1),0,IF(Paths!$P$272="Complete",F2925/12*(Paths!$L$272*(1+IF(Paths!$D$272="EV",'Operating costs'!$B$52,'Operating costs'!$B$51))^MAX(0,C2925-1)+Paths!$M$272*(1+'Operating costs'!$B$53)^MAX(0,C2925-1)),"n.a."))</f>
        <v>0</v>
      </c>
      <c r="I2925" s="16">
        <f>IF(NOT(Paths!$C$272=1),0,IF(Paths!$P$272="Complete",IF(IF(Paths!$E$272=0,C2925=0,AND(C2925&gt;0,Paths!$E$272&gt;(C2925-1)*12,Paths!$E$272&lt;=C2925*12)),Paths!$G$272,0),"n.a."))</f>
        <v>0</v>
      </c>
      <c r="J2925" s="16">
        <f>IF(NOT(Paths!$C$272=1),0,IF(Paths!$P$272="Complete",IF(IF(Paths!$E$272=0,C2925=0,AND(C2925&gt;0,Paths!$E$272&gt;(C2925-1)*12,Paths!$E$272&lt;=C2925*12)),Paths!$H$272,0),"n.a."))</f>
        <v>0</v>
      </c>
      <c r="K2925" s="16">
        <f>IF(NOT(Paths!$C$272=1),0,IF(Paths!$P$272="Complete",IF(IF(Paths!$O$272=0,C2925=0,AND(C2925&gt;0,Paths!$O$272&gt;(C2925-1)*12,Paths!$O$272&lt;=C2925*12)),Paths!$N$272,0),"n.a."))</f>
        <v>0</v>
      </c>
      <c r="L2925" s="16">
        <f>IF(NOT(Paths!$C$272=1),0,IF(Paths!$P$272="Complete",IF(C2925=10,Paths!$I$272,0),"n.a."))</f>
        <v>0</v>
      </c>
      <c r="M2925" s="16">
        <f>IF(NOT(Paths!$C$272=1),0,IF(Paths!$P$272="Complete",IF(AND(Paths!$D$272="EV",Paths!$E$272&lt;120,Paths!$E$272+'Operating costs'!$B$65&gt;Paths!$E$272,Paths!$E$272+'Operating costs'!$B$65&lt;=120,IF(Paths!$E$272+'Operating costs'!$B$65=0,C2925=0,AND(C2925&gt;0,Paths!$E$272+'Operating costs'!$B$65&gt;(C2925-1)*12,Paths!$E$272+'Operating costs'!$B$65&lt;=C2925*12))),'Operating costs'!$B$64,0)+IF(AND('Operating costs'!$B$67&gt;0,'Operating costs'!$B$67&lt;=120,OR(Paths!$D$272="ICE",'Operating costs'!$B$67&lt;=Paths!$E$272),IF('Operating costs'!$B$67=0,C2925=0,AND(C2925&gt;0,'Operating costs'!$B$67&gt;(C2925-1)*12,'Operating costs'!$B$67&lt;=C2925*12))),'Operating costs'!$B$66,0),"n.a."))</f>
        <v>0</v>
      </c>
      <c r="N2925" s="16">
        <f>IF(NOT(Paths!$C$272=1),0,IF(Paths!$P$272="Complete",SUM(G2925:I2925)-J2925-K2925-L2925+M2925+IF(C2925=0,Paths!$F$272,0)+IF(IF(Paths!$E$272=0,C2925=0,AND(C2925&gt;0,Paths!$E$272&gt;(C2925-1)*12,Paths!$E$272&lt;=C2925*12)),VLOOKUP(A2925,'Fleet register'!$A$7:$S$106,16,FALSE),0),"n.a."))</f>
        <v>0</v>
      </c>
      <c r="O2925" s="16">
        <f>IF(NOT(Paths!$C$272=1),0,IF(Paths!$P$272="Complete",N2925-IF(C2925=0,Paths!$F$272,0),"n.a."))</f>
        <v>0</v>
      </c>
      <c r="P2925" s="16">
        <f>IF(NOT(Paths!$C$272=1),0,IF(Paths!$P$272="Complete",O2925+L2925,"n.a."))</f>
        <v>0</v>
      </c>
      <c r="Q2925" s="16">
        <f>IF(NOT(Paths!$C$272=1),0,IF(Paths!$P$272="Complete",N2925*(1+'Operating costs'!$B$54)^-C2925,"n.a."))</f>
        <v>0</v>
      </c>
      <c r="R2925" s="16">
        <f>IF(NOT(Paths!$C$272=1),0,IF(Paths!$P$272="Complete",IF(AND(C2925=0,Paths!$E$272=0),I2925-J2925-K2925+VLOOKUP(A2925,'Fleet register'!$A$7:$S$106,15,FALSE)+VLOOKUP(A2925,'Fleet register'!$A$7:$S$106,16,FALSE),0),"n.a."))</f>
        <v>0</v>
      </c>
      <c r="S2925" s="1">
        <f>IF(NOT(Paths!$C$272=1),0,IF(Paths!$P$272="Complete",IF(C2925=0,0,Paths!$S$272*Paths!$R$272),"n.a."))</f>
        <v>0</v>
      </c>
      <c r="T2925" s="1">
        <f>IF(NOT(Paths!$C$272=1),0,IF(Paths!$P$272="Complete",IF(C2925=0,0,VLOOKUP(A2925,'Fleet register'!$A$7:$S$106,9,FALSE)*Paths!$R$272),"n.a."))</f>
        <v>0</v>
      </c>
    </row>
    <row r="2926" spans="1:20" ht="24" customHeight="1">
      <c r="A2926" s="1" t="str">
        <f>Paths!$A$272</f>
        <v>T067</v>
      </c>
      <c r="B2926" s="1">
        <f>Paths!$B$272</f>
        <v>1</v>
      </c>
      <c r="C2926" s="1">
        <v>4</v>
      </c>
      <c r="D2926" s="1">
        <v>272</v>
      </c>
      <c r="E2926" s="1">
        <f>IF(OR(Paths!$C$272=0,C2926=0),0,MAX(0,MIN(C2926*12,Paths!$E$272)-(C2926-1)*12))</f>
        <v>0</v>
      </c>
      <c r="F2926" s="1">
        <f>IF(OR(Paths!$C$272=0,C2926=0),0,12-E2926)</f>
        <v>0</v>
      </c>
      <c r="G2926" s="16">
        <f>IF(NOT(Paths!$C$272=1),0,IF(Paths!$P$272="Complete",E2926/12*(Paths!$J$272*(1+'Operating costs'!$B$51)^MAX(0,C2926-1)+Paths!$K$272*(1+'Operating costs'!$B$53)^MAX(0,C2926-1)),"n.a."))</f>
        <v>0</v>
      </c>
      <c r="H2926" s="16">
        <f>IF(NOT(Paths!$C$272=1),0,IF(Paths!$P$272="Complete",F2926/12*(Paths!$L$272*(1+IF(Paths!$D$272="EV",'Operating costs'!$B$52,'Operating costs'!$B$51))^MAX(0,C2926-1)+Paths!$M$272*(1+'Operating costs'!$B$53)^MAX(0,C2926-1)),"n.a."))</f>
        <v>0</v>
      </c>
      <c r="I2926" s="16">
        <f>IF(NOT(Paths!$C$272=1),0,IF(Paths!$P$272="Complete",IF(IF(Paths!$E$272=0,C2926=0,AND(C2926&gt;0,Paths!$E$272&gt;(C2926-1)*12,Paths!$E$272&lt;=C2926*12)),Paths!$G$272,0),"n.a."))</f>
        <v>0</v>
      </c>
      <c r="J2926" s="16">
        <f>IF(NOT(Paths!$C$272=1),0,IF(Paths!$P$272="Complete",IF(IF(Paths!$E$272=0,C2926=0,AND(C2926&gt;0,Paths!$E$272&gt;(C2926-1)*12,Paths!$E$272&lt;=C2926*12)),Paths!$H$272,0),"n.a."))</f>
        <v>0</v>
      </c>
      <c r="K2926" s="16">
        <f>IF(NOT(Paths!$C$272=1),0,IF(Paths!$P$272="Complete",IF(IF(Paths!$O$272=0,C2926=0,AND(C2926&gt;0,Paths!$O$272&gt;(C2926-1)*12,Paths!$O$272&lt;=C2926*12)),Paths!$N$272,0),"n.a."))</f>
        <v>0</v>
      </c>
      <c r="L2926" s="16">
        <f>IF(NOT(Paths!$C$272=1),0,IF(Paths!$P$272="Complete",IF(C2926=10,Paths!$I$272,0),"n.a."))</f>
        <v>0</v>
      </c>
      <c r="M2926" s="16">
        <f>IF(NOT(Paths!$C$272=1),0,IF(Paths!$P$272="Complete",IF(AND(Paths!$D$272="EV",Paths!$E$272&lt;120,Paths!$E$272+'Operating costs'!$B$65&gt;Paths!$E$272,Paths!$E$272+'Operating costs'!$B$65&lt;=120,IF(Paths!$E$272+'Operating costs'!$B$65=0,C2926=0,AND(C2926&gt;0,Paths!$E$272+'Operating costs'!$B$65&gt;(C2926-1)*12,Paths!$E$272+'Operating costs'!$B$65&lt;=C2926*12))),'Operating costs'!$B$64,0)+IF(AND('Operating costs'!$B$67&gt;0,'Operating costs'!$B$67&lt;=120,OR(Paths!$D$272="ICE",'Operating costs'!$B$67&lt;=Paths!$E$272),IF('Operating costs'!$B$67=0,C2926=0,AND(C2926&gt;0,'Operating costs'!$B$67&gt;(C2926-1)*12,'Operating costs'!$B$67&lt;=C2926*12))),'Operating costs'!$B$66,0),"n.a."))</f>
        <v>0</v>
      </c>
      <c r="N2926" s="16">
        <f>IF(NOT(Paths!$C$272=1),0,IF(Paths!$P$272="Complete",SUM(G2926:I2926)-J2926-K2926-L2926+M2926+IF(C2926=0,Paths!$F$272,0)+IF(IF(Paths!$E$272=0,C2926=0,AND(C2926&gt;0,Paths!$E$272&gt;(C2926-1)*12,Paths!$E$272&lt;=C2926*12)),VLOOKUP(A2926,'Fleet register'!$A$7:$S$106,16,FALSE),0),"n.a."))</f>
        <v>0</v>
      </c>
      <c r="O2926" s="16">
        <f>IF(NOT(Paths!$C$272=1),0,IF(Paths!$P$272="Complete",N2926-IF(C2926=0,Paths!$F$272,0),"n.a."))</f>
        <v>0</v>
      </c>
      <c r="P2926" s="16">
        <f>IF(NOT(Paths!$C$272=1),0,IF(Paths!$P$272="Complete",O2926+L2926,"n.a."))</f>
        <v>0</v>
      </c>
      <c r="Q2926" s="16">
        <f>IF(NOT(Paths!$C$272=1),0,IF(Paths!$P$272="Complete",N2926*(1+'Operating costs'!$B$54)^-C2926,"n.a."))</f>
        <v>0</v>
      </c>
      <c r="R2926" s="16">
        <f>IF(NOT(Paths!$C$272=1),0,IF(Paths!$P$272="Complete",IF(AND(C2926=0,Paths!$E$272=0),I2926-J2926-K2926+VLOOKUP(A2926,'Fleet register'!$A$7:$S$106,15,FALSE)+VLOOKUP(A2926,'Fleet register'!$A$7:$S$106,16,FALSE),0),"n.a."))</f>
        <v>0</v>
      </c>
      <c r="S2926" s="1">
        <f>IF(NOT(Paths!$C$272=1),0,IF(Paths!$P$272="Complete",IF(C2926=0,0,Paths!$S$272*Paths!$R$272),"n.a."))</f>
        <v>0</v>
      </c>
      <c r="T2926" s="1">
        <f>IF(NOT(Paths!$C$272=1),0,IF(Paths!$P$272="Complete",IF(C2926=0,0,VLOOKUP(A2926,'Fleet register'!$A$7:$S$106,9,FALSE)*Paths!$R$272),"n.a."))</f>
        <v>0</v>
      </c>
    </row>
    <row r="2927" spans="1:20" ht="24" customHeight="1">
      <c r="A2927" s="1" t="str">
        <f>Paths!$A$272</f>
        <v>T067</v>
      </c>
      <c r="B2927" s="1">
        <f>Paths!$B$272</f>
        <v>1</v>
      </c>
      <c r="C2927" s="1">
        <v>5</v>
      </c>
      <c r="D2927" s="1">
        <v>272</v>
      </c>
      <c r="E2927" s="1">
        <f>IF(OR(Paths!$C$272=0,C2927=0),0,MAX(0,MIN(C2927*12,Paths!$E$272)-(C2927-1)*12))</f>
        <v>0</v>
      </c>
      <c r="F2927" s="1">
        <f>IF(OR(Paths!$C$272=0,C2927=0),0,12-E2927)</f>
        <v>0</v>
      </c>
      <c r="G2927" s="16">
        <f>IF(NOT(Paths!$C$272=1),0,IF(Paths!$P$272="Complete",E2927/12*(Paths!$J$272*(1+'Operating costs'!$B$51)^MAX(0,C2927-1)+Paths!$K$272*(1+'Operating costs'!$B$53)^MAX(0,C2927-1)),"n.a."))</f>
        <v>0</v>
      </c>
      <c r="H2927" s="16">
        <f>IF(NOT(Paths!$C$272=1),0,IF(Paths!$P$272="Complete",F2927/12*(Paths!$L$272*(1+IF(Paths!$D$272="EV",'Operating costs'!$B$52,'Operating costs'!$B$51))^MAX(0,C2927-1)+Paths!$M$272*(1+'Operating costs'!$B$53)^MAX(0,C2927-1)),"n.a."))</f>
        <v>0</v>
      </c>
      <c r="I2927" s="16">
        <f>IF(NOT(Paths!$C$272=1),0,IF(Paths!$P$272="Complete",IF(IF(Paths!$E$272=0,C2927=0,AND(C2927&gt;0,Paths!$E$272&gt;(C2927-1)*12,Paths!$E$272&lt;=C2927*12)),Paths!$G$272,0),"n.a."))</f>
        <v>0</v>
      </c>
      <c r="J2927" s="16">
        <f>IF(NOT(Paths!$C$272=1),0,IF(Paths!$P$272="Complete",IF(IF(Paths!$E$272=0,C2927=0,AND(C2927&gt;0,Paths!$E$272&gt;(C2927-1)*12,Paths!$E$272&lt;=C2927*12)),Paths!$H$272,0),"n.a."))</f>
        <v>0</v>
      </c>
      <c r="K2927" s="16">
        <f>IF(NOT(Paths!$C$272=1),0,IF(Paths!$P$272="Complete",IF(IF(Paths!$O$272=0,C2927=0,AND(C2927&gt;0,Paths!$O$272&gt;(C2927-1)*12,Paths!$O$272&lt;=C2927*12)),Paths!$N$272,0),"n.a."))</f>
        <v>0</v>
      </c>
      <c r="L2927" s="16">
        <f>IF(NOT(Paths!$C$272=1),0,IF(Paths!$P$272="Complete",IF(C2927=10,Paths!$I$272,0),"n.a."))</f>
        <v>0</v>
      </c>
      <c r="M2927" s="16">
        <f>IF(NOT(Paths!$C$272=1),0,IF(Paths!$P$272="Complete",IF(AND(Paths!$D$272="EV",Paths!$E$272&lt;120,Paths!$E$272+'Operating costs'!$B$65&gt;Paths!$E$272,Paths!$E$272+'Operating costs'!$B$65&lt;=120,IF(Paths!$E$272+'Operating costs'!$B$65=0,C2927=0,AND(C2927&gt;0,Paths!$E$272+'Operating costs'!$B$65&gt;(C2927-1)*12,Paths!$E$272+'Operating costs'!$B$65&lt;=C2927*12))),'Operating costs'!$B$64,0)+IF(AND('Operating costs'!$B$67&gt;0,'Operating costs'!$B$67&lt;=120,OR(Paths!$D$272="ICE",'Operating costs'!$B$67&lt;=Paths!$E$272),IF('Operating costs'!$B$67=0,C2927=0,AND(C2927&gt;0,'Operating costs'!$B$67&gt;(C2927-1)*12,'Operating costs'!$B$67&lt;=C2927*12))),'Operating costs'!$B$66,0),"n.a."))</f>
        <v>0</v>
      </c>
      <c r="N2927" s="16">
        <f>IF(NOT(Paths!$C$272=1),0,IF(Paths!$P$272="Complete",SUM(G2927:I2927)-J2927-K2927-L2927+M2927+IF(C2927=0,Paths!$F$272,0)+IF(IF(Paths!$E$272=0,C2927=0,AND(C2927&gt;0,Paths!$E$272&gt;(C2927-1)*12,Paths!$E$272&lt;=C2927*12)),VLOOKUP(A2927,'Fleet register'!$A$7:$S$106,16,FALSE),0),"n.a."))</f>
        <v>0</v>
      </c>
      <c r="O2927" s="16">
        <f>IF(NOT(Paths!$C$272=1),0,IF(Paths!$P$272="Complete",N2927-IF(C2927=0,Paths!$F$272,0),"n.a."))</f>
        <v>0</v>
      </c>
      <c r="P2927" s="16">
        <f>IF(NOT(Paths!$C$272=1),0,IF(Paths!$P$272="Complete",O2927+L2927,"n.a."))</f>
        <v>0</v>
      </c>
      <c r="Q2927" s="16">
        <f>IF(NOT(Paths!$C$272=1),0,IF(Paths!$P$272="Complete",N2927*(1+'Operating costs'!$B$54)^-C2927,"n.a."))</f>
        <v>0</v>
      </c>
      <c r="R2927" s="16">
        <f>IF(NOT(Paths!$C$272=1),0,IF(Paths!$P$272="Complete",IF(AND(C2927=0,Paths!$E$272=0),I2927-J2927-K2927+VLOOKUP(A2927,'Fleet register'!$A$7:$S$106,15,FALSE)+VLOOKUP(A2927,'Fleet register'!$A$7:$S$106,16,FALSE),0),"n.a."))</f>
        <v>0</v>
      </c>
      <c r="S2927" s="1">
        <f>IF(NOT(Paths!$C$272=1),0,IF(Paths!$P$272="Complete",IF(C2927=0,0,Paths!$S$272*Paths!$R$272),"n.a."))</f>
        <v>0</v>
      </c>
      <c r="T2927" s="1">
        <f>IF(NOT(Paths!$C$272=1),0,IF(Paths!$P$272="Complete",IF(C2927=0,0,VLOOKUP(A2927,'Fleet register'!$A$7:$S$106,9,FALSE)*Paths!$R$272),"n.a."))</f>
        <v>0</v>
      </c>
    </row>
    <row r="2928" spans="1:20" ht="24" customHeight="1">
      <c r="A2928" s="1" t="str">
        <f>Paths!$A$272</f>
        <v>T067</v>
      </c>
      <c r="B2928" s="1">
        <f>Paths!$B$272</f>
        <v>1</v>
      </c>
      <c r="C2928" s="1">
        <v>6</v>
      </c>
      <c r="D2928" s="1">
        <v>272</v>
      </c>
      <c r="E2928" s="1">
        <f>IF(OR(Paths!$C$272=0,C2928=0),0,MAX(0,MIN(C2928*12,Paths!$E$272)-(C2928-1)*12))</f>
        <v>0</v>
      </c>
      <c r="F2928" s="1">
        <f>IF(OR(Paths!$C$272=0,C2928=0),0,12-E2928)</f>
        <v>0</v>
      </c>
      <c r="G2928" s="16">
        <f>IF(NOT(Paths!$C$272=1),0,IF(Paths!$P$272="Complete",E2928/12*(Paths!$J$272*(1+'Operating costs'!$B$51)^MAX(0,C2928-1)+Paths!$K$272*(1+'Operating costs'!$B$53)^MAX(0,C2928-1)),"n.a."))</f>
        <v>0</v>
      </c>
      <c r="H2928" s="16">
        <f>IF(NOT(Paths!$C$272=1),0,IF(Paths!$P$272="Complete",F2928/12*(Paths!$L$272*(1+IF(Paths!$D$272="EV",'Operating costs'!$B$52,'Operating costs'!$B$51))^MAX(0,C2928-1)+Paths!$M$272*(1+'Operating costs'!$B$53)^MAX(0,C2928-1)),"n.a."))</f>
        <v>0</v>
      </c>
      <c r="I2928" s="16">
        <f>IF(NOT(Paths!$C$272=1),0,IF(Paths!$P$272="Complete",IF(IF(Paths!$E$272=0,C2928=0,AND(C2928&gt;0,Paths!$E$272&gt;(C2928-1)*12,Paths!$E$272&lt;=C2928*12)),Paths!$G$272,0),"n.a."))</f>
        <v>0</v>
      </c>
      <c r="J2928" s="16">
        <f>IF(NOT(Paths!$C$272=1),0,IF(Paths!$P$272="Complete",IF(IF(Paths!$E$272=0,C2928=0,AND(C2928&gt;0,Paths!$E$272&gt;(C2928-1)*12,Paths!$E$272&lt;=C2928*12)),Paths!$H$272,0),"n.a."))</f>
        <v>0</v>
      </c>
      <c r="K2928" s="16">
        <f>IF(NOT(Paths!$C$272=1),0,IF(Paths!$P$272="Complete",IF(IF(Paths!$O$272=0,C2928=0,AND(C2928&gt;0,Paths!$O$272&gt;(C2928-1)*12,Paths!$O$272&lt;=C2928*12)),Paths!$N$272,0),"n.a."))</f>
        <v>0</v>
      </c>
      <c r="L2928" s="16">
        <f>IF(NOT(Paths!$C$272=1),0,IF(Paths!$P$272="Complete",IF(C2928=10,Paths!$I$272,0),"n.a."))</f>
        <v>0</v>
      </c>
      <c r="M2928" s="16">
        <f>IF(NOT(Paths!$C$272=1),0,IF(Paths!$P$272="Complete",IF(AND(Paths!$D$272="EV",Paths!$E$272&lt;120,Paths!$E$272+'Operating costs'!$B$65&gt;Paths!$E$272,Paths!$E$272+'Operating costs'!$B$65&lt;=120,IF(Paths!$E$272+'Operating costs'!$B$65=0,C2928=0,AND(C2928&gt;0,Paths!$E$272+'Operating costs'!$B$65&gt;(C2928-1)*12,Paths!$E$272+'Operating costs'!$B$65&lt;=C2928*12))),'Operating costs'!$B$64,0)+IF(AND('Operating costs'!$B$67&gt;0,'Operating costs'!$B$67&lt;=120,OR(Paths!$D$272="ICE",'Operating costs'!$B$67&lt;=Paths!$E$272),IF('Operating costs'!$B$67=0,C2928=0,AND(C2928&gt;0,'Operating costs'!$B$67&gt;(C2928-1)*12,'Operating costs'!$B$67&lt;=C2928*12))),'Operating costs'!$B$66,0),"n.a."))</f>
        <v>0</v>
      </c>
      <c r="N2928" s="16">
        <f>IF(NOT(Paths!$C$272=1),0,IF(Paths!$P$272="Complete",SUM(G2928:I2928)-J2928-K2928-L2928+M2928+IF(C2928=0,Paths!$F$272,0)+IF(IF(Paths!$E$272=0,C2928=0,AND(C2928&gt;0,Paths!$E$272&gt;(C2928-1)*12,Paths!$E$272&lt;=C2928*12)),VLOOKUP(A2928,'Fleet register'!$A$7:$S$106,16,FALSE),0),"n.a."))</f>
        <v>0</v>
      </c>
      <c r="O2928" s="16">
        <f>IF(NOT(Paths!$C$272=1),0,IF(Paths!$P$272="Complete",N2928-IF(C2928=0,Paths!$F$272,0),"n.a."))</f>
        <v>0</v>
      </c>
      <c r="P2928" s="16">
        <f>IF(NOT(Paths!$C$272=1),0,IF(Paths!$P$272="Complete",O2928+L2928,"n.a."))</f>
        <v>0</v>
      </c>
      <c r="Q2928" s="16">
        <f>IF(NOT(Paths!$C$272=1),0,IF(Paths!$P$272="Complete",N2928*(1+'Operating costs'!$B$54)^-C2928,"n.a."))</f>
        <v>0</v>
      </c>
      <c r="R2928" s="16">
        <f>IF(NOT(Paths!$C$272=1),0,IF(Paths!$P$272="Complete",IF(AND(C2928=0,Paths!$E$272=0),I2928-J2928-K2928+VLOOKUP(A2928,'Fleet register'!$A$7:$S$106,15,FALSE)+VLOOKUP(A2928,'Fleet register'!$A$7:$S$106,16,FALSE),0),"n.a."))</f>
        <v>0</v>
      </c>
      <c r="S2928" s="1">
        <f>IF(NOT(Paths!$C$272=1),0,IF(Paths!$P$272="Complete",IF(C2928=0,0,Paths!$S$272*Paths!$R$272),"n.a."))</f>
        <v>0</v>
      </c>
      <c r="T2928" s="1">
        <f>IF(NOT(Paths!$C$272=1),0,IF(Paths!$P$272="Complete",IF(C2928=0,0,VLOOKUP(A2928,'Fleet register'!$A$7:$S$106,9,FALSE)*Paths!$R$272),"n.a."))</f>
        <v>0</v>
      </c>
    </row>
    <row r="2929" spans="1:20" ht="24" customHeight="1">
      <c r="A2929" s="1" t="str">
        <f>Paths!$A$272</f>
        <v>T067</v>
      </c>
      <c r="B2929" s="1">
        <f>Paths!$B$272</f>
        <v>1</v>
      </c>
      <c r="C2929" s="1">
        <v>7</v>
      </c>
      <c r="D2929" s="1">
        <v>272</v>
      </c>
      <c r="E2929" s="1">
        <f>IF(OR(Paths!$C$272=0,C2929=0),0,MAX(0,MIN(C2929*12,Paths!$E$272)-(C2929-1)*12))</f>
        <v>0</v>
      </c>
      <c r="F2929" s="1">
        <f>IF(OR(Paths!$C$272=0,C2929=0),0,12-E2929)</f>
        <v>0</v>
      </c>
      <c r="G2929" s="16">
        <f>IF(NOT(Paths!$C$272=1),0,IF(Paths!$P$272="Complete",E2929/12*(Paths!$J$272*(1+'Operating costs'!$B$51)^MAX(0,C2929-1)+Paths!$K$272*(1+'Operating costs'!$B$53)^MAX(0,C2929-1)),"n.a."))</f>
        <v>0</v>
      </c>
      <c r="H2929" s="16">
        <f>IF(NOT(Paths!$C$272=1),0,IF(Paths!$P$272="Complete",F2929/12*(Paths!$L$272*(1+IF(Paths!$D$272="EV",'Operating costs'!$B$52,'Operating costs'!$B$51))^MAX(0,C2929-1)+Paths!$M$272*(1+'Operating costs'!$B$53)^MAX(0,C2929-1)),"n.a."))</f>
        <v>0</v>
      </c>
      <c r="I2929" s="16">
        <f>IF(NOT(Paths!$C$272=1),0,IF(Paths!$P$272="Complete",IF(IF(Paths!$E$272=0,C2929=0,AND(C2929&gt;0,Paths!$E$272&gt;(C2929-1)*12,Paths!$E$272&lt;=C2929*12)),Paths!$G$272,0),"n.a."))</f>
        <v>0</v>
      </c>
      <c r="J2929" s="16">
        <f>IF(NOT(Paths!$C$272=1),0,IF(Paths!$P$272="Complete",IF(IF(Paths!$E$272=0,C2929=0,AND(C2929&gt;0,Paths!$E$272&gt;(C2929-1)*12,Paths!$E$272&lt;=C2929*12)),Paths!$H$272,0),"n.a."))</f>
        <v>0</v>
      </c>
      <c r="K2929" s="16">
        <f>IF(NOT(Paths!$C$272=1),0,IF(Paths!$P$272="Complete",IF(IF(Paths!$O$272=0,C2929=0,AND(C2929&gt;0,Paths!$O$272&gt;(C2929-1)*12,Paths!$O$272&lt;=C2929*12)),Paths!$N$272,0),"n.a."))</f>
        <v>0</v>
      </c>
      <c r="L2929" s="16">
        <f>IF(NOT(Paths!$C$272=1),0,IF(Paths!$P$272="Complete",IF(C2929=10,Paths!$I$272,0),"n.a."))</f>
        <v>0</v>
      </c>
      <c r="M2929" s="16">
        <f>IF(NOT(Paths!$C$272=1),0,IF(Paths!$P$272="Complete",IF(AND(Paths!$D$272="EV",Paths!$E$272&lt;120,Paths!$E$272+'Operating costs'!$B$65&gt;Paths!$E$272,Paths!$E$272+'Operating costs'!$B$65&lt;=120,IF(Paths!$E$272+'Operating costs'!$B$65=0,C2929=0,AND(C2929&gt;0,Paths!$E$272+'Operating costs'!$B$65&gt;(C2929-1)*12,Paths!$E$272+'Operating costs'!$B$65&lt;=C2929*12))),'Operating costs'!$B$64,0)+IF(AND('Operating costs'!$B$67&gt;0,'Operating costs'!$B$67&lt;=120,OR(Paths!$D$272="ICE",'Operating costs'!$B$67&lt;=Paths!$E$272),IF('Operating costs'!$B$67=0,C2929=0,AND(C2929&gt;0,'Operating costs'!$B$67&gt;(C2929-1)*12,'Operating costs'!$B$67&lt;=C2929*12))),'Operating costs'!$B$66,0),"n.a."))</f>
        <v>0</v>
      </c>
      <c r="N2929" s="16">
        <f>IF(NOT(Paths!$C$272=1),0,IF(Paths!$P$272="Complete",SUM(G2929:I2929)-J2929-K2929-L2929+M2929+IF(C2929=0,Paths!$F$272,0)+IF(IF(Paths!$E$272=0,C2929=0,AND(C2929&gt;0,Paths!$E$272&gt;(C2929-1)*12,Paths!$E$272&lt;=C2929*12)),VLOOKUP(A2929,'Fleet register'!$A$7:$S$106,16,FALSE),0),"n.a."))</f>
        <v>0</v>
      </c>
      <c r="O2929" s="16">
        <f>IF(NOT(Paths!$C$272=1),0,IF(Paths!$P$272="Complete",N2929-IF(C2929=0,Paths!$F$272,0),"n.a."))</f>
        <v>0</v>
      </c>
      <c r="P2929" s="16">
        <f>IF(NOT(Paths!$C$272=1),0,IF(Paths!$P$272="Complete",O2929+L2929,"n.a."))</f>
        <v>0</v>
      </c>
      <c r="Q2929" s="16">
        <f>IF(NOT(Paths!$C$272=1),0,IF(Paths!$P$272="Complete",N2929*(1+'Operating costs'!$B$54)^-C2929,"n.a."))</f>
        <v>0</v>
      </c>
      <c r="R2929" s="16">
        <f>IF(NOT(Paths!$C$272=1),0,IF(Paths!$P$272="Complete",IF(AND(C2929=0,Paths!$E$272=0),I2929-J2929-K2929+VLOOKUP(A2929,'Fleet register'!$A$7:$S$106,15,FALSE)+VLOOKUP(A2929,'Fleet register'!$A$7:$S$106,16,FALSE),0),"n.a."))</f>
        <v>0</v>
      </c>
      <c r="S2929" s="1">
        <f>IF(NOT(Paths!$C$272=1),0,IF(Paths!$P$272="Complete",IF(C2929=0,0,Paths!$S$272*Paths!$R$272),"n.a."))</f>
        <v>0</v>
      </c>
      <c r="T2929" s="1">
        <f>IF(NOT(Paths!$C$272=1),0,IF(Paths!$P$272="Complete",IF(C2929=0,0,VLOOKUP(A2929,'Fleet register'!$A$7:$S$106,9,FALSE)*Paths!$R$272),"n.a."))</f>
        <v>0</v>
      </c>
    </row>
    <row r="2930" spans="1:20" ht="24" customHeight="1">
      <c r="A2930" s="1" t="str">
        <f>Paths!$A$272</f>
        <v>T067</v>
      </c>
      <c r="B2930" s="1">
        <f>Paths!$B$272</f>
        <v>1</v>
      </c>
      <c r="C2930" s="1">
        <v>8</v>
      </c>
      <c r="D2930" s="1">
        <v>272</v>
      </c>
      <c r="E2930" s="1">
        <f>IF(OR(Paths!$C$272=0,C2930=0),0,MAX(0,MIN(C2930*12,Paths!$E$272)-(C2930-1)*12))</f>
        <v>0</v>
      </c>
      <c r="F2930" s="1">
        <f>IF(OR(Paths!$C$272=0,C2930=0),0,12-E2930)</f>
        <v>0</v>
      </c>
      <c r="G2930" s="16">
        <f>IF(NOT(Paths!$C$272=1),0,IF(Paths!$P$272="Complete",E2930/12*(Paths!$J$272*(1+'Operating costs'!$B$51)^MAX(0,C2930-1)+Paths!$K$272*(1+'Operating costs'!$B$53)^MAX(0,C2930-1)),"n.a."))</f>
        <v>0</v>
      </c>
      <c r="H2930" s="16">
        <f>IF(NOT(Paths!$C$272=1),0,IF(Paths!$P$272="Complete",F2930/12*(Paths!$L$272*(1+IF(Paths!$D$272="EV",'Operating costs'!$B$52,'Operating costs'!$B$51))^MAX(0,C2930-1)+Paths!$M$272*(1+'Operating costs'!$B$53)^MAX(0,C2930-1)),"n.a."))</f>
        <v>0</v>
      </c>
      <c r="I2930" s="16">
        <f>IF(NOT(Paths!$C$272=1),0,IF(Paths!$P$272="Complete",IF(IF(Paths!$E$272=0,C2930=0,AND(C2930&gt;0,Paths!$E$272&gt;(C2930-1)*12,Paths!$E$272&lt;=C2930*12)),Paths!$G$272,0),"n.a."))</f>
        <v>0</v>
      </c>
      <c r="J2930" s="16">
        <f>IF(NOT(Paths!$C$272=1),0,IF(Paths!$P$272="Complete",IF(IF(Paths!$E$272=0,C2930=0,AND(C2930&gt;0,Paths!$E$272&gt;(C2930-1)*12,Paths!$E$272&lt;=C2930*12)),Paths!$H$272,0),"n.a."))</f>
        <v>0</v>
      </c>
      <c r="K2930" s="16">
        <f>IF(NOT(Paths!$C$272=1),0,IF(Paths!$P$272="Complete",IF(IF(Paths!$O$272=0,C2930=0,AND(C2930&gt;0,Paths!$O$272&gt;(C2930-1)*12,Paths!$O$272&lt;=C2930*12)),Paths!$N$272,0),"n.a."))</f>
        <v>0</v>
      </c>
      <c r="L2930" s="16">
        <f>IF(NOT(Paths!$C$272=1),0,IF(Paths!$P$272="Complete",IF(C2930=10,Paths!$I$272,0),"n.a."))</f>
        <v>0</v>
      </c>
      <c r="M2930" s="16">
        <f>IF(NOT(Paths!$C$272=1),0,IF(Paths!$P$272="Complete",IF(AND(Paths!$D$272="EV",Paths!$E$272&lt;120,Paths!$E$272+'Operating costs'!$B$65&gt;Paths!$E$272,Paths!$E$272+'Operating costs'!$B$65&lt;=120,IF(Paths!$E$272+'Operating costs'!$B$65=0,C2930=0,AND(C2930&gt;0,Paths!$E$272+'Operating costs'!$B$65&gt;(C2930-1)*12,Paths!$E$272+'Operating costs'!$B$65&lt;=C2930*12))),'Operating costs'!$B$64,0)+IF(AND('Operating costs'!$B$67&gt;0,'Operating costs'!$B$67&lt;=120,OR(Paths!$D$272="ICE",'Operating costs'!$B$67&lt;=Paths!$E$272),IF('Operating costs'!$B$67=0,C2930=0,AND(C2930&gt;0,'Operating costs'!$B$67&gt;(C2930-1)*12,'Operating costs'!$B$67&lt;=C2930*12))),'Operating costs'!$B$66,0),"n.a."))</f>
        <v>0</v>
      </c>
      <c r="N2930" s="16">
        <f>IF(NOT(Paths!$C$272=1),0,IF(Paths!$P$272="Complete",SUM(G2930:I2930)-J2930-K2930-L2930+M2930+IF(C2930=0,Paths!$F$272,0)+IF(IF(Paths!$E$272=0,C2930=0,AND(C2930&gt;0,Paths!$E$272&gt;(C2930-1)*12,Paths!$E$272&lt;=C2930*12)),VLOOKUP(A2930,'Fleet register'!$A$7:$S$106,16,FALSE),0),"n.a."))</f>
        <v>0</v>
      </c>
      <c r="O2930" s="16">
        <f>IF(NOT(Paths!$C$272=1),0,IF(Paths!$P$272="Complete",N2930-IF(C2930=0,Paths!$F$272,0),"n.a."))</f>
        <v>0</v>
      </c>
      <c r="P2930" s="16">
        <f>IF(NOT(Paths!$C$272=1),0,IF(Paths!$P$272="Complete",O2930+L2930,"n.a."))</f>
        <v>0</v>
      </c>
      <c r="Q2930" s="16">
        <f>IF(NOT(Paths!$C$272=1),0,IF(Paths!$P$272="Complete",N2930*(1+'Operating costs'!$B$54)^-C2930,"n.a."))</f>
        <v>0</v>
      </c>
      <c r="R2930" s="16">
        <f>IF(NOT(Paths!$C$272=1),0,IF(Paths!$P$272="Complete",IF(AND(C2930=0,Paths!$E$272=0),I2930-J2930-K2930+VLOOKUP(A2930,'Fleet register'!$A$7:$S$106,15,FALSE)+VLOOKUP(A2930,'Fleet register'!$A$7:$S$106,16,FALSE),0),"n.a."))</f>
        <v>0</v>
      </c>
      <c r="S2930" s="1">
        <f>IF(NOT(Paths!$C$272=1),0,IF(Paths!$P$272="Complete",IF(C2930=0,0,Paths!$S$272*Paths!$R$272),"n.a."))</f>
        <v>0</v>
      </c>
      <c r="T2930" s="1">
        <f>IF(NOT(Paths!$C$272=1),0,IF(Paths!$P$272="Complete",IF(C2930=0,0,VLOOKUP(A2930,'Fleet register'!$A$7:$S$106,9,FALSE)*Paths!$R$272),"n.a."))</f>
        <v>0</v>
      </c>
    </row>
    <row r="2931" spans="1:20" ht="24" customHeight="1">
      <c r="A2931" s="1" t="str">
        <f>Paths!$A$272</f>
        <v>T067</v>
      </c>
      <c r="B2931" s="1">
        <f>Paths!$B$272</f>
        <v>1</v>
      </c>
      <c r="C2931" s="1">
        <v>9</v>
      </c>
      <c r="D2931" s="1">
        <v>272</v>
      </c>
      <c r="E2931" s="1">
        <f>IF(OR(Paths!$C$272=0,C2931=0),0,MAX(0,MIN(C2931*12,Paths!$E$272)-(C2931-1)*12))</f>
        <v>0</v>
      </c>
      <c r="F2931" s="1">
        <f>IF(OR(Paths!$C$272=0,C2931=0),0,12-E2931)</f>
        <v>0</v>
      </c>
      <c r="G2931" s="16">
        <f>IF(NOT(Paths!$C$272=1),0,IF(Paths!$P$272="Complete",E2931/12*(Paths!$J$272*(1+'Operating costs'!$B$51)^MAX(0,C2931-1)+Paths!$K$272*(1+'Operating costs'!$B$53)^MAX(0,C2931-1)),"n.a."))</f>
        <v>0</v>
      </c>
      <c r="H2931" s="16">
        <f>IF(NOT(Paths!$C$272=1),0,IF(Paths!$P$272="Complete",F2931/12*(Paths!$L$272*(1+IF(Paths!$D$272="EV",'Operating costs'!$B$52,'Operating costs'!$B$51))^MAX(0,C2931-1)+Paths!$M$272*(1+'Operating costs'!$B$53)^MAX(0,C2931-1)),"n.a."))</f>
        <v>0</v>
      </c>
      <c r="I2931" s="16">
        <f>IF(NOT(Paths!$C$272=1),0,IF(Paths!$P$272="Complete",IF(IF(Paths!$E$272=0,C2931=0,AND(C2931&gt;0,Paths!$E$272&gt;(C2931-1)*12,Paths!$E$272&lt;=C2931*12)),Paths!$G$272,0),"n.a."))</f>
        <v>0</v>
      </c>
      <c r="J2931" s="16">
        <f>IF(NOT(Paths!$C$272=1),0,IF(Paths!$P$272="Complete",IF(IF(Paths!$E$272=0,C2931=0,AND(C2931&gt;0,Paths!$E$272&gt;(C2931-1)*12,Paths!$E$272&lt;=C2931*12)),Paths!$H$272,0),"n.a."))</f>
        <v>0</v>
      </c>
      <c r="K2931" s="16">
        <f>IF(NOT(Paths!$C$272=1),0,IF(Paths!$P$272="Complete",IF(IF(Paths!$O$272=0,C2931=0,AND(C2931&gt;0,Paths!$O$272&gt;(C2931-1)*12,Paths!$O$272&lt;=C2931*12)),Paths!$N$272,0),"n.a."))</f>
        <v>0</v>
      </c>
      <c r="L2931" s="16">
        <f>IF(NOT(Paths!$C$272=1),0,IF(Paths!$P$272="Complete",IF(C2931=10,Paths!$I$272,0),"n.a."))</f>
        <v>0</v>
      </c>
      <c r="M2931" s="16">
        <f>IF(NOT(Paths!$C$272=1),0,IF(Paths!$P$272="Complete",IF(AND(Paths!$D$272="EV",Paths!$E$272&lt;120,Paths!$E$272+'Operating costs'!$B$65&gt;Paths!$E$272,Paths!$E$272+'Operating costs'!$B$65&lt;=120,IF(Paths!$E$272+'Operating costs'!$B$65=0,C2931=0,AND(C2931&gt;0,Paths!$E$272+'Operating costs'!$B$65&gt;(C2931-1)*12,Paths!$E$272+'Operating costs'!$B$65&lt;=C2931*12))),'Operating costs'!$B$64,0)+IF(AND('Operating costs'!$B$67&gt;0,'Operating costs'!$B$67&lt;=120,OR(Paths!$D$272="ICE",'Operating costs'!$B$67&lt;=Paths!$E$272),IF('Operating costs'!$B$67=0,C2931=0,AND(C2931&gt;0,'Operating costs'!$B$67&gt;(C2931-1)*12,'Operating costs'!$B$67&lt;=C2931*12))),'Operating costs'!$B$66,0),"n.a."))</f>
        <v>0</v>
      </c>
      <c r="N2931" s="16">
        <f>IF(NOT(Paths!$C$272=1),0,IF(Paths!$P$272="Complete",SUM(G2931:I2931)-J2931-K2931-L2931+M2931+IF(C2931=0,Paths!$F$272,0)+IF(IF(Paths!$E$272=0,C2931=0,AND(C2931&gt;0,Paths!$E$272&gt;(C2931-1)*12,Paths!$E$272&lt;=C2931*12)),VLOOKUP(A2931,'Fleet register'!$A$7:$S$106,16,FALSE),0),"n.a."))</f>
        <v>0</v>
      </c>
      <c r="O2931" s="16">
        <f>IF(NOT(Paths!$C$272=1),0,IF(Paths!$P$272="Complete",N2931-IF(C2931=0,Paths!$F$272,0),"n.a."))</f>
        <v>0</v>
      </c>
      <c r="P2931" s="16">
        <f>IF(NOT(Paths!$C$272=1),0,IF(Paths!$P$272="Complete",O2931+L2931,"n.a."))</f>
        <v>0</v>
      </c>
      <c r="Q2931" s="16">
        <f>IF(NOT(Paths!$C$272=1),0,IF(Paths!$P$272="Complete",N2931*(1+'Operating costs'!$B$54)^-C2931,"n.a."))</f>
        <v>0</v>
      </c>
      <c r="R2931" s="16">
        <f>IF(NOT(Paths!$C$272=1),0,IF(Paths!$P$272="Complete",IF(AND(C2931=0,Paths!$E$272=0),I2931-J2931-K2931+VLOOKUP(A2931,'Fleet register'!$A$7:$S$106,15,FALSE)+VLOOKUP(A2931,'Fleet register'!$A$7:$S$106,16,FALSE),0),"n.a."))</f>
        <v>0</v>
      </c>
      <c r="S2931" s="1">
        <f>IF(NOT(Paths!$C$272=1),0,IF(Paths!$P$272="Complete",IF(C2931=0,0,Paths!$S$272*Paths!$R$272),"n.a."))</f>
        <v>0</v>
      </c>
      <c r="T2931" s="1">
        <f>IF(NOT(Paths!$C$272=1),0,IF(Paths!$P$272="Complete",IF(C2931=0,0,VLOOKUP(A2931,'Fleet register'!$A$7:$S$106,9,FALSE)*Paths!$R$272),"n.a."))</f>
        <v>0</v>
      </c>
    </row>
    <row r="2932" spans="1:20" ht="24" customHeight="1">
      <c r="A2932" s="1" t="str">
        <f>Paths!$A$272</f>
        <v>T067</v>
      </c>
      <c r="B2932" s="1">
        <f>Paths!$B$272</f>
        <v>1</v>
      </c>
      <c r="C2932" s="1">
        <v>10</v>
      </c>
      <c r="D2932" s="1">
        <v>272</v>
      </c>
      <c r="E2932" s="1">
        <f>IF(OR(Paths!$C$272=0,C2932=0),0,MAX(0,MIN(C2932*12,Paths!$E$272)-(C2932-1)*12))</f>
        <v>0</v>
      </c>
      <c r="F2932" s="1">
        <f>IF(OR(Paths!$C$272=0,C2932=0),0,12-E2932)</f>
        <v>0</v>
      </c>
      <c r="G2932" s="16">
        <f>IF(NOT(Paths!$C$272=1),0,IF(Paths!$P$272="Complete",E2932/12*(Paths!$J$272*(1+'Operating costs'!$B$51)^MAX(0,C2932-1)+Paths!$K$272*(1+'Operating costs'!$B$53)^MAX(0,C2932-1)),"n.a."))</f>
        <v>0</v>
      </c>
      <c r="H2932" s="16">
        <f>IF(NOT(Paths!$C$272=1),0,IF(Paths!$P$272="Complete",F2932/12*(Paths!$L$272*(1+IF(Paths!$D$272="EV",'Operating costs'!$B$52,'Operating costs'!$B$51))^MAX(0,C2932-1)+Paths!$M$272*(1+'Operating costs'!$B$53)^MAX(0,C2932-1)),"n.a."))</f>
        <v>0</v>
      </c>
      <c r="I2932" s="16">
        <f>IF(NOT(Paths!$C$272=1),0,IF(Paths!$P$272="Complete",IF(IF(Paths!$E$272=0,C2932=0,AND(C2932&gt;0,Paths!$E$272&gt;(C2932-1)*12,Paths!$E$272&lt;=C2932*12)),Paths!$G$272,0),"n.a."))</f>
        <v>0</v>
      </c>
      <c r="J2932" s="16">
        <f>IF(NOT(Paths!$C$272=1),0,IF(Paths!$P$272="Complete",IF(IF(Paths!$E$272=0,C2932=0,AND(C2932&gt;0,Paths!$E$272&gt;(C2932-1)*12,Paths!$E$272&lt;=C2932*12)),Paths!$H$272,0),"n.a."))</f>
        <v>0</v>
      </c>
      <c r="K2932" s="16">
        <f>IF(NOT(Paths!$C$272=1),0,IF(Paths!$P$272="Complete",IF(IF(Paths!$O$272=0,C2932=0,AND(C2932&gt;0,Paths!$O$272&gt;(C2932-1)*12,Paths!$O$272&lt;=C2932*12)),Paths!$N$272,0),"n.a."))</f>
        <v>0</v>
      </c>
      <c r="L2932" s="16">
        <f>IF(NOT(Paths!$C$272=1),0,IF(Paths!$P$272="Complete",IF(C2932=10,Paths!$I$272,0),"n.a."))</f>
        <v>0</v>
      </c>
      <c r="M2932" s="16">
        <f>IF(NOT(Paths!$C$272=1),0,IF(Paths!$P$272="Complete",IF(AND(Paths!$D$272="EV",Paths!$E$272&lt;120,Paths!$E$272+'Operating costs'!$B$65&gt;Paths!$E$272,Paths!$E$272+'Operating costs'!$B$65&lt;=120,IF(Paths!$E$272+'Operating costs'!$B$65=0,C2932=0,AND(C2932&gt;0,Paths!$E$272+'Operating costs'!$B$65&gt;(C2932-1)*12,Paths!$E$272+'Operating costs'!$B$65&lt;=C2932*12))),'Operating costs'!$B$64,0)+IF(AND('Operating costs'!$B$67&gt;0,'Operating costs'!$B$67&lt;=120,OR(Paths!$D$272="ICE",'Operating costs'!$B$67&lt;=Paths!$E$272),IF('Operating costs'!$B$67=0,C2932=0,AND(C2932&gt;0,'Operating costs'!$B$67&gt;(C2932-1)*12,'Operating costs'!$B$67&lt;=C2932*12))),'Operating costs'!$B$66,0),"n.a."))</f>
        <v>0</v>
      </c>
      <c r="N2932" s="16">
        <f>IF(NOT(Paths!$C$272=1),0,IF(Paths!$P$272="Complete",SUM(G2932:I2932)-J2932-K2932-L2932+M2932+IF(C2932=0,Paths!$F$272,0)+IF(IF(Paths!$E$272=0,C2932=0,AND(C2932&gt;0,Paths!$E$272&gt;(C2932-1)*12,Paths!$E$272&lt;=C2932*12)),VLOOKUP(A2932,'Fleet register'!$A$7:$S$106,16,FALSE),0),"n.a."))</f>
        <v>0</v>
      </c>
      <c r="O2932" s="16">
        <f>IF(NOT(Paths!$C$272=1),0,IF(Paths!$P$272="Complete",N2932-IF(C2932=0,Paths!$F$272,0),"n.a."))</f>
        <v>0</v>
      </c>
      <c r="P2932" s="16">
        <f>IF(NOT(Paths!$C$272=1),0,IF(Paths!$P$272="Complete",O2932+L2932,"n.a."))</f>
        <v>0</v>
      </c>
      <c r="Q2932" s="16">
        <f>IF(NOT(Paths!$C$272=1),0,IF(Paths!$P$272="Complete",N2932*(1+'Operating costs'!$B$54)^-C2932,"n.a."))</f>
        <v>0</v>
      </c>
      <c r="R2932" s="16">
        <f>IF(NOT(Paths!$C$272=1),0,IF(Paths!$P$272="Complete",IF(AND(C2932=0,Paths!$E$272=0),I2932-J2932-K2932+VLOOKUP(A2932,'Fleet register'!$A$7:$S$106,15,FALSE)+VLOOKUP(A2932,'Fleet register'!$A$7:$S$106,16,FALSE),0),"n.a."))</f>
        <v>0</v>
      </c>
      <c r="S2932" s="1">
        <f>IF(NOT(Paths!$C$272=1),0,IF(Paths!$P$272="Complete",IF(C2932=0,0,Paths!$S$272*Paths!$R$272),"n.a."))</f>
        <v>0</v>
      </c>
      <c r="T2932" s="1">
        <f>IF(NOT(Paths!$C$272=1),0,IF(Paths!$P$272="Complete",IF(C2932=0,0,VLOOKUP(A2932,'Fleet register'!$A$7:$S$106,9,FALSE)*Paths!$R$272),"n.a."))</f>
        <v>0</v>
      </c>
    </row>
    <row r="2933" spans="1:20" ht="24" customHeight="1">
      <c r="A2933" s="1" t="str">
        <f>Paths!$A$273</f>
        <v>T067</v>
      </c>
      <c r="B2933" s="1">
        <f>Paths!$B$273</f>
        <v>2</v>
      </c>
      <c r="C2933" s="1">
        <v>0</v>
      </c>
      <c r="D2933" s="1">
        <v>273</v>
      </c>
      <c r="E2933" s="1">
        <f>IF(OR(Paths!$C$273=0,C2933=0),0,MAX(0,MIN(C2933*12,Paths!$E$273)-(C2933-1)*12))</f>
        <v>0</v>
      </c>
      <c r="F2933" s="1">
        <f>IF(OR(Paths!$C$273=0,C2933=0),0,12-E2933)</f>
        <v>0</v>
      </c>
      <c r="G2933" s="16">
        <f>IF(NOT(Paths!$C$273=1),0,IF(Paths!$P$273="Complete",E2933/12*(Paths!$J$273*(1+'Operating costs'!$B$51)^MAX(0,C2933-1)+Paths!$K$273*(1+'Operating costs'!$B$53)^MAX(0,C2933-1)),"n.a."))</f>
        <v>0</v>
      </c>
      <c r="H2933" s="16">
        <f>IF(NOT(Paths!$C$273=1),0,IF(Paths!$P$273="Complete",F2933/12*(Paths!$L$273*(1+IF(Paths!$D$273="EV",'Operating costs'!$B$52,'Operating costs'!$B$51))^MAX(0,C2933-1)+Paths!$M$273*(1+'Operating costs'!$B$53)^MAX(0,C2933-1)),"n.a."))</f>
        <v>0</v>
      </c>
      <c r="I2933" s="16">
        <f>IF(NOT(Paths!$C$273=1),0,IF(Paths!$P$273="Complete",IF(IF(Paths!$E$273=0,C2933=0,AND(C2933&gt;0,Paths!$E$273&gt;(C2933-1)*12,Paths!$E$273&lt;=C2933*12)),Paths!$G$273,0),"n.a."))</f>
        <v>0</v>
      </c>
      <c r="J2933" s="16">
        <f>IF(NOT(Paths!$C$273=1),0,IF(Paths!$P$273="Complete",IF(IF(Paths!$E$273=0,C2933=0,AND(C2933&gt;0,Paths!$E$273&gt;(C2933-1)*12,Paths!$E$273&lt;=C2933*12)),Paths!$H$273,0),"n.a."))</f>
        <v>0</v>
      </c>
      <c r="K2933" s="16">
        <f>IF(NOT(Paths!$C$273=1),0,IF(Paths!$P$273="Complete",IF(IF(Paths!$O$273=0,C2933=0,AND(C2933&gt;0,Paths!$O$273&gt;(C2933-1)*12,Paths!$O$273&lt;=C2933*12)),Paths!$N$273,0),"n.a."))</f>
        <v>0</v>
      </c>
      <c r="L2933" s="16">
        <f>IF(NOT(Paths!$C$273=1),0,IF(Paths!$P$273="Complete",IF(C2933=10,Paths!$I$273,0),"n.a."))</f>
        <v>0</v>
      </c>
      <c r="M2933" s="16">
        <f>IF(NOT(Paths!$C$273=1),0,IF(Paths!$P$273="Complete",IF(AND(Paths!$D$273="EV",Paths!$E$273&lt;120,Paths!$E$273+'Operating costs'!$B$65&gt;Paths!$E$273,Paths!$E$273+'Operating costs'!$B$65&lt;=120,IF(Paths!$E$273+'Operating costs'!$B$65=0,C2933=0,AND(C2933&gt;0,Paths!$E$273+'Operating costs'!$B$65&gt;(C2933-1)*12,Paths!$E$273+'Operating costs'!$B$65&lt;=C2933*12))),'Operating costs'!$B$64,0)+IF(AND('Operating costs'!$B$67&gt;0,'Operating costs'!$B$67&lt;=120,OR(Paths!$D$273="ICE",'Operating costs'!$B$67&lt;=Paths!$E$273),IF('Operating costs'!$B$67=0,C2933=0,AND(C2933&gt;0,'Operating costs'!$B$67&gt;(C2933-1)*12,'Operating costs'!$B$67&lt;=C2933*12))),'Operating costs'!$B$66,0),"n.a."))</f>
        <v>0</v>
      </c>
      <c r="N2933" s="16">
        <f>IF(NOT(Paths!$C$273=1),0,IF(Paths!$P$273="Complete",SUM(G2933:I2933)-J2933-K2933-L2933+M2933+IF(C2933=0,Paths!$F$273,0)+IF(IF(Paths!$E$273=0,C2933=0,AND(C2933&gt;0,Paths!$E$273&gt;(C2933-1)*12,Paths!$E$273&lt;=C2933*12)),VLOOKUP(A2933,'Fleet register'!$A$7:$S$106,16,FALSE),0),"n.a."))</f>
        <v>0</v>
      </c>
      <c r="O2933" s="16">
        <f>IF(NOT(Paths!$C$273=1),0,IF(Paths!$P$273="Complete",N2933-IF(C2933=0,Paths!$F$273,0),"n.a."))</f>
        <v>0</v>
      </c>
      <c r="P2933" s="16">
        <f>IF(NOT(Paths!$C$273=1),0,IF(Paths!$P$273="Complete",O2933+L2933,"n.a."))</f>
        <v>0</v>
      </c>
      <c r="Q2933" s="16">
        <f>IF(NOT(Paths!$C$273=1),0,IF(Paths!$P$273="Complete",N2933*(1+'Operating costs'!$B$54)^-C2933,"n.a."))</f>
        <v>0</v>
      </c>
      <c r="R2933" s="16">
        <f>IF(NOT(Paths!$C$273=1),0,IF(Paths!$P$273="Complete",IF(AND(C2933=0,Paths!$E$273=0),I2933-J2933-K2933+VLOOKUP(A2933,'Fleet register'!$A$7:$S$106,15,FALSE)+VLOOKUP(A2933,'Fleet register'!$A$7:$S$106,16,FALSE),0),"n.a."))</f>
        <v>0</v>
      </c>
      <c r="S2933" s="1">
        <f>IF(NOT(Paths!$C$273=1),0,IF(Paths!$P$273="Complete",IF(C2933=0,0,Paths!$S$273*Paths!$R$273),"n.a."))</f>
        <v>0</v>
      </c>
      <c r="T2933" s="1">
        <f>IF(NOT(Paths!$C$273=1),0,IF(Paths!$P$273="Complete",IF(C2933=0,0,VLOOKUP(A2933,'Fleet register'!$A$7:$S$106,9,FALSE)*Paths!$R$273),"n.a."))</f>
        <v>0</v>
      </c>
    </row>
    <row r="2934" spans="1:20" ht="24" customHeight="1">
      <c r="A2934" s="1" t="str">
        <f>Paths!$A$273</f>
        <v>T067</v>
      </c>
      <c r="B2934" s="1">
        <f>Paths!$B$273</f>
        <v>2</v>
      </c>
      <c r="C2934" s="1">
        <v>1</v>
      </c>
      <c r="D2934" s="1">
        <v>273</v>
      </c>
      <c r="E2934" s="1">
        <f>IF(OR(Paths!$C$273=0,C2934=0),0,MAX(0,MIN(C2934*12,Paths!$E$273)-(C2934-1)*12))</f>
        <v>0</v>
      </c>
      <c r="F2934" s="1">
        <f>IF(OR(Paths!$C$273=0,C2934=0),0,12-E2934)</f>
        <v>0</v>
      </c>
      <c r="G2934" s="16">
        <f>IF(NOT(Paths!$C$273=1),0,IF(Paths!$P$273="Complete",E2934/12*(Paths!$J$273*(1+'Operating costs'!$B$51)^MAX(0,C2934-1)+Paths!$K$273*(1+'Operating costs'!$B$53)^MAX(0,C2934-1)),"n.a."))</f>
        <v>0</v>
      </c>
      <c r="H2934" s="16">
        <f>IF(NOT(Paths!$C$273=1),0,IF(Paths!$P$273="Complete",F2934/12*(Paths!$L$273*(1+IF(Paths!$D$273="EV",'Operating costs'!$B$52,'Operating costs'!$B$51))^MAX(0,C2934-1)+Paths!$M$273*(1+'Operating costs'!$B$53)^MAX(0,C2934-1)),"n.a."))</f>
        <v>0</v>
      </c>
      <c r="I2934" s="16">
        <f>IF(NOT(Paths!$C$273=1),0,IF(Paths!$P$273="Complete",IF(IF(Paths!$E$273=0,C2934=0,AND(C2934&gt;0,Paths!$E$273&gt;(C2934-1)*12,Paths!$E$273&lt;=C2934*12)),Paths!$G$273,0),"n.a."))</f>
        <v>0</v>
      </c>
      <c r="J2934" s="16">
        <f>IF(NOT(Paths!$C$273=1),0,IF(Paths!$P$273="Complete",IF(IF(Paths!$E$273=0,C2934=0,AND(C2934&gt;0,Paths!$E$273&gt;(C2934-1)*12,Paths!$E$273&lt;=C2934*12)),Paths!$H$273,0),"n.a."))</f>
        <v>0</v>
      </c>
      <c r="K2934" s="16">
        <f>IF(NOT(Paths!$C$273=1),0,IF(Paths!$P$273="Complete",IF(IF(Paths!$O$273=0,C2934=0,AND(C2934&gt;0,Paths!$O$273&gt;(C2934-1)*12,Paths!$O$273&lt;=C2934*12)),Paths!$N$273,0),"n.a."))</f>
        <v>0</v>
      </c>
      <c r="L2934" s="16">
        <f>IF(NOT(Paths!$C$273=1),0,IF(Paths!$P$273="Complete",IF(C2934=10,Paths!$I$273,0),"n.a."))</f>
        <v>0</v>
      </c>
      <c r="M2934" s="16">
        <f>IF(NOT(Paths!$C$273=1),0,IF(Paths!$P$273="Complete",IF(AND(Paths!$D$273="EV",Paths!$E$273&lt;120,Paths!$E$273+'Operating costs'!$B$65&gt;Paths!$E$273,Paths!$E$273+'Operating costs'!$B$65&lt;=120,IF(Paths!$E$273+'Operating costs'!$B$65=0,C2934=0,AND(C2934&gt;0,Paths!$E$273+'Operating costs'!$B$65&gt;(C2934-1)*12,Paths!$E$273+'Operating costs'!$B$65&lt;=C2934*12))),'Operating costs'!$B$64,0)+IF(AND('Operating costs'!$B$67&gt;0,'Operating costs'!$B$67&lt;=120,OR(Paths!$D$273="ICE",'Operating costs'!$B$67&lt;=Paths!$E$273),IF('Operating costs'!$B$67=0,C2934=0,AND(C2934&gt;0,'Operating costs'!$B$67&gt;(C2934-1)*12,'Operating costs'!$B$67&lt;=C2934*12))),'Operating costs'!$B$66,0),"n.a."))</f>
        <v>0</v>
      </c>
      <c r="N2934" s="16">
        <f>IF(NOT(Paths!$C$273=1),0,IF(Paths!$P$273="Complete",SUM(G2934:I2934)-J2934-K2934-L2934+M2934+IF(C2934=0,Paths!$F$273,0)+IF(IF(Paths!$E$273=0,C2934=0,AND(C2934&gt;0,Paths!$E$273&gt;(C2934-1)*12,Paths!$E$273&lt;=C2934*12)),VLOOKUP(A2934,'Fleet register'!$A$7:$S$106,16,FALSE),0),"n.a."))</f>
        <v>0</v>
      </c>
      <c r="O2934" s="16">
        <f>IF(NOT(Paths!$C$273=1),0,IF(Paths!$P$273="Complete",N2934-IF(C2934=0,Paths!$F$273,0),"n.a."))</f>
        <v>0</v>
      </c>
      <c r="P2934" s="16">
        <f>IF(NOT(Paths!$C$273=1),0,IF(Paths!$P$273="Complete",O2934+L2934,"n.a."))</f>
        <v>0</v>
      </c>
      <c r="Q2934" s="16">
        <f>IF(NOT(Paths!$C$273=1),0,IF(Paths!$P$273="Complete",N2934*(1+'Operating costs'!$B$54)^-C2934,"n.a."))</f>
        <v>0</v>
      </c>
      <c r="R2934" s="16">
        <f>IF(NOT(Paths!$C$273=1),0,IF(Paths!$P$273="Complete",IF(AND(C2934=0,Paths!$E$273=0),I2934-J2934-K2934+VLOOKUP(A2934,'Fleet register'!$A$7:$S$106,15,FALSE)+VLOOKUP(A2934,'Fleet register'!$A$7:$S$106,16,FALSE),0),"n.a."))</f>
        <v>0</v>
      </c>
      <c r="S2934" s="1">
        <f>IF(NOT(Paths!$C$273=1),0,IF(Paths!$P$273="Complete",IF(C2934=0,0,Paths!$S$273*Paths!$R$273),"n.a."))</f>
        <v>0</v>
      </c>
      <c r="T2934" s="1">
        <f>IF(NOT(Paths!$C$273=1),0,IF(Paths!$P$273="Complete",IF(C2934=0,0,VLOOKUP(A2934,'Fleet register'!$A$7:$S$106,9,FALSE)*Paths!$R$273),"n.a."))</f>
        <v>0</v>
      </c>
    </row>
    <row r="2935" spans="1:20" ht="24" customHeight="1">
      <c r="A2935" s="1" t="str">
        <f>Paths!$A$273</f>
        <v>T067</v>
      </c>
      <c r="B2935" s="1">
        <f>Paths!$B$273</f>
        <v>2</v>
      </c>
      <c r="C2935" s="1">
        <v>2</v>
      </c>
      <c r="D2935" s="1">
        <v>273</v>
      </c>
      <c r="E2935" s="1">
        <f>IF(OR(Paths!$C$273=0,C2935=0),0,MAX(0,MIN(C2935*12,Paths!$E$273)-(C2935-1)*12))</f>
        <v>0</v>
      </c>
      <c r="F2935" s="1">
        <f>IF(OR(Paths!$C$273=0,C2935=0),0,12-E2935)</f>
        <v>0</v>
      </c>
      <c r="G2935" s="16">
        <f>IF(NOT(Paths!$C$273=1),0,IF(Paths!$P$273="Complete",E2935/12*(Paths!$J$273*(1+'Operating costs'!$B$51)^MAX(0,C2935-1)+Paths!$K$273*(1+'Operating costs'!$B$53)^MAX(0,C2935-1)),"n.a."))</f>
        <v>0</v>
      </c>
      <c r="H2935" s="16">
        <f>IF(NOT(Paths!$C$273=1),0,IF(Paths!$P$273="Complete",F2935/12*(Paths!$L$273*(1+IF(Paths!$D$273="EV",'Operating costs'!$B$52,'Operating costs'!$B$51))^MAX(0,C2935-1)+Paths!$M$273*(1+'Operating costs'!$B$53)^MAX(0,C2935-1)),"n.a."))</f>
        <v>0</v>
      </c>
      <c r="I2935" s="16">
        <f>IF(NOT(Paths!$C$273=1),0,IF(Paths!$P$273="Complete",IF(IF(Paths!$E$273=0,C2935=0,AND(C2935&gt;0,Paths!$E$273&gt;(C2935-1)*12,Paths!$E$273&lt;=C2935*12)),Paths!$G$273,0),"n.a."))</f>
        <v>0</v>
      </c>
      <c r="J2935" s="16">
        <f>IF(NOT(Paths!$C$273=1),0,IF(Paths!$P$273="Complete",IF(IF(Paths!$E$273=0,C2935=0,AND(C2935&gt;0,Paths!$E$273&gt;(C2935-1)*12,Paths!$E$273&lt;=C2935*12)),Paths!$H$273,0),"n.a."))</f>
        <v>0</v>
      </c>
      <c r="K2935" s="16">
        <f>IF(NOT(Paths!$C$273=1),0,IF(Paths!$P$273="Complete",IF(IF(Paths!$O$273=0,C2935=0,AND(C2935&gt;0,Paths!$O$273&gt;(C2935-1)*12,Paths!$O$273&lt;=C2935*12)),Paths!$N$273,0),"n.a."))</f>
        <v>0</v>
      </c>
      <c r="L2935" s="16">
        <f>IF(NOT(Paths!$C$273=1),0,IF(Paths!$P$273="Complete",IF(C2935=10,Paths!$I$273,0),"n.a."))</f>
        <v>0</v>
      </c>
      <c r="M2935" s="16">
        <f>IF(NOT(Paths!$C$273=1),0,IF(Paths!$P$273="Complete",IF(AND(Paths!$D$273="EV",Paths!$E$273&lt;120,Paths!$E$273+'Operating costs'!$B$65&gt;Paths!$E$273,Paths!$E$273+'Operating costs'!$B$65&lt;=120,IF(Paths!$E$273+'Operating costs'!$B$65=0,C2935=0,AND(C2935&gt;0,Paths!$E$273+'Operating costs'!$B$65&gt;(C2935-1)*12,Paths!$E$273+'Operating costs'!$B$65&lt;=C2935*12))),'Operating costs'!$B$64,0)+IF(AND('Operating costs'!$B$67&gt;0,'Operating costs'!$B$67&lt;=120,OR(Paths!$D$273="ICE",'Operating costs'!$B$67&lt;=Paths!$E$273),IF('Operating costs'!$B$67=0,C2935=0,AND(C2935&gt;0,'Operating costs'!$B$67&gt;(C2935-1)*12,'Operating costs'!$B$67&lt;=C2935*12))),'Operating costs'!$B$66,0),"n.a."))</f>
        <v>0</v>
      </c>
      <c r="N2935" s="16">
        <f>IF(NOT(Paths!$C$273=1),0,IF(Paths!$P$273="Complete",SUM(G2935:I2935)-J2935-K2935-L2935+M2935+IF(C2935=0,Paths!$F$273,0)+IF(IF(Paths!$E$273=0,C2935=0,AND(C2935&gt;0,Paths!$E$273&gt;(C2935-1)*12,Paths!$E$273&lt;=C2935*12)),VLOOKUP(A2935,'Fleet register'!$A$7:$S$106,16,FALSE),0),"n.a."))</f>
        <v>0</v>
      </c>
      <c r="O2935" s="16">
        <f>IF(NOT(Paths!$C$273=1),0,IF(Paths!$P$273="Complete",N2935-IF(C2935=0,Paths!$F$273,0),"n.a."))</f>
        <v>0</v>
      </c>
      <c r="P2935" s="16">
        <f>IF(NOT(Paths!$C$273=1),0,IF(Paths!$P$273="Complete",O2935+L2935,"n.a."))</f>
        <v>0</v>
      </c>
      <c r="Q2935" s="16">
        <f>IF(NOT(Paths!$C$273=1),0,IF(Paths!$P$273="Complete",N2935*(1+'Operating costs'!$B$54)^-C2935,"n.a."))</f>
        <v>0</v>
      </c>
      <c r="R2935" s="16">
        <f>IF(NOT(Paths!$C$273=1),0,IF(Paths!$P$273="Complete",IF(AND(C2935=0,Paths!$E$273=0),I2935-J2935-K2935+VLOOKUP(A2935,'Fleet register'!$A$7:$S$106,15,FALSE)+VLOOKUP(A2935,'Fleet register'!$A$7:$S$106,16,FALSE),0),"n.a."))</f>
        <v>0</v>
      </c>
      <c r="S2935" s="1">
        <f>IF(NOT(Paths!$C$273=1),0,IF(Paths!$P$273="Complete",IF(C2935=0,0,Paths!$S$273*Paths!$R$273),"n.a."))</f>
        <v>0</v>
      </c>
      <c r="T2935" s="1">
        <f>IF(NOT(Paths!$C$273=1),0,IF(Paths!$P$273="Complete",IF(C2935=0,0,VLOOKUP(A2935,'Fleet register'!$A$7:$S$106,9,FALSE)*Paths!$R$273),"n.a."))</f>
        <v>0</v>
      </c>
    </row>
    <row r="2936" spans="1:20" ht="24" customHeight="1">
      <c r="A2936" s="1" t="str">
        <f>Paths!$A$273</f>
        <v>T067</v>
      </c>
      <c r="B2936" s="1">
        <f>Paths!$B$273</f>
        <v>2</v>
      </c>
      <c r="C2936" s="1">
        <v>3</v>
      </c>
      <c r="D2936" s="1">
        <v>273</v>
      </c>
      <c r="E2936" s="1">
        <f>IF(OR(Paths!$C$273=0,C2936=0),0,MAX(0,MIN(C2936*12,Paths!$E$273)-(C2936-1)*12))</f>
        <v>0</v>
      </c>
      <c r="F2936" s="1">
        <f>IF(OR(Paths!$C$273=0,C2936=0),0,12-E2936)</f>
        <v>0</v>
      </c>
      <c r="G2936" s="16">
        <f>IF(NOT(Paths!$C$273=1),0,IF(Paths!$P$273="Complete",E2936/12*(Paths!$J$273*(1+'Operating costs'!$B$51)^MAX(0,C2936-1)+Paths!$K$273*(1+'Operating costs'!$B$53)^MAX(0,C2936-1)),"n.a."))</f>
        <v>0</v>
      </c>
      <c r="H2936" s="16">
        <f>IF(NOT(Paths!$C$273=1),0,IF(Paths!$P$273="Complete",F2936/12*(Paths!$L$273*(1+IF(Paths!$D$273="EV",'Operating costs'!$B$52,'Operating costs'!$B$51))^MAX(0,C2936-1)+Paths!$M$273*(1+'Operating costs'!$B$53)^MAX(0,C2936-1)),"n.a."))</f>
        <v>0</v>
      </c>
      <c r="I2936" s="16">
        <f>IF(NOT(Paths!$C$273=1),0,IF(Paths!$P$273="Complete",IF(IF(Paths!$E$273=0,C2936=0,AND(C2936&gt;0,Paths!$E$273&gt;(C2936-1)*12,Paths!$E$273&lt;=C2936*12)),Paths!$G$273,0),"n.a."))</f>
        <v>0</v>
      </c>
      <c r="J2936" s="16">
        <f>IF(NOT(Paths!$C$273=1),0,IF(Paths!$P$273="Complete",IF(IF(Paths!$E$273=0,C2936=0,AND(C2936&gt;0,Paths!$E$273&gt;(C2936-1)*12,Paths!$E$273&lt;=C2936*12)),Paths!$H$273,0),"n.a."))</f>
        <v>0</v>
      </c>
      <c r="K2936" s="16">
        <f>IF(NOT(Paths!$C$273=1),0,IF(Paths!$P$273="Complete",IF(IF(Paths!$O$273=0,C2936=0,AND(C2936&gt;0,Paths!$O$273&gt;(C2936-1)*12,Paths!$O$273&lt;=C2936*12)),Paths!$N$273,0),"n.a."))</f>
        <v>0</v>
      </c>
      <c r="L2936" s="16">
        <f>IF(NOT(Paths!$C$273=1),0,IF(Paths!$P$273="Complete",IF(C2936=10,Paths!$I$273,0),"n.a."))</f>
        <v>0</v>
      </c>
      <c r="M2936" s="16">
        <f>IF(NOT(Paths!$C$273=1),0,IF(Paths!$P$273="Complete",IF(AND(Paths!$D$273="EV",Paths!$E$273&lt;120,Paths!$E$273+'Operating costs'!$B$65&gt;Paths!$E$273,Paths!$E$273+'Operating costs'!$B$65&lt;=120,IF(Paths!$E$273+'Operating costs'!$B$65=0,C2936=0,AND(C2936&gt;0,Paths!$E$273+'Operating costs'!$B$65&gt;(C2936-1)*12,Paths!$E$273+'Operating costs'!$B$65&lt;=C2936*12))),'Operating costs'!$B$64,0)+IF(AND('Operating costs'!$B$67&gt;0,'Operating costs'!$B$67&lt;=120,OR(Paths!$D$273="ICE",'Operating costs'!$B$67&lt;=Paths!$E$273),IF('Operating costs'!$B$67=0,C2936=0,AND(C2936&gt;0,'Operating costs'!$B$67&gt;(C2936-1)*12,'Operating costs'!$B$67&lt;=C2936*12))),'Operating costs'!$B$66,0),"n.a."))</f>
        <v>0</v>
      </c>
      <c r="N2936" s="16">
        <f>IF(NOT(Paths!$C$273=1),0,IF(Paths!$P$273="Complete",SUM(G2936:I2936)-J2936-K2936-L2936+M2936+IF(C2936=0,Paths!$F$273,0)+IF(IF(Paths!$E$273=0,C2936=0,AND(C2936&gt;0,Paths!$E$273&gt;(C2936-1)*12,Paths!$E$273&lt;=C2936*12)),VLOOKUP(A2936,'Fleet register'!$A$7:$S$106,16,FALSE),0),"n.a."))</f>
        <v>0</v>
      </c>
      <c r="O2936" s="16">
        <f>IF(NOT(Paths!$C$273=1),0,IF(Paths!$P$273="Complete",N2936-IF(C2936=0,Paths!$F$273,0),"n.a."))</f>
        <v>0</v>
      </c>
      <c r="P2936" s="16">
        <f>IF(NOT(Paths!$C$273=1),0,IF(Paths!$P$273="Complete",O2936+L2936,"n.a."))</f>
        <v>0</v>
      </c>
      <c r="Q2936" s="16">
        <f>IF(NOT(Paths!$C$273=1),0,IF(Paths!$P$273="Complete",N2936*(1+'Operating costs'!$B$54)^-C2936,"n.a."))</f>
        <v>0</v>
      </c>
      <c r="R2936" s="16">
        <f>IF(NOT(Paths!$C$273=1),0,IF(Paths!$P$273="Complete",IF(AND(C2936=0,Paths!$E$273=0),I2936-J2936-K2936+VLOOKUP(A2936,'Fleet register'!$A$7:$S$106,15,FALSE)+VLOOKUP(A2936,'Fleet register'!$A$7:$S$106,16,FALSE),0),"n.a."))</f>
        <v>0</v>
      </c>
      <c r="S2936" s="1">
        <f>IF(NOT(Paths!$C$273=1),0,IF(Paths!$P$273="Complete",IF(C2936=0,0,Paths!$S$273*Paths!$R$273),"n.a."))</f>
        <v>0</v>
      </c>
      <c r="T2936" s="1">
        <f>IF(NOT(Paths!$C$273=1),0,IF(Paths!$P$273="Complete",IF(C2936=0,0,VLOOKUP(A2936,'Fleet register'!$A$7:$S$106,9,FALSE)*Paths!$R$273),"n.a."))</f>
        <v>0</v>
      </c>
    </row>
    <row r="2937" spans="1:20" ht="24" customHeight="1">
      <c r="A2937" s="1" t="str">
        <f>Paths!$A$273</f>
        <v>T067</v>
      </c>
      <c r="B2937" s="1">
        <f>Paths!$B$273</f>
        <v>2</v>
      </c>
      <c r="C2937" s="1">
        <v>4</v>
      </c>
      <c r="D2937" s="1">
        <v>273</v>
      </c>
      <c r="E2937" s="1">
        <f>IF(OR(Paths!$C$273=0,C2937=0),0,MAX(0,MIN(C2937*12,Paths!$E$273)-(C2937-1)*12))</f>
        <v>0</v>
      </c>
      <c r="F2937" s="1">
        <f>IF(OR(Paths!$C$273=0,C2937=0),0,12-E2937)</f>
        <v>0</v>
      </c>
      <c r="G2937" s="16">
        <f>IF(NOT(Paths!$C$273=1),0,IF(Paths!$P$273="Complete",E2937/12*(Paths!$J$273*(1+'Operating costs'!$B$51)^MAX(0,C2937-1)+Paths!$K$273*(1+'Operating costs'!$B$53)^MAX(0,C2937-1)),"n.a."))</f>
        <v>0</v>
      </c>
      <c r="H2937" s="16">
        <f>IF(NOT(Paths!$C$273=1),0,IF(Paths!$P$273="Complete",F2937/12*(Paths!$L$273*(1+IF(Paths!$D$273="EV",'Operating costs'!$B$52,'Operating costs'!$B$51))^MAX(0,C2937-1)+Paths!$M$273*(1+'Operating costs'!$B$53)^MAX(0,C2937-1)),"n.a."))</f>
        <v>0</v>
      </c>
      <c r="I2937" s="16">
        <f>IF(NOT(Paths!$C$273=1),0,IF(Paths!$P$273="Complete",IF(IF(Paths!$E$273=0,C2937=0,AND(C2937&gt;0,Paths!$E$273&gt;(C2937-1)*12,Paths!$E$273&lt;=C2937*12)),Paths!$G$273,0),"n.a."))</f>
        <v>0</v>
      </c>
      <c r="J2937" s="16">
        <f>IF(NOT(Paths!$C$273=1),0,IF(Paths!$P$273="Complete",IF(IF(Paths!$E$273=0,C2937=0,AND(C2937&gt;0,Paths!$E$273&gt;(C2937-1)*12,Paths!$E$273&lt;=C2937*12)),Paths!$H$273,0),"n.a."))</f>
        <v>0</v>
      </c>
      <c r="K2937" s="16">
        <f>IF(NOT(Paths!$C$273=1),0,IF(Paths!$P$273="Complete",IF(IF(Paths!$O$273=0,C2937=0,AND(C2937&gt;0,Paths!$O$273&gt;(C2937-1)*12,Paths!$O$273&lt;=C2937*12)),Paths!$N$273,0),"n.a."))</f>
        <v>0</v>
      </c>
      <c r="L2937" s="16">
        <f>IF(NOT(Paths!$C$273=1),0,IF(Paths!$P$273="Complete",IF(C2937=10,Paths!$I$273,0),"n.a."))</f>
        <v>0</v>
      </c>
      <c r="M2937" s="16">
        <f>IF(NOT(Paths!$C$273=1),0,IF(Paths!$P$273="Complete",IF(AND(Paths!$D$273="EV",Paths!$E$273&lt;120,Paths!$E$273+'Operating costs'!$B$65&gt;Paths!$E$273,Paths!$E$273+'Operating costs'!$B$65&lt;=120,IF(Paths!$E$273+'Operating costs'!$B$65=0,C2937=0,AND(C2937&gt;0,Paths!$E$273+'Operating costs'!$B$65&gt;(C2937-1)*12,Paths!$E$273+'Operating costs'!$B$65&lt;=C2937*12))),'Operating costs'!$B$64,0)+IF(AND('Operating costs'!$B$67&gt;0,'Operating costs'!$B$67&lt;=120,OR(Paths!$D$273="ICE",'Operating costs'!$B$67&lt;=Paths!$E$273),IF('Operating costs'!$B$67=0,C2937=0,AND(C2937&gt;0,'Operating costs'!$B$67&gt;(C2937-1)*12,'Operating costs'!$B$67&lt;=C2937*12))),'Operating costs'!$B$66,0),"n.a."))</f>
        <v>0</v>
      </c>
      <c r="N2937" s="16">
        <f>IF(NOT(Paths!$C$273=1),0,IF(Paths!$P$273="Complete",SUM(G2937:I2937)-J2937-K2937-L2937+M2937+IF(C2937=0,Paths!$F$273,0)+IF(IF(Paths!$E$273=0,C2937=0,AND(C2937&gt;0,Paths!$E$273&gt;(C2937-1)*12,Paths!$E$273&lt;=C2937*12)),VLOOKUP(A2937,'Fleet register'!$A$7:$S$106,16,FALSE),0),"n.a."))</f>
        <v>0</v>
      </c>
      <c r="O2937" s="16">
        <f>IF(NOT(Paths!$C$273=1),0,IF(Paths!$P$273="Complete",N2937-IF(C2937=0,Paths!$F$273,0),"n.a."))</f>
        <v>0</v>
      </c>
      <c r="P2937" s="16">
        <f>IF(NOT(Paths!$C$273=1),0,IF(Paths!$P$273="Complete",O2937+L2937,"n.a."))</f>
        <v>0</v>
      </c>
      <c r="Q2937" s="16">
        <f>IF(NOT(Paths!$C$273=1),0,IF(Paths!$P$273="Complete",N2937*(1+'Operating costs'!$B$54)^-C2937,"n.a."))</f>
        <v>0</v>
      </c>
      <c r="R2937" s="16">
        <f>IF(NOT(Paths!$C$273=1),0,IF(Paths!$P$273="Complete",IF(AND(C2937=0,Paths!$E$273=0),I2937-J2937-K2937+VLOOKUP(A2937,'Fleet register'!$A$7:$S$106,15,FALSE)+VLOOKUP(A2937,'Fleet register'!$A$7:$S$106,16,FALSE),0),"n.a."))</f>
        <v>0</v>
      </c>
      <c r="S2937" s="1">
        <f>IF(NOT(Paths!$C$273=1),0,IF(Paths!$P$273="Complete",IF(C2937=0,0,Paths!$S$273*Paths!$R$273),"n.a."))</f>
        <v>0</v>
      </c>
      <c r="T2937" s="1">
        <f>IF(NOT(Paths!$C$273=1),0,IF(Paths!$P$273="Complete",IF(C2937=0,0,VLOOKUP(A2937,'Fleet register'!$A$7:$S$106,9,FALSE)*Paths!$R$273),"n.a."))</f>
        <v>0</v>
      </c>
    </row>
    <row r="2938" spans="1:20" ht="24" customHeight="1">
      <c r="A2938" s="1" t="str">
        <f>Paths!$A$273</f>
        <v>T067</v>
      </c>
      <c r="B2938" s="1">
        <f>Paths!$B$273</f>
        <v>2</v>
      </c>
      <c r="C2938" s="1">
        <v>5</v>
      </c>
      <c r="D2938" s="1">
        <v>273</v>
      </c>
      <c r="E2938" s="1">
        <f>IF(OR(Paths!$C$273=0,C2938=0),0,MAX(0,MIN(C2938*12,Paths!$E$273)-(C2938-1)*12))</f>
        <v>0</v>
      </c>
      <c r="F2938" s="1">
        <f>IF(OR(Paths!$C$273=0,C2938=0),0,12-E2938)</f>
        <v>0</v>
      </c>
      <c r="G2938" s="16">
        <f>IF(NOT(Paths!$C$273=1),0,IF(Paths!$P$273="Complete",E2938/12*(Paths!$J$273*(1+'Operating costs'!$B$51)^MAX(0,C2938-1)+Paths!$K$273*(1+'Operating costs'!$B$53)^MAX(0,C2938-1)),"n.a."))</f>
        <v>0</v>
      </c>
      <c r="H2938" s="16">
        <f>IF(NOT(Paths!$C$273=1),0,IF(Paths!$P$273="Complete",F2938/12*(Paths!$L$273*(1+IF(Paths!$D$273="EV",'Operating costs'!$B$52,'Operating costs'!$B$51))^MAX(0,C2938-1)+Paths!$M$273*(1+'Operating costs'!$B$53)^MAX(0,C2938-1)),"n.a."))</f>
        <v>0</v>
      </c>
      <c r="I2938" s="16">
        <f>IF(NOT(Paths!$C$273=1),0,IF(Paths!$P$273="Complete",IF(IF(Paths!$E$273=0,C2938=0,AND(C2938&gt;0,Paths!$E$273&gt;(C2938-1)*12,Paths!$E$273&lt;=C2938*12)),Paths!$G$273,0),"n.a."))</f>
        <v>0</v>
      </c>
      <c r="J2938" s="16">
        <f>IF(NOT(Paths!$C$273=1),0,IF(Paths!$P$273="Complete",IF(IF(Paths!$E$273=0,C2938=0,AND(C2938&gt;0,Paths!$E$273&gt;(C2938-1)*12,Paths!$E$273&lt;=C2938*12)),Paths!$H$273,0),"n.a."))</f>
        <v>0</v>
      </c>
      <c r="K2938" s="16">
        <f>IF(NOT(Paths!$C$273=1),0,IF(Paths!$P$273="Complete",IF(IF(Paths!$O$273=0,C2938=0,AND(C2938&gt;0,Paths!$O$273&gt;(C2938-1)*12,Paths!$O$273&lt;=C2938*12)),Paths!$N$273,0),"n.a."))</f>
        <v>0</v>
      </c>
      <c r="L2938" s="16">
        <f>IF(NOT(Paths!$C$273=1),0,IF(Paths!$P$273="Complete",IF(C2938=10,Paths!$I$273,0),"n.a."))</f>
        <v>0</v>
      </c>
      <c r="M2938" s="16">
        <f>IF(NOT(Paths!$C$273=1),0,IF(Paths!$P$273="Complete",IF(AND(Paths!$D$273="EV",Paths!$E$273&lt;120,Paths!$E$273+'Operating costs'!$B$65&gt;Paths!$E$273,Paths!$E$273+'Operating costs'!$B$65&lt;=120,IF(Paths!$E$273+'Operating costs'!$B$65=0,C2938=0,AND(C2938&gt;0,Paths!$E$273+'Operating costs'!$B$65&gt;(C2938-1)*12,Paths!$E$273+'Operating costs'!$B$65&lt;=C2938*12))),'Operating costs'!$B$64,0)+IF(AND('Operating costs'!$B$67&gt;0,'Operating costs'!$B$67&lt;=120,OR(Paths!$D$273="ICE",'Operating costs'!$B$67&lt;=Paths!$E$273),IF('Operating costs'!$B$67=0,C2938=0,AND(C2938&gt;0,'Operating costs'!$B$67&gt;(C2938-1)*12,'Operating costs'!$B$67&lt;=C2938*12))),'Operating costs'!$B$66,0),"n.a."))</f>
        <v>0</v>
      </c>
      <c r="N2938" s="16">
        <f>IF(NOT(Paths!$C$273=1),0,IF(Paths!$P$273="Complete",SUM(G2938:I2938)-J2938-K2938-L2938+M2938+IF(C2938=0,Paths!$F$273,0)+IF(IF(Paths!$E$273=0,C2938=0,AND(C2938&gt;0,Paths!$E$273&gt;(C2938-1)*12,Paths!$E$273&lt;=C2938*12)),VLOOKUP(A2938,'Fleet register'!$A$7:$S$106,16,FALSE),0),"n.a."))</f>
        <v>0</v>
      </c>
      <c r="O2938" s="16">
        <f>IF(NOT(Paths!$C$273=1),0,IF(Paths!$P$273="Complete",N2938-IF(C2938=0,Paths!$F$273,0),"n.a."))</f>
        <v>0</v>
      </c>
      <c r="P2938" s="16">
        <f>IF(NOT(Paths!$C$273=1),0,IF(Paths!$P$273="Complete",O2938+L2938,"n.a."))</f>
        <v>0</v>
      </c>
      <c r="Q2938" s="16">
        <f>IF(NOT(Paths!$C$273=1),0,IF(Paths!$P$273="Complete",N2938*(1+'Operating costs'!$B$54)^-C2938,"n.a."))</f>
        <v>0</v>
      </c>
      <c r="R2938" s="16">
        <f>IF(NOT(Paths!$C$273=1),0,IF(Paths!$P$273="Complete",IF(AND(C2938=0,Paths!$E$273=0),I2938-J2938-K2938+VLOOKUP(A2938,'Fleet register'!$A$7:$S$106,15,FALSE)+VLOOKUP(A2938,'Fleet register'!$A$7:$S$106,16,FALSE),0),"n.a."))</f>
        <v>0</v>
      </c>
      <c r="S2938" s="1">
        <f>IF(NOT(Paths!$C$273=1),0,IF(Paths!$P$273="Complete",IF(C2938=0,0,Paths!$S$273*Paths!$R$273),"n.a."))</f>
        <v>0</v>
      </c>
      <c r="T2938" s="1">
        <f>IF(NOT(Paths!$C$273=1),0,IF(Paths!$P$273="Complete",IF(C2938=0,0,VLOOKUP(A2938,'Fleet register'!$A$7:$S$106,9,FALSE)*Paths!$R$273),"n.a."))</f>
        <v>0</v>
      </c>
    </row>
    <row r="2939" spans="1:20" ht="24" customHeight="1">
      <c r="A2939" s="1" t="str">
        <f>Paths!$A$273</f>
        <v>T067</v>
      </c>
      <c r="B2939" s="1">
        <f>Paths!$B$273</f>
        <v>2</v>
      </c>
      <c r="C2939" s="1">
        <v>6</v>
      </c>
      <c r="D2939" s="1">
        <v>273</v>
      </c>
      <c r="E2939" s="1">
        <f>IF(OR(Paths!$C$273=0,C2939=0),0,MAX(0,MIN(C2939*12,Paths!$E$273)-(C2939-1)*12))</f>
        <v>0</v>
      </c>
      <c r="F2939" s="1">
        <f>IF(OR(Paths!$C$273=0,C2939=0),0,12-E2939)</f>
        <v>0</v>
      </c>
      <c r="G2939" s="16">
        <f>IF(NOT(Paths!$C$273=1),0,IF(Paths!$P$273="Complete",E2939/12*(Paths!$J$273*(1+'Operating costs'!$B$51)^MAX(0,C2939-1)+Paths!$K$273*(1+'Operating costs'!$B$53)^MAX(0,C2939-1)),"n.a."))</f>
        <v>0</v>
      </c>
      <c r="H2939" s="16">
        <f>IF(NOT(Paths!$C$273=1),0,IF(Paths!$P$273="Complete",F2939/12*(Paths!$L$273*(1+IF(Paths!$D$273="EV",'Operating costs'!$B$52,'Operating costs'!$B$51))^MAX(0,C2939-1)+Paths!$M$273*(1+'Operating costs'!$B$53)^MAX(0,C2939-1)),"n.a."))</f>
        <v>0</v>
      </c>
      <c r="I2939" s="16">
        <f>IF(NOT(Paths!$C$273=1),0,IF(Paths!$P$273="Complete",IF(IF(Paths!$E$273=0,C2939=0,AND(C2939&gt;0,Paths!$E$273&gt;(C2939-1)*12,Paths!$E$273&lt;=C2939*12)),Paths!$G$273,0),"n.a."))</f>
        <v>0</v>
      </c>
      <c r="J2939" s="16">
        <f>IF(NOT(Paths!$C$273=1),0,IF(Paths!$P$273="Complete",IF(IF(Paths!$E$273=0,C2939=0,AND(C2939&gt;0,Paths!$E$273&gt;(C2939-1)*12,Paths!$E$273&lt;=C2939*12)),Paths!$H$273,0),"n.a."))</f>
        <v>0</v>
      </c>
      <c r="K2939" s="16">
        <f>IF(NOT(Paths!$C$273=1),0,IF(Paths!$P$273="Complete",IF(IF(Paths!$O$273=0,C2939=0,AND(C2939&gt;0,Paths!$O$273&gt;(C2939-1)*12,Paths!$O$273&lt;=C2939*12)),Paths!$N$273,0),"n.a."))</f>
        <v>0</v>
      </c>
      <c r="L2939" s="16">
        <f>IF(NOT(Paths!$C$273=1),0,IF(Paths!$P$273="Complete",IF(C2939=10,Paths!$I$273,0),"n.a."))</f>
        <v>0</v>
      </c>
      <c r="M2939" s="16">
        <f>IF(NOT(Paths!$C$273=1),0,IF(Paths!$P$273="Complete",IF(AND(Paths!$D$273="EV",Paths!$E$273&lt;120,Paths!$E$273+'Operating costs'!$B$65&gt;Paths!$E$273,Paths!$E$273+'Operating costs'!$B$65&lt;=120,IF(Paths!$E$273+'Operating costs'!$B$65=0,C2939=0,AND(C2939&gt;0,Paths!$E$273+'Operating costs'!$B$65&gt;(C2939-1)*12,Paths!$E$273+'Operating costs'!$B$65&lt;=C2939*12))),'Operating costs'!$B$64,0)+IF(AND('Operating costs'!$B$67&gt;0,'Operating costs'!$B$67&lt;=120,OR(Paths!$D$273="ICE",'Operating costs'!$B$67&lt;=Paths!$E$273),IF('Operating costs'!$B$67=0,C2939=0,AND(C2939&gt;0,'Operating costs'!$B$67&gt;(C2939-1)*12,'Operating costs'!$B$67&lt;=C2939*12))),'Operating costs'!$B$66,0),"n.a."))</f>
        <v>0</v>
      </c>
      <c r="N2939" s="16">
        <f>IF(NOT(Paths!$C$273=1),0,IF(Paths!$P$273="Complete",SUM(G2939:I2939)-J2939-K2939-L2939+M2939+IF(C2939=0,Paths!$F$273,0)+IF(IF(Paths!$E$273=0,C2939=0,AND(C2939&gt;0,Paths!$E$273&gt;(C2939-1)*12,Paths!$E$273&lt;=C2939*12)),VLOOKUP(A2939,'Fleet register'!$A$7:$S$106,16,FALSE),0),"n.a."))</f>
        <v>0</v>
      </c>
      <c r="O2939" s="16">
        <f>IF(NOT(Paths!$C$273=1),0,IF(Paths!$P$273="Complete",N2939-IF(C2939=0,Paths!$F$273,0),"n.a."))</f>
        <v>0</v>
      </c>
      <c r="P2939" s="16">
        <f>IF(NOT(Paths!$C$273=1),0,IF(Paths!$P$273="Complete",O2939+L2939,"n.a."))</f>
        <v>0</v>
      </c>
      <c r="Q2939" s="16">
        <f>IF(NOT(Paths!$C$273=1),0,IF(Paths!$P$273="Complete",N2939*(1+'Operating costs'!$B$54)^-C2939,"n.a."))</f>
        <v>0</v>
      </c>
      <c r="R2939" s="16">
        <f>IF(NOT(Paths!$C$273=1),0,IF(Paths!$P$273="Complete",IF(AND(C2939=0,Paths!$E$273=0),I2939-J2939-K2939+VLOOKUP(A2939,'Fleet register'!$A$7:$S$106,15,FALSE)+VLOOKUP(A2939,'Fleet register'!$A$7:$S$106,16,FALSE),0),"n.a."))</f>
        <v>0</v>
      </c>
      <c r="S2939" s="1">
        <f>IF(NOT(Paths!$C$273=1),0,IF(Paths!$P$273="Complete",IF(C2939=0,0,Paths!$S$273*Paths!$R$273),"n.a."))</f>
        <v>0</v>
      </c>
      <c r="T2939" s="1">
        <f>IF(NOT(Paths!$C$273=1),0,IF(Paths!$P$273="Complete",IF(C2939=0,0,VLOOKUP(A2939,'Fleet register'!$A$7:$S$106,9,FALSE)*Paths!$R$273),"n.a."))</f>
        <v>0</v>
      </c>
    </row>
    <row r="2940" spans="1:20" ht="24" customHeight="1">
      <c r="A2940" s="1" t="str">
        <f>Paths!$A$273</f>
        <v>T067</v>
      </c>
      <c r="B2940" s="1">
        <f>Paths!$B$273</f>
        <v>2</v>
      </c>
      <c r="C2940" s="1">
        <v>7</v>
      </c>
      <c r="D2940" s="1">
        <v>273</v>
      </c>
      <c r="E2940" s="1">
        <f>IF(OR(Paths!$C$273=0,C2940=0),0,MAX(0,MIN(C2940*12,Paths!$E$273)-(C2940-1)*12))</f>
        <v>0</v>
      </c>
      <c r="F2940" s="1">
        <f>IF(OR(Paths!$C$273=0,C2940=0),0,12-E2940)</f>
        <v>0</v>
      </c>
      <c r="G2940" s="16">
        <f>IF(NOT(Paths!$C$273=1),0,IF(Paths!$P$273="Complete",E2940/12*(Paths!$J$273*(1+'Operating costs'!$B$51)^MAX(0,C2940-1)+Paths!$K$273*(1+'Operating costs'!$B$53)^MAX(0,C2940-1)),"n.a."))</f>
        <v>0</v>
      </c>
      <c r="H2940" s="16">
        <f>IF(NOT(Paths!$C$273=1),0,IF(Paths!$P$273="Complete",F2940/12*(Paths!$L$273*(1+IF(Paths!$D$273="EV",'Operating costs'!$B$52,'Operating costs'!$B$51))^MAX(0,C2940-1)+Paths!$M$273*(1+'Operating costs'!$B$53)^MAX(0,C2940-1)),"n.a."))</f>
        <v>0</v>
      </c>
      <c r="I2940" s="16">
        <f>IF(NOT(Paths!$C$273=1),0,IF(Paths!$P$273="Complete",IF(IF(Paths!$E$273=0,C2940=0,AND(C2940&gt;0,Paths!$E$273&gt;(C2940-1)*12,Paths!$E$273&lt;=C2940*12)),Paths!$G$273,0),"n.a."))</f>
        <v>0</v>
      </c>
      <c r="J2940" s="16">
        <f>IF(NOT(Paths!$C$273=1),0,IF(Paths!$P$273="Complete",IF(IF(Paths!$E$273=0,C2940=0,AND(C2940&gt;0,Paths!$E$273&gt;(C2940-1)*12,Paths!$E$273&lt;=C2940*12)),Paths!$H$273,0),"n.a."))</f>
        <v>0</v>
      </c>
      <c r="K2940" s="16">
        <f>IF(NOT(Paths!$C$273=1),0,IF(Paths!$P$273="Complete",IF(IF(Paths!$O$273=0,C2940=0,AND(C2940&gt;0,Paths!$O$273&gt;(C2940-1)*12,Paths!$O$273&lt;=C2940*12)),Paths!$N$273,0),"n.a."))</f>
        <v>0</v>
      </c>
      <c r="L2940" s="16">
        <f>IF(NOT(Paths!$C$273=1),0,IF(Paths!$P$273="Complete",IF(C2940=10,Paths!$I$273,0),"n.a."))</f>
        <v>0</v>
      </c>
      <c r="M2940" s="16">
        <f>IF(NOT(Paths!$C$273=1),0,IF(Paths!$P$273="Complete",IF(AND(Paths!$D$273="EV",Paths!$E$273&lt;120,Paths!$E$273+'Operating costs'!$B$65&gt;Paths!$E$273,Paths!$E$273+'Operating costs'!$B$65&lt;=120,IF(Paths!$E$273+'Operating costs'!$B$65=0,C2940=0,AND(C2940&gt;0,Paths!$E$273+'Operating costs'!$B$65&gt;(C2940-1)*12,Paths!$E$273+'Operating costs'!$B$65&lt;=C2940*12))),'Operating costs'!$B$64,0)+IF(AND('Operating costs'!$B$67&gt;0,'Operating costs'!$B$67&lt;=120,OR(Paths!$D$273="ICE",'Operating costs'!$B$67&lt;=Paths!$E$273),IF('Operating costs'!$B$67=0,C2940=0,AND(C2940&gt;0,'Operating costs'!$B$67&gt;(C2940-1)*12,'Operating costs'!$B$67&lt;=C2940*12))),'Operating costs'!$B$66,0),"n.a."))</f>
        <v>0</v>
      </c>
      <c r="N2940" s="16">
        <f>IF(NOT(Paths!$C$273=1),0,IF(Paths!$P$273="Complete",SUM(G2940:I2940)-J2940-K2940-L2940+M2940+IF(C2940=0,Paths!$F$273,0)+IF(IF(Paths!$E$273=0,C2940=0,AND(C2940&gt;0,Paths!$E$273&gt;(C2940-1)*12,Paths!$E$273&lt;=C2940*12)),VLOOKUP(A2940,'Fleet register'!$A$7:$S$106,16,FALSE),0),"n.a."))</f>
        <v>0</v>
      </c>
      <c r="O2940" s="16">
        <f>IF(NOT(Paths!$C$273=1),0,IF(Paths!$P$273="Complete",N2940-IF(C2940=0,Paths!$F$273,0),"n.a."))</f>
        <v>0</v>
      </c>
      <c r="P2940" s="16">
        <f>IF(NOT(Paths!$C$273=1),0,IF(Paths!$P$273="Complete",O2940+L2940,"n.a."))</f>
        <v>0</v>
      </c>
      <c r="Q2940" s="16">
        <f>IF(NOT(Paths!$C$273=1),0,IF(Paths!$P$273="Complete",N2940*(1+'Operating costs'!$B$54)^-C2940,"n.a."))</f>
        <v>0</v>
      </c>
      <c r="R2940" s="16">
        <f>IF(NOT(Paths!$C$273=1),0,IF(Paths!$P$273="Complete",IF(AND(C2940=0,Paths!$E$273=0),I2940-J2940-K2940+VLOOKUP(A2940,'Fleet register'!$A$7:$S$106,15,FALSE)+VLOOKUP(A2940,'Fleet register'!$A$7:$S$106,16,FALSE),0),"n.a."))</f>
        <v>0</v>
      </c>
      <c r="S2940" s="1">
        <f>IF(NOT(Paths!$C$273=1),0,IF(Paths!$P$273="Complete",IF(C2940=0,0,Paths!$S$273*Paths!$R$273),"n.a."))</f>
        <v>0</v>
      </c>
      <c r="T2940" s="1">
        <f>IF(NOT(Paths!$C$273=1),0,IF(Paths!$P$273="Complete",IF(C2940=0,0,VLOOKUP(A2940,'Fleet register'!$A$7:$S$106,9,FALSE)*Paths!$R$273),"n.a."))</f>
        <v>0</v>
      </c>
    </row>
    <row r="2941" spans="1:20" ht="24" customHeight="1">
      <c r="A2941" s="1" t="str">
        <f>Paths!$A$273</f>
        <v>T067</v>
      </c>
      <c r="B2941" s="1">
        <f>Paths!$B$273</f>
        <v>2</v>
      </c>
      <c r="C2941" s="1">
        <v>8</v>
      </c>
      <c r="D2941" s="1">
        <v>273</v>
      </c>
      <c r="E2941" s="1">
        <f>IF(OR(Paths!$C$273=0,C2941=0),0,MAX(0,MIN(C2941*12,Paths!$E$273)-(C2941-1)*12))</f>
        <v>0</v>
      </c>
      <c r="F2941" s="1">
        <f>IF(OR(Paths!$C$273=0,C2941=0),0,12-E2941)</f>
        <v>0</v>
      </c>
      <c r="G2941" s="16">
        <f>IF(NOT(Paths!$C$273=1),0,IF(Paths!$P$273="Complete",E2941/12*(Paths!$J$273*(1+'Operating costs'!$B$51)^MAX(0,C2941-1)+Paths!$K$273*(1+'Operating costs'!$B$53)^MAX(0,C2941-1)),"n.a."))</f>
        <v>0</v>
      </c>
      <c r="H2941" s="16">
        <f>IF(NOT(Paths!$C$273=1),0,IF(Paths!$P$273="Complete",F2941/12*(Paths!$L$273*(1+IF(Paths!$D$273="EV",'Operating costs'!$B$52,'Operating costs'!$B$51))^MAX(0,C2941-1)+Paths!$M$273*(1+'Operating costs'!$B$53)^MAX(0,C2941-1)),"n.a."))</f>
        <v>0</v>
      </c>
      <c r="I2941" s="16">
        <f>IF(NOT(Paths!$C$273=1),0,IF(Paths!$P$273="Complete",IF(IF(Paths!$E$273=0,C2941=0,AND(C2941&gt;0,Paths!$E$273&gt;(C2941-1)*12,Paths!$E$273&lt;=C2941*12)),Paths!$G$273,0),"n.a."))</f>
        <v>0</v>
      </c>
      <c r="J2941" s="16">
        <f>IF(NOT(Paths!$C$273=1),0,IF(Paths!$P$273="Complete",IF(IF(Paths!$E$273=0,C2941=0,AND(C2941&gt;0,Paths!$E$273&gt;(C2941-1)*12,Paths!$E$273&lt;=C2941*12)),Paths!$H$273,0),"n.a."))</f>
        <v>0</v>
      </c>
      <c r="K2941" s="16">
        <f>IF(NOT(Paths!$C$273=1),0,IF(Paths!$P$273="Complete",IF(IF(Paths!$O$273=0,C2941=0,AND(C2941&gt;0,Paths!$O$273&gt;(C2941-1)*12,Paths!$O$273&lt;=C2941*12)),Paths!$N$273,0),"n.a."))</f>
        <v>0</v>
      </c>
      <c r="L2941" s="16">
        <f>IF(NOT(Paths!$C$273=1),0,IF(Paths!$P$273="Complete",IF(C2941=10,Paths!$I$273,0),"n.a."))</f>
        <v>0</v>
      </c>
      <c r="M2941" s="16">
        <f>IF(NOT(Paths!$C$273=1),0,IF(Paths!$P$273="Complete",IF(AND(Paths!$D$273="EV",Paths!$E$273&lt;120,Paths!$E$273+'Operating costs'!$B$65&gt;Paths!$E$273,Paths!$E$273+'Operating costs'!$B$65&lt;=120,IF(Paths!$E$273+'Operating costs'!$B$65=0,C2941=0,AND(C2941&gt;0,Paths!$E$273+'Operating costs'!$B$65&gt;(C2941-1)*12,Paths!$E$273+'Operating costs'!$B$65&lt;=C2941*12))),'Operating costs'!$B$64,0)+IF(AND('Operating costs'!$B$67&gt;0,'Operating costs'!$B$67&lt;=120,OR(Paths!$D$273="ICE",'Operating costs'!$B$67&lt;=Paths!$E$273),IF('Operating costs'!$B$67=0,C2941=0,AND(C2941&gt;0,'Operating costs'!$B$67&gt;(C2941-1)*12,'Operating costs'!$B$67&lt;=C2941*12))),'Operating costs'!$B$66,0),"n.a."))</f>
        <v>0</v>
      </c>
      <c r="N2941" s="16">
        <f>IF(NOT(Paths!$C$273=1),0,IF(Paths!$P$273="Complete",SUM(G2941:I2941)-J2941-K2941-L2941+M2941+IF(C2941=0,Paths!$F$273,0)+IF(IF(Paths!$E$273=0,C2941=0,AND(C2941&gt;0,Paths!$E$273&gt;(C2941-1)*12,Paths!$E$273&lt;=C2941*12)),VLOOKUP(A2941,'Fleet register'!$A$7:$S$106,16,FALSE),0),"n.a."))</f>
        <v>0</v>
      </c>
      <c r="O2941" s="16">
        <f>IF(NOT(Paths!$C$273=1),0,IF(Paths!$P$273="Complete",N2941-IF(C2941=0,Paths!$F$273,0),"n.a."))</f>
        <v>0</v>
      </c>
      <c r="P2941" s="16">
        <f>IF(NOT(Paths!$C$273=1),0,IF(Paths!$P$273="Complete",O2941+L2941,"n.a."))</f>
        <v>0</v>
      </c>
      <c r="Q2941" s="16">
        <f>IF(NOT(Paths!$C$273=1),0,IF(Paths!$P$273="Complete",N2941*(1+'Operating costs'!$B$54)^-C2941,"n.a."))</f>
        <v>0</v>
      </c>
      <c r="R2941" s="16">
        <f>IF(NOT(Paths!$C$273=1),0,IF(Paths!$P$273="Complete",IF(AND(C2941=0,Paths!$E$273=0),I2941-J2941-K2941+VLOOKUP(A2941,'Fleet register'!$A$7:$S$106,15,FALSE)+VLOOKUP(A2941,'Fleet register'!$A$7:$S$106,16,FALSE),0),"n.a."))</f>
        <v>0</v>
      </c>
      <c r="S2941" s="1">
        <f>IF(NOT(Paths!$C$273=1),0,IF(Paths!$P$273="Complete",IF(C2941=0,0,Paths!$S$273*Paths!$R$273),"n.a."))</f>
        <v>0</v>
      </c>
      <c r="T2941" s="1">
        <f>IF(NOT(Paths!$C$273=1),0,IF(Paths!$P$273="Complete",IF(C2941=0,0,VLOOKUP(A2941,'Fleet register'!$A$7:$S$106,9,FALSE)*Paths!$R$273),"n.a."))</f>
        <v>0</v>
      </c>
    </row>
    <row r="2942" spans="1:20" ht="24" customHeight="1">
      <c r="A2942" s="1" t="str">
        <f>Paths!$A$273</f>
        <v>T067</v>
      </c>
      <c r="B2942" s="1">
        <f>Paths!$B$273</f>
        <v>2</v>
      </c>
      <c r="C2942" s="1">
        <v>9</v>
      </c>
      <c r="D2942" s="1">
        <v>273</v>
      </c>
      <c r="E2942" s="1">
        <f>IF(OR(Paths!$C$273=0,C2942=0),0,MAX(0,MIN(C2942*12,Paths!$E$273)-(C2942-1)*12))</f>
        <v>0</v>
      </c>
      <c r="F2942" s="1">
        <f>IF(OR(Paths!$C$273=0,C2942=0),0,12-E2942)</f>
        <v>0</v>
      </c>
      <c r="G2942" s="16">
        <f>IF(NOT(Paths!$C$273=1),0,IF(Paths!$P$273="Complete",E2942/12*(Paths!$J$273*(1+'Operating costs'!$B$51)^MAX(0,C2942-1)+Paths!$K$273*(1+'Operating costs'!$B$53)^MAX(0,C2942-1)),"n.a."))</f>
        <v>0</v>
      </c>
      <c r="H2942" s="16">
        <f>IF(NOT(Paths!$C$273=1),0,IF(Paths!$P$273="Complete",F2942/12*(Paths!$L$273*(1+IF(Paths!$D$273="EV",'Operating costs'!$B$52,'Operating costs'!$B$51))^MAX(0,C2942-1)+Paths!$M$273*(1+'Operating costs'!$B$53)^MAX(0,C2942-1)),"n.a."))</f>
        <v>0</v>
      </c>
      <c r="I2942" s="16">
        <f>IF(NOT(Paths!$C$273=1),0,IF(Paths!$P$273="Complete",IF(IF(Paths!$E$273=0,C2942=0,AND(C2942&gt;0,Paths!$E$273&gt;(C2942-1)*12,Paths!$E$273&lt;=C2942*12)),Paths!$G$273,0),"n.a."))</f>
        <v>0</v>
      </c>
      <c r="J2942" s="16">
        <f>IF(NOT(Paths!$C$273=1),0,IF(Paths!$P$273="Complete",IF(IF(Paths!$E$273=0,C2942=0,AND(C2942&gt;0,Paths!$E$273&gt;(C2942-1)*12,Paths!$E$273&lt;=C2942*12)),Paths!$H$273,0),"n.a."))</f>
        <v>0</v>
      </c>
      <c r="K2942" s="16">
        <f>IF(NOT(Paths!$C$273=1),0,IF(Paths!$P$273="Complete",IF(IF(Paths!$O$273=0,C2942=0,AND(C2942&gt;0,Paths!$O$273&gt;(C2942-1)*12,Paths!$O$273&lt;=C2942*12)),Paths!$N$273,0),"n.a."))</f>
        <v>0</v>
      </c>
      <c r="L2942" s="16">
        <f>IF(NOT(Paths!$C$273=1),0,IF(Paths!$P$273="Complete",IF(C2942=10,Paths!$I$273,0),"n.a."))</f>
        <v>0</v>
      </c>
      <c r="M2942" s="16">
        <f>IF(NOT(Paths!$C$273=1),0,IF(Paths!$P$273="Complete",IF(AND(Paths!$D$273="EV",Paths!$E$273&lt;120,Paths!$E$273+'Operating costs'!$B$65&gt;Paths!$E$273,Paths!$E$273+'Operating costs'!$B$65&lt;=120,IF(Paths!$E$273+'Operating costs'!$B$65=0,C2942=0,AND(C2942&gt;0,Paths!$E$273+'Operating costs'!$B$65&gt;(C2942-1)*12,Paths!$E$273+'Operating costs'!$B$65&lt;=C2942*12))),'Operating costs'!$B$64,0)+IF(AND('Operating costs'!$B$67&gt;0,'Operating costs'!$B$67&lt;=120,OR(Paths!$D$273="ICE",'Operating costs'!$B$67&lt;=Paths!$E$273),IF('Operating costs'!$B$67=0,C2942=0,AND(C2942&gt;0,'Operating costs'!$B$67&gt;(C2942-1)*12,'Operating costs'!$B$67&lt;=C2942*12))),'Operating costs'!$B$66,0),"n.a."))</f>
        <v>0</v>
      </c>
      <c r="N2942" s="16">
        <f>IF(NOT(Paths!$C$273=1),0,IF(Paths!$P$273="Complete",SUM(G2942:I2942)-J2942-K2942-L2942+M2942+IF(C2942=0,Paths!$F$273,0)+IF(IF(Paths!$E$273=0,C2942=0,AND(C2942&gt;0,Paths!$E$273&gt;(C2942-1)*12,Paths!$E$273&lt;=C2942*12)),VLOOKUP(A2942,'Fleet register'!$A$7:$S$106,16,FALSE),0),"n.a."))</f>
        <v>0</v>
      </c>
      <c r="O2942" s="16">
        <f>IF(NOT(Paths!$C$273=1),0,IF(Paths!$P$273="Complete",N2942-IF(C2942=0,Paths!$F$273,0),"n.a."))</f>
        <v>0</v>
      </c>
      <c r="P2942" s="16">
        <f>IF(NOT(Paths!$C$273=1),0,IF(Paths!$P$273="Complete",O2942+L2942,"n.a."))</f>
        <v>0</v>
      </c>
      <c r="Q2942" s="16">
        <f>IF(NOT(Paths!$C$273=1),0,IF(Paths!$P$273="Complete",N2942*(1+'Operating costs'!$B$54)^-C2942,"n.a."))</f>
        <v>0</v>
      </c>
      <c r="R2942" s="16">
        <f>IF(NOT(Paths!$C$273=1),0,IF(Paths!$P$273="Complete",IF(AND(C2942=0,Paths!$E$273=0),I2942-J2942-K2942+VLOOKUP(A2942,'Fleet register'!$A$7:$S$106,15,FALSE)+VLOOKUP(A2942,'Fleet register'!$A$7:$S$106,16,FALSE),0),"n.a."))</f>
        <v>0</v>
      </c>
      <c r="S2942" s="1">
        <f>IF(NOT(Paths!$C$273=1),0,IF(Paths!$P$273="Complete",IF(C2942=0,0,Paths!$S$273*Paths!$R$273),"n.a."))</f>
        <v>0</v>
      </c>
      <c r="T2942" s="1">
        <f>IF(NOT(Paths!$C$273=1),0,IF(Paths!$P$273="Complete",IF(C2942=0,0,VLOOKUP(A2942,'Fleet register'!$A$7:$S$106,9,FALSE)*Paths!$R$273),"n.a."))</f>
        <v>0</v>
      </c>
    </row>
    <row r="2943" spans="1:20" ht="24" customHeight="1">
      <c r="A2943" s="1" t="str">
        <f>Paths!$A$273</f>
        <v>T067</v>
      </c>
      <c r="B2943" s="1">
        <f>Paths!$B$273</f>
        <v>2</v>
      </c>
      <c r="C2943" s="1">
        <v>10</v>
      </c>
      <c r="D2943" s="1">
        <v>273</v>
      </c>
      <c r="E2943" s="1">
        <f>IF(OR(Paths!$C$273=0,C2943=0),0,MAX(0,MIN(C2943*12,Paths!$E$273)-(C2943-1)*12))</f>
        <v>0</v>
      </c>
      <c r="F2943" s="1">
        <f>IF(OR(Paths!$C$273=0,C2943=0),0,12-E2943)</f>
        <v>0</v>
      </c>
      <c r="G2943" s="16">
        <f>IF(NOT(Paths!$C$273=1),0,IF(Paths!$P$273="Complete",E2943/12*(Paths!$J$273*(1+'Operating costs'!$B$51)^MAX(0,C2943-1)+Paths!$K$273*(1+'Operating costs'!$B$53)^MAX(0,C2943-1)),"n.a."))</f>
        <v>0</v>
      </c>
      <c r="H2943" s="16">
        <f>IF(NOT(Paths!$C$273=1),0,IF(Paths!$P$273="Complete",F2943/12*(Paths!$L$273*(1+IF(Paths!$D$273="EV",'Operating costs'!$B$52,'Operating costs'!$B$51))^MAX(0,C2943-1)+Paths!$M$273*(1+'Operating costs'!$B$53)^MAX(0,C2943-1)),"n.a."))</f>
        <v>0</v>
      </c>
      <c r="I2943" s="16">
        <f>IF(NOT(Paths!$C$273=1),0,IF(Paths!$P$273="Complete",IF(IF(Paths!$E$273=0,C2943=0,AND(C2943&gt;0,Paths!$E$273&gt;(C2943-1)*12,Paths!$E$273&lt;=C2943*12)),Paths!$G$273,0),"n.a."))</f>
        <v>0</v>
      </c>
      <c r="J2943" s="16">
        <f>IF(NOT(Paths!$C$273=1),0,IF(Paths!$P$273="Complete",IF(IF(Paths!$E$273=0,C2943=0,AND(C2943&gt;0,Paths!$E$273&gt;(C2943-1)*12,Paths!$E$273&lt;=C2943*12)),Paths!$H$273,0),"n.a."))</f>
        <v>0</v>
      </c>
      <c r="K2943" s="16">
        <f>IF(NOT(Paths!$C$273=1),0,IF(Paths!$P$273="Complete",IF(IF(Paths!$O$273=0,C2943=0,AND(C2943&gt;0,Paths!$O$273&gt;(C2943-1)*12,Paths!$O$273&lt;=C2943*12)),Paths!$N$273,0),"n.a."))</f>
        <v>0</v>
      </c>
      <c r="L2943" s="16">
        <f>IF(NOT(Paths!$C$273=1),0,IF(Paths!$P$273="Complete",IF(C2943=10,Paths!$I$273,0),"n.a."))</f>
        <v>0</v>
      </c>
      <c r="M2943" s="16">
        <f>IF(NOT(Paths!$C$273=1),0,IF(Paths!$P$273="Complete",IF(AND(Paths!$D$273="EV",Paths!$E$273&lt;120,Paths!$E$273+'Operating costs'!$B$65&gt;Paths!$E$273,Paths!$E$273+'Operating costs'!$B$65&lt;=120,IF(Paths!$E$273+'Operating costs'!$B$65=0,C2943=0,AND(C2943&gt;0,Paths!$E$273+'Operating costs'!$B$65&gt;(C2943-1)*12,Paths!$E$273+'Operating costs'!$B$65&lt;=C2943*12))),'Operating costs'!$B$64,0)+IF(AND('Operating costs'!$B$67&gt;0,'Operating costs'!$B$67&lt;=120,OR(Paths!$D$273="ICE",'Operating costs'!$B$67&lt;=Paths!$E$273),IF('Operating costs'!$B$67=0,C2943=0,AND(C2943&gt;0,'Operating costs'!$B$67&gt;(C2943-1)*12,'Operating costs'!$B$67&lt;=C2943*12))),'Operating costs'!$B$66,0),"n.a."))</f>
        <v>0</v>
      </c>
      <c r="N2943" s="16">
        <f>IF(NOT(Paths!$C$273=1),0,IF(Paths!$P$273="Complete",SUM(G2943:I2943)-J2943-K2943-L2943+M2943+IF(C2943=0,Paths!$F$273,0)+IF(IF(Paths!$E$273=0,C2943=0,AND(C2943&gt;0,Paths!$E$273&gt;(C2943-1)*12,Paths!$E$273&lt;=C2943*12)),VLOOKUP(A2943,'Fleet register'!$A$7:$S$106,16,FALSE),0),"n.a."))</f>
        <v>0</v>
      </c>
      <c r="O2943" s="16">
        <f>IF(NOT(Paths!$C$273=1),0,IF(Paths!$P$273="Complete",N2943-IF(C2943=0,Paths!$F$273,0),"n.a."))</f>
        <v>0</v>
      </c>
      <c r="P2943" s="16">
        <f>IF(NOT(Paths!$C$273=1),0,IF(Paths!$P$273="Complete",O2943+L2943,"n.a."))</f>
        <v>0</v>
      </c>
      <c r="Q2943" s="16">
        <f>IF(NOT(Paths!$C$273=1),0,IF(Paths!$P$273="Complete",N2943*(1+'Operating costs'!$B$54)^-C2943,"n.a."))</f>
        <v>0</v>
      </c>
      <c r="R2943" s="16">
        <f>IF(NOT(Paths!$C$273=1),0,IF(Paths!$P$273="Complete",IF(AND(C2943=0,Paths!$E$273=0),I2943-J2943-K2943+VLOOKUP(A2943,'Fleet register'!$A$7:$S$106,15,FALSE)+VLOOKUP(A2943,'Fleet register'!$A$7:$S$106,16,FALSE),0),"n.a."))</f>
        <v>0</v>
      </c>
      <c r="S2943" s="1">
        <f>IF(NOT(Paths!$C$273=1),0,IF(Paths!$P$273="Complete",IF(C2943=0,0,Paths!$S$273*Paths!$R$273),"n.a."))</f>
        <v>0</v>
      </c>
      <c r="T2943" s="1">
        <f>IF(NOT(Paths!$C$273=1),0,IF(Paths!$P$273="Complete",IF(C2943=0,0,VLOOKUP(A2943,'Fleet register'!$A$7:$S$106,9,FALSE)*Paths!$R$273),"n.a."))</f>
        <v>0</v>
      </c>
    </row>
    <row r="2944" spans="1:20" ht="24" customHeight="1">
      <c r="A2944" s="1" t="str">
        <f>Paths!$A$274</f>
        <v>T067</v>
      </c>
      <c r="B2944" s="1">
        <f>Paths!$B$274</f>
        <v>3</v>
      </c>
      <c r="C2944" s="1">
        <v>0</v>
      </c>
      <c r="D2944" s="1">
        <v>274</v>
      </c>
      <c r="E2944" s="1">
        <f>IF(OR(Paths!$C$274=0,C2944=0),0,MAX(0,MIN(C2944*12,Paths!$E$274)-(C2944-1)*12))</f>
        <v>0</v>
      </c>
      <c r="F2944" s="1">
        <f>IF(OR(Paths!$C$274=0,C2944=0),0,12-E2944)</f>
        <v>0</v>
      </c>
      <c r="G2944" s="16">
        <f>IF(NOT(Paths!$C$274=1),0,IF(Paths!$P$274="Complete",E2944/12*(Paths!$J$274*(1+'Operating costs'!$B$51)^MAX(0,C2944-1)+Paths!$K$274*(1+'Operating costs'!$B$53)^MAX(0,C2944-1)),"n.a."))</f>
        <v>0</v>
      </c>
      <c r="H2944" s="16">
        <f>IF(NOT(Paths!$C$274=1),0,IF(Paths!$P$274="Complete",F2944/12*(Paths!$L$274*(1+IF(Paths!$D$274="EV",'Operating costs'!$B$52,'Operating costs'!$B$51))^MAX(0,C2944-1)+Paths!$M$274*(1+'Operating costs'!$B$53)^MAX(0,C2944-1)),"n.a."))</f>
        <v>0</v>
      </c>
      <c r="I2944" s="16">
        <f>IF(NOT(Paths!$C$274=1),0,IF(Paths!$P$274="Complete",IF(IF(Paths!$E$274=0,C2944=0,AND(C2944&gt;0,Paths!$E$274&gt;(C2944-1)*12,Paths!$E$274&lt;=C2944*12)),Paths!$G$274,0),"n.a."))</f>
        <v>0</v>
      </c>
      <c r="J2944" s="16">
        <f>IF(NOT(Paths!$C$274=1),0,IF(Paths!$P$274="Complete",IF(IF(Paths!$E$274=0,C2944=0,AND(C2944&gt;0,Paths!$E$274&gt;(C2944-1)*12,Paths!$E$274&lt;=C2944*12)),Paths!$H$274,0),"n.a."))</f>
        <v>0</v>
      </c>
      <c r="K2944" s="16">
        <f>IF(NOT(Paths!$C$274=1),0,IF(Paths!$P$274="Complete",IF(IF(Paths!$O$274=0,C2944=0,AND(C2944&gt;0,Paths!$O$274&gt;(C2944-1)*12,Paths!$O$274&lt;=C2944*12)),Paths!$N$274,0),"n.a."))</f>
        <v>0</v>
      </c>
      <c r="L2944" s="16">
        <f>IF(NOT(Paths!$C$274=1),0,IF(Paths!$P$274="Complete",IF(C2944=10,Paths!$I$274,0),"n.a."))</f>
        <v>0</v>
      </c>
      <c r="M2944" s="16">
        <f>IF(NOT(Paths!$C$274=1),0,IF(Paths!$P$274="Complete",IF(AND(Paths!$D$274="EV",Paths!$E$274&lt;120,Paths!$E$274+'Operating costs'!$B$65&gt;Paths!$E$274,Paths!$E$274+'Operating costs'!$B$65&lt;=120,IF(Paths!$E$274+'Operating costs'!$B$65=0,C2944=0,AND(C2944&gt;0,Paths!$E$274+'Operating costs'!$B$65&gt;(C2944-1)*12,Paths!$E$274+'Operating costs'!$B$65&lt;=C2944*12))),'Operating costs'!$B$64,0)+IF(AND('Operating costs'!$B$67&gt;0,'Operating costs'!$B$67&lt;=120,OR(Paths!$D$274="ICE",'Operating costs'!$B$67&lt;=Paths!$E$274),IF('Operating costs'!$B$67=0,C2944=0,AND(C2944&gt;0,'Operating costs'!$B$67&gt;(C2944-1)*12,'Operating costs'!$B$67&lt;=C2944*12))),'Operating costs'!$B$66,0),"n.a."))</f>
        <v>0</v>
      </c>
      <c r="N2944" s="16">
        <f>IF(NOT(Paths!$C$274=1),0,IF(Paths!$P$274="Complete",SUM(G2944:I2944)-J2944-K2944-L2944+M2944+IF(C2944=0,Paths!$F$274,0)+IF(IF(Paths!$E$274=0,C2944=0,AND(C2944&gt;0,Paths!$E$274&gt;(C2944-1)*12,Paths!$E$274&lt;=C2944*12)),VLOOKUP(A2944,'Fleet register'!$A$7:$S$106,16,FALSE),0),"n.a."))</f>
        <v>0</v>
      </c>
      <c r="O2944" s="16">
        <f>IF(NOT(Paths!$C$274=1),0,IF(Paths!$P$274="Complete",N2944-IF(C2944=0,Paths!$F$274,0),"n.a."))</f>
        <v>0</v>
      </c>
      <c r="P2944" s="16">
        <f>IF(NOT(Paths!$C$274=1),0,IF(Paths!$P$274="Complete",O2944+L2944,"n.a."))</f>
        <v>0</v>
      </c>
      <c r="Q2944" s="16">
        <f>IF(NOT(Paths!$C$274=1),0,IF(Paths!$P$274="Complete",N2944*(1+'Operating costs'!$B$54)^-C2944,"n.a."))</f>
        <v>0</v>
      </c>
      <c r="R2944" s="16">
        <f>IF(NOT(Paths!$C$274=1),0,IF(Paths!$P$274="Complete",IF(AND(C2944=0,Paths!$E$274=0),I2944-J2944-K2944+VLOOKUP(A2944,'Fleet register'!$A$7:$S$106,15,FALSE)+VLOOKUP(A2944,'Fleet register'!$A$7:$S$106,16,FALSE),0),"n.a."))</f>
        <v>0</v>
      </c>
      <c r="S2944" s="1">
        <f>IF(NOT(Paths!$C$274=1),0,IF(Paths!$P$274="Complete",IF(C2944=0,0,Paths!$S$274*Paths!$R$274),"n.a."))</f>
        <v>0</v>
      </c>
      <c r="T2944" s="1">
        <f>IF(NOT(Paths!$C$274=1),0,IF(Paths!$P$274="Complete",IF(C2944=0,0,VLOOKUP(A2944,'Fleet register'!$A$7:$S$106,9,FALSE)*Paths!$R$274),"n.a."))</f>
        <v>0</v>
      </c>
    </row>
    <row r="2945" spans="1:20" ht="24" customHeight="1">
      <c r="A2945" s="1" t="str">
        <f>Paths!$A$274</f>
        <v>T067</v>
      </c>
      <c r="B2945" s="1">
        <f>Paths!$B$274</f>
        <v>3</v>
      </c>
      <c r="C2945" s="1">
        <v>1</v>
      </c>
      <c r="D2945" s="1">
        <v>274</v>
      </c>
      <c r="E2945" s="1">
        <f>IF(OR(Paths!$C$274=0,C2945=0),0,MAX(0,MIN(C2945*12,Paths!$E$274)-(C2945-1)*12))</f>
        <v>0</v>
      </c>
      <c r="F2945" s="1">
        <f>IF(OR(Paths!$C$274=0,C2945=0),0,12-E2945)</f>
        <v>0</v>
      </c>
      <c r="G2945" s="16">
        <f>IF(NOT(Paths!$C$274=1),0,IF(Paths!$P$274="Complete",E2945/12*(Paths!$J$274*(1+'Operating costs'!$B$51)^MAX(0,C2945-1)+Paths!$K$274*(1+'Operating costs'!$B$53)^MAX(0,C2945-1)),"n.a."))</f>
        <v>0</v>
      </c>
      <c r="H2945" s="16">
        <f>IF(NOT(Paths!$C$274=1),0,IF(Paths!$P$274="Complete",F2945/12*(Paths!$L$274*(1+IF(Paths!$D$274="EV",'Operating costs'!$B$52,'Operating costs'!$B$51))^MAX(0,C2945-1)+Paths!$M$274*(1+'Operating costs'!$B$53)^MAX(0,C2945-1)),"n.a."))</f>
        <v>0</v>
      </c>
      <c r="I2945" s="16">
        <f>IF(NOT(Paths!$C$274=1),0,IF(Paths!$P$274="Complete",IF(IF(Paths!$E$274=0,C2945=0,AND(C2945&gt;0,Paths!$E$274&gt;(C2945-1)*12,Paths!$E$274&lt;=C2945*12)),Paths!$G$274,0),"n.a."))</f>
        <v>0</v>
      </c>
      <c r="J2945" s="16">
        <f>IF(NOT(Paths!$C$274=1),0,IF(Paths!$P$274="Complete",IF(IF(Paths!$E$274=0,C2945=0,AND(C2945&gt;0,Paths!$E$274&gt;(C2945-1)*12,Paths!$E$274&lt;=C2945*12)),Paths!$H$274,0),"n.a."))</f>
        <v>0</v>
      </c>
      <c r="K2945" s="16">
        <f>IF(NOT(Paths!$C$274=1),0,IF(Paths!$P$274="Complete",IF(IF(Paths!$O$274=0,C2945=0,AND(C2945&gt;0,Paths!$O$274&gt;(C2945-1)*12,Paths!$O$274&lt;=C2945*12)),Paths!$N$274,0),"n.a."))</f>
        <v>0</v>
      </c>
      <c r="L2945" s="16">
        <f>IF(NOT(Paths!$C$274=1),0,IF(Paths!$P$274="Complete",IF(C2945=10,Paths!$I$274,0),"n.a."))</f>
        <v>0</v>
      </c>
      <c r="M2945" s="16">
        <f>IF(NOT(Paths!$C$274=1),0,IF(Paths!$P$274="Complete",IF(AND(Paths!$D$274="EV",Paths!$E$274&lt;120,Paths!$E$274+'Operating costs'!$B$65&gt;Paths!$E$274,Paths!$E$274+'Operating costs'!$B$65&lt;=120,IF(Paths!$E$274+'Operating costs'!$B$65=0,C2945=0,AND(C2945&gt;0,Paths!$E$274+'Operating costs'!$B$65&gt;(C2945-1)*12,Paths!$E$274+'Operating costs'!$B$65&lt;=C2945*12))),'Operating costs'!$B$64,0)+IF(AND('Operating costs'!$B$67&gt;0,'Operating costs'!$B$67&lt;=120,OR(Paths!$D$274="ICE",'Operating costs'!$B$67&lt;=Paths!$E$274),IF('Operating costs'!$B$67=0,C2945=0,AND(C2945&gt;0,'Operating costs'!$B$67&gt;(C2945-1)*12,'Operating costs'!$B$67&lt;=C2945*12))),'Operating costs'!$B$66,0),"n.a."))</f>
        <v>0</v>
      </c>
      <c r="N2945" s="16">
        <f>IF(NOT(Paths!$C$274=1),0,IF(Paths!$P$274="Complete",SUM(G2945:I2945)-J2945-K2945-L2945+M2945+IF(C2945=0,Paths!$F$274,0)+IF(IF(Paths!$E$274=0,C2945=0,AND(C2945&gt;0,Paths!$E$274&gt;(C2945-1)*12,Paths!$E$274&lt;=C2945*12)),VLOOKUP(A2945,'Fleet register'!$A$7:$S$106,16,FALSE),0),"n.a."))</f>
        <v>0</v>
      </c>
      <c r="O2945" s="16">
        <f>IF(NOT(Paths!$C$274=1),0,IF(Paths!$P$274="Complete",N2945-IF(C2945=0,Paths!$F$274,0),"n.a."))</f>
        <v>0</v>
      </c>
      <c r="P2945" s="16">
        <f>IF(NOT(Paths!$C$274=1),0,IF(Paths!$P$274="Complete",O2945+L2945,"n.a."))</f>
        <v>0</v>
      </c>
      <c r="Q2945" s="16">
        <f>IF(NOT(Paths!$C$274=1),0,IF(Paths!$P$274="Complete",N2945*(1+'Operating costs'!$B$54)^-C2945,"n.a."))</f>
        <v>0</v>
      </c>
      <c r="R2945" s="16">
        <f>IF(NOT(Paths!$C$274=1),0,IF(Paths!$P$274="Complete",IF(AND(C2945=0,Paths!$E$274=0),I2945-J2945-K2945+VLOOKUP(A2945,'Fleet register'!$A$7:$S$106,15,FALSE)+VLOOKUP(A2945,'Fleet register'!$A$7:$S$106,16,FALSE),0),"n.a."))</f>
        <v>0</v>
      </c>
      <c r="S2945" s="1">
        <f>IF(NOT(Paths!$C$274=1),0,IF(Paths!$P$274="Complete",IF(C2945=0,0,Paths!$S$274*Paths!$R$274),"n.a."))</f>
        <v>0</v>
      </c>
      <c r="T2945" s="1">
        <f>IF(NOT(Paths!$C$274=1),0,IF(Paths!$P$274="Complete",IF(C2945=0,0,VLOOKUP(A2945,'Fleet register'!$A$7:$S$106,9,FALSE)*Paths!$R$274),"n.a."))</f>
        <v>0</v>
      </c>
    </row>
    <row r="2946" spans="1:20" ht="24" customHeight="1">
      <c r="A2946" s="1" t="str">
        <f>Paths!$A$274</f>
        <v>T067</v>
      </c>
      <c r="B2946" s="1">
        <f>Paths!$B$274</f>
        <v>3</v>
      </c>
      <c r="C2946" s="1">
        <v>2</v>
      </c>
      <c r="D2946" s="1">
        <v>274</v>
      </c>
      <c r="E2946" s="1">
        <f>IF(OR(Paths!$C$274=0,C2946=0),0,MAX(0,MIN(C2946*12,Paths!$E$274)-(C2946-1)*12))</f>
        <v>0</v>
      </c>
      <c r="F2946" s="1">
        <f>IF(OR(Paths!$C$274=0,C2946=0),0,12-E2946)</f>
        <v>0</v>
      </c>
      <c r="G2946" s="16">
        <f>IF(NOT(Paths!$C$274=1),0,IF(Paths!$P$274="Complete",E2946/12*(Paths!$J$274*(1+'Operating costs'!$B$51)^MAX(0,C2946-1)+Paths!$K$274*(1+'Operating costs'!$B$53)^MAX(0,C2946-1)),"n.a."))</f>
        <v>0</v>
      </c>
      <c r="H2946" s="16">
        <f>IF(NOT(Paths!$C$274=1),0,IF(Paths!$P$274="Complete",F2946/12*(Paths!$L$274*(1+IF(Paths!$D$274="EV",'Operating costs'!$B$52,'Operating costs'!$B$51))^MAX(0,C2946-1)+Paths!$M$274*(1+'Operating costs'!$B$53)^MAX(0,C2946-1)),"n.a."))</f>
        <v>0</v>
      </c>
      <c r="I2946" s="16">
        <f>IF(NOT(Paths!$C$274=1),0,IF(Paths!$P$274="Complete",IF(IF(Paths!$E$274=0,C2946=0,AND(C2946&gt;0,Paths!$E$274&gt;(C2946-1)*12,Paths!$E$274&lt;=C2946*12)),Paths!$G$274,0),"n.a."))</f>
        <v>0</v>
      </c>
      <c r="J2946" s="16">
        <f>IF(NOT(Paths!$C$274=1),0,IF(Paths!$P$274="Complete",IF(IF(Paths!$E$274=0,C2946=0,AND(C2946&gt;0,Paths!$E$274&gt;(C2946-1)*12,Paths!$E$274&lt;=C2946*12)),Paths!$H$274,0),"n.a."))</f>
        <v>0</v>
      </c>
      <c r="K2946" s="16">
        <f>IF(NOT(Paths!$C$274=1),0,IF(Paths!$P$274="Complete",IF(IF(Paths!$O$274=0,C2946=0,AND(C2946&gt;0,Paths!$O$274&gt;(C2946-1)*12,Paths!$O$274&lt;=C2946*12)),Paths!$N$274,0),"n.a."))</f>
        <v>0</v>
      </c>
      <c r="L2946" s="16">
        <f>IF(NOT(Paths!$C$274=1),0,IF(Paths!$P$274="Complete",IF(C2946=10,Paths!$I$274,0),"n.a."))</f>
        <v>0</v>
      </c>
      <c r="M2946" s="16">
        <f>IF(NOT(Paths!$C$274=1),0,IF(Paths!$P$274="Complete",IF(AND(Paths!$D$274="EV",Paths!$E$274&lt;120,Paths!$E$274+'Operating costs'!$B$65&gt;Paths!$E$274,Paths!$E$274+'Operating costs'!$B$65&lt;=120,IF(Paths!$E$274+'Operating costs'!$B$65=0,C2946=0,AND(C2946&gt;0,Paths!$E$274+'Operating costs'!$B$65&gt;(C2946-1)*12,Paths!$E$274+'Operating costs'!$B$65&lt;=C2946*12))),'Operating costs'!$B$64,0)+IF(AND('Operating costs'!$B$67&gt;0,'Operating costs'!$B$67&lt;=120,OR(Paths!$D$274="ICE",'Operating costs'!$B$67&lt;=Paths!$E$274),IF('Operating costs'!$B$67=0,C2946=0,AND(C2946&gt;0,'Operating costs'!$B$67&gt;(C2946-1)*12,'Operating costs'!$B$67&lt;=C2946*12))),'Operating costs'!$B$66,0),"n.a."))</f>
        <v>0</v>
      </c>
      <c r="N2946" s="16">
        <f>IF(NOT(Paths!$C$274=1),0,IF(Paths!$P$274="Complete",SUM(G2946:I2946)-J2946-K2946-L2946+M2946+IF(C2946=0,Paths!$F$274,0)+IF(IF(Paths!$E$274=0,C2946=0,AND(C2946&gt;0,Paths!$E$274&gt;(C2946-1)*12,Paths!$E$274&lt;=C2946*12)),VLOOKUP(A2946,'Fleet register'!$A$7:$S$106,16,FALSE),0),"n.a."))</f>
        <v>0</v>
      </c>
      <c r="O2946" s="16">
        <f>IF(NOT(Paths!$C$274=1),0,IF(Paths!$P$274="Complete",N2946-IF(C2946=0,Paths!$F$274,0),"n.a."))</f>
        <v>0</v>
      </c>
      <c r="P2946" s="16">
        <f>IF(NOT(Paths!$C$274=1),0,IF(Paths!$P$274="Complete",O2946+L2946,"n.a."))</f>
        <v>0</v>
      </c>
      <c r="Q2946" s="16">
        <f>IF(NOT(Paths!$C$274=1),0,IF(Paths!$P$274="Complete",N2946*(1+'Operating costs'!$B$54)^-C2946,"n.a."))</f>
        <v>0</v>
      </c>
      <c r="R2946" s="16">
        <f>IF(NOT(Paths!$C$274=1),0,IF(Paths!$P$274="Complete",IF(AND(C2946=0,Paths!$E$274=0),I2946-J2946-K2946+VLOOKUP(A2946,'Fleet register'!$A$7:$S$106,15,FALSE)+VLOOKUP(A2946,'Fleet register'!$A$7:$S$106,16,FALSE),0),"n.a."))</f>
        <v>0</v>
      </c>
      <c r="S2946" s="1">
        <f>IF(NOT(Paths!$C$274=1),0,IF(Paths!$P$274="Complete",IF(C2946=0,0,Paths!$S$274*Paths!$R$274),"n.a."))</f>
        <v>0</v>
      </c>
      <c r="T2946" s="1">
        <f>IF(NOT(Paths!$C$274=1),0,IF(Paths!$P$274="Complete",IF(C2946=0,0,VLOOKUP(A2946,'Fleet register'!$A$7:$S$106,9,FALSE)*Paths!$R$274),"n.a."))</f>
        <v>0</v>
      </c>
    </row>
    <row r="2947" spans="1:20" ht="24" customHeight="1">
      <c r="A2947" s="1" t="str">
        <f>Paths!$A$274</f>
        <v>T067</v>
      </c>
      <c r="B2947" s="1">
        <f>Paths!$B$274</f>
        <v>3</v>
      </c>
      <c r="C2947" s="1">
        <v>3</v>
      </c>
      <c r="D2947" s="1">
        <v>274</v>
      </c>
      <c r="E2947" s="1">
        <f>IF(OR(Paths!$C$274=0,C2947=0),0,MAX(0,MIN(C2947*12,Paths!$E$274)-(C2947-1)*12))</f>
        <v>0</v>
      </c>
      <c r="F2947" s="1">
        <f>IF(OR(Paths!$C$274=0,C2947=0),0,12-E2947)</f>
        <v>0</v>
      </c>
      <c r="G2947" s="16">
        <f>IF(NOT(Paths!$C$274=1),0,IF(Paths!$P$274="Complete",E2947/12*(Paths!$J$274*(1+'Operating costs'!$B$51)^MAX(0,C2947-1)+Paths!$K$274*(1+'Operating costs'!$B$53)^MAX(0,C2947-1)),"n.a."))</f>
        <v>0</v>
      </c>
      <c r="H2947" s="16">
        <f>IF(NOT(Paths!$C$274=1),0,IF(Paths!$P$274="Complete",F2947/12*(Paths!$L$274*(1+IF(Paths!$D$274="EV",'Operating costs'!$B$52,'Operating costs'!$B$51))^MAX(0,C2947-1)+Paths!$M$274*(1+'Operating costs'!$B$53)^MAX(0,C2947-1)),"n.a."))</f>
        <v>0</v>
      </c>
      <c r="I2947" s="16">
        <f>IF(NOT(Paths!$C$274=1),0,IF(Paths!$P$274="Complete",IF(IF(Paths!$E$274=0,C2947=0,AND(C2947&gt;0,Paths!$E$274&gt;(C2947-1)*12,Paths!$E$274&lt;=C2947*12)),Paths!$G$274,0),"n.a."))</f>
        <v>0</v>
      </c>
      <c r="J2947" s="16">
        <f>IF(NOT(Paths!$C$274=1),0,IF(Paths!$P$274="Complete",IF(IF(Paths!$E$274=0,C2947=0,AND(C2947&gt;0,Paths!$E$274&gt;(C2947-1)*12,Paths!$E$274&lt;=C2947*12)),Paths!$H$274,0),"n.a."))</f>
        <v>0</v>
      </c>
      <c r="K2947" s="16">
        <f>IF(NOT(Paths!$C$274=1),0,IF(Paths!$P$274="Complete",IF(IF(Paths!$O$274=0,C2947=0,AND(C2947&gt;0,Paths!$O$274&gt;(C2947-1)*12,Paths!$O$274&lt;=C2947*12)),Paths!$N$274,0),"n.a."))</f>
        <v>0</v>
      </c>
      <c r="L2947" s="16">
        <f>IF(NOT(Paths!$C$274=1),0,IF(Paths!$P$274="Complete",IF(C2947=10,Paths!$I$274,0),"n.a."))</f>
        <v>0</v>
      </c>
      <c r="M2947" s="16">
        <f>IF(NOT(Paths!$C$274=1),0,IF(Paths!$P$274="Complete",IF(AND(Paths!$D$274="EV",Paths!$E$274&lt;120,Paths!$E$274+'Operating costs'!$B$65&gt;Paths!$E$274,Paths!$E$274+'Operating costs'!$B$65&lt;=120,IF(Paths!$E$274+'Operating costs'!$B$65=0,C2947=0,AND(C2947&gt;0,Paths!$E$274+'Operating costs'!$B$65&gt;(C2947-1)*12,Paths!$E$274+'Operating costs'!$B$65&lt;=C2947*12))),'Operating costs'!$B$64,0)+IF(AND('Operating costs'!$B$67&gt;0,'Operating costs'!$B$67&lt;=120,OR(Paths!$D$274="ICE",'Operating costs'!$B$67&lt;=Paths!$E$274),IF('Operating costs'!$B$67=0,C2947=0,AND(C2947&gt;0,'Operating costs'!$B$67&gt;(C2947-1)*12,'Operating costs'!$B$67&lt;=C2947*12))),'Operating costs'!$B$66,0),"n.a."))</f>
        <v>0</v>
      </c>
      <c r="N2947" s="16">
        <f>IF(NOT(Paths!$C$274=1),0,IF(Paths!$P$274="Complete",SUM(G2947:I2947)-J2947-K2947-L2947+M2947+IF(C2947=0,Paths!$F$274,0)+IF(IF(Paths!$E$274=0,C2947=0,AND(C2947&gt;0,Paths!$E$274&gt;(C2947-1)*12,Paths!$E$274&lt;=C2947*12)),VLOOKUP(A2947,'Fleet register'!$A$7:$S$106,16,FALSE),0),"n.a."))</f>
        <v>0</v>
      </c>
      <c r="O2947" s="16">
        <f>IF(NOT(Paths!$C$274=1),0,IF(Paths!$P$274="Complete",N2947-IF(C2947=0,Paths!$F$274,0),"n.a."))</f>
        <v>0</v>
      </c>
      <c r="P2947" s="16">
        <f>IF(NOT(Paths!$C$274=1),0,IF(Paths!$P$274="Complete",O2947+L2947,"n.a."))</f>
        <v>0</v>
      </c>
      <c r="Q2947" s="16">
        <f>IF(NOT(Paths!$C$274=1),0,IF(Paths!$P$274="Complete",N2947*(1+'Operating costs'!$B$54)^-C2947,"n.a."))</f>
        <v>0</v>
      </c>
      <c r="R2947" s="16">
        <f>IF(NOT(Paths!$C$274=1),0,IF(Paths!$P$274="Complete",IF(AND(C2947=0,Paths!$E$274=0),I2947-J2947-K2947+VLOOKUP(A2947,'Fleet register'!$A$7:$S$106,15,FALSE)+VLOOKUP(A2947,'Fleet register'!$A$7:$S$106,16,FALSE),0),"n.a."))</f>
        <v>0</v>
      </c>
      <c r="S2947" s="1">
        <f>IF(NOT(Paths!$C$274=1),0,IF(Paths!$P$274="Complete",IF(C2947=0,0,Paths!$S$274*Paths!$R$274),"n.a."))</f>
        <v>0</v>
      </c>
      <c r="T2947" s="1">
        <f>IF(NOT(Paths!$C$274=1),0,IF(Paths!$P$274="Complete",IF(C2947=0,0,VLOOKUP(A2947,'Fleet register'!$A$7:$S$106,9,FALSE)*Paths!$R$274),"n.a."))</f>
        <v>0</v>
      </c>
    </row>
    <row r="2948" spans="1:20" ht="24" customHeight="1">
      <c r="A2948" s="1" t="str">
        <f>Paths!$A$274</f>
        <v>T067</v>
      </c>
      <c r="B2948" s="1">
        <f>Paths!$B$274</f>
        <v>3</v>
      </c>
      <c r="C2948" s="1">
        <v>4</v>
      </c>
      <c r="D2948" s="1">
        <v>274</v>
      </c>
      <c r="E2948" s="1">
        <f>IF(OR(Paths!$C$274=0,C2948=0),0,MAX(0,MIN(C2948*12,Paths!$E$274)-(C2948-1)*12))</f>
        <v>0</v>
      </c>
      <c r="F2948" s="1">
        <f>IF(OR(Paths!$C$274=0,C2948=0),0,12-E2948)</f>
        <v>0</v>
      </c>
      <c r="G2948" s="16">
        <f>IF(NOT(Paths!$C$274=1),0,IF(Paths!$P$274="Complete",E2948/12*(Paths!$J$274*(1+'Operating costs'!$B$51)^MAX(0,C2948-1)+Paths!$K$274*(1+'Operating costs'!$B$53)^MAX(0,C2948-1)),"n.a."))</f>
        <v>0</v>
      </c>
      <c r="H2948" s="16">
        <f>IF(NOT(Paths!$C$274=1),0,IF(Paths!$P$274="Complete",F2948/12*(Paths!$L$274*(1+IF(Paths!$D$274="EV",'Operating costs'!$B$52,'Operating costs'!$B$51))^MAX(0,C2948-1)+Paths!$M$274*(1+'Operating costs'!$B$53)^MAX(0,C2948-1)),"n.a."))</f>
        <v>0</v>
      </c>
      <c r="I2948" s="16">
        <f>IF(NOT(Paths!$C$274=1),0,IF(Paths!$P$274="Complete",IF(IF(Paths!$E$274=0,C2948=0,AND(C2948&gt;0,Paths!$E$274&gt;(C2948-1)*12,Paths!$E$274&lt;=C2948*12)),Paths!$G$274,0),"n.a."))</f>
        <v>0</v>
      </c>
      <c r="J2948" s="16">
        <f>IF(NOT(Paths!$C$274=1),0,IF(Paths!$P$274="Complete",IF(IF(Paths!$E$274=0,C2948=0,AND(C2948&gt;0,Paths!$E$274&gt;(C2948-1)*12,Paths!$E$274&lt;=C2948*12)),Paths!$H$274,0),"n.a."))</f>
        <v>0</v>
      </c>
      <c r="K2948" s="16">
        <f>IF(NOT(Paths!$C$274=1),0,IF(Paths!$P$274="Complete",IF(IF(Paths!$O$274=0,C2948=0,AND(C2948&gt;0,Paths!$O$274&gt;(C2948-1)*12,Paths!$O$274&lt;=C2948*12)),Paths!$N$274,0),"n.a."))</f>
        <v>0</v>
      </c>
      <c r="L2948" s="16">
        <f>IF(NOT(Paths!$C$274=1),0,IF(Paths!$P$274="Complete",IF(C2948=10,Paths!$I$274,0),"n.a."))</f>
        <v>0</v>
      </c>
      <c r="M2948" s="16">
        <f>IF(NOT(Paths!$C$274=1),0,IF(Paths!$P$274="Complete",IF(AND(Paths!$D$274="EV",Paths!$E$274&lt;120,Paths!$E$274+'Operating costs'!$B$65&gt;Paths!$E$274,Paths!$E$274+'Operating costs'!$B$65&lt;=120,IF(Paths!$E$274+'Operating costs'!$B$65=0,C2948=0,AND(C2948&gt;0,Paths!$E$274+'Operating costs'!$B$65&gt;(C2948-1)*12,Paths!$E$274+'Operating costs'!$B$65&lt;=C2948*12))),'Operating costs'!$B$64,0)+IF(AND('Operating costs'!$B$67&gt;0,'Operating costs'!$B$67&lt;=120,OR(Paths!$D$274="ICE",'Operating costs'!$B$67&lt;=Paths!$E$274),IF('Operating costs'!$B$67=0,C2948=0,AND(C2948&gt;0,'Operating costs'!$B$67&gt;(C2948-1)*12,'Operating costs'!$B$67&lt;=C2948*12))),'Operating costs'!$B$66,0),"n.a."))</f>
        <v>0</v>
      </c>
      <c r="N2948" s="16">
        <f>IF(NOT(Paths!$C$274=1),0,IF(Paths!$P$274="Complete",SUM(G2948:I2948)-J2948-K2948-L2948+M2948+IF(C2948=0,Paths!$F$274,0)+IF(IF(Paths!$E$274=0,C2948=0,AND(C2948&gt;0,Paths!$E$274&gt;(C2948-1)*12,Paths!$E$274&lt;=C2948*12)),VLOOKUP(A2948,'Fleet register'!$A$7:$S$106,16,FALSE),0),"n.a."))</f>
        <v>0</v>
      </c>
      <c r="O2948" s="16">
        <f>IF(NOT(Paths!$C$274=1),0,IF(Paths!$P$274="Complete",N2948-IF(C2948=0,Paths!$F$274,0),"n.a."))</f>
        <v>0</v>
      </c>
      <c r="P2948" s="16">
        <f>IF(NOT(Paths!$C$274=1),0,IF(Paths!$P$274="Complete",O2948+L2948,"n.a."))</f>
        <v>0</v>
      </c>
      <c r="Q2948" s="16">
        <f>IF(NOT(Paths!$C$274=1),0,IF(Paths!$P$274="Complete",N2948*(1+'Operating costs'!$B$54)^-C2948,"n.a."))</f>
        <v>0</v>
      </c>
      <c r="R2948" s="16">
        <f>IF(NOT(Paths!$C$274=1),0,IF(Paths!$P$274="Complete",IF(AND(C2948=0,Paths!$E$274=0),I2948-J2948-K2948+VLOOKUP(A2948,'Fleet register'!$A$7:$S$106,15,FALSE)+VLOOKUP(A2948,'Fleet register'!$A$7:$S$106,16,FALSE),0),"n.a."))</f>
        <v>0</v>
      </c>
      <c r="S2948" s="1">
        <f>IF(NOT(Paths!$C$274=1),0,IF(Paths!$P$274="Complete",IF(C2948=0,0,Paths!$S$274*Paths!$R$274),"n.a."))</f>
        <v>0</v>
      </c>
      <c r="T2948" s="1">
        <f>IF(NOT(Paths!$C$274=1),0,IF(Paths!$P$274="Complete",IF(C2948=0,0,VLOOKUP(A2948,'Fleet register'!$A$7:$S$106,9,FALSE)*Paths!$R$274),"n.a."))</f>
        <v>0</v>
      </c>
    </row>
    <row r="2949" spans="1:20" ht="24" customHeight="1">
      <c r="A2949" s="1" t="str">
        <f>Paths!$A$274</f>
        <v>T067</v>
      </c>
      <c r="B2949" s="1">
        <f>Paths!$B$274</f>
        <v>3</v>
      </c>
      <c r="C2949" s="1">
        <v>5</v>
      </c>
      <c r="D2949" s="1">
        <v>274</v>
      </c>
      <c r="E2949" s="1">
        <f>IF(OR(Paths!$C$274=0,C2949=0),0,MAX(0,MIN(C2949*12,Paths!$E$274)-(C2949-1)*12))</f>
        <v>0</v>
      </c>
      <c r="F2949" s="1">
        <f>IF(OR(Paths!$C$274=0,C2949=0),0,12-E2949)</f>
        <v>0</v>
      </c>
      <c r="G2949" s="16">
        <f>IF(NOT(Paths!$C$274=1),0,IF(Paths!$P$274="Complete",E2949/12*(Paths!$J$274*(1+'Operating costs'!$B$51)^MAX(0,C2949-1)+Paths!$K$274*(1+'Operating costs'!$B$53)^MAX(0,C2949-1)),"n.a."))</f>
        <v>0</v>
      </c>
      <c r="H2949" s="16">
        <f>IF(NOT(Paths!$C$274=1),0,IF(Paths!$P$274="Complete",F2949/12*(Paths!$L$274*(1+IF(Paths!$D$274="EV",'Operating costs'!$B$52,'Operating costs'!$B$51))^MAX(0,C2949-1)+Paths!$M$274*(1+'Operating costs'!$B$53)^MAX(0,C2949-1)),"n.a."))</f>
        <v>0</v>
      </c>
      <c r="I2949" s="16">
        <f>IF(NOT(Paths!$C$274=1),0,IF(Paths!$P$274="Complete",IF(IF(Paths!$E$274=0,C2949=0,AND(C2949&gt;0,Paths!$E$274&gt;(C2949-1)*12,Paths!$E$274&lt;=C2949*12)),Paths!$G$274,0),"n.a."))</f>
        <v>0</v>
      </c>
      <c r="J2949" s="16">
        <f>IF(NOT(Paths!$C$274=1),0,IF(Paths!$P$274="Complete",IF(IF(Paths!$E$274=0,C2949=0,AND(C2949&gt;0,Paths!$E$274&gt;(C2949-1)*12,Paths!$E$274&lt;=C2949*12)),Paths!$H$274,0),"n.a."))</f>
        <v>0</v>
      </c>
      <c r="K2949" s="16">
        <f>IF(NOT(Paths!$C$274=1),0,IF(Paths!$P$274="Complete",IF(IF(Paths!$O$274=0,C2949=0,AND(C2949&gt;0,Paths!$O$274&gt;(C2949-1)*12,Paths!$O$274&lt;=C2949*12)),Paths!$N$274,0),"n.a."))</f>
        <v>0</v>
      </c>
      <c r="L2949" s="16">
        <f>IF(NOT(Paths!$C$274=1),0,IF(Paths!$P$274="Complete",IF(C2949=10,Paths!$I$274,0),"n.a."))</f>
        <v>0</v>
      </c>
      <c r="M2949" s="16">
        <f>IF(NOT(Paths!$C$274=1),0,IF(Paths!$P$274="Complete",IF(AND(Paths!$D$274="EV",Paths!$E$274&lt;120,Paths!$E$274+'Operating costs'!$B$65&gt;Paths!$E$274,Paths!$E$274+'Operating costs'!$B$65&lt;=120,IF(Paths!$E$274+'Operating costs'!$B$65=0,C2949=0,AND(C2949&gt;0,Paths!$E$274+'Operating costs'!$B$65&gt;(C2949-1)*12,Paths!$E$274+'Operating costs'!$B$65&lt;=C2949*12))),'Operating costs'!$B$64,0)+IF(AND('Operating costs'!$B$67&gt;0,'Operating costs'!$B$67&lt;=120,OR(Paths!$D$274="ICE",'Operating costs'!$B$67&lt;=Paths!$E$274),IF('Operating costs'!$B$67=0,C2949=0,AND(C2949&gt;0,'Operating costs'!$B$67&gt;(C2949-1)*12,'Operating costs'!$B$67&lt;=C2949*12))),'Operating costs'!$B$66,0),"n.a."))</f>
        <v>0</v>
      </c>
      <c r="N2949" s="16">
        <f>IF(NOT(Paths!$C$274=1),0,IF(Paths!$P$274="Complete",SUM(G2949:I2949)-J2949-K2949-L2949+M2949+IF(C2949=0,Paths!$F$274,0)+IF(IF(Paths!$E$274=0,C2949=0,AND(C2949&gt;0,Paths!$E$274&gt;(C2949-1)*12,Paths!$E$274&lt;=C2949*12)),VLOOKUP(A2949,'Fleet register'!$A$7:$S$106,16,FALSE),0),"n.a."))</f>
        <v>0</v>
      </c>
      <c r="O2949" s="16">
        <f>IF(NOT(Paths!$C$274=1),0,IF(Paths!$P$274="Complete",N2949-IF(C2949=0,Paths!$F$274,0),"n.a."))</f>
        <v>0</v>
      </c>
      <c r="P2949" s="16">
        <f>IF(NOT(Paths!$C$274=1),0,IF(Paths!$P$274="Complete",O2949+L2949,"n.a."))</f>
        <v>0</v>
      </c>
      <c r="Q2949" s="16">
        <f>IF(NOT(Paths!$C$274=1),0,IF(Paths!$P$274="Complete",N2949*(1+'Operating costs'!$B$54)^-C2949,"n.a."))</f>
        <v>0</v>
      </c>
      <c r="R2949" s="16">
        <f>IF(NOT(Paths!$C$274=1),0,IF(Paths!$P$274="Complete",IF(AND(C2949=0,Paths!$E$274=0),I2949-J2949-K2949+VLOOKUP(A2949,'Fleet register'!$A$7:$S$106,15,FALSE)+VLOOKUP(A2949,'Fleet register'!$A$7:$S$106,16,FALSE),0),"n.a."))</f>
        <v>0</v>
      </c>
      <c r="S2949" s="1">
        <f>IF(NOT(Paths!$C$274=1),0,IF(Paths!$P$274="Complete",IF(C2949=0,0,Paths!$S$274*Paths!$R$274),"n.a."))</f>
        <v>0</v>
      </c>
      <c r="T2949" s="1">
        <f>IF(NOT(Paths!$C$274=1),0,IF(Paths!$P$274="Complete",IF(C2949=0,0,VLOOKUP(A2949,'Fleet register'!$A$7:$S$106,9,FALSE)*Paths!$R$274),"n.a."))</f>
        <v>0</v>
      </c>
    </row>
    <row r="2950" spans="1:20" ht="24" customHeight="1">
      <c r="A2950" s="1" t="str">
        <f>Paths!$A$274</f>
        <v>T067</v>
      </c>
      <c r="B2950" s="1">
        <f>Paths!$B$274</f>
        <v>3</v>
      </c>
      <c r="C2950" s="1">
        <v>6</v>
      </c>
      <c r="D2950" s="1">
        <v>274</v>
      </c>
      <c r="E2950" s="1">
        <f>IF(OR(Paths!$C$274=0,C2950=0),0,MAX(0,MIN(C2950*12,Paths!$E$274)-(C2950-1)*12))</f>
        <v>0</v>
      </c>
      <c r="F2950" s="1">
        <f>IF(OR(Paths!$C$274=0,C2950=0),0,12-E2950)</f>
        <v>0</v>
      </c>
      <c r="G2950" s="16">
        <f>IF(NOT(Paths!$C$274=1),0,IF(Paths!$P$274="Complete",E2950/12*(Paths!$J$274*(1+'Operating costs'!$B$51)^MAX(0,C2950-1)+Paths!$K$274*(1+'Operating costs'!$B$53)^MAX(0,C2950-1)),"n.a."))</f>
        <v>0</v>
      </c>
      <c r="H2950" s="16">
        <f>IF(NOT(Paths!$C$274=1),0,IF(Paths!$P$274="Complete",F2950/12*(Paths!$L$274*(1+IF(Paths!$D$274="EV",'Operating costs'!$B$52,'Operating costs'!$B$51))^MAX(0,C2950-1)+Paths!$M$274*(1+'Operating costs'!$B$53)^MAX(0,C2950-1)),"n.a."))</f>
        <v>0</v>
      </c>
      <c r="I2950" s="16">
        <f>IF(NOT(Paths!$C$274=1),0,IF(Paths!$P$274="Complete",IF(IF(Paths!$E$274=0,C2950=0,AND(C2950&gt;0,Paths!$E$274&gt;(C2950-1)*12,Paths!$E$274&lt;=C2950*12)),Paths!$G$274,0),"n.a."))</f>
        <v>0</v>
      </c>
      <c r="J2950" s="16">
        <f>IF(NOT(Paths!$C$274=1),0,IF(Paths!$P$274="Complete",IF(IF(Paths!$E$274=0,C2950=0,AND(C2950&gt;0,Paths!$E$274&gt;(C2950-1)*12,Paths!$E$274&lt;=C2950*12)),Paths!$H$274,0),"n.a."))</f>
        <v>0</v>
      </c>
      <c r="K2950" s="16">
        <f>IF(NOT(Paths!$C$274=1),0,IF(Paths!$P$274="Complete",IF(IF(Paths!$O$274=0,C2950=0,AND(C2950&gt;0,Paths!$O$274&gt;(C2950-1)*12,Paths!$O$274&lt;=C2950*12)),Paths!$N$274,0),"n.a."))</f>
        <v>0</v>
      </c>
      <c r="L2950" s="16">
        <f>IF(NOT(Paths!$C$274=1),0,IF(Paths!$P$274="Complete",IF(C2950=10,Paths!$I$274,0),"n.a."))</f>
        <v>0</v>
      </c>
      <c r="M2950" s="16">
        <f>IF(NOT(Paths!$C$274=1),0,IF(Paths!$P$274="Complete",IF(AND(Paths!$D$274="EV",Paths!$E$274&lt;120,Paths!$E$274+'Operating costs'!$B$65&gt;Paths!$E$274,Paths!$E$274+'Operating costs'!$B$65&lt;=120,IF(Paths!$E$274+'Operating costs'!$B$65=0,C2950=0,AND(C2950&gt;0,Paths!$E$274+'Operating costs'!$B$65&gt;(C2950-1)*12,Paths!$E$274+'Operating costs'!$B$65&lt;=C2950*12))),'Operating costs'!$B$64,0)+IF(AND('Operating costs'!$B$67&gt;0,'Operating costs'!$B$67&lt;=120,OR(Paths!$D$274="ICE",'Operating costs'!$B$67&lt;=Paths!$E$274),IF('Operating costs'!$B$67=0,C2950=0,AND(C2950&gt;0,'Operating costs'!$B$67&gt;(C2950-1)*12,'Operating costs'!$B$67&lt;=C2950*12))),'Operating costs'!$B$66,0),"n.a."))</f>
        <v>0</v>
      </c>
      <c r="N2950" s="16">
        <f>IF(NOT(Paths!$C$274=1),0,IF(Paths!$P$274="Complete",SUM(G2950:I2950)-J2950-K2950-L2950+M2950+IF(C2950=0,Paths!$F$274,0)+IF(IF(Paths!$E$274=0,C2950=0,AND(C2950&gt;0,Paths!$E$274&gt;(C2950-1)*12,Paths!$E$274&lt;=C2950*12)),VLOOKUP(A2950,'Fleet register'!$A$7:$S$106,16,FALSE),0),"n.a."))</f>
        <v>0</v>
      </c>
      <c r="O2950" s="16">
        <f>IF(NOT(Paths!$C$274=1),0,IF(Paths!$P$274="Complete",N2950-IF(C2950=0,Paths!$F$274,0),"n.a."))</f>
        <v>0</v>
      </c>
      <c r="P2950" s="16">
        <f>IF(NOT(Paths!$C$274=1),0,IF(Paths!$P$274="Complete",O2950+L2950,"n.a."))</f>
        <v>0</v>
      </c>
      <c r="Q2950" s="16">
        <f>IF(NOT(Paths!$C$274=1),0,IF(Paths!$P$274="Complete",N2950*(1+'Operating costs'!$B$54)^-C2950,"n.a."))</f>
        <v>0</v>
      </c>
      <c r="R2950" s="16">
        <f>IF(NOT(Paths!$C$274=1),0,IF(Paths!$P$274="Complete",IF(AND(C2950=0,Paths!$E$274=0),I2950-J2950-K2950+VLOOKUP(A2950,'Fleet register'!$A$7:$S$106,15,FALSE)+VLOOKUP(A2950,'Fleet register'!$A$7:$S$106,16,FALSE),0),"n.a."))</f>
        <v>0</v>
      </c>
      <c r="S2950" s="1">
        <f>IF(NOT(Paths!$C$274=1),0,IF(Paths!$P$274="Complete",IF(C2950=0,0,Paths!$S$274*Paths!$R$274),"n.a."))</f>
        <v>0</v>
      </c>
      <c r="T2950" s="1">
        <f>IF(NOT(Paths!$C$274=1),0,IF(Paths!$P$274="Complete",IF(C2950=0,0,VLOOKUP(A2950,'Fleet register'!$A$7:$S$106,9,FALSE)*Paths!$R$274),"n.a."))</f>
        <v>0</v>
      </c>
    </row>
    <row r="2951" spans="1:20" ht="24" customHeight="1">
      <c r="A2951" s="1" t="str">
        <f>Paths!$A$274</f>
        <v>T067</v>
      </c>
      <c r="B2951" s="1">
        <f>Paths!$B$274</f>
        <v>3</v>
      </c>
      <c r="C2951" s="1">
        <v>7</v>
      </c>
      <c r="D2951" s="1">
        <v>274</v>
      </c>
      <c r="E2951" s="1">
        <f>IF(OR(Paths!$C$274=0,C2951=0),0,MAX(0,MIN(C2951*12,Paths!$E$274)-(C2951-1)*12))</f>
        <v>0</v>
      </c>
      <c r="F2951" s="1">
        <f>IF(OR(Paths!$C$274=0,C2951=0),0,12-E2951)</f>
        <v>0</v>
      </c>
      <c r="G2951" s="16">
        <f>IF(NOT(Paths!$C$274=1),0,IF(Paths!$P$274="Complete",E2951/12*(Paths!$J$274*(1+'Operating costs'!$B$51)^MAX(0,C2951-1)+Paths!$K$274*(1+'Operating costs'!$B$53)^MAX(0,C2951-1)),"n.a."))</f>
        <v>0</v>
      </c>
      <c r="H2951" s="16">
        <f>IF(NOT(Paths!$C$274=1),0,IF(Paths!$P$274="Complete",F2951/12*(Paths!$L$274*(1+IF(Paths!$D$274="EV",'Operating costs'!$B$52,'Operating costs'!$B$51))^MAX(0,C2951-1)+Paths!$M$274*(1+'Operating costs'!$B$53)^MAX(0,C2951-1)),"n.a."))</f>
        <v>0</v>
      </c>
      <c r="I2951" s="16">
        <f>IF(NOT(Paths!$C$274=1),0,IF(Paths!$P$274="Complete",IF(IF(Paths!$E$274=0,C2951=0,AND(C2951&gt;0,Paths!$E$274&gt;(C2951-1)*12,Paths!$E$274&lt;=C2951*12)),Paths!$G$274,0),"n.a."))</f>
        <v>0</v>
      </c>
      <c r="J2951" s="16">
        <f>IF(NOT(Paths!$C$274=1),0,IF(Paths!$P$274="Complete",IF(IF(Paths!$E$274=0,C2951=0,AND(C2951&gt;0,Paths!$E$274&gt;(C2951-1)*12,Paths!$E$274&lt;=C2951*12)),Paths!$H$274,0),"n.a."))</f>
        <v>0</v>
      </c>
      <c r="K2951" s="16">
        <f>IF(NOT(Paths!$C$274=1),0,IF(Paths!$P$274="Complete",IF(IF(Paths!$O$274=0,C2951=0,AND(C2951&gt;0,Paths!$O$274&gt;(C2951-1)*12,Paths!$O$274&lt;=C2951*12)),Paths!$N$274,0),"n.a."))</f>
        <v>0</v>
      </c>
      <c r="L2951" s="16">
        <f>IF(NOT(Paths!$C$274=1),0,IF(Paths!$P$274="Complete",IF(C2951=10,Paths!$I$274,0),"n.a."))</f>
        <v>0</v>
      </c>
      <c r="M2951" s="16">
        <f>IF(NOT(Paths!$C$274=1),0,IF(Paths!$P$274="Complete",IF(AND(Paths!$D$274="EV",Paths!$E$274&lt;120,Paths!$E$274+'Operating costs'!$B$65&gt;Paths!$E$274,Paths!$E$274+'Operating costs'!$B$65&lt;=120,IF(Paths!$E$274+'Operating costs'!$B$65=0,C2951=0,AND(C2951&gt;0,Paths!$E$274+'Operating costs'!$B$65&gt;(C2951-1)*12,Paths!$E$274+'Operating costs'!$B$65&lt;=C2951*12))),'Operating costs'!$B$64,0)+IF(AND('Operating costs'!$B$67&gt;0,'Operating costs'!$B$67&lt;=120,OR(Paths!$D$274="ICE",'Operating costs'!$B$67&lt;=Paths!$E$274),IF('Operating costs'!$B$67=0,C2951=0,AND(C2951&gt;0,'Operating costs'!$B$67&gt;(C2951-1)*12,'Operating costs'!$B$67&lt;=C2951*12))),'Operating costs'!$B$66,0),"n.a."))</f>
        <v>0</v>
      </c>
      <c r="N2951" s="16">
        <f>IF(NOT(Paths!$C$274=1),0,IF(Paths!$P$274="Complete",SUM(G2951:I2951)-J2951-K2951-L2951+M2951+IF(C2951=0,Paths!$F$274,0)+IF(IF(Paths!$E$274=0,C2951=0,AND(C2951&gt;0,Paths!$E$274&gt;(C2951-1)*12,Paths!$E$274&lt;=C2951*12)),VLOOKUP(A2951,'Fleet register'!$A$7:$S$106,16,FALSE),0),"n.a."))</f>
        <v>0</v>
      </c>
      <c r="O2951" s="16">
        <f>IF(NOT(Paths!$C$274=1),0,IF(Paths!$P$274="Complete",N2951-IF(C2951=0,Paths!$F$274,0),"n.a."))</f>
        <v>0</v>
      </c>
      <c r="P2951" s="16">
        <f>IF(NOT(Paths!$C$274=1),0,IF(Paths!$P$274="Complete",O2951+L2951,"n.a."))</f>
        <v>0</v>
      </c>
      <c r="Q2951" s="16">
        <f>IF(NOT(Paths!$C$274=1),0,IF(Paths!$P$274="Complete",N2951*(1+'Operating costs'!$B$54)^-C2951,"n.a."))</f>
        <v>0</v>
      </c>
      <c r="R2951" s="16">
        <f>IF(NOT(Paths!$C$274=1),0,IF(Paths!$P$274="Complete",IF(AND(C2951=0,Paths!$E$274=0),I2951-J2951-K2951+VLOOKUP(A2951,'Fleet register'!$A$7:$S$106,15,FALSE)+VLOOKUP(A2951,'Fleet register'!$A$7:$S$106,16,FALSE),0),"n.a."))</f>
        <v>0</v>
      </c>
      <c r="S2951" s="1">
        <f>IF(NOT(Paths!$C$274=1),0,IF(Paths!$P$274="Complete",IF(C2951=0,0,Paths!$S$274*Paths!$R$274),"n.a."))</f>
        <v>0</v>
      </c>
      <c r="T2951" s="1">
        <f>IF(NOT(Paths!$C$274=1),0,IF(Paths!$P$274="Complete",IF(C2951=0,0,VLOOKUP(A2951,'Fleet register'!$A$7:$S$106,9,FALSE)*Paths!$R$274),"n.a."))</f>
        <v>0</v>
      </c>
    </row>
    <row r="2952" spans="1:20" ht="24" customHeight="1">
      <c r="A2952" s="1" t="str">
        <f>Paths!$A$274</f>
        <v>T067</v>
      </c>
      <c r="B2952" s="1">
        <f>Paths!$B$274</f>
        <v>3</v>
      </c>
      <c r="C2952" s="1">
        <v>8</v>
      </c>
      <c r="D2952" s="1">
        <v>274</v>
      </c>
      <c r="E2952" s="1">
        <f>IF(OR(Paths!$C$274=0,C2952=0),0,MAX(0,MIN(C2952*12,Paths!$E$274)-(C2952-1)*12))</f>
        <v>0</v>
      </c>
      <c r="F2952" s="1">
        <f>IF(OR(Paths!$C$274=0,C2952=0),0,12-E2952)</f>
        <v>0</v>
      </c>
      <c r="G2952" s="16">
        <f>IF(NOT(Paths!$C$274=1),0,IF(Paths!$P$274="Complete",E2952/12*(Paths!$J$274*(1+'Operating costs'!$B$51)^MAX(0,C2952-1)+Paths!$K$274*(1+'Operating costs'!$B$53)^MAX(0,C2952-1)),"n.a."))</f>
        <v>0</v>
      </c>
      <c r="H2952" s="16">
        <f>IF(NOT(Paths!$C$274=1),0,IF(Paths!$P$274="Complete",F2952/12*(Paths!$L$274*(1+IF(Paths!$D$274="EV",'Operating costs'!$B$52,'Operating costs'!$B$51))^MAX(0,C2952-1)+Paths!$M$274*(1+'Operating costs'!$B$53)^MAX(0,C2952-1)),"n.a."))</f>
        <v>0</v>
      </c>
      <c r="I2952" s="16">
        <f>IF(NOT(Paths!$C$274=1),0,IF(Paths!$P$274="Complete",IF(IF(Paths!$E$274=0,C2952=0,AND(C2952&gt;0,Paths!$E$274&gt;(C2952-1)*12,Paths!$E$274&lt;=C2952*12)),Paths!$G$274,0),"n.a."))</f>
        <v>0</v>
      </c>
      <c r="J2952" s="16">
        <f>IF(NOT(Paths!$C$274=1),0,IF(Paths!$P$274="Complete",IF(IF(Paths!$E$274=0,C2952=0,AND(C2952&gt;0,Paths!$E$274&gt;(C2952-1)*12,Paths!$E$274&lt;=C2952*12)),Paths!$H$274,0),"n.a."))</f>
        <v>0</v>
      </c>
      <c r="K2952" s="16">
        <f>IF(NOT(Paths!$C$274=1),0,IF(Paths!$P$274="Complete",IF(IF(Paths!$O$274=0,C2952=0,AND(C2952&gt;0,Paths!$O$274&gt;(C2952-1)*12,Paths!$O$274&lt;=C2952*12)),Paths!$N$274,0),"n.a."))</f>
        <v>0</v>
      </c>
      <c r="L2952" s="16">
        <f>IF(NOT(Paths!$C$274=1),0,IF(Paths!$P$274="Complete",IF(C2952=10,Paths!$I$274,0),"n.a."))</f>
        <v>0</v>
      </c>
      <c r="M2952" s="16">
        <f>IF(NOT(Paths!$C$274=1),0,IF(Paths!$P$274="Complete",IF(AND(Paths!$D$274="EV",Paths!$E$274&lt;120,Paths!$E$274+'Operating costs'!$B$65&gt;Paths!$E$274,Paths!$E$274+'Operating costs'!$B$65&lt;=120,IF(Paths!$E$274+'Operating costs'!$B$65=0,C2952=0,AND(C2952&gt;0,Paths!$E$274+'Operating costs'!$B$65&gt;(C2952-1)*12,Paths!$E$274+'Operating costs'!$B$65&lt;=C2952*12))),'Operating costs'!$B$64,0)+IF(AND('Operating costs'!$B$67&gt;0,'Operating costs'!$B$67&lt;=120,OR(Paths!$D$274="ICE",'Operating costs'!$B$67&lt;=Paths!$E$274),IF('Operating costs'!$B$67=0,C2952=0,AND(C2952&gt;0,'Operating costs'!$B$67&gt;(C2952-1)*12,'Operating costs'!$B$67&lt;=C2952*12))),'Operating costs'!$B$66,0),"n.a."))</f>
        <v>0</v>
      </c>
      <c r="N2952" s="16">
        <f>IF(NOT(Paths!$C$274=1),0,IF(Paths!$P$274="Complete",SUM(G2952:I2952)-J2952-K2952-L2952+M2952+IF(C2952=0,Paths!$F$274,0)+IF(IF(Paths!$E$274=0,C2952=0,AND(C2952&gt;0,Paths!$E$274&gt;(C2952-1)*12,Paths!$E$274&lt;=C2952*12)),VLOOKUP(A2952,'Fleet register'!$A$7:$S$106,16,FALSE),0),"n.a."))</f>
        <v>0</v>
      </c>
      <c r="O2952" s="16">
        <f>IF(NOT(Paths!$C$274=1),0,IF(Paths!$P$274="Complete",N2952-IF(C2952=0,Paths!$F$274,0),"n.a."))</f>
        <v>0</v>
      </c>
      <c r="P2952" s="16">
        <f>IF(NOT(Paths!$C$274=1),0,IF(Paths!$P$274="Complete",O2952+L2952,"n.a."))</f>
        <v>0</v>
      </c>
      <c r="Q2952" s="16">
        <f>IF(NOT(Paths!$C$274=1),0,IF(Paths!$P$274="Complete",N2952*(1+'Operating costs'!$B$54)^-C2952,"n.a."))</f>
        <v>0</v>
      </c>
      <c r="R2952" s="16">
        <f>IF(NOT(Paths!$C$274=1),0,IF(Paths!$P$274="Complete",IF(AND(C2952=0,Paths!$E$274=0),I2952-J2952-K2952+VLOOKUP(A2952,'Fleet register'!$A$7:$S$106,15,FALSE)+VLOOKUP(A2952,'Fleet register'!$A$7:$S$106,16,FALSE),0),"n.a."))</f>
        <v>0</v>
      </c>
      <c r="S2952" s="1">
        <f>IF(NOT(Paths!$C$274=1),0,IF(Paths!$P$274="Complete",IF(C2952=0,0,Paths!$S$274*Paths!$R$274),"n.a."))</f>
        <v>0</v>
      </c>
      <c r="T2952" s="1">
        <f>IF(NOT(Paths!$C$274=1),0,IF(Paths!$P$274="Complete",IF(C2952=0,0,VLOOKUP(A2952,'Fleet register'!$A$7:$S$106,9,FALSE)*Paths!$R$274),"n.a."))</f>
        <v>0</v>
      </c>
    </row>
    <row r="2953" spans="1:20" ht="24" customHeight="1">
      <c r="A2953" s="1" t="str">
        <f>Paths!$A$274</f>
        <v>T067</v>
      </c>
      <c r="B2953" s="1">
        <f>Paths!$B$274</f>
        <v>3</v>
      </c>
      <c r="C2953" s="1">
        <v>9</v>
      </c>
      <c r="D2953" s="1">
        <v>274</v>
      </c>
      <c r="E2953" s="1">
        <f>IF(OR(Paths!$C$274=0,C2953=0),0,MAX(0,MIN(C2953*12,Paths!$E$274)-(C2953-1)*12))</f>
        <v>0</v>
      </c>
      <c r="F2953" s="1">
        <f>IF(OR(Paths!$C$274=0,C2953=0),0,12-E2953)</f>
        <v>0</v>
      </c>
      <c r="G2953" s="16">
        <f>IF(NOT(Paths!$C$274=1),0,IF(Paths!$P$274="Complete",E2953/12*(Paths!$J$274*(1+'Operating costs'!$B$51)^MAX(0,C2953-1)+Paths!$K$274*(1+'Operating costs'!$B$53)^MAX(0,C2953-1)),"n.a."))</f>
        <v>0</v>
      </c>
      <c r="H2953" s="16">
        <f>IF(NOT(Paths!$C$274=1),0,IF(Paths!$P$274="Complete",F2953/12*(Paths!$L$274*(1+IF(Paths!$D$274="EV",'Operating costs'!$B$52,'Operating costs'!$B$51))^MAX(0,C2953-1)+Paths!$M$274*(1+'Operating costs'!$B$53)^MAX(0,C2953-1)),"n.a."))</f>
        <v>0</v>
      </c>
      <c r="I2953" s="16">
        <f>IF(NOT(Paths!$C$274=1),0,IF(Paths!$P$274="Complete",IF(IF(Paths!$E$274=0,C2953=0,AND(C2953&gt;0,Paths!$E$274&gt;(C2953-1)*12,Paths!$E$274&lt;=C2953*12)),Paths!$G$274,0),"n.a."))</f>
        <v>0</v>
      </c>
      <c r="J2953" s="16">
        <f>IF(NOT(Paths!$C$274=1),0,IF(Paths!$P$274="Complete",IF(IF(Paths!$E$274=0,C2953=0,AND(C2953&gt;0,Paths!$E$274&gt;(C2953-1)*12,Paths!$E$274&lt;=C2953*12)),Paths!$H$274,0),"n.a."))</f>
        <v>0</v>
      </c>
      <c r="K2953" s="16">
        <f>IF(NOT(Paths!$C$274=1),0,IF(Paths!$P$274="Complete",IF(IF(Paths!$O$274=0,C2953=0,AND(C2953&gt;0,Paths!$O$274&gt;(C2953-1)*12,Paths!$O$274&lt;=C2953*12)),Paths!$N$274,0),"n.a."))</f>
        <v>0</v>
      </c>
      <c r="L2953" s="16">
        <f>IF(NOT(Paths!$C$274=1),0,IF(Paths!$P$274="Complete",IF(C2953=10,Paths!$I$274,0),"n.a."))</f>
        <v>0</v>
      </c>
      <c r="M2953" s="16">
        <f>IF(NOT(Paths!$C$274=1),0,IF(Paths!$P$274="Complete",IF(AND(Paths!$D$274="EV",Paths!$E$274&lt;120,Paths!$E$274+'Operating costs'!$B$65&gt;Paths!$E$274,Paths!$E$274+'Operating costs'!$B$65&lt;=120,IF(Paths!$E$274+'Operating costs'!$B$65=0,C2953=0,AND(C2953&gt;0,Paths!$E$274+'Operating costs'!$B$65&gt;(C2953-1)*12,Paths!$E$274+'Operating costs'!$B$65&lt;=C2953*12))),'Operating costs'!$B$64,0)+IF(AND('Operating costs'!$B$67&gt;0,'Operating costs'!$B$67&lt;=120,OR(Paths!$D$274="ICE",'Operating costs'!$B$67&lt;=Paths!$E$274),IF('Operating costs'!$B$67=0,C2953=0,AND(C2953&gt;0,'Operating costs'!$B$67&gt;(C2953-1)*12,'Operating costs'!$B$67&lt;=C2953*12))),'Operating costs'!$B$66,0),"n.a."))</f>
        <v>0</v>
      </c>
      <c r="N2953" s="16">
        <f>IF(NOT(Paths!$C$274=1),0,IF(Paths!$P$274="Complete",SUM(G2953:I2953)-J2953-K2953-L2953+M2953+IF(C2953=0,Paths!$F$274,0)+IF(IF(Paths!$E$274=0,C2953=0,AND(C2953&gt;0,Paths!$E$274&gt;(C2953-1)*12,Paths!$E$274&lt;=C2953*12)),VLOOKUP(A2953,'Fleet register'!$A$7:$S$106,16,FALSE),0),"n.a."))</f>
        <v>0</v>
      </c>
      <c r="O2953" s="16">
        <f>IF(NOT(Paths!$C$274=1),0,IF(Paths!$P$274="Complete",N2953-IF(C2953=0,Paths!$F$274,0),"n.a."))</f>
        <v>0</v>
      </c>
      <c r="P2953" s="16">
        <f>IF(NOT(Paths!$C$274=1),0,IF(Paths!$P$274="Complete",O2953+L2953,"n.a."))</f>
        <v>0</v>
      </c>
      <c r="Q2953" s="16">
        <f>IF(NOT(Paths!$C$274=1),0,IF(Paths!$P$274="Complete",N2953*(1+'Operating costs'!$B$54)^-C2953,"n.a."))</f>
        <v>0</v>
      </c>
      <c r="R2953" s="16">
        <f>IF(NOT(Paths!$C$274=1),0,IF(Paths!$P$274="Complete",IF(AND(C2953=0,Paths!$E$274=0),I2953-J2953-K2953+VLOOKUP(A2953,'Fleet register'!$A$7:$S$106,15,FALSE)+VLOOKUP(A2953,'Fleet register'!$A$7:$S$106,16,FALSE),0),"n.a."))</f>
        <v>0</v>
      </c>
      <c r="S2953" s="1">
        <f>IF(NOT(Paths!$C$274=1),0,IF(Paths!$P$274="Complete",IF(C2953=0,0,Paths!$S$274*Paths!$R$274),"n.a."))</f>
        <v>0</v>
      </c>
      <c r="T2953" s="1">
        <f>IF(NOT(Paths!$C$274=1),0,IF(Paths!$P$274="Complete",IF(C2953=0,0,VLOOKUP(A2953,'Fleet register'!$A$7:$S$106,9,FALSE)*Paths!$R$274),"n.a."))</f>
        <v>0</v>
      </c>
    </row>
    <row r="2954" spans="1:20" ht="24" customHeight="1">
      <c r="A2954" s="1" t="str">
        <f>Paths!$A$274</f>
        <v>T067</v>
      </c>
      <c r="B2954" s="1">
        <f>Paths!$B$274</f>
        <v>3</v>
      </c>
      <c r="C2954" s="1">
        <v>10</v>
      </c>
      <c r="D2954" s="1">
        <v>274</v>
      </c>
      <c r="E2954" s="1">
        <f>IF(OR(Paths!$C$274=0,C2954=0),0,MAX(0,MIN(C2954*12,Paths!$E$274)-(C2954-1)*12))</f>
        <v>0</v>
      </c>
      <c r="F2954" s="1">
        <f>IF(OR(Paths!$C$274=0,C2954=0),0,12-E2954)</f>
        <v>0</v>
      </c>
      <c r="G2954" s="16">
        <f>IF(NOT(Paths!$C$274=1),0,IF(Paths!$P$274="Complete",E2954/12*(Paths!$J$274*(1+'Operating costs'!$B$51)^MAX(0,C2954-1)+Paths!$K$274*(1+'Operating costs'!$B$53)^MAX(0,C2954-1)),"n.a."))</f>
        <v>0</v>
      </c>
      <c r="H2954" s="16">
        <f>IF(NOT(Paths!$C$274=1),0,IF(Paths!$P$274="Complete",F2954/12*(Paths!$L$274*(1+IF(Paths!$D$274="EV",'Operating costs'!$B$52,'Operating costs'!$B$51))^MAX(0,C2954-1)+Paths!$M$274*(1+'Operating costs'!$B$53)^MAX(0,C2954-1)),"n.a."))</f>
        <v>0</v>
      </c>
      <c r="I2954" s="16">
        <f>IF(NOT(Paths!$C$274=1),0,IF(Paths!$P$274="Complete",IF(IF(Paths!$E$274=0,C2954=0,AND(C2954&gt;0,Paths!$E$274&gt;(C2954-1)*12,Paths!$E$274&lt;=C2954*12)),Paths!$G$274,0),"n.a."))</f>
        <v>0</v>
      </c>
      <c r="J2954" s="16">
        <f>IF(NOT(Paths!$C$274=1),0,IF(Paths!$P$274="Complete",IF(IF(Paths!$E$274=0,C2954=0,AND(C2954&gt;0,Paths!$E$274&gt;(C2954-1)*12,Paths!$E$274&lt;=C2954*12)),Paths!$H$274,0),"n.a."))</f>
        <v>0</v>
      </c>
      <c r="K2954" s="16">
        <f>IF(NOT(Paths!$C$274=1),0,IF(Paths!$P$274="Complete",IF(IF(Paths!$O$274=0,C2954=0,AND(C2954&gt;0,Paths!$O$274&gt;(C2954-1)*12,Paths!$O$274&lt;=C2954*12)),Paths!$N$274,0),"n.a."))</f>
        <v>0</v>
      </c>
      <c r="L2954" s="16">
        <f>IF(NOT(Paths!$C$274=1),0,IF(Paths!$P$274="Complete",IF(C2954=10,Paths!$I$274,0),"n.a."))</f>
        <v>0</v>
      </c>
      <c r="M2954" s="16">
        <f>IF(NOT(Paths!$C$274=1),0,IF(Paths!$P$274="Complete",IF(AND(Paths!$D$274="EV",Paths!$E$274&lt;120,Paths!$E$274+'Operating costs'!$B$65&gt;Paths!$E$274,Paths!$E$274+'Operating costs'!$B$65&lt;=120,IF(Paths!$E$274+'Operating costs'!$B$65=0,C2954=0,AND(C2954&gt;0,Paths!$E$274+'Operating costs'!$B$65&gt;(C2954-1)*12,Paths!$E$274+'Operating costs'!$B$65&lt;=C2954*12))),'Operating costs'!$B$64,0)+IF(AND('Operating costs'!$B$67&gt;0,'Operating costs'!$B$67&lt;=120,OR(Paths!$D$274="ICE",'Operating costs'!$B$67&lt;=Paths!$E$274),IF('Operating costs'!$B$67=0,C2954=0,AND(C2954&gt;0,'Operating costs'!$B$67&gt;(C2954-1)*12,'Operating costs'!$B$67&lt;=C2954*12))),'Operating costs'!$B$66,0),"n.a."))</f>
        <v>0</v>
      </c>
      <c r="N2954" s="16">
        <f>IF(NOT(Paths!$C$274=1),0,IF(Paths!$P$274="Complete",SUM(G2954:I2954)-J2954-K2954-L2954+M2954+IF(C2954=0,Paths!$F$274,0)+IF(IF(Paths!$E$274=0,C2954=0,AND(C2954&gt;0,Paths!$E$274&gt;(C2954-1)*12,Paths!$E$274&lt;=C2954*12)),VLOOKUP(A2954,'Fleet register'!$A$7:$S$106,16,FALSE),0),"n.a."))</f>
        <v>0</v>
      </c>
      <c r="O2954" s="16">
        <f>IF(NOT(Paths!$C$274=1),0,IF(Paths!$P$274="Complete",N2954-IF(C2954=0,Paths!$F$274,0),"n.a."))</f>
        <v>0</v>
      </c>
      <c r="P2954" s="16">
        <f>IF(NOT(Paths!$C$274=1),0,IF(Paths!$P$274="Complete",O2954+L2954,"n.a."))</f>
        <v>0</v>
      </c>
      <c r="Q2954" s="16">
        <f>IF(NOT(Paths!$C$274=1),0,IF(Paths!$P$274="Complete",N2954*(1+'Operating costs'!$B$54)^-C2954,"n.a."))</f>
        <v>0</v>
      </c>
      <c r="R2954" s="16">
        <f>IF(NOT(Paths!$C$274=1),0,IF(Paths!$P$274="Complete",IF(AND(C2954=0,Paths!$E$274=0),I2954-J2954-K2954+VLOOKUP(A2954,'Fleet register'!$A$7:$S$106,15,FALSE)+VLOOKUP(A2954,'Fleet register'!$A$7:$S$106,16,FALSE),0),"n.a."))</f>
        <v>0</v>
      </c>
      <c r="S2954" s="1">
        <f>IF(NOT(Paths!$C$274=1),0,IF(Paths!$P$274="Complete",IF(C2954=0,0,Paths!$S$274*Paths!$R$274),"n.a."))</f>
        <v>0</v>
      </c>
      <c r="T2954" s="1">
        <f>IF(NOT(Paths!$C$274=1),0,IF(Paths!$P$274="Complete",IF(C2954=0,0,VLOOKUP(A2954,'Fleet register'!$A$7:$S$106,9,FALSE)*Paths!$R$274),"n.a."))</f>
        <v>0</v>
      </c>
    </row>
    <row r="2955" spans="1:20" ht="24" customHeight="1">
      <c r="A2955" s="1" t="str">
        <f>Paths!$A$275</f>
        <v>T068</v>
      </c>
      <c r="B2955" s="1">
        <f>Paths!$B$275</f>
        <v>0</v>
      </c>
      <c r="C2955" s="1">
        <v>0</v>
      </c>
      <c r="D2955" s="1">
        <v>275</v>
      </c>
      <c r="E2955" s="1">
        <f>IF(OR(Paths!$C$275=0,C2955=0),0,MAX(0,MIN(C2955*12,Paths!$E$275)-(C2955-1)*12))</f>
        <v>0</v>
      </c>
      <c r="F2955" s="1">
        <f>IF(OR(Paths!$C$275=0,C2955=0),0,12-E2955)</f>
        <v>0</v>
      </c>
      <c r="G2955" s="16">
        <f>IF(NOT(Paths!$C$275=1),0,IF(Paths!$P$275="Complete",E2955/12*(Paths!$J$275*(1+'Operating costs'!$B$51)^MAX(0,C2955-1)+Paths!$K$275*(1+'Operating costs'!$B$53)^MAX(0,C2955-1)),"n.a."))</f>
        <v>0</v>
      </c>
      <c r="H2955" s="16">
        <f>IF(NOT(Paths!$C$275=1),0,IF(Paths!$P$275="Complete",F2955/12*(Paths!$L$275*(1+IF(Paths!$D$275="EV",'Operating costs'!$B$52,'Operating costs'!$B$51))^MAX(0,C2955-1)+Paths!$M$275*(1+'Operating costs'!$B$53)^MAX(0,C2955-1)),"n.a."))</f>
        <v>0</v>
      </c>
      <c r="I2955" s="16">
        <f>IF(NOT(Paths!$C$275=1),0,IF(Paths!$P$275="Complete",IF(IF(Paths!$E$275=0,C2955=0,AND(C2955&gt;0,Paths!$E$275&gt;(C2955-1)*12,Paths!$E$275&lt;=C2955*12)),Paths!$G$275,0),"n.a."))</f>
        <v>0</v>
      </c>
      <c r="J2955" s="16">
        <f>IF(NOT(Paths!$C$275=1),0,IF(Paths!$P$275="Complete",IF(IF(Paths!$E$275=0,C2955=0,AND(C2955&gt;0,Paths!$E$275&gt;(C2955-1)*12,Paths!$E$275&lt;=C2955*12)),Paths!$H$275,0),"n.a."))</f>
        <v>0</v>
      </c>
      <c r="K2955" s="16">
        <f>IF(NOT(Paths!$C$275=1),0,IF(Paths!$P$275="Complete",IF(IF(Paths!$O$275=0,C2955=0,AND(C2955&gt;0,Paths!$O$275&gt;(C2955-1)*12,Paths!$O$275&lt;=C2955*12)),Paths!$N$275,0),"n.a."))</f>
        <v>0</v>
      </c>
      <c r="L2955" s="16">
        <f>IF(NOT(Paths!$C$275=1),0,IF(Paths!$P$275="Complete",IF(C2955=10,Paths!$I$275,0),"n.a."))</f>
        <v>0</v>
      </c>
      <c r="M2955" s="16">
        <f>IF(NOT(Paths!$C$275=1),0,IF(Paths!$P$275="Complete",IF(AND(Paths!$D$275="EV",Paths!$E$275&lt;120,Paths!$E$275+'Operating costs'!$B$65&gt;Paths!$E$275,Paths!$E$275+'Operating costs'!$B$65&lt;=120,IF(Paths!$E$275+'Operating costs'!$B$65=0,C2955=0,AND(C2955&gt;0,Paths!$E$275+'Operating costs'!$B$65&gt;(C2955-1)*12,Paths!$E$275+'Operating costs'!$B$65&lt;=C2955*12))),'Operating costs'!$B$64,0)+IF(AND('Operating costs'!$B$67&gt;0,'Operating costs'!$B$67&lt;=120,OR(Paths!$D$275="ICE",'Operating costs'!$B$67&lt;=Paths!$E$275),IF('Operating costs'!$B$67=0,C2955=0,AND(C2955&gt;0,'Operating costs'!$B$67&gt;(C2955-1)*12,'Operating costs'!$B$67&lt;=C2955*12))),'Operating costs'!$B$66,0),"n.a."))</f>
        <v>0</v>
      </c>
      <c r="N2955" s="16">
        <f>IF(NOT(Paths!$C$275=1),0,IF(Paths!$P$275="Complete",SUM(G2955:I2955)-J2955-K2955-L2955+M2955+IF(C2955=0,Paths!$F$275,0)+IF(IF(Paths!$E$275=0,C2955=0,AND(C2955&gt;0,Paths!$E$275&gt;(C2955-1)*12,Paths!$E$275&lt;=C2955*12)),VLOOKUP(A2955,'Fleet register'!$A$7:$S$106,16,FALSE),0),"n.a."))</f>
        <v>0</v>
      </c>
      <c r="O2955" s="16">
        <f>IF(NOT(Paths!$C$275=1),0,IF(Paths!$P$275="Complete",N2955-IF(C2955=0,Paths!$F$275,0),"n.a."))</f>
        <v>0</v>
      </c>
      <c r="P2955" s="16">
        <f>IF(NOT(Paths!$C$275=1),0,IF(Paths!$P$275="Complete",O2955+L2955,"n.a."))</f>
        <v>0</v>
      </c>
      <c r="Q2955" s="16">
        <f>IF(NOT(Paths!$C$275=1),0,IF(Paths!$P$275="Complete",N2955*(1+'Operating costs'!$B$54)^-C2955,"n.a."))</f>
        <v>0</v>
      </c>
      <c r="R2955" s="16">
        <f>IF(NOT(Paths!$C$275=1),0,IF(Paths!$P$275="Complete",IF(AND(C2955=0,Paths!$E$275=0),I2955-J2955-K2955+VLOOKUP(A2955,'Fleet register'!$A$7:$S$106,15,FALSE)+VLOOKUP(A2955,'Fleet register'!$A$7:$S$106,16,FALSE),0),"n.a."))</f>
        <v>0</v>
      </c>
      <c r="S2955" s="1">
        <f>IF(NOT(Paths!$C$275=1),0,IF(Paths!$P$275="Complete",IF(C2955=0,0,Paths!$S$275*Paths!$R$275),"n.a."))</f>
        <v>0</v>
      </c>
      <c r="T2955" s="1">
        <f>IF(NOT(Paths!$C$275=1),0,IF(Paths!$P$275="Complete",IF(C2955=0,0,VLOOKUP(A2955,'Fleet register'!$A$7:$S$106,9,FALSE)*Paths!$R$275),"n.a."))</f>
        <v>0</v>
      </c>
    </row>
    <row r="2956" spans="1:20" ht="24" customHeight="1">
      <c r="A2956" s="1" t="str">
        <f>Paths!$A$275</f>
        <v>T068</v>
      </c>
      <c r="B2956" s="1">
        <f>Paths!$B$275</f>
        <v>0</v>
      </c>
      <c r="C2956" s="1">
        <v>1</v>
      </c>
      <c r="D2956" s="1">
        <v>275</v>
      </c>
      <c r="E2956" s="1">
        <f>IF(OR(Paths!$C$275=0,C2956=0),0,MAX(0,MIN(C2956*12,Paths!$E$275)-(C2956-1)*12))</f>
        <v>0</v>
      </c>
      <c r="F2956" s="1">
        <f>IF(OR(Paths!$C$275=0,C2956=0),0,12-E2956)</f>
        <v>0</v>
      </c>
      <c r="G2956" s="16">
        <f>IF(NOT(Paths!$C$275=1),0,IF(Paths!$P$275="Complete",E2956/12*(Paths!$J$275*(1+'Operating costs'!$B$51)^MAX(0,C2956-1)+Paths!$K$275*(1+'Operating costs'!$B$53)^MAX(0,C2956-1)),"n.a."))</f>
        <v>0</v>
      </c>
      <c r="H2956" s="16">
        <f>IF(NOT(Paths!$C$275=1),0,IF(Paths!$P$275="Complete",F2956/12*(Paths!$L$275*(1+IF(Paths!$D$275="EV",'Operating costs'!$B$52,'Operating costs'!$B$51))^MAX(0,C2956-1)+Paths!$M$275*(1+'Operating costs'!$B$53)^MAX(0,C2956-1)),"n.a."))</f>
        <v>0</v>
      </c>
      <c r="I2956" s="16">
        <f>IF(NOT(Paths!$C$275=1),0,IF(Paths!$P$275="Complete",IF(IF(Paths!$E$275=0,C2956=0,AND(C2956&gt;0,Paths!$E$275&gt;(C2956-1)*12,Paths!$E$275&lt;=C2956*12)),Paths!$G$275,0),"n.a."))</f>
        <v>0</v>
      </c>
      <c r="J2956" s="16">
        <f>IF(NOT(Paths!$C$275=1),0,IF(Paths!$P$275="Complete",IF(IF(Paths!$E$275=0,C2956=0,AND(C2956&gt;0,Paths!$E$275&gt;(C2956-1)*12,Paths!$E$275&lt;=C2956*12)),Paths!$H$275,0),"n.a."))</f>
        <v>0</v>
      </c>
      <c r="K2956" s="16">
        <f>IF(NOT(Paths!$C$275=1),0,IF(Paths!$P$275="Complete",IF(IF(Paths!$O$275=0,C2956=0,AND(C2956&gt;0,Paths!$O$275&gt;(C2956-1)*12,Paths!$O$275&lt;=C2956*12)),Paths!$N$275,0),"n.a."))</f>
        <v>0</v>
      </c>
      <c r="L2956" s="16">
        <f>IF(NOT(Paths!$C$275=1),0,IF(Paths!$P$275="Complete",IF(C2956=10,Paths!$I$275,0),"n.a."))</f>
        <v>0</v>
      </c>
      <c r="M2956" s="16">
        <f>IF(NOT(Paths!$C$275=1),0,IF(Paths!$P$275="Complete",IF(AND(Paths!$D$275="EV",Paths!$E$275&lt;120,Paths!$E$275+'Operating costs'!$B$65&gt;Paths!$E$275,Paths!$E$275+'Operating costs'!$B$65&lt;=120,IF(Paths!$E$275+'Operating costs'!$B$65=0,C2956=0,AND(C2956&gt;0,Paths!$E$275+'Operating costs'!$B$65&gt;(C2956-1)*12,Paths!$E$275+'Operating costs'!$B$65&lt;=C2956*12))),'Operating costs'!$B$64,0)+IF(AND('Operating costs'!$B$67&gt;0,'Operating costs'!$B$67&lt;=120,OR(Paths!$D$275="ICE",'Operating costs'!$B$67&lt;=Paths!$E$275),IF('Operating costs'!$B$67=0,C2956=0,AND(C2956&gt;0,'Operating costs'!$B$67&gt;(C2956-1)*12,'Operating costs'!$B$67&lt;=C2956*12))),'Operating costs'!$B$66,0),"n.a."))</f>
        <v>0</v>
      </c>
      <c r="N2956" s="16">
        <f>IF(NOT(Paths!$C$275=1),0,IF(Paths!$P$275="Complete",SUM(G2956:I2956)-J2956-K2956-L2956+M2956+IF(C2956=0,Paths!$F$275,0)+IF(IF(Paths!$E$275=0,C2956=0,AND(C2956&gt;0,Paths!$E$275&gt;(C2956-1)*12,Paths!$E$275&lt;=C2956*12)),VLOOKUP(A2956,'Fleet register'!$A$7:$S$106,16,FALSE),0),"n.a."))</f>
        <v>0</v>
      </c>
      <c r="O2956" s="16">
        <f>IF(NOT(Paths!$C$275=1),0,IF(Paths!$P$275="Complete",N2956-IF(C2956=0,Paths!$F$275,0),"n.a."))</f>
        <v>0</v>
      </c>
      <c r="P2956" s="16">
        <f>IF(NOT(Paths!$C$275=1),0,IF(Paths!$P$275="Complete",O2956+L2956,"n.a."))</f>
        <v>0</v>
      </c>
      <c r="Q2956" s="16">
        <f>IF(NOT(Paths!$C$275=1),0,IF(Paths!$P$275="Complete",N2956*(1+'Operating costs'!$B$54)^-C2956,"n.a."))</f>
        <v>0</v>
      </c>
      <c r="R2956" s="16">
        <f>IF(NOT(Paths!$C$275=1),0,IF(Paths!$P$275="Complete",IF(AND(C2956=0,Paths!$E$275=0),I2956-J2956-K2956+VLOOKUP(A2956,'Fleet register'!$A$7:$S$106,15,FALSE)+VLOOKUP(A2956,'Fleet register'!$A$7:$S$106,16,FALSE),0),"n.a."))</f>
        <v>0</v>
      </c>
      <c r="S2956" s="1">
        <f>IF(NOT(Paths!$C$275=1),0,IF(Paths!$P$275="Complete",IF(C2956=0,0,Paths!$S$275*Paths!$R$275),"n.a."))</f>
        <v>0</v>
      </c>
      <c r="T2956" s="1">
        <f>IF(NOT(Paths!$C$275=1),0,IF(Paths!$P$275="Complete",IF(C2956=0,0,VLOOKUP(A2956,'Fleet register'!$A$7:$S$106,9,FALSE)*Paths!$R$275),"n.a."))</f>
        <v>0</v>
      </c>
    </row>
    <row r="2957" spans="1:20" ht="24" customHeight="1">
      <c r="A2957" s="1" t="str">
        <f>Paths!$A$275</f>
        <v>T068</v>
      </c>
      <c r="B2957" s="1">
        <f>Paths!$B$275</f>
        <v>0</v>
      </c>
      <c r="C2957" s="1">
        <v>2</v>
      </c>
      <c r="D2957" s="1">
        <v>275</v>
      </c>
      <c r="E2957" s="1">
        <f>IF(OR(Paths!$C$275=0,C2957=0),0,MAX(0,MIN(C2957*12,Paths!$E$275)-(C2957-1)*12))</f>
        <v>0</v>
      </c>
      <c r="F2957" s="1">
        <f>IF(OR(Paths!$C$275=0,C2957=0),0,12-E2957)</f>
        <v>0</v>
      </c>
      <c r="G2957" s="16">
        <f>IF(NOT(Paths!$C$275=1),0,IF(Paths!$P$275="Complete",E2957/12*(Paths!$J$275*(1+'Operating costs'!$B$51)^MAX(0,C2957-1)+Paths!$K$275*(1+'Operating costs'!$B$53)^MAX(0,C2957-1)),"n.a."))</f>
        <v>0</v>
      </c>
      <c r="H2957" s="16">
        <f>IF(NOT(Paths!$C$275=1),0,IF(Paths!$P$275="Complete",F2957/12*(Paths!$L$275*(1+IF(Paths!$D$275="EV",'Operating costs'!$B$52,'Operating costs'!$B$51))^MAX(0,C2957-1)+Paths!$M$275*(1+'Operating costs'!$B$53)^MAX(0,C2957-1)),"n.a."))</f>
        <v>0</v>
      </c>
      <c r="I2957" s="16">
        <f>IF(NOT(Paths!$C$275=1),0,IF(Paths!$P$275="Complete",IF(IF(Paths!$E$275=0,C2957=0,AND(C2957&gt;0,Paths!$E$275&gt;(C2957-1)*12,Paths!$E$275&lt;=C2957*12)),Paths!$G$275,0),"n.a."))</f>
        <v>0</v>
      </c>
      <c r="J2957" s="16">
        <f>IF(NOT(Paths!$C$275=1),0,IF(Paths!$P$275="Complete",IF(IF(Paths!$E$275=0,C2957=0,AND(C2957&gt;0,Paths!$E$275&gt;(C2957-1)*12,Paths!$E$275&lt;=C2957*12)),Paths!$H$275,0),"n.a."))</f>
        <v>0</v>
      </c>
      <c r="K2957" s="16">
        <f>IF(NOT(Paths!$C$275=1),0,IF(Paths!$P$275="Complete",IF(IF(Paths!$O$275=0,C2957=0,AND(C2957&gt;0,Paths!$O$275&gt;(C2957-1)*12,Paths!$O$275&lt;=C2957*12)),Paths!$N$275,0),"n.a."))</f>
        <v>0</v>
      </c>
      <c r="L2957" s="16">
        <f>IF(NOT(Paths!$C$275=1),0,IF(Paths!$P$275="Complete",IF(C2957=10,Paths!$I$275,0),"n.a."))</f>
        <v>0</v>
      </c>
      <c r="M2957" s="16">
        <f>IF(NOT(Paths!$C$275=1),0,IF(Paths!$P$275="Complete",IF(AND(Paths!$D$275="EV",Paths!$E$275&lt;120,Paths!$E$275+'Operating costs'!$B$65&gt;Paths!$E$275,Paths!$E$275+'Operating costs'!$B$65&lt;=120,IF(Paths!$E$275+'Operating costs'!$B$65=0,C2957=0,AND(C2957&gt;0,Paths!$E$275+'Operating costs'!$B$65&gt;(C2957-1)*12,Paths!$E$275+'Operating costs'!$B$65&lt;=C2957*12))),'Operating costs'!$B$64,0)+IF(AND('Operating costs'!$B$67&gt;0,'Operating costs'!$B$67&lt;=120,OR(Paths!$D$275="ICE",'Operating costs'!$B$67&lt;=Paths!$E$275),IF('Operating costs'!$B$67=0,C2957=0,AND(C2957&gt;0,'Operating costs'!$B$67&gt;(C2957-1)*12,'Operating costs'!$B$67&lt;=C2957*12))),'Operating costs'!$B$66,0),"n.a."))</f>
        <v>0</v>
      </c>
      <c r="N2957" s="16">
        <f>IF(NOT(Paths!$C$275=1),0,IF(Paths!$P$275="Complete",SUM(G2957:I2957)-J2957-K2957-L2957+M2957+IF(C2957=0,Paths!$F$275,0)+IF(IF(Paths!$E$275=0,C2957=0,AND(C2957&gt;0,Paths!$E$275&gt;(C2957-1)*12,Paths!$E$275&lt;=C2957*12)),VLOOKUP(A2957,'Fleet register'!$A$7:$S$106,16,FALSE),0),"n.a."))</f>
        <v>0</v>
      </c>
      <c r="O2957" s="16">
        <f>IF(NOT(Paths!$C$275=1),0,IF(Paths!$P$275="Complete",N2957-IF(C2957=0,Paths!$F$275,0),"n.a."))</f>
        <v>0</v>
      </c>
      <c r="P2957" s="16">
        <f>IF(NOT(Paths!$C$275=1),0,IF(Paths!$P$275="Complete",O2957+L2957,"n.a."))</f>
        <v>0</v>
      </c>
      <c r="Q2957" s="16">
        <f>IF(NOT(Paths!$C$275=1),0,IF(Paths!$P$275="Complete",N2957*(1+'Operating costs'!$B$54)^-C2957,"n.a."))</f>
        <v>0</v>
      </c>
      <c r="R2957" s="16">
        <f>IF(NOT(Paths!$C$275=1),0,IF(Paths!$P$275="Complete",IF(AND(C2957=0,Paths!$E$275=0),I2957-J2957-K2957+VLOOKUP(A2957,'Fleet register'!$A$7:$S$106,15,FALSE)+VLOOKUP(A2957,'Fleet register'!$A$7:$S$106,16,FALSE),0),"n.a."))</f>
        <v>0</v>
      </c>
      <c r="S2957" s="1">
        <f>IF(NOT(Paths!$C$275=1),0,IF(Paths!$P$275="Complete",IF(C2957=0,0,Paths!$S$275*Paths!$R$275),"n.a."))</f>
        <v>0</v>
      </c>
      <c r="T2957" s="1">
        <f>IF(NOT(Paths!$C$275=1),0,IF(Paths!$P$275="Complete",IF(C2957=0,0,VLOOKUP(A2957,'Fleet register'!$A$7:$S$106,9,FALSE)*Paths!$R$275),"n.a."))</f>
        <v>0</v>
      </c>
    </row>
    <row r="2958" spans="1:20" ht="24" customHeight="1">
      <c r="A2958" s="1" t="str">
        <f>Paths!$A$275</f>
        <v>T068</v>
      </c>
      <c r="B2958" s="1">
        <f>Paths!$B$275</f>
        <v>0</v>
      </c>
      <c r="C2958" s="1">
        <v>3</v>
      </c>
      <c r="D2958" s="1">
        <v>275</v>
      </c>
      <c r="E2958" s="1">
        <f>IF(OR(Paths!$C$275=0,C2958=0),0,MAX(0,MIN(C2958*12,Paths!$E$275)-(C2958-1)*12))</f>
        <v>0</v>
      </c>
      <c r="F2958" s="1">
        <f>IF(OR(Paths!$C$275=0,C2958=0),0,12-E2958)</f>
        <v>0</v>
      </c>
      <c r="G2958" s="16">
        <f>IF(NOT(Paths!$C$275=1),0,IF(Paths!$P$275="Complete",E2958/12*(Paths!$J$275*(1+'Operating costs'!$B$51)^MAX(0,C2958-1)+Paths!$K$275*(1+'Operating costs'!$B$53)^MAX(0,C2958-1)),"n.a."))</f>
        <v>0</v>
      </c>
      <c r="H2958" s="16">
        <f>IF(NOT(Paths!$C$275=1),0,IF(Paths!$P$275="Complete",F2958/12*(Paths!$L$275*(1+IF(Paths!$D$275="EV",'Operating costs'!$B$52,'Operating costs'!$B$51))^MAX(0,C2958-1)+Paths!$M$275*(1+'Operating costs'!$B$53)^MAX(0,C2958-1)),"n.a."))</f>
        <v>0</v>
      </c>
      <c r="I2958" s="16">
        <f>IF(NOT(Paths!$C$275=1),0,IF(Paths!$P$275="Complete",IF(IF(Paths!$E$275=0,C2958=0,AND(C2958&gt;0,Paths!$E$275&gt;(C2958-1)*12,Paths!$E$275&lt;=C2958*12)),Paths!$G$275,0),"n.a."))</f>
        <v>0</v>
      </c>
      <c r="J2958" s="16">
        <f>IF(NOT(Paths!$C$275=1),0,IF(Paths!$P$275="Complete",IF(IF(Paths!$E$275=0,C2958=0,AND(C2958&gt;0,Paths!$E$275&gt;(C2958-1)*12,Paths!$E$275&lt;=C2958*12)),Paths!$H$275,0),"n.a."))</f>
        <v>0</v>
      </c>
      <c r="K2958" s="16">
        <f>IF(NOT(Paths!$C$275=1),0,IF(Paths!$P$275="Complete",IF(IF(Paths!$O$275=0,C2958=0,AND(C2958&gt;0,Paths!$O$275&gt;(C2958-1)*12,Paths!$O$275&lt;=C2958*12)),Paths!$N$275,0),"n.a."))</f>
        <v>0</v>
      </c>
      <c r="L2958" s="16">
        <f>IF(NOT(Paths!$C$275=1),0,IF(Paths!$P$275="Complete",IF(C2958=10,Paths!$I$275,0),"n.a."))</f>
        <v>0</v>
      </c>
      <c r="M2958" s="16">
        <f>IF(NOT(Paths!$C$275=1),0,IF(Paths!$P$275="Complete",IF(AND(Paths!$D$275="EV",Paths!$E$275&lt;120,Paths!$E$275+'Operating costs'!$B$65&gt;Paths!$E$275,Paths!$E$275+'Operating costs'!$B$65&lt;=120,IF(Paths!$E$275+'Operating costs'!$B$65=0,C2958=0,AND(C2958&gt;0,Paths!$E$275+'Operating costs'!$B$65&gt;(C2958-1)*12,Paths!$E$275+'Operating costs'!$B$65&lt;=C2958*12))),'Operating costs'!$B$64,0)+IF(AND('Operating costs'!$B$67&gt;0,'Operating costs'!$B$67&lt;=120,OR(Paths!$D$275="ICE",'Operating costs'!$B$67&lt;=Paths!$E$275),IF('Operating costs'!$B$67=0,C2958=0,AND(C2958&gt;0,'Operating costs'!$B$67&gt;(C2958-1)*12,'Operating costs'!$B$67&lt;=C2958*12))),'Operating costs'!$B$66,0),"n.a."))</f>
        <v>0</v>
      </c>
      <c r="N2958" s="16">
        <f>IF(NOT(Paths!$C$275=1),0,IF(Paths!$P$275="Complete",SUM(G2958:I2958)-J2958-K2958-L2958+M2958+IF(C2958=0,Paths!$F$275,0)+IF(IF(Paths!$E$275=0,C2958=0,AND(C2958&gt;0,Paths!$E$275&gt;(C2958-1)*12,Paths!$E$275&lt;=C2958*12)),VLOOKUP(A2958,'Fleet register'!$A$7:$S$106,16,FALSE),0),"n.a."))</f>
        <v>0</v>
      </c>
      <c r="O2958" s="16">
        <f>IF(NOT(Paths!$C$275=1),0,IF(Paths!$P$275="Complete",N2958-IF(C2958=0,Paths!$F$275,0),"n.a."))</f>
        <v>0</v>
      </c>
      <c r="P2958" s="16">
        <f>IF(NOT(Paths!$C$275=1),0,IF(Paths!$P$275="Complete",O2958+L2958,"n.a."))</f>
        <v>0</v>
      </c>
      <c r="Q2958" s="16">
        <f>IF(NOT(Paths!$C$275=1),0,IF(Paths!$P$275="Complete",N2958*(1+'Operating costs'!$B$54)^-C2958,"n.a."))</f>
        <v>0</v>
      </c>
      <c r="R2958" s="16">
        <f>IF(NOT(Paths!$C$275=1),0,IF(Paths!$P$275="Complete",IF(AND(C2958=0,Paths!$E$275=0),I2958-J2958-K2958+VLOOKUP(A2958,'Fleet register'!$A$7:$S$106,15,FALSE)+VLOOKUP(A2958,'Fleet register'!$A$7:$S$106,16,FALSE),0),"n.a."))</f>
        <v>0</v>
      </c>
      <c r="S2958" s="1">
        <f>IF(NOT(Paths!$C$275=1),0,IF(Paths!$P$275="Complete",IF(C2958=0,0,Paths!$S$275*Paths!$R$275),"n.a."))</f>
        <v>0</v>
      </c>
      <c r="T2958" s="1">
        <f>IF(NOT(Paths!$C$275=1),0,IF(Paths!$P$275="Complete",IF(C2958=0,0,VLOOKUP(A2958,'Fleet register'!$A$7:$S$106,9,FALSE)*Paths!$R$275),"n.a."))</f>
        <v>0</v>
      </c>
    </row>
    <row r="2959" spans="1:20" ht="24" customHeight="1">
      <c r="A2959" s="1" t="str">
        <f>Paths!$A$275</f>
        <v>T068</v>
      </c>
      <c r="B2959" s="1">
        <f>Paths!$B$275</f>
        <v>0</v>
      </c>
      <c r="C2959" s="1">
        <v>4</v>
      </c>
      <c r="D2959" s="1">
        <v>275</v>
      </c>
      <c r="E2959" s="1">
        <f>IF(OR(Paths!$C$275=0,C2959=0),0,MAX(0,MIN(C2959*12,Paths!$E$275)-(C2959-1)*12))</f>
        <v>0</v>
      </c>
      <c r="F2959" s="1">
        <f>IF(OR(Paths!$C$275=0,C2959=0),0,12-E2959)</f>
        <v>0</v>
      </c>
      <c r="G2959" s="16">
        <f>IF(NOT(Paths!$C$275=1),0,IF(Paths!$P$275="Complete",E2959/12*(Paths!$J$275*(1+'Operating costs'!$B$51)^MAX(0,C2959-1)+Paths!$K$275*(1+'Operating costs'!$B$53)^MAX(0,C2959-1)),"n.a."))</f>
        <v>0</v>
      </c>
      <c r="H2959" s="16">
        <f>IF(NOT(Paths!$C$275=1),0,IF(Paths!$P$275="Complete",F2959/12*(Paths!$L$275*(1+IF(Paths!$D$275="EV",'Operating costs'!$B$52,'Operating costs'!$B$51))^MAX(0,C2959-1)+Paths!$M$275*(1+'Operating costs'!$B$53)^MAX(0,C2959-1)),"n.a."))</f>
        <v>0</v>
      </c>
      <c r="I2959" s="16">
        <f>IF(NOT(Paths!$C$275=1),0,IF(Paths!$P$275="Complete",IF(IF(Paths!$E$275=0,C2959=0,AND(C2959&gt;0,Paths!$E$275&gt;(C2959-1)*12,Paths!$E$275&lt;=C2959*12)),Paths!$G$275,0),"n.a."))</f>
        <v>0</v>
      </c>
      <c r="J2959" s="16">
        <f>IF(NOT(Paths!$C$275=1),0,IF(Paths!$P$275="Complete",IF(IF(Paths!$E$275=0,C2959=0,AND(C2959&gt;0,Paths!$E$275&gt;(C2959-1)*12,Paths!$E$275&lt;=C2959*12)),Paths!$H$275,0),"n.a."))</f>
        <v>0</v>
      </c>
      <c r="K2959" s="16">
        <f>IF(NOT(Paths!$C$275=1),0,IF(Paths!$P$275="Complete",IF(IF(Paths!$O$275=0,C2959=0,AND(C2959&gt;0,Paths!$O$275&gt;(C2959-1)*12,Paths!$O$275&lt;=C2959*12)),Paths!$N$275,0),"n.a."))</f>
        <v>0</v>
      </c>
      <c r="L2959" s="16">
        <f>IF(NOT(Paths!$C$275=1),0,IF(Paths!$P$275="Complete",IF(C2959=10,Paths!$I$275,0),"n.a."))</f>
        <v>0</v>
      </c>
      <c r="M2959" s="16">
        <f>IF(NOT(Paths!$C$275=1),0,IF(Paths!$P$275="Complete",IF(AND(Paths!$D$275="EV",Paths!$E$275&lt;120,Paths!$E$275+'Operating costs'!$B$65&gt;Paths!$E$275,Paths!$E$275+'Operating costs'!$B$65&lt;=120,IF(Paths!$E$275+'Operating costs'!$B$65=0,C2959=0,AND(C2959&gt;0,Paths!$E$275+'Operating costs'!$B$65&gt;(C2959-1)*12,Paths!$E$275+'Operating costs'!$B$65&lt;=C2959*12))),'Operating costs'!$B$64,0)+IF(AND('Operating costs'!$B$67&gt;0,'Operating costs'!$B$67&lt;=120,OR(Paths!$D$275="ICE",'Operating costs'!$B$67&lt;=Paths!$E$275),IF('Operating costs'!$B$67=0,C2959=0,AND(C2959&gt;0,'Operating costs'!$B$67&gt;(C2959-1)*12,'Operating costs'!$B$67&lt;=C2959*12))),'Operating costs'!$B$66,0),"n.a."))</f>
        <v>0</v>
      </c>
      <c r="N2959" s="16">
        <f>IF(NOT(Paths!$C$275=1),0,IF(Paths!$P$275="Complete",SUM(G2959:I2959)-J2959-K2959-L2959+M2959+IF(C2959=0,Paths!$F$275,0)+IF(IF(Paths!$E$275=0,C2959=0,AND(C2959&gt;0,Paths!$E$275&gt;(C2959-1)*12,Paths!$E$275&lt;=C2959*12)),VLOOKUP(A2959,'Fleet register'!$A$7:$S$106,16,FALSE),0),"n.a."))</f>
        <v>0</v>
      </c>
      <c r="O2959" s="16">
        <f>IF(NOT(Paths!$C$275=1),0,IF(Paths!$P$275="Complete",N2959-IF(C2959=0,Paths!$F$275,0),"n.a."))</f>
        <v>0</v>
      </c>
      <c r="P2959" s="16">
        <f>IF(NOT(Paths!$C$275=1),0,IF(Paths!$P$275="Complete",O2959+L2959,"n.a."))</f>
        <v>0</v>
      </c>
      <c r="Q2959" s="16">
        <f>IF(NOT(Paths!$C$275=1),0,IF(Paths!$P$275="Complete",N2959*(1+'Operating costs'!$B$54)^-C2959,"n.a."))</f>
        <v>0</v>
      </c>
      <c r="R2959" s="16">
        <f>IF(NOT(Paths!$C$275=1),0,IF(Paths!$P$275="Complete",IF(AND(C2959=0,Paths!$E$275=0),I2959-J2959-K2959+VLOOKUP(A2959,'Fleet register'!$A$7:$S$106,15,FALSE)+VLOOKUP(A2959,'Fleet register'!$A$7:$S$106,16,FALSE),0),"n.a."))</f>
        <v>0</v>
      </c>
      <c r="S2959" s="1">
        <f>IF(NOT(Paths!$C$275=1),0,IF(Paths!$P$275="Complete",IF(C2959=0,0,Paths!$S$275*Paths!$R$275),"n.a."))</f>
        <v>0</v>
      </c>
      <c r="T2959" s="1">
        <f>IF(NOT(Paths!$C$275=1),0,IF(Paths!$P$275="Complete",IF(C2959=0,0,VLOOKUP(A2959,'Fleet register'!$A$7:$S$106,9,FALSE)*Paths!$R$275),"n.a."))</f>
        <v>0</v>
      </c>
    </row>
    <row r="2960" spans="1:20" ht="24" customHeight="1">
      <c r="A2960" s="1" t="str">
        <f>Paths!$A$275</f>
        <v>T068</v>
      </c>
      <c r="B2960" s="1">
        <f>Paths!$B$275</f>
        <v>0</v>
      </c>
      <c r="C2960" s="1">
        <v>5</v>
      </c>
      <c r="D2960" s="1">
        <v>275</v>
      </c>
      <c r="E2960" s="1">
        <f>IF(OR(Paths!$C$275=0,C2960=0),0,MAX(0,MIN(C2960*12,Paths!$E$275)-(C2960-1)*12))</f>
        <v>0</v>
      </c>
      <c r="F2960" s="1">
        <f>IF(OR(Paths!$C$275=0,C2960=0),0,12-E2960)</f>
        <v>0</v>
      </c>
      <c r="G2960" s="16">
        <f>IF(NOT(Paths!$C$275=1),0,IF(Paths!$P$275="Complete",E2960/12*(Paths!$J$275*(1+'Operating costs'!$B$51)^MAX(0,C2960-1)+Paths!$K$275*(1+'Operating costs'!$B$53)^MAX(0,C2960-1)),"n.a."))</f>
        <v>0</v>
      </c>
      <c r="H2960" s="16">
        <f>IF(NOT(Paths!$C$275=1),0,IF(Paths!$P$275="Complete",F2960/12*(Paths!$L$275*(1+IF(Paths!$D$275="EV",'Operating costs'!$B$52,'Operating costs'!$B$51))^MAX(0,C2960-1)+Paths!$M$275*(1+'Operating costs'!$B$53)^MAX(0,C2960-1)),"n.a."))</f>
        <v>0</v>
      </c>
      <c r="I2960" s="16">
        <f>IF(NOT(Paths!$C$275=1),0,IF(Paths!$P$275="Complete",IF(IF(Paths!$E$275=0,C2960=0,AND(C2960&gt;0,Paths!$E$275&gt;(C2960-1)*12,Paths!$E$275&lt;=C2960*12)),Paths!$G$275,0),"n.a."))</f>
        <v>0</v>
      </c>
      <c r="J2960" s="16">
        <f>IF(NOT(Paths!$C$275=1),0,IF(Paths!$P$275="Complete",IF(IF(Paths!$E$275=0,C2960=0,AND(C2960&gt;0,Paths!$E$275&gt;(C2960-1)*12,Paths!$E$275&lt;=C2960*12)),Paths!$H$275,0),"n.a."))</f>
        <v>0</v>
      </c>
      <c r="K2960" s="16">
        <f>IF(NOT(Paths!$C$275=1),0,IF(Paths!$P$275="Complete",IF(IF(Paths!$O$275=0,C2960=0,AND(C2960&gt;0,Paths!$O$275&gt;(C2960-1)*12,Paths!$O$275&lt;=C2960*12)),Paths!$N$275,0),"n.a."))</f>
        <v>0</v>
      </c>
      <c r="L2960" s="16">
        <f>IF(NOT(Paths!$C$275=1),0,IF(Paths!$P$275="Complete",IF(C2960=10,Paths!$I$275,0),"n.a."))</f>
        <v>0</v>
      </c>
      <c r="M2960" s="16">
        <f>IF(NOT(Paths!$C$275=1),0,IF(Paths!$P$275="Complete",IF(AND(Paths!$D$275="EV",Paths!$E$275&lt;120,Paths!$E$275+'Operating costs'!$B$65&gt;Paths!$E$275,Paths!$E$275+'Operating costs'!$B$65&lt;=120,IF(Paths!$E$275+'Operating costs'!$B$65=0,C2960=0,AND(C2960&gt;0,Paths!$E$275+'Operating costs'!$B$65&gt;(C2960-1)*12,Paths!$E$275+'Operating costs'!$B$65&lt;=C2960*12))),'Operating costs'!$B$64,0)+IF(AND('Operating costs'!$B$67&gt;0,'Operating costs'!$B$67&lt;=120,OR(Paths!$D$275="ICE",'Operating costs'!$B$67&lt;=Paths!$E$275),IF('Operating costs'!$B$67=0,C2960=0,AND(C2960&gt;0,'Operating costs'!$B$67&gt;(C2960-1)*12,'Operating costs'!$B$67&lt;=C2960*12))),'Operating costs'!$B$66,0),"n.a."))</f>
        <v>0</v>
      </c>
      <c r="N2960" s="16">
        <f>IF(NOT(Paths!$C$275=1),0,IF(Paths!$P$275="Complete",SUM(G2960:I2960)-J2960-K2960-L2960+M2960+IF(C2960=0,Paths!$F$275,0)+IF(IF(Paths!$E$275=0,C2960=0,AND(C2960&gt;0,Paths!$E$275&gt;(C2960-1)*12,Paths!$E$275&lt;=C2960*12)),VLOOKUP(A2960,'Fleet register'!$A$7:$S$106,16,FALSE),0),"n.a."))</f>
        <v>0</v>
      </c>
      <c r="O2960" s="16">
        <f>IF(NOT(Paths!$C$275=1),0,IF(Paths!$P$275="Complete",N2960-IF(C2960=0,Paths!$F$275,0),"n.a."))</f>
        <v>0</v>
      </c>
      <c r="P2960" s="16">
        <f>IF(NOT(Paths!$C$275=1),0,IF(Paths!$P$275="Complete",O2960+L2960,"n.a."))</f>
        <v>0</v>
      </c>
      <c r="Q2960" s="16">
        <f>IF(NOT(Paths!$C$275=1),0,IF(Paths!$P$275="Complete",N2960*(1+'Operating costs'!$B$54)^-C2960,"n.a."))</f>
        <v>0</v>
      </c>
      <c r="R2960" s="16">
        <f>IF(NOT(Paths!$C$275=1),0,IF(Paths!$P$275="Complete",IF(AND(C2960=0,Paths!$E$275=0),I2960-J2960-K2960+VLOOKUP(A2960,'Fleet register'!$A$7:$S$106,15,FALSE)+VLOOKUP(A2960,'Fleet register'!$A$7:$S$106,16,FALSE),0),"n.a."))</f>
        <v>0</v>
      </c>
      <c r="S2960" s="1">
        <f>IF(NOT(Paths!$C$275=1),0,IF(Paths!$P$275="Complete",IF(C2960=0,0,Paths!$S$275*Paths!$R$275),"n.a."))</f>
        <v>0</v>
      </c>
      <c r="T2960" s="1">
        <f>IF(NOT(Paths!$C$275=1),0,IF(Paths!$P$275="Complete",IF(C2960=0,0,VLOOKUP(A2960,'Fleet register'!$A$7:$S$106,9,FALSE)*Paths!$R$275),"n.a."))</f>
        <v>0</v>
      </c>
    </row>
    <row r="2961" spans="1:20" ht="24" customHeight="1">
      <c r="A2961" s="1" t="str">
        <f>Paths!$A$275</f>
        <v>T068</v>
      </c>
      <c r="B2961" s="1">
        <f>Paths!$B$275</f>
        <v>0</v>
      </c>
      <c r="C2961" s="1">
        <v>6</v>
      </c>
      <c r="D2961" s="1">
        <v>275</v>
      </c>
      <c r="E2961" s="1">
        <f>IF(OR(Paths!$C$275=0,C2961=0),0,MAX(0,MIN(C2961*12,Paths!$E$275)-(C2961-1)*12))</f>
        <v>0</v>
      </c>
      <c r="F2961" s="1">
        <f>IF(OR(Paths!$C$275=0,C2961=0),0,12-E2961)</f>
        <v>0</v>
      </c>
      <c r="G2961" s="16">
        <f>IF(NOT(Paths!$C$275=1),0,IF(Paths!$P$275="Complete",E2961/12*(Paths!$J$275*(1+'Operating costs'!$B$51)^MAX(0,C2961-1)+Paths!$K$275*(1+'Operating costs'!$B$53)^MAX(0,C2961-1)),"n.a."))</f>
        <v>0</v>
      </c>
      <c r="H2961" s="16">
        <f>IF(NOT(Paths!$C$275=1),0,IF(Paths!$P$275="Complete",F2961/12*(Paths!$L$275*(1+IF(Paths!$D$275="EV",'Operating costs'!$B$52,'Operating costs'!$B$51))^MAX(0,C2961-1)+Paths!$M$275*(1+'Operating costs'!$B$53)^MAX(0,C2961-1)),"n.a."))</f>
        <v>0</v>
      </c>
      <c r="I2961" s="16">
        <f>IF(NOT(Paths!$C$275=1),0,IF(Paths!$P$275="Complete",IF(IF(Paths!$E$275=0,C2961=0,AND(C2961&gt;0,Paths!$E$275&gt;(C2961-1)*12,Paths!$E$275&lt;=C2961*12)),Paths!$G$275,0),"n.a."))</f>
        <v>0</v>
      </c>
      <c r="J2961" s="16">
        <f>IF(NOT(Paths!$C$275=1),0,IF(Paths!$P$275="Complete",IF(IF(Paths!$E$275=0,C2961=0,AND(C2961&gt;0,Paths!$E$275&gt;(C2961-1)*12,Paths!$E$275&lt;=C2961*12)),Paths!$H$275,0),"n.a."))</f>
        <v>0</v>
      </c>
      <c r="K2961" s="16">
        <f>IF(NOT(Paths!$C$275=1),0,IF(Paths!$P$275="Complete",IF(IF(Paths!$O$275=0,C2961=0,AND(C2961&gt;0,Paths!$O$275&gt;(C2961-1)*12,Paths!$O$275&lt;=C2961*12)),Paths!$N$275,0),"n.a."))</f>
        <v>0</v>
      </c>
      <c r="L2961" s="16">
        <f>IF(NOT(Paths!$C$275=1),0,IF(Paths!$P$275="Complete",IF(C2961=10,Paths!$I$275,0),"n.a."))</f>
        <v>0</v>
      </c>
      <c r="M2961" s="16">
        <f>IF(NOT(Paths!$C$275=1),0,IF(Paths!$P$275="Complete",IF(AND(Paths!$D$275="EV",Paths!$E$275&lt;120,Paths!$E$275+'Operating costs'!$B$65&gt;Paths!$E$275,Paths!$E$275+'Operating costs'!$B$65&lt;=120,IF(Paths!$E$275+'Operating costs'!$B$65=0,C2961=0,AND(C2961&gt;0,Paths!$E$275+'Operating costs'!$B$65&gt;(C2961-1)*12,Paths!$E$275+'Operating costs'!$B$65&lt;=C2961*12))),'Operating costs'!$B$64,0)+IF(AND('Operating costs'!$B$67&gt;0,'Operating costs'!$B$67&lt;=120,OR(Paths!$D$275="ICE",'Operating costs'!$B$67&lt;=Paths!$E$275),IF('Operating costs'!$B$67=0,C2961=0,AND(C2961&gt;0,'Operating costs'!$B$67&gt;(C2961-1)*12,'Operating costs'!$B$67&lt;=C2961*12))),'Operating costs'!$B$66,0),"n.a."))</f>
        <v>0</v>
      </c>
      <c r="N2961" s="16">
        <f>IF(NOT(Paths!$C$275=1),0,IF(Paths!$P$275="Complete",SUM(G2961:I2961)-J2961-K2961-L2961+M2961+IF(C2961=0,Paths!$F$275,0)+IF(IF(Paths!$E$275=0,C2961=0,AND(C2961&gt;0,Paths!$E$275&gt;(C2961-1)*12,Paths!$E$275&lt;=C2961*12)),VLOOKUP(A2961,'Fleet register'!$A$7:$S$106,16,FALSE),0),"n.a."))</f>
        <v>0</v>
      </c>
      <c r="O2961" s="16">
        <f>IF(NOT(Paths!$C$275=1),0,IF(Paths!$P$275="Complete",N2961-IF(C2961=0,Paths!$F$275,0),"n.a."))</f>
        <v>0</v>
      </c>
      <c r="P2961" s="16">
        <f>IF(NOT(Paths!$C$275=1),0,IF(Paths!$P$275="Complete",O2961+L2961,"n.a."))</f>
        <v>0</v>
      </c>
      <c r="Q2961" s="16">
        <f>IF(NOT(Paths!$C$275=1),0,IF(Paths!$P$275="Complete",N2961*(1+'Operating costs'!$B$54)^-C2961,"n.a."))</f>
        <v>0</v>
      </c>
      <c r="R2961" s="16">
        <f>IF(NOT(Paths!$C$275=1),0,IF(Paths!$P$275="Complete",IF(AND(C2961=0,Paths!$E$275=0),I2961-J2961-K2961+VLOOKUP(A2961,'Fleet register'!$A$7:$S$106,15,FALSE)+VLOOKUP(A2961,'Fleet register'!$A$7:$S$106,16,FALSE),0),"n.a."))</f>
        <v>0</v>
      </c>
      <c r="S2961" s="1">
        <f>IF(NOT(Paths!$C$275=1),0,IF(Paths!$P$275="Complete",IF(C2961=0,0,Paths!$S$275*Paths!$R$275),"n.a."))</f>
        <v>0</v>
      </c>
      <c r="T2961" s="1">
        <f>IF(NOT(Paths!$C$275=1),0,IF(Paths!$P$275="Complete",IF(C2961=0,0,VLOOKUP(A2961,'Fleet register'!$A$7:$S$106,9,FALSE)*Paths!$R$275),"n.a."))</f>
        <v>0</v>
      </c>
    </row>
    <row r="2962" spans="1:20" ht="24" customHeight="1">
      <c r="A2962" s="1" t="str">
        <f>Paths!$A$275</f>
        <v>T068</v>
      </c>
      <c r="B2962" s="1">
        <f>Paths!$B$275</f>
        <v>0</v>
      </c>
      <c r="C2962" s="1">
        <v>7</v>
      </c>
      <c r="D2962" s="1">
        <v>275</v>
      </c>
      <c r="E2962" s="1">
        <f>IF(OR(Paths!$C$275=0,C2962=0),0,MAX(0,MIN(C2962*12,Paths!$E$275)-(C2962-1)*12))</f>
        <v>0</v>
      </c>
      <c r="F2962" s="1">
        <f>IF(OR(Paths!$C$275=0,C2962=0),0,12-E2962)</f>
        <v>0</v>
      </c>
      <c r="G2962" s="16">
        <f>IF(NOT(Paths!$C$275=1),0,IF(Paths!$P$275="Complete",E2962/12*(Paths!$J$275*(1+'Operating costs'!$B$51)^MAX(0,C2962-1)+Paths!$K$275*(1+'Operating costs'!$B$53)^MAX(0,C2962-1)),"n.a."))</f>
        <v>0</v>
      </c>
      <c r="H2962" s="16">
        <f>IF(NOT(Paths!$C$275=1),0,IF(Paths!$P$275="Complete",F2962/12*(Paths!$L$275*(1+IF(Paths!$D$275="EV",'Operating costs'!$B$52,'Operating costs'!$B$51))^MAX(0,C2962-1)+Paths!$M$275*(1+'Operating costs'!$B$53)^MAX(0,C2962-1)),"n.a."))</f>
        <v>0</v>
      </c>
      <c r="I2962" s="16">
        <f>IF(NOT(Paths!$C$275=1),0,IF(Paths!$P$275="Complete",IF(IF(Paths!$E$275=0,C2962=0,AND(C2962&gt;0,Paths!$E$275&gt;(C2962-1)*12,Paths!$E$275&lt;=C2962*12)),Paths!$G$275,0),"n.a."))</f>
        <v>0</v>
      </c>
      <c r="J2962" s="16">
        <f>IF(NOT(Paths!$C$275=1),0,IF(Paths!$P$275="Complete",IF(IF(Paths!$E$275=0,C2962=0,AND(C2962&gt;0,Paths!$E$275&gt;(C2962-1)*12,Paths!$E$275&lt;=C2962*12)),Paths!$H$275,0),"n.a."))</f>
        <v>0</v>
      </c>
      <c r="K2962" s="16">
        <f>IF(NOT(Paths!$C$275=1),0,IF(Paths!$P$275="Complete",IF(IF(Paths!$O$275=0,C2962=0,AND(C2962&gt;0,Paths!$O$275&gt;(C2962-1)*12,Paths!$O$275&lt;=C2962*12)),Paths!$N$275,0),"n.a."))</f>
        <v>0</v>
      </c>
      <c r="L2962" s="16">
        <f>IF(NOT(Paths!$C$275=1),0,IF(Paths!$P$275="Complete",IF(C2962=10,Paths!$I$275,0),"n.a."))</f>
        <v>0</v>
      </c>
      <c r="M2962" s="16">
        <f>IF(NOT(Paths!$C$275=1),0,IF(Paths!$P$275="Complete",IF(AND(Paths!$D$275="EV",Paths!$E$275&lt;120,Paths!$E$275+'Operating costs'!$B$65&gt;Paths!$E$275,Paths!$E$275+'Operating costs'!$B$65&lt;=120,IF(Paths!$E$275+'Operating costs'!$B$65=0,C2962=0,AND(C2962&gt;0,Paths!$E$275+'Operating costs'!$B$65&gt;(C2962-1)*12,Paths!$E$275+'Operating costs'!$B$65&lt;=C2962*12))),'Operating costs'!$B$64,0)+IF(AND('Operating costs'!$B$67&gt;0,'Operating costs'!$B$67&lt;=120,OR(Paths!$D$275="ICE",'Operating costs'!$B$67&lt;=Paths!$E$275),IF('Operating costs'!$B$67=0,C2962=0,AND(C2962&gt;0,'Operating costs'!$B$67&gt;(C2962-1)*12,'Operating costs'!$B$67&lt;=C2962*12))),'Operating costs'!$B$66,0),"n.a."))</f>
        <v>0</v>
      </c>
      <c r="N2962" s="16">
        <f>IF(NOT(Paths!$C$275=1),0,IF(Paths!$P$275="Complete",SUM(G2962:I2962)-J2962-K2962-L2962+M2962+IF(C2962=0,Paths!$F$275,0)+IF(IF(Paths!$E$275=0,C2962=0,AND(C2962&gt;0,Paths!$E$275&gt;(C2962-1)*12,Paths!$E$275&lt;=C2962*12)),VLOOKUP(A2962,'Fleet register'!$A$7:$S$106,16,FALSE),0),"n.a."))</f>
        <v>0</v>
      </c>
      <c r="O2962" s="16">
        <f>IF(NOT(Paths!$C$275=1),0,IF(Paths!$P$275="Complete",N2962-IF(C2962=0,Paths!$F$275,0),"n.a."))</f>
        <v>0</v>
      </c>
      <c r="P2962" s="16">
        <f>IF(NOT(Paths!$C$275=1),0,IF(Paths!$P$275="Complete",O2962+L2962,"n.a."))</f>
        <v>0</v>
      </c>
      <c r="Q2962" s="16">
        <f>IF(NOT(Paths!$C$275=1),0,IF(Paths!$P$275="Complete",N2962*(1+'Operating costs'!$B$54)^-C2962,"n.a."))</f>
        <v>0</v>
      </c>
      <c r="R2962" s="16">
        <f>IF(NOT(Paths!$C$275=1),0,IF(Paths!$P$275="Complete",IF(AND(C2962=0,Paths!$E$275=0),I2962-J2962-K2962+VLOOKUP(A2962,'Fleet register'!$A$7:$S$106,15,FALSE)+VLOOKUP(A2962,'Fleet register'!$A$7:$S$106,16,FALSE),0),"n.a."))</f>
        <v>0</v>
      </c>
      <c r="S2962" s="1">
        <f>IF(NOT(Paths!$C$275=1),0,IF(Paths!$P$275="Complete",IF(C2962=0,0,Paths!$S$275*Paths!$R$275),"n.a."))</f>
        <v>0</v>
      </c>
      <c r="T2962" s="1">
        <f>IF(NOT(Paths!$C$275=1),0,IF(Paths!$P$275="Complete",IF(C2962=0,0,VLOOKUP(A2962,'Fleet register'!$A$7:$S$106,9,FALSE)*Paths!$R$275),"n.a."))</f>
        <v>0</v>
      </c>
    </row>
    <row r="2963" spans="1:20" ht="24" customHeight="1">
      <c r="A2963" s="1" t="str">
        <f>Paths!$A$275</f>
        <v>T068</v>
      </c>
      <c r="B2963" s="1">
        <f>Paths!$B$275</f>
        <v>0</v>
      </c>
      <c r="C2963" s="1">
        <v>8</v>
      </c>
      <c r="D2963" s="1">
        <v>275</v>
      </c>
      <c r="E2963" s="1">
        <f>IF(OR(Paths!$C$275=0,C2963=0),0,MAX(0,MIN(C2963*12,Paths!$E$275)-(C2963-1)*12))</f>
        <v>0</v>
      </c>
      <c r="F2963" s="1">
        <f>IF(OR(Paths!$C$275=0,C2963=0),0,12-E2963)</f>
        <v>0</v>
      </c>
      <c r="G2963" s="16">
        <f>IF(NOT(Paths!$C$275=1),0,IF(Paths!$P$275="Complete",E2963/12*(Paths!$J$275*(1+'Operating costs'!$B$51)^MAX(0,C2963-1)+Paths!$K$275*(1+'Operating costs'!$B$53)^MAX(0,C2963-1)),"n.a."))</f>
        <v>0</v>
      </c>
      <c r="H2963" s="16">
        <f>IF(NOT(Paths!$C$275=1),0,IF(Paths!$P$275="Complete",F2963/12*(Paths!$L$275*(1+IF(Paths!$D$275="EV",'Operating costs'!$B$52,'Operating costs'!$B$51))^MAX(0,C2963-1)+Paths!$M$275*(1+'Operating costs'!$B$53)^MAX(0,C2963-1)),"n.a."))</f>
        <v>0</v>
      </c>
      <c r="I2963" s="16">
        <f>IF(NOT(Paths!$C$275=1),0,IF(Paths!$P$275="Complete",IF(IF(Paths!$E$275=0,C2963=0,AND(C2963&gt;0,Paths!$E$275&gt;(C2963-1)*12,Paths!$E$275&lt;=C2963*12)),Paths!$G$275,0),"n.a."))</f>
        <v>0</v>
      </c>
      <c r="J2963" s="16">
        <f>IF(NOT(Paths!$C$275=1),0,IF(Paths!$P$275="Complete",IF(IF(Paths!$E$275=0,C2963=0,AND(C2963&gt;0,Paths!$E$275&gt;(C2963-1)*12,Paths!$E$275&lt;=C2963*12)),Paths!$H$275,0),"n.a."))</f>
        <v>0</v>
      </c>
      <c r="K2963" s="16">
        <f>IF(NOT(Paths!$C$275=1),0,IF(Paths!$P$275="Complete",IF(IF(Paths!$O$275=0,C2963=0,AND(C2963&gt;0,Paths!$O$275&gt;(C2963-1)*12,Paths!$O$275&lt;=C2963*12)),Paths!$N$275,0),"n.a."))</f>
        <v>0</v>
      </c>
      <c r="L2963" s="16">
        <f>IF(NOT(Paths!$C$275=1),0,IF(Paths!$P$275="Complete",IF(C2963=10,Paths!$I$275,0),"n.a."))</f>
        <v>0</v>
      </c>
      <c r="M2963" s="16">
        <f>IF(NOT(Paths!$C$275=1),0,IF(Paths!$P$275="Complete",IF(AND(Paths!$D$275="EV",Paths!$E$275&lt;120,Paths!$E$275+'Operating costs'!$B$65&gt;Paths!$E$275,Paths!$E$275+'Operating costs'!$B$65&lt;=120,IF(Paths!$E$275+'Operating costs'!$B$65=0,C2963=0,AND(C2963&gt;0,Paths!$E$275+'Operating costs'!$B$65&gt;(C2963-1)*12,Paths!$E$275+'Operating costs'!$B$65&lt;=C2963*12))),'Operating costs'!$B$64,0)+IF(AND('Operating costs'!$B$67&gt;0,'Operating costs'!$B$67&lt;=120,OR(Paths!$D$275="ICE",'Operating costs'!$B$67&lt;=Paths!$E$275),IF('Operating costs'!$B$67=0,C2963=0,AND(C2963&gt;0,'Operating costs'!$B$67&gt;(C2963-1)*12,'Operating costs'!$B$67&lt;=C2963*12))),'Operating costs'!$B$66,0),"n.a."))</f>
        <v>0</v>
      </c>
      <c r="N2963" s="16">
        <f>IF(NOT(Paths!$C$275=1),0,IF(Paths!$P$275="Complete",SUM(G2963:I2963)-J2963-K2963-L2963+M2963+IF(C2963=0,Paths!$F$275,0)+IF(IF(Paths!$E$275=0,C2963=0,AND(C2963&gt;0,Paths!$E$275&gt;(C2963-1)*12,Paths!$E$275&lt;=C2963*12)),VLOOKUP(A2963,'Fleet register'!$A$7:$S$106,16,FALSE),0),"n.a."))</f>
        <v>0</v>
      </c>
      <c r="O2963" s="16">
        <f>IF(NOT(Paths!$C$275=1),0,IF(Paths!$P$275="Complete",N2963-IF(C2963=0,Paths!$F$275,0),"n.a."))</f>
        <v>0</v>
      </c>
      <c r="P2963" s="16">
        <f>IF(NOT(Paths!$C$275=1),0,IF(Paths!$P$275="Complete",O2963+L2963,"n.a."))</f>
        <v>0</v>
      </c>
      <c r="Q2963" s="16">
        <f>IF(NOT(Paths!$C$275=1),0,IF(Paths!$P$275="Complete",N2963*(1+'Operating costs'!$B$54)^-C2963,"n.a."))</f>
        <v>0</v>
      </c>
      <c r="R2963" s="16">
        <f>IF(NOT(Paths!$C$275=1),0,IF(Paths!$P$275="Complete",IF(AND(C2963=0,Paths!$E$275=0),I2963-J2963-K2963+VLOOKUP(A2963,'Fleet register'!$A$7:$S$106,15,FALSE)+VLOOKUP(A2963,'Fleet register'!$A$7:$S$106,16,FALSE),0),"n.a."))</f>
        <v>0</v>
      </c>
      <c r="S2963" s="1">
        <f>IF(NOT(Paths!$C$275=1),0,IF(Paths!$P$275="Complete",IF(C2963=0,0,Paths!$S$275*Paths!$R$275),"n.a."))</f>
        <v>0</v>
      </c>
      <c r="T2963" s="1">
        <f>IF(NOT(Paths!$C$275=1),0,IF(Paths!$P$275="Complete",IF(C2963=0,0,VLOOKUP(A2963,'Fleet register'!$A$7:$S$106,9,FALSE)*Paths!$R$275),"n.a."))</f>
        <v>0</v>
      </c>
    </row>
    <row r="2964" spans="1:20" ht="24" customHeight="1">
      <c r="A2964" s="1" t="str">
        <f>Paths!$A$275</f>
        <v>T068</v>
      </c>
      <c r="B2964" s="1">
        <f>Paths!$B$275</f>
        <v>0</v>
      </c>
      <c r="C2964" s="1">
        <v>9</v>
      </c>
      <c r="D2964" s="1">
        <v>275</v>
      </c>
      <c r="E2964" s="1">
        <f>IF(OR(Paths!$C$275=0,C2964=0),0,MAX(0,MIN(C2964*12,Paths!$E$275)-(C2964-1)*12))</f>
        <v>0</v>
      </c>
      <c r="F2964" s="1">
        <f>IF(OR(Paths!$C$275=0,C2964=0),0,12-E2964)</f>
        <v>0</v>
      </c>
      <c r="G2964" s="16">
        <f>IF(NOT(Paths!$C$275=1),0,IF(Paths!$P$275="Complete",E2964/12*(Paths!$J$275*(1+'Operating costs'!$B$51)^MAX(0,C2964-1)+Paths!$K$275*(1+'Operating costs'!$B$53)^MAX(0,C2964-1)),"n.a."))</f>
        <v>0</v>
      </c>
      <c r="H2964" s="16">
        <f>IF(NOT(Paths!$C$275=1),0,IF(Paths!$P$275="Complete",F2964/12*(Paths!$L$275*(1+IF(Paths!$D$275="EV",'Operating costs'!$B$52,'Operating costs'!$B$51))^MAX(0,C2964-1)+Paths!$M$275*(1+'Operating costs'!$B$53)^MAX(0,C2964-1)),"n.a."))</f>
        <v>0</v>
      </c>
      <c r="I2964" s="16">
        <f>IF(NOT(Paths!$C$275=1),0,IF(Paths!$P$275="Complete",IF(IF(Paths!$E$275=0,C2964=0,AND(C2964&gt;0,Paths!$E$275&gt;(C2964-1)*12,Paths!$E$275&lt;=C2964*12)),Paths!$G$275,0),"n.a."))</f>
        <v>0</v>
      </c>
      <c r="J2964" s="16">
        <f>IF(NOT(Paths!$C$275=1),0,IF(Paths!$P$275="Complete",IF(IF(Paths!$E$275=0,C2964=0,AND(C2964&gt;0,Paths!$E$275&gt;(C2964-1)*12,Paths!$E$275&lt;=C2964*12)),Paths!$H$275,0),"n.a."))</f>
        <v>0</v>
      </c>
      <c r="K2964" s="16">
        <f>IF(NOT(Paths!$C$275=1),0,IF(Paths!$P$275="Complete",IF(IF(Paths!$O$275=0,C2964=0,AND(C2964&gt;0,Paths!$O$275&gt;(C2964-1)*12,Paths!$O$275&lt;=C2964*12)),Paths!$N$275,0),"n.a."))</f>
        <v>0</v>
      </c>
      <c r="L2964" s="16">
        <f>IF(NOT(Paths!$C$275=1),0,IF(Paths!$P$275="Complete",IF(C2964=10,Paths!$I$275,0),"n.a."))</f>
        <v>0</v>
      </c>
      <c r="M2964" s="16">
        <f>IF(NOT(Paths!$C$275=1),0,IF(Paths!$P$275="Complete",IF(AND(Paths!$D$275="EV",Paths!$E$275&lt;120,Paths!$E$275+'Operating costs'!$B$65&gt;Paths!$E$275,Paths!$E$275+'Operating costs'!$B$65&lt;=120,IF(Paths!$E$275+'Operating costs'!$B$65=0,C2964=0,AND(C2964&gt;0,Paths!$E$275+'Operating costs'!$B$65&gt;(C2964-1)*12,Paths!$E$275+'Operating costs'!$B$65&lt;=C2964*12))),'Operating costs'!$B$64,0)+IF(AND('Operating costs'!$B$67&gt;0,'Operating costs'!$B$67&lt;=120,OR(Paths!$D$275="ICE",'Operating costs'!$B$67&lt;=Paths!$E$275),IF('Operating costs'!$B$67=0,C2964=0,AND(C2964&gt;0,'Operating costs'!$B$67&gt;(C2964-1)*12,'Operating costs'!$B$67&lt;=C2964*12))),'Operating costs'!$B$66,0),"n.a."))</f>
        <v>0</v>
      </c>
      <c r="N2964" s="16">
        <f>IF(NOT(Paths!$C$275=1),0,IF(Paths!$P$275="Complete",SUM(G2964:I2964)-J2964-K2964-L2964+M2964+IF(C2964=0,Paths!$F$275,0)+IF(IF(Paths!$E$275=0,C2964=0,AND(C2964&gt;0,Paths!$E$275&gt;(C2964-1)*12,Paths!$E$275&lt;=C2964*12)),VLOOKUP(A2964,'Fleet register'!$A$7:$S$106,16,FALSE),0),"n.a."))</f>
        <v>0</v>
      </c>
      <c r="O2964" s="16">
        <f>IF(NOT(Paths!$C$275=1),0,IF(Paths!$P$275="Complete",N2964-IF(C2964=0,Paths!$F$275,0),"n.a."))</f>
        <v>0</v>
      </c>
      <c r="P2964" s="16">
        <f>IF(NOT(Paths!$C$275=1),0,IF(Paths!$P$275="Complete",O2964+L2964,"n.a."))</f>
        <v>0</v>
      </c>
      <c r="Q2964" s="16">
        <f>IF(NOT(Paths!$C$275=1),0,IF(Paths!$P$275="Complete",N2964*(1+'Operating costs'!$B$54)^-C2964,"n.a."))</f>
        <v>0</v>
      </c>
      <c r="R2964" s="16">
        <f>IF(NOT(Paths!$C$275=1),0,IF(Paths!$P$275="Complete",IF(AND(C2964=0,Paths!$E$275=0),I2964-J2964-K2964+VLOOKUP(A2964,'Fleet register'!$A$7:$S$106,15,FALSE)+VLOOKUP(A2964,'Fleet register'!$A$7:$S$106,16,FALSE),0),"n.a."))</f>
        <v>0</v>
      </c>
      <c r="S2964" s="1">
        <f>IF(NOT(Paths!$C$275=1),0,IF(Paths!$P$275="Complete",IF(C2964=0,0,Paths!$S$275*Paths!$R$275),"n.a."))</f>
        <v>0</v>
      </c>
      <c r="T2964" s="1">
        <f>IF(NOT(Paths!$C$275=1),0,IF(Paths!$P$275="Complete",IF(C2964=0,0,VLOOKUP(A2964,'Fleet register'!$A$7:$S$106,9,FALSE)*Paths!$R$275),"n.a."))</f>
        <v>0</v>
      </c>
    </row>
    <row r="2965" spans="1:20" ht="24" customHeight="1">
      <c r="A2965" s="1" t="str">
        <f>Paths!$A$275</f>
        <v>T068</v>
      </c>
      <c r="B2965" s="1">
        <f>Paths!$B$275</f>
        <v>0</v>
      </c>
      <c r="C2965" s="1">
        <v>10</v>
      </c>
      <c r="D2965" s="1">
        <v>275</v>
      </c>
      <c r="E2965" s="1">
        <f>IF(OR(Paths!$C$275=0,C2965=0),0,MAX(0,MIN(C2965*12,Paths!$E$275)-(C2965-1)*12))</f>
        <v>0</v>
      </c>
      <c r="F2965" s="1">
        <f>IF(OR(Paths!$C$275=0,C2965=0),0,12-E2965)</f>
        <v>0</v>
      </c>
      <c r="G2965" s="16">
        <f>IF(NOT(Paths!$C$275=1),0,IF(Paths!$P$275="Complete",E2965/12*(Paths!$J$275*(1+'Operating costs'!$B$51)^MAX(0,C2965-1)+Paths!$K$275*(1+'Operating costs'!$B$53)^MAX(0,C2965-1)),"n.a."))</f>
        <v>0</v>
      </c>
      <c r="H2965" s="16">
        <f>IF(NOT(Paths!$C$275=1),0,IF(Paths!$P$275="Complete",F2965/12*(Paths!$L$275*(1+IF(Paths!$D$275="EV",'Operating costs'!$B$52,'Operating costs'!$B$51))^MAX(0,C2965-1)+Paths!$M$275*(1+'Operating costs'!$B$53)^MAX(0,C2965-1)),"n.a."))</f>
        <v>0</v>
      </c>
      <c r="I2965" s="16">
        <f>IF(NOT(Paths!$C$275=1),0,IF(Paths!$P$275="Complete",IF(IF(Paths!$E$275=0,C2965=0,AND(C2965&gt;0,Paths!$E$275&gt;(C2965-1)*12,Paths!$E$275&lt;=C2965*12)),Paths!$G$275,0),"n.a."))</f>
        <v>0</v>
      </c>
      <c r="J2965" s="16">
        <f>IF(NOT(Paths!$C$275=1),0,IF(Paths!$P$275="Complete",IF(IF(Paths!$E$275=0,C2965=0,AND(C2965&gt;0,Paths!$E$275&gt;(C2965-1)*12,Paths!$E$275&lt;=C2965*12)),Paths!$H$275,0),"n.a."))</f>
        <v>0</v>
      </c>
      <c r="K2965" s="16">
        <f>IF(NOT(Paths!$C$275=1),0,IF(Paths!$P$275="Complete",IF(IF(Paths!$O$275=0,C2965=0,AND(C2965&gt;0,Paths!$O$275&gt;(C2965-1)*12,Paths!$O$275&lt;=C2965*12)),Paths!$N$275,0),"n.a."))</f>
        <v>0</v>
      </c>
      <c r="L2965" s="16">
        <f>IF(NOT(Paths!$C$275=1),0,IF(Paths!$P$275="Complete",IF(C2965=10,Paths!$I$275,0),"n.a."))</f>
        <v>0</v>
      </c>
      <c r="M2965" s="16">
        <f>IF(NOT(Paths!$C$275=1),0,IF(Paths!$P$275="Complete",IF(AND(Paths!$D$275="EV",Paths!$E$275&lt;120,Paths!$E$275+'Operating costs'!$B$65&gt;Paths!$E$275,Paths!$E$275+'Operating costs'!$B$65&lt;=120,IF(Paths!$E$275+'Operating costs'!$B$65=0,C2965=0,AND(C2965&gt;0,Paths!$E$275+'Operating costs'!$B$65&gt;(C2965-1)*12,Paths!$E$275+'Operating costs'!$B$65&lt;=C2965*12))),'Operating costs'!$B$64,0)+IF(AND('Operating costs'!$B$67&gt;0,'Operating costs'!$B$67&lt;=120,OR(Paths!$D$275="ICE",'Operating costs'!$B$67&lt;=Paths!$E$275),IF('Operating costs'!$B$67=0,C2965=0,AND(C2965&gt;0,'Operating costs'!$B$67&gt;(C2965-1)*12,'Operating costs'!$B$67&lt;=C2965*12))),'Operating costs'!$B$66,0),"n.a."))</f>
        <v>0</v>
      </c>
      <c r="N2965" s="16">
        <f>IF(NOT(Paths!$C$275=1),0,IF(Paths!$P$275="Complete",SUM(G2965:I2965)-J2965-K2965-L2965+M2965+IF(C2965=0,Paths!$F$275,0)+IF(IF(Paths!$E$275=0,C2965=0,AND(C2965&gt;0,Paths!$E$275&gt;(C2965-1)*12,Paths!$E$275&lt;=C2965*12)),VLOOKUP(A2965,'Fleet register'!$A$7:$S$106,16,FALSE),0),"n.a."))</f>
        <v>0</v>
      </c>
      <c r="O2965" s="16">
        <f>IF(NOT(Paths!$C$275=1),0,IF(Paths!$P$275="Complete",N2965-IF(C2965=0,Paths!$F$275,0),"n.a."))</f>
        <v>0</v>
      </c>
      <c r="P2965" s="16">
        <f>IF(NOT(Paths!$C$275=1),0,IF(Paths!$P$275="Complete",O2965+L2965,"n.a."))</f>
        <v>0</v>
      </c>
      <c r="Q2965" s="16">
        <f>IF(NOT(Paths!$C$275=1),0,IF(Paths!$P$275="Complete",N2965*(1+'Operating costs'!$B$54)^-C2965,"n.a."))</f>
        <v>0</v>
      </c>
      <c r="R2965" s="16">
        <f>IF(NOT(Paths!$C$275=1),0,IF(Paths!$P$275="Complete",IF(AND(C2965=0,Paths!$E$275=0),I2965-J2965-K2965+VLOOKUP(A2965,'Fleet register'!$A$7:$S$106,15,FALSE)+VLOOKUP(A2965,'Fleet register'!$A$7:$S$106,16,FALSE),0),"n.a."))</f>
        <v>0</v>
      </c>
      <c r="S2965" s="1">
        <f>IF(NOT(Paths!$C$275=1),0,IF(Paths!$P$275="Complete",IF(C2965=0,0,Paths!$S$275*Paths!$R$275),"n.a."))</f>
        <v>0</v>
      </c>
      <c r="T2965" s="1">
        <f>IF(NOT(Paths!$C$275=1),0,IF(Paths!$P$275="Complete",IF(C2965=0,0,VLOOKUP(A2965,'Fleet register'!$A$7:$S$106,9,FALSE)*Paths!$R$275),"n.a."))</f>
        <v>0</v>
      </c>
    </row>
    <row r="2966" spans="1:20" ht="24" customHeight="1">
      <c r="A2966" s="1" t="str">
        <f>Paths!$A$276</f>
        <v>T068</v>
      </c>
      <c r="B2966" s="1">
        <f>Paths!$B$276</f>
        <v>1</v>
      </c>
      <c r="C2966" s="1">
        <v>0</v>
      </c>
      <c r="D2966" s="1">
        <v>276</v>
      </c>
      <c r="E2966" s="1">
        <f>IF(OR(Paths!$C$276=0,C2966=0),0,MAX(0,MIN(C2966*12,Paths!$E$276)-(C2966-1)*12))</f>
        <v>0</v>
      </c>
      <c r="F2966" s="1">
        <f>IF(OR(Paths!$C$276=0,C2966=0),0,12-E2966)</f>
        <v>0</v>
      </c>
      <c r="G2966" s="16">
        <f>IF(NOT(Paths!$C$276=1),0,IF(Paths!$P$276="Complete",E2966/12*(Paths!$J$276*(1+'Operating costs'!$B$51)^MAX(0,C2966-1)+Paths!$K$276*(1+'Operating costs'!$B$53)^MAX(0,C2966-1)),"n.a."))</f>
        <v>0</v>
      </c>
      <c r="H2966" s="16">
        <f>IF(NOT(Paths!$C$276=1),0,IF(Paths!$P$276="Complete",F2966/12*(Paths!$L$276*(1+IF(Paths!$D$276="EV",'Operating costs'!$B$52,'Operating costs'!$B$51))^MAX(0,C2966-1)+Paths!$M$276*(1+'Operating costs'!$B$53)^MAX(0,C2966-1)),"n.a."))</f>
        <v>0</v>
      </c>
      <c r="I2966" s="16">
        <f>IF(NOT(Paths!$C$276=1),0,IF(Paths!$P$276="Complete",IF(IF(Paths!$E$276=0,C2966=0,AND(C2966&gt;0,Paths!$E$276&gt;(C2966-1)*12,Paths!$E$276&lt;=C2966*12)),Paths!$G$276,0),"n.a."))</f>
        <v>0</v>
      </c>
      <c r="J2966" s="16">
        <f>IF(NOT(Paths!$C$276=1),0,IF(Paths!$P$276="Complete",IF(IF(Paths!$E$276=0,C2966=0,AND(C2966&gt;0,Paths!$E$276&gt;(C2966-1)*12,Paths!$E$276&lt;=C2966*12)),Paths!$H$276,0),"n.a."))</f>
        <v>0</v>
      </c>
      <c r="K2966" s="16">
        <f>IF(NOT(Paths!$C$276=1),0,IF(Paths!$P$276="Complete",IF(IF(Paths!$O$276=0,C2966=0,AND(C2966&gt;0,Paths!$O$276&gt;(C2966-1)*12,Paths!$O$276&lt;=C2966*12)),Paths!$N$276,0),"n.a."))</f>
        <v>0</v>
      </c>
      <c r="L2966" s="16">
        <f>IF(NOT(Paths!$C$276=1),0,IF(Paths!$P$276="Complete",IF(C2966=10,Paths!$I$276,0),"n.a."))</f>
        <v>0</v>
      </c>
      <c r="M2966" s="16">
        <f>IF(NOT(Paths!$C$276=1),0,IF(Paths!$P$276="Complete",IF(AND(Paths!$D$276="EV",Paths!$E$276&lt;120,Paths!$E$276+'Operating costs'!$B$65&gt;Paths!$E$276,Paths!$E$276+'Operating costs'!$B$65&lt;=120,IF(Paths!$E$276+'Operating costs'!$B$65=0,C2966=0,AND(C2966&gt;0,Paths!$E$276+'Operating costs'!$B$65&gt;(C2966-1)*12,Paths!$E$276+'Operating costs'!$B$65&lt;=C2966*12))),'Operating costs'!$B$64,0)+IF(AND('Operating costs'!$B$67&gt;0,'Operating costs'!$B$67&lt;=120,OR(Paths!$D$276="ICE",'Operating costs'!$B$67&lt;=Paths!$E$276),IF('Operating costs'!$B$67=0,C2966=0,AND(C2966&gt;0,'Operating costs'!$B$67&gt;(C2966-1)*12,'Operating costs'!$B$67&lt;=C2966*12))),'Operating costs'!$B$66,0),"n.a."))</f>
        <v>0</v>
      </c>
      <c r="N2966" s="16">
        <f>IF(NOT(Paths!$C$276=1),0,IF(Paths!$P$276="Complete",SUM(G2966:I2966)-J2966-K2966-L2966+M2966+IF(C2966=0,Paths!$F$276,0)+IF(IF(Paths!$E$276=0,C2966=0,AND(C2966&gt;0,Paths!$E$276&gt;(C2966-1)*12,Paths!$E$276&lt;=C2966*12)),VLOOKUP(A2966,'Fleet register'!$A$7:$S$106,16,FALSE),0),"n.a."))</f>
        <v>0</v>
      </c>
      <c r="O2966" s="16">
        <f>IF(NOT(Paths!$C$276=1),0,IF(Paths!$P$276="Complete",N2966-IF(C2966=0,Paths!$F$276,0),"n.a."))</f>
        <v>0</v>
      </c>
      <c r="P2966" s="16">
        <f>IF(NOT(Paths!$C$276=1),0,IF(Paths!$P$276="Complete",O2966+L2966,"n.a."))</f>
        <v>0</v>
      </c>
      <c r="Q2966" s="16">
        <f>IF(NOT(Paths!$C$276=1),0,IF(Paths!$P$276="Complete",N2966*(1+'Operating costs'!$B$54)^-C2966,"n.a."))</f>
        <v>0</v>
      </c>
      <c r="R2966" s="16">
        <f>IF(NOT(Paths!$C$276=1),0,IF(Paths!$P$276="Complete",IF(AND(C2966=0,Paths!$E$276=0),I2966-J2966-K2966+VLOOKUP(A2966,'Fleet register'!$A$7:$S$106,15,FALSE)+VLOOKUP(A2966,'Fleet register'!$A$7:$S$106,16,FALSE),0),"n.a."))</f>
        <v>0</v>
      </c>
      <c r="S2966" s="1">
        <f>IF(NOT(Paths!$C$276=1),0,IF(Paths!$P$276="Complete",IF(C2966=0,0,Paths!$S$276*Paths!$R$276),"n.a."))</f>
        <v>0</v>
      </c>
      <c r="T2966" s="1">
        <f>IF(NOT(Paths!$C$276=1),0,IF(Paths!$P$276="Complete",IF(C2966=0,0,VLOOKUP(A2966,'Fleet register'!$A$7:$S$106,9,FALSE)*Paths!$R$276),"n.a."))</f>
        <v>0</v>
      </c>
    </row>
    <row r="2967" spans="1:20" ht="24" customHeight="1">
      <c r="A2967" s="1" t="str">
        <f>Paths!$A$276</f>
        <v>T068</v>
      </c>
      <c r="B2967" s="1">
        <f>Paths!$B$276</f>
        <v>1</v>
      </c>
      <c r="C2967" s="1">
        <v>1</v>
      </c>
      <c r="D2967" s="1">
        <v>276</v>
      </c>
      <c r="E2967" s="1">
        <f>IF(OR(Paths!$C$276=0,C2967=0),0,MAX(0,MIN(C2967*12,Paths!$E$276)-(C2967-1)*12))</f>
        <v>0</v>
      </c>
      <c r="F2967" s="1">
        <f>IF(OR(Paths!$C$276=0,C2967=0),0,12-E2967)</f>
        <v>0</v>
      </c>
      <c r="G2967" s="16">
        <f>IF(NOT(Paths!$C$276=1),0,IF(Paths!$P$276="Complete",E2967/12*(Paths!$J$276*(1+'Operating costs'!$B$51)^MAX(0,C2967-1)+Paths!$K$276*(1+'Operating costs'!$B$53)^MAX(0,C2967-1)),"n.a."))</f>
        <v>0</v>
      </c>
      <c r="H2967" s="16">
        <f>IF(NOT(Paths!$C$276=1),0,IF(Paths!$P$276="Complete",F2967/12*(Paths!$L$276*(1+IF(Paths!$D$276="EV",'Operating costs'!$B$52,'Operating costs'!$B$51))^MAX(0,C2967-1)+Paths!$M$276*(1+'Operating costs'!$B$53)^MAX(0,C2967-1)),"n.a."))</f>
        <v>0</v>
      </c>
      <c r="I2967" s="16">
        <f>IF(NOT(Paths!$C$276=1),0,IF(Paths!$P$276="Complete",IF(IF(Paths!$E$276=0,C2967=0,AND(C2967&gt;0,Paths!$E$276&gt;(C2967-1)*12,Paths!$E$276&lt;=C2967*12)),Paths!$G$276,0),"n.a."))</f>
        <v>0</v>
      </c>
      <c r="J2967" s="16">
        <f>IF(NOT(Paths!$C$276=1),0,IF(Paths!$P$276="Complete",IF(IF(Paths!$E$276=0,C2967=0,AND(C2967&gt;0,Paths!$E$276&gt;(C2967-1)*12,Paths!$E$276&lt;=C2967*12)),Paths!$H$276,0),"n.a."))</f>
        <v>0</v>
      </c>
      <c r="K2967" s="16">
        <f>IF(NOT(Paths!$C$276=1),0,IF(Paths!$P$276="Complete",IF(IF(Paths!$O$276=0,C2967=0,AND(C2967&gt;0,Paths!$O$276&gt;(C2967-1)*12,Paths!$O$276&lt;=C2967*12)),Paths!$N$276,0),"n.a."))</f>
        <v>0</v>
      </c>
      <c r="L2967" s="16">
        <f>IF(NOT(Paths!$C$276=1),0,IF(Paths!$P$276="Complete",IF(C2967=10,Paths!$I$276,0),"n.a."))</f>
        <v>0</v>
      </c>
      <c r="M2967" s="16">
        <f>IF(NOT(Paths!$C$276=1),0,IF(Paths!$P$276="Complete",IF(AND(Paths!$D$276="EV",Paths!$E$276&lt;120,Paths!$E$276+'Operating costs'!$B$65&gt;Paths!$E$276,Paths!$E$276+'Operating costs'!$B$65&lt;=120,IF(Paths!$E$276+'Operating costs'!$B$65=0,C2967=0,AND(C2967&gt;0,Paths!$E$276+'Operating costs'!$B$65&gt;(C2967-1)*12,Paths!$E$276+'Operating costs'!$B$65&lt;=C2967*12))),'Operating costs'!$B$64,0)+IF(AND('Operating costs'!$B$67&gt;0,'Operating costs'!$B$67&lt;=120,OR(Paths!$D$276="ICE",'Operating costs'!$B$67&lt;=Paths!$E$276),IF('Operating costs'!$B$67=0,C2967=0,AND(C2967&gt;0,'Operating costs'!$B$67&gt;(C2967-1)*12,'Operating costs'!$B$67&lt;=C2967*12))),'Operating costs'!$B$66,0),"n.a."))</f>
        <v>0</v>
      </c>
      <c r="N2967" s="16">
        <f>IF(NOT(Paths!$C$276=1),0,IF(Paths!$P$276="Complete",SUM(G2967:I2967)-J2967-K2967-L2967+M2967+IF(C2967=0,Paths!$F$276,0)+IF(IF(Paths!$E$276=0,C2967=0,AND(C2967&gt;0,Paths!$E$276&gt;(C2967-1)*12,Paths!$E$276&lt;=C2967*12)),VLOOKUP(A2967,'Fleet register'!$A$7:$S$106,16,FALSE),0),"n.a."))</f>
        <v>0</v>
      </c>
      <c r="O2967" s="16">
        <f>IF(NOT(Paths!$C$276=1),0,IF(Paths!$P$276="Complete",N2967-IF(C2967=0,Paths!$F$276,0),"n.a."))</f>
        <v>0</v>
      </c>
      <c r="P2967" s="16">
        <f>IF(NOT(Paths!$C$276=1),0,IF(Paths!$P$276="Complete",O2967+L2967,"n.a."))</f>
        <v>0</v>
      </c>
      <c r="Q2967" s="16">
        <f>IF(NOT(Paths!$C$276=1),0,IF(Paths!$P$276="Complete",N2967*(1+'Operating costs'!$B$54)^-C2967,"n.a."))</f>
        <v>0</v>
      </c>
      <c r="R2967" s="16">
        <f>IF(NOT(Paths!$C$276=1),0,IF(Paths!$P$276="Complete",IF(AND(C2967=0,Paths!$E$276=0),I2967-J2967-K2967+VLOOKUP(A2967,'Fleet register'!$A$7:$S$106,15,FALSE)+VLOOKUP(A2967,'Fleet register'!$A$7:$S$106,16,FALSE),0),"n.a."))</f>
        <v>0</v>
      </c>
      <c r="S2967" s="1">
        <f>IF(NOT(Paths!$C$276=1),0,IF(Paths!$P$276="Complete",IF(C2967=0,0,Paths!$S$276*Paths!$R$276),"n.a."))</f>
        <v>0</v>
      </c>
      <c r="T2967" s="1">
        <f>IF(NOT(Paths!$C$276=1),0,IF(Paths!$P$276="Complete",IF(C2967=0,0,VLOOKUP(A2967,'Fleet register'!$A$7:$S$106,9,FALSE)*Paths!$R$276),"n.a."))</f>
        <v>0</v>
      </c>
    </row>
    <row r="2968" spans="1:20" ht="24" customHeight="1">
      <c r="A2968" s="1" t="str">
        <f>Paths!$A$276</f>
        <v>T068</v>
      </c>
      <c r="B2968" s="1">
        <f>Paths!$B$276</f>
        <v>1</v>
      </c>
      <c r="C2968" s="1">
        <v>2</v>
      </c>
      <c r="D2968" s="1">
        <v>276</v>
      </c>
      <c r="E2968" s="1">
        <f>IF(OR(Paths!$C$276=0,C2968=0),0,MAX(0,MIN(C2968*12,Paths!$E$276)-(C2968-1)*12))</f>
        <v>0</v>
      </c>
      <c r="F2968" s="1">
        <f>IF(OR(Paths!$C$276=0,C2968=0),0,12-E2968)</f>
        <v>0</v>
      </c>
      <c r="G2968" s="16">
        <f>IF(NOT(Paths!$C$276=1),0,IF(Paths!$P$276="Complete",E2968/12*(Paths!$J$276*(1+'Operating costs'!$B$51)^MAX(0,C2968-1)+Paths!$K$276*(1+'Operating costs'!$B$53)^MAX(0,C2968-1)),"n.a."))</f>
        <v>0</v>
      </c>
      <c r="H2968" s="16">
        <f>IF(NOT(Paths!$C$276=1),0,IF(Paths!$P$276="Complete",F2968/12*(Paths!$L$276*(1+IF(Paths!$D$276="EV",'Operating costs'!$B$52,'Operating costs'!$B$51))^MAX(0,C2968-1)+Paths!$M$276*(1+'Operating costs'!$B$53)^MAX(0,C2968-1)),"n.a."))</f>
        <v>0</v>
      </c>
      <c r="I2968" s="16">
        <f>IF(NOT(Paths!$C$276=1),0,IF(Paths!$P$276="Complete",IF(IF(Paths!$E$276=0,C2968=0,AND(C2968&gt;0,Paths!$E$276&gt;(C2968-1)*12,Paths!$E$276&lt;=C2968*12)),Paths!$G$276,0),"n.a."))</f>
        <v>0</v>
      </c>
      <c r="J2968" s="16">
        <f>IF(NOT(Paths!$C$276=1),0,IF(Paths!$P$276="Complete",IF(IF(Paths!$E$276=0,C2968=0,AND(C2968&gt;0,Paths!$E$276&gt;(C2968-1)*12,Paths!$E$276&lt;=C2968*12)),Paths!$H$276,0),"n.a."))</f>
        <v>0</v>
      </c>
      <c r="K2968" s="16">
        <f>IF(NOT(Paths!$C$276=1),0,IF(Paths!$P$276="Complete",IF(IF(Paths!$O$276=0,C2968=0,AND(C2968&gt;0,Paths!$O$276&gt;(C2968-1)*12,Paths!$O$276&lt;=C2968*12)),Paths!$N$276,0),"n.a."))</f>
        <v>0</v>
      </c>
      <c r="L2968" s="16">
        <f>IF(NOT(Paths!$C$276=1),0,IF(Paths!$P$276="Complete",IF(C2968=10,Paths!$I$276,0),"n.a."))</f>
        <v>0</v>
      </c>
      <c r="M2968" s="16">
        <f>IF(NOT(Paths!$C$276=1),0,IF(Paths!$P$276="Complete",IF(AND(Paths!$D$276="EV",Paths!$E$276&lt;120,Paths!$E$276+'Operating costs'!$B$65&gt;Paths!$E$276,Paths!$E$276+'Operating costs'!$B$65&lt;=120,IF(Paths!$E$276+'Operating costs'!$B$65=0,C2968=0,AND(C2968&gt;0,Paths!$E$276+'Operating costs'!$B$65&gt;(C2968-1)*12,Paths!$E$276+'Operating costs'!$B$65&lt;=C2968*12))),'Operating costs'!$B$64,0)+IF(AND('Operating costs'!$B$67&gt;0,'Operating costs'!$B$67&lt;=120,OR(Paths!$D$276="ICE",'Operating costs'!$B$67&lt;=Paths!$E$276),IF('Operating costs'!$B$67=0,C2968=0,AND(C2968&gt;0,'Operating costs'!$B$67&gt;(C2968-1)*12,'Operating costs'!$B$67&lt;=C2968*12))),'Operating costs'!$B$66,0),"n.a."))</f>
        <v>0</v>
      </c>
      <c r="N2968" s="16">
        <f>IF(NOT(Paths!$C$276=1),0,IF(Paths!$P$276="Complete",SUM(G2968:I2968)-J2968-K2968-L2968+M2968+IF(C2968=0,Paths!$F$276,0)+IF(IF(Paths!$E$276=0,C2968=0,AND(C2968&gt;0,Paths!$E$276&gt;(C2968-1)*12,Paths!$E$276&lt;=C2968*12)),VLOOKUP(A2968,'Fleet register'!$A$7:$S$106,16,FALSE),0),"n.a."))</f>
        <v>0</v>
      </c>
      <c r="O2968" s="16">
        <f>IF(NOT(Paths!$C$276=1),0,IF(Paths!$P$276="Complete",N2968-IF(C2968=0,Paths!$F$276,0),"n.a."))</f>
        <v>0</v>
      </c>
      <c r="P2968" s="16">
        <f>IF(NOT(Paths!$C$276=1),0,IF(Paths!$P$276="Complete",O2968+L2968,"n.a."))</f>
        <v>0</v>
      </c>
      <c r="Q2968" s="16">
        <f>IF(NOT(Paths!$C$276=1),0,IF(Paths!$P$276="Complete",N2968*(1+'Operating costs'!$B$54)^-C2968,"n.a."))</f>
        <v>0</v>
      </c>
      <c r="R2968" s="16">
        <f>IF(NOT(Paths!$C$276=1),0,IF(Paths!$P$276="Complete",IF(AND(C2968=0,Paths!$E$276=0),I2968-J2968-K2968+VLOOKUP(A2968,'Fleet register'!$A$7:$S$106,15,FALSE)+VLOOKUP(A2968,'Fleet register'!$A$7:$S$106,16,FALSE),0),"n.a."))</f>
        <v>0</v>
      </c>
      <c r="S2968" s="1">
        <f>IF(NOT(Paths!$C$276=1),0,IF(Paths!$P$276="Complete",IF(C2968=0,0,Paths!$S$276*Paths!$R$276),"n.a."))</f>
        <v>0</v>
      </c>
      <c r="T2968" s="1">
        <f>IF(NOT(Paths!$C$276=1),0,IF(Paths!$P$276="Complete",IF(C2968=0,0,VLOOKUP(A2968,'Fleet register'!$A$7:$S$106,9,FALSE)*Paths!$R$276),"n.a."))</f>
        <v>0</v>
      </c>
    </row>
    <row r="2969" spans="1:20" ht="24" customHeight="1">
      <c r="A2969" s="1" t="str">
        <f>Paths!$A$276</f>
        <v>T068</v>
      </c>
      <c r="B2969" s="1">
        <f>Paths!$B$276</f>
        <v>1</v>
      </c>
      <c r="C2969" s="1">
        <v>3</v>
      </c>
      <c r="D2969" s="1">
        <v>276</v>
      </c>
      <c r="E2969" s="1">
        <f>IF(OR(Paths!$C$276=0,C2969=0),0,MAX(0,MIN(C2969*12,Paths!$E$276)-(C2969-1)*12))</f>
        <v>0</v>
      </c>
      <c r="F2969" s="1">
        <f>IF(OR(Paths!$C$276=0,C2969=0),0,12-E2969)</f>
        <v>0</v>
      </c>
      <c r="G2969" s="16">
        <f>IF(NOT(Paths!$C$276=1),0,IF(Paths!$P$276="Complete",E2969/12*(Paths!$J$276*(1+'Operating costs'!$B$51)^MAX(0,C2969-1)+Paths!$K$276*(1+'Operating costs'!$B$53)^MAX(0,C2969-1)),"n.a."))</f>
        <v>0</v>
      </c>
      <c r="H2969" s="16">
        <f>IF(NOT(Paths!$C$276=1),0,IF(Paths!$P$276="Complete",F2969/12*(Paths!$L$276*(1+IF(Paths!$D$276="EV",'Operating costs'!$B$52,'Operating costs'!$B$51))^MAX(0,C2969-1)+Paths!$M$276*(1+'Operating costs'!$B$53)^MAX(0,C2969-1)),"n.a."))</f>
        <v>0</v>
      </c>
      <c r="I2969" s="16">
        <f>IF(NOT(Paths!$C$276=1),0,IF(Paths!$P$276="Complete",IF(IF(Paths!$E$276=0,C2969=0,AND(C2969&gt;0,Paths!$E$276&gt;(C2969-1)*12,Paths!$E$276&lt;=C2969*12)),Paths!$G$276,0),"n.a."))</f>
        <v>0</v>
      </c>
      <c r="J2969" s="16">
        <f>IF(NOT(Paths!$C$276=1),0,IF(Paths!$P$276="Complete",IF(IF(Paths!$E$276=0,C2969=0,AND(C2969&gt;0,Paths!$E$276&gt;(C2969-1)*12,Paths!$E$276&lt;=C2969*12)),Paths!$H$276,0),"n.a."))</f>
        <v>0</v>
      </c>
      <c r="K2969" s="16">
        <f>IF(NOT(Paths!$C$276=1),0,IF(Paths!$P$276="Complete",IF(IF(Paths!$O$276=0,C2969=0,AND(C2969&gt;0,Paths!$O$276&gt;(C2969-1)*12,Paths!$O$276&lt;=C2969*12)),Paths!$N$276,0),"n.a."))</f>
        <v>0</v>
      </c>
      <c r="L2969" s="16">
        <f>IF(NOT(Paths!$C$276=1),0,IF(Paths!$P$276="Complete",IF(C2969=10,Paths!$I$276,0),"n.a."))</f>
        <v>0</v>
      </c>
      <c r="M2969" s="16">
        <f>IF(NOT(Paths!$C$276=1),0,IF(Paths!$P$276="Complete",IF(AND(Paths!$D$276="EV",Paths!$E$276&lt;120,Paths!$E$276+'Operating costs'!$B$65&gt;Paths!$E$276,Paths!$E$276+'Operating costs'!$B$65&lt;=120,IF(Paths!$E$276+'Operating costs'!$B$65=0,C2969=0,AND(C2969&gt;0,Paths!$E$276+'Operating costs'!$B$65&gt;(C2969-1)*12,Paths!$E$276+'Operating costs'!$B$65&lt;=C2969*12))),'Operating costs'!$B$64,0)+IF(AND('Operating costs'!$B$67&gt;0,'Operating costs'!$B$67&lt;=120,OR(Paths!$D$276="ICE",'Operating costs'!$B$67&lt;=Paths!$E$276),IF('Operating costs'!$B$67=0,C2969=0,AND(C2969&gt;0,'Operating costs'!$B$67&gt;(C2969-1)*12,'Operating costs'!$B$67&lt;=C2969*12))),'Operating costs'!$B$66,0),"n.a."))</f>
        <v>0</v>
      </c>
      <c r="N2969" s="16">
        <f>IF(NOT(Paths!$C$276=1),0,IF(Paths!$P$276="Complete",SUM(G2969:I2969)-J2969-K2969-L2969+M2969+IF(C2969=0,Paths!$F$276,0)+IF(IF(Paths!$E$276=0,C2969=0,AND(C2969&gt;0,Paths!$E$276&gt;(C2969-1)*12,Paths!$E$276&lt;=C2969*12)),VLOOKUP(A2969,'Fleet register'!$A$7:$S$106,16,FALSE),0),"n.a."))</f>
        <v>0</v>
      </c>
      <c r="O2969" s="16">
        <f>IF(NOT(Paths!$C$276=1),0,IF(Paths!$P$276="Complete",N2969-IF(C2969=0,Paths!$F$276,0),"n.a."))</f>
        <v>0</v>
      </c>
      <c r="P2969" s="16">
        <f>IF(NOT(Paths!$C$276=1),0,IF(Paths!$P$276="Complete",O2969+L2969,"n.a."))</f>
        <v>0</v>
      </c>
      <c r="Q2969" s="16">
        <f>IF(NOT(Paths!$C$276=1),0,IF(Paths!$P$276="Complete",N2969*(1+'Operating costs'!$B$54)^-C2969,"n.a."))</f>
        <v>0</v>
      </c>
      <c r="R2969" s="16">
        <f>IF(NOT(Paths!$C$276=1),0,IF(Paths!$P$276="Complete",IF(AND(C2969=0,Paths!$E$276=0),I2969-J2969-K2969+VLOOKUP(A2969,'Fleet register'!$A$7:$S$106,15,FALSE)+VLOOKUP(A2969,'Fleet register'!$A$7:$S$106,16,FALSE),0),"n.a."))</f>
        <v>0</v>
      </c>
      <c r="S2969" s="1">
        <f>IF(NOT(Paths!$C$276=1),0,IF(Paths!$P$276="Complete",IF(C2969=0,0,Paths!$S$276*Paths!$R$276),"n.a."))</f>
        <v>0</v>
      </c>
      <c r="T2969" s="1">
        <f>IF(NOT(Paths!$C$276=1),0,IF(Paths!$P$276="Complete",IF(C2969=0,0,VLOOKUP(A2969,'Fleet register'!$A$7:$S$106,9,FALSE)*Paths!$R$276),"n.a."))</f>
        <v>0</v>
      </c>
    </row>
    <row r="2970" spans="1:20" ht="24" customHeight="1">
      <c r="A2970" s="1" t="str">
        <f>Paths!$A$276</f>
        <v>T068</v>
      </c>
      <c r="B2970" s="1">
        <f>Paths!$B$276</f>
        <v>1</v>
      </c>
      <c r="C2970" s="1">
        <v>4</v>
      </c>
      <c r="D2970" s="1">
        <v>276</v>
      </c>
      <c r="E2970" s="1">
        <f>IF(OR(Paths!$C$276=0,C2970=0),0,MAX(0,MIN(C2970*12,Paths!$E$276)-(C2970-1)*12))</f>
        <v>0</v>
      </c>
      <c r="F2970" s="1">
        <f>IF(OR(Paths!$C$276=0,C2970=0),0,12-E2970)</f>
        <v>0</v>
      </c>
      <c r="G2970" s="16">
        <f>IF(NOT(Paths!$C$276=1),0,IF(Paths!$P$276="Complete",E2970/12*(Paths!$J$276*(1+'Operating costs'!$B$51)^MAX(0,C2970-1)+Paths!$K$276*(1+'Operating costs'!$B$53)^MAX(0,C2970-1)),"n.a."))</f>
        <v>0</v>
      </c>
      <c r="H2970" s="16">
        <f>IF(NOT(Paths!$C$276=1),0,IF(Paths!$P$276="Complete",F2970/12*(Paths!$L$276*(1+IF(Paths!$D$276="EV",'Operating costs'!$B$52,'Operating costs'!$B$51))^MAX(0,C2970-1)+Paths!$M$276*(1+'Operating costs'!$B$53)^MAX(0,C2970-1)),"n.a."))</f>
        <v>0</v>
      </c>
      <c r="I2970" s="16">
        <f>IF(NOT(Paths!$C$276=1),0,IF(Paths!$P$276="Complete",IF(IF(Paths!$E$276=0,C2970=0,AND(C2970&gt;0,Paths!$E$276&gt;(C2970-1)*12,Paths!$E$276&lt;=C2970*12)),Paths!$G$276,0),"n.a."))</f>
        <v>0</v>
      </c>
      <c r="J2970" s="16">
        <f>IF(NOT(Paths!$C$276=1),0,IF(Paths!$P$276="Complete",IF(IF(Paths!$E$276=0,C2970=0,AND(C2970&gt;0,Paths!$E$276&gt;(C2970-1)*12,Paths!$E$276&lt;=C2970*12)),Paths!$H$276,0),"n.a."))</f>
        <v>0</v>
      </c>
      <c r="K2970" s="16">
        <f>IF(NOT(Paths!$C$276=1),0,IF(Paths!$P$276="Complete",IF(IF(Paths!$O$276=0,C2970=0,AND(C2970&gt;0,Paths!$O$276&gt;(C2970-1)*12,Paths!$O$276&lt;=C2970*12)),Paths!$N$276,0),"n.a."))</f>
        <v>0</v>
      </c>
      <c r="L2970" s="16">
        <f>IF(NOT(Paths!$C$276=1),0,IF(Paths!$P$276="Complete",IF(C2970=10,Paths!$I$276,0),"n.a."))</f>
        <v>0</v>
      </c>
      <c r="M2970" s="16">
        <f>IF(NOT(Paths!$C$276=1),0,IF(Paths!$P$276="Complete",IF(AND(Paths!$D$276="EV",Paths!$E$276&lt;120,Paths!$E$276+'Operating costs'!$B$65&gt;Paths!$E$276,Paths!$E$276+'Operating costs'!$B$65&lt;=120,IF(Paths!$E$276+'Operating costs'!$B$65=0,C2970=0,AND(C2970&gt;0,Paths!$E$276+'Operating costs'!$B$65&gt;(C2970-1)*12,Paths!$E$276+'Operating costs'!$B$65&lt;=C2970*12))),'Operating costs'!$B$64,0)+IF(AND('Operating costs'!$B$67&gt;0,'Operating costs'!$B$67&lt;=120,OR(Paths!$D$276="ICE",'Operating costs'!$B$67&lt;=Paths!$E$276),IF('Operating costs'!$B$67=0,C2970=0,AND(C2970&gt;0,'Operating costs'!$B$67&gt;(C2970-1)*12,'Operating costs'!$B$67&lt;=C2970*12))),'Operating costs'!$B$66,0),"n.a."))</f>
        <v>0</v>
      </c>
      <c r="N2970" s="16">
        <f>IF(NOT(Paths!$C$276=1),0,IF(Paths!$P$276="Complete",SUM(G2970:I2970)-J2970-K2970-L2970+M2970+IF(C2970=0,Paths!$F$276,0)+IF(IF(Paths!$E$276=0,C2970=0,AND(C2970&gt;0,Paths!$E$276&gt;(C2970-1)*12,Paths!$E$276&lt;=C2970*12)),VLOOKUP(A2970,'Fleet register'!$A$7:$S$106,16,FALSE),0),"n.a."))</f>
        <v>0</v>
      </c>
      <c r="O2970" s="16">
        <f>IF(NOT(Paths!$C$276=1),0,IF(Paths!$P$276="Complete",N2970-IF(C2970=0,Paths!$F$276,0),"n.a."))</f>
        <v>0</v>
      </c>
      <c r="P2970" s="16">
        <f>IF(NOT(Paths!$C$276=1),0,IF(Paths!$P$276="Complete",O2970+L2970,"n.a."))</f>
        <v>0</v>
      </c>
      <c r="Q2970" s="16">
        <f>IF(NOT(Paths!$C$276=1),0,IF(Paths!$P$276="Complete",N2970*(1+'Operating costs'!$B$54)^-C2970,"n.a."))</f>
        <v>0</v>
      </c>
      <c r="R2970" s="16">
        <f>IF(NOT(Paths!$C$276=1),0,IF(Paths!$P$276="Complete",IF(AND(C2970=0,Paths!$E$276=0),I2970-J2970-K2970+VLOOKUP(A2970,'Fleet register'!$A$7:$S$106,15,FALSE)+VLOOKUP(A2970,'Fleet register'!$A$7:$S$106,16,FALSE),0),"n.a."))</f>
        <v>0</v>
      </c>
      <c r="S2970" s="1">
        <f>IF(NOT(Paths!$C$276=1),0,IF(Paths!$P$276="Complete",IF(C2970=0,0,Paths!$S$276*Paths!$R$276),"n.a."))</f>
        <v>0</v>
      </c>
      <c r="T2970" s="1">
        <f>IF(NOT(Paths!$C$276=1),0,IF(Paths!$P$276="Complete",IF(C2970=0,0,VLOOKUP(A2970,'Fleet register'!$A$7:$S$106,9,FALSE)*Paths!$R$276),"n.a."))</f>
        <v>0</v>
      </c>
    </row>
    <row r="2971" spans="1:20" ht="24" customHeight="1">
      <c r="A2971" s="1" t="str">
        <f>Paths!$A$276</f>
        <v>T068</v>
      </c>
      <c r="B2971" s="1">
        <f>Paths!$B$276</f>
        <v>1</v>
      </c>
      <c r="C2971" s="1">
        <v>5</v>
      </c>
      <c r="D2971" s="1">
        <v>276</v>
      </c>
      <c r="E2971" s="1">
        <f>IF(OR(Paths!$C$276=0,C2971=0),0,MAX(0,MIN(C2971*12,Paths!$E$276)-(C2971-1)*12))</f>
        <v>0</v>
      </c>
      <c r="F2971" s="1">
        <f>IF(OR(Paths!$C$276=0,C2971=0),0,12-E2971)</f>
        <v>0</v>
      </c>
      <c r="G2971" s="16">
        <f>IF(NOT(Paths!$C$276=1),0,IF(Paths!$P$276="Complete",E2971/12*(Paths!$J$276*(1+'Operating costs'!$B$51)^MAX(0,C2971-1)+Paths!$K$276*(1+'Operating costs'!$B$53)^MAX(0,C2971-1)),"n.a."))</f>
        <v>0</v>
      </c>
      <c r="H2971" s="16">
        <f>IF(NOT(Paths!$C$276=1),0,IF(Paths!$P$276="Complete",F2971/12*(Paths!$L$276*(1+IF(Paths!$D$276="EV",'Operating costs'!$B$52,'Operating costs'!$B$51))^MAX(0,C2971-1)+Paths!$M$276*(1+'Operating costs'!$B$53)^MAX(0,C2971-1)),"n.a."))</f>
        <v>0</v>
      </c>
      <c r="I2971" s="16">
        <f>IF(NOT(Paths!$C$276=1),0,IF(Paths!$P$276="Complete",IF(IF(Paths!$E$276=0,C2971=0,AND(C2971&gt;0,Paths!$E$276&gt;(C2971-1)*12,Paths!$E$276&lt;=C2971*12)),Paths!$G$276,0),"n.a."))</f>
        <v>0</v>
      </c>
      <c r="J2971" s="16">
        <f>IF(NOT(Paths!$C$276=1),0,IF(Paths!$P$276="Complete",IF(IF(Paths!$E$276=0,C2971=0,AND(C2971&gt;0,Paths!$E$276&gt;(C2971-1)*12,Paths!$E$276&lt;=C2971*12)),Paths!$H$276,0),"n.a."))</f>
        <v>0</v>
      </c>
      <c r="K2971" s="16">
        <f>IF(NOT(Paths!$C$276=1),0,IF(Paths!$P$276="Complete",IF(IF(Paths!$O$276=0,C2971=0,AND(C2971&gt;0,Paths!$O$276&gt;(C2971-1)*12,Paths!$O$276&lt;=C2971*12)),Paths!$N$276,0),"n.a."))</f>
        <v>0</v>
      </c>
      <c r="L2971" s="16">
        <f>IF(NOT(Paths!$C$276=1),0,IF(Paths!$P$276="Complete",IF(C2971=10,Paths!$I$276,0),"n.a."))</f>
        <v>0</v>
      </c>
      <c r="M2971" s="16">
        <f>IF(NOT(Paths!$C$276=1),0,IF(Paths!$P$276="Complete",IF(AND(Paths!$D$276="EV",Paths!$E$276&lt;120,Paths!$E$276+'Operating costs'!$B$65&gt;Paths!$E$276,Paths!$E$276+'Operating costs'!$B$65&lt;=120,IF(Paths!$E$276+'Operating costs'!$B$65=0,C2971=0,AND(C2971&gt;0,Paths!$E$276+'Operating costs'!$B$65&gt;(C2971-1)*12,Paths!$E$276+'Operating costs'!$B$65&lt;=C2971*12))),'Operating costs'!$B$64,0)+IF(AND('Operating costs'!$B$67&gt;0,'Operating costs'!$B$67&lt;=120,OR(Paths!$D$276="ICE",'Operating costs'!$B$67&lt;=Paths!$E$276),IF('Operating costs'!$B$67=0,C2971=0,AND(C2971&gt;0,'Operating costs'!$B$67&gt;(C2971-1)*12,'Operating costs'!$B$67&lt;=C2971*12))),'Operating costs'!$B$66,0),"n.a."))</f>
        <v>0</v>
      </c>
      <c r="N2971" s="16">
        <f>IF(NOT(Paths!$C$276=1),0,IF(Paths!$P$276="Complete",SUM(G2971:I2971)-J2971-K2971-L2971+M2971+IF(C2971=0,Paths!$F$276,0)+IF(IF(Paths!$E$276=0,C2971=0,AND(C2971&gt;0,Paths!$E$276&gt;(C2971-1)*12,Paths!$E$276&lt;=C2971*12)),VLOOKUP(A2971,'Fleet register'!$A$7:$S$106,16,FALSE),0),"n.a."))</f>
        <v>0</v>
      </c>
      <c r="O2971" s="16">
        <f>IF(NOT(Paths!$C$276=1),0,IF(Paths!$P$276="Complete",N2971-IF(C2971=0,Paths!$F$276,0),"n.a."))</f>
        <v>0</v>
      </c>
      <c r="P2971" s="16">
        <f>IF(NOT(Paths!$C$276=1),0,IF(Paths!$P$276="Complete",O2971+L2971,"n.a."))</f>
        <v>0</v>
      </c>
      <c r="Q2971" s="16">
        <f>IF(NOT(Paths!$C$276=1),0,IF(Paths!$P$276="Complete",N2971*(1+'Operating costs'!$B$54)^-C2971,"n.a."))</f>
        <v>0</v>
      </c>
      <c r="R2971" s="16">
        <f>IF(NOT(Paths!$C$276=1),0,IF(Paths!$P$276="Complete",IF(AND(C2971=0,Paths!$E$276=0),I2971-J2971-K2971+VLOOKUP(A2971,'Fleet register'!$A$7:$S$106,15,FALSE)+VLOOKUP(A2971,'Fleet register'!$A$7:$S$106,16,FALSE),0),"n.a."))</f>
        <v>0</v>
      </c>
      <c r="S2971" s="1">
        <f>IF(NOT(Paths!$C$276=1),0,IF(Paths!$P$276="Complete",IF(C2971=0,0,Paths!$S$276*Paths!$R$276),"n.a."))</f>
        <v>0</v>
      </c>
      <c r="T2971" s="1">
        <f>IF(NOT(Paths!$C$276=1),0,IF(Paths!$P$276="Complete",IF(C2971=0,0,VLOOKUP(A2971,'Fleet register'!$A$7:$S$106,9,FALSE)*Paths!$R$276),"n.a."))</f>
        <v>0</v>
      </c>
    </row>
    <row r="2972" spans="1:20" ht="24" customHeight="1">
      <c r="A2972" s="1" t="str">
        <f>Paths!$A$276</f>
        <v>T068</v>
      </c>
      <c r="B2972" s="1">
        <f>Paths!$B$276</f>
        <v>1</v>
      </c>
      <c r="C2972" s="1">
        <v>6</v>
      </c>
      <c r="D2972" s="1">
        <v>276</v>
      </c>
      <c r="E2972" s="1">
        <f>IF(OR(Paths!$C$276=0,C2972=0),0,MAX(0,MIN(C2972*12,Paths!$E$276)-(C2972-1)*12))</f>
        <v>0</v>
      </c>
      <c r="F2972" s="1">
        <f>IF(OR(Paths!$C$276=0,C2972=0),0,12-E2972)</f>
        <v>0</v>
      </c>
      <c r="G2972" s="16">
        <f>IF(NOT(Paths!$C$276=1),0,IF(Paths!$P$276="Complete",E2972/12*(Paths!$J$276*(1+'Operating costs'!$B$51)^MAX(0,C2972-1)+Paths!$K$276*(1+'Operating costs'!$B$53)^MAX(0,C2972-1)),"n.a."))</f>
        <v>0</v>
      </c>
      <c r="H2972" s="16">
        <f>IF(NOT(Paths!$C$276=1),0,IF(Paths!$P$276="Complete",F2972/12*(Paths!$L$276*(1+IF(Paths!$D$276="EV",'Operating costs'!$B$52,'Operating costs'!$B$51))^MAX(0,C2972-1)+Paths!$M$276*(1+'Operating costs'!$B$53)^MAX(0,C2972-1)),"n.a."))</f>
        <v>0</v>
      </c>
      <c r="I2972" s="16">
        <f>IF(NOT(Paths!$C$276=1),0,IF(Paths!$P$276="Complete",IF(IF(Paths!$E$276=0,C2972=0,AND(C2972&gt;0,Paths!$E$276&gt;(C2972-1)*12,Paths!$E$276&lt;=C2972*12)),Paths!$G$276,0),"n.a."))</f>
        <v>0</v>
      </c>
      <c r="J2972" s="16">
        <f>IF(NOT(Paths!$C$276=1),0,IF(Paths!$P$276="Complete",IF(IF(Paths!$E$276=0,C2972=0,AND(C2972&gt;0,Paths!$E$276&gt;(C2972-1)*12,Paths!$E$276&lt;=C2972*12)),Paths!$H$276,0),"n.a."))</f>
        <v>0</v>
      </c>
      <c r="K2972" s="16">
        <f>IF(NOT(Paths!$C$276=1),0,IF(Paths!$P$276="Complete",IF(IF(Paths!$O$276=0,C2972=0,AND(C2972&gt;0,Paths!$O$276&gt;(C2972-1)*12,Paths!$O$276&lt;=C2972*12)),Paths!$N$276,0),"n.a."))</f>
        <v>0</v>
      </c>
      <c r="L2972" s="16">
        <f>IF(NOT(Paths!$C$276=1),0,IF(Paths!$P$276="Complete",IF(C2972=10,Paths!$I$276,0),"n.a."))</f>
        <v>0</v>
      </c>
      <c r="M2972" s="16">
        <f>IF(NOT(Paths!$C$276=1),0,IF(Paths!$P$276="Complete",IF(AND(Paths!$D$276="EV",Paths!$E$276&lt;120,Paths!$E$276+'Operating costs'!$B$65&gt;Paths!$E$276,Paths!$E$276+'Operating costs'!$B$65&lt;=120,IF(Paths!$E$276+'Operating costs'!$B$65=0,C2972=0,AND(C2972&gt;0,Paths!$E$276+'Operating costs'!$B$65&gt;(C2972-1)*12,Paths!$E$276+'Operating costs'!$B$65&lt;=C2972*12))),'Operating costs'!$B$64,0)+IF(AND('Operating costs'!$B$67&gt;0,'Operating costs'!$B$67&lt;=120,OR(Paths!$D$276="ICE",'Operating costs'!$B$67&lt;=Paths!$E$276),IF('Operating costs'!$B$67=0,C2972=0,AND(C2972&gt;0,'Operating costs'!$B$67&gt;(C2972-1)*12,'Operating costs'!$B$67&lt;=C2972*12))),'Operating costs'!$B$66,0),"n.a."))</f>
        <v>0</v>
      </c>
      <c r="N2972" s="16">
        <f>IF(NOT(Paths!$C$276=1),0,IF(Paths!$P$276="Complete",SUM(G2972:I2972)-J2972-K2972-L2972+M2972+IF(C2972=0,Paths!$F$276,0)+IF(IF(Paths!$E$276=0,C2972=0,AND(C2972&gt;0,Paths!$E$276&gt;(C2972-1)*12,Paths!$E$276&lt;=C2972*12)),VLOOKUP(A2972,'Fleet register'!$A$7:$S$106,16,FALSE),0),"n.a."))</f>
        <v>0</v>
      </c>
      <c r="O2972" s="16">
        <f>IF(NOT(Paths!$C$276=1),0,IF(Paths!$P$276="Complete",N2972-IF(C2972=0,Paths!$F$276,0),"n.a."))</f>
        <v>0</v>
      </c>
      <c r="P2972" s="16">
        <f>IF(NOT(Paths!$C$276=1),0,IF(Paths!$P$276="Complete",O2972+L2972,"n.a."))</f>
        <v>0</v>
      </c>
      <c r="Q2972" s="16">
        <f>IF(NOT(Paths!$C$276=1),0,IF(Paths!$P$276="Complete",N2972*(1+'Operating costs'!$B$54)^-C2972,"n.a."))</f>
        <v>0</v>
      </c>
      <c r="R2972" s="16">
        <f>IF(NOT(Paths!$C$276=1),0,IF(Paths!$P$276="Complete",IF(AND(C2972=0,Paths!$E$276=0),I2972-J2972-K2972+VLOOKUP(A2972,'Fleet register'!$A$7:$S$106,15,FALSE)+VLOOKUP(A2972,'Fleet register'!$A$7:$S$106,16,FALSE),0),"n.a."))</f>
        <v>0</v>
      </c>
      <c r="S2972" s="1">
        <f>IF(NOT(Paths!$C$276=1),0,IF(Paths!$P$276="Complete",IF(C2972=0,0,Paths!$S$276*Paths!$R$276),"n.a."))</f>
        <v>0</v>
      </c>
      <c r="T2972" s="1">
        <f>IF(NOT(Paths!$C$276=1),0,IF(Paths!$P$276="Complete",IF(C2972=0,0,VLOOKUP(A2972,'Fleet register'!$A$7:$S$106,9,FALSE)*Paths!$R$276),"n.a."))</f>
        <v>0</v>
      </c>
    </row>
    <row r="2973" spans="1:20" ht="24" customHeight="1">
      <c r="A2973" s="1" t="str">
        <f>Paths!$A$276</f>
        <v>T068</v>
      </c>
      <c r="B2973" s="1">
        <f>Paths!$B$276</f>
        <v>1</v>
      </c>
      <c r="C2973" s="1">
        <v>7</v>
      </c>
      <c r="D2973" s="1">
        <v>276</v>
      </c>
      <c r="E2973" s="1">
        <f>IF(OR(Paths!$C$276=0,C2973=0),0,MAX(0,MIN(C2973*12,Paths!$E$276)-(C2973-1)*12))</f>
        <v>0</v>
      </c>
      <c r="F2973" s="1">
        <f>IF(OR(Paths!$C$276=0,C2973=0),0,12-E2973)</f>
        <v>0</v>
      </c>
      <c r="G2973" s="16">
        <f>IF(NOT(Paths!$C$276=1),0,IF(Paths!$P$276="Complete",E2973/12*(Paths!$J$276*(1+'Operating costs'!$B$51)^MAX(0,C2973-1)+Paths!$K$276*(1+'Operating costs'!$B$53)^MAX(0,C2973-1)),"n.a."))</f>
        <v>0</v>
      </c>
      <c r="H2973" s="16">
        <f>IF(NOT(Paths!$C$276=1),0,IF(Paths!$P$276="Complete",F2973/12*(Paths!$L$276*(1+IF(Paths!$D$276="EV",'Operating costs'!$B$52,'Operating costs'!$B$51))^MAX(0,C2973-1)+Paths!$M$276*(1+'Operating costs'!$B$53)^MAX(0,C2973-1)),"n.a."))</f>
        <v>0</v>
      </c>
      <c r="I2973" s="16">
        <f>IF(NOT(Paths!$C$276=1),0,IF(Paths!$P$276="Complete",IF(IF(Paths!$E$276=0,C2973=0,AND(C2973&gt;0,Paths!$E$276&gt;(C2973-1)*12,Paths!$E$276&lt;=C2973*12)),Paths!$G$276,0),"n.a."))</f>
        <v>0</v>
      </c>
      <c r="J2973" s="16">
        <f>IF(NOT(Paths!$C$276=1),0,IF(Paths!$P$276="Complete",IF(IF(Paths!$E$276=0,C2973=0,AND(C2973&gt;0,Paths!$E$276&gt;(C2973-1)*12,Paths!$E$276&lt;=C2973*12)),Paths!$H$276,0),"n.a."))</f>
        <v>0</v>
      </c>
      <c r="K2973" s="16">
        <f>IF(NOT(Paths!$C$276=1),0,IF(Paths!$P$276="Complete",IF(IF(Paths!$O$276=0,C2973=0,AND(C2973&gt;0,Paths!$O$276&gt;(C2973-1)*12,Paths!$O$276&lt;=C2973*12)),Paths!$N$276,0),"n.a."))</f>
        <v>0</v>
      </c>
      <c r="L2973" s="16">
        <f>IF(NOT(Paths!$C$276=1),0,IF(Paths!$P$276="Complete",IF(C2973=10,Paths!$I$276,0),"n.a."))</f>
        <v>0</v>
      </c>
      <c r="M2973" s="16">
        <f>IF(NOT(Paths!$C$276=1),0,IF(Paths!$P$276="Complete",IF(AND(Paths!$D$276="EV",Paths!$E$276&lt;120,Paths!$E$276+'Operating costs'!$B$65&gt;Paths!$E$276,Paths!$E$276+'Operating costs'!$B$65&lt;=120,IF(Paths!$E$276+'Operating costs'!$B$65=0,C2973=0,AND(C2973&gt;0,Paths!$E$276+'Operating costs'!$B$65&gt;(C2973-1)*12,Paths!$E$276+'Operating costs'!$B$65&lt;=C2973*12))),'Operating costs'!$B$64,0)+IF(AND('Operating costs'!$B$67&gt;0,'Operating costs'!$B$67&lt;=120,OR(Paths!$D$276="ICE",'Operating costs'!$B$67&lt;=Paths!$E$276),IF('Operating costs'!$B$67=0,C2973=0,AND(C2973&gt;0,'Operating costs'!$B$67&gt;(C2973-1)*12,'Operating costs'!$B$67&lt;=C2973*12))),'Operating costs'!$B$66,0),"n.a."))</f>
        <v>0</v>
      </c>
      <c r="N2973" s="16">
        <f>IF(NOT(Paths!$C$276=1),0,IF(Paths!$P$276="Complete",SUM(G2973:I2973)-J2973-K2973-L2973+M2973+IF(C2973=0,Paths!$F$276,0)+IF(IF(Paths!$E$276=0,C2973=0,AND(C2973&gt;0,Paths!$E$276&gt;(C2973-1)*12,Paths!$E$276&lt;=C2973*12)),VLOOKUP(A2973,'Fleet register'!$A$7:$S$106,16,FALSE),0),"n.a."))</f>
        <v>0</v>
      </c>
      <c r="O2973" s="16">
        <f>IF(NOT(Paths!$C$276=1),0,IF(Paths!$P$276="Complete",N2973-IF(C2973=0,Paths!$F$276,0),"n.a."))</f>
        <v>0</v>
      </c>
      <c r="P2973" s="16">
        <f>IF(NOT(Paths!$C$276=1),0,IF(Paths!$P$276="Complete",O2973+L2973,"n.a."))</f>
        <v>0</v>
      </c>
      <c r="Q2973" s="16">
        <f>IF(NOT(Paths!$C$276=1),0,IF(Paths!$P$276="Complete",N2973*(1+'Operating costs'!$B$54)^-C2973,"n.a."))</f>
        <v>0</v>
      </c>
      <c r="R2973" s="16">
        <f>IF(NOT(Paths!$C$276=1),0,IF(Paths!$P$276="Complete",IF(AND(C2973=0,Paths!$E$276=0),I2973-J2973-K2973+VLOOKUP(A2973,'Fleet register'!$A$7:$S$106,15,FALSE)+VLOOKUP(A2973,'Fleet register'!$A$7:$S$106,16,FALSE),0),"n.a."))</f>
        <v>0</v>
      </c>
      <c r="S2973" s="1">
        <f>IF(NOT(Paths!$C$276=1),0,IF(Paths!$P$276="Complete",IF(C2973=0,0,Paths!$S$276*Paths!$R$276),"n.a."))</f>
        <v>0</v>
      </c>
      <c r="T2973" s="1">
        <f>IF(NOT(Paths!$C$276=1),0,IF(Paths!$P$276="Complete",IF(C2973=0,0,VLOOKUP(A2973,'Fleet register'!$A$7:$S$106,9,FALSE)*Paths!$R$276),"n.a."))</f>
        <v>0</v>
      </c>
    </row>
    <row r="2974" spans="1:20" ht="24" customHeight="1">
      <c r="A2974" s="1" t="str">
        <f>Paths!$A$276</f>
        <v>T068</v>
      </c>
      <c r="B2974" s="1">
        <f>Paths!$B$276</f>
        <v>1</v>
      </c>
      <c r="C2974" s="1">
        <v>8</v>
      </c>
      <c r="D2974" s="1">
        <v>276</v>
      </c>
      <c r="E2974" s="1">
        <f>IF(OR(Paths!$C$276=0,C2974=0),0,MAX(0,MIN(C2974*12,Paths!$E$276)-(C2974-1)*12))</f>
        <v>0</v>
      </c>
      <c r="F2974" s="1">
        <f>IF(OR(Paths!$C$276=0,C2974=0),0,12-E2974)</f>
        <v>0</v>
      </c>
      <c r="G2974" s="16">
        <f>IF(NOT(Paths!$C$276=1),0,IF(Paths!$P$276="Complete",E2974/12*(Paths!$J$276*(1+'Operating costs'!$B$51)^MAX(0,C2974-1)+Paths!$K$276*(1+'Operating costs'!$B$53)^MAX(0,C2974-1)),"n.a."))</f>
        <v>0</v>
      </c>
      <c r="H2974" s="16">
        <f>IF(NOT(Paths!$C$276=1),0,IF(Paths!$P$276="Complete",F2974/12*(Paths!$L$276*(1+IF(Paths!$D$276="EV",'Operating costs'!$B$52,'Operating costs'!$B$51))^MAX(0,C2974-1)+Paths!$M$276*(1+'Operating costs'!$B$53)^MAX(0,C2974-1)),"n.a."))</f>
        <v>0</v>
      </c>
      <c r="I2974" s="16">
        <f>IF(NOT(Paths!$C$276=1),0,IF(Paths!$P$276="Complete",IF(IF(Paths!$E$276=0,C2974=0,AND(C2974&gt;0,Paths!$E$276&gt;(C2974-1)*12,Paths!$E$276&lt;=C2974*12)),Paths!$G$276,0),"n.a."))</f>
        <v>0</v>
      </c>
      <c r="J2974" s="16">
        <f>IF(NOT(Paths!$C$276=1),0,IF(Paths!$P$276="Complete",IF(IF(Paths!$E$276=0,C2974=0,AND(C2974&gt;0,Paths!$E$276&gt;(C2974-1)*12,Paths!$E$276&lt;=C2974*12)),Paths!$H$276,0),"n.a."))</f>
        <v>0</v>
      </c>
      <c r="K2974" s="16">
        <f>IF(NOT(Paths!$C$276=1),0,IF(Paths!$P$276="Complete",IF(IF(Paths!$O$276=0,C2974=0,AND(C2974&gt;0,Paths!$O$276&gt;(C2974-1)*12,Paths!$O$276&lt;=C2974*12)),Paths!$N$276,0),"n.a."))</f>
        <v>0</v>
      </c>
      <c r="L2974" s="16">
        <f>IF(NOT(Paths!$C$276=1),0,IF(Paths!$P$276="Complete",IF(C2974=10,Paths!$I$276,0),"n.a."))</f>
        <v>0</v>
      </c>
      <c r="M2974" s="16">
        <f>IF(NOT(Paths!$C$276=1),0,IF(Paths!$P$276="Complete",IF(AND(Paths!$D$276="EV",Paths!$E$276&lt;120,Paths!$E$276+'Operating costs'!$B$65&gt;Paths!$E$276,Paths!$E$276+'Operating costs'!$B$65&lt;=120,IF(Paths!$E$276+'Operating costs'!$B$65=0,C2974=0,AND(C2974&gt;0,Paths!$E$276+'Operating costs'!$B$65&gt;(C2974-1)*12,Paths!$E$276+'Operating costs'!$B$65&lt;=C2974*12))),'Operating costs'!$B$64,0)+IF(AND('Operating costs'!$B$67&gt;0,'Operating costs'!$B$67&lt;=120,OR(Paths!$D$276="ICE",'Operating costs'!$B$67&lt;=Paths!$E$276),IF('Operating costs'!$B$67=0,C2974=0,AND(C2974&gt;0,'Operating costs'!$B$67&gt;(C2974-1)*12,'Operating costs'!$B$67&lt;=C2974*12))),'Operating costs'!$B$66,0),"n.a."))</f>
        <v>0</v>
      </c>
      <c r="N2974" s="16">
        <f>IF(NOT(Paths!$C$276=1),0,IF(Paths!$P$276="Complete",SUM(G2974:I2974)-J2974-K2974-L2974+M2974+IF(C2974=0,Paths!$F$276,0)+IF(IF(Paths!$E$276=0,C2974=0,AND(C2974&gt;0,Paths!$E$276&gt;(C2974-1)*12,Paths!$E$276&lt;=C2974*12)),VLOOKUP(A2974,'Fleet register'!$A$7:$S$106,16,FALSE),0),"n.a."))</f>
        <v>0</v>
      </c>
      <c r="O2974" s="16">
        <f>IF(NOT(Paths!$C$276=1),0,IF(Paths!$P$276="Complete",N2974-IF(C2974=0,Paths!$F$276,0),"n.a."))</f>
        <v>0</v>
      </c>
      <c r="P2974" s="16">
        <f>IF(NOT(Paths!$C$276=1),0,IF(Paths!$P$276="Complete",O2974+L2974,"n.a."))</f>
        <v>0</v>
      </c>
      <c r="Q2974" s="16">
        <f>IF(NOT(Paths!$C$276=1),0,IF(Paths!$P$276="Complete",N2974*(1+'Operating costs'!$B$54)^-C2974,"n.a."))</f>
        <v>0</v>
      </c>
      <c r="R2974" s="16">
        <f>IF(NOT(Paths!$C$276=1),0,IF(Paths!$P$276="Complete",IF(AND(C2974=0,Paths!$E$276=0),I2974-J2974-K2974+VLOOKUP(A2974,'Fleet register'!$A$7:$S$106,15,FALSE)+VLOOKUP(A2974,'Fleet register'!$A$7:$S$106,16,FALSE),0),"n.a."))</f>
        <v>0</v>
      </c>
      <c r="S2974" s="1">
        <f>IF(NOT(Paths!$C$276=1),0,IF(Paths!$P$276="Complete",IF(C2974=0,0,Paths!$S$276*Paths!$R$276),"n.a."))</f>
        <v>0</v>
      </c>
      <c r="T2974" s="1">
        <f>IF(NOT(Paths!$C$276=1),0,IF(Paths!$P$276="Complete",IF(C2974=0,0,VLOOKUP(A2974,'Fleet register'!$A$7:$S$106,9,FALSE)*Paths!$R$276),"n.a."))</f>
        <v>0</v>
      </c>
    </row>
    <row r="2975" spans="1:20" ht="24" customHeight="1">
      <c r="A2975" s="1" t="str">
        <f>Paths!$A$276</f>
        <v>T068</v>
      </c>
      <c r="B2975" s="1">
        <f>Paths!$B$276</f>
        <v>1</v>
      </c>
      <c r="C2975" s="1">
        <v>9</v>
      </c>
      <c r="D2975" s="1">
        <v>276</v>
      </c>
      <c r="E2975" s="1">
        <f>IF(OR(Paths!$C$276=0,C2975=0),0,MAX(0,MIN(C2975*12,Paths!$E$276)-(C2975-1)*12))</f>
        <v>0</v>
      </c>
      <c r="F2975" s="1">
        <f>IF(OR(Paths!$C$276=0,C2975=0),0,12-E2975)</f>
        <v>0</v>
      </c>
      <c r="G2975" s="16">
        <f>IF(NOT(Paths!$C$276=1),0,IF(Paths!$P$276="Complete",E2975/12*(Paths!$J$276*(1+'Operating costs'!$B$51)^MAX(0,C2975-1)+Paths!$K$276*(1+'Operating costs'!$B$53)^MAX(0,C2975-1)),"n.a."))</f>
        <v>0</v>
      </c>
      <c r="H2975" s="16">
        <f>IF(NOT(Paths!$C$276=1),0,IF(Paths!$P$276="Complete",F2975/12*(Paths!$L$276*(1+IF(Paths!$D$276="EV",'Operating costs'!$B$52,'Operating costs'!$B$51))^MAX(0,C2975-1)+Paths!$M$276*(1+'Operating costs'!$B$53)^MAX(0,C2975-1)),"n.a."))</f>
        <v>0</v>
      </c>
      <c r="I2975" s="16">
        <f>IF(NOT(Paths!$C$276=1),0,IF(Paths!$P$276="Complete",IF(IF(Paths!$E$276=0,C2975=0,AND(C2975&gt;0,Paths!$E$276&gt;(C2975-1)*12,Paths!$E$276&lt;=C2975*12)),Paths!$G$276,0),"n.a."))</f>
        <v>0</v>
      </c>
      <c r="J2975" s="16">
        <f>IF(NOT(Paths!$C$276=1),0,IF(Paths!$P$276="Complete",IF(IF(Paths!$E$276=0,C2975=0,AND(C2975&gt;0,Paths!$E$276&gt;(C2975-1)*12,Paths!$E$276&lt;=C2975*12)),Paths!$H$276,0),"n.a."))</f>
        <v>0</v>
      </c>
      <c r="K2975" s="16">
        <f>IF(NOT(Paths!$C$276=1),0,IF(Paths!$P$276="Complete",IF(IF(Paths!$O$276=0,C2975=0,AND(C2975&gt;0,Paths!$O$276&gt;(C2975-1)*12,Paths!$O$276&lt;=C2975*12)),Paths!$N$276,0),"n.a."))</f>
        <v>0</v>
      </c>
      <c r="L2975" s="16">
        <f>IF(NOT(Paths!$C$276=1),0,IF(Paths!$P$276="Complete",IF(C2975=10,Paths!$I$276,0),"n.a."))</f>
        <v>0</v>
      </c>
      <c r="M2975" s="16">
        <f>IF(NOT(Paths!$C$276=1),0,IF(Paths!$P$276="Complete",IF(AND(Paths!$D$276="EV",Paths!$E$276&lt;120,Paths!$E$276+'Operating costs'!$B$65&gt;Paths!$E$276,Paths!$E$276+'Operating costs'!$B$65&lt;=120,IF(Paths!$E$276+'Operating costs'!$B$65=0,C2975=0,AND(C2975&gt;0,Paths!$E$276+'Operating costs'!$B$65&gt;(C2975-1)*12,Paths!$E$276+'Operating costs'!$B$65&lt;=C2975*12))),'Operating costs'!$B$64,0)+IF(AND('Operating costs'!$B$67&gt;0,'Operating costs'!$B$67&lt;=120,OR(Paths!$D$276="ICE",'Operating costs'!$B$67&lt;=Paths!$E$276),IF('Operating costs'!$B$67=0,C2975=0,AND(C2975&gt;0,'Operating costs'!$B$67&gt;(C2975-1)*12,'Operating costs'!$B$67&lt;=C2975*12))),'Operating costs'!$B$66,0),"n.a."))</f>
        <v>0</v>
      </c>
      <c r="N2975" s="16">
        <f>IF(NOT(Paths!$C$276=1),0,IF(Paths!$P$276="Complete",SUM(G2975:I2975)-J2975-K2975-L2975+M2975+IF(C2975=0,Paths!$F$276,0)+IF(IF(Paths!$E$276=0,C2975=0,AND(C2975&gt;0,Paths!$E$276&gt;(C2975-1)*12,Paths!$E$276&lt;=C2975*12)),VLOOKUP(A2975,'Fleet register'!$A$7:$S$106,16,FALSE),0),"n.a."))</f>
        <v>0</v>
      </c>
      <c r="O2975" s="16">
        <f>IF(NOT(Paths!$C$276=1),0,IF(Paths!$P$276="Complete",N2975-IF(C2975=0,Paths!$F$276,0),"n.a."))</f>
        <v>0</v>
      </c>
      <c r="P2975" s="16">
        <f>IF(NOT(Paths!$C$276=1),0,IF(Paths!$P$276="Complete",O2975+L2975,"n.a."))</f>
        <v>0</v>
      </c>
      <c r="Q2975" s="16">
        <f>IF(NOT(Paths!$C$276=1),0,IF(Paths!$P$276="Complete",N2975*(1+'Operating costs'!$B$54)^-C2975,"n.a."))</f>
        <v>0</v>
      </c>
      <c r="R2975" s="16">
        <f>IF(NOT(Paths!$C$276=1),0,IF(Paths!$P$276="Complete",IF(AND(C2975=0,Paths!$E$276=0),I2975-J2975-K2975+VLOOKUP(A2975,'Fleet register'!$A$7:$S$106,15,FALSE)+VLOOKUP(A2975,'Fleet register'!$A$7:$S$106,16,FALSE),0),"n.a."))</f>
        <v>0</v>
      </c>
      <c r="S2975" s="1">
        <f>IF(NOT(Paths!$C$276=1),0,IF(Paths!$P$276="Complete",IF(C2975=0,0,Paths!$S$276*Paths!$R$276),"n.a."))</f>
        <v>0</v>
      </c>
      <c r="T2975" s="1">
        <f>IF(NOT(Paths!$C$276=1),0,IF(Paths!$P$276="Complete",IF(C2975=0,0,VLOOKUP(A2975,'Fleet register'!$A$7:$S$106,9,FALSE)*Paths!$R$276),"n.a."))</f>
        <v>0</v>
      </c>
    </row>
    <row r="2976" spans="1:20" ht="24" customHeight="1">
      <c r="A2976" s="1" t="str">
        <f>Paths!$A$276</f>
        <v>T068</v>
      </c>
      <c r="B2976" s="1">
        <f>Paths!$B$276</f>
        <v>1</v>
      </c>
      <c r="C2976" s="1">
        <v>10</v>
      </c>
      <c r="D2976" s="1">
        <v>276</v>
      </c>
      <c r="E2976" s="1">
        <f>IF(OR(Paths!$C$276=0,C2976=0),0,MAX(0,MIN(C2976*12,Paths!$E$276)-(C2976-1)*12))</f>
        <v>0</v>
      </c>
      <c r="F2976" s="1">
        <f>IF(OR(Paths!$C$276=0,C2976=0),0,12-E2976)</f>
        <v>0</v>
      </c>
      <c r="G2976" s="16">
        <f>IF(NOT(Paths!$C$276=1),0,IF(Paths!$P$276="Complete",E2976/12*(Paths!$J$276*(1+'Operating costs'!$B$51)^MAX(0,C2976-1)+Paths!$K$276*(1+'Operating costs'!$B$53)^MAX(0,C2976-1)),"n.a."))</f>
        <v>0</v>
      </c>
      <c r="H2976" s="16">
        <f>IF(NOT(Paths!$C$276=1),0,IF(Paths!$P$276="Complete",F2976/12*(Paths!$L$276*(1+IF(Paths!$D$276="EV",'Operating costs'!$B$52,'Operating costs'!$B$51))^MAX(0,C2976-1)+Paths!$M$276*(1+'Operating costs'!$B$53)^MAX(0,C2976-1)),"n.a."))</f>
        <v>0</v>
      </c>
      <c r="I2976" s="16">
        <f>IF(NOT(Paths!$C$276=1),0,IF(Paths!$P$276="Complete",IF(IF(Paths!$E$276=0,C2976=0,AND(C2976&gt;0,Paths!$E$276&gt;(C2976-1)*12,Paths!$E$276&lt;=C2976*12)),Paths!$G$276,0),"n.a."))</f>
        <v>0</v>
      </c>
      <c r="J2976" s="16">
        <f>IF(NOT(Paths!$C$276=1),0,IF(Paths!$P$276="Complete",IF(IF(Paths!$E$276=0,C2976=0,AND(C2976&gt;0,Paths!$E$276&gt;(C2976-1)*12,Paths!$E$276&lt;=C2976*12)),Paths!$H$276,0),"n.a."))</f>
        <v>0</v>
      </c>
      <c r="K2976" s="16">
        <f>IF(NOT(Paths!$C$276=1),0,IF(Paths!$P$276="Complete",IF(IF(Paths!$O$276=0,C2976=0,AND(C2976&gt;0,Paths!$O$276&gt;(C2976-1)*12,Paths!$O$276&lt;=C2976*12)),Paths!$N$276,0),"n.a."))</f>
        <v>0</v>
      </c>
      <c r="L2976" s="16">
        <f>IF(NOT(Paths!$C$276=1),0,IF(Paths!$P$276="Complete",IF(C2976=10,Paths!$I$276,0),"n.a."))</f>
        <v>0</v>
      </c>
      <c r="M2976" s="16">
        <f>IF(NOT(Paths!$C$276=1),0,IF(Paths!$P$276="Complete",IF(AND(Paths!$D$276="EV",Paths!$E$276&lt;120,Paths!$E$276+'Operating costs'!$B$65&gt;Paths!$E$276,Paths!$E$276+'Operating costs'!$B$65&lt;=120,IF(Paths!$E$276+'Operating costs'!$B$65=0,C2976=0,AND(C2976&gt;0,Paths!$E$276+'Operating costs'!$B$65&gt;(C2976-1)*12,Paths!$E$276+'Operating costs'!$B$65&lt;=C2976*12))),'Operating costs'!$B$64,0)+IF(AND('Operating costs'!$B$67&gt;0,'Operating costs'!$B$67&lt;=120,OR(Paths!$D$276="ICE",'Operating costs'!$B$67&lt;=Paths!$E$276),IF('Operating costs'!$B$67=0,C2976=0,AND(C2976&gt;0,'Operating costs'!$B$67&gt;(C2976-1)*12,'Operating costs'!$B$67&lt;=C2976*12))),'Operating costs'!$B$66,0),"n.a."))</f>
        <v>0</v>
      </c>
      <c r="N2976" s="16">
        <f>IF(NOT(Paths!$C$276=1),0,IF(Paths!$P$276="Complete",SUM(G2976:I2976)-J2976-K2976-L2976+M2976+IF(C2976=0,Paths!$F$276,0)+IF(IF(Paths!$E$276=0,C2976=0,AND(C2976&gt;0,Paths!$E$276&gt;(C2976-1)*12,Paths!$E$276&lt;=C2976*12)),VLOOKUP(A2976,'Fleet register'!$A$7:$S$106,16,FALSE),0),"n.a."))</f>
        <v>0</v>
      </c>
      <c r="O2976" s="16">
        <f>IF(NOT(Paths!$C$276=1),0,IF(Paths!$P$276="Complete",N2976-IF(C2976=0,Paths!$F$276,0),"n.a."))</f>
        <v>0</v>
      </c>
      <c r="P2976" s="16">
        <f>IF(NOT(Paths!$C$276=1),0,IF(Paths!$P$276="Complete",O2976+L2976,"n.a."))</f>
        <v>0</v>
      </c>
      <c r="Q2976" s="16">
        <f>IF(NOT(Paths!$C$276=1),0,IF(Paths!$P$276="Complete",N2976*(1+'Operating costs'!$B$54)^-C2976,"n.a."))</f>
        <v>0</v>
      </c>
      <c r="R2976" s="16">
        <f>IF(NOT(Paths!$C$276=1),0,IF(Paths!$P$276="Complete",IF(AND(C2976=0,Paths!$E$276=0),I2976-J2976-K2976+VLOOKUP(A2976,'Fleet register'!$A$7:$S$106,15,FALSE)+VLOOKUP(A2976,'Fleet register'!$A$7:$S$106,16,FALSE),0),"n.a."))</f>
        <v>0</v>
      </c>
      <c r="S2976" s="1">
        <f>IF(NOT(Paths!$C$276=1),0,IF(Paths!$P$276="Complete",IF(C2976=0,0,Paths!$S$276*Paths!$R$276),"n.a."))</f>
        <v>0</v>
      </c>
      <c r="T2976" s="1">
        <f>IF(NOT(Paths!$C$276=1),0,IF(Paths!$P$276="Complete",IF(C2976=0,0,VLOOKUP(A2976,'Fleet register'!$A$7:$S$106,9,FALSE)*Paths!$R$276),"n.a."))</f>
        <v>0</v>
      </c>
    </row>
    <row r="2977" spans="1:20" ht="24" customHeight="1">
      <c r="A2977" s="1" t="str">
        <f>Paths!$A$277</f>
        <v>T068</v>
      </c>
      <c r="B2977" s="1">
        <f>Paths!$B$277</f>
        <v>2</v>
      </c>
      <c r="C2977" s="1">
        <v>0</v>
      </c>
      <c r="D2977" s="1">
        <v>277</v>
      </c>
      <c r="E2977" s="1">
        <f>IF(OR(Paths!$C$277=0,C2977=0),0,MAX(0,MIN(C2977*12,Paths!$E$277)-(C2977-1)*12))</f>
        <v>0</v>
      </c>
      <c r="F2977" s="1">
        <f>IF(OR(Paths!$C$277=0,C2977=0),0,12-E2977)</f>
        <v>0</v>
      </c>
      <c r="G2977" s="16">
        <f>IF(NOT(Paths!$C$277=1),0,IF(Paths!$P$277="Complete",E2977/12*(Paths!$J$277*(1+'Operating costs'!$B$51)^MAX(0,C2977-1)+Paths!$K$277*(1+'Operating costs'!$B$53)^MAX(0,C2977-1)),"n.a."))</f>
        <v>0</v>
      </c>
      <c r="H2977" s="16">
        <f>IF(NOT(Paths!$C$277=1),0,IF(Paths!$P$277="Complete",F2977/12*(Paths!$L$277*(1+IF(Paths!$D$277="EV",'Operating costs'!$B$52,'Operating costs'!$B$51))^MAX(0,C2977-1)+Paths!$M$277*(1+'Operating costs'!$B$53)^MAX(0,C2977-1)),"n.a."))</f>
        <v>0</v>
      </c>
      <c r="I2977" s="16">
        <f>IF(NOT(Paths!$C$277=1),0,IF(Paths!$P$277="Complete",IF(IF(Paths!$E$277=0,C2977=0,AND(C2977&gt;0,Paths!$E$277&gt;(C2977-1)*12,Paths!$E$277&lt;=C2977*12)),Paths!$G$277,0),"n.a."))</f>
        <v>0</v>
      </c>
      <c r="J2977" s="16">
        <f>IF(NOT(Paths!$C$277=1),0,IF(Paths!$P$277="Complete",IF(IF(Paths!$E$277=0,C2977=0,AND(C2977&gt;0,Paths!$E$277&gt;(C2977-1)*12,Paths!$E$277&lt;=C2977*12)),Paths!$H$277,0),"n.a."))</f>
        <v>0</v>
      </c>
      <c r="K2977" s="16">
        <f>IF(NOT(Paths!$C$277=1),0,IF(Paths!$P$277="Complete",IF(IF(Paths!$O$277=0,C2977=0,AND(C2977&gt;0,Paths!$O$277&gt;(C2977-1)*12,Paths!$O$277&lt;=C2977*12)),Paths!$N$277,0),"n.a."))</f>
        <v>0</v>
      </c>
      <c r="L2977" s="16">
        <f>IF(NOT(Paths!$C$277=1),0,IF(Paths!$P$277="Complete",IF(C2977=10,Paths!$I$277,0),"n.a."))</f>
        <v>0</v>
      </c>
      <c r="M2977" s="16">
        <f>IF(NOT(Paths!$C$277=1),0,IF(Paths!$P$277="Complete",IF(AND(Paths!$D$277="EV",Paths!$E$277&lt;120,Paths!$E$277+'Operating costs'!$B$65&gt;Paths!$E$277,Paths!$E$277+'Operating costs'!$B$65&lt;=120,IF(Paths!$E$277+'Operating costs'!$B$65=0,C2977=0,AND(C2977&gt;0,Paths!$E$277+'Operating costs'!$B$65&gt;(C2977-1)*12,Paths!$E$277+'Operating costs'!$B$65&lt;=C2977*12))),'Operating costs'!$B$64,0)+IF(AND('Operating costs'!$B$67&gt;0,'Operating costs'!$B$67&lt;=120,OR(Paths!$D$277="ICE",'Operating costs'!$B$67&lt;=Paths!$E$277),IF('Operating costs'!$B$67=0,C2977=0,AND(C2977&gt;0,'Operating costs'!$B$67&gt;(C2977-1)*12,'Operating costs'!$B$67&lt;=C2977*12))),'Operating costs'!$B$66,0),"n.a."))</f>
        <v>0</v>
      </c>
      <c r="N2977" s="16">
        <f>IF(NOT(Paths!$C$277=1),0,IF(Paths!$P$277="Complete",SUM(G2977:I2977)-J2977-K2977-L2977+M2977+IF(C2977=0,Paths!$F$277,0)+IF(IF(Paths!$E$277=0,C2977=0,AND(C2977&gt;0,Paths!$E$277&gt;(C2977-1)*12,Paths!$E$277&lt;=C2977*12)),VLOOKUP(A2977,'Fleet register'!$A$7:$S$106,16,FALSE),0),"n.a."))</f>
        <v>0</v>
      </c>
      <c r="O2977" s="16">
        <f>IF(NOT(Paths!$C$277=1),0,IF(Paths!$P$277="Complete",N2977-IF(C2977=0,Paths!$F$277,0),"n.a."))</f>
        <v>0</v>
      </c>
      <c r="P2977" s="16">
        <f>IF(NOT(Paths!$C$277=1),0,IF(Paths!$P$277="Complete",O2977+L2977,"n.a."))</f>
        <v>0</v>
      </c>
      <c r="Q2977" s="16">
        <f>IF(NOT(Paths!$C$277=1),0,IF(Paths!$P$277="Complete",N2977*(1+'Operating costs'!$B$54)^-C2977,"n.a."))</f>
        <v>0</v>
      </c>
      <c r="R2977" s="16">
        <f>IF(NOT(Paths!$C$277=1),0,IF(Paths!$P$277="Complete",IF(AND(C2977=0,Paths!$E$277=0),I2977-J2977-K2977+VLOOKUP(A2977,'Fleet register'!$A$7:$S$106,15,FALSE)+VLOOKUP(A2977,'Fleet register'!$A$7:$S$106,16,FALSE),0),"n.a."))</f>
        <v>0</v>
      </c>
      <c r="S2977" s="1">
        <f>IF(NOT(Paths!$C$277=1),0,IF(Paths!$P$277="Complete",IF(C2977=0,0,Paths!$S$277*Paths!$R$277),"n.a."))</f>
        <v>0</v>
      </c>
      <c r="T2977" s="1">
        <f>IF(NOT(Paths!$C$277=1),0,IF(Paths!$P$277="Complete",IF(C2977=0,0,VLOOKUP(A2977,'Fleet register'!$A$7:$S$106,9,FALSE)*Paths!$R$277),"n.a."))</f>
        <v>0</v>
      </c>
    </row>
    <row r="2978" spans="1:20" ht="24" customHeight="1">
      <c r="A2978" s="1" t="str">
        <f>Paths!$A$277</f>
        <v>T068</v>
      </c>
      <c r="B2978" s="1">
        <f>Paths!$B$277</f>
        <v>2</v>
      </c>
      <c r="C2978" s="1">
        <v>1</v>
      </c>
      <c r="D2978" s="1">
        <v>277</v>
      </c>
      <c r="E2978" s="1">
        <f>IF(OR(Paths!$C$277=0,C2978=0),0,MAX(0,MIN(C2978*12,Paths!$E$277)-(C2978-1)*12))</f>
        <v>0</v>
      </c>
      <c r="F2978" s="1">
        <f>IF(OR(Paths!$C$277=0,C2978=0),0,12-E2978)</f>
        <v>0</v>
      </c>
      <c r="G2978" s="16">
        <f>IF(NOT(Paths!$C$277=1),0,IF(Paths!$P$277="Complete",E2978/12*(Paths!$J$277*(1+'Operating costs'!$B$51)^MAX(0,C2978-1)+Paths!$K$277*(1+'Operating costs'!$B$53)^MAX(0,C2978-1)),"n.a."))</f>
        <v>0</v>
      </c>
      <c r="H2978" s="16">
        <f>IF(NOT(Paths!$C$277=1),0,IF(Paths!$P$277="Complete",F2978/12*(Paths!$L$277*(1+IF(Paths!$D$277="EV",'Operating costs'!$B$52,'Operating costs'!$B$51))^MAX(0,C2978-1)+Paths!$M$277*(1+'Operating costs'!$B$53)^MAX(0,C2978-1)),"n.a."))</f>
        <v>0</v>
      </c>
      <c r="I2978" s="16">
        <f>IF(NOT(Paths!$C$277=1),0,IF(Paths!$P$277="Complete",IF(IF(Paths!$E$277=0,C2978=0,AND(C2978&gt;0,Paths!$E$277&gt;(C2978-1)*12,Paths!$E$277&lt;=C2978*12)),Paths!$G$277,0),"n.a."))</f>
        <v>0</v>
      </c>
      <c r="J2978" s="16">
        <f>IF(NOT(Paths!$C$277=1),0,IF(Paths!$P$277="Complete",IF(IF(Paths!$E$277=0,C2978=0,AND(C2978&gt;0,Paths!$E$277&gt;(C2978-1)*12,Paths!$E$277&lt;=C2978*12)),Paths!$H$277,0),"n.a."))</f>
        <v>0</v>
      </c>
      <c r="K2978" s="16">
        <f>IF(NOT(Paths!$C$277=1),0,IF(Paths!$P$277="Complete",IF(IF(Paths!$O$277=0,C2978=0,AND(C2978&gt;0,Paths!$O$277&gt;(C2978-1)*12,Paths!$O$277&lt;=C2978*12)),Paths!$N$277,0),"n.a."))</f>
        <v>0</v>
      </c>
      <c r="L2978" s="16">
        <f>IF(NOT(Paths!$C$277=1),0,IF(Paths!$P$277="Complete",IF(C2978=10,Paths!$I$277,0),"n.a."))</f>
        <v>0</v>
      </c>
      <c r="M2978" s="16">
        <f>IF(NOT(Paths!$C$277=1),0,IF(Paths!$P$277="Complete",IF(AND(Paths!$D$277="EV",Paths!$E$277&lt;120,Paths!$E$277+'Operating costs'!$B$65&gt;Paths!$E$277,Paths!$E$277+'Operating costs'!$B$65&lt;=120,IF(Paths!$E$277+'Operating costs'!$B$65=0,C2978=0,AND(C2978&gt;0,Paths!$E$277+'Operating costs'!$B$65&gt;(C2978-1)*12,Paths!$E$277+'Operating costs'!$B$65&lt;=C2978*12))),'Operating costs'!$B$64,0)+IF(AND('Operating costs'!$B$67&gt;0,'Operating costs'!$B$67&lt;=120,OR(Paths!$D$277="ICE",'Operating costs'!$B$67&lt;=Paths!$E$277),IF('Operating costs'!$B$67=0,C2978=0,AND(C2978&gt;0,'Operating costs'!$B$67&gt;(C2978-1)*12,'Operating costs'!$B$67&lt;=C2978*12))),'Operating costs'!$B$66,0),"n.a."))</f>
        <v>0</v>
      </c>
      <c r="N2978" s="16">
        <f>IF(NOT(Paths!$C$277=1),0,IF(Paths!$P$277="Complete",SUM(G2978:I2978)-J2978-K2978-L2978+M2978+IF(C2978=0,Paths!$F$277,0)+IF(IF(Paths!$E$277=0,C2978=0,AND(C2978&gt;0,Paths!$E$277&gt;(C2978-1)*12,Paths!$E$277&lt;=C2978*12)),VLOOKUP(A2978,'Fleet register'!$A$7:$S$106,16,FALSE),0),"n.a."))</f>
        <v>0</v>
      </c>
      <c r="O2978" s="16">
        <f>IF(NOT(Paths!$C$277=1),0,IF(Paths!$P$277="Complete",N2978-IF(C2978=0,Paths!$F$277,0),"n.a."))</f>
        <v>0</v>
      </c>
      <c r="P2978" s="16">
        <f>IF(NOT(Paths!$C$277=1),0,IF(Paths!$P$277="Complete",O2978+L2978,"n.a."))</f>
        <v>0</v>
      </c>
      <c r="Q2978" s="16">
        <f>IF(NOT(Paths!$C$277=1),0,IF(Paths!$P$277="Complete",N2978*(1+'Operating costs'!$B$54)^-C2978,"n.a."))</f>
        <v>0</v>
      </c>
      <c r="R2978" s="16">
        <f>IF(NOT(Paths!$C$277=1),0,IF(Paths!$P$277="Complete",IF(AND(C2978=0,Paths!$E$277=0),I2978-J2978-K2978+VLOOKUP(A2978,'Fleet register'!$A$7:$S$106,15,FALSE)+VLOOKUP(A2978,'Fleet register'!$A$7:$S$106,16,FALSE),0),"n.a."))</f>
        <v>0</v>
      </c>
      <c r="S2978" s="1">
        <f>IF(NOT(Paths!$C$277=1),0,IF(Paths!$P$277="Complete",IF(C2978=0,0,Paths!$S$277*Paths!$R$277),"n.a."))</f>
        <v>0</v>
      </c>
      <c r="T2978" s="1">
        <f>IF(NOT(Paths!$C$277=1),0,IF(Paths!$P$277="Complete",IF(C2978=0,0,VLOOKUP(A2978,'Fleet register'!$A$7:$S$106,9,FALSE)*Paths!$R$277),"n.a."))</f>
        <v>0</v>
      </c>
    </row>
    <row r="2979" spans="1:20" ht="24" customHeight="1">
      <c r="A2979" s="1" t="str">
        <f>Paths!$A$277</f>
        <v>T068</v>
      </c>
      <c r="B2979" s="1">
        <f>Paths!$B$277</f>
        <v>2</v>
      </c>
      <c r="C2979" s="1">
        <v>2</v>
      </c>
      <c r="D2979" s="1">
        <v>277</v>
      </c>
      <c r="E2979" s="1">
        <f>IF(OR(Paths!$C$277=0,C2979=0),0,MAX(0,MIN(C2979*12,Paths!$E$277)-(C2979-1)*12))</f>
        <v>0</v>
      </c>
      <c r="F2979" s="1">
        <f>IF(OR(Paths!$C$277=0,C2979=0),0,12-E2979)</f>
        <v>0</v>
      </c>
      <c r="G2979" s="16">
        <f>IF(NOT(Paths!$C$277=1),0,IF(Paths!$P$277="Complete",E2979/12*(Paths!$J$277*(1+'Operating costs'!$B$51)^MAX(0,C2979-1)+Paths!$K$277*(1+'Operating costs'!$B$53)^MAX(0,C2979-1)),"n.a."))</f>
        <v>0</v>
      </c>
      <c r="H2979" s="16">
        <f>IF(NOT(Paths!$C$277=1),0,IF(Paths!$P$277="Complete",F2979/12*(Paths!$L$277*(1+IF(Paths!$D$277="EV",'Operating costs'!$B$52,'Operating costs'!$B$51))^MAX(0,C2979-1)+Paths!$M$277*(1+'Operating costs'!$B$53)^MAX(0,C2979-1)),"n.a."))</f>
        <v>0</v>
      </c>
      <c r="I2979" s="16">
        <f>IF(NOT(Paths!$C$277=1),0,IF(Paths!$P$277="Complete",IF(IF(Paths!$E$277=0,C2979=0,AND(C2979&gt;0,Paths!$E$277&gt;(C2979-1)*12,Paths!$E$277&lt;=C2979*12)),Paths!$G$277,0),"n.a."))</f>
        <v>0</v>
      </c>
      <c r="J2979" s="16">
        <f>IF(NOT(Paths!$C$277=1),0,IF(Paths!$P$277="Complete",IF(IF(Paths!$E$277=0,C2979=0,AND(C2979&gt;0,Paths!$E$277&gt;(C2979-1)*12,Paths!$E$277&lt;=C2979*12)),Paths!$H$277,0),"n.a."))</f>
        <v>0</v>
      </c>
      <c r="K2979" s="16">
        <f>IF(NOT(Paths!$C$277=1),0,IF(Paths!$P$277="Complete",IF(IF(Paths!$O$277=0,C2979=0,AND(C2979&gt;0,Paths!$O$277&gt;(C2979-1)*12,Paths!$O$277&lt;=C2979*12)),Paths!$N$277,0),"n.a."))</f>
        <v>0</v>
      </c>
      <c r="L2979" s="16">
        <f>IF(NOT(Paths!$C$277=1),0,IF(Paths!$P$277="Complete",IF(C2979=10,Paths!$I$277,0),"n.a."))</f>
        <v>0</v>
      </c>
      <c r="M2979" s="16">
        <f>IF(NOT(Paths!$C$277=1),0,IF(Paths!$P$277="Complete",IF(AND(Paths!$D$277="EV",Paths!$E$277&lt;120,Paths!$E$277+'Operating costs'!$B$65&gt;Paths!$E$277,Paths!$E$277+'Operating costs'!$B$65&lt;=120,IF(Paths!$E$277+'Operating costs'!$B$65=0,C2979=0,AND(C2979&gt;0,Paths!$E$277+'Operating costs'!$B$65&gt;(C2979-1)*12,Paths!$E$277+'Operating costs'!$B$65&lt;=C2979*12))),'Operating costs'!$B$64,0)+IF(AND('Operating costs'!$B$67&gt;0,'Operating costs'!$B$67&lt;=120,OR(Paths!$D$277="ICE",'Operating costs'!$B$67&lt;=Paths!$E$277),IF('Operating costs'!$B$67=0,C2979=0,AND(C2979&gt;0,'Operating costs'!$B$67&gt;(C2979-1)*12,'Operating costs'!$B$67&lt;=C2979*12))),'Operating costs'!$B$66,0),"n.a."))</f>
        <v>0</v>
      </c>
      <c r="N2979" s="16">
        <f>IF(NOT(Paths!$C$277=1),0,IF(Paths!$P$277="Complete",SUM(G2979:I2979)-J2979-K2979-L2979+M2979+IF(C2979=0,Paths!$F$277,0)+IF(IF(Paths!$E$277=0,C2979=0,AND(C2979&gt;0,Paths!$E$277&gt;(C2979-1)*12,Paths!$E$277&lt;=C2979*12)),VLOOKUP(A2979,'Fleet register'!$A$7:$S$106,16,FALSE),0),"n.a."))</f>
        <v>0</v>
      </c>
      <c r="O2979" s="16">
        <f>IF(NOT(Paths!$C$277=1),0,IF(Paths!$P$277="Complete",N2979-IF(C2979=0,Paths!$F$277,0),"n.a."))</f>
        <v>0</v>
      </c>
      <c r="P2979" s="16">
        <f>IF(NOT(Paths!$C$277=1),0,IF(Paths!$P$277="Complete",O2979+L2979,"n.a."))</f>
        <v>0</v>
      </c>
      <c r="Q2979" s="16">
        <f>IF(NOT(Paths!$C$277=1),0,IF(Paths!$P$277="Complete",N2979*(1+'Operating costs'!$B$54)^-C2979,"n.a."))</f>
        <v>0</v>
      </c>
      <c r="R2979" s="16">
        <f>IF(NOT(Paths!$C$277=1),0,IF(Paths!$P$277="Complete",IF(AND(C2979=0,Paths!$E$277=0),I2979-J2979-K2979+VLOOKUP(A2979,'Fleet register'!$A$7:$S$106,15,FALSE)+VLOOKUP(A2979,'Fleet register'!$A$7:$S$106,16,FALSE),0),"n.a."))</f>
        <v>0</v>
      </c>
      <c r="S2979" s="1">
        <f>IF(NOT(Paths!$C$277=1),0,IF(Paths!$P$277="Complete",IF(C2979=0,0,Paths!$S$277*Paths!$R$277),"n.a."))</f>
        <v>0</v>
      </c>
      <c r="T2979" s="1">
        <f>IF(NOT(Paths!$C$277=1),0,IF(Paths!$P$277="Complete",IF(C2979=0,0,VLOOKUP(A2979,'Fleet register'!$A$7:$S$106,9,FALSE)*Paths!$R$277),"n.a."))</f>
        <v>0</v>
      </c>
    </row>
    <row r="2980" spans="1:20" ht="24" customHeight="1">
      <c r="A2980" s="1" t="str">
        <f>Paths!$A$277</f>
        <v>T068</v>
      </c>
      <c r="B2980" s="1">
        <f>Paths!$B$277</f>
        <v>2</v>
      </c>
      <c r="C2980" s="1">
        <v>3</v>
      </c>
      <c r="D2980" s="1">
        <v>277</v>
      </c>
      <c r="E2980" s="1">
        <f>IF(OR(Paths!$C$277=0,C2980=0),0,MAX(0,MIN(C2980*12,Paths!$E$277)-(C2980-1)*12))</f>
        <v>0</v>
      </c>
      <c r="F2980" s="1">
        <f>IF(OR(Paths!$C$277=0,C2980=0),0,12-E2980)</f>
        <v>0</v>
      </c>
      <c r="G2980" s="16">
        <f>IF(NOT(Paths!$C$277=1),0,IF(Paths!$P$277="Complete",E2980/12*(Paths!$J$277*(1+'Operating costs'!$B$51)^MAX(0,C2980-1)+Paths!$K$277*(1+'Operating costs'!$B$53)^MAX(0,C2980-1)),"n.a."))</f>
        <v>0</v>
      </c>
      <c r="H2980" s="16">
        <f>IF(NOT(Paths!$C$277=1),0,IF(Paths!$P$277="Complete",F2980/12*(Paths!$L$277*(1+IF(Paths!$D$277="EV",'Operating costs'!$B$52,'Operating costs'!$B$51))^MAX(0,C2980-1)+Paths!$M$277*(1+'Operating costs'!$B$53)^MAX(0,C2980-1)),"n.a."))</f>
        <v>0</v>
      </c>
      <c r="I2980" s="16">
        <f>IF(NOT(Paths!$C$277=1),0,IF(Paths!$P$277="Complete",IF(IF(Paths!$E$277=0,C2980=0,AND(C2980&gt;0,Paths!$E$277&gt;(C2980-1)*12,Paths!$E$277&lt;=C2980*12)),Paths!$G$277,0),"n.a."))</f>
        <v>0</v>
      </c>
      <c r="J2980" s="16">
        <f>IF(NOT(Paths!$C$277=1),0,IF(Paths!$P$277="Complete",IF(IF(Paths!$E$277=0,C2980=0,AND(C2980&gt;0,Paths!$E$277&gt;(C2980-1)*12,Paths!$E$277&lt;=C2980*12)),Paths!$H$277,0),"n.a."))</f>
        <v>0</v>
      </c>
      <c r="K2980" s="16">
        <f>IF(NOT(Paths!$C$277=1),0,IF(Paths!$P$277="Complete",IF(IF(Paths!$O$277=0,C2980=0,AND(C2980&gt;0,Paths!$O$277&gt;(C2980-1)*12,Paths!$O$277&lt;=C2980*12)),Paths!$N$277,0),"n.a."))</f>
        <v>0</v>
      </c>
      <c r="L2980" s="16">
        <f>IF(NOT(Paths!$C$277=1),0,IF(Paths!$P$277="Complete",IF(C2980=10,Paths!$I$277,0),"n.a."))</f>
        <v>0</v>
      </c>
      <c r="M2980" s="16">
        <f>IF(NOT(Paths!$C$277=1),0,IF(Paths!$P$277="Complete",IF(AND(Paths!$D$277="EV",Paths!$E$277&lt;120,Paths!$E$277+'Operating costs'!$B$65&gt;Paths!$E$277,Paths!$E$277+'Operating costs'!$B$65&lt;=120,IF(Paths!$E$277+'Operating costs'!$B$65=0,C2980=0,AND(C2980&gt;0,Paths!$E$277+'Operating costs'!$B$65&gt;(C2980-1)*12,Paths!$E$277+'Operating costs'!$B$65&lt;=C2980*12))),'Operating costs'!$B$64,0)+IF(AND('Operating costs'!$B$67&gt;0,'Operating costs'!$B$67&lt;=120,OR(Paths!$D$277="ICE",'Operating costs'!$B$67&lt;=Paths!$E$277),IF('Operating costs'!$B$67=0,C2980=0,AND(C2980&gt;0,'Operating costs'!$B$67&gt;(C2980-1)*12,'Operating costs'!$B$67&lt;=C2980*12))),'Operating costs'!$B$66,0),"n.a."))</f>
        <v>0</v>
      </c>
      <c r="N2980" s="16">
        <f>IF(NOT(Paths!$C$277=1),0,IF(Paths!$P$277="Complete",SUM(G2980:I2980)-J2980-K2980-L2980+M2980+IF(C2980=0,Paths!$F$277,0)+IF(IF(Paths!$E$277=0,C2980=0,AND(C2980&gt;0,Paths!$E$277&gt;(C2980-1)*12,Paths!$E$277&lt;=C2980*12)),VLOOKUP(A2980,'Fleet register'!$A$7:$S$106,16,FALSE),0),"n.a."))</f>
        <v>0</v>
      </c>
      <c r="O2980" s="16">
        <f>IF(NOT(Paths!$C$277=1),0,IF(Paths!$P$277="Complete",N2980-IF(C2980=0,Paths!$F$277,0),"n.a."))</f>
        <v>0</v>
      </c>
      <c r="P2980" s="16">
        <f>IF(NOT(Paths!$C$277=1),0,IF(Paths!$P$277="Complete",O2980+L2980,"n.a."))</f>
        <v>0</v>
      </c>
      <c r="Q2980" s="16">
        <f>IF(NOT(Paths!$C$277=1),0,IF(Paths!$P$277="Complete",N2980*(1+'Operating costs'!$B$54)^-C2980,"n.a."))</f>
        <v>0</v>
      </c>
      <c r="R2980" s="16">
        <f>IF(NOT(Paths!$C$277=1),0,IF(Paths!$P$277="Complete",IF(AND(C2980=0,Paths!$E$277=0),I2980-J2980-K2980+VLOOKUP(A2980,'Fleet register'!$A$7:$S$106,15,FALSE)+VLOOKUP(A2980,'Fleet register'!$A$7:$S$106,16,FALSE),0),"n.a."))</f>
        <v>0</v>
      </c>
      <c r="S2980" s="1">
        <f>IF(NOT(Paths!$C$277=1),0,IF(Paths!$P$277="Complete",IF(C2980=0,0,Paths!$S$277*Paths!$R$277),"n.a."))</f>
        <v>0</v>
      </c>
      <c r="T2980" s="1">
        <f>IF(NOT(Paths!$C$277=1),0,IF(Paths!$P$277="Complete",IF(C2980=0,0,VLOOKUP(A2980,'Fleet register'!$A$7:$S$106,9,FALSE)*Paths!$R$277),"n.a."))</f>
        <v>0</v>
      </c>
    </row>
    <row r="2981" spans="1:20" ht="24" customHeight="1">
      <c r="A2981" s="1" t="str">
        <f>Paths!$A$277</f>
        <v>T068</v>
      </c>
      <c r="B2981" s="1">
        <f>Paths!$B$277</f>
        <v>2</v>
      </c>
      <c r="C2981" s="1">
        <v>4</v>
      </c>
      <c r="D2981" s="1">
        <v>277</v>
      </c>
      <c r="E2981" s="1">
        <f>IF(OR(Paths!$C$277=0,C2981=0),0,MAX(0,MIN(C2981*12,Paths!$E$277)-(C2981-1)*12))</f>
        <v>0</v>
      </c>
      <c r="F2981" s="1">
        <f>IF(OR(Paths!$C$277=0,C2981=0),0,12-E2981)</f>
        <v>0</v>
      </c>
      <c r="G2981" s="16">
        <f>IF(NOT(Paths!$C$277=1),0,IF(Paths!$P$277="Complete",E2981/12*(Paths!$J$277*(1+'Operating costs'!$B$51)^MAX(0,C2981-1)+Paths!$K$277*(1+'Operating costs'!$B$53)^MAX(0,C2981-1)),"n.a."))</f>
        <v>0</v>
      </c>
      <c r="H2981" s="16">
        <f>IF(NOT(Paths!$C$277=1),0,IF(Paths!$P$277="Complete",F2981/12*(Paths!$L$277*(1+IF(Paths!$D$277="EV",'Operating costs'!$B$52,'Operating costs'!$B$51))^MAX(0,C2981-1)+Paths!$M$277*(1+'Operating costs'!$B$53)^MAX(0,C2981-1)),"n.a."))</f>
        <v>0</v>
      </c>
      <c r="I2981" s="16">
        <f>IF(NOT(Paths!$C$277=1),0,IF(Paths!$P$277="Complete",IF(IF(Paths!$E$277=0,C2981=0,AND(C2981&gt;0,Paths!$E$277&gt;(C2981-1)*12,Paths!$E$277&lt;=C2981*12)),Paths!$G$277,0),"n.a."))</f>
        <v>0</v>
      </c>
      <c r="J2981" s="16">
        <f>IF(NOT(Paths!$C$277=1),0,IF(Paths!$P$277="Complete",IF(IF(Paths!$E$277=0,C2981=0,AND(C2981&gt;0,Paths!$E$277&gt;(C2981-1)*12,Paths!$E$277&lt;=C2981*12)),Paths!$H$277,0),"n.a."))</f>
        <v>0</v>
      </c>
      <c r="K2981" s="16">
        <f>IF(NOT(Paths!$C$277=1),0,IF(Paths!$P$277="Complete",IF(IF(Paths!$O$277=0,C2981=0,AND(C2981&gt;0,Paths!$O$277&gt;(C2981-1)*12,Paths!$O$277&lt;=C2981*12)),Paths!$N$277,0),"n.a."))</f>
        <v>0</v>
      </c>
      <c r="L2981" s="16">
        <f>IF(NOT(Paths!$C$277=1),0,IF(Paths!$P$277="Complete",IF(C2981=10,Paths!$I$277,0),"n.a."))</f>
        <v>0</v>
      </c>
      <c r="M2981" s="16">
        <f>IF(NOT(Paths!$C$277=1),0,IF(Paths!$P$277="Complete",IF(AND(Paths!$D$277="EV",Paths!$E$277&lt;120,Paths!$E$277+'Operating costs'!$B$65&gt;Paths!$E$277,Paths!$E$277+'Operating costs'!$B$65&lt;=120,IF(Paths!$E$277+'Operating costs'!$B$65=0,C2981=0,AND(C2981&gt;0,Paths!$E$277+'Operating costs'!$B$65&gt;(C2981-1)*12,Paths!$E$277+'Operating costs'!$B$65&lt;=C2981*12))),'Operating costs'!$B$64,0)+IF(AND('Operating costs'!$B$67&gt;0,'Operating costs'!$B$67&lt;=120,OR(Paths!$D$277="ICE",'Operating costs'!$B$67&lt;=Paths!$E$277),IF('Operating costs'!$B$67=0,C2981=0,AND(C2981&gt;0,'Operating costs'!$B$67&gt;(C2981-1)*12,'Operating costs'!$B$67&lt;=C2981*12))),'Operating costs'!$B$66,0),"n.a."))</f>
        <v>0</v>
      </c>
      <c r="N2981" s="16">
        <f>IF(NOT(Paths!$C$277=1),0,IF(Paths!$P$277="Complete",SUM(G2981:I2981)-J2981-K2981-L2981+M2981+IF(C2981=0,Paths!$F$277,0)+IF(IF(Paths!$E$277=0,C2981=0,AND(C2981&gt;0,Paths!$E$277&gt;(C2981-1)*12,Paths!$E$277&lt;=C2981*12)),VLOOKUP(A2981,'Fleet register'!$A$7:$S$106,16,FALSE),0),"n.a."))</f>
        <v>0</v>
      </c>
      <c r="O2981" s="16">
        <f>IF(NOT(Paths!$C$277=1),0,IF(Paths!$P$277="Complete",N2981-IF(C2981=0,Paths!$F$277,0),"n.a."))</f>
        <v>0</v>
      </c>
      <c r="P2981" s="16">
        <f>IF(NOT(Paths!$C$277=1),0,IF(Paths!$P$277="Complete",O2981+L2981,"n.a."))</f>
        <v>0</v>
      </c>
      <c r="Q2981" s="16">
        <f>IF(NOT(Paths!$C$277=1),0,IF(Paths!$P$277="Complete",N2981*(1+'Operating costs'!$B$54)^-C2981,"n.a."))</f>
        <v>0</v>
      </c>
      <c r="R2981" s="16">
        <f>IF(NOT(Paths!$C$277=1),0,IF(Paths!$P$277="Complete",IF(AND(C2981=0,Paths!$E$277=0),I2981-J2981-K2981+VLOOKUP(A2981,'Fleet register'!$A$7:$S$106,15,FALSE)+VLOOKUP(A2981,'Fleet register'!$A$7:$S$106,16,FALSE),0),"n.a."))</f>
        <v>0</v>
      </c>
      <c r="S2981" s="1">
        <f>IF(NOT(Paths!$C$277=1),0,IF(Paths!$P$277="Complete",IF(C2981=0,0,Paths!$S$277*Paths!$R$277),"n.a."))</f>
        <v>0</v>
      </c>
      <c r="T2981" s="1">
        <f>IF(NOT(Paths!$C$277=1),0,IF(Paths!$P$277="Complete",IF(C2981=0,0,VLOOKUP(A2981,'Fleet register'!$A$7:$S$106,9,FALSE)*Paths!$R$277),"n.a."))</f>
        <v>0</v>
      </c>
    </row>
    <row r="2982" spans="1:20" ht="24" customHeight="1">
      <c r="A2982" s="1" t="str">
        <f>Paths!$A$277</f>
        <v>T068</v>
      </c>
      <c r="B2982" s="1">
        <f>Paths!$B$277</f>
        <v>2</v>
      </c>
      <c r="C2982" s="1">
        <v>5</v>
      </c>
      <c r="D2982" s="1">
        <v>277</v>
      </c>
      <c r="E2982" s="1">
        <f>IF(OR(Paths!$C$277=0,C2982=0),0,MAX(0,MIN(C2982*12,Paths!$E$277)-(C2982-1)*12))</f>
        <v>0</v>
      </c>
      <c r="F2982" s="1">
        <f>IF(OR(Paths!$C$277=0,C2982=0),0,12-E2982)</f>
        <v>0</v>
      </c>
      <c r="G2982" s="16">
        <f>IF(NOT(Paths!$C$277=1),0,IF(Paths!$P$277="Complete",E2982/12*(Paths!$J$277*(1+'Operating costs'!$B$51)^MAX(0,C2982-1)+Paths!$K$277*(1+'Operating costs'!$B$53)^MAX(0,C2982-1)),"n.a."))</f>
        <v>0</v>
      </c>
      <c r="H2982" s="16">
        <f>IF(NOT(Paths!$C$277=1),0,IF(Paths!$P$277="Complete",F2982/12*(Paths!$L$277*(1+IF(Paths!$D$277="EV",'Operating costs'!$B$52,'Operating costs'!$B$51))^MAX(0,C2982-1)+Paths!$M$277*(1+'Operating costs'!$B$53)^MAX(0,C2982-1)),"n.a."))</f>
        <v>0</v>
      </c>
      <c r="I2982" s="16">
        <f>IF(NOT(Paths!$C$277=1),0,IF(Paths!$P$277="Complete",IF(IF(Paths!$E$277=0,C2982=0,AND(C2982&gt;0,Paths!$E$277&gt;(C2982-1)*12,Paths!$E$277&lt;=C2982*12)),Paths!$G$277,0),"n.a."))</f>
        <v>0</v>
      </c>
      <c r="J2982" s="16">
        <f>IF(NOT(Paths!$C$277=1),0,IF(Paths!$P$277="Complete",IF(IF(Paths!$E$277=0,C2982=0,AND(C2982&gt;0,Paths!$E$277&gt;(C2982-1)*12,Paths!$E$277&lt;=C2982*12)),Paths!$H$277,0),"n.a."))</f>
        <v>0</v>
      </c>
      <c r="K2982" s="16">
        <f>IF(NOT(Paths!$C$277=1),0,IF(Paths!$P$277="Complete",IF(IF(Paths!$O$277=0,C2982=0,AND(C2982&gt;0,Paths!$O$277&gt;(C2982-1)*12,Paths!$O$277&lt;=C2982*12)),Paths!$N$277,0),"n.a."))</f>
        <v>0</v>
      </c>
      <c r="L2982" s="16">
        <f>IF(NOT(Paths!$C$277=1),0,IF(Paths!$P$277="Complete",IF(C2982=10,Paths!$I$277,0),"n.a."))</f>
        <v>0</v>
      </c>
      <c r="M2982" s="16">
        <f>IF(NOT(Paths!$C$277=1),0,IF(Paths!$P$277="Complete",IF(AND(Paths!$D$277="EV",Paths!$E$277&lt;120,Paths!$E$277+'Operating costs'!$B$65&gt;Paths!$E$277,Paths!$E$277+'Operating costs'!$B$65&lt;=120,IF(Paths!$E$277+'Operating costs'!$B$65=0,C2982=0,AND(C2982&gt;0,Paths!$E$277+'Operating costs'!$B$65&gt;(C2982-1)*12,Paths!$E$277+'Operating costs'!$B$65&lt;=C2982*12))),'Operating costs'!$B$64,0)+IF(AND('Operating costs'!$B$67&gt;0,'Operating costs'!$B$67&lt;=120,OR(Paths!$D$277="ICE",'Operating costs'!$B$67&lt;=Paths!$E$277),IF('Operating costs'!$B$67=0,C2982=0,AND(C2982&gt;0,'Operating costs'!$B$67&gt;(C2982-1)*12,'Operating costs'!$B$67&lt;=C2982*12))),'Operating costs'!$B$66,0),"n.a."))</f>
        <v>0</v>
      </c>
      <c r="N2982" s="16">
        <f>IF(NOT(Paths!$C$277=1),0,IF(Paths!$P$277="Complete",SUM(G2982:I2982)-J2982-K2982-L2982+M2982+IF(C2982=0,Paths!$F$277,0)+IF(IF(Paths!$E$277=0,C2982=0,AND(C2982&gt;0,Paths!$E$277&gt;(C2982-1)*12,Paths!$E$277&lt;=C2982*12)),VLOOKUP(A2982,'Fleet register'!$A$7:$S$106,16,FALSE),0),"n.a."))</f>
        <v>0</v>
      </c>
      <c r="O2982" s="16">
        <f>IF(NOT(Paths!$C$277=1),0,IF(Paths!$P$277="Complete",N2982-IF(C2982=0,Paths!$F$277,0),"n.a."))</f>
        <v>0</v>
      </c>
      <c r="P2982" s="16">
        <f>IF(NOT(Paths!$C$277=1),0,IF(Paths!$P$277="Complete",O2982+L2982,"n.a."))</f>
        <v>0</v>
      </c>
      <c r="Q2982" s="16">
        <f>IF(NOT(Paths!$C$277=1),0,IF(Paths!$P$277="Complete",N2982*(1+'Operating costs'!$B$54)^-C2982,"n.a."))</f>
        <v>0</v>
      </c>
      <c r="R2982" s="16">
        <f>IF(NOT(Paths!$C$277=1),0,IF(Paths!$P$277="Complete",IF(AND(C2982=0,Paths!$E$277=0),I2982-J2982-K2982+VLOOKUP(A2982,'Fleet register'!$A$7:$S$106,15,FALSE)+VLOOKUP(A2982,'Fleet register'!$A$7:$S$106,16,FALSE),0),"n.a."))</f>
        <v>0</v>
      </c>
      <c r="S2982" s="1">
        <f>IF(NOT(Paths!$C$277=1),0,IF(Paths!$P$277="Complete",IF(C2982=0,0,Paths!$S$277*Paths!$R$277),"n.a."))</f>
        <v>0</v>
      </c>
      <c r="T2982" s="1">
        <f>IF(NOT(Paths!$C$277=1),0,IF(Paths!$P$277="Complete",IF(C2982=0,0,VLOOKUP(A2982,'Fleet register'!$A$7:$S$106,9,FALSE)*Paths!$R$277),"n.a."))</f>
        <v>0</v>
      </c>
    </row>
    <row r="2983" spans="1:20" ht="24" customHeight="1">
      <c r="A2983" s="1" t="str">
        <f>Paths!$A$277</f>
        <v>T068</v>
      </c>
      <c r="B2983" s="1">
        <f>Paths!$B$277</f>
        <v>2</v>
      </c>
      <c r="C2983" s="1">
        <v>6</v>
      </c>
      <c r="D2983" s="1">
        <v>277</v>
      </c>
      <c r="E2983" s="1">
        <f>IF(OR(Paths!$C$277=0,C2983=0),0,MAX(0,MIN(C2983*12,Paths!$E$277)-(C2983-1)*12))</f>
        <v>0</v>
      </c>
      <c r="F2983" s="1">
        <f>IF(OR(Paths!$C$277=0,C2983=0),0,12-E2983)</f>
        <v>0</v>
      </c>
      <c r="G2983" s="16">
        <f>IF(NOT(Paths!$C$277=1),0,IF(Paths!$P$277="Complete",E2983/12*(Paths!$J$277*(1+'Operating costs'!$B$51)^MAX(0,C2983-1)+Paths!$K$277*(1+'Operating costs'!$B$53)^MAX(0,C2983-1)),"n.a."))</f>
        <v>0</v>
      </c>
      <c r="H2983" s="16">
        <f>IF(NOT(Paths!$C$277=1),0,IF(Paths!$P$277="Complete",F2983/12*(Paths!$L$277*(1+IF(Paths!$D$277="EV",'Operating costs'!$B$52,'Operating costs'!$B$51))^MAX(0,C2983-1)+Paths!$M$277*(1+'Operating costs'!$B$53)^MAX(0,C2983-1)),"n.a."))</f>
        <v>0</v>
      </c>
      <c r="I2983" s="16">
        <f>IF(NOT(Paths!$C$277=1),0,IF(Paths!$P$277="Complete",IF(IF(Paths!$E$277=0,C2983=0,AND(C2983&gt;0,Paths!$E$277&gt;(C2983-1)*12,Paths!$E$277&lt;=C2983*12)),Paths!$G$277,0),"n.a."))</f>
        <v>0</v>
      </c>
      <c r="J2983" s="16">
        <f>IF(NOT(Paths!$C$277=1),0,IF(Paths!$P$277="Complete",IF(IF(Paths!$E$277=0,C2983=0,AND(C2983&gt;0,Paths!$E$277&gt;(C2983-1)*12,Paths!$E$277&lt;=C2983*12)),Paths!$H$277,0),"n.a."))</f>
        <v>0</v>
      </c>
      <c r="K2983" s="16">
        <f>IF(NOT(Paths!$C$277=1),0,IF(Paths!$P$277="Complete",IF(IF(Paths!$O$277=0,C2983=0,AND(C2983&gt;0,Paths!$O$277&gt;(C2983-1)*12,Paths!$O$277&lt;=C2983*12)),Paths!$N$277,0),"n.a."))</f>
        <v>0</v>
      </c>
      <c r="L2983" s="16">
        <f>IF(NOT(Paths!$C$277=1),0,IF(Paths!$P$277="Complete",IF(C2983=10,Paths!$I$277,0),"n.a."))</f>
        <v>0</v>
      </c>
      <c r="M2983" s="16">
        <f>IF(NOT(Paths!$C$277=1),0,IF(Paths!$P$277="Complete",IF(AND(Paths!$D$277="EV",Paths!$E$277&lt;120,Paths!$E$277+'Operating costs'!$B$65&gt;Paths!$E$277,Paths!$E$277+'Operating costs'!$B$65&lt;=120,IF(Paths!$E$277+'Operating costs'!$B$65=0,C2983=0,AND(C2983&gt;0,Paths!$E$277+'Operating costs'!$B$65&gt;(C2983-1)*12,Paths!$E$277+'Operating costs'!$B$65&lt;=C2983*12))),'Operating costs'!$B$64,0)+IF(AND('Operating costs'!$B$67&gt;0,'Operating costs'!$B$67&lt;=120,OR(Paths!$D$277="ICE",'Operating costs'!$B$67&lt;=Paths!$E$277),IF('Operating costs'!$B$67=0,C2983=0,AND(C2983&gt;0,'Operating costs'!$B$67&gt;(C2983-1)*12,'Operating costs'!$B$67&lt;=C2983*12))),'Operating costs'!$B$66,0),"n.a."))</f>
        <v>0</v>
      </c>
      <c r="N2983" s="16">
        <f>IF(NOT(Paths!$C$277=1),0,IF(Paths!$P$277="Complete",SUM(G2983:I2983)-J2983-K2983-L2983+M2983+IF(C2983=0,Paths!$F$277,0)+IF(IF(Paths!$E$277=0,C2983=0,AND(C2983&gt;0,Paths!$E$277&gt;(C2983-1)*12,Paths!$E$277&lt;=C2983*12)),VLOOKUP(A2983,'Fleet register'!$A$7:$S$106,16,FALSE),0),"n.a."))</f>
        <v>0</v>
      </c>
      <c r="O2983" s="16">
        <f>IF(NOT(Paths!$C$277=1),0,IF(Paths!$P$277="Complete",N2983-IF(C2983=0,Paths!$F$277,0),"n.a."))</f>
        <v>0</v>
      </c>
      <c r="P2983" s="16">
        <f>IF(NOT(Paths!$C$277=1),0,IF(Paths!$P$277="Complete",O2983+L2983,"n.a."))</f>
        <v>0</v>
      </c>
      <c r="Q2983" s="16">
        <f>IF(NOT(Paths!$C$277=1),0,IF(Paths!$P$277="Complete",N2983*(1+'Operating costs'!$B$54)^-C2983,"n.a."))</f>
        <v>0</v>
      </c>
      <c r="R2983" s="16">
        <f>IF(NOT(Paths!$C$277=1),0,IF(Paths!$P$277="Complete",IF(AND(C2983=0,Paths!$E$277=0),I2983-J2983-K2983+VLOOKUP(A2983,'Fleet register'!$A$7:$S$106,15,FALSE)+VLOOKUP(A2983,'Fleet register'!$A$7:$S$106,16,FALSE),0),"n.a."))</f>
        <v>0</v>
      </c>
      <c r="S2983" s="1">
        <f>IF(NOT(Paths!$C$277=1),0,IF(Paths!$P$277="Complete",IF(C2983=0,0,Paths!$S$277*Paths!$R$277),"n.a."))</f>
        <v>0</v>
      </c>
      <c r="T2983" s="1">
        <f>IF(NOT(Paths!$C$277=1),0,IF(Paths!$P$277="Complete",IF(C2983=0,0,VLOOKUP(A2983,'Fleet register'!$A$7:$S$106,9,FALSE)*Paths!$R$277),"n.a."))</f>
        <v>0</v>
      </c>
    </row>
    <row r="2984" spans="1:20" ht="24" customHeight="1">
      <c r="A2984" s="1" t="str">
        <f>Paths!$A$277</f>
        <v>T068</v>
      </c>
      <c r="B2984" s="1">
        <f>Paths!$B$277</f>
        <v>2</v>
      </c>
      <c r="C2984" s="1">
        <v>7</v>
      </c>
      <c r="D2984" s="1">
        <v>277</v>
      </c>
      <c r="E2984" s="1">
        <f>IF(OR(Paths!$C$277=0,C2984=0),0,MAX(0,MIN(C2984*12,Paths!$E$277)-(C2984-1)*12))</f>
        <v>0</v>
      </c>
      <c r="F2984" s="1">
        <f>IF(OR(Paths!$C$277=0,C2984=0),0,12-E2984)</f>
        <v>0</v>
      </c>
      <c r="G2984" s="16">
        <f>IF(NOT(Paths!$C$277=1),0,IF(Paths!$P$277="Complete",E2984/12*(Paths!$J$277*(1+'Operating costs'!$B$51)^MAX(0,C2984-1)+Paths!$K$277*(1+'Operating costs'!$B$53)^MAX(0,C2984-1)),"n.a."))</f>
        <v>0</v>
      </c>
      <c r="H2984" s="16">
        <f>IF(NOT(Paths!$C$277=1),0,IF(Paths!$P$277="Complete",F2984/12*(Paths!$L$277*(1+IF(Paths!$D$277="EV",'Operating costs'!$B$52,'Operating costs'!$B$51))^MAX(0,C2984-1)+Paths!$M$277*(1+'Operating costs'!$B$53)^MAX(0,C2984-1)),"n.a."))</f>
        <v>0</v>
      </c>
      <c r="I2984" s="16">
        <f>IF(NOT(Paths!$C$277=1),0,IF(Paths!$P$277="Complete",IF(IF(Paths!$E$277=0,C2984=0,AND(C2984&gt;0,Paths!$E$277&gt;(C2984-1)*12,Paths!$E$277&lt;=C2984*12)),Paths!$G$277,0),"n.a."))</f>
        <v>0</v>
      </c>
      <c r="J2984" s="16">
        <f>IF(NOT(Paths!$C$277=1),0,IF(Paths!$P$277="Complete",IF(IF(Paths!$E$277=0,C2984=0,AND(C2984&gt;0,Paths!$E$277&gt;(C2984-1)*12,Paths!$E$277&lt;=C2984*12)),Paths!$H$277,0),"n.a."))</f>
        <v>0</v>
      </c>
      <c r="K2984" s="16">
        <f>IF(NOT(Paths!$C$277=1),0,IF(Paths!$P$277="Complete",IF(IF(Paths!$O$277=0,C2984=0,AND(C2984&gt;0,Paths!$O$277&gt;(C2984-1)*12,Paths!$O$277&lt;=C2984*12)),Paths!$N$277,0),"n.a."))</f>
        <v>0</v>
      </c>
      <c r="L2984" s="16">
        <f>IF(NOT(Paths!$C$277=1),0,IF(Paths!$P$277="Complete",IF(C2984=10,Paths!$I$277,0),"n.a."))</f>
        <v>0</v>
      </c>
      <c r="M2984" s="16">
        <f>IF(NOT(Paths!$C$277=1),0,IF(Paths!$P$277="Complete",IF(AND(Paths!$D$277="EV",Paths!$E$277&lt;120,Paths!$E$277+'Operating costs'!$B$65&gt;Paths!$E$277,Paths!$E$277+'Operating costs'!$B$65&lt;=120,IF(Paths!$E$277+'Operating costs'!$B$65=0,C2984=0,AND(C2984&gt;0,Paths!$E$277+'Operating costs'!$B$65&gt;(C2984-1)*12,Paths!$E$277+'Operating costs'!$B$65&lt;=C2984*12))),'Operating costs'!$B$64,0)+IF(AND('Operating costs'!$B$67&gt;0,'Operating costs'!$B$67&lt;=120,OR(Paths!$D$277="ICE",'Operating costs'!$B$67&lt;=Paths!$E$277),IF('Operating costs'!$B$67=0,C2984=0,AND(C2984&gt;0,'Operating costs'!$B$67&gt;(C2984-1)*12,'Operating costs'!$B$67&lt;=C2984*12))),'Operating costs'!$B$66,0),"n.a."))</f>
        <v>0</v>
      </c>
      <c r="N2984" s="16">
        <f>IF(NOT(Paths!$C$277=1),0,IF(Paths!$P$277="Complete",SUM(G2984:I2984)-J2984-K2984-L2984+M2984+IF(C2984=0,Paths!$F$277,0)+IF(IF(Paths!$E$277=0,C2984=0,AND(C2984&gt;0,Paths!$E$277&gt;(C2984-1)*12,Paths!$E$277&lt;=C2984*12)),VLOOKUP(A2984,'Fleet register'!$A$7:$S$106,16,FALSE),0),"n.a."))</f>
        <v>0</v>
      </c>
      <c r="O2984" s="16">
        <f>IF(NOT(Paths!$C$277=1),0,IF(Paths!$P$277="Complete",N2984-IF(C2984=0,Paths!$F$277,0),"n.a."))</f>
        <v>0</v>
      </c>
      <c r="P2984" s="16">
        <f>IF(NOT(Paths!$C$277=1),0,IF(Paths!$P$277="Complete",O2984+L2984,"n.a."))</f>
        <v>0</v>
      </c>
      <c r="Q2984" s="16">
        <f>IF(NOT(Paths!$C$277=1),0,IF(Paths!$P$277="Complete",N2984*(1+'Operating costs'!$B$54)^-C2984,"n.a."))</f>
        <v>0</v>
      </c>
      <c r="R2984" s="16">
        <f>IF(NOT(Paths!$C$277=1),0,IF(Paths!$P$277="Complete",IF(AND(C2984=0,Paths!$E$277=0),I2984-J2984-K2984+VLOOKUP(A2984,'Fleet register'!$A$7:$S$106,15,FALSE)+VLOOKUP(A2984,'Fleet register'!$A$7:$S$106,16,FALSE),0),"n.a."))</f>
        <v>0</v>
      </c>
      <c r="S2984" s="1">
        <f>IF(NOT(Paths!$C$277=1),0,IF(Paths!$P$277="Complete",IF(C2984=0,0,Paths!$S$277*Paths!$R$277),"n.a."))</f>
        <v>0</v>
      </c>
      <c r="T2984" s="1">
        <f>IF(NOT(Paths!$C$277=1),0,IF(Paths!$P$277="Complete",IF(C2984=0,0,VLOOKUP(A2984,'Fleet register'!$A$7:$S$106,9,FALSE)*Paths!$R$277),"n.a."))</f>
        <v>0</v>
      </c>
    </row>
    <row r="2985" spans="1:20" ht="24" customHeight="1">
      <c r="A2985" s="1" t="str">
        <f>Paths!$A$277</f>
        <v>T068</v>
      </c>
      <c r="B2985" s="1">
        <f>Paths!$B$277</f>
        <v>2</v>
      </c>
      <c r="C2985" s="1">
        <v>8</v>
      </c>
      <c r="D2985" s="1">
        <v>277</v>
      </c>
      <c r="E2985" s="1">
        <f>IF(OR(Paths!$C$277=0,C2985=0),0,MAX(0,MIN(C2985*12,Paths!$E$277)-(C2985-1)*12))</f>
        <v>0</v>
      </c>
      <c r="F2985" s="1">
        <f>IF(OR(Paths!$C$277=0,C2985=0),0,12-E2985)</f>
        <v>0</v>
      </c>
      <c r="G2985" s="16">
        <f>IF(NOT(Paths!$C$277=1),0,IF(Paths!$P$277="Complete",E2985/12*(Paths!$J$277*(1+'Operating costs'!$B$51)^MAX(0,C2985-1)+Paths!$K$277*(1+'Operating costs'!$B$53)^MAX(0,C2985-1)),"n.a."))</f>
        <v>0</v>
      </c>
      <c r="H2985" s="16">
        <f>IF(NOT(Paths!$C$277=1),0,IF(Paths!$P$277="Complete",F2985/12*(Paths!$L$277*(1+IF(Paths!$D$277="EV",'Operating costs'!$B$52,'Operating costs'!$B$51))^MAX(0,C2985-1)+Paths!$M$277*(1+'Operating costs'!$B$53)^MAX(0,C2985-1)),"n.a."))</f>
        <v>0</v>
      </c>
      <c r="I2985" s="16">
        <f>IF(NOT(Paths!$C$277=1),0,IF(Paths!$P$277="Complete",IF(IF(Paths!$E$277=0,C2985=0,AND(C2985&gt;0,Paths!$E$277&gt;(C2985-1)*12,Paths!$E$277&lt;=C2985*12)),Paths!$G$277,0),"n.a."))</f>
        <v>0</v>
      </c>
      <c r="J2985" s="16">
        <f>IF(NOT(Paths!$C$277=1),0,IF(Paths!$P$277="Complete",IF(IF(Paths!$E$277=0,C2985=0,AND(C2985&gt;0,Paths!$E$277&gt;(C2985-1)*12,Paths!$E$277&lt;=C2985*12)),Paths!$H$277,0),"n.a."))</f>
        <v>0</v>
      </c>
      <c r="K2985" s="16">
        <f>IF(NOT(Paths!$C$277=1),0,IF(Paths!$P$277="Complete",IF(IF(Paths!$O$277=0,C2985=0,AND(C2985&gt;0,Paths!$O$277&gt;(C2985-1)*12,Paths!$O$277&lt;=C2985*12)),Paths!$N$277,0),"n.a."))</f>
        <v>0</v>
      </c>
      <c r="L2985" s="16">
        <f>IF(NOT(Paths!$C$277=1),0,IF(Paths!$P$277="Complete",IF(C2985=10,Paths!$I$277,0),"n.a."))</f>
        <v>0</v>
      </c>
      <c r="M2985" s="16">
        <f>IF(NOT(Paths!$C$277=1),0,IF(Paths!$P$277="Complete",IF(AND(Paths!$D$277="EV",Paths!$E$277&lt;120,Paths!$E$277+'Operating costs'!$B$65&gt;Paths!$E$277,Paths!$E$277+'Operating costs'!$B$65&lt;=120,IF(Paths!$E$277+'Operating costs'!$B$65=0,C2985=0,AND(C2985&gt;0,Paths!$E$277+'Operating costs'!$B$65&gt;(C2985-1)*12,Paths!$E$277+'Operating costs'!$B$65&lt;=C2985*12))),'Operating costs'!$B$64,0)+IF(AND('Operating costs'!$B$67&gt;0,'Operating costs'!$B$67&lt;=120,OR(Paths!$D$277="ICE",'Operating costs'!$B$67&lt;=Paths!$E$277),IF('Operating costs'!$B$67=0,C2985=0,AND(C2985&gt;0,'Operating costs'!$B$67&gt;(C2985-1)*12,'Operating costs'!$B$67&lt;=C2985*12))),'Operating costs'!$B$66,0),"n.a."))</f>
        <v>0</v>
      </c>
      <c r="N2985" s="16">
        <f>IF(NOT(Paths!$C$277=1),0,IF(Paths!$P$277="Complete",SUM(G2985:I2985)-J2985-K2985-L2985+M2985+IF(C2985=0,Paths!$F$277,0)+IF(IF(Paths!$E$277=0,C2985=0,AND(C2985&gt;0,Paths!$E$277&gt;(C2985-1)*12,Paths!$E$277&lt;=C2985*12)),VLOOKUP(A2985,'Fleet register'!$A$7:$S$106,16,FALSE),0),"n.a."))</f>
        <v>0</v>
      </c>
      <c r="O2985" s="16">
        <f>IF(NOT(Paths!$C$277=1),0,IF(Paths!$P$277="Complete",N2985-IF(C2985=0,Paths!$F$277,0),"n.a."))</f>
        <v>0</v>
      </c>
      <c r="P2985" s="16">
        <f>IF(NOT(Paths!$C$277=1),0,IF(Paths!$P$277="Complete",O2985+L2985,"n.a."))</f>
        <v>0</v>
      </c>
      <c r="Q2985" s="16">
        <f>IF(NOT(Paths!$C$277=1),0,IF(Paths!$P$277="Complete",N2985*(1+'Operating costs'!$B$54)^-C2985,"n.a."))</f>
        <v>0</v>
      </c>
      <c r="R2985" s="16">
        <f>IF(NOT(Paths!$C$277=1),0,IF(Paths!$P$277="Complete",IF(AND(C2985=0,Paths!$E$277=0),I2985-J2985-K2985+VLOOKUP(A2985,'Fleet register'!$A$7:$S$106,15,FALSE)+VLOOKUP(A2985,'Fleet register'!$A$7:$S$106,16,FALSE),0),"n.a."))</f>
        <v>0</v>
      </c>
      <c r="S2985" s="1">
        <f>IF(NOT(Paths!$C$277=1),0,IF(Paths!$P$277="Complete",IF(C2985=0,0,Paths!$S$277*Paths!$R$277),"n.a."))</f>
        <v>0</v>
      </c>
      <c r="T2985" s="1">
        <f>IF(NOT(Paths!$C$277=1),0,IF(Paths!$P$277="Complete",IF(C2985=0,0,VLOOKUP(A2985,'Fleet register'!$A$7:$S$106,9,FALSE)*Paths!$R$277),"n.a."))</f>
        <v>0</v>
      </c>
    </row>
    <row r="2986" spans="1:20" ht="24" customHeight="1">
      <c r="A2986" s="1" t="str">
        <f>Paths!$A$277</f>
        <v>T068</v>
      </c>
      <c r="B2986" s="1">
        <f>Paths!$B$277</f>
        <v>2</v>
      </c>
      <c r="C2986" s="1">
        <v>9</v>
      </c>
      <c r="D2986" s="1">
        <v>277</v>
      </c>
      <c r="E2986" s="1">
        <f>IF(OR(Paths!$C$277=0,C2986=0),0,MAX(0,MIN(C2986*12,Paths!$E$277)-(C2986-1)*12))</f>
        <v>0</v>
      </c>
      <c r="F2986" s="1">
        <f>IF(OR(Paths!$C$277=0,C2986=0),0,12-E2986)</f>
        <v>0</v>
      </c>
      <c r="G2986" s="16">
        <f>IF(NOT(Paths!$C$277=1),0,IF(Paths!$P$277="Complete",E2986/12*(Paths!$J$277*(1+'Operating costs'!$B$51)^MAX(0,C2986-1)+Paths!$K$277*(1+'Operating costs'!$B$53)^MAX(0,C2986-1)),"n.a."))</f>
        <v>0</v>
      </c>
      <c r="H2986" s="16">
        <f>IF(NOT(Paths!$C$277=1),0,IF(Paths!$P$277="Complete",F2986/12*(Paths!$L$277*(1+IF(Paths!$D$277="EV",'Operating costs'!$B$52,'Operating costs'!$B$51))^MAX(0,C2986-1)+Paths!$M$277*(1+'Operating costs'!$B$53)^MAX(0,C2986-1)),"n.a."))</f>
        <v>0</v>
      </c>
      <c r="I2986" s="16">
        <f>IF(NOT(Paths!$C$277=1),0,IF(Paths!$P$277="Complete",IF(IF(Paths!$E$277=0,C2986=0,AND(C2986&gt;0,Paths!$E$277&gt;(C2986-1)*12,Paths!$E$277&lt;=C2986*12)),Paths!$G$277,0),"n.a."))</f>
        <v>0</v>
      </c>
      <c r="J2986" s="16">
        <f>IF(NOT(Paths!$C$277=1),0,IF(Paths!$P$277="Complete",IF(IF(Paths!$E$277=0,C2986=0,AND(C2986&gt;0,Paths!$E$277&gt;(C2986-1)*12,Paths!$E$277&lt;=C2986*12)),Paths!$H$277,0),"n.a."))</f>
        <v>0</v>
      </c>
      <c r="K2986" s="16">
        <f>IF(NOT(Paths!$C$277=1),0,IF(Paths!$P$277="Complete",IF(IF(Paths!$O$277=0,C2986=0,AND(C2986&gt;0,Paths!$O$277&gt;(C2986-1)*12,Paths!$O$277&lt;=C2986*12)),Paths!$N$277,0),"n.a."))</f>
        <v>0</v>
      </c>
      <c r="L2986" s="16">
        <f>IF(NOT(Paths!$C$277=1),0,IF(Paths!$P$277="Complete",IF(C2986=10,Paths!$I$277,0),"n.a."))</f>
        <v>0</v>
      </c>
      <c r="M2986" s="16">
        <f>IF(NOT(Paths!$C$277=1),0,IF(Paths!$P$277="Complete",IF(AND(Paths!$D$277="EV",Paths!$E$277&lt;120,Paths!$E$277+'Operating costs'!$B$65&gt;Paths!$E$277,Paths!$E$277+'Operating costs'!$B$65&lt;=120,IF(Paths!$E$277+'Operating costs'!$B$65=0,C2986=0,AND(C2986&gt;0,Paths!$E$277+'Operating costs'!$B$65&gt;(C2986-1)*12,Paths!$E$277+'Operating costs'!$B$65&lt;=C2986*12))),'Operating costs'!$B$64,0)+IF(AND('Operating costs'!$B$67&gt;0,'Operating costs'!$B$67&lt;=120,OR(Paths!$D$277="ICE",'Operating costs'!$B$67&lt;=Paths!$E$277),IF('Operating costs'!$B$67=0,C2986=0,AND(C2986&gt;0,'Operating costs'!$B$67&gt;(C2986-1)*12,'Operating costs'!$B$67&lt;=C2986*12))),'Operating costs'!$B$66,0),"n.a."))</f>
        <v>0</v>
      </c>
      <c r="N2986" s="16">
        <f>IF(NOT(Paths!$C$277=1),0,IF(Paths!$P$277="Complete",SUM(G2986:I2986)-J2986-K2986-L2986+M2986+IF(C2986=0,Paths!$F$277,0)+IF(IF(Paths!$E$277=0,C2986=0,AND(C2986&gt;0,Paths!$E$277&gt;(C2986-1)*12,Paths!$E$277&lt;=C2986*12)),VLOOKUP(A2986,'Fleet register'!$A$7:$S$106,16,FALSE),0),"n.a."))</f>
        <v>0</v>
      </c>
      <c r="O2986" s="16">
        <f>IF(NOT(Paths!$C$277=1),0,IF(Paths!$P$277="Complete",N2986-IF(C2986=0,Paths!$F$277,0),"n.a."))</f>
        <v>0</v>
      </c>
      <c r="P2986" s="16">
        <f>IF(NOT(Paths!$C$277=1),0,IF(Paths!$P$277="Complete",O2986+L2986,"n.a."))</f>
        <v>0</v>
      </c>
      <c r="Q2986" s="16">
        <f>IF(NOT(Paths!$C$277=1),0,IF(Paths!$P$277="Complete",N2986*(1+'Operating costs'!$B$54)^-C2986,"n.a."))</f>
        <v>0</v>
      </c>
      <c r="R2986" s="16">
        <f>IF(NOT(Paths!$C$277=1),0,IF(Paths!$P$277="Complete",IF(AND(C2986=0,Paths!$E$277=0),I2986-J2986-K2986+VLOOKUP(A2986,'Fleet register'!$A$7:$S$106,15,FALSE)+VLOOKUP(A2986,'Fleet register'!$A$7:$S$106,16,FALSE),0),"n.a."))</f>
        <v>0</v>
      </c>
      <c r="S2986" s="1">
        <f>IF(NOT(Paths!$C$277=1),0,IF(Paths!$P$277="Complete",IF(C2986=0,0,Paths!$S$277*Paths!$R$277),"n.a."))</f>
        <v>0</v>
      </c>
      <c r="T2986" s="1">
        <f>IF(NOT(Paths!$C$277=1),0,IF(Paths!$P$277="Complete",IF(C2986=0,0,VLOOKUP(A2986,'Fleet register'!$A$7:$S$106,9,FALSE)*Paths!$R$277),"n.a."))</f>
        <v>0</v>
      </c>
    </row>
    <row r="2987" spans="1:20" ht="24" customHeight="1">
      <c r="A2987" s="1" t="str">
        <f>Paths!$A$277</f>
        <v>T068</v>
      </c>
      <c r="B2987" s="1">
        <f>Paths!$B$277</f>
        <v>2</v>
      </c>
      <c r="C2987" s="1">
        <v>10</v>
      </c>
      <c r="D2987" s="1">
        <v>277</v>
      </c>
      <c r="E2987" s="1">
        <f>IF(OR(Paths!$C$277=0,C2987=0),0,MAX(0,MIN(C2987*12,Paths!$E$277)-(C2987-1)*12))</f>
        <v>0</v>
      </c>
      <c r="F2987" s="1">
        <f>IF(OR(Paths!$C$277=0,C2987=0),0,12-E2987)</f>
        <v>0</v>
      </c>
      <c r="G2987" s="16">
        <f>IF(NOT(Paths!$C$277=1),0,IF(Paths!$P$277="Complete",E2987/12*(Paths!$J$277*(1+'Operating costs'!$B$51)^MAX(0,C2987-1)+Paths!$K$277*(1+'Operating costs'!$B$53)^MAX(0,C2987-1)),"n.a."))</f>
        <v>0</v>
      </c>
      <c r="H2987" s="16">
        <f>IF(NOT(Paths!$C$277=1),0,IF(Paths!$P$277="Complete",F2987/12*(Paths!$L$277*(1+IF(Paths!$D$277="EV",'Operating costs'!$B$52,'Operating costs'!$B$51))^MAX(0,C2987-1)+Paths!$M$277*(1+'Operating costs'!$B$53)^MAX(0,C2987-1)),"n.a."))</f>
        <v>0</v>
      </c>
      <c r="I2987" s="16">
        <f>IF(NOT(Paths!$C$277=1),0,IF(Paths!$P$277="Complete",IF(IF(Paths!$E$277=0,C2987=0,AND(C2987&gt;0,Paths!$E$277&gt;(C2987-1)*12,Paths!$E$277&lt;=C2987*12)),Paths!$G$277,0),"n.a."))</f>
        <v>0</v>
      </c>
      <c r="J2987" s="16">
        <f>IF(NOT(Paths!$C$277=1),0,IF(Paths!$P$277="Complete",IF(IF(Paths!$E$277=0,C2987=0,AND(C2987&gt;0,Paths!$E$277&gt;(C2987-1)*12,Paths!$E$277&lt;=C2987*12)),Paths!$H$277,0),"n.a."))</f>
        <v>0</v>
      </c>
      <c r="K2987" s="16">
        <f>IF(NOT(Paths!$C$277=1),0,IF(Paths!$P$277="Complete",IF(IF(Paths!$O$277=0,C2987=0,AND(C2987&gt;0,Paths!$O$277&gt;(C2987-1)*12,Paths!$O$277&lt;=C2987*12)),Paths!$N$277,0),"n.a."))</f>
        <v>0</v>
      </c>
      <c r="L2987" s="16">
        <f>IF(NOT(Paths!$C$277=1),0,IF(Paths!$P$277="Complete",IF(C2987=10,Paths!$I$277,0),"n.a."))</f>
        <v>0</v>
      </c>
      <c r="M2987" s="16">
        <f>IF(NOT(Paths!$C$277=1),0,IF(Paths!$P$277="Complete",IF(AND(Paths!$D$277="EV",Paths!$E$277&lt;120,Paths!$E$277+'Operating costs'!$B$65&gt;Paths!$E$277,Paths!$E$277+'Operating costs'!$B$65&lt;=120,IF(Paths!$E$277+'Operating costs'!$B$65=0,C2987=0,AND(C2987&gt;0,Paths!$E$277+'Operating costs'!$B$65&gt;(C2987-1)*12,Paths!$E$277+'Operating costs'!$B$65&lt;=C2987*12))),'Operating costs'!$B$64,0)+IF(AND('Operating costs'!$B$67&gt;0,'Operating costs'!$B$67&lt;=120,OR(Paths!$D$277="ICE",'Operating costs'!$B$67&lt;=Paths!$E$277),IF('Operating costs'!$B$67=0,C2987=0,AND(C2987&gt;0,'Operating costs'!$B$67&gt;(C2987-1)*12,'Operating costs'!$B$67&lt;=C2987*12))),'Operating costs'!$B$66,0),"n.a."))</f>
        <v>0</v>
      </c>
      <c r="N2987" s="16">
        <f>IF(NOT(Paths!$C$277=1),0,IF(Paths!$P$277="Complete",SUM(G2987:I2987)-J2987-K2987-L2987+M2987+IF(C2987=0,Paths!$F$277,0)+IF(IF(Paths!$E$277=0,C2987=0,AND(C2987&gt;0,Paths!$E$277&gt;(C2987-1)*12,Paths!$E$277&lt;=C2987*12)),VLOOKUP(A2987,'Fleet register'!$A$7:$S$106,16,FALSE),0),"n.a."))</f>
        <v>0</v>
      </c>
      <c r="O2987" s="16">
        <f>IF(NOT(Paths!$C$277=1),0,IF(Paths!$P$277="Complete",N2987-IF(C2987=0,Paths!$F$277,0),"n.a."))</f>
        <v>0</v>
      </c>
      <c r="P2987" s="16">
        <f>IF(NOT(Paths!$C$277=1),0,IF(Paths!$P$277="Complete",O2987+L2987,"n.a."))</f>
        <v>0</v>
      </c>
      <c r="Q2987" s="16">
        <f>IF(NOT(Paths!$C$277=1),0,IF(Paths!$P$277="Complete",N2987*(1+'Operating costs'!$B$54)^-C2987,"n.a."))</f>
        <v>0</v>
      </c>
      <c r="R2987" s="16">
        <f>IF(NOT(Paths!$C$277=1),0,IF(Paths!$P$277="Complete",IF(AND(C2987=0,Paths!$E$277=0),I2987-J2987-K2987+VLOOKUP(A2987,'Fleet register'!$A$7:$S$106,15,FALSE)+VLOOKUP(A2987,'Fleet register'!$A$7:$S$106,16,FALSE),0),"n.a."))</f>
        <v>0</v>
      </c>
      <c r="S2987" s="1">
        <f>IF(NOT(Paths!$C$277=1),0,IF(Paths!$P$277="Complete",IF(C2987=0,0,Paths!$S$277*Paths!$R$277),"n.a."))</f>
        <v>0</v>
      </c>
      <c r="T2987" s="1">
        <f>IF(NOT(Paths!$C$277=1),0,IF(Paths!$P$277="Complete",IF(C2987=0,0,VLOOKUP(A2987,'Fleet register'!$A$7:$S$106,9,FALSE)*Paths!$R$277),"n.a."))</f>
        <v>0</v>
      </c>
    </row>
    <row r="2988" spans="1:20" ht="24" customHeight="1">
      <c r="A2988" s="1" t="str">
        <f>Paths!$A$278</f>
        <v>T068</v>
      </c>
      <c r="B2988" s="1">
        <f>Paths!$B$278</f>
        <v>3</v>
      </c>
      <c r="C2988" s="1">
        <v>0</v>
      </c>
      <c r="D2988" s="1">
        <v>278</v>
      </c>
      <c r="E2988" s="1">
        <f>IF(OR(Paths!$C$278=0,C2988=0),0,MAX(0,MIN(C2988*12,Paths!$E$278)-(C2988-1)*12))</f>
        <v>0</v>
      </c>
      <c r="F2988" s="1">
        <f>IF(OR(Paths!$C$278=0,C2988=0),0,12-E2988)</f>
        <v>0</v>
      </c>
      <c r="G2988" s="16">
        <f>IF(NOT(Paths!$C$278=1),0,IF(Paths!$P$278="Complete",E2988/12*(Paths!$J$278*(1+'Operating costs'!$B$51)^MAX(0,C2988-1)+Paths!$K$278*(1+'Operating costs'!$B$53)^MAX(0,C2988-1)),"n.a."))</f>
        <v>0</v>
      </c>
      <c r="H2988" s="16">
        <f>IF(NOT(Paths!$C$278=1),0,IF(Paths!$P$278="Complete",F2988/12*(Paths!$L$278*(1+IF(Paths!$D$278="EV",'Operating costs'!$B$52,'Operating costs'!$B$51))^MAX(0,C2988-1)+Paths!$M$278*(1+'Operating costs'!$B$53)^MAX(0,C2988-1)),"n.a."))</f>
        <v>0</v>
      </c>
      <c r="I2988" s="16">
        <f>IF(NOT(Paths!$C$278=1),0,IF(Paths!$P$278="Complete",IF(IF(Paths!$E$278=0,C2988=0,AND(C2988&gt;0,Paths!$E$278&gt;(C2988-1)*12,Paths!$E$278&lt;=C2988*12)),Paths!$G$278,0),"n.a."))</f>
        <v>0</v>
      </c>
      <c r="J2988" s="16">
        <f>IF(NOT(Paths!$C$278=1),0,IF(Paths!$P$278="Complete",IF(IF(Paths!$E$278=0,C2988=0,AND(C2988&gt;0,Paths!$E$278&gt;(C2988-1)*12,Paths!$E$278&lt;=C2988*12)),Paths!$H$278,0),"n.a."))</f>
        <v>0</v>
      </c>
      <c r="K2988" s="16">
        <f>IF(NOT(Paths!$C$278=1),0,IF(Paths!$P$278="Complete",IF(IF(Paths!$O$278=0,C2988=0,AND(C2988&gt;0,Paths!$O$278&gt;(C2988-1)*12,Paths!$O$278&lt;=C2988*12)),Paths!$N$278,0),"n.a."))</f>
        <v>0</v>
      </c>
      <c r="L2988" s="16">
        <f>IF(NOT(Paths!$C$278=1),0,IF(Paths!$P$278="Complete",IF(C2988=10,Paths!$I$278,0),"n.a."))</f>
        <v>0</v>
      </c>
      <c r="M2988" s="16">
        <f>IF(NOT(Paths!$C$278=1),0,IF(Paths!$P$278="Complete",IF(AND(Paths!$D$278="EV",Paths!$E$278&lt;120,Paths!$E$278+'Operating costs'!$B$65&gt;Paths!$E$278,Paths!$E$278+'Operating costs'!$B$65&lt;=120,IF(Paths!$E$278+'Operating costs'!$B$65=0,C2988=0,AND(C2988&gt;0,Paths!$E$278+'Operating costs'!$B$65&gt;(C2988-1)*12,Paths!$E$278+'Operating costs'!$B$65&lt;=C2988*12))),'Operating costs'!$B$64,0)+IF(AND('Operating costs'!$B$67&gt;0,'Operating costs'!$B$67&lt;=120,OR(Paths!$D$278="ICE",'Operating costs'!$B$67&lt;=Paths!$E$278),IF('Operating costs'!$B$67=0,C2988=0,AND(C2988&gt;0,'Operating costs'!$B$67&gt;(C2988-1)*12,'Operating costs'!$B$67&lt;=C2988*12))),'Operating costs'!$B$66,0),"n.a."))</f>
        <v>0</v>
      </c>
      <c r="N2988" s="16">
        <f>IF(NOT(Paths!$C$278=1),0,IF(Paths!$P$278="Complete",SUM(G2988:I2988)-J2988-K2988-L2988+M2988+IF(C2988=0,Paths!$F$278,0)+IF(IF(Paths!$E$278=0,C2988=0,AND(C2988&gt;0,Paths!$E$278&gt;(C2988-1)*12,Paths!$E$278&lt;=C2988*12)),VLOOKUP(A2988,'Fleet register'!$A$7:$S$106,16,FALSE),0),"n.a."))</f>
        <v>0</v>
      </c>
      <c r="O2988" s="16">
        <f>IF(NOT(Paths!$C$278=1),0,IF(Paths!$P$278="Complete",N2988-IF(C2988=0,Paths!$F$278,0),"n.a."))</f>
        <v>0</v>
      </c>
      <c r="P2988" s="16">
        <f>IF(NOT(Paths!$C$278=1),0,IF(Paths!$P$278="Complete",O2988+L2988,"n.a."))</f>
        <v>0</v>
      </c>
      <c r="Q2988" s="16">
        <f>IF(NOT(Paths!$C$278=1),0,IF(Paths!$P$278="Complete",N2988*(1+'Operating costs'!$B$54)^-C2988,"n.a."))</f>
        <v>0</v>
      </c>
      <c r="R2988" s="16">
        <f>IF(NOT(Paths!$C$278=1),0,IF(Paths!$P$278="Complete",IF(AND(C2988=0,Paths!$E$278=0),I2988-J2988-K2988+VLOOKUP(A2988,'Fleet register'!$A$7:$S$106,15,FALSE)+VLOOKUP(A2988,'Fleet register'!$A$7:$S$106,16,FALSE),0),"n.a."))</f>
        <v>0</v>
      </c>
      <c r="S2988" s="1">
        <f>IF(NOT(Paths!$C$278=1),0,IF(Paths!$P$278="Complete",IF(C2988=0,0,Paths!$S$278*Paths!$R$278),"n.a."))</f>
        <v>0</v>
      </c>
      <c r="T2988" s="1">
        <f>IF(NOT(Paths!$C$278=1),0,IF(Paths!$P$278="Complete",IF(C2988=0,0,VLOOKUP(A2988,'Fleet register'!$A$7:$S$106,9,FALSE)*Paths!$R$278),"n.a."))</f>
        <v>0</v>
      </c>
    </row>
    <row r="2989" spans="1:20" ht="24" customHeight="1">
      <c r="A2989" s="1" t="str">
        <f>Paths!$A$278</f>
        <v>T068</v>
      </c>
      <c r="B2989" s="1">
        <f>Paths!$B$278</f>
        <v>3</v>
      </c>
      <c r="C2989" s="1">
        <v>1</v>
      </c>
      <c r="D2989" s="1">
        <v>278</v>
      </c>
      <c r="E2989" s="1">
        <f>IF(OR(Paths!$C$278=0,C2989=0),0,MAX(0,MIN(C2989*12,Paths!$E$278)-(C2989-1)*12))</f>
        <v>0</v>
      </c>
      <c r="F2989" s="1">
        <f>IF(OR(Paths!$C$278=0,C2989=0),0,12-E2989)</f>
        <v>0</v>
      </c>
      <c r="G2989" s="16">
        <f>IF(NOT(Paths!$C$278=1),0,IF(Paths!$P$278="Complete",E2989/12*(Paths!$J$278*(1+'Operating costs'!$B$51)^MAX(0,C2989-1)+Paths!$K$278*(1+'Operating costs'!$B$53)^MAX(0,C2989-1)),"n.a."))</f>
        <v>0</v>
      </c>
      <c r="H2989" s="16">
        <f>IF(NOT(Paths!$C$278=1),0,IF(Paths!$P$278="Complete",F2989/12*(Paths!$L$278*(1+IF(Paths!$D$278="EV",'Operating costs'!$B$52,'Operating costs'!$B$51))^MAX(0,C2989-1)+Paths!$M$278*(1+'Operating costs'!$B$53)^MAX(0,C2989-1)),"n.a."))</f>
        <v>0</v>
      </c>
      <c r="I2989" s="16">
        <f>IF(NOT(Paths!$C$278=1),0,IF(Paths!$P$278="Complete",IF(IF(Paths!$E$278=0,C2989=0,AND(C2989&gt;0,Paths!$E$278&gt;(C2989-1)*12,Paths!$E$278&lt;=C2989*12)),Paths!$G$278,0),"n.a."))</f>
        <v>0</v>
      </c>
      <c r="J2989" s="16">
        <f>IF(NOT(Paths!$C$278=1),0,IF(Paths!$P$278="Complete",IF(IF(Paths!$E$278=0,C2989=0,AND(C2989&gt;0,Paths!$E$278&gt;(C2989-1)*12,Paths!$E$278&lt;=C2989*12)),Paths!$H$278,0),"n.a."))</f>
        <v>0</v>
      </c>
      <c r="K2989" s="16">
        <f>IF(NOT(Paths!$C$278=1),0,IF(Paths!$P$278="Complete",IF(IF(Paths!$O$278=0,C2989=0,AND(C2989&gt;0,Paths!$O$278&gt;(C2989-1)*12,Paths!$O$278&lt;=C2989*12)),Paths!$N$278,0),"n.a."))</f>
        <v>0</v>
      </c>
      <c r="L2989" s="16">
        <f>IF(NOT(Paths!$C$278=1),0,IF(Paths!$P$278="Complete",IF(C2989=10,Paths!$I$278,0),"n.a."))</f>
        <v>0</v>
      </c>
      <c r="M2989" s="16">
        <f>IF(NOT(Paths!$C$278=1),0,IF(Paths!$P$278="Complete",IF(AND(Paths!$D$278="EV",Paths!$E$278&lt;120,Paths!$E$278+'Operating costs'!$B$65&gt;Paths!$E$278,Paths!$E$278+'Operating costs'!$B$65&lt;=120,IF(Paths!$E$278+'Operating costs'!$B$65=0,C2989=0,AND(C2989&gt;0,Paths!$E$278+'Operating costs'!$B$65&gt;(C2989-1)*12,Paths!$E$278+'Operating costs'!$B$65&lt;=C2989*12))),'Operating costs'!$B$64,0)+IF(AND('Operating costs'!$B$67&gt;0,'Operating costs'!$B$67&lt;=120,OR(Paths!$D$278="ICE",'Operating costs'!$B$67&lt;=Paths!$E$278),IF('Operating costs'!$B$67=0,C2989=0,AND(C2989&gt;0,'Operating costs'!$B$67&gt;(C2989-1)*12,'Operating costs'!$B$67&lt;=C2989*12))),'Operating costs'!$B$66,0),"n.a."))</f>
        <v>0</v>
      </c>
      <c r="N2989" s="16">
        <f>IF(NOT(Paths!$C$278=1),0,IF(Paths!$P$278="Complete",SUM(G2989:I2989)-J2989-K2989-L2989+M2989+IF(C2989=0,Paths!$F$278,0)+IF(IF(Paths!$E$278=0,C2989=0,AND(C2989&gt;0,Paths!$E$278&gt;(C2989-1)*12,Paths!$E$278&lt;=C2989*12)),VLOOKUP(A2989,'Fleet register'!$A$7:$S$106,16,FALSE),0),"n.a."))</f>
        <v>0</v>
      </c>
      <c r="O2989" s="16">
        <f>IF(NOT(Paths!$C$278=1),0,IF(Paths!$P$278="Complete",N2989-IF(C2989=0,Paths!$F$278,0),"n.a."))</f>
        <v>0</v>
      </c>
      <c r="P2989" s="16">
        <f>IF(NOT(Paths!$C$278=1),0,IF(Paths!$P$278="Complete",O2989+L2989,"n.a."))</f>
        <v>0</v>
      </c>
      <c r="Q2989" s="16">
        <f>IF(NOT(Paths!$C$278=1),0,IF(Paths!$P$278="Complete",N2989*(1+'Operating costs'!$B$54)^-C2989,"n.a."))</f>
        <v>0</v>
      </c>
      <c r="R2989" s="16">
        <f>IF(NOT(Paths!$C$278=1),0,IF(Paths!$P$278="Complete",IF(AND(C2989=0,Paths!$E$278=0),I2989-J2989-K2989+VLOOKUP(A2989,'Fleet register'!$A$7:$S$106,15,FALSE)+VLOOKUP(A2989,'Fleet register'!$A$7:$S$106,16,FALSE),0),"n.a."))</f>
        <v>0</v>
      </c>
      <c r="S2989" s="1">
        <f>IF(NOT(Paths!$C$278=1),0,IF(Paths!$P$278="Complete",IF(C2989=0,0,Paths!$S$278*Paths!$R$278),"n.a."))</f>
        <v>0</v>
      </c>
      <c r="T2989" s="1">
        <f>IF(NOT(Paths!$C$278=1),0,IF(Paths!$P$278="Complete",IF(C2989=0,0,VLOOKUP(A2989,'Fleet register'!$A$7:$S$106,9,FALSE)*Paths!$R$278),"n.a."))</f>
        <v>0</v>
      </c>
    </row>
    <row r="2990" spans="1:20" ht="24" customHeight="1">
      <c r="A2990" s="1" t="str">
        <f>Paths!$A$278</f>
        <v>T068</v>
      </c>
      <c r="B2990" s="1">
        <f>Paths!$B$278</f>
        <v>3</v>
      </c>
      <c r="C2990" s="1">
        <v>2</v>
      </c>
      <c r="D2990" s="1">
        <v>278</v>
      </c>
      <c r="E2990" s="1">
        <f>IF(OR(Paths!$C$278=0,C2990=0),0,MAX(0,MIN(C2990*12,Paths!$E$278)-(C2990-1)*12))</f>
        <v>0</v>
      </c>
      <c r="F2990" s="1">
        <f>IF(OR(Paths!$C$278=0,C2990=0),0,12-E2990)</f>
        <v>0</v>
      </c>
      <c r="G2990" s="16">
        <f>IF(NOT(Paths!$C$278=1),0,IF(Paths!$P$278="Complete",E2990/12*(Paths!$J$278*(1+'Operating costs'!$B$51)^MAX(0,C2990-1)+Paths!$K$278*(1+'Operating costs'!$B$53)^MAX(0,C2990-1)),"n.a."))</f>
        <v>0</v>
      </c>
      <c r="H2990" s="16">
        <f>IF(NOT(Paths!$C$278=1),0,IF(Paths!$P$278="Complete",F2990/12*(Paths!$L$278*(1+IF(Paths!$D$278="EV",'Operating costs'!$B$52,'Operating costs'!$B$51))^MAX(0,C2990-1)+Paths!$M$278*(1+'Operating costs'!$B$53)^MAX(0,C2990-1)),"n.a."))</f>
        <v>0</v>
      </c>
      <c r="I2990" s="16">
        <f>IF(NOT(Paths!$C$278=1),0,IF(Paths!$P$278="Complete",IF(IF(Paths!$E$278=0,C2990=0,AND(C2990&gt;0,Paths!$E$278&gt;(C2990-1)*12,Paths!$E$278&lt;=C2990*12)),Paths!$G$278,0),"n.a."))</f>
        <v>0</v>
      </c>
      <c r="J2990" s="16">
        <f>IF(NOT(Paths!$C$278=1),0,IF(Paths!$P$278="Complete",IF(IF(Paths!$E$278=0,C2990=0,AND(C2990&gt;0,Paths!$E$278&gt;(C2990-1)*12,Paths!$E$278&lt;=C2990*12)),Paths!$H$278,0),"n.a."))</f>
        <v>0</v>
      </c>
      <c r="K2990" s="16">
        <f>IF(NOT(Paths!$C$278=1),0,IF(Paths!$P$278="Complete",IF(IF(Paths!$O$278=0,C2990=0,AND(C2990&gt;0,Paths!$O$278&gt;(C2990-1)*12,Paths!$O$278&lt;=C2990*12)),Paths!$N$278,0),"n.a."))</f>
        <v>0</v>
      </c>
      <c r="L2990" s="16">
        <f>IF(NOT(Paths!$C$278=1),0,IF(Paths!$P$278="Complete",IF(C2990=10,Paths!$I$278,0),"n.a."))</f>
        <v>0</v>
      </c>
      <c r="M2990" s="16">
        <f>IF(NOT(Paths!$C$278=1),0,IF(Paths!$P$278="Complete",IF(AND(Paths!$D$278="EV",Paths!$E$278&lt;120,Paths!$E$278+'Operating costs'!$B$65&gt;Paths!$E$278,Paths!$E$278+'Operating costs'!$B$65&lt;=120,IF(Paths!$E$278+'Operating costs'!$B$65=0,C2990=0,AND(C2990&gt;0,Paths!$E$278+'Operating costs'!$B$65&gt;(C2990-1)*12,Paths!$E$278+'Operating costs'!$B$65&lt;=C2990*12))),'Operating costs'!$B$64,0)+IF(AND('Operating costs'!$B$67&gt;0,'Operating costs'!$B$67&lt;=120,OR(Paths!$D$278="ICE",'Operating costs'!$B$67&lt;=Paths!$E$278),IF('Operating costs'!$B$67=0,C2990=0,AND(C2990&gt;0,'Operating costs'!$B$67&gt;(C2990-1)*12,'Operating costs'!$B$67&lt;=C2990*12))),'Operating costs'!$B$66,0),"n.a."))</f>
        <v>0</v>
      </c>
      <c r="N2990" s="16">
        <f>IF(NOT(Paths!$C$278=1),0,IF(Paths!$P$278="Complete",SUM(G2990:I2990)-J2990-K2990-L2990+M2990+IF(C2990=0,Paths!$F$278,0)+IF(IF(Paths!$E$278=0,C2990=0,AND(C2990&gt;0,Paths!$E$278&gt;(C2990-1)*12,Paths!$E$278&lt;=C2990*12)),VLOOKUP(A2990,'Fleet register'!$A$7:$S$106,16,FALSE),0),"n.a."))</f>
        <v>0</v>
      </c>
      <c r="O2990" s="16">
        <f>IF(NOT(Paths!$C$278=1),0,IF(Paths!$P$278="Complete",N2990-IF(C2990=0,Paths!$F$278,0),"n.a."))</f>
        <v>0</v>
      </c>
      <c r="P2990" s="16">
        <f>IF(NOT(Paths!$C$278=1),0,IF(Paths!$P$278="Complete",O2990+L2990,"n.a."))</f>
        <v>0</v>
      </c>
      <c r="Q2990" s="16">
        <f>IF(NOT(Paths!$C$278=1),0,IF(Paths!$P$278="Complete",N2990*(1+'Operating costs'!$B$54)^-C2990,"n.a."))</f>
        <v>0</v>
      </c>
      <c r="R2990" s="16">
        <f>IF(NOT(Paths!$C$278=1),0,IF(Paths!$P$278="Complete",IF(AND(C2990=0,Paths!$E$278=0),I2990-J2990-K2990+VLOOKUP(A2990,'Fleet register'!$A$7:$S$106,15,FALSE)+VLOOKUP(A2990,'Fleet register'!$A$7:$S$106,16,FALSE),0),"n.a."))</f>
        <v>0</v>
      </c>
      <c r="S2990" s="1">
        <f>IF(NOT(Paths!$C$278=1),0,IF(Paths!$P$278="Complete",IF(C2990=0,0,Paths!$S$278*Paths!$R$278),"n.a."))</f>
        <v>0</v>
      </c>
      <c r="T2990" s="1">
        <f>IF(NOT(Paths!$C$278=1),0,IF(Paths!$P$278="Complete",IF(C2990=0,0,VLOOKUP(A2990,'Fleet register'!$A$7:$S$106,9,FALSE)*Paths!$R$278),"n.a."))</f>
        <v>0</v>
      </c>
    </row>
    <row r="2991" spans="1:20" ht="24" customHeight="1">
      <c r="A2991" s="1" t="str">
        <f>Paths!$A$278</f>
        <v>T068</v>
      </c>
      <c r="B2991" s="1">
        <f>Paths!$B$278</f>
        <v>3</v>
      </c>
      <c r="C2991" s="1">
        <v>3</v>
      </c>
      <c r="D2991" s="1">
        <v>278</v>
      </c>
      <c r="E2991" s="1">
        <f>IF(OR(Paths!$C$278=0,C2991=0),0,MAX(0,MIN(C2991*12,Paths!$E$278)-(C2991-1)*12))</f>
        <v>0</v>
      </c>
      <c r="F2991" s="1">
        <f>IF(OR(Paths!$C$278=0,C2991=0),0,12-E2991)</f>
        <v>0</v>
      </c>
      <c r="G2991" s="16">
        <f>IF(NOT(Paths!$C$278=1),0,IF(Paths!$P$278="Complete",E2991/12*(Paths!$J$278*(1+'Operating costs'!$B$51)^MAX(0,C2991-1)+Paths!$K$278*(1+'Operating costs'!$B$53)^MAX(0,C2991-1)),"n.a."))</f>
        <v>0</v>
      </c>
      <c r="H2991" s="16">
        <f>IF(NOT(Paths!$C$278=1),0,IF(Paths!$P$278="Complete",F2991/12*(Paths!$L$278*(1+IF(Paths!$D$278="EV",'Operating costs'!$B$52,'Operating costs'!$B$51))^MAX(0,C2991-1)+Paths!$M$278*(1+'Operating costs'!$B$53)^MAX(0,C2991-1)),"n.a."))</f>
        <v>0</v>
      </c>
      <c r="I2991" s="16">
        <f>IF(NOT(Paths!$C$278=1),0,IF(Paths!$P$278="Complete",IF(IF(Paths!$E$278=0,C2991=0,AND(C2991&gt;0,Paths!$E$278&gt;(C2991-1)*12,Paths!$E$278&lt;=C2991*12)),Paths!$G$278,0),"n.a."))</f>
        <v>0</v>
      </c>
      <c r="J2991" s="16">
        <f>IF(NOT(Paths!$C$278=1),0,IF(Paths!$P$278="Complete",IF(IF(Paths!$E$278=0,C2991=0,AND(C2991&gt;0,Paths!$E$278&gt;(C2991-1)*12,Paths!$E$278&lt;=C2991*12)),Paths!$H$278,0),"n.a."))</f>
        <v>0</v>
      </c>
      <c r="K2991" s="16">
        <f>IF(NOT(Paths!$C$278=1),0,IF(Paths!$P$278="Complete",IF(IF(Paths!$O$278=0,C2991=0,AND(C2991&gt;0,Paths!$O$278&gt;(C2991-1)*12,Paths!$O$278&lt;=C2991*12)),Paths!$N$278,0),"n.a."))</f>
        <v>0</v>
      </c>
      <c r="L2991" s="16">
        <f>IF(NOT(Paths!$C$278=1),0,IF(Paths!$P$278="Complete",IF(C2991=10,Paths!$I$278,0),"n.a."))</f>
        <v>0</v>
      </c>
      <c r="M2991" s="16">
        <f>IF(NOT(Paths!$C$278=1),0,IF(Paths!$P$278="Complete",IF(AND(Paths!$D$278="EV",Paths!$E$278&lt;120,Paths!$E$278+'Operating costs'!$B$65&gt;Paths!$E$278,Paths!$E$278+'Operating costs'!$B$65&lt;=120,IF(Paths!$E$278+'Operating costs'!$B$65=0,C2991=0,AND(C2991&gt;0,Paths!$E$278+'Operating costs'!$B$65&gt;(C2991-1)*12,Paths!$E$278+'Operating costs'!$B$65&lt;=C2991*12))),'Operating costs'!$B$64,0)+IF(AND('Operating costs'!$B$67&gt;0,'Operating costs'!$B$67&lt;=120,OR(Paths!$D$278="ICE",'Operating costs'!$B$67&lt;=Paths!$E$278),IF('Operating costs'!$B$67=0,C2991=0,AND(C2991&gt;0,'Operating costs'!$B$67&gt;(C2991-1)*12,'Operating costs'!$B$67&lt;=C2991*12))),'Operating costs'!$B$66,0),"n.a."))</f>
        <v>0</v>
      </c>
      <c r="N2991" s="16">
        <f>IF(NOT(Paths!$C$278=1),0,IF(Paths!$P$278="Complete",SUM(G2991:I2991)-J2991-K2991-L2991+M2991+IF(C2991=0,Paths!$F$278,0)+IF(IF(Paths!$E$278=0,C2991=0,AND(C2991&gt;0,Paths!$E$278&gt;(C2991-1)*12,Paths!$E$278&lt;=C2991*12)),VLOOKUP(A2991,'Fleet register'!$A$7:$S$106,16,FALSE),0),"n.a."))</f>
        <v>0</v>
      </c>
      <c r="O2991" s="16">
        <f>IF(NOT(Paths!$C$278=1),0,IF(Paths!$P$278="Complete",N2991-IF(C2991=0,Paths!$F$278,0),"n.a."))</f>
        <v>0</v>
      </c>
      <c r="P2991" s="16">
        <f>IF(NOT(Paths!$C$278=1),0,IF(Paths!$P$278="Complete",O2991+L2991,"n.a."))</f>
        <v>0</v>
      </c>
      <c r="Q2991" s="16">
        <f>IF(NOT(Paths!$C$278=1),0,IF(Paths!$P$278="Complete",N2991*(1+'Operating costs'!$B$54)^-C2991,"n.a."))</f>
        <v>0</v>
      </c>
      <c r="R2991" s="16">
        <f>IF(NOT(Paths!$C$278=1),0,IF(Paths!$P$278="Complete",IF(AND(C2991=0,Paths!$E$278=0),I2991-J2991-K2991+VLOOKUP(A2991,'Fleet register'!$A$7:$S$106,15,FALSE)+VLOOKUP(A2991,'Fleet register'!$A$7:$S$106,16,FALSE),0),"n.a."))</f>
        <v>0</v>
      </c>
      <c r="S2991" s="1">
        <f>IF(NOT(Paths!$C$278=1),0,IF(Paths!$P$278="Complete",IF(C2991=0,0,Paths!$S$278*Paths!$R$278),"n.a."))</f>
        <v>0</v>
      </c>
      <c r="T2991" s="1">
        <f>IF(NOT(Paths!$C$278=1),0,IF(Paths!$P$278="Complete",IF(C2991=0,0,VLOOKUP(A2991,'Fleet register'!$A$7:$S$106,9,FALSE)*Paths!$R$278),"n.a."))</f>
        <v>0</v>
      </c>
    </row>
    <row r="2992" spans="1:20" ht="24" customHeight="1">
      <c r="A2992" s="1" t="str">
        <f>Paths!$A$278</f>
        <v>T068</v>
      </c>
      <c r="B2992" s="1">
        <f>Paths!$B$278</f>
        <v>3</v>
      </c>
      <c r="C2992" s="1">
        <v>4</v>
      </c>
      <c r="D2992" s="1">
        <v>278</v>
      </c>
      <c r="E2992" s="1">
        <f>IF(OR(Paths!$C$278=0,C2992=0),0,MAX(0,MIN(C2992*12,Paths!$E$278)-(C2992-1)*12))</f>
        <v>0</v>
      </c>
      <c r="F2992" s="1">
        <f>IF(OR(Paths!$C$278=0,C2992=0),0,12-E2992)</f>
        <v>0</v>
      </c>
      <c r="G2992" s="16">
        <f>IF(NOT(Paths!$C$278=1),0,IF(Paths!$P$278="Complete",E2992/12*(Paths!$J$278*(1+'Operating costs'!$B$51)^MAX(0,C2992-1)+Paths!$K$278*(1+'Operating costs'!$B$53)^MAX(0,C2992-1)),"n.a."))</f>
        <v>0</v>
      </c>
      <c r="H2992" s="16">
        <f>IF(NOT(Paths!$C$278=1),0,IF(Paths!$P$278="Complete",F2992/12*(Paths!$L$278*(1+IF(Paths!$D$278="EV",'Operating costs'!$B$52,'Operating costs'!$B$51))^MAX(0,C2992-1)+Paths!$M$278*(1+'Operating costs'!$B$53)^MAX(0,C2992-1)),"n.a."))</f>
        <v>0</v>
      </c>
      <c r="I2992" s="16">
        <f>IF(NOT(Paths!$C$278=1),0,IF(Paths!$P$278="Complete",IF(IF(Paths!$E$278=0,C2992=0,AND(C2992&gt;0,Paths!$E$278&gt;(C2992-1)*12,Paths!$E$278&lt;=C2992*12)),Paths!$G$278,0),"n.a."))</f>
        <v>0</v>
      </c>
      <c r="J2992" s="16">
        <f>IF(NOT(Paths!$C$278=1),0,IF(Paths!$P$278="Complete",IF(IF(Paths!$E$278=0,C2992=0,AND(C2992&gt;0,Paths!$E$278&gt;(C2992-1)*12,Paths!$E$278&lt;=C2992*12)),Paths!$H$278,0),"n.a."))</f>
        <v>0</v>
      </c>
      <c r="K2992" s="16">
        <f>IF(NOT(Paths!$C$278=1),0,IF(Paths!$P$278="Complete",IF(IF(Paths!$O$278=0,C2992=0,AND(C2992&gt;0,Paths!$O$278&gt;(C2992-1)*12,Paths!$O$278&lt;=C2992*12)),Paths!$N$278,0),"n.a."))</f>
        <v>0</v>
      </c>
      <c r="L2992" s="16">
        <f>IF(NOT(Paths!$C$278=1),0,IF(Paths!$P$278="Complete",IF(C2992=10,Paths!$I$278,0),"n.a."))</f>
        <v>0</v>
      </c>
      <c r="M2992" s="16">
        <f>IF(NOT(Paths!$C$278=1),0,IF(Paths!$P$278="Complete",IF(AND(Paths!$D$278="EV",Paths!$E$278&lt;120,Paths!$E$278+'Operating costs'!$B$65&gt;Paths!$E$278,Paths!$E$278+'Operating costs'!$B$65&lt;=120,IF(Paths!$E$278+'Operating costs'!$B$65=0,C2992=0,AND(C2992&gt;0,Paths!$E$278+'Operating costs'!$B$65&gt;(C2992-1)*12,Paths!$E$278+'Operating costs'!$B$65&lt;=C2992*12))),'Operating costs'!$B$64,0)+IF(AND('Operating costs'!$B$67&gt;0,'Operating costs'!$B$67&lt;=120,OR(Paths!$D$278="ICE",'Operating costs'!$B$67&lt;=Paths!$E$278),IF('Operating costs'!$B$67=0,C2992=0,AND(C2992&gt;0,'Operating costs'!$B$67&gt;(C2992-1)*12,'Operating costs'!$B$67&lt;=C2992*12))),'Operating costs'!$B$66,0),"n.a."))</f>
        <v>0</v>
      </c>
      <c r="N2992" s="16">
        <f>IF(NOT(Paths!$C$278=1),0,IF(Paths!$P$278="Complete",SUM(G2992:I2992)-J2992-K2992-L2992+M2992+IF(C2992=0,Paths!$F$278,0)+IF(IF(Paths!$E$278=0,C2992=0,AND(C2992&gt;0,Paths!$E$278&gt;(C2992-1)*12,Paths!$E$278&lt;=C2992*12)),VLOOKUP(A2992,'Fleet register'!$A$7:$S$106,16,FALSE),0),"n.a."))</f>
        <v>0</v>
      </c>
      <c r="O2992" s="16">
        <f>IF(NOT(Paths!$C$278=1),0,IF(Paths!$P$278="Complete",N2992-IF(C2992=0,Paths!$F$278,0),"n.a."))</f>
        <v>0</v>
      </c>
      <c r="P2992" s="16">
        <f>IF(NOT(Paths!$C$278=1),0,IF(Paths!$P$278="Complete",O2992+L2992,"n.a."))</f>
        <v>0</v>
      </c>
      <c r="Q2992" s="16">
        <f>IF(NOT(Paths!$C$278=1),0,IF(Paths!$P$278="Complete",N2992*(1+'Operating costs'!$B$54)^-C2992,"n.a."))</f>
        <v>0</v>
      </c>
      <c r="R2992" s="16">
        <f>IF(NOT(Paths!$C$278=1),0,IF(Paths!$P$278="Complete",IF(AND(C2992=0,Paths!$E$278=0),I2992-J2992-K2992+VLOOKUP(A2992,'Fleet register'!$A$7:$S$106,15,FALSE)+VLOOKUP(A2992,'Fleet register'!$A$7:$S$106,16,FALSE),0),"n.a."))</f>
        <v>0</v>
      </c>
      <c r="S2992" s="1">
        <f>IF(NOT(Paths!$C$278=1),0,IF(Paths!$P$278="Complete",IF(C2992=0,0,Paths!$S$278*Paths!$R$278),"n.a."))</f>
        <v>0</v>
      </c>
      <c r="T2992" s="1">
        <f>IF(NOT(Paths!$C$278=1),0,IF(Paths!$P$278="Complete",IF(C2992=0,0,VLOOKUP(A2992,'Fleet register'!$A$7:$S$106,9,FALSE)*Paths!$R$278),"n.a."))</f>
        <v>0</v>
      </c>
    </row>
    <row r="2993" spans="1:20" ht="24" customHeight="1">
      <c r="A2993" s="1" t="str">
        <f>Paths!$A$278</f>
        <v>T068</v>
      </c>
      <c r="B2993" s="1">
        <f>Paths!$B$278</f>
        <v>3</v>
      </c>
      <c r="C2993" s="1">
        <v>5</v>
      </c>
      <c r="D2993" s="1">
        <v>278</v>
      </c>
      <c r="E2993" s="1">
        <f>IF(OR(Paths!$C$278=0,C2993=0),0,MAX(0,MIN(C2993*12,Paths!$E$278)-(C2993-1)*12))</f>
        <v>0</v>
      </c>
      <c r="F2993" s="1">
        <f>IF(OR(Paths!$C$278=0,C2993=0),0,12-E2993)</f>
        <v>0</v>
      </c>
      <c r="G2993" s="16">
        <f>IF(NOT(Paths!$C$278=1),0,IF(Paths!$P$278="Complete",E2993/12*(Paths!$J$278*(1+'Operating costs'!$B$51)^MAX(0,C2993-1)+Paths!$K$278*(1+'Operating costs'!$B$53)^MAX(0,C2993-1)),"n.a."))</f>
        <v>0</v>
      </c>
      <c r="H2993" s="16">
        <f>IF(NOT(Paths!$C$278=1),0,IF(Paths!$P$278="Complete",F2993/12*(Paths!$L$278*(1+IF(Paths!$D$278="EV",'Operating costs'!$B$52,'Operating costs'!$B$51))^MAX(0,C2993-1)+Paths!$M$278*(1+'Operating costs'!$B$53)^MAX(0,C2993-1)),"n.a."))</f>
        <v>0</v>
      </c>
      <c r="I2993" s="16">
        <f>IF(NOT(Paths!$C$278=1),0,IF(Paths!$P$278="Complete",IF(IF(Paths!$E$278=0,C2993=0,AND(C2993&gt;0,Paths!$E$278&gt;(C2993-1)*12,Paths!$E$278&lt;=C2993*12)),Paths!$G$278,0),"n.a."))</f>
        <v>0</v>
      </c>
      <c r="J2993" s="16">
        <f>IF(NOT(Paths!$C$278=1),0,IF(Paths!$P$278="Complete",IF(IF(Paths!$E$278=0,C2993=0,AND(C2993&gt;0,Paths!$E$278&gt;(C2993-1)*12,Paths!$E$278&lt;=C2993*12)),Paths!$H$278,0),"n.a."))</f>
        <v>0</v>
      </c>
      <c r="K2993" s="16">
        <f>IF(NOT(Paths!$C$278=1),0,IF(Paths!$P$278="Complete",IF(IF(Paths!$O$278=0,C2993=0,AND(C2993&gt;0,Paths!$O$278&gt;(C2993-1)*12,Paths!$O$278&lt;=C2993*12)),Paths!$N$278,0),"n.a."))</f>
        <v>0</v>
      </c>
      <c r="L2993" s="16">
        <f>IF(NOT(Paths!$C$278=1),0,IF(Paths!$P$278="Complete",IF(C2993=10,Paths!$I$278,0),"n.a."))</f>
        <v>0</v>
      </c>
      <c r="M2993" s="16">
        <f>IF(NOT(Paths!$C$278=1),0,IF(Paths!$P$278="Complete",IF(AND(Paths!$D$278="EV",Paths!$E$278&lt;120,Paths!$E$278+'Operating costs'!$B$65&gt;Paths!$E$278,Paths!$E$278+'Operating costs'!$B$65&lt;=120,IF(Paths!$E$278+'Operating costs'!$B$65=0,C2993=0,AND(C2993&gt;0,Paths!$E$278+'Operating costs'!$B$65&gt;(C2993-1)*12,Paths!$E$278+'Operating costs'!$B$65&lt;=C2993*12))),'Operating costs'!$B$64,0)+IF(AND('Operating costs'!$B$67&gt;0,'Operating costs'!$B$67&lt;=120,OR(Paths!$D$278="ICE",'Operating costs'!$B$67&lt;=Paths!$E$278),IF('Operating costs'!$B$67=0,C2993=0,AND(C2993&gt;0,'Operating costs'!$B$67&gt;(C2993-1)*12,'Operating costs'!$B$67&lt;=C2993*12))),'Operating costs'!$B$66,0),"n.a."))</f>
        <v>0</v>
      </c>
      <c r="N2993" s="16">
        <f>IF(NOT(Paths!$C$278=1),0,IF(Paths!$P$278="Complete",SUM(G2993:I2993)-J2993-K2993-L2993+M2993+IF(C2993=0,Paths!$F$278,0)+IF(IF(Paths!$E$278=0,C2993=0,AND(C2993&gt;0,Paths!$E$278&gt;(C2993-1)*12,Paths!$E$278&lt;=C2993*12)),VLOOKUP(A2993,'Fleet register'!$A$7:$S$106,16,FALSE),0),"n.a."))</f>
        <v>0</v>
      </c>
      <c r="O2993" s="16">
        <f>IF(NOT(Paths!$C$278=1),0,IF(Paths!$P$278="Complete",N2993-IF(C2993=0,Paths!$F$278,0),"n.a."))</f>
        <v>0</v>
      </c>
      <c r="P2993" s="16">
        <f>IF(NOT(Paths!$C$278=1),0,IF(Paths!$P$278="Complete",O2993+L2993,"n.a."))</f>
        <v>0</v>
      </c>
      <c r="Q2993" s="16">
        <f>IF(NOT(Paths!$C$278=1),0,IF(Paths!$P$278="Complete",N2993*(1+'Operating costs'!$B$54)^-C2993,"n.a."))</f>
        <v>0</v>
      </c>
      <c r="R2993" s="16">
        <f>IF(NOT(Paths!$C$278=1),0,IF(Paths!$P$278="Complete",IF(AND(C2993=0,Paths!$E$278=0),I2993-J2993-K2993+VLOOKUP(A2993,'Fleet register'!$A$7:$S$106,15,FALSE)+VLOOKUP(A2993,'Fleet register'!$A$7:$S$106,16,FALSE),0),"n.a."))</f>
        <v>0</v>
      </c>
      <c r="S2993" s="1">
        <f>IF(NOT(Paths!$C$278=1),0,IF(Paths!$P$278="Complete",IF(C2993=0,0,Paths!$S$278*Paths!$R$278),"n.a."))</f>
        <v>0</v>
      </c>
      <c r="T2993" s="1">
        <f>IF(NOT(Paths!$C$278=1),0,IF(Paths!$P$278="Complete",IF(C2993=0,0,VLOOKUP(A2993,'Fleet register'!$A$7:$S$106,9,FALSE)*Paths!$R$278),"n.a."))</f>
        <v>0</v>
      </c>
    </row>
    <row r="2994" spans="1:20" ht="24" customHeight="1">
      <c r="A2994" s="1" t="str">
        <f>Paths!$A$278</f>
        <v>T068</v>
      </c>
      <c r="B2994" s="1">
        <f>Paths!$B$278</f>
        <v>3</v>
      </c>
      <c r="C2994" s="1">
        <v>6</v>
      </c>
      <c r="D2994" s="1">
        <v>278</v>
      </c>
      <c r="E2994" s="1">
        <f>IF(OR(Paths!$C$278=0,C2994=0),0,MAX(0,MIN(C2994*12,Paths!$E$278)-(C2994-1)*12))</f>
        <v>0</v>
      </c>
      <c r="F2994" s="1">
        <f>IF(OR(Paths!$C$278=0,C2994=0),0,12-E2994)</f>
        <v>0</v>
      </c>
      <c r="G2994" s="16">
        <f>IF(NOT(Paths!$C$278=1),0,IF(Paths!$P$278="Complete",E2994/12*(Paths!$J$278*(1+'Operating costs'!$B$51)^MAX(0,C2994-1)+Paths!$K$278*(1+'Operating costs'!$B$53)^MAX(0,C2994-1)),"n.a."))</f>
        <v>0</v>
      </c>
      <c r="H2994" s="16">
        <f>IF(NOT(Paths!$C$278=1),0,IF(Paths!$P$278="Complete",F2994/12*(Paths!$L$278*(1+IF(Paths!$D$278="EV",'Operating costs'!$B$52,'Operating costs'!$B$51))^MAX(0,C2994-1)+Paths!$M$278*(1+'Operating costs'!$B$53)^MAX(0,C2994-1)),"n.a."))</f>
        <v>0</v>
      </c>
      <c r="I2994" s="16">
        <f>IF(NOT(Paths!$C$278=1),0,IF(Paths!$P$278="Complete",IF(IF(Paths!$E$278=0,C2994=0,AND(C2994&gt;0,Paths!$E$278&gt;(C2994-1)*12,Paths!$E$278&lt;=C2994*12)),Paths!$G$278,0),"n.a."))</f>
        <v>0</v>
      </c>
      <c r="J2994" s="16">
        <f>IF(NOT(Paths!$C$278=1),0,IF(Paths!$P$278="Complete",IF(IF(Paths!$E$278=0,C2994=0,AND(C2994&gt;0,Paths!$E$278&gt;(C2994-1)*12,Paths!$E$278&lt;=C2994*12)),Paths!$H$278,0),"n.a."))</f>
        <v>0</v>
      </c>
      <c r="K2994" s="16">
        <f>IF(NOT(Paths!$C$278=1),0,IF(Paths!$P$278="Complete",IF(IF(Paths!$O$278=0,C2994=0,AND(C2994&gt;0,Paths!$O$278&gt;(C2994-1)*12,Paths!$O$278&lt;=C2994*12)),Paths!$N$278,0),"n.a."))</f>
        <v>0</v>
      </c>
      <c r="L2994" s="16">
        <f>IF(NOT(Paths!$C$278=1),0,IF(Paths!$P$278="Complete",IF(C2994=10,Paths!$I$278,0),"n.a."))</f>
        <v>0</v>
      </c>
      <c r="M2994" s="16">
        <f>IF(NOT(Paths!$C$278=1),0,IF(Paths!$P$278="Complete",IF(AND(Paths!$D$278="EV",Paths!$E$278&lt;120,Paths!$E$278+'Operating costs'!$B$65&gt;Paths!$E$278,Paths!$E$278+'Operating costs'!$B$65&lt;=120,IF(Paths!$E$278+'Operating costs'!$B$65=0,C2994=0,AND(C2994&gt;0,Paths!$E$278+'Operating costs'!$B$65&gt;(C2994-1)*12,Paths!$E$278+'Operating costs'!$B$65&lt;=C2994*12))),'Operating costs'!$B$64,0)+IF(AND('Operating costs'!$B$67&gt;0,'Operating costs'!$B$67&lt;=120,OR(Paths!$D$278="ICE",'Operating costs'!$B$67&lt;=Paths!$E$278),IF('Operating costs'!$B$67=0,C2994=0,AND(C2994&gt;0,'Operating costs'!$B$67&gt;(C2994-1)*12,'Operating costs'!$B$67&lt;=C2994*12))),'Operating costs'!$B$66,0),"n.a."))</f>
        <v>0</v>
      </c>
      <c r="N2994" s="16">
        <f>IF(NOT(Paths!$C$278=1),0,IF(Paths!$P$278="Complete",SUM(G2994:I2994)-J2994-K2994-L2994+M2994+IF(C2994=0,Paths!$F$278,0)+IF(IF(Paths!$E$278=0,C2994=0,AND(C2994&gt;0,Paths!$E$278&gt;(C2994-1)*12,Paths!$E$278&lt;=C2994*12)),VLOOKUP(A2994,'Fleet register'!$A$7:$S$106,16,FALSE),0),"n.a."))</f>
        <v>0</v>
      </c>
      <c r="O2994" s="16">
        <f>IF(NOT(Paths!$C$278=1),0,IF(Paths!$P$278="Complete",N2994-IF(C2994=0,Paths!$F$278,0),"n.a."))</f>
        <v>0</v>
      </c>
      <c r="P2994" s="16">
        <f>IF(NOT(Paths!$C$278=1),0,IF(Paths!$P$278="Complete",O2994+L2994,"n.a."))</f>
        <v>0</v>
      </c>
      <c r="Q2994" s="16">
        <f>IF(NOT(Paths!$C$278=1),0,IF(Paths!$P$278="Complete",N2994*(1+'Operating costs'!$B$54)^-C2994,"n.a."))</f>
        <v>0</v>
      </c>
      <c r="R2994" s="16">
        <f>IF(NOT(Paths!$C$278=1),0,IF(Paths!$P$278="Complete",IF(AND(C2994=0,Paths!$E$278=0),I2994-J2994-K2994+VLOOKUP(A2994,'Fleet register'!$A$7:$S$106,15,FALSE)+VLOOKUP(A2994,'Fleet register'!$A$7:$S$106,16,FALSE),0),"n.a."))</f>
        <v>0</v>
      </c>
      <c r="S2994" s="1">
        <f>IF(NOT(Paths!$C$278=1),0,IF(Paths!$P$278="Complete",IF(C2994=0,0,Paths!$S$278*Paths!$R$278),"n.a."))</f>
        <v>0</v>
      </c>
      <c r="T2994" s="1">
        <f>IF(NOT(Paths!$C$278=1),0,IF(Paths!$P$278="Complete",IF(C2994=0,0,VLOOKUP(A2994,'Fleet register'!$A$7:$S$106,9,FALSE)*Paths!$R$278),"n.a."))</f>
        <v>0</v>
      </c>
    </row>
    <row r="2995" spans="1:20" ht="24" customHeight="1">
      <c r="A2995" s="1" t="str">
        <f>Paths!$A$278</f>
        <v>T068</v>
      </c>
      <c r="B2995" s="1">
        <f>Paths!$B$278</f>
        <v>3</v>
      </c>
      <c r="C2995" s="1">
        <v>7</v>
      </c>
      <c r="D2995" s="1">
        <v>278</v>
      </c>
      <c r="E2995" s="1">
        <f>IF(OR(Paths!$C$278=0,C2995=0),0,MAX(0,MIN(C2995*12,Paths!$E$278)-(C2995-1)*12))</f>
        <v>0</v>
      </c>
      <c r="F2995" s="1">
        <f>IF(OR(Paths!$C$278=0,C2995=0),0,12-E2995)</f>
        <v>0</v>
      </c>
      <c r="G2995" s="16">
        <f>IF(NOT(Paths!$C$278=1),0,IF(Paths!$P$278="Complete",E2995/12*(Paths!$J$278*(1+'Operating costs'!$B$51)^MAX(0,C2995-1)+Paths!$K$278*(1+'Operating costs'!$B$53)^MAX(0,C2995-1)),"n.a."))</f>
        <v>0</v>
      </c>
      <c r="H2995" s="16">
        <f>IF(NOT(Paths!$C$278=1),0,IF(Paths!$P$278="Complete",F2995/12*(Paths!$L$278*(1+IF(Paths!$D$278="EV",'Operating costs'!$B$52,'Operating costs'!$B$51))^MAX(0,C2995-1)+Paths!$M$278*(1+'Operating costs'!$B$53)^MAX(0,C2995-1)),"n.a."))</f>
        <v>0</v>
      </c>
      <c r="I2995" s="16">
        <f>IF(NOT(Paths!$C$278=1),0,IF(Paths!$P$278="Complete",IF(IF(Paths!$E$278=0,C2995=0,AND(C2995&gt;0,Paths!$E$278&gt;(C2995-1)*12,Paths!$E$278&lt;=C2995*12)),Paths!$G$278,0),"n.a."))</f>
        <v>0</v>
      </c>
      <c r="J2995" s="16">
        <f>IF(NOT(Paths!$C$278=1),0,IF(Paths!$P$278="Complete",IF(IF(Paths!$E$278=0,C2995=0,AND(C2995&gt;0,Paths!$E$278&gt;(C2995-1)*12,Paths!$E$278&lt;=C2995*12)),Paths!$H$278,0),"n.a."))</f>
        <v>0</v>
      </c>
      <c r="K2995" s="16">
        <f>IF(NOT(Paths!$C$278=1),0,IF(Paths!$P$278="Complete",IF(IF(Paths!$O$278=0,C2995=0,AND(C2995&gt;0,Paths!$O$278&gt;(C2995-1)*12,Paths!$O$278&lt;=C2995*12)),Paths!$N$278,0),"n.a."))</f>
        <v>0</v>
      </c>
      <c r="L2995" s="16">
        <f>IF(NOT(Paths!$C$278=1),0,IF(Paths!$P$278="Complete",IF(C2995=10,Paths!$I$278,0),"n.a."))</f>
        <v>0</v>
      </c>
      <c r="M2995" s="16">
        <f>IF(NOT(Paths!$C$278=1),0,IF(Paths!$P$278="Complete",IF(AND(Paths!$D$278="EV",Paths!$E$278&lt;120,Paths!$E$278+'Operating costs'!$B$65&gt;Paths!$E$278,Paths!$E$278+'Operating costs'!$B$65&lt;=120,IF(Paths!$E$278+'Operating costs'!$B$65=0,C2995=0,AND(C2995&gt;0,Paths!$E$278+'Operating costs'!$B$65&gt;(C2995-1)*12,Paths!$E$278+'Operating costs'!$B$65&lt;=C2995*12))),'Operating costs'!$B$64,0)+IF(AND('Operating costs'!$B$67&gt;0,'Operating costs'!$B$67&lt;=120,OR(Paths!$D$278="ICE",'Operating costs'!$B$67&lt;=Paths!$E$278),IF('Operating costs'!$B$67=0,C2995=0,AND(C2995&gt;0,'Operating costs'!$B$67&gt;(C2995-1)*12,'Operating costs'!$B$67&lt;=C2995*12))),'Operating costs'!$B$66,0),"n.a."))</f>
        <v>0</v>
      </c>
      <c r="N2995" s="16">
        <f>IF(NOT(Paths!$C$278=1),0,IF(Paths!$P$278="Complete",SUM(G2995:I2995)-J2995-K2995-L2995+M2995+IF(C2995=0,Paths!$F$278,0)+IF(IF(Paths!$E$278=0,C2995=0,AND(C2995&gt;0,Paths!$E$278&gt;(C2995-1)*12,Paths!$E$278&lt;=C2995*12)),VLOOKUP(A2995,'Fleet register'!$A$7:$S$106,16,FALSE),0),"n.a."))</f>
        <v>0</v>
      </c>
      <c r="O2995" s="16">
        <f>IF(NOT(Paths!$C$278=1),0,IF(Paths!$P$278="Complete",N2995-IF(C2995=0,Paths!$F$278,0),"n.a."))</f>
        <v>0</v>
      </c>
      <c r="P2995" s="16">
        <f>IF(NOT(Paths!$C$278=1),0,IF(Paths!$P$278="Complete",O2995+L2995,"n.a."))</f>
        <v>0</v>
      </c>
      <c r="Q2995" s="16">
        <f>IF(NOT(Paths!$C$278=1),0,IF(Paths!$P$278="Complete",N2995*(1+'Operating costs'!$B$54)^-C2995,"n.a."))</f>
        <v>0</v>
      </c>
      <c r="R2995" s="16">
        <f>IF(NOT(Paths!$C$278=1),0,IF(Paths!$P$278="Complete",IF(AND(C2995=0,Paths!$E$278=0),I2995-J2995-K2995+VLOOKUP(A2995,'Fleet register'!$A$7:$S$106,15,FALSE)+VLOOKUP(A2995,'Fleet register'!$A$7:$S$106,16,FALSE),0),"n.a."))</f>
        <v>0</v>
      </c>
      <c r="S2995" s="1">
        <f>IF(NOT(Paths!$C$278=1),0,IF(Paths!$P$278="Complete",IF(C2995=0,0,Paths!$S$278*Paths!$R$278),"n.a."))</f>
        <v>0</v>
      </c>
      <c r="T2995" s="1">
        <f>IF(NOT(Paths!$C$278=1),0,IF(Paths!$P$278="Complete",IF(C2995=0,0,VLOOKUP(A2995,'Fleet register'!$A$7:$S$106,9,FALSE)*Paths!$R$278),"n.a."))</f>
        <v>0</v>
      </c>
    </row>
    <row r="2996" spans="1:20" ht="24" customHeight="1">
      <c r="A2996" s="1" t="str">
        <f>Paths!$A$278</f>
        <v>T068</v>
      </c>
      <c r="B2996" s="1">
        <f>Paths!$B$278</f>
        <v>3</v>
      </c>
      <c r="C2996" s="1">
        <v>8</v>
      </c>
      <c r="D2996" s="1">
        <v>278</v>
      </c>
      <c r="E2996" s="1">
        <f>IF(OR(Paths!$C$278=0,C2996=0),0,MAX(0,MIN(C2996*12,Paths!$E$278)-(C2996-1)*12))</f>
        <v>0</v>
      </c>
      <c r="F2996" s="1">
        <f>IF(OR(Paths!$C$278=0,C2996=0),0,12-E2996)</f>
        <v>0</v>
      </c>
      <c r="G2996" s="16">
        <f>IF(NOT(Paths!$C$278=1),0,IF(Paths!$P$278="Complete",E2996/12*(Paths!$J$278*(1+'Operating costs'!$B$51)^MAX(0,C2996-1)+Paths!$K$278*(1+'Operating costs'!$B$53)^MAX(0,C2996-1)),"n.a."))</f>
        <v>0</v>
      </c>
      <c r="H2996" s="16">
        <f>IF(NOT(Paths!$C$278=1),0,IF(Paths!$P$278="Complete",F2996/12*(Paths!$L$278*(1+IF(Paths!$D$278="EV",'Operating costs'!$B$52,'Operating costs'!$B$51))^MAX(0,C2996-1)+Paths!$M$278*(1+'Operating costs'!$B$53)^MAX(0,C2996-1)),"n.a."))</f>
        <v>0</v>
      </c>
      <c r="I2996" s="16">
        <f>IF(NOT(Paths!$C$278=1),0,IF(Paths!$P$278="Complete",IF(IF(Paths!$E$278=0,C2996=0,AND(C2996&gt;0,Paths!$E$278&gt;(C2996-1)*12,Paths!$E$278&lt;=C2996*12)),Paths!$G$278,0),"n.a."))</f>
        <v>0</v>
      </c>
      <c r="J2996" s="16">
        <f>IF(NOT(Paths!$C$278=1),0,IF(Paths!$P$278="Complete",IF(IF(Paths!$E$278=0,C2996=0,AND(C2996&gt;0,Paths!$E$278&gt;(C2996-1)*12,Paths!$E$278&lt;=C2996*12)),Paths!$H$278,0),"n.a."))</f>
        <v>0</v>
      </c>
      <c r="K2996" s="16">
        <f>IF(NOT(Paths!$C$278=1),0,IF(Paths!$P$278="Complete",IF(IF(Paths!$O$278=0,C2996=0,AND(C2996&gt;0,Paths!$O$278&gt;(C2996-1)*12,Paths!$O$278&lt;=C2996*12)),Paths!$N$278,0),"n.a."))</f>
        <v>0</v>
      </c>
      <c r="L2996" s="16">
        <f>IF(NOT(Paths!$C$278=1),0,IF(Paths!$P$278="Complete",IF(C2996=10,Paths!$I$278,0),"n.a."))</f>
        <v>0</v>
      </c>
      <c r="M2996" s="16">
        <f>IF(NOT(Paths!$C$278=1),0,IF(Paths!$P$278="Complete",IF(AND(Paths!$D$278="EV",Paths!$E$278&lt;120,Paths!$E$278+'Operating costs'!$B$65&gt;Paths!$E$278,Paths!$E$278+'Operating costs'!$B$65&lt;=120,IF(Paths!$E$278+'Operating costs'!$B$65=0,C2996=0,AND(C2996&gt;0,Paths!$E$278+'Operating costs'!$B$65&gt;(C2996-1)*12,Paths!$E$278+'Operating costs'!$B$65&lt;=C2996*12))),'Operating costs'!$B$64,0)+IF(AND('Operating costs'!$B$67&gt;0,'Operating costs'!$B$67&lt;=120,OR(Paths!$D$278="ICE",'Operating costs'!$B$67&lt;=Paths!$E$278),IF('Operating costs'!$B$67=0,C2996=0,AND(C2996&gt;0,'Operating costs'!$B$67&gt;(C2996-1)*12,'Operating costs'!$B$67&lt;=C2996*12))),'Operating costs'!$B$66,0),"n.a."))</f>
        <v>0</v>
      </c>
      <c r="N2996" s="16">
        <f>IF(NOT(Paths!$C$278=1),0,IF(Paths!$P$278="Complete",SUM(G2996:I2996)-J2996-K2996-L2996+M2996+IF(C2996=0,Paths!$F$278,0)+IF(IF(Paths!$E$278=0,C2996=0,AND(C2996&gt;0,Paths!$E$278&gt;(C2996-1)*12,Paths!$E$278&lt;=C2996*12)),VLOOKUP(A2996,'Fleet register'!$A$7:$S$106,16,FALSE),0),"n.a."))</f>
        <v>0</v>
      </c>
      <c r="O2996" s="16">
        <f>IF(NOT(Paths!$C$278=1),0,IF(Paths!$P$278="Complete",N2996-IF(C2996=0,Paths!$F$278,0),"n.a."))</f>
        <v>0</v>
      </c>
      <c r="P2996" s="16">
        <f>IF(NOT(Paths!$C$278=1),0,IF(Paths!$P$278="Complete",O2996+L2996,"n.a."))</f>
        <v>0</v>
      </c>
      <c r="Q2996" s="16">
        <f>IF(NOT(Paths!$C$278=1),0,IF(Paths!$P$278="Complete",N2996*(1+'Operating costs'!$B$54)^-C2996,"n.a."))</f>
        <v>0</v>
      </c>
      <c r="R2996" s="16">
        <f>IF(NOT(Paths!$C$278=1),0,IF(Paths!$P$278="Complete",IF(AND(C2996=0,Paths!$E$278=0),I2996-J2996-K2996+VLOOKUP(A2996,'Fleet register'!$A$7:$S$106,15,FALSE)+VLOOKUP(A2996,'Fleet register'!$A$7:$S$106,16,FALSE),0),"n.a."))</f>
        <v>0</v>
      </c>
      <c r="S2996" s="1">
        <f>IF(NOT(Paths!$C$278=1),0,IF(Paths!$P$278="Complete",IF(C2996=0,0,Paths!$S$278*Paths!$R$278),"n.a."))</f>
        <v>0</v>
      </c>
      <c r="T2996" s="1">
        <f>IF(NOT(Paths!$C$278=1),0,IF(Paths!$P$278="Complete",IF(C2996=0,0,VLOOKUP(A2996,'Fleet register'!$A$7:$S$106,9,FALSE)*Paths!$R$278),"n.a."))</f>
        <v>0</v>
      </c>
    </row>
    <row r="2997" spans="1:20" ht="24" customHeight="1">
      <c r="A2997" s="1" t="str">
        <f>Paths!$A$278</f>
        <v>T068</v>
      </c>
      <c r="B2997" s="1">
        <f>Paths!$B$278</f>
        <v>3</v>
      </c>
      <c r="C2997" s="1">
        <v>9</v>
      </c>
      <c r="D2997" s="1">
        <v>278</v>
      </c>
      <c r="E2997" s="1">
        <f>IF(OR(Paths!$C$278=0,C2997=0),0,MAX(0,MIN(C2997*12,Paths!$E$278)-(C2997-1)*12))</f>
        <v>0</v>
      </c>
      <c r="F2997" s="1">
        <f>IF(OR(Paths!$C$278=0,C2997=0),0,12-E2997)</f>
        <v>0</v>
      </c>
      <c r="G2997" s="16">
        <f>IF(NOT(Paths!$C$278=1),0,IF(Paths!$P$278="Complete",E2997/12*(Paths!$J$278*(1+'Operating costs'!$B$51)^MAX(0,C2997-1)+Paths!$K$278*(1+'Operating costs'!$B$53)^MAX(0,C2997-1)),"n.a."))</f>
        <v>0</v>
      </c>
      <c r="H2997" s="16">
        <f>IF(NOT(Paths!$C$278=1),0,IF(Paths!$P$278="Complete",F2997/12*(Paths!$L$278*(1+IF(Paths!$D$278="EV",'Operating costs'!$B$52,'Operating costs'!$B$51))^MAX(0,C2997-1)+Paths!$M$278*(1+'Operating costs'!$B$53)^MAX(0,C2997-1)),"n.a."))</f>
        <v>0</v>
      </c>
      <c r="I2997" s="16">
        <f>IF(NOT(Paths!$C$278=1),0,IF(Paths!$P$278="Complete",IF(IF(Paths!$E$278=0,C2997=0,AND(C2997&gt;0,Paths!$E$278&gt;(C2997-1)*12,Paths!$E$278&lt;=C2997*12)),Paths!$G$278,0),"n.a."))</f>
        <v>0</v>
      </c>
      <c r="J2997" s="16">
        <f>IF(NOT(Paths!$C$278=1),0,IF(Paths!$P$278="Complete",IF(IF(Paths!$E$278=0,C2997=0,AND(C2997&gt;0,Paths!$E$278&gt;(C2997-1)*12,Paths!$E$278&lt;=C2997*12)),Paths!$H$278,0),"n.a."))</f>
        <v>0</v>
      </c>
      <c r="K2997" s="16">
        <f>IF(NOT(Paths!$C$278=1),0,IF(Paths!$P$278="Complete",IF(IF(Paths!$O$278=0,C2997=0,AND(C2997&gt;0,Paths!$O$278&gt;(C2997-1)*12,Paths!$O$278&lt;=C2997*12)),Paths!$N$278,0),"n.a."))</f>
        <v>0</v>
      </c>
      <c r="L2997" s="16">
        <f>IF(NOT(Paths!$C$278=1),0,IF(Paths!$P$278="Complete",IF(C2997=10,Paths!$I$278,0),"n.a."))</f>
        <v>0</v>
      </c>
      <c r="M2997" s="16">
        <f>IF(NOT(Paths!$C$278=1),0,IF(Paths!$P$278="Complete",IF(AND(Paths!$D$278="EV",Paths!$E$278&lt;120,Paths!$E$278+'Operating costs'!$B$65&gt;Paths!$E$278,Paths!$E$278+'Operating costs'!$B$65&lt;=120,IF(Paths!$E$278+'Operating costs'!$B$65=0,C2997=0,AND(C2997&gt;0,Paths!$E$278+'Operating costs'!$B$65&gt;(C2997-1)*12,Paths!$E$278+'Operating costs'!$B$65&lt;=C2997*12))),'Operating costs'!$B$64,0)+IF(AND('Operating costs'!$B$67&gt;0,'Operating costs'!$B$67&lt;=120,OR(Paths!$D$278="ICE",'Operating costs'!$B$67&lt;=Paths!$E$278),IF('Operating costs'!$B$67=0,C2997=0,AND(C2997&gt;0,'Operating costs'!$B$67&gt;(C2997-1)*12,'Operating costs'!$B$67&lt;=C2997*12))),'Operating costs'!$B$66,0),"n.a."))</f>
        <v>0</v>
      </c>
      <c r="N2997" s="16">
        <f>IF(NOT(Paths!$C$278=1),0,IF(Paths!$P$278="Complete",SUM(G2997:I2997)-J2997-K2997-L2997+M2997+IF(C2997=0,Paths!$F$278,0)+IF(IF(Paths!$E$278=0,C2997=0,AND(C2997&gt;0,Paths!$E$278&gt;(C2997-1)*12,Paths!$E$278&lt;=C2997*12)),VLOOKUP(A2997,'Fleet register'!$A$7:$S$106,16,FALSE),0),"n.a."))</f>
        <v>0</v>
      </c>
      <c r="O2997" s="16">
        <f>IF(NOT(Paths!$C$278=1),0,IF(Paths!$P$278="Complete",N2997-IF(C2997=0,Paths!$F$278,0),"n.a."))</f>
        <v>0</v>
      </c>
      <c r="P2997" s="16">
        <f>IF(NOT(Paths!$C$278=1),0,IF(Paths!$P$278="Complete",O2997+L2997,"n.a."))</f>
        <v>0</v>
      </c>
      <c r="Q2997" s="16">
        <f>IF(NOT(Paths!$C$278=1),0,IF(Paths!$P$278="Complete",N2997*(1+'Operating costs'!$B$54)^-C2997,"n.a."))</f>
        <v>0</v>
      </c>
      <c r="R2997" s="16">
        <f>IF(NOT(Paths!$C$278=1),0,IF(Paths!$P$278="Complete",IF(AND(C2997=0,Paths!$E$278=0),I2997-J2997-K2997+VLOOKUP(A2997,'Fleet register'!$A$7:$S$106,15,FALSE)+VLOOKUP(A2997,'Fleet register'!$A$7:$S$106,16,FALSE),0),"n.a."))</f>
        <v>0</v>
      </c>
      <c r="S2997" s="1">
        <f>IF(NOT(Paths!$C$278=1),0,IF(Paths!$P$278="Complete",IF(C2997=0,0,Paths!$S$278*Paths!$R$278),"n.a."))</f>
        <v>0</v>
      </c>
      <c r="T2997" s="1">
        <f>IF(NOT(Paths!$C$278=1),0,IF(Paths!$P$278="Complete",IF(C2997=0,0,VLOOKUP(A2997,'Fleet register'!$A$7:$S$106,9,FALSE)*Paths!$R$278),"n.a."))</f>
        <v>0</v>
      </c>
    </row>
    <row r="2998" spans="1:20" ht="24" customHeight="1">
      <c r="A2998" s="1" t="str">
        <f>Paths!$A$278</f>
        <v>T068</v>
      </c>
      <c r="B2998" s="1">
        <f>Paths!$B$278</f>
        <v>3</v>
      </c>
      <c r="C2998" s="1">
        <v>10</v>
      </c>
      <c r="D2998" s="1">
        <v>278</v>
      </c>
      <c r="E2998" s="1">
        <f>IF(OR(Paths!$C$278=0,C2998=0),0,MAX(0,MIN(C2998*12,Paths!$E$278)-(C2998-1)*12))</f>
        <v>0</v>
      </c>
      <c r="F2998" s="1">
        <f>IF(OR(Paths!$C$278=0,C2998=0),0,12-E2998)</f>
        <v>0</v>
      </c>
      <c r="G2998" s="16">
        <f>IF(NOT(Paths!$C$278=1),0,IF(Paths!$P$278="Complete",E2998/12*(Paths!$J$278*(1+'Operating costs'!$B$51)^MAX(0,C2998-1)+Paths!$K$278*(1+'Operating costs'!$B$53)^MAX(0,C2998-1)),"n.a."))</f>
        <v>0</v>
      </c>
      <c r="H2998" s="16">
        <f>IF(NOT(Paths!$C$278=1),0,IF(Paths!$P$278="Complete",F2998/12*(Paths!$L$278*(1+IF(Paths!$D$278="EV",'Operating costs'!$B$52,'Operating costs'!$B$51))^MAX(0,C2998-1)+Paths!$M$278*(1+'Operating costs'!$B$53)^MAX(0,C2998-1)),"n.a."))</f>
        <v>0</v>
      </c>
      <c r="I2998" s="16">
        <f>IF(NOT(Paths!$C$278=1),0,IF(Paths!$P$278="Complete",IF(IF(Paths!$E$278=0,C2998=0,AND(C2998&gt;0,Paths!$E$278&gt;(C2998-1)*12,Paths!$E$278&lt;=C2998*12)),Paths!$G$278,0),"n.a."))</f>
        <v>0</v>
      </c>
      <c r="J2998" s="16">
        <f>IF(NOT(Paths!$C$278=1),0,IF(Paths!$P$278="Complete",IF(IF(Paths!$E$278=0,C2998=0,AND(C2998&gt;0,Paths!$E$278&gt;(C2998-1)*12,Paths!$E$278&lt;=C2998*12)),Paths!$H$278,0),"n.a."))</f>
        <v>0</v>
      </c>
      <c r="K2998" s="16">
        <f>IF(NOT(Paths!$C$278=1),0,IF(Paths!$P$278="Complete",IF(IF(Paths!$O$278=0,C2998=0,AND(C2998&gt;0,Paths!$O$278&gt;(C2998-1)*12,Paths!$O$278&lt;=C2998*12)),Paths!$N$278,0),"n.a."))</f>
        <v>0</v>
      </c>
      <c r="L2998" s="16">
        <f>IF(NOT(Paths!$C$278=1),0,IF(Paths!$P$278="Complete",IF(C2998=10,Paths!$I$278,0),"n.a."))</f>
        <v>0</v>
      </c>
      <c r="M2998" s="16">
        <f>IF(NOT(Paths!$C$278=1),0,IF(Paths!$P$278="Complete",IF(AND(Paths!$D$278="EV",Paths!$E$278&lt;120,Paths!$E$278+'Operating costs'!$B$65&gt;Paths!$E$278,Paths!$E$278+'Operating costs'!$B$65&lt;=120,IF(Paths!$E$278+'Operating costs'!$B$65=0,C2998=0,AND(C2998&gt;0,Paths!$E$278+'Operating costs'!$B$65&gt;(C2998-1)*12,Paths!$E$278+'Operating costs'!$B$65&lt;=C2998*12))),'Operating costs'!$B$64,0)+IF(AND('Operating costs'!$B$67&gt;0,'Operating costs'!$B$67&lt;=120,OR(Paths!$D$278="ICE",'Operating costs'!$B$67&lt;=Paths!$E$278),IF('Operating costs'!$B$67=0,C2998=0,AND(C2998&gt;0,'Operating costs'!$B$67&gt;(C2998-1)*12,'Operating costs'!$B$67&lt;=C2998*12))),'Operating costs'!$B$66,0),"n.a."))</f>
        <v>0</v>
      </c>
      <c r="N2998" s="16">
        <f>IF(NOT(Paths!$C$278=1),0,IF(Paths!$P$278="Complete",SUM(G2998:I2998)-J2998-K2998-L2998+M2998+IF(C2998=0,Paths!$F$278,0)+IF(IF(Paths!$E$278=0,C2998=0,AND(C2998&gt;0,Paths!$E$278&gt;(C2998-1)*12,Paths!$E$278&lt;=C2998*12)),VLOOKUP(A2998,'Fleet register'!$A$7:$S$106,16,FALSE),0),"n.a."))</f>
        <v>0</v>
      </c>
      <c r="O2998" s="16">
        <f>IF(NOT(Paths!$C$278=1),0,IF(Paths!$P$278="Complete",N2998-IF(C2998=0,Paths!$F$278,0),"n.a."))</f>
        <v>0</v>
      </c>
      <c r="P2998" s="16">
        <f>IF(NOT(Paths!$C$278=1),0,IF(Paths!$P$278="Complete",O2998+L2998,"n.a."))</f>
        <v>0</v>
      </c>
      <c r="Q2998" s="16">
        <f>IF(NOT(Paths!$C$278=1),0,IF(Paths!$P$278="Complete",N2998*(1+'Operating costs'!$B$54)^-C2998,"n.a."))</f>
        <v>0</v>
      </c>
      <c r="R2998" s="16">
        <f>IF(NOT(Paths!$C$278=1),0,IF(Paths!$P$278="Complete",IF(AND(C2998=0,Paths!$E$278=0),I2998-J2998-K2998+VLOOKUP(A2998,'Fleet register'!$A$7:$S$106,15,FALSE)+VLOOKUP(A2998,'Fleet register'!$A$7:$S$106,16,FALSE),0),"n.a."))</f>
        <v>0</v>
      </c>
      <c r="S2998" s="1">
        <f>IF(NOT(Paths!$C$278=1),0,IF(Paths!$P$278="Complete",IF(C2998=0,0,Paths!$S$278*Paths!$R$278),"n.a."))</f>
        <v>0</v>
      </c>
      <c r="T2998" s="1">
        <f>IF(NOT(Paths!$C$278=1),0,IF(Paths!$P$278="Complete",IF(C2998=0,0,VLOOKUP(A2998,'Fleet register'!$A$7:$S$106,9,FALSE)*Paths!$R$278),"n.a."))</f>
        <v>0</v>
      </c>
    </row>
    <row r="2999" spans="1:20" ht="24" customHeight="1">
      <c r="A2999" s="1" t="str">
        <f>Paths!$A$279</f>
        <v>T069</v>
      </c>
      <c r="B2999" s="1">
        <f>Paths!$B$279</f>
        <v>0</v>
      </c>
      <c r="C2999" s="1">
        <v>0</v>
      </c>
      <c r="D2999" s="1">
        <v>279</v>
      </c>
      <c r="E2999" s="1">
        <f>IF(OR(Paths!$C$279=0,C2999=0),0,MAX(0,MIN(C2999*12,Paths!$E$279)-(C2999-1)*12))</f>
        <v>0</v>
      </c>
      <c r="F2999" s="1">
        <f>IF(OR(Paths!$C$279=0,C2999=0),0,12-E2999)</f>
        <v>0</v>
      </c>
      <c r="G2999" s="16">
        <f>IF(NOT(Paths!$C$279=1),0,IF(Paths!$P$279="Complete",E2999/12*(Paths!$J$279*(1+'Operating costs'!$B$51)^MAX(0,C2999-1)+Paths!$K$279*(1+'Operating costs'!$B$53)^MAX(0,C2999-1)),"n.a."))</f>
        <v>0</v>
      </c>
      <c r="H2999" s="16">
        <f>IF(NOT(Paths!$C$279=1),0,IF(Paths!$P$279="Complete",F2999/12*(Paths!$L$279*(1+IF(Paths!$D$279="EV",'Operating costs'!$B$52,'Operating costs'!$B$51))^MAX(0,C2999-1)+Paths!$M$279*(1+'Operating costs'!$B$53)^MAX(0,C2999-1)),"n.a."))</f>
        <v>0</v>
      </c>
      <c r="I2999" s="16">
        <f>IF(NOT(Paths!$C$279=1),0,IF(Paths!$P$279="Complete",IF(IF(Paths!$E$279=0,C2999=0,AND(C2999&gt;0,Paths!$E$279&gt;(C2999-1)*12,Paths!$E$279&lt;=C2999*12)),Paths!$G$279,0),"n.a."))</f>
        <v>0</v>
      </c>
      <c r="J2999" s="16">
        <f>IF(NOT(Paths!$C$279=1),0,IF(Paths!$P$279="Complete",IF(IF(Paths!$E$279=0,C2999=0,AND(C2999&gt;0,Paths!$E$279&gt;(C2999-1)*12,Paths!$E$279&lt;=C2999*12)),Paths!$H$279,0),"n.a."))</f>
        <v>0</v>
      </c>
      <c r="K2999" s="16">
        <f>IF(NOT(Paths!$C$279=1),0,IF(Paths!$P$279="Complete",IF(IF(Paths!$O$279=0,C2999=0,AND(C2999&gt;0,Paths!$O$279&gt;(C2999-1)*12,Paths!$O$279&lt;=C2999*12)),Paths!$N$279,0),"n.a."))</f>
        <v>0</v>
      </c>
      <c r="L2999" s="16">
        <f>IF(NOT(Paths!$C$279=1),0,IF(Paths!$P$279="Complete",IF(C2999=10,Paths!$I$279,0),"n.a."))</f>
        <v>0</v>
      </c>
      <c r="M2999" s="16">
        <f>IF(NOT(Paths!$C$279=1),0,IF(Paths!$P$279="Complete",IF(AND(Paths!$D$279="EV",Paths!$E$279&lt;120,Paths!$E$279+'Operating costs'!$B$65&gt;Paths!$E$279,Paths!$E$279+'Operating costs'!$B$65&lt;=120,IF(Paths!$E$279+'Operating costs'!$B$65=0,C2999=0,AND(C2999&gt;0,Paths!$E$279+'Operating costs'!$B$65&gt;(C2999-1)*12,Paths!$E$279+'Operating costs'!$B$65&lt;=C2999*12))),'Operating costs'!$B$64,0)+IF(AND('Operating costs'!$B$67&gt;0,'Operating costs'!$B$67&lt;=120,OR(Paths!$D$279="ICE",'Operating costs'!$B$67&lt;=Paths!$E$279),IF('Operating costs'!$B$67=0,C2999=0,AND(C2999&gt;0,'Operating costs'!$B$67&gt;(C2999-1)*12,'Operating costs'!$B$67&lt;=C2999*12))),'Operating costs'!$B$66,0),"n.a."))</f>
        <v>0</v>
      </c>
      <c r="N2999" s="16">
        <f>IF(NOT(Paths!$C$279=1),0,IF(Paths!$P$279="Complete",SUM(G2999:I2999)-J2999-K2999-L2999+M2999+IF(C2999=0,Paths!$F$279,0)+IF(IF(Paths!$E$279=0,C2999=0,AND(C2999&gt;0,Paths!$E$279&gt;(C2999-1)*12,Paths!$E$279&lt;=C2999*12)),VLOOKUP(A2999,'Fleet register'!$A$7:$S$106,16,FALSE),0),"n.a."))</f>
        <v>0</v>
      </c>
      <c r="O2999" s="16">
        <f>IF(NOT(Paths!$C$279=1),0,IF(Paths!$P$279="Complete",N2999-IF(C2999=0,Paths!$F$279,0),"n.a."))</f>
        <v>0</v>
      </c>
      <c r="P2999" s="16">
        <f>IF(NOT(Paths!$C$279=1),0,IF(Paths!$P$279="Complete",O2999+L2999,"n.a."))</f>
        <v>0</v>
      </c>
      <c r="Q2999" s="16">
        <f>IF(NOT(Paths!$C$279=1),0,IF(Paths!$P$279="Complete",N2999*(1+'Operating costs'!$B$54)^-C2999,"n.a."))</f>
        <v>0</v>
      </c>
      <c r="R2999" s="16">
        <f>IF(NOT(Paths!$C$279=1),0,IF(Paths!$P$279="Complete",IF(AND(C2999=0,Paths!$E$279=0),I2999-J2999-K2999+VLOOKUP(A2999,'Fleet register'!$A$7:$S$106,15,FALSE)+VLOOKUP(A2999,'Fleet register'!$A$7:$S$106,16,FALSE),0),"n.a."))</f>
        <v>0</v>
      </c>
      <c r="S2999" s="1">
        <f>IF(NOT(Paths!$C$279=1),0,IF(Paths!$P$279="Complete",IF(C2999=0,0,Paths!$S$279*Paths!$R$279),"n.a."))</f>
        <v>0</v>
      </c>
      <c r="T2999" s="1">
        <f>IF(NOT(Paths!$C$279=1),0,IF(Paths!$P$279="Complete",IF(C2999=0,0,VLOOKUP(A2999,'Fleet register'!$A$7:$S$106,9,FALSE)*Paths!$R$279),"n.a."))</f>
        <v>0</v>
      </c>
    </row>
    <row r="3000" spans="1:20" ht="24" customHeight="1">
      <c r="A3000" s="1" t="str">
        <f>Paths!$A$279</f>
        <v>T069</v>
      </c>
      <c r="B3000" s="1">
        <f>Paths!$B$279</f>
        <v>0</v>
      </c>
      <c r="C3000" s="1">
        <v>1</v>
      </c>
      <c r="D3000" s="1">
        <v>279</v>
      </c>
      <c r="E3000" s="1">
        <f>IF(OR(Paths!$C$279=0,C3000=0),0,MAX(0,MIN(C3000*12,Paths!$E$279)-(C3000-1)*12))</f>
        <v>0</v>
      </c>
      <c r="F3000" s="1">
        <f>IF(OR(Paths!$C$279=0,C3000=0),0,12-E3000)</f>
        <v>0</v>
      </c>
      <c r="G3000" s="16">
        <f>IF(NOT(Paths!$C$279=1),0,IF(Paths!$P$279="Complete",E3000/12*(Paths!$J$279*(1+'Operating costs'!$B$51)^MAX(0,C3000-1)+Paths!$K$279*(1+'Operating costs'!$B$53)^MAX(0,C3000-1)),"n.a."))</f>
        <v>0</v>
      </c>
      <c r="H3000" s="16">
        <f>IF(NOT(Paths!$C$279=1),0,IF(Paths!$P$279="Complete",F3000/12*(Paths!$L$279*(1+IF(Paths!$D$279="EV",'Operating costs'!$B$52,'Operating costs'!$B$51))^MAX(0,C3000-1)+Paths!$M$279*(1+'Operating costs'!$B$53)^MAX(0,C3000-1)),"n.a."))</f>
        <v>0</v>
      </c>
      <c r="I3000" s="16">
        <f>IF(NOT(Paths!$C$279=1),0,IF(Paths!$P$279="Complete",IF(IF(Paths!$E$279=0,C3000=0,AND(C3000&gt;0,Paths!$E$279&gt;(C3000-1)*12,Paths!$E$279&lt;=C3000*12)),Paths!$G$279,0),"n.a."))</f>
        <v>0</v>
      </c>
      <c r="J3000" s="16">
        <f>IF(NOT(Paths!$C$279=1),0,IF(Paths!$P$279="Complete",IF(IF(Paths!$E$279=0,C3000=0,AND(C3000&gt;0,Paths!$E$279&gt;(C3000-1)*12,Paths!$E$279&lt;=C3000*12)),Paths!$H$279,0),"n.a."))</f>
        <v>0</v>
      </c>
      <c r="K3000" s="16">
        <f>IF(NOT(Paths!$C$279=1),0,IF(Paths!$P$279="Complete",IF(IF(Paths!$O$279=0,C3000=0,AND(C3000&gt;0,Paths!$O$279&gt;(C3000-1)*12,Paths!$O$279&lt;=C3000*12)),Paths!$N$279,0),"n.a."))</f>
        <v>0</v>
      </c>
      <c r="L3000" s="16">
        <f>IF(NOT(Paths!$C$279=1),0,IF(Paths!$P$279="Complete",IF(C3000=10,Paths!$I$279,0),"n.a."))</f>
        <v>0</v>
      </c>
      <c r="M3000" s="16">
        <f>IF(NOT(Paths!$C$279=1),0,IF(Paths!$P$279="Complete",IF(AND(Paths!$D$279="EV",Paths!$E$279&lt;120,Paths!$E$279+'Operating costs'!$B$65&gt;Paths!$E$279,Paths!$E$279+'Operating costs'!$B$65&lt;=120,IF(Paths!$E$279+'Operating costs'!$B$65=0,C3000=0,AND(C3000&gt;0,Paths!$E$279+'Operating costs'!$B$65&gt;(C3000-1)*12,Paths!$E$279+'Operating costs'!$B$65&lt;=C3000*12))),'Operating costs'!$B$64,0)+IF(AND('Operating costs'!$B$67&gt;0,'Operating costs'!$B$67&lt;=120,OR(Paths!$D$279="ICE",'Operating costs'!$B$67&lt;=Paths!$E$279),IF('Operating costs'!$B$67=0,C3000=0,AND(C3000&gt;0,'Operating costs'!$B$67&gt;(C3000-1)*12,'Operating costs'!$B$67&lt;=C3000*12))),'Operating costs'!$B$66,0),"n.a."))</f>
        <v>0</v>
      </c>
      <c r="N3000" s="16">
        <f>IF(NOT(Paths!$C$279=1),0,IF(Paths!$P$279="Complete",SUM(G3000:I3000)-J3000-K3000-L3000+M3000+IF(C3000=0,Paths!$F$279,0)+IF(IF(Paths!$E$279=0,C3000=0,AND(C3000&gt;0,Paths!$E$279&gt;(C3000-1)*12,Paths!$E$279&lt;=C3000*12)),VLOOKUP(A3000,'Fleet register'!$A$7:$S$106,16,FALSE),0),"n.a."))</f>
        <v>0</v>
      </c>
      <c r="O3000" s="16">
        <f>IF(NOT(Paths!$C$279=1),0,IF(Paths!$P$279="Complete",N3000-IF(C3000=0,Paths!$F$279,0),"n.a."))</f>
        <v>0</v>
      </c>
      <c r="P3000" s="16">
        <f>IF(NOT(Paths!$C$279=1),0,IF(Paths!$P$279="Complete",O3000+L3000,"n.a."))</f>
        <v>0</v>
      </c>
      <c r="Q3000" s="16">
        <f>IF(NOT(Paths!$C$279=1),0,IF(Paths!$P$279="Complete",N3000*(1+'Operating costs'!$B$54)^-C3000,"n.a."))</f>
        <v>0</v>
      </c>
      <c r="R3000" s="16">
        <f>IF(NOT(Paths!$C$279=1),0,IF(Paths!$P$279="Complete",IF(AND(C3000=0,Paths!$E$279=0),I3000-J3000-K3000+VLOOKUP(A3000,'Fleet register'!$A$7:$S$106,15,FALSE)+VLOOKUP(A3000,'Fleet register'!$A$7:$S$106,16,FALSE),0),"n.a."))</f>
        <v>0</v>
      </c>
      <c r="S3000" s="1">
        <f>IF(NOT(Paths!$C$279=1),0,IF(Paths!$P$279="Complete",IF(C3000=0,0,Paths!$S$279*Paths!$R$279),"n.a."))</f>
        <v>0</v>
      </c>
      <c r="T3000" s="1">
        <f>IF(NOT(Paths!$C$279=1),0,IF(Paths!$P$279="Complete",IF(C3000=0,0,VLOOKUP(A3000,'Fleet register'!$A$7:$S$106,9,FALSE)*Paths!$R$279),"n.a."))</f>
        <v>0</v>
      </c>
    </row>
    <row r="3001" spans="1:20" ht="24" customHeight="1">
      <c r="A3001" s="1" t="str">
        <f>Paths!$A$279</f>
        <v>T069</v>
      </c>
      <c r="B3001" s="1">
        <f>Paths!$B$279</f>
        <v>0</v>
      </c>
      <c r="C3001" s="1">
        <v>2</v>
      </c>
      <c r="D3001" s="1">
        <v>279</v>
      </c>
      <c r="E3001" s="1">
        <f>IF(OR(Paths!$C$279=0,C3001=0),0,MAX(0,MIN(C3001*12,Paths!$E$279)-(C3001-1)*12))</f>
        <v>0</v>
      </c>
      <c r="F3001" s="1">
        <f>IF(OR(Paths!$C$279=0,C3001=0),0,12-E3001)</f>
        <v>0</v>
      </c>
      <c r="G3001" s="16">
        <f>IF(NOT(Paths!$C$279=1),0,IF(Paths!$P$279="Complete",E3001/12*(Paths!$J$279*(1+'Operating costs'!$B$51)^MAX(0,C3001-1)+Paths!$K$279*(1+'Operating costs'!$B$53)^MAX(0,C3001-1)),"n.a."))</f>
        <v>0</v>
      </c>
      <c r="H3001" s="16">
        <f>IF(NOT(Paths!$C$279=1),0,IF(Paths!$P$279="Complete",F3001/12*(Paths!$L$279*(1+IF(Paths!$D$279="EV",'Operating costs'!$B$52,'Operating costs'!$B$51))^MAX(0,C3001-1)+Paths!$M$279*(1+'Operating costs'!$B$53)^MAX(0,C3001-1)),"n.a."))</f>
        <v>0</v>
      </c>
      <c r="I3001" s="16">
        <f>IF(NOT(Paths!$C$279=1),0,IF(Paths!$P$279="Complete",IF(IF(Paths!$E$279=0,C3001=0,AND(C3001&gt;0,Paths!$E$279&gt;(C3001-1)*12,Paths!$E$279&lt;=C3001*12)),Paths!$G$279,0),"n.a."))</f>
        <v>0</v>
      </c>
      <c r="J3001" s="16">
        <f>IF(NOT(Paths!$C$279=1),0,IF(Paths!$P$279="Complete",IF(IF(Paths!$E$279=0,C3001=0,AND(C3001&gt;0,Paths!$E$279&gt;(C3001-1)*12,Paths!$E$279&lt;=C3001*12)),Paths!$H$279,0),"n.a."))</f>
        <v>0</v>
      </c>
      <c r="K3001" s="16">
        <f>IF(NOT(Paths!$C$279=1),0,IF(Paths!$P$279="Complete",IF(IF(Paths!$O$279=0,C3001=0,AND(C3001&gt;0,Paths!$O$279&gt;(C3001-1)*12,Paths!$O$279&lt;=C3001*12)),Paths!$N$279,0),"n.a."))</f>
        <v>0</v>
      </c>
      <c r="L3001" s="16">
        <f>IF(NOT(Paths!$C$279=1),0,IF(Paths!$P$279="Complete",IF(C3001=10,Paths!$I$279,0),"n.a."))</f>
        <v>0</v>
      </c>
      <c r="M3001" s="16">
        <f>IF(NOT(Paths!$C$279=1),0,IF(Paths!$P$279="Complete",IF(AND(Paths!$D$279="EV",Paths!$E$279&lt;120,Paths!$E$279+'Operating costs'!$B$65&gt;Paths!$E$279,Paths!$E$279+'Operating costs'!$B$65&lt;=120,IF(Paths!$E$279+'Operating costs'!$B$65=0,C3001=0,AND(C3001&gt;0,Paths!$E$279+'Operating costs'!$B$65&gt;(C3001-1)*12,Paths!$E$279+'Operating costs'!$B$65&lt;=C3001*12))),'Operating costs'!$B$64,0)+IF(AND('Operating costs'!$B$67&gt;0,'Operating costs'!$B$67&lt;=120,OR(Paths!$D$279="ICE",'Operating costs'!$B$67&lt;=Paths!$E$279),IF('Operating costs'!$B$67=0,C3001=0,AND(C3001&gt;0,'Operating costs'!$B$67&gt;(C3001-1)*12,'Operating costs'!$B$67&lt;=C3001*12))),'Operating costs'!$B$66,0),"n.a."))</f>
        <v>0</v>
      </c>
      <c r="N3001" s="16">
        <f>IF(NOT(Paths!$C$279=1),0,IF(Paths!$P$279="Complete",SUM(G3001:I3001)-J3001-K3001-L3001+M3001+IF(C3001=0,Paths!$F$279,0)+IF(IF(Paths!$E$279=0,C3001=0,AND(C3001&gt;0,Paths!$E$279&gt;(C3001-1)*12,Paths!$E$279&lt;=C3001*12)),VLOOKUP(A3001,'Fleet register'!$A$7:$S$106,16,FALSE),0),"n.a."))</f>
        <v>0</v>
      </c>
      <c r="O3001" s="16">
        <f>IF(NOT(Paths!$C$279=1),0,IF(Paths!$P$279="Complete",N3001-IF(C3001=0,Paths!$F$279,0),"n.a."))</f>
        <v>0</v>
      </c>
      <c r="P3001" s="16">
        <f>IF(NOT(Paths!$C$279=1),0,IF(Paths!$P$279="Complete",O3001+L3001,"n.a."))</f>
        <v>0</v>
      </c>
      <c r="Q3001" s="16">
        <f>IF(NOT(Paths!$C$279=1),0,IF(Paths!$P$279="Complete",N3001*(1+'Operating costs'!$B$54)^-C3001,"n.a."))</f>
        <v>0</v>
      </c>
      <c r="R3001" s="16">
        <f>IF(NOT(Paths!$C$279=1),0,IF(Paths!$P$279="Complete",IF(AND(C3001=0,Paths!$E$279=0),I3001-J3001-K3001+VLOOKUP(A3001,'Fleet register'!$A$7:$S$106,15,FALSE)+VLOOKUP(A3001,'Fleet register'!$A$7:$S$106,16,FALSE),0),"n.a."))</f>
        <v>0</v>
      </c>
      <c r="S3001" s="1">
        <f>IF(NOT(Paths!$C$279=1),0,IF(Paths!$P$279="Complete",IF(C3001=0,0,Paths!$S$279*Paths!$R$279),"n.a."))</f>
        <v>0</v>
      </c>
      <c r="T3001" s="1">
        <f>IF(NOT(Paths!$C$279=1),0,IF(Paths!$P$279="Complete",IF(C3001=0,0,VLOOKUP(A3001,'Fleet register'!$A$7:$S$106,9,FALSE)*Paths!$R$279),"n.a."))</f>
        <v>0</v>
      </c>
    </row>
    <row r="3002" spans="1:20" ht="24" customHeight="1">
      <c r="A3002" s="1" t="str">
        <f>Paths!$A$279</f>
        <v>T069</v>
      </c>
      <c r="B3002" s="1">
        <f>Paths!$B$279</f>
        <v>0</v>
      </c>
      <c r="C3002" s="1">
        <v>3</v>
      </c>
      <c r="D3002" s="1">
        <v>279</v>
      </c>
      <c r="E3002" s="1">
        <f>IF(OR(Paths!$C$279=0,C3002=0),0,MAX(0,MIN(C3002*12,Paths!$E$279)-(C3002-1)*12))</f>
        <v>0</v>
      </c>
      <c r="F3002" s="1">
        <f>IF(OR(Paths!$C$279=0,C3002=0),0,12-E3002)</f>
        <v>0</v>
      </c>
      <c r="G3002" s="16">
        <f>IF(NOT(Paths!$C$279=1),0,IF(Paths!$P$279="Complete",E3002/12*(Paths!$J$279*(1+'Operating costs'!$B$51)^MAX(0,C3002-1)+Paths!$K$279*(1+'Operating costs'!$B$53)^MAX(0,C3002-1)),"n.a."))</f>
        <v>0</v>
      </c>
      <c r="H3002" s="16">
        <f>IF(NOT(Paths!$C$279=1),0,IF(Paths!$P$279="Complete",F3002/12*(Paths!$L$279*(1+IF(Paths!$D$279="EV",'Operating costs'!$B$52,'Operating costs'!$B$51))^MAX(0,C3002-1)+Paths!$M$279*(1+'Operating costs'!$B$53)^MAX(0,C3002-1)),"n.a."))</f>
        <v>0</v>
      </c>
      <c r="I3002" s="16">
        <f>IF(NOT(Paths!$C$279=1),0,IF(Paths!$P$279="Complete",IF(IF(Paths!$E$279=0,C3002=0,AND(C3002&gt;0,Paths!$E$279&gt;(C3002-1)*12,Paths!$E$279&lt;=C3002*12)),Paths!$G$279,0),"n.a."))</f>
        <v>0</v>
      </c>
      <c r="J3002" s="16">
        <f>IF(NOT(Paths!$C$279=1),0,IF(Paths!$P$279="Complete",IF(IF(Paths!$E$279=0,C3002=0,AND(C3002&gt;0,Paths!$E$279&gt;(C3002-1)*12,Paths!$E$279&lt;=C3002*12)),Paths!$H$279,0),"n.a."))</f>
        <v>0</v>
      </c>
      <c r="K3002" s="16">
        <f>IF(NOT(Paths!$C$279=1),0,IF(Paths!$P$279="Complete",IF(IF(Paths!$O$279=0,C3002=0,AND(C3002&gt;0,Paths!$O$279&gt;(C3002-1)*12,Paths!$O$279&lt;=C3002*12)),Paths!$N$279,0),"n.a."))</f>
        <v>0</v>
      </c>
      <c r="L3002" s="16">
        <f>IF(NOT(Paths!$C$279=1),0,IF(Paths!$P$279="Complete",IF(C3002=10,Paths!$I$279,0),"n.a."))</f>
        <v>0</v>
      </c>
      <c r="M3002" s="16">
        <f>IF(NOT(Paths!$C$279=1),0,IF(Paths!$P$279="Complete",IF(AND(Paths!$D$279="EV",Paths!$E$279&lt;120,Paths!$E$279+'Operating costs'!$B$65&gt;Paths!$E$279,Paths!$E$279+'Operating costs'!$B$65&lt;=120,IF(Paths!$E$279+'Operating costs'!$B$65=0,C3002=0,AND(C3002&gt;0,Paths!$E$279+'Operating costs'!$B$65&gt;(C3002-1)*12,Paths!$E$279+'Operating costs'!$B$65&lt;=C3002*12))),'Operating costs'!$B$64,0)+IF(AND('Operating costs'!$B$67&gt;0,'Operating costs'!$B$67&lt;=120,OR(Paths!$D$279="ICE",'Operating costs'!$B$67&lt;=Paths!$E$279),IF('Operating costs'!$B$67=0,C3002=0,AND(C3002&gt;0,'Operating costs'!$B$67&gt;(C3002-1)*12,'Operating costs'!$B$67&lt;=C3002*12))),'Operating costs'!$B$66,0),"n.a."))</f>
        <v>0</v>
      </c>
      <c r="N3002" s="16">
        <f>IF(NOT(Paths!$C$279=1),0,IF(Paths!$P$279="Complete",SUM(G3002:I3002)-J3002-K3002-L3002+M3002+IF(C3002=0,Paths!$F$279,0)+IF(IF(Paths!$E$279=0,C3002=0,AND(C3002&gt;0,Paths!$E$279&gt;(C3002-1)*12,Paths!$E$279&lt;=C3002*12)),VLOOKUP(A3002,'Fleet register'!$A$7:$S$106,16,FALSE),0),"n.a."))</f>
        <v>0</v>
      </c>
      <c r="O3002" s="16">
        <f>IF(NOT(Paths!$C$279=1),0,IF(Paths!$P$279="Complete",N3002-IF(C3002=0,Paths!$F$279,0),"n.a."))</f>
        <v>0</v>
      </c>
      <c r="P3002" s="16">
        <f>IF(NOT(Paths!$C$279=1),0,IF(Paths!$P$279="Complete",O3002+L3002,"n.a."))</f>
        <v>0</v>
      </c>
      <c r="Q3002" s="16">
        <f>IF(NOT(Paths!$C$279=1),0,IF(Paths!$P$279="Complete",N3002*(1+'Operating costs'!$B$54)^-C3002,"n.a."))</f>
        <v>0</v>
      </c>
      <c r="R3002" s="16">
        <f>IF(NOT(Paths!$C$279=1),0,IF(Paths!$P$279="Complete",IF(AND(C3002=0,Paths!$E$279=0),I3002-J3002-K3002+VLOOKUP(A3002,'Fleet register'!$A$7:$S$106,15,FALSE)+VLOOKUP(A3002,'Fleet register'!$A$7:$S$106,16,FALSE),0),"n.a."))</f>
        <v>0</v>
      </c>
      <c r="S3002" s="1">
        <f>IF(NOT(Paths!$C$279=1),0,IF(Paths!$P$279="Complete",IF(C3002=0,0,Paths!$S$279*Paths!$R$279),"n.a."))</f>
        <v>0</v>
      </c>
      <c r="T3002" s="1">
        <f>IF(NOT(Paths!$C$279=1),0,IF(Paths!$P$279="Complete",IF(C3002=0,0,VLOOKUP(A3002,'Fleet register'!$A$7:$S$106,9,FALSE)*Paths!$R$279),"n.a."))</f>
        <v>0</v>
      </c>
    </row>
    <row r="3003" spans="1:20" ht="24" customHeight="1">
      <c r="A3003" s="1" t="str">
        <f>Paths!$A$279</f>
        <v>T069</v>
      </c>
      <c r="B3003" s="1">
        <f>Paths!$B$279</f>
        <v>0</v>
      </c>
      <c r="C3003" s="1">
        <v>4</v>
      </c>
      <c r="D3003" s="1">
        <v>279</v>
      </c>
      <c r="E3003" s="1">
        <f>IF(OR(Paths!$C$279=0,C3003=0),0,MAX(0,MIN(C3003*12,Paths!$E$279)-(C3003-1)*12))</f>
        <v>0</v>
      </c>
      <c r="F3003" s="1">
        <f>IF(OR(Paths!$C$279=0,C3003=0),0,12-E3003)</f>
        <v>0</v>
      </c>
      <c r="G3003" s="16">
        <f>IF(NOT(Paths!$C$279=1),0,IF(Paths!$P$279="Complete",E3003/12*(Paths!$J$279*(1+'Operating costs'!$B$51)^MAX(0,C3003-1)+Paths!$K$279*(1+'Operating costs'!$B$53)^MAX(0,C3003-1)),"n.a."))</f>
        <v>0</v>
      </c>
      <c r="H3003" s="16">
        <f>IF(NOT(Paths!$C$279=1),0,IF(Paths!$P$279="Complete",F3003/12*(Paths!$L$279*(1+IF(Paths!$D$279="EV",'Operating costs'!$B$52,'Operating costs'!$B$51))^MAX(0,C3003-1)+Paths!$M$279*(1+'Operating costs'!$B$53)^MAX(0,C3003-1)),"n.a."))</f>
        <v>0</v>
      </c>
      <c r="I3003" s="16">
        <f>IF(NOT(Paths!$C$279=1),0,IF(Paths!$P$279="Complete",IF(IF(Paths!$E$279=0,C3003=0,AND(C3003&gt;0,Paths!$E$279&gt;(C3003-1)*12,Paths!$E$279&lt;=C3003*12)),Paths!$G$279,0),"n.a."))</f>
        <v>0</v>
      </c>
      <c r="J3003" s="16">
        <f>IF(NOT(Paths!$C$279=1),0,IF(Paths!$P$279="Complete",IF(IF(Paths!$E$279=0,C3003=0,AND(C3003&gt;0,Paths!$E$279&gt;(C3003-1)*12,Paths!$E$279&lt;=C3003*12)),Paths!$H$279,0),"n.a."))</f>
        <v>0</v>
      </c>
      <c r="K3003" s="16">
        <f>IF(NOT(Paths!$C$279=1),0,IF(Paths!$P$279="Complete",IF(IF(Paths!$O$279=0,C3003=0,AND(C3003&gt;0,Paths!$O$279&gt;(C3003-1)*12,Paths!$O$279&lt;=C3003*12)),Paths!$N$279,0),"n.a."))</f>
        <v>0</v>
      </c>
      <c r="L3003" s="16">
        <f>IF(NOT(Paths!$C$279=1),0,IF(Paths!$P$279="Complete",IF(C3003=10,Paths!$I$279,0),"n.a."))</f>
        <v>0</v>
      </c>
      <c r="M3003" s="16">
        <f>IF(NOT(Paths!$C$279=1),0,IF(Paths!$P$279="Complete",IF(AND(Paths!$D$279="EV",Paths!$E$279&lt;120,Paths!$E$279+'Operating costs'!$B$65&gt;Paths!$E$279,Paths!$E$279+'Operating costs'!$B$65&lt;=120,IF(Paths!$E$279+'Operating costs'!$B$65=0,C3003=0,AND(C3003&gt;0,Paths!$E$279+'Operating costs'!$B$65&gt;(C3003-1)*12,Paths!$E$279+'Operating costs'!$B$65&lt;=C3003*12))),'Operating costs'!$B$64,0)+IF(AND('Operating costs'!$B$67&gt;0,'Operating costs'!$B$67&lt;=120,OR(Paths!$D$279="ICE",'Operating costs'!$B$67&lt;=Paths!$E$279),IF('Operating costs'!$B$67=0,C3003=0,AND(C3003&gt;0,'Operating costs'!$B$67&gt;(C3003-1)*12,'Operating costs'!$B$67&lt;=C3003*12))),'Operating costs'!$B$66,0),"n.a."))</f>
        <v>0</v>
      </c>
      <c r="N3003" s="16">
        <f>IF(NOT(Paths!$C$279=1),0,IF(Paths!$P$279="Complete",SUM(G3003:I3003)-J3003-K3003-L3003+M3003+IF(C3003=0,Paths!$F$279,0)+IF(IF(Paths!$E$279=0,C3003=0,AND(C3003&gt;0,Paths!$E$279&gt;(C3003-1)*12,Paths!$E$279&lt;=C3003*12)),VLOOKUP(A3003,'Fleet register'!$A$7:$S$106,16,FALSE),0),"n.a."))</f>
        <v>0</v>
      </c>
      <c r="O3003" s="16">
        <f>IF(NOT(Paths!$C$279=1),0,IF(Paths!$P$279="Complete",N3003-IF(C3003=0,Paths!$F$279,0),"n.a."))</f>
        <v>0</v>
      </c>
      <c r="P3003" s="16">
        <f>IF(NOT(Paths!$C$279=1),0,IF(Paths!$P$279="Complete",O3003+L3003,"n.a."))</f>
        <v>0</v>
      </c>
      <c r="Q3003" s="16">
        <f>IF(NOT(Paths!$C$279=1),0,IF(Paths!$P$279="Complete",N3003*(1+'Operating costs'!$B$54)^-C3003,"n.a."))</f>
        <v>0</v>
      </c>
      <c r="R3003" s="16">
        <f>IF(NOT(Paths!$C$279=1),0,IF(Paths!$P$279="Complete",IF(AND(C3003=0,Paths!$E$279=0),I3003-J3003-K3003+VLOOKUP(A3003,'Fleet register'!$A$7:$S$106,15,FALSE)+VLOOKUP(A3003,'Fleet register'!$A$7:$S$106,16,FALSE),0),"n.a."))</f>
        <v>0</v>
      </c>
      <c r="S3003" s="1">
        <f>IF(NOT(Paths!$C$279=1),0,IF(Paths!$P$279="Complete",IF(C3003=0,0,Paths!$S$279*Paths!$R$279),"n.a."))</f>
        <v>0</v>
      </c>
      <c r="T3003" s="1">
        <f>IF(NOT(Paths!$C$279=1),0,IF(Paths!$P$279="Complete",IF(C3003=0,0,VLOOKUP(A3003,'Fleet register'!$A$7:$S$106,9,FALSE)*Paths!$R$279),"n.a."))</f>
        <v>0</v>
      </c>
    </row>
    <row r="3004" spans="1:20" ht="24" customHeight="1">
      <c r="A3004" s="1" t="str">
        <f>Paths!$A$279</f>
        <v>T069</v>
      </c>
      <c r="B3004" s="1">
        <f>Paths!$B$279</f>
        <v>0</v>
      </c>
      <c r="C3004" s="1">
        <v>5</v>
      </c>
      <c r="D3004" s="1">
        <v>279</v>
      </c>
      <c r="E3004" s="1">
        <f>IF(OR(Paths!$C$279=0,C3004=0),0,MAX(0,MIN(C3004*12,Paths!$E$279)-(C3004-1)*12))</f>
        <v>0</v>
      </c>
      <c r="F3004" s="1">
        <f>IF(OR(Paths!$C$279=0,C3004=0),0,12-E3004)</f>
        <v>0</v>
      </c>
      <c r="G3004" s="16">
        <f>IF(NOT(Paths!$C$279=1),0,IF(Paths!$P$279="Complete",E3004/12*(Paths!$J$279*(1+'Operating costs'!$B$51)^MAX(0,C3004-1)+Paths!$K$279*(1+'Operating costs'!$B$53)^MAX(0,C3004-1)),"n.a."))</f>
        <v>0</v>
      </c>
      <c r="H3004" s="16">
        <f>IF(NOT(Paths!$C$279=1),0,IF(Paths!$P$279="Complete",F3004/12*(Paths!$L$279*(1+IF(Paths!$D$279="EV",'Operating costs'!$B$52,'Operating costs'!$B$51))^MAX(0,C3004-1)+Paths!$M$279*(1+'Operating costs'!$B$53)^MAX(0,C3004-1)),"n.a."))</f>
        <v>0</v>
      </c>
      <c r="I3004" s="16">
        <f>IF(NOT(Paths!$C$279=1),0,IF(Paths!$P$279="Complete",IF(IF(Paths!$E$279=0,C3004=0,AND(C3004&gt;0,Paths!$E$279&gt;(C3004-1)*12,Paths!$E$279&lt;=C3004*12)),Paths!$G$279,0),"n.a."))</f>
        <v>0</v>
      </c>
      <c r="J3004" s="16">
        <f>IF(NOT(Paths!$C$279=1),0,IF(Paths!$P$279="Complete",IF(IF(Paths!$E$279=0,C3004=0,AND(C3004&gt;0,Paths!$E$279&gt;(C3004-1)*12,Paths!$E$279&lt;=C3004*12)),Paths!$H$279,0),"n.a."))</f>
        <v>0</v>
      </c>
      <c r="K3004" s="16">
        <f>IF(NOT(Paths!$C$279=1),0,IF(Paths!$P$279="Complete",IF(IF(Paths!$O$279=0,C3004=0,AND(C3004&gt;0,Paths!$O$279&gt;(C3004-1)*12,Paths!$O$279&lt;=C3004*12)),Paths!$N$279,0),"n.a."))</f>
        <v>0</v>
      </c>
      <c r="L3004" s="16">
        <f>IF(NOT(Paths!$C$279=1),0,IF(Paths!$P$279="Complete",IF(C3004=10,Paths!$I$279,0),"n.a."))</f>
        <v>0</v>
      </c>
      <c r="M3004" s="16">
        <f>IF(NOT(Paths!$C$279=1),0,IF(Paths!$P$279="Complete",IF(AND(Paths!$D$279="EV",Paths!$E$279&lt;120,Paths!$E$279+'Operating costs'!$B$65&gt;Paths!$E$279,Paths!$E$279+'Operating costs'!$B$65&lt;=120,IF(Paths!$E$279+'Operating costs'!$B$65=0,C3004=0,AND(C3004&gt;0,Paths!$E$279+'Operating costs'!$B$65&gt;(C3004-1)*12,Paths!$E$279+'Operating costs'!$B$65&lt;=C3004*12))),'Operating costs'!$B$64,0)+IF(AND('Operating costs'!$B$67&gt;0,'Operating costs'!$B$67&lt;=120,OR(Paths!$D$279="ICE",'Operating costs'!$B$67&lt;=Paths!$E$279),IF('Operating costs'!$B$67=0,C3004=0,AND(C3004&gt;0,'Operating costs'!$B$67&gt;(C3004-1)*12,'Operating costs'!$B$67&lt;=C3004*12))),'Operating costs'!$B$66,0),"n.a."))</f>
        <v>0</v>
      </c>
      <c r="N3004" s="16">
        <f>IF(NOT(Paths!$C$279=1),0,IF(Paths!$P$279="Complete",SUM(G3004:I3004)-J3004-K3004-L3004+M3004+IF(C3004=0,Paths!$F$279,0)+IF(IF(Paths!$E$279=0,C3004=0,AND(C3004&gt;0,Paths!$E$279&gt;(C3004-1)*12,Paths!$E$279&lt;=C3004*12)),VLOOKUP(A3004,'Fleet register'!$A$7:$S$106,16,FALSE),0),"n.a."))</f>
        <v>0</v>
      </c>
      <c r="O3004" s="16">
        <f>IF(NOT(Paths!$C$279=1),0,IF(Paths!$P$279="Complete",N3004-IF(C3004=0,Paths!$F$279,0),"n.a."))</f>
        <v>0</v>
      </c>
      <c r="P3004" s="16">
        <f>IF(NOT(Paths!$C$279=1),0,IF(Paths!$P$279="Complete",O3004+L3004,"n.a."))</f>
        <v>0</v>
      </c>
      <c r="Q3004" s="16">
        <f>IF(NOT(Paths!$C$279=1),0,IF(Paths!$P$279="Complete",N3004*(1+'Operating costs'!$B$54)^-C3004,"n.a."))</f>
        <v>0</v>
      </c>
      <c r="R3004" s="16">
        <f>IF(NOT(Paths!$C$279=1),0,IF(Paths!$P$279="Complete",IF(AND(C3004=0,Paths!$E$279=0),I3004-J3004-K3004+VLOOKUP(A3004,'Fleet register'!$A$7:$S$106,15,FALSE)+VLOOKUP(A3004,'Fleet register'!$A$7:$S$106,16,FALSE),0),"n.a."))</f>
        <v>0</v>
      </c>
      <c r="S3004" s="1">
        <f>IF(NOT(Paths!$C$279=1),0,IF(Paths!$P$279="Complete",IF(C3004=0,0,Paths!$S$279*Paths!$R$279),"n.a."))</f>
        <v>0</v>
      </c>
      <c r="T3004" s="1">
        <f>IF(NOT(Paths!$C$279=1),0,IF(Paths!$P$279="Complete",IF(C3004=0,0,VLOOKUP(A3004,'Fleet register'!$A$7:$S$106,9,FALSE)*Paths!$R$279),"n.a."))</f>
        <v>0</v>
      </c>
    </row>
    <row r="3005" spans="1:20" ht="24" customHeight="1">
      <c r="A3005" s="1" t="str">
        <f>Paths!$A$279</f>
        <v>T069</v>
      </c>
      <c r="B3005" s="1">
        <f>Paths!$B$279</f>
        <v>0</v>
      </c>
      <c r="C3005" s="1">
        <v>6</v>
      </c>
      <c r="D3005" s="1">
        <v>279</v>
      </c>
      <c r="E3005" s="1">
        <f>IF(OR(Paths!$C$279=0,C3005=0),0,MAX(0,MIN(C3005*12,Paths!$E$279)-(C3005-1)*12))</f>
        <v>0</v>
      </c>
      <c r="F3005" s="1">
        <f>IF(OR(Paths!$C$279=0,C3005=0),0,12-E3005)</f>
        <v>0</v>
      </c>
      <c r="G3005" s="16">
        <f>IF(NOT(Paths!$C$279=1),0,IF(Paths!$P$279="Complete",E3005/12*(Paths!$J$279*(1+'Operating costs'!$B$51)^MAX(0,C3005-1)+Paths!$K$279*(1+'Operating costs'!$B$53)^MAX(0,C3005-1)),"n.a."))</f>
        <v>0</v>
      </c>
      <c r="H3005" s="16">
        <f>IF(NOT(Paths!$C$279=1),0,IF(Paths!$P$279="Complete",F3005/12*(Paths!$L$279*(1+IF(Paths!$D$279="EV",'Operating costs'!$B$52,'Operating costs'!$B$51))^MAX(0,C3005-1)+Paths!$M$279*(1+'Operating costs'!$B$53)^MAX(0,C3005-1)),"n.a."))</f>
        <v>0</v>
      </c>
      <c r="I3005" s="16">
        <f>IF(NOT(Paths!$C$279=1),0,IF(Paths!$P$279="Complete",IF(IF(Paths!$E$279=0,C3005=0,AND(C3005&gt;0,Paths!$E$279&gt;(C3005-1)*12,Paths!$E$279&lt;=C3005*12)),Paths!$G$279,0),"n.a."))</f>
        <v>0</v>
      </c>
      <c r="J3005" s="16">
        <f>IF(NOT(Paths!$C$279=1),0,IF(Paths!$P$279="Complete",IF(IF(Paths!$E$279=0,C3005=0,AND(C3005&gt;0,Paths!$E$279&gt;(C3005-1)*12,Paths!$E$279&lt;=C3005*12)),Paths!$H$279,0),"n.a."))</f>
        <v>0</v>
      </c>
      <c r="K3005" s="16">
        <f>IF(NOT(Paths!$C$279=1),0,IF(Paths!$P$279="Complete",IF(IF(Paths!$O$279=0,C3005=0,AND(C3005&gt;0,Paths!$O$279&gt;(C3005-1)*12,Paths!$O$279&lt;=C3005*12)),Paths!$N$279,0),"n.a."))</f>
        <v>0</v>
      </c>
      <c r="L3005" s="16">
        <f>IF(NOT(Paths!$C$279=1),0,IF(Paths!$P$279="Complete",IF(C3005=10,Paths!$I$279,0),"n.a."))</f>
        <v>0</v>
      </c>
      <c r="M3005" s="16">
        <f>IF(NOT(Paths!$C$279=1),0,IF(Paths!$P$279="Complete",IF(AND(Paths!$D$279="EV",Paths!$E$279&lt;120,Paths!$E$279+'Operating costs'!$B$65&gt;Paths!$E$279,Paths!$E$279+'Operating costs'!$B$65&lt;=120,IF(Paths!$E$279+'Operating costs'!$B$65=0,C3005=0,AND(C3005&gt;0,Paths!$E$279+'Operating costs'!$B$65&gt;(C3005-1)*12,Paths!$E$279+'Operating costs'!$B$65&lt;=C3005*12))),'Operating costs'!$B$64,0)+IF(AND('Operating costs'!$B$67&gt;0,'Operating costs'!$B$67&lt;=120,OR(Paths!$D$279="ICE",'Operating costs'!$B$67&lt;=Paths!$E$279),IF('Operating costs'!$B$67=0,C3005=0,AND(C3005&gt;0,'Operating costs'!$B$67&gt;(C3005-1)*12,'Operating costs'!$B$67&lt;=C3005*12))),'Operating costs'!$B$66,0),"n.a."))</f>
        <v>0</v>
      </c>
      <c r="N3005" s="16">
        <f>IF(NOT(Paths!$C$279=1),0,IF(Paths!$P$279="Complete",SUM(G3005:I3005)-J3005-K3005-L3005+M3005+IF(C3005=0,Paths!$F$279,0)+IF(IF(Paths!$E$279=0,C3005=0,AND(C3005&gt;0,Paths!$E$279&gt;(C3005-1)*12,Paths!$E$279&lt;=C3005*12)),VLOOKUP(A3005,'Fleet register'!$A$7:$S$106,16,FALSE),0),"n.a."))</f>
        <v>0</v>
      </c>
      <c r="O3005" s="16">
        <f>IF(NOT(Paths!$C$279=1),0,IF(Paths!$P$279="Complete",N3005-IF(C3005=0,Paths!$F$279,0),"n.a."))</f>
        <v>0</v>
      </c>
      <c r="P3005" s="16">
        <f>IF(NOT(Paths!$C$279=1),0,IF(Paths!$P$279="Complete",O3005+L3005,"n.a."))</f>
        <v>0</v>
      </c>
      <c r="Q3005" s="16">
        <f>IF(NOT(Paths!$C$279=1),0,IF(Paths!$P$279="Complete",N3005*(1+'Operating costs'!$B$54)^-C3005,"n.a."))</f>
        <v>0</v>
      </c>
      <c r="R3005" s="16">
        <f>IF(NOT(Paths!$C$279=1),0,IF(Paths!$P$279="Complete",IF(AND(C3005=0,Paths!$E$279=0),I3005-J3005-K3005+VLOOKUP(A3005,'Fleet register'!$A$7:$S$106,15,FALSE)+VLOOKUP(A3005,'Fleet register'!$A$7:$S$106,16,FALSE),0),"n.a."))</f>
        <v>0</v>
      </c>
      <c r="S3005" s="1">
        <f>IF(NOT(Paths!$C$279=1),0,IF(Paths!$P$279="Complete",IF(C3005=0,0,Paths!$S$279*Paths!$R$279),"n.a."))</f>
        <v>0</v>
      </c>
      <c r="T3005" s="1">
        <f>IF(NOT(Paths!$C$279=1),0,IF(Paths!$P$279="Complete",IF(C3005=0,0,VLOOKUP(A3005,'Fleet register'!$A$7:$S$106,9,FALSE)*Paths!$R$279),"n.a."))</f>
        <v>0</v>
      </c>
    </row>
    <row r="3006" spans="1:20" ht="24" customHeight="1">
      <c r="A3006" s="1" t="str">
        <f>Paths!$A$279</f>
        <v>T069</v>
      </c>
      <c r="B3006" s="1">
        <f>Paths!$B$279</f>
        <v>0</v>
      </c>
      <c r="C3006" s="1">
        <v>7</v>
      </c>
      <c r="D3006" s="1">
        <v>279</v>
      </c>
      <c r="E3006" s="1">
        <f>IF(OR(Paths!$C$279=0,C3006=0),0,MAX(0,MIN(C3006*12,Paths!$E$279)-(C3006-1)*12))</f>
        <v>0</v>
      </c>
      <c r="F3006" s="1">
        <f>IF(OR(Paths!$C$279=0,C3006=0),0,12-E3006)</f>
        <v>0</v>
      </c>
      <c r="G3006" s="16">
        <f>IF(NOT(Paths!$C$279=1),0,IF(Paths!$P$279="Complete",E3006/12*(Paths!$J$279*(1+'Operating costs'!$B$51)^MAX(0,C3006-1)+Paths!$K$279*(1+'Operating costs'!$B$53)^MAX(0,C3006-1)),"n.a."))</f>
        <v>0</v>
      </c>
      <c r="H3006" s="16">
        <f>IF(NOT(Paths!$C$279=1),0,IF(Paths!$P$279="Complete",F3006/12*(Paths!$L$279*(1+IF(Paths!$D$279="EV",'Operating costs'!$B$52,'Operating costs'!$B$51))^MAX(0,C3006-1)+Paths!$M$279*(1+'Operating costs'!$B$53)^MAX(0,C3006-1)),"n.a."))</f>
        <v>0</v>
      </c>
      <c r="I3006" s="16">
        <f>IF(NOT(Paths!$C$279=1),0,IF(Paths!$P$279="Complete",IF(IF(Paths!$E$279=0,C3006=0,AND(C3006&gt;0,Paths!$E$279&gt;(C3006-1)*12,Paths!$E$279&lt;=C3006*12)),Paths!$G$279,0),"n.a."))</f>
        <v>0</v>
      </c>
      <c r="J3006" s="16">
        <f>IF(NOT(Paths!$C$279=1),0,IF(Paths!$P$279="Complete",IF(IF(Paths!$E$279=0,C3006=0,AND(C3006&gt;0,Paths!$E$279&gt;(C3006-1)*12,Paths!$E$279&lt;=C3006*12)),Paths!$H$279,0),"n.a."))</f>
        <v>0</v>
      </c>
      <c r="K3006" s="16">
        <f>IF(NOT(Paths!$C$279=1),0,IF(Paths!$P$279="Complete",IF(IF(Paths!$O$279=0,C3006=0,AND(C3006&gt;0,Paths!$O$279&gt;(C3006-1)*12,Paths!$O$279&lt;=C3006*12)),Paths!$N$279,0),"n.a."))</f>
        <v>0</v>
      </c>
      <c r="L3006" s="16">
        <f>IF(NOT(Paths!$C$279=1),0,IF(Paths!$P$279="Complete",IF(C3006=10,Paths!$I$279,0),"n.a."))</f>
        <v>0</v>
      </c>
      <c r="M3006" s="16">
        <f>IF(NOT(Paths!$C$279=1),0,IF(Paths!$P$279="Complete",IF(AND(Paths!$D$279="EV",Paths!$E$279&lt;120,Paths!$E$279+'Operating costs'!$B$65&gt;Paths!$E$279,Paths!$E$279+'Operating costs'!$B$65&lt;=120,IF(Paths!$E$279+'Operating costs'!$B$65=0,C3006=0,AND(C3006&gt;0,Paths!$E$279+'Operating costs'!$B$65&gt;(C3006-1)*12,Paths!$E$279+'Operating costs'!$B$65&lt;=C3006*12))),'Operating costs'!$B$64,0)+IF(AND('Operating costs'!$B$67&gt;0,'Operating costs'!$B$67&lt;=120,OR(Paths!$D$279="ICE",'Operating costs'!$B$67&lt;=Paths!$E$279),IF('Operating costs'!$B$67=0,C3006=0,AND(C3006&gt;0,'Operating costs'!$B$67&gt;(C3006-1)*12,'Operating costs'!$B$67&lt;=C3006*12))),'Operating costs'!$B$66,0),"n.a."))</f>
        <v>0</v>
      </c>
      <c r="N3006" s="16">
        <f>IF(NOT(Paths!$C$279=1),0,IF(Paths!$P$279="Complete",SUM(G3006:I3006)-J3006-K3006-L3006+M3006+IF(C3006=0,Paths!$F$279,0)+IF(IF(Paths!$E$279=0,C3006=0,AND(C3006&gt;0,Paths!$E$279&gt;(C3006-1)*12,Paths!$E$279&lt;=C3006*12)),VLOOKUP(A3006,'Fleet register'!$A$7:$S$106,16,FALSE),0),"n.a."))</f>
        <v>0</v>
      </c>
      <c r="O3006" s="16">
        <f>IF(NOT(Paths!$C$279=1),0,IF(Paths!$P$279="Complete",N3006-IF(C3006=0,Paths!$F$279,0),"n.a."))</f>
        <v>0</v>
      </c>
      <c r="P3006" s="16">
        <f>IF(NOT(Paths!$C$279=1),0,IF(Paths!$P$279="Complete",O3006+L3006,"n.a."))</f>
        <v>0</v>
      </c>
      <c r="Q3006" s="16">
        <f>IF(NOT(Paths!$C$279=1),0,IF(Paths!$P$279="Complete",N3006*(1+'Operating costs'!$B$54)^-C3006,"n.a."))</f>
        <v>0</v>
      </c>
      <c r="R3006" s="16">
        <f>IF(NOT(Paths!$C$279=1),0,IF(Paths!$P$279="Complete",IF(AND(C3006=0,Paths!$E$279=0),I3006-J3006-K3006+VLOOKUP(A3006,'Fleet register'!$A$7:$S$106,15,FALSE)+VLOOKUP(A3006,'Fleet register'!$A$7:$S$106,16,FALSE),0),"n.a."))</f>
        <v>0</v>
      </c>
      <c r="S3006" s="1">
        <f>IF(NOT(Paths!$C$279=1),0,IF(Paths!$P$279="Complete",IF(C3006=0,0,Paths!$S$279*Paths!$R$279),"n.a."))</f>
        <v>0</v>
      </c>
      <c r="T3006" s="1">
        <f>IF(NOT(Paths!$C$279=1),0,IF(Paths!$P$279="Complete",IF(C3006=0,0,VLOOKUP(A3006,'Fleet register'!$A$7:$S$106,9,FALSE)*Paths!$R$279),"n.a."))</f>
        <v>0</v>
      </c>
    </row>
    <row r="3007" spans="1:20" ht="24" customHeight="1">
      <c r="A3007" s="1" t="str">
        <f>Paths!$A$279</f>
        <v>T069</v>
      </c>
      <c r="B3007" s="1">
        <f>Paths!$B$279</f>
        <v>0</v>
      </c>
      <c r="C3007" s="1">
        <v>8</v>
      </c>
      <c r="D3007" s="1">
        <v>279</v>
      </c>
      <c r="E3007" s="1">
        <f>IF(OR(Paths!$C$279=0,C3007=0),0,MAX(0,MIN(C3007*12,Paths!$E$279)-(C3007-1)*12))</f>
        <v>0</v>
      </c>
      <c r="F3007" s="1">
        <f>IF(OR(Paths!$C$279=0,C3007=0),0,12-E3007)</f>
        <v>0</v>
      </c>
      <c r="G3007" s="16">
        <f>IF(NOT(Paths!$C$279=1),0,IF(Paths!$P$279="Complete",E3007/12*(Paths!$J$279*(1+'Operating costs'!$B$51)^MAX(0,C3007-1)+Paths!$K$279*(1+'Operating costs'!$B$53)^MAX(0,C3007-1)),"n.a."))</f>
        <v>0</v>
      </c>
      <c r="H3007" s="16">
        <f>IF(NOT(Paths!$C$279=1),0,IF(Paths!$P$279="Complete",F3007/12*(Paths!$L$279*(1+IF(Paths!$D$279="EV",'Operating costs'!$B$52,'Operating costs'!$B$51))^MAX(0,C3007-1)+Paths!$M$279*(1+'Operating costs'!$B$53)^MAX(0,C3007-1)),"n.a."))</f>
        <v>0</v>
      </c>
      <c r="I3007" s="16">
        <f>IF(NOT(Paths!$C$279=1),0,IF(Paths!$P$279="Complete",IF(IF(Paths!$E$279=0,C3007=0,AND(C3007&gt;0,Paths!$E$279&gt;(C3007-1)*12,Paths!$E$279&lt;=C3007*12)),Paths!$G$279,0),"n.a."))</f>
        <v>0</v>
      </c>
      <c r="J3007" s="16">
        <f>IF(NOT(Paths!$C$279=1),0,IF(Paths!$P$279="Complete",IF(IF(Paths!$E$279=0,C3007=0,AND(C3007&gt;0,Paths!$E$279&gt;(C3007-1)*12,Paths!$E$279&lt;=C3007*12)),Paths!$H$279,0),"n.a."))</f>
        <v>0</v>
      </c>
      <c r="K3007" s="16">
        <f>IF(NOT(Paths!$C$279=1),0,IF(Paths!$P$279="Complete",IF(IF(Paths!$O$279=0,C3007=0,AND(C3007&gt;0,Paths!$O$279&gt;(C3007-1)*12,Paths!$O$279&lt;=C3007*12)),Paths!$N$279,0),"n.a."))</f>
        <v>0</v>
      </c>
      <c r="L3007" s="16">
        <f>IF(NOT(Paths!$C$279=1),0,IF(Paths!$P$279="Complete",IF(C3007=10,Paths!$I$279,0),"n.a."))</f>
        <v>0</v>
      </c>
      <c r="M3007" s="16">
        <f>IF(NOT(Paths!$C$279=1),0,IF(Paths!$P$279="Complete",IF(AND(Paths!$D$279="EV",Paths!$E$279&lt;120,Paths!$E$279+'Operating costs'!$B$65&gt;Paths!$E$279,Paths!$E$279+'Operating costs'!$B$65&lt;=120,IF(Paths!$E$279+'Operating costs'!$B$65=0,C3007=0,AND(C3007&gt;0,Paths!$E$279+'Operating costs'!$B$65&gt;(C3007-1)*12,Paths!$E$279+'Operating costs'!$B$65&lt;=C3007*12))),'Operating costs'!$B$64,0)+IF(AND('Operating costs'!$B$67&gt;0,'Operating costs'!$B$67&lt;=120,OR(Paths!$D$279="ICE",'Operating costs'!$B$67&lt;=Paths!$E$279),IF('Operating costs'!$B$67=0,C3007=0,AND(C3007&gt;0,'Operating costs'!$B$67&gt;(C3007-1)*12,'Operating costs'!$B$67&lt;=C3007*12))),'Operating costs'!$B$66,0),"n.a."))</f>
        <v>0</v>
      </c>
      <c r="N3007" s="16">
        <f>IF(NOT(Paths!$C$279=1),0,IF(Paths!$P$279="Complete",SUM(G3007:I3007)-J3007-K3007-L3007+M3007+IF(C3007=0,Paths!$F$279,0)+IF(IF(Paths!$E$279=0,C3007=0,AND(C3007&gt;0,Paths!$E$279&gt;(C3007-1)*12,Paths!$E$279&lt;=C3007*12)),VLOOKUP(A3007,'Fleet register'!$A$7:$S$106,16,FALSE),0),"n.a."))</f>
        <v>0</v>
      </c>
      <c r="O3007" s="16">
        <f>IF(NOT(Paths!$C$279=1),0,IF(Paths!$P$279="Complete",N3007-IF(C3007=0,Paths!$F$279,0),"n.a."))</f>
        <v>0</v>
      </c>
      <c r="P3007" s="16">
        <f>IF(NOT(Paths!$C$279=1),0,IF(Paths!$P$279="Complete",O3007+L3007,"n.a."))</f>
        <v>0</v>
      </c>
      <c r="Q3007" s="16">
        <f>IF(NOT(Paths!$C$279=1),0,IF(Paths!$P$279="Complete",N3007*(1+'Operating costs'!$B$54)^-C3007,"n.a."))</f>
        <v>0</v>
      </c>
      <c r="R3007" s="16">
        <f>IF(NOT(Paths!$C$279=1),0,IF(Paths!$P$279="Complete",IF(AND(C3007=0,Paths!$E$279=0),I3007-J3007-K3007+VLOOKUP(A3007,'Fleet register'!$A$7:$S$106,15,FALSE)+VLOOKUP(A3007,'Fleet register'!$A$7:$S$106,16,FALSE),0),"n.a."))</f>
        <v>0</v>
      </c>
      <c r="S3007" s="1">
        <f>IF(NOT(Paths!$C$279=1),0,IF(Paths!$P$279="Complete",IF(C3007=0,0,Paths!$S$279*Paths!$R$279),"n.a."))</f>
        <v>0</v>
      </c>
      <c r="T3007" s="1">
        <f>IF(NOT(Paths!$C$279=1),0,IF(Paths!$P$279="Complete",IF(C3007=0,0,VLOOKUP(A3007,'Fleet register'!$A$7:$S$106,9,FALSE)*Paths!$R$279),"n.a."))</f>
        <v>0</v>
      </c>
    </row>
    <row r="3008" spans="1:20" ht="24" customHeight="1">
      <c r="A3008" s="1" t="str">
        <f>Paths!$A$279</f>
        <v>T069</v>
      </c>
      <c r="B3008" s="1">
        <f>Paths!$B$279</f>
        <v>0</v>
      </c>
      <c r="C3008" s="1">
        <v>9</v>
      </c>
      <c r="D3008" s="1">
        <v>279</v>
      </c>
      <c r="E3008" s="1">
        <f>IF(OR(Paths!$C$279=0,C3008=0),0,MAX(0,MIN(C3008*12,Paths!$E$279)-(C3008-1)*12))</f>
        <v>0</v>
      </c>
      <c r="F3008" s="1">
        <f>IF(OR(Paths!$C$279=0,C3008=0),0,12-E3008)</f>
        <v>0</v>
      </c>
      <c r="G3008" s="16">
        <f>IF(NOT(Paths!$C$279=1),0,IF(Paths!$P$279="Complete",E3008/12*(Paths!$J$279*(1+'Operating costs'!$B$51)^MAX(0,C3008-1)+Paths!$K$279*(1+'Operating costs'!$B$53)^MAX(0,C3008-1)),"n.a."))</f>
        <v>0</v>
      </c>
      <c r="H3008" s="16">
        <f>IF(NOT(Paths!$C$279=1),0,IF(Paths!$P$279="Complete",F3008/12*(Paths!$L$279*(1+IF(Paths!$D$279="EV",'Operating costs'!$B$52,'Operating costs'!$B$51))^MAX(0,C3008-1)+Paths!$M$279*(1+'Operating costs'!$B$53)^MAX(0,C3008-1)),"n.a."))</f>
        <v>0</v>
      </c>
      <c r="I3008" s="16">
        <f>IF(NOT(Paths!$C$279=1),0,IF(Paths!$P$279="Complete",IF(IF(Paths!$E$279=0,C3008=0,AND(C3008&gt;0,Paths!$E$279&gt;(C3008-1)*12,Paths!$E$279&lt;=C3008*12)),Paths!$G$279,0),"n.a."))</f>
        <v>0</v>
      </c>
      <c r="J3008" s="16">
        <f>IF(NOT(Paths!$C$279=1),0,IF(Paths!$P$279="Complete",IF(IF(Paths!$E$279=0,C3008=0,AND(C3008&gt;0,Paths!$E$279&gt;(C3008-1)*12,Paths!$E$279&lt;=C3008*12)),Paths!$H$279,0),"n.a."))</f>
        <v>0</v>
      </c>
      <c r="K3008" s="16">
        <f>IF(NOT(Paths!$C$279=1),0,IF(Paths!$P$279="Complete",IF(IF(Paths!$O$279=0,C3008=0,AND(C3008&gt;0,Paths!$O$279&gt;(C3008-1)*12,Paths!$O$279&lt;=C3008*12)),Paths!$N$279,0),"n.a."))</f>
        <v>0</v>
      </c>
      <c r="L3008" s="16">
        <f>IF(NOT(Paths!$C$279=1),0,IF(Paths!$P$279="Complete",IF(C3008=10,Paths!$I$279,0),"n.a."))</f>
        <v>0</v>
      </c>
      <c r="M3008" s="16">
        <f>IF(NOT(Paths!$C$279=1),0,IF(Paths!$P$279="Complete",IF(AND(Paths!$D$279="EV",Paths!$E$279&lt;120,Paths!$E$279+'Operating costs'!$B$65&gt;Paths!$E$279,Paths!$E$279+'Operating costs'!$B$65&lt;=120,IF(Paths!$E$279+'Operating costs'!$B$65=0,C3008=0,AND(C3008&gt;0,Paths!$E$279+'Operating costs'!$B$65&gt;(C3008-1)*12,Paths!$E$279+'Operating costs'!$B$65&lt;=C3008*12))),'Operating costs'!$B$64,0)+IF(AND('Operating costs'!$B$67&gt;0,'Operating costs'!$B$67&lt;=120,OR(Paths!$D$279="ICE",'Operating costs'!$B$67&lt;=Paths!$E$279),IF('Operating costs'!$B$67=0,C3008=0,AND(C3008&gt;0,'Operating costs'!$B$67&gt;(C3008-1)*12,'Operating costs'!$B$67&lt;=C3008*12))),'Operating costs'!$B$66,0),"n.a."))</f>
        <v>0</v>
      </c>
      <c r="N3008" s="16">
        <f>IF(NOT(Paths!$C$279=1),0,IF(Paths!$P$279="Complete",SUM(G3008:I3008)-J3008-K3008-L3008+M3008+IF(C3008=0,Paths!$F$279,0)+IF(IF(Paths!$E$279=0,C3008=0,AND(C3008&gt;0,Paths!$E$279&gt;(C3008-1)*12,Paths!$E$279&lt;=C3008*12)),VLOOKUP(A3008,'Fleet register'!$A$7:$S$106,16,FALSE),0),"n.a."))</f>
        <v>0</v>
      </c>
      <c r="O3008" s="16">
        <f>IF(NOT(Paths!$C$279=1),0,IF(Paths!$P$279="Complete",N3008-IF(C3008=0,Paths!$F$279,0),"n.a."))</f>
        <v>0</v>
      </c>
      <c r="P3008" s="16">
        <f>IF(NOT(Paths!$C$279=1),0,IF(Paths!$P$279="Complete",O3008+L3008,"n.a."))</f>
        <v>0</v>
      </c>
      <c r="Q3008" s="16">
        <f>IF(NOT(Paths!$C$279=1),0,IF(Paths!$P$279="Complete",N3008*(1+'Operating costs'!$B$54)^-C3008,"n.a."))</f>
        <v>0</v>
      </c>
      <c r="R3008" s="16">
        <f>IF(NOT(Paths!$C$279=1),0,IF(Paths!$P$279="Complete",IF(AND(C3008=0,Paths!$E$279=0),I3008-J3008-K3008+VLOOKUP(A3008,'Fleet register'!$A$7:$S$106,15,FALSE)+VLOOKUP(A3008,'Fleet register'!$A$7:$S$106,16,FALSE),0),"n.a."))</f>
        <v>0</v>
      </c>
      <c r="S3008" s="1">
        <f>IF(NOT(Paths!$C$279=1),0,IF(Paths!$P$279="Complete",IF(C3008=0,0,Paths!$S$279*Paths!$R$279),"n.a."))</f>
        <v>0</v>
      </c>
      <c r="T3008" s="1">
        <f>IF(NOT(Paths!$C$279=1),0,IF(Paths!$P$279="Complete",IF(C3008=0,0,VLOOKUP(A3008,'Fleet register'!$A$7:$S$106,9,FALSE)*Paths!$R$279),"n.a."))</f>
        <v>0</v>
      </c>
    </row>
    <row r="3009" spans="1:20" ht="24" customHeight="1">
      <c r="A3009" s="1" t="str">
        <f>Paths!$A$279</f>
        <v>T069</v>
      </c>
      <c r="B3009" s="1">
        <f>Paths!$B$279</f>
        <v>0</v>
      </c>
      <c r="C3009" s="1">
        <v>10</v>
      </c>
      <c r="D3009" s="1">
        <v>279</v>
      </c>
      <c r="E3009" s="1">
        <f>IF(OR(Paths!$C$279=0,C3009=0),0,MAX(0,MIN(C3009*12,Paths!$E$279)-(C3009-1)*12))</f>
        <v>0</v>
      </c>
      <c r="F3009" s="1">
        <f>IF(OR(Paths!$C$279=0,C3009=0),0,12-E3009)</f>
        <v>0</v>
      </c>
      <c r="G3009" s="16">
        <f>IF(NOT(Paths!$C$279=1),0,IF(Paths!$P$279="Complete",E3009/12*(Paths!$J$279*(1+'Operating costs'!$B$51)^MAX(0,C3009-1)+Paths!$K$279*(1+'Operating costs'!$B$53)^MAX(0,C3009-1)),"n.a."))</f>
        <v>0</v>
      </c>
      <c r="H3009" s="16">
        <f>IF(NOT(Paths!$C$279=1),0,IF(Paths!$P$279="Complete",F3009/12*(Paths!$L$279*(1+IF(Paths!$D$279="EV",'Operating costs'!$B$52,'Operating costs'!$B$51))^MAX(0,C3009-1)+Paths!$M$279*(1+'Operating costs'!$B$53)^MAX(0,C3009-1)),"n.a."))</f>
        <v>0</v>
      </c>
      <c r="I3009" s="16">
        <f>IF(NOT(Paths!$C$279=1),0,IF(Paths!$P$279="Complete",IF(IF(Paths!$E$279=0,C3009=0,AND(C3009&gt;0,Paths!$E$279&gt;(C3009-1)*12,Paths!$E$279&lt;=C3009*12)),Paths!$G$279,0),"n.a."))</f>
        <v>0</v>
      </c>
      <c r="J3009" s="16">
        <f>IF(NOT(Paths!$C$279=1),0,IF(Paths!$P$279="Complete",IF(IF(Paths!$E$279=0,C3009=0,AND(C3009&gt;0,Paths!$E$279&gt;(C3009-1)*12,Paths!$E$279&lt;=C3009*12)),Paths!$H$279,0),"n.a."))</f>
        <v>0</v>
      </c>
      <c r="K3009" s="16">
        <f>IF(NOT(Paths!$C$279=1),0,IF(Paths!$P$279="Complete",IF(IF(Paths!$O$279=0,C3009=0,AND(C3009&gt;0,Paths!$O$279&gt;(C3009-1)*12,Paths!$O$279&lt;=C3009*12)),Paths!$N$279,0),"n.a."))</f>
        <v>0</v>
      </c>
      <c r="L3009" s="16">
        <f>IF(NOT(Paths!$C$279=1),0,IF(Paths!$P$279="Complete",IF(C3009=10,Paths!$I$279,0),"n.a."))</f>
        <v>0</v>
      </c>
      <c r="M3009" s="16">
        <f>IF(NOT(Paths!$C$279=1),0,IF(Paths!$P$279="Complete",IF(AND(Paths!$D$279="EV",Paths!$E$279&lt;120,Paths!$E$279+'Operating costs'!$B$65&gt;Paths!$E$279,Paths!$E$279+'Operating costs'!$B$65&lt;=120,IF(Paths!$E$279+'Operating costs'!$B$65=0,C3009=0,AND(C3009&gt;0,Paths!$E$279+'Operating costs'!$B$65&gt;(C3009-1)*12,Paths!$E$279+'Operating costs'!$B$65&lt;=C3009*12))),'Operating costs'!$B$64,0)+IF(AND('Operating costs'!$B$67&gt;0,'Operating costs'!$B$67&lt;=120,OR(Paths!$D$279="ICE",'Operating costs'!$B$67&lt;=Paths!$E$279),IF('Operating costs'!$B$67=0,C3009=0,AND(C3009&gt;0,'Operating costs'!$B$67&gt;(C3009-1)*12,'Operating costs'!$B$67&lt;=C3009*12))),'Operating costs'!$B$66,0),"n.a."))</f>
        <v>0</v>
      </c>
      <c r="N3009" s="16">
        <f>IF(NOT(Paths!$C$279=1),0,IF(Paths!$P$279="Complete",SUM(G3009:I3009)-J3009-K3009-L3009+M3009+IF(C3009=0,Paths!$F$279,0)+IF(IF(Paths!$E$279=0,C3009=0,AND(C3009&gt;0,Paths!$E$279&gt;(C3009-1)*12,Paths!$E$279&lt;=C3009*12)),VLOOKUP(A3009,'Fleet register'!$A$7:$S$106,16,FALSE),0),"n.a."))</f>
        <v>0</v>
      </c>
      <c r="O3009" s="16">
        <f>IF(NOT(Paths!$C$279=1),0,IF(Paths!$P$279="Complete",N3009-IF(C3009=0,Paths!$F$279,0),"n.a."))</f>
        <v>0</v>
      </c>
      <c r="P3009" s="16">
        <f>IF(NOT(Paths!$C$279=1),0,IF(Paths!$P$279="Complete",O3009+L3009,"n.a."))</f>
        <v>0</v>
      </c>
      <c r="Q3009" s="16">
        <f>IF(NOT(Paths!$C$279=1),0,IF(Paths!$P$279="Complete",N3009*(1+'Operating costs'!$B$54)^-C3009,"n.a."))</f>
        <v>0</v>
      </c>
      <c r="R3009" s="16">
        <f>IF(NOT(Paths!$C$279=1),0,IF(Paths!$P$279="Complete",IF(AND(C3009=0,Paths!$E$279=0),I3009-J3009-K3009+VLOOKUP(A3009,'Fleet register'!$A$7:$S$106,15,FALSE)+VLOOKUP(A3009,'Fleet register'!$A$7:$S$106,16,FALSE),0),"n.a."))</f>
        <v>0</v>
      </c>
      <c r="S3009" s="1">
        <f>IF(NOT(Paths!$C$279=1),0,IF(Paths!$P$279="Complete",IF(C3009=0,0,Paths!$S$279*Paths!$R$279),"n.a."))</f>
        <v>0</v>
      </c>
      <c r="T3009" s="1">
        <f>IF(NOT(Paths!$C$279=1),0,IF(Paths!$P$279="Complete",IF(C3009=0,0,VLOOKUP(A3009,'Fleet register'!$A$7:$S$106,9,FALSE)*Paths!$R$279),"n.a."))</f>
        <v>0</v>
      </c>
    </row>
    <row r="3010" spans="1:20" ht="24" customHeight="1">
      <c r="A3010" s="1" t="str">
        <f>Paths!$A$280</f>
        <v>T069</v>
      </c>
      <c r="B3010" s="1">
        <f>Paths!$B$280</f>
        <v>1</v>
      </c>
      <c r="C3010" s="1">
        <v>0</v>
      </c>
      <c r="D3010" s="1">
        <v>280</v>
      </c>
      <c r="E3010" s="1">
        <f>IF(OR(Paths!$C$280=0,C3010=0),0,MAX(0,MIN(C3010*12,Paths!$E$280)-(C3010-1)*12))</f>
        <v>0</v>
      </c>
      <c r="F3010" s="1">
        <f>IF(OR(Paths!$C$280=0,C3010=0),0,12-E3010)</f>
        <v>0</v>
      </c>
      <c r="G3010" s="16">
        <f>IF(NOT(Paths!$C$280=1),0,IF(Paths!$P$280="Complete",E3010/12*(Paths!$J$280*(1+'Operating costs'!$B$51)^MAX(0,C3010-1)+Paths!$K$280*(1+'Operating costs'!$B$53)^MAX(0,C3010-1)),"n.a."))</f>
        <v>0</v>
      </c>
      <c r="H3010" s="16">
        <f>IF(NOT(Paths!$C$280=1),0,IF(Paths!$P$280="Complete",F3010/12*(Paths!$L$280*(1+IF(Paths!$D$280="EV",'Operating costs'!$B$52,'Operating costs'!$B$51))^MAX(0,C3010-1)+Paths!$M$280*(1+'Operating costs'!$B$53)^MAX(0,C3010-1)),"n.a."))</f>
        <v>0</v>
      </c>
      <c r="I3010" s="16">
        <f>IF(NOT(Paths!$C$280=1),0,IF(Paths!$P$280="Complete",IF(IF(Paths!$E$280=0,C3010=0,AND(C3010&gt;0,Paths!$E$280&gt;(C3010-1)*12,Paths!$E$280&lt;=C3010*12)),Paths!$G$280,0),"n.a."))</f>
        <v>0</v>
      </c>
      <c r="J3010" s="16">
        <f>IF(NOT(Paths!$C$280=1),0,IF(Paths!$P$280="Complete",IF(IF(Paths!$E$280=0,C3010=0,AND(C3010&gt;0,Paths!$E$280&gt;(C3010-1)*12,Paths!$E$280&lt;=C3010*12)),Paths!$H$280,0),"n.a."))</f>
        <v>0</v>
      </c>
      <c r="K3010" s="16">
        <f>IF(NOT(Paths!$C$280=1),0,IF(Paths!$P$280="Complete",IF(IF(Paths!$O$280=0,C3010=0,AND(C3010&gt;0,Paths!$O$280&gt;(C3010-1)*12,Paths!$O$280&lt;=C3010*12)),Paths!$N$280,0),"n.a."))</f>
        <v>0</v>
      </c>
      <c r="L3010" s="16">
        <f>IF(NOT(Paths!$C$280=1),0,IF(Paths!$P$280="Complete",IF(C3010=10,Paths!$I$280,0),"n.a."))</f>
        <v>0</v>
      </c>
      <c r="M3010" s="16">
        <f>IF(NOT(Paths!$C$280=1),0,IF(Paths!$P$280="Complete",IF(AND(Paths!$D$280="EV",Paths!$E$280&lt;120,Paths!$E$280+'Operating costs'!$B$65&gt;Paths!$E$280,Paths!$E$280+'Operating costs'!$B$65&lt;=120,IF(Paths!$E$280+'Operating costs'!$B$65=0,C3010=0,AND(C3010&gt;0,Paths!$E$280+'Operating costs'!$B$65&gt;(C3010-1)*12,Paths!$E$280+'Operating costs'!$B$65&lt;=C3010*12))),'Operating costs'!$B$64,0)+IF(AND('Operating costs'!$B$67&gt;0,'Operating costs'!$B$67&lt;=120,OR(Paths!$D$280="ICE",'Operating costs'!$B$67&lt;=Paths!$E$280),IF('Operating costs'!$B$67=0,C3010=0,AND(C3010&gt;0,'Operating costs'!$B$67&gt;(C3010-1)*12,'Operating costs'!$B$67&lt;=C3010*12))),'Operating costs'!$B$66,0),"n.a."))</f>
        <v>0</v>
      </c>
      <c r="N3010" s="16">
        <f>IF(NOT(Paths!$C$280=1),0,IF(Paths!$P$280="Complete",SUM(G3010:I3010)-J3010-K3010-L3010+M3010+IF(C3010=0,Paths!$F$280,0)+IF(IF(Paths!$E$280=0,C3010=0,AND(C3010&gt;0,Paths!$E$280&gt;(C3010-1)*12,Paths!$E$280&lt;=C3010*12)),VLOOKUP(A3010,'Fleet register'!$A$7:$S$106,16,FALSE),0),"n.a."))</f>
        <v>0</v>
      </c>
      <c r="O3010" s="16">
        <f>IF(NOT(Paths!$C$280=1),0,IF(Paths!$P$280="Complete",N3010-IF(C3010=0,Paths!$F$280,0),"n.a."))</f>
        <v>0</v>
      </c>
      <c r="P3010" s="16">
        <f>IF(NOT(Paths!$C$280=1),0,IF(Paths!$P$280="Complete",O3010+L3010,"n.a."))</f>
        <v>0</v>
      </c>
      <c r="Q3010" s="16">
        <f>IF(NOT(Paths!$C$280=1),0,IF(Paths!$P$280="Complete",N3010*(1+'Operating costs'!$B$54)^-C3010,"n.a."))</f>
        <v>0</v>
      </c>
      <c r="R3010" s="16">
        <f>IF(NOT(Paths!$C$280=1),0,IF(Paths!$P$280="Complete",IF(AND(C3010=0,Paths!$E$280=0),I3010-J3010-K3010+VLOOKUP(A3010,'Fleet register'!$A$7:$S$106,15,FALSE)+VLOOKUP(A3010,'Fleet register'!$A$7:$S$106,16,FALSE),0),"n.a."))</f>
        <v>0</v>
      </c>
      <c r="S3010" s="1">
        <f>IF(NOT(Paths!$C$280=1),0,IF(Paths!$P$280="Complete",IF(C3010=0,0,Paths!$S$280*Paths!$R$280),"n.a."))</f>
        <v>0</v>
      </c>
      <c r="T3010" s="1">
        <f>IF(NOT(Paths!$C$280=1),0,IF(Paths!$P$280="Complete",IF(C3010=0,0,VLOOKUP(A3010,'Fleet register'!$A$7:$S$106,9,FALSE)*Paths!$R$280),"n.a."))</f>
        <v>0</v>
      </c>
    </row>
    <row r="3011" spans="1:20" ht="24" customHeight="1">
      <c r="A3011" s="1" t="str">
        <f>Paths!$A$280</f>
        <v>T069</v>
      </c>
      <c r="B3011" s="1">
        <f>Paths!$B$280</f>
        <v>1</v>
      </c>
      <c r="C3011" s="1">
        <v>1</v>
      </c>
      <c r="D3011" s="1">
        <v>280</v>
      </c>
      <c r="E3011" s="1">
        <f>IF(OR(Paths!$C$280=0,C3011=0),0,MAX(0,MIN(C3011*12,Paths!$E$280)-(C3011-1)*12))</f>
        <v>0</v>
      </c>
      <c r="F3011" s="1">
        <f>IF(OR(Paths!$C$280=0,C3011=0),0,12-E3011)</f>
        <v>0</v>
      </c>
      <c r="G3011" s="16">
        <f>IF(NOT(Paths!$C$280=1),0,IF(Paths!$P$280="Complete",E3011/12*(Paths!$J$280*(1+'Operating costs'!$B$51)^MAX(0,C3011-1)+Paths!$K$280*(1+'Operating costs'!$B$53)^MAX(0,C3011-1)),"n.a."))</f>
        <v>0</v>
      </c>
      <c r="H3011" s="16">
        <f>IF(NOT(Paths!$C$280=1),0,IF(Paths!$P$280="Complete",F3011/12*(Paths!$L$280*(1+IF(Paths!$D$280="EV",'Operating costs'!$B$52,'Operating costs'!$B$51))^MAX(0,C3011-1)+Paths!$M$280*(1+'Operating costs'!$B$53)^MAX(0,C3011-1)),"n.a."))</f>
        <v>0</v>
      </c>
      <c r="I3011" s="16">
        <f>IF(NOT(Paths!$C$280=1),0,IF(Paths!$P$280="Complete",IF(IF(Paths!$E$280=0,C3011=0,AND(C3011&gt;0,Paths!$E$280&gt;(C3011-1)*12,Paths!$E$280&lt;=C3011*12)),Paths!$G$280,0),"n.a."))</f>
        <v>0</v>
      </c>
      <c r="J3011" s="16">
        <f>IF(NOT(Paths!$C$280=1),0,IF(Paths!$P$280="Complete",IF(IF(Paths!$E$280=0,C3011=0,AND(C3011&gt;0,Paths!$E$280&gt;(C3011-1)*12,Paths!$E$280&lt;=C3011*12)),Paths!$H$280,0),"n.a."))</f>
        <v>0</v>
      </c>
      <c r="K3011" s="16">
        <f>IF(NOT(Paths!$C$280=1),0,IF(Paths!$P$280="Complete",IF(IF(Paths!$O$280=0,C3011=0,AND(C3011&gt;0,Paths!$O$280&gt;(C3011-1)*12,Paths!$O$280&lt;=C3011*12)),Paths!$N$280,0),"n.a."))</f>
        <v>0</v>
      </c>
      <c r="L3011" s="16">
        <f>IF(NOT(Paths!$C$280=1),0,IF(Paths!$P$280="Complete",IF(C3011=10,Paths!$I$280,0),"n.a."))</f>
        <v>0</v>
      </c>
      <c r="M3011" s="16">
        <f>IF(NOT(Paths!$C$280=1),0,IF(Paths!$P$280="Complete",IF(AND(Paths!$D$280="EV",Paths!$E$280&lt;120,Paths!$E$280+'Operating costs'!$B$65&gt;Paths!$E$280,Paths!$E$280+'Operating costs'!$B$65&lt;=120,IF(Paths!$E$280+'Operating costs'!$B$65=0,C3011=0,AND(C3011&gt;0,Paths!$E$280+'Operating costs'!$B$65&gt;(C3011-1)*12,Paths!$E$280+'Operating costs'!$B$65&lt;=C3011*12))),'Operating costs'!$B$64,0)+IF(AND('Operating costs'!$B$67&gt;0,'Operating costs'!$B$67&lt;=120,OR(Paths!$D$280="ICE",'Operating costs'!$B$67&lt;=Paths!$E$280),IF('Operating costs'!$B$67=0,C3011=0,AND(C3011&gt;0,'Operating costs'!$B$67&gt;(C3011-1)*12,'Operating costs'!$B$67&lt;=C3011*12))),'Operating costs'!$B$66,0),"n.a."))</f>
        <v>0</v>
      </c>
      <c r="N3011" s="16">
        <f>IF(NOT(Paths!$C$280=1),0,IF(Paths!$P$280="Complete",SUM(G3011:I3011)-J3011-K3011-L3011+M3011+IF(C3011=0,Paths!$F$280,0)+IF(IF(Paths!$E$280=0,C3011=0,AND(C3011&gt;0,Paths!$E$280&gt;(C3011-1)*12,Paths!$E$280&lt;=C3011*12)),VLOOKUP(A3011,'Fleet register'!$A$7:$S$106,16,FALSE),0),"n.a."))</f>
        <v>0</v>
      </c>
      <c r="O3011" s="16">
        <f>IF(NOT(Paths!$C$280=1),0,IF(Paths!$P$280="Complete",N3011-IF(C3011=0,Paths!$F$280,0),"n.a."))</f>
        <v>0</v>
      </c>
      <c r="P3011" s="16">
        <f>IF(NOT(Paths!$C$280=1),0,IF(Paths!$P$280="Complete",O3011+L3011,"n.a."))</f>
        <v>0</v>
      </c>
      <c r="Q3011" s="16">
        <f>IF(NOT(Paths!$C$280=1),0,IF(Paths!$P$280="Complete",N3011*(1+'Operating costs'!$B$54)^-C3011,"n.a."))</f>
        <v>0</v>
      </c>
      <c r="R3011" s="16">
        <f>IF(NOT(Paths!$C$280=1),0,IF(Paths!$P$280="Complete",IF(AND(C3011=0,Paths!$E$280=0),I3011-J3011-K3011+VLOOKUP(A3011,'Fleet register'!$A$7:$S$106,15,FALSE)+VLOOKUP(A3011,'Fleet register'!$A$7:$S$106,16,FALSE),0),"n.a."))</f>
        <v>0</v>
      </c>
      <c r="S3011" s="1">
        <f>IF(NOT(Paths!$C$280=1),0,IF(Paths!$P$280="Complete",IF(C3011=0,0,Paths!$S$280*Paths!$R$280),"n.a."))</f>
        <v>0</v>
      </c>
      <c r="T3011" s="1">
        <f>IF(NOT(Paths!$C$280=1),0,IF(Paths!$P$280="Complete",IF(C3011=0,0,VLOOKUP(A3011,'Fleet register'!$A$7:$S$106,9,FALSE)*Paths!$R$280),"n.a."))</f>
        <v>0</v>
      </c>
    </row>
    <row r="3012" spans="1:20" ht="24" customHeight="1">
      <c r="A3012" s="1" t="str">
        <f>Paths!$A$280</f>
        <v>T069</v>
      </c>
      <c r="B3012" s="1">
        <f>Paths!$B$280</f>
        <v>1</v>
      </c>
      <c r="C3012" s="1">
        <v>2</v>
      </c>
      <c r="D3012" s="1">
        <v>280</v>
      </c>
      <c r="E3012" s="1">
        <f>IF(OR(Paths!$C$280=0,C3012=0),0,MAX(0,MIN(C3012*12,Paths!$E$280)-(C3012-1)*12))</f>
        <v>0</v>
      </c>
      <c r="F3012" s="1">
        <f>IF(OR(Paths!$C$280=0,C3012=0),0,12-E3012)</f>
        <v>0</v>
      </c>
      <c r="G3012" s="16">
        <f>IF(NOT(Paths!$C$280=1),0,IF(Paths!$P$280="Complete",E3012/12*(Paths!$J$280*(1+'Operating costs'!$B$51)^MAX(0,C3012-1)+Paths!$K$280*(1+'Operating costs'!$B$53)^MAX(0,C3012-1)),"n.a."))</f>
        <v>0</v>
      </c>
      <c r="H3012" s="16">
        <f>IF(NOT(Paths!$C$280=1),0,IF(Paths!$P$280="Complete",F3012/12*(Paths!$L$280*(1+IF(Paths!$D$280="EV",'Operating costs'!$B$52,'Operating costs'!$B$51))^MAX(0,C3012-1)+Paths!$M$280*(1+'Operating costs'!$B$53)^MAX(0,C3012-1)),"n.a."))</f>
        <v>0</v>
      </c>
      <c r="I3012" s="16">
        <f>IF(NOT(Paths!$C$280=1),0,IF(Paths!$P$280="Complete",IF(IF(Paths!$E$280=0,C3012=0,AND(C3012&gt;0,Paths!$E$280&gt;(C3012-1)*12,Paths!$E$280&lt;=C3012*12)),Paths!$G$280,0),"n.a."))</f>
        <v>0</v>
      </c>
      <c r="J3012" s="16">
        <f>IF(NOT(Paths!$C$280=1),0,IF(Paths!$P$280="Complete",IF(IF(Paths!$E$280=0,C3012=0,AND(C3012&gt;0,Paths!$E$280&gt;(C3012-1)*12,Paths!$E$280&lt;=C3012*12)),Paths!$H$280,0),"n.a."))</f>
        <v>0</v>
      </c>
      <c r="K3012" s="16">
        <f>IF(NOT(Paths!$C$280=1),0,IF(Paths!$P$280="Complete",IF(IF(Paths!$O$280=0,C3012=0,AND(C3012&gt;0,Paths!$O$280&gt;(C3012-1)*12,Paths!$O$280&lt;=C3012*12)),Paths!$N$280,0),"n.a."))</f>
        <v>0</v>
      </c>
      <c r="L3012" s="16">
        <f>IF(NOT(Paths!$C$280=1),0,IF(Paths!$P$280="Complete",IF(C3012=10,Paths!$I$280,0),"n.a."))</f>
        <v>0</v>
      </c>
      <c r="M3012" s="16">
        <f>IF(NOT(Paths!$C$280=1),0,IF(Paths!$P$280="Complete",IF(AND(Paths!$D$280="EV",Paths!$E$280&lt;120,Paths!$E$280+'Operating costs'!$B$65&gt;Paths!$E$280,Paths!$E$280+'Operating costs'!$B$65&lt;=120,IF(Paths!$E$280+'Operating costs'!$B$65=0,C3012=0,AND(C3012&gt;0,Paths!$E$280+'Operating costs'!$B$65&gt;(C3012-1)*12,Paths!$E$280+'Operating costs'!$B$65&lt;=C3012*12))),'Operating costs'!$B$64,0)+IF(AND('Operating costs'!$B$67&gt;0,'Operating costs'!$B$67&lt;=120,OR(Paths!$D$280="ICE",'Operating costs'!$B$67&lt;=Paths!$E$280),IF('Operating costs'!$B$67=0,C3012=0,AND(C3012&gt;0,'Operating costs'!$B$67&gt;(C3012-1)*12,'Operating costs'!$B$67&lt;=C3012*12))),'Operating costs'!$B$66,0),"n.a."))</f>
        <v>0</v>
      </c>
      <c r="N3012" s="16">
        <f>IF(NOT(Paths!$C$280=1),0,IF(Paths!$P$280="Complete",SUM(G3012:I3012)-J3012-K3012-L3012+M3012+IF(C3012=0,Paths!$F$280,0)+IF(IF(Paths!$E$280=0,C3012=0,AND(C3012&gt;0,Paths!$E$280&gt;(C3012-1)*12,Paths!$E$280&lt;=C3012*12)),VLOOKUP(A3012,'Fleet register'!$A$7:$S$106,16,FALSE),0),"n.a."))</f>
        <v>0</v>
      </c>
      <c r="O3012" s="16">
        <f>IF(NOT(Paths!$C$280=1),0,IF(Paths!$P$280="Complete",N3012-IF(C3012=0,Paths!$F$280,0),"n.a."))</f>
        <v>0</v>
      </c>
      <c r="P3012" s="16">
        <f>IF(NOT(Paths!$C$280=1),0,IF(Paths!$P$280="Complete",O3012+L3012,"n.a."))</f>
        <v>0</v>
      </c>
      <c r="Q3012" s="16">
        <f>IF(NOT(Paths!$C$280=1),0,IF(Paths!$P$280="Complete",N3012*(1+'Operating costs'!$B$54)^-C3012,"n.a."))</f>
        <v>0</v>
      </c>
      <c r="R3012" s="16">
        <f>IF(NOT(Paths!$C$280=1),0,IF(Paths!$P$280="Complete",IF(AND(C3012=0,Paths!$E$280=0),I3012-J3012-K3012+VLOOKUP(A3012,'Fleet register'!$A$7:$S$106,15,FALSE)+VLOOKUP(A3012,'Fleet register'!$A$7:$S$106,16,FALSE),0),"n.a."))</f>
        <v>0</v>
      </c>
      <c r="S3012" s="1">
        <f>IF(NOT(Paths!$C$280=1),0,IF(Paths!$P$280="Complete",IF(C3012=0,0,Paths!$S$280*Paths!$R$280),"n.a."))</f>
        <v>0</v>
      </c>
      <c r="T3012" s="1">
        <f>IF(NOT(Paths!$C$280=1),0,IF(Paths!$P$280="Complete",IF(C3012=0,0,VLOOKUP(A3012,'Fleet register'!$A$7:$S$106,9,FALSE)*Paths!$R$280),"n.a."))</f>
        <v>0</v>
      </c>
    </row>
    <row r="3013" spans="1:20" ht="24" customHeight="1">
      <c r="A3013" s="1" t="str">
        <f>Paths!$A$280</f>
        <v>T069</v>
      </c>
      <c r="B3013" s="1">
        <f>Paths!$B$280</f>
        <v>1</v>
      </c>
      <c r="C3013" s="1">
        <v>3</v>
      </c>
      <c r="D3013" s="1">
        <v>280</v>
      </c>
      <c r="E3013" s="1">
        <f>IF(OR(Paths!$C$280=0,C3013=0),0,MAX(0,MIN(C3013*12,Paths!$E$280)-(C3013-1)*12))</f>
        <v>0</v>
      </c>
      <c r="F3013" s="1">
        <f>IF(OR(Paths!$C$280=0,C3013=0),0,12-E3013)</f>
        <v>0</v>
      </c>
      <c r="G3013" s="16">
        <f>IF(NOT(Paths!$C$280=1),0,IF(Paths!$P$280="Complete",E3013/12*(Paths!$J$280*(1+'Operating costs'!$B$51)^MAX(0,C3013-1)+Paths!$K$280*(1+'Operating costs'!$B$53)^MAX(0,C3013-1)),"n.a."))</f>
        <v>0</v>
      </c>
      <c r="H3013" s="16">
        <f>IF(NOT(Paths!$C$280=1),0,IF(Paths!$P$280="Complete",F3013/12*(Paths!$L$280*(1+IF(Paths!$D$280="EV",'Operating costs'!$B$52,'Operating costs'!$B$51))^MAX(0,C3013-1)+Paths!$M$280*(1+'Operating costs'!$B$53)^MAX(0,C3013-1)),"n.a."))</f>
        <v>0</v>
      </c>
      <c r="I3013" s="16">
        <f>IF(NOT(Paths!$C$280=1),0,IF(Paths!$P$280="Complete",IF(IF(Paths!$E$280=0,C3013=0,AND(C3013&gt;0,Paths!$E$280&gt;(C3013-1)*12,Paths!$E$280&lt;=C3013*12)),Paths!$G$280,0),"n.a."))</f>
        <v>0</v>
      </c>
      <c r="J3013" s="16">
        <f>IF(NOT(Paths!$C$280=1),0,IF(Paths!$P$280="Complete",IF(IF(Paths!$E$280=0,C3013=0,AND(C3013&gt;0,Paths!$E$280&gt;(C3013-1)*12,Paths!$E$280&lt;=C3013*12)),Paths!$H$280,0),"n.a."))</f>
        <v>0</v>
      </c>
      <c r="K3013" s="16">
        <f>IF(NOT(Paths!$C$280=1),0,IF(Paths!$P$280="Complete",IF(IF(Paths!$O$280=0,C3013=0,AND(C3013&gt;0,Paths!$O$280&gt;(C3013-1)*12,Paths!$O$280&lt;=C3013*12)),Paths!$N$280,0),"n.a."))</f>
        <v>0</v>
      </c>
      <c r="L3013" s="16">
        <f>IF(NOT(Paths!$C$280=1),0,IF(Paths!$P$280="Complete",IF(C3013=10,Paths!$I$280,0),"n.a."))</f>
        <v>0</v>
      </c>
      <c r="M3013" s="16">
        <f>IF(NOT(Paths!$C$280=1),0,IF(Paths!$P$280="Complete",IF(AND(Paths!$D$280="EV",Paths!$E$280&lt;120,Paths!$E$280+'Operating costs'!$B$65&gt;Paths!$E$280,Paths!$E$280+'Operating costs'!$B$65&lt;=120,IF(Paths!$E$280+'Operating costs'!$B$65=0,C3013=0,AND(C3013&gt;0,Paths!$E$280+'Operating costs'!$B$65&gt;(C3013-1)*12,Paths!$E$280+'Operating costs'!$B$65&lt;=C3013*12))),'Operating costs'!$B$64,0)+IF(AND('Operating costs'!$B$67&gt;0,'Operating costs'!$B$67&lt;=120,OR(Paths!$D$280="ICE",'Operating costs'!$B$67&lt;=Paths!$E$280),IF('Operating costs'!$B$67=0,C3013=0,AND(C3013&gt;0,'Operating costs'!$B$67&gt;(C3013-1)*12,'Operating costs'!$B$67&lt;=C3013*12))),'Operating costs'!$B$66,0),"n.a."))</f>
        <v>0</v>
      </c>
      <c r="N3013" s="16">
        <f>IF(NOT(Paths!$C$280=1),0,IF(Paths!$P$280="Complete",SUM(G3013:I3013)-J3013-K3013-L3013+M3013+IF(C3013=0,Paths!$F$280,0)+IF(IF(Paths!$E$280=0,C3013=0,AND(C3013&gt;0,Paths!$E$280&gt;(C3013-1)*12,Paths!$E$280&lt;=C3013*12)),VLOOKUP(A3013,'Fleet register'!$A$7:$S$106,16,FALSE),0),"n.a."))</f>
        <v>0</v>
      </c>
      <c r="O3013" s="16">
        <f>IF(NOT(Paths!$C$280=1),0,IF(Paths!$P$280="Complete",N3013-IF(C3013=0,Paths!$F$280,0),"n.a."))</f>
        <v>0</v>
      </c>
      <c r="P3013" s="16">
        <f>IF(NOT(Paths!$C$280=1),0,IF(Paths!$P$280="Complete",O3013+L3013,"n.a."))</f>
        <v>0</v>
      </c>
      <c r="Q3013" s="16">
        <f>IF(NOT(Paths!$C$280=1),0,IF(Paths!$P$280="Complete",N3013*(1+'Operating costs'!$B$54)^-C3013,"n.a."))</f>
        <v>0</v>
      </c>
      <c r="R3013" s="16">
        <f>IF(NOT(Paths!$C$280=1),0,IF(Paths!$P$280="Complete",IF(AND(C3013=0,Paths!$E$280=0),I3013-J3013-K3013+VLOOKUP(A3013,'Fleet register'!$A$7:$S$106,15,FALSE)+VLOOKUP(A3013,'Fleet register'!$A$7:$S$106,16,FALSE),0),"n.a."))</f>
        <v>0</v>
      </c>
      <c r="S3013" s="1">
        <f>IF(NOT(Paths!$C$280=1),0,IF(Paths!$P$280="Complete",IF(C3013=0,0,Paths!$S$280*Paths!$R$280),"n.a."))</f>
        <v>0</v>
      </c>
      <c r="T3013" s="1">
        <f>IF(NOT(Paths!$C$280=1),0,IF(Paths!$P$280="Complete",IF(C3013=0,0,VLOOKUP(A3013,'Fleet register'!$A$7:$S$106,9,FALSE)*Paths!$R$280),"n.a."))</f>
        <v>0</v>
      </c>
    </row>
    <row r="3014" spans="1:20" ht="24" customHeight="1">
      <c r="A3014" s="1" t="str">
        <f>Paths!$A$280</f>
        <v>T069</v>
      </c>
      <c r="B3014" s="1">
        <f>Paths!$B$280</f>
        <v>1</v>
      </c>
      <c r="C3014" s="1">
        <v>4</v>
      </c>
      <c r="D3014" s="1">
        <v>280</v>
      </c>
      <c r="E3014" s="1">
        <f>IF(OR(Paths!$C$280=0,C3014=0),0,MAX(0,MIN(C3014*12,Paths!$E$280)-(C3014-1)*12))</f>
        <v>0</v>
      </c>
      <c r="F3014" s="1">
        <f>IF(OR(Paths!$C$280=0,C3014=0),0,12-E3014)</f>
        <v>0</v>
      </c>
      <c r="G3014" s="16">
        <f>IF(NOT(Paths!$C$280=1),0,IF(Paths!$P$280="Complete",E3014/12*(Paths!$J$280*(1+'Operating costs'!$B$51)^MAX(0,C3014-1)+Paths!$K$280*(1+'Operating costs'!$B$53)^MAX(0,C3014-1)),"n.a."))</f>
        <v>0</v>
      </c>
      <c r="H3014" s="16">
        <f>IF(NOT(Paths!$C$280=1),0,IF(Paths!$P$280="Complete",F3014/12*(Paths!$L$280*(1+IF(Paths!$D$280="EV",'Operating costs'!$B$52,'Operating costs'!$B$51))^MAX(0,C3014-1)+Paths!$M$280*(1+'Operating costs'!$B$53)^MAX(0,C3014-1)),"n.a."))</f>
        <v>0</v>
      </c>
      <c r="I3014" s="16">
        <f>IF(NOT(Paths!$C$280=1),0,IF(Paths!$P$280="Complete",IF(IF(Paths!$E$280=0,C3014=0,AND(C3014&gt;0,Paths!$E$280&gt;(C3014-1)*12,Paths!$E$280&lt;=C3014*12)),Paths!$G$280,0),"n.a."))</f>
        <v>0</v>
      </c>
      <c r="J3014" s="16">
        <f>IF(NOT(Paths!$C$280=1),0,IF(Paths!$P$280="Complete",IF(IF(Paths!$E$280=0,C3014=0,AND(C3014&gt;0,Paths!$E$280&gt;(C3014-1)*12,Paths!$E$280&lt;=C3014*12)),Paths!$H$280,0),"n.a."))</f>
        <v>0</v>
      </c>
      <c r="K3014" s="16">
        <f>IF(NOT(Paths!$C$280=1),0,IF(Paths!$P$280="Complete",IF(IF(Paths!$O$280=0,C3014=0,AND(C3014&gt;0,Paths!$O$280&gt;(C3014-1)*12,Paths!$O$280&lt;=C3014*12)),Paths!$N$280,0),"n.a."))</f>
        <v>0</v>
      </c>
      <c r="L3014" s="16">
        <f>IF(NOT(Paths!$C$280=1),0,IF(Paths!$P$280="Complete",IF(C3014=10,Paths!$I$280,0),"n.a."))</f>
        <v>0</v>
      </c>
      <c r="M3014" s="16">
        <f>IF(NOT(Paths!$C$280=1),0,IF(Paths!$P$280="Complete",IF(AND(Paths!$D$280="EV",Paths!$E$280&lt;120,Paths!$E$280+'Operating costs'!$B$65&gt;Paths!$E$280,Paths!$E$280+'Operating costs'!$B$65&lt;=120,IF(Paths!$E$280+'Operating costs'!$B$65=0,C3014=0,AND(C3014&gt;0,Paths!$E$280+'Operating costs'!$B$65&gt;(C3014-1)*12,Paths!$E$280+'Operating costs'!$B$65&lt;=C3014*12))),'Operating costs'!$B$64,0)+IF(AND('Operating costs'!$B$67&gt;0,'Operating costs'!$B$67&lt;=120,OR(Paths!$D$280="ICE",'Operating costs'!$B$67&lt;=Paths!$E$280),IF('Operating costs'!$B$67=0,C3014=0,AND(C3014&gt;0,'Operating costs'!$B$67&gt;(C3014-1)*12,'Operating costs'!$B$67&lt;=C3014*12))),'Operating costs'!$B$66,0),"n.a."))</f>
        <v>0</v>
      </c>
      <c r="N3014" s="16">
        <f>IF(NOT(Paths!$C$280=1),0,IF(Paths!$P$280="Complete",SUM(G3014:I3014)-J3014-K3014-L3014+M3014+IF(C3014=0,Paths!$F$280,0)+IF(IF(Paths!$E$280=0,C3014=0,AND(C3014&gt;0,Paths!$E$280&gt;(C3014-1)*12,Paths!$E$280&lt;=C3014*12)),VLOOKUP(A3014,'Fleet register'!$A$7:$S$106,16,FALSE),0),"n.a."))</f>
        <v>0</v>
      </c>
      <c r="O3014" s="16">
        <f>IF(NOT(Paths!$C$280=1),0,IF(Paths!$P$280="Complete",N3014-IF(C3014=0,Paths!$F$280,0),"n.a."))</f>
        <v>0</v>
      </c>
      <c r="P3014" s="16">
        <f>IF(NOT(Paths!$C$280=1),0,IF(Paths!$P$280="Complete",O3014+L3014,"n.a."))</f>
        <v>0</v>
      </c>
      <c r="Q3014" s="16">
        <f>IF(NOT(Paths!$C$280=1),0,IF(Paths!$P$280="Complete",N3014*(1+'Operating costs'!$B$54)^-C3014,"n.a."))</f>
        <v>0</v>
      </c>
      <c r="R3014" s="16">
        <f>IF(NOT(Paths!$C$280=1),0,IF(Paths!$P$280="Complete",IF(AND(C3014=0,Paths!$E$280=0),I3014-J3014-K3014+VLOOKUP(A3014,'Fleet register'!$A$7:$S$106,15,FALSE)+VLOOKUP(A3014,'Fleet register'!$A$7:$S$106,16,FALSE),0),"n.a."))</f>
        <v>0</v>
      </c>
      <c r="S3014" s="1">
        <f>IF(NOT(Paths!$C$280=1),0,IF(Paths!$P$280="Complete",IF(C3014=0,0,Paths!$S$280*Paths!$R$280),"n.a."))</f>
        <v>0</v>
      </c>
      <c r="T3014" s="1">
        <f>IF(NOT(Paths!$C$280=1),0,IF(Paths!$P$280="Complete",IF(C3014=0,0,VLOOKUP(A3014,'Fleet register'!$A$7:$S$106,9,FALSE)*Paths!$R$280),"n.a."))</f>
        <v>0</v>
      </c>
    </row>
    <row r="3015" spans="1:20" ht="24" customHeight="1">
      <c r="A3015" s="1" t="str">
        <f>Paths!$A$280</f>
        <v>T069</v>
      </c>
      <c r="B3015" s="1">
        <f>Paths!$B$280</f>
        <v>1</v>
      </c>
      <c r="C3015" s="1">
        <v>5</v>
      </c>
      <c r="D3015" s="1">
        <v>280</v>
      </c>
      <c r="E3015" s="1">
        <f>IF(OR(Paths!$C$280=0,C3015=0),0,MAX(0,MIN(C3015*12,Paths!$E$280)-(C3015-1)*12))</f>
        <v>0</v>
      </c>
      <c r="F3015" s="1">
        <f>IF(OR(Paths!$C$280=0,C3015=0),0,12-E3015)</f>
        <v>0</v>
      </c>
      <c r="G3015" s="16">
        <f>IF(NOT(Paths!$C$280=1),0,IF(Paths!$P$280="Complete",E3015/12*(Paths!$J$280*(1+'Operating costs'!$B$51)^MAX(0,C3015-1)+Paths!$K$280*(1+'Operating costs'!$B$53)^MAX(0,C3015-1)),"n.a."))</f>
        <v>0</v>
      </c>
      <c r="H3015" s="16">
        <f>IF(NOT(Paths!$C$280=1),0,IF(Paths!$P$280="Complete",F3015/12*(Paths!$L$280*(1+IF(Paths!$D$280="EV",'Operating costs'!$B$52,'Operating costs'!$B$51))^MAX(0,C3015-1)+Paths!$M$280*(1+'Operating costs'!$B$53)^MAX(0,C3015-1)),"n.a."))</f>
        <v>0</v>
      </c>
      <c r="I3015" s="16">
        <f>IF(NOT(Paths!$C$280=1),0,IF(Paths!$P$280="Complete",IF(IF(Paths!$E$280=0,C3015=0,AND(C3015&gt;0,Paths!$E$280&gt;(C3015-1)*12,Paths!$E$280&lt;=C3015*12)),Paths!$G$280,0),"n.a."))</f>
        <v>0</v>
      </c>
      <c r="J3015" s="16">
        <f>IF(NOT(Paths!$C$280=1),0,IF(Paths!$P$280="Complete",IF(IF(Paths!$E$280=0,C3015=0,AND(C3015&gt;0,Paths!$E$280&gt;(C3015-1)*12,Paths!$E$280&lt;=C3015*12)),Paths!$H$280,0),"n.a."))</f>
        <v>0</v>
      </c>
      <c r="K3015" s="16">
        <f>IF(NOT(Paths!$C$280=1),0,IF(Paths!$P$280="Complete",IF(IF(Paths!$O$280=0,C3015=0,AND(C3015&gt;0,Paths!$O$280&gt;(C3015-1)*12,Paths!$O$280&lt;=C3015*12)),Paths!$N$280,0),"n.a."))</f>
        <v>0</v>
      </c>
      <c r="L3015" s="16">
        <f>IF(NOT(Paths!$C$280=1),0,IF(Paths!$P$280="Complete",IF(C3015=10,Paths!$I$280,0),"n.a."))</f>
        <v>0</v>
      </c>
      <c r="M3015" s="16">
        <f>IF(NOT(Paths!$C$280=1),0,IF(Paths!$P$280="Complete",IF(AND(Paths!$D$280="EV",Paths!$E$280&lt;120,Paths!$E$280+'Operating costs'!$B$65&gt;Paths!$E$280,Paths!$E$280+'Operating costs'!$B$65&lt;=120,IF(Paths!$E$280+'Operating costs'!$B$65=0,C3015=0,AND(C3015&gt;0,Paths!$E$280+'Operating costs'!$B$65&gt;(C3015-1)*12,Paths!$E$280+'Operating costs'!$B$65&lt;=C3015*12))),'Operating costs'!$B$64,0)+IF(AND('Operating costs'!$B$67&gt;0,'Operating costs'!$B$67&lt;=120,OR(Paths!$D$280="ICE",'Operating costs'!$B$67&lt;=Paths!$E$280),IF('Operating costs'!$B$67=0,C3015=0,AND(C3015&gt;0,'Operating costs'!$B$67&gt;(C3015-1)*12,'Operating costs'!$B$67&lt;=C3015*12))),'Operating costs'!$B$66,0),"n.a."))</f>
        <v>0</v>
      </c>
      <c r="N3015" s="16">
        <f>IF(NOT(Paths!$C$280=1),0,IF(Paths!$P$280="Complete",SUM(G3015:I3015)-J3015-K3015-L3015+M3015+IF(C3015=0,Paths!$F$280,0)+IF(IF(Paths!$E$280=0,C3015=0,AND(C3015&gt;0,Paths!$E$280&gt;(C3015-1)*12,Paths!$E$280&lt;=C3015*12)),VLOOKUP(A3015,'Fleet register'!$A$7:$S$106,16,FALSE),0),"n.a."))</f>
        <v>0</v>
      </c>
      <c r="O3015" s="16">
        <f>IF(NOT(Paths!$C$280=1),0,IF(Paths!$P$280="Complete",N3015-IF(C3015=0,Paths!$F$280,0),"n.a."))</f>
        <v>0</v>
      </c>
      <c r="P3015" s="16">
        <f>IF(NOT(Paths!$C$280=1),0,IF(Paths!$P$280="Complete",O3015+L3015,"n.a."))</f>
        <v>0</v>
      </c>
      <c r="Q3015" s="16">
        <f>IF(NOT(Paths!$C$280=1),0,IF(Paths!$P$280="Complete",N3015*(1+'Operating costs'!$B$54)^-C3015,"n.a."))</f>
        <v>0</v>
      </c>
      <c r="R3015" s="16">
        <f>IF(NOT(Paths!$C$280=1),0,IF(Paths!$P$280="Complete",IF(AND(C3015=0,Paths!$E$280=0),I3015-J3015-K3015+VLOOKUP(A3015,'Fleet register'!$A$7:$S$106,15,FALSE)+VLOOKUP(A3015,'Fleet register'!$A$7:$S$106,16,FALSE),0),"n.a."))</f>
        <v>0</v>
      </c>
      <c r="S3015" s="1">
        <f>IF(NOT(Paths!$C$280=1),0,IF(Paths!$P$280="Complete",IF(C3015=0,0,Paths!$S$280*Paths!$R$280),"n.a."))</f>
        <v>0</v>
      </c>
      <c r="T3015" s="1">
        <f>IF(NOT(Paths!$C$280=1),0,IF(Paths!$P$280="Complete",IF(C3015=0,0,VLOOKUP(A3015,'Fleet register'!$A$7:$S$106,9,FALSE)*Paths!$R$280),"n.a."))</f>
        <v>0</v>
      </c>
    </row>
    <row r="3016" spans="1:20" ht="24" customHeight="1">
      <c r="A3016" s="1" t="str">
        <f>Paths!$A$280</f>
        <v>T069</v>
      </c>
      <c r="B3016" s="1">
        <f>Paths!$B$280</f>
        <v>1</v>
      </c>
      <c r="C3016" s="1">
        <v>6</v>
      </c>
      <c r="D3016" s="1">
        <v>280</v>
      </c>
      <c r="E3016" s="1">
        <f>IF(OR(Paths!$C$280=0,C3016=0),0,MAX(0,MIN(C3016*12,Paths!$E$280)-(C3016-1)*12))</f>
        <v>0</v>
      </c>
      <c r="F3016" s="1">
        <f>IF(OR(Paths!$C$280=0,C3016=0),0,12-E3016)</f>
        <v>0</v>
      </c>
      <c r="G3016" s="16">
        <f>IF(NOT(Paths!$C$280=1),0,IF(Paths!$P$280="Complete",E3016/12*(Paths!$J$280*(1+'Operating costs'!$B$51)^MAX(0,C3016-1)+Paths!$K$280*(1+'Operating costs'!$B$53)^MAX(0,C3016-1)),"n.a."))</f>
        <v>0</v>
      </c>
      <c r="H3016" s="16">
        <f>IF(NOT(Paths!$C$280=1),0,IF(Paths!$P$280="Complete",F3016/12*(Paths!$L$280*(1+IF(Paths!$D$280="EV",'Operating costs'!$B$52,'Operating costs'!$B$51))^MAX(0,C3016-1)+Paths!$M$280*(1+'Operating costs'!$B$53)^MAX(0,C3016-1)),"n.a."))</f>
        <v>0</v>
      </c>
      <c r="I3016" s="16">
        <f>IF(NOT(Paths!$C$280=1),0,IF(Paths!$P$280="Complete",IF(IF(Paths!$E$280=0,C3016=0,AND(C3016&gt;0,Paths!$E$280&gt;(C3016-1)*12,Paths!$E$280&lt;=C3016*12)),Paths!$G$280,0),"n.a."))</f>
        <v>0</v>
      </c>
      <c r="J3016" s="16">
        <f>IF(NOT(Paths!$C$280=1),0,IF(Paths!$P$280="Complete",IF(IF(Paths!$E$280=0,C3016=0,AND(C3016&gt;0,Paths!$E$280&gt;(C3016-1)*12,Paths!$E$280&lt;=C3016*12)),Paths!$H$280,0),"n.a."))</f>
        <v>0</v>
      </c>
      <c r="K3016" s="16">
        <f>IF(NOT(Paths!$C$280=1),0,IF(Paths!$P$280="Complete",IF(IF(Paths!$O$280=0,C3016=0,AND(C3016&gt;0,Paths!$O$280&gt;(C3016-1)*12,Paths!$O$280&lt;=C3016*12)),Paths!$N$280,0),"n.a."))</f>
        <v>0</v>
      </c>
      <c r="L3016" s="16">
        <f>IF(NOT(Paths!$C$280=1),0,IF(Paths!$P$280="Complete",IF(C3016=10,Paths!$I$280,0),"n.a."))</f>
        <v>0</v>
      </c>
      <c r="M3016" s="16">
        <f>IF(NOT(Paths!$C$280=1),0,IF(Paths!$P$280="Complete",IF(AND(Paths!$D$280="EV",Paths!$E$280&lt;120,Paths!$E$280+'Operating costs'!$B$65&gt;Paths!$E$280,Paths!$E$280+'Operating costs'!$B$65&lt;=120,IF(Paths!$E$280+'Operating costs'!$B$65=0,C3016=0,AND(C3016&gt;0,Paths!$E$280+'Operating costs'!$B$65&gt;(C3016-1)*12,Paths!$E$280+'Operating costs'!$B$65&lt;=C3016*12))),'Operating costs'!$B$64,0)+IF(AND('Operating costs'!$B$67&gt;0,'Operating costs'!$B$67&lt;=120,OR(Paths!$D$280="ICE",'Operating costs'!$B$67&lt;=Paths!$E$280),IF('Operating costs'!$B$67=0,C3016=0,AND(C3016&gt;0,'Operating costs'!$B$67&gt;(C3016-1)*12,'Operating costs'!$B$67&lt;=C3016*12))),'Operating costs'!$B$66,0),"n.a."))</f>
        <v>0</v>
      </c>
      <c r="N3016" s="16">
        <f>IF(NOT(Paths!$C$280=1),0,IF(Paths!$P$280="Complete",SUM(G3016:I3016)-J3016-K3016-L3016+M3016+IF(C3016=0,Paths!$F$280,0)+IF(IF(Paths!$E$280=0,C3016=0,AND(C3016&gt;0,Paths!$E$280&gt;(C3016-1)*12,Paths!$E$280&lt;=C3016*12)),VLOOKUP(A3016,'Fleet register'!$A$7:$S$106,16,FALSE),0),"n.a."))</f>
        <v>0</v>
      </c>
      <c r="O3016" s="16">
        <f>IF(NOT(Paths!$C$280=1),0,IF(Paths!$P$280="Complete",N3016-IF(C3016=0,Paths!$F$280,0),"n.a."))</f>
        <v>0</v>
      </c>
      <c r="P3016" s="16">
        <f>IF(NOT(Paths!$C$280=1),0,IF(Paths!$P$280="Complete",O3016+L3016,"n.a."))</f>
        <v>0</v>
      </c>
      <c r="Q3016" s="16">
        <f>IF(NOT(Paths!$C$280=1),0,IF(Paths!$P$280="Complete",N3016*(1+'Operating costs'!$B$54)^-C3016,"n.a."))</f>
        <v>0</v>
      </c>
      <c r="R3016" s="16">
        <f>IF(NOT(Paths!$C$280=1),0,IF(Paths!$P$280="Complete",IF(AND(C3016=0,Paths!$E$280=0),I3016-J3016-K3016+VLOOKUP(A3016,'Fleet register'!$A$7:$S$106,15,FALSE)+VLOOKUP(A3016,'Fleet register'!$A$7:$S$106,16,FALSE),0),"n.a."))</f>
        <v>0</v>
      </c>
      <c r="S3016" s="1">
        <f>IF(NOT(Paths!$C$280=1),0,IF(Paths!$P$280="Complete",IF(C3016=0,0,Paths!$S$280*Paths!$R$280),"n.a."))</f>
        <v>0</v>
      </c>
      <c r="T3016" s="1">
        <f>IF(NOT(Paths!$C$280=1),0,IF(Paths!$P$280="Complete",IF(C3016=0,0,VLOOKUP(A3016,'Fleet register'!$A$7:$S$106,9,FALSE)*Paths!$R$280),"n.a."))</f>
        <v>0</v>
      </c>
    </row>
    <row r="3017" spans="1:20" ht="24" customHeight="1">
      <c r="A3017" s="1" t="str">
        <f>Paths!$A$280</f>
        <v>T069</v>
      </c>
      <c r="B3017" s="1">
        <f>Paths!$B$280</f>
        <v>1</v>
      </c>
      <c r="C3017" s="1">
        <v>7</v>
      </c>
      <c r="D3017" s="1">
        <v>280</v>
      </c>
      <c r="E3017" s="1">
        <f>IF(OR(Paths!$C$280=0,C3017=0),0,MAX(0,MIN(C3017*12,Paths!$E$280)-(C3017-1)*12))</f>
        <v>0</v>
      </c>
      <c r="F3017" s="1">
        <f>IF(OR(Paths!$C$280=0,C3017=0),0,12-E3017)</f>
        <v>0</v>
      </c>
      <c r="G3017" s="16">
        <f>IF(NOT(Paths!$C$280=1),0,IF(Paths!$P$280="Complete",E3017/12*(Paths!$J$280*(1+'Operating costs'!$B$51)^MAX(0,C3017-1)+Paths!$K$280*(1+'Operating costs'!$B$53)^MAX(0,C3017-1)),"n.a."))</f>
        <v>0</v>
      </c>
      <c r="H3017" s="16">
        <f>IF(NOT(Paths!$C$280=1),0,IF(Paths!$P$280="Complete",F3017/12*(Paths!$L$280*(1+IF(Paths!$D$280="EV",'Operating costs'!$B$52,'Operating costs'!$B$51))^MAX(0,C3017-1)+Paths!$M$280*(1+'Operating costs'!$B$53)^MAX(0,C3017-1)),"n.a."))</f>
        <v>0</v>
      </c>
      <c r="I3017" s="16">
        <f>IF(NOT(Paths!$C$280=1),0,IF(Paths!$P$280="Complete",IF(IF(Paths!$E$280=0,C3017=0,AND(C3017&gt;0,Paths!$E$280&gt;(C3017-1)*12,Paths!$E$280&lt;=C3017*12)),Paths!$G$280,0),"n.a."))</f>
        <v>0</v>
      </c>
      <c r="J3017" s="16">
        <f>IF(NOT(Paths!$C$280=1),0,IF(Paths!$P$280="Complete",IF(IF(Paths!$E$280=0,C3017=0,AND(C3017&gt;0,Paths!$E$280&gt;(C3017-1)*12,Paths!$E$280&lt;=C3017*12)),Paths!$H$280,0),"n.a."))</f>
        <v>0</v>
      </c>
      <c r="K3017" s="16">
        <f>IF(NOT(Paths!$C$280=1),0,IF(Paths!$P$280="Complete",IF(IF(Paths!$O$280=0,C3017=0,AND(C3017&gt;0,Paths!$O$280&gt;(C3017-1)*12,Paths!$O$280&lt;=C3017*12)),Paths!$N$280,0),"n.a."))</f>
        <v>0</v>
      </c>
      <c r="L3017" s="16">
        <f>IF(NOT(Paths!$C$280=1),0,IF(Paths!$P$280="Complete",IF(C3017=10,Paths!$I$280,0),"n.a."))</f>
        <v>0</v>
      </c>
      <c r="M3017" s="16">
        <f>IF(NOT(Paths!$C$280=1),0,IF(Paths!$P$280="Complete",IF(AND(Paths!$D$280="EV",Paths!$E$280&lt;120,Paths!$E$280+'Operating costs'!$B$65&gt;Paths!$E$280,Paths!$E$280+'Operating costs'!$B$65&lt;=120,IF(Paths!$E$280+'Operating costs'!$B$65=0,C3017=0,AND(C3017&gt;0,Paths!$E$280+'Operating costs'!$B$65&gt;(C3017-1)*12,Paths!$E$280+'Operating costs'!$B$65&lt;=C3017*12))),'Operating costs'!$B$64,0)+IF(AND('Operating costs'!$B$67&gt;0,'Operating costs'!$B$67&lt;=120,OR(Paths!$D$280="ICE",'Operating costs'!$B$67&lt;=Paths!$E$280),IF('Operating costs'!$B$67=0,C3017=0,AND(C3017&gt;0,'Operating costs'!$B$67&gt;(C3017-1)*12,'Operating costs'!$B$67&lt;=C3017*12))),'Operating costs'!$B$66,0),"n.a."))</f>
        <v>0</v>
      </c>
      <c r="N3017" s="16">
        <f>IF(NOT(Paths!$C$280=1),0,IF(Paths!$P$280="Complete",SUM(G3017:I3017)-J3017-K3017-L3017+M3017+IF(C3017=0,Paths!$F$280,0)+IF(IF(Paths!$E$280=0,C3017=0,AND(C3017&gt;0,Paths!$E$280&gt;(C3017-1)*12,Paths!$E$280&lt;=C3017*12)),VLOOKUP(A3017,'Fleet register'!$A$7:$S$106,16,FALSE),0),"n.a."))</f>
        <v>0</v>
      </c>
      <c r="O3017" s="16">
        <f>IF(NOT(Paths!$C$280=1),0,IF(Paths!$P$280="Complete",N3017-IF(C3017=0,Paths!$F$280,0),"n.a."))</f>
        <v>0</v>
      </c>
      <c r="P3017" s="16">
        <f>IF(NOT(Paths!$C$280=1),0,IF(Paths!$P$280="Complete",O3017+L3017,"n.a."))</f>
        <v>0</v>
      </c>
      <c r="Q3017" s="16">
        <f>IF(NOT(Paths!$C$280=1),0,IF(Paths!$P$280="Complete",N3017*(1+'Operating costs'!$B$54)^-C3017,"n.a."))</f>
        <v>0</v>
      </c>
      <c r="R3017" s="16">
        <f>IF(NOT(Paths!$C$280=1),0,IF(Paths!$P$280="Complete",IF(AND(C3017=0,Paths!$E$280=0),I3017-J3017-K3017+VLOOKUP(A3017,'Fleet register'!$A$7:$S$106,15,FALSE)+VLOOKUP(A3017,'Fleet register'!$A$7:$S$106,16,FALSE),0),"n.a."))</f>
        <v>0</v>
      </c>
      <c r="S3017" s="1">
        <f>IF(NOT(Paths!$C$280=1),0,IF(Paths!$P$280="Complete",IF(C3017=0,0,Paths!$S$280*Paths!$R$280),"n.a."))</f>
        <v>0</v>
      </c>
      <c r="T3017" s="1">
        <f>IF(NOT(Paths!$C$280=1),0,IF(Paths!$P$280="Complete",IF(C3017=0,0,VLOOKUP(A3017,'Fleet register'!$A$7:$S$106,9,FALSE)*Paths!$R$280),"n.a."))</f>
        <v>0</v>
      </c>
    </row>
    <row r="3018" spans="1:20" ht="24" customHeight="1">
      <c r="A3018" s="1" t="str">
        <f>Paths!$A$280</f>
        <v>T069</v>
      </c>
      <c r="B3018" s="1">
        <f>Paths!$B$280</f>
        <v>1</v>
      </c>
      <c r="C3018" s="1">
        <v>8</v>
      </c>
      <c r="D3018" s="1">
        <v>280</v>
      </c>
      <c r="E3018" s="1">
        <f>IF(OR(Paths!$C$280=0,C3018=0),0,MAX(0,MIN(C3018*12,Paths!$E$280)-(C3018-1)*12))</f>
        <v>0</v>
      </c>
      <c r="F3018" s="1">
        <f>IF(OR(Paths!$C$280=0,C3018=0),0,12-E3018)</f>
        <v>0</v>
      </c>
      <c r="G3018" s="16">
        <f>IF(NOT(Paths!$C$280=1),0,IF(Paths!$P$280="Complete",E3018/12*(Paths!$J$280*(1+'Operating costs'!$B$51)^MAX(0,C3018-1)+Paths!$K$280*(1+'Operating costs'!$B$53)^MAX(0,C3018-1)),"n.a."))</f>
        <v>0</v>
      </c>
      <c r="H3018" s="16">
        <f>IF(NOT(Paths!$C$280=1),0,IF(Paths!$P$280="Complete",F3018/12*(Paths!$L$280*(1+IF(Paths!$D$280="EV",'Operating costs'!$B$52,'Operating costs'!$B$51))^MAX(0,C3018-1)+Paths!$M$280*(1+'Operating costs'!$B$53)^MAX(0,C3018-1)),"n.a."))</f>
        <v>0</v>
      </c>
      <c r="I3018" s="16">
        <f>IF(NOT(Paths!$C$280=1),0,IF(Paths!$P$280="Complete",IF(IF(Paths!$E$280=0,C3018=0,AND(C3018&gt;0,Paths!$E$280&gt;(C3018-1)*12,Paths!$E$280&lt;=C3018*12)),Paths!$G$280,0),"n.a."))</f>
        <v>0</v>
      </c>
      <c r="J3018" s="16">
        <f>IF(NOT(Paths!$C$280=1),0,IF(Paths!$P$280="Complete",IF(IF(Paths!$E$280=0,C3018=0,AND(C3018&gt;0,Paths!$E$280&gt;(C3018-1)*12,Paths!$E$280&lt;=C3018*12)),Paths!$H$280,0),"n.a."))</f>
        <v>0</v>
      </c>
      <c r="K3018" s="16">
        <f>IF(NOT(Paths!$C$280=1),0,IF(Paths!$P$280="Complete",IF(IF(Paths!$O$280=0,C3018=0,AND(C3018&gt;0,Paths!$O$280&gt;(C3018-1)*12,Paths!$O$280&lt;=C3018*12)),Paths!$N$280,0),"n.a."))</f>
        <v>0</v>
      </c>
      <c r="L3018" s="16">
        <f>IF(NOT(Paths!$C$280=1),0,IF(Paths!$P$280="Complete",IF(C3018=10,Paths!$I$280,0),"n.a."))</f>
        <v>0</v>
      </c>
      <c r="M3018" s="16">
        <f>IF(NOT(Paths!$C$280=1),0,IF(Paths!$P$280="Complete",IF(AND(Paths!$D$280="EV",Paths!$E$280&lt;120,Paths!$E$280+'Operating costs'!$B$65&gt;Paths!$E$280,Paths!$E$280+'Operating costs'!$B$65&lt;=120,IF(Paths!$E$280+'Operating costs'!$B$65=0,C3018=0,AND(C3018&gt;0,Paths!$E$280+'Operating costs'!$B$65&gt;(C3018-1)*12,Paths!$E$280+'Operating costs'!$B$65&lt;=C3018*12))),'Operating costs'!$B$64,0)+IF(AND('Operating costs'!$B$67&gt;0,'Operating costs'!$B$67&lt;=120,OR(Paths!$D$280="ICE",'Operating costs'!$B$67&lt;=Paths!$E$280),IF('Operating costs'!$B$67=0,C3018=0,AND(C3018&gt;0,'Operating costs'!$B$67&gt;(C3018-1)*12,'Operating costs'!$B$67&lt;=C3018*12))),'Operating costs'!$B$66,0),"n.a."))</f>
        <v>0</v>
      </c>
      <c r="N3018" s="16">
        <f>IF(NOT(Paths!$C$280=1),0,IF(Paths!$P$280="Complete",SUM(G3018:I3018)-J3018-K3018-L3018+M3018+IF(C3018=0,Paths!$F$280,0)+IF(IF(Paths!$E$280=0,C3018=0,AND(C3018&gt;0,Paths!$E$280&gt;(C3018-1)*12,Paths!$E$280&lt;=C3018*12)),VLOOKUP(A3018,'Fleet register'!$A$7:$S$106,16,FALSE),0),"n.a."))</f>
        <v>0</v>
      </c>
      <c r="O3018" s="16">
        <f>IF(NOT(Paths!$C$280=1),0,IF(Paths!$P$280="Complete",N3018-IF(C3018=0,Paths!$F$280,0),"n.a."))</f>
        <v>0</v>
      </c>
      <c r="P3018" s="16">
        <f>IF(NOT(Paths!$C$280=1),0,IF(Paths!$P$280="Complete",O3018+L3018,"n.a."))</f>
        <v>0</v>
      </c>
      <c r="Q3018" s="16">
        <f>IF(NOT(Paths!$C$280=1),0,IF(Paths!$P$280="Complete",N3018*(1+'Operating costs'!$B$54)^-C3018,"n.a."))</f>
        <v>0</v>
      </c>
      <c r="R3018" s="16">
        <f>IF(NOT(Paths!$C$280=1),0,IF(Paths!$P$280="Complete",IF(AND(C3018=0,Paths!$E$280=0),I3018-J3018-K3018+VLOOKUP(A3018,'Fleet register'!$A$7:$S$106,15,FALSE)+VLOOKUP(A3018,'Fleet register'!$A$7:$S$106,16,FALSE),0),"n.a."))</f>
        <v>0</v>
      </c>
      <c r="S3018" s="1">
        <f>IF(NOT(Paths!$C$280=1),0,IF(Paths!$P$280="Complete",IF(C3018=0,0,Paths!$S$280*Paths!$R$280),"n.a."))</f>
        <v>0</v>
      </c>
      <c r="T3018" s="1">
        <f>IF(NOT(Paths!$C$280=1),0,IF(Paths!$P$280="Complete",IF(C3018=0,0,VLOOKUP(A3018,'Fleet register'!$A$7:$S$106,9,FALSE)*Paths!$R$280),"n.a."))</f>
        <v>0</v>
      </c>
    </row>
    <row r="3019" spans="1:20" ht="24" customHeight="1">
      <c r="A3019" s="1" t="str">
        <f>Paths!$A$280</f>
        <v>T069</v>
      </c>
      <c r="B3019" s="1">
        <f>Paths!$B$280</f>
        <v>1</v>
      </c>
      <c r="C3019" s="1">
        <v>9</v>
      </c>
      <c r="D3019" s="1">
        <v>280</v>
      </c>
      <c r="E3019" s="1">
        <f>IF(OR(Paths!$C$280=0,C3019=0),0,MAX(0,MIN(C3019*12,Paths!$E$280)-(C3019-1)*12))</f>
        <v>0</v>
      </c>
      <c r="F3019" s="1">
        <f>IF(OR(Paths!$C$280=0,C3019=0),0,12-E3019)</f>
        <v>0</v>
      </c>
      <c r="G3019" s="16">
        <f>IF(NOT(Paths!$C$280=1),0,IF(Paths!$P$280="Complete",E3019/12*(Paths!$J$280*(1+'Operating costs'!$B$51)^MAX(0,C3019-1)+Paths!$K$280*(1+'Operating costs'!$B$53)^MAX(0,C3019-1)),"n.a."))</f>
        <v>0</v>
      </c>
      <c r="H3019" s="16">
        <f>IF(NOT(Paths!$C$280=1),0,IF(Paths!$P$280="Complete",F3019/12*(Paths!$L$280*(1+IF(Paths!$D$280="EV",'Operating costs'!$B$52,'Operating costs'!$B$51))^MAX(0,C3019-1)+Paths!$M$280*(1+'Operating costs'!$B$53)^MAX(0,C3019-1)),"n.a."))</f>
        <v>0</v>
      </c>
      <c r="I3019" s="16">
        <f>IF(NOT(Paths!$C$280=1),0,IF(Paths!$P$280="Complete",IF(IF(Paths!$E$280=0,C3019=0,AND(C3019&gt;0,Paths!$E$280&gt;(C3019-1)*12,Paths!$E$280&lt;=C3019*12)),Paths!$G$280,0),"n.a."))</f>
        <v>0</v>
      </c>
      <c r="J3019" s="16">
        <f>IF(NOT(Paths!$C$280=1),0,IF(Paths!$P$280="Complete",IF(IF(Paths!$E$280=0,C3019=0,AND(C3019&gt;0,Paths!$E$280&gt;(C3019-1)*12,Paths!$E$280&lt;=C3019*12)),Paths!$H$280,0),"n.a."))</f>
        <v>0</v>
      </c>
      <c r="K3019" s="16">
        <f>IF(NOT(Paths!$C$280=1),0,IF(Paths!$P$280="Complete",IF(IF(Paths!$O$280=0,C3019=0,AND(C3019&gt;0,Paths!$O$280&gt;(C3019-1)*12,Paths!$O$280&lt;=C3019*12)),Paths!$N$280,0),"n.a."))</f>
        <v>0</v>
      </c>
      <c r="L3019" s="16">
        <f>IF(NOT(Paths!$C$280=1),0,IF(Paths!$P$280="Complete",IF(C3019=10,Paths!$I$280,0),"n.a."))</f>
        <v>0</v>
      </c>
      <c r="M3019" s="16">
        <f>IF(NOT(Paths!$C$280=1),0,IF(Paths!$P$280="Complete",IF(AND(Paths!$D$280="EV",Paths!$E$280&lt;120,Paths!$E$280+'Operating costs'!$B$65&gt;Paths!$E$280,Paths!$E$280+'Operating costs'!$B$65&lt;=120,IF(Paths!$E$280+'Operating costs'!$B$65=0,C3019=0,AND(C3019&gt;0,Paths!$E$280+'Operating costs'!$B$65&gt;(C3019-1)*12,Paths!$E$280+'Operating costs'!$B$65&lt;=C3019*12))),'Operating costs'!$B$64,0)+IF(AND('Operating costs'!$B$67&gt;0,'Operating costs'!$B$67&lt;=120,OR(Paths!$D$280="ICE",'Operating costs'!$B$67&lt;=Paths!$E$280),IF('Operating costs'!$B$67=0,C3019=0,AND(C3019&gt;0,'Operating costs'!$B$67&gt;(C3019-1)*12,'Operating costs'!$B$67&lt;=C3019*12))),'Operating costs'!$B$66,0),"n.a."))</f>
        <v>0</v>
      </c>
      <c r="N3019" s="16">
        <f>IF(NOT(Paths!$C$280=1),0,IF(Paths!$P$280="Complete",SUM(G3019:I3019)-J3019-K3019-L3019+M3019+IF(C3019=0,Paths!$F$280,0)+IF(IF(Paths!$E$280=0,C3019=0,AND(C3019&gt;0,Paths!$E$280&gt;(C3019-1)*12,Paths!$E$280&lt;=C3019*12)),VLOOKUP(A3019,'Fleet register'!$A$7:$S$106,16,FALSE),0),"n.a."))</f>
        <v>0</v>
      </c>
      <c r="O3019" s="16">
        <f>IF(NOT(Paths!$C$280=1),0,IF(Paths!$P$280="Complete",N3019-IF(C3019=0,Paths!$F$280,0),"n.a."))</f>
        <v>0</v>
      </c>
      <c r="P3019" s="16">
        <f>IF(NOT(Paths!$C$280=1),0,IF(Paths!$P$280="Complete",O3019+L3019,"n.a."))</f>
        <v>0</v>
      </c>
      <c r="Q3019" s="16">
        <f>IF(NOT(Paths!$C$280=1),0,IF(Paths!$P$280="Complete",N3019*(1+'Operating costs'!$B$54)^-C3019,"n.a."))</f>
        <v>0</v>
      </c>
      <c r="R3019" s="16">
        <f>IF(NOT(Paths!$C$280=1),0,IF(Paths!$P$280="Complete",IF(AND(C3019=0,Paths!$E$280=0),I3019-J3019-K3019+VLOOKUP(A3019,'Fleet register'!$A$7:$S$106,15,FALSE)+VLOOKUP(A3019,'Fleet register'!$A$7:$S$106,16,FALSE),0),"n.a."))</f>
        <v>0</v>
      </c>
      <c r="S3019" s="1">
        <f>IF(NOT(Paths!$C$280=1),0,IF(Paths!$P$280="Complete",IF(C3019=0,0,Paths!$S$280*Paths!$R$280),"n.a."))</f>
        <v>0</v>
      </c>
      <c r="T3019" s="1">
        <f>IF(NOT(Paths!$C$280=1),0,IF(Paths!$P$280="Complete",IF(C3019=0,0,VLOOKUP(A3019,'Fleet register'!$A$7:$S$106,9,FALSE)*Paths!$R$280),"n.a."))</f>
        <v>0</v>
      </c>
    </row>
    <row r="3020" spans="1:20" ht="24" customHeight="1">
      <c r="A3020" s="1" t="str">
        <f>Paths!$A$280</f>
        <v>T069</v>
      </c>
      <c r="B3020" s="1">
        <f>Paths!$B$280</f>
        <v>1</v>
      </c>
      <c r="C3020" s="1">
        <v>10</v>
      </c>
      <c r="D3020" s="1">
        <v>280</v>
      </c>
      <c r="E3020" s="1">
        <f>IF(OR(Paths!$C$280=0,C3020=0),0,MAX(0,MIN(C3020*12,Paths!$E$280)-(C3020-1)*12))</f>
        <v>0</v>
      </c>
      <c r="F3020" s="1">
        <f>IF(OR(Paths!$C$280=0,C3020=0),0,12-E3020)</f>
        <v>0</v>
      </c>
      <c r="G3020" s="16">
        <f>IF(NOT(Paths!$C$280=1),0,IF(Paths!$P$280="Complete",E3020/12*(Paths!$J$280*(1+'Operating costs'!$B$51)^MAX(0,C3020-1)+Paths!$K$280*(1+'Operating costs'!$B$53)^MAX(0,C3020-1)),"n.a."))</f>
        <v>0</v>
      </c>
      <c r="H3020" s="16">
        <f>IF(NOT(Paths!$C$280=1),0,IF(Paths!$P$280="Complete",F3020/12*(Paths!$L$280*(1+IF(Paths!$D$280="EV",'Operating costs'!$B$52,'Operating costs'!$B$51))^MAX(0,C3020-1)+Paths!$M$280*(1+'Operating costs'!$B$53)^MAX(0,C3020-1)),"n.a."))</f>
        <v>0</v>
      </c>
      <c r="I3020" s="16">
        <f>IF(NOT(Paths!$C$280=1),0,IF(Paths!$P$280="Complete",IF(IF(Paths!$E$280=0,C3020=0,AND(C3020&gt;0,Paths!$E$280&gt;(C3020-1)*12,Paths!$E$280&lt;=C3020*12)),Paths!$G$280,0),"n.a."))</f>
        <v>0</v>
      </c>
      <c r="J3020" s="16">
        <f>IF(NOT(Paths!$C$280=1),0,IF(Paths!$P$280="Complete",IF(IF(Paths!$E$280=0,C3020=0,AND(C3020&gt;0,Paths!$E$280&gt;(C3020-1)*12,Paths!$E$280&lt;=C3020*12)),Paths!$H$280,0),"n.a."))</f>
        <v>0</v>
      </c>
      <c r="K3020" s="16">
        <f>IF(NOT(Paths!$C$280=1),0,IF(Paths!$P$280="Complete",IF(IF(Paths!$O$280=0,C3020=0,AND(C3020&gt;0,Paths!$O$280&gt;(C3020-1)*12,Paths!$O$280&lt;=C3020*12)),Paths!$N$280,0),"n.a."))</f>
        <v>0</v>
      </c>
      <c r="L3020" s="16">
        <f>IF(NOT(Paths!$C$280=1),0,IF(Paths!$P$280="Complete",IF(C3020=10,Paths!$I$280,0),"n.a."))</f>
        <v>0</v>
      </c>
      <c r="M3020" s="16">
        <f>IF(NOT(Paths!$C$280=1),0,IF(Paths!$P$280="Complete",IF(AND(Paths!$D$280="EV",Paths!$E$280&lt;120,Paths!$E$280+'Operating costs'!$B$65&gt;Paths!$E$280,Paths!$E$280+'Operating costs'!$B$65&lt;=120,IF(Paths!$E$280+'Operating costs'!$B$65=0,C3020=0,AND(C3020&gt;0,Paths!$E$280+'Operating costs'!$B$65&gt;(C3020-1)*12,Paths!$E$280+'Operating costs'!$B$65&lt;=C3020*12))),'Operating costs'!$B$64,0)+IF(AND('Operating costs'!$B$67&gt;0,'Operating costs'!$B$67&lt;=120,OR(Paths!$D$280="ICE",'Operating costs'!$B$67&lt;=Paths!$E$280),IF('Operating costs'!$B$67=0,C3020=0,AND(C3020&gt;0,'Operating costs'!$B$67&gt;(C3020-1)*12,'Operating costs'!$B$67&lt;=C3020*12))),'Operating costs'!$B$66,0),"n.a."))</f>
        <v>0</v>
      </c>
      <c r="N3020" s="16">
        <f>IF(NOT(Paths!$C$280=1),0,IF(Paths!$P$280="Complete",SUM(G3020:I3020)-J3020-K3020-L3020+M3020+IF(C3020=0,Paths!$F$280,0)+IF(IF(Paths!$E$280=0,C3020=0,AND(C3020&gt;0,Paths!$E$280&gt;(C3020-1)*12,Paths!$E$280&lt;=C3020*12)),VLOOKUP(A3020,'Fleet register'!$A$7:$S$106,16,FALSE),0),"n.a."))</f>
        <v>0</v>
      </c>
      <c r="O3020" s="16">
        <f>IF(NOT(Paths!$C$280=1),0,IF(Paths!$P$280="Complete",N3020-IF(C3020=0,Paths!$F$280,0),"n.a."))</f>
        <v>0</v>
      </c>
      <c r="P3020" s="16">
        <f>IF(NOT(Paths!$C$280=1),0,IF(Paths!$P$280="Complete",O3020+L3020,"n.a."))</f>
        <v>0</v>
      </c>
      <c r="Q3020" s="16">
        <f>IF(NOT(Paths!$C$280=1),0,IF(Paths!$P$280="Complete",N3020*(1+'Operating costs'!$B$54)^-C3020,"n.a."))</f>
        <v>0</v>
      </c>
      <c r="R3020" s="16">
        <f>IF(NOT(Paths!$C$280=1),0,IF(Paths!$P$280="Complete",IF(AND(C3020=0,Paths!$E$280=0),I3020-J3020-K3020+VLOOKUP(A3020,'Fleet register'!$A$7:$S$106,15,FALSE)+VLOOKUP(A3020,'Fleet register'!$A$7:$S$106,16,FALSE),0),"n.a."))</f>
        <v>0</v>
      </c>
      <c r="S3020" s="1">
        <f>IF(NOT(Paths!$C$280=1),0,IF(Paths!$P$280="Complete",IF(C3020=0,0,Paths!$S$280*Paths!$R$280),"n.a."))</f>
        <v>0</v>
      </c>
      <c r="T3020" s="1">
        <f>IF(NOT(Paths!$C$280=1),0,IF(Paths!$P$280="Complete",IF(C3020=0,0,VLOOKUP(A3020,'Fleet register'!$A$7:$S$106,9,FALSE)*Paths!$R$280),"n.a."))</f>
        <v>0</v>
      </c>
    </row>
    <row r="3021" spans="1:20" ht="24" customHeight="1">
      <c r="A3021" s="1" t="str">
        <f>Paths!$A$281</f>
        <v>T069</v>
      </c>
      <c r="B3021" s="1">
        <f>Paths!$B$281</f>
        <v>2</v>
      </c>
      <c r="C3021" s="1">
        <v>0</v>
      </c>
      <c r="D3021" s="1">
        <v>281</v>
      </c>
      <c r="E3021" s="1">
        <f>IF(OR(Paths!$C$281=0,C3021=0),0,MAX(0,MIN(C3021*12,Paths!$E$281)-(C3021-1)*12))</f>
        <v>0</v>
      </c>
      <c r="F3021" s="1">
        <f>IF(OR(Paths!$C$281=0,C3021=0),0,12-E3021)</f>
        <v>0</v>
      </c>
      <c r="G3021" s="16">
        <f>IF(NOT(Paths!$C$281=1),0,IF(Paths!$P$281="Complete",E3021/12*(Paths!$J$281*(1+'Operating costs'!$B$51)^MAX(0,C3021-1)+Paths!$K$281*(1+'Operating costs'!$B$53)^MAX(0,C3021-1)),"n.a."))</f>
        <v>0</v>
      </c>
      <c r="H3021" s="16">
        <f>IF(NOT(Paths!$C$281=1),0,IF(Paths!$P$281="Complete",F3021/12*(Paths!$L$281*(1+IF(Paths!$D$281="EV",'Operating costs'!$B$52,'Operating costs'!$B$51))^MAX(0,C3021-1)+Paths!$M$281*(1+'Operating costs'!$B$53)^MAX(0,C3021-1)),"n.a."))</f>
        <v>0</v>
      </c>
      <c r="I3021" s="16">
        <f>IF(NOT(Paths!$C$281=1),0,IF(Paths!$P$281="Complete",IF(IF(Paths!$E$281=0,C3021=0,AND(C3021&gt;0,Paths!$E$281&gt;(C3021-1)*12,Paths!$E$281&lt;=C3021*12)),Paths!$G$281,0),"n.a."))</f>
        <v>0</v>
      </c>
      <c r="J3021" s="16">
        <f>IF(NOT(Paths!$C$281=1),0,IF(Paths!$P$281="Complete",IF(IF(Paths!$E$281=0,C3021=0,AND(C3021&gt;0,Paths!$E$281&gt;(C3021-1)*12,Paths!$E$281&lt;=C3021*12)),Paths!$H$281,0),"n.a."))</f>
        <v>0</v>
      </c>
      <c r="K3021" s="16">
        <f>IF(NOT(Paths!$C$281=1),0,IF(Paths!$P$281="Complete",IF(IF(Paths!$O$281=0,C3021=0,AND(C3021&gt;0,Paths!$O$281&gt;(C3021-1)*12,Paths!$O$281&lt;=C3021*12)),Paths!$N$281,0),"n.a."))</f>
        <v>0</v>
      </c>
      <c r="L3021" s="16">
        <f>IF(NOT(Paths!$C$281=1),0,IF(Paths!$P$281="Complete",IF(C3021=10,Paths!$I$281,0),"n.a."))</f>
        <v>0</v>
      </c>
      <c r="M3021" s="16">
        <f>IF(NOT(Paths!$C$281=1),0,IF(Paths!$P$281="Complete",IF(AND(Paths!$D$281="EV",Paths!$E$281&lt;120,Paths!$E$281+'Operating costs'!$B$65&gt;Paths!$E$281,Paths!$E$281+'Operating costs'!$B$65&lt;=120,IF(Paths!$E$281+'Operating costs'!$B$65=0,C3021=0,AND(C3021&gt;0,Paths!$E$281+'Operating costs'!$B$65&gt;(C3021-1)*12,Paths!$E$281+'Operating costs'!$B$65&lt;=C3021*12))),'Operating costs'!$B$64,0)+IF(AND('Operating costs'!$B$67&gt;0,'Operating costs'!$B$67&lt;=120,OR(Paths!$D$281="ICE",'Operating costs'!$B$67&lt;=Paths!$E$281),IF('Operating costs'!$B$67=0,C3021=0,AND(C3021&gt;0,'Operating costs'!$B$67&gt;(C3021-1)*12,'Operating costs'!$B$67&lt;=C3021*12))),'Operating costs'!$B$66,0),"n.a."))</f>
        <v>0</v>
      </c>
      <c r="N3021" s="16">
        <f>IF(NOT(Paths!$C$281=1),0,IF(Paths!$P$281="Complete",SUM(G3021:I3021)-J3021-K3021-L3021+M3021+IF(C3021=0,Paths!$F$281,0)+IF(IF(Paths!$E$281=0,C3021=0,AND(C3021&gt;0,Paths!$E$281&gt;(C3021-1)*12,Paths!$E$281&lt;=C3021*12)),VLOOKUP(A3021,'Fleet register'!$A$7:$S$106,16,FALSE),0),"n.a."))</f>
        <v>0</v>
      </c>
      <c r="O3021" s="16">
        <f>IF(NOT(Paths!$C$281=1),0,IF(Paths!$P$281="Complete",N3021-IF(C3021=0,Paths!$F$281,0),"n.a."))</f>
        <v>0</v>
      </c>
      <c r="P3021" s="16">
        <f>IF(NOT(Paths!$C$281=1),0,IF(Paths!$P$281="Complete",O3021+L3021,"n.a."))</f>
        <v>0</v>
      </c>
      <c r="Q3021" s="16">
        <f>IF(NOT(Paths!$C$281=1),0,IF(Paths!$P$281="Complete",N3021*(1+'Operating costs'!$B$54)^-C3021,"n.a."))</f>
        <v>0</v>
      </c>
      <c r="R3021" s="16">
        <f>IF(NOT(Paths!$C$281=1),0,IF(Paths!$P$281="Complete",IF(AND(C3021=0,Paths!$E$281=0),I3021-J3021-K3021+VLOOKUP(A3021,'Fleet register'!$A$7:$S$106,15,FALSE)+VLOOKUP(A3021,'Fleet register'!$A$7:$S$106,16,FALSE),0),"n.a."))</f>
        <v>0</v>
      </c>
      <c r="S3021" s="1">
        <f>IF(NOT(Paths!$C$281=1),0,IF(Paths!$P$281="Complete",IF(C3021=0,0,Paths!$S$281*Paths!$R$281),"n.a."))</f>
        <v>0</v>
      </c>
      <c r="T3021" s="1">
        <f>IF(NOT(Paths!$C$281=1),0,IF(Paths!$P$281="Complete",IF(C3021=0,0,VLOOKUP(A3021,'Fleet register'!$A$7:$S$106,9,FALSE)*Paths!$R$281),"n.a."))</f>
        <v>0</v>
      </c>
    </row>
    <row r="3022" spans="1:20" ht="24" customHeight="1">
      <c r="A3022" s="1" t="str">
        <f>Paths!$A$281</f>
        <v>T069</v>
      </c>
      <c r="B3022" s="1">
        <f>Paths!$B$281</f>
        <v>2</v>
      </c>
      <c r="C3022" s="1">
        <v>1</v>
      </c>
      <c r="D3022" s="1">
        <v>281</v>
      </c>
      <c r="E3022" s="1">
        <f>IF(OR(Paths!$C$281=0,C3022=0),0,MAX(0,MIN(C3022*12,Paths!$E$281)-(C3022-1)*12))</f>
        <v>0</v>
      </c>
      <c r="F3022" s="1">
        <f>IF(OR(Paths!$C$281=0,C3022=0),0,12-E3022)</f>
        <v>0</v>
      </c>
      <c r="G3022" s="16">
        <f>IF(NOT(Paths!$C$281=1),0,IF(Paths!$P$281="Complete",E3022/12*(Paths!$J$281*(1+'Operating costs'!$B$51)^MAX(0,C3022-1)+Paths!$K$281*(1+'Operating costs'!$B$53)^MAX(0,C3022-1)),"n.a."))</f>
        <v>0</v>
      </c>
      <c r="H3022" s="16">
        <f>IF(NOT(Paths!$C$281=1),0,IF(Paths!$P$281="Complete",F3022/12*(Paths!$L$281*(1+IF(Paths!$D$281="EV",'Operating costs'!$B$52,'Operating costs'!$B$51))^MAX(0,C3022-1)+Paths!$M$281*(1+'Operating costs'!$B$53)^MAX(0,C3022-1)),"n.a."))</f>
        <v>0</v>
      </c>
      <c r="I3022" s="16">
        <f>IF(NOT(Paths!$C$281=1),0,IF(Paths!$P$281="Complete",IF(IF(Paths!$E$281=0,C3022=0,AND(C3022&gt;0,Paths!$E$281&gt;(C3022-1)*12,Paths!$E$281&lt;=C3022*12)),Paths!$G$281,0),"n.a."))</f>
        <v>0</v>
      </c>
      <c r="J3022" s="16">
        <f>IF(NOT(Paths!$C$281=1),0,IF(Paths!$P$281="Complete",IF(IF(Paths!$E$281=0,C3022=0,AND(C3022&gt;0,Paths!$E$281&gt;(C3022-1)*12,Paths!$E$281&lt;=C3022*12)),Paths!$H$281,0),"n.a."))</f>
        <v>0</v>
      </c>
      <c r="K3022" s="16">
        <f>IF(NOT(Paths!$C$281=1),0,IF(Paths!$P$281="Complete",IF(IF(Paths!$O$281=0,C3022=0,AND(C3022&gt;0,Paths!$O$281&gt;(C3022-1)*12,Paths!$O$281&lt;=C3022*12)),Paths!$N$281,0),"n.a."))</f>
        <v>0</v>
      </c>
      <c r="L3022" s="16">
        <f>IF(NOT(Paths!$C$281=1),0,IF(Paths!$P$281="Complete",IF(C3022=10,Paths!$I$281,0),"n.a."))</f>
        <v>0</v>
      </c>
      <c r="M3022" s="16">
        <f>IF(NOT(Paths!$C$281=1),0,IF(Paths!$P$281="Complete",IF(AND(Paths!$D$281="EV",Paths!$E$281&lt;120,Paths!$E$281+'Operating costs'!$B$65&gt;Paths!$E$281,Paths!$E$281+'Operating costs'!$B$65&lt;=120,IF(Paths!$E$281+'Operating costs'!$B$65=0,C3022=0,AND(C3022&gt;0,Paths!$E$281+'Operating costs'!$B$65&gt;(C3022-1)*12,Paths!$E$281+'Operating costs'!$B$65&lt;=C3022*12))),'Operating costs'!$B$64,0)+IF(AND('Operating costs'!$B$67&gt;0,'Operating costs'!$B$67&lt;=120,OR(Paths!$D$281="ICE",'Operating costs'!$B$67&lt;=Paths!$E$281),IF('Operating costs'!$B$67=0,C3022=0,AND(C3022&gt;0,'Operating costs'!$B$67&gt;(C3022-1)*12,'Operating costs'!$B$67&lt;=C3022*12))),'Operating costs'!$B$66,0),"n.a."))</f>
        <v>0</v>
      </c>
      <c r="N3022" s="16">
        <f>IF(NOT(Paths!$C$281=1),0,IF(Paths!$P$281="Complete",SUM(G3022:I3022)-J3022-K3022-L3022+M3022+IF(C3022=0,Paths!$F$281,0)+IF(IF(Paths!$E$281=0,C3022=0,AND(C3022&gt;0,Paths!$E$281&gt;(C3022-1)*12,Paths!$E$281&lt;=C3022*12)),VLOOKUP(A3022,'Fleet register'!$A$7:$S$106,16,FALSE),0),"n.a."))</f>
        <v>0</v>
      </c>
      <c r="O3022" s="16">
        <f>IF(NOT(Paths!$C$281=1),0,IF(Paths!$P$281="Complete",N3022-IF(C3022=0,Paths!$F$281,0),"n.a."))</f>
        <v>0</v>
      </c>
      <c r="P3022" s="16">
        <f>IF(NOT(Paths!$C$281=1),0,IF(Paths!$P$281="Complete",O3022+L3022,"n.a."))</f>
        <v>0</v>
      </c>
      <c r="Q3022" s="16">
        <f>IF(NOT(Paths!$C$281=1),0,IF(Paths!$P$281="Complete",N3022*(1+'Operating costs'!$B$54)^-C3022,"n.a."))</f>
        <v>0</v>
      </c>
      <c r="R3022" s="16">
        <f>IF(NOT(Paths!$C$281=1),0,IF(Paths!$P$281="Complete",IF(AND(C3022=0,Paths!$E$281=0),I3022-J3022-K3022+VLOOKUP(A3022,'Fleet register'!$A$7:$S$106,15,FALSE)+VLOOKUP(A3022,'Fleet register'!$A$7:$S$106,16,FALSE),0),"n.a."))</f>
        <v>0</v>
      </c>
      <c r="S3022" s="1">
        <f>IF(NOT(Paths!$C$281=1),0,IF(Paths!$P$281="Complete",IF(C3022=0,0,Paths!$S$281*Paths!$R$281),"n.a."))</f>
        <v>0</v>
      </c>
      <c r="T3022" s="1">
        <f>IF(NOT(Paths!$C$281=1),0,IF(Paths!$P$281="Complete",IF(C3022=0,0,VLOOKUP(A3022,'Fleet register'!$A$7:$S$106,9,FALSE)*Paths!$R$281),"n.a."))</f>
        <v>0</v>
      </c>
    </row>
    <row r="3023" spans="1:20" ht="24" customHeight="1">
      <c r="A3023" s="1" t="str">
        <f>Paths!$A$281</f>
        <v>T069</v>
      </c>
      <c r="B3023" s="1">
        <f>Paths!$B$281</f>
        <v>2</v>
      </c>
      <c r="C3023" s="1">
        <v>2</v>
      </c>
      <c r="D3023" s="1">
        <v>281</v>
      </c>
      <c r="E3023" s="1">
        <f>IF(OR(Paths!$C$281=0,C3023=0),0,MAX(0,MIN(C3023*12,Paths!$E$281)-(C3023-1)*12))</f>
        <v>0</v>
      </c>
      <c r="F3023" s="1">
        <f>IF(OR(Paths!$C$281=0,C3023=0),0,12-E3023)</f>
        <v>0</v>
      </c>
      <c r="G3023" s="16">
        <f>IF(NOT(Paths!$C$281=1),0,IF(Paths!$P$281="Complete",E3023/12*(Paths!$J$281*(1+'Operating costs'!$B$51)^MAX(0,C3023-1)+Paths!$K$281*(1+'Operating costs'!$B$53)^MAX(0,C3023-1)),"n.a."))</f>
        <v>0</v>
      </c>
      <c r="H3023" s="16">
        <f>IF(NOT(Paths!$C$281=1),0,IF(Paths!$P$281="Complete",F3023/12*(Paths!$L$281*(1+IF(Paths!$D$281="EV",'Operating costs'!$B$52,'Operating costs'!$B$51))^MAX(0,C3023-1)+Paths!$M$281*(1+'Operating costs'!$B$53)^MAX(0,C3023-1)),"n.a."))</f>
        <v>0</v>
      </c>
      <c r="I3023" s="16">
        <f>IF(NOT(Paths!$C$281=1),0,IF(Paths!$P$281="Complete",IF(IF(Paths!$E$281=0,C3023=0,AND(C3023&gt;0,Paths!$E$281&gt;(C3023-1)*12,Paths!$E$281&lt;=C3023*12)),Paths!$G$281,0),"n.a."))</f>
        <v>0</v>
      </c>
      <c r="J3023" s="16">
        <f>IF(NOT(Paths!$C$281=1),0,IF(Paths!$P$281="Complete",IF(IF(Paths!$E$281=0,C3023=0,AND(C3023&gt;0,Paths!$E$281&gt;(C3023-1)*12,Paths!$E$281&lt;=C3023*12)),Paths!$H$281,0),"n.a."))</f>
        <v>0</v>
      </c>
      <c r="K3023" s="16">
        <f>IF(NOT(Paths!$C$281=1),0,IF(Paths!$P$281="Complete",IF(IF(Paths!$O$281=0,C3023=0,AND(C3023&gt;0,Paths!$O$281&gt;(C3023-1)*12,Paths!$O$281&lt;=C3023*12)),Paths!$N$281,0),"n.a."))</f>
        <v>0</v>
      </c>
      <c r="L3023" s="16">
        <f>IF(NOT(Paths!$C$281=1),0,IF(Paths!$P$281="Complete",IF(C3023=10,Paths!$I$281,0),"n.a."))</f>
        <v>0</v>
      </c>
      <c r="M3023" s="16">
        <f>IF(NOT(Paths!$C$281=1),0,IF(Paths!$P$281="Complete",IF(AND(Paths!$D$281="EV",Paths!$E$281&lt;120,Paths!$E$281+'Operating costs'!$B$65&gt;Paths!$E$281,Paths!$E$281+'Operating costs'!$B$65&lt;=120,IF(Paths!$E$281+'Operating costs'!$B$65=0,C3023=0,AND(C3023&gt;0,Paths!$E$281+'Operating costs'!$B$65&gt;(C3023-1)*12,Paths!$E$281+'Operating costs'!$B$65&lt;=C3023*12))),'Operating costs'!$B$64,0)+IF(AND('Operating costs'!$B$67&gt;0,'Operating costs'!$B$67&lt;=120,OR(Paths!$D$281="ICE",'Operating costs'!$B$67&lt;=Paths!$E$281),IF('Operating costs'!$B$67=0,C3023=0,AND(C3023&gt;0,'Operating costs'!$B$67&gt;(C3023-1)*12,'Operating costs'!$B$67&lt;=C3023*12))),'Operating costs'!$B$66,0),"n.a."))</f>
        <v>0</v>
      </c>
      <c r="N3023" s="16">
        <f>IF(NOT(Paths!$C$281=1),0,IF(Paths!$P$281="Complete",SUM(G3023:I3023)-J3023-K3023-L3023+M3023+IF(C3023=0,Paths!$F$281,0)+IF(IF(Paths!$E$281=0,C3023=0,AND(C3023&gt;0,Paths!$E$281&gt;(C3023-1)*12,Paths!$E$281&lt;=C3023*12)),VLOOKUP(A3023,'Fleet register'!$A$7:$S$106,16,FALSE),0),"n.a."))</f>
        <v>0</v>
      </c>
      <c r="O3023" s="16">
        <f>IF(NOT(Paths!$C$281=1),0,IF(Paths!$P$281="Complete",N3023-IF(C3023=0,Paths!$F$281,0),"n.a."))</f>
        <v>0</v>
      </c>
      <c r="P3023" s="16">
        <f>IF(NOT(Paths!$C$281=1),0,IF(Paths!$P$281="Complete",O3023+L3023,"n.a."))</f>
        <v>0</v>
      </c>
      <c r="Q3023" s="16">
        <f>IF(NOT(Paths!$C$281=1),0,IF(Paths!$P$281="Complete",N3023*(1+'Operating costs'!$B$54)^-C3023,"n.a."))</f>
        <v>0</v>
      </c>
      <c r="R3023" s="16">
        <f>IF(NOT(Paths!$C$281=1),0,IF(Paths!$P$281="Complete",IF(AND(C3023=0,Paths!$E$281=0),I3023-J3023-K3023+VLOOKUP(A3023,'Fleet register'!$A$7:$S$106,15,FALSE)+VLOOKUP(A3023,'Fleet register'!$A$7:$S$106,16,FALSE),0),"n.a."))</f>
        <v>0</v>
      </c>
      <c r="S3023" s="1">
        <f>IF(NOT(Paths!$C$281=1),0,IF(Paths!$P$281="Complete",IF(C3023=0,0,Paths!$S$281*Paths!$R$281),"n.a."))</f>
        <v>0</v>
      </c>
      <c r="T3023" s="1">
        <f>IF(NOT(Paths!$C$281=1),0,IF(Paths!$P$281="Complete",IF(C3023=0,0,VLOOKUP(A3023,'Fleet register'!$A$7:$S$106,9,FALSE)*Paths!$R$281),"n.a."))</f>
        <v>0</v>
      </c>
    </row>
    <row r="3024" spans="1:20" ht="24" customHeight="1">
      <c r="A3024" s="1" t="str">
        <f>Paths!$A$281</f>
        <v>T069</v>
      </c>
      <c r="B3024" s="1">
        <f>Paths!$B$281</f>
        <v>2</v>
      </c>
      <c r="C3024" s="1">
        <v>3</v>
      </c>
      <c r="D3024" s="1">
        <v>281</v>
      </c>
      <c r="E3024" s="1">
        <f>IF(OR(Paths!$C$281=0,C3024=0),0,MAX(0,MIN(C3024*12,Paths!$E$281)-(C3024-1)*12))</f>
        <v>0</v>
      </c>
      <c r="F3024" s="1">
        <f>IF(OR(Paths!$C$281=0,C3024=0),0,12-E3024)</f>
        <v>0</v>
      </c>
      <c r="G3024" s="16">
        <f>IF(NOT(Paths!$C$281=1),0,IF(Paths!$P$281="Complete",E3024/12*(Paths!$J$281*(1+'Operating costs'!$B$51)^MAX(0,C3024-1)+Paths!$K$281*(1+'Operating costs'!$B$53)^MAX(0,C3024-1)),"n.a."))</f>
        <v>0</v>
      </c>
      <c r="H3024" s="16">
        <f>IF(NOT(Paths!$C$281=1),0,IF(Paths!$P$281="Complete",F3024/12*(Paths!$L$281*(1+IF(Paths!$D$281="EV",'Operating costs'!$B$52,'Operating costs'!$B$51))^MAX(0,C3024-1)+Paths!$M$281*(1+'Operating costs'!$B$53)^MAX(0,C3024-1)),"n.a."))</f>
        <v>0</v>
      </c>
      <c r="I3024" s="16">
        <f>IF(NOT(Paths!$C$281=1),0,IF(Paths!$P$281="Complete",IF(IF(Paths!$E$281=0,C3024=0,AND(C3024&gt;0,Paths!$E$281&gt;(C3024-1)*12,Paths!$E$281&lt;=C3024*12)),Paths!$G$281,0),"n.a."))</f>
        <v>0</v>
      </c>
      <c r="J3024" s="16">
        <f>IF(NOT(Paths!$C$281=1),0,IF(Paths!$P$281="Complete",IF(IF(Paths!$E$281=0,C3024=0,AND(C3024&gt;0,Paths!$E$281&gt;(C3024-1)*12,Paths!$E$281&lt;=C3024*12)),Paths!$H$281,0),"n.a."))</f>
        <v>0</v>
      </c>
      <c r="K3024" s="16">
        <f>IF(NOT(Paths!$C$281=1),0,IF(Paths!$P$281="Complete",IF(IF(Paths!$O$281=0,C3024=0,AND(C3024&gt;0,Paths!$O$281&gt;(C3024-1)*12,Paths!$O$281&lt;=C3024*12)),Paths!$N$281,0),"n.a."))</f>
        <v>0</v>
      </c>
      <c r="L3024" s="16">
        <f>IF(NOT(Paths!$C$281=1),0,IF(Paths!$P$281="Complete",IF(C3024=10,Paths!$I$281,0),"n.a."))</f>
        <v>0</v>
      </c>
      <c r="M3024" s="16">
        <f>IF(NOT(Paths!$C$281=1),0,IF(Paths!$P$281="Complete",IF(AND(Paths!$D$281="EV",Paths!$E$281&lt;120,Paths!$E$281+'Operating costs'!$B$65&gt;Paths!$E$281,Paths!$E$281+'Operating costs'!$B$65&lt;=120,IF(Paths!$E$281+'Operating costs'!$B$65=0,C3024=0,AND(C3024&gt;0,Paths!$E$281+'Operating costs'!$B$65&gt;(C3024-1)*12,Paths!$E$281+'Operating costs'!$B$65&lt;=C3024*12))),'Operating costs'!$B$64,0)+IF(AND('Operating costs'!$B$67&gt;0,'Operating costs'!$B$67&lt;=120,OR(Paths!$D$281="ICE",'Operating costs'!$B$67&lt;=Paths!$E$281),IF('Operating costs'!$B$67=0,C3024=0,AND(C3024&gt;0,'Operating costs'!$B$67&gt;(C3024-1)*12,'Operating costs'!$B$67&lt;=C3024*12))),'Operating costs'!$B$66,0),"n.a."))</f>
        <v>0</v>
      </c>
      <c r="N3024" s="16">
        <f>IF(NOT(Paths!$C$281=1),0,IF(Paths!$P$281="Complete",SUM(G3024:I3024)-J3024-K3024-L3024+M3024+IF(C3024=0,Paths!$F$281,0)+IF(IF(Paths!$E$281=0,C3024=0,AND(C3024&gt;0,Paths!$E$281&gt;(C3024-1)*12,Paths!$E$281&lt;=C3024*12)),VLOOKUP(A3024,'Fleet register'!$A$7:$S$106,16,FALSE),0),"n.a."))</f>
        <v>0</v>
      </c>
      <c r="O3024" s="16">
        <f>IF(NOT(Paths!$C$281=1),0,IF(Paths!$P$281="Complete",N3024-IF(C3024=0,Paths!$F$281,0),"n.a."))</f>
        <v>0</v>
      </c>
      <c r="P3024" s="16">
        <f>IF(NOT(Paths!$C$281=1),0,IF(Paths!$P$281="Complete",O3024+L3024,"n.a."))</f>
        <v>0</v>
      </c>
      <c r="Q3024" s="16">
        <f>IF(NOT(Paths!$C$281=1),0,IF(Paths!$P$281="Complete",N3024*(1+'Operating costs'!$B$54)^-C3024,"n.a."))</f>
        <v>0</v>
      </c>
      <c r="R3024" s="16">
        <f>IF(NOT(Paths!$C$281=1),0,IF(Paths!$P$281="Complete",IF(AND(C3024=0,Paths!$E$281=0),I3024-J3024-K3024+VLOOKUP(A3024,'Fleet register'!$A$7:$S$106,15,FALSE)+VLOOKUP(A3024,'Fleet register'!$A$7:$S$106,16,FALSE),0),"n.a."))</f>
        <v>0</v>
      </c>
      <c r="S3024" s="1">
        <f>IF(NOT(Paths!$C$281=1),0,IF(Paths!$P$281="Complete",IF(C3024=0,0,Paths!$S$281*Paths!$R$281),"n.a."))</f>
        <v>0</v>
      </c>
      <c r="T3024" s="1">
        <f>IF(NOT(Paths!$C$281=1),0,IF(Paths!$P$281="Complete",IF(C3024=0,0,VLOOKUP(A3024,'Fleet register'!$A$7:$S$106,9,FALSE)*Paths!$R$281),"n.a."))</f>
        <v>0</v>
      </c>
    </row>
    <row r="3025" spans="1:20" ht="24" customHeight="1">
      <c r="A3025" s="1" t="str">
        <f>Paths!$A$281</f>
        <v>T069</v>
      </c>
      <c r="B3025" s="1">
        <f>Paths!$B$281</f>
        <v>2</v>
      </c>
      <c r="C3025" s="1">
        <v>4</v>
      </c>
      <c r="D3025" s="1">
        <v>281</v>
      </c>
      <c r="E3025" s="1">
        <f>IF(OR(Paths!$C$281=0,C3025=0),0,MAX(0,MIN(C3025*12,Paths!$E$281)-(C3025-1)*12))</f>
        <v>0</v>
      </c>
      <c r="F3025" s="1">
        <f>IF(OR(Paths!$C$281=0,C3025=0),0,12-E3025)</f>
        <v>0</v>
      </c>
      <c r="G3025" s="16">
        <f>IF(NOT(Paths!$C$281=1),0,IF(Paths!$P$281="Complete",E3025/12*(Paths!$J$281*(1+'Operating costs'!$B$51)^MAX(0,C3025-1)+Paths!$K$281*(1+'Operating costs'!$B$53)^MAX(0,C3025-1)),"n.a."))</f>
        <v>0</v>
      </c>
      <c r="H3025" s="16">
        <f>IF(NOT(Paths!$C$281=1),0,IF(Paths!$P$281="Complete",F3025/12*(Paths!$L$281*(1+IF(Paths!$D$281="EV",'Operating costs'!$B$52,'Operating costs'!$B$51))^MAX(0,C3025-1)+Paths!$M$281*(1+'Operating costs'!$B$53)^MAX(0,C3025-1)),"n.a."))</f>
        <v>0</v>
      </c>
      <c r="I3025" s="16">
        <f>IF(NOT(Paths!$C$281=1),0,IF(Paths!$P$281="Complete",IF(IF(Paths!$E$281=0,C3025=0,AND(C3025&gt;0,Paths!$E$281&gt;(C3025-1)*12,Paths!$E$281&lt;=C3025*12)),Paths!$G$281,0),"n.a."))</f>
        <v>0</v>
      </c>
      <c r="J3025" s="16">
        <f>IF(NOT(Paths!$C$281=1),0,IF(Paths!$P$281="Complete",IF(IF(Paths!$E$281=0,C3025=0,AND(C3025&gt;0,Paths!$E$281&gt;(C3025-1)*12,Paths!$E$281&lt;=C3025*12)),Paths!$H$281,0),"n.a."))</f>
        <v>0</v>
      </c>
      <c r="K3025" s="16">
        <f>IF(NOT(Paths!$C$281=1),0,IF(Paths!$P$281="Complete",IF(IF(Paths!$O$281=0,C3025=0,AND(C3025&gt;0,Paths!$O$281&gt;(C3025-1)*12,Paths!$O$281&lt;=C3025*12)),Paths!$N$281,0),"n.a."))</f>
        <v>0</v>
      </c>
      <c r="L3025" s="16">
        <f>IF(NOT(Paths!$C$281=1),0,IF(Paths!$P$281="Complete",IF(C3025=10,Paths!$I$281,0),"n.a."))</f>
        <v>0</v>
      </c>
      <c r="M3025" s="16">
        <f>IF(NOT(Paths!$C$281=1),0,IF(Paths!$P$281="Complete",IF(AND(Paths!$D$281="EV",Paths!$E$281&lt;120,Paths!$E$281+'Operating costs'!$B$65&gt;Paths!$E$281,Paths!$E$281+'Operating costs'!$B$65&lt;=120,IF(Paths!$E$281+'Operating costs'!$B$65=0,C3025=0,AND(C3025&gt;0,Paths!$E$281+'Operating costs'!$B$65&gt;(C3025-1)*12,Paths!$E$281+'Operating costs'!$B$65&lt;=C3025*12))),'Operating costs'!$B$64,0)+IF(AND('Operating costs'!$B$67&gt;0,'Operating costs'!$B$67&lt;=120,OR(Paths!$D$281="ICE",'Operating costs'!$B$67&lt;=Paths!$E$281),IF('Operating costs'!$B$67=0,C3025=0,AND(C3025&gt;0,'Operating costs'!$B$67&gt;(C3025-1)*12,'Operating costs'!$B$67&lt;=C3025*12))),'Operating costs'!$B$66,0),"n.a."))</f>
        <v>0</v>
      </c>
      <c r="N3025" s="16">
        <f>IF(NOT(Paths!$C$281=1),0,IF(Paths!$P$281="Complete",SUM(G3025:I3025)-J3025-K3025-L3025+M3025+IF(C3025=0,Paths!$F$281,0)+IF(IF(Paths!$E$281=0,C3025=0,AND(C3025&gt;0,Paths!$E$281&gt;(C3025-1)*12,Paths!$E$281&lt;=C3025*12)),VLOOKUP(A3025,'Fleet register'!$A$7:$S$106,16,FALSE),0),"n.a."))</f>
        <v>0</v>
      </c>
      <c r="O3025" s="16">
        <f>IF(NOT(Paths!$C$281=1),0,IF(Paths!$P$281="Complete",N3025-IF(C3025=0,Paths!$F$281,0),"n.a."))</f>
        <v>0</v>
      </c>
      <c r="P3025" s="16">
        <f>IF(NOT(Paths!$C$281=1),0,IF(Paths!$P$281="Complete",O3025+L3025,"n.a."))</f>
        <v>0</v>
      </c>
      <c r="Q3025" s="16">
        <f>IF(NOT(Paths!$C$281=1),0,IF(Paths!$P$281="Complete",N3025*(1+'Operating costs'!$B$54)^-C3025,"n.a."))</f>
        <v>0</v>
      </c>
      <c r="R3025" s="16">
        <f>IF(NOT(Paths!$C$281=1),0,IF(Paths!$P$281="Complete",IF(AND(C3025=0,Paths!$E$281=0),I3025-J3025-K3025+VLOOKUP(A3025,'Fleet register'!$A$7:$S$106,15,FALSE)+VLOOKUP(A3025,'Fleet register'!$A$7:$S$106,16,FALSE),0),"n.a."))</f>
        <v>0</v>
      </c>
      <c r="S3025" s="1">
        <f>IF(NOT(Paths!$C$281=1),0,IF(Paths!$P$281="Complete",IF(C3025=0,0,Paths!$S$281*Paths!$R$281),"n.a."))</f>
        <v>0</v>
      </c>
      <c r="T3025" s="1">
        <f>IF(NOT(Paths!$C$281=1),0,IF(Paths!$P$281="Complete",IF(C3025=0,0,VLOOKUP(A3025,'Fleet register'!$A$7:$S$106,9,FALSE)*Paths!$R$281),"n.a."))</f>
        <v>0</v>
      </c>
    </row>
    <row r="3026" spans="1:20" ht="24" customHeight="1">
      <c r="A3026" s="1" t="str">
        <f>Paths!$A$281</f>
        <v>T069</v>
      </c>
      <c r="B3026" s="1">
        <f>Paths!$B$281</f>
        <v>2</v>
      </c>
      <c r="C3026" s="1">
        <v>5</v>
      </c>
      <c r="D3026" s="1">
        <v>281</v>
      </c>
      <c r="E3026" s="1">
        <f>IF(OR(Paths!$C$281=0,C3026=0),0,MAX(0,MIN(C3026*12,Paths!$E$281)-(C3026-1)*12))</f>
        <v>0</v>
      </c>
      <c r="F3026" s="1">
        <f>IF(OR(Paths!$C$281=0,C3026=0),0,12-E3026)</f>
        <v>0</v>
      </c>
      <c r="G3026" s="16">
        <f>IF(NOT(Paths!$C$281=1),0,IF(Paths!$P$281="Complete",E3026/12*(Paths!$J$281*(1+'Operating costs'!$B$51)^MAX(0,C3026-1)+Paths!$K$281*(1+'Operating costs'!$B$53)^MAX(0,C3026-1)),"n.a."))</f>
        <v>0</v>
      </c>
      <c r="H3026" s="16">
        <f>IF(NOT(Paths!$C$281=1),0,IF(Paths!$P$281="Complete",F3026/12*(Paths!$L$281*(1+IF(Paths!$D$281="EV",'Operating costs'!$B$52,'Operating costs'!$B$51))^MAX(0,C3026-1)+Paths!$M$281*(1+'Operating costs'!$B$53)^MAX(0,C3026-1)),"n.a."))</f>
        <v>0</v>
      </c>
      <c r="I3026" s="16">
        <f>IF(NOT(Paths!$C$281=1),0,IF(Paths!$P$281="Complete",IF(IF(Paths!$E$281=0,C3026=0,AND(C3026&gt;0,Paths!$E$281&gt;(C3026-1)*12,Paths!$E$281&lt;=C3026*12)),Paths!$G$281,0),"n.a."))</f>
        <v>0</v>
      </c>
      <c r="J3026" s="16">
        <f>IF(NOT(Paths!$C$281=1),0,IF(Paths!$P$281="Complete",IF(IF(Paths!$E$281=0,C3026=0,AND(C3026&gt;0,Paths!$E$281&gt;(C3026-1)*12,Paths!$E$281&lt;=C3026*12)),Paths!$H$281,0),"n.a."))</f>
        <v>0</v>
      </c>
      <c r="K3026" s="16">
        <f>IF(NOT(Paths!$C$281=1),0,IF(Paths!$P$281="Complete",IF(IF(Paths!$O$281=0,C3026=0,AND(C3026&gt;0,Paths!$O$281&gt;(C3026-1)*12,Paths!$O$281&lt;=C3026*12)),Paths!$N$281,0),"n.a."))</f>
        <v>0</v>
      </c>
      <c r="L3026" s="16">
        <f>IF(NOT(Paths!$C$281=1),0,IF(Paths!$P$281="Complete",IF(C3026=10,Paths!$I$281,0),"n.a."))</f>
        <v>0</v>
      </c>
      <c r="M3026" s="16">
        <f>IF(NOT(Paths!$C$281=1),0,IF(Paths!$P$281="Complete",IF(AND(Paths!$D$281="EV",Paths!$E$281&lt;120,Paths!$E$281+'Operating costs'!$B$65&gt;Paths!$E$281,Paths!$E$281+'Operating costs'!$B$65&lt;=120,IF(Paths!$E$281+'Operating costs'!$B$65=0,C3026=0,AND(C3026&gt;0,Paths!$E$281+'Operating costs'!$B$65&gt;(C3026-1)*12,Paths!$E$281+'Operating costs'!$B$65&lt;=C3026*12))),'Operating costs'!$B$64,0)+IF(AND('Operating costs'!$B$67&gt;0,'Operating costs'!$B$67&lt;=120,OR(Paths!$D$281="ICE",'Operating costs'!$B$67&lt;=Paths!$E$281),IF('Operating costs'!$B$67=0,C3026=0,AND(C3026&gt;0,'Operating costs'!$B$67&gt;(C3026-1)*12,'Operating costs'!$B$67&lt;=C3026*12))),'Operating costs'!$B$66,0),"n.a."))</f>
        <v>0</v>
      </c>
      <c r="N3026" s="16">
        <f>IF(NOT(Paths!$C$281=1),0,IF(Paths!$P$281="Complete",SUM(G3026:I3026)-J3026-K3026-L3026+M3026+IF(C3026=0,Paths!$F$281,0)+IF(IF(Paths!$E$281=0,C3026=0,AND(C3026&gt;0,Paths!$E$281&gt;(C3026-1)*12,Paths!$E$281&lt;=C3026*12)),VLOOKUP(A3026,'Fleet register'!$A$7:$S$106,16,FALSE),0),"n.a."))</f>
        <v>0</v>
      </c>
      <c r="O3026" s="16">
        <f>IF(NOT(Paths!$C$281=1),0,IF(Paths!$P$281="Complete",N3026-IF(C3026=0,Paths!$F$281,0),"n.a."))</f>
        <v>0</v>
      </c>
      <c r="P3026" s="16">
        <f>IF(NOT(Paths!$C$281=1),0,IF(Paths!$P$281="Complete",O3026+L3026,"n.a."))</f>
        <v>0</v>
      </c>
      <c r="Q3026" s="16">
        <f>IF(NOT(Paths!$C$281=1),0,IF(Paths!$P$281="Complete",N3026*(1+'Operating costs'!$B$54)^-C3026,"n.a."))</f>
        <v>0</v>
      </c>
      <c r="R3026" s="16">
        <f>IF(NOT(Paths!$C$281=1),0,IF(Paths!$P$281="Complete",IF(AND(C3026=0,Paths!$E$281=0),I3026-J3026-K3026+VLOOKUP(A3026,'Fleet register'!$A$7:$S$106,15,FALSE)+VLOOKUP(A3026,'Fleet register'!$A$7:$S$106,16,FALSE),0),"n.a."))</f>
        <v>0</v>
      </c>
      <c r="S3026" s="1">
        <f>IF(NOT(Paths!$C$281=1),0,IF(Paths!$P$281="Complete",IF(C3026=0,0,Paths!$S$281*Paths!$R$281),"n.a."))</f>
        <v>0</v>
      </c>
      <c r="T3026" s="1">
        <f>IF(NOT(Paths!$C$281=1),0,IF(Paths!$P$281="Complete",IF(C3026=0,0,VLOOKUP(A3026,'Fleet register'!$A$7:$S$106,9,FALSE)*Paths!$R$281),"n.a."))</f>
        <v>0</v>
      </c>
    </row>
    <row r="3027" spans="1:20" ht="24" customHeight="1">
      <c r="A3027" s="1" t="str">
        <f>Paths!$A$281</f>
        <v>T069</v>
      </c>
      <c r="B3027" s="1">
        <f>Paths!$B$281</f>
        <v>2</v>
      </c>
      <c r="C3027" s="1">
        <v>6</v>
      </c>
      <c r="D3027" s="1">
        <v>281</v>
      </c>
      <c r="E3027" s="1">
        <f>IF(OR(Paths!$C$281=0,C3027=0),0,MAX(0,MIN(C3027*12,Paths!$E$281)-(C3027-1)*12))</f>
        <v>0</v>
      </c>
      <c r="F3027" s="1">
        <f>IF(OR(Paths!$C$281=0,C3027=0),0,12-E3027)</f>
        <v>0</v>
      </c>
      <c r="G3027" s="16">
        <f>IF(NOT(Paths!$C$281=1),0,IF(Paths!$P$281="Complete",E3027/12*(Paths!$J$281*(1+'Operating costs'!$B$51)^MAX(0,C3027-1)+Paths!$K$281*(1+'Operating costs'!$B$53)^MAX(0,C3027-1)),"n.a."))</f>
        <v>0</v>
      </c>
      <c r="H3027" s="16">
        <f>IF(NOT(Paths!$C$281=1),0,IF(Paths!$P$281="Complete",F3027/12*(Paths!$L$281*(1+IF(Paths!$D$281="EV",'Operating costs'!$B$52,'Operating costs'!$B$51))^MAX(0,C3027-1)+Paths!$M$281*(1+'Operating costs'!$B$53)^MAX(0,C3027-1)),"n.a."))</f>
        <v>0</v>
      </c>
      <c r="I3027" s="16">
        <f>IF(NOT(Paths!$C$281=1),0,IF(Paths!$P$281="Complete",IF(IF(Paths!$E$281=0,C3027=0,AND(C3027&gt;0,Paths!$E$281&gt;(C3027-1)*12,Paths!$E$281&lt;=C3027*12)),Paths!$G$281,0),"n.a."))</f>
        <v>0</v>
      </c>
      <c r="J3027" s="16">
        <f>IF(NOT(Paths!$C$281=1),0,IF(Paths!$P$281="Complete",IF(IF(Paths!$E$281=0,C3027=0,AND(C3027&gt;0,Paths!$E$281&gt;(C3027-1)*12,Paths!$E$281&lt;=C3027*12)),Paths!$H$281,0),"n.a."))</f>
        <v>0</v>
      </c>
      <c r="K3027" s="16">
        <f>IF(NOT(Paths!$C$281=1),0,IF(Paths!$P$281="Complete",IF(IF(Paths!$O$281=0,C3027=0,AND(C3027&gt;0,Paths!$O$281&gt;(C3027-1)*12,Paths!$O$281&lt;=C3027*12)),Paths!$N$281,0),"n.a."))</f>
        <v>0</v>
      </c>
      <c r="L3027" s="16">
        <f>IF(NOT(Paths!$C$281=1),0,IF(Paths!$P$281="Complete",IF(C3027=10,Paths!$I$281,0),"n.a."))</f>
        <v>0</v>
      </c>
      <c r="M3027" s="16">
        <f>IF(NOT(Paths!$C$281=1),0,IF(Paths!$P$281="Complete",IF(AND(Paths!$D$281="EV",Paths!$E$281&lt;120,Paths!$E$281+'Operating costs'!$B$65&gt;Paths!$E$281,Paths!$E$281+'Operating costs'!$B$65&lt;=120,IF(Paths!$E$281+'Operating costs'!$B$65=0,C3027=0,AND(C3027&gt;0,Paths!$E$281+'Operating costs'!$B$65&gt;(C3027-1)*12,Paths!$E$281+'Operating costs'!$B$65&lt;=C3027*12))),'Operating costs'!$B$64,0)+IF(AND('Operating costs'!$B$67&gt;0,'Operating costs'!$B$67&lt;=120,OR(Paths!$D$281="ICE",'Operating costs'!$B$67&lt;=Paths!$E$281),IF('Operating costs'!$B$67=0,C3027=0,AND(C3027&gt;0,'Operating costs'!$B$67&gt;(C3027-1)*12,'Operating costs'!$B$67&lt;=C3027*12))),'Operating costs'!$B$66,0),"n.a."))</f>
        <v>0</v>
      </c>
      <c r="N3027" s="16">
        <f>IF(NOT(Paths!$C$281=1),0,IF(Paths!$P$281="Complete",SUM(G3027:I3027)-J3027-K3027-L3027+M3027+IF(C3027=0,Paths!$F$281,0)+IF(IF(Paths!$E$281=0,C3027=0,AND(C3027&gt;0,Paths!$E$281&gt;(C3027-1)*12,Paths!$E$281&lt;=C3027*12)),VLOOKUP(A3027,'Fleet register'!$A$7:$S$106,16,FALSE),0),"n.a."))</f>
        <v>0</v>
      </c>
      <c r="O3027" s="16">
        <f>IF(NOT(Paths!$C$281=1),0,IF(Paths!$P$281="Complete",N3027-IF(C3027=0,Paths!$F$281,0),"n.a."))</f>
        <v>0</v>
      </c>
      <c r="P3027" s="16">
        <f>IF(NOT(Paths!$C$281=1),0,IF(Paths!$P$281="Complete",O3027+L3027,"n.a."))</f>
        <v>0</v>
      </c>
      <c r="Q3027" s="16">
        <f>IF(NOT(Paths!$C$281=1),0,IF(Paths!$P$281="Complete",N3027*(1+'Operating costs'!$B$54)^-C3027,"n.a."))</f>
        <v>0</v>
      </c>
      <c r="R3027" s="16">
        <f>IF(NOT(Paths!$C$281=1),0,IF(Paths!$P$281="Complete",IF(AND(C3027=0,Paths!$E$281=0),I3027-J3027-K3027+VLOOKUP(A3027,'Fleet register'!$A$7:$S$106,15,FALSE)+VLOOKUP(A3027,'Fleet register'!$A$7:$S$106,16,FALSE),0),"n.a."))</f>
        <v>0</v>
      </c>
      <c r="S3027" s="1">
        <f>IF(NOT(Paths!$C$281=1),0,IF(Paths!$P$281="Complete",IF(C3027=0,0,Paths!$S$281*Paths!$R$281),"n.a."))</f>
        <v>0</v>
      </c>
      <c r="T3027" s="1">
        <f>IF(NOT(Paths!$C$281=1),0,IF(Paths!$P$281="Complete",IF(C3027=0,0,VLOOKUP(A3027,'Fleet register'!$A$7:$S$106,9,FALSE)*Paths!$R$281),"n.a."))</f>
        <v>0</v>
      </c>
    </row>
    <row r="3028" spans="1:20" ht="24" customHeight="1">
      <c r="A3028" s="1" t="str">
        <f>Paths!$A$281</f>
        <v>T069</v>
      </c>
      <c r="B3028" s="1">
        <f>Paths!$B$281</f>
        <v>2</v>
      </c>
      <c r="C3028" s="1">
        <v>7</v>
      </c>
      <c r="D3028" s="1">
        <v>281</v>
      </c>
      <c r="E3028" s="1">
        <f>IF(OR(Paths!$C$281=0,C3028=0),0,MAX(0,MIN(C3028*12,Paths!$E$281)-(C3028-1)*12))</f>
        <v>0</v>
      </c>
      <c r="F3028" s="1">
        <f>IF(OR(Paths!$C$281=0,C3028=0),0,12-E3028)</f>
        <v>0</v>
      </c>
      <c r="G3028" s="16">
        <f>IF(NOT(Paths!$C$281=1),0,IF(Paths!$P$281="Complete",E3028/12*(Paths!$J$281*(1+'Operating costs'!$B$51)^MAX(0,C3028-1)+Paths!$K$281*(1+'Operating costs'!$B$53)^MAX(0,C3028-1)),"n.a."))</f>
        <v>0</v>
      </c>
      <c r="H3028" s="16">
        <f>IF(NOT(Paths!$C$281=1),0,IF(Paths!$P$281="Complete",F3028/12*(Paths!$L$281*(1+IF(Paths!$D$281="EV",'Operating costs'!$B$52,'Operating costs'!$B$51))^MAX(0,C3028-1)+Paths!$M$281*(1+'Operating costs'!$B$53)^MAX(0,C3028-1)),"n.a."))</f>
        <v>0</v>
      </c>
      <c r="I3028" s="16">
        <f>IF(NOT(Paths!$C$281=1),0,IF(Paths!$P$281="Complete",IF(IF(Paths!$E$281=0,C3028=0,AND(C3028&gt;0,Paths!$E$281&gt;(C3028-1)*12,Paths!$E$281&lt;=C3028*12)),Paths!$G$281,0),"n.a."))</f>
        <v>0</v>
      </c>
      <c r="J3028" s="16">
        <f>IF(NOT(Paths!$C$281=1),0,IF(Paths!$P$281="Complete",IF(IF(Paths!$E$281=0,C3028=0,AND(C3028&gt;0,Paths!$E$281&gt;(C3028-1)*12,Paths!$E$281&lt;=C3028*12)),Paths!$H$281,0),"n.a."))</f>
        <v>0</v>
      </c>
      <c r="K3028" s="16">
        <f>IF(NOT(Paths!$C$281=1),0,IF(Paths!$P$281="Complete",IF(IF(Paths!$O$281=0,C3028=0,AND(C3028&gt;0,Paths!$O$281&gt;(C3028-1)*12,Paths!$O$281&lt;=C3028*12)),Paths!$N$281,0),"n.a."))</f>
        <v>0</v>
      </c>
      <c r="L3028" s="16">
        <f>IF(NOT(Paths!$C$281=1),0,IF(Paths!$P$281="Complete",IF(C3028=10,Paths!$I$281,0),"n.a."))</f>
        <v>0</v>
      </c>
      <c r="M3028" s="16">
        <f>IF(NOT(Paths!$C$281=1),0,IF(Paths!$P$281="Complete",IF(AND(Paths!$D$281="EV",Paths!$E$281&lt;120,Paths!$E$281+'Operating costs'!$B$65&gt;Paths!$E$281,Paths!$E$281+'Operating costs'!$B$65&lt;=120,IF(Paths!$E$281+'Operating costs'!$B$65=0,C3028=0,AND(C3028&gt;0,Paths!$E$281+'Operating costs'!$B$65&gt;(C3028-1)*12,Paths!$E$281+'Operating costs'!$B$65&lt;=C3028*12))),'Operating costs'!$B$64,0)+IF(AND('Operating costs'!$B$67&gt;0,'Operating costs'!$B$67&lt;=120,OR(Paths!$D$281="ICE",'Operating costs'!$B$67&lt;=Paths!$E$281),IF('Operating costs'!$B$67=0,C3028=0,AND(C3028&gt;0,'Operating costs'!$B$67&gt;(C3028-1)*12,'Operating costs'!$B$67&lt;=C3028*12))),'Operating costs'!$B$66,0),"n.a."))</f>
        <v>0</v>
      </c>
      <c r="N3028" s="16">
        <f>IF(NOT(Paths!$C$281=1),0,IF(Paths!$P$281="Complete",SUM(G3028:I3028)-J3028-K3028-L3028+M3028+IF(C3028=0,Paths!$F$281,0)+IF(IF(Paths!$E$281=0,C3028=0,AND(C3028&gt;0,Paths!$E$281&gt;(C3028-1)*12,Paths!$E$281&lt;=C3028*12)),VLOOKUP(A3028,'Fleet register'!$A$7:$S$106,16,FALSE),0),"n.a."))</f>
        <v>0</v>
      </c>
      <c r="O3028" s="16">
        <f>IF(NOT(Paths!$C$281=1),0,IF(Paths!$P$281="Complete",N3028-IF(C3028=0,Paths!$F$281,0),"n.a."))</f>
        <v>0</v>
      </c>
      <c r="P3028" s="16">
        <f>IF(NOT(Paths!$C$281=1),0,IF(Paths!$P$281="Complete",O3028+L3028,"n.a."))</f>
        <v>0</v>
      </c>
      <c r="Q3028" s="16">
        <f>IF(NOT(Paths!$C$281=1),0,IF(Paths!$P$281="Complete",N3028*(1+'Operating costs'!$B$54)^-C3028,"n.a."))</f>
        <v>0</v>
      </c>
      <c r="R3028" s="16">
        <f>IF(NOT(Paths!$C$281=1),0,IF(Paths!$P$281="Complete",IF(AND(C3028=0,Paths!$E$281=0),I3028-J3028-K3028+VLOOKUP(A3028,'Fleet register'!$A$7:$S$106,15,FALSE)+VLOOKUP(A3028,'Fleet register'!$A$7:$S$106,16,FALSE),0),"n.a."))</f>
        <v>0</v>
      </c>
      <c r="S3028" s="1">
        <f>IF(NOT(Paths!$C$281=1),0,IF(Paths!$P$281="Complete",IF(C3028=0,0,Paths!$S$281*Paths!$R$281),"n.a."))</f>
        <v>0</v>
      </c>
      <c r="T3028" s="1">
        <f>IF(NOT(Paths!$C$281=1),0,IF(Paths!$P$281="Complete",IF(C3028=0,0,VLOOKUP(A3028,'Fleet register'!$A$7:$S$106,9,FALSE)*Paths!$R$281),"n.a."))</f>
        <v>0</v>
      </c>
    </row>
    <row r="3029" spans="1:20" ht="24" customHeight="1">
      <c r="A3029" s="1" t="str">
        <f>Paths!$A$281</f>
        <v>T069</v>
      </c>
      <c r="B3029" s="1">
        <f>Paths!$B$281</f>
        <v>2</v>
      </c>
      <c r="C3029" s="1">
        <v>8</v>
      </c>
      <c r="D3029" s="1">
        <v>281</v>
      </c>
      <c r="E3029" s="1">
        <f>IF(OR(Paths!$C$281=0,C3029=0),0,MAX(0,MIN(C3029*12,Paths!$E$281)-(C3029-1)*12))</f>
        <v>0</v>
      </c>
      <c r="F3029" s="1">
        <f>IF(OR(Paths!$C$281=0,C3029=0),0,12-E3029)</f>
        <v>0</v>
      </c>
      <c r="G3029" s="16">
        <f>IF(NOT(Paths!$C$281=1),0,IF(Paths!$P$281="Complete",E3029/12*(Paths!$J$281*(1+'Operating costs'!$B$51)^MAX(0,C3029-1)+Paths!$K$281*(1+'Operating costs'!$B$53)^MAX(0,C3029-1)),"n.a."))</f>
        <v>0</v>
      </c>
      <c r="H3029" s="16">
        <f>IF(NOT(Paths!$C$281=1),0,IF(Paths!$P$281="Complete",F3029/12*(Paths!$L$281*(1+IF(Paths!$D$281="EV",'Operating costs'!$B$52,'Operating costs'!$B$51))^MAX(0,C3029-1)+Paths!$M$281*(1+'Operating costs'!$B$53)^MAX(0,C3029-1)),"n.a."))</f>
        <v>0</v>
      </c>
      <c r="I3029" s="16">
        <f>IF(NOT(Paths!$C$281=1),0,IF(Paths!$P$281="Complete",IF(IF(Paths!$E$281=0,C3029=0,AND(C3029&gt;0,Paths!$E$281&gt;(C3029-1)*12,Paths!$E$281&lt;=C3029*12)),Paths!$G$281,0),"n.a."))</f>
        <v>0</v>
      </c>
      <c r="J3029" s="16">
        <f>IF(NOT(Paths!$C$281=1),0,IF(Paths!$P$281="Complete",IF(IF(Paths!$E$281=0,C3029=0,AND(C3029&gt;0,Paths!$E$281&gt;(C3029-1)*12,Paths!$E$281&lt;=C3029*12)),Paths!$H$281,0),"n.a."))</f>
        <v>0</v>
      </c>
      <c r="K3029" s="16">
        <f>IF(NOT(Paths!$C$281=1),0,IF(Paths!$P$281="Complete",IF(IF(Paths!$O$281=0,C3029=0,AND(C3029&gt;0,Paths!$O$281&gt;(C3029-1)*12,Paths!$O$281&lt;=C3029*12)),Paths!$N$281,0),"n.a."))</f>
        <v>0</v>
      </c>
      <c r="L3029" s="16">
        <f>IF(NOT(Paths!$C$281=1),0,IF(Paths!$P$281="Complete",IF(C3029=10,Paths!$I$281,0),"n.a."))</f>
        <v>0</v>
      </c>
      <c r="M3029" s="16">
        <f>IF(NOT(Paths!$C$281=1),0,IF(Paths!$P$281="Complete",IF(AND(Paths!$D$281="EV",Paths!$E$281&lt;120,Paths!$E$281+'Operating costs'!$B$65&gt;Paths!$E$281,Paths!$E$281+'Operating costs'!$B$65&lt;=120,IF(Paths!$E$281+'Operating costs'!$B$65=0,C3029=0,AND(C3029&gt;0,Paths!$E$281+'Operating costs'!$B$65&gt;(C3029-1)*12,Paths!$E$281+'Operating costs'!$B$65&lt;=C3029*12))),'Operating costs'!$B$64,0)+IF(AND('Operating costs'!$B$67&gt;0,'Operating costs'!$B$67&lt;=120,OR(Paths!$D$281="ICE",'Operating costs'!$B$67&lt;=Paths!$E$281),IF('Operating costs'!$B$67=0,C3029=0,AND(C3029&gt;0,'Operating costs'!$B$67&gt;(C3029-1)*12,'Operating costs'!$B$67&lt;=C3029*12))),'Operating costs'!$B$66,0),"n.a."))</f>
        <v>0</v>
      </c>
      <c r="N3029" s="16">
        <f>IF(NOT(Paths!$C$281=1),0,IF(Paths!$P$281="Complete",SUM(G3029:I3029)-J3029-K3029-L3029+M3029+IF(C3029=0,Paths!$F$281,0)+IF(IF(Paths!$E$281=0,C3029=0,AND(C3029&gt;0,Paths!$E$281&gt;(C3029-1)*12,Paths!$E$281&lt;=C3029*12)),VLOOKUP(A3029,'Fleet register'!$A$7:$S$106,16,FALSE),0),"n.a."))</f>
        <v>0</v>
      </c>
      <c r="O3029" s="16">
        <f>IF(NOT(Paths!$C$281=1),0,IF(Paths!$P$281="Complete",N3029-IF(C3029=0,Paths!$F$281,0),"n.a."))</f>
        <v>0</v>
      </c>
      <c r="P3029" s="16">
        <f>IF(NOT(Paths!$C$281=1),0,IF(Paths!$P$281="Complete",O3029+L3029,"n.a."))</f>
        <v>0</v>
      </c>
      <c r="Q3029" s="16">
        <f>IF(NOT(Paths!$C$281=1),0,IF(Paths!$P$281="Complete",N3029*(1+'Operating costs'!$B$54)^-C3029,"n.a."))</f>
        <v>0</v>
      </c>
      <c r="R3029" s="16">
        <f>IF(NOT(Paths!$C$281=1),0,IF(Paths!$P$281="Complete",IF(AND(C3029=0,Paths!$E$281=0),I3029-J3029-K3029+VLOOKUP(A3029,'Fleet register'!$A$7:$S$106,15,FALSE)+VLOOKUP(A3029,'Fleet register'!$A$7:$S$106,16,FALSE),0),"n.a."))</f>
        <v>0</v>
      </c>
      <c r="S3029" s="1">
        <f>IF(NOT(Paths!$C$281=1),0,IF(Paths!$P$281="Complete",IF(C3029=0,0,Paths!$S$281*Paths!$R$281),"n.a."))</f>
        <v>0</v>
      </c>
      <c r="T3029" s="1">
        <f>IF(NOT(Paths!$C$281=1),0,IF(Paths!$P$281="Complete",IF(C3029=0,0,VLOOKUP(A3029,'Fleet register'!$A$7:$S$106,9,FALSE)*Paths!$R$281),"n.a."))</f>
        <v>0</v>
      </c>
    </row>
    <row r="3030" spans="1:20" ht="24" customHeight="1">
      <c r="A3030" s="1" t="str">
        <f>Paths!$A$281</f>
        <v>T069</v>
      </c>
      <c r="B3030" s="1">
        <f>Paths!$B$281</f>
        <v>2</v>
      </c>
      <c r="C3030" s="1">
        <v>9</v>
      </c>
      <c r="D3030" s="1">
        <v>281</v>
      </c>
      <c r="E3030" s="1">
        <f>IF(OR(Paths!$C$281=0,C3030=0),0,MAX(0,MIN(C3030*12,Paths!$E$281)-(C3030-1)*12))</f>
        <v>0</v>
      </c>
      <c r="F3030" s="1">
        <f>IF(OR(Paths!$C$281=0,C3030=0),0,12-E3030)</f>
        <v>0</v>
      </c>
      <c r="G3030" s="16">
        <f>IF(NOT(Paths!$C$281=1),0,IF(Paths!$P$281="Complete",E3030/12*(Paths!$J$281*(1+'Operating costs'!$B$51)^MAX(0,C3030-1)+Paths!$K$281*(1+'Operating costs'!$B$53)^MAX(0,C3030-1)),"n.a."))</f>
        <v>0</v>
      </c>
      <c r="H3030" s="16">
        <f>IF(NOT(Paths!$C$281=1),0,IF(Paths!$P$281="Complete",F3030/12*(Paths!$L$281*(1+IF(Paths!$D$281="EV",'Operating costs'!$B$52,'Operating costs'!$B$51))^MAX(0,C3030-1)+Paths!$M$281*(1+'Operating costs'!$B$53)^MAX(0,C3030-1)),"n.a."))</f>
        <v>0</v>
      </c>
      <c r="I3030" s="16">
        <f>IF(NOT(Paths!$C$281=1),0,IF(Paths!$P$281="Complete",IF(IF(Paths!$E$281=0,C3030=0,AND(C3030&gt;0,Paths!$E$281&gt;(C3030-1)*12,Paths!$E$281&lt;=C3030*12)),Paths!$G$281,0),"n.a."))</f>
        <v>0</v>
      </c>
      <c r="J3030" s="16">
        <f>IF(NOT(Paths!$C$281=1),0,IF(Paths!$P$281="Complete",IF(IF(Paths!$E$281=0,C3030=0,AND(C3030&gt;0,Paths!$E$281&gt;(C3030-1)*12,Paths!$E$281&lt;=C3030*12)),Paths!$H$281,0),"n.a."))</f>
        <v>0</v>
      </c>
      <c r="K3030" s="16">
        <f>IF(NOT(Paths!$C$281=1),0,IF(Paths!$P$281="Complete",IF(IF(Paths!$O$281=0,C3030=0,AND(C3030&gt;0,Paths!$O$281&gt;(C3030-1)*12,Paths!$O$281&lt;=C3030*12)),Paths!$N$281,0),"n.a."))</f>
        <v>0</v>
      </c>
      <c r="L3030" s="16">
        <f>IF(NOT(Paths!$C$281=1),0,IF(Paths!$P$281="Complete",IF(C3030=10,Paths!$I$281,0),"n.a."))</f>
        <v>0</v>
      </c>
      <c r="M3030" s="16">
        <f>IF(NOT(Paths!$C$281=1),0,IF(Paths!$P$281="Complete",IF(AND(Paths!$D$281="EV",Paths!$E$281&lt;120,Paths!$E$281+'Operating costs'!$B$65&gt;Paths!$E$281,Paths!$E$281+'Operating costs'!$B$65&lt;=120,IF(Paths!$E$281+'Operating costs'!$B$65=0,C3030=0,AND(C3030&gt;0,Paths!$E$281+'Operating costs'!$B$65&gt;(C3030-1)*12,Paths!$E$281+'Operating costs'!$B$65&lt;=C3030*12))),'Operating costs'!$B$64,0)+IF(AND('Operating costs'!$B$67&gt;0,'Operating costs'!$B$67&lt;=120,OR(Paths!$D$281="ICE",'Operating costs'!$B$67&lt;=Paths!$E$281),IF('Operating costs'!$B$67=0,C3030=0,AND(C3030&gt;0,'Operating costs'!$B$67&gt;(C3030-1)*12,'Operating costs'!$B$67&lt;=C3030*12))),'Operating costs'!$B$66,0),"n.a."))</f>
        <v>0</v>
      </c>
      <c r="N3030" s="16">
        <f>IF(NOT(Paths!$C$281=1),0,IF(Paths!$P$281="Complete",SUM(G3030:I3030)-J3030-K3030-L3030+M3030+IF(C3030=0,Paths!$F$281,0)+IF(IF(Paths!$E$281=0,C3030=0,AND(C3030&gt;0,Paths!$E$281&gt;(C3030-1)*12,Paths!$E$281&lt;=C3030*12)),VLOOKUP(A3030,'Fleet register'!$A$7:$S$106,16,FALSE),0),"n.a."))</f>
        <v>0</v>
      </c>
      <c r="O3030" s="16">
        <f>IF(NOT(Paths!$C$281=1),0,IF(Paths!$P$281="Complete",N3030-IF(C3030=0,Paths!$F$281,0),"n.a."))</f>
        <v>0</v>
      </c>
      <c r="P3030" s="16">
        <f>IF(NOT(Paths!$C$281=1),0,IF(Paths!$P$281="Complete",O3030+L3030,"n.a."))</f>
        <v>0</v>
      </c>
      <c r="Q3030" s="16">
        <f>IF(NOT(Paths!$C$281=1),0,IF(Paths!$P$281="Complete",N3030*(1+'Operating costs'!$B$54)^-C3030,"n.a."))</f>
        <v>0</v>
      </c>
      <c r="R3030" s="16">
        <f>IF(NOT(Paths!$C$281=1),0,IF(Paths!$P$281="Complete",IF(AND(C3030=0,Paths!$E$281=0),I3030-J3030-K3030+VLOOKUP(A3030,'Fleet register'!$A$7:$S$106,15,FALSE)+VLOOKUP(A3030,'Fleet register'!$A$7:$S$106,16,FALSE),0),"n.a."))</f>
        <v>0</v>
      </c>
      <c r="S3030" s="1">
        <f>IF(NOT(Paths!$C$281=1),0,IF(Paths!$P$281="Complete",IF(C3030=0,0,Paths!$S$281*Paths!$R$281),"n.a."))</f>
        <v>0</v>
      </c>
      <c r="T3030" s="1">
        <f>IF(NOT(Paths!$C$281=1),0,IF(Paths!$P$281="Complete",IF(C3030=0,0,VLOOKUP(A3030,'Fleet register'!$A$7:$S$106,9,FALSE)*Paths!$R$281),"n.a."))</f>
        <v>0</v>
      </c>
    </row>
    <row r="3031" spans="1:20" ht="24" customHeight="1">
      <c r="A3031" s="1" t="str">
        <f>Paths!$A$281</f>
        <v>T069</v>
      </c>
      <c r="B3031" s="1">
        <f>Paths!$B$281</f>
        <v>2</v>
      </c>
      <c r="C3031" s="1">
        <v>10</v>
      </c>
      <c r="D3031" s="1">
        <v>281</v>
      </c>
      <c r="E3031" s="1">
        <f>IF(OR(Paths!$C$281=0,C3031=0),0,MAX(0,MIN(C3031*12,Paths!$E$281)-(C3031-1)*12))</f>
        <v>0</v>
      </c>
      <c r="F3031" s="1">
        <f>IF(OR(Paths!$C$281=0,C3031=0),0,12-E3031)</f>
        <v>0</v>
      </c>
      <c r="G3031" s="16">
        <f>IF(NOT(Paths!$C$281=1),0,IF(Paths!$P$281="Complete",E3031/12*(Paths!$J$281*(1+'Operating costs'!$B$51)^MAX(0,C3031-1)+Paths!$K$281*(1+'Operating costs'!$B$53)^MAX(0,C3031-1)),"n.a."))</f>
        <v>0</v>
      </c>
      <c r="H3031" s="16">
        <f>IF(NOT(Paths!$C$281=1),0,IF(Paths!$P$281="Complete",F3031/12*(Paths!$L$281*(1+IF(Paths!$D$281="EV",'Operating costs'!$B$52,'Operating costs'!$B$51))^MAX(0,C3031-1)+Paths!$M$281*(1+'Operating costs'!$B$53)^MAX(0,C3031-1)),"n.a."))</f>
        <v>0</v>
      </c>
      <c r="I3031" s="16">
        <f>IF(NOT(Paths!$C$281=1),0,IF(Paths!$P$281="Complete",IF(IF(Paths!$E$281=0,C3031=0,AND(C3031&gt;0,Paths!$E$281&gt;(C3031-1)*12,Paths!$E$281&lt;=C3031*12)),Paths!$G$281,0),"n.a."))</f>
        <v>0</v>
      </c>
      <c r="J3031" s="16">
        <f>IF(NOT(Paths!$C$281=1),0,IF(Paths!$P$281="Complete",IF(IF(Paths!$E$281=0,C3031=0,AND(C3031&gt;0,Paths!$E$281&gt;(C3031-1)*12,Paths!$E$281&lt;=C3031*12)),Paths!$H$281,0),"n.a."))</f>
        <v>0</v>
      </c>
      <c r="K3031" s="16">
        <f>IF(NOT(Paths!$C$281=1),0,IF(Paths!$P$281="Complete",IF(IF(Paths!$O$281=0,C3031=0,AND(C3031&gt;0,Paths!$O$281&gt;(C3031-1)*12,Paths!$O$281&lt;=C3031*12)),Paths!$N$281,0),"n.a."))</f>
        <v>0</v>
      </c>
      <c r="L3031" s="16">
        <f>IF(NOT(Paths!$C$281=1),0,IF(Paths!$P$281="Complete",IF(C3031=10,Paths!$I$281,0),"n.a."))</f>
        <v>0</v>
      </c>
      <c r="M3031" s="16">
        <f>IF(NOT(Paths!$C$281=1),0,IF(Paths!$P$281="Complete",IF(AND(Paths!$D$281="EV",Paths!$E$281&lt;120,Paths!$E$281+'Operating costs'!$B$65&gt;Paths!$E$281,Paths!$E$281+'Operating costs'!$B$65&lt;=120,IF(Paths!$E$281+'Operating costs'!$B$65=0,C3031=0,AND(C3031&gt;0,Paths!$E$281+'Operating costs'!$B$65&gt;(C3031-1)*12,Paths!$E$281+'Operating costs'!$B$65&lt;=C3031*12))),'Operating costs'!$B$64,0)+IF(AND('Operating costs'!$B$67&gt;0,'Operating costs'!$B$67&lt;=120,OR(Paths!$D$281="ICE",'Operating costs'!$B$67&lt;=Paths!$E$281),IF('Operating costs'!$B$67=0,C3031=0,AND(C3031&gt;0,'Operating costs'!$B$67&gt;(C3031-1)*12,'Operating costs'!$B$67&lt;=C3031*12))),'Operating costs'!$B$66,0),"n.a."))</f>
        <v>0</v>
      </c>
      <c r="N3031" s="16">
        <f>IF(NOT(Paths!$C$281=1),0,IF(Paths!$P$281="Complete",SUM(G3031:I3031)-J3031-K3031-L3031+M3031+IF(C3031=0,Paths!$F$281,0)+IF(IF(Paths!$E$281=0,C3031=0,AND(C3031&gt;0,Paths!$E$281&gt;(C3031-1)*12,Paths!$E$281&lt;=C3031*12)),VLOOKUP(A3031,'Fleet register'!$A$7:$S$106,16,FALSE),0),"n.a."))</f>
        <v>0</v>
      </c>
      <c r="O3031" s="16">
        <f>IF(NOT(Paths!$C$281=1),0,IF(Paths!$P$281="Complete",N3031-IF(C3031=0,Paths!$F$281,0),"n.a."))</f>
        <v>0</v>
      </c>
      <c r="P3031" s="16">
        <f>IF(NOT(Paths!$C$281=1),0,IF(Paths!$P$281="Complete",O3031+L3031,"n.a."))</f>
        <v>0</v>
      </c>
      <c r="Q3031" s="16">
        <f>IF(NOT(Paths!$C$281=1),0,IF(Paths!$P$281="Complete",N3031*(1+'Operating costs'!$B$54)^-C3031,"n.a."))</f>
        <v>0</v>
      </c>
      <c r="R3031" s="16">
        <f>IF(NOT(Paths!$C$281=1),0,IF(Paths!$P$281="Complete",IF(AND(C3031=0,Paths!$E$281=0),I3031-J3031-K3031+VLOOKUP(A3031,'Fleet register'!$A$7:$S$106,15,FALSE)+VLOOKUP(A3031,'Fleet register'!$A$7:$S$106,16,FALSE),0),"n.a."))</f>
        <v>0</v>
      </c>
      <c r="S3031" s="1">
        <f>IF(NOT(Paths!$C$281=1),0,IF(Paths!$P$281="Complete",IF(C3031=0,0,Paths!$S$281*Paths!$R$281),"n.a."))</f>
        <v>0</v>
      </c>
      <c r="T3031" s="1">
        <f>IF(NOT(Paths!$C$281=1),0,IF(Paths!$P$281="Complete",IF(C3031=0,0,VLOOKUP(A3031,'Fleet register'!$A$7:$S$106,9,FALSE)*Paths!$R$281),"n.a."))</f>
        <v>0</v>
      </c>
    </row>
    <row r="3032" spans="1:20" ht="24" customHeight="1">
      <c r="A3032" s="1" t="str">
        <f>Paths!$A$282</f>
        <v>T069</v>
      </c>
      <c r="B3032" s="1">
        <f>Paths!$B$282</f>
        <v>3</v>
      </c>
      <c r="C3032" s="1">
        <v>0</v>
      </c>
      <c r="D3032" s="1">
        <v>282</v>
      </c>
      <c r="E3032" s="1">
        <f>IF(OR(Paths!$C$282=0,C3032=0),0,MAX(0,MIN(C3032*12,Paths!$E$282)-(C3032-1)*12))</f>
        <v>0</v>
      </c>
      <c r="F3032" s="1">
        <f>IF(OR(Paths!$C$282=0,C3032=0),0,12-E3032)</f>
        <v>0</v>
      </c>
      <c r="G3032" s="16">
        <f>IF(NOT(Paths!$C$282=1),0,IF(Paths!$P$282="Complete",E3032/12*(Paths!$J$282*(1+'Operating costs'!$B$51)^MAX(0,C3032-1)+Paths!$K$282*(1+'Operating costs'!$B$53)^MAX(0,C3032-1)),"n.a."))</f>
        <v>0</v>
      </c>
      <c r="H3032" s="16">
        <f>IF(NOT(Paths!$C$282=1),0,IF(Paths!$P$282="Complete",F3032/12*(Paths!$L$282*(1+IF(Paths!$D$282="EV",'Operating costs'!$B$52,'Operating costs'!$B$51))^MAX(0,C3032-1)+Paths!$M$282*(1+'Operating costs'!$B$53)^MAX(0,C3032-1)),"n.a."))</f>
        <v>0</v>
      </c>
      <c r="I3032" s="16">
        <f>IF(NOT(Paths!$C$282=1),0,IF(Paths!$P$282="Complete",IF(IF(Paths!$E$282=0,C3032=0,AND(C3032&gt;0,Paths!$E$282&gt;(C3032-1)*12,Paths!$E$282&lt;=C3032*12)),Paths!$G$282,0),"n.a."))</f>
        <v>0</v>
      </c>
      <c r="J3032" s="16">
        <f>IF(NOT(Paths!$C$282=1),0,IF(Paths!$P$282="Complete",IF(IF(Paths!$E$282=0,C3032=0,AND(C3032&gt;0,Paths!$E$282&gt;(C3032-1)*12,Paths!$E$282&lt;=C3032*12)),Paths!$H$282,0),"n.a."))</f>
        <v>0</v>
      </c>
      <c r="K3032" s="16">
        <f>IF(NOT(Paths!$C$282=1),0,IF(Paths!$P$282="Complete",IF(IF(Paths!$O$282=0,C3032=0,AND(C3032&gt;0,Paths!$O$282&gt;(C3032-1)*12,Paths!$O$282&lt;=C3032*12)),Paths!$N$282,0),"n.a."))</f>
        <v>0</v>
      </c>
      <c r="L3032" s="16">
        <f>IF(NOT(Paths!$C$282=1),0,IF(Paths!$P$282="Complete",IF(C3032=10,Paths!$I$282,0),"n.a."))</f>
        <v>0</v>
      </c>
      <c r="M3032" s="16">
        <f>IF(NOT(Paths!$C$282=1),0,IF(Paths!$P$282="Complete",IF(AND(Paths!$D$282="EV",Paths!$E$282&lt;120,Paths!$E$282+'Operating costs'!$B$65&gt;Paths!$E$282,Paths!$E$282+'Operating costs'!$B$65&lt;=120,IF(Paths!$E$282+'Operating costs'!$B$65=0,C3032=0,AND(C3032&gt;0,Paths!$E$282+'Operating costs'!$B$65&gt;(C3032-1)*12,Paths!$E$282+'Operating costs'!$B$65&lt;=C3032*12))),'Operating costs'!$B$64,0)+IF(AND('Operating costs'!$B$67&gt;0,'Operating costs'!$B$67&lt;=120,OR(Paths!$D$282="ICE",'Operating costs'!$B$67&lt;=Paths!$E$282),IF('Operating costs'!$B$67=0,C3032=0,AND(C3032&gt;0,'Operating costs'!$B$67&gt;(C3032-1)*12,'Operating costs'!$B$67&lt;=C3032*12))),'Operating costs'!$B$66,0),"n.a."))</f>
        <v>0</v>
      </c>
      <c r="N3032" s="16">
        <f>IF(NOT(Paths!$C$282=1),0,IF(Paths!$P$282="Complete",SUM(G3032:I3032)-J3032-K3032-L3032+M3032+IF(C3032=0,Paths!$F$282,0)+IF(IF(Paths!$E$282=0,C3032=0,AND(C3032&gt;0,Paths!$E$282&gt;(C3032-1)*12,Paths!$E$282&lt;=C3032*12)),VLOOKUP(A3032,'Fleet register'!$A$7:$S$106,16,FALSE),0),"n.a."))</f>
        <v>0</v>
      </c>
      <c r="O3032" s="16">
        <f>IF(NOT(Paths!$C$282=1),0,IF(Paths!$P$282="Complete",N3032-IF(C3032=0,Paths!$F$282,0),"n.a."))</f>
        <v>0</v>
      </c>
      <c r="P3032" s="16">
        <f>IF(NOT(Paths!$C$282=1),0,IF(Paths!$P$282="Complete",O3032+L3032,"n.a."))</f>
        <v>0</v>
      </c>
      <c r="Q3032" s="16">
        <f>IF(NOT(Paths!$C$282=1),0,IF(Paths!$P$282="Complete",N3032*(1+'Operating costs'!$B$54)^-C3032,"n.a."))</f>
        <v>0</v>
      </c>
      <c r="R3032" s="16">
        <f>IF(NOT(Paths!$C$282=1),0,IF(Paths!$P$282="Complete",IF(AND(C3032=0,Paths!$E$282=0),I3032-J3032-K3032+VLOOKUP(A3032,'Fleet register'!$A$7:$S$106,15,FALSE)+VLOOKUP(A3032,'Fleet register'!$A$7:$S$106,16,FALSE),0),"n.a."))</f>
        <v>0</v>
      </c>
      <c r="S3032" s="1">
        <f>IF(NOT(Paths!$C$282=1),0,IF(Paths!$P$282="Complete",IF(C3032=0,0,Paths!$S$282*Paths!$R$282),"n.a."))</f>
        <v>0</v>
      </c>
      <c r="T3032" s="1">
        <f>IF(NOT(Paths!$C$282=1),0,IF(Paths!$P$282="Complete",IF(C3032=0,0,VLOOKUP(A3032,'Fleet register'!$A$7:$S$106,9,FALSE)*Paths!$R$282),"n.a."))</f>
        <v>0</v>
      </c>
    </row>
    <row r="3033" spans="1:20" ht="24" customHeight="1">
      <c r="A3033" s="1" t="str">
        <f>Paths!$A$282</f>
        <v>T069</v>
      </c>
      <c r="B3033" s="1">
        <f>Paths!$B$282</f>
        <v>3</v>
      </c>
      <c r="C3033" s="1">
        <v>1</v>
      </c>
      <c r="D3033" s="1">
        <v>282</v>
      </c>
      <c r="E3033" s="1">
        <f>IF(OR(Paths!$C$282=0,C3033=0),0,MAX(0,MIN(C3033*12,Paths!$E$282)-(C3033-1)*12))</f>
        <v>0</v>
      </c>
      <c r="F3033" s="1">
        <f>IF(OR(Paths!$C$282=0,C3033=0),0,12-E3033)</f>
        <v>0</v>
      </c>
      <c r="G3033" s="16">
        <f>IF(NOT(Paths!$C$282=1),0,IF(Paths!$P$282="Complete",E3033/12*(Paths!$J$282*(1+'Operating costs'!$B$51)^MAX(0,C3033-1)+Paths!$K$282*(1+'Operating costs'!$B$53)^MAX(0,C3033-1)),"n.a."))</f>
        <v>0</v>
      </c>
      <c r="H3033" s="16">
        <f>IF(NOT(Paths!$C$282=1),0,IF(Paths!$P$282="Complete",F3033/12*(Paths!$L$282*(1+IF(Paths!$D$282="EV",'Operating costs'!$B$52,'Operating costs'!$B$51))^MAX(0,C3033-1)+Paths!$M$282*(1+'Operating costs'!$B$53)^MAX(0,C3033-1)),"n.a."))</f>
        <v>0</v>
      </c>
      <c r="I3033" s="16">
        <f>IF(NOT(Paths!$C$282=1),0,IF(Paths!$P$282="Complete",IF(IF(Paths!$E$282=0,C3033=0,AND(C3033&gt;0,Paths!$E$282&gt;(C3033-1)*12,Paths!$E$282&lt;=C3033*12)),Paths!$G$282,0),"n.a."))</f>
        <v>0</v>
      </c>
      <c r="J3033" s="16">
        <f>IF(NOT(Paths!$C$282=1),0,IF(Paths!$P$282="Complete",IF(IF(Paths!$E$282=0,C3033=0,AND(C3033&gt;0,Paths!$E$282&gt;(C3033-1)*12,Paths!$E$282&lt;=C3033*12)),Paths!$H$282,0),"n.a."))</f>
        <v>0</v>
      </c>
      <c r="K3033" s="16">
        <f>IF(NOT(Paths!$C$282=1),0,IF(Paths!$P$282="Complete",IF(IF(Paths!$O$282=0,C3033=0,AND(C3033&gt;0,Paths!$O$282&gt;(C3033-1)*12,Paths!$O$282&lt;=C3033*12)),Paths!$N$282,0),"n.a."))</f>
        <v>0</v>
      </c>
      <c r="L3033" s="16">
        <f>IF(NOT(Paths!$C$282=1),0,IF(Paths!$P$282="Complete",IF(C3033=10,Paths!$I$282,0),"n.a."))</f>
        <v>0</v>
      </c>
      <c r="M3033" s="16">
        <f>IF(NOT(Paths!$C$282=1),0,IF(Paths!$P$282="Complete",IF(AND(Paths!$D$282="EV",Paths!$E$282&lt;120,Paths!$E$282+'Operating costs'!$B$65&gt;Paths!$E$282,Paths!$E$282+'Operating costs'!$B$65&lt;=120,IF(Paths!$E$282+'Operating costs'!$B$65=0,C3033=0,AND(C3033&gt;0,Paths!$E$282+'Operating costs'!$B$65&gt;(C3033-1)*12,Paths!$E$282+'Operating costs'!$B$65&lt;=C3033*12))),'Operating costs'!$B$64,0)+IF(AND('Operating costs'!$B$67&gt;0,'Operating costs'!$B$67&lt;=120,OR(Paths!$D$282="ICE",'Operating costs'!$B$67&lt;=Paths!$E$282),IF('Operating costs'!$B$67=0,C3033=0,AND(C3033&gt;0,'Operating costs'!$B$67&gt;(C3033-1)*12,'Operating costs'!$B$67&lt;=C3033*12))),'Operating costs'!$B$66,0),"n.a."))</f>
        <v>0</v>
      </c>
      <c r="N3033" s="16">
        <f>IF(NOT(Paths!$C$282=1),0,IF(Paths!$P$282="Complete",SUM(G3033:I3033)-J3033-K3033-L3033+M3033+IF(C3033=0,Paths!$F$282,0)+IF(IF(Paths!$E$282=0,C3033=0,AND(C3033&gt;0,Paths!$E$282&gt;(C3033-1)*12,Paths!$E$282&lt;=C3033*12)),VLOOKUP(A3033,'Fleet register'!$A$7:$S$106,16,FALSE),0),"n.a."))</f>
        <v>0</v>
      </c>
      <c r="O3033" s="16">
        <f>IF(NOT(Paths!$C$282=1),0,IF(Paths!$P$282="Complete",N3033-IF(C3033=0,Paths!$F$282,0),"n.a."))</f>
        <v>0</v>
      </c>
      <c r="P3033" s="16">
        <f>IF(NOT(Paths!$C$282=1),0,IF(Paths!$P$282="Complete",O3033+L3033,"n.a."))</f>
        <v>0</v>
      </c>
      <c r="Q3033" s="16">
        <f>IF(NOT(Paths!$C$282=1),0,IF(Paths!$P$282="Complete",N3033*(1+'Operating costs'!$B$54)^-C3033,"n.a."))</f>
        <v>0</v>
      </c>
      <c r="R3033" s="16">
        <f>IF(NOT(Paths!$C$282=1),0,IF(Paths!$P$282="Complete",IF(AND(C3033=0,Paths!$E$282=0),I3033-J3033-K3033+VLOOKUP(A3033,'Fleet register'!$A$7:$S$106,15,FALSE)+VLOOKUP(A3033,'Fleet register'!$A$7:$S$106,16,FALSE),0),"n.a."))</f>
        <v>0</v>
      </c>
      <c r="S3033" s="1">
        <f>IF(NOT(Paths!$C$282=1),0,IF(Paths!$P$282="Complete",IF(C3033=0,0,Paths!$S$282*Paths!$R$282),"n.a."))</f>
        <v>0</v>
      </c>
      <c r="T3033" s="1">
        <f>IF(NOT(Paths!$C$282=1),0,IF(Paths!$P$282="Complete",IF(C3033=0,0,VLOOKUP(A3033,'Fleet register'!$A$7:$S$106,9,FALSE)*Paths!$R$282),"n.a."))</f>
        <v>0</v>
      </c>
    </row>
    <row r="3034" spans="1:20" ht="24" customHeight="1">
      <c r="A3034" s="1" t="str">
        <f>Paths!$A$282</f>
        <v>T069</v>
      </c>
      <c r="B3034" s="1">
        <f>Paths!$B$282</f>
        <v>3</v>
      </c>
      <c r="C3034" s="1">
        <v>2</v>
      </c>
      <c r="D3034" s="1">
        <v>282</v>
      </c>
      <c r="E3034" s="1">
        <f>IF(OR(Paths!$C$282=0,C3034=0),0,MAX(0,MIN(C3034*12,Paths!$E$282)-(C3034-1)*12))</f>
        <v>0</v>
      </c>
      <c r="F3034" s="1">
        <f>IF(OR(Paths!$C$282=0,C3034=0),0,12-E3034)</f>
        <v>0</v>
      </c>
      <c r="G3034" s="16">
        <f>IF(NOT(Paths!$C$282=1),0,IF(Paths!$P$282="Complete",E3034/12*(Paths!$J$282*(1+'Operating costs'!$B$51)^MAX(0,C3034-1)+Paths!$K$282*(1+'Operating costs'!$B$53)^MAX(0,C3034-1)),"n.a."))</f>
        <v>0</v>
      </c>
      <c r="H3034" s="16">
        <f>IF(NOT(Paths!$C$282=1),0,IF(Paths!$P$282="Complete",F3034/12*(Paths!$L$282*(1+IF(Paths!$D$282="EV",'Operating costs'!$B$52,'Operating costs'!$B$51))^MAX(0,C3034-1)+Paths!$M$282*(1+'Operating costs'!$B$53)^MAX(0,C3034-1)),"n.a."))</f>
        <v>0</v>
      </c>
      <c r="I3034" s="16">
        <f>IF(NOT(Paths!$C$282=1),0,IF(Paths!$P$282="Complete",IF(IF(Paths!$E$282=0,C3034=0,AND(C3034&gt;0,Paths!$E$282&gt;(C3034-1)*12,Paths!$E$282&lt;=C3034*12)),Paths!$G$282,0),"n.a."))</f>
        <v>0</v>
      </c>
      <c r="J3034" s="16">
        <f>IF(NOT(Paths!$C$282=1),0,IF(Paths!$P$282="Complete",IF(IF(Paths!$E$282=0,C3034=0,AND(C3034&gt;0,Paths!$E$282&gt;(C3034-1)*12,Paths!$E$282&lt;=C3034*12)),Paths!$H$282,0),"n.a."))</f>
        <v>0</v>
      </c>
      <c r="K3034" s="16">
        <f>IF(NOT(Paths!$C$282=1),0,IF(Paths!$P$282="Complete",IF(IF(Paths!$O$282=0,C3034=0,AND(C3034&gt;0,Paths!$O$282&gt;(C3034-1)*12,Paths!$O$282&lt;=C3034*12)),Paths!$N$282,0),"n.a."))</f>
        <v>0</v>
      </c>
      <c r="L3034" s="16">
        <f>IF(NOT(Paths!$C$282=1),0,IF(Paths!$P$282="Complete",IF(C3034=10,Paths!$I$282,0),"n.a."))</f>
        <v>0</v>
      </c>
      <c r="M3034" s="16">
        <f>IF(NOT(Paths!$C$282=1),0,IF(Paths!$P$282="Complete",IF(AND(Paths!$D$282="EV",Paths!$E$282&lt;120,Paths!$E$282+'Operating costs'!$B$65&gt;Paths!$E$282,Paths!$E$282+'Operating costs'!$B$65&lt;=120,IF(Paths!$E$282+'Operating costs'!$B$65=0,C3034=0,AND(C3034&gt;0,Paths!$E$282+'Operating costs'!$B$65&gt;(C3034-1)*12,Paths!$E$282+'Operating costs'!$B$65&lt;=C3034*12))),'Operating costs'!$B$64,0)+IF(AND('Operating costs'!$B$67&gt;0,'Operating costs'!$B$67&lt;=120,OR(Paths!$D$282="ICE",'Operating costs'!$B$67&lt;=Paths!$E$282),IF('Operating costs'!$B$67=0,C3034=0,AND(C3034&gt;0,'Operating costs'!$B$67&gt;(C3034-1)*12,'Operating costs'!$B$67&lt;=C3034*12))),'Operating costs'!$B$66,0),"n.a."))</f>
        <v>0</v>
      </c>
      <c r="N3034" s="16">
        <f>IF(NOT(Paths!$C$282=1),0,IF(Paths!$P$282="Complete",SUM(G3034:I3034)-J3034-K3034-L3034+M3034+IF(C3034=0,Paths!$F$282,0)+IF(IF(Paths!$E$282=0,C3034=0,AND(C3034&gt;0,Paths!$E$282&gt;(C3034-1)*12,Paths!$E$282&lt;=C3034*12)),VLOOKUP(A3034,'Fleet register'!$A$7:$S$106,16,FALSE),0),"n.a."))</f>
        <v>0</v>
      </c>
      <c r="O3034" s="16">
        <f>IF(NOT(Paths!$C$282=1),0,IF(Paths!$P$282="Complete",N3034-IF(C3034=0,Paths!$F$282,0),"n.a."))</f>
        <v>0</v>
      </c>
      <c r="P3034" s="16">
        <f>IF(NOT(Paths!$C$282=1),0,IF(Paths!$P$282="Complete",O3034+L3034,"n.a."))</f>
        <v>0</v>
      </c>
      <c r="Q3034" s="16">
        <f>IF(NOT(Paths!$C$282=1),0,IF(Paths!$P$282="Complete",N3034*(1+'Operating costs'!$B$54)^-C3034,"n.a."))</f>
        <v>0</v>
      </c>
      <c r="R3034" s="16">
        <f>IF(NOT(Paths!$C$282=1),0,IF(Paths!$P$282="Complete",IF(AND(C3034=0,Paths!$E$282=0),I3034-J3034-K3034+VLOOKUP(A3034,'Fleet register'!$A$7:$S$106,15,FALSE)+VLOOKUP(A3034,'Fleet register'!$A$7:$S$106,16,FALSE),0),"n.a."))</f>
        <v>0</v>
      </c>
      <c r="S3034" s="1">
        <f>IF(NOT(Paths!$C$282=1),0,IF(Paths!$P$282="Complete",IF(C3034=0,0,Paths!$S$282*Paths!$R$282),"n.a."))</f>
        <v>0</v>
      </c>
      <c r="T3034" s="1">
        <f>IF(NOT(Paths!$C$282=1),0,IF(Paths!$P$282="Complete",IF(C3034=0,0,VLOOKUP(A3034,'Fleet register'!$A$7:$S$106,9,FALSE)*Paths!$R$282),"n.a."))</f>
        <v>0</v>
      </c>
    </row>
    <row r="3035" spans="1:20" ht="24" customHeight="1">
      <c r="A3035" s="1" t="str">
        <f>Paths!$A$282</f>
        <v>T069</v>
      </c>
      <c r="B3035" s="1">
        <f>Paths!$B$282</f>
        <v>3</v>
      </c>
      <c r="C3035" s="1">
        <v>3</v>
      </c>
      <c r="D3035" s="1">
        <v>282</v>
      </c>
      <c r="E3035" s="1">
        <f>IF(OR(Paths!$C$282=0,C3035=0),0,MAX(0,MIN(C3035*12,Paths!$E$282)-(C3035-1)*12))</f>
        <v>0</v>
      </c>
      <c r="F3035" s="1">
        <f>IF(OR(Paths!$C$282=0,C3035=0),0,12-E3035)</f>
        <v>0</v>
      </c>
      <c r="G3035" s="16">
        <f>IF(NOT(Paths!$C$282=1),0,IF(Paths!$P$282="Complete",E3035/12*(Paths!$J$282*(1+'Operating costs'!$B$51)^MAX(0,C3035-1)+Paths!$K$282*(1+'Operating costs'!$B$53)^MAX(0,C3035-1)),"n.a."))</f>
        <v>0</v>
      </c>
      <c r="H3035" s="16">
        <f>IF(NOT(Paths!$C$282=1),0,IF(Paths!$P$282="Complete",F3035/12*(Paths!$L$282*(1+IF(Paths!$D$282="EV",'Operating costs'!$B$52,'Operating costs'!$B$51))^MAX(0,C3035-1)+Paths!$M$282*(1+'Operating costs'!$B$53)^MAX(0,C3035-1)),"n.a."))</f>
        <v>0</v>
      </c>
      <c r="I3035" s="16">
        <f>IF(NOT(Paths!$C$282=1),0,IF(Paths!$P$282="Complete",IF(IF(Paths!$E$282=0,C3035=0,AND(C3035&gt;0,Paths!$E$282&gt;(C3035-1)*12,Paths!$E$282&lt;=C3035*12)),Paths!$G$282,0),"n.a."))</f>
        <v>0</v>
      </c>
      <c r="J3035" s="16">
        <f>IF(NOT(Paths!$C$282=1),0,IF(Paths!$P$282="Complete",IF(IF(Paths!$E$282=0,C3035=0,AND(C3035&gt;0,Paths!$E$282&gt;(C3035-1)*12,Paths!$E$282&lt;=C3035*12)),Paths!$H$282,0),"n.a."))</f>
        <v>0</v>
      </c>
      <c r="K3035" s="16">
        <f>IF(NOT(Paths!$C$282=1),0,IF(Paths!$P$282="Complete",IF(IF(Paths!$O$282=0,C3035=0,AND(C3035&gt;0,Paths!$O$282&gt;(C3035-1)*12,Paths!$O$282&lt;=C3035*12)),Paths!$N$282,0),"n.a."))</f>
        <v>0</v>
      </c>
      <c r="L3035" s="16">
        <f>IF(NOT(Paths!$C$282=1),0,IF(Paths!$P$282="Complete",IF(C3035=10,Paths!$I$282,0),"n.a."))</f>
        <v>0</v>
      </c>
      <c r="M3035" s="16">
        <f>IF(NOT(Paths!$C$282=1),0,IF(Paths!$P$282="Complete",IF(AND(Paths!$D$282="EV",Paths!$E$282&lt;120,Paths!$E$282+'Operating costs'!$B$65&gt;Paths!$E$282,Paths!$E$282+'Operating costs'!$B$65&lt;=120,IF(Paths!$E$282+'Operating costs'!$B$65=0,C3035=0,AND(C3035&gt;0,Paths!$E$282+'Operating costs'!$B$65&gt;(C3035-1)*12,Paths!$E$282+'Operating costs'!$B$65&lt;=C3035*12))),'Operating costs'!$B$64,0)+IF(AND('Operating costs'!$B$67&gt;0,'Operating costs'!$B$67&lt;=120,OR(Paths!$D$282="ICE",'Operating costs'!$B$67&lt;=Paths!$E$282),IF('Operating costs'!$B$67=0,C3035=0,AND(C3035&gt;0,'Operating costs'!$B$67&gt;(C3035-1)*12,'Operating costs'!$B$67&lt;=C3035*12))),'Operating costs'!$B$66,0),"n.a."))</f>
        <v>0</v>
      </c>
      <c r="N3035" s="16">
        <f>IF(NOT(Paths!$C$282=1),0,IF(Paths!$P$282="Complete",SUM(G3035:I3035)-J3035-K3035-L3035+M3035+IF(C3035=0,Paths!$F$282,0)+IF(IF(Paths!$E$282=0,C3035=0,AND(C3035&gt;0,Paths!$E$282&gt;(C3035-1)*12,Paths!$E$282&lt;=C3035*12)),VLOOKUP(A3035,'Fleet register'!$A$7:$S$106,16,FALSE),0),"n.a."))</f>
        <v>0</v>
      </c>
      <c r="O3035" s="16">
        <f>IF(NOT(Paths!$C$282=1),0,IF(Paths!$P$282="Complete",N3035-IF(C3035=0,Paths!$F$282,0),"n.a."))</f>
        <v>0</v>
      </c>
      <c r="P3035" s="16">
        <f>IF(NOT(Paths!$C$282=1),0,IF(Paths!$P$282="Complete",O3035+L3035,"n.a."))</f>
        <v>0</v>
      </c>
      <c r="Q3035" s="16">
        <f>IF(NOT(Paths!$C$282=1),0,IF(Paths!$P$282="Complete",N3035*(1+'Operating costs'!$B$54)^-C3035,"n.a."))</f>
        <v>0</v>
      </c>
      <c r="R3035" s="16">
        <f>IF(NOT(Paths!$C$282=1),0,IF(Paths!$P$282="Complete",IF(AND(C3035=0,Paths!$E$282=0),I3035-J3035-K3035+VLOOKUP(A3035,'Fleet register'!$A$7:$S$106,15,FALSE)+VLOOKUP(A3035,'Fleet register'!$A$7:$S$106,16,FALSE),0),"n.a."))</f>
        <v>0</v>
      </c>
      <c r="S3035" s="1">
        <f>IF(NOT(Paths!$C$282=1),0,IF(Paths!$P$282="Complete",IF(C3035=0,0,Paths!$S$282*Paths!$R$282),"n.a."))</f>
        <v>0</v>
      </c>
      <c r="T3035" s="1">
        <f>IF(NOT(Paths!$C$282=1),0,IF(Paths!$P$282="Complete",IF(C3035=0,0,VLOOKUP(A3035,'Fleet register'!$A$7:$S$106,9,FALSE)*Paths!$R$282),"n.a."))</f>
        <v>0</v>
      </c>
    </row>
    <row r="3036" spans="1:20" ht="24" customHeight="1">
      <c r="A3036" s="1" t="str">
        <f>Paths!$A$282</f>
        <v>T069</v>
      </c>
      <c r="B3036" s="1">
        <f>Paths!$B$282</f>
        <v>3</v>
      </c>
      <c r="C3036" s="1">
        <v>4</v>
      </c>
      <c r="D3036" s="1">
        <v>282</v>
      </c>
      <c r="E3036" s="1">
        <f>IF(OR(Paths!$C$282=0,C3036=0),0,MAX(0,MIN(C3036*12,Paths!$E$282)-(C3036-1)*12))</f>
        <v>0</v>
      </c>
      <c r="F3036" s="1">
        <f>IF(OR(Paths!$C$282=0,C3036=0),0,12-E3036)</f>
        <v>0</v>
      </c>
      <c r="G3036" s="16">
        <f>IF(NOT(Paths!$C$282=1),0,IF(Paths!$P$282="Complete",E3036/12*(Paths!$J$282*(1+'Operating costs'!$B$51)^MAX(0,C3036-1)+Paths!$K$282*(1+'Operating costs'!$B$53)^MAX(0,C3036-1)),"n.a."))</f>
        <v>0</v>
      </c>
      <c r="H3036" s="16">
        <f>IF(NOT(Paths!$C$282=1),0,IF(Paths!$P$282="Complete",F3036/12*(Paths!$L$282*(1+IF(Paths!$D$282="EV",'Operating costs'!$B$52,'Operating costs'!$B$51))^MAX(0,C3036-1)+Paths!$M$282*(1+'Operating costs'!$B$53)^MAX(0,C3036-1)),"n.a."))</f>
        <v>0</v>
      </c>
      <c r="I3036" s="16">
        <f>IF(NOT(Paths!$C$282=1),0,IF(Paths!$P$282="Complete",IF(IF(Paths!$E$282=0,C3036=0,AND(C3036&gt;0,Paths!$E$282&gt;(C3036-1)*12,Paths!$E$282&lt;=C3036*12)),Paths!$G$282,0),"n.a."))</f>
        <v>0</v>
      </c>
      <c r="J3036" s="16">
        <f>IF(NOT(Paths!$C$282=1),0,IF(Paths!$P$282="Complete",IF(IF(Paths!$E$282=0,C3036=0,AND(C3036&gt;0,Paths!$E$282&gt;(C3036-1)*12,Paths!$E$282&lt;=C3036*12)),Paths!$H$282,0),"n.a."))</f>
        <v>0</v>
      </c>
      <c r="K3036" s="16">
        <f>IF(NOT(Paths!$C$282=1),0,IF(Paths!$P$282="Complete",IF(IF(Paths!$O$282=0,C3036=0,AND(C3036&gt;0,Paths!$O$282&gt;(C3036-1)*12,Paths!$O$282&lt;=C3036*12)),Paths!$N$282,0),"n.a."))</f>
        <v>0</v>
      </c>
      <c r="L3036" s="16">
        <f>IF(NOT(Paths!$C$282=1),0,IF(Paths!$P$282="Complete",IF(C3036=10,Paths!$I$282,0),"n.a."))</f>
        <v>0</v>
      </c>
      <c r="M3036" s="16">
        <f>IF(NOT(Paths!$C$282=1),0,IF(Paths!$P$282="Complete",IF(AND(Paths!$D$282="EV",Paths!$E$282&lt;120,Paths!$E$282+'Operating costs'!$B$65&gt;Paths!$E$282,Paths!$E$282+'Operating costs'!$B$65&lt;=120,IF(Paths!$E$282+'Operating costs'!$B$65=0,C3036=0,AND(C3036&gt;0,Paths!$E$282+'Operating costs'!$B$65&gt;(C3036-1)*12,Paths!$E$282+'Operating costs'!$B$65&lt;=C3036*12))),'Operating costs'!$B$64,0)+IF(AND('Operating costs'!$B$67&gt;0,'Operating costs'!$B$67&lt;=120,OR(Paths!$D$282="ICE",'Operating costs'!$B$67&lt;=Paths!$E$282),IF('Operating costs'!$B$67=0,C3036=0,AND(C3036&gt;0,'Operating costs'!$B$67&gt;(C3036-1)*12,'Operating costs'!$B$67&lt;=C3036*12))),'Operating costs'!$B$66,0),"n.a."))</f>
        <v>0</v>
      </c>
      <c r="N3036" s="16">
        <f>IF(NOT(Paths!$C$282=1),0,IF(Paths!$P$282="Complete",SUM(G3036:I3036)-J3036-K3036-L3036+M3036+IF(C3036=0,Paths!$F$282,0)+IF(IF(Paths!$E$282=0,C3036=0,AND(C3036&gt;0,Paths!$E$282&gt;(C3036-1)*12,Paths!$E$282&lt;=C3036*12)),VLOOKUP(A3036,'Fleet register'!$A$7:$S$106,16,FALSE),0),"n.a."))</f>
        <v>0</v>
      </c>
      <c r="O3036" s="16">
        <f>IF(NOT(Paths!$C$282=1),0,IF(Paths!$P$282="Complete",N3036-IF(C3036=0,Paths!$F$282,0),"n.a."))</f>
        <v>0</v>
      </c>
      <c r="P3036" s="16">
        <f>IF(NOT(Paths!$C$282=1),0,IF(Paths!$P$282="Complete",O3036+L3036,"n.a."))</f>
        <v>0</v>
      </c>
      <c r="Q3036" s="16">
        <f>IF(NOT(Paths!$C$282=1),0,IF(Paths!$P$282="Complete",N3036*(1+'Operating costs'!$B$54)^-C3036,"n.a."))</f>
        <v>0</v>
      </c>
      <c r="R3036" s="16">
        <f>IF(NOT(Paths!$C$282=1),0,IF(Paths!$P$282="Complete",IF(AND(C3036=0,Paths!$E$282=0),I3036-J3036-K3036+VLOOKUP(A3036,'Fleet register'!$A$7:$S$106,15,FALSE)+VLOOKUP(A3036,'Fleet register'!$A$7:$S$106,16,FALSE),0),"n.a."))</f>
        <v>0</v>
      </c>
      <c r="S3036" s="1">
        <f>IF(NOT(Paths!$C$282=1),0,IF(Paths!$P$282="Complete",IF(C3036=0,0,Paths!$S$282*Paths!$R$282),"n.a."))</f>
        <v>0</v>
      </c>
      <c r="T3036" s="1">
        <f>IF(NOT(Paths!$C$282=1),0,IF(Paths!$P$282="Complete",IF(C3036=0,0,VLOOKUP(A3036,'Fleet register'!$A$7:$S$106,9,FALSE)*Paths!$R$282),"n.a."))</f>
        <v>0</v>
      </c>
    </row>
    <row r="3037" spans="1:20" ht="24" customHeight="1">
      <c r="A3037" s="1" t="str">
        <f>Paths!$A$282</f>
        <v>T069</v>
      </c>
      <c r="B3037" s="1">
        <f>Paths!$B$282</f>
        <v>3</v>
      </c>
      <c r="C3037" s="1">
        <v>5</v>
      </c>
      <c r="D3037" s="1">
        <v>282</v>
      </c>
      <c r="E3037" s="1">
        <f>IF(OR(Paths!$C$282=0,C3037=0),0,MAX(0,MIN(C3037*12,Paths!$E$282)-(C3037-1)*12))</f>
        <v>0</v>
      </c>
      <c r="F3037" s="1">
        <f>IF(OR(Paths!$C$282=0,C3037=0),0,12-E3037)</f>
        <v>0</v>
      </c>
      <c r="G3037" s="16">
        <f>IF(NOT(Paths!$C$282=1),0,IF(Paths!$P$282="Complete",E3037/12*(Paths!$J$282*(1+'Operating costs'!$B$51)^MAX(0,C3037-1)+Paths!$K$282*(1+'Operating costs'!$B$53)^MAX(0,C3037-1)),"n.a."))</f>
        <v>0</v>
      </c>
      <c r="H3037" s="16">
        <f>IF(NOT(Paths!$C$282=1),0,IF(Paths!$P$282="Complete",F3037/12*(Paths!$L$282*(1+IF(Paths!$D$282="EV",'Operating costs'!$B$52,'Operating costs'!$B$51))^MAX(0,C3037-1)+Paths!$M$282*(1+'Operating costs'!$B$53)^MAX(0,C3037-1)),"n.a."))</f>
        <v>0</v>
      </c>
      <c r="I3037" s="16">
        <f>IF(NOT(Paths!$C$282=1),0,IF(Paths!$P$282="Complete",IF(IF(Paths!$E$282=0,C3037=0,AND(C3037&gt;0,Paths!$E$282&gt;(C3037-1)*12,Paths!$E$282&lt;=C3037*12)),Paths!$G$282,0),"n.a."))</f>
        <v>0</v>
      </c>
      <c r="J3037" s="16">
        <f>IF(NOT(Paths!$C$282=1),0,IF(Paths!$P$282="Complete",IF(IF(Paths!$E$282=0,C3037=0,AND(C3037&gt;0,Paths!$E$282&gt;(C3037-1)*12,Paths!$E$282&lt;=C3037*12)),Paths!$H$282,0),"n.a."))</f>
        <v>0</v>
      </c>
      <c r="K3037" s="16">
        <f>IF(NOT(Paths!$C$282=1),0,IF(Paths!$P$282="Complete",IF(IF(Paths!$O$282=0,C3037=0,AND(C3037&gt;0,Paths!$O$282&gt;(C3037-1)*12,Paths!$O$282&lt;=C3037*12)),Paths!$N$282,0),"n.a."))</f>
        <v>0</v>
      </c>
      <c r="L3037" s="16">
        <f>IF(NOT(Paths!$C$282=1),0,IF(Paths!$P$282="Complete",IF(C3037=10,Paths!$I$282,0),"n.a."))</f>
        <v>0</v>
      </c>
      <c r="M3037" s="16">
        <f>IF(NOT(Paths!$C$282=1),0,IF(Paths!$P$282="Complete",IF(AND(Paths!$D$282="EV",Paths!$E$282&lt;120,Paths!$E$282+'Operating costs'!$B$65&gt;Paths!$E$282,Paths!$E$282+'Operating costs'!$B$65&lt;=120,IF(Paths!$E$282+'Operating costs'!$B$65=0,C3037=0,AND(C3037&gt;0,Paths!$E$282+'Operating costs'!$B$65&gt;(C3037-1)*12,Paths!$E$282+'Operating costs'!$B$65&lt;=C3037*12))),'Operating costs'!$B$64,0)+IF(AND('Operating costs'!$B$67&gt;0,'Operating costs'!$B$67&lt;=120,OR(Paths!$D$282="ICE",'Operating costs'!$B$67&lt;=Paths!$E$282),IF('Operating costs'!$B$67=0,C3037=0,AND(C3037&gt;0,'Operating costs'!$B$67&gt;(C3037-1)*12,'Operating costs'!$B$67&lt;=C3037*12))),'Operating costs'!$B$66,0),"n.a."))</f>
        <v>0</v>
      </c>
      <c r="N3037" s="16">
        <f>IF(NOT(Paths!$C$282=1),0,IF(Paths!$P$282="Complete",SUM(G3037:I3037)-J3037-K3037-L3037+M3037+IF(C3037=0,Paths!$F$282,0)+IF(IF(Paths!$E$282=0,C3037=0,AND(C3037&gt;0,Paths!$E$282&gt;(C3037-1)*12,Paths!$E$282&lt;=C3037*12)),VLOOKUP(A3037,'Fleet register'!$A$7:$S$106,16,FALSE),0),"n.a."))</f>
        <v>0</v>
      </c>
      <c r="O3037" s="16">
        <f>IF(NOT(Paths!$C$282=1),0,IF(Paths!$P$282="Complete",N3037-IF(C3037=0,Paths!$F$282,0),"n.a."))</f>
        <v>0</v>
      </c>
      <c r="P3037" s="16">
        <f>IF(NOT(Paths!$C$282=1),0,IF(Paths!$P$282="Complete",O3037+L3037,"n.a."))</f>
        <v>0</v>
      </c>
      <c r="Q3037" s="16">
        <f>IF(NOT(Paths!$C$282=1),0,IF(Paths!$P$282="Complete",N3037*(1+'Operating costs'!$B$54)^-C3037,"n.a."))</f>
        <v>0</v>
      </c>
      <c r="R3037" s="16">
        <f>IF(NOT(Paths!$C$282=1),0,IF(Paths!$P$282="Complete",IF(AND(C3037=0,Paths!$E$282=0),I3037-J3037-K3037+VLOOKUP(A3037,'Fleet register'!$A$7:$S$106,15,FALSE)+VLOOKUP(A3037,'Fleet register'!$A$7:$S$106,16,FALSE),0),"n.a."))</f>
        <v>0</v>
      </c>
      <c r="S3037" s="1">
        <f>IF(NOT(Paths!$C$282=1),0,IF(Paths!$P$282="Complete",IF(C3037=0,0,Paths!$S$282*Paths!$R$282),"n.a."))</f>
        <v>0</v>
      </c>
      <c r="T3037" s="1">
        <f>IF(NOT(Paths!$C$282=1),0,IF(Paths!$P$282="Complete",IF(C3037=0,0,VLOOKUP(A3037,'Fleet register'!$A$7:$S$106,9,FALSE)*Paths!$R$282),"n.a."))</f>
        <v>0</v>
      </c>
    </row>
    <row r="3038" spans="1:20" ht="24" customHeight="1">
      <c r="A3038" s="1" t="str">
        <f>Paths!$A$282</f>
        <v>T069</v>
      </c>
      <c r="B3038" s="1">
        <f>Paths!$B$282</f>
        <v>3</v>
      </c>
      <c r="C3038" s="1">
        <v>6</v>
      </c>
      <c r="D3038" s="1">
        <v>282</v>
      </c>
      <c r="E3038" s="1">
        <f>IF(OR(Paths!$C$282=0,C3038=0),0,MAX(0,MIN(C3038*12,Paths!$E$282)-(C3038-1)*12))</f>
        <v>0</v>
      </c>
      <c r="F3038" s="1">
        <f>IF(OR(Paths!$C$282=0,C3038=0),0,12-E3038)</f>
        <v>0</v>
      </c>
      <c r="G3038" s="16">
        <f>IF(NOT(Paths!$C$282=1),0,IF(Paths!$P$282="Complete",E3038/12*(Paths!$J$282*(1+'Operating costs'!$B$51)^MAX(0,C3038-1)+Paths!$K$282*(1+'Operating costs'!$B$53)^MAX(0,C3038-1)),"n.a."))</f>
        <v>0</v>
      </c>
      <c r="H3038" s="16">
        <f>IF(NOT(Paths!$C$282=1),0,IF(Paths!$P$282="Complete",F3038/12*(Paths!$L$282*(1+IF(Paths!$D$282="EV",'Operating costs'!$B$52,'Operating costs'!$B$51))^MAX(0,C3038-1)+Paths!$M$282*(1+'Operating costs'!$B$53)^MAX(0,C3038-1)),"n.a."))</f>
        <v>0</v>
      </c>
      <c r="I3038" s="16">
        <f>IF(NOT(Paths!$C$282=1),0,IF(Paths!$P$282="Complete",IF(IF(Paths!$E$282=0,C3038=0,AND(C3038&gt;0,Paths!$E$282&gt;(C3038-1)*12,Paths!$E$282&lt;=C3038*12)),Paths!$G$282,0),"n.a."))</f>
        <v>0</v>
      </c>
      <c r="J3038" s="16">
        <f>IF(NOT(Paths!$C$282=1),0,IF(Paths!$P$282="Complete",IF(IF(Paths!$E$282=0,C3038=0,AND(C3038&gt;0,Paths!$E$282&gt;(C3038-1)*12,Paths!$E$282&lt;=C3038*12)),Paths!$H$282,0),"n.a."))</f>
        <v>0</v>
      </c>
      <c r="K3038" s="16">
        <f>IF(NOT(Paths!$C$282=1),0,IF(Paths!$P$282="Complete",IF(IF(Paths!$O$282=0,C3038=0,AND(C3038&gt;0,Paths!$O$282&gt;(C3038-1)*12,Paths!$O$282&lt;=C3038*12)),Paths!$N$282,0),"n.a."))</f>
        <v>0</v>
      </c>
      <c r="L3038" s="16">
        <f>IF(NOT(Paths!$C$282=1),0,IF(Paths!$P$282="Complete",IF(C3038=10,Paths!$I$282,0),"n.a."))</f>
        <v>0</v>
      </c>
      <c r="M3038" s="16">
        <f>IF(NOT(Paths!$C$282=1),0,IF(Paths!$P$282="Complete",IF(AND(Paths!$D$282="EV",Paths!$E$282&lt;120,Paths!$E$282+'Operating costs'!$B$65&gt;Paths!$E$282,Paths!$E$282+'Operating costs'!$B$65&lt;=120,IF(Paths!$E$282+'Operating costs'!$B$65=0,C3038=0,AND(C3038&gt;0,Paths!$E$282+'Operating costs'!$B$65&gt;(C3038-1)*12,Paths!$E$282+'Operating costs'!$B$65&lt;=C3038*12))),'Operating costs'!$B$64,0)+IF(AND('Operating costs'!$B$67&gt;0,'Operating costs'!$B$67&lt;=120,OR(Paths!$D$282="ICE",'Operating costs'!$B$67&lt;=Paths!$E$282),IF('Operating costs'!$B$67=0,C3038=0,AND(C3038&gt;0,'Operating costs'!$B$67&gt;(C3038-1)*12,'Operating costs'!$B$67&lt;=C3038*12))),'Operating costs'!$B$66,0),"n.a."))</f>
        <v>0</v>
      </c>
      <c r="N3038" s="16">
        <f>IF(NOT(Paths!$C$282=1),0,IF(Paths!$P$282="Complete",SUM(G3038:I3038)-J3038-K3038-L3038+M3038+IF(C3038=0,Paths!$F$282,0)+IF(IF(Paths!$E$282=0,C3038=0,AND(C3038&gt;0,Paths!$E$282&gt;(C3038-1)*12,Paths!$E$282&lt;=C3038*12)),VLOOKUP(A3038,'Fleet register'!$A$7:$S$106,16,FALSE),0),"n.a."))</f>
        <v>0</v>
      </c>
      <c r="O3038" s="16">
        <f>IF(NOT(Paths!$C$282=1),0,IF(Paths!$P$282="Complete",N3038-IF(C3038=0,Paths!$F$282,0),"n.a."))</f>
        <v>0</v>
      </c>
      <c r="P3038" s="16">
        <f>IF(NOT(Paths!$C$282=1),0,IF(Paths!$P$282="Complete",O3038+L3038,"n.a."))</f>
        <v>0</v>
      </c>
      <c r="Q3038" s="16">
        <f>IF(NOT(Paths!$C$282=1),0,IF(Paths!$P$282="Complete",N3038*(1+'Operating costs'!$B$54)^-C3038,"n.a."))</f>
        <v>0</v>
      </c>
      <c r="R3038" s="16">
        <f>IF(NOT(Paths!$C$282=1),0,IF(Paths!$P$282="Complete",IF(AND(C3038=0,Paths!$E$282=0),I3038-J3038-K3038+VLOOKUP(A3038,'Fleet register'!$A$7:$S$106,15,FALSE)+VLOOKUP(A3038,'Fleet register'!$A$7:$S$106,16,FALSE),0),"n.a."))</f>
        <v>0</v>
      </c>
      <c r="S3038" s="1">
        <f>IF(NOT(Paths!$C$282=1),0,IF(Paths!$P$282="Complete",IF(C3038=0,0,Paths!$S$282*Paths!$R$282),"n.a."))</f>
        <v>0</v>
      </c>
      <c r="T3038" s="1">
        <f>IF(NOT(Paths!$C$282=1),0,IF(Paths!$P$282="Complete",IF(C3038=0,0,VLOOKUP(A3038,'Fleet register'!$A$7:$S$106,9,FALSE)*Paths!$R$282),"n.a."))</f>
        <v>0</v>
      </c>
    </row>
    <row r="3039" spans="1:20" ht="24" customHeight="1">
      <c r="A3039" s="1" t="str">
        <f>Paths!$A$282</f>
        <v>T069</v>
      </c>
      <c r="B3039" s="1">
        <f>Paths!$B$282</f>
        <v>3</v>
      </c>
      <c r="C3039" s="1">
        <v>7</v>
      </c>
      <c r="D3039" s="1">
        <v>282</v>
      </c>
      <c r="E3039" s="1">
        <f>IF(OR(Paths!$C$282=0,C3039=0),0,MAX(0,MIN(C3039*12,Paths!$E$282)-(C3039-1)*12))</f>
        <v>0</v>
      </c>
      <c r="F3039" s="1">
        <f>IF(OR(Paths!$C$282=0,C3039=0),0,12-E3039)</f>
        <v>0</v>
      </c>
      <c r="G3039" s="16">
        <f>IF(NOT(Paths!$C$282=1),0,IF(Paths!$P$282="Complete",E3039/12*(Paths!$J$282*(1+'Operating costs'!$B$51)^MAX(0,C3039-1)+Paths!$K$282*(1+'Operating costs'!$B$53)^MAX(0,C3039-1)),"n.a."))</f>
        <v>0</v>
      </c>
      <c r="H3039" s="16">
        <f>IF(NOT(Paths!$C$282=1),0,IF(Paths!$P$282="Complete",F3039/12*(Paths!$L$282*(1+IF(Paths!$D$282="EV",'Operating costs'!$B$52,'Operating costs'!$B$51))^MAX(0,C3039-1)+Paths!$M$282*(1+'Operating costs'!$B$53)^MAX(0,C3039-1)),"n.a."))</f>
        <v>0</v>
      </c>
      <c r="I3039" s="16">
        <f>IF(NOT(Paths!$C$282=1),0,IF(Paths!$P$282="Complete",IF(IF(Paths!$E$282=0,C3039=0,AND(C3039&gt;0,Paths!$E$282&gt;(C3039-1)*12,Paths!$E$282&lt;=C3039*12)),Paths!$G$282,0),"n.a."))</f>
        <v>0</v>
      </c>
      <c r="J3039" s="16">
        <f>IF(NOT(Paths!$C$282=1),0,IF(Paths!$P$282="Complete",IF(IF(Paths!$E$282=0,C3039=0,AND(C3039&gt;0,Paths!$E$282&gt;(C3039-1)*12,Paths!$E$282&lt;=C3039*12)),Paths!$H$282,0),"n.a."))</f>
        <v>0</v>
      </c>
      <c r="K3039" s="16">
        <f>IF(NOT(Paths!$C$282=1),0,IF(Paths!$P$282="Complete",IF(IF(Paths!$O$282=0,C3039=0,AND(C3039&gt;0,Paths!$O$282&gt;(C3039-1)*12,Paths!$O$282&lt;=C3039*12)),Paths!$N$282,0),"n.a."))</f>
        <v>0</v>
      </c>
      <c r="L3039" s="16">
        <f>IF(NOT(Paths!$C$282=1),0,IF(Paths!$P$282="Complete",IF(C3039=10,Paths!$I$282,0),"n.a."))</f>
        <v>0</v>
      </c>
      <c r="M3039" s="16">
        <f>IF(NOT(Paths!$C$282=1),0,IF(Paths!$P$282="Complete",IF(AND(Paths!$D$282="EV",Paths!$E$282&lt;120,Paths!$E$282+'Operating costs'!$B$65&gt;Paths!$E$282,Paths!$E$282+'Operating costs'!$B$65&lt;=120,IF(Paths!$E$282+'Operating costs'!$B$65=0,C3039=0,AND(C3039&gt;0,Paths!$E$282+'Operating costs'!$B$65&gt;(C3039-1)*12,Paths!$E$282+'Operating costs'!$B$65&lt;=C3039*12))),'Operating costs'!$B$64,0)+IF(AND('Operating costs'!$B$67&gt;0,'Operating costs'!$B$67&lt;=120,OR(Paths!$D$282="ICE",'Operating costs'!$B$67&lt;=Paths!$E$282),IF('Operating costs'!$B$67=0,C3039=0,AND(C3039&gt;0,'Operating costs'!$B$67&gt;(C3039-1)*12,'Operating costs'!$B$67&lt;=C3039*12))),'Operating costs'!$B$66,0),"n.a."))</f>
        <v>0</v>
      </c>
      <c r="N3039" s="16">
        <f>IF(NOT(Paths!$C$282=1),0,IF(Paths!$P$282="Complete",SUM(G3039:I3039)-J3039-K3039-L3039+M3039+IF(C3039=0,Paths!$F$282,0)+IF(IF(Paths!$E$282=0,C3039=0,AND(C3039&gt;0,Paths!$E$282&gt;(C3039-1)*12,Paths!$E$282&lt;=C3039*12)),VLOOKUP(A3039,'Fleet register'!$A$7:$S$106,16,FALSE),0),"n.a."))</f>
        <v>0</v>
      </c>
      <c r="O3039" s="16">
        <f>IF(NOT(Paths!$C$282=1),0,IF(Paths!$P$282="Complete",N3039-IF(C3039=0,Paths!$F$282,0),"n.a."))</f>
        <v>0</v>
      </c>
      <c r="P3039" s="16">
        <f>IF(NOT(Paths!$C$282=1),0,IF(Paths!$P$282="Complete",O3039+L3039,"n.a."))</f>
        <v>0</v>
      </c>
      <c r="Q3039" s="16">
        <f>IF(NOT(Paths!$C$282=1),0,IF(Paths!$P$282="Complete",N3039*(1+'Operating costs'!$B$54)^-C3039,"n.a."))</f>
        <v>0</v>
      </c>
      <c r="R3039" s="16">
        <f>IF(NOT(Paths!$C$282=1),0,IF(Paths!$P$282="Complete",IF(AND(C3039=0,Paths!$E$282=0),I3039-J3039-K3039+VLOOKUP(A3039,'Fleet register'!$A$7:$S$106,15,FALSE)+VLOOKUP(A3039,'Fleet register'!$A$7:$S$106,16,FALSE),0),"n.a."))</f>
        <v>0</v>
      </c>
      <c r="S3039" s="1">
        <f>IF(NOT(Paths!$C$282=1),0,IF(Paths!$P$282="Complete",IF(C3039=0,0,Paths!$S$282*Paths!$R$282),"n.a."))</f>
        <v>0</v>
      </c>
      <c r="T3039" s="1">
        <f>IF(NOT(Paths!$C$282=1),0,IF(Paths!$P$282="Complete",IF(C3039=0,0,VLOOKUP(A3039,'Fleet register'!$A$7:$S$106,9,FALSE)*Paths!$R$282),"n.a."))</f>
        <v>0</v>
      </c>
    </row>
    <row r="3040" spans="1:20" ht="24" customHeight="1">
      <c r="A3040" s="1" t="str">
        <f>Paths!$A$282</f>
        <v>T069</v>
      </c>
      <c r="B3040" s="1">
        <f>Paths!$B$282</f>
        <v>3</v>
      </c>
      <c r="C3040" s="1">
        <v>8</v>
      </c>
      <c r="D3040" s="1">
        <v>282</v>
      </c>
      <c r="E3040" s="1">
        <f>IF(OR(Paths!$C$282=0,C3040=0),0,MAX(0,MIN(C3040*12,Paths!$E$282)-(C3040-1)*12))</f>
        <v>0</v>
      </c>
      <c r="F3040" s="1">
        <f>IF(OR(Paths!$C$282=0,C3040=0),0,12-E3040)</f>
        <v>0</v>
      </c>
      <c r="G3040" s="16">
        <f>IF(NOT(Paths!$C$282=1),0,IF(Paths!$P$282="Complete",E3040/12*(Paths!$J$282*(1+'Operating costs'!$B$51)^MAX(0,C3040-1)+Paths!$K$282*(1+'Operating costs'!$B$53)^MAX(0,C3040-1)),"n.a."))</f>
        <v>0</v>
      </c>
      <c r="H3040" s="16">
        <f>IF(NOT(Paths!$C$282=1),0,IF(Paths!$P$282="Complete",F3040/12*(Paths!$L$282*(1+IF(Paths!$D$282="EV",'Operating costs'!$B$52,'Operating costs'!$B$51))^MAX(0,C3040-1)+Paths!$M$282*(1+'Operating costs'!$B$53)^MAX(0,C3040-1)),"n.a."))</f>
        <v>0</v>
      </c>
      <c r="I3040" s="16">
        <f>IF(NOT(Paths!$C$282=1),0,IF(Paths!$P$282="Complete",IF(IF(Paths!$E$282=0,C3040=0,AND(C3040&gt;0,Paths!$E$282&gt;(C3040-1)*12,Paths!$E$282&lt;=C3040*12)),Paths!$G$282,0),"n.a."))</f>
        <v>0</v>
      </c>
      <c r="J3040" s="16">
        <f>IF(NOT(Paths!$C$282=1),0,IF(Paths!$P$282="Complete",IF(IF(Paths!$E$282=0,C3040=0,AND(C3040&gt;0,Paths!$E$282&gt;(C3040-1)*12,Paths!$E$282&lt;=C3040*12)),Paths!$H$282,0),"n.a."))</f>
        <v>0</v>
      </c>
      <c r="K3040" s="16">
        <f>IF(NOT(Paths!$C$282=1),0,IF(Paths!$P$282="Complete",IF(IF(Paths!$O$282=0,C3040=0,AND(C3040&gt;0,Paths!$O$282&gt;(C3040-1)*12,Paths!$O$282&lt;=C3040*12)),Paths!$N$282,0),"n.a."))</f>
        <v>0</v>
      </c>
      <c r="L3040" s="16">
        <f>IF(NOT(Paths!$C$282=1),0,IF(Paths!$P$282="Complete",IF(C3040=10,Paths!$I$282,0),"n.a."))</f>
        <v>0</v>
      </c>
      <c r="M3040" s="16">
        <f>IF(NOT(Paths!$C$282=1),0,IF(Paths!$P$282="Complete",IF(AND(Paths!$D$282="EV",Paths!$E$282&lt;120,Paths!$E$282+'Operating costs'!$B$65&gt;Paths!$E$282,Paths!$E$282+'Operating costs'!$B$65&lt;=120,IF(Paths!$E$282+'Operating costs'!$B$65=0,C3040=0,AND(C3040&gt;0,Paths!$E$282+'Operating costs'!$B$65&gt;(C3040-1)*12,Paths!$E$282+'Operating costs'!$B$65&lt;=C3040*12))),'Operating costs'!$B$64,0)+IF(AND('Operating costs'!$B$67&gt;0,'Operating costs'!$B$67&lt;=120,OR(Paths!$D$282="ICE",'Operating costs'!$B$67&lt;=Paths!$E$282),IF('Operating costs'!$B$67=0,C3040=0,AND(C3040&gt;0,'Operating costs'!$B$67&gt;(C3040-1)*12,'Operating costs'!$B$67&lt;=C3040*12))),'Operating costs'!$B$66,0),"n.a."))</f>
        <v>0</v>
      </c>
      <c r="N3040" s="16">
        <f>IF(NOT(Paths!$C$282=1),0,IF(Paths!$P$282="Complete",SUM(G3040:I3040)-J3040-K3040-L3040+M3040+IF(C3040=0,Paths!$F$282,0)+IF(IF(Paths!$E$282=0,C3040=0,AND(C3040&gt;0,Paths!$E$282&gt;(C3040-1)*12,Paths!$E$282&lt;=C3040*12)),VLOOKUP(A3040,'Fleet register'!$A$7:$S$106,16,FALSE),0),"n.a."))</f>
        <v>0</v>
      </c>
      <c r="O3040" s="16">
        <f>IF(NOT(Paths!$C$282=1),0,IF(Paths!$P$282="Complete",N3040-IF(C3040=0,Paths!$F$282,0),"n.a."))</f>
        <v>0</v>
      </c>
      <c r="P3040" s="16">
        <f>IF(NOT(Paths!$C$282=1),0,IF(Paths!$P$282="Complete",O3040+L3040,"n.a."))</f>
        <v>0</v>
      </c>
      <c r="Q3040" s="16">
        <f>IF(NOT(Paths!$C$282=1),0,IF(Paths!$P$282="Complete",N3040*(1+'Operating costs'!$B$54)^-C3040,"n.a."))</f>
        <v>0</v>
      </c>
      <c r="R3040" s="16">
        <f>IF(NOT(Paths!$C$282=1),0,IF(Paths!$P$282="Complete",IF(AND(C3040=0,Paths!$E$282=0),I3040-J3040-K3040+VLOOKUP(A3040,'Fleet register'!$A$7:$S$106,15,FALSE)+VLOOKUP(A3040,'Fleet register'!$A$7:$S$106,16,FALSE),0),"n.a."))</f>
        <v>0</v>
      </c>
      <c r="S3040" s="1">
        <f>IF(NOT(Paths!$C$282=1),0,IF(Paths!$P$282="Complete",IF(C3040=0,0,Paths!$S$282*Paths!$R$282),"n.a."))</f>
        <v>0</v>
      </c>
      <c r="T3040" s="1">
        <f>IF(NOT(Paths!$C$282=1),0,IF(Paths!$P$282="Complete",IF(C3040=0,0,VLOOKUP(A3040,'Fleet register'!$A$7:$S$106,9,FALSE)*Paths!$R$282),"n.a."))</f>
        <v>0</v>
      </c>
    </row>
    <row r="3041" spans="1:20" ht="24" customHeight="1">
      <c r="A3041" s="1" t="str">
        <f>Paths!$A$282</f>
        <v>T069</v>
      </c>
      <c r="B3041" s="1">
        <f>Paths!$B$282</f>
        <v>3</v>
      </c>
      <c r="C3041" s="1">
        <v>9</v>
      </c>
      <c r="D3041" s="1">
        <v>282</v>
      </c>
      <c r="E3041" s="1">
        <f>IF(OR(Paths!$C$282=0,C3041=0),0,MAX(0,MIN(C3041*12,Paths!$E$282)-(C3041-1)*12))</f>
        <v>0</v>
      </c>
      <c r="F3041" s="1">
        <f>IF(OR(Paths!$C$282=0,C3041=0),0,12-E3041)</f>
        <v>0</v>
      </c>
      <c r="G3041" s="16">
        <f>IF(NOT(Paths!$C$282=1),0,IF(Paths!$P$282="Complete",E3041/12*(Paths!$J$282*(1+'Operating costs'!$B$51)^MAX(0,C3041-1)+Paths!$K$282*(1+'Operating costs'!$B$53)^MAX(0,C3041-1)),"n.a."))</f>
        <v>0</v>
      </c>
      <c r="H3041" s="16">
        <f>IF(NOT(Paths!$C$282=1),0,IF(Paths!$P$282="Complete",F3041/12*(Paths!$L$282*(1+IF(Paths!$D$282="EV",'Operating costs'!$B$52,'Operating costs'!$B$51))^MAX(0,C3041-1)+Paths!$M$282*(1+'Operating costs'!$B$53)^MAX(0,C3041-1)),"n.a."))</f>
        <v>0</v>
      </c>
      <c r="I3041" s="16">
        <f>IF(NOT(Paths!$C$282=1),0,IF(Paths!$P$282="Complete",IF(IF(Paths!$E$282=0,C3041=0,AND(C3041&gt;0,Paths!$E$282&gt;(C3041-1)*12,Paths!$E$282&lt;=C3041*12)),Paths!$G$282,0),"n.a."))</f>
        <v>0</v>
      </c>
      <c r="J3041" s="16">
        <f>IF(NOT(Paths!$C$282=1),0,IF(Paths!$P$282="Complete",IF(IF(Paths!$E$282=0,C3041=0,AND(C3041&gt;0,Paths!$E$282&gt;(C3041-1)*12,Paths!$E$282&lt;=C3041*12)),Paths!$H$282,0),"n.a."))</f>
        <v>0</v>
      </c>
      <c r="K3041" s="16">
        <f>IF(NOT(Paths!$C$282=1),0,IF(Paths!$P$282="Complete",IF(IF(Paths!$O$282=0,C3041=0,AND(C3041&gt;0,Paths!$O$282&gt;(C3041-1)*12,Paths!$O$282&lt;=C3041*12)),Paths!$N$282,0),"n.a."))</f>
        <v>0</v>
      </c>
      <c r="L3041" s="16">
        <f>IF(NOT(Paths!$C$282=1),0,IF(Paths!$P$282="Complete",IF(C3041=10,Paths!$I$282,0),"n.a."))</f>
        <v>0</v>
      </c>
      <c r="M3041" s="16">
        <f>IF(NOT(Paths!$C$282=1),0,IF(Paths!$P$282="Complete",IF(AND(Paths!$D$282="EV",Paths!$E$282&lt;120,Paths!$E$282+'Operating costs'!$B$65&gt;Paths!$E$282,Paths!$E$282+'Operating costs'!$B$65&lt;=120,IF(Paths!$E$282+'Operating costs'!$B$65=0,C3041=0,AND(C3041&gt;0,Paths!$E$282+'Operating costs'!$B$65&gt;(C3041-1)*12,Paths!$E$282+'Operating costs'!$B$65&lt;=C3041*12))),'Operating costs'!$B$64,0)+IF(AND('Operating costs'!$B$67&gt;0,'Operating costs'!$B$67&lt;=120,OR(Paths!$D$282="ICE",'Operating costs'!$B$67&lt;=Paths!$E$282),IF('Operating costs'!$B$67=0,C3041=0,AND(C3041&gt;0,'Operating costs'!$B$67&gt;(C3041-1)*12,'Operating costs'!$B$67&lt;=C3041*12))),'Operating costs'!$B$66,0),"n.a."))</f>
        <v>0</v>
      </c>
      <c r="N3041" s="16">
        <f>IF(NOT(Paths!$C$282=1),0,IF(Paths!$P$282="Complete",SUM(G3041:I3041)-J3041-K3041-L3041+M3041+IF(C3041=0,Paths!$F$282,0)+IF(IF(Paths!$E$282=0,C3041=0,AND(C3041&gt;0,Paths!$E$282&gt;(C3041-1)*12,Paths!$E$282&lt;=C3041*12)),VLOOKUP(A3041,'Fleet register'!$A$7:$S$106,16,FALSE),0),"n.a."))</f>
        <v>0</v>
      </c>
      <c r="O3041" s="16">
        <f>IF(NOT(Paths!$C$282=1),0,IF(Paths!$P$282="Complete",N3041-IF(C3041=0,Paths!$F$282,0),"n.a."))</f>
        <v>0</v>
      </c>
      <c r="P3041" s="16">
        <f>IF(NOT(Paths!$C$282=1),0,IF(Paths!$P$282="Complete",O3041+L3041,"n.a."))</f>
        <v>0</v>
      </c>
      <c r="Q3041" s="16">
        <f>IF(NOT(Paths!$C$282=1),0,IF(Paths!$P$282="Complete",N3041*(1+'Operating costs'!$B$54)^-C3041,"n.a."))</f>
        <v>0</v>
      </c>
      <c r="R3041" s="16">
        <f>IF(NOT(Paths!$C$282=1),0,IF(Paths!$P$282="Complete",IF(AND(C3041=0,Paths!$E$282=0),I3041-J3041-K3041+VLOOKUP(A3041,'Fleet register'!$A$7:$S$106,15,FALSE)+VLOOKUP(A3041,'Fleet register'!$A$7:$S$106,16,FALSE),0),"n.a."))</f>
        <v>0</v>
      </c>
      <c r="S3041" s="1">
        <f>IF(NOT(Paths!$C$282=1),0,IF(Paths!$P$282="Complete",IF(C3041=0,0,Paths!$S$282*Paths!$R$282),"n.a."))</f>
        <v>0</v>
      </c>
      <c r="T3041" s="1">
        <f>IF(NOT(Paths!$C$282=1),0,IF(Paths!$P$282="Complete",IF(C3041=0,0,VLOOKUP(A3041,'Fleet register'!$A$7:$S$106,9,FALSE)*Paths!$R$282),"n.a."))</f>
        <v>0</v>
      </c>
    </row>
    <row r="3042" spans="1:20" ht="24" customHeight="1">
      <c r="A3042" s="1" t="str">
        <f>Paths!$A$282</f>
        <v>T069</v>
      </c>
      <c r="B3042" s="1">
        <f>Paths!$B$282</f>
        <v>3</v>
      </c>
      <c r="C3042" s="1">
        <v>10</v>
      </c>
      <c r="D3042" s="1">
        <v>282</v>
      </c>
      <c r="E3042" s="1">
        <f>IF(OR(Paths!$C$282=0,C3042=0),0,MAX(0,MIN(C3042*12,Paths!$E$282)-(C3042-1)*12))</f>
        <v>0</v>
      </c>
      <c r="F3042" s="1">
        <f>IF(OR(Paths!$C$282=0,C3042=0),0,12-E3042)</f>
        <v>0</v>
      </c>
      <c r="G3042" s="16">
        <f>IF(NOT(Paths!$C$282=1),0,IF(Paths!$P$282="Complete",E3042/12*(Paths!$J$282*(1+'Operating costs'!$B$51)^MAX(0,C3042-1)+Paths!$K$282*(1+'Operating costs'!$B$53)^MAX(0,C3042-1)),"n.a."))</f>
        <v>0</v>
      </c>
      <c r="H3042" s="16">
        <f>IF(NOT(Paths!$C$282=1),0,IF(Paths!$P$282="Complete",F3042/12*(Paths!$L$282*(1+IF(Paths!$D$282="EV",'Operating costs'!$B$52,'Operating costs'!$B$51))^MAX(0,C3042-1)+Paths!$M$282*(1+'Operating costs'!$B$53)^MAX(0,C3042-1)),"n.a."))</f>
        <v>0</v>
      </c>
      <c r="I3042" s="16">
        <f>IF(NOT(Paths!$C$282=1),0,IF(Paths!$P$282="Complete",IF(IF(Paths!$E$282=0,C3042=0,AND(C3042&gt;0,Paths!$E$282&gt;(C3042-1)*12,Paths!$E$282&lt;=C3042*12)),Paths!$G$282,0),"n.a."))</f>
        <v>0</v>
      </c>
      <c r="J3042" s="16">
        <f>IF(NOT(Paths!$C$282=1),0,IF(Paths!$P$282="Complete",IF(IF(Paths!$E$282=0,C3042=0,AND(C3042&gt;0,Paths!$E$282&gt;(C3042-1)*12,Paths!$E$282&lt;=C3042*12)),Paths!$H$282,0),"n.a."))</f>
        <v>0</v>
      </c>
      <c r="K3042" s="16">
        <f>IF(NOT(Paths!$C$282=1),0,IF(Paths!$P$282="Complete",IF(IF(Paths!$O$282=0,C3042=0,AND(C3042&gt;0,Paths!$O$282&gt;(C3042-1)*12,Paths!$O$282&lt;=C3042*12)),Paths!$N$282,0),"n.a."))</f>
        <v>0</v>
      </c>
      <c r="L3042" s="16">
        <f>IF(NOT(Paths!$C$282=1),0,IF(Paths!$P$282="Complete",IF(C3042=10,Paths!$I$282,0),"n.a."))</f>
        <v>0</v>
      </c>
      <c r="M3042" s="16">
        <f>IF(NOT(Paths!$C$282=1),0,IF(Paths!$P$282="Complete",IF(AND(Paths!$D$282="EV",Paths!$E$282&lt;120,Paths!$E$282+'Operating costs'!$B$65&gt;Paths!$E$282,Paths!$E$282+'Operating costs'!$B$65&lt;=120,IF(Paths!$E$282+'Operating costs'!$B$65=0,C3042=0,AND(C3042&gt;0,Paths!$E$282+'Operating costs'!$B$65&gt;(C3042-1)*12,Paths!$E$282+'Operating costs'!$B$65&lt;=C3042*12))),'Operating costs'!$B$64,0)+IF(AND('Operating costs'!$B$67&gt;0,'Operating costs'!$B$67&lt;=120,OR(Paths!$D$282="ICE",'Operating costs'!$B$67&lt;=Paths!$E$282),IF('Operating costs'!$B$67=0,C3042=0,AND(C3042&gt;0,'Operating costs'!$B$67&gt;(C3042-1)*12,'Operating costs'!$B$67&lt;=C3042*12))),'Operating costs'!$B$66,0),"n.a."))</f>
        <v>0</v>
      </c>
      <c r="N3042" s="16">
        <f>IF(NOT(Paths!$C$282=1),0,IF(Paths!$P$282="Complete",SUM(G3042:I3042)-J3042-K3042-L3042+M3042+IF(C3042=0,Paths!$F$282,0)+IF(IF(Paths!$E$282=0,C3042=0,AND(C3042&gt;0,Paths!$E$282&gt;(C3042-1)*12,Paths!$E$282&lt;=C3042*12)),VLOOKUP(A3042,'Fleet register'!$A$7:$S$106,16,FALSE),0),"n.a."))</f>
        <v>0</v>
      </c>
      <c r="O3042" s="16">
        <f>IF(NOT(Paths!$C$282=1),0,IF(Paths!$P$282="Complete",N3042-IF(C3042=0,Paths!$F$282,0),"n.a."))</f>
        <v>0</v>
      </c>
      <c r="P3042" s="16">
        <f>IF(NOT(Paths!$C$282=1),0,IF(Paths!$P$282="Complete",O3042+L3042,"n.a."))</f>
        <v>0</v>
      </c>
      <c r="Q3042" s="16">
        <f>IF(NOT(Paths!$C$282=1),0,IF(Paths!$P$282="Complete",N3042*(1+'Operating costs'!$B$54)^-C3042,"n.a."))</f>
        <v>0</v>
      </c>
      <c r="R3042" s="16">
        <f>IF(NOT(Paths!$C$282=1),0,IF(Paths!$P$282="Complete",IF(AND(C3042=0,Paths!$E$282=0),I3042-J3042-K3042+VLOOKUP(A3042,'Fleet register'!$A$7:$S$106,15,FALSE)+VLOOKUP(A3042,'Fleet register'!$A$7:$S$106,16,FALSE),0),"n.a."))</f>
        <v>0</v>
      </c>
      <c r="S3042" s="1">
        <f>IF(NOT(Paths!$C$282=1),0,IF(Paths!$P$282="Complete",IF(C3042=0,0,Paths!$S$282*Paths!$R$282),"n.a."))</f>
        <v>0</v>
      </c>
      <c r="T3042" s="1">
        <f>IF(NOT(Paths!$C$282=1),0,IF(Paths!$P$282="Complete",IF(C3042=0,0,VLOOKUP(A3042,'Fleet register'!$A$7:$S$106,9,FALSE)*Paths!$R$282),"n.a."))</f>
        <v>0</v>
      </c>
    </row>
    <row r="3043" spans="1:20" ht="24" customHeight="1">
      <c r="A3043" s="1" t="str">
        <f>Paths!$A$283</f>
        <v>T070</v>
      </c>
      <c r="B3043" s="1">
        <f>Paths!$B$283</f>
        <v>0</v>
      </c>
      <c r="C3043" s="1">
        <v>0</v>
      </c>
      <c r="D3043" s="1">
        <v>283</v>
      </c>
      <c r="E3043" s="1">
        <f>IF(OR(Paths!$C$283=0,C3043=0),0,MAX(0,MIN(C3043*12,Paths!$E$283)-(C3043-1)*12))</f>
        <v>0</v>
      </c>
      <c r="F3043" s="1">
        <f>IF(OR(Paths!$C$283=0,C3043=0),0,12-E3043)</f>
        <v>0</v>
      </c>
      <c r="G3043" s="16">
        <f>IF(NOT(Paths!$C$283=1),0,IF(Paths!$P$283="Complete",E3043/12*(Paths!$J$283*(1+'Operating costs'!$B$51)^MAX(0,C3043-1)+Paths!$K$283*(1+'Operating costs'!$B$53)^MAX(0,C3043-1)),"n.a."))</f>
        <v>0</v>
      </c>
      <c r="H3043" s="16">
        <f>IF(NOT(Paths!$C$283=1),0,IF(Paths!$P$283="Complete",F3043/12*(Paths!$L$283*(1+IF(Paths!$D$283="EV",'Operating costs'!$B$52,'Operating costs'!$B$51))^MAX(0,C3043-1)+Paths!$M$283*(1+'Operating costs'!$B$53)^MAX(0,C3043-1)),"n.a."))</f>
        <v>0</v>
      </c>
      <c r="I3043" s="16">
        <f>IF(NOT(Paths!$C$283=1),0,IF(Paths!$P$283="Complete",IF(IF(Paths!$E$283=0,C3043=0,AND(C3043&gt;0,Paths!$E$283&gt;(C3043-1)*12,Paths!$E$283&lt;=C3043*12)),Paths!$G$283,0),"n.a."))</f>
        <v>0</v>
      </c>
      <c r="J3043" s="16">
        <f>IF(NOT(Paths!$C$283=1),0,IF(Paths!$P$283="Complete",IF(IF(Paths!$E$283=0,C3043=0,AND(C3043&gt;0,Paths!$E$283&gt;(C3043-1)*12,Paths!$E$283&lt;=C3043*12)),Paths!$H$283,0),"n.a."))</f>
        <v>0</v>
      </c>
      <c r="K3043" s="16">
        <f>IF(NOT(Paths!$C$283=1),0,IF(Paths!$P$283="Complete",IF(IF(Paths!$O$283=0,C3043=0,AND(C3043&gt;0,Paths!$O$283&gt;(C3043-1)*12,Paths!$O$283&lt;=C3043*12)),Paths!$N$283,0),"n.a."))</f>
        <v>0</v>
      </c>
      <c r="L3043" s="16">
        <f>IF(NOT(Paths!$C$283=1),0,IF(Paths!$P$283="Complete",IF(C3043=10,Paths!$I$283,0),"n.a."))</f>
        <v>0</v>
      </c>
      <c r="M3043" s="16">
        <f>IF(NOT(Paths!$C$283=1),0,IF(Paths!$P$283="Complete",IF(AND(Paths!$D$283="EV",Paths!$E$283&lt;120,Paths!$E$283+'Operating costs'!$B$65&gt;Paths!$E$283,Paths!$E$283+'Operating costs'!$B$65&lt;=120,IF(Paths!$E$283+'Operating costs'!$B$65=0,C3043=0,AND(C3043&gt;0,Paths!$E$283+'Operating costs'!$B$65&gt;(C3043-1)*12,Paths!$E$283+'Operating costs'!$B$65&lt;=C3043*12))),'Operating costs'!$B$64,0)+IF(AND('Operating costs'!$B$67&gt;0,'Operating costs'!$B$67&lt;=120,OR(Paths!$D$283="ICE",'Operating costs'!$B$67&lt;=Paths!$E$283),IF('Operating costs'!$B$67=0,C3043=0,AND(C3043&gt;0,'Operating costs'!$B$67&gt;(C3043-1)*12,'Operating costs'!$B$67&lt;=C3043*12))),'Operating costs'!$B$66,0),"n.a."))</f>
        <v>0</v>
      </c>
      <c r="N3043" s="16">
        <f>IF(NOT(Paths!$C$283=1),0,IF(Paths!$P$283="Complete",SUM(G3043:I3043)-J3043-K3043-L3043+M3043+IF(C3043=0,Paths!$F$283,0)+IF(IF(Paths!$E$283=0,C3043=0,AND(C3043&gt;0,Paths!$E$283&gt;(C3043-1)*12,Paths!$E$283&lt;=C3043*12)),VLOOKUP(A3043,'Fleet register'!$A$7:$S$106,16,FALSE),0),"n.a."))</f>
        <v>0</v>
      </c>
      <c r="O3043" s="16">
        <f>IF(NOT(Paths!$C$283=1),0,IF(Paths!$P$283="Complete",N3043-IF(C3043=0,Paths!$F$283,0),"n.a."))</f>
        <v>0</v>
      </c>
      <c r="P3043" s="16">
        <f>IF(NOT(Paths!$C$283=1),0,IF(Paths!$P$283="Complete",O3043+L3043,"n.a."))</f>
        <v>0</v>
      </c>
      <c r="Q3043" s="16">
        <f>IF(NOT(Paths!$C$283=1),0,IF(Paths!$P$283="Complete",N3043*(1+'Operating costs'!$B$54)^-C3043,"n.a."))</f>
        <v>0</v>
      </c>
      <c r="R3043" s="16">
        <f>IF(NOT(Paths!$C$283=1),0,IF(Paths!$P$283="Complete",IF(AND(C3043=0,Paths!$E$283=0),I3043-J3043-K3043+VLOOKUP(A3043,'Fleet register'!$A$7:$S$106,15,FALSE)+VLOOKUP(A3043,'Fleet register'!$A$7:$S$106,16,FALSE),0),"n.a."))</f>
        <v>0</v>
      </c>
      <c r="S3043" s="1">
        <f>IF(NOT(Paths!$C$283=1),0,IF(Paths!$P$283="Complete",IF(C3043=0,0,Paths!$S$283*Paths!$R$283),"n.a."))</f>
        <v>0</v>
      </c>
      <c r="T3043" s="1">
        <f>IF(NOT(Paths!$C$283=1),0,IF(Paths!$P$283="Complete",IF(C3043=0,0,VLOOKUP(A3043,'Fleet register'!$A$7:$S$106,9,FALSE)*Paths!$R$283),"n.a."))</f>
        <v>0</v>
      </c>
    </row>
    <row r="3044" spans="1:20" ht="24" customHeight="1">
      <c r="A3044" s="1" t="str">
        <f>Paths!$A$283</f>
        <v>T070</v>
      </c>
      <c r="B3044" s="1">
        <f>Paths!$B$283</f>
        <v>0</v>
      </c>
      <c r="C3044" s="1">
        <v>1</v>
      </c>
      <c r="D3044" s="1">
        <v>283</v>
      </c>
      <c r="E3044" s="1">
        <f>IF(OR(Paths!$C$283=0,C3044=0),0,MAX(0,MIN(C3044*12,Paths!$E$283)-(C3044-1)*12))</f>
        <v>0</v>
      </c>
      <c r="F3044" s="1">
        <f>IF(OR(Paths!$C$283=0,C3044=0),0,12-E3044)</f>
        <v>0</v>
      </c>
      <c r="G3044" s="16">
        <f>IF(NOT(Paths!$C$283=1),0,IF(Paths!$P$283="Complete",E3044/12*(Paths!$J$283*(1+'Operating costs'!$B$51)^MAX(0,C3044-1)+Paths!$K$283*(1+'Operating costs'!$B$53)^MAX(0,C3044-1)),"n.a."))</f>
        <v>0</v>
      </c>
      <c r="H3044" s="16">
        <f>IF(NOT(Paths!$C$283=1),0,IF(Paths!$P$283="Complete",F3044/12*(Paths!$L$283*(1+IF(Paths!$D$283="EV",'Operating costs'!$B$52,'Operating costs'!$B$51))^MAX(0,C3044-1)+Paths!$M$283*(1+'Operating costs'!$B$53)^MAX(0,C3044-1)),"n.a."))</f>
        <v>0</v>
      </c>
      <c r="I3044" s="16">
        <f>IF(NOT(Paths!$C$283=1),0,IF(Paths!$P$283="Complete",IF(IF(Paths!$E$283=0,C3044=0,AND(C3044&gt;0,Paths!$E$283&gt;(C3044-1)*12,Paths!$E$283&lt;=C3044*12)),Paths!$G$283,0),"n.a."))</f>
        <v>0</v>
      </c>
      <c r="J3044" s="16">
        <f>IF(NOT(Paths!$C$283=1),0,IF(Paths!$P$283="Complete",IF(IF(Paths!$E$283=0,C3044=0,AND(C3044&gt;0,Paths!$E$283&gt;(C3044-1)*12,Paths!$E$283&lt;=C3044*12)),Paths!$H$283,0),"n.a."))</f>
        <v>0</v>
      </c>
      <c r="K3044" s="16">
        <f>IF(NOT(Paths!$C$283=1),0,IF(Paths!$P$283="Complete",IF(IF(Paths!$O$283=0,C3044=0,AND(C3044&gt;0,Paths!$O$283&gt;(C3044-1)*12,Paths!$O$283&lt;=C3044*12)),Paths!$N$283,0),"n.a."))</f>
        <v>0</v>
      </c>
      <c r="L3044" s="16">
        <f>IF(NOT(Paths!$C$283=1),0,IF(Paths!$P$283="Complete",IF(C3044=10,Paths!$I$283,0),"n.a."))</f>
        <v>0</v>
      </c>
      <c r="M3044" s="16">
        <f>IF(NOT(Paths!$C$283=1),0,IF(Paths!$P$283="Complete",IF(AND(Paths!$D$283="EV",Paths!$E$283&lt;120,Paths!$E$283+'Operating costs'!$B$65&gt;Paths!$E$283,Paths!$E$283+'Operating costs'!$B$65&lt;=120,IF(Paths!$E$283+'Operating costs'!$B$65=0,C3044=0,AND(C3044&gt;0,Paths!$E$283+'Operating costs'!$B$65&gt;(C3044-1)*12,Paths!$E$283+'Operating costs'!$B$65&lt;=C3044*12))),'Operating costs'!$B$64,0)+IF(AND('Operating costs'!$B$67&gt;0,'Operating costs'!$B$67&lt;=120,OR(Paths!$D$283="ICE",'Operating costs'!$B$67&lt;=Paths!$E$283),IF('Operating costs'!$B$67=0,C3044=0,AND(C3044&gt;0,'Operating costs'!$B$67&gt;(C3044-1)*12,'Operating costs'!$B$67&lt;=C3044*12))),'Operating costs'!$B$66,0),"n.a."))</f>
        <v>0</v>
      </c>
      <c r="N3044" s="16">
        <f>IF(NOT(Paths!$C$283=1),0,IF(Paths!$P$283="Complete",SUM(G3044:I3044)-J3044-K3044-L3044+M3044+IF(C3044=0,Paths!$F$283,0)+IF(IF(Paths!$E$283=0,C3044=0,AND(C3044&gt;0,Paths!$E$283&gt;(C3044-1)*12,Paths!$E$283&lt;=C3044*12)),VLOOKUP(A3044,'Fleet register'!$A$7:$S$106,16,FALSE),0),"n.a."))</f>
        <v>0</v>
      </c>
      <c r="O3044" s="16">
        <f>IF(NOT(Paths!$C$283=1),0,IF(Paths!$P$283="Complete",N3044-IF(C3044=0,Paths!$F$283,0),"n.a."))</f>
        <v>0</v>
      </c>
      <c r="P3044" s="16">
        <f>IF(NOT(Paths!$C$283=1),0,IF(Paths!$P$283="Complete",O3044+L3044,"n.a."))</f>
        <v>0</v>
      </c>
      <c r="Q3044" s="16">
        <f>IF(NOT(Paths!$C$283=1),0,IF(Paths!$P$283="Complete",N3044*(1+'Operating costs'!$B$54)^-C3044,"n.a."))</f>
        <v>0</v>
      </c>
      <c r="R3044" s="16">
        <f>IF(NOT(Paths!$C$283=1),0,IF(Paths!$P$283="Complete",IF(AND(C3044=0,Paths!$E$283=0),I3044-J3044-K3044+VLOOKUP(A3044,'Fleet register'!$A$7:$S$106,15,FALSE)+VLOOKUP(A3044,'Fleet register'!$A$7:$S$106,16,FALSE),0),"n.a."))</f>
        <v>0</v>
      </c>
      <c r="S3044" s="1">
        <f>IF(NOT(Paths!$C$283=1),0,IF(Paths!$P$283="Complete",IF(C3044=0,0,Paths!$S$283*Paths!$R$283),"n.a."))</f>
        <v>0</v>
      </c>
      <c r="T3044" s="1">
        <f>IF(NOT(Paths!$C$283=1),0,IF(Paths!$P$283="Complete",IF(C3044=0,0,VLOOKUP(A3044,'Fleet register'!$A$7:$S$106,9,FALSE)*Paths!$R$283),"n.a."))</f>
        <v>0</v>
      </c>
    </row>
    <row r="3045" spans="1:20" ht="24" customHeight="1">
      <c r="A3045" s="1" t="str">
        <f>Paths!$A$283</f>
        <v>T070</v>
      </c>
      <c r="B3045" s="1">
        <f>Paths!$B$283</f>
        <v>0</v>
      </c>
      <c r="C3045" s="1">
        <v>2</v>
      </c>
      <c r="D3045" s="1">
        <v>283</v>
      </c>
      <c r="E3045" s="1">
        <f>IF(OR(Paths!$C$283=0,C3045=0),0,MAX(0,MIN(C3045*12,Paths!$E$283)-(C3045-1)*12))</f>
        <v>0</v>
      </c>
      <c r="F3045" s="1">
        <f>IF(OR(Paths!$C$283=0,C3045=0),0,12-E3045)</f>
        <v>0</v>
      </c>
      <c r="G3045" s="16">
        <f>IF(NOT(Paths!$C$283=1),0,IF(Paths!$P$283="Complete",E3045/12*(Paths!$J$283*(1+'Operating costs'!$B$51)^MAX(0,C3045-1)+Paths!$K$283*(1+'Operating costs'!$B$53)^MAX(0,C3045-1)),"n.a."))</f>
        <v>0</v>
      </c>
      <c r="H3045" s="16">
        <f>IF(NOT(Paths!$C$283=1),0,IF(Paths!$P$283="Complete",F3045/12*(Paths!$L$283*(1+IF(Paths!$D$283="EV",'Operating costs'!$B$52,'Operating costs'!$B$51))^MAX(0,C3045-1)+Paths!$M$283*(1+'Operating costs'!$B$53)^MAX(0,C3045-1)),"n.a."))</f>
        <v>0</v>
      </c>
      <c r="I3045" s="16">
        <f>IF(NOT(Paths!$C$283=1),0,IF(Paths!$P$283="Complete",IF(IF(Paths!$E$283=0,C3045=0,AND(C3045&gt;0,Paths!$E$283&gt;(C3045-1)*12,Paths!$E$283&lt;=C3045*12)),Paths!$G$283,0),"n.a."))</f>
        <v>0</v>
      </c>
      <c r="J3045" s="16">
        <f>IF(NOT(Paths!$C$283=1),0,IF(Paths!$P$283="Complete",IF(IF(Paths!$E$283=0,C3045=0,AND(C3045&gt;0,Paths!$E$283&gt;(C3045-1)*12,Paths!$E$283&lt;=C3045*12)),Paths!$H$283,0),"n.a."))</f>
        <v>0</v>
      </c>
      <c r="K3045" s="16">
        <f>IF(NOT(Paths!$C$283=1),0,IF(Paths!$P$283="Complete",IF(IF(Paths!$O$283=0,C3045=0,AND(C3045&gt;0,Paths!$O$283&gt;(C3045-1)*12,Paths!$O$283&lt;=C3045*12)),Paths!$N$283,0),"n.a."))</f>
        <v>0</v>
      </c>
      <c r="L3045" s="16">
        <f>IF(NOT(Paths!$C$283=1),0,IF(Paths!$P$283="Complete",IF(C3045=10,Paths!$I$283,0),"n.a."))</f>
        <v>0</v>
      </c>
      <c r="M3045" s="16">
        <f>IF(NOT(Paths!$C$283=1),0,IF(Paths!$P$283="Complete",IF(AND(Paths!$D$283="EV",Paths!$E$283&lt;120,Paths!$E$283+'Operating costs'!$B$65&gt;Paths!$E$283,Paths!$E$283+'Operating costs'!$B$65&lt;=120,IF(Paths!$E$283+'Operating costs'!$B$65=0,C3045=0,AND(C3045&gt;0,Paths!$E$283+'Operating costs'!$B$65&gt;(C3045-1)*12,Paths!$E$283+'Operating costs'!$B$65&lt;=C3045*12))),'Operating costs'!$B$64,0)+IF(AND('Operating costs'!$B$67&gt;0,'Operating costs'!$B$67&lt;=120,OR(Paths!$D$283="ICE",'Operating costs'!$B$67&lt;=Paths!$E$283),IF('Operating costs'!$B$67=0,C3045=0,AND(C3045&gt;0,'Operating costs'!$B$67&gt;(C3045-1)*12,'Operating costs'!$B$67&lt;=C3045*12))),'Operating costs'!$B$66,0),"n.a."))</f>
        <v>0</v>
      </c>
      <c r="N3045" s="16">
        <f>IF(NOT(Paths!$C$283=1),0,IF(Paths!$P$283="Complete",SUM(G3045:I3045)-J3045-K3045-L3045+M3045+IF(C3045=0,Paths!$F$283,0)+IF(IF(Paths!$E$283=0,C3045=0,AND(C3045&gt;0,Paths!$E$283&gt;(C3045-1)*12,Paths!$E$283&lt;=C3045*12)),VLOOKUP(A3045,'Fleet register'!$A$7:$S$106,16,FALSE),0),"n.a."))</f>
        <v>0</v>
      </c>
      <c r="O3045" s="16">
        <f>IF(NOT(Paths!$C$283=1),0,IF(Paths!$P$283="Complete",N3045-IF(C3045=0,Paths!$F$283,0),"n.a."))</f>
        <v>0</v>
      </c>
      <c r="P3045" s="16">
        <f>IF(NOT(Paths!$C$283=1),0,IF(Paths!$P$283="Complete",O3045+L3045,"n.a."))</f>
        <v>0</v>
      </c>
      <c r="Q3045" s="16">
        <f>IF(NOT(Paths!$C$283=1),0,IF(Paths!$P$283="Complete",N3045*(1+'Operating costs'!$B$54)^-C3045,"n.a."))</f>
        <v>0</v>
      </c>
      <c r="R3045" s="16">
        <f>IF(NOT(Paths!$C$283=1),0,IF(Paths!$P$283="Complete",IF(AND(C3045=0,Paths!$E$283=0),I3045-J3045-K3045+VLOOKUP(A3045,'Fleet register'!$A$7:$S$106,15,FALSE)+VLOOKUP(A3045,'Fleet register'!$A$7:$S$106,16,FALSE),0),"n.a."))</f>
        <v>0</v>
      </c>
      <c r="S3045" s="1">
        <f>IF(NOT(Paths!$C$283=1),0,IF(Paths!$P$283="Complete",IF(C3045=0,0,Paths!$S$283*Paths!$R$283),"n.a."))</f>
        <v>0</v>
      </c>
      <c r="T3045" s="1">
        <f>IF(NOT(Paths!$C$283=1),0,IF(Paths!$P$283="Complete",IF(C3045=0,0,VLOOKUP(A3045,'Fleet register'!$A$7:$S$106,9,FALSE)*Paths!$R$283),"n.a."))</f>
        <v>0</v>
      </c>
    </row>
    <row r="3046" spans="1:20" ht="24" customHeight="1">
      <c r="A3046" s="1" t="str">
        <f>Paths!$A$283</f>
        <v>T070</v>
      </c>
      <c r="B3046" s="1">
        <f>Paths!$B$283</f>
        <v>0</v>
      </c>
      <c r="C3046" s="1">
        <v>3</v>
      </c>
      <c r="D3046" s="1">
        <v>283</v>
      </c>
      <c r="E3046" s="1">
        <f>IF(OR(Paths!$C$283=0,C3046=0),0,MAX(0,MIN(C3046*12,Paths!$E$283)-(C3046-1)*12))</f>
        <v>0</v>
      </c>
      <c r="F3046" s="1">
        <f>IF(OR(Paths!$C$283=0,C3046=0),0,12-E3046)</f>
        <v>0</v>
      </c>
      <c r="G3046" s="16">
        <f>IF(NOT(Paths!$C$283=1),0,IF(Paths!$P$283="Complete",E3046/12*(Paths!$J$283*(1+'Operating costs'!$B$51)^MAX(0,C3046-1)+Paths!$K$283*(1+'Operating costs'!$B$53)^MAX(0,C3046-1)),"n.a."))</f>
        <v>0</v>
      </c>
      <c r="H3046" s="16">
        <f>IF(NOT(Paths!$C$283=1),0,IF(Paths!$P$283="Complete",F3046/12*(Paths!$L$283*(1+IF(Paths!$D$283="EV",'Operating costs'!$B$52,'Operating costs'!$B$51))^MAX(0,C3046-1)+Paths!$M$283*(1+'Operating costs'!$B$53)^MAX(0,C3046-1)),"n.a."))</f>
        <v>0</v>
      </c>
      <c r="I3046" s="16">
        <f>IF(NOT(Paths!$C$283=1),0,IF(Paths!$P$283="Complete",IF(IF(Paths!$E$283=0,C3046=0,AND(C3046&gt;0,Paths!$E$283&gt;(C3046-1)*12,Paths!$E$283&lt;=C3046*12)),Paths!$G$283,0),"n.a."))</f>
        <v>0</v>
      </c>
      <c r="J3046" s="16">
        <f>IF(NOT(Paths!$C$283=1),0,IF(Paths!$P$283="Complete",IF(IF(Paths!$E$283=0,C3046=0,AND(C3046&gt;0,Paths!$E$283&gt;(C3046-1)*12,Paths!$E$283&lt;=C3046*12)),Paths!$H$283,0),"n.a."))</f>
        <v>0</v>
      </c>
      <c r="K3046" s="16">
        <f>IF(NOT(Paths!$C$283=1),0,IF(Paths!$P$283="Complete",IF(IF(Paths!$O$283=0,C3046=0,AND(C3046&gt;0,Paths!$O$283&gt;(C3046-1)*12,Paths!$O$283&lt;=C3046*12)),Paths!$N$283,0),"n.a."))</f>
        <v>0</v>
      </c>
      <c r="L3046" s="16">
        <f>IF(NOT(Paths!$C$283=1),0,IF(Paths!$P$283="Complete",IF(C3046=10,Paths!$I$283,0),"n.a."))</f>
        <v>0</v>
      </c>
      <c r="M3046" s="16">
        <f>IF(NOT(Paths!$C$283=1),0,IF(Paths!$P$283="Complete",IF(AND(Paths!$D$283="EV",Paths!$E$283&lt;120,Paths!$E$283+'Operating costs'!$B$65&gt;Paths!$E$283,Paths!$E$283+'Operating costs'!$B$65&lt;=120,IF(Paths!$E$283+'Operating costs'!$B$65=0,C3046=0,AND(C3046&gt;0,Paths!$E$283+'Operating costs'!$B$65&gt;(C3046-1)*12,Paths!$E$283+'Operating costs'!$B$65&lt;=C3046*12))),'Operating costs'!$B$64,0)+IF(AND('Operating costs'!$B$67&gt;0,'Operating costs'!$B$67&lt;=120,OR(Paths!$D$283="ICE",'Operating costs'!$B$67&lt;=Paths!$E$283),IF('Operating costs'!$B$67=0,C3046=0,AND(C3046&gt;0,'Operating costs'!$B$67&gt;(C3046-1)*12,'Operating costs'!$B$67&lt;=C3046*12))),'Operating costs'!$B$66,0),"n.a."))</f>
        <v>0</v>
      </c>
      <c r="N3046" s="16">
        <f>IF(NOT(Paths!$C$283=1),0,IF(Paths!$P$283="Complete",SUM(G3046:I3046)-J3046-K3046-L3046+M3046+IF(C3046=0,Paths!$F$283,0)+IF(IF(Paths!$E$283=0,C3046=0,AND(C3046&gt;0,Paths!$E$283&gt;(C3046-1)*12,Paths!$E$283&lt;=C3046*12)),VLOOKUP(A3046,'Fleet register'!$A$7:$S$106,16,FALSE),0),"n.a."))</f>
        <v>0</v>
      </c>
      <c r="O3046" s="16">
        <f>IF(NOT(Paths!$C$283=1),0,IF(Paths!$P$283="Complete",N3046-IF(C3046=0,Paths!$F$283,0),"n.a."))</f>
        <v>0</v>
      </c>
      <c r="P3046" s="16">
        <f>IF(NOT(Paths!$C$283=1),0,IF(Paths!$P$283="Complete",O3046+L3046,"n.a."))</f>
        <v>0</v>
      </c>
      <c r="Q3046" s="16">
        <f>IF(NOT(Paths!$C$283=1),0,IF(Paths!$P$283="Complete",N3046*(1+'Operating costs'!$B$54)^-C3046,"n.a."))</f>
        <v>0</v>
      </c>
      <c r="R3046" s="16">
        <f>IF(NOT(Paths!$C$283=1),0,IF(Paths!$P$283="Complete",IF(AND(C3046=0,Paths!$E$283=0),I3046-J3046-K3046+VLOOKUP(A3046,'Fleet register'!$A$7:$S$106,15,FALSE)+VLOOKUP(A3046,'Fleet register'!$A$7:$S$106,16,FALSE),0),"n.a."))</f>
        <v>0</v>
      </c>
      <c r="S3046" s="1">
        <f>IF(NOT(Paths!$C$283=1),0,IF(Paths!$P$283="Complete",IF(C3046=0,0,Paths!$S$283*Paths!$R$283),"n.a."))</f>
        <v>0</v>
      </c>
      <c r="T3046" s="1">
        <f>IF(NOT(Paths!$C$283=1),0,IF(Paths!$P$283="Complete",IF(C3046=0,0,VLOOKUP(A3046,'Fleet register'!$A$7:$S$106,9,FALSE)*Paths!$R$283),"n.a."))</f>
        <v>0</v>
      </c>
    </row>
    <row r="3047" spans="1:20" ht="24" customHeight="1">
      <c r="A3047" s="1" t="str">
        <f>Paths!$A$283</f>
        <v>T070</v>
      </c>
      <c r="B3047" s="1">
        <f>Paths!$B$283</f>
        <v>0</v>
      </c>
      <c r="C3047" s="1">
        <v>4</v>
      </c>
      <c r="D3047" s="1">
        <v>283</v>
      </c>
      <c r="E3047" s="1">
        <f>IF(OR(Paths!$C$283=0,C3047=0),0,MAX(0,MIN(C3047*12,Paths!$E$283)-(C3047-1)*12))</f>
        <v>0</v>
      </c>
      <c r="F3047" s="1">
        <f>IF(OR(Paths!$C$283=0,C3047=0),0,12-E3047)</f>
        <v>0</v>
      </c>
      <c r="G3047" s="16">
        <f>IF(NOT(Paths!$C$283=1),0,IF(Paths!$P$283="Complete",E3047/12*(Paths!$J$283*(1+'Operating costs'!$B$51)^MAX(0,C3047-1)+Paths!$K$283*(1+'Operating costs'!$B$53)^MAX(0,C3047-1)),"n.a."))</f>
        <v>0</v>
      </c>
      <c r="H3047" s="16">
        <f>IF(NOT(Paths!$C$283=1),0,IF(Paths!$P$283="Complete",F3047/12*(Paths!$L$283*(1+IF(Paths!$D$283="EV",'Operating costs'!$B$52,'Operating costs'!$B$51))^MAX(0,C3047-1)+Paths!$M$283*(1+'Operating costs'!$B$53)^MAX(0,C3047-1)),"n.a."))</f>
        <v>0</v>
      </c>
      <c r="I3047" s="16">
        <f>IF(NOT(Paths!$C$283=1),0,IF(Paths!$P$283="Complete",IF(IF(Paths!$E$283=0,C3047=0,AND(C3047&gt;0,Paths!$E$283&gt;(C3047-1)*12,Paths!$E$283&lt;=C3047*12)),Paths!$G$283,0),"n.a."))</f>
        <v>0</v>
      </c>
      <c r="J3047" s="16">
        <f>IF(NOT(Paths!$C$283=1),0,IF(Paths!$P$283="Complete",IF(IF(Paths!$E$283=0,C3047=0,AND(C3047&gt;0,Paths!$E$283&gt;(C3047-1)*12,Paths!$E$283&lt;=C3047*12)),Paths!$H$283,0),"n.a."))</f>
        <v>0</v>
      </c>
      <c r="K3047" s="16">
        <f>IF(NOT(Paths!$C$283=1),0,IF(Paths!$P$283="Complete",IF(IF(Paths!$O$283=0,C3047=0,AND(C3047&gt;0,Paths!$O$283&gt;(C3047-1)*12,Paths!$O$283&lt;=C3047*12)),Paths!$N$283,0),"n.a."))</f>
        <v>0</v>
      </c>
      <c r="L3047" s="16">
        <f>IF(NOT(Paths!$C$283=1),0,IF(Paths!$P$283="Complete",IF(C3047=10,Paths!$I$283,0),"n.a."))</f>
        <v>0</v>
      </c>
      <c r="M3047" s="16">
        <f>IF(NOT(Paths!$C$283=1),0,IF(Paths!$P$283="Complete",IF(AND(Paths!$D$283="EV",Paths!$E$283&lt;120,Paths!$E$283+'Operating costs'!$B$65&gt;Paths!$E$283,Paths!$E$283+'Operating costs'!$B$65&lt;=120,IF(Paths!$E$283+'Operating costs'!$B$65=0,C3047=0,AND(C3047&gt;0,Paths!$E$283+'Operating costs'!$B$65&gt;(C3047-1)*12,Paths!$E$283+'Operating costs'!$B$65&lt;=C3047*12))),'Operating costs'!$B$64,0)+IF(AND('Operating costs'!$B$67&gt;0,'Operating costs'!$B$67&lt;=120,OR(Paths!$D$283="ICE",'Operating costs'!$B$67&lt;=Paths!$E$283),IF('Operating costs'!$B$67=0,C3047=0,AND(C3047&gt;0,'Operating costs'!$B$67&gt;(C3047-1)*12,'Operating costs'!$B$67&lt;=C3047*12))),'Operating costs'!$B$66,0),"n.a."))</f>
        <v>0</v>
      </c>
      <c r="N3047" s="16">
        <f>IF(NOT(Paths!$C$283=1),0,IF(Paths!$P$283="Complete",SUM(G3047:I3047)-J3047-K3047-L3047+M3047+IF(C3047=0,Paths!$F$283,0)+IF(IF(Paths!$E$283=0,C3047=0,AND(C3047&gt;0,Paths!$E$283&gt;(C3047-1)*12,Paths!$E$283&lt;=C3047*12)),VLOOKUP(A3047,'Fleet register'!$A$7:$S$106,16,FALSE),0),"n.a."))</f>
        <v>0</v>
      </c>
      <c r="O3047" s="16">
        <f>IF(NOT(Paths!$C$283=1),0,IF(Paths!$P$283="Complete",N3047-IF(C3047=0,Paths!$F$283,0),"n.a."))</f>
        <v>0</v>
      </c>
      <c r="P3047" s="16">
        <f>IF(NOT(Paths!$C$283=1),0,IF(Paths!$P$283="Complete",O3047+L3047,"n.a."))</f>
        <v>0</v>
      </c>
      <c r="Q3047" s="16">
        <f>IF(NOT(Paths!$C$283=1),0,IF(Paths!$P$283="Complete",N3047*(1+'Operating costs'!$B$54)^-C3047,"n.a."))</f>
        <v>0</v>
      </c>
      <c r="R3047" s="16">
        <f>IF(NOT(Paths!$C$283=1),0,IF(Paths!$P$283="Complete",IF(AND(C3047=0,Paths!$E$283=0),I3047-J3047-K3047+VLOOKUP(A3047,'Fleet register'!$A$7:$S$106,15,FALSE)+VLOOKUP(A3047,'Fleet register'!$A$7:$S$106,16,FALSE),0),"n.a."))</f>
        <v>0</v>
      </c>
      <c r="S3047" s="1">
        <f>IF(NOT(Paths!$C$283=1),0,IF(Paths!$P$283="Complete",IF(C3047=0,0,Paths!$S$283*Paths!$R$283),"n.a."))</f>
        <v>0</v>
      </c>
      <c r="T3047" s="1">
        <f>IF(NOT(Paths!$C$283=1),0,IF(Paths!$P$283="Complete",IF(C3047=0,0,VLOOKUP(A3047,'Fleet register'!$A$7:$S$106,9,FALSE)*Paths!$R$283),"n.a."))</f>
        <v>0</v>
      </c>
    </row>
    <row r="3048" spans="1:20" ht="24" customHeight="1">
      <c r="A3048" s="1" t="str">
        <f>Paths!$A$283</f>
        <v>T070</v>
      </c>
      <c r="B3048" s="1">
        <f>Paths!$B$283</f>
        <v>0</v>
      </c>
      <c r="C3048" s="1">
        <v>5</v>
      </c>
      <c r="D3048" s="1">
        <v>283</v>
      </c>
      <c r="E3048" s="1">
        <f>IF(OR(Paths!$C$283=0,C3048=0),0,MAX(0,MIN(C3048*12,Paths!$E$283)-(C3048-1)*12))</f>
        <v>0</v>
      </c>
      <c r="F3048" s="1">
        <f>IF(OR(Paths!$C$283=0,C3048=0),0,12-E3048)</f>
        <v>0</v>
      </c>
      <c r="G3048" s="16">
        <f>IF(NOT(Paths!$C$283=1),0,IF(Paths!$P$283="Complete",E3048/12*(Paths!$J$283*(1+'Operating costs'!$B$51)^MAX(0,C3048-1)+Paths!$K$283*(1+'Operating costs'!$B$53)^MAX(0,C3048-1)),"n.a."))</f>
        <v>0</v>
      </c>
      <c r="H3048" s="16">
        <f>IF(NOT(Paths!$C$283=1),0,IF(Paths!$P$283="Complete",F3048/12*(Paths!$L$283*(1+IF(Paths!$D$283="EV",'Operating costs'!$B$52,'Operating costs'!$B$51))^MAX(0,C3048-1)+Paths!$M$283*(1+'Operating costs'!$B$53)^MAX(0,C3048-1)),"n.a."))</f>
        <v>0</v>
      </c>
      <c r="I3048" s="16">
        <f>IF(NOT(Paths!$C$283=1),0,IF(Paths!$P$283="Complete",IF(IF(Paths!$E$283=0,C3048=0,AND(C3048&gt;0,Paths!$E$283&gt;(C3048-1)*12,Paths!$E$283&lt;=C3048*12)),Paths!$G$283,0),"n.a."))</f>
        <v>0</v>
      </c>
      <c r="J3048" s="16">
        <f>IF(NOT(Paths!$C$283=1),0,IF(Paths!$P$283="Complete",IF(IF(Paths!$E$283=0,C3048=0,AND(C3048&gt;0,Paths!$E$283&gt;(C3048-1)*12,Paths!$E$283&lt;=C3048*12)),Paths!$H$283,0),"n.a."))</f>
        <v>0</v>
      </c>
      <c r="K3048" s="16">
        <f>IF(NOT(Paths!$C$283=1),0,IF(Paths!$P$283="Complete",IF(IF(Paths!$O$283=0,C3048=0,AND(C3048&gt;0,Paths!$O$283&gt;(C3048-1)*12,Paths!$O$283&lt;=C3048*12)),Paths!$N$283,0),"n.a."))</f>
        <v>0</v>
      </c>
      <c r="L3048" s="16">
        <f>IF(NOT(Paths!$C$283=1),0,IF(Paths!$P$283="Complete",IF(C3048=10,Paths!$I$283,0),"n.a."))</f>
        <v>0</v>
      </c>
      <c r="M3048" s="16">
        <f>IF(NOT(Paths!$C$283=1),0,IF(Paths!$P$283="Complete",IF(AND(Paths!$D$283="EV",Paths!$E$283&lt;120,Paths!$E$283+'Operating costs'!$B$65&gt;Paths!$E$283,Paths!$E$283+'Operating costs'!$B$65&lt;=120,IF(Paths!$E$283+'Operating costs'!$B$65=0,C3048=0,AND(C3048&gt;0,Paths!$E$283+'Operating costs'!$B$65&gt;(C3048-1)*12,Paths!$E$283+'Operating costs'!$B$65&lt;=C3048*12))),'Operating costs'!$B$64,0)+IF(AND('Operating costs'!$B$67&gt;0,'Operating costs'!$B$67&lt;=120,OR(Paths!$D$283="ICE",'Operating costs'!$B$67&lt;=Paths!$E$283),IF('Operating costs'!$B$67=0,C3048=0,AND(C3048&gt;0,'Operating costs'!$B$67&gt;(C3048-1)*12,'Operating costs'!$B$67&lt;=C3048*12))),'Operating costs'!$B$66,0),"n.a."))</f>
        <v>0</v>
      </c>
      <c r="N3048" s="16">
        <f>IF(NOT(Paths!$C$283=1),0,IF(Paths!$P$283="Complete",SUM(G3048:I3048)-J3048-K3048-L3048+M3048+IF(C3048=0,Paths!$F$283,0)+IF(IF(Paths!$E$283=0,C3048=0,AND(C3048&gt;0,Paths!$E$283&gt;(C3048-1)*12,Paths!$E$283&lt;=C3048*12)),VLOOKUP(A3048,'Fleet register'!$A$7:$S$106,16,FALSE),0),"n.a."))</f>
        <v>0</v>
      </c>
      <c r="O3048" s="16">
        <f>IF(NOT(Paths!$C$283=1),0,IF(Paths!$P$283="Complete",N3048-IF(C3048=0,Paths!$F$283,0),"n.a."))</f>
        <v>0</v>
      </c>
      <c r="P3048" s="16">
        <f>IF(NOT(Paths!$C$283=1),0,IF(Paths!$P$283="Complete",O3048+L3048,"n.a."))</f>
        <v>0</v>
      </c>
      <c r="Q3048" s="16">
        <f>IF(NOT(Paths!$C$283=1),0,IF(Paths!$P$283="Complete",N3048*(1+'Operating costs'!$B$54)^-C3048,"n.a."))</f>
        <v>0</v>
      </c>
      <c r="R3048" s="16">
        <f>IF(NOT(Paths!$C$283=1),0,IF(Paths!$P$283="Complete",IF(AND(C3048=0,Paths!$E$283=0),I3048-J3048-K3048+VLOOKUP(A3048,'Fleet register'!$A$7:$S$106,15,FALSE)+VLOOKUP(A3048,'Fleet register'!$A$7:$S$106,16,FALSE),0),"n.a."))</f>
        <v>0</v>
      </c>
      <c r="S3048" s="1">
        <f>IF(NOT(Paths!$C$283=1),0,IF(Paths!$P$283="Complete",IF(C3048=0,0,Paths!$S$283*Paths!$R$283),"n.a."))</f>
        <v>0</v>
      </c>
      <c r="T3048" s="1">
        <f>IF(NOT(Paths!$C$283=1),0,IF(Paths!$P$283="Complete",IF(C3048=0,0,VLOOKUP(A3048,'Fleet register'!$A$7:$S$106,9,FALSE)*Paths!$R$283),"n.a."))</f>
        <v>0</v>
      </c>
    </row>
    <row r="3049" spans="1:20" ht="24" customHeight="1">
      <c r="A3049" s="1" t="str">
        <f>Paths!$A$283</f>
        <v>T070</v>
      </c>
      <c r="B3049" s="1">
        <f>Paths!$B$283</f>
        <v>0</v>
      </c>
      <c r="C3049" s="1">
        <v>6</v>
      </c>
      <c r="D3049" s="1">
        <v>283</v>
      </c>
      <c r="E3049" s="1">
        <f>IF(OR(Paths!$C$283=0,C3049=0),0,MAX(0,MIN(C3049*12,Paths!$E$283)-(C3049-1)*12))</f>
        <v>0</v>
      </c>
      <c r="F3049" s="1">
        <f>IF(OR(Paths!$C$283=0,C3049=0),0,12-E3049)</f>
        <v>0</v>
      </c>
      <c r="G3049" s="16">
        <f>IF(NOT(Paths!$C$283=1),0,IF(Paths!$P$283="Complete",E3049/12*(Paths!$J$283*(1+'Operating costs'!$B$51)^MAX(0,C3049-1)+Paths!$K$283*(1+'Operating costs'!$B$53)^MAX(0,C3049-1)),"n.a."))</f>
        <v>0</v>
      </c>
      <c r="H3049" s="16">
        <f>IF(NOT(Paths!$C$283=1),0,IF(Paths!$P$283="Complete",F3049/12*(Paths!$L$283*(1+IF(Paths!$D$283="EV",'Operating costs'!$B$52,'Operating costs'!$B$51))^MAX(0,C3049-1)+Paths!$M$283*(1+'Operating costs'!$B$53)^MAX(0,C3049-1)),"n.a."))</f>
        <v>0</v>
      </c>
      <c r="I3049" s="16">
        <f>IF(NOT(Paths!$C$283=1),0,IF(Paths!$P$283="Complete",IF(IF(Paths!$E$283=0,C3049=0,AND(C3049&gt;0,Paths!$E$283&gt;(C3049-1)*12,Paths!$E$283&lt;=C3049*12)),Paths!$G$283,0),"n.a."))</f>
        <v>0</v>
      </c>
      <c r="J3049" s="16">
        <f>IF(NOT(Paths!$C$283=1),0,IF(Paths!$P$283="Complete",IF(IF(Paths!$E$283=0,C3049=0,AND(C3049&gt;0,Paths!$E$283&gt;(C3049-1)*12,Paths!$E$283&lt;=C3049*12)),Paths!$H$283,0),"n.a."))</f>
        <v>0</v>
      </c>
      <c r="K3049" s="16">
        <f>IF(NOT(Paths!$C$283=1),0,IF(Paths!$P$283="Complete",IF(IF(Paths!$O$283=0,C3049=0,AND(C3049&gt;0,Paths!$O$283&gt;(C3049-1)*12,Paths!$O$283&lt;=C3049*12)),Paths!$N$283,0),"n.a."))</f>
        <v>0</v>
      </c>
      <c r="L3049" s="16">
        <f>IF(NOT(Paths!$C$283=1),0,IF(Paths!$P$283="Complete",IF(C3049=10,Paths!$I$283,0),"n.a."))</f>
        <v>0</v>
      </c>
      <c r="M3049" s="16">
        <f>IF(NOT(Paths!$C$283=1),0,IF(Paths!$P$283="Complete",IF(AND(Paths!$D$283="EV",Paths!$E$283&lt;120,Paths!$E$283+'Operating costs'!$B$65&gt;Paths!$E$283,Paths!$E$283+'Operating costs'!$B$65&lt;=120,IF(Paths!$E$283+'Operating costs'!$B$65=0,C3049=0,AND(C3049&gt;0,Paths!$E$283+'Operating costs'!$B$65&gt;(C3049-1)*12,Paths!$E$283+'Operating costs'!$B$65&lt;=C3049*12))),'Operating costs'!$B$64,0)+IF(AND('Operating costs'!$B$67&gt;0,'Operating costs'!$B$67&lt;=120,OR(Paths!$D$283="ICE",'Operating costs'!$B$67&lt;=Paths!$E$283),IF('Operating costs'!$B$67=0,C3049=0,AND(C3049&gt;0,'Operating costs'!$B$67&gt;(C3049-1)*12,'Operating costs'!$B$67&lt;=C3049*12))),'Operating costs'!$B$66,0),"n.a."))</f>
        <v>0</v>
      </c>
      <c r="N3049" s="16">
        <f>IF(NOT(Paths!$C$283=1),0,IF(Paths!$P$283="Complete",SUM(G3049:I3049)-J3049-K3049-L3049+M3049+IF(C3049=0,Paths!$F$283,0)+IF(IF(Paths!$E$283=0,C3049=0,AND(C3049&gt;0,Paths!$E$283&gt;(C3049-1)*12,Paths!$E$283&lt;=C3049*12)),VLOOKUP(A3049,'Fleet register'!$A$7:$S$106,16,FALSE),0),"n.a."))</f>
        <v>0</v>
      </c>
      <c r="O3049" s="16">
        <f>IF(NOT(Paths!$C$283=1),0,IF(Paths!$P$283="Complete",N3049-IF(C3049=0,Paths!$F$283,0),"n.a."))</f>
        <v>0</v>
      </c>
      <c r="P3049" s="16">
        <f>IF(NOT(Paths!$C$283=1),0,IF(Paths!$P$283="Complete",O3049+L3049,"n.a."))</f>
        <v>0</v>
      </c>
      <c r="Q3049" s="16">
        <f>IF(NOT(Paths!$C$283=1),0,IF(Paths!$P$283="Complete",N3049*(1+'Operating costs'!$B$54)^-C3049,"n.a."))</f>
        <v>0</v>
      </c>
      <c r="R3049" s="16">
        <f>IF(NOT(Paths!$C$283=1),0,IF(Paths!$P$283="Complete",IF(AND(C3049=0,Paths!$E$283=0),I3049-J3049-K3049+VLOOKUP(A3049,'Fleet register'!$A$7:$S$106,15,FALSE)+VLOOKUP(A3049,'Fleet register'!$A$7:$S$106,16,FALSE),0),"n.a."))</f>
        <v>0</v>
      </c>
      <c r="S3049" s="1">
        <f>IF(NOT(Paths!$C$283=1),0,IF(Paths!$P$283="Complete",IF(C3049=0,0,Paths!$S$283*Paths!$R$283),"n.a."))</f>
        <v>0</v>
      </c>
      <c r="T3049" s="1">
        <f>IF(NOT(Paths!$C$283=1),0,IF(Paths!$P$283="Complete",IF(C3049=0,0,VLOOKUP(A3049,'Fleet register'!$A$7:$S$106,9,FALSE)*Paths!$R$283),"n.a."))</f>
        <v>0</v>
      </c>
    </row>
    <row r="3050" spans="1:20" ht="24" customHeight="1">
      <c r="A3050" s="1" t="str">
        <f>Paths!$A$283</f>
        <v>T070</v>
      </c>
      <c r="B3050" s="1">
        <f>Paths!$B$283</f>
        <v>0</v>
      </c>
      <c r="C3050" s="1">
        <v>7</v>
      </c>
      <c r="D3050" s="1">
        <v>283</v>
      </c>
      <c r="E3050" s="1">
        <f>IF(OR(Paths!$C$283=0,C3050=0),0,MAX(0,MIN(C3050*12,Paths!$E$283)-(C3050-1)*12))</f>
        <v>0</v>
      </c>
      <c r="F3050" s="1">
        <f>IF(OR(Paths!$C$283=0,C3050=0),0,12-E3050)</f>
        <v>0</v>
      </c>
      <c r="G3050" s="16">
        <f>IF(NOT(Paths!$C$283=1),0,IF(Paths!$P$283="Complete",E3050/12*(Paths!$J$283*(1+'Operating costs'!$B$51)^MAX(0,C3050-1)+Paths!$K$283*(1+'Operating costs'!$B$53)^MAX(0,C3050-1)),"n.a."))</f>
        <v>0</v>
      </c>
      <c r="H3050" s="16">
        <f>IF(NOT(Paths!$C$283=1),0,IF(Paths!$P$283="Complete",F3050/12*(Paths!$L$283*(1+IF(Paths!$D$283="EV",'Operating costs'!$B$52,'Operating costs'!$B$51))^MAX(0,C3050-1)+Paths!$M$283*(1+'Operating costs'!$B$53)^MAX(0,C3050-1)),"n.a."))</f>
        <v>0</v>
      </c>
      <c r="I3050" s="16">
        <f>IF(NOT(Paths!$C$283=1),0,IF(Paths!$P$283="Complete",IF(IF(Paths!$E$283=0,C3050=0,AND(C3050&gt;0,Paths!$E$283&gt;(C3050-1)*12,Paths!$E$283&lt;=C3050*12)),Paths!$G$283,0),"n.a."))</f>
        <v>0</v>
      </c>
      <c r="J3050" s="16">
        <f>IF(NOT(Paths!$C$283=1),0,IF(Paths!$P$283="Complete",IF(IF(Paths!$E$283=0,C3050=0,AND(C3050&gt;0,Paths!$E$283&gt;(C3050-1)*12,Paths!$E$283&lt;=C3050*12)),Paths!$H$283,0),"n.a."))</f>
        <v>0</v>
      </c>
      <c r="K3050" s="16">
        <f>IF(NOT(Paths!$C$283=1),0,IF(Paths!$P$283="Complete",IF(IF(Paths!$O$283=0,C3050=0,AND(C3050&gt;0,Paths!$O$283&gt;(C3050-1)*12,Paths!$O$283&lt;=C3050*12)),Paths!$N$283,0),"n.a."))</f>
        <v>0</v>
      </c>
      <c r="L3050" s="16">
        <f>IF(NOT(Paths!$C$283=1),0,IF(Paths!$P$283="Complete",IF(C3050=10,Paths!$I$283,0),"n.a."))</f>
        <v>0</v>
      </c>
      <c r="M3050" s="16">
        <f>IF(NOT(Paths!$C$283=1),0,IF(Paths!$P$283="Complete",IF(AND(Paths!$D$283="EV",Paths!$E$283&lt;120,Paths!$E$283+'Operating costs'!$B$65&gt;Paths!$E$283,Paths!$E$283+'Operating costs'!$B$65&lt;=120,IF(Paths!$E$283+'Operating costs'!$B$65=0,C3050=0,AND(C3050&gt;0,Paths!$E$283+'Operating costs'!$B$65&gt;(C3050-1)*12,Paths!$E$283+'Operating costs'!$B$65&lt;=C3050*12))),'Operating costs'!$B$64,0)+IF(AND('Operating costs'!$B$67&gt;0,'Operating costs'!$B$67&lt;=120,OR(Paths!$D$283="ICE",'Operating costs'!$B$67&lt;=Paths!$E$283),IF('Operating costs'!$B$67=0,C3050=0,AND(C3050&gt;0,'Operating costs'!$B$67&gt;(C3050-1)*12,'Operating costs'!$B$67&lt;=C3050*12))),'Operating costs'!$B$66,0),"n.a."))</f>
        <v>0</v>
      </c>
      <c r="N3050" s="16">
        <f>IF(NOT(Paths!$C$283=1),0,IF(Paths!$P$283="Complete",SUM(G3050:I3050)-J3050-K3050-L3050+M3050+IF(C3050=0,Paths!$F$283,0)+IF(IF(Paths!$E$283=0,C3050=0,AND(C3050&gt;0,Paths!$E$283&gt;(C3050-1)*12,Paths!$E$283&lt;=C3050*12)),VLOOKUP(A3050,'Fleet register'!$A$7:$S$106,16,FALSE),0),"n.a."))</f>
        <v>0</v>
      </c>
      <c r="O3050" s="16">
        <f>IF(NOT(Paths!$C$283=1),0,IF(Paths!$P$283="Complete",N3050-IF(C3050=0,Paths!$F$283,0),"n.a."))</f>
        <v>0</v>
      </c>
      <c r="P3050" s="16">
        <f>IF(NOT(Paths!$C$283=1),0,IF(Paths!$P$283="Complete",O3050+L3050,"n.a."))</f>
        <v>0</v>
      </c>
      <c r="Q3050" s="16">
        <f>IF(NOT(Paths!$C$283=1),0,IF(Paths!$P$283="Complete",N3050*(1+'Operating costs'!$B$54)^-C3050,"n.a."))</f>
        <v>0</v>
      </c>
      <c r="R3050" s="16">
        <f>IF(NOT(Paths!$C$283=1),0,IF(Paths!$P$283="Complete",IF(AND(C3050=0,Paths!$E$283=0),I3050-J3050-K3050+VLOOKUP(A3050,'Fleet register'!$A$7:$S$106,15,FALSE)+VLOOKUP(A3050,'Fleet register'!$A$7:$S$106,16,FALSE),0),"n.a."))</f>
        <v>0</v>
      </c>
      <c r="S3050" s="1">
        <f>IF(NOT(Paths!$C$283=1),0,IF(Paths!$P$283="Complete",IF(C3050=0,0,Paths!$S$283*Paths!$R$283),"n.a."))</f>
        <v>0</v>
      </c>
      <c r="T3050" s="1">
        <f>IF(NOT(Paths!$C$283=1),0,IF(Paths!$P$283="Complete",IF(C3050=0,0,VLOOKUP(A3050,'Fleet register'!$A$7:$S$106,9,FALSE)*Paths!$R$283),"n.a."))</f>
        <v>0</v>
      </c>
    </row>
    <row r="3051" spans="1:20" ht="24" customHeight="1">
      <c r="A3051" s="1" t="str">
        <f>Paths!$A$283</f>
        <v>T070</v>
      </c>
      <c r="B3051" s="1">
        <f>Paths!$B$283</f>
        <v>0</v>
      </c>
      <c r="C3051" s="1">
        <v>8</v>
      </c>
      <c r="D3051" s="1">
        <v>283</v>
      </c>
      <c r="E3051" s="1">
        <f>IF(OR(Paths!$C$283=0,C3051=0),0,MAX(0,MIN(C3051*12,Paths!$E$283)-(C3051-1)*12))</f>
        <v>0</v>
      </c>
      <c r="F3051" s="1">
        <f>IF(OR(Paths!$C$283=0,C3051=0),0,12-E3051)</f>
        <v>0</v>
      </c>
      <c r="G3051" s="16">
        <f>IF(NOT(Paths!$C$283=1),0,IF(Paths!$P$283="Complete",E3051/12*(Paths!$J$283*(1+'Operating costs'!$B$51)^MAX(0,C3051-1)+Paths!$K$283*(1+'Operating costs'!$B$53)^MAX(0,C3051-1)),"n.a."))</f>
        <v>0</v>
      </c>
      <c r="H3051" s="16">
        <f>IF(NOT(Paths!$C$283=1),0,IF(Paths!$P$283="Complete",F3051/12*(Paths!$L$283*(1+IF(Paths!$D$283="EV",'Operating costs'!$B$52,'Operating costs'!$B$51))^MAX(0,C3051-1)+Paths!$M$283*(1+'Operating costs'!$B$53)^MAX(0,C3051-1)),"n.a."))</f>
        <v>0</v>
      </c>
      <c r="I3051" s="16">
        <f>IF(NOT(Paths!$C$283=1),0,IF(Paths!$P$283="Complete",IF(IF(Paths!$E$283=0,C3051=0,AND(C3051&gt;0,Paths!$E$283&gt;(C3051-1)*12,Paths!$E$283&lt;=C3051*12)),Paths!$G$283,0),"n.a."))</f>
        <v>0</v>
      </c>
      <c r="J3051" s="16">
        <f>IF(NOT(Paths!$C$283=1),0,IF(Paths!$P$283="Complete",IF(IF(Paths!$E$283=0,C3051=0,AND(C3051&gt;0,Paths!$E$283&gt;(C3051-1)*12,Paths!$E$283&lt;=C3051*12)),Paths!$H$283,0),"n.a."))</f>
        <v>0</v>
      </c>
      <c r="K3051" s="16">
        <f>IF(NOT(Paths!$C$283=1),0,IF(Paths!$P$283="Complete",IF(IF(Paths!$O$283=0,C3051=0,AND(C3051&gt;0,Paths!$O$283&gt;(C3051-1)*12,Paths!$O$283&lt;=C3051*12)),Paths!$N$283,0),"n.a."))</f>
        <v>0</v>
      </c>
      <c r="L3051" s="16">
        <f>IF(NOT(Paths!$C$283=1),0,IF(Paths!$P$283="Complete",IF(C3051=10,Paths!$I$283,0),"n.a."))</f>
        <v>0</v>
      </c>
      <c r="M3051" s="16">
        <f>IF(NOT(Paths!$C$283=1),0,IF(Paths!$P$283="Complete",IF(AND(Paths!$D$283="EV",Paths!$E$283&lt;120,Paths!$E$283+'Operating costs'!$B$65&gt;Paths!$E$283,Paths!$E$283+'Operating costs'!$B$65&lt;=120,IF(Paths!$E$283+'Operating costs'!$B$65=0,C3051=0,AND(C3051&gt;0,Paths!$E$283+'Operating costs'!$B$65&gt;(C3051-1)*12,Paths!$E$283+'Operating costs'!$B$65&lt;=C3051*12))),'Operating costs'!$B$64,0)+IF(AND('Operating costs'!$B$67&gt;0,'Operating costs'!$B$67&lt;=120,OR(Paths!$D$283="ICE",'Operating costs'!$B$67&lt;=Paths!$E$283),IF('Operating costs'!$B$67=0,C3051=0,AND(C3051&gt;0,'Operating costs'!$B$67&gt;(C3051-1)*12,'Operating costs'!$B$67&lt;=C3051*12))),'Operating costs'!$B$66,0),"n.a."))</f>
        <v>0</v>
      </c>
      <c r="N3051" s="16">
        <f>IF(NOT(Paths!$C$283=1),0,IF(Paths!$P$283="Complete",SUM(G3051:I3051)-J3051-K3051-L3051+M3051+IF(C3051=0,Paths!$F$283,0)+IF(IF(Paths!$E$283=0,C3051=0,AND(C3051&gt;0,Paths!$E$283&gt;(C3051-1)*12,Paths!$E$283&lt;=C3051*12)),VLOOKUP(A3051,'Fleet register'!$A$7:$S$106,16,FALSE),0),"n.a."))</f>
        <v>0</v>
      </c>
      <c r="O3051" s="16">
        <f>IF(NOT(Paths!$C$283=1),0,IF(Paths!$P$283="Complete",N3051-IF(C3051=0,Paths!$F$283,0),"n.a."))</f>
        <v>0</v>
      </c>
      <c r="P3051" s="16">
        <f>IF(NOT(Paths!$C$283=1),0,IF(Paths!$P$283="Complete",O3051+L3051,"n.a."))</f>
        <v>0</v>
      </c>
      <c r="Q3051" s="16">
        <f>IF(NOT(Paths!$C$283=1),0,IF(Paths!$P$283="Complete",N3051*(1+'Operating costs'!$B$54)^-C3051,"n.a."))</f>
        <v>0</v>
      </c>
      <c r="R3051" s="16">
        <f>IF(NOT(Paths!$C$283=1),0,IF(Paths!$P$283="Complete",IF(AND(C3051=0,Paths!$E$283=0),I3051-J3051-K3051+VLOOKUP(A3051,'Fleet register'!$A$7:$S$106,15,FALSE)+VLOOKUP(A3051,'Fleet register'!$A$7:$S$106,16,FALSE),0),"n.a."))</f>
        <v>0</v>
      </c>
      <c r="S3051" s="1">
        <f>IF(NOT(Paths!$C$283=1),0,IF(Paths!$P$283="Complete",IF(C3051=0,0,Paths!$S$283*Paths!$R$283),"n.a."))</f>
        <v>0</v>
      </c>
      <c r="T3051" s="1">
        <f>IF(NOT(Paths!$C$283=1),0,IF(Paths!$P$283="Complete",IF(C3051=0,0,VLOOKUP(A3051,'Fleet register'!$A$7:$S$106,9,FALSE)*Paths!$R$283),"n.a."))</f>
        <v>0</v>
      </c>
    </row>
    <row r="3052" spans="1:20" ht="24" customHeight="1">
      <c r="A3052" s="1" t="str">
        <f>Paths!$A$283</f>
        <v>T070</v>
      </c>
      <c r="B3052" s="1">
        <f>Paths!$B$283</f>
        <v>0</v>
      </c>
      <c r="C3052" s="1">
        <v>9</v>
      </c>
      <c r="D3052" s="1">
        <v>283</v>
      </c>
      <c r="E3052" s="1">
        <f>IF(OR(Paths!$C$283=0,C3052=0),0,MAX(0,MIN(C3052*12,Paths!$E$283)-(C3052-1)*12))</f>
        <v>0</v>
      </c>
      <c r="F3052" s="1">
        <f>IF(OR(Paths!$C$283=0,C3052=0),0,12-E3052)</f>
        <v>0</v>
      </c>
      <c r="G3052" s="16">
        <f>IF(NOT(Paths!$C$283=1),0,IF(Paths!$P$283="Complete",E3052/12*(Paths!$J$283*(1+'Operating costs'!$B$51)^MAX(0,C3052-1)+Paths!$K$283*(1+'Operating costs'!$B$53)^MAX(0,C3052-1)),"n.a."))</f>
        <v>0</v>
      </c>
      <c r="H3052" s="16">
        <f>IF(NOT(Paths!$C$283=1),0,IF(Paths!$P$283="Complete",F3052/12*(Paths!$L$283*(1+IF(Paths!$D$283="EV",'Operating costs'!$B$52,'Operating costs'!$B$51))^MAX(0,C3052-1)+Paths!$M$283*(1+'Operating costs'!$B$53)^MAX(0,C3052-1)),"n.a."))</f>
        <v>0</v>
      </c>
      <c r="I3052" s="16">
        <f>IF(NOT(Paths!$C$283=1),0,IF(Paths!$P$283="Complete",IF(IF(Paths!$E$283=0,C3052=0,AND(C3052&gt;0,Paths!$E$283&gt;(C3052-1)*12,Paths!$E$283&lt;=C3052*12)),Paths!$G$283,0),"n.a."))</f>
        <v>0</v>
      </c>
      <c r="J3052" s="16">
        <f>IF(NOT(Paths!$C$283=1),0,IF(Paths!$P$283="Complete",IF(IF(Paths!$E$283=0,C3052=0,AND(C3052&gt;0,Paths!$E$283&gt;(C3052-1)*12,Paths!$E$283&lt;=C3052*12)),Paths!$H$283,0),"n.a."))</f>
        <v>0</v>
      </c>
      <c r="K3052" s="16">
        <f>IF(NOT(Paths!$C$283=1),0,IF(Paths!$P$283="Complete",IF(IF(Paths!$O$283=0,C3052=0,AND(C3052&gt;0,Paths!$O$283&gt;(C3052-1)*12,Paths!$O$283&lt;=C3052*12)),Paths!$N$283,0),"n.a."))</f>
        <v>0</v>
      </c>
      <c r="L3052" s="16">
        <f>IF(NOT(Paths!$C$283=1),0,IF(Paths!$P$283="Complete",IF(C3052=10,Paths!$I$283,0),"n.a."))</f>
        <v>0</v>
      </c>
      <c r="M3052" s="16">
        <f>IF(NOT(Paths!$C$283=1),0,IF(Paths!$P$283="Complete",IF(AND(Paths!$D$283="EV",Paths!$E$283&lt;120,Paths!$E$283+'Operating costs'!$B$65&gt;Paths!$E$283,Paths!$E$283+'Operating costs'!$B$65&lt;=120,IF(Paths!$E$283+'Operating costs'!$B$65=0,C3052=0,AND(C3052&gt;0,Paths!$E$283+'Operating costs'!$B$65&gt;(C3052-1)*12,Paths!$E$283+'Operating costs'!$B$65&lt;=C3052*12))),'Operating costs'!$B$64,0)+IF(AND('Operating costs'!$B$67&gt;0,'Operating costs'!$B$67&lt;=120,OR(Paths!$D$283="ICE",'Operating costs'!$B$67&lt;=Paths!$E$283),IF('Operating costs'!$B$67=0,C3052=0,AND(C3052&gt;0,'Operating costs'!$B$67&gt;(C3052-1)*12,'Operating costs'!$B$67&lt;=C3052*12))),'Operating costs'!$B$66,0),"n.a."))</f>
        <v>0</v>
      </c>
      <c r="N3052" s="16">
        <f>IF(NOT(Paths!$C$283=1),0,IF(Paths!$P$283="Complete",SUM(G3052:I3052)-J3052-K3052-L3052+M3052+IF(C3052=0,Paths!$F$283,0)+IF(IF(Paths!$E$283=0,C3052=0,AND(C3052&gt;0,Paths!$E$283&gt;(C3052-1)*12,Paths!$E$283&lt;=C3052*12)),VLOOKUP(A3052,'Fleet register'!$A$7:$S$106,16,FALSE),0),"n.a."))</f>
        <v>0</v>
      </c>
      <c r="O3052" s="16">
        <f>IF(NOT(Paths!$C$283=1),0,IF(Paths!$P$283="Complete",N3052-IF(C3052=0,Paths!$F$283,0),"n.a."))</f>
        <v>0</v>
      </c>
      <c r="P3052" s="16">
        <f>IF(NOT(Paths!$C$283=1),0,IF(Paths!$P$283="Complete",O3052+L3052,"n.a."))</f>
        <v>0</v>
      </c>
      <c r="Q3052" s="16">
        <f>IF(NOT(Paths!$C$283=1),0,IF(Paths!$P$283="Complete",N3052*(1+'Operating costs'!$B$54)^-C3052,"n.a."))</f>
        <v>0</v>
      </c>
      <c r="R3052" s="16">
        <f>IF(NOT(Paths!$C$283=1),0,IF(Paths!$P$283="Complete",IF(AND(C3052=0,Paths!$E$283=0),I3052-J3052-K3052+VLOOKUP(A3052,'Fleet register'!$A$7:$S$106,15,FALSE)+VLOOKUP(A3052,'Fleet register'!$A$7:$S$106,16,FALSE),0),"n.a."))</f>
        <v>0</v>
      </c>
      <c r="S3052" s="1">
        <f>IF(NOT(Paths!$C$283=1),0,IF(Paths!$P$283="Complete",IF(C3052=0,0,Paths!$S$283*Paths!$R$283),"n.a."))</f>
        <v>0</v>
      </c>
      <c r="T3052" s="1">
        <f>IF(NOT(Paths!$C$283=1),0,IF(Paths!$P$283="Complete",IF(C3052=0,0,VLOOKUP(A3052,'Fleet register'!$A$7:$S$106,9,FALSE)*Paths!$R$283),"n.a."))</f>
        <v>0</v>
      </c>
    </row>
    <row r="3053" spans="1:20" ht="24" customHeight="1">
      <c r="A3053" s="1" t="str">
        <f>Paths!$A$283</f>
        <v>T070</v>
      </c>
      <c r="B3053" s="1">
        <f>Paths!$B$283</f>
        <v>0</v>
      </c>
      <c r="C3053" s="1">
        <v>10</v>
      </c>
      <c r="D3053" s="1">
        <v>283</v>
      </c>
      <c r="E3053" s="1">
        <f>IF(OR(Paths!$C$283=0,C3053=0),0,MAX(0,MIN(C3053*12,Paths!$E$283)-(C3053-1)*12))</f>
        <v>0</v>
      </c>
      <c r="F3053" s="1">
        <f>IF(OR(Paths!$C$283=0,C3053=0),0,12-E3053)</f>
        <v>0</v>
      </c>
      <c r="G3053" s="16">
        <f>IF(NOT(Paths!$C$283=1),0,IF(Paths!$P$283="Complete",E3053/12*(Paths!$J$283*(1+'Operating costs'!$B$51)^MAX(0,C3053-1)+Paths!$K$283*(1+'Operating costs'!$B$53)^MAX(0,C3053-1)),"n.a."))</f>
        <v>0</v>
      </c>
      <c r="H3053" s="16">
        <f>IF(NOT(Paths!$C$283=1),0,IF(Paths!$P$283="Complete",F3053/12*(Paths!$L$283*(1+IF(Paths!$D$283="EV",'Operating costs'!$B$52,'Operating costs'!$B$51))^MAX(0,C3053-1)+Paths!$M$283*(1+'Operating costs'!$B$53)^MAX(0,C3053-1)),"n.a."))</f>
        <v>0</v>
      </c>
      <c r="I3053" s="16">
        <f>IF(NOT(Paths!$C$283=1),0,IF(Paths!$P$283="Complete",IF(IF(Paths!$E$283=0,C3053=0,AND(C3053&gt;0,Paths!$E$283&gt;(C3053-1)*12,Paths!$E$283&lt;=C3053*12)),Paths!$G$283,0),"n.a."))</f>
        <v>0</v>
      </c>
      <c r="J3053" s="16">
        <f>IF(NOT(Paths!$C$283=1),0,IF(Paths!$P$283="Complete",IF(IF(Paths!$E$283=0,C3053=0,AND(C3053&gt;0,Paths!$E$283&gt;(C3053-1)*12,Paths!$E$283&lt;=C3053*12)),Paths!$H$283,0),"n.a."))</f>
        <v>0</v>
      </c>
      <c r="K3053" s="16">
        <f>IF(NOT(Paths!$C$283=1),0,IF(Paths!$P$283="Complete",IF(IF(Paths!$O$283=0,C3053=0,AND(C3053&gt;0,Paths!$O$283&gt;(C3053-1)*12,Paths!$O$283&lt;=C3053*12)),Paths!$N$283,0),"n.a."))</f>
        <v>0</v>
      </c>
      <c r="L3053" s="16">
        <f>IF(NOT(Paths!$C$283=1),0,IF(Paths!$P$283="Complete",IF(C3053=10,Paths!$I$283,0),"n.a."))</f>
        <v>0</v>
      </c>
      <c r="M3053" s="16">
        <f>IF(NOT(Paths!$C$283=1),0,IF(Paths!$P$283="Complete",IF(AND(Paths!$D$283="EV",Paths!$E$283&lt;120,Paths!$E$283+'Operating costs'!$B$65&gt;Paths!$E$283,Paths!$E$283+'Operating costs'!$B$65&lt;=120,IF(Paths!$E$283+'Operating costs'!$B$65=0,C3053=0,AND(C3053&gt;0,Paths!$E$283+'Operating costs'!$B$65&gt;(C3053-1)*12,Paths!$E$283+'Operating costs'!$B$65&lt;=C3053*12))),'Operating costs'!$B$64,0)+IF(AND('Operating costs'!$B$67&gt;0,'Operating costs'!$B$67&lt;=120,OR(Paths!$D$283="ICE",'Operating costs'!$B$67&lt;=Paths!$E$283),IF('Operating costs'!$B$67=0,C3053=0,AND(C3053&gt;0,'Operating costs'!$B$67&gt;(C3053-1)*12,'Operating costs'!$B$67&lt;=C3053*12))),'Operating costs'!$B$66,0),"n.a."))</f>
        <v>0</v>
      </c>
      <c r="N3053" s="16">
        <f>IF(NOT(Paths!$C$283=1),0,IF(Paths!$P$283="Complete",SUM(G3053:I3053)-J3053-K3053-L3053+M3053+IF(C3053=0,Paths!$F$283,0)+IF(IF(Paths!$E$283=0,C3053=0,AND(C3053&gt;0,Paths!$E$283&gt;(C3053-1)*12,Paths!$E$283&lt;=C3053*12)),VLOOKUP(A3053,'Fleet register'!$A$7:$S$106,16,FALSE),0),"n.a."))</f>
        <v>0</v>
      </c>
      <c r="O3053" s="16">
        <f>IF(NOT(Paths!$C$283=1),0,IF(Paths!$P$283="Complete",N3053-IF(C3053=0,Paths!$F$283,0),"n.a."))</f>
        <v>0</v>
      </c>
      <c r="P3053" s="16">
        <f>IF(NOT(Paths!$C$283=1),0,IF(Paths!$P$283="Complete",O3053+L3053,"n.a."))</f>
        <v>0</v>
      </c>
      <c r="Q3053" s="16">
        <f>IF(NOT(Paths!$C$283=1),0,IF(Paths!$P$283="Complete",N3053*(1+'Operating costs'!$B$54)^-C3053,"n.a."))</f>
        <v>0</v>
      </c>
      <c r="R3053" s="16">
        <f>IF(NOT(Paths!$C$283=1),0,IF(Paths!$P$283="Complete",IF(AND(C3053=0,Paths!$E$283=0),I3053-J3053-K3053+VLOOKUP(A3053,'Fleet register'!$A$7:$S$106,15,FALSE)+VLOOKUP(A3053,'Fleet register'!$A$7:$S$106,16,FALSE),0),"n.a."))</f>
        <v>0</v>
      </c>
      <c r="S3053" s="1">
        <f>IF(NOT(Paths!$C$283=1),0,IF(Paths!$P$283="Complete",IF(C3053=0,0,Paths!$S$283*Paths!$R$283),"n.a."))</f>
        <v>0</v>
      </c>
      <c r="T3053" s="1">
        <f>IF(NOT(Paths!$C$283=1),0,IF(Paths!$P$283="Complete",IF(C3053=0,0,VLOOKUP(A3053,'Fleet register'!$A$7:$S$106,9,FALSE)*Paths!$R$283),"n.a."))</f>
        <v>0</v>
      </c>
    </row>
    <row r="3054" spans="1:20" ht="24" customHeight="1">
      <c r="A3054" s="1" t="str">
        <f>Paths!$A$284</f>
        <v>T070</v>
      </c>
      <c r="B3054" s="1">
        <f>Paths!$B$284</f>
        <v>1</v>
      </c>
      <c r="C3054" s="1">
        <v>0</v>
      </c>
      <c r="D3054" s="1">
        <v>284</v>
      </c>
      <c r="E3054" s="1">
        <f>IF(OR(Paths!$C$284=0,C3054=0),0,MAX(0,MIN(C3054*12,Paths!$E$284)-(C3054-1)*12))</f>
        <v>0</v>
      </c>
      <c r="F3054" s="1">
        <f>IF(OR(Paths!$C$284=0,C3054=0),0,12-E3054)</f>
        <v>0</v>
      </c>
      <c r="G3054" s="16">
        <f>IF(NOT(Paths!$C$284=1),0,IF(Paths!$P$284="Complete",E3054/12*(Paths!$J$284*(1+'Operating costs'!$B$51)^MAX(0,C3054-1)+Paths!$K$284*(1+'Operating costs'!$B$53)^MAX(0,C3054-1)),"n.a."))</f>
        <v>0</v>
      </c>
      <c r="H3054" s="16">
        <f>IF(NOT(Paths!$C$284=1),0,IF(Paths!$P$284="Complete",F3054/12*(Paths!$L$284*(1+IF(Paths!$D$284="EV",'Operating costs'!$B$52,'Operating costs'!$B$51))^MAX(0,C3054-1)+Paths!$M$284*(1+'Operating costs'!$B$53)^MAX(0,C3054-1)),"n.a."))</f>
        <v>0</v>
      </c>
      <c r="I3054" s="16">
        <f>IF(NOT(Paths!$C$284=1),0,IF(Paths!$P$284="Complete",IF(IF(Paths!$E$284=0,C3054=0,AND(C3054&gt;0,Paths!$E$284&gt;(C3054-1)*12,Paths!$E$284&lt;=C3054*12)),Paths!$G$284,0),"n.a."))</f>
        <v>0</v>
      </c>
      <c r="J3054" s="16">
        <f>IF(NOT(Paths!$C$284=1),0,IF(Paths!$P$284="Complete",IF(IF(Paths!$E$284=0,C3054=0,AND(C3054&gt;0,Paths!$E$284&gt;(C3054-1)*12,Paths!$E$284&lt;=C3054*12)),Paths!$H$284,0),"n.a."))</f>
        <v>0</v>
      </c>
      <c r="K3054" s="16">
        <f>IF(NOT(Paths!$C$284=1),0,IF(Paths!$P$284="Complete",IF(IF(Paths!$O$284=0,C3054=0,AND(C3054&gt;0,Paths!$O$284&gt;(C3054-1)*12,Paths!$O$284&lt;=C3054*12)),Paths!$N$284,0),"n.a."))</f>
        <v>0</v>
      </c>
      <c r="L3054" s="16">
        <f>IF(NOT(Paths!$C$284=1),0,IF(Paths!$P$284="Complete",IF(C3054=10,Paths!$I$284,0),"n.a."))</f>
        <v>0</v>
      </c>
      <c r="M3054" s="16">
        <f>IF(NOT(Paths!$C$284=1),0,IF(Paths!$P$284="Complete",IF(AND(Paths!$D$284="EV",Paths!$E$284&lt;120,Paths!$E$284+'Operating costs'!$B$65&gt;Paths!$E$284,Paths!$E$284+'Operating costs'!$B$65&lt;=120,IF(Paths!$E$284+'Operating costs'!$B$65=0,C3054=0,AND(C3054&gt;0,Paths!$E$284+'Operating costs'!$B$65&gt;(C3054-1)*12,Paths!$E$284+'Operating costs'!$B$65&lt;=C3054*12))),'Operating costs'!$B$64,0)+IF(AND('Operating costs'!$B$67&gt;0,'Operating costs'!$B$67&lt;=120,OR(Paths!$D$284="ICE",'Operating costs'!$B$67&lt;=Paths!$E$284),IF('Operating costs'!$B$67=0,C3054=0,AND(C3054&gt;0,'Operating costs'!$B$67&gt;(C3054-1)*12,'Operating costs'!$B$67&lt;=C3054*12))),'Operating costs'!$B$66,0),"n.a."))</f>
        <v>0</v>
      </c>
      <c r="N3054" s="16">
        <f>IF(NOT(Paths!$C$284=1),0,IF(Paths!$P$284="Complete",SUM(G3054:I3054)-J3054-K3054-L3054+M3054+IF(C3054=0,Paths!$F$284,0)+IF(IF(Paths!$E$284=0,C3054=0,AND(C3054&gt;0,Paths!$E$284&gt;(C3054-1)*12,Paths!$E$284&lt;=C3054*12)),VLOOKUP(A3054,'Fleet register'!$A$7:$S$106,16,FALSE),0),"n.a."))</f>
        <v>0</v>
      </c>
      <c r="O3054" s="16">
        <f>IF(NOT(Paths!$C$284=1),0,IF(Paths!$P$284="Complete",N3054-IF(C3054=0,Paths!$F$284,0),"n.a."))</f>
        <v>0</v>
      </c>
      <c r="P3054" s="16">
        <f>IF(NOT(Paths!$C$284=1),0,IF(Paths!$P$284="Complete",O3054+L3054,"n.a."))</f>
        <v>0</v>
      </c>
      <c r="Q3054" s="16">
        <f>IF(NOT(Paths!$C$284=1),0,IF(Paths!$P$284="Complete",N3054*(1+'Operating costs'!$B$54)^-C3054,"n.a."))</f>
        <v>0</v>
      </c>
      <c r="R3054" s="16">
        <f>IF(NOT(Paths!$C$284=1),0,IF(Paths!$P$284="Complete",IF(AND(C3054=0,Paths!$E$284=0),I3054-J3054-K3054+VLOOKUP(A3054,'Fleet register'!$A$7:$S$106,15,FALSE)+VLOOKUP(A3054,'Fleet register'!$A$7:$S$106,16,FALSE),0),"n.a."))</f>
        <v>0</v>
      </c>
      <c r="S3054" s="1">
        <f>IF(NOT(Paths!$C$284=1),0,IF(Paths!$P$284="Complete",IF(C3054=0,0,Paths!$S$284*Paths!$R$284),"n.a."))</f>
        <v>0</v>
      </c>
      <c r="T3054" s="1">
        <f>IF(NOT(Paths!$C$284=1),0,IF(Paths!$P$284="Complete",IF(C3054=0,0,VLOOKUP(A3054,'Fleet register'!$A$7:$S$106,9,FALSE)*Paths!$R$284),"n.a."))</f>
        <v>0</v>
      </c>
    </row>
    <row r="3055" spans="1:20" ht="24" customHeight="1">
      <c r="A3055" s="1" t="str">
        <f>Paths!$A$284</f>
        <v>T070</v>
      </c>
      <c r="B3055" s="1">
        <f>Paths!$B$284</f>
        <v>1</v>
      </c>
      <c r="C3055" s="1">
        <v>1</v>
      </c>
      <c r="D3055" s="1">
        <v>284</v>
      </c>
      <c r="E3055" s="1">
        <f>IF(OR(Paths!$C$284=0,C3055=0),0,MAX(0,MIN(C3055*12,Paths!$E$284)-(C3055-1)*12))</f>
        <v>0</v>
      </c>
      <c r="F3055" s="1">
        <f>IF(OR(Paths!$C$284=0,C3055=0),0,12-E3055)</f>
        <v>0</v>
      </c>
      <c r="G3055" s="16">
        <f>IF(NOT(Paths!$C$284=1),0,IF(Paths!$P$284="Complete",E3055/12*(Paths!$J$284*(1+'Operating costs'!$B$51)^MAX(0,C3055-1)+Paths!$K$284*(1+'Operating costs'!$B$53)^MAX(0,C3055-1)),"n.a."))</f>
        <v>0</v>
      </c>
      <c r="H3055" s="16">
        <f>IF(NOT(Paths!$C$284=1),0,IF(Paths!$P$284="Complete",F3055/12*(Paths!$L$284*(1+IF(Paths!$D$284="EV",'Operating costs'!$B$52,'Operating costs'!$B$51))^MAX(0,C3055-1)+Paths!$M$284*(1+'Operating costs'!$B$53)^MAX(0,C3055-1)),"n.a."))</f>
        <v>0</v>
      </c>
      <c r="I3055" s="16">
        <f>IF(NOT(Paths!$C$284=1),0,IF(Paths!$P$284="Complete",IF(IF(Paths!$E$284=0,C3055=0,AND(C3055&gt;0,Paths!$E$284&gt;(C3055-1)*12,Paths!$E$284&lt;=C3055*12)),Paths!$G$284,0),"n.a."))</f>
        <v>0</v>
      </c>
      <c r="J3055" s="16">
        <f>IF(NOT(Paths!$C$284=1),0,IF(Paths!$P$284="Complete",IF(IF(Paths!$E$284=0,C3055=0,AND(C3055&gt;0,Paths!$E$284&gt;(C3055-1)*12,Paths!$E$284&lt;=C3055*12)),Paths!$H$284,0),"n.a."))</f>
        <v>0</v>
      </c>
      <c r="K3055" s="16">
        <f>IF(NOT(Paths!$C$284=1),0,IF(Paths!$P$284="Complete",IF(IF(Paths!$O$284=0,C3055=0,AND(C3055&gt;0,Paths!$O$284&gt;(C3055-1)*12,Paths!$O$284&lt;=C3055*12)),Paths!$N$284,0),"n.a."))</f>
        <v>0</v>
      </c>
      <c r="L3055" s="16">
        <f>IF(NOT(Paths!$C$284=1),0,IF(Paths!$P$284="Complete",IF(C3055=10,Paths!$I$284,0),"n.a."))</f>
        <v>0</v>
      </c>
      <c r="M3055" s="16">
        <f>IF(NOT(Paths!$C$284=1),0,IF(Paths!$P$284="Complete",IF(AND(Paths!$D$284="EV",Paths!$E$284&lt;120,Paths!$E$284+'Operating costs'!$B$65&gt;Paths!$E$284,Paths!$E$284+'Operating costs'!$B$65&lt;=120,IF(Paths!$E$284+'Operating costs'!$B$65=0,C3055=0,AND(C3055&gt;0,Paths!$E$284+'Operating costs'!$B$65&gt;(C3055-1)*12,Paths!$E$284+'Operating costs'!$B$65&lt;=C3055*12))),'Operating costs'!$B$64,0)+IF(AND('Operating costs'!$B$67&gt;0,'Operating costs'!$B$67&lt;=120,OR(Paths!$D$284="ICE",'Operating costs'!$B$67&lt;=Paths!$E$284),IF('Operating costs'!$B$67=0,C3055=0,AND(C3055&gt;0,'Operating costs'!$B$67&gt;(C3055-1)*12,'Operating costs'!$B$67&lt;=C3055*12))),'Operating costs'!$B$66,0),"n.a."))</f>
        <v>0</v>
      </c>
      <c r="N3055" s="16">
        <f>IF(NOT(Paths!$C$284=1),0,IF(Paths!$P$284="Complete",SUM(G3055:I3055)-J3055-K3055-L3055+M3055+IF(C3055=0,Paths!$F$284,0)+IF(IF(Paths!$E$284=0,C3055=0,AND(C3055&gt;0,Paths!$E$284&gt;(C3055-1)*12,Paths!$E$284&lt;=C3055*12)),VLOOKUP(A3055,'Fleet register'!$A$7:$S$106,16,FALSE),0),"n.a."))</f>
        <v>0</v>
      </c>
      <c r="O3055" s="16">
        <f>IF(NOT(Paths!$C$284=1),0,IF(Paths!$P$284="Complete",N3055-IF(C3055=0,Paths!$F$284,0),"n.a."))</f>
        <v>0</v>
      </c>
      <c r="P3055" s="16">
        <f>IF(NOT(Paths!$C$284=1),0,IF(Paths!$P$284="Complete",O3055+L3055,"n.a."))</f>
        <v>0</v>
      </c>
      <c r="Q3055" s="16">
        <f>IF(NOT(Paths!$C$284=1),0,IF(Paths!$P$284="Complete",N3055*(1+'Operating costs'!$B$54)^-C3055,"n.a."))</f>
        <v>0</v>
      </c>
      <c r="R3055" s="16">
        <f>IF(NOT(Paths!$C$284=1),0,IF(Paths!$P$284="Complete",IF(AND(C3055=0,Paths!$E$284=0),I3055-J3055-K3055+VLOOKUP(A3055,'Fleet register'!$A$7:$S$106,15,FALSE)+VLOOKUP(A3055,'Fleet register'!$A$7:$S$106,16,FALSE),0),"n.a."))</f>
        <v>0</v>
      </c>
      <c r="S3055" s="1">
        <f>IF(NOT(Paths!$C$284=1),0,IF(Paths!$P$284="Complete",IF(C3055=0,0,Paths!$S$284*Paths!$R$284),"n.a."))</f>
        <v>0</v>
      </c>
      <c r="T3055" s="1">
        <f>IF(NOT(Paths!$C$284=1),0,IF(Paths!$P$284="Complete",IF(C3055=0,0,VLOOKUP(A3055,'Fleet register'!$A$7:$S$106,9,FALSE)*Paths!$R$284),"n.a."))</f>
        <v>0</v>
      </c>
    </row>
    <row r="3056" spans="1:20" ht="24" customHeight="1">
      <c r="A3056" s="1" t="str">
        <f>Paths!$A$284</f>
        <v>T070</v>
      </c>
      <c r="B3056" s="1">
        <f>Paths!$B$284</f>
        <v>1</v>
      </c>
      <c r="C3056" s="1">
        <v>2</v>
      </c>
      <c r="D3056" s="1">
        <v>284</v>
      </c>
      <c r="E3056" s="1">
        <f>IF(OR(Paths!$C$284=0,C3056=0),0,MAX(0,MIN(C3056*12,Paths!$E$284)-(C3056-1)*12))</f>
        <v>0</v>
      </c>
      <c r="F3056" s="1">
        <f>IF(OR(Paths!$C$284=0,C3056=0),0,12-E3056)</f>
        <v>0</v>
      </c>
      <c r="G3056" s="16">
        <f>IF(NOT(Paths!$C$284=1),0,IF(Paths!$P$284="Complete",E3056/12*(Paths!$J$284*(1+'Operating costs'!$B$51)^MAX(0,C3056-1)+Paths!$K$284*(1+'Operating costs'!$B$53)^MAX(0,C3056-1)),"n.a."))</f>
        <v>0</v>
      </c>
      <c r="H3056" s="16">
        <f>IF(NOT(Paths!$C$284=1),0,IF(Paths!$P$284="Complete",F3056/12*(Paths!$L$284*(1+IF(Paths!$D$284="EV",'Operating costs'!$B$52,'Operating costs'!$B$51))^MAX(0,C3056-1)+Paths!$M$284*(1+'Operating costs'!$B$53)^MAX(0,C3056-1)),"n.a."))</f>
        <v>0</v>
      </c>
      <c r="I3056" s="16">
        <f>IF(NOT(Paths!$C$284=1),0,IF(Paths!$P$284="Complete",IF(IF(Paths!$E$284=0,C3056=0,AND(C3056&gt;0,Paths!$E$284&gt;(C3056-1)*12,Paths!$E$284&lt;=C3056*12)),Paths!$G$284,0),"n.a."))</f>
        <v>0</v>
      </c>
      <c r="J3056" s="16">
        <f>IF(NOT(Paths!$C$284=1),0,IF(Paths!$P$284="Complete",IF(IF(Paths!$E$284=0,C3056=0,AND(C3056&gt;0,Paths!$E$284&gt;(C3056-1)*12,Paths!$E$284&lt;=C3056*12)),Paths!$H$284,0),"n.a."))</f>
        <v>0</v>
      </c>
      <c r="K3056" s="16">
        <f>IF(NOT(Paths!$C$284=1),0,IF(Paths!$P$284="Complete",IF(IF(Paths!$O$284=0,C3056=0,AND(C3056&gt;0,Paths!$O$284&gt;(C3056-1)*12,Paths!$O$284&lt;=C3056*12)),Paths!$N$284,0),"n.a."))</f>
        <v>0</v>
      </c>
      <c r="L3056" s="16">
        <f>IF(NOT(Paths!$C$284=1),0,IF(Paths!$P$284="Complete",IF(C3056=10,Paths!$I$284,0),"n.a."))</f>
        <v>0</v>
      </c>
      <c r="M3056" s="16">
        <f>IF(NOT(Paths!$C$284=1),0,IF(Paths!$P$284="Complete",IF(AND(Paths!$D$284="EV",Paths!$E$284&lt;120,Paths!$E$284+'Operating costs'!$B$65&gt;Paths!$E$284,Paths!$E$284+'Operating costs'!$B$65&lt;=120,IF(Paths!$E$284+'Operating costs'!$B$65=0,C3056=0,AND(C3056&gt;0,Paths!$E$284+'Operating costs'!$B$65&gt;(C3056-1)*12,Paths!$E$284+'Operating costs'!$B$65&lt;=C3056*12))),'Operating costs'!$B$64,0)+IF(AND('Operating costs'!$B$67&gt;0,'Operating costs'!$B$67&lt;=120,OR(Paths!$D$284="ICE",'Operating costs'!$B$67&lt;=Paths!$E$284),IF('Operating costs'!$B$67=0,C3056=0,AND(C3056&gt;0,'Operating costs'!$B$67&gt;(C3056-1)*12,'Operating costs'!$B$67&lt;=C3056*12))),'Operating costs'!$B$66,0),"n.a."))</f>
        <v>0</v>
      </c>
      <c r="N3056" s="16">
        <f>IF(NOT(Paths!$C$284=1),0,IF(Paths!$P$284="Complete",SUM(G3056:I3056)-J3056-K3056-L3056+M3056+IF(C3056=0,Paths!$F$284,0)+IF(IF(Paths!$E$284=0,C3056=0,AND(C3056&gt;0,Paths!$E$284&gt;(C3056-1)*12,Paths!$E$284&lt;=C3056*12)),VLOOKUP(A3056,'Fleet register'!$A$7:$S$106,16,FALSE),0),"n.a."))</f>
        <v>0</v>
      </c>
      <c r="O3056" s="16">
        <f>IF(NOT(Paths!$C$284=1),0,IF(Paths!$P$284="Complete",N3056-IF(C3056=0,Paths!$F$284,0),"n.a."))</f>
        <v>0</v>
      </c>
      <c r="P3056" s="16">
        <f>IF(NOT(Paths!$C$284=1),0,IF(Paths!$P$284="Complete",O3056+L3056,"n.a."))</f>
        <v>0</v>
      </c>
      <c r="Q3056" s="16">
        <f>IF(NOT(Paths!$C$284=1),0,IF(Paths!$P$284="Complete",N3056*(1+'Operating costs'!$B$54)^-C3056,"n.a."))</f>
        <v>0</v>
      </c>
      <c r="R3056" s="16">
        <f>IF(NOT(Paths!$C$284=1),0,IF(Paths!$P$284="Complete",IF(AND(C3056=0,Paths!$E$284=0),I3056-J3056-K3056+VLOOKUP(A3056,'Fleet register'!$A$7:$S$106,15,FALSE)+VLOOKUP(A3056,'Fleet register'!$A$7:$S$106,16,FALSE),0),"n.a."))</f>
        <v>0</v>
      </c>
      <c r="S3056" s="1">
        <f>IF(NOT(Paths!$C$284=1),0,IF(Paths!$P$284="Complete",IF(C3056=0,0,Paths!$S$284*Paths!$R$284),"n.a."))</f>
        <v>0</v>
      </c>
      <c r="T3056" s="1">
        <f>IF(NOT(Paths!$C$284=1),0,IF(Paths!$P$284="Complete",IF(C3056=0,0,VLOOKUP(A3056,'Fleet register'!$A$7:$S$106,9,FALSE)*Paths!$R$284),"n.a."))</f>
        <v>0</v>
      </c>
    </row>
    <row r="3057" spans="1:20" ht="24" customHeight="1">
      <c r="A3057" s="1" t="str">
        <f>Paths!$A$284</f>
        <v>T070</v>
      </c>
      <c r="B3057" s="1">
        <f>Paths!$B$284</f>
        <v>1</v>
      </c>
      <c r="C3057" s="1">
        <v>3</v>
      </c>
      <c r="D3057" s="1">
        <v>284</v>
      </c>
      <c r="E3057" s="1">
        <f>IF(OR(Paths!$C$284=0,C3057=0),0,MAX(0,MIN(C3057*12,Paths!$E$284)-(C3057-1)*12))</f>
        <v>0</v>
      </c>
      <c r="F3057" s="1">
        <f>IF(OR(Paths!$C$284=0,C3057=0),0,12-E3057)</f>
        <v>0</v>
      </c>
      <c r="G3057" s="16">
        <f>IF(NOT(Paths!$C$284=1),0,IF(Paths!$P$284="Complete",E3057/12*(Paths!$J$284*(1+'Operating costs'!$B$51)^MAX(0,C3057-1)+Paths!$K$284*(1+'Operating costs'!$B$53)^MAX(0,C3057-1)),"n.a."))</f>
        <v>0</v>
      </c>
      <c r="H3057" s="16">
        <f>IF(NOT(Paths!$C$284=1),0,IF(Paths!$P$284="Complete",F3057/12*(Paths!$L$284*(1+IF(Paths!$D$284="EV",'Operating costs'!$B$52,'Operating costs'!$B$51))^MAX(0,C3057-1)+Paths!$M$284*(1+'Operating costs'!$B$53)^MAX(0,C3057-1)),"n.a."))</f>
        <v>0</v>
      </c>
      <c r="I3057" s="16">
        <f>IF(NOT(Paths!$C$284=1),0,IF(Paths!$P$284="Complete",IF(IF(Paths!$E$284=0,C3057=0,AND(C3057&gt;0,Paths!$E$284&gt;(C3057-1)*12,Paths!$E$284&lt;=C3057*12)),Paths!$G$284,0),"n.a."))</f>
        <v>0</v>
      </c>
      <c r="J3057" s="16">
        <f>IF(NOT(Paths!$C$284=1),0,IF(Paths!$P$284="Complete",IF(IF(Paths!$E$284=0,C3057=0,AND(C3057&gt;0,Paths!$E$284&gt;(C3057-1)*12,Paths!$E$284&lt;=C3057*12)),Paths!$H$284,0),"n.a."))</f>
        <v>0</v>
      </c>
      <c r="K3057" s="16">
        <f>IF(NOT(Paths!$C$284=1),0,IF(Paths!$P$284="Complete",IF(IF(Paths!$O$284=0,C3057=0,AND(C3057&gt;0,Paths!$O$284&gt;(C3057-1)*12,Paths!$O$284&lt;=C3057*12)),Paths!$N$284,0),"n.a."))</f>
        <v>0</v>
      </c>
      <c r="L3057" s="16">
        <f>IF(NOT(Paths!$C$284=1),0,IF(Paths!$P$284="Complete",IF(C3057=10,Paths!$I$284,0),"n.a."))</f>
        <v>0</v>
      </c>
      <c r="M3057" s="16">
        <f>IF(NOT(Paths!$C$284=1),0,IF(Paths!$P$284="Complete",IF(AND(Paths!$D$284="EV",Paths!$E$284&lt;120,Paths!$E$284+'Operating costs'!$B$65&gt;Paths!$E$284,Paths!$E$284+'Operating costs'!$B$65&lt;=120,IF(Paths!$E$284+'Operating costs'!$B$65=0,C3057=0,AND(C3057&gt;0,Paths!$E$284+'Operating costs'!$B$65&gt;(C3057-1)*12,Paths!$E$284+'Operating costs'!$B$65&lt;=C3057*12))),'Operating costs'!$B$64,0)+IF(AND('Operating costs'!$B$67&gt;0,'Operating costs'!$B$67&lt;=120,OR(Paths!$D$284="ICE",'Operating costs'!$B$67&lt;=Paths!$E$284),IF('Operating costs'!$B$67=0,C3057=0,AND(C3057&gt;0,'Operating costs'!$B$67&gt;(C3057-1)*12,'Operating costs'!$B$67&lt;=C3057*12))),'Operating costs'!$B$66,0),"n.a."))</f>
        <v>0</v>
      </c>
      <c r="N3057" s="16">
        <f>IF(NOT(Paths!$C$284=1),0,IF(Paths!$P$284="Complete",SUM(G3057:I3057)-J3057-K3057-L3057+M3057+IF(C3057=0,Paths!$F$284,0)+IF(IF(Paths!$E$284=0,C3057=0,AND(C3057&gt;0,Paths!$E$284&gt;(C3057-1)*12,Paths!$E$284&lt;=C3057*12)),VLOOKUP(A3057,'Fleet register'!$A$7:$S$106,16,FALSE),0),"n.a."))</f>
        <v>0</v>
      </c>
      <c r="O3057" s="16">
        <f>IF(NOT(Paths!$C$284=1),0,IF(Paths!$P$284="Complete",N3057-IF(C3057=0,Paths!$F$284,0),"n.a."))</f>
        <v>0</v>
      </c>
      <c r="P3057" s="16">
        <f>IF(NOT(Paths!$C$284=1),0,IF(Paths!$P$284="Complete",O3057+L3057,"n.a."))</f>
        <v>0</v>
      </c>
      <c r="Q3057" s="16">
        <f>IF(NOT(Paths!$C$284=1),0,IF(Paths!$P$284="Complete",N3057*(1+'Operating costs'!$B$54)^-C3057,"n.a."))</f>
        <v>0</v>
      </c>
      <c r="R3057" s="16">
        <f>IF(NOT(Paths!$C$284=1),0,IF(Paths!$P$284="Complete",IF(AND(C3057=0,Paths!$E$284=0),I3057-J3057-K3057+VLOOKUP(A3057,'Fleet register'!$A$7:$S$106,15,FALSE)+VLOOKUP(A3057,'Fleet register'!$A$7:$S$106,16,FALSE),0),"n.a."))</f>
        <v>0</v>
      </c>
      <c r="S3057" s="1">
        <f>IF(NOT(Paths!$C$284=1),0,IF(Paths!$P$284="Complete",IF(C3057=0,0,Paths!$S$284*Paths!$R$284),"n.a."))</f>
        <v>0</v>
      </c>
      <c r="T3057" s="1">
        <f>IF(NOT(Paths!$C$284=1),0,IF(Paths!$P$284="Complete",IF(C3057=0,0,VLOOKUP(A3057,'Fleet register'!$A$7:$S$106,9,FALSE)*Paths!$R$284),"n.a."))</f>
        <v>0</v>
      </c>
    </row>
    <row r="3058" spans="1:20" ht="24" customHeight="1">
      <c r="A3058" s="1" t="str">
        <f>Paths!$A$284</f>
        <v>T070</v>
      </c>
      <c r="B3058" s="1">
        <f>Paths!$B$284</f>
        <v>1</v>
      </c>
      <c r="C3058" s="1">
        <v>4</v>
      </c>
      <c r="D3058" s="1">
        <v>284</v>
      </c>
      <c r="E3058" s="1">
        <f>IF(OR(Paths!$C$284=0,C3058=0),0,MAX(0,MIN(C3058*12,Paths!$E$284)-(C3058-1)*12))</f>
        <v>0</v>
      </c>
      <c r="F3058" s="1">
        <f>IF(OR(Paths!$C$284=0,C3058=0),0,12-E3058)</f>
        <v>0</v>
      </c>
      <c r="G3058" s="16">
        <f>IF(NOT(Paths!$C$284=1),0,IF(Paths!$P$284="Complete",E3058/12*(Paths!$J$284*(1+'Operating costs'!$B$51)^MAX(0,C3058-1)+Paths!$K$284*(1+'Operating costs'!$B$53)^MAX(0,C3058-1)),"n.a."))</f>
        <v>0</v>
      </c>
      <c r="H3058" s="16">
        <f>IF(NOT(Paths!$C$284=1),0,IF(Paths!$P$284="Complete",F3058/12*(Paths!$L$284*(1+IF(Paths!$D$284="EV",'Operating costs'!$B$52,'Operating costs'!$B$51))^MAX(0,C3058-1)+Paths!$M$284*(1+'Operating costs'!$B$53)^MAX(0,C3058-1)),"n.a."))</f>
        <v>0</v>
      </c>
      <c r="I3058" s="16">
        <f>IF(NOT(Paths!$C$284=1),0,IF(Paths!$P$284="Complete",IF(IF(Paths!$E$284=0,C3058=0,AND(C3058&gt;0,Paths!$E$284&gt;(C3058-1)*12,Paths!$E$284&lt;=C3058*12)),Paths!$G$284,0),"n.a."))</f>
        <v>0</v>
      </c>
      <c r="J3058" s="16">
        <f>IF(NOT(Paths!$C$284=1),0,IF(Paths!$P$284="Complete",IF(IF(Paths!$E$284=0,C3058=0,AND(C3058&gt;0,Paths!$E$284&gt;(C3058-1)*12,Paths!$E$284&lt;=C3058*12)),Paths!$H$284,0),"n.a."))</f>
        <v>0</v>
      </c>
      <c r="K3058" s="16">
        <f>IF(NOT(Paths!$C$284=1),0,IF(Paths!$P$284="Complete",IF(IF(Paths!$O$284=0,C3058=0,AND(C3058&gt;0,Paths!$O$284&gt;(C3058-1)*12,Paths!$O$284&lt;=C3058*12)),Paths!$N$284,0),"n.a."))</f>
        <v>0</v>
      </c>
      <c r="L3058" s="16">
        <f>IF(NOT(Paths!$C$284=1),0,IF(Paths!$P$284="Complete",IF(C3058=10,Paths!$I$284,0),"n.a."))</f>
        <v>0</v>
      </c>
      <c r="M3058" s="16">
        <f>IF(NOT(Paths!$C$284=1),0,IF(Paths!$P$284="Complete",IF(AND(Paths!$D$284="EV",Paths!$E$284&lt;120,Paths!$E$284+'Operating costs'!$B$65&gt;Paths!$E$284,Paths!$E$284+'Operating costs'!$B$65&lt;=120,IF(Paths!$E$284+'Operating costs'!$B$65=0,C3058=0,AND(C3058&gt;0,Paths!$E$284+'Operating costs'!$B$65&gt;(C3058-1)*12,Paths!$E$284+'Operating costs'!$B$65&lt;=C3058*12))),'Operating costs'!$B$64,0)+IF(AND('Operating costs'!$B$67&gt;0,'Operating costs'!$B$67&lt;=120,OR(Paths!$D$284="ICE",'Operating costs'!$B$67&lt;=Paths!$E$284),IF('Operating costs'!$B$67=0,C3058=0,AND(C3058&gt;0,'Operating costs'!$B$67&gt;(C3058-1)*12,'Operating costs'!$B$67&lt;=C3058*12))),'Operating costs'!$B$66,0),"n.a."))</f>
        <v>0</v>
      </c>
      <c r="N3058" s="16">
        <f>IF(NOT(Paths!$C$284=1),0,IF(Paths!$P$284="Complete",SUM(G3058:I3058)-J3058-K3058-L3058+M3058+IF(C3058=0,Paths!$F$284,0)+IF(IF(Paths!$E$284=0,C3058=0,AND(C3058&gt;0,Paths!$E$284&gt;(C3058-1)*12,Paths!$E$284&lt;=C3058*12)),VLOOKUP(A3058,'Fleet register'!$A$7:$S$106,16,FALSE),0),"n.a."))</f>
        <v>0</v>
      </c>
      <c r="O3058" s="16">
        <f>IF(NOT(Paths!$C$284=1),0,IF(Paths!$P$284="Complete",N3058-IF(C3058=0,Paths!$F$284,0),"n.a."))</f>
        <v>0</v>
      </c>
      <c r="P3058" s="16">
        <f>IF(NOT(Paths!$C$284=1),0,IF(Paths!$P$284="Complete",O3058+L3058,"n.a."))</f>
        <v>0</v>
      </c>
      <c r="Q3058" s="16">
        <f>IF(NOT(Paths!$C$284=1),0,IF(Paths!$P$284="Complete",N3058*(1+'Operating costs'!$B$54)^-C3058,"n.a."))</f>
        <v>0</v>
      </c>
      <c r="R3058" s="16">
        <f>IF(NOT(Paths!$C$284=1),0,IF(Paths!$P$284="Complete",IF(AND(C3058=0,Paths!$E$284=0),I3058-J3058-K3058+VLOOKUP(A3058,'Fleet register'!$A$7:$S$106,15,FALSE)+VLOOKUP(A3058,'Fleet register'!$A$7:$S$106,16,FALSE),0),"n.a."))</f>
        <v>0</v>
      </c>
      <c r="S3058" s="1">
        <f>IF(NOT(Paths!$C$284=1),0,IF(Paths!$P$284="Complete",IF(C3058=0,0,Paths!$S$284*Paths!$R$284),"n.a."))</f>
        <v>0</v>
      </c>
      <c r="T3058" s="1">
        <f>IF(NOT(Paths!$C$284=1),0,IF(Paths!$P$284="Complete",IF(C3058=0,0,VLOOKUP(A3058,'Fleet register'!$A$7:$S$106,9,FALSE)*Paths!$R$284),"n.a."))</f>
        <v>0</v>
      </c>
    </row>
    <row r="3059" spans="1:20" ht="24" customHeight="1">
      <c r="A3059" s="1" t="str">
        <f>Paths!$A$284</f>
        <v>T070</v>
      </c>
      <c r="B3059" s="1">
        <f>Paths!$B$284</f>
        <v>1</v>
      </c>
      <c r="C3059" s="1">
        <v>5</v>
      </c>
      <c r="D3059" s="1">
        <v>284</v>
      </c>
      <c r="E3059" s="1">
        <f>IF(OR(Paths!$C$284=0,C3059=0),0,MAX(0,MIN(C3059*12,Paths!$E$284)-(C3059-1)*12))</f>
        <v>0</v>
      </c>
      <c r="F3059" s="1">
        <f>IF(OR(Paths!$C$284=0,C3059=0),0,12-E3059)</f>
        <v>0</v>
      </c>
      <c r="G3059" s="16">
        <f>IF(NOT(Paths!$C$284=1),0,IF(Paths!$P$284="Complete",E3059/12*(Paths!$J$284*(1+'Operating costs'!$B$51)^MAX(0,C3059-1)+Paths!$K$284*(1+'Operating costs'!$B$53)^MAX(0,C3059-1)),"n.a."))</f>
        <v>0</v>
      </c>
      <c r="H3059" s="16">
        <f>IF(NOT(Paths!$C$284=1),0,IF(Paths!$P$284="Complete",F3059/12*(Paths!$L$284*(1+IF(Paths!$D$284="EV",'Operating costs'!$B$52,'Operating costs'!$B$51))^MAX(0,C3059-1)+Paths!$M$284*(1+'Operating costs'!$B$53)^MAX(0,C3059-1)),"n.a."))</f>
        <v>0</v>
      </c>
      <c r="I3059" s="16">
        <f>IF(NOT(Paths!$C$284=1),0,IF(Paths!$P$284="Complete",IF(IF(Paths!$E$284=0,C3059=0,AND(C3059&gt;0,Paths!$E$284&gt;(C3059-1)*12,Paths!$E$284&lt;=C3059*12)),Paths!$G$284,0),"n.a."))</f>
        <v>0</v>
      </c>
      <c r="J3059" s="16">
        <f>IF(NOT(Paths!$C$284=1),0,IF(Paths!$P$284="Complete",IF(IF(Paths!$E$284=0,C3059=0,AND(C3059&gt;0,Paths!$E$284&gt;(C3059-1)*12,Paths!$E$284&lt;=C3059*12)),Paths!$H$284,0),"n.a."))</f>
        <v>0</v>
      </c>
      <c r="K3059" s="16">
        <f>IF(NOT(Paths!$C$284=1),0,IF(Paths!$P$284="Complete",IF(IF(Paths!$O$284=0,C3059=0,AND(C3059&gt;0,Paths!$O$284&gt;(C3059-1)*12,Paths!$O$284&lt;=C3059*12)),Paths!$N$284,0),"n.a."))</f>
        <v>0</v>
      </c>
      <c r="L3059" s="16">
        <f>IF(NOT(Paths!$C$284=1),0,IF(Paths!$P$284="Complete",IF(C3059=10,Paths!$I$284,0),"n.a."))</f>
        <v>0</v>
      </c>
      <c r="M3059" s="16">
        <f>IF(NOT(Paths!$C$284=1),0,IF(Paths!$P$284="Complete",IF(AND(Paths!$D$284="EV",Paths!$E$284&lt;120,Paths!$E$284+'Operating costs'!$B$65&gt;Paths!$E$284,Paths!$E$284+'Operating costs'!$B$65&lt;=120,IF(Paths!$E$284+'Operating costs'!$B$65=0,C3059=0,AND(C3059&gt;0,Paths!$E$284+'Operating costs'!$B$65&gt;(C3059-1)*12,Paths!$E$284+'Operating costs'!$B$65&lt;=C3059*12))),'Operating costs'!$B$64,0)+IF(AND('Operating costs'!$B$67&gt;0,'Operating costs'!$B$67&lt;=120,OR(Paths!$D$284="ICE",'Operating costs'!$B$67&lt;=Paths!$E$284),IF('Operating costs'!$B$67=0,C3059=0,AND(C3059&gt;0,'Operating costs'!$B$67&gt;(C3059-1)*12,'Operating costs'!$B$67&lt;=C3059*12))),'Operating costs'!$B$66,0),"n.a."))</f>
        <v>0</v>
      </c>
      <c r="N3059" s="16">
        <f>IF(NOT(Paths!$C$284=1),0,IF(Paths!$P$284="Complete",SUM(G3059:I3059)-J3059-K3059-L3059+M3059+IF(C3059=0,Paths!$F$284,0)+IF(IF(Paths!$E$284=0,C3059=0,AND(C3059&gt;0,Paths!$E$284&gt;(C3059-1)*12,Paths!$E$284&lt;=C3059*12)),VLOOKUP(A3059,'Fleet register'!$A$7:$S$106,16,FALSE),0),"n.a."))</f>
        <v>0</v>
      </c>
      <c r="O3059" s="16">
        <f>IF(NOT(Paths!$C$284=1),0,IF(Paths!$P$284="Complete",N3059-IF(C3059=0,Paths!$F$284,0),"n.a."))</f>
        <v>0</v>
      </c>
      <c r="P3059" s="16">
        <f>IF(NOT(Paths!$C$284=1),0,IF(Paths!$P$284="Complete",O3059+L3059,"n.a."))</f>
        <v>0</v>
      </c>
      <c r="Q3059" s="16">
        <f>IF(NOT(Paths!$C$284=1),0,IF(Paths!$P$284="Complete",N3059*(1+'Operating costs'!$B$54)^-C3059,"n.a."))</f>
        <v>0</v>
      </c>
      <c r="R3059" s="16">
        <f>IF(NOT(Paths!$C$284=1),0,IF(Paths!$P$284="Complete",IF(AND(C3059=0,Paths!$E$284=0),I3059-J3059-K3059+VLOOKUP(A3059,'Fleet register'!$A$7:$S$106,15,FALSE)+VLOOKUP(A3059,'Fleet register'!$A$7:$S$106,16,FALSE),0),"n.a."))</f>
        <v>0</v>
      </c>
      <c r="S3059" s="1">
        <f>IF(NOT(Paths!$C$284=1),0,IF(Paths!$P$284="Complete",IF(C3059=0,0,Paths!$S$284*Paths!$R$284),"n.a."))</f>
        <v>0</v>
      </c>
      <c r="T3059" s="1">
        <f>IF(NOT(Paths!$C$284=1),0,IF(Paths!$P$284="Complete",IF(C3059=0,0,VLOOKUP(A3059,'Fleet register'!$A$7:$S$106,9,FALSE)*Paths!$R$284),"n.a."))</f>
        <v>0</v>
      </c>
    </row>
    <row r="3060" spans="1:20" ht="24" customHeight="1">
      <c r="A3060" s="1" t="str">
        <f>Paths!$A$284</f>
        <v>T070</v>
      </c>
      <c r="B3060" s="1">
        <f>Paths!$B$284</f>
        <v>1</v>
      </c>
      <c r="C3060" s="1">
        <v>6</v>
      </c>
      <c r="D3060" s="1">
        <v>284</v>
      </c>
      <c r="E3060" s="1">
        <f>IF(OR(Paths!$C$284=0,C3060=0),0,MAX(0,MIN(C3060*12,Paths!$E$284)-(C3060-1)*12))</f>
        <v>0</v>
      </c>
      <c r="F3060" s="1">
        <f>IF(OR(Paths!$C$284=0,C3060=0),0,12-E3060)</f>
        <v>0</v>
      </c>
      <c r="G3060" s="16">
        <f>IF(NOT(Paths!$C$284=1),0,IF(Paths!$P$284="Complete",E3060/12*(Paths!$J$284*(1+'Operating costs'!$B$51)^MAX(0,C3060-1)+Paths!$K$284*(1+'Operating costs'!$B$53)^MAX(0,C3060-1)),"n.a."))</f>
        <v>0</v>
      </c>
      <c r="H3060" s="16">
        <f>IF(NOT(Paths!$C$284=1),0,IF(Paths!$P$284="Complete",F3060/12*(Paths!$L$284*(1+IF(Paths!$D$284="EV",'Operating costs'!$B$52,'Operating costs'!$B$51))^MAX(0,C3060-1)+Paths!$M$284*(1+'Operating costs'!$B$53)^MAX(0,C3060-1)),"n.a."))</f>
        <v>0</v>
      </c>
      <c r="I3060" s="16">
        <f>IF(NOT(Paths!$C$284=1),0,IF(Paths!$P$284="Complete",IF(IF(Paths!$E$284=0,C3060=0,AND(C3060&gt;0,Paths!$E$284&gt;(C3060-1)*12,Paths!$E$284&lt;=C3060*12)),Paths!$G$284,0),"n.a."))</f>
        <v>0</v>
      </c>
      <c r="J3060" s="16">
        <f>IF(NOT(Paths!$C$284=1),0,IF(Paths!$P$284="Complete",IF(IF(Paths!$E$284=0,C3060=0,AND(C3060&gt;0,Paths!$E$284&gt;(C3060-1)*12,Paths!$E$284&lt;=C3060*12)),Paths!$H$284,0),"n.a."))</f>
        <v>0</v>
      </c>
      <c r="K3060" s="16">
        <f>IF(NOT(Paths!$C$284=1),0,IF(Paths!$P$284="Complete",IF(IF(Paths!$O$284=0,C3060=0,AND(C3060&gt;0,Paths!$O$284&gt;(C3060-1)*12,Paths!$O$284&lt;=C3060*12)),Paths!$N$284,0),"n.a."))</f>
        <v>0</v>
      </c>
      <c r="L3060" s="16">
        <f>IF(NOT(Paths!$C$284=1),0,IF(Paths!$P$284="Complete",IF(C3060=10,Paths!$I$284,0),"n.a."))</f>
        <v>0</v>
      </c>
      <c r="M3060" s="16">
        <f>IF(NOT(Paths!$C$284=1),0,IF(Paths!$P$284="Complete",IF(AND(Paths!$D$284="EV",Paths!$E$284&lt;120,Paths!$E$284+'Operating costs'!$B$65&gt;Paths!$E$284,Paths!$E$284+'Operating costs'!$B$65&lt;=120,IF(Paths!$E$284+'Operating costs'!$B$65=0,C3060=0,AND(C3060&gt;0,Paths!$E$284+'Operating costs'!$B$65&gt;(C3060-1)*12,Paths!$E$284+'Operating costs'!$B$65&lt;=C3060*12))),'Operating costs'!$B$64,0)+IF(AND('Operating costs'!$B$67&gt;0,'Operating costs'!$B$67&lt;=120,OR(Paths!$D$284="ICE",'Operating costs'!$B$67&lt;=Paths!$E$284),IF('Operating costs'!$B$67=0,C3060=0,AND(C3060&gt;0,'Operating costs'!$B$67&gt;(C3060-1)*12,'Operating costs'!$B$67&lt;=C3060*12))),'Operating costs'!$B$66,0),"n.a."))</f>
        <v>0</v>
      </c>
      <c r="N3060" s="16">
        <f>IF(NOT(Paths!$C$284=1),0,IF(Paths!$P$284="Complete",SUM(G3060:I3060)-J3060-K3060-L3060+M3060+IF(C3060=0,Paths!$F$284,0)+IF(IF(Paths!$E$284=0,C3060=0,AND(C3060&gt;0,Paths!$E$284&gt;(C3060-1)*12,Paths!$E$284&lt;=C3060*12)),VLOOKUP(A3060,'Fleet register'!$A$7:$S$106,16,FALSE),0),"n.a."))</f>
        <v>0</v>
      </c>
      <c r="O3060" s="16">
        <f>IF(NOT(Paths!$C$284=1),0,IF(Paths!$P$284="Complete",N3060-IF(C3060=0,Paths!$F$284,0),"n.a."))</f>
        <v>0</v>
      </c>
      <c r="P3060" s="16">
        <f>IF(NOT(Paths!$C$284=1),0,IF(Paths!$P$284="Complete",O3060+L3060,"n.a."))</f>
        <v>0</v>
      </c>
      <c r="Q3060" s="16">
        <f>IF(NOT(Paths!$C$284=1),0,IF(Paths!$P$284="Complete",N3060*(1+'Operating costs'!$B$54)^-C3060,"n.a."))</f>
        <v>0</v>
      </c>
      <c r="R3060" s="16">
        <f>IF(NOT(Paths!$C$284=1),0,IF(Paths!$P$284="Complete",IF(AND(C3060=0,Paths!$E$284=0),I3060-J3060-K3060+VLOOKUP(A3060,'Fleet register'!$A$7:$S$106,15,FALSE)+VLOOKUP(A3060,'Fleet register'!$A$7:$S$106,16,FALSE),0),"n.a."))</f>
        <v>0</v>
      </c>
      <c r="S3060" s="1">
        <f>IF(NOT(Paths!$C$284=1),0,IF(Paths!$P$284="Complete",IF(C3060=0,0,Paths!$S$284*Paths!$R$284),"n.a."))</f>
        <v>0</v>
      </c>
      <c r="T3060" s="1">
        <f>IF(NOT(Paths!$C$284=1),0,IF(Paths!$P$284="Complete",IF(C3060=0,0,VLOOKUP(A3060,'Fleet register'!$A$7:$S$106,9,FALSE)*Paths!$R$284),"n.a."))</f>
        <v>0</v>
      </c>
    </row>
    <row r="3061" spans="1:20" ht="24" customHeight="1">
      <c r="A3061" s="1" t="str">
        <f>Paths!$A$284</f>
        <v>T070</v>
      </c>
      <c r="B3061" s="1">
        <f>Paths!$B$284</f>
        <v>1</v>
      </c>
      <c r="C3061" s="1">
        <v>7</v>
      </c>
      <c r="D3061" s="1">
        <v>284</v>
      </c>
      <c r="E3061" s="1">
        <f>IF(OR(Paths!$C$284=0,C3061=0),0,MAX(0,MIN(C3061*12,Paths!$E$284)-(C3061-1)*12))</f>
        <v>0</v>
      </c>
      <c r="F3061" s="1">
        <f>IF(OR(Paths!$C$284=0,C3061=0),0,12-E3061)</f>
        <v>0</v>
      </c>
      <c r="G3061" s="16">
        <f>IF(NOT(Paths!$C$284=1),0,IF(Paths!$P$284="Complete",E3061/12*(Paths!$J$284*(1+'Operating costs'!$B$51)^MAX(0,C3061-1)+Paths!$K$284*(1+'Operating costs'!$B$53)^MAX(0,C3061-1)),"n.a."))</f>
        <v>0</v>
      </c>
      <c r="H3061" s="16">
        <f>IF(NOT(Paths!$C$284=1),0,IF(Paths!$P$284="Complete",F3061/12*(Paths!$L$284*(1+IF(Paths!$D$284="EV",'Operating costs'!$B$52,'Operating costs'!$B$51))^MAX(0,C3061-1)+Paths!$M$284*(1+'Operating costs'!$B$53)^MAX(0,C3061-1)),"n.a."))</f>
        <v>0</v>
      </c>
      <c r="I3061" s="16">
        <f>IF(NOT(Paths!$C$284=1),0,IF(Paths!$P$284="Complete",IF(IF(Paths!$E$284=0,C3061=0,AND(C3061&gt;0,Paths!$E$284&gt;(C3061-1)*12,Paths!$E$284&lt;=C3061*12)),Paths!$G$284,0),"n.a."))</f>
        <v>0</v>
      </c>
      <c r="J3061" s="16">
        <f>IF(NOT(Paths!$C$284=1),0,IF(Paths!$P$284="Complete",IF(IF(Paths!$E$284=0,C3061=0,AND(C3061&gt;0,Paths!$E$284&gt;(C3061-1)*12,Paths!$E$284&lt;=C3061*12)),Paths!$H$284,0),"n.a."))</f>
        <v>0</v>
      </c>
      <c r="K3061" s="16">
        <f>IF(NOT(Paths!$C$284=1),0,IF(Paths!$P$284="Complete",IF(IF(Paths!$O$284=0,C3061=0,AND(C3061&gt;0,Paths!$O$284&gt;(C3061-1)*12,Paths!$O$284&lt;=C3061*12)),Paths!$N$284,0),"n.a."))</f>
        <v>0</v>
      </c>
      <c r="L3061" s="16">
        <f>IF(NOT(Paths!$C$284=1),0,IF(Paths!$P$284="Complete",IF(C3061=10,Paths!$I$284,0),"n.a."))</f>
        <v>0</v>
      </c>
      <c r="M3061" s="16">
        <f>IF(NOT(Paths!$C$284=1),0,IF(Paths!$P$284="Complete",IF(AND(Paths!$D$284="EV",Paths!$E$284&lt;120,Paths!$E$284+'Operating costs'!$B$65&gt;Paths!$E$284,Paths!$E$284+'Operating costs'!$B$65&lt;=120,IF(Paths!$E$284+'Operating costs'!$B$65=0,C3061=0,AND(C3061&gt;0,Paths!$E$284+'Operating costs'!$B$65&gt;(C3061-1)*12,Paths!$E$284+'Operating costs'!$B$65&lt;=C3061*12))),'Operating costs'!$B$64,0)+IF(AND('Operating costs'!$B$67&gt;0,'Operating costs'!$B$67&lt;=120,OR(Paths!$D$284="ICE",'Operating costs'!$B$67&lt;=Paths!$E$284),IF('Operating costs'!$B$67=0,C3061=0,AND(C3061&gt;0,'Operating costs'!$B$67&gt;(C3061-1)*12,'Operating costs'!$B$67&lt;=C3061*12))),'Operating costs'!$B$66,0),"n.a."))</f>
        <v>0</v>
      </c>
      <c r="N3061" s="16">
        <f>IF(NOT(Paths!$C$284=1),0,IF(Paths!$P$284="Complete",SUM(G3061:I3061)-J3061-K3061-L3061+M3061+IF(C3061=0,Paths!$F$284,0)+IF(IF(Paths!$E$284=0,C3061=0,AND(C3061&gt;0,Paths!$E$284&gt;(C3061-1)*12,Paths!$E$284&lt;=C3061*12)),VLOOKUP(A3061,'Fleet register'!$A$7:$S$106,16,FALSE),0),"n.a."))</f>
        <v>0</v>
      </c>
      <c r="O3061" s="16">
        <f>IF(NOT(Paths!$C$284=1),0,IF(Paths!$P$284="Complete",N3061-IF(C3061=0,Paths!$F$284,0),"n.a."))</f>
        <v>0</v>
      </c>
      <c r="P3061" s="16">
        <f>IF(NOT(Paths!$C$284=1),0,IF(Paths!$P$284="Complete",O3061+L3061,"n.a."))</f>
        <v>0</v>
      </c>
      <c r="Q3061" s="16">
        <f>IF(NOT(Paths!$C$284=1),0,IF(Paths!$P$284="Complete",N3061*(1+'Operating costs'!$B$54)^-C3061,"n.a."))</f>
        <v>0</v>
      </c>
      <c r="R3061" s="16">
        <f>IF(NOT(Paths!$C$284=1),0,IF(Paths!$P$284="Complete",IF(AND(C3061=0,Paths!$E$284=0),I3061-J3061-K3061+VLOOKUP(A3061,'Fleet register'!$A$7:$S$106,15,FALSE)+VLOOKUP(A3061,'Fleet register'!$A$7:$S$106,16,FALSE),0),"n.a."))</f>
        <v>0</v>
      </c>
      <c r="S3061" s="1">
        <f>IF(NOT(Paths!$C$284=1),0,IF(Paths!$P$284="Complete",IF(C3061=0,0,Paths!$S$284*Paths!$R$284),"n.a."))</f>
        <v>0</v>
      </c>
      <c r="T3061" s="1">
        <f>IF(NOT(Paths!$C$284=1),0,IF(Paths!$P$284="Complete",IF(C3061=0,0,VLOOKUP(A3061,'Fleet register'!$A$7:$S$106,9,FALSE)*Paths!$R$284),"n.a."))</f>
        <v>0</v>
      </c>
    </row>
    <row r="3062" spans="1:20" ht="24" customHeight="1">
      <c r="A3062" s="1" t="str">
        <f>Paths!$A$284</f>
        <v>T070</v>
      </c>
      <c r="B3062" s="1">
        <f>Paths!$B$284</f>
        <v>1</v>
      </c>
      <c r="C3062" s="1">
        <v>8</v>
      </c>
      <c r="D3062" s="1">
        <v>284</v>
      </c>
      <c r="E3062" s="1">
        <f>IF(OR(Paths!$C$284=0,C3062=0),0,MAX(0,MIN(C3062*12,Paths!$E$284)-(C3062-1)*12))</f>
        <v>0</v>
      </c>
      <c r="F3062" s="1">
        <f>IF(OR(Paths!$C$284=0,C3062=0),0,12-E3062)</f>
        <v>0</v>
      </c>
      <c r="G3062" s="16">
        <f>IF(NOT(Paths!$C$284=1),0,IF(Paths!$P$284="Complete",E3062/12*(Paths!$J$284*(1+'Operating costs'!$B$51)^MAX(0,C3062-1)+Paths!$K$284*(1+'Operating costs'!$B$53)^MAX(0,C3062-1)),"n.a."))</f>
        <v>0</v>
      </c>
      <c r="H3062" s="16">
        <f>IF(NOT(Paths!$C$284=1),0,IF(Paths!$P$284="Complete",F3062/12*(Paths!$L$284*(1+IF(Paths!$D$284="EV",'Operating costs'!$B$52,'Operating costs'!$B$51))^MAX(0,C3062-1)+Paths!$M$284*(1+'Operating costs'!$B$53)^MAX(0,C3062-1)),"n.a."))</f>
        <v>0</v>
      </c>
      <c r="I3062" s="16">
        <f>IF(NOT(Paths!$C$284=1),0,IF(Paths!$P$284="Complete",IF(IF(Paths!$E$284=0,C3062=0,AND(C3062&gt;0,Paths!$E$284&gt;(C3062-1)*12,Paths!$E$284&lt;=C3062*12)),Paths!$G$284,0),"n.a."))</f>
        <v>0</v>
      </c>
      <c r="J3062" s="16">
        <f>IF(NOT(Paths!$C$284=1),0,IF(Paths!$P$284="Complete",IF(IF(Paths!$E$284=0,C3062=0,AND(C3062&gt;0,Paths!$E$284&gt;(C3062-1)*12,Paths!$E$284&lt;=C3062*12)),Paths!$H$284,0),"n.a."))</f>
        <v>0</v>
      </c>
      <c r="K3062" s="16">
        <f>IF(NOT(Paths!$C$284=1),0,IF(Paths!$P$284="Complete",IF(IF(Paths!$O$284=0,C3062=0,AND(C3062&gt;0,Paths!$O$284&gt;(C3062-1)*12,Paths!$O$284&lt;=C3062*12)),Paths!$N$284,0),"n.a."))</f>
        <v>0</v>
      </c>
      <c r="L3062" s="16">
        <f>IF(NOT(Paths!$C$284=1),0,IF(Paths!$P$284="Complete",IF(C3062=10,Paths!$I$284,0),"n.a."))</f>
        <v>0</v>
      </c>
      <c r="M3062" s="16">
        <f>IF(NOT(Paths!$C$284=1),0,IF(Paths!$P$284="Complete",IF(AND(Paths!$D$284="EV",Paths!$E$284&lt;120,Paths!$E$284+'Operating costs'!$B$65&gt;Paths!$E$284,Paths!$E$284+'Operating costs'!$B$65&lt;=120,IF(Paths!$E$284+'Operating costs'!$B$65=0,C3062=0,AND(C3062&gt;0,Paths!$E$284+'Operating costs'!$B$65&gt;(C3062-1)*12,Paths!$E$284+'Operating costs'!$B$65&lt;=C3062*12))),'Operating costs'!$B$64,0)+IF(AND('Operating costs'!$B$67&gt;0,'Operating costs'!$B$67&lt;=120,OR(Paths!$D$284="ICE",'Operating costs'!$B$67&lt;=Paths!$E$284),IF('Operating costs'!$B$67=0,C3062=0,AND(C3062&gt;0,'Operating costs'!$B$67&gt;(C3062-1)*12,'Operating costs'!$B$67&lt;=C3062*12))),'Operating costs'!$B$66,0),"n.a."))</f>
        <v>0</v>
      </c>
      <c r="N3062" s="16">
        <f>IF(NOT(Paths!$C$284=1),0,IF(Paths!$P$284="Complete",SUM(G3062:I3062)-J3062-K3062-L3062+M3062+IF(C3062=0,Paths!$F$284,0)+IF(IF(Paths!$E$284=0,C3062=0,AND(C3062&gt;0,Paths!$E$284&gt;(C3062-1)*12,Paths!$E$284&lt;=C3062*12)),VLOOKUP(A3062,'Fleet register'!$A$7:$S$106,16,FALSE),0),"n.a."))</f>
        <v>0</v>
      </c>
      <c r="O3062" s="16">
        <f>IF(NOT(Paths!$C$284=1),0,IF(Paths!$P$284="Complete",N3062-IF(C3062=0,Paths!$F$284,0),"n.a."))</f>
        <v>0</v>
      </c>
      <c r="P3062" s="16">
        <f>IF(NOT(Paths!$C$284=1),0,IF(Paths!$P$284="Complete",O3062+L3062,"n.a."))</f>
        <v>0</v>
      </c>
      <c r="Q3062" s="16">
        <f>IF(NOT(Paths!$C$284=1),0,IF(Paths!$P$284="Complete",N3062*(1+'Operating costs'!$B$54)^-C3062,"n.a."))</f>
        <v>0</v>
      </c>
      <c r="R3062" s="16">
        <f>IF(NOT(Paths!$C$284=1),0,IF(Paths!$P$284="Complete",IF(AND(C3062=0,Paths!$E$284=0),I3062-J3062-K3062+VLOOKUP(A3062,'Fleet register'!$A$7:$S$106,15,FALSE)+VLOOKUP(A3062,'Fleet register'!$A$7:$S$106,16,FALSE),0),"n.a."))</f>
        <v>0</v>
      </c>
      <c r="S3062" s="1">
        <f>IF(NOT(Paths!$C$284=1),0,IF(Paths!$P$284="Complete",IF(C3062=0,0,Paths!$S$284*Paths!$R$284),"n.a."))</f>
        <v>0</v>
      </c>
      <c r="T3062" s="1">
        <f>IF(NOT(Paths!$C$284=1),0,IF(Paths!$P$284="Complete",IF(C3062=0,0,VLOOKUP(A3062,'Fleet register'!$A$7:$S$106,9,FALSE)*Paths!$R$284),"n.a."))</f>
        <v>0</v>
      </c>
    </row>
    <row r="3063" spans="1:20" ht="24" customHeight="1">
      <c r="A3063" s="1" t="str">
        <f>Paths!$A$284</f>
        <v>T070</v>
      </c>
      <c r="B3063" s="1">
        <f>Paths!$B$284</f>
        <v>1</v>
      </c>
      <c r="C3063" s="1">
        <v>9</v>
      </c>
      <c r="D3063" s="1">
        <v>284</v>
      </c>
      <c r="E3063" s="1">
        <f>IF(OR(Paths!$C$284=0,C3063=0),0,MAX(0,MIN(C3063*12,Paths!$E$284)-(C3063-1)*12))</f>
        <v>0</v>
      </c>
      <c r="F3063" s="1">
        <f>IF(OR(Paths!$C$284=0,C3063=0),0,12-E3063)</f>
        <v>0</v>
      </c>
      <c r="G3063" s="16">
        <f>IF(NOT(Paths!$C$284=1),0,IF(Paths!$P$284="Complete",E3063/12*(Paths!$J$284*(1+'Operating costs'!$B$51)^MAX(0,C3063-1)+Paths!$K$284*(1+'Operating costs'!$B$53)^MAX(0,C3063-1)),"n.a."))</f>
        <v>0</v>
      </c>
      <c r="H3063" s="16">
        <f>IF(NOT(Paths!$C$284=1),0,IF(Paths!$P$284="Complete",F3063/12*(Paths!$L$284*(1+IF(Paths!$D$284="EV",'Operating costs'!$B$52,'Operating costs'!$B$51))^MAX(0,C3063-1)+Paths!$M$284*(1+'Operating costs'!$B$53)^MAX(0,C3063-1)),"n.a."))</f>
        <v>0</v>
      </c>
      <c r="I3063" s="16">
        <f>IF(NOT(Paths!$C$284=1),0,IF(Paths!$P$284="Complete",IF(IF(Paths!$E$284=0,C3063=0,AND(C3063&gt;0,Paths!$E$284&gt;(C3063-1)*12,Paths!$E$284&lt;=C3063*12)),Paths!$G$284,0),"n.a."))</f>
        <v>0</v>
      </c>
      <c r="J3063" s="16">
        <f>IF(NOT(Paths!$C$284=1),0,IF(Paths!$P$284="Complete",IF(IF(Paths!$E$284=0,C3063=0,AND(C3063&gt;0,Paths!$E$284&gt;(C3063-1)*12,Paths!$E$284&lt;=C3063*12)),Paths!$H$284,0),"n.a."))</f>
        <v>0</v>
      </c>
      <c r="K3063" s="16">
        <f>IF(NOT(Paths!$C$284=1),0,IF(Paths!$P$284="Complete",IF(IF(Paths!$O$284=0,C3063=0,AND(C3063&gt;0,Paths!$O$284&gt;(C3063-1)*12,Paths!$O$284&lt;=C3063*12)),Paths!$N$284,0),"n.a."))</f>
        <v>0</v>
      </c>
      <c r="L3063" s="16">
        <f>IF(NOT(Paths!$C$284=1),0,IF(Paths!$P$284="Complete",IF(C3063=10,Paths!$I$284,0),"n.a."))</f>
        <v>0</v>
      </c>
      <c r="M3063" s="16">
        <f>IF(NOT(Paths!$C$284=1),0,IF(Paths!$P$284="Complete",IF(AND(Paths!$D$284="EV",Paths!$E$284&lt;120,Paths!$E$284+'Operating costs'!$B$65&gt;Paths!$E$284,Paths!$E$284+'Operating costs'!$B$65&lt;=120,IF(Paths!$E$284+'Operating costs'!$B$65=0,C3063=0,AND(C3063&gt;0,Paths!$E$284+'Operating costs'!$B$65&gt;(C3063-1)*12,Paths!$E$284+'Operating costs'!$B$65&lt;=C3063*12))),'Operating costs'!$B$64,0)+IF(AND('Operating costs'!$B$67&gt;0,'Operating costs'!$B$67&lt;=120,OR(Paths!$D$284="ICE",'Operating costs'!$B$67&lt;=Paths!$E$284),IF('Operating costs'!$B$67=0,C3063=0,AND(C3063&gt;0,'Operating costs'!$B$67&gt;(C3063-1)*12,'Operating costs'!$B$67&lt;=C3063*12))),'Operating costs'!$B$66,0),"n.a."))</f>
        <v>0</v>
      </c>
      <c r="N3063" s="16">
        <f>IF(NOT(Paths!$C$284=1),0,IF(Paths!$P$284="Complete",SUM(G3063:I3063)-J3063-K3063-L3063+M3063+IF(C3063=0,Paths!$F$284,0)+IF(IF(Paths!$E$284=0,C3063=0,AND(C3063&gt;0,Paths!$E$284&gt;(C3063-1)*12,Paths!$E$284&lt;=C3063*12)),VLOOKUP(A3063,'Fleet register'!$A$7:$S$106,16,FALSE),0),"n.a."))</f>
        <v>0</v>
      </c>
      <c r="O3063" s="16">
        <f>IF(NOT(Paths!$C$284=1),0,IF(Paths!$P$284="Complete",N3063-IF(C3063=0,Paths!$F$284,0),"n.a."))</f>
        <v>0</v>
      </c>
      <c r="P3063" s="16">
        <f>IF(NOT(Paths!$C$284=1),0,IF(Paths!$P$284="Complete",O3063+L3063,"n.a."))</f>
        <v>0</v>
      </c>
      <c r="Q3063" s="16">
        <f>IF(NOT(Paths!$C$284=1),0,IF(Paths!$P$284="Complete",N3063*(1+'Operating costs'!$B$54)^-C3063,"n.a."))</f>
        <v>0</v>
      </c>
      <c r="R3063" s="16">
        <f>IF(NOT(Paths!$C$284=1),0,IF(Paths!$P$284="Complete",IF(AND(C3063=0,Paths!$E$284=0),I3063-J3063-K3063+VLOOKUP(A3063,'Fleet register'!$A$7:$S$106,15,FALSE)+VLOOKUP(A3063,'Fleet register'!$A$7:$S$106,16,FALSE),0),"n.a."))</f>
        <v>0</v>
      </c>
      <c r="S3063" s="1">
        <f>IF(NOT(Paths!$C$284=1),0,IF(Paths!$P$284="Complete",IF(C3063=0,0,Paths!$S$284*Paths!$R$284),"n.a."))</f>
        <v>0</v>
      </c>
      <c r="T3063" s="1">
        <f>IF(NOT(Paths!$C$284=1),0,IF(Paths!$P$284="Complete",IF(C3063=0,0,VLOOKUP(A3063,'Fleet register'!$A$7:$S$106,9,FALSE)*Paths!$R$284),"n.a."))</f>
        <v>0</v>
      </c>
    </row>
    <row r="3064" spans="1:20" ht="24" customHeight="1">
      <c r="A3064" s="1" t="str">
        <f>Paths!$A$284</f>
        <v>T070</v>
      </c>
      <c r="B3064" s="1">
        <f>Paths!$B$284</f>
        <v>1</v>
      </c>
      <c r="C3064" s="1">
        <v>10</v>
      </c>
      <c r="D3064" s="1">
        <v>284</v>
      </c>
      <c r="E3064" s="1">
        <f>IF(OR(Paths!$C$284=0,C3064=0),0,MAX(0,MIN(C3064*12,Paths!$E$284)-(C3064-1)*12))</f>
        <v>0</v>
      </c>
      <c r="F3064" s="1">
        <f>IF(OR(Paths!$C$284=0,C3064=0),0,12-E3064)</f>
        <v>0</v>
      </c>
      <c r="G3064" s="16">
        <f>IF(NOT(Paths!$C$284=1),0,IF(Paths!$P$284="Complete",E3064/12*(Paths!$J$284*(1+'Operating costs'!$B$51)^MAX(0,C3064-1)+Paths!$K$284*(1+'Operating costs'!$B$53)^MAX(0,C3064-1)),"n.a."))</f>
        <v>0</v>
      </c>
      <c r="H3064" s="16">
        <f>IF(NOT(Paths!$C$284=1),0,IF(Paths!$P$284="Complete",F3064/12*(Paths!$L$284*(1+IF(Paths!$D$284="EV",'Operating costs'!$B$52,'Operating costs'!$B$51))^MAX(0,C3064-1)+Paths!$M$284*(1+'Operating costs'!$B$53)^MAX(0,C3064-1)),"n.a."))</f>
        <v>0</v>
      </c>
      <c r="I3064" s="16">
        <f>IF(NOT(Paths!$C$284=1),0,IF(Paths!$P$284="Complete",IF(IF(Paths!$E$284=0,C3064=0,AND(C3064&gt;0,Paths!$E$284&gt;(C3064-1)*12,Paths!$E$284&lt;=C3064*12)),Paths!$G$284,0),"n.a."))</f>
        <v>0</v>
      </c>
      <c r="J3064" s="16">
        <f>IF(NOT(Paths!$C$284=1),0,IF(Paths!$P$284="Complete",IF(IF(Paths!$E$284=0,C3064=0,AND(C3064&gt;0,Paths!$E$284&gt;(C3064-1)*12,Paths!$E$284&lt;=C3064*12)),Paths!$H$284,0),"n.a."))</f>
        <v>0</v>
      </c>
      <c r="K3064" s="16">
        <f>IF(NOT(Paths!$C$284=1),0,IF(Paths!$P$284="Complete",IF(IF(Paths!$O$284=0,C3064=0,AND(C3064&gt;0,Paths!$O$284&gt;(C3064-1)*12,Paths!$O$284&lt;=C3064*12)),Paths!$N$284,0),"n.a."))</f>
        <v>0</v>
      </c>
      <c r="L3064" s="16">
        <f>IF(NOT(Paths!$C$284=1),0,IF(Paths!$P$284="Complete",IF(C3064=10,Paths!$I$284,0),"n.a."))</f>
        <v>0</v>
      </c>
      <c r="M3064" s="16">
        <f>IF(NOT(Paths!$C$284=1),0,IF(Paths!$P$284="Complete",IF(AND(Paths!$D$284="EV",Paths!$E$284&lt;120,Paths!$E$284+'Operating costs'!$B$65&gt;Paths!$E$284,Paths!$E$284+'Operating costs'!$B$65&lt;=120,IF(Paths!$E$284+'Operating costs'!$B$65=0,C3064=0,AND(C3064&gt;0,Paths!$E$284+'Operating costs'!$B$65&gt;(C3064-1)*12,Paths!$E$284+'Operating costs'!$B$65&lt;=C3064*12))),'Operating costs'!$B$64,0)+IF(AND('Operating costs'!$B$67&gt;0,'Operating costs'!$B$67&lt;=120,OR(Paths!$D$284="ICE",'Operating costs'!$B$67&lt;=Paths!$E$284),IF('Operating costs'!$B$67=0,C3064=0,AND(C3064&gt;0,'Operating costs'!$B$67&gt;(C3064-1)*12,'Operating costs'!$B$67&lt;=C3064*12))),'Operating costs'!$B$66,0),"n.a."))</f>
        <v>0</v>
      </c>
      <c r="N3064" s="16">
        <f>IF(NOT(Paths!$C$284=1),0,IF(Paths!$P$284="Complete",SUM(G3064:I3064)-J3064-K3064-L3064+M3064+IF(C3064=0,Paths!$F$284,0)+IF(IF(Paths!$E$284=0,C3064=0,AND(C3064&gt;0,Paths!$E$284&gt;(C3064-1)*12,Paths!$E$284&lt;=C3064*12)),VLOOKUP(A3064,'Fleet register'!$A$7:$S$106,16,FALSE),0),"n.a."))</f>
        <v>0</v>
      </c>
      <c r="O3064" s="16">
        <f>IF(NOT(Paths!$C$284=1),0,IF(Paths!$P$284="Complete",N3064-IF(C3064=0,Paths!$F$284,0),"n.a."))</f>
        <v>0</v>
      </c>
      <c r="P3064" s="16">
        <f>IF(NOT(Paths!$C$284=1),0,IF(Paths!$P$284="Complete",O3064+L3064,"n.a."))</f>
        <v>0</v>
      </c>
      <c r="Q3064" s="16">
        <f>IF(NOT(Paths!$C$284=1),0,IF(Paths!$P$284="Complete",N3064*(1+'Operating costs'!$B$54)^-C3064,"n.a."))</f>
        <v>0</v>
      </c>
      <c r="R3064" s="16">
        <f>IF(NOT(Paths!$C$284=1),0,IF(Paths!$P$284="Complete",IF(AND(C3064=0,Paths!$E$284=0),I3064-J3064-K3064+VLOOKUP(A3064,'Fleet register'!$A$7:$S$106,15,FALSE)+VLOOKUP(A3064,'Fleet register'!$A$7:$S$106,16,FALSE),0),"n.a."))</f>
        <v>0</v>
      </c>
      <c r="S3064" s="1">
        <f>IF(NOT(Paths!$C$284=1),0,IF(Paths!$P$284="Complete",IF(C3064=0,0,Paths!$S$284*Paths!$R$284),"n.a."))</f>
        <v>0</v>
      </c>
      <c r="T3064" s="1">
        <f>IF(NOT(Paths!$C$284=1),0,IF(Paths!$P$284="Complete",IF(C3064=0,0,VLOOKUP(A3064,'Fleet register'!$A$7:$S$106,9,FALSE)*Paths!$R$284),"n.a."))</f>
        <v>0</v>
      </c>
    </row>
    <row r="3065" spans="1:20" ht="24" customHeight="1">
      <c r="A3065" s="1" t="str">
        <f>Paths!$A$285</f>
        <v>T070</v>
      </c>
      <c r="B3065" s="1">
        <f>Paths!$B$285</f>
        <v>2</v>
      </c>
      <c r="C3065" s="1">
        <v>0</v>
      </c>
      <c r="D3065" s="1">
        <v>285</v>
      </c>
      <c r="E3065" s="1">
        <f>IF(OR(Paths!$C$285=0,C3065=0),0,MAX(0,MIN(C3065*12,Paths!$E$285)-(C3065-1)*12))</f>
        <v>0</v>
      </c>
      <c r="F3065" s="1">
        <f>IF(OR(Paths!$C$285=0,C3065=0),0,12-E3065)</f>
        <v>0</v>
      </c>
      <c r="G3065" s="16">
        <f>IF(NOT(Paths!$C$285=1),0,IF(Paths!$P$285="Complete",E3065/12*(Paths!$J$285*(1+'Operating costs'!$B$51)^MAX(0,C3065-1)+Paths!$K$285*(1+'Operating costs'!$B$53)^MAX(0,C3065-1)),"n.a."))</f>
        <v>0</v>
      </c>
      <c r="H3065" s="16">
        <f>IF(NOT(Paths!$C$285=1),0,IF(Paths!$P$285="Complete",F3065/12*(Paths!$L$285*(1+IF(Paths!$D$285="EV",'Operating costs'!$B$52,'Operating costs'!$B$51))^MAX(0,C3065-1)+Paths!$M$285*(1+'Operating costs'!$B$53)^MAX(0,C3065-1)),"n.a."))</f>
        <v>0</v>
      </c>
      <c r="I3065" s="16">
        <f>IF(NOT(Paths!$C$285=1),0,IF(Paths!$P$285="Complete",IF(IF(Paths!$E$285=0,C3065=0,AND(C3065&gt;0,Paths!$E$285&gt;(C3065-1)*12,Paths!$E$285&lt;=C3065*12)),Paths!$G$285,0),"n.a."))</f>
        <v>0</v>
      </c>
      <c r="J3065" s="16">
        <f>IF(NOT(Paths!$C$285=1),0,IF(Paths!$P$285="Complete",IF(IF(Paths!$E$285=0,C3065=0,AND(C3065&gt;0,Paths!$E$285&gt;(C3065-1)*12,Paths!$E$285&lt;=C3065*12)),Paths!$H$285,0),"n.a."))</f>
        <v>0</v>
      </c>
      <c r="K3065" s="16">
        <f>IF(NOT(Paths!$C$285=1),0,IF(Paths!$P$285="Complete",IF(IF(Paths!$O$285=0,C3065=0,AND(C3065&gt;0,Paths!$O$285&gt;(C3065-1)*12,Paths!$O$285&lt;=C3065*12)),Paths!$N$285,0),"n.a."))</f>
        <v>0</v>
      </c>
      <c r="L3065" s="16">
        <f>IF(NOT(Paths!$C$285=1),0,IF(Paths!$P$285="Complete",IF(C3065=10,Paths!$I$285,0),"n.a."))</f>
        <v>0</v>
      </c>
      <c r="M3065" s="16">
        <f>IF(NOT(Paths!$C$285=1),0,IF(Paths!$P$285="Complete",IF(AND(Paths!$D$285="EV",Paths!$E$285&lt;120,Paths!$E$285+'Operating costs'!$B$65&gt;Paths!$E$285,Paths!$E$285+'Operating costs'!$B$65&lt;=120,IF(Paths!$E$285+'Operating costs'!$B$65=0,C3065=0,AND(C3065&gt;0,Paths!$E$285+'Operating costs'!$B$65&gt;(C3065-1)*12,Paths!$E$285+'Operating costs'!$B$65&lt;=C3065*12))),'Operating costs'!$B$64,0)+IF(AND('Operating costs'!$B$67&gt;0,'Operating costs'!$B$67&lt;=120,OR(Paths!$D$285="ICE",'Operating costs'!$B$67&lt;=Paths!$E$285),IF('Operating costs'!$B$67=0,C3065=0,AND(C3065&gt;0,'Operating costs'!$B$67&gt;(C3065-1)*12,'Operating costs'!$B$67&lt;=C3065*12))),'Operating costs'!$B$66,0),"n.a."))</f>
        <v>0</v>
      </c>
      <c r="N3065" s="16">
        <f>IF(NOT(Paths!$C$285=1),0,IF(Paths!$P$285="Complete",SUM(G3065:I3065)-J3065-K3065-L3065+M3065+IF(C3065=0,Paths!$F$285,0)+IF(IF(Paths!$E$285=0,C3065=0,AND(C3065&gt;0,Paths!$E$285&gt;(C3065-1)*12,Paths!$E$285&lt;=C3065*12)),VLOOKUP(A3065,'Fleet register'!$A$7:$S$106,16,FALSE),0),"n.a."))</f>
        <v>0</v>
      </c>
      <c r="O3065" s="16">
        <f>IF(NOT(Paths!$C$285=1),0,IF(Paths!$P$285="Complete",N3065-IF(C3065=0,Paths!$F$285,0),"n.a."))</f>
        <v>0</v>
      </c>
      <c r="P3065" s="16">
        <f>IF(NOT(Paths!$C$285=1),0,IF(Paths!$P$285="Complete",O3065+L3065,"n.a."))</f>
        <v>0</v>
      </c>
      <c r="Q3065" s="16">
        <f>IF(NOT(Paths!$C$285=1),0,IF(Paths!$P$285="Complete",N3065*(1+'Operating costs'!$B$54)^-C3065,"n.a."))</f>
        <v>0</v>
      </c>
      <c r="R3065" s="16">
        <f>IF(NOT(Paths!$C$285=1),0,IF(Paths!$P$285="Complete",IF(AND(C3065=0,Paths!$E$285=0),I3065-J3065-K3065+VLOOKUP(A3065,'Fleet register'!$A$7:$S$106,15,FALSE)+VLOOKUP(A3065,'Fleet register'!$A$7:$S$106,16,FALSE),0),"n.a."))</f>
        <v>0</v>
      </c>
      <c r="S3065" s="1">
        <f>IF(NOT(Paths!$C$285=1),0,IF(Paths!$P$285="Complete",IF(C3065=0,0,Paths!$S$285*Paths!$R$285),"n.a."))</f>
        <v>0</v>
      </c>
      <c r="T3065" s="1">
        <f>IF(NOT(Paths!$C$285=1),0,IF(Paths!$P$285="Complete",IF(C3065=0,0,VLOOKUP(A3065,'Fleet register'!$A$7:$S$106,9,FALSE)*Paths!$R$285),"n.a."))</f>
        <v>0</v>
      </c>
    </row>
    <row r="3066" spans="1:20" ht="24" customHeight="1">
      <c r="A3066" s="1" t="str">
        <f>Paths!$A$285</f>
        <v>T070</v>
      </c>
      <c r="B3066" s="1">
        <f>Paths!$B$285</f>
        <v>2</v>
      </c>
      <c r="C3066" s="1">
        <v>1</v>
      </c>
      <c r="D3066" s="1">
        <v>285</v>
      </c>
      <c r="E3066" s="1">
        <f>IF(OR(Paths!$C$285=0,C3066=0),0,MAX(0,MIN(C3066*12,Paths!$E$285)-(C3066-1)*12))</f>
        <v>0</v>
      </c>
      <c r="F3066" s="1">
        <f>IF(OR(Paths!$C$285=0,C3066=0),0,12-E3066)</f>
        <v>0</v>
      </c>
      <c r="G3066" s="16">
        <f>IF(NOT(Paths!$C$285=1),0,IF(Paths!$P$285="Complete",E3066/12*(Paths!$J$285*(1+'Operating costs'!$B$51)^MAX(0,C3066-1)+Paths!$K$285*(1+'Operating costs'!$B$53)^MAX(0,C3066-1)),"n.a."))</f>
        <v>0</v>
      </c>
      <c r="H3066" s="16">
        <f>IF(NOT(Paths!$C$285=1),0,IF(Paths!$P$285="Complete",F3066/12*(Paths!$L$285*(1+IF(Paths!$D$285="EV",'Operating costs'!$B$52,'Operating costs'!$B$51))^MAX(0,C3066-1)+Paths!$M$285*(1+'Operating costs'!$B$53)^MAX(0,C3066-1)),"n.a."))</f>
        <v>0</v>
      </c>
      <c r="I3066" s="16">
        <f>IF(NOT(Paths!$C$285=1),0,IF(Paths!$P$285="Complete",IF(IF(Paths!$E$285=0,C3066=0,AND(C3066&gt;0,Paths!$E$285&gt;(C3066-1)*12,Paths!$E$285&lt;=C3066*12)),Paths!$G$285,0),"n.a."))</f>
        <v>0</v>
      </c>
      <c r="J3066" s="16">
        <f>IF(NOT(Paths!$C$285=1),0,IF(Paths!$P$285="Complete",IF(IF(Paths!$E$285=0,C3066=0,AND(C3066&gt;0,Paths!$E$285&gt;(C3066-1)*12,Paths!$E$285&lt;=C3066*12)),Paths!$H$285,0),"n.a."))</f>
        <v>0</v>
      </c>
      <c r="K3066" s="16">
        <f>IF(NOT(Paths!$C$285=1),0,IF(Paths!$P$285="Complete",IF(IF(Paths!$O$285=0,C3066=0,AND(C3066&gt;0,Paths!$O$285&gt;(C3066-1)*12,Paths!$O$285&lt;=C3066*12)),Paths!$N$285,0),"n.a."))</f>
        <v>0</v>
      </c>
      <c r="L3066" s="16">
        <f>IF(NOT(Paths!$C$285=1),0,IF(Paths!$P$285="Complete",IF(C3066=10,Paths!$I$285,0),"n.a."))</f>
        <v>0</v>
      </c>
      <c r="M3066" s="16">
        <f>IF(NOT(Paths!$C$285=1),0,IF(Paths!$P$285="Complete",IF(AND(Paths!$D$285="EV",Paths!$E$285&lt;120,Paths!$E$285+'Operating costs'!$B$65&gt;Paths!$E$285,Paths!$E$285+'Operating costs'!$B$65&lt;=120,IF(Paths!$E$285+'Operating costs'!$B$65=0,C3066=0,AND(C3066&gt;0,Paths!$E$285+'Operating costs'!$B$65&gt;(C3066-1)*12,Paths!$E$285+'Operating costs'!$B$65&lt;=C3066*12))),'Operating costs'!$B$64,0)+IF(AND('Operating costs'!$B$67&gt;0,'Operating costs'!$B$67&lt;=120,OR(Paths!$D$285="ICE",'Operating costs'!$B$67&lt;=Paths!$E$285),IF('Operating costs'!$B$67=0,C3066=0,AND(C3066&gt;0,'Operating costs'!$B$67&gt;(C3066-1)*12,'Operating costs'!$B$67&lt;=C3066*12))),'Operating costs'!$B$66,0),"n.a."))</f>
        <v>0</v>
      </c>
      <c r="N3066" s="16">
        <f>IF(NOT(Paths!$C$285=1),0,IF(Paths!$P$285="Complete",SUM(G3066:I3066)-J3066-K3066-L3066+M3066+IF(C3066=0,Paths!$F$285,0)+IF(IF(Paths!$E$285=0,C3066=0,AND(C3066&gt;0,Paths!$E$285&gt;(C3066-1)*12,Paths!$E$285&lt;=C3066*12)),VLOOKUP(A3066,'Fleet register'!$A$7:$S$106,16,FALSE),0),"n.a."))</f>
        <v>0</v>
      </c>
      <c r="O3066" s="16">
        <f>IF(NOT(Paths!$C$285=1),0,IF(Paths!$P$285="Complete",N3066-IF(C3066=0,Paths!$F$285,0),"n.a."))</f>
        <v>0</v>
      </c>
      <c r="P3066" s="16">
        <f>IF(NOT(Paths!$C$285=1),0,IF(Paths!$P$285="Complete",O3066+L3066,"n.a."))</f>
        <v>0</v>
      </c>
      <c r="Q3066" s="16">
        <f>IF(NOT(Paths!$C$285=1),0,IF(Paths!$P$285="Complete",N3066*(1+'Operating costs'!$B$54)^-C3066,"n.a."))</f>
        <v>0</v>
      </c>
      <c r="R3066" s="16">
        <f>IF(NOT(Paths!$C$285=1),0,IF(Paths!$P$285="Complete",IF(AND(C3066=0,Paths!$E$285=0),I3066-J3066-K3066+VLOOKUP(A3066,'Fleet register'!$A$7:$S$106,15,FALSE)+VLOOKUP(A3066,'Fleet register'!$A$7:$S$106,16,FALSE),0),"n.a."))</f>
        <v>0</v>
      </c>
      <c r="S3066" s="1">
        <f>IF(NOT(Paths!$C$285=1),0,IF(Paths!$P$285="Complete",IF(C3066=0,0,Paths!$S$285*Paths!$R$285),"n.a."))</f>
        <v>0</v>
      </c>
      <c r="T3066" s="1">
        <f>IF(NOT(Paths!$C$285=1),0,IF(Paths!$P$285="Complete",IF(C3066=0,0,VLOOKUP(A3066,'Fleet register'!$A$7:$S$106,9,FALSE)*Paths!$R$285),"n.a."))</f>
        <v>0</v>
      </c>
    </row>
    <row r="3067" spans="1:20" ht="24" customHeight="1">
      <c r="A3067" s="1" t="str">
        <f>Paths!$A$285</f>
        <v>T070</v>
      </c>
      <c r="B3067" s="1">
        <f>Paths!$B$285</f>
        <v>2</v>
      </c>
      <c r="C3067" s="1">
        <v>2</v>
      </c>
      <c r="D3067" s="1">
        <v>285</v>
      </c>
      <c r="E3067" s="1">
        <f>IF(OR(Paths!$C$285=0,C3067=0),0,MAX(0,MIN(C3067*12,Paths!$E$285)-(C3067-1)*12))</f>
        <v>0</v>
      </c>
      <c r="F3067" s="1">
        <f>IF(OR(Paths!$C$285=0,C3067=0),0,12-E3067)</f>
        <v>0</v>
      </c>
      <c r="G3067" s="16">
        <f>IF(NOT(Paths!$C$285=1),0,IF(Paths!$P$285="Complete",E3067/12*(Paths!$J$285*(1+'Operating costs'!$B$51)^MAX(0,C3067-1)+Paths!$K$285*(1+'Operating costs'!$B$53)^MAX(0,C3067-1)),"n.a."))</f>
        <v>0</v>
      </c>
      <c r="H3067" s="16">
        <f>IF(NOT(Paths!$C$285=1),0,IF(Paths!$P$285="Complete",F3067/12*(Paths!$L$285*(1+IF(Paths!$D$285="EV",'Operating costs'!$B$52,'Operating costs'!$B$51))^MAX(0,C3067-1)+Paths!$M$285*(1+'Operating costs'!$B$53)^MAX(0,C3067-1)),"n.a."))</f>
        <v>0</v>
      </c>
      <c r="I3067" s="16">
        <f>IF(NOT(Paths!$C$285=1),0,IF(Paths!$P$285="Complete",IF(IF(Paths!$E$285=0,C3067=0,AND(C3067&gt;0,Paths!$E$285&gt;(C3067-1)*12,Paths!$E$285&lt;=C3067*12)),Paths!$G$285,0),"n.a."))</f>
        <v>0</v>
      </c>
      <c r="J3067" s="16">
        <f>IF(NOT(Paths!$C$285=1),0,IF(Paths!$P$285="Complete",IF(IF(Paths!$E$285=0,C3067=0,AND(C3067&gt;0,Paths!$E$285&gt;(C3067-1)*12,Paths!$E$285&lt;=C3067*12)),Paths!$H$285,0),"n.a."))</f>
        <v>0</v>
      </c>
      <c r="K3067" s="16">
        <f>IF(NOT(Paths!$C$285=1),0,IF(Paths!$P$285="Complete",IF(IF(Paths!$O$285=0,C3067=0,AND(C3067&gt;0,Paths!$O$285&gt;(C3067-1)*12,Paths!$O$285&lt;=C3067*12)),Paths!$N$285,0),"n.a."))</f>
        <v>0</v>
      </c>
      <c r="L3067" s="16">
        <f>IF(NOT(Paths!$C$285=1),0,IF(Paths!$P$285="Complete",IF(C3067=10,Paths!$I$285,0),"n.a."))</f>
        <v>0</v>
      </c>
      <c r="M3067" s="16">
        <f>IF(NOT(Paths!$C$285=1),0,IF(Paths!$P$285="Complete",IF(AND(Paths!$D$285="EV",Paths!$E$285&lt;120,Paths!$E$285+'Operating costs'!$B$65&gt;Paths!$E$285,Paths!$E$285+'Operating costs'!$B$65&lt;=120,IF(Paths!$E$285+'Operating costs'!$B$65=0,C3067=0,AND(C3067&gt;0,Paths!$E$285+'Operating costs'!$B$65&gt;(C3067-1)*12,Paths!$E$285+'Operating costs'!$B$65&lt;=C3067*12))),'Operating costs'!$B$64,0)+IF(AND('Operating costs'!$B$67&gt;0,'Operating costs'!$B$67&lt;=120,OR(Paths!$D$285="ICE",'Operating costs'!$B$67&lt;=Paths!$E$285),IF('Operating costs'!$B$67=0,C3067=0,AND(C3067&gt;0,'Operating costs'!$B$67&gt;(C3067-1)*12,'Operating costs'!$B$67&lt;=C3067*12))),'Operating costs'!$B$66,0),"n.a."))</f>
        <v>0</v>
      </c>
      <c r="N3067" s="16">
        <f>IF(NOT(Paths!$C$285=1),0,IF(Paths!$P$285="Complete",SUM(G3067:I3067)-J3067-K3067-L3067+M3067+IF(C3067=0,Paths!$F$285,0)+IF(IF(Paths!$E$285=0,C3067=0,AND(C3067&gt;0,Paths!$E$285&gt;(C3067-1)*12,Paths!$E$285&lt;=C3067*12)),VLOOKUP(A3067,'Fleet register'!$A$7:$S$106,16,FALSE),0),"n.a."))</f>
        <v>0</v>
      </c>
      <c r="O3067" s="16">
        <f>IF(NOT(Paths!$C$285=1),0,IF(Paths!$P$285="Complete",N3067-IF(C3067=0,Paths!$F$285,0),"n.a."))</f>
        <v>0</v>
      </c>
      <c r="P3067" s="16">
        <f>IF(NOT(Paths!$C$285=1),0,IF(Paths!$P$285="Complete",O3067+L3067,"n.a."))</f>
        <v>0</v>
      </c>
      <c r="Q3067" s="16">
        <f>IF(NOT(Paths!$C$285=1),0,IF(Paths!$P$285="Complete",N3067*(1+'Operating costs'!$B$54)^-C3067,"n.a."))</f>
        <v>0</v>
      </c>
      <c r="R3067" s="16">
        <f>IF(NOT(Paths!$C$285=1),0,IF(Paths!$P$285="Complete",IF(AND(C3067=0,Paths!$E$285=0),I3067-J3067-K3067+VLOOKUP(A3067,'Fleet register'!$A$7:$S$106,15,FALSE)+VLOOKUP(A3067,'Fleet register'!$A$7:$S$106,16,FALSE),0),"n.a."))</f>
        <v>0</v>
      </c>
      <c r="S3067" s="1">
        <f>IF(NOT(Paths!$C$285=1),0,IF(Paths!$P$285="Complete",IF(C3067=0,0,Paths!$S$285*Paths!$R$285),"n.a."))</f>
        <v>0</v>
      </c>
      <c r="T3067" s="1">
        <f>IF(NOT(Paths!$C$285=1),0,IF(Paths!$P$285="Complete",IF(C3067=0,0,VLOOKUP(A3067,'Fleet register'!$A$7:$S$106,9,FALSE)*Paths!$R$285),"n.a."))</f>
        <v>0</v>
      </c>
    </row>
    <row r="3068" spans="1:20" ht="24" customHeight="1">
      <c r="A3068" s="1" t="str">
        <f>Paths!$A$285</f>
        <v>T070</v>
      </c>
      <c r="B3068" s="1">
        <f>Paths!$B$285</f>
        <v>2</v>
      </c>
      <c r="C3068" s="1">
        <v>3</v>
      </c>
      <c r="D3068" s="1">
        <v>285</v>
      </c>
      <c r="E3068" s="1">
        <f>IF(OR(Paths!$C$285=0,C3068=0),0,MAX(0,MIN(C3068*12,Paths!$E$285)-(C3068-1)*12))</f>
        <v>0</v>
      </c>
      <c r="F3068" s="1">
        <f>IF(OR(Paths!$C$285=0,C3068=0),0,12-E3068)</f>
        <v>0</v>
      </c>
      <c r="G3068" s="16">
        <f>IF(NOT(Paths!$C$285=1),0,IF(Paths!$P$285="Complete",E3068/12*(Paths!$J$285*(1+'Operating costs'!$B$51)^MAX(0,C3068-1)+Paths!$K$285*(1+'Operating costs'!$B$53)^MAX(0,C3068-1)),"n.a."))</f>
        <v>0</v>
      </c>
      <c r="H3068" s="16">
        <f>IF(NOT(Paths!$C$285=1),0,IF(Paths!$P$285="Complete",F3068/12*(Paths!$L$285*(1+IF(Paths!$D$285="EV",'Operating costs'!$B$52,'Operating costs'!$B$51))^MAX(0,C3068-1)+Paths!$M$285*(1+'Operating costs'!$B$53)^MAX(0,C3068-1)),"n.a."))</f>
        <v>0</v>
      </c>
      <c r="I3068" s="16">
        <f>IF(NOT(Paths!$C$285=1),0,IF(Paths!$P$285="Complete",IF(IF(Paths!$E$285=0,C3068=0,AND(C3068&gt;0,Paths!$E$285&gt;(C3068-1)*12,Paths!$E$285&lt;=C3068*12)),Paths!$G$285,0),"n.a."))</f>
        <v>0</v>
      </c>
      <c r="J3068" s="16">
        <f>IF(NOT(Paths!$C$285=1),0,IF(Paths!$P$285="Complete",IF(IF(Paths!$E$285=0,C3068=0,AND(C3068&gt;0,Paths!$E$285&gt;(C3068-1)*12,Paths!$E$285&lt;=C3068*12)),Paths!$H$285,0),"n.a."))</f>
        <v>0</v>
      </c>
      <c r="K3068" s="16">
        <f>IF(NOT(Paths!$C$285=1),0,IF(Paths!$P$285="Complete",IF(IF(Paths!$O$285=0,C3068=0,AND(C3068&gt;0,Paths!$O$285&gt;(C3068-1)*12,Paths!$O$285&lt;=C3068*12)),Paths!$N$285,0),"n.a."))</f>
        <v>0</v>
      </c>
      <c r="L3068" s="16">
        <f>IF(NOT(Paths!$C$285=1),0,IF(Paths!$P$285="Complete",IF(C3068=10,Paths!$I$285,0),"n.a."))</f>
        <v>0</v>
      </c>
      <c r="M3068" s="16">
        <f>IF(NOT(Paths!$C$285=1),0,IF(Paths!$P$285="Complete",IF(AND(Paths!$D$285="EV",Paths!$E$285&lt;120,Paths!$E$285+'Operating costs'!$B$65&gt;Paths!$E$285,Paths!$E$285+'Operating costs'!$B$65&lt;=120,IF(Paths!$E$285+'Operating costs'!$B$65=0,C3068=0,AND(C3068&gt;0,Paths!$E$285+'Operating costs'!$B$65&gt;(C3068-1)*12,Paths!$E$285+'Operating costs'!$B$65&lt;=C3068*12))),'Operating costs'!$B$64,0)+IF(AND('Operating costs'!$B$67&gt;0,'Operating costs'!$B$67&lt;=120,OR(Paths!$D$285="ICE",'Operating costs'!$B$67&lt;=Paths!$E$285),IF('Operating costs'!$B$67=0,C3068=0,AND(C3068&gt;0,'Operating costs'!$B$67&gt;(C3068-1)*12,'Operating costs'!$B$67&lt;=C3068*12))),'Operating costs'!$B$66,0),"n.a."))</f>
        <v>0</v>
      </c>
      <c r="N3068" s="16">
        <f>IF(NOT(Paths!$C$285=1),0,IF(Paths!$P$285="Complete",SUM(G3068:I3068)-J3068-K3068-L3068+M3068+IF(C3068=0,Paths!$F$285,0)+IF(IF(Paths!$E$285=0,C3068=0,AND(C3068&gt;0,Paths!$E$285&gt;(C3068-1)*12,Paths!$E$285&lt;=C3068*12)),VLOOKUP(A3068,'Fleet register'!$A$7:$S$106,16,FALSE),0),"n.a."))</f>
        <v>0</v>
      </c>
      <c r="O3068" s="16">
        <f>IF(NOT(Paths!$C$285=1),0,IF(Paths!$P$285="Complete",N3068-IF(C3068=0,Paths!$F$285,0),"n.a."))</f>
        <v>0</v>
      </c>
      <c r="P3068" s="16">
        <f>IF(NOT(Paths!$C$285=1),0,IF(Paths!$P$285="Complete",O3068+L3068,"n.a."))</f>
        <v>0</v>
      </c>
      <c r="Q3068" s="16">
        <f>IF(NOT(Paths!$C$285=1),0,IF(Paths!$P$285="Complete",N3068*(1+'Operating costs'!$B$54)^-C3068,"n.a."))</f>
        <v>0</v>
      </c>
      <c r="R3068" s="16">
        <f>IF(NOT(Paths!$C$285=1),0,IF(Paths!$P$285="Complete",IF(AND(C3068=0,Paths!$E$285=0),I3068-J3068-K3068+VLOOKUP(A3068,'Fleet register'!$A$7:$S$106,15,FALSE)+VLOOKUP(A3068,'Fleet register'!$A$7:$S$106,16,FALSE),0),"n.a."))</f>
        <v>0</v>
      </c>
      <c r="S3068" s="1">
        <f>IF(NOT(Paths!$C$285=1),0,IF(Paths!$P$285="Complete",IF(C3068=0,0,Paths!$S$285*Paths!$R$285),"n.a."))</f>
        <v>0</v>
      </c>
      <c r="T3068" s="1">
        <f>IF(NOT(Paths!$C$285=1),0,IF(Paths!$P$285="Complete",IF(C3068=0,0,VLOOKUP(A3068,'Fleet register'!$A$7:$S$106,9,FALSE)*Paths!$R$285),"n.a."))</f>
        <v>0</v>
      </c>
    </row>
    <row r="3069" spans="1:20" ht="24" customHeight="1">
      <c r="A3069" s="1" t="str">
        <f>Paths!$A$285</f>
        <v>T070</v>
      </c>
      <c r="B3069" s="1">
        <f>Paths!$B$285</f>
        <v>2</v>
      </c>
      <c r="C3069" s="1">
        <v>4</v>
      </c>
      <c r="D3069" s="1">
        <v>285</v>
      </c>
      <c r="E3069" s="1">
        <f>IF(OR(Paths!$C$285=0,C3069=0),0,MAX(0,MIN(C3069*12,Paths!$E$285)-(C3069-1)*12))</f>
        <v>0</v>
      </c>
      <c r="F3069" s="1">
        <f>IF(OR(Paths!$C$285=0,C3069=0),0,12-E3069)</f>
        <v>0</v>
      </c>
      <c r="G3069" s="16">
        <f>IF(NOT(Paths!$C$285=1),0,IF(Paths!$P$285="Complete",E3069/12*(Paths!$J$285*(1+'Operating costs'!$B$51)^MAX(0,C3069-1)+Paths!$K$285*(1+'Operating costs'!$B$53)^MAX(0,C3069-1)),"n.a."))</f>
        <v>0</v>
      </c>
      <c r="H3069" s="16">
        <f>IF(NOT(Paths!$C$285=1),0,IF(Paths!$P$285="Complete",F3069/12*(Paths!$L$285*(1+IF(Paths!$D$285="EV",'Operating costs'!$B$52,'Operating costs'!$B$51))^MAX(0,C3069-1)+Paths!$M$285*(1+'Operating costs'!$B$53)^MAX(0,C3069-1)),"n.a."))</f>
        <v>0</v>
      </c>
      <c r="I3069" s="16">
        <f>IF(NOT(Paths!$C$285=1),0,IF(Paths!$P$285="Complete",IF(IF(Paths!$E$285=0,C3069=0,AND(C3069&gt;0,Paths!$E$285&gt;(C3069-1)*12,Paths!$E$285&lt;=C3069*12)),Paths!$G$285,0),"n.a."))</f>
        <v>0</v>
      </c>
      <c r="J3069" s="16">
        <f>IF(NOT(Paths!$C$285=1),0,IF(Paths!$P$285="Complete",IF(IF(Paths!$E$285=0,C3069=0,AND(C3069&gt;0,Paths!$E$285&gt;(C3069-1)*12,Paths!$E$285&lt;=C3069*12)),Paths!$H$285,0),"n.a."))</f>
        <v>0</v>
      </c>
      <c r="K3069" s="16">
        <f>IF(NOT(Paths!$C$285=1),0,IF(Paths!$P$285="Complete",IF(IF(Paths!$O$285=0,C3069=0,AND(C3069&gt;0,Paths!$O$285&gt;(C3069-1)*12,Paths!$O$285&lt;=C3069*12)),Paths!$N$285,0),"n.a."))</f>
        <v>0</v>
      </c>
      <c r="L3069" s="16">
        <f>IF(NOT(Paths!$C$285=1),0,IF(Paths!$P$285="Complete",IF(C3069=10,Paths!$I$285,0),"n.a."))</f>
        <v>0</v>
      </c>
      <c r="M3069" s="16">
        <f>IF(NOT(Paths!$C$285=1),0,IF(Paths!$P$285="Complete",IF(AND(Paths!$D$285="EV",Paths!$E$285&lt;120,Paths!$E$285+'Operating costs'!$B$65&gt;Paths!$E$285,Paths!$E$285+'Operating costs'!$B$65&lt;=120,IF(Paths!$E$285+'Operating costs'!$B$65=0,C3069=0,AND(C3069&gt;0,Paths!$E$285+'Operating costs'!$B$65&gt;(C3069-1)*12,Paths!$E$285+'Operating costs'!$B$65&lt;=C3069*12))),'Operating costs'!$B$64,0)+IF(AND('Operating costs'!$B$67&gt;0,'Operating costs'!$B$67&lt;=120,OR(Paths!$D$285="ICE",'Operating costs'!$B$67&lt;=Paths!$E$285),IF('Operating costs'!$B$67=0,C3069=0,AND(C3069&gt;0,'Operating costs'!$B$67&gt;(C3069-1)*12,'Operating costs'!$B$67&lt;=C3069*12))),'Operating costs'!$B$66,0),"n.a."))</f>
        <v>0</v>
      </c>
      <c r="N3069" s="16">
        <f>IF(NOT(Paths!$C$285=1),0,IF(Paths!$P$285="Complete",SUM(G3069:I3069)-J3069-K3069-L3069+M3069+IF(C3069=0,Paths!$F$285,0)+IF(IF(Paths!$E$285=0,C3069=0,AND(C3069&gt;0,Paths!$E$285&gt;(C3069-1)*12,Paths!$E$285&lt;=C3069*12)),VLOOKUP(A3069,'Fleet register'!$A$7:$S$106,16,FALSE),0),"n.a."))</f>
        <v>0</v>
      </c>
      <c r="O3069" s="16">
        <f>IF(NOT(Paths!$C$285=1),0,IF(Paths!$P$285="Complete",N3069-IF(C3069=0,Paths!$F$285,0),"n.a."))</f>
        <v>0</v>
      </c>
      <c r="P3069" s="16">
        <f>IF(NOT(Paths!$C$285=1),0,IF(Paths!$P$285="Complete",O3069+L3069,"n.a."))</f>
        <v>0</v>
      </c>
      <c r="Q3069" s="16">
        <f>IF(NOT(Paths!$C$285=1),0,IF(Paths!$P$285="Complete",N3069*(1+'Operating costs'!$B$54)^-C3069,"n.a."))</f>
        <v>0</v>
      </c>
      <c r="R3069" s="16">
        <f>IF(NOT(Paths!$C$285=1),0,IF(Paths!$P$285="Complete",IF(AND(C3069=0,Paths!$E$285=0),I3069-J3069-K3069+VLOOKUP(A3069,'Fleet register'!$A$7:$S$106,15,FALSE)+VLOOKUP(A3069,'Fleet register'!$A$7:$S$106,16,FALSE),0),"n.a."))</f>
        <v>0</v>
      </c>
      <c r="S3069" s="1">
        <f>IF(NOT(Paths!$C$285=1),0,IF(Paths!$P$285="Complete",IF(C3069=0,0,Paths!$S$285*Paths!$R$285),"n.a."))</f>
        <v>0</v>
      </c>
      <c r="T3069" s="1">
        <f>IF(NOT(Paths!$C$285=1),0,IF(Paths!$P$285="Complete",IF(C3069=0,0,VLOOKUP(A3069,'Fleet register'!$A$7:$S$106,9,FALSE)*Paths!$R$285),"n.a."))</f>
        <v>0</v>
      </c>
    </row>
    <row r="3070" spans="1:20" ht="24" customHeight="1">
      <c r="A3070" s="1" t="str">
        <f>Paths!$A$285</f>
        <v>T070</v>
      </c>
      <c r="B3070" s="1">
        <f>Paths!$B$285</f>
        <v>2</v>
      </c>
      <c r="C3070" s="1">
        <v>5</v>
      </c>
      <c r="D3070" s="1">
        <v>285</v>
      </c>
      <c r="E3070" s="1">
        <f>IF(OR(Paths!$C$285=0,C3070=0),0,MAX(0,MIN(C3070*12,Paths!$E$285)-(C3070-1)*12))</f>
        <v>0</v>
      </c>
      <c r="F3070" s="1">
        <f>IF(OR(Paths!$C$285=0,C3070=0),0,12-E3070)</f>
        <v>0</v>
      </c>
      <c r="G3070" s="16">
        <f>IF(NOT(Paths!$C$285=1),0,IF(Paths!$P$285="Complete",E3070/12*(Paths!$J$285*(1+'Operating costs'!$B$51)^MAX(0,C3070-1)+Paths!$K$285*(1+'Operating costs'!$B$53)^MAX(0,C3070-1)),"n.a."))</f>
        <v>0</v>
      </c>
      <c r="H3070" s="16">
        <f>IF(NOT(Paths!$C$285=1),0,IF(Paths!$P$285="Complete",F3070/12*(Paths!$L$285*(1+IF(Paths!$D$285="EV",'Operating costs'!$B$52,'Operating costs'!$B$51))^MAX(0,C3070-1)+Paths!$M$285*(1+'Operating costs'!$B$53)^MAX(0,C3070-1)),"n.a."))</f>
        <v>0</v>
      </c>
      <c r="I3070" s="16">
        <f>IF(NOT(Paths!$C$285=1),0,IF(Paths!$P$285="Complete",IF(IF(Paths!$E$285=0,C3070=0,AND(C3070&gt;0,Paths!$E$285&gt;(C3070-1)*12,Paths!$E$285&lt;=C3070*12)),Paths!$G$285,0),"n.a."))</f>
        <v>0</v>
      </c>
      <c r="J3070" s="16">
        <f>IF(NOT(Paths!$C$285=1),0,IF(Paths!$P$285="Complete",IF(IF(Paths!$E$285=0,C3070=0,AND(C3070&gt;0,Paths!$E$285&gt;(C3070-1)*12,Paths!$E$285&lt;=C3070*12)),Paths!$H$285,0),"n.a."))</f>
        <v>0</v>
      </c>
      <c r="K3070" s="16">
        <f>IF(NOT(Paths!$C$285=1),0,IF(Paths!$P$285="Complete",IF(IF(Paths!$O$285=0,C3070=0,AND(C3070&gt;0,Paths!$O$285&gt;(C3070-1)*12,Paths!$O$285&lt;=C3070*12)),Paths!$N$285,0),"n.a."))</f>
        <v>0</v>
      </c>
      <c r="L3070" s="16">
        <f>IF(NOT(Paths!$C$285=1),0,IF(Paths!$P$285="Complete",IF(C3070=10,Paths!$I$285,0),"n.a."))</f>
        <v>0</v>
      </c>
      <c r="M3070" s="16">
        <f>IF(NOT(Paths!$C$285=1),0,IF(Paths!$P$285="Complete",IF(AND(Paths!$D$285="EV",Paths!$E$285&lt;120,Paths!$E$285+'Operating costs'!$B$65&gt;Paths!$E$285,Paths!$E$285+'Operating costs'!$B$65&lt;=120,IF(Paths!$E$285+'Operating costs'!$B$65=0,C3070=0,AND(C3070&gt;0,Paths!$E$285+'Operating costs'!$B$65&gt;(C3070-1)*12,Paths!$E$285+'Operating costs'!$B$65&lt;=C3070*12))),'Operating costs'!$B$64,0)+IF(AND('Operating costs'!$B$67&gt;0,'Operating costs'!$B$67&lt;=120,OR(Paths!$D$285="ICE",'Operating costs'!$B$67&lt;=Paths!$E$285),IF('Operating costs'!$B$67=0,C3070=0,AND(C3070&gt;0,'Operating costs'!$B$67&gt;(C3070-1)*12,'Operating costs'!$B$67&lt;=C3070*12))),'Operating costs'!$B$66,0),"n.a."))</f>
        <v>0</v>
      </c>
      <c r="N3070" s="16">
        <f>IF(NOT(Paths!$C$285=1),0,IF(Paths!$P$285="Complete",SUM(G3070:I3070)-J3070-K3070-L3070+M3070+IF(C3070=0,Paths!$F$285,0)+IF(IF(Paths!$E$285=0,C3070=0,AND(C3070&gt;0,Paths!$E$285&gt;(C3070-1)*12,Paths!$E$285&lt;=C3070*12)),VLOOKUP(A3070,'Fleet register'!$A$7:$S$106,16,FALSE),0),"n.a."))</f>
        <v>0</v>
      </c>
      <c r="O3070" s="16">
        <f>IF(NOT(Paths!$C$285=1),0,IF(Paths!$P$285="Complete",N3070-IF(C3070=0,Paths!$F$285,0),"n.a."))</f>
        <v>0</v>
      </c>
      <c r="P3070" s="16">
        <f>IF(NOT(Paths!$C$285=1),0,IF(Paths!$P$285="Complete",O3070+L3070,"n.a."))</f>
        <v>0</v>
      </c>
      <c r="Q3070" s="16">
        <f>IF(NOT(Paths!$C$285=1),0,IF(Paths!$P$285="Complete",N3070*(1+'Operating costs'!$B$54)^-C3070,"n.a."))</f>
        <v>0</v>
      </c>
      <c r="R3070" s="16">
        <f>IF(NOT(Paths!$C$285=1),0,IF(Paths!$P$285="Complete",IF(AND(C3070=0,Paths!$E$285=0),I3070-J3070-K3070+VLOOKUP(A3070,'Fleet register'!$A$7:$S$106,15,FALSE)+VLOOKUP(A3070,'Fleet register'!$A$7:$S$106,16,FALSE),0),"n.a."))</f>
        <v>0</v>
      </c>
      <c r="S3070" s="1">
        <f>IF(NOT(Paths!$C$285=1),0,IF(Paths!$P$285="Complete",IF(C3070=0,0,Paths!$S$285*Paths!$R$285),"n.a."))</f>
        <v>0</v>
      </c>
      <c r="T3070" s="1">
        <f>IF(NOT(Paths!$C$285=1),0,IF(Paths!$P$285="Complete",IF(C3070=0,0,VLOOKUP(A3070,'Fleet register'!$A$7:$S$106,9,FALSE)*Paths!$R$285),"n.a."))</f>
        <v>0</v>
      </c>
    </row>
    <row r="3071" spans="1:20" ht="24" customHeight="1">
      <c r="A3071" s="1" t="str">
        <f>Paths!$A$285</f>
        <v>T070</v>
      </c>
      <c r="B3071" s="1">
        <f>Paths!$B$285</f>
        <v>2</v>
      </c>
      <c r="C3071" s="1">
        <v>6</v>
      </c>
      <c r="D3071" s="1">
        <v>285</v>
      </c>
      <c r="E3071" s="1">
        <f>IF(OR(Paths!$C$285=0,C3071=0),0,MAX(0,MIN(C3071*12,Paths!$E$285)-(C3071-1)*12))</f>
        <v>0</v>
      </c>
      <c r="F3071" s="1">
        <f>IF(OR(Paths!$C$285=0,C3071=0),0,12-E3071)</f>
        <v>0</v>
      </c>
      <c r="G3071" s="16">
        <f>IF(NOT(Paths!$C$285=1),0,IF(Paths!$P$285="Complete",E3071/12*(Paths!$J$285*(1+'Operating costs'!$B$51)^MAX(0,C3071-1)+Paths!$K$285*(1+'Operating costs'!$B$53)^MAX(0,C3071-1)),"n.a."))</f>
        <v>0</v>
      </c>
      <c r="H3071" s="16">
        <f>IF(NOT(Paths!$C$285=1),0,IF(Paths!$P$285="Complete",F3071/12*(Paths!$L$285*(1+IF(Paths!$D$285="EV",'Operating costs'!$B$52,'Operating costs'!$B$51))^MAX(0,C3071-1)+Paths!$M$285*(1+'Operating costs'!$B$53)^MAX(0,C3071-1)),"n.a."))</f>
        <v>0</v>
      </c>
      <c r="I3071" s="16">
        <f>IF(NOT(Paths!$C$285=1),0,IF(Paths!$P$285="Complete",IF(IF(Paths!$E$285=0,C3071=0,AND(C3071&gt;0,Paths!$E$285&gt;(C3071-1)*12,Paths!$E$285&lt;=C3071*12)),Paths!$G$285,0),"n.a."))</f>
        <v>0</v>
      </c>
      <c r="J3071" s="16">
        <f>IF(NOT(Paths!$C$285=1),0,IF(Paths!$P$285="Complete",IF(IF(Paths!$E$285=0,C3071=0,AND(C3071&gt;0,Paths!$E$285&gt;(C3071-1)*12,Paths!$E$285&lt;=C3071*12)),Paths!$H$285,0),"n.a."))</f>
        <v>0</v>
      </c>
      <c r="K3071" s="16">
        <f>IF(NOT(Paths!$C$285=1),0,IF(Paths!$P$285="Complete",IF(IF(Paths!$O$285=0,C3071=0,AND(C3071&gt;0,Paths!$O$285&gt;(C3071-1)*12,Paths!$O$285&lt;=C3071*12)),Paths!$N$285,0),"n.a."))</f>
        <v>0</v>
      </c>
      <c r="L3071" s="16">
        <f>IF(NOT(Paths!$C$285=1),0,IF(Paths!$P$285="Complete",IF(C3071=10,Paths!$I$285,0),"n.a."))</f>
        <v>0</v>
      </c>
      <c r="M3071" s="16">
        <f>IF(NOT(Paths!$C$285=1),0,IF(Paths!$P$285="Complete",IF(AND(Paths!$D$285="EV",Paths!$E$285&lt;120,Paths!$E$285+'Operating costs'!$B$65&gt;Paths!$E$285,Paths!$E$285+'Operating costs'!$B$65&lt;=120,IF(Paths!$E$285+'Operating costs'!$B$65=0,C3071=0,AND(C3071&gt;0,Paths!$E$285+'Operating costs'!$B$65&gt;(C3071-1)*12,Paths!$E$285+'Operating costs'!$B$65&lt;=C3071*12))),'Operating costs'!$B$64,0)+IF(AND('Operating costs'!$B$67&gt;0,'Operating costs'!$B$67&lt;=120,OR(Paths!$D$285="ICE",'Operating costs'!$B$67&lt;=Paths!$E$285),IF('Operating costs'!$B$67=0,C3071=0,AND(C3071&gt;0,'Operating costs'!$B$67&gt;(C3071-1)*12,'Operating costs'!$B$67&lt;=C3071*12))),'Operating costs'!$B$66,0),"n.a."))</f>
        <v>0</v>
      </c>
      <c r="N3071" s="16">
        <f>IF(NOT(Paths!$C$285=1),0,IF(Paths!$P$285="Complete",SUM(G3071:I3071)-J3071-K3071-L3071+M3071+IF(C3071=0,Paths!$F$285,0)+IF(IF(Paths!$E$285=0,C3071=0,AND(C3071&gt;0,Paths!$E$285&gt;(C3071-1)*12,Paths!$E$285&lt;=C3071*12)),VLOOKUP(A3071,'Fleet register'!$A$7:$S$106,16,FALSE),0),"n.a."))</f>
        <v>0</v>
      </c>
      <c r="O3071" s="16">
        <f>IF(NOT(Paths!$C$285=1),0,IF(Paths!$P$285="Complete",N3071-IF(C3071=0,Paths!$F$285,0),"n.a."))</f>
        <v>0</v>
      </c>
      <c r="P3071" s="16">
        <f>IF(NOT(Paths!$C$285=1),0,IF(Paths!$P$285="Complete",O3071+L3071,"n.a."))</f>
        <v>0</v>
      </c>
      <c r="Q3071" s="16">
        <f>IF(NOT(Paths!$C$285=1),0,IF(Paths!$P$285="Complete",N3071*(1+'Operating costs'!$B$54)^-C3071,"n.a."))</f>
        <v>0</v>
      </c>
      <c r="R3071" s="16">
        <f>IF(NOT(Paths!$C$285=1),0,IF(Paths!$P$285="Complete",IF(AND(C3071=0,Paths!$E$285=0),I3071-J3071-K3071+VLOOKUP(A3071,'Fleet register'!$A$7:$S$106,15,FALSE)+VLOOKUP(A3071,'Fleet register'!$A$7:$S$106,16,FALSE),0),"n.a."))</f>
        <v>0</v>
      </c>
      <c r="S3071" s="1">
        <f>IF(NOT(Paths!$C$285=1),0,IF(Paths!$P$285="Complete",IF(C3071=0,0,Paths!$S$285*Paths!$R$285),"n.a."))</f>
        <v>0</v>
      </c>
      <c r="T3071" s="1">
        <f>IF(NOT(Paths!$C$285=1),0,IF(Paths!$P$285="Complete",IF(C3071=0,0,VLOOKUP(A3071,'Fleet register'!$A$7:$S$106,9,FALSE)*Paths!$R$285),"n.a."))</f>
        <v>0</v>
      </c>
    </row>
    <row r="3072" spans="1:20" ht="24" customHeight="1">
      <c r="A3072" s="1" t="str">
        <f>Paths!$A$285</f>
        <v>T070</v>
      </c>
      <c r="B3072" s="1">
        <f>Paths!$B$285</f>
        <v>2</v>
      </c>
      <c r="C3072" s="1">
        <v>7</v>
      </c>
      <c r="D3072" s="1">
        <v>285</v>
      </c>
      <c r="E3072" s="1">
        <f>IF(OR(Paths!$C$285=0,C3072=0),0,MAX(0,MIN(C3072*12,Paths!$E$285)-(C3072-1)*12))</f>
        <v>0</v>
      </c>
      <c r="F3072" s="1">
        <f>IF(OR(Paths!$C$285=0,C3072=0),0,12-E3072)</f>
        <v>0</v>
      </c>
      <c r="G3072" s="16">
        <f>IF(NOT(Paths!$C$285=1),0,IF(Paths!$P$285="Complete",E3072/12*(Paths!$J$285*(1+'Operating costs'!$B$51)^MAX(0,C3072-1)+Paths!$K$285*(1+'Operating costs'!$B$53)^MAX(0,C3072-1)),"n.a."))</f>
        <v>0</v>
      </c>
      <c r="H3072" s="16">
        <f>IF(NOT(Paths!$C$285=1),0,IF(Paths!$P$285="Complete",F3072/12*(Paths!$L$285*(1+IF(Paths!$D$285="EV",'Operating costs'!$B$52,'Operating costs'!$B$51))^MAX(0,C3072-1)+Paths!$M$285*(1+'Operating costs'!$B$53)^MAX(0,C3072-1)),"n.a."))</f>
        <v>0</v>
      </c>
      <c r="I3072" s="16">
        <f>IF(NOT(Paths!$C$285=1),0,IF(Paths!$P$285="Complete",IF(IF(Paths!$E$285=0,C3072=0,AND(C3072&gt;0,Paths!$E$285&gt;(C3072-1)*12,Paths!$E$285&lt;=C3072*12)),Paths!$G$285,0),"n.a."))</f>
        <v>0</v>
      </c>
      <c r="J3072" s="16">
        <f>IF(NOT(Paths!$C$285=1),0,IF(Paths!$P$285="Complete",IF(IF(Paths!$E$285=0,C3072=0,AND(C3072&gt;0,Paths!$E$285&gt;(C3072-1)*12,Paths!$E$285&lt;=C3072*12)),Paths!$H$285,0),"n.a."))</f>
        <v>0</v>
      </c>
      <c r="K3072" s="16">
        <f>IF(NOT(Paths!$C$285=1),0,IF(Paths!$P$285="Complete",IF(IF(Paths!$O$285=0,C3072=0,AND(C3072&gt;0,Paths!$O$285&gt;(C3072-1)*12,Paths!$O$285&lt;=C3072*12)),Paths!$N$285,0),"n.a."))</f>
        <v>0</v>
      </c>
      <c r="L3072" s="16">
        <f>IF(NOT(Paths!$C$285=1),0,IF(Paths!$P$285="Complete",IF(C3072=10,Paths!$I$285,0),"n.a."))</f>
        <v>0</v>
      </c>
      <c r="M3072" s="16">
        <f>IF(NOT(Paths!$C$285=1),0,IF(Paths!$P$285="Complete",IF(AND(Paths!$D$285="EV",Paths!$E$285&lt;120,Paths!$E$285+'Operating costs'!$B$65&gt;Paths!$E$285,Paths!$E$285+'Operating costs'!$B$65&lt;=120,IF(Paths!$E$285+'Operating costs'!$B$65=0,C3072=0,AND(C3072&gt;0,Paths!$E$285+'Operating costs'!$B$65&gt;(C3072-1)*12,Paths!$E$285+'Operating costs'!$B$65&lt;=C3072*12))),'Operating costs'!$B$64,0)+IF(AND('Operating costs'!$B$67&gt;0,'Operating costs'!$B$67&lt;=120,OR(Paths!$D$285="ICE",'Operating costs'!$B$67&lt;=Paths!$E$285),IF('Operating costs'!$B$67=0,C3072=0,AND(C3072&gt;0,'Operating costs'!$B$67&gt;(C3072-1)*12,'Operating costs'!$B$67&lt;=C3072*12))),'Operating costs'!$B$66,0),"n.a."))</f>
        <v>0</v>
      </c>
      <c r="N3072" s="16">
        <f>IF(NOT(Paths!$C$285=1),0,IF(Paths!$P$285="Complete",SUM(G3072:I3072)-J3072-K3072-L3072+M3072+IF(C3072=0,Paths!$F$285,0)+IF(IF(Paths!$E$285=0,C3072=0,AND(C3072&gt;0,Paths!$E$285&gt;(C3072-1)*12,Paths!$E$285&lt;=C3072*12)),VLOOKUP(A3072,'Fleet register'!$A$7:$S$106,16,FALSE),0),"n.a."))</f>
        <v>0</v>
      </c>
      <c r="O3072" s="16">
        <f>IF(NOT(Paths!$C$285=1),0,IF(Paths!$P$285="Complete",N3072-IF(C3072=0,Paths!$F$285,0),"n.a."))</f>
        <v>0</v>
      </c>
      <c r="P3072" s="16">
        <f>IF(NOT(Paths!$C$285=1),0,IF(Paths!$P$285="Complete",O3072+L3072,"n.a."))</f>
        <v>0</v>
      </c>
      <c r="Q3072" s="16">
        <f>IF(NOT(Paths!$C$285=1),0,IF(Paths!$P$285="Complete",N3072*(1+'Operating costs'!$B$54)^-C3072,"n.a."))</f>
        <v>0</v>
      </c>
      <c r="R3072" s="16">
        <f>IF(NOT(Paths!$C$285=1),0,IF(Paths!$P$285="Complete",IF(AND(C3072=0,Paths!$E$285=0),I3072-J3072-K3072+VLOOKUP(A3072,'Fleet register'!$A$7:$S$106,15,FALSE)+VLOOKUP(A3072,'Fleet register'!$A$7:$S$106,16,FALSE),0),"n.a."))</f>
        <v>0</v>
      </c>
      <c r="S3072" s="1">
        <f>IF(NOT(Paths!$C$285=1),0,IF(Paths!$P$285="Complete",IF(C3072=0,0,Paths!$S$285*Paths!$R$285),"n.a."))</f>
        <v>0</v>
      </c>
      <c r="T3072" s="1">
        <f>IF(NOT(Paths!$C$285=1),0,IF(Paths!$P$285="Complete",IF(C3072=0,0,VLOOKUP(A3072,'Fleet register'!$A$7:$S$106,9,FALSE)*Paths!$R$285),"n.a."))</f>
        <v>0</v>
      </c>
    </row>
    <row r="3073" spans="1:20" ht="24" customHeight="1">
      <c r="A3073" s="1" t="str">
        <f>Paths!$A$285</f>
        <v>T070</v>
      </c>
      <c r="B3073" s="1">
        <f>Paths!$B$285</f>
        <v>2</v>
      </c>
      <c r="C3073" s="1">
        <v>8</v>
      </c>
      <c r="D3073" s="1">
        <v>285</v>
      </c>
      <c r="E3073" s="1">
        <f>IF(OR(Paths!$C$285=0,C3073=0),0,MAX(0,MIN(C3073*12,Paths!$E$285)-(C3073-1)*12))</f>
        <v>0</v>
      </c>
      <c r="F3073" s="1">
        <f>IF(OR(Paths!$C$285=0,C3073=0),0,12-E3073)</f>
        <v>0</v>
      </c>
      <c r="G3073" s="16">
        <f>IF(NOT(Paths!$C$285=1),0,IF(Paths!$P$285="Complete",E3073/12*(Paths!$J$285*(1+'Operating costs'!$B$51)^MAX(0,C3073-1)+Paths!$K$285*(1+'Operating costs'!$B$53)^MAX(0,C3073-1)),"n.a."))</f>
        <v>0</v>
      </c>
      <c r="H3073" s="16">
        <f>IF(NOT(Paths!$C$285=1),0,IF(Paths!$P$285="Complete",F3073/12*(Paths!$L$285*(1+IF(Paths!$D$285="EV",'Operating costs'!$B$52,'Operating costs'!$B$51))^MAX(0,C3073-1)+Paths!$M$285*(1+'Operating costs'!$B$53)^MAX(0,C3073-1)),"n.a."))</f>
        <v>0</v>
      </c>
      <c r="I3073" s="16">
        <f>IF(NOT(Paths!$C$285=1),0,IF(Paths!$P$285="Complete",IF(IF(Paths!$E$285=0,C3073=0,AND(C3073&gt;0,Paths!$E$285&gt;(C3073-1)*12,Paths!$E$285&lt;=C3073*12)),Paths!$G$285,0),"n.a."))</f>
        <v>0</v>
      </c>
      <c r="J3073" s="16">
        <f>IF(NOT(Paths!$C$285=1),0,IF(Paths!$P$285="Complete",IF(IF(Paths!$E$285=0,C3073=0,AND(C3073&gt;0,Paths!$E$285&gt;(C3073-1)*12,Paths!$E$285&lt;=C3073*12)),Paths!$H$285,0),"n.a."))</f>
        <v>0</v>
      </c>
      <c r="K3073" s="16">
        <f>IF(NOT(Paths!$C$285=1),0,IF(Paths!$P$285="Complete",IF(IF(Paths!$O$285=0,C3073=0,AND(C3073&gt;0,Paths!$O$285&gt;(C3073-1)*12,Paths!$O$285&lt;=C3073*12)),Paths!$N$285,0),"n.a."))</f>
        <v>0</v>
      </c>
      <c r="L3073" s="16">
        <f>IF(NOT(Paths!$C$285=1),0,IF(Paths!$P$285="Complete",IF(C3073=10,Paths!$I$285,0),"n.a."))</f>
        <v>0</v>
      </c>
      <c r="M3073" s="16">
        <f>IF(NOT(Paths!$C$285=1),0,IF(Paths!$P$285="Complete",IF(AND(Paths!$D$285="EV",Paths!$E$285&lt;120,Paths!$E$285+'Operating costs'!$B$65&gt;Paths!$E$285,Paths!$E$285+'Operating costs'!$B$65&lt;=120,IF(Paths!$E$285+'Operating costs'!$B$65=0,C3073=0,AND(C3073&gt;0,Paths!$E$285+'Operating costs'!$B$65&gt;(C3073-1)*12,Paths!$E$285+'Operating costs'!$B$65&lt;=C3073*12))),'Operating costs'!$B$64,0)+IF(AND('Operating costs'!$B$67&gt;0,'Operating costs'!$B$67&lt;=120,OR(Paths!$D$285="ICE",'Operating costs'!$B$67&lt;=Paths!$E$285),IF('Operating costs'!$B$67=0,C3073=0,AND(C3073&gt;0,'Operating costs'!$B$67&gt;(C3073-1)*12,'Operating costs'!$B$67&lt;=C3073*12))),'Operating costs'!$B$66,0),"n.a."))</f>
        <v>0</v>
      </c>
      <c r="N3073" s="16">
        <f>IF(NOT(Paths!$C$285=1),0,IF(Paths!$P$285="Complete",SUM(G3073:I3073)-J3073-K3073-L3073+M3073+IF(C3073=0,Paths!$F$285,0)+IF(IF(Paths!$E$285=0,C3073=0,AND(C3073&gt;0,Paths!$E$285&gt;(C3073-1)*12,Paths!$E$285&lt;=C3073*12)),VLOOKUP(A3073,'Fleet register'!$A$7:$S$106,16,FALSE),0),"n.a."))</f>
        <v>0</v>
      </c>
      <c r="O3073" s="16">
        <f>IF(NOT(Paths!$C$285=1),0,IF(Paths!$P$285="Complete",N3073-IF(C3073=0,Paths!$F$285,0),"n.a."))</f>
        <v>0</v>
      </c>
      <c r="P3073" s="16">
        <f>IF(NOT(Paths!$C$285=1),0,IF(Paths!$P$285="Complete",O3073+L3073,"n.a."))</f>
        <v>0</v>
      </c>
      <c r="Q3073" s="16">
        <f>IF(NOT(Paths!$C$285=1),0,IF(Paths!$P$285="Complete",N3073*(1+'Operating costs'!$B$54)^-C3073,"n.a."))</f>
        <v>0</v>
      </c>
      <c r="R3073" s="16">
        <f>IF(NOT(Paths!$C$285=1),0,IF(Paths!$P$285="Complete",IF(AND(C3073=0,Paths!$E$285=0),I3073-J3073-K3073+VLOOKUP(A3073,'Fleet register'!$A$7:$S$106,15,FALSE)+VLOOKUP(A3073,'Fleet register'!$A$7:$S$106,16,FALSE),0),"n.a."))</f>
        <v>0</v>
      </c>
      <c r="S3073" s="1">
        <f>IF(NOT(Paths!$C$285=1),0,IF(Paths!$P$285="Complete",IF(C3073=0,0,Paths!$S$285*Paths!$R$285),"n.a."))</f>
        <v>0</v>
      </c>
      <c r="T3073" s="1">
        <f>IF(NOT(Paths!$C$285=1),0,IF(Paths!$P$285="Complete",IF(C3073=0,0,VLOOKUP(A3073,'Fleet register'!$A$7:$S$106,9,FALSE)*Paths!$R$285),"n.a."))</f>
        <v>0</v>
      </c>
    </row>
    <row r="3074" spans="1:20" ht="24" customHeight="1">
      <c r="A3074" s="1" t="str">
        <f>Paths!$A$285</f>
        <v>T070</v>
      </c>
      <c r="B3074" s="1">
        <f>Paths!$B$285</f>
        <v>2</v>
      </c>
      <c r="C3074" s="1">
        <v>9</v>
      </c>
      <c r="D3074" s="1">
        <v>285</v>
      </c>
      <c r="E3074" s="1">
        <f>IF(OR(Paths!$C$285=0,C3074=0),0,MAX(0,MIN(C3074*12,Paths!$E$285)-(C3074-1)*12))</f>
        <v>0</v>
      </c>
      <c r="F3074" s="1">
        <f>IF(OR(Paths!$C$285=0,C3074=0),0,12-E3074)</f>
        <v>0</v>
      </c>
      <c r="G3074" s="16">
        <f>IF(NOT(Paths!$C$285=1),0,IF(Paths!$P$285="Complete",E3074/12*(Paths!$J$285*(1+'Operating costs'!$B$51)^MAX(0,C3074-1)+Paths!$K$285*(1+'Operating costs'!$B$53)^MAX(0,C3074-1)),"n.a."))</f>
        <v>0</v>
      </c>
      <c r="H3074" s="16">
        <f>IF(NOT(Paths!$C$285=1),0,IF(Paths!$P$285="Complete",F3074/12*(Paths!$L$285*(1+IF(Paths!$D$285="EV",'Operating costs'!$B$52,'Operating costs'!$B$51))^MAX(0,C3074-1)+Paths!$M$285*(1+'Operating costs'!$B$53)^MAX(0,C3074-1)),"n.a."))</f>
        <v>0</v>
      </c>
      <c r="I3074" s="16">
        <f>IF(NOT(Paths!$C$285=1),0,IF(Paths!$P$285="Complete",IF(IF(Paths!$E$285=0,C3074=0,AND(C3074&gt;0,Paths!$E$285&gt;(C3074-1)*12,Paths!$E$285&lt;=C3074*12)),Paths!$G$285,0),"n.a."))</f>
        <v>0</v>
      </c>
      <c r="J3074" s="16">
        <f>IF(NOT(Paths!$C$285=1),0,IF(Paths!$P$285="Complete",IF(IF(Paths!$E$285=0,C3074=0,AND(C3074&gt;0,Paths!$E$285&gt;(C3074-1)*12,Paths!$E$285&lt;=C3074*12)),Paths!$H$285,0),"n.a."))</f>
        <v>0</v>
      </c>
      <c r="K3074" s="16">
        <f>IF(NOT(Paths!$C$285=1),0,IF(Paths!$P$285="Complete",IF(IF(Paths!$O$285=0,C3074=0,AND(C3074&gt;0,Paths!$O$285&gt;(C3074-1)*12,Paths!$O$285&lt;=C3074*12)),Paths!$N$285,0),"n.a."))</f>
        <v>0</v>
      </c>
      <c r="L3074" s="16">
        <f>IF(NOT(Paths!$C$285=1),0,IF(Paths!$P$285="Complete",IF(C3074=10,Paths!$I$285,0),"n.a."))</f>
        <v>0</v>
      </c>
      <c r="M3074" s="16">
        <f>IF(NOT(Paths!$C$285=1),0,IF(Paths!$P$285="Complete",IF(AND(Paths!$D$285="EV",Paths!$E$285&lt;120,Paths!$E$285+'Operating costs'!$B$65&gt;Paths!$E$285,Paths!$E$285+'Operating costs'!$B$65&lt;=120,IF(Paths!$E$285+'Operating costs'!$B$65=0,C3074=0,AND(C3074&gt;0,Paths!$E$285+'Operating costs'!$B$65&gt;(C3074-1)*12,Paths!$E$285+'Operating costs'!$B$65&lt;=C3074*12))),'Operating costs'!$B$64,0)+IF(AND('Operating costs'!$B$67&gt;0,'Operating costs'!$B$67&lt;=120,OR(Paths!$D$285="ICE",'Operating costs'!$B$67&lt;=Paths!$E$285),IF('Operating costs'!$B$67=0,C3074=0,AND(C3074&gt;0,'Operating costs'!$B$67&gt;(C3074-1)*12,'Operating costs'!$B$67&lt;=C3074*12))),'Operating costs'!$B$66,0),"n.a."))</f>
        <v>0</v>
      </c>
      <c r="N3074" s="16">
        <f>IF(NOT(Paths!$C$285=1),0,IF(Paths!$P$285="Complete",SUM(G3074:I3074)-J3074-K3074-L3074+M3074+IF(C3074=0,Paths!$F$285,0)+IF(IF(Paths!$E$285=0,C3074=0,AND(C3074&gt;0,Paths!$E$285&gt;(C3074-1)*12,Paths!$E$285&lt;=C3074*12)),VLOOKUP(A3074,'Fleet register'!$A$7:$S$106,16,FALSE),0),"n.a."))</f>
        <v>0</v>
      </c>
      <c r="O3074" s="16">
        <f>IF(NOT(Paths!$C$285=1),0,IF(Paths!$P$285="Complete",N3074-IF(C3074=0,Paths!$F$285,0),"n.a."))</f>
        <v>0</v>
      </c>
      <c r="P3074" s="16">
        <f>IF(NOT(Paths!$C$285=1),0,IF(Paths!$P$285="Complete",O3074+L3074,"n.a."))</f>
        <v>0</v>
      </c>
      <c r="Q3074" s="16">
        <f>IF(NOT(Paths!$C$285=1),0,IF(Paths!$P$285="Complete",N3074*(1+'Operating costs'!$B$54)^-C3074,"n.a."))</f>
        <v>0</v>
      </c>
      <c r="R3074" s="16">
        <f>IF(NOT(Paths!$C$285=1),0,IF(Paths!$P$285="Complete",IF(AND(C3074=0,Paths!$E$285=0),I3074-J3074-K3074+VLOOKUP(A3074,'Fleet register'!$A$7:$S$106,15,FALSE)+VLOOKUP(A3074,'Fleet register'!$A$7:$S$106,16,FALSE),0),"n.a."))</f>
        <v>0</v>
      </c>
      <c r="S3074" s="1">
        <f>IF(NOT(Paths!$C$285=1),0,IF(Paths!$P$285="Complete",IF(C3074=0,0,Paths!$S$285*Paths!$R$285),"n.a."))</f>
        <v>0</v>
      </c>
      <c r="T3074" s="1">
        <f>IF(NOT(Paths!$C$285=1),0,IF(Paths!$P$285="Complete",IF(C3074=0,0,VLOOKUP(A3074,'Fleet register'!$A$7:$S$106,9,FALSE)*Paths!$R$285),"n.a."))</f>
        <v>0</v>
      </c>
    </row>
    <row r="3075" spans="1:20" ht="24" customHeight="1">
      <c r="A3075" s="1" t="str">
        <f>Paths!$A$285</f>
        <v>T070</v>
      </c>
      <c r="B3075" s="1">
        <f>Paths!$B$285</f>
        <v>2</v>
      </c>
      <c r="C3075" s="1">
        <v>10</v>
      </c>
      <c r="D3075" s="1">
        <v>285</v>
      </c>
      <c r="E3075" s="1">
        <f>IF(OR(Paths!$C$285=0,C3075=0),0,MAX(0,MIN(C3075*12,Paths!$E$285)-(C3075-1)*12))</f>
        <v>0</v>
      </c>
      <c r="F3075" s="1">
        <f>IF(OR(Paths!$C$285=0,C3075=0),0,12-E3075)</f>
        <v>0</v>
      </c>
      <c r="G3075" s="16">
        <f>IF(NOT(Paths!$C$285=1),0,IF(Paths!$P$285="Complete",E3075/12*(Paths!$J$285*(1+'Operating costs'!$B$51)^MAX(0,C3075-1)+Paths!$K$285*(1+'Operating costs'!$B$53)^MAX(0,C3075-1)),"n.a."))</f>
        <v>0</v>
      </c>
      <c r="H3075" s="16">
        <f>IF(NOT(Paths!$C$285=1),0,IF(Paths!$P$285="Complete",F3075/12*(Paths!$L$285*(1+IF(Paths!$D$285="EV",'Operating costs'!$B$52,'Operating costs'!$B$51))^MAX(0,C3075-1)+Paths!$M$285*(1+'Operating costs'!$B$53)^MAX(0,C3075-1)),"n.a."))</f>
        <v>0</v>
      </c>
      <c r="I3075" s="16">
        <f>IF(NOT(Paths!$C$285=1),0,IF(Paths!$P$285="Complete",IF(IF(Paths!$E$285=0,C3075=0,AND(C3075&gt;0,Paths!$E$285&gt;(C3075-1)*12,Paths!$E$285&lt;=C3075*12)),Paths!$G$285,0),"n.a."))</f>
        <v>0</v>
      </c>
      <c r="J3075" s="16">
        <f>IF(NOT(Paths!$C$285=1),0,IF(Paths!$P$285="Complete",IF(IF(Paths!$E$285=0,C3075=0,AND(C3075&gt;0,Paths!$E$285&gt;(C3075-1)*12,Paths!$E$285&lt;=C3075*12)),Paths!$H$285,0),"n.a."))</f>
        <v>0</v>
      </c>
      <c r="K3075" s="16">
        <f>IF(NOT(Paths!$C$285=1),0,IF(Paths!$P$285="Complete",IF(IF(Paths!$O$285=0,C3075=0,AND(C3075&gt;0,Paths!$O$285&gt;(C3075-1)*12,Paths!$O$285&lt;=C3075*12)),Paths!$N$285,0),"n.a."))</f>
        <v>0</v>
      </c>
      <c r="L3075" s="16">
        <f>IF(NOT(Paths!$C$285=1),0,IF(Paths!$P$285="Complete",IF(C3075=10,Paths!$I$285,0),"n.a."))</f>
        <v>0</v>
      </c>
      <c r="M3075" s="16">
        <f>IF(NOT(Paths!$C$285=1),0,IF(Paths!$P$285="Complete",IF(AND(Paths!$D$285="EV",Paths!$E$285&lt;120,Paths!$E$285+'Operating costs'!$B$65&gt;Paths!$E$285,Paths!$E$285+'Operating costs'!$B$65&lt;=120,IF(Paths!$E$285+'Operating costs'!$B$65=0,C3075=0,AND(C3075&gt;0,Paths!$E$285+'Operating costs'!$B$65&gt;(C3075-1)*12,Paths!$E$285+'Operating costs'!$B$65&lt;=C3075*12))),'Operating costs'!$B$64,0)+IF(AND('Operating costs'!$B$67&gt;0,'Operating costs'!$B$67&lt;=120,OR(Paths!$D$285="ICE",'Operating costs'!$B$67&lt;=Paths!$E$285),IF('Operating costs'!$B$67=0,C3075=0,AND(C3075&gt;0,'Operating costs'!$B$67&gt;(C3075-1)*12,'Operating costs'!$B$67&lt;=C3075*12))),'Operating costs'!$B$66,0),"n.a."))</f>
        <v>0</v>
      </c>
      <c r="N3075" s="16">
        <f>IF(NOT(Paths!$C$285=1),0,IF(Paths!$P$285="Complete",SUM(G3075:I3075)-J3075-K3075-L3075+M3075+IF(C3075=0,Paths!$F$285,0)+IF(IF(Paths!$E$285=0,C3075=0,AND(C3075&gt;0,Paths!$E$285&gt;(C3075-1)*12,Paths!$E$285&lt;=C3075*12)),VLOOKUP(A3075,'Fleet register'!$A$7:$S$106,16,FALSE),0),"n.a."))</f>
        <v>0</v>
      </c>
      <c r="O3075" s="16">
        <f>IF(NOT(Paths!$C$285=1),0,IF(Paths!$P$285="Complete",N3075-IF(C3075=0,Paths!$F$285,0),"n.a."))</f>
        <v>0</v>
      </c>
      <c r="P3075" s="16">
        <f>IF(NOT(Paths!$C$285=1),0,IF(Paths!$P$285="Complete",O3075+L3075,"n.a."))</f>
        <v>0</v>
      </c>
      <c r="Q3075" s="16">
        <f>IF(NOT(Paths!$C$285=1),0,IF(Paths!$P$285="Complete",N3075*(1+'Operating costs'!$B$54)^-C3075,"n.a."))</f>
        <v>0</v>
      </c>
      <c r="R3075" s="16">
        <f>IF(NOT(Paths!$C$285=1),0,IF(Paths!$P$285="Complete",IF(AND(C3075=0,Paths!$E$285=0),I3075-J3075-K3075+VLOOKUP(A3075,'Fleet register'!$A$7:$S$106,15,FALSE)+VLOOKUP(A3075,'Fleet register'!$A$7:$S$106,16,FALSE),0),"n.a."))</f>
        <v>0</v>
      </c>
      <c r="S3075" s="1">
        <f>IF(NOT(Paths!$C$285=1),0,IF(Paths!$P$285="Complete",IF(C3075=0,0,Paths!$S$285*Paths!$R$285),"n.a."))</f>
        <v>0</v>
      </c>
      <c r="T3075" s="1">
        <f>IF(NOT(Paths!$C$285=1),0,IF(Paths!$P$285="Complete",IF(C3075=0,0,VLOOKUP(A3075,'Fleet register'!$A$7:$S$106,9,FALSE)*Paths!$R$285),"n.a."))</f>
        <v>0</v>
      </c>
    </row>
    <row r="3076" spans="1:20" ht="24" customHeight="1">
      <c r="A3076" s="1" t="str">
        <f>Paths!$A$286</f>
        <v>T070</v>
      </c>
      <c r="B3076" s="1">
        <f>Paths!$B$286</f>
        <v>3</v>
      </c>
      <c r="C3076" s="1">
        <v>0</v>
      </c>
      <c r="D3076" s="1">
        <v>286</v>
      </c>
      <c r="E3076" s="1">
        <f>IF(OR(Paths!$C$286=0,C3076=0),0,MAX(0,MIN(C3076*12,Paths!$E$286)-(C3076-1)*12))</f>
        <v>0</v>
      </c>
      <c r="F3076" s="1">
        <f>IF(OR(Paths!$C$286=0,C3076=0),0,12-E3076)</f>
        <v>0</v>
      </c>
      <c r="G3076" s="16">
        <f>IF(NOT(Paths!$C$286=1),0,IF(Paths!$P$286="Complete",E3076/12*(Paths!$J$286*(1+'Operating costs'!$B$51)^MAX(0,C3076-1)+Paths!$K$286*(1+'Operating costs'!$B$53)^MAX(0,C3076-1)),"n.a."))</f>
        <v>0</v>
      </c>
      <c r="H3076" s="16">
        <f>IF(NOT(Paths!$C$286=1),0,IF(Paths!$P$286="Complete",F3076/12*(Paths!$L$286*(1+IF(Paths!$D$286="EV",'Operating costs'!$B$52,'Operating costs'!$B$51))^MAX(0,C3076-1)+Paths!$M$286*(1+'Operating costs'!$B$53)^MAX(0,C3076-1)),"n.a."))</f>
        <v>0</v>
      </c>
      <c r="I3076" s="16">
        <f>IF(NOT(Paths!$C$286=1),0,IF(Paths!$P$286="Complete",IF(IF(Paths!$E$286=0,C3076=0,AND(C3076&gt;0,Paths!$E$286&gt;(C3076-1)*12,Paths!$E$286&lt;=C3076*12)),Paths!$G$286,0),"n.a."))</f>
        <v>0</v>
      </c>
      <c r="J3076" s="16">
        <f>IF(NOT(Paths!$C$286=1),0,IF(Paths!$P$286="Complete",IF(IF(Paths!$E$286=0,C3076=0,AND(C3076&gt;0,Paths!$E$286&gt;(C3076-1)*12,Paths!$E$286&lt;=C3076*12)),Paths!$H$286,0),"n.a."))</f>
        <v>0</v>
      </c>
      <c r="K3076" s="16">
        <f>IF(NOT(Paths!$C$286=1),0,IF(Paths!$P$286="Complete",IF(IF(Paths!$O$286=0,C3076=0,AND(C3076&gt;0,Paths!$O$286&gt;(C3076-1)*12,Paths!$O$286&lt;=C3076*12)),Paths!$N$286,0),"n.a."))</f>
        <v>0</v>
      </c>
      <c r="L3076" s="16">
        <f>IF(NOT(Paths!$C$286=1),0,IF(Paths!$P$286="Complete",IF(C3076=10,Paths!$I$286,0),"n.a."))</f>
        <v>0</v>
      </c>
      <c r="M3076" s="16">
        <f>IF(NOT(Paths!$C$286=1),0,IF(Paths!$P$286="Complete",IF(AND(Paths!$D$286="EV",Paths!$E$286&lt;120,Paths!$E$286+'Operating costs'!$B$65&gt;Paths!$E$286,Paths!$E$286+'Operating costs'!$B$65&lt;=120,IF(Paths!$E$286+'Operating costs'!$B$65=0,C3076=0,AND(C3076&gt;0,Paths!$E$286+'Operating costs'!$B$65&gt;(C3076-1)*12,Paths!$E$286+'Operating costs'!$B$65&lt;=C3076*12))),'Operating costs'!$B$64,0)+IF(AND('Operating costs'!$B$67&gt;0,'Operating costs'!$B$67&lt;=120,OR(Paths!$D$286="ICE",'Operating costs'!$B$67&lt;=Paths!$E$286),IF('Operating costs'!$B$67=0,C3076=0,AND(C3076&gt;0,'Operating costs'!$B$67&gt;(C3076-1)*12,'Operating costs'!$B$67&lt;=C3076*12))),'Operating costs'!$B$66,0),"n.a."))</f>
        <v>0</v>
      </c>
      <c r="N3076" s="16">
        <f>IF(NOT(Paths!$C$286=1),0,IF(Paths!$P$286="Complete",SUM(G3076:I3076)-J3076-K3076-L3076+M3076+IF(C3076=0,Paths!$F$286,0)+IF(IF(Paths!$E$286=0,C3076=0,AND(C3076&gt;0,Paths!$E$286&gt;(C3076-1)*12,Paths!$E$286&lt;=C3076*12)),VLOOKUP(A3076,'Fleet register'!$A$7:$S$106,16,FALSE),0),"n.a."))</f>
        <v>0</v>
      </c>
      <c r="O3076" s="16">
        <f>IF(NOT(Paths!$C$286=1),0,IF(Paths!$P$286="Complete",N3076-IF(C3076=0,Paths!$F$286,0),"n.a."))</f>
        <v>0</v>
      </c>
      <c r="P3076" s="16">
        <f>IF(NOT(Paths!$C$286=1),0,IF(Paths!$P$286="Complete",O3076+L3076,"n.a."))</f>
        <v>0</v>
      </c>
      <c r="Q3076" s="16">
        <f>IF(NOT(Paths!$C$286=1),0,IF(Paths!$P$286="Complete",N3076*(1+'Operating costs'!$B$54)^-C3076,"n.a."))</f>
        <v>0</v>
      </c>
      <c r="R3076" s="16">
        <f>IF(NOT(Paths!$C$286=1),0,IF(Paths!$P$286="Complete",IF(AND(C3076=0,Paths!$E$286=0),I3076-J3076-K3076+VLOOKUP(A3076,'Fleet register'!$A$7:$S$106,15,FALSE)+VLOOKUP(A3076,'Fleet register'!$A$7:$S$106,16,FALSE),0),"n.a."))</f>
        <v>0</v>
      </c>
      <c r="S3076" s="1">
        <f>IF(NOT(Paths!$C$286=1),0,IF(Paths!$P$286="Complete",IF(C3076=0,0,Paths!$S$286*Paths!$R$286),"n.a."))</f>
        <v>0</v>
      </c>
      <c r="T3076" s="1">
        <f>IF(NOT(Paths!$C$286=1),0,IF(Paths!$P$286="Complete",IF(C3076=0,0,VLOOKUP(A3076,'Fleet register'!$A$7:$S$106,9,FALSE)*Paths!$R$286),"n.a."))</f>
        <v>0</v>
      </c>
    </row>
    <row r="3077" spans="1:20" ht="24" customHeight="1">
      <c r="A3077" s="1" t="str">
        <f>Paths!$A$286</f>
        <v>T070</v>
      </c>
      <c r="B3077" s="1">
        <f>Paths!$B$286</f>
        <v>3</v>
      </c>
      <c r="C3077" s="1">
        <v>1</v>
      </c>
      <c r="D3077" s="1">
        <v>286</v>
      </c>
      <c r="E3077" s="1">
        <f>IF(OR(Paths!$C$286=0,C3077=0),0,MAX(0,MIN(C3077*12,Paths!$E$286)-(C3077-1)*12))</f>
        <v>0</v>
      </c>
      <c r="F3077" s="1">
        <f>IF(OR(Paths!$C$286=0,C3077=0),0,12-E3077)</f>
        <v>0</v>
      </c>
      <c r="G3077" s="16">
        <f>IF(NOT(Paths!$C$286=1),0,IF(Paths!$P$286="Complete",E3077/12*(Paths!$J$286*(1+'Operating costs'!$B$51)^MAX(0,C3077-1)+Paths!$K$286*(1+'Operating costs'!$B$53)^MAX(0,C3077-1)),"n.a."))</f>
        <v>0</v>
      </c>
      <c r="H3077" s="16">
        <f>IF(NOT(Paths!$C$286=1),0,IF(Paths!$P$286="Complete",F3077/12*(Paths!$L$286*(1+IF(Paths!$D$286="EV",'Operating costs'!$B$52,'Operating costs'!$B$51))^MAX(0,C3077-1)+Paths!$M$286*(1+'Operating costs'!$B$53)^MAX(0,C3077-1)),"n.a."))</f>
        <v>0</v>
      </c>
      <c r="I3077" s="16">
        <f>IF(NOT(Paths!$C$286=1),0,IF(Paths!$P$286="Complete",IF(IF(Paths!$E$286=0,C3077=0,AND(C3077&gt;0,Paths!$E$286&gt;(C3077-1)*12,Paths!$E$286&lt;=C3077*12)),Paths!$G$286,0),"n.a."))</f>
        <v>0</v>
      </c>
      <c r="J3077" s="16">
        <f>IF(NOT(Paths!$C$286=1),0,IF(Paths!$P$286="Complete",IF(IF(Paths!$E$286=0,C3077=0,AND(C3077&gt;0,Paths!$E$286&gt;(C3077-1)*12,Paths!$E$286&lt;=C3077*12)),Paths!$H$286,0),"n.a."))</f>
        <v>0</v>
      </c>
      <c r="K3077" s="16">
        <f>IF(NOT(Paths!$C$286=1),0,IF(Paths!$P$286="Complete",IF(IF(Paths!$O$286=0,C3077=0,AND(C3077&gt;0,Paths!$O$286&gt;(C3077-1)*12,Paths!$O$286&lt;=C3077*12)),Paths!$N$286,0),"n.a."))</f>
        <v>0</v>
      </c>
      <c r="L3077" s="16">
        <f>IF(NOT(Paths!$C$286=1),0,IF(Paths!$P$286="Complete",IF(C3077=10,Paths!$I$286,0),"n.a."))</f>
        <v>0</v>
      </c>
      <c r="M3077" s="16">
        <f>IF(NOT(Paths!$C$286=1),0,IF(Paths!$P$286="Complete",IF(AND(Paths!$D$286="EV",Paths!$E$286&lt;120,Paths!$E$286+'Operating costs'!$B$65&gt;Paths!$E$286,Paths!$E$286+'Operating costs'!$B$65&lt;=120,IF(Paths!$E$286+'Operating costs'!$B$65=0,C3077=0,AND(C3077&gt;0,Paths!$E$286+'Operating costs'!$B$65&gt;(C3077-1)*12,Paths!$E$286+'Operating costs'!$B$65&lt;=C3077*12))),'Operating costs'!$B$64,0)+IF(AND('Operating costs'!$B$67&gt;0,'Operating costs'!$B$67&lt;=120,OR(Paths!$D$286="ICE",'Operating costs'!$B$67&lt;=Paths!$E$286),IF('Operating costs'!$B$67=0,C3077=0,AND(C3077&gt;0,'Operating costs'!$B$67&gt;(C3077-1)*12,'Operating costs'!$B$67&lt;=C3077*12))),'Operating costs'!$B$66,0),"n.a."))</f>
        <v>0</v>
      </c>
      <c r="N3077" s="16">
        <f>IF(NOT(Paths!$C$286=1),0,IF(Paths!$P$286="Complete",SUM(G3077:I3077)-J3077-K3077-L3077+M3077+IF(C3077=0,Paths!$F$286,0)+IF(IF(Paths!$E$286=0,C3077=0,AND(C3077&gt;0,Paths!$E$286&gt;(C3077-1)*12,Paths!$E$286&lt;=C3077*12)),VLOOKUP(A3077,'Fleet register'!$A$7:$S$106,16,FALSE),0),"n.a."))</f>
        <v>0</v>
      </c>
      <c r="O3077" s="16">
        <f>IF(NOT(Paths!$C$286=1),0,IF(Paths!$P$286="Complete",N3077-IF(C3077=0,Paths!$F$286,0),"n.a."))</f>
        <v>0</v>
      </c>
      <c r="P3077" s="16">
        <f>IF(NOT(Paths!$C$286=1),0,IF(Paths!$P$286="Complete",O3077+L3077,"n.a."))</f>
        <v>0</v>
      </c>
      <c r="Q3077" s="16">
        <f>IF(NOT(Paths!$C$286=1),0,IF(Paths!$P$286="Complete",N3077*(1+'Operating costs'!$B$54)^-C3077,"n.a."))</f>
        <v>0</v>
      </c>
      <c r="R3077" s="16">
        <f>IF(NOT(Paths!$C$286=1),0,IF(Paths!$P$286="Complete",IF(AND(C3077=0,Paths!$E$286=0),I3077-J3077-K3077+VLOOKUP(A3077,'Fleet register'!$A$7:$S$106,15,FALSE)+VLOOKUP(A3077,'Fleet register'!$A$7:$S$106,16,FALSE),0),"n.a."))</f>
        <v>0</v>
      </c>
      <c r="S3077" s="1">
        <f>IF(NOT(Paths!$C$286=1),0,IF(Paths!$P$286="Complete",IF(C3077=0,0,Paths!$S$286*Paths!$R$286),"n.a."))</f>
        <v>0</v>
      </c>
      <c r="T3077" s="1">
        <f>IF(NOT(Paths!$C$286=1),0,IF(Paths!$P$286="Complete",IF(C3077=0,0,VLOOKUP(A3077,'Fleet register'!$A$7:$S$106,9,FALSE)*Paths!$R$286),"n.a."))</f>
        <v>0</v>
      </c>
    </row>
    <row r="3078" spans="1:20" ht="24" customHeight="1">
      <c r="A3078" s="1" t="str">
        <f>Paths!$A$286</f>
        <v>T070</v>
      </c>
      <c r="B3078" s="1">
        <f>Paths!$B$286</f>
        <v>3</v>
      </c>
      <c r="C3078" s="1">
        <v>2</v>
      </c>
      <c r="D3078" s="1">
        <v>286</v>
      </c>
      <c r="E3078" s="1">
        <f>IF(OR(Paths!$C$286=0,C3078=0),0,MAX(0,MIN(C3078*12,Paths!$E$286)-(C3078-1)*12))</f>
        <v>0</v>
      </c>
      <c r="F3078" s="1">
        <f>IF(OR(Paths!$C$286=0,C3078=0),0,12-E3078)</f>
        <v>0</v>
      </c>
      <c r="G3078" s="16">
        <f>IF(NOT(Paths!$C$286=1),0,IF(Paths!$P$286="Complete",E3078/12*(Paths!$J$286*(1+'Operating costs'!$B$51)^MAX(0,C3078-1)+Paths!$K$286*(1+'Operating costs'!$B$53)^MAX(0,C3078-1)),"n.a."))</f>
        <v>0</v>
      </c>
      <c r="H3078" s="16">
        <f>IF(NOT(Paths!$C$286=1),0,IF(Paths!$P$286="Complete",F3078/12*(Paths!$L$286*(1+IF(Paths!$D$286="EV",'Operating costs'!$B$52,'Operating costs'!$B$51))^MAX(0,C3078-1)+Paths!$M$286*(1+'Operating costs'!$B$53)^MAX(0,C3078-1)),"n.a."))</f>
        <v>0</v>
      </c>
      <c r="I3078" s="16">
        <f>IF(NOT(Paths!$C$286=1),0,IF(Paths!$P$286="Complete",IF(IF(Paths!$E$286=0,C3078=0,AND(C3078&gt;0,Paths!$E$286&gt;(C3078-1)*12,Paths!$E$286&lt;=C3078*12)),Paths!$G$286,0),"n.a."))</f>
        <v>0</v>
      </c>
      <c r="J3078" s="16">
        <f>IF(NOT(Paths!$C$286=1),0,IF(Paths!$P$286="Complete",IF(IF(Paths!$E$286=0,C3078=0,AND(C3078&gt;0,Paths!$E$286&gt;(C3078-1)*12,Paths!$E$286&lt;=C3078*12)),Paths!$H$286,0),"n.a."))</f>
        <v>0</v>
      </c>
      <c r="K3078" s="16">
        <f>IF(NOT(Paths!$C$286=1),0,IF(Paths!$P$286="Complete",IF(IF(Paths!$O$286=0,C3078=0,AND(C3078&gt;0,Paths!$O$286&gt;(C3078-1)*12,Paths!$O$286&lt;=C3078*12)),Paths!$N$286,0),"n.a."))</f>
        <v>0</v>
      </c>
      <c r="L3078" s="16">
        <f>IF(NOT(Paths!$C$286=1),0,IF(Paths!$P$286="Complete",IF(C3078=10,Paths!$I$286,0),"n.a."))</f>
        <v>0</v>
      </c>
      <c r="M3078" s="16">
        <f>IF(NOT(Paths!$C$286=1),0,IF(Paths!$P$286="Complete",IF(AND(Paths!$D$286="EV",Paths!$E$286&lt;120,Paths!$E$286+'Operating costs'!$B$65&gt;Paths!$E$286,Paths!$E$286+'Operating costs'!$B$65&lt;=120,IF(Paths!$E$286+'Operating costs'!$B$65=0,C3078=0,AND(C3078&gt;0,Paths!$E$286+'Operating costs'!$B$65&gt;(C3078-1)*12,Paths!$E$286+'Operating costs'!$B$65&lt;=C3078*12))),'Operating costs'!$B$64,0)+IF(AND('Operating costs'!$B$67&gt;0,'Operating costs'!$B$67&lt;=120,OR(Paths!$D$286="ICE",'Operating costs'!$B$67&lt;=Paths!$E$286),IF('Operating costs'!$B$67=0,C3078=0,AND(C3078&gt;0,'Operating costs'!$B$67&gt;(C3078-1)*12,'Operating costs'!$B$67&lt;=C3078*12))),'Operating costs'!$B$66,0),"n.a."))</f>
        <v>0</v>
      </c>
      <c r="N3078" s="16">
        <f>IF(NOT(Paths!$C$286=1),0,IF(Paths!$P$286="Complete",SUM(G3078:I3078)-J3078-K3078-L3078+M3078+IF(C3078=0,Paths!$F$286,0)+IF(IF(Paths!$E$286=0,C3078=0,AND(C3078&gt;0,Paths!$E$286&gt;(C3078-1)*12,Paths!$E$286&lt;=C3078*12)),VLOOKUP(A3078,'Fleet register'!$A$7:$S$106,16,FALSE),0),"n.a."))</f>
        <v>0</v>
      </c>
      <c r="O3078" s="16">
        <f>IF(NOT(Paths!$C$286=1),0,IF(Paths!$P$286="Complete",N3078-IF(C3078=0,Paths!$F$286,0),"n.a."))</f>
        <v>0</v>
      </c>
      <c r="P3078" s="16">
        <f>IF(NOT(Paths!$C$286=1),0,IF(Paths!$P$286="Complete",O3078+L3078,"n.a."))</f>
        <v>0</v>
      </c>
      <c r="Q3078" s="16">
        <f>IF(NOT(Paths!$C$286=1),0,IF(Paths!$P$286="Complete",N3078*(1+'Operating costs'!$B$54)^-C3078,"n.a."))</f>
        <v>0</v>
      </c>
      <c r="R3078" s="16">
        <f>IF(NOT(Paths!$C$286=1),0,IF(Paths!$P$286="Complete",IF(AND(C3078=0,Paths!$E$286=0),I3078-J3078-K3078+VLOOKUP(A3078,'Fleet register'!$A$7:$S$106,15,FALSE)+VLOOKUP(A3078,'Fleet register'!$A$7:$S$106,16,FALSE),0),"n.a."))</f>
        <v>0</v>
      </c>
      <c r="S3078" s="1">
        <f>IF(NOT(Paths!$C$286=1),0,IF(Paths!$P$286="Complete",IF(C3078=0,0,Paths!$S$286*Paths!$R$286),"n.a."))</f>
        <v>0</v>
      </c>
      <c r="T3078" s="1">
        <f>IF(NOT(Paths!$C$286=1),0,IF(Paths!$P$286="Complete",IF(C3078=0,0,VLOOKUP(A3078,'Fleet register'!$A$7:$S$106,9,FALSE)*Paths!$R$286),"n.a."))</f>
        <v>0</v>
      </c>
    </row>
    <row r="3079" spans="1:20" ht="24" customHeight="1">
      <c r="A3079" s="1" t="str">
        <f>Paths!$A$286</f>
        <v>T070</v>
      </c>
      <c r="B3079" s="1">
        <f>Paths!$B$286</f>
        <v>3</v>
      </c>
      <c r="C3079" s="1">
        <v>3</v>
      </c>
      <c r="D3079" s="1">
        <v>286</v>
      </c>
      <c r="E3079" s="1">
        <f>IF(OR(Paths!$C$286=0,C3079=0),0,MAX(0,MIN(C3079*12,Paths!$E$286)-(C3079-1)*12))</f>
        <v>0</v>
      </c>
      <c r="F3079" s="1">
        <f>IF(OR(Paths!$C$286=0,C3079=0),0,12-E3079)</f>
        <v>0</v>
      </c>
      <c r="G3079" s="16">
        <f>IF(NOT(Paths!$C$286=1),0,IF(Paths!$P$286="Complete",E3079/12*(Paths!$J$286*(1+'Operating costs'!$B$51)^MAX(0,C3079-1)+Paths!$K$286*(1+'Operating costs'!$B$53)^MAX(0,C3079-1)),"n.a."))</f>
        <v>0</v>
      </c>
      <c r="H3079" s="16">
        <f>IF(NOT(Paths!$C$286=1),0,IF(Paths!$P$286="Complete",F3079/12*(Paths!$L$286*(1+IF(Paths!$D$286="EV",'Operating costs'!$B$52,'Operating costs'!$B$51))^MAX(0,C3079-1)+Paths!$M$286*(1+'Operating costs'!$B$53)^MAX(0,C3079-1)),"n.a."))</f>
        <v>0</v>
      </c>
      <c r="I3079" s="16">
        <f>IF(NOT(Paths!$C$286=1),0,IF(Paths!$P$286="Complete",IF(IF(Paths!$E$286=0,C3079=0,AND(C3079&gt;0,Paths!$E$286&gt;(C3079-1)*12,Paths!$E$286&lt;=C3079*12)),Paths!$G$286,0),"n.a."))</f>
        <v>0</v>
      </c>
      <c r="J3079" s="16">
        <f>IF(NOT(Paths!$C$286=1),0,IF(Paths!$P$286="Complete",IF(IF(Paths!$E$286=0,C3079=0,AND(C3079&gt;0,Paths!$E$286&gt;(C3079-1)*12,Paths!$E$286&lt;=C3079*12)),Paths!$H$286,0),"n.a."))</f>
        <v>0</v>
      </c>
      <c r="K3079" s="16">
        <f>IF(NOT(Paths!$C$286=1),0,IF(Paths!$P$286="Complete",IF(IF(Paths!$O$286=0,C3079=0,AND(C3079&gt;0,Paths!$O$286&gt;(C3079-1)*12,Paths!$O$286&lt;=C3079*12)),Paths!$N$286,0),"n.a."))</f>
        <v>0</v>
      </c>
      <c r="L3079" s="16">
        <f>IF(NOT(Paths!$C$286=1),0,IF(Paths!$P$286="Complete",IF(C3079=10,Paths!$I$286,0),"n.a."))</f>
        <v>0</v>
      </c>
      <c r="M3079" s="16">
        <f>IF(NOT(Paths!$C$286=1),0,IF(Paths!$P$286="Complete",IF(AND(Paths!$D$286="EV",Paths!$E$286&lt;120,Paths!$E$286+'Operating costs'!$B$65&gt;Paths!$E$286,Paths!$E$286+'Operating costs'!$B$65&lt;=120,IF(Paths!$E$286+'Operating costs'!$B$65=0,C3079=0,AND(C3079&gt;0,Paths!$E$286+'Operating costs'!$B$65&gt;(C3079-1)*12,Paths!$E$286+'Operating costs'!$B$65&lt;=C3079*12))),'Operating costs'!$B$64,0)+IF(AND('Operating costs'!$B$67&gt;0,'Operating costs'!$B$67&lt;=120,OR(Paths!$D$286="ICE",'Operating costs'!$B$67&lt;=Paths!$E$286),IF('Operating costs'!$B$67=0,C3079=0,AND(C3079&gt;0,'Operating costs'!$B$67&gt;(C3079-1)*12,'Operating costs'!$B$67&lt;=C3079*12))),'Operating costs'!$B$66,0),"n.a."))</f>
        <v>0</v>
      </c>
      <c r="N3079" s="16">
        <f>IF(NOT(Paths!$C$286=1),0,IF(Paths!$P$286="Complete",SUM(G3079:I3079)-J3079-K3079-L3079+M3079+IF(C3079=0,Paths!$F$286,0)+IF(IF(Paths!$E$286=0,C3079=0,AND(C3079&gt;0,Paths!$E$286&gt;(C3079-1)*12,Paths!$E$286&lt;=C3079*12)),VLOOKUP(A3079,'Fleet register'!$A$7:$S$106,16,FALSE),0),"n.a."))</f>
        <v>0</v>
      </c>
      <c r="O3079" s="16">
        <f>IF(NOT(Paths!$C$286=1),0,IF(Paths!$P$286="Complete",N3079-IF(C3079=0,Paths!$F$286,0),"n.a."))</f>
        <v>0</v>
      </c>
      <c r="P3079" s="16">
        <f>IF(NOT(Paths!$C$286=1),0,IF(Paths!$P$286="Complete",O3079+L3079,"n.a."))</f>
        <v>0</v>
      </c>
      <c r="Q3079" s="16">
        <f>IF(NOT(Paths!$C$286=1),0,IF(Paths!$P$286="Complete",N3079*(1+'Operating costs'!$B$54)^-C3079,"n.a."))</f>
        <v>0</v>
      </c>
      <c r="R3079" s="16">
        <f>IF(NOT(Paths!$C$286=1),0,IF(Paths!$P$286="Complete",IF(AND(C3079=0,Paths!$E$286=0),I3079-J3079-K3079+VLOOKUP(A3079,'Fleet register'!$A$7:$S$106,15,FALSE)+VLOOKUP(A3079,'Fleet register'!$A$7:$S$106,16,FALSE),0),"n.a."))</f>
        <v>0</v>
      </c>
      <c r="S3079" s="1">
        <f>IF(NOT(Paths!$C$286=1),0,IF(Paths!$P$286="Complete",IF(C3079=0,0,Paths!$S$286*Paths!$R$286),"n.a."))</f>
        <v>0</v>
      </c>
      <c r="T3079" s="1">
        <f>IF(NOT(Paths!$C$286=1),0,IF(Paths!$P$286="Complete",IF(C3079=0,0,VLOOKUP(A3079,'Fleet register'!$A$7:$S$106,9,FALSE)*Paths!$R$286),"n.a."))</f>
        <v>0</v>
      </c>
    </row>
    <row r="3080" spans="1:20" ht="24" customHeight="1">
      <c r="A3080" s="1" t="str">
        <f>Paths!$A$286</f>
        <v>T070</v>
      </c>
      <c r="B3080" s="1">
        <f>Paths!$B$286</f>
        <v>3</v>
      </c>
      <c r="C3080" s="1">
        <v>4</v>
      </c>
      <c r="D3080" s="1">
        <v>286</v>
      </c>
      <c r="E3080" s="1">
        <f>IF(OR(Paths!$C$286=0,C3080=0),0,MAX(0,MIN(C3080*12,Paths!$E$286)-(C3080-1)*12))</f>
        <v>0</v>
      </c>
      <c r="F3080" s="1">
        <f>IF(OR(Paths!$C$286=0,C3080=0),0,12-E3080)</f>
        <v>0</v>
      </c>
      <c r="G3080" s="16">
        <f>IF(NOT(Paths!$C$286=1),0,IF(Paths!$P$286="Complete",E3080/12*(Paths!$J$286*(1+'Operating costs'!$B$51)^MAX(0,C3080-1)+Paths!$K$286*(1+'Operating costs'!$B$53)^MAX(0,C3080-1)),"n.a."))</f>
        <v>0</v>
      </c>
      <c r="H3080" s="16">
        <f>IF(NOT(Paths!$C$286=1),0,IF(Paths!$P$286="Complete",F3080/12*(Paths!$L$286*(1+IF(Paths!$D$286="EV",'Operating costs'!$B$52,'Operating costs'!$B$51))^MAX(0,C3080-1)+Paths!$M$286*(1+'Operating costs'!$B$53)^MAX(0,C3080-1)),"n.a."))</f>
        <v>0</v>
      </c>
      <c r="I3080" s="16">
        <f>IF(NOT(Paths!$C$286=1),0,IF(Paths!$P$286="Complete",IF(IF(Paths!$E$286=0,C3080=0,AND(C3080&gt;0,Paths!$E$286&gt;(C3080-1)*12,Paths!$E$286&lt;=C3080*12)),Paths!$G$286,0),"n.a."))</f>
        <v>0</v>
      </c>
      <c r="J3080" s="16">
        <f>IF(NOT(Paths!$C$286=1),0,IF(Paths!$P$286="Complete",IF(IF(Paths!$E$286=0,C3080=0,AND(C3080&gt;0,Paths!$E$286&gt;(C3080-1)*12,Paths!$E$286&lt;=C3080*12)),Paths!$H$286,0),"n.a."))</f>
        <v>0</v>
      </c>
      <c r="K3080" s="16">
        <f>IF(NOT(Paths!$C$286=1),0,IF(Paths!$P$286="Complete",IF(IF(Paths!$O$286=0,C3080=0,AND(C3080&gt;0,Paths!$O$286&gt;(C3080-1)*12,Paths!$O$286&lt;=C3080*12)),Paths!$N$286,0),"n.a."))</f>
        <v>0</v>
      </c>
      <c r="L3080" s="16">
        <f>IF(NOT(Paths!$C$286=1),0,IF(Paths!$P$286="Complete",IF(C3080=10,Paths!$I$286,0),"n.a."))</f>
        <v>0</v>
      </c>
      <c r="M3080" s="16">
        <f>IF(NOT(Paths!$C$286=1),0,IF(Paths!$P$286="Complete",IF(AND(Paths!$D$286="EV",Paths!$E$286&lt;120,Paths!$E$286+'Operating costs'!$B$65&gt;Paths!$E$286,Paths!$E$286+'Operating costs'!$B$65&lt;=120,IF(Paths!$E$286+'Operating costs'!$B$65=0,C3080=0,AND(C3080&gt;0,Paths!$E$286+'Operating costs'!$B$65&gt;(C3080-1)*12,Paths!$E$286+'Operating costs'!$B$65&lt;=C3080*12))),'Operating costs'!$B$64,0)+IF(AND('Operating costs'!$B$67&gt;0,'Operating costs'!$B$67&lt;=120,OR(Paths!$D$286="ICE",'Operating costs'!$B$67&lt;=Paths!$E$286),IF('Operating costs'!$B$67=0,C3080=0,AND(C3080&gt;0,'Operating costs'!$B$67&gt;(C3080-1)*12,'Operating costs'!$B$67&lt;=C3080*12))),'Operating costs'!$B$66,0),"n.a."))</f>
        <v>0</v>
      </c>
      <c r="N3080" s="16">
        <f>IF(NOT(Paths!$C$286=1),0,IF(Paths!$P$286="Complete",SUM(G3080:I3080)-J3080-K3080-L3080+M3080+IF(C3080=0,Paths!$F$286,0)+IF(IF(Paths!$E$286=0,C3080=0,AND(C3080&gt;0,Paths!$E$286&gt;(C3080-1)*12,Paths!$E$286&lt;=C3080*12)),VLOOKUP(A3080,'Fleet register'!$A$7:$S$106,16,FALSE),0),"n.a."))</f>
        <v>0</v>
      </c>
      <c r="O3080" s="16">
        <f>IF(NOT(Paths!$C$286=1),0,IF(Paths!$P$286="Complete",N3080-IF(C3080=0,Paths!$F$286,0),"n.a."))</f>
        <v>0</v>
      </c>
      <c r="P3080" s="16">
        <f>IF(NOT(Paths!$C$286=1),0,IF(Paths!$P$286="Complete",O3080+L3080,"n.a."))</f>
        <v>0</v>
      </c>
      <c r="Q3080" s="16">
        <f>IF(NOT(Paths!$C$286=1),0,IF(Paths!$P$286="Complete",N3080*(1+'Operating costs'!$B$54)^-C3080,"n.a."))</f>
        <v>0</v>
      </c>
      <c r="R3080" s="16">
        <f>IF(NOT(Paths!$C$286=1),0,IF(Paths!$P$286="Complete",IF(AND(C3080=0,Paths!$E$286=0),I3080-J3080-K3080+VLOOKUP(A3080,'Fleet register'!$A$7:$S$106,15,FALSE)+VLOOKUP(A3080,'Fleet register'!$A$7:$S$106,16,FALSE),0),"n.a."))</f>
        <v>0</v>
      </c>
      <c r="S3080" s="1">
        <f>IF(NOT(Paths!$C$286=1),0,IF(Paths!$P$286="Complete",IF(C3080=0,0,Paths!$S$286*Paths!$R$286),"n.a."))</f>
        <v>0</v>
      </c>
      <c r="T3080" s="1">
        <f>IF(NOT(Paths!$C$286=1),0,IF(Paths!$P$286="Complete",IF(C3080=0,0,VLOOKUP(A3080,'Fleet register'!$A$7:$S$106,9,FALSE)*Paths!$R$286),"n.a."))</f>
        <v>0</v>
      </c>
    </row>
    <row r="3081" spans="1:20" ht="24" customHeight="1">
      <c r="A3081" s="1" t="str">
        <f>Paths!$A$286</f>
        <v>T070</v>
      </c>
      <c r="B3081" s="1">
        <f>Paths!$B$286</f>
        <v>3</v>
      </c>
      <c r="C3081" s="1">
        <v>5</v>
      </c>
      <c r="D3081" s="1">
        <v>286</v>
      </c>
      <c r="E3081" s="1">
        <f>IF(OR(Paths!$C$286=0,C3081=0),0,MAX(0,MIN(C3081*12,Paths!$E$286)-(C3081-1)*12))</f>
        <v>0</v>
      </c>
      <c r="F3081" s="1">
        <f>IF(OR(Paths!$C$286=0,C3081=0),0,12-E3081)</f>
        <v>0</v>
      </c>
      <c r="G3081" s="16">
        <f>IF(NOT(Paths!$C$286=1),0,IF(Paths!$P$286="Complete",E3081/12*(Paths!$J$286*(1+'Operating costs'!$B$51)^MAX(0,C3081-1)+Paths!$K$286*(1+'Operating costs'!$B$53)^MAX(0,C3081-1)),"n.a."))</f>
        <v>0</v>
      </c>
      <c r="H3081" s="16">
        <f>IF(NOT(Paths!$C$286=1),0,IF(Paths!$P$286="Complete",F3081/12*(Paths!$L$286*(1+IF(Paths!$D$286="EV",'Operating costs'!$B$52,'Operating costs'!$B$51))^MAX(0,C3081-1)+Paths!$M$286*(1+'Operating costs'!$B$53)^MAX(0,C3081-1)),"n.a."))</f>
        <v>0</v>
      </c>
      <c r="I3081" s="16">
        <f>IF(NOT(Paths!$C$286=1),0,IF(Paths!$P$286="Complete",IF(IF(Paths!$E$286=0,C3081=0,AND(C3081&gt;0,Paths!$E$286&gt;(C3081-1)*12,Paths!$E$286&lt;=C3081*12)),Paths!$G$286,0),"n.a."))</f>
        <v>0</v>
      </c>
      <c r="J3081" s="16">
        <f>IF(NOT(Paths!$C$286=1),0,IF(Paths!$P$286="Complete",IF(IF(Paths!$E$286=0,C3081=0,AND(C3081&gt;0,Paths!$E$286&gt;(C3081-1)*12,Paths!$E$286&lt;=C3081*12)),Paths!$H$286,0),"n.a."))</f>
        <v>0</v>
      </c>
      <c r="K3081" s="16">
        <f>IF(NOT(Paths!$C$286=1),0,IF(Paths!$P$286="Complete",IF(IF(Paths!$O$286=0,C3081=0,AND(C3081&gt;0,Paths!$O$286&gt;(C3081-1)*12,Paths!$O$286&lt;=C3081*12)),Paths!$N$286,0),"n.a."))</f>
        <v>0</v>
      </c>
      <c r="L3081" s="16">
        <f>IF(NOT(Paths!$C$286=1),0,IF(Paths!$P$286="Complete",IF(C3081=10,Paths!$I$286,0),"n.a."))</f>
        <v>0</v>
      </c>
      <c r="M3081" s="16">
        <f>IF(NOT(Paths!$C$286=1),0,IF(Paths!$P$286="Complete",IF(AND(Paths!$D$286="EV",Paths!$E$286&lt;120,Paths!$E$286+'Operating costs'!$B$65&gt;Paths!$E$286,Paths!$E$286+'Operating costs'!$B$65&lt;=120,IF(Paths!$E$286+'Operating costs'!$B$65=0,C3081=0,AND(C3081&gt;0,Paths!$E$286+'Operating costs'!$B$65&gt;(C3081-1)*12,Paths!$E$286+'Operating costs'!$B$65&lt;=C3081*12))),'Operating costs'!$B$64,0)+IF(AND('Operating costs'!$B$67&gt;0,'Operating costs'!$B$67&lt;=120,OR(Paths!$D$286="ICE",'Operating costs'!$B$67&lt;=Paths!$E$286),IF('Operating costs'!$B$67=0,C3081=0,AND(C3081&gt;0,'Operating costs'!$B$67&gt;(C3081-1)*12,'Operating costs'!$B$67&lt;=C3081*12))),'Operating costs'!$B$66,0),"n.a."))</f>
        <v>0</v>
      </c>
      <c r="N3081" s="16">
        <f>IF(NOT(Paths!$C$286=1),0,IF(Paths!$P$286="Complete",SUM(G3081:I3081)-J3081-K3081-L3081+M3081+IF(C3081=0,Paths!$F$286,0)+IF(IF(Paths!$E$286=0,C3081=0,AND(C3081&gt;0,Paths!$E$286&gt;(C3081-1)*12,Paths!$E$286&lt;=C3081*12)),VLOOKUP(A3081,'Fleet register'!$A$7:$S$106,16,FALSE),0),"n.a."))</f>
        <v>0</v>
      </c>
      <c r="O3081" s="16">
        <f>IF(NOT(Paths!$C$286=1),0,IF(Paths!$P$286="Complete",N3081-IF(C3081=0,Paths!$F$286,0),"n.a."))</f>
        <v>0</v>
      </c>
      <c r="P3081" s="16">
        <f>IF(NOT(Paths!$C$286=1),0,IF(Paths!$P$286="Complete",O3081+L3081,"n.a."))</f>
        <v>0</v>
      </c>
      <c r="Q3081" s="16">
        <f>IF(NOT(Paths!$C$286=1),0,IF(Paths!$P$286="Complete",N3081*(1+'Operating costs'!$B$54)^-C3081,"n.a."))</f>
        <v>0</v>
      </c>
      <c r="R3081" s="16">
        <f>IF(NOT(Paths!$C$286=1),0,IF(Paths!$P$286="Complete",IF(AND(C3081=0,Paths!$E$286=0),I3081-J3081-K3081+VLOOKUP(A3081,'Fleet register'!$A$7:$S$106,15,FALSE)+VLOOKUP(A3081,'Fleet register'!$A$7:$S$106,16,FALSE),0),"n.a."))</f>
        <v>0</v>
      </c>
      <c r="S3081" s="1">
        <f>IF(NOT(Paths!$C$286=1),0,IF(Paths!$P$286="Complete",IF(C3081=0,0,Paths!$S$286*Paths!$R$286),"n.a."))</f>
        <v>0</v>
      </c>
      <c r="T3081" s="1">
        <f>IF(NOT(Paths!$C$286=1),0,IF(Paths!$P$286="Complete",IF(C3081=0,0,VLOOKUP(A3081,'Fleet register'!$A$7:$S$106,9,FALSE)*Paths!$R$286),"n.a."))</f>
        <v>0</v>
      </c>
    </row>
    <row r="3082" spans="1:20" ht="24" customHeight="1">
      <c r="A3082" s="1" t="str">
        <f>Paths!$A$286</f>
        <v>T070</v>
      </c>
      <c r="B3082" s="1">
        <f>Paths!$B$286</f>
        <v>3</v>
      </c>
      <c r="C3082" s="1">
        <v>6</v>
      </c>
      <c r="D3082" s="1">
        <v>286</v>
      </c>
      <c r="E3082" s="1">
        <f>IF(OR(Paths!$C$286=0,C3082=0),0,MAX(0,MIN(C3082*12,Paths!$E$286)-(C3082-1)*12))</f>
        <v>0</v>
      </c>
      <c r="F3082" s="1">
        <f>IF(OR(Paths!$C$286=0,C3082=0),0,12-E3082)</f>
        <v>0</v>
      </c>
      <c r="G3082" s="16">
        <f>IF(NOT(Paths!$C$286=1),0,IF(Paths!$P$286="Complete",E3082/12*(Paths!$J$286*(1+'Operating costs'!$B$51)^MAX(0,C3082-1)+Paths!$K$286*(1+'Operating costs'!$B$53)^MAX(0,C3082-1)),"n.a."))</f>
        <v>0</v>
      </c>
      <c r="H3082" s="16">
        <f>IF(NOT(Paths!$C$286=1),0,IF(Paths!$P$286="Complete",F3082/12*(Paths!$L$286*(1+IF(Paths!$D$286="EV",'Operating costs'!$B$52,'Operating costs'!$B$51))^MAX(0,C3082-1)+Paths!$M$286*(1+'Operating costs'!$B$53)^MAX(0,C3082-1)),"n.a."))</f>
        <v>0</v>
      </c>
      <c r="I3082" s="16">
        <f>IF(NOT(Paths!$C$286=1),0,IF(Paths!$P$286="Complete",IF(IF(Paths!$E$286=0,C3082=0,AND(C3082&gt;0,Paths!$E$286&gt;(C3082-1)*12,Paths!$E$286&lt;=C3082*12)),Paths!$G$286,0),"n.a."))</f>
        <v>0</v>
      </c>
      <c r="J3082" s="16">
        <f>IF(NOT(Paths!$C$286=1),0,IF(Paths!$P$286="Complete",IF(IF(Paths!$E$286=0,C3082=0,AND(C3082&gt;0,Paths!$E$286&gt;(C3082-1)*12,Paths!$E$286&lt;=C3082*12)),Paths!$H$286,0),"n.a."))</f>
        <v>0</v>
      </c>
      <c r="K3082" s="16">
        <f>IF(NOT(Paths!$C$286=1),0,IF(Paths!$P$286="Complete",IF(IF(Paths!$O$286=0,C3082=0,AND(C3082&gt;0,Paths!$O$286&gt;(C3082-1)*12,Paths!$O$286&lt;=C3082*12)),Paths!$N$286,0),"n.a."))</f>
        <v>0</v>
      </c>
      <c r="L3082" s="16">
        <f>IF(NOT(Paths!$C$286=1),0,IF(Paths!$P$286="Complete",IF(C3082=10,Paths!$I$286,0),"n.a."))</f>
        <v>0</v>
      </c>
      <c r="M3082" s="16">
        <f>IF(NOT(Paths!$C$286=1),0,IF(Paths!$P$286="Complete",IF(AND(Paths!$D$286="EV",Paths!$E$286&lt;120,Paths!$E$286+'Operating costs'!$B$65&gt;Paths!$E$286,Paths!$E$286+'Operating costs'!$B$65&lt;=120,IF(Paths!$E$286+'Operating costs'!$B$65=0,C3082=0,AND(C3082&gt;0,Paths!$E$286+'Operating costs'!$B$65&gt;(C3082-1)*12,Paths!$E$286+'Operating costs'!$B$65&lt;=C3082*12))),'Operating costs'!$B$64,0)+IF(AND('Operating costs'!$B$67&gt;0,'Operating costs'!$B$67&lt;=120,OR(Paths!$D$286="ICE",'Operating costs'!$B$67&lt;=Paths!$E$286),IF('Operating costs'!$B$67=0,C3082=0,AND(C3082&gt;0,'Operating costs'!$B$67&gt;(C3082-1)*12,'Operating costs'!$B$67&lt;=C3082*12))),'Operating costs'!$B$66,0),"n.a."))</f>
        <v>0</v>
      </c>
      <c r="N3082" s="16">
        <f>IF(NOT(Paths!$C$286=1),0,IF(Paths!$P$286="Complete",SUM(G3082:I3082)-J3082-K3082-L3082+M3082+IF(C3082=0,Paths!$F$286,0)+IF(IF(Paths!$E$286=0,C3082=0,AND(C3082&gt;0,Paths!$E$286&gt;(C3082-1)*12,Paths!$E$286&lt;=C3082*12)),VLOOKUP(A3082,'Fleet register'!$A$7:$S$106,16,FALSE),0),"n.a."))</f>
        <v>0</v>
      </c>
      <c r="O3082" s="16">
        <f>IF(NOT(Paths!$C$286=1),0,IF(Paths!$P$286="Complete",N3082-IF(C3082=0,Paths!$F$286,0),"n.a."))</f>
        <v>0</v>
      </c>
      <c r="P3082" s="16">
        <f>IF(NOT(Paths!$C$286=1),0,IF(Paths!$P$286="Complete",O3082+L3082,"n.a."))</f>
        <v>0</v>
      </c>
      <c r="Q3082" s="16">
        <f>IF(NOT(Paths!$C$286=1),0,IF(Paths!$P$286="Complete",N3082*(1+'Operating costs'!$B$54)^-C3082,"n.a."))</f>
        <v>0</v>
      </c>
      <c r="R3082" s="16">
        <f>IF(NOT(Paths!$C$286=1),0,IF(Paths!$P$286="Complete",IF(AND(C3082=0,Paths!$E$286=0),I3082-J3082-K3082+VLOOKUP(A3082,'Fleet register'!$A$7:$S$106,15,FALSE)+VLOOKUP(A3082,'Fleet register'!$A$7:$S$106,16,FALSE),0),"n.a."))</f>
        <v>0</v>
      </c>
      <c r="S3082" s="1">
        <f>IF(NOT(Paths!$C$286=1),0,IF(Paths!$P$286="Complete",IF(C3082=0,0,Paths!$S$286*Paths!$R$286),"n.a."))</f>
        <v>0</v>
      </c>
      <c r="T3082" s="1">
        <f>IF(NOT(Paths!$C$286=1),0,IF(Paths!$P$286="Complete",IF(C3082=0,0,VLOOKUP(A3082,'Fleet register'!$A$7:$S$106,9,FALSE)*Paths!$R$286),"n.a."))</f>
        <v>0</v>
      </c>
    </row>
    <row r="3083" spans="1:20" ht="24" customHeight="1">
      <c r="A3083" s="1" t="str">
        <f>Paths!$A$286</f>
        <v>T070</v>
      </c>
      <c r="B3083" s="1">
        <f>Paths!$B$286</f>
        <v>3</v>
      </c>
      <c r="C3083" s="1">
        <v>7</v>
      </c>
      <c r="D3083" s="1">
        <v>286</v>
      </c>
      <c r="E3083" s="1">
        <f>IF(OR(Paths!$C$286=0,C3083=0),0,MAX(0,MIN(C3083*12,Paths!$E$286)-(C3083-1)*12))</f>
        <v>0</v>
      </c>
      <c r="F3083" s="1">
        <f>IF(OR(Paths!$C$286=0,C3083=0),0,12-E3083)</f>
        <v>0</v>
      </c>
      <c r="G3083" s="16">
        <f>IF(NOT(Paths!$C$286=1),0,IF(Paths!$P$286="Complete",E3083/12*(Paths!$J$286*(1+'Operating costs'!$B$51)^MAX(0,C3083-1)+Paths!$K$286*(1+'Operating costs'!$B$53)^MAX(0,C3083-1)),"n.a."))</f>
        <v>0</v>
      </c>
      <c r="H3083" s="16">
        <f>IF(NOT(Paths!$C$286=1),0,IF(Paths!$P$286="Complete",F3083/12*(Paths!$L$286*(1+IF(Paths!$D$286="EV",'Operating costs'!$B$52,'Operating costs'!$B$51))^MAX(0,C3083-1)+Paths!$M$286*(1+'Operating costs'!$B$53)^MAX(0,C3083-1)),"n.a."))</f>
        <v>0</v>
      </c>
      <c r="I3083" s="16">
        <f>IF(NOT(Paths!$C$286=1),0,IF(Paths!$P$286="Complete",IF(IF(Paths!$E$286=0,C3083=0,AND(C3083&gt;0,Paths!$E$286&gt;(C3083-1)*12,Paths!$E$286&lt;=C3083*12)),Paths!$G$286,0),"n.a."))</f>
        <v>0</v>
      </c>
      <c r="J3083" s="16">
        <f>IF(NOT(Paths!$C$286=1),0,IF(Paths!$P$286="Complete",IF(IF(Paths!$E$286=0,C3083=0,AND(C3083&gt;0,Paths!$E$286&gt;(C3083-1)*12,Paths!$E$286&lt;=C3083*12)),Paths!$H$286,0),"n.a."))</f>
        <v>0</v>
      </c>
      <c r="K3083" s="16">
        <f>IF(NOT(Paths!$C$286=1),0,IF(Paths!$P$286="Complete",IF(IF(Paths!$O$286=0,C3083=0,AND(C3083&gt;0,Paths!$O$286&gt;(C3083-1)*12,Paths!$O$286&lt;=C3083*12)),Paths!$N$286,0),"n.a."))</f>
        <v>0</v>
      </c>
      <c r="L3083" s="16">
        <f>IF(NOT(Paths!$C$286=1),0,IF(Paths!$P$286="Complete",IF(C3083=10,Paths!$I$286,0),"n.a."))</f>
        <v>0</v>
      </c>
      <c r="M3083" s="16">
        <f>IF(NOT(Paths!$C$286=1),0,IF(Paths!$P$286="Complete",IF(AND(Paths!$D$286="EV",Paths!$E$286&lt;120,Paths!$E$286+'Operating costs'!$B$65&gt;Paths!$E$286,Paths!$E$286+'Operating costs'!$B$65&lt;=120,IF(Paths!$E$286+'Operating costs'!$B$65=0,C3083=0,AND(C3083&gt;0,Paths!$E$286+'Operating costs'!$B$65&gt;(C3083-1)*12,Paths!$E$286+'Operating costs'!$B$65&lt;=C3083*12))),'Operating costs'!$B$64,0)+IF(AND('Operating costs'!$B$67&gt;0,'Operating costs'!$B$67&lt;=120,OR(Paths!$D$286="ICE",'Operating costs'!$B$67&lt;=Paths!$E$286),IF('Operating costs'!$B$67=0,C3083=0,AND(C3083&gt;0,'Operating costs'!$B$67&gt;(C3083-1)*12,'Operating costs'!$B$67&lt;=C3083*12))),'Operating costs'!$B$66,0),"n.a."))</f>
        <v>0</v>
      </c>
      <c r="N3083" s="16">
        <f>IF(NOT(Paths!$C$286=1),0,IF(Paths!$P$286="Complete",SUM(G3083:I3083)-J3083-K3083-L3083+M3083+IF(C3083=0,Paths!$F$286,0)+IF(IF(Paths!$E$286=0,C3083=0,AND(C3083&gt;0,Paths!$E$286&gt;(C3083-1)*12,Paths!$E$286&lt;=C3083*12)),VLOOKUP(A3083,'Fleet register'!$A$7:$S$106,16,FALSE),0),"n.a."))</f>
        <v>0</v>
      </c>
      <c r="O3083" s="16">
        <f>IF(NOT(Paths!$C$286=1),0,IF(Paths!$P$286="Complete",N3083-IF(C3083=0,Paths!$F$286,0),"n.a."))</f>
        <v>0</v>
      </c>
      <c r="P3083" s="16">
        <f>IF(NOT(Paths!$C$286=1),0,IF(Paths!$P$286="Complete",O3083+L3083,"n.a."))</f>
        <v>0</v>
      </c>
      <c r="Q3083" s="16">
        <f>IF(NOT(Paths!$C$286=1),0,IF(Paths!$P$286="Complete",N3083*(1+'Operating costs'!$B$54)^-C3083,"n.a."))</f>
        <v>0</v>
      </c>
      <c r="R3083" s="16">
        <f>IF(NOT(Paths!$C$286=1),0,IF(Paths!$P$286="Complete",IF(AND(C3083=0,Paths!$E$286=0),I3083-J3083-K3083+VLOOKUP(A3083,'Fleet register'!$A$7:$S$106,15,FALSE)+VLOOKUP(A3083,'Fleet register'!$A$7:$S$106,16,FALSE),0),"n.a."))</f>
        <v>0</v>
      </c>
      <c r="S3083" s="1">
        <f>IF(NOT(Paths!$C$286=1),0,IF(Paths!$P$286="Complete",IF(C3083=0,0,Paths!$S$286*Paths!$R$286),"n.a."))</f>
        <v>0</v>
      </c>
      <c r="T3083" s="1">
        <f>IF(NOT(Paths!$C$286=1),0,IF(Paths!$P$286="Complete",IF(C3083=0,0,VLOOKUP(A3083,'Fleet register'!$A$7:$S$106,9,FALSE)*Paths!$R$286),"n.a."))</f>
        <v>0</v>
      </c>
    </row>
    <row r="3084" spans="1:20" ht="24" customHeight="1">
      <c r="A3084" s="1" t="str">
        <f>Paths!$A$286</f>
        <v>T070</v>
      </c>
      <c r="B3084" s="1">
        <f>Paths!$B$286</f>
        <v>3</v>
      </c>
      <c r="C3084" s="1">
        <v>8</v>
      </c>
      <c r="D3084" s="1">
        <v>286</v>
      </c>
      <c r="E3084" s="1">
        <f>IF(OR(Paths!$C$286=0,C3084=0),0,MAX(0,MIN(C3084*12,Paths!$E$286)-(C3084-1)*12))</f>
        <v>0</v>
      </c>
      <c r="F3084" s="1">
        <f>IF(OR(Paths!$C$286=0,C3084=0),0,12-E3084)</f>
        <v>0</v>
      </c>
      <c r="G3084" s="16">
        <f>IF(NOT(Paths!$C$286=1),0,IF(Paths!$P$286="Complete",E3084/12*(Paths!$J$286*(1+'Operating costs'!$B$51)^MAX(0,C3084-1)+Paths!$K$286*(1+'Operating costs'!$B$53)^MAX(0,C3084-1)),"n.a."))</f>
        <v>0</v>
      </c>
      <c r="H3084" s="16">
        <f>IF(NOT(Paths!$C$286=1),0,IF(Paths!$P$286="Complete",F3084/12*(Paths!$L$286*(1+IF(Paths!$D$286="EV",'Operating costs'!$B$52,'Operating costs'!$B$51))^MAX(0,C3084-1)+Paths!$M$286*(1+'Operating costs'!$B$53)^MAX(0,C3084-1)),"n.a."))</f>
        <v>0</v>
      </c>
      <c r="I3084" s="16">
        <f>IF(NOT(Paths!$C$286=1),0,IF(Paths!$P$286="Complete",IF(IF(Paths!$E$286=0,C3084=0,AND(C3084&gt;0,Paths!$E$286&gt;(C3084-1)*12,Paths!$E$286&lt;=C3084*12)),Paths!$G$286,0),"n.a."))</f>
        <v>0</v>
      </c>
      <c r="J3084" s="16">
        <f>IF(NOT(Paths!$C$286=1),0,IF(Paths!$P$286="Complete",IF(IF(Paths!$E$286=0,C3084=0,AND(C3084&gt;0,Paths!$E$286&gt;(C3084-1)*12,Paths!$E$286&lt;=C3084*12)),Paths!$H$286,0),"n.a."))</f>
        <v>0</v>
      </c>
      <c r="K3084" s="16">
        <f>IF(NOT(Paths!$C$286=1),0,IF(Paths!$P$286="Complete",IF(IF(Paths!$O$286=0,C3084=0,AND(C3084&gt;0,Paths!$O$286&gt;(C3084-1)*12,Paths!$O$286&lt;=C3084*12)),Paths!$N$286,0),"n.a."))</f>
        <v>0</v>
      </c>
      <c r="L3084" s="16">
        <f>IF(NOT(Paths!$C$286=1),0,IF(Paths!$P$286="Complete",IF(C3084=10,Paths!$I$286,0),"n.a."))</f>
        <v>0</v>
      </c>
      <c r="M3084" s="16">
        <f>IF(NOT(Paths!$C$286=1),0,IF(Paths!$P$286="Complete",IF(AND(Paths!$D$286="EV",Paths!$E$286&lt;120,Paths!$E$286+'Operating costs'!$B$65&gt;Paths!$E$286,Paths!$E$286+'Operating costs'!$B$65&lt;=120,IF(Paths!$E$286+'Operating costs'!$B$65=0,C3084=0,AND(C3084&gt;0,Paths!$E$286+'Operating costs'!$B$65&gt;(C3084-1)*12,Paths!$E$286+'Operating costs'!$B$65&lt;=C3084*12))),'Operating costs'!$B$64,0)+IF(AND('Operating costs'!$B$67&gt;0,'Operating costs'!$B$67&lt;=120,OR(Paths!$D$286="ICE",'Operating costs'!$B$67&lt;=Paths!$E$286),IF('Operating costs'!$B$67=0,C3084=0,AND(C3084&gt;0,'Operating costs'!$B$67&gt;(C3084-1)*12,'Operating costs'!$B$67&lt;=C3084*12))),'Operating costs'!$B$66,0),"n.a."))</f>
        <v>0</v>
      </c>
      <c r="N3084" s="16">
        <f>IF(NOT(Paths!$C$286=1),0,IF(Paths!$P$286="Complete",SUM(G3084:I3084)-J3084-K3084-L3084+M3084+IF(C3084=0,Paths!$F$286,0)+IF(IF(Paths!$E$286=0,C3084=0,AND(C3084&gt;0,Paths!$E$286&gt;(C3084-1)*12,Paths!$E$286&lt;=C3084*12)),VLOOKUP(A3084,'Fleet register'!$A$7:$S$106,16,FALSE),0),"n.a."))</f>
        <v>0</v>
      </c>
      <c r="O3084" s="16">
        <f>IF(NOT(Paths!$C$286=1),0,IF(Paths!$P$286="Complete",N3084-IF(C3084=0,Paths!$F$286,0),"n.a."))</f>
        <v>0</v>
      </c>
      <c r="P3084" s="16">
        <f>IF(NOT(Paths!$C$286=1),0,IF(Paths!$P$286="Complete",O3084+L3084,"n.a."))</f>
        <v>0</v>
      </c>
      <c r="Q3084" s="16">
        <f>IF(NOT(Paths!$C$286=1),0,IF(Paths!$P$286="Complete",N3084*(1+'Operating costs'!$B$54)^-C3084,"n.a."))</f>
        <v>0</v>
      </c>
      <c r="R3084" s="16">
        <f>IF(NOT(Paths!$C$286=1),0,IF(Paths!$P$286="Complete",IF(AND(C3084=0,Paths!$E$286=0),I3084-J3084-K3084+VLOOKUP(A3084,'Fleet register'!$A$7:$S$106,15,FALSE)+VLOOKUP(A3084,'Fleet register'!$A$7:$S$106,16,FALSE),0),"n.a."))</f>
        <v>0</v>
      </c>
      <c r="S3084" s="1">
        <f>IF(NOT(Paths!$C$286=1),0,IF(Paths!$P$286="Complete",IF(C3084=0,0,Paths!$S$286*Paths!$R$286),"n.a."))</f>
        <v>0</v>
      </c>
      <c r="T3084" s="1">
        <f>IF(NOT(Paths!$C$286=1),0,IF(Paths!$P$286="Complete",IF(C3084=0,0,VLOOKUP(A3084,'Fleet register'!$A$7:$S$106,9,FALSE)*Paths!$R$286),"n.a."))</f>
        <v>0</v>
      </c>
    </row>
    <row r="3085" spans="1:20" ht="24" customHeight="1">
      <c r="A3085" s="1" t="str">
        <f>Paths!$A$286</f>
        <v>T070</v>
      </c>
      <c r="B3085" s="1">
        <f>Paths!$B$286</f>
        <v>3</v>
      </c>
      <c r="C3085" s="1">
        <v>9</v>
      </c>
      <c r="D3085" s="1">
        <v>286</v>
      </c>
      <c r="E3085" s="1">
        <f>IF(OR(Paths!$C$286=0,C3085=0),0,MAX(0,MIN(C3085*12,Paths!$E$286)-(C3085-1)*12))</f>
        <v>0</v>
      </c>
      <c r="F3085" s="1">
        <f>IF(OR(Paths!$C$286=0,C3085=0),0,12-E3085)</f>
        <v>0</v>
      </c>
      <c r="G3085" s="16">
        <f>IF(NOT(Paths!$C$286=1),0,IF(Paths!$P$286="Complete",E3085/12*(Paths!$J$286*(1+'Operating costs'!$B$51)^MAX(0,C3085-1)+Paths!$K$286*(1+'Operating costs'!$B$53)^MAX(0,C3085-1)),"n.a."))</f>
        <v>0</v>
      </c>
      <c r="H3085" s="16">
        <f>IF(NOT(Paths!$C$286=1),0,IF(Paths!$P$286="Complete",F3085/12*(Paths!$L$286*(1+IF(Paths!$D$286="EV",'Operating costs'!$B$52,'Operating costs'!$B$51))^MAX(0,C3085-1)+Paths!$M$286*(1+'Operating costs'!$B$53)^MAX(0,C3085-1)),"n.a."))</f>
        <v>0</v>
      </c>
      <c r="I3085" s="16">
        <f>IF(NOT(Paths!$C$286=1),0,IF(Paths!$P$286="Complete",IF(IF(Paths!$E$286=0,C3085=0,AND(C3085&gt;0,Paths!$E$286&gt;(C3085-1)*12,Paths!$E$286&lt;=C3085*12)),Paths!$G$286,0),"n.a."))</f>
        <v>0</v>
      </c>
      <c r="J3085" s="16">
        <f>IF(NOT(Paths!$C$286=1),0,IF(Paths!$P$286="Complete",IF(IF(Paths!$E$286=0,C3085=0,AND(C3085&gt;0,Paths!$E$286&gt;(C3085-1)*12,Paths!$E$286&lt;=C3085*12)),Paths!$H$286,0),"n.a."))</f>
        <v>0</v>
      </c>
      <c r="K3085" s="16">
        <f>IF(NOT(Paths!$C$286=1),0,IF(Paths!$P$286="Complete",IF(IF(Paths!$O$286=0,C3085=0,AND(C3085&gt;0,Paths!$O$286&gt;(C3085-1)*12,Paths!$O$286&lt;=C3085*12)),Paths!$N$286,0),"n.a."))</f>
        <v>0</v>
      </c>
      <c r="L3085" s="16">
        <f>IF(NOT(Paths!$C$286=1),0,IF(Paths!$P$286="Complete",IF(C3085=10,Paths!$I$286,0),"n.a."))</f>
        <v>0</v>
      </c>
      <c r="M3085" s="16">
        <f>IF(NOT(Paths!$C$286=1),0,IF(Paths!$P$286="Complete",IF(AND(Paths!$D$286="EV",Paths!$E$286&lt;120,Paths!$E$286+'Operating costs'!$B$65&gt;Paths!$E$286,Paths!$E$286+'Operating costs'!$B$65&lt;=120,IF(Paths!$E$286+'Operating costs'!$B$65=0,C3085=0,AND(C3085&gt;0,Paths!$E$286+'Operating costs'!$B$65&gt;(C3085-1)*12,Paths!$E$286+'Operating costs'!$B$65&lt;=C3085*12))),'Operating costs'!$B$64,0)+IF(AND('Operating costs'!$B$67&gt;0,'Operating costs'!$B$67&lt;=120,OR(Paths!$D$286="ICE",'Operating costs'!$B$67&lt;=Paths!$E$286),IF('Operating costs'!$B$67=0,C3085=0,AND(C3085&gt;0,'Operating costs'!$B$67&gt;(C3085-1)*12,'Operating costs'!$B$67&lt;=C3085*12))),'Operating costs'!$B$66,0),"n.a."))</f>
        <v>0</v>
      </c>
      <c r="N3085" s="16">
        <f>IF(NOT(Paths!$C$286=1),0,IF(Paths!$P$286="Complete",SUM(G3085:I3085)-J3085-K3085-L3085+M3085+IF(C3085=0,Paths!$F$286,0)+IF(IF(Paths!$E$286=0,C3085=0,AND(C3085&gt;0,Paths!$E$286&gt;(C3085-1)*12,Paths!$E$286&lt;=C3085*12)),VLOOKUP(A3085,'Fleet register'!$A$7:$S$106,16,FALSE),0),"n.a."))</f>
        <v>0</v>
      </c>
      <c r="O3085" s="16">
        <f>IF(NOT(Paths!$C$286=1),0,IF(Paths!$P$286="Complete",N3085-IF(C3085=0,Paths!$F$286,0),"n.a."))</f>
        <v>0</v>
      </c>
      <c r="P3085" s="16">
        <f>IF(NOT(Paths!$C$286=1),0,IF(Paths!$P$286="Complete",O3085+L3085,"n.a."))</f>
        <v>0</v>
      </c>
      <c r="Q3085" s="16">
        <f>IF(NOT(Paths!$C$286=1),0,IF(Paths!$P$286="Complete",N3085*(1+'Operating costs'!$B$54)^-C3085,"n.a."))</f>
        <v>0</v>
      </c>
      <c r="R3085" s="16">
        <f>IF(NOT(Paths!$C$286=1),0,IF(Paths!$P$286="Complete",IF(AND(C3085=0,Paths!$E$286=0),I3085-J3085-K3085+VLOOKUP(A3085,'Fleet register'!$A$7:$S$106,15,FALSE)+VLOOKUP(A3085,'Fleet register'!$A$7:$S$106,16,FALSE),0),"n.a."))</f>
        <v>0</v>
      </c>
      <c r="S3085" s="1">
        <f>IF(NOT(Paths!$C$286=1),0,IF(Paths!$P$286="Complete",IF(C3085=0,0,Paths!$S$286*Paths!$R$286),"n.a."))</f>
        <v>0</v>
      </c>
      <c r="T3085" s="1">
        <f>IF(NOT(Paths!$C$286=1),0,IF(Paths!$P$286="Complete",IF(C3085=0,0,VLOOKUP(A3085,'Fleet register'!$A$7:$S$106,9,FALSE)*Paths!$R$286),"n.a."))</f>
        <v>0</v>
      </c>
    </row>
    <row r="3086" spans="1:20" ht="24" customHeight="1">
      <c r="A3086" s="1" t="str">
        <f>Paths!$A$286</f>
        <v>T070</v>
      </c>
      <c r="B3086" s="1">
        <f>Paths!$B$286</f>
        <v>3</v>
      </c>
      <c r="C3086" s="1">
        <v>10</v>
      </c>
      <c r="D3086" s="1">
        <v>286</v>
      </c>
      <c r="E3086" s="1">
        <f>IF(OR(Paths!$C$286=0,C3086=0),0,MAX(0,MIN(C3086*12,Paths!$E$286)-(C3086-1)*12))</f>
        <v>0</v>
      </c>
      <c r="F3086" s="1">
        <f>IF(OR(Paths!$C$286=0,C3086=0),0,12-E3086)</f>
        <v>0</v>
      </c>
      <c r="G3086" s="16">
        <f>IF(NOT(Paths!$C$286=1),0,IF(Paths!$P$286="Complete",E3086/12*(Paths!$J$286*(1+'Operating costs'!$B$51)^MAX(0,C3086-1)+Paths!$K$286*(1+'Operating costs'!$B$53)^MAX(0,C3086-1)),"n.a."))</f>
        <v>0</v>
      </c>
      <c r="H3086" s="16">
        <f>IF(NOT(Paths!$C$286=1),0,IF(Paths!$P$286="Complete",F3086/12*(Paths!$L$286*(1+IF(Paths!$D$286="EV",'Operating costs'!$B$52,'Operating costs'!$B$51))^MAX(0,C3086-1)+Paths!$M$286*(1+'Operating costs'!$B$53)^MAX(0,C3086-1)),"n.a."))</f>
        <v>0</v>
      </c>
      <c r="I3086" s="16">
        <f>IF(NOT(Paths!$C$286=1),0,IF(Paths!$P$286="Complete",IF(IF(Paths!$E$286=0,C3086=0,AND(C3086&gt;0,Paths!$E$286&gt;(C3086-1)*12,Paths!$E$286&lt;=C3086*12)),Paths!$G$286,0),"n.a."))</f>
        <v>0</v>
      </c>
      <c r="J3086" s="16">
        <f>IF(NOT(Paths!$C$286=1),0,IF(Paths!$P$286="Complete",IF(IF(Paths!$E$286=0,C3086=0,AND(C3086&gt;0,Paths!$E$286&gt;(C3086-1)*12,Paths!$E$286&lt;=C3086*12)),Paths!$H$286,0),"n.a."))</f>
        <v>0</v>
      </c>
      <c r="K3086" s="16">
        <f>IF(NOT(Paths!$C$286=1),0,IF(Paths!$P$286="Complete",IF(IF(Paths!$O$286=0,C3086=0,AND(C3086&gt;0,Paths!$O$286&gt;(C3086-1)*12,Paths!$O$286&lt;=C3086*12)),Paths!$N$286,0),"n.a."))</f>
        <v>0</v>
      </c>
      <c r="L3086" s="16">
        <f>IF(NOT(Paths!$C$286=1),0,IF(Paths!$P$286="Complete",IF(C3086=10,Paths!$I$286,0),"n.a."))</f>
        <v>0</v>
      </c>
      <c r="M3086" s="16">
        <f>IF(NOT(Paths!$C$286=1),0,IF(Paths!$P$286="Complete",IF(AND(Paths!$D$286="EV",Paths!$E$286&lt;120,Paths!$E$286+'Operating costs'!$B$65&gt;Paths!$E$286,Paths!$E$286+'Operating costs'!$B$65&lt;=120,IF(Paths!$E$286+'Operating costs'!$B$65=0,C3086=0,AND(C3086&gt;0,Paths!$E$286+'Operating costs'!$B$65&gt;(C3086-1)*12,Paths!$E$286+'Operating costs'!$B$65&lt;=C3086*12))),'Operating costs'!$B$64,0)+IF(AND('Operating costs'!$B$67&gt;0,'Operating costs'!$B$67&lt;=120,OR(Paths!$D$286="ICE",'Operating costs'!$B$67&lt;=Paths!$E$286),IF('Operating costs'!$B$67=0,C3086=0,AND(C3086&gt;0,'Operating costs'!$B$67&gt;(C3086-1)*12,'Operating costs'!$B$67&lt;=C3086*12))),'Operating costs'!$B$66,0),"n.a."))</f>
        <v>0</v>
      </c>
      <c r="N3086" s="16">
        <f>IF(NOT(Paths!$C$286=1),0,IF(Paths!$P$286="Complete",SUM(G3086:I3086)-J3086-K3086-L3086+M3086+IF(C3086=0,Paths!$F$286,0)+IF(IF(Paths!$E$286=0,C3086=0,AND(C3086&gt;0,Paths!$E$286&gt;(C3086-1)*12,Paths!$E$286&lt;=C3086*12)),VLOOKUP(A3086,'Fleet register'!$A$7:$S$106,16,FALSE),0),"n.a."))</f>
        <v>0</v>
      </c>
      <c r="O3086" s="16">
        <f>IF(NOT(Paths!$C$286=1),0,IF(Paths!$P$286="Complete",N3086-IF(C3086=0,Paths!$F$286,0),"n.a."))</f>
        <v>0</v>
      </c>
      <c r="P3086" s="16">
        <f>IF(NOT(Paths!$C$286=1),0,IF(Paths!$P$286="Complete",O3086+L3086,"n.a."))</f>
        <v>0</v>
      </c>
      <c r="Q3086" s="16">
        <f>IF(NOT(Paths!$C$286=1),0,IF(Paths!$P$286="Complete",N3086*(1+'Operating costs'!$B$54)^-C3086,"n.a."))</f>
        <v>0</v>
      </c>
      <c r="R3086" s="16">
        <f>IF(NOT(Paths!$C$286=1),0,IF(Paths!$P$286="Complete",IF(AND(C3086=0,Paths!$E$286=0),I3086-J3086-K3086+VLOOKUP(A3086,'Fleet register'!$A$7:$S$106,15,FALSE)+VLOOKUP(A3086,'Fleet register'!$A$7:$S$106,16,FALSE),0),"n.a."))</f>
        <v>0</v>
      </c>
      <c r="S3086" s="1">
        <f>IF(NOT(Paths!$C$286=1),0,IF(Paths!$P$286="Complete",IF(C3086=0,0,Paths!$S$286*Paths!$R$286),"n.a."))</f>
        <v>0</v>
      </c>
      <c r="T3086" s="1">
        <f>IF(NOT(Paths!$C$286=1),0,IF(Paths!$P$286="Complete",IF(C3086=0,0,VLOOKUP(A3086,'Fleet register'!$A$7:$S$106,9,FALSE)*Paths!$R$286),"n.a."))</f>
        <v>0</v>
      </c>
    </row>
    <row r="3087" spans="1:20" ht="24" customHeight="1">
      <c r="A3087" s="1" t="str">
        <f>Paths!$A$287</f>
        <v>T071</v>
      </c>
      <c r="B3087" s="1">
        <f>Paths!$B$287</f>
        <v>0</v>
      </c>
      <c r="C3087" s="1">
        <v>0</v>
      </c>
      <c r="D3087" s="1">
        <v>287</v>
      </c>
      <c r="E3087" s="1">
        <f>IF(OR(Paths!$C$287=0,C3087=0),0,MAX(0,MIN(C3087*12,Paths!$E$287)-(C3087-1)*12))</f>
        <v>0</v>
      </c>
      <c r="F3087" s="1">
        <f>IF(OR(Paths!$C$287=0,C3087=0),0,12-E3087)</f>
        <v>0</v>
      </c>
      <c r="G3087" s="16">
        <f>IF(NOT(Paths!$C$287=1),0,IF(Paths!$P$287="Complete",E3087/12*(Paths!$J$287*(1+'Operating costs'!$B$51)^MAX(0,C3087-1)+Paths!$K$287*(1+'Operating costs'!$B$53)^MAX(0,C3087-1)),"n.a."))</f>
        <v>0</v>
      </c>
      <c r="H3087" s="16">
        <f>IF(NOT(Paths!$C$287=1),0,IF(Paths!$P$287="Complete",F3087/12*(Paths!$L$287*(1+IF(Paths!$D$287="EV",'Operating costs'!$B$52,'Operating costs'!$B$51))^MAX(0,C3087-1)+Paths!$M$287*(1+'Operating costs'!$B$53)^MAX(0,C3087-1)),"n.a."))</f>
        <v>0</v>
      </c>
      <c r="I3087" s="16">
        <f>IF(NOT(Paths!$C$287=1),0,IF(Paths!$P$287="Complete",IF(IF(Paths!$E$287=0,C3087=0,AND(C3087&gt;0,Paths!$E$287&gt;(C3087-1)*12,Paths!$E$287&lt;=C3087*12)),Paths!$G$287,0),"n.a."))</f>
        <v>0</v>
      </c>
      <c r="J3087" s="16">
        <f>IF(NOT(Paths!$C$287=1),0,IF(Paths!$P$287="Complete",IF(IF(Paths!$E$287=0,C3087=0,AND(C3087&gt;0,Paths!$E$287&gt;(C3087-1)*12,Paths!$E$287&lt;=C3087*12)),Paths!$H$287,0),"n.a."))</f>
        <v>0</v>
      </c>
      <c r="K3087" s="16">
        <f>IF(NOT(Paths!$C$287=1),0,IF(Paths!$P$287="Complete",IF(IF(Paths!$O$287=0,C3087=0,AND(C3087&gt;0,Paths!$O$287&gt;(C3087-1)*12,Paths!$O$287&lt;=C3087*12)),Paths!$N$287,0),"n.a."))</f>
        <v>0</v>
      </c>
      <c r="L3087" s="16">
        <f>IF(NOT(Paths!$C$287=1),0,IF(Paths!$P$287="Complete",IF(C3087=10,Paths!$I$287,0),"n.a."))</f>
        <v>0</v>
      </c>
      <c r="M3087" s="16">
        <f>IF(NOT(Paths!$C$287=1),0,IF(Paths!$P$287="Complete",IF(AND(Paths!$D$287="EV",Paths!$E$287&lt;120,Paths!$E$287+'Operating costs'!$B$65&gt;Paths!$E$287,Paths!$E$287+'Operating costs'!$B$65&lt;=120,IF(Paths!$E$287+'Operating costs'!$B$65=0,C3087=0,AND(C3087&gt;0,Paths!$E$287+'Operating costs'!$B$65&gt;(C3087-1)*12,Paths!$E$287+'Operating costs'!$B$65&lt;=C3087*12))),'Operating costs'!$B$64,0)+IF(AND('Operating costs'!$B$67&gt;0,'Operating costs'!$B$67&lt;=120,OR(Paths!$D$287="ICE",'Operating costs'!$B$67&lt;=Paths!$E$287),IF('Operating costs'!$B$67=0,C3087=0,AND(C3087&gt;0,'Operating costs'!$B$67&gt;(C3087-1)*12,'Operating costs'!$B$67&lt;=C3087*12))),'Operating costs'!$B$66,0),"n.a."))</f>
        <v>0</v>
      </c>
      <c r="N3087" s="16">
        <f>IF(NOT(Paths!$C$287=1),0,IF(Paths!$P$287="Complete",SUM(G3087:I3087)-J3087-K3087-L3087+M3087+IF(C3087=0,Paths!$F$287,0)+IF(IF(Paths!$E$287=0,C3087=0,AND(C3087&gt;0,Paths!$E$287&gt;(C3087-1)*12,Paths!$E$287&lt;=C3087*12)),VLOOKUP(A3087,'Fleet register'!$A$7:$S$106,16,FALSE),0),"n.a."))</f>
        <v>0</v>
      </c>
      <c r="O3087" s="16">
        <f>IF(NOT(Paths!$C$287=1),0,IF(Paths!$P$287="Complete",N3087-IF(C3087=0,Paths!$F$287,0),"n.a."))</f>
        <v>0</v>
      </c>
      <c r="P3087" s="16">
        <f>IF(NOT(Paths!$C$287=1),0,IF(Paths!$P$287="Complete",O3087+L3087,"n.a."))</f>
        <v>0</v>
      </c>
      <c r="Q3087" s="16">
        <f>IF(NOT(Paths!$C$287=1),0,IF(Paths!$P$287="Complete",N3087*(1+'Operating costs'!$B$54)^-C3087,"n.a."))</f>
        <v>0</v>
      </c>
      <c r="R3087" s="16">
        <f>IF(NOT(Paths!$C$287=1),0,IF(Paths!$P$287="Complete",IF(AND(C3087=0,Paths!$E$287=0),I3087-J3087-K3087+VLOOKUP(A3087,'Fleet register'!$A$7:$S$106,15,FALSE)+VLOOKUP(A3087,'Fleet register'!$A$7:$S$106,16,FALSE),0),"n.a."))</f>
        <v>0</v>
      </c>
      <c r="S3087" s="1">
        <f>IF(NOT(Paths!$C$287=1),0,IF(Paths!$P$287="Complete",IF(C3087=0,0,Paths!$S$287*Paths!$R$287),"n.a."))</f>
        <v>0</v>
      </c>
      <c r="T3087" s="1">
        <f>IF(NOT(Paths!$C$287=1),0,IF(Paths!$P$287="Complete",IF(C3087=0,0,VLOOKUP(A3087,'Fleet register'!$A$7:$S$106,9,FALSE)*Paths!$R$287),"n.a."))</f>
        <v>0</v>
      </c>
    </row>
    <row r="3088" spans="1:20" ht="24" customHeight="1">
      <c r="A3088" s="1" t="str">
        <f>Paths!$A$287</f>
        <v>T071</v>
      </c>
      <c r="B3088" s="1">
        <f>Paths!$B$287</f>
        <v>0</v>
      </c>
      <c r="C3088" s="1">
        <v>1</v>
      </c>
      <c r="D3088" s="1">
        <v>287</v>
      </c>
      <c r="E3088" s="1">
        <f>IF(OR(Paths!$C$287=0,C3088=0),0,MAX(0,MIN(C3088*12,Paths!$E$287)-(C3088-1)*12))</f>
        <v>0</v>
      </c>
      <c r="F3088" s="1">
        <f>IF(OR(Paths!$C$287=0,C3088=0),0,12-E3088)</f>
        <v>0</v>
      </c>
      <c r="G3088" s="16">
        <f>IF(NOT(Paths!$C$287=1),0,IF(Paths!$P$287="Complete",E3088/12*(Paths!$J$287*(1+'Operating costs'!$B$51)^MAX(0,C3088-1)+Paths!$K$287*(1+'Operating costs'!$B$53)^MAX(0,C3088-1)),"n.a."))</f>
        <v>0</v>
      </c>
      <c r="H3088" s="16">
        <f>IF(NOT(Paths!$C$287=1),0,IF(Paths!$P$287="Complete",F3088/12*(Paths!$L$287*(1+IF(Paths!$D$287="EV",'Operating costs'!$B$52,'Operating costs'!$B$51))^MAX(0,C3088-1)+Paths!$M$287*(1+'Operating costs'!$B$53)^MAX(0,C3088-1)),"n.a."))</f>
        <v>0</v>
      </c>
      <c r="I3088" s="16">
        <f>IF(NOT(Paths!$C$287=1),0,IF(Paths!$P$287="Complete",IF(IF(Paths!$E$287=0,C3088=0,AND(C3088&gt;0,Paths!$E$287&gt;(C3088-1)*12,Paths!$E$287&lt;=C3088*12)),Paths!$G$287,0),"n.a."))</f>
        <v>0</v>
      </c>
      <c r="J3088" s="16">
        <f>IF(NOT(Paths!$C$287=1),0,IF(Paths!$P$287="Complete",IF(IF(Paths!$E$287=0,C3088=0,AND(C3088&gt;0,Paths!$E$287&gt;(C3088-1)*12,Paths!$E$287&lt;=C3088*12)),Paths!$H$287,0),"n.a."))</f>
        <v>0</v>
      </c>
      <c r="K3088" s="16">
        <f>IF(NOT(Paths!$C$287=1),0,IF(Paths!$P$287="Complete",IF(IF(Paths!$O$287=0,C3088=0,AND(C3088&gt;0,Paths!$O$287&gt;(C3088-1)*12,Paths!$O$287&lt;=C3088*12)),Paths!$N$287,0),"n.a."))</f>
        <v>0</v>
      </c>
      <c r="L3088" s="16">
        <f>IF(NOT(Paths!$C$287=1),0,IF(Paths!$P$287="Complete",IF(C3088=10,Paths!$I$287,0),"n.a."))</f>
        <v>0</v>
      </c>
      <c r="M3088" s="16">
        <f>IF(NOT(Paths!$C$287=1),0,IF(Paths!$P$287="Complete",IF(AND(Paths!$D$287="EV",Paths!$E$287&lt;120,Paths!$E$287+'Operating costs'!$B$65&gt;Paths!$E$287,Paths!$E$287+'Operating costs'!$B$65&lt;=120,IF(Paths!$E$287+'Operating costs'!$B$65=0,C3088=0,AND(C3088&gt;0,Paths!$E$287+'Operating costs'!$B$65&gt;(C3088-1)*12,Paths!$E$287+'Operating costs'!$B$65&lt;=C3088*12))),'Operating costs'!$B$64,0)+IF(AND('Operating costs'!$B$67&gt;0,'Operating costs'!$B$67&lt;=120,OR(Paths!$D$287="ICE",'Operating costs'!$B$67&lt;=Paths!$E$287),IF('Operating costs'!$B$67=0,C3088=0,AND(C3088&gt;0,'Operating costs'!$B$67&gt;(C3088-1)*12,'Operating costs'!$B$67&lt;=C3088*12))),'Operating costs'!$B$66,0),"n.a."))</f>
        <v>0</v>
      </c>
      <c r="N3088" s="16">
        <f>IF(NOT(Paths!$C$287=1),0,IF(Paths!$P$287="Complete",SUM(G3088:I3088)-J3088-K3088-L3088+M3088+IF(C3088=0,Paths!$F$287,0)+IF(IF(Paths!$E$287=0,C3088=0,AND(C3088&gt;0,Paths!$E$287&gt;(C3088-1)*12,Paths!$E$287&lt;=C3088*12)),VLOOKUP(A3088,'Fleet register'!$A$7:$S$106,16,FALSE),0),"n.a."))</f>
        <v>0</v>
      </c>
      <c r="O3088" s="16">
        <f>IF(NOT(Paths!$C$287=1),0,IF(Paths!$P$287="Complete",N3088-IF(C3088=0,Paths!$F$287,0),"n.a."))</f>
        <v>0</v>
      </c>
      <c r="P3088" s="16">
        <f>IF(NOT(Paths!$C$287=1),0,IF(Paths!$P$287="Complete",O3088+L3088,"n.a."))</f>
        <v>0</v>
      </c>
      <c r="Q3088" s="16">
        <f>IF(NOT(Paths!$C$287=1),0,IF(Paths!$P$287="Complete",N3088*(1+'Operating costs'!$B$54)^-C3088,"n.a."))</f>
        <v>0</v>
      </c>
      <c r="R3088" s="16">
        <f>IF(NOT(Paths!$C$287=1),0,IF(Paths!$P$287="Complete",IF(AND(C3088=0,Paths!$E$287=0),I3088-J3088-K3088+VLOOKUP(A3088,'Fleet register'!$A$7:$S$106,15,FALSE)+VLOOKUP(A3088,'Fleet register'!$A$7:$S$106,16,FALSE),0),"n.a."))</f>
        <v>0</v>
      </c>
      <c r="S3088" s="1">
        <f>IF(NOT(Paths!$C$287=1),0,IF(Paths!$P$287="Complete",IF(C3088=0,0,Paths!$S$287*Paths!$R$287),"n.a."))</f>
        <v>0</v>
      </c>
      <c r="T3088" s="1">
        <f>IF(NOT(Paths!$C$287=1),0,IF(Paths!$P$287="Complete",IF(C3088=0,0,VLOOKUP(A3088,'Fleet register'!$A$7:$S$106,9,FALSE)*Paths!$R$287),"n.a."))</f>
        <v>0</v>
      </c>
    </row>
    <row r="3089" spans="1:20" ht="24" customHeight="1">
      <c r="A3089" s="1" t="str">
        <f>Paths!$A$287</f>
        <v>T071</v>
      </c>
      <c r="B3089" s="1">
        <f>Paths!$B$287</f>
        <v>0</v>
      </c>
      <c r="C3089" s="1">
        <v>2</v>
      </c>
      <c r="D3089" s="1">
        <v>287</v>
      </c>
      <c r="E3089" s="1">
        <f>IF(OR(Paths!$C$287=0,C3089=0),0,MAX(0,MIN(C3089*12,Paths!$E$287)-(C3089-1)*12))</f>
        <v>0</v>
      </c>
      <c r="F3089" s="1">
        <f>IF(OR(Paths!$C$287=0,C3089=0),0,12-E3089)</f>
        <v>0</v>
      </c>
      <c r="G3089" s="16">
        <f>IF(NOT(Paths!$C$287=1),0,IF(Paths!$P$287="Complete",E3089/12*(Paths!$J$287*(1+'Operating costs'!$B$51)^MAX(0,C3089-1)+Paths!$K$287*(1+'Operating costs'!$B$53)^MAX(0,C3089-1)),"n.a."))</f>
        <v>0</v>
      </c>
      <c r="H3089" s="16">
        <f>IF(NOT(Paths!$C$287=1),0,IF(Paths!$P$287="Complete",F3089/12*(Paths!$L$287*(1+IF(Paths!$D$287="EV",'Operating costs'!$B$52,'Operating costs'!$B$51))^MAX(0,C3089-1)+Paths!$M$287*(1+'Operating costs'!$B$53)^MAX(0,C3089-1)),"n.a."))</f>
        <v>0</v>
      </c>
      <c r="I3089" s="16">
        <f>IF(NOT(Paths!$C$287=1),0,IF(Paths!$P$287="Complete",IF(IF(Paths!$E$287=0,C3089=0,AND(C3089&gt;0,Paths!$E$287&gt;(C3089-1)*12,Paths!$E$287&lt;=C3089*12)),Paths!$G$287,0),"n.a."))</f>
        <v>0</v>
      </c>
      <c r="J3089" s="16">
        <f>IF(NOT(Paths!$C$287=1),0,IF(Paths!$P$287="Complete",IF(IF(Paths!$E$287=0,C3089=0,AND(C3089&gt;0,Paths!$E$287&gt;(C3089-1)*12,Paths!$E$287&lt;=C3089*12)),Paths!$H$287,0),"n.a."))</f>
        <v>0</v>
      </c>
      <c r="K3089" s="16">
        <f>IF(NOT(Paths!$C$287=1),0,IF(Paths!$P$287="Complete",IF(IF(Paths!$O$287=0,C3089=0,AND(C3089&gt;0,Paths!$O$287&gt;(C3089-1)*12,Paths!$O$287&lt;=C3089*12)),Paths!$N$287,0),"n.a."))</f>
        <v>0</v>
      </c>
      <c r="L3089" s="16">
        <f>IF(NOT(Paths!$C$287=1),0,IF(Paths!$P$287="Complete",IF(C3089=10,Paths!$I$287,0),"n.a."))</f>
        <v>0</v>
      </c>
      <c r="M3089" s="16">
        <f>IF(NOT(Paths!$C$287=1),0,IF(Paths!$P$287="Complete",IF(AND(Paths!$D$287="EV",Paths!$E$287&lt;120,Paths!$E$287+'Operating costs'!$B$65&gt;Paths!$E$287,Paths!$E$287+'Operating costs'!$B$65&lt;=120,IF(Paths!$E$287+'Operating costs'!$B$65=0,C3089=0,AND(C3089&gt;0,Paths!$E$287+'Operating costs'!$B$65&gt;(C3089-1)*12,Paths!$E$287+'Operating costs'!$B$65&lt;=C3089*12))),'Operating costs'!$B$64,0)+IF(AND('Operating costs'!$B$67&gt;0,'Operating costs'!$B$67&lt;=120,OR(Paths!$D$287="ICE",'Operating costs'!$B$67&lt;=Paths!$E$287),IF('Operating costs'!$B$67=0,C3089=0,AND(C3089&gt;0,'Operating costs'!$B$67&gt;(C3089-1)*12,'Operating costs'!$B$67&lt;=C3089*12))),'Operating costs'!$B$66,0),"n.a."))</f>
        <v>0</v>
      </c>
      <c r="N3089" s="16">
        <f>IF(NOT(Paths!$C$287=1),0,IF(Paths!$P$287="Complete",SUM(G3089:I3089)-J3089-K3089-L3089+M3089+IF(C3089=0,Paths!$F$287,0)+IF(IF(Paths!$E$287=0,C3089=0,AND(C3089&gt;0,Paths!$E$287&gt;(C3089-1)*12,Paths!$E$287&lt;=C3089*12)),VLOOKUP(A3089,'Fleet register'!$A$7:$S$106,16,FALSE),0),"n.a."))</f>
        <v>0</v>
      </c>
      <c r="O3089" s="16">
        <f>IF(NOT(Paths!$C$287=1),0,IF(Paths!$P$287="Complete",N3089-IF(C3089=0,Paths!$F$287,0),"n.a."))</f>
        <v>0</v>
      </c>
      <c r="P3089" s="16">
        <f>IF(NOT(Paths!$C$287=1),0,IF(Paths!$P$287="Complete",O3089+L3089,"n.a."))</f>
        <v>0</v>
      </c>
      <c r="Q3089" s="16">
        <f>IF(NOT(Paths!$C$287=1),0,IF(Paths!$P$287="Complete",N3089*(1+'Operating costs'!$B$54)^-C3089,"n.a."))</f>
        <v>0</v>
      </c>
      <c r="R3089" s="16">
        <f>IF(NOT(Paths!$C$287=1),0,IF(Paths!$P$287="Complete",IF(AND(C3089=0,Paths!$E$287=0),I3089-J3089-K3089+VLOOKUP(A3089,'Fleet register'!$A$7:$S$106,15,FALSE)+VLOOKUP(A3089,'Fleet register'!$A$7:$S$106,16,FALSE),0),"n.a."))</f>
        <v>0</v>
      </c>
      <c r="S3089" s="1">
        <f>IF(NOT(Paths!$C$287=1),0,IF(Paths!$P$287="Complete",IF(C3089=0,0,Paths!$S$287*Paths!$R$287),"n.a."))</f>
        <v>0</v>
      </c>
      <c r="T3089" s="1">
        <f>IF(NOT(Paths!$C$287=1),0,IF(Paths!$P$287="Complete",IF(C3089=0,0,VLOOKUP(A3089,'Fleet register'!$A$7:$S$106,9,FALSE)*Paths!$R$287),"n.a."))</f>
        <v>0</v>
      </c>
    </row>
    <row r="3090" spans="1:20" ht="24" customHeight="1">
      <c r="A3090" s="1" t="str">
        <f>Paths!$A$287</f>
        <v>T071</v>
      </c>
      <c r="B3090" s="1">
        <f>Paths!$B$287</f>
        <v>0</v>
      </c>
      <c r="C3090" s="1">
        <v>3</v>
      </c>
      <c r="D3090" s="1">
        <v>287</v>
      </c>
      <c r="E3090" s="1">
        <f>IF(OR(Paths!$C$287=0,C3090=0),0,MAX(0,MIN(C3090*12,Paths!$E$287)-(C3090-1)*12))</f>
        <v>0</v>
      </c>
      <c r="F3090" s="1">
        <f>IF(OR(Paths!$C$287=0,C3090=0),0,12-E3090)</f>
        <v>0</v>
      </c>
      <c r="G3090" s="16">
        <f>IF(NOT(Paths!$C$287=1),0,IF(Paths!$P$287="Complete",E3090/12*(Paths!$J$287*(1+'Operating costs'!$B$51)^MAX(0,C3090-1)+Paths!$K$287*(1+'Operating costs'!$B$53)^MAX(0,C3090-1)),"n.a."))</f>
        <v>0</v>
      </c>
      <c r="H3090" s="16">
        <f>IF(NOT(Paths!$C$287=1),0,IF(Paths!$P$287="Complete",F3090/12*(Paths!$L$287*(1+IF(Paths!$D$287="EV",'Operating costs'!$B$52,'Operating costs'!$B$51))^MAX(0,C3090-1)+Paths!$M$287*(1+'Operating costs'!$B$53)^MAX(0,C3090-1)),"n.a."))</f>
        <v>0</v>
      </c>
      <c r="I3090" s="16">
        <f>IF(NOT(Paths!$C$287=1),0,IF(Paths!$P$287="Complete",IF(IF(Paths!$E$287=0,C3090=0,AND(C3090&gt;0,Paths!$E$287&gt;(C3090-1)*12,Paths!$E$287&lt;=C3090*12)),Paths!$G$287,0),"n.a."))</f>
        <v>0</v>
      </c>
      <c r="J3090" s="16">
        <f>IF(NOT(Paths!$C$287=1),0,IF(Paths!$P$287="Complete",IF(IF(Paths!$E$287=0,C3090=0,AND(C3090&gt;0,Paths!$E$287&gt;(C3090-1)*12,Paths!$E$287&lt;=C3090*12)),Paths!$H$287,0),"n.a."))</f>
        <v>0</v>
      </c>
      <c r="K3090" s="16">
        <f>IF(NOT(Paths!$C$287=1),0,IF(Paths!$P$287="Complete",IF(IF(Paths!$O$287=0,C3090=0,AND(C3090&gt;0,Paths!$O$287&gt;(C3090-1)*12,Paths!$O$287&lt;=C3090*12)),Paths!$N$287,0),"n.a."))</f>
        <v>0</v>
      </c>
      <c r="L3090" s="16">
        <f>IF(NOT(Paths!$C$287=1),0,IF(Paths!$P$287="Complete",IF(C3090=10,Paths!$I$287,0),"n.a."))</f>
        <v>0</v>
      </c>
      <c r="M3090" s="16">
        <f>IF(NOT(Paths!$C$287=1),0,IF(Paths!$P$287="Complete",IF(AND(Paths!$D$287="EV",Paths!$E$287&lt;120,Paths!$E$287+'Operating costs'!$B$65&gt;Paths!$E$287,Paths!$E$287+'Operating costs'!$B$65&lt;=120,IF(Paths!$E$287+'Operating costs'!$B$65=0,C3090=0,AND(C3090&gt;0,Paths!$E$287+'Operating costs'!$B$65&gt;(C3090-1)*12,Paths!$E$287+'Operating costs'!$B$65&lt;=C3090*12))),'Operating costs'!$B$64,0)+IF(AND('Operating costs'!$B$67&gt;0,'Operating costs'!$B$67&lt;=120,OR(Paths!$D$287="ICE",'Operating costs'!$B$67&lt;=Paths!$E$287),IF('Operating costs'!$B$67=0,C3090=0,AND(C3090&gt;0,'Operating costs'!$B$67&gt;(C3090-1)*12,'Operating costs'!$B$67&lt;=C3090*12))),'Operating costs'!$B$66,0),"n.a."))</f>
        <v>0</v>
      </c>
      <c r="N3090" s="16">
        <f>IF(NOT(Paths!$C$287=1),0,IF(Paths!$P$287="Complete",SUM(G3090:I3090)-J3090-K3090-L3090+M3090+IF(C3090=0,Paths!$F$287,0)+IF(IF(Paths!$E$287=0,C3090=0,AND(C3090&gt;0,Paths!$E$287&gt;(C3090-1)*12,Paths!$E$287&lt;=C3090*12)),VLOOKUP(A3090,'Fleet register'!$A$7:$S$106,16,FALSE),0),"n.a."))</f>
        <v>0</v>
      </c>
      <c r="O3090" s="16">
        <f>IF(NOT(Paths!$C$287=1),0,IF(Paths!$P$287="Complete",N3090-IF(C3090=0,Paths!$F$287,0),"n.a."))</f>
        <v>0</v>
      </c>
      <c r="P3090" s="16">
        <f>IF(NOT(Paths!$C$287=1),0,IF(Paths!$P$287="Complete",O3090+L3090,"n.a."))</f>
        <v>0</v>
      </c>
      <c r="Q3090" s="16">
        <f>IF(NOT(Paths!$C$287=1),0,IF(Paths!$P$287="Complete",N3090*(1+'Operating costs'!$B$54)^-C3090,"n.a."))</f>
        <v>0</v>
      </c>
      <c r="R3090" s="16">
        <f>IF(NOT(Paths!$C$287=1),0,IF(Paths!$P$287="Complete",IF(AND(C3090=0,Paths!$E$287=0),I3090-J3090-K3090+VLOOKUP(A3090,'Fleet register'!$A$7:$S$106,15,FALSE)+VLOOKUP(A3090,'Fleet register'!$A$7:$S$106,16,FALSE),0),"n.a."))</f>
        <v>0</v>
      </c>
      <c r="S3090" s="1">
        <f>IF(NOT(Paths!$C$287=1),0,IF(Paths!$P$287="Complete",IF(C3090=0,0,Paths!$S$287*Paths!$R$287),"n.a."))</f>
        <v>0</v>
      </c>
      <c r="T3090" s="1">
        <f>IF(NOT(Paths!$C$287=1),0,IF(Paths!$P$287="Complete",IF(C3090=0,0,VLOOKUP(A3090,'Fleet register'!$A$7:$S$106,9,FALSE)*Paths!$R$287),"n.a."))</f>
        <v>0</v>
      </c>
    </row>
    <row r="3091" spans="1:20" ht="24" customHeight="1">
      <c r="A3091" s="1" t="str">
        <f>Paths!$A$287</f>
        <v>T071</v>
      </c>
      <c r="B3091" s="1">
        <f>Paths!$B$287</f>
        <v>0</v>
      </c>
      <c r="C3091" s="1">
        <v>4</v>
      </c>
      <c r="D3091" s="1">
        <v>287</v>
      </c>
      <c r="E3091" s="1">
        <f>IF(OR(Paths!$C$287=0,C3091=0),0,MAX(0,MIN(C3091*12,Paths!$E$287)-(C3091-1)*12))</f>
        <v>0</v>
      </c>
      <c r="F3091" s="1">
        <f>IF(OR(Paths!$C$287=0,C3091=0),0,12-E3091)</f>
        <v>0</v>
      </c>
      <c r="G3091" s="16">
        <f>IF(NOT(Paths!$C$287=1),0,IF(Paths!$P$287="Complete",E3091/12*(Paths!$J$287*(1+'Operating costs'!$B$51)^MAX(0,C3091-1)+Paths!$K$287*(1+'Operating costs'!$B$53)^MAX(0,C3091-1)),"n.a."))</f>
        <v>0</v>
      </c>
      <c r="H3091" s="16">
        <f>IF(NOT(Paths!$C$287=1),0,IF(Paths!$P$287="Complete",F3091/12*(Paths!$L$287*(1+IF(Paths!$D$287="EV",'Operating costs'!$B$52,'Operating costs'!$B$51))^MAX(0,C3091-1)+Paths!$M$287*(1+'Operating costs'!$B$53)^MAX(0,C3091-1)),"n.a."))</f>
        <v>0</v>
      </c>
      <c r="I3091" s="16">
        <f>IF(NOT(Paths!$C$287=1),0,IF(Paths!$P$287="Complete",IF(IF(Paths!$E$287=0,C3091=0,AND(C3091&gt;0,Paths!$E$287&gt;(C3091-1)*12,Paths!$E$287&lt;=C3091*12)),Paths!$G$287,0),"n.a."))</f>
        <v>0</v>
      </c>
      <c r="J3091" s="16">
        <f>IF(NOT(Paths!$C$287=1),0,IF(Paths!$P$287="Complete",IF(IF(Paths!$E$287=0,C3091=0,AND(C3091&gt;0,Paths!$E$287&gt;(C3091-1)*12,Paths!$E$287&lt;=C3091*12)),Paths!$H$287,0),"n.a."))</f>
        <v>0</v>
      </c>
      <c r="K3091" s="16">
        <f>IF(NOT(Paths!$C$287=1),0,IF(Paths!$P$287="Complete",IF(IF(Paths!$O$287=0,C3091=0,AND(C3091&gt;0,Paths!$O$287&gt;(C3091-1)*12,Paths!$O$287&lt;=C3091*12)),Paths!$N$287,0),"n.a."))</f>
        <v>0</v>
      </c>
      <c r="L3091" s="16">
        <f>IF(NOT(Paths!$C$287=1),0,IF(Paths!$P$287="Complete",IF(C3091=10,Paths!$I$287,0),"n.a."))</f>
        <v>0</v>
      </c>
      <c r="M3091" s="16">
        <f>IF(NOT(Paths!$C$287=1),0,IF(Paths!$P$287="Complete",IF(AND(Paths!$D$287="EV",Paths!$E$287&lt;120,Paths!$E$287+'Operating costs'!$B$65&gt;Paths!$E$287,Paths!$E$287+'Operating costs'!$B$65&lt;=120,IF(Paths!$E$287+'Operating costs'!$B$65=0,C3091=0,AND(C3091&gt;0,Paths!$E$287+'Operating costs'!$B$65&gt;(C3091-1)*12,Paths!$E$287+'Operating costs'!$B$65&lt;=C3091*12))),'Operating costs'!$B$64,0)+IF(AND('Operating costs'!$B$67&gt;0,'Operating costs'!$B$67&lt;=120,OR(Paths!$D$287="ICE",'Operating costs'!$B$67&lt;=Paths!$E$287),IF('Operating costs'!$B$67=0,C3091=0,AND(C3091&gt;0,'Operating costs'!$B$67&gt;(C3091-1)*12,'Operating costs'!$B$67&lt;=C3091*12))),'Operating costs'!$B$66,0),"n.a."))</f>
        <v>0</v>
      </c>
      <c r="N3091" s="16">
        <f>IF(NOT(Paths!$C$287=1),0,IF(Paths!$P$287="Complete",SUM(G3091:I3091)-J3091-K3091-L3091+M3091+IF(C3091=0,Paths!$F$287,0)+IF(IF(Paths!$E$287=0,C3091=0,AND(C3091&gt;0,Paths!$E$287&gt;(C3091-1)*12,Paths!$E$287&lt;=C3091*12)),VLOOKUP(A3091,'Fleet register'!$A$7:$S$106,16,FALSE),0),"n.a."))</f>
        <v>0</v>
      </c>
      <c r="O3091" s="16">
        <f>IF(NOT(Paths!$C$287=1),0,IF(Paths!$P$287="Complete",N3091-IF(C3091=0,Paths!$F$287,0),"n.a."))</f>
        <v>0</v>
      </c>
      <c r="P3091" s="16">
        <f>IF(NOT(Paths!$C$287=1),0,IF(Paths!$P$287="Complete",O3091+L3091,"n.a."))</f>
        <v>0</v>
      </c>
      <c r="Q3091" s="16">
        <f>IF(NOT(Paths!$C$287=1),0,IF(Paths!$P$287="Complete",N3091*(1+'Operating costs'!$B$54)^-C3091,"n.a."))</f>
        <v>0</v>
      </c>
      <c r="R3091" s="16">
        <f>IF(NOT(Paths!$C$287=1),0,IF(Paths!$P$287="Complete",IF(AND(C3091=0,Paths!$E$287=0),I3091-J3091-K3091+VLOOKUP(A3091,'Fleet register'!$A$7:$S$106,15,FALSE)+VLOOKUP(A3091,'Fleet register'!$A$7:$S$106,16,FALSE),0),"n.a."))</f>
        <v>0</v>
      </c>
      <c r="S3091" s="1">
        <f>IF(NOT(Paths!$C$287=1),0,IF(Paths!$P$287="Complete",IF(C3091=0,0,Paths!$S$287*Paths!$R$287),"n.a."))</f>
        <v>0</v>
      </c>
      <c r="T3091" s="1">
        <f>IF(NOT(Paths!$C$287=1),0,IF(Paths!$P$287="Complete",IF(C3091=0,0,VLOOKUP(A3091,'Fleet register'!$A$7:$S$106,9,FALSE)*Paths!$R$287),"n.a."))</f>
        <v>0</v>
      </c>
    </row>
    <row r="3092" spans="1:20" ht="24" customHeight="1">
      <c r="A3092" s="1" t="str">
        <f>Paths!$A$287</f>
        <v>T071</v>
      </c>
      <c r="B3092" s="1">
        <f>Paths!$B$287</f>
        <v>0</v>
      </c>
      <c r="C3092" s="1">
        <v>5</v>
      </c>
      <c r="D3092" s="1">
        <v>287</v>
      </c>
      <c r="E3092" s="1">
        <f>IF(OR(Paths!$C$287=0,C3092=0),0,MAX(0,MIN(C3092*12,Paths!$E$287)-(C3092-1)*12))</f>
        <v>0</v>
      </c>
      <c r="F3092" s="1">
        <f>IF(OR(Paths!$C$287=0,C3092=0),0,12-E3092)</f>
        <v>0</v>
      </c>
      <c r="G3092" s="16">
        <f>IF(NOT(Paths!$C$287=1),0,IF(Paths!$P$287="Complete",E3092/12*(Paths!$J$287*(1+'Operating costs'!$B$51)^MAX(0,C3092-1)+Paths!$K$287*(1+'Operating costs'!$B$53)^MAX(0,C3092-1)),"n.a."))</f>
        <v>0</v>
      </c>
      <c r="H3092" s="16">
        <f>IF(NOT(Paths!$C$287=1),0,IF(Paths!$P$287="Complete",F3092/12*(Paths!$L$287*(1+IF(Paths!$D$287="EV",'Operating costs'!$B$52,'Operating costs'!$B$51))^MAX(0,C3092-1)+Paths!$M$287*(1+'Operating costs'!$B$53)^MAX(0,C3092-1)),"n.a."))</f>
        <v>0</v>
      </c>
      <c r="I3092" s="16">
        <f>IF(NOT(Paths!$C$287=1),0,IF(Paths!$P$287="Complete",IF(IF(Paths!$E$287=0,C3092=0,AND(C3092&gt;0,Paths!$E$287&gt;(C3092-1)*12,Paths!$E$287&lt;=C3092*12)),Paths!$G$287,0),"n.a."))</f>
        <v>0</v>
      </c>
      <c r="J3092" s="16">
        <f>IF(NOT(Paths!$C$287=1),0,IF(Paths!$P$287="Complete",IF(IF(Paths!$E$287=0,C3092=0,AND(C3092&gt;0,Paths!$E$287&gt;(C3092-1)*12,Paths!$E$287&lt;=C3092*12)),Paths!$H$287,0),"n.a."))</f>
        <v>0</v>
      </c>
      <c r="K3092" s="16">
        <f>IF(NOT(Paths!$C$287=1),0,IF(Paths!$P$287="Complete",IF(IF(Paths!$O$287=0,C3092=0,AND(C3092&gt;0,Paths!$O$287&gt;(C3092-1)*12,Paths!$O$287&lt;=C3092*12)),Paths!$N$287,0),"n.a."))</f>
        <v>0</v>
      </c>
      <c r="L3092" s="16">
        <f>IF(NOT(Paths!$C$287=1),0,IF(Paths!$P$287="Complete",IF(C3092=10,Paths!$I$287,0),"n.a."))</f>
        <v>0</v>
      </c>
      <c r="M3092" s="16">
        <f>IF(NOT(Paths!$C$287=1),0,IF(Paths!$P$287="Complete",IF(AND(Paths!$D$287="EV",Paths!$E$287&lt;120,Paths!$E$287+'Operating costs'!$B$65&gt;Paths!$E$287,Paths!$E$287+'Operating costs'!$B$65&lt;=120,IF(Paths!$E$287+'Operating costs'!$B$65=0,C3092=0,AND(C3092&gt;0,Paths!$E$287+'Operating costs'!$B$65&gt;(C3092-1)*12,Paths!$E$287+'Operating costs'!$B$65&lt;=C3092*12))),'Operating costs'!$B$64,0)+IF(AND('Operating costs'!$B$67&gt;0,'Operating costs'!$B$67&lt;=120,OR(Paths!$D$287="ICE",'Operating costs'!$B$67&lt;=Paths!$E$287),IF('Operating costs'!$B$67=0,C3092=0,AND(C3092&gt;0,'Operating costs'!$B$67&gt;(C3092-1)*12,'Operating costs'!$B$67&lt;=C3092*12))),'Operating costs'!$B$66,0),"n.a."))</f>
        <v>0</v>
      </c>
      <c r="N3092" s="16">
        <f>IF(NOT(Paths!$C$287=1),0,IF(Paths!$P$287="Complete",SUM(G3092:I3092)-J3092-K3092-L3092+M3092+IF(C3092=0,Paths!$F$287,0)+IF(IF(Paths!$E$287=0,C3092=0,AND(C3092&gt;0,Paths!$E$287&gt;(C3092-1)*12,Paths!$E$287&lt;=C3092*12)),VLOOKUP(A3092,'Fleet register'!$A$7:$S$106,16,FALSE),0),"n.a."))</f>
        <v>0</v>
      </c>
      <c r="O3092" s="16">
        <f>IF(NOT(Paths!$C$287=1),0,IF(Paths!$P$287="Complete",N3092-IF(C3092=0,Paths!$F$287,0),"n.a."))</f>
        <v>0</v>
      </c>
      <c r="P3092" s="16">
        <f>IF(NOT(Paths!$C$287=1),0,IF(Paths!$P$287="Complete",O3092+L3092,"n.a."))</f>
        <v>0</v>
      </c>
      <c r="Q3092" s="16">
        <f>IF(NOT(Paths!$C$287=1),0,IF(Paths!$P$287="Complete",N3092*(1+'Operating costs'!$B$54)^-C3092,"n.a."))</f>
        <v>0</v>
      </c>
      <c r="R3092" s="16">
        <f>IF(NOT(Paths!$C$287=1),0,IF(Paths!$P$287="Complete",IF(AND(C3092=0,Paths!$E$287=0),I3092-J3092-K3092+VLOOKUP(A3092,'Fleet register'!$A$7:$S$106,15,FALSE)+VLOOKUP(A3092,'Fleet register'!$A$7:$S$106,16,FALSE),0),"n.a."))</f>
        <v>0</v>
      </c>
      <c r="S3092" s="1">
        <f>IF(NOT(Paths!$C$287=1),0,IF(Paths!$P$287="Complete",IF(C3092=0,0,Paths!$S$287*Paths!$R$287),"n.a."))</f>
        <v>0</v>
      </c>
      <c r="T3092" s="1">
        <f>IF(NOT(Paths!$C$287=1),0,IF(Paths!$P$287="Complete",IF(C3092=0,0,VLOOKUP(A3092,'Fleet register'!$A$7:$S$106,9,FALSE)*Paths!$R$287),"n.a."))</f>
        <v>0</v>
      </c>
    </row>
    <row r="3093" spans="1:20" ht="24" customHeight="1">
      <c r="A3093" s="1" t="str">
        <f>Paths!$A$287</f>
        <v>T071</v>
      </c>
      <c r="B3093" s="1">
        <f>Paths!$B$287</f>
        <v>0</v>
      </c>
      <c r="C3093" s="1">
        <v>6</v>
      </c>
      <c r="D3093" s="1">
        <v>287</v>
      </c>
      <c r="E3093" s="1">
        <f>IF(OR(Paths!$C$287=0,C3093=0),0,MAX(0,MIN(C3093*12,Paths!$E$287)-(C3093-1)*12))</f>
        <v>0</v>
      </c>
      <c r="F3093" s="1">
        <f>IF(OR(Paths!$C$287=0,C3093=0),0,12-E3093)</f>
        <v>0</v>
      </c>
      <c r="G3093" s="16">
        <f>IF(NOT(Paths!$C$287=1),0,IF(Paths!$P$287="Complete",E3093/12*(Paths!$J$287*(1+'Operating costs'!$B$51)^MAX(0,C3093-1)+Paths!$K$287*(1+'Operating costs'!$B$53)^MAX(0,C3093-1)),"n.a."))</f>
        <v>0</v>
      </c>
      <c r="H3093" s="16">
        <f>IF(NOT(Paths!$C$287=1),0,IF(Paths!$P$287="Complete",F3093/12*(Paths!$L$287*(1+IF(Paths!$D$287="EV",'Operating costs'!$B$52,'Operating costs'!$B$51))^MAX(0,C3093-1)+Paths!$M$287*(1+'Operating costs'!$B$53)^MAX(0,C3093-1)),"n.a."))</f>
        <v>0</v>
      </c>
      <c r="I3093" s="16">
        <f>IF(NOT(Paths!$C$287=1),0,IF(Paths!$P$287="Complete",IF(IF(Paths!$E$287=0,C3093=0,AND(C3093&gt;0,Paths!$E$287&gt;(C3093-1)*12,Paths!$E$287&lt;=C3093*12)),Paths!$G$287,0),"n.a."))</f>
        <v>0</v>
      </c>
      <c r="J3093" s="16">
        <f>IF(NOT(Paths!$C$287=1),0,IF(Paths!$P$287="Complete",IF(IF(Paths!$E$287=0,C3093=0,AND(C3093&gt;0,Paths!$E$287&gt;(C3093-1)*12,Paths!$E$287&lt;=C3093*12)),Paths!$H$287,0),"n.a."))</f>
        <v>0</v>
      </c>
      <c r="K3093" s="16">
        <f>IF(NOT(Paths!$C$287=1),0,IF(Paths!$P$287="Complete",IF(IF(Paths!$O$287=0,C3093=0,AND(C3093&gt;0,Paths!$O$287&gt;(C3093-1)*12,Paths!$O$287&lt;=C3093*12)),Paths!$N$287,0),"n.a."))</f>
        <v>0</v>
      </c>
      <c r="L3093" s="16">
        <f>IF(NOT(Paths!$C$287=1),0,IF(Paths!$P$287="Complete",IF(C3093=10,Paths!$I$287,0),"n.a."))</f>
        <v>0</v>
      </c>
      <c r="M3093" s="16">
        <f>IF(NOT(Paths!$C$287=1),0,IF(Paths!$P$287="Complete",IF(AND(Paths!$D$287="EV",Paths!$E$287&lt;120,Paths!$E$287+'Operating costs'!$B$65&gt;Paths!$E$287,Paths!$E$287+'Operating costs'!$B$65&lt;=120,IF(Paths!$E$287+'Operating costs'!$B$65=0,C3093=0,AND(C3093&gt;0,Paths!$E$287+'Operating costs'!$B$65&gt;(C3093-1)*12,Paths!$E$287+'Operating costs'!$B$65&lt;=C3093*12))),'Operating costs'!$B$64,0)+IF(AND('Operating costs'!$B$67&gt;0,'Operating costs'!$B$67&lt;=120,OR(Paths!$D$287="ICE",'Operating costs'!$B$67&lt;=Paths!$E$287),IF('Operating costs'!$B$67=0,C3093=0,AND(C3093&gt;0,'Operating costs'!$B$67&gt;(C3093-1)*12,'Operating costs'!$B$67&lt;=C3093*12))),'Operating costs'!$B$66,0),"n.a."))</f>
        <v>0</v>
      </c>
      <c r="N3093" s="16">
        <f>IF(NOT(Paths!$C$287=1),0,IF(Paths!$P$287="Complete",SUM(G3093:I3093)-J3093-K3093-L3093+M3093+IF(C3093=0,Paths!$F$287,0)+IF(IF(Paths!$E$287=0,C3093=0,AND(C3093&gt;0,Paths!$E$287&gt;(C3093-1)*12,Paths!$E$287&lt;=C3093*12)),VLOOKUP(A3093,'Fleet register'!$A$7:$S$106,16,FALSE),0),"n.a."))</f>
        <v>0</v>
      </c>
      <c r="O3093" s="16">
        <f>IF(NOT(Paths!$C$287=1),0,IF(Paths!$P$287="Complete",N3093-IF(C3093=0,Paths!$F$287,0),"n.a."))</f>
        <v>0</v>
      </c>
      <c r="P3093" s="16">
        <f>IF(NOT(Paths!$C$287=1),0,IF(Paths!$P$287="Complete",O3093+L3093,"n.a."))</f>
        <v>0</v>
      </c>
      <c r="Q3093" s="16">
        <f>IF(NOT(Paths!$C$287=1),0,IF(Paths!$P$287="Complete",N3093*(1+'Operating costs'!$B$54)^-C3093,"n.a."))</f>
        <v>0</v>
      </c>
      <c r="R3093" s="16">
        <f>IF(NOT(Paths!$C$287=1),0,IF(Paths!$P$287="Complete",IF(AND(C3093=0,Paths!$E$287=0),I3093-J3093-K3093+VLOOKUP(A3093,'Fleet register'!$A$7:$S$106,15,FALSE)+VLOOKUP(A3093,'Fleet register'!$A$7:$S$106,16,FALSE),0),"n.a."))</f>
        <v>0</v>
      </c>
      <c r="S3093" s="1">
        <f>IF(NOT(Paths!$C$287=1),0,IF(Paths!$P$287="Complete",IF(C3093=0,0,Paths!$S$287*Paths!$R$287),"n.a."))</f>
        <v>0</v>
      </c>
      <c r="T3093" s="1">
        <f>IF(NOT(Paths!$C$287=1),0,IF(Paths!$P$287="Complete",IF(C3093=0,0,VLOOKUP(A3093,'Fleet register'!$A$7:$S$106,9,FALSE)*Paths!$R$287),"n.a."))</f>
        <v>0</v>
      </c>
    </row>
    <row r="3094" spans="1:20" ht="24" customHeight="1">
      <c r="A3094" s="1" t="str">
        <f>Paths!$A$287</f>
        <v>T071</v>
      </c>
      <c r="B3094" s="1">
        <f>Paths!$B$287</f>
        <v>0</v>
      </c>
      <c r="C3094" s="1">
        <v>7</v>
      </c>
      <c r="D3094" s="1">
        <v>287</v>
      </c>
      <c r="E3094" s="1">
        <f>IF(OR(Paths!$C$287=0,C3094=0),0,MAX(0,MIN(C3094*12,Paths!$E$287)-(C3094-1)*12))</f>
        <v>0</v>
      </c>
      <c r="F3094" s="1">
        <f>IF(OR(Paths!$C$287=0,C3094=0),0,12-E3094)</f>
        <v>0</v>
      </c>
      <c r="G3094" s="16">
        <f>IF(NOT(Paths!$C$287=1),0,IF(Paths!$P$287="Complete",E3094/12*(Paths!$J$287*(1+'Operating costs'!$B$51)^MAX(0,C3094-1)+Paths!$K$287*(1+'Operating costs'!$B$53)^MAX(0,C3094-1)),"n.a."))</f>
        <v>0</v>
      </c>
      <c r="H3094" s="16">
        <f>IF(NOT(Paths!$C$287=1),0,IF(Paths!$P$287="Complete",F3094/12*(Paths!$L$287*(1+IF(Paths!$D$287="EV",'Operating costs'!$B$52,'Operating costs'!$B$51))^MAX(0,C3094-1)+Paths!$M$287*(1+'Operating costs'!$B$53)^MAX(0,C3094-1)),"n.a."))</f>
        <v>0</v>
      </c>
      <c r="I3094" s="16">
        <f>IF(NOT(Paths!$C$287=1),0,IF(Paths!$P$287="Complete",IF(IF(Paths!$E$287=0,C3094=0,AND(C3094&gt;0,Paths!$E$287&gt;(C3094-1)*12,Paths!$E$287&lt;=C3094*12)),Paths!$G$287,0),"n.a."))</f>
        <v>0</v>
      </c>
      <c r="J3094" s="16">
        <f>IF(NOT(Paths!$C$287=1),0,IF(Paths!$P$287="Complete",IF(IF(Paths!$E$287=0,C3094=0,AND(C3094&gt;0,Paths!$E$287&gt;(C3094-1)*12,Paths!$E$287&lt;=C3094*12)),Paths!$H$287,0),"n.a."))</f>
        <v>0</v>
      </c>
      <c r="K3094" s="16">
        <f>IF(NOT(Paths!$C$287=1),0,IF(Paths!$P$287="Complete",IF(IF(Paths!$O$287=0,C3094=0,AND(C3094&gt;0,Paths!$O$287&gt;(C3094-1)*12,Paths!$O$287&lt;=C3094*12)),Paths!$N$287,0),"n.a."))</f>
        <v>0</v>
      </c>
      <c r="L3094" s="16">
        <f>IF(NOT(Paths!$C$287=1),0,IF(Paths!$P$287="Complete",IF(C3094=10,Paths!$I$287,0),"n.a."))</f>
        <v>0</v>
      </c>
      <c r="M3094" s="16">
        <f>IF(NOT(Paths!$C$287=1),0,IF(Paths!$P$287="Complete",IF(AND(Paths!$D$287="EV",Paths!$E$287&lt;120,Paths!$E$287+'Operating costs'!$B$65&gt;Paths!$E$287,Paths!$E$287+'Operating costs'!$B$65&lt;=120,IF(Paths!$E$287+'Operating costs'!$B$65=0,C3094=0,AND(C3094&gt;0,Paths!$E$287+'Operating costs'!$B$65&gt;(C3094-1)*12,Paths!$E$287+'Operating costs'!$B$65&lt;=C3094*12))),'Operating costs'!$B$64,0)+IF(AND('Operating costs'!$B$67&gt;0,'Operating costs'!$B$67&lt;=120,OR(Paths!$D$287="ICE",'Operating costs'!$B$67&lt;=Paths!$E$287),IF('Operating costs'!$B$67=0,C3094=0,AND(C3094&gt;0,'Operating costs'!$B$67&gt;(C3094-1)*12,'Operating costs'!$B$67&lt;=C3094*12))),'Operating costs'!$B$66,0),"n.a."))</f>
        <v>0</v>
      </c>
      <c r="N3094" s="16">
        <f>IF(NOT(Paths!$C$287=1),0,IF(Paths!$P$287="Complete",SUM(G3094:I3094)-J3094-K3094-L3094+M3094+IF(C3094=0,Paths!$F$287,0)+IF(IF(Paths!$E$287=0,C3094=0,AND(C3094&gt;0,Paths!$E$287&gt;(C3094-1)*12,Paths!$E$287&lt;=C3094*12)),VLOOKUP(A3094,'Fleet register'!$A$7:$S$106,16,FALSE),0),"n.a."))</f>
        <v>0</v>
      </c>
      <c r="O3094" s="16">
        <f>IF(NOT(Paths!$C$287=1),0,IF(Paths!$P$287="Complete",N3094-IF(C3094=0,Paths!$F$287,0),"n.a."))</f>
        <v>0</v>
      </c>
      <c r="P3094" s="16">
        <f>IF(NOT(Paths!$C$287=1),0,IF(Paths!$P$287="Complete",O3094+L3094,"n.a."))</f>
        <v>0</v>
      </c>
      <c r="Q3094" s="16">
        <f>IF(NOT(Paths!$C$287=1),0,IF(Paths!$P$287="Complete",N3094*(1+'Operating costs'!$B$54)^-C3094,"n.a."))</f>
        <v>0</v>
      </c>
      <c r="R3094" s="16">
        <f>IF(NOT(Paths!$C$287=1),0,IF(Paths!$P$287="Complete",IF(AND(C3094=0,Paths!$E$287=0),I3094-J3094-K3094+VLOOKUP(A3094,'Fleet register'!$A$7:$S$106,15,FALSE)+VLOOKUP(A3094,'Fleet register'!$A$7:$S$106,16,FALSE),0),"n.a."))</f>
        <v>0</v>
      </c>
      <c r="S3094" s="1">
        <f>IF(NOT(Paths!$C$287=1),0,IF(Paths!$P$287="Complete",IF(C3094=0,0,Paths!$S$287*Paths!$R$287),"n.a."))</f>
        <v>0</v>
      </c>
      <c r="T3094" s="1">
        <f>IF(NOT(Paths!$C$287=1),0,IF(Paths!$P$287="Complete",IF(C3094=0,0,VLOOKUP(A3094,'Fleet register'!$A$7:$S$106,9,FALSE)*Paths!$R$287),"n.a."))</f>
        <v>0</v>
      </c>
    </row>
    <row r="3095" spans="1:20" ht="24" customHeight="1">
      <c r="A3095" s="1" t="str">
        <f>Paths!$A$287</f>
        <v>T071</v>
      </c>
      <c r="B3095" s="1">
        <f>Paths!$B$287</f>
        <v>0</v>
      </c>
      <c r="C3095" s="1">
        <v>8</v>
      </c>
      <c r="D3095" s="1">
        <v>287</v>
      </c>
      <c r="E3095" s="1">
        <f>IF(OR(Paths!$C$287=0,C3095=0),0,MAX(0,MIN(C3095*12,Paths!$E$287)-(C3095-1)*12))</f>
        <v>0</v>
      </c>
      <c r="F3095" s="1">
        <f>IF(OR(Paths!$C$287=0,C3095=0),0,12-E3095)</f>
        <v>0</v>
      </c>
      <c r="G3095" s="16">
        <f>IF(NOT(Paths!$C$287=1),0,IF(Paths!$P$287="Complete",E3095/12*(Paths!$J$287*(1+'Operating costs'!$B$51)^MAX(0,C3095-1)+Paths!$K$287*(1+'Operating costs'!$B$53)^MAX(0,C3095-1)),"n.a."))</f>
        <v>0</v>
      </c>
      <c r="H3095" s="16">
        <f>IF(NOT(Paths!$C$287=1),0,IF(Paths!$P$287="Complete",F3095/12*(Paths!$L$287*(1+IF(Paths!$D$287="EV",'Operating costs'!$B$52,'Operating costs'!$B$51))^MAX(0,C3095-1)+Paths!$M$287*(1+'Operating costs'!$B$53)^MAX(0,C3095-1)),"n.a."))</f>
        <v>0</v>
      </c>
      <c r="I3095" s="16">
        <f>IF(NOT(Paths!$C$287=1),0,IF(Paths!$P$287="Complete",IF(IF(Paths!$E$287=0,C3095=0,AND(C3095&gt;0,Paths!$E$287&gt;(C3095-1)*12,Paths!$E$287&lt;=C3095*12)),Paths!$G$287,0),"n.a."))</f>
        <v>0</v>
      </c>
      <c r="J3095" s="16">
        <f>IF(NOT(Paths!$C$287=1),0,IF(Paths!$P$287="Complete",IF(IF(Paths!$E$287=0,C3095=0,AND(C3095&gt;0,Paths!$E$287&gt;(C3095-1)*12,Paths!$E$287&lt;=C3095*12)),Paths!$H$287,0),"n.a."))</f>
        <v>0</v>
      </c>
      <c r="K3095" s="16">
        <f>IF(NOT(Paths!$C$287=1),0,IF(Paths!$P$287="Complete",IF(IF(Paths!$O$287=0,C3095=0,AND(C3095&gt;0,Paths!$O$287&gt;(C3095-1)*12,Paths!$O$287&lt;=C3095*12)),Paths!$N$287,0),"n.a."))</f>
        <v>0</v>
      </c>
      <c r="L3095" s="16">
        <f>IF(NOT(Paths!$C$287=1),0,IF(Paths!$P$287="Complete",IF(C3095=10,Paths!$I$287,0),"n.a."))</f>
        <v>0</v>
      </c>
      <c r="M3095" s="16">
        <f>IF(NOT(Paths!$C$287=1),0,IF(Paths!$P$287="Complete",IF(AND(Paths!$D$287="EV",Paths!$E$287&lt;120,Paths!$E$287+'Operating costs'!$B$65&gt;Paths!$E$287,Paths!$E$287+'Operating costs'!$B$65&lt;=120,IF(Paths!$E$287+'Operating costs'!$B$65=0,C3095=0,AND(C3095&gt;0,Paths!$E$287+'Operating costs'!$B$65&gt;(C3095-1)*12,Paths!$E$287+'Operating costs'!$B$65&lt;=C3095*12))),'Operating costs'!$B$64,0)+IF(AND('Operating costs'!$B$67&gt;0,'Operating costs'!$B$67&lt;=120,OR(Paths!$D$287="ICE",'Operating costs'!$B$67&lt;=Paths!$E$287),IF('Operating costs'!$B$67=0,C3095=0,AND(C3095&gt;0,'Operating costs'!$B$67&gt;(C3095-1)*12,'Operating costs'!$B$67&lt;=C3095*12))),'Operating costs'!$B$66,0),"n.a."))</f>
        <v>0</v>
      </c>
      <c r="N3095" s="16">
        <f>IF(NOT(Paths!$C$287=1),0,IF(Paths!$P$287="Complete",SUM(G3095:I3095)-J3095-K3095-L3095+M3095+IF(C3095=0,Paths!$F$287,0)+IF(IF(Paths!$E$287=0,C3095=0,AND(C3095&gt;0,Paths!$E$287&gt;(C3095-1)*12,Paths!$E$287&lt;=C3095*12)),VLOOKUP(A3095,'Fleet register'!$A$7:$S$106,16,FALSE),0),"n.a."))</f>
        <v>0</v>
      </c>
      <c r="O3095" s="16">
        <f>IF(NOT(Paths!$C$287=1),0,IF(Paths!$P$287="Complete",N3095-IF(C3095=0,Paths!$F$287,0),"n.a."))</f>
        <v>0</v>
      </c>
      <c r="P3095" s="16">
        <f>IF(NOT(Paths!$C$287=1),0,IF(Paths!$P$287="Complete",O3095+L3095,"n.a."))</f>
        <v>0</v>
      </c>
      <c r="Q3095" s="16">
        <f>IF(NOT(Paths!$C$287=1),0,IF(Paths!$P$287="Complete",N3095*(1+'Operating costs'!$B$54)^-C3095,"n.a."))</f>
        <v>0</v>
      </c>
      <c r="R3095" s="16">
        <f>IF(NOT(Paths!$C$287=1),0,IF(Paths!$P$287="Complete",IF(AND(C3095=0,Paths!$E$287=0),I3095-J3095-K3095+VLOOKUP(A3095,'Fleet register'!$A$7:$S$106,15,FALSE)+VLOOKUP(A3095,'Fleet register'!$A$7:$S$106,16,FALSE),0),"n.a."))</f>
        <v>0</v>
      </c>
      <c r="S3095" s="1">
        <f>IF(NOT(Paths!$C$287=1),0,IF(Paths!$P$287="Complete",IF(C3095=0,0,Paths!$S$287*Paths!$R$287),"n.a."))</f>
        <v>0</v>
      </c>
      <c r="T3095" s="1">
        <f>IF(NOT(Paths!$C$287=1),0,IF(Paths!$P$287="Complete",IF(C3095=0,0,VLOOKUP(A3095,'Fleet register'!$A$7:$S$106,9,FALSE)*Paths!$R$287),"n.a."))</f>
        <v>0</v>
      </c>
    </row>
    <row r="3096" spans="1:20" ht="24" customHeight="1">
      <c r="A3096" s="1" t="str">
        <f>Paths!$A$287</f>
        <v>T071</v>
      </c>
      <c r="B3096" s="1">
        <f>Paths!$B$287</f>
        <v>0</v>
      </c>
      <c r="C3096" s="1">
        <v>9</v>
      </c>
      <c r="D3096" s="1">
        <v>287</v>
      </c>
      <c r="E3096" s="1">
        <f>IF(OR(Paths!$C$287=0,C3096=0),0,MAX(0,MIN(C3096*12,Paths!$E$287)-(C3096-1)*12))</f>
        <v>0</v>
      </c>
      <c r="F3096" s="1">
        <f>IF(OR(Paths!$C$287=0,C3096=0),0,12-E3096)</f>
        <v>0</v>
      </c>
      <c r="G3096" s="16">
        <f>IF(NOT(Paths!$C$287=1),0,IF(Paths!$P$287="Complete",E3096/12*(Paths!$J$287*(1+'Operating costs'!$B$51)^MAX(0,C3096-1)+Paths!$K$287*(1+'Operating costs'!$B$53)^MAX(0,C3096-1)),"n.a."))</f>
        <v>0</v>
      </c>
      <c r="H3096" s="16">
        <f>IF(NOT(Paths!$C$287=1),0,IF(Paths!$P$287="Complete",F3096/12*(Paths!$L$287*(1+IF(Paths!$D$287="EV",'Operating costs'!$B$52,'Operating costs'!$B$51))^MAX(0,C3096-1)+Paths!$M$287*(1+'Operating costs'!$B$53)^MAX(0,C3096-1)),"n.a."))</f>
        <v>0</v>
      </c>
      <c r="I3096" s="16">
        <f>IF(NOT(Paths!$C$287=1),0,IF(Paths!$P$287="Complete",IF(IF(Paths!$E$287=0,C3096=0,AND(C3096&gt;0,Paths!$E$287&gt;(C3096-1)*12,Paths!$E$287&lt;=C3096*12)),Paths!$G$287,0),"n.a."))</f>
        <v>0</v>
      </c>
      <c r="J3096" s="16">
        <f>IF(NOT(Paths!$C$287=1),0,IF(Paths!$P$287="Complete",IF(IF(Paths!$E$287=0,C3096=0,AND(C3096&gt;0,Paths!$E$287&gt;(C3096-1)*12,Paths!$E$287&lt;=C3096*12)),Paths!$H$287,0),"n.a."))</f>
        <v>0</v>
      </c>
      <c r="K3096" s="16">
        <f>IF(NOT(Paths!$C$287=1),0,IF(Paths!$P$287="Complete",IF(IF(Paths!$O$287=0,C3096=0,AND(C3096&gt;0,Paths!$O$287&gt;(C3096-1)*12,Paths!$O$287&lt;=C3096*12)),Paths!$N$287,0),"n.a."))</f>
        <v>0</v>
      </c>
      <c r="L3096" s="16">
        <f>IF(NOT(Paths!$C$287=1),0,IF(Paths!$P$287="Complete",IF(C3096=10,Paths!$I$287,0),"n.a."))</f>
        <v>0</v>
      </c>
      <c r="M3096" s="16">
        <f>IF(NOT(Paths!$C$287=1),0,IF(Paths!$P$287="Complete",IF(AND(Paths!$D$287="EV",Paths!$E$287&lt;120,Paths!$E$287+'Operating costs'!$B$65&gt;Paths!$E$287,Paths!$E$287+'Operating costs'!$B$65&lt;=120,IF(Paths!$E$287+'Operating costs'!$B$65=0,C3096=0,AND(C3096&gt;0,Paths!$E$287+'Operating costs'!$B$65&gt;(C3096-1)*12,Paths!$E$287+'Operating costs'!$B$65&lt;=C3096*12))),'Operating costs'!$B$64,0)+IF(AND('Operating costs'!$B$67&gt;0,'Operating costs'!$B$67&lt;=120,OR(Paths!$D$287="ICE",'Operating costs'!$B$67&lt;=Paths!$E$287),IF('Operating costs'!$B$67=0,C3096=0,AND(C3096&gt;0,'Operating costs'!$B$67&gt;(C3096-1)*12,'Operating costs'!$B$67&lt;=C3096*12))),'Operating costs'!$B$66,0),"n.a."))</f>
        <v>0</v>
      </c>
      <c r="N3096" s="16">
        <f>IF(NOT(Paths!$C$287=1),0,IF(Paths!$P$287="Complete",SUM(G3096:I3096)-J3096-K3096-L3096+M3096+IF(C3096=0,Paths!$F$287,0)+IF(IF(Paths!$E$287=0,C3096=0,AND(C3096&gt;0,Paths!$E$287&gt;(C3096-1)*12,Paths!$E$287&lt;=C3096*12)),VLOOKUP(A3096,'Fleet register'!$A$7:$S$106,16,FALSE),0),"n.a."))</f>
        <v>0</v>
      </c>
      <c r="O3096" s="16">
        <f>IF(NOT(Paths!$C$287=1),0,IF(Paths!$P$287="Complete",N3096-IF(C3096=0,Paths!$F$287,0),"n.a."))</f>
        <v>0</v>
      </c>
      <c r="P3096" s="16">
        <f>IF(NOT(Paths!$C$287=1),0,IF(Paths!$P$287="Complete",O3096+L3096,"n.a."))</f>
        <v>0</v>
      </c>
      <c r="Q3096" s="16">
        <f>IF(NOT(Paths!$C$287=1),0,IF(Paths!$P$287="Complete",N3096*(1+'Operating costs'!$B$54)^-C3096,"n.a."))</f>
        <v>0</v>
      </c>
      <c r="R3096" s="16">
        <f>IF(NOT(Paths!$C$287=1),0,IF(Paths!$P$287="Complete",IF(AND(C3096=0,Paths!$E$287=0),I3096-J3096-K3096+VLOOKUP(A3096,'Fleet register'!$A$7:$S$106,15,FALSE)+VLOOKUP(A3096,'Fleet register'!$A$7:$S$106,16,FALSE),0),"n.a."))</f>
        <v>0</v>
      </c>
      <c r="S3096" s="1">
        <f>IF(NOT(Paths!$C$287=1),0,IF(Paths!$P$287="Complete",IF(C3096=0,0,Paths!$S$287*Paths!$R$287),"n.a."))</f>
        <v>0</v>
      </c>
      <c r="T3096" s="1">
        <f>IF(NOT(Paths!$C$287=1),0,IF(Paths!$P$287="Complete",IF(C3096=0,0,VLOOKUP(A3096,'Fleet register'!$A$7:$S$106,9,FALSE)*Paths!$R$287),"n.a."))</f>
        <v>0</v>
      </c>
    </row>
    <row r="3097" spans="1:20" ht="24" customHeight="1">
      <c r="A3097" s="1" t="str">
        <f>Paths!$A$287</f>
        <v>T071</v>
      </c>
      <c r="B3097" s="1">
        <f>Paths!$B$287</f>
        <v>0</v>
      </c>
      <c r="C3097" s="1">
        <v>10</v>
      </c>
      <c r="D3097" s="1">
        <v>287</v>
      </c>
      <c r="E3097" s="1">
        <f>IF(OR(Paths!$C$287=0,C3097=0),0,MAX(0,MIN(C3097*12,Paths!$E$287)-(C3097-1)*12))</f>
        <v>0</v>
      </c>
      <c r="F3097" s="1">
        <f>IF(OR(Paths!$C$287=0,C3097=0),0,12-E3097)</f>
        <v>0</v>
      </c>
      <c r="G3097" s="16">
        <f>IF(NOT(Paths!$C$287=1),0,IF(Paths!$P$287="Complete",E3097/12*(Paths!$J$287*(1+'Operating costs'!$B$51)^MAX(0,C3097-1)+Paths!$K$287*(1+'Operating costs'!$B$53)^MAX(0,C3097-1)),"n.a."))</f>
        <v>0</v>
      </c>
      <c r="H3097" s="16">
        <f>IF(NOT(Paths!$C$287=1),0,IF(Paths!$P$287="Complete",F3097/12*(Paths!$L$287*(1+IF(Paths!$D$287="EV",'Operating costs'!$B$52,'Operating costs'!$B$51))^MAX(0,C3097-1)+Paths!$M$287*(1+'Operating costs'!$B$53)^MAX(0,C3097-1)),"n.a."))</f>
        <v>0</v>
      </c>
      <c r="I3097" s="16">
        <f>IF(NOT(Paths!$C$287=1),0,IF(Paths!$P$287="Complete",IF(IF(Paths!$E$287=0,C3097=0,AND(C3097&gt;0,Paths!$E$287&gt;(C3097-1)*12,Paths!$E$287&lt;=C3097*12)),Paths!$G$287,0),"n.a."))</f>
        <v>0</v>
      </c>
      <c r="J3097" s="16">
        <f>IF(NOT(Paths!$C$287=1),0,IF(Paths!$P$287="Complete",IF(IF(Paths!$E$287=0,C3097=0,AND(C3097&gt;0,Paths!$E$287&gt;(C3097-1)*12,Paths!$E$287&lt;=C3097*12)),Paths!$H$287,0),"n.a."))</f>
        <v>0</v>
      </c>
      <c r="K3097" s="16">
        <f>IF(NOT(Paths!$C$287=1),0,IF(Paths!$P$287="Complete",IF(IF(Paths!$O$287=0,C3097=0,AND(C3097&gt;0,Paths!$O$287&gt;(C3097-1)*12,Paths!$O$287&lt;=C3097*12)),Paths!$N$287,0),"n.a."))</f>
        <v>0</v>
      </c>
      <c r="L3097" s="16">
        <f>IF(NOT(Paths!$C$287=1),0,IF(Paths!$P$287="Complete",IF(C3097=10,Paths!$I$287,0),"n.a."))</f>
        <v>0</v>
      </c>
      <c r="M3097" s="16">
        <f>IF(NOT(Paths!$C$287=1),0,IF(Paths!$P$287="Complete",IF(AND(Paths!$D$287="EV",Paths!$E$287&lt;120,Paths!$E$287+'Operating costs'!$B$65&gt;Paths!$E$287,Paths!$E$287+'Operating costs'!$B$65&lt;=120,IF(Paths!$E$287+'Operating costs'!$B$65=0,C3097=0,AND(C3097&gt;0,Paths!$E$287+'Operating costs'!$B$65&gt;(C3097-1)*12,Paths!$E$287+'Operating costs'!$B$65&lt;=C3097*12))),'Operating costs'!$B$64,0)+IF(AND('Operating costs'!$B$67&gt;0,'Operating costs'!$B$67&lt;=120,OR(Paths!$D$287="ICE",'Operating costs'!$B$67&lt;=Paths!$E$287),IF('Operating costs'!$B$67=0,C3097=0,AND(C3097&gt;0,'Operating costs'!$B$67&gt;(C3097-1)*12,'Operating costs'!$B$67&lt;=C3097*12))),'Operating costs'!$B$66,0),"n.a."))</f>
        <v>0</v>
      </c>
      <c r="N3097" s="16">
        <f>IF(NOT(Paths!$C$287=1),0,IF(Paths!$P$287="Complete",SUM(G3097:I3097)-J3097-K3097-L3097+M3097+IF(C3097=0,Paths!$F$287,0)+IF(IF(Paths!$E$287=0,C3097=0,AND(C3097&gt;0,Paths!$E$287&gt;(C3097-1)*12,Paths!$E$287&lt;=C3097*12)),VLOOKUP(A3097,'Fleet register'!$A$7:$S$106,16,FALSE),0),"n.a."))</f>
        <v>0</v>
      </c>
      <c r="O3097" s="16">
        <f>IF(NOT(Paths!$C$287=1),0,IF(Paths!$P$287="Complete",N3097-IF(C3097=0,Paths!$F$287,0),"n.a."))</f>
        <v>0</v>
      </c>
      <c r="P3097" s="16">
        <f>IF(NOT(Paths!$C$287=1),0,IF(Paths!$P$287="Complete",O3097+L3097,"n.a."))</f>
        <v>0</v>
      </c>
      <c r="Q3097" s="16">
        <f>IF(NOT(Paths!$C$287=1),0,IF(Paths!$P$287="Complete",N3097*(1+'Operating costs'!$B$54)^-C3097,"n.a."))</f>
        <v>0</v>
      </c>
      <c r="R3097" s="16">
        <f>IF(NOT(Paths!$C$287=1),0,IF(Paths!$P$287="Complete",IF(AND(C3097=0,Paths!$E$287=0),I3097-J3097-K3097+VLOOKUP(A3097,'Fleet register'!$A$7:$S$106,15,FALSE)+VLOOKUP(A3097,'Fleet register'!$A$7:$S$106,16,FALSE),0),"n.a."))</f>
        <v>0</v>
      </c>
      <c r="S3097" s="1">
        <f>IF(NOT(Paths!$C$287=1),0,IF(Paths!$P$287="Complete",IF(C3097=0,0,Paths!$S$287*Paths!$R$287),"n.a."))</f>
        <v>0</v>
      </c>
      <c r="T3097" s="1">
        <f>IF(NOT(Paths!$C$287=1),0,IF(Paths!$P$287="Complete",IF(C3097=0,0,VLOOKUP(A3097,'Fleet register'!$A$7:$S$106,9,FALSE)*Paths!$R$287),"n.a."))</f>
        <v>0</v>
      </c>
    </row>
    <row r="3098" spans="1:20" ht="24" customHeight="1">
      <c r="A3098" s="1" t="str">
        <f>Paths!$A$288</f>
        <v>T071</v>
      </c>
      <c r="B3098" s="1">
        <f>Paths!$B$288</f>
        <v>1</v>
      </c>
      <c r="C3098" s="1">
        <v>0</v>
      </c>
      <c r="D3098" s="1">
        <v>288</v>
      </c>
      <c r="E3098" s="1">
        <f>IF(OR(Paths!$C$288=0,C3098=0),0,MAX(0,MIN(C3098*12,Paths!$E$288)-(C3098-1)*12))</f>
        <v>0</v>
      </c>
      <c r="F3098" s="1">
        <f>IF(OR(Paths!$C$288=0,C3098=0),0,12-E3098)</f>
        <v>0</v>
      </c>
      <c r="G3098" s="16">
        <f>IF(NOT(Paths!$C$288=1),0,IF(Paths!$P$288="Complete",E3098/12*(Paths!$J$288*(1+'Operating costs'!$B$51)^MAX(0,C3098-1)+Paths!$K$288*(1+'Operating costs'!$B$53)^MAX(0,C3098-1)),"n.a."))</f>
        <v>0</v>
      </c>
      <c r="H3098" s="16">
        <f>IF(NOT(Paths!$C$288=1),0,IF(Paths!$P$288="Complete",F3098/12*(Paths!$L$288*(1+IF(Paths!$D$288="EV",'Operating costs'!$B$52,'Operating costs'!$B$51))^MAX(0,C3098-1)+Paths!$M$288*(1+'Operating costs'!$B$53)^MAX(0,C3098-1)),"n.a."))</f>
        <v>0</v>
      </c>
      <c r="I3098" s="16">
        <f>IF(NOT(Paths!$C$288=1),0,IF(Paths!$P$288="Complete",IF(IF(Paths!$E$288=0,C3098=0,AND(C3098&gt;0,Paths!$E$288&gt;(C3098-1)*12,Paths!$E$288&lt;=C3098*12)),Paths!$G$288,0),"n.a."))</f>
        <v>0</v>
      </c>
      <c r="J3098" s="16">
        <f>IF(NOT(Paths!$C$288=1),0,IF(Paths!$P$288="Complete",IF(IF(Paths!$E$288=0,C3098=0,AND(C3098&gt;0,Paths!$E$288&gt;(C3098-1)*12,Paths!$E$288&lt;=C3098*12)),Paths!$H$288,0),"n.a."))</f>
        <v>0</v>
      </c>
      <c r="K3098" s="16">
        <f>IF(NOT(Paths!$C$288=1),0,IF(Paths!$P$288="Complete",IF(IF(Paths!$O$288=0,C3098=0,AND(C3098&gt;0,Paths!$O$288&gt;(C3098-1)*12,Paths!$O$288&lt;=C3098*12)),Paths!$N$288,0),"n.a."))</f>
        <v>0</v>
      </c>
      <c r="L3098" s="16">
        <f>IF(NOT(Paths!$C$288=1),0,IF(Paths!$P$288="Complete",IF(C3098=10,Paths!$I$288,0),"n.a."))</f>
        <v>0</v>
      </c>
      <c r="M3098" s="16">
        <f>IF(NOT(Paths!$C$288=1),0,IF(Paths!$P$288="Complete",IF(AND(Paths!$D$288="EV",Paths!$E$288&lt;120,Paths!$E$288+'Operating costs'!$B$65&gt;Paths!$E$288,Paths!$E$288+'Operating costs'!$B$65&lt;=120,IF(Paths!$E$288+'Operating costs'!$B$65=0,C3098=0,AND(C3098&gt;0,Paths!$E$288+'Operating costs'!$B$65&gt;(C3098-1)*12,Paths!$E$288+'Operating costs'!$B$65&lt;=C3098*12))),'Operating costs'!$B$64,0)+IF(AND('Operating costs'!$B$67&gt;0,'Operating costs'!$B$67&lt;=120,OR(Paths!$D$288="ICE",'Operating costs'!$B$67&lt;=Paths!$E$288),IF('Operating costs'!$B$67=0,C3098=0,AND(C3098&gt;0,'Operating costs'!$B$67&gt;(C3098-1)*12,'Operating costs'!$B$67&lt;=C3098*12))),'Operating costs'!$B$66,0),"n.a."))</f>
        <v>0</v>
      </c>
      <c r="N3098" s="16">
        <f>IF(NOT(Paths!$C$288=1),0,IF(Paths!$P$288="Complete",SUM(G3098:I3098)-J3098-K3098-L3098+M3098+IF(C3098=0,Paths!$F$288,0)+IF(IF(Paths!$E$288=0,C3098=0,AND(C3098&gt;0,Paths!$E$288&gt;(C3098-1)*12,Paths!$E$288&lt;=C3098*12)),VLOOKUP(A3098,'Fleet register'!$A$7:$S$106,16,FALSE),0),"n.a."))</f>
        <v>0</v>
      </c>
      <c r="O3098" s="16">
        <f>IF(NOT(Paths!$C$288=1),0,IF(Paths!$P$288="Complete",N3098-IF(C3098=0,Paths!$F$288,0),"n.a."))</f>
        <v>0</v>
      </c>
      <c r="P3098" s="16">
        <f>IF(NOT(Paths!$C$288=1),0,IF(Paths!$P$288="Complete",O3098+L3098,"n.a."))</f>
        <v>0</v>
      </c>
      <c r="Q3098" s="16">
        <f>IF(NOT(Paths!$C$288=1),0,IF(Paths!$P$288="Complete",N3098*(1+'Operating costs'!$B$54)^-C3098,"n.a."))</f>
        <v>0</v>
      </c>
      <c r="R3098" s="16">
        <f>IF(NOT(Paths!$C$288=1),0,IF(Paths!$P$288="Complete",IF(AND(C3098=0,Paths!$E$288=0),I3098-J3098-K3098+VLOOKUP(A3098,'Fleet register'!$A$7:$S$106,15,FALSE)+VLOOKUP(A3098,'Fleet register'!$A$7:$S$106,16,FALSE),0),"n.a."))</f>
        <v>0</v>
      </c>
      <c r="S3098" s="1">
        <f>IF(NOT(Paths!$C$288=1),0,IF(Paths!$P$288="Complete",IF(C3098=0,0,Paths!$S$288*Paths!$R$288),"n.a."))</f>
        <v>0</v>
      </c>
      <c r="T3098" s="1">
        <f>IF(NOT(Paths!$C$288=1),0,IF(Paths!$P$288="Complete",IF(C3098=0,0,VLOOKUP(A3098,'Fleet register'!$A$7:$S$106,9,FALSE)*Paths!$R$288),"n.a."))</f>
        <v>0</v>
      </c>
    </row>
    <row r="3099" spans="1:20" ht="24" customHeight="1">
      <c r="A3099" s="1" t="str">
        <f>Paths!$A$288</f>
        <v>T071</v>
      </c>
      <c r="B3099" s="1">
        <f>Paths!$B$288</f>
        <v>1</v>
      </c>
      <c r="C3099" s="1">
        <v>1</v>
      </c>
      <c r="D3099" s="1">
        <v>288</v>
      </c>
      <c r="E3099" s="1">
        <f>IF(OR(Paths!$C$288=0,C3099=0),0,MAX(0,MIN(C3099*12,Paths!$E$288)-(C3099-1)*12))</f>
        <v>0</v>
      </c>
      <c r="F3099" s="1">
        <f>IF(OR(Paths!$C$288=0,C3099=0),0,12-E3099)</f>
        <v>0</v>
      </c>
      <c r="G3099" s="16">
        <f>IF(NOT(Paths!$C$288=1),0,IF(Paths!$P$288="Complete",E3099/12*(Paths!$J$288*(1+'Operating costs'!$B$51)^MAX(0,C3099-1)+Paths!$K$288*(1+'Operating costs'!$B$53)^MAX(0,C3099-1)),"n.a."))</f>
        <v>0</v>
      </c>
      <c r="H3099" s="16">
        <f>IF(NOT(Paths!$C$288=1),0,IF(Paths!$P$288="Complete",F3099/12*(Paths!$L$288*(1+IF(Paths!$D$288="EV",'Operating costs'!$B$52,'Operating costs'!$B$51))^MAX(0,C3099-1)+Paths!$M$288*(1+'Operating costs'!$B$53)^MAX(0,C3099-1)),"n.a."))</f>
        <v>0</v>
      </c>
      <c r="I3099" s="16">
        <f>IF(NOT(Paths!$C$288=1),0,IF(Paths!$P$288="Complete",IF(IF(Paths!$E$288=0,C3099=0,AND(C3099&gt;0,Paths!$E$288&gt;(C3099-1)*12,Paths!$E$288&lt;=C3099*12)),Paths!$G$288,0),"n.a."))</f>
        <v>0</v>
      </c>
      <c r="J3099" s="16">
        <f>IF(NOT(Paths!$C$288=1),0,IF(Paths!$P$288="Complete",IF(IF(Paths!$E$288=0,C3099=0,AND(C3099&gt;0,Paths!$E$288&gt;(C3099-1)*12,Paths!$E$288&lt;=C3099*12)),Paths!$H$288,0),"n.a."))</f>
        <v>0</v>
      </c>
      <c r="K3099" s="16">
        <f>IF(NOT(Paths!$C$288=1),0,IF(Paths!$P$288="Complete",IF(IF(Paths!$O$288=0,C3099=0,AND(C3099&gt;0,Paths!$O$288&gt;(C3099-1)*12,Paths!$O$288&lt;=C3099*12)),Paths!$N$288,0),"n.a."))</f>
        <v>0</v>
      </c>
      <c r="L3099" s="16">
        <f>IF(NOT(Paths!$C$288=1),0,IF(Paths!$P$288="Complete",IF(C3099=10,Paths!$I$288,0),"n.a."))</f>
        <v>0</v>
      </c>
      <c r="M3099" s="16">
        <f>IF(NOT(Paths!$C$288=1),0,IF(Paths!$P$288="Complete",IF(AND(Paths!$D$288="EV",Paths!$E$288&lt;120,Paths!$E$288+'Operating costs'!$B$65&gt;Paths!$E$288,Paths!$E$288+'Operating costs'!$B$65&lt;=120,IF(Paths!$E$288+'Operating costs'!$B$65=0,C3099=0,AND(C3099&gt;0,Paths!$E$288+'Operating costs'!$B$65&gt;(C3099-1)*12,Paths!$E$288+'Operating costs'!$B$65&lt;=C3099*12))),'Operating costs'!$B$64,0)+IF(AND('Operating costs'!$B$67&gt;0,'Operating costs'!$B$67&lt;=120,OR(Paths!$D$288="ICE",'Operating costs'!$B$67&lt;=Paths!$E$288),IF('Operating costs'!$B$67=0,C3099=0,AND(C3099&gt;0,'Operating costs'!$B$67&gt;(C3099-1)*12,'Operating costs'!$B$67&lt;=C3099*12))),'Operating costs'!$B$66,0),"n.a."))</f>
        <v>0</v>
      </c>
      <c r="N3099" s="16">
        <f>IF(NOT(Paths!$C$288=1),0,IF(Paths!$P$288="Complete",SUM(G3099:I3099)-J3099-K3099-L3099+M3099+IF(C3099=0,Paths!$F$288,0)+IF(IF(Paths!$E$288=0,C3099=0,AND(C3099&gt;0,Paths!$E$288&gt;(C3099-1)*12,Paths!$E$288&lt;=C3099*12)),VLOOKUP(A3099,'Fleet register'!$A$7:$S$106,16,FALSE),0),"n.a."))</f>
        <v>0</v>
      </c>
      <c r="O3099" s="16">
        <f>IF(NOT(Paths!$C$288=1),0,IF(Paths!$P$288="Complete",N3099-IF(C3099=0,Paths!$F$288,0),"n.a."))</f>
        <v>0</v>
      </c>
      <c r="P3099" s="16">
        <f>IF(NOT(Paths!$C$288=1),0,IF(Paths!$P$288="Complete",O3099+L3099,"n.a."))</f>
        <v>0</v>
      </c>
      <c r="Q3099" s="16">
        <f>IF(NOT(Paths!$C$288=1),0,IF(Paths!$P$288="Complete",N3099*(1+'Operating costs'!$B$54)^-C3099,"n.a."))</f>
        <v>0</v>
      </c>
      <c r="R3099" s="16">
        <f>IF(NOT(Paths!$C$288=1),0,IF(Paths!$P$288="Complete",IF(AND(C3099=0,Paths!$E$288=0),I3099-J3099-K3099+VLOOKUP(A3099,'Fleet register'!$A$7:$S$106,15,FALSE)+VLOOKUP(A3099,'Fleet register'!$A$7:$S$106,16,FALSE),0),"n.a."))</f>
        <v>0</v>
      </c>
      <c r="S3099" s="1">
        <f>IF(NOT(Paths!$C$288=1),0,IF(Paths!$P$288="Complete",IF(C3099=0,0,Paths!$S$288*Paths!$R$288),"n.a."))</f>
        <v>0</v>
      </c>
      <c r="T3099" s="1">
        <f>IF(NOT(Paths!$C$288=1),0,IF(Paths!$P$288="Complete",IF(C3099=0,0,VLOOKUP(A3099,'Fleet register'!$A$7:$S$106,9,FALSE)*Paths!$R$288),"n.a."))</f>
        <v>0</v>
      </c>
    </row>
    <row r="3100" spans="1:20" ht="24" customHeight="1">
      <c r="A3100" s="1" t="str">
        <f>Paths!$A$288</f>
        <v>T071</v>
      </c>
      <c r="B3100" s="1">
        <f>Paths!$B$288</f>
        <v>1</v>
      </c>
      <c r="C3100" s="1">
        <v>2</v>
      </c>
      <c r="D3100" s="1">
        <v>288</v>
      </c>
      <c r="E3100" s="1">
        <f>IF(OR(Paths!$C$288=0,C3100=0),0,MAX(0,MIN(C3100*12,Paths!$E$288)-(C3100-1)*12))</f>
        <v>0</v>
      </c>
      <c r="F3100" s="1">
        <f>IF(OR(Paths!$C$288=0,C3100=0),0,12-E3100)</f>
        <v>0</v>
      </c>
      <c r="G3100" s="16">
        <f>IF(NOT(Paths!$C$288=1),0,IF(Paths!$P$288="Complete",E3100/12*(Paths!$J$288*(1+'Operating costs'!$B$51)^MAX(0,C3100-1)+Paths!$K$288*(1+'Operating costs'!$B$53)^MAX(0,C3100-1)),"n.a."))</f>
        <v>0</v>
      </c>
      <c r="H3100" s="16">
        <f>IF(NOT(Paths!$C$288=1),0,IF(Paths!$P$288="Complete",F3100/12*(Paths!$L$288*(1+IF(Paths!$D$288="EV",'Operating costs'!$B$52,'Operating costs'!$B$51))^MAX(0,C3100-1)+Paths!$M$288*(1+'Operating costs'!$B$53)^MAX(0,C3100-1)),"n.a."))</f>
        <v>0</v>
      </c>
      <c r="I3100" s="16">
        <f>IF(NOT(Paths!$C$288=1),0,IF(Paths!$P$288="Complete",IF(IF(Paths!$E$288=0,C3100=0,AND(C3100&gt;0,Paths!$E$288&gt;(C3100-1)*12,Paths!$E$288&lt;=C3100*12)),Paths!$G$288,0),"n.a."))</f>
        <v>0</v>
      </c>
      <c r="J3100" s="16">
        <f>IF(NOT(Paths!$C$288=1),0,IF(Paths!$P$288="Complete",IF(IF(Paths!$E$288=0,C3100=0,AND(C3100&gt;0,Paths!$E$288&gt;(C3100-1)*12,Paths!$E$288&lt;=C3100*12)),Paths!$H$288,0),"n.a."))</f>
        <v>0</v>
      </c>
      <c r="K3100" s="16">
        <f>IF(NOT(Paths!$C$288=1),0,IF(Paths!$P$288="Complete",IF(IF(Paths!$O$288=0,C3100=0,AND(C3100&gt;0,Paths!$O$288&gt;(C3100-1)*12,Paths!$O$288&lt;=C3100*12)),Paths!$N$288,0),"n.a."))</f>
        <v>0</v>
      </c>
      <c r="L3100" s="16">
        <f>IF(NOT(Paths!$C$288=1),0,IF(Paths!$P$288="Complete",IF(C3100=10,Paths!$I$288,0),"n.a."))</f>
        <v>0</v>
      </c>
      <c r="M3100" s="16">
        <f>IF(NOT(Paths!$C$288=1),0,IF(Paths!$P$288="Complete",IF(AND(Paths!$D$288="EV",Paths!$E$288&lt;120,Paths!$E$288+'Operating costs'!$B$65&gt;Paths!$E$288,Paths!$E$288+'Operating costs'!$B$65&lt;=120,IF(Paths!$E$288+'Operating costs'!$B$65=0,C3100=0,AND(C3100&gt;0,Paths!$E$288+'Operating costs'!$B$65&gt;(C3100-1)*12,Paths!$E$288+'Operating costs'!$B$65&lt;=C3100*12))),'Operating costs'!$B$64,0)+IF(AND('Operating costs'!$B$67&gt;0,'Operating costs'!$B$67&lt;=120,OR(Paths!$D$288="ICE",'Operating costs'!$B$67&lt;=Paths!$E$288),IF('Operating costs'!$B$67=0,C3100=0,AND(C3100&gt;0,'Operating costs'!$B$67&gt;(C3100-1)*12,'Operating costs'!$B$67&lt;=C3100*12))),'Operating costs'!$B$66,0),"n.a."))</f>
        <v>0</v>
      </c>
      <c r="N3100" s="16">
        <f>IF(NOT(Paths!$C$288=1),0,IF(Paths!$P$288="Complete",SUM(G3100:I3100)-J3100-K3100-L3100+M3100+IF(C3100=0,Paths!$F$288,0)+IF(IF(Paths!$E$288=0,C3100=0,AND(C3100&gt;0,Paths!$E$288&gt;(C3100-1)*12,Paths!$E$288&lt;=C3100*12)),VLOOKUP(A3100,'Fleet register'!$A$7:$S$106,16,FALSE),0),"n.a."))</f>
        <v>0</v>
      </c>
      <c r="O3100" s="16">
        <f>IF(NOT(Paths!$C$288=1),0,IF(Paths!$P$288="Complete",N3100-IF(C3100=0,Paths!$F$288,0),"n.a."))</f>
        <v>0</v>
      </c>
      <c r="P3100" s="16">
        <f>IF(NOT(Paths!$C$288=1),0,IF(Paths!$P$288="Complete",O3100+L3100,"n.a."))</f>
        <v>0</v>
      </c>
      <c r="Q3100" s="16">
        <f>IF(NOT(Paths!$C$288=1),0,IF(Paths!$P$288="Complete",N3100*(1+'Operating costs'!$B$54)^-C3100,"n.a."))</f>
        <v>0</v>
      </c>
      <c r="R3100" s="16">
        <f>IF(NOT(Paths!$C$288=1),0,IF(Paths!$P$288="Complete",IF(AND(C3100=0,Paths!$E$288=0),I3100-J3100-K3100+VLOOKUP(A3100,'Fleet register'!$A$7:$S$106,15,FALSE)+VLOOKUP(A3100,'Fleet register'!$A$7:$S$106,16,FALSE),0),"n.a."))</f>
        <v>0</v>
      </c>
      <c r="S3100" s="1">
        <f>IF(NOT(Paths!$C$288=1),0,IF(Paths!$P$288="Complete",IF(C3100=0,0,Paths!$S$288*Paths!$R$288),"n.a."))</f>
        <v>0</v>
      </c>
      <c r="T3100" s="1">
        <f>IF(NOT(Paths!$C$288=1),0,IF(Paths!$P$288="Complete",IF(C3100=0,0,VLOOKUP(A3100,'Fleet register'!$A$7:$S$106,9,FALSE)*Paths!$R$288),"n.a."))</f>
        <v>0</v>
      </c>
    </row>
    <row r="3101" spans="1:20" ht="24" customHeight="1">
      <c r="A3101" s="1" t="str">
        <f>Paths!$A$288</f>
        <v>T071</v>
      </c>
      <c r="B3101" s="1">
        <f>Paths!$B$288</f>
        <v>1</v>
      </c>
      <c r="C3101" s="1">
        <v>3</v>
      </c>
      <c r="D3101" s="1">
        <v>288</v>
      </c>
      <c r="E3101" s="1">
        <f>IF(OR(Paths!$C$288=0,C3101=0),0,MAX(0,MIN(C3101*12,Paths!$E$288)-(C3101-1)*12))</f>
        <v>0</v>
      </c>
      <c r="F3101" s="1">
        <f>IF(OR(Paths!$C$288=0,C3101=0),0,12-E3101)</f>
        <v>0</v>
      </c>
      <c r="G3101" s="16">
        <f>IF(NOT(Paths!$C$288=1),0,IF(Paths!$P$288="Complete",E3101/12*(Paths!$J$288*(1+'Operating costs'!$B$51)^MAX(0,C3101-1)+Paths!$K$288*(1+'Operating costs'!$B$53)^MAX(0,C3101-1)),"n.a."))</f>
        <v>0</v>
      </c>
      <c r="H3101" s="16">
        <f>IF(NOT(Paths!$C$288=1),0,IF(Paths!$P$288="Complete",F3101/12*(Paths!$L$288*(1+IF(Paths!$D$288="EV",'Operating costs'!$B$52,'Operating costs'!$B$51))^MAX(0,C3101-1)+Paths!$M$288*(1+'Operating costs'!$B$53)^MAX(0,C3101-1)),"n.a."))</f>
        <v>0</v>
      </c>
      <c r="I3101" s="16">
        <f>IF(NOT(Paths!$C$288=1),0,IF(Paths!$P$288="Complete",IF(IF(Paths!$E$288=0,C3101=0,AND(C3101&gt;0,Paths!$E$288&gt;(C3101-1)*12,Paths!$E$288&lt;=C3101*12)),Paths!$G$288,0),"n.a."))</f>
        <v>0</v>
      </c>
      <c r="J3101" s="16">
        <f>IF(NOT(Paths!$C$288=1),0,IF(Paths!$P$288="Complete",IF(IF(Paths!$E$288=0,C3101=0,AND(C3101&gt;0,Paths!$E$288&gt;(C3101-1)*12,Paths!$E$288&lt;=C3101*12)),Paths!$H$288,0),"n.a."))</f>
        <v>0</v>
      </c>
      <c r="K3101" s="16">
        <f>IF(NOT(Paths!$C$288=1),0,IF(Paths!$P$288="Complete",IF(IF(Paths!$O$288=0,C3101=0,AND(C3101&gt;0,Paths!$O$288&gt;(C3101-1)*12,Paths!$O$288&lt;=C3101*12)),Paths!$N$288,0),"n.a."))</f>
        <v>0</v>
      </c>
      <c r="L3101" s="16">
        <f>IF(NOT(Paths!$C$288=1),0,IF(Paths!$P$288="Complete",IF(C3101=10,Paths!$I$288,0),"n.a."))</f>
        <v>0</v>
      </c>
      <c r="M3101" s="16">
        <f>IF(NOT(Paths!$C$288=1),0,IF(Paths!$P$288="Complete",IF(AND(Paths!$D$288="EV",Paths!$E$288&lt;120,Paths!$E$288+'Operating costs'!$B$65&gt;Paths!$E$288,Paths!$E$288+'Operating costs'!$B$65&lt;=120,IF(Paths!$E$288+'Operating costs'!$B$65=0,C3101=0,AND(C3101&gt;0,Paths!$E$288+'Operating costs'!$B$65&gt;(C3101-1)*12,Paths!$E$288+'Operating costs'!$B$65&lt;=C3101*12))),'Operating costs'!$B$64,0)+IF(AND('Operating costs'!$B$67&gt;0,'Operating costs'!$B$67&lt;=120,OR(Paths!$D$288="ICE",'Operating costs'!$B$67&lt;=Paths!$E$288),IF('Operating costs'!$B$67=0,C3101=0,AND(C3101&gt;0,'Operating costs'!$B$67&gt;(C3101-1)*12,'Operating costs'!$B$67&lt;=C3101*12))),'Operating costs'!$B$66,0),"n.a."))</f>
        <v>0</v>
      </c>
      <c r="N3101" s="16">
        <f>IF(NOT(Paths!$C$288=1),0,IF(Paths!$P$288="Complete",SUM(G3101:I3101)-J3101-K3101-L3101+M3101+IF(C3101=0,Paths!$F$288,0)+IF(IF(Paths!$E$288=0,C3101=0,AND(C3101&gt;0,Paths!$E$288&gt;(C3101-1)*12,Paths!$E$288&lt;=C3101*12)),VLOOKUP(A3101,'Fleet register'!$A$7:$S$106,16,FALSE),0),"n.a."))</f>
        <v>0</v>
      </c>
      <c r="O3101" s="16">
        <f>IF(NOT(Paths!$C$288=1),0,IF(Paths!$P$288="Complete",N3101-IF(C3101=0,Paths!$F$288,0),"n.a."))</f>
        <v>0</v>
      </c>
      <c r="P3101" s="16">
        <f>IF(NOT(Paths!$C$288=1),0,IF(Paths!$P$288="Complete",O3101+L3101,"n.a."))</f>
        <v>0</v>
      </c>
      <c r="Q3101" s="16">
        <f>IF(NOT(Paths!$C$288=1),0,IF(Paths!$P$288="Complete",N3101*(1+'Operating costs'!$B$54)^-C3101,"n.a."))</f>
        <v>0</v>
      </c>
      <c r="R3101" s="16">
        <f>IF(NOT(Paths!$C$288=1),0,IF(Paths!$P$288="Complete",IF(AND(C3101=0,Paths!$E$288=0),I3101-J3101-K3101+VLOOKUP(A3101,'Fleet register'!$A$7:$S$106,15,FALSE)+VLOOKUP(A3101,'Fleet register'!$A$7:$S$106,16,FALSE),0),"n.a."))</f>
        <v>0</v>
      </c>
      <c r="S3101" s="1">
        <f>IF(NOT(Paths!$C$288=1),0,IF(Paths!$P$288="Complete",IF(C3101=0,0,Paths!$S$288*Paths!$R$288),"n.a."))</f>
        <v>0</v>
      </c>
      <c r="T3101" s="1">
        <f>IF(NOT(Paths!$C$288=1),0,IF(Paths!$P$288="Complete",IF(C3101=0,0,VLOOKUP(A3101,'Fleet register'!$A$7:$S$106,9,FALSE)*Paths!$R$288),"n.a."))</f>
        <v>0</v>
      </c>
    </row>
    <row r="3102" spans="1:20" ht="24" customHeight="1">
      <c r="A3102" s="1" t="str">
        <f>Paths!$A$288</f>
        <v>T071</v>
      </c>
      <c r="B3102" s="1">
        <f>Paths!$B$288</f>
        <v>1</v>
      </c>
      <c r="C3102" s="1">
        <v>4</v>
      </c>
      <c r="D3102" s="1">
        <v>288</v>
      </c>
      <c r="E3102" s="1">
        <f>IF(OR(Paths!$C$288=0,C3102=0),0,MAX(0,MIN(C3102*12,Paths!$E$288)-(C3102-1)*12))</f>
        <v>0</v>
      </c>
      <c r="F3102" s="1">
        <f>IF(OR(Paths!$C$288=0,C3102=0),0,12-E3102)</f>
        <v>0</v>
      </c>
      <c r="G3102" s="16">
        <f>IF(NOT(Paths!$C$288=1),0,IF(Paths!$P$288="Complete",E3102/12*(Paths!$J$288*(1+'Operating costs'!$B$51)^MAX(0,C3102-1)+Paths!$K$288*(1+'Operating costs'!$B$53)^MAX(0,C3102-1)),"n.a."))</f>
        <v>0</v>
      </c>
      <c r="H3102" s="16">
        <f>IF(NOT(Paths!$C$288=1),0,IF(Paths!$P$288="Complete",F3102/12*(Paths!$L$288*(1+IF(Paths!$D$288="EV",'Operating costs'!$B$52,'Operating costs'!$B$51))^MAX(0,C3102-1)+Paths!$M$288*(1+'Operating costs'!$B$53)^MAX(0,C3102-1)),"n.a."))</f>
        <v>0</v>
      </c>
      <c r="I3102" s="16">
        <f>IF(NOT(Paths!$C$288=1),0,IF(Paths!$P$288="Complete",IF(IF(Paths!$E$288=0,C3102=0,AND(C3102&gt;0,Paths!$E$288&gt;(C3102-1)*12,Paths!$E$288&lt;=C3102*12)),Paths!$G$288,0),"n.a."))</f>
        <v>0</v>
      </c>
      <c r="J3102" s="16">
        <f>IF(NOT(Paths!$C$288=1),0,IF(Paths!$P$288="Complete",IF(IF(Paths!$E$288=0,C3102=0,AND(C3102&gt;0,Paths!$E$288&gt;(C3102-1)*12,Paths!$E$288&lt;=C3102*12)),Paths!$H$288,0),"n.a."))</f>
        <v>0</v>
      </c>
      <c r="K3102" s="16">
        <f>IF(NOT(Paths!$C$288=1),0,IF(Paths!$P$288="Complete",IF(IF(Paths!$O$288=0,C3102=0,AND(C3102&gt;0,Paths!$O$288&gt;(C3102-1)*12,Paths!$O$288&lt;=C3102*12)),Paths!$N$288,0),"n.a."))</f>
        <v>0</v>
      </c>
      <c r="L3102" s="16">
        <f>IF(NOT(Paths!$C$288=1),0,IF(Paths!$P$288="Complete",IF(C3102=10,Paths!$I$288,0),"n.a."))</f>
        <v>0</v>
      </c>
      <c r="M3102" s="16">
        <f>IF(NOT(Paths!$C$288=1),0,IF(Paths!$P$288="Complete",IF(AND(Paths!$D$288="EV",Paths!$E$288&lt;120,Paths!$E$288+'Operating costs'!$B$65&gt;Paths!$E$288,Paths!$E$288+'Operating costs'!$B$65&lt;=120,IF(Paths!$E$288+'Operating costs'!$B$65=0,C3102=0,AND(C3102&gt;0,Paths!$E$288+'Operating costs'!$B$65&gt;(C3102-1)*12,Paths!$E$288+'Operating costs'!$B$65&lt;=C3102*12))),'Operating costs'!$B$64,0)+IF(AND('Operating costs'!$B$67&gt;0,'Operating costs'!$B$67&lt;=120,OR(Paths!$D$288="ICE",'Operating costs'!$B$67&lt;=Paths!$E$288),IF('Operating costs'!$B$67=0,C3102=0,AND(C3102&gt;0,'Operating costs'!$B$67&gt;(C3102-1)*12,'Operating costs'!$B$67&lt;=C3102*12))),'Operating costs'!$B$66,0),"n.a."))</f>
        <v>0</v>
      </c>
      <c r="N3102" s="16">
        <f>IF(NOT(Paths!$C$288=1),0,IF(Paths!$P$288="Complete",SUM(G3102:I3102)-J3102-K3102-L3102+M3102+IF(C3102=0,Paths!$F$288,0)+IF(IF(Paths!$E$288=0,C3102=0,AND(C3102&gt;0,Paths!$E$288&gt;(C3102-1)*12,Paths!$E$288&lt;=C3102*12)),VLOOKUP(A3102,'Fleet register'!$A$7:$S$106,16,FALSE),0),"n.a."))</f>
        <v>0</v>
      </c>
      <c r="O3102" s="16">
        <f>IF(NOT(Paths!$C$288=1),0,IF(Paths!$P$288="Complete",N3102-IF(C3102=0,Paths!$F$288,0),"n.a."))</f>
        <v>0</v>
      </c>
      <c r="P3102" s="16">
        <f>IF(NOT(Paths!$C$288=1),0,IF(Paths!$P$288="Complete",O3102+L3102,"n.a."))</f>
        <v>0</v>
      </c>
      <c r="Q3102" s="16">
        <f>IF(NOT(Paths!$C$288=1),0,IF(Paths!$P$288="Complete",N3102*(1+'Operating costs'!$B$54)^-C3102,"n.a."))</f>
        <v>0</v>
      </c>
      <c r="R3102" s="16">
        <f>IF(NOT(Paths!$C$288=1),0,IF(Paths!$P$288="Complete",IF(AND(C3102=0,Paths!$E$288=0),I3102-J3102-K3102+VLOOKUP(A3102,'Fleet register'!$A$7:$S$106,15,FALSE)+VLOOKUP(A3102,'Fleet register'!$A$7:$S$106,16,FALSE),0),"n.a."))</f>
        <v>0</v>
      </c>
      <c r="S3102" s="1">
        <f>IF(NOT(Paths!$C$288=1),0,IF(Paths!$P$288="Complete",IF(C3102=0,0,Paths!$S$288*Paths!$R$288),"n.a."))</f>
        <v>0</v>
      </c>
      <c r="T3102" s="1">
        <f>IF(NOT(Paths!$C$288=1),0,IF(Paths!$P$288="Complete",IF(C3102=0,0,VLOOKUP(A3102,'Fleet register'!$A$7:$S$106,9,FALSE)*Paths!$R$288),"n.a."))</f>
        <v>0</v>
      </c>
    </row>
    <row r="3103" spans="1:20" ht="24" customHeight="1">
      <c r="A3103" s="1" t="str">
        <f>Paths!$A$288</f>
        <v>T071</v>
      </c>
      <c r="B3103" s="1">
        <f>Paths!$B$288</f>
        <v>1</v>
      </c>
      <c r="C3103" s="1">
        <v>5</v>
      </c>
      <c r="D3103" s="1">
        <v>288</v>
      </c>
      <c r="E3103" s="1">
        <f>IF(OR(Paths!$C$288=0,C3103=0),0,MAX(0,MIN(C3103*12,Paths!$E$288)-(C3103-1)*12))</f>
        <v>0</v>
      </c>
      <c r="F3103" s="1">
        <f>IF(OR(Paths!$C$288=0,C3103=0),0,12-E3103)</f>
        <v>0</v>
      </c>
      <c r="G3103" s="16">
        <f>IF(NOT(Paths!$C$288=1),0,IF(Paths!$P$288="Complete",E3103/12*(Paths!$J$288*(1+'Operating costs'!$B$51)^MAX(0,C3103-1)+Paths!$K$288*(1+'Operating costs'!$B$53)^MAX(0,C3103-1)),"n.a."))</f>
        <v>0</v>
      </c>
      <c r="H3103" s="16">
        <f>IF(NOT(Paths!$C$288=1),0,IF(Paths!$P$288="Complete",F3103/12*(Paths!$L$288*(1+IF(Paths!$D$288="EV",'Operating costs'!$B$52,'Operating costs'!$B$51))^MAX(0,C3103-1)+Paths!$M$288*(1+'Operating costs'!$B$53)^MAX(0,C3103-1)),"n.a."))</f>
        <v>0</v>
      </c>
      <c r="I3103" s="16">
        <f>IF(NOT(Paths!$C$288=1),0,IF(Paths!$P$288="Complete",IF(IF(Paths!$E$288=0,C3103=0,AND(C3103&gt;0,Paths!$E$288&gt;(C3103-1)*12,Paths!$E$288&lt;=C3103*12)),Paths!$G$288,0),"n.a."))</f>
        <v>0</v>
      </c>
      <c r="J3103" s="16">
        <f>IF(NOT(Paths!$C$288=1),0,IF(Paths!$P$288="Complete",IF(IF(Paths!$E$288=0,C3103=0,AND(C3103&gt;0,Paths!$E$288&gt;(C3103-1)*12,Paths!$E$288&lt;=C3103*12)),Paths!$H$288,0),"n.a."))</f>
        <v>0</v>
      </c>
      <c r="K3103" s="16">
        <f>IF(NOT(Paths!$C$288=1),0,IF(Paths!$P$288="Complete",IF(IF(Paths!$O$288=0,C3103=0,AND(C3103&gt;0,Paths!$O$288&gt;(C3103-1)*12,Paths!$O$288&lt;=C3103*12)),Paths!$N$288,0),"n.a."))</f>
        <v>0</v>
      </c>
      <c r="L3103" s="16">
        <f>IF(NOT(Paths!$C$288=1),0,IF(Paths!$P$288="Complete",IF(C3103=10,Paths!$I$288,0),"n.a."))</f>
        <v>0</v>
      </c>
      <c r="M3103" s="16">
        <f>IF(NOT(Paths!$C$288=1),0,IF(Paths!$P$288="Complete",IF(AND(Paths!$D$288="EV",Paths!$E$288&lt;120,Paths!$E$288+'Operating costs'!$B$65&gt;Paths!$E$288,Paths!$E$288+'Operating costs'!$B$65&lt;=120,IF(Paths!$E$288+'Operating costs'!$B$65=0,C3103=0,AND(C3103&gt;0,Paths!$E$288+'Operating costs'!$B$65&gt;(C3103-1)*12,Paths!$E$288+'Operating costs'!$B$65&lt;=C3103*12))),'Operating costs'!$B$64,0)+IF(AND('Operating costs'!$B$67&gt;0,'Operating costs'!$B$67&lt;=120,OR(Paths!$D$288="ICE",'Operating costs'!$B$67&lt;=Paths!$E$288),IF('Operating costs'!$B$67=0,C3103=0,AND(C3103&gt;0,'Operating costs'!$B$67&gt;(C3103-1)*12,'Operating costs'!$B$67&lt;=C3103*12))),'Operating costs'!$B$66,0),"n.a."))</f>
        <v>0</v>
      </c>
      <c r="N3103" s="16">
        <f>IF(NOT(Paths!$C$288=1),0,IF(Paths!$P$288="Complete",SUM(G3103:I3103)-J3103-K3103-L3103+M3103+IF(C3103=0,Paths!$F$288,0)+IF(IF(Paths!$E$288=0,C3103=0,AND(C3103&gt;0,Paths!$E$288&gt;(C3103-1)*12,Paths!$E$288&lt;=C3103*12)),VLOOKUP(A3103,'Fleet register'!$A$7:$S$106,16,FALSE),0),"n.a."))</f>
        <v>0</v>
      </c>
      <c r="O3103" s="16">
        <f>IF(NOT(Paths!$C$288=1),0,IF(Paths!$P$288="Complete",N3103-IF(C3103=0,Paths!$F$288,0),"n.a."))</f>
        <v>0</v>
      </c>
      <c r="P3103" s="16">
        <f>IF(NOT(Paths!$C$288=1),0,IF(Paths!$P$288="Complete",O3103+L3103,"n.a."))</f>
        <v>0</v>
      </c>
      <c r="Q3103" s="16">
        <f>IF(NOT(Paths!$C$288=1),0,IF(Paths!$P$288="Complete",N3103*(1+'Operating costs'!$B$54)^-C3103,"n.a."))</f>
        <v>0</v>
      </c>
      <c r="R3103" s="16">
        <f>IF(NOT(Paths!$C$288=1),0,IF(Paths!$P$288="Complete",IF(AND(C3103=0,Paths!$E$288=0),I3103-J3103-K3103+VLOOKUP(A3103,'Fleet register'!$A$7:$S$106,15,FALSE)+VLOOKUP(A3103,'Fleet register'!$A$7:$S$106,16,FALSE),0),"n.a."))</f>
        <v>0</v>
      </c>
      <c r="S3103" s="1">
        <f>IF(NOT(Paths!$C$288=1),0,IF(Paths!$P$288="Complete",IF(C3103=0,0,Paths!$S$288*Paths!$R$288),"n.a."))</f>
        <v>0</v>
      </c>
      <c r="T3103" s="1">
        <f>IF(NOT(Paths!$C$288=1),0,IF(Paths!$P$288="Complete",IF(C3103=0,0,VLOOKUP(A3103,'Fleet register'!$A$7:$S$106,9,FALSE)*Paths!$R$288),"n.a."))</f>
        <v>0</v>
      </c>
    </row>
    <row r="3104" spans="1:20" ht="24" customHeight="1">
      <c r="A3104" s="1" t="str">
        <f>Paths!$A$288</f>
        <v>T071</v>
      </c>
      <c r="B3104" s="1">
        <f>Paths!$B$288</f>
        <v>1</v>
      </c>
      <c r="C3104" s="1">
        <v>6</v>
      </c>
      <c r="D3104" s="1">
        <v>288</v>
      </c>
      <c r="E3104" s="1">
        <f>IF(OR(Paths!$C$288=0,C3104=0),0,MAX(0,MIN(C3104*12,Paths!$E$288)-(C3104-1)*12))</f>
        <v>0</v>
      </c>
      <c r="F3104" s="1">
        <f>IF(OR(Paths!$C$288=0,C3104=0),0,12-E3104)</f>
        <v>0</v>
      </c>
      <c r="G3104" s="16">
        <f>IF(NOT(Paths!$C$288=1),0,IF(Paths!$P$288="Complete",E3104/12*(Paths!$J$288*(1+'Operating costs'!$B$51)^MAX(0,C3104-1)+Paths!$K$288*(1+'Operating costs'!$B$53)^MAX(0,C3104-1)),"n.a."))</f>
        <v>0</v>
      </c>
      <c r="H3104" s="16">
        <f>IF(NOT(Paths!$C$288=1),0,IF(Paths!$P$288="Complete",F3104/12*(Paths!$L$288*(1+IF(Paths!$D$288="EV",'Operating costs'!$B$52,'Operating costs'!$B$51))^MAX(0,C3104-1)+Paths!$M$288*(1+'Operating costs'!$B$53)^MAX(0,C3104-1)),"n.a."))</f>
        <v>0</v>
      </c>
      <c r="I3104" s="16">
        <f>IF(NOT(Paths!$C$288=1),0,IF(Paths!$P$288="Complete",IF(IF(Paths!$E$288=0,C3104=0,AND(C3104&gt;0,Paths!$E$288&gt;(C3104-1)*12,Paths!$E$288&lt;=C3104*12)),Paths!$G$288,0),"n.a."))</f>
        <v>0</v>
      </c>
      <c r="J3104" s="16">
        <f>IF(NOT(Paths!$C$288=1),0,IF(Paths!$P$288="Complete",IF(IF(Paths!$E$288=0,C3104=0,AND(C3104&gt;0,Paths!$E$288&gt;(C3104-1)*12,Paths!$E$288&lt;=C3104*12)),Paths!$H$288,0),"n.a."))</f>
        <v>0</v>
      </c>
      <c r="K3104" s="16">
        <f>IF(NOT(Paths!$C$288=1),0,IF(Paths!$P$288="Complete",IF(IF(Paths!$O$288=0,C3104=0,AND(C3104&gt;0,Paths!$O$288&gt;(C3104-1)*12,Paths!$O$288&lt;=C3104*12)),Paths!$N$288,0),"n.a."))</f>
        <v>0</v>
      </c>
      <c r="L3104" s="16">
        <f>IF(NOT(Paths!$C$288=1),0,IF(Paths!$P$288="Complete",IF(C3104=10,Paths!$I$288,0),"n.a."))</f>
        <v>0</v>
      </c>
      <c r="M3104" s="16">
        <f>IF(NOT(Paths!$C$288=1),0,IF(Paths!$P$288="Complete",IF(AND(Paths!$D$288="EV",Paths!$E$288&lt;120,Paths!$E$288+'Operating costs'!$B$65&gt;Paths!$E$288,Paths!$E$288+'Operating costs'!$B$65&lt;=120,IF(Paths!$E$288+'Operating costs'!$B$65=0,C3104=0,AND(C3104&gt;0,Paths!$E$288+'Operating costs'!$B$65&gt;(C3104-1)*12,Paths!$E$288+'Operating costs'!$B$65&lt;=C3104*12))),'Operating costs'!$B$64,0)+IF(AND('Operating costs'!$B$67&gt;0,'Operating costs'!$B$67&lt;=120,OR(Paths!$D$288="ICE",'Operating costs'!$B$67&lt;=Paths!$E$288),IF('Operating costs'!$B$67=0,C3104=0,AND(C3104&gt;0,'Operating costs'!$B$67&gt;(C3104-1)*12,'Operating costs'!$B$67&lt;=C3104*12))),'Operating costs'!$B$66,0),"n.a."))</f>
        <v>0</v>
      </c>
      <c r="N3104" s="16">
        <f>IF(NOT(Paths!$C$288=1),0,IF(Paths!$P$288="Complete",SUM(G3104:I3104)-J3104-K3104-L3104+M3104+IF(C3104=0,Paths!$F$288,0)+IF(IF(Paths!$E$288=0,C3104=0,AND(C3104&gt;0,Paths!$E$288&gt;(C3104-1)*12,Paths!$E$288&lt;=C3104*12)),VLOOKUP(A3104,'Fleet register'!$A$7:$S$106,16,FALSE),0),"n.a."))</f>
        <v>0</v>
      </c>
      <c r="O3104" s="16">
        <f>IF(NOT(Paths!$C$288=1),0,IF(Paths!$P$288="Complete",N3104-IF(C3104=0,Paths!$F$288,0),"n.a."))</f>
        <v>0</v>
      </c>
      <c r="P3104" s="16">
        <f>IF(NOT(Paths!$C$288=1),0,IF(Paths!$P$288="Complete",O3104+L3104,"n.a."))</f>
        <v>0</v>
      </c>
      <c r="Q3104" s="16">
        <f>IF(NOT(Paths!$C$288=1),0,IF(Paths!$P$288="Complete",N3104*(1+'Operating costs'!$B$54)^-C3104,"n.a."))</f>
        <v>0</v>
      </c>
      <c r="R3104" s="16">
        <f>IF(NOT(Paths!$C$288=1),0,IF(Paths!$P$288="Complete",IF(AND(C3104=0,Paths!$E$288=0),I3104-J3104-K3104+VLOOKUP(A3104,'Fleet register'!$A$7:$S$106,15,FALSE)+VLOOKUP(A3104,'Fleet register'!$A$7:$S$106,16,FALSE),0),"n.a."))</f>
        <v>0</v>
      </c>
      <c r="S3104" s="1">
        <f>IF(NOT(Paths!$C$288=1),0,IF(Paths!$P$288="Complete",IF(C3104=0,0,Paths!$S$288*Paths!$R$288),"n.a."))</f>
        <v>0</v>
      </c>
      <c r="T3104" s="1">
        <f>IF(NOT(Paths!$C$288=1),0,IF(Paths!$P$288="Complete",IF(C3104=0,0,VLOOKUP(A3104,'Fleet register'!$A$7:$S$106,9,FALSE)*Paths!$R$288),"n.a."))</f>
        <v>0</v>
      </c>
    </row>
    <row r="3105" spans="1:20" ht="24" customHeight="1">
      <c r="A3105" s="1" t="str">
        <f>Paths!$A$288</f>
        <v>T071</v>
      </c>
      <c r="B3105" s="1">
        <f>Paths!$B$288</f>
        <v>1</v>
      </c>
      <c r="C3105" s="1">
        <v>7</v>
      </c>
      <c r="D3105" s="1">
        <v>288</v>
      </c>
      <c r="E3105" s="1">
        <f>IF(OR(Paths!$C$288=0,C3105=0),0,MAX(0,MIN(C3105*12,Paths!$E$288)-(C3105-1)*12))</f>
        <v>0</v>
      </c>
      <c r="F3105" s="1">
        <f>IF(OR(Paths!$C$288=0,C3105=0),0,12-E3105)</f>
        <v>0</v>
      </c>
      <c r="G3105" s="16">
        <f>IF(NOT(Paths!$C$288=1),0,IF(Paths!$P$288="Complete",E3105/12*(Paths!$J$288*(1+'Operating costs'!$B$51)^MAX(0,C3105-1)+Paths!$K$288*(1+'Operating costs'!$B$53)^MAX(0,C3105-1)),"n.a."))</f>
        <v>0</v>
      </c>
      <c r="H3105" s="16">
        <f>IF(NOT(Paths!$C$288=1),0,IF(Paths!$P$288="Complete",F3105/12*(Paths!$L$288*(1+IF(Paths!$D$288="EV",'Operating costs'!$B$52,'Operating costs'!$B$51))^MAX(0,C3105-1)+Paths!$M$288*(1+'Operating costs'!$B$53)^MAX(0,C3105-1)),"n.a."))</f>
        <v>0</v>
      </c>
      <c r="I3105" s="16">
        <f>IF(NOT(Paths!$C$288=1),0,IF(Paths!$P$288="Complete",IF(IF(Paths!$E$288=0,C3105=0,AND(C3105&gt;0,Paths!$E$288&gt;(C3105-1)*12,Paths!$E$288&lt;=C3105*12)),Paths!$G$288,0),"n.a."))</f>
        <v>0</v>
      </c>
      <c r="J3105" s="16">
        <f>IF(NOT(Paths!$C$288=1),0,IF(Paths!$P$288="Complete",IF(IF(Paths!$E$288=0,C3105=0,AND(C3105&gt;0,Paths!$E$288&gt;(C3105-1)*12,Paths!$E$288&lt;=C3105*12)),Paths!$H$288,0),"n.a."))</f>
        <v>0</v>
      </c>
      <c r="K3105" s="16">
        <f>IF(NOT(Paths!$C$288=1),0,IF(Paths!$P$288="Complete",IF(IF(Paths!$O$288=0,C3105=0,AND(C3105&gt;0,Paths!$O$288&gt;(C3105-1)*12,Paths!$O$288&lt;=C3105*12)),Paths!$N$288,0),"n.a."))</f>
        <v>0</v>
      </c>
      <c r="L3105" s="16">
        <f>IF(NOT(Paths!$C$288=1),0,IF(Paths!$P$288="Complete",IF(C3105=10,Paths!$I$288,0),"n.a."))</f>
        <v>0</v>
      </c>
      <c r="M3105" s="16">
        <f>IF(NOT(Paths!$C$288=1),0,IF(Paths!$P$288="Complete",IF(AND(Paths!$D$288="EV",Paths!$E$288&lt;120,Paths!$E$288+'Operating costs'!$B$65&gt;Paths!$E$288,Paths!$E$288+'Operating costs'!$B$65&lt;=120,IF(Paths!$E$288+'Operating costs'!$B$65=0,C3105=0,AND(C3105&gt;0,Paths!$E$288+'Operating costs'!$B$65&gt;(C3105-1)*12,Paths!$E$288+'Operating costs'!$B$65&lt;=C3105*12))),'Operating costs'!$B$64,0)+IF(AND('Operating costs'!$B$67&gt;0,'Operating costs'!$B$67&lt;=120,OR(Paths!$D$288="ICE",'Operating costs'!$B$67&lt;=Paths!$E$288),IF('Operating costs'!$B$67=0,C3105=0,AND(C3105&gt;0,'Operating costs'!$B$67&gt;(C3105-1)*12,'Operating costs'!$B$67&lt;=C3105*12))),'Operating costs'!$B$66,0),"n.a."))</f>
        <v>0</v>
      </c>
      <c r="N3105" s="16">
        <f>IF(NOT(Paths!$C$288=1),0,IF(Paths!$P$288="Complete",SUM(G3105:I3105)-J3105-K3105-L3105+M3105+IF(C3105=0,Paths!$F$288,0)+IF(IF(Paths!$E$288=0,C3105=0,AND(C3105&gt;0,Paths!$E$288&gt;(C3105-1)*12,Paths!$E$288&lt;=C3105*12)),VLOOKUP(A3105,'Fleet register'!$A$7:$S$106,16,FALSE),0),"n.a."))</f>
        <v>0</v>
      </c>
      <c r="O3105" s="16">
        <f>IF(NOT(Paths!$C$288=1),0,IF(Paths!$P$288="Complete",N3105-IF(C3105=0,Paths!$F$288,0),"n.a."))</f>
        <v>0</v>
      </c>
      <c r="P3105" s="16">
        <f>IF(NOT(Paths!$C$288=1),0,IF(Paths!$P$288="Complete",O3105+L3105,"n.a."))</f>
        <v>0</v>
      </c>
      <c r="Q3105" s="16">
        <f>IF(NOT(Paths!$C$288=1),0,IF(Paths!$P$288="Complete",N3105*(1+'Operating costs'!$B$54)^-C3105,"n.a."))</f>
        <v>0</v>
      </c>
      <c r="R3105" s="16">
        <f>IF(NOT(Paths!$C$288=1),0,IF(Paths!$P$288="Complete",IF(AND(C3105=0,Paths!$E$288=0),I3105-J3105-K3105+VLOOKUP(A3105,'Fleet register'!$A$7:$S$106,15,FALSE)+VLOOKUP(A3105,'Fleet register'!$A$7:$S$106,16,FALSE),0),"n.a."))</f>
        <v>0</v>
      </c>
      <c r="S3105" s="1">
        <f>IF(NOT(Paths!$C$288=1),0,IF(Paths!$P$288="Complete",IF(C3105=0,0,Paths!$S$288*Paths!$R$288),"n.a."))</f>
        <v>0</v>
      </c>
      <c r="T3105" s="1">
        <f>IF(NOT(Paths!$C$288=1),0,IF(Paths!$P$288="Complete",IF(C3105=0,0,VLOOKUP(A3105,'Fleet register'!$A$7:$S$106,9,FALSE)*Paths!$R$288),"n.a."))</f>
        <v>0</v>
      </c>
    </row>
    <row r="3106" spans="1:20" ht="24" customHeight="1">
      <c r="A3106" s="1" t="str">
        <f>Paths!$A$288</f>
        <v>T071</v>
      </c>
      <c r="B3106" s="1">
        <f>Paths!$B$288</f>
        <v>1</v>
      </c>
      <c r="C3106" s="1">
        <v>8</v>
      </c>
      <c r="D3106" s="1">
        <v>288</v>
      </c>
      <c r="E3106" s="1">
        <f>IF(OR(Paths!$C$288=0,C3106=0),0,MAX(0,MIN(C3106*12,Paths!$E$288)-(C3106-1)*12))</f>
        <v>0</v>
      </c>
      <c r="F3106" s="1">
        <f>IF(OR(Paths!$C$288=0,C3106=0),0,12-E3106)</f>
        <v>0</v>
      </c>
      <c r="G3106" s="16">
        <f>IF(NOT(Paths!$C$288=1),0,IF(Paths!$P$288="Complete",E3106/12*(Paths!$J$288*(1+'Operating costs'!$B$51)^MAX(0,C3106-1)+Paths!$K$288*(1+'Operating costs'!$B$53)^MAX(0,C3106-1)),"n.a."))</f>
        <v>0</v>
      </c>
      <c r="H3106" s="16">
        <f>IF(NOT(Paths!$C$288=1),0,IF(Paths!$P$288="Complete",F3106/12*(Paths!$L$288*(1+IF(Paths!$D$288="EV",'Operating costs'!$B$52,'Operating costs'!$B$51))^MAX(0,C3106-1)+Paths!$M$288*(1+'Operating costs'!$B$53)^MAX(0,C3106-1)),"n.a."))</f>
        <v>0</v>
      </c>
      <c r="I3106" s="16">
        <f>IF(NOT(Paths!$C$288=1),0,IF(Paths!$P$288="Complete",IF(IF(Paths!$E$288=0,C3106=0,AND(C3106&gt;0,Paths!$E$288&gt;(C3106-1)*12,Paths!$E$288&lt;=C3106*12)),Paths!$G$288,0),"n.a."))</f>
        <v>0</v>
      </c>
      <c r="J3106" s="16">
        <f>IF(NOT(Paths!$C$288=1),0,IF(Paths!$P$288="Complete",IF(IF(Paths!$E$288=0,C3106=0,AND(C3106&gt;0,Paths!$E$288&gt;(C3106-1)*12,Paths!$E$288&lt;=C3106*12)),Paths!$H$288,0),"n.a."))</f>
        <v>0</v>
      </c>
      <c r="K3106" s="16">
        <f>IF(NOT(Paths!$C$288=1),0,IF(Paths!$P$288="Complete",IF(IF(Paths!$O$288=0,C3106=0,AND(C3106&gt;0,Paths!$O$288&gt;(C3106-1)*12,Paths!$O$288&lt;=C3106*12)),Paths!$N$288,0),"n.a."))</f>
        <v>0</v>
      </c>
      <c r="L3106" s="16">
        <f>IF(NOT(Paths!$C$288=1),0,IF(Paths!$P$288="Complete",IF(C3106=10,Paths!$I$288,0),"n.a."))</f>
        <v>0</v>
      </c>
      <c r="M3106" s="16">
        <f>IF(NOT(Paths!$C$288=1),0,IF(Paths!$P$288="Complete",IF(AND(Paths!$D$288="EV",Paths!$E$288&lt;120,Paths!$E$288+'Operating costs'!$B$65&gt;Paths!$E$288,Paths!$E$288+'Operating costs'!$B$65&lt;=120,IF(Paths!$E$288+'Operating costs'!$B$65=0,C3106=0,AND(C3106&gt;0,Paths!$E$288+'Operating costs'!$B$65&gt;(C3106-1)*12,Paths!$E$288+'Operating costs'!$B$65&lt;=C3106*12))),'Operating costs'!$B$64,0)+IF(AND('Operating costs'!$B$67&gt;0,'Operating costs'!$B$67&lt;=120,OR(Paths!$D$288="ICE",'Operating costs'!$B$67&lt;=Paths!$E$288),IF('Operating costs'!$B$67=0,C3106=0,AND(C3106&gt;0,'Operating costs'!$B$67&gt;(C3106-1)*12,'Operating costs'!$B$67&lt;=C3106*12))),'Operating costs'!$B$66,0),"n.a."))</f>
        <v>0</v>
      </c>
      <c r="N3106" s="16">
        <f>IF(NOT(Paths!$C$288=1),0,IF(Paths!$P$288="Complete",SUM(G3106:I3106)-J3106-K3106-L3106+M3106+IF(C3106=0,Paths!$F$288,0)+IF(IF(Paths!$E$288=0,C3106=0,AND(C3106&gt;0,Paths!$E$288&gt;(C3106-1)*12,Paths!$E$288&lt;=C3106*12)),VLOOKUP(A3106,'Fleet register'!$A$7:$S$106,16,FALSE),0),"n.a."))</f>
        <v>0</v>
      </c>
      <c r="O3106" s="16">
        <f>IF(NOT(Paths!$C$288=1),0,IF(Paths!$P$288="Complete",N3106-IF(C3106=0,Paths!$F$288,0),"n.a."))</f>
        <v>0</v>
      </c>
      <c r="P3106" s="16">
        <f>IF(NOT(Paths!$C$288=1),0,IF(Paths!$P$288="Complete",O3106+L3106,"n.a."))</f>
        <v>0</v>
      </c>
      <c r="Q3106" s="16">
        <f>IF(NOT(Paths!$C$288=1),0,IF(Paths!$P$288="Complete",N3106*(1+'Operating costs'!$B$54)^-C3106,"n.a."))</f>
        <v>0</v>
      </c>
      <c r="R3106" s="16">
        <f>IF(NOT(Paths!$C$288=1),0,IF(Paths!$P$288="Complete",IF(AND(C3106=0,Paths!$E$288=0),I3106-J3106-K3106+VLOOKUP(A3106,'Fleet register'!$A$7:$S$106,15,FALSE)+VLOOKUP(A3106,'Fleet register'!$A$7:$S$106,16,FALSE),0),"n.a."))</f>
        <v>0</v>
      </c>
      <c r="S3106" s="1">
        <f>IF(NOT(Paths!$C$288=1),0,IF(Paths!$P$288="Complete",IF(C3106=0,0,Paths!$S$288*Paths!$R$288),"n.a."))</f>
        <v>0</v>
      </c>
      <c r="T3106" s="1">
        <f>IF(NOT(Paths!$C$288=1),0,IF(Paths!$P$288="Complete",IF(C3106=0,0,VLOOKUP(A3106,'Fleet register'!$A$7:$S$106,9,FALSE)*Paths!$R$288),"n.a."))</f>
        <v>0</v>
      </c>
    </row>
    <row r="3107" spans="1:20" ht="24" customHeight="1">
      <c r="A3107" s="1" t="str">
        <f>Paths!$A$288</f>
        <v>T071</v>
      </c>
      <c r="B3107" s="1">
        <f>Paths!$B$288</f>
        <v>1</v>
      </c>
      <c r="C3107" s="1">
        <v>9</v>
      </c>
      <c r="D3107" s="1">
        <v>288</v>
      </c>
      <c r="E3107" s="1">
        <f>IF(OR(Paths!$C$288=0,C3107=0),0,MAX(0,MIN(C3107*12,Paths!$E$288)-(C3107-1)*12))</f>
        <v>0</v>
      </c>
      <c r="F3107" s="1">
        <f>IF(OR(Paths!$C$288=0,C3107=0),0,12-E3107)</f>
        <v>0</v>
      </c>
      <c r="G3107" s="16">
        <f>IF(NOT(Paths!$C$288=1),0,IF(Paths!$P$288="Complete",E3107/12*(Paths!$J$288*(1+'Operating costs'!$B$51)^MAX(0,C3107-1)+Paths!$K$288*(1+'Operating costs'!$B$53)^MAX(0,C3107-1)),"n.a."))</f>
        <v>0</v>
      </c>
      <c r="H3107" s="16">
        <f>IF(NOT(Paths!$C$288=1),0,IF(Paths!$P$288="Complete",F3107/12*(Paths!$L$288*(1+IF(Paths!$D$288="EV",'Operating costs'!$B$52,'Operating costs'!$B$51))^MAX(0,C3107-1)+Paths!$M$288*(1+'Operating costs'!$B$53)^MAX(0,C3107-1)),"n.a."))</f>
        <v>0</v>
      </c>
      <c r="I3107" s="16">
        <f>IF(NOT(Paths!$C$288=1),0,IF(Paths!$P$288="Complete",IF(IF(Paths!$E$288=0,C3107=0,AND(C3107&gt;0,Paths!$E$288&gt;(C3107-1)*12,Paths!$E$288&lt;=C3107*12)),Paths!$G$288,0),"n.a."))</f>
        <v>0</v>
      </c>
      <c r="J3107" s="16">
        <f>IF(NOT(Paths!$C$288=1),0,IF(Paths!$P$288="Complete",IF(IF(Paths!$E$288=0,C3107=0,AND(C3107&gt;0,Paths!$E$288&gt;(C3107-1)*12,Paths!$E$288&lt;=C3107*12)),Paths!$H$288,0),"n.a."))</f>
        <v>0</v>
      </c>
      <c r="K3107" s="16">
        <f>IF(NOT(Paths!$C$288=1),0,IF(Paths!$P$288="Complete",IF(IF(Paths!$O$288=0,C3107=0,AND(C3107&gt;0,Paths!$O$288&gt;(C3107-1)*12,Paths!$O$288&lt;=C3107*12)),Paths!$N$288,0),"n.a."))</f>
        <v>0</v>
      </c>
      <c r="L3107" s="16">
        <f>IF(NOT(Paths!$C$288=1),0,IF(Paths!$P$288="Complete",IF(C3107=10,Paths!$I$288,0),"n.a."))</f>
        <v>0</v>
      </c>
      <c r="M3107" s="16">
        <f>IF(NOT(Paths!$C$288=1),0,IF(Paths!$P$288="Complete",IF(AND(Paths!$D$288="EV",Paths!$E$288&lt;120,Paths!$E$288+'Operating costs'!$B$65&gt;Paths!$E$288,Paths!$E$288+'Operating costs'!$B$65&lt;=120,IF(Paths!$E$288+'Operating costs'!$B$65=0,C3107=0,AND(C3107&gt;0,Paths!$E$288+'Operating costs'!$B$65&gt;(C3107-1)*12,Paths!$E$288+'Operating costs'!$B$65&lt;=C3107*12))),'Operating costs'!$B$64,0)+IF(AND('Operating costs'!$B$67&gt;0,'Operating costs'!$B$67&lt;=120,OR(Paths!$D$288="ICE",'Operating costs'!$B$67&lt;=Paths!$E$288),IF('Operating costs'!$B$67=0,C3107=0,AND(C3107&gt;0,'Operating costs'!$B$67&gt;(C3107-1)*12,'Operating costs'!$B$67&lt;=C3107*12))),'Operating costs'!$B$66,0),"n.a."))</f>
        <v>0</v>
      </c>
      <c r="N3107" s="16">
        <f>IF(NOT(Paths!$C$288=1),0,IF(Paths!$P$288="Complete",SUM(G3107:I3107)-J3107-K3107-L3107+M3107+IF(C3107=0,Paths!$F$288,0)+IF(IF(Paths!$E$288=0,C3107=0,AND(C3107&gt;0,Paths!$E$288&gt;(C3107-1)*12,Paths!$E$288&lt;=C3107*12)),VLOOKUP(A3107,'Fleet register'!$A$7:$S$106,16,FALSE),0),"n.a."))</f>
        <v>0</v>
      </c>
      <c r="O3107" s="16">
        <f>IF(NOT(Paths!$C$288=1),0,IF(Paths!$P$288="Complete",N3107-IF(C3107=0,Paths!$F$288,0),"n.a."))</f>
        <v>0</v>
      </c>
      <c r="P3107" s="16">
        <f>IF(NOT(Paths!$C$288=1),0,IF(Paths!$P$288="Complete",O3107+L3107,"n.a."))</f>
        <v>0</v>
      </c>
      <c r="Q3107" s="16">
        <f>IF(NOT(Paths!$C$288=1),0,IF(Paths!$P$288="Complete",N3107*(1+'Operating costs'!$B$54)^-C3107,"n.a."))</f>
        <v>0</v>
      </c>
      <c r="R3107" s="16">
        <f>IF(NOT(Paths!$C$288=1),0,IF(Paths!$P$288="Complete",IF(AND(C3107=0,Paths!$E$288=0),I3107-J3107-K3107+VLOOKUP(A3107,'Fleet register'!$A$7:$S$106,15,FALSE)+VLOOKUP(A3107,'Fleet register'!$A$7:$S$106,16,FALSE),0),"n.a."))</f>
        <v>0</v>
      </c>
      <c r="S3107" s="1">
        <f>IF(NOT(Paths!$C$288=1),0,IF(Paths!$P$288="Complete",IF(C3107=0,0,Paths!$S$288*Paths!$R$288),"n.a."))</f>
        <v>0</v>
      </c>
      <c r="T3107" s="1">
        <f>IF(NOT(Paths!$C$288=1),0,IF(Paths!$P$288="Complete",IF(C3107=0,0,VLOOKUP(A3107,'Fleet register'!$A$7:$S$106,9,FALSE)*Paths!$R$288),"n.a."))</f>
        <v>0</v>
      </c>
    </row>
    <row r="3108" spans="1:20" ht="24" customHeight="1">
      <c r="A3108" s="1" t="str">
        <f>Paths!$A$288</f>
        <v>T071</v>
      </c>
      <c r="B3108" s="1">
        <f>Paths!$B$288</f>
        <v>1</v>
      </c>
      <c r="C3108" s="1">
        <v>10</v>
      </c>
      <c r="D3108" s="1">
        <v>288</v>
      </c>
      <c r="E3108" s="1">
        <f>IF(OR(Paths!$C$288=0,C3108=0),0,MAX(0,MIN(C3108*12,Paths!$E$288)-(C3108-1)*12))</f>
        <v>0</v>
      </c>
      <c r="F3108" s="1">
        <f>IF(OR(Paths!$C$288=0,C3108=0),0,12-E3108)</f>
        <v>0</v>
      </c>
      <c r="G3108" s="16">
        <f>IF(NOT(Paths!$C$288=1),0,IF(Paths!$P$288="Complete",E3108/12*(Paths!$J$288*(1+'Operating costs'!$B$51)^MAX(0,C3108-1)+Paths!$K$288*(1+'Operating costs'!$B$53)^MAX(0,C3108-1)),"n.a."))</f>
        <v>0</v>
      </c>
      <c r="H3108" s="16">
        <f>IF(NOT(Paths!$C$288=1),0,IF(Paths!$P$288="Complete",F3108/12*(Paths!$L$288*(1+IF(Paths!$D$288="EV",'Operating costs'!$B$52,'Operating costs'!$B$51))^MAX(0,C3108-1)+Paths!$M$288*(1+'Operating costs'!$B$53)^MAX(0,C3108-1)),"n.a."))</f>
        <v>0</v>
      </c>
      <c r="I3108" s="16">
        <f>IF(NOT(Paths!$C$288=1),0,IF(Paths!$P$288="Complete",IF(IF(Paths!$E$288=0,C3108=0,AND(C3108&gt;0,Paths!$E$288&gt;(C3108-1)*12,Paths!$E$288&lt;=C3108*12)),Paths!$G$288,0),"n.a."))</f>
        <v>0</v>
      </c>
      <c r="J3108" s="16">
        <f>IF(NOT(Paths!$C$288=1),0,IF(Paths!$P$288="Complete",IF(IF(Paths!$E$288=0,C3108=0,AND(C3108&gt;0,Paths!$E$288&gt;(C3108-1)*12,Paths!$E$288&lt;=C3108*12)),Paths!$H$288,0),"n.a."))</f>
        <v>0</v>
      </c>
      <c r="K3108" s="16">
        <f>IF(NOT(Paths!$C$288=1),0,IF(Paths!$P$288="Complete",IF(IF(Paths!$O$288=0,C3108=0,AND(C3108&gt;0,Paths!$O$288&gt;(C3108-1)*12,Paths!$O$288&lt;=C3108*12)),Paths!$N$288,0),"n.a."))</f>
        <v>0</v>
      </c>
      <c r="L3108" s="16">
        <f>IF(NOT(Paths!$C$288=1),0,IF(Paths!$P$288="Complete",IF(C3108=10,Paths!$I$288,0),"n.a."))</f>
        <v>0</v>
      </c>
      <c r="M3108" s="16">
        <f>IF(NOT(Paths!$C$288=1),0,IF(Paths!$P$288="Complete",IF(AND(Paths!$D$288="EV",Paths!$E$288&lt;120,Paths!$E$288+'Operating costs'!$B$65&gt;Paths!$E$288,Paths!$E$288+'Operating costs'!$B$65&lt;=120,IF(Paths!$E$288+'Operating costs'!$B$65=0,C3108=0,AND(C3108&gt;0,Paths!$E$288+'Operating costs'!$B$65&gt;(C3108-1)*12,Paths!$E$288+'Operating costs'!$B$65&lt;=C3108*12))),'Operating costs'!$B$64,0)+IF(AND('Operating costs'!$B$67&gt;0,'Operating costs'!$B$67&lt;=120,OR(Paths!$D$288="ICE",'Operating costs'!$B$67&lt;=Paths!$E$288),IF('Operating costs'!$B$67=0,C3108=0,AND(C3108&gt;0,'Operating costs'!$B$67&gt;(C3108-1)*12,'Operating costs'!$B$67&lt;=C3108*12))),'Operating costs'!$B$66,0),"n.a."))</f>
        <v>0</v>
      </c>
      <c r="N3108" s="16">
        <f>IF(NOT(Paths!$C$288=1),0,IF(Paths!$P$288="Complete",SUM(G3108:I3108)-J3108-K3108-L3108+M3108+IF(C3108=0,Paths!$F$288,0)+IF(IF(Paths!$E$288=0,C3108=0,AND(C3108&gt;0,Paths!$E$288&gt;(C3108-1)*12,Paths!$E$288&lt;=C3108*12)),VLOOKUP(A3108,'Fleet register'!$A$7:$S$106,16,FALSE),0),"n.a."))</f>
        <v>0</v>
      </c>
      <c r="O3108" s="16">
        <f>IF(NOT(Paths!$C$288=1),0,IF(Paths!$P$288="Complete",N3108-IF(C3108=0,Paths!$F$288,0),"n.a."))</f>
        <v>0</v>
      </c>
      <c r="P3108" s="16">
        <f>IF(NOT(Paths!$C$288=1),0,IF(Paths!$P$288="Complete",O3108+L3108,"n.a."))</f>
        <v>0</v>
      </c>
      <c r="Q3108" s="16">
        <f>IF(NOT(Paths!$C$288=1),0,IF(Paths!$P$288="Complete",N3108*(1+'Operating costs'!$B$54)^-C3108,"n.a."))</f>
        <v>0</v>
      </c>
      <c r="R3108" s="16">
        <f>IF(NOT(Paths!$C$288=1),0,IF(Paths!$P$288="Complete",IF(AND(C3108=0,Paths!$E$288=0),I3108-J3108-K3108+VLOOKUP(A3108,'Fleet register'!$A$7:$S$106,15,FALSE)+VLOOKUP(A3108,'Fleet register'!$A$7:$S$106,16,FALSE),0),"n.a."))</f>
        <v>0</v>
      </c>
      <c r="S3108" s="1">
        <f>IF(NOT(Paths!$C$288=1),0,IF(Paths!$P$288="Complete",IF(C3108=0,0,Paths!$S$288*Paths!$R$288),"n.a."))</f>
        <v>0</v>
      </c>
      <c r="T3108" s="1">
        <f>IF(NOT(Paths!$C$288=1),0,IF(Paths!$P$288="Complete",IF(C3108=0,0,VLOOKUP(A3108,'Fleet register'!$A$7:$S$106,9,FALSE)*Paths!$R$288),"n.a."))</f>
        <v>0</v>
      </c>
    </row>
    <row r="3109" spans="1:20" ht="24" customHeight="1">
      <c r="A3109" s="1" t="str">
        <f>Paths!$A$289</f>
        <v>T071</v>
      </c>
      <c r="B3109" s="1">
        <f>Paths!$B$289</f>
        <v>2</v>
      </c>
      <c r="C3109" s="1">
        <v>0</v>
      </c>
      <c r="D3109" s="1">
        <v>289</v>
      </c>
      <c r="E3109" s="1">
        <f>IF(OR(Paths!$C$289=0,C3109=0),0,MAX(0,MIN(C3109*12,Paths!$E$289)-(C3109-1)*12))</f>
        <v>0</v>
      </c>
      <c r="F3109" s="1">
        <f>IF(OR(Paths!$C$289=0,C3109=0),0,12-E3109)</f>
        <v>0</v>
      </c>
      <c r="G3109" s="16">
        <f>IF(NOT(Paths!$C$289=1),0,IF(Paths!$P$289="Complete",E3109/12*(Paths!$J$289*(1+'Operating costs'!$B$51)^MAX(0,C3109-1)+Paths!$K$289*(1+'Operating costs'!$B$53)^MAX(0,C3109-1)),"n.a."))</f>
        <v>0</v>
      </c>
      <c r="H3109" s="16">
        <f>IF(NOT(Paths!$C$289=1),0,IF(Paths!$P$289="Complete",F3109/12*(Paths!$L$289*(1+IF(Paths!$D$289="EV",'Operating costs'!$B$52,'Operating costs'!$B$51))^MAX(0,C3109-1)+Paths!$M$289*(1+'Operating costs'!$B$53)^MAX(0,C3109-1)),"n.a."))</f>
        <v>0</v>
      </c>
      <c r="I3109" s="16">
        <f>IF(NOT(Paths!$C$289=1),0,IF(Paths!$P$289="Complete",IF(IF(Paths!$E$289=0,C3109=0,AND(C3109&gt;0,Paths!$E$289&gt;(C3109-1)*12,Paths!$E$289&lt;=C3109*12)),Paths!$G$289,0),"n.a."))</f>
        <v>0</v>
      </c>
      <c r="J3109" s="16">
        <f>IF(NOT(Paths!$C$289=1),0,IF(Paths!$P$289="Complete",IF(IF(Paths!$E$289=0,C3109=0,AND(C3109&gt;0,Paths!$E$289&gt;(C3109-1)*12,Paths!$E$289&lt;=C3109*12)),Paths!$H$289,0),"n.a."))</f>
        <v>0</v>
      </c>
      <c r="K3109" s="16">
        <f>IF(NOT(Paths!$C$289=1),0,IF(Paths!$P$289="Complete",IF(IF(Paths!$O$289=0,C3109=0,AND(C3109&gt;0,Paths!$O$289&gt;(C3109-1)*12,Paths!$O$289&lt;=C3109*12)),Paths!$N$289,0),"n.a."))</f>
        <v>0</v>
      </c>
      <c r="L3109" s="16">
        <f>IF(NOT(Paths!$C$289=1),0,IF(Paths!$P$289="Complete",IF(C3109=10,Paths!$I$289,0),"n.a."))</f>
        <v>0</v>
      </c>
      <c r="M3109" s="16">
        <f>IF(NOT(Paths!$C$289=1),0,IF(Paths!$P$289="Complete",IF(AND(Paths!$D$289="EV",Paths!$E$289&lt;120,Paths!$E$289+'Operating costs'!$B$65&gt;Paths!$E$289,Paths!$E$289+'Operating costs'!$B$65&lt;=120,IF(Paths!$E$289+'Operating costs'!$B$65=0,C3109=0,AND(C3109&gt;0,Paths!$E$289+'Operating costs'!$B$65&gt;(C3109-1)*12,Paths!$E$289+'Operating costs'!$B$65&lt;=C3109*12))),'Operating costs'!$B$64,0)+IF(AND('Operating costs'!$B$67&gt;0,'Operating costs'!$B$67&lt;=120,OR(Paths!$D$289="ICE",'Operating costs'!$B$67&lt;=Paths!$E$289),IF('Operating costs'!$B$67=0,C3109=0,AND(C3109&gt;0,'Operating costs'!$B$67&gt;(C3109-1)*12,'Operating costs'!$B$67&lt;=C3109*12))),'Operating costs'!$B$66,0),"n.a."))</f>
        <v>0</v>
      </c>
      <c r="N3109" s="16">
        <f>IF(NOT(Paths!$C$289=1),0,IF(Paths!$P$289="Complete",SUM(G3109:I3109)-J3109-K3109-L3109+M3109+IF(C3109=0,Paths!$F$289,0)+IF(IF(Paths!$E$289=0,C3109=0,AND(C3109&gt;0,Paths!$E$289&gt;(C3109-1)*12,Paths!$E$289&lt;=C3109*12)),VLOOKUP(A3109,'Fleet register'!$A$7:$S$106,16,FALSE),0),"n.a."))</f>
        <v>0</v>
      </c>
      <c r="O3109" s="16">
        <f>IF(NOT(Paths!$C$289=1),0,IF(Paths!$P$289="Complete",N3109-IF(C3109=0,Paths!$F$289,0),"n.a."))</f>
        <v>0</v>
      </c>
      <c r="P3109" s="16">
        <f>IF(NOT(Paths!$C$289=1),0,IF(Paths!$P$289="Complete",O3109+L3109,"n.a."))</f>
        <v>0</v>
      </c>
      <c r="Q3109" s="16">
        <f>IF(NOT(Paths!$C$289=1),0,IF(Paths!$P$289="Complete",N3109*(1+'Operating costs'!$B$54)^-C3109,"n.a."))</f>
        <v>0</v>
      </c>
      <c r="R3109" s="16">
        <f>IF(NOT(Paths!$C$289=1),0,IF(Paths!$P$289="Complete",IF(AND(C3109=0,Paths!$E$289=0),I3109-J3109-K3109+VLOOKUP(A3109,'Fleet register'!$A$7:$S$106,15,FALSE)+VLOOKUP(A3109,'Fleet register'!$A$7:$S$106,16,FALSE),0),"n.a."))</f>
        <v>0</v>
      </c>
      <c r="S3109" s="1">
        <f>IF(NOT(Paths!$C$289=1),0,IF(Paths!$P$289="Complete",IF(C3109=0,0,Paths!$S$289*Paths!$R$289),"n.a."))</f>
        <v>0</v>
      </c>
      <c r="T3109" s="1">
        <f>IF(NOT(Paths!$C$289=1),0,IF(Paths!$P$289="Complete",IF(C3109=0,0,VLOOKUP(A3109,'Fleet register'!$A$7:$S$106,9,FALSE)*Paths!$R$289),"n.a."))</f>
        <v>0</v>
      </c>
    </row>
    <row r="3110" spans="1:20" ht="24" customHeight="1">
      <c r="A3110" s="1" t="str">
        <f>Paths!$A$289</f>
        <v>T071</v>
      </c>
      <c r="B3110" s="1">
        <f>Paths!$B$289</f>
        <v>2</v>
      </c>
      <c r="C3110" s="1">
        <v>1</v>
      </c>
      <c r="D3110" s="1">
        <v>289</v>
      </c>
      <c r="E3110" s="1">
        <f>IF(OR(Paths!$C$289=0,C3110=0),0,MAX(0,MIN(C3110*12,Paths!$E$289)-(C3110-1)*12))</f>
        <v>0</v>
      </c>
      <c r="F3110" s="1">
        <f>IF(OR(Paths!$C$289=0,C3110=0),0,12-E3110)</f>
        <v>0</v>
      </c>
      <c r="G3110" s="16">
        <f>IF(NOT(Paths!$C$289=1),0,IF(Paths!$P$289="Complete",E3110/12*(Paths!$J$289*(1+'Operating costs'!$B$51)^MAX(0,C3110-1)+Paths!$K$289*(1+'Operating costs'!$B$53)^MAX(0,C3110-1)),"n.a."))</f>
        <v>0</v>
      </c>
      <c r="H3110" s="16">
        <f>IF(NOT(Paths!$C$289=1),0,IF(Paths!$P$289="Complete",F3110/12*(Paths!$L$289*(1+IF(Paths!$D$289="EV",'Operating costs'!$B$52,'Operating costs'!$B$51))^MAX(0,C3110-1)+Paths!$M$289*(1+'Operating costs'!$B$53)^MAX(0,C3110-1)),"n.a."))</f>
        <v>0</v>
      </c>
      <c r="I3110" s="16">
        <f>IF(NOT(Paths!$C$289=1),0,IF(Paths!$P$289="Complete",IF(IF(Paths!$E$289=0,C3110=0,AND(C3110&gt;0,Paths!$E$289&gt;(C3110-1)*12,Paths!$E$289&lt;=C3110*12)),Paths!$G$289,0),"n.a."))</f>
        <v>0</v>
      </c>
      <c r="J3110" s="16">
        <f>IF(NOT(Paths!$C$289=1),0,IF(Paths!$P$289="Complete",IF(IF(Paths!$E$289=0,C3110=0,AND(C3110&gt;0,Paths!$E$289&gt;(C3110-1)*12,Paths!$E$289&lt;=C3110*12)),Paths!$H$289,0),"n.a."))</f>
        <v>0</v>
      </c>
      <c r="K3110" s="16">
        <f>IF(NOT(Paths!$C$289=1),0,IF(Paths!$P$289="Complete",IF(IF(Paths!$O$289=0,C3110=0,AND(C3110&gt;0,Paths!$O$289&gt;(C3110-1)*12,Paths!$O$289&lt;=C3110*12)),Paths!$N$289,0),"n.a."))</f>
        <v>0</v>
      </c>
      <c r="L3110" s="16">
        <f>IF(NOT(Paths!$C$289=1),0,IF(Paths!$P$289="Complete",IF(C3110=10,Paths!$I$289,0),"n.a."))</f>
        <v>0</v>
      </c>
      <c r="M3110" s="16">
        <f>IF(NOT(Paths!$C$289=1),0,IF(Paths!$P$289="Complete",IF(AND(Paths!$D$289="EV",Paths!$E$289&lt;120,Paths!$E$289+'Operating costs'!$B$65&gt;Paths!$E$289,Paths!$E$289+'Operating costs'!$B$65&lt;=120,IF(Paths!$E$289+'Operating costs'!$B$65=0,C3110=0,AND(C3110&gt;0,Paths!$E$289+'Operating costs'!$B$65&gt;(C3110-1)*12,Paths!$E$289+'Operating costs'!$B$65&lt;=C3110*12))),'Operating costs'!$B$64,0)+IF(AND('Operating costs'!$B$67&gt;0,'Operating costs'!$B$67&lt;=120,OR(Paths!$D$289="ICE",'Operating costs'!$B$67&lt;=Paths!$E$289),IF('Operating costs'!$B$67=0,C3110=0,AND(C3110&gt;0,'Operating costs'!$B$67&gt;(C3110-1)*12,'Operating costs'!$B$67&lt;=C3110*12))),'Operating costs'!$B$66,0),"n.a."))</f>
        <v>0</v>
      </c>
      <c r="N3110" s="16">
        <f>IF(NOT(Paths!$C$289=1),0,IF(Paths!$P$289="Complete",SUM(G3110:I3110)-J3110-K3110-L3110+M3110+IF(C3110=0,Paths!$F$289,0)+IF(IF(Paths!$E$289=0,C3110=0,AND(C3110&gt;0,Paths!$E$289&gt;(C3110-1)*12,Paths!$E$289&lt;=C3110*12)),VLOOKUP(A3110,'Fleet register'!$A$7:$S$106,16,FALSE),0),"n.a."))</f>
        <v>0</v>
      </c>
      <c r="O3110" s="16">
        <f>IF(NOT(Paths!$C$289=1),0,IF(Paths!$P$289="Complete",N3110-IF(C3110=0,Paths!$F$289,0),"n.a."))</f>
        <v>0</v>
      </c>
      <c r="P3110" s="16">
        <f>IF(NOT(Paths!$C$289=1),0,IF(Paths!$P$289="Complete",O3110+L3110,"n.a."))</f>
        <v>0</v>
      </c>
      <c r="Q3110" s="16">
        <f>IF(NOT(Paths!$C$289=1),0,IF(Paths!$P$289="Complete",N3110*(1+'Operating costs'!$B$54)^-C3110,"n.a."))</f>
        <v>0</v>
      </c>
      <c r="R3110" s="16">
        <f>IF(NOT(Paths!$C$289=1),0,IF(Paths!$P$289="Complete",IF(AND(C3110=0,Paths!$E$289=0),I3110-J3110-K3110+VLOOKUP(A3110,'Fleet register'!$A$7:$S$106,15,FALSE)+VLOOKUP(A3110,'Fleet register'!$A$7:$S$106,16,FALSE),0),"n.a."))</f>
        <v>0</v>
      </c>
      <c r="S3110" s="1">
        <f>IF(NOT(Paths!$C$289=1),0,IF(Paths!$P$289="Complete",IF(C3110=0,0,Paths!$S$289*Paths!$R$289),"n.a."))</f>
        <v>0</v>
      </c>
      <c r="T3110" s="1">
        <f>IF(NOT(Paths!$C$289=1),0,IF(Paths!$P$289="Complete",IF(C3110=0,0,VLOOKUP(A3110,'Fleet register'!$A$7:$S$106,9,FALSE)*Paths!$R$289),"n.a."))</f>
        <v>0</v>
      </c>
    </row>
    <row r="3111" spans="1:20" ht="24" customHeight="1">
      <c r="A3111" s="1" t="str">
        <f>Paths!$A$289</f>
        <v>T071</v>
      </c>
      <c r="B3111" s="1">
        <f>Paths!$B$289</f>
        <v>2</v>
      </c>
      <c r="C3111" s="1">
        <v>2</v>
      </c>
      <c r="D3111" s="1">
        <v>289</v>
      </c>
      <c r="E3111" s="1">
        <f>IF(OR(Paths!$C$289=0,C3111=0),0,MAX(0,MIN(C3111*12,Paths!$E$289)-(C3111-1)*12))</f>
        <v>0</v>
      </c>
      <c r="F3111" s="1">
        <f>IF(OR(Paths!$C$289=0,C3111=0),0,12-E3111)</f>
        <v>0</v>
      </c>
      <c r="G3111" s="16">
        <f>IF(NOT(Paths!$C$289=1),0,IF(Paths!$P$289="Complete",E3111/12*(Paths!$J$289*(1+'Operating costs'!$B$51)^MAX(0,C3111-1)+Paths!$K$289*(1+'Operating costs'!$B$53)^MAX(0,C3111-1)),"n.a."))</f>
        <v>0</v>
      </c>
      <c r="H3111" s="16">
        <f>IF(NOT(Paths!$C$289=1),0,IF(Paths!$P$289="Complete",F3111/12*(Paths!$L$289*(1+IF(Paths!$D$289="EV",'Operating costs'!$B$52,'Operating costs'!$B$51))^MAX(0,C3111-1)+Paths!$M$289*(1+'Operating costs'!$B$53)^MAX(0,C3111-1)),"n.a."))</f>
        <v>0</v>
      </c>
      <c r="I3111" s="16">
        <f>IF(NOT(Paths!$C$289=1),0,IF(Paths!$P$289="Complete",IF(IF(Paths!$E$289=0,C3111=0,AND(C3111&gt;0,Paths!$E$289&gt;(C3111-1)*12,Paths!$E$289&lt;=C3111*12)),Paths!$G$289,0),"n.a."))</f>
        <v>0</v>
      </c>
      <c r="J3111" s="16">
        <f>IF(NOT(Paths!$C$289=1),0,IF(Paths!$P$289="Complete",IF(IF(Paths!$E$289=0,C3111=0,AND(C3111&gt;0,Paths!$E$289&gt;(C3111-1)*12,Paths!$E$289&lt;=C3111*12)),Paths!$H$289,0),"n.a."))</f>
        <v>0</v>
      </c>
      <c r="K3111" s="16">
        <f>IF(NOT(Paths!$C$289=1),0,IF(Paths!$P$289="Complete",IF(IF(Paths!$O$289=0,C3111=0,AND(C3111&gt;0,Paths!$O$289&gt;(C3111-1)*12,Paths!$O$289&lt;=C3111*12)),Paths!$N$289,0),"n.a."))</f>
        <v>0</v>
      </c>
      <c r="L3111" s="16">
        <f>IF(NOT(Paths!$C$289=1),0,IF(Paths!$P$289="Complete",IF(C3111=10,Paths!$I$289,0),"n.a."))</f>
        <v>0</v>
      </c>
      <c r="M3111" s="16">
        <f>IF(NOT(Paths!$C$289=1),0,IF(Paths!$P$289="Complete",IF(AND(Paths!$D$289="EV",Paths!$E$289&lt;120,Paths!$E$289+'Operating costs'!$B$65&gt;Paths!$E$289,Paths!$E$289+'Operating costs'!$B$65&lt;=120,IF(Paths!$E$289+'Operating costs'!$B$65=0,C3111=0,AND(C3111&gt;0,Paths!$E$289+'Operating costs'!$B$65&gt;(C3111-1)*12,Paths!$E$289+'Operating costs'!$B$65&lt;=C3111*12))),'Operating costs'!$B$64,0)+IF(AND('Operating costs'!$B$67&gt;0,'Operating costs'!$B$67&lt;=120,OR(Paths!$D$289="ICE",'Operating costs'!$B$67&lt;=Paths!$E$289),IF('Operating costs'!$B$67=0,C3111=0,AND(C3111&gt;0,'Operating costs'!$B$67&gt;(C3111-1)*12,'Operating costs'!$B$67&lt;=C3111*12))),'Operating costs'!$B$66,0),"n.a."))</f>
        <v>0</v>
      </c>
      <c r="N3111" s="16">
        <f>IF(NOT(Paths!$C$289=1),0,IF(Paths!$P$289="Complete",SUM(G3111:I3111)-J3111-K3111-L3111+M3111+IF(C3111=0,Paths!$F$289,0)+IF(IF(Paths!$E$289=0,C3111=0,AND(C3111&gt;0,Paths!$E$289&gt;(C3111-1)*12,Paths!$E$289&lt;=C3111*12)),VLOOKUP(A3111,'Fleet register'!$A$7:$S$106,16,FALSE),0),"n.a."))</f>
        <v>0</v>
      </c>
      <c r="O3111" s="16">
        <f>IF(NOT(Paths!$C$289=1),0,IF(Paths!$P$289="Complete",N3111-IF(C3111=0,Paths!$F$289,0),"n.a."))</f>
        <v>0</v>
      </c>
      <c r="P3111" s="16">
        <f>IF(NOT(Paths!$C$289=1),0,IF(Paths!$P$289="Complete",O3111+L3111,"n.a."))</f>
        <v>0</v>
      </c>
      <c r="Q3111" s="16">
        <f>IF(NOT(Paths!$C$289=1),0,IF(Paths!$P$289="Complete",N3111*(1+'Operating costs'!$B$54)^-C3111,"n.a."))</f>
        <v>0</v>
      </c>
      <c r="R3111" s="16">
        <f>IF(NOT(Paths!$C$289=1),0,IF(Paths!$P$289="Complete",IF(AND(C3111=0,Paths!$E$289=0),I3111-J3111-K3111+VLOOKUP(A3111,'Fleet register'!$A$7:$S$106,15,FALSE)+VLOOKUP(A3111,'Fleet register'!$A$7:$S$106,16,FALSE),0),"n.a."))</f>
        <v>0</v>
      </c>
      <c r="S3111" s="1">
        <f>IF(NOT(Paths!$C$289=1),0,IF(Paths!$P$289="Complete",IF(C3111=0,0,Paths!$S$289*Paths!$R$289),"n.a."))</f>
        <v>0</v>
      </c>
      <c r="T3111" s="1">
        <f>IF(NOT(Paths!$C$289=1),0,IF(Paths!$P$289="Complete",IF(C3111=0,0,VLOOKUP(A3111,'Fleet register'!$A$7:$S$106,9,FALSE)*Paths!$R$289),"n.a."))</f>
        <v>0</v>
      </c>
    </row>
    <row r="3112" spans="1:20" ht="24" customHeight="1">
      <c r="A3112" s="1" t="str">
        <f>Paths!$A$289</f>
        <v>T071</v>
      </c>
      <c r="B3112" s="1">
        <f>Paths!$B$289</f>
        <v>2</v>
      </c>
      <c r="C3112" s="1">
        <v>3</v>
      </c>
      <c r="D3112" s="1">
        <v>289</v>
      </c>
      <c r="E3112" s="1">
        <f>IF(OR(Paths!$C$289=0,C3112=0),0,MAX(0,MIN(C3112*12,Paths!$E$289)-(C3112-1)*12))</f>
        <v>0</v>
      </c>
      <c r="F3112" s="1">
        <f>IF(OR(Paths!$C$289=0,C3112=0),0,12-E3112)</f>
        <v>0</v>
      </c>
      <c r="G3112" s="16">
        <f>IF(NOT(Paths!$C$289=1),0,IF(Paths!$P$289="Complete",E3112/12*(Paths!$J$289*(1+'Operating costs'!$B$51)^MAX(0,C3112-1)+Paths!$K$289*(1+'Operating costs'!$B$53)^MAX(0,C3112-1)),"n.a."))</f>
        <v>0</v>
      </c>
      <c r="H3112" s="16">
        <f>IF(NOT(Paths!$C$289=1),0,IF(Paths!$P$289="Complete",F3112/12*(Paths!$L$289*(1+IF(Paths!$D$289="EV",'Operating costs'!$B$52,'Operating costs'!$B$51))^MAX(0,C3112-1)+Paths!$M$289*(1+'Operating costs'!$B$53)^MAX(0,C3112-1)),"n.a."))</f>
        <v>0</v>
      </c>
      <c r="I3112" s="16">
        <f>IF(NOT(Paths!$C$289=1),0,IF(Paths!$P$289="Complete",IF(IF(Paths!$E$289=0,C3112=0,AND(C3112&gt;0,Paths!$E$289&gt;(C3112-1)*12,Paths!$E$289&lt;=C3112*12)),Paths!$G$289,0),"n.a."))</f>
        <v>0</v>
      </c>
      <c r="J3112" s="16">
        <f>IF(NOT(Paths!$C$289=1),0,IF(Paths!$P$289="Complete",IF(IF(Paths!$E$289=0,C3112=0,AND(C3112&gt;0,Paths!$E$289&gt;(C3112-1)*12,Paths!$E$289&lt;=C3112*12)),Paths!$H$289,0),"n.a."))</f>
        <v>0</v>
      </c>
      <c r="K3112" s="16">
        <f>IF(NOT(Paths!$C$289=1),0,IF(Paths!$P$289="Complete",IF(IF(Paths!$O$289=0,C3112=0,AND(C3112&gt;0,Paths!$O$289&gt;(C3112-1)*12,Paths!$O$289&lt;=C3112*12)),Paths!$N$289,0),"n.a."))</f>
        <v>0</v>
      </c>
      <c r="L3112" s="16">
        <f>IF(NOT(Paths!$C$289=1),0,IF(Paths!$P$289="Complete",IF(C3112=10,Paths!$I$289,0),"n.a."))</f>
        <v>0</v>
      </c>
      <c r="M3112" s="16">
        <f>IF(NOT(Paths!$C$289=1),0,IF(Paths!$P$289="Complete",IF(AND(Paths!$D$289="EV",Paths!$E$289&lt;120,Paths!$E$289+'Operating costs'!$B$65&gt;Paths!$E$289,Paths!$E$289+'Operating costs'!$B$65&lt;=120,IF(Paths!$E$289+'Operating costs'!$B$65=0,C3112=0,AND(C3112&gt;0,Paths!$E$289+'Operating costs'!$B$65&gt;(C3112-1)*12,Paths!$E$289+'Operating costs'!$B$65&lt;=C3112*12))),'Operating costs'!$B$64,0)+IF(AND('Operating costs'!$B$67&gt;0,'Operating costs'!$B$67&lt;=120,OR(Paths!$D$289="ICE",'Operating costs'!$B$67&lt;=Paths!$E$289),IF('Operating costs'!$B$67=0,C3112=0,AND(C3112&gt;0,'Operating costs'!$B$67&gt;(C3112-1)*12,'Operating costs'!$B$67&lt;=C3112*12))),'Operating costs'!$B$66,0),"n.a."))</f>
        <v>0</v>
      </c>
      <c r="N3112" s="16">
        <f>IF(NOT(Paths!$C$289=1),0,IF(Paths!$P$289="Complete",SUM(G3112:I3112)-J3112-K3112-L3112+M3112+IF(C3112=0,Paths!$F$289,0)+IF(IF(Paths!$E$289=0,C3112=0,AND(C3112&gt;0,Paths!$E$289&gt;(C3112-1)*12,Paths!$E$289&lt;=C3112*12)),VLOOKUP(A3112,'Fleet register'!$A$7:$S$106,16,FALSE),0),"n.a."))</f>
        <v>0</v>
      </c>
      <c r="O3112" s="16">
        <f>IF(NOT(Paths!$C$289=1),0,IF(Paths!$P$289="Complete",N3112-IF(C3112=0,Paths!$F$289,0),"n.a."))</f>
        <v>0</v>
      </c>
      <c r="P3112" s="16">
        <f>IF(NOT(Paths!$C$289=1),0,IF(Paths!$P$289="Complete",O3112+L3112,"n.a."))</f>
        <v>0</v>
      </c>
      <c r="Q3112" s="16">
        <f>IF(NOT(Paths!$C$289=1),0,IF(Paths!$P$289="Complete",N3112*(1+'Operating costs'!$B$54)^-C3112,"n.a."))</f>
        <v>0</v>
      </c>
      <c r="R3112" s="16">
        <f>IF(NOT(Paths!$C$289=1),0,IF(Paths!$P$289="Complete",IF(AND(C3112=0,Paths!$E$289=0),I3112-J3112-K3112+VLOOKUP(A3112,'Fleet register'!$A$7:$S$106,15,FALSE)+VLOOKUP(A3112,'Fleet register'!$A$7:$S$106,16,FALSE),0),"n.a."))</f>
        <v>0</v>
      </c>
      <c r="S3112" s="1">
        <f>IF(NOT(Paths!$C$289=1),0,IF(Paths!$P$289="Complete",IF(C3112=0,0,Paths!$S$289*Paths!$R$289),"n.a."))</f>
        <v>0</v>
      </c>
      <c r="T3112" s="1">
        <f>IF(NOT(Paths!$C$289=1),0,IF(Paths!$P$289="Complete",IF(C3112=0,0,VLOOKUP(A3112,'Fleet register'!$A$7:$S$106,9,FALSE)*Paths!$R$289),"n.a."))</f>
        <v>0</v>
      </c>
    </row>
    <row r="3113" spans="1:20" ht="24" customHeight="1">
      <c r="A3113" s="1" t="str">
        <f>Paths!$A$289</f>
        <v>T071</v>
      </c>
      <c r="B3113" s="1">
        <f>Paths!$B$289</f>
        <v>2</v>
      </c>
      <c r="C3113" s="1">
        <v>4</v>
      </c>
      <c r="D3113" s="1">
        <v>289</v>
      </c>
      <c r="E3113" s="1">
        <f>IF(OR(Paths!$C$289=0,C3113=0),0,MAX(0,MIN(C3113*12,Paths!$E$289)-(C3113-1)*12))</f>
        <v>0</v>
      </c>
      <c r="F3113" s="1">
        <f>IF(OR(Paths!$C$289=0,C3113=0),0,12-E3113)</f>
        <v>0</v>
      </c>
      <c r="G3113" s="16">
        <f>IF(NOT(Paths!$C$289=1),0,IF(Paths!$P$289="Complete",E3113/12*(Paths!$J$289*(1+'Operating costs'!$B$51)^MAX(0,C3113-1)+Paths!$K$289*(1+'Operating costs'!$B$53)^MAX(0,C3113-1)),"n.a."))</f>
        <v>0</v>
      </c>
      <c r="H3113" s="16">
        <f>IF(NOT(Paths!$C$289=1),0,IF(Paths!$P$289="Complete",F3113/12*(Paths!$L$289*(1+IF(Paths!$D$289="EV",'Operating costs'!$B$52,'Operating costs'!$B$51))^MAX(0,C3113-1)+Paths!$M$289*(1+'Operating costs'!$B$53)^MAX(0,C3113-1)),"n.a."))</f>
        <v>0</v>
      </c>
      <c r="I3113" s="16">
        <f>IF(NOT(Paths!$C$289=1),0,IF(Paths!$P$289="Complete",IF(IF(Paths!$E$289=0,C3113=0,AND(C3113&gt;0,Paths!$E$289&gt;(C3113-1)*12,Paths!$E$289&lt;=C3113*12)),Paths!$G$289,0),"n.a."))</f>
        <v>0</v>
      </c>
      <c r="J3113" s="16">
        <f>IF(NOT(Paths!$C$289=1),0,IF(Paths!$P$289="Complete",IF(IF(Paths!$E$289=0,C3113=0,AND(C3113&gt;0,Paths!$E$289&gt;(C3113-1)*12,Paths!$E$289&lt;=C3113*12)),Paths!$H$289,0),"n.a."))</f>
        <v>0</v>
      </c>
      <c r="K3113" s="16">
        <f>IF(NOT(Paths!$C$289=1),0,IF(Paths!$P$289="Complete",IF(IF(Paths!$O$289=0,C3113=0,AND(C3113&gt;0,Paths!$O$289&gt;(C3113-1)*12,Paths!$O$289&lt;=C3113*12)),Paths!$N$289,0),"n.a."))</f>
        <v>0</v>
      </c>
      <c r="L3113" s="16">
        <f>IF(NOT(Paths!$C$289=1),0,IF(Paths!$P$289="Complete",IF(C3113=10,Paths!$I$289,0),"n.a."))</f>
        <v>0</v>
      </c>
      <c r="M3113" s="16">
        <f>IF(NOT(Paths!$C$289=1),0,IF(Paths!$P$289="Complete",IF(AND(Paths!$D$289="EV",Paths!$E$289&lt;120,Paths!$E$289+'Operating costs'!$B$65&gt;Paths!$E$289,Paths!$E$289+'Operating costs'!$B$65&lt;=120,IF(Paths!$E$289+'Operating costs'!$B$65=0,C3113=0,AND(C3113&gt;0,Paths!$E$289+'Operating costs'!$B$65&gt;(C3113-1)*12,Paths!$E$289+'Operating costs'!$B$65&lt;=C3113*12))),'Operating costs'!$B$64,0)+IF(AND('Operating costs'!$B$67&gt;0,'Operating costs'!$B$67&lt;=120,OR(Paths!$D$289="ICE",'Operating costs'!$B$67&lt;=Paths!$E$289),IF('Operating costs'!$B$67=0,C3113=0,AND(C3113&gt;0,'Operating costs'!$B$67&gt;(C3113-1)*12,'Operating costs'!$B$67&lt;=C3113*12))),'Operating costs'!$B$66,0),"n.a."))</f>
        <v>0</v>
      </c>
      <c r="N3113" s="16">
        <f>IF(NOT(Paths!$C$289=1),0,IF(Paths!$P$289="Complete",SUM(G3113:I3113)-J3113-K3113-L3113+M3113+IF(C3113=0,Paths!$F$289,0)+IF(IF(Paths!$E$289=0,C3113=0,AND(C3113&gt;0,Paths!$E$289&gt;(C3113-1)*12,Paths!$E$289&lt;=C3113*12)),VLOOKUP(A3113,'Fleet register'!$A$7:$S$106,16,FALSE),0),"n.a."))</f>
        <v>0</v>
      </c>
      <c r="O3113" s="16">
        <f>IF(NOT(Paths!$C$289=1),0,IF(Paths!$P$289="Complete",N3113-IF(C3113=0,Paths!$F$289,0),"n.a."))</f>
        <v>0</v>
      </c>
      <c r="P3113" s="16">
        <f>IF(NOT(Paths!$C$289=1),0,IF(Paths!$P$289="Complete",O3113+L3113,"n.a."))</f>
        <v>0</v>
      </c>
      <c r="Q3113" s="16">
        <f>IF(NOT(Paths!$C$289=1),0,IF(Paths!$P$289="Complete",N3113*(1+'Operating costs'!$B$54)^-C3113,"n.a."))</f>
        <v>0</v>
      </c>
      <c r="R3113" s="16">
        <f>IF(NOT(Paths!$C$289=1),0,IF(Paths!$P$289="Complete",IF(AND(C3113=0,Paths!$E$289=0),I3113-J3113-K3113+VLOOKUP(A3113,'Fleet register'!$A$7:$S$106,15,FALSE)+VLOOKUP(A3113,'Fleet register'!$A$7:$S$106,16,FALSE),0),"n.a."))</f>
        <v>0</v>
      </c>
      <c r="S3113" s="1">
        <f>IF(NOT(Paths!$C$289=1),0,IF(Paths!$P$289="Complete",IF(C3113=0,0,Paths!$S$289*Paths!$R$289),"n.a."))</f>
        <v>0</v>
      </c>
      <c r="T3113" s="1">
        <f>IF(NOT(Paths!$C$289=1),0,IF(Paths!$P$289="Complete",IF(C3113=0,0,VLOOKUP(A3113,'Fleet register'!$A$7:$S$106,9,FALSE)*Paths!$R$289),"n.a."))</f>
        <v>0</v>
      </c>
    </row>
    <row r="3114" spans="1:20" ht="24" customHeight="1">
      <c r="A3114" s="1" t="str">
        <f>Paths!$A$289</f>
        <v>T071</v>
      </c>
      <c r="B3114" s="1">
        <f>Paths!$B$289</f>
        <v>2</v>
      </c>
      <c r="C3114" s="1">
        <v>5</v>
      </c>
      <c r="D3114" s="1">
        <v>289</v>
      </c>
      <c r="E3114" s="1">
        <f>IF(OR(Paths!$C$289=0,C3114=0),0,MAX(0,MIN(C3114*12,Paths!$E$289)-(C3114-1)*12))</f>
        <v>0</v>
      </c>
      <c r="F3114" s="1">
        <f>IF(OR(Paths!$C$289=0,C3114=0),0,12-E3114)</f>
        <v>0</v>
      </c>
      <c r="G3114" s="16">
        <f>IF(NOT(Paths!$C$289=1),0,IF(Paths!$P$289="Complete",E3114/12*(Paths!$J$289*(1+'Operating costs'!$B$51)^MAX(0,C3114-1)+Paths!$K$289*(1+'Operating costs'!$B$53)^MAX(0,C3114-1)),"n.a."))</f>
        <v>0</v>
      </c>
      <c r="H3114" s="16">
        <f>IF(NOT(Paths!$C$289=1),0,IF(Paths!$P$289="Complete",F3114/12*(Paths!$L$289*(1+IF(Paths!$D$289="EV",'Operating costs'!$B$52,'Operating costs'!$B$51))^MAX(0,C3114-1)+Paths!$M$289*(1+'Operating costs'!$B$53)^MAX(0,C3114-1)),"n.a."))</f>
        <v>0</v>
      </c>
      <c r="I3114" s="16">
        <f>IF(NOT(Paths!$C$289=1),0,IF(Paths!$P$289="Complete",IF(IF(Paths!$E$289=0,C3114=0,AND(C3114&gt;0,Paths!$E$289&gt;(C3114-1)*12,Paths!$E$289&lt;=C3114*12)),Paths!$G$289,0),"n.a."))</f>
        <v>0</v>
      </c>
      <c r="J3114" s="16">
        <f>IF(NOT(Paths!$C$289=1),0,IF(Paths!$P$289="Complete",IF(IF(Paths!$E$289=0,C3114=0,AND(C3114&gt;0,Paths!$E$289&gt;(C3114-1)*12,Paths!$E$289&lt;=C3114*12)),Paths!$H$289,0),"n.a."))</f>
        <v>0</v>
      </c>
      <c r="K3114" s="16">
        <f>IF(NOT(Paths!$C$289=1),0,IF(Paths!$P$289="Complete",IF(IF(Paths!$O$289=0,C3114=0,AND(C3114&gt;0,Paths!$O$289&gt;(C3114-1)*12,Paths!$O$289&lt;=C3114*12)),Paths!$N$289,0),"n.a."))</f>
        <v>0</v>
      </c>
      <c r="L3114" s="16">
        <f>IF(NOT(Paths!$C$289=1),0,IF(Paths!$P$289="Complete",IF(C3114=10,Paths!$I$289,0),"n.a."))</f>
        <v>0</v>
      </c>
      <c r="M3114" s="16">
        <f>IF(NOT(Paths!$C$289=1),0,IF(Paths!$P$289="Complete",IF(AND(Paths!$D$289="EV",Paths!$E$289&lt;120,Paths!$E$289+'Operating costs'!$B$65&gt;Paths!$E$289,Paths!$E$289+'Operating costs'!$B$65&lt;=120,IF(Paths!$E$289+'Operating costs'!$B$65=0,C3114=0,AND(C3114&gt;0,Paths!$E$289+'Operating costs'!$B$65&gt;(C3114-1)*12,Paths!$E$289+'Operating costs'!$B$65&lt;=C3114*12))),'Operating costs'!$B$64,0)+IF(AND('Operating costs'!$B$67&gt;0,'Operating costs'!$B$67&lt;=120,OR(Paths!$D$289="ICE",'Operating costs'!$B$67&lt;=Paths!$E$289),IF('Operating costs'!$B$67=0,C3114=0,AND(C3114&gt;0,'Operating costs'!$B$67&gt;(C3114-1)*12,'Operating costs'!$B$67&lt;=C3114*12))),'Operating costs'!$B$66,0),"n.a."))</f>
        <v>0</v>
      </c>
      <c r="N3114" s="16">
        <f>IF(NOT(Paths!$C$289=1),0,IF(Paths!$P$289="Complete",SUM(G3114:I3114)-J3114-K3114-L3114+M3114+IF(C3114=0,Paths!$F$289,0)+IF(IF(Paths!$E$289=0,C3114=0,AND(C3114&gt;0,Paths!$E$289&gt;(C3114-1)*12,Paths!$E$289&lt;=C3114*12)),VLOOKUP(A3114,'Fleet register'!$A$7:$S$106,16,FALSE),0),"n.a."))</f>
        <v>0</v>
      </c>
      <c r="O3114" s="16">
        <f>IF(NOT(Paths!$C$289=1),0,IF(Paths!$P$289="Complete",N3114-IF(C3114=0,Paths!$F$289,0),"n.a."))</f>
        <v>0</v>
      </c>
      <c r="P3114" s="16">
        <f>IF(NOT(Paths!$C$289=1),0,IF(Paths!$P$289="Complete",O3114+L3114,"n.a."))</f>
        <v>0</v>
      </c>
      <c r="Q3114" s="16">
        <f>IF(NOT(Paths!$C$289=1),0,IF(Paths!$P$289="Complete",N3114*(1+'Operating costs'!$B$54)^-C3114,"n.a."))</f>
        <v>0</v>
      </c>
      <c r="R3114" s="16">
        <f>IF(NOT(Paths!$C$289=1),0,IF(Paths!$P$289="Complete",IF(AND(C3114=0,Paths!$E$289=0),I3114-J3114-K3114+VLOOKUP(A3114,'Fleet register'!$A$7:$S$106,15,FALSE)+VLOOKUP(A3114,'Fleet register'!$A$7:$S$106,16,FALSE),0),"n.a."))</f>
        <v>0</v>
      </c>
      <c r="S3114" s="1">
        <f>IF(NOT(Paths!$C$289=1),0,IF(Paths!$P$289="Complete",IF(C3114=0,0,Paths!$S$289*Paths!$R$289),"n.a."))</f>
        <v>0</v>
      </c>
      <c r="T3114" s="1">
        <f>IF(NOT(Paths!$C$289=1),0,IF(Paths!$P$289="Complete",IF(C3114=0,0,VLOOKUP(A3114,'Fleet register'!$A$7:$S$106,9,FALSE)*Paths!$R$289),"n.a."))</f>
        <v>0</v>
      </c>
    </row>
    <row r="3115" spans="1:20" ht="24" customHeight="1">
      <c r="A3115" s="1" t="str">
        <f>Paths!$A$289</f>
        <v>T071</v>
      </c>
      <c r="B3115" s="1">
        <f>Paths!$B$289</f>
        <v>2</v>
      </c>
      <c r="C3115" s="1">
        <v>6</v>
      </c>
      <c r="D3115" s="1">
        <v>289</v>
      </c>
      <c r="E3115" s="1">
        <f>IF(OR(Paths!$C$289=0,C3115=0),0,MAX(0,MIN(C3115*12,Paths!$E$289)-(C3115-1)*12))</f>
        <v>0</v>
      </c>
      <c r="F3115" s="1">
        <f>IF(OR(Paths!$C$289=0,C3115=0),0,12-E3115)</f>
        <v>0</v>
      </c>
      <c r="G3115" s="16">
        <f>IF(NOT(Paths!$C$289=1),0,IF(Paths!$P$289="Complete",E3115/12*(Paths!$J$289*(1+'Operating costs'!$B$51)^MAX(0,C3115-1)+Paths!$K$289*(1+'Operating costs'!$B$53)^MAX(0,C3115-1)),"n.a."))</f>
        <v>0</v>
      </c>
      <c r="H3115" s="16">
        <f>IF(NOT(Paths!$C$289=1),0,IF(Paths!$P$289="Complete",F3115/12*(Paths!$L$289*(1+IF(Paths!$D$289="EV",'Operating costs'!$B$52,'Operating costs'!$B$51))^MAX(0,C3115-1)+Paths!$M$289*(1+'Operating costs'!$B$53)^MAX(0,C3115-1)),"n.a."))</f>
        <v>0</v>
      </c>
      <c r="I3115" s="16">
        <f>IF(NOT(Paths!$C$289=1),0,IF(Paths!$P$289="Complete",IF(IF(Paths!$E$289=0,C3115=0,AND(C3115&gt;0,Paths!$E$289&gt;(C3115-1)*12,Paths!$E$289&lt;=C3115*12)),Paths!$G$289,0),"n.a."))</f>
        <v>0</v>
      </c>
      <c r="J3115" s="16">
        <f>IF(NOT(Paths!$C$289=1),0,IF(Paths!$P$289="Complete",IF(IF(Paths!$E$289=0,C3115=0,AND(C3115&gt;0,Paths!$E$289&gt;(C3115-1)*12,Paths!$E$289&lt;=C3115*12)),Paths!$H$289,0),"n.a."))</f>
        <v>0</v>
      </c>
      <c r="K3115" s="16">
        <f>IF(NOT(Paths!$C$289=1),0,IF(Paths!$P$289="Complete",IF(IF(Paths!$O$289=0,C3115=0,AND(C3115&gt;0,Paths!$O$289&gt;(C3115-1)*12,Paths!$O$289&lt;=C3115*12)),Paths!$N$289,0),"n.a."))</f>
        <v>0</v>
      </c>
      <c r="L3115" s="16">
        <f>IF(NOT(Paths!$C$289=1),0,IF(Paths!$P$289="Complete",IF(C3115=10,Paths!$I$289,0),"n.a."))</f>
        <v>0</v>
      </c>
      <c r="M3115" s="16">
        <f>IF(NOT(Paths!$C$289=1),0,IF(Paths!$P$289="Complete",IF(AND(Paths!$D$289="EV",Paths!$E$289&lt;120,Paths!$E$289+'Operating costs'!$B$65&gt;Paths!$E$289,Paths!$E$289+'Operating costs'!$B$65&lt;=120,IF(Paths!$E$289+'Operating costs'!$B$65=0,C3115=0,AND(C3115&gt;0,Paths!$E$289+'Operating costs'!$B$65&gt;(C3115-1)*12,Paths!$E$289+'Operating costs'!$B$65&lt;=C3115*12))),'Operating costs'!$B$64,0)+IF(AND('Operating costs'!$B$67&gt;0,'Operating costs'!$B$67&lt;=120,OR(Paths!$D$289="ICE",'Operating costs'!$B$67&lt;=Paths!$E$289),IF('Operating costs'!$B$67=0,C3115=0,AND(C3115&gt;0,'Operating costs'!$B$67&gt;(C3115-1)*12,'Operating costs'!$B$67&lt;=C3115*12))),'Operating costs'!$B$66,0),"n.a."))</f>
        <v>0</v>
      </c>
      <c r="N3115" s="16">
        <f>IF(NOT(Paths!$C$289=1),0,IF(Paths!$P$289="Complete",SUM(G3115:I3115)-J3115-K3115-L3115+M3115+IF(C3115=0,Paths!$F$289,0)+IF(IF(Paths!$E$289=0,C3115=0,AND(C3115&gt;0,Paths!$E$289&gt;(C3115-1)*12,Paths!$E$289&lt;=C3115*12)),VLOOKUP(A3115,'Fleet register'!$A$7:$S$106,16,FALSE),0),"n.a."))</f>
        <v>0</v>
      </c>
      <c r="O3115" s="16">
        <f>IF(NOT(Paths!$C$289=1),0,IF(Paths!$P$289="Complete",N3115-IF(C3115=0,Paths!$F$289,0),"n.a."))</f>
        <v>0</v>
      </c>
      <c r="P3115" s="16">
        <f>IF(NOT(Paths!$C$289=1),0,IF(Paths!$P$289="Complete",O3115+L3115,"n.a."))</f>
        <v>0</v>
      </c>
      <c r="Q3115" s="16">
        <f>IF(NOT(Paths!$C$289=1),0,IF(Paths!$P$289="Complete",N3115*(1+'Operating costs'!$B$54)^-C3115,"n.a."))</f>
        <v>0</v>
      </c>
      <c r="R3115" s="16">
        <f>IF(NOT(Paths!$C$289=1),0,IF(Paths!$P$289="Complete",IF(AND(C3115=0,Paths!$E$289=0),I3115-J3115-K3115+VLOOKUP(A3115,'Fleet register'!$A$7:$S$106,15,FALSE)+VLOOKUP(A3115,'Fleet register'!$A$7:$S$106,16,FALSE),0),"n.a."))</f>
        <v>0</v>
      </c>
      <c r="S3115" s="1">
        <f>IF(NOT(Paths!$C$289=1),0,IF(Paths!$P$289="Complete",IF(C3115=0,0,Paths!$S$289*Paths!$R$289),"n.a."))</f>
        <v>0</v>
      </c>
      <c r="T3115" s="1">
        <f>IF(NOT(Paths!$C$289=1),0,IF(Paths!$P$289="Complete",IF(C3115=0,0,VLOOKUP(A3115,'Fleet register'!$A$7:$S$106,9,FALSE)*Paths!$R$289),"n.a."))</f>
        <v>0</v>
      </c>
    </row>
    <row r="3116" spans="1:20" ht="24" customHeight="1">
      <c r="A3116" s="1" t="str">
        <f>Paths!$A$289</f>
        <v>T071</v>
      </c>
      <c r="B3116" s="1">
        <f>Paths!$B$289</f>
        <v>2</v>
      </c>
      <c r="C3116" s="1">
        <v>7</v>
      </c>
      <c r="D3116" s="1">
        <v>289</v>
      </c>
      <c r="E3116" s="1">
        <f>IF(OR(Paths!$C$289=0,C3116=0),0,MAX(0,MIN(C3116*12,Paths!$E$289)-(C3116-1)*12))</f>
        <v>0</v>
      </c>
      <c r="F3116" s="1">
        <f>IF(OR(Paths!$C$289=0,C3116=0),0,12-E3116)</f>
        <v>0</v>
      </c>
      <c r="G3116" s="16">
        <f>IF(NOT(Paths!$C$289=1),0,IF(Paths!$P$289="Complete",E3116/12*(Paths!$J$289*(1+'Operating costs'!$B$51)^MAX(0,C3116-1)+Paths!$K$289*(1+'Operating costs'!$B$53)^MAX(0,C3116-1)),"n.a."))</f>
        <v>0</v>
      </c>
      <c r="H3116" s="16">
        <f>IF(NOT(Paths!$C$289=1),0,IF(Paths!$P$289="Complete",F3116/12*(Paths!$L$289*(1+IF(Paths!$D$289="EV",'Operating costs'!$B$52,'Operating costs'!$B$51))^MAX(0,C3116-1)+Paths!$M$289*(1+'Operating costs'!$B$53)^MAX(0,C3116-1)),"n.a."))</f>
        <v>0</v>
      </c>
      <c r="I3116" s="16">
        <f>IF(NOT(Paths!$C$289=1),0,IF(Paths!$P$289="Complete",IF(IF(Paths!$E$289=0,C3116=0,AND(C3116&gt;0,Paths!$E$289&gt;(C3116-1)*12,Paths!$E$289&lt;=C3116*12)),Paths!$G$289,0),"n.a."))</f>
        <v>0</v>
      </c>
      <c r="J3116" s="16">
        <f>IF(NOT(Paths!$C$289=1),0,IF(Paths!$P$289="Complete",IF(IF(Paths!$E$289=0,C3116=0,AND(C3116&gt;0,Paths!$E$289&gt;(C3116-1)*12,Paths!$E$289&lt;=C3116*12)),Paths!$H$289,0),"n.a."))</f>
        <v>0</v>
      </c>
      <c r="K3116" s="16">
        <f>IF(NOT(Paths!$C$289=1),0,IF(Paths!$P$289="Complete",IF(IF(Paths!$O$289=0,C3116=0,AND(C3116&gt;0,Paths!$O$289&gt;(C3116-1)*12,Paths!$O$289&lt;=C3116*12)),Paths!$N$289,0),"n.a."))</f>
        <v>0</v>
      </c>
      <c r="L3116" s="16">
        <f>IF(NOT(Paths!$C$289=1),0,IF(Paths!$P$289="Complete",IF(C3116=10,Paths!$I$289,0),"n.a."))</f>
        <v>0</v>
      </c>
      <c r="M3116" s="16">
        <f>IF(NOT(Paths!$C$289=1),0,IF(Paths!$P$289="Complete",IF(AND(Paths!$D$289="EV",Paths!$E$289&lt;120,Paths!$E$289+'Operating costs'!$B$65&gt;Paths!$E$289,Paths!$E$289+'Operating costs'!$B$65&lt;=120,IF(Paths!$E$289+'Operating costs'!$B$65=0,C3116=0,AND(C3116&gt;0,Paths!$E$289+'Operating costs'!$B$65&gt;(C3116-1)*12,Paths!$E$289+'Operating costs'!$B$65&lt;=C3116*12))),'Operating costs'!$B$64,0)+IF(AND('Operating costs'!$B$67&gt;0,'Operating costs'!$B$67&lt;=120,OR(Paths!$D$289="ICE",'Operating costs'!$B$67&lt;=Paths!$E$289),IF('Operating costs'!$B$67=0,C3116=0,AND(C3116&gt;0,'Operating costs'!$B$67&gt;(C3116-1)*12,'Operating costs'!$B$67&lt;=C3116*12))),'Operating costs'!$B$66,0),"n.a."))</f>
        <v>0</v>
      </c>
      <c r="N3116" s="16">
        <f>IF(NOT(Paths!$C$289=1),0,IF(Paths!$P$289="Complete",SUM(G3116:I3116)-J3116-K3116-L3116+M3116+IF(C3116=0,Paths!$F$289,0)+IF(IF(Paths!$E$289=0,C3116=0,AND(C3116&gt;0,Paths!$E$289&gt;(C3116-1)*12,Paths!$E$289&lt;=C3116*12)),VLOOKUP(A3116,'Fleet register'!$A$7:$S$106,16,FALSE),0),"n.a."))</f>
        <v>0</v>
      </c>
      <c r="O3116" s="16">
        <f>IF(NOT(Paths!$C$289=1),0,IF(Paths!$P$289="Complete",N3116-IF(C3116=0,Paths!$F$289,0),"n.a."))</f>
        <v>0</v>
      </c>
      <c r="P3116" s="16">
        <f>IF(NOT(Paths!$C$289=1),0,IF(Paths!$P$289="Complete",O3116+L3116,"n.a."))</f>
        <v>0</v>
      </c>
      <c r="Q3116" s="16">
        <f>IF(NOT(Paths!$C$289=1),0,IF(Paths!$P$289="Complete",N3116*(1+'Operating costs'!$B$54)^-C3116,"n.a."))</f>
        <v>0</v>
      </c>
      <c r="R3116" s="16">
        <f>IF(NOT(Paths!$C$289=1),0,IF(Paths!$P$289="Complete",IF(AND(C3116=0,Paths!$E$289=0),I3116-J3116-K3116+VLOOKUP(A3116,'Fleet register'!$A$7:$S$106,15,FALSE)+VLOOKUP(A3116,'Fleet register'!$A$7:$S$106,16,FALSE),0),"n.a."))</f>
        <v>0</v>
      </c>
      <c r="S3116" s="1">
        <f>IF(NOT(Paths!$C$289=1),0,IF(Paths!$P$289="Complete",IF(C3116=0,0,Paths!$S$289*Paths!$R$289),"n.a."))</f>
        <v>0</v>
      </c>
      <c r="T3116" s="1">
        <f>IF(NOT(Paths!$C$289=1),0,IF(Paths!$P$289="Complete",IF(C3116=0,0,VLOOKUP(A3116,'Fleet register'!$A$7:$S$106,9,FALSE)*Paths!$R$289),"n.a."))</f>
        <v>0</v>
      </c>
    </row>
    <row r="3117" spans="1:20" ht="24" customHeight="1">
      <c r="A3117" s="1" t="str">
        <f>Paths!$A$289</f>
        <v>T071</v>
      </c>
      <c r="B3117" s="1">
        <f>Paths!$B$289</f>
        <v>2</v>
      </c>
      <c r="C3117" s="1">
        <v>8</v>
      </c>
      <c r="D3117" s="1">
        <v>289</v>
      </c>
      <c r="E3117" s="1">
        <f>IF(OR(Paths!$C$289=0,C3117=0),0,MAX(0,MIN(C3117*12,Paths!$E$289)-(C3117-1)*12))</f>
        <v>0</v>
      </c>
      <c r="F3117" s="1">
        <f>IF(OR(Paths!$C$289=0,C3117=0),0,12-E3117)</f>
        <v>0</v>
      </c>
      <c r="G3117" s="16">
        <f>IF(NOT(Paths!$C$289=1),0,IF(Paths!$P$289="Complete",E3117/12*(Paths!$J$289*(1+'Operating costs'!$B$51)^MAX(0,C3117-1)+Paths!$K$289*(1+'Operating costs'!$B$53)^MAX(0,C3117-1)),"n.a."))</f>
        <v>0</v>
      </c>
      <c r="H3117" s="16">
        <f>IF(NOT(Paths!$C$289=1),0,IF(Paths!$P$289="Complete",F3117/12*(Paths!$L$289*(1+IF(Paths!$D$289="EV",'Operating costs'!$B$52,'Operating costs'!$B$51))^MAX(0,C3117-1)+Paths!$M$289*(1+'Operating costs'!$B$53)^MAX(0,C3117-1)),"n.a."))</f>
        <v>0</v>
      </c>
      <c r="I3117" s="16">
        <f>IF(NOT(Paths!$C$289=1),0,IF(Paths!$P$289="Complete",IF(IF(Paths!$E$289=0,C3117=0,AND(C3117&gt;0,Paths!$E$289&gt;(C3117-1)*12,Paths!$E$289&lt;=C3117*12)),Paths!$G$289,0),"n.a."))</f>
        <v>0</v>
      </c>
      <c r="J3117" s="16">
        <f>IF(NOT(Paths!$C$289=1),0,IF(Paths!$P$289="Complete",IF(IF(Paths!$E$289=0,C3117=0,AND(C3117&gt;0,Paths!$E$289&gt;(C3117-1)*12,Paths!$E$289&lt;=C3117*12)),Paths!$H$289,0),"n.a."))</f>
        <v>0</v>
      </c>
      <c r="K3117" s="16">
        <f>IF(NOT(Paths!$C$289=1),0,IF(Paths!$P$289="Complete",IF(IF(Paths!$O$289=0,C3117=0,AND(C3117&gt;0,Paths!$O$289&gt;(C3117-1)*12,Paths!$O$289&lt;=C3117*12)),Paths!$N$289,0),"n.a."))</f>
        <v>0</v>
      </c>
      <c r="L3117" s="16">
        <f>IF(NOT(Paths!$C$289=1),0,IF(Paths!$P$289="Complete",IF(C3117=10,Paths!$I$289,0),"n.a."))</f>
        <v>0</v>
      </c>
      <c r="M3117" s="16">
        <f>IF(NOT(Paths!$C$289=1),0,IF(Paths!$P$289="Complete",IF(AND(Paths!$D$289="EV",Paths!$E$289&lt;120,Paths!$E$289+'Operating costs'!$B$65&gt;Paths!$E$289,Paths!$E$289+'Operating costs'!$B$65&lt;=120,IF(Paths!$E$289+'Operating costs'!$B$65=0,C3117=0,AND(C3117&gt;0,Paths!$E$289+'Operating costs'!$B$65&gt;(C3117-1)*12,Paths!$E$289+'Operating costs'!$B$65&lt;=C3117*12))),'Operating costs'!$B$64,0)+IF(AND('Operating costs'!$B$67&gt;0,'Operating costs'!$B$67&lt;=120,OR(Paths!$D$289="ICE",'Operating costs'!$B$67&lt;=Paths!$E$289),IF('Operating costs'!$B$67=0,C3117=0,AND(C3117&gt;0,'Operating costs'!$B$67&gt;(C3117-1)*12,'Operating costs'!$B$67&lt;=C3117*12))),'Operating costs'!$B$66,0),"n.a."))</f>
        <v>0</v>
      </c>
      <c r="N3117" s="16">
        <f>IF(NOT(Paths!$C$289=1),0,IF(Paths!$P$289="Complete",SUM(G3117:I3117)-J3117-K3117-L3117+M3117+IF(C3117=0,Paths!$F$289,0)+IF(IF(Paths!$E$289=0,C3117=0,AND(C3117&gt;0,Paths!$E$289&gt;(C3117-1)*12,Paths!$E$289&lt;=C3117*12)),VLOOKUP(A3117,'Fleet register'!$A$7:$S$106,16,FALSE),0),"n.a."))</f>
        <v>0</v>
      </c>
      <c r="O3117" s="16">
        <f>IF(NOT(Paths!$C$289=1),0,IF(Paths!$P$289="Complete",N3117-IF(C3117=0,Paths!$F$289,0),"n.a."))</f>
        <v>0</v>
      </c>
      <c r="P3117" s="16">
        <f>IF(NOT(Paths!$C$289=1),0,IF(Paths!$P$289="Complete",O3117+L3117,"n.a."))</f>
        <v>0</v>
      </c>
      <c r="Q3117" s="16">
        <f>IF(NOT(Paths!$C$289=1),0,IF(Paths!$P$289="Complete",N3117*(1+'Operating costs'!$B$54)^-C3117,"n.a."))</f>
        <v>0</v>
      </c>
      <c r="R3117" s="16">
        <f>IF(NOT(Paths!$C$289=1),0,IF(Paths!$P$289="Complete",IF(AND(C3117=0,Paths!$E$289=0),I3117-J3117-K3117+VLOOKUP(A3117,'Fleet register'!$A$7:$S$106,15,FALSE)+VLOOKUP(A3117,'Fleet register'!$A$7:$S$106,16,FALSE),0),"n.a."))</f>
        <v>0</v>
      </c>
      <c r="S3117" s="1">
        <f>IF(NOT(Paths!$C$289=1),0,IF(Paths!$P$289="Complete",IF(C3117=0,0,Paths!$S$289*Paths!$R$289),"n.a."))</f>
        <v>0</v>
      </c>
      <c r="T3117" s="1">
        <f>IF(NOT(Paths!$C$289=1),0,IF(Paths!$P$289="Complete",IF(C3117=0,0,VLOOKUP(A3117,'Fleet register'!$A$7:$S$106,9,FALSE)*Paths!$R$289),"n.a."))</f>
        <v>0</v>
      </c>
    </row>
    <row r="3118" spans="1:20" ht="24" customHeight="1">
      <c r="A3118" s="1" t="str">
        <f>Paths!$A$289</f>
        <v>T071</v>
      </c>
      <c r="B3118" s="1">
        <f>Paths!$B$289</f>
        <v>2</v>
      </c>
      <c r="C3118" s="1">
        <v>9</v>
      </c>
      <c r="D3118" s="1">
        <v>289</v>
      </c>
      <c r="E3118" s="1">
        <f>IF(OR(Paths!$C$289=0,C3118=0),0,MAX(0,MIN(C3118*12,Paths!$E$289)-(C3118-1)*12))</f>
        <v>0</v>
      </c>
      <c r="F3118" s="1">
        <f>IF(OR(Paths!$C$289=0,C3118=0),0,12-E3118)</f>
        <v>0</v>
      </c>
      <c r="G3118" s="16">
        <f>IF(NOT(Paths!$C$289=1),0,IF(Paths!$P$289="Complete",E3118/12*(Paths!$J$289*(1+'Operating costs'!$B$51)^MAX(0,C3118-1)+Paths!$K$289*(1+'Operating costs'!$B$53)^MAX(0,C3118-1)),"n.a."))</f>
        <v>0</v>
      </c>
      <c r="H3118" s="16">
        <f>IF(NOT(Paths!$C$289=1),0,IF(Paths!$P$289="Complete",F3118/12*(Paths!$L$289*(1+IF(Paths!$D$289="EV",'Operating costs'!$B$52,'Operating costs'!$B$51))^MAX(0,C3118-1)+Paths!$M$289*(1+'Operating costs'!$B$53)^MAX(0,C3118-1)),"n.a."))</f>
        <v>0</v>
      </c>
      <c r="I3118" s="16">
        <f>IF(NOT(Paths!$C$289=1),0,IF(Paths!$P$289="Complete",IF(IF(Paths!$E$289=0,C3118=0,AND(C3118&gt;0,Paths!$E$289&gt;(C3118-1)*12,Paths!$E$289&lt;=C3118*12)),Paths!$G$289,0),"n.a."))</f>
        <v>0</v>
      </c>
      <c r="J3118" s="16">
        <f>IF(NOT(Paths!$C$289=1),0,IF(Paths!$P$289="Complete",IF(IF(Paths!$E$289=0,C3118=0,AND(C3118&gt;0,Paths!$E$289&gt;(C3118-1)*12,Paths!$E$289&lt;=C3118*12)),Paths!$H$289,0),"n.a."))</f>
        <v>0</v>
      </c>
      <c r="K3118" s="16">
        <f>IF(NOT(Paths!$C$289=1),0,IF(Paths!$P$289="Complete",IF(IF(Paths!$O$289=0,C3118=0,AND(C3118&gt;0,Paths!$O$289&gt;(C3118-1)*12,Paths!$O$289&lt;=C3118*12)),Paths!$N$289,0),"n.a."))</f>
        <v>0</v>
      </c>
      <c r="L3118" s="16">
        <f>IF(NOT(Paths!$C$289=1),0,IF(Paths!$P$289="Complete",IF(C3118=10,Paths!$I$289,0),"n.a."))</f>
        <v>0</v>
      </c>
      <c r="M3118" s="16">
        <f>IF(NOT(Paths!$C$289=1),0,IF(Paths!$P$289="Complete",IF(AND(Paths!$D$289="EV",Paths!$E$289&lt;120,Paths!$E$289+'Operating costs'!$B$65&gt;Paths!$E$289,Paths!$E$289+'Operating costs'!$B$65&lt;=120,IF(Paths!$E$289+'Operating costs'!$B$65=0,C3118=0,AND(C3118&gt;0,Paths!$E$289+'Operating costs'!$B$65&gt;(C3118-1)*12,Paths!$E$289+'Operating costs'!$B$65&lt;=C3118*12))),'Operating costs'!$B$64,0)+IF(AND('Operating costs'!$B$67&gt;0,'Operating costs'!$B$67&lt;=120,OR(Paths!$D$289="ICE",'Operating costs'!$B$67&lt;=Paths!$E$289),IF('Operating costs'!$B$67=0,C3118=0,AND(C3118&gt;0,'Operating costs'!$B$67&gt;(C3118-1)*12,'Operating costs'!$B$67&lt;=C3118*12))),'Operating costs'!$B$66,0),"n.a."))</f>
        <v>0</v>
      </c>
      <c r="N3118" s="16">
        <f>IF(NOT(Paths!$C$289=1),0,IF(Paths!$P$289="Complete",SUM(G3118:I3118)-J3118-K3118-L3118+M3118+IF(C3118=0,Paths!$F$289,0)+IF(IF(Paths!$E$289=0,C3118=0,AND(C3118&gt;0,Paths!$E$289&gt;(C3118-1)*12,Paths!$E$289&lt;=C3118*12)),VLOOKUP(A3118,'Fleet register'!$A$7:$S$106,16,FALSE),0),"n.a."))</f>
        <v>0</v>
      </c>
      <c r="O3118" s="16">
        <f>IF(NOT(Paths!$C$289=1),0,IF(Paths!$P$289="Complete",N3118-IF(C3118=0,Paths!$F$289,0),"n.a."))</f>
        <v>0</v>
      </c>
      <c r="P3118" s="16">
        <f>IF(NOT(Paths!$C$289=1),0,IF(Paths!$P$289="Complete",O3118+L3118,"n.a."))</f>
        <v>0</v>
      </c>
      <c r="Q3118" s="16">
        <f>IF(NOT(Paths!$C$289=1),0,IF(Paths!$P$289="Complete",N3118*(1+'Operating costs'!$B$54)^-C3118,"n.a."))</f>
        <v>0</v>
      </c>
      <c r="R3118" s="16">
        <f>IF(NOT(Paths!$C$289=1),0,IF(Paths!$P$289="Complete",IF(AND(C3118=0,Paths!$E$289=0),I3118-J3118-K3118+VLOOKUP(A3118,'Fleet register'!$A$7:$S$106,15,FALSE)+VLOOKUP(A3118,'Fleet register'!$A$7:$S$106,16,FALSE),0),"n.a."))</f>
        <v>0</v>
      </c>
      <c r="S3118" s="1">
        <f>IF(NOT(Paths!$C$289=1),0,IF(Paths!$P$289="Complete",IF(C3118=0,0,Paths!$S$289*Paths!$R$289),"n.a."))</f>
        <v>0</v>
      </c>
      <c r="T3118" s="1">
        <f>IF(NOT(Paths!$C$289=1),0,IF(Paths!$P$289="Complete",IF(C3118=0,0,VLOOKUP(A3118,'Fleet register'!$A$7:$S$106,9,FALSE)*Paths!$R$289),"n.a."))</f>
        <v>0</v>
      </c>
    </row>
    <row r="3119" spans="1:20" ht="24" customHeight="1">
      <c r="A3119" s="1" t="str">
        <f>Paths!$A$289</f>
        <v>T071</v>
      </c>
      <c r="B3119" s="1">
        <f>Paths!$B$289</f>
        <v>2</v>
      </c>
      <c r="C3119" s="1">
        <v>10</v>
      </c>
      <c r="D3119" s="1">
        <v>289</v>
      </c>
      <c r="E3119" s="1">
        <f>IF(OR(Paths!$C$289=0,C3119=0),0,MAX(0,MIN(C3119*12,Paths!$E$289)-(C3119-1)*12))</f>
        <v>0</v>
      </c>
      <c r="F3119" s="1">
        <f>IF(OR(Paths!$C$289=0,C3119=0),0,12-E3119)</f>
        <v>0</v>
      </c>
      <c r="G3119" s="16">
        <f>IF(NOT(Paths!$C$289=1),0,IF(Paths!$P$289="Complete",E3119/12*(Paths!$J$289*(1+'Operating costs'!$B$51)^MAX(0,C3119-1)+Paths!$K$289*(1+'Operating costs'!$B$53)^MAX(0,C3119-1)),"n.a."))</f>
        <v>0</v>
      </c>
      <c r="H3119" s="16">
        <f>IF(NOT(Paths!$C$289=1),0,IF(Paths!$P$289="Complete",F3119/12*(Paths!$L$289*(1+IF(Paths!$D$289="EV",'Operating costs'!$B$52,'Operating costs'!$B$51))^MAX(0,C3119-1)+Paths!$M$289*(1+'Operating costs'!$B$53)^MAX(0,C3119-1)),"n.a."))</f>
        <v>0</v>
      </c>
      <c r="I3119" s="16">
        <f>IF(NOT(Paths!$C$289=1),0,IF(Paths!$P$289="Complete",IF(IF(Paths!$E$289=0,C3119=0,AND(C3119&gt;0,Paths!$E$289&gt;(C3119-1)*12,Paths!$E$289&lt;=C3119*12)),Paths!$G$289,0),"n.a."))</f>
        <v>0</v>
      </c>
      <c r="J3119" s="16">
        <f>IF(NOT(Paths!$C$289=1),0,IF(Paths!$P$289="Complete",IF(IF(Paths!$E$289=0,C3119=0,AND(C3119&gt;0,Paths!$E$289&gt;(C3119-1)*12,Paths!$E$289&lt;=C3119*12)),Paths!$H$289,0),"n.a."))</f>
        <v>0</v>
      </c>
      <c r="K3119" s="16">
        <f>IF(NOT(Paths!$C$289=1),0,IF(Paths!$P$289="Complete",IF(IF(Paths!$O$289=0,C3119=0,AND(C3119&gt;0,Paths!$O$289&gt;(C3119-1)*12,Paths!$O$289&lt;=C3119*12)),Paths!$N$289,0),"n.a."))</f>
        <v>0</v>
      </c>
      <c r="L3119" s="16">
        <f>IF(NOT(Paths!$C$289=1),0,IF(Paths!$P$289="Complete",IF(C3119=10,Paths!$I$289,0),"n.a."))</f>
        <v>0</v>
      </c>
      <c r="M3119" s="16">
        <f>IF(NOT(Paths!$C$289=1),0,IF(Paths!$P$289="Complete",IF(AND(Paths!$D$289="EV",Paths!$E$289&lt;120,Paths!$E$289+'Operating costs'!$B$65&gt;Paths!$E$289,Paths!$E$289+'Operating costs'!$B$65&lt;=120,IF(Paths!$E$289+'Operating costs'!$B$65=0,C3119=0,AND(C3119&gt;0,Paths!$E$289+'Operating costs'!$B$65&gt;(C3119-1)*12,Paths!$E$289+'Operating costs'!$B$65&lt;=C3119*12))),'Operating costs'!$B$64,0)+IF(AND('Operating costs'!$B$67&gt;0,'Operating costs'!$B$67&lt;=120,OR(Paths!$D$289="ICE",'Operating costs'!$B$67&lt;=Paths!$E$289),IF('Operating costs'!$B$67=0,C3119=0,AND(C3119&gt;0,'Operating costs'!$B$67&gt;(C3119-1)*12,'Operating costs'!$B$67&lt;=C3119*12))),'Operating costs'!$B$66,0),"n.a."))</f>
        <v>0</v>
      </c>
      <c r="N3119" s="16">
        <f>IF(NOT(Paths!$C$289=1),0,IF(Paths!$P$289="Complete",SUM(G3119:I3119)-J3119-K3119-L3119+M3119+IF(C3119=0,Paths!$F$289,0)+IF(IF(Paths!$E$289=0,C3119=0,AND(C3119&gt;0,Paths!$E$289&gt;(C3119-1)*12,Paths!$E$289&lt;=C3119*12)),VLOOKUP(A3119,'Fleet register'!$A$7:$S$106,16,FALSE),0),"n.a."))</f>
        <v>0</v>
      </c>
      <c r="O3119" s="16">
        <f>IF(NOT(Paths!$C$289=1),0,IF(Paths!$P$289="Complete",N3119-IF(C3119=0,Paths!$F$289,0),"n.a."))</f>
        <v>0</v>
      </c>
      <c r="P3119" s="16">
        <f>IF(NOT(Paths!$C$289=1),0,IF(Paths!$P$289="Complete",O3119+L3119,"n.a."))</f>
        <v>0</v>
      </c>
      <c r="Q3119" s="16">
        <f>IF(NOT(Paths!$C$289=1),0,IF(Paths!$P$289="Complete",N3119*(1+'Operating costs'!$B$54)^-C3119,"n.a."))</f>
        <v>0</v>
      </c>
      <c r="R3119" s="16">
        <f>IF(NOT(Paths!$C$289=1),0,IF(Paths!$P$289="Complete",IF(AND(C3119=0,Paths!$E$289=0),I3119-J3119-K3119+VLOOKUP(A3119,'Fleet register'!$A$7:$S$106,15,FALSE)+VLOOKUP(A3119,'Fleet register'!$A$7:$S$106,16,FALSE),0),"n.a."))</f>
        <v>0</v>
      </c>
      <c r="S3119" s="1">
        <f>IF(NOT(Paths!$C$289=1),0,IF(Paths!$P$289="Complete",IF(C3119=0,0,Paths!$S$289*Paths!$R$289),"n.a."))</f>
        <v>0</v>
      </c>
      <c r="T3119" s="1">
        <f>IF(NOT(Paths!$C$289=1),0,IF(Paths!$P$289="Complete",IF(C3119=0,0,VLOOKUP(A3119,'Fleet register'!$A$7:$S$106,9,FALSE)*Paths!$R$289),"n.a."))</f>
        <v>0</v>
      </c>
    </row>
    <row r="3120" spans="1:20" ht="24" customHeight="1">
      <c r="A3120" s="1" t="str">
        <f>Paths!$A$290</f>
        <v>T071</v>
      </c>
      <c r="B3120" s="1">
        <f>Paths!$B$290</f>
        <v>3</v>
      </c>
      <c r="C3120" s="1">
        <v>0</v>
      </c>
      <c r="D3120" s="1">
        <v>290</v>
      </c>
      <c r="E3120" s="1">
        <f>IF(OR(Paths!$C$290=0,C3120=0),0,MAX(0,MIN(C3120*12,Paths!$E$290)-(C3120-1)*12))</f>
        <v>0</v>
      </c>
      <c r="F3120" s="1">
        <f>IF(OR(Paths!$C$290=0,C3120=0),0,12-E3120)</f>
        <v>0</v>
      </c>
      <c r="G3120" s="16">
        <f>IF(NOT(Paths!$C$290=1),0,IF(Paths!$P$290="Complete",E3120/12*(Paths!$J$290*(1+'Operating costs'!$B$51)^MAX(0,C3120-1)+Paths!$K$290*(1+'Operating costs'!$B$53)^MAX(0,C3120-1)),"n.a."))</f>
        <v>0</v>
      </c>
      <c r="H3120" s="16">
        <f>IF(NOT(Paths!$C$290=1),0,IF(Paths!$P$290="Complete",F3120/12*(Paths!$L$290*(1+IF(Paths!$D$290="EV",'Operating costs'!$B$52,'Operating costs'!$B$51))^MAX(0,C3120-1)+Paths!$M$290*(1+'Operating costs'!$B$53)^MAX(0,C3120-1)),"n.a."))</f>
        <v>0</v>
      </c>
      <c r="I3120" s="16">
        <f>IF(NOT(Paths!$C$290=1),0,IF(Paths!$P$290="Complete",IF(IF(Paths!$E$290=0,C3120=0,AND(C3120&gt;0,Paths!$E$290&gt;(C3120-1)*12,Paths!$E$290&lt;=C3120*12)),Paths!$G$290,0),"n.a."))</f>
        <v>0</v>
      </c>
      <c r="J3120" s="16">
        <f>IF(NOT(Paths!$C$290=1),0,IF(Paths!$P$290="Complete",IF(IF(Paths!$E$290=0,C3120=0,AND(C3120&gt;0,Paths!$E$290&gt;(C3120-1)*12,Paths!$E$290&lt;=C3120*12)),Paths!$H$290,0),"n.a."))</f>
        <v>0</v>
      </c>
      <c r="K3120" s="16">
        <f>IF(NOT(Paths!$C$290=1),0,IF(Paths!$P$290="Complete",IF(IF(Paths!$O$290=0,C3120=0,AND(C3120&gt;0,Paths!$O$290&gt;(C3120-1)*12,Paths!$O$290&lt;=C3120*12)),Paths!$N$290,0),"n.a."))</f>
        <v>0</v>
      </c>
      <c r="L3120" s="16">
        <f>IF(NOT(Paths!$C$290=1),0,IF(Paths!$P$290="Complete",IF(C3120=10,Paths!$I$290,0),"n.a."))</f>
        <v>0</v>
      </c>
      <c r="M3120" s="16">
        <f>IF(NOT(Paths!$C$290=1),0,IF(Paths!$P$290="Complete",IF(AND(Paths!$D$290="EV",Paths!$E$290&lt;120,Paths!$E$290+'Operating costs'!$B$65&gt;Paths!$E$290,Paths!$E$290+'Operating costs'!$B$65&lt;=120,IF(Paths!$E$290+'Operating costs'!$B$65=0,C3120=0,AND(C3120&gt;0,Paths!$E$290+'Operating costs'!$B$65&gt;(C3120-1)*12,Paths!$E$290+'Operating costs'!$B$65&lt;=C3120*12))),'Operating costs'!$B$64,0)+IF(AND('Operating costs'!$B$67&gt;0,'Operating costs'!$B$67&lt;=120,OR(Paths!$D$290="ICE",'Operating costs'!$B$67&lt;=Paths!$E$290),IF('Operating costs'!$B$67=0,C3120=0,AND(C3120&gt;0,'Operating costs'!$B$67&gt;(C3120-1)*12,'Operating costs'!$B$67&lt;=C3120*12))),'Operating costs'!$B$66,0),"n.a."))</f>
        <v>0</v>
      </c>
      <c r="N3120" s="16">
        <f>IF(NOT(Paths!$C$290=1),0,IF(Paths!$P$290="Complete",SUM(G3120:I3120)-J3120-K3120-L3120+M3120+IF(C3120=0,Paths!$F$290,0)+IF(IF(Paths!$E$290=0,C3120=0,AND(C3120&gt;0,Paths!$E$290&gt;(C3120-1)*12,Paths!$E$290&lt;=C3120*12)),VLOOKUP(A3120,'Fleet register'!$A$7:$S$106,16,FALSE),0),"n.a."))</f>
        <v>0</v>
      </c>
      <c r="O3120" s="16">
        <f>IF(NOT(Paths!$C$290=1),0,IF(Paths!$P$290="Complete",N3120-IF(C3120=0,Paths!$F$290,0),"n.a."))</f>
        <v>0</v>
      </c>
      <c r="P3120" s="16">
        <f>IF(NOT(Paths!$C$290=1),0,IF(Paths!$P$290="Complete",O3120+L3120,"n.a."))</f>
        <v>0</v>
      </c>
      <c r="Q3120" s="16">
        <f>IF(NOT(Paths!$C$290=1),0,IF(Paths!$P$290="Complete",N3120*(1+'Operating costs'!$B$54)^-C3120,"n.a."))</f>
        <v>0</v>
      </c>
      <c r="R3120" s="16">
        <f>IF(NOT(Paths!$C$290=1),0,IF(Paths!$P$290="Complete",IF(AND(C3120=0,Paths!$E$290=0),I3120-J3120-K3120+VLOOKUP(A3120,'Fleet register'!$A$7:$S$106,15,FALSE)+VLOOKUP(A3120,'Fleet register'!$A$7:$S$106,16,FALSE),0),"n.a."))</f>
        <v>0</v>
      </c>
      <c r="S3120" s="1">
        <f>IF(NOT(Paths!$C$290=1),0,IF(Paths!$P$290="Complete",IF(C3120=0,0,Paths!$S$290*Paths!$R$290),"n.a."))</f>
        <v>0</v>
      </c>
      <c r="T3120" s="1">
        <f>IF(NOT(Paths!$C$290=1),0,IF(Paths!$P$290="Complete",IF(C3120=0,0,VLOOKUP(A3120,'Fleet register'!$A$7:$S$106,9,FALSE)*Paths!$R$290),"n.a."))</f>
        <v>0</v>
      </c>
    </row>
    <row r="3121" spans="1:20" ht="24" customHeight="1">
      <c r="A3121" s="1" t="str">
        <f>Paths!$A$290</f>
        <v>T071</v>
      </c>
      <c r="B3121" s="1">
        <f>Paths!$B$290</f>
        <v>3</v>
      </c>
      <c r="C3121" s="1">
        <v>1</v>
      </c>
      <c r="D3121" s="1">
        <v>290</v>
      </c>
      <c r="E3121" s="1">
        <f>IF(OR(Paths!$C$290=0,C3121=0),0,MAX(0,MIN(C3121*12,Paths!$E$290)-(C3121-1)*12))</f>
        <v>0</v>
      </c>
      <c r="F3121" s="1">
        <f>IF(OR(Paths!$C$290=0,C3121=0),0,12-E3121)</f>
        <v>0</v>
      </c>
      <c r="G3121" s="16">
        <f>IF(NOT(Paths!$C$290=1),0,IF(Paths!$P$290="Complete",E3121/12*(Paths!$J$290*(1+'Operating costs'!$B$51)^MAX(0,C3121-1)+Paths!$K$290*(1+'Operating costs'!$B$53)^MAX(0,C3121-1)),"n.a."))</f>
        <v>0</v>
      </c>
      <c r="H3121" s="16">
        <f>IF(NOT(Paths!$C$290=1),0,IF(Paths!$P$290="Complete",F3121/12*(Paths!$L$290*(1+IF(Paths!$D$290="EV",'Operating costs'!$B$52,'Operating costs'!$B$51))^MAX(0,C3121-1)+Paths!$M$290*(1+'Operating costs'!$B$53)^MAX(0,C3121-1)),"n.a."))</f>
        <v>0</v>
      </c>
      <c r="I3121" s="16">
        <f>IF(NOT(Paths!$C$290=1),0,IF(Paths!$P$290="Complete",IF(IF(Paths!$E$290=0,C3121=0,AND(C3121&gt;0,Paths!$E$290&gt;(C3121-1)*12,Paths!$E$290&lt;=C3121*12)),Paths!$G$290,0),"n.a."))</f>
        <v>0</v>
      </c>
      <c r="J3121" s="16">
        <f>IF(NOT(Paths!$C$290=1),0,IF(Paths!$P$290="Complete",IF(IF(Paths!$E$290=0,C3121=0,AND(C3121&gt;0,Paths!$E$290&gt;(C3121-1)*12,Paths!$E$290&lt;=C3121*12)),Paths!$H$290,0),"n.a."))</f>
        <v>0</v>
      </c>
      <c r="K3121" s="16">
        <f>IF(NOT(Paths!$C$290=1),0,IF(Paths!$P$290="Complete",IF(IF(Paths!$O$290=0,C3121=0,AND(C3121&gt;0,Paths!$O$290&gt;(C3121-1)*12,Paths!$O$290&lt;=C3121*12)),Paths!$N$290,0),"n.a."))</f>
        <v>0</v>
      </c>
      <c r="L3121" s="16">
        <f>IF(NOT(Paths!$C$290=1),0,IF(Paths!$P$290="Complete",IF(C3121=10,Paths!$I$290,0),"n.a."))</f>
        <v>0</v>
      </c>
      <c r="M3121" s="16">
        <f>IF(NOT(Paths!$C$290=1),0,IF(Paths!$P$290="Complete",IF(AND(Paths!$D$290="EV",Paths!$E$290&lt;120,Paths!$E$290+'Operating costs'!$B$65&gt;Paths!$E$290,Paths!$E$290+'Operating costs'!$B$65&lt;=120,IF(Paths!$E$290+'Operating costs'!$B$65=0,C3121=0,AND(C3121&gt;0,Paths!$E$290+'Operating costs'!$B$65&gt;(C3121-1)*12,Paths!$E$290+'Operating costs'!$B$65&lt;=C3121*12))),'Operating costs'!$B$64,0)+IF(AND('Operating costs'!$B$67&gt;0,'Operating costs'!$B$67&lt;=120,OR(Paths!$D$290="ICE",'Operating costs'!$B$67&lt;=Paths!$E$290),IF('Operating costs'!$B$67=0,C3121=0,AND(C3121&gt;0,'Operating costs'!$B$67&gt;(C3121-1)*12,'Operating costs'!$B$67&lt;=C3121*12))),'Operating costs'!$B$66,0),"n.a."))</f>
        <v>0</v>
      </c>
      <c r="N3121" s="16">
        <f>IF(NOT(Paths!$C$290=1),0,IF(Paths!$P$290="Complete",SUM(G3121:I3121)-J3121-K3121-L3121+M3121+IF(C3121=0,Paths!$F$290,0)+IF(IF(Paths!$E$290=0,C3121=0,AND(C3121&gt;0,Paths!$E$290&gt;(C3121-1)*12,Paths!$E$290&lt;=C3121*12)),VLOOKUP(A3121,'Fleet register'!$A$7:$S$106,16,FALSE),0),"n.a."))</f>
        <v>0</v>
      </c>
      <c r="O3121" s="16">
        <f>IF(NOT(Paths!$C$290=1),0,IF(Paths!$P$290="Complete",N3121-IF(C3121=0,Paths!$F$290,0),"n.a."))</f>
        <v>0</v>
      </c>
      <c r="P3121" s="16">
        <f>IF(NOT(Paths!$C$290=1),0,IF(Paths!$P$290="Complete",O3121+L3121,"n.a."))</f>
        <v>0</v>
      </c>
      <c r="Q3121" s="16">
        <f>IF(NOT(Paths!$C$290=1),0,IF(Paths!$P$290="Complete",N3121*(1+'Operating costs'!$B$54)^-C3121,"n.a."))</f>
        <v>0</v>
      </c>
      <c r="R3121" s="16">
        <f>IF(NOT(Paths!$C$290=1),0,IF(Paths!$P$290="Complete",IF(AND(C3121=0,Paths!$E$290=0),I3121-J3121-K3121+VLOOKUP(A3121,'Fleet register'!$A$7:$S$106,15,FALSE)+VLOOKUP(A3121,'Fleet register'!$A$7:$S$106,16,FALSE),0),"n.a."))</f>
        <v>0</v>
      </c>
      <c r="S3121" s="1">
        <f>IF(NOT(Paths!$C$290=1),0,IF(Paths!$P$290="Complete",IF(C3121=0,0,Paths!$S$290*Paths!$R$290),"n.a."))</f>
        <v>0</v>
      </c>
      <c r="T3121" s="1">
        <f>IF(NOT(Paths!$C$290=1),0,IF(Paths!$P$290="Complete",IF(C3121=0,0,VLOOKUP(A3121,'Fleet register'!$A$7:$S$106,9,FALSE)*Paths!$R$290),"n.a."))</f>
        <v>0</v>
      </c>
    </row>
    <row r="3122" spans="1:20" ht="24" customHeight="1">
      <c r="A3122" s="1" t="str">
        <f>Paths!$A$290</f>
        <v>T071</v>
      </c>
      <c r="B3122" s="1">
        <f>Paths!$B$290</f>
        <v>3</v>
      </c>
      <c r="C3122" s="1">
        <v>2</v>
      </c>
      <c r="D3122" s="1">
        <v>290</v>
      </c>
      <c r="E3122" s="1">
        <f>IF(OR(Paths!$C$290=0,C3122=0),0,MAX(0,MIN(C3122*12,Paths!$E$290)-(C3122-1)*12))</f>
        <v>0</v>
      </c>
      <c r="F3122" s="1">
        <f>IF(OR(Paths!$C$290=0,C3122=0),0,12-E3122)</f>
        <v>0</v>
      </c>
      <c r="G3122" s="16">
        <f>IF(NOT(Paths!$C$290=1),0,IF(Paths!$P$290="Complete",E3122/12*(Paths!$J$290*(1+'Operating costs'!$B$51)^MAX(0,C3122-1)+Paths!$K$290*(1+'Operating costs'!$B$53)^MAX(0,C3122-1)),"n.a."))</f>
        <v>0</v>
      </c>
      <c r="H3122" s="16">
        <f>IF(NOT(Paths!$C$290=1),0,IF(Paths!$P$290="Complete",F3122/12*(Paths!$L$290*(1+IF(Paths!$D$290="EV",'Operating costs'!$B$52,'Operating costs'!$B$51))^MAX(0,C3122-1)+Paths!$M$290*(1+'Operating costs'!$B$53)^MAX(0,C3122-1)),"n.a."))</f>
        <v>0</v>
      </c>
      <c r="I3122" s="16">
        <f>IF(NOT(Paths!$C$290=1),0,IF(Paths!$P$290="Complete",IF(IF(Paths!$E$290=0,C3122=0,AND(C3122&gt;0,Paths!$E$290&gt;(C3122-1)*12,Paths!$E$290&lt;=C3122*12)),Paths!$G$290,0),"n.a."))</f>
        <v>0</v>
      </c>
      <c r="J3122" s="16">
        <f>IF(NOT(Paths!$C$290=1),0,IF(Paths!$P$290="Complete",IF(IF(Paths!$E$290=0,C3122=0,AND(C3122&gt;0,Paths!$E$290&gt;(C3122-1)*12,Paths!$E$290&lt;=C3122*12)),Paths!$H$290,0),"n.a."))</f>
        <v>0</v>
      </c>
      <c r="K3122" s="16">
        <f>IF(NOT(Paths!$C$290=1),0,IF(Paths!$P$290="Complete",IF(IF(Paths!$O$290=0,C3122=0,AND(C3122&gt;0,Paths!$O$290&gt;(C3122-1)*12,Paths!$O$290&lt;=C3122*12)),Paths!$N$290,0),"n.a."))</f>
        <v>0</v>
      </c>
      <c r="L3122" s="16">
        <f>IF(NOT(Paths!$C$290=1),0,IF(Paths!$P$290="Complete",IF(C3122=10,Paths!$I$290,0),"n.a."))</f>
        <v>0</v>
      </c>
      <c r="M3122" s="16">
        <f>IF(NOT(Paths!$C$290=1),0,IF(Paths!$P$290="Complete",IF(AND(Paths!$D$290="EV",Paths!$E$290&lt;120,Paths!$E$290+'Operating costs'!$B$65&gt;Paths!$E$290,Paths!$E$290+'Operating costs'!$B$65&lt;=120,IF(Paths!$E$290+'Operating costs'!$B$65=0,C3122=0,AND(C3122&gt;0,Paths!$E$290+'Operating costs'!$B$65&gt;(C3122-1)*12,Paths!$E$290+'Operating costs'!$B$65&lt;=C3122*12))),'Operating costs'!$B$64,0)+IF(AND('Operating costs'!$B$67&gt;0,'Operating costs'!$B$67&lt;=120,OR(Paths!$D$290="ICE",'Operating costs'!$B$67&lt;=Paths!$E$290),IF('Operating costs'!$B$67=0,C3122=0,AND(C3122&gt;0,'Operating costs'!$B$67&gt;(C3122-1)*12,'Operating costs'!$B$67&lt;=C3122*12))),'Operating costs'!$B$66,0),"n.a."))</f>
        <v>0</v>
      </c>
      <c r="N3122" s="16">
        <f>IF(NOT(Paths!$C$290=1),0,IF(Paths!$P$290="Complete",SUM(G3122:I3122)-J3122-K3122-L3122+M3122+IF(C3122=0,Paths!$F$290,0)+IF(IF(Paths!$E$290=0,C3122=0,AND(C3122&gt;0,Paths!$E$290&gt;(C3122-1)*12,Paths!$E$290&lt;=C3122*12)),VLOOKUP(A3122,'Fleet register'!$A$7:$S$106,16,FALSE),0),"n.a."))</f>
        <v>0</v>
      </c>
      <c r="O3122" s="16">
        <f>IF(NOT(Paths!$C$290=1),0,IF(Paths!$P$290="Complete",N3122-IF(C3122=0,Paths!$F$290,0),"n.a."))</f>
        <v>0</v>
      </c>
      <c r="P3122" s="16">
        <f>IF(NOT(Paths!$C$290=1),0,IF(Paths!$P$290="Complete",O3122+L3122,"n.a."))</f>
        <v>0</v>
      </c>
      <c r="Q3122" s="16">
        <f>IF(NOT(Paths!$C$290=1),0,IF(Paths!$P$290="Complete",N3122*(1+'Operating costs'!$B$54)^-C3122,"n.a."))</f>
        <v>0</v>
      </c>
      <c r="R3122" s="16">
        <f>IF(NOT(Paths!$C$290=1),0,IF(Paths!$P$290="Complete",IF(AND(C3122=0,Paths!$E$290=0),I3122-J3122-K3122+VLOOKUP(A3122,'Fleet register'!$A$7:$S$106,15,FALSE)+VLOOKUP(A3122,'Fleet register'!$A$7:$S$106,16,FALSE),0),"n.a."))</f>
        <v>0</v>
      </c>
      <c r="S3122" s="1">
        <f>IF(NOT(Paths!$C$290=1),0,IF(Paths!$P$290="Complete",IF(C3122=0,0,Paths!$S$290*Paths!$R$290),"n.a."))</f>
        <v>0</v>
      </c>
      <c r="T3122" s="1">
        <f>IF(NOT(Paths!$C$290=1),0,IF(Paths!$P$290="Complete",IF(C3122=0,0,VLOOKUP(A3122,'Fleet register'!$A$7:$S$106,9,FALSE)*Paths!$R$290),"n.a."))</f>
        <v>0</v>
      </c>
    </row>
    <row r="3123" spans="1:20" ht="24" customHeight="1">
      <c r="A3123" s="1" t="str">
        <f>Paths!$A$290</f>
        <v>T071</v>
      </c>
      <c r="B3123" s="1">
        <f>Paths!$B$290</f>
        <v>3</v>
      </c>
      <c r="C3123" s="1">
        <v>3</v>
      </c>
      <c r="D3123" s="1">
        <v>290</v>
      </c>
      <c r="E3123" s="1">
        <f>IF(OR(Paths!$C$290=0,C3123=0),0,MAX(0,MIN(C3123*12,Paths!$E$290)-(C3123-1)*12))</f>
        <v>0</v>
      </c>
      <c r="F3123" s="1">
        <f>IF(OR(Paths!$C$290=0,C3123=0),0,12-E3123)</f>
        <v>0</v>
      </c>
      <c r="G3123" s="16">
        <f>IF(NOT(Paths!$C$290=1),0,IF(Paths!$P$290="Complete",E3123/12*(Paths!$J$290*(1+'Operating costs'!$B$51)^MAX(0,C3123-1)+Paths!$K$290*(1+'Operating costs'!$B$53)^MAX(0,C3123-1)),"n.a."))</f>
        <v>0</v>
      </c>
      <c r="H3123" s="16">
        <f>IF(NOT(Paths!$C$290=1),0,IF(Paths!$P$290="Complete",F3123/12*(Paths!$L$290*(1+IF(Paths!$D$290="EV",'Operating costs'!$B$52,'Operating costs'!$B$51))^MAX(0,C3123-1)+Paths!$M$290*(1+'Operating costs'!$B$53)^MAX(0,C3123-1)),"n.a."))</f>
        <v>0</v>
      </c>
      <c r="I3123" s="16">
        <f>IF(NOT(Paths!$C$290=1),0,IF(Paths!$P$290="Complete",IF(IF(Paths!$E$290=0,C3123=0,AND(C3123&gt;0,Paths!$E$290&gt;(C3123-1)*12,Paths!$E$290&lt;=C3123*12)),Paths!$G$290,0),"n.a."))</f>
        <v>0</v>
      </c>
      <c r="J3123" s="16">
        <f>IF(NOT(Paths!$C$290=1),0,IF(Paths!$P$290="Complete",IF(IF(Paths!$E$290=0,C3123=0,AND(C3123&gt;0,Paths!$E$290&gt;(C3123-1)*12,Paths!$E$290&lt;=C3123*12)),Paths!$H$290,0),"n.a."))</f>
        <v>0</v>
      </c>
      <c r="K3123" s="16">
        <f>IF(NOT(Paths!$C$290=1),0,IF(Paths!$P$290="Complete",IF(IF(Paths!$O$290=0,C3123=0,AND(C3123&gt;0,Paths!$O$290&gt;(C3123-1)*12,Paths!$O$290&lt;=C3123*12)),Paths!$N$290,0),"n.a."))</f>
        <v>0</v>
      </c>
      <c r="L3123" s="16">
        <f>IF(NOT(Paths!$C$290=1),0,IF(Paths!$P$290="Complete",IF(C3123=10,Paths!$I$290,0),"n.a."))</f>
        <v>0</v>
      </c>
      <c r="M3123" s="16">
        <f>IF(NOT(Paths!$C$290=1),0,IF(Paths!$P$290="Complete",IF(AND(Paths!$D$290="EV",Paths!$E$290&lt;120,Paths!$E$290+'Operating costs'!$B$65&gt;Paths!$E$290,Paths!$E$290+'Operating costs'!$B$65&lt;=120,IF(Paths!$E$290+'Operating costs'!$B$65=0,C3123=0,AND(C3123&gt;0,Paths!$E$290+'Operating costs'!$B$65&gt;(C3123-1)*12,Paths!$E$290+'Operating costs'!$B$65&lt;=C3123*12))),'Operating costs'!$B$64,0)+IF(AND('Operating costs'!$B$67&gt;0,'Operating costs'!$B$67&lt;=120,OR(Paths!$D$290="ICE",'Operating costs'!$B$67&lt;=Paths!$E$290),IF('Operating costs'!$B$67=0,C3123=0,AND(C3123&gt;0,'Operating costs'!$B$67&gt;(C3123-1)*12,'Operating costs'!$B$67&lt;=C3123*12))),'Operating costs'!$B$66,0),"n.a."))</f>
        <v>0</v>
      </c>
      <c r="N3123" s="16">
        <f>IF(NOT(Paths!$C$290=1),0,IF(Paths!$P$290="Complete",SUM(G3123:I3123)-J3123-K3123-L3123+M3123+IF(C3123=0,Paths!$F$290,0)+IF(IF(Paths!$E$290=0,C3123=0,AND(C3123&gt;0,Paths!$E$290&gt;(C3123-1)*12,Paths!$E$290&lt;=C3123*12)),VLOOKUP(A3123,'Fleet register'!$A$7:$S$106,16,FALSE),0),"n.a."))</f>
        <v>0</v>
      </c>
      <c r="O3123" s="16">
        <f>IF(NOT(Paths!$C$290=1),0,IF(Paths!$P$290="Complete",N3123-IF(C3123=0,Paths!$F$290,0),"n.a."))</f>
        <v>0</v>
      </c>
      <c r="P3123" s="16">
        <f>IF(NOT(Paths!$C$290=1),0,IF(Paths!$P$290="Complete",O3123+L3123,"n.a."))</f>
        <v>0</v>
      </c>
      <c r="Q3123" s="16">
        <f>IF(NOT(Paths!$C$290=1),0,IF(Paths!$P$290="Complete",N3123*(1+'Operating costs'!$B$54)^-C3123,"n.a."))</f>
        <v>0</v>
      </c>
      <c r="R3123" s="16">
        <f>IF(NOT(Paths!$C$290=1),0,IF(Paths!$P$290="Complete",IF(AND(C3123=0,Paths!$E$290=0),I3123-J3123-K3123+VLOOKUP(A3123,'Fleet register'!$A$7:$S$106,15,FALSE)+VLOOKUP(A3123,'Fleet register'!$A$7:$S$106,16,FALSE),0),"n.a."))</f>
        <v>0</v>
      </c>
      <c r="S3123" s="1">
        <f>IF(NOT(Paths!$C$290=1),0,IF(Paths!$P$290="Complete",IF(C3123=0,0,Paths!$S$290*Paths!$R$290),"n.a."))</f>
        <v>0</v>
      </c>
      <c r="T3123" s="1">
        <f>IF(NOT(Paths!$C$290=1),0,IF(Paths!$P$290="Complete",IF(C3123=0,0,VLOOKUP(A3123,'Fleet register'!$A$7:$S$106,9,FALSE)*Paths!$R$290),"n.a."))</f>
        <v>0</v>
      </c>
    </row>
    <row r="3124" spans="1:20" ht="24" customHeight="1">
      <c r="A3124" s="1" t="str">
        <f>Paths!$A$290</f>
        <v>T071</v>
      </c>
      <c r="B3124" s="1">
        <f>Paths!$B$290</f>
        <v>3</v>
      </c>
      <c r="C3124" s="1">
        <v>4</v>
      </c>
      <c r="D3124" s="1">
        <v>290</v>
      </c>
      <c r="E3124" s="1">
        <f>IF(OR(Paths!$C$290=0,C3124=0),0,MAX(0,MIN(C3124*12,Paths!$E$290)-(C3124-1)*12))</f>
        <v>0</v>
      </c>
      <c r="F3124" s="1">
        <f>IF(OR(Paths!$C$290=0,C3124=0),0,12-E3124)</f>
        <v>0</v>
      </c>
      <c r="G3124" s="16">
        <f>IF(NOT(Paths!$C$290=1),0,IF(Paths!$P$290="Complete",E3124/12*(Paths!$J$290*(1+'Operating costs'!$B$51)^MAX(0,C3124-1)+Paths!$K$290*(1+'Operating costs'!$B$53)^MAX(0,C3124-1)),"n.a."))</f>
        <v>0</v>
      </c>
      <c r="H3124" s="16">
        <f>IF(NOT(Paths!$C$290=1),0,IF(Paths!$P$290="Complete",F3124/12*(Paths!$L$290*(1+IF(Paths!$D$290="EV",'Operating costs'!$B$52,'Operating costs'!$B$51))^MAX(0,C3124-1)+Paths!$M$290*(1+'Operating costs'!$B$53)^MAX(0,C3124-1)),"n.a."))</f>
        <v>0</v>
      </c>
      <c r="I3124" s="16">
        <f>IF(NOT(Paths!$C$290=1),0,IF(Paths!$P$290="Complete",IF(IF(Paths!$E$290=0,C3124=0,AND(C3124&gt;0,Paths!$E$290&gt;(C3124-1)*12,Paths!$E$290&lt;=C3124*12)),Paths!$G$290,0),"n.a."))</f>
        <v>0</v>
      </c>
      <c r="J3124" s="16">
        <f>IF(NOT(Paths!$C$290=1),0,IF(Paths!$P$290="Complete",IF(IF(Paths!$E$290=0,C3124=0,AND(C3124&gt;0,Paths!$E$290&gt;(C3124-1)*12,Paths!$E$290&lt;=C3124*12)),Paths!$H$290,0),"n.a."))</f>
        <v>0</v>
      </c>
      <c r="K3124" s="16">
        <f>IF(NOT(Paths!$C$290=1),0,IF(Paths!$P$290="Complete",IF(IF(Paths!$O$290=0,C3124=0,AND(C3124&gt;0,Paths!$O$290&gt;(C3124-1)*12,Paths!$O$290&lt;=C3124*12)),Paths!$N$290,0),"n.a."))</f>
        <v>0</v>
      </c>
      <c r="L3124" s="16">
        <f>IF(NOT(Paths!$C$290=1),0,IF(Paths!$P$290="Complete",IF(C3124=10,Paths!$I$290,0),"n.a."))</f>
        <v>0</v>
      </c>
      <c r="M3124" s="16">
        <f>IF(NOT(Paths!$C$290=1),0,IF(Paths!$P$290="Complete",IF(AND(Paths!$D$290="EV",Paths!$E$290&lt;120,Paths!$E$290+'Operating costs'!$B$65&gt;Paths!$E$290,Paths!$E$290+'Operating costs'!$B$65&lt;=120,IF(Paths!$E$290+'Operating costs'!$B$65=0,C3124=0,AND(C3124&gt;0,Paths!$E$290+'Operating costs'!$B$65&gt;(C3124-1)*12,Paths!$E$290+'Operating costs'!$B$65&lt;=C3124*12))),'Operating costs'!$B$64,0)+IF(AND('Operating costs'!$B$67&gt;0,'Operating costs'!$B$67&lt;=120,OR(Paths!$D$290="ICE",'Operating costs'!$B$67&lt;=Paths!$E$290),IF('Operating costs'!$B$67=0,C3124=0,AND(C3124&gt;0,'Operating costs'!$B$67&gt;(C3124-1)*12,'Operating costs'!$B$67&lt;=C3124*12))),'Operating costs'!$B$66,0),"n.a."))</f>
        <v>0</v>
      </c>
      <c r="N3124" s="16">
        <f>IF(NOT(Paths!$C$290=1),0,IF(Paths!$P$290="Complete",SUM(G3124:I3124)-J3124-K3124-L3124+M3124+IF(C3124=0,Paths!$F$290,0)+IF(IF(Paths!$E$290=0,C3124=0,AND(C3124&gt;0,Paths!$E$290&gt;(C3124-1)*12,Paths!$E$290&lt;=C3124*12)),VLOOKUP(A3124,'Fleet register'!$A$7:$S$106,16,FALSE),0),"n.a."))</f>
        <v>0</v>
      </c>
      <c r="O3124" s="16">
        <f>IF(NOT(Paths!$C$290=1),0,IF(Paths!$P$290="Complete",N3124-IF(C3124=0,Paths!$F$290,0),"n.a."))</f>
        <v>0</v>
      </c>
      <c r="P3124" s="16">
        <f>IF(NOT(Paths!$C$290=1),0,IF(Paths!$P$290="Complete",O3124+L3124,"n.a."))</f>
        <v>0</v>
      </c>
      <c r="Q3124" s="16">
        <f>IF(NOT(Paths!$C$290=1),0,IF(Paths!$P$290="Complete",N3124*(1+'Operating costs'!$B$54)^-C3124,"n.a."))</f>
        <v>0</v>
      </c>
      <c r="R3124" s="16">
        <f>IF(NOT(Paths!$C$290=1),0,IF(Paths!$P$290="Complete",IF(AND(C3124=0,Paths!$E$290=0),I3124-J3124-K3124+VLOOKUP(A3124,'Fleet register'!$A$7:$S$106,15,FALSE)+VLOOKUP(A3124,'Fleet register'!$A$7:$S$106,16,FALSE),0),"n.a."))</f>
        <v>0</v>
      </c>
      <c r="S3124" s="1">
        <f>IF(NOT(Paths!$C$290=1),0,IF(Paths!$P$290="Complete",IF(C3124=0,0,Paths!$S$290*Paths!$R$290),"n.a."))</f>
        <v>0</v>
      </c>
      <c r="T3124" s="1">
        <f>IF(NOT(Paths!$C$290=1),0,IF(Paths!$P$290="Complete",IF(C3124=0,0,VLOOKUP(A3124,'Fleet register'!$A$7:$S$106,9,FALSE)*Paths!$R$290),"n.a."))</f>
        <v>0</v>
      </c>
    </row>
    <row r="3125" spans="1:20" ht="24" customHeight="1">
      <c r="A3125" s="1" t="str">
        <f>Paths!$A$290</f>
        <v>T071</v>
      </c>
      <c r="B3125" s="1">
        <f>Paths!$B$290</f>
        <v>3</v>
      </c>
      <c r="C3125" s="1">
        <v>5</v>
      </c>
      <c r="D3125" s="1">
        <v>290</v>
      </c>
      <c r="E3125" s="1">
        <f>IF(OR(Paths!$C$290=0,C3125=0),0,MAX(0,MIN(C3125*12,Paths!$E$290)-(C3125-1)*12))</f>
        <v>0</v>
      </c>
      <c r="F3125" s="1">
        <f>IF(OR(Paths!$C$290=0,C3125=0),0,12-E3125)</f>
        <v>0</v>
      </c>
      <c r="G3125" s="16">
        <f>IF(NOT(Paths!$C$290=1),0,IF(Paths!$P$290="Complete",E3125/12*(Paths!$J$290*(1+'Operating costs'!$B$51)^MAX(0,C3125-1)+Paths!$K$290*(1+'Operating costs'!$B$53)^MAX(0,C3125-1)),"n.a."))</f>
        <v>0</v>
      </c>
      <c r="H3125" s="16">
        <f>IF(NOT(Paths!$C$290=1),0,IF(Paths!$P$290="Complete",F3125/12*(Paths!$L$290*(1+IF(Paths!$D$290="EV",'Operating costs'!$B$52,'Operating costs'!$B$51))^MAX(0,C3125-1)+Paths!$M$290*(1+'Operating costs'!$B$53)^MAX(0,C3125-1)),"n.a."))</f>
        <v>0</v>
      </c>
      <c r="I3125" s="16">
        <f>IF(NOT(Paths!$C$290=1),0,IF(Paths!$P$290="Complete",IF(IF(Paths!$E$290=0,C3125=0,AND(C3125&gt;0,Paths!$E$290&gt;(C3125-1)*12,Paths!$E$290&lt;=C3125*12)),Paths!$G$290,0),"n.a."))</f>
        <v>0</v>
      </c>
      <c r="J3125" s="16">
        <f>IF(NOT(Paths!$C$290=1),0,IF(Paths!$P$290="Complete",IF(IF(Paths!$E$290=0,C3125=0,AND(C3125&gt;0,Paths!$E$290&gt;(C3125-1)*12,Paths!$E$290&lt;=C3125*12)),Paths!$H$290,0),"n.a."))</f>
        <v>0</v>
      </c>
      <c r="K3125" s="16">
        <f>IF(NOT(Paths!$C$290=1),0,IF(Paths!$P$290="Complete",IF(IF(Paths!$O$290=0,C3125=0,AND(C3125&gt;0,Paths!$O$290&gt;(C3125-1)*12,Paths!$O$290&lt;=C3125*12)),Paths!$N$290,0),"n.a."))</f>
        <v>0</v>
      </c>
      <c r="L3125" s="16">
        <f>IF(NOT(Paths!$C$290=1),0,IF(Paths!$P$290="Complete",IF(C3125=10,Paths!$I$290,0),"n.a."))</f>
        <v>0</v>
      </c>
      <c r="M3125" s="16">
        <f>IF(NOT(Paths!$C$290=1),0,IF(Paths!$P$290="Complete",IF(AND(Paths!$D$290="EV",Paths!$E$290&lt;120,Paths!$E$290+'Operating costs'!$B$65&gt;Paths!$E$290,Paths!$E$290+'Operating costs'!$B$65&lt;=120,IF(Paths!$E$290+'Operating costs'!$B$65=0,C3125=0,AND(C3125&gt;0,Paths!$E$290+'Operating costs'!$B$65&gt;(C3125-1)*12,Paths!$E$290+'Operating costs'!$B$65&lt;=C3125*12))),'Operating costs'!$B$64,0)+IF(AND('Operating costs'!$B$67&gt;0,'Operating costs'!$B$67&lt;=120,OR(Paths!$D$290="ICE",'Operating costs'!$B$67&lt;=Paths!$E$290),IF('Operating costs'!$B$67=0,C3125=0,AND(C3125&gt;0,'Operating costs'!$B$67&gt;(C3125-1)*12,'Operating costs'!$B$67&lt;=C3125*12))),'Operating costs'!$B$66,0),"n.a."))</f>
        <v>0</v>
      </c>
      <c r="N3125" s="16">
        <f>IF(NOT(Paths!$C$290=1),0,IF(Paths!$P$290="Complete",SUM(G3125:I3125)-J3125-K3125-L3125+M3125+IF(C3125=0,Paths!$F$290,0)+IF(IF(Paths!$E$290=0,C3125=0,AND(C3125&gt;0,Paths!$E$290&gt;(C3125-1)*12,Paths!$E$290&lt;=C3125*12)),VLOOKUP(A3125,'Fleet register'!$A$7:$S$106,16,FALSE),0),"n.a."))</f>
        <v>0</v>
      </c>
      <c r="O3125" s="16">
        <f>IF(NOT(Paths!$C$290=1),0,IF(Paths!$P$290="Complete",N3125-IF(C3125=0,Paths!$F$290,0),"n.a."))</f>
        <v>0</v>
      </c>
      <c r="P3125" s="16">
        <f>IF(NOT(Paths!$C$290=1),0,IF(Paths!$P$290="Complete",O3125+L3125,"n.a."))</f>
        <v>0</v>
      </c>
      <c r="Q3125" s="16">
        <f>IF(NOT(Paths!$C$290=1),0,IF(Paths!$P$290="Complete",N3125*(1+'Operating costs'!$B$54)^-C3125,"n.a."))</f>
        <v>0</v>
      </c>
      <c r="R3125" s="16">
        <f>IF(NOT(Paths!$C$290=1),0,IF(Paths!$P$290="Complete",IF(AND(C3125=0,Paths!$E$290=0),I3125-J3125-K3125+VLOOKUP(A3125,'Fleet register'!$A$7:$S$106,15,FALSE)+VLOOKUP(A3125,'Fleet register'!$A$7:$S$106,16,FALSE),0),"n.a."))</f>
        <v>0</v>
      </c>
      <c r="S3125" s="1">
        <f>IF(NOT(Paths!$C$290=1),0,IF(Paths!$P$290="Complete",IF(C3125=0,0,Paths!$S$290*Paths!$R$290),"n.a."))</f>
        <v>0</v>
      </c>
      <c r="T3125" s="1">
        <f>IF(NOT(Paths!$C$290=1),0,IF(Paths!$P$290="Complete",IF(C3125=0,0,VLOOKUP(A3125,'Fleet register'!$A$7:$S$106,9,FALSE)*Paths!$R$290),"n.a."))</f>
        <v>0</v>
      </c>
    </row>
    <row r="3126" spans="1:20" ht="24" customHeight="1">
      <c r="A3126" s="1" t="str">
        <f>Paths!$A$290</f>
        <v>T071</v>
      </c>
      <c r="B3126" s="1">
        <f>Paths!$B$290</f>
        <v>3</v>
      </c>
      <c r="C3126" s="1">
        <v>6</v>
      </c>
      <c r="D3126" s="1">
        <v>290</v>
      </c>
      <c r="E3126" s="1">
        <f>IF(OR(Paths!$C$290=0,C3126=0),0,MAX(0,MIN(C3126*12,Paths!$E$290)-(C3126-1)*12))</f>
        <v>0</v>
      </c>
      <c r="F3126" s="1">
        <f>IF(OR(Paths!$C$290=0,C3126=0),0,12-E3126)</f>
        <v>0</v>
      </c>
      <c r="G3126" s="16">
        <f>IF(NOT(Paths!$C$290=1),0,IF(Paths!$P$290="Complete",E3126/12*(Paths!$J$290*(1+'Operating costs'!$B$51)^MAX(0,C3126-1)+Paths!$K$290*(1+'Operating costs'!$B$53)^MAX(0,C3126-1)),"n.a."))</f>
        <v>0</v>
      </c>
      <c r="H3126" s="16">
        <f>IF(NOT(Paths!$C$290=1),0,IF(Paths!$P$290="Complete",F3126/12*(Paths!$L$290*(1+IF(Paths!$D$290="EV",'Operating costs'!$B$52,'Operating costs'!$B$51))^MAX(0,C3126-1)+Paths!$M$290*(1+'Operating costs'!$B$53)^MAX(0,C3126-1)),"n.a."))</f>
        <v>0</v>
      </c>
      <c r="I3126" s="16">
        <f>IF(NOT(Paths!$C$290=1),0,IF(Paths!$P$290="Complete",IF(IF(Paths!$E$290=0,C3126=0,AND(C3126&gt;0,Paths!$E$290&gt;(C3126-1)*12,Paths!$E$290&lt;=C3126*12)),Paths!$G$290,0),"n.a."))</f>
        <v>0</v>
      </c>
      <c r="J3126" s="16">
        <f>IF(NOT(Paths!$C$290=1),0,IF(Paths!$P$290="Complete",IF(IF(Paths!$E$290=0,C3126=0,AND(C3126&gt;0,Paths!$E$290&gt;(C3126-1)*12,Paths!$E$290&lt;=C3126*12)),Paths!$H$290,0),"n.a."))</f>
        <v>0</v>
      </c>
      <c r="K3126" s="16">
        <f>IF(NOT(Paths!$C$290=1),0,IF(Paths!$P$290="Complete",IF(IF(Paths!$O$290=0,C3126=0,AND(C3126&gt;0,Paths!$O$290&gt;(C3126-1)*12,Paths!$O$290&lt;=C3126*12)),Paths!$N$290,0),"n.a."))</f>
        <v>0</v>
      </c>
      <c r="L3126" s="16">
        <f>IF(NOT(Paths!$C$290=1),0,IF(Paths!$P$290="Complete",IF(C3126=10,Paths!$I$290,0),"n.a."))</f>
        <v>0</v>
      </c>
      <c r="M3126" s="16">
        <f>IF(NOT(Paths!$C$290=1),0,IF(Paths!$P$290="Complete",IF(AND(Paths!$D$290="EV",Paths!$E$290&lt;120,Paths!$E$290+'Operating costs'!$B$65&gt;Paths!$E$290,Paths!$E$290+'Operating costs'!$B$65&lt;=120,IF(Paths!$E$290+'Operating costs'!$B$65=0,C3126=0,AND(C3126&gt;0,Paths!$E$290+'Operating costs'!$B$65&gt;(C3126-1)*12,Paths!$E$290+'Operating costs'!$B$65&lt;=C3126*12))),'Operating costs'!$B$64,0)+IF(AND('Operating costs'!$B$67&gt;0,'Operating costs'!$B$67&lt;=120,OR(Paths!$D$290="ICE",'Operating costs'!$B$67&lt;=Paths!$E$290),IF('Operating costs'!$B$67=0,C3126=0,AND(C3126&gt;0,'Operating costs'!$B$67&gt;(C3126-1)*12,'Operating costs'!$B$67&lt;=C3126*12))),'Operating costs'!$B$66,0),"n.a."))</f>
        <v>0</v>
      </c>
      <c r="N3126" s="16">
        <f>IF(NOT(Paths!$C$290=1),0,IF(Paths!$P$290="Complete",SUM(G3126:I3126)-J3126-K3126-L3126+M3126+IF(C3126=0,Paths!$F$290,0)+IF(IF(Paths!$E$290=0,C3126=0,AND(C3126&gt;0,Paths!$E$290&gt;(C3126-1)*12,Paths!$E$290&lt;=C3126*12)),VLOOKUP(A3126,'Fleet register'!$A$7:$S$106,16,FALSE),0),"n.a."))</f>
        <v>0</v>
      </c>
      <c r="O3126" s="16">
        <f>IF(NOT(Paths!$C$290=1),0,IF(Paths!$P$290="Complete",N3126-IF(C3126=0,Paths!$F$290,0),"n.a."))</f>
        <v>0</v>
      </c>
      <c r="P3126" s="16">
        <f>IF(NOT(Paths!$C$290=1),0,IF(Paths!$P$290="Complete",O3126+L3126,"n.a."))</f>
        <v>0</v>
      </c>
      <c r="Q3126" s="16">
        <f>IF(NOT(Paths!$C$290=1),0,IF(Paths!$P$290="Complete",N3126*(1+'Operating costs'!$B$54)^-C3126,"n.a."))</f>
        <v>0</v>
      </c>
      <c r="R3126" s="16">
        <f>IF(NOT(Paths!$C$290=1),0,IF(Paths!$P$290="Complete",IF(AND(C3126=0,Paths!$E$290=0),I3126-J3126-K3126+VLOOKUP(A3126,'Fleet register'!$A$7:$S$106,15,FALSE)+VLOOKUP(A3126,'Fleet register'!$A$7:$S$106,16,FALSE),0),"n.a."))</f>
        <v>0</v>
      </c>
      <c r="S3126" s="1">
        <f>IF(NOT(Paths!$C$290=1),0,IF(Paths!$P$290="Complete",IF(C3126=0,0,Paths!$S$290*Paths!$R$290),"n.a."))</f>
        <v>0</v>
      </c>
      <c r="T3126" s="1">
        <f>IF(NOT(Paths!$C$290=1),0,IF(Paths!$P$290="Complete",IF(C3126=0,0,VLOOKUP(A3126,'Fleet register'!$A$7:$S$106,9,FALSE)*Paths!$R$290),"n.a."))</f>
        <v>0</v>
      </c>
    </row>
    <row r="3127" spans="1:20" ht="24" customHeight="1">
      <c r="A3127" s="1" t="str">
        <f>Paths!$A$290</f>
        <v>T071</v>
      </c>
      <c r="B3127" s="1">
        <f>Paths!$B$290</f>
        <v>3</v>
      </c>
      <c r="C3127" s="1">
        <v>7</v>
      </c>
      <c r="D3127" s="1">
        <v>290</v>
      </c>
      <c r="E3127" s="1">
        <f>IF(OR(Paths!$C$290=0,C3127=0),0,MAX(0,MIN(C3127*12,Paths!$E$290)-(C3127-1)*12))</f>
        <v>0</v>
      </c>
      <c r="F3127" s="1">
        <f>IF(OR(Paths!$C$290=0,C3127=0),0,12-E3127)</f>
        <v>0</v>
      </c>
      <c r="G3127" s="16">
        <f>IF(NOT(Paths!$C$290=1),0,IF(Paths!$P$290="Complete",E3127/12*(Paths!$J$290*(1+'Operating costs'!$B$51)^MAX(0,C3127-1)+Paths!$K$290*(1+'Operating costs'!$B$53)^MAX(0,C3127-1)),"n.a."))</f>
        <v>0</v>
      </c>
      <c r="H3127" s="16">
        <f>IF(NOT(Paths!$C$290=1),0,IF(Paths!$P$290="Complete",F3127/12*(Paths!$L$290*(1+IF(Paths!$D$290="EV",'Operating costs'!$B$52,'Operating costs'!$B$51))^MAX(0,C3127-1)+Paths!$M$290*(1+'Operating costs'!$B$53)^MAX(0,C3127-1)),"n.a."))</f>
        <v>0</v>
      </c>
      <c r="I3127" s="16">
        <f>IF(NOT(Paths!$C$290=1),0,IF(Paths!$P$290="Complete",IF(IF(Paths!$E$290=0,C3127=0,AND(C3127&gt;0,Paths!$E$290&gt;(C3127-1)*12,Paths!$E$290&lt;=C3127*12)),Paths!$G$290,0),"n.a."))</f>
        <v>0</v>
      </c>
      <c r="J3127" s="16">
        <f>IF(NOT(Paths!$C$290=1),0,IF(Paths!$P$290="Complete",IF(IF(Paths!$E$290=0,C3127=0,AND(C3127&gt;0,Paths!$E$290&gt;(C3127-1)*12,Paths!$E$290&lt;=C3127*12)),Paths!$H$290,0),"n.a."))</f>
        <v>0</v>
      </c>
      <c r="K3127" s="16">
        <f>IF(NOT(Paths!$C$290=1),0,IF(Paths!$P$290="Complete",IF(IF(Paths!$O$290=0,C3127=0,AND(C3127&gt;0,Paths!$O$290&gt;(C3127-1)*12,Paths!$O$290&lt;=C3127*12)),Paths!$N$290,0),"n.a."))</f>
        <v>0</v>
      </c>
      <c r="L3127" s="16">
        <f>IF(NOT(Paths!$C$290=1),0,IF(Paths!$P$290="Complete",IF(C3127=10,Paths!$I$290,0),"n.a."))</f>
        <v>0</v>
      </c>
      <c r="M3127" s="16">
        <f>IF(NOT(Paths!$C$290=1),0,IF(Paths!$P$290="Complete",IF(AND(Paths!$D$290="EV",Paths!$E$290&lt;120,Paths!$E$290+'Operating costs'!$B$65&gt;Paths!$E$290,Paths!$E$290+'Operating costs'!$B$65&lt;=120,IF(Paths!$E$290+'Operating costs'!$B$65=0,C3127=0,AND(C3127&gt;0,Paths!$E$290+'Operating costs'!$B$65&gt;(C3127-1)*12,Paths!$E$290+'Operating costs'!$B$65&lt;=C3127*12))),'Operating costs'!$B$64,0)+IF(AND('Operating costs'!$B$67&gt;0,'Operating costs'!$B$67&lt;=120,OR(Paths!$D$290="ICE",'Operating costs'!$B$67&lt;=Paths!$E$290),IF('Operating costs'!$B$67=0,C3127=0,AND(C3127&gt;0,'Operating costs'!$B$67&gt;(C3127-1)*12,'Operating costs'!$B$67&lt;=C3127*12))),'Operating costs'!$B$66,0),"n.a."))</f>
        <v>0</v>
      </c>
      <c r="N3127" s="16">
        <f>IF(NOT(Paths!$C$290=1),0,IF(Paths!$P$290="Complete",SUM(G3127:I3127)-J3127-K3127-L3127+M3127+IF(C3127=0,Paths!$F$290,0)+IF(IF(Paths!$E$290=0,C3127=0,AND(C3127&gt;0,Paths!$E$290&gt;(C3127-1)*12,Paths!$E$290&lt;=C3127*12)),VLOOKUP(A3127,'Fleet register'!$A$7:$S$106,16,FALSE),0),"n.a."))</f>
        <v>0</v>
      </c>
      <c r="O3127" s="16">
        <f>IF(NOT(Paths!$C$290=1),0,IF(Paths!$P$290="Complete",N3127-IF(C3127=0,Paths!$F$290,0),"n.a."))</f>
        <v>0</v>
      </c>
      <c r="P3127" s="16">
        <f>IF(NOT(Paths!$C$290=1),0,IF(Paths!$P$290="Complete",O3127+L3127,"n.a."))</f>
        <v>0</v>
      </c>
      <c r="Q3127" s="16">
        <f>IF(NOT(Paths!$C$290=1),0,IF(Paths!$P$290="Complete",N3127*(1+'Operating costs'!$B$54)^-C3127,"n.a."))</f>
        <v>0</v>
      </c>
      <c r="R3127" s="16">
        <f>IF(NOT(Paths!$C$290=1),0,IF(Paths!$P$290="Complete",IF(AND(C3127=0,Paths!$E$290=0),I3127-J3127-K3127+VLOOKUP(A3127,'Fleet register'!$A$7:$S$106,15,FALSE)+VLOOKUP(A3127,'Fleet register'!$A$7:$S$106,16,FALSE),0),"n.a."))</f>
        <v>0</v>
      </c>
      <c r="S3127" s="1">
        <f>IF(NOT(Paths!$C$290=1),0,IF(Paths!$P$290="Complete",IF(C3127=0,0,Paths!$S$290*Paths!$R$290),"n.a."))</f>
        <v>0</v>
      </c>
      <c r="T3127" s="1">
        <f>IF(NOT(Paths!$C$290=1),0,IF(Paths!$P$290="Complete",IF(C3127=0,0,VLOOKUP(A3127,'Fleet register'!$A$7:$S$106,9,FALSE)*Paths!$R$290),"n.a."))</f>
        <v>0</v>
      </c>
    </row>
    <row r="3128" spans="1:20" ht="24" customHeight="1">
      <c r="A3128" s="1" t="str">
        <f>Paths!$A$290</f>
        <v>T071</v>
      </c>
      <c r="B3128" s="1">
        <f>Paths!$B$290</f>
        <v>3</v>
      </c>
      <c r="C3128" s="1">
        <v>8</v>
      </c>
      <c r="D3128" s="1">
        <v>290</v>
      </c>
      <c r="E3128" s="1">
        <f>IF(OR(Paths!$C$290=0,C3128=0),0,MAX(0,MIN(C3128*12,Paths!$E$290)-(C3128-1)*12))</f>
        <v>0</v>
      </c>
      <c r="F3128" s="1">
        <f>IF(OR(Paths!$C$290=0,C3128=0),0,12-E3128)</f>
        <v>0</v>
      </c>
      <c r="G3128" s="16">
        <f>IF(NOT(Paths!$C$290=1),0,IF(Paths!$P$290="Complete",E3128/12*(Paths!$J$290*(1+'Operating costs'!$B$51)^MAX(0,C3128-1)+Paths!$K$290*(1+'Operating costs'!$B$53)^MAX(0,C3128-1)),"n.a."))</f>
        <v>0</v>
      </c>
      <c r="H3128" s="16">
        <f>IF(NOT(Paths!$C$290=1),0,IF(Paths!$P$290="Complete",F3128/12*(Paths!$L$290*(1+IF(Paths!$D$290="EV",'Operating costs'!$B$52,'Operating costs'!$B$51))^MAX(0,C3128-1)+Paths!$M$290*(1+'Operating costs'!$B$53)^MAX(0,C3128-1)),"n.a."))</f>
        <v>0</v>
      </c>
      <c r="I3128" s="16">
        <f>IF(NOT(Paths!$C$290=1),0,IF(Paths!$P$290="Complete",IF(IF(Paths!$E$290=0,C3128=0,AND(C3128&gt;0,Paths!$E$290&gt;(C3128-1)*12,Paths!$E$290&lt;=C3128*12)),Paths!$G$290,0),"n.a."))</f>
        <v>0</v>
      </c>
      <c r="J3128" s="16">
        <f>IF(NOT(Paths!$C$290=1),0,IF(Paths!$P$290="Complete",IF(IF(Paths!$E$290=0,C3128=0,AND(C3128&gt;0,Paths!$E$290&gt;(C3128-1)*12,Paths!$E$290&lt;=C3128*12)),Paths!$H$290,0),"n.a."))</f>
        <v>0</v>
      </c>
      <c r="K3128" s="16">
        <f>IF(NOT(Paths!$C$290=1),0,IF(Paths!$P$290="Complete",IF(IF(Paths!$O$290=0,C3128=0,AND(C3128&gt;0,Paths!$O$290&gt;(C3128-1)*12,Paths!$O$290&lt;=C3128*12)),Paths!$N$290,0),"n.a."))</f>
        <v>0</v>
      </c>
      <c r="L3128" s="16">
        <f>IF(NOT(Paths!$C$290=1),0,IF(Paths!$P$290="Complete",IF(C3128=10,Paths!$I$290,0),"n.a."))</f>
        <v>0</v>
      </c>
      <c r="M3128" s="16">
        <f>IF(NOT(Paths!$C$290=1),0,IF(Paths!$P$290="Complete",IF(AND(Paths!$D$290="EV",Paths!$E$290&lt;120,Paths!$E$290+'Operating costs'!$B$65&gt;Paths!$E$290,Paths!$E$290+'Operating costs'!$B$65&lt;=120,IF(Paths!$E$290+'Operating costs'!$B$65=0,C3128=0,AND(C3128&gt;0,Paths!$E$290+'Operating costs'!$B$65&gt;(C3128-1)*12,Paths!$E$290+'Operating costs'!$B$65&lt;=C3128*12))),'Operating costs'!$B$64,0)+IF(AND('Operating costs'!$B$67&gt;0,'Operating costs'!$B$67&lt;=120,OR(Paths!$D$290="ICE",'Operating costs'!$B$67&lt;=Paths!$E$290),IF('Operating costs'!$B$67=0,C3128=0,AND(C3128&gt;0,'Operating costs'!$B$67&gt;(C3128-1)*12,'Operating costs'!$B$67&lt;=C3128*12))),'Operating costs'!$B$66,0),"n.a."))</f>
        <v>0</v>
      </c>
      <c r="N3128" s="16">
        <f>IF(NOT(Paths!$C$290=1),0,IF(Paths!$P$290="Complete",SUM(G3128:I3128)-J3128-K3128-L3128+M3128+IF(C3128=0,Paths!$F$290,0)+IF(IF(Paths!$E$290=0,C3128=0,AND(C3128&gt;0,Paths!$E$290&gt;(C3128-1)*12,Paths!$E$290&lt;=C3128*12)),VLOOKUP(A3128,'Fleet register'!$A$7:$S$106,16,FALSE),0),"n.a."))</f>
        <v>0</v>
      </c>
      <c r="O3128" s="16">
        <f>IF(NOT(Paths!$C$290=1),0,IF(Paths!$P$290="Complete",N3128-IF(C3128=0,Paths!$F$290,0),"n.a."))</f>
        <v>0</v>
      </c>
      <c r="P3128" s="16">
        <f>IF(NOT(Paths!$C$290=1),0,IF(Paths!$P$290="Complete",O3128+L3128,"n.a."))</f>
        <v>0</v>
      </c>
      <c r="Q3128" s="16">
        <f>IF(NOT(Paths!$C$290=1),0,IF(Paths!$P$290="Complete",N3128*(1+'Operating costs'!$B$54)^-C3128,"n.a."))</f>
        <v>0</v>
      </c>
      <c r="R3128" s="16">
        <f>IF(NOT(Paths!$C$290=1),0,IF(Paths!$P$290="Complete",IF(AND(C3128=0,Paths!$E$290=0),I3128-J3128-K3128+VLOOKUP(A3128,'Fleet register'!$A$7:$S$106,15,FALSE)+VLOOKUP(A3128,'Fleet register'!$A$7:$S$106,16,FALSE),0),"n.a."))</f>
        <v>0</v>
      </c>
      <c r="S3128" s="1">
        <f>IF(NOT(Paths!$C$290=1),0,IF(Paths!$P$290="Complete",IF(C3128=0,0,Paths!$S$290*Paths!$R$290),"n.a."))</f>
        <v>0</v>
      </c>
      <c r="T3128" s="1">
        <f>IF(NOT(Paths!$C$290=1),0,IF(Paths!$P$290="Complete",IF(C3128=0,0,VLOOKUP(A3128,'Fleet register'!$A$7:$S$106,9,FALSE)*Paths!$R$290),"n.a."))</f>
        <v>0</v>
      </c>
    </row>
    <row r="3129" spans="1:20" ht="24" customHeight="1">
      <c r="A3129" s="1" t="str">
        <f>Paths!$A$290</f>
        <v>T071</v>
      </c>
      <c r="B3129" s="1">
        <f>Paths!$B$290</f>
        <v>3</v>
      </c>
      <c r="C3129" s="1">
        <v>9</v>
      </c>
      <c r="D3129" s="1">
        <v>290</v>
      </c>
      <c r="E3129" s="1">
        <f>IF(OR(Paths!$C$290=0,C3129=0),0,MAX(0,MIN(C3129*12,Paths!$E$290)-(C3129-1)*12))</f>
        <v>0</v>
      </c>
      <c r="F3129" s="1">
        <f>IF(OR(Paths!$C$290=0,C3129=0),0,12-E3129)</f>
        <v>0</v>
      </c>
      <c r="G3129" s="16">
        <f>IF(NOT(Paths!$C$290=1),0,IF(Paths!$P$290="Complete",E3129/12*(Paths!$J$290*(1+'Operating costs'!$B$51)^MAX(0,C3129-1)+Paths!$K$290*(1+'Operating costs'!$B$53)^MAX(0,C3129-1)),"n.a."))</f>
        <v>0</v>
      </c>
      <c r="H3129" s="16">
        <f>IF(NOT(Paths!$C$290=1),0,IF(Paths!$P$290="Complete",F3129/12*(Paths!$L$290*(1+IF(Paths!$D$290="EV",'Operating costs'!$B$52,'Operating costs'!$B$51))^MAX(0,C3129-1)+Paths!$M$290*(1+'Operating costs'!$B$53)^MAX(0,C3129-1)),"n.a."))</f>
        <v>0</v>
      </c>
      <c r="I3129" s="16">
        <f>IF(NOT(Paths!$C$290=1),0,IF(Paths!$P$290="Complete",IF(IF(Paths!$E$290=0,C3129=0,AND(C3129&gt;0,Paths!$E$290&gt;(C3129-1)*12,Paths!$E$290&lt;=C3129*12)),Paths!$G$290,0),"n.a."))</f>
        <v>0</v>
      </c>
      <c r="J3129" s="16">
        <f>IF(NOT(Paths!$C$290=1),0,IF(Paths!$P$290="Complete",IF(IF(Paths!$E$290=0,C3129=0,AND(C3129&gt;0,Paths!$E$290&gt;(C3129-1)*12,Paths!$E$290&lt;=C3129*12)),Paths!$H$290,0),"n.a."))</f>
        <v>0</v>
      </c>
      <c r="K3129" s="16">
        <f>IF(NOT(Paths!$C$290=1),0,IF(Paths!$P$290="Complete",IF(IF(Paths!$O$290=0,C3129=0,AND(C3129&gt;0,Paths!$O$290&gt;(C3129-1)*12,Paths!$O$290&lt;=C3129*12)),Paths!$N$290,0),"n.a."))</f>
        <v>0</v>
      </c>
      <c r="L3129" s="16">
        <f>IF(NOT(Paths!$C$290=1),0,IF(Paths!$P$290="Complete",IF(C3129=10,Paths!$I$290,0),"n.a."))</f>
        <v>0</v>
      </c>
      <c r="M3129" s="16">
        <f>IF(NOT(Paths!$C$290=1),0,IF(Paths!$P$290="Complete",IF(AND(Paths!$D$290="EV",Paths!$E$290&lt;120,Paths!$E$290+'Operating costs'!$B$65&gt;Paths!$E$290,Paths!$E$290+'Operating costs'!$B$65&lt;=120,IF(Paths!$E$290+'Operating costs'!$B$65=0,C3129=0,AND(C3129&gt;0,Paths!$E$290+'Operating costs'!$B$65&gt;(C3129-1)*12,Paths!$E$290+'Operating costs'!$B$65&lt;=C3129*12))),'Operating costs'!$B$64,0)+IF(AND('Operating costs'!$B$67&gt;0,'Operating costs'!$B$67&lt;=120,OR(Paths!$D$290="ICE",'Operating costs'!$B$67&lt;=Paths!$E$290),IF('Operating costs'!$B$67=0,C3129=0,AND(C3129&gt;0,'Operating costs'!$B$67&gt;(C3129-1)*12,'Operating costs'!$B$67&lt;=C3129*12))),'Operating costs'!$B$66,0),"n.a."))</f>
        <v>0</v>
      </c>
      <c r="N3129" s="16">
        <f>IF(NOT(Paths!$C$290=1),0,IF(Paths!$P$290="Complete",SUM(G3129:I3129)-J3129-K3129-L3129+M3129+IF(C3129=0,Paths!$F$290,0)+IF(IF(Paths!$E$290=0,C3129=0,AND(C3129&gt;0,Paths!$E$290&gt;(C3129-1)*12,Paths!$E$290&lt;=C3129*12)),VLOOKUP(A3129,'Fleet register'!$A$7:$S$106,16,FALSE),0),"n.a."))</f>
        <v>0</v>
      </c>
      <c r="O3129" s="16">
        <f>IF(NOT(Paths!$C$290=1),0,IF(Paths!$P$290="Complete",N3129-IF(C3129=0,Paths!$F$290,0),"n.a."))</f>
        <v>0</v>
      </c>
      <c r="P3129" s="16">
        <f>IF(NOT(Paths!$C$290=1),0,IF(Paths!$P$290="Complete",O3129+L3129,"n.a."))</f>
        <v>0</v>
      </c>
      <c r="Q3129" s="16">
        <f>IF(NOT(Paths!$C$290=1),0,IF(Paths!$P$290="Complete",N3129*(1+'Operating costs'!$B$54)^-C3129,"n.a."))</f>
        <v>0</v>
      </c>
      <c r="R3129" s="16">
        <f>IF(NOT(Paths!$C$290=1),0,IF(Paths!$P$290="Complete",IF(AND(C3129=0,Paths!$E$290=0),I3129-J3129-K3129+VLOOKUP(A3129,'Fleet register'!$A$7:$S$106,15,FALSE)+VLOOKUP(A3129,'Fleet register'!$A$7:$S$106,16,FALSE),0),"n.a."))</f>
        <v>0</v>
      </c>
      <c r="S3129" s="1">
        <f>IF(NOT(Paths!$C$290=1),0,IF(Paths!$P$290="Complete",IF(C3129=0,0,Paths!$S$290*Paths!$R$290),"n.a."))</f>
        <v>0</v>
      </c>
      <c r="T3129" s="1">
        <f>IF(NOT(Paths!$C$290=1),0,IF(Paths!$P$290="Complete",IF(C3129=0,0,VLOOKUP(A3129,'Fleet register'!$A$7:$S$106,9,FALSE)*Paths!$R$290),"n.a."))</f>
        <v>0</v>
      </c>
    </row>
    <row r="3130" spans="1:20" ht="24" customHeight="1">
      <c r="A3130" s="1" t="str">
        <f>Paths!$A$290</f>
        <v>T071</v>
      </c>
      <c r="B3130" s="1">
        <f>Paths!$B$290</f>
        <v>3</v>
      </c>
      <c r="C3130" s="1">
        <v>10</v>
      </c>
      <c r="D3130" s="1">
        <v>290</v>
      </c>
      <c r="E3130" s="1">
        <f>IF(OR(Paths!$C$290=0,C3130=0),0,MAX(0,MIN(C3130*12,Paths!$E$290)-(C3130-1)*12))</f>
        <v>0</v>
      </c>
      <c r="F3130" s="1">
        <f>IF(OR(Paths!$C$290=0,C3130=0),0,12-E3130)</f>
        <v>0</v>
      </c>
      <c r="G3130" s="16">
        <f>IF(NOT(Paths!$C$290=1),0,IF(Paths!$P$290="Complete",E3130/12*(Paths!$J$290*(1+'Operating costs'!$B$51)^MAX(0,C3130-1)+Paths!$K$290*(1+'Operating costs'!$B$53)^MAX(0,C3130-1)),"n.a."))</f>
        <v>0</v>
      </c>
      <c r="H3130" s="16">
        <f>IF(NOT(Paths!$C$290=1),0,IF(Paths!$P$290="Complete",F3130/12*(Paths!$L$290*(1+IF(Paths!$D$290="EV",'Operating costs'!$B$52,'Operating costs'!$B$51))^MAX(0,C3130-1)+Paths!$M$290*(1+'Operating costs'!$B$53)^MAX(0,C3130-1)),"n.a."))</f>
        <v>0</v>
      </c>
      <c r="I3130" s="16">
        <f>IF(NOT(Paths!$C$290=1),0,IF(Paths!$P$290="Complete",IF(IF(Paths!$E$290=0,C3130=0,AND(C3130&gt;0,Paths!$E$290&gt;(C3130-1)*12,Paths!$E$290&lt;=C3130*12)),Paths!$G$290,0),"n.a."))</f>
        <v>0</v>
      </c>
      <c r="J3130" s="16">
        <f>IF(NOT(Paths!$C$290=1),0,IF(Paths!$P$290="Complete",IF(IF(Paths!$E$290=0,C3130=0,AND(C3130&gt;0,Paths!$E$290&gt;(C3130-1)*12,Paths!$E$290&lt;=C3130*12)),Paths!$H$290,0),"n.a."))</f>
        <v>0</v>
      </c>
      <c r="K3130" s="16">
        <f>IF(NOT(Paths!$C$290=1),0,IF(Paths!$P$290="Complete",IF(IF(Paths!$O$290=0,C3130=0,AND(C3130&gt;0,Paths!$O$290&gt;(C3130-1)*12,Paths!$O$290&lt;=C3130*12)),Paths!$N$290,0),"n.a."))</f>
        <v>0</v>
      </c>
      <c r="L3130" s="16">
        <f>IF(NOT(Paths!$C$290=1),0,IF(Paths!$P$290="Complete",IF(C3130=10,Paths!$I$290,0),"n.a."))</f>
        <v>0</v>
      </c>
      <c r="M3130" s="16">
        <f>IF(NOT(Paths!$C$290=1),0,IF(Paths!$P$290="Complete",IF(AND(Paths!$D$290="EV",Paths!$E$290&lt;120,Paths!$E$290+'Operating costs'!$B$65&gt;Paths!$E$290,Paths!$E$290+'Operating costs'!$B$65&lt;=120,IF(Paths!$E$290+'Operating costs'!$B$65=0,C3130=0,AND(C3130&gt;0,Paths!$E$290+'Operating costs'!$B$65&gt;(C3130-1)*12,Paths!$E$290+'Operating costs'!$B$65&lt;=C3130*12))),'Operating costs'!$B$64,0)+IF(AND('Operating costs'!$B$67&gt;0,'Operating costs'!$B$67&lt;=120,OR(Paths!$D$290="ICE",'Operating costs'!$B$67&lt;=Paths!$E$290),IF('Operating costs'!$B$67=0,C3130=0,AND(C3130&gt;0,'Operating costs'!$B$67&gt;(C3130-1)*12,'Operating costs'!$B$67&lt;=C3130*12))),'Operating costs'!$B$66,0),"n.a."))</f>
        <v>0</v>
      </c>
      <c r="N3130" s="16">
        <f>IF(NOT(Paths!$C$290=1),0,IF(Paths!$P$290="Complete",SUM(G3130:I3130)-J3130-K3130-L3130+M3130+IF(C3130=0,Paths!$F$290,0)+IF(IF(Paths!$E$290=0,C3130=0,AND(C3130&gt;0,Paths!$E$290&gt;(C3130-1)*12,Paths!$E$290&lt;=C3130*12)),VLOOKUP(A3130,'Fleet register'!$A$7:$S$106,16,FALSE),0),"n.a."))</f>
        <v>0</v>
      </c>
      <c r="O3130" s="16">
        <f>IF(NOT(Paths!$C$290=1),0,IF(Paths!$P$290="Complete",N3130-IF(C3130=0,Paths!$F$290,0),"n.a."))</f>
        <v>0</v>
      </c>
      <c r="P3130" s="16">
        <f>IF(NOT(Paths!$C$290=1),0,IF(Paths!$P$290="Complete",O3130+L3130,"n.a."))</f>
        <v>0</v>
      </c>
      <c r="Q3130" s="16">
        <f>IF(NOT(Paths!$C$290=1),0,IF(Paths!$P$290="Complete",N3130*(1+'Operating costs'!$B$54)^-C3130,"n.a."))</f>
        <v>0</v>
      </c>
      <c r="R3130" s="16">
        <f>IF(NOT(Paths!$C$290=1),0,IF(Paths!$P$290="Complete",IF(AND(C3130=0,Paths!$E$290=0),I3130-J3130-K3130+VLOOKUP(A3130,'Fleet register'!$A$7:$S$106,15,FALSE)+VLOOKUP(A3130,'Fleet register'!$A$7:$S$106,16,FALSE),0),"n.a."))</f>
        <v>0</v>
      </c>
      <c r="S3130" s="1">
        <f>IF(NOT(Paths!$C$290=1),0,IF(Paths!$P$290="Complete",IF(C3130=0,0,Paths!$S$290*Paths!$R$290),"n.a."))</f>
        <v>0</v>
      </c>
      <c r="T3130" s="1">
        <f>IF(NOT(Paths!$C$290=1),0,IF(Paths!$P$290="Complete",IF(C3130=0,0,VLOOKUP(A3130,'Fleet register'!$A$7:$S$106,9,FALSE)*Paths!$R$290),"n.a."))</f>
        <v>0</v>
      </c>
    </row>
    <row r="3131" spans="1:20" ht="24" customHeight="1">
      <c r="A3131" s="1" t="str">
        <f>Paths!$A$291</f>
        <v>T072</v>
      </c>
      <c r="B3131" s="1">
        <f>Paths!$B$291</f>
        <v>0</v>
      </c>
      <c r="C3131" s="1">
        <v>0</v>
      </c>
      <c r="D3131" s="1">
        <v>291</v>
      </c>
      <c r="E3131" s="1">
        <f>IF(OR(Paths!$C$291=0,C3131=0),0,MAX(0,MIN(C3131*12,Paths!$E$291)-(C3131-1)*12))</f>
        <v>0</v>
      </c>
      <c r="F3131" s="1">
        <f>IF(OR(Paths!$C$291=0,C3131=0),0,12-E3131)</f>
        <v>0</v>
      </c>
      <c r="G3131" s="16">
        <f>IF(NOT(Paths!$C$291=1),0,IF(Paths!$P$291="Complete",E3131/12*(Paths!$J$291*(1+'Operating costs'!$B$51)^MAX(0,C3131-1)+Paths!$K$291*(1+'Operating costs'!$B$53)^MAX(0,C3131-1)),"n.a."))</f>
        <v>0</v>
      </c>
      <c r="H3131" s="16">
        <f>IF(NOT(Paths!$C$291=1),0,IF(Paths!$P$291="Complete",F3131/12*(Paths!$L$291*(1+IF(Paths!$D$291="EV",'Operating costs'!$B$52,'Operating costs'!$B$51))^MAX(0,C3131-1)+Paths!$M$291*(1+'Operating costs'!$B$53)^MAX(0,C3131-1)),"n.a."))</f>
        <v>0</v>
      </c>
      <c r="I3131" s="16">
        <f>IF(NOT(Paths!$C$291=1),0,IF(Paths!$P$291="Complete",IF(IF(Paths!$E$291=0,C3131=0,AND(C3131&gt;0,Paths!$E$291&gt;(C3131-1)*12,Paths!$E$291&lt;=C3131*12)),Paths!$G$291,0),"n.a."))</f>
        <v>0</v>
      </c>
      <c r="J3131" s="16">
        <f>IF(NOT(Paths!$C$291=1),0,IF(Paths!$P$291="Complete",IF(IF(Paths!$E$291=0,C3131=0,AND(C3131&gt;0,Paths!$E$291&gt;(C3131-1)*12,Paths!$E$291&lt;=C3131*12)),Paths!$H$291,0),"n.a."))</f>
        <v>0</v>
      </c>
      <c r="K3131" s="16">
        <f>IF(NOT(Paths!$C$291=1),0,IF(Paths!$P$291="Complete",IF(IF(Paths!$O$291=0,C3131=0,AND(C3131&gt;0,Paths!$O$291&gt;(C3131-1)*12,Paths!$O$291&lt;=C3131*12)),Paths!$N$291,0),"n.a."))</f>
        <v>0</v>
      </c>
      <c r="L3131" s="16">
        <f>IF(NOT(Paths!$C$291=1),0,IF(Paths!$P$291="Complete",IF(C3131=10,Paths!$I$291,0),"n.a."))</f>
        <v>0</v>
      </c>
      <c r="M3131" s="16">
        <f>IF(NOT(Paths!$C$291=1),0,IF(Paths!$P$291="Complete",IF(AND(Paths!$D$291="EV",Paths!$E$291&lt;120,Paths!$E$291+'Operating costs'!$B$65&gt;Paths!$E$291,Paths!$E$291+'Operating costs'!$B$65&lt;=120,IF(Paths!$E$291+'Operating costs'!$B$65=0,C3131=0,AND(C3131&gt;0,Paths!$E$291+'Operating costs'!$B$65&gt;(C3131-1)*12,Paths!$E$291+'Operating costs'!$B$65&lt;=C3131*12))),'Operating costs'!$B$64,0)+IF(AND('Operating costs'!$B$67&gt;0,'Operating costs'!$B$67&lt;=120,OR(Paths!$D$291="ICE",'Operating costs'!$B$67&lt;=Paths!$E$291),IF('Operating costs'!$B$67=0,C3131=0,AND(C3131&gt;0,'Operating costs'!$B$67&gt;(C3131-1)*12,'Operating costs'!$B$67&lt;=C3131*12))),'Operating costs'!$B$66,0),"n.a."))</f>
        <v>0</v>
      </c>
      <c r="N3131" s="16">
        <f>IF(NOT(Paths!$C$291=1),0,IF(Paths!$P$291="Complete",SUM(G3131:I3131)-J3131-K3131-L3131+M3131+IF(C3131=0,Paths!$F$291,0)+IF(IF(Paths!$E$291=0,C3131=0,AND(C3131&gt;0,Paths!$E$291&gt;(C3131-1)*12,Paths!$E$291&lt;=C3131*12)),VLOOKUP(A3131,'Fleet register'!$A$7:$S$106,16,FALSE),0),"n.a."))</f>
        <v>0</v>
      </c>
      <c r="O3131" s="16">
        <f>IF(NOT(Paths!$C$291=1),0,IF(Paths!$P$291="Complete",N3131-IF(C3131=0,Paths!$F$291,0),"n.a."))</f>
        <v>0</v>
      </c>
      <c r="P3131" s="16">
        <f>IF(NOT(Paths!$C$291=1),0,IF(Paths!$P$291="Complete",O3131+L3131,"n.a."))</f>
        <v>0</v>
      </c>
      <c r="Q3131" s="16">
        <f>IF(NOT(Paths!$C$291=1),0,IF(Paths!$P$291="Complete",N3131*(1+'Operating costs'!$B$54)^-C3131,"n.a."))</f>
        <v>0</v>
      </c>
      <c r="R3131" s="16">
        <f>IF(NOT(Paths!$C$291=1),0,IF(Paths!$P$291="Complete",IF(AND(C3131=0,Paths!$E$291=0),I3131-J3131-K3131+VLOOKUP(A3131,'Fleet register'!$A$7:$S$106,15,FALSE)+VLOOKUP(A3131,'Fleet register'!$A$7:$S$106,16,FALSE),0),"n.a."))</f>
        <v>0</v>
      </c>
      <c r="S3131" s="1">
        <f>IF(NOT(Paths!$C$291=1),0,IF(Paths!$P$291="Complete",IF(C3131=0,0,Paths!$S$291*Paths!$R$291),"n.a."))</f>
        <v>0</v>
      </c>
      <c r="T3131" s="1">
        <f>IF(NOT(Paths!$C$291=1),0,IF(Paths!$P$291="Complete",IF(C3131=0,0,VLOOKUP(A3131,'Fleet register'!$A$7:$S$106,9,FALSE)*Paths!$R$291),"n.a."))</f>
        <v>0</v>
      </c>
    </row>
    <row r="3132" spans="1:20" ht="24" customHeight="1">
      <c r="A3132" s="1" t="str">
        <f>Paths!$A$291</f>
        <v>T072</v>
      </c>
      <c r="B3132" s="1">
        <f>Paths!$B$291</f>
        <v>0</v>
      </c>
      <c r="C3132" s="1">
        <v>1</v>
      </c>
      <c r="D3132" s="1">
        <v>291</v>
      </c>
      <c r="E3132" s="1">
        <f>IF(OR(Paths!$C$291=0,C3132=0),0,MAX(0,MIN(C3132*12,Paths!$E$291)-(C3132-1)*12))</f>
        <v>0</v>
      </c>
      <c r="F3132" s="1">
        <f>IF(OR(Paths!$C$291=0,C3132=0),0,12-E3132)</f>
        <v>0</v>
      </c>
      <c r="G3132" s="16">
        <f>IF(NOT(Paths!$C$291=1),0,IF(Paths!$P$291="Complete",E3132/12*(Paths!$J$291*(1+'Operating costs'!$B$51)^MAX(0,C3132-1)+Paths!$K$291*(1+'Operating costs'!$B$53)^MAX(0,C3132-1)),"n.a."))</f>
        <v>0</v>
      </c>
      <c r="H3132" s="16">
        <f>IF(NOT(Paths!$C$291=1),0,IF(Paths!$P$291="Complete",F3132/12*(Paths!$L$291*(1+IF(Paths!$D$291="EV",'Operating costs'!$B$52,'Operating costs'!$B$51))^MAX(0,C3132-1)+Paths!$M$291*(1+'Operating costs'!$B$53)^MAX(0,C3132-1)),"n.a."))</f>
        <v>0</v>
      </c>
      <c r="I3132" s="16">
        <f>IF(NOT(Paths!$C$291=1),0,IF(Paths!$P$291="Complete",IF(IF(Paths!$E$291=0,C3132=0,AND(C3132&gt;0,Paths!$E$291&gt;(C3132-1)*12,Paths!$E$291&lt;=C3132*12)),Paths!$G$291,0),"n.a."))</f>
        <v>0</v>
      </c>
      <c r="J3132" s="16">
        <f>IF(NOT(Paths!$C$291=1),0,IF(Paths!$P$291="Complete",IF(IF(Paths!$E$291=0,C3132=0,AND(C3132&gt;0,Paths!$E$291&gt;(C3132-1)*12,Paths!$E$291&lt;=C3132*12)),Paths!$H$291,0),"n.a."))</f>
        <v>0</v>
      </c>
      <c r="K3132" s="16">
        <f>IF(NOT(Paths!$C$291=1),0,IF(Paths!$P$291="Complete",IF(IF(Paths!$O$291=0,C3132=0,AND(C3132&gt;0,Paths!$O$291&gt;(C3132-1)*12,Paths!$O$291&lt;=C3132*12)),Paths!$N$291,0),"n.a."))</f>
        <v>0</v>
      </c>
      <c r="L3132" s="16">
        <f>IF(NOT(Paths!$C$291=1),0,IF(Paths!$P$291="Complete",IF(C3132=10,Paths!$I$291,0),"n.a."))</f>
        <v>0</v>
      </c>
      <c r="M3132" s="16">
        <f>IF(NOT(Paths!$C$291=1),0,IF(Paths!$P$291="Complete",IF(AND(Paths!$D$291="EV",Paths!$E$291&lt;120,Paths!$E$291+'Operating costs'!$B$65&gt;Paths!$E$291,Paths!$E$291+'Operating costs'!$B$65&lt;=120,IF(Paths!$E$291+'Operating costs'!$B$65=0,C3132=0,AND(C3132&gt;0,Paths!$E$291+'Operating costs'!$B$65&gt;(C3132-1)*12,Paths!$E$291+'Operating costs'!$B$65&lt;=C3132*12))),'Operating costs'!$B$64,0)+IF(AND('Operating costs'!$B$67&gt;0,'Operating costs'!$B$67&lt;=120,OR(Paths!$D$291="ICE",'Operating costs'!$B$67&lt;=Paths!$E$291),IF('Operating costs'!$B$67=0,C3132=0,AND(C3132&gt;0,'Operating costs'!$B$67&gt;(C3132-1)*12,'Operating costs'!$B$67&lt;=C3132*12))),'Operating costs'!$B$66,0),"n.a."))</f>
        <v>0</v>
      </c>
      <c r="N3132" s="16">
        <f>IF(NOT(Paths!$C$291=1),0,IF(Paths!$P$291="Complete",SUM(G3132:I3132)-J3132-K3132-L3132+M3132+IF(C3132=0,Paths!$F$291,0)+IF(IF(Paths!$E$291=0,C3132=0,AND(C3132&gt;0,Paths!$E$291&gt;(C3132-1)*12,Paths!$E$291&lt;=C3132*12)),VLOOKUP(A3132,'Fleet register'!$A$7:$S$106,16,FALSE),0),"n.a."))</f>
        <v>0</v>
      </c>
      <c r="O3132" s="16">
        <f>IF(NOT(Paths!$C$291=1),0,IF(Paths!$P$291="Complete",N3132-IF(C3132=0,Paths!$F$291,0),"n.a."))</f>
        <v>0</v>
      </c>
      <c r="P3132" s="16">
        <f>IF(NOT(Paths!$C$291=1),0,IF(Paths!$P$291="Complete",O3132+L3132,"n.a."))</f>
        <v>0</v>
      </c>
      <c r="Q3132" s="16">
        <f>IF(NOT(Paths!$C$291=1),0,IF(Paths!$P$291="Complete",N3132*(1+'Operating costs'!$B$54)^-C3132,"n.a."))</f>
        <v>0</v>
      </c>
      <c r="R3132" s="16">
        <f>IF(NOT(Paths!$C$291=1),0,IF(Paths!$P$291="Complete",IF(AND(C3132=0,Paths!$E$291=0),I3132-J3132-K3132+VLOOKUP(A3132,'Fleet register'!$A$7:$S$106,15,FALSE)+VLOOKUP(A3132,'Fleet register'!$A$7:$S$106,16,FALSE),0),"n.a."))</f>
        <v>0</v>
      </c>
      <c r="S3132" s="1">
        <f>IF(NOT(Paths!$C$291=1),0,IF(Paths!$P$291="Complete",IF(C3132=0,0,Paths!$S$291*Paths!$R$291),"n.a."))</f>
        <v>0</v>
      </c>
      <c r="T3132" s="1">
        <f>IF(NOT(Paths!$C$291=1),0,IF(Paths!$P$291="Complete",IF(C3132=0,0,VLOOKUP(A3132,'Fleet register'!$A$7:$S$106,9,FALSE)*Paths!$R$291),"n.a."))</f>
        <v>0</v>
      </c>
    </row>
    <row r="3133" spans="1:20" ht="24" customHeight="1">
      <c r="A3133" s="1" t="str">
        <f>Paths!$A$291</f>
        <v>T072</v>
      </c>
      <c r="B3133" s="1">
        <f>Paths!$B$291</f>
        <v>0</v>
      </c>
      <c r="C3133" s="1">
        <v>2</v>
      </c>
      <c r="D3133" s="1">
        <v>291</v>
      </c>
      <c r="E3133" s="1">
        <f>IF(OR(Paths!$C$291=0,C3133=0),0,MAX(0,MIN(C3133*12,Paths!$E$291)-(C3133-1)*12))</f>
        <v>0</v>
      </c>
      <c r="F3133" s="1">
        <f>IF(OR(Paths!$C$291=0,C3133=0),0,12-E3133)</f>
        <v>0</v>
      </c>
      <c r="G3133" s="16">
        <f>IF(NOT(Paths!$C$291=1),0,IF(Paths!$P$291="Complete",E3133/12*(Paths!$J$291*(1+'Operating costs'!$B$51)^MAX(0,C3133-1)+Paths!$K$291*(1+'Operating costs'!$B$53)^MAX(0,C3133-1)),"n.a."))</f>
        <v>0</v>
      </c>
      <c r="H3133" s="16">
        <f>IF(NOT(Paths!$C$291=1),0,IF(Paths!$P$291="Complete",F3133/12*(Paths!$L$291*(1+IF(Paths!$D$291="EV",'Operating costs'!$B$52,'Operating costs'!$B$51))^MAX(0,C3133-1)+Paths!$M$291*(1+'Operating costs'!$B$53)^MAX(0,C3133-1)),"n.a."))</f>
        <v>0</v>
      </c>
      <c r="I3133" s="16">
        <f>IF(NOT(Paths!$C$291=1),0,IF(Paths!$P$291="Complete",IF(IF(Paths!$E$291=0,C3133=0,AND(C3133&gt;0,Paths!$E$291&gt;(C3133-1)*12,Paths!$E$291&lt;=C3133*12)),Paths!$G$291,0),"n.a."))</f>
        <v>0</v>
      </c>
      <c r="J3133" s="16">
        <f>IF(NOT(Paths!$C$291=1),0,IF(Paths!$P$291="Complete",IF(IF(Paths!$E$291=0,C3133=0,AND(C3133&gt;0,Paths!$E$291&gt;(C3133-1)*12,Paths!$E$291&lt;=C3133*12)),Paths!$H$291,0),"n.a."))</f>
        <v>0</v>
      </c>
      <c r="K3133" s="16">
        <f>IF(NOT(Paths!$C$291=1),0,IF(Paths!$P$291="Complete",IF(IF(Paths!$O$291=0,C3133=0,AND(C3133&gt;0,Paths!$O$291&gt;(C3133-1)*12,Paths!$O$291&lt;=C3133*12)),Paths!$N$291,0),"n.a."))</f>
        <v>0</v>
      </c>
      <c r="L3133" s="16">
        <f>IF(NOT(Paths!$C$291=1),0,IF(Paths!$P$291="Complete",IF(C3133=10,Paths!$I$291,0),"n.a."))</f>
        <v>0</v>
      </c>
      <c r="M3133" s="16">
        <f>IF(NOT(Paths!$C$291=1),0,IF(Paths!$P$291="Complete",IF(AND(Paths!$D$291="EV",Paths!$E$291&lt;120,Paths!$E$291+'Operating costs'!$B$65&gt;Paths!$E$291,Paths!$E$291+'Operating costs'!$B$65&lt;=120,IF(Paths!$E$291+'Operating costs'!$B$65=0,C3133=0,AND(C3133&gt;0,Paths!$E$291+'Operating costs'!$B$65&gt;(C3133-1)*12,Paths!$E$291+'Operating costs'!$B$65&lt;=C3133*12))),'Operating costs'!$B$64,0)+IF(AND('Operating costs'!$B$67&gt;0,'Operating costs'!$B$67&lt;=120,OR(Paths!$D$291="ICE",'Operating costs'!$B$67&lt;=Paths!$E$291),IF('Operating costs'!$B$67=0,C3133=0,AND(C3133&gt;0,'Operating costs'!$B$67&gt;(C3133-1)*12,'Operating costs'!$B$67&lt;=C3133*12))),'Operating costs'!$B$66,0),"n.a."))</f>
        <v>0</v>
      </c>
      <c r="N3133" s="16">
        <f>IF(NOT(Paths!$C$291=1),0,IF(Paths!$P$291="Complete",SUM(G3133:I3133)-J3133-K3133-L3133+M3133+IF(C3133=0,Paths!$F$291,0)+IF(IF(Paths!$E$291=0,C3133=0,AND(C3133&gt;0,Paths!$E$291&gt;(C3133-1)*12,Paths!$E$291&lt;=C3133*12)),VLOOKUP(A3133,'Fleet register'!$A$7:$S$106,16,FALSE),0),"n.a."))</f>
        <v>0</v>
      </c>
      <c r="O3133" s="16">
        <f>IF(NOT(Paths!$C$291=1),0,IF(Paths!$P$291="Complete",N3133-IF(C3133=0,Paths!$F$291,0),"n.a."))</f>
        <v>0</v>
      </c>
      <c r="P3133" s="16">
        <f>IF(NOT(Paths!$C$291=1),0,IF(Paths!$P$291="Complete",O3133+L3133,"n.a."))</f>
        <v>0</v>
      </c>
      <c r="Q3133" s="16">
        <f>IF(NOT(Paths!$C$291=1),0,IF(Paths!$P$291="Complete",N3133*(1+'Operating costs'!$B$54)^-C3133,"n.a."))</f>
        <v>0</v>
      </c>
      <c r="R3133" s="16">
        <f>IF(NOT(Paths!$C$291=1),0,IF(Paths!$P$291="Complete",IF(AND(C3133=0,Paths!$E$291=0),I3133-J3133-K3133+VLOOKUP(A3133,'Fleet register'!$A$7:$S$106,15,FALSE)+VLOOKUP(A3133,'Fleet register'!$A$7:$S$106,16,FALSE),0),"n.a."))</f>
        <v>0</v>
      </c>
      <c r="S3133" s="1">
        <f>IF(NOT(Paths!$C$291=1),0,IF(Paths!$P$291="Complete",IF(C3133=0,0,Paths!$S$291*Paths!$R$291),"n.a."))</f>
        <v>0</v>
      </c>
      <c r="T3133" s="1">
        <f>IF(NOT(Paths!$C$291=1),0,IF(Paths!$P$291="Complete",IF(C3133=0,0,VLOOKUP(A3133,'Fleet register'!$A$7:$S$106,9,FALSE)*Paths!$R$291),"n.a."))</f>
        <v>0</v>
      </c>
    </row>
    <row r="3134" spans="1:20" ht="24" customHeight="1">
      <c r="A3134" s="1" t="str">
        <f>Paths!$A$291</f>
        <v>T072</v>
      </c>
      <c r="B3134" s="1">
        <f>Paths!$B$291</f>
        <v>0</v>
      </c>
      <c r="C3134" s="1">
        <v>3</v>
      </c>
      <c r="D3134" s="1">
        <v>291</v>
      </c>
      <c r="E3134" s="1">
        <f>IF(OR(Paths!$C$291=0,C3134=0),0,MAX(0,MIN(C3134*12,Paths!$E$291)-(C3134-1)*12))</f>
        <v>0</v>
      </c>
      <c r="F3134" s="1">
        <f>IF(OR(Paths!$C$291=0,C3134=0),0,12-E3134)</f>
        <v>0</v>
      </c>
      <c r="G3134" s="16">
        <f>IF(NOT(Paths!$C$291=1),0,IF(Paths!$P$291="Complete",E3134/12*(Paths!$J$291*(1+'Operating costs'!$B$51)^MAX(0,C3134-1)+Paths!$K$291*(1+'Operating costs'!$B$53)^MAX(0,C3134-1)),"n.a."))</f>
        <v>0</v>
      </c>
      <c r="H3134" s="16">
        <f>IF(NOT(Paths!$C$291=1),0,IF(Paths!$P$291="Complete",F3134/12*(Paths!$L$291*(1+IF(Paths!$D$291="EV",'Operating costs'!$B$52,'Operating costs'!$B$51))^MAX(0,C3134-1)+Paths!$M$291*(1+'Operating costs'!$B$53)^MAX(0,C3134-1)),"n.a."))</f>
        <v>0</v>
      </c>
      <c r="I3134" s="16">
        <f>IF(NOT(Paths!$C$291=1),0,IF(Paths!$P$291="Complete",IF(IF(Paths!$E$291=0,C3134=0,AND(C3134&gt;0,Paths!$E$291&gt;(C3134-1)*12,Paths!$E$291&lt;=C3134*12)),Paths!$G$291,0),"n.a."))</f>
        <v>0</v>
      </c>
      <c r="J3134" s="16">
        <f>IF(NOT(Paths!$C$291=1),0,IF(Paths!$P$291="Complete",IF(IF(Paths!$E$291=0,C3134=0,AND(C3134&gt;0,Paths!$E$291&gt;(C3134-1)*12,Paths!$E$291&lt;=C3134*12)),Paths!$H$291,0),"n.a."))</f>
        <v>0</v>
      </c>
      <c r="K3134" s="16">
        <f>IF(NOT(Paths!$C$291=1),0,IF(Paths!$P$291="Complete",IF(IF(Paths!$O$291=0,C3134=0,AND(C3134&gt;0,Paths!$O$291&gt;(C3134-1)*12,Paths!$O$291&lt;=C3134*12)),Paths!$N$291,0),"n.a."))</f>
        <v>0</v>
      </c>
      <c r="L3134" s="16">
        <f>IF(NOT(Paths!$C$291=1),0,IF(Paths!$P$291="Complete",IF(C3134=10,Paths!$I$291,0),"n.a."))</f>
        <v>0</v>
      </c>
      <c r="M3134" s="16">
        <f>IF(NOT(Paths!$C$291=1),0,IF(Paths!$P$291="Complete",IF(AND(Paths!$D$291="EV",Paths!$E$291&lt;120,Paths!$E$291+'Operating costs'!$B$65&gt;Paths!$E$291,Paths!$E$291+'Operating costs'!$B$65&lt;=120,IF(Paths!$E$291+'Operating costs'!$B$65=0,C3134=0,AND(C3134&gt;0,Paths!$E$291+'Operating costs'!$B$65&gt;(C3134-1)*12,Paths!$E$291+'Operating costs'!$B$65&lt;=C3134*12))),'Operating costs'!$B$64,0)+IF(AND('Operating costs'!$B$67&gt;0,'Operating costs'!$B$67&lt;=120,OR(Paths!$D$291="ICE",'Operating costs'!$B$67&lt;=Paths!$E$291),IF('Operating costs'!$B$67=0,C3134=0,AND(C3134&gt;0,'Operating costs'!$B$67&gt;(C3134-1)*12,'Operating costs'!$B$67&lt;=C3134*12))),'Operating costs'!$B$66,0),"n.a."))</f>
        <v>0</v>
      </c>
      <c r="N3134" s="16">
        <f>IF(NOT(Paths!$C$291=1),0,IF(Paths!$P$291="Complete",SUM(G3134:I3134)-J3134-K3134-L3134+M3134+IF(C3134=0,Paths!$F$291,0)+IF(IF(Paths!$E$291=0,C3134=0,AND(C3134&gt;0,Paths!$E$291&gt;(C3134-1)*12,Paths!$E$291&lt;=C3134*12)),VLOOKUP(A3134,'Fleet register'!$A$7:$S$106,16,FALSE),0),"n.a."))</f>
        <v>0</v>
      </c>
      <c r="O3134" s="16">
        <f>IF(NOT(Paths!$C$291=1),0,IF(Paths!$P$291="Complete",N3134-IF(C3134=0,Paths!$F$291,0),"n.a."))</f>
        <v>0</v>
      </c>
      <c r="P3134" s="16">
        <f>IF(NOT(Paths!$C$291=1),0,IF(Paths!$P$291="Complete",O3134+L3134,"n.a."))</f>
        <v>0</v>
      </c>
      <c r="Q3134" s="16">
        <f>IF(NOT(Paths!$C$291=1),0,IF(Paths!$P$291="Complete",N3134*(1+'Operating costs'!$B$54)^-C3134,"n.a."))</f>
        <v>0</v>
      </c>
      <c r="R3134" s="16">
        <f>IF(NOT(Paths!$C$291=1),0,IF(Paths!$P$291="Complete",IF(AND(C3134=0,Paths!$E$291=0),I3134-J3134-K3134+VLOOKUP(A3134,'Fleet register'!$A$7:$S$106,15,FALSE)+VLOOKUP(A3134,'Fleet register'!$A$7:$S$106,16,FALSE),0),"n.a."))</f>
        <v>0</v>
      </c>
      <c r="S3134" s="1">
        <f>IF(NOT(Paths!$C$291=1),0,IF(Paths!$P$291="Complete",IF(C3134=0,0,Paths!$S$291*Paths!$R$291),"n.a."))</f>
        <v>0</v>
      </c>
      <c r="T3134" s="1">
        <f>IF(NOT(Paths!$C$291=1),0,IF(Paths!$P$291="Complete",IF(C3134=0,0,VLOOKUP(A3134,'Fleet register'!$A$7:$S$106,9,FALSE)*Paths!$R$291),"n.a."))</f>
        <v>0</v>
      </c>
    </row>
    <row r="3135" spans="1:20" ht="24" customHeight="1">
      <c r="A3135" s="1" t="str">
        <f>Paths!$A$291</f>
        <v>T072</v>
      </c>
      <c r="B3135" s="1">
        <f>Paths!$B$291</f>
        <v>0</v>
      </c>
      <c r="C3135" s="1">
        <v>4</v>
      </c>
      <c r="D3135" s="1">
        <v>291</v>
      </c>
      <c r="E3135" s="1">
        <f>IF(OR(Paths!$C$291=0,C3135=0),0,MAX(0,MIN(C3135*12,Paths!$E$291)-(C3135-1)*12))</f>
        <v>0</v>
      </c>
      <c r="F3135" s="1">
        <f>IF(OR(Paths!$C$291=0,C3135=0),0,12-E3135)</f>
        <v>0</v>
      </c>
      <c r="G3135" s="16">
        <f>IF(NOT(Paths!$C$291=1),0,IF(Paths!$P$291="Complete",E3135/12*(Paths!$J$291*(1+'Operating costs'!$B$51)^MAX(0,C3135-1)+Paths!$K$291*(1+'Operating costs'!$B$53)^MAX(0,C3135-1)),"n.a."))</f>
        <v>0</v>
      </c>
      <c r="H3135" s="16">
        <f>IF(NOT(Paths!$C$291=1),0,IF(Paths!$P$291="Complete",F3135/12*(Paths!$L$291*(1+IF(Paths!$D$291="EV",'Operating costs'!$B$52,'Operating costs'!$B$51))^MAX(0,C3135-1)+Paths!$M$291*(1+'Operating costs'!$B$53)^MAX(0,C3135-1)),"n.a."))</f>
        <v>0</v>
      </c>
      <c r="I3135" s="16">
        <f>IF(NOT(Paths!$C$291=1),0,IF(Paths!$P$291="Complete",IF(IF(Paths!$E$291=0,C3135=0,AND(C3135&gt;0,Paths!$E$291&gt;(C3135-1)*12,Paths!$E$291&lt;=C3135*12)),Paths!$G$291,0),"n.a."))</f>
        <v>0</v>
      </c>
      <c r="J3135" s="16">
        <f>IF(NOT(Paths!$C$291=1),0,IF(Paths!$P$291="Complete",IF(IF(Paths!$E$291=0,C3135=0,AND(C3135&gt;0,Paths!$E$291&gt;(C3135-1)*12,Paths!$E$291&lt;=C3135*12)),Paths!$H$291,0),"n.a."))</f>
        <v>0</v>
      </c>
      <c r="K3135" s="16">
        <f>IF(NOT(Paths!$C$291=1),0,IF(Paths!$P$291="Complete",IF(IF(Paths!$O$291=0,C3135=0,AND(C3135&gt;0,Paths!$O$291&gt;(C3135-1)*12,Paths!$O$291&lt;=C3135*12)),Paths!$N$291,0),"n.a."))</f>
        <v>0</v>
      </c>
      <c r="L3135" s="16">
        <f>IF(NOT(Paths!$C$291=1),0,IF(Paths!$P$291="Complete",IF(C3135=10,Paths!$I$291,0),"n.a."))</f>
        <v>0</v>
      </c>
      <c r="M3135" s="16">
        <f>IF(NOT(Paths!$C$291=1),0,IF(Paths!$P$291="Complete",IF(AND(Paths!$D$291="EV",Paths!$E$291&lt;120,Paths!$E$291+'Operating costs'!$B$65&gt;Paths!$E$291,Paths!$E$291+'Operating costs'!$B$65&lt;=120,IF(Paths!$E$291+'Operating costs'!$B$65=0,C3135=0,AND(C3135&gt;0,Paths!$E$291+'Operating costs'!$B$65&gt;(C3135-1)*12,Paths!$E$291+'Operating costs'!$B$65&lt;=C3135*12))),'Operating costs'!$B$64,0)+IF(AND('Operating costs'!$B$67&gt;0,'Operating costs'!$B$67&lt;=120,OR(Paths!$D$291="ICE",'Operating costs'!$B$67&lt;=Paths!$E$291),IF('Operating costs'!$B$67=0,C3135=0,AND(C3135&gt;0,'Operating costs'!$B$67&gt;(C3135-1)*12,'Operating costs'!$B$67&lt;=C3135*12))),'Operating costs'!$B$66,0),"n.a."))</f>
        <v>0</v>
      </c>
      <c r="N3135" s="16">
        <f>IF(NOT(Paths!$C$291=1),0,IF(Paths!$P$291="Complete",SUM(G3135:I3135)-J3135-K3135-L3135+M3135+IF(C3135=0,Paths!$F$291,0)+IF(IF(Paths!$E$291=0,C3135=0,AND(C3135&gt;0,Paths!$E$291&gt;(C3135-1)*12,Paths!$E$291&lt;=C3135*12)),VLOOKUP(A3135,'Fleet register'!$A$7:$S$106,16,FALSE),0),"n.a."))</f>
        <v>0</v>
      </c>
      <c r="O3135" s="16">
        <f>IF(NOT(Paths!$C$291=1),0,IF(Paths!$P$291="Complete",N3135-IF(C3135=0,Paths!$F$291,0),"n.a."))</f>
        <v>0</v>
      </c>
      <c r="P3135" s="16">
        <f>IF(NOT(Paths!$C$291=1),0,IF(Paths!$P$291="Complete",O3135+L3135,"n.a."))</f>
        <v>0</v>
      </c>
      <c r="Q3135" s="16">
        <f>IF(NOT(Paths!$C$291=1),0,IF(Paths!$P$291="Complete",N3135*(1+'Operating costs'!$B$54)^-C3135,"n.a."))</f>
        <v>0</v>
      </c>
      <c r="R3135" s="16">
        <f>IF(NOT(Paths!$C$291=1),0,IF(Paths!$P$291="Complete",IF(AND(C3135=0,Paths!$E$291=0),I3135-J3135-K3135+VLOOKUP(A3135,'Fleet register'!$A$7:$S$106,15,FALSE)+VLOOKUP(A3135,'Fleet register'!$A$7:$S$106,16,FALSE),0),"n.a."))</f>
        <v>0</v>
      </c>
      <c r="S3135" s="1">
        <f>IF(NOT(Paths!$C$291=1),0,IF(Paths!$P$291="Complete",IF(C3135=0,0,Paths!$S$291*Paths!$R$291),"n.a."))</f>
        <v>0</v>
      </c>
      <c r="T3135" s="1">
        <f>IF(NOT(Paths!$C$291=1),0,IF(Paths!$P$291="Complete",IF(C3135=0,0,VLOOKUP(A3135,'Fleet register'!$A$7:$S$106,9,FALSE)*Paths!$R$291),"n.a."))</f>
        <v>0</v>
      </c>
    </row>
    <row r="3136" spans="1:20" ht="24" customHeight="1">
      <c r="A3136" s="1" t="str">
        <f>Paths!$A$291</f>
        <v>T072</v>
      </c>
      <c r="B3136" s="1">
        <f>Paths!$B$291</f>
        <v>0</v>
      </c>
      <c r="C3136" s="1">
        <v>5</v>
      </c>
      <c r="D3136" s="1">
        <v>291</v>
      </c>
      <c r="E3136" s="1">
        <f>IF(OR(Paths!$C$291=0,C3136=0),0,MAX(0,MIN(C3136*12,Paths!$E$291)-(C3136-1)*12))</f>
        <v>0</v>
      </c>
      <c r="F3136" s="1">
        <f>IF(OR(Paths!$C$291=0,C3136=0),0,12-E3136)</f>
        <v>0</v>
      </c>
      <c r="G3136" s="16">
        <f>IF(NOT(Paths!$C$291=1),0,IF(Paths!$P$291="Complete",E3136/12*(Paths!$J$291*(1+'Operating costs'!$B$51)^MAX(0,C3136-1)+Paths!$K$291*(1+'Operating costs'!$B$53)^MAX(0,C3136-1)),"n.a."))</f>
        <v>0</v>
      </c>
      <c r="H3136" s="16">
        <f>IF(NOT(Paths!$C$291=1),0,IF(Paths!$P$291="Complete",F3136/12*(Paths!$L$291*(1+IF(Paths!$D$291="EV",'Operating costs'!$B$52,'Operating costs'!$B$51))^MAX(0,C3136-1)+Paths!$M$291*(1+'Operating costs'!$B$53)^MAX(0,C3136-1)),"n.a."))</f>
        <v>0</v>
      </c>
      <c r="I3136" s="16">
        <f>IF(NOT(Paths!$C$291=1),0,IF(Paths!$P$291="Complete",IF(IF(Paths!$E$291=0,C3136=0,AND(C3136&gt;0,Paths!$E$291&gt;(C3136-1)*12,Paths!$E$291&lt;=C3136*12)),Paths!$G$291,0),"n.a."))</f>
        <v>0</v>
      </c>
      <c r="J3136" s="16">
        <f>IF(NOT(Paths!$C$291=1),0,IF(Paths!$P$291="Complete",IF(IF(Paths!$E$291=0,C3136=0,AND(C3136&gt;0,Paths!$E$291&gt;(C3136-1)*12,Paths!$E$291&lt;=C3136*12)),Paths!$H$291,0),"n.a."))</f>
        <v>0</v>
      </c>
      <c r="K3136" s="16">
        <f>IF(NOT(Paths!$C$291=1),0,IF(Paths!$P$291="Complete",IF(IF(Paths!$O$291=0,C3136=0,AND(C3136&gt;0,Paths!$O$291&gt;(C3136-1)*12,Paths!$O$291&lt;=C3136*12)),Paths!$N$291,0),"n.a."))</f>
        <v>0</v>
      </c>
      <c r="L3136" s="16">
        <f>IF(NOT(Paths!$C$291=1),0,IF(Paths!$P$291="Complete",IF(C3136=10,Paths!$I$291,0),"n.a."))</f>
        <v>0</v>
      </c>
      <c r="M3136" s="16">
        <f>IF(NOT(Paths!$C$291=1),0,IF(Paths!$P$291="Complete",IF(AND(Paths!$D$291="EV",Paths!$E$291&lt;120,Paths!$E$291+'Operating costs'!$B$65&gt;Paths!$E$291,Paths!$E$291+'Operating costs'!$B$65&lt;=120,IF(Paths!$E$291+'Operating costs'!$B$65=0,C3136=0,AND(C3136&gt;0,Paths!$E$291+'Operating costs'!$B$65&gt;(C3136-1)*12,Paths!$E$291+'Operating costs'!$B$65&lt;=C3136*12))),'Operating costs'!$B$64,0)+IF(AND('Operating costs'!$B$67&gt;0,'Operating costs'!$B$67&lt;=120,OR(Paths!$D$291="ICE",'Operating costs'!$B$67&lt;=Paths!$E$291),IF('Operating costs'!$B$67=0,C3136=0,AND(C3136&gt;0,'Operating costs'!$B$67&gt;(C3136-1)*12,'Operating costs'!$B$67&lt;=C3136*12))),'Operating costs'!$B$66,0),"n.a."))</f>
        <v>0</v>
      </c>
      <c r="N3136" s="16">
        <f>IF(NOT(Paths!$C$291=1),0,IF(Paths!$P$291="Complete",SUM(G3136:I3136)-J3136-K3136-L3136+M3136+IF(C3136=0,Paths!$F$291,0)+IF(IF(Paths!$E$291=0,C3136=0,AND(C3136&gt;0,Paths!$E$291&gt;(C3136-1)*12,Paths!$E$291&lt;=C3136*12)),VLOOKUP(A3136,'Fleet register'!$A$7:$S$106,16,FALSE),0),"n.a."))</f>
        <v>0</v>
      </c>
      <c r="O3136" s="16">
        <f>IF(NOT(Paths!$C$291=1),0,IF(Paths!$P$291="Complete",N3136-IF(C3136=0,Paths!$F$291,0),"n.a."))</f>
        <v>0</v>
      </c>
      <c r="P3136" s="16">
        <f>IF(NOT(Paths!$C$291=1),0,IF(Paths!$P$291="Complete",O3136+L3136,"n.a."))</f>
        <v>0</v>
      </c>
      <c r="Q3136" s="16">
        <f>IF(NOT(Paths!$C$291=1),0,IF(Paths!$P$291="Complete",N3136*(1+'Operating costs'!$B$54)^-C3136,"n.a."))</f>
        <v>0</v>
      </c>
      <c r="R3136" s="16">
        <f>IF(NOT(Paths!$C$291=1),0,IF(Paths!$P$291="Complete",IF(AND(C3136=0,Paths!$E$291=0),I3136-J3136-K3136+VLOOKUP(A3136,'Fleet register'!$A$7:$S$106,15,FALSE)+VLOOKUP(A3136,'Fleet register'!$A$7:$S$106,16,FALSE),0),"n.a."))</f>
        <v>0</v>
      </c>
      <c r="S3136" s="1">
        <f>IF(NOT(Paths!$C$291=1),0,IF(Paths!$P$291="Complete",IF(C3136=0,0,Paths!$S$291*Paths!$R$291),"n.a."))</f>
        <v>0</v>
      </c>
      <c r="T3136" s="1">
        <f>IF(NOT(Paths!$C$291=1),0,IF(Paths!$P$291="Complete",IF(C3136=0,0,VLOOKUP(A3136,'Fleet register'!$A$7:$S$106,9,FALSE)*Paths!$R$291),"n.a."))</f>
        <v>0</v>
      </c>
    </row>
    <row r="3137" spans="1:20" ht="24" customHeight="1">
      <c r="A3137" s="1" t="str">
        <f>Paths!$A$291</f>
        <v>T072</v>
      </c>
      <c r="B3137" s="1">
        <f>Paths!$B$291</f>
        <v>0</v>
      </c>
      <c r="C3137" s="1">
        <v>6</v>
      </c>
      <c r="D3137" s="1">
        <v>291</v>
      </c>
      <c r="E3137" s="1">
        <f>IF(OR(Paths!$C$291=0,C3137=0),0,MAX(0,MIN(C3137*12,Paths!$E$291)-(C3137-1)*12))</f>
        <v>0</v>
      </c>
      <c r="F3137" s="1">
        <f>IF(OR(Paths!$C$291=0,C3137=0),0,12-E3137)</f>
        <v>0</v>
      </c>
      <c r="G3137" s="16">
        <f>IF(NOT(Paths!$C$291=1),0,IF(Paths!$P$291="Complete",E3137/12*(Paths!$J$291*(1+'Operating costs'!$B$51)^MAX(0,C3137-1)+Paths!$K$291*(1+'Operating costs'!$B$53)^MAX(0,C3137-1)),"n.a."))</f>
        <v>0</v>
      </c>
      <c r="H3137" s="16">
        <f>IF(NOT(Paths!$C$291=1),0,IF(Paths!$P$291="Complete",F3137/12*(Paths!$L$291*(1+IF(Paths!$D$291="EV",'Operating costs'!$B$52,'Operating costs'!$B$51))^MAX(0,C3137-1)+Paths!$M$291*(1+'Operating costs'!$B$53)^MAX(0,C3137-1)),"n.a."))</f>
        <v>0</v>
      </c>
      <c r="I3137" s="16">
        <f>IF(NOT(Paths!$C$291=1),0,IF(Paths!$P$291="Complete",IF(IF(Paths!$E$291=0,C3137=0,AND(C3137&gt;0,Paths!$E$291&gt;(C3137-1)*12,Paths!$E$291&lt;=C3137*12)),Paths!$G$291,0),"n.a."))</f>
        <v>0</v>
      </c>
      <c r="J3137" s="16">
        <f>IF(NOT(Paths!$C$291=1),0,IF(Paths!$P$291="Complete",IF(IF(Paths!$E$291=0,C3137=0,AND(C3137&gt;0,Paths!$E$291&gt;(C3137-1)*12,Paths!$E$291&lt;=C3137*12)),Paths!$H$291,0),"n.a."))</f>
        <v>0</v>
      </c>
      <c r="K3137" s="16">
        <f>IF(NOT(Paths!$C$291=1),0,IF(Paths!$P$291="Complete",IF(IF(Paths!$O$291=0,C3137=0,AND(C3137&gt;0,Paths!$O$291&gt;(C3137-1)*12,Paths!$O$291&lt;=C3137*12)),Paths!$N$291,0),"n.a."))</f>
        <v>0</v>
      </c>
      <c r="L3137" s="16">
        <f>IF(NOT(Paths!$C$291=1),0,IF(Paths!$P$291="Complete",IF(C3137=10,Paths!$I$291,0),"n.a."))</f>
        <v>0</v>
      </c>
      <c r="M3137" s="16">
        <f>IF(NOT(Paths!$C$291=1),0,IF(Paths!$P$291="Complete",IF(AND(Paths!$D$291="EV",Paths!$E$291&lt;120,Paths!$E$291+'Operating costs'!$B$65&gt;Paths!$E$291,Paths!$E$291+'Operating costs'!$B$65&lt;=120,IF(Paths!$E$291+'Operating costs'!$B$65=0,C3137=0,AND(C3137&gt;0,Paths!$E$291+'Operating costs'!$B$65&gt;(C3137-1)*12,Paths!$E$291+'Operating costs'!$B$65&lt;=C3137*12))),'Operating costs'!$B$64,0)+IF(AND('Operating costs'!$B$67&gt;0,'Operating costs'!$B$67&lt;=120,OR(Paths!$D$291="ICE",'Operating costs'!$B$67&lt;=Paths!$E$291),IF('Operating costs'!$B$67=0,C3137=0,AND(C3137&gt;0,'Operating costs'!$B$67&gt;(C3137-1)*12,'Operating costs'!$B$67&lt;=C3137*12))),'Operating costs'!$B$66,0),"n.a."))</f>
        <v>0</v>
      </c>
      <c r="N3137" s="16">
        <f>IF(NOT(Paths!$C$291=1),0,IF(Paths!$P$291="Complete",SUM(G3137:I3137)-J3137-K3137-L3137+M3137+IF(C3137=0,Paths!$F$291,0)+IF(IF(Paths!$E$291=0,C3137=0,AND(C3137&gt;0,Paths!$E$291&gt;(C3137-1)*12,Paths!$E$291&lt;=C3137*12)),VLOOKUP(A3137,'Fleet register'!$A$7:$S$106,16,FALSE),0),"n.a."))</f>
        <v>0</v>
      </c>
      <c r="O3137" s="16">
        <f>IF(NOT(Paths!$C$291=1),0,IF(Paths!$P$291="Complete",N3137-IF(C3137=0,Paths!$F$291,0),"n.a."))</f>
        <v>0</v>
      </c>
      <c r="P3137" s="16">
        <f>IF(NOT(Paths!$C$291=1),0,IF(Paths!$P$291="Complete",O3137+L3137,"n.a."))</f>
        <v>0</v>
      </c>
      <c r="Q3137" s="16">
        <f>IF(NOT(Paths!$C$291=1),0,IF(Paths!$P$291="Complete",N3137*(1+'Operating costs'!$B$54)^-C3137,"n.a."))</f>
        <v>0</v>
      </c>
      <c r="R3137" s="16">
        <f>IF(NOT(Paths!$C$291=1),0,IF(Paths!$P$291="Complete",IF(AND(C3137=0,Paths!$E$291=0),I3137-J3137-K3137+VLOOKUP(A3137,'Fleet register'!$A$7:$S$106,15,FALSE)+VLOOKUP(A3137,'Fleet register'!$A$7:$S$106,16,FALSE),0),"n.a."))</f>
        <v>0</v>
      </c>
      <c r="S3137" s="1">
        <f>IF(NOT(Paths!$C$291=1),0,IF(Paths!$P$291="Complete",IF(C3137=0,0,Paths!$S$291*Paths!$R$291),"n.a."))</f>
        <v>0</v>
      </c>
      <c r="T3137" s="1">
        <f>IF(NOT(Paths!$C$291=1),0,IF(Paths!$P$291="Complete",IF(C3137=0,0,VLOOKUP(A3137,'Fleet register'!$A$7:$S$106,9,FALSE)*Paths!$R$291),"n.a."))</f>
        <v>0</v>
      </c>
    </row>
    <row r="3138" spans="1:20" ht="24" customHeight="1">
      <c r="A3138" s="1" t="str">
        <f>Paths!$A$291</f>
        <v>T072</v>
      </c>
      <c r="B3138" s="1">
        <f>Paths!$B$291</f>
        <v>0</v>
      </c>
      <c r="C3138" s="1">
        <v>7</v>
      </c>
      <c r="D3138" s="1">
        <v>291</v>
      </c>
      <c r="E3138" s="1">
        <f>IF(OR(Paths!$C$291=0,C3138=0),0,MAX(0,MIN(C3138*12,Paths!$E$291)-(C3138-1)*12))</f>
        <v>0</v>
      </c>
      <c r="F3138" s="1">
        <f>IF(OR(Paths!$C$291=0,C3138=0),0,12-E3138)</f>
        <v>0</v>
      </c>
      <c r="G3138" s="16">
        <f>IF(NOT(Paths!$C$291=1),0,IF(Paths!$P$291="Complete",E3138/12*(Paths!$J$291*(1+'Operating costs'!$B$51)^MAX(0,C3138-1)+Paths!$K$291*(1+'Operating costs'!$B$53)^MAX(0,C3138-1)),"n.a."))</f>
        <v>0</v>
      </c>
      <c r="H3138" s="16">
        <f>IF(NOT(Paths!$C$291=1),0,IF(Paths!$P$291="Complete",F3138/12*(Paths!$L$291*(1+IF(Paths!$D$291="EV",'Operating costs'!$B$52,'Operating costs'!$B$51))^MAX(0,C3138-1)+Paths!$M$291*(1+'Operating costs'!$B$53)^MAX(0,C3138-1)),"n.a."))</f>
        <v>0</v>
      </c>
      <c r="I3138" s="16">
        <f>IF(NOT(Paths!$C$291=1),0,IF(Paths!$P$291="Complete",IF(IF(Paths!$E$291=0,C3138=0,AND(C3138&gt;0,Paths!$E$291&gt;(C3138-1)*12,Paths!$E$291&lt;=C3138*12)),Paths!$G$291,0),"n.a."))</f>
        <v>0</v>
      </c>
      <c r="J3138" s="16">
        <f>IF(NOT(Paths!$C$291=1),0,IF(Paths!$P$291="Complete",IF(IF(Paths!$E$291=0,C3138=0,AND(C3138&gt;0,Paths!$E$291&gt;(C3138-1)*12,Paths!$E$291&lt;=C3138*12)),Paths!$H$291,0),"n.a."))</f>
        <v>0</v>
      </c>
      <c r="K3138" s="16">
        <f>IF(NOT(Paths!$C$291=1),0,IF(Paths!$P$291="Complete",IF(IF(Paths!$O$291=0,C3138=0,AND(C3138&gt;0,Paths!$O$291&gt;(C3138-1)*12,Paths!$O$291&lt;=C3138*12)),Paths!$N$291,0),"n.a."))</f>
        <v>0</v>
      </c>
      <c r="L3138" s="16">
        <f>IF(NOT(Paths!$C$291=1),0,IF(Paths!$P$291="Complete",IF(C3138=10,Paths!$I$291,0),"n.a."))</f>
        <v>0</v>
      </c>
      <c r="M3138" s="16">
        <f>IF(NOT(Paths!$C$291=1),0,IF(Paths!$P$291="Complete",IF(AND(Paths!$D$291="EV",Paths!$E$291&lt;120,Paths!$E$291+'Operating costs'!$B$65&gt;Paths!$E$291,Paths!$E$291+'Operating costs'!$B$65&lt;=120,IF(Paths!$E$291+'Operating costs'!$B$65=0,C3138=0,AND(C3138&gt;0,Paths!$E$291+'Operating costs'!$B$65&gt;(C3138-1)*12,Paths!$E$291+'Operating costs'!$B$65&lt;=C3138*12))),'Operating costs'!$B$64,0)+IF(AND('Operating costs'!$B$67&gt;0,'Operating costs'!$B$67&lt;=120,OR(Paths!$D$291="ICE",'Operating costs'!$B$67&lt;=Paths!$E$291),IF('Operating costs'!$B$67=0,C3138=0,AND(C3138&gt;0,'Operating costs'!$B$67&gt;(C3138-1)*12,'Operating costs'!$B$67&lt;=C3138*12))),'Operating costs'!$B$66,0),"n.a."))</f>
        <v>0</v>
      </c>
      <c r="N3138" s="16">
        <f>IF(NOT(Paths!$C$291=1),0,IF(Paths!$P$291="Complete",SUM(G3138:I3138)-J3138-K3138-L3138+M3138+IF(C3138=0,Paths!$F$291,0)+IF(IF(Paths!$E$291=0,C3138=0,AND(C3138&gt;0,Paths!$E$291&gt;(C3138-1)*12,Paths!$E$291&lt;=C3138*12)),VLOOKUP(A3138,'Fleet register'!$A$7:$S$106,16,FALSE),0),"n.a."))</f>
        <v>0</v>
      </c>
      <c r="O3138" s="16">
        <f>IF(NOT(Paths!$C$291=1),0,IF(Paths!$P$291="Complete",N3138-IF(C3138=0,Paths!$F$291,0),"n.a."))</f>
        <v>0</v>
      </c>
      <c r="P3138" s="16">
        <f>IF(NOT(Paths!$C$291=1),0,IF(Paths!$P$291="Complete",O3138+L3138,"n.a."))</f>
        <v>0</v>
      </c>
      <c r="Q3138" s="16">
        <f>IF(NOT(Paths!$C$291=1),0,IF(Paths!$P$291="Complete",N3138*(1+'Operating costs'!$B$54)^-C3138,"n.a."))</f>
        <v>0</v>
      </c>
      <c r="R3138" s="16">
        <f>IF(NOT(Paths!$C$291=1),0,IF(Paths!$P$291="Complete",IF(AND(C3138=0,Paths!$E$291=0),I3138-J3138-K3138+VLOOKUP(A3138,'Fleet register'!$A$7:$S$106,15,FALSE)+VLOOKUP(A3138,'Fleet register'!$A$7:$S$106,16,FALSE),0),"n.a."))</f>
        <v>0</v>
      </c>
      <c r="S3138" s="1">
        <f>IF(NOT(Paths!$C$291=1),0,IF(Paths!$P$291="Complete",IF(C3138=0,0,Paths!$S$291*Paths!$R$291),"n.a."))</f>
        <v>0</v>
      </c>
      <c r="T3138" s="1">
        <f>IF(NOT(Paths!$C$291=1),0,IF(Paths!$P$291="Complete",IF(C3138=0,0,VLOOKUP(A3138,'Fleet register'!$A$7:$S$106,9,FALSE)*Paths!$R$291),"n.a."))</f>
        <v>0</v>
      </c>
    </row>
    <row r="3139" spans="1:20" ht="24" customHeight="1">
      <c r="A3139" s="1" t="str">
        <f>Paths!$A$291</f>
        <v>T072</v>
      </c>
      <c r="B3139" s="1">
        <f>Paths!$B$291</f>
        <v>0</v>
      </c>
      <c r="C3139" s="1">
        <v>8</v>
      </c>
      <c r="D3139" s="1">
        <v>291</v>
      </c>
      <c r="E3139" s="1">
        <f>IF(OR(Paths!$C$291=0,C3139=0),0,MAX(0,MIN(C3139*12,Paths!$E$291)-(C3139-1)*12))</f>
        <v>0</v>
      </c>
      <c r="F3139" s="1">
        <f>IF(OR(Paths!$C$291=0,C3139=0),0,12-E3139)</f>
        <v>0</v>
      </c>
      <c r="G3139" s="16">
        <f>IF(NOT(Paths!$C$291=1),0,IF(Paths!$P$291="Complete",E3139/12*(Paths!$J$291*(1+'Operating costs'!$B$51)^MAX(0,C3139-1)+Paths!$K$291*(1+'Operating costs'!$B$53)^MAX(0,C3139-1)),"n.a."))</f>
        <v>0</v>
      </c>
      <c r="H3139" s="16">
        <f>IF(NOT(Paths!$C$291=1),0,IF(Paths!$P$291="Complete",F3139/12*(Paths!$L$291*(1+IF(Paths!$D$291="EV",'Operating costs'!$B$52,'Operating costs'!$B$51))^MAX(0,C3139-1)+Paths!$M$291*(1+'Operating costs'!$B$53)^MAX(0,C3139-1)),"n.a."))</f>
        <v>0</v>
      </c>
      <c r="I3139" s="16">
        <f>IF(NOT(Paths!$C$291=1),0,IF(Paths!$P$291="Complete",IF(IF(Paths!$E$291=0,C3139=0,AND(C3139&gt;0,Paths!$E$291&gt;(C3139-1)*12,Paths!$E$291&lt;=C3139*12)),Paths!$G$291,0),"n.a."))</f>
        <v>0</v>
      </c>
      <c r="J3139" s="16">
        <f>IF(NOT(Paths!$C$291=1),0,IF(Paths!$P$291="Complete",IF(IF(Paths!$E$291=0,C3139=0,AND(C3139&gt;0,Paths!$E$291&gt;(C3139-1)*12,Paths!$E$291&lt;=C3139*12)),Paths!$H$291,0),"n.a."))</f>
        <v>0</v>
      </c>
      <c r="K3139" s="16">
        <f>IF(NOT(Paths!$C$291=1),0,IF(Paths!$P$291="Complete",IF(IF(Paths!$O$291=0,C3139=0,AND(C3139&gt;0,Paths!$O$291&gt;(C3139-1)*12,Paths!$O$291&lt;=C3139*12)),Paths!$N$291,0),"n.a."))</f>
        <v>0</v>
      </c>
      <c r="L3139" s="16">
        <f>IF(NOT(Paths!$C$291=1),0,IF(Paths!$P$291="Complete",IF(C3139=10,Paths!$I$291,0),"n.a."))</f>
        <v>0</v>
      </c>
      <c r="M3139" s="16">
        <f>IF(NOT(Paths!$C$291=1),0,IF(Paths!$P$291="Complete",IF(AND(Paths!$D$291="EV",Paths!$E$291&lt;120,Paths!$E$291+'Operating costs'!$B$65&gt;Paths!$E$291,Paths!$E$291+'Operating costs'!$B$65&lt;=120,IF(Paths!$E$291+'Operating costs'!$B$65=0,C3139=0,AND(C3139&gt;0,Paths!$E$291+'Operating costs'!$B$65&gt;(C3139-1)*12,Paths!$E$291+'Operating costs'!$B$65&lt;=C3139*12))),'Operating costs'!$B$64,0)+IF(AND('Operating costs'!$B$67&gt;0,'Operating costs'!$B$67&lt;=120,OR(Paths!$D$291="ICE",'Operating costs'!$B$67&lt;=Paths!$E$291),IF('Operating costs'!$B$67=0,C3139=0,AND(C3139&gt;0,'Operating costs'!$B$67&gt;(C3139-1)*12,'Operating costs'!$B$67&lt;=C3139*12))),'Operating costs'!$B$66,0),"n.a."))</f>
        <v>0</v>
      </c>
      <c r="N3139" s="16">
        <f>IF(NOT(Paths!$C$291=1),0,IF(Paths!$P$291="Complete",SUM(G3139:I3139)-J3139-K3139-L3139+M3139+IF(C3139=0,Paths!$F$291,0)+IF(IF(Paths!$E$291=0,C3139=0,AND(C3139&gt;0,Paths!$E$291&gt;(C3139-1)*12,Paths!$E$291&lt;=C3139*12)),VLOOKUP(A3139,'Fleet register'!$A$7:$S$106,16,FALSE),0),"n.a."))</f>
        <v>0</v>
      </c>
      <c r="O3139" s="16">
        <f>IF(NOT(Paths!$C$291=1),0,IF(Paths!$P$291="Complete",N3139-IF(C3139=0,Paths!$F$291,0),"n.a."))</f>
        <v>0</v>
      </c>
      <c r="P3139" s="16">
        <f>IF(NOT(Paths!$C$291=1),0,IF(Paths!$P$291="Complete",O3139+L3139,"n.a."))</f>
        <v>0</v>
      </c>
      <c r="Q3139" s="16">
        <f>IF(NOT(Paths!$C$291=1),0,IF(Paths!$P$291="Complete",N3139*(1+'Operating costs'!$B$54)^-C3139,"n.a."))</f>
        <v>0</v>
      </c>
      <c r="R3139" s="16">
        <f>IF(NOT(Paths!$C$291=1),0,IF(Paths!$P$291="Complete",IF(AND(C3139=0,Paths!$E$291=0),I3139-J3139-K3139+VLOOKUP(A3139,'Fleet register'!$A$7:$S$106,15,FALSE)+VLOOKUP(A3139,'Fleet register'!$A$7:$S$106,16,FALSE),0),"n.a."))</f>
        <v>0</v>
      </c>
      <c r="S3139" s="1">
        <f>IF(NOT(Paths!$C$291=1),0,IF(Paths!$P$291="Complete",IF(C3139=0,0,Paths!$S$291*Paths!$R$291),"n.a."))</f>
        <v>0</v>
      </c>
      <c r="T3139" s="1">
        <f>IF(NOT(Paths!$C$291=1),0,IF(Paths!$P$291="Complete",IF(C3139=0,0,VLOOKUP(A3139,'Fleet register'!$A$7:$S$106,9,FALSE)*Paths!$R$291),"n.a."))</f>
        <v>0</v>
      </c>
    </row>
    <row r="3140" spans="1:20" ht="24" customHeight="1">
      <c r="A3140" s="1" t="str">
        <f>Paths!$A$291</f>
        <v>T072</v>
      </c>
      <c r="B3140" s="1">
        <f>Paths!$B$291</f>
        <v>0</v>
      </c>
      <c r="C3140" s="1">
        <v>9</v>
      </c>
      <c r="D3140" s="1">
        <v>291</v>
      </c>
      <c r="E3140" s="1">
        <f>IF(OR(Paths!$C$291=0,C3140=0),0,MAX(0,MIN(C3140*12,Paths!$E$291)-(C3140-1)*12))</f>
        <v>0</v>
      </c>
      <c r="F3140" s="1">
        <f>IF(OR(Paths!$C$291=0,C3140=0),0,12-E3140)</f>
        <v>0</v>
      </c>
      <c r="G3140" s="16">
        <f>IF(NOT(Paths!$C$291=1),0,IF(Paths!$P$291="Complete",E3140/12*(Paths!$J$291*(1+'Operating costs'!$B$51)^MAX(0,C3140-1)+Paths!$K$291*(1+'Operating costs'!$B$53)^MAX(0,C3140-1)),"n.a."))</f>
        <v>0</v>
      </c>
      <c r="H3140" s="16">
        <f>IF(NOT(Paths!$C$291=1),0,IF(Paths!$P$291="Complete",F3140/12*(Paths!$L$291*(1+IF(Paths!$D$291="EV",'Operating costs'!$B$52,'Operating costs'!$B$51))^MAX(0,C3140-1)+Paths!$M$291*(1+'Operating costs'!$B$53)^MAX(0,C3140-1)),"n.a."))</f>
        <v>0</v>
      </c>
      <c r="I3140" s="16">
        <f>IF(NOT(Paths!$C$291=1),0,IF(Paths!$P$291="Complete",IF(IF(Paths!$E$291=0,C3140=0,AND(C3140&gt;0,Paths!$E$291&gt;(C3140-1)*12,Paths!$E$291&lt;=C3140*12)),Paths!$G$291,0),"n.a."))</f>
        <v>0</v>
      </c>
      <c r="J3140" s="16">
        <f>IF(NOT(Paths!$C$291=1),0,IF(Paths!$P$291="Complete",IF(IF(Paths!$E$291=0,C3140=0,AND(C3140&gt;0,Paths!$E$291&gt;(C3140-1)*12,Paths!$E$291&lt;=C3140*12)),Paths!$H$291,0),"n.a."))</f>
        <v>0</v>
      </c>
      <c r="K3140" s="16">
        <f>IF(NOT(Paths!$C$291=1),0,IF(Paths!$P$291="Complete",IF(IF(Paths!$O$291=0,C3140=0,AND(C3140&gt;0,Paths!$O$291&gt;(C3140-1)*12,Paths!$O$291&lt;=C3140*12)),Paths!$N$291,0),"n.a."))</f>
        <v>0</v>
      </c>
      <c r="L3140" s="16">
        <f>IF(NOT(Paths!$C$291=1),0,IF(Paths!$P$291="Complete",IF(C3140=10,Paths!$I$291,0),"n.a."))</f>
        <v>0</v>
      </c>
      <c r="M3140" s="16">
        <f>IF(NOT(Paths!$C$291=1),0,IF(Paths!$P$291="Complete",IF(AND(Paths!$D$291="EV",Paths!$E$291&lt;120,Paths!$E$291+'Operating costs'!$B$65&gt;Paths!$E$291,Paths!$E$291+'Operating costs'!$B$65&lt;=120,IF(Paths!$E$291+'Operating costs'!$B$65=0,C3140=0,AND(C3140&gt;0,Paths!$E$291+'Operating costs'!$B$65&gt;(C3140-1)*12,Paths!$E$291+'Operating costs'!$B$65&lt;=C3140*12))),'Operating costs'!$B$64,0)+IF(AND('Operating costs'!$B$67&gt;0,'Operating costs'!$B$67&lt;=120,OR(Paths!$D$291="ICE",'Operating costs'!$B$67&lt;=Paths!$E$291),IF('Operating costs'!$B$67=0,C3140=0,AND(C3140&gt;0,'Operating costs'!$B$67&gt;(C3140-1)*12,'Operating costs'!$B$67&lt;=C3140*12))),'Operating costs'!$B$66,0),"n.a."))</f>
        <v>0</v>
      </c>
      <c r="N3140" s="16">
        <f>IF(NOT(Paths!$C$291=1),0,IF(Paths!$P$291="Complete",SUM(G3140:I3140)-J3140-K3140-L3140+M3140+IF(C3140=0,Paths!$F$291,0)+IF(IF(Paths!$E$291=0,C3140=0,AND(C3140&gt;0,Paths!$E$291&gt;(C3140-1)*12,Paths!$E$291&lt;=C3140*12)),VLOOKUP(A3140,'Fleet register'!$A$7:$S$106,16,FALSE),0),"n.a."))</f>
        <v>0</v>
      </c>
      <c r="O3140" s="16">
        <f>IF(NOT(Paths!$C$291=1),0,IF(Paths!$P$291="Complete",N3140-IF(C3140=0,Paths!$F$291,0),"n.a."))</f>
        <v>0</v>
      </c>
      <c r="P3140" s="16">
        <f>IF(NOT(Paths!$C$291=1),0,IF(Paths!$P$291="Complete",O3140+L3140,"n.a."))</f>
        <v>0</v>
      </c>
      <c r="Q3140" s="16">
        <f>IF(NOT(Paths!$C$291=1),0,IF(Paths!$P$291="Complete",N3140*(1+'Operating costs'!$B$54)^-C3140,"n.a."))</f>
        <v>0</v>
      </c>
      <c r="R3140" s="16">
        <f>IF(NOT(Paths!$C$291=1),0,IF(Paths!$P$291="Complete",IF(AND(C3140=0,Paths!$E$291=0),I3140-J3140-K3140+VLOOKUP(A3140,'Fleet register'!$A$7:$S$106,15,FALSE)+VLOOKUP(A3140,'Fleet register'!$A$7:$S$106,16,FALSE),0),"n.a."))</f>
        <v>0</v>
      </c>
      <c r="S3140" s="1">
        <f>IF(NOT(Paths!$C$291=1),0,IF(Paths!$P$291="Complete",IF(C3140=0,0,Paths!$S$291*Paths!$R$291),"n.a."))</f>
        <v>0</v>
      </c>
      <c r="T3140" s="1">
        <f>IF(NOT(Paths!$C$291=1),0,IF(Paths!$P$291="Complete",IF(C3140=0,0,VLOOKUP(A3140,'Fleet register'!$A$7:$S$106,9,FALSE)*Paths!$R$291),"n.a."))</f>
        <v>0</v>
      </c>
    </row>
    <row r="3141" spans="1:20" ht="24" customHeight="1">
      <c r="A3141" s="1" t="str">
        <f>Paths!$A$291</f>
        <v>T072</v>
      </c>
      <c r="B3141" s="1">
        <f>Paths!$B$291</f>
        <v>0</v>
      </c>
      <c r="C3141" s="1">
        <v>10</v>
      </c>
      <c r="D3141" s="1">
        <v>291</v>
      </c>
      <c r="E3141" s="1">
        <f>IF(OR(Paths!$C$291=0,C3141=0),0,MAX(0,MIN(C3141*12,Paths!$E$291)-(C3141-1)*12))</f>
        <v>0</v>
      </c>
      <c r="F3141" s="1">
        <f>IF(OR(Paths!$C$291=0,C3141=0),0,12-E3141)</f>
        <v>0</v>
      </c>
      <c r="G3141" s="16">
        <f>IF(NOT(Paths!$C$291=1),0,IF(Paths!$P$291="Complete",E3141/12*(Paths!$J$291*(1+'Operating costs'!$B$51)^MAX(0,C3141-1)+Paths!$K$291*(1+'Operating costs'!$B$53)^MAX(0,C3141-1)),"n.a."))</f>
        <v>0</v>
      </c>
      <c r="H3141" s="16">
        <f>IF(NOT(Paths!$C$291=1),0,IF(Paths!$P$291="Complete",F3141/12*(Paths!$L$291*(1+IF(Paths!$D$291="EV",'Operating costs'!$B$52,'Operating costs'!$B$51))^MAX(0,C3141-1)+Paths!$M$291*(1+'Operating costs'!$B$53)^MAX(0,C3141-1)),"n.a."))</f>
        <v>0</v>
      </c>
      <c r="I3141" s="16">
        <f>IF(NOT(Paths!$C$291=1),0,IF(Paths!$P$291="Complete",IF(IF(Paths!$E$291=0,C3141=0,AND(C3141&gt;0,Paths!$E$291&gt;(C3141-1)*12,Paths!$E$291&lt;=C3141*12)),Paths!$G$291,0),"n.a."))</f>
        <v>0</v>
      </c>
      <c r="J3141" s="16">
        <f>IF(NOT(Paths!$C$291=1),0,IF(Paths!$P$291="Complete",IF(IF(Paths!$E$291=0,C3141=0,AND(C3141&gt;0,Paths!$E$291&gt;(C3141-1)*12,Paths!$E$291&lt;=C3141*12)),Paths!$H$291,0),"n.a."))</f>
        <v>0</v>
      </c>
      <c r="K3141" s="16">
        <f>IF(NOT(Paths!$C$291=1),0,IF(Paths!$P$291="Complete",IF(IF(Paths!$O$291=0,C3141=0,AND(C3141&gt;0,Paths!$O$291&gt;(C3141-1)*12,Paths!$O$291&lt;=C3141*12)),Paths!$N$291,0),"n.a."))</f>
        <v>0</v>
      </c>
      <c r="L3141" s="16">
        <f>IF(NOT(Paths!$C$291=1),0,IF(Paths!$P$291="Complete",IF(C3141=10,Paths!$I$291,0),"n.a."))</f>
        <v>0</v>
      </c>
      <c r="M3141" s="16">
        <f>IF(NOT(Paths!$C$291=1),0,IF(Paths!$P$291="Complete",IF(AND(Paths!$D$291="EV",Paths!$E$291&lt;120,Paths!$E$291+'Operating costs'!$B$65&gt;Paths!$E$291,Paths!$E$291+'Operating costs'!$B$65&lt;=120,IF(Paths!$E$291+'Operating costs'!$B$65=0,C3141=0,AND(C3141&gt;0,Paths!$E$291+'Operating costs'!$B$65&gt;(C3141-1)*12,Paths!$E$291+'Operating costs'!$B$65&lt;=C3141*12))),'Operating costs'!$B$64,0)+IF(AND('Operating costs'!$B$67&gt;0,'Operating costs'!$B$67&lt;=120,OR(Paths!$D$291="ICE",'Operating costs'!$B$67&lt;=Paths!$E$291),IF('Operating costs'!$B$67=0,C3141=0,AND(C3141&gt;0,'Operating costs'!$B$67&gt;(C3141-1)*12,'Operating costs'!$B$67&lt;=C3141*12))),'Operating costs'!$B$66,0),"n.a."))</f>
        <v>0</v>
      </c>
      <c r="N3141" s="16">
        <f>IF(NOT(Paths!$C$291=1),0,IF(Paths!$P$291="Complete",SUM(G3141:I3141)-J3141-K3141-L3141+M3141+IF(C3141=0,Paths!$F$291,0)+IF(IF(Paths!$E$291=0,C3141=0,AND(C3141&gt;0,Paths!$E$291&gt;(C3141-1)*12,Paths!$E$291&lt;=C3141*12)),VLOOKUP(A3141,'Fleet register'!$A$7:$S$106,16,FALSE),0),"n.a."))</f>
        <v>0</v>
      </c>
      <c r="O3141" s="16">
        <f>IF(NOT(Paths!$C$291=1),0,IF(Paths!$P$291="Complete",N3141-IF(C3141=0,Paths!$F$291,0),"n.a."))</f>
        <v>0</v>
      </c>
      <c r="P3141" s="16">
        <f>IF(NOT(Paths!$C$291=1),0,IF(Paths!$P$291="Complete",O3141+L3141,"n.a."))</f>
        <v>0</v>
      </c>
      <c r="Q3141" s="16">
        <f>IF(NOT(Paths!$C$291=1),0,IF(Paths!$P$291="Complete",N3141*(1+'Operating costs'!$B$54)^-C3141,"n.a."))</f>
        <v>0</v>
      </c>
      <c r="R3141" s="16">
        <f>IF(NOT(Paths!$C$291=1),0,IF(Paths!$P$291="Complete",IF(AND(C3141=0,Paths!$E$291=0),I3141-J3141-K3141+VLOOKUP(A3141,'Fleet register'!$A$7:$S$106,15,FALSE)+VLOOKUP(A3141,'Fleet register'!$A$7:$S$106,16,FALSE),0),"n.a."))</f>
        <v>0</v>
      </c>
      <c r="S3141" s="1">
        <f>IF(NOT(Paths!$C$291=1),0,IF(Paths!$P$291="Complete",IF(C3141=0,0,Paths!$S$291*Paths!$R$291),"n.a."))</f>
        <v>0</v>
      </c>
      <c r="T3141" s="1">
        <f>IF(NOT(Paths!$C$291=1),0,IF(Paths!$P$291="Complete",IF(C3141=0,0,VLOOKUP(A3141,'Fleet register'!$A$7:$S$106,9,FALSE)*Paths!$R$291),"n.a."))</f>
        <v>0</v>
      </c>
    </row>
    <row r="3142" spans="1:20" ht="24" customHeight="1">
      <c r="A3142" s="1" t="str">
        <f>Paths!$A$292</f>
        <v>T072</v>
      </c>
      <c r="B3142" s="1">
        <f>Paths!$B$292</f>
        <v>1</v>
      </c>
      <c r="C3142" s="1">
        <v>0</v>
      </c>
      <c r="D3142" s="1">
        <v>292</v>
      </c>
      <c r="E3142" s="1">
        <f>IF(OR(Paths!$C$292=0,C3142=0),0,MAX(0,MIN(C3142*12,Paths!$E$292)-(C3142-1)*12))</f>
        <v>0</v>
      </c>
      <c r="F3142" s="1">
        <f>IF(OR(Paths!$C$292=0,C3142=0),0,12-E3142)</f>
        <v>0</v>
      </c>
      <c r="G3142" s="16">
        <f>IF(NOT(Paths!$C$292=1),0,IF(Paths!$P$292="Complete",E3142/12*(Paths!$J$292*(1+'Operating costs'!$B$51)^MAX(0,C3142-1)+Paths!$K$292*(1+'Operating costs'!$B$53)^MAX(0,C3142-1)),"n.a."))</f>
        <v>0</v>
      </c>
      <c r="H3142" s="16">
        <f>IF(NOT(Paths!$C$292=1),0,IF(Paths!$P$292="Complete",F3142/12*(Paths!$L$292*(1+IF(Paths!$D$292="EV",'Operating costs'!$B$52,'Operating costs'!$B$51))^MAX(0,C3142-1)+Paths!$M$292*(1+'Operating costs'!$B$53)^MAX(0,C3142-1)),"n.a."))</f>
        <v>0</v>
      </c>
      <c r="I3142" s="16">
        <f>IF(NOT(Paths!$C$292=1),0,IF(Paths!$P$292="Complete",IF(IF(Paths!$E$292=0,C3142=0,AND(C3142&gt;0,Paths!$E$292&gt;(C3142-1)*12,Paths!$E$292&lt;=C3142*12)),Paths!$G$292,0),"n.a."))</f>
        <v>0</v>
      </c>
      <c r="J3142" s="16">
        <f>IF(NOT(Paths!$C$292=1),0,IF(Paths!$P$292="Complete",IF(IF(Paths!$E$292=0,C3142=0,AND(C3142&gt;0,Paths!$E$292&gt;(C3142-1)*12,Paths!$E$292&lt;=C3142*12)),Paths!$H$292,0),"n.a."))</f>
        <v>0</v>
      </c>
      <c r="K3142" s="16">
        <f>IF(NOT(Paths!$C$292=1),0,IF(Paths!$P$292="Complete",IF(IF(Paths!$O$292=0,C3142=0,AND(C3142&gt;0,Paths!$O$292&gt;(C3142-1)*12,Paths!$O$292&lt;=C3142*12)),Paths!$N$292,0),"n.a."))</f>
        <v>0</v>
      </c>
      <c r="L3142" s="16">
        <f>IF(NOT(Paths!$C$292=1),0,IF(Paths!$P$292="Complete",IF(C3142=10,Paths!$I$292,0),"n.a."))</f>
        <v>0</v>
      </c>
      <c r="M3142" s="16">
        <f>IF(NOT(Paths!$C$292=1),0,IF(Paths!$P$292="Complete",IF(AND(Paths!$D$292="EV",Paths!$E$292&lt;120,Paths!$E$292+'Operating costs'!$B$65&gt;Paths!$E$292,Paths!$E$292+'Operating costs'!$B$65&lt;=120,IF(Paths!$E$292+'Operating costs'!$B$65=0,C3142=0,AND(C3142&gt;0,Paths!$E$292+'Operating costs'!$B$65&gt;(C3142-1)*12,Paths!$E$292+'Operating costs'!$B$65&lt;=C3142*12))),'Operating costs'!$B$64,0)+IF(AND('Operating costs'!$B$67&gt;0,'Operating costs'!$B$67&lt;=120,OR(Paths!$D$292="ICE",'Operating costs'!$B$67&lt;=Paths!$E$292),IF('Operating costs'!$B$67=0,C3142=0,AND(C3142&gt;0,'Operating costs'!$B$67&gt;(C3142-1)*12,'Operating costs'!$B$67&lt;=C3142*12))),'Operating costs'!$B$66,0),"n.a."))</f>
        <v>0</v>
      </c>
      <c r="N3142" s="16">
        <f>IF(NOT(Paths!$C$292=1),0,IF(Paths!$P$292="Complete",SUM(G3142:I3142)-J3142-K3142-L3142+M3142+IF(C3142=0,Paths!$F$292,0)+IF(IF(Paths!$E$292=0,C3142=0,AND(C3142&gt;0,Paths!$E$292&gt;(C3142-1)*12,Paths!$E$292&lt;=C3142*12)),VLOOKUP(A3142,'Fleet register'!$A$7:$S$106,16,FALSE),0),"n.a."))</f>
        <v>0</v>
      </c>
      <c r="O3142" s="16">
        <f>IF(NOT(Paths!$C$292=1),0,IF(Paths!$P$292="Complete",N3142-IF(C3142=0,Paths!$F$292,0),"n.a."))</f>
        <v>0</v>
      </c>
      <c r="P3142" s="16">
        <f>IF(NOT(Paths!$C$292=1),0,IF(Paths!$P$292="Complete",O3142+L3142,"n.a."))</f>
        <v>0</v>
      </c>
      <c r="Q3142" s="16">
        <f>IF(NOT(Paths!$C$292=1),0,IF(Paths!$P$292="Complete",N3142*(1+'Operating costs'!$B$54)^-C3142,"n.a."))</f>
        <v>0</v>
      </c>
      <c r="R3142" s="16">
        <f>IF(NOT(Paths!$C$292=1),0,IF(Paths!$P$292="Complete",IF(AND(C3142=0,Paths!$E$292=0),I3142-J3142-K3142+VLOOKUP(A3142,'Fleet register'!$A$7:$S$106,15,FALSE)+VLOOKUP(A3142,'Fleet register'!$A$7:$S$106,16,FALSE),0),"n.a."))</f>
        <v>0</v>
      </c>
      <c r="S3142" s="1">
        <f>IF(NOT(Paths!$C$292=1),0,IF(Paths!$P$292="Complete",IF(C3142=0,0,Paths!$S$292*Paths!$R$292),"n.a."))</f>
        <v>0</v>
      </c>
      <c r="T3142" s="1">
        <f>IF(NOT(Paths!$C$292=1),0,IF(Paths!$P$292="Complete",IF(C3142=0,0,VLOOKUP(A3142,'Fleet register'!$A$7:$S$106,9,FALSE)*Paths!$R$292),"n.a."))</f>
        <v>0</v>
      </c>
    </row>
    <row r="3143" spans="1:20" ht="24" customHeight="1">
      <c r="A3143" s="1" t="str">
        <f>Paths!$A$292</f>
        <v>T072</v>
      </c>
      <c r="B3143" s="1">
        <f>Paths!$B$292</f>
        <v>1</v>
      </c>
      <c r="C3143" s="1">
        <v>1</v>
      </c>
      <c r="D3143" s="1">
        <v>292</v>
      </c>
      <c r="E3143" s="1">
        <f>IF(OR(Paths!$C$292=0,C3143=0),0,MAX(0,MIN(C3143*12,Paths!$E$292)-(C3143-1)*12))</f>
        <v>0</v>
      </c>
      <c r="F3143" s="1">
        <f>IF(OR(Paths!$C$292=0,C3143=0),0,12-E3143)</f>
        <v>0</v>
      </c>
      <c r="G3143" s="16">
        <f>IF(NOT(Paths!$C$292=1),0,IF(Paths!$P$292="Complete",E3143/12*(Paths!$J$292*(1+'Operating costs'!$B$51)^MAX(0,C3143-1)+Paths!$K$292*(1+'Operating costs'!$B$53)^MAX(0,C3143-1)),"n.a."))</f>
        <v>0</v>
      </c>
      <c r="H3143" s="16">
        <f>IF(NOT(Paths!$C$292=1),0,IF(Paths!$P$292="Complete",F3143/12*(Paths!$L$292*(1+IF(Paths!$D$292="EV",'Operating costs'!$B$52,'Operating costs'!$B$51))^MAX(0,C3143-1)+Paths!$M$292*(1+'Operating costs'!$B$53)^MAX(0,C3143-1)),"n.a."))</f>
        <v>0</v>
      </c>
      <c r="I3143" s="16">
        <f>IF(NOT(Paths!$C$292=1),0,IF(Paths!$P$292="Complete",IF(IF(Paths!$E$292=0,C3143=0,AND(C3143&gt;0,Paths!$E$292&gt;(C3143-1)*12,Paths!$E$292&lt;=C3143*12)),Paths!$G$292,0),"n.a."))</f>
        <v>0</v>
      </c>
      <c r="J3143" s="16">
        <f>IF(NOT(Paths!$C$292=1),0,IF(Paths!$P$292="Complete",IF(IF(Paths!$E$292=0,C3143=0,AND(C3143&gt;0,Paths!$E$292&gt;(C3143-1)*12,Paths!$E$292&lt;=C3143*12)),Paths!$H$292,0),"n.a."))</f>
        <v>0</v>
      </c>
      <c r="K3143" s="16">
        <f>IF(NOT(Paths!$C$292=1),0,IF(Paths!$P$292="Complete",IF(IF(Paths!$O$292=0,C3143=0,AND(C3143&gt;0,Paths!$O$292&gt;(C3143-1)*12,Paths!$O$292&lt;=C3143*12)),Paths!$N$292,0),"n.a."))</f>
        <v>0</v>
      </c>
      <c r="L3143" s="16">
        <f>IF(NOT(Paths!$C$292=1),0,IF(Paths!$P$292="Complete",IF(C3143=10,Paths!$I$292,0),"n.a."))</f>
        <v>0</v>
      </c>
      <c r="M3143" s="16">
        <f>IF(NOT(Paths!$C$292=1),0,IF(Paths!$P$292="Complete",IF(AND(Paths!$D$292="EV",Paths!$E$292&lt;120,Paths!$E$292+'Operating costs'!$B$65&gt;Paths!$E$292,Paths!$E$292+'Operating costs'!$B$65&lt;=120,IF(Paths!$E$292+'Operating costs'!$B$65=0,C3143=0,AND(C3143&gt;0,Paths!$E$292+'Operating costs'!$B$65&gt;(C3143-1)*12,Paths!$E$292+'Operating costs'!$B$65&lt;=C3143*12))),'Operating costs'!$B$64,0)+IF(AND('Operating costs'!$B$67&gt;0,'Operating costs'!$B$67&lt;=120,OR(Paths!$D$292="ICE",'Operating costs'!$B$67&lt;=Paths!$E$292),IF('Operating costs'!$B$67=0,C3143=0,AND(C3143&gt;0,'Operating costs'!$B$67&gt;(C3143-1)*12,'Operating costs'!$B$67&lt;=C3143*12))),'Operating costs'!$B$66,0),"n.a."))</f>
        <v>0</v>
      </c>
      <c r="N3143" s="16">
        <f>IF(NOT(Paths!$C$292=1),0,IF(Paths!$P$292="Complete",SUM(G3143:I3143)-J3143-K3143-L3143+M3143+IF(C3143=0,Paths!$F$292,0)+IF(IF(Paths!$E$292=0,C3143=0,AND(C3143&gt;0,Paths!$E$292&gt;(C3143-1)*12,Paths!$E$292&lt;=C3143*12)),VLOOKUP(A3143,'Fleet register'!$A$7:$S$106,16,FALSE),0),"n.a."))</f>
        <v>0</v>
      </c>
      <c r="O3143" s="16">
        <f>IF(NOT(Paths!$C$292=1),0,IF(Paths!$P$292="Complete",N3143-IF(C3143=0,Paths!$F$292,0),"n.a."))</f>
        <v>0</v>
      </c>
      <c r="P3143" s="16">
        <f>IF(NOT(Paths!$C$292=1),0,IF(Paths!$P$292="Complete",O3143+L3143,"n.a."))</f>
        <v>0</v>
      </c>
      <c r="Q3143" s="16">
        <f>IF(NOT(Paths!$C$292=1),0,IF(Paths!$P$292="Complete",N3143*(1+'Operating costs'!$B$54)^-C3143,"n.a."))</f>
        <v>0</v>
      </c>
      <c r="R3143" s="16">
        <f>IF(NOT(Paths!$C$292=1),0,IF(Paths!$P$292="Complete",IF(AND(C3143=0,Paths!$E$292=0),I3143-J3143-K3143+VLOOKUP(A3143,'Fleet register'!$A$7:$S$106,15,FALSE)+VLOOKUP(A3143,'Fleet register'!$A$7:$S$106,16,FALSE),0),"n.a."))</f>
        <v>0</v>
      </c>
      <c r="S3143" s="1">
        <f>IF(NOT(Paths!$C$292=1),0,IF(Paths!$P$292="Complete",IF(C3143=0,0,Paths!$S$292*Paths!$R$292),"n.a."))</f>
        <v>0</v>
      </c>
      <c r="T3143" s="1">
        <f>IF(NOT(Paths!$C$292=1),0,IF(Paths!$P$292="Complete",IF(C3143=0,0,VLOOKUP(A3143,'Fleet register'!$A$7:$S$106,9,FALSE)*Paths!$R$292),"n.a."))</f>
        <v>0</v>
      </c>
    </row>
    <row r="3144" spans="1:20" ht="24" customHeight="1">
      <c r="A3144" s="1" t="str">
        <f>Paths!$A$292</f>
        <v>T072</v>
      </c>
      <c r="B3144" s="1">
        <f>Paths!$B$292</f>
        <v>1</v>
      </c>
      <c r="C3144" s="1">
        <v>2</v>
      </c>
      <c r="D3144" s="1">
        <v>292</v>
      </c>
      <c r="E3144" s="1">
        <f>IF(OR(Paths!$C$292=0,C3144=0),0,MAX(0,MIN(C3144*12,Paths!$E$292)-(C3144-1)*12))</f>
        <v>0</v>
      </c>
      <c r="F3144" s="1">
        <f>IF(OR(Paths!$C$292=0,C3144=0),0,12-E3144)</f>
        <v>0</v>
      </c>
      <c r="G3144" s="16">
        <f>IF(NOT(Paths!$C$292=1),0,IF(Paths!$P$292="Complete",E3144/12*(Paths!$J$292*(1+'Operating costs'!$B$51)^MAX(0,C3144-1)+Paths!$K$292*(1+'Operating costs'!$B$53)^MAX(0,C3144-1)),"n.a."))</f>
        <v>0</v>
      </c>
      <c r="H3144" s="16">
        <f>IF(NOT(Paths!$C$292=1),0,IF(Paths!$P$292="Complete",F3144/12*(Paths!$L$292*(1+IF(Paths!$D$292="EV",'Operating costs'!$B$52,'Operating costs'!$B$51))^MAX(0,C3144-1)+Paths!$M$292*(1+'Operating costs'!$B$53)^MAX(0,C3144-1)),"n.a."))</f>
        <v>0</v>
      </c>
      <c r="I3144" s="16">
        <f>IF(NOT(Paths!$C$292=1),0,IF(Paths!$P$292="Complete",IF(IF(Paths!$E$292=0,C3144=0,AND(C3144&gt;0,Paths!$E$292&gt;(C3144-1)*12,Paths!$E$292&lt;=C3144*12)),Paths!$G$292,0),"n.a."))</f>
        <v>0</v>
      </c>
      <c r="J3144" s="16">
        <f>IF(NOT(Paths!$C$292=1),0,IF(Paths!$P$292="Complete",IF(IF(Paths!$E$292=0,C3144=0,AND(C3144&gt;0,Paths!$E$292&gt;(C3144-1)*12,Paths!$E$292&lt;=C3144*12)),Paths!$H$292,0),"n.a."))</f>
        <v>0</v>
      </c>
      <c r="K3144" s="16">
        <f>IF(NOT(Paths!$C$292=1),0,IF(Paths!$P$292="Complete",IF(IF(Paths!$O$292=0,C3144=0,AND(C3144&gt;0,Paths!$O$292&gt;(C3144-1)*12,Paths!$O$292&lt;=C3144*12)),Paths!$N$292,0),"n.a."))</f>
        <v>0</v>
      </c>
      <c r="L3144" s="16">
        <f>IF(NOT(Paths!$C$292=1),0,IF(Paths!$P$292="Complete",IF(C3144=10,Paths!$I$292,0),"n.a."))</f>
        <v>0</v>
      </c>
      <c r="M3144" s="16">
        <f>IF(NOT(Paths!$C$292=1),0,IF(Paths!$P$292="Complete",IF(AND(Paths!$D$292="EV",Paths!$E$292&lt;120,Paths!$E$292+'Operating costs'!$B$65&gt;Paths!$E$292,Paths!$E$292+'Operating costs'!$B$65&lt;=120,IF(Paths!$E$292+'Operating costs'!$B$65=0,C3144=0,AND(C3144&gt;0,Paths!$E$292+'Operating costs'!$B$65&gt;(C3144-1)*12,Paths!$E$292+'Operating costs'!$B$65&lt;=C3144*12))),'Operating costs'!$B$64,0)+IF(AND('Operating costs'!$B$67&gt;0,'Operating costs'!$B$67&lt;=120,OR(Paths!$D$292="ICE",'Operating costs'!$B$67&lt;=Paths!$E$292),IF('Operating costs'!$B$67=0,C3144=0,AND(C3144&gt;0,'Operating costs'!$B$67&gt;(C3144-1)*12,'Operating costs'!$B$67&lt;=C3144*12))),'Operating costs'!$B$66,0),"n.a."))</f>
        <v>0</v>
      </c>
      <c r="N3144" s="16">
        <f>IF(NOT(Paths!$C$292=1),0,IF(Paths!$P$292="Complete",SUM(G3144:I3144)-J3144-K3144-L3144+M3144+IF(C3144=0,Paths!$F$292,0)+IF(IF(Paths!$E$292=0,C3144=0,AND(C3144&gt;0,Paths!$E$292&gt;(C3144-1)*12,Paths!$E$292&lt;=C3144*12)),VLOOKUP(A3144,'Fleet register'!$A$7:$S$106,16,FALSE),0),"n.a."))</f>
        <v>0</v>
      </c>
      <c r="O3144" s="16">
        <f>IF(NOT(Paths!$C$292=1),0,IF(Paths!$P$292="Complete",N3144-IF(C3144=0,Paths!$F$292,0),"n.a."))</f>
        <v>0</v>
      </c>
      <c r="P3144" s="16">
        <f>IF(NOT(Paths!$C$292=1),0,IF(Paths!$P$292="Complete",O3144+L3144,"n.a."))</f>
        <v>0</v>
      </c>
      <c r="Q3144" s="16">
        <f>IF(NOT(Paths!$C$292=1),0,IF(Paths!$P$292="Complete",N3144*(1+'Operating costs'!$B$54)^-C3144,"n.a."))</f>
        <v>0</v>
      </c>
      <c r="R3144" s="16">
        <f>IF(NOT(Paths!$C$292=1),0,IF(Paths!$P$292="Complete",IF(AND(C3144=0,Paths!$E$292=0),I3144-J3144-K3144+VLOOKUP(A3144,'Fleet register'!$A$7:$S$106,15,FALSE)+VLOOKUP(A3144,'Fleet register'!$A$7:$S$106,16,FALSE),0),"n.a."))</f>
        <v>0</v>
      </c>
      <c r="S3144" s="1">
        <f>IF(NOT(Paths!$C$292=1),0,IF(Paths!$P$292="Complete",IF(C3144=0,0,Paths!$S$292*Paths!$R$292),"n.a."))</f>
        <v>0</v>
      </c>
      <c r="T3144" s="1">
        <f>IF(NOT(Paths!$C$292=1),0,IF(Paths!$P$292="Complete",IF(C3144=0,0,VLOOKUP(A3144,'Fleet register'!$A$7:$S$106,9,FALSE)*Paths!$R$292),"n.a."))</f>
        <v>0</v>
      </c>
    </row>
    <row r="3145" spans="1:20" ht="24" customHeight="1">
      <c r="A3145" s="1" t="str">
        <f>Paths!$A$292</f>
        <v>T072</v>
      </c>
      <c r="B3145" s="1">
        <f>Paths!$B$292</f>
        <v>1</v>
      </c>
      <c r="C3145" s="1">
        <v>3</v>
      </c>
      <c r="D3145" s="1">
        <v>292</v>
      </c>
      <c r="E3145" s="1">
        <f>IF(OR(Paths!$C$292=0,C3145=0),0,MAX(0,MIN(C3145*12,Paths!$E$292)-(C3145-1)*12))</f>
        <v>0</v>
      </c>
      <c r="F3145" s="1">
        <f>IF(OR(Paths!$C$292=0,C3145=0),0,12-E3145)</f>
        <v>0</v>
      </c>
      <c r="G3145" s="16">
        <f>IF(NOT(Paths!$C$292=1),0,IF(Paths!$P$292="Complete",E3145/12*(Paths!$J$292*(1+'Operating costs'!$B$51)^MAX(0,C3145-1)+Paths!$K$292*(1+'Operating costs'!$B$53)^MAX(0,C3145-1)),"n.a."))</f>
        <v>0</v>
      </c>
      <c r="H3145" s="16">
        <f>IF(NOT(Paths!$C$292=1),0,IF(Paths!$P$292="Complete",F3145/12*(Paths!$L$292*(1+IF(Paths!$D$292="EV",'Operating costs'!$B$52,'Operating costs'!$B$51))^MAX(0,C3145-1)+Paths!$M$292*(1+'Operating costs'!$B$53)^MAX(0,C3145-1)),"n.a."))</f>
        <v>0</v>
      </c>
      <c r="I3145" s="16">
        <f>IF(NOT(Paths!$C$292=1),0,IF(Paths!$P$292="Complete",IF(IF(Paths!$E$292=0,C3145=0,AND(C3145&gt;0,Paths!$E$292&gt;(C3145-1)*12,Paths!$E$292&lt;=C3145*12)),Paths!$G$292,0),"n.a."))</f>
        <v>0</v>
      </c>
      <c r="J3145" s="16">
        <f>IF(NOT(Paths!$C$292=1),0,IF(Paths!$P$292="Complete",IF(IF(Paths!$E$292=0,C3145=0,AND(C3145&gt;0,Paths!$E$292&gt;(C3145-1)*12,Paths!$E$292&lt;=C3145*12)),Paths!$H$292,0),"n.a."))</f>
        <v>0</v>
      </c>
      <c r="K3145" s="16">
        <f>IF(NOT(Paths!$C$292=1),0,IF(Paths!$P$292="Complete",IF(IF(Paths!$O$292=0,C3145=0,AND(C3145&gt;0,Paths!$O$292&gt;(C3145-1)*12,Paths!$O$292&lt;=C3145*12)),Paths!$N$292,0),"n.a."))</f>
        <v>0</v>
      </c>
      <c r="L3145" s="16">
        <f>IF(NOT(Paths!$C$292=1),0,IF(Paths!$P$292="Complete",IF(C3145=10,Paths!$I$292,0),"n.a."))</f>
        <v>0</v>
      </c>
      <c r="M3145" s="16">
        <f>IF(NOT(Paths!$C$292=1),0,IF(Paths!$P$292="Complete",IF(AND(Paths!$D$292="EV",Paths!$E$292&lt;120,Paths!$E$292+'Operating costs'!$B$65&gt;Paths!$E$292,Paths!$E$292+'Operating costs'!$B$65&lt;=120,IF(Paths!$E$292+'Operating costs'!$B$65=0,C3145=0,AND(C3145&gt;0,Paths!$E$292+'Operating costs'!$B$65&gt;(C3145-1)*12,Paths!$E$292+'Operating costs'!$B$65&lt;=C3145*12))),'Operating costs'!$B$64,0)+IF(AND('Operating costs'!$B$67&gt;0,'Operating costs'!$B$67&lt;=120,OR(Paths!$D$292="ICE",'Operating costs'!$B$67&lt;=Paths!$E$292),IF('Operating costs'!$B$67=0,C3145=0,AND(C3145&gt;0,'Operating costs'!$B$67&gt;(C3145-1)*12,'Operating costs'!$B$67&lt;=C3145*12))),'Operating costs'!$B$66,0),"n.a."))</f>
        <v>0</v>
      </c>
      <c r="N3145" s="16">
        <f>IF(NOT(Paths!$C$292=1),0,IF(Paths!$P$292="Complete",SUM(G3145:I3145)-J3145-K3145-L3145+M3145+IF(C3145=0,Paths!$F$292,0)+IF(IF(Paths!$E$292=0,C3145=0,AND(C3145&gt;0,Paths!$E$292&gt;(C3145-1)*12,Paths!$E$292&lt;=C3145*12)),VLOOKUP(A3145,'Fleet register'!$A$7:$S$106,16,FALSE),0),"n.a."))</f>
        <v>0</v>
      </c>
      <c r="O3145" s="16">
        <f>IF(NOT(Paths!$C$292=1),0,IF(Paths!$P$292="Complete",N3145-IF(C3145=0,Paths!$F$292,0),"n.a."))</f>
        <v>0</v>
      </c>
      <c r="P3145" s="16">
        <f>IF(NOT(Paths!$C$292=1),0,IF(Paths!$P$292="Complete",O3145+L3145,"n.a."))</f>
        <v>0</v>
      </c>
      <c r="Q3145" s="16">
        <f>IF(NOT(Paths!$C$292=1),0,IF(Paths!$P$292="Complete",N3145*(1+'Operating costs'!$B$54)^-C3145,"n.a."))</f>
        <v>0</v>
      </c>
      <c r="R3145" s="16">
        <f>IF(NOT(Paths!$C$292=1),0,IF(Paths!$P$292="Complete",IF(AND(C3145=0,Paths!$E$292=0),I3145-J3145-K3145+VLOOKUP(A3145,'Fleet register'!$A$7:$S$106,15,FALSE)+VLOOKUP(A3145,'Fleet register'!$A$7:$S$106,16,FALSE),0),"n.a."))</f>
        <v>0</v>
      </c>
      <c r="S3145" s="1">
        <f>IF(NOT(Paths!$C$292=1),0,IF(Paths!$P$292="Complete",IF(C3145=0,0,Paths!$S$292*Paths!$R$292),"n.a."))</f>
        <v>0</v>
      </c>
      <c r="T3145" s="1">
        <f>IF(NOT(Paths!$C$292=1),0,IF(Paths!$P$292="Complete",IF(C3145=0,0,VLOOKUP(A3145,'Fleet register'!$A$7:$S$106,9,FALSE)*Paths!$R$292),"n.a."))</f>
        <v>0</v>
      </c>
    </row>
    <row r="3146" spans="1:20" ht="24" customHeight="1">
      <c r="A3146" s="1" t="str">
        <f>Paths!$A$292</f>
        <v>T072</v>
      </c>
      <c r="B3146" s="1">
        <f>Paths!$B$292</f>
        <v>1</v>
      </c>
      <c r="C3146" s="1">
        <v>4</v>
      </c>
      <c r="D3146" s="1">
        <v>292</v>
      </c>
      <c r="E3146" s="1">
        <f>IF(OR(Paths!$C$292=0,C3146=0),0,MAX(0,MIN(C3146*12,Paths!$E$292)-(C3146-1)*12))</f>
        <v>0</v>
      </c>
      <c r="F3146" s="1">
        <f>IF(OR(Paths!$C$292=0,C3146=0),0,12-E3146)</f>
        <v>0</v>
      </c>
      <c r="G3146" s="16">
        <f>IF(NOT(Paths!$C$292=1),0,IF(Paths!$P$292="Complete",E3146/12*(Paths!$J$292*(1+'Operating costs'!$B$51)^MAX(0,C3146-1)+Paths!$K$292*(1+'Operating costs'!$B$53)^MAX(0,C3146-1)),"n.a."))</f>
        <v>0</v>
      </c>
      <c r="H3146" s="16">
        <f>IF(NOT(Paths!$C$292=1),0,IF(Paths!$P$292="Complete",F3146/12*(Paths!$L$292*(1+IF(Paths!$D$292="EV",'Operating costs'!$B$52,'Operating costs'!$B$51))^MAX(0,C3146-1)+Paths!$M$292*(1+'Operating costs'!$B$53)^MAX(0,C3146-1)),"n.a."))</f>
        <v>0</v>
      </c>
      <c r="I3146" s="16">
        <f>IF(NOT(Paths!$C$292=1),0,IF(Paths!$P$292="Complete",IF(IF(Paths!$E$292=0,C3146=0,AND(C3146&gt;0,Paths!$E$292&gt;(C3146-1)*12,Paths!$E$292&lt;=C3146*12)),Paths!$G$292,0),"n.a."))</f>
        <v>0</v>
      </c>
      <c r="J3146" s="16">
        <f>IF(NOT(Paths!$C$292=1),0,IF(Paths!$P$292="Complete",IF(IF(Paths!$E$292=0,C3146=0,AND(C3146&gt;0,Paths!$E$292&gt;(C3146-1)*12,Paths!$E$292&lt;=C3146*12)),Paths!$H$292,0),"n.a."))</f>
        <v>0</v>
      </c>
      <c r="K3146" s="16">
        <f>IF(NOT(Paths!$C$292=1),0,IF(Paths!$P$292="Complete",IF(IF(Paths!$O$292=0,C3146=0,AND(C3146&gt;0,Paths!$O$292&gt;(C3146-1)*12,Paths!$O$292&lt;=C3146*12)),Paths!$N$292,0),"n.a."))</f>
        <v>0</v>
      </c>
      <c r="L3146" s="16">
        <f>IF(NOT(Paths!$C$292=1),0,IF(Paths!$P$292="Complete",IF(C3146=10,Paths!$I$292,0),"n.a."))</f>
        <v>0</v>
      </c>
      <c r="M3146" s="16">
        <f>IF(NOT(Paths!$C$292=1),0,IF(Paths!$P$292="Complete",IF(AND(Paths!$D$292="EV",Paths!$E$292&lt;120,Paths!$E$292+'Operating costs'!$B$65&gt;Paths!$E$292,Paths!$E$292+'Operating costs'!$B$65&lt;=120,IF(Paths!$E$292+'Operating costs'!$B$65=0,C3146=0,AND(C3146&gt;0,Paths!$E$292+'Operating costs'!$B$65&gt;(C3146-1)*12,Paths!$E$292+'Operating costs'!$B$65&lt;=C3146*12))),'Operating costs'!$B$64,0)+IF(AND('Operating costs'!$B$67&gt;0,'Operating costs'!$B$67&lt;=120,OR(Paths!$D$292="ICE",'Operating costs'!$B$67&lt;=Paths!$E$292),IF('Operating costs'!$B$67=0,C3146=0,AND(C3146&gt;0,'Operating costs'!$B$67&gt;(C3146-1)*12,'Operating costs'!$B$67&lt;=C3146*12))),'Operating costs'!$B$66,0),"n.a."))</f>
        <v>0</v>
      </c>
      <c r="N3146" s="16">
        <f>IF(NOT(Paths!$C$292=1),0,IF(Paths!$P$292="Complete",SUM(G3146:I3146)-J3146-K3146-L3146+M3146+IF(C3146=0,Paths!$F$292,0)+IF(IF(Paths!$E$292=0,C3146=0,AND(C3146&gt;0,Paths!$E$292&gt;(C3146-1)*12,Paths!$E$292&lt;=C3146*12)),VLOOKUP(A3146,'Fleet register'!$A$7:$S$106,16,FALSE),0),"n.a."))</f>
        <v>0</v>
      </c>
      <c r="O3146" s="16">
        <f>IF(NOT(Paths!$C$292=1),0,IF(Paths!$P$292="Complete",N3146-IF(C3146=0,Paths!$F$292,0),"n.a."))</f>
        <v>0</v>
      </c>
      <c r="P3146" s="16">
        <f>IF(NOT(Paths!$C$292=1),0,IF(Paths!$P$292="Complete",O3146+L3146,"n.a."))</f>
        <v>0</v>
      </c>
      <c r="Q3146" s="16">
        <f>IF(NOT(Paths!$C$292=1),0,IF(Paths!$P$292="Complete",N3146*(1+'Operating costs'!$B$54)^-C3146,"n.a."))</f>
        <v>0</v>
      </c>
      <c r="R3146" s="16">
        <f>IF(NOT(Paths!$C$292=1),0,IF(Paths!$P$292="Complete",IF(AND(C3146=0,Paths!$E$292=0),I3146-J3146-K3146+VLOOKUP(A3146,'Fleet register'!$A$7:$S$106,15,FALSE)+VLOOKUP(A3146,'Fleet register'!$A$7:$S$106,16,FALSE),0),"n.a."))</f>
        <v>0</v>
      </c>
      <c r="S3146" s="1">
        <f>IF(NOT(Paths!$C$292=1),0,IF(Paths!$P$292="Complete",IF(C3146=0,0,Paths!$S$292*Paths!$R$292),"n.a."))</f>
        <v>0</v>
      </c>
      <c r="T3146" s="1">
        <f>IF(NOT(Paths!$C$292=1),0,IF(Paths!$P$292="Complete",IF(C3146=0,0,VLOOKUP(A3146,'Fleet register'!$A$7:$S$106,9,FALSE)*Paths!$R$292),"n.a."))</f>
        <v>0</v>
      </c>
    </row>
    <row r="3147" spans="1:20" ht="24" customHeight="1">
      <c r="A3147" s="1" t="str">
        <f>Paths!$A$292</f>
        <v>T072</v>
      </c>
      <c r="B3147" s="1">
        <f>Paths!$B$292</f>
        <v>1</v>
      </c>
      <c r="C3147" s="1">
        <v>5</v>
      </c>
      <c r="D3147" s="1">
        <v>292</v>
      </c>
      <c r="E3147" s="1">
        <f>IF(OR(Paths!$C$292=0,C3147=0),0,MAX(0,MIN(C3147*12,Paths!$E$292)-(C3147-1)*12))</f>
        <v>0</v>
      </c>
      <c r="F3147" s="1">
        <f>IF(OR(Paths!$C$292=0,C3147=0),0,12-E3147)</f>
        <v>0</v>
      </c>
      <c r="G3147" s="16">
        <f>IF(NOT(Paths!$C$292=1),0,IF(Paths!$P$292="Complete",E3147/12*(Paths!$J$292*(1+'Operating costs'!$B$51)^MAX(0,C3147-1)+Paths!$K$292*(1+'Operating costs'!$B$53)^MAX(0,C3147-1)),"n.a."))</f>
        <v>0</v>
      </c>
      <c r="H3147" s="16">
        <f>IF(NOT(Paths!$C$292=1),0,IF(Paths!$P$292="Complete",F3147/12*(Paths!$L$292*(1+IF(Paths!$D$292="EV",'Operating costs'!$B$52,'Operating costs'!$B$51))^MAX(0,C3147-1)+Paths!$M$292*(1+'Operating costs'!$B$53)^MAX(0,C3147-1)),"n.a."))</f>
        <v>0</v>
      </c>
      <c r="I3147" s="16">
        <f>IF(NOT(Paths!$C$292=1),0,IF(Paths!$P$292="Complete",IF(IF(Paths!$E$292=0,C3147=0,AND(C3147&gt;0,Paths!$E$292&gt;(C3147-1)*12,Paths!$E$292&lt;=C3147*12)),Paths!$G$292,0),"n.a."))</f>
        <v>0</v>
      </c>
      <c r="J3147" s="16">
        <f>IF(NOT(Paths!$C$292=1),0,IF(Paths!$P$292="Complete",IF(IF(Paths!$E$292=0,C3147=0,AND(C3147&gt;0,Paths!$E$292&gt;(C3147-1)*12,Paths!$E$292&lt;=C3147*12)),Paths!$H$292,0),"n.a."))</f>
        <v>0</v>
      </c>
      <c r="K3147" s="16">
        <f>IF(NOT(Paths!$C$292=1),0,IF(Paths!$P$292="Complete",IF(IF(Paths!$O$292=0,C3147=0,AND(C3147&gt;0,Paths!$O$292&gt;(C3147-1)*12,Paths!$O$292&lt;=C3147*12)),Paths!$N$292,0),"n.a."))</f>
        <v>0</v>
      </c>
      <c r="L3147" s="16">
        <f>IF(NOT(Paths!$C$292=1),0,IF(Paths!$P$292="Complete",IF(C3147=10,Paths!$I$292,0),"n.a."))</f>
        <v>0</v>
      </c>
      <c r="M3147" s="16">
        <f>IF(NOT(Paths!$C$292=1),0,IF(Paths!$P$292="Complete",IF(AND(Paths!$D$292="EV",Paths!$E$292&lt;120,Paths!$E$292+'Operating costs'!$B$65&gt;Paths!$E$292,Paths!$E$292+'Operating costs'!$B$65&lt;=120,IF(Paths!$E$292+'Operating costs'!$B$65=0,C3147=0,AND(C3147&gt;0,Paths!$E$292+'Operating costs'!$B$65&gt;(C3147-1)*12,Paths!$E$292+'Operating costs'!$B$65&lt;=C3147*12))),'Operating costs'!$B$64,0)+IF(AND('Operating costs'!$B$67&gt;0,'Operating costs'!$B$67&lt;=120,OR(Paths!$D$292="ICE",'Operating costs'!$B$67&lt;=Paths!$E$292),IF('Operating costs'!$B$67=0,C3147=0,AND(C3147&gt;0,'Operating costs'!$B$67&gt;(C3147-1)*12,'Operating costs'!$B$67&lt;=C3147*12))),'Operating costs'!$B$66,0),"n.a."))</f>
        <v>0</v>
      </c>
      <c r="N3147" s="16">
        <f>IF(NOT(Paths!$C$292=1),0,IF(Paths!$P$292="Complete",SUM(G3147:I3147)-J3147-K3147-L3147+M3147+IF(C3147=0,Paths!$F$292,0)+IF(IF(Paths!$E$292=0,C3147=0,AND(C3147&gt;0,Paths!$E$292&gt;(C3147-1)*12,Paths!$E$292&lt;=C3147*12)),VLOOKUP(A3147,'Fleet register'!$A$7:$S$106,16,FALSE),0),"n.a."))</f>
        <v>0</v>
      </c>
      <c r="O3147" s="16">
        <f>IF(NOT(Paths!$C$292=1),0,IF(Paths!$P$292="Complete",N3147-IF(C3147=0,Paths!$F$292,0),"n.a."))</f>
        <v>0</v>
      </c>
      <c r="P3147" s="16">
        <f>IF(NOT(Paths!$C$292=1),0,IF(Paths!$P$292="Complete",O3147+L3147,"n.a."))</f>
        <v>0</v>
      </c>
      <c r="Q3147" s="16">
        <f>IF(NOT(Paths!$C$292=1),0,IF(Paths!$P$292="Complete",N3147*(1+'Operating costs'!$B$54)^-C3147,"n.a."))</f>
        <v>0</v>
      </c>
      <c r="R3147" s="16">
        <f>IF(NOT(Paths!$C$292=1),0,IF(Paths!$P$292="Complete",IF(AND(C3147=0,Paths!$E$292=0),I3147-J3147-K3147+VLOOKUP(A3147,'Fleet register'!$A$7:$S$106,15,FALSE)+VLOOKUP(A3147,'Fleet register'!$A$7:$S$106,16,FALSE),0),"n.a."))</f>
        <v>0</v>
      </c>
      <c r="S3147" s="1">
        <f>IF(NOT(Paths!$C$292=1),0,IF(Paths!$P$292="Complete",IF(C3147=0,0,Paths!$S$292*Paths!$R$292),"n.a."))</f>
        <v>0</v>
      </c>
      <c r="T3147" s="1">
        <f>IF(NOT(Paths!$C$292=1),0,IF(Paths!$P$292="Complete",IF(C3147=0,0,VLOOKUP(A3147,'Fleet register'!$A$7:$S$106,9,FALSE)*Paths!$R$292),"n.a."))</f>
        <v>0</v>
      </c>
    </row>
    <row r="3148" spans="1:20" ht="24" customHeight="1">
      <c r="A3148" s="1" t="str">
        <f>Paths!$A$292</f>
        <v>T072</v>
      </c>
      <c r="B3148" s="1">
        <f>Paths!$B$292</f>
        <v>1</v>
      </c>
      <c r="C3148" s="1">
        <v>6</v>
      </c>
      <c r="D3148" s="1">
        <v>292</v>
      </c>
      <c r="E3148" s="1">
        <f>IF(OR(Paths!$C$292=0,C3148=0),0,MAX(0,MIN(C3148*12,Paths!$E$292)-(C3148-1)*12))</f>
        <v>0</v>
      </c>
      <c r="F3148" s="1">
        <f>IF(OR(Paths!$C$292=0,C3148=0),0,12-E3148)</f>
        <v>0</v>
      </c>
      <c r="G3148" s="16">
        <f>IF(NOT(Paths!$C$292=1),0,IF(Paths!$P$292="Complete",E3148/12*(Paths!$J$292*(1+'Operating costs'!$B$51)^MAX(0,C3148-1)+Paths!$K$292*(1+'Operating costs'!$B$53)^MAX(0,C3148-1)),"n.a."))</f>
        <v>0</v>
      </c>
      <c r="H3148" s="16">
        <f>IF(NOT(Paths!$C$292=1),0,IF(Paths!$P$292="Complete",F3148/12*(Paths!$L$292*(1+IF(Paths!$D$292="EV",'Operating costs'!$B$52,'Operating costs'!$B$51))^MAX(0,C3148-1)+Paths!$M$292*(1+'Operating costs'!$B$53)^MAX(0,C3148-1)),"n.a."))</f>
        <v>0</v>
      </c>
      <c r="I3148" s="16">
        <f>IF(NOT(Paths!$C$292=1),0,IF(Paths!$P$292="Complete",IF(IF(Paths!$E$292=0,C3148=0,AND(C3148&gt;0,Paths!$E$292&gt;(C3148-1)*12,Paths!$E$292&lt;=C3148*12)),Paths!$G$292,0),"n.a."))</f>
        <v>0</v>
      </c>
      <c r="J3148" s="16">
        <f>IF(NOT(Paths!$C$292=1),0,IF(Paths!$P$292="Complete",IF(IF(Paths!$E$292=0,C3148=0,AND(C3148&gt;0,Paths!$E$292&gt;(C3148-1)*12,Paths!$E$292&lt;=C3148*12)),Paths!$H$292,0),"n.a."))</f>
        <v>0</v>
      </c>
      <c r="K3148" s="16">
        <f>IF(NOT(Paths!$C$292=1),0,IF(Paths!$P$292="Complete",IF(IF(Paths!$O$292=0,C3148=0,AND(C3148&gt;0,Paths!$O$292&gt;(C3148-1)*12,Paths!$O$292&lt;=C3148*12)),Paths!$N$292,0),"n.a."))</f>
        <v>0</v>
      </c>
      <c r="L3148" s="16">
        <f>IF(NOT(Paths!$C$292=1),0,IF(Paths!$P$292="Complete",IF(C3148=10,Paths!$I$292,0),"n.a."))</f>
        <v>0</v>
      </c>
      <c r="M3148" s="16">
        <f>IF(NOT(Paths!$C$292=1),0,IF(Paths!$P$292="Complete",IF(AND(Paths!$D$292="EV",Paths!$E$292&lt;120,Paths!$E$292+'Operating costs'!$B$65&gt;Paths!$E$292,Paths!$E$292+'Operating costs'!$B$65&lt;=120,IF(Paths!$E$292+'Operating costs'!$B$65=0,C3148=0,AND(C3148&gt;0,Paths!$E$292+'Operating costs'!$B$65&gt;(C3148-1)*12,Paths!$E$292+'Operating costs'!$B$65&lt;=C3148*12))),'Operating costs'!$B$64,0)+IF(AND('Operating costs'!$B$67&gt;0,'Operating costs'!$B$67&lt;=120,OR(Paths!$D$292="ICE",'Operating costs'!$B$67&lt;=Paths!$E$292),IF('Operating costs'!$B$67=0,C3148=0,AND(C3148&gt;0,'Operating costs'!$B$67&gt;(C3148-1)*12,'Operating costs'!$B$67&lt;=C3148*12))),'Operating costs'!$B$66,0),"n.a."))</f>
        <v>0</v>
      </c>
      <c r="N3148" s="16">
        <f>IF(NOT(Paths!$C$292=1),0,IF(Paths!$P$292="Complete",SUM(G3148:I3148)-J3148-K3148-L3148+M3148+IF(C3148=0,Paths!$F$292,0)+IF(IF(Paths!$E$292=0,C3148=0,AND(C3148&gt;0,Paths!$E$292&gt;(C3148-1)*12,Paths!$E$292&lt;=C3148*12)),VLOOKUP(A3148,'Fleet register'!$A$7:$S$106,16,FALSE),0),"n.a."))</f>
        <v>0</v>
      </c>
      <c r="O3148" s="16">
        <f>IF(NOT(Paths!$C$292=1),0,IF(Paths!$P$292="Complete",N3148-IF(C3148=0,Paths!$F$292,0),"n.a."))</f>
        <v>0</v>
      </c>
      <c r="P3148" s="16">
        <f>IF(NOT(Paths!$C$292=1),0,IF(Paths!$P$292="Complete",O3148+L3148,"n.a."))</f>
        <v>0</v>
      </c>
      <c r="Q3148" s="16">
        <f>IF(NOT(Paths!$C$292=1),0,IF(Paths!$P$292="Complete",N3148*(1+'Operating costs'!$B$54)^-C3148,"n.a."))</f>
        <v>0</v>
      </c>
      <c r="R3148" s="16">
        <f>IF(NOT(Paths!$C$292=1),0,IF(Paths!$P$292="Complete",IF(AND(C3148=0,Paths!$E$292=0),I3148-J3148-K3148+VLOOKUP(A3148,'Fleet register'!$A$7:$S$106,15,FALSE)+VLOOKUP(A3148,'Fleet register'!$A$7:$S$106,16,FALSE),0),"n.a."))</f>
        <v>0</v>
      </c>
      <c r="S3148" s="1">
        <f>IF(NOT(Paths!$C$292=1),0,IF(Paths!$P$292="Complete",IF(C3148=0,0,Paths!$S$292*Paths!$R$292),"n.a."))</f>
        <v>0</v>
      </c>
      <c r="T3148" s="1">
        <f>IF(NOT(Paths!$C$292=1),0,IF(Paths!$P$292="Complete",IF(C3148=0,0,VLOOKUP(A3148,'Fleet register'!$A$7:$S$106,9,FALSE)*Paths!$R$292),"n.a."))</f>
        <v>0</v>
      </c>
    </row>
    <row r="3149" spans="1:20" ht="24" customHeight="1">
      <c r="A3149" s="1" t="str">
        <f>Paths!$A$292</f>
        <v>T072</v>
      </c>
      <c r="B3149" s="1">
        <f>Paths!$B$292</f>
        <v>1</v>
      </c>
      <c r="C3149" s="1">
        <v>7</v>
      </c>
      <c r="D3149" s="1">
        <v>292</v>
      </c>
      <c r="E3149" s="1">
        <f>IF(OR(Paths!$C$292=0,C3149=0),0,MAX(0,MIN(C3149*12,Paths!$E$292)-(C3149-1)*12))</f>
        <v>0</v>
      </c>
      <c r="F3149" s="1">
        <f>IF(OR(Paths!$C$292=0,C3149=0),0,12-E3149)</f>
        <v>0</v>
      </c>
      <c r="G3149" s="16">
        <f>IF(NOT(Paths!$C$292=1),0,IF(Paths!$P$292="Complete",E3149/12*(Paths!$J$292*(1+'Operating costs'!$B$51)^MAX(0,C3149-1)+Paths!$K$292*(1+'Operating costs'!$B$53)^MAX(0,C3149-1)),"n.a."))</f>
        <v>0</v>
      </c>
      <c r="H3149" s="16">
        <f>IF(NOT(Paths!$C$292=1),0,IF(Paths!$P$292="Complete",F3149/12*(Paths!$L$292*(1+IF(Paths!$D$292="EV",'Operating costs'!$B$52,'Operating costs'!$B$51))^MAX(0,C3149-1)+Paths!$M$292*(1+'Operating costs'!$B$53)^MAX(0,C3149-1)),"n.a."))</f>
        <v>0</v>
      </c>
      <c r="I3149" s="16">
        <f>IF(NOT(Paths!$C$292=1),0,IF(Paths!$P$292="Complete",IF(IF(Paths!$E$292=0,C3149=0,AND(C3149&gt;0,Paths!$E$292&gt;(C3149-1)*12,Paths!$E$292&lt;=C3149*12)),Paths!$G$292,0),"n.a."))</f>
        <v>0</v>
      </c>
      <c r="J3149" s="16">
        <f>IF(NOT(Paths!$C$292=1),0,IF(Paths!$P$292="Complete",IF(IF(Paths!$E$292=0,C3149=0,AND(C3149&gt;0,Paths!$E$292&gt;(C3149-1)*12,Paths!$E$292&lt;=C3149*12)),Paths!$H$292,0),"n.a."))</f>
        <v>0</v>
      </c>
      <c r="K3149" s="16">
        <f>IF(NOT(Paths!$C$292=1),0,IF(Paths!$P$292="Complete",IF(IF(Paths!$O$292=0,C3149=0,AND(C3149&gt;0,Paths!$O$292&gt;(C3149-1)*12,Paths!$O$292&lt;=C3149*12)),Paths!$N$292,0),"n.a."))</f>
        <v>0</v>
      </c>
      <c r="L3149" s="16">
        <f>IF(NOT(Paths!$C$292=1),0,IF(Paths!$P$292="Complete",IF(C3149=10,Paths!$I$292,0),"n.a."))</f>
        <v>0</v>
      </c>
      <c r="M3149" s="16">
        <f>IF(NOT(Paths!$C$292=1),0,IF(Paths!$P$292="Complete",IF(AND(Paths!$D$292="EV",Paths!$E$292&lt;120,Paths!$E$292+'Operating costs'!$B$65&gt;Paths!$E$292,Paths!$E$292+'Operating costs'!$B$65&lt;=120,IF(Paths!$E$292+'Operating costs'!$B$65=0,C3149=0,AND(C3149&gt;0,Paths!$E$292+'Operating costs'!$B$65&gt;(C3149-1)*12,Paths!$E$292+'Operating costs'!$B$65&lt;=C3149*12))),'Operating costs'!$B$64,0)+IF(AND('Operating costs'!$B$67&gt;0,'Operating costs'!$B$67&lt;=120,OR(Paths!$D$292="ICE",'Operating costs'!$B$67&lt;=Paths!$E$292),IF('Operating costs'!$B$67=0,C3149=0,AND(C3149&gt;0,'Operating costs'!$B$67&gt;(C3149-1)*12,'Operating costs'!$B$67&lt;=C3149*12))),'Operating costs'!$B$66,0),"n.a."))</f>
        <v>0</v>
      </c>
      <c r="N3149" s="16">
        <f>IF(NOT(Paths!$C$292=1),0,IF(Paths!$P$292="Complete",SUM(G3149:I3149)-J3149-K3149-L3149+M3149+IF(C3149=0,Paths!$F$292,0)+IF(IF(Paths!$E$292=0,C3149=0,AND(C3149&gt;0,Paths!$E$292&gt;(C3149-1)*12,Paths!$E$292&lt;=C3149*12)),VLOOKUP(A3149,'Fleet register'!$A$7:$S$106,16,FALSE),0),"n.a."))</f>
        <v>0</v>
      </c>
      <c r="O3149" s="16">
        <f>IF(NOT(Paths!$C$292=1),0,IF(Paths!$P$292="Complete",N3149-IF(C3149=0,Paths!$F$292,0),"n.a."))</f>
        <v>0</v>
      </c>
      <c r="P3149" s="16">
        <f>IF(NOT(Paths!$C$292=1),0,IF(Paths!$P$292="Complete",O3149+L3149,"n.a."))</f>
        <v>0</v>
      </c>
      <c r="Q3149" s="16">
        <f>IF(NOT(Paths!$C$292=1),0,IF(Paths!$P$292="Complete",N3149*(1+'Operating costs'!$B$54)^-C3149,"n.a."))</f>
        <v>0</v>
      </c>
      <c r="R3149" s="16">
        <f>IF(NOT(Paths!$C$292=1),0,IF(Paths!$P$292="Complete",IF(AND(C3149=0,Paths!$E$292=0),I3149-J3149-K3149+VLOOKUP(A3149,'Fleet register'!$A$7:$S$106,15,FALSE)+VLOOKUP(A3149,'Fleet register'!$A$7:$S$106,16,FALSE),0),"n.a."))</f>
        <v>0</v>
      </c>
      <c r="S3149" s="1">
        <f>IF(NOT(Paths!$C$292=1),0,IF(Paths!$P$292="Complete",IF(C3149=0,0,Paths!$S$292*Paths!$R$292),"n.a."))</f>
        <v>0</v>
      </c>
      <c r="T3149" s="1">
        <f>IF(NOT(Paths!$C$292=1),0,IF(Paths!$P$292="Complete",IF(C3149=0,0,VLOOKUP(A3149,'Fleet register'!$A$7:$S$106,9,FALSE)*Paths!$R$292),"n.a."))</f>
        <v>0</v>
      </c>
    </row>
    <row r="3150" spans="1:20" ht="24" customHeight="1">
      <c r="A3150" s="1" t="str">
        <f>Paths!$A$292</f>
        <v>T072</v>
      </c>
      <c r="B3150" s="1">
        <f>Paths!$B$292</f>
        <v>1</v>
      </c>
      <c r="C3150" s="1">
        <v>8</v>
      </c>
      <c r="D3150" s="1">
        <v>292</v>
      </c>
      <c r="E3150" s="1">
        <f>IF(OR(Paths!$C$292=0,C3150=0),0,MAX(0,MIN(C3150*12,Paths!$E$292)-(C3150-1)*12))</f>
        <v>0</v>
      </c>
      <c r="F3150" s="1">
        <f>IF(OR(Paths!$C$292=0,C3150=0),0,12-E3150)</f>
        <v>0</v>
      </c>
      <c r="G3150" s="16">
        <f>IF(NOT(Paths!$C$292=1),0,IF(Paths!$P$292="Complete",E3150/12*(Paths!$J$292*(1+'Operating costs'!$B$51)^MAX(0,C3150-1)+Paths!$K$292*(1+'Operating costs'!$B$53)^MAX(0,C3150-1)),"n.a."))</f>
        <v>0</v>
      </c>
      <c r="H3150" s="16">
        <f>IF(NOT(Paths!$C$292=1),0,IF(Paths!$P$292="Complete",F3150/12*(Paths!$L$292*(1+IF(Paths!$D$292="EV",'Operating costs'!$B$52,'Operating costs'!$B$51))^MAX(0,C3150-1)+Paths!$M$292*(1+'Operating costs'!$B$53)^MAX(0,C3150-1)),"n.a."))</f>
        <v>0</v>
      </c>
      <c r="I3150" s="16">
        <f>IF(NOT(Paths!$C$292=1),0,IF(Paths!$P$292="Complete",IF(IF(Paths!$E$292=0,C3150=0,AND(C3150&gt;0,Paths!$E$292&gt;(C3150-1)*12,Paths!$E$292&lt;=C3150*12)),Paths!$G$292,0),"n.a."))</f>
        <v>0</v>
      </c>
      <c r="J3150" s="16">
        <f>IF(NOT(Paths!$C$292=1),0,IF(Paths!$P$292="Complete",IF(IF(Paths!$E$292=0,C3150=0,AND(C3150&gt;0,Paths!$E$292&gt;(C3150-1)*12,Paths!$E$292&lt;=C3150*12)),Paths!$H$292,0),"n.a."))</f>
        <v>0</v>
      </c>
      <c r="K3150" s="16">
        <f>IF(NOT(Paths!$C$292=1),0,IF(Paths!$P$292="Complete",IF(IF(Paths!$O$292=0,C3150=0,AND(C3150&gt;0,Paths!$O$292&gt;(C3150-1)*12,Paths!$O$292&lt;=C3150*12)),Paths!$N$292,0),"n.a."))</f>
        <v>0</v>
      </c>
      <c r="L3150" s="16">
        <f>IF(NOT(Paths!$C$292=1),0,IF(Paths!$P$292="Complete",IF(C3150=10,Paths!$I$292,0),"n.a."))</f>
        <v>0</v>
      </c>
      <c r="M3150" s="16">
        <f>IF(NOT(Paths!$C$292=1),0,IF(Paths!$P$292="Complete",IF(AND(Paths!$D$292="EV",Paths!$E$292&lt;120,Paths!$E$292+'Operating costs'!$B$65&gt;Paths!$E$292,Paths!$E$292+'Operating costs'!$B$65&lt;=120,IF(Paths!$E$292+'Operating costs'!$B$65=0,C3150=0,AND(C3150&gt;0,Paths!$E$292+'Operating costs'!$B$65&gt;(C3150-1)*12,Paths!$E$292+'Operating costs'!$B$65&lt;=C3150*12))),'Operating costs'!$B$64,0)+IF(AND('Operating costs'!$B$67&gt;0,'Operating costs'!$B$67&lt;=120,OR(Paths!$D$292="ICE",'Operating costs'!$B$67&lt;=Paths!$E$292),IF('Operating costs'!$B$67=0,C3150=0,AND(C3150&gt;0,'Operating costs'!$B$67&gt;(C3150-1)*12,'Operating costs'!$B$67&lt;=C3150*12))),'Operating costs'!$B$66,0),"n.a."))</f>
        <v>0</v>
      </c>
      <c r="N3150" s="16">
        <f>IF(NOT(Paths!$C$292=1),0,IF(Paths!$P$292="Complete",SUM(G3150:I3150)-J3150-K3150-L3150+M3150+IF(C3150=0,Paths!$F$292,0)+IF(IF(Paths!$E$292=0,C3150=0,AND(C3150&gt;0,Paths!$E$292&gt;(C3150-1)*12,Paths!$E$292&lt;=C3150*12)),VLOOKUP(A3150,'Fleet register'!$A$7:$S$106,16,FALSE),0),"n.a."))</f>
        <v>0</v>
      </c>
      <c r="O3150" s="16">
        <f>IF(NOT(Paths!$C$292=1),0,IF(Paths!$P$292="Complete",N3150-IF(C3150=0,Paths!$F$292,0),"n.a."))</f>
        <v>0</v>
      </c>
      <c r="P3150" s="16">
        <f>IF(NOT(Paths!$C$292=1),0,IF(Paths!$P$292="Complete",O3150+L3150,"n.a."))</f>
        <v>0</v>
      </c>
      <c r="Q3150" s="16">
        <f>IF(NOT(Paths!$C$292=1),0,IF(Paths!$P$292="Complete",N3150*(1+'Operating costs'!$B$54)^-C3150,"n.a."))</f>
        <v>0</v>
      </c>
      <c r="R3150" s="16">
        <f>IF(NOT(Paths!$C$292=1),0,IF(Paths!$P$292="Complete",IF(AND(C3150=0,Paths!$E$292=0),I3150-J3150-K3150+VLOOKUP(A3150,'Fleet register'!$A$7:$S$106,15,FALSE)+VLOOKUP(A3150,'Fleet register'!$A$7:$S$106,16,FALSE),0),"n.a."))</f>
        <v>0</v>
      </c>
      <c r="S3150" s="1">
        <f>IF(NOT(Paths!$C$292=1),0,IF(Paths!$P$292="Complete",IF(C3150=0,0,Paths!$S$292*Paths!$R$292),"n.a."))</f>
        <v>0</v>
      </c>
      <c r="T3150" s="1">
        <f>IF(NOT(Paths!$C$292=1),0,IF(Paths!$P$292="Complete",IF(C3150=0,0,VLOOKUP(A3150,'Fleet register'!$A$7:$S$106,9,FALSE)*Paths!$R$292),"n.a."))</f>
        <v>0</v>
      </c>
    </row>
    <row r="3151" spans="1:20" ht="24" customHeight="1">
      <c r="A3151" s="1" t="str">
        <f>Paths!$A$292</f>
        <v>T072</v>
      </c>
      <c r="B3151" s="1">
        <f>Paths!$B$292</f>
        <v>1</v>
      </c>
      <c r="C3151" s="1">
        <v>9</v>
      </c>
      <c r="D3151" s="1">
        <v>292</v>
      </c>
      <c r="E3151" s="1">
        <f>IF(OR(Paths!$C$292=0,C3151=0),0,MAX(0,MIN(C3151*12,Paths!$E$292)-(C3151-1)*12))</f>
        <v>0</v>
      </c>
      <c r="F3151" s="1">
        <f>IF(OR(Paths!$C$292=0,C3151=0),0,12-E3151)</f>
        <v>0</v>
      </c>
      <c r="G3151" s="16">
        <f>IF(NOT(Paths!$C$292=1),0,IF(Paths!$P$292="Complete",E3151/12*(Paths!$J$292*(1+'Operating costs'!$B$51)^MAX(0,C3151-1)+Paths!$K$292*(1+'Operating costs'!$B$53)^MAX(0,C3151-1)),"n.a."))</f>
        <v>0</v>
      </c>
      <c r="H3151" s="16">
        <f>IF(NOT(Paths!$C$292=1),0,IF(Paths!$P$292="Complete",F3151/12*(Paths!$L$292*(1+IF(Paths!$D$292="EV",'Operating costs'!$B$52,'Operating costs'!$B$51))^MAX(0,C3151-1)+Paths!$M$292*(1+'Operating costs'!$B$53)^MAX(0,C3151-1)),"n.a."))</f>
        <v>0</v>
      </c>
      <c r="I3151" s="16">
        <f>IF(NOT(Paths!$C$292=1),0,IF(Paths!$P$292="Complete",IF(IF(Paths!$E$292=0,C3151=0,AND(C3151&gt;0,Paths!$E$292&gt;(C3151-1)*12,Paths!$E$292&lt;=C3151*12)),Paths!$G$292,0),"n.a."))</f>
        <v>0</v>
      </c>
      <c r="J3151" s="16">
        <f>IF(NOT(Paths!$C$292=1),0,IF(Paths!$P$292="Complete",IF(IF(Paths!$E$292=0,C3151=0,AND(C3151&gt;0,Paths!$E$292&gt;(C3151-1)*12,Paths!$E$292&lt;=C3151*12)),Paths!$H$292,0),"n.a."))</f>
        <v>0</v>
      </c>
      <c r="K3151" s="16">
        <f>IF(NOT(Paths!$C$292=1),0,IF(Paths!$P$292="Complete",IF(IF(Paths!$O$292=0,C3151=0,AND(C3151&gt;0,Paths!$O$292&gt;(C3151-1)*12,Paths!$O$292&lt;=C3151*12)),Paths!$N$292,0),"n.a."))</f>
        <v>0</v>
      </c>
      <c r="L3151" s="16">
        <f>IF(NOT(Paths!$C$292=1),0,IF(Paths!$P$292="Complete",IF(C3151=10,Paths!$I$292,0),"n.a."))</f>
        <v>0</v>
      </c>
      <c r="M3151" s="16">
        <f>IF(NOT(Paths!$C$292=1),0,IF(Paths!$P$292="Complete",IF(AND(Paths!$D$292="EV",Paths!$E$292&lt;120,Paths!$E$292+'Operating costs'!$B$65&gt;Paths!$E$292,Paths!$E$292+'Operating costs'!$B$65&lt;=120,IF(Paths!$E$292+'Operating costs'!$B$65=0,C3151=0,AND(C3151&gt;0,Paths!$E$292+'Operating costs'!$B$65&gt;(C3151-1)*12,Paths!$E$292+'Operating costs'!$B$65&lt;=C3151*12))),'Operating costs'!$B$64,0)+IF(AND('Operating costs'!$B$67&gt;0,'Operating costs'!$B$67&lt;=120,OR(Paths!$D$292="ICE",'Operating costs'!$B$67&lt;=Paths!$E$292),IF('Operating costs'!$B$67=0,C3151=0,AND(C3151&gt;0,'Operating costs'!$B$67&gt;(C3151-1)*12,'Operating costs'!$B$67&lt;=C3151*12))),'Operating costs'!$B$66,0),"n.a."))</f>
        <v>0</v>
      </c>
      <c r="N3151" s="16">
        <f>IF(NOT(Paths!$C$292=1),0,IF(Paths!$P$292="Complete",SUM(G3151:I3151)-J3151-K3151-L3151+M3151+IF(C3151=0,Paths!$F$292,0)+IF(IF(Paths!$E$292=0,C3151=0,AND(C3151&gt;0,Paths!$E$292&gt;(C3151-1)*12,Paths!$E$292&lt;=C3151*12)),VLOOKUP(A3151,'Fleet register'!$A$7:$S$106,16,FALSE),0),"n.a."))</f>
        <v>0</v>
      </c>
      <c r="O3151" s="16">
        <f>IF(NOT(Paths!$C$292=1),0,IF(Paths!$P$292="Complete",N3151-IF(C3151=0,Paths!$F$292,0),"n.a."))</f>
        <v>0</v>
      </c>
      <c r="P3151" s="16">
        <f>IF(NOT(Paths!$C$292=1),0,IF(Paths!$P$292="Complete",O3151+L3151,"n.a."))</f>
        <v>0</v>
      </c>
      <c r="Q3151" s="16">
        <f>IF(NOT(Paths!$C$292=1),0,IF(Paths!$P$292="Complete",N3151*(1+'Operating costs'!$B$54)^-C3151,"n.a."))</f>
        <v>0</v>
      </c>
      <c r="R3151" s="16">
        <f>IF(NOT(Paths!$C$292=1),0,IF(Paths!$P$292="Complete",IF(AND(C3151=0,Paths!$E$292=0),I3151-J3151-K3151+VLOOKUP(A3151,'Fleet register'!$A$7:$S$106,15,FALSE)+VLOOKUP(A3151,'Fleet register'!$A$7:$S$106,16,FALSE),0),"n.a."))</f>
        <v>0</v>
      </c>
      <c r="S3151" s="1">
        <f>IF(NOT(Paths!$C$292=1),0,IF(Paths!$P$292="Complete",IF(C3151=0,0,Paths!$S$292*Paths!$R$292),"n.a."))</f>
        <v>0</v>
      </c>
      <c r="T3151" s="1">
        <f>IF(NOT(Paths!$C$292=1),0,IF(Paths!$P$292="Complete",IF(C3151=0,0,VLOOKUP(A3151,'Fleet register'!$A$7:$S$106,9,FALSE)*Paths!$R$292),"n.a."))</f>
        <v>0</v>
      </c>
    </row>
    <row r="3152" spans="1:20" ht="24" customHeight="1">
      <c r="A3152" s="1" t="str">
        <f>Paths!$A$292</f>
        <v>T072</v>
      </c>
      <c r="B3152" s="1">
        <f>Paths!$B$292</f>
        <v>1</v>
      </c>
      <c r="C3152" s="1">
        <v>10</v>
      </c>
      <c r="D3152" s="1">
        <v>292</v>
      </c>
      <c r="E3152" s="1">
        <f>IF(OR(Paths!$C$292=0,C3152=0),0,MAX(0,MIN(C3152*12,Paths!$E$292)-(C3152-1)*12))</f>
        <v>0</v>
      </c>
      <c r="F3152" s="1">
        <f>IF(OR(Paths!$C$292=0,C3152=0),0,12-E3152)</f>
        <v>0</v>
      </c>
      <c r="G3152" s="16">
        <f>IF(NOT(Paths!$C$292=1),0,IF(Paths!$P$292="Complete",E3152/12*(Paths!$J$292*(1+'Operating costs'!$B$51)^MAX(0,C3152-1)+Paths!$K$292*(1+'Operating costs'!$B$53)^MAX(0,C3152-1)),"n.a."))</f>
        <v>0</v>
      </c>
      <c r="H3152" s="16">
        <f>IF(NOT(Paths!$C$292=1),0,IF(Paths!$P$292="Complete",F3152/12*(Paths!$L$292*(1+IF(Paths!$D$292="EV",'Operating costs'!$B$52,'Operating costs'!$B$51))^MAX(0,C3152-1)+Paths!$M$292*(1+'Operating costs'!$B$53)^MAX(0,C3152-1)),"n.a."))</f>
        <v>0</v>
      </c>
      <c r="I3152" s="16">
        <f>IF(NOT(Paths!$C$292=1),0,IF(Paths!$P$292="Complete",IF(IF(Paths!$E$292=0,C3152=0,AND(C3152&gt;0,Paths!$E$292&gt;(C3152-1)*12,Paths!$E$292&lt;=C3152*12)),Paths!$G$292,0),"n.a."))</f>
        <v>0</v>
      </c>
      <c r="J3152" s="16">
        <f>IF(NOT(Paths!$C$292=1),0,IF(Paths!$P$292="Complete",IF(IF(Paths!$E$292=0,C3152=0,AND(C3152&gt;0,Paths!$E$292&gt;(C3152-1)*12,Paths!$E$292&lt;=C3152*12)),Paths!$H$292,0),"n.a."))</f>
        <v>0</v>
      </c>
      <c r="K3152" s="16">
        <f>IF(NOT(Paths!$C$292=1),0,IF(Paths!$P$292="Complete",IF(IF(Paths!$O$292=0,C3152=0,AND(C3152&gt;0,Paths!$O$292&gt;(C3152-1)*12,Paths!$O$292&lt;=C3152*12)),Paths!$N$292,0),"n.a."))</f>
        <v>0</v>
      </c>
      <c r="L3152" s="16">
        <f>IF(NOT(Paths!$C$292=1),0,IF(Paths!$P$292="Complete",IF(C3152=10,Paths!$I$292,0),"n.a."))</f>
        <v>0</v>
      </c>
      <c r="M3152" s="16">
        <f>IF(NOT(Paths!$C$292=1),0,IF(Paths!$P$292="Complete",IF(AND(Paths!$D$292="EV",Paths!$E$292&lt;120,Paths!$E$292+'Operating costs'!$B$65&gt;Paths!$E$292,Paths!$E$292+'Operating costs'!$B$65&lt;=120,IF(Paths!$E$292+'Operating costs'!$B$65=0,C3152=0,AND(C3152&gt;0,Paths!$E$292+'Operating costs'!$B$65&gt;(C3152-1)*12,Paths!$E$292+'Operating costs'!$B$65&lt;=C3152*12))),'Operating costs'!$B$64,0)+IF(AND('Operating costs'!$B$67&gt;0,'Operating costs'!$B$67&lt;=120,OR(Paths!$D$292="ICE",'Operating costs'!$B$67&lt;=Paths!$E$292),IF('Operating costs'!$B$67=0,C3152=0,AND(C3152&gt;0,'Operating costs'!$B$67&gt;(C3152-1)*12,'Operating costs'!$B$67&lt;=C3152*12))),'Operating costs'!$B$66,0),"n.a."))</f>
        <v>0</v>
      </c>
      <c r="N3152" s="16">
        <f>IF(NOT(Paths!$C$292=1),0,IF(Paths!$P$292="Complete",SUM(G3152:I3152)-J3152-K3152-L3152+M3152+IF(C3152=0,Paths!$F$292,0)+IF(IF(Paths!$E$292=0,C3152=0,AND(C3152&gt;0,Paths!$E$292&gt;(C3152-1)*12,Paths!$E$292&lt;=C3152*12)),VLOOKUP(A3152,'Fleet register'!$A$7:$S$106,16,FALSE),0),"n.a."))</f>
        <v>0</v>
      </c>
      <c r="O3152" s="16">
        <f>IF(NOT(Paths!$C$292=1),0,IF(Paths!$P$292="Complete",N3152-IF(C3152=0,Paths!$F$292,0),"n.a."))</f>
        <v>0</v>
      </c>
      <c r="P3152" s="16">
        <f>IF(NOT(Paths!$C$292=1),0,IF(Paths!$P$292="Complete",O3152+L3152,"n.a."))</f>
        <v>0</v>
      </c>
      <c r="Q3152" s="16">
        <f>IF(NOT(Paths!$C$292=1),0,IF(Paths!$P$292="Complete",N3152*(1+'Operating costs'!$B$54)^-C3152,"n.a."))</f>
        <v>0</v>
      </c>
      <c r="R3152" s="16">
        <f>IF(NOT(Paths!$C$292=1),0,IF(Paths!$P$292="Complete",IF(AND(C3152=0,Paths!$E$292=0),I3152-J3152-K3152+VLOOKUP(A3152,'Fleet register'!$A$7:$S$106,15,FALSE)+VLOOKUP(A3152,'Fleet register'!$A$7:$S$106,16,FALSE),0),"n.a."))</f>
        <v>0</v>
      </c>
      <c r="S3152" s="1">
        <f>IF(NOT(Paths!$C$292=1),0,IF(Paths!$P$292="Complete",IF(C3152=0,0,Paths!$S$292*Paths!$R$292),"n.a."))</f>
        <v>0</v>
      </c>
      <c r="T3152" s="1">
        <f>IF(NOT(Paths!$C$292=1),0,IF(Paths!$P$292="Complete",IF(C3152=0,0,VLOOKUP(A3152,'Fleet register'!$A$7:$S$106,9,FALSE)*Paths!$R$292),"n.a."))</f>
        <v>0</v>
      </c>
    </row>
    <row r="3153" spans="1:20" ht="24" customHeight="1">
      <c r="A3153" s="1" t="str">
        <f>Paths!$A$293</f>
        <v>T072</v>
      </c>
      <c r="B3153" s="1">
        <f>Paths!$B$293</f>
        <v>2</v>
      </c>
      <c r="C3153" s="1">
        <v>0</v>
      </c>
      <c r="D3153" s="1">
        <v>293</v>
      </c>
      <c r="E3153" s="1">
        <f>IF(OR(Paths!$C$293=0,C3153=0),0,MAX(0,MIN(C3153*12,Paths!$E$293)-(C3153-1)*12))</f>
        <v>0</v>
      </c>
      <c r="F3153" s="1">
        <f>IF(OR(Paths!$C$293=0,C3153=0),0,12-E3153)</f>
        <v>0</v>
      </c>
      <c r="G3153" s="16">
        <f>IF(NOT(Paths!$C$293=1),0,IF(Paths!$P$293="Complete",E3153/12*(Paths!$J$293*(1+'Operating costs'!$B$51)^MAX(0,C3153-1)+Paths!$K$293*(1+'Operating costs'!$B$53)^MAX(0,C3153-1)),"n.a."))</f>
        <v>0</v>
      </c>
      <c r="H3153" s="16">
        <f>IF(NOT(Paths!$C$293=1),0,IF(Paths!$P$293="Complete",F3153/12*(Paths!$L$293*(1+IF(Paths!$D$293="EV",'Operating costs'!$B$52,'Operating costs'!$B$51))^MAX(0,C3153-1)+Paths!$M$293*(1+'Operating costs'!$B$53)^MAX(0,C3153-1)),"n.a."))</f>
        <v>0</v>
      </c>
      <c r="I3153" s="16">
        <f>IF(NOT(Paths!$C$293=1),0,IF(Paths!$P$293="Complete",IF(IF(Paths!$E$293=0,C3153=0,AND(C3153&gt;0,Paths!$E$293&gt;(C3153-1)*12,Paths!$E$293&lt;=C3153*12)),Paths!$G$293,0),"n.a."))</f>
        <v>0</v>
      </c>
      <c r="J3153" s="16">
        <f>IF(NOT(Paths!$C$293=1),0,IF(Paths!$P$293="Complete",IF(IF(Paths!$E$293=0,C3153=0,AND(C3153&gt;0,Paths!$E$293&gt;(C3153-1)*12,Paths!$E$293&lt;=C3153*12)),Paths!$H$293,0),"n.a."))</f>
        <v>0</v>
      </c>
      <c r="K3153" s="16">
        <f>IF(NOT(Paths!$C$293=1),0,IF(Paths!$P$293="Complete",IF(IF(Paths!$O$293=0,C3153=0,AND(C3153&gt;0,Paths!$O$293&gt;(C3153-1)*12,Paths!$O$293&lt;=C3153*12)),Paths!$N$293,0),"n.a."))</f>
        <v>0</v>
      </c>
      <c r="L3153" s="16">
        <f>IF(NOT(Paths!$C$293=1),0,IF(Paths!$P$293="Complete",IF(C3153=10,Paths!$I$293,0),"n.a."))</f>
        <v>0</v>
      </c>
      <c r="M3153" s="16">
        <f>IF(NOT(Paths!$C$293=1),0,IF(Paths!$P$293="Complete",IF(AND(Paths!$D$293="EV",Paths!$E$293&lt;120,Paths!$E$293+'Operating costs'!$B$65&gt;Paths!$E$293,Paths!$E$293+'Operating costs'!$B$65&lt;=120,IF(Paths!$E$293+'Operating costs'!$B$65=0,C3153=0,AND(C3153&gt;0,Paths!$E$293+'Operating costs'!$B$65&gt;(C3153-1)*12,Paths!$E$293+'Operating costs'!$B$65&lt;=C3153*12))),'Operating costs'!$B$64,0)+IF(AND('Operating costs'!$B$67&gt;0,'Operating costs'!$B$67&lt;=120,OR(Paths!$D$293="ICE",'Operating costs'!$B$67&lt;=Paths!$E$293),IF('Operating costs'!$B$67=0,C3153=0,AND(C3153&gt;0,'Operating costs'!$B$67&gt;(C3153-1)*12,'Operating costs'!$B$67&lt;=C3153*12))),'Operating costs'!$B$66,0),"n.a."))</f>
        <v>0</v>
      </c>
      <c r="N3153" s="16">
        <f>IF(NOT(Paths!$C$293=1),0,IF(Paths!$P$293="Complete",SUM(G3153:I3153)-J3153-K3153-L3153+M3153+IF(C3153=0,Paths!$F$293,0)+IF(IF(Paths!$E$293=0,C3153=0,AND(C3153&gt;0,Paths!$E$293&gt;(C3153-1)*12,Paths!$E$293&lt;=C3153*12)),VLOOKUP(A3153,'Fleet register'!$A$7:$S$106,16,FALSE),0),"n.a."))</f>
        <v>0</v>
      </c>
      <c r="O3153" s="16">
        <f>IF(NOT(Paths!$C$293=1),0,IF(Paths!$P$293="Complete",N3153-IF(C3153=0,Paths!$F$293,0),"n.a."))</f>
        <v>0</v>
      </c>
      <c r="P3153" s="16">
        <f>IF(NOT(Paths!$C$293=1),0,IF(Paths!$P$293="Complete",O3153+L3153,"n.a."))</f>
        <v>0</v>
      </c>
      <c r="Q3153" s="16">
        <f>IF(NOT(Paths!$C$293=1),0,IF(Paths!$P$293="Complete",N3153*(1+'Operating costs'!$B$54)^-C3153,"n.a."))</f>
        <v>0</v>
      </c>
      <c r="R3153" s="16">
        <f>IF(NOT(Paths!$C$293=1),0,IF(Paths!$P$293="Complete",IF(AND(C3153=0,Paths!$E$293=0),I3153-J3153-K3153+VLOOKUP(A3153,'Fleet register'!$A$7:$S$106,15,FALSE)+VLOOKUP(A3153,'Fleet register'!$A$7:$S$106,16,FALSE),0),"n.a."))</f>
        <v>0</v>
      </c>
      <c r="S3153" s="1">
        <f>IF(NOT(Paths!$C$293=1),0,IF(Paths!$P$293="Complete",IF(C3153=0,0,Paths!$S$293*Paths!$R$293),"n.a."))</f>
        <v>0</v>
      </c>
      <c r="T3153" s="1">
        <f>IF(NOT(Paths!$C$293=1),0,IF(Paths!$P$293="Complete",IF(C3153=0,0,VLOOKUP(A3153,'Fleet register'!$A$7:$S$106,9,FALSE)*Paths!$R$293),"n.a."))</f>
        <v>0</v>
      </c>
    </row>
    <row r="3154" spans="1:20" ht="24" customHeight="1">
      <c r="A3154" s="1" t="str">
        <f>Paths!$A$293</f>
        <v>T072</v>
      </c>
      <c r="B3154" s="1">
        <f>Paths!$B$293</f>
        <v>2</v>
      </c>
      <c r="C3154" s="1">
        <v>1</v>
      </c>
      <c r="D3154" s="1">
        <v>293</v>
      </c>
      <c r="E3154" s="1">
        <f>IF(OR(Paths!$C$293=0,C3154=0),0,MAX(0,MIN(C3154*12,Paths!$E$293)-(C3154-1)*12))</f>
        <v>0</v>
      </c>
      <c r="F3154" s="1">
        <f>IF(OR(Paths!$C$293=0,C3154=0),0,12-E3154)</f>
        <v>0</v>
      </c>
      <c r="G3154" s="16">
        <f>IF(NOT(Paths!$C$293=1),0,IF(Paths!$P$293="Complete",E3154/12*(Paths!$J$293*(1+'Operating costs'!$B$51)^MAX(0,C3154-1)+Paths!$K$293*(1+'Operating costs'!$B$53)^MAX(0,C3154-1)),"n.a."))</f>
        <v>0</v>
      </c>
      <c r="H3154" s="16">
        <f>IF(NOT(Paths!$C$293=1),0,IF(Paths!$P$293="Complete",F3154/12*(Paths!$L$293*(1+IF(Paths!$D$293="EV",'Operating costs'!$B$52,'Operating costs'!$B$51))^MAX(0,C3154-1)+Paths!$M$293*(1+'Operating costs'!$B$53)^MAX(0,C3154-1)),"n.a."))</f>
        <v>0</v>
      </c>
      <c r="I3154" s="16">
        <f>IF(NOT(Paths!$C$293=1),0,IF(Paths!$P$293="Complete",IF(IF(Paths!$E$293=0,C3154=0,AND(C3154&gt;0,Paths!$E$293&gt;(C3154-1)*12,Paths!$E$293&lt;=C3154*12)),Paths!$G$293,0),"n.a."))</f>
        <v>0</v>
      </c>
      <c r="J3154" s="16">
        <f>IF(NOT(Paths!$C$293=1),0,IF(Paths!$P$293="Complete",IF(IF(Paths!$E$293=0,C3154=0,AND(C3154&gt;0,Paths!$E$293&gt;(C3154-1)*12,Paths!$E$293&lt;=C3154*12)),Paths!$H$293,0),"n.a."))</f>
        <v>0</v>
      </c>
      <c r="K3154" s="16">
        <f>IF(NOT(Paths!$C$293=1),0,IF(Paths!$P$293="Complete",IF(IF(Paths!$O$293=0,C3154=0,AND(C3154&gt;0,Paths!$O$293&gt;(C3154-1)*12,Paths!$O$293&lt;=C3154*12)),Paths!$N$293,0),"n.a."))</f>
        <v>0</v>
      </c>
      <c r="L3154" s="16">
        <f>IF(NOT(Paths!$C$293=1),0,IF(Paths!$P$293="Complete",IF(C3154=10,Paths!$I$293,0),"n.a."))</f>
        <v>0</v>
      </c>
      <c r="M3154" s="16">
        <f>IF(NOT(Paths!$C$293=1),0,IF(Paths!$P$293="Complete",IF(AND(Paths!$D$293="EV",Paths!$E$293&lt;120,Paths!$E$293+'Operating costs'!$B$65&gt;Paths!$E$293,Paths!$E$293+'Operating costs'!$B$65&lt;=120,IF(Paths!$E$293+'Operating costs'!$B$65=0,C3154=0,AND(C3154&gt;0,Paths!$E$293+'Operating costs'!$B$65&gt;(C3154-1)*12,Paths!$E$293+'Operating costs'!$B$65&lt;=C3154*12))),'Operating costs'!$B$64,0)+IF(AND('Operating costs'!$B$67&gt;0,'Operating costs'!$B$67&lt;=120,OR(Paths!$D$293="ICE",'Operating costs'!$B$67&lt;=Paths!$E$293),IF('Operating costs'!$B$67=0,C3154=0,AND(C3154&gt;0,'Operating costs'!$B$67&gt;(C3154-1)*12,'Operating costs'!$B$67&lt;=C3154*12))),'Operating costs'!$B$66,0),"n.a."))</f>
        <v>0</v>
      </c>
      <c r="N3154" s="16">
        <f>IF(NOT(Paths!$C$293=1),0,IF(Paths!$P$293="Complete",SUM(G3154:I3154)-J3154-K3154-L3154+M3154+IF(C3154=0,Paths!$F$293,0)+IF(IF(Paths!$E$293=0,C3154=0,AND(C3154&gt;0,Paths!$E$293&gt;(C3154-1)*12,Paths!$E$293&lt;=C3154*12)),VLOOKUP(A3154,'Fleet register'!$A$7:$S$106,16,FALSE),0),"n.a."))</f>
        <v>0</v>
      </c>
      <c r="O3154" s="16">
        <f>IF(NOT(Paths!$C$293=1),0,IF(Paths!$P$293="Complete",N3154-IF(C3154=0,Paths!$F$293,0),"n.a."))</f>
        <v>0</v>
      </c>
      <c r="P3154" s="16">
        <f>IF(NOT(Paths!$C$293=1),0,IF(Paths!$P$293="Complete",O3154+L3154,"n.a."))</f>
        <v>0</v>
      </c>
      <c r="Q3154" s="16">
        <f>IF(NOT(Paths!$C$293=1),0,IF(Paths!$P$293="Complete",N3154*(1+'Operating costs'!$B$54)^-C3154,"n.a."))</f>
        <v>0</v>
      </c>
      <c r="R3154" s="16">
        <f>IF(NOT(Paths!$C$293=1),0,IF(Paths!$P$293="Complete",IF(AND(C3154=0,Paths!$E$293=0),I3154-J3154-K3154+VLOOKUP(A3154,'Fleet register'!$A$7:$S$106,15,FALSE)+VLOOKUP(A3154,'Fleet register'!$A$7:$S$106,16,FALSE),0),"n.a."))</f>
        <v>0</v>
      </c>
      <c r="S3154" s="1">
        <f>IF(NOT(Paths!$C$293=1),0,IF(Paths!$P$293="Complete",IF(C3154=0,0,Paths!$S$293*Paths!$R$293),"n.a."))</f>
        <v>0</v>
      </c>
      <c r="T3154" s="1">
        <f>IF(NOT(Paths!$C$293=1),0,IF(Paths!$P$293="Complete",IF(C3154=0,0,VLOOKUP(A3154,'Fleet register'!$A$7:$S$106,9,FALSE)*Paths!$R$293),"n.a."))</f>
        <v>0</v>
      </c>
    </row>
    <row r="3155" spans="1:20" ht="24" customHeight="1">
      <c r="A3155" s="1" t="str">
        <f>Paths!$A$293</f>
        <v>T072</v>
      </c>
      <c r="B3155" s="1">
        <f>Paths!$B$293</f>
        <v>2</v>
      </c>
      <c r="C3155" s="1">
        <v>2</v>
      </c>
      <c r="D3155" s="1">
        <v>293</v>
      </c>
      <c r="E3155" s="1">
        <f>IF(OR(Paths!$C$293=0,C3155=0),0,MAX(0,MIN(C3155*12,Paths!$E$293)-(C3155-1)*12))</f>
        <v>0</v>
      </c>
      <c r="F3155" s="1">
        <f>IF(OR(Paths!$C$293=0,C3155=0),0,12-E3155)</f>
        <v>0</v>
      </c>
      <c r="G3155" s="16">
        <f>IF(NOT(Paths!$C$293=1),0,IF(Paths!$P$293="Complete",E3155/12*(Paths!$J$293*(1+'Operating costs'!$B$51)^MAX(0,C3155-1)+Paths!$K$293*(1+'Operating costs'!$B$53)^MAX(0,C3155-1)),"n.a."))</f>
        <v>0</v>
      </c>
      <c r="H3155" s="16">
        <f>IF(NOT(Paths!$C$293=1),0,IF(Paths!$P$293="Complete",F3155/12*(Paths!$L$293*(1+IF(Paths!$D$293="EV",'Operating costs'!$B$52,'Operating costs'!$B$51))^MAX(0,C3155-1)+Paths!$M$293*(1+'Operating costs'!$B$53)^MAX(0,C3155-1)),"n.a."))</f>
        <v>0</v>
      </c>
      <c r="I3155" s="16">
        <f>IF(NOT(Paths!$C$293=1),0,IF(Paths!$P$293="Complete",IF(IF(Paths!$E$293=0,C3155=0,AND(C3155&gt;0,Paths!$E$293&gt;(C3155-1)*12,Paths!$E$293&lt;=C3155*12)),Paths!$G$293,0),"n.a."))</f>
        <v>0</v>
      </c>
      <c r="J3155" s="16">
        <f>IF(NOT(Paths!$C$293=1),0,IF(Paths!$P$293="Complete",IF(IF(Paths!$E$293=0,C3155=0,AND(C3155&gt;0,Paths!$E$293&gt;(C3155-1)*12,Paths!$E$293&lt;=C3155*12)),Paths!$H$293,0),"n.a."))</f>
        <v>0</v>
      </c>
      <c r="K3155" s="16">
        <f>IF(NOT(Paths!$C$293=1),0,IF(Paths!$P$293="Complete",IF(IF(Paths!$O$293=0,C3155=0,AND(C3155&gt;0,Paths!$O$293&gt;(C3155-1)*12,Paths!$O$293&lt;=C3155*12)),Paths!$N$293,0),"n.a."))</f>
        <v>0</v>
      </c>
      <c r="L3155" s="16">
        <f>IF(NOT(Paths!$C$293=1),0,IF(Paths!$P$293="Complete",IF(C3155=10,Paths!$I$293,0),"n.a."))</f>
        <v>0</v>
      </c>
      <c r="M3155" s="16">
        <f>IF(NOT(Paths!$C$293=1),0,IF(Paths!$P$293="Complete",IF(AND(Paths!$D$293="EV",Paths!$E$293&lt;120,Paths!$E$293+'Operating costs'!$B$65&gt;Paths!$E$293,Paths!$E$293+'Operating costs'!$B$65&lt;=120,IF(Paths!$E$293+'Operating costs'!$B$65=0,C3155=0,AND(C3155&gt;0,Paths!$E$293+'Operating costs'!$B$65&gt;(C3155-1)*12,Paths!$E$293+'Operating costs'!$B$65&lt;=C3155*12))),'Operating costs'!$B$64,0)+IF(AND('Operating costs'!$B$67&gt;0,'Operating costs'!$B$67&lt;=120,OR(Paths!$D$293="ICE",'Operating costs'!$B$67&lt;=Paths!$E$293),IF('Operating costs'!$B$67=0,C3155=0,AND(C3155&gt;0,'Operating costs'!$B$67&gt;(C3155-1)*12,'Operating costs'!$B$67&lt;=C3155*12))),'Operating costs'!$B$66,0),"n.a."))</f>
        <v>0</v>
      </c>
      <c r="N3155" s="16">
        <f>IF(NOT(Paths!$C$293=1),0,IF(Paths!$P$293="Complete",SUM(G3155:I3155)-J3155-K3155-L3155+M3155+IF(C3155=0,Paths!$F$293,0)+IF(IF(Paths!$E$293=0,C3155=0,AND(C3155&gt;0,Paths!$E$293&gt;(C3155-1)*12,Paths!$E$293&lt;=C3155*12)),VLOOKUP(A3155,'Fleet register'!$A$7:$S$106,16,FALSE),0),"n.a."))</f>
        <v>0</v>
      </c>
      <c r="O3155" s="16">
        <f>IF(NOT(Paths!$C$293=1),0,IF(Paths!$P$293="Complete",N3155-IF(C3155=0,Paths!$F$293,0),"n.a."))</f>
        <v>0</v>
      </c>
      <c r="P3155" s="16">
        <f>IF(NOT(Paths!$C$293=1),0,IF(Paths!$P$293="Complete",O3155+L3155,"n.a."))</f>
        <v>0</v>
      </c>
      <c r="Q3155" s="16">
        <f>IF(NOT(Paths!$C$293=1),0,IF(Paths!$P$293="Complete",N3155*(1+'Operating costs'!$B$54)^-C3155,"n.a."))</f>
        <v>0</v>
      </c>
      <c r="R3155" s="16">
        <f>IF(NOT(Paths!$C$293=1),0,IF(Paths!$P$293="Complete",IF(AND(C3155=0,Paths!$E$293=0),I3155-J3155-K3155+VLOOKUP(A3155,'Fleet register'!$A$7:$S$106,15,FALSE)+VLOOKUP(A3155,'Fleet register'!$A$7:$S$106,16,FALSE),0),"n.a."))</f>
        <v>0</v>
      </c>
      <c r="S3155" s="1">
        <f>IF(NOT(Paths!$C$293=1),0,IF(Paths!$P$293="Complete",IF(C3155=0,0,Paths!$S$293*Paths!$R$293),"n.a."))</f>
        <v>0</v>
      </c>
      <c r="T3155" s="1">
        <f>IF(NOT(Paths!$C$293=1),0,IF(Paths!$P$293="Complete",IF(C3155=0,0,VLOOKUP(A3155,'Fleet register'!$A$7:$S$106,9,FALSE)*Paths!$R$293),"n.a."))</f>
        <v>0</v>
      </c>
    </row>
    <row r="3156" spans="1:20" ht="24" customHeight="1">
      <c r="A3156" s="1" t="str">
        <f>Paths!$A$293</f>
        <v>T072</v>
      </c>
      <c r="B3156" s="1">
        <f>Paths!$B$293</f>
        <v>2</v>
      </c>
      <c r="C3156" s="1">
        <v>3</v>
      </c>
      <c r="D3156" s="1">
        <v>293</v>
      </c>
      <c r="E3156" s="1">
        <f>IF(OR(Paths!$C$293=0,C3156=0),0,MAX(0,MIN(C3156*12,Paths!$E$293)-(C3156-1)*12))</f>
        <v>0</v>
      </c>
      <c r="F3156" s="1">
        <f>IF(OR(Paths!$C$293=0,C3156=0),0,12-E3156)</f>
        <v>0</v>
      </c>
      <c r="G3156" s="16">
        <f>IF(NOT(Paths!$C$293=1),0,IF(Paths!$P$293="Complete",E3156/12*(Paths!$J$293*(1+'Operating costs'!$B$51)^MAX(0,C3156-1)+Paths!$K$293*(1+'Operating costs'!$B$53)^MAX(0,C3156-1)),"n.a."))</f>
        <v>0</v>
      </c>
      <c r="H3156" s="16">
        <f>IF(NOT(Paths!$C$293=1),0,IF(Paths!$P$293="Complete",F3156/12*(Paths!$L$293*(1+IF(Paths!$D$293="EV",'Operating costs'!$B$52,'Operating costs'!$B$51))^MAX(0,C3156-1)+Paths!$M$293*(1+'Operating costs'!$B$53)^MAX(0,C3156-1)),"n.a."))</f>
        <v>0</v>
      </c>
      <c r="I3156" s="16">
        <f>IF(NOT(Paths!$C$293=1),0,IF(Paths!$P$293="Complete",IF(IF(Paths!$E$293=0,C3156=0,AND(C3156&gt;0,Paths!$E$293&gt;(C3156-1)*12,Paths!$E$293&lt;=C3156*12)),Paths!$G$293,0),"n.a."))</f>
        <v>0</v>
      </c>
      <c r="J3156" s="16">
        <f>IF(NOT(Paths!$C$293=1),0,IF(Paths!$P$293="Complete",IF(IF(Paths!$E$293=0,C3156=0,AND(C3156&gt;0,Paths!$E$293&gt;(C3156-1)*12,Paths!$E$293&lt;=C3156*12)),Paths!$H$293,0),"n.a."))</f>
        <v>0</v>
      </c>
      <c r="K3156" s="16">
        <f>IF(NOT(Paths!$C$293=1),0,IF(Paths!$P$293="Complete",IF(IF(Paths!$O$293=0,C3156=0,AND(C3156&gt;0,Paths!$O$293&gt;(C3156-1)*12,Paths!$O$293&lt;=C3156*12)),Paths!$N$293,0),"n.a."))</f>
        <v>0</v>
      </c>
      <c r="L3156" s="16">
        <f>IF(NOT(Paths!$C$293=1),0,IF(Paths!$P$293="Complete",IF(C3156=10,Paths!$I$293,0),"n.a."))</f>
        <v>0</v>
      </c>
      <c r="M3156" s="16">
        <f>IF(NOT(Paths!$C$293=1),0,IF(Paths!$P$293="Complete",IF(AND(Paths!$D$293="EV",Paths!$E$293&lt;120,Paths!$E$293+'Operating costs'!$B$65&gt;Paths!$E$293,Paths!$E$293+'Operating costs'!$B$65&lt;=120,IF(Paths!$E$293+'Operating costs'!$B$65=0,C3156=0,AND(C3156&gt;0,Paths!$E$293+'Operating costs'!$B$65&gt;(C3156-1)*12,Paths!$E$293+'Operating costs'!$B$65&lt;=C3156*12))),'Operating costs'!$B$64,0)+IF(AND('Operating costs'!$B$67&gt;0,'Operating costs'!$B$67&lt;=120,OR(Paths!$D$293="ICE",'Operating costs'!$B$67&lt;=Paths!$E$293),IF('Operating costs'!$B$67=0,C3156=0,AND(C3156&gt;0,'Operating costs'!$B$67&gt;(C3156-1)*12,'Operating costs'!$B$67&lt;=C3156*12))),'Operating costs'!$B$66,0),"n.a."))</f>
        <v>0</v>
      </c>
      <c r="N3156" s="16">
        <f>IF(NOT(Paths!$C$293=1),0,IF(Paths!$P$293="Complete",SUM(G3156:I3156)-J3156-K3156-L3156+M3156+IF(C3156=0,Paths!$F$293,0)+IF(IF(Paths!$E$293=0,C3156=0,AND(C3156&gt;0,Paths!$E$293&gt;(C3156-1)*12,Paths!$E$293&lt;=C3156*12)),VLOOKUP(A3156,'Fleet register'!$A$7:$S$106,16,FALSE),0),"n.a."))</f>
        <v>0</v>
      </c>
      <c r="O3156" s="16">
        <f>IF(NOT(Paths!$C$293=1),0,IF(Paths!$P$293="Complete",N3156-IF(C3156=0,Paths!$F$293,0),"n.a."))</f>
        <v>0</v>
      </c>
      <c r="P3156" s="16">
        <f>IF(NOT(Paths!$C$293=1),0,IF(Paths!$P$293="Complete",O3156+L3156,"n.a."))</f>
        <v>0</v>
      </c>
      <c r="Q3156" s="16">
        <f>IF(NOT(Paths!$C$293=1),0,IF(Paths!$P$293="Complete",N3156*(1+'Operating costs'!$B$54)^-C3156,"n.a."))</f>
        <v>0</v>
      </c>
      <c r="R3156" s="16">
        <f>IF(NOT(Paths!$C$293=1),0,IF(Paths!$P$293="Complete",IF(AND(C3156=0,Paths!$E$293=0),I3156-J3156-K3156+VLOOKUP(A3156,'Fleet register'!$A$7:$S$106,15,FALSE)+VLOOKUP(A3156,'Fleet register'!$A$7:$S$106,16,FALSE),0),"n.a."))</f>
        <v>0</v>
      </c>
      <c r="S3156" s="1">
        <f>IF(NOT(Paths!$C$293=1),0,IF(Paths!$P$293="Complete",IF(C3156=0,0,Paths!$S$293*Paths!$R$293),"n.a."))</f>
        <v>0</v>
      </c>
      <c r="T3156" s="1">
        <f>IF(NOT(Paths!$C$293=1),0,IF(Paths!$P$293="Complete",IF(C3156=0,0,VLOOKUP(A3156,'Fleet register'!$A$7:$S$106,9,FALSE)*Paths!$R$293),"n.a."))</f>
        <v>0</v>
      </c>
    </row>
    <row r="3157" spans="1:20" ht="24" customHeight="1">
      <c r="A3157" s="1" t="str">
        <f>Paths!$A$293</f>
        <v>T072</v>
      </c>
      <c r="B3157" s="1">
        <f>Paths!$B$293</f>
        <v>2</v>
      </c>
      <c r="C3157" s="1">
        <v>4</v>
      </c>
      <c r="D3157" s="1">
        <v>293</v>
      </c>
      <c r="E3157" s="1">
        <f>IF(OR(Paths!$C$293=0,C3157=0),0,MAX(0,MIN(C3157*12,Paths!$E$293)-(C3157-1)*12))</f>
        <v>0</v>
      </c>
      <c r="F3157" s="1">
        <f>IF(OR(Paths!$C$293=0,C3157=0),0,12-E3157)</f>
        <v>0</v>
      </c>
      <c r="G3157" s="16">
        <f>IF(NOT(Paths!$C$293=1),0,IF(Paths!$P$293="Complete",E3157/12*(Paths!$J$293*(1+'Operating costs'!$B$51)^MAX(0,C3157-1)+Paths!$K$293*(1+'Operating costs'!$B$53)^MAX(0,C3157-1)),"n.a."))</f>
        <v>0</v>
      </c>
      <c r="H3157" s="16">
        <f>IF(NOT(Paths!$C$293=1),0,IF(Paths!$P$293="Complete",F3157/12*(Paths!$L$293*(1+IF(Paths!$D$293="EV",'Operating costs'!$B$52,'Operating costs'!$B$51))^MAX(0,C3157-1)+Paths!$M$293*(1+'Operating costs'!$B$53)^MAX(0,C3157-1)),"n.a."))</f>
        <v>0</v>
      </c>
      <c r="I3157" s="16">
        <f>IF(NOT(Paths!$C$293=1),0,IF(Paths!$P$293="Complete",IF(IF(Paths!$E$293=0,C3157=0,AND(C3157&gt;0,Paths!$E$293&gt;(C3157-1)*12,Paths!$E$293&lt;=C3157*12)),Paths!$G$293,0),"n.a."))</f>
        <v>0</v>
      </c>
      <c r="J3157" s="16">
        <f>IF(NOT(Paths!$C$293=1),0,IF(Paths!$P$293="Complete",IF(IF(Paths!$E$293=0,C3157=0,AND(C3157&gt;0,Paths!$E$293&gt;(C3157-1)*12,Paths!$E$293&lt;=C3157*12)),Paths!$H$293,0),"n.a."))</f>
        <v>0</v>
      </c>
      <c r="K3157" s="16">
        <f>IF(NOT(Paths!$C$293=1),0,IF(Paths!$P$293="Complete",IF(IF(Paths!$O$293=0,C3157=0,AND(C3157&gt;0,Paths!$O$293&gt;(C3157-1)*12,Paths!$O$293&lt;=C3157*12)),Paths!$N$293,0),"n.a."))</f>
        <v>0</v>
      </c>
      <c r="L3157" s="16">
        <f>IF(NOT(Paths!$C$293=1),0,IF(Paths!$P$293="Complete",IF(C3157=10,Paths!$I$293,0),"n.a."))</f>
        <v>0</v>
      </c>
      <c r="M3157" s="16">
        <f>IF(NOT(Paths!$C$293=1),0,IF(Paths!$P$293="Complete",IF(AND(Paths!$D$293="EV",Paths!$E$293&lt;120,Paths!$E$293+'Operating costs'!$B$65&gt;Paths!$E$293,Paths!$E$293+'Operating costs'!$B$65&lt;=120,IF(Paths!$E$293+'Operating costs'!$B$65=0,C3157=0,AND(C3157&gt;0,Paths!$E$293+'Operating costs'!$B$65&gt;(C3157-1)*12,Paths!$E$293+'Operating costs'!$B$65&lt;=C3157*12))),'Operating costs'!$B$64,0)+IF(AND('Operating costs'!$B$67&gt;0,'Operating costs'!$B$67&lt;=120,OR(Paths!$D$293="ICE",'Operating costs'!$B$67&lt;=Paths!$E$293),IF('Operating costs'!$B$67=0,C3157=0,AND(C3157&gt;0,'Operating costs'!$B$67&gt;(C3157-1)*12,'Operating costs'!$B$67&lt;=C3157*12))),'Operating costs'!$B$66,0),"n.a."))</f>
        <v>0</v>
      </c>
      <c r="N3157" s="16">
        <f>IF(NOT(Paths!$C$293=1),0,IF(Paths!$P$293="Complete",SUM(G3157:I3157)-J3157-K3157-L3157+M3157+IF(C3157=0,Paths!$F$293,0)+IF(IF(Paths!$E$293=0,C3157=0,AND(C3157&gt;0,Paths!$E$293&gt;(C3157-1)*12,Paths!$E$293&lt;=C3157*12)),VLOOKUP(A3157,'Fleet register'!$A$7:$S$106,16,FALSE),0),"n.a."))</f>
        <v>0</v>
      </c>
      <c r="O3157" s="16">
        <f>IF(NOT(Paths!$C$293=1),0,IF(Paths!$P$293="Complete",N3157-IF(C3157=0,Paths!$F$293,0),"n.a."))</f>
        <v>0</v>
      </c>
      <c r="P3157" s="16">
        <f>IF(NOT(Paths!$C$293=1),0,IF(Paths!$P$293="Complete",O3157+L3157,"n.a."))</f>
        <v>0</v>
      </c>
      <c r="Q3157" s="16">
        <f>IF(NOT(Paths!$C$293=1),0,IF(Paths!$P$293="Complete",N3157*(1+'Operating costs'!$B$54)^-C3157,"n.a."))</f>
        <v>0</v>
      </c>
      <c r="R3157" s="16">
        <f>IF(NOT(Paths!$C$293=1),0,IF(Paths!$P$293="Complete",IF(AND(C3157=0,Paths!$E$293=0),I3157-J3157-K3157+VLOOKUP(A3157,'Fleet register'!$A$7:$S$106,15,FALSE)+VLOOKUP(A3157,'Fleet register'!$A$7:$S$106,16,FALSE),0),"n.a."))</f>
        <v>0</v>
      </c>
      <c r="S3157" s="1">
        <f>IF(NOT(Paths!$C$293=1),0,IF(Paths!$P$293="Complete",IF(C3157=0,0,Paths!$S$293*Paths!$R$293),"n.a."))</f>
        <v>0</v>
      </c>
      <c r="T3157" s="1">
        <f>IF(NOT(Paths!$C$293=1),0,IF(Paths!$P$293="Complete",IF(C3157=0,0,VLOOKUP(A3157,'Fleet register'!$A$7:$S$106,9,FALSE)*Paths!$R$293),"n.a."))</f>
        <v>0</v>
      </c>
    </row>
    <row r="3158" spans="1:20" ht="24" customHeight="1">
      <c r="A3158" s="1" t="str">
        <f>Paths!$A$293</f>
        <v>T072</v>
      </c>
      <c r="B3158" s="1">
        <f>Paths!$B$293</f>
        <v>2</v>
      </c>
      <c r="C3158" s="1">
        <v>5</v>
      </c>
      <c r="D3158" s="1">
        <v>293</v>
      </c>
      <c r="E3158" s="1">
        <f>IF(OR(Paths!$C$293=0,C3158=0),0,MAX(0,MIN(C3158*12,Paths!$E$293)-(C3158-1)*12))</f>
        <v>0</v>
      </c>
      <c r="F3158" s="1">
        <f>IF(OR(Paths!$C$293=0,C3158=0),0,12-E3158)</f>
        <v>0</v>
      </c>
      <c r="G3158" s="16">
        <f>IF(NOT(Paths!$C$293=1),0,IF(Paths!$P$293="Complete",E3158/12*(Paths!$J$293*(1+'Operating costs'!$B$51)^MAX(0,C3158-1)+Paths!$K$293*(1+'Operating costs'!$B$53)^MAX(0,C3158-1)),"n.a."))</f>
        <v>0</v>
      </c>
      <c r="H3158" s="16">
        <f>IF(NOT(Paths!$C$293=1),0,IF(Paths!$P$293="Complete",F3158/12*(Paths!$L$293*(1+IF(Paths!$D$293="EV",'Operating costs'!$B$52,'Operating costs'!$B$51))^MAX(0,C3158-1)+Paths!$M$293*(1+'Operating costs'!$B$53)^MAX(0,C3158-1)),"n.a."))</f>
        <v>0</v>
      </c>
      <c r="I3158" s="16">
        <f>IF(NOT(Paths!$C$293=1),0,IF(Paths!$P$293="Complete",IF(IF(Paths!$E$293=0,C3158=0,AND(C3158&gt;0,Paths!$E$293&gt;(C3158-1)*12,Paths!$E$293&lt;=C3158*12)),Paths!$G$293,0),"n.a."))</f>
        <v>0</v>
      </c>
      <c r="J3158" s="16">
        <f>IF(NOT(Paths!$C$293=1),0,IF(Paths!$P$293="Complete",IF(IF(Paths!$E$293=0,C3158=0,AND(C3158&gt;0,Paths!$E$293&gt;(C3158-1)*12,Paths!$E$293&lt;=C3158*12)),Paths!$H$293,0),"n.a."))</f>
        <v>0</v>
      </c>
      <c r="K3158" s="16">
        <f>IF(NOT(Paths!$C$293=1),0,IF(Paths!$P$293="Complete",IF(IF(Paths!$O$293=0,C3158=0,AND(C3158&gt;0,Paths!$O$293&gt;(C3158-1)*12,Paths!$O$293&lt;=C3158*12)),Paths!$N$293,0),"n.a."))</f>
        <v>0</v>
      </c>
      <c r="L3158" s="16">
        <f>IF(NOT(Paths!$C$293=1),0,IF(Paths!$P$293="Complete",IF(C3158=10,Paths!$I$293,0),"n.a."))</f>
        <v>0</v>
      </c>
      <c r="M3158" s="16">
        <f>IF(NOT(Paths!$C$293=1),0,IF(Paths!$P$293="Complete",IF(AND(Paths!$D$293="EV",Paths!$E$293&lt;120,Paths!$E$293+'Operating costs'!$B$65&gt;Paths!$E$293,Paths!$E$293+'Operating costs'!$B$65&lt;=120,IF(Paths!$E$293+'Operating costs'!$B$65=0,C3158=0,AND(C3158&gt;0,Paths!$E$293+'Operating costs'!$B$65&gt;(C3158-1)*12,Paths!$E$293+'Operating costs'!$B$65&lt;=C3158*12))),'Operating costs'!$B$64,0)+IF(AND('Operating costs'!$B$67&gt;0,'Operating costs'!$B$67&lt;=120,OR(Paths!$D$293="ICE",'Operating costs'!$B$67&lt;=Paths!$E$293),IF('Operating costs'!$B$67=0,C3158=0,AND(C3158&gt;0,'Operating costs'!$B$67&gt;(C3158-1)*12,'Operating costs'!$B$67&lt;=C3158*12))),'Operating costs'!$B$66,0),"n.a."))</f>
        <v>0</v>
      </c>
      <c r="N3158" s="16">
        <f>IF(NOT(Paths!$C$293=1),0,IF(Paths!$P$293="Complete",SUM(G3158:I3158)-J3158-K3158-L3158+M3158+IF(C3158=0,Paths!$F$293,0)+IF(IF(Paths!$E$293=0,C3158=0,AND(C3158&gt;0,Paths!$E$293&gt;(C3158-1)*12,Paths!$E$293&lt;=C3158*12)),VLOOKUP(A3158,'Fleet register'!$A$7:$S$106,16,FALSE),0),"n.a."))</f>
        <v>0</v>
      </c>
      <c r="O3158" s="16">
        <f>IF(NOT(Paths!$C$293=1),0,IF(Paths!$P$293="Complete",N3158-IF(C3158=0,Paths!$F$293,0),"n.a."))</f>
        <v>0</v>
      </c>
      <c r="P3158" s="16">
        <f>IF(NOT(Paths!$C$293=1),0,IF(Paths!$P$293="Complete",O3158+L3158,"n.a."))</f>
        <v>0</v>
      </c>
      <c r="Q3158" s="16">
        <f>IF(NOT(Paths!$C$293=1),0,IF(Paths!$P$293="Complete",N3158*(1+'Operating costs'!$B$54)^-C3158,"n.a."))</f>
        <v>0</v>
      </c>
      <c r="R3158" s="16">
        <f>IF(NOT(Paths!$C$293=1),0,IF(Paths!$P$293="Complete",IF(AND(C3158=0,Paths!$E$293=0),I3158-J3158-K3158+VLOOKUP(A3158,'Fleet register'!$A$7:$S$106,15,FALSE)+VLOOKUP(A3158,'Fleet register'!$A$7:$S$106,16,FALSE),0),"n.a."))</f>
        <v>0</v>
      </c>
      <c r="S3158" s="1">
        <f>IF(NOT(Paths!$C$293=1),0,IF(Paths!$P$293="Complete",IF(C3158=0,0,Paths!$S$293*Paths!$R$293),"n.a."))</f>
        <v>0</v>
      </c>
      <c r="T3158" s="1">
        <f>IF(NOT(Paths!$C$293=1),0,IF(Paths!$P$293="Complete",IF(C3158=0,0,VLOOKUP(A3158,'Fleet register'!$A$7:$S$106,9,FALSE)*Paths!$R$293),"n.a."))</f>
        <v>0</v>
      </c>
    </row>
    <row r="3159" spans="1:20" ht="24" customHeight="1">
      <c r="A3159" s="1" t="str">
        <f>Paths!$A$293</f>
        <v>T072</v>
      </c>
      <c r="B3159" s="1">
        <f>Paths!$B$293</f>
        <v>2</v>
      </c>
      <c r="C3159" s="1">
        <v>6</v>
      </c>
      <c r="D3159" s="1">
        <v>293</v>
      </c>
      <c r="E3159" s="1">
        <f>IF(OR(Paths!$C$293=0,C3159=0),0,MAX(0,MIN(C3159*12,Paths!$E$293)-(C3159-1)*12))</f>
        <v>0</v>
      </c>
      <c r="F3159" s="1">
        <f>IF(OR(Paths!$C$293=0,C3159=0),0,12-E3159)</f>
        <v>0</v>
      </c>
      <c r="G3159" s="16">
        <f>IF(NOT(Paths!$C$293=1),0,IF(Paths!$P$293="Complete",E3159/12*(Paths!$J$293*(1+'Operating costs'!$B$51)^MAX(0,C3159-1)+Paths!$K$293*(1+'Operating costs'!$B$53)^MAX(0,C3159-1)),"n.a."))</f>
        <v>0</v>
      </c>
      <c r="H3159" s="16">
        <f>IF(NOT(Paths!$C$293=1),0,IF(Paths!$P$293="Complete",F3159/12*(Paths!$L$293*(1+IF(Paths!$D$293="EV",'Operating costs'!$B$52,'Operating costs'!$B$51))^MAX(0,C3159-1)+Paths!$M$293*(1+'Operating costs'!$B$53)^MAX(0,C3159-1)),"n.a."))</f>
        <v>0</v>
      </c>
      <c r="I3159" s="16">
        <f>IF(NOT(Paths!$C$293=1),0,IF(Paths!$P$293="Complete",IF(IF(Paths!$E$293=0,C3159=0,AND(C3159&gt;0,Paths!$E$293&gt;(C3159-1)*12,Paths!$E$293&lt;=C3159*12)),Paths!$G$293,0),"n.a."))</f>
        <v>0</v>
      </c>
      <c r="J3159" s="16">
        <f>IF(NOT(Paths!$C$293=1),0,IF(Paths!$P$293="Complete",IF(IF(Paths!$E$293=0,C3159=0,AND(C3159&gt;0,Paths!$E$293&gt;(C3159-1)*12,Paths!$E$293&lt;=C3159*12)),Paths!$H$293,0),"n.a."))</f>
        <v>0</v>
      </c>
      <c r="K3159" s="16">
        <f>IF(NOT(Paths!$C$293=1),0,IF(Paths!$P$293="Complete",IF(IF(Paths!$O$293=0,C3159=0,AND(C3159&gt;0,Paths!$O$293&gt;(C3159-1)*12,Paths!$O$293&lt;=C3159*12)),Paths!$N$293,0),"n.a."))</f>
        <v>0</v>
      </c>
      <c r="L3159" s="16">
        <f>IF(NOT(Paths!$C$293=1),0,IF(Paths!$P$293="Complete",IF(C3159=10,Paths!$I$293,0),"n.a."))</f>
        <v>0</v>
      </c>
      <c r="M3159" s="16">
        <f>IF(NOT(Paths!$C$293=1),0,IF(Paths!$P$293="Complete",IF(AND(Paths!$D$293="EV",Paths!$E$293&lt;120,Paths!$E$293+'Operating costs'!$B$65&gt;Paths!$E$293,Paths!$E$293+'Operating costs'!$B$65&lt;=120,IF(Paths!$E$293+'Operating costs'!$B$65=0,C3159=0,AND(C3159&gt;0,Paths!$E$293+'Operating costs'!$B$65&gt;(C3159-1)*12,Paths!$E$293+'Operating costs'!$B$65&lt;=C3159*12))),'Operating costs'!$B$64,0)+IF(AND('Operating costs'!$B$67&gt;0,'Operating costs'!$B$67&lt;=120,OR(Paths!$D$293="ICE",'Operating costs'!$B$67&lt;=Paths!$E$293),IF('Operating costs'!$B$67=0,C3159=0,AND(C3159&gt;0,'Operating costs'!$B$67&gt;(C3159-1)*12,'Operating costs'!$B$67&lt;=C3159*12))),'Operating costs'!$B$66,0),"n.a."))</f>
        <v>0</v>
      </c>
      <c r="N3159" s="16">
        <f>IF(NOT(Paths!$C$293=1),0,IF(Paths!$P$293="Complete",SUM(G3159:I3159)-J3159-K3159-L3159+M3159+IF(C3159=0,Paths!$F$293,0)+IF(IF(Paths!$E$293=0,C3159=0,AND(C3159&gt;0,Paths!$E$293&gt;(C3159-1)*12,Paths!$E$293&lt;=C3159*12)),VLOOKUP(A3159,'Fleet register'!$A$7:$S$106,16,FALSE),0),"n.a."))</f>
        <v>0</v>
      </c>
      <c r="O3159" s="16">
        <f>IF(NOT(Paths!$C$293=1),0,IF(Paths!$P$293="Complete",N3159-IF(C3159=0,Paths!$F$293,0),"n.a."))</f>
        <v>0</v>
      </c>
      <c r="P3159" s="16">
        <f>IF(NOT(Paths!$C$293=1),0,IF(Paths!$P$293="Complete",O3159+L3159,"n.a."))</f>
        <v>0</v>
      </c>
      <c r="Q3159" s="16">
        <f>IF(NOT(Paths!$C$293=1),0,IF(Paths!$P$293="Complete",N3159*(1+'Operating costs'!$B$54)^-C3159,"n.a."))</f>
        <v>0</v>
      </c>
      <c r="R3159" s="16">
        <f>IF(NOT(Paths!$C$293=1),0,IF(Paths!$P$293="Complete",IF(AND(C3159=0,Paths!$E$293=0),I3159-J3159-K3159+VLOOKUP(A3159,'Fleet register'!$A$7:$S$106,15,FALSE)+VLOOKUP(A3159,'Fleet register'!$A$7:$S$106,16,FALSE),0),"n.a."))</f>
        <v>0</v>
      </c>
      <c r="S3159" s="1">
        <f>IF(NOT(Paths!$C$293=1),0,IF(Paths!$P$293="Complete",IF(C3159=0,0,Paths!$S$293*Paths!$R$293),"n.a."))</f>
        <v>0</v>
      </c>
      <c r="T3159" s="1">
        <f>IF(NOT(Paths!$C$293=1),0,IF(Paths!$P$293="Complete",IF(C3159=0,0,VLOOKUP(A3159,'Fleet register'!$A$7:$S$106,9,FALSE)*Paths!$R$293),"n.a."))</f>
        <v>0</v>
      </c>
    </row>
    <row r="3160" spans="1:20" ht="24" customHeight="1">
      <c r="A3160" s="1" t="str">
        <f>Paths!$A$293</f>
        <v>T072</v>
      </c>
      <c r="B3160" s="1">
        <f>Paths!$B$293</f>
        <v>2</v>
      </c>
      <c r="C3160" s="1">
        <v>7</v>
      </c>
      <c r="D3160" s="1">
        <v>293</v>
      </c>
      <c r="E3160" s="1">
        <f>IF(OR(Paths!$C$293=0,C3160=0),0,MAX(0,MIN(C3160*12,Paths!$E$293)-(C3160-1)*12))</f>
        <v>0</v>
      </c>
      <c r="F3160" s="1">
        <f>IF(OR(Paths!$C$293=0,C3160=0),0,12-E3160)</f>
        <v>0</v>
      </c>
      <c r="G3160" s="16">
        <f>IF(NOT(Paths!$C$293=1),0,IF(Paths!$P$293="Complete",E3160/12*(Paths!$J$293*(1+'Operating costs'!$B$51)^MAX(0,C3160-1)+Paths!$K$293*(1+'Operating costs'!$B$53)^MAX(0,C3160-1)),"n.a."))</f>
        <v>0</v>
      </c>
      <c r="H3160" s="16">
        <f>IF(NOT(Paths!$C$293=1),0,IF(Paths!$P$293="Complete",F3160/12*(Paths!$L$293*(1+IF(Paths!$D$293="EV",'Operating costs'!$B$52,'Operating costs'!$B$51))^MAX(0,C3160-1)+Paths!$M$293*(1+'Operating costs'!$B$53)^MAX(0,C3160-1)),"n.a."))</f>
        <v>0</v>
      </c>
      <c r="I3160" s="16">
        <f>IF(NOT(Paths!$C$293=1),0,IF(Paths!$P$293="Complete",IF(IF(Paths!$E$293=0,C3160=0,AND(C3160&gt;0,Paths!$E$293&gt;(C3160-1)*12,Paths!$E$293&lt;=C3160*12)),Paths!$G$293,0),"n.a."))</f>
        <v>0</v>
      </c>
      <c r="J3160" s="16">
        <f>IF(NOT(Paths!$C$293=1),0,IF(Paths!$P$293="Complete",IF(IF(Paths!$E$293=0,C3160=0,AND(C3160&gt;0,Paths!$E$293&gt;(C3160-1)*12,Paths!$E$293&lt;=C3160*12)),Paths!$H$293,0),"n.a."))</f>
        <v>0</v>
      </c>
      <c r="K3160" s="16">
        <f>IF(NOT(Paths!$C$293=1),0,IF(Paths!$P$293="Complete",IF(IF(Paths!$O$293=0,C3160=0,AND(C3160&gt;0,Paths!$O$293&gt;(C3160-1)*12,Paths!$O$293&lt;=C3160*12)),Paths!$N$293,0),"n.a."))</f>
        <v>0</v>
      </c>
      <c r="L3160" s="16">
        <f>IF(NOT(Paths!$C$293=1),0,IF(Paths!$P$293="Complete",IF(C3160=10,Paths!$I$293,0),"n.a."))</f>
        <v>0</v>
      </c>
      <c r="M3160" s="16">
        <f>IF(NOT(Paths!$C$293=1),0,IF(Paths!$P$293="Complete",IF(AND(Paths!$D$293="EV",Paths!$E$293&lt;120,Paths!$E$293+'Operating costs'!$B$65&gt;Paths!$E$293,Paths!$E$293+'Operating costs'!$B$65&lt;=120,IF(Paths!$E$293+'Operating costs'!$B$65=0,C3160=0,AND(C3160&gt;0,Paths!$E$293+'Operating costs'!$B$65&gt;(C3160-1)*12,Paths!$E$293+'Operating costs'!$B$65&lt;=C3160*12))),'Operating costs'!$B$64,0)+IF(AND('Operating costs'!$B$67&gt;0,'Operating costs'!$B$67&lt;=120,OR(Paths!$D$293="ICE",'Operating costs'!$B$67&lt;=Paths!$E$293),IF('Operating costs'!$B$67=0,C3160=0,AND(C3160&gt;0,'Operating costs'!$B$67&gt;(C3160-1)*12,'Operating costs'!$B$67&lt;=C3160*12))),'Operating costs'!$B$66,0),"n.a."))</f>
        <v>0</v>
      </c>
      <c r="N3160" s="16">
        <f>IF(NOT(Paths!$C$293=1),0,IF(Paths!$P$293="Complete",SUM(G3160:I3160)-J3160-K3160-L3160+M3160+IF(C3160=0,Paths!$F$293,0)+IF(IF(Paths!$E$293=0,C3160=0,AND(C3160&gt;0,Paths!$E$293&gt;(C3160-1)*12,Paths!$E$293&lt;=C3160*12)),VLOOKUP(A3160,'Fleet register'!$A$7:$S$106,16,FALSE),0),"n.a."))</f>
        <v>0</v>
      </c>
      <c r="O3160" s="16">
        <f>IF(NOT(Paths!$C$293=1),0,IF(Paths!$P$293="Complete",N3160-IF(C3160=0,Paths!$F$293,0),"n.a."))</f>
        <v>0</v>
      </c>
      <c r="P3160" s="16">
        <f>IF(NOT(Paths!$C$293=1),0,IF(Paths!$P$293="Complete",O3160+L3160,"n.a."))</f>
        <v>0</v>
      </c>
      <c r="Q3160" s="16">
        <f>IF(NOT(Paths!$C$293=1),0,IF(Paths!$P$293="Complete",N3160*(1+'Operating costs'!$B$54)^-C3160,"n.a."))</f>
        <v>0</v>
      </c>
      <c r="R3160" s="16">
        <f>IF(NOT(Paths!$C$293=1),0,IF(Paths!$P$293="Complete",IF(AND(C3160=0,Paths!$E$293=0),I3160-J3160-K3160+VLOOKUP(A3160,'Fleet register'!$A$7:$S$106,15,FALSE)+VLOOKUP(A3160,'Fleet register'!$A$7:$S$106,16,FALSE),0),"n.a."))</f>
        <v>0</v>
      </c>
      <c r="S3160" s="1">
        <f>IF(NOT(Paths!$C$293=1),0,IF(Paths!$P$293="Complete",IF(C3160=0,0,Paths!$S$293*Paths!$R$293),"n.a."))</f>
        <v>0</v>
      </c>
      <c r="T3160" s="1">
        <f>IF(NOT(Paths!$C$293=1),0,IF(Paths!$P$293="Complete",IF(C3160=0,0,VLOOKUP(A3160,'Fleet register'!$A$7:$S$106,9,FALSE)*Paths!$R$293),"n.a."))</f>
        <v>0</v>
      </c>
    </row>
    <row r="3161" spans="1:20" ht="24" customHeight="1">
      <c r="A3161" s="1" t="str">
        <f>Paths!$A$293</f>
        <v>T072</v>
      </c>
      <c r="B3161" s="1">
        <f>Paths!$B$293</f>
        <v>2</v>
      </c>
      <c r="C3161" s="1">
        <v>8</v>
      </c>
      <c r="D3161" s="1">
        <v>293</v>
      </c>
      <c r="E3161" s="1">
        <f>IF(OR(Paths!$C$293=0,C3161=0),0,MAX(0,MIN(C3161*12,Paths!$E$293)-(C3161-1)*12))</f>
        <v>0</v>
      </c>
      <c r="F3161" s="1">
        <f>IF(OR(Paths!$C$293=0,C3161=0),0,12-E3161)</f>
        <v>0</v>
      </c>
      <c r="G3161" s="16">
        <f>IF(NOT(Paths!$C$293=1),0,IF(Paths!$P$293="Complete",E3161/12*(Paths!$J$293*(1+'Operating costs'!$B$51)^MAX(0,C3161-1)+Paths!$K$293*(1+'Operating costs'!$B$53)^MAX(0,C3161-1)),"n.a."))</f>
        <v>0</v>
      </c>
      <c r="H3161" s="16">
        <f>IF(NOT(Paths!$C$293=1),0,IF(Paths!$P$293="Complete",F3161/12*(Paths!$L$293*(1+IF(Paths!$D$293="EV",'Operating costs'!$B$52,'Operating costs'!$B$51))^MAX(0,C3161-1)+Paths!$M$293*(1+'Operating costs'!$B$53)^MAX(0,C3161-1)),"n.a."))</f>
        <v>0</v>
      </c>
      <c r="I3161" s="16">
        <f>IF(NOT(Paths!$C$293=1),0,IF(Paths!$P$293="Complete",IF(IF(Paths!$E$293=0,C3161=0,AND(C3161&gt;0,Paths!$E$293&gt;(C3161-1)*12,Paths!$E$293&lt;=C3161*12)),Paths!$G$293,0),"n.a."))</f>
        <v>0</v>
      </c>
      <c r="J3161" s="16">
        <f>IF(NOT(Paths!$C$293=1),0,IF(Paths!$P$293="Complete",IF(IF(Paths!$E$293=0,C3161=0,AND(C3161&gt;0,Paths!$E$293&gt;(C3161-1)*12,Paths!$E$293&lt;=C3161*12)),Paths!$H$293,0),"n.a."))</f>
        <v>0</v>
      </c>
      <c r="K3161" s="16">
        <f>IF(NOT(Paths!$C$293=1),0,IF(Paths!$P$293="Complete",IF(IF(Paths!$O$293=0,C3161=0,AND(C3161&gt;0,Paths!$O$293&gt;(C3161-1)*12,Paths!$O$293&lt;=C3161*12)),Paths!$N$293,0),"n.a."))</f>
        <v>0</v>
      </c>
      <c r="L3161" s="16">
        <f>IF(NOT(Paths!$C$293=1),0,IF(Paths!$P$293="Complete",IF(C3161=10,Paths!$I$293,0),"n.a."))</f>
        <v>0</v>
      </c>
      <c r="M3161" s="16">
        <f>IF(NOT(Paths!$C$293=1),0,IF(Paths!$P$293="Complete",IF(AND(Paths!$D$293="EV",Paths!$E$293&lt;120,Paths!$E$293+'Operating costs'!$B$65&gt;Paths!$E$293,Paths!$E$293+'Operating costs'!$B$65&lt;=120,IF(Paths!$E$293+'Operating costs'!$B$65=0,C3161=0,AND(C3161&gt;0,Paths!$E$293+'Operating costs'!$B$65&gt;(C3161-1)*12,Paths!$E$293+'Operating costs'!$B$65&lt;=C3161*12))),'Operating costs'!$B$64,0)+IF(AND('Operating costs'!$B$67&gt;0,'Operating costs'!$B$67&lt;=120,OR(Paths!$D$293="ICE",'Operating costs'!$B$67&lt;=Paths!$E$293),IF('Operating costs'!$B$67=0,C3161=0,AND(C3161&gt;0,'Operating costs'!$B$67&gt;(C3161-1)*12,'Operating costs'!$B$67&lt;=C3161*12))),'Operating costs'!$B$66,0),"n.a."))</f>
        <v>0</v>
      </c>
      <c r="N3161" s="16">
        <f>IF(NOT(Paths!$C$293=1),0,IF(Paths!$P$293="Complete",SUM(G3161:I3161)-J3161-K3161-L3161+M3161+IF(C3161=0,Paths!$F$293,0)+IF(IF(Paths!$E$293=0,C3161=0,AND(C3161&gt;0,Paths!$E$293&gt;(C3161-1)*12,Paths!$E$293&lt;=C3161*12)),VLOOKUP(A3161,'Fleet register'!$A$7:$S$106,16,FALSE),0),"n.a."))</f>
        <v>0</v>
      </c>
      <c r="O3161" s="16">
        <f>IF(NOT(Paths!$C$293=1),0,IF(Paths!$P$293="Complete",N3161-IF(C3161=0,Paths!$F$293,0),"n.a."))</f>
        <v>0</v>
      </c>
      <c r="P3161" s="16">
        <f>IF(NOT(Paths!$C$293=1),0,IF(Paths!$P$293="Complete",O3161+L3161,"n.a."))</f>
        <v>0</v>
      </c>
      <c r="Q3161" s="16">
        <f>IF(NOT(Paths!$C$293=1),0,IF(Paths!$P$293="Complete",N3161*(1+'Operating costs'!$B$54)^-C3161,"n.a."))</f>
        <v>0</v>
      </c>
      <c r="R3161" s="16">
        <f>IF(NOT(Paths!$C$293=1),0,IF(Paths!$P$293="Complete",IF(AND(C3161=0,Paths!$E$293=0),I3161-J3161-K3161+VLOOKUP(A3161,'Fleet register'!$A$7:$S$106,15,FALSE)+VLOOKUP(A3161,'Fleet register'!$A$7:$S$106,16,FALSE),0),"n.a."))</f>
        <v>0</v>
      </c>
      <c r="S3161" s="1">
        <f>IF(NOT(Paths!$C$293=1),0,IF(Paths!$P$293="Complete",IF(C3161=0,0,Paths!$S$293*Paths!$R$293),"n.a."))</f>
        <v>0</v>
      </c>
      <c r="T3161" s="1">
        <f>IF(NOT(Paths!$C$293=1),0,IF(Paths!$P$293="Complete",IF(C3161=0,0,VLOOKUP(A3161,'Fleet register'!$A$7:$S$106,9,FALSE)*Paths!$R$293),"n.a."))</f>
        <v>0</v>
      </c>
    </row>
    <row r="3162" spans="1:20" ht="24" customHeight="1">
      <c r="A3162" s="1" t="str">
        <f>Paths!$A$293</f>
        <v>T072</v>
      </c>
      <c r="B3162" s="1">
        <f>Paths!$B$293</f>
        <v>2</v>
      </c>
      <c r="C3162" s="1">
        <v>9</v>
      </c>
      <c r="D3162" s="1">
        <v>293</v>
      </c>
      <c r="E3162" s="1">
        <f>IF(OR(Paths!$C$293=0,C3162=0),0,MAX(0,MIN(C3162*12,Paths!$E$293)-(C3162-1)*12))</f>
        <v>0</v>
      </c>
      <c r="F3162" s="1">
        <f>IF(OR(Paths!$C$293=0,C3162=0),0,12-E3162)</f>
        <v>0</v>
      </c>
      <c r="G3162" s="16">
        <f>IF(NOT(Paths!$C$293=1),0,IF(Paths!$P$293="Complete",E3162/12*(Paths!$J$293*(1+'Operating costs'!$B$51)^MAX(0,C3162-1)+Paths!$K$293*(1+'Operating costs'!$B$53)^MAX(0,C3162-1)),"n.a."))</f>
        <v>0</v>
      </c>
      <c r="H3162" s="16">
        <f>IF(NOT(Paths!$C$293=1),0,IF(Paths!$P$293="Complete",F3162/12*(Paths!$L$293*(1+IF(Paths!$D$293="EV",'Operating costs'!$B$52,'Operating costs'!$B$51))^MAX(0,C3162-1)+Paths!$M$293*(1+'Operating costs'!$B$53)^MAX(0,C3162-1)),"n.a."))</f>
        <v>0</v>
      </c>
      <c r="I3162" s="16">
        <f>IF(NOT(Paths!$C$293=1),0,IF(Paths!$P$293="Complete",IF(IF(Paths!$E$293=0,C3162=0,AND(C3162&gt;0,Paths!$E$293&gt;(C3162-1)*12,Paths!$E$293&lt;=C3162*12)),Paths!$G$293,0),"n.a."))</f>
        <v>0</v>
      </c>
      <c r="J3162" s="16">
        <f>IF(NOT(Paths!$C$293=1),0,IF(Paths!$P$293="Complete",IF(IF(Paths!$E$293=0,C3162=0,AND(C3162&gt;0,Paths!$E$293&gt;(C3162-1)*12,Paths!$E$293&lt;=C3162*12)),Paths!$H$293,0),"n.a."))</f>
        <v>0</v>
      </c>
      <c r="K3162" s="16">
        <f>IF(NOT(Paths!$C$293=1),0,IF(Paths!$P$293="Complete",IF(IF(Paths!$O$293=0,C3162=0,AND(C3162&gt;0,Paths!$O$293&gt;(C3162-1)*12,Paths!$O$293&lt;=C3162*12)),Paths!$N$293,0),"n.a."))</f>
        <v>0</v>
      </c>
      <c r="L3162" s="16">
        <f>IF(NOT(Paths!$C$293=1),0,IF(Paths!$P$293="Complete",IF(C3162=10,Paths!$I$293,0),"n.a."))</f>
        <v>0</v>
      </c>
      <c r="M3162" s="16">
        <f>IF(NOT(Paths!$C$293=1),0,IF(Paths!$P$293="Complete",IF(AND(Paths!$D$293="EV",Paths!$E$293&lt;120,Paths!$E$293+'Operating costs'!$B$65&gt;Paths!$E$293,Paths!$E$293+'Operating costs'!$B$65&lt;=120,IF(Paths!$E$293+'Operating costs'!$B$65=0,C3162=0,AND(C3162&gt;0,Paths!$E$293+'Operating costs'!$B$65&gt;(C3162-1)*12,Paths!$E$293+'Operating costs'!$B$65&lt;=C3162*12))),'Operating costs'!$B$64,0)+IF(AND('Operating costs'!$B$67&gt;0,'Operating costs'!$B$67&lt;=120,OR(Paths!$D$293="ICE",'Operating costs'!$B$67&lt;=Paths!$E$293),IF('Operating costs'!$B$67=0,C3162=0,AND(C3162&gt;0,'Operating costs'!$B$67&gt;(C3162-1)*12,'Operating costs'!$B$67&lt;=C3162*12))),'Operating costs'!$B$66,0),"n.a."))</f>
        <v>0</v>
      </c>
      <c r="N3162" s="16">
        <f>IF(NOT(Paths!$C$293=1),0,IF(Paths!$P$293="Complete",SUM(G3162:I3162)-J3162-K3162-L3162+M3162+IF(C3162=0,Paths!$F$293,0)+IF(IF(Paths!$E$293=0,C3162=0,AND(C3162&gt;0,Paths!$E$293&gt;(C3162-1)*12,Paths!$E$293&lt;=C3162*12)),VLOOKUP(A3162,'Fleet register'!$A$7:$S$106,16,FALSE),0),"n.a."))</f>
        <v>0</v>
      </c>
      <c r="O3162" s="16">
        <f>IF(NOT(Paths!$C$293=1),0,IF(Paths!$P$293="Complete",N3162-IF(C3162=0,Paths!$F$293,0),"n.a."))</f>
        <v>0</v>
      </c>
      <c r="P3162" s="16">
        <f>IF(NOT(Paths!$C$293=1),0,IF(Paths!$P$293="Complete",O3162+L3162,"n.a."))</f>
        <v>0</v>
      </c>
      <c r="Q3162" s="16">
        <f>IF(NOT(Paths!$C$293=1),0,IF(Paths!$P$293="Complete",N3162*(1+'Operating costs'!$B$54)^-C3162,"n.a."))</f>
        <v>0</v>
      </c>
      <c r="R3162" s="16">
        <f>IF(NOT(Paths!$C$293=1),0,IF(Paths!$P$293="Complete",IF(AND(C3162=0,Paths!$E$293=0),I3162-J3162-K3162+VLOOKUP(A3162,'Fleet register'!$A$7:$S$106,15,FALSE)+VLOOKUP(A3162,'Fleet register'!$A$7:$S$106,16,FALSE),0),"n.a."))</f>
        <v>0</v>
      </c>
      <c r="S3162" s="1">
        <f>IF(NOT(Paths!$C$293=1),0,IF(Paths!$P$293="Complete",IF(C3162=0,0,Paths!$S$293*Paths!$R$293),"n.a."))</f>
        <v>0</v>
      </c>
      <c r="T3162" s="1">
        <f>IF(NOT(Paths!$C$293=1),0,IF(Paths!$P$293="Complete",IF(C3162=0,0,VLOOKUP(A3162,'Fleet register'!$A$7:$S$106,9,FALSE)*Paths!$R$293),"n.a."))</f>
        <v>0</v>
      </c>
    </row>
    <row r="3163" spans="1:20" ht="24" customHeight="1">
      <c r="A3163" s="1" t="str">
        <f>Paths!$A$293</f>
        <v>T072</v>
      </c>
      <c r="B3163" s="1">
        <f>Paths!$B$293</f>
        <v>2</v>
      </c>
      <c r="C3163" s="1">
        <v>10</v>
      </c>
      <c r="D3163" s="1">
        <v>293</v>
      </c>
      <c r="E3163" s="1">
        <f>IF(OR(Paths!$C$293=0,C3163=0),0,MAX(0,MIN(C3163*12,Paths!$E$293)-(C3163-1)*12))</f>
        <v>0</v>
      </c>
      <c r="F3163" s="1">
        <f>IF(OR(Paths!$C$293=0,C3163=0),0,12-E3163)</f>
        <v>0</v>
      </c>
      <c r="G3163" s="16">
        <f>IF(NOT(Paths!$C$293=1),0,IF(Paths!$P$293="Complete",E3163/12*(Paths!$J$293*(1+'Operating costs'!$B$51)^MAX(0,C3163-1)+Paths!$K$293*(1+'Operating costs'!$B$53)^MAX(0,C3163-1)),"n.a."))</f>
        <v>0</v>
      </c>
      <c r="H3163" s="16">
        <f>IF(NOT(Paths!$C$293=1),0,IF(Paths!$P$293="Complete",F3163/12*(Paths!$L$293*(1+IF(Paths!$D$293="EV",'Operating costs'!$B$52,'Operating costs'!$B$51))^MAX(0,C3163-1)+Paths!$M$293*(1+'Operating costs'!$B$53)^MAX(0,C3163-1)),"n.a."))</f>
        <v>0</v>
      </c>
      <c r="I3163" s="16">
        <f>IF(NOT(Paths!$C$293=1),0,IF(Paths!$P$293="Complete",IF(IF(Paths!$E$293=0,C3163=0,AND(C3163&gt;0,Paths!$E$293&gt;(C3163-1)*12,Paths!$E$293&lt;=C3163*12)),Paths!$G$293,0),"n.a."))</f>
        <v>0</v>
      </c>
      <c r="J3163" s="16">
        <f>IF(NOT(Paths!$C$293=1),0,IF(Paths!$P$293="Complete",IF(IF(Paths!$E$293=0,C3163=0,AND(C3163&gt;0,Paths!$E$293&gt;(C3163-1)*12,Paths!$E$293&lt;=C3163*12)),Paths!$H$293,0),"n.a."))</f>
        <v>0</v>
      </c>
      <c r="K3163" s="16">
        <f>IF(NOT(Paths!$C$293=1),0,IF(Paths!$P$293="Complete",IF(IF(Paths!$O$293=0,C3163=0,AND(C3163&gt;0,Paths!$O$293&gt;(C3163-1)*12,Paths!$O$293&lt;=C3163*12)),Paths!$N$293,0),"n.a."))</f>
        <v>0</v>
      </c>
      <c r="L3163" s="16">
        <f>IF(NOT(Paths!$C$293=1),0,IF(Paths!$P$293="Complete",IF(C3163=10,Paths!$I$293,0),"n.a."))</f>
        <v>0</v>
      </c>
      <c r="M3163" s="16">
        <f>IF(NOT(Paths!$C$293=1),0,IF(Paths!$P$293="Complete",IF(AND(Paths!$D$293="EV",Paths!$E$293&lt;120,Paths!$E$293+'Operating costs'!$B$65&gt;Paths!$E$293,Paths!$E$293+'Operating costs'!$B$65&lt;=120,IF(Paths!$E$293+'Operating costs'!$B$65=0,C3163=0,AND(C3163&gt;0,Paths!$E$293+'Operating costs'!$B$65&gt;(C3163-1)*12,Paths!$E$293+'Operating costs'!$B$65&lt;=C3163*12))),'Operating costs'!$B$64,0)+IF(AND('Operating costs'!$B$67&gt;0,'Operating costs'!$B$67&lt;=120,OR(Paths!$D$293="ICE",'Operating costs'!$B$67&lt;=Paths!$E$293),IF('Operating costs'!$B$67=0,C3163=0,AND(C3163&gt;0,'Operating costs'!$B$67&gt;(C3163-1)*12,'Operating costs'!$B$67&lt;=C3163*12))),'Operating costs'!$B$66,0),"n.a."))</f>
        <v>0</v>
      </c>
      <c r="N3163" s="16">
        <f>IF(NOT(Paths!$C$293=1),0,IF(Paths!$P$293="Complete",SUM(G3163:I3163)-J3163-K3163-L3163+M3163+IF(C3163=0,Paths!$F$293,0)+IF(IF(Paths!$E$293=0,C3163=0,AND(C3163&gt;0,Paths!$E$293&gt;(C3163-1)*12,Paths!$E$293&lt;=C3163*12)),VLOOKUP(A3163,'Fleet register'!$A$7:$S$106,16,FALSE),0),"n.a."))</f>
        <v>0</v>
      </c>
      <c r="O3163" s="16">
        <f>IF(NOT(Paths!$C$293=1),0,IF(Paths!$P$293="Complete",N3163-IF(C3163=0,Paths!$F$293,0),"n.a."))</f>
        <v>0</v>
      </c>
      <c r="P3163" s="16">
        <f>IF(NOT(Paths!$C$293=1),0,IF(Paths!$P$293="Complete",O3163+L3163,"n.a."))</f>
        <v>0</v>
      </c>
      <c r="Q3163" s="16">
        <f>IF(NOT(Paths!$C$293=1),0,IF(Paths!$P$293="Complete",N3163*(1+'Operating costs'!$B$54)^-C3163,"n.a."))</f>
        <v>0</v>
      </c>
      <c r="R3163" s="16">
        <f>IF(NOT(Paths!$C$293=1),0,IF(Paths!$P$293="Complete",IF(AND(C3163=0,Paths!$E$293=0),I3163-J3163-K3163+VLOOKUP(A3163,'Fleet register'!$A$7:$S$106,15,FALSE)+VLOOKUP(A3163,'Fleet register'!$A$7:$S$106,16,FALSE),0),"n.a."))</f>
        <v>0</v>
      </c>
      <c r="S3163" s="1">
        <f>IF(NOT(Paths!$C$293=1),0,IF(Paths!$P$293="Complete",IF(C3163=0,0,Paths!$S$293*Paths!$R$293),"n.a."))</f>
        <v>0</v>
      </c>
      <c r="T3163" s="1">
        <f>IF(NOT(Paths!$C$293=1),0,IF(Paths!$P$293="Complete",IF(C3163=0,0,VLOOKUP(A3163,'Fleet register'!$A$7:$S$106,9,FALSE)*Paths!$R$293),"n.a."))</f>
        <v>0</v>
      </c>
    </row>
    <row r="3164" spans="1:20" ht="24" customHeight="1">
      <c r="A3164" s="1" t="str">
        <f>Paths!$A$294</f>
        <v>T072</v>
      </c>
      <c r="B3164" s="1">
        <f>Paths!$B$294</f>
        <v>3</v>
      </c>
      <c r="C3164" s="1">
        <v>0</v>
      </c>
      <c r="D3164" s="1">
        <v>294</v>
      </c>
      <c r="E3164" s="1">
        <f>IF(OR(Paths!$C$294=0,C3164=0),0,MAX(0,MIN(C3164*12,Paths!$E$294)-(C3164-1)*12))</f>
        <v>0</v>
      </c>
      <c r="F3164" s="1">
        <f>IF(OR(Paths!$C$294=0,C3164=0),0,12-E3164)</f>
        <v>0</v>
      </c>
      <c r="G3164" s="16">
        <f>IF(NOT(Paths!$C$294=1),0,IF(Paths!$P$294="Complete",E3164/12*(Paths!$J$294*(1+'Operating costs'!$B$51)^MAX(0,C3164-1)+Paths!$K$294*(1+'Operating costs'!$B$53)^MAX(0,C3164-1)),"n.a."))</f>
        <v>0</v>
      </c>
      <c r="H3164" s="16">
        <f>IF(NOT(Paths!$C$294=1),0,IF(Paths!$P$294="Complete",F3164/12*(Paths!$L$294*(1+IF(Paths!$D$294="EV",'Operating costs'!$B$52,'Operating costs'!$B$51))^MAX(0,C3164-1)+Paths!$M$294*(1+'Operating costs'!$B$53)^MAX(0,C3164-1)),"n.a."))</f>
        <v>0</v>
      </c>
      <c r="I3164" s="16">
        <f>IF(NOT(Paths!$C$294=1),0,IF(Paths!$P$294="Complete",IF(IF(Paths!$E$294=0,C3164=0,AND(C3164&gt;0,Paths!$E$294&gt;(C3164-1)*12,Paths!$E$294&lt;=C3164*12)),Paths!$G$294,0),"n.a."))</f>
        <v>0</v>
      </c>
      <c r="J3164" s="16">
        <f>IF(NOT(Paths!$C$294=1),0,IF(Paths!$P$294="Complete",IF(IF(Paths!$E$294=0,C3164=0,AND(C3164&gt;0,Paths!$E$294&gt;(C3164-1)*12,Paths!$E$294&lt;=C3164*12)),Paths!$H$294,0),"n.a."))</f>
        <v>0</v>
      </c>
      <c r="K3164" s="16">
        <f>IF(NOT(Paths!$C$294=1),0,IF(Paths!$P$294="Complete",IF(IF(Paths!$O$294=0,C3164=0,AND(C3164&gt;0,Paths!$O$294&gt;(C3164-1)*12,Paths!$O$294&lt;=C3164*12)),Paths!$N$294,0),"n.a."))</f>
        <v>0</v>
      </c>
      <c r="L3164" s="16">
        <f>IF(NOT(Paths!$C$294=1),0,IF(Paths!$P$294="Complete",IF(C3164=10,Paths!$I$294,0),"n.a."))</f>
        <v>0</v>
      </c>
      <c r="M3164" s="16">
        <f>IF(NOT(Paths!$C$294=1),0,IF(Paths!$P$294="Complete",IF(AND(Paths!$D$294="EV",Paths!$E$294&lt;120,Paths!$E$294+'Operating costs'!$B$65&gt;Paths!$E$294,Paths!$E$294+'Operating costs'!$B$65&lt;=120,IF(Paths!$E$294+'Operating costs'!$B$65=0,C3164=0,AND(C3164&gt;0,Paths!$E$294+'Operating costs'!$B$65&gt;(C3164-1)*12,Paths!$E$294+'Operating costs'!$B$65&lt;=C3164*12))),'Operating costs'!$B$64,0)+IF(AND('Operating costs'!$B$67&gt;0,'Operating costs'!$B$67&lt;=120,OR(Paths!$D$294="ICE",'Operating costs'!$B$67&lt;=Paths!$E$294),IF('Operating costs'!$B$67=0,C3164=0,AND(C3164&gt;0,'Operating costs'!$B$67&gt;(C3164-1)*12,'Operating costs'!$B$67&lt;=C3164*12))),'Operating costs'!$B$66,0),"n.a."))</f>
        <v>0</v>
      </c>
      <c r="N3164" s="16">
        <f>IF(NOT(Paths!$C$294=1),0,IF(Paths!$P$294="Complete",SUM(G3164:I3164)-J3164-K3164-L3164+M3164+IF(C3164=0,Paths!$F$294,0)+IF(IF(Paths!$E$294=0,C3164=0,AND(C3164&gt;0,Paths!$E$294&gt;(C3164-1)*12,Paths!$E$294&lt;=C3164*12)),VLOOKUP(A3164,'Fleet register'!$A$7:$S$106,16,FALSE),0),"n.a."))</f>
        <v>0</v>
      </c>
      <c r="O3164" s="16">
        <f>IF(NOT(Paths!$C$294=1),0,IF(Paths!$P$294="Complete",N3164-IF(C3164=0,Paths!$F$294,0),"n.a."))</f>
        <v>0</v>
      </c>
      <c r="P3164" s="16">
        <f>IF(NOT(Paths!$C$294=1),0,IF(Paths!$P$294="Complete",O3164+L3164,"n.a."))</f>
        <v>0</v>
      </c>
      <c r="Q3164" s="16">
        <f>IF(NOT(Paths!$C$294=1),0,IF(Paths!$P$294="Complete",N3164*(1+'Operating costs'!$B$54)^-C3164,"n.a."))</f>
        <v>0</v>
      </c>
      <c r="R3164" s="16">
        <f>IF(NOT(Paths!$C$294=1),0,IF(Paths!$P$294="Complete",IF(AND(C3164=0,Paths!$E$294=0),I3164-J3164-K3164+VLOOKUP(A3164,'Fleet register'!$A$7:$S$106,15,FALSE)+VLOOKUP(A3164,'Fleet register'!$A$7:$S$106,16,FALSE),0),"n.a."))</f>
        <v>0</v>
      </c>
      <c r="S3164" s="1">
        <f>IF(NOT(Paths!$C$294=1),0,IF(Paths!$P$294="Complete",IF(C3164=0,0,Paths!$S$294*Paths!$R$294),"n.a."))</f>
        <v>0</v>
      </c>
      <c r="T3164" s="1">
        <f>IF(NOT(Paths!$C$294=1),0,IF(Paths!$P$294="Complete",IF(C3164=0,0,VLOOKUP(A3164,'Fleet register'!$A$7:$S$106,9,FALSE)*Paths!$R$294),"n.a."))</f>
        <v>0</v>
      </c>
    </row>
    <row r="3165" spans="1:20" ht="24" customHeight="1">
      <c r="A3165" s="1" t="str">
        <f>Paths!$A$294</f>
        <v>T072</v>
      </c>
      <c r="B3165" s="1">
        <f>Paths!$B$294</f>
        <v>3</v>
      </c>
      <c r="C3165" s="1">
        <v>1</v>
      </c>
      <c r="D3165" s="1">
        <v>294</v>
      </c>
      <c r="E3165" s="1">
        <f>IF(OR(Paths!$C$294=0,C3165=0),0,MAX(0,MIN(C3165*12,Paths!$E$294)-(C3165-1)*12))</f>
        <v>0</v>
      </c>
      <c r="F3165" s="1">
        <f>IF(OR(Paths!$C$294=0,C3165=0),0,12-E3165)</f>
        <v>0</v>
      </c>
      <c r="G3165" s="16">
        <f>IF(NOT(Paths!$C$294=1),0,IF(Paths!$P$294="Complete",E3165/12*(Paths!$J$294*(1+'Operating costs'!$B$51)^MAX(0,C3165-1)+Paths!$K$294*(1+'Operating costs'!$B$53)^MAX(0,C3165-1)),"n.a."))</f>
        <v>0</v>
      </c>
      <c r="H3165" s="16">
        <f>IF(NOT(Paths!$C$294=1),0,IF(Paths!$P$294="Complete",F3165/12*(Paths!$L$294*(1+IF(Paths!$D$294="EV",'Operating costs'!$B$52,'Operating costs'!$B$51))^MAX(0,C3165-1)+Paths!$M$294*(1+'Operating costs'!$B$53)^MAX(0,C3165-1)),"n.a."))</f>
        <v>0</v>
      </c>
      <c r="I3165" s="16">
        <f>IF(NOT(Paths!$C$294=1),0,IF(Paths!$P$294="Complete",IF(IF(Paths!$E$294=0,C3165=0,AND(C3165&gt;0,Paths!$E$294&gt;(C3165-1)*12,Paths!$E$294&lt;=C3165*12)),Paths!$G$294,0),"n.a."))</f>
        <v>0</v>
      </c>
      <c r="J3165" s="16">
        <f>IF(NOT(Paths!$C$294=1),0,IF(Paths!$P$294="Complete",IF(IF(Paths!$E$294=0,C3165=0,AND(C3165&gt;0,Paths!$E$294&gt;(C3165-1)*12,Paths!$E$294&lt;=C3165*12)),Paths!$H$294,0),"n.a."))</f>
        <v>0</v>
      </c>
      <c r="K3165" s="16">
        <f>IF(NOT(Paths!$C$294=1),0,IF(Paths!$P$294="Complete",IF(IF(Paths!$O$294=0,C3165=0,AND(C3165&gt;0,Paths!$O$294&gt;(C3165-1)*12,Paths!$O$294&lt;=C3165*12)),Paths!$N$294,0),"n.a."))</f>
        <v>0</v>
      </c>
      <c r="L3165" s="16">
        <f>IF(NOT(Paths!$C$294=1),0,IF(Paths!$P$294="Complete",IF(C3165=10,Paths!$I$294,0),"n.a."))</f>
        <v>0</v>
      </c>
      <c r="M3165" s="16">
        <f>IF(NOT(Paths!$C$294=1),0,IF(Paths!$P$294="Complete",IF(AND(Paths!$D$294="EV",Paths!$E$294&lt;120,Paths!$E$294+'Operating costs'!$B$65&gt;Paths!$E$294,Paths!$E$294+'Operating costs'!$B$65&lt;=120,IF(Paths!$E$294+'Operating costs'!$B$65=0,C3165=0,AND(C3165&gt;0,Paths!$E$294+'Operating costs'!$B$65&gt;(C3165-1)*12,Paths!$E$294+'Operating costs'!$B$65&lt;=C3165*12))),'Operating costs'!$B$64,0)+IF(AND('Operating costs'!$B$67&gt;0,'Operating costs'!$B$67&lt;=120,OR(Paths!$D$294="ICE",'Operating costs'!$B$67&lt;=Paths!$E$294),IF('Operating costs'!$B$67=0,C3165=0,AND(C3165&gt;0,'Operating costs'!$B$67&gt;(C3165-1)*12,'Operating costs'!$B$67&lt;=C3165*12))),'Operating costs'!$B$66,0),"n.a."))</f>
        <v>0</v>
      </c>
      <c r="N3165" s="16">
        <f>IF(NOT(Paths!$C$294=1),0,IF(Paths!$P$294="Complete",SUM(G3165:I3165)-J3165-K3165-L3165+M3165+IF(C3165=0,Paths!$F$294,0)+IF(IF(Paths!$E$294=0,C3165=0,AND(C3165&gt;0,Paths!$E$294&gt;(C3165-1)*12,Paths!$E$294&lt;=C3165*12)),VLOOKUP(A3165,'Fleet register'!$A$7:$S$106,16,FALSE),0),"n.a."))</f>
        <v>0</v>
      </c>
      <c r="O3165" s="16">
        <f>IF(NOT(Paths!$C$294=1),0,IF(Paths!$P$294="Complete",N3165-IF(C3165=0,Paths!$F$294,0),"n.a."))</f>
        <v>0</v>
      </c>
      <c r="P3165" s="16">
        <f>IF(NOT(Paths!$C$294=1),0,IF(Paths!$P$294="Complete",O3165+L3165,"n.a."))</f>
        <v>0</v>
      </c>
      <c r="Q3165" s="16">
        <f>IF(NOT(Paths!$C$294=1),0,IF(Paths!$P$294="Complete",N3165*(1+'Operating costs'!$B$54)^-C3165,"n.a."))</f>
        <v>0</v>
      </c>
      <c r="R3165" s="16">
        <f>IF(NOT(Paths!$C$294=1),0,IF(Paths!$P$294="Complete",IF(AND(C3165=0,Paths!$E$294=0),I3165-J3165-K3165+VLOOKUP(A3165,'Fleet register'!$A$7:$S$106,15,FALSE)+VLOOKUP(A3165,'Fleet register'!$A$7:$S$106,16,FALSE),0),"n.a."))</f>
        <v>0</v>
      </c>
      <c r="S3165" s="1">
        <f>IF(NOT(Paths!$C$294=1),0,IF(Paths!$P$294="Complete",IF(C3165=0,0,Paths!$S$294*Paths!$R$294),"n.a."))</f>
        <v>0</v>
      </c>
      <c r="T3165" s="1">
        <f>IF(NOT(Paths!$C$294=1),0,IF(Paths!$P$294="Complete",IF(C3165=0,0,VLOOKUP(A3165,'Fleet register'!$A$7:$S$106,9,FALSE)*Paths!$R$294),"n.a."))</f>
        <v>0</v>
      </c>
    </row>
    <row r="3166" spans="1:20" ht="24" customHeight="1">
      <c r="A3166" s="1" t="str">
        <f>Paths!$A$294</f>
        <v>T072</v>
      </c>
      <c r="B3166" s="1">
        <f>Paths!$B$294</f>
        <v>3</v>
      </c>
      <c r="C3166" s="1">
        <v>2</v>
      </c>
      <c r="D3166" s="1">
        <v>294</v>
      </c>
      <c r="E3166" s="1">
        <f>IF(OR(Paths!$C$294=0,C3166=0),0,MAX(0,MIN(C3166*12,Paths!$E$294)-(C3166-1)*12))</f>
        <v>0</v>
      </c>
      <c r="F3166" s="1">
        <f>IF(OR(Paths!$C$294=0,C3166=0),0,12-E3166)</f>
        <v>0</v>
      </c>
      <c r="G3166" s="16">
        <f>IF(NOT(Paths!$C$294=1),0,IF(Paths!$P$294="Complete",E3166/12*(Paths!$J$294*(1+'Operating costs'!$B$51)^MAX(0,C3166-1)+Paths!$K$294*(1+'Operating costs'!$B$53)^MAX(0,C3166-1)),"n.a."))</f>
        <v>0</v>
      </c>
      <c r="H3166" s="16">
        <f>IF(NOT(Paths!$C$294=1),0,IF(Paths!$P$294="Complete",F3166/12*(Paths!$L$294*(1+IF(Paths!$D$294="EV",'Operating costs'!$B$52,'Operating costs'!$B$51))^MAX(0,C3166-1)+Paths!$M$294*(1+'Operating costs'!$B$53)^MAX(0,C3166-1)),"n.a."))</f>
        <v>0</v>
      </c>
      <c r="I3166" s="16">
        <f>IF(NOT(Paths!$C$294=1),0,IF(Paths!$P$294="Complete",IF(IF(Paths!$E$294=0,C3166=0,AND(C3166&gt;0,Paths!$E$294&gt;(C3166-1)*12,Paths!$E$294&lt;=C3166*12)),Paths!$G$294,0),"n.a."))</f>
        <v>0</v>
      </c>
      <c r="J3166" s="16">
        <f>IF(NOT(Paths!$C$294=1),0,IF(Paths!$P$294="Complete",IF(IF(Paths!$E$294=0,C3166=0,AND(C3166&gt;0,Paths!$E$294&gt;(C3166-1)*12,Paths!$E$294&lt;=C3166*12)),Paths!$H$294,0),"n.a."))</f>
        <v>0</v>
      </c>
      <c r="K3166" s="16">
        <f>IF(NOT(Paths!$C$294=1),0,IF(Paths!$P$294="Complete",IF(IF(Paths!$O$294=0,C3166=0,AND(C3166&gt;0,Paths!$O$294&gt;(C3166-1)*12,Paths!$O$294&lt;=C3166*12)),Paths!$N$294,0),"n.a."))</f>
        <v>0</v>
      </c>
      <c r="L3166" s="16">
        <f>IF(NOT(Paths!$C$294=1),0,IF(Paths!$P$294="Complete",IF(C3166=10,Paths!$I$294,0),"n.a."))</f>
        <v>0</v>
      </c>
      <c r="M3166" s="16">
        <f>IF(NOT(Paths!$C$294=1),0,IF(Paths!$P$294="Complete",IF(AND(Paths!$D$294="EV",Paths!$E$294&lt;120,Paths!$E$294+'Operating costs'!$B$65&gt;Paths!$E$294,Paths!$E$294+'Operating costs'!$B$65&lt;=120,IF(Paths!$E$294+'Operating costs'!$B$65=0,C3166=0,AND(C3166&gt;0,Paths!$E$294+'Operating costs'!$B$65&gt;(C3166-1)*12,Paths!$E$294+'Operating costs'!$B$65&lt;=C3166*12))),'Operating costs'!$B$64,0)+IF(AND('Operating costs'!$B$67&gt;0,'Operating costs'!$B$67&lt;=120,OR(Paths!$D$294="ICE",'Operating costs'!$B$67&lt;=Paths!$E$294),IF('Operating costs'!$B$67=0,C3166=0,AND(C3166&gt;0,'Operating costs'!$B$67&gt;(C3166-1)*12,'Operating costs'!$B$67&lt;=C3166*12))),'Operating costs'!$B$66,0),"n.a."))</f>
        <v>0</v>
      </c>
      <c r="N3166" s="16">
        <f>IF(NOT(Paths!$C$294=1),0,IF(Paths!$P$294="Complete",SUM(G3166:I3166)-J3166-K3166-L3166+M3166+IF(C3166=0,Paths!$F$294,0)+IF(IF(Paths!$E$294=0,C3166=0,AND(C3166&gt;0,Paths!$E$294&gt;(C3166-1)*12,Paths!$E$294&lt;=C3166*12)),VLOOKUP(A3166,'Fleet register'!$A$7:$S$106,16,FALSE),0),"n.a."))</f>
        <v>0</v>
      </c>
      <c r="O3166" s="16">
        <f>IF(NOT(Paths!$C$294=1),0,IF(Paths!$P$294="Complete",N3166-IF(C3166=0,Paths!$F$294,0),"n.a."))</f>
        <v>0</v>
      </c>
      <c r="P3166" s="16">
        <f>IF(NOT(Paths!$C$294=1),0,IF(Paths!$P$294="Complete",O3166+L3166,"n.a."))</f>
        <v>0</v>
      </c>
      <c r="Q3166" s="16">
        <f>IF(NOT(Paths!$C$294=1),0,IF(Paths!$P$294="Complete",N3166*(1+'Operating costs'!$B$54)^-C3166,"n.a."))</f>
        <v>0</v>
      </c>
      <c r="R3166" s="16">
        <f>IF(NOT(Paths!$C$294=1),0,IF(Paths!$P$294="Complete",IF(AND(C3166=0,Paths!$E$294=0),I3166-J3166-K3166+VLOOKUP(A3166,'Fleet register'!$A$7:$S$106,15,FALSE)+VLOOKUP(A3166,'Fleet register'!$A$7:$S$106,16,FALSE),0),"n.a."))</f>
        <v>0</v>
      </c>
      <c r="S3166" s="1">
        <f>IF(NOT(Paths!$C$294=1),0,IF(Paths!$P$294="Complete",IF(C3166=0,0,Paths!$S$294*Paths!$R$294),"n.a."))</f>
        <v>0</v>
      </c>
      <c r="T3166" s="1">
        <f>IF(NOT(Paths!$C$294=1),0,IF(Paths!$P$294="Complete",IF(C3166=0,0,VLOOKUP(A3166,'Fleet register'!$A$7:$S$106,9,FALSE)*Paths!$R$294),"n.a."))</f>
        <v>0</v>
      </c>
    </row>
    <row r="3167" spans="1:20" ht="24" customHeight="1">
      <c r="A3167" s="1" t="str">
        <f>Paths!$A$294</f>
        <v>T072</v>
      </c>
      <c r="B3167" s="1">
        <f>Paths!$B$294</f>
        <v>3</v>
      </c>
      <c r="C3167" s="1">
        <v>3</v>
      </c>
      <c r="D3167" s="1">
        <v>294</v>
      </c>
      <c r="E3167" s="1">
        <f>IF(OR(Paths!$C$294=0,C3167=0),0,MAX(0,MIN(C3167*12,Paths!$E$294)-(C3167-1)*12))</f>
        <v>0</v>
      </c>
      <c r="F3167" s="1">
        <f>IF(OR(Paths!$C$294=0,C3167=0),0,12-E3167)</f>
        <v>0</v>
      </c>
      <c r="G3167" s="16">
        <f>IF(NOT(Paths!$C$294=1),0,IF(Paths!$P$294="Complete",E3167/12*(Paths!$J$294*(1+'Operating costs'!$B$51)^MAX(0,C3167-1)+Paths!$K$294*(1+'Operating costs'!$B$53)^MAX(0,C3167-1)),"n.a."))</f>
        <v>0</v>
      </c>
      <c r="H3167" s="16">
        <f>IF(NOT(Paths!$C$294=1),0,IF(Paths!$P$294="Complete",F3167/12*(Paths!$L$294*(1+IF(Paths!$D$294="EV",'Operating costs'!$B$52,'Operating costs'!$B$51))^MAX(0,C3167-1)+Paths!$M$294*(1+'Operating costs'!$B$53)^MAX(0,C3167-1)),"n.a."))</f>
        <v>0</v>
      </c>
      <c r="I3167" s="16">
        <f>IF(NOT(Paths!$C$294=1),0,IF(Paths!$P$294="Complete",IF(IF(Paths!$E$294=0,C3167=0,AND(C3167&gt;0,Paths!$E$294&gt;(C3167-1)*12,Paths!$E$294&lt;=C3167*12)),Paths!$G$294,0),"n.a."))</f>
        <v>0</v>
      </c>
      <c r="J3167" s="16">
        <f>IF(NOT(Paths!$C$294=1),0,IF(Paths!$P$294="Complete",IF(IF(Paths!$E$294=0,C3167=0,AND(C3167&gt;0,Paths!$E$294&gt;(C3167-1)*12,Paths!$E$294&lt;=C3167*12)),Paths!$H$294,0),"n.a."))</f>
        <v>0</v>
      </c>
      <c r="K3167" s="16">
        <f>IF(NOT(Paths!$C$294=1),0,IF(Paths!$P$294="Complete",IF(IF(Paths!$O$294=0,C3167=0,AND(C3167&gt;0,Paths!$O$294&gt;(C3167-1)*12,Paths!$O$294&lt;=C3167*12)),Paths!$N$294,0),"n.a."))</f>
        <v>0</v>
      </c>
      <c r="L3167" s="16">
        <f>IF(NOT(Paths!$C$294=1),0,IF(Paths!$P$294="Complete",IF(C3167=10,Paths!$I$294,0),"n.a."))</f>
        <v>0</v>
      </c>
      <c r="M3167" s="16">
        <f>IF(NOT(Paths!$C$294=1),0,IF(Paths!$P$294="Complete",IF(AND(Paths!$D$294="EV",Paths!$E$294&lt;120,Paths!$E$294+'Operating costs'!$B$65&gt;Paths!$E$294,Paths!$E$294+'Operating costs'!$B$65&lt;=120,IF(Paths!$E$294+'Operating costs'!$B$65=0,C3167=0,AND(C3167&gt;0,Paths!$E$294+'Operating costs'!$B$65&gt;(C3167-1)*12,Paths!$E$294+'Operating costs'!$B$65&lt;=C3167*12))),'Operating costs'!$B$64,0)+IF(AND('Operating costs'!$B$67&gt;0,'Operating costs'!$B$67&lt;=120,OR(Paths!$D$294="ICE",'Operating costs'!$B$67&lt;=Paths!$E$294),IF('Operating costs'!$B$67=0,C3167=0,AND(C3167&gt;0,'Operating costs'!$B$67&gt;(C3167-1)*12,'Operating costs'!$B$67&lt;=C3167*12))),'Operating costs'!$B$66,0),"n.a."))</f>
        <v>0</v>
      </c>
      <c r="N3167" s="16">
        <f>IF(NOT(Paths!$C$294=1),0,IF(Paths!$P$294="Complete",SUM(G3167:I3167)-J3167-K3167-L3167+M3167+IF(C3167=0,Paths!$F$294,0)+IF(IF(Paths!$E$294=0,C3167=0,AND(C3167&gt;0,Paths!$E$294&gt;(C3167-1)*12,Paths!$E$294&lt;=C3167*12)),VLOOKUP(A3167,'Fleet register'!$A$7:$S$106,16,FALSE),0),"n.a."))</f>
        <v>0</v>
      </c>
      <c r="O3167" s="16">
        <f>IF(NOT(Paths!$C$294=1),0,IF(Paths!$P$294="Complete",N3167-IF(C3167=0,Paths!$F$294,0),"n.a."))</f>
        <v>0</v>
      </c>
      <c r="P3167" s="16">
        <f>IF(NOT(Paths!$C$294=1),0,IF(Paths!$P$294="Complete",O3167+L3167,"n.a."))</f>
        <v>0</v>
      </c>
      <c r="Q3167" s="16">
        <f>IF(NOT(Paths!$C$294=1),0,IF(Paths!$P$294="Complete",N3167*(1+'Operating costs'!$B$54)^-C3167,"n.a."))</f>
        <v>0</v>
      </c>
      <c r="R3167" s="16">
        <f>IF(NOT(Paths!$C$294=1),0,IF(Paths!$P$294="Complete",IF(AND(C3167=0,Paths!$E$294=0),I3167-J3167-K3167+VLOOKUP(A3167,'Fleet register'!$A$7:$S$106,15,FALSE)+VLOOKUP(A3167,'Fleet register'!$A$7:$S$106,16,FALSE),0),"n.a."))</f>
        <v>0</v>
      </c>
      <c r="S3167" s="1">
        <f>IF(NOT(Paths!$C$294=1),0,IF(Paths!$P$294="Complete",IF(C3167=0,0,Paths!$S$294*Paths!$R$294),"n.a."))</f>
        <v>0</v>
      </c>
      <c r="T3167" s="1">
        <f>IF(NOT(Paths!$C$294=1),0,IF(Paths!$P$294="Complete",IF(C3167=0,0,VLOOKUP(A3167,'Fleet register'!$A$7:$S$106,9,FALSE)*Paths!$R$294),"n.a."))</f>
        <v>0</v>
      </c>
    </row>
    <row r="3168" spans="1:20" ht="24" customHeight="1">
      <c r="A3168" s="1" t="str">
        <f>Paths!$A$294</f>
        <v>T072</v>
      </c>
      <c r="B3168" s="1">
        <f>Paths!$B$294</f>
        <v>3</v>
      </c>
      <c r="C3168" s="1">
        <v>4</v>
      </c>
      <c r="D3168" s="1">
        <v>294</v>
      </c>
      <c r="E3168" s="1">
        <f>IF(OR(Paths!$C$294=0,C3168=0),0,MAX(0,MIN(C3168*12,Paths!$E$294)-(C3168-1)*12))</f>
        <v>0</v>
      </c>
      <c r="F3168" s="1">
        <f>IF(OR(Paths!$C$294=0,C3168=0),0,12-E3168)</f>
        <v>0</v>
      </c>
      <c r="G3168" s="16">
        <f>IF(NOT(Paths!$C$294=1),0,IF(Paths!$P$294="Complete",E3168/12*(Paths!$J$294*(1+'Operating costs'!$B$51)^MAX(0,C3168-1)+Paths!$K$294*(1+'Operating costs'!$B$53)^MAX(0,C3168-1)),"n.a."))</f>
        <v>0</v>
      </c>
      <c r="H3168" s="16">
        <f>IF(NOT(Paths!$C$294=1),0,IF(Paths!$P$294="Complete",F3168/12*(Paths!$L$294*(1+IF(Paths!$D$294="EV",'Operating costs'!$B$52,'Operating costs'!$B$51))^MAX(0,C3168-1)+Paths!$M$294*(1+'Operating costs'!$B$53)^MAX(0,C3168-1)),"n.a."))</f>
        <v>0</v>
      </c>
      <c r="I3168" s="16">
        <f>IF(NOT(Paths!$C$294=1),0,IF(Paths!$P$294="Complete",IF(IF(Paths!$E$294=0,C3168=0,AND(C3168&gt;0,Paths!$E$294&gt;(C3168-1)*12,Paths!$E$294&lt;=C3168*12)),Paths!$G$294,0),"n.a."))</f>
        <v>0</v>
      </c>
      <c r="J3168" s="16">
        <f>IF(NOT(Paths!$C$294=1),0,IF(Paths!$P$294="Complete",IF(IF(Paths!$E$294=0,C3168=0,AND(C3168&gt;0,Paths!$E$294&gt;(C3168-1)*12,Paths!$E$294&lt;=C3168*12)),Paths!$H$294,0),"n.a."))</f>
        <v>0</v>
      </c>
      <c r="K3168" s="16">
        <f>IF(NOT(Paths!$C$294=1),0,IF(Paths!$P$294="Complete",IF(IF(Paths!$O$294=0,C3168=0,AND(C3168&gt;0,Paths!$O$294&gt;(C3168-1)*12,Paths!$O$294&lt;=C3168*12)),Paths!$N$294,0),"n.a."))</f>
        <v>0</v>
      </c>
      <c r="L3168" s="16">
        <f>IF(NOT(Paths!$C$294=1),0,IF(Paths!$P$294="Complete",IF(C3168=10,Paths!$I$294,0),"n.a."))</f>
        <v>0</v>
      </c>
      <c r="M3168" s="16">
        <f>IF(NOT(Paths!$C$294=1),0,IF(Paths!$P$294="Complete",IF(AND(Paths!$D$294="EV",Paths!$E$294&lt;120,Paths!$E$294+'Operating costs'!$B$65&gt;Paths!$E$294,Paths!$E$294+'Operating costs'!$B$65&lt;=120,IF(Paths!$E$294+'Operating costs'!$B$65=0,C3168=0,AND(C3168&gt;0,Paths!$E$294+'Operating costs'!$B$65&gt;(C3168-1)*12,Paths!$E$294+'Operating costs'!$B$65&lt;=C3168*12))),'Operating costs'!$B$64,0)+IF(AND('Operating costs'!$B$67&gt;0,'Operating costs'!$B$67&lt;=120,OR(Paths!$D$294="ICE",'Operating costs'!$B$67&lt;=Paths!$E$294),IF('Operating costs'!$B$67=0,C3168=0,AND(C3168&gt;0,'Operating costs'!$B$67&gt;(C3168-1)*12,'Operating costs'!$B$67&lt;=C3168*12))),'Operating costs'!$B$66,0),"n.a."))</f>
        <v>0</v>
      </c>
      <c r="N3168" s="16">
        <f>IF(NOT(Paths!$C$294=1),0,IF(Paths!$P$294="Complete",SUM(G3168:I3168)-J3168-K3168-L3168+M3168+IF(C3168=0,Paths!$F$294,0)+IF(IF(Paths!$E$294=0,C3168=0,AND(C3168&gt;0,Paths!$E$294&gt;(C3168-1)*12,Paths!$E$294&lt;=C3168*12)),VLOOKUP(A3168,'Fleet register'!$A$7:$S$106,16,FALSE),0),"n.a."))</f>
        <v>0</v>
      </c>
      <c r="O3168" s="16">
        <f>IF(NOT(Paths!$C$294=1),0,IF(Paths!$P$294="Complete",N3168-IF(C3168=0,Paths!$F$294,0),"n.a."))</f>
        <v>0</v>
      </c>
      <c r="P3168" s="16">
        <f>IF(NOT(Paths!$C$294=1),0,IF(Paths!$P$294="Complete",O3168+L3168,"n.a."))</f>
        <v>0</v>
      </c>
      <c r="Q3168" s="16">
        <f>IF(NOT(Paths!$C$294=1),0,IF(Paths!$P$294="Complete",N3168*(1+'Operating costs'!$B$54)^-C3168,"n.a."))</f>
        <v>0</v>
      </c>
      <c r="R3168" s="16">
        <f>IF(NOT(Paths!$C$294=1),0,IF(Paths!$P$294="Complete",IF(AND(C3168=0,Paths!$E$294=0),I3168-J3168-K3168+VLOOKUP(A3168,'Fleet register'!$A$7:$S$106,15,FALSE)+VLOOKUP(A3168,'Fleet register'!$A$7:$S$106,16,FALSE),0),"n.a."))</f>
        <v>0</v>
      </c>
      <c r="S3168" s="1">
        <f>IF(NOT(Paths!$C$294=1),0,IF(Paths!$P$294="Complete",IF(C3168=0,0,Paths!$S$294*Paths!$R$294),"n.a."))</f>
        <v>0</v>
      </c>
      <c r="T3168" s="1">
        <f>IF(NOT(Paths!$C$294=1),0,IF(Paths!$P$294="Complete",IF(C3168=0,0,VLOOKUP(A3168,'Fleet register'!$A$7:$S$106,9,FALSE)*Paths!$R$294),"n.a."))</f>
        <v>0</v>
      </c>
    </row>
    <row r="3169" spans="1:20" ht="24" customHeight="1">
      <c r="A3169" s="1" t="str">
        <f>Paths!$A$294</f>
        <v>T072</v>
      </c>
      <c r="B3169" s="1">
        <f>Paths!$B$294</f>
        <v>3</v>
      </c>
      <c r="C3169" s="1">
        <v>5</v>
      </c>
      <c r="D3169" s="1">
        <v>294</v>
      </c>
      <c r="E3169" s="1">
        <f>IF(OR(Paths!$C$294=0,C3169=0),0,MAX(0,MIN(C3169*12,Paths!$E$294)-(C3169-1)*12))</f>
        <v>0</v>
      </c>
      <c r="F3169" s="1">
        <f>IF(OR(Paths!$C$294=0,C3169=0),0,12-E3169)</f>
        <v>0</v>
      </c>
      <c r="G3169" s="16">
        <f>IF(NOT(Paths!$C$294=1),0,IF(Paths!$P$294="Complete",E3169/12*(Paths!$J$294*(1+'Operating costs'!$B$51)^MAX(0,C3169-1)+Paths!$K$294*(1+'Operating costs'!$B$53)^MAX(0,C3169-1)),"n.a."))</f>
        <v>0</v>
      </c>
      <c r="H3169" s="16">
        <f>IF(NOT(Paths!$C$294=1),0,IF(Paths!$P$294="Complete",F3169/12*(Paths!$L$294*(1+IF(Paths!$D$294="EV",'Operating costs'!$B$52,'Operating costs'!$B$51))^MAX(0,C3169-1)+Paths!$M$294*(1+'Operating costs'!$B$53)^MAX(0,C3169-1)),"n.a."))</f>
        <v>0</v>
      </c>
      <c r="I3169" s="16">
        <f>IF(NOT(Paths!$C$294=1),0,IF(Paths!$P$294="Complete",IF(IF(Paths!$E$294=0,C3169=0,AND(C3169&gt;0,Paths!$E$294&gt;(C3169-1)*12,Paths!$E$294&lt;=C3169*12)),Paths!$G$294,0),"n.a."))</f>
        <v>0</v>
      </c>
      <c r="J3169" s="16">
        <f>IF(NOT(Paths!$C$294=1),0,IF(Paths!$P$294="Complete",IF(IF(Paths!$E$294=0,C3169=0,AND(C3169&gt;0,Paths!$E$294&gt;(C3169-1)*12,Paths!$E$294&lt;=C3169*12)),Paths!$H$294,0),"n.a."))</f>
        <v>0</v>
      </c>
      <c r="K3169" s="16">
        <f>IF(NOT(Paths!$C$294=1),0,IF(Paths!$P$294="Complete",IF(IF(Paths!$O$294=0,C3169=0,AND(C3169&gt;0,Paths!$O$294&gt;(C3169-1)*12,Paths!$O$294&lt;=C3169*12)),Paths!$N$294,0),"n.a."))</f>
        <v>0</v>
      </c>
      <c r="L3169" s="16">
        <f>IF(NOT(Paths!$C$294=1),0,IF(Paths!$P$294="Complete",IF(C3169=10,Paths!$I$294,0),"n.a."))</f>
        <v>0</v>
      </c>
      <c r="M3169" s="16">
        <f>IF(NOT(Paths!$C$294=1),0,IF(Paths!$P$294="Complete",IF(AND(Paths!$D$294="EV",Paths!$E$294&lt;120,Paths!$E$294+'Operating costs'!$B$65&gt;Paths!$E$294,Paths!$E$294+'Operating costs'!$B$65&lt;=120,IF(Paths!$E$294+'Operating costs'!$B$65=0,C3169=0,AND(C3169&gt;0,Paths!$E$294+'Operating costs'!$B$65&gt;(C3169-1)*12,Paths!$E$294+'Operating costs'!$B$65&lt;=C3169*12))),'Operating costs'!$B$64,0)+IF(AND('Operating costs'!$B$67&gt;0,'Operating costs'!$B$67&lt;=120,OR(Paths!$D$294="ICE",'Operating costs'!$B$67&lt;=Paths!$E$294),IF('Operating costs'!$B$67=0,C3169=0,AND(C3169&gt;0,'Operating costs'!$B$67&gt;(C3169-1)*12,'Operating costs'!$B$67&lt;=C3169*12))),'Operating costs'!$B$66,0),"n.a."))</f>
        <v>0</v>
      </c>
      <c r="N3169" s="16">
        <f>IF(NOT(Paths!$C$294=1),0,IF(Paths!$P$294="Complete",SUM(G3169:I3169)-J3169-K3169-L3169+M3169+IF(C3169=0,Paths!$F$294,0)+IF(IF(Paths!$E$294=0,C3169=0,AND(C3169&gt;0,Paths!$E$294&gt;(C3169-1)*12,Paths!$E$294&lt;=C3169*12)),VLOOKUP(A3169,'Fleet register'!$A$7:$S$106,16,FALSE),0),"n.a."))</f>
        <v>0</v>
      </c>
      <c r="O3169" s="16">
        <f>IF(NOT(Paths!$C$294=1),0,IF(Paths!$P$294="Complete",N3169-IF(C3169=0,Paths!$F$294,0),"n.a."))</f>
        <v>0</v>
      </c>
      <c r="P3169" s="16">
        <f>IF(NOT(Paths!$C$294=1),0,IF(Paths!$P$294="Complete",O3169+L3169,"n.a."))</f>
        <v>0</v>
      </c>
      <c r="Q3169" s="16">
        <f>IF(NOT(Paths!$C$294=1),0,IF(Paths!$P$294="Complete",N3169*(1+'Operating costs'!$B$54)^-C3169,"n.a."))</f>
        <v>0</v>
      </c>
      <c r="R3169" s="16">
        <f>IF(NOT(Paths!$C$294=1),0,IF(Paths!$P$294="Complete",IF(AND(C3169=0,Paths!$E$294=0),I3169-J3169-K3169+VLOOKUP(A3169,'Fleet register'!$A$7:$S$106,15,FALSE)+VLOOKUP(A3169,'Fleet register'!$A$7:$S$106,16,FALSE),0),"n.a."))</f>
        <v>0</v>
      </c>
      <c r="S3169" s="1">
        <f>IF(NOT(Paths!$C$294=1),0,IF(Paths!$P$294="Complete",IF(C3169=0,0,Paths!$S$294*Paths!$R$294),"n.a."))</f>
        <v>0</v>
      </c>
      <c r="T3169" s="1">
        <f>IF(NOT(Paths!$C$294=1),0,IF(Paths!$P$294="Complete",IF(C3169=0,0,VLOOKUP(A3169,'Fleet register'!$A$7:$S$106,9,FALSE)*Paths!$R$294),"n.a."))</f>
        <v>0</v>
      </c>
    </row>
    <row r="3170" spans="1:20" ht="24" customHeight="1">
      <c r="A3170" s="1" t="str">
        <f>Paths!$A$294</f>
        <v>T072</v>
      </c>
      <c r="B3170" s="1">
        <f>Paths!$B$294</f>
        <v>3</v>
      </c>
      <c r="C3170" s="1">
        <v>6</v>
      </c>
      <c r="D3170" s="1">
        <v>294</v>
      </c>
      <c r="E3170" s="1">
        <f>IF(OR(Paths!$C$294=0,C3170=0),0,MAX(0,MIN(C3170*12,Paths!$E$294)-(C3170-1)*12))</f>
        <v>0</v>
      </c>
      <c r="F3170" s="1">
        <f>IF(OR(Paths!$C$294=0,C3170=0),0,12-E3170)</f>
        <v>0</v>
      </c>
      <c r="G3170" s="16">
        <f>IF(NOT(Paths!$C$294=1),0,IF(Paths!$P$294="Complete",E3170/12*(Paths!$J$294*(1+'Operating costs'!$B$51)^MAX(0,C3170-1)+Paths!$K$294*(1+'Operating costs'!$B$53)^MAX(0,C3170-1)),"n.a."))</f>
        <v>0</v>
      </c>
      <c r="H3170" s="16">
        <f>IF(NOT(Paths!$C$294=1),0,IF(Paths!$P$294="Complete",F3170/12*(Paths!$L$294*(1+IF(Paths!$D$294="EV",'Operating costs'!$B$52,'Operating costs'!$B$51))^MAX(0,C3170-1)+Paths!$M$294*(1+'Operating costs'!$B$53)^MAX(0,C3170-1)),"n.a."))</f>
        <v>0</v>
      </c>
      <c r="I3170" s="16">
        <f>IF(NOT(Paths!$C$294=1),0,IF(Paths!$P$294="Complete",IF(IF(Paths!$E$294=0,C3170=0,AND(C3170&gt;0,Paths!$E$294&gt;(C3170-1)*12,Paths!$E$294&lt;=C3170*12)),Paths!$G$294,0),"n.a."))</f>
        <v>0</v>
      </c>
      <c r="J3170" s="16">
        <f>IF(NOT(Paths!$C$294=1),0,IF(Paths!$P$294="Complete",IF(IF(Paths!$E$294=0,C3170=0,AND(C3170&gt;0,Paths!$E$294&gt;(C3170-1)*12,Paths!$E$294&lt;=C3170*12)),Paths!$H$294,0),"n.a."))</f>
        <v>0</v>
      </c>
      <c r="K3170" s="16">
        <f>IF(NOT(Paths!$C$294=1),0,IF(Paths!$P$294="Complete",IF(IF(Paths!$O$294=0,C3170=0,AND(C3170&gt;0,Paths!$O$294&gt;(C3170-1)*12,Paths!$O$294&lt;=C3170*12)),Paths!$N$294,0),"n.a."))</f>
        <v>0</v>
      </c>
      <c r="L3170" s="16">
        <f>IF(NOT(Paths!$C$294=1),0,IF(Paths!$P$294="Complete",IF(C3170=10,Paths!$I$294,0),"n.a."))</f>
        <v>0</v>
      </c>
      <c r="M3170" s="16">
        <f>IF(NOT(Paths!$C$294=1),0,IF(Paths!$P$294="Complete",IF(AND(Paths!$D$294="EV",Paths!$E$294&lt;120,Paths!$E$294+'Operating costs'!$B$65&gt;Paths!$E$294,Paths!$E$294+'Operating costs'!$B$65&lt;=120,IF(Paths!$E$294+'Operating costs'!$B$65=0,C3170=0,AND(C3170&gt;0,Paths!$E$294+'Operating costs'!$B$65&gt;(C3170-1)*12,Paths!$E$294+'Operating costs'!$B$65&lt;=C3170*12))),'Operating costs'!$B$64,0)+IF(AND('Operating costs'!$B$67&gt;0,'Operating costs'!$B$67&lt;=120,OR(Paths!$D$294="ICE",'Operating costs'!$B$67&lt;=Paths!$E$294),IF('Operating costs'!$B$67=0,C3170=0,AND(C3170&gt;0,'Operating costs'!$B$67&gt;(C3170-1)*12,'Operating costs'!$B$67&lt;=C3170*12))),'Operating costs'!$B$66,0),"n.a."))</f>
        <v>0</v>
      </c>
      <c r="N3170" s="16">
        <f>IF(NOT(Paths!$C$294=1),0,IF(Paths!$P$294="Complete",SUM(G3170:I3170)-J3170-K3170-L3170+M3170+IF(C3170=0,Paths!$F$294,0)+IF(IF(Paths!$E$294=0,C3170=0,AND(C3170&gt;0,Paths!$E$294&gt;(C3170-1)*12,Paths!$E$294&lt;=C3170*12)),VLOOKUP(A3170,'Fleet register'!$A$7:$S$106,16,FALSE),0),"n.a."))</f>
        <v>0</v>
      </c>
      <c r="O3170" s="16">
        <f>IF(NOT(Paths!$C$294=1),0,IF(Paths!$P$294="Complete",N3170-IF(C3170=0,Paths!$F$294,0),"n.a."))</f>
        <v>0</v>
      </c>
      <c r="P3170" s="16">
        <f>IF(NOT(Paths!$C$294=1),0,IF(Paths!$P$294="Complete",O3170+L3170,"n.a."))</f>
        <v>0</v>
      </c>
      <c r="Q3170" s="16">
        <f>IF(NOT(Paths!$C$294=1),0,IF(Paths!$P$294="Complete",N3170*(1+'Operating costs'!$B$54)^-C3170,"n.a."))</f>
        <v>0</v>
      </c>
      <c r="R3170" s="16">
        <f>IF(NOT(Paths!$C$294=1),0,IF(Paths!$P$294="Complete",IF(AND(C3170=0,Paths!$E$294=0),I3170-J3170-K3170+VLOOKUP(A3170,'Fleet register'!$A$7:$S$106,15,FALSE)+VLOOKUP(A3170,'Fleet register'!$A$7:$S$106,16,FALSE),0),"n.a."))</f>
        <v>0</v>
      </c>
      <c r="S3170" s="1">
        <f>IF(NOT(Paths!$C$294=1),0,IF(Paths!$P$294="Complete",IF(C3170=0,0,Paths!$S$294*Paths!$R$294),"n.a."))</f>
        <v>0</v>
      </c>
      <c r="T3170" s="1">
        <f>IF(NOT(Paths!$C$294=1),0,IF(Paths!$P$294="Complete",IF(C3170=0,0,VLOOKUP(A3170,'Fleet register'!$A$7:$S$106,9,FALSE)*Paths!$R$294),"n.a."))</f>
        <v>0</v>
      </c>
    </row>
    <row r="3171" spans="1:20" ht="24" customHeight="1">
      <c r="A3171" s="1" t="str">
        <f>Paths!$A$294</f>
        <v>T072</v>
      </c>
      <c r="B3171" s="1">
        <f>Paths!$B$294</f>
        <v>3</v>
      </c>
      <c r="C3171" s="1">
        <v>7</v>
      </c>
      <c r="D3171" s="1">
        <v>294</v>
      </c>
      <c r="E3171" s="1">
        <f>IF(OR(Paths!$C$294=0,C3171=0),0,MAX(0,MIN(C3171*12,Paths!$E$294)-(C3171-1)*12))</f>
        <v>0</v>
      </c>
      <c r="F3171" s="1">
        <f>IF(OR(Paths!$C$294=0,C3171=0),0,12-E3171)</f>
        <v>0</v>
      </c>
      <c r="G3171" s="16">
        <f>IF(NOT(Paths!$C$294=1),0,IF(Paths!$P$294="Complete",E3171/12*(Paths!$J$294*(1+'Operating costs'!$B$51)^MAX(0,C3171-1)+Paths!$K$294*(1+'Operating costs'!$B$53)^MAX(0,C3171-1)),"n.a."))</f>
        <v>0</v>
      </c>
      <c r="H3171" s="16">
        <f>IF(NOT(Paths!$C$294=1),0,IF(Paths!$P$294="Complete",F3171/12*(Paths!$L$294*(1+IF(Paths!$D$294="EV",'Operating costs'!$B$52,'Operating costs'!$B$51))^MAX(0,C3171-1)+Paths!$M$294*(1+'Operating costs'!$B$53)^MAX(0,C3171-1)),"n.a."))</f>
        <v>0</v>
      </c>
      <c r="I3171" s="16">
        <f>IF(NOT(Paths!$C$294=1),0,IF(Paths!$P$294="Complete",IF(IF(Paths!$E$294=0,C3171=0,AND(C3171&gt;0,Paths!$E$294&gt;(C3171-1)*12,Paths!$E$294&lt;=C3171*12)),Paths!$G$294,0),"n.a."))</f>
        <v>0</v>
      </c>
      <c r="J3171" s="16">
        <f>IF(NOT(Paths!$C$294=1),0,IF(Paths!$P$294="Complete",IF(IF(Paths!$E$294=0,C3171=0,AND(C3171&gt;0,Paths!$E$294&gt;(C3171-1)*12,Paths!$E$294&lt;=C3171*12)),Paths!$H$294,0),"n.a."))</f>
        <v>0</v>
      </c>
      <c r="K3171" s="16">
        <f>IF(NOT(Paths!$C$294=1),0,IF(Paths!$P$294="Complete",IF(IF(Paths!$O$294=0,C3171=0,AND(C3171&gt;0,Paths!$O$294&gt;(C3171-1)*12,Paths!$O$294&lt;=C3171*12)),Paths!$N$294,0),"n.a."))</f>
        <v>0</v>
      </c>
      <c r="L3171" s="16">
        <f>IF(NOT(Paths!$C$294=1),0,IF(Paths!$P$294="Complete",IF(C3171=10,Paths!$I$294,0),"n.a."))</f>
        <v>0</v>
      </c>
      <c r="M3171" s="16">
        <f>IF(NOT(Paths!$C$294=1),0,IF(Paths!$P$294="Complete",IF(AND(Paths!$D$294="EV",Paths!$E$294&lt;120,Paths!$E$294+'Operating costs'!$B$65&gt;Paths!$E$294,Paths!$E$294+'Operating costs'!$B$65&lt;=120,IF(Paths!$E$294+'Operating costs'!$B$65=0,C3171=0,AND(C3171&gt;0,Paths!$E$294+'Operating costs'!$B$65&gt;(C3171-1)*12,Paths!$E$294+'Operating costs'!$B$65&lt;=C3171*12))),'Operating costs'!$B$64,0)+IF(AND('Operating costs'!$B$67&gt;0,'Operating costs'!$B$67&lt;=120,OR(Paths!$D$294="ICE",'Operating costs'!$B$67&lt;=Paths!$E$294),IF('Operating costs'!$B$67=0,C3171=0,AND(C3171&gt;0,'Operating costs'!$B$67&gt;(C3171-1)*12,'Operating costs'!$B$67&lt;=C3171*12))),'Operating costs'!$B$66,0),"n.a."))</f>
        <v>0</v>
      </c>
      <c r="N3171" s="16">
        <f>IF(NOT(Paths!$C$294=1),0,IF(Paths!$P$294="Complete",SUM(G3171:I3171)-J3171-K3171-L3171+M3171+IF(C3171=0,Paths!$F$294,0)+IF(IF(Paths!$E$294=0,C3171=0,AND(C3171&gt;0,Paths!$E$294&gt;(C3171-1)*12,Paths!$E$294&lt;=C3171*12)),VLOOKUP(A3171,'Fleet register'!$A$7:$S$106,16,FALSE),0),"n.a."))</f>
        <v>0</v>
      </c>
      <c r="O3171" s="16">
        <f>IF(NOT(Paths!$C$294=1),0,IF(Paths!$P$294="Complete",N3171-IF(C3171=0,Paths!$F$294,0),"n.a."))</f>
        <v>0</v>
      </c>
      <c r="P3171" s="16">
        <f>IF(NOT(Paths!$C$294=1),0,IF(Paths!$P$294="Complete",O3171+L3171,"n.a."))</f>
        <v>0</v>
      </c>
      <c r="Q3171" s="16">
        <f>IF(NOT(Paths!$C$294=1),0,IF(Paths!$P$294="Complete",N3171*(1+'Operating costs'!$B$54)^-C3171,"n.a."))</f>
        <v>0</v>
      </c>
      <c r="R3171" s="16">
        <f>IF(NOT(Paths!$C$294=1),0,IF(Paths!$P$294="Complete",IF(AND(C3171=0,Paths!$E$294=0),I3171-J3171-K3171+VLOOKUP(A3171,'Fleet register'!$A$7:$S$106,15,FALSE)+VLOOKUP(A3171,'Fleet register'!$A$7:$S$106,16,FALSE),0),"n.a."))</f>
        <v>0</v>
      </c>
      <c r="S3171" s="1">
        <f>IF(NOT(Paths!$C$294=1),0,IF(Paths!$P$294="Complete",IF(C3171=0,0,Paths!$S$294*Paths!$R$294),"n.a."))</f>
        <v>0</v>
      </c>
      <c r="T3171" s="1">
        <f>IF(NOT(Paths!$C$294=1),0,IF(Paths!$P$294="Complete",IF(C3171=0,0,VLOOKUP(A3171,'Fleet register'!$A$7:$S$106,9,FALSE)*Paths!$R$294),"n.a."))</f>
        <v>0</v>
      </c>
    </row>
    <row r="3172" spans="1:20" ht="24" customHeight="1">
      <c r="A3172" s="1" t="str">
        <f>Paths!$A$294</f>
        <v>T072</v>
      </c>
      <c r="B3172" s="1">
        <f>Paths!$B$294</f>
        <v>3</v>
      </c>
      <c r="C3172" s="1">
        <v>8</v>
      </c>
      <c r="D3172" s="1">
        <v>294</v>
      </c>
      <c r="E3172" s="1">
        <f>IF(OR(Paths!$C$294=0,C3172=0),0,MAX(0,MIN(C3172*12,Paths!$E$294)-(C3172-1)*12))</f>
        <v>0</v>
      </c>
      <c r="F3172" s="1">
        <f>IF(OR(Paths!$C$294=0,C3172=0),0,12-E3172)</f>
        <v>0</v>
      </c>
      <c r="G3172" s="16">
        <f>IF(NOT(Paths!$C$294=1),0,IF(Paths!$P$294="Complete",E3172/12*(Paths!$J$294*(1+'Operating costs'!$B$51)^MAX(0,C3172-1)+Paths!$K$294*(1+'Operating costs'!$B$53)^MAX(0,C3172-1)),"n.a."))</f>
        <v>0</v>
      </c>
      <c r="H3172" s="16">
        <f>IF(NOT(Paths!$C$294=1),0,IF(Paths!$P$294="Complete",F3172/12*(Paths!$L$294*(1+IF(Paths!$D$294="EV",'Operating costs'!$B$52,'Operating costs'!$B$51))^MAX(0,C3172-1)+Paths!$M$294*(1+'Operating costs'!$B$53)^MAX(0,C3172-1)),"n.a."))</f>
        <v>0</v>
      </c>
      <c r="I3172" s="16">
        <f>IF(NOT(Paths!$C$294=1),0,IF(Paths!$P$294="Complete",IF(IF(Paths!$E$294=0,C3172=0,AND(C3172&gt;0,Paths!$E$294&gt;(C3172-1)*12,Paths!$E$294&lt;=C3172*12)),Paths!$G$294,0),"n.a."))</f>
        <v>0</v>
      </c>
      <c r="J3172" s="16">
        <f>IF(NOT(Paths!$C$294=1),0,IF(Paths!$P$294="Complete",IF(IF(Paths!$E$294=0,C3172=0,AND(C3172&gt;0,Paths!$E$294&gt;(C3172-1)*12,Paths!$E$294&lt;=C3172*12)),Paths!$H$294,0),"n.a."))</f>
        <v>0</v>
      </c>
      <c r="K3172" s="16">
        <f>IF(NOT(Paths!$C$294=1),0,IF(Paths!$P$294="Complete",IF(IF(Paths!$O$294=0,C3172=0,AND(C3172&gt;0,Paths!$O$294&gt;(C3172-1)*12,Paths!$O$294&lt;=C3172*12)),Paths!$N$294,0),"n.a."))</f>
        <v>0</v>
      </c>
      <c r="L3172" s="16">
        <f>IF(NOT(Paths!$C$294=1),0,IF(Paths!$P$294="Complete",IF(C3172=10,Paths!$I$294,0),"n.a."))</f>
        <v>0</v>
      </c>
      <c r="M3172" s="16">
        <f>IF(NOT(Paths!$C$294=1),0,IF(Paths!$P$294="Complete",IF(AND(Paths!$D$294="EV",Paths!$E$294&lt;120,Paths!$E$294+'Operating costs'!$B$65&gt;Paths!$E$294,Paths!$E$294+'Operating costs'!$B$65&lt;=120,IF(Paths!$E$294+'Operating costs'!$B$65=0,C3172=0,AND(C3172&gt;0,Paths!$E$294+'Operating costs'!$B$65&gt;(C3172-1)*12,Paths!$E$294+'Operating costs'!$B$65&lt;=C3172*12))),'Operating costs'!$B$64,0)+IF(AND('Operating costs'!$B$67&gt;0,'Operating costs'!$B$67&lt;=120,OR(Paths!$D$294="ICE",'Operating costs'!$B$67&lt;=Paths!$E$294),IF('Operating costs'!$B$67=0,C3172=0,AND(C3172&gt;0,'Operating costs'!$B$67&gt;(C3172-1)*12,'Operating costs'!$B$67&lt;=C3172*12))),'Operating costs'!$B$66,0),"n.a."))</f>
        <v>0</v>
      </c>
      <c r="N3172" s="16">
        <f>IF(NOT(Paths!$C$294=1),0,IF(Paths!$P$294="Complete",SUM(G3172:I3172)-J3172-K3172-L3172+M3172+IF(C3172=0,Paths!$F$294,0)+IF(IF(Paths!$E$294=0,C3172=0,AND(C3172&gt;0,Paths!$E$294&gt;(C3172-1)*12,Paths!$E$294&lt;=C3172*12)),VLOOKUP(A3172,'Fleet register'!$A$7:$S$106,16,FALSE),0),"n.a."))</f>
        <v>0</v>
      </c>
      <c r="O3172" s="16">
        <f>IF(NOT(Paths!$C$294=1),0,IF(Paths!$P$294="Complete",N3172-IF(C3172=0,Paths!$F$294,0),"n.a."))</f>
        <v>0</v>
      </c>
      <c r="P3172" s="16">
        <f>IF(NOT(Paths!$C$294=1),0,IF(Paths!$P$294="Complete",O3172+L3172,"n.a."))</f>
        <v>0</v>
      </c>
      <c r="Q3172" s="16">
        <f>IF(NOT(Paths!$C$294=1),0,IF(Paths!$P$294="Complete",N3172*(1+'Operating costs'!$B$54)^-C3172,"n.a."))</f>
        <v>0</v>
      </c>
      <c r="R3172" s="16">
        <f>IF(NOT(Paths!$C$294=1),0,IF(Paths!$P$294="Complete",IF(AND(C3172=0,Paths!$E$294=0),I3172-J3172-K3172+VLOOKUP(A3172,'Fleet register'!$A$7:$S$106,15,FALSE)+VLOOKUP(A3172,'Fleet register'!$A$7:$S$106,16,FALSE),0),"n.a."))</f>
        <v>0</v>
      </c>
      <c r="S3172" s="1">
        <f>IF(NOT(Paths!$C$294=1),0,IF(Paths!$P$294="Complete",IF(C3172=0,0,Paths!$S$294*Paths!$R$294),"n.a."))</f>
        <v>0</v>
      </c>
      <c r="T3172" s="1">
        <f>IF(NOT(Paths!$C$294=1),0,IF(Paths!$P$294="Complete",IF(C3172=0,0,VLOOKUP(A3172,'Fleet register'!$A$7:$S$106,9,FALSE)*Paths!$R$294),"n.a."))</f>
        <v>0</v>
      </c>
    </row>
    <row r="3173" spans="1:20" ht="24" customHeight="1">
      <c r="A3173" s="1" t="str">
        <f>Paths!$A$294</f>
        <v>T072</v>
      </c>
      <c r="B3173" s="1">
        <f>Paths!$B$294</f>
        <v>3</v>
      </c>
      <c r="C3173" s="1">
        <v>9</v>
      </c>
      <c r="D3173" s="1">
        <v>294</v>
      </c>
      <c r="E3173" s="1">
        <f>IF(OR(Paths!$C$294=0,C3173=0),0,MAX(0,MIN(C3173*12,Paths!$E$294)-(C3173-1)*12))</f>
        <v>0</v>
      </c>
      <c r="F3173" s="1">
        <f>IF(OR(Paths!$C$294=0,C3173=0),0,12-E3173)</f>
        <v>0</v>
      </c>
      <c r="G3173" s="16">
        <f>IF(NOT(Paths!$C$294=1),0,IF(Paths!$P$294="Complete",E3173/12*(Paths!$J$294*(1+'Operating costs'!$B$51)^MAX(0,C3173-1)+Paths!$K$294*(1+'Operating costs'!$B$53)^MAX(0,C3173-1)),"n.a."))</f>
        <v>0</v>
      </c>
      <c r="H3173" s="16">
        <f>IF(NOT(Paths!$C$294=1),0,IF(Paths!$P$294="Complete",F3173/12*(Paths!$L$294*(1+IF(Paths!$D$294="EV",'Operating costs'!$B$52,'Operating costs'!$B$51))^MAX(0,C3173-1)+Paths!$M$294*(1+'Operating costs'!$B$53)^MAX(0,C3173-1)),"n.a."))</f>
        <v>0</v>
      </c>
      <c r="I3173" s="16">
        <f>IF(NOT(Paths!$C$294=1),0,IF(Paths!$P$294="Complete",IF(IF(Paths!$E$294=0,C3173=0,AND(C3173&gt;0,Paths!$E$294&gt;(C3173-1)*12,Paths!$E$294&lt;=C3173*12)),Paths!$G$294,0),"n.a."))</f>
        <v>0</v>
      </c>
      <c r="J3173" s="16">
        <f>IF(NOT(Paths!$C$294=1),0,IF(Paths!$P$294="Complete",IF(IF(Paths!$E$294=0,C3173=0,AND(C3173&gt;0,Paths!$E$294&gt;(C3173-1)*12,Paths!$E$294&lt;=C3173*12)),Paths!$H$294,0),"n.a."))</f>
        <v>0</v>
      </c>
      <c r="K3173" s="16">
        <f>IF(NOT(Paths!$C$294=1),0,IF(Paths!$P$294="Complete",IF(IF(Paths!$O$294=0,C3173=0,AND(C3173&gt;0,Paths!$O$294&gt;(C3173-1)*12,Paths!$O$294&lt;=C3173*12)),Paths!$N$294,0),"n.a."))</f>
        <v>0</v>
      </c>
      <c r="L3173" s="16">
        <f>IF(NOT(Paths!$C$294=1),0,IF(Paths!$P$294="Complete",IF(C3173=10,Paths!$I$294,0),"n.a."))</f>
        <v>0</v>
      </c>
      <c r="M3173" s="16">
        <f>IF(NOT(Paths!$C$294=1),0,IF(Paths!$P$294="Complete",IF(AND(Paths!$D$294="EV",Paths!$E$294&lt;120,Paths!$E$294+'Operating costs'!$B$65&gt;Paths!$E$294,Paths!$E$294+'Operating costs'!$B$65&lt;=120,IF(Paths!$E$294+'Operating costs'!$B$65=0,C3173=0,AND(C3173&gt;0,Paths!$E$294+'Operating costs'!$B$65&gt;(C3173-1)*12,Paths!$E$294+'Operating costs'!$B$65&lt;=C3173*12))),'Operating costs'!$B$64,0)+IF(AND('Operating costs'!$B$67&gt;0,'Operating costs'!$B$67&lt;=120,OR(Paths!$D$294="ICE",'Operating costs'!$B$67&lt;=Paths!$E$294),IF('Operating costs'!$B$67=0,C3173=0,AND(C3173&gt;0,'Operating costs'!$B$67&gt;(C3173-1)*12,'Operating costs'!$B$67&lt;=C3173*12))),'Operating costs'!$B$66,0),"n.a."))</f>
        <v>0</v>
      </c>
      <c r="N3173" s="16">
        <f>IF(NOT(Paths!$C$294=1),0,IF(Paths!$P$294="Complete",SUM(G3173:I3173)-J3173-K3173-L3173+M3173+IF(C3173=0,Paths!$F$294,0)+IF(IF(Paths!$E$294=0,C3173=0,AND(C3173&gt;0,Paths!$E$294&gt;(C3173-1)*12,Paths!$E$294&lt;=C3173*12)),VLOOKUP(A3173,'Fleet register'!$A$7:$S$106,16,FALSE),0),"n.a."))</f>
        <v>0</v>
      </c>
      <c r="O3173" s="16">
        <f>IF(NOT(Paths!$C$294=1),0,IF(Paths!$P$294="Complete",N3173-IF(C3173=0,Paths!$F$294,0),"n.a."))</f>
        <v>0</v>
      </c>
      <c r="P3173" s="16">
        <f>IF(NOT(Paths!$C$294=1),0,IF(Paths!$P$294="Complete",O3173+L3173,"n.a."))</f>
        <v>0</v>
      </c>
      <c r="Q3173" s="16">
        <f>IF(NOT(Paths!$C$294=1),0,IF(Paths!$P$294="Complete",N3173*(1+'Operating costs'!$B$54)^-C3173,"n.a."))</f>
        <v>0</v>
      </c>
      <c r="R3173" s="16">
        <f>IF(NOT(Paths!$C$294=1),0,IF(Paths!$P$294="Complete",IF(AND(C3173=0,Paths!$E$294=0),I3173-J3173-K3173+VLOOKUP(A3173,'Fleet register'!$A$7:$S$106,15,FALSE)+VLOOKUP(A3173,'Fleet register'!$A$7:$S$106,16,FALSE),0),"n.a."))</f>
        <v>0</v>
      </c>
      <c r="S3173" s="1">
        <f>IF(NOT(Paths!$C$294=1),0,IF(Paths!$P$294="Complete",IF(C3173=0,0,Paths!$S$294*Paths!$R$294),"n.a."))</f>
        <v>0</v>
      </c>
      <c r="T3173" s="1">
        <f>IF(NOT(Paths!$C$294=1),0,IF(Paths!$P$294="Complete",IF(C3173=0,0,VLOOKUP(A3173,'Fleet register'!$A$7:$S$106,9,FALSE)*Paths!$R$294),"n.a."))</f>
        <v>0</v>
      </c>
    </row>
    <row r="3174" spans="1:20" ht="24" customHeight="1">
      <c r="A3174" s="1" t="str">
        <f>Paths!$A$294</f>
        <v>T072</v>
      </c>
      <c r="B3174" s="1">
        <f>Paths!$B$294</f>
        <v>3</v>
      </c>
      <c r="C3174" s="1">
        <v>10</v>
      </c>
      <c r="D3174" s="1">
        <v>294</v>
      </c>
      <c r="E3174" s="1">
        <f>IF(OR(Paths!$C$294=0,C3174=0),0,MAX(0,MIN(C3174*12,Paths!$E$294)-(C3174-1)*12))</f>
        <v>0</v>
      </c>
      <c r="F3174" s="1">
        <f>IF(OR(Paths!$C$294=0,C3174=0),0,12-E3174)</f>
        <v>0</v>
      </c>
      <c r="G3174" s="16">
        <f>IF(NOT(Paths!$C$294=1),0,IF(Paths!$P$294="Complete",E3174/12*(Paths!$J$294*(1+'Operating costs'!$B$51)^MAX(0,C3174-1)+Paths!$K$294*(1+'Operating costs'!$B$53)^MAX(0,C3174-1)),"n.a."))</f>
        <v>0</v>
      </c>
      <c r="H3174" s="16">
        <f>IF(NOT(Paths!$C$294=1),0,IF(Paths!$P$294="Complete",F3174/12*(Paths!$L$294*(1+IF(Paths!$D$294="EV",'Operating costs'!$B$52,'Operating costs'!$B$51))^MAX(0,C3174-1)+Paths!$M$294*(1+'Operating costs'!$B$53)^MAX(0,C3174-1)),"n.a."))</f>
        <v>0</v>
      </c>
      <c r="I3174" s="16">
        <f>IF(NOT(Paths!$C$294=1),0,IF(Paths!$P$294="Complete",IF(IF(Paths!$E$294=0,C3174=0,AND(C3174&gt;0,Paths!$E$294&gt;(C3174-1)*12,Paths!$E$294&lt;=C3174*12)),Paths!$G$294,0),"n.a."))</f>
        <v>0</v>
      </c>
      <c r="J3174" s="16">
        <f>IF(NOT(Paths!$C$294=1),0,IF(Paths!$P$294="Complete",IF(IF(Paths!$E$294=0,C3174=0,AND(C3174&gt;0,Paths!$E$294&gt;(C3174-1)*12,Paths!$E$294&lt;=C3174*12)),Paths!$H$294,0),"n.a."))</f>
        <v>0</v>
      </c>
      <c r="K3174" s="16">
        <f>IF(NOT(Paths!$C$294=1),0,IF(Paths!$P$294="Complete",IF(IF(Paths!$O$294=0,C3174=0,AND(C3174&gt;0,Paths!$O$294&gt;(C3174-1)*12,Paths!$O$294&lt;=C3174*12)),Paths!$N$294,0),"n.a."))</f>
        <v>0</v>
      </c>
      <c r="L3174" s="16">
        <f>IF(NOT(Paths!$C$294=1),0,IF(Paths!$P$294="Complete",IF(C3174=10,Paths!$I$294,0),"n.a."))</f>
        <v>0</v>
      </c>
      <c r="M3174" s="16">
        <f>IF(NOT(Paths!$C$294=1),0,IF(Paths!$P$294="Complete",IF(AND(Paths!$D$294="EV",Paths!$E$294&lt;120,Paths!$E$294+'Operating costs'!$B$65&gt;Paths!$E$294,Paths!$E$294+'Operating costs'!$B$65&lt;=120,IF(Paths!$E$294+'Operating costs'!$B$65=0,C3174=0,AND(C3174&gt;0,Paths!$E$294+'Operating costs'!$B$65&gt;(C3174-1)*12,Paths!$E$294+'Operating costs'!$B$65&lt;=C3174*12))),'Operating costs'!$B$64,0)+IF(AND('Operating costs'!$B$67&gt;0,'Operating costs'!$B$67&lt;=120,OR(Paths!$D$294="ICE",'Operating costs'!$B$67&lt;=Paths!$E$294),IF('Operating costs'!$B$67=0,C3174=0,AND(C3174&gt;0,'Operating costs'!$B$67&gt;(C3174-1)*12,'Operating costs'!$B$67&lt;=C3174*12))),'Operating costs'!$B$66,0),"n.a."))</f>
        <v>0</v>
      </c>
      <c r="N3174" s="16">
        <f>IF(NOT(Paths!$C$294=1),0,IF(Paths!$P$294="Complete",SUM(G3174:I3174)-J3174-K3174-L3174+M3174+IF(C3174=0,Paths!$F$294,0)+IF(IF(Paths!$E$294=0,C3174=0,AND(C3174&gt;0,Paths!$E$294&gt;(C3174-1)*12,Paths!$E$294&lt;=C3174*12)),VLOOKUP(A3174,'Fleet register'!$A$7:$S$106,16,FALSE),0),"n.a."))</f>
        <v>0</v>
      </c>
      <c r="O3174" s="16">
        <f>IF(NOT(Paths!$C$294=1),0,IF(Paths!$P$294="Complete",N3174-IF(C3174=0,Paths!$F$294,0),"n.a."))</f>
        <v>0</v>
      </c>
      <c r="P3174" s="16">
        <f>IF(NOT(Paths!$C$294=1),0,IF(Paths!$P$294="Complete",O3174+L3174,"n.a."))</f>
        <v>0</v>
      </c>
      <c r="Q3174" s="16">
        <f>IF(NOT(Paths!$C$294=1),0,IF(Paths!$P$294="Complete",N3174*(1+'Operating costs'!$B$54)^-C3174,"n.a."))</f>
        <v>0</v>
      </c>
      <c r="R3174" s="16">
        <f>IF(NOT(Paths!$C$294=1),0,IF(Paths!$P$294="Complete",IF(AND(C3174=0,Paths!$E$294=0),I3174-J3174-K3174+VLOOKUP(A3174,'Fleet register'!$A$7:$S$106,15,FALSE)+VLOOKUP(A3174,'Fleet register'!$A$7:$S$106,16,FALSE),0),"n.a."))</f>
        <v>0</v>
      </c>
      <c r="S3174" s="1">
        <f>IF(NOT(Paths!$C$294=1),0,IF(Paths!$P$294="Complete",IF(C3174=0,0,Paths!$S$294*Paths!$R$294),"n.a."))</f>
        <v>0</v>
      </c>
      <c r="T3174" s="1">
        <f>IF(NOT(Paths!$C$294=1),0,IF(Paths!$P$294="Complete",IF(C3174=0,0,VLOOKUP(A3174,'Fleet register'!$A$7:$S$106,9,FALSE)*Paths!$R$294),"n.a."))</f>
        <v>0</v>
      </c>
    </row>
    <row r="3175" spans="1:20" ht="24" customHeight="1">
      <c r="A3175" s="1" t="str">
        <f>Paths!$A$295</f>
        <v>T073</v>
      </c>
      <c r="B3175" s="1">
        <f>Paths!$B$295</f>
        <v>0</v>
      </c>
      <c r="C3175" s="1">
        <v>0</v>
      </c>
      <c r="D3175" s="1">
        <v>295</v>
      </c>
      <c r="E3175" s="1">
        <f>IF(OR(Paths!$C$295=0,C3175=0),0,MAX(0,MIN(C3175*12,Paths!$E$295)-(C3175-1)*12))</f>
        <v>0</v>
      </c>
      <c r="F3175" s="1">
        <f>IF(OR(Paths!$C$295=0,C3175=0),0,12-E3175)</f>
        <v>0</v>
      </c>
      <c r="G3175" s="16">
        <f>IF(NOT(Paths!$C$295=1),0,IF(Paths!$P$295="Complete",E3175/12*(Paths!$J$295*(1+'Operating costs'!$B$51)^MAX(0,C3175-1)+Paths!$K$295*(1+'Operating costs'!$B$53)^MAX(0,C3175-1)),"n.a."))</f>
        <v>0</v>
      </c>
      <c r="H3175" s="16">
        <f>IF(NOT(Paths!$C$295=1),0,IF(Paths!$P$295="Complete",F3175/12*(Paths!$L$295*(1+IF(Paths!$D$295="EV",'Operating costs'!$B$52,'Operating costs'!$B$51))^MAX(0,C3175-1)+Paths!$M$295*(1+'Operating costs'!$B$53)^MAX(0,C3175-1)),"n.a."))</f>
        <v>0</v>
      </c>
      <c r="I3175" s="16">
        <f>IF(NOT(Paths!$C$295=1),0,IF(Paths!$P$295="Complete",IF(IF(Paths!$E$295=0,C3175=0,AND(C3175&gt;0,Paths!$E$295&gt;(C3175-1)*12,Paths!$E$295&lt;=C3175*12)),Paths!$G$295,0),"n.a."))</f>
        <v>0</v>
      </c>
      <c r="J3175" s="16">
        <f>IF(NOT(Paths!$C$295=1),0,IF(Paths!$P$295="Complete",IF(IF(Paths!$E$295=0,C3175=0,AND(C3175&gt;0,Paths!$E$295&gt;(C3175-1)*12,Paths!$E$295&lt;=C3175*12)),Paths!$H$295,0),"n.a."))</f>
        <v>0</v>
      </c>
      <c r="K3175" s="16">
        <f>IF(NOT(Paths!$C$295=1),0,IF(Paths!$P$295="Complete",IF(IF(Paths!$O$295=0,C3175=0,AND(C3175&gt;0,Paths!$O$295&gt;(C3175-1)*12,Paths!$O$295&lt;=C3175*12)),Paths!$N$295,0),"n.a."))</f>
        <v>0</v>
      </c>
      <c r="L3175" s="16">
        <f>IF(NOT(Paths!$C$295=1),0,IF(Paths!$P$295="Complete",IF(C3175=10,Paths!$I$295,0),"n.a."))</f>
        <v>0</v>
      </c>
      <c r="M3175" s="16">
        <f>IF(NOT(Paths!$C$295=1),0,IF(Paths!$P$295="Complete",IF(AND(Paths!$D$295="EV",Paths!$E$295&lt;120,Paths!$E$295+'Operating costs'!$B$65&gt;Paths!$E$295,Paths!$E$295+'Operating costs'!$B$65&lt;=120,IF(Paths!$E$295+'Operating costs'!$B$65=0,C3175=0,AND(C3175&gt;0,Paths!$E$295+'Operating costs'!$B$65&gt;(C3175-1)*12,Paths!$E$295+'Operating costs'!$B$65&lt;=C3175*12))),'Operating costs'!$B$64,0)+IF(AND('Operating costs'!$B$67&gt;0,'Operating costs'!$B$67&lt;=120,OR(Paths!$D$295="ICE",'Operating costs'!$B$67&lt;=Paths!$E$295),IF('Operating costs'!$B$67=0,C3175=0,AND(C3175&gt;0,'Operating costs'!$B$67&gt;(C3175-1)*12,'Operating costs'!$B$67&lt;=C3175*12))),'Operating costs'!$B$66,0),"n.a."))</f>
        <v>0</v>
      </c>
      <c r="N3175" s="16">
        <f>IF(NOT(Paths!$C$295=1),0,IF(Paths!$P$295="Complete",SUM(G3175:I3175)-J3175-K3175-L3175+M3175+IF(C3175=0,Paths!$F$295,0)+IF(IF(Paths!$E$295=0,C3175=0,AND(C3175&gt;0,Paths!$E$295&gt;(C3175-1)*12,Paths!$E$295&lt;=C3175*12)),VLOOKUP(A3175,'Fleet register'!$A$7:$S$106,16,FALSE),0),"n.a."))</f>
        <v>0</v>
      </c>
      <c r="O3175" s="16">
        <f>IF(NOT(Paths!$C$295=1),0,IF(Paths!$P$295="Complete",N3175-IF(C3175=0,Paths!$F$295,0),"n.a."))</f>
        <v>0</v>
      </c>
      <c r="P3175" s="16">
        <f>IF(NOT(Paths!$C$295=1),0,IF(Paths!$P$295="Complete",O3175+L3175,"n.a."))</f>
        <v>0</v>
      </c>
      <c r="Q3175" s="16">
        <f>IF(NOT(Paths!$C$295=1),0,IF(Paths!$P$295="Complete",N3175*(1+'Operating costs'!$B$54)^-C3175,"n.a."))</f>
        <v>0</v>
      </c>
      <c r="R3175" s="16">
        <f>IF(NOT(Paths!$C$295=1),0,IF(Paths!$P$295="Complete",IF(AND(C3175=0,Paths!$E$295=0),I3175-J3175-K3175+VLOOKUP(A3175,'Fleet register'!$A$7:$S$106,15,FALSE)+VLOOKUP(A3175,'Fleet register'!$A$7:$S$106,16,FALSE),0),"n.a."))</f>
        <v>0</v>
      </c>
      <c r="S3175" s="1">
        <f>IF(NOT(Paths!$C$295=1),0,IF(Paths!$P$295="Complete",IF(C3175=0,0,Paths!$S$295*Paths!$R$295),"n.a."))</f>
        <v>0</v>
      </c>
      <c r="T3175" s="1">
        <f>IF(NOT(Paths!$C$295=1),0,IF(Paths!$P$295="Complete",IF(C3175=0,0,VLOOKUP(A3175,'Fleet register'!$A$7:$S$106,9,FALSE)*Paths!$R$295),"n.a."))</f>
        <v>0</v>
      </c>
    </row>
    <row r="3176" spans="1:20" ht="24" customHeight="1">
      <c r="A3176" s="1" t="str">
        <f>Paths!$A$295</f>
        <v>T073</v>
      </c>
      <c r="B3176" s="1">
        <f>Paths!$B$295</f>
        <v>0</v>
      </c>
      <c r="C3176" s="1">
        <v>1</v>
      </c>
      <c r="D3176" s="1">
        <v>295</v>
      </c>
      <c r="E3176" s="1">
        <f>IF(OR(Paths!$C$295=0,C3176=0),0,MAX(0,MIN(C3176*12,Paths!$E$295)-(C3176-1)*12))</f>
        <v>0</v>
      </c>
      <c r="F3176" s="1">
        <f>IF(OR(Paths!$C$295=0,C3176=0),0,12-E3176)</f>
        <v>0</v>
      </c>
      <c r="G3176" s="16">
        <f>IF(NOT(Paths!$C$295=1),0,IF(Paths!$P$295="Complete",E3176/12*(Paths!$J$295*(1+'Operating costs'!$B$51)^MAX(0,C3176-1)+Paths!$K$295*(1+'Operating costs'!$B$53)^MAX(0,C3176-1)),"n.a."))</f>
        <v>0</v>
      </c>
      <c r="H3176" s="16">
        <f>IF(NOT(Paths!$C$295=1),0,IF(Paths!$P$295="Complete",F3176/12*(Paths!$L$295*(1+IF(Paths!$D$295="EV",'Operating costs'!$B$52,'Operating costs'!$B$51))^MAX(0,C3176-1)+Paths!$M$295*(1+'Operating costs'!$B$53)^MAX(0,C3176-1)),"n.a."))</f>
        <v>0</v>
      </c>
      <c r="I3176" s="16">
        <f>IF(NOT(Paths!$C$295=1),0,IF(Paths!$P$295="Complete",IF(IF(Paths!$E$295=0,C3176=0,AND(C3176&gt;0,Paths!$E$295&gt;(C3176-1)*12,Paths!$E$295&lt;=C3176*12)),Paths!$G$295,0),"n.a."))</f>
        <v>0</v>
      </c>
      <c r="J3176" s="16">
        <f>IF(NOT(Paths!$C$295=1),0,IF(Paths!$P$295="Complete",IF(IF(Paths!$E$295=0,C3176=0,AND(C3176&gt;0,Paths!$E$295&gt;(C3176-1)*12,Paths!$E$295&lt;=C3176*12)),Paths!$H$295,0),"n.a."))</f>
        <v>0</v>
      </c>
      <c r="K3176" s="16">
        <f>IF(NOT(Paths!$C$295=1),0,IF(Paths!$P$295="Complete",IF(IF(Paths!$O$295=0,C3176=0,AND(C3176&gt;0,Paths!$O$295&gt;(C3176-1)*12,Paths!$O$295&lt;=C3176*12)),Paths!$N$295,0),"n.a."))</f>
        <v>0</v>
      </c>
      <c r="L3176" s="16">
        <f>IF(NOT(Paths!$C$295=1),0,IF(Paths!$P$295="Complete",IF(C3176=10,Paths!$I$295,0),"n.a."))</f>
        <v>0</v>
      </c>
      <c r="M3176" s="16">
        <f>IF(NOT(Paths!$C$295=1),0,IF(Paths!$P$295="Complete",IF(AND(Paths!$D$295="EV",Paths!$E$295&lt;120,Paths!$E$295+'Operating costs'!$B$65&gt;Paths!$E$295,Paths!$E$295+'Operating costs'!$B$65&lt;=120,IF(Paths!$E$295+'Operating costs'!$B$65=0,C3176=0,AND(C3176&gt;0,Paths!$E$295+'Operating costs'!$B$65&gt;(C3176-1)*12,Paths!$E$295+'Operating costs'!$B$65&lt;=C3176*12))),'Operating costs'!$B$64,0)+IF(AND('Operating costs'!$B$67&gt;0,'Operating costs'!$B$67&lt;=120,OR(Paths!$D$295="ICE",'Operating costs'!$B$67&lt;=Paths!$E$295),IF('Operating costs'!$B$67=0,C3176=0,AND(C3176&gt;0,'Operating costs'!$B$67&gt;(C3176-1)*12,'Operating costs'!$B$67&lt;=C3176*12))),'Operating costs'!$B$66,0),"n.a."))</f>
        <v>0</v>
      </c>
      <c r="N3176" s="16">
        <f>IF(NOT(Paths!$C$295=1),0,IF(Paths!$P$295="Complete",SUM(G3176:I3176)-J3176-K3176-L3176+M3176+IF(C3176=0,Paths!$F$295,0)+IF(IF(Paths!$E$295=0,C3176=0,AND(C3176&gt;0,Paths!$E$295&gt;(C3176-1)*12,Paths!$E$295&lt;=C3176*12)),VLOOKUP(A3176,'Fleet register'!$A$7:$S$106,16,FALSE),0),"n.a."))</f>
        <v>0</v>
      </c>
      <c r="O3176" s="16">
        <f>IF(NOT(Paths!$C$295=1),0,IF(Paths!$P$295="Complete",N3176-IF(C3176=0,Paths!$F$295,0),"n.a."))</f>
        <v>0</v>
      </c>
      <c r="P3176" s="16">
        <f>IF(NOT(Paths!$C$295=1),0,IF(Paths!$P$295="Complete",O3176+L3176,"n.a."))</f>
        <v>0</v>
      </c>
      <c r="Q3176" s="16">
        <f>IF(NOT(Paths!$C$295=1),0,IF(Paths!$P$295="Complete",N3176*(1+'Operating costs'!$B$54)^-C3176,"n.a."))</f>
        <v>0</v>
      </c>
      <c r="R3176" s="16">
        <f>IF(NOT(Paths!$C$295=1),0,IF(Paths!$P$295="Complete",IF(AND(C3176=0,Paths!$E$295=0),I3176-J3176-K3176+VLOOKUP(A3176,'Fleet register'!$A$7:$S$106,15,FALSE)+VLOOKUP(A3176,'Fleet register'!$A$7:$S$106,16,FALSE),0),"n.a."))</f>
        <v>0</v>
      </c>
      <c r="S3176" s="1">
        <f>IF(NOT(Paths!$C$295=1),0,IF(Paths!$P$295="Complete",IF(C3176=0,0,Paths!$S$295*Paths!$R$295),"n.a."))</f>
        <v>0</v>
      </c>
      <c r="T3176" s="1">
        <f>IF(NOT(Paths!$C$295=1),0,IF(Paths!$P$295="Complete",IF(C3176=0,0,VLOOKUP(A3176,'Fleet register'!$A$7:$S$106,9,FALSE)*Paths!$R$295),"n.a."))</f>
        <v>0</v>
      </c>
    </row>
    <row r="3177" spans="1:20" ht="24" customHeight="1">
      <c r="A3177" s="1" t="str">
        <f>Paths!$A$295</f>
        <v>T073</v>
      </c>
      <c r="B3177" s="1">
        <f>Paths!$B$295</f>
        <v>0</v>
      </c>
      <c r="C3177" s="1">
        <v>2</v>
      </c>
      <c r="D3177" s="1">
        <v>295</v>
      </c>
      <c r="E3177" s="1">
        <f>IF(OR(Paths!$C$295=0,C3177=0),0,MAX(0,MIN(C3177*12,Paths!$E$295)-(C3177-1)*12))</f>
        <v>0</v>
      </c>
      <c r="F3177" s="1">
        <f>IF(OR(Paths!$C$295=0,C3177=0),0,12-E3177)</f>
        <v>0</v>
      </c>
      <c r="G3177" s="16">
        <f>IF(NOT(Paths!$C$295=1),0,IF(Paths!$P$295="Complete",E3177/12*(Paths!$J$295*(1+'Operating costs'!$B$51)^MAX(0,C3177-1)+Paths!$K$295*(1+'Operating costs'!$B$53)^MAX(0,C3177-1)),"n.a."))</f>
        <v>0</v>
      </c>
      <c r="H3177" s="16">
        <f>IF(NOT(Paths!$C$295=1),0,IF(Paths!$P$295="Complete",F3177/12*(Paths!$L$295*(1+IF(Paths!$D$295="EV",'Operating costs'!$B$52,'Operating costs'!$B$51))^MAX(0,C3177-1)+Paths!$M$295*(1+'Operating costs'!$B$53)^MAX(0,C3177-1)),"n.a."))</f>
        <v>0</v>
      </c>
      <c r="I3177" s="16">
        <f>IF(NOT(Paths!$C$295=1),0,IF(Paths!$P$295="Complete",IF(IF(Paths!$E$295=0,C3177=0,AND(C3177&gt;0,Paths!$E$295&gt;(C3177-1)*12,Paths!$E$295&lt;=C3177*12)),Paths!$G$295,0),"n.a."))</f>
        <v>0</v>
      </c>
      <c r="J3177" s="16">
        <f>IF(NOT(Paths!$C$295=1),0,IF(Paths!$P$295="Complete",IF(IF(Paths!$E$295=0,C3177=0,AND(C3177&gt;0,Paths!$E$295&gt;(C3177-1)*12,Paths!$E$295&lt;=C3177*12)),Paths!$H$295,0),"n.a."))</f>
        <v>0</v>
      </c>
      <c r="K3177" s="16">
        <f>IF(NOT(Paths!$C$295=1),0,IF(Paths!$P$295="Complete",IF(IF(Paths!$O$295=0,C3177=0,AND(C3177&gt;0,Paths!$O$295&gt;(C3177-1)*12,Paths!$O$295&lt;=C3177*12)),Paths!$N$295,0),"n.a."))</f>
        <v>0</v>
      </c>
      <c r="L3177" s="16">
        <f>IF(NOT(Paths!$C$295=1),0,IF(Paths!$P$295="Complete",IF(C3177=10,Paths!$I$295,0),"n.a."))</f>
        <v>0</v>
      </c>
      <c r="M3177" s="16">
        <f>IF(NOT(Paths!$C$295=1),0,IF(Paths!$P$295="Complete",IF(AND(Paths!$D$295="EV",Paths!$E$295&lt;120,Paths!$E$295+'Operating costs'!$B$65&gt;Paths!$E$295,Paths!$E$295+'Operating costs'!$B$65&lt;=120,IF(Paths!$E$295+'Operating costs'!$B$65=0,C3177=0,AND(C3177&gt;0,Paths!$E$295+'Operating costs'!$B$65&gt;(C3177-1)*12,Paths!$E$295+'Operating costs'!$B$65&lt;=C3177*12))),'Operating costs'!$B$64,0)+IF(AND('Operating costs'!$B$67&gt;0,'Operating costs'!$B$67&lt;=120,OR(Paths!$D$295="ICE",'Operating costs'!$B$67&lt;=Paths!$E$295),IF('Operating costs'!$B$67=0,C3177=0,AND(C3177&gt;0,'Operating costs'!$B$67&gt;(C3177-1)*12,'Operating costs'!$B$67&lt;=C3177*12))),'Operating costs'!$B$66,0),"n.a."))</f>
        <v>0</v>
      </c>
      <c r="N3177" s="16">
        <f>IF(NOT(Paths!$C$295=1),0,IF(Paths!$P$295="Complete",SUM(G3177:I3177)-J3177-K3177-L3177+M3177+IF(C3177=0,Paths!$F$295,0)+IF(IF(Paths!$E$295=0,C3177=0,AND(C3177&gt;0,Paths!$E$295&gt;(C3177-1)*12,Paths!$E$295&lt;=C3177*12)),VLOOKUP(A3177,'Fleet register'!$A$7:$S$106,16,FALSE),0),"n.a."))</f>
        <v>0</v>
      </c>
      <c r="O3177" s="16">
        <f>IF(NOT(Paths!$C$295=1),0,IF(Paths!$P$295="Complete",N3177-IF(C3177=0,Paths!$F$295,0),"n.a."))</f>
        <v>0</v>
      </c>
      <c r="P3177" s="16">
        <f>IF(NOT(Paths!$C$295=1),0,IF(Paths!$P$295="Complete",O3177+L3177,"n.a."))</f>
        <v>0</v>
      </c>
      <c r="Q3177" s="16">
        <f>IF(NOT(Paths!$C$295=1),0,IF(Paths!$P$295="Complete",N3177*(1+'Operating costs'!$B$54)^-C3177,"n.a."))</f>
        <v>0</v>
      </c>
      <c r="R3177" s="16">
        <f>IF(NOT(Paths!$C$295=1),0,IF(Paths!$P$295="Complete",IF(AND(C3177=0,Paths!$E$295=0),I3177-J3177-K3177+VLOOKUP(A3177,'Fleet register'!$A$7:$S$106,15,FALSE)+VLOOKUP(A3177,'Fleet register'!$A$7:$S$106,16,FALSE),0),"n.a."))</f>
        <v>0</v>
      </c>
      <c r="S3177" s="1">
        <f>IF(NOT(Paths!$C$295=1),0,IF(Paths!$P$295="Complete",IF(C3177=0,0,Paths!$S$295*Paths!$R$295),"n.a."))</f>
        <v>0</v>
      </c>
      <c r="T3177" s="1">
        <f>IF(NOT(Paths!$C$295=1),0,IF(Paths!$P$295="Complete",IF(C3177=0,0,VLOOKUP(A3177,'Fleet register'!$A$7:$S$106,9,FALSE)*Paths!$R$295),"n.a."))</f>
        <v>0</v>
      </c>
    </row>
    <row r="3178" spans="1:20" ht="24" customHeight="1">
      <c r="A3178" s="1" t="str">
        <f>Paths!$A$295</f>
        <v>T073</v>
      </c>
      <c r="B3178" s="1">
        <f>Paths!$B$295</f>
        <v>0</v>
      </c>
      <c r="C3178" s="1">
        <v>3</v>
      </c>
      <c r="D3178" s="1">
        <v>295</v>
      </c>
      <c r="E3178" s="1">
        <f>IF(OR(Paths!$C$295=0,C3178=0),0,MAX(0,MIN(C3178*12,Paths!$E$295)-(C3178-1)*12))</f>
        <v>0</v>
      </c>
      <c r="F3178" s="1">
        <f>IF(OR(Paths!$C$295=0,C3178=0),0,12-E3178)</f>
        <v>0</v>
      </c>
      <c r="G3178" s="16">
        <f>IF(NOT(Paths!$C$295=1),0,IF(Paths!$P$295="Complete",E3178/12*(Paths!$J$295*(1+'Operating costs'!$B$51)^MAX(0,C3178-1)+Paths!$K$295*(1+'Operating costs'!$B$53)^MAX(0,C3178-1)),"n.a."))</f>
        <v>0</v>
      </c>
      <c r="H3178" s="16">
        <f>IF(NOT(Paths!$C$295=1),0,IF(Paths!$P$295="Complete",F3178/12*(Paths!$L$295*(1+IF(Paths!$D$295="EV",'Operating costs'!$B$52,'Operating costs'!$B$51))^MAX(0,C3178-1)+Paths!$M$295*(1+'Operating costs'!$B$53)^MAX(0,C3178-1)),"n.a."))</f>
        <v>0</v>
      </c>
      <c r="I3178" s="16">
        <f>IF(NOT(Paths!$C$295=1),0,IF(Paths!$P$295="Complete",IF(IF(Paths!$E$295=0,C3178=0,AND(C3178&gt;0,Paths!$E$295&gt;(C3178-1)*12,Paths!$E$295&lt;=C3178*12)),Paths!$G$295,0),"n.a."))</f>
        <v>0</v>
      </c>
      <c r="J3178" s="16">
        <f>IF(NOT(Paths!$C$295=1),0,IF(Paths!$P$295="Complete",IF(IF(Paths!$E$295=0,C3178=0,AND(C3178&gt;0,Paths!$E$295&gt;(C3178-1)*12,Paths!$E$295&lt;=C3178*12)),Paths!$H$295,0),"n.a."))</f>
        <v>0</v>
      </c>
      <c r="K3178" s="16">
        <f>IF(NOT(Paths!$C$295=1),0,IF(Paths!$P$295="Complete",IF(IF(Paths!$O$295=0,C3178=0,AND(C3178&gt;0,Paths!$O$295&gt;(C3178-1)*12,Paths!$O$295&lt;=C3178*12)),Paths!$N$295,0),"n.a."))</f>
        <v>0</v>
      </c>
      <c r="L3178" s="16">
        <f>IF(NOT(Paths!$C$295=1),0,IF(Paths!$P$295="Complete",IF(C3178=10,Paths!$I$295,0),"n.a."))</f>
        <v>0</v>
      </c>
      <c r="M3178" s="16">
        <f>IF(NOT(Paths!$C$295=1),0,IF(Paths!$P$295="Complete",IF(AND(Paths!$D$295="EV",Paths!$E$295&lt;120,Paths!$E$295+'Operating costs'!$B$65&gt;Paths!$E$295,Paths!$E$295+'Operating costs'!$B$65&lt;=120,IF(Paths!$E$295+'Operating costs'!$B$65=0,C3178=0,AND(C3178&gt;0,Paths!$E$295+'Operating costs'!$B$65&gt;(C3178-1)*12,Paths!$E$295+'Operating costs'!$B$65&lt;=C3178*12))),'Operating costs'!$B$64,0)+IF(AND('Operating costs'!$B$67&gt;0,'Operating costs'!$B$67&lt;=120,OR(Paths!$D$295="ICE",'Operating costs'!$B$67&lt;=Paths!$E$295),IF('Operating costs'!$B$67=0,C3178=0,AND(C3178&gt;0,'Operating costs'!$B$67&gt;(C3178-1)*12,'Operating costs'!$B$67&lt;=C3178*12))),'Operating costs'!$B$66,0),"n.a."))</f>
        <v>0</v>
      </c>
      <c r="N3178" s="16">
        <f>IF(NOT(Paths!$C$295=1),0,IF(Paths!$P$295="Complete",SUM(G3178:I3178)-J3178-K3178-L3178+M3178+IF(C3178=0,Paths!$F$295,0)+IF(IF(Paths!$E$295=0,C3178=0,AND(C3178&gt;0,Paths!$E$295&gt;(C3178-1)*12,Paths!$E$295&lt;=C3178*12)),VLOOKUP(A3178,'Fleet register'!$A$7:$S$106,16,FALSE),0),"n.a."))</f>
        <v>0</v>
      </c>
      <c r="O3178" s="16">
        <f>IF(NOT(Paths!$C$295=1),0,IF(Paths!$P$295="Complete",N3178-IF(C3178=0,Paths!$F$295,0),"n.a."))</f>
        <v>0</v>
      </c>
      <c r="P3178" s="16">
        <f>IF(NOT(Paths!$C$295=1),0,IF(Paths!$P$295="Complete",O3178+L3178,"n.a."))</f>
        <v>0</v>
      </c>
      <c r="Q3178" s="16">
        <f>IF(NOT(Paths!$C$295=1),0,IF(Paths!$P$295="Complete",N3178*(1+'Operating costs'!$B$54)^-C3178,"n.a."))</f>
        <v>0</v>
      </c>
      <c r="R3178" s="16">
        <f>IF(NOT(Paths!$C$295=1),0,IF(Paths!$P$295="Complete",IF(AND(C3178=0,Paths!$E$295=0),I3178-J3178-K3178+VLOOKUP(A3178,'Fleet register'!$A$7:$S$106,15,FALSE)+VLOOKUP(A3178,'Fleet register'!$A$7:$S$106,16,FALSE),0),"n.a."))</f>
        <v>0</v>
      </c>
      <c r="S3178" s="1">
        <f>IF(NOT(Paths!$C$295=1),0,IF(Paths!$P$295="Complete",IF(C3178=0,0,Paths!$S$295*Paths!$R$295),"n.a."))</f>
        <v>0</v>
      </c>
      <c r="T3178" s="1">
        <f>IF(NOT(Paths!$C$295=1),0,IF(Paths!$P$295="Complete",IF(C3178=0,0,VLOOKUP(A3178,'Fleet register'!$A$7:$S$106,9,FALSE)*Paths!$R$295),"n.a."))</f>
        <v>0</v>
      </c>
    </row>
    <row r="3179" spans="1:20" ht="24" customHeight="1">
      <c r="A3179" s="1" t="str">
        <f>Paths!$A$295</f>
        <v>T073</v>
      </c>
      <c r="B3179" s="1">
        <f>Paths!$B$295</f>
        <v>0</v>
      </c>
      <c r="C3179" s="1">
        <v>4</v>
      </c>
      <c r="D3179" s="1">
        <v>295</v>
      </c>
      <c r="E3179" s="1">
        <f>IF(OR(Paths!$C$295=0,C3179=0),0,MAX(0,MIN(C3179*12,Paths!$E$295)-(C3179-1)*12))</f>
        <v>0</v>
      </c>
      <c r="F3179" s="1">
        <f>IF(OR(Paths!$C$295=0,C3179=0),0,12-E3179)</f>
        <v>0</v>
      </c>
      <c r="G3179" s="16">
        <f>IF(NOT(Paths!$C$295=1),0,IF(Paths!$P$295="Complete",E3179/12*(Paths!$J$295*(1+'Operating costs'!$B$51)^MAX(0,C3179-1)+Paths!$K$295*(1+'Operating costs'!$B$53)^MAX(0,C3179-1)),"n.a."))</f>
        <v>0</v>
      </c>
      <c r="H3179" s="16">
        <f>IF(NOT(Paths!$C$295=1),0,IF(Paths!$P$295="Complete",F3179/12*(Paths!$L$295*(1+IF(Paths!$D$295="EV",'Operating costs'!$B$52,'Operating costs'!$B$51))^MAX(0,C3179-1)+Paths!$M$295*(1+'Operating costs'!$B$53)^MAX(0,C3179-1)),"n.a."))</f>
        <v>0</v>
      </c>
      <c r="I3179" s="16">
        <f>IF(NOT(Paths!$C$295=1),0,IF(Paths!$P$295="Complete",IF(IF(Paths!$E$295=0,C3179=0,AND(C3179&gt;0,Paths!$E$295&gt;(C3179-1)*12,Paths!$E$295&lt;=C3179*12)),Paths!$G$295,0),"n.a."))</f>
        <v>0</v>
      </c>
      <c r="J3179" s="16">
        <f>IF(NOT(Paths!$C$295=1),0,IF(Paths!$P$295="Complete",IF(IF(Paths!$E$295=0,C3179=0,AND(C3179&gt;0,Paths!$E$295&gt;(C3179-1)*12,Paths!$E$295&lt;=C3179*12)),Paths!$H$295,0),"n.a."))</f>
        <v>0</v>
      </c>
      <c r="K3179" s="16">
        <f>IF(NOT(Paths!$C$295=1),0,IF(Paths!$P$295="Complete",IF(IF(Paths!$O$295=0,C3179=0,AND(C3179&gt;0,Paths!$O$295&gt;(C3179-1)*12,Paths!$O$295&lt;=C3179*12)),Paths!$N$295,0),"n.a."))</f>
        <v>0</v>
      </c>
      <c r="L3179" s="16">
        <f>IF(NOT(Paths!$C$295=1),0,IF(Paths!$P$295="Complete",IF(C3179=10,Paths!$I$295,0),"n.a."))</f>
        <v>0</v>
      </c>
      <c r="M3179" s="16">
        <f>IF(NOT(Paths!$C$295=1),0,IF(Paths!$P$295="Complete",IF(AND(Paths!$D$295="EV",Paths!$E$295&lt;120,Paths!$E$295+'Operating costs'!$B$65&gt;Paths!$E$295,Paths!$E$295+'Operating costs'!$B$65&lt;=120,IF(Paths!$E$295+'Operating costs'!$B$65=0,C3179=0,AND(C3179&gt;0,Paths!$E$295+'Operating costs'!$B$65&gt;(C3179-1)*12,Paths!$E$295+'Operating costs'!$B$65&lt;=C3179*12))),'Operating costs'!$B$64,0)+IF(AND('Operating costs'!$B$67&gt;0,'Operating costs'!$B$67&lt;=120,OR(Paths!$D$295="ICE",'Operating costs'!$B$67&lt;=Paths!$E$295),IF('Operating costs'!$B$67=0,C3179=0,AND(C3179&gt;0,'Operating costs'!$B$67&gt;(C3179-1)*12,'Operating costs'!$B$67&lt;=C3179*12))),'Operating costs'!$B$66,0),"n.a."))</f>
        <v>0</v>
      </c>
      <c r="N3179" s="16">
        <f>IF(NOT(Paths!$C$295=1),0,IF(Paths!$P$295="Complete",SUM(G3179:I3179)-J3179-K3179-L3179+M3179+IF(C3179=0,Paths!$F$295,0)+IF(IF(Paths!$E$295=0,C3179=0,AND(C3179&gt;0,Paths!$E$295&gt;(C3179-1)*12,Paths!$E$295&lt;=C3179*12)),VLOOKUP(A3179,'Fleet register'!$A$7:$S$106,16,FALSE),0),"n.a."))</f>
        <v>0</v>
      </c>
      <c r="O3179" s="16">
        <f>IF(NOT(Paths!$C$295=1),0,IF(Paths!$P$295="Complete",N3179-IF(C3179=0,Paths!$F$295,0),"n.a."))</f>
        <v>0</v>
      </c>
      <c r="P3179" s="16">
        <f>IF(NOT(Paths!$C$295=1),0,IF(Paths!$P$295="Complete",O3179+L3179,"n.a."))</f>
        <v>0</v>
      </c>
      <c r="Q3179" s="16">
        <f>IF(NOT(Paths!$C$295=1),0,IF(Paths!$P$295="Complete",N3179*(1+'Operating costs'!$B$54)^-C3179,"n.a."))</f>
        <v>0</v>
      </c>
      <c r="R3179" s="16">
        <f>IF(NOT(Paths!$C$295=1),0,IF(Paths!$P$295="Complete",IF(AND(C3179=0,Paths!$E$295=0),I3179-J3179-K3179+VLOOKUP(A3179,'Fleet register'!$A$7:$S$106,15,FALSE)+VLOOKUP(A3179,'Fleet register'!$A$7:$S$106,16,FALSE),0),"n.a."))</f>
        <v>0</v>
      </c>
      <c r="S3179" s="1">
        <f>IF(NOT(Paths!$C$295=1),0,IF(Paths!$P$295="Complete",IF(C3179=0,0,Paths!$S$295*Paths!$R$295),"n.a."))</f>
        <v>0</v>
      </c>
      <c r="T3179" s="1">
        <f>IF(NOT(Paths!$C$295=1),0,IF(Paths!$P$295="Complete",IF(C3179=0,0,VLOOKUP(A3179,'Fleet register'!$A$7:$S$106,9,FALSE)*Paths!$R$295),"n.a."))</f>
        <v>0</v>
      </c>
    </row>
    <row r="3180" spans="1:20" ht="24" customHeight="1">
      <c r="A3180" s="1" t="str">
        <f>Paths!$A$295</f>
        <v>T073</v>
      </c>
      <c r="B3180" s="1">
        <f>Paths!$B$295</f>
        <v>0</v>
      </c>
      <c r="C3180" s="1">
        <v>5</v>
      </c>
      <c r="D3180" s="1">
        <v>295</v>
      </c>
      <c r="E3180" s="1">
        <f>IF(OR(Paths!$C$295=0,C3180=0),0,MAX(0,MIN(C3180*12,Paths!$E$295)-(C3180-1)*12))</f>
        <v>0</v>
      </c>
      <c r="F3180" s="1">
        <f>IF(OR(Paths!$C$295=0,C3180=0),0,12-E3180)</f>
        <v>0</v>
      </c>
      <c r="G3180" s="16">
        <f>IF(NOT(Paths!$C$295=1),0,IF(Paths!$P$295="Complete",E3180/12*(Paths!$J$295*(1+'Operating costs'!$B$51)^MAX(0,C3180-1)+Paths!$K$295*(1+'Operating costs'!$B$53)^MAX(0,C3180-1)),"n.a."))</f>
        <v>0</v>
      </c>
      <c r="H3180" s="16">
        <f>IF(NOT(Paths!$C$295=1),0,IF(Paths!$P$295="Complete",F3180/12*(Paths!$L$295*(1+IF(Paths!$D$295="EV",'Operating costs'!$B$52,'Operating costs'!$B$51))^MAX(0,C3180-1)+Paths!$M$295*(1+'Operating costs'!$B$53)^MAX(0,C3180-1)),"n.a."))</f>
        <v>0</v>
      </c>
      <c r="I3180" s="16">
        <f>IF(NOT(Paths!$C$295=1),0,IF(Paths!$P$295="Complete",IF(IF(Paths!$E$295=0,C3180=0,AND(C3180&gt;0,Paths!$E$295&gt;(C3180-1)*12,Paths!$E$295&lt;=C3180*12)),Paths!$G$295,0),"n.a."))</f>
        <v>0</v>
      </c>
      <c r="J3180" s="16">
        <f>IF(NOT(Paths!$C$295=1),0,IF(Paths!$P$295="Complete",IF(IF(Paths!$E$295=0,C3180=0,AND(C3180&gt;0,Paths!$E$295&gt;(C3180-1)*12,Paths!$E$295&lt;=C3180*12)),Paths!$H$295,0),"n.a."))</f>
        <v>0</v>
      </c>
      <c r="K3180" s="16">
        <f>IF(NOT(Paths!$C$295=1),0,IF(Paths!$P$295="Complete",IF(IF(Paths!$O$295=0,C3180=0,AND(C3180&gt;0,Paths!$O$295&gt;(C3180-1)*12,Paths!$O$295&lt;=C3180*12)),Paths!$N$295,0),"n.a."))</f>
        <v>0</v>
      </c>
      <c r="L3180" s="16">
        <f>IF(NOT(Paths!$C$295=1),0,IF(Paths!$P$295="Complete",IF(C3180=10,Paths!$I$295,0),"n.a."))</f>
        <v>0</v>
      </c>
      <c r="M3180" s="16">
        <f>IF(NOT(Paths!$C$295=1),0,IF(Paths!$P$295="Complete",IF(AND(Paths!$D$295="EV",Paths!$E$295&lt;120,Paths!$E$295+'Operating costs'!$B$65&gt;Paths!$E$295,Paths!$E$295+'Operating costs'!$B$65&lt;=120,IF(Paths!$E$295+'Operating costs'!$B$65=0,C3180=0,AND(C3180&gt;0,Paths!$E$295+'Operating costs'!$B$65&gt;(C3180-1)*12,Paths!$E$295+'Operating costs'!$B$65&lt;=C3180*12))),'Operating costs'!$B$64,0)+IF(AND('Operating costs'!$B$67&gt;0,'Operating costs'!$B$67&lt;=120,OR(Paths!$D$295="ICE",'Operating costs'!$B$67&lt;=Paths!$E$295),IF('Operating costs'!$B$67=0,C3180=0,AND(C3180&gt;0,'Operating costs'!$B$67&gt;(C3180-1)*12,'Operating costs'!$B$67&lt;=C3180*12))),'Operating costs'!$B$66,0),"n.a."))</f>
        <v>0</v>
      </c>
      <c r="N3180" s="16">
        <f>IF(NOT(Paths!$C$295=1),0,IF(Paths!$P$295="Complete",SUM(G3180:I3180)-J3180-K3180-L3180+M3180+IF(C3180=0,Paths!$F$295,0)+IF(IF(Paths!$E$295=0,C3180=0,AND(C3180&gt;0,Paths!$E$295&gt;(C3180-1)*12,Paths!$E$295&lt;=C3180*12)),VLOOKUP(A3180,'Fleet register'!$A$7:$S$106,16,FALSE),0),"n.a."))</f>
        <v>0</v>
      </c>
      <c r="O3180" s="16">
        <f>IF(NOT(Paths!$C$295=1),0,IF(Paths!$P$295="Complete",N3180-IF(C3180=0,Paths!$F$295,0),"n.a."))</f>
        <v>0</v>
      </c>
      <c r="P3180" s="16">
        <f>IF(NOT(Paths!$C$295=1),0,IF(Paths!$P$295="Complete",O3180+L3180,"n.a."))</f>
        <v>0</v>
      </c>
      <c r="Q3180" s="16">
        <f>IF(NOT(Paths!$C$295=1),0,IF(Paths!$P$295="Complete",N3180*(1+'Operating costs'!$B$54)^-C3180,"n.a."))</f>
        <v>0</v>
      </c>
      <c r="R3180" s="16">
        <f>IF(NOT(Paths!$C$295=1),0,IF(Paths!$P$295="Complete",IF(AND(C3180=0,Paths!$E$295=0),I3180-J3180-K3180+VLOOKUP(A3180,'Fleet register'!$A$7:$S$106,15,FALSE)+VLOOKUP(A3180,'Fleet register'!$A$7:$S$106,16,FALSE),0),"n.a."))</f>
        <v>0</v>
      </c>
      <c r="S3180" s="1">
        <f>IF(NOT(Paths!$C$295=1),0,IF(Paths!$P$295="Complete",IF(C3180=0,0,Paths!$S$295*Paths!$R$295),"n.a."))</f>
        <v>0</v>
      </c>
      <c r="T3180" s="1">
        <f>IF(NOT(Paths!$C$295=1),0,IF(Paths!$P$295="Complete",IF(C3180=0,0,VLOOKUP(A3180,'Fleet register'!$A$7:$S$106,9,FALSE)*Paths!$R$295),"n.a."))</f>
        <v>0</v>
      </c>
    </row>
    <row r="3181" spans="1:20" ht="24" customHeight="1">
      <c r="A3181" s="1" t="str">
        <f>Paths!$A$295</f>
        <v>T073</v>
      </c>
      <c r="B3181" s="1">
        <f>Paths!$B$295</f>
        <v>0</v>
      </c>
      <c r="C3181" s="1">
        <v>6</v>
      </c>
      <c r="D3181" s="1">
        <v>295</v>
      </c>
      <c r="E3181" s="1">
        <f>IF(OR(Paths!$C$295=0,C3181=0),0,MAX(0,MIN(C3181*12,Paths!$E$295)-(C3181-1)*12))</f>
        <v>0</v>
      </c>
      <c r="F3181" s="1">
        <f>IF(OR(Paths!$C$295=0,C3181=0),0,12-E3181)</f>
        <v>0</v>
      </c>
      <c r="G3181" s="16">
        <f>IF(NOT(Paths!$C$295=1),0,IF(Paths!$P$295="Complete",E3181/12*(Paths!$J$295*(1+'Operating costs'!$B$51)^MAX(0,C3181-1)+Paths!$K$295*(1+'Operating costs'!$B$53)^MAX(0,C3181-1)),"n.a."))</f>
        <v>0</v>
      </c>
      <c r="H3181" s="16">
        <f>IF(NOT(Paths!$C$295=1),0,IF(Paths!$P$295="Complete",F3181/12*(Paths!$L$295*(1+IF(Paths!$D$295="EV",'Operating costs'!$B$52,'Operating costs'!$B$51))^MAX(0,C3181-1)+Paths!$M$295*(1+'Operating costs'!$B$53)^MAX(0,C3181-1)),"n.a."))</f>
        <v>0</v>
      </c>
      <c r="I3181" s="16">
        <f>IF(NOT(Paths!$C$295=1),0,IF(Paths!$P$295="Complete",IF(IF(Paths!$E$295=0,C3181=0,AND(C3181&gt;0,Paths!$E$295&gt;(C3181-1)*12,Paths!$E$295&lt;=C3181*12)),Paths!$G$295,0),"n.a."))</f>
        <v>0</v>
      </c>
      <c r="J3181" s="16">
        <f>IF(NOT(Paths!$C$295=1),0,IF(Paths!$P$295="Complete",IF(IF(Paths!$E$295=0,C3181=0,AND(C3181&gt;0,Paths!$E$295&gt;(C3181-1)*12,Paths!$E$295&lt;=C3181*12)),Paths!$H$295,0),"n.a."))</f>
        <v>0</v>
      </c>
      <c r="K3181" s="16">
        <f>IF(NOT(Paths!$C$295=1),0,IF(Paths!$P$295="Complete",IF(IF(Paths!$O$295=0,C3181=0,AND(C3181&gt;0,Paths!$O$295&gt;(C3181-1)*12,Paths!$O$295&lt;=C3181*12)),Paths!$N$295,0),"n.a."))</f>
        <v>0</v>
      </c>
      <c r="L3181" s="16">
        <f>IF(NOT(Paths!$C$295=1),0,IF(Paths!$P$295="Complete",IF(C3181=10,Paths!$I$295,0),"n.a."))</f>
        <v>0</v>
      </c>
      <c r="M3181" s="16">
        <f>IF(NOT(Paths!$C$295=1),0,IF(Paths!$P$295="Complete",IF(AND(Paths!$D$295="EV",Paths!$E$295&lt;120,Paths!$E$295+'Operating costs'!$B$65&gt;Paths!$E$295,Paths!$E$295+'Operating costs'!$B$65&lt;=120,IF(Paths!$E$295+'Operating costs'!$B$65=0,C3181=0,AND(C3181&gt;0,Paths!$E$295+'Operating costs'!$B$65&gt;(C3181-1)*12,Paths!$E$295+'Operating costs'!$B$65&lt;=C3181*12))),'Operating costs'!$B$64,0)+IF(AND('Operating costs'!$B$67&gt;0,'Operating costs'!$B$67&lt;=120,OR(Paths!$D$295="ICE",'Operating costs'!$B$67&lt;=Paths!$E$295),IF('Operating costs'!$B$67=0,C3181=0,AND(C3181&gt;0,'Operating costs'!$B$67&gt;(C3181-1)*12,'Operating costs'!$B$67&lt;=C3181*12))),'Operating costs'!$B$66,0),"n.a."))</f>
        <v>0</v>
      </c>
      <c r="N3181" s="16">
        <f>IF(NOT(Paths!$C$295=1),0,IF(Paths!$P$295="Complete",SUM(G3181:I3181)-J3181-K3181-L3181+M3181+IF(C3181=0,Paths!$F$295,0)+IF(IF(Paths!$E$295=0,C3181=0,AND(C3181&gt;0,Paths!$E$295&gt;(C3181-1)*12,Paths!$E$295&lt;=C3181*12)),VLOOKUP(A3181,'Fleet register'!$A$7:$S$106,16,FALSE),0),"n.a."))</f>
        <v>0</v>
      </c>
      <c r="O3181" s="16">
        <f>IF(NOT(Paths!$C$295=1),0,IF(Paths!$P$295="Complete",N3181-IF(C3181=0,Paths!$F$295,0),"n.a."))</f>
        <v>0</v>
      </c>
      <c r="P3181" s="16">
        <f>IF(NOT(Paths!$C$295=1),0,IF(Paths!$P$295="Complete",O3181+L3181,"n.a."))</f>
        <v>0</v>
      </c>
      <c r="Q3181" s="16">
        <f>IF(NOT(Paths!$C$295=1),0,IF(Paths!$P$295="Complete",N3181*(1+'Operating costs'!$B$54)^-C3181,"n.a."))</f>
        <v>0</v>
      </c>
      <c r="R3181" s="16">
        <f>IF(NOT(Paths!$C$295=1),0,IF(Paths!$P$295="Complete",IF(AND(C3181=0,Paths!$E$295=0),I3181-J3181-K3181+VLOOKUP(A3181,'Fleet register'!$A$7:$S$106,15,FALSE)+VLOOKUP(A3181,'Fleet register'!$A$7:$S$106,16,FALSE),0),"n.a."))</f>
        <v>0</v>
      </c>
      <c r="S3181" s="1">
        <f>IF(NOT(Paths!$C$295=1),0,IF(Paths!$P$295="Complete",IF(C3181=0,0,Paths!$S$295*Paths!$R$295),"n.a."))</f>
        <v>0</v>
      </c>
      <c r="T3181" s="1">
        <f>IF(NOT(Paths!$C$295=1),0,IF(Paths!$P$295="Complete",IF(C3181=0,0,VLOOKUP(A3181,'Fleet register'!$A$7:$S$106,9,FALSE)*Paths!$R$295),"n.a."))</f>
        <v>0</v>
      </c>
    </row>
    <row r="3182" spans="1:20" ht="24" customHeight="1">
      <c r="A3182" s="1" t="str">
        <f>Paths!$A$295</f>
        <v>T073</v>
      </c>
      <c r="B3182" s="1">
        <f>Paths!$B$295</f>
        <v>0</v>
      </c>
      <c r="C3182" s="1">
        <v>7</v>
      </c>
      <c r="D3182" s="1">
        <v>295</v>
      </c>
      <c r="E3182" s="1">
        <f>IF(OR(Paths!$C$295=0,C3182=0),0,MAX(0,MIN(C3182*12,Paths!$E$295)-(C3182-1)*12))</f>
        <v>0</v>
      </c>
      <c r="F3182" s="1">
        <f>IF(OR(Paths!$C$295=0,C3182=0),0,12-E3182)</f>
        <v>0</v>
      </c>
      <c r="G3182" s="16">
        <f>IF(NOT(Paths!$C$295=1),0,IF(Paths!$P$295="Complete",E3182/12*(Paths!$J$295*(1+'Operating costs'!$B$51)^MAX(0,C3182-1)+Paths!$K$295*(1+'Operating costs'!$B$53)^MAX(0,C3182-1)),"n.a."))</f>
        <v>0</v>
      </c>
      <c r="H3182" s="16">
        <f>IF(NOT(Paths!$C$295=1),0,IF(Paths!$P$295="Complete",F3182/12*(Paths!$L$295*(1+IF(Paths!$D$295="EV",'Operating costs'!$B$52,'Operating costs'!$B$51))^MAX(0,C3182-1)+Paths!$M$295*(1+'Operating costs'!$B$53)^MAX(0,C3182-1)),"n.a."))</f>
        <v>0</v>
      </c>
      <c r="I3182" s="16">
        <f>IF(NOT(Paths!$C$295=1),0,IF(Paths!$P$295="Complete",IF(IF(Paths!$E$295=0,C3182=0,AND(C3182&gt;0,Paths!$E$295&gt;(C3182-1)*12,Paths!$E$295&lt;=C3182*12)),Paths!$G$295,0),"n.a."))</f>
        <v>0</v>
      </c>
      <c r="J3182" s="16">
        <f>IF(NOT(Paths!$C$295=1),0,IF(Paths!$P$295="Complete",IF(IF(Paths!$E$295=0,C3182=0,AND(C3182&gt;0,Paths!$E$295&gt;(C3182-1)*12,Paths!$E$295&lt;=C3182*12)),Paths!$H$295,0),"n.a."))</f>
        <v>0</v>
      </c>
      <c r="K3182" s="16">
        <f>IF(NOT(Paths!$C$295=1),0,IF(Paths!$P$295="Complete",IF(IF(Paths!$O$295=0,C3182=0,AND(C3182&gt;0,Paths!$O$295&gt;(C3182-1)*12,Paths!$O$295&lt;=C3182*12)),Paths!$N$295,0),"n.a."))</f>
        <v>0</v>
      </c>
      <c r="L3182" s="16">
        <f>IF(NOT(Paths!$C$295=1),0,IF(Paths!$P$295="Complete",IF(C3182=10,Paths!$I$295,0),"n.a."))</f>
        <v>0</v>
      </c>
      <c r="M3182" s="16">
        <f>IF(NOT(Paths!$C$295=1),0,IF(Paths!$P$295="Complete",IF(AND(Paths!$D$295="EV",Paths!$E$295&lt;120,Paths!$E$295+'Operating costs'!$B$65&gt;Paths!$E$295,Paths!$E$295+'Operating costs'!$B$65&lt;=120,IF(Paths!$E$295+'Operating costs'!$B$65=0,C3182=0,AND(C3182&gt;0,Paths!$E$295+'Operating costs'!$B$65&gt;(C3182-1)*12,Paths!$E$295+'Operating costs'!$B$65&lt;=C3182*12))),'Operating costs'!$B$64,0)+IF(AND('Operating costs'!$B$67&gt;0,'Operating costs'!$B$67&lt;=120,OR(Paths!$D$295="ICE",'Operating costs'!$B$67&lt;=Paths!$E$295),IF('Operating costs'!$B$67=0,C3182=0,AND(C3182&gt;0,'Operating costs'!$B$67&gt;(C3182-1)*12,'Operating costs'!$B$67&lt;=C3182*12))),'Operating costs'!$B$66,0),"n.a."))</f>
        <v>0</v>
      </c>
      <c r="N3182" s="16">
        <f>IF(NOT(Paths!$C$295=1),0,IF(Paths!$P$295="Complete",SUM(G3182:I3182)-J3182-K3182-L3182+M3182+IF(C3182=0,Paths!$F$295,0)+IF(IF(Paths!$E$295=0,C3182=0,AND(C3182&gt;0,Paths!$E$295&gt;(C3182-1)*12,Paths!$E$295&lt;=C3182*12)),VLOOKUP(A3182,'Fleet register'!$A$7:$S$106,16,FALSE),0),"n.a."))</f>
        <v>0</v>
      </c>
      <c r="O3182" s="16">
        <f>IF(NOT(Paths!$C$295=1),0,IF(Paths!$P$295="Complete",N3182-IF(C3182=0,Paths!$F$295,0),"n.a."))</f>
        <v>0</v>
      </c>
      <c r="P3182" s="16">
        <f>IF(NOT(Paths!$C$295=1),0,IF(Paths!$P$295="Complete",O3182+L3182,"n.a."))</f>
        <v>0</v>
      </c>
      <c r="Q3182" s="16">
        <f>IF(NOT(Paths!$C$295=1),0,IF(Paths!$P$295="Complete",N3182*(1+'Operating costs'!$B$54)^-C3182,"n.a."))</f>
        <v>0</v>
      </c>
      <c r="R3182" s="16">
        <f>IF(NOT(Paths!$C$295=1),0,IF(Paths!$P$295="Complete",IF(AND(C3182=0,Paths!$E$295=0),I3182-J3182-K3182+VLOOKUP(A3182,'Fleet register'!$A$7:$S$106,15,FALSE)+VLOOKUP(A3182,'Fleet register'!$A$7:$S$106,16,FALSE),0),"n.a."))</f>
        <v>0</v>
      </c>
      <c r="S3182" s="1">
        <f>IF(NOT(Paths!$C$295=1),0,IF(Paths!$P$295="Complete",IF(C3182=0,0,Paths!$S$295*Paths!$R$295),"n.a."))</f>
        <v>0</v>
      </c>
      <c r="T3182" s="1">
        <f>IF(NOT(Paths!$C$295=1),0,IF(Paths!$P$295="Complete",IF(C3182=0,0,VLOOKUP(A3182,'Fleet register'!$A$7:$S$106,9,FALSE)*Paths!$R$295),"n.a."))</f>
        <v>0</v>
      </c>
    </row>
    <row r="3183" spans="1:20" ht="24" customHeight="1">
      <c r="A3183" s="1" t="str">
        <f>Paths!$A$295</f>
        <v>T073</v>
      </c>
      <c r="B3183" s="1">
        <f>Paths!$B$295</f>
        <v>0</v>
      </c>
      <c r="C3183" s="1">
        <v>8</v>
      </c>
      <c r="D3183" s="1">
        <v>295</v>
      </c>
      <c r="E3183" s="1">
        <f>IF(OR(Paths!$C$295=0,C3183=0),0,MAX(0,MIN(C3183*12,Paths!$E$295)-(C3183-1)*12))</f>
        <v>0</v>
      </c>
      <c r="F3183" s="1">
        <f>IF(OR(Paths!$C$295=0,C3183=0),0,12-E3183)</f>
        <v>0</v>
      </c>
      <c r="G3183" s="16">
        <f>IF(NOT(Paths!$C$295=1),0,IF(Paths!$P$295="Complete",E3183/12*(Paths!$J$295*(1+'Operating costs'!$B$51)^MAX(0,C3183-1)+Paths!$K$295*(1+'Operating costs'!$B$53)^MAX(0,C3183-1)),"n.a."))</f>
        <v>0</v>
      </c>
      <c r="H3183" s="16">
        <f>IF(NOT(Paths!$C$295=1),0,IF(Paths!$P$295="Complete",F3183/12*(Paths!$L$295*(1+IF(Paths!$D$295="EV",'Operating costs'!$B$52,'Operating costs'!$B$51))^MAX(0,C3183-1)+Paths!$M$295*(1+'Operating costs'!$B$53)^MAX(0,C3183-1)),"n.a."))</f>
        <v>0</v>
      </c>
      <c r="I3183" s="16">
        <f>IF(NOT(Paths!$C$295=1),0,IF(Paths!$P$295="Complete",IF(IF(Paths!$E$295=0,C3183=0,AND(C3183&gt;0,Paths!$E$295&gt;(C3183-1)*12,Paths!$E$295&lt;=C3183*12)),Paths!$G$295,0),"n.a."))</f>
        <v>0</v>
      </c>
      <c r="J3183" s="16">
        <f>IF(NOT(Paths!$C$295=1),0,IF(Paths!$P$295="Complete",IF(IF(Paths!$E$295=0,C3183=0,AND(C3183&gt;0,Paths!$E$295&gt;(C3183-1)*12,Paths!$E$295&lt;=C3183*12)),Paths!$H$295,0),"n.a."))</f>
        <v>0</v>
      </c>
      <c r="K3183" s="16">
        <f>IF(NOT(Paths!$C$295=1),0,IF(Paths!$P$295="Complete",IF(IF(Paths!$O$295=0,C3183=0,AND(C3183&gt;0,Paths!$O$295&gt;(C3183-1)*12,Paths!$O$295&lt;=C3183*12)),Paths!$N$295,0),"n.a."))</f>
        <v>0</v>
      </c>
      <c r="L3183" s="16">
        <f>IF(NOT(Paths!$C$295=1),0,IF(Paths!$P$295="Complete",IF(C3183=10,Paths!$I$295,0),"n.a."))</f>
        <v>0</v>
      </c>
      <c r="M3183" s="16">
        <f>IF(NOT(Paths!$C$295=1),0,IF(Paths!$P$295="Complete",IF(AND(Paths!$D$295="EV",Paths!$E$295&lt;120,Paths!$E$295+'Operating costs'!$B$65&gt;Paths!$E$295,Paths!$E$295+'Operating costs'!$B$65&lt;=120,IF(Paths!$E$295+'Operating costs'!$B$65=0,C3183=0,AND(C3183&gt;0,Paths!$E$295+'Operating costs'!$B$65&gt;(C3183-1)*12,Paths!$E$295+'Operating costs'!$B$65&lt;=C3183*12))),'Operating costs'!$B$64,0)+IF(AND('Operating costs'!$B$67&gt;0,'Operating costs'!$B$67&lt;=120,OR(Paths!$D$295="ICE",'Operating costs'!$B$67&lt;=Paths!$E$295),IF('Operating costs'!$B$67=0,C3183=0,AND(C3183&gt;0,'Operating costs'!$B$67&gt;(C3183-1)*12,'Operating costs'!$B$67&lt;=C3183*12))),'Operating costs'!$B$66,0),"n.a."))</f>
        <v>0</v>
      </c>
      <c r="N3183" s="16">
        <f>IF(NOT(Paths!$C$295=1),0,IF(Paths!$P$295="Complete",SUM(G3183:I3183)-J3183-K3183-L3183+M3183+IF(C3183=0,Paths!$F$295,0)+IF(IF(Paths!$E$295=0,C3183=0,AND(C3183&gt;0,Paths!$E$295&gt;(C3183-1)*12,Paths!$E$295&lt;=C3183*12)),VLOOKUP(A3183,'Fleet register'!$A$7:$S$106,16,FALSE),0),"n.a."))</f>
        <v>0</v>
      </c>
      <c r="O3183" s="16">
        <f>IF(NOT(Paths!$C$295=1),0,IF(Paths!$P$295="Complete",N3183-IF(C3183=0,Paths!$F$295,0),"n.a."))</f>
        <v>0</v>
      </c>
      <c r="P3183" s="16">
        <f>IF(NOT(Paths!$C$295=1),0,IF(Paths!$P$295="Complete",O3183+L3183,"n.a."))</f>
        <v>0</v>
      </c>
      <c r="Q3183" s="16">
        <f>IF(NOT(Paths!$C$295=1),0,IF(Paths!$P$295="Complete",N3183*(1+'Operating costs'!$B$54)^-C3183,"n.a."))</f>
        <v>0</v>
      </c>
      <c r="R3183" s="16">
        <f>IF(NOT(Paths!$C$295=1),0,IF(Paths!$P$295="Complete",IF(AND(C3183=0,Paths!$E$295=0),I3183-J3183-K3183+VLOOKUP(A3183,'Fleet register'!$A$7:$S$106,15,FALSE)+VLOOKUP(A3183,'Fleet register'!$A$7:$S$106,16,FALSE),0),"n.a."))</f>
        <v>0</v>
      </c>
      <c r="S3183" s="1">
        <f>IF(NOT(Paths!$C$295=1),0,IF(Paths!$P$295="Complete",IF(C3183=0,0,Paths!$S$295*Paths!$R$295),"n.a."))</f>
        <v>0</v>
      </c>
      <c r="T3183" s="1">
        <f>IF(NOT(Paths!$C$295=1),0,IF(Paths!$P$295="Complete",IF(C3183=0,0,VLOOKUP(A3183,'Fleet register'!$A$7:$S$106,9,FALSE)*Paths!$R$295),"n.a."))</f>
        <v>0</v>
      </c>
    </row>
    <row r="3184" spans="1:20" ht="24" customHeight="1">
      <c r="A3184" s="1" t="str">
        <f>Paths!$A$295</f>
        <v>T073</v>
      </c>
      <c r="B3184" s="1">
        <f>Paths!$B$295</f>
        <v>0</v>
      </c>
      <c r="C3184" s="1">
        <v>9</v>
      </c>
      <c r="D3184" s="1">
        <v>295</v>
      </c>
      <c r="E3184" s="1">
        <f>IF(OR(Paths!$C$295=0,C3184=0),0,MAX(0,MIN(C3184*12,Paths!$E$295)-(C3184-1)*12))</f>
        <v>0</v>
      </c>
      <c r="F3184" s="1">
        <f>IF(OR(Paths!$C$295=0,C3184=0),0,12-E3184)</f>
        <v>0</v>
      </c>
      <c r="G3184" s="16">
        <f>IF(NOT(Paths!$C$295=1),0,IF(Paths!$P$295="Complete",E3184/12*(Paths!$J$295*(1+'Operating costs'!$B$51)^MAX(0,C3184-1)+Paths!$K$295*(1+'Operating costs'!$B$53)^MAX(0,C3184-1)),"n.a."))</f>
        <v>0</v>
      </c>
      <c r="H3184" s="16">
        <f>IF(NOT(Paths!$C$295=1),0,IF(Paths!$P$295="Complete",F3184/12*(Paths!$L$295*(1+IF(Paths!$D$295="EV",'Operating costs'!$B$52,'Operating costs'!$B$51))^MAX(0,C3184-1)+Paths!$M$295*(1+'Operating costs'!$B$53)^MAX(0,C3184-1)),"n.a."))</f>
        <v>0</v>
      </c>
      <c r="I3184" s="16">
        <f>IF(NOT(Paths!$C$295=1),0,IF(Paths!$P$295="Complete",IF(IF(Paths!$E$295=0,C3184=0,AND(C3184&gt;0,Paths!$E$295&gt;(C3184-1)*12,Paths!$E$295&lt;=C3184*12)),Paths!$G$295,0),"n.a."))</f>
        <v>0</v>
      </c>
      <c r="J3184" s="16">
        <f>IF(NOT(Paths!$C$295=1),0,IF(Paths!$P$295="Complete",IF(IF(Paths!$E$295=0,C3184=0,AND(C3184&gt;0,Paths!$E$295&gt;(C3184-1)*12,Paths!$E$295&lt;=C3184*12)),Paths!$H$295,0),"n.a."))</f>
        <v>0</v>
      </c>
      <c r="K3184" s="16">
        <f>IF(NOT(Paths!$C$295=1),0,IF(Paths!$P$295="Complete",IF(IF(Paths!$O$295=0,C3184=0,AND(C3184&gt;0,Paths!$O$295&gt;(C3184-1)*12,Paths!$O$295&lt;=C3184*12)),Paths!$N$295,0),"n.a."))</f>
        <v>0</v>
      </c>
      <c r="L3184" s="16">
        <f>IF(NOT(Paths!$C$295=1),0,IF(Paths!$P$295="Complete",IF(C3184=10,Paths!$I$295,0),"n.a."))</f>
        <v>0</v>
      </c>
      <c r="M3184" s="16">
        <f>IF(NOT(Paths!$C$295=1),0,IF(Paths!$P$295="Complete",IF(AND(Paths!$D$295="EV",Paths!$E$295&lt;120,Paths!$E$295+'Operating costs'!$B$65&gt;Paths!$E$295,Paths!$E$295+'Operating costs'!$B$65&lt;=120,IF(Paths!$E$295+'Operating costs'!$B$65=0,C3184=0,AND(C3184&gt;0,Paths!$E$295+'Operating costs'!$B$65&gt;(C3184-1)*12,Paths!$E$295+'Operating costs'!$B$65&lt;=C3184*12))),'Operating costs'!$B$64,0)+IF(AND('Operating costs'!$B$67&gt;0,'Operating costs'!$B$67&lt;=120,OR(Paths!$D$295="ICE",'Operating costs'!$B$67&lt;=Paths!$E$295),IF('Operating costs'!$B$67=0,C3184=0,AND(C3184&gt;0,'Operating costs'!$B$67&gt;(C3184-1)*12,'Operating costs'!$B$67&lt;=C3184*12))),'Operating costs'!$B$66,0),"n.a."))</f>
        <v>0</v>
      </c>
      <c r="N3184" s="16">
        <f>IF(NOT(Paths!$C$295=1),0,IF(Paths!$P$295="Complete",SUM(G3184:I3184)-J3184-K3184-L3184+M3184+IF(C3184=0,Paths!$F$295,0)+IF(IF(Paths!$E$295=0,C3184=0,AND(C3184&gt;0,Paths!$E$295&gt;(C3184-1)*12,Paths!$E$295&lt;=C3184*12)),VLOOKUP(A3184,'Fleet register'!$A$7:$S$106,16,FALSE),0),"n.a."))</f>
        <v>0</v>
      </c>
      <c r="O3184" s="16">
        <f>IF(NOT(Paths!$C$295=1),0,IF(Paths!$P$295="Complete",N3184-IF(C3184=0,Paths!$F$295,0),"n.a."))</f>
        <v>0</v>
      </c>
      <c r="P3184" s="16">
        <f>IF(NOT(Paths!$C$295=1),0,IF(Paths!$P$295="Complete",O3184+L3184,"n.a."))</f>
        <v>0</v>
      </c>
      <c r="Q3184" s="16">
        <f>IF(NOT(Paths!$C$295=1),0,IF(Paths!$P$295="Complete",N3184*(1+'Operating costs'!$B$54)^-C3184,"n.a."))</f>
        <v>0</v>
      </c>
      <c r="R3184" s="16">
        <f>IF(NOT(Paths!$C$295=1),0,IF(Paths!$P$295="Complete",IF(AND(C3184=0,Paths!$E$295=0),I3184-J3184-K3184+VLOOKUP(A3184,'Fleet register'!$A$7:$S$106,15,FALSE)+VLOOKUP(A3184,'Fleet register'!$A$7:$S$106,16,FALSE),0),"n.a."))</f>
        <v>0</v>
      </c>
      <c r="S3184" s="1">
        <f>IF(NOT(Paths!$C$295=1),0,IF(Paths!$P$295="Complete",IF(C3184=0,0,Paths!$S$295*Paths!$R$295),"n.a."))</f>
        <v>0</v>
      </c>
      <c r="T3184" s="1">
        <f>IF(NOT(Paths!$C$295=1),0,IF(Paths!$P$295="Complete",IF(C3184=0,0,VLOOKUP(A3184,'Fleet register'!$A$7:$S$106,9,FALSE)*Paths!$R$295),"n.a."))</f>
        <v>0</v>
      </c>
    </row>
    <row r="3185" spans="1:20" ht="24" customHeight="1">
      <c r="A3185" s="1" t="str">
        <f>Paths!$A$295</f>
        <v>T073</v>
      </c>
      <c r="B3185" s="1">
        <f>Paths!$B$295</f>
        <v>0</v>
      </c>
      <c r="C3185" s="1">
        <v>10</v>
      </c>
      <c r="D3185" s="1">
        <v>295</v>
      </c>
      <c r="E3185" s="1">
        <f>IF(OR(Paths!$C$295=0,C3185=0),0,MAX(0,MIN(C3185*12,Paths!$E$295)-(C3185-1)*12))</f>
        <v>0</v>
      </c>
      <c r="F3185" s="1">
        <f>IF(OR(Paths!$C$295=0,C3185=0),0,12-E3185)</f>
        <v>0</v>
      </c>
      <c r="G3185" s="16">
        <f>IF(NOT(Paths!$C$295=1),0,IF(Paths!$P$295="Complete",E3185/12*(Paths!$J$295*(1+'Operating costs'!$B$51)^MAX(0,C3185-1)+Paths!$K$295*(1+'Operating costs'!$B$53)^MAX(0,C3185-1)),"n.a."))</f>
        <v>0</v>
      </c>
      <c r="H3185" s="16">
        <f>IF(NOT(Paths!$C$295=1),0,IF(Paths!$P$295="Complete",F3185/12*(Paths!$L$295*(1+IF(Paths!$D$295="EV",'Operating costs'!$B$52,'Operating costs'!$B$51))^MAX(0,C3185-1)+Paths!$M$295*(1+'Operating costs'!$B$53)^MAX(0,C3185-1)),"n.a."))</f>
        <v>0</v>
      </c>
      <c r="I3185" s="16">
        <f>IF(NOT(Paths!$C$295=1),0,IF(Paths!$P$295="Complete",IF(IF(Paths!$E$295=0,C3185=0,AND(C3185&gt;0,Paths!$E$295&gt;(C3185-1)*12,Paths!$E$295&lt;=C3185*12)),Paths!$G$295,0),"n.a."))</f>
        <v>0</v>
      </c>
      <c r="J3185" s="16">
        <f>IF(NOT(Paths!$C$295=1),0,IF(Paths!$P$295="Complete",IF(IF(Paths!$E$295=0,C3185=0,AND(C3185&gt;0,Paths!$E$295&gt;(C3185-1)*12,Paths!$E$295&lt;=C3185*12)),Paths!$H$295,0),"n.a."))</f>
        <v>0</v>
      </c>
      <c r="K3185" s="16">
        <f>IF(NOT(Paths!$C$295=1),0,IF(Paths!$P$295="Complete",IF(IF(Paths!$O$295=0,C3185=0,AND(C3185&gt;0,Paths!$O$295&gt;(C3185-1)*12,Paths!$O$295&lt;=C3185*12)),Paths!$N$295,0),"n.a."))</f>
        <v>0</v>
      </c>
      <c r="L3185" s="16">
        <f>IF(NOT(Paths!$C$295=1),0,IF(Paths!$P$295="Complete",IF(C3185=10,Paths!$I$295,0),"n.a."))</f>
        <v>0</v>
      </c>
      <c r="M3185" s="16">
        <f>IF(NOT(Paths!$C$295=1),0,IF(Paths!$P$295="Complete",IF(AND(Paths!$D$295="EV",Paths!$E$295&lt;120,Paths!$E$295+'Operating costs'!$B$65&gt;Paths!$E$295,Paths!$E$295+'Operating costs'!$B$65&lt;=120,IF(Paths!$E$295+'Operating costs'!$B$65=0,C3185=0,AND(C3185&gt;0,Paths!$E$295+'Operating costs'!$B$65&gt;(C3185-1)*12,Paths!$E$295+'Operating costs'!$B$65&lt;=C3185*12))),'Operating costs'!$B$64,0)+IF(AND('Operating costs'!$B$67&gt;0,'Operating costs'!$B$67&lt;=120,OR(Paths!$D$295="ICE",'Operating costs'!$B$67&lt;=Paths!$E$295),IF('Operating costs'!$B$67=0,C3185=0,AND(C3185&gt;0,'Operating costs'!$B$67&gt;(C3185-1)*12,'Operating costs'!$B$67&lt;=C3185*12))),'Operating costs'!$B$66,0),"n.a."))</f>
        <v>0</v>
      </c>
      <c r="N3185" s="16">
        <f>IF(NOT(Paths!$C$295=1),0,IF(Paths!$P$295="Complete",SUM(G3185:I3185)-J3185-K3185-L3185+M3185+IF(C3185=0,Paths!$F$295,0)+IF(IF(Paths!$E$295=0,C3185=0,AND(C3185&gt;0,Paths!$E$295&gt;(C3185-1)*12,Paths!$E$295&lt;=C3185*12)),VLOOKUP(A3185,'Fleet register'!$A$7:$S$106,16,FALSE),0),"n.a."))</f>
        <v>0</v>
      </c>
      <c r="O3185" s="16">
        <f>IF(NOT(Paths!$C$295=1),0,IF(Paths!$P$295="Complete",N3185-IF(C3185=0,Paths!$F$295,0),"n.a."))</f>
        <v>0</v>
      </c>
      <c r="P3185" s="16">
        <f>IF(NOT(Paths!$C$295=1),0,IF(Paths!$P$295="Complete",O3185+L3185,"n.a."))</f>
        <v>0</v>
      </c>
      <c r="Q3185" s="16">
        <f>IF(NOT(Paths!$C$295=1),0,IF(Paths!$P$295="Complete",N3185*(1+'Operating costs'!$B$54)^-C3185,"n.a."))</f>
        <v>0</v>
      </c>
      <c r="R3185" s="16">
        <f>IF(NOT(Paths!$C$295=1),0,IF(Paths!$P$295="Complete",IF(AND(C3185=0,Paths!$E$295=0),I3185-J3185-K3185+VLOOKUP(A3185,'Fleet register'!$A$7:$S$106,15,FALSE)+VLOOKUP(A3185,'Fleet register'!$A$7:$S$106,16,FALSE),0),"n.a."))</f>
        <v>0</v>
      </c>
      <c r="S3185" s="1">
        <f>IF(NOT(Paths!$C$295=1),0,IF(Paths!$P$295="Complete",IF(C3185=0,0,Paths!$S$295*Paths!$R$295),"n.a."))</f>
        <v>0</v>
      </c>
      <c r="T3185" s="1">
        <f>IF(NOT(Paths!$C$295=1),0,IF(Paths!$P$295="Complete",IF(C3185=0,0,VLOOKUP(A3185,'Fleet register'!$A$7:$S$106,9,FALSE)*Paths!$R$295),"n.a."))</f>
        <v>0</v>
      </c>
    </row>
    <row r="3186" spans="1:20" ht="24" customHeight="1">
      <c r="A3186" s="1" t="str">
        <f>Paths!$A$296</f>
        <v>T073</v>
      </c>
      <c r="B3186" s="1">
        <f>Paths!$B$296</f>
        <v>1</v>
      </c>
      <c r="C3186" s="1">
        <v>0</v>
      </c>
      <c r="D3186" s="1">
        <v>296</v>
      </c>
      <c r="E3186" s="1">
        <f>IF(OR(Paths!$C$296=0,C3186=0),0,MAX(0,MIN(C3186*12,Paths!$E$296)-(C3186-1)*12))</f>
        <v>0</v>
      </c>
      <c r="F3186" s="1">
        <f>IF(OR(Paths!$C$296=0,C3186=0),0,12-E3186)</f>
        <v>0</v>
      </c>
      <c r="G3186" s="16">
        <f>IF(NOT(Paths!$C$296=1),0,IF(Paths!$P$296="Complete",E3186/12*(Paths!$J$296*(1+'Operating costs'!$B$51)^MAX(0,C3186-1)+Paths!$K$296*(1+'Operating costs'!$B$53)^MAX(0,C3186-1)),"n.a."))</f>
        <v>0</v>
      </c>
      <c r="H3186" s="16">
        <f>IF(NOT(Paths!$C$296=1),0,IF(Paths!$P$296="Complete",F3186/12*(Paths!$L$296*(1+IF(Paths!$D$296="EV",'Operating costs'!$B$52,'Operating costs'!$B$51))^MAX(0,C3186-1)+Paths!$M$296*(1+'Operating costs'!$B$53)^MAX(0,C3186-1)),"n.a."))</f>
        <v>0</v>
      </c>
      <c r="I3186" s="16">
        <f>IF(NOT(Paths!$C$296=1),0,IF(Paths!$P$296="Complete",IF(IF(Paths!$E$296=0,C3186=0,AND(C3186&gt;0,Paths!$E$296&gt;(C3186-1)*12,Paths!$E$296&lt;=C3186*12)),Paths!$G$296,0),"n.a."))</f>
        <v>0</v>
      </c>
      <c r="J3186" s="16">
        <f>IF(NOT(Paths!$C$296=1),0,IF(Paths!$P$296="Complete",IF(IF(Paths!$E$296=0,C3186=0,AND(C3186&gt;0,Paths!$E$296&gt;(C3186-1)*12,Paths!$E$296&lt;=C3186*12)),Paths!$H$296,0),"n.a."))</f>
        <v>0</v>
      </c>
      <c r="K3186" s="16">
        <f>IF(NOT(Paths!$C$296=1),0,IF(Paths!$P$296="Complete",IF(IF(Paths!$O$296=0,C3186=0,AND(C3186&gt;0,Paths!$O$296&gt;(C3186-1)*12,Paths!$O$296&lt;=C3186*12)),Paths!$N$296,0),"n.a."))</f>
        <v>0</v>
      </c>
      <c r="L3186" s="16">
        <f>IF(NOT(Paths!$C$296=1),0,IF(Paths!$P$296="Complete",IF(C3186=10,Paths!$I$296,0),"n.a."))</f>
        <v>0</v>
      </c>
      <c r="M3186" s="16">
        <f>IF(NOT(Paths!$C$296=1),0,IF(Paths!$P$296="Complete",IF(AND(Paths!$D$296="EV",Paths!$E$296&lt;120,Paths!$E$296+'Operating costs'!$B$65&gt;Paths!$E$296,Paths!$E$296+'Operating costs'!$B$65&lt;=120,IF(Paths!$E$296+'Operating costs'!$B$65=0,C3186=0,AND(C3186&gt;0,Paths!$E$296+'Operating costs'!$B$65&gt;(C3186-1)*12,Paths!$E$296+'Operating costs'!$B$65&lt;=C3186*12))),'Operating costs'!$B$64,0)+IF(AND('Operating costs'!$B$67&gt;0,'Operating costs'!$B$67&lt;=120,OR(Paths!$D$296="ICE",'Operating costs'!$B$67&lt;=Paths!$E$296),IF('Operating costs'!$B$67=0,C3186=0,AND(C3186&gt;0,'Operating costs'!$B$67&gt;(C3186-1)*12,'Operating costs'!$B$67&lt;=C3186*12))),'Operating costs'!$B$66,0),"n.a."))</f>
        <v>0</v>
      </c>
      <c r="N3186" s="16">
        <f>IF(NOT(Paths!$C$296=1),0,IF(Paths!$P$296="Complete",SUM(G3186:I3186)-J3186-K3186-L3186+M3186+IF(C3186=0,Paths!$F$296,0)+IF(IF(Paths!$E$296=0,C3186=0,AND(C3186&gt;0,Paths!$E$296&gt;(C3186-1)*12,Paths!$E$296&lt;=C3186*12)),VLOOKUP(A3186,'Fleet register'!$A$7:$S$106,16,FALSE),0),"n.a."))</f>
        <v>0</v>
      </c>
      <c r="O3186" s="16">
        <f>IF(NOT(Paths!$C$296=1),0,IF(Paths!$P$296="Complete",N3186-IF(C3186=0,Paths!$F$296,0),"n.a."))</f>
        <v>0</v>
      </c>
      <c r="P3186" s="16">
        <f>IF(NOT(Paths!$C$296=1),0,IF(Paths!$P$296="Complete",O3186+L3186,"n.a."))</f>
        <v>0</v>
      </c>
      <c r="Q3186" s="16">
        <f>IF(NOT(Paths!$C$296=1),0,IF(Paths!$P$296="Complete",N3186*(1+'Operating costs'!$B$54)^-C3186,"n.a."))</f>
        <v>0</v>
      </c>
      <c r="R3186" s="16">
        <f>IF(NOT(Paths!$C$296=1),0,IF(Paths!$P$296="Complete",IF(AND(C3186=0,Paths!$E$296=0),I3186-J3186-K3186+VLOOKUP(A3186,'Fleet register'!$A$7:$S$106,15,FALSE)+VLOOKUP(A3186,'Fleet register'!$A$7:$S$106,16,FALSE),0),"n.a."))</f>
        <v>0</v>
      </c>
      <c r="S3186" s="1">
        <f>IF(NOT(Paths!$C$296=1),0,IF(Paths!$P$296="Complete",IF(C3186=0,0,Paths!$S$296*Paths!$R$296),"n.a."))</f>
        <v>0</v>
      </c>
      <c r="T3186" s="1">
        <f>IF(NOT(Paths!$C$296=1),0,IF(Paths!$P$296="Complete",IF(C3186=0,0,VLOOKUP(A3186,'Fleet register'!$A$7:$S$106,9,FALSE)*Paths!$R$296),"n.a."))</f>
        <v>0</v>
      </c>
    </row>
    <row r="3187" spans="1:20" ht="24" customHeight="1">
      <c r="A3187" s="1" t="str">
        <f>Paths!$A$296</f>
        <v>T073</v>
      </c>
      <c r="B3187" s="1">
        <f>Paths!$B$296</f>
        <v>1</v>
      </c>
      <c r="C3187" s="1">
        <v>1</v>
      </c>
      <c r="D3187" s="1">
        <v>296</v>
      </c>
      <c r="E3187" s="1">
        <f>IF(OR(Paths!$C$296=0,C3187=0),0,MAX(0,MIN(C3187*12,Paths!$E$296)-(C3187-1)*12))</f>
        <v>0</v>
      </c>
      <c r="F3187" s="1">
        <f>IF(OR(Paths!$C$296=0,C3187=0),0,12-E3187)</f>
        <v>0</v>
      </c>
      <c r="G3187" s="16">
        <f>IF(NOT(Paths!$C$296=1),0,IF(Paths!$P$296="Complete",E3187/12*(Paths!$J$296*(1+'Operating costs'!$B$51)^MAX(0,C3187-1)+Paths!$K$296*(1+'Operating costs'!$B$53)^MAX(0,C3187-1)),"n.a."))</f>
        <v>0</v>
      </c>
      <c r="H3187" s="16">
        <f>IF(NOT(Paths!$C$296=1),0,IF(Paths!$P$296="Complete",F3187/12*(Paths!$L$296*(1+IF(Paths!$D$296="EV",'Operating costs'!$B$52,'Operating costs'!$B$51))^MAX(0,C3187-1)+Paths!$M$296*(1+'Operating costs'!$B$53)^MAX(0,C3187-1)),"n.a."))</f>
        <v>0</v>
      </c>
      <c r="I3187" s="16">
        <f>IF(NOT(Paths!$C$296=1),0,IF(Paths!$P$296="Complete",IF(IF(Paths!$E$296=0,C3187=0,AND(C3187&gt;0,Paths!$E$296&gt;(C3187-1)*12,Paths!$E$296&lt;=C3187*12)),Paths!$G$296,0),"n.a."))</f>
        <v>0</v>
      </c>
      <c r="J3187" s="16">
        <f>IF(NOT(Paths!$C$296=1),0,IF(Paths!$P$296="Complete",IF(IF(Paths!$E$296=0,C3187=0,AND(C3187&gt;0,Paths!$E$296&gt;(C3187-1)*12,Paths!$E$296&lt;=C3187*12)),Paths!$H$296,0),"n.a."))</f>
        <v>0</v>
      </c>
      <c r="K3187" s="16">
        <f>IF(NOT(Paths!$C$296=1),0,IF(Paths!$P$296="Complete",IF(IF(Paths!$O$296=0,C3187=0,AND(C3187&gt;0,Paths!$O$296&gt;(C3187-1)*12,Paths!$O$296&lt;=C3187*12)),Paths!$N$296,0),"n.a."))</f>
        <v>0</v>
      </c>
      <c r="L3187" s="16">
        <f>IF(NOT(Paths!$C$296=1),0,IF(Paths!$P$296="Complete",IF(C3187=10,Paths!$I$296,0),"n.a."))</f>
        <v>0</v>
      </c>
      <c r="M3187" s="16">
        <f>IF(NOT(Paths!$C$296=1),0,IF(Paths!$P$296="Complete",IF(AND(Paths!$D$296="EV",Paths!$E$296&lt;120,Paths!$E$296+'Operating costs'!$B$65&gt;Paths!$E$296,Paths!$E$296+'Operating costs'!$B$65&lt;=120,IF(Paths!$E$296+'Operating costs'!$B$65=0,C3187=0,AND(C3187&gt;0,Paths!$E$296+'Operating costs'!$B$65&gt;(C3187-1)*12,Paths!$E$296+'Operating costs'!$B$65&lt;=C3187*12))),'Operating costs'!$B$64,0)+IF(AND('Operating costs'!$B$67&gt;0,'Operating costs'!$B$67&lt;=120,OR(Paths!$D$296="ICE",'Operating costs'!$B$67&lt;=Paths!$E$296),IF('Operating costs'!$B$67=0,C3187=0,AND(C3187&gt;0,'Operating costs'!$B$67&gt;(C3187-1)*12,'Operating costs'!$B$67&lt;=C3187*12))),'Operating costs'!$B$66,0),"n.a."))</f>
        <v>0</v>
      </c>
      <c r="N3187" s="16">
        <f>IF(NOT(Paths!$C$296=1),0,IF(Paths!$P$296="Complete",SUM(G3187:I3187)-J3187-K3187-L3187+M3187+IF(C3187=0,Paths!$F$296,0)+IF(IF(Paths!$E$296=0,C3187=0,AND(C3187&gt;0,Paths!$E$296&gt;(C3187-1)*12,Paths!$E$296&lt;=C3187*12)),VLOOKUP(A3187,'Fleet register'!$A$7:$S$106,16,FALSE),0),"n.a."))</f>
        <v>0</v>
      </c>
      <c r="O3187" s="16">
        <f>IF(NOT(Paths!$C$296=1),0,IF(Paths!$P$296="Complete",N3187-IF(C3187=0,Paths!$F$296,0),"n.a."))</f>
        <v>0</v>
      </c>
      <c r="P3187" s="16">
        <f>IF(NOT(Paths!$C$296=1),0,IF(Paths!$P$296="Complete",O3187+L3187,"n.a."))</f>
        <v>0</v>
      </c>
      <c r="Q3187" s="16">
        <f>IF(NOT(Paths!$C$296=1),0,IF(Paths!$P$296="Complete",N3187*(1+'Operating costs'!$B$54)^-C3187,"n.a."))</f>
        <v>0</v>
      </c>
      <c r="R3187" s="16">
        <f>IF(NOT(Paths!$C$296=1),0,IF(Paths!$P$296="Complete",IF(AND(C3187=0,Paths!$E$296=0),I3187-J3187-K3187+VLOOKUP(A3187,'Fleet register'!$A$7:$S$106,15,FALSE)+VLOOKUP(A3187,'Fleet register'!$A$7:$S$106,16,FALSE),0),"n.a."))</f>
        <v>0</v>
      </c>
      <c r="S3187" s="1">
        <f>IF(NOT(Paths!$C$296=1),0,IF(Paths!$P$296="Complete",IF(C3187=0,0,Paths!$S$296*Paths!$R$296),"n.a."))</f>
        <v>0</v>
      </c>
      <c r="T3187" s="1">
        <f>IF(NOT(Paths!$C$296=1),0,IF(Paths!$P$296="Complete",IF(C3187=0,0,VLOOKUP(A3187,'Fleet register'!$A$7:$S$106,9,FALSE)*Paths!$R$296),"n.a."))</f>
        <v>0</v>
      </c>
    </row>
    <row r="3188" spans="1:20" ht="24" customHeight="1">
      <c r="A3188" s="1" t="str">
        <f>Paths!$A$296</f>
        <v>T073</v>
      </c>
      <c r="B3188" s="1">
        <f>Paths!$B$296</f>
        <v>1</v>
      </c>
      <c r="C3188" s="1">
        <v>2</v>
      </c>
      <c r="D3188" s="1">
        <v>296</v>
      </c>
      <c r="E3188" s="1">
        <f>IF(OR(Paths!$C$296=0,C3188=0),0,MAX(0,MIN(C3188*12,Paths!$E$296)-(C3188-1)*12))</f>
        <v>0</v>
      </c>
      <c r="F3188" s="1">
        <f>IF(OR(Paths!$C$296=0,C3188=0),0,12-E3188)</f>
        <v>0</v>
      </c>
      <c r="G3188" s="16">
        <f>IF(NOT(Paths!$C$296=1),0,IF(Paths!$P$296="Complete",E3188/12*(Paths!$J$296*(1+'Operating costs'!$B$51)^MAX(0,C3188-1)+Paths!$K$296*(1+'Operating costs'!$B$53)^MAX(0,C3188-1)),"n.a."))</f>
        <v>0</v>
      </c>
      <c r="H3188" s="16">
        <f>IF(NOT(Paths!$C$296=1),0,IF(Paths!$P$296="Complete",F3188/12*(Paths!$L$296*(1+IF(Paths!$D$296="EV",'Operating costs'!$B$52,'Operating costs'!$B$51))^MAX(0,C3188-1)+Paths!$M$296*(1+'Operating costs'!$B$53)^MAX(0,C3188-1)),"n.a."))</f>
        <v>0</v>
      </c>
      <c r="I3188" s="16">
        <f>IF(NOT(Paths!$C$296=1),0,IF(Paths!$P$296="Complete",IF(IF(Paths!$E$296=0,C3188=0,AND(C3188&gt;0,Paths!$E$296&gt;(C3188-1)*12,Paths!$E$296&lt;=C3188*12)),Paths!$G$296,0),"n.a."))</f>
        <v>0</v>
      </c>
      <c r="J3188" s="16">
        <f>IF(NOT(Paths!$C$296=1),0,IF(Paths!$P$296="Complete",IF(IF(Paths!$E$296=0,C3188=0,AND(C3188&gt;0,Paths!$E$296&gt;(C3188-1)*12,Paths!$E$296&lt;=C3188*12)),Paths!$H$296,0),"n.a."))</f>
        <v>0</v>
      </c>
      <c r="K3188" s="16">
        <f>IF(NOT(Paths!$C$296=1),0,IF(Paths!$P$296="Complete",IF(IF(Paths!$O$296=0,C3188=0,AND(C3188&gt;0,Paths!$O$296&gt;(C3188-1)*12,Paths!$O$296&lt;=C3188*12)),Paths!$N$296,0),"n.a."))</f>
        <v>0</v>
      </c>
      <c r="L3188" s="16">
        <f>IF(NOT(Paths!$C$296=1),0,IF(Paths!$P$296="Complete",IF(C3188=10,Paths!$I$296,0),"n.a."))</f>
        <v>0</v>
      </c>
      <c r="M3188" s="16">
        <f>IF(NOT(Paths!$C$296=1),0,IF(Paths!$P$296="Complete",IF(AND(Paths!$D$296="EV",Paths!$E$296&lt;120,Paths!$E$296+'Operating costs'!$B$65&gt;Paths!$E$296,Paths!$E$296+'Operating costs'!$B$65&lt;=120,IF(Paths!$E$296+'Operating costs'!$B$65=0,C3188=0,AND(C3188&gt;0,Paths!$E$296+'Operating costs'!$B$65&gt;(C3188-1)*12,Paths!$E$296+'Operating costs'!$B$65&lt;=C3188*12))),'Operating costs'!$B$64,0)+IF(AND('Operating costs'!$B$67&gt;0,'Operating costs'!$B$67&lt;=120,OR(Paths!$D$296="ICE",'Operating costs'!$B$67&lt;=Paths!$E$296),IF('Operating costs'!$B$67=0,C3188=0,AND(C3188&gt;0,'Operating costs'!$B$67&gt;(C3188-1)*12,'Operating costs'!$B$67&lt;=C3188*12))),'Operating costs'!$B$66,0),"n.a."))</f>
        <v>0</v>
      </c>
      <c r="N3188" s="16">
        <f>IF(NOT(Paths!$C$296=1),0,IF(Paths!$P$296="Complete",SUM(G3188:I3188)-J3188-K3188-L3188+M3188+IF(C3188=0,Paths!$F$296,0)+IF(IF(Paths!$E$296=0,C3188=0,AND(C3188&gt;0,Paths!$E$296&gt;(C3188-1)*12,Paths!$E$296&lt;=C3188*12)),VLOOKUP(A3188,'Fleet register'!$A$7:$S$106,16,FALSE),0),"n.a."))</f>
        <v>0</v>
      </c>
      <c r="O3188" s="16">
        <f>IF(NOT(Paths!$C$296=1),0,IF(Paths!$P$296="Complete",N3188-IF(C3188=0,Paths!$F$296,0),"n.a."))</f>
        <v>0</v>
      </c>
      <c r="P3188" s="16">
        <f>IF(NOT(Paths!$C$296=1),0,IF(Paths!$P$296="Complete",O3188+L3188,"n.a."))</f>
        <v>0</v>
      </c>
      <c r="Q3188" s="16">
        <f>IF(NOT(Paths!$C$296=1),0,IF(Paths!$P$296="Complete",N3188*(1+'Operating costs'!$B$54)^-C3188,"n.a."))</f>
        <v>0</v>
      </c>
      <c r="R3188" s="16">
        <f>IF(NOT(Paths!$C$296=1),0,IF(Paths!$P$296="Complete",IF(AND(C3188=0,Paths!$E$296=0),I3188-J3188-K3188+VLOOKUP(A3188,'Fleet register'!$A$7:$S$106,15,FALSE)+VLOOKUP(A3188,'Fleet register'!$A$7:$S$106,16,FALSE),0),"n.a."))</f>
        <v>0</v>
      </c>
      <c r="S3188" s="1">
        <f>IF(NOT(Paths!$C$296=1),0,IF(Paths!$P$296="Complete",IF(C3188=0,0,Paths!$S$296*Paths!$R$296),"n.a."))</f>
        <v>0</v>
      </c>
      <c r="T3188" s="1">
        <f>IF(NOT(Paths!$C$296=1),0,IF(Paths!$P$296="Complete",IF(C3188=0,0,VLOOKUP(A3188,'Fleet register'!$A$7:$S$106,9,FALSE)*Paths!$R$296),"n.a."))</f>
        <v>0</v>
      </c>
    </row>
    <row r="3189" spans="1:20" ht="24" customHeight="1">
      <c r="A3189" s="1" t="str">
        <f>Paths!$A$296</f>
        <v>T073</v>
      </c>
      <c r="B3189" s="1">
        <f>Paths!$B$296</f>
        <v>1</v>
      </c>
      <c r="C3189" s="1">
        <v>3</v>
      </c>
      <c r="D3189" s="1">
        <v>296</v>
      </c>
      <c r="E3189" s="1">
        <f>IF(OR(Paths!$C$296=0,C3189=0),0,MAX(0,MIN(C3189*12,Paths!$E$296)-(C3189-1)*12))</f>
        <v>0</v>
      </c>
      <c r="F3189" s="1">
        <f>IF(OR(Paths!$C$296=0,C3189=0),0,12-E3189)</f>
        <v>0</v>
      </c>
      <c r="G3189" s="16">
        <f>IF(NOT(Paths!$C$296=1),0,IF(Paths!$P$296="Complete",E3189/12*(Paths!$J$296*(1+'Operating costs'!$B$51)^MAX(0,C3189-1)+Paths!$K$296*(1+'Operating costs'!$B$53)^MAX(0,C3189-1)),"n.a."))</f>
        <v>0</v>
      </c>
      <c r="H3189" s="16">
        <f>IF(NOT(Paths!$C$296=1),0,IF(Paths!$P$296="Complete",F3189/12*(Paths!$L$296*(1+IF(Paths!$D$296="EV",'Operating costs'!$B$52,'Operating costs'!$B$51))^MAX(0,C3189-1)+Paths!$M$296*(1+'Operating costs'!$B$53)^MAX(0,C3189-1)),"n.a."))</f>
        <v>0</v>
      </c>
      <c r="I3189" s="16">
        <f>IF(NOT(Paths!$C$296=1),0,IF(Paths!$P$296="Complete",IF(IF(Paths!$E$296=0,C3189=0,AND(C3189&gt;0,Paths!$E$296&gt;(C3189-1)*12,Paths!$E$296&lt;=C3189*12)),Paths!$G$296,0),"n.a."))</f>
        <v>0</v>
      </c>
      <c r="J3189" s="16">
        <f>IF(NOT(Paths!$C$296=1),0,IF(Paths!$P$296="Complete",IF(IF(Paths!$E$296=0,C3189=0,AND(C3189&gt;0,Paths!$E$296&gt;(C3189-1)*12,Paths!$E$296&lt;=C3189*12)),Paths!$H$296,0),"n.a."))</f>
        <v>0</v>
      </c>
      <c r="K3189" s="16">
        <f>IF(NOT(Paths!$C$296=1),0,IF(Paths!$P$296="Complete",IF(IF(Paths!$O$296=0,C3189=0,AND(C3189&gt;0,Paths!$O$296&gt;(C3189-1)*12,Paths!$O$296&lt;=C3189*12)),Paths!$N$296,0),"n.a."))</f>
        <v>0</v>
      </c>
      <c r="L3189" s="16">
        <f>IF(NOT(Paths!$C$296=1),0,IF(Paths!$P$296="Complete",IF(C3189=10,Paths!$I$296,0),"n.a."))</f>
        <v>0</v>
      </c>
      <c r="M3189" s="16">
        <f>IF(NOT(Paths!$C$296=1),0,IF(Paths!$P$296="Complete",IF(AND(Paths!$D$296="EV",Paths!$E$296&lt;120,Paths!$E$296+'Operating costs'!$B$65&gt;Paths!$E$296,Paths!$E$296+'Operating costs'!$B$65&lt;=120,IF(Paths!$E$296+'Operating costs'!$B$65=0,C3189=0,AND(C3189&gt;0,Paths!$E$296+'Operating costs'!$B$65&gt;(C3189-1)*12,Paths!$E$296+'Operating costs'!$B$65&lt;=C3189*12))),'Operating costs'!$B$64,0)+IF(AND('Operating costs'!$B$67&gt;0,'Operating costs'!$B$67&lt;=120,OR(Paths!$D$296="ICE",'Operating costs'!$B$67&lt;=Paths!$E$296),IF('Operating costs'!$B$67=0,C3189=0,AND(C3189&gt;0,'Operating costs'!$B$67&gt;(C3189-1)*12,'Operating costs'!$B$67&lt;=C3189*12))),'Operating costs'!$B$66,0),"n.a."))</f>
        <v>0</v>
      </c>
      <c r="N3189" s="16">
        <f>IF(NOT(Paths!$C$296=1),0,IF(Paths!$P$296="Complete",SUM(G3189:I3189)-J3189-K3189-L3189+M3189+IF(C3189=0,Paths!$F$296,0)+IF(IF(Paths!$E$296=0,C3189=0,AND(C3189&gt;0,Paths!$E$296&gt;(C3189-1)*12,Paths!$E$296&lt;=C3189*12)),VLOOKUP(A3189,'Fleet register'!$A$7:$S$106,16,FALSE),0),"n.a."))</f>
        <v>0</v>
      </c>
      <c r="O3189" s="16">
        <f>IF(NOT(Paths!$C$296=1),0,IF(Paths!$P$296="Complete",N3189-IF(C3189=0,Paths!$F$296,0),"n.a."))</f>
        <v>0</v>
      </c>
      <c r="P3189" s="16">
        <f>IF(NOT(Paths!$C$296=1),0,IF(Paths!$P$296="Complete",O3189+L3189,"n.a."))</f>
        <v>0</v>
      </c>
      <c r="Q3189" s="16">
        <f>IF(NOT(Paths!$C$296=1),0,IF(Paths!$P$296="Complete",N3189*(1+'Operating costs'!$B$54)^-C3189,"n.a."))</f>
        <v>0</v>
      </c>
      <c r="R3189" s="16">
        <f>IF(NOT(Paths!$C$296=1),0,IF(Paths!$P$296="Complete",IF(AND(C3189=0,Paths!$E$296=0),I3189-J3189-K3189+VLOOKUP(A3189,'Fleet register'!$A$7:$S$106,15,FALSE)+VLOOKUP(A3189,'Fleet register'!$A$7:$S$106,16,FALSE),0),"n.a."))</f>
        <v>0</v>
      </c>
      <c r="S3189" s="1">
        <f>IF(NOT(Paths!$C$296=1),0,IF(Paths!$P$296="Complete",IF(C3189=0,0,Paths!$S$296*Paths!$R$296),"n.a."))</f>
        <v>0</v>
      </c>
      <c r="T3189" s="1">
        <f>IF(NOT(Paths!$C$296=1),0,IF(Paths!$P$296="Complete",IF(C3189=0,0,VLOOKUP(A3189,'Fleet register'!$A$7:$S$106,9,FALSE)*Paths!$R$296),"n.a."))</f>
        <v>0</v>
      </c>
    </row>
    <row r="3190" spans="1:20" ht="24" customHeight="1">
      <c r="A3190" s="1" t="str">
        <f>Paths!$A$296</f>
        <v>T073</v>
      </c>
      <c r="B3190" s="1">
        <f>Paths!$B$296</f>
        <v>1</v>
      </c>
      <c r="C3190" s="1">
        <v>4</v>
      </c>
      <c r="D3190" s="1">
        <v>296</v>
      </c>
      <c r="E3190" s="1">
        <f>IF(OR(Paths!$C$296=0,C3190=0),0,MAX(0,MIN(C3190*12,Paths!$E$296)-(C3190-1)*12))</f>
        <v>0</v>
      </c>
      <c r="F3190" s="1">
        <f>IF(OR(Paths!$C$296=0,C3190=0),0,12-E3190)</f>
        <v>0</v>
      </c>
      <c r="G3190" s="16">
        <f>IF(NOT(Paths!$C$296=1),0,IF(Paths!$P$296="Complete",E3190/12*(Paths!$J$296*(1+'Operating costs'!$B$51)^MAX(0,C3190-1)+Paths!$K$296*(1+'Operating costs'!$B$53)^MAX(0,C3190-1)),"n.a."))</f>
        <v>0</v>
      </c>
      <c r="H3190" s="16">
        <f>IF(NOT(Paths!$C$296=1),0,IF(Paths!$P$296="Complete",F3190/12*(Paths!$L$296*(1+IF(Paths!$D$296="EV",'Operating costs'!$B$52,'Operating costs'!$B$51))^MAX(0,C3190-1)+Paths!$M$296*(1+'Operating costs'!$B$53)^MAX(0,C3190-1)),"n.a."))</f>
        <v>0</v>
      </c>
      <c r="I3190" s="16">
        <f>IF(NOT(Paths!$C$296=1),0,IF(Paths!$P$296="Complete",IF(IF(Paths!$E$296=0,C3190=0,AND(C3190&gt;0,Paths!$E$296&gt;(C3190-1)*12,Paths!$E$296&lt;=C3190*12)),Paths!$G$296,0),"n.a."))</f>
        <v>0</v>
      </c>
      <c r="J3190" s="16">
        <f>IF(NOT(Paths!$C$296=1),0,IF(Paths!$P$296="Complete",IF(IF(Paths!$E$296=0,C3190=0,AND(C3190&gt;0,Paths!$E$296&gt;(C3190-1)*12,Paths!$E$296&lt;=C3190*12)),Paths!$H$296,0),"n.a."))</f>
        <v>0</v>
      </c>
      <c r="K3190" s="16">
        <f>IF(NOT(Paths!$C$296=1),0,IF(Paths!$P$296="Complete",IF(IF(Paths!$O$296=0,C3190=0,AND(C3190&gt;0,Paths!$O$296&gt;(C3190-1)*12,Paths!$O$296&lt;=C3190*12)),Paths!$N$296,0),"n.a."))</f>
        <v>0</v>
      </c>
      <c r="L3190" s="16">
        <f>IF(NOT(Paths!$C$296=1),0,IF(Paths!$P$296="Complete",IF(C3190=10,Paths!$I$296,0),"n.a."))</f>
        <v>0</v>
      </c>
      <c r="M3190" s="16">
        <f>IF(NOT(Paths!$C$296=1),0,IF(Paths!$P$296="Complete",IF(AND(Paths!$D$296="EV",Paths!$E$296&lt;120,Paths!$E$296+'Operating costs'!$B$65&gt;Paths!$E$296,Paths!$E$296+'Operating costs'!$B$65&lt;=120,IF(Paths!$E$296+'Operating costs'!$B$65=0,C3190=0,AND(C3190&gt;0,Paths!$E$296+'Operating costs'!$B$65&gt;(C3190-1)*12,Paths!$E$296+'Operating costs'!$B$65&lt;=C3190*12))),'Operating costs'!$B$64,0)+IF(AND('Operating costs'!$B$67&gt;0,'Operating costs'!$B$67&lt;=120,OR(Paths!$D$296="ICE",'Operating costs'!$B$67&lt;=Paths!$E$296),IF('Operating costs'!$B$67=0,C3190=0,AND(C3190&gt;0,'Operating costs'!$B$67&gt;(C3190-1)*12,'Operating costs'!$B$67&lt;=C3190*12))),'Operating costs'!$B$66,0),"n.a."))</f>
        <v>0</v>
      </c>
      <c r="N3190" s="16">
        <f>IF(NOT(Paths!$C$296=1),0,IF(Paths!$P$296="Complete",SUM(G3190:I3190)-J3190-K3190-L3190+M3190+IF(C3190=0,Paths!$F$296,0)+IF(IF(Paths!$E$296=0,C3190=0,AND(C3190&gt;0,Paths!$E$296&gt;(C3190-1)*12,Paths!$E$296&lt;=C3190*12)),VLOOKUP(A3190,'Fleet register'!$A$7:$S$106,16,FALSE),0),"n.a."))</f>
        <v>0</v>
      </c>
      <c r="O3190" s="16">
        <f>IF(NOT(Paths!$C$296=1),0,IF(Paths!$P$296="Complete",N3190-IF(C3190=0,Paths!$F$296,0),"n.a."))</f>
        <v>0</v>
      </c>
      <c r="P3190" s="16">
        <f>IF(NOT(Paths!$C$296=1),0,IF(Paths!$P$296="Complete",O3190+L3190,"n.a."))</f>
        <v>0</v>
      </c>
      <c r="Q3190" s="16">
        <f>IF(NOT(Paths!$C$296=1),0,IF(Paths!$P$296="Complete",N3190*(1+'Operating costs'!$B$54)^-C3190,"n.a."))</f>
        <v>0</v>
      </c>
      <c r="R3190" s="16">
        <f>IF(NOT(Paths!$C$296=1),0,IF(Paths!$P$296="Complete",IF(AND(C3190=0,Paths!$E$296=0),I3190-J3190-K3190+VLOOKUP(A3190,'Fleet register'!$A$7:$S$106,15,FALSE)+VLOOKUP(A3190,'Fleet register'!$A$7:$S$106,16,FALSE),0),"n.a."))</f>
        <v>0</v>
      </c>
      <c r="S3190" s="1">
        <f>IF(NOT(Paths!$C$296=1),0,IF(Paths!$P$296="Complete",IF(C3190=0,0,Paths!$S$296*Paths!$R$296),"n.a."))</f>
        <v>0</v>
      </c>
      <c r="T3190" s="1">
        <f>IF(NOT(Paths!$C$296=1),0,IF(Paths!$P$296="Complete",IF(C3190=0,0,VLOOKUP(A3190,'Fleet register'!$A$7:$S$106,9,FALSE)*Paths!$R$296),"n.a."))</f>
        <v>0</v>
      </c>
    </row>
    <row r="3191" spans="1:20" ht="24" customHeight="1">
      <c r="A3191" s="1" t="str">
        <f>Paths!$A$296</f>
        <v>T073</v>
      </c>
      <c r="B3191" s="1">
        <f>Paths!$B$296</f>
        <v>1</v>
      </c>
      <c r="C3191" s="1">
        <v>5</v>
      </c>
      <c r="D3191" s="1">
        <v>296</v>
      </c>
      <c r="E3191" s="1">
        <f>IF(OR(Paths!$C$296=0,C3191=0),0,MAX(0,MIN(C3191*12,Paths!$E$296)-(C3191-1)*12))</f>
        <v>0</v>
      </c>
      <c r="F3191" s="1">
        <f>IF(OR(Paths!$C$296=0,C3191=0),0,12-E3191)</f>
        <v>0</v>
      </c>
      <c r="G3191" s="16">
        <f>IF(NOT(Paths!$C$296=1),0,IF(Paths!$P$296="Complete",E3191/12*(Paths!$J$296*(1+'Operating costs'!$B$51)^MAX(0,C3191-1)+Paths!$K$296*(1+'Operating costs'!$B$53)^MAX(0,C3191-1)),"n.a."))</f>
        <v>0</v>
      </c>
      <c r="H3191" s="16">
        <f>IF(NOT(Paths!$C$296=1),0,IF(Paths!$P$296="Complete",F3191/12*(Paths!$L$296*(1+IF(Paths!$D$296="EV",'Operating costs'!$B$52,'Operating costs'!$B$51))^MAX(0,C3191-1)+Paths!$M$296*(1+'Operating costs'!$B$53)^MAX(0,C3191-1)),"n.a."))</f>
        <v>0</v>
      </c>
      <c r="I3191" s="16">
        <f>IF(NOT(Paths!$C$296=1),0,IF(Paths!$P$296="Complete",IF(IF(Paths!$E$296=0,C3191=0,AND(C3191&gt;0,Paths!$E$296&gt;(C3191-1)*12,Paths!$E$296&lt;=C3191*12)),Paths!$G$296,0),"n.a."))</f>
        <v>0</v>
      </c>
      <c r="J3191" s="16">
        <f>IF(NOT(Paths!$C$296=1),0,IF(Paths!$P$296="Complete",IF(IF(Paths!$E$296=0,C3191=0,AND(C3191&gt;0,Paths!$E$296&gt;(C3191-1)*12,Paths!$E$296&lt;=C3191*12)),Paths!$H$296,0),"n.a."))</f>
        <v>0</v>
      </c>
      <c r="K3191" s="16">
        <f>IF(NOT(Paths!$C$296=1),0,IF(Paths!$P$296="Complete",IF(IF(Paths!$O$296=0,C3191=0,AND(C3191&gt;0,Paths!$O$296&gt;(C3191-1)*12,Paths!$O$296&lt;=C3191*12)),Paths!$N$296,0),"n.a."))</f>
        <v>0</v>
      </c>
      <c r="L3191" s="16">
        <f>IF(NOT(Paths!$C$296=1),0,IF(Paths!$P$296="Complete",IF(C3191=10,Paths!$I$296,0),"n.a."))</f>
        <v>0</v>
      </c>
      <c r="M3191" s="16">
        <f>IF(NOT(Paths!$C$296=1),0,IF(Paths!$P$296="Complete",IF(AND(Paths!$D$296="EV",Paths!$E$296&lt;120,Paths!$E$296+'Operating costs'!$B$65&gt;Paths!$E$296,Paths!$E$296+'Operating costs'!$B$65&lt;=120,IF(Paths!$E$296+'Operating costs'!$B$65=0,C3191=0,AND(C3191&gt;0,Paths!$E$296+'Operating costs'!$B$65&gt;(C3191-1)*12,Paths!$E$296+'Operating costs'!$B$65&lt;=C3191*12))),'Operating costs'!$B$64,0)+IF(AND('Operating costs'!$B$67&gt;0,'Operating costs'!$B$67&lt;=120,OR(Paths!$D$296="ICE",'Operating costs'!$B$67&lt;=Paths!$E$296),IF('Operating costs'!$B$67=0,C3191=0,AND(C3191&gt;0,'Operating costs'!$B$67&gt;(C3191-1)*12,'Operating costs'!$B$67&lt;=C3191*12))),'Operating costs'!$B$66,0),"n.a."))</f>
        <v>0</v>
      </c>
      <c r="N3191" s="16">
        <f>IF(NOT(Paths!$C$296=1),0,IF(Paths!$P$296="Complete",SUM(G3191:I3191)-J3191-K3191-L3191+M3191+IF(C3191=0,Paths!$F$296,0)+IF(IF(Paths!$E$296=0,C3191=0,AND(C3191&gt;0,Paths!$E$296&gt;(C3191-1)*12,Paths!$E$296&lt;=C3191*12)),VLOOKUP(A3191,'Fleet register'!$A$7:$S$106,16,FALSE),0),"n.a."))</f>
        <v>0</v>
      </c>
      <c r="O3191" s="16">
        <f>IF(NOT(Paths!$C$296=1),0,IF(Paths!$P$296="Complete",N3191-IF(C3191=0,Paths!$F$296,0),"n.a."))</f>
        <v>0</v>
      </c>
      <c r="P3191" s="16">
        <f>IF(NOT(Paths!$C$296=1),0,IF(Paths!$P$296="Complete",O3191+L3191,"n.a."))</f>
        <v>0</v>
      </c>
      <c r="Q3191" s="16">
        <f>IF(NOT(Paths!$C$296=1),0,IF(Paths!$P$296="Complete",N3191*(1+'Operating costs'!$B$54)^-C3191,"n.a."))</f>
        <v>0</v>
      </c>
      <c r="R3191" s="16">
        <f>IF(NOT(Paths!$C$296=1),0,IF(Paths!$P$296="Complete",IF(AND(C3191=0,Paths!$E$296=0),I3191-J3191-K3191+VLOOKUP(A3191,'Fleet register'!$A$7:$S$106,15,FALSE)+VLOOKUP(A3191,'Fleet register'!$A$7:$S$106,16,FALSE),0),"n.a."))</f>
        <v>0</v>
      </c>
      <c r="S3191" s="1">
        <f>IF(NOT(Paths!$C$296=1),0,IF(Paths!$P$296="Complete",IF(C3191=0,0,Paths!$S$296*Paths!$R$296),"n.a."))</f>
        <v>0</v>
      </c>
      <c r="T3191" s="1">
        <f>IF(NOT(Paths!$C$296=1),0,IF(Paths!$P$296="Complete",IF(C3191=0,0,VLOOKUP(A3191,'Fleet register'!$A$7:$S$106,9,FALSE)*Paths!$R$296),"n.a."))</f>
        <v>0</v>
      </c>
    </row>
    <row r="3192" spans="1:20" ht="24" customHeight="1">
      <c r="A3192" s="1" t="str">
        <f>Paths!$A$296</f>
        <v>T073</v>
      </c>
      <c r="B3192" s="1">
        <f>Paths!$B$296</f>
        <v>1</v>
      </c>
      <c r="C3192" s="1">
        <v>6</v>
      </c>
      <c r="D3192" s="1">
        <v>296</v>
      </c>
      <c r="E3192" s="1">
        <f>IF(OR(Paths!$C$296=0,C3192=0),0,MAX(0,MIN(C3192*12,Paths!$E$296)-(C3192-1)*12))</f>
        <v>0</v>
      </c>
      <c r="F3192" s="1">
        <f>IF(OR(Paths!$C$296=0,C3192=0),0,12-E3192)</f>
        <v>0</v>
      </c>
      <c r="G3192" s="16">
        <f>IF(NOT(Paths!$C$296=1),0,IF(Paths!$P$296="Complete",E3192/12*(Paths!$J$296*(1+'Operating costs'!$B$51)^MAX(0,C3192-1)+Paths!$K$296*(1+'Operating costs'!$B$53)^MAX(0,C3192-1)),"n.a."))</f>
        <v>0</v>
      </c>
      <c r="H3192" s="16">
        <f>IF(NOT(Paths!$C$296=1),0,IF(Paths!$P$296="Complete",F3192/12*(Paths!$L$296*(1+IF(Paths!$D$296="EV",'Operating costs'!$B$52,'Operating costs'!$B$51))^MAX(0,C3192-1)+Paths!$M$296*(1+'Operating costs'!$B$53)^MAX(0,C3192-1)),"n.a."))</f>
        <v>0</v>
      </c>
      <c r="I3192" s="16">
        <f>IF(NOT(Paths!$C$296=1),0,IF(Paths!$P$296="Complete",IF(IF(Paths!$E$296=0,C3192=0,AND(C3192&gt;0,Paths!$E$296&gt;(C3192-1)*12,Paths!$E$296&lt;=C3192*12)),Paths!$G$296,0),"n.a."))</f>
        <v>0</v>
      </c>
      <c r="J3192" s="16">
        <f>IF(NOT(Paths!$C$296=1),0,IF(Paths!$P$296="Complete",IF(IF(Paths!$E$296=0,C3192=0,AND(C3192&gt;0,Paths!$E$296&gt;(C3192-1)*12,Paths!$E$296&lt;=C3192*12)),Paths!$H$296,0),"n.a."))</f>
        <v>0</v>
      </c>
      <c r="K3192" s="16">
        <f>IF(NOT(Paths!$C$296=1),0,IF(Paths!$P$296="Complete",IF(IF(Paths!$O$296=0,C3192=0,AND(C3192&gt;0,Paths!$O$296&gt;(C3192-1)*12,Paths!$O$296&lt;=C3192*12)),Paths!$N$296,0),"n.a."))</f>
        <v>0</v>
      </c>
      <c r="L3192" s="16">
        <f>IF(NOT(Paths!$C$296=1),0,IF(Paths!$P$296="Complete",IF(C3192=10,Paths!$I$296,0),"n.a."))</f>
        <v>0</v>
      </c>
      <c r="M3192" s="16">
        <f>IF(NOT(Paths!$C$296=1),0,IF(Paths!$P$296="Complete",IF(AND(Paths!$D$296="EV",Paths!$E$296&lt;120,Paths!$E$296+'Operating costs'!$B$65&gt;Paths!$E$296,Paths!$E$296+'Operating costs'!$B$65&lt;=120,IF(Paths!$E$296+'Operating costs'!$B$65=0,C3192=0,AND(C3192&gt;0,Paths!$E$296+'Operating costs'!$B$65&gt;(C3192-1)*12,Paths!$E$296+'Operating costs'!$B$65&lt;=C3192*12))),'Operating costs'!$B$64,0)+IF(AND('Operating costs'!$B$67&gt;0,'Operating costs'!$B$67&lt;=120,OR(Paths!$D$296="ICE",'Operating costs'!$B$67&lt;=Paths!$E$296),IF('Operating costs'!$B$67=0,C3192=0,AND(C3192&gt;0,'Operating costs'!$B$67&gt;(C3192-1)*12,'Operating costs'!$B$67&lt;=C3192*12))),'Operating costs'!$B$66,0),"n.a."))</f>
        <v>0</v>
      </c>
      <c r="N3192" s="16">
        <f>IF(NOT(Paths!$C$296=1),0,IF(Paths!$P$296="Complete",SUM(G3192:I3192)-J3192-K3192-L3192+M3192+IF(C3192=0,Paths!$F$296,0)+IF(IF(Paths!$E$296=0,C3192=0,AND(C3192&gt;0,Paths!$E$296&gt;(C3192-1)*12,Paths!$E$296&lt;=C3192*12)),VLOOKUP(A3192,'Fleet register'!$A$7:$S$106,16,FALSE),0),"n.a."))</f>
        <v>0</v>
      </c>
      <c r="O3192" s="16">
        <f>IF(NOT(Paths!$C$296=1),0,IF(Paths!$P$296="Complete",N3192-IF(C3192=0,Paths!$F$296,0),"n.a."))</f>
        <v>0</v>
      </c>
      <c r="P3192" s="16">
        <f>IF(NOT(Paths!$C$296=1),0,IF(Paths!$P$296="Complete",O3192+L3192,"n.a."))</f>
        <v>0</v>
      </c>
      <c r="Q3192" s="16">
        <f>IF(NOT(Paths!$C$296=1),0,IF(Paths!$P$296="Complete",N3192*(1+'Operating costs'!$B$54)^-C3192,"n.a."))</f>
        <v>0</v>
      </c>
      <c r="R3192" s="16">
        <f>IF(NOT(Paths!$C$296=1),0,IF(Paths!$P$296="Complete",IF(AND(C3192=0,Paths!$E$296=0),I3192-J3192-K3192+VLOOKUP(A3192,'Fleet register'!$A$7:$S$106,15,FALSE)+VLOOKUP(A3192,'Fleet register'!$A$7:$S$106,16,FALSE),0),"n.a."))</f>
        <v>0</v>
      </c>
      <c r="S3192" s="1">
        <f>IF(NOT(Paths!$C$296=1),0,IF(Paths!$P$296="Complete",IF(C3192=0,0,Paths!$S$296*Paths!$R$296),"n.a."))</f>
        <v>0</v>
      </c>
      <c r="T3192" s="1">
        <f>IF(NOT(Paths!$C$296=1),0,IF(Paths!$P$296="Complete",IF(C3192=0,0,VLOOKUP(A3192,'Fleet register'!$A$7:$S$106,9,FALSE)*Paths!$R$296),"n.a."))</f>
        <v>0</v>
      </c>
    </row>
    <row r="3193" spans="1:20" ht="24" customHeight="1">
      <c r="A3193" s="1" t="str">
        <f>Paths!$A$296</f>
        <v>T073</v>
      </c>
      <c r="B3193" s="1">
        <f>Paths!$B$296</f>
        <v>1</v>
      </c>
      <c r="C3193" s="1">
        <v>7</v>
      </c>
      <c r="D3193" s="1">
        <v>296</v>
      </c>
      <c r="E3193" s="1">
        <f>IF(OR(Paths!$C$296=0,C3193=0),0,MAX(0,MIN(C3193*12,Paths!$E$296)-(C3193-1)*12))</f>
        <v>0</v>
      </c>
      <c r="F3193" s="1">
        <f>IF(OR(Paths!$C$296=0,C3193=0),0,12-E3193)</f>
        <v>0</v>
      </c>
      <c r="G3193" s="16">
        <f>IF(NOT(Paths!$C$296=1),0,IF(Paths!$P$296="Complete",E3193/12*(Paths!$J$296*(1+'Operating costs'!$B$51)^MAX(0,C3193-1)+Paths!$K$296*(1+'Operating costs'!$B$53)^MAX(0,C3193-1)),"n.a."))</f>
        <v>0</v>
      </c>
      <c r="H3193" s="16">
        <f>IF(NOT(Paths!$C$296=1),0,IF(Paths!$P$296="Complete",F3193/12*(Paths!$L$296*(1+IF(Paths!$D$296="EV",'Operating costs'!$B$52,'Operating costs'!$B$51))^MAX(0,C3193-1)+Paths!$M$296*(1+'Operating costs'!$B$53)^MAX(0,C3193-1)),"n.a."))</f>
        <v>0</v>
      </c>
      <c r="I3193" s="16">
        <f>IF(NOT(Paths!$C$296=1),0,IF(Paths!$P$296="Complete",IF(IF(Paths!$E$296=0,C3193=0,AND(C3193&gt;0,Paths!$E$296&gt;(C3193-1)*12,Paths!$E$296&lt;=C3193*12)),Paths!$G$296,0),"n.a."))</f>
        <v>0</v>
      </c>
      <c r="J3193" s="16">
        <f>IF(NOT(Paths!$C$296=1),0,IF(Paths!$P$296="Complete",IF(IF(Paths!$E$296=0,C3193=0,AND(C3193&gt;0,Paths!$E$296&gt;(C3193-1)*12,Paths!$E$296&lt;=C3193*12)),Paths!$H$296,0),"n.a."))</f>
        <v>0</v>
      </c>
      <c r="K3193" s="16">
        <f>IF(NOT(Paths!$C$296=1),0,IF(Paths!$P$296="Complete",IF(IF(Paths!$O$296=0,C3193=0,AND(C3193&gt;0,Paths!$O$296&gt;(C3193-1)*12,Paths!$O$296&lt;=C3193*12)),Paths!$N$296,0),"n.a."))</f>
        <v>0</v>
      </c>
      <c r="L3193" s="16">
        <f>IF(NOT(Paths!$C$296=1),0,IF(Paths!$P$296="Complete",IF(C3193=10,Paths!$I$296,0),"n.a."))</f>
        <v>0</v>
      </c>
      <c r="M3193" s="16">
        <f>IF(NOT(Paths!$C$296=1),0,IF(Paths!$P$296="Complete",IF(AND(Paths!$D$296="EV",Paths!$E$296&lt;120,Paths!$E$296+'Operating costs'!$B$65&gt;Paths!$E$296,Paths!$E$296+'Operating costs'!$B$65&lt;=120,IF(Paths!$E$296+'Operating costs'!$B$65=0,C3193=0,AND(C3193&gt;0,Paths!$E$296+'Operating costs'!$B$65&gt;(C3193-1)*12,Paths!$E$296+'Operating costs'!$B$65&lt;=C3193*12))),'Operating costs'!$B$64,0)+IF(AND('Operating costs'!$B$67&gt;0,'Operating costs'!$B$67&lt;=120,OR(Paths!$D$296="ICE",'Operating costs'!$B$67&lt;=Paths!$E$296),IF('Operating costs'!$B$67=0,C3193=0,AND(C3193&gt;0,'Operating costs'!$B$67&gt;(C3193-1)*12,'Operating costs'!$B$67&lt;=C3193*12))),'Operating costs'!$B$66,0),"n.a."))</f>
        <v>0</v>
      </c>
      <c r="N3193" s="16">
        <f>IF(NOT(Paths!$C$296=1),0,IF(Paths!$P$296="Complete",SUM(G3193:I3193)-J3193-K3193-L3193+M3193+IF(C3193=0,Paths!$F$296,0)+IF(IF(Paths!$E$296=0,C3193=0,AND(C3193&gt;0,Paths!$E$296&gt;(C3193-1)*12,Paths!$E$296&lt;=C3193*12)),VLOOKUP(A3193,'Fleet register'!$A$7:$S$106,16,FALSE),0),"n.a."))</f>
        <v>0</v>
      </c>
      <c r="O3193" s="16">
        <f>IF(NOT(Paths!$C$296=1),0,IF(Paths!$P$296="Complete",N3193-IF(C3193=0,Paths!$F$296,0),"n.a."))</f>
        <v>0</v>
      </c>
      <c r="P3193" s="16">
        <f>IF(NOT(Paths!$C$296=1),0,IF(Paths!$P$296="Complete",O3193+L3193,"n.a."))</f>
        <v>0</v>
      </c>
      <c r="Q3193" s="16">
        <f>IF(NOT(Paths!$C$296=1),0,IF(Paths!$P$296="Complete",N3193*(1+'Operating costs'!$B$54)^-C3193,"n.a."))</f>
        <v>0</v>
      </c>
      <c r="R3193" s="16">
        <f>IF(NOT(Paths!$C$296=1),0,IF(Paths!$P$296="Complete",IF(AND(C3193=0,Paths!$E$296=0),I3193-J3193-K3193+VLOOKUP(A3193,'Fleet register'!$A$7:$S$106,15,FALSE)+VLOOKUP(A3193,'Fleet register'!$A$7:$S$106,16,FALSE),0),"n.a."))</f>
        <v>0</v>
      </c>
      <c r="S3193" s="1">
        <f>IF(NOT(Paths!$C$296=1),0,IF(Paths!$P$296="Complete",IF(C3193=0,0,Paths!$S$296*Paths!$R$296),"n.a."))</f>
        <v>0</v>
      </c>
      <c r="T3193" s="1">
        <f>IF(NOT(Paths!$C$296=1),0,IF(Paths!$P$296="Complete",IF(C3193=0,0,VLOOKUP(A3193,'Fleet register'!$A$7:$S$106,9,FALSE)*Paths!$R$296),"n.a."))</f>
        <v>0</v>
      </c>
    </row>
    <row r="3194" spans="1:20" ht="24" customHeight="1">
      <c r="A3194" s="1" t="str">
        <f>Paths!$A$296</f>
        <v>T073</v>
      </c>
      <c r="B3194" s="1">
        <f>Paths!$B$296</f>
        <v>1</v>
      </c>
      <c r="C3194" s="1">
        <v>8</v>
      </c>
      <c r="D3194" s="1">
        <v>296</v>
      </c>
      <c r="E3194" s="1">
        <f>IF(OR(Paths!$C$296=0,C3194=0),0,MAX(0,MIN(C3194*12,Paths!$E$296)-(C3194-1)*12))</f>
        <v>0</v>
      </c>
      <c r="F3194" s="1">
        <f>IF(OR(Paths!$C$296=0,C3194=0),0,12-E3194)</f>
        <v>0</v>
      </c>
      <c r="G3194" s="16">
        <f>IF(NOT(Paths!$C$296=1),0,IF(Paths!$P$296="Complete",E3194/12*(Paths!$J$296*(1+'Operating costs'!$B$51)^MAX(0,C3194-1)+Paths!$K$296*(1+'Operating costs'!$B$53)^MAX(0,C3194-1)),"n.a."))</f>
        <v>0</v>
      </c>
      <c r="H3194" s="16">
        <f>IF(NOT(Paths!$C$296=1),0,IF(Paths!$P$296="Complete",F3194/12*(Paths!$L$296*(1+IF(Paths!$D$296="EV",'Operating costs'!$B$52,'Operating costs'!$B$51))^MAX(0,C3194-1)+Paths!$M$296*(1+'Operating costs'!$B$53)^MAX(0,C3194-1)),"n.a."))</f>
        <v>0</v>
      </c>
      <c r="I3194" s="16">
        <f>IF(NOT(Paths!$C$296=1),0,IF(Paths!$P$296="Complete",IF(IF(Paths!$E$296=0,C3194=0,AND(C3194&gt;0,Paths!$E$296&gt;(C3194-1)*12,Paths!$E$296&lt;=C3194*12)),Paths!$G$296,0),"n.a."))</f>
        <v>0</v>
      </c>
      <c r="J3194" s="16">
        <f>IF(NOT(Paths!$C$296=1),0,IF(Paths!$P$296="Complete",IF(IF(Paths!$E$296=0,C3194=0,AND(C3194&gt;0,Paths!$E$296&gt;(C3194-1)*12,Paths!$E$296&lt;=C3194*12)),Paths!$H$296,0),"n.a."))</f>
        <v>0</v>
      </c>
      <c r="K3194" s="16">
        <f>IF(NOT(Paths!$C$296=1),0,IF(Paths!$P$296="Complete",IF(IF(Paths!$O$296=0,C3194=0,AND(C3194&gt;0,Paths!$O$296&gt;(C3194-1)*12,Paths!$O$296&lt;=C3194*12)),Paths!$N$296,0),"n.a."))</f>
        <v>0</v>
      </c>
      <c r="L3194" s="16">
        <f>IF(NOT(Paths!$C$296=1),0,IF(Paths!$P$296="Complete",IF(C3194=10,Paths!$I$296,0),"n.a."))</f>
        <v>0</v>
      </c>
      <c r="M3194" s="16">
        <f>IF(NOT(Paths!$C$296=1),0,IF(Paths!$P$296="Complete",IF(AND(Paths!$D$296="EV",Paths!$E$296&lt;120,Paths!$E$296+'Operating costs'!$B$65&gt;Paths!$E$296,Paths!$E$296+'Operating costs'!$B$65&lt;=120,IF(Paths!$E$296+'Operating costs'!$B$65=0,C3194=0,AND(C3194&gt;0,Paths!$E$296+'Operating costs'!$B$65&gt;(C3194-1)*12,Paths!$E$296+'Operating costs'!$B$65&lt;=C3194*12))),'Operating costs'!$B$64,0)+IF(AND('Operating costs'!$B$67&gt;0,'Operating costs'!$B$67&lt;=120,OR(Paths!$D$296="ICE",'Operating costs'!$B$67&lt;=Paths!$E$296),IF('Operating costs'!$B$67=0,C3194=0,AND(C3194&gt;0,'Operating costs'!$B$67&gt;(C3194-1)*12,'Operating costs'!$B$67&lt;=C3194*12))),'Operating costs'!$B$66,0),"n.a."))</f>
        <v>0</v>
      </c>
      <c r="N3194" s="16">
        <f>IF(NOT(Paths!$C$296=1),0,IF(Paths!$P$296="Complete",SUM(G3194:I3194)-J3194-K3194-L3194+M3194+IF(C3194=0,Paths!$F$296,0)+IF(IF(Paths!$E$296=0,C3194=0,AND(C3194&gt;0,Paths!$E$296&gt;(C3194-1)*12,Paths!$E$296&lt;=C3194*12)),VLOOKUP(A3194,'Fleet register'!$A$7:$S$106,16,FALSE),0),"n.a."))</f>
        <v>0</v>
      </c>
      <c r="O3194" s="16">
        <f>IF(NOT(Paths!$C$296=1),0,IF(Paths!$P$296="Complete",N3194-IF(C3194=0,Paths!$F$296,0),"n.a."))</f>
        <v>0</v>
      </c>
      <c r="P3194" s="16">
        <f>IF(NOT(Paths!$C$296=1),0,IF(Paths!$P$296="Complete",O3194+L3194,"n.a."))</f>
        <v>0</v>
      </c>
      <c r="Q3194" s="16">
        <f>IF(NOT(Paths!$C$296=1),0,IF(Paths!$P$296="Complete",N3194*(1+'Operating costs'!$B$54)^-C3194,"n.a."))</f>
        <v>0</v>
      </c>
      <c r="R3194" s="16">
        <f>IF(NOT(Paths!$C$296=1),0,IF(Paths!$P$296="Complete",IF(AND(C3194=0,Paths!$E$296=0),I3194-J3194-K3194+VLOOKUP(A3194,'Fleet register'!$A$7:$S$106,15,FALSE)+VLOOKUP(A3194,'Fleet register'!$A$7:$S$106,16,FALSE),0),"n.a."))</f>
        <v>0</v>
      </c>
      <c r="S3194" s="1">
        <f>IF(NOT(Paths!$C$296=1),0,IF(Paths!$P$296="Complete",IF(C3194=0,0,Paths!$S$296*Paths!$R$296),"n.a."))</f>
        <v>0</v>
      </c>
      <c r="T3194" s="1">
        <f>IF(NOT(Paths!$C$296=1),0,IF(Paths!$P$296="Complete",IF(C3194=0,0,VLOOKUP(A3194,'Fleet register'!$A$7:$S$106,9,FALSE)*Paths!$R$296),"n.a."))</f>
        <v>0</v>
      </c>
    </row>
    <row r="3195" spans="1:20" ht="24" customHeight="1">
      <c r="A3195" s="1" t="str">
        <f>Paths!$A$296</f>
        <v>T073</v>
      </c>
      <c r="B3195" s="1">
        <f>Paths!$B$296</f>
        <v>1</v>
      </c>
      <c r="C3195" s="1">
        <v>9</v>
      </c>
      <c r="D3195" s="1">
        <v>296</v>
      </c>
      <c r="E3195" s="1">
        <f>IF(OR(Paths!$C$296=0,C3195=0),0,MAX(0,MIN(C3195*12,Paths!$E$296)-(C3195-1)*12))</f>
        <v>0</v>
      </c>
      <c r="F3195" s="1">
        <f>IF(OR(Paths!$C$296=0,C3195=0),0,12-E3195)</f>
        <v>0</v>
      </c>
      <c r="G3195" s="16">
        <f>IF(NOT(Paths!$C$296=1),0,IF(Paths!$P$296="Complete",E3195/12*(Paths!$J$296*(1+'Operating costs'!$B$51)^MAX(0,C3195-1)+Paths!$K$296*(1+'Operating costs'!$B$53)^MAX(0,C3195-1)),"n.a."))</f>
        <v>0</v>
      </c>
      <c r="H3195" s="16">
        <f>IF(NOT(Paths!$C$296=1),0,IF(Paths!$P$296="Complete",F3195/12*(Paths!$L$296*(1+IF(Paths!$D$296="EV",'Operating costs'!$B$52,'Operating costs'!$B$51))^MAX(0,C3195-1)+Paths!$M$296*(1+'Operating costs'!$B$53)^MAX(0,C3195-1)),"n.a."))</f>
        <v>0</v>
      </c>
      <c r="I3195" s="16">
        <f>IF(NOT(Paths!$C$296=1),0,IF(Paths!$P$296="Complete",IF(IF(Paths!$E$296=0,C3195=0,AND(C3195&gt;0,Paths!$E$296&gt;(C3195-1)*12,Paths!$E$296&lt;=C3195*12)),Paths!$G$296,0),"n.a."))</f>
        <v>0</v>
      </c>
      <c r="J3195" s="16">
        <f>IF(NOT(Paths!$C$296=1),0,IF(Paths!$P$296="Complete",IF(IF(Paths!$E$296=0,C3195=0,AND(C3195&gt;0,Paths!$E$296&gt;(C3195-1)*12,Paths!$E$296&lt;=C3195*12)),Paths!$H$296,0),"n.a."))</f>
        <v>0</v>
      </c>
      <c r="K3195" s="16">
        <f>IF(NOT(Paths!$C$296=1),0,IF(Paths!$P$296="Complete",IF(IF(Paths!$O$296=0,C3195=0,AND(C3195&gt;0,Paths!$O$296&gt;(C3195-1)*12,Paths!$O$296&lt;=C3195*12)),Paths!$N$296,0),"n.a."))</f>
        <v>0</v>
      </c>
      <c r="L3195" s="16">
        <f>IF(NOT(Paths!$C$296=1),0,IF(Paths!$P$296="Complete",IF(C3195=10,Paths!$I$296,0),"n.a."))</f>
        <v>0</v>
      </c>
      <c r="M3195" s="16">
        <f>IF(NOT(Paths!$C$296=1),0,IF(Paths!$P$296="Complete",IF(AND(Paths!$D$296="EV",Paths!$E$296&lt;120,Paths!$E$296+'Operating costs'!$B$65&gt;Paths!$E$296,Paths!$E$296+'Operating costs'!$B$65&lt;=120,IF(Paths!$E$296+'Operating costs'!$B$65=0,C3195=0,AND(C3195&gt;0,Paths!$E$296+'Operating costs'!$B$65&gt;(C3195-1)*12,Paths!$E$296+'Operating costs'!$B$65&lt;=C3195*12))),'Operating costs'!$B$64,0)+IF(AND('Operating costs'!$B$67&gt;0,'Operating costs'!$B$67&lt;=120,OR(Paths!$D$296="ICE",'Operating costs'!$B$67&lt;=Paths!$E$296),IF('Operating costs'!$B$67=0,C3195=0,AND(C3195&gt;0,'Operating costs'!$B$67&gt;(C3195-1)*12,'Operating costs'!$B$67&lt;=C3195*12))),'Operating costs'!$B$66,0),"n.a."))</f>
        <v>0</v>
      </c>
      <c r="N3195" s="16">
        <f>IF(NOT(Paths!$C$296=1),0,IF(Paths!$P$296="Complete",SUM(G3195:I3195)-J3195-K3195-L3195+M3195+IF(C3195=0,Paths!$F$296,0)+IF(IF(Paths!$E$296=0,C3195=0,AND(C3195&gt;0,Paths!$E$296&gt;(C3195-1)*12,Paths!$E$296&lt;=C3195*12)),VLOOKUP(A3195,'Fleet register'!$A$7:$S$106,16,FALSE),0),"n.a."))</f>
        <v>0</v>
      </c>
      <c r="O3195" s="16">
        <f>IF(NOT(Paths!$C$296=1),0,IF(Paths!$P$296="Complete",N3195-IF(C3195=0,Paths!$F$296,0),"n.a."))</f>
        <v>0</v>
      </c>
      <c r="P3195" s="16">
        <f>IF(NOT(Paths!$C$296=1),0,IF(Paths!$P$296="Complete",O3195+L3195,"n.a."))</f>
        <v>0</v>
      </c>
      <c r="Q3195" s="16">
        <f>IF(NOT(Paths!$C$296=1),0,IF(Paths!$P$296="Complete",N3195*(1+'Operating costs'!$B$54)^-C3195,"n.a."))</f>
        <v>0</v>
      </c>
      <c r="R3195" s="16">
        <f>IF(NOT(Paths!$C$296=1),0,IF(Paths!$P$296="Complete",IF(AND(C3195=0,Paths!$E$296=0),I3195-J3195-K3195+VLOOKUP(A3195,'Fleet register'!$A$7:$S$106,15,FALSE)+VLOOKUP(A3195,'Fleet register'!$A$7:$S$106,16,FALSE),0),"n.a."))</f>
        <v>0</v>
      </c>
      <c r="S3195" s="1">
        <f>IF(NOT(Paths!$C$296=1),0,IF(Paths!$P$296="Complete",IF(C3195=0,0,Paths!$S$296*Paths!$R$296),"n.a."))</f>
        <v>0</v>
      </c>
      <c r="T3195" s="1">
        <f>IF(NOT(Paths!$C$296=1),0,IF(Paths!$P$296="Complete",IF(C3195=0,0,VLOOKUP(A3195,'Fleet register'!$A$7:$S$106,9,FALSE)*Paths!$R$296),"n.a."))</f>
        <v>0</v>
      </c>
    </row>
    <row r="3196" spans="1:20" ht="24" customHeight="1">
      <c r="A3196" s="1" t="str">
        <f>Paths!$A$296</f>
        <v>T073</v>
      </c>
      <c r="B3196" s="1">
        <f>Paths!$B$296</f>
        <v>1</v>
      </c>
      <c r="C3196" s="1">
        <v>10</v>
      </c>
      <c r="D3196" s="1">
        <v>296</v>
      </c>
      <c r="E3196" s="1">
        <f>IF(OR(Paths!$C$296=0,C3196=0),0,MAX(0,MIN(C3196*12,Paths!$E$296)-(C3196-1)*12))</f>
        <v>0</v>
      </c>
      <c r="F3196" s="1">
        <f>IF(OR(Paths!$C$296=0,C3196=0),0,12-E3196)</f>
        <v>0</v>
      </c>
      <c r="G3196" s="16">
        <f>IF(NOT(Paths!$C$296=1),0,IF(Paths!$P$296="Complete",E3196/12*(Paths!$J$296*(1+'Operating costs'!$B$51)^MAX(0,C3196-1)+Paths!$K$296*(1+'Operating costs'!$B$53)^MAX(0,C3196-1)),"n.a."))</f>
        <v>0</v>
      </c>
      <c r="H3196" s="16">
        <f>IF(NOT(Paths!$C$296=1),0,IF(Paths!$P$296="Complete",F3196/12*(Paths!$L$296*(1+IF(Paths!$D$296="EV",'Operating costs'!$B$52,'Operating costs'!$B$51))^MAX(0,C3196-1)+Paths!$M$296*(1+'Operating costs'!$B$53)^MAX(0,C3196-1)),"n.a."))</f>
        <v>0</v>
      </c>
      <c r="I3196" s="16">
        <f>IF(NOT(Paths!$C$296=1),0,IF(Paths!$P$296="Complete",IF(IF(Paths!$E$296=0,C3196=0,AND(C3196&gt;0,Paths!$E$296&gt;(C3196-1)*12,Paths!$E$296&lt;=C3196*12)),Paths!$G$296,0),"n.a."))</f>
        <v>0</v>
      </c>
      <c r="J3196" s="16">
        <f>IF(NOT(Paths!$C$296=1),0,IF(Paths!$P$296="Complete",IF(IF(Paths!$E$296=0,C3196=0,AND(C3196&gt;0,Paths!$E$296&gt;(C3196-1)*12,Paths!$E$296&lt;=C3196*12)),Paths!$H$296,0),"n.a."))</f>
        <v>0</v>
      </c>
      <c r="K3196" s="16">
        <f>IF(NOT(Paths!$C$296=1),0,IF(Paths!$P$296="Complete",IF(IF(Paths!$O$296=0,C3196=0,AND(C3196&gt;0,Paths!$O$296&gt;(C3196-1)*12,Paths!$O$296&lt;=C3196*12)),Paths!$N$296,0),"n.a."))</f>
        <v>0</v>
      </c>
      <c r="L3196" s="16">
        <f>IF(NOT(Paths!$C$296=1),0,IF(Paths!$P$296="Complete",IF(C3196=10,Paths!$I$296,0),"n.a."))</f>
        <v>0</v>
      </c>
      <c r="M3196" s="16">
        <f>IF(NOT(Paths!$C$296=1),0,IF(Paths!$P$296="Complete",IF(AND(Paths!$D$296="EV",Paths!$E$296&lt;120,Paths!$E$296+'Operating costs'!$B$65&gt;Paths!$E$296,Paths!$E$296+'Operating costs'!$B$65&lt;=120,IF(Paths!$E$296+'Operating costs'!$B$65=0,C3196=0,AND(C3196&gt;0,Paths!$E$296+'Operating costs'!$B$65&gt;(C3196-1)*12,Paths!$E$296+'Operating costs'!$B$65&lt;=C3196*12))),'Operating costs'!$B$64,0)+IF(AND('Operating costs'!$B$67&gt;0,'Operating costs'!$B$67&lt;=120,OR(Paths!$D$296="ICE",'Operating costs'!$B$67&lt;=Paths!$E$296),IF('Operating costs'!$B$67=0,C3196=0,AND(C3196&gt;0,'Operating costs'!$B$67&gt;(C3196-1)*12,'Operating costs'!$B$67&lt;=C3196*12))),'Operating costs'!$B$66,0),"n.a."))</f>
        <v>0</v>
      </c>
      <c r="N3196" s="16">
        <f>IF(NOT(Paths!$C$296=1),0,IF(Paths!$P$296="Complete",SUM(G3196:I3196)-J3196-K3196-L3196+M3196+IF(C3196=0,Paths!$F$296,0)+IF(IF(Paths!$E$296=0,C3196=0,AND(C3196&gt;0,Paths!$E$296&gt;(C3196-1)*12,Paths!$E$296&lt;=C3196*12)),VLOOKUP(A3196,'Fleet register'!$A$7:$S$106,16,FALSE),0),"n.a."))</f>
        <v>0</v>
      </c>
      <c r="O3196" s="16">
        <f>IF(NOT(Paths!$C$296=1),0,IF(Paths!$P$296="Complete",N3196-IF(C3196=0,Paths!$F$296,0),"n.a."))</f>
        <v>0</v>
      </c>
      <c r="P3196" s="16">
        <f>IF(NOT(Paths!$C$296=1),0,IF(Paths!$P$296="Complete",O3196+L3196,"n.a."))</f>
        <v>0</v>
      </c>
      <c r="Q3196" s="16">
        <f>IF(NOT(Paths!$C$296=1),0,IF(Paths!$P$296="Complete",N3196*(1+'Operating costs'!$B$54)^-C3196,"n.a."))</f>
        <v>0</v>
      </c>
      <c r="R3196" s="16">
        <f>IF(NOT(Paths!$C$296=1),0,IF(Paths!$P$296="Complete",IF(AND(C3196=0,Paths!$E$296=0),I3196-J3196-K3196+VLOOKUP(A3196,'Fleet register'!$A$7:$S$106,15,FALSE)+VLOOKUP(A3196,'Fleet register'!$A$7:$S$106,16,FALSE),0),"n.a."))</f>
        <v>0</v>
      </c>
      <c r="S3196" s="1">
        <f>IF(NOT(Paths!$C$296=1),0,IF(Paths!$P$296="Complete",IF(C3196=0,0,Paths!$S$296*Paths!$R$296),"n.a."))</f>
        <v>0</v>
      </c>
      <c r="T3196" s="1">
        <f>IF(NOT(Paths!$C$296=1),0,IF(Paths!$P$296="Complete",IF(C3196=0,0,VLOOKUP(A3196,'Fleet register'!$A$7:$S$106,9,FALSE)*Paths!$R$296),"n.a."))</f>
        <v>0</v>
      </c>
    </row>
    <row r="3197" spans="1:20" ht="24" customHeight="1">
      <c r="A3197" s="1" t="str">
        <f>Paths!$A$297</f>
        <v>T073</v>
      </c>
      <c r="B3197" s="1">
        <f>Paths!$B$297</f>
        <v>2</v>
      </c>
      <c r="C3197" s="1">
        <v>0</v>
      </c>
      <c r="D3197" s="1">
        <v>297</v>
      </c>
      <c r="E3197" s="1">
        <f>IF(OR(Paths!$C$297=0,C3197=0),0,MAX(0,MIN(C3197*12,Paths!$E$297)-(C3197-1)*12))</f>
        <v>0</v>
      </c>
      <c r="F3197" s="1">
        <f>IF(OR(Paths!$C$297=0,C3197=0),0,12-E3197)</f>
        <v>0</v>
      </c>
      <c r="G3197" s="16">
        <f>IF(NOT(Paths!$C$297=1),0,IF(Paths!$P$297="Complete",E3197/12*(Paths!$J$297*(1+'Operating costs'!$B$51)^MAX(0,C3197-1)+Paths!$K$297*(1+'Operating costs'!$B$53)^MAX(0,C3197-1)),"n.a."))</f>
        <v>0</v>
      </c>
      <c r="H3197" s="16">
        <f>IF(NOT(Paths!$C$297=1),0,IF(Paths!$P$297="Complete",F3197/12*(Paths!$L$297*(1+IF(Paths!$D$297="EV",'Operating costs'!$B$52,'Operating costs'!$B$51))^MAX(0,C3197-1)+Paths!$M$297*(1+'Operating costs'!$B$53)^MAX(0,C3197-1)),"n.a."))</f>
        <v>0</v>
      </c>
      <c r="I3197" s="16">
        <f>IF(NOT(Paths!$C$297=1),0,IF(Paths!$P$297="Complete",IF(IF(Paths!$E$297=0,C3197=0,AND(C3197&gt;0,Paths!$E$297&gt;(C3197-1)*12,Paths!$E$297&lt;=C3197*12)),Paths!$G$297,0),"n.a."))</f>
        <v>0</v>
      </c>
      <c r="J3197" s="16">
        <f>IF(NOT(Paths!$C$297=1),0,IF(Paths!$P$297="Complete",IF(IF(Paths!$E$297=0,C3197=0,AND(C3197&gt;0,Paths!$E$297&gt;(C3197-1)*12,Paths!$E$297&lt;=C3197*12)),Paths!$H$297,0),"n.a."))</f>
        <v>0</v>
      </c>
      <c r="K3197" s="16">
        <f>IF(NOT(Paths!$C$297=1),0,IF(Paths!$P$297="Complete",IF(IF(Paths!$O$297=0,C3197=0,AND(C3197&gt;0,Paths!$O$297&gt;(C3197-1)*12,Paths!$O$297&lt;=C3197*12)),Paths!$N$297,0),"n.a."))</f>
        <v>0</v>
      </c>
      <c r="L3197" s="16">
        <f>IF(NOT(Paths!$C$297=1),0,IF(Paths!$P$297="Complete",IF(C3197=10,Paths!$I$297,0),"n.a."))</f>
        <v>0</v>
      </c>
      <c r="M3197" s="16">
        <f>IF(NOT(Paths!$C$297=1),0,IF(Paths!$P$297="Complete",IF(AND(Paths!$D$297="EV",Paths!$E$297&lt;120,Paths!$E$297+'Operating costs'!$B$65&gt;Paths!$E$297,Paths!$E$297+'Operating costs'!$B$65&lt;=120,IF(Paths!$E$297+'Operating costs'!$B$65=0,C3197=0,AND(C3197&gt;0,Paths!$E$297+'Operating costs'!$B$65&gt;(C3197-1)*12,Paths!$E$297+'Operating costs'!$B$65&lt;=C3197*12))),'Operating costs'!$B$64,0)+IF(AND('Operating costs'!$B$67&gt;0,'Operating costs'!$B$67&lt;=120,OR(Paths!$D$297="ICE",'Operating costs'!$B$67&lt;=Paths!$E$297),IF('Operating costs'!$B$67=0,C3197=0,AND(C3197&gt;0,'Operating costs'!$B$67&gt;(C3197-1)*12,'Operating costs'!$B$67&lt;=C3197*12))),'Operating costs'!$B$66,0),"n.a."))</f>
        <v>0</v>
      </c>
      <c r="N3197" s="16">
        <f>IF(NOT(Paths!$C$297=1),0,IF(Paths!$P$297="Complete",SUM(G3197:I3197)-J3197-K3197-L3197+M3197+IF(C3197=0,Paths!$F$297,0)+IF(IF(Paths!$E$297=0,C3197=0,AND(C3197&gt;0,Paths!$E$297&gt;(C3197-1)*12,Paths!$E$297&lt;=C3197*12)),VLOOKUP(A3197,'Fleet register'!$A$7:$S$106,16,FALSE),0),"n.a."))</f>
        <v>0</v>
      </c>
      <c r="O3197" s="16">
        <f>IF(NOT(Paths!$C$297=1),0,IF(Paths!$P$297="Complete",N3197-IF(C3197=0,Paths!$F$297,0),"n.a."))</f>
        <v>0</v>
      </c>
      <c r="P3197" s="16">
        <f>IF(NOT(Paths!$C$297=1),0,IF(Paths!$P$297="Complete",O3197+L3197,"n.a."))</f>
        <v>0</v>
      </c>
      <c r="Q3197" s="16">
        <f>IF(NOT(Paths!$C$297=1),0,IF(Paths!$P$297="Complete",N3197*(1+'Operating costs'!$B$54)^-C3197,"n.a."))</f>
        <v>0</v>
      </c>
      <c r="R3197" s="16">
        <f>IF(NOT(Paths!$C$297=1),0,IF(Paths!$P$297="Complete",IF(AND(C3197=0,Paths!$E$297=0),I3197-J3197-K3197+VLOOKUP(A3197,'Fleet register'!$A$7:$S$106,15,FALSE)+VLOOKUP(A3197,'Fleet register'!$A$7:$S$106,16,FALSE),0),"n.a."))</f>
        <v>0</v>
      </c>
      <c r="S3197" s="1">
        <f>IF(NOT(Paths!$C$297=1),0,IF(Paths!$P$297="Complete",IF(C3197=0,0,Paths!$S$297*Paths!$R$297),"n.a."))</f>
        <v>0</v>
      </c>
      <c r="T3197" s="1">
        <f>IF(NOT(Paths!$C$297=1),0,IF(Paths!$P$297="Complete",IF(C3197=0,0,VLOOKUP(A3197,'Fleet register'!$A$7:$S$106,9,FALSE)*Paths!$R$297),"n.a."))</f>
        <v>0</v>
      </c>
    </row>
    <row r="3198" spans="1:20" ht="24" customHeight="1">
      <c r="A3198" s="1" t="str">
        <f>Paths!$A$297</f>
        <v>T073</v>
      </c>
      <c r="B3198" s="1">
        <f>Paths!$B$297</f>
        <v>2</v>
      </c>
      <c r="C3198" s="1">
        <v>1</v>
      </c>
      <c r="D3198" s="1">
        <v>297</v>
      </c>
      <c r="E3198" s="1">
        <f>IF(OR(Paths!$C$297=0,C3198=0),0,MAX(0,MIN(C3198*12,Paths!$E$297)-(C3198-1)*12))</f>
        <v>0</v>
      </c>
      <c r="F3198" s="1">
        <f>IF(OR(Paths!$C$297=0,C3198=0),0,12-E3198)</f>
        <v>0</v>
      </c>
      <c r="G3198" s="16">
        <f>IF(NOT(Paths!$C$297=1),0,IF(Paths!$P$297="Complete",E3198/12*(Paths!$J$297*(1+'Operating costs'!$B$51)^MAX(0,C3198-1)+Paths!$K$297*(1+'Operating costs'!$B$53)^MAX(0,C3198-1)),"n.a."))</f>
        <v>0</v>
      </c>
      <c r="H3198" s="16">
        <f>IF(NOT(Paths!$C$297=1),0,IF(Paths!$P$297="Complete",F3198/12*(Paths!$L$297*(1+IF(Paths!$D$297="EV",'Operating costs'!$B$52,'Operating costs'!$B$51))^MAX(0,C3198-1)+Paths!$M$297*(1+'Operating costs'!$B$53)^MAX(0,C3198-1)),"n.a."))</f>
        <v>0</v>
      </c>
      <c r="I3198" s="16">
        <f>IF(NOT(Paths!$C$297=1),0,IF(Paths!$P$297="Complete",IF(IF(Paths!$E$297=0,C3198=0,AND(C3198&gt;0,Paths!$E$297&gt;(C3198-1)*12,Paths!$E$297&lt;=C3198*12)),Paths!$G$297,0),"n.a."))</f>
        <v>0</v>
      </c>
      <c r="J3198" s="16">
        <f>IF(NOT(Paths!$C$297=1),0,IF(Paths!$P$297="Complete",IF(IF(Paths!$E$297=0,C3198=0,AND(C3198&gt;0,Paths!$E$297&gt;(C3198-1)*12,Paths!$E$297&lt;=C3198*12)),Paths!$H$297,0),"n.a."))</f>
        <v>0</v>
      </c>
      <c r="K3198" s="16">
        <f>IF(NOT(Paths!$C$297=1),0,IF(Paths!$P$297="Complete",IF(IF(Paths!$O$297=0,C3198=0,AND(C3198&gt;0,Paths!$O$297&gt;(C3198-1)*12,Paths!$O$297&lt;=C3198*12)),Paths!$N$297,0),"n.a."))</f>
        <v>0</v>
      </c>
      <c r="L3198" s="16">
        <f>IF(NOT(Paths!$C$297=1),0,IF(Paths!$P$297="Complete",IF(C3198=10,Paths!$I$297,0),"n.a."))</f>
        <v>0</v>
      </c>
      <c r="M3198" s="16">
        <f>IF(NOT(Paths!$C$297=1),0,IF(Paths!$P$297="Complete",IF(AND(Paths!$D$297="EV",Paths!$E$297&lt;120,Paths!$E$297+'Operating costs'!$B$65&gt;Paths!$E$297,Paths!$E$297+'Operating costs'!$B$65&lt;=120,IF(Paths!$E$297+'Operating costs'!$B$65=0,C3198=0,AND(C3198&gt;0,Paths!$E$297+'Operating costs'!$B$65&gt;(C3198-1)*12,Paths!$E$297+'Operating costs'!$B$65&lt;=C3198*12))),'Operating costs'!$B$64,0)+IF(AND('Operating costs'!$B$67&gt;0,'Operating costs'!$B$67&lt;=120,OR(Paths!$D$297="ICE",'Operating costs'!$B$67&lt;=Paths!$E$297),IF('Operating costs'!$B$67=0,C3198=0,AND(C3198&gt;0,'Operating costs'!$B$67&gt;(C3198-1)*12,'Operating costs'!$B$67&lt;=C3198*12))),'Operating costs'!$B$66,0),"n.a."))</f>
        <v>0</v>
      </c>
      <c r="N3198" s="16">
        <f>IF(NOT(Paths!$C$297=1),0,IF(Paths!$P$297="Complete",SUM(G3198:I3198)-J3198-K3198-L3198+M3198+IF(C3198=0,Paths!$F$297,0)+IF(IF(Paths!$E$297=0,C3198=0,AND(C3198&gt;0,Paths!$E$297&gt;(C3198-1)*12,Paths!$E$297&lt;=C3198*12)),VLOOKUP(A3198,'Fleet register'!$A$7:$S$106,16,FALSE),0),"n.a."))</f>
        <v>0</v>
      </c>
      <c r="O3198" s="16">
        <f>IF(NOT(Paths!$C$297=1),0,IF(Paths!$P$297="Complete",N3198-IF(C3198=0,Paths!$F$297,0),"n.a."))</f>
        <v>0</v>
      </c>
      <c r="P3198" s="16">
        <f>IF(NOT(Paths!$C$297=1),0,IF(Paths!$P$297="Complete",O3198+L3198,"n.a."))</f>
        <v>0</v>
      </c>
      <c r="Q3198" s="16">
        <f>IF(NOT(Paths!$C$297=1),0,IF(Paths!$P$297="Complete",N3198*(1+'Operating costs'!$B$54)^-C3198,"n.a."))</f>
        <v>0</v>
      </c>
      <c r="R3198" s="16">
        <f>IF(NOT(Paths!$C$297=1),0,IF(Paths!$P$297="Complete",IF(AND(C3198=0,Paths!$E$297=0),I3198-J3198-K3198+VLOOKUP(A3198,'Fleet register'!$A$7:$S$106,15,FALSE)+VLOOKUP(A3198,'Fleet register'!$A$7:$S$106,16,FALSE),0),"n.a."))</f>
        <v>0</v>
      </c>
      <c r="S3198" s="1">
        <f>IF(NOT(Paths!$C$297=1),0,IF(Paths!$P$297="Complete",IF(C3198=0,0,Paths!$S$297*Paths!$R$297),"n.a."))</f>
        <v>0</v>
      </c>
      <c r="T3198" s="1">
        <f>IF(NOT(Paths!$C$297=1),0,IF(Paths!$P$297="Complete",IF(C3198=0,0,VLOOKUP(A3198,'Fleet register'!$A$7:$S$106,9,FALSE)*Paths!$R$297),"n.a."))</f>
        <v>0</v>
      </c>
    </row>
    <row r="3199" spans="1:20" ht="24" customHeight="1">
      <c r="A3199" s="1" t="str">
        <f>Paths!$A$297</f>
        <v>T073</v>
      </c>
      <c r="B3199" s="1">
        <f>Paths!$B$297</f>
        <v>2</v>
      </c>
      <c r="C3199" s="1">
        <v>2</v>
      </c>
      <c r="D3199" s="1">
        <v>297</v>
      </c>
      <c r="E3199" s="1">
        <f>IF(OR(Paths!$C$297=0,C3199=0),0,MAX(0,MIN(C3199*12,Paths!$E$297)-(C3199-1)*12))</f>
        <v>0</v>
      </c>
      <c r="F3199" s="1">
        <f>IF(OR(Paths!$C$297=0,C3199=0),0,12-E3199)</f>
        <v>0</v>
      </c>
      <c r="G3199" s="16">
        <f>IF(NOT(Paths!$C$297=1),0,IF(Paths!$P$297="Complete",E3199/12*(Paths!$J$297*(1+'Operating costs'!$B$51)^MAX(0,C3199-1)+Paths!$K$297*(1+'Operating costs'!$B$53)^MAX(0,C3199-1)),"n.a."))</f>
        <v>0</v>
      </c>
      <c r="H3199" s="16">
        <f>IF(NOT(Paths!$C$297=1),0,IF(Paths!$P$297="Complete",F3199/12*(Paths!$L$297*(1+IF(Paths!$D$297="EV",'Operating costs'!$B$52,'Operating costs'!$B$51))^MAX(0,C3199-1)+Paths!$M$297*(1+'Operating costs'!$B$53)^MAX(0,C3199-1)),"n.a."))</f>
        <v>0</v>
      </c>
      <c r="I3199" s="16">
        <f>IF(NOT(Paths!$C$297=1),0,IF(Paths!$P$297="Complete",IF(IF(Paths!$E$297=0,C3199=0,AND(C3199&gt;0,Paths!$E$297&gt;(C3199-1)*12,Paths!$E$297&lt;=C3199*12)),Paths!$G$297,0),"n.a."))</f>
        <v>0</v>
      </c>
      <c r="J3199" s="16">
        <f>IF(NOT(Paths!$C$297=1),0,IF(Paths!$P$297="Complete",IF(IF(Paths!$E$297=0,C3199=0,AND(C3199&gt;0,Paths!$E$297&gt;(C3199-1)*12,Paths!$E$297&lt;=C3199*12)),Paths!$H$297,0),"n.a."))</f>
        <v>0</v>
      </c>
      <c r="K3199" s="16">
        <f>IF(NOT(Paths!$C$297=1),0,IF(Paths!$P$297="Complete",IF(IF(Paths!$O$297=0,C3199=0,AND(C3199&gt;0,Paths!$O$297&gt;(C3199-1)*12,Paths!$O$297&lt;=C3199*12)),Paths!$N$297,0),"n.a."))</f>
        <v>0</v>
      </c>
      <c r="L3199" s="16">
        <f>IF(NOT(Paths!$C$297=1),0,IF(Paths!$P$297="Complete",IF(C3199=10,Paths!$I$297,0),"n.a."))</f>
        <v>0</v>
      </c>
      <c r="M3199" s="16">
        <f>IF(NOT(Paths!$C$297=1),0,IF(Paths!$P$297="Complete",IF(AND(Paths!$D$297="EV",Paths!$E$297&lt;120,Paths!$E$297+'Operating costs'!$B$65&gt;Paths!$E$297,Paths!$E$297+'Operating costs'!$B$65&lt;=120,IF(Paths!$E$297+'Operating costs'!$B$65=0,C3199=0,AND(C3199&gt;0,Paths!$E$297+'Operating costs'!$B$65&gt;(C3199-1)*12,Paths!$E$297+'Operating costs'!$B$65&lt;=C3199*12))),'Operating costs'!$B$64,0)+IF(AND('Operating costs'!$B$67&gt;0,'Operating costs'!$B$67&lt;=120,OR(Paths!$D$297="ICE",'Operating costs'!$B$67&lt;=Paths!$E$297),IF('Operating costs'!$B$67=0,C3199=0,AND(C3199&gt;0,'Operating costs'!$B$67&gt;(C3199-1)*12,'Operating costs'!$B$67&lt;=C3199*12))),'Operating costs'!$B$66,0),"n.a."))</f>
        <v>0</v>
      </c>
      <c r="N3199" s="16">
        <f>IF(NOT(Paths!$C$297=1),0,IF(Paths!$P$297="Complete",SUM(G3199:I3199)-J3199-K3199-L3199+M3199+IF(C3199=0,Paths!$F$297,0)+IF(IF(Paths!$E$297=0,C3199=0,AND(C3199&gt;0,Paths!$E$297&gt;(C3199-1)*12,Paths!$E$297&lt;=C3199*12)),VLOOKUP(A3199,'Fleet register'!$A$7:$S$106,16,FALSE),0),"n.a."))</f>
        <v>0</v>
      </c>
      <c r="O3199" s="16">
        <f>IF(NOT(Paths!$C$297=1),0,IF(Paths!$P$297="Complete",N3199-IF(C3199=0,Paths!$F$297,0),"n.a."))</f>
        <v>0</v>
      </c>
      <c r="P3199" s="16">
        <f>IF(NOT(Paths!$C$297=1),0,IF(Paths!$P$297="Complete",O3199+L3199,"n.a."))</f>
        <v>0</v>
      </c>
      <c r="Q3199" s="16">
        <f>IF(NOT(Paths!$C$297=1),0,IF(Paths!$P$297="Complete",N3199*(1+'Operating costs'!$B$54)^-C3199,"n.a."))</f>
        <v>0</v>
      </c>
      <c r="R3199" s="16">
        <f>IF(NOT(Paths!$C$297=1),0,IF(Paths!$P$297="Complete",IF(AND(C3199=0,Paths!$E$297=0),I3199-J3199-K3199+VLOOKUP(A3199,'Fleet register'!$A$7:$S$106,15,FALSE)+VLOOKUP(A3199,'Fleet register'!$A$7:$S$106,16,FALSE),0),"n.a."))</f>
        <v>0</v>
      </c>
      <c r="S3199" s="1">
        <f>IF(NOT(Paths!$C$297=1),0,IF(Paths!$P$297="Complete",IF(C3199=0,0,Paths!$S$297*Paths!$R$297),"n.a."))</f>
        <v>0</v>
      </c>
      <c r="T3199" s="1">
        <f>IF(NOT(Paths!$C$297=1),0,IF(Paths!$P$297="Complete",IF(C3199=0,0,VLOOKUP(A3199,'Fleet register'!$A$7:$S$106,9,FALSE)*Paths!$R$297),"n.a."))</f>
        <v>0</v>
      </c>
    </row>
    <row r="3200" spans="1:20" ht="24" customHeight="1">
      <c r="A3200" s="1" t="str">
        <f>Paths!$A$297</f>
        <v>T073</v>
      </c>
      <c r="B3200" s="1">
        <f>Paths!$B$297</f>
        <v>2</v>
      </c>
      <c r="C3200" s="1">
        <v>3</v>
      </c>
      <c r="D3200" s="1">
        <v>297</v>
      </c>
      <c r="E3200" s="1">
        <f>IF(OR(Paths!$C$297=0,C3200=0),0,MAX(0,MIN(C3200*12,Paths!$E$297)-(C3200-1)*12))</f>
        <v>0</v>
      </c>
      <c r="F3200" s="1">
        <f>IF(OR(Paths!$C$297=0,C3200=0),0,12-E3200)</f>
        <v>0</v>
      </c>
      <c r="G3200" s="16">
        <f>IF(NOT(Paths!$C$297=1),0,IF(Paths!$P$297="Complete",E3200/12*(Paths!$J$297*(1+'Operating costs'!$B$51)^MAX(0,C3200-1)+Paths!$K$297*(1+'Operating costs'!$B$53)^MAX(0,C3200-1)),"n.a."))</f>
        <v>0</v>
      </c>
      <c r="H3200" s="16">
        <f>IF(NOT(Paths!$C$297=1),0,IF(Paths!$P$297="Complete",F3200/12*(Paths!$L$297*(1+IF(Paths!$D$297="EV",'Operating costs'!$B$52,'Operating costs'!$B$51))^MAX(0,C3200-1)+Paths!$M$297*(1+'Operating costs'!$B$53)^MAX(0,C3200-1)),"n.a."))</f>
        <v>0</v>
      </c>
      <c r="I3200" s="16">
        <f>IF(NOT(Paths!$C$297=1),0,IF(Paths!$P$297="Complete",IF(IF(Paths!$E$297=0,C3200=0,AND(C3200&gt;0,Paths!$E$297&gt;(C3200-1)*12,Paths!$E$297&lt;=C3200*12)),Paths!$G$297,0),"n.a."))</f>
        <v>0</v>
      </c>
      <c r="J3200" s="16">
        <f>IF(NOT(Paths!$C$297=1),0,IF(Paths!$P$297="Complete",IF(IF(Paths!$E$297=0,C3200=0,AND(C3200&gt;0,Paths!$E$297&gt;(C3200-1)*12,Paths!$E$297&lt;=C3200*12)),Paths!$H$297,0),"n.a."))</f>
        <v>0</v>
      </c>
      <c r="K3200" s="16">
        <f>IF(NOT(Paths!$C$297=1),0,IF(Paths!$P$297="Complete",IF(IF(Paths!$O$297=0,C3200=0,AND(C3200&gt;0,Paths!$O$297&gt;(C3200-1)*12,Paths!$O$297&lt;=C3200*12)),Paths!$N$297,0),"n.a."))</f>
        <v>0</v>
      </c>
      <c r="L3200" s="16">
        <f>IF(NOT(Paths!$C$297=1),0,IF(Paths!$P$297="Complete",IF(C3200=10,Paths!$I$297,0),"n.a."))</f>
        <v>0</v>
      </c>
      <c r="M3200" s="16">
        <f>IF(NOT(Paths!$C$297=1),0,IF(Paths!$P$297="Complete",IF(AND(Paths!$D$297="EV",Paths!$E$297&lt;120,Paths!$E$297+'Operating costs'!$B$65&gt;Paths!$E$297,Paths!$E$297+'Operating costs'!$B$65&lt;=120,IF(Paths!$E$297+'Operating costs'!$B$65=0,C3200=0,AND(C3200&gt;0,Paths!$E$297+'Operating costs'!$B$65&gt;(C3200-1)*12,Paths!$E$297+'Operating costs'!$B$65&lt;=C3200*12))),'Operating costs'!$B$64,0)+IF(AND('Operating costs'!$B$67&gt;0,'Operating costs'!$B$67&lt;=120,OR(Paths!$D$297="ICE",'Operating costs'!$B$67&lt;=Paths!$E$297),IF('Operating costs'!$B$67=0,C3200=0,AND(C3200&gt;0,'Operating costs'!$B$67&gt;(C3200-1)*12,'Operating costs'!$B$67&lt;=C3200*12))),'Operating costs'!$B$66,0),"n.a."))</f>
        <v>0</v>
      </c>
      <c r="N3200" s="16">
        <f>IF(NOT(Paths!$C$297=1),0,IF(Paths!$P$297="Complete",SUM(G3200:I3200)-J3200-K3200-L3200+M3200+IF(C3200=0,Paths!$F$297,0)+IF(IF(Paths!$E$297=0,C3200=0,AND(C3200&gt;0,Paths!$E$297&gt;(C3200-1)*12,Paths!$E$297&lt;=C3200*12)),VLOOKUP(A3200,'Fleet register'!$A$7:$S$106,16,FALSE),0),"n.a."))</f>
        <v>0</v>
      </c>
      <c r="O3200" s="16">
        <f>IF(NOT(Paths!$C$297=1),0,IF(Paths!$P$297="Complete",N3200-IF(C3200=0,Paths!$F$297,0),"n.a."))</f>
        <v>0</v>
      </c>
      <c r="P3200" s="16">
        <f>IF(NOT(Paths!$C$297=1),0,IF(Paths!$P$297="Complete",O3200+L3200,"n.a."))</f>
        <v>0</v>
      </c>
      <c r="Q3200" s="16">
        <f>IF(NOT(Paths!$C$297=1),0,IF(Paths!$P$297="Complete",N3200*(1+'Operating costs'!$B$54)^-C3200,"n.a."))</f>
        <v>0</v>
      </c>
      <c r="R3200" s="16">
        <f>IF(NOT(Paths!$C$297=1),0,IF(Paths!$P$297="Complete",IF(AND(C3200=0,Paths!$E$297=0),I3200-J3200-K3200+VLOOKUP(A3200,'Fleet register'!$A$7:$S$106,15,FALSE)+VLOOKUP(A3200,'Fleet register'!$A$7:$S$106,16,FALSE),0),"n.a."))</f>
        <v>0</v>
      </c>
      <c r="S3200" s="1">
        <f>IF(NOT(Paths!$C$297=1),0,IF(Paths!$P$297="Complete",IF(C3200=0,0,Paths!$S$297*Paths!$R$297),"n.a."))</f>
        <v>0</v>
      </c>
      <c r="T3200" s="1">
        <f>IF(NOT(Paths!$C$297=1),0,IF(Paths!$P$297="Complete",IF(C3200=0,0,VLOOKUP(A3200,'Fleet register'!$A$7:$S$106,9,FALSE)*Paths!$R$297),"n.a."))</f>
        <v>0</v>
      </c>
    </row>
    <row r="3201" spans="1:20" ht="24" customHeight="1">
      <c r="A3201" s="1" t="str">
        <f>Paths!$A$297</f>
        <v>T073</v>
      </c>
      <c r="B3201" s="1">
        <f>Paths!$B$297</f>
        <v>2</v>
      </c>
      <c r="C3201" s="1">
        <v>4</v>
      </c>
      <c r="D3201" s="1">
        <v>297</v>
      </c>
      <c r="E3201" s="1">
        <f>IF(OR(Paths!$C$297=0,C3201=0),0,MAX(0,MIN(C3201*12,Paths!$E$297)-(C3201-1)*12))</f>
        <v>0</v>
      </c>
      <c r="F3201" s="1">
        <f>IF(OR(Paths!$C$297=0,C3201=0),0,12-E3201)</f>
        <v>0</v>
      </c>
      <c r="G3201" s="16">
        <f>IF(NOT(Paths!$C$297=1),0,IF(Paths!$P$297="Complete",E3201/12*(Paths!$J$297*(1+'Operating costs'!$B$51)^MAX(0,C3201-1)+Paths!$K$297*(1+'Operating costs'!$B$53)^MAX(0,C3201-1)),"n.a."))</f>
        <v>0</v>
      </c>
      <c r="H3201" s="16">
        <f>IF(NOT(Paths!$C$297=1),0,IF(Paths!$P$297="Complete",F3201/12*(Paths!$L$297*(1+IF(Paths!$D$297="EV",'Operating costs'!$B$52,'Operating costs'!$B$51))^MAX(0,C3201-1)+Paths!$M$297*(1+'Operating costs'!$B$53)^MAX(0,C3201-1)),"n.a."))</f>
        <v>0</v>
      </c>
      <c r="I3201" s="16">
        <f>IF(NOT(Paths!$C$297=1),0,IF(Paths!$P$297="Complete",IF(IF(Paths!$E$297=0,C3201=0,AND(C3201&gt;0,Paths!$E$297&gt;(C3201-1)*12,Paths!$E$297&lt;=C3201*12)),Paths!$G$297,0),"n.a."))</f>
        <v>0</v>
      </c>
      <c r="J3201" s="16">
        <f>IF(NOT(Paths!$C$297=1),0,IF(Paths!$P$297="Complete",IF(IF(Paths!$E$297=0,C3201=0,AND(C3201&gt;0,Paths!$E$297&gt;(C3201-1)*12,Paths!$E$297&lt;=C3201*12)),Paths!$H$297,0),"n.a."))</f>
        <v>0</v>
      </c>
      <c r="K3201" s="16">
        <f>IF(NOT(Paths!$C$297=1),0,IF(Paths!$P$297="Complete",IF(IF(Paths!$O$297=0,C3201=0,AND(C3201&gt;0,Paths!$O$297&gt;(C3201-1)*12,Paths!$O$297&lt;=C3201*12)),Paths!$N$297,0),"n.a."))</f>
        <v>0</v>
      </c>
      <c r="L3201" s="16">
        <f>IF(NOT(Paths!$C$297=1),0,IF(Paths!$P$297="Complete",IF(C3201=10,Paths!$I$297,0),"n.a."))</f>
        <v>0</v>
      </c>
      <c r="M3201" s="16">
        <f>IF(NOT(Paths!$C$297=1),0,IF(Paths!$P$297="Complete",IF(AND(Paths!$D$297="EV",Paths!$E$297&lt;120,Paths!$E$297+'Operating costs'!$B$65&gt;Paths!$E$297,Paths!$E$297+'Operating costs'!$B$65&lt;=120,IF(Paths!$E$297+'Operating costs'!$B$65=0,C3201=0,AND(C3201&gt;0,Paths!$E$297+'Operating costs'!$B$65&gt;(C3201-1)*12,Paths!$E$297+'Operating costs'!$B$65&lt;=C3201*12))),'Operating costs'!$B$64,0)+IF(AND('Operating costs'!$B$67&gt;0,'Operating costs'!$B$67&lt;=120,OR(Paths!$D$297="ICE",'Operating costs'!$B$67&lt;=Paths!$E$297),IF('Operating costs'!$B$67=0,C3201=0,AND(C3201&gt;0,'Operating costs'!$B$67&gt;(C3201-1)*12,'Operating costs'!$B$67&lt;=C3201*12))),'Operating costs'!$B$66,0),"n.a."))</f>
        <v>0</v>
      </c>
      <c r="N3201" s="16">
        <f>IF(NOT(Paths!$C$297=1),0,IF(Paths!$P$297="Complete",SUM(G3201:I3201)-J3201-K3201-L3201+M3201+IF(C3201=0,Paths!$F$297,0)+IF(IF(Paths!$E$297=0,C3201=0,AND(C3201&gt;0,Paths!$E$297&gt;(C3201-1)*12,Paths!$E$297&lt;=C3201*12)),VLOOKUP(A3201,'Fleet register'!$A$7:$S$106,16,FALSE),0),"n.a."))</f>
        <v>0</v>
      </c>
      <c r="O3201" s="16">
        <f>IF(NOT(Paths!$C$297=1),0,IF(Paths!$P$297="Complete",N3201-IF(C3201=0,Paths!$F$297,0),"n.a."))</f>
        <v>0</v>
      </c>
      <c r="P3201" s="16">
        <f>IF(NOT(Paths!$C$297=1),0,IF(Paths!$P$297="Complete",O3201+L3201,"n.a."))</f>
        <v>0</v>
      </c>
      <c r="Q3201" s="16">
        <f>IF(NOT(Paths!$C$297=1),0,IF(Paths!$P$297="Complete",N3201*(1+'Operating costs'!$B$54)^-C3201,"n.a."))</f>
        <v>0</v>
      </c>
      <c r="R3201" s="16">
        <f>IF(NOT(Paths!$C$297=1),0,IF(Paths!$P$297="Complete",IF(AND(C3201=0,Paths!$E$297=0),I3201-J3201-K3201+VLOOKUP(A3201,'Fleet register'!$A$7:$S$106,15,FALSE)+VLOOKUP(A3201,'Fleet register'!$A$7:$S$106,16,FALSE),0),"n.a."))</f>
        <v>0</v>
      </c>
      <c r="S3201" s="1">
        <f>IF(NOT(Paths!$C$297=1),0,IF(Paths!$P$297="Complete",IF(C3201=0,0,Paths!$S$297*Paths!$R$297),"n.a."))</f>
        <v>0</v>
      </c>
      <c r="T3201" s="1">
        <f>IF(NOT(Paths!$C$297=1),0,IF(Paths!$P$297="Complete",IF(C3201=0,0,VLOOKUP(A3201,'Fleet register'!$A$7:$S$106,9,FALSE)*Paths!$R$297),"n.a."))</f>
        <v>0</v>
      </c>
    </row>
    <row r="3202" spans="1:20" ht="24" customHeight="1">
      <c r="A3202" s="1" t="str">
        <f>Paths!$A$297</f>
        <v>T073</v>
      </c>
      <c r="B3202" s="1">
        <f>Paths!$B$297</f>
        <v>2</v>
      </c>
      <c r="C3202" s="1">
        <v>5</v>
      </c>
      <c r="D3202" s="1">
        <v>297</v>
      </c>
      <c r="E3202" s="1">
        <f>IF(OR(Paths!$C$297=0,C3202=0),0,MAX(0,MIN(C3202*12,Paths!$E$297)-(C3202-1)*12))</f>
        <v>0</v>
      </c>
      <c r="F3202" s="1">
        <f>IF(OR(Paths!$C$297=0,C3202=0),0,12-E3202)</f>
        <v>0</v>
      </c>
      <c r="G3202" s="16">
        <f>IF(NOT(Paths!$C$297=1),0,IF(Paths!$P$297="Complete",E3202/12*(Paths!$J$297*(1+'Operating costs'!$B$51)^MAX(0,C3202-1)+Paths!$K$297*(1+'Operating costs'!$B$53)^MAX(0,C3202-1)),"n.a."))</f>
        <v>0</v>
      </c>
      <c r="H3202" s="16">
        <f>IF(NOT(Paths!$C$297=1),0,IF(Paths!$P$297="Complete",F3202/12*(Paths!$L$297*(1+IF(Paths!$D$297="EV",'Operating costs'!$B$52,'Operating costs'!$B$51))^MAX(0,C3202-1)+Paths!$M$297*(1+'Operating costs'!$B$53)^MAX(0,C3202-1)),"n.a."))</f>
        <v>0</v>
      </c>
      <c r="I3202" s="16">
        <f>IF(NOT(Paths!$C$297=1),0,IF(Paths!$P$297="Complete",IF(IF(Paths!$E$297=0,C3202=0,AND(C3202&gt;0,Paths!$E$297&gt;(C3202-1)*12,Paths!$E$297&lt;=C3202*12)),Paths!$G$297,0),"n.a."))</f>
        <v>0</v>
      </c>
      <c r="J3202" s="16">
        <f>IF(NOT(Paths!$C$297=1),0,IF(Paths!$P$297="Complete",IF(IF(Paths!$E$297=0,C3202=0,AND(C3202&gt;0,Paths!$E$297&gt;(C3202-1)*12,Paths!$E$297&lt;=C3202*12)),Paths!$H$297,0),"n.a."))</f>
        <v>0</v>
      </c>
      <c r="K3202" s="16">
        <f>IF(NOT(Paths!$C$297=1),0,IF(Paths!$P$297="Complete",IF(IF(Paths!$O$297=0,C3202=0,AND(C3202&gt;0,Paths!$O$297&gt;(C3202-1)*12,Paths!$O$297&lt;=C3202*12)),Paths!$N$297,0),"n.a."))</f>
        <v>0</v>
      </c>
      <c r="L3202" s="16">
        <f>IF(NOT(Paths!$C$297=1),0,IF(Paths!$P$297="Complete",IF(C3202=10,Paths!$I$297,0),"n.a."))</f>
        <v>0</v>
      </c>
      <c r="M3202" s="16">
        <f>IF(NOT(Paths!$C$297=1),0,IF(Paths!$P$297="Complete",IF(AND(Paths!$D$297="EV",Paths!$E$297&lt;120,Paths!$E$297+'Operating costs'!$B$65&gt;Paths!$E$297,Paths!$E$297+'Operating costs'!$B$65&lt;=120,IF(Paths!$E$297+'Operating costs'!$B$65=0,C3202=0,AND(C3202&gt;0,Paths!$E$297+'Operating costs'!$B$65&gt;(C3202-1)*12,Paths!$E$297+'Operating costs'!$B$65&lt;=C3202*12))),'Operating costs'!$B$64,0)+IF(AND('Operating costs'!$B$67&gt;0,'Operating costs'!$B$67&lt;=120,OR(Paths!$D$297="ICE",'Operating costs'!$B$67&lt;=Paths!$E$297),IF('Operating costs'!$B$67=0,C3202=0,AND(C3202&gt;0,'Operating costs'!$B$67&gt;(C3202-1)*12,'Operating costs'!$B$67&lt;=C3202*12))),'Operating costs'!$B$66,0),"n.a."))</f>
        <v>0</v>
      </c>
      <c r="N3202" s="16">
        <f>IF(NOT(Paths!$C$297=1),0,IF(Paths!$P$297="Complete",SUM(G3202:I3202)-J3202-K3202-L3202+M3202+IF(C3202=0,Paths!$F$297,0)+IF(IF(Paths!$E$297=0,C3202=0,AND(C3202&gt;0,Paths!$E$297&gt;(C3202-1)*12,Paths!$E$297&lt;=C3202*12)),VLOOKUP(A3202,'Fleet register'!$A$7:$S$106,16,FALSE),0),"n.a."))</f>
        <v>0</v>
      </c>
      <c r="O3202" s="16">
        <f>IF(NOT(Paths!$C$297=1),0,IF(Paths!$P$297="Complete",N3202-IF(C3202=0,Paths!$F$297,0),"n.a."))</f>
        <v>0</v>
      </c>
      <c r="P3202" s="16">
        <f>IF(NOT(Paths!$C$297=1),0,IF(Paths!$P$297="Complete",O3202+L3202,"n.a."))</f>
        <v>0</v>
      </c>
      <c r="Q3202" s="16">
        <f>IF(NOT(Paths!$C$297=1),0,IF(Paths!$P$297="Complete",N3202*(1+'Operating costs'!$B$54)^-C3202,"n.a."))</f>
        <v>0</v>
      </c>
      <c r="R3202" s="16">
        <f>IF(NOT(Paths!$C$297=1),0,IF(Paths!$P$297="Complete",IF(AND(C3202=0,Paths!$E$297=0),I3202-J3202-K3202+VLOOKUP(A3202,'Fleet register'!$A$7:$S$106,15,FALSE)+VLOOKUP(A3202,'Fleet register'!$A$7:$S$106,16,FALSE),0),"n.a."))</f>
        <v>0</v>
      </c>
      <c r="S3202" s="1">
        <f>IF(NOT(Paths!$C$297=1),0,IF(Paths!$P$297="Complete",IF(C3202=0,0,Paths!$S$297*Paths!$R$297),"n.a."))</f>
        <v>0</v>
      </c>
      <c r="T3202" s="1">
        <f>IF(NOT(Paths!$C$297=1),0,IF(Paths!$P$297="Complete",IF(C3202=0,0,VLOOKUP(A3202,'Fleet register'!$A$7:$S$106,9,FALSE)*Paths!$R$297),"n.a."))</f>
        <v>0</v>
      </c>
    </row>
    <row r="3203" spans="1:20" ht="24" customHeight="1">
      <c r="A3203" s="1" t="str">
        <f>Paths!$A$297</f>
        <v>T073</v>
      </c>
      <c r="B3203" s="1">
        <f>Paths!$B$297</f>
        <v>2</v>
      </c>
      <c r="C3203" s="1">
        <v>6</v>
      </c>
      <c r="D3203" s="1">
        <v>297</v>
      </c>
      <c r="E3203" s="1">
        <f>IF(OR(Paths!$C$297=0,C3203=0),0,MAX(0,MIN(C3203*12,Paths!$E$297)-(C3203-1)*12))</f>
        <v>0</v>
      </c>
      <c r="F3203" s="1">
        <f>IF(OR(Paths!$C$297=0,C3203=0),0,12-E3203)</f>
        <v>0</v>
      </c>
      <c r="G3203" s="16">
        <f>IF(NOT(Paths!$C$297=1),0,IF(Paths!$P$297="Complete",E3203/12*(Paths!$J$297*(1+'Operating costs'!$B$51)^MAX(0,C3203-1)+Paths!$K$297*(1+'Operating costs'!$B$53)^MAX(0,C3203-1)),"n.a."))</f>
        <v>0</v>
      </c>
      <c r="H3203" s="16">
        <f>IF(NOT(Paths!$C$297=1),0,IF(Paths!$P$297="Complete",F3203/12*(Paths!$L$297*(1+IF(Paths!$D$297="EV",'Operating costs'!$B$52,'Operating costs'!$B$51))^MAX(0,C3203-1)+Paths!$M$297*(1+'Operating costs'!$B$53)^MAX(0,C3203-1)),"n.a."))</f>
        <v>0</v>
      </c>
      <c r="I3203" s="16">
        <f>IF(NOT(Paths!$C$297=1),0,IF(Paths!$P$297="Complete",IF(IF(Paths!$E$297=0,C3203=0,AND(C3203&gt;0,Paths!$E$297&gt;(C3203-1)*12,Paths!$E$297&lt;=C3203*12)),Paths!$G$297,0),"n.a."))</f>
        <v>0</v>
      </c>
      <c r="J3203" s="16">
        <f>IF(NOT(Paths!$C$297=1),0,IF(Paths!$P$297="Complete",IF(IF(Paths!$E$297=0,C3203=0,AND(C3203&gt;0,Paths!$E$297&gt;(C3203-1)*12,Paths!$E$297&lt;=C3203*12)),Paths!$H$297,0),"n.a."))</f>
        <v>0</v>
      </c>
      <c r="K3203" s="16">
        <f>IF(NOT(Paths!$C$297=1),0,IF(Paths!$P$297="Complete",IF(IF(Paths!$O$297=0,C3203=0,AND(C3203&gt;0,Paths!$O$297&gt;(C3203-1)*12,Paths!$O$297&lt;=C3203*12)),Paths!$N$297,0),"n.a."))</f>
        <v>0</v>
      </c>
      <c r="L3203" s="16">
        <f>IF(NOT(Paths!$C$297=1),0,IF(Paths!$P$297="Complete",IF(C3203=10,Paths!$I$297,0),"n.a."))</f>
        <v>0</v>
      </c>
      <c r="M3203" s="16">
        <f>IF(NOT(Paths!$C$297=1),0,IF(Paths!$P$297="Complete",IF(AND(Paths!$D$297="EV",Paths!$E$297&lt;120,Paths!$E$297+'Operating costs'!$B$65&gt;Paths!$E$297,Paths!$E$297+'Operating costs'!$B$65&lt;=120,IF(Paths!$E$297+'Operating costs'!$B$65=0,C3203=0,AND(C3203&gt;0,Paths!$E$297+'Operating costs'!$B$65&gt;(C3203-1)*12,Paths!$E$297+'Operating costs'!$B$65&lt;=C3203*12))),'Operating costs'!$B$64,0)+IF(AND('Operating costs'!$B$67&gt;0,'Operating costs'!$B$67&lt;=120,OR(Paths!$D$297="ICE",'Operating costs'!$B$67&lt;=Paths!$E$297),IF('Operating costs'!$B$67=0,C3203=0,AND(C3203&gt;0,'Operating costs'!$B$67&gt;(C3203-1)*12,'Operating costs'!$B$67&lt;=C3203*12))),'Operating costs'!$B$66,0),"n.a."))</f>
        <v>0</v>
      </c>
      <c r="N3203" s="16">
        <f>IF(NOT(Paths!$C$297=1),0,IF(Paths!$P$297="Complete",SUM(G3203:I3203)-J3203-K3203-L3203+M3203+IF(C3203=0,Paths!$F$297,0)+IF(IF(Paths!$E$297=0,C3203=0,AND(C3203&gt;0,Paths!$E$297&gt;(C3203-1)*12,Paths!$E$297&lt;=C3203*12)),VLOOKUP(A3203,'Fleet register'!$A$7:$S$106,16,FALSE),0),"n.a."))</f>
        <v>0</v>
      </c>
      <c r="O3203" s="16">
        <f>IF(NOT(Paths!$C$297=1),0,IF(Paths!$P$297="Complete",N3203-IF(C3203=0,Paths!$F$297,0),"n.a."))</f>
        <v>0</v>
      </c>
      <c r="P3203" s="16">
        <f>IF(NOT(Paths!$C$297=1),0,IF(Paths!$P$297="Complete",O3203+L3203,"n.a."))</f>
        <v>0</v>
      </c>
      <c r="Q3203" s="16">
        <f>IF(NOT(Paths!$C$297=1),0,IF(Paths!$P$297="Complete",N3203*(1+'Operating costs'!$B$54)^-C3203,"n.a."))</f>
        <v>0</v>
      </c>
      <c r="R3203" s="16">
        <f>IF(NOT(Paths!$C$297=1),0,IF(Paths!$P$297="Complete",IF(AND(C3203=0,Paths!$E$297=0),I3203-J3203-K3203+VLOOKUP(A3203,'Fleet register'!$A$7:$S$106,15,FALSE)+VLOOKUP(A3203,'Fleet register'!$A$7:$S$106,16,FALSE),0),"n.a."))</f>
        <v>0</v>
      </c>
      <c r="S3203" s="1">
        <f>IF(NOT(Paths!$C$297=1),0,IF(Paths!$P$297="Complete",IF(C3203=0,0,Paths!$S$297*Paths!$R$297),"n.a."))</f>
        <v>0</v>
      </c>
      <c r="T3203" s="1">
        <f>IF(NOT(Paths!$C$297=1),0,IF(Paths!$P$297="Complete",IF(C3203=0,0,VLOOKUP(A3203,'Fleet register'!$A$7:$S$106,9,FALSE)*Paths!$R$297),"n.a."))</f>
        <v>0</v>
      </c>
    </row>
    <row r="3204" spans="1:20" ht="24" customHeight="1">
      <c r="A3204" s="1" t="str">
        <f>Paths!$A$297</f>
        <v>T073</v>
      </c>
      <c r="B3204" s="1">
        <f>Paths!$B$297</f>
        <v>2</v>
      </c>
      <c r="C3204" s="1">
        <v>7</v>
      </c>
      <c r="D3204" s="1">
        <v>297</v>
      </c>
      <c r="E3204" s="1">
        <f>IF(OR(Paths!$C$297=0,C3204=0),0,MAX(0,MIN(C3204*12,Paths!$E$297)-(C3204-1)*12))</f>
        <v>0</v>
      </c>
      <c r="F3204" s="1">
        <f>IF(OR(Paths!$C$297=0,C3204=0),0,12-E3204)</f>
        <v>0</v>
      </c>
      <c r="G3204" s="16">
        <f>IF(NOT(Paths!$C$297=1),0,IF(Paths!$P$297="Complete",E3204/12*(Paths!$J$297*(1+'Operating costs'!$B$51)^MAX(0,C3204-1)+Paths!$K$297*(1+'Operating costs'!$B$53)^MAX(0,C3204-1)),"n.a."))</f>
        <v>0</v>
      </c>
      <c r="H3204" s="16">
        <f>IF(NOT(Paths!$C$297=1),0,IF(Paths!$P$297="Complete",F3204/12*(Paths!$L$297*(1+IF(Paths!$D$297="EV",'Operating costs'!$B$52,'Operating costs'!$B$51))^MAX(0,C3204-1)+Paths!$M$297*(1+'Operating costs'!$B$53)^MAX(0,C3204-1)),"n.a."))</f>
        <v>0</v>
      </c>
      <c r="I3204" s="16">
        <f>IF(NOT(Paths!$C$297=1),0,IF(Paths!$P$297="Complete",IF(IF(Paths!$E$297=0,C3204=0,AND(C3204&gt;0,Paths!$E$297&gt;(C3204-1)*12,Paths!$E$297&lt;=C3204*12)),Paths!$G$297,0),"n.a."))</f>
        <v>0</v>
      </c>
      <c r="J3204" s="16">
        <f>IF(NOT(Paths!$C$297=1),0,IF(Paths!$P$297="Complete",IF(IF(Paths!$E$297=0,C3204=0,AND(C3204&gt;0,Paths!$E$297&gt;(C3204-1)*12,Paths!$E$297&lt;=C3204*12)),Paths!$H$297,0),"n.a."))</f>
        <v>0</v>
      </c>
      <c r="K3204" s="16">
        <f>IF(NOT(Paths!$C$297=1),0,IF(Paths!$P$297="Complete",IF(IF(Paths!$O$297=0,C3204=0,AND(C3204&gt;0,Paths!$O$297&gt;(C3204-1)*12,Paths!$O$297&lt;=C3204*12)),Paths!$N$297,0),"n.a."))</f>
        <v>0</v>
      </c>
      <c r="L3204" s="16">
        <f>IF(NOT(Paths!$C$297=1),0,IF(Paths!$P$297="Complete",IF(C3204=10,Paths!$I$297,0),"n.a."))</f>
        <v>0</v>
      </c>
      <c r="M3204" s="16">
        <f>IF(NOT(Paths!$C$297=1),0,IF(Paths!$P$297="Complete",IF(AND(Paths!$D$297="EV",Paths!$E$297&lt;120,Paths!$E$297+'Operating costs'!$B$65&gt;Paths!$E$297,Paths!$E$297+'Operating costs'!$B$65&lt;=120,IF(Paths!$E$297+'Operating costs'!$B$65=0,C3204=0,AND(C3204&gt;0,Paths!$E$297+'Operating costs'!$B$65&gt;(C3204-1)*12,Paths!$E$297+'Operating costs'!$B$65&lt;=C3204*12))),'Operating costs'!$B$64,0)+IF(AND('Operating costs'!$B$67&gt;0,'Operating costs'!$B$67&lt;=120,OR(Paths!$D$297="ICE",'Operating costs'!$B$67&lt;=Paths!$E$297),IF('Operating costs'!$B$67=0,C3204=0,AND(C3204&gt;0,'Operating costs'!$B$67&gt;(C3204-1)*12,'Operating costs'!$B$67&lt;=C3204*12))),'Operating costs'!$B$66,0),"n.a."))</f>
        <v>0</v>
      </c>
      <c r="N3204" s="16">
        <f>IF(NOT(Paths!$C$297=1),0,IF(Paths!$P$297="Complete",SUM(G3204:I3204)-J3204-K3204-L3204+M3204+IF(C3204=0,Paths!$F$297,0)+IF(IF(Paths!$E$297=0,C3204=0,AND(C3204&gt;0,Paths!$E$297&gt;(C3204-1)*12,Paths!$E$297&lt;=C3204*12)),VLOOKUP(A3204,'Fleet register'!$A$7:$S$106,16,FALSE),0),"n.a."))</f>
        <v>0</v>
      </c>
      <c r="O3204" s="16">
        <f>IF(NOT(Paths!$C$297=1),0,IF(Paths!$P$297="Complete",N3204-IF(C3204=0,Paths!$F$297,0),"n.a."))</f>
        <v>0</v>
      </c>
      <c r="P3204" s="16">
        <f>IF(NOT(Paths!$C$297=1),0,IF(Paths!$P$297="Complete",O3204+L3204,"n.a."))</f>
        <v>0</v>
      </c>
      <c r="Q3204" s="16">
        <f>IF(NOT(Paths!$C$297=1),0,IF(Paths!$P$297="Complete",N3204*(1+'Operating costs'!$B$54)^-C3204,"n.a."))</f>
        <v>0</v>
      </c>
      <c r="R3204" s="16">
        <f>IF(NOT(Paths!$C$297=1),0,IF(Paths!$P$297="Complete",IF(AND(C3204=0,Paths!$E$297=0),I3204-J3204-K3204+VLOOKUP(A3204,'Fleet register'!$A$7:$S$106,15,FALSE)+VLOOKUP(A3204,'Fleet register'!$A$7:$S$106,16,FALSE),0),"n.a."))</f>
        <v>0</v>
      </c>
      <c r="S3204" s="1">
        <f>IF(NOT(Paths!$C$297=1),0,IF(Paths!$P$297="Complete",IF(C3204=0,0,Paths!$S$297*Paths!$R$297),"n.a."))</f>
        <v>0</v>
      </c>
      <c r="T3204" s="1">
        <f>IF(NOT(Paths!$C$297=1),0,IF(Paths!$P$297="Complete",IF(C3204=0,0,VLOOKUP(A3204,'Fleet register'!$A$7:$S$106,9,FALSE)*Paths!$R$297),"n.a."))</f>
        <v>0</v>
      </c>
    </row>
    <row r="3205" spans="1:20" ht="24" customHeight="1">
      <c r="A3205" s="1" t="str">
        <f>Paths!$A$297</f>
        <v>T073</v>
      </c>
      <c r="B3205" s="1">
        <f>Paths!$B$297</f>
        <v>2</v>
      </c>
      <c r="C3205" s="1">
        <v>8</v>
      </c>
      <c r="D3205" s="1">
        <v>297</v>
      </c>
      <c r="E3205" s="1">
        <f>IF(OR(Paths!$C$297=0,C3205=0),0,MAX(0,MIN(C3205*12,Paths!$E$297)-(C3205-1)*12))</f>
        <v>0</v>
      </c>
      <c r="F3205" s="1">
        <f>IF(OR(Paths!$C$297=0,C3205=0),0,12-E3205)</f>
        <v>0</v>
      </c>
      <c r="G3205" s="16">
        <f>IF(NOT(Paths!$C$297=1),0,IF(Paths!$P$297="Complete",E3205/12*(Paths!$J$297*(1+'Operating costs'!$B$51)^MAX(0,C3205-1)+Paths!$K$297*(1+'Operating costs'!$B$53)^MAX(0,C3205-1)),"n.a."))</f>
        <v>0</v>
      </c>
      <c r="H3205" s="16">
        <f>IF(NOT(Paths!$C$297=1),0,IF(Paths!$P$297="Complete",F3205/12*(Paths!$L$297*(1+IF(Paths!$D$297="EV",'Operating costs'!$B$52,'Operating costs'!$B$51))^MAX(0,C3205-1)+Paths!$M$297*(1+'Operating costs'!$B$53)^MAX(0,C3205-1)),"n.a."))</f>
        <v>0</v>
      </c>
      <c r="I3205" s="16">
        <f>IF(NOT(Paths!$C$297=1),0,IF(Paths!$P$297="Complete",IF(IF(Paths!$E$297=0,C3205=0,AND(C3205&gt;0,Paths!$E$297&gt;(C3205-1)*12,Paths!$E$297&lt;=C3205*12)),Paths!$G$297,0),"n.a."))</f>
        <v>0</v>
      </c>
      <c r="J3205" s="16">
        <f>IF(NOT(Paths!$C$297=1),0,IF(Paths!$P$297="Complete",IF(IF(Paths!$E$297=0,C3205=0,AND(C3205&gt;0,Paths!$E$297&gt;(C3205-1)*12,Paths!$E$297&lt;=C3205*12)),Paths!$H$297,0),"n.a."))</f>
        <v>0</v>
      </c>
      <c r="K3205" s="16">
        <f>IF(NOT(Paths!$C$297=1),0,IF(Paths!$P$297="Complete",IF(IF(Paths!$O$297=0,C3205=0,AND(C3205&gt;0,Paths!$O$297&gt;(C3205-1)*12,Paths!$O$297&lt;=C3205*12)),Paths!$N$297,0),"n.a."))</f>
        <v>0</v>
      </c>
      <c r="L3205" s="16">
        <f>IF(NOT(Paths!$C$297=1),0,IF(Paths!$P$297="Complete",IF(C3205=10,Paths!$I$297,0),"n.a."))</f>
        <v>0</v>
      </c>
      <c r="M3205" s="16">
        <f>IF(NOT(Paths!$C$297=1),0,IF(Paths!$P$297="Complete",IF(AND(Paths!$D$297="EV",Paths!$E$297&lt;120,Paths!$E$297+'Operating costs'!$B$65&gt;Paths!$E$297,Paths!$E$297+'Operating costs'!$B$65&lt;=120,IF(Paths!$E$297+'Operating costs'!$B$65=0,C3205=0,AND(C3205&gt;0,Paths!$E$297+'Operating costs'!$B$65&gt;(C3205-1)*12,Paths!$E$297+'Operating costs'!$B$65&lt;=C3205*12))),'Operating costs'!$B$64,0)+IF(AND('Operating costs'!$B$67&gt;0,'Operating costs'!$B$67&lt;=120,OR(Paths!$D$297="ICE",'Operating costs'!$B$67&lt;=Paths!$E$297),IF('Operating costs'!$B$67=0,C3205=0,AND(C3205&gt;0,'Operating costs'!$B$67&gt;(C3205-1)*12,'Operating costs'!$B$67&lt;=C3205*12))),'Operating costs'!$B$66,0),"n.a."))</f>
        <v>0</v>
      </c>
      <c r="N3205" s="16">
        <f>IF(NOT(Paths!$C$297=1),0,IF(Paths!$P$297="Complete",SUM(G3205:I3205)-J3205-K3205-L3205+M3205+IF(C3205=0,Paths!$F$297,0)+IF(IF(Paths!$E$297=0,C3205=0,AND(C3205&gt;0,Paths!$E$297&gt;(C3205-1)*12,Paths!$E$297&lt;=C3205*12)),VLOOKUP(A3205,'Fleet register'!$A$7:$S$106,16,FALSE),0),"n.a."))</f>
        <v>0</v>
      </c>
      <c r="O3205" s="16">
        <f>IF(NOT(Paths!$C$297=1),0,IF(Paths!$P$297="Complete",N3205-IF(C3205=0,Paths!$F$297,0),"n.a."))</f>
        <v>0</v>
      </c>
      <c r="P3205" s="16">
        <f>IF(NOT(Paths!$C$297=1),0,IF(Paths!$P$297="Complete",O3205+L3205,"n.a."))</f>
        <v>0</v>
      </c>
      <c r="Q3205" s="16">
        <f>IF(NOT(Paths!$C$297=1),0,IF(Paths!$P$297="Complete",N3205*(1+'Operating costs'!$B$54)^-C3205,"n.a."))</f>
        <v>0</v>
      </c>
      <c r="R3205" s="16">
        <f>IF(NOT(Paths!$C$297=1),0,IF(Paths!$P$297="Complete",IF(AND(C3205=0,Paths!$E$297=0),I3205-J3205-K3205+VLOOKUP(A3205,'Fleet register'!$A$7:$S$106,15,FALSE)+VLOOKUP(A3205,'Fleet register'!$A$7:$S$106,16,FALSE),0),"n.a."))</f>
        <v>0</v>
      </c>
      <c r="S3205" s="1">
        <f>IF(NOT(Paths!$C$297=1),0,IF(Paths!$P$297="Complete",IF(C3205=0,0,Paths!$S$297*Paths!$R$297),"n.a."))</f>
        <v>0</v>
      </c>
      <c r="T3205" s="1">
        <f>IF(NOT(Paths!$C$297=1),0,IF(Paths!$P$297="Complete",IF(C3205=0,0,VLOOKUP(A3205,'Fleet register'!$A$7:$S$106,9,FALSE)*Paths!$R$297),"n.a."))</f>
        <v>0</v>
      </c>
    </row>
    <row r="3206" spans="1:20" ht="24" customHeight="1">
      <c r="A3206" s="1" t="str">
        <f>Paths!$A$297</f>
        <v>T073</v>
      </c>
      <c r="B3206" s="1">
        <f>Paths!$B$297</f>
        <v>2</v>
      </c>
      <c r="C3206" s="1">
        <v>9</v>
      </c>
      <c r="D3206" s="1">
        <v>297</v>
      </c>
      <c r="E3206" s="1">
        <f>IF(OR(Paths!$C$297=0,C3206=0),0,MAX(0,MIN(C3206*12,Paths!$E$297)-(C3206-1)*12))</f>
        <v>0</v>
      </c>
      <c r="F3206" s="1">
        <f>IF(OR(Paths!$C$297=0,C3206=0),0,12-E3206)</f>
        <v>0</v>
      </c>
      <c r="G3206" s="16">
        <f>IF(NOT(Paths!$C$297=1),0,IF(Paths!$P$297="Complete",E3206/12*(Paths!$J$297*(1+'Operating costs'!$B$51)^MAX(0,C3206-1)+Paths!$K$297*(1+'Operating costs'!$B$53)^MAX(0,C3206-1)),"n.a."))</f>
        <v>0</v>
      </c>
      <c r="H3206" s="16">
        <f>IF(NOT(Paths!$C$297=1),0,IF(Paths!$P$297="Complete",F3206/12*(Paths!$L$297*(1+IF(Paths!$D$297="EV",'Operating costs'!$B$52,'Operating costs'!$B$51))^MAX(0,C3206-1)+Paths!$M$297*(1+'Operating costs'!$B$53)^MAX(0,C3206-1)),"n.a."))</f>
        <v>0</v>
      </c>
      <c r="I3206" s="16">
        <f>IF(NOT(Paths!$C$297=1),0,IF(Paths!$P$297="Complete",IF(IF(Paths!$E$297=0,C3206=0,AND(C3206&gt;0,Paths!$E$297&gt;(C3206-1)*12,Paths!$E$297&lt;=C3206*12)),Paths!$G$297,0),"n.a."))</f>
        <v>0</v>
      </c>
      <c r="J3206" s="16">
        <f>IF(NOT(Paths!$C$297=1),0,IF(Paths!$P$297="Complete",IF(IF(Paths!$E$297=0,C3206=0,AND(C3206&gt;0,Paths!$E$297&gt;(C3206-1)*12,Paths!$E$297&lt;=C3206*12)),Paths!$H$297,0),"n.a."))</f>
        <v>0</v>
      </c>
      <c r="K3206" s="16">
        <f>IF(NOT(Paths!$C$297=1),0,IF(Paths!$P$297="Complete",IF(IF(Paths!$O$297=0,C3206=0,AND(C3206&gt;0,Paths!$O$297&gt;(C3206-1)*12,Paths!$O$297&lt;=C3206*12)),Paths!$N$297,0),"n.a."))</f>
        <v>0</v>
      </c>
      <c r="L3206" s="16">
        <f>IF(NOT(Paths!$C$297=1),0,IF(Paths!$P$297="Complete",IF(C3206=10,Paths!$I$297,0),"n.a."))</f>
        <v>0</v>
      </c>
      <c r="M3206" s="16">
        <f>IF(NOT(Paths!$C$297=1),0,IF(Paths!$P$297="Complete",IF(AND(Paths!$D$297="EV",Paths!$E$297&lt;120,Paths!$E$297+'Operating costs'!$B$65&gt;Paths!$E$297,Paths!$E$297+'Operating costs'!$B$65&lt;=120,IF(Paths!$E$297+'Operating costs'!$B$65=0,C3206=0,AND(C3206&gt;0,Paths!$E$297+'Operating costs'!$B$65&gt;(C3206-1)*12,Paths!$E$297+'Operating costs'!$B$65&lt;=C3206*12))),'Operating costs'!$B$64,0)+IF(AND('Operating costs'!$B$67&gt;0,'Operating costs'!$B$67&lt;=120,OR(Paths!$D$297="ICE",'Operating costs'!$B$67&lt;=Paths!$E$297),IF('Operating costs'!$B$67=0,C3206=0,AND(C3206&gt;0,'Operating costs'!$B$67&gt;(C3206-1)*12,'Operating costs'!$B$67&lt;=C3206*12))),'Operating costs'!$B$66,0),"n.a."))</f>
        <v>0</v>
      </c>
      <c r="N3206" s="16">
        <f>IF(NOT(Paths!$C$297=1),0,IF(Paths!$P$297="Complete",SUM(G3206:I3206)-J3206-K3206-L3206+M3206+IF(C3206=0,Paths!$F$297,0)+IF(IF(Paths!$E$297=0,C3206=0,AND(C3206&gt;0,Paths!$E$297&gt;(C3206-1)*12,Paths!$E$297&lt;=C3206*12)),VLOOKUP(A3206,'Fleet register'!$A$7:$S$106,16,FALSE),0),"n.a."))</f>
        <v>0</v>
      </c>
      <c r="O3206" s="16">
        <f>IF(NOT(Paths!$C$297=1),0,IF(Paths!$P$297="Complete",N3206-IF(C3206=0,Paths!$F$297,0),"n.a."))</f>
        <v>0</v>
      </c>
      <c r="P3206" s="16">
        <f>IF(NOT(Paths!$C$297=1),0,IF(Paths!$P$297="Complete",O3206+L3206,"n.a."))</f>
        <v>0</v>
      </c>
      <c r="Q3206" s="16">
        <f>IF(NOT(Paths!$C$297=1),0,IF(Paths!$P$297="Complete",N3206*(1+'Operating costs'!$B$54)^-C3206,"n.a."))</f>
        <v>0</v>
      </c>
      <c r="R3206" s="16">
        <f>IF(NOT(Paths!$C$297=1),0,IF(Paths!$P$297="Complete",IF(AND(C3206=0,Paths!$E$297=0),I3206-J3206-K3206+VLOOKUP(A3206,'Fleet register'!$A$7:$S$106,15,FALSE)+VLOOKUP(A3206,'Fleet register'!$A$7:$S$106,16,FALSE),0),"n.a."))</f>
        <v>0</v>
      </c>
      <c r="S3206" s="1">
        <f>IF(NOT(Paths!$C$297=1),0,IF(Paths!$P$297="Complete",IF(C3206=0,0,Paths!$S$297*Paths!$R$297),"n.a."))</f>
        <v>0</v>
      </c>
      <c r="T3206" s="1">
        <f>IF(NOT(Paths!$C$297=1),0,IF(Paths!$P$297="Complete",IF(C3206=0,0,VLOOKUP(A3206,'Fleet register'!$A$7:$S$106,9,FALSE)*Paths!$R$297),"n.a."))</f>
        <v>0</v>
      </c>
    </row>
    <row r="3207" spans="1:20" ht="24" customHeight="1">
      <c r="A3207" s="1" t="str">
        <f>Paths!$A$297</f>
        <v>T073</v>
      </c>
      <c r="B3207" s="1">
        <f>Paths!$B$297</f>
        <v>2</v>
      </c>
      <c r="C3207" s="1">
        <v>10</v>
      </c>
      <c r="D3207" s="1">
        <v>297</v>
      </c>
      <c r="E3207" s="1">
        <f>IF(OR(Paths!$C$297=0,C3207=0),0,MAX(0,MIN(C3207*12,Paths!$E$297)-(C3207-1)*12))</f>
        <v>0</v>
      </c>
      <c r="F3207" s="1">
        <f>IF(OR(Paths!$C$297=0,C3207=0),0,12-E3207)</f>
        <v>0</v>
      </c>
      <c r="G3207" s="16">
        <f>IF(NOT(Paths!$C$297=1),0,IF(Paths!$P$297="Complete",E3207/12*(Paths!$J$297*(1+'Operating costs'!$B$51)^MAX(0,C3207-1)+Paths!$K$297*(1+'Operating costs'!$B$53)^MAX(0,C3207-1)),"n.a."))</f>
        <v>0</v>
      </c>
      <c r="H3207" s="16">
        <f>IF(NOT(Paths!$C$297=1),0,IF(Paths!$P$297="Complete",F3207/12*(Paths!$L$297*(1+IF(Paths!$D$297="EV",'Operating costs'!$B$52,'Operating costs'!$B$51))^MAX(0,C3207-1)+Paths!$M$297*(1+'Operating costs'!$B$53)^MAX(0,C3207-1)),"n.a."))</f>
        <v>0</v>
      </c>
      <c r="I3207" s="16">
        <f>IF(NOT(Paths!$C$297=1),0,IF(Paths!$P$297="Complete",IF(IF(Paths!$E$297=0,C3207=0,AND(C3207&gt;0,Paths!$E$297&gt;(C3207-1)*12,Paths!$E$297&lt;=C3207*12)),Paths!$G$297,0),"n.a."))</f>
        <v>0</v>
      </c>
      <c r="J3207" s="16">
        <f>IF(NOT(Paths!$C$297=1),0,IF(Paths!$P$297="Complete",IF(IF(Paths!$E$297=0,C3207=0,AND(C3207&gt;0,Paths!$E$297&gt;(C3207-1)*12,Paths!$E$297&lt;=C3207*12)),Paths!$H$297,0),"n.a."))</f>
        <v>0</v>
      </c>
      <c r="K3207" s="16">
        <f>IF(NOT(Paths!$C$297=1),0,IF(Paths!$P$297="Complete",IF(IF(Paths!$O$297=0,C3207=0,AND(C3207&gt;0,Paths!$O$297&gt;(C3207-1)*12,Paths!$O$297&lt;=C3207*12)),Paths!$N$297,0),"n.a."))</f>
        <v>0</v>
      </c>
      <c r="L3207" s="16">
        <f>IF(NOT(Paths!$C$297=1),0,IF(Paths!$P$297="Complete",IF(C3207=10,Paths!$I$297,0),"n.a."))</f>
        <v>0</v>
      </c>
      <c r="M3207" s="16">
        <f>IF(NOT(Paths!$C$297=1),0,IF(Paths!$P$297="Complete",IF(AND(Paths!$D$297="EV",Paths!$E$297&lt;120,Paths!$E$297+'Operating costs'!$B$65&gt;Paths!$E$297,Paths!$E$297+'Operating costs'!$B$65&lt;=120,IF(Paths!$E$297+'Operating costs'!$B$65=0,C3207=0,AND(C3207&gt;0,Paths!$E$297+'Operating costs'!$B$65&gt;(C3207-1)*12,Paths!$E$297+'Operating costs'!$B$65&lt;=C3207*12))),'Operating costs'!$B$64,0)+IF(AND('Operating costs'!$B$67&gt;0,'Operating costs'!$B$67&lt;=120,OR(Paths!$D$297="ICE",'Operating costs'!$B$67&lt;=Paths!$E$297),IF('Operating costs'!$B$67=0,C3207=0,AND(C3207&gt;0,'Operating costs'!$B$67&gt;(C3207-1)*12,'Operating costs'!$B$67&lt;=C3207*12))),'Operating costs'!$B$66,0),"n.a."))</f>
        <v>0</v>
      </c>
      <c r="N3207" s="16">
        <f>IF(NOT(Paths!$C$297=1),0,IF(Paths!$P$297="Complete",SUM(G3207:I3207)-J3207-K3207-L3207+M3207+IF(C3207=0,Paths!$F$297,0)+IF(IF(Paths!$E$297=0,C3207=0,AND(C3207&gt;0,Paths!$E$297&gt;(C3207-1)*12,Paths!$E$297&lt;=C3207*12)),VLOOKUP(A3207,'Fleet register'!$A$7:$S$106,16,FALSE),0),"n.a."))</f>
        <v>0</v>
      </c>
      <c r="O3207" s="16">
        <f>IF(NOT(Paths!$C$297=1),0,IF(Paths!$P$297="Complete",N3207-IF(C3207=0,Paths!$F$297,0),"n.a."))</f>
        <v>0</v>
      </c>
      <c r="P3207" s="16">
        <f>IF(NOT(Paths!$C$297=1),0,IF(Paths!$P$297="Complete",O3207+L3207,"n.a."))</f>
        <v>0</v>
      </c>
      <c r="Q3207" s="16">
        <f>IF(NOT(Paths!$C$297=1),0,IF(Paths!$P$297="Complete",N3207*(1+'Operating costs'!$B$54)^-C3207,"n.a."))</f>
        <v>0</v>
      </c>
      <c r="R3207" s="16">
        <f>IF(NOT(Paths!$C$297=1),0,IF(Paths!$P$297="Complete",IF(AND(C3207=0,Paths!$E$297=0),I3207-J3207-K3207+VLOOKUP(A3207,'Fleet register'!$A$7:$S$106,15,FALSE)+VLOOKUP(A3207,'Fleet register'!$A$7:$S$106,16,FALSE),0),"n.a."))</f>
        <v>0</v>
      </c>
      <c r="S3207" s="1">
        <f>IF(NOT(Paths!$C$297=1),0,IF(Paths!$P$297="Complete",IF(C3207=0,0,Paths!$S$297*Paths!$R$297),"n.a."))</f>
        <v>0</v>
      </c>
      <c r="T3207" s="1">
        <f>IF(NOT(Paths!$C$297=1),0,IF(Paths!$P$297="Complete",IF(C3207=0,0,VLOOKUP(A3207,'Fleet register'!$A$7:$S$106,9,FALSE)*Paths!$R$297),"n.a."))</f>
        <v>0</v>
      </c>
    </row>
    <row r="3208" spans="1:20" ht="24" customHeight="1">
      <c r="A3208" s="1" t="str">
        <f>Paths!$A$298</f>
        <v>T073</v>
      </c>
      <c r="B3208" s="1">
        <f>Paths!$B$298</f>
        <v>3</v>
      </c>
      <c r="C3208" s="1">
        <v>0</v>
      </c>
      <c r="D3208" s="1">
        <v>298</v>
      </c>
      <c r="E3208" s="1">
        <f>IF(OR(Paths!$C$298=0,C3208=0),0,MAX(0,MIN(C3208*12,Paths!$E$298)-(C3208-1)*12))</f>
        <v>0</v>
      </c>
      <c r="F3208" s="1">
        <f>IF(OR(Paths!$C$298=0,C3208=0),0,12-E3208)</f>
        <v>0</v>
      </c>
      <c r="G3208" s="16">
        <f>IF(NOT(Paths!$C$298=1),0,IF(Paths!$P$298="Complete",E3208/12*(Paths!$J$298*(1+'Operating costs'!$B$51)^MAX(0,C3208-1)+Paths!$K$298*(1+'Operating costs'!$B$53)^MAX(0,C3208-1)),"n.a."))</f>
        <v>0</v>
      </c>
      <c r="H3208" s="16">
        <f>IF(NOT(Paths!$C$298=1),0,IF(Paths!$P$298="Complete",F3208/12*(Paths!$L$298*(1+IF(Paths!$D$298="EV",'Operating costs'!$B$52,'Operating costs'!$B$51))^MAX(0,C3208-1)+Paths!$M$298*(1+'Operating costs'!$B$53)^MAX(0,C3208-1)),"n.a."))</f>
        <v>0</v>
      </c>
      <c r="I3208" s="16">
        <f>IF(NOT(Paths!$C$298=1),0,IF(Paths!$P$298="Complete",IF(IF(Paths!$E$298=0,C3208=0,AND(C3208&gt;0,Paths!$E$298&gt;(C3208-1)*12,Paths!$E$298&lt;=C3208*12)),Paths!$G$298,0),"n.a."))</f>
        <v>0</v>
      </c>
      <c r="J3208" s="16">
        <f>IF(NOT(Paths!$C$298=1),0,IF(Paths!$P$298="Complete",IF(IF(Paths!$E$298=0,C3208=0,AND(C3208&gt;0,Paths!$E$298&gt;(C3208-1)*12,Paths!$E$298&lt;=C3208*12)),Paths!$H$298,0),"n.a."))</f>
        <v>0</v>
      </c>
      <c r="K3208" s="16">
        <f>IF(NOT(Paths!$C$298=1),0,IF(Paths!$P$298="Complete",IF(IF(Paths!$O$298=0,C3208=0,AND(C3208&gt;0,Paths!$O$298&gt;(C3208-1)*12,Paths!$O$298&lt;=C3208*12)),Paths!$N$298,0),"n.a."))</f>
        <v>0</v>
      </c>
      <c r="L3208" s="16">
        <f>IF(NOT(Paths!$C$298=1),0,IF(Paths!$P$298="Complete",IF(C3208=10,Paths!$I$298,0),"n.a."))</f>
        <v>0</v>
      </c>
      <c r="M3208" s="16">
        <f>IF(NOT(Paths!$C$298=1),0,IF(Paths!$P$298="Complete",IF(AND(Paths!$D$298="EV",Paths!$E$298&lt;120,Paths!$E$298+'Operating costs'!$B$65&gt;Paths!$E$298,Paths!$E$298+'Operating costs'!$B$65&lt;=120,IF(Paths!$E$298+'Operating costs'!$B$65=0,C3208=0,AND(C3208&gt;0,Paths!$E$298+'Operating costs'!$B$65&gt;(C3208-1)*12,Paths!$E$298+'Operating costs'!$B$65&lt;=C3208*12))),'Operating costs'!$B$64,0)+IF(AND('Operating costs'!$B$67&gt;0,'Operating costs'!$B$67&lt;=120,OR(Paths!$D$298="ICE",'Operating costs'!$B$67&lt;=Paths!$E$298),IF('Operating costs'!$B$67=0,C3208=0,AND(C3208&gt;0,'Operating costs'!$B$67&gt;(C3208-1)*12,'Operating costs'!$B$67&lt;=C3208*12))),'Operating costs'!$B$66,0),"n.a."))</f>
        <v>0</v>
      </c>
      <c r="N3208" s="16">
        <f>IF(NOT(Paths!$C$298=1),0,IF(Paths!$P$298="Complete",SUM(G3208:I3208)-J3208-K3208-L3208+M3208+IF(C3208=0,Paths!$F$298,0)+IF(IF(Paths!$E$298=0,C3208=0,AND(C3208&gt;0,Paths!$E$298&gt;(C3208-1)*12,Paths!$E$298&lt;=C3208*12)),VLOOKUP(A3208,'Fleet register'!$A$7:$S$106,16,FALSE),0),"n.a."))</f>
        <v>0</v>
      </c>
      <c r="O3208" s="16">
        <f>IF(NOT(Paths!$C$298=1),0,IF(Paths!$P$298="Complete",N3208-IF(C3208=0,Paths!$F$298,0),"n.a."))</f>
        <v>0</v>
      </c>
      <c r="P3208" s="16">
        <f>IF(NOT(Paths!$C$298=1),0,IF(Paths!$P$298="Complete",O3208+L3208,"n.a."))</f>
        <v>0</v>
      </c>
      <c r="Q3208" s="16">
        <f>IF(NOT(Paths!$C$298=1),0,IF(Paths!$P$298="Complete",N3208*(1+'Operating costs'!$B$54)^-C3208,"n.a."))</f>
        <v>0</v>
      </c>
      <c r="R3208" s="16">
        <f>IF(NOT(Paths!$C$298=1),0,IF(Paths!$P$298="Complete",IF(AND(C3208=0,Paths!$E$298=0),I3208-J3208-K3208+VLOOKUP(A3208,'Fleet register'!$A$7:$S$106,15,FALSE)+VLOOKUP(A3208,'Fleet register'!$A$7:$S$106,16,FALSE),0),"n.a."))</f>
        <v>0</v>
      </c>
      <c r="S3208" s="1">
        <f>IF(NOT(Paths!$C$298=1),0,IF(Paths!$P$298="Complete",IF(C3208=0,0,Paths!$S$298*Paths!$R$298),"n.a."))</f>
        <v>0</v>
      </c>
      <c r="T3208" s="1">
        <f>IF(NOT(Paths!$C$298=1),0,IF(Paths!$P$298="Complete",IF(C3208=0,0,VLOOKUP(A3208,'Fleet register'!$A$7:$S$106,9,FALSE)*Paths!$R$298),"n.a."))</f>
        <v>0</v>
      </c>
    </row>
    <row r="3209" spans="1:20" ht="24" customHeight="1">
      <c r="A3209" s="1" t="str">
        <f>Paths!$A$298</f>
        <v>T073</v>
      </c>
      <c r="B3209" s="1">
        <f>Paths!$B$298</f>
        <v>3</v>
      </c>
      <c r="C3209" s="1">
        <v>1</v>
      </c>
      <c r="D3209" s="1">
        <v>298</v>
      </c>
      <c r="E3209" s="1">
        <f>IF(OR(Paths!$C$298=0,C3209=0),0,MAX(0,MIN(C3209*12,Paths!$E$298)-(C3209-1)*12))</f>
        <v>0</v>
      </c>
      <c r="F3209" s="1">
        <f>IF(OR(Paths!$C$298=0,C3209=0),0,12-E3209)</f>
        <v>0</v>
      </c>
      <c r="G3209" s="16">
        <f>IF(NOT(Paths!$C$298=1),0,IF(Paths!$P$298="Complete",E3209/12*(Paths!$J$298*(1+'Operating costs'!$B$51)^MAX(0,C3209-1)+Paths!$K$298*(1+'Operating costs'!$B$53)^MAX(0,C3209-1)),"n.a."))</f>
        <v>0</v>
      </c>
      <c r="H3209" s="16">
        <f>IF(NOT(Paths!$C$298=1),0,IF(Paths!$P$298="Complete",F3209/12*(Paths!$L$298*(1+IF(Paths!$D$298="EV",'Operating costs'!$B$52,'Operating costs'!$B$51))^MAX(0,C3209-1)+Paths!$M$298*(1+'Operating costs'!$B$53)^MAX(0,C3209-1)),"n.a."))</f>
        <v>0</v>
      </c>
      <c r="I3209" s="16">
        <f>IF(NOT(Paths!$C$298=1),0,IF(Paths!$P$298="Complete",IF(IF(Paths!$E$298=0,C3209=0,AND(C3209&gt;0,Paths!$E$298&gt;(C3209-1)*12,Paths!$E$298&lt;=C3209*12)),Paths!$G$298,0),"n.a."))</f>
        <v>0</v>
      </c>
      <c r="J3209" s="16">
        <f>IF(NOT(Paths!$C$298=1),0,IF(Paths!$P$298="Complete",IF(IF(Paths!$E$298=0,C3209=0,AND(C3209&gt;0,Paths!$E$298&gt;(C3209-1)*12,Paths!$E$298&lt;=C3209*12)),Paths!$H$298,0),"n.a."))</f>
        <v>0</v>
      </c>
      <c r="K3209" s="16">
        <f>IF(NOT(Paths!$C$298=1),0,IF(Paths!$P$298="Complete",IF(IF(Paths!$O$298=0,C3209=0,AND(C3209&gt;0,Paths!$O$298&gt;(C3209-1)*12,Paths!$O$298&lt;=C3209*12)),Paths!$N$298,0),"n.a."))</f>
        <v>0</v>
      </c>
      <c r="L3209" s="16">
        <f>IF(NOT(Paths!$C$298=1),0,IF(Paths!$P$298="Complete",IF(C3209=10,Paths!$I$298,0),"n.a."))</f>
        <v>0</v>
      </c>
      <c r="M3209" s="16">
        <f>IF(NOT(Paths!$C$298=1),0,IF(Paths!$P$298="Complete",IF(AND(Paths!$D$298="EV",Paths!$E$298&lt;120,Paths!$E$298+'Operating costs'!$B$65&gt;Paths!$E$298,Paths!$E$298+'Operating costs'!$B$65&lt;=120,IF(Paths!$E$298+'Operating costs'!$B$65=0,C3209=0,AND(C3209&gt;0,Paths!$E$298+'Operating costs'!$B$65&gt;(C3209-1)*12,Paths!$E$298+'Operating costs'!$B$65&lt;=C3209*12))),'Operating costs'!$B$64,0)+IF(AND('Operating costs'!$B$67&gt;0,'Operating costs'!$B$67&lt;=120,OR(Paths!$D$298="ICE",'Operating costs'!$B$67&lt;=Paths!$E$298),IF('Operating costs'!$B$67=0,C3209=0,AND(C3209&gt;0,'Operating costs'!$B$67&gt;(C3209-1)*12,'Operating costs'!$B$67&lt;=C3209*12))),'Operating costs'!$B$66,0),"n.a."))</f>
        <v>0</v>
      </c>
      <c r="N3209" s="16">
        <f>IF(NOT(Paths!$C$298=1),0,IF(Paths!$P$298="Complete",SUM(G3209:I3209)-J3209-K3209-L3209+M3209+IF(C3209=0,Paths!$F$298,0)+IF(IF(Paths!$E$298=0,C3209=0,AND(C3209&gt;0,Paths!$E$298&gt;(C3209-1)*12,Paths!$E$298&lt;=C3209*12)),VLOOKUP(A3209,'Fleet register'!$A$7:$S$106,16,FALSE),0),"n.a."))</f>
        <v>0</v>
      </c>
      <c r="O3209" s="16">
        <f>IF(NOT(Paths!$C$298=1),0,IF(Paths!$P$298="Complete",N3209-IF(C3209=0,Paths!$F$298,0),"n.a."))</f>
        <v>0</v>
      </c>
      <c r="P3209" s="16">
        <f>IF(NOT(Paths!$C$298=1),0,IF(Paths!$P$298="Complete",O3209+L3209,"n.a."))</f>
        <v>0</v>
      </c>
      <c r="Q3209" s="16">
        <f>IF(NOT(Paths!$C$298=1),0,IF(Paths!$P$298="Complete",N3209*(1+'Operating costs'!$B$54)^-C3209,"n.a."))</f>
        <v>0</v>
      </c>
      <c r="R3209" s="16">
        <f>IF(NOT(Paths!$C$298=1),0,IF(Paths!$P$298="Complete",IF(AND(C3209=0,Paths!$E$298=0),I3209-J3209-K3209+VLOOKUP(A3209,'Fleet register'!$A$7:$S$106,15,FALSE)+VLOOKUP(A3209,'Fleet register'!$A$7:$S$106,16,FALSE),0),"n.a."))</f>
        <v>0</v>
      </c>
      <c r="S3209" s="1">
        <f>IF(NOT(Paths!$C$298=1),0,IF(Paths!$P$298="Complete",IF(C3209=0,0,Paths!$S$298*Paths!$R$298),"n.a."))</f>
        <v>0</v>
      </c>
      <c r="T3209" s="1">
        <f>IF(NOT(Paths!$C$298=1),0,IF(Paths!$P$298="Complete",IF(C3209=0,0,VLOOKUP(A3209,'Fleet register'!$A$7:$S$106,9,FALSE)*Paths!$R$298),"n.a."))</f>
        <v>0</v>
      </c>
    </row>
    <row r="3210" spans="1:20" ht="24" customHeight="1">
      <c r="A3210" s="1" t="str">
        <f>Paths!$A$298</f>
        <v>T073</v>
      </c>
      <c r="B3210" s="1">
        <f>Paths!$B$298</f>
        <v>3</v>
      </c>
      <c r="C3210" s="1">
        <v>2</v>
      </c>
      <c r="D3210" s="1">
        <v>298</v>
      </c>
      <c r="E3210" s="1">
        <f>IF(OR(Paths!$C$298=0,C3210=0),0,MAX(0,MIN(C3210*12,Paths!$E$298)-(C3210-1)*12))</f>
        <v>0</v>
      </c>
      <c r="F3210" s="1">
        <f>IF(OR(Paths!$C$298=0,C3210=0),0,12-E3210)</f>
        <v>0</v>
      </c>
      <c r="G3210" s="16">
        <f>IF(NOT(Paths!$C$298=1),0,IF(Paths!$P$298="Complete",E3210/12*(Paths!$J$298*(1+'Operating costs'!$B$51)^MAX(0,C3210-1)+Paths!$K$298*(1+'Operating costs'!$B$53)^MAX(0,C3210-1)),"n.a."))</f>
        <v>0</v>
      </c>
      <c r="H3210" s="16">
        <f>IF(NOT(Paths!$C$298=1),0,IF(Paths!$P$298="Complete",F3210/12*(Paths!$L$298*(1+IF(Paths!$D$298="EV",'Operating costs'!$B$52,'Operating costs'!$B$51))^MAX(0,C3210-1)+Paths!$M$298*(1+'Operating costs'!$B$53)^MAX(0,C3210-1)),"n.a."))</f>
        <v>0</v>
      </c>
      <c r="I3210" s="16">
        <f>IF(NOT(Paths!$C$298=1),0,IF(Paths!$P$298="Complete",IF(IF(Paths!$E$298=0,C3210=0,AND(C3210&gt;0,Paths!$E$298&gt;(C3210-1)*12,Paths!$E$298&lt;=C3210*12)),Paths!$G$298,0),"n.a."))</f>
        <v>0</v>
      </c>
      <c r="J3210" s="16">
        <f>IF(NOT(Paths!$C$298=1),0,IF(Paths!$P$298="Complete",IF(IF(Paths!$E$298=0,C3210=0,AND(C3210&gt;0,Paths!$E$298&gt;(C3210-1)*12,Paths!$E$298&lt;=C3210*12)),Paths!$H$298,0),"n.a."))</f>
        <v>0</v>
      </c>
      <c r="K3210" s="16">
        <f>IF(NOT(Paths!$C$298=1),0,IF(Paths!$P$298="Complete",IF(IF(Paths!$O$298=0,C3210=0,AND(C3210&gt;0,Paths!$O$298&gt;(C3210-1)*12,Paths!$O$298&lt;=C3210*12)),Paths!$N$298,0),"n.a."))</f>
        <v>0</v>
      </c>
      <c r="L3210" s="16">
        <f>IF(NOT(Paths!$C$298=1),0,IF(Paths!$P$298="Complete",IF(C3210=10,Paths!$I$298,0),"n.a."))</f>
        <v>0</v>
      </c>
      <c r="M3210" s="16">
        <f>IF(NOT(Paths!$C$298=1),0,IF(Paths!$P$298="Complete",IF(AND(Paths!$D$298="EV",Paths!$E$298&lt;120,Paths!$E$298+'Operating costs'!$B$65&gt;Paths!$E$298,Paths!$E$298+'Operating costs'!$B$65&lt;=120,IF(Paths!$E$298+'Operating costs'!$B$65=0,C3210=0,AND(C3210&gt;0,Paths!$E$298+'Operating costs'!$B$65&gt;(C3210-1)*12,Paths!$E$298+'Operating costs'!$B$65&lt;=C3210*12))),'Operating costs'!$B$64,0)+IF(AND('Operating costs'!$B$67&gt;0,'Operating costs'!$B$67&lt;=120,OR(Paths!$D$298="ICE",'Operating costs'!$B$67&lt;=Paths!$E$298),IF('Operating costs'!$B$67=0,C3210=0,AND(C3210&gt;0,'Operating costs'!$B$67&gt;(C3210-1)*12,'Operating costs'!$B$67&lt;=C3210*12))),'Operating costs'!$B$66,0),"n.a."))</f>
        <v>0</v>
      </c>
      <c r="N3210" s="16">
        <f>IF(NOT(Paths!$C$298=1),0,IF(Paths!$P$298="Complete",SUM(G3210:I3210)-J3210-K3210-L3210+M3210+IF(C3210=0,Paths!$F$298,0)+IF(IF(Paths!$E$298=0,C3210=0,AND(C3210&gt;0,Paths!$E$298&gt;(C3210-1)*12,Paths!$E$298&lt;=C3210*12)),VLOOKUP(A3210,'Fleet register'!$A$7:$S$106,16,FALSE),0),"n.a."))</f>
        <v>0</v>
      </c>
      <c r="O3210" s="16">
        <f>IF(NOT(Paths!$C$298=1),0,IF(Paths!$P$298="Complete",N3210-IF(C3210=0,Paths!$F$298,0),"n.a."))</f>
        <v>0</v>
      </c>
      <c r="P3210" s="16">
        <f>IF(NOT(Paths!$C$298=1),0,IF(Paths!$P$298="Complete",O3210+L3210,"n.a."))</f>
        <v>0</v>
      </c>
      <c r="Q3210" s="16">
        <f>IF(NOT(Paths!$C$298=1),0,IF(Paths!$P$298="Complete",N3210*(1+'Operating costs'!$B$54)^-C3210,"n.a."))</f>
        <v>0</v>
      </c>
      <c r="R3210" s="16">
        <f>IF(NOT(Paths!$C$298=1),0,IF(Paths!$P$298="Complete",IF(AND(C3210=0,Paths!$E$298=0),I3210-J3210-K3210+VLOOKUP(A3210,'Fleet register'!$A$7:$S$106,15,FALSE)+VLOOKUP(A3210,'Fleet register'!$A$7:$S$106,16,FALSE),0),"n.a."))</f>
        <v>0</v>
      </c>
      <c r="S3210" s="1">
        <f>IF(NOT(Paths!$C$298=1),0,IF(Paths!$P$298="Complete",IF(C3210=0,0,Paths!$S$298*Paths!$R$298),"n.a."))</f>
        <v>0</v>
      </c>
      <c r="T3210" s="1">
        <f>IF(NOT(Paths!$C$298=1),0,IF(Paths!$P$298="Complete",IF(C3210=0,0,VLOOKUP(A3210,'Fleet register'!$A$7:$S$106,9,FALSE)*Paths!$R$298),"n.a."))</f>
        <v>0</v>
      </c>
    </row>
    <row r="3211" spans="1:20" ht="24" customHeight="1">
      <c r="A3211" s="1" t="str">
        <f>Paths!$A$298</f>
        <v>T073</v>
      </c>
      <c r="B3211" s="1">
        <f>Paths!$B$298</f>
        <v>3</v>
      </c>
      <c r="C3211" s="1">
        <v>3</v>
      </c>
      <c r="D3211" s="1">
        <v>298</v>
      </c>
      <c r="E3211" s="1">
        <f>IF(OR(Paths!$C$298=0,C3211=0),0,MAX(0,MIN(C3211*12,Paths!$E$298)-(C3211-1)*12))</f>
        <v>0</v>
      </c>
      <c r="F3211" s="1">
        <f>IF(OR(Paths!$C$298=0,C3211=0),0,12-E3211)</f>
        <v>0</v>
      </c>
      <c r="G3211" s="16">
        <f>IF(NOT(Paths!$C$298=1),0,IF(Paths!$P$298="Complete",E3211/12*(Paths!$J$298*(1+'Operating costs'!$B$51)^MAX(0,C3211-1)+Paths!$K$298*(1+'Operating costs'!$B$53)^MAX(0,C3211-1)),"n.a."))</f>
        <v>0</v>
      </c>
      <c r="H3211" s="16">
        <f>IF(NOT(Paths!$C$298=1),0,IF(Paths!$P$298="Complete",F3211/12*(Paths!$L$298*(1+IF(Paths!$D$298="EV",'Operating costs'!$B$52,'Operating costs'!$B$51))^MAX(0,C3211-1)+Paths!$M$298*(1+'Operating costs'!$B$53)^MAX(0,C3211-1)),"n.a."))</f>
        <v>0</v>
      </c>
      <c r="I3211" s="16">
        <f>IF(NOT(Paths!$C$298=1),0,IF(Paths!$P$298="Complete",IF(IF(Paths!$E$298=0,C3211=0,AND(C3211&gt;0,Paths!$E$298&gt;(C3211-1)*12,Paths!$E$298&lt;=C3211*12)),Paths!$G$298,0),"n.a."))</f>
        <v>0</v>
      </c>
      <c r="J3211" s="16">
        <f>IF(NOT(Paths!$C$298=1),0,IF(Paths!$P$298="Complete",IF(IF(Paths!$E$298=0,C3211=0,AND(C3211&gt;0,Paths!$E$298&gt;(C3211-1)*12,Paths!$E$298&lt;=C3211*12)),Paths!$H$298,0),"n.a."))</f>
        <v>0</v>
      </c>
      <c r="K3211" s="16">
        <f>IF(NOT(Paths!$C$298=1),0,IF(Paths!$P$298="Complete",IF(IF(Paths!$O$298=0,C3211=0,AND(C3211&gt;0,Paths!$O$298&gt;(C3211-1)*12,Paths!$O$298&lt;=C3211*12)),Paths!$N$298,0),"n.a."))</f>
        <v>0</v>
      </c>
      <c r="L3211" s="16">
        <f>IF(NOT(Paths!$C$298=1),0,IF(Paths!$P$298="Complete",IF(C3211=10,Paths!$I$298,0),"n.a."))</f>
        <v>0</v>
      </c>
      <c r="M3211" s="16">
        <f>IF(NOT(Paths!$C$298=1),0,IF(Paths!$P$298="Complete",IF(AND(Paths!$D$298="EV",Paths!$E$298&lt;120,Paths!$E$298+'Operating costs'!$B$65&gt;Paths!$E$298,Paths!$E$298+'Operating costs'!$B$65&lt;=120,IF(Paths!$E$298+'Operating costs'!$B$65=0,C3211=0,AND(C3211&gt;0,Paths!$E$298+'Operating costs'!$B$65&gt;(C3211-1)*12,Paths!$E$298+'Operating costs'!$B$65&lt;=C3211*12))),'Operating costs'!$B$64,0)+IF(AND('Operating costs'!$B$67&gt;0,'Operating costs'!$B$67&lt;=120,OR(Paths!$D$298="ICE",'Operating costs'!$B$67&lt;=Paths!$E$298),IF('Operating costs'!$B$67=0,C3211=0,AND(C3211&gt;0,'Operating costs'!$B$67&gt;(C3211-1)*12,'Operating costs'!$B$67&lt;=C3211*12))),'Operating costs'!$B$66,0),"n.a."))</f>
        <v>0</v>
      </c>
      <c r="N3211" s="16">
        <f>IF(NOT(Paths!$C$298=1),0,IF(Paths!$P$298="Complete",SUM(G3211:I3211)-J3211-K3211-L3211+M3211+IF(C3211=0,Paths!$F$298,0)+IF(IF(Paths!$E$298=0,C3211=0,AND(C3211&gt;0,Paths!$E$298&gt;(C3211-1)*12,Paths!$E$298&lt;=C3211*12)),VLOOKUP(A3211,'Fleet register'!$A$7:$S$106,16,FALSE),0),"n.a."))</f>
        <v>0</v>
      </c>
      <c r="O3211" s="16">
        <f>IF(NOT(Paths!$C$298=1),0,IF(Paths!$P$298="Complete",N3211-IF(C3211=0,Paths!$F$298,0),"n.a."))</f>
        <v>0</v>
      </c>
      <c r="P3211" s="16">
        <f>IF(NOT(Paths!$C$298=1),0,IF(Paths!$P$298="Complete",O3211+L3211,"n.a."))</f>
        <v>0</v>
      </c>
      <c r="Q3211" s="16">
        <f>IF(NOT(Paths!$C$298=1),0,IF(Paths!$P$298="Complete",N3211*(1+'Operating costs'!$B$54)^-C3211,"n.a."))</f>
        <v>0</v>
      </c>
      <c r="R3211" s="16">
        <f>IF(NOT(Paths!$C$298=1),0,IF(Paths!$P$298="Complete",IF(AND(C3211=0,Paths!$E$298=0),I3211-J3211-K3211+VLOOKUP(A3211,'Fleet register'!$A$7:$S$106,15,FALSE)+VLOOKUP(A3211,'Fleet register'!$A$7:$S$106,16,FALSE),0),"n.a."))</f>
        <v>0</v>
      </c>
      <c r="S3211" s="1">
        <f>IF(NOT(Paths!$C$298=1),0,IF(Paths!$P$298="Complete",IF(C3211=0,0,Paths!$S$298*Paths!$R$298),"n.a."))</f>
        <v>0</v>
      </c>
      <c r="T3211" s="1">
        <f>IF(NOT(Paths!$C$298=1),0,IF(Paths!$P$298="Complete",IF(C3211=0,0,VLOOKUP(A3211,'Fleet register'!$A$7:$S$106,9,FALSE)*Paths!$R$298),"n.a."))</f>
        <v>0</v>
      </c>
    </row>
    <row r="3212" spans="1:20" ht="24" customHeight="1">
      <c r="A3212" s="1" t="str">
        <f>Paths!$A$298</f>
        <v>T073</v>
      </c>
      <c r="B3212" s="1">
        <f>Paths!$B$298</f>
        <v>3</v>
      </c>
      <c r="C3212" s="1">
        <v>4</v>
      </c>
      <c r="D3212" s="1">
        <v>298</v>
      </c>
      <c r="E3212" s="1">
        <f>IF(OR(Paths!$C$298=0,C3212=0),0,MAX(0,MIN(C3212*12,Paths!$E$298)-(C3212-1)*12))</f>
        <v>0</v>
      </c>
      <c r="F3212" s="1">
        <f>IF(OR(Paths!$C$298=0,C3212=0),0,12-E3212)</f>
        <v>0</v>
      </c>
      <c r="G3212" s="16">
        <f>IF(NOT(Paths!$C$298=1),0,IF(Paths!$P$298="Complete",E3212/12*(Paths!$J$298*(1+'Operating costs'!$B$51)^MAX(0,C3212-1)+Paths!$K$298*(1+'Operating costs'!$B$53)^MAX(0,C3212-1)),"n.a."))</f>
        <v>0</v>
      </c>
      <c r="H3212" s="16">
        <f>IF(NOT(Paths!$C$298=1),0,IF(Paths!$P$298="Complete",F3212/12*(Paths!$L$298*(1+IF(Paths!$D$298="EV",'Operating costs'!$B$52,'Operating costs'!$B$51))^MAX(0,C3212-1)+Paths!$M$298*(1+'Operating costs'!$B$53)^MAX(0,C3212-1)),"n.a."))</f>
        <v>0</v>
      </c>
      <c r="I3212" s="16">
        <f>IF(NOT(Paths!$C$298=1),0,IF(Paths!$P$298="Complete",IF(IF(Paths!$E$298=0,C3212=0,AND(C3212&gt;0,Paths!$E$298&gt;(C3212-1)*12,Paths!$E$298&lt;=C3212*12)),Paths!$G$298,0),"n.a."))</f>
        <v>0</v>
      </c>
      <c r="J3212" s="16">
        <f>IF(NOT(Paths!$C$298=1),0,IF(Paths!$P$298="Complete",IF(IF(Paths!$E$298=0,C3212=0,AND(C3212&gt;0,Paths!$E$298&gt;(C3212-1)*12,Paths!$E$298&lt;=C3212*12)),Paths!$H$298,0),"n.a."))</f>
        <v>0</v>
      </c>
      <c r="K3212" s="16">
        <f>IF(NOT(Paths!$C$298=1),0,IF(Paths!$P$298="Complete",IF(IF(Paths!$O$298=0,C3212=0,AND(C3212&gt;0,Paths!$O$298&gt;(C3212-1)*12,Paths!$O$298&lt;=C3212*12)),Paths!$N$298,0),"n.a."))</f>
        <v>0</v>
      </c>
      <c r="L3212" s="16">
        <f>IF(NOT(Paths!$C$298=1),0,IF(Paths!$P$298="Complete",IF(C3212=10,Paths!$I$298,0),"n.a."))</f>
        <v>0</v>
      </c>
      <c r="M3212" s="16">
        <f>IF(NOT(Paths!$C$298=1),0,IF(Paths!$P$298="Complete",IF(AND(Paths!$D$298="EV",Paths!$E$298&lt;120,Paths!$E$298+'Operating costs'!$B$65&gt;Paths!$E$298,Paths!$E$298+'Operating costs'!$B$65&lt;=120,IF(Paths!$E$298+'Operating costs'!$B$65=0,C3212=0,AND(C3212&gt;0,Paths!$E$298+'Operating costs'!$B$65&gt;(C3212-1)*12,Paths!$E$298+'Operating costs'!$B$65&lt;=C3212*12))),'Operating costs'!$B$64,0)+IF(AND('Operating costs'!$B$67&gt;0,'Operating costs'!$B$67&lt;=120,OR(Paths!$D$298="ICE",'Operating costs'!$B$67&lt;=Paths!$E$298),IF('Operating costs'!$B$67=0,C3212=0,AND(C3212&gt;0,'Operating costs'!$B$67&gt;(C3212-1)*12,'Operating costs'!$B$67&lt;=C3212*12))),'Operating costs'!$B$66,0),"n.a."))</f>
        <v>0</v>
      </c>
      <c r="N3212" s="16">
        <f>IF(NOT(Paths!$C$298=1),0,IF(Paths!$P$298="Complete",SUM(G3212:I3212)-J3212-K3212-L3212+M3212+IF(C3212=0,Paths!$F$298,0)+IF(IF(Paths!$E$298=0,C3212=0,AND(C3212&gt;0,Paths!$E$298&gt;(C3212-1)*12,Paths!$E$298&lt;=C3212*12)),VLOOKUP(A3212,'Fleet register'!$A$7:$S$106,16,FALSE),0),"n.a."))</f>
        <v>0</v>
      </c>
      <c r="O3212" s="16">
        <f>IF(NOT(Paths!$C$298=1),0,IF(Paths!$P$298="Complete",N3212-IF(C3212=0,Paths!$F$298,0),"n.a."))</f>
        <v>0</v>
      </c>
      <c r="P3212" s="16">
        <f>IF(NOT(Paths!$C$298=1),0,IF(Paths!$P$298="Complete",O3212+L3212,"n.a."))</f>
        <v>0</v>
      </c>
      <c r="Q3212" s="16">
        <f>IF(NOT(Paths!$C$298=1),0,IF(Paths!$P$298="Complete",N3212*(1+'Operating costs'!$B$54)^-C3212,"n.a."))</f>
        <v>0</v>
      </c>
      <c r="R3212" s="16">
        <f>IF(NOT(Paths!$C$298=1),0,IF(Paths!$P$298="Complete",IF(AND(C3212=0,Paths!$E$298=0),I3212-J3212-K3212+VLOOKUP(A3212,'Fleet register'!$A$7:$S$106,15,FALSE)+VLOOKUP(A3212,'Fleet register'!$A$7:$S$106,16,FALSE),0),"n.a."))</f>
        <v>0</v>
      </c>
      <c r="S3212" s="1">
        <f>IF(NOT(Paths!$C$298=1),0,IF(Paths!$P$298="Complete",IF(C3212=0,0,Paths!$S$298*Paths!$R$298),"n.a."))</f>
        <v>0</v>
      </c>
      <c r="T3212" s="1">
        <f>IF(NOT(Paths!$C$298=1),0,IF(Paths!$P$298="Complete",IF(C3212=0,0,VLOOKUP(A3212,'Fleet register'!$A$7:$S$106,9,FALSE)*Paths!$R$298),"n.a."))</f>
        <v>0</v>
      </c>
    </row>
    <row r="3213" spans="1:20" ht="24" customHeight="1">
      <c r="A3213" s="1" t="str">
        <f>Paths!$A$298</f>
        <v>T073</v>
      </c>
      <c r="B3213" s="1">
        <f>Paths!$B$298</f>
        <v>3</v>
      </c>
      <c r="C3213" s="1">
        <v>5</v>
      </c>
      <c r="D3213" s="1">
        <v>298</v>
      </c>
      <c r="E3213" s="1">
        <f>IF(OR(Paths!$C$298=0,C3213=0),0,MAX(0,MIN(C3213*12,Paths!$E$298)-(C3213-1)*12))</f>
        <v>0</v>
      </c>
      <c r="F3213" s="1">
        <f>IF(OR(Paths!$C$298=0,C3213=0),0,12-E3213)</f>
        <v>0</v>
      </c>
      <c r="G3213" s="16">
        <f>IF(NOT(Paths!$C$298=1),0,IF(Paths!$P$298="Complete",E3213/12*(Paths!$J$298*(1+'Operating costs'!$B$51)^MAX(0,C3213-1)+Paths!$K$298*(1+'Operating costs'!$B$53)^MAX(0,C3213-1)),"n.a."))</f>
        <v>0</v>
      </c>
      <c r="H3213" s="16">
        <f>IF(NOT(Paths!$C$298=1),0,IF(Paths!$P$298="Complete",F3213/12*(Paths!$L$298*(1+IF(Paths!$D$298="EV",'Operating costs'!$B$52,'Operating costs'!$B$51))^MAX(0,C3213-1)+Paths!$M$298*(1+'Operating costs'!$B$53)^MAX(0,C3213-1)),"n.a."))</f>
        <v>0</v>
      </c>
      <c r="I3213" s="16">
        <f>IF(NOT(Paths!$C$298=1),0,IF(Paths!$P$298="Complete",IF(IF(Paths!$E$298=0,C3213=0,AND(C3213&gt;0,Paths!$E$298&gt;(C3213-1)*12,Paths!$E$298&lt;=C3213*12)),Paths!$G$298,0),"n.a."))</f>
        <v>0</v>
      </c>
      <c r="J3213" s="16">
        <f>IF(NOT(Paths!$C$298=1),0,IF(Paths!$P$298="Complete",IF(IF(Paths!$E$298=0,C3213=0,AND(C3213&gt;0,Paths!$E$298&gt;(C3213-1)*12,Paths!$E$298&lt;=C3213*12)),Paths!$H$298,0),"n.a."))</f>
        <v>0</v>
      </c>
      <c r="K3213" s="16">
        <f>IF(NOT(Paths!$C$298=1),0,IF(Paths!$P$298="Complete",IF(IF(Paths!$O$298=0,C3213=0,AND(C3213&gt;0,Paths!$O$298&gt;(C3213-1)*12,Paths!$O$298&lt;=C3213*12)),Paths!$N$298,0),"n.a."))</f>
        <v>0</v>
      </c>
      <c r="L3213" s="16">
        <f>IF(NOT(Paths!$C$298=1),0,IF(Paths!$P$298="Complete",IF(C3213=10,Paths!$I$298,0),"n.a."))</f>
        <v>0</v>
      </c>
      <c r="M3213" s="16">
        <f>IF(NOT(Paths!$C$298=1),0,IF(Paths!$P$298="Complete",IF(AND(Paths!$D$298="EV",Paths!$E$298&lt;120,Paths!$E$298+'Operating costs'!$B$65&gt;Paths!$E$298,Paths!$E$298+'Operating costs'!$B$65&lt;=120,IF(Paths!$E$298+'Operating costs'!$B$65=0,C3213=0,AND(C3213&gt;0,Paths!$E$298+'Operating costs'!$B$65&gt;(C3213-1)*12,Paths!$E$298+'Operating costs'!$B$65&lt;=C3213*12))),'Operating costs'!$B$64,0)+IF(AND('Operating costs'!$B$67&gt;0,'Operating costs'!$B$67&lt;=120,OR(Paths!$D$298="ICE",'Operating costs'!$B$67&lt;=Paths!$E$298),IF('Operating costs'!$B$67=0,C3213=0,AND(C3213&gt;0,'Operating costs'!$B$67&gt;(C3213-1)*12,'Operating costs'!$B$67&lt;=C3213*12))),'Operating costs'!$B$66,0),"n.a."))</f>
        <v>0</v>
      </c>
      <c r="N3213" s="16">
        <f>IF(NOT(Paths!$C$298=1),0,IF(Paths!$P$298="Complete",SUM(G3213:I3213)-J3213-K3213-L3213+M3213+IF(C3213=0,Paths!$F$298,0)+IF(IF(Paths!$E$298=0,C3213=0,AND(C3213&gt;0,Paths!$E$298&gt;(C3213-1)*12,Paths!$E$298&lt;=C3213*12)),VLOOKUP(A3213,'Fleet register'!$A$7:$S$106,16,FALSE),0),"n.a."))</f>
        <v>0</v>
      </c>
      <c r="O3213" s="16">
        <f>IF(NOT(Paths!$C$298=1),0,IF(Paths!$P$298="Complete",N3213-IF(C3213=0,Paths!$F$298,0),"n.a."))</f>
        <v>0</v>
      </c>
      <c r="P3213" s="16">
        <f>IF(NOT(Paths!$C$298=1),0,IF(Paths!$P$298="Complete",O3213+L3213,"n.a."))</f>
        <v>0</v>
      </c>
      <c r="Q3213" s="16">
        <f>IF(NOT(Paths!$C$298=1),0,IF(Paths!$P$298="Complete",N3213*(1+'Operating costs'!$B$54)^-C3213,"n.a."))</f>
        <v>0</v>
      </c>
      <c r="R3213" s="16">
        <f>IF(NOT(Paths!$C$298=1),0,IF(Paths!$P$298="Complete",IF(AND(C3213=0,Paths!$E$298=0),I3213-J3213-K3213+VLOOKUP(A3213,'Fleet register'!$A$7:$S$106,15,FALSE)+VLOOKUP(A3213,'Fleet register'!$A$7:$S$106,16,FALSE),0),"n.a."))</f>
        <v>0</v>
      </c>
      <c r="S3213" s="1">
        <f>IF(NOT(Paths!$C$298=1),0,IF(Paths!$P$298="Complete",IF(C3213=0,0,Paths!$S$298*Paths!$R$298),"n.a."))</f>
        <v>0</v>
      </c>
      <c r="T3213" s="1">
        <f>IF(NOT(Paths!$C$298=1),0,IF(Paths!$P$298="Complete",IF(C3213=0,0,VLOOKUP(A3213,'Fleet register'!$A$7:$S$106,9,FALSE)*Paths!$R$298),"n.a."))</f>
        <v>0</v>
      </c>
    </row>
    <row r="3214" spans="1:20" ht="24" customHeight="1">
      <c r="A3214" s="1" t="str">
        <f>Paths!$A$298</f>
        <v>T073</v>
      </c>
      <c r="B3214" s="1">
        <f>Paths!$B$298</f>
        <v>3</v>
      </c>
      <c r="C3214" s="1">
        <v>6</v>
      </c>
      <c r="D3214" s="1">
        <v>298</v>
      </c>
      <c r="E3214" s="1">
        <f>IF(OR(Paths!$C$298=0,C3214=0),0,MAX(0,MIN(C3214*12,Paths!$E$298)-(C3214-1)*12))</f>
        <v>0</v>
      </c>
      <c r="F3214" s="1">
        <f>IF(OR(Paths!$C$298=0,C3214=0),0,12-E3214)</f>
        <v>0</v>
      </c>
      <c r="G3214" s="16">
        <f>IF(NOT(Paths!$C$298=1),0,IF(Paths!$P$298="Complete",E3214/12*(Paths!$J$298*(1+'Operating costs'!$B$51)^MAX(0,C3214-1)+Paths!$K$298*(1+'Operating costs'!$B$53)^MAX(0,C3214-1)),"n.a."))</f>
        <v>0</v>
      </c>
      <c r="H3214" s="16">
        <f>IF(NOT(Paths!$C$298=1),0,IF(Paths!$P$298="Complete",F3214/12*(Paths!$L$298*(1+IF(Paths!$D$298="EV",'Operating costs'!$B$52,'Operating costs'!$B$51))^MAX(0,C3214-1)+Paths!$M$298*(1+'Operating costs'!$B$53)^MAX(0,C3214-1)),"n.a."))</f>
        <v>0</v>
      </c>
      <c r="I3214" s="16">
        <f>IF(NOT(Paths!$C$298=1),0,IF(Paths!$P$298="Complete",IF(IF(Paths!$E$298=0,C3214=0,AND(C3214&gt;0,Paths!$E$298&gt;(C3214-1)*12,Paths!$E$298&lt;=C3214*12)),Paths!$G$298,0),"n.a."))</f>
        <v>0</v>
      </c>
      <c r="J3214" s="16">
        <f>IF(NOT(Paths!$C$298=1),0,IF(Paths!$P$298="Complete",IF(IF(Paths!$E$298=0,C3214=0,AND(C3214&gt;0,Paths!$E$298&gt;(C3214-1)*12,Paths!$E$298&lt;=C3214*12)),Paths!$H$298,0),"n.a."))</f>
        <v>0</v>
      </c>
      <c r="K3214" s="16">
        <f>IF(NOT(Paths!$C$298=1),0,IF(Paths!$P$298="Complete",IF(IF(Paths!$O$298=0,C3214=0,AND(C3214&gt;0,Paths!$O$298&gt;(C3214-1)*12,Paths!$O$298&lt;=C3214*12)),Paths!$N$298,0),"n.a."))</f>
        <v>0</v>
      </c>
      <c r="L3214" s="16">
        <f>IF(NOT(Paths!$C$298=1),0,IF(Paths!$P$298="Complete",IF(C3214=10,Paths!$I$298,0),"n.a."))</f>
        <v>0</v>
      </c>
      <c r="M3214" s="16">
        <f>IF(NOT(Paths!$C$298=1),0,IF(Paths!$P$298="Complete",IF(AND(Paths!$D$298="EV",Paths!$E$298&lt;120,Paths!$E$298+'Operating costs'!$B$65&gt;Paths!$E$298,Paths!$E$298+'Operating costs'!$B$65&lt;=120,IF(Paths!$E$298+'Operating costs'!$B$65=0,C3214=0,AND(C3214&gt;0,Paths!$E$298+'Operating costs'!$B$65&gt;(C3214-1)*12,Paths!$E$298+'Operating costs'!$B$65&lt;=C3214*12))),'Operating costs'!$B$64,0)+IF(AND('Operating costs'!$B$67&gt;0,'Operating costs'!$B$67&lt;=120,OR(Paths!$D$298="ICE",'Operating costs'!$B$67&lt;=Paths!$E$298),IF('Operating costs'!$B$67=0,C3214=0,AND(C3214&gt;0,'Operating costs'!$B$67&gt;(C3214-1)*12,'Operating costs'!$B$67&lt;=C3214*12))),'Operating costs'!$B$66,0),"n.a."))</f>
        <v>0</v>
      </c>
      <c r="N3214" s="16">
        <f>IF(NOT(Paths!$C$298=1),0,IF(Paths!$P$298="Complete",SUM(G3214:I3214)-J3214-K3214-L3214+M3214+IF(C3214=0,Paths!$F$298,0)+IF(IF(Paths!$E$298=0,C3214=0,AND(C3214&gt;0,Paths!$E$298&gt;(C3214-1)*12,Paths!$E$298&lt;=C3214*12)),VLOOKUP(A3214,'Fleet register'!$A$7:$S$106,16,FALSE),0),"n.a."))</f>
        <v>0</v>
      </c>
      <c r="O3214" s="16">
        <f>IF(NOT(Paths!$C$298=1),0,IF(Paths!$P$298="Complete",N3214-IF(C3214=0,Paths!$F$298,0),"n.a."))</f>
        <v>0</v>
      </c>
      <c r="P3214" s="16">
        <f>IF(NOT(Paths!$C$298=1),0,IF(Paths!$P$298="Complete",O3214+L3214,"n.a."))</f>
        <v>0</v>
      </c>
      <c r="Q3214" s="16">
        <f>IF(NOT(Paths!$C$298=1),0,IF(Paths!$P$298="Complete",N3214*(1+'Operating costs'!$B$54)^-C3214,"n.a."))</f>
        <v>0</v>
      </c>
      <c r="R3214" s="16">
        <f>IF(NOT(Paths!$C$298=1),0,IF(Paths!$P$298="Complete",IF(AND(C3214=0,Paths!$E$298=0),I3214-J3214-K3214+VLOOKUP(A3214,'Fleet register'!$A$7:$S$106,15,FALSE)+VLOOKUP(A3214,'Fleet register'!$A$7:$S$106,16,FALSE),0),"n.a."))</f>
        <v>0</v>
      </c>
      <c r="S3214" s="1">
        <f>IF(NOT(Paths!$C$298=1),0,IF(Paths!$P$298="Complete",IF(C3214=0,0,Paths!$S$298*Paths!$R$298),"n.a."))</f>
        <v>0</v>
      </c>
      <c r="T3214" s="1">
        <f>IF(NOT(Paths!$C$298=1),0,IF(Paths!$P$298="Complete",IF(C3214=0,0,VLOOKUP(A3214,'Fleet register'!$A$7:$S$106,9,FALSE)*Paths!$R$298),"n.a."))</f>
        <v>0</v>
      </c>
    </row>
    <row r="3215" spans="1:20" ht="24" customHeight="1">
      <c r="A3215" s="1" t="str">
        <f>Paths!$A$298</f>
        <v>T073</v>
      </c>
      <c r="B3215" s="1">
        <f>Paths!$B$298</f>
        <v>3</v>
      </c>
      <c r="C3215" s="1">
        <v>7</v>
      </c>
      <c r="D3215" s="1">
        <v>298</v>
      </c>
      <c r="E3215" s="1">
        <f>IF(OR(Paths!$C$298=0,C3215=0),0,MAX(0,MIN(C3215*12,Paths!$E$298)-(C3215-1)*12))</f>
        <v>0</v>
      </c>
      <c r="F3215" s="1">
        <f>IF(OR(Paths!$C$298=0,C3215=0),0,12-E3215)</f>
        <v>0</v>
      </c>
      <c r="G3215" s="16">
        <f>IF(NOT(Paths!$C$298=1),0,IF(Paths!$P$298="Complete",E3215/12*(Paths!$J$298*(1+'Operating costs'!$B$51)^MAX(0,C3215-1)+Paths!$K$298*(1+'Operating costs'!$B$53)^MAX(0,C3215-1)),"n.a."))</f>
        <v>0</v>
      </c>
      <c r="H3215" s="16">
        <f>IF(NOT(Paths!$C$298=1),0,IF(Paths!$P$298="Complete",F3215/12*(Paths!$L$298*(1+IF(Paths!$D$298="EV",'Operating costs'!$B$52,'Operating costs'!$B$51))^MAX(0,C3215-1)+Paths!$M$298*(1+'Operating costs'!$B$53)^MAX(0,C3215-1)),"n.a."))</f>
        <v>0</v>
      </c>
      <c r="I3215" s="16">
        <f>IF(NOT(Paths!$C$298=1),0,IF(Paths!$P$298="Complete",IF(IF(Paths!$E$298=0,C3215=0,AND(C3215&gt;0,Paths!$E$298&gt;(C3215-1)*12,Paths!$E$298&lt;=C3215*12)),Paths!$G$298,0),"n.a."))</f>
        <v>0</v>
      </c>
      <c r="J3215" s="16">
        <f>IF(NOT(Paths!$C$298=1),0,IF(Paths!$P$298="Complete",IF(IF(Paths!$E$298=0,C3215=0,AND(C3215&gt;0,Paths!$E$298&gt;(C3215-1)*12,Paths!$E$298&lt;=C3215*12)),Paths!$H$298,0),"n.a."))</f>
        <v>0</v>
      </c>
      <c r="K3215" s="16">
        <f>IF(NOT(Paths!$C$298=1),0,IF(Paths!$P$298="Complete",IF(IF(Paths!$O$298=0,C3215=0,AND(C3215&gt;0,Paths!$O$298&gt;(C3215-1)*12,Paths!$O$298&lt;=C3215*12)),Paths!$N$298,0),"n.a."))</f>
        <v>0</v>
      </c>
      <c r="L3215" s="16">
        <f>IF(NOT(Paths!$C$298=1),0,IF(Paths!$P$298="Complete",IF(C3215=10,Paths!$I$298,0),"n.a."))</f>
        <v>0</v>
      </c>
      <c r="M3215" s="16">
        <f>IF(NOT(Paths!$C$298=1),0,IF(Paths!$P$298="Complete",IF(AND(Paths!$D$298="EV",Paths!$E$298&lt;120,Paths!$E$298+'Operating costs'!$B$65&gt;Paths!$E$298,Paths!$E$298+'Operating costs'!$B$65&lt;=120,IF(Paths!$E$298+'Operating costs'!$B$65=0,C3215=0,AND(C3215&gt;0,Paths!$E$298+'Operating costs'!$B$65&gt;(C3215-1)*12,Paths!$E$298+'Operating costs'!$B$65&lt;=C3215*12))),'Operating costs'!$B$64,0)+IF(AND('Operating costs'!$B$67&gt;0,'Operating costs'!$B$67&lt;=120,OR(Paths!$D$298="ICE",'Operating costs'!$B$67&lt;=Paths!$E$298),IF('Operating costs'!$B$67=0,C3215=0,AND(C3215&gt;0,'Operating costs'!$B$67&gt;(C3215-1)*12,'Operating costs'!$B$67&lt;=C3215*12))),'Operating costs'!$B$66,0),"n.a."))</f>
        <v>0</v>
      </c>
      <c r="N3215" s="16">
        <f>IF(NOT(Paths!$C$298=1),0,IF(Paths!$P$298="Complete",SUM(G3215:I3215)-J3215-K3215-L3215+M3215+IF(C3215=0,Paths!$F$298,0)+IF(IF(Paths!$E$298=0,C3215=0,AND(C3215&gt;0,Paths!$E$298&gt;(C3215-1)*12,Paths!$E$298&lt;=C3215*12)),VLOOKUP(A3215,'Fleet register'!$A$7:$S$106,16,FALSE),0),"n.a."))</f>
        <v>0</v>
      </c>
      <c r="O3215" s="16">
        <f>IF(NOT(Paths!$C$298=1),0,IF(Paths!$P$298="Complete",N3215-IF(C3215=0,Paths!$F$298,0),"n.a."))</f>
        <v>0</v>
      </c>
      <c r="P3215" s="16">
        <f>IF(NOT(Paths!$C$298=1),0,IF(Paths!$P$298="Complete",O3215+L3215,"n.a."))</f>
        <v>0</v>
      </c>
      <c r="Q3215" s="16">
        <f>IF(NOT(Paths!$C$298=1),0,IF(Paths!$P$298="Complete",N3215*(1+'Operating costs'!$B$54)^-C3215,"n.a."))</f>
        <v>0</v>
      </c>
      <c r="R3215" s="16">
        <f>IF(NOT(Paths!$C$298=1),0,IF(Paths!$P$298="Complete",IF(AND(C3215=0,Paths!$E$298=0),I3215-J3215-K3215+VLOOKUP(A3215,'Fleet register'!$A$7:$S$106,15,FALSE)+VLOOKUP(A3215,'Fleet register'!$A$7:$S$106,16,FALSE),0),"n.a."))</f>
        <v>0</v>
      </c>
      <c r="S3215" s="1">
        <f>IF(NOT(Paths!$C$298=1),0,IF(Paths!$P$298="Complete",IF(C3215=0,0,Paths!$S$298*Paths!$R$298),"n.a."))</f>
        <v>0</v>
      </c>
      <c r="T3215" s="1">
        <f>IF(NOT(Paths!$C$298=1),0,IF(Paths!$P$298="Complete",IF(C3215=0,0,VLOOKUP(A3215,'Fleet register'!$A$7:$S$106,9,FALSE)*Paths!$R$298),"n.a."))</f>
        <v>0</v>
      </c>
    </row>
    <row r="3216" spans="1:20" ht="24" customHeight="1">
      <c r="A3216" s="1" t="str">
        <f>Paths!$A$298</f>
        <v>T073</v>
      </c>
      <c r="B3216" s="1">
        <f>Paths!$B$298</f>
        <v>3</v>
      </c>
      <c r="C3216" s="1">
        <v>8</v>
      </c>
      <c r="D3216" s="1">
        <v>298</v>
      </c>
      <c r="E3216" s="1">
        <f>IF(OR(Paths!$C$298=0,C3216=0),0,MAX(0,MIN(C3216*12,Paths!$E$298)-(C3216-1)*12))</f>
        <v>0</v>
      </c>
      <c r="F3216" s="1">
        <f>IF(OR(Paths!$C$298=0,C3216=0),0,12-E3216)</f>
        <v>0</v>
      </c>
      <c r="G3216" s="16">
        <f>IF(NOT(Paths!$C$298=1),0,IF(Paths!$P$298="Complete",E3216/12*(Paths!$J$298*(1+'Operating costs'!$B$51)^MAX(0,C3216-1)+Paths!$K$298*(1+'Operating costs'!$B$53)^MAX(0,C3216-1)),"n.a."))</f>
        <v>0</v>
      </c>
      <c r="H3216" s="16">
        <f>IF(NOT(Paths!$C$298=1),0,IF(Paths!$P$298="Complete",F3216/12*(Paths!$L$298*(1+IF(Paths!$D$298="EV",'Operating costs'!$B$52,'Operating costs'!$B$51))^MAX(0,C3216-1)+Paths!$M$298*(1+'Operating costs'!$B$53)^MAX(0,C3216-1)),"n.a."))</f>
        <v>0</v>
      </c>
      <c r="I3216" s="16">
        <f>IF(NOT(Paths!$C$298=1),0,IF(Paths!$P$298="Complete",IF(IF(Paths!$E$298=0,C3216=0,AND(C3216&gt;0,Paths!$E$298&gt;(C3216-1)*12,Paths!$E$298&lt;=C3216*12)),Paths!$G$298,0),"n.a."))</f>
        <v>0</v>
      </c>
      <c r="J3216" s="16">
        <f>IF(NOT(Paths!$C$298=1),0,IF(Paths!$P$298="Complete",IF(IF(Paths!$E$298=0,C3216=0,AND(C3216&gt;0,Paths!$E$298&gt;(C3216-1)*12,Paths!$E$298&lt;=C3216*12)),Paths!$H$298,0),"n.a."))</f>
        <v>0</v>
      </c>
      <c r="K3216" s="16">
        <f>IF(NOT(Paths!$C$298=1),0,IF(Paths!$P$298="Complete",IF(IF(Paths!$O$298=0,C3216=0,AND(C3216&gt;0,Paths!$O$298&gt;(C3216-1)*12,Paths!$O$298&lt;=C3216*12)),Paths!$N$298,0),"n.a."))</f>
        <v>0</v>
      </c>
      <c r="L3216" s="16">
        <f>IF(NOT(Paths!$C$298=1),0,IF(Paths!$P$298="Complete",IF(C3216=10,Paths!$I$298,0),"n.a."))</f>
        <v>0</v>
      </c>
      <c r="M3216" s="16">
        <f>IF(NOT(Paths!$C$298=1),0,IF(Paths!$P$298="Complete",IF(AND(Paths!$D$298="EV",Paths!$E$298&lt;120,Paths!$E$298+'Operating costs'!$B$65&gt;Paths!$E$298,Paths!$E$298+'Operating costs'!$B$65&lt;=120,IF(Paths!$E$298+'Operating costs'!$B$65=0,C3216=0,AND(C3216&gt;0,Paths!$E$298+'Operating costs'!$B$65&gt;(C3216-1)*12,Paths!$E$298+'Operating costs'!$B$65&lt;=C3216*12))),'Operating costs'!$B$64,0)+IF(AND('Operating costs'!$B$67&gt;0,'Operating costs'!$B$67&lt;=120,OR(Paths!$D$298="ICE",'Operating costs'!$B$67&lt;=Paths!$E$298),IF('Operating costs'!$B$67=0,C3216=0,AND(C3216&gt;0,'Operating costs'!$B$67&gt;(C3216-1)*12,'Operating costs'!$B$67&lt;=C3216*12))),'Operating costs'!$B$66,0),"n.a."))</f>
        <v>0</v>
      </c>
      <c r="N3216" s="16">
        <f>IF(NOT(Paths!$C$298=1),0,IF(Paths!$P$298="Complete",SUM(G3216:I3216)-J3216-K3216-L3216+M3216+IF(C3216=0,Paths!$F$298,0)+IF(IF(Paths!$E$298=0,C3216=0,AND(C3216&gt;0,Paths!$E$298&gt;(C3216-1)*12,Paths!$E$298&lt;=C3216*12)),VLOOKUP(A3216,'Fleet register'!$A$7:$S$106,16,FALSE),0),"n.a."))</f>
        <v>0</v>
      </c>
      <c r="O3216" s="16">
        <f>IF(NOT(Paths!$C$298=1),0,IF(Paths!$P$298="Complete",N3216-IF(C3216=0,Paths!$F$298,0),"n.a."))</f>
        <v>0</v>
      </c>
      <c r="P3216" s="16">
        <f>IF(NOT(Paths!$C$298=1),0,IF(Paths!$P$298="Complete",O3216+L3216,"n.a."))</f>
        <v>0</v>
      </c>
      <c r="Q3216" s="16">
        <f>IF(NOT(Paths!$C$298=1),0,IF(Paths!$P$298="Complete",N3216*(1+'Operating costs'!$B$54)^-C3216,"n.a."))</f>
        <v>0</v>
      </c>
      <c r="R3216" s="16">
        <f>IF(NOT(Paths!$C$298=1),0,IF(Paths!$P$298="Complete",IF(AND(C3216=0,Paths!$E$298=0),I3216-J3216-K3216+VLOOKUP(A3216,'Fleet register'!$A$7:$S$106,15,FALSE)+VLOOKUP(A3216,'Fleet register'!$A$7:$S$106,16,FALSE),0),"n.a."))</f>
        <v>0</v>
      </c>
      <c r="S3216" s="1">
        <f>IF(NOT(Paths!$C$298=1),0,IF(Paths!$P$298="Complete",IF(C3216=0,0,Paths!$S$298*Paths!$R$298),"n.a."))</f>
        <v>0</v>
      </c>
      <c r="T3216" s="1">
        <f>IF(NOT(Paths!$C$298=1),0,IF(Paths!$P$298="Complete",IF(C3216=0,0,VLOOKUP(A3216,'Fleet register'!$A$7:$S$106,9,FALSE)*Paths!$R$298),"n.a."))</f>
        <v>0</v>
      </c>
    </row>
    <row r="3217" spans="1:20" ht="24" customHeight="1">
      <c r="A3217" s="1" t="str">
        <f>Paths!$A$298</f>
        <v>T073</v>
      </c>
      <c r="B3217" s="1">
        <f>Paths!$B$298</f>
        <v>3</v>
      </c>
      <c r="C3217" s="1">
        <v>9</v>
      </c>
      <c r="D3217" s="1">
        <v>298</v>
      </c>
      <c r="E3217" s="1">
        <f>IF(OR(Paths!$C$298=0,C3217=0),0,MAX(0,MIN(C3217*12,Paths!$E$298)-(C3217-1)*12))</f>
        <v>0</v>
      </c>
      <c r="F3217" s="1">
        <f>IF(OR(Paths!$C$298=0,C3217=0),0,12-E3217)</f>
        <v>0</v>
      </c>
      <c r="G3217" s="16">
        <f>IF(NOT(Paths!$C$298=1),0,IF(Paths!$P$298="Complete",E3217/12*(Paths!$J$298*(1+'Operating costs'!$B$51)^MAX(0,C3217-1)+Paths!$K$298*(1+'Operating costs'!$B$53)^MAX(0,C3217-1)),"n.a."))</f>
        <v>0</v>
      </c>
      <c r="H3217" s="16">
        <f>IF(NOT(Paths!$C$298=1),0,IF(Paths!$P$298="Complete",F3217/12*(Paths!$L$298*(1+IF(Paths!$D$298="EV",'Operating costs'!$B$52,'Operating costs'!$B$51))^MAX(0,C3217-1)+Paths!$M$298*(1+'Operating costs'!$B$53)^MAX(0,C3217-1)),"n.a."))</f>
        <v>0</v>
      </c>
      <c r="I3217" s="16">
        <f>IF(NOT(Paths!$C$298=1),0,IF(Paths!$P$298="Complete",IF(IF(Paths!$E$298=0,C3217=0,AND(C3217&gt;0,Paths!$E$298&gt;(C3217-1)*12,Paths!$E$298&lt;=C3217*12)),Paths!$G$298,0),"n.a."))</f>
        <v>0</v>
      </c>
      <c r="J3217" s="16">
        <f>IF(NOT(Paths!$C$298=1),0,IF(Paths!$P$298="Complete",IF(IF(Paths!$E$298=0,C3217=0,AND(C3217&gt;0,Paths!$E$298&gt;(C3217-1)*12,Paths!$E$298&lt;=C3217*12)),Paths!$H$298,0),"n.a."))</f>
        <v>0</v>
      </c>
      <c r="K3217" s="16">
        <f>IF(NOT(Paths!$C$298=1),0,IF(Paths!$P$298="Complete",IF(IF(Paths!$O$298=0,C3217=0,AND(C3217&gt;0,Paths!$O$298&gt;(C3217-1)*12,Paths!$O$298&lt;=C3217*12)),Paths!$N$298,0),"n.a."))</f>
        <v>0</v>
      </c>
      <c r="L3217" s="16">
        <f>IF(NOT(Paths!$C$298=1),0,IF(Paths!$P$298="Complete",IF(C3217=10,Paths!$I$298,0),"n.a."))</f>
        <v>0</v>
      </c>
      <c r="M3217" s="16">
        <f>IF(NOT(Paths!$C$298=1),0,IF(Paths!$P$298="Complete",IF(AND(Paths!$D$298="EV",Paths!$E$298&lt;120,Paths!$E$298+'Operating costs'!$B$65&gt;Paths!$E$298,Paths!$E$298+'Operating costs'!$B$65&lt;=120,IF(Paths!$E$298+'Operating costs'!$B$65=0,C3217=0,AND(C3217&gt;0,Paths!$E$298+'Operating costs'!$B$65&gt;(C3217-1)*12,Paths!$E$298+'Operating costs'!$B$65&lt;=C3217*12))),'Operating costs'!$B$64,0)+IF(AND('Operating costs'!$B$67&gt;0,'Operating costs'!$B$67&lt;=120,OR(Paths!$D$298="ICE",'Operating costs'!$B$67&lt;=Paths!$E$298),IF('Operating costs'!$B$67=0,C3217=0,AND(C3217&gt;0,'Operating costs'!$B$67&gt;(C3217-1)*12,'Operating costs'!$B$67&lt;=C3217*12))),'Operating costs'!$B$66,0),"n.a."))</f>
        <v>0</v>
      </c>
      <c r="N3217" s="16">
        <f>IF(NOT(Paths!$C$298=1),0,IF(Paths!$P$298="Complete",SUM(G3217:I3217)-J3217-K3217-L3217+M3217+IF(C3217=0,Paths!$F$298,0)+IF(IF(Paths!$E$298=0,C3217=0,AND(C3217&gt;0,Paths!$E$298&gt;(C3217-1)*12,Paths!$E$298&lt;=C3217*12)),VLOOKUP(A3217,'Fleet register'!$A$7:$S$106,16,FALSE),0),"n.a."))</f>
        <v>0</v>
      </c>
      <c r="O3217" s="16">
        <f>IF(NOT(Paths!$C$298=1),0,IF(Paths!$P$298="Complete",N3217-IF(C3217=0,Paths!$F$298,0),"n.a."))</f>
        <v>0</v>
      </c>
      <c r="P3217" s="16">
        <f>IF(NOT(Paths!$C$298=1),0,IF(Paths!$P$298="Complete",O3217+L3217,"n.a."))</f>
        <v>0</v>
      </c>
      <c r="Q3217" s="16">
        <f>IF(NOT(Paths!$C$298=1),0,IF(Paths!$P$298="Complete",N3217*(1+'Operating costs'!$B$54)^-C3217,"n.a."))</f>
        <v>0</v>
      </c>
      <c r="R3217" s="16">
        <f>IF(NOT(Paths!$C$298=1),0,IF(Paths!$P$298="Complete",IF(AND(C3217=0,Paths!$E$298=0),I3217-J3217-K3217+VLOOKUP(A3217,'Fleet register'!$A$7:$S$106,15,FALSE)+VLOOKUP(A3217,'Fleet register'!$A$7:$S$106,16,FALSE),0),"n.a."))</f>
        <v>0</v>
      </c>
      <c r="S3217" s="1">
        <f>IF(NOT(Paths!$C$298=1),0,IF(Paths!$P$298="Complete",IF(C3217=0,0,Paths!$S$298*Paths!$R$298),"n.a."))</f>
        <v>0</v>
      </c>
      <c r="T3217" s="1">
        <f>IF(NOT(Paths!$C$298=1),0,IF(Paths!$P$298="Complete",IF(C3217=0,0,VLOOKUP(A3217,'Fleet register'!$A$7:$S$106,9,FALSE)*Paths!$R$298),"n.a."))</f>
        <v>0</v>
      </c>
    </row>
    <row r="3218" spans="1:20" ht="24" customHeight="1">
      <c r="A3218" s="1" t="str">
        <f>Paths!$A$298</f>
        <v>T073</v>
      </c>
      <c r="B3218" s="1">
        <f>Paths!$B$298</f>
        <v>3</v>
      </c>
      <c r="C3218" s="1">
        <v>10</v>
      </c>
      <c r="D3218" s="1">
        <v>298</v>
      </c>
      <c r="E3218" s="1">
        <f>IF(OR(Paths!$C$298=0,C3218=0),0,MAX(0,MIN(C3218*12,Paths!$E$298)-(C3218-1)*12))</f>
        <v>0</v>
      </c>
      <c r="F3218" s="1">
        <f>IF(OR(Paths!$C$298=0,C3218=0),0,12-E3218)</f>
        <v>0</v>
      </c>
      <c r="G3218" s="16">
        <f>IF(NOT(Paths!$C$298=1),0,IF(Paths!$P$298="Complete",E3218/12*(Paths!$J$298*(1+'Operating costs'!$B$51)^MAX(0,C3218-1)+Paths!$K$298*(1+'Operating costs'!$B$53)^MAX(0,C3218-1)),"n.a."))</f>
        <v>0</v>
      </c>
      <c r="H3218" s="16">
        <f>IF(NOT(Paths!$C$298=1),0,IF(Paths!$P$298="Complete",F3218/12*(Paths!$L$298*(1+IF(Paths!$D$298="EV",'Operating costs'!$B$52,'Operating costs'!$B$51))^MAX(0,C3218-1)+Paths!$M$298*(1+'Operating costs'!$B$53)^MAX(0,C3218-1)),"n.a."))</f>
        <v>0</v>
      </c>
      <c r="I3218" s="16">
        <f>IF(NOT(Paths!$C$298=1),0,IF(Paths!$P$298="Complete",IF(IF(Paths!$E$298=0,C3218=0,AND(C3218&gt;0,Paths!$E$298&gt;(C3218-1)*12,Paths!$E$298&lt;=C3218*12)),Paths!$G$298,0),"n.a."))</f>
        <v>0</v>
      </c>
      <c r="J3218" s="16">
        <f>IF(NOT(Paths!$C$298=1),0,IF(Paths!$P$298="Complete",IF(IF(Paths!$E$298=0,C3218=0,AND(C3218&gt;0,Paths!$E$298&gt;(C3218-1)*12,Paths!$E$298&lt;=C3218*12)),Paths!$H$298,0),"n.a."))</f>
        <v>0</v>
      </c>
      <c r="K3218" s="16">
        <f>IF(NOT(Paths!$C$298=1),0,IF(Paths!$P$298="Complete",IF(IF(Paths!$O$298=0,C3218=0,AND(C3218&gt;0,Paths!$O$298&gt;(C3218-1)*12,Paths!$O$298&lt;=C3218*12)),Paths!$N$298,0),"n.a."))</f>
        <v>0</v>
      </c>
      <c r="L3218" s="16">
        <f>IF(NOT(Paths!$C$298=1),0,IF(Paths!$P$298="Complete",IF(C3218=10,Paths!$I$298,0),"n.a."))</f>
        <v>0</v>
      </c>
      <c r="M3218" s="16">
        <f>IF(NOT(Paths!$C$298=1),0,IF(Paths!$P$298="Complete",IF(AND(Paths!$D$298="EV",Paths!$E$298&lt;120,Paths!$E$298+'Operating costs'!$B$65&gt;Paths!$E$298,Paths!$E$298+'Operating costs'!$B$65&lt;=120,IF(Paths!$E$298+'Operating costs'!$B$65=0,C3218=0,AND(C3218&gt;0,Paths!$E$298+'Operating costs'!$B$65&gt;(C3218-1)*12,Paths!$E$298+'Operating costs'!$B$65&lt;=C3218*12))),'Operating costs'!$B$64,0)+IF(AND('Operating costs'!$B$67&gt;0,'Operating costs'!$B$67&lt;=120,OR(Paths!$D$298="ICE",'Operating costs'!$B$67&lt;=Paths!$E$298),IF('Operating costs'!$B$67=0,C3218=0,AND(C3218&gt;0,'Operating costs'!$B$67&gt;(C3218-1)*12,'Operating costs'!$B$67&lt;=C3218*12))),'Operating costs'!$B$66,0),"n.a."))</f>
        <v>0</v>
      </c>
      <c r="N3218" s="16">
        <f>IF(NOT(Paths!$C$298=1),0,IF(Paths!$P$298="Complete",SUM(G3218:I3218)-J3218-K3218-L3218+M3218+IF(C3218=0,Paths!$F$298,0)+IF(IF(Paths!$E$298=0,C3218=0,AND(C3218&gt;0,Paths!$E$298&gt;(C3218-1)*12,Paths!$E$298&lt;=C3218*12)),VLOOKUP(A3218,'Fleet register'!$A$7:$S$106,16,FALSE),0),"n.a."))</f>
        <v>0</v>
      </c>
      <c r="O3218" s="16">
        <f>IF(NOT(Paths!$C$298=1),0,IF(Paths!$P$298="Complete",N3218-IF(C3218=0,Paths!$F$298,0),"n.a."))</f>
        <v>0</v>
      </c>
      <c r="P3218" s="16">
        <f>IF(NOT(Paths!$C$298=1),0,IF(Paths!$P$298="Complete",O3218+L3218,"n.a."))</f>
        <v>0</v>
      </c>
      <c r="Q3218" s="16">
        <f>IF(NOT(Paths!$C$298=1),0,IF(Paths!$P$298="Complete",N3218*(1+'Operating costs'!$B$54)^-C3218,"n.a."))</f>
        <v>0</v>
      </c>
      <c r="R3218" s="16">
        <f>IF(NOT(Paths!$C$298=1),0,IF(Paths!$P$298="Complete",IF(AND(C3218=0,Paths!$E$298=0),I3218-J3218-K3218+VLOOKUP(A3218,'Fleet register'!$A$7:$S$106,15,FALSE)+VLOOKUP(A3218,'Fleet register'!$A$7:$S$106,16,FALSE),0),"n.a."))</f>
        <v>0</v>
      </c>
      <c r="S3218" s="1">
        <f>IF(NOT(Paths!$C$298=1),0,IF(Paths!$P$298="Complete",IF(C3218=0,0,Paths!$S$298*Paths!$R$298),"n.a."))</f>
        <v>0</v>
      </c>
      <c r="T3218" s="1">
        <f>IF(NOT(Paths!$C$298=1),0,IF(Paths!$P$298="Complete",IF(C3218=0,0,VLOOKUP(A3218,'Fleet register'!$A$7:$S$106,9,FALSE)*Paths!$R$298),"n.a."))</f>
        <v>0</v>
      </c>
    </row>
    <row r="3219" spans="1:20" ht="24" customHeight="1">
      <c r="A3219" s="1" t="str">
        <f>Paths!$A$299</f>
        <v>T074</v>
      </c>
      <c r="B3219" s="1">
        <f>Paths!$B$299</f>
        <v>0</v>
      </c>
      <c r="C3219" s="1">
        <v>0</v>
      </c>
      <c r="D3219" s="1">
        <v>299</v>
      </c>
      <c r="E3219" s="1">
        <f>IF(OR(Paths!$C$299=0,C3219=0),0,MAX(0,MIN(C3219*12,Paths!$E$299)-(C3219-1)*12))</f>
        <v>0</v>
      </c>
      <c r="F3219" s="1">
        <f>IF(OR(Paths!$C$299=0,C3219=0),0,12-E3219)</f>
        <v>0</v>
      </c>
      <c r="G3219" s="16">
        <f>IF(NOT(Paths!$C$299=1),0,IF(Paths!$P$299="Complete",E3219/12*(Paths!$J$299*(1+'Operating costs'!$B$51)^MAX(0,C3219-1)+Paths!$K$299*(1+'Operating costs'!$B$53)^MAX(0,C3219-1)),"n.a."))</f>
        <v>0</v>
      </c>
      <c r="H3219" s="16">
        <f>IF(NOT(Paths!$C$299=1),0,IF(Paths!$P$299="Complete",F3219/12*(Paths!$L$299*(1+IF(Paths!$D$299="EV",'Operating costs'!$B$52,'Operating costs'!$B$51))^MAX(0,C3219-1)+Paths!$M$299*(1+'Operating costs'!$B$53)^MAX(0,C3219-1)),"n.a."))</f>
        <v>0</v>
      </c>
      <c r="I3219" s="16">
        <f>IF(NOT(Paths!$C$299=1),0,IF(Paths!$P$299="Complete",IF(IF(Paths!$E$299=0,C3219=0,AND(C3219&gt;0,Paths!$E$299&gt;(C3219-1)*12,Paths!$E$299&lt;=C3219*12)),Paths!$G$299,0),"n.a."))</f>
        <v>0</v>
      </c>
      <c r="J3219" s="16">
        <f>IF(NOT(Paths!$C$299=1),0,IF(Paths!$P$299="Complete",IF(IF(Paths!$E$299=0,C3219=0,AND(C3219&gt;0,Paths!$E$299&gt;(C3219-1)*12,Paths!$E$299&lt;=C3219*12)),Paths!$H$299,0),"n.a."))</f>
        <v>0</v>
      </c>
      <c r="K3219" s="16">
        <f>IF(NOT(Paths!$C$299=1),0,IF(Paths!$P$299="Complete",IF(IF(Paths!$O$299=0,C3219=0,AND(C3219&gt;0,Paths!$O$299&gt;(C3219-1)*12,Paths!$O$299&lt;=C3219*12)),Paths!$N$299,0),"n.a."))</f>
        <v>0</v>
      </c>
      <c r="L3219" s="16">
        <f>IF(NOT(Paths!$C$299=1),0,IF(Paths!$P$299="Complete",IF(C3219=10,Paths!$I$299,0),"n.a."))</f>
        <v>0</v>
      </c>
      <c r="M3219" s="16">
        <f>IF(NOT(Paths!$C$299=1),0,IF(Paths!$P$299="Complete",IF(AND(Paths!$D$299="EV",Paths!$E$299&lt;120,Paths!$E$299+'Operating costs'!$B$65&gt;Paths!$E$299,Paths!$E$299+'Operating costs'!$B$65&lt;=120,IF(Paths!$E$299+'Operating costs'!$B$65=0,C3219=0,AND(C3219&gt;0,Paths!$E$299+'Operating costs'!$B$65&gt;(C3219-1)*12,Paths!$E$299+'Operating costs'!$B$65&lt;=C3219*12))),'Operating costs'!$B$64,0)+IF(AND('Operating costs'!$B$67&gt;0,'Operating costs'!$B$67&lt;=120,OR(Paths!$D$299="ICE",'Operating costs'!$B$67&lt;=Paths!$E$299),IF('Operating costs'!$B$67=0,C3219=0,AND(C3219&gt;0,'Operating costs'!$B$67&gt;(C3219-1)*12,'Operating costs'!$B$67&lt;=C3219*12))),'Operating costs'!$B$66,0),"n.a."))</f>
        <v>0</v>
      </c>
      <c r="N3219" s="16">
        <f>IF(NOT(Paths!$C$299=1),0,IF(Paths!$P$299="Complete",SUM(G3219:I3219)-J3219-K3219-L3219+M3219+IF(C3219=0,Paths!$F$299,0)+IF(IF(Paths!$E$299=0,C3219=0,AND(C3219&gt;0,Paths!$E$299&gt;(C3219-1)*12,Paths!$E$299&lt;=C3219*12)),VLOOKUP(A3219,'Fleet register'!$A$7:$S$106,16,FALSE),0),"n.a."))</f>
        <v>0</v>
      </c>
      <c r="O3219" s="16">
        <f>IF(NOT(Paths!$C$299=1),0,IF(Paths!$P$299="Complete",N3219-IF(C3219=0,Paths!$F$299,0),"n.a."))</f>
        <v>0</v>
      </c>
      <c r="P3219" s="16">
        <f>IF(NOT(Paths!$C$299=1),0,IF(Paths!$P$299="Complete",O3219+L3219,"n.a."))</f>
        <v>0</v>
      </c>
      <c r="Q3219" s="16">
        <f>IF(NOT(Paths!$C$299=1),0,IF(Paths!$P$299="Complete",N3219*(1+'Operating costs'!$B$54)^-C3219,"n.a."))</f>
        <v>0</v>
      </c>
      <c r="R3219" s="16">
        <f>IF(NOT(Paths!$C$299=1),0,IF(Paths!$P$299="Complete",IF(AND(C3219=0,Paths!$E$299=0),I3219-J3219-K3219+VLOOKUP(A3219,'Fleet register'!$A$7:$S$106,15,FALSE)+VLOOKUP(A3219,'Fleet register'!$A$7:$S$106,16,FALSE),0),"n.a."))</f>
        <v>0</v>
      </c>
      <c r="S3219" s="1">
        <f>IF(NOT(Paths!$C$299=1),0,IF(Paths!$P$299="Complete",IF(C3219=0,0,Paths!$S$299*Paths!$R$299),"n.a."))</f>
        <v>0</v>
      </c>
      <c r="T3219" s="1">
        <f>IF(NOT(Paths!$C$299=1),0,IF(Paths!$P$299="Complete",IF(C3219=0,0,VLOOKUP(A3219,'Fleet register'!$A$7:$S$106,9,FALSE)*Paths!$R$299),"n.a."))</f>
        <v>0</v>
      </c>
    </row>
    <row r="3220" spans="1:20" ht="24" customHeight="1">
      <c r="A3220" s="1" t="str">
        <f>Paths!$A$299</f>
        <v>T074</v>
      </c>
      <c r="B3220" s="1">
        <f>Paths!$B$299</f>
        <v>0</v>
      </c>
      <c r="C3220" s="1">
        <v>1</v>
      </c>
      <c r="D3220" s="1">
        <v>299</v>
      </c>
      <c r="E3220" s="1">
        <f>IF(OR(Paths!$C$299=0,C3220=0),0,MAX(0,MIN(C3220*12,Paths!$E$299)-(C3220-1)*12))</f>
        <v>0</v>
      </c>
      <c r="F3220" s="1">
        <f>IF(OR(Paths!$C$299=0,C3220=0),0,12-E3220)</f>
        <v>0</v>
      </c>
      <c r="G3220" s="16">
        <f>IF(NOT(Paths!$C$299=1),0,IF(Paths!$P$299="Complete",E3220/12*(Paths!$J$299*(1+'Operating costs'!$B$51)^MAX(0,C3220-1)+Paths!$K$299*(1+'Operating costs'!$B$53)^MAX(0,C3220-1)),"n.a."))</f>
        <v>0</v>
      </c>
      <c r="H3220" s="16">
        <f>IF(NOT(Paths!$C$299=1),0,IF(Paths!$P$299="Complete",F3220/12*(Paths!$L$299*(1+IF(Paths!$D$299="EV",'Operating costs'!$B$52,'Operating costs'!$B$51))^MAX(0,C3220-1)+Paths!$M$299*(1+'Operating costs'!$B$53)^MAX(0,C3220-1)),"n.a."))</f>
        <v>0</v>
      </c>
      <c r="I3220" s="16">
        <f>IF(NOT(Paths!$C$299=1),0,IF(Paths!$P$299="Complete",IF(IF(Paths!$E$299=0,C3220=0,AND(C3220&gt;0,Paths!$E$299&gt;(C3220-1)*12,Paths!$E$299&lt;=C3220*12)),Paths!$G$299,0),"n.a."))</f>
        <v>0</v>
      </c>
      <c r="J3220" s="16">
        <f>IF(NOT(Paths!$C$299=1),0,IF(Paths!$P$299="Complete",IF(IF(Paths!$E$299=0,C3220=0,AND(C3220&gt;0,Paths!$E$299&gt;(C3220-1)*12,Paths!$E$299&lt;=C3220*12)),Paths!$H$299,0),"n.a."))</f>
        <v>0</v>
      </c>
      <c r="K3220" s="16">
        <f>IF(NOT(Paths!$C$299=1),0,IF(Paths!$P$299="Complete",IF(IF(Paths!$O$299=0,C3220=0,AND(C3220&gt;0,Paths!$O$299&gt;(C3220-1)*12,Paths!$O$299&lt;=C3220*12)),Paths!$N$299,0),"n.a."))</f>
        <v>0</v>
      </c>
      <c r="L3220" s="16">
        <f>IF(NOT(Paths!$C$299=1),0,IF(Paths!$P$299="Complete",IF(C3220=10,Paths!$I$299,0),"n.a."))</f>
        <v>0</v>
      </c>
      <c r="M3220" s="16">
        <f>IF(NOT(Paths!$C$299=1),0,IF(Paths!$P$299="Complete",IF(AND(Paths!$D$299="EV",Paths!$E$299&lt;120,Paths!$E$299+'Operating costs'!$B$65&gt;Paths!$E$299,Paths!$E$299+'Operating costs'!$B$65&lt;=120,IF(Paths!$E$299+'Operating costs'!$B$65=0,C3220=0,AND(C3220&gt;0,Paths!$E$299+'Operating costs'!$B$65&gt;(C3220-1)*12,Paths!$E$299+'Operating costs'!$B$65&lt;=C3220*12))),'Operating costs'!$B$64,0)+IF(AND('Operating costs'!$B$67&gt;0,'Operating costs'!$B$67&lt;=120,OR(Paths!$D$299="ICE",'Operating costs'!$B$67&lt;=Paths!$E$299),IF('Operating costs'!$B$67=0,C3220=0,AND(C3220&gt;0,'Operating costs'!$B$67&gt;(C3220-1)*12,'Operating costs'!$B$67&lt;=C3220*12))),'Operating costs'!$B$66,0),"n.a."))</f>
        <v>0</v>
      </c>
      <c r="N3220" s="16">
        <f>IF(NOT(Paths!$C$299=1),0,IF(Paths!$P$299="Complete",SUM(G3220:I3220)-J3220-K3220-L3220+M3220+IF(C3220=0,Paths!$F$299,0)+IF(IF(Paths!$E$299=0,C3220=0,AND(C3220&gt;0,Paths!$E$299&gt;(C3220-1)*12,Paths!$E$299&lt;=C3220*12)),VLOOKUP(A3220,'Fleet register'!$A$7:$S$106,16,FALSE),0),"n.a."))</f>
        <v>0</v>
      </c>
      <c r="O3220" s="16">
        <f>IF(NOT(Paths!$C$299=1),0,IF(Paths!$P$299="Complete",N3220-IF(C3220=0,Paths!$F$299,0),"n.a."))</f>
        <v>0</v>
      </c>
      <c r="P3220" s="16">
        <f>IF(NOT(Paths!$C$299=1),0,IF(Paths!$P$299="Complete",O3220+L3220,"n.a."))</f>
        <v>0</v>
      </c>
      <c r="Q3220" s="16">
        <f>IF(NOT(Paths!$C$299=1),0,IF(Paths!$P$299="Complete",N3220*(1+'Operating costs'!$B$54)^-C3220,"n.a."))</f>
        <v>0</v>
      </c>
      <c r="R3220" s="16">
        <f>IF(NOT(Paths!$C$299=1),0,IF(Paths!$P$299="Complete",IF(AND(C3220=0,Paths!$E$299=0),I3220-J3220-K3220+VLOOKUP(A3220,'Fleet register'!$A$7:$S$106,15,FALSE)+VLOOKUP(A3220,'Fleet register'!$A$7:$S$106,16,FALSE),0),"n.a."))</f>
        <v>0</v>
      </c>
      <c r="S3220" s="1">
        <f>IF(NOT(Paths!$C$299=1),0,IF(Paths!$P$299="Complete",IF(C3220=0,0,Paths!$S$299*Paths!$R$299),"n.a."))</f>
        <v>0</v>
      </c>
      <c r="T3220" s="1">
        <f>IF(NOT(Paths!$C$299=1),0,IF(Paths!$P$299="Complete",IF(C3220=0,0,VLOOKUP(A3220,'Fleet register'!$A$7:$S$106,9,FALSE)*Paths!$R$299),"n.a."))</f>
        <v>0</v>
      </c>
    </row>
    <row r="3221" spans="1:20" ht="24" customHeight="1">
      <c r="A3221" s="1" t="str">
        <f>Paths!$A$299</f>
        <v>T074</v>
      </c>
      <c r="B3221" s="1">
        <f>Paths!$B$299</f>
        <v>0</v>
      </c>
      <c r="C3221" s="1">
        <v>2</v>
      </c>
      <c r="D3221" s="1">
        <v>299</v>
      </c>
      <c r="E3221" s="1">
        <f>IF(OR(Paths!$C$299=0,C3221=0),0,MAX(0,MIN(C3221*12,Paths!$E$299)-(C3221-1)*12))</f>
        <v>0</v>
      </c>
      <c r="F3221" s="1">
        <f>IF(OR(Paths!$C$299=0,C3221=0),0,12-E3221)</f>
        <v>0</v>
      </c>
      <c r="G3221" s="16">
        <f>IF(NOT(Paths!$C$299=1),0,IF(Paths!$P$299="Complete",E3221/12*(Paths!$J$299*(1+'Operating costs'!$B$51)^MAX(0,C3221-1)+Paths!$K$299*(1+'Operating costs'!$B$53)^MAX(0,C3221-1)),"n.a."))</f>
        <v>0</v>
      </c>
      <c r="H3221" s="16">
        <f>IF(NOT(Paths!$C$299=1),0,IF(Paths!$P$299="Complete",F3221/12*(Paths!$L$299*(1+IF(Paths!$D$299="EV",'Operating costs'!$B$52,'Operating costs'!$B$51))^MAX(0,C3221-1)+Paths!$M$299*(1+'Operating costs'!$B$53)^MAX(0,C3221-1)),"n.a."))</f>
        <v>0</v>
      </c>
      <c r="I3221" s="16">
        <f>IF(NOT(Paths!$C$299=1),0,IF(Paths!$P$299="Complete",IF(IF(Paths!$E$299=0,C3221=0,AND(C3221&gt;0,Paths!$E$299&gt;(C3221-1)*12,Paths!$E$299&lt;=C3221*12)),Paths!$G$299,0),"n.a."))</f>
        <v>0</v>
      </c>
      <c r="J3221" s="16">
        <f>IF(NOT(Paths!$C$299=1),0,IF(Paths!$P$299="Complete",IF(IF(Paths!$E$299=0,C3221=0,AND(C3221&gt;0,Paths!$E$299&gt;(C3221-1)*12,Paths!$E$299&lt;=C3221*12)),Paths!$H$299,0),"n.a."))</f>
        <v>0</v>
      </c>
      <c r="K3221" s="16">
        <f>IF(NOT(Paths!$C$299=1),0,IF(Paths!$P$299="Complete",IF(IF(Paths!$O$299=0,C3221=0,AND(C3221&gt;0,Paths!$O$299&gt;(C3221-1)*12,Paths!$O$299&lt;=C3221*12)),Paths!$N$299,0),"n.a."))</f>
        <v>0</v>
      </c>
      <c r="L3221" s="16">
        <f>IF(NOT(Paths!$C$299=1),0,IF(Paths!$P$299="Complete",IF(C3221=10,Paths!$I$299,0),"n.a."))</f>
        <v>0</v>
      </c>
      <c r="M3221" s="16">
        <f>IF(NOT(Paths!$C$299=1),0,IF(Paths!$P$299="Complete",IF(AND(Paths!$D$299="EV",Paths!$E$299&lt;120,Paths!$E$299+'Operating costs'!$B$65&gt;Paths!$E$299,Paths!$E$299+'Operating costs'!$B$65&lt;=120,IF(Paths!$E$299+'Operating costs'!$B$65=0,C3221=0,AND(C3221&gt;0,Paths!$E$299+'Operating costs'!$B$65&gt;(C3221-1)*12,Paths!$E$299+'Operating costs'!$B$65&lt;=C3221*12))),'Operating costs'!$B$64,0)+IF(AND('Operating costs'!$B$67&gt;0,'Operating costs'!$B$67&lt;=120,OR(Paths!$D$299="ICE",'Operating costs'!$B$67&lt;=Paths!$E$299),IF('Operating costs'!$B$67=0,C3221=0,AND(C3221&gt;0,'Operating costs'!$B$67&gt;(C3221-1)*12,'Operating costs'!$B$67&lt;=C3221*12))),'Operating costs'!$B$66,0),"n.a."))</f>
        <v>0</v>
      </c>
      <c r="N3221" s="16">
        <f>IF(NOT(Paths!$C$299=1),0,IF(Paths!$P$299="Complete",SUM(G3221:I3221)-J3221-K3221-L3221+M3221+IF(C3221=0,Paths!$F$299,0)+IF(IF(Paths!$E$299=0,C3221=0,AND(C3221&gt;0,Paths!$E$299&gt;(C3221-1)*12,Paths!$E$299&lt;=C3221*12)),VLOOKUP(A3221,'Fleet register'!$A$7:$S$106,16,FALSE),0),"n.a."))</f>
        <v>0</v>
      </c>
      <c r="O3221" s="16">
        <f>IF(NOT(Paths!$C$299=1),0,IF(Paths!$P$299="Complete",N3221-IF(C3221=0,Paths!$F$299,0),"n.a."))</f>
        <v>0</v>
      </c>
      <c r="P3221" s="16">
        <f>IF(NOT(Paths!$C$299=1),0,IF(Paths!$P$299="Complete",O3221+L3221,"n.a."))</f>
        <v>0</v>
      </c>
      <c r="Q3221" s="16">
        <f>IF(NOT(Paths!$C$299=1),0,IF(Paths!$P$299="Complete",N3221*(1+'Operating costs'!$B$54)^-C3221,"n.a."))</f>
        <v>0</v>
      </c>
      <c r="R3221" s="16">
        <f>IF(NOT(Paths!$C$299=1),0,IF(Paths!$P$299="Complete",IF(AND(C3221=0,Paths!$E$299=0),I3221-J3221-K3221+VLOOKUP(A3221,'Fleet register'!$A$7:$S$106,15,FALSE)+VLOOKUP(A3221,'Fleet register'!$A$7:$S$106,16,FALSE),0),"n.a."))</f>
        <v>0</v>
      </c>
      <c r="S3221" s="1">
        <f>IF(NOT(Paths!$C$299=1),0,IF(Paths!$P$299="Complete",IF(C3221=0,0,Paths!$S$299*Paths!$R$299),"n.a."))</f>
        <v>0</v>
      </c>
      <c r="T3221" s="1">
        <f>IF(NOT(Paths!$C$299=1),0,IF(Paths!$P$299="Complete",IF(C3221=0,0,VLOOKUP(A3221,'Fleet register'!$A$7:$S$106,9,FALSE)*Paths!$R$299),"n.a."))</f>
        <v>0</v>
      </c>
    </row>
    <row r="3222" spans="1:20" ht="24" customHeight="1">
      <c r="A3222" s="1" t="str">
        <f>Paths!$A$299</f>
        <v>T074</v>
      </c>
      <c r="B3222" s="1">
        <f>Paths!$B$299</f>
        <v>0</v>
      </c>
      <c r="C3222" s="1">
        <v>3</v>
      </c>
      <c r="D3222" s="1">
        <v>299</v>
      </c>
      <c r="E3222" s="1">
        <f>IF(OR(Paths!$C$299=0,C3222=0),0,MAX(0,MIN(C3222*12,Paths!$E$299)-(C3222-1)*12))</f>
        <v>0</v>
      </c>
      <c r="F3222" s="1">
        <f>IF(OR(Paths!$C$299=0,C3222=0),0,12-E3222)</f>
        <v>0</v>
      </c>
      <c r="G3222" s="16">
        <f>IF(NOT(Paths!$C$299=1),0,IF(Paths!$P$299="Complete",E3222/12*(Paths!$J$299*(1+'Operating costs'!$B$51)^MAX(0,C3222-1)+Paths!$K$299*(1+'Operating costs'!$B$53)^MAX(0,C3222-1)),"n.a."))</f>
        <v>0</v>
      </c>
      <c r="H3222" s="16">
        <f>IF(NOT(Paths!$C$299=1),0,IF(Paths!$P$299="Complete",F3222/12*(Paths!$L$299*(1+IF(Paths!$D$299="EV",'Operating costs'!$B$52,'Operating costs'!$B$51))^MAX(0,C3222-1)+Paths!$M$299*(1+'Operating costs'!$B$53)^MAX(0,C3222-1)),"n.a."))</f>
        <v>0</v>
      </c>
      <c r="I3222" s="16">
        <f>IF(NOT(Paths!$C$299=1),0,IF(Paths!$P$299="Complete",IF(IF(Paths!$E$299=0,C3222=0,AND(C3222&gt;0,Paths!$E$299&gt;(C3222-1)*12,Paths!$E$299&lt;=C3222*12)),Paths!$G$299,0),"n.a."))</f>
        <v>0</v>
      </c>
      <c r="J3222" s="16">
        <f>IF(NOT(Paths!$C$299=1),0,IF(Paths!$P$299="Complete",IF(IF(Paths!$E$299=0,C3222=0,AND(C3222&gt;0,Paths!$E$299&gt;(C3222-1)*12,Paths!$E$299&lt;=C3222*12)),Paths!$H$299,0),"n.a."))</f>
        <v>0</v>
      </c>
      <c r="K3222" s="16">
        <f>IF(NOT(Paths!$C$299=1),0,IF(Paths!$P$299="Complete",IF(IF(Paths!$O$299=0,C3222=0,AND(C3222&gt;0,Paths!$O$299&gt;(C3222-1)*12,Paths!$O$299&lt;=C3222*12)),Paths!$N$299,0),"n.a."))</f>
        <v>0</v>
      </c>
      <c r="L3222" s="16">
        <f>IF(NOT(Paths!$C$299=1),0,IF(Paths!$P$299="Complete",IF(C3222=10,Paths!$I$299,0),"n.a."))</f>
        <v>0</v>
      </c>
      <c r="M3222" s="16">
        <f>IF(NOT(Paths!$C$299=1),0,IF(Paths!$P$299="Complete",IF(AND(Paths!$D$299="EV",Paths!$E$299&lt;120,Paths!$E$299+'Operating costs'!$B$65&gt;Paths!$E$299,Paths!$E$299+'Operating costs'!$B$65&lt;=120,IF(Paths!$E$299+'Operating costs'!$B$65=0,C3222=0,AND(C3222&gt;0,Paths!$E$299+'Operating costs'!$B$65&gt;(C3222-1)*12,Paths!$E$299+'Operating costs'!$B$65&lt;=C3222*12))),'Operating costs'!$B$64,0)+IF(AND('Operating costs'!$B$67&gt;0,'Operating costs'!$B$67&lt;=120,OR(Paths!$D$299="ICE",'Operating costs'!$B$67&lt;=Paths!$E$299),IF('Operating costs'!$B$67=0,C3222=0,AND(C3222&gt;0,'Operating costs'!$B$67&gt;(C3222-1)*12,'Operating costs'!$B$67&lt;=C3222*12))),'Operating costs'!$B$66,0),"n.a."))</f>
        <v>0</v>
      </c>
      <c r="N3222" s="16">
        <f>IF(NOT(Paths!$C$299=1),0,IF(Paths!$P$299="Complete",SUM(G3222:I3222)-J3222-K3222-L3222+M3222+IF(C3222=0,Paths!$F$299,0)+IF(IF(Paths!$E$299=0,C3222=0,AND(C3222&gt;0,Paths!$E$299&gt;(C3222-1)*12,Paths!$E$299&lt;=C3222*12)),VLOOKUP(A3222,'Fleet register'!$A$7:$S$106,16,FALSE),0),"n.a."))</f>
        <v>0</v>
      </c>
      <c r="O3222" s="16">
        <f>IF(NOT(Paths!$C$299=1),0,IF(Paths!$P$299="Complete",N3222-IF(C3222=0,Paths!$F$299,0),"n.a."))</f>
        <v>0</v>
      </c>
      <c r="P3222" s="16">
        <f>IF(NOT(Paths!$C$299=1),0,IF(Paths!$P$299="Complete",O3222+L3222,"n.a."))</f>
        <v>0</v>
      </c>
      <c r="Q3222" s="16">
        <f>IF(NOT(Paths!$C$299=1),0,IF(Paths!$P$299="Complete",N3222*(1+'Operating costs'!$B$54)^-C3222,"n.a."))</f>
        <v>0</v>
      </c>
      <c r="R3222" s="16">
        <f>IF(NOT(Paths!$C$299=1),0,IF(Paths!$P$299="Complete",IF(AND(C3222=0,Paths!$E$299=0),I3222-J3222-K3222+VLOOKUP(A3222,'Fleet register'!$A$7:$S$106,15,FALSE)+VLOOKUP(A3222,'Fleet register'!$A$7:$S$106,16,FALSE),0),"n.a."))</f>
        <v>0</v>
      </c>
      <c r="S3222" s="1">
        <f>IF(NOT(Paths!$C$299=1),0,IF(Paths!$P$299="Complete",IF(C3222=0,0,Paths!$S$299*Paths!$R$299),"n.a."))</f>
        <v>0</v>
      </c>
      <c r="T3222" s="1">
        <f>IF(NOT(Paths!$C$299=1),0,IF(Paths!$P$299="Complete",IF(C3222=0,0,VLOOKUP(A3222,'Fleet register'!$A$7:$S$106,9,FALSE)*Paths!$R$299),"n.a."))</f>
        <v>0</v>
      </c>
    </row>
    <row r="3223" spans="1:20" ht="24" customHeight="1">
      <c r="A3223" s="1" t="str">
        <f>Paths!$A$299</f>
        <v>T074</v>
      </c>
      <c r="B3223" s="1">
        <f>Paths!$B$299</f>
        <v>0</v>
      </c>
      <c r="C3223" s="1">
        <v>4</v>
      </c>
      <c r="D3223" s="1">
        <v>299</v>
      </c>
      <c r="E3223" s="1">
        <f>IF(OR(Paths!$C$299=0,C3223=0),0,MAX(0,MIN(C3223*12,Paths!$E$299)-(C3223-1)*12))</f>
        <v>0</v>
      </c>
      <c r="F3223" s="1">
        <f>IF(OR(Paths!$C$299=0,C3223=0),0,12-E3223)</f>
        <v>0</v>
      </c>
      <c r="G3223" s="16">
        <f>IF(NOT(Paths!$C$299=1),0,IF(Paths!$P$299="Complete",E3223/12*(Paths!$J$299*(1+'Operating costs'!$B$51)^MAX(0,C3223-1)+Paths!$K$299*(1+'Operating costs'!$B$53)^MAX(0,C3223-1)),"n.a."))</f>
        <v>0</v>
      </c>
      <c r="H3223" s="16">
        <f>IF(NOT(Paths!$C$299=1),0,IF(Paths!$P$299="Complete",F3223/12*(Paths!$L$299*(1+IF(Paths!$D$299="EV",'Operating costs'!$B$52,'Operating costs'!$B$51))^MAX(0,C3223-1)+Paths!$M$299*(1+'Operating costs'!$B$53)^MAX(0,C3223-1)),"n.a."))</f>
        <v>0</v>
      </c>
      <c r="I3223" s="16">
        <f>IF(NOT(Paths!$C$299=1),0,IF(Paths!$P$299="Complete",IF(IF(Paths!$E$299=0,C3223=0,AND(C3223&gt;0,Paths!$E$299&gt;(C3223-1)*12,Paths!$E$299&lt;=C3223*12)),Paths!$G$299,0),"n.a."))</f>
        <v>0</v>
      </c>
      <c r="J3223" s="16">
        <f>IF(NOT(Paths!$C$299=1),0,IF(Paths!$P$299="Complete",IF(IF(Paths!$E$299=0,C3223=0,AND(C3223&gt;0,Paths!$E$299&gt;(C3223-1)*12,Paths!$E$299&lt;=C3223*12)),Paths!$H$299,0),"n.a."))</f>
        <v>0</v>
      </c>
      <c r="K3223" s="16">
        <f>IF(NOT(Paths!$C$299=1),0,IF(Paths!$P$299="Complete",IF(IF(Paths!$O$299=0,C3223=0,AND(C3223&gt;0,Paths!$O$299&gt;(C3223-1)*12,Paths!$O$299&lt;=C3223*12)),Paths!$N$299,0),"n.a."))</f>
        <v>0</v>
      </c>
      <c r="L3223" s="16">
        <f>IF(NOT(Paths!$C$299=1),0,IF(Paths!$P$299="Complete",IF(C3223=10,Paths!$I$299,0),"n.a."))</f>
        <v>0</v>
      </c>
      <c r="M3223" s="16">
        <f>IF(NOT(Paths!$C$299=1),0,IF(Paths!$P$299="Complete",IF(AND(Paths!$D$299="EV",Paths!$E$299&lt;120,Paths!$E$299+'Operating costs'!$B$65&gt;Paths!$E$299,Paths!$E$299+'Operating costs'!$B$65&lt;=120,IF(Paths!$E$299+'Operating costs'!$B$65=0,C3223=0,AND(C3223&gt;0,Paths!$E$299+'Operating costs'!$B$65&gt;(C3223-1)*12,Paths!$E$299+'Operating costs'!$B$65&lt;=C3223*12))),'Operating costs'!$B$64,0)+IF(AND('Operating costs'!$B$67&gt;0,'Operating costs'!$B$67&lt;=120,OR(Paths!$D$299="ICE",'Operating costs'!$B$67&lt;=Paths!$E$299),IF('Operating costs'!$B$67=0,C3223=0,AND(C3223&gt;0,'Operating costs'!$B$67&gt;(C3223-1)*12,'Operating costs'!$B$67&lt;=C3223*12))),'Operating costs'!$B$66,0),"n.a."))</f>
        <v>0</v>
      </c>
      <c r="N3223" s="16">
        <f>IF(NOT(Paths!$C$299=1),0,IF(Paths!$P$299="Complete",SUM(G3223:I3223)-J3223-K3223-L3223+M3223+IF(C3223=0,Paths!$F$299,0)+IF(IF(Paths!$E$299=0,C3223=0,AND(C3223&gt;0,Paths!$E$299&gt;(C3223-1)*12,Paths!$E$299&lt;=C3223*12)),VLOOKUP(A3223,'Fleet register'!$A$7:$S$106,16,FALSE),0),"n.a."))</f>
        <v>0</v>
      </c>
      <c r="O3223" s="16">
        <f>IF(NOT(Paths!$C$299=1),0,IF(Paths!$P$299="Complete",N3223-IF(C3223=0,Paths!$F$299,0),"n.a."))</f>
        <v>0</v>
      </c>
      <c r="P3223" s="16">
        <f>IF(NOT(Paths!$C$299=1),0,IF(Paths!$P$299="Complete",O3223+L3223,"n.a."))</f>
        <v>0</v>
      </c>
      <c r="Q3223" s="16">
        <f>IF(NOT(Paths!$C$299=1),0,IF(Paths!$P$299="Complete",N3223*(1+'Operating costs'!$B$54)^-C3223,"n.a."))</f>
        <v>0</v>
      </c>
      <c r="R3223" s="16">
        <f>IF(NOT(Paths!$C$299=1),0,IF(Paths!$P$299="Complete",IF(AND(C3223=0,Paths!$E$299=0),I3223-J3223-K3223+VLOOKUP(A3223,'Fleet register'!$A$7:$S$106,15,FALSE)+VLOOKUP(A3223,'Fleet register'!$A$7:$S$106,16,FALSE),0),"n.a."))</f>
        <v>0</v>
      </c>
      <c r="S3223" s="1">
        <f>IF(NOT(Paths!$C$299=1),0,IF(Paths!$P$299="Complete",IF(C3223=0,0,Paths!$S$299*Paths!$R$299),"n.a."))</f>
        <v>0</v>
      </c>
      <c r="T3223" s="1">
        <f>IF(NOT(Paths!$C$299=1),0,IF(Paths!$P$299="Complete",IF(C3223=0,0,VLOOKUP(A3223,'Fleet register'!$A$7:$S$106,9,FALSE)*Paths!$R$299),"n.a."))</f>
        <v>0</v>
      </c>
    </row>
    <row r="3224" spans="1:20" ht="24" customHeight="1">
      <c r="A3224" s="1" t="str">
        <f>Paths!$A$299</f>
        <v>T074</v>
      </c>
      <c r="B3224" s="1">
        <f>Paths!$B$299</f>
        <v>0</v>
      </c>
      <c r="C3224" s="1">
        <v>5</v>
      </c>
      <c r="D3224" s="1">
        <v>299</v>
      </c>
      <c r="E3224" s="1">
        <f>IF(OR(Paths!$C$299=0,C3224=0),0,MAX(0,MIN(C3224*12,Paths!$E$299)-(C3224-1)*12))</f>
        <v>0</v>
      </c>
      <c r="F3224" s="1">
        <f>IF(OR(Paths!$C$299=0,C3224=0),0,12-E3224)</f>
        <v>0</v>
      </c>
      <c r="G3224" s="16">
        <f>IF(NOT(Paths!$C$299=1),0,IF(Paths!$P$299="Complete",E3224/12*(Paths!$J$299*(1+'Operating costs'!$B$51)^MAX(0,C3224-1)+Paths!$K$299*(1+'Operating costs'!$B$53)^MAX(0,C3224-1)),"n.a."))</f>
        <v>0</v>
      </c>
      <c r="H3224" s="16">
        <f>IF(NOT(Paths!$C$299=1),0,IF(Paths!$P$299="Complete",F3224/12*(Paths!$L$299*(1+IF(Paths!$D$299="EV",'Operating costs'!$B$52,'Operating costs'!$B$51))^MAX(0,C3224-1)+Paths!$M$299*(1+'Operating costs'!$B$53)^MAX(0,C3224-1)),"n.a."))</f>
        <v>0</v>
      </c>
      <c r="I3224" s="16">
        <f>IF(NOT(Paths!$C$299=1),0,IF(Paths!$P$299="Complete",IF(IF(Paths!$E$299=0,C3224=0,AND(C3224&gt;0,Paths!$E$299&gt;(C3224-1)*12,Paths!$E$299&lt;=C3224*12)),Paths!$G$299,0),"n.a."))</f>
        <v>0</v>
      </c>
      <c r="J3224" s="16">
        <f>IF(NOT(Paths!$C$299=1),0,IF(Paths!$P$299="Complete",IF(IF(Paths!$E$299=0,C3224=0,AND(C3224&gt;0,Paths!$E$299&gt;(C3224-1)*12,Paths!$E$299&lt;=C3224*12)),Paths!$H$299,0),"n.a."))</f>
        <v>0</v>
      </c>
      <c r="K3224" s="16">
        <f>IF(NOT(Paths!$C$299=1),0,IF(Paths!$P$299="Complete",IF(IF(Paths!$O$299=0,C3224=0,AND(C3224&gt;0,Paths!$O$299&gt;(C3224-1)*12,Paths!$O$299&lt;=C3224*12)),Paths!$N$299,0),"n.a."))</f>
        <v>0</v>
      </c>
      <c r="L3224" s="16">
        <f>IF(NOT(Paths!$C$299=1),0,IF(Paths!$P$299="Complete",IF(C3224=10,Paths!$I$299,0),"n.a."))</f>
        <v>0</v>
      </c>
      <c r="M3224" s="16">
        <f>IF(NOT(Paths!$C$299=1),0,IF(Paths!$P$299="Complete",IF(AND(Paths!$D$299="EV",Paths!$E$299&lt;120,Paths!$E$299+'Operating costs'!$B$65&gt;Paths!$E$299,Paths!$E$299+'Operating costs'!$B$65&lt;=120,IF(Paths!$E$299+'Operating costs'!$B$65=0,C3224=0,AND(C3224&gt;0,Paths!$E$299+'Operating costs'!$B$65&gt;(C3224-1)*12,Paths!$E$299+'Operating costs'!$B$65&lt;=C3224*12))),'Operating costs'!$B$64,0)+IF(AND('Operating costs'!$B$67&gt;0,'Operating costs'!$B$67&lt;=120,OR(Paths!$D$299="ICE",'Operating costs'!$B$67&lt;=Paths!$E$299),IF('Operating costs'!$B$67=0,C3224=0,AND(C3224&gt;0,'Operating costs'!$B$67&gt;(C3224-1)*12,'Operating costs'!$B$67&lt;=C3224*12))),'Operating costs'!$B$66,0),"n.a."))</f>
        <v>0</v>
      </c>
      <c r="N3224" s="16">
        <f>IF(NOT(Paths!$C$299=1),0,IF(Paths!$P$299="Complete",SUM(G3224:I3224)-J3224-K3224-L3224+M3224+IF(C3224=0,Paths!$F$299,0)+IF(IF(Paths!$E$299=0,C3224=0,AND(C3224&gt;0,Paths!$E$299&gt;(C3224-1)*12,Paths!$E$299&lt;=C3224*12)),VLOOKUP(A3224,'Fleet register'!$A$7:$S$106,16,FALSE),0),"n.a."))</f>
        <v>0</v>
      </c>
      <c r="O3224" s="16">
        <f>IF(NOT(Paths!$C$299=1),0,IF(Paths!$P$299="Complete",N3224-IF(C3224=0,Paths!$F$299,0),"n.a."))</f>
        <v>0</v>
      </c>
      <c r="P3224" s="16">
        <f>IF(NOT(Paths!$C$299=1),0,IF(Paths!$P$299="Complete",O3224+L3224,"n.a."))</f>
        <v>0</v>
      </c>
      <c r="Q3224" s="16">
        <f>IF(NOT(Paths!$C$299=1),0,IF(Paths!$P$299="Complete",N3224*(1+'Operating costs'!$B$54)^-C3224,"n.a."))</f>
        <v>0</v>
      </c>
      <c r="R3224" s="16">
        <f>IF(NOT(Paths!$C$299=1),0,IF(Paths!$P$299="Complete",IF(AND(C3224=0,Paths!$E$299=0),I3224-J3224-K3224+VLOOKUP(A3224,'Fleet register'!$A$7:$S$106,15,FALSE)+VLOOKUP(A3224,'Fleet register'!$A$7:$S$106,16,FALSE),0),"n.a."))</f>
        <v>0</v>
      </c>
      <c r="S3224" s="1">
        <f>IF(NOT(Paths!$C$299=1),0,IF(Paths!$P$299="Complete",IF(C3224=0,0,Paths!$S$299*Paths!$R$299),"n.a."))</f>
        <v>0</v>
      </c>
      <c r="T3224" s="1">
        <f>IF(NOT(Paths!$C$299=1),0,IF(Paths!$P$299="Complete",IF(C3224=0,0,VLOOKUP(A3224,'Fleet register'!$A$7:$S$106,9,FALSE)*Paths!$R$299),"n.a."))</f>
        <v>0</v>
      </c>
    </row>
    <row r="3225" spans="1:20" ht="24" customHeight="1">
      <c r="A3225" s="1" t="str">
        <f>Paths!$A$299</f>
        <v>T074</v>
      </c>
      <c r="B3225" s="1">
        <f>Paths!$B$299</f>
        <v>0</v>
      </c>
      <c r="C3225" s="1">
        <v>6</v>
      </c>
      <c r="D3225" s="1">
        <v>299</v>
      </c>
      <c r="E3225" s="1">
        <f>IF(OR(Paths!$C$299=0,C3225=0),0,MAX(0,MIN(C3225*12,Paths!$E$299)-(C3225-1)*12))</f>
        <v>0</v>
      </c>
      <c r="F3225" s="1">
        <f>IF(OR(Paths!$C$299=0,C3225=0),0,12-E3225)</f>
        <v>0</v>
      </c>
      <c r="G3225" s="16">
        <f>IF(NOT(Paths!$C$299=1),0,IF(Paths!$P$299="Complete",E3225/12*(Paths!$J$299*(1+'Operating costs'!$B$51)^MAX(0,C3225-1)+Paths!$K$299*(1+'Operating costs'!$B$53)^MAX(0,C3225-1)),"n.a."))</f>
        <v>0</v>
      </c>
      <c r="H3225" s="16">
        <f>IF(NOT(Paths!$C$299=1),0,IF(Paths!$P$299="Complete",F3225/12*(Paths!$L$299*(1+IF(Paths!$D$299="EV",'Operating costs'!$B$52,'Operating costs'!$B$51))^MAX(0,C3225-1)+Paths!$M$299*(1+'Operating costs'!$B$53)^MAX(0,C3225-1)),"n.a."))</f>
        <v>0</v>
      </c>
      <c r="I3225" s="16">
        <f>IF(NOT(Paths!$C$299=1),0,IF(Paths!$P$299="Complete",IF(IF(Paths!$E$299=0,C3225=0,AND(C3225&gt;0,Paths!$E$299&gt;(C3225-1)*12,Paths!$E$299&lt;=C3225*12)),Paths!$G$299,0),"n.a."))</f>
        <v>0</v>
      </c>
      <c r="J3225" s="16">
        <f>IF(NOT(Paths!$C$299=1),0,IF(Paths!$P$299="Complete",IF(IF(Paths!$E$299=0,C3225=0,AND(C3225&gt;0,Paths!$E$299&gt;(C3225-1)*12,Paths!$E$299&lt;=C3225*12)),Paths!$H$299,0),"n.a."))</f>
        <v>0</v>
      </c>
      <c r="K3225" s="16">
        <f>IF(NOT(Paths!$C$299=1),0,IF(Paths!$P$299="Complete",IF(IF(Paths!$O$299=0,C3225=0,AND(C3225&gt;0,Paths!$O$299&gt;(C3225-1)*12,Paths!$O$299&lt;=C3225*12)),Paths!$N$299,0),"n.a."))</f>
        <v>0</v>
      </c>
      <c r="L3225" s="16">
        <f>IF(NOT(Paths!$C$299=1),0,IF(Paths!$P$299="Complete",IF(C3225=10,Paths!$I$299,0),"n.a."))</f>
        <v>0</v>
      </c>
      <c r="M3225" s="16">
        <f>IF(NOT(Paths!$C$299=1),0,IF(Paths!$P$299="Complete",IF(AND(Paths!$D$299="EV",Paths!$E$299&lt;120,Paths!$E$299+'Operating costs'!$B$65&gt;Paths!$E$299,Paths!$E$299+'Operating costs'!$B$65&lt;=120,IF(Paths!$E$299+'Operating costs'!$B$65=0,C3225=0,AND(C3225&gt;0,Paths!$E$299+'Operating costs'!$B$65&gt;(C3225-1)*12,Paths!$E$299+'Operating costs'!$B$65&lt;=C3225*12))),'Operating costs'!$B$64,0)+IF(AND('Operating costs'!$B$67&gt;0,'Operating costs'!$B$67&lt;=120,OR(Paths!$D$299="ICE",'Operating costs'!$B$67&lt;=Paths!$E$299),IF('Operating costs'!$B$67=0,C3225=0,AND(C3225&gt;0,'Operating costs'!$B$67&gt;(C3225-1)*12,'Operating costs'!$B$67&lt;=C3225*12))),'Operating costs'!$B$66,0),"n.a."))</f>
        <v>0</v>
      </c>
      <c r="N3225" s="16">
        <f>IF(NOT(Paths!$C$299=1),0,IF(Paths!$P$299="Complete",SUM(G3225:I3225)-J3225-K3225-L3225+M3225+IF(C3225=0,Paths!$F$299,0)+IF(IF(Paths!$E$299=0,C3225=0,AND(C3225&gt;0,Paths!$E$299&gt;(C3225-1)*12,Paths!$E$299&lt;=C3225*12)),VLOOKUP(A3225,'Fleet register'!$A$7:$S$106,16,FALSE),0),"n.a."))</f>
        <v>0</v>
      </c>
      <c r="O3225" s="16">
        <f>IF(NOT(Paths!$C$299=1),0,IF(Paths!$P$299="Complete",N3225-IF(C3225=0,Paths!$F$299,0),"n.a."))</f>
        <v>0</v>
      </c>
      <c r="P3225" s="16">
        <f>IF(NOT(Paths!$C$299=1),0,IF(Paths!$P$299="Complete",O3225+L3225,"n.a."))</f>
        <v>0</v>
      </c>
      <c r="Q3225" s="16">
        <f>IF(NOT(Paths!$C$299=1),0,IF(Paths!$P$299="Complete",N3225*(1+'Operating costs'!$B$54)^-C3225,"n.a."))</f>
        <v>0</v>
      </c>
      <c r="R3225" s="16">
        <f>IF(NOT(Paths!$C$299=1),0,IF(Paths!$P$299="Complete",IF(AND(C3225=0,Paths!$E$299=0),I3225-J3225-K3225+VLOOKUP(A3225,'Fleet register'!$A$7:$S$106,15,FALSE)+VLOOKUP(A3225,'Fleet register'!$A$7:$S$106,16,FALSE),0),"n.a."))</f>
        <v>0</v>
      </c>
      <c r="S3225" s="1">
        <f>IF(NOT(Paths!$C$299=1),0,IF(Paths!$P$299="Complete",IF(C3225=0,0,Paths!$S$299*Paths!$R$299),"n.a."))</f>
        <v>0</v>
      </c>
      <c r="T3225" s="1">
        <f>IF(NOT(Paths!$C$299=1),0,IF(Paths!$P$299="Complete",IF(C3225=0,0,VLOOKUP(A3225,'Fleet register'!$A$7:$S$106,9,FALSE)*Paths!$R$299),"n.a."))</f>
        <v>0</v>
      </c>
    </row>
    <row r="3226" spans="1:20" ht="24" customHeight="1">
      <c r="A3226" s="1" t="str">
        <f>Paths!$A$299</f>
        <v>T074</v>
      </c>
      <c r="B3226" s="1">
        <f>Paths!$B$299</f>
        <v>0</v>
      </c>
      <c r="C3226" s="1">
        <v>7</v>
      </c>
      <c r="D3226" s="1">
        <v>299</v>
      </c>
      <c r="E3226" s="1">
        <f>IF(OR(Paths!$C$299=0,C3226=0),0,MAX(0,MIN(C3226*12,Paths!$E$299)-(C3226-1)*12))</f>
        <v>0</v>
      </c>
      <c r="F3226" s="1">
        <f>IF(OR(Paths!$C$299=0,C3226=0),0,12-E3226)</f>
        <v>0</v>
      </c>
      <c r="G3226" s="16">
        <f>IF(NOT(Paths!$C$299=1),0,IF(Paths!$P$299="Complete",E3226/12*(Paths!$J$299*(1+'Operating costs'!$B$51)^MAX(0,C3226-1)+Paths!$K$299*(1+'Operating costs'!$B$53)^MAX(0,C3226-1)),"n.a."))</f>
        <v>0</v>
      </c>
      <c r="H3226" s="16">
        <f>IF(NOT(Paths!$C$299=1),0,IF(Paths!$P$299="Complete",F3226/12*(Paths!$L$299*(1+IF(Paths!$D$299="EV",'Operating costs'!$B$52,'Operating costs'!$B$51))^MAX(0,C3226-1)+Paths!$M$299*(1+'Operating costs'!$B$53)^MAX(0,C3226-1)),"n.a."))</f>
        <v>0</v>
      </c>
      <c r="I3226" s="16">
        <f>IF(NOT(Paths!$C$299=1),0,IF(Paths!$P$299="Complete",IF(IF(Paths!$E$299=0,C3226=0,AND(C3226&gt;0,Paths!$E$299&gt;(C3226-1)*12,Paths!$E$299&lt;=C3226*12)),Paths!$G$299,0),"n.a."))</f>
        <v>0</v>
      </c>
      <c r="J3226" s="16">
        <f>IF(NOT(Paths!$C$299=1),0,IF(Paths!$P$299="Complete",IF(IF(Paths!$E$299=0,C3226=0,AND(C3226&gt;0,Paths!$E$299&gt;(C3226-1)*12,Paths!$E$299&lt;=C3226*12)),Paths!$H$299,0),"n.a."))</f>
        <v>0</v>
      </c>
      <c r="K3226" s="16">
        <f>IF(NOT(Paths!$C$299=1),0,IF(Paths!$P$299="Complete",IF(IF(Paths!$O$299=0,C3226=0,AND(C3226&gt;0,Paths!$O$299&gt;(C3226-1)*12,Paths!$O$299&lt;=C3226*12)),Paths!$N$299,0),"n.a."))</f>
        <v>0</v>
      </c>
      <c r="L3226" s="16">
        <f>IF(NOT(Paths!$C$299=1),0,IF(Paths!$P$299="Complete",IF(C3226=10,Paths!$I$299,0),"n.a."))</f>
        <v>0</v>
      </c>
      <c r="M3226" s="16">
        <f>IF(NOT(Paths!$C$299=1),0,IF(Paths!$P$299="Complete",IF(AND(Paths!$D$299="EV",Paths!$E$299&lt;120,Paths!$E$299+'Operating costs'!$B$65&gt;Paths!$E$299,Paths!$E$299+'Operating costs'!$B$65&lt;=120,IF(Paths!$E$299+'Operating costs'!$B$65=0,C3226=0,AND(C3226&gt;0,Paths!$E$299+'Operating costs'!$B$65&gt;(C3226-1)*12,Paths!$E$299+'Operating costs'!$B$65&lt;=C3226*12))),'Operating costs'!$B$64,0)+IF(AND('Operating costs'!$B$67&gt;0,'Operating costs'!$B$67&lt;=120,OR(Paths!$D$299="ICE",'Operating costs'!$B$67&lt;=Paths!$E$299),IF('Operating costs'!$B$67=0,C3226=0,AND(C3226&gt;0,'Operating costs'!$B$67&gt;(C3226-1)*12,'Operating costs'!$B$67&lt;=C3226*12))),'Operating costs'!$B$66,0),"n.a."))</f>
        <v>0</v>
      </c>
      <c r="N3226" s="16">
        <f>IF(NOT(Paths!$C$299=1),0,IF(Paths!$P$299="Complete",SUM(G3226:I3226)-J3226-K3226-L3226+M3226+IF(C3226=0,Paths!$F$299,0)+IF(IF(Paths!$E$299=0,C3226=0,AND(C3226&gt;0,Paths!$E$299&gt;(C3226-1)*12,Paths!$E$299&lt;=C3226*12)),VLOOKUP(A3226,'Fleet register'!$A$7:$S$106,16,FALSE),0),"n.a."))</f>
        <v>0</v>
      </c>
      <c r="O3226" s="16">
        <f>IF(NOT(Paths!$C$299=1),0,IF(Paths!$P$299="Complete",N3226-IF(C3226=0,Paths!$F$299,0),"n.a."))</f>
        <v>0</v>
      </c>
      <c r="P3226" s="16">
        <f>IF(NOT(Paths!$C$299=1),0,IF(Paths!$P$299="Complete",O3226+L3226,"n.a."))</f>
        <v>0</v>
      </c>
      <c r="Q3226" s="16">
        <f>IF(NOT(Paths!$C$299=1),0,IF(Paths!$P$299="Complete",N3226*(1+'Operating costs'!$B$54)^-C3226,"n.a."))</f>
        <v>0</v>
      </c>
      <c r="R3226" s="16">
        <f>IF(NOT(Paths!$C$299=1),0,IF(Paths!$P$299="Complete",IF(AND(C3226=0,Paths!$E$299=0),I3226-J3226-K3226+VLOOKUP(A3226,'Fleet register'!$A$7:$S$106,15,FALSE)+VLOOKUP(A3226,'Fleet register'!$A$7:$S$106,16,FALSE),0),"n.a."))</f>
        <v>0</v>
      </c>
      <c r="S3226" s="1">
        <f>IF(NOT(Paths!$C$299=1),0,IF(Paths!$P$299="Complete",IF(C3226=0,0,Paths!$S$299*Paths!$R$299),"n.a."))</f>
        <v>0</v>
      </c>
      <c r="T3226" s="1">
        <f>IF(NOT(Paths!$C$299=1),0,IF(Paths!$P$299="Complete",IF(C3226=0,0,VLOOKUP(A3226,'Fleet register'!$A$7:$S$106,9,FALSE)*Paths!$R$299),"n.a."))</f>
        <v>0</v>
      </c>
    </row>
    <row r="3227" spans="1:20" ht="24" customHeight="1">
      <c r="A3227" s="1" t="str">
        <f>Paths!$A$299</f>
        <v>T074</v>
      </c>
      <c r="B3227" s="1">
        <f>Paths!$B$299</f>
        <v>0</v>
      </c>
      <c r="C3227" s="1">
        <v>8</v>
      </c>
      <c r="D3227" s="1">
        <v>299</v>
      </c>
      <c r="E3227" s="1">
        <f>IF(OR(Paths!$C$299=0,C3227=0),0,MAX(0,MIN(C3227*12,Paths!$E$299)-(C3227-1)*12))</f>
        <v>0</v>
      </c>
      <c r="F3227" s="1">
        <f>IF(OR(Paths!$C$299=0,C3227=0),0,12-E3227)</f>
        <v>0</v>
      </c>
      <c r="G3227" s="16">
        <f>IF(NOT(Paths!$C$299=1),0,IF(Paths!$P$299="Complete",E3227/12*(Paths!$J$299*(1+'Operating costs'!$B$51)^MAX(0,C3227-1)+Paths!$K$299*(1+'Operating costs'!$B$53)^MAX(0,C3227-1)),"n.a."))</f>
        <v>0</v>
      </c>
      <c r="H3227" s="16">
        <f>IF(NOT(Paths!$C$299=1),0,IF(Paths!$P$299="Complete",F3227/12*(Paths!$L$299*(1+IF(Paths!$D$299="EV",'Operating costs'!$B$52,'Operating costs'!$B$51))^MAX(0,C3227-1)+Paths!$M$299*(1+'Operating costs'!$B$53)^MAX(0,C3227-1)),"n.a."))</f>
        <v>0</v>
      </c>
      <c r="I3227" s="16">
        <f>IF(NOT(Paths!$C$299=1),0,IF(Paths!$P$299="Complete",IF(IF(Paths!$E$299=0,C3227=0,AND(C3227&gt;0,Paths!$E$299&gt;(C3227-1)*12,Paths!$E$299&lt;=C3227*12)),Paths!$G$299,0),"n.a."))</f>
        <v>0</v>
      </c>
      <c r="J3227" s="16">
        <f>IF(NOT(Paths!$C$299=1),0,IF(Paths!$P$299="Complete",IF(IF(Paths!$E$299=0,C3227=0,AND(C3227&gt;0,Paths!$E$299&gt;(C3227-1)*12,Paths!$E$299&lt;=C3227*12)),Paths!$H$299,0),"n.a."))</f>
        <v>0</v>
      </c>
      <c r="K3227" s="16">
        <f>IF(NOT(Paths!$C$299=1),0,IF(Paths!$P$299="Complete",IF(IF(Paths!$O$299=0,C3227=0,AND(C3227&gt;0,Paths!$O$299&gt;(C3227-1)*12,Paths!$O$299&lt;=C3227*12)),Paths!$N$299,0),"n.a."))</f>
        <v>0</v>
      </c>
      <c r="L3227" s="16">
        <f>IF(NOT(Paths!$C$299=1),0,IF(Paths!$P$299="Complete",IF(C3227=10,Paths!$I$299,0),"n.a."))</f>
        <v>0</v>
      </c>
      <c r="M3227" s="16">
        <f>IF(NOT(Paths!$C$299=1),0,IF(Paths!$P$299="Complete",IF(AND(Paths!$D$299="EV",Paths!$E$299&lt;120,Paths!$E$299+'Operating costs'!$B$65&gt;Paths!$E$299,Paths!$E$299+'Operating costs'!$B$65&lt;=120,IF(Paths!$E$299+'Operating costs'!$B$65=0,C3227=0,AND(C3227&gt;0,Paths!$E$299+'Operating costs'!$B$65&gt;(C3227-1)*12,Paths!$E$299+'Operating costs'!$B$65&lt;=C3227*12))),'Operating costs'!$B$64,0)+IF(AND('Operating costs'!$B$67&gt;0,'Operating costs'!$B$67&lt;=120,OR(Paths!$D$299="ICE",'Operating costs'!$B$67&lt;=Paths!$E$299),IF('Operating costs'!$B$67=0,C3227=0,AND(C3227&gt;0,'Operating costs'!$B$67&gt;(C3227-1)*12,'Operating costs'!$B$67&lt;=C3227*12))),'Operating costs'!$B$66,0),"n.a."))</f>
        <v>0</v>
      </c>
      <c r="N3227" s="16">
        <f>IF(NOT(Paths!$C$299=1),0,IF(Paths!$P$299="Complete",SUM(G3227:I3227)-J3227-K3227-L3227+M3227+IF(C3227=0,Paths!$F$299,0)+IF(IF(Paths!$E$299=0,C3227=0,AND(C3227&gt;0,Paths!$E$299&gt;(C3227-1)*12,Paths!$E$299&lt;=C3227*12)),VLOOKUP(A3227,'Fleet register'!$A$7:$S$106,16,FALSE),0),"n.a."))</f>
        <v>0</v>
      </c>
      <c r="O3227" s="16">
        <f>IF(NOT(Paths!$C$299=1),0,IF(Paths!$P$299="Complete",N3227-IF(C3227=0,Paths!$F$299,0),"n.a."))</f>
        <v>0</v>
      </c>
      <c r="P3227" s="16">
        <f>IF(NOT(Paths!$C$299=1),0,IF(Paths!$P$299="Complete",O3227+L3227,"n.a."))</f>
        <v>0</v>
      </c>
      <c r="Q3227" s="16">
        <f>IF(NOT(Paths!$C$299=1),0,IF(Paths!$P$299="Complete",N3227*(1+'Operating costs'!$B$54)^-C3227,"n.a."))</f>
        <v>0</v>
      </c>
      <c r="R3227" s="16">
        <f>IF(NOT(Paths!$C$299=1),0,IF(Paths!$P$299="Complete",IF(AND(C3227=0,Paths!$E$299=0),I3227-J3227-K3227+VLOOKUP(A3227,'Fleet register'!$A$7:$S$106,15,FALSE)+VLOOKUP(A3227,'Fleet register'!$A$7:$S$106,16,FALSE),0),"n.a."))</f>
        <v>0</v>
      </c>
      <c r="S3227" s="1">
        <f>IF(NOT(Paths!$C$299=1),0,IF(Paths!$P$299="Complete",IF(C3227=0,0,Paths!$S$299*Paths!$R$299),"n.a."))</f>
        <v>0</v>
      </c>
      <c r="T3227" s="1">
        <f>IF(NOT(Paths!$C$299=1),0,IF(Paths!$P$299="Complete",IF(C3227=0,0,VLOOKUP(A3227,'Fleet register'!$A$7:$S$106,9,FALSE)*Paths!$R$299),"n.a."))</f>
        <v>0</v>
      </c>
    </row>
    <row r="3228" spans="1:20" ht="24" customHeight="1">
      <c r="A3228" s="1" t="str">
        <f>Paths!$A$299</f>
        <v>T074</v>
      </c>
      <c r="B3228" s="1">
        <f>Paths!$B$299</f>
        <v>0</v>
      </c>
      <c r="C3228" s="1">
        <v>9</v>
      </c>
      <c r="D3228" s="1">
        <v>299</v>
      </c>
      <c r="E3228" s="1">
        <f>IF(OR(Paths!$C$299=0,C3228=0),0,MAX(0,MIN(C3228*12,Paths!$E$299)-(C3228-1)*12))</f>
        <v>0</v>
      </c>
      <c r="F3228" s="1">
        <f>IF(OR(Paths!$C$299=0,C3228=0),0,12-E3228)</f>
        <v>0</v>
      </c>
      <c r="G3228" s="16">
        <f>IF(NOT(Paths!$C$299=1),0,IF(Paths!$P$299="Complete",E3228/12*(Paths!$J$299*(1+'Operating costs'!$B$51)^MAX(0,C3228-1)+Paths!$K$299*(1+'Operating costs'!$B$53)^MAX(0,C3228-1)),"n.a."))</f>
        <v>0</v>
      </c>
      <c r="H3228" s="16">
        <f>IF(NOT(Paths!$C$299=1),0,IF(Paths!$P$299="Complete",F3228/12*(Paths!$L$299*(1+IF(Paths!$D$299="EV",'Operating costs'!$B$52,'Operating costs'!$B$51))^MAX(0,C3228-1)+Paths!$M$299*(1+'Operating costs'!$B$53)^MAX(0,C3228-1)),"n.a."))</f>
        <v>0</v>
      </c>
      <c r="I3228" s="16">
        <f>IF(NOT(Paths!$C$299=1),0,IF(Paths!$P$299="Complete",IF(IF(Paths!$E$299=0,C3228=0,AND(C3228&gt;0,Paths!$E$299&gt;(C3228-1)*12,Paths!$E$299&lt;=C3228*12)),Paths!$G$299,0),"n.a."))</f>
        <v>0</v>
      </c>
      <c r="J3228" s="16">
        <f>IF(NOT(Paths!$C$299=1),0,IF(Paths!$P$299="Complete",IF(IF(Paths!$E$299=0,C3228=0,AND(C3228&gt;0,Paths!$E$299&gt;(C3228-1)*12,Paths!$E$299&lt;=C3228*12)),Paths!$H$299,0),"n.a."))</f>
        <v>0</v>
      </c>
      <c r="K3228" s="16">
        <f>IF(NOT(Paths!$C$299=1),0,IF(Paths!$P$299="Complete",IF(IF(Paths!$O$299=0,C3228=0,AND(C3228&gt;0,Paths!$O$299&gt;(C3228-1)*12,Paths!$O$299&lt;=C3228*12)),Paths!$N$299,0),"n.a."))</f>
        <v>0</v>
      </c>
      <c r="L3228" s="16">
        <f>IF(NOT(Paths!$C$299=1),0,IF(Paths!$P$299="Complete",IF(C3228=10,Paths!$I$299,0),"n.a."))</f>
        <v>0</v>
      </c>
      <c r="M3228" s="16">
        <f>IF(NOT(Paths!$C$299=1),0,IF(Paths!$P$299="Complete",IF(AND(Paths!$D$299="EV",Paths!$E$299&lt;120,Paths!$E$299+'Operating costs'!$B$65&gt;Paths!$E$299,Paths!$E$299+'Operating costs'!$B$65&lt;=120,IF(Paths!$E$299+'Operating costs'!$B$65=0,C3228=0,AND(C3228&gt;0,Paths!$E$299+'Operating costs'!$B$65&gt;(C3228-1)*12,Paths!$E$299+'Operating costs'!$B$65&lt;=C3228*12))),'Operating costs'!$B$64,0)+IF(AND('Operating costs'!$B$67&gt;0,'Operating costs'!$B$67&lt;=120,OR(Paths!$D$299="ICE",'Operating costs'!$B$67&lt;=Paths!$E$299),IF('Operating costs'!$B$67=0,C3228=0,AND(C3228&gt;0,'Operating costs'!$B$67&gt;(C3228-1)*12,'Operating costs'!$B$67&lt;=C3228*12))),'Operating costs'!$B$66,0),"n.a."))</f>
        <v>0</v>
      </c>
      <c r="N3228" s="16">
        <f>IF(NOT(Paths!$C$299=1),0,IF(Paths!$P$299="Complete",SUM(G3228:I3228)-J3228-K3228-L3228+M3228+IF(C3228=0,Paths!$F$299,0)+IF(IF(Paths!$E$299=0,C3228=0,AND(C3228&gt;0,Paths!$E$299&gt;(C3228-1)*12,Paths!$E$299&lt;=C3228*12)),VLOOKUP(A3228,'Fleet register'!$A$7:$S$106,16,FALSE),0),"n.a."))</f>
        <v>0</v>
      </c>
      <c r="O3228" s="16">
        <f>IF(NOT(Paths!$C$299=1),0,IF(Paths!$P$299="Complete",N3228-IF(C3228=0,Paths!$F$299,0),"n.a."))</f>
        <v>0</v>
      </c>
      <c r="P3228" s="16">
        <f>IF(NOT(Paths!$C$299=1),0,IF(Paths!$P$299="Complete",O3228+L3228,"n.a."))</f>
        <v>0</v>
      </c>
      <c r="Q3228" s="16">
        <f>IF(NOT(Paths!$C$299=1),0,IF(Paths!$P$299="Complete",N3228*(1+'Operating costs'!$B$54)^-C3228,"n.a."))</f>
        <v>0</v>
      </c>
      <c r="R3228" s="16">
        <f>IF(NOT(Paths!$C$299=1),0,IF(Paths!$P$299="Complete",IF(AND(C3228=0,Paths!$E$299=0),I3228-J3228-K3228+VLOOKUP(A3228,'Fleet register'!$A$7:$S$106,15,FALSE)+VLOOKUP(A3228,'Fleet register'!$A$7:$S$106,16,FALSE),0),"n.a."))</f>
        <v>0</v>
      </c>
      <c r="S3228" s="1">
        <f>IF(NOT(Paths!$C$299=1),0,IF(Paths!$P$299="Complete",IF(C3228=0,0,Paths!$S$299*Paths!$R$299),"n.a."))</f>
        <v>0</v>
      </c>
      <c r="T3228" s="1">
        <f>IF(NOT(Paths!$C$299=1),0,IF(Paths!$P$299="Complete",IF(C3228=0,0,VLOOKUP(A3228,'Fleet register'!$A$7:$S$106,9,FALSE)*Paths!$R$299),"n.a."))</f>
        <v>0</v>
      </c>
    </row>
    <row r="3229" spans="1:20" ht="24" customHeight="1">
      <c r="A3229" s="1" t="str">
        <f>Paths!$A$299</f>
        <v>T074</v>
      </c>
      <c r="B3229" s="1">
        <f>Paths!$B$299</f>
        <v>0</v>
      </c>
      <c r="C3229" s="1">
        <v>10</v>
      </c>
      <c r="D3229" s="1">
        <v>299</v>
      </c>
      <c r="E3229" s="1">
        <f>IF(OR(Paths!$C$299=0,C3229=0),0,MAX(0,MIN(C3229*12,Paths!$E$299)-(C3229-1)*12))</f>
        <v>0</v>
      </c>
      <c r="F3229" s="1">
        <f>IF(OR(Paths!$C$299=0,C3229=0),0,12-E3229)</f>
        <v>0</v>
      </c>
      <c r="G3229" s="16">
        <f>IF(NOT(Paths!$C$299=1),0,IF(Paths!$P$299="Complete",E3229/12*(Paths!$J$299*(1+'Operating costs'!$B$51)^MAX(0,C3229-1)+Paths!$K$299*(1+'Operating costs'!$B$53)^MAX(0,C3229-1)),"n.a."))</f>
        <v>0</v>
      </c>
      <c r="H3229" s="16">
        <f>IF(NOT(Paths!$C$299=1),0,IF(Paths!$P$299="Complete",F3229/12*(Paths!$L$299*(1+IF(Paths!$D$299="EV",'Operating costs'!$B$52,'Operating costs'!$B$51))^MAX(0,C3229-1)+Paths!$M$299*(1+'Operating costs'!$B$53)^MAX(0,C3229-1)),"n.a."))</f>
        <v>0</v>
      </c>
      <c r="I3229" s="16">
        <f>IF(NOT(Paths!$C$299=1),0,IF(Paths!$P$299="Complete",IF(IF(Paths!$E$299=0,C3229=0,AND(C3229&gt;0,Paths!$E$299&gt;(C3229-1)*12,Paths!$E$299&lt;=C3229*12)),Paths!$G$299,0),"n.a."))</f>
        <v>0</v>
      </c>
      <c r="J3229" s="16">
        <f>IF(NOT(Paths!$C$299=1),0,IF(Paths!$P$299="Complete",IF(IF(Paths!$E$299=0,C3229=0,AND(C3229&gt;0,Paths!$E$299&gt;(C3229-1)*12,Paths!$E$299&lt;=C3229*12)),Paths!$H$299,0),"n.a."))</f>
        <v>0</v>
      </c>
      <c r="K3229" s="16">
        <f>IF(NOT(Paths!$C$299=1),0,IF(Paths!$P$299="Complete",IF(IF(Paths!$O$299=0,C3229=0,AND(C3229&gt;0,Paths!$O$299&gt;(C3229-1)*12,Paths!$O$299&lt;=C3229*12)),Paths!$N$299,0),"n.a."))</f>
        <v>0</v>
      </c>
      <c r="L3229" s="16">
        <f>IF(NOT(Paths!$C$299=1),0,IF(Paths!$P$299="Complete",IF(C3229=10,Paths!$I$299,0),"n.a."))</f>
        <v>0</v>
      </c>
      <c r="M3229" s="16">
        <f>IF(NOT(Paths!$C$299=1),0,IF(Paths!$P$299="Complete",IF(AND(Paths!$D$299="EV",Paths!$E$299&lt;120,Paths!$E$299+'Operating costs'!$B$65&gt;Paths!$E$299,Paths!$E$299+'Operating costs'!$B$65&lt;=120,IF(Paths!$E$299+'Operating costs'!$B$65=0,C3229=0,AND(C3229&gt;0,Paths!$E$299+'Operating costs'!$B$65&gt;(C3229-1)*12,Paths!$E$299+'Operating costs'!$B$65&lt;=C3229*12))),'Operating costs'!$B$64,0)+IF(AND('Operating costs'!$B$67&gt;0,'Operating costs'!$B$67&lt;=120,OR(Paths!$D$299="ICE",'Operating costs'!$B$67&lt;=Paths!$E$299),IF('Operating costs'!$B$67=0,C3229=0,AND(C3229&gt;0,'Operating costs'!$B$67&gt;(C3229-1)*12,'Operating costs'!$B$67&lt;=C3229*12))),'Operating costs'!$B$66,0),"n.a."))</f>
        <v>0</v>
      </c>
      <c r="N3229" s="16">
        <f>IF(NOT(Paths!$C$299=1),0,IF(Paths!$P$299="Complete",SUM(G3229:I3229)-J3229-K3229-L3229+M3229+IF(C3229=0,Paths!$F$299,0)+IF(IF(Paths!$E$299=0,C3229=0,AND(C3229&gt;0,Paths!$E$299&gt;(C3229-1)*12,Paths!$E$299&lt;=C3229*12)),VLOOKUP(A3229,'Fleet register'!$A$7:$S$106,16,FALSE),0),"n.a."))</f>
        <v>0</v>
      </c>
      <c r="O3229" s="16">
        <f>IF(NOT(Paths!$C$299=1),0,IF(Paths!$P$299="Complete",N3229-IF(C3229=0,Paths!$F$299,0),"n.a."))</f>
        <v>0</v>
      </c>
      <c r="P3229" s="16">
        <f>IF(NOT(Paths!$C$299=1),0,IF(Paths!$P$299="Complete",O3229+L3229,"n.a."))</f>
        <v>0</v>
      </c>
      <c r="Q3229" s="16">
        <f>IF(NOT(Paths!$C$299=1),0,IF(Paths!$P$299="Complete",N3229*(1+'Operating costs'!$B$54)^-C3229,"n.a."))</f>
        <v>0</v>
      </c>
      <c r="R3229" s="16">
        <f>IF(NOT(Paths!$C$299=1),0,IF(Paths!$P$299="Complete",IF(AND(C3229=0,Paths!$E$299=0),I3229-J3229-K3229+VLOOKUP(A3229,'Fleet register'!$A$7:$S$106,15,FALSE)+VLOOKUP(A3229,'Fleet register'!$A$7:$S$106,16,FALSE),0),"n.a."))</f>
        <v>0</v>
      </c>
      <c r="S3229" s="1">
        <f>IF(NOT(Paths!$C$299=1),0,IF(Paths!$P$299="Complete",IF(C3229=0,0,Paths!$S$299*Paths!$R$299),"n.a."))</f>
        <v>0</v>
      </c>
      <c r="T3229" s="1">
        <f>IF(NOT(Paths!$C$299=1),0,IF(Paths!$P$299="Complete",IF(C3229=0,0,VLOOKUP(A3229,'Fleet register'!$A$7:$S$106,9,FALSE)*Paths!$R$299),"n.a."))</f>
        <v>0</v>
      </c>
    </row>
    <row r="3230" spans="1:20" ht="24" customHeight="1">
      <c r="A3230" s="1" t="str">
        <f>Paths!$A$300</f>
        <v>T074</v>
      </c>
      <c r="B3230" s="1">
        <f>Paths!$B$300</f>
        <v>1</v>
      </c>
      <c r="C3230" s="1">
        <v>0</v>
      </c>
      <c r="D3230" s="1">
        <v>300</v>
      </c>
      <c r="E3230" s="1">
        <f>IF(OR(Paths!$C$300=0,C3230=0),0,MAX(0,MIN(C3230*12,Paths!$E$300)-(C3230-1)*12))</f>
        <v>0</v>
      </c>
      <c r="F3230" s="1">
        <f>IF(OR(Paths!$C$300=0,C3230=0),0,12-E3230)</f>
        <v>0</v>
      </c>
      <c r="G3230" s="16">
        <f>IF(NOT(Paths!$C$300=1),0,IF(Paths!$P$300="Complete",E3230/12*(Paths!$J$300*(1+'Operating costs'!$B$51)^MAX(0,C3230-1)+Paths!$K$300*(1+'Operating costs'!$B$53)^MAX(0,C3230-1)),"n.a."))</f>
        <v>0</v>
      </c>
      <c r="H3230" s="16">
        <f>IF(NOT(Paths!$C$300=1),0,IF(Paths!$P$300="Complete",F3230/12*(Paths!$L$300*(1+IF(Paths!$D$300="EV",'Operating costs'!$B$52,'Operating costs'!$B$51))^MAX(0,C3230-1)+Paths!$M$300*(1+'Operating costs'!$B$53)^MAX(0,C3230-1)),"n.a."))</f>
        <v>0</v>
      </c>
      <c r="I3230" s="16">
        <f>IF(NOT(Paths!$C$300=1),0,IF(Paths!$P$300="Complete",IF(IF(Paths!$E$300=0,C3230=0,AND(C3230&gt;0,Paths!$E$300&gt;(C3230-1)*12,Paths!$E$300&lt;=C3230*12)),Paths!$G$300,0),"n.a."))</f>
        <v>0</v>
      </c>
      <c r="J3230" s="16">
        <f>IF(NOT(Paths!$C$300=1),0,IF(Paths!$P$300="Complete",IF(IF(Paths!$E$300=0,C3230=0,AND(C3230&gt;0,Paths!$E$300&gt;(C3230-1)*12,Paths!$E$300&lt;=C3230*12)),Paths!$H$300,0),"n.a."))</f>
        <v>0</v>
      </c>
      <c r="K3230" s="16">
        <f>IF(NOT(Paths!$C$300=1),0,IF(Paths!$P$300="Complete",IF(IF(Paths!$O$300=0,C3230=0,AND(C3230&gt;0,Paths!$O$300&gt;(C3230-1)*12,Paths!$O$300&lt;=C3230*12)),Paths!$N$300,0),"n.a."))</f>
        <v>0</v>
      </c>
      <c r="L3230" s="16">
        <f>IF(NOT(Paths!$C$300=1),0,IF(Paths!$P$300="Complete",IF(C3230=10,Paths!$I$300,0),"n.a."))</f>
        <v>0</v>
      </c>
      <c r="M3230" s="16">
        <f>IF(NOT(Paths!$C$300=1),0,IF(Paths!$P$300="Complete",IF(AND(Paths!$D$300="EV",Paths!$E$300&lt;120,Paths!$E$300+'Operating costs'!$B$65&gt;Paths!$E$300,Paths!$E$300+'Operating costs'!$B$65&lt;=120,IF(Paths!$E$300+'Operating costs'!$B$65=0,C3230=0,AND(C3230&gt;0,Paths!$E$300+'Operating costs'!$B$65&gt;(C3230-1)*12,Paths!$E$300+'Operating costs'!$B$65&lt;=C3230*12))),'Operating costs'!$B$64,0)+IF(AND('Operating costs'!$B$67&gt;0,'Operating costs'!$B$67&lt;=120,OR(Paths!$D$300="ICE",'Operating costs'!$B$67&lt;=Paths!$E$300),IF('Operating costs'!$B$67=0,C3230=0,AND(C3230&gt;0,'Operating costs'!$B$67&gt;(C3230-1)*12,'Operating costs'!$B$67&lt;=C3230*12))),'Operating costs'!$B$66,0),"n.a."))</f>
        <v>0</v>
      </c>
      <c r="N3230" s="16">
        <f>IF(NOT(Paths!$C$300=1),0,IF(Paths!$P$300="Complete",SUM(G3230:I3230)-J3230-K3230-L3230+M3230+IF(C3230=0,Paths!$F$300,0)+IF(IF(Paths!$E$300=0,C3230=0,AND(C3230&gt;0,Paths!$E$300&gt;(C3230-1)*12,Paths!$E$300&lt;=C3230*12)),VLOOKUP(A3230,'Fleet register'!$A$7:$S$106,16,FALSE),0),"n.a."))</f>
        <v>0</v>
      </c>
      <c r="O3230" s="16">
        <f>IF(NOT(Paths!$C$300=1),0,IF(Paths!$P$300="Complete",N3230-IF(C3230=0,Paths!$F$300,0),"n.a."))</f>
        <v>0</v>
      </c>
      <c r="P3230" s="16">
        <f>IF(NOT(Paths!$C$300=1),0,IF(Paths!$P$300="Complete",O3230+L3230,"n.a."))</f>
        <v>0</v>
      </c>
      <c r="Q3230" s="16">
        <f>IF(NOT(Paths!$C$300=1),0,IF(Paths!$P$300="Complete",N3230*(1+'Operating costs'!$B$54)^-C3230,"n.a."))</f>
        <v>0</v>
      </c>
      <c r="R3230" s="16">
        <f>IF(NOT(Paths!$C$300=1),0,IF(Paths!$P$300="Complete",IF(AND(C3230=0,Paths!$E$300=0),I3230-J3230-K3230+VLOOKUP(A3230,'Fleet register'!$A$7:$S$106,15,FALSE)+VLOOKUP(A3230,'Fleet register'!$A$7:$S$106,16,FALSE),0),"n.a."))</f>
        <v>0</v>
      </c>
      <c r="S3230" s="1">
        <f>IF(NOT(Paths!$C$300=1),0,IF(Paths!$P$300="Complete",IF(C3230=0,0,Paths!$S$300*Paths!$R$300),"n.a."))</f>
        <v>0</v>
      </c>
      <c r="T3230" s="1">
        <f>IF(NOT(Paths!$C$300=1),0,IF(Paths!$P$300="Complete",IF(C3230=0,0,VLOOKUP(A3230,'Fleet register'!$A$7:$S$106,9,FALSE)*Paths!$R$300),"n.a."))</f>
        <v>0</v>
      </c>
    </row>
    <row r="3231" spans="1:20" ht="24" customHeight="1">
      <c r="A3231" s="1" t="str">
        <f>Paths!$A$300</f>
        <v>T074</v>
      </c>
      <c r="B3231" s="1">
        <f>Paths!$B$300</f>
        <v>1</v>
      </c>
      <c r="C3231" s="1">
        <v>1</v>
      </c>
      <c r="D3231" s="1">
        <v>300</v>
      </c>
      <c r="E3231" s="1">
        <f>IF(OR(Paths!$C$300=0,C3231=0),0,MAX(0,MIN(C3231*12,Paths!$E$300)-(C3231-1)*12))</f>
        <v>0</v>
      </c>
      <c r="F3231" s="1">
        <f>IF(OR(Paths!$C$300=0,C3231=0),0,12-E3231)</f>
        <v>0</v>
      </c>
      <c r="G3231" s="16">
        <f>IF(NOT(Paths!$C$300=1),0,IF(Paths!$P$300="Complete",E3231/12*(Paths!$J$300*(1+'Operating costs'!$B$51)^MAX(0,C3231-1)+Paths!$K$300*(1+'Operating costs'!$B$53)^MAX(0,C3231-1)),"n.a."))</f>
        <v>0</v>
      </c>
      <c r="H3231" s="16">
        <f>IF(NOT(Paths!$C$300=1),0,IF(Paths!$P$300="Complete",F3231/12*(Paths!$L$300*(1+IF(Paths!$D$300="EV",'Operating costs'!$B$52,'Operating costs'!$B$51))^MAX(0,C3231-1)+Paths!$M$300*(1+'Operating costs'!$B$53)^MAX(0,C3231-1)),"n.a."))</f>
        <v>0</v>
      </c>
      <c r="I3231" s="16">
        <f>IF(NOT(Paths!$C$300=1),0,IF(Paths!$P$300="Complete",IF(IF(Paths!$E$300=0,C3231=0,AND(C3231&gt;0,Paths!$E$300&gt;(C3231-1)*12,Paths!$E$300&lt;=C3231*12)),Paths!$G$300,0),"n.a."))</f>
        <v>0</v>
      </c>
      <c r="J3231" s="16">
        <f>IF(NOT(Paths!$C$300=1),0,IF(Paths!$P$300="Complete",IF(IF(Paths!$E$300=0,C3231=0,AND(C3231&gt;0,Paths!$E$300&gt;(C3231-1)*12,Paths!$E$300&lt;=C3231*12)),Paths!$H$300,0),"n.a."))</f>
        <v>0</v>
      </c>
      <c r="K3231" s="16">
        <f>IF(NOT(Paths!$C$300=1),0,IF(Paths!$P$300="Complete",IF(IF(Paths!$O$300=0,C3231=0,AND(C3231&gt;0,Paths!$O$300&gt;(C3231-1)*12,Paths!$O$300&lt;=C3231*12)),Paths!$N$300,0),"n.a."))</f>
        <v>0</v>
      </c>
      <c r="L3231" s="16">
        <f>IF(NOT(Paths!$C$300=1),0,IF(Paths!$P$300="Complete",IF(C3231=10,Paths!$I$300,0),"n.a."))</f>
        <v>0</v>
      </c>
      <c r="M3231" s="16">
        <f>IF(NOT(Paths!$C$300=1),0,IF(Paths!$P$300="Complete",IF(AND(Paths!$D$300="EV",Paths!$E$300&lt;120,Paths!$E$300+'Operating costs'!$B$65&gt;Paths!$E$300,Paths!$E$300+'Operating costs'!$B$65&lt;=120,IF(Paths!$E$300+'Operating costs'!$B$65=0,C3231=0,AND(C3231&gt;0,Paths!$E$300+'Operating costs'!$B$65&gt;(C3231-1)*12,Paths!$E$300+'Operating costs'!$B$65&lt;=C3231*12))),'Operating costs'!$B$64,0)+IF(AND('Operating costs'!$B$67&gt;0,'Operating costs'!$B$67&lt;=120,OR(Paths!$D$300="ICE",'Operating costs'!$B$67&lt;=Paths!$E$300),IF('Operating costs'!$B$67=0,C3231=0,AND(C3231&gt;0,'Operating costs'!$B$67&gt;(C3231-1)*12,'Operating costs'!$B$67&lt;=C3231*12))),'Operating costs'!$B$66,0),"n.a."))</f>
        <v>0</v>
      </c>
      <c r="N3231" s="16">
        <f>IF(NOT(Paths!$C$300=1),0,IF(Paths!$P$300="Complete",SUM(G3231:I3231)-J3231-K3231-L3231+M3231+IF(C3231=0,Paths!$F$300,0)+IF(IF(Paths!$E$300=0,C3231=0,AND(C3231&gt;0,Paths!$E$300&gt;(C3231-1)*12,Paths!$E$300&lt;=C3231*12)),VLOOKUP(A3231,'Fleet register'!$A$7:$S$106,16,FALSE),0),"n.a."))</f>
        <v>0</v>
      </c>
      <c r="O3231" s="16">
        <f>IF(NOT(Paths!$C$300=1),0,IF(Paths!$P$300="Complete",N3231-IF(C3231=0,Paths!$F$300,0),"n.a."))</f>
        <v>0</v>
      </c>
      <c r="P3231" s="16">
        <f>IF(NOT(Paths!$C$300=1),0,IF(Paths!$P$300="Complete",O3231+L3231,"n.a."))</f>
        <v>0</v>
      </c>
      <c r="Q3231" s="16">
        <f>IF(NOT(Paths!$C$300=1),0,IF(Paths!$P$300="Complete",N3231*(1+'Operating costs'!$B$54)^-C3231,"n.a."))</f>
        <v>0</v>
      </c>
      <c r="R3231" s="16">
        <f>IF(NOT(Paths!$C$300=1),0,IF(Paths!$P$300="Complete",IF(AND(C3231=0,Paths!$E$300=0),I3231-J3231-K3231+VLOOKUP(A3231,'Fleet register'!$A$7:$S$106,15,FALSE)+VLOOKUP(A3231,'Fleet register'!$A$7:$S$106,16,FALSE),0),"n.a."))</f>
        <v>0</v>
      </c>
      <c r="S3231" s="1">
        <f>IF(NOT(Paths!$C$300=1),0,IF(Paths!$P$300="Complete",IF(C3231=0,0,Paths!$S$300*Paths!$R$300),"n.a."))</f>
        <v>0</v>
      </c>
      <c r="T3231" s="1">
        <f>IF(NOT(Paths!$C$300=1),0,IF(Paths!$P$300="Complete",IF(C3231=0,0,VLOOKUP(A3231,'Fleet register'!$A$7:$S$106,9,FALSE)*Paths!$R$300),"n.a."))</f>
        <v>0</v>
      </c>
    </row>
    <row r="3232" spans="1:20" ht="24" customHeight="1">
      <c r="A3232" s="1" t="str">
        <f>Paths!$A$300</f>
        <v>T074</v>
      </c>
      <c r="B3232" s="1">
        <f>Paths!$B$300</f>
        <v>1</v>
      </c>
      <c r="C3232" s="1">
        <v>2</v>
      </c>
      <c r="D3232" s="1">
        <v>300</v>
      </c>
      <c r="E3232" s="1">
        <f>IF(OR(Paths!$C$300=0,C3232=0),0,MAX(0,MIN(C3232*12,Paths!$E$300)-(C3232-1)*12))</f>
        <v>0</v>
      </c>
      <c r="F3232" s="1">
        <f>IF(OR(Paths!$C$300=0,C3232=0),0,12-E3232)</f>
        <v>0</v>
      </c>
      <c r="G3232" s="16">
        <f>IF(NOT(Paths!$C$300=1),0,IF(Paths!$P$300="Complete",E3232/12*(Paths!$J$300*(1+'Operating costs'!$B$51)^MAX(0,C3232-1)+Paths!$K$300*(1+'Operating costs'!$B$53)^MAX(0,C3232-1)),"n.a."))</f>
        <v>0</v>
      </c>
      <c r="H3232" s="16">
        <f>IF(NOT(Paths!$C$300=1),0,IF(Paths!$P$300="Complete",F3232/12*(Paths!$L$300*(1+IF(Paths!$D$300="EV",'Operating costs'!$B$52,'Operating costs'!$B$51))^MAX(0,C3232-1)+Paths!$M$300*(1+'Operating costs'!$B$53)^MAX(0,C3232-1)),"n.a."))</f>
        <v>0</v>
      </c>
      <c r="I3232" s="16">
        <f>IF(NOT(Paths!$C$300=1),0,IF(Paths!$P$300="Complete",IF(IF(Paths!$E$300=0,C3232=0,AND(C3232&gt;0,Paths!$E$300&gt;(C3232-1)*12,Paths!$E$300&lt;=C3232*12)),Paths!$G$300,0),"n.a."))</f>
        <v>0</v>
      </c>
      <c r="J3232" s="16">
        <f>IF(NOT(Paths!$C$300=1),0,IF(Paths!$P$300="Complete",IF(IF(Paths!$E$300=0,C3232=0,AND(C3232&gt;0,Paths!$E$300&gt;(C3232-1)*12,Paths!$E$300&lt;=C3232*12)),Paths!$H$300,0),"n.a."))</f>
        <v>0</v>
      </c>
      <c r="K3232" s="16">
        <f>IF(NOT(Paths!$C$300=1),0,IF(Paths!$P$300="Complete",IF(IF(Paths!$O$300=0,C3232=0,AND(C3232&gt;0,Paths!$O$300&gt;(C3232-1)*12,Paths!$O$300&lt;=C3232*12)),Paths!$N$300,0),"n.a."))</f>
        <v>0</v>
      </c>
      <c r="L3232" s="16">
        <f>IF(NOT(Paths!$C$300=1),0,IF(Paths!$P$300="Complete",IF(C3232=10,Paths!$I$300,0),"n.a."))</f>
        <v>0</v>
      </c>
      <c r="M3232" s="16">
        <f>IF(NOT(Paths!$C$300=1),0,IF(Paths!$P$300="Complete",IF(AND(Paths!$D$300="EV",Paths!$E$300&lt;120,Paths!$E$300+'Operating costs'!$B$65&gt;Paths!$E$300,Paths!$E$300+'Operating costs'!$B$65&lt;=120,IF(Paths!$E$300+'Operating costs'!$B$65=0,C3232=0,AND(C3232&gt;0,Paths!$E$300+'Operating costs'!$B$65&gt;(C3232-1)*12,Paths!$E$300+'Operating costs'!$B$65&lt;=C3232*12))),'Operating costs'!$B$64,0)+IF(AND('Operating costs'!$B$67&gt;0,'Operating costs'!$B$67&lt;=120,OR(Paths!$D$300="ICE",'Operating costs'!$B$67&lt;=Paths!$E$300),IF('Operating costs'!$B$67=0,C3232=0,AND(C3232&gt;0,'Operating costs'!$B$67&gt;(C3232-1)*12,'Operating costs'!$B$67&lt;=C3232*12))),'Operating costs'!$B$66,0),"n.a."))</f>
        <v>0</v>
      </c>
      <c r="N3232" s="16">
        <f>IF(NOT(Paths!$C$300=1),0,IF(Paths!$P$300="Complete",SUM(G3232:I3232)-J3232-K3232-L3232+M3232+IF(C3232=0,Paths!$F$300,0)+IF(IF(Paths!$E$300=0,C3232=0,AND(C3232&gt;0,Paths!$E$300&gt;(C3232-1)*12,Paths!$E$300&lt;=C3232*12)),VLOOKUP(A3232,'Fleet register'!$A$7:$S$106,16,FALSE),0),"n.a."))</f>
        <v>0</v>
      </c>
      <c r="O3232" s="16">
        <f>IF(NOT(Paths!$C$300=1),0,IF(Paths!$P$300="Complete",N3232-IF(C3232=0,Paths!$F$300,0),"n.a."))</f>
        <v>0</v>
      </c>
      <c r="P3232" s="16">
        <f>IF(NOT(Paths!$C$300=1),0,IF(Paths!$P$300="Complete",O3232+L3232,"n.a."))</f>
        <v>0</v>
      </c>
      <c r="Q3232" s="16">
        <f>IF(NOT(Paths!$C$300=1),0,IF(Paths!$P$300="Complete",N3232*(1+'Operating costs'!$B$54)^-C3232,"n.a."))</f>
        <v>0</v>
      </c>
      <c r="R3232" s="16">
        <f>IF(NOT(Paths!$C$300=1),0,IF(Paths!$P$300="Complete",IF(AND(C3232=0,Paths!$E$300=0),I3232-J3232-K3232+VLOOKUP(A3232,'Fleet register'!$A$7:$S$106,15,FALSE)+VLOOKUP(A3232,'Fleet register'!$A$7:$S$106,16,FALSE),0),"n.a."))</f>
        <v>0</v>
      </c>
      <c r="S3232" s="1">
        <f>IF(NOT(Paths!$C$300=1),0,IF(Paths!$P$300="Complete",IF(C3232=0,0,Paths!$S$300*Paths!$R$300),"n.a."))</f>
        <v>0</v>
      </c>
      <c r="T3232" s="1">
        <f>IF(NOT(Paths!$C$300=1),0,IF(Paths!$P$300="Complete",IF(C3232=0,0,VLOOKUP(A3232,'Fleet register'!$A$7:$S$106,9,FALSE)*Paths!$R$300),"n.a."))</f>
        <v>0</v>
      </c>
    </row>
    <row r="3233" spans="1:20" ht="24" customHeight="1">
      <c r="A3233" s="1" t="str">
        <f>Paths!$A$300</f>
        <v>T074</v>
      </c>
      <c r="B3233" s="1">
        <f>Paths!$B$300</f>
        <v>1</v>
      </c>
      <c r="C3233" s="1">
        <v>3</v>
      </c>
      <c r="D3233" s="1">
        <v>300</v>
      </c>
      <c r="E3233" s="1">
        <f>IF(OR(Paths!$C$300=0,C3233=0),0,MAX(0,MIN(C3233*12,Paths!$E$300)-(C3233-1)*12))</f>
        <v>0</v>
      </c>
      <c r="F3233" s="1">
        <f>IF(OR(Paths!$C$300=0,C3233=0),0,12-E3233)</f>
        <v>0</v>
      </c>
      <c r="G3233" s="16">
        <f>IF(NOT(Paths!$C$300=1),0,IF(Paths!$P$300="Complete",E3233/12*(Paths!$J$300*(1+'Operating costs'!$B$51)^MAX(0,C3233-1)+Paths!$K$300*(1+'Operating costs'!$B$53)^MAX(0,C3233-1)),"n.a."))</f>
        <v>0</v>
      </c>
      <c r="H3233" s="16">
        <f>IF(NOT(Paths!$C$300=1),0,IF(Paths!$P$300="Complete",F3233/12*(Paths!$L$300*(1+IF(Paths!$D$300="EV",'Operating costs'!$B$52,'Operating costs'!$B$51))^MAX(0,C3233-1)+Paths!$M$300*(1+'Operating costs'!$B$53)^MAX(0,C3233-1)),"n.a."))</f>
        <v>0</v>
      </c>
      <c r="I3233" s="16">
        <f>IF(NOT(Paths!$C$300=1),0,IF(Paths!$P$300="Complete",IF(IF(Paths!$E$300=0,C3233=0,AND(C3233&gt;0,Paths!$E$300&gt;(C3233-1)*12,Paths!$E$300&lt;=C3233*12)),Paths!$G$300,0),"n.a."))</f>
        <v>0</v>
      </c>
      <c r="J3233" s="16">
        <f>IF(NOT(Paths!$C$300=1),0,IF(Paths!$P$300="Complete",IF(IF(Paths!$E$300=0,C3233=0,AND(C3233&gt;0,Paths!$E$300&gt;(C3233-1)*12,Paths!$E$300&lt;=C3233*12)),Paths!$H$300,0),"n.a."))</f>
        <v>0</v>
      </c>
      <c r="K3233" s="16">
        <f>IF(NOT(Paths!$C$300=1),0,IF(Paths!$P$300="Complete",IF(IF(Paths!$O$300=0,C3233=0,AND(C3233&gt;0,Paths!$O$300&gt;(C3233-1)*12,Paths!$O$300&lt;=C3233*12)),Paths!$N$300,0),"n.a."))</f>
        <v>0</v>
      </c>
      <c r="L3233" s="16">
        <f>IF(NOT(Paths!$C$300=1),0,IF(Paths!$P$300="Complete",IF(C3233=10,Paths!$I$300,0),"n.a."))</f>
        <v>0</v>
      </c>
      <c r="M3233" s="16">
        <f>IF(NOT(Paths!$C$300=1),0,IF(Paths!$P$300="Complete",IF(AND(Paths!$D$300="EV",Paths!$E$300&lt;120,Paths!$E$300+'Operating costs'!$B$65&gt;Paths!$E$300,Paths!$E$300+'Operating costs'!$B$65&lt;=120,IF(Paths!$E$300+'Operating costs'!$B$65=0,C3233=0,AND(C3233&gt;0,Paths!$E$300+'Operating costs'!$B$65&gt;(C3233-1)*12,Paths!$E$300+'Operating costs'!$B$65&lt;=C3233*12))),'Operating costs'!$B$64,0)+IF(AND('Operating costs'!$B$67&gt;0,'Operating costs'!$B$67&lt;=120,OR(Paths!$D$300="ICE",'Operating costs'!$B$67&lt;=Paths!$E$300),IF('Operating costs'!$B$67=0,C3233=0,AND(C3233&gt;0,'Operating costs'!$B$67&gt;(C3233-1)*12,'Operating costs'!$B$67&lt;=C3233*12))),'Operating costs'!$B$66,0),"n.a."))</f>
        <v>0</v>
      </c>
      <c r="N3233" s="16">
        <f>IF(NOT(Paths!$C$300=1),0,IF(Paths!$P$300="Complete",SUM(G3233:I3233)-J3233-K3233-L3233+M3233+IF(C3233=0,Paths!$F$300,0)+IF(IF(Paths!$E$300=0,C3233=0,AND(C3233&gt;0,Paths!$E$300&gt;(C3233-1)*12,Paths!$E$300&lt;=C3233*12)),VLOOKUP(A3233,'Fleet register'!$A$7:$S$106,16,FALSE),0),"n.a."))</f>
        <v>0</v>
      </c>
      <c r="O3233" s="16">
        <f>IF(NOT(Paths!$C$300=1),0,IF(Paths!$P$300="Complete",N3233-IF(C3233=0,Paths!$F$300,0),"n.a."))</f>
        <v>0</v>
      </c>
      <c r="P3233" s="16">
        <f>IF(NOT(Paths!$C$300=1),0,IF(Paths!$P$300="Complete",O3233+L3233,"n.a."))</f>
        <v>0</v>
      </c>
      <c r="Q3233" s="16">
        <f>IF(NOT(Paths!$C$300=1),0,IF(Paths!$P$300="Complete",N3233*(1+'Operating costs'!$B$54)^-C3233,"n.a."))</f>
        <v>0</v>
      </c>
      <c r="R3233" s="16">
        <f>IF(NOT(Paths!$C$300=1),0,IF(Paths!$P$300="Complete",IF(AND(C3233=0,Paths!$E$300=0),I3233-J3233-K3233+VLOOKUP(A3233,'Fleet register'!$A$7:$S$106,15,FALSE)+VLOOKUP(A3233,'Fleet register'!$A$7:$S$106,16,FALSE),0),"n.a."))</f>
        <v>0</v>
      </c>
      <c r="S3233" s="1">
        <f>IF(NOT(Paths!$C$300=1),0,IF(Paths!$P$300="Complete",IF(C3233=0,0,Paths!$S$300*Paths!$R$300),"n.a."))</f>
        <v>0</v>
      </c>
      <c r="T3233" s="1">
        <f>IF(NOT(Paths!$C$300=1),0,IF(Paths!$P$300="Complete",IF(C3233=0,0,VLOOKUP(A3233,'Fleet register'!$A$7:$S$106,9,FALSE)*Paths!$R$300),"n.a."))</f>
        <v>0</v>
      </c>
    </row>
    <row r="3234" spans="1:20" ht="24" customHeight="1">
      <c r="A3234" s="1" t="str">
        <f>Paths!$A$300</f>
        <v>T074</v>
      </c>
      <c r="B3234" s="1">
        <f>Paths!$B$300</f>
        <v>1</v>
      </c>
      <c r="C3234" s="1">
        <v>4</v>
      </c>
      <c r="D3234" s="1">
        <v>300</v>
      </c>
      <c r="E3234" s="1">
        <f>IF(OR(Paths!$C$300=0,C3234=0),0,MAX(0,MIN(C3234*12,Paths!$E$300)-(C3234-1)*12))</f>
        <v>0</v>
      </c>
      <c r="F3234" s="1">
        <f>IF(OR(Paths!$C$300=0,C3234=0),0,12-E3234)</f>
        <v>0</v>
      </c>
      <c r="G3234" s="16">
        <f>IF(NOT(Paths!$C$300=1),0,IF(Paths!$P$300="Complete",E3234/12*(Paths!$J$300*(1+'Operating costs'!$B$51)^MAX(0,C3234-1)+Paths!$K$300*(1+'Operating costs'!$B$53)^MAX(0,C3234-1)),"n.a."))</f>
        <v>0</v>
      </c>
      <c r="H3234" s="16">
        <f>IF(NOT(Paths!$C$300=1),0,IF(Paths!$P$300="Complete",F3234/12*(Paths!$L$300*(1+IF(Paths!$D$300="EV",'Operating costs'!$B$52,'Operating costs'!$B$51))^MAX(0,C3234-1)+Paths!$M$300*(1+'Operating costs'!$B$53)^MAX(0,C3234-1)),"n.a."))</f>
        <v>0</v>
      </c>
      <c r="I3234" s="16">
        <f>IF(NOT(Paths!$C$300=1),0,IF(Paths!$P$300="Complete",IF(IF(Paths!$E$300=0,C3234=0,AND(C3234&gt;0,Paths!$E$300&gt;(C3234-1)*12,Paths!$E$300&lt;=C3234*12)),Paths!$G$300,0),"n.a."))</f>
        <v>0</v>
      </c>
      <c r="J3234" s="16">
        <f>IF(NOT(Paths!$C$300=1),0,IF(Paths!$P$300="Complete",IF(IF(Paths!$E$300=0,C3234=0,AND(C3234&gt;0,Paths!$E$300&gt;(C3234-1)*12,Paths!$E$300&lt;=C3234*12)),Paths!$H$300,0),"n.a."))</f>
        <v>0</v>
      </c>
      <c r="K3234" s="16">
        <f>IF(NOT(Paths!$C$300=1),0,IF(Paths!$P$300="Complete",IF(IF(Paths!$O$300=0,C3234=0,AND(C3234&gt;0,Paths!$O$300&gt;(C3234-1)*12,Paths!$O$300&lt;=C3234*12)),Paths!$N$300,0),"n.a."))</f>
        <v>0</v>
      </c>
      <c r="L3234" s="16">
        <f>IF(NOT(Paths!$C$300=1),0,IF(Paths!$P$300="Complete",IF(C3234=10,Paths!$I$300,0),"n.a."))</f>
        <v>0</v>
      </c>
      <c r="M3234" s="16">
        <f>IF(NOT(Paths!$C$300=1),0,IF(Paths!$P$300="Complete",IF(AND(Paths!$D$300="EV",Paths!$E$300&lt;120,Paths!$E$300+'Operating costs'!$B$65&gt;Paths!$E$300,Paths!$E$300+'Operating costs'!$B$65&lt;=120,IF(Paths!$E$300+'Operating costs'!$B$65=0,C3234=0,AND(C3234&gt;0,Paths!$E$300+'Operating costs'!$B$65&gt;(C3234-1)*12,Paths!$E$300+'Operating costs'!$B$65&lt;=C3234*12))),'Operating costs'!$B$64,0)+IF(AND('Operating costs'!$B$67&gt;0,'Operating costs'!$B$67&lt;=120,OR(Paths!$D$300="ICE",'Operating costs'!$B$67&lt;=Paths!$E$300),IF('Operating costs'!$B$67=0,C3234=0,AND(C3234&gt;0,'Operating costs'!$B$67&gt;(C3234-1)*12,'Operating costs'!$B$67&lt;=C3234*12))),'Operating costs'!$B$66,0),"n.a."))</f>
        <v>0</v>
      </c>
      <c r="N3234" s="16">
        <f>IF(NOT(Paths!$C$300=1),0,IF(Paths!$P$300="Complete",SUM(G3234:I3234)-J3234-K3234-L3234+M3234+IF(C3234=0,Paths!$F$300,0)+IF(IF(Paths!$E$300=0,C3234=0,AND(C3234&gt;0,Paths!$E$300&gt;(C3234-1)*12,Paths!$E$300&lt;=C3234*12)),VLOOKUP(A3234,'Fleet register'!$A$7:$S$106,16,FALSE),0),"n.a."))</f>
        <v>0</v>
      </c>
      <c r="O3234" s="16">
        <f>IF(NOT(Paths!$C$300=1),0,IF(Paths!$P$300="Complete",N3234-IF(C3234=0,Paths!$F$300,0),"n.a."))</f>
        <v>0</v>
      </c>
      <c r="P3234" s="16">
        <f>IF(NOT(Paths!$C$300=1),0,IF(Paths!$P$300="Complete",O3234+L3234,"n.a."))</f>
        <v>0</v>
      </c>
      <c r="Q3234" s="16">
        <f>IF(NOT(Paths!$C$300=1),0,IF(Paths!$P$300="Complete",N3234*(1+'Operating costs'!$B$54)^-C3234,"n.a."))</f>
        <v>0</v>
      </c>
      <c r="R3234" s="16">
        <f>IF(NOT(Paths!$C$300=1),0,IF(Paths!$P$300="Complete",IF(AND(C3234=0,Paths!$E$300=0),I3234-J3234-K3234+VLOOKUP(A3234,'Fleet register'!$A$7:$S$106,15,FALSE)+VLOOKUP(A3234,'Fleet register'!$A$7:$S$106,16,FALSE),0),"n.a."))</f>
        <v>0</v>
      </c>
      <c r="S3234" s="1">
        <f>IF(NOT(Paths!$C$300=1),0,IF(Paths!$P$300="Complete",IF(C3234=0,0,Paths!$S$300*Paths!$R$300),"n.a."))</f>
        <v>0</v>
      </c>
      <c r="T3234" s="1">
        <f>IF(NOT(Paths!$C$300=1),0,IF(Paths!$P$300="Complete",IF(C3234=0,0,VLOOKUP(A3234,'Fleet register'!$A$7:$S$106,9,FALSE)*Paths!$R$300),"n.a."))</f>
        <v>0</v>
      </c>
    </row>
    <row r="3235" spans="1:20" ht="24" customHeight="1">
      <c r="A3235" s="1" t="str">
        <f>Paths!$A$300</f>
        <v>T074</v>
      </c>
      <c r="B3235" s="1">
        <f>Paths!$B$300</f>
        <v>1</v>
      </c>
      <c r="C3235" s="1">
        <v>5</v>
      </c>
      <c r="D3235" s="1">
        <v>300</v>
      </c>
      <c r="E3235" s="1">
        <f>IF(OR(Paths!$C$300=0,C3235=0),0,MAX(0,MIN(C3235*12,Paths!$E$300)-(C3235-1)*12))</f>
        <v>0</v>
      </c>
      <c r="F3235" s="1">
        <f>IF(OR(Paths!$C$300=0,C3235=0),0,12-E3235)</f>
        <v>0</v>
      </c>
      <c r="G3235" s="16">
        <f>IF(NOT(Paths!$C$300=1),0,IF(Paths!$P$300="Complete",E3235/12*(Paths!$J$300*(1+'Operating costs'!$B$51)^MAX(0,C3235-1)+Paths!$K$300*(1+'Operating costs'!$B$53)^MAX(0,C3235-1)),"n.a."))</f>
        <v>0</v>
      </c>
      <c r="H3235" s="16">
        <f>IF(NOT(Paths!$C$300=1),0,IF(Paths!$P$300="Complete",F3235/12*(Paths!$L$300*(1+IF(Paths!$D$300="EV",'Operating costs'!$B$52,'Operating costs'!$B$51))^MAX(0,C3235-1)+Paths!$M$300*(1+'Operating costs'!$B$53)^MAX(0,C3235-1)),"n.a."))</f>
        <v>0</v>
      </c>
      <c r="I3235" s="16">
        <f>IF(NOT(Paths!$C$300=1),0,IF(Paths!$P$300="Complete",IF(IF(Paths!$E$300=0,C3235=0,AND(C3235&gt;0,Paths!$E$300&gt;(C3235-1)*12,Paths!$E$300&lt;=C3235*12)),Paths!$G$300,0),"n.a."))</f>
        <v>0</v>
      </c>
      <c r="J3235" s="16">
        <f>IF(NOT(Paths!$C$300=1),0,IF(Paths!$P$300="Complete",IF(IF(Paths!$E$300=0,C3235=0,AND(C3235&gt;0,Paths!$E$300&gt;(C3235-1)*12,Paths!$E$300&lt;=C3235*12)),Paths!$H$300,0),"n.a."))</f>
        <v>0</v>
      </c>
      <c r="K3235" s="16">
        <f>IF(NOT(Paths!$C$300=1),0,IF(Paths!$P$300="Complete",IF(IF(Paths!$O$300=0,C3235=0,AND(C3235&gt;0,Paths!$O$300&gt;(C3235-1)*12,Paths!$O$300&lt;=C3235*12)),Paths!$N$300,0),"n.a."))</f>
        <v>0</v>
      </c>
      <c r="L3235" s="16">
        <f>IF(NOT(Paths!$C$300=1),0,IF(Paths!$P$300="Complete",IF(C3235=10,Paths!$I$300,0),"n.a."))</f>
        <v>0</v>
      </c>
      <c r="M3235" s="16">
        <f>IF(NOT(Paths!$C$300=1),0,IF(Paths!$P$300="Complete",IF(AND(Paths!$D$300="EV",Paths!$E$300&lt;120,Paths!$E$300+'Operating costs'!$B$65&gt;Paths!$E$300,Paths!$E$300+'Operating costs'!$B$65&lt;=120,IF(Paths!$E$300+'Operating costs'!$B$65=0,C3235=0,AND(C3235&gt;0,Paths!$E$300+'Operating costs'!$B$65&gt;(C3235-1)*12,Paths!$E$300+'Operating costs'!$B$65&lt;=C3235*12))),'Operating costs'!$B$64,0)+IF(AND('Operating costs'!$B$67&gt;0,'Operating costs'!$B$67&lt;=120,OR(Paths!$D$300="ICE",'Operating costs'!$B$67&lt;=Paths!$E$300),IF('Operating costs'!$B$67=0,C3235=0,AND(C3235&gt;0,'Operating costs'!$B$67&gt;(C3235-1)*12,'Operating costs'!$B$67&lt;=C3235*12))),'Operating costs'!$B$66,0),"n.a."))</f>
        <v>0</v>
      </c>
      <c r="N3235" s="16">
        <f>IF(NOT(Paths!$C$300=1),0,IF(Paths!$P$300="Complete",SUM(G3235:I3235)-J3235-K3235-L3235+M3235+IF(C3235=0,Paths!$F$300,0)+IF(IF(Paths!$E$300=0,C3235=0,AND(C3235&gt;0,Paths!$E$300&gt;(C3235-1)*12,Paths!$E$300&lt;=C3235*12)),VLOOKUP(A3235,'Fleet register'!$A$7:$S$106,16,FALSE),0),"n.a."))</f>
        <v>0</v>
      </c>
      <c r="O3235" s="16">
        <f>IF(NOT(Paths!$C$300=1),0,IF(Paths!$P$300="Complete",N3235-IF(C3235=0,Paths!$F$300,0),"n.a."))</f>
        <v>0</v>
      </c>
      <c r="P3235" s="16">
        <f>IF(NOT(Paths!$C$300=1),0,IF(Paths!$P$300="Complete",O3235+L3235,"n.a."))</f>
        <v>0</v>
      </c>
      <c r="Q3235" s="16">
        <f>IF(NOT(Paths!$C$300=1),0,IF(Paths!$P$300="Complete",N3235*(1+'Operating costs'!$B$54)^-C3235,"n.a."))</f>
        <v>0</v>
      </c>
      <c r="R3235" s="16">
        <f>IF(NOT(Paths!$C$300=1),0,IF(Paths!$P$300="Complete",IF(AND(C3235=0,Paths!$E$300=0),I3235-J3235-K3235+VLOOKUP(A3235,'Fleet register'!$A$7:$S$106,15,FALSE)+VLOOKUP(A3235,'Fleet register'!$A$7:$S$106,16,FALSE),0),"n.a."))</f>
        <v>0</v>
      </c>
      <c r="S3235" s="1">
        <f>IF(NOT(Paths!$C$300=1),0,IF(Paths!$P$300="Complete",IF(C3235=0,0,Paths!$S$300*Paths!$R$300),"n.a."))</f>
        <v>0</v>
      </c>
      <c r="T3235" s="1">
        <f>IF(NOT(Paths!$C$300=1),0,IF(Paths!$P$300="Complete",IF(C3235=0,0,VLOOKUP(A3235,'Fleet register'!$A$7:$S$106,9,FALSE)*Paths!$R$300),"n.a."))</f>
        <v>0</v>
      </c>
    </row>
    <row r="3236" spans="1:20" ht="24" customHeight="1">
      <c r="A3236" s="1" t="str">
        <f>Paths!$A$300</f>
        <v>T074</v>
      </c>
      <c r="B3236" s="1">
        <f>Paths!$B$300</f>
        <v>1</v>
      </c>
      <c r="C3236" s="1">
        <v>6</v>
      </c>
      <c r="D3236" s="1">
        <v>300</v>
      </c>
      <c r="E3236" s="1">
        <f>IF(OR(Paths!$C$300=0,C3236=0),0,MAX(0,MIN(C3236*12,Paths!$E$300)-(C3236-1)*12))</f>
        <v>0</v>
      </c>
      <c r="F3236" s="1">
        <f>IF(OR(Paths!$C$300=0,C3236=0),0,12-E3236)</f>
        <v>0</v>
      </c>
      <c r="G3236" s="16">
        <f>IF(NOT(Paths!$C$300=1),0,IF(Paths!$P$300="Complete",E3236/12*(Paths!$J$300*(1+'Operating costs'!$B$51)^MAX(0,C3236-1)+Paths!$K$300*(1+'Operating costs'!$B$53)^MAX(0,C3236-1)),"n.a."))</f>
        <v>0</v>
      </c>
      <c r="H3236" s="16">
        <f>IF(NOT(Paths!$C$300=1),0,IF(Paths!$P$300="Complete",F3236/12*(Paths!$L$300*(1+IF(Paths!$D$300="EV",'Operating costs'!$B$52,'Operating costs'!$B$51))^MAX(0,C3236-1)+Paths!$M$300*(1+'Operating costs'!$B$53)^MAX(0,C3236-1)),"n.a."))</f>
        <v>0</v>
      </c>
      <c r="I3236" s="16">
        <f>IF(NOT(Paths!$C$300=1),0,IF(Paths!$P$300="Complete",IF(IF(Paths!$E$300=0,C3236=0,AND(C3236&gt;0,Paths!$E$300&gt;(C3236-1)*12,Paths!$E$300&lt;=C3236*12)),Paths!$G$300,0),"n.a."))</f>
        <v>0</v>
      </c>
      <c r="J3236" s="16">
        <f>IF(NOT(Paths!$C$300=1),0,IF(Paths!$P$300="Complete",IF(IF(Paths!$E$300=0,C3236=0,AND(C3236&gt;0,Paths!$E$300&gt;(C3236-1)*12,Paths!$E$300&lt;=C3236*12)),Paths!$H$300,0),"n.a."))</f>
        <v>0</v>
      </c>
      <c r="K3236" s="16">
        <f>IF(NOT(Paths!$C$300=1),0,IF(Paths!$P$300="Complete",IF(IF(Paths!$O$300=0,C3236=0,AND(C3236&gt;0,Paths!$O$300&gt;(C3236-1)*12,Paths!$O$300&lt;=C3236*12)),Paths!$N$300,0),"n.a."))</f>
        <v>0</v>
      </c>
      <c r="L3236" s="16">
        <f>IF(NOT(Paths!$C$300=1),0,IF(Paths!$P$300="Complete",IF(C3236=10,Paths!$I$300,0),"n.a."))</f>
        <v>0</v>
      </c>
      <c r="M3236" s="16">
        <f>IF(NOT(Paths!$C$300=1),0,IF(Paths!$P$300="Complete",IF(AND(Paths!$D$300="EV",Paths!$E$300&lt;120,Paths!$E$300+'Operating costs'!$B$65&gt;Paths!$E$300,Paths!$E$300+'Operating costs'!$B$65&lt;=120,IF(Paths!$E$300+'Operating costs'!$B$65=0,C3236=0,AND(C3236&gt;0,Paths!$E$300+'Operating costs'!$B$65&gt;(C3236-1)*12,Paths!$E$300+'Operating costs'!$B$65&lt;=C3236*12))),'Operating costs'!$B$64,0)+IF(AND('Operating costs'!$B$67&gt;0,'Operating costs'!$B$67&lt;=120,OR(Paths!$D$300="ICE",'Operating costs'!$B$67&lt;=Paths!$E$300),IF('Operating costs'!$B$67=0,C3236=0,AND(C3236&gt;0,'Operating costs'!$B$67&gt;(C3236-1)*12,'Operating costs'!$B$67&lt;=C3236*12))),'Operating costs'!$B$66,0),"n.a."))</f>
        <v>0</v>
      </c>
      <c r="N3236" s="16">
        <f>IF(NOT(Paths!$C$300=1),0,IF(Paths!$P$300="Complete",SUM(G3236:I3236)-J3236-K3236-L3236+M3236+IF(C3236=0,Paths!$F$300,0)+IF(IF(Paths!$E$300=0,C3236=0,AND(C3236&gt;0,Paths!$E$300&gt;(C3236-1)*12,Paths!$E$300&lt;=C3236*12)),VLOOKUP(A3236,'Fleet register'!$A$7:$S$106,16,FALSE),0),"n.a."))</f>
        <v>0</v>
      </c>
      <c r="O3236" s="16">
        <f>IF(NOT(Paths!$C$300=1),0,IF(Paths!$P$300="Complete",N3236-IF(C3236=0,Paths!$F$300,0),"n.a."))</f>
        <v>0</v>
      </c>
      <c r="P3236" s="16">
        <f>IF(NOT(Paths!$C$300=1),0,IF(Paths!$P$300="Complete",O3236+L3236,"n.a."))</f>
        <v>0</v>
      </c>
      <c r="Q3236" s="16">
        <f>IF(NOT(Paths!$C$300=1),0,IF(Paths!$P$300="Complete",N3236*(1+'Operating costs'!$B$54)^-C3236,"n.a."))</f>
        <v>0</v>
      </c>
      <c r="R3236" s="16">
        <f>IF(NOT(Paths!$C$300=1),0,IF(Paths!$P$300="Complete",IF(AND(C3236=0,Paths!$E$300=0),I3236-J3236-K3236+VLOOKUP(A3236,'Fleet register'!$A$7:$S$106,15,FALSE)+VLOOKUP(A3236,'Fleet register'!$A$7:$S$106,16,FALSE),0),"n.a."))</f>
        <v>0</v>
      </c>
      <c r="S3236" s="1">
        <f>IF(NOT(Paths!$C$300=1),0,IF(Paths!$P$300="Complete",IF(C3236=0,0,Paths!$S$300*Paths!$R$300),"n.a."))</f>
        <v>0</v>
      </c>
      <c r="T3236" s="1">
        <f>IF(NOT(Paths!$C$300=1),0,IF(Paths!$P$300="Complete",IF(C3236=0,0,VLOOKUP(A3236,'Fleet register'!$A$7:$S$106,9,FALSE)*Paths!$R$300),"n.a."))</f>
        <v>0</v>
      </c>
    </row>
    <row r="3237" spans="1:20" ht="24" customHeight="1">
      <c r="A3237" s="1" t="str">
        <f>Paths!$A$300</f>
        <v>T074</v>
      </c>
      <c r="B3237" s="1">
        <f>Paths!$B$300</f>
        <v>1</v>
      </c>
      <c r="C3237" s="1">
        <v>7</v>
      </c>
      <c r="D3237" s="1">
        <v>300</v>
      </c>
      <c r="E3237" s="1">
        <f>IF(OR(Paths!$C$300=0,C3237=0),0,MAX(0,MIN(C3237*12,Paths!$E$300)-(C3237-1)*12))</f>
        <v>0</v>
      </c>
      <c r="F3237" s="1">
        <f>IF(OR(Paths!$C$300=0,C3237=0),0,12-E3237)</f>
        <v>0</v>
      </c>
      <c r="G3237" s="16">
        <f>IF(NOT(Paths!$C$300=1),0,IF(Paths!$P$300="Complete",E3237/12*(Paths!$J$300*(1+'Operating costs'!$B$51)^MAX(0,C3237-1)+Paths!$K$300*(1+'Operating costs'!$B$53)^MAX(0,C3237-1)),"n.a."))</f>
        <v>0</v>
      </c>
      <c r="H3237" s="16">
        <f>IF(NOT(Paths!$C$300=1),0,IF(Paths!$P$300="Complete",F3237/12*(Paths!$L$300*(1+IF(Paths!$D$300="EV",'Operating costs'!$B$52,'Operating costs'!$B$51))^MAX(0,C3237-1)+Paths!$M$300*(1+'Operating costs'!$B$53)^MAX(0,C3237-1)),"n.a."))</f>
        <v>0</v>
      </c>
      <c r="I3237" s="16">
        <f>IF(NOT(Paths!$C$300=1),0,IF(Paths!$P$300="Complete",IF(IF(Paths!$E$300=0,C3237=0,AND(C3237&gt;0,Paths!$E$300&gt;(C3237-1)*12,Paths!$E$300&lt;=C3237*12)),Paths!$G$300,0),"n.a."))</f>
        <v>0</v>
      </c>
      <c r="J3237" s="16">
        <f>IF(NOT(Paths!$C$300=1),0,IF(Paths!$P$300="Complete",IF(IF(Paths!$E$300=0,C3237=0,AND(C3237&gt;0,Paths!$E$300&gt;(C3237-1)*12,Paths!$E$300&lt;=C3237*12)),Paths!$H$300,0),"n.a."))</f>
        <v>0</v>
      </c>
      <c r="K3237" s="16">
        <f>IF(NOT(Paths!$C$300=1),0,IF(Paths!$P$300="Complete",IF(IF(Paths!$O$300=0,C3237=0,AND(C3237&gt;0,Paths!$O$300&gt;(C3237-1)*12,Paths!$O$300&lt;=C3237*12)),Paths!$N$300,0),"n.a."))</f>
        <v>0</v>
      </c>
      <c r="L3237" s="16">
        <f>IF(NOT(Paths!$C$300=1),0,IF(Paths!$P$300="Complete",IF(C3237=10,Paths!$I$300,0),"n.a."))</f>
        <v>0</v>
      </c>
      <c r="M3237" s="16">
        <f>IF(NOT(Paths!$C$300=1),0,IF(Paths!$P$300="Complete",IF(AND(Paths!$D$300="EV",Paths!$E$300&lt;120,Paths!$E$300+'Operating costs'!$B$65&gt;Paths!$E$300,Paths!$E$300+'Operating costs'!$B$65&lt;=120,IF(Paths!$E$300+'Operating costs'!$B$65=0,C3237=0,AND(C3237&gt;0,Paths!$E$300+'Operating costs'!$B$65&gt;(C3237-1)*12,Paths!$E$300+'Operating costs'!$B$65&lt;=C3237*12))),'Operating costs'!$B$64,0)+IF(AND('Operating costs'!$B$67&gt;0,'Operating costs'!$B$67&lt;=120,OR(Paths!$D$300="ICE",'Operating costs'!$B$67&lt;=Paths!$E$300),IF('Operating costs'!$B$67=0,C3237=0,AND(C3237&gt;0,'Operating costs'!$B$67&gt;(C3237-1)*12,'Operating costs'!$B$67&lt;=C3237*12))),'Operating costs'!$B$66,0),"n.a."))</f>
        <v>0</v>
      </c>
      <c r="N3237" s="16">
        <f>IF(NOT(Paths!$C$300=1),0,IF(Paths!$P$300="Complete",SUM(G3237:I3237)-J3237-K3237-L3237+M3237+IF(C3237=0,Paths!$F$300,0)+IF(IF(Paths!$E$300=0,C3237=0,AND(C3237&gt;0,Paths!$E$300&gt;(C3237-1)*12,Paths!$E$300&lt;=C3237*12)),VLOOKUP(A3237,'Fleet register'!$A$7:$S$106,16,FALSE),0),"n.a."))</f>
        <v>0</v>
      </c>
      <c r="O3237" s="16">
        <f>IF(NOT(Paths!$C$300=1),0,IF(Paths!$P$300="Complete",N3237-IF(C3237=0,Paths!$F$300,0),"n.a."))</f>
        <v>0</v>
      </c>
      <c r="P3237" s="16">
        <f>IF(NOT(Paths!$C$300=1),0,IF(Paths!$P$300="Complete",O3237+L3237,"n.a."))</f>
        <v>0</v>
      </c>
      <c r="Q3237" s="16">
        <f>IF(NOT(Paths!$C$300=1),0,IF(Paths!$P$300="Complete",N3237*(1+'Operating costs'!$B$54)^-C3237,"n.a."))</f>
        <v>0</v>
      </c>
      <c r="R3237" s="16">
        <f>IF(NOT(Paths!$C$300=1),0,IF(Paths!$P$300="Complete",IF(AND(C3237=0,Paths!$E$300=0),I3237-J3237-K3237+VLOOKUP(A3237,'Fleet register'!$A$7:$S$106,15,FALSE)+VLOOKUP(A3237,'Fleet register'!$A$7:$S$106,16,FALSE),0),"n.a."))</f>
        <v>0</v>
      </c>
      <c r="S3237" s="1">
        <f>IF(NOT(Paths!$C$300=1),0,IF(Paths!$P$300="Complete",IF(C3237=0,0,Paths!$S$300*Paths!$R$300),"n.a."))</f>
        <v>0</v>
      </c>
      <c r="T3237" s="1">
        <f>IF(NOT(Paths!$C$300=1),0,IF(Paths!$P$300="Complete",IF(C3237=0,0,VLOOKUP(A3237,'Fleet register'!$A$7:$S$106,9,FALSE)*Paths!$R$300),"n.a."))</f>
        <v>0</v>
      </c>
    </row>
    <row r="3238" spans="1:20" ht="24" customHeight="1">
      <c r="A3238" s="1" t="str">
        <f>Paths!$A$300</f>
        <v>T074</v>
      </c>
      <c r="B3238" s="1">
        <f>Paths!$B$300</f>
        <v>1</v>
      </c>
      <c r="C3238" s="1">
        <v>8</v>
      </c>
      <c r="D3238" s="1">
        <v>300</v>
      </c>
      <c r="E3238" s="1">
        <f>IF(OR(Paths!$C$300=0,C3238=0),0,MAX(0,MIN(C3238*12,Paths!$E$300)-(C3238-1)*12))</f>
        <v>0</v>
      </c>
      <c r="F3238" s="1">
        <f>IF(OR(Paths!$C$300=0,C3238=0),0,12-E3238)</f>
        <v>0</v>
      </c>
      <c r="G3238" s="16">
        <f>IF(NOT(Paths!$C$300=1),0,IF(Paths!$P$300="Complete",E3238/12*(Paths!$J$300*(1+'Operating costs'!$B$51)^MAX(0,C3238-1)+Paths!$K$300*(1+'Operating costs'!$B$53)^MAX(0,C3238-1)),"n.a."))</f>
        <v>0</v>
      </c>
      <c r="H3238" s="16">
        <f>IF(NOT(Paths!$C$300=1),0,IF(Paths!$P$300="Complete",F3238/12*(Paths!$L$300*(1+IF(Paths!$D$300="EV",'Operating costs'!$B$52,'Operating costs'!$B$51))^MAX(0,C3238-1)+Paths!$M$300*(1+'Operating costs'!$B$53)^MAX(0,C3238-1)),"n.a."))</f>
        <v>0</v>
      </c>
      <c r="I3238" s="16">
        <f>IF(NOT(Paths!$C$300=1),0,IF(Paths!$P$300="Complete",IF(IF(Paths!$E$300=0,C3238=0,AND(C3238&gt;0,Paths!$E$300&gt;(C3238-1)*12,Paths!$E$300&lt;=C3238*12)),Paths!$G$300,0),"n.a."))</f>
        <v>0</v>
      </c>
      <c r="J3238" s="16">
        <f>IF(NOT(Paths!$C$300=1),0,IF(Paths!$P$300="Complete",IF(IF(Paths!$E$300=0,C3238=0,AND(C3238&gt;0,Paths!$E$300&gt;(C3238-1)*12,Paths!$E$300&lt;=C3238*12)),Paths!$H$300,0),"n.a."))</f>
        <v>0</v>
      </c>
      <c r="K3238" s="16">
        <f>IF(NOT(Paths!$C$300=1),0,IF(Paths!$P$300="Complete",IF(IF(Paths!$O$300=0,C3238=0,AND(C3238&gt;0,Paths!$O$300&gt;(C3238-1)*12,Paths!$O$300&lt;=C3238*12)),Paths!$N$300,0),"n.a."))</f>
        <v>0</v>
      </c>
      <c r="L3238" s="16">
        <f>IF(NOT(Paths!$C$300=1),0,IF(Paths!$P$300="Complete",IF(C3238=10,Paths!$I$300,0),"n.a."))</f>
        <v>0</v>
      </c>
      <c r="M3238" s="16">
        <f>IF(NOT(Paths!$C$300=1),0,IF(Paths!$P$300="Complete",IF(AND(Paths!$D$300="EV",Paths!$E$300&lt;120,Paths!$E$300+'Operating costs'!$B$65&gt;Paths!$E$300,Paths!$E$300+'Operating costs'!$B$65&lt;=120,IF(Paths!$E$300+'Operating costs'!$B$65=0,C3238=0,AND(C3238&gt;0,Paths!$E$300+'Operating costs'!$B$65&gt;(C3238-1)*12,Paths!$E$300+'Operating costs'!$B$65&lt;=C3238*12))),'Operating costs'!$B$64,0)+IF(AND('Operating costs'!$B$67&gt;0,'Operating costs'!$B$67&lt;=120,OR(Paths!$D$300="ICE",'Operating costs'!$B$67&lt;=Paths!$E$300),IF('Operating costs'!$B$67=0,C3238=0,AND(C3238&gt;0,'Operating costs'!$B$67&gt;(C3238-1)*12,'Operating costs'!$B$67&lt;=C3238*12))),'Operating costs'!$B$66,0),"n.a."))</f>
        <v>0</v>
      </c>
      <c r="N3238" s="16">
        <f>IF(NOT(Paths!$C$300=1),0,IF(Paths!$P$300="Complete",SUM(G3238:I3238)-J3238-K3238-L3238+M3238+IF(C3238=0,Paths!$F$300,0)+IF(IF(Paths!$E$300=0,C3238=0,AND(C3238&gt;0,Paths!$E$300&gt;(C3238-1)*12,Paths!$E$300&lt;=C3238*12)),VLOOKUP(A3238,'Fleet register'!$A$7:$S$106,16,FALSE),0),"n.a."))</f>
        <v>0</v>
      </c>
      <c r="O3238" s="16">
        <f>IF(NOT(Paths!$C$300=1),0,IF(Paths!$P$300="Complete",N3238-IF(C3238=0,Paths!$F$300,0),"n.a."))</f>
        <v>0</v>
      </c>
      <c r="P3238" s="16">
        <f>IF(NOT(Paths!$C$300=1),0,IF(Paths!$P$300="Complete",O3238+L3238,"n.a."))</f>
        <v>0</v>
      </c>
      <c r="Q3238" s="16">
        <f>IF(NOT(Paths!$C$300=1),0,IF(Paths!$P$300="Complete",N3238*(1+'Operating costs'!$B$54)^-C3238,"n.a."))</f>
        <v>0</v>
      </c>
      <c r="R3238" s="16">
        <f>IF(NOT(Paths!$C$300=1),0,IF(Paths!$P$300="Complete",IF(AND(C3238=0,Paths!$E$300=0),I3238-J3238-K3238+VLOOKUP(A3238,'Fleet register'!$A$7:$S$106,15,FALSE)+VLOOKUP(A3238,'Fleet register'!$A$7:$S$106,16,FALSE),0),"n.a."))</f>
        <v>0</v>
      </c>
      <c r="S3238" s="1">
        <f>IF(NOT(Paths!$C$300=1),0,IF(Paths!$P$300="Complete",IF(C3238=0,0,Paths!$S$300*Paths!$R$300),"n.a."))</f>
        <v>0</v>
      </c>
      <c r="T3238" s="1">
        <f>IF(NOT(Paths!$C$300=1),0,IF(Paths!$P$300="Complete",IF(C3238=0,0,VLOOKUP(A3238,'Fleet register'!$A$7:$S$106,9,FALSE)*Paths!$R$300),"n.a."))</f>
        <v>0</v>
      </c>
    </row>
    <row r="3239" spans="1:20" ht="24" customHeight="1">
      <c r="A3239" s="1" t="str">
        <f>Paths!$A$300</f>
        <v>T074</v>
      </c>
      <c r="B3239" s="1">
        <f>Paths!$B$300</f>
        <v>1</v>
      </c>
      <c r="C3239" s="1">
        <v>9</v>
      </c>
      <c r="D3239" s="1">
        <v>300</v>
      </c>
      <c r="E3239" s="1">
        <f>IF(OR(Paths!$C$300=0,C3239=0),0,MAX(0,MIN(C3239*12,Paths!$E$300)-(C3239-1)*12))</f>
        <v>0</v>
      </c>
      <c r="F3239" s="1">
        <f>IF(OR(Paths!$C$300=0,C3239=0),0,12-E3239)</f>
        <v>0</v>
      </c>
      <c r="G3239" s="16">
        <f>IF(NOT(Paths!$C$300=1),0,IF(Paths!$P$300="Complete",E3239/12*(Paths!$J$300*(1+'Operating costs'!$B$51)^MAX(0,C3239-1)+Paths!$K$300*(1+'Operating costs'!$B$53)^MAX(0,C3239-1)),"n.a."))</f>
        <v>0</v>
      </c>
      <c r="H3239" s="16">
        <f>IF(NOT(Paths!$C$300=1),0,IF(Paths!$P$300="Complete",F3239/12*(Paths!$L$300*(1+IF(Paths!$D$300="EV",'Operating costs'!$B$52,'Operating costs'!$B$51))^MAX(0,C3239-1)+Paths!$M$300*(1+'Operating costs'!$B$53)^MAX(0,C3239-1)),"n.a."))</f>
        <v>0</v>
      </c>
      <c r="I3239" s="16">
        <f>IF(NOT(Paths!$C$300=1),0,IF(Paths!$P$300="Complete",IF(IF(Paths!$E$300=0,C3239=0,AND(C3239&gt;0,Paths!$E$300&gt;(C3239-1)*12,Paths!$E$300&lt;=C3239*12)),Paths!$G$300,0),"n.a."))</f>
        <v>0</v>
      </c>
      <c r="J3239" s="16">
        <f>IF(NOT(Paths!$C$300=1),0,IF(Paths!$P$300="Complete",IF(IF(Paths!$E$300=0,C3239=0,AND(C3239&gt;0,Paths!$E$300&gt;(C3239-1)*12,Paths!$E$300&lt;=C3239*12)),Paths!$H$300,0),"n.a."))</f>
        <v>0</v>
      </c>
      <c r="K3239" s="16">
        <f>IF(NOT(Paths!$C$300=1),0,IF(Paths!$P$300="Complete",IF(IF(Paths!$O$300=0,C3239=0,AND(C3239&gt;0,Paths!$O$300&gt;(C3239-1)*12,Paths!$O$300&lt;=C3239*12)),Paths!$N$300,0),"n.a."))</f>
        <v>0</v>
      </c>
      <c r="L3239" s="16">
        <f>IF(NOT(Paths!$C$300=1),0,IF(Paths!$P$300="Complete",IF(C3239=10,Paths!$I$300,0),"n.a."))</f>
        <v>0</v>
      </c>
      <c r="M3239" s="16">
        <f>IF(NOT(Paths!$C$300=1),0,IF(Paths!$P$300="Complete",IF(AND(Paths!$D$300="EV",Paths!$E$300&lt;120,Paths!$E$300+'Operating costs'!$B$65&gt;Paths!$E$300,Paths!$E$300+'Operating costs'!$B$65&lt;=120,IF(Paths!$E$300+'Operating costs'!$B$65=0,C3239=0,AND(C3239&gt;0,Paths!$E$300+'Operating costs'!$B$65&gt;(C3239-1)*12,Paths!$E$300+'Operating costs'!$B$65&lt;=C3239*12))),'Operating costs'!$B$64,0)+IF(AND('Operating costs'!$B$67&gt;0,'Operating costs'!$B$67&lt;=120,OR(Paths!$D$300="ICE",'Operating costs'!$B$67&lt;=Paths!$E$300),IF('Operating costs'!$B$67=0,C3239=0,AND(C3239&gt;0,'Operating costs'!$B$67&gt;(C3239-1)*12,'Operating costs'!$B$67&lt;=C3239*12))),'Operating costs'!$B$66,0),"n.a."))</f>
        <v>0</v>
      </c>
      <c r="N3239" s="16">
        <f>IF(NOT(Paths!$C$300=1),0,IF(Paths!$P$300="Complete",SUM(G3239:I3239)-J3239-K3239-L3239+M3239+IF(C3239=0,Paths!$F$300,0)+IF(IF(Paths!$E$300=0,C3239=0,AND(C3239&gt;0,Paths!$E$300&gt;(C3239-1)*12,Paths!$E$300&lt;=C3239*12)),VLOOKUP(A3239,'Fleet register'!$A$7:$S$106,16,FALSE),0),"n.a."))</f>
        <v>0</v>
      </c>
      <c r="O3239" s="16">
        <f>IF(NOT(Paths!$C$300=1),0,IF(Paths!$P$300="Complete",N3239-IF(C3239=0,Paths!$F$300,0),"n.a."))</f>
        <v>0</v>
      </c>
      <c r="P3239" s="16">
        <f>IF(NOT(Paths!$C$300=1),0,IF(Paths!$P$300="Complete",O3239+L3239,"n.a."))</f>
        <v>0</v>
      </c>
      <c r="Q3239" s="16">
        <f>IF(NOT(Paths!$C$300=1),0,IF(Paths!$P$300="Complete",N3239*(1+'Operating costs'!$B$54)^-C3239,"n.a."))</f>
        <v>0</v>
      </c>
      <c r="R3239" s="16">
        <f>IF(NOT(Paths!$C$300=1),0,IF(Paths!$P$300="Complete",IF(AND(C3239=0,Paths!$E$300=0),I3239-J3239-K3239+VLOOKUP(A3239,'Fleet register'!$A$7:$S$106,15,FALSE)+VLOOKUP(A3239,'Fleet register'!$A$7:$S$106,16,FALSE),0),"n.a."))</f>
        <v>0</v>
      </c>
      <c r="S3239" s="1">
        <f>IF(NOT(Paths!$C$300=1),0,IF(Paths!$P$300="Complete",IF(C3239=0,0,Paths!$S$300*Paths!$R$300),"n.a."))</f>
        <v>0</v>
      </c>
      <c r="T3239" s="1">
        <f>IF(NOT(Paths!$C$300=1),0,IF(Paths!$P$300="Complete",IF(C3239=0,0,VLOOKUP(A3239,'Fleet register'!$A$7:$S$106,9,FALSE)*Paths!$R$300),"n.a."))</f>
        <v>0</v>
      </c>
    </row>
    <row r="3240" spans="1:20" ht="24" customHeight="1">
      <c r="A3240" s="1" t="str">
        <f>Paths!$A$300</f>
        <v>T074</v>
      </c>
      <c r="B3240" s="1">
        <f>Paths!$B$300</f>
        <v>1</v>
      </c>
      <c r="C3240" s="1">
        <v>10</v>
      </c>
      <c r="D3240" s="1">
        <v>300</v>
      </c>
      <c r="E3240" s="1">
        <f>IF(OR(Paths!$C$300=0,C3240=0),0,MAX(0,MIN(C3240*12,Paths!$E$300)-(C3240-1)*12))</f>
        <v>0</v>
      </c>
      <c r="F3240" s="1">
        <f>IF(OR(Paths!$C$300=0,C3240=0),0,12-E3240)</f>
        <v>0</v>
      </c>
      <c r="G3240" s="16">
        <f>IF(NOT(Paths!$C$300=1),0,IF(Paths!$P$300="Complete",E3240/12*(Paths!$J$300*(1+'Operating costs'!$B$51)^MAX(0,C3240-1)+Paths!$K$300*(1+'Operating costs'!$B$53)^MAX(0,C3240-1)),"n.a."))</f>
        <v>0</v>
      </c>
      <c r="H3240" s="16">
        <f>IF(NOT(Paths!$C$300=1),0,IF(Paths!$P$300="Complete",F3240/12*(Paths!$L$300*(1+IF(Paths!$D$300="EV",'Operating costs'!$B$52,'Operating costs'!$B$51))^MAX(0,C3240-1)+Paths!$M$300*(1+'Operating costs'!$B$53)^MAX(0,C3240-1)),"n.a."))</f>
        <v>0</v>
      </c>
      <c r="I3240" s="16">
        <f>IF(NOT(Paths!$C$300=1),0,IF(Paths!$P$300="Complete",IF(IF(Paths!$E$300=0,C3240=0,AND(C3240&gt;0,Paths!$E$300&gt;(C3240-1)*12,Paths!$E$300&lt;=C3240*12)),Paths!$G$300,0),"n.a."))</f>
        <v>0</v>
      </c>
      <c r="J3240" s="16">
        <f>IF(NOT(Paths!$C$300=1),0,IF(Paths!$P$300="Complete",IF(IF(Paths!$E$300=0,C3240=0,AND(C3240&gt;0,Paths!$E$300&gt;(C3240-1)*12,Paths!$E$300&lt;=C3240*12)),Paths!$H$300,0),"n.a."))</f>
        <v>0</v>
      </c>
      <c r="K3240" s="16">
        <f>IF(NOT(Paths!$C$300=1),0,IF(Paths!$P$300="Complete",IF(IF(Paths!$O$300=0,C3240=0,AND(C3240&gt;0,Paths!$O$300&gt;(C3240-1)*12,Paths!$O$300&lt;=C3240*12)),Paths!$N$300,0),"n.a."))</f>
        <v>0</v>
      </c>
      <c r="L3240" s="16">
        <f>IF(NOT(Paths!$C$300=1),0,IF(Paths!$P$300="Complete",IF(C3240=10,Paths!$I$300,0),"n.a."))</f>
        <v>0</v>
      </c>
      <c r="M3240" s="16">
        <f>IF(NOT(Paths!$C$300=1),0,IF(Paths!$P$300="Complete",IF(AND(Paths!$D$300="EV",Paths!$E$300&lt;120,Paths!$E$300+'Operating costs'!$B$65&gt;Paths!$E$300,Paths!$E$300+'Operating costs'!$B$65&lt;=120,IF(Paths!$E$300+'Operating costs'!$B$65=0,C3240=0,AND(C3240&gt;0,Paths!$E$300+'Operating costs'!$B$65&gt;(C3240-1)*12,Paths!$E$300+'Operating costs'!$B$65&lt;=C3240*12))),'Operating costs'!$B$64,0)+IF(AND('Operating costs'!$B$67&gt;0,'Operating costs'!$B$67&lt;=120,OR(Paths!$D$300="ICE",'Operating costs'!$B$67&lt;=Paths!$E$300),IF('Operating costs'!$B$67=0,C3240=0,AND(C3240&gt;0,'Operating costs'!$B$67&gt;(C3240-1)*12,'Operating costs'!$B$67&lt;=C3240*12))),'Operating costs'!$B$66,0),"n.a."))</f>
        <v>0</v>
      </c>
      <c r="N3240" s="16">
        <f>IF(NOT(Paths!$C$300=1),0,IF(Paths!$P$300="Complete",SUM(G3240:I3240)-J3240-K3240-L3240+M3240+IF(C3240=0,Paths!$F$300,0)+IF(IF(Paths!$E$300=0,C3240=0,AND(C3240&gt;0,Paths!$E$300&gt;(C3240-1)*12,Paths!$E$300&lt;=C3240*12)),VLOOKUP(A3240,'Fleet register'!$A$7:$S$106,16,FALSE),0),"n.a."))</f>
        <v>0</v>
      </c>
      <c r="O3240" s="16">
        <f>IF(NOT(Paths!$C$300=1),0,IF(Paths!$P$300="Complete",N3240-IF(C3240=0,Paths!$F$300,0),"n.a."))</f>
        <v>0</v>
      </c>
      <c r="P3240" s="16">
        <f>IF(NOT(Paths!$C$300=1),0,IF(Paths!$P$300="Complete",O3240+L3240,"n.a."))</f>
        <v>0</v>
      </c>
      <c r="Q3240" s="16">
        <f>IF(NOT(Paths!$C$300=1),0,IF(Paths!$P$300="Complete",N3240*(1+'Operating costs'!$B$54)^-C3240,"n.a."))</f>
        <v>0</v>
      </c>
      <c r="R3240" s="16">
        <f>IF(NOT(Paths!$C$300=1),0,IF(Paths!$P$300="Complete",IF(AND(C3240=0,Paths!$E$300=0),I3240-J3240-K3240+VLOOKUP(A3240,'Fleet register'!$A$7:$S$106,15,FALSE)+VLOOKUP(A3240,'Fleet register'!$A$7:$S$106,16,FALSE),0),"n.a."))</f>
        <v>0</v>
      </c>
      <c r="S3240" s="1">
        <f>IF(NOT(Paths!$C$300=1),0,IF(Paths!$P$300="Complete",IF(C3240=0,0,Paths!$S$300*Paths!$R$300),"n.a."))</f>
        <v>0</v>
      </c>
      <c r="T3240" s="1">
        <f>IF(NOT(Paths!$C$300=1),0,IF(Paths!$P$300="Complete",IF(C3240=0,0,VLOOKUP(A3240,'Fleet register'!$A$7:$S$106,9,FALSE)*Paths!$R$300),"n.a."))</f>
        <v>0</v>
      </c>
    </row>
    <row r="3241" spans="1:20" ht="24" customHeight="1">
      <c r="A3241" s="1" t="str">
        <f>Paths!$A$301</f>
        <v>T074</v>
      </c>
      <c r="B3241" s="1">
        <f>Paths!$B$301</f>
        <v>2</v>
      </c>
      <c r="C3241" s="1">
        <v>0</v>
      </c>
      <c r="D3241" s="1">
        <v>301</v>
      </c>
      <c r="E3241" s="1">
        <f>IF(OR(Paths!$C$301=0,C3241=0),0,MAX(0,MIN(C3241*12,Paths!$E$301)-(C3241-1)*12))</f>
        <v>0</v>
      </c>
      <c r="F3241" s="1">
        <f>IF(OR(Paths!$C$301=0,C3241=0),0,12-E3241)</f>
        <v>0</v>
      </c>
      <c r="G3241" s="16">
        <f>IF(NOT(Paths!$C$301=1),0,IF(Paths!$P$301="Complete",E3241/12*(Paths!$J$301*(1+'Operating costs'!$B$51)^MAX(0,C3241-1)+Paths!$K$301*(1+'Operating costs'!$B$53)^MAX(0,C3241-1)),"n.a."))</f>
        <v>0</v>
      </c>
      <c r="H3241" s="16">
        <f>IF(NOT(Paths!$C$301=1),0,IF(Paths!$P$301="Complete",F3241/12*(Paths!$L$301*(1+IF(Paths!$D$301="EV",'Operating costs'!$B$52,'Operating costs'!$B$51))^MAX(0,C3241-1)+Paths!$M$301*(1+'Operating costs'!$B$53)^MAX(0,C3241-1)),"n.a."))</f>
        <v>0</v>
      </c>
      <c r="I3241" s="16">
        <f>IF(NOT(Paths!$C$301=1),0,IF(Paths!$P$301="Complete",IF(IF(Paths!$E$301=0,C3241=0,AND(C3241&gt;0,Paths!$E$301&gt;(C3241-1)*12,Paths!$E$301&lt;=C3241*12)),Paths!$G$301,0),"n.a."))</f>
        <v>0</v>
      </c>
      <c r="J3241" s="16">
        <f>IF(NOT(Paths!$C$301=1),0,IF(Paths!$P$301="Complete",IF(IF(Paths!$E$301=0,C3241=0,AND(C3241&gt;0,Paths!$E$301&gt;(C3241-1)*12,Paths!$E$301&lt;=C3241*12)),Paths!$H$301,0),"n.a."))</f>
        <v>0</v>
      </c>
      <c r="K3241" s="16">
        <f>IF(NOT(Paths!$C$301=1),0,IF(Paths!$P$301="Complete",IF(IF(Paths!$O$301=0,C3241=0,AND(C3241&gt;0,Paths!$O$301&gt;(C3241-1)*12,Paths!$O$301&lt;=C3241*12)),Paths!$N$301,0),"n.a."))</f>
        <v>0</v>
      </c>
      <c r="L3241" s="16">
        <f>IF(NOT(Paths!$C$301=1),0,IF(Paths!$P$301="Complete",IF(C3241=10,Paths!$I$301,0),"n.a."))</f>
        <v>0</v>
      </c>
      <c r="M3241" s="16">
        <f>IF(NOT(Paths!$C$301=1),0,IF(Paths!$P$301="Complete",IF(AND(Paths!$D$301="EV",Paths!$E$301&lt;120,Paths!$E$301+'Operating costs'!$B$65&gt;Paths!$E$301,Paths!$E$301+'Operating costs'!$B$65&lt;=120,IF(Paths!$E$301+'Operating costs'!$B$65=0,C3241=0,AND(C3241&gt;0,Paths!$E$301+'Operating costs'!$B$65&gt;(C3241-1)*12,Paths!$E$301+'Operating costs'!$B$65&lt;=C3241*12))),'Operating costs'!$B$64,0)+IF(AND('Operating costs'!$B$67&gt;0,'Operating costs'!$B$67&lt;=120,OR(Paths!$D$301="ICE",'Operating costs'!$B$67&lt;=Paths!$E$301),IF('Operating costs'!$B$67=0,C3241=0,AND(C3241&gt;0,'Operating costs'!$B$67&gt;(C3241-1)*12,'Operating costs'!$B$67&lt;=C3241*12))),'Operating costs'!$B$66,0),"n.a."))</f>
        <v>0</v>
      </c>
      <c r="N3241" s="16">
        <f>IF(NOT(Paths!$C$301=1),0,IF(Paths!$P$301="Complete",SUM(G3241:I3241)-J3241-K3241-L3241+M3241+IF(C3241=0,Paths!$F$301,0)+IF(IF(Paths!$E$301=0,C3241=0,AND(C3241&gt;0,Paths!$E$301&gt;(C3241-1)*12,Paths!$E$301&lt;=C3241*12)),VLOOKUP(A3241,'Fleet register'!$A$7:$S$106,16,FALSE),0),"n.a."))</f>
        <v>0</v>
      </c>
      <c r="O3241" s="16">
        <f>IF(NOT(Paths!$C$301=1),0,IF(Paths!$P$301="Complete",N3241-IF(C3241=0,Paths!$F$301,0),"n.a."))</f>
        <v>0</v>
      </c>
      <c r="P3241" s="16">
        <f>IF(NOT(Paths!$C$301=1),0,IF(Paths!$P$301="Complete",O3241+L3241,"n.a."))</f>
        <v>0</v>
      </c>
      <c r="Q3241" s="16">
        <f>IF(NOT(Paths!$C$301=1),0,IF(Paths!$P$301="Complete",N3241*(1+'Operating costs'!$B$54)^-C3241,"n.a."))</f>
        <v>0</v>
      </c>
      <c r="R3241" s="16">
        <f>IF(NOT(Paths!$C$301=1),0,IF(Paths!$P$301="Complete",IF(AND(C3241=0,Paths!$E$301=0),I3241-J3241-K3241+VLOOKUP(A3241,'Fleet register'!$A$7:$S$106,15,FALSE)+VLOOKUP(A3241,'Fleet register'!$A$7:$S$106,16,FALSE),0),"n.a."))</f>
        <v>0</v>
      </c>
      <c r="S3241" s="1">
        <f>IF(NOT(Paths!$C$301=1),0,IF(Paths!$P$301="Complete",IF(C3241=0,0,Paths!$S$301*Paths!$R$301),"n.a."))</f>
        <v>0</v>
      </c>
      <c r="T3241" s="1">
        <f>IF(NOT(Paths!$C$301=1),0,IF(Paths!$P$301="Complete",IF(C3241=0,0,VLOOKUP(A3241,'Fleet register'!$A$7:$S$106,9,FALSE)*Paths!$R$301),"n.a."))</f>
        <v>0</v>
      </c>
    </row>
    <row r="3242" spans="1:20" ht="24" customHeight="1">
      <c r="A3242" s="1" t="str">
        <f>Paths!$A$301</f>
        <v>T074</v>
      </c>
      <c r="B3242" s="1">
        <f>Paths!$B$301</f>
        <v>2</v>
      </c>
      <c r="C3242" s="1">
        <v>1</v>
      </c>
      <c r="D3242" s="1">
        <v>301</v>
      </c>
      <c r="E3242" s="1">
        <f>IF(OR(Paths!$C$301=0,C3242=0),0,MAX(0,MIN(C3242*12,Paths!$E$301)-(C3242-1)*12))</f>
        <v>0</v>
      </c>
      <c r="F3242" s="1">
        <f>IF(OR(Paths!$C$301=0,C3242=0),0,12-E3242)</f>
        <v>0</v>
      </c>
      <c r="G3242" s="16">
        <f>IF(NOT(Paths!$C$301=1),0,IF(Paths!$P$301="Complete",E3242/12*(Paths!$J$301*(1+'Operating costs'!$B$51)^MAX(0,C3242-1)+Paths!$K$301*(1+'Operating costs'!$B$53)^MAX(0,C3242-1)),"n.a."))</f>
        <v>0</v>
      </c>
      <c r="H3242" s="16">
        <f>IF(NOT(Paths!$C$301=1),0,IF(Paths!$P$301="Complete",F3242/12*(Paths!$L$301*(1+IF(Paths!$D$301="EV",'Operating costs'!$B$52,'Operating costs'!$B$51))^MAX(0,C3242-1)+Paths!$M$301*(1+'Operating costs'!$B$53)^MAX(0,C3242-1)),"n.a."))</f>
        <v>0</v>
      </c>
      <c r="I3242" s="16">
        <f>IF(NOT(Paths!$C$301=1),0,IF(Paths!$P$301="Complete",IF(IF(Paths!$E$301=0,C3242=0,AND(C3242&gt;0,Paths!$E$301&gt;(C3242-1)*12,Paths!$E$301&lt;=C3242*12)),Paths!$G$301,0),"n.a."))</f>
        <v>0</v>
      </c>
      <c r="J3242" s="16">
        <f>IF(NOT(Paths!$C$301=1),0,IF(Paths!$P$301="Complete",IF(IF(Paths!$E$301=0,C3242=0,AND(C3242&gt;0,Paths!$E$301&gt;(C3242-1)*12,Paths!$E$301&lt;=C3242*12)),Paths!$H$301,0),"n.a."))</f>
        <v>0</v>
      </c>
      <c r="K3242" s="16">
        <f>IF(NOT(Paths!$C$301=1),0,IF(Paths!$P$301="Complete",IF(IF(Paths!$O$301=0,C3242=0,AND(C3242&gt;0,Paths!$O$301&gt;(C3242-1)*12,Paths!$O$301&lt;=C3242*12)),Paths!$N$301,0),"n.a."))</f>
        <v>0</v>
      </c>
      <c r="L3242" s="16">
        <f>IF(NOT(Paths!$C$301=1),0,IF(Paths!$P$301="Complete",IF(C3242=10,Paths!$I$301,0),"n.a."))</f>
        <v>0</v>
      </c>
      <c r="M3242" s="16">
        <f>IF(NOT(Paths!$C$301=1),0,IF(Paths!$P$301="Complete",IF(AND(Paths!$D$301="EV",Paths!$E$301&lt;120,Paths!$E$301+'Operating costs'!$B$65&gt;Paths!$E$301,Paths!$E$301+'Operating costs'!$B$65&lt;=120,IF(Paths!$E$301+'Operating costs'!$B$65=0,C3242=0,AND(C3242&gt;0,Paths!$E$301+'Operating costs'!$B$65&gt;(C3242-1)*12,Paths!$E$301+'Operating costs'!$B$65&lt;=C3242*12))),'Operating costs'!$B$64,0)+IF(AND('Operating costs'!$B$67&gt;0,'Operating costs'!$B$67&lt;=120,OR(Paths!$D$301="ICE",'Operating costs'!$B$67&lt;=Paths!$E$301),IF('Operating costs'!$B$67=0,C3242=0,AND(C3242&gt;0,'Operating costs'!$B$67&gt;(C3242-1)*12,'Operating costs'!$B$67&lt;=C3242*12))),'Operating costs'!$B$66,0),"n.a."))</f>
        <v>0</v>
      </c>
      <c r="N3242" s="16">
        <f>IF(NOT(Paths!$C$301=1),0,IF(Paths!$P$301="Complete",SUM(G3242:I3242)-J3242-K3242-L3242+M3242+IF(C3242=0,Paths!$F$301,0)+IF(IF(Paths!$E$301=0,C3242=0,AND(C3242&gt;0,Paths!$E$301&gt;(C3242-1)*12,Paths!$E$301&lt;=C3242*12)),VLOOKUP(A3242,'Fleet register'!$A$7:$S$106,16,FALSE),0),"n.a."))</f>
        <v>0</v>
      </c>
      <c r="O3242" s="16">
        <f>IF(NOT(Paths!$C$301=1),0,IF(Paths!$P$301="Complete",N3242-IF(C3242=0,Paths!$F$301,0),"n.a."))</f>
        <v>0</v>
      </c>
      <c r="P3242" s="16">
        <f>IF(NOT(Paths!$C$301=1),0,IF(Paths!$P$301="Complete",O3242+L3242,"n.a."))</f>
        <v>0</v>
      </c>
      <c r="Q3242" s="16">
        <f>IF(NOT(Paths!$C$301=1),0,IF(Paths!$P$301="Complete",N3242*(1+'Operating costs'!$B$54)^-C3242,"n.a."))</f>
        <v>0</v>
      </c>
      <c r="R3242" s="16">
        <f>IF(NOT(Paths!$C$301=1),0,IF(Paths!$P$301="Complete",IF(AND(C3242=0,Paths!$E$301=0),I3242-J3242-K3242+VLOOKUP(A3242,'Fleet register'!$A$7:$S$106,15,FALSE)+VLOOKUP(A3242,'Fleet register'!$A$7:$S$106,16,FALSE),0),"n.a."))</f>
        <v>0</v>
      </c>
      <c r="S3242" s="1">
        <f>IF(NOT(Paths!$C$301=1),0,IF(Paths!$P$301="Complete",IF(C3242=0,0,Paths!$S$301*Paths!$R$301),"n.a."))</f>
        <v>0</v>
      </c>
      <c r="T3242" s="1">
        <f>IF(NOT(Paths!$C$301=1),0,IF(Paths!$P$301="Complete",IF(C3242=0,0,VLOOKUP(A3242,'Fleet register'!$A$7:$S$106,9,FALSE)*Paths!$R$301),"n.a."))</f>
        <v>0</v>
      </c>
    </row>
    <row r="3243" spans="1:20" ht="24" customHeight="1">
      <c r="A3243" s="1" t="str">
        <f>Paths!$A$301</f>
        <v>T074</v>
      </c>
      <c r="B3243" s="1">
        <f>Paths!$B$301</f>
        <v>2</v>
      </c>
      <c r="C3243" s="1">
        <v>2</v>
      </c>
      <c r="D3243" s="1">
        <v>301</v>
      </c>
      <c r="E3243" s="1">
        <f>IF(OR(Paths!$C$301=0,C3243=0),0,MAX(0,MIN(C3243*12,Paths!$E$301)-(C3243-1)*12))</f>
        <v>0</v>
      </c>
      <c r="F3243" s="1">
        <f>IF(OR(Paths!$C$301=0,C3243=0),0,12-E3243)</f>
        <v>0</v>
      </c>
      <c r="G3243" s="16">
        <f>IF(NOT(Paths!$C$301=1),0,IF(Paths!$P$301="Complete",E3243/12*(Paths!$J$301*(1+'Operating costs'!$B$51)^MAX(0,C3243-1)+Paths!$K$301*(1+'Operating costs'!$B$53)^MAX(0,C3243-1)),"n.a."))</f>
        <v>0</v>
      </c>
      <c r="H3243" s="16">
        <f>IF(NOT(Paths!$C$301=1),0,IF(Paths!$P$301="Complete",F3243/12*(Paths!$L$301*(1+IF(Paths!$D$301="EV",'Operating costs'!$B$52,'Operating costs'!$B$51))^MAX(0,C3243-1)+Paths!$M$301*(1+'Operating costs'!$B$53)^MAX(0,C3243-1)),"n.a."))</f>
        <v>0</v>
      </c>
      <c r="I3243" s="16">
        <f>IF(NOT(Paths!$C$301=1),0,IF(Paths!$P$301="Complete",IF(IF(Paths!$E$301=0,C3243=0,AND(C3243&gt;0,Paths!$E$301&gt;(C3243-1)*12,Paths!$E$301&lt;=C3243*12)),Paths!$G$301,0),"n.a."))</f>
        <v>0</v>
      </c>
      <c r="J3243" s="16">
        <f>IF(NOT(Paths!$C$301=1),0,IF(Paths!$P$301="Complete",IF(IF(Paths!$E$301=0,C3243=0,AND(C3243&gt;0,Paths!$E$301&gt;(C3243-1)*12,Paths!$E$301&lt;=C3243*12)),Paths!$H$301,0),"n.a."))</f>
        <v>0</v>
      </c>
      <c r="K3243" s="16">
        <f>IF(NOT(Paths!$C$301=1),0,IF(Paths!$P$301="Complete",IF(IF(Paths!$O$301=0,C3243=0,AND(C3243&gt;0,Paths!$O$301&gt;(C3243-1)*12,Paths!$O$301&lt;=C3243*12)),Paths!$N$301,0),"n.a."))</f>
        <v>0</v>
      </c>
      <c r="L3243" s="16">
        <f>IF(NOT(Paths!$C$301=1),0,IF(Paths!$P$301="Complete",IF(C3243=10,Paths!$I$301,0),"n.a."))</f>
        <v>0</v>
      </c>
      <c r="M3243" s="16">
        <f>IF(NOT(Paths!$C$301=1),0,IF(Paths!$P$301="Complete",IF(AND(Paths!$D$301="EV",Paths!$E$301&lt;120,Paths!$E$301+'Operating costs'!$B$65&gt;Paths!$E$301,Paths!$E$301+'Operating costs'!$B$65&lt;=120,IF(Paths!$E$301+'Operating costs'!$B$65=0,C3243=0,AND(C3243&gt;0,Paths!$E$301+'Operating costs'!$B$65&gt;(C3243-1)*12,Paths!$E$301+'Operating costs'!$B$65&lt;=C3243*12))),'Operating costs'!$B$64,0)+IF(AND('Operating costs'!$B$67&gt;0,'Operating costs'!$B$67&lt;=120,OR(Paths!$D$301="ICE",'Operating costs'!$B$67&lt;=Paths!$E$301),IF('Operating costs'!$B$67=0,C3243=0,AND(C3243&gt;0,'Operating costs'!$B$67&gt;(C3243-1)*12,'Operating costs'!$B$67&lt;=C3243*12))),'Operating costs'!$B$66,0),"n.a."))</f>
        <v>0</v>
      </c>
      <c r="N3243" s="16">
        <f>IF(NOT(Paths!$C$301=1),0,IF(Paths!$P$301="Complete",SUM(G3243:I3243)-J3243-K3243-L3243+M3243+IF(C3243=0,Paths!$F$301,0)+IF(IF(Paths!$E$301=0,C3243=0,AND(C3243&gt;0,Paths!$E$301&gt;(C3243-1)*12,Paths!$E$301&lt;=C3243*12)),VLOOKUP(A3243,'Fleet register'!$A$7:$S$106,16,FALSE),0),"n.a."))</f>
        <v>0</v>
      </c>
      <c r="O3243" s="16">
        <f>IF(NOT(Paths!$C$301=1),0,IF(Paths!$P$301="Complete",N3243-IF(C3243=0,Paths!$F$301,0),"n.a."))</f>
        <v>0</v>
      </c>
      <c r="P3243" s="16">
        <f>IF(NOT(Paths!$C$301=1),0,IF(Paths!$P$301="Complete",O3243+L3243,"n.a."))</f>
        <v>0</v>
      </c>
      <c r="Q3243" s="16">
        <f>IF(NOT(Paths!$C$301=1),0,IF(Paths!$P$301="Complete",N3243*(1+'Operating costs'!$B$54)^-C3243,"n.a."))</f>
        <v>0</v>
      </c>
      <c r="R3243" s="16">
        <f>IF(NOT(Paths!$C$301=1),0,IF(Paths!$P$301="Complete",IF(AND(C3243=0,Paths!$E$301=0),I3243-J3243-K3243+VLOOKUP(A3243,'Fleet register'!$A$7:$S$106,15,FALSE)+VLOOKUP(A3243,'Fleet register'!$A$7:$S$106,16,FALSE),0),"n.a."))</f>
        <v>0</v>
      </c>
      <c r="S3243" s="1">
        <f>IF(NOT(Paths!$C$301=1),0,IF(Paths!$P$301="Complete",IF(C3243=0,0,Paths!$S$301*Paths!$R$301),"n.a."))</f>
        <v>0</v>
      </c>
      <c r="T3243" s="1">
        <f>IF(NOT(Paths!$C$301=1),0,IF(Paths!$P$301="Complete",IF(C3243=0,0,VLOOKUP(A3243,'Fleet register'!$A$7:$S$106,9,FALSE)*Paths!$R$301),"n.a."))</f>
        <v>0</v>
      </c>
    </row>
    <row r="3244" spans="1:20" ht="24" customHeight="1">
      <c r="A3244" s="1" t="str">
        <f>Paths!$A$301</f>
        <v>T074</v>
      </c>
      <c r="B3244" s="1">
        <f>Paths!$B$301</f>
        <v>2</v>
      </c>
      <c r="C3244" s="1">
        <v>3</v>
      </c>
      <c r="D3244" s="1">
        <v>301</v>
      </c>
      <c r="E3244" s="1">
        <f>IF(OR(Paths!$C$301=0,C3244=0),0,MAX(0,MIN(C3244*12,Paths!$E$301)-(C3244-1)*12))</f>
        <v>0</v>
      </c>
      <c r="F3244" s="1">
        <f>IF(OR(Paths!$C$301=0,C3244=0),0,12-E3244)</f>
        <v>0</v>
      </c>
      <c r="G3244" s="16">
        <f>IF(NOT(Paths!$C$301=1),0,IF(Paths!$P$301="Complete",E3244/12*(Paths!$J$301*(1+'Operating costs'!$B$51)^MAX(0,C3244-1)+Paths!$K$301*(1+'Operating costs'!$B$53)^MAX(0,C3244-1)),"n.a."))</f>
        <v>0</v>
      </c>
      <c r="H3244" s="16">
        <f>IF(NOT(Paths!$C$301=1),0,IF(Paths!$P$301="Complete",F3244/12*(Paths!$L$301*(1+IF(Paths!$D$301="EV",'Operating costs'!$B$52,'Operating costs'!$B$51))^MAX(0,C3244-1)+Paths!$M$301*(1+'Operating costs'!$B$53)^MAX(0,C3244-1)),"n.a."))</f>
        <v>0</v>
      </c>
      <c r="I3244" s="16">
        <f>IF(NOT(Paths!$C$301=1),0,IF(Paths!$P$301="Complete",IF(IF(Paths!$E$301=0,C3244=0,AND(C3244&gt;0,Paths!$E$301&gt;(C3244-1)*12,Paths!$E$301&lt;=C3244*12)),Paths!$G$301,0),"n.a."))</f>
        <v>0</v>
      </c>
      <c r="J3244" s="16">
        <f>IF(NOT(Paths!$C$301=1),0,IF(Paths!$P$301="Complete",IF(IF(Paths!$E$301=0,C3244=0,AND(C3244&gt;0,Paths!$E$301&gt;(C3244-1)*12,Paths!$E$301&lt;=C3244*12)),Paths!$H$301,0),"n.a."))</f>
        <v>0</v>
      </c>
      <c r="K3244" s="16">
        <f>IF(NOT(Paths!$C$301=1),0,IF(Paths!$P$301="Complete",IF(IF(Paths!$O$301=0,C3244=0,AND(C3244&gt;0,Paths!$O$301&gt;(C3244-1)*12,Paths!$O$301&lt;=C3244*12)),Paths!$N$301,0),"n.a."))</f>
        <v>0</v>
      </c>
      <c r="L3244" s="16">
        <f>IF(NOT(Paths!$C$301=1),0,IF(Paths!$P$301="Complete",IF(C3244=10,Paths!$I$301,0),"n.a."))</f>
        <v>0</v>
      </c>
      <c r="M3244" s="16">
        <f>IF(NOT(Paths!$C$301=1),0,IF(Paths!$P$301="Complete",IF(AND(Paths!$D$301="EV",Paths!$E$301&lt;120,Paths!$E$301+'Operating costs'!$B$65&gt;Paths!$E$301,Paths!$E$301+'Operating costs'!$B$65&lt;=120,IF(Paths!$E$301+'Operating costs'!$B$65=0,C3244=0,AND(C3244&gt;0,Paths!$E$301+'Operating costs'!$B$65&gt;(C3244-1)*12,Paths!$E$301+'Operating costs'!$B$65&lt;=C3244*12))),'Operating costs'!$B$64,0)+IF(AND('Operating costs'!$B$67&gt;0,'Operating costs'!$B$67&lt;=120,OR(Paths!$D$301="ICE",'Operating costs'!$B$67&lt;=Paths!$E$301),IF('Operating costs'!$B$67=0,C3244=0,AND(C3244&gt;0,'Operating costs'!$B$67&gt;(C3244-1)*12,'Operating costs'!$B$67&lt;=C3244*12))),'Operating costs'!$B$66,0),"n.a."))</f>
        <v>0</v>
      </c>
      <c r="N3244" s="16">
        <f>IF(NOT(Paths!$C$301=1),0,IF(Paths!$P$301="Complete",SUM(G3244:I3244)-J3244-K3244-L3244+M3244+IF(C3244=0,Paths!$F$301,0)+IF(IF(Paths!$E$301=0,C3244=0,AND(C3244&gt;0,Paths!$E$301&gt;(C3244-1)*12,Paths!$E$301&lt;=C3244*12)),VLOOKUP(A3244,'Fleet register'!$A$7:$S$106,16,FALSE),0),"n.a."))</f>
        <v>0</v>
      </c>
      <c r="O3244" s="16">
        <f>IF(NOT(Paths!$C$301=1),0,IF(Paths!$P$301="Complete",N3244-IF(C3244=0,Paths!$F$301,0),"n.a."))</f>
        <v>0</v>
      </c>
      <c r="P3244" s="16">
        <f>IF(NOT(Paths!$C$301=1),0,IF(Paths!$P$301="Complete",O3244+L3244,"n.a."))</f>
        <v>0</v>
      </c>
      <c r="Q3244" s="16">
        <f>IF(NOT(Paths!$C$301=1),0,IF(Paths!$P$301="Complete",N3244*(1+'Operating costs'!$B$54)^-C3244,"n.a."))</f>
        <v>0</v>
      </c>
      <c r="R3244" s="16">
        <f>IF(NOT(Paths!$C$301=1),0,IF(Paths!$P$301="Complete",IF(AND(C3244=0,Paths!$E$301=0),I3244-J3244-K3244+VLOOKUP(A3244,'Fleet register'!$A$7:$S$106,15,FALSE)+VLOOKUP(A3244,'Fleet register'!$A$7:$S$106,16,FALSE),0),"n.a."))</f>
        <v>0</v>
      </c>
      <c r="S3244" s="1">
        <f>IF(NOT(Paths!$C$301=1),0,IF(Paths!$P$301="Complete",IF(C3244=0,0,Paths!$S$301*Paths!$R$301),"n.a."))</f>
        <v>0</v>
      </c>
      <c r="T3244" s="1">
        <f>IF(NOT(Paths!$C$301=1),0,IF(Paths!$P$301="Complete",IF(C3244=0,0,VLOOKUP(A3244,'Fleet register'!$A$7:$S$106,9,FALSE)*Paths!$R$301),"n.a."))</f>
        <v>0</v>
      </c>
    </row>
    <row r="3245" spans="1:20" ht="24" customHeight="1">
      <c r="A3245" s="1" t="str">
        <f>Paths!$A$301</f>
        <v>T074</v>
      </c>
      <c r="B3245" s="1">
        <f>Paths!$B$301</f>
        <v>2</v>
      </c>
      <c r="C3245" s="1">
        <v>4</v>
      </c>
      <c r="D3245" s="1">
        <v>301</v>
      </c>
      <c r="E3245" s="1">
        <f>IF(OR(Paths!$C$301=0,C3245=0),0,MAX(0,MIN(C3245*12,Paths!$E$301)-(C3245-1)*12))</f>
        <v>0</v>
      </c>
      <c r="F3245" s="1">
        <f>IF(OR(Paths!$C$301=0,C3245=0),0,12-E3245)</f>
        <v>0</v>
      </c>
      <c r="G3245" s="16">
        <f>IF(NOT(Paths!$C$301=1),0,IF(Paths!$P$301="Complete",E3245/12*(Paths!$J$301*(1+'Operating costs'!$B$51)^MAX(0,C3245-1)+Paths!$K$301*(1+'Operating costs'!$B$53)^MAX(0,C3245-1)),"n.a."))</f>
        <v>0</v>
      </c>
      <c r="H3245" s="16">
        <f>IF(NOT(Paths!$C$301=1),0,IF(Paths!$P$301="Complete",F3245/12*(Paths!$L$301*(1+IF(Paths!$D$301="EV",'Operating costs'!$B$52,'Operating costs'!$B$51))^MAX(0,C3245-1)+Paths!$M$301*(1+'Operating costs'!$B$53)^MAX(0,C3245-1)),"n.a."))</f>
        <v>0</v>
      </c>
      <c r="I3245" s="16">
        <f>IF(NOT(Paths!$C$301=1),0,IF(Paths!$P$301="Complete",IF(IF(Paths!$E$301=0,C3245=0,AND(C3245&gt;0,Paths!$E$301&gt;(C3245-1)*12,Paths!$E$301&lt;=C3245*12)),Paths!$G$301,0),"n.a."))</f>
        <v>0</v>
      </c>
      <c r="J3245" s="16">
        <f>IF(NOT(Paths!$C$301=1),0,IF(Paths!$P$301="Complete",IF(IF(Paths!$E$301=0,C3245=0,AND(C3245&gt;0,Paths!$E$301&gt;(C3245-1)*12,Paths!$E$301&lt;=C3245*12)),Paths!$H$301,0),"n.a."))</f>
        <v>0</v>
      </c>
      <c r="K3245" s="16">
        <f>IF(NOT(Paths!$C$301=1),0,IF(Paths!$P$301="Complete",IF(IF(Paths!$O$301=0,C3245=0,AND(C3245&gt;0,Paths!$O$301&gt;(C3245-1)*12,Paths!$O$301&lt;=C3245*12)),Paths!$N$301,0),"n.a."))</f>
        <v>0</v>
      </c>
      <c r="L3245" s="16">
        <f>IF(NOT(Paths!$C$301=1),0,IF(Paths!$P$301="Complete",IF(C3245=10,Paths!$I$301,0),"n.a."))</f>
        <v>0</v>
      </c>
      <c r="M3245" s="16">
        <f>IF(NOT(Paths!$C$301=1),0,IF(Paths!$P$301="Complete",IF(AND(Paths!$D$301="EV",Paths!$E$301&lt;120,Paths!$E$301+'Operating costs'!$B$65&gt;Paths!$E$301,Paths!$E$301+'Operating costs'!$B$65&lt;=120,IF(Paths!$E$301+'Operating costs'!$B$65=0,C3245=0,AND(C3245&gt;0,Paths!$E$301+'Operating costs'!$B$65&gt;(C3245-1)*12,Paths!$E$301+'Operating costs'!$B$65&lt;=C3245*12))),'Operating costs'!$B$64,0)+IF(AND('Operating costs'!$B$67&gt;0,'Operating costs'!$B$67&lt;=120,OR(Paths!$D$301="ICE",'Operating costs'!$B$67&lt;=Paths!$E$301),IF('Operating costs'!$B$67=0,C3245=0,AND(C3245&gt;0,'Operating costs'!$B$67&gt;(C3245-1)*12,'Operating costs'!$B$67&lt;=C3245*12))),'Operating costs'!$B$66,0),"n.a."))</f>
        <v>0</v>
      </c>
      <c r="N3245" s="16">
        <f>IF(NOT(Paths!$C$301=1),0,IF(Paths!$P$301="Complete",SUM(G3245:I3245)-J3245-K3245-L3245+M3245+IF(C3245=0,Paths!$F$301,0)+IF(IF(Paths!$E$301=0,C3245=0,AND(C3245&gt;0,Paths!$E$301&gt;(C3245-1)*12,Paths!$E$301&lt;=C3245*12)),VLOOKUP(A3245,'Fleet register'!$A$7:$S$106,16,FALSE),0),"n.a."))</f>
        <v>0</v>
      </c>
      <c r="O3245" s="16">
        <f>IF(NOT(Paths!$C$301=1),0,IF(Paths!$P$301="Complete",N3245-IF(C3245=0,Paths!$F$301,0),"n.a."))</f>
        <v>0</v>
      </c>
      <c r="P3245" s="16">
        <f>IF(NOT(Paths!$C$301=1),0,IF(Paths!$P$301="Complete",O3245+L3245,"n.a."))</f>
        <v>0</v>
      </c>
      <c r="Q3245" s="16">
        <f>IF(NOT(Paths!$C$301=1),0,IF(Paths!$P$301="Complete",N3245*(1+'Operating costs'!$B$54)^-C3245,"n.a."))</f>
        <v>0</v>
      </c>
      <c r="R3245" s="16">
        <f>IF(NOT(Paths!$C$301=1),0,IF(Paths!$P$301="Complete",IF(AND(C3245=0,Paths!$E$301=0),I3245-J3245-K3245+VLOOKUP(A3245,'Fleet register'!$A$7:$S$106,15,FALSE)+VLOOKUP(A3245,'Fleet register'!$A$7:$S$106,16,FALSE),0),"n.a."))</f>
        <v>0</v>
      </c>
      <c r="S3245" s="1">
        <f>IF(NOT(Paths!$C$301=1),0,IF(Paths!$P$301="Complete",IF(C3245=0,0,Paths!$S$301*Paths!$R$301),"n.a."))</f>
        <v>0</v>
      </c>
      <c r="T3245" s="1">
        <f>IF(NOT(Paths!$C$301=1),0,IF(Paths!$P$301="Complete",IF(C3245=0,0,VLOOKUP(A3245,'Fleet register'!$A$7:$S$106,9,FALSE)*Paths!$R$301),"n.a."))</f>
        <v>0</v>
      </c>
    </row>
    <row r="3246" spans="1:20" ht="24" customHeight="1">
      <c r="A3246" s="1" t="str">
        <f>Paths!$A$301</f>
        <v>T074</v>
      </c>
      <c r="B3246" s="1">
        <f>Paths!$B$301</f>
        <v>2</v>
      </c>
      <c r="C3246" s="1">
        <v>5</v>
      </c>
      <c r="D3246" s="1">
        <v>301</v>
      </c>
      <c r="E3246" s="1">
        <f>IF(OR(Paths!$C$301=0,C3246=0),0,MAX(0,MIN(C3246*12,Paths!$E$301)-(C3246-1)*12))</f>
        <v>0</v>
      </c>
      <c r="F3246" s="1">
        <f>IF(OR(Paths!$C$301=0,C3246=0),0,12-E3246)</f>
        <v>0</v>
      </c>
      <c r="G3246" s="16">
        <f>IF(NOT(Paths!$C$301=1),0,IF(Paths!$P$301="Complete",E3246/12*(Paths!$J$301*(1+'Operating costs'!$B$51)^MAX(0,C3246-1)+Paths!$K$301*(1+'Operating costs'!$B$53)^MAX(0,C3246-1)),"n.a."))</f>
        <v>0</v>
      </c>
      <c r="H3246" s="16">
        <f>IF(NOT(Paths!$C$301=1),0,IF(Paths!$P$301="Complete",F3246/12*(Paths!$L$301*(1+IF(Paths!$D$301="EV",'Operating costs'!$B$52,'Operating costs'!$B$51))^MAX(0,C3246-1)+Paths!$M$301*(1+'Operating costs'!$B$53)^MAX(0,C3246-1)),"n.a."))</f>
        <v>0</v>
      </c>
      <c r="I3246" s="16">
        <f>IF(NOT(Paths!$C$301=1),0,IF(Paths!$P$301="Complete",IF(IF(Paths!$E$301=0,C3246=0,AND(C3246&gt;0,Paths!$E$301&gt;(C3246-1)*12,Paths!$E$301&lt;=C3246*12)),Paths!$G$301,0),"n.a."))</f>
        <v>0</v>
      </c>
      <c r="J3246" s="16">
        <f>IF(NOT(Paths!$C$301=1),0,IF(Paths!$P$301="Complete",IF(IF(Paths!$E$301=0,C3246=0,AND(C3246&gt;0,Paths!$E$301&gt;(C3246-1)*12,Paths!$E$301&lt;=C3246*12)),Paths!$H$301,0),"n.a."))</f>
        <v>0</v>
      </c>
      <c r="K3246" s="16">
        <f>IF(NOT(Paths!$C$301=1),0,IF(Paths!$P$301="Complete",IF(IF(Paths!$O$301=0,C3246=0,AND(C3246&gt;0,Paths!$O$301&gt;(C3246-1)*12,Paths!$O$301&lt;=C3246*12)),Paths!$N$301,0),"n.a."))</f>
        <v>0</v>
      </c>
      <c r="L3246" s="16">
        <f>IF(NOT(Paths!$C$301=1),0,IF(Paths!$P$301="Complete",IF(C3246=10,Paths!$I$301,0),"n.a."))</f>
        <v>0</v>
      </c>
      <c r="M3246" s="16">
        <f>IF(NOT(Paths!$C$301=1),0,IF(Paths!$P$301="Complete",IF(AND(Paths!$D$301="EV",Paths!$E$301&lt;120,Paths!$E$301+'Operating costs'!$B$65&gt;Paths!$E$301,Paths!$E$301+'Operating costs'!$B$65&lt;=120,IF(Paths!$E$301+'Operating costs'!$B$65=0,C3246=0,AND(C3246&gt;0,Paths!$E$301+'Operating costs'!$B$65&gt;(C3246-1)*12,Paths!$E$301+'Operating costs'!$B$65&lt;=C3246*12))),'Operating costs'!$B$64,0)+IF(AND('Operating costs'!$B$67&gt;0,'Operating costs'!$B$67&lt;=120,OR(Paths!$D$301="ICE",'Operating costs'!$B$67&lt;=Paths!$E$301),IF('Operating costs'!$B$67=0,C3246=0,AND(C3246&gt;0,'Operating costs'!$B$67&gt;(C3246-1)*12,'Operating costs'!$B$67&lt;=C3246*12))),'Operating costs'!$B$66,0),"n.a."))</f>
        <v>0</v>
      </c>
      <c r="N3246" s="16">
        <f>IF(NOT(Paths!$C$301=1),0,IF(Paths!$P$301="Complete",SUM(G3246:I3246)-J3246-K3246-L3246+M3246+IF(C3246=0,Paths!$F$301,0)+IF(IF(Paths!$E$301=0,C3246=0,AND(C3246&gt;0,Paths!$E$301&gt;(C3246-1)*12,Paths!$E$301&lt;=C3246*12)),VLOOKUP(A3246,'Fleet register'!$A$7:$S$106,16,FALSE),0),"n.a."))</f>
        <v>0</v>
      </c>
      <c r="O3246" s="16">
        <f>IF(NOT(Paths!$C$301=1),0,IF(Paths!$P$301="Complete",N3246-IF(C3246=0,Paths!$F$301,0),"n.a."))</f>
        <v>0</v>
      </c>
      <c r="P3246" s="16">
        <f>IF(NOT(Paths!$C$301=1),0,IF(Paths!$P$301="Complete",O3246+L3246,"n.a."))</f>
        <v>0</v>
      </c>
      <c r="Q3246" s="16">
        <f>IF(NOT(Paths!$C$301=1),0,IF(Paths!$P$301="Complete",N3246*(1+'Operating costs'!$B$54)^-C3246,"n.a."))</f>
        <v>0</v>
      </c>
      <c r="R3246" s="16">
        <f>IF(NOT(Paths!$C$301=1),0,IF(Paths!$P$301="Complete",IF(AND(C3246=0,Paths!$E$301=0),I3246-J3246-K3246+VLOOKUP(A3246,'Fleet register'!$A$7:$S$106,15,FALSE)+VLOOKUP(A3246,'Fleet register'!$A$7:$S$106,16,FALSE),0),"n.a."))</f>
        <v>0</v>
      </c>
      <c r="S3246" s="1">
        <f>IF(NOT(Paths!$C$301=1),0,IF(Paths!$P$301="Complete",IF(C3246=0,0,Paths!$S$301*Paths!$R$301),"n.a."))</f>
        <v>0</v>
      </c>
      <c r="T3246" s="1">
        <f>IF(NOT(Paths!$C$301=1),0,IF(Paths!$P$301="Complete",IF(C3246=0,0,VLOOKUP(A3246,'Fleet register'!$A$7:$S$106,9,FALSE)*Paths!$R$301),"n.a."))</f>
        <v>0</v>
      </c>
    </row>
    <row r="3247" spans="1:20" ht="24" customHeight="1">
      <c r="A3247" s="1" t="str">
        <f>Paths!$A$301</f>
        <v>T074</v>
      </c>
      <c r="B3247" s="1">
        <f>Paths!$B$301</f>
        <v>2</v>
      </c>
      <c r="C3247" s="1">
        <v>6</v>
      </c>
      <c r="D3247" s="1">
        <v>301</v>
      </c>
      <c r="E3247" s="1">
        <f>IF(OR(Paths!$C$301=0,C3247=0),0,MAX(0,MIN(C3247*12,Paths!$E$301)-(C3247-1)*12))</f>
        <v>0</v>
      </c>
      <c r="F3247" s="1">
        <f>IF(OR(Paths!$C$301=0,C3247=0),0,12-E3247)</f>
        <v>0</v>
      </c>
      <c r="G3247" s="16">
        <f>IF(NOT(Paths!$C$301=1),0,IF(Paths!$P$301="Complete",E3247/12*(Paths!$J$301*(1+'Operating costs'!$B$51)^MAX(0,C3247-1)+Paths!$K$301*(1+'Operating costs'!$B$53)^MAX(0,C3247-1)),"n.a."))</f>
        <v>0</v>
      </c>
      <c r="H3247" s="16">
        <f>IF(NOT(Paths!$C$301=1),0,IF(Paths!$P$301="Complete",F3247/12*(Paths!$L$301*(1+IF(Paths!$D$301="EV",'Operating costs'!$B$52,'Operating costs'!$B$51))^MAX(0,C3247-1)+Paths!$M$301*(1+'Operating costs'!$B$53)^MAX(0,C3247-1)),"n.a."))</f>
        <v>0</v>
      </c>
      <c r="I3247" s="16">
        <f>IF(NOT(Paths!$C$301=1),0,IF(Paths!$P$301="Complete",IF(IF(Paths!$E$301=0,C3247=0,AND(C3247&gt;0,Paths!$E$301&gt;(C3247-1)*12,Paths!$E$301&lt;=C3247*12)),Paths!$G$301,0),"n.a."))</f>
        <v>0</v>
      </c>
      <c r="J3247" s="16">
        <f>IF(NOT(Paths!$C$301=1),0,IF(Paths!$P$301="Complete",IF(IF(Paths!$E$301=0,C3247=0,AND(C3247&gt;0,Paths!$E$301&gt;(C3247-1)*12,Paths!$E$301&lt;=C3247*12)),Paths!$H$301,0),"n.a."))</f>
        <v>0</v>
      </c>
      <c r="K3247" s="16">
        <f>IF(NOT(Paths!$C$301=1),0,IF(Paths!$P$301="Complete",IF(IF(Paths!$O$301=0,C3247=0,AND(C3247&gt;0,Paths!$O$301&gt;(C3247-1)*12,Paths!$O$301&lt;=C3247*12)),Paths!$N$301,0),"n.a."))</f>
        <v>0</v>
      </c>
      <c r="L3247" s="16">
        <f>IF(NOT(Paths!$C$301=1),0,IF(Paths!$P$301="Complete",IF(C3247=10,Paths!$I$301,0),"n.a."))</f>
        <v>0</v>
      </c>
      <c r="M3247" s="16">
        <f>IF(NOT(Paths!$C$301=1),0,IF(Paths!$P$301="Complete",IF(AND(Paths!$D$301="EV",Paths!$E$301&lt;120,Paths!$E$301+'Operating costs'!$B$65&gt;Paths!$E$301,Paths!$E$301+'Operating costs'!$B$65&lt;=120,IF(Paths!$E$301+'Operating costs'!$B$65=0,C3247=0,AND(C3247&gt;0,Paths!$E$301+'Operating costs'!$B$65&gt;(C3247-1)*12,Paths!$E$301+'Operating costs'!$B$65&lt;=C3247*12))),'Operating costs'!$B$64,0)+IF(AND('Operating costs'!$B$67&gt;0,'Operating costs'!$B$67&lt;=120,OR(Paths!$D$301="ICE",'Operating costs'!$B$67&lt;=Paths!$E$301),IF('Operating costs'!$B$67=0,C3247=0,AND(C3247&gt;0,'Operating costs'!$B$67&gt;(C3247-1)*12,'Operating costs'!$B$67&lt;=C3247*12))),'Operating costs'!$B$66,0),"n.a."))</f>
        <v>0</v>
      </c>
      <c r="N3247" s="16">
        <f>IF(NOT(Paths!$C$301=1),0,IF(Paths!$P$301="Complete",SUM(G3247:I3247)-J3247-K3247-L3247+M3247+IF(C3247=0,Paths!$F$301,0)+IF(IF(Paths!$E$301=0,C3247=0,AND(C3247&gt;0,Paths!$E$301&gt;(C3247-1)*12,Paths!$E$301&lt;=C3247*12)),VLOOKUP(A3247,'Fleet register'!$A$7:$S$106,16,FALSE),0),"n.a."))</f>
        <v>0</v>
      </c>
      <c r="O3247" s="16">
        <f>IF(NOT(Paths!$C$301=1),0,IF(Paths!$P$301="Complete",N3247-IF(C3247=0,Paths!$F$301,0),"n.a."))</f>
        <v>0</v>
      </c>
      <c r="P3247" s="16">
        <f>IF(NOT(Paths!$C$301=1),0,IF(Paths!$P$301="Complete",O3247+L3247,"n.a."))</f>
        <v>0</v>
      </c>
      <c r="Q3247" s="16">
        <f>IF(NOT(Paths!$C$301=1),0,IF(Paths!$P$301="Complete",N3247*(1+'Operating costs'!$B$54)^-C3247,"n.a."))</f>
        <v>0</v>
      </c>
      <c r="R3247" s="16">
        <f>IF(NOT(Paths!$C$301=1),0,IF(Paths!$P$301="Complete",IF(AND(C3247=0,Paths!$E$301=0),I3247-J3247-K3247+VLOOKUP(A3247,'Fleet register'!$A$7:$S$106,15,FALSE)+VLOOKUP(A3247,'Fleet register'!$A$7:$S$106,16,FALSE),0),"n.a."))</f>
        <v>0</v>
      </c>
      <c r="S3247" s="1">
        <f>IF(NOT(Paths!$C$301=1),0,IF(Paths!$P$301="Complete",IF(C3247=0,0,Paths!$S$301*Paths!$R$301),"n.a."))</f>
        <v>0</v>
      </c>
      <c r="T3247" s="1">
        <f>IF(NOT(Paths!$C$301=1),0,IF(Paths!$P$301="Complete",IF(C3247=0,0,VLOOKUP(A3247,'Fleet register'!$A$7:$S$106,9,FALSE)*Paths!$R$301),"n.a."))</f>
        <v>0</v>
      </c>
    </row>
    <row r="3248" spans="1:20" ht="24" customHeight="1">
      <c r="A3248" s="1" t="str">
        <f>Paths!$A$301</f>
        <v>T074</v>
      </c>
      <c r="B3248" s="1">
        <f>Paths!$B$301</f>
        <v>2</v>
      </c>
      <c r="C3248" s="1">
        <v>7</v>
      </c>
      <c r="D3248" s="1">
        <v>301</v>
      </c>
      <c r="E3248" s="1">
        <f>IF(OR(Paths!$C$301=0,C3248=0),0,MAX(0,MIN(C3248*12,Paths!$E$301)-(C3248-1)*12))</f>
        <v>0</v>
      </c>
      <c r="F3248" s="1">
        <f>IF(OR(Paths!$C$301=0,C3248=0),0,12-E3248)</f>
        <v>0</v>
      </c>
      <c r="G3248" s="16">
        <f>IF(NOT(Paths!$C$301=1),0,IF(Paths!$P$301="Complete",E3248/12*(Paths!$J$301*(1+'Operating costs'!$B$51)^MAX(0,C3248-1)+Paths!$K$301*(1+'Operating costs'!$B$53)^MAX(0,C3248-1)),"n.a."))</f>
        <v>0</v>
      </c>
      <c r="H3248" s="16">
        <f>IF(NOT(Paths!$C$301=1),0,IF(Paths!$P$301="Complete",F3248/12*(Paths!$L$301*(1+IF(Paths!$D$301="EV",'Operating costs'!$B$52,'Operating costs'!$B$51))^MAX(0,C3248-1)+Paths!$M$301*(1+'Operating costs'!$B$53)^MAX(0,C3248-1)),"n.a."))</f>
        <v>0</v>
      </c>
      <c r="I3248" s="16">
        <f>IF(NOT(Paths!$C$301=1),0,IF(Paths!$P$301="Complete",IF(IF(Paths!$E$301=0,C3248=0,AND(C3248&gt;0,Paths!$E$301&gt;(C3248-1)*12,Paths!$E$301&lt;=C3248*12)),Paths!$G$301,0),"n.a."))</f>
        <v>0</v>
      </c>
      <c r="J3248" s="16">
        <f>IF(NOT(Paths!$C$301=1),0,IF(Paths!$P$301="Complete",IF(IF(Paths!$E$301=0,C3248=0,AND(C3248&gt;0,Paths!$E$301&gt;(C3248-1)*12,Paths!$E$301&lt;=C3248*12)),Paths!$H$301,0),"n.a."))</f>
        <v>0</v>
      </c>
      <c r="K3248" s="16">
        <f>IF(NOT(Paths!$C$301=1),0,IF(Paths!$P$301="Complete",IF(IF(Paths!$O$301=0,C3248=0,AND(C3248&gt;0,Paths!$O$301&gt;(C3248-1)*12,Paths!$O$301&lt;=C3248*12)),Paths!$N$301,0),"n.a."))</f>
        <v>0</v>
      </c>
      <c r="L3248" s="16">
        <f>IF(NOT(Paths!$C$301=1),0,IF(Paths!$P$301="Complete",IF(C3248=10,Paths!$I$301,0),"n.a."))</f>
        <v>0</v>
      </c>
      <c r="M3248" s="16">
        <f>IF(NOT(Paths!$C$301=1),0,IF(Paths!$P$301="Complete",IF(AND(Paths!$D$301="EV",Paths!$E$301&lt;120,Paths!$E$301+'Operating costs'!$B$65&gt;Paths!$E$301,Paths!$E$301+'Operating costs'!$B$65&lt;=120,IF(Paths!$E$301+'Operating costs'!$B$65=0,C3248=0,AND(C3248&gt;0,Paths!$E$301+'Operating costs'!$B$65&gt;(C3248-1)*12,Paths!$E$301+'Operating costs'!$B$65&lt;=C3248*12))),'Operating costs'!$B$64,0)+IF(AND('Operating costs'!$B$67&gt;0,'Operating costs'!$B$67&lt;=120,OR(Paths!$D$301="ICE",'Operating costs'!$B$67&lt;=Paths!$E$301),IF('Operating costs'!$B$67=0,C3248=0,AND(C3248&gt;0,'Operating costs'!$B$67&gt;(C3248-1)*12,'Operating costs'!$B$67&lt;=C3248*12))),'Operating costs'!$B$66,0),"n.a."))</f>
        <v>0</v>
      </c>
      <c r="N3248" s="16">
        <f>IF(NOT(Paths!$C$301=1),0,IF(Paths!$P$301="Complete",SUM(G3248:I3248)-J3248-K3248-L3248+M3248+IF(C3248=0,Paths!$F$301,0)+IF(IF(Paths!$E$301=0,C3248=0,AND(C3248&gt;0,Paths!$E$301&gt;(C3248-1)*12,Paths!$E$301&lt;=C3248*12)),VLOOKUP(A3248,'Fleet register'!$A$7:$S$106,16,FALSE),0),"n.a."))</f>
        <v>0</v>
      </c>
      <c r="O3248" s="16">
        <f>IF(NOT(Paths!$C$301=1),0,IF(Paths!$P$301="Complete",N3248-IF(C3248=0,Paths!$F$301,0),"n.a."))</f>
        <v>0</v>
      </c>
      <c r="P3248" s="16">
        <f>IF(NOT(Paths!$C$301=1),0,IF(Paths!$P$301="Complete",O3248+L3248,"n.a."))</f>
        <v>0</v>
      </c>
      <c r="Q3248" s="16">
        <f>IF(NOT(Paths!$C$301=1),0,IF(Paths!$P$301="Complete",N3248*(1+'Operating costs'!$B$54)^-C3248,"n.a."))</f>
        <v>0</v>
      </c>
      <c r="R3248" s="16">
        <f>IF(NOT(Paths!$C$301=1),0,IF(Paths!$P$301="Complete",IF(AND(C3248=0,Paths!$E$301=0),I3248-J3248-K3248+VLOOKUP(A3248,'Fleet register'!$A$7:$S$106,15,FALSE)+VLOOKUP(A3248,'Fleet register'!$A$7:$S$106,16,FALSE),0),"n.a."))</f>
        <v>0</v>
      </c>
      <c r="S3248" s="1">
        <f>IF(NOT(Paths!$C$301=1),0,IF(Paths!$P$301="Complete",IF(C3248=0,0,Paths!$S$301*Paths!$R$301),"n.a."))</f>
        <v>0</v>
      </c>
      <c r="T3248" s="1">
        <f>IF(NOT(Paths!$C$301=1),0,IF(Paths!$P$301="Complete",IF(C3248=0,0,VLOOKUP(A3248,'Fleet register'!$A$7:$S$106,9,FALSE)*Paths!$R$301),"n.a."))</f>
        <v>0</v>
      </c>
    </row>
    <row r="3249" spans="1:20" ht="24" customHeight="1">
      <c r="A3249" s="1" t="str">
        <f>Paths!$A$301</f>
        <v>T074</v>
      </c>
      <c r="B3249" s="1">
        <f>Paths!$B$301</f>
        <v>2</v>
      </c>
      <c r="C3249" s="1">
        <v>8</v>
      </c>
      <c r="D3249" s="1">
        <v>301</v>
      </c>
      <c r="E3249" s="1">
        <f>IF(OR(Paths!$C$301=0,C3249=0),0,MAX(0,MIN(C3249*12,Paths!$E$301)-(C3249-1)*12))</f>
        <v>0</v>
      </c>
      <c r="F3249" s="1">
        <f>IF(OR(Paths!$C$301=0,C3249=0),0,12-E3249)</f>
        <v>0</v>
      </c>
      <c r="G3249" s="16">
        <f>IF(NOT(Paths!$C$301=1),0,IF(Paths!$P$301="Complete",E3249/12*(Paths!$J$301*(1+'Operating costs'!$B$51)^MAX(0,C3249-1)+Paths!$K$301*(1+'Operating costs'!$B$53)^MAX(0,C3249-1)),"n.a."))</f>
        <v>0</v>
      </c>
      <c r="H3249" s="16">
        <f>IF(NOT(Paths!$C$301=1),0,IF(Paths!$P$301="Complete",F3249/12*(Paths!$L$301*(1+IF(Paths!$D$301="EV",'Operating costs'!$B$52,'Operating costs'!$B$51))^MAX(0,C3249-1)+Paths!$M$301*(1+'Operating costs'!$B$53)^MAX(0,C3249-1)),"n.a."))</f>
        <v>0</v>
      </c>
      <c r="I3249" s="16">
        <f>IF(NOT(Paths!$C$301=1),0,IF(Paths!$P$301="Complete",IF(IF(Paths!$E$301=0,C3249=0,AND(C3249&gt;0,Paths!$E$301&gt;(C3249-1)*12,Paths!$E$301&lt;=C3249*12)),Paths!$G$301,0),"n.a."))</f>
        <v>0</v>
      </c>
      <c r="J3249" s="16">
        <f>IF(NOT(Paths!$C$301=1),0,IF(Paths!$P$301="Complete",IF(IF(Paths!$E$301=0,C3249=0,AND(C3249&gt;0,Paths!$E$301&gt;(C3249-1)*12,Paths!$E$301&lt;=C3249*12)),Paths!$H$301,0),"n.a."))</f>
        <v>0</v>
      </c>
      <c r="K3249" s="16">
        <f>IF(NOT(Paths!$C$301=1),0,IF(Paths!$P$301="Complete",IF(IF(Paths!$O$301=0,C3249=0,AND(C3249&gt;0,Paths!$O$301&gt;(C3249-1)*12,Paths!$O$301&lt;=C3249*12)),Paths!$N$301,0),"n.a."))</f>
        <v>0</v>
      </c>
      <c r="L3249" s="16">
        <f>IF(NOT(Paths!$C$301=1),0,IF(Paths!$P$301="Complete",IF(C3249=10,Paths!$I$301,0),"n.a."))</f>
        <v>0</v>
      </c>
      <c r="M3249" s="16">
        <f>IF(NOT(Paths!$C$301=1),0,IF(Paths!$P$301="Complete",IF(AND(Paths!$D$301="EV",Paths!$E$301&lt;120,Paths!$E$301+'Operating costs'!$B$65&gt;Paths!$E$301,Paths!$E$301+'Operating costs'!$B$65&lt;=120,IF(Paths!$E$301+'Operating costs'!$B$65=0,C3249=0,AND(C3249&gt;0,Paths!$E$301+'Operating costs'!$B$65&gt;(C3249-1)*12,Paths!$E$301+'Operating costs'!$B$65&lt;=C3249*12))),'Operating costs'!$B$64,0)+IF(AND('Operating costs'!$B$67&gt;0,'Operating costs'!$B$67&lt;=120,OR(Paths!$D$301="ICE",'Operating costs'!$B$67&lt;=Paths!$E$301),IF('Operating costs'!$B$67=0,C3249=0,AND(C3249&gt;0,'Operating costs'!$B$67&gt;(C3249-1)*12,'Operating costs'!$B$67&lt;=C3249*12))),'Operating costs'!$B$66,0),"n.a."))</f>
        <v>0</v>
      </c>
      <c r="N3249" s="16">
        <f>IF(NOT(Paths!$C$301=1),0,IF(Paths!$P$301="Complete",SUM(G3249:I3249)-J3249-K3249-L3249+M3249+IF(C3249=0,Paths!$F$301,0)+IF(IF(Paths!$E$301=0,C3249=0,AND(C3249&gt;0,Paths!$E$301&gt;(C3249-1)*12,Paths!$E$301&lt;=C3249*12)),VLOOKUP(A3249,'Fleet register'!$A$7:$S$106,16,FALSE),0),"n.a."))</f>
        <v>0</v>
      </c>
      <c r="O3249" s="16">
        <f>IF(NOT(Paths!$C$301=1),0,IF(Paths!$P$301="Complete",N3249-IF(C3249=0,Paths!$F$301,0),"n.a."))</f>
        <v>0</v>
      </c>
      <c r="P3249" s="16">
        <f>IF(NOT(Paths!$C$301=1),0,IF(Paths!$P$301="Complete",O3249+L3249,"n.a."))</f>
        <v>0</v>
      </c>
      <c r="Q3249" s="16">
        <f>IF(NOT(Paths!$C$301=1),0,IF(Paths!$P$301="Complete",N3249*(1+'Operating costs'!$B$54)^-C3249,"n.a."))</f>
        <v>0</v>
      </c>
      <c r="R3249" s="16">
        <f>IF(NOT(Paths!$C$301=1),0,IF(Paths!$P$301="Complete",IF(AND(C3249=0,Paths!$E$301=0),I3249-J3249-K3249+VLOOKUP(A3249,'Fleet register'!$A$7:$S$106,15,FALSE)+VLOOKUP(A3249,'Fleet register'!$A$7:$S$106,16,FALSE),0),"n.a."))</f>
        <v>0</v>
      </c>
      <c r="S3249" s="1">
        <f>IF(NOT(Paths!$C$301=1),0,IF(Paths!$P$301="Complete",IF(C3249=0,0,Paths!$S$301*Paths!$R$301),"n.a."))</f>
        <v>0</v>
      </c>
      <c r="T3249" s="1">
        <f>IF(NOT(Paths!$C$301=1),0,IF(Paths!$P$301="Complete",IF(C3249=0,0,VLOOKUP(A3249,'Fleet register'!$A$7:$S$106,9,FALSE)*Paths!$R$301),"n.a."))</f>
        <v>0</v>
      </c>
    </row>
    <row r="3250" spans="1:20" ht="24" customHeight="1">
      <c r="A3250" s="1" t="str">
        <f>Paths!$A$301</f>
        <v>T074</v>
      </c>
      <c r="B3250" s="1">
        <f>Paths!$B$301</f>
        <v>2</v>
      </c>
      <c r="C3250" s="1">
        <v>9</v>
      </c>
      <c r="D3250" s="1">
        <v>301</v>
      </c>
      <c r="E3250" s="1">
        <f>IF(OR(Paths!$C$301=0,C3250=0),0,MAX(0,MIN(C3250*12,Paths!$E$301)-(C3250-1)*12))</f>
        <v>0</v>
      </c>
      <c r="F3250" s="1">
        <f>IF(OR(Paths!$C$301=0,C3250=0),0,12-E3250)</f>
        <v>0</v>
      </c>
      <c r="G3250" s="16">
        <f>IF(NOT(Paths!$C$301=1),0,IF(Paths!$P$301="Complete",E3250/12*(Paths!$J$301*(1+'Operating costs'!$B$51)^MAX(0,C3250-1)+Paths!$K$301*(1+'Operating costs'!$B$53)^MAX(0,C3250-1)),"n.a."))</f>
        <v>0</v>
      </c>
      <c r="H3250" s="16">
        <f>IF(NOT(Paths!$C$301=1),0,IF(Paths!$P$301="Complete",F3250/12*(Paths!$L$301*(1+IF(Paths!$D$301="EV",'Operating costs'!$B$52,'Operating costs'!$B$51))^MAX(0,C3250-1)+Paths!$M$301*(1+'Operating costs'!$B$53)^MAX(0,C3250-1)),"n.a."))</f>
        <v>0</v>
      </c>
      <c r="I3250" s="16">
        <f>IF(NOT(Paths!$C$301=1),0,IF(Paths!$P$301="Complete",IF(IF(Paths!$E$301=0,C3250=0,AND(C3250&gt;0,Paths!$E$301&gt;(C3250-1)*12,Paths!$E$301&lt;=C3250*12)),Paths!$G$301,0),"n.a."))</f>
        <v>0</v>
      </c>
      <c r="J3250" s="16">
        <f>IF(NOT(Paths!$C$301=1),0,IF(Paths!$P$301="Complete",IF(IF(Paths!$E$301=0,C3250=0,AND(C3250&gt;0,Paths!$E$301&gt;(C3250-1)*12,Paths!$E$301&lt;=C3250*12)),Paths!$H$301,0),"n.a."))</f>
        <v>0</v>
      </c>
      <c r="K3250" s="16">
        <f>IF(NOT(Paths!$C$301=1),0,IF(Paths!$P$301="Complete",IF(IF(Paths!$O$301=0,C3250=0,AND(C3250&gt;0,Paths!$O$301&gt;(C3250-1)*12,Paths!$O$301&lt;=C3250*12)),Paths!$N$301,0),"n.a."))</f>
        <v>0</v>
      </c>
      <c r="L3250" s="16">
        <f>IF(NOT(Paths!$C$301=1),0,IF(Paths!$P$301="Complete",IF(C3250=10,Paths!$I$301,0),"n.a."))</f>
        <v>0</v>
      </c>
      <c r="M3250" s="16">
        <f>IF(NOT(Paths!$C$301=1),0,IF(Paths!$P$301="Complete",IF(AND(Paths!$D$301="EV",Paths!$E$301&lt;120,Paths!$E$301+'Operating costs'!$B$65&gt;Paths!$E$301,Paths!$E$301+'Operating costs'!$B$65&lt;=120,IF(Paths!$E$301+'Operating costs'!$B$65=0,C3250=0,AND(C3250&gt;0,Paths!$E$301+'Operating costs'!$B$65&gt;(C3250-1)*12,Paths!$E$301+'Operating costs'!$B$65&lt;=C3250*12))),'Operating costs'!$B$64,0)+IF(AND('Operating costs'!$B$67&gt;0,'Operating costs'!$B$67&lt;=120,OR(Paths!$D$301="ICE",'Operating costs'!$B$67&lt;=Paths!$E$301),IF('Operating costs'!$B$67=0,C3250=0,AND(C3250&gt;0,'Operating costs'!$B$67&gt;(C3250-1)*12,'Operating costs'!$B$67&lt;=C3250*12))),'Operating costs'!$B$66,0),"n.a."))</f>
        <v>0</v>
      </c>
      <c r="N3250" s="16">
        <f>IF(NOT(Paths!$C$301=1),0,IF(Paths!$P$301="Complete",SUM(G3250:I3250)-J3250-K3250-L3250+M3250+IF(C3250=0,Paths!$F$301,0)+IF(IF(Paths!$E$301=0,C3250=0,AND(C3250&gt;0,Paths!$E$301&gt;(C3250-1)*12,Paths!$E$301&lt;=C3250*12)),VLOOKUP(A3250,'Fleet register'!$A$7:$S$106,16,FALSE),0),"n.a."))</f>
        <v>0</v>
      </c>
      <c r="O3250" s="16">
        <f>IF(NOT(Paths!$C$301=1),0,IF(Paths!$P$301="Complete",N3250-IF(C3250=0,Paths!$F$301,0),"n.a."))</f>
        <v>0</v>
      </c>
      <c r="P3250" s="16">
        <f>IF(NOT(Paths!$C$301=1),0,IF(Paths!$P$301="Complete",O3250+L3250,"n.a."))</f>
        <v>0</v>
      </c>
      <c r="Q3250" s="16">
        <f>IF(NOT(Paths!$C$301=1),0,IF(Paths!$P$301="Complete",N3250*(1+'Operating costs'!$B$54)^-C3250,"n.a."))</f>
        <v>0</v>
      </c>
      <c r="R3250" s="16">
        <f>IF(NOT(Paths!$C$301=1),0,IF(Paths!$P$301="Complete",IF(AND(C3250=0,Paths!$E$301=0),I3250-J3250-K3250+VLOOKUP(A3250,'Fleet register'!$A$7:$S$106,15,FALSE)+VLOOKUP(A3250,'Fleet register'!$A$7:$S$106,16,FALSE),0),"n.a."))</f>
        <v>0</v>
      </c>
      <c r="S3250" s="1">
        <f>IF(NOT(Paths!$C$301=1),0,IF(Paths!$P$301="Complete",IF(C3250=0,0,Paths!$S$301*Paths!$R$301),"n.a."))</f>
        <v>0</v>
      </c>
      <c r="T3250" s="1">
        <f>IF(NOT(Paths!$C$301=1),0,IF(Paths!$P$301="Complete",IF(C3250=0,0,VLOOKUP(A3250,'Fleet register'!$A$7:$S$106,9,FALSE)*Paths!$R$301),"n.a."))</f>
        <v>0</v>
      </c>
    </row>
    <row r="3251" spans="1:20" ht="24" customHeight="1">
      <c r="A3251" s="1" t="str">
        <f>Paths!$A$301</f>
        <v>T074</v>
      </c>
      <c r="B3251" s="1">
        <f>Paths!$B$301</f>
        <v>2</v>
      </c>
      <c r="C3251" s="1">
        <v>10</v>
      </c>
      <c r="D3251" s="1">
        <v>301</v>
      </c>
      <c r="E3251" s="1">
        <f>IF(OR(Paths!$C$301=0,C3251=0),0,MAX(0,MIN(C3251*12,Paths!$E$301)-(C3251-1)*12))</f>
        <v>0</v>
      </c>
      <c r="F3251" s="1">
        <f>IF(OR(Paths!$C$301=0,C3251=0),0,12-E3251)</f>
        <v>0</v>
      </c>
      <c r="G3251" s="16">
        <f>IF(NOT(Paths!$C$301=1),0,IF(Paths!$P$301="Complete",E3251/12*(Paths!$J$301*(1+'Operating costs'!$B$51)^MAX(0,C3251-1)+Paths!$K$301*(1+'Operating costs'!$B$53)^MAX(0,C3251-1)),"n.a."))</f>
        <v>0</v>
      </c>
      <c r="H3251" s="16">
        <f>IF(NOT(Paths!$C$301=1),0,IF(Paths!$P$301="Complete",F3251/12*(Paths!$L$301*(1+IF(Paths!$D$301="EV",'Operating costs'!$B$52,'Operating costs'!$B$51))^MAX(0,C3251-1)+Paths!$M$301*(1+'Operating costs'!$B$53)^MAX(0,C3251-1)),"n.a."))</f>
        <v>0</v>
      </c>
      <c r="I3251" s="16">
        <f>IF(NOT(Paths!$C$301=1),0,IF(Paths!$P$301="Complete",IF(IF(Paths!$E$301=0,C3251=0,AND(C3251&gt;0,Paths!$E$301&gt;(C3251-1)*12,Paths!$E$301&lt;=C3251*12)),Paths!$G$301,0),"n.a."))</f>
        <v>0</v>
      </c>
      <c r="J3251" s="16">
        <f>IF(NOT(Paths!$C$301=1),0,IF(Paths!$P$301="Complete",IF(IF(Paths!$E$301=0,C3251=0,AND(C3251&gt;0,Paths!$E$301&gt;(C3251-1)*12,Paths!$E$301&lt;=C3251*12)),Paths!$H$301,0),"n.a."))</f>
        <v>0</v>
      </c>
      <c r="K3251" s="16">
        <f>IF(NOT(Paths!$C$301=1),0,IF(Paths!$P$301="Complete",IF(IF(Paths!$O$301=0,C3251=0,AND(C3251&gt;0,Paths!$O$301&gt;(C3251-1)*12,Paths!$O$301&lt;=C3251*12)),Paths!$N$301,0),"n.a."))</f>
        <v>0</v>
      </c>
      <c r="L3251" s="16">
        <f>IF(NOT(Paths!$C$301=1),0,IF(Paths!$P$301="Complete",IF(C3251=10,Paths!$I$301,0),"n.a."))</f>
        <v>0</v>
      </c>
      <c r="M3251" s="16">
        <f>IF(NOT(Paths!$C$301=1),0,IF(Paths!$P$301="Complete",IF(AND(Paths!$D$301="EV",Paths!$E$301&lt;120,Paths!$E$301+'Operating costs'!$B$65&gt;Paths!$E$301,Paths!$E$301+'Operating costs'!$B$65&lt;=120,IF(Paths!$E$301+'Operating costs'!$B$65=0,C3251=0,AND(C3251&gt;0,Paths!$E$301+'Operating costs'!$B$65&gt;(C3251-1)*12,Paths!$E$301+'Operating costs'!$B$65&lt;=C3251*12))),'Operating costs'!$B$64,0)+IF(AND('Operating costs'!$B$67&gt;0,'Operating costs'!$B$67&lt;=120,OR(Paths!$D$301="ICE",'Operating costs'!$B$67&lt;=Paths!$E$301),IF('Operating costs'!$B$67=0,C3251=0,AND(C3251&gt;0,'Operating costs'!$B$67&gt;(C3251-1)*12,'Operating costs'!$B$67&lt;=C3251*12))),'Operating costs'!$B$66,0),"n.a."))</f>
        <v>0</v>
      </c>
      <c r="N3251" s="16">
        <f>IF(NOT(Paths!$C$301=1),0,IF(Paths!$P$301="Complete",SUM(G3251:I3251)-J3251-K3251-L3251+M3251+IF(C3251=0,Paths!$F$301,0)+IF(IF(Paths!$E$301=0,C3251=0,AND(C3251&gt;0,Paths!$E$301&gt;(C3251-1)*12,Paths!$E$301&lt;=C3251*12)),VLOOKUP(A3251,'Fleet register'!$A$7:$S$106,16,FALSE),0),"n.a."))</f>
        <v>0</v>
      </c>
      <c r="O3251" s="16">
        <f>IF(NOT(Paths!$C$301=1),0,IF(Paths!$P$301="Complete",N3251-IF(C3251=0,Paths!$F$301,0),"n.a."))</f>
        <v>0</v>
      </c>
      <c r="P3251" s="16">
        <f>IF(NOT(Paths!$C$301=1),0,IF(Paths!$P$301="Complete",O3251+L3251,"n.a."))</f>
        <v>0</v>
      </c>
      <c r="Q3251" s="16">
        <f>IF(NOT(Paths!$C$301=1),0,IF(Paths!$P$301="Complete",N3251*(1+'Operating costs'!$B$54)^-C3251,"n.a."))</f>
        <v>0</v>
      </c>
      <c r="R3251" s="16">
        <f>IF(NOT(Paths!$C$301=1),0,IF(Paths!$P$301="Complete",IF(AND(C3251=0,Paths!$E$301=0),I3251-J3251-K3251+VLOOKUP(A3251,'Fleet register'!$A$7:$S$106,15,FALSE)+VLOOKUP(A3251,'Fleet register'!$A$7:$S$106,16,FALSE),0),"n.a."))</f>
        <v>0</v>
      </c>
      <c r="S3251" s="1">
        <f>IF(NOT(Paths!$C$301=1),0,IF(Paths!$P$301="Complete",IF(C3251=0,0,Paths!$S$301*Paths!$R$301),"n.a."))</f>
        <v>0</v>
      </c>
      <c r="T3251" s="1">
        <f>IF(NOT(Paths!$C$301=1),0,IF(Paths!$P$301="Complete",IF(C3251=0,0,VLOOKUP(A3251,'Fleet register'!$A$7:$S$106,9,FALSE)*Paths!$R$301),"n.a."))</f>
        <v>0</v>
      </c>
    </row>
    <row r="3252" spans="1:20" ht="24" customHeight="1">
      <c r="A3252" s="1" t="str">
        <f>Paths!$A$302</f>
        <v>T074</v>
      </c>
      <c r="B3252" s="1">
        <f>Paths!$B$302</f>
        <v>3</v>
      </c>
      <c r="C3252" s="1">
        <v>0</v>
      </c>
      <c r="D3252" s="1">
        <v>302</v>
      </c>
      <c r="E3252" s="1">
        <f>IF(OR(Paths!$C$302=0,C3252=0),0,MAX(0,MIN(C3252*12,Paths!$E$302)-(C3252-1)*12))</f>
        <v>0</v>
      </c>
      <c r="F3252" s="1">
        <f>IF(OR(Paths!$C$302=0,C3252=0),0,12-E3252)</f>
        <v>0</v>
      </c>
      <c r="G3252" s="16">
        <f>IF(NOT(Paths!$C$302=1),0,IF(Paths!$P$302="Complete",E3252/12*(Paths!$J$302*(1+'Operating costs'!$B$51)^MAX(0,C3252-1)+Paths!$K$302*(1+'Operating costs'!$B$53)^MAX(0,C3252-1)),"n.a."))</f>
        <v>0</v>
      </c>
      <c r="H3252" s="16">
        <f>IF(NOT(Paths!$C$302=1),0,IF(Paths!$P$302="Complete",F3252/12*(Paths!$L$302*(1+IF(Paths!$D$302="EV",'Operating costs'!$B$52,'Operating costs'!$B$51))^MAX(0,C3252-1)+Paths!$M$302*(1+'Operating costs'!$B$53)^MAX(0,C3252-1)),"n.a."))</f>
        <v>0</v>
      </c>
      <c r="I3252" s="16">
        <f>IF(NOT(Paths!$C$302=1),0,IF(Paths!$P$302="Complete",IF(IF(Paths!$E$302=0,C3252=0,AND(C3252&gt;0,Paths!$E$302&gt;(C3252-1)*12,Paths!$E$302&lt;=C3252*12)),Paths!$G$302,0),"n.a."))</f>
        <v>0</v>
      </c>
      <c r="J3252" s="16">
        <f>IF(NOT(Paths!$C$302=1),0,IF(Paths!$P$302="Complete",IF(IF(Paths!$E$302=0,C3252=0,AND(C3252&gt;0,Paths!$E$302&gt;(C3252-1)*12,Paths!$E$302&lt;=C3252*12)),Paths!$H$302,0),"n.a."))</f>
        <v>0</v>
      </c>
      <c r="K3252" s="16">
        <f>IF(NOT(Paths!$C$302=1),0,IF(Paths!$P$302="Complete",IF(IF(Paths!$O$302=0,C3252=0,AND(C3252&gt;0,Paths!$O$302&gt;(C3252-1)*12,Paths!$O$302&lt;=C3252*12)),Paths!$N$302,0),"n.a."))</f>
        <v>0</v>
      </c>
      <c r="L3252" s="16">
        <f>IF(NOT(Paths!$C$302=1),0,IF(Paths!$P$302="Complete",IF(C3252=10,Paths!$I$302,0),"n.a."))</f>
        <v>0</v>
      </c>
      <c r="M3252" s="16">
        <f>IF(NOT(Paths!$C$302=1),0,IF(Paths!$P$302="Complete",IF(AND(Paths!$D$302="EV",Paths!$E$302&lt;120,Paths!$E$302+'Operating costs'!$B$65&gt;Paths!$E$302,Paths!$E$302+'Operating costs'!$B$65&lt;=120,IF(Paths!$E$302+'Operating costs'!$B$65=0,C3252=0,AND(C3252&gt;0,Paths!$E$302+'Operating costs'!$B$65&gt;(C3252-1)*12,Paths!$E$302+'Operating costs'!$B$65&lt;=C3252*12))),'Operating costs'!$B$64,0)+IF(AND('Operating costs'!$B$67&gt;0,'Operating costs'!$B$67&lt;=120,OR(Paths!$D$302="ICE",'Operating costs'!$B$67&lt;=Paths!$E$302),IF('Operating costs'!$B$67=0,C3252=0,AND(C3252&gt;0,'Operating costs'!$B$67&gt;(C3252-1)*12,'Operating costs'!$B$67&lt;=C3252*12))),'Operating costs'!$B$66,0),"n.a."))</f>
        <v>0</v>
      </c>
      <c r="N3252" s="16">
        <f>IF(NOT(Paths!$C$302=1),0,IF(Paths!$P$302="Complete",SUM(G3252:I3252)-J3252-K3252-L3252+M3252+IF(C3252=0,Paths!$F$302,0)+IF(IF(Paths!$E$302=0,C3252=0,AND(C3252&gt;0,Paths!$E$302&gt;(C3252-1)*12,Paths!$E$302&lt;=C3252*12)),VLOOKUP(A3252,'Fleet register'!$A$7:$S$106,16,FALSE),0),"n.a."))</f>
        <v>0</v>
      </c>
      <c r="O3252" s="16">
        <f>IF(NOT(Paths!$C$302=1),0,IF(Paths!$P$302="Complete",N3252-IF(C3252=0,Paths!$F$302,0),"n.a."))</f>
        <v>0</v>
      </c>
      <c r="P3252" s="16">
        <f>IF(NOT(Paths!$C$302=1),0,IF(Paths!$P$302="Complete",O3252+L3252,"n.a."))</f>
        <v>0</v>
      </c>
      <c r="Q3252" s="16">
        <f>IF(NOT(Paths!$C$302=1),0,IF(Paths!$P$302="Complete",N3252*(1+'Operating costs'!$B$54)^-C3252,"n.a."))</f>
        <v>0</v>
      </c>
      <c r="R3252" s="16">
        <f>IF(NOT(Paths!$C$302=1),0,IF(Paths!$P$302="Complete",IF(AND(C3252=0,Paths!$E$302=0),I3252-J3252-K3252+VLOOKUP(A3252,'Fleet register'!$A$7:$S$106,15,FALSE)+VLOOKUP(A3252,'Fleet register'!$A$7:$S$106,16,FALSE),0),"n.a."))</f>
        <v>0</v>
      </c>
      <c r="S3252" s="1">
        <f>IF(NOT(Paths!$C$302=1),0,IF(Paths!$P$302="Complete",IF(C3252=0,0,Paths!$S$302*Paths!$R$302),"n.a."))</f>
        <v>0</v>
      </c>
      <c r="T3252" s="1">
        <f>IF(NOT(Paths!$C$302=1),0,IF(Paths!$P$302="Complete",IF(C3252=0,0,VLOOKUP(A3252,'Fleet register'!$A$7:$S$106,9,FALSE)*Paths!$R$302),"n.a."))</f>
        <v>0</v>
      </c>
    </row>
    <row r="3253" spans="1:20" ht="24" customHeight="1">
      <c r="A3253" s="1" t="str">
        <f>Paths!$A$302</f>
        <v>T074</v>
      </c>
      <c r="B3253" s="1">
        <f>Paths!$B$302</f>
        <v>3</v>
      </c>
      <c r="C3253" s="1">
        <v>1</v>
      </c>
      <c r="D3253" s="1">
        <v>302</v>
      </c>
      <c r="E3253" s="1">
        <f>IF(OR(Paths!$C$302=0,C3253=0),0,MAX(0,MIN(C3253*12,Paths!$E$302)-(C3253-1)*12))</f>
        <v>0</v>
      </c>
      <c r="F3253" s="1">
        <f>IF(OR(Paths!$C$302=0,C3253=0),0,12-E3253)</f>
        <v>0</v>
      </c>
      <c r="G3253" s="16">
        <f>IF(NOT(Paths!$C$302=1),0,IF(Paths!$P$302="Complete",E3253/12*(Paths!$J$302*(1+'Operating costs'!$B$51)^MAX(0,C3253-1)+Paths!$K$302*(1+'Operating costs'!$B$53)^MAX(0,C3253-1)),"n.a."))</f>
        <v>0</v>
      </c>
      <c r="H3253" s="16">
        <f>IF(NOT(Paths!$C$302=1),0,IF(Paths!$P$302="Complete",F3253/12*(Paths!$L$302*(1+IF(Paths!$D$302="EV",'Operating costs'!$B$52,'Operating costs'!$B$51))^MAX(0,C3253-1)+Paths!$M$302*(1+'Operating costs'!$B$53)^MAX(0,C3253-1)),"n.a."))</f>
        <v>0</v>
      </c>
      <c r="I3253" s="16">
        <f>IF(NOT(Paths!$C$302=1),0,IF(Paths!$P$302="Complete",IF(IF(Paths!$E$302=0,C3253=0,AND(C3253&gt;0,Paths!$E$302&gt;(C3253-1)*12,Paths!$E$302&lt;=C3253*12)),Paths!$G$302,0),"n.a."))</f>
        <v>0</v>
      </c>
      <c r="J3253" s="16">
        <f>IF(NOT(Paths!$C$302=1),0,IF(Paths!$P$302="Complete",IF(IF(Paths!$E$302=0,C3253=0,AND(C3253&gt;0,Paths!$E$302&gt;(C3253-1)*12,Paths!$E$302&lt;=C3253*12)),Paths!$H$302,0),"n.a."))</f>
        <v>0</v>
      </c>
      <c r="K3253" s="16">
        <f>IF(NOT(Paths!$C$302=1),0,IF(Paths!$P$302="Complete",IF(IF(Paths!$O$302=0,C3253=0,AND(C3253&gt;0,Paths!$O$302&gt;(C3253-1)*12,Paths!$O$302&lt;=C3253*12)),Paths!$N$302,0),"n.a."))</f>
        <v>0</v>
      </c>
      <c r="L3253" s="16">
        <f>IF(NOT(Paths!$C$302=1),0,IF(Paths!$P$302="Complete",IF(C3253=10,Paths!$I$302,0),"n.a."))</f>
        <v>0</v>
      </c>
      <c r="M3253" s="16">
        <f>IF(NOT(Paths!$C$302=1),0,IF(Paths!$P$302="Complete",IF(AND(Paths!$D$302="EV",Paths!$E$302&lt;120,Paths!$E$302+'Operating costs'!$B$65&gt;Paths!$E$302,Paths!$E$302+'Operating costs'!$B$65&lt;=120,IF(Paths!$E$302+'Operating costs'!$B$65=0,C3253=0,AND(C3253&gt;0,Paths!$E$302+'Operating costs'!$B$65&gt;(C3253-1)*12,Paths!$E$302+'Operating costs'!$B$65&lt;=C3253*12))),'Operating costs'!$B$64,0)+IF(AND('Operating costs'!$B$67&gt;0,'Operating costs'!$B$67&lt;=120,OR(Paths!$D$302="ICE",'Operating costs'!$B$67&lt;=Paths!$E$302),IF('Operating costs'!$B$67=0,C3253=0,AND(C3253&gt;0,'Operating costs'!$B$67&gt;(C3253-1)*12,'Operating costs'!$B$67&lt;=C3253*12))),'Operating costs'!$B$66,0),"n.a."))</f>
        <v>0</v>
      </c>
      <c r="N3253" s="16">
        <f>IF(NOT(Paths!$C$302=1),0,IF(Paths!$P$302="Complete",SUM(G3253:I3253)-J3253-K3253-L3253+M3253+IF(C3253=0,Paths!$F$302,0)+IF(IF(Paths!$E$302=0,C3253=0,AND(C3253&gt;0,Paths!$E$302&gt;(C3253-1)*12,Paths!$E$302&lt;=C3253*12)),VLOOKUP(A3253,'Fleet register'!$A$7:$S$106,16,FALSE),0),"n.a."))</f>
        <v>0</v>
      </c>
      <c r="O3253" s="16">
        <f>IF(NOT(Paths!$C$302=1),0,IF(Paths!$P$302="Complete",N3253-IF(C3253=0,Paths!$F$302,0),"n.a."))</f>
        <v>0</v>
      </c>
      <c r="P3253" s="16">
        <f>IF(NOT(Paths!$C$302=1),0,IF(Paths!$P$302="Complete",O3253+L3253,"n.a."))</f>
        <v>0</v>
      </c>
      <c r="Q3253" s="16">
        <f>IF(NOT(Paths!$C$302=1),0,IF(Paths!$P$302="Complete",N3253*(1+'Operating costs'!$B$54)^-C3253,"n.a."))</f>
        <v>0</v>
      </c>
      <c r="R3253" s="16">
        <f>IF(NOT(Paths!$C$302=1),0,IF(Paths!$P$302="Complete",IF(AND(C3253=0,Paths!$E$302=0),I3253-J3253-K3253+VLOOKUP(A3253,'Fleet register'!$A$7:$S$106,15,FALSE)+VLOOKUP(A3253,'Fleet register'!$A$7:$S$106,16,FALSE),0),"n.a."))</f>
        <v>0</v>
      </c>
      <c r="S3253" s="1">
        <f>IF(NOT(Paths!$C$302=1),0,IF(Paths!$P$302="Complete",IF(C3253=0,0,Paths!$S$302*Paths!$R$302),"n.a."))</f>
        <v>0</v>
      </c>
      <c r="T3253" s="1">
        <f>IF(NOT(Paths!$C$302=1),0,IF(Paths!$P$302="Complete",IF(C3253=0,0,VLOOKUP(A3253,'Fleet register'!$A$7:$S$106,9,FALSE)*Paths!$R$302),"n.a."))</f>
        <v>0</v>
      </c>
    </row>
    <row r="3254" spans="1:20" ht="24" customHeight="1">
      <c r="A3254" s="1" t="str">
        <f>Paths!$A$302</f>
        <v>T074</v>
      </c>
      <c r="B3254" s="1">
        <f>Paths!$B$302</f>
        <v>3</v>
      </c>
      <c r="C3254" s="1">
        <v>2</v>
      </c>
      <c r="D3254" s="1">
        <v>302</v>
      </c>
      <c r="E3254" s="1">
        <f>IF(OR(Paths!$C$302=0,C3254=0),0,MAX(0,MIN(C3254*12,Paths!$E$302)-(C3254-1)*12))</f>
        <v>0</v>
      </c>
      <c r="F3254" s="1">
        <f>IF(OR(Paths!$C$302=0,C3254=0),0,12-E3254)</f>
        <v>0</v>
      </c>
      <c r="G3254" s="16">
        <f>IF(NOT(Paths!$C$302=1),0,IF(Paths!$P$302="Complete",E3254/12*(Paths!$J$302*(1+'Operating costs'!$B$51)^MAX(0,C3254-1)+Paths!$K$302*(1+'Operating costs'!$B$53)^MAX(0,C3254-1)),"n.a."))</f>
        <v>0</v>
      </c>
      <c r="H3254" s="16">
        <f>IF(NOT(Paths!$C$302=1),0,IF(Paths!$P$302="Complete",F3254/12*(Paths!$L$302*(1+IF(Paths!$D$302="EV",'Operating costs'!$B$52,'Operating costs'!$B$51))^MAX(0,C3254-1)+Paths!$M$302*(1+'Operating costs'!$B$53)^MAX(0,C3254-1)),"n.a."))</f>
        <v>0</v>
      </c>
      <c r="I3254" s="16">
        <f>IF(NOT(Paths!$C$302=1),0,IF(Paths!$P$302="Complete",IF(IF(Paths!$E$302=0,C3254=0,AND(C3254&gt;0,Paths!$E$302&gt;(C3254-1)*12,Paths!$E$302&lt;=C3254*12)),Paths!$G$302,0),"n.a."))</f>
        <v>0</v>
      </c>
      <c r="J3254" s="16">
        <f>IF(NOT(Paths!$C$302=1),0,IF(Paths!$P$302="Complete",IF(IF(Paths!$E$302=0,C3254=0,AND(C3254&gt;0,Paths!$E$302&gt;(C3254-1)*12,Paths!$E$302&lt;=C3254*12)),Paths!$H$302,0),"n.a."))</f>
        <v>0</v>
      </c>
      <c r="K3254" s="16">
        <f>IF(NOT(Paths!$C$302=1),0,IF(Paths!$P$302="Complete",IF(IF(Paths!$O$302=0,C3254=0,AND(C3254&gt;0,Paths!$O$302&gt;(C3254-1)*12,Paths!$O$302&lt;=C3254*12)),Paths!$N$302,0),"n.a."))</f>
        <v>0</v>
      </c>
      <c r="L3254" s="16">
        <f>IF(NOT(Paths!$C$302=1),0,IF(Paths!$P$302="Complete",IF(C3254=10,Paths!$I$302,0),"n.a."))</f>
        <v>0</v>
      </c>
      <c r="M3254" s="16">
        <f>IF(NOT(Paths!$C$302=1),0,IF(Paths!$P$302="Complete",IF(AND(Paths!$D$302="EV",Paths!$E$302&lt;120,Paths!$E$302+'Operating costs'!$B$65&gt;Paths!$E$302,Paths!$E$302+'Operating costs'!$B$65&lt;=120,IF(Paths!$E$302+'Operating costs'!$B$65=0,C3254=0,AND(C3254&gt;0,Paths!$E$302+'Operating costs'!$B$65&gt;(C3254-1)*12,Paths!$E$302+'Operating costs'!$B$65&lt;=C3254*12))),'Operating costs'!$B$64,0)+IF(AND('Operating costs'!$B$67&gt;0,'Operating costs'!$B$67&lt;=120,OR(Paths!$D$302="ICE",'Operating costs'!$B$67&lt;=Paths!$E$302),IF('Operating costs'!$B$67=0,C3254=0,AND(C3254&gt;0,'Operating costs'!$B$67&gt;(C3254-1)*12,'Operating costs'!$B$67&lt;=C3254*12))),'Operating costs'!$B$66,0),"n.a."))</f>
        <v>0</v>
      </c>
      <c r="N3254" s="16">
        <f>IF(NOT(Paths!$C$302=1),0,IF(Paths!$P$302="Complete",SUM(G3254:I3254)-J3254-K3254-L3254+M3254+IF(C3254=0,Paths!$F$302,0)+IF(IF(Paths!$E$302=0,C3254=0,AND(C3254&gt;0,Paths!$E$302&gt;(C3254-1)*12,Paths!$E$302&lt;=C3254*12)),VLOOKUP(A3254,'Fleet register'!$A$7:$S$106,16,FALSE),0),"n.a."))</f>
        <v>0</v>
      </c>
      <c r="O3254" s="16">
        <f>IF(NOT(Paths!$C$302=1),0,IF(Paths!$P$302="Complete",N3254-IF(C3254=0,Paths!$F$302,0),"n.a."))</f>
        <v>0</v>
      </c>
      <c r="P3254" s="16">
        <f>IF(NOT(Paths!$C$302=1),0,IF(Paths!$P$302="Complete",O3254+L3254,"n.a."))</f>
        <v>0</v>
      </c>
      <c r="Q3254" s="16">
        <f>IF(NOT(Paths!$C$302=1),0,IF(Paths!$P$302="Complete",N3254*(1+'Operating costs'!$B$54)^-C3254,"n.a."))</f>
        <v>0</v>
      </c>
      <c r="R3254" s="16">
        <f>IF(NOT(Paths!$C$302=1),0,IF(Paths!$P$302="Complete",IF(AND(C3254=0,Paths!$E$302=0),I3254-J3254-K3254+VLOOKUP(A3254,'Fleet register'!$A$7:$S$106,15,FALSE)+VLOOKUP(A3254,'Fleet register'!$A$7:$S$106,16,FALSE),0),"n.a."))</f>
        <v>0</v>
      </c>
      <c r="S3254" s="1">
        <f>IF(NOT(Paths!$C$302=1),0,IF(Paths!$P$302="Complete",IF(C3254=0,0,Paths!$S$302*Paths!$R$302),"n.a."))</f>
        <v>0</v>
      </c>
      <c r="T3254" s="1">
        <f>IF(NOT(Paths!$C$302=1),0,IF(Paths!$P$302="Complete",IF(C3254=0,0,VLOOKUP(A3254,'Fleet register'!$A$7:$S$106,9,FALSE)*Paths!$R$302),"n.a."))</f>
        <v>0</v>
      </c>
    </row>
    <row r="3255" spans="1:20" ht="24" customHeight="1">
      <c r="A3255" s="1" t="str">
        <f>Paths!$A$302</f>
        <v>T074</v>
      </c>
      <c r="B3255" s="1">
        <f>Paths!$B$302</f>
        <v>3</v>
      </c>
      <c r="C3255" s="1">
        <v>3</v>
      </c>
      <c r="D3255" s="1">
        <v>302</v>
      </c>
      <c r="E3255" s="1">
        <f>IF(OR(Paths!$C$302=0,C3255=0),0,MAX(0,MIN(C3255*12,Paths!$E$302)-(C3255-1)*12))</f>
        <v>0</v>
      </c>
      <c r="F3255" s="1">
        <f>IF(OR(Paths!$C$302=0,C3255=0),0,12-E3255)</f>
        <v>0</v>
      </c>
      <c r="G3255" s="16">
        <f>IF(NOT(Paths!$C$302=1),0,IF(Paths!$P$302="Complete",E3255/12*(Paths!$J$302*(1+'Operating costs'!$B$51)^MAX(0,C3255-1)+Paths!$K$302*(1+'Operating costs'!$B$53)^MAX(0,C3255-1)),"n.a."))</f>
        <v>0</v>
      </c>
      <c r="H3255" s="16">
        <f>IF(NOT(Paths!$C$302=1),0,IF(Paths!$P$302="Complete",F3255/12*(Paths!$L$302*(1+IF(Paths!$D$302="EV",'Operating costs'!$B$52,'Operating costs'!$B$51))^MAX(0,C3255-1)+Paths!$M$302*(1+'Operating costs'!$B$53)^MAX(0,C3255-1)),"n.a."))</f>
        <v>0</v>
      </c>
      <c r="I3255" s="16">
        <f>IF(NOT(Paths!$C$302=1),0,IF(Paths!$P$302="Complete",IF(IF(Paths!$E$302=0,C3255=0,AND(C3255&gt;0,Paths!$E$302&gt;(C3255-1)*12,Paths!$E$302&lt;=C3255*12)),Paths!$G$302,0),"n.a."))</f>
        <v>0</v>
      </c>
      <c r="J3255" s="16">
        <f>IF(NOT(Paths!$C$302=1),0,IF(Paths!$P$302="Complete",IF(IF(Paths!$E$302=0,C3255=0,AND(C3255&gt;0,Paths!$E$302&gt;(C3255-1)*12,Paths!$E$302&lt;=C3255*12)),Paths!$H$302,0),"n.a."))</f>
        <v>0</v>
      </c>
      <c r="K3255" s="16">
        <f>IF(NOT(Paths!$C$302=1),0,IF(Paths!$P$302="Complete",IF(IF(Paths!$O$302=0,C3255=0,AND(C3255&gt;0,Paths!$O$302&gt;(C3255-1)*12,Paths!$O$302&lt;=C3255*12)),Paths!$N$302,0),"n.a."))</f>
        <v>0</v>
      </c>
      <c r="L3255" s="16">
        <f>IF(NOT(Paths!$C$302=1),0,IF(Paths!$P$302="Complete",IF(C3255=10,Paths!$I$302,0),"n.a."))</f>
        <v>0</v>
      </c>
      <c r="M3255" s="16">
        <f>IF(NOT(Paths!$C$302=1),0,IF(Paths!$P$302="Complete",IF(AND(Paths!$D$302="EV",Paths!$E$302&lt;120,Paths!$E$302+'Operating costs'!$B$65&gt;Paths!$E$302,Paths!$E$302+'Operating costs'!$B$65&lt;=120,IF(Paths!$E$302+'Operating costs'!$B$65=0,C3255=0,AND(C3255&gt;0,Paths!$E$302+'Operating costs'!$B$65&gt;(C3255-1)*12,Paths!$E$302+'Operating costs'!$B$65&lt;=C3255*12))),'Operating costs'!$B$64,0)+IF(AND('Operating costs'!$B$67&gt;0,'Operating costs'!$B$67&lt;=120,OR(Paths!$D$302="ICE",'Operating costs'!$B$67&lt;=Paths!$E$302),IF('Operating costs'!$B$67=0,C3255=0,AND(C3255&gt;0,'Operating costs'!$B$67&gt;(C3255-1)*12,'Operating costs'!$B$67&lt;=C3255*12))),'Operating costs'!$B$66,0),"n.a."))</f>
        <v>0</v>
      </c>
      <c r="N3255" s="16">
        <f>IF(NOT(Paths!$C$302=1),0,IF(Paths!$P$302="Complete",SUM(G3255:I3255)-J3255-K3255-L3255+M3255+IF(C3255=0,Paths!$F$302,0)+IF(IF(Paths!$E$302=0,C3255=0,AND(C3255&gt;0,Paths!$E$302&gt;(C3255-1)*12,Paths!$E$302&lt;=C3255*12)),VLOOKUP(A3255,'Fleet register'!$A$7:$S$106,16,FALSE),0),"n.a."))</f>
        <v>0</v>
      </c>
      <c r="O3255" s="16">
        <f>IF(NOT(Paths!$C$302=1),0,IF(Paths!$P$302="Complete",N3255-IF(C3255=0,Paths!$F$302,0),"n.a."))</f>
        <v>0</v>
      </c>
      <c r="P3255" s="16">
        <f>IF(NOT(Paths!$C$302=1),0,IF(Paths!$P$302="Complete",O3255+L3255,"n.a."))</f>
        <v>0</v>
      </c>
      <c r="Q3255" s="16">
        <f>IF(NOT(Paths!$C$302=1),0,IF(Paths!$P$302="Complete",N3255*(1+'Operating costs'!$B$54)^-C3255,"n.a."))</f>
        <v>0</v>
      </c>
      <c r="R3255" s="16">
        <f>IF(NOT(Paths!$C$302=1),0,IF(Paths!$P$302="Complete",IF(AND(C3255=0,Paths!$E$302=0),I3255-J3255-K3255+VLOOKUP(A3255,'Fleet register'!$A$7:$S$106,15,FALSE)+VLOOKUP(A3255,'Fleet register'!$A$7:$S$106,16,FALSE),0),"n.a."))</f>
        <v>0</v>
      </c>
      <c r="S3255" s="1">
        <f>IF(NOT(Paths!$C$302=1),0,IF(Paths!$P$302="Complete",IF(C3255=0,0,Paths!$S$302*Paths!$R$302),"n.a."))</f>
        <v>0</v>
      </c>
      <c r="T3255" s="1">
        <f>IF(NOT(Paths!$C$302=1),0,IF(Paths!$P$302="Complete",IF(C3255=0,0,VLOOKUP(A3255,'Fleet register'!$A$7:$S$106,9,FALSE)*Paths!$R$302),"n.a."))</f>
        <v>0</v>
      </c>
    </row>
    <row r="3256" spans="1:20" ht="24" customHeight="1">
      <c r="A3256" s="1" t="str">
        <f>Paths!$A$302</f>
        <v>T074</v>
      </c>
      <c r="B3256" s="1">
        <f>Paths!$B$302</f>
        <v>3</v>
      </c>
      <c r="C3256" s="1">
        <v>4</v>
      </c>
      <c r="D3256" s="1">
        <v>302</v>
      </c>
      <c r="E3256" s="1">
        <f>IF(OR(Paths!$C$302=0,C3256=0),0,MAX(0,MIN(C3256*12,Paths!$E$302)-(C3256-1)*12))</f>
        <v>0</v>
      </c>
      <c r="F3256" s="1">
        <f>IF(OR(Paths!$C$302=0,C3256=0),0,12-E3256)</f>
        <v>0</v>
      </c>
      <c r="G3256" s="16">
        <f>IF(NOT(Paths!$C$302=1),0,IF(Paths!$P$302="Complete",E3256/12*(Paths!$J$302*(1+'Operating costs'!$B$51)^MAX(0,C3256-1)+Paths!$K$302*(1+'Operating costs'!$B$53)^MAX(0,C3256-1)),"n.a."))</f>
        <v>0</v>
      </c>
      <c r="H3256" s="16">
        <f>IF(NOT(Paths!$C$302=1),0,IF(Paths!$P$302="Complete",F3256/12*(Paths!$L$302*(1+IF(Paths!$D$302="EV",'Operating costs'!$B$52,'Operating costs'!$B$51))^MAX(0,C3256-1)+Paths!$M$302*(1+'Operating costs'!$B$53)^MAX(0,C3256-1)),"n.a."))</f>
        <v>0</v>
      </c>
      <c r="I3256" s="16">
        <f>IF(NOT(Paths!$C$302=1),0,IF(Paths!$P$302="Complete",IF(IF(Paths!$E$302=0,C3256=0,AND(C3256&gt;0,Paths!$E$302&gt;(C3256-1)*12,Paths!$E$302&lt;=C3256*12)),Paths!$G$302,0),"n.a."))</f>
        <v>0</v>
      </c>
      <c r="J3256" s="16">
        <f>IF(NOT(Paths!$C$302=1),0,IF(Paths!$P$302="Complete",IF(IF(Paths!$E$302=0,C3256=0,AND(C3256&gt;0,Paths!$E$302&gt;(C3256-1)*12,Paths!$E$302&lt;=C3256*12)),Paths!$H$302,0),"n.a."))</f>
        <v>0</v>
      </c>
      <c r="K3256" s="16">
        <f>IF(NOT(Paths!$C$302=1),0,IF(Paths!$P$302="Complete",IF(IF(Paths!$O$302=0,C3256=0,AND(C3256&gt;0,Paths!$O$302&gt;(C3256-1)*12,Paths!$O$302&lt;=C3256*12)),Paths!$N$302,0),"n.a."))</f>
        <v>0</v>
      </c>
      <c r="L3256" s="16">
        <f>IF(NOT(Paths!$C$302=1),0,IF(Paths!$P$302="Complete",IF(C3256=10,Paths!$I$302,0),"n.a."))</f>
        <v>0</v>
      </c>
      <c r="M3256" s="16">
        <f>IF(NOT(Paths!$C$302=1),0,IF(Paths!$P$302="Complete",IF(AND(Paths!$D$302="EV",Paths!$E$302&lt;120,Paths!$E$302+'Operating costs'!$B$65&gt;Paths!$E$302,Paths!$E$302+'Operating costs'!$B$65&lt;=120,IF(Paths!$E$302+'Operating costs'!$B$65=0,C3256=0,AND(C3256&gt;0,Paths!$E$302+'Operating costs'!$B$65&gt;(C3256-1)*12,Paths!$E$302+'Operating costs'!$B$65&lt;=C3256*12))),'Operating costs'!$B$64,0)+IF(AND('Operating costs'!$B$67&gt;0,'Operating costs'!$B$67&lt;=120,OR(Paths!$D$302="ICE",'Operating costs'!$B$67&lt;=Paths!$E$302),IF('Operating costs'!$B$67=0,C3256=0,AND(C3256&gt;0,'Operating costs'!$B$67&gt;(C3256-1)*12,'Operating costs'!$B$67&lt;=C3256*12))),'Operating costs'!$B$66,0),"n.a."))</f>
        <v>0</v>
      </c>
      <c r="N3256" s="16">
        <f>IF(NOT(Paths!$C$302=1),0,IF(Paths!$P$302="Complete",SUM(G3256:I3256)-J3256-K3256-L3256+M3256+IF(C3256=0,Paths!$F$302,0)+IF(IF(Paths!$E$302=0,C3256=0,AND(C3256&gt;0,Paths!$E$302&gt;(C3256-1)*12,Paths!$E$302&lt;=C3256*12)),VLOOKUP(A3256,'Fleet register'!$A$7:$S$106,16,FALSE),0),"n.a."))</f>
        <v>0</v>
      </c>
      <c r="O3256" s="16">
        <f>IF(NOT(Paths!$C$302=1),0,IF(Paths!$P$302="Complete",N3256-IF(C3256=0,Paths!$F$302,0),"n.a."))</f>
        <v>0</v>
      </c>
      <c r="P3256" s="16">
        <f>IF(NOT(Paths!$C$302=1),0,IF(Paths!$P$302="Complete",O3256+L3256,"n.a."))</f>
        <v>0</v>
      </c>
      <c r="Q3256" s="16">
        <f>IF(NOT(Paths!$C$302=1),0,IF(Paths!$P$302="Complete",N3256*(1+'Operating costs'!$B$54)^-C3256,"n.a."))</f>
        <v>0</v>
      </c>
      <c r="R3256" s="16">
        <f>IF(NOT(Paths!$C$302=1),0,IF(Paths!$P$302="Complete",IF(AND(C3256=0,Paths!$E$302=0),I3256-J3256-K3256+VLOOKUP(A3256,'Fleet register'!$A$7:$S$106,15,FALSE)+VLOOKUP(A3256,'Fleet register'!$A$7:$S$106,16,FALSE),0),"n.a."))</f>
        <v>0</v>
      </c>
      <c r="S3256" s="1">
        <f>IF(NOT(Paths!$C$302=1),0,IF(Paths!$P$302="Complete",IF(C3256=0,0,Paths!$S$302*Paths!$R$302),"n.a."))</f>
        <v>0</v>
      </c>
      <c r="T3256" s="1">
        <f>IF(NOT(Paths!$C$302=1),0,IF(Paths!$P$302="Complete",IF(C3256=0,0,VLOOKUP(A3256,'Fleet register'!$A$7:$S$106,9,FALSE)*Paths!$R$302),"n.a."))</f>
        <v>0</v>
      </c>
    </row>
    <row r="3257" spans="1:20" ht="24" customHeight="1">
      <c r="A3257" s="1" t="str">
        <f>Paths!$A$302</f>
        <v>T074</v>
      </c>
      <c r="B3257" s="1">
        <f>Paths!$B$302</f>
        <v>3</v>
      </c>
      <c r="C3257" s="1">
        <v>5</v>
      </c>
      <c r="D3257" s="1">
        <v>302</v>
      </c>
      <c r="E3257" s="1">
        <f>IF(OR(Paths!$C$302=0,C3257=0),0,MAX(0,MIN(C3257*12,Paths!$E$302)-(C3257-1)*12))</f>
        <v>0</v>
      </c>
      <c r="F3257" s="1">
        <f>IF(OR(Paths!$C$302=0,C3257=0),0,12-E3257)</f>
        <v>0</v>
      </c>
      <c r="G3257" s="16">
        <f>IF(NOT(Paths!$C$302=1),0,IF(Paths!$P$302="Complete",E3257/12*(Paths!$J$302*(1+'Operating costs'!$B$51)^MAX(0,C3257-1)+Paths!$K$302*(1+'Operating costs'!$B$53)^MAX(0,C3257-1)),"n.a."))</f>
        <v>0</v>
      </c>
      <c r="H3257" s="16">
        <f>IF(NOT(Paths!$C$302=1),0,IF(Paths!$P$302="Complete",F3257/12*(Paths!$L$302*(1+IF(Paths!$D$302="EV",'Operating costs'!$B$52,'Operating costs'!$B$51))^MAX(0,C3257-1)+Paths!$M$302*(1+'Operating costs'!$B$53)^MAX(0,C3257-1)),"n.a."))</f>
        <v>0</v>
      </c>
      <c r="I3257" s="16">
        <f>IF(NOT(Paths!$C$302=1),0,IF(Paths!$P$302="Complete",IF(IF(Paths!$E$302=0,C3257=0,AND(C3257&gt;0,Paths!$E$302&gt;(C3257-1)*12,Paths!$E$302&lt;=C3257*12)),Paths!$G$302,0),"n.a."))</f>
        <v>0</v>
      </c>
      <c r="J3257" s="16">
        <f>IF(NOT(Paths!$C$302=1),0,IF(Paths!$P$302="Complete",IF(IF(Paths!$E$302=0,C3257=0,AND(C3257&gt;0,Paths!$E$302&gt;(C3257-1)*12,Paths!$E$302&lt;=C3257*12)),Paths!$H$302,0),"n.a."))</f>
        <v>0</v>
      </c>
      <c r="K3257" s="16">
        <f>IF(NOT(Paths!$C$302=1),0,IF(Paths!$P$302="Complete",IF(IF(Paths!$O$302=0,C3257=0,AND(C3257&gt;0,Paths!$O$302&gt;(C3257-1)*12,Paths!$O$302&lt;=C3257*12)),Paths!$N$302,0),"n.a."))</f>
        <v>0</v>
      </c>
      <c r="L3257" s="16">
        <f>IF(NOT(Paths!$C$302=1),0,IF(Paths!$P$302="Complete",IF(C3257=10,Paths!$I$302,0),"n.a."))</f>
        <v>0</v>
      </c>
      <c r="M3257" s="16">
        <f>IF(NOT(Paths!$C$302=1),0,IF(Paths!$P$302="Complete",IF(AND(Paths!$D$302="EV",Paths!$E$302&lt;120,Paths!$E$302+'Operating costs'!$B$65&gt;Paths!$E$302,Paths!$E$302+'Operating costs'!$B$65&lt;=120,IF(Paths!$E$302+'Operating costs'!$B$65=0,C3257=0,AND(C3257&gt;0,Paths!$E$302+'Operating costs'!$B$65&gt;(C3257-1)*12,Paths!$E$302+'Operating costs'!$B$65&lt;=C3257*12))),'Operating costs'!$B$64,0)+IF(AND('Operating costs'!$B$67&gt;0,'Operating costs'!$B$67&lt;=120,OR(Paths!$D$302="ICE",'Operating costs'!$B$67&lt;=Paths!$E$302),IF('Operating costs'!$B$67=0,C3257=0,AND(C3257&gt;0,'Operating costs'!$B$67&gt;(C3257-1)*12,'Operating costs'!$B$67&lt;=C3257*12))),'Operating costs'!$B$66,0),"n.a."))</f>
        <v>0</v>
      </c>
      <c r="N3257" s="16">
        <f>IF(NOT(Paths!$C$302=1),0,IF(Paths!$P$302="Complete",SUM(G3257:I3257)-J3257-K3257-L3257+M3257+IF(C3257=0,Paths!$F$302,0)+IF(IF(Paths!$E$302=0,C3257=0,AND(C3257&gt;0,Paths!$E$302&gt;(C3257-1)*12,Paths!$E$302&lt;=C3257*12)),VLOOKUP(A3257,'Fleet register'!$A$7:$S$106,16,FALSE),0),"n.a."))</f>
        <v>0</v>
      </c>
      <c r="O3257" s="16">
        <f>IF(NOT(Paths!$C$302=1),0,IF(Paths!$P$302="Complete",N3257-IF(C3257=0,Paths!$F$302,0),"n.a."))</f>
        <v>0</v>
      </c>
      <c r="P3257" s="16">
        <f>IF(NOT(Paths!$C$302=1),0,IF(Paths!$P$302="Complete",O3257+L3257,"n.a."))</f>
        <v>0</v>
      </c>
      <c r="Q3257" s="16">
        <f>IF(NOT(Paths!$C$302=1),0,IF(Paths!$P$302="Complete",N3257*(1+'Operating costs'!$B$54)^-C3257,"n.a."))</f>
        <v>0</v>
      </c>
      <c r="R3257" s="16">
        <f>IF(NOT(Paths!$C$302=1),0,IF(Paths!$P$302="Complete",IF(AND(C3257=0,Paths!$E$302=0),I3257-J3257-K3257+VLOOKUP(A3257,'Fleet register'!$A$7:$S$106,15,FALSE)+VLOOKUP(A3257,'Fleet register'!$A$7:$S$106,16,FALSE),0),"n.a."))</f>
        <v>0</v>
      </c>
      <c r="S3257" s="1">
        <f>IF(NOT(Paths!$C$302=1),0,IF(Paths!$P$302="Complete",IF(C3257=0,0,Paths!$S$302*Paths!$R$302),"n.a."))</f>
        <v>0</v>
      </c>
      <c r="T3257" s="1">
        <f>IF(NOT(Paths!$C$302=1),0,IF(Paths!$P$302="Complete",IF(C3257=0,0,VLOOKUP(A3257,'Fleet register'!$A$7:$S$106,9,FALSE)*Paths!$R$302),"n.a."))</f>
        <v>0</v>
      </c>
    </row>
    <row r="3258" spans="1:20" ht="24" customHeight="1">
      <c r="A3258" s="1" t="str">
        <f>Paths!$A$302</f>
        <v>T074</v>
      </c>
      <c r="B3258" s="1">
        <f>Paths!$B$302</f>
        <v>3</v>
      </c>
      <c r="C3258" s="1">
        <v>6</v>
      </c>
      <c r="D3258" s="1">
        <v>302</v>
      </c>
      <c r="E3258" s="1">
        <f>IF(OR(Paths!$C$302=0,C3258=0),0,MAX(0,MIN(C3258*12,Paths!$E$302)-(C3258-1)*12))</f>
        <v>0</v>
      </c>
      <c r="F3258" s="1">
        <f>IF(OR(Paths!$C$302=0,C3258=0),0,12-E3258)</f>
        <v>0</v>
      </c>
      <c r="G3258" s="16">
        <f>IF(NOT(Paths!$C$302=1),0,IF(Paths!$P$302="Complete",E3258/12*(Paths!$J$302*(1+'Operating costs'!$B$51)^MAX(0,C3258-1)+Paths!$K$302*(1+'Operating costs'!$B$53)^MAX(0,C3258-1)),"n.a."))</f>
        <v>0</v>
      </c>
      <c r="H3258" s="16">
        <f>IF(NOT(Paths!$C$302=1),0,IF(Paths!$P$302="Complete",F3258/12*(Paths!$L$302*(1+IF(Paths!$D$302="EV",'Operating costs'!$B$52,'Operating costs'!$B$51))^MAX(0,C3258-1)+Paths!$M$302*(1+'Operating costs'!$B$53)^MAX(0,C3258-1)),"n.a."))</f>
        <v>0</v>
      </c>
      <c r="I3258" s="16">
        <f>IF(NOT(Paths!$C$302=1),0,IF(Paths!$P$302="Complete",IF(IF(Paths!$E$302=0,C3258=0,AND(C3258&gt;0,Paths!$E$302&gt;(C3258-1)*12,Paths!$E$302&lt;=C3258*12)),Paths!$G$302,0),"n.a."))</f>
        <v>0</v>
      </c>
      <c r="J3258" s="16">
        <f>IF(NOT(Paths!$C$302=1),0,IF(Paths!$P$302="Complete",IF(IF(Paths!$E$302=0,C3258=0,AND(C3258&gt;0,Paths!$E$302&gt;(C3258-1)*12,Paths!$E$302&lt;=C3258*12)),Paths!$H$302,0),"n.a."))</f>
        <v>0</v>
      </c>
      <c r="K3258" s="16">
        <f>IF(NOT(Paths!$C$302=1),0,IF(Paths!$P$302="Complete",IF(IF(Paths!$O$302=0,C3258=0,AND(C3258&gt;0,Paths!$O$302&gt;(C3258-1)*12,Paths!$O$302&lt;=C3258*12)),Paths!$N$302,0),"n.a."))</f>
        <v>0</v>
      </c>
      <c r="L3258" s="16">
        <f>IF(NOT(Paths!$C$302=1),0,IF(Paths!$P$302="Complete",IF(C3258=10,Paths!$I$302,0),"n.a."))</f>
        <v>0</v>
      </c>
      <c r="M3258" s="16">
        <f>IF(NOT(Paths!$C$302=1),0,IF(Paths!$P$302="Complete",IF(AND(Paths!$D$302="EV",Paths!$E$302&lt;120,Paths!$E$302+'Operating costs'!$B$65&gt;Paths!$E$302,Paths!$E$302+'Operating costs'!$B$65&lt;=120,IF(Paths!$E$302+'Operating costs'!$B$65=0,C3258=0,AND(C3258&gt;0,Paths!$E$302+'Operating costs'!$B$65&gt;(C3258-1)*12,Paths!$E$302+'Operating costs'!$B$65&lt;=C3258*12))),'Operating costs'!$B$64,0)+IF(AND('Operating costs'!$B$67&gt;0,'Operating costs'!$B$67&lt;=120,OR(Paths!$D$302="ICE",'Operating costs'!$B$67&lt;=Paths!$E$302),IF('Operating costs'!$B$67=0,C3258=0,AND(C3258&gt;0,'Operating costs'!$B$67&gt;(C3258-1)*12,'Operating costs'!$B$67&lt;=C3258*12))),'Operating costs'!$B$66,0),"n.a."))</f>
        <v>0</v>
      </c>
      <c r="N3258" s="16">
        <f>IF(NOT(Paths!$C$302=1),0,IF(Paths!$P$302="Complete",SUM(G3258:I3258)-J3258-K3258-L3258+M3258+IF(C3258=0,Paths!$F$302,0)+IF(IF(Paths!$E$302=0,C3258=0,AND(C3258&gt;0,Paths!$E$302&gt;(C3258-1)*12,Paths!$E$302&lt;=C3258*12)),VLOOKUP(A3258,'Fleet register'!$A$7:$S$106,16,FALSE),0),"n.a."))</f>
        <v>0</v>
      </c>
      <c r="O3258" s="16">
        <f>IF(NOT(Paths!$C$302=1),0,IF(Paths!$P$302="Complete",N3258-IF(C3258=0,Paths!$F$302,0),"n.a."))</f>
        <v>0</v>
      </c>
      <c r="P3258" s="16">
        <f>IF(NOT(Paths!$C$302=1),0,IF(Paths!$P$302="Complete",O3258+L3258,"n.a."))</f>
        <v>0</v>
      </c>
      <c r="Q3258" s="16">
        <f>IF(NOT(Paths!$C$302=1),0,IF(Paths!$P$302="Complete",N3258*(1+'Operating costs'!$B$54)^-C3258,"n.a."))</f>
        <v>0</v>
      </c>
      <c r="R3258" s="16">
        <f>IF(NOT(Paths!$C$302=1),0,IF(Paths!$P$302="Complete",IF(AND(C3258=0,Paths!$E$302=0),I3258-J3258-K3258+VLOOKUP(A3258,'Fleet register'!$A$7:$S$106,15,FALSE)+VLOOKUP(A3258,'Fleet register'!$A$7:$S$106,16,FALSE),0),"n.a."))</f>
        <v>0</v>
      </c>
      <c r="S3258" s="1">
        <f>IF(NOT(Paths!$C$302=1),0,IF(Paths!$P$302="Complete",IF(C3258=0,0,Paths!$S$302*Paths!$R$302),"n.a."))</f>
        <v>0</v>
      </c>
      <c r="T3258" s="1">
        <f>IF(NOT(Paths!$C$302=1),0,IF(Paths!$P$302="Complete",IF(C3258=0,0,VLOOKUP(A3258,'Fleet register'!$A$7:$S$106,9,FALSE)*Paths!$R$302),"n.a."))</f>
        <v>0</v>
      </c>
    </row>
    <row r="3259" spans="1:20" ht="24" customHeight="1">
      <c r="A3259" s="1" t="str">
        <f>Paths!$A$302</f>
        <v>T074</v>
      </c>
      <c r="B3259" s="1">
        <f>Paths!$B$302</f>
        <v>3</v>
      </c>
      <c r="C3259" s="1">
        <v>7</v>
      </c>
      <c r="D3259" s="1">
        <v>302</v>
      </c>
      <c r="E3259" s="1">
        <f>IF(OR(Paths!$C$302=0,C3259=0),0,MAX(0,MIN(C3259*12,Paths!$E$302)-(C3259-1)*12))</f>
        <v>0</v>
      </c>
      <c r="F3259" s="1">
        <f>IF(OR(Paths!$C$302=0,C3259=0),0,12-E3259)</f>
        <v>0</v>
      </c>
      <c r="G3259" s="16">
        <f>IF(NOT(Paths!$C$302=1),0,IF(Paths!$P$302="Complete",E3259/12*(Paths!$J$302*(1+'Operating costs'!$B$51)^MAX(0,C3259-1)+Paths!$K$302*(1+'Operating costs'!$B$53)^MAX(0,C3259-1)),"n.a."))</f>
        <v>0</v>
      </c>
      <c r="H3259" s="16">
        <f>IF(NOT(Paths!$C$302=1),0,IF(Paths!$P$302="Complete",F3259/12*(Paths!$L$302*(1+IF(Paths!$D$302="EV",'Operating costs'!$B$52,'Operating costs'!$B$51))^MAX(0,C3259-1)+Paths!$M$302*(1+'Operating costs'!$B$53)^MAX(0,C3259-1)),"n.a."))</f>
        <v>0</v>
      </c>
      <c r="I3259" s="16">
        <f>IF(NOT(Paths!$C$302=1),0,IF(Paths!$P$302="Complete",IF(IF(Paths!$E$302=0,C3259=0,AND(C3259&gt;0,Paths!$E$302&gt;(C3259-1)*12,Paths!$E$302&lt;=C3259*12)),Paths!$G$302,0),"n.a."))</f>
        <v>0</v>
      </c>
      <c r="J3259" s="16">
        <f>IF(NOT(Paths!$C$302=1),0,IF(Paths!$P$302="Complete",IF(IF(Paths!$E$302=0,C3259=0,AND(C3259&gt;0,Paths!$E$302&gt;(C3259-1)*12,Paths!$E$302&lt;=C3259*12)),Paths!$H$302,0),"n.a."))</f>
        <v>0</v>
      </c>
      <c r="K3259" s="16">
        <f>IF(NOT(Paths!$C$302=1),0,IF(Paths!$P$302="Complete",IF(IF(Paths!$O$302=0,C3259=0,AND(C3259&gt;0,Paths!$O$302&gt;(C3259-1)*12,Paths!$O$302&lt;=C3259*12)),Paths!$N$302,0),"n.a."))</f>
        <v>0</v>
      </c>
      <c r="L3259" s="16">
        <f>IF(NOT(Paths!$C$302=1),0,IF(Paths!$P$302="Complete",IF(C3259=10,Paths!$I$302,0),"n.a."))</f>
        <v>0</v>
      </c>
      <c r="M3259" s="16">
        <f>IF(NOT(Paths!$C$302=1),0,IF(Paths!$P$302="Complete",IF(AND(Paths!$D$302="EV",Paths!$E$302&lt;120,Paths!$E$302+'Operating costs'!$B$65&gt;Paths!$E$302,Paths!$E$302+'Operating costs'!$B$65&lt;=120,IF(Paths!$E$302+'Operating costs'!$B$65=0,C3259=0,AND(C3259&gt;0,Paths!$E$302+'Operating costs'!$B$65&gt;(C3259-1)*12,Paths!$E$302+'Operating costs'!$B$65&lt;=C3259*12))),'Operating costs'!$B$64,0)+IF(AND('Operating costs'!$B$67&gt;0,'Operating costs'!$B$67&lt;=120,OR(Paths!$D$302="ICE",'Operating costs'!$B$67&lt;=Paths!$E$302),IF('Operating costs'!$B$67=0,C3259=0,AND(C3259&gt;0,'Operating costs'!$B$67&gt;(C3259-1)*12,'Operating costs'!$B$67&lt;=C3259*12))),'Operating costs'!$B$66,0),"n.a."))</f>
        <v>0</v>
      </c>
      <c r="N3259" s="16">
        <f>IF(NOT(Paths!$C$302=1),0,IF(Paths!$P$302="Complete",SUM(G3259:I3259)-J3259-K3259-L3259+M3259+IF(C3259=0,Paths!$F$302,0)+IF(IF(Paths!$E$302=0,C3259=0,AND(C3259&gt;0,Paths!$E$302&gt;(C3259-1)*12,Paths!$E$302&lt;=C3259*12)),VLOOKUP(A3259,'Fleet register'!$A$7:$S$106,16,FALSE),0),"n.a."))</f>
        <v>0</v>
      </c>
      <c r="O3259" s="16">
        <f>IF(NOT(Paths!$C$302=1),0,IF(Paths!$P$302="Complete",N3259-IF(C3259=0,Paths!$F$302,0),"n.a."))</f>
        <v>0</v>
      </c>
      <c r="P3259" s="16">
        <f>IF(NOT(Paths!$C$302=1),0,IF(Paths!$P$302="Complete",O3259+L3259,"n.a."))</f>
        <v>0</v>
      </c>
      <c r="Q3259" s="16">
        <f>IF(NOT(Paths!$C$302=1),0,IF(Paths!$P$302="Complete",N3259*(1+'Operating costs'!$B$54)^-C3259,"n.a."))</f>
        <v>0</v>
      </c>
      <c r="R3259" s="16">
        <f>IF(NOT(Paths!$C$302=1),0,IF(Paths!$P$302="Complete",IF(AND(C3259=0,Paths!$E$302=0),I3259-J3259-K3259+VLOOKUP(A3259,'Fleet register'!$A$7:$S$106,15,FALSE)+VLOOKUP(A3259,'Fleet register'!$A$7:$S$106,16,FALSE),0),"n.a."))</f>
        <v>0</v>
      </c>
      <c r="S3259" s="1">
        <f>IF(NOT(Paths!$C$302=1),0,IF(Paths!$P$302="Complete",IF(C3259=0,0,Paths!$S$302*Paths!$R$302),"n.a."))</f>
        <v>0</v>
      </c>
      <c r="T3259" s="1">
        <f>IF(NOT(Paths!$C$302=1),0,IF(Paths!$P$302="Complete",IF(C3259=0,0,VLOOKUP(A3259,'Fleet register'!$A$7:$S$106,9,FALSE)*Paths!$R$302),"n.a."))</f>
        <v>0</v>
      </c>
    </row>
    <row r="3260" spans="1:20" ht="24" customHeight="1">
      <c r="A3260" s="1" t="str">
        <f>Paths!$A$302</f>
        <v>T074</v>
      </c>
      <c r="B3260" s="1">
        <f>Paths!$B$302</f>
        <v>3</v>
      </c>
      <c r="C3260" s="1">
        <v>8</v>
      </c>
      <c r="D3260" s="1">
        <v>302</v>
      </c>
      <c r="E3260" s="1">
        <f>IF(OR(Paths!$C$302=0,C3260=0),0,MAX(0,MIN(C3260*12,Paths!$E$302)-(C3260-1)*12))</f>
        <v>0</v>
      </c>
      <c r="F3260" s="1">
        <f>IF(OR(Paths!$C$302=0,C3260=0),0,12-E3260)</f>
        <v>0</v>
      </c>
      <c r="G3260" s="16">
        <f>IF(NOT(Paths!$C$302=1),0,IF(Paths!$P$302="Complete",E3260/12*(Paths!$J$302*(1+'Operating costs'!$B$51)^MAX(0,C3260-1)+Paths!$K$302*(1+'Operating costs'!$B$53)^MAX(0,C3260-1)),"n.a."))</f>
        <v>0</v>
      </c>
      <c r="H3260" s="16">
        <f>IF(NOT(Paths!$C$302=1),0,IF(Paths!$P$302="Complete",F3260/12*(Paths!$L$302*(1+IF(Paths!$D$302="EV",'Operating costs'!$B$52,'Operating costs'!$B$51))^MAX(0,C3260-1)+Paths!$M$302*(1+'Operating costs'!$B$53)^MAX(0,C3260-1)),"n.a."))</f>
        <v>0</v>
      </c>
      <c r="I3260" s="16">
        <f>IF(NOT(Paths!$C$302=1),0,IF(Paths!$P$302="Complete",IF(IF(Paths!$E$302=0,C3260=0,AND(C3260&gt;0,Paths!$E$302&gt;(C3260-1)*12,Paths!$E$302&lt;=C3260*12)),Paths!$G$302,0),"n.a."))</f>
        <v>0</v>
      </c>
      <c r="J3260" s="16">
        <f>IF(NOT(Paths!$C$302=1),0,IF(Paths!$P$302="Complete",IF(IF(Paths!$E$302=0,C3260=0,AND(C3260&gt;0,Paths!$E$302&gt;(C3260-1)*12,Paths!$E$302&lt;=C3260*12)),Paths!$H$302,0),"n.a."))</f>
        <v>0</v>
      </c>
      <c r="K3260" s="16">
        <f>IF(NOT(Paths!$C$302=1),0,IF(Paths!$P$302="Complete",IF(IF(Paths!$O$302=0,C3260=0,AND(C3260&gt;0,Paths!$O$302&gt;(C3260-1)*12,Paths!$O$302&lt;=C3260*12)),Paths!$N$302,0),"n.a."))</f>
        <v>0</v>
      </c>
      <c r="L3260" s="16">
        <f>IF(NOT(Paths!$C$302=1),0,IF(Paths!$P$302="Complete",IF(C3260=10,Paths!$I$302,0),"n.a."))</f>
        <v>0</v>
      </c>
      <c r="M3260" s="16">
        <f>IF(NOT(Paths!$C$302=1),0,IF(Paths!$P$302="Complete",IF(AND(Paths!$D$302="EV",Paths!$E$302&lt;120,Paths!$E$302+'Operating costs'!$B$65&gt;Paths!$E$302,Paths!$E$302+'Operating costs'!$B$65&lt;=120,IF(Paths!$E$302+'Operating costs'!$B$65=0,C3260=0,AND(C3260&gt;0,Paths!$E$302+'Operating costs'!$B$65&gt;(C3260-1)*12,Paths!$E$302+'Operating costs'!$B$65&lt;=C3260*12))),'Operating costs'!$B$64,0)+IF(AND('Operating costs'!$B$67&gt;0,'Operating costs'!$B$67&lt;=120,OR(Paths!$D$302="ICE",'Operating costs'!$B$67&lt;=Paths!$E$302),IF('Operating costs'!$B$67=0,C3260=0,AND(C3260&gt;0,'Operating costs'!$B$67&gt;(C3260-1)*12,'Operating costs'!$B$67&lt;=C3260*12))),'Operating costs'!$B$66,0),"n.a."))</f>
        <v>0</v>
      </c>
      <c r="N3260" s="16">
        <f>IF(NOT(Paths!$C$302=1),0,IF(Paths!$P$302="Complete",SUM(G3260:I3260)-J3260-K3260-L3260+M3260+IF(C3260=0,Paths!$F$302,0)+IF(IF(Paths!$E$302=0,C3260=0,AND(C3260&gt;0,Paths!$E$302&gt;(C3260-1)*12,Paths!$E$302&lt;=C3260*12)),VLOOKUP(A3260,'Fleet register'!$A$7:$S$106,16,FALSE),0),"n.a."))</f>
        <v>0</v>
      </c>
      <c r="O3260" s="16">
        <f>IF(NOT(Paths!$C$302=1),0,IF(Paths!$P$302="Complete",N3260-IF(C3260=0,Paths!$F$302,0),"n.a."))</f>
        <v>0</v>
      </c>
      <c r="P3260" s="16">
        <f>IF(NOT(Paths!$C$302=1),0,IF(Paths!$P$302="Complete",O3260+L3260,"n.a."))</f>
        <v>0</v>
      </c>
      <c r="Q3260" s="16">
        <f>IF(NOT(Paths!$C$302=1),0,IF(Paths!$P$302="Complete",N3260*(1+'Operating costs'!$B$54)^-C3260,"n.a."))</f>
        <v>0</v>
      </c>
      <c r="R3260" s="16">
        <f>IF(NOT(Paths!$C$302=1),0,IF(Paths!$P$302="Complete",IF(AND(C3260=0,Paths!$E$302=0),I3260-J3260-K3260+VLOOKUP(A3260,'Fleet register'!$A$7:$S$106,15,FALSE)+VLOOKUP(A3260,'Fleet register'!$A$7:$S$106,16,FALSE),0),"n.a."))</f>
        <v>0</v>
      </c>
      <c r="S3260" s="1">
        <f>IF(NOT(Paths!$C$302=1),0,IF(Paths!$P$302="Complete",IF(C3260=0,0,Paths!$S$302*Paths!$R$302),"n.a."))</f>
        <v>0</v>
      </c>
      <c r="T3260" s="1">
        <f>IF(NOT(Paths!$C$302=1),0,IF(Paths!$P$302="Complete",IF(C3260=0,0,VLOOKUP(A3260,'Fleet register'!$A$7:$S$106,9,FALSE)*Paths!$R$302),"n.a."))</f>
        <v>0</v>
      </c>
    </row>
    <row r="3261" spans="1:20" ht="24" customHeight="1">
      <c r="A3261" s="1" t="str">
        <f>Paths!$A$302</f>
        <v>T074</v>
      </c>
      <c r="B3261" s="1">
        <f>Paths!$B$302</f>
        <v>3</v>
      </c>
      <c r="C3261" s="1">
        <v>9</v>
      </c>
      <c r="D3261" s="1">
        <v>302</v>
      </c>
      <c r="E3261" s="1">
        <f>IF(OR(Paths!$C$302=0,C3261=0),0,MAX(0,MIN(C3261*12,Paths!$E$302)-(C3261-1)*12))</f>
        <v>0</v>
      </c>
      <c r="F3261" s="1">
        <f>IF(OR(Paths!$C$302=0,C3261=0),0,12-E3261)</f>
        <v>0</v>
      </c>
      <c r="G3261" s="16">
        <f>IF(NOT(Paths!$C$302=1),0,IF(Paths!$P$302="Complete",E3261/12*(Paths!$J$302*(1+'Operating costs'!$B$51)^MAX(0,C3261-1)+Paths!$K$302*(1+'Operating costs'!$B$53)^MAX(0,C3261-1)),"n.a."))</f>
        <v>0</v>
      </c>
      <c r="H3261" s="16">
        <f>IF(NOT(Paths!$C$302=1),0,IF(Paths!$P$302="Complete",F3261/12*(Paths!$L$302*(1+IF(Paths!$D$302="EV",'Operating costs'!$B$52,'Operating costs'!$B$51))^MAX(0,C3261-1)+Paths!$M$302*(1+'Operating costs'!$B$53)^MAX(0,C3261-1)),"n.a."))</f>
        <v>0</v>
      </c>
      <c r="I3261" s="16">
        <f>IF(NOT(Paths!$C$302=1),0,IF(Paths!$P$302="Complete",IF(IF(Paths!$E$302=0,C3261=0,AND(C3261&gt;0,Paths!$E$302&gt;(C3261-1)*12,Paths!$E$302&lt;=C3261*12)),Paths!$G$302,0),"n.a."))</f>
        <v>0</v>
      </c>
      <c r="J3261" s="16">
        <f>IF(NOT(Paths!$C$302=1),0,IF(Paths!$P$302="Complete",IF(IF(Paths!$E$302=0,C3261=0,AND(C3261&gt;0,Paths!$E$302&gt;(C3261-1)*12,Paths!$E$302&lt;=C3261*12)),Paths!$H$302,0),"n.a."))</f>
        <v>0</v>
      </c>
      <c r="K3261" s="16">
        <f>IF(NOT(Paths!$C$302=1),0,IF(Paths!$P$302="Complete",IF(IF(Paths!$O$302=0,C3261=0,AND(C3261&gt;0,Paths!$O$302&gt;(C3261-1)*12,Paths!$O$302&lt;=C3261*12)),Paths!$N$302,0),"n.a."))</f>
        <v>0</v>
      </c>
      <c r="L3261" s="16">
        <f>IF(NOT(Paths!$C$302=1),0,IF(Paths!$P$302="Complete",IF(C3261=10,Paths!$I$302,0),"n.a."))</f>
        <v>0</v>
      </c>
      <c r="M3261" s="16">
        <f>IF(NOT(Paths!$C$302=1),0,IF(Paths!$P$302="Complete",IF(AND(Paths!$D$302="EV",Paths!$E$302&lt;120,Paths!$E$302+'Operating costs'!$B$65&gt;Paths!$E$302,Paths!$E$302+'Operating costs'!$B$65&lt;=120,IF(Paths!$E$302+'Operating costs'!$B$65=0,C3261=0,AND(C3261&gt;0,Paths!$E$302+'Operating costs'!$B$65&gt;(C3261-1)*12,Paths!$E$302+'Operating costs'!$B$65&lt;=C3261*12))),'Operating costs'!$B$64,0)+IF(AND('Operating costs'!$B$67&gt;0,'Operating costs'!$B$67&lt;=120,OR(Paths!$D$302="ICE",'Operating costs'!$B$67&lt;=Paths!$E$302),IF('Operating costs'!$B$67=0,C3261=0,AND(C3261&gt;0,'Operating costs'!$B$67&gt;(C3261-1)*12,'Operating costs'!$B$67&lt;=C3261*12))),'Operating costs'!$B$66,0),"n.a."))</f>
        <v>0</v>
      </c>
      <c r="N3261" s="16">
        <f>IF(NOT(Paths!$C$302=1),0,IF(Paths!$P$302="Complete",SUM(G3261:I3261)-J3261-K3261-L3261+M3261+IF(C3261=0,Paths!$F$302,0)+IF(IF(Paths!$E$302=0,C3261=0,AND(C3261&gt;0,Paths!$E$302&gt;(C3261-1)*12,Paths!$E$302&lt;=C3261*12)),VLOOKUP(A3261,'Fleet register'!$A$7:$S$106,16,FALSE),0),"n.a."))</f>
        <v>0</v>
      </c>
      <c r="O3261" s="16">
        <f>IF(NOT(Paths!$C$302=1),0,IF(Paths!$P$302="Complete",N3261-IF(C3261=0,Paths!$F$302,0),"n.a."))</f>
        <v>0</v>
      </c>
      <c r="P3261" s="16">
        <f>IF(NOT(Paths!$C$302=1),0,IF(Paths!$P$302="Complete",O3261+L3261,"n.a."))</f>
        <v>0</v>
      </c>
      <c r="Q3261" s="16">
        <f>IF(NOT(Paths!$C$302=1),0,IF(Paths!$P$302="Complete",N3261*(1+'Operating costs'!$B$54)^-C3261,"n.a."))</f>
        <v>0</v>
      </c>
      <c r="R3261" s="16">
        <f>IF(NOT(Paths!$C$302=1),0,IF(Paths!$P$302="Complete",IF(AND(C3261=0,Paths!$E$302=0),I3261-J3261-K3261+VLOOKUP(A3261,'Fleet register'!$A$7:$S$106,15,FALSE)+VLOOKUP(A3261,'Fleet register'!$A$7:$S$106,16,FALSE),0),"n.a."))</f>
        <v>0</v>
      </c>
      <c r="S3261" s="1">
        <f>IF(NOT(Paths!$C$302=1),0,IF(Paths!$P$302="Complete",IF(C3261=0,0,Paths!$S$302*Paths!$R$302),"n.a."))</f>
        <v>0</v>
      </c>
      <c r="T3261" s="1">
        <f>IF(NOT(Paths!$C$302=1),0,IF(Paths!$P$302="Complete",IF(C3261=0,0,VLOOKUP(A3261,'Fleet register'!$A$7:$S$106,9,FALSE)*Paths!$R$302),"n.a."))</f>
        <v>0</v>
      </c>
    </row>
    <row r="3262" spans="1:20" ht="24" customHeight="1">
      <c r="A3262" s="1" t="str">
        <f>Paths!$A$302</f>
        <v>T074</v>
      </c>
      <c r="B3262" s="1">
        <f>Paths!$B$302</f>
        <v>3</v>
      </c>
      <c r="C3262" s="1">
        <v>10</v>
      </c>
      <c r="D3262" s="1">
        <v>302</v>
      </c>
      <c r="E3262" s="1">
        <f>IF(OR(Paths!$C$302=0,C3262=0),0,MAX(0,MIN(C3262*12,Paths!$E$302)-(C3262-1)*12))</f>
        <v>0</v>
      </c>
      <c r="F3262" s="1">
        <f>IF(OR(Paths!$C$302=0,C3262=0),0,12-E3262)</f>
        <v>0</v>
      </c>
      <c r="G3262" s="16">
        <f>IF(NOT(Paths!$C$302=1),0,IF(Paths!$P$302="Complete",E3262/12*(Paths!$J$302*(1+'Operating costs'!$B$51)^MAX(0,C3262-1)+Paths!$K$302*(1+'Operating costs'!$B$53)^MAX(0,C3262-1)),"n.a."))</f>
        <v>0</v>
      </c>
      <c r="H3262" s="16">
        <f>IF(NOT(Paths!$C$302=1),0,IF(Paths!$P$302="Complete",F3262/12*(Paths!$L$302*(1+IF(Paths!$D$302="EV",'Operating costs'!$B$52,'Operating costs'!$B$51))^MAX(0,C3262-1)+Paths!$M$302*(1+'Operating costs'!$B$53)^MAX(0,C3262-1)),"n.a."))</f>
        <v>0</v>
      </c>
      <c r="I3262" s="16">
        <f>IF(NOT(Paths!$C$302=1),0,IF(Paths!$P$302="Complete",IF(IF(Paths!$E$302=0,C3262=0,AND(C3262&gt;0,Paths!$E$302&gt;(C3262-1)*12,Paths!$E$302&lt;=C3262*12)),Paths!$G$302,0),"n.a."))</f>
        <v>0</v>
      </c>
      <c r="J3262" s="16">
        <f>IF(NOT(Paths!$C$302=1),0,IF(Paths!$P$302="Complete",IF(IF(Paths!$E$302=0,C3262=0,AND(C3262&gt;0,Paths!$E$302&gt;(C3262-1)*12,Paths!$E$302&lt;=C3262*12)),Paths!$H$302,0),"n.a."))</f>
        <v>0</v>
      </c>
      <c r="K3262" s="16">
        <f>IF(NOT(Paths!$C$302=1),0,IF(Paths!$P$302="Complete",IF(IF(Paths!$O$302=0,C3262=0,AND(C3262&gt;0,Paths!$O$302&gt;(C3262-1)*12,Paths!$O$302&lt;=C3262*12)),Paths!$N$302,0),"n.a."))</f>
        <v>0</v>
      </c>
      <c r="L3262" s="16">
        <f>IF(NOT(Paths!$C$302=1),0,IF(Paths!$P$302="Complete",IF(C3262=10,Paths!$I$302,0),"n.a."))</f>
        <v>0</v>
      </c>
      <c r="M3262" s="16">
        <f>IF(NOT(Paths!$C$302=1),0,IF(Paths!$P$302="Complete",IF(AND(Paths!$D$302="EV",Paths!$E$302&lt;120,Paths!$E$302+'Operating costs'!$B$65&gt;Paths!$E$302,Paths!$E$302+'Operating costs'!$B$65&lt;=120,IF(Paths!$E$302+'Operating costs'!$B$65=0,C3262=0,AND(C3262&gt;0,Paths!$E$302+'Operating costs'!$B$65&gt;(C3262-1)*12,Paths!$E$302+'Operating costs'!$B$65&lt;=C3262*12))),'Operating costs'!$B$64,0)+IF(AND('Operating costs'!$B$67&gt;0,'Operating costs'!$B$67&lt;=120,OR(Paths!$D$302="ICE",'Operating costs'!$B$67&lt;=Paths!$E$302),IF('Operating costs'!$B$67=0,C3262=0,AND(C3262&gt;0,'Operating costs'!$B$67&gt;(C3262-1)*12,'Operating costs'!$B$67&lt;=C3262*12))),'Operating costs'!$B$66,0),"n.a."))</f>
        <v>0</v>
      </c>
      <c r="N3262" s="16">
        <f>IF(NOT(Paths!$C$302=1),0,IF(Paths!$P$302="Complete",SUM(G3262:I3262)-J3262-K3262-L3262+M3262+IF(C3262=0,Paths!$F$302,0)+IF(IF(Paths!$E$302=0,C3262=0,AND(C3262&gt;0,Paths!$E$302&gt;(C3262-1)*12,Paths!$E$302&lt;=C3262*12)),VLOOKUP(A3262,'Fleet register'!$A$7:$S$106,16,FALSE),0),"n.a."))</f>
        <v>0</v>
      </c>
      <c r="O3262" s="16">
        <f>IF(NOT(Paths!$C$302=1),0,IF(Paths!$P$302="Complete",N3262-IF(C3262=0,Paths!$F$302,0),"n.a."))</f>
        <v>0</v>
      </c>
      <c r="P3262" s="16">
        <f>IF(NOT(Paths!$C$302=1),0,IF(Paths!$P$302="Complete",O3262+L3262,"n.a."))</f>
        <v>0</v>
      </c>
      <c r="Q3262" s="16">
        <f>IF(NOT(Paths!$C$302=1),0,IF(Paths!$P$302="Complete",N3262*(1+'Operating costs'!$B$54)^-C3262,"n.a."))</f>
        <v>0</v>
      </c>
      <c r="R3262" s="16">
        <f>IF(NOT(Paths!$C$302=1),0,IF(Paths!$P$302="Complete",IF(AND(C3262=0,Paths!$E$302=0),I3262-J3262-K3262+VLOOKUP(A3262,'Fleet register'!$A$7:$S$106,15,FALSE)+VLOOKUP(A3262,'Fleet register'!$A$7:$S$106,16,FALSE),0),"n.a."))</f>
        <v>0</v>
      </c>
      <c r="S3262" s="1">
        <f>IF(NOT(Paths!$C$302=1),0,IF(Paths!$P$302="Complete",IF(C3262=0,0,Paths!$S$302*Paths!$R$302),"n.a."))</f>
        <v>0</v>
      </c>
      <c r="T3262" s="1">
        <f>IF(NOT(Paths!$C$302=1),0,IF(Paths!$P$302="Complete",IF(C3262=0,0,VLOOKUP(A3262,'Fleet register'!$A$7:$S$106,9,FALSE)*Paths!$R$302),"n.a."))</f>
        <v>0</v>
      </c>
    </row>
    <row r="3263" spans="1:20" ht="24" customHeight="1">
      <c r="A3263" s="1" t="str">
        <f>Paths!$A$303</f>
        <v>T075</v>
      </c>
      <c r="B3263" s="1">
        <f>Paths!$B$303</f>
        <v>0</v>
      </c>
      <c r="C3263" s="1">
        <v>0</v>
      </c>
      <c r="D3263" s="1">
        <v>303</v>
      </c>
      <c r="E3263" s="1">
        <f>IF(OR(Paths!$C$303=0,C3263=0),0,MAX(0,MIN(C3263*12,Paths!$E$303)-(C3263-1)*12))</f>
        <v>0</v>
      </c>
      <c r="F3263" s="1">
        <f>IF(OR(Paths!$C$303=0,C3263=0),0,12-E3263)</f>
        <v>0</v>
      </c>
      <c r="G3263" s="16">
        <f>IF(NOT(Paths!$C$303=1),0,IF(Paths!$P$303="Complete",E3263/12*(Paths!$J$303*(1+'Operating costs'!$B$51)^MAX(0,C3263-1)+Paths!$K$303*(1+'Operating costs'!$B$53)^MAX(0,C3263-1)),"n.a."))</f>
        <v>0</v>
      </c>
      <c r="H3263" s="16">
        <f>IF(NOT(Paths!$C$303=1),0,IF(Paths!$P$303="Complete",F3263/12*(Paths!$L$303*(1+IF(Paths!$D$303="EV",'Operating costs'!$B$52,'Operating costs'!$B$51))^MAX(0,C3263-1)+Paths!$M$303*(1+'Operating costs'!$B$53)^MAX(0,C3263-1)),"n.a."))</f>
        <v>0</v>
      </c>
      <c r="I3263" s="16">
        <f>IF(NOT(Paths!$C$303=1),0,IF(Paths!$P$303="Complete",IF(IF(Paths!$E$303=0,C3263=0,AND(C3263&gt;0,Paths!$E$303&gt;(C3263-1)*12,Paths!$E$303&lt;=C3263*12)),Paths!$G$303,0),"n.a."))</f>
        <v>0</v>
      </c>
      <c r="J3263" s="16">
        <f>IF(NOT(Paths!$C$303=1),0,IF(Paths!$P$303="Complete",IF(IF(Paths!$E$303=0,C3263=0,AND(C3263&gt;0,Paths!$E$303&gt;(C3263-1)*12,Paths!$E$303&lt;=C3263*12)),Paths!$H$303,0),"n.a."))</f>
        <v>0</v>
      </c>
      <c r="K3263" s="16">
        <f>IF(NOT(Paths!$C$303=1),0,IF(Paths!$P$303="Complete",IF(IF(Paths!$O$303=0,C3263=0,AND(C3263&gt;0,Paths!$O$303&gt;(C3263-1)*12,Paths!$O$303&lt;=C3263*12)),Paths!$N$303,0),"n.a."))</f>
        <v>0</v>
      </c>
      <c r="L3263" s="16">
        <f>IF(NOT(Paths!$C$303=1),0,IF(Paths!$P$303="Complete",IF(C3263=10,Paths!$I$303,0),"n.a."))</f>
        <v>0</v>
      </c>
      <c r="M3263" s="16">
        <f>IF(NOT(Paths!$C$303=1),0,IF(Paths!$P$303="Complete",IF(AND(Paths!$D$303="EV",Paths!$E$303&lt;120,Paths!$E$303+'Operating costs'!$B$65&gt;Paths!$E$303,Paths!$E$303+'Operating costs'!$B$65&lt;=120,IF(Paths!$E$303+'Operating costs'!$B$65=0,C3263=0,AND(C3263&gt;0,Paths!$E$303+'Operating costs'!$B$65&gt;(C3263-1)*12,Paths!$E$303+'Operating costs'!$B$65&lt;=C3263*12))),'Operating costs'!$B$64,0)+IF(AND('Operating costs'!$B$67&gt;0,'Operating costs'!$B$67&lt;=120,OR(Paths!$D$303="ICE",'Operating costs'!$B$67&lt;=Paths!$E$303),IF('Operating costs'!$B$67=0,C3263=0,AND(C3263&gt;0,'Operating costs'!$B$67&gt;(C3263-1)*12,'Operating costs'!$B$67&lt;=C3263*12))),'Operating costs'!$B$66,0),"n.a."))</f>
        <v>0</v>
      </c>
      <c r="N3263" s="16">
        <f>IF(NOT(Paths!$C$303=1),0,IF(Paths!$P$303="Complete",SUM(G3263:I3263)-J3263-K3263-L3263+M3263+IF(C3263=0,Paths!$F$303,0)+IF(IF(Paths!$E$303=0,C3263=0,AND(C3263&gt;0,Paths!$E$303&gt;(C3263-1)*12,Paths!$E$303&lt;=C3263*12)),VLOOKUP(A3263,'Fleet register'!$A$7:$S$106,16,FALSE),0),"n.a."))</f>
        <v>0</v>
      </c>
      <c r="O3263" s="16">
        <f>IF(NOT(Paths!$C$303=1),0,IF(Paths!$P$303="Complete",N3263-IF(C3263=0,Paths!$F$303,0),"n.a."))</f>
        <v>0</v>
      </c>
      <c r="P3263" s="16">
        <f>IF(NOT(Paths!$C$303=1),0,IF(Paths!$P$303="Complete",O3263+L3263,"n.a."))</f>
        <v>0</v>
      </c>
      <c r="Q3263" s="16">
        <f>IF(NOT(Paths!$C$303=1),0,IF(Paths!$P$303="Complete",N3263*(1+'Operating costs'!$B$54)^-C3263,"n.a."))</f>
        <v>0</v>
      </c>
      <c r="R3263" s="16">
        <f>IF(NOT(Paths!$C$303=1),0,IF(Paths!$P$303="Complete",IF(AND(C3263=0,Paths!$E$303=0),I3263-J3263-K3263+VLOOKUP(A3263,'Fleet register'!$A$7:$S$106,15,FALSE)+VLOOKUP(A3263,'Fleet register'!$A$7:$S$106,16,FALSE),0),"n.a."))</f>
        <v>0</v>
      </c>
      <c r="S3263" s="1">
        <f>IF(NOT(Paths!$C$303=1),0,IF(Paths!$P$303="Complete",IF(C3263=0,0,Paths!$S$303*Paths!$R$303),"n.a."))</f>
        <v>0</v>
      </c>
      <c r="T3263" s="1">
        <f>IF(NOT(Paths!$C$303=1),0,IF(Paths!$P$303="Complete",IF(C3263=0,0,VLOOKUP(A3263,'Fleet register'!$A$7:$S$106,9,FALSE)*Paths!$R$303),"n.a."))</f>
        <v>0</v>
      </c>
    </row>
    <row r="3264" spans="1:20" ht="24" customHeight="1">
      <c r="A3264" s="1" t="str">
        <f>Paths!$A$303</f>
        <v>T075</v>
      </c>
      <c r="B3264" s="1">
        <f>Paths!$B$303</f>
        <v>0</v>
      </c>
      <c r="C3264" s="1">
        <v>1</v>
      </c>
      <c r="D3264" s="1">
        <v>303</v>
      </c>
      <c r="E3264" s="1">
        <f>IF(OR(Paths!$C$303=0,C3264=0),0,MAX(0,MIN(C3264*12,Paths!$E$303)-(C3264-1)*12))</f>
        <v>0</v>
      </c>
      <c r="F3264" s="1">
        <f>IF(OR(Paths!$C$303=0,C3264=0),0,12-E3264)</f>
        <v>0</v>
      </c>
      <c r="G3264" s="16">
        <f>IF(NOT(Paths!$C$303=1),0,IF(Paths!$P$303="Complete",E3264/12*(Paths!$J$303*(1+'Operating costs'!$B$51)^MAX(0,C3264-1)+Paths!$K$303*(1+'Operating costs'!$B$53)^MAX(0,C3264-1)),"n.a."))</f>
        <v>0</v>
      </c>
      <c r="H3264" s="16">
        <f>IF(NOT(Paths!$C$303=1),0,IF(Paths!$P$303="Complete",F3264/12*(Paths!$L$303*(1+IF(Paths!$D$303="EV",'Operating costs'!$B$52,'Operating costs'!$B$51))^MAX(0,C3264-1)+Paths!$M$303*(1+'Operating costs'!$B$53)^MAX(0,C3264-1)),"n.a."))</f>
        <v>0</v>
      </c>
      <c r="I3264" s="16">
        <f>IF(NOT(Paths!$C$303=1),0,IF(Paths!$P$303="Complete",IF(IF(Paths!$E$303=0,C3264=0,AND(C3264&gt;0,Paths!$E$303&gt;(C3264-1)*12,Paths!$E$303&lt;=C3264*12)),Paths!$G$303,0),"n.a."))</f>
        <v>0</v>
      </c>
      <c r="J3264" s="16">
        <f>IF(NOT(Paths!$C$303=1),0,IF(Paths!$P$303="Complete",IF(IF(Paths!$E$303=0,C3264=0,AND(C3264&gt;0,Paths!$E$303&gt;(C3264-1)*12,Paths!$E$303&lt;=C3264*12)),Paths!$H$303,0),"n.a."))</f>
        <v>0</v>
      </c>
      <c r="K3264" s="16">
        <f>IF(NOT(Paths!$C$303=1),0,IF(Paths!$P$303="Complete",IF(IF(Paths!$O$303=0,C3264=0,AND(C3264&gt;0,Paths!$O$303&gt;(C3264-1)*12,Paths!$O$303&lt;=C3264*12)),Paths!$N$303,0),"n.a."))</f>
        <v>0</v>
      </c>
      <c r="L3264" s="16">
        <f>IF(NOT(Paths!$C$303=1),0,IF(Paths!$P$303="Complete",IF(C3264=10,Paths!$I$303,0),"n.a."))</f>
        <v>0</v>
      </c>
      <c r="M3264" s="16">
        <f>IF(NOT(Paths!$C$303=1),0,IF(Paths!$P$303="Complete",IF(AND(Paths!$D$303="EV",Paths!$E$303&lt;120,Paths!$E$303+'Operating costs'!$B$65&gt;Paths!$E$303,Paths!$E$303+'Operating costs'!$B$65&lt;=120,IF(Paths!$E$303+'Operating costs'!$B$65=0,C3264=0,AND(C3264&gt;0,Paths!$E$303+'Operating costs'!$B$65&gt;(C3264-1)*12,Paths!$E$303+'Operating costs'!$B$65&lt;=C3264*12))),'Operating costs'!$B$64,0)+IF(AND('Operating costs'!$B$67&gt;0,'Operating costs'!$B$67&lt;=120,OR(Paths!$D$303="ICE",'Operating costs'!$B$67&lt;=Paths!$E$303),IF('Operating costs'!$B$67=0,C3264=0,AND(C3264&gt;0,'Operating costs'!$B$67&gt;(C3264-1)*12,'Operating costs'!$B$67&lt;=C3264*12))),'Operating costs'!$B$66,0),"n.a."))</f>
        <v>0</v>
      </c>
      <c r="N3264" s="16">
        <f>IF(NOT(Paths!$C$303=1),0,IF(Paths!$P$303="Complete",SUM(G3264:I3264)-J3264-K3264-L3264+M3264+IF(C3264=0,Paths!$F$303,0)+IF(IF(Paths!$E$303=0,C3264=0,AND(C3264&gt;0,Paths!$E$303&gt;(C3264-1)*12,Paths!$E$303&lt;=C3264*12)),VLOOKUP(A3264,'Fleet register'!$A$7:$S$106,16,FALSE),0),"n.a."))</f>
        <v>0</v>
      </c>
      <c r="O3264" s="16">
        <f>IF(NOT(Paths!$C$303=1),0,IF(Paths!$P$303="Complete",N3264-IF(C3264=0,Paths!$F$303,0),"n.a."))</f>
        <v>0</v>
      </c>
      <c r="P3264" s="16">
        <f>IF(NOT(Paths!$C$303=1),0,IF(Paths!$P$303="Complete",O3264+L3264,"n.a."))</f>
        <v>0</v>
      </c>
      <c r="Q3264" s="16">
        <f>IF(NOT(Paths!$C$303=1),0,IF(Paths!$P$303="Complete",N3264*(1+'Operating costs'!$B$54)^-C3264,"n.a."))</f>
        <v>0</v>
      </c>
      <c r="R3264" s="16">
        <f>IF(NOT(Paths!$C$303=1),0,IF(Paths!$P$303="Complete",IF(AND(C3264=0,Paths!$E$303=0),I3264-J3264-K3264+VLOOKUP(A3264,'Fleet register'!$A$7:$S$106,15,FALSE)+VLOOKUP(A3264,'Fleet register'!$A$7:$S$106,16,FALSE),0),"n.a."))</f>
        <v>0</v>
      </c>
      <c r="S3264" s="1">
        <f>IF(NOT(Paths!$C$303=1),0,IF(Paths!$P$303="Complete",IF(C3264=0,0,Paths!$S$303*Paths!$R$303),"n.a."))</f>
        <v>0</v>
      </c>
      <c r="T3264" s="1">
        <f>IF(NOT(Paths!$C$303=1),0,IF(Paths!$P$303="Complete",IF(C3264=0,0,VLOOKUP(A3264,'Fleet register'!$A$7:$S$106,9,FALSE)*Paths!$R$303),"n.a."))</f>
        <v>0</v>
      </c>
    </row>
    <row r="3265" spans="1:20" ht="24" customHeight="1">
      <c r="A3265" s="1" t="str">
        <f>Paths!$A$303</f>
        <v>T075</v>
      </c>
      <c r="B3265" s="1">
        <f>Paths!$B$303</f>
        <v>0</v>
      </c>
      <c r="C3265" s="1">
        <v>2</v>
      </c>
      <c r="D3265" s="1">
        <v>303</v>
      </c>
      <c r="E3265" s="1">
        <f>IF(OR(Paths!$C$303=0,C3265=0),0,MAX(0,MIN(C3265*12,Paths!$E$303)-(C3265-1)*12))</f>
        <v>0</v>
      </c>
      <c r="F3265" s="1">
        <f>IF(OR(Paths!$C$303=0,C3265=0),0,12-E3265)</f>
        <v>0</v>
      </c>
      <c r="G3265" s="16">
        <f>IF(NOT(Paths!$C$303=1),0,IF(Paths!$P$303="Complete",E3265/12*(Paths!$J$303*(1+'Operating costs'!$B$51)^MAX(0,C3265-1)+Paths!$K$303*(1+'Operating costs'!$B$53)^MAX(0,C3265-1)),"n.a."))</f>
        <v>0</v>
      </c>
      <c r="H3265" s="16">
        <f>IF(NOT(Paths!$C$303=1),0,IF(Paths!$P$303="Complete",F3265/12*(Paths!$L$303*(1+IF(Paths!$D$303="EV",'Operating costs'!$B$52,'Operating costs'!$B$51))^MAX(0,C3265-1)+Paths!$M$303*(1+'Operating costs'!$B$53)^MAX(0,C3265-1)),"n.a."))</f>
        <v>0</v>
      </c>
      <c r="I3265" s="16">
        <f>IF(NOT(Paths!$C$303=1),0,IF(Paths!$P$303="Complete",IF(IF(Paths!$E$303=0,C3265=0,AND(C3265&gt;0,Paths!$E$303&gt;(C3265-1)*12,Paths!$E$303&lt;=C3265*12)),Paths!$G$303,0),"n.a."))</f>
        <v>0</v>
      </c>
      <c r="J3265" s="16">
        <f>IF(NOT(Paths!$C$303=1),0,IF(Paths!$P$303="Complete",IF(IF(Paths!$E$303=0,C3265=0,AND(C3265&gt;0,Paths!$E$303&gt;(C3265-1)*12,Paths!$E$303&lt;=C3265*12)),Paths!$H$303,0),"n.a."))</f>
        <v>0</v>
      </c>
      <c r="K3265" s="16">
        <f>IF(NOT(Paths!$C$303=1),0,IF(Paths!$P$303="Complete",IF(IF(Paths!$O$303=0,C3265=0,AND(C3265&gt;0,Paths!$O$303&gt;(C3265-1)*12,Paths!$O$303&lt;=C3265*12)),Paths!$N$303,0),"n.a."))</f>
        <v>0</v>
      </c>
      <c r="L3265" s="16">
        <f>IF(NOT(Paths!$C$303=1),0,IF(Paths!$P$303="Complete",IF(C3265=10,Paths!$I$303,0),"n.a."))</f>
        <v>0</v>
      </c>
      <c r="M3265" s="16">
        <f>IF(NOT(Paths!$C$303=1),0,IF(Paths!$P$303="Complete",IF(AND(Paths!$D$303="EV",Paths!$E$303&lt;120,Paths!$E$303+'Operating costs'!$B$65&gt;Paths!$E$303,Paths!$E$303+'Operating costs'!$B$65&lt;=120,IF(Paths!$E$303+'Operating costs'!$B$65=0,C3265=0,AND(C3265&gt;0,Paths!$E$303+'Operating costs'!$B$65&gt;(C3265-1)*12,Paths!$E$303+'Operating costs'!$B$65&lt;=C3265*12))),'Operating costs'!$B$64,0)+IF(AND('Operating costs'!$B$67&gt;0,'Operating costs'!$B$67&lt;=120,OR(Paths!$D$303="ICE",'Operating costs'!$B$67&lt;=Paths!$E$303),IF('Operating costs'!$B$67=0,C3265=0,AND(C3265&gt;0,'Operating costs'!$B$67&gt;(C3265-1)*12,'Operating costs'!$B$67&lt;=C3265*12))),'Operating costs'!$B$66,0),"n.a."))</f>
        <v>0</v>
      </c>
      <c r="N3265" s="16">
        <f>IF(NOT(Paths!$C$303=1),0,IF(Paths!$P$303="Complete",SUM(G3265:I3265)-J3265-K3265-L3265+M3265+IF(C3265=0,Paths!$F$303,0)+IF(IF(Paths!$E$303=0,C3265=0,AND(C3265&gt;0,Paths!$E$303&gt;(C3265-1)*12,Paths!$E$303&lt;=C3265*12)),VLOOKUP(A3265,'Fleet register'!$A$7:$S$106,16,FALSE),0),"n.a."))</f>
        <v>0</v>
      </c>
      <c r="O3265" s="16">
        <f>IF(NOT(Paths!$C$303=1),0,IF(Paths!$P$303="Complete",N3265-IF(C3265=0,Paths!$F$303,0),"n.a."))</f>
        <v>0</v>
      </c>
      <c r="P3265" s="16">
        <f>IF(NOT(Paths!$C$303=1),0,IF(Paths!$P$303="Complete",O3265+L3265,"n.a."))</f>
        <v>0</v>
      </c>
      <c r="Q3265" s="16">
        <f>IF(NOT(Paths!$C$303=1),0,IF(Paths!$P$303="Complete",N3265*(1+'Operating costs'!$B$54)^-C3265,"n.a."))</f>
        <v>0</v>
      </c>
      <c r="R3265" s="16">
        <f>IF(NOT(Paths!$C$303=1),0,IF(Paths!$P$303="Complete",IF(AND(C3265=0,Paths!$E$303=0),I3265-J3265-K3265+VLOOKUP(A3265,'Fleet register'!$A$7:$S$106,15,FALSE)+VLOOKUP(A3265,'Fleet register'!$A$7:$S$106,16,FALSE),0),"n.a."))</f>
        <v>0</v>
      </c>
      <c r="S3265" s="1">
        <f>IF(NOT(Paths!$C$303=1),0,IF(Paths!$P$303="Complete",IF(C3265=0,0,Paths!$S$303*Paths!$R$303),"n.a."))</f>
        <v>0</v>
      </c>
      <c r="T3265" s="1">
        <f>IF(NOT(Paths!$C$303=1),0,IF(Paths!$P$303="Complete",IF(C3265=0,0,VLOOKUP(A3265,'Fleet register'!$A$7:$S$106,9,FALSE)*Paths!$R$303),"n.a."))</f>
        <v>0</v>
      </c>
    </row>
    <row r="3266" spans="1:20" ht="24" customHeight="1">
      <c r="A3266" s="1" t="str">
        <f>Paths!$A$303</f>
        <v>T075</v>
      </c>
      <c r="B3266" s="1">
        <f>Paths!$B$303</f>
        <v>0</v>
      </c>
      <c r="C3266" s="1">
        <v>3</v>
      </c>
      <c r="D3266" s="1">
        <v>303</v>
      </c>
      <c r="E3266" s="1">
        <f>IF(OR(Paths!$C$303=0,C3266=0),0,MAX(0,MIN(C3266*12,Paths!$E$303)-(C3266-1)*12))</f>
        <v>0</v>
      </c>
      <c r="F3266" s="1">
        <f>IF(OR(Paths!$C$303=0,C3266=0),0,12-E3266)</f>
        <v>0</v>
      </c>
      <c r="G3266" s="16">
        <f>IF(NOT(Paths!$C$303=1),0,IF(Paths!$P$303="Complete",E3266/12*(Paths!$J$303*(1+'Operating costs'!$B$51)^MAX(0,C3266-1)+Paths!$K$303*(1+'Operating costs'!$B$53)^MAX(0,C3266-1)),"n.a."))</f>
        <v>0</v>
      </c>
      <c r="H3266" s="16">
        <f>IF(NOT(Paths!$C$303=1),0,IF(Paths!$P$303="Complete",F3266/12*(Paths!$L$303*(1+IF(Paths!$D$303="EV",'Operating costs'!$B$52,'Operating costs'!$B$51))^MAX(0,C3266-1)+Paths!$M$303*(1+'Operating costs'!$B$53)^MAX(0,C3266-1)),"n.a."))</f>
        <v>0</v>
      </c>
      <c r="I3266" s="16">
        <f>IF(NOT(Paths!$C$303=1),0,IF(Paths!$P$303="Complete",IF(IF(Paths!$E$303=0,C3266=0,AND(C3266&gt;0,Paths!$E$303&gt;(C3266-1)*12,Paths!$E$303&lt;=C3266*12)),Paths!$G$303,0),"n.a."))</f>
        <v>0</v>
      </c>
      <c r="J3266" s="16">
        <f>IF(NOT(Paths!$C$303=1),0,IF(Paths!$P$303="Complete",IF(IF(Paths!$E$303=0,C3266=0,AND(C3266&gt;0,Paths!$E$303&gt;(C3266-1)*12,Paths!$E$303&lt;=C3266*12)),Paths!$H$303,0),"n.a."))</f>
        <v>0</v>
      </c>
      <c r="K3266" s="16">
        <f>IF(NOT(Paths!$C$303=1),0,IF(Paths!$P$303="Complete",IF(IF(Paths!$O$303=0,C3266=0,AND(C3266&gt;0,Paths!$O$303&gt;(C3266-1)*12,Paths!$O$303&lt;=C3266*12)),Paths!$N$303,0),"n.a."))</f>
        <v>0</v>
      </c>
      <c r="L3266" s="16">
        <f>IF(NOT(Paths!$C$303=1),0,IF(Paths!$P$303="Complete",IF(C3266=10,Paths!$I$303,0),"n.a."))</f>
        <v>0</v>
      </c>
      <c r="M3266" s="16">
        <f>IF(NOT(Paths!$C$303=1),0,IF(Paths!$P$303="Complete",IF(AND(Paths!$D$303="EV",Paths!$E$303&lt;120,Paths!$E$303+'Operating costs'!$B$65&gt;Paths!$E$303,Paths!$E$303+'Operating costs'!$B$65&lt;=120,IF(Paths!$E$303+'Operating costs'!$B$65=0,C3266=0,AND(C3266&gt;0,Paths!$E$303+'Operating costs'!$B$65&gt;(C3266-1)*12,Paths!$E$303+'Operating costs'!$B$65&lt;=C3266*12))),'Operating costs'!$B$64,0)+IF(AND('Operating costs'!$B$67&gt;0,'Operating costs'!$B$67&lt;=120,OR(Paths!$D$303="ICE",'Operating costs'!$B$67&lt;=Paths!$E$303),IF('Operating costs'!$B$67=0,C3266=0,AND(C3266&gt;0,'Operating costs'!$B$67&gt;(C3266-1)*12,'Operating costs'!$B$67&lt;=C3266*12))),'Operating costs'!$B$66,0),"n.a."))</f>
        <v>0</v>
      </c>
      <c r="N3266" s="16">
        <f>IF(NOT(Paths!$C$303=1),0,IF(Paths!$P$303="Complete",SUM(G3266:I3266)-J3266-K3266-L3266+M3266+IF(C3266=0,Paths!$F$303,0)+IF(IF(Paths!$E$303=0,C3266=0,AND(C3266&gt;0,Paths!$E$303&gt;(C3266-1)*12,Paths!$E$303&lt;=C3266*12)),VLOOKUP(A3266,'Fleet register'!$A$7:$S$106,16,FALSE),0),"n.a."))</f>
        <v>0</v>
      </c>
      <c r="O3266" s="16">
        <f>IF(NOT(Paths!$C$303=1),0,IF(Paths!$P$303="Complete",N3266-IF(C3266=0,Paths!$F$303,0),"n.a."))</f>
        <v>0</v>
      </c>
      <c r="P3266" s="16">
        <f>IF(NOT(Paths!$C$303=1),0,IF(Paths!$P$303="Complete",O3266+L3266,"n.a."))</f>
        <v>0</v>
      </c>
      <c r="Q3266" s="16">
        <f>IF(NOT(Paths!$C$303=1),0,IF(Paths!$P$303="Complete",N3266*(1+'Operating costs'!$B$54)^-C3266,"n.a."))</f>
        <v>0</v>
      </c>
      <c r="R3266" s="16">
        <f>IF(NOT(Paths!$C$303=1),0,IF(Paths!$P$303="Complete",IF(AND(C3266=0,Paths!$E$303=0),I3266-J3266-K3266+VLOOKUP(A3266,'Fleet register'!$A$7:$S$106,15,FALSE)+VLOOKUP(A3266,'Fleet register'!$A$7:$S$106,16,FALSE),0),"n.a."))</f>
        <v>0</v>
      </c>
      <c r="S3266" s="1">
        <f>IF(NOT(Paths!$C$303=1),0,IF(Paths!$P$303="Complete",IF(C3266=0,0,Paths!$S$303*Paths!$R$303),"n.a."))</f>
        <v>0</v>
      </c>
      <c r="T3266" s="1">
        <f>IF(NOT(Paths!$C$303=1),0,IF(Paths!$P$303="Complete",IF(C3266=0,0,VLOOKUP(A3266,'Fleet register'!$A$7:$S$106,9,FALSE)*Paths!$R$303),"n.a."))</f>
        <v>0</v>
      </c>
    </row>
    <row r="3267" spans="1:20" ht="24" customHeight="1">
      <c r="A3267" s="1" t="str">
        <f>Paths!$A$303</f>
        <v>T075</v>
      </c>
      <c r="B3267" s="1">
        <f>Paths!$B$303</f>
        <v>0</v>
      </c>
      <c r="C3267" s="1">
        <v>4</v>
      </c>
      <c r="D3267" s="1">
        <v>303</v>
      </c>
      <c r="E3267" s="1">
        <f>IF(OR(Paths!$C$303=0,C3267=0),0,MAX(0,MIN(C3267*12,Paths!$E$303)-(C3267-1)*12))</f>
        <v>0</v>
      </c>
      <c r="F3267" s="1">
        <f>IF(OR(Paths!$C$303=0,C3267=0),0,12-E3267)</f>
        <v>0</v>
      </c>
      <c r="G3267" s="16">
        <f>IF(NOT(Paths!$C$303=1),0,IF(Paths!$P$303="Complete",E3267/12*(Paths!$J$303*(1+'Operating costs'!$B$51)^MAX(0,C3267-1)+Paths!$K$303*(1+'Operating costs'!$B$53)^MAX(0,C3267-1)),"n.a."))</f>
        <v>0</v>
      </c>
      <c r="H3267" s="16">
        <f>IF(NOT(Paths!$C$303=1),0,IF(Paths!$P$303="Complete",F3267/12*(Paths!$L$303*(1+IF(Paths!$D$303="EV",'Operating costs'!$B$52,'Operating costs'!$B$51))^MAX(0,C3267-1)+Paths!$M$303*(1+'Operating costs'!$B$53)^MAX(0,C3267-1)),"n.a."))</f>
        <v>0</v>
      </c>
      <c r="I3267" s="16">
        <f>IF(NOT(Paths!$C$303=1),0,IF(Paths!$P$303="Complete",IF(IF(Paths!$E$303=0,C3267=0,AND(C3267&gt;0,Paths!$E$303&gt;(C3267-1)*12,Paths!$E$303&lt;=C3267*12)),Paths!$G$303,0),"n.a."))</f>
        <v>0</v>
      </c>
      <c r="J3267" s="16">
        <f>IF(NOT(Paths!$C$303=1),0,IF(Paths!$P$303="Complete",IF(IF(Paths!$E$303=0,C3267=0,AND(C3267&gt;0,Paths!$E$303&gt;(C3267-1)*12,Paths!$E$303&lt;=C3267*12)),Paths!$H$303,0),"n.a."))</f>
        <v>0</v>
      </c>
      <c r="K3267" s="16">
        <f>IF(NOT(Paths!$C$303=1),0,IF(Paths!$P$303="Complete",IF(IF(Paths!$O$303=0,C3267=0,AND(C3267&gt;0,Paths!$O$303&gt;(C3267-1)*12,Paths!$O$303&lt;=C3267*12)),Paths!$N$303,0),"n.a."))</f>
        <v>0</v>
      </c>
      <c r="L3267" s="16">
        <f>IF(NOT(Paths!$C$303=1),0,IF(Paths!$P$303="Complete",IF(C3267=10,Paths!$I$303,0),"n.a."))</f>
        <v>0</v>
      </c>
      <c r="M3267" s="16">
        <f>IF(NOT(Paths!$C$303=1),0,IF(Paths!$P$303="Complete",IF(AND(Paths!$D$303="EV",Paths!$E$303&lt;120,Paths!$E$303+'Operating costs'!$B$65&gt;Paths!$E$303,Paths!$E$303+'Operating costs'!$B$65&lt;=120,IF(Paths!$E$303+'Operating costs'!$B$65=0,C3267=0,AND(C3267&gt;0,Paths!$E$303+'Operating costs'!$B$65&gt;(C3267-1)*12,Paths!$E$303+'Operating costs'!$B$65&lt;=C3267*12))),'Operating costs'!$B$64,0)+IF(AND('Operating costs'!$B$67&gt;0,'Operating costs'!$B$67&lt;=120,OR(Paths!$D$303="ICE",'Operating costs'!$B$67&lt;=Paths!$E$303),IF('Operating costs'!$B$67=0,C3267=0,AND(C3267&gt;0,'Operating costs'!$B$67&gt;(C3267-1)*12,'Operating costs'!$B$67&lt;=C3267*12))),'Operating costs'!$B$66,0),"n.a."))</f>
        <v>0</v>
      </c>
      <c r="N3267" s="16">
        <f>IF(NOT(Paths!$C$303=1),0,IF(Paths!$P$303="Complete",SUM(G3267:I3267)-J3267-K3267-L3267+M3267+IF(C3267=0,Paths!$F$303,0)+IF(IF(Paths!$E$303=0,C3267=0,AND(C3267&gt;0,Paths!$E$303&gt;(C3267-1)*12,Paths!$E$303&lt;=C3267*12)),VLOOKUP(A3267,'Fleet register'!$A$7:$S$106,16,FALSE),0),"n.a."))</f>
        <v>0</v>
      </c>
      <c r="O3267" s="16">
        <f>IF(NOT(Paths!$C$303=1),0,IF(Paths!$P$303="Complete",N3267-IF(C3267=0,Paths!$F$303,0),"n.a."))</f>
        <v>0</v>
      </c>
      <c r="P3267" s="16">
        <f>IF(NOT(Paths!$C$303=1),0,IF(Paths!$P$303="Complete",O3267+L3267,"n.a."))</f>
        <v>0</v>
      </c>
      <c r="Q3267" s="16">
        <f>IF(NOT(Paths!$C$303=1),0,IF(Paths!$P$303="Complete",N3267*(1+'Operating costs'!$B$54)^-C3267,"n.a."))</f>
        <v>0</v>
      </c>
      <c r="R3267" s="16">
        <f>IF(NOT(Paths!$C$303=1),0,IF(Paths!$P$303="Complete",IF(AND(C3267=0,Paths!$E$303=0),I3267-J3267-K3267+VLOOKUP(A3267,'Fleet register'!$A$7:$S$106,15,FALSE)+VLOOKUP(A3267,'Fleet register'!$A$7:$S$106,16,FALSE),0),"n.a."))</f>
        <v>0</v>
      </c>
      <c r="S3267" s="1">
        <f>IF(NOT(Paths!$C$303=1),0,IF(Paths!$P$303="Complete",IF(C3267=0,0,Paths!$S$303*Paths!$R$303),"n.a."))</f>
        <v>0</v>
      </c>
      <c r="T3267" s="1">
        <f>IF(NOT(Paths!$C$303=1),0,IF(Paths!$P$303="Complete",IF(C3267=0,0,VLOOKUP(A3267,'Fleet register'!$A$7:$S$106,9,FALSE)*Paths!$R$303),"n.a."))</f>
        <v>0</v>
      </c>
    </row>
    <row r="3268" spans="1:20" ht="24" customHeight="1">
      <c r="A3268" s="1" t="str">
        <f>Paths!$A$303</f>
        <v>T075</v>
      </c>
      <c r="B3268" s="1">
        <f>Paths!$B$303</f>
        <v>0</v>
      </c>
      <c r="C3268" s="1">
        <v>5</v>
      </c>
      <c r="D3268" s="1">
        <v>303</v>
      </c>
      <c r="E3268" s="1">
        <f>IF(OR(Paths!$C$303=0,C3268=0),0,MAX(0,MIN(C3268*12,Paths!$E$303)-(C3268-1)*12))</f>
        <v>0</v>
      </c>
      <c r="F3268" s="1">
        <f>IF(OR(Paths!$C$303=0,C3268=0),0,12-E3268)</f>
        <v>0</v>
      </c>
      <c r="G3268" s="16">
        <f>IF(NOT(Paths!$C$303=1),0,IF(Paths!$P$303="Complete",E3268/12*(Paths!$J$303*(1+'Operating costs'!$B$51)^MAX(0,C3268-1)+Paths!$K$303*(1+'Operating costs'!$B$53)^MAX(0,C3268-1)),"n.a."))</f>
        <v>0</v>
      </c>
      <c r="H3268" s="16">
        <f>IF(NOT(Paths!$C$303=1),0,IF(Paths!$P$303="Complete",F3268/12*(Paths!$L$303*(1+IF(Paths!$D$303="EV",'Operating costs'!$B$52,'Operating costs'!$B$51))^MAX(0,C3268-1)+Paths!$M$303*(1+'Operating costs'!$B$53)^MAX(0,C3268-1)),"n.a."))</f>
        <v>0</v>
      </c>
      <c r="I3268" s="16">
        <f>IF(NOT(Paths!$C$303=1),0,IF(Paths!$P$303="Complete",IF(IF(Paths!$E$303=0,C3268=0,AND(C3268&gt;0,Paths!$E$303&gt;(C3268-1)*12,Paths!$E$303&lt;=C3268*12)),Paths!$G$303,0),"n.a."))</f>
        <v>0</v>
      </c>
      <c r="J3268" s="16">
        <f>IF(NOT(Paths!$C$303=1),0,IF(Paths!$P$303="Complete",IF(IF(Paths!$E$303=0,C3268=0,AND(C3268&gt;0,Paths!$E$303&gt;(C3268-1)*12,Paths!$E$303&lt;=C3268*12)),Paths!$H$303,0),"n.a."))</f>
        <v>0</v>
      </c>
      <c r="K3268" s="16">
        <f>IF(NOT(Paths!$C$303=1),0,IF(Paths!$P$303="Complete",IF(IF(Paths!$O$303=0,C3268=0,AND(C3268&gt;0,Paths!$O$303&gt;(C3268-1)*12,Paths!$O$303&lt;=C3268*12)),Paths!$N$303,0),"n.a."))</f>
        <v>0</v>
      </c>
      <c r="L3268" s="16">
        <f>IF(NOT(Paths!$C$303=1),0,IF(Paths!$P$303="Complete",IF(C3268=10,Paths!$I$303,0),"n.a."))</f>
        <v>0</v>
      </c>
      <c r="M3268" s="16">
        <f>IF(NOT(Paths!$C$303=1),0,IF(Paths!$P$303="Complete",IF(AND(Paths!$D$303="EV",Paths!$E$303&lt;120,Paths!$E$303+'Operating costs'!$B$65&gt;Paths!$E$303,Paths!$E$303+'Operating costs'!$B$65&lt;=120,IF(Paths!$E$303+'Operating costs'!$B$65=0,C3268=0,AND(C3268&gt;0,Paths!$E$303+'Operating costs'!$B$65&gt;(C3268-1)*12,Paths!$E$303+'Operating costs'!$B$65&lt;=C3268*12))),'Operating costs'!$B$64,0)+IF(AND('Operating costs'!$B$67&gt;0,'Operating costs'!$B$67&lt;=120,OR(Paths!$D$303="ICE",'Operating costs'!$B$67&lt;=Paths!$E$303),IF('Operating costs'!$B$67=0,C3268=0,AND(C3268&gt;0,'Operating costs'!$B$67&gt;(C3268-1)*12,'Operating costs'!$B$67&lt;=C3268*12))),'Operating costs'!$B$66,0),"n.a."))</f>
        <v>0</v>
      </c>
      <c r="N3268" s="16">
        <f>IF(NOT(Paths!$C$303=1),0,IF(Paths!$P$303="Complete",SUM(G3268:I3268)-J3268-K3268-L3268+M3268+IF(C3268=0,Paths!$F$303,0)+IF(IF(Paths!$E$303=0,C3268=0,AND(C3268&gt;0,Paths!$E$303&gt;(C3268-1)*12,Paths!$E$303&lt;=C3268*12)),VLOOKUP(A3268,'Fleet register'!$A$7:$S$106,16,FALSE),0),"n.a."))</f>
        <v>0</v>
      </c>
      <c r="O3268" s="16">
        <f>IF(NOT(Paths!$C$303=1),0,IF(Paths!$P$303="Complete",N3268-IF(C3268=0,Paths!$F$303,0),"n.a."))</f>
        <v>0</v>
      </c>
      <c r="P3268" s="16">
        <f>IF(NOT(Paths!$C$303=1),0,IF(Paths!$P$303="Complete",O3268+L3268,"n.a."))</f>
        <v>0</v>
      </c>
      <c r="Q3268" s="16">
        <f>IF(NOT(Paths!$C$303=1),0,IF(Paths!$P$303="Complete",N3268*(1+'Operating costs'!$B$54)^-C3268,"n.a."))</f>
        <v>0</v>
      </c>
      <c r="R3268" s="16">
        <f>IF(NOT(Paths!$C$303=1),0,IF(Paths!$P$303="Complete",IF(AND(C3268=0,Paths!$E$303=0),I3268-J3268-K3268+VLOOKUP(A3268,'Fleet register'!$A$7:$S$106,15,FALSE)+VLOOKUP(A3268,'Fleet register'!$A$7:$S$106,16,FALSE),0),"n.a."))</f>
        <v>0</v>
      </c>
      <c r="S3268" s="1">
        <f>IF(NOT(Paths!$C$303=1),0,IF(Paths!$P$303="Complete",IF(C3268=0,0,Paths!$S$303*Paths!$R$303),"n.a."))</f>
        <v>0</v>
      </c>
      <c r="T3268" s="1">
        <f>IF(NOT(Paths!$C$303=1),0,IF(Paths!$P$303="Complete",IF(C3268=0,0,VLOOKUP(A3268,'Fleet register'!$A$7:$S$106,9,FALSE)*Paths!$R$303),"n.a."))</f>
        <v>0</v>
      </c>
    </row>
    <row r="3269" spans="1:20" ht="24" customHeight="1">
      <c r="A3269" s="1" t="str">
        <f>Paths!$A$303</f>
        <v>T075</v>
      </c>
      <c r="B3269" s="1">
        <f>Paths!$B$303</f>
        <v>0</v>
      </c>
      <c r="C3269" s="1">
        <v>6</v>
      </c>
      <c r="D3269" s="1">
        <v>303</v>
      </c>
      <c r="E3269" s="1">
        <f>IF(OR(Paths!$C$303=0,C3269=0),0,MAX(0,MIN(C3269*12,Paths!$E$303)-(C3269-1)*12))</f>
        <v>0</v>
      </c>
      <c r="F3269" s="1">
        <f>IF(OR(Paths!$C$303=0,C3269=0),0,12-E3269)</f>
        <v>0</v>
      </c>
      <c r="G3269" s="16">
        <f>IF(NOT(Paths!$C$303=1),0,IF(Paths!$P$303="Complete",E3269/12*(Paths!$J$303*(1+'Operating costs'!$B$51)^MAX(0,C3269-1)+Paths!$K$303*(1+'Operating costs'!$B$53)^MAX(0,C3269-1)),"n.a."))</f>
        <v>0</v>
      </c>
      <c r="H3269" s="16">
        <f>IF(NOT(Paths!$C$303=1),0,IF(Paths!$P$303="Complete",F3269/12*(Paths!$L$303*(1+IF(Paths!$D$303="EV",'Operating costs'!$B$52,'Operating costs'!$B$51))^MAX(0,C3269-1)+Paths!$M$303*(1+'Operating costs'!$B$53)^MAX(0,C3269-1)),"n.a."))</f>
        <v>0</v>
      </c>
      <c r="I3269" s="16">
        <f>IF(NOT(Paths!$C$303=1),0,IF(Paths!$P$303="Complete",IF(IF(Paths!$E$303=0,C3269=0,AND(C3269&gt;0,Paths!$E$303&gt;(C3269-1)*12,Paths!$E$303&lt;=C3269*12)),Paths!$G$303,0),"n.a."))</f>
        <v>0</v>
      </c>
      <c r="J3269" s="16">
        <f>IF(NOT(Paths!$C$303=1),0,IF(Paths!$P$303="Complete",IF(IF(Paths!$E$303=0,C3269=0,AND(C3269&gt;0,Paths!$E$303&gt;(C3269-1)*12,Paths!$E$303&lt;=C3269*12)),Paths!$H$303,0),"n.a."))</f>
        <v>0</v>
      </c>
      <c r="K3269" s="16">
        <f>IF(NOT(Paths!$C$303=1),0,IF(Paths!$P$303="Complete",IF(IF(Paths!$O$303=0,C3269=0,AND(C3269&gt;0,Paths!$O$303&gt;(C3269-1)*12,Paths!$O$303&lt;=C3269*12)),Paths!$N$303,0),"n.a."))</f>
        <v>0</v>
      </c>
      <c r="L3269" s="16">
        <f>IF(NOT(Paths!$C$303=1),0,IF(Paths!$P$303="Complete",IF(C3269=10,Paths!$I$303,0),"n.a."))</f>
        <v>0</v>
      </c>
      <c r="M3269" s="16">
        <f>IF(NOT(Paths!$C$303=1),0,IF(Paths!$P$303="Complete",IF(AND(Paths!$D$303="EV",Paths!$E$303&lt;120,Paths!$E$303+'Operating costs'!$B$65&gt;Paths!$E$303,Paths!$E$303+'Operating costs'!$B$65&lt;=120,IF(Paths!$E$303+'Operating costs'!$B$65=0,C3269=0,AND(C3269&gt;0,Paths!$E$303+'Operating costs'!$B$65&gt;(C3269-1)*12,Paths!$E$303+'Operating costs'!$B$65&lt;=C3269*12))),'Operating costs'!$B$64,0)+IF(AND('Operating costs'!$B$67&gt;0,'Operating costs'!$B$67&lt;=120,OR(Paths!$D$303="ICE",'Operating costs'!$B$67&lt;=Paths!$E$303),IF('Operating costs'!$B$67=0,C3269=0,AND(C3269&gt;0,'Operating costs'!$B$67&gt;(C3269-1)*12,'Operating costs'!$B$67&lt;=C3269*12))),'Operating costs'!$B$66,0),"n.a."))</f>
        <v>0</v>
      </c>
      <c r="N3269" s="16">
        <f>IF(NOT(Paths!$C$303=1),0,IF(Paths!$P$303="Complete",SUM(G3269:I3269)-J3269-K3269-L3269+M3269+IF(C3269=0,Paths!$F$303,0)+IF(IF(Paths!$E$303=0,C3269=0,AND(C3269&gt;0,Paths!$E$303&gt;(C3269-1)*12,Paths!$E$303&lt;=C3269*12)),VLOOKUP(A3269,'Fleet register'!$A$7:$S$106,16,FALSE),0),"n.a."))</f>
        <v>0</v>
      </c>
      <c r="O3269" s="16">
        <f>IF(NOT(Paths!$C$303=1),0,IF(Paths!$P$303="Complete",N3269-IF(C3269=0,Paths!$F$303,0),"n.a."))</f>
        <v>0</v>
      </c>
      <c r="P3269" s="16">
        <f>IF(NOT(Paths!$C$303=1),0,IF(Paths!$P$303="Complete",O3269+L3269,"n.a."))</f>
        <v>0</v>
      </c>
      <c r="Q3269" s="16">
        <f>IF(NOT(Paths!$C$303=1),0,IF(Paths!$P$303="Complete",N3269*(1+'Operating costs'!$B$54)^-C3269,"n.a."))</f>
        <v>0</v>
      </c>
      <c r="R3269" s="16">
        <f>IF(NOT(Paths!$C$303=1),0,IF(Paths!$P$303="Complete",IF(AND(C3269=0,Paths!$E$303=0),I3269-J3269-K3269+VLOOKUP(A3269,'Fleet register'!$A$7:$S$106,15,FALSE)+VLOOKUP(A3269,'Fleet register'!$A$7:$S$106,16,FALSE),0),"n.a."))</f>
        <v>0</v>
      </c>
      <c r="S3269" s="1">
        <f>IF(NOT(Paths!$C$303=1),0,IF(Paths!$P$303="Complete",IF(C3269=0,0,Paths!$S$303*Paths!$R$303),"n.a."))</f>
        <v>0</v>
      </c>
      <c r="T3269" s="1">
        <f>IF(NOT(Paths!$C$303=1),0,IF(Paths!$P$303="Complete",IF(C3269=0,0,VLOOKUP(A3269,'Fleet register'!$A$7:$S$106,9,FALSE)*Paths!$R$303),"n.a."))</f>
        <v>0</v>
      </c>
    </row>
    <row r="3270" spans="1:20" ht="24" customHeight="1">
      <c r="A3270" s="1" t="str">
        <f>Paths!$A$303</f>
        <v>T075</v>
      </c>
      <c r="B3270" s="1">
        <f>Paths!$B$303</f>
        <v>0</v>
      </c>
      <c r="C3270" s="1">
        <v>7</v>
      </c>
      <c r="D3270" s="1">
        <v>303</v>
      </c>
      <c r="E3270" s="1">
        <f>IF(OR(Paths!$C$303=0,C3270=0),0,MAX(0,MIN(C3270*12,Paths!$E$303)-(C3270-1)*12))</f>
        <v>0</v>
      </c>
      <c r="F3270" s="1">
        <f>IF(OR(Paths!$C$303=0,C3270=0),0,12-E3270)</f>
        <v>0</v>
      </c>
      <c r="G3270" s="16">
        <f>IF(NOT(Paths!$C$303=1),0,IF(Paths!$P$303="Complete",E3270/12*(Paths!$J$303*(1+'Operating costs'!$B$51)^MAX(0,C3270-1)+Paths!$K$303*(1+'Operating costs'!$B$53)^MAX(0,C3270-1)),"n.a."))</f>
        <v>0</v>
      </c>
      <c r="H3270" s="16">
        <f>IF(NOT(Paths!$C$303=1),0,IF(Paths!$P$303="Complete",F3270/12*(Paths!$L$303*(1+IF(Paths!$D$303="EV",'Operating costs'!$B$52,'Operating costs'!$B$51))^MAX(0,C3270-1)+Paths!$M$303*(1+'Operating costs'!$B$53)^MAX(0,C3270-1)),"n.a."))</f>
        <v>0</v>
      </c>
      <c r="I3270" s="16">
        <f>IF(NOT(Paths!$C$303=1),0,IF(Paths!$P$303="Complete",IF(IF(Paths!$E$303=0,C3270=0,AND(C3270&gt;0,Paths!$E$303&gt;(C3270-1)*12,Paths!$E$303&lt;=C3270*12)),Paths!$G$303,0),"n.a."))</f>
        <v>0</v>
      </c>
      <c r="J3270" s="16">
        <f>IF(NOT(Paths!$C$303=1),0,IF(Paths!$P$303="Complete",IF(IF(Paths!$E$303=0,C3270=0,AND(C3270&gt;0,Paths!$E$303&gt;(C3270-1)*12,Paths!$E$303&lt;=C3270*12)),Paths!$H$303,0),"n.a."))</f>
        <v>0</v>
      </c>
      <c r="K3270" s="16">
        <f>IF(NOT(Paths!$C$303=1),0,IF(Paths!$P$303="Complete",IF(IF(Paths!$O$303=0,C3270=0,AND(C3270&gt;0,Paths!$O$303&gt;(C3270-1)*12,Paths!$O$303&lt;=C3270*12)),Paths!$N$303,0),"n.a."))</f>
        <v>0</v>
      </c>
      <c r="L3270" s="16">
        <f>IF(NOT(Paths!$C$303=1),0,IF(Paths!$P$303="Complete",IF(C3270=10,Paths!$I$303,0),"n.a."))</f>
        <v>0</v>
      </c>
      <c r="M3270" s="16">
        <f>IF(NOT(Paths!$C$303=1),0,IF(Paths!$P$303="Complete",IF(AND(Paths!$D$303="EV",Paths!$E$303&lt;120,Paths!$E$303+'Operating costs'!$B$65&gt;Paths!$E$303,Paths!$E$303+'Operating costs'!$B$65&lt;=120,IF(Paths!$E$303+'Operating costs'!$B$65=0,C3270=0,AND(C3270&gt;0,Paths!$E$303+'Operating costs'!$B$65&gt;(C3270-1)*12,Paths!$E$303+'Operating costs'!$B$65&lt;=C3270*12))),'Operating costs'!$B$64,0)+IF(AND('Operating costs'!$B$67&gt;0,'Operating costs'!$B$67&lt;=120,OR(Paths!$D$303="ICE",'Operating costs'!$B$67&lt;=Paths!$E$303),IF('Operating costs'!$B$67=0,C3270=0,AND(C3270&gt;0,'Operating costs'!$B$67&gt;(C3270-1)*12,'Operating costs'!$B$67&lt;=C3270*12))),'Operating costs'!$B$66,0),"n.a."))</f>
        <v>0</v>
      </c>
      <c r="N3270" s="16">
        <f>IF(NOT(Paths!$C$303=1),0,IF(Paths!$P$303="Complete",SUM(G3270:I3270)-J3270-K3270-L3270+M3270+IF(C3270=0,Paths!$F$303,0)+IF(IF(Paths!$E$303=0,C3270=0,AND(C3270&gt;0,Paths!$E$303&gt;(C3270-1)*12,Paths!$E$303&lt;=C3270*12)),VLOOKUP(A3270,'Fleet register'!$A$7:$S$106,16,FALSE),0),"n.a."))</f>
        <v>0</v>
      </c>
      <c r="O3270" s="16">
        <f>IF(NOT(Paths!$C$303=1),0,IF(Paths!$P$303="Complete",N3270-IF(C3270=0,Paths!$F$303,0),"n.a."))</f>
        <v>0</v>
      </c>
      <c r="P3270" s="16">
        <f>IF(NOT(Paths!$C$303=1),0,IF(Paths!$P$303="Complete",O3270+L3270,"n.a."))</f>
        <v>0</v>
      </c>
      <c r="Q3270" s="16">
        <f>IF(NOT(Paths!$C$303=1),0,IF(Paths!$P$303="Complete",N3270*(1+'Operating costs'!$B$54)^-C3270,"n.a."))</f>
        <v>0</v>
      </c>
      <c r="R3270" s="16">
        <f>IF(NOT(Paths!$C$303=1),0,IF(Paths!$P$303="Complete",IF(AND(C3270=0,Paths!$E$303=0),I3270-J3270-K3270+VLOOKUP(A3270,'Fleet register'!$A$7:$S$106,15,FALSE)+VLOOKUP(A3270,'Fleet register'!$A$7:$S$106,16,FALSE),0),"n.a."))</f>
        <v>0</v>
      </c>
      <c r="S3270" s="1">
        <f>IF(NOT(Paths!$C$303=1),0,IF(Paths!$P$303="Complete",IF(C3270=0,0,Paths!$S$303*Paths!$R$303),"n.a."))</f>
        <v>0</v>
      </c>
      <c r="T3270" s="1">
        <f>IF(NOT(Paths!$C$303=1),0,IF(Paths!$P$303="Complete",IF(C3270=0,0,VLOOKUP(A3270,'Fleet register'!$A$7:$S$106,9,FALSE)*Paths!$R$303),"n.a."))</f>
        <v>0</v>
      </c>
    </row>
    <row r="3271" spans="1:20" ht="24" customHeight="1">
      <c r="A3271" s="1" t="str">
        <f>Paths!$A$303</f>
        <v>T075</v>
      </c>
      <c r="B3271" s="1">
        <f>Paths!$B$303</f>
        <v>0</v>
      </c>
      <c r="C3271" s="1">
        <v>8</v>
      </c>
      <c r="D3271" s="1">
        <v>303</v>
      </c>
      <c r="E3271" s="1">
        <f>IF(OR(Paths!$C$303=0,C3271=0),0,MAX(0,MIN(C3271*12,Paths!$E$303)-(C3271-1)*12))</f>
        <v>0</v>
      </c>
      <c r="F3271" s="1">
        <f>IF(OR(Paths!$C$303=0,C3271=0),0,12-E3271)</f>
        <v>0</v>
      </c>
      <c r="G3271" s="16">
        <f>IF(NOT(Paths!$C$303=1),0,IF(Paths!$P$303="Complete",E3271/12*(Paths!$J$303*(1+'Operating costs'!$B$51)^MAX(0,C3271-1)+Paths!$K$303*(1+'Operating costs'!$B$53)^MAX(0,C3271-1)),"n.a."))</f>
        <v>0</v>
      </c>
      <c r="H3271" s="16">
        <f>IF(NOT(Paths!$C$303=1),0,IF(Paths!$P$303="Complete",F3271/12*(Paths!$L$303*(1+IF(Paths!$D$303="EV",'Operating costs'!$B$52,'Operating costs'!$B$51))^MAX(0,C3271-1)+Paths!$M$303*(1+'Operating costs'!$B$53)^MAX(0,C3271-1)),"n.a."))</f>
        <v>0</v>
      </c>
      <c r="I3271" s="16">
        <f>IF(NOT(Paths!$C$303=1),0,IF(Paths!$P$303="Complete",IF(IF(Paths!$E$303=0,C3271=0,AND(C3271&gt;0,Paths!$E$303&gt;(C3271-1)*12,Paths!$E$303&lt;=C3271*12)),Paths!$G$303,0),"n.a."))</f>
        <v>0</v>
      </c>
      <c r="J3271" s="16">
        <f>IF(NOT(Paths!$C$303=1),0,IF(Paths!$P$303="Complete",IF(IF(Paths!$E$303=0,C3271=0,AND(C3271&gt;0,Paths!$E$303&gt;(C3271-1)*12,Paths!$E$303&lt;=C3271*12)),Paths!$H$303,0),"n.a."))</f>
        <v>0</v>
      </c>
      <c r="K3271" s="16">
        <f>IF(NOT(Paths!$C$303=1),0,IF(Paths!$P$303="Complete",IF(IF(Paths!$O$303=0,C3271=0,AND(C3271&gt;0,Paths!$O$303&gt;(C3271-1)*12,Paths!$O$303&lt;=C3271*12)),Paths!$N$303,0),"n.a."))</f>
        <v>0</v>
      </c>
      <c r="L3271" s="16">
        <f>IF(NOT(Paths!$C$303=1),0,IF(Paths!$P$303="Complete",IF(C3271=10,Paths!$I$303,0),"n.a."))</f>
        <v>0</v>
      </c>
      <c r="M3271" s="16">
        <f>IF(NOT(Paths!$C$303=1),0,IF(Paths!$P$303="Complete",IF(AND(Paths!$D$303="EV",Paths!$E$303&lt;120,Paths!$E$303+'Operating costs'!$B$65&gt;Paths!$E$303,Paths!$E$303+'Operating costs'!$B$65&lt;=120,IF(Paths!$E$303+'Operating costs'!$B$65=0,C3271=0,AND(C3271&gt;0,Paths!$E$303+'Operating costs'!$B$65&gt;(C3271-1)*12,Paths!$E$303+'Operating costs'!$B$65&lt;=C3271*12))),'Operating costs'!$B$64,0)+IF(AND('Operating costs'!$B$67&gt;0,'Operating costs'!$B$67&lt;=120,OR(Paths!$D$303="ICE",'Operating costs'!$B$67&lt;=Paths!$E$303),IF('Operating costs'!$B$67=0,C3271=0,AND(C3271&gt;0,'Operating costs'!$B$67&gt;(C3271-1)*12,'Operating costs'!$B$67&lt;=C3271*12))),'Operating costs'!$B$66,0),"n.a."))</f>
        <v>0</v>
      </c>
      <c r="N3271" s="16">
        <f>IF(NOT(Paths!$C$303=1),0,IF(Paths!$P$303="Complete",SUM(G3271:I3271)-J3271-K3271-L3271+M3271+IF(C3271=0,Paths!$F$303,0)+IF(IF(Paths!$E$303=0,C3271=0,AND(C3271&gt;0,Paths!$E$303&gt;(C3271-1)*12,Paths!$E$303&lt;=C3271*12)),VLOOKUP(A3271,'Fleet register'!$A$7:$S$106,16,FALSE),0),"n.a."))</f>
        <v>0</v>
      </c>
      <c r="O3271" s="16">
        <f>IF(NOT(Paths!$C$303=1),0,IF(Paths!$P$303="Complete",N3271-IF(C3271=0,Paths!$F$303,0),"n.a."))</f>
        <v>0</v>
      </c>
      <c r="P3271" s="16">
        <f>IF(NOT(Paths!$C$303=1),0,IF(Paths!$P$303="Complete",O3271+L3271,"n.a."))</f>
        <v>0</v>
      </c>
      <c r="Q3271" s="16">
        <f>IF(NOT(Paths!$C$303=1),0,IF(Paths!$P$303="Complete",N3271*(1+'Operating costs'!$B$54)^-C3271,"n.a."))</f>
        <v>0</v>
      </c>
      <c r="R3271" s="16">
        <f>IF(NOT(Paths!$C$303=1),0,IF(Paths!$P$303="Complete",IF(AND(C3271=0,Paths!$E$303=0),I3271-J3271-K3271+VLOOKUP(A3271,'Fleet register'!$A$7:$S$106,15,FALSE)+VLOOKUP(A3271,'Fleet register'!$A$7:$S$106,16,FALSE),0),"n.a."))</f>
        <v>0</v>
      </c>
      <c r="S3271" s="1">
        <f>IF(NOT(Paths!$C$303=1),0,IF(Paths!$P$303="Complete",IF(C3271=0,0,Paths!$S$303*Paths!$R$303),"n.a."))</f>
        <v>0</v>
      </c>
      <c r="T3271" s="1">
        <f>IF(NOT(Paths!$C$303=1),0,IF(Paths!$P$303="Complete",IF(C3271=0,0,VLOOKUP(A3271,'Fleet register'!$A$7:$S$106,9,FALSE)*Paths!$R$303),"n.a."))</f>
        <v>0</v>
      </c>
    </row>
    <row r="3272" spans="1:20" ht="24" customHeight="1">
      <c r="A3272" s="1" t="str">
        <f>Paths!$A$303</f>
        <v>T075</v>
      </c>
      <c r="B3272" s="1">
        <f>Paths!$B$303</f>
        <v>0</v>
      </c>
      <c r="C3272" s="1">
        <v>9</v>
      </c>
      <c r="D3272" s="1">
        <v>303</v>
      </c>
      <c r="E3272" s="1">
        <f>IF(OR(Paths!$C$303=0,C3272=0),0,MAX(0,MIN(C3272*12,Paths!$E$303)-(C3272-1)*12))</f>
        <v>0</v>
      </c>
      <c r="F3272" s="1">
        <f>IF(OR(Paths!$C$303=0,C3272=0),0,12-E3272)</f>
        <v>0</v>
      </c>
      <c r="G3272" s="16">
        <f>IF(NOT(Paths!$C$303=1),0,IF(Paths!$P$303="Complete",E3272/12*(Paths!$J$303*(1+'Operating costs'!$B$51)^MAX(0,C3272-1)+Paths!$K$303*(1+'Operating costs'!$B$53)^MAX(0,C3272-1)),"n.a."))</f>
        <v>0</v>
      </c>
      <c r="H3272" s="16">
        <f>IF(NOT(Paths!$C$303=1),0,IF(Paths!$P$303="Complete",F3272/12*(Paths!$L$303*(1+IF(Paths!$D$303="EV",'Operating costs'!$B$52,'Operating costs'!$B$51))^MAX(0,C3272-1)+Paths!$M$303*(1+'Operating costs'!$B$53)^MAX(0,C3272-1)),"n.a."))</f>
        <v>0</v>
      </c>
      <c r="I3272" s="16">
        <f>IF(NOT(Paths!$C$303=1),0,IF(Paths!$P$303="Complete",IF(IF(Paths!$E$303=0,C3272=0,AND(C3272&gt;0,Paths!$E$303&gt;(C3272-1)*12,Paths!$E$303&lt;=C3272*12)),Paths!$G$303,0),"n.a."))</f>
        <v>0</v>
      </c>
      <c r="J3272" s="16">
        <f>IF(NOT(Paths!$C$303=1),0,IF(Paths!$P$303="Complete",IF(IF(Paths!$E$303=0,C3272=0,AND(C3272&gt;0,Paths!$E$303&gt;(C3272-1)*12,Paths!$E$303&lt;=C3272*12)),Paths!$H$303,0),"n.a."))</f>
        <v>0</v>
      </c>
      <c r="K3272" s="16">
        <f>IF(NOT(Paths!$C$303=1),0,IF(Paths!$P$303="Complete",IF(IF(Paths!$O$303=0,C3272=0,AND(C3272&gt;0,Paths!$O$303&gt;(C3272-1)*12,Paths!$O$303&lt;=C3272*12)),Paths!$N$303,0),"n.a."))</f>
        <v>0</v>
      </c>
      <c r="L3272" s="16">
        <f>IF(NOT(Paths!$C$303=1),0,IF(Paths!$P$303="Complete",IF(C3272=10,Paths!$I$303,0),"n.a."))</f>
        <v>0</v>
      </c>
      <c r="M3272" s="16">
        <f>IF(NOT(Paths!$C$303=1),0,IF(Paths!$P$303="Complete",IF(AND(Paths!$D$303="EV",Paths!$E$303&lt;120,Paths!$E$303+'Operating costs'!$B$65&gt;Paths!$E$303,Paths!$E$303+'Operating costs'!$B$65&lt;=120,IF(Paths!$E$303+'Operating costs'!$B$65=0,C3272=0,AND(C3272&gt;0,Paths!$E$303+'Operating costs'!$B$65&gt;(C3272-1)*12,Paths!$E$303+'Operating costs'!$B$65&lt;=C3272*12))),'Operating costs'!$B$64,0)+IF(AND('Operating costs'!$B$67&gt;0,'Operating costs'!$B$67&lt;=120,OR(Paths!$D$303="ICE",'Operating costs'!$B$67&lt;=Paths!$E$303),IF('Operating costs'!$B$67=0,C3272=0,AND(C3272&gt;0,'Operating costs'!$B$67&gt;(C3272-1)*12,'Operating costs'!$B$67&lt;=C3272*12))),'Operating costs'!$B$66,0),"n.a."))</f>
        <v>0</v>
      </c>
      <c r="N3272" s="16">
        <f>IF(NOT(Paths!$C$303=1),0,IF(Paths!$P$303="Complete",SUM(G3272:I3272)-J3272-K3272-L3272+M3272+IF(C3272=0,Paths!$F$303,0)+IF(IF(Paths!$E$303=0,C3272=0,AND(C3272&gt;0,Paths!$E$303&gt;(C3272-1)*12,Paths!$E$303&lt;=C3272*12)),VLOOKUP(A3272,'Fleet register'!$A$7:$S$106,16,FALSE),0),"n.a."))</f>
        <v>0</v>
      </c>
      <c r="O3272" s="16">
        <f>IF(NOT(Paths!$C$303=1),0,IF(Paths!$P$303="Complete",N3272-IF(C3272=0,Paths!$F$303,0),"n.a."))</f>
        <v>0</v>
      </c>
      <c r="P3272" s="16">
        <f>IF(NOT(Paths!$C$303=1),0,IF(Paths!$P$303="Complete",O3272+L3272,"n.a."))</f>
        <v>0</v>
      </c>
      <c r="Q3272" s="16">
        <f>IF(NOT(Paths!$C$303=1),0,IF(Paths!$P$303="Complete",N3272*(1+'Operating costs'!$B$54)^-C3272,"n.a."))</f>
        <v>0</v>
      </c>
      <c r="R3272" s="16">
        <f>IF(NOT(Paths!$C$303=1),0,IF(Paths!$P$303="Complete",IF(AND(C3272=0,Paths!$E$303=0),I3272-J3272-K3272+VLOOKUP(A3272,'Fleet register'!$A$7:$S$106,15,FALSE)+VLOOKUP(A3272,'Fleet register'!$A$7:$S$106,16,FALSE),0),"n.a."))</f>
        <v>0</v>
      </c>
      <c r="S3272" s="1">
        <f>IF(NOT(Paths!$C$303=1),0,IF(Paths!$P$303="Complete",IF(C3272=0,0,Paths!$S$303*Paths!$R$303),"n.a."))</f>
        <v>0</v>
      </c>
      <c r="T3272" s="1">
        <f>IF(NOT(Paths!$C$303=1),0,IF(Paths!$P$303="Complete",IF(C3272=0,0,VLOOKUP(A3272,'Fleet register'!$A$7:$S$106,9,FALSE)*Paths!$R$303),"n.a."))</f>
        <v>0</v>
      </c>
    </row>
    <row r="3273" spans="1:20" ht="24" customHeight="1">
      <c r="A3273" s="1" t="str">
        <f>Paths!$A$303</f>
        <v>T075</v>
      </c>
      <c r="B3273" s="1">
        <f>Paths!$B$303</f>
        <v>0</v>
      </c>
      <c r="C3273" s="1">
        <v>10</v>
      </c>
      <c r="D3273" s="1">
        <v>303</v>
      </c>
      <c r="E3273" s="1">
        <f>IF(OR(Paths!$C$303=0,C3273=0),0,MAX(0,MIN(C3273*12,Paths!$E$303)-(C3273-1)*12))</f>
        <v>0</v>
      </c>
      <c r="F3273" s="1">
        <f>IF(OR(Paths!$C$303=0,C3273=0),0,12-E3273)</f>
        <v>0</v>
      </c>
      <c r="G3273" s="16">
        <f>IF(NOT(Paths!$C$303=1),0,IF(Paths!$P$303="Complete",E3273/12*(Paths!$J$303*(1+'Operating costs'!$B$51)^MAX(0,C3273-1)+Paths!$K$303*(1+'Operating costs'!$B$53)^MAX(0,C3273-1)),"n.a."))</f>
        <v>0</v>
      </c>
      <c r="H3273" s="16">
        <f>IF(NOT(Paths!$C$303=1),0,IF(Paths!$P$303="Complete",F3273/12*(Paths!$L$303*(1+IF(Paths!$D$303="EV",'Operating costs'!$B$52,'Operating costs'!$B$51))^MAX(0,C3273-1)+Paths!$M$303*(1+'Operating costs'!$B$53)^MAX(0,C3273-1)),"n.a."))</f>
        <v>0</v>
      </c>
      <c r="I3273" s="16">
        <f>IF(NOT(Paths!$C$303=1),0,IF(Paths!$P$303="Complete",IF(IF(Paths!$E$303=0,C3273=0,AND(C3273&gt;0,Paths!$E$303&gt;(C3273-1)*12,Paths!$E$303&lt;=C3273*12)),Paths!$G$303,0),"n.a."))</f>
        <v>0</v>
      </c>
      <c r="J3273" s="16">
        <f>IF(NOT(Paths!$C$303=1),0,IF(Paths!$P$303="Complete",IF(IF(Paths!$E$303=0,C3273=0,AND(C3273&gt;0,Paths!$E$303&gt;(C3273-1)*12,Paths!$E$303&lt;=C3273*12)),Paths!$H$303,0),"n.a."))</f>
        <v>0</v>
      </c>
      <c r="K3273" s="16">
        <f>IF(NOT(Paths!$C$303=1),0,IF(Paths!$P$303="Complete",IF(IF(Paths!$O$303=0,C3273=0,AND(C3273&gt;0,Paths!$O$303&gt;(C3273-1)*12,Paths!$O$303&lt;=C3273*12)),Paths!$N$303,0),"n.a."))</f>
        <v>0</v>
      </c>
      <c r="L3273" s="16">
        <f>IF(NOT(Paths!$C$303=1),0,IF(Paths!$P$303="Complete",IF(C3273=10,Paths!$I$303,0),"n.a."))</f>
        <v>0</v>
      </c>
      <c r="M3273" s="16">
        <f>IF(NOT(Paths!$C$303=1),0,IF(Paths!$P$303="Complete",IF(AND(Paths!$D$303="EV",Paths!$E$303&lt;120,Paths!$E$303+'Operating costs'!$B$65&gt;Paths!$E$303,Paths!$E$303+'Operating costs'!$B$65&lt;=120,IF(Paths!$E$303+'Operating costs'!$B$65=0,C3273=0,AND(C3273&gt;0,Paths!$E$303+'Operating costs'!$B$65&gt;(C3273-1)*12,Paths!$E$303+'Operating costs'!$B$65&lt;=C3273*12))),'Operating costs'!$B$64,0)+IF(AND('Operating costs'!$B$67&gt;0,'Operating costs'!$B$67&lt;=120,OR(Paths!$D$303="ICE",'Operating costs'!$B$67&lt;=Paths!$E$303),IF('Operating costs'!$B$67=0,C3273=0,AND(C3273&gt;0,'Operating costs'!$B$67&gt;(C3273-1)*12,'Operating costs'!$B$67&lt;=C3273*12))),'Operating costs'!$B$66,0),"n.a."))</f>
        <v>0</v>
      </c>
      <c r="N3273" s="16">
        <f>IF(NOT(Paths!$C$303=1),0,IF(Paths!$P$303="Complete",SUM(G3273:I3273)-J3273-K3273-L3273+M3273+IF(C3273=0,Paths!$F$303,0)+IF(IF(Paths!$E$303=0,C3273=0,AND(C3273&gt;0,Paths!$E$303&gt;(C3273-1)*12,Paths!$E$303&lt;=C3273*12)),VLOOKUP(A3273,'Fleet register'!$A$7:$S$106,16,FALSE),0),"n.a."))</f>
        <v>0</v>
      </c>
      <c r="O3273" s="16">
        <f>IF(NOT(Paths!$C$303=1),0,IF(Paths!$P$303="Complete",N3273-IF(C3273=0,Paths!$F$303,0),"n.a."))</f>
        <v>0</v>
      </c>
      <c r="P3273" s="16">
        <f>IF(NOT(Paths!$C$303=1),0,IF(Paths!$P$303="Complete",O3273+L3273,"n.a."))</f>
        <v>0</v>
      </c>
      <c r="Q3273" s="16">
        <f>IF(NOT(Paths!$C$303=1),0,IF(Paths!$P$303="Complete",N3273*(1+'Operating costs'!$B$54)^-C3273,"n.a."))</f>
        <v>0</v>
      </c>
      <c r="R3273" s="16">
        <f>IF(NOT(Paths!$C$303=1),0,IF(Paths!$P$303="Complete",IF(AND(C3273=0,Paths!$E$303=0),I3273-J3273-K3273+VLOOKUP(A3273,'Fleet register'!$A$7:$S$106,15,FALSE)+VLOOKUP(A3273,'Fleet register'!$A$7:$S$106,16,FALSE),0),"n.a."))</f>
        <v>0</v>
      </c>
      <c r="S3273" s="1">
        <f>IF(NOT(Paths!$C$303=1),0,IF(Paths!$P$303="Complete",IF(C3273=0,0,Paths!$S$303*Paths!$R$303),"n.a."))</f>
        <v>0</v>
      </c>
      <c r="T3273" s="1">
        <f>IF(NOT(Paths!$C$303=1),0,IF(Paths!$P$303="Complete",IF(C3273=0,0,VLOOKUP(A3273,'Fleet register'!$A$7:$S$106,9,FALSE)*Paths!$R$303),"n.a."))</f>
        <v>0</v>
      </c>
    </row>
    <row r="3274" spans="1:20" ht="24" customHeight="1">
      <c r="A3274" s="1" t="str">
        <f>Paths!$A$304</f>
        <v>T075</v>
      </c>
      <c r="B3274" s="1">
        <f>Paths!$B$304</f>
        <v>1</v>
      </c>
      <c r="C3274" s="1">
        <v>0</v>
      </c>
      <c r="D3274" s="1">
        <v>304</v>
      </c>
      <c r="E3274" s="1">
        <f>IF(OR(Paths!$C$304=0,C3274=0),0,MAX(0,MIN(C3274*12,Paths!$E$304)-(C3274-1)*12))</f>
        <v>0</v>
      </c>
      <c r="F3274" s="1">
        <f>IF(OR(Paths!$C$304=0,C3274=0),0,12-E3274)</f>
        <v>0</v>
      </c>
      <c r="G3274" s="16">
        <f>IF(NOT(Paths!$C$304=1),0,IF(Paths!$P$304="Complete",E3274/12*(Paths!$J$304*(1+'Operating costs'!$B$51)^MAX(0,C3274-1)+Paths!$K$304*(1+'Operating costs'!$B$53)^MAX(0,C3274-1)),"n.a."))</f>
        <v>0</v>
      </c>
      <c r="H3274" s="16">
        <f>IF(NOT(Paths!$C$304=1),0,IF(Paths!$P$304="Complete",F3274/12*(Paths!$L$304*(1+IF(Paths!$D$304="EV",'Operating costs'!$B$52,'Operating costs'!$B$51))^MAX(0,C3274-1)+Paths!$M$304*(1+'Operating costs'!$B$53)^MAX(0,C3274-1)),"n.a."))</f>
        <v>0</v>
      </c>
      <c r="I3274" s="16">
        <f>IF(NOT(Paths!$C$304=1),0,IF(Paths!$P$304="Complete",IF(IF(Paths!$E$304=0,C3274=0,AND(C3274&gt;0,Paths!$E$304&gt;(C3274-1)*12,Paths!$E$304&lt;=C3274*12)),Paths!$G$304,0),"n.a."))</f>
        <v>0</v>
      </c>
      <c r="J3274" s="16">
        <f>IF(NOT(Paths!$C$304=1),0,IF(Paths!$P$304="Complete",IF(IF(Paths!$E$304=0,C3274=0,AND(C3274&gt;0,Paths!$E$304&gt;(C3274-1)*12,Paths!$E$304&lt;=C3274*12)),Paths!$H$304,0),"n.a."))</f>
        <v>0</v>
      </c>
      <c r="K3274" s="16">
        <f>IF(NOT(Paths!$C$304=1),0,IF(Paths!$P$304="Complete",IF(IF(Paths!$O$304=0,C3274=0,AND(C3274&gt;0,Paths!$O$304&gt;(C3274-1)*12,Paths!$O$304&lt;=C3274*12)),Paths!$N$304,0),"n.a."))</f>
        <v>0</v>
      </c>
      <c r="L3274" s="16">
        <f>IF(NOT(Paths!$C$304=1),0,IF(Paths!$P$304="Complete",IF(C3274=10,Paths!$I$304,0),"n.a."))</f>
        <v>0</v>
      </c>
      <c r="M3274" s="16">
        <f>IF(NOT(Paths!$C$304=1),0,IF(Paths!$P$304="Complete",IF(AND(Paths!$D$304="EV",Paths!$E$304&lt;120,Paths!$E$304+'Operating costs'!$B$65&gt;Paths!$E$304,Paths!$E$304+'Operating costs'!$B$65&lt;=120,IF(Paths!$E$304+'Operating costs'!$B$65=0,C3274=0,AND(C3274&gt;0,Paths!$E$304+'Operating costs'!$B$65&gt;(C3274-1)*12,Paths!$E$304+'Operating costs'!$B$65&lt;=C3274*12))),'Operating costs'!$B$64,0)+IF(AND('Operating costs'!$B$67&gt;0,'Operating costs'!$B$67&lt;=120,OR(Paths!$D$304="ICE",'Operating costs'!$B$67&lt;=Paths!$E$304),IF('Operating costs'!$B$67=0,C3274=0,AND(C3274&gt;0,'Operating costs'!$B$67&gt;(C3274-1)*12,'Operating costs'!$B$67&lt;=C3274*12))),'Operating costs'!$B$66,0),"n.a."))</f>
        <v>0</v>
      </c>
      <c r="N3274" s="16">
        <f>IF(NOT(Paths!$C$304=1),0,IF(Paths!$P$304="Complete",SUM(G3274:I3274)-J3274-K3274-L3274+M3274+IF(C3274=0,Paths!$F$304,0)+IF(IF(Paths!$E$304=0,C3274=0,AND(C3274&gt;0,Paths!$E$304&gt;(C3274-1)*12,Paths!$E$304&lt;=C3274*12)),VLOOKUP(A3274,'Fleet register'!$A$7:$S$106,16,FALSE),0),"n.a."))</f>
        <v>0</v>
      </c>
      <c r="O3274" s="16">
        <f>IF(NOT(Paths!$C$304=1),0,IF(Paths!$P$304="Complete",N3274-IF(C3274=0,Paths!$F$304,0),"n.a."))</f>
        <v>0</v>
      </c>
      <c r="P3274" s="16">
        <f>IF(NOT(Paths!$C$304=1),0,IF(Paths!$P$304="Complete",O3274+L3274,"n.a."))</f>
        <v>0</v>
      </c>
      <c r="Q3274" s="16">
        <f>IF(NOT(Paths!$C$304=1),0,IF(Paths!$P$304="Complete",N3274*(1+'Operating costs'!$B$54)^-C3274,"n.a."))</f>
        <v>0</v>
      </c>
      <c r="R3274" s="16">
        <f>IF(NOT(Paths!$C$304=1),0,IF(Paths!$P$304="Complete",IF(AND(C3274=0,Paths!$E$304=0),I3274-J3274-K3274+VLOOKUP(A3274,'Fleet register'!$A$7:$S$106,15,FALSE)+VLOOKUP(A3274,'Fleet register'!$A$7:$S$106,16,FALSE),0),"n.a."))</f>
        <v>0</v>
      </c>
      <c r="S3274" s="1">
        <f>IF(NOT(Paths!$C$304=1),0,IF(Paths!$P$304="Complete",IF(C3274=0,0,Paths!$S$304*Paths!$R$304),"n.a."))</f>
        <v>0</v>
      </c>
      <c r="T3274" s="1">
        <f>IF(NOT(Paths!$C$304=1),0,IF(Paths!$P$304="Complete",IF(C3274=0,0,VLOOKUP(A3274,'Fleet register'!$A$7:$S$106,9,FALSE)*Paths!$R$304),"n.a."))</f>
        <v>0</v>
      </c>
    </row>
    <row r="3275" spans="1:20" ht="24" customHeight="1">
      <c r="A3275" s="1" t="str">
        <f>Paths!$A$304</f>
        <v>T075</v>
      </c>
      <c r="B3275" s="1">
        <f>Paths!$B$304</f>
        <v>1</v>
      </c>
      <c r="C3275" s="1">
        <v>1</v>
      </c>
      <c r="D3275" s="1">
        <v>304</v>
      </c>
      <c r="E3275" s="1">
        <f>IF(OR(Paths!$C$304=0,C3275=0),0,MAX(0,MIN(C3275*12,Paths!$E$304)-(C3275-1)*12))</f>
        <v>0</v>
      </c>
      <c r="F3275" s="1">
        <f>IF(OR(Paths!$C$304=0,C3275=0),0,12-E3275)</f>
        <v>0</v>
      </c>
      <c r="G3275" s="16">
        <f>IF(NOT(Paths!$C$304=1),0,IF(Paths!$P$304="Complete",E3275/12*(Paths!$J$304*(1+'Operating costs'!$B$51)^MAX(0,C3275-1)+Paths!$K$304*(1+'Operating costs'!$B$53)^MAX(0,C3275-1)),"n.a."))</f>
        <v>0</v>
      </c>
      <c r="H3275" s="16">
        <f>IF(NOT(Paths!$C$304=1),0,IF(Paths!$P$304="Complete",F3275/12*(Paths!$L$304*(1+IF(Paths!$D$304="EV",'Operating costs'!$B$52,'Operating costs'!$B$51))^MAX(0,C3275-1)+Paths!$M$304*(1+'Operating costs'!$B$53)^MAX(0,C3275-1)),"n.a."))</f>
        <v>0</v>
      </c>
      <c r="I3275" s="16">
        <f>IF(NOT(Paths!$C$304=1),0,IF(Paths!$P$304="Complete",IF(IF(Paths!$E$304=0,C3275=0,AND(C3275&gt;0,Paths!$E$304&gt;(C3275-1)*12,Paths!$E$304&lt;=C3275*12)),Paths!$G$304,0),"n.a."))</f>
        <v>0</v>
      </c>
      <c r="J3275" s="16">
        <f>IF(NOT(Paths!$C$304=1),0,IF(Paths!$P$304="Complete",IF(IF(Paths!$E$304=0,C3275=0,AND(C3275&gt;0,Paths!$E$304&gt;(C3275-1)*12,Paths!$E$304&lt;=C3275*12)),Paths!$H$304,0),"n.a."))</f>
        <v>0</v>
      </c>
      <c r="K3275" s="16">
        <f>IF(NOT(Paths!$C$304=1),0,IF(Paths!$P$304="Complete",IF(IF(Paths!$O$304=0,C3275=0,AND(C3275&gt;0,Paths!$O$304&gt;(C3275-1)*12,Paths!$O$304&lt;=C3275*12)),Paths!$N$304,0),"n.a."))</f>
        <v>0</v>
      </c>
      <c r="L3275" s="16">
        <f>IF(NOT(Paths!$C$304=1),0,IF(Paths!$P$304="Complete",IF(C3275=10,Paths!$I$304,0),"n.a."))</f>
        <v>0</v>
      </c>
      <c r="M3275" s="16">
        <f>IF(NOT(Paths!$C$304=1),0,IF(Paths!$P$304="Complete",IF(AND(Paths!$D$304="EV",Paths!$E$304&lt;120,Paths!$E$304+'Operating costs'!$B$65&gt;Paths!$E$304,Paths!$E$304+'Operating costs'!$B$65&lt;=120,IF(Paths!$E$304+'Operating costs'!$B$65=0,C3275=0,AND(C3275&gt;0,Paths!$E$304+'Operating costs'!$B$65&gt;(C3275-1)*12,Paths!$E$304+'Operating costs'!$B$65&lt;=C3275*12))),'Operating costs'!$B$64,0)+IF(AND('Operating costs'!$B$67&gt;0,'Operating costs'!$B$67&lt;=120,OR(Paths!$D$304="ICE",'Operating costs'!$B$67&lt;=Paths!$E$304),IF('Operating costs'!$B$67=0,C3275=0,AND(C3275&gt;0,'Operating costs'!$B$67&gt;(C3275-1)*12,'Operating costs'!$B$67&lt;=C3275*12))),'Operating costs'!$B$66,0),"n.a."))</f>
        <v>0</v>
      </c>
      <c r="N3275" s="16">
        <f>IF(NOT(Paths!$C$304=1),0,IF(Paths!$P$304="Complete",SUM(G3275:I3275)-J3275-K3275-L3275+M3275+IF(C3275=0,Paths!$F$304,0)+IF(IF(Paths!$E$304=0,C3275=0,AND(C3275&gt;0,Paths!$E$304&gt;(C3275-1)*12,Paths!$E$304&lt;=C3275*12)),VLOOKUP(A3275,'Fleet register'!$A$7:$S$106,16,FALSE),0),"n.a."))</f>
        <v>0</v>
      </c>
      <c r="O3275" s="16">
        <f>IF(NOT(Paths!$C$304=1),0,IF(Paths!$P$304="Complete",N3275-IF(C3275=0,Paths!$F$304,0),"n.a."))</f>
        <v>0</v>
      </c>
      <c r="P3275" s="16">
        <f>IF(NOT(Paths!$C$304=1),0,IF(Paths!$P$304="Complete",O3275+L3275,"n.a."))</f>
        <v>0</v>
      </c>
      <c r="Q3275" s="16">
        <f>IF(NOT(Paths!$C$304=1),0,IF(Paths!$P$304="Complete",N3275*(1+'Operating costs'!$B$54)^-C3275,"n.a."))</f>
        <v>0</v>
      </c>
      <c r="R3275" s="16">
        <f>IF(NOT(Paths!$C$304=1),0,IF(Paths!$P$304="Complete",IF(AND(C3275=0,Paths!$E$304=0),I3275-J3275-K3275+VLOOKUP(A3275,'Fleet register'!$A$7:$S$106,15,FALSE)+VLOOKUP(A3275,'Fleet register'!$A$7:$S$106,16,FALSE),0),"n.a."))</f>
        <v>0</v>
      </c>
      <c r="S3275" s="1">
        <f>IF(NOT(Paths!$C$304=1),0,IF(Paths!$P$304="Complete",IF(C3275=0,0,Paths!$S$304*Paths!$R$304),"n.a."))</f>
        <v>0</v>
      </c>
      <c r="T3275" s="1">
        <f>IF(NOT(Paths!$C$304=1),0,IF(Paths!$P$304="Complete",IF(C3275=0,0,VLOOKUP(A3275,'Fleet register'!$A$7:$S$106,9,FALSE)*Paths!$R$304),"n.a."))</f>
        <v>0</v>
      </c>
    </row>
    <row r="3276" spans="1:20" ht="24" customHeight="1">
      <c r="A3276" s="1" t="str">
        <f>Paths!$A$304</f>
        <v>T075</v>
      </c>
      <c r="B3276" s="1">
        <f>Paths!$B$304</f>
        <v>1</v>
      </c>
      <c r="C3276" s="1">
        <v>2</v>
      </c>
      <c r="D3276" s="1">
        <v>304</v>
      </c>
      <c r="E3276" s="1">
        <f>IF(OR(Paths!$C$304=0,C3276=0),0,MAX(0,MIN(C3276*12,Paths!$E$304)-(C3276-1)*12))</f>
        <v>0</v>
      </c>
      <c r="F3276" s="1">
        <f>IF(OR(Paths!$C$304=0,C3276=0),0,12-E3276)</f>
        <v>0</v>
      </c>
      <c r="G3276" s="16">
        <f>IF(NOT(Paths!$C$304=1),0,IF(Paths!$P$304="Complete",E3276/12*(Paths!$J$304*(1+'Operating costs'!$B$51)^MAX(0,C3276-1)+Paths!$K$304*(1+'Operating costs'!$B$53)^MAX(0,C3276-1)),"n.a."))</f>
        <v>0</v>
      </c>
      <c r="H3276" s="16">
        <f>IF(NOT(Paths!$C$304=1),0,IF(Paths!$P$304="Complete",F3276/12*(Paths!$L$304*(1+IF(Paths!$D$304="EV",'Operating costs'!$B$52,'Operating costs'!$B$51))^MAX(0,C3276-1)+Paths!$M$304*(1+'Operating costs'!$B$53)^MAX(0,C3276-1)),"n.a."))</f>
        <v>0</v>
      </c>
      <c r="I3276" s="16">
        <f>IF(NOT(Paths!$C$304=1),0,IF(Paths!$P$304="Complete",IF(IF(Paths!$E$304=0,C3276=0,AND(C3276&gt;0,Paths!$E$304&gt;(C3276-1)*12,Paths!$E$304&lt;=C3276*12)),Paths!$G$304,0),"n.a."))</f>
        <v>0</v>
      </c>
      <c r="J3276" s="16">
        <f>IF(NOT(Paths!$C$304=1),0,IF(Paths!$P$304="Complete",IF(IF(Paths!$E$304=0,C3276=0,AND(C3276&gt;0,Paths!$E$304&gt;(C3276-1)*12,Paths!$E$304&lt;=C3276*12)),Paths!$H$304,0),"n.a."))</f>
        <v>0</v>
      </c>
      <c r="K3276" s="16">
        <f>IF(NOT(Paths!$C$304=1),0,IF(Paths!$P$304="Complete",IF(IF(Paths!$O$304=0,C3276=0,AND(C3276&gt;0,Paths!$O$304&gt;(C3276-1)*12,Paths!$O$304&lt;=C3276*12)),Paths!$N$304,0),"n.a."))</f>
        <v>0</v>
      </c>
      <c r="L3276" s="16">
        <f>IF(NOT(Paths!$C$304=1),0,IF(Paths!$P$304="Complete",IF(C3276=10,Paths!$I$304,0),"n.a."))</f>
        <v>0</v>
      </c>
      <c r="M3276" s="16">
        <f>IF(NOT(Paths!$C$304=1),0,IF(Paths!$P$304="Complete",IF(AND(Paths!$D$304="EV",Paths!$E$304&lt;120,Paths!$E$304+'Operating costs'!$B$65&gt;Paths!$E$304,Paths!$E$304+'Operating costs'!$B$65&lt;=120,IF(Paths!$E$304+'Operating costs'!$B$65=0,C3276=0,AND(C3276&gt;0,Paths!$E$304+'Operating costs'!$B$65&gt;(C3276-1)*12,Paths!$E$304+'Operating costs'!$B$65&lt;=C3276*12))),'Operating costs'!$B$64,0)+IF(AND('Operating costs'!$B$67&gt;0,'Operating costs'!$B$67&lt;=120,OR(Paths!$D$304="ICE",'Operating costs'!$B$67&lt;=Paths!$E$304),IF('Operating costs'!$B$67=0,C3276=0,AND(C3276&gt;0,'Operating costs'!$B$67&gt;(C3276-1)*12,'Operating costs'!$B$67&lt;=C3276*12))),'Operating costs'!$B$66,0),"n.a."))</f>
        <v>0</v>
      </c>
      <c r="N3276" s="16">
        <f>IF(NOT(Paths!$C$304=1),0,IF(Paths!$P$304="Complete",SUM(G3276:I3276)-J3276-K3276-L3276+M3276+IF(C3276=0,Paths!$F$304,0)+IF(IF(Paths!$E$304=0,C3276=0,AND(C3276&gt;0,Paths!$E$304&gt;(C3276-1)*12,Paths!$E$304&lt;=C3276*12)),VLOOKUP(A3276,'Fleet register'!$A$7:$S$106,16,FALSE),0),"n.a."))</f>
        <v>0</v>
      </c>
      <c r="O3276" s="16">
        <f>IF(NOT(Paths!$C$304=1),0,IF(Paths!$P$304="Complete",N3276-IF(C3276=0,Paths!$F$304,0),"n.a."))</f>
        <v>0</v>
      </c>
      <c r="P3276" s="16">
        <f>IF(NOT(Paths!$C$304=1),0,IF(Paths!$P$304="Complete",O3276+L3276,"n.a."))</f>
        <v>0</v>
      </c>
      <c r="Q3276" s="16">
        <f>IF(NOT(Paths!$C$304=1),0,IF(Paths!$P$304="Complete",N3276*(1+'Operating costs'!$B$54)^-C3276,"n.a."))</f>
        <v>0</v>
      </c>
      <c r="R3276" s="16">
        <f>IF(NOT(Paths!$C$304=1),0,IF(Paths!$P$304="Complete",IF(AND(C3276=0,Paths!$E$304=0),I3276-J3276-K3276+VLOOKUP(A3276,'Fleet register'!$A$7:$S$106,15,FALSE)+VLOOKUP(A3276,'Fleet register'!$A$7:$S$106,16,FALSE),0),"n.a."))</f>
        <v>0</v>
      </c>
      <c r="S3276" s="1">
        <f>IF(NOT(Paths!$C$304=1),0,IF(Paths!$P$304="Complete",IF(C3276=0,0,Paths!$S$304*Paths!$R$304),"n.a."))</f>
        <v>0</v>
      </c>
      <c r="T3276" s="1">
        <f>IF(NOT(Paths!$C$304=1),0,IF(Paths!$P$304="Complete",IF(C3276=0,0,VLOOKUP(A3276,'Fleet register'!$A$7:$S$106,9,FALSE)*Paths!$R$304),"n.a."))</f>
        <v>0</v>
      </c>
    </row>
    <row r="3277" spans="1:20" ht="24" customHeight="1">
      <c r="A3277" s="1" t="str">
        <f>Paths!$A$304</f>
        <v>T075</v>
      </c>
      <c r="B3277" s="1">
        <f>Paths!$B$304</f>
        <v>1</v>
      </c>
      <c r="C3277" s="1">
        <v>3</v>
      </c>
      <c r="D3277" s="1">
        <v>304</v>
      </c>
      <c r="E3277" s="1">
        <f>IF(OR(Paths!$C$304=0,C3277=0),0,MAX(0,MIN(C3277*12,Paths!$E$304)-(C3277-1)*12))</f>
        <v>0</v>
      </c>
      <c r="F3277" s="1">
        <f>IF(OR(Paths!$C$304=0,C3277=0),0,12-E3277)</f>
        <v>0</v>
      </c>
      <c r="G3277" s="16">
        <f>IF(NOT(Paths!$C$304=1),0,IF(Paths!$P$304="Complete",E3277/12*(Paths!$J$304*(1+'Operating costs'!$B$51)^MAX(0,C3277-1)+Paths!$K$304*(1+'Operating costs'!$B$53)^MAX(0,C3277-1)),"n.a."))</f>
        <v>0</v>
      </c>
      <c r="H3277" s="16">
        <f>IF(NOT(Paths!$C$304=1),0,IF(Paths!$P$304="Complete",F3277/12*(Paths!$L$304*(1+IF(Paths!$D$304="EV",'Operating costs'!$B$52,'Operating costs'!$B$51))^MAX(0,C3277-1)+Paths!$M$304*(1+'Operating costs'!$B$53)^MAX(0,C3277-1)),"n.a."))</f>
        <v>0</v>
      </c>
      <c r="I3277" s="16">
        <f>IF(NOT(Paths!$C$304=1),0,IF(Paths!$P$304="Complete",IF(IF(Paths!$E$304=0,C3277=0,AND(C3277&gt;0,Paths!$E$304&gt;(C3277-1)*12,Paths!$E$304&lt;=C3277*12)),Paths!$G$304,0),"n.a."))</f>
        <v>0</v>
      </c>
      <c r="J3277" s="16">
        <f>IF(NOT(Paths!$C$304=1),0,IF(Paths!$P$304="Complete",IF(IF(Paths!$E$304=0,C3277=0,AND(C3277&gt;0,Paths!$E$304&gt;(C3277-1)*12,Paths!$E$304&lt;=C3277*12)),Paths!$H$304,0),"n.a."))</f>
        <v>0</v>
      </c>
      <c r="K3277" s="16">
        <f>IF(NOT(Paths!$C$304=1),0,IF(Paths!$P$304="Complete",IF(IF(Paths!$O$304=0,C3277=0,AND(C3277&gt;0,Paths!$O$304&gt;(C3277-1)*12,Paths!$O$304&lt;=C3277*12)),Paths!$N$304,0),"n.a."))</f>
        <v>0</v>
      </c>
      <c r="L3277" s="16">
        <f>IF(NOT(Paths!$C$304=1),0,IF(Paths!$P$304="Complete",IF(C3277=10,Paths!$I$304,0),"n.a."))</f>
        <v>0</v>
      </c>
      <c r="M3277" s="16">
        <f>IF(NOT(Paths!$C$304=1),0,IF(Paths!$P$304="Complete",IF(AND(Paths!$D$304="EV",Paths!$E$304&lt;120,Paths!$E$304+'Operating costs'!$B$65&gt;Paths!$E$304,Paths!$E$304+'Operating costs'!$B$65&lt;=120,IF(Paths!$E$304+'Operating costs'!$B$65=0,C3277=0,AND(C3277&gt;0,Paths!$E$304+'Operating costs'!$B$65&gt;(C3277-1)*12,Paths!$E$304+'Operating costs'!$B$65&lt;=C3277*12))),'Operating costs'!$B$64,0)+IF(AND('Operating costs'!$B$67&gt;0,'Operating costs'!$B$67&lt;=120,OR(Paths!$D$304="ICE",'Operating costs'!$B$67&lt;=Paths!$E$304),IF('Operating costs'!$B$67=0,C3277=0,AND(C3277&gt;0,'Operating costs'!$B$67&gt;(C3277-1)*12,'Operating costs'!$B$67&lt;=C3277*12))),'Operating costs'!$B$66,0),"n.a."))</f>
        <v>0</v>
      </c>
      <c r="N3277" s="16">
        <f>IF(NOT(Paths!$C$304=1),0,IF(Paths!$P$304="Complete",SUM(G3277:I3277)-J3277-K3277-L3277+M3277+IF(C3277=0,Paths!$F$304,0)+IF(IF(Paths!$E$304=0,C3277=0,AND(C3277&gt;0,Paths!$E$304&gt;(C3277-1)*12,Paths!$E$304&lt;=C3277*12)),VLOOKUP(A3277,'Fleet register'!$A$7:$S$106,16,FALSE),0),"n.a."))</f>
        <v>0</v>
      </c>
      <c r="O3277" s="16">
        <f>IF(NOT(Paths!$C$304=1),0,IF(Paths!$P$304="Complete",N3277-IF(C3277=0,Paths!$F$304,0),"n.a."))</f>
        <v>0</v>
      </c>
      <c r="P3277" s="16">
        <f>IF(NOT(Paths!$C$304=1),0,IF(Paths!$P$304="Complete",O3277+L3277,"n.a."))</f>
        <v>0</v>
      </c>
      <c r="Q3277" s="16">
        <f>IF(NOT(Paths!$C$304=1),0,IF(Paths!$P$304="Complete",N3277*(1+'Operating costs'!$B$54)^-C3277,"n.a."))</f>
        <v>0</v>
      </c>
      <c r="R3277" s="16">
        <f>IF(NOT(Paths!$C$304=1),0,IF(Paths!$P$304="Complete",IF(AND(C3277=0,Paths!$E$304=0),I3277-J3277-K3277+VLOOKUP(A3277,'Fleet register'!$A$7:$S$106,15,FALSE)+VLOOKUP(A3277,'Fleet register'!$A$7:$S$106,16,FALSE),0),"n.a."))</f>
        <v>0</v>
      </c>
      <c r="S3277" s="1">
        <f>IF(NOT(Paths!$C$304=1),0,IF(Paths!$P$304="Complete",IF(C3277=0,0,Paths!$S$304*Paths!$R$304),"n.a."))</f>
        <v>0</v>
      </c>
      <c r="T3277" s="1">
        <f>IF(NOT(Paths!$C$304=1),0,IF(Paths!$P$304="Complete",IF(C3277=0,0,VLOOKUP(A3277,'Fleet register'!$A$7:$S$106,9,FALSE)*Paths!$R$304),"n.a."))</f>
        <v>0</v>
      </c>
    </row>
    <row r="3278" spans="1:20" ht="24" customHeight="1">
      <c r="A3278" s="1" t="str">
        <f>Paths!$A$304</f>
        <v>T075</v>
      </c>
      <c r="B3278" s="1">
        <f>Paths!$B$304</f>
        <v>1</v>
      </c>
      <c r="C3278" s="1">
        <v>4</v>
      </c>
      <c r="D3278" s="1">
        <v>304</v>
      </c>
      <c r="E3278" s="1">
        <f>IF(OR(Paths!$C$304=0,C3278=0),0,MAX(0,MIN(C3278*12,Paths!$E$304)-(C3278-1)*12))</f>
        <v>0</v>
      </c>
      <c r="F3278" s="1">
        <f>IF(OR(Paths!$C$304=0,C3278=0),0,12-E3278)</f>
        <v>0</v>
      </c>
      <c r="G3278" s="16">
        <f>IF(NOT(Paths!$C$304=1),0,IF(Paths!$P$304="Complete",E3278/12*(Paths!$J$304*(1+'Operating costs'!$B$51)^MAX(0,C3278-1)+Paths!$K$304*(1+'Operating costs'!$B$53)^MAX(0,C3278-1)),"n.a."))</f>
        <v>0</v>
      </c>
      <c r="H3278" s="16">
        <f>IF(NOT(Paths!$C$304=1),0,IF(Paths!$P$304="Complete",F3278/12*(Paths!$L$304*(1+IF(Paths!$D$304="EV",'Operating costs'!$B$52,'Operating costs'!$B$51))^MAX(0,C3278-1)+Paths!$M$304*(1+'Operating costs'!$B$53)^MAX(0,C3278-1)),"n.a."))</f>
        <v>0</v>
      </c>
      <c r="I3278" s="16">
        <f>IF(NOT(Paths!$C$304=1),0,IF(Paths!$P$304="Complete",IF(IF(Paths!$E$304=0,C3278=0,AND(C3278&gt;0,Paths!$E$304&gt;(C3278-1)*12,Paths!$E$304&lt;=C3278*12)),Paths!$G$304,0),"n.a."))</f>
        <v>0</v>
      </c>
      <c r="J3278" s="16">
        <f>IF(NOT(Paths!$C$304=1),0,IF(Paths!$P$304="Complete",IF(IF(Paths!$E$304=0,C3278=0,AND(C3278&gt;0,Paths!$E$304&gt;(C3278-1)*12,Paths!$E$304&lt;=C3278*12)),Paths!$H$304,0),"n.a."))</f>
        <v>0</v>
      </c>
      <c r="K3278" s="16">
        <f>IF(NOT(Paths!$C$304=1),0,IF(Paths!$P$304="Complete",IF(IF(Paths!$O$304=0,C3278=0,AND(C3278&gt;0,Paths!$O$304&gt;(C3278-1)*12,Paths!$O$304&lt;=C3278*12)),Paths!$N$304,0),"n.a."))</f>
        <v>0</v>
      </c>
      <c r="L3278" s="16">
        <f>IF(NOT(Paths!$C$304=1),0,IF(Paths!$P$304="Complete",IF(C3278=10,Paths!$I$304,0),"n.a."))</f>
        <v>0</v>
      </c>
      <c r="M3278" s="16">
        <f>IF(NOT(Paths!$C$304=1),0,IF(Paths!$P$304="Complete",IF(AND(Paths!$D$304="EV",Paths!$E$304&lt;120,Paths!$E$304+'Operating costs'!$B$65&gt;Paths!$E$304,Paths!$E$304+'Operating costs'!$B$65&lt;=120,IF(Paths!$E$304+'Operating costs'!$B$65=0,C3278=0,AND(C3278&gt;0,Paths!$E$304+'Operating costs'!$B$65&gt;(C3278-1)*12,Paths!$E$304+'Operating costs'!$B$65&lt;=C3278*12))),'Operating costs'!$B$64,0)+IF(AND('Operating costs'!$B$67&gt;0,'Operating costs'!$B$67&lt;=120,OR(Paths!$D$304="ICE",'Operating costs'!$B$67&lt;=Paths!$E$304),IF('Operating costs'!$B$67=0,C3278=0,AND(C3278&gt;0,'Operating costs'!$B$67&gt;(C3278-1)*12,'Operating costs'!$B$67&lt;=C3278*12))),'Operating costs'!$B$66,0),"n.a."))</f>
        <v>0</v>
      </c>
      <c r="N3278" s="16">
        <f>IF(NOT(Paths!$C$304=1),0,IF(Paths!$P$304="Complete",SUM(G3278:I3278)-J3278-K3278-L3278+M3278+IF(C3278=0,Paths!$F$304,0)+IF(IF(Paths!$E$304=0,C3278=0,AND(C3278&gt;0,Paths!$E$304&gt;(C3278-1)*12,Paths!$E$304&lt;=C3278*12)),VLOOKUP(A3278,'Fleet register'!$A$7:$S$106,16,FALSE),0),"n.a."))</f>
        <v>0</v>
      </c>
      <c r="O3278" s="16">
        <f>IF(NOT(Paths!$C$304=1),0,IF(Paths!$P$304="Complete",N3278-IF(C3278=0,Paths!$F$304,0),"n.a."))</f>
        <v>0</v>
      </c>
      <c r="P3278" s="16">
        <f>IF(NOT(Paths!$C$304=1),0,IF(Paths!$P$304="Complete",O3278+L3278,"n.a."))</f>
        <v>0</v>
      </c>
      <c r="Q3278" s="16">
        <f>IF(NOT(Paths!$C$304=1),0,IF(Paths!$P$304="Complete",N3278*(1+'Operating costs'!$B$54)^-C3278,"n.a."))</f>
        <v>0</v>
      </c>
      <c r="R3278" s="16">
        <f>IF(NOT(Paths!$C$304=1),0,IF(Paths!$P$304="Complete",IF(AND(C3278=0,Paths!$E$304=0),I3278-J3278-K3278+VLOOKUP(A3278,'Fleet register'!$A$7:$S$106,15,FALSE)+VLOOKUP(A3278,'Fleet register'!$A$7:$S$106,16,FALSE),0),"n.a."))</f>
        <v>0</v>
      </c>
      <c r="S3278" s="1">
        <f>IF(NOT(Paths!$C$304=1),0,IF(Paths!$P$304="Complete",IF(C3278=0,0,Paths!$S$304*Paths!$R$304),"n.a."))</f>
        <v>0</v>
      </c>
      <c r="T3278" s="1">
        <f>IF(NOT(Paths!$C$304=1),0,IF(Paths!$P$304="Complete",IF(C3278=0,0,VLOOKUP(A3278,'Fleet register'!$A$7:$S$106,9,FALSE)*Paths!$R$304),"n.a."))</f>
        <v>0</v>
      </c>
    </row>
    <row r="3279" spans="1:20" ht="24" customHeight="1">
      <c r="A3279" s="1" t="str">
        <f>Paths!$A$304</f>
        <v>T075</v>
      </c>
      <c r="B3279" s="1">
        <f>Paths!$B$304</f>
        <v>1</v>
      </c>
      <c r="C3279" s="1">
        <v>5</v>
      </c>
      <c r="D3279" s="1">
        <v>304</v>
      </c>
      <c r="E3279" s="1">
        <f>IF(OR(Paths!$C$304=0,C3279=0),0,MAX(0,MIN(C3279*12,Paths!$E$304)-(C3279-1)*12))</f>
        <v>0</v>
      </c>
      <c r="F3279" s="1">
        <f>IF(OR(Paths!$C$304=0,C3279=0),0,12-E3279)</f>
        <v>0</v>
      </c>
      <c r="G3279" s="16">
        <f>IF(NOT(Paths!$C$304=1),0,IF(Paths!$P$304="Complete",E3279/12*(Paths!$J$304*(1+'Operating costs'!$B$51)^MAX(0,C3279-1)+Paths!$K$304*(1+'Operating costs'!$B$53)^MAX(0,C3279-1)),"n.a."))</f>
        <v>0</v>
      </c>
      <c r="H3279" s="16">
        <f>IF(NOT(Paths!$C$304=1),0,IF(Paths!$P$304="Complete",F3279/12*(Paths!$L$304*(1+IF(Paths!$D$304="EV",'Operating costs'!$B$52,'Operating costs'!$B$51))^MAX(0,C3279-1)+Paths!$M$304*(1+'Operating costs'!$B$53)^MAX(0,C3279-1)),"n.a."))</f>
        <v>0</v>
      </c>
      <c r="I3279" s="16">
        <f>IF(NOT(Paths!$C$304=1),0,IF(Paths!$P$304="Complete",IF(IF(Paths!$E$304=0,C3279=0,AND(C3279&gt;0,Paths!$E$304&gt;(C3279-1)*12,Paths!$E$304&lt;=C3279*12)),Paths!$G$304,0),"n.a."))</f>
        <v>0</v>
      </c>
      <c r="J3279" s="16">
        <f>IF(NOT(Paths!$C$304=1),0,IF(Paths!$P$304="Complete",IF(IF(Paths!$E$304=0,C3279=0,AND(C3279&gt;0,Paths!$E$304&gt;(C3279-1)*12,Paths!$E$304&lt;=C3279*12)),Paths!$H$304,0),"n.a."))</f>
        <v>0</v>
      </c>
      <c r="K3279" s="16">
        <f>IF(NOT(Paths!$C$304=1),0,IF(Paths!$P$304="Complete",IF(IF(Paths!$O$304=0,C3279=0,AND(C3279&gt;0,Paths!$O$304&gt;(C3279-1)*12,Paths!$O$304&lt;=C3279*12)),Paths!$N$304,0),"n.a."))</f>
        <v>0</v>
      </c>
      <c r="L3279" s="16">
        <f>IF(NOT(Paths!$C$304=1),0,IF(Paths!$P$304="Complete",IF(C3279=10,Paths!$I$304,0),"n.a."))</f>
        <v>0</v>
      </c>
      <c r="M3279" s="16">
        <f>IF(NOT(Paths!$C$304=1),0,IF(Paths!$P$304="Complete",IF(AND(Paths!$D$304="EV",Paths!$E$304&lt;120,Paths!$E$304+'Operating costs'!$B$65&gt;Paths!$E$304,Paths!$E$304+'Operating costs'!$B$65&lt;=120,IF(Paths!$E$304+'Operating costs'!$B$65=0,C3279=0,AND(C3279&gt;0,Paths!$E$304+'Operating costs'!$B$65&gt;(C3279-1)*12,Paths!$E$304+'Operating costs'!$B$65&lt;=C3279*12))),'Operating costs'!$B$64,0)+IF(AND('Operating costs'!$B$67&gt;0,'Operating costs'!$B$67&lt;=120,OR(Paths!$D$304="ICE",'Operating costs'!$B$67&lt;=Paths!$E$304),IF('Operating costs'!$B$67=0,C3279=0,AND(C3279&gt;0,'Operating costs'!$B$67&gt;(C3279-1)*12,'Operating costs'!$B$67&lt;=C3279*12))),'Operating costs'!$B$66,0),"n.a."))</f>
        <v>0</v>
      </c>
      <c r="N3279" s="16">
        <f>IF(NOT(Paths!$C$304=1),0,IF(Paths!$P$304="Complete",SUM(G3279:I3279)-J3279-K3279-L3279+M3279+IF(C3279=0,Paths!$F$304,0)+IF(IF(Paths!$E$304=0,C3279=0,AND(C3279&gt;0,Paths!$E$304&gt;(C3279-1)*12,Paths!$E$304&lt;=C3279*12)),VLOOKUP(A3279,'Fleet register'!$A$7:$S$106,16,FALSE),0),"n.a."))</f>
        <v>0</v>
      </c>
      <c r="O3279" s="16">
        <f>IF(NOT(Paths!$C$304=1),0,IF(Paths!$P$304="Complete",N3279-IF(C3279=0,Paths!$F$304,0),"n.a."))</f>
        <v>0</v>
      </c>
      <c r="P3279" s="16">
        <f>IF(NOT(Paths!$C$304=1),0,IF(Paths!$P$304="Complete",O3279+L3279,"n.a."))</f>
        <v>0</v>
      </c>
      <c r="Q3279" s="16">
        <f>IF(NOT(Paths!$C$304=1),0,IF(Paths!$P$304="Complete",N3279*(1+'Operating costs'!$B$54)^-C3279,"n.a."))</f>
        <v>0</v>
      </c>
      <c r="R3279" s="16">
        <f>IF(NOT(Paths!$C$304=1),0,IF(Paths!$P$304="Complete",IF(AND(C3279=0,Paths!$E$304=0),I3279-J3279-K3279+VLOOKUP(A3279,'Fleet register'!$A$7:$S$106,15,FALSE)+VLOOKUP(A3279,'Fleet register'!$A$7:$S$106,16,FALSE),0),"n.a."))</f>
        <v>0</v>
      </c>
      <c r="S3279" s="1">
        <f>IF(NOT(Paths!$C$304=1),0,IF(Paths!$P$304="Complete",IF(C3279=0,0,Paths!$S$304*Paths!$R$304),"n.a."))</f>
        <v>0</v>
      </c>
      <c r="T3279" s="1">
        <f>IF(NOT(Paths!$C$304=1),0,IF(Paths!$P$304="Complete",IF(C3279=0,0,VLOOKUP(A3279,'Fleet register'!$A$7:$S$106,9,FALSE)*Paths!$R$304),"n.a."))</f>
        <v>0</v>
      </c>
    </row>
    <row r="3280" spans="1:20" ht="24" customHeight="1">
      <c r="A3280" s="1" t="str">
        <f>Paths!$A$304</f>
        <v>T075</v>
      </c>
      <c r="B3280" s="1">
        <f>Paths!$B$304</f>
        <v>1</v>
      </c>
      <c r="C3280" s="1">
        <v>6</v>
      </c>
      <c r="D3280" s="1">
        <v>304</v>
      </c>
      <c r="E3280" s="1">
        <f>IF(OR(Paths!$C$304=0,C3280=0),0,MAX(0,MIN(C3280*12,Paths!$E$304)-(C3280-1)*12))</f>
        <v>0</v>
      </c>
      <c r="F3280" s="1">
        <f>IF(OR(Paths!$C$304=0,C3280=0),0,12-E3280)</f>
        <v>0</v>
      </c>
      <c r="G3280" s="16">
        <f>IF(NOT(Paths!$C$304=1),0,IF(Paths!$P$304="Complete",E3280/12*(Paths!$J$304*(1+'Operating costs'!$B$51)^MAX(0,C3280-1)+Paths!$K$304*(1+'Operating costs'!$B$53)^MAX(0,C3280-1)),"n.a."))</f>
        <v>0</v>
      </c>
      <c r="H3280" s="16">
        <f>IF(NOT(Paths!$C$304=1),0,IF(Paths!$P$304="Complete",F3280/12*(Paths!$L$304*(1+IF(Paths!$D$304="EV",'Operating costs'!$B$52,'Operating costs'!$B$51))^MAX(0,C3280-1)+Paths!$M$304*(1+'Operating costs'!$B$53)^MAX(0,C3280-1)),"n.a."))</f>
        <v>0</v>
      </c>
      <c r="I3280" s="16">
        <f>IF(NOT(Paths!$C$304=1),0,IF(Paths!$P$304="Complete",IF(IF(Paths!$E$304=0,C3280=0,AND(C3280&gt;0,Paths!$E$304&gt;(C3280-1)*12,Paths!$E$304&lt;=C3280*12)),Paths!$G$304,0),"n.a."))</f>
        <v>0</v>
      </c>
      <c r="J3280" s="16">
        <f>IF(NOT(Paths!$C$304=1),0,IF(Paths!$P$304="Complete",IF(IF(Paths!$E$304=0,C3280=0,AND(C3280&gt;0,Paths!$E$304&gt;(C3280-1)*12,Paths!$E$304&lt;=C3280*12)),Paths!$H$304,0),"n.a."))</f>
        <v>0</v>
      </c>
      <c r="K3280" s="16">
        <f>IF(NOT(Paths!$C$304=1),0,IF(Paths!$P$304="Complete",IF(IF(Paths!$O$304=0,C3280=0,AND(C3280&gt;0,Paths!$O$304&gt;(C3280-1)*12,Paths!$O$304&lt;=C3280*12)),Paths!$N$304,0),"n.a."))</f>
        <v>0</v>
      </c>
      <c r="L3280" s="16">
        <f>IF(NOT(Paths!$C$304=1),0,IF(Paths!$P$304="Complete",IF(C3280=10,Paths!$I$304,0),"n.a."))</f>
        <v>0</v>
      </c>
      <c r="M3280" s="16">
        <f>IF(NOT(Paths!$C$304=1),0,IF(Paths!$P$304="Complete",IF(AND(Paths!$D$304="EV",Paths!$E$304&lt;120,Paths!$E$304+'Operating costs'!$B$65&gt;Paths!$E$304,Paths!$E$304+'Operating costs'!$B$65&lt;=120,IF(Paths!$E$304+'Operating costs'!$B$65=0,C3280=0,AND(C3280&gt;0,Paths!$E$304+'Operating costs'!$B$65&gt;(C3280-1)*12,Paths!$E$304+'Operating costs'!$B$65&lt;=C3280*12))),'Operating costs'!$B$64,0)+IF(AND('Operating costs'!$B$67&gt;0,'Operating costs'!$B$67&lt;=120,OR(Paths!$D$304="ICE",'Operating costs'!$B$67&lt;=Paths!$E$304),IF('Operating costs'!$B$67=0,C3280=0,AND(C3280&gt;0,'Operating costs'!$B$67&gt;(C3280-1)*12,'Operating costs'!$B$67&lt;=C3280*12))),'Operating costs'!$B$66,0),"n.a."))</f>
        <v>0</v>
      </c>
      <c r="N3280" s="16">
        <f>IF(NOT(Paths!$C$304=1),0,IF(Paths!$P$304="Complete",SUM(G3280:I3280)-J3280-K3280-L3280+M3280+IF(C3280=0,Paths!$F$304,0)+IF(IF(Paths!$E$304=0,C3280=0,AND(C3280&gt;0,Paths!$E$304&gt;(C3280-1)*12,Paths!$E$304&lt;=C3280*12)),VLOOKUP(A3280,'Fleet register'!$A$7:$S$106,16,FALSE),0),"n.a."))</f>
        <v>0</v>
      </c>
      <c r="O3280" s="16">
        <f>IF(NOT(Paths!$C$304=1),0,IF(Paths!$P$304="Complete",N3280-IF(C3280=0,Paths!$F$304,0),"n.a."))</f>
        <v>0</v>
      </c>
      <c r="P3280" s="16">
        <f>IF(NOT(Paths!$C$304=1),0,IF(Paths!$P$304="Complete",O3280+L3280,"n.a."))</f>
        <v>0</v>
      </c>
      <c r="Q3280" s="16">
        <f>IF(NOT(Paths!$C$304=1),0,IF(Paths!$P$304="Complete",N3280*(1+'Operating costs'!$B$54)^-C3280,"n.a."))</f>
        <v>0</v>
      </c>
      <c r="R3280" s="16">
        <f>IF(NOT(Paths!$C$304=1),0,IF(Paths!$P$304="Complete",IF(AND(C3280=0,Paths!$E$304=0),I3280-J3280-K3280+VLOOKUP(A3280,'Fleet register'!$A$7:$S$106,15,FALSE)+VLOOKUP(A3280,'Fleet register'!$A$7:$S$106,16,FALSE),0),"n.a."))</f>
        <v>0</v>
      </c>
      <c r="S3280" s="1">
        <f>IF(NOT(Paths!$C$304=1),0,IF(Paths!$P$304="Complete",IF(C3280=0,0,Paths!$S$304*Paths!$R$304),"n.a."))</f>
        <v>0</v>
      </c>
      <c r="T3280" s="1">
        <f>IF(NOT(Paths!$C$304=1),0,IF(Paths!$P$304="Complete",IF(C3280=0,0,VLOOKUP(A3280,'Fleet register'!$A$7:$S$106,9,FALSE)*Paths!$R$304),"n.a."))</f>
        <v>0</v>
      </c>
    </row>
    <row r="3281" spans="1:20" ht="24" customHeight="1">
      <c r="A3281" s="1" t="str">
        <f>Paths!$A$304</f>
        <v>T075</v>
      </c>
      <c r="B3281" s="1">
        <f>Paths!$B$304</f>
        <v>1</v>
      </c>
      <c r="C3281" s="1">
        <v>7</v>
      </c>
      <c r="D3281" s="1">
        <v>304</v>
      </c>
      <c r="E3281" s="1">
        <f>IF(OR(Paths!$C$304=0,C3281=0),0,MAX(0,MIN(C3281*12,Paths!$E$304)-(C3281-1)*12))</f>
        <v>0</v>
      </c>
      <c r="F3281" s="1">
        <f>IF(OR(Paths!$C$304=0,C3281=0),0,12-E3281)</f>
        <v>0</v>
      </c>
      <c r="G3281" s="16">
        <f>IF(NOT(Paths!$C$304=1),0,IF(Paths!$P$304="Complete",E3281/12*(Paths!$J$304*(1+'Operating costs'!$B$51)^MAX(0,C3281-1)+Paths!$K$304*(1+'Operating costs'!$B$53)^MAX(0,C3281-1)),"n.a."))</f>
        <v>0</v>
      </c>
      <c r="H3281" s="16">
        <f>IF(NOT(Paths!$C$304=1),0,IF(Paths!$P$304="Complete",F3281/12*(Paths!$L$304*(1+IF(Paths!$D$304="EV",'Operating costs'!$B$52,'Operating costs'!$B$51))^MAX(0,C3281-1)+Paths!$M$304*(1+'Operating costs'!$B$53)^MAX(0,C3281-1)),"n.a."))</f>
        <v>0</v>
      </c>
      <c r="I3281" s="16">
        <f>IF(NOT(Paths!$C$304=1),0,IF(Paths!$P$304="Complete",IF(IF(Paths!$E$304=0,C3281=0,AND(C3281&gt;0,Paths!$E$304&gt;(C3281-1)*12,Paths!$E$304&lt;=C3281*12)),Paths!$G$304,0),"n.a."))</f>
        <v>0</v>
      </c>
      <c r="J3281" s="16">
        <f>IF(NOT(Paths!$C$304=1),0,IF(Paths!$P$304="Complete",IF(IF(Paths!$E$304=0,C3281=0,AND(C3281&gt;0,Paths!$E$304&gt;(C3281-1)*12,Paths!$E$304&lt;=C3281*12)),Paths!$H$304,0),"n.a."))</f>
        <v>0</v>
      </c>
      <c r="K3281" s="16">
        <f>IF(NOT(Paths!$C$304=1),0,IF(Paths!$P$304="Complete",IF(IF(Paths!$O$304=0,C3281=0,AND(C3281&gt;0,Paths!$O$304&gt;(C3281-1)*12,Paths!$O$304&lt;=C3281*12)),Paths!$N$304,0),"n.a."))</f>
        <v>0</v>
      </c>
      <c r="L3281" s="16">
        <f>IF(NOT(Paths!$C$304=1),0,IF(Paths!$P$304="Complete",IF(C3281=10,Paths!$I$304,0),"n.a."))</f>
        <v>0</v>
      </c>
      <c r="M3281" s="16">
        <f>IF(NOT(Paths!$C$304=1),0,IF(Paths!$P$304="Complete",IF(AND(Paths!$D$304="EV",Paths!$E$304&lt;120,Paths!$E$304+'Operating costs'!$B$65&gt;Paths!$E$304,Paths!$E$304+'Operating costs'!$B$65&lt;=120,IF(Paths!$E$304+'Operating costs'!$B$65=0,C3281=0,AND(C3281&gt;0,Paths!$E$304+'Operating costs'!$B$65&gt;(C3281-1)*12,Paths!$E$304+'Operating costs'!$B$65&lt;=C3281*12))),'Operating costs'!$B$64,0)+IF(AND('Operating costs'!$B$67&gt;0,'Operating costs'!$B$67&lt;=120,OR(Paths!$D$304="ICE",'Operating costs'!$B$67&lt;=Paths!$E$304),IF('Operating costs'!$B$67=0,C3281=0,AND(C3281&gt;0,'Operating costs'!$B$67&gt;(C3281-1)*12,'Operating costs'!$B$67&lt;=C3281*12))),'Operating costs'!$B$66,0),"n.a."))</f>
        <v>0</v>
      </c>
      <c r="N3281" s="16">
        <f>IF(NOT(Paths!$C$304=1),0,IF(Paths!$P$304="Complete",SUM(G3281:I3281)-J3281-K3281-L3281+M3281+IF(C3281=0,Paths!$F$304,0)+IF(IF(Paths!$E$304=0,C3281=0,AND(C3281&gt;0,Paths!$E$304&gt;(C3281-1)*12,Paths!$E$304&lt;=C3281*12)),VLOOKUP(A3281,'Fleet register'!$A$7:$S$106,16,FALSE),0),"n.a."))</f>
        <v>0</v>
      </c>
      <c r="O3281" s="16">
        <f>IF(NOT(Paths!$C$304=1),0,IF(Paths!$P$304="Complete",N3281-IF(C3281=0,Paths!$F$304,0),"n.a."))</f>
        <v>0</v>
      </c>
      <c r="P3281" s="16">
        <f>IF(NOT(Paths!$C$304=1),0,IF(Paths!$P$304="Complete",O3281+L3281,"n.a."))</f>
        <v>0</v>
      </c>
      <c r="Q3281" s="16">
        <f>IF(NOT(Paths!$C$304=1),0,IF(Paths!$P$304="Complete",N3281*(1+'Operating costs'!$B$54)^-C3281,"n.a."))</f>
        <v>0</v>
      </c>
      <c r="R3281" s="16">
        <f>IF(NOT(Paths!$C$304=1),0,IF(Paths!$P$304="Complete",IF(AND(C3281=0,Paths!$E$304=0),I3281-J3281-K3281+VLOOKUP(A3281,'Fleet register'!$A$7:$S$106,15,FALSE)+VLOOKUP(A3281,'Fleet register'!$A$7:$S$106,16,FALSE),0),"n.a."))</f>
        <v>0</v>
      </c>
      <c r="S3281" s="1">
        <f>IF(NOT(Paths!$C$304=1),0,IF(Paths!$P$304="Complete",IF(C3281=0,0,Paths!$S$304*Paths!$R$304),"n.a."))</f>
        <v>0</v>
      </c>
      <c r="T3281" s="1">
        <f>IF(NOT(Paths!$C$304=1),0,IF(Paths!$P$304="Complete",IF(C3281=0,0,VLOOKUP(A3281,'Fleet register'!$A$7:$S$106,9,FALSE)*Paths!$R$304),"n.a."))</f>
        <v>0</v>
      </c>
    </row>
    <row r="3282" spans="1:20" ht="24" customHeight="1">
      <c r="A3282" s="1" t="str">
        <f>Paths!$A$304</f>
        <v>T075</v>
      </c>
      <c r="B3282" s="1">
        <f>Paths!$B$304</f>
        <v>1</v>
      </c>
      <c r="C3282" s="1">
        <v>8</v>
      </c>
      <c r="D3282" s="1">
        <v>304</v>
      </c>
      <c r="E3282" s="1">
        <f>IF(OR(Paths!$C$304=0,C3282=0),0,MAX(0,MIN(C3282*12,Paths!$E$304)-(C3282-1)*12))</f>
        <v>0</v>
      </c>
      <c r="F3282" s="1">
        <f>IF(OR(Paths!$C$304=0,C3282=0),0,12-E3282)</f>
        <v>0</v>
      </c>
      <c r="G3282" s="16">
        <f>IF(NOT(Paths!$C$304=1),0,IF(Paths!$P$304="Complete",E3282/12*(Paths!$J$304*(1+'Operating costs'!$B$51)^MAX(0,C3282-1)+Paths!$K$304*(1+'Operating costs'!$B$53)^MAX(0,C3282-1)),"n.a."))</f>
        <v>0</v>
      </c>
      <c r="H3282" s="16">
        <f>IF(NOT(Paths!$C$304=1),0,IF(Paths!$P$304="Complete",F3282/12*(Paths!$L$304*(1+IF(Paths!$D$304="EV",'Operating costs'!$B$52,'Operating costs'!$B$51))^MAX(0,C3282-1)+Paths!$M$304*(1+'Operating costs'!$B$53)^MAX(0,C3282-1)),"n.a."))</f>
        <v>0</v>
      </c>
      <c r="I3282" s="16">
        <f>IF(NOT(Paths!$C$304=1),0,IF(Paths!$P$304="Complete",IF(IF(Paths!$E$304=0,C3282=0,AND(C3282&gt;0,Paths!$E$304&gt;(C3282-1)*12,Paths!$E$304&lt;=C3282*12)),Paths!$G$304,0),"n.a."))</f>
        <v>0</v>
      </c>
      <c r="J3282" s="16">
        <f>IF(NOT(Paths!$C$304=1),0,IF(Paths!$P$304="Complete",IF(IF(Paths!$E$304=0,C3282=0,AND(C3282&gt;0,Paths!$E$304&gt;(C3282-1)*12,Paths!$E$304&lt;=C3282*12)),Paths!$H$304,0),"n.a."))</f>
        <v>0</v>
      </c>
      <c r="K3282" s="16">
        <f>IF(NOT(Paths!$C$304=1),0,IF(Paths!$P$304="Complete",IF(IF(Paths!$O$304=0,C3282=0,AND(C3282&gt;0,Paths!$O$304&gt;(C3282-1)*12,Paths!$O$304&lt;=C3282*12)),Paths!$N$304,0),"n.a."))</f>
        <v>0</v>
      </c>
      <c r="L3282" s="16">
        <f>IF(NOT(Paths!$C$304=1),0,IF(Paths!$P$304="Complete",IF(C3282=10,Paths!$I$304,0),"n.a."))</f>
        <v>0</v>
      </c>
      <c r="M3282" s="16">
        <f>IF(NOT(Paths!$C$304=1),0,IF(Paths!$P$304="Complete",IF(AND(Paths!$D$304="EV",Paths!$E$304&lt;120,Paths!$E$304+'Operating costs'!$B$65&gt;Paths!$E$304,Paths!$E$304+'Operating costs'!$B$65&lt;=120,IF(Paths!$E$304+'Operating costs'!$B$65=0,C3282=0,AND(C3282&gt;0,Paths!$E$304+'Operating costs'!$B$65&gt;(C3282-1)*12,Paths!$E$304+'Operating costs'!$B$65&lt;=C3282*12))),'Operating costs'!$B$64,0)+IF(AND('Operating costs'!$B$67&gt;0,'Operating costs'!$B$67&lt;=120,OR(Paths!$D$304="ICE",'Operating costs'!$B$67&lt;=Paths!$E$304),IF('Operating costs'!$B$67=0,C3282=0,AND(C3282&gt;0,'Operating costs'!$B$67&gt;(C3282-1)*12,'Operating costs'!$B$67&lt;=C3282*12))),'Operating costs'!$B$66,0),"n.a."))</f>
        <v>0</v>
      </c>
      <c r="N3282" s="16">
        <f>IF(NOT(Paths!$C$304=1),0,IF(Paths!$P$304="Complete",SUM(G3282:I3282)-J3282-K3282-L3282+M3282+IF(C3282=0,Paths!$F$304,0)+IF(IF(Paths!$E$304=0,C3282=0,AND(C3282&gt;0,Paths!$E$304&gt;(C3282-1)*12,Paths!$E$304&lt;=C3282*12)),VLOOKUP(A3282,'Fleet register'!$A$7:$S$106,16,FALSE),0),"n.a."))</f>
        <v>0</v>
      </c>
      <c r="O3282" s="16">
        <f>IF(NOT(Paths!$C$304=1),0,IF(Paths!$P$304="Complete",N3282-IF(C3282=0,Paths!$F$304,0),"n.a."))</f>
        <v>0</v>
      </c>
      <c r="P3282" s="16">
        <f>IF(NOT(Paths!$C$304=1),0,IF(Paths!$P$304="Complete",O3282+L3282,"n.a."))</f>
        <v>0</v>
      </c>
      <c r="Q3282" s="16">
        <f>IF(NOT(Paths!$C$304=1),0,IF(Paths!$P$304="Complete",N3282*(1+'Operating costs'!$B$54)^-C3282,"n.a."))</f>
        <v>0</v>
      </c>
      <c r="R3282" s="16">
        <f>IF(NOT(Paths!$C$304=1),0,IF(Paths!$P$304="Complete",IF(AND(C3282=0,Paths!$E$304=0),I3282-J3282-K3282+VLOOKUP(A3282,'Fleet register'!$A$7:$S$106,15,FALSE)+VLOOKUP(A3282,'Fleet register'!$A$7:$S$106,16,FALSE),0),"n.a."))</f>
        <v>0</v>
      </c>
      <c r="S3282" s="1">
        <f>IF(NOT(Paths!$C$304=1),0,IF(Paths!$P$304="Complete",IF(C3282=0,0,Paths!$S$304*Paths!$R$304),"n.a."))</f>
        <v>0</v>
      </c>
      <c r="T3282" s="1">
        <f>IF(NOT(Paths!$C$304=1),0,IF(Paths!$P$304="Complete",IF(C3282=0,0,VLOOKUP(A3282,'Fleet register'!$A$7:$S$106,9,FALSE)*Paths!$R$304),"n.a."))</f>
        <v>0</v>
      </c>
    </row>
    <row r="3283" spans="1:20" ht="24" customHeight="1">
      <c r="A3283" s="1" t="str">
        <f>Paths!$A$304</f>
        <v>T075</v>
      </c>
      <c r="B3283" s="1">
        <f>Paths!$B$304</f>
        <v>1</v>
      </c>
      <c r="C3283" s="1">
        <v>9</v>
      </c>
      <c r="D3283" s="1">
        <v>304</v>
      </c>
      <c r="E3283" s="1">
        <f>IF(OR(Paths!$C$304=0,C3283=0),0,MAX(0,MIN(C3283*12,Paths!$E$304)-(C3283-1)*12))</f>
        <v>0</v>
      </c>
      <c r="F3283" s="1">
        <f>IF(OR(Paths!$C$304=0,C3283=0),0,12-E3283)</f>
        <v>0</v>
      </c>
      <c r="G3283" s="16">
        <f>IF(NOT(Paths!$C$304=1),0,IF(Paths!$P$304="Complete",E3283/12*(Paths!$J$304*(1+'Operating costs'!$B$51)^MAX(0,C3283-1)+Paths!$K$304*(1+'Operating costs'!$B$53)^MAX(0,C3283-1)),"n.a."))</f>
        <v>0</v>
      </c>
      <c r="H3283" s="16">
        <f>IF(NOT(Paths!$C$304=1),0,IF(Paths!$P$304="Complete",F3283/12*(Paths!$L$304*(1+IF(Paths!$D$304="EV",'Operating costs'!$B$52,'Operating costs'!$B$51))^MAX(0,C3283-1)+Paths!$M$304*(1+'Operating costs'!$B$53)^MAX(0,C3283-1)),"n.a."))</f>
        <v>0</v>
      </c>
      <c r="I3283" s="16">
        <f>IF(NOT(Paths!$C$304=1),0,IF(Paths!$P$304="Complete",IF(IF(Paths!$E$304=0,C3283=0,AND(C3283&gt;0,Paths!$E$304&gt;(C3283-1)*12,Paths!$E$304&lt;=C3283*12)),Paths!$G$304,0),"n.a."))</f>
        <v>0</v>
      </c>
      <c r="J3283" s="16">
        <f>IF(NOT(Paths!$C$304=1),0,IF(Paths!$P$304="Complete",IF(IF(Paths!$E$304=0,C3283=0,AND(C3283&gt;0,Paths!$E$304&gt;(C3283-1)*12,Paths!$E$304&lt;=C3283*12)),Paths!$H$304,0),"n.a."))</f>
        <v>0</v>
      </c>
      <c r="K3283" s="16">
        <f>IF(NOT(Paths!$C$304=1),0,IF(Paths!$P$304="Complete",IF(IF(Paths!$O$304=0,C3283=0,AND(C3283&gt;0,Paths!$O$304&gt;(C3283-1)*12,Paths!$O$304&lt;=C3283*12)),Paths!$N$304,0),"n.a."))</f>
        <v>0</v>
      </c>
      <c r="L3283" s="16">
        <f>IF(NOT(Paths!$C$304=1),0,IF(Paths!$P$304="Complete",IF(C3283=10,Paths!$I$304,0),"n.a."))</f>
        <v>0</v>
      </c>
      <c r="M3283" s="16">
        <f>IF(NOT(Paths!$C$304=1),0,IF(Paths!$P$304="Complete",IF(AND(Paths!$D$304="EV",Paths!$E$304&lt;120,Paths!$E$304+'Operating costs'!$B$65&gt;Paths!$E$304,Paths!$E$304+'Operating costs'!$B$65&lt;=120,IF(Paths!$E$304+'Operating costs'!$B$65=0,C3283=0,AND(C3283&gt;0,Paths!$E$304+'Operating costs'!$B$65&gt;(C3283-1)*12,Paths!$E$304+'Operating costs'!$B$65&lt;=C3283*12))),'Operating costs'!$B$64,0)+IF(AND('Operating costs'!$B$67&gt;0,'Operating costs'!$B$67&lt;=120,OR(Paths!$D$304="ICE",'Operating costs'!$B$67&lt;=Paths!$E$304),IF('Operating costs'!$B$67=0,C3283=0,AND(C3283&gt;0,'Operating costs'!$B$67&gt;(C3283-1)*12,'Operating costs'!$B$67&lt;=C3283*12))),'Operating costs'!$B$66,0),"n.a."))</f>
        <v>0</v>
      </c>
      <c r="N3283" s="16">
        <f>IF(NOT(Paths!$C$304=1),0,IF(Paths!$P$304="Complete",SUM(G3283:I3283)-J3283-K3283-L3283+M3283+IF(C3283=0,Paths!$F$304,0)+IF(IF(Paths!$E$304=0,C3283=0,AND(C3283&gt;0,Paths!$E$304&gt;(C3283-1)*12,Paths!$E$304&lt;=C3283*12)),VLOOKUP(A3283,'Fleet register'!$A$7:$S$106,16,FALSE),0),"n.a."))</f>
        <v>0</v>
      </c>
      <c r="O3283" s="16">
        <f>IF(NOT(Paths!$C$304=1),0,IF(Paths!$P$304="Complete",N3283-IF(C3283=0,Paths!$F$304,0),"n.a."))</f>
        <v>0</v>
      </c>
      <c r="P3283" s="16">
        <f>IF(NOT(Paths!$C$304=1),0,IF(Paths!$P$304="Complete",O3283+L3283,"n.a."))</f>
        <v>0</v>
      </c>
      <c r="Q3283" s="16">
        <f>IF(NOT(Paths!$C$304=1),0,IF(Paths!$P$304="Complete",N3283*(1+'Operating costs'!$B$54)^-C3283,"n.a."))</f>
        <v>0</v>
      </c>
      <c r="R3283" s="16">
        <f>IF(NOT(Paths!$C$304=1),0,IF(Paths!$P$304="Complete",IF(AND(C3283=0,Paths!$E$304=0),I3283-J3283-K3283+VLOOKUP(A3283,'Fleet register'!$A$7:$S$106,15,FALSE)+VLOOKUP(A3283,'Fleet register'!$A$7:$S$106,16,FALSE),0),"n.a."))</f>
        <v>0</v>
      </c>
      <c r="S3283" s="1">
        <f>IF(NOT(Paths!$C$304=1),0,IF(Paths!$P$304="Complete",IF(C3283=0,0,Paths!$S$304*Paths!$R$304),"n.a."))</f>
        <v>0</v>
      </c>
      <c r="T3283" s="1">
        <f>IF(NOT(Paths!$C$304=1),0,IF(Paths!$P$304="Complete",IF(C3283=0,0,VLOOKUP(A3283,'Fleet register'!$A$7:$S$106,9,FALSE)*Paths!$R$304),"n.a."))</f>
        <v>0</v>
      </c>
    </row>
    <row r="3284" spans="1:20" ht="24" customHeight="1">
      <c r="A3284" s="1" t="str">
        <f>Paths!$A$304</f>
        <v>T075</v>
      </c>
      <c r="B3284" s="1">
        <f>Paths!$B$304</f>
        <v>1</v>
      </c>
      <c r="C3284" s="1">
        <v>10</v>
      </c>
      <c r="D3284" s="1">
        <v>304</v>
      </c>
      <c r="E3284" s="1">
        <f>IF(OR(Paths!$C$304=0,C3284=0),0,MAX(0,MIN(C3284*12,Paths!$E$304)-(C3284-1)*12))</f>
        <v>0</v>
      </c>
      <c r="F3284" s="1">
        <f>IF(OR(Paths!$C$304=0,C3284=0),0,12-E3284)</f>
        <v>0</v>
      </c>
      <c r="G3284" s="16">
        <f>IF(NOT(Paths!$C$304=1),0,IF(Paths!$P$304="Complete",E3284/12*(Paths!$J$304*(1+'Operating costs'!$B$51)^MAX(0,C3284-1)+Paths!$K$304*(1+'Operating costs'!$B$53)^MAX(0,C3284-1)),"n.a."))</f>
        <v>0</v>
      </c>
      <c r="H3284" s="16">
        <f>IF(NOT(Paths!$C$304=1),0,IF(Paths!$P$304="Complete",F3284/12*(Paths!$L$304*(1+IF(Paths!$D$304="EV",'Operating costs'!$B$52,'Operating costs'!$B$51))^MAX(0,C3284-1)+Paths!$M$304*(1+'Operating costs'!$B$53)^MAX(0,C3284-1)),"n.a."))</f>
        <v>0</v>
      </c>
      <c r="I3284" s="16">
        <f>IF(NOT(Paths!$C$304=1),0,IF(Paths!$P$304="Complete",IF(IF(Paths!$E$304=0,C3284=0,AND(C3284&gt;0,Paths!$E$304&gt;(C3284-1)*12,Paths!$E$304&lt;=C3284*12)),Paths!$G$304,0),"n.a."))</f>
        <v>0</v>
      </c>
      <c r="J3284" s="16">
        <f>IF(NOT(Paths!$C$304=1),0,IF(Paths!$P$304="Complete",IF(IF(Paths!$E$304=0,C3284=0,AND(C3284&gt;0,Paths!$E$304&gt;(C3284-1)*12,Paths!$E$304&lt;=C3284*12)),Paths!$H$304,0),"n.a."))</f>
        <v>0</v>
      </c>
      <c r="K3284" s="16">
        <f>IF(NOT(Paths!$C$304=1),0,IF(Paths!$P$304="Complete",IF(IF(Paths!$O$304=0,C3284=0,AND(C3284&gt;0,Paths!$O$304&gt;(C3284-1)*12,Paths!$O$304&lt;=C3284*12)),Paths!$N$304,0),"n.a."))</f>
        <v>0</v>
      </c>
      <c r="L3284" s="16">
        <f>IF(NOT(Paths!$C$304=1),0,IF(Paths!$P$304="Complete",IF(C3284=10,Paths!$I$304,0),"n.a."))</f>
        <v>0</v>
      </c>
      <c r="M3284" s="16">
        <f>IF(NOT(Paths!$C$304=1),0,IF(Paths!$P$304="Complete",IF(AND(Paths!$D$304="EV",Paths!$E$304&lt;120,Paths!$E$304+'Operating costs'!$B$65&gt;Paths!$E$304,Paths!$E$304+'Operating costs'!$B$65&lt;=120,IF(Paths!$E$304+'Operating costs'!$B$65=0,C3284=0,AND(C3284&gt;0,Paths!$E$304+'Operating costs'!$B$65&gt;(C3284-1)*12,Paths!$E$304+'Operating costs'!$B$65&lt;=C3284*12))),'Operating costs'!$B$64,0)+IF(AND('Operating costs'!$B$67&gt;0,'Operating costs'!$B$67&lt;=120,OR(Paths!$D$304="ICE",'Operating costs'!$B$67&lt;=Paths!$E$304),IF('Operating costs'!$B$67=0,C3284=0,AND(C3284&gt;0,'Operating costs'!$B$67&gt;(C3284-1)*12,'Operating costs'!$B$67&lt;=C3284*12))),'Operating costs'!$B$66,0),"n.a."))</f>
        <v>0</v>
      </c>
      <c r="N3284" s="16">
        <f>IF(NOT(Paths!$C$304=1),0,IF(Paths!$P$304="Complete",SUM(G3284:I3284)-J3284-K3284-L3284+M3284+IF(C3284=0,Paths!$F$304,0)+IF(IF(Paths!$E$304=0,C3284=0,AND(C3284&gt;0,Paths!$E$304&gt;(C3284-1)*12,Paths!$E$304&lt;=C3284*12)),VLOOKUP(A3284,'Fleet register'!$A$7:$S$106,16,FALSE),0),"n.a."))</f>
        <v>0</v>
      </c>
      <c r="O3284" s="16">
        <f>IF(NOT(Paths!$C$304=1),0,IF(Paths!$P$304="Complete",N3284-IF(C3284=0,Paths!$F$304,0),"n.a."))</f>
        <v>0</v>
      </c>
      <c r="P3284" s="16">
        <f>IF(NOT(Paths!$C$304=1),0,IF(Paths!$P$304="Complete",O3284+L3284,"n.a."))</f>
        <v>0</v>
      </c>
      <c r="Q3284" s="16">
        <f>IF(NOT(Paths!$C$304=1),0,IF(Paths!$P$304="Complete",N3284*(1+'Operating costs'!$B$54)^-C3284,"n.a."))</f>
        <v>0</v>
      </c>
      <c r="R3284" s="16">
        <f>IF(NOT(Paths!$C$304=1),0,IF(Paths!$P$304="Complete",IF(AND(C3284=0,Paths!$E$304=0),I3284-J3284-K3284+VLOOKUP(A3284,'Fleet register'!$A$7:$S$106,15,FALSE)+VLOOKUP(A3284,'Fleet register'!$A$7:$S$106,16,FALSE),0),"n.a."))</f>
        <v>0</v>
      </c>
      <c r="S3284" s="1">
        <f>IF(NOT(Paths!$C$304=1),0,IF(Paths!$P$304="Complete",IF(C3284=0,0,Paths!$S$304*Paths!$R$304),"n.a."))</f>
        <v>0</v>
      </c>
      <c r="T3284" s="1">
        <f>IF(NOT(Paths!$C$304=1),0,IF(Paths!$P$304="Complete",IF(C3284=0,0,VLOOKUP(A3284,'Fleet register'!$A$7:$S$106,9,FALSE)*Paths!$R$304),"n.a."))</f>
        <v>0</v>
      </c>
    </row>
    <row r="3285" spans="1:20" ht="24" customHeight="1">
      <c r="A3285" s="1" t="str">
        <f>Paths!$A$305</f>
        <v>T075</v>
      </c>
      <c r="B3285" s="1">
        <f>Paths!$B$305</f>
        <v>2</v>
      </c>
      <c r="C3285" s="1">
        <v>0</v>
      </c>
      <c r="D3285" s="1">
        <v>305</v>
      </c>
      <c r="E3285" s="1">
        <f>IF(OR(Paths!$C$305=0,C3285=0),0,MAX(0,MIN(C3285*12,Paths!$E$305)-(C3285-1)*12))</f>
        <v>0</v>
      </c>
      <c r="F3285" s="1">
        <f>IF(OR(Paths!$C$305=0,C3285=0),0,12-E3285)</f>
        <v>0</v>
      </c>
      <c r="G3285" s="16">
        <f>IF(NOT(Paths!$C$305=1),0,IF(Paths!$P$305="Complete",E3285/12*(Paths!$J$305*(1+'Operating costs'!$B$51)^MAX(0,C3285-1)+Paths!$K$305*(1+'Operating costs'!$B$53)^MAX(0,C3285-1)),"n.a."))</f>
        <v>0</v>
      </c>
      <c r="H3285" s="16">
        <f>IF(NOT(Paths!$C$305=1),0,IF(Paths!$P$305="Complete",F3285/12*(Paths!$L$305*(1+IF(Paths!$D$305="EV",'Operating costs'!$B$52,'Operating costs'!$B$51))^MAX(0,C3285-1)+Paths!$M$305*(1+'Operating costs'!$B$53)^MAX(0,C3285-1)),"n.a."))</f>
        <v>0</v>
      </c>
      <c r="I3285" s="16">
        <f>IF(NOT(Paths!$C$305=1),0,IF(Paths!$P$305="Complete",IF(IF(Paths!$E$305=0,C3285=0,AND(C3285&gt;0,Paths!$E$305&gt;(C3285-1)*12,Paths!$E$305&lt;=C3285*12)),Paths!$G$305,0),"n.a."))</f>
        <v>0</v>
      </c>
      <c r="J3285" s="16">
        <f>IF(NOT(Paths!$C$305=1),0,IF(Paths!$P$305="Complete",IF(IF(Paths!$E$305=0,C3285=0,AND(C3285&gt;0,Paths!$E$305&gt;(C3285-1)*12,Paths!$E$305&lt;=C3285*12)),Paths!$H$305,0),"n.a."))</f>
        <v>0</v>
      </c>
      <c r="K3285" s="16">
        <f>IF(NOT(Paths!$C$305=1),0,IF(Paths!$P$305="Complete",IF(IF(Paths!$O$305=0,C3285=0,AND(C3285&gt;0,Paths!$O$305&gt;(C3285-1)*12,Paths!$O$305&lt;=C3285*12)),Paths!$N$305,0),"n.a."))</f>
        <v>0</v>
      </c>
      <c r="L3285" s="16">
        <f>IF(NOT(Paths!$C$305=1),0,IF(Paths!$P$305="Complete",IF(C3285=10,Paths!$I$305,0),"n.a."))</f>
        <v>0</v>
      </c>
      <c r="M3285" s="16">
        <f>IF(NOT(Paths!$C$305=1),0,IF(Paths!$P$305="Complete",IF(AND(Paths!$D$305="EV",Paths!$E$305&lt;120,Paths!$E$305+'Operating costs'!$B$65&gt;Paths!$E$305,Paths!$E$305+'Operating costs'!$B$65&lt;=120,IF(Paths!$E$305+'Operating costs'!$B$65=0,C3285=0,AND(C3285&gt;0,Paths!$E$305+'Operating costs'!$B$65&gt;(C3285-1)*12,Paths!$E$305+'Operating costs'!$B$65&lt;=C3285*12))),'Operating costs'!$B$64,0)+IF(AND('Operating costs'!$B$67&gt;0,'Operating costs'!$B$67&lt;=120,OR(Paths!$D$305="ICE",'Operating costs'!$B$67&lt;=Paths!$E$305),IF('Operating costs'!$B$67=0,C3285=0,AND(C3285&gt;0,'Operating costs'!$B$67&gt;(C3285-1)*12,'Operating costs'!$B$67&lt;=C3285*12))),'Operating costs'!$B$66,0),"n.a."))</f>
        <v>0</v>
      </c>
      <c r="N3285" s="16">
        <f>IF(NOT(Paths!$C$305=1),0,IF(Paths!$P$305="Complete",SUM(G3285:I3285)-J3285-K3285-L3285+M3285+IF(C3285=0,Paths!$F$305,0)+IF(IF(Paths!$E$305=0,C3285=0,AND(C3285&gt;0,Paths!$E$305&gt;(C3285-1)*12,Paths!$E$305&lt;=C3285*12)),VLOOKUP(A3285,'Fleet register'!$A$7:$S$106,16,FALSE),0),"n.a."))</f>
        <v>0</v>
      </c>
      <c r="O3285" s="16">
        <f>IF(NOT(Paths!$C$305=1),0,IF(Paths!$P$305="Complete",N3285-IF(C3285=0,Paths!$F$305,0),"n.a."))</f>
        <v>0</v>
      </c>
      <c r="P3285" s="16">
        <f>IF(NOT(Paths!$C$305=1),0,IF(Paths!$P$305="Complete",O3285+L3285,"n.a."))</f>
        <v>0</v>
      </c>
      <c r="Q3285" s="16">
        <f>IF(NOT(Paths!$C$305=1),0,IF(Paths!$P$305="Complete",N3285*(1+'Operating costs'!$B$54)^-C3285,"n.a."))</f>
        <v>0</v>
      </c>
      <c r="R3285" s="16">
        <f>IF(NOT(Paths!$C$305=1),0,IF(Paths!$P$305="Complete",IF(AND(C3285=0,Paths!$E$305=0),I3285-J3285-K3285+VLOOKUP(A3285,'Fleet register'!$A$7:$S$106,15,FALSE)+VLOOKUP(A3285,'Fleet register'!$A$7:$S$106,16,FALSE),0),"n.a."))</f>
        <v>0</v>
      </c>
      <c r="S3285" s="1">
        <f>IF(NOT(Paths!$C$305=1),0,IF(Paths!$P$305="Complete",IF(C3285=0,0,Paths!$S$305*Paths!$R$305),"n.a."))</f>
        <v>0</v>
      </c>
      <c r="T3285" s="1">
        <f>IF(NOT(Paths!$C$305=1),0,IF(Paths!$P$305="Complete",IF(C3285=0,0,VLOOKUP(A3285,'Fleet register'!$A$7:$S$106,9,FALSE)*Paths!$R$305),"n.a."))</f>
        <v>0</v>
      </c>
    </row>
    <row r="3286" spans="1:20" ht="24" customHeight="1">
      <c r="A3286" s="1" t="str">
        <f>Paths!$A$305</f>
        <v>T075</v>
      </c>
      <c r="B3286" s="1">
        <f>Paths!$B$305</f>
        <v>2</v>
      </c>
      <c r="C3286" s="1">
        <v>1</v>
      </c>
      <c r="D3286" s="1">
        <v>305</v>
      </c>
      <c r="E3286" s="1">
        <f>IF(OR(Paths!$C$305=0,C3286=0),0,MAX(0,MIN(C3286*12,Paths!$E$305)-(C3286-1)*12))</f>
        <v>0</v>
      </c>
      <c r="F3286" s="1">
        <f>IF(OR(Paths!$C$305=0,C3286=0),0,12-E3286)</f>
        <v>0</v>
      </c>
      <c r="G3286" s="16">
        <f>IF(NOT(Paths!$C$305=1),0,IF(Paths!$P$305="Complete",E3286/12*(Paths!$J$305*(1+'Operating costs'!$B$51)^MAX(0,C3286-1)+Paths!$K$305*(1+'Operating costs'!$B$53)^MAX(0,C3286-1)),"n.a."))</f>
        <v>0</v>
      </c>
      <c r="H3286" s="16">
        <f>IF(NOT(Paths!$C$305=1),0,IF(Paths!$P$305="Complete",F3286/12*(Paths!$L$305*(1+IF(Paths!$D$305="EV",'Operating costs'!$B$52,'Operating costs'!$B$51))^MAX(0,C3286-1)+Paths!$M$305*(1+'Operating costs'!$B$53)^MAX(0,C3286-1)),"n.a."))</f>
        <v>0</v>
      </c>
      <c r="I3286" s="16">
        <f>IF(NOT(Paths!$C$305=1),0,IF(Paths!$P$305="Complete",IF(IF(Paths!$E$305=0,C3286=0,AND(C3286&gt;0,Paths!$E$305&gt;(C3286-1)*12,Paths!$E$305&lt;=C3286*12)),Paths!$G$305,0),"n.a."))</f>
        <v>0</v>
      </c>
      <c r="J3286" s="16">
        <f>IF(NOT(Paths!$C$305=1),0,IF(Paths!$P$305="Complete",IF(IF(Paths!$E$305=0,C3286=0,AND(C3286&gt;0,Paths!$E$305&gt;(C3286-1)*12,Paths!$E$305&lt;=C3286*12)),Paths!$H$305,0),"n.a."))</f>
        <v>0</v>
      </c>
      <c r="K3286" s="16">
        <f>IF(NOT(Paths!$C$305=1),0,IF(Paths!$P$305="Complete",IF(IF(Paths!$O$305=0,C3286=0,AND(C3286&gt;0,Paths!$O$305&gt;(C3286-1)*12,Paths!$O$305&lt;=C3286*12)),Paths!$N$305,0),"n.a."))</f>
        <v>0</v>
      </c>
      <c r="L3286" s="16">
        <f>IF(NOT(Paths!$C$305=1),0,IF(Paths!$P$305="Complete",IF(C3286=10,Paths!$I$305,0),"n.a."))</f>
        <v>0</v>
      </c>
      <c r="M3286" s="16">
        <f>IF(NOT(Paths!$C$305=1),0,IF(Paths!$P$305="Complete",IF(AND(Paths!$D$305="EV",Paths!$E$305&lt;120,Paths!$E$305+'Operating costs'!$B$65&gt;Paths!$E$305,Paths!$E$305+'Operating costs'!$B$65&lt;=120,IF(Paths!$E$305+'Operating costs'!$B$65=0,C3286=0,AND(C3286&gt;0,Paths!$E$305+'Operating costs'!$B$65&gt;(C3286-1)*12,Paths!$E$305+'Operating costs'!$B$65&lt;=C3286*12))),'Operating costs'!$B$64,0)+IF(AND('Operating costs'!$B$67&gt;0,'Operating costs'!$B$67&lt;=120,OR(Paths!$D$305="ICE",'Operating costs'!$B$67&lt;=Paths!$E$305),IF('Operating costs'!$B$67=0,C3286=0,AND(C3286&gt;0,'Operating costs'!$B$67&gt;(C3286-1)*12,'Operating costs'!$B$67&lt;=C3286*12))),'Operating costs'!$B$66,0),"n.a."))</f>
        <v>0</v>
      </c>
      <c r="N3286" s="16">
        <f>IF(NOT(Paths!$C$305=1),0,IF(Paths!$P$305="Complete",SUM(G3286:I3286)-J3286-K3286-L3286+M3286+IF(C3286=0,Paths!$F$305,0)+IF(IF(Paths!$E$305=0,C3286=0,AND(C3286&gt;0,Paths!$E$305&gt;(C3286-1)*12,Paths!$E$305&lt;=C3286*12)),VLOOKUP(A3286,'Fleet register'!$A$7:$S$106,16,FALSE),0),"n.a."))</f>
        <v>0</v>
      </c>
      <c r="O3286" s="16">
        <f>IF(NOT(Paths!$C$305=1),0,IF(Paths!$P$305="Complete",N3286-IF(C3286=0,Paths!$F$305,0),"n.a."))</f>
        <v>0</v>
      </c>
      <c r="P3286" s="16">
        <f>IF(NOT(Paths!$C$305=1),0,IF(Paths!$P$305="Complete",O3286+L3286,"n.a."))</f>
        <v>0</v>
      </c>
      <c r="Q3286" s="16">
        <f>IF(NOT(Paths!$C$305=1),0,IF(Paths!$P$305="Complete",N3286*(1+'Operating costs'!$B$54)^-C3286,"n.a."))</f>
        <v>0</v>
      </c>
      <c r="R3286" s="16">
        <f>IF(NOT(Paths!$C$305=1),0,IF(Paths!$P$305="Complete",IF(AND(C3286=0,Paths!$E$305=0),I3286-J3286-K3286+VLOOKUP(A3286,'Fleet register'!$A$7:$S$106,15,FALSE)+VLOOKUP(A3286,'Fleet register'!$A$7:$S$106,16,FALSE),0),"n.a."))</f>
        <v>0</v>
      </c>
      <c r="S3286" s="1">
        <f>IF(NOT(Paths!$C$305=1),0,IF(Paths!$P$305="Complete",IF(C3286=0,0,Paths!$S$305*Paths!$R$305),"n.a."))</f>
        <v>0</v>
      </c>
      <c r="T3286" s="1">
        <f>IF(NOT(Paths!$C$305=1),0,IF(Paths!$P$305="Complete",IF(C3286=0,0,VLOOKUP(A3286,'Fleet register'!$A$7:$S$106,9,FALSE)*Paths!$R$305),"n.a."))</f>
        <v>0</v>
      </c>
    </row>
    <row r="3287" spans="1:20" ht="24" customHeight="1">
      <c r="A3287" s="1" t="str">
        <f>Paths!$A$305</f>
        <v>T075</v>
      </c>
      <c r="B3287" s="1">
        <f>Paths!$B$305</f>
        <v>2</v>
      </c>
      <c r="C3287" s="1">
        <v>2</v>
      </c>
      <c r="D3287" s="1">
        <v>305</v>
      </c>
      <c r="E3287" s="1">
        <f>IF(OR(Paths!$C$305=0,C3287=0),0,MAX(0,MIN(C3287*12,Paths!$E$305)-(C3287-1)*12))</f>
        <v>0</v>
      </c>
      <c r="F3287" s="1">
        <f>IF(OR(Paths!$C$305=0,C3287=0),0,12-E3287)</f>
        <v>0</v>
      </c>
      <c r="G3287" s="16">
        <f>IF(NOT(Paths!$C$305=1),0,IF(Paths!$P$305="Complete",E3287/12*(Paths!$J$305*(1+'Operating costs'!$B$51)^MAX(0,C3287-1)+Paths!$K$305*(1+'Operating costs'!$B$53)^MAX(0,C3287-1)),"n.a."))</f>
        <v>0</v>
      </c>
      <c r="H3287" s="16">
        <f>IF(NOT(Paths!$C$305=1),0,IF(Paths!$P$305="Complete",F3287/12*(Paths!$L$305*(1+IF(Paths!$D$305="EV",'Operating costs'!$B$52,'Operating costs'!$B$51))^MAX(0,C3287-1)+Paths!$M$305*(1+'Operating costs'!$B$53)^MAX(0,C3287-1)),"n.a."))</f>
        <v>0</v>
      </c>
      <c r="I3287" s="16">
        <f>IF(NOT(Paths!$C$305=1),0,IF(Paths!$P$305="Complete",IF(IF(Paths!$E$305=0,C3287=0,AND(C3287&gt;0,Paths!$E$305&gt;(C3287-1)*12,Paths!$E$305&lt;=C3287*12)),Paths!$G$305,0),"n.a."))</f>
        <v>0</v>
      </c>
      <c r="J3287" s="16">
        <f>IF(NOT(Paths!$C$305=1),0,IF(Paths!$P$305="Complete",IF(IF(Paths!$E$305=0,C3287=0,AND(C3287&gt;0,Paths!$E$305&gt;(C3287-1)*12,Paths!$E$305&lt;=C3287*12)),Paths!$H$305,0),"n.a."))</f>
        <v>0</v>
      </c>
      <c r="K3287" s="16">
        <f>IF(NOT(Paths!$C$305=1),0,IF(Paths!$P$305="Complete",IF(IF(Paths!$O$305=0,C3287=0,AND(C3287&gt;0,Paths!$O$305&gt;(C3287-1)*12,Paths!$O$305&lt;=C3287*12)),Paths!$N$305,0),"n.a."))</f>
        <v>0</v>
      </c>
      <c r="L3287" s="16">
        <f>IF(NOT(Paths!$C$305=1),0,IF(Paths!$P$305="Complete",IF(C3287=10,Paths!$I$305,0),"n.a."))</f>
        <v>0</v>
      </c>
      <c r="M3287" s="16">
        <f>IF(NOT(Paths!$C$305=1),0,IF(Paths!$P$305="Complete",IF(AND(Paths!$D$305="EV",Paths!$E$305&lt;120,Paths!$E$305+'Operating costs'!$B$65&gt;Paths!$E$305,Paths!$E$305+'Operating costs'!$B$65&lt;=120,IF(Paths!$E$305+'Operating costs'!$B$65=0,C3287=0,AND(C3287&gt;0,Paths!$E$305+'Operating costs'!$B$65&gt;(C3287-1)*12,Paths!$E$305+'Operating costs'!$B$65&lt;=C3287*12))),'Operating costs'!$B$64,0)+IF(AND('Operating costs'!$B$67&gt;0,'Operating costs'!$B$67&lt;=120,OR(Paths!$D$305="ICE",'Operating costs'!$B$67&lt;=Paths!$E$305),IF('Operating costs'!$B$67=0,C3287=0,AND(C3287&gt;0,'Operating costs'!$B$67&gt;(C3287-1)*12,'Operating costs'!$B$67&lt;=C3287*12))),'Operating costs'!$B$66,0),"n.a."))</f>
        <v>0</v>
      </c>
      <c r="N3287" s="16">
        <f>IF(NOT(Paths!$C$305=1),0,IF(Paths!$P$305="Complete",SUM(G3287:I3287)-J3287-K3287-L3287+M3287+IF(C3287=0,Paths!$F$305,0)+IF(IF(Paths!$E$305=0,C3287=0,AND(C3287&gt;0,Paths!$E$305&gt;(C3287-1)*12,Paths!$E$305&lt;=C3287*12)),VLOOKUP(A3287,'Fleet register'!$A$7:$S$106,16,FALSE),0),"n.a."))</f>
        <v>0</v>
      </c>
      <c r="O3287" s="16">
        <f>IF(NOT(Paths!$C$305=1),0,IF(Paths!$P$305="Complete",N3287-IF(C3287=0,Paths!$F$305,0),"n.a."))</f>
        <v>0</v>
      </c>
      <c r="P3287" s="16">
        <f>IF(NOT(Paths!$C$305=1),0,IF(Paths!$P$305="Complete",O3287+L3287,"n.a."))</f>
        <v>0</v>
      </c>
      <c r="Q3287" s="16">
        <f>IF(NOT(Paths!$C$305=1),0,IF(Paths!$P$305="Complete",N3287*(1+'Operating costs'!$B$54)^-C3287,"n.a."))</f>
        <v>0</v>
      </c>
      <c r="R3287" s="16">
        <f>IF(NOT(Paths!$C$305=1),0,IF(Paths!$P$305="Complete",IF(AND(C3287=0,Paths!$E$305=0),I3287-J3287-K3287+VLOOKUP(A3287,'Fleet register'!$A$7:$S$106,15,FALSE)+VLOOKUP(A3287,'Fleet register'!$A$7:$S$106,16,FALSE),0),"n.a."))</f>
        <v>0</v>
      </c>
      <c r="S3287" s="1">
        <f>IF(NOT(Paths!$C$305=1),0,IF(Paths!$P$305="Complete",IF(C3287=0,0,Paths!$S$305*Paths!$R$305),"n.a."))</f>
        <v>0</v>
      </c>
      <c r="T3287" s="1">
        <f>IF(NOT(Paths!$C$305=1),0,IF(Paths!$P$305="Complete",IF(C3287=0,0,VLOOKUP(A3287,'Fleet register'!$A$7:$S$106,9,FALSE)*Paths!$R$305),"n.a."))</f>
        <v>0</v>
      </c>
    </row>
    <row r="3288" spans="1:20" ht="24" customHeight="1">
      <c r="A3288" s="1" t="str">
        <f>Paths!$A$305</f>
        <v>T075</v>
      </c>
      <c r="B3288" s="1">
        <f>Paths!$B$305</f>
        <v>2</v>
      </c>
      <c r="C3288" s="1">
        <v>3</v>
      </c>
      <c r="D3288" s="1">
        <v>305</v>
      </c>
      <c r="E3288" s="1">
        <f>IF(OR(Paths!$C$305=0,C3288=0),0,MAX(0,MIN(C3288*12,Paths!$E$305)-(C3288-1)*12))</f>
        <v>0</v>
      </c>
      <c r="F3288" s="1">
        <f>IF(OR(Paths!$C$305=0,C3288=0),0,12-E3288)</f>
        <v>0</v>
      </c>
      <c r="G3288" s="16">
        <f>IF(NOT(Paths!$C$305=1),0,IF(Paths!$P$305="Complete",E3288/12*(Paths!$J$305*(1+'Operating costs'!$B$51)^MAX(0,C3288-1)+Paths!$K$305*(1+'Operating costs'!$B$53)^MAX(0,C3288-1)),"n.a."))</f>
        <v>0</v>
      </c>
      <c r="H3288" s="16">
        <f>IF(NOT(Paths!$C$305=1),0,IF(Paths!$P$305="Complete",F3288/12*(Paths!$L$305*(1+IF(Paths!$D$305="EV",'Operating costs'!$B$52,'Operating costs'!$B$51))^MAX(0,C3288-1)+Paths!$M$305*(1+'Operating costs'!$B$53)^MAX(0,C3288-1)),"n.a."))</f>
        <v>0</v>
      </c>
      <c r="I3288" s="16">
        <f>IF(NOT(Paths!$C$305=1),0,IF(Paths!$P$305="Complete",IF(IF(Paths!$E$305=0,C3288=0,AND(C3288&gt;0,Paths!$E$305&gt;(C3288-1)*12,Paths!$E$305&lt;=C3288*12)),Paths!$G$305,0),"n.a."))</f>
        <v>0</v>
      </c>
      <c r="J3288" s="16">
        <f>IF(NOT(Paths!$C$305=1),0,IF(Paths!$P$305="Complete",IF(IF(Paths!$E$305=0,C3288=0,AND(C3288&gt;0,Paths!$E$305&gt;(C3288-1)*12,Paths!$E$305&lt;=C3288*12)),Paths!$H$305,0),"n.a."))</f>
        <v>0</v>
      </c>
      <c r="K3288" s="16">
        <f>IF(NOT(Paths!$C$305=1),0,IF(Paths!$P$305="Complete",IF(IF(Paths!$O$305=0,C3288=0,AND(C3288&gt;0,Paths!$O$305&gt;(C3288-1)*12,Paths!$O$305&lt;=C3288*12)),Paths!$N$305,0),"n.a."))</f>
        <v>0</v>
      </c>
      <c r="L3288" s="16">
        <f>IF(NOT(Paths!$C$305=1),0,IF(Paths!$P$305="Complete",IF(C3288=10,Paths!$I$305,0),"n.a."))</f>
        <v>0</v>
      </c>
      <c r="M3288" s="16">
        <f>IF(NOT(Paths!$C$305=1),0,IF(Paths!$P$305="Complete",IF(AND(Paths!$D$305="EV",Paths!$E$305&lt;120,Paths!$E$305+'Operating costs'!$B$65&gt;Paths!$E$305,Paths!$E$305+'Operating costs'!$B$65&lt;=120,IF(Paths!$E$305+'Operating costs'!$B$65=0,C3288=0,AND(C3288&gt;0,Paths!$E$305+'Operating costs'!$B$65&gt;(C3288-1)*12,Paths!$E$305+'Operating costs'!$B$65&lt;=C3288*12))),'Operating costs'!$B$64,0)+IF(AND('Operating costs'!$B$67&gt;0,'Operating costs'!$B$67&lt;=120,OR(Paths!$D$305="ICE",'Operating costs'!$B$67&lt;=Paths!$E$305),IF('Operating costs'!$B$67=0,C3288=0,AND(C3288&gt;0,'Operating costs'!$B$67&gt;(C3288-1)*12,'Operating costs'!$B$67&lt;=C3288*12))),'Operating costs'!$B$66,0),"n.a."))</f>
        <v>0</v>
      </c>
      <c r="N3288" s="16">
        <f>IF(NOT(Paths!$C$305=1),0,IF(Paths!$P$305="Complete",SUM(G3288:I3288)-J3288-K3288-L3288+M3288+IF(C3288=0,Paths!$F$305,0)+IF(IF(Paths!$E$305=0,C3288=0,AND(C3288&gt;0,Paths!$E$305&gt;(C3288-1)*12,Paths!$E$305&lt;=C3288*12)),VLOOKUP(A3288,'Fleet register'!$A$7:$S$106,16,FALSE),0),"n.a."))</f>
        <v>0</v>
      </c>
      <c r="O3288" s="16">
        <f>IF(NOT(Paths!$C$305=1),0,IF(Paths!$P$305="Complete",N3288-IF(C3288=0,Paths!$F$305,0),"n.a."))</f>
        <v>0</v>
      </c>
      <c r="P3288" s="16">
        <f>IF(NOT(Paths!$C$305=1),0,IF(Paths!$P$305="Complete",O3288+L3288,"n.a."))</f>
        <v>0</v>
      </c>
      <c r="Q3288" s="16">
        <f>IF(NOT(Paths!$C$305=1),0,IF(Paths!$P$305="Complete",N3288*(1+'Operating costs'!$B$54)^-C3288,"n.a."))</f>
        <v>0</v>
      </c>
      <c r="R3288" s="16">
        <f>IF(NOT(Paths!$C$305=1),0,IF(Paths!$P$305="Complete",IF(AND(C3288=0,Paths!$E$305=0),I3288-J3288-K3288+VLOOKUP(A3288,'Fleet register'!$A$7:$S$106,15,FALSE)+VLOOKUP(A3288,'Fleet register'!$A$7:$S$106,16,FALSE),0),"n.a."))</f>
        <v>0</v>
      </c>
      <c r="S3288" s="1">
        <f>IF(NOT(Paths!$C$305=1),0,IF(Paths!$P$305="Complete",IF(C3288=0,0,Paths!$S$305*Paths!$R$305),"n.a."))</f>
        <v>0</v>
      </c>
      <c r="T3288" s="1">
        <f>IF(NOT(Paths!$C$305=1),0,IF(Paths!$P$305="Complete",IF(C3288=0,0,VLOOKUP(A3288,'Fleet register'!$A$7:$S$106,9,FALSE)*Paths!$R$305),"n.a."))</f>
        <v>0</v>
      </c>
    </row>
    <row r="3289" spans="1:20" ht="24" customHeight="1">
      <c r="A3289" s="1" t="str">
        <f>Paths!$A$305</f>
        <v>T075</v>
      </c>
      <c r="B3289" s="1">
        <f>Paths!$B$305</f>
        <v>2</v>
      </c>
      <c r="C3289" s="1">
        <v>4</v>
      </c>
      <c r="D3289" s="1">
        <v>305</v>
      </c>
      <c r="E3289" s="1">
        <f>IF(OR(Paths!$C$305=0,C3289=0),0,MAX(0,MIN(C3289*12,Paths!$E$305)-(C3289-1)*12))</f>
        <v>0</v>
      </c>
      <c r="F3289" s="1">
        <f>IF(OR(Paths!$C$305=0,C3289=0),0,12-E3289)</f>
        <v>0</v>
      </c>
      <c r="G3289" s="16">
        <f>IF(NOT(Paths!$C$305=1),0,IF(Paths!$P$305="Complete",E3289/12*(Paths!$J$305*(1+'Operating costs'!$B$51)^MAX(0,C3289-1)+Paths!$K$305*(1+'Operating costs'!$B$53)^MAX(0,C3289-1)),"n.a."))</f>
        <v>0</v>
      </c>
      <c r="H3289" s="16">
        <f>IF(NOT(Paths!$C$305=1),0,IF(Paths!$P$305="Complete",F3289/12*(Paths!$L$305*(1+IF(Paths!$D$305="EV",'Operating costs'!$B$52,'Operating costs'!$B$51))^MAX(0,C3289-1)+Paths!$M$305*(1+'Operating costs'!$B$53)^MAX(0,C3289-1)),"n.a."))</f>
        <v>0</v>
      </c>
      <c r="I3289" s="16">
        <f>IF(NOT(Paths!$C$305=1),0,IF(Paths!$P$305="Complete",IF(IF(Paths!$E$305=0,C3289=0,AND(C3289&gt;0,Paths!$E$305&gt;(C3289-1)*12,Paths!$E$305&lt;=C3289*12)),Paths!$G$305,0),"n.a."))</f>
        <v>0</v>
      </c>
      <c r="J3289" s="16">
        <f>IF(NOT(Paths!$C$305=1),0,IF(Paths!$P$305="Complete",IF(IF(Paths!$E$305=0,C3289=0,AND(C3289&gt;0,Paths!$E$305&gt;(C3289-1)*12,Paths!$E$305&lt;=C3289*12)),Paths!$H$305,0),"n.a."))</f>
        <v>0</v>
      </c>
      <c r="K3289" s="16">
        <f>IF(NOT(Paths!$C$305=1),0,IF(Paths!$P$305="Complete",IF(IF(Paths!$O$305=0,C3289=0,AND(C3289&gt;0,Paths!$O$305&gt;(C3289-1)*12,Paths!$O$305&lt;=C3289*12)),Paths!$N$305,0),"n.a."))</f>
        <v>0</v>
      </c>
      <c r="L3289" s="16">
        <f>IF(NOT(Paths!$C$305=1),0,IF(Paths!$P$305="Complete",IF(C3289=10,Paths!$I$305,0),"n.a."))</f>
        <v>0</v>
      </c>
      <c r="M3289" s="16">
        <f>IF(NOT(Paths!$C$305=1),0,IF(Paths!$P$305="Complete",IF(AND(Paths!$D$305="EV",Paths!$E$305&lt;120,Paths!$E$305+'Operating costs'!$B$65&gt;Paths!$E$305,Paths!$E$305+'Operating costs'!$B$65&lt;=120,IF(Paths!$E$305+'Operating costs'!$B$65=0,C3289=0,AND(C3289&gt;0,Paths!$E$305+'Operating costs'!$B$65&gt;(C3289-1)*12,Paths!$E$305+'Operating costs'!$B$65&lt;=C3289*12))),'Operating costs'!$B$64,0)+IF(AND('Operating costs'!$B$67&gt;0,'Operating costs'!$B$67&lt;=120,OR(Paths!$D$305="ICE",'Operating costs'!$B$67&lt;=Paths!$E$305),IF('Operating costs'!$B$67=0,C3289=0,AND(C3289&gt;0,'Operating costs'!$B$67&gt;(C3289-1)*12,'Operating costs'!$B$67&lt;=C3289*12))),'Operating costs'!$B$66,0),"n.a."))</f>
        <v>0</v>
      </c>
      <c r="N3289" s="16">
        <f>IF(NOT(Paths!$C$305=1),0,IF(Paths!$P$305="Complete",SUM(G3289:I3289)-J3289-K3289-L3289+M3289+IF(C3289=0,Paths!$F$305,0)+IF(IF(Paths!$E$305=0,C3289=0,AND(C3289&gt;0,Paths!$E$305&gt;(C3289-1)*12,Paths!$E$305&lt;=C3289*12)),VLOOKUP(A3289,'Fleet register'!$A$7:$S$106,16,FALSE),0),"n.a."))</f>
        <v>0</v>
      </c>
      <c r="O3289" s="16">
        <f>IF(NOT(Paths!$C$305=1),0,IF(Paths!$P$305="Complete",N3289-IF(C3289=0,Paths!$F$305,0),"n.a."))</f>
        <v>0</v>
      </c>
      <c r="P3289" s="16">
        <f>IF(NOT(Paths!$C$305=1),0,IF(Paths!$P$305="Complete",O3289+L3289,"n.a."))</f>
        <v>0</v>
      </c>
      <c r="Q3289" s="16">
        <f>IF(NOT(Paths!$C$305=1),0,IF(Paths!$P$305="Complete",N3289*(1+'Operating costs'!$B$54)^-C3289,"n.a."))</f>
        <v>0</v>
      </c>
      <c r="R3289" s="16">
        <f>IF(NOT(Paths!$C$305=1),0,IF(Paths!$P$305="Complete",IF(AND(C3289=0,Paths!$E$305=0),I3289-J3289-K3289+VLOOKUP(A3289,'Fleet register'!$A$7:$S$106,15,FALSE)+VLOOKUP(A3289,'Fleet register'!$A$7:$S$106,16,FALSE),0),"n.a."))</f>
        <v>0</v>
      </c>
      <c r="S3289" s="1">
        <f>IF(NOT(Paths!$C$305=1),0,IF(Paths!$P$305="Complete",IF(C3289=0,0,Paths!$S$305*Paths!$R$305),"n.a."))</f>
        <v>0</v>
      </c>
      <c r="T3289" s="1">
        <f>IF(NOT(Paths!$C$305=1),0,IF(Paths!$P$305="Complete",IF(C3289=0,0,VLOOKUP(A3289,'Fleet register'!$A$7:$S$106,9,FALSE)*Paths!$R$305),"n.a."))</f>
        <v>0</v>
      </c>
    </row>
    <row r="3290" spans="1:20" ht="24" customHeight="1">
      <c r="A3290" s="1" t="str">
        <f>Paths!$A$305</f>
        <v>T075</v>
      </c>
      <c r="B3290" s="1">
        <f>Paths!$B$305</f>
        <v>2</v>
      </c>
      <c r="C3290" s="1">
        <v>5</v>
      </c>
      <c r="D3290" s="1">
        <v>305</v>
      </c>
      <c r="E3290" s="1">
        <f>IF(OR(Paths!$C$305=0,C3290=0),0,MAX(0,MIN(C3290*12,Paths!$E$305)-(C3290-1)*12))</f>
        <v>0</v>
      </c>
      <c r="F3290" s="1">
        <f>IF(OR(Paths!$C$305=0,C3290=0),0,12-E3290)</f>
        <v>0</v>
      </c>
      <c r="G3290" s="16">
        <f>IF(NOT(Paths!$C$305=1),0,IF(Paths!$P$305="Complete",E3290/12*(Paths!$J$305*(1+'Operating costs'!$B$51)^MAX(0,C3290-1)+Paths!$K$305*(1+'Operating costs'!$B$53)^MAX(0,C3290-1)),"n.a."))</f>
        <v>0</v>
      </c>
      <c r="H3290" s="16">
        <f>IF(NOT(Paths!$C$305=1),0,IF(Paths!$P$305="Complete",F3290/12*(Paths!$L$305*(1+IF(Paths!$D$305="EV",'Operating costs'!$B$52,'Operating costs'!$B$51))^MAX(0,C3290-1)+Paths!$M$305*(1+'Operating costs'!$B$53)^MAX(0,C3290-1)),"n.a."))</f>
        <v>0</v>
      </c>
      <c r="I3290" s="16">
        <f>IF(NOT(Paths!$C$305=1),0,IF(Paths!$P$305="Complete",IF(IF(Paths!$E$305=0,C3290=0,AND(C3290&gt;0,Paths!$E$305&gt;(C3290-1)*12,Paths!$E$305&lt;=C3290*12)),Paths!$G$305,0),"n.a."))</f>
        <v>0</v>
      </c>
      <c r="J3290" s="16">
        <f>IF(NOT(Paths!$C$305=1),0,IF(Paths!$P$305="Complete",IF(IF(Paths!$E$305=0,C3290=0,AND(C3290&gt;0,Paths!$E$305&gt;(C3290-1)*12,Paths!$E$305&lt;=C3290*12)),Paths!$H$305,0),"n.a."))</f>
        <v>0</v>
      </c>
      <c r="K3290" s="16">
        <f>IF(NOT(Paths!$C$305=1),0,IF(Paths!$P$305="Complete",IF(IF(Paths!$O$305=0,C3290=0,AND(C3290&gt;0,Paths!$O$305&gt;(C3290-1)*12,Paths!$O$305&lt;=C3290*12)),Paths!$N$305,0),"n.a."))</f>
        <v>0</v>
      </c>
      <c r="L3290" s="16">
        <f>IF(NOT(Paths!$C$305=1),0,IF(Paths!$P$305="Complete",IF(C3290=10,Paths!$I$305,0),"n.a."))</f>
        <v>0</v>
      </c>
      <c r="M3290" s="16">
        <f>IF(NOT(Paths!$C$305=1),0,IF(Paths!$P$305="Complete",IF(AND(Paths!$D$305="EV",Paths!$E$305&lt;120,Paths!$E$305+'Operating costs'!$B$65&gt;Paths!$E$305,Paths!$E$305+'Operating costs'!$B$65&lt;=120,IF(Paths!$E$305+'Operating costs'!$B$65=0,C3290=0,AND(C3290&gt;0,Paths!$E$305+'Operating costs'!$B$65&gt;(C3290-1)*12,Paths!$E$305+'Operating costs'!$B$65&lt;=C3290*12))),'Operating costs'!$B$64,0)+IF(AND('Operating costs'!$B$67&gt;0,'Operating costs'!$B$67&lt;=120,OR(Paths!$D$305="ICE",'Operating costs'!$B$67&lt;=Paths!$E$305),IF('Operating costs'!$B$67=0,C3290=0,AND(C3290&gt;0,'Operating costs'!$B$67&gt;(C3290-1)*12,'Operating costs'!$B$67&lt;=C3290*12))),'Operating costs'!$B$66,0),"n.a."))</f>
        <v>0</v>
      </c>
      <c r="N3290" s="16">
        <f>IF(NOT(Paths!$C$305=1),0,IF(Paths!$P$305="Complete",SUM(G3290:I3290)-J3290-K3290-L3290+M3290+IF(C3290=0,Paths!$F$305,0)+IF(IF(Paths!$E$305=0,C3290=0,AND(C3290&gt;0,Paths!$E$305&gt;(C3290-1)*12,Paths!$E$305&lt;=C3290*12)),VLOOKUP(A3290,'Fleet register'!$A$7:$S$106,16,FALSE),0),"n.a."))</f>
        <v>0</v>
      </c>
      <c r="O3290" s="16">
        <f>IF(NOT(Paths!$C$305=1),0,IF(Paths!$P$305="Complete",N3290-IF(C3290=0,Paths!$F$305,0),"n.a."))</f>
        <v>0</v>
      </c>
      <c r="P3290" s="16">
        <f>IF(NOT(Paths!$C$305=1),0,IF(Paths!$P$305="Complete",O3290+L3290,"n.a."))</f>
        <v>0</v>
      </c>
      <c r="Q3290" s="16">
        <f>IF(NOT(Paths!$C$305=1),0,IF(Paths!$P$305="Complete",N3290*(1+'Operating costs'!$B$54)^-C3290,"n.a."))</f>
        <v>0</v>
      </c>
      <c r="R3290" s="16">
        <f>IF(NOT(Paths!$C$305=1),0,IF(Paths!$P$305="Complete",IF(AND(C3290=0,Paths!$E$305=0),I3290-J3290-K3290+VLOOKUP(A3290,'Fleet register'!$A$7:$S$106,15,FALSE)+VLOOKUP(A3290,'Fleet register'!$A$7:$S$106,16,FALSE),0),"n.a."))</f>
        <v>0</v>
      </c>
      <c r="S3290" s="1">
        <f>IF(NOT(Paths!$C$305=1),0,IF(Paths!$P$305="Complete",IF(C3290=0,0,Paths!$S$305*Paths!$R$305),"n.a."))</f>
        <v>0</v>
      </c>
      <c r="T3290" s="1">
        <f>IF(NOT(Paths!$C$305=1),0,IF(Paths!$P$305="Complete",IF(C3290=0,0,VLOOKUP(A3290,'Fleet register'!$A$7:$S$106,9,FALSE)*Paths!$R$305),"n.a."))</f>
        <v>0</v>
      </c>
    </row>
    <row r="3291" spans="1:20" ht="24" customHeight="1">
      <c r="A3291" s="1" t="str">
        <f>Paths!$A$305</f>
        <v>T075</v>
      </c>
      <c r="B3291" s="1">
        <f>Paths!$B$305</f>
        <v>2</v>
      </c>
      <c r="C3291" s="1">
        <v>6</v>
      </c>
      <c r="D3291" s="1">
        <v>305</v>
      </c>
      <c r="E3291" s="1">
        <f>IF(OR(Paths!$C$305=0,C3291=0),0,MAX(0,MIN(C3291*12,Paths!$E$305)-(C3291-1)*12))</f>
        <v>0</v>
      </c>
      <c r="F3291" s="1">
        <f>IF(OR(Paths!$C$305=0,C3291=0),0,12-E3291)</f>
        <v>0</v>
      </c>
      <c r="G3291" s="16">
        <f>IF(NOT(Paths!$C$305=1),0,IF(Paths!$P$305="Complete",E3291/12*(Paths!$J$305*(1+'Operating costs'!$B$51)^MAX(0,C3291-1)+Paths!$K$305*(1+'Operating costs'!$B$53)^MAX(0,C3291-1)),"n.a."))</f>
        <v>0</v>
      </c>
      <c r="H3291" s="16">
        <f>IF(NOT(Paths!$C$305=1),0,IF(Paths!$P$305="Complete",F3291/12*(Paths!$L$305*(1+IF(Paths!$D$305="EV",'Operating costs'!$B$52,'Operating costs'!$B$51))^MAX(0,C3291-1)+Paths!$M$305*(1+'Operating costs'!$B$53)^MAX(0,C3291-1)),"n.a."))</f>
        <v>0</v>
      </c>
      <c r="I3291" s="16">
        <f>IF(NOT(Paths!$C$305=1),0,IF(Paths!$P$305="Complete",IF(IF(Paths!$E$305=0,C3291=0,AND(C3291&gt;0,Paths!$E$305&gt;(C3291-1)*12,Paths!$E$305&lt;=C3291*12)),Paths!$G$305,0),"n.a."))</f>
        <v>0</v>
      </c>
      <c r="J3291" s="16">
        <f>IF(NOT(Paths!$C$305=1),0,IF(Paths!$P$305="Complete",IF(IF(Paths!$E$305=0,C3291=0,AND(C3291&gt;0,Paths!$E$305&gt;(C3291-1)*12,Paths!$E$305&lt;=C3291*12)),Paths!$H$305,0),"n.a."))</f>
        <v>0</v>
      </c>
      <c r="K3291" s="16">
        <f>IF(NOT(Paths!$C$305=1),0,IF(Paths!$P$305="Complete",IF(IF(Paths!$O$305=0,C3291=0,AND(C3291&gt;0,Paths!$O$305&gt;(C3291-1)*12,Paths!$O$305&lt;=C3291*12)),Paths!$N$305,0),"n.a."))</f>
        <v>0</v>
      </c>
      <c r="L3291" s="16">
        <f>IF(NOT(Paths!$C$305=1),0,IF(Paths!$P$305="Complete",IF(C3291=10,Paths!$I$305,0),"n.a."))</f>
        <v>0</v>
      </c>
      <c r="M3291" s="16">
        <f>IF(NOT(Paths!$C$305=1),0,IF(Paths!$P$305="Complete",IF(AND(Paths!$D$305="EV",Paths!$E$305&lt;120,Paths!$E$305+'Operating costs'!$B$65&gt;Paths!$E$305,Paths!$E$305+'Operating costs'!$B$65&lt;=120,IF(Paths!$E$305+'Operating costs'!$B$65=0,C3291=0,AND(C3291&gt;0,Paths!$E$305+'Operating costs'!$B$65&gt;(C3291-1)*12,Paths!$E$305+'Operating costs'!$B$65&lt;=C3291*12))),'Operating costs'!$B$64,0)+IF(AND('Operating costs'!$B$67&gt;0,'Operating costs'!$B$67&lt;=120,OR(Paths!$D$305="ICE",'Operating costs'!$B$67&lt;=Paths!$E$305),IF('Operating costs'!$B$67=0,C3291=0,AND(C3291&gt;0,'Operating costs'!$B$67&gt;(C3291-1)*12,'Operating costs'!$B$67&lt;=C3291*12))),'Operating costs'!$B$66,0),"n.a."))</f>
        <v>0</v>
      </c>
      <c r="N3291" s="16">
        <f>IF(NOT(Paths!$C$305=1),0,IF(Paths!$P$305="Complete",SUM(G3291:I3291)-J3291-K3291-L3291+M3291+IF(C3291=0,Paths!$F$305,0)+IF(IF(Paths!$E$305=0,C3291=0,AND(C3291&gt;0,Paths!$E$305&gt;(C3291-1)*12,Paths!$E$305&lt;=C3291*12)),VLOOKUP(A3291,'Fleet register'!$A$7:$S$106,16,FALSE),0),"n.a."))</f>
        <v>0</v>
      </c>
      <c r="O3291" s="16">
        <f>IF(NOT(Paths!$C$305=1),0,IF(Paths!$P$305="Complete",N3291-IF(C3291=0,Paths!$F$305,0),"n.a."))</f>
        <v>0</v>
      </c>
      <c r="P3291" s="16">
        <f>IF(NOT(Paths!$C$305=1),0,IF(Paths!$P$305="Complete",O3291+L3291,"n.a."))</f>
        <v>0</v>
      </c>
      <c r="Q3291" s="16">
        <f>IF(NOT(Paths!$C$305=1),0,IF(Paths!$P$305="Complete",N3291*(1+'Operating costs'!$B$54)^-C3291,"n.a."))</f>
        <v>0</v>
      </c>
      <c r="R3291" s="16">
        <f>IF(NOT(Paths!$C$305=1),0,IF(Paths!$P$305="Complete",IF(AND(C3291=0,Paths!$E$305=0),I3291-J3291-K3291+VLOOKUP(A3291,'Fleet register'!$A$7:$S$106,15,FALSE)+VLOOKUP(A3291,'Fleet register'!$A$7:$S$106,16,FALSE),0),"n.a."))</f>
        <v>0</v>
      </c>
      <c r="S3291" s="1">
        <f>IF(NOT(Paths!$C$305=1),0,IF(Paths!$P$305="Complete",IF(C3291=0,0,Paths!$S$305*Paths!$R$305),"n.a."))</f>
        <v>0</v>
      </c>
      <c r="T3291" s="1">
        <f>IF(NOT(Paths!$C$305=1),0,IF(Paths!$P$305="Complete",IF(C3291=0,0,VLOOKUP(A3291,'Fleet register'!$A$7:$S$106,9,FALSE)*Paths!$R$305),"n.a."))</f>
        <v>0</v>
      </c>
    </row>
    <row r="3292" spans="1:20" ht="24" customHeight="1">
      <c r="A3292" s="1" t="str">
        <f>Paths!$A$305</f>
        <v>T075</v>
      </c>
      <c r="B3292" s="1">
        <f>Paths!$B$305</f>
        <v>2</v>
      </c>
      <c r="C3292" s="1">
        <v>7</v>
      </c>
      <c r="D3292" s="1">
        <v>305</v>
      </c>
      <c r="E3292" s="1">
        <f>IF(OR(Paths!$C$305=0,C3292=0),0,MAX(0,MIN(C3292*12,Paths!$E$305)-(C3292-1)*12))</f>
        <v>0</v>
      </c>
      <c r="F3292" s="1">
        <f>IF(OR(Paths!$C$305=0,C3292=0),0,12-E3292)</f>
        <v>0</v>
      </c>
      <c r="G3292" s="16">
        <f>IF(NOT(Paths!$C$305=1),0,IF(Paths!$P$305="Complete",E3292/12*(Paths!$J$305*(1+'Operating costs'!$B$51)^MAX(0,C3292-1)+Paths!$K$305*(1+'Operating costs'!$B$53)^MAX(0,C3292-1)),"n.a."))</f>
        <v>0</v>
      </c>
      <c r="H3292" s="16">
        <f>IF(NOT(Paths!$C$305=1),0,IF(Paths!$P$305="Complete",F3292/12*(Paths!$L$305*(1+IF(Paths!$D$305="EV",'Operating costs'!$B$52,'Operating costs'!$B$51))^MAX(0,C3292-1)+Paths!$M$305*(1+'Operating costs'!$B$53)^MAX(0,C3292-1)),"n.a."))</f>
        <v>0</v>
      </c>
      <c r="I3292" s="16">
        <f>IF(NOT(Paths!$C$305=1),0,IF(Paths!$P$305="Complete",IF(IF(Paths!$E$305=0,C3292=0,AND(C3292&gt;0,Paths!$E$305&gt;(C3292-1)*12,Paths!$E$305&lt;=C3292*12)),Paths!$G$305,0),"n.a."))</f>
        <v>0</v>
      </c>
      <c r="J3292" s="16">
        <f>IF(NOT(Paths!$C$305=1),0,IF(Paths!$P$305="Complete",IF(IF(Paths!$E$305=0,C3292=0,AND(C3292&gt;0,Paths!$E$305&gt;(C3292-1)*12,Paths!$E$305&lt;=C3292*12)),Paths!$H$305,0),"n.a."))</f>
        <v>0</v>
      </c>
      <c r="K3292" s="16">
        <f>IF(NOT(Paths!$C$305=1),0,IF(Paths!$P$305="Complete",IF(IF(Paths!$O$305=0,C3292=0,AND(C3292&gt;0,Paths!$O$305&gt;(C3292-1)*12,Paths!$O$305&lt;=C3292*12)),Paths!$N$305,0),"n.a."))</f>
        <v>0</v>
      </c>
      <c r="L3292" s="16">
        <f>IF(NOT(Paths!$C$305=1),0,IF(Paths!$P$305="Complete",IF(C3292=10,Paths!$I$305,0),"n.a."))</f>
        <v>0</v>
      </c>
      <c r="M3292" s="16">
        <f>IF(NOT(Paths!$C$305=1),0,IF(Paths!$P$305="Complete",IF(AND(Paths!$D$305="EV",Paths!$E$305&lt;120,Paths!$E$305+'Operating costs'!$B$65&gt;Paths!$E$305,Paths!$E$305+'Operating costs'!$B$65&lt;=120,IF(Paths!$E$305+'Operating costs'!$B$65=0,C3292=0,AND(C3292&gt;0,Paths!$E$305+'Operating costs'!$B$65&gt;(C3292-1)*12,Paths!$E$305+'Operating costs'!$B$65&lt;=C3292*12))),'Operating costs'!$B$64,0)+IF(AND('Operating costs'!$B$67&gt;0,'Operating costs'!$B$67&lt;=120,OR(Paths!$D$305="ICE",'Operating costs'!$B$67&lt;=Paths!$E$305),IF('Operating costs'!$B$67=0,C3292=0,AND(C3292&gt;0,'Operating costs'!$B$67&gt;(C3292-1)*12,'Operating costs'!$B$67&lt;=C3292*12))),'Operating costs'!$B$66,0),"n.a."))</f>
        <v>0</v>
      </c>
      <c r="N3292" s="16">
        <f>IF(NOT(Paths!$C$305=1),0,IF(Paths!$P$305="Complete",SUM(G3292:I3292)-J3292-K3292-L3292+M3292+IF(C3292=0,Paths!$F$305,0)+IF(IF(Paths!$E$305=0,C3292=0,AND(C3292&gt;0,Paths!$E$305&gt;(C3292-1)*12,Paths!$E$305&lt;=C3292*12)),VLOOKUP(A3292,'Fleet register'!$A$7:$S$106,16,FALSE),0),"n.a."))</f>
        <v>0</v>
      </c>
      <c r="O3292" s="16">
        <f>IF(NOT(Paths!$C$305=1),0,IF(Paths!$P$305="Complete",N3292-IF(C3292=0,Paths!$F$305,0),"n.a."))</f>
        <v>0</v>
      </c>
      <c r="P3292" s="16">
        <f>IF(NOT(Paths!$C$305=1),0,IF(Paths!$P$305="Complete",O3292+L3292,"n.a."))</f>
        <v>0</v>
      </c>
      <c r="Q3292" s="16">
        <f>IF(NOT(Paths!$C$305=1),0,IF(Paths!$P$305="Complete",N3292*(1+'Operating costs'!$B$54)^-C3292,"n.a."))</f>
        <v>0</v>
      </c>
      <c r="R3292" s="16">
        <f>IF(NOT(Paths!$C$305=1),0,IF(Paths!$P$305="Complete",IF(AND(C3292=0,Paths!$E$305=0),I3292-J3292-K3292+VLOOKUP(A3292,'Fleet register'!$A$7:$S$106,15,FALSE)+VLOOKUP(A3292,'Fleet register'!$A$7:$S$106,16,FALSE),0),"n.a."))</f>
        <v>0</v>
      </c>
      <c r="S3292" s="1">
        <f>IF(NOT(Paths!$C$305=1),0,IF(Paths!$P$305="Complete",IF(C3292=0,0,Paths!$S$305*Paths!$R$305),"n.a."))</f>
        <v>0</v>
      </c>
      <c r="T3292" s="1">
        <f>IF(NOT(Paths!$C$305=1),0,IF(Paths!$P$305="Complete",IF(C3292=0,0,VLOOKUP(A3292,'Fleet register'!$A$7:$S$106,9,FALSE)*Paths!$R$305),"n.a."))</f>
        <v>0</v>
      </c>
    </row>
    <row r="3293" spans="1:20" ht="24" customHeight="1">
      <c r="A3293" s="1" t="str">
        <f>Paths!$A$305</f>
        <v>T075</v>
      </c>
      <c r="B3293" s="1">
        <f>Paths!$B$305</f>
        <v>2</v>
      </c>
      <c r="C3293" s="1">
        <v>8</v>
      </c>
      <c r="D3293" s="1">
        <v>305</v>
      </c>
      <c r="E3293" s="1">
        <f>IF(OR(Paths!$C$305=0,C3293=0),0,MAX(0,MIN(C3293*12,Paths!$E$305)-(C3293-1)*12))</f>
        <v>0</v>
      </c>
      <c r="F3293" s="1">
        <f>IF(OR(Paths!$C$305=0,C3293=0),0,12-E3293)</f>
        <v>0</v>
      </c>
      <c r="G3293" s="16">
        <f>IF(NOT(Paths!$C$305=1),0,IF(Paths!$P$305="Complete",E3293/12*(Paths!$J$305*(1+'Operating costs'!$B$51)^MAX(0,C3293-1)+Paths!$K$305*(1+'Operating costs'!$B$53)^MAX(0,C3293-1)),"n.a."))</f>
        <v>0</v>
      </c>
      <c r="H3293" s="16">
        <f>IF(NOT(Paths!$C$305=1),0,IF(Paths!$P$305="Complete",F3293/12*(Paths!$L$305*(1+IF(Paths!$D$305="EV",'Operating costs'!$B$52,'Operating costs'!$B$51))^MAX(0,C3293-1)+Paths!$M$305*(1+'Operating costs'!$B$53)^MAX(0,C3293-1)),"n.a."))</f>
        <v>0</v>
      </c>
      <c r="I3293" s="16">
        <f>IF(NOT(Paths!$C$305=1),0,IF(Paths!$P$305="Complete",IF(IF(Paths!$E$305=0,C3293=0,AND(C3293&gt;0,Paths!$E$305&gt;(C3293-1)*12,Paths!$E$305&lt;=C3293*12)),Paths!$G$305,0),"n.a."))</f>
        <v>0</v>
      </c>
      <c r="J3293" s="16">
        <f>IF(NOT(Paths!$C$305=1),0,IF(Paths!$P$305="Complete",IF(IF(Paths!$E$305=0,C3293=0,AND(C3293&gt;0,Paths!$E$305&gt;(C3293-1)*12,Paths!$E$305&lt;=C3293*12)),Paths!$H$305,0),"n.a."))</f>
        <v>0</v>
      </c>
      <c r="K3293" s="16">
        <f>IF(NOT(Paths!$C$305=1),0,IF(Paths!$P$305="Complete",IF(IF(Paths!$O$305=0,C3293=0,AND(C3293&gt;0,Paths!$O$305&gt;(C3293-1)*12,Paths!$O$305&lt;=C3293*12)),Paths!$N$305,0),"n.a."))</f>
        <v>0</v>
      </c>
      <c r="L3293" s="16">
        <f>IF(NOT(Paths!$C$305=1),0,IF(Paths!$P$305="Complete",IF(C3293=10,Paths!$I$305,0),"n.a."))</f>
        <v>0</v>
      </c>
      <c r="M3293" s="16">
        <f>IF(NOT(Paths!$C$305=1),0,IF(Paths!$P$305="Complete",IF(AND(Paths!$D$305="EV",Paths!$E$305&lt;120,Paths!$E$305+'Operating costs'!$B$65&gt;Paths!$E$305,Paths!$E$305+'Operating costs'!$B$65&lt;=120,IF(Paths!$E$305+'Operating costs'!$B$65=0,C3293=0,AND(C3293&gt;0,Paths!$E$305+'Operating costs'!$B$65&gt;(C3293-1)*12,Paths!$E$305+'Operating costs'!$B$65&lt;=C3293*12))),'Operating costs'!$B$64,0)+IF(AND('Operating costs'!$B$67&gt;0,'Operating costs'!$B$67&lt;=120,OR(Paths!$D$305="ICE",'Operating costs'!$B$67&lt;=Paths!$E$305),IF('Operating costs'!$B$67=0,C3293=0,AND(C3293&gt;0,'Operating costs'!$B$67&gt;(C3293-1)*12,'Operating costs'!$B$67&lt;=C3293*12))),'Operating costs'!$B$66,0),"n.a."))</f>
        <v>0</v>
      </c>
      <c r="N3293" s="16">
        <f>IF(NOT(Paths!$C$305=1),0,IF(Paths!$P$305="Complete",SUM(G3293:I3293)-J3293-K3293-L3293+M3293+IF(C3293=0,Paths!$F$305,0)+IF(IF(Paths!$E$305=0,C3293=0,AND(C3293&gt;0,Paths!$E$305&gt;(C3293-1)*12,Paths!$E$305&lt;=C3293*12)),VLOOKUP(A3293,'Fleet register'!$A$7:$S$106,16,FALSE),0),"n.a."))</f>
        <v>0</v>
      </c>
      <c r="O3293" s="16">
        <f>IF(NOT(Paths!$C$305=1),0,IF(Paths!$P$305="Complete",N3293-IF(C3293=0,Paths!$F$305,0),"n.a."))</f>
        <v>0</v>
      </c>
      <c r="P3293" s="16">
        <f>IF(NOT(Paths!$C$305=1),0,IF(Paths!$P$305="Complete",O3293+L3293,"n.a."))</f>
        <v>0</v>
      </c>
      <c r="Q3293" s="16">
        <f>IF(NOT(Paths!$C$305=1),0,IF(Paths!$P$305="Complete",N3293*(1+'Operating costs'!$B$54)^-C3293,"n.a."))</f>
        <v>0</v>
      </c>
      <c r="R3293" s="16">
        <f>IF(NOT(Paths!$C$305=1),0,IF(Paths!$P$305="Complete",IF(AND(C3293=0,Paths!$E$305=0),I3293-J3293-K3293+VLOOKUP(A3293,'Fleet register'!$A$7:$S$106,15,FALSE)+VLOOKUP(A3293,'Fleet register'!$A$7:$S$106,16,FALSE),0),"n.a."))</f>
        <v>0</v>
      </c>
      <c r="S3293" s="1">
        <f>IF(NOT(Paths!$C$305=1),0,IF(Paths!$P$305="Complete",IF(C3293=0,0,Paths!$S$305*Paths!$R$305),"n.a."))</f>
        <v>0</v>
      </c>
      <c r="T3293" s="1">
        <f>IF(NOT(Paths!$C$305=1),0,IF(Paths!$P$305="Complete",IF(C3293=0,0,VLOOKUP(A3293,'Fleet register'!$A$7:$S$106,9,FALSE)*Paths!$R$305),"n.a."))</f>
        <v>0</v>
      </c>
    </row>
    <row r="3294" spans="1:20" ht="24" customHeight="1">
      <c r="A3294" s="1" t="str">
        <f>Paths!$A$305</f>
        <v>T075</v>
      </c>
      <c r="B3294" s="1">
        <f>Paths!$B$305</f>
        <v>2</v>
      </c>
      <c r="C3294" s="1">
        <v>9</v>
      </c>
      <c r="D3294" s="1">
        <v>305</v>
      </c>
      <c r="E3294" s="1">
        <f>IF(OR(Paths!$C$305=0,C3294=0),0,MAX(0,MIN(C3294*12,Paths!$E$305)-(C3294-1)*12))</f>
        <v>0</v>
      </c>
      <c r="F3294" s="1">
        <f>IF(OR(Paths!$C$305=0,C3294=0),0,12-E3294)</f>
        <v>0</v>
      </c>
      <c r="G3294" s="16">
        <f>IF(NOT(Paths!$C$305=1),0,IF(Paths!$P$305="Complete",E3294/12*(Paths!$J$305*(1+'Operating costs'!$B$51)^MAX(0,C3294-1)+Paths!$K$305*(1+'Operating costs'!$B$53)^MAX(0,C3294-1)),"n.a."))</f>
        <v>0</v>
      </c>
      <c r="H3294" s="16">
        <f>IF(NOT(Paths!$C$305=1),0,IF(Paths!$P$305="Complete",F3294/12*(Paths!$L$305*(1+IF(Paths!$D$305="EV",'Operating costs'!$B$52,'Operating costs'!$B$51))^MAX(0,C3294-1)+Paths!$M$305*(1+'Operating costs'!$B$53)^MAX(0,C3294-1)),"n.a."))</f>
        <v>0</v>
      </c>
      <c r="I3294" s="16">
        <f>IF(NOT(Paths!$C$305=1),0,IF(Paths!$P$305="Complete",IF(IF(Paths!$E$305=0,C3294=0,AND(C3294&gt;0,Paths!$E$305&gt;(C3294-1)*12,Paths!$E$305&lt;=C3294*12)),Paths!$G$305,0),"n.a."))</f>
        <v>0</v>
      </c>
      <c r="J3294" s="16">
        <f>IF(NOT(Paths!$C$305=1),0,IF(Paths!$P$305="Complete",IF(IF(Paths!$E$305=0,C3294=0,AND(C3294&gt;0,Paths!$E$305&gt;(C3294-1)*12,Paths!$E$305&lt;=C3294*12)),Paths!$H$305,0),"n.a."))</f>
        <v>0</v>
      </c>
      <c r="K3294" s="16">
        <f>IF(NOT(Paths!$C$305=1),0,IF(Paths!$P$305="Complete",IF(IF(Paths!$O$305=0,C3294=0,AND(C3294&gt;0,Paths!$O$305&gt;(C3294-1)*12,Paths!$O$305&lt;=C3294*12)),Paths!$N$305,0),"n.a."))</f>
        <v>0</v>
      </c>
      <c r="L3294" s="16">
        <f>IF(NOT(Paths!$C$305=1),0,IF(Paths!$P$305="Complete",IF(C3294=10,Paths!$I$305,0),"n.a."))</f>
        <v>0</v>
      </c>
      <c r="M3294" s="16">
        <f>IF(NOT(Paths!$C$305=1),0,IF(Paths!$P$305="Complete",IF(AND(Paths!$D$305="EV",Paths!$E$305&lt;120,Paths!$E$305+'Operating costs'!$B$65&gt;Paths!$E$305,Paths!$E$305+'Operating costs'!$B$65&lt;=120,IF(Paths!$E$305+'Operating costs'!$B$65=0,C3294=0,AND(C3294&gt;0,Paths!$E$305+'Operating costs'!$B$65&gt;(C3294-1)*12,Paths!$E$305+'Operating costs'!$B$65&lt;=C3294*12))),'Operating costs'!$B$64,0)+IF(AND('Operating costs'!$B$67&gt;0,'Operating costs'!$B$67&lt;=120,OR(Paths!$D$305="ICE",'Operating costs'!$B$67&lt;=Paths!$E$305),IF('Operating costs'!$B$67=0,C3294=0,AND(C3294&gt;0,'Operating costs'!$B$67&gt;(C3294-1)*12,'Operating costs'!$B$67&lt;=C3294*12))),'Operating costs'!$B$66,0),"n.a."))</f>
        <v>0</v>
      </c>
      <c r="N3294" s="16">
        <f>IF(NOT(Paths!$C$305=1),0,IF(Paths!$P$305="Complete",SUM(G3294:I3294)-J3294-K3294-L3294+M3294+IF(C3294=0,Paths!$F$305,0)+IF(IF(Paths!$E$305=0,C3294=0,AND(C3294&gt;0,Paths!$E$305&gt;(C3294-1)*12,Paths!$E$305&lt;=C3294*12)),VLOOKUP(A3294,'Fleet register'!$A$7:$S$106,16,FALSE),0),"n.a."))</f>
        <v>0</v>
      </c>
      <c r="O3294" s="16">
        <f>IF(NOT(Paths!$C$305=1),0,IF(Paths!$P$305="Complete",N3294-IF(C3294=0,Paths!$F$305,0),"n.a."))</f>
        <v>0</v>
      </c>
      <c r="P3294" s="16">
        <f>IF(NOT(Paths!$C$305=1),0,IF(Paths!$P$305="Complete",O3294+L3294,"n.a."))</f>
        <v>0</v>
      </c>
      <c r="Q3294" s="16">
        <f>IF(NOT(Paths!$C$305=1),0,IF(Paths!$P$305="Complete",N3294*(1+'Operating costs'!$B$54)^-C3294,"n.a."))</f>
        <v>0</v>
      </c>
      <c r="R3294" s="16">
        <f>IF(NOT(Paths!$C$305=1),0,IF(Paths!$P$305="Complete",IF(AND(C3294=0,Paths!$E$305=0),I3294-J3294-K3294+VLOOKUP(A3294,'Fleet register'!$A$7:$S$106,15,FALSE)+VLOOKUP(A3294,'Fleet register'!$A$7:$S$106,16,FALSE),0),"n.a."))</f>
        <v>0</v>
      </c>
      <c r="S3294" s="1">
        <f>IF(NOT(Paths!$C$305=1),0,IF(Paths!$P$305="Complete",IF(C3294=0,0,Paths!$S$305*Paths!$R$305),"n.a."))</f>
        <v>0</v>
      </c>
      <c r="T3294" s="1">
        <f>IF(NOT(Paths!$C$305=1),0,IF(Paths!$P$305="Complete",IF(C3294=0,0,VLOOKUP(A3294,'Fleet register'!$A$7:$S$106,9,FALSE)*Paths!$R$305),"n.a."))</f>
        <v>0</v>
      </c>
    </row>
    <row r="3295" spans="1:20" ht="24" customHeight="1">
      <c r="A3295" s="1" t="str">
        <f>Paths!$A$305</f>
        <v>T075</v>
      </c>
      <c r="B3295" s="1">
        <f>Paths!$B$305</f>
        <v>2</v>
      </c>
      <c r="C3295" s="1">
        <v>10</v>
      </c>
      <c r="D3295" s="1">
        <v>305</v>
      </c>
      <c r="E3295" s="1">
        <f>IF(OR(Paths!$C$305=0,C3295=0),0,MAX(0,MIN(C3295*12,Paths!$E$305)-(C3295-1)*12))</f>
        <v>0</v>
      </c>
      <c r="F3295" s="1">
        <f>IF(OR(Paths!$C$305=0,C3295=0),0,12-E3295)</f>
        <v>0</v>
      </c>
      <c r="G3295" s="16">
        <f>IF(NOT(Paths!$C$305=1),0,IF(Paths!$P$305="Complete",E3295/12*(Paths!$J$305*(1+'Operating costs'!$B$51)^MAX(0,C3295-1)+Paths!$K$305*(1+'Operating costs'!$B$53)^MAX(0,C3295-1)),"n.a."))</f>
        <v>0</v>
      </c>
      <c r="H3295" s="16">
        <f>IF(NOT(Paths!$C$305=1),0,IF(Paths!$P$305="Complete",F3295/12*(Paths!$L$305*(1+IF(Paths!$D$305="EV",'Operating costs'!$B$52,'Operating costs'!$B$51))^MAX(0,C3295-1)+Paths!$M$305*(1+'Operating costs'!$B$53)^MAX(0,C3295-1)),"n.a."))</f>
        <v>0</v>
      </c>
      <c r="I3295" s="16">
        <f>IF(NOT(Paths!$C$305=1),0,IF(Paths!$P$305="Complete",IF(IF(Paths!$E$305=0,C3295=0,AND(C3295&gt;0,Paths!$E$305&gt;(C3295-1)*12,Paths!$E$305&lt;=C3295*12)),Paths!$G$305,0),"n.a."))</f>
        <v>0</v>
      </c>
      <c r="J3295" s="16">
        <f>IF(NOT(Paths!$C$305=1),0,IF(Paths!$P$305="Complete",IF(IF(Paths!$E$305=0,C3295=0,AND(C3295&gt;0,Paths!$E$305&gt;(C3295-1)*12,Paths!$E$305&lt;=C3295*12)),Paths!$H$305,0),"n.a."))</f>
        <v>0</v>
      </c>
      <c r="K3295" s="16">
        <f>IF(NOT(Paths!$C$305=1),0,IF(Paths!$P$305="Complete",IF(IF(Paths!$O$305=0,C3295=0,AND(C3295&gt;0,Paths!$O$305&gt;(C3295-1)*12,Paths!$O$305&lt;=C3295*12)),Paths!$N$305,0),"n.a."))</f>
        <v>0</v>
      </c>
      <c r="L3295" s="16">
        <f>IF(NOT(Paths!$C$305=1),0,IF(Paths!$P$305="Complete",IF(C3295=10,Paths!$I$305,0),"n.a."))</f>
        <v>0</v>
      </c>
      <c r="M3295" s="16">
        <f>IF(NOT(Paths!$C$305=1),0,IF(Paths!$P$305="Complete",IF(AND(Paths!$D$305="EV",Paths!$E$305&lt;120,Paths!$E$305+'Operating costs'!$B$65&gt;Paths!$E$305,Paths!$E$305+'Operating costs'!$B$65&lt;=120,IF(Paths!$E$305+'Operating costs'!$B$65=0,C3295=0,AND(C3295&gt;0,Paths!$E$305+'Operating costs'!$B$65&gt;(C3295-1)*12,Paths!$E$305+'Operating costs'!$B$65&lt;=C3295*12))),'Operating costs'!$B$64,0)+IF(AND('Operating costs'!$B$67&gt;0,'Operating costs'!$B$67&lt;=120,OR(Paths!$D$305="ICE",'Operating costs'!$B$67&lt;=Paths!$E$305),IF('Operating costs'!$B$67=0,C3295=0,AND(C3295&gt;0,'Operating costs'!$B$67&gt;(C3295-1)*12,'Operating costs'!$B$67&lt;=C3295*12))),'Operating costs'!$B$66,0),"n.a."))</f>
        <v>0</v>
      </c>
      <c r="N3295" s="16">
        <f>IF(NOT(Paths!$C$305=1),0,IF(Paths!$P$305="Complete",SUM(G3295:I3295)-J3295-K3295-L3295+M3295+IF(C3295=0,Paths!$F$305,0)+IF(IF(Paths!$E$305=0,C3295=0,AND(C3295&gt;0,Paths!$E$305&gt;(C3295-1)*12,Paths!$E$305&lt;=C3295*12)),VLOOKUP(A3295,'Fleet register'!$A$7:$S$106,16,FALSE),0),"n.a."))</f>
        <v>0</v>
      </c>
      <c r="O3295" s="16">
        <f>IF(NOT(Paths!$C$305=1),0,IF(Paths!$P$305="Complete",N3295-IF(C3295=0,Paths!$F$305,0),"n.a."))</f>
        <v>0</v>
      </c>
      <c r="P3295" s="16">
        <f>IF(NOT(Paths!$C$305=1),0,IF(Paths!$P$305="Complete",O3295+L3295,"n.a."))</f>
        <v>0</v>
      </c>
      <c r="Q3295" s="16">
        <f>IF(NOT(Paths!$C$305=1),0,IF(Paths!$P$305="Complete",N3295*(1+'Operating costs'!$B$54)^-C3295,"n.a."))</f>
        <v>0</v>
      </c>
      <c r="R3295" s="16">
        <f>IF(NOT(Paths!$C$305=1),0,IF(Paths!$P$305="Complete",IF(AND(C3295=0,Paths!$E$305=0),I3295-J3295-K3295+VLOOKUP(A3295,'Fleet register'!$A$7:$S$106,15,FALSE)+VLOOKUP(A3295,'Fleet register'!$A$7:$S$106,16,FALSE),0),"n.a."))</f>
        <v>0</v>
      </c>
      <c r="S3295" s="1">
        <f>IF(NOT(Paths!$C$305=1),0,IF(Paths!$P$305="Complete",IF(C3295=0,0,Paths!$S$305*Paths!$R$305),"n.a."))</f>
        <v>0</v>
      </c>
      <c r="T3295" s="1">
        <f>IF(NOT(Paths!$C$305=1),0,IF(Paths!$P$305="Complete",IF(C3295=0,0,VLOOKUP(A3295,'Fleet register'!$A$7:$S$106,9,FALSE)*Paths!$R$305),"n.a."))</f>
        <v>0</v>
      </c>
    </row>
    <row r="3296" spans="1:20" ht="24" customHeight="1">
      <c r="A3296" s="1" t="str">
        <f>Paths!$A$306</f>
        <v>T075</v>
      </c>
      <c r="B3296" s="1">
        <f>Paths!$B$306</f>
        <v>3</v>
      </c>
      <c r="C3296" s="1">
        <v>0</v>
      </c>
      <c r="D3296" s="1">
        <v>306</v>
      </c>
      <c r="E3296" s="1">
        <f>IF(OR(Paths!$C$306=0,C3296=0),0,MAX(0,MIN(C3296*12,Paths!$E$306)-(C3296-1)*12))</f>
        <v>0</v>
      </c>
      <c r="F3296" s="1">
        <f>IF(OR(Paths!$C$306=0,C3296=0),0,12-E3296)</f>
        <v>0</v>
      </c>
      <c r="G3296" s="16">
        <f>IF(NOT(Paths!$C$306=1),0,IF(Paths!$P$306="Complete",E3296/12*(Paths!$J$306*(1+'Operating costs'!$B$51)^MAX(0,C3296-1)+Paths!$K$306*(1+'Operating costs'!$B$53)^MAX(0,C3296-1)),"n.a."))</f>
        <v>0</v>
      </c>
      <c r="H3296" s="16">
        <f>IF(NOT(Paths!$C$306=1),0,IF(Paths!$P$306="Complete",F3296/12*(Paths!$L$306*(1+IF(Paths!$D$306="EV",'Operating costs'!$B$52,'Operating costs'!$B$51))^MAX(0,C3296-1)+Paths!$M$306*(1+'Operating costs'!$B$53)^MAX(0,C3296-1)),"n.a."))</f>
        <v>0</v>
      </c>
      <c r="I3296" s="16">
        <f>IF(NOT(Paths!$C$306=1),0,IF(Paths!$P$306="Complete",IF(IF(Paths!$E$306=0,C3296=0,AND(C3296&gt;0,Paths!$E$306&gt;(C3296-1)*12,Paths!$E$306&lt;=C3296*12)),Paths!$G$306,0),"n.a."))</f>
        <v>0</v>
      </c>
      <c r="J3296" s="16">
        <f>IF(NOT(Paths!$C$306=1),0,IF(Paths!$P$306="Complete",IF(IF(Paths!$E$306=0,C3296=0,AND(C3296&gt;0,Paths!$E$306&gt;(C3296-1)*12,Paths!$E$306&lt;=C3296*12)),Paths!$H$306,0),"n.a."))</f>
        <v>0</v>
      </c>
      <c r="K3296" s="16">
        <f>IF(NOT(Paths!$C$306=1),0,IF(Paths!$P$306="Complete",IF(IF(Paths!$O$306=0,C3296=0,AND(C3296&gt;0,Paths!$O$306&gt;(C3296-1)*12,Paths!$O$306&lt;=C3296*12)),Paths!$N$306,0),"n.a."))</f>
        <v>0</v>
      </c>
      <c r="L3296" s="16">
        <f>IF(NOT(Paths!$C$306=1),0,IF(Paths!$P$306="Complete",IF(C3296=10,Paths!$I$306,0),"n.a."))</f>
        <v>0</v>
      </c>
      <c r="M3296" s="16">
        <f>IF(NOT(Paths!$C$306=1),0,IF(Paths!$P$306="Complete",IF(AND(Paths!$D$306="EV",Paths!$E$306&lt;120,Paths!$E$306+'Operating costs'!$B$65&gt;Paths!$E$306,Paths!$E$306+'Operating costs'!$B$65&lt;=120,IF(Paths!$E$306+'Operating costs'!$B$65=0,C3296=0,AND(C3296&gt;0,Paths!$E$306+'Operating costs'!$B$65&gt;(C3296-1)*12,Paths!$E$306+'Operating costs'!$B$65&lt;=C3296*12))),'Operating costs'!$B$64,0)+IF(AND('Operating costs'!$B$67&gt;0,'Operating costs'!$B$67&lt;=120,OR(Paths!$D$306="ICE",'Operating costs'!$B$67&lt;=Paths!$E$306),IF('Operating costs'!$B$67=0,C3296=0,AND(C3296&gt;0,'Operating costs'!$B$67&gt;(C3296-1)*12,'Operating costs'!$B$67&lt;=C3296*12))),'Operating costs'!$B$66,0),"n.a."))</f>
        <v>0</v>
      </c>
      <c r="N3296" s="16">
        <f>IF(NOT(Paths!$C$306=1),0,IF(Paths!$P$306="Complete",SUM(G3296:I3296)-J3296-K3296-L3296+M3296+IF(C3296=0,Paths!$F$306,0)+IF(IF(Paths!$E$306=0,C3296=0,AND(C3296&gt;0,Paths!$E$306&gt;(C3296-1)*12,Paths!$E$306&lt;=C3296*12)),VLOOKUP(A3296,'Fleet register'!$A$7:$S$106,16,FALSE),0),"n.a."))</f>
        <v>0</v>
      </c>
      <c r="O3296" s="16">
        <f>IF(NOT(Paths!$C$306=1),0,IF(Paths!$P$306="Complete",N3296-IF(C3296=0,Paths!$F$306,0),"n.a."))</f>
        <v>0</v>
      </c>
      <c r="P3296" s="16">
        <f>IF(NOT(Paths!$C$306=1),0,IF(Paths!$P$306="Complete",O3296+L3296,"n.a."))</f>
        <v>0</v>
      </c>
      <c r="Q3296" s="16">
        <f>IF(NOT(Paths!$C$306=1),0,IF(Paths!$P$306="Complete",N3296*(1+'Operating costs'!$B$54)^-C3296,"n.a."))</f>
        <v>0</v>
      </c>
      <c r="R3296" s="16">
        <f>IF(NOT(Paths!$C$306=1),0,IF(Paths!$P$306="Complete",IF(AND(C3296=0,Paths!$E$306=0),I3296-J3296-K3296+VLOOKUP(A3296,'Fleet register'!$A$7:$S$106,15,FALSE)+VLOOKUP(A3296,'Fleet register'!$A$7:$S$106,16,FALSE),0),"n.a."))</f>
        <v>0</v>
      </c>
      <c r="S3296" s="1">
        <f>IF(NOT(Paths!$C$306=1),0,IF(Paths!$P$306="Complete",IF(C3296=0,0,Paths!$S$306*Paths!$R$306),"n.a."))</f>
        <v>0</v>
      </c>
      <c r="T3296" s="1">
        <f>IF(NOT(Paths!$C$306=1),0,IF(Paths!$P$306="Complete",IF(C3296=0,0,VLOOKUP(A3296,'Fleet register'!$A$7:$S$106,9,FALSE)*Paths!$R$306),"n.a."))</f>
        <v>0</v>
      </c>
    </row>
    <row r="3297" spans="1:20" ht="24" customHeight="1">
      <c r="A3297" s="1" t="str">
        <f>Paths!$A$306</f>
        <v>T075</v>
      </c>
      <c r="B3297" s="1">
        <f>Paths!$B$306</f>
        <v>3</v>
      </c>
      <c r="C3297" s="1">
        <v>1</v>
      </c>
      <c r="D3297" s="1">
        <v>306</v>
      </c>
      <c r="E3297" s="1">
        <f>IF(OR(Paths!$C$306=0,C3297=0),0,MAX(0,MIN(C3297*12,Paths!$E$306)-(C3297-1)*12))</f>
        <v>0</v>
      </c>
      <c r="F3297" s="1">
        <f>IF(OR(Paths!$C$306=0,C3297=0),0,12-E3297)</f>
        <v>0</v>
      </c>
      <c r="G3297" s="16">
        <f>IF(NOT(Paths!$C$306=1),0,IF(Paths!$P$306="Complete",E3297/12*(Paths!$J$306*(1+'Operating costs'!$B$51)^MAX(0,C3297-1)+Paths!$K$306*(1+'Operating costs'!$B$53)^MAX(0,C3297-1)),"n.a."))</f>
        <v>0</v>
      </c>
      <c r="H3297" s="16">
        <f>IF(NOT(Paths!$C$306=1),0,IF(Paths!$P$306="Complete",F3297/12*(Paths!$L$306*(1+IF(Paths!$D$306="EV",'Operating costs'!$B$52,'Operating costs'!$B$51))^MAX(0,C3297-1)+Paths!$M$306*(1+'Operating costs'!$B$53)^MAX(0,C3297-1)),"n.a."))</f>
        <v>0</v>
      </c>
      <c r="I3297" s="16">
        <f>IF(NOT(Paths!$C$306=1),0,IF(Paths!$P$306="Complete",IF(IF(Paths!$E$306=0,C3297=0,AND(C3297&gt;0,Paths!$E$306&gt;(C3297-1)*12,Paths!$E$306&lt;=C3297*12)),Paths!$G$306,0),"n.a."))</f>
        <v>0</v>
      </c>
      <c r="J3297" s="16">
        <f>IF(NOT(Paths!$C$306=1),0,IF(Paths!$P$306="Complete",IF(IF(Paths!$E$306=0,C3297=0,AND(C3297&gt;0,Paths!$E$306&gt;(C3297-1)*12,Paths!$E$306&lt;=C3297*12)),Paths!$H$306,0),"n.a."))</f>
        <v>0</v>
      </c>
      <c r="K3297" s="16">
        <f>IF(NOT(Paths!$C$306=1),0,IF(Paths!$P$306="Complete",IF(IF(Paths!$O$306=0,C3297=0,AND(C3297&gt;0,Paths!$O$306&gt;(C3297-1)*12,Paths!$O$306&lt;=C3297*12)),Paths!$N$306,0),"n.a."))</f>
        <v>0</v>
      </c>
      <c r="L3297" s="16">
        <f>IF(NOT(Paths!$C$306=1),0,IF(Paths!$P$306="Complete",IF(C3297=10,Paths!$I$306,0),"n.a."))</f>
        <v>0</v>
      </c>
      <c r="M3297" s="16">
        <f>IF(NOT(Paths!$C$306=1),0,IF(Paths!$P$306="Complete",IF(AND(Paths!$D$306="EV",Paths!$E$306&lt;120,Paths!$E$306+'Operating costs'!$B$65&gt;Paths!$E$306,Paths!$E$306+'Operating costs'!$B$65&lt;=120,IF(Paths!$E$306+'Operating costs'!$B$65=0,C3297=0,AND(C3297&gt;0,Paths!$E$306+'Operating costs'!$B$65&gt;(C3297-1)*12,Paths!$E$306+'Operating costs'!$B$65&lt;=C3297*12))),'Operating costs'!$B$64,0)+IF(AND('Operating costs'!$B$67&gt;0,'Operating costs'!$B$67&lt;=120,OR(Paths!$D$306="ICE",'Operating costs'!$B$67&lt;=Paths!$E$306),IF('Operating costs'!$B$67=0,C3297=0,AND(C3297&gt;0,'Operating costs'!$B$67&gt;(C3297-1)*12,'Operating costs'!$B$67&lt;=C3297*12))),'Operating costs'!$B$66,0),"n.a."))</f>
        <v>0</v>
      </c>
      <c r="N3297" s="16">
        <f>IF(NOT(Paths!$C$306=1),0,IF(Paths!$P$306="Complete",SUM(G3297:I3297)-J3297-K3297-L3297+M3297+IF(C3297=0,Paths!$F$306,0)+IF(IF(Paths!$E$306=0,C3297=0,AND(C3297&gt;0,Paths!$E$306&gt;(C3297-1)*12,Paths!$E$306&lt;=C3297*12)),VLOOKUP(A3297,'Fleet register'!$A$7:$S$106,16,FALSE),0),"n.a."))</f>
        <v>0</v>
      </c>
      <c r="O3297" s="16">
        <f>IF(NOT(Paths!$C$306=1),0,IF(Paths!$P$306="Complete",N3297-IF(C3297=0,Paths!$F$306,0),"n.a."))</f>
        <v>0</v>
      </c>
      <c r="P3297" s="16">
        <f>IF(NOT(Paths!$C$306=1),0,IF(Paths!$P$306="Complete",O3297+L3297,"n.a."))</f>
        <v>0</v>
      </c>
      <c r="Q3297" s="16">
        <f>IF(NOT(Paths!$C$306=1),0,IF(Paths!$P$306="Complete",N3297*(1+'Operating costs'!$B$54)^-C3297,"n.a."))</f>
        <v>0</v>
      </c>
      <c r="R3297" s="16">
        <f>IF(NOT(Paths!$C$306=1),0,IF(Paths!$P$306="Complete",IF(AND(C3297=0,Paths!$E$306=0),I3297-J3297-K3297+VLOOKUP(A3297,'Fleet register'!$A$7:$S$106,15,FALSE)+VLOOKUP(A3297,'Fleet register'!$A$7:$S$106,16,FALSE),0),"n.a."))</f>
        <v>0</v>
      </c>
      <c r="S3297" s="1">
        <f>IF(NOT(Paths!$C$306=1),0,IF(Paths!$P$306="Complete",IF(C3297=0,0,Paths!$S$306*Paths!$R$306),"n.a."))</f>
        <v>0</v>
      </c>
      <c r="T3297" s="1">
        <f>IF(NOT(Paths!$C$306=1),0,IF(Paths!$P$306="Complete",IF(C3297=0,0,VLOOKUP(A3297,'Fleet register'!$A$7:$S$106,9,FALSE)*Paths!$R$306),"n.a."))</f>
        <v>0</v>
      </c>
    </row>
    <row r="3298" spans="1:20" ht="24" customHeight="1">
      <c r="A3298" s="1" t="str">
        <f>Paths!$A$306</f>
        <v>T075</v>
      </c>
      <c r="B3298" s="1">
        <f>Paths!$B$306</f>
        <v>3</v>
      </c>
      <c r="C3298" s="1">
        <v>2</v>
      </c>
      <c r="D3298" s="1">
        <v>306</v>
      </c>
      <c r="E3298" s="1">
        <f>IF(OR(Paths!$C$306=0,C3298=0),0,MAX(0,MIN(C3298*12,Paths!$E$306)-(C3298-1)*12))</f>
        <v>0</v>
      </c>
      <c r="F3298" s="1">
        <f>IF(OR(Paths!$C$306=0,C3298=0),0,12-E3298)</f>
        <v>0</v>
      </c>
      <c r="G3298" s="16">
        <f>IF(NOT(Paths!$C$306=1),0,IF(Paths!$P$306="Complete",E3298/12*(Paths!$J$306*(1+'Operating costs'!$B$51)^MAX(0,C3298-1)+Paths!$K$306*(1+'Operating costs'!$B$53)^MAX(0,C3298-1)),"n.a."))</f>
        <v>0</v>
      </c>
      <c r="H3298" s="16">
        <f>IF(NOT(Paths!$C$306=1),0,IF(Paths!$P$306="Complete",F3298/12*(Paths!$L$306*(1+IF(Paths!$D$306="EV",'Operating costs'!$B$52,'Operating costs'!$B$51))^MAX(0,C3298-1)+Paths!$M$306*(1+'Operating costs'!$B$53)^MAX(0,C3298-1)),"n.a."))</f>
        <v>0</v>
      </c>
      <c r="I3298" s="16">
        <f>IF(NOT(Paths!$C$306=1),0,IF(Paths!$P$306="Complete",IF(IF(Paths!$E$306=0,C3298=0,AND(C3298&gt;0,Paths!$E$306&gt;(C3298-1)*12,Paths!$E$306&lt;=C3298*12)),Paths!$G$306,0),"n.a."))</f>
        <v>0</v>
      </c>
      <c r="J3298" s="16">
        <f>IF(NOT(Paths!$C$306=1),0,IF(Paths!$P$306="Complete",IF(IF(Paths!$E$306=0,C3298=0,AND(C3298&gt;0,Paths!$E$306&gt;(C3298-1)*12,Paths!$E$306&lt;=C3298*12)),Paths!$H$306,0),"n.a."))</f>
        <v>0</v>
      </c>
      <c r="K3298" s="16">
        <f>IF(NOT(Paths!$C$306=1),0,IF(Paths!$P$306="Complete",IF(IF(Paths!$O$306=0,C3298=0,AND(C3298&gt;0,Paths!$O$306&gt;(C3298-1)*12,Paths!$O$306&lt;=C3298*12)),Paths!$N$306,0),"n.a."))</f>
        <v>0</v>
      </c>
      <c r="L3298" s="16">
        <f>IF(NOT(Paths!$C$306=1),0,IF(Paths!$P$306="Complete",IF(C3298=10,Paths!$I$306,0),"n.a."))</f>
        <v>0</v>
      </c>
      <c r="M3298" s="16">
        <f>IF(NOT(Paths!$C$306=1),0,IF(Paths!$P$306="Complete",IF(AND(Paths!$D$306="EV",Paths!$E$306&lt;120,Paths!$E$306+'Operating costs'!$B$65&gt;Paths!$E$306,Paths!$E$306+'Operating costs'!$B$65&lt;=120,IF(Paths!$E$306+'Operating costs'!$B$65=0,C3298=0,AND(C3298&gt;0,Paths!$E$306+'Operating costs'!$B$65&gt;(C3298-1)*12,Paths!$E$306+'Operating costs'!$B$65&lt;=C3298*12))),'Operating costs'!$B$64,0)+IF(AND('Operating costs'!$B$67&gt;0,'Operating costs'!$B$67&lt;=120,OR(Paths!$D$306="ICE",'Operating costs'!$B$67&lt;=Paths!$E$306),IF('Operating costs'!$B$67=0,C3298=0,AND(C3298&gt;0,'Operating costs'!$B$67&gt;(C3298-1)*12,'Operating costs'!$B$67&lt;=C3298*12))),'Operating costs'!$B$66,0),"n.a."))</f>
        <v>0</v>
      </c>
      <c r="N3298" s="16">
        <f>IF(NOT(Paths!$C$306=1),0,IF(Paths!$P$306="Complete",SUM(G3298:I3298)-J3298-K3298-L3298+M3298+IF(C3298=0,Paths!$F$306,0)+IF(IF(Paths!$E$306=0,C3298=0,AND(C3298&gt;0,Paths!$E$306&gt;(C3298-1)*12,Paths!$E$306&lt;=C3298*12)),VLOOKUP(A3298,'Fleet register'!$A$7:$S$106,16,FALSE),0),"n.a."))</f>
        <v>0</v>
      </c>
      <c r="O3298" s="16">
        <f>IF(NOT(Paths!$C$306=1),0,IF(Paths!$P$306="Complete",N3298-IF(C3298=0,Paths!$F$306,0),"n.a."))</f>
        <v>0</v>
      </c>
      <c r="P3298" s="16">
        <f>IF(NOT(Paths!$C$306=1),0,IF(Paths!$P$306="Complete",O3298+L3298,"n.a."))</f>
        <v>0</v>
      </c>
      <c r="Q3298" s="16">
        <f>IF(NOT(Paths!$C$306=1),0,IF(Paths!$P$306="Complete",N3298*(1+'Operating costs'!$B$54)^-C3298,"n.a."))</f>
        <v>0</v>
      </c>
      <c r="R3298" s="16">
        <f>IF(NOT(Paths!$C$306=1),0,IF(Paths!$P$306="Complete",IF(AND(C3298=0,Paths!$E$306=0),I3298-J3298-K3298+VLOOKUP(A3298,'Fleet register'!$A$7:$S$106,15,FALSE)+VLOOKUP(A3298,'Fleet register'!$A$7:$S$106,16,FALSE),0),"n.a."))</f>
        <v>0</v>
      </c>
      <c r="S3298" s="1">
        <f>IF(NOT(Paths!$C$306=1),0,IF(Paths!$P$306="Complete",IF(C3298=0,0,Paths!$S$306*Paths!$R$306),"n.a."))</f>
        <v>0</v>
      </c>
      <c r="T3298" s="1">
        <f>IF(NOT(Paths!$C$306=1),0,IF(Paths!$P$306="Complete",IF(C3298=0,0,VLOOKUP(A3298,'Fleet register'!$A$7:$S$106,9,FALSE)*Paths!$R$306),"n.a."))</f>
        <v>0</v>
      </c>
    </row>
    <row r="3299" spans="1:20" ht="24" customHeight="1">
      <c r="A3299" s="1" t="str">
        <f>Paths!$A$306</f>
        <v>T075</v>
      </c>
      <c r="B3299" s="1">
        <f>Paths!$B$306</f>
        <v>3</v>
      </c>
      <c r="C3299" s="1">
        <v>3</v>
      </c>
      <c r="D3299" s="1">
        <v>306</v>
      </c>
      <c r="E3299" s="1">
        <f>IF(OR(Paths!$C$306=0,C3299=0),0,MAX(0,MIN(C3299*12,Paths!$E$306)-(C3299-1)*12))</f>
        <v>0</v>
      </c>
      <c r="F3299" s="1">
        <f>IF(OR(Paths!$C$306=0,C3299=0),0,12-E3299)</f>
        <v>0</v>
      </c>
      <c r="G3299" s="16">
        <f>IF(NOT(Paths!$C$306=1),0,IF(Paths!$P$306="Complete",E3299/12*(Paths!$J$306*(1+'Operating costs'!$B$51)^MAX(0,C3299-1)+Paths!$K$306*(1+'Operating costs'!$B$53)^MAX(0,C3299-1)),"n.a."))</f>
        <v>0</v>
      </c>
      <c r="H3299" s="16">
        <f>IF(NOT(Paths!$C$306=1),0,IF(Paths!$P$306="Complete",F3299/12*(Paths!$L$306*(1+IF(Paths!$D$306="EV",'Operating costs'!$B$52,'Operating costs'!$B$51))^MAX(0,C3299-1)+Paths!$M$306*(1+'Operating costs'!$B$53)^MAX(0,C3299-1)),"n.a."))</f>
        <v>0</v>
      </c>
      <c r="I3299" s="16">
        <f>IF(NOT(Paths!$C$306=1),0,IF(Paths!$P$306="Complete",IF(IF(Paths!$E$306=0,C3299=0,AND(C3299&gt;0,Paths!$E$306&gt;(C3299-1)*12,Paths!$E$306&lt;=C3299*12)),Paths!$G$306,0),"n.a."))</f>
        <v>0</v>
      </c>
      <c r="J3299" s="16">
        <f>IF(NOT(Paths!$C$306=1),0,IF(Paths!$P$306="Complete",IF(IF(Paths!$E$306=0,C3299=0,AND(C3299&gt;0,Paths!$E$306&gt;(C3299-1)*12,Paths!$E$306&lt;=C3299*12)),Paths!$H$306,0),"n.a."))</f>
        <v>0</v>
      </c>
      <c r="K3299" s="16">
        <f>IF(NOT(Paths!$C$306=1),0,IF(Paths!$P$306="Complete",IF(IF(Paths!$O$306=0,C3299=0,AND(C3299&gt;0,Paths!$O$306&gt;(C3299-1)*12,Paths!$O$306&lt;=C3299*12)),Paths!$N$306,0),"n.a."))</f>
        <v>0</v>
      </c>
      <c r="L3299" s="16">
        <f>IF(NOT(Paths!$C$306=1),0,IF(Paths!$P$306="Complete",IF(C3299=10,Paths!$I$306,0),"n.a."))</f>
        <v>0</v>
      </c>
      <c r="M3299" s="16">
        <f>IF(NOT(Paths!$C$306=1),0,IF(Paths!$P$306="Complete",IF(AND(Paths!$D$306="EV",Paths!$E$306&lt;120,Paths!$E$306+'Operating costs'!$B$65&gt;Paths!$E$306,Paths!$E$306+'Operating costs'!$B$65&lt;=120,IF(Paths!$E$306+'Operating costs'!$B$65=0,C3299=0,AND(C3299&gt;0,Paths!$E$306+'Operating costs'!$B$65&gt;(C3299-1)*12,Paths!$E$306+'Operating costs'!$B$65&lt;=C3299*12))),'Operating costs'!$B$64,0)+IF(AND('Operating costs'!$B$67&gt;0,'Operating costs'!$B$67&lt;=120,OR(Paths!$D$306="ICE",'Operating costs'!$B$67&lt;=Paths!$E$306),IF('Operating costs'!$B$67=0,C3299=0,AND(C3299&gt;0,'Operating costs'!$B$67&gt;(C3299-1)*12,'Operating costs'!$B$67&lt;=C3299*12))),'Operating costs'!$B$66,0),"n.a."))</f>
        <v>0</v>
      </c>
      <c r="N3299" s="16">
        <f>IF(NOT(Paths!$C$306=1),0,IF(Paths!$P$306="Complete",SUM(G3299:I3299)-J3299-K3299-L3299+M3299+IF(C3299=0,Paths!$F$306,0)+IF(IF(Paths!$E$306=0,C3299=0,AND(C3299&gt;0,Paths!$E$306&gt;(C3299-1)*12,Paths!$E$306&lt;=C3299*12)),VLOOKUP(A3299,'Fleet register'!$A$7:$S$106,16,FALSE),0),"n.a."))</f>
        <v>0</v>
      </c>
      <c r="O3299" s="16">
        <f>IF(NOT(Paths!$C$306=1),0,IF(Paths!$P$306="Complete",N3299-IF(C3299=0,Paths!$F$306,0),"n.a."))</f>
        <v>0</v>
      </c>
      <c r="P3299" s="16">
        <f>IF(NOT(Paths!$C$306=1),0,IF(Paths!$P$306="Complete",O3299+L3299,"n.a."))</f>
        <v>0</v>
      </c>
      <c r="Q3299" s="16">
        <f>IF(NOT(Paths!$C$306=1),0,IF(Paths!$P$306="Complete",N3299*(1+'Operating costs'!$B$54)^-C3299,"n.a."))</f>
        <v>0</v>
      </c>
      <c r="R3299" s="16">
        <f>IF(NOT(Paths!$C$306=1),0,IF(Paths!$P$306="Complete",IF(AND(C3299=0,Paths!$E$306=0),I3299-J3299-K3299+VLOOKUP(A3299,'Fleet register'!$A$7:$S$106,15,FALSE)+VLOOKUP(A3299,'Fleet register'!$A$7:$S$106,16,FALSE),0),"n.a."))</f>
        <v>0</v>
      </c>
      <c r="S3299" s="1">
        <f>IF(NOT(Paths!$C$306=1),0,IF(Paths!$P$306="Complete",IF(C3299=0,0,Paths!$S$306*Paths!$R$306),"n.a."))</f>
        <v>0</v>
      </c>
      <c r="T3299" s="1">
        <f>IF(NOT(Paths!$C$306=1),0,IF(Paths!$P$306="Complete",IF(C3299=0,0,VLOOKUP(A3299,'Fleet register'!$A$7:$S$106,9,FALSE)*Paths!$R$306),"n.a."))</f>
        <v>0</v>
      </c>
    </row>
    <row r="3300" spans="1:20" ht="24" customHeight="1">
      <c r="A3300" s="1" t="str">
        <f>Paths!$A$306</f>
        <v>T075</v>
      </c>
      <c r="B3300" s="1">
        <f>Paths!$B$306</f>
        <v>3</v>
      </c>
      <c r="C3300" s="1">
        <v>4</v>
      </c>
      <c r="D3300" s="1">
        <v>306</v>
      </c>
      <c r="E3300" s="1">
        <f>IF(OR(Paths!$C$306=0,C3300=0),0,MAX(0,MIN(C3300*12,Paths!$E$306)-(C3300-1)*12))</f>
        <v>0</v>
      </c>
      <c r="F3300" s="1">
        <f>IF(OR(Paths!$C$306=0,C3300=0),0,12-E3300)</f>
        <v>0</v>
      </c>
      <c r="G3300" s="16">
        <f>IF(NOT(Paths!$C$306=1),0,IF(Paths!$P$306="Complete",E3300/12*(Paths!$J$306*(1+'Operating costs'!$B$51)^MAX(0,C3300-1)+Paths!$K$306*(1+'Operating costs'!$B$53)^MAX(0,C3300-1)),"n.a."))</f>
        <v>0</v>
      </c>
      <c r="H3300" s="16">
        <f>IF(NOT(Paths!$C$306=1),0,IF(Paths!$P$306="Complete",F3300/12*(Paths!$L$306*(1+IF(Paths!$D$306="EV",'Operating costs'!$B$52,'Operating costs'!$B$51))^MAX(0,C3300-1)+Paths!$M$306*(1+'Operating costs'!$B$53)^MAX(0,C3300-1)),"n.a."))</f>
        <v>0</v>
      </c>
      <c r="I3300" s="16">
        <f>IF(NOT(Paths!$C$306=1),0,IF(Paths!$P$306="Complete",IF(IF(Paths!$E$306=0,C3300=0,AND(C3300&gt;0,Paths!$E$306&gt;(C3300-1)*12,Paths!$E$306&lt;=C3300*12)),Paths!$G$306,0),"n.a."))</f>
        <v>0</v>
      </c>
      <c r="J3300" s="16">
        <f>IF(NOT(Paths!$C$306=1),0,IF(Paths!$P$306="Complete",IF(IF(Paths!$E$306=0,C3300=0,AND(C3300&gt;0,Paths!$E$306&gt;(C3300-1)*12,Paths!$E$306&lt;=C3300*12)),Paths!$H$306,0),"n.a."))</f>
        <v>0</v>
      </c>
      <c r="K3300" s="16">
        <f>IF(NOT(Paths!$C$306=1),0,IF(Paths!$P$306="Complete",IF(IF(Paths!$O$306=0,C3300=0,AND(C3300&gt;0,Paths!$O$306&gt;(C3300-1)*12,Paths!$O$306&lt;=C3300*12)),Paths!$N$306,0),"n.a."))</f>
        <v>0</v>
      </c>
      <c r="L3300" s="16">
        <f>IF(NOT(Paths!$C$306=1),0,IF(Paths!$P$306="Complete",IF(C3300=10,Paths!$I$306,0),"n.a."))</f>
        <v>0</v>
      </c>
      <c r="M3300" s="16">
        <f>IF(NOT(Paths!$C$306=1),0,IF(Paths!$P$306="Complete",IF(AND(Paths!$D$306="EV",Paths!$E$306&lt;120,Paths!$E$306+'Operating costs'!$B$65&gt;Paths!$E$306,Paths!$E$306+'Operating costs'!$B$65&lt;=120,IF(Paths!$E$306+'Operating costs'!$B$65=0,C3300=0,AND(C3300&gt;0,Paths!$E$306+'Operating costs'!$B$65&gt;(C3300-1)*12,Paths!$E$306+'Operating costs'!$B$65&lt;=C3300*12))),'Operating costs'!$B$64,0)+IF(AND('Operating costs'!$B$67&gt;0,'Operating costs'!$B$67&lt;=120,OR(Paths!$D$306="ICE",'Operating costs'!$B$67&lt;=Paths!$E$306),IF('Operating costs'!$B$67=0,C3300=0,AND(C3300&gt;0,'Operating costs'!$B$67&gt;(C3300-1)*12,'Operating costs'!$B$67&lt;=C3300*12))),'Operating costs'!$B$66,0),"n.a."))</f>
        <v>0</v>
      </c>
      <c r="N3300" s="16">
        <f>IF(NOT(Paths!$C$306=1),0,IF(Paths!$P$306="Complete",SUM(G3300:I3300)-J3300-K3300-L3300+M3300+IF(C3300=0,Paths!$F$306,0)+IF(IF(Paths!$E$306=0,C3300=0,AND(C3300&gt;0,Paths!$E$306&gt;(C3300-1)*12,Paths!$E$306&lt;=C3300*12)),VLOOKUP(A3300,'Fleet register'!$A$7:$S$106,16,FALSE),0),"n.a."))</f>
        <v>0</v>
      </c>
      <c r="O3300" s="16">
        <f>IF(NOT(Paths!$C$306=1),0,IF(Paths!$P$306="Complete",N3300-IF(C3300=0,Paths!$F$306,0),"n.a."))</f>
        <v>0</v>
      </c>
      <c r="P3300" s="16">
        <f>IF(NOT(Paths!$C$306=1),0,IF(Paths!$P$306="Complete",O3300+L3300,"n.a."))</f>
        <v>0</v>
      </c>
      <c r="Q3300" s="16">
        <f>IF(NOT(Paths!$C$306=1),0,IF(Paths!$P$306="Complete",N3300*(1+'Operating costs'!$B$54)^-C3300,"n.a."))</f>
        <v>0</v>
      </c>
      <c r="R3300" s="16">
        <f>IF(NOT(Paths!$C$306=1),0,IF(Paths!$P$306="Complete",IF(AND(C3300=0,Paths!$E$306=0),I3300-J3300-K3300+VLOOKUP(A3300,'Fleet register'!$A$7:$S$106,15,FALSE)+VLOOKUP(A3300,'Fleet register'!$A$7:$S$106,16,FALSE),0),"n.a."))</f>
        <v>0</v>
      </c>
      <c r="S3300" s="1">
        <f>IF(NOT(Paths!$C$306=1),0,IF(Paths!$P$306="Complete",IF(C3300=0,0,Paths!$S$306*Paths!$R$306),"n.a."))</f>
        <v>0</v>
      </c>
      <c r="T3300" s="1">
        <f>IF(NOT(Paths!$C$306=1),0,IF(Paths!$P$306="Complete",IF(C3300=0,0,VLOOKUP(A3300,'Fleet register'!$A$7:$S$106,9,FALSE)*Paths!$R$306),"n.a."))</f>
        <v>0</v>
      </c>
    </row>
    <row r="3301" spans="1:20" ht="24" customHeight="1">
      <c r="A3301" s="1" t="str">
        <f>Paths!$A$306</f>
        <v>T075</v>
      </c>
      <c r="B3301" s="1">
        <f>Paths!$B$306</f>
        <v>3</v>
      </c>
      <c r="C3301" s="1">
        <v>5</v>
      </c>
      <c r="D3301" s="1">
        <v>306</v>
      </c>
      <c r="E3301" s="1">
        <f>IF(OR(Paths!$C$306=0,C3301=0),0,MAX(0,MIN(C3301*12,Paths!$E$306)-(C3301-1)*12))</f>
        <v>0</v>
      </c>
      <c r="F3301" s="1">
        <f>IF(OR(Paths!$C$306=0,C3301=0),0,12-E3301)</f>
        <v>0</v>
      </c>
      <c r="G3301" s="16">
        <f>IF(NOT(Paths!$C$306=1),0,IF(Paths!$P$306="Complete",E3301/12*(Paths!$J$306*(1+'Operating costs'!$B$51)^MAX(0,C3301-1)+Paths!$K$306*(1+'Operating costs'!$B$53)^MAX(0,C3301-1)),"n.a."))</f>
        <v>0</v>
      </c>
      <c r="H3301" s="16">
        <f>IF(NOT(Paths!$C$306=1),0,IF(Paths!$P$306="Complete",F3301/12*(Paths!$L$306*(1+IF(Paths!$D$306="EV",'Operating costs'!$B$52,'Operating costs'!$B$51))^MAX(0,C3301-1)+Paths!$M$306*(1+'Operating costs'!$B$53)^MAX(0,C3301-1)),"n.a."))</f>
        <v>0</v>
      </c>
      <c r="I3301" s="16">
        <f>IF(NOT(Paths!$C$306=1),0,IF(Paths!$P$306="Complete",IF(IF(Paths!$E$306=0,C3301=0,AND(C3301&gt;0,Paths!$E$306&gt;(C3301-1)*12,Paths!$E$306&lt;=C3301*12)),Paths!$G$306,0),"n.a."))</f>
        <v>0</v>
      </c>
      <c r="J3301" s="16">
        <f>IF(NOT(Paths!$C$306=1),0,IF(Paths!$P$306="Complete",IF(IF(Paths!$E$306=0,C3301=0,AND(C3301&gt;0,Paths!$E$306&gt;(C3301-1)*12,Paths!$E$306&lt;=C3301*12)),Paths!$H$306,0),"n.a."))</f>
        <v>0</v>
      </c>
      <c r="K3301" s="16">
        <f>IF(NOT(Paths!$C$306=1),0,IF(Paths!$P$306="Complete",IF(IF(Paths!$O$306=0,C3301=0,AND(C3301&gt;0,Paths!$O$306&gt;(C3301-1)*12,Paths!$O$306&lt;=C3301*12)),Paths!$N$306,0),"n.a."))</f>
        <v>0</v>
      </c>
      <c r="L3301" s="16">
        <f>IF(NOT(Paths!$C$306=1),0,IF(Paths!$P$306="Complete",IF(C3301=10,Paths!$I$306,0),"n.a."))</f>
        <v>0</v>
      </c>
      <c r="M3301" s="16">
        <f>IF(NOT(Paths!$C$306=1),0,IF(Paths!$P$306="Complete",IF(AND(Paths!$D$306="EV",Paths!$E$306&lt;120,Paths!$E$306+'Operating costs'!$B$65&gt;Paths!$E$306,Paths!$E$306+'Operating costs'!$B$65&lt;=120,IF(Paths!$E$306+'Operating costs'!$B$65=0,C3301=0,AND(C3301&gt;0,Paths!$E$306+'Operating costs'!$B$65&gt;(C3301-1)*12,Paths!$E$306+'Operating costs'!$B$65&lt;=C3301*12))),'Operating costs'!$B$64,0)+IF(AND('Operating costs'!$B$67&gt;0,'Operating costs'!$B$67&lt;=120,OR(Paths!$D$306="ICE",'Operating costs'!$B$67&lt;=Paths!$E$306),IF('Operating costs'!$B$67=0,C3301=0,AND(C3301&gt;0,'Operating costs'!$B$67&gt;(C3301-1)*12,'Operating costs'!$B$67&lt;=C3301*12))),'Operating costs'!$B$66,0),"n.a."))</f>
        <v>0</v>
      </c>
      <c r="N3301" s="16">
        <f>IF(NOT(Paths!$C$306=1),0,IF(Paths!$P$306="Complete",SUM(G3301:I3301)-J3301-K3301-L3301+M3301+IF(C3301=0,Paths!$F$306,0)+IF(IF(Paths!$E$306=0,C3301=0,AND(C3301&gt;0,Paths!$E$306&gt;(C3301-1)*12,Paths!$E$306&lt;=C3301*12)),VLOOKUP(A3301,'Fleet register'!$A$7:$S$106,16,FALSE),0),"n.a."))</f>
        <v>0</v>
      </c>
      <c r="O3301" s="16">
        <f>IF(NOT(Paths!$C$306=1),0,IF(Paths!$P$306="Complete",N3301-IF(C3301=0,Paths!$F$306,0),"n.a."))</f>
        <v>0</v>
      </c>
      <c r="P3301" s="16">
        <f>IF(NOT(Paths!$C$306=1),0,IF(Paths!$P$306="Complete",O3301+L3301,"n.a."))</f>
        <v>0</v>
      </c>
      <c r="Q3301" s="16">
        <f>IF(NOT(Paths!$C$306=1),0,IF(Paths!$P$306="Complete",N3301*(1+'Operating costs'!$B$54)^-C3301,"n.a."))</f>
        <v>0</v>
      </c>
      <c r="R3301" s="16">
        <f>IF(NOT(Paths!$C$306=1),0,IF(Paths!$P$306="Complete",IF(AND(C3301=0,Paths!$E$306=0),I3301-J3301-K3301+VLOOKUP(A3301,'Fleet register'!$A$7:$S$106,15,FALSE)+VLOOKUP(A3301,'Fleet register'!$A$7:$S$106,16,FALSE),0),"n.a."))</f>
        <v>0</v>
      </c>
      <c r="S3301" s="1">
        <f>IF(NOT(Paths!$C$306=1),0,IF(Paths!$P$306="Complete",IF(C3301=0,0,Paths!$S$306*Paths!$R$306),"n.a."))</f>
        <v>0</v>
      </c>
      <c r="T3301" s="1">
        <f>IF(NOT(Paths!$C$306=1),0,IF(Paths!$P$306="Complete",IF(C3301=0,0,VLOOKUP(A3301,'Fleet register'!$A$7:$S$106,9,FALSE)*Paths!$R$306),"n.a."))</f>
        <v>0</v>
      </c>
    </row>
    <row r="3302" spans="1:20" ht="24" customHeight="1">
      <c r="A3302" s="1" t="str">
        <f>Paths!$A$306</f>
        <v>T075</v>
      </c>
      <c r="B3302" s="1">
        <f>Paths!$B$306</f>
        <v>3</v>
      </c>
      <c r="C3302" s="1">
        <v>6</v>
      </c>
      <c r="D3302" s="1">
        <v>306</v>
      </c>
      <c r="E3302" s="1">
        <f>IF(OR(Paths!$C$306=0,C3302=0),0,MAX(0,MIN(C3302*12,Paths!$E$306)-(C3302-1)*12))</f>
        <v>0</v>
      </c>
      <c r="F3302" s="1">
        <f>IF(OR(Paths!$C$306=0,C3302=0),0,12-E3302)</f>
        <v>0</v>
      </c>
      <c r="G3302" s="16">
        <f>IF(NOT(Paths!$C$306=1),0,IF(Paths!$P$306="Complete",E3302/12*(Paths!$J$306*(1+'Operating costs'!$B$51)^MAX(0,C3302-1)+Paths!$K$306*(1+'Operating costs'!$B$53)^MAX(0,C3302-1)),"n.a."))</f>
        <v>0</v>
      </c>
      <c r="H3302" s="16">
        <f>IF(NOT(Paths!$C$306=1),0,IF(Paths!$P$306="Complete",F3302/12*(Paths!$L$306*(1+IF(Paths!$D$306="EV",'Operating costs'!$B$52,'Operating costs'!$B$51))^MAX(0,C3302-1)+Paths!$M$306*(1+'Operating costs'!$B$53)^MAX(0,C3302-1)),"n.a."))</f>
        <v>0</v>
      </c>
      <c r="I3302" s="16">
        <f>IF(NOT(Paths!$C$306=1),0,IF(Paths!$P$306="Complete",IF(IF(Paths!$E$306=0,C3302=0,AND(C3302&gt;0,Paths!$E$306&gt;(C3302-1)*12,Paths!$E$306&lt;=C3302*12)),Paths!$G$306,0),"n.a."))</f>
        <v>0</v>
      </c>
      <c r="J3302" s="16">
        <f>IF(NOT(Paths!$C$306=1),0,IF(Paths!$P$306="Complete",IF(IF(Paths!$E$306=0,C3302=0,AND(C3302&gt;0,Paths!$E$306&gt;(C3302-1)*12,Paths!$E$306&lt;=C3302*12)),Paths!$H$306,0),"n.a."))</f>
        <v>0</v>
      </c>
      <c r="K3302" s="16">
        <f>IF(NOT(Paths!$C$306=1),0,IF(Paths!$P$306="Complete",IF(IF(Paths!$O$306=0,C3302=0,AND(C3302&gt;0,Paths!$O$306&gt;(C3302-1)*12,Paths!$O$306&lt;=C3302*12)),Paths!$N$306,0),"n.a."))</f>
        <v>0</v>
      </c>
      <c r="L3302" s="16">
        <f>IF(NOT(Paths!$C$306=1),0,IF(Paths!$P$306="Complete",IF(C3302=10,Paths!$I$306,0),"n.a."))</f>
        <v>0</v>
      </c>
      <c r="M3302" s="16">
        <f>IF(NOT(Paths!$C$306=1),0,IF(Paths!$P$306="Complete",IF(AND(Paths!$D$306="EV",Paths!$E$306&lt;120,Paths!$E$306+'Operating costs'!$B$65&gt;Paths!$E$306,Paths!$E$306+'Operating costs'!$B$65&lt;=120,IF(Paths!$E$306+'Operating costs'!$B$65=0,C3302=0,AND(C3302&gt;0,Paths!$E$306+'Operating costs'!$B$65&gt;(C3302-1)*12,Paths!$E$306+'Operating costs'!$B$65&lt;=C3302*12))),'Operating costs'!$B$64,0)+IF(AND('Operating costs'!$B$67&gt;0,'Operating costs'!$B$67&lt;=120,OR(Paths!$D$306="ICE",'Operating costs'!$B$67&lt;=Paths!$E$306),IF('Operating costs'!$B$67=0,C3302=0,AND(C3302&gt;0,'Operating costs'!$B$67&gt;(C3302-1)*12,'Operating costs'!$B$67&lt;=C3302*12))),'Operating costs'!$B$66,0),"n.a."))</f>
        <v>0</v>
      </c>
      <c r="N3302" s="16">
        <f>IF(NOT(Paths!$C$306=1),0,IF(Paths!$P$306="Complete",SUM(G3302:I3302)-J3302-K3302-L3302+M3302+IF(C3302=0,Paths!$F$306,0)+IF(IF(Paths!$E$306=0,C3302=0,AND(C3302&gt;0,Paths!$E$306&gt;(C3302-1)*12,Paths!$E$306&lt;=C3302*12)),VLOOKUP(A3302,'Fleet register'!$A$7:$S$106,16,FALSE),0),"n.a."))</f>
        <v>0</v>
      </c>
      <c r="O3302" s="16">
        <f>IF(NOT(Paths!$C$306=1),0,IF(Paths!$P$306="Complete",N3302-IF(C3302=0,Paths!$F$306,0),"n.a."))</f>
        <v>0</v>
      </c>
      <c r="P3302" s="16">
        <f>IF(NOT(Paths!$C$306=1),0,IF(Paths!$P$306="Complete",O3302+L3302,"n.a."))</f>
        <v>0</v>
      </c>
      <c r="Q3302" s="16">
        <f>IF(NOT(Paths!$C$306=1),0,IF(Paths!$P$306="Complete",N3302*(1+'Operating costs'!$B$54)^-C3302,"n.a."))</f>
        <v>0</v>
      </c>
      <c r="R3302" s="16">
        <f>IF(NOT(Paths!$C$306=1),0,IF(Paths!$P$306="Complete",IF(AND(C3302=0,Paths!$E$306=0),I3302-J3302-K3302+VLOOKUP(A3302,'Fleet register'!$A$7:$S$106,15,FALSE)+VLOOKUP(A3302,'Fleet register'!$A$7:$S$106,16,FALSE),0),"n.a."))</f>
        <v>0</v>
      </c>
      <c r="S3302" s="1">
        <f>IF(NOT(Paths!$C$306=1),0,IF(Paths!$P$306="Complete",IF(C3302=0,0,Paths!$S$306*Paths!$R$306),"n.a."))</f>
        <v>0</v>
      </c>
      <c r="T3302" s="1">
        <f>IF(NOT(Paths!$C$306=1),0,IF(Paths!$P$306="Complete",IF(C3302=0,0,VLOOKUP(A3302,'Fleet register'!$A$7:$S$106,9,FALSE)*Paths!$R$306),"n.a."))</f>
        <v>0</v>
      </c>
    </row>
    <row r="3303" spans="1:20" ht="24" customHeight="1">
      <c r="A3303" s="1" t="str">
        <f>Paths!$A$306</f>
        <v>T075</v>
      </c>
      <c r="B3303" s="1">
        <f>Paths!$B$306</f>
        <v>3</v>
      </c>
      <c r="C3303" s="1">
        <v>7</v>
      </c>
      <c r="D3303" s="1">
        <v>306</v>
      </c>
      <c r="E3303" s="1">
        <f>IF(OR(Paths!$C$306=0,C3303=0),0,MAX(0,MIN(C3303*12,Paths!$E$306)-(C3303-1)*12))</f>
        <v>0</v>
      </c>
      <c r="F3303" s="1">
        <f>IF(OR(Paths!$C$306=0,C3303=0),0,12-E3303)</f>
        <v>0</v>
      </c>
      <c r="G3303" s="16">
        <f>IF(NOT(Paths!$C$306=1),0,IF(Paths!$P$306="Complete",E3303/12*(Paths!$J$306*(1+'Operating costs'!$B$51)^MAX(0,C3303-1)+Paths!$K$306*(1+'Operating costs'!$B$53)^MAX(0,C3303-1)),"n.a."))</f>
        <v>0</v>
      </c>
      <c r="H3303" s="16">
        <f>IF(NOT(Paths!$C$306=1),0,IF(Paths!$P$306="Complete",F3303/12*(Paths!$L$306*(1+IF(Paths!$D$306="EV",'Operating costs'!$B$52,'Operating costs'!$B$51))^MAX(0,C3303-1)+Paths!$M$306*(1+'Operating costs'!$B$53)^MAX(0,C3303-1)),"n.a."))</f>
        <v>0</v>
      </c>
      <c r="I3303" s="16">
        <f>IF(NOT(Paths!$C$306=1),0,IF(Paths!$P$306="Complete",IF(IF(Paths!$E$306=0,C3303=0,AND(C3303&gt;0,Paths!$E$306&gt;(C3303-1)*12,Paths!$E$306&lt;=C3303*12)),Paths!$G$306,0),"n.a."))</f>
        <v>0</v>
      </c>
      <c r="J3303" s="16">
        <f>IF(NOT(Paths!$C$306=1),0,IF(Paths!$P$306="Complete",IF(IF(Paths!$E$306=0,C3303=0,AND(C3303&gt;0,Paths!$E$306&gt;(C3303-1)*12,Paths!$E$306&lt;=C3303*12)),Paths!$H$306,0),"n.a."))</f>
        <v>0</v>
      </c>
      <c r="K3303" s="16">
        <f>IF(NOT(Paths!$C$306=1),0,IF(Paths!$P$306="Complete",IF(IF(Paths!$O$306=0,C3303=0,AND(C3303&gt;0,Paths!$O$306&gt;(C3303-1)*12,Paths!$O$306&lt;=C3303*12)),Paths!$N$306,0),"n.a."))</f>
        <v>0</v>
      </c>
      <c r="L3303" s="16">
        <f>IF(NOT(Paths!$C$306=1),0,IF(Paths!$P$306="Complete",IF(C3303=10,Paths!$I$306,0),"n.a."))</f>
        <v>0</v>
      </c>
      <c r="M3303" s="16">
        <f>IF(NOT(Paths!$C$306=1),0,IF(Paths!$P$306="Complete",IF(AND(Paths!$D$306="EV",Paths!$E$306&lt;120,Paths!$E$306+'Operating costs'!$B$65&gt;Paths!$E$306,Paths!$E$306+'Operating costs'!$B$65&lt;=120,IF(Paths!$E$306+'Operating costs'!$B$65=0,C3303=0,AND(C3303&gt;0,Paths!$E$306+'Operating costs'!$B$65&gt;(C3303-1)*12,Paths!$E$306+'Operating costs'!$B$65&lt;=C3303*12))),'Operating costs'!$B$64,0)+IF(AND('Operating costs'!$B$67&gt;0,'Operating costs'!$B$67&lt;=120,OR(Paths!$D$306="ICE",'Operating costs'!$B$67&lt;=Paths!$E$306),IF('Operating costs'!$B$67=0,C3303=0,AND(C3303&gt;0,'Operating costs'!$B$67&gt;(C3303-1)*12,'Operating costs'!$B$67&lt;=C3303*12))),'Operating costs'!$B$66,0),"n.a."))</f>
        <v>0</v>
      </c>
      <c r="N3303" s="16">
        <f>IF(NOT(Paths!$C$306=1),0,IF(Paths!$P$306="Complete",SUM(G3303:I3303)-J3303-K3303-L3303+M3303+IF(C3303=0,Paths!$F$306,0)+IF(IF(Paths!$E$306=0,C3303=0,AND(C3303&gt;0,Paths!$E$306&gt;(C3303-1)*12,Paths!$E$306&lt;=C3303*12)),VLOOKUP(A3303,'Fleet register'!$A$7:$S$106,16,FALSE),0),"n.a."))</f>
        <v>0</v>
      </c>
      <c r="O3303" s="16">
        <f>IF(NOT(Paths!$C$306=1),0,IF(Paths!$P$306="Complete",N3303-IF(C3303=0,Paths!$F$306,0),"n.a."))</f>
        <v>0</v>
      </c>
      <c r="P3303" s="16">
        <f>IF(NOT(Paths!$C$306=1),0,IF(Paths!$P$306="Complete",O3303+L3303,"n.a."))</f>
        <v>0</v>
      </c>
      <c r="Q3303" s="16">
        <f>IF(NOT(Paths!$C$306=1),0,IF(Paths!$P$306="Complete",N3303*(1+'Operating costs'!$B$54)^-C3303,"n.a."))</f>
        <v>0</v>
      </c>
      <c r="R3303" s="16">
        <f>IF(NOT(Paths!$C$306=1),0,IF(Paths!$P$306="Complete",IF(AND(C3303=0,Paths!$E$306=0),I3303-J3303-K3303+VLOOKUP(A3303,'Fleet register'!$A$7:$S$106,15,FALSE)+VLOOKUP(A3303,'Fleet register'!$A$7:$S$106,16,FALSE),0),"n.a."))</f>
        <v>0</v>
      </c>
      <c r="S3303" s="1">
        <f>IF(NOT(Paths!$C$306=1),0,IF(Paths!$P$306="Complete",IF(C3303=0,0,Paths!$S$306*Paths!$R$306),"n.a."))</f>
        <v>0</v>
      </c>
      <c r="T3303" s="1">
        <f>IF(NOT(Paths!$C$306=1),0,IF(Paths!$P$306="Complete",IF(C3303=0,0,VLOOKUP(A3303,'Fleet register'!$A$7:$S$106,9,FALSE)*Paths!$R$306),"n.a."))</f>
        <v>0</v>
      </c>
    </row>
    <row r="3304" spans="1:20" ht="24" customHeight="1">
      <c r="A3304" s="1" t="str">
        <f>Paths!$A$306</f>
        <v>T075</v>
      </c>
      <c r="B3304" s="1">
        <f>Paths!$B$306</f>
        <v>3</v>
      </c>
      <c r="C3304" s="1">
        <v>8</v>
      </c>
      <c r="D3304" s="1">
        <v>306</v>
      </c>
      <c r="E3304" s="1">
        <f>IF(OR(Paths!$C$306=0,C3304=0),0,MAX(0,MIN(C3304*12,Paths!$E$306)-(C3304-1)*12))</f>
        <v>0</v>
      </c>
      <c r="F3304" s="1">
        <f>IF(OR(Paths!$C$306=0,C3304=0),0,12-E3304)</f>
        <v>0</v>
      </c>
      <c r="G3304" s="16">
        <f>IF(NOT(Paths!$C$306=1),0,IF(Paths!$P$306="Complete",E3304/12*(Paths!$J$306*(1+'Operating costs'!$B$51)^MAX(0,C3304-1)+Paths!$K$306*(1+'Operating costs'!$B$53)^MAX(0,C3304-1)),"n.a."))</f>
        <v>0</v>
      </c>
      <c r="H3304" s="16">
        <f>IF(NOT(Paths!$C$306=1),0,IF(Paths!$P$306="Complete",F3304/12*(Paths!$L$306*(1+IF(Paths!$D$306="EV",'Operating costs'!$B$52,'Operating costs'!$B$51))^MAX(0,C3304-1)+Paths!$M$306*(1+'Operating costs'!$B$53)^MAX(0,C3304-1)),"n.a."))</f>
        <v>0</v>
      </c>
      <c r="I3304" s="16">
        <f>IF(NOT(Paths!$C$306=1),0,IF(Paths!$P$306="Complete",IF(IF(Paths!$E$306=0,C3304=0,AND(C3304&gt;0,Paths!$E$306&gt;(C3304-1)*12,Paths!$E$306&lt;=C3304*12)),Paths!$G$306,0),"n.a."))</f>
        <v>0</v>
      </c>
      <c r="J3304" s="16">
        <f>IF(NOT(Paths!$C$306=1),0,IF(Paths!$P$306="Complete",IF(IF(Paths!$E$306=0,C3304=0,AND(C3304&gt;0,Paths!$E$306&gt;(C3304-1)*12,Paths!$E$306&lt;=C3304*12)),Paths!$H$306,0),"n.a."))</f>
        <v>0</v>
      </c>
      <c r="K3304" s="16">
        <f>IF(NOT(Paths!$C$306=1),0,IF(Paths!$P$306="Complete",IF(IF(Paths!$O$306=0,C3304=0,AND(C3304&gt;0,Paths!$O$306&gt;(C3304-1)*12,Paths!$O$306&lt;=C3304*12)),Paths!$N$306,0),"n.a."))</f>
        <v>0</v>
      </c>
      <c r="L3304" s="16">
        <f>IF(NOT(Paths!$C$306=1),0,IF(Paths!$P$306="Complete",IF(C3304=10,Paths!$I$306,0),"n.a."))</f>
        <v>0</v>
      </c>
      <c r="M3304" s="16">
        <f>IF(NOT(Paths!$C$306=1),0,IF(Paths!$P$306="Complete",IF(AND(Paths!$D$306="EV",Paths!$E$306&lt;120,Paths!$E$306+'Operating costs'!$B$65&gt;Paths!$E$306,Paths!$E$306+'Operating costs'!$B$65&lt;=120,IF(Paths!$E$306+'Operating costs'!$B$65=0,C3304=0,AND(C3304&gt;0,Paths!$E$306+'Operating costs'!$B$65&gt;(C3304-1)*12,Paths!$E$306+'Operating costs'!$B$65&lt;=C3304*12))),'Operating costs'!$B$64,0)+IF(AND('Operating costs'!$B$67&gt;0,'Operating costs'!$B$67&lt;=120,OR(Paths!$D$306="ICE",'Operating costs'!$B$67&lt;=Paths!$E$306),IF('Operating costs'!$B$67=0,C3304=0,AND(C3304&gt;0,'Operating costs'!$B$67&gt;(C3304-1)*12,'Operating costs'!$B$67&lt;=C3304*12))),'Operating costs'!$B$66,0),"n.a."))</f>
        <v>0</v>
      </c>
      <c r="N3304" s="16">
        <f>IF(NOT(Paths!$C$306=1),0,IF(Paths!$P$306="Complete",SUM(G3304:I3304)-J3304-K3304-L3304+M3304+IF(C3304=0,Paths!$F$306,0)+IF(IF(Paths!$E$306=0,C3304=0,AND(C3304&gt;0,Paths!$E$306&gt;(C3304-1)*12,Paths!$E$306&lt;=C3304*12)),VLOOKUP(A3304,'Fleet register'!$A$7:$S$106,16,FALSE),0),"n.a."))</f>
        <v>0</v>
      </c>
      <c r="O3304" s="16">
        <f>IF(NOT(Paths!$C$306=1),0,IF(Paths!$P$306="Complete",N3304-IF(C3304=0,Paths!$F$306,0),"n.a."))</f>
        <v>0</v>
      </c>
      <c r="P3304" s="16">
        <f>IF(NOT(Paths!$C$306=1),0,IF(Paths!$P$306="Complete",O3304+L3304,"n.a."))</f>
        <v>0</v>
      </c>
      <c r="Q3304" s="16">
        <f>IF(NOT(Paths!$C$306=1),0,IF(Paths!$P$306="Complete",N3304*(1+'Operating costs'!$B$54)^-C3304,"n.a."))</f>
        <v>0</v>
      </c>
      <c r="R3304" s="16">
        <f>IF(NOT(Paths!$C$306=1),0,IF(Paths!$P$306="Complete",IF(AND(C3304=0,Paths!$E$306=0),I3304-J3304-K3304+VLOOKUP(A3304,'Fleet register'!$A$7:$S$106,15,FALSE)+VLOOKUP(A3304,'Fleet register'!$A$7:$S$106,16,FALSE),0),"n.a."))</f>
        <v>0</v>
      </c>
      <c r="S3304" s="1">
        <f>IF(NOT(Paths!$C$306=1),0,IF(Paths!$P$306="Complete",IF(C3304=0,0,Paths!$S$306*Paths!$R$306),"n.a."))</f>
        <v>0</v>
      </c>
      <c r="T3304" s="1">
        <f>IF(NOT(Paths!$C$306=1),0,IF(Paths!$P$306="Complete",IF(C3304=0,0,VLOOKUP(A3304,'Fleet register'!$A$7:$S$106,9,FALSE)*Paths!$R$306),"n.a."))</f>
        <v>0</v>
      </c>
    </row>
    <row r="3305" spans="1:20" ht="24" customHeight="1">
      <c r="A3305" s="1" t="str">
        <f>Paths!$A$306</f>
        <v>T075</v>
      </c>
      <c r="B3305" s="1">
        <f>Paths!$B$306</f>
        <v>3</v>
      </c>
      <c r="C3305" s="1">
        <v>9</v>
      </c>
      <c r="D3305" s="1">
        <v>306</v>
      </c>
      <c r="E3305" s="1">
        <f>IF(OR(Paths!$C$306=0,C3305=0),0,MAX(0,MIN(C3305*12,Paths!$E$306)-(C3305-1)*12))</f>
        <v>0</v>
      </c>
      <c r="F3305" s="1">
        <f>IF(OR(Paths!$C$306=0,C3305=0),0,12-E3305)</f>
        <v>0</v>
      </c>
      <c r="G3305" s="16">
        <f>IF(NOT(Paths!$C$306=1),0,IF(Paths!$P$306="Complete",E3305/12*(Paths!$J$306*(1+'Operating costs'!$B$51)^MAX(0,C3305-1)+Paths!$K$306*(1+'Operating costs'!$B$53)^MAX(0,C3305-1)),"n.a."))</f>
        <v>0</v>
      </c>
      <c r="H3305" s="16">
        <f>IF(NOT(Paths!$C$306=1),0,IF(Paths!$P$306="Complete",F3305/12*(Paths!$L$306*(1+IF(Paths!$D$306="EV",'Operating costs'!$B$52,'Operating costs'!$B$51))^MAX(0,C3305-1)+Paths!$M$306*(1+'Operating costs'!$B$53)^MAX(0,C3305-1)),"n.a."))</f>
        <v>0</v>
      </c>
      <c r="I3305" s="16">
        <f>IF(NOT(Paths!$C$306=1),0,IF(Paths!$P$306="Complete",IF(IF(Paths!$E$306=0,C3305=0,AND(C3305&gt;0,Paths!$E$306&gt;(C3305-1)*12,Paths!$E$306&lt;=C3305*12)),Paths!$G$306,0),"n.a."))</f>
        <v>0</v>
      </c>
      <c r="J3305" s="16">
        <f>IF(NOT(Paths!$C$306=1),0,IF(Paths!$P$306="Complete",IF(IF(Paths!$E$306=0,C3305=0,AND(C3305&gt;0,Paths!$E$306&gt;(C3305-1)*12,Paths!$E$306&lt;=C3305*12)),Paths!$H$306,0),"n.a."))</f>
        <v>0</v>
      </c>
      <c r="K3305" s="16">
        <f>IF(NOT(Paths!$C$306=1),0,IF(Paths!$P$306="Complete",IF(IF(Paths!$O$306=0,C3305=0,AND(C3305&gt;0,Paths!$O$306&gt;(C3305-1)*12,Paths!$O$306&lt;=C3305*12)),Paths!$N$306,0),"n.a."))</f>
        <v>0</v>
      </c>
      <c r="L3305" s="16">
        <f>IF(NOT(Paths!$C$306=1),0,IF(Paths!$P$306="Complete",IF(C3305=10,Paths!$I$306,0),"n.a."))</f>
        <v>0</v>
      </c>
      <c r="M3305" s="16">
        <f>IF(NOT(Paths!$C$306=1),0,IF(Paths!$P$306="Complete",IF(AND(Paths!$D$306="EV",Paths!$E$306&lt;120,Paths!$E$306+'Operating costs'!$B$65&gt;Paths!$E$306,Paths!$E$306+'Operating costs'!$B$65&lt;=120,IF(Paths!$E$306+'Operating costs'!$B$65=0,C3305=0,AND(C3305&gt;0,Paths!$E$306+'Operating costs'!$B$65&gt;(C3305-1)*12,Paths!$E$306+'Operating costs'!$B$65&lt;=C3305*12))),'Operating costs'!$B$64,0)+IF(AND('Operating costs'!$B$67&gt;0,'Operating costs'!$B$67&lt;=120,OR(Paths!$D$306="ICE",'Operating costs'!$B$67&lt;=Paths!$E$306),IF('Operating costs'!$B$67=0,C3305=0,AND(C3305&gt;0,'Operating costs'!$B$67&gt;(C3305-1)*12,'Operating costs'!$B$67&lt;=C3305*12))),'Operating costs'!$B$66,0),"n.a."))</f>
        <v>0</v>
      </c>
      <c r="N3305" s="16">
        <f>IF(NOT(Paths!$C$306=1),0,IF(Paths!$P$306="Complete",SUM(G3305:I3305)-J3305-K3305-L3305+M3305+IF(C3305=0,Paths!$F$306,0)+IF(IF(Paths!$E$306=0,C3305=0,AND(C3305&gt;0,Paths!$E$306&gt;(C3305-1)*12,Paths!$E$306&lt;=C3305*12)),VLOOKUP(A3305,'Fleet register'!$A$7:$S$106,16,FALSE),0),"n.a."))</f>
        <v>0</v>
      </c>
      <c r="O3305" s="16">
        <f>IF(NOT(Paths!$C$306=1),0,IF(Paths!$P$306="Complete",N3305-IF(C3305=0,Paths!$F$306,0),"n.a."))</f>
        <v>0</v>
      </c>
      <c r="P3305" s="16">
        <f>IF(NOT(Paths!$C$306=1),0,IF(Paths!$P$306="Complete",O3305+L3305,"n.a."))</f>
        <v>0</v>
      </c>
      <c r="Q3305" s="16">
        <f>IF(NOT(Paths!$C$306=1),0,IF(Paths!$P$306="Complete",N3305*(1+'Operating costs'!$B$54)^-C3305,"n.a."))</f>
        <v>0</v>
      </c>
      <c r="R3305" s="16">
        <f>IF(NOT(Paths!$C$306=1),0,IF(Paths!$P$306="Complete",IF(AND(C3305=0,Paths!$E$306=0),I3305-J3305-K3305+VLOOKUP(A3305,'Fleet register'!$A$7:$S$106,15,FALSE)+VLOOKUP(A3305,'Fleet register'!$A$7:$S$106,16,FALSE),0),"n.a."))</f>
        <v>0</v>
      </c>
      <c r="S3305" s="1">
        <f>IF(NOT(Paths!$C$306=1),0,IF(Paths!$P$306="Complete",IF(C3305=0,0,Paths!$S$306*Paths!$R$306),"n.a."))</f>
        <v>0</v>
      </c>
      <c r="T3305" s="1">
        <f>IF(NOT(Paths!$C$306=1),0,IF(Paths!$P$306="Complete",IF(C3305=0,0,VLOOKUP(A3305,'Fleet register'!$A$7:$S$106,9,FALSE)*Paths!$R$306),"n.a."))</f>
        <v>0</v>
      </c>
    </row>
    <row r="3306" spans="1:20" ht="24" customHeight="1">
      <c r="A3306" s="1" t="str">
        <f>Paths!$A$306</f>
        <v>T075</v>
      </c>
      <c r="B3306" s="1">
        <f>Paths!$B$306</f>
        <v>3</v>
      </c>
      <c r="C3306" s="1">
        <v>10</v>
      </c>
      <c r="D3306" s="1">
        <v>306</v>
      </c>
      <c r="E3306" s="1">
        <f>IF(OR(Paths!$C$306=0,C3306=0),0,MAX(0,MIN(C3306*12,Paths!$E$306)-(C3306-1)*12))</f>
        <v>0</v>
      </c>
      <c r="F3306" s="1">
        <f>IF(OR(Paths!$C$306=0,C3306=0),0,12-E3306)</f>
        <v>0</v>
      </c>
      <c r="G3306" s="16">
        <f>IF(NOT(Paths!$C$306=1),0,IF(Paths!$P$306="Complete",E3306/12*(Paths!$J$306*(1+'Operating costs'!$B$51)^MAX(0,C3306-1)+Paths!$K$306*(1+'Operating costs'!$B$53)^MAX(0,C3306-1)),"n.a."))</f>
        <v>0</v>
      </c>
      <c r="H3306" s="16">
        <f>IF(NOT(Paths!$C$306=1),0,IF(Paths!$P$306="Complete",F3306/12*(Paths!$L$306*(1+IF(Paths!$D$306="EV",'Operating costs'!$B$52,'Operating costs'!$B$51))^MAX(0,C3306-1)+Paths!$M$306*(1+'Operating costs'!$B$53)^MAX(0,C3306-1)),"n.a."))</f>
        <v>0</v>
      </c>
      <c r="I3306" s="16">
        <f>IF(NOT(Paths!$C$306=1),0,IF(Paths!$P$306="Complete",IF(IF(Paths!$E$306=0,C3306=0,AND(C3306&gt;0,Paths!$E$306&gt;(C3306-1)*12,Paths!$E$306&lt;=C3306*12)),Paths!$G$306,0),"n.a."))</f>
        <v>0</v>
      </c>
      <c r="J3306" s="16">
        <f>IF(NOT(Paths!$C$306=1),0,IF(Paths!$P$306="Complete",IF(IF(Paths!$E$306=0,C3306=0,AND(C3306&gt;0,Paths!$E$306&gt;(C3306-1)*12,Paths!$E$306&lt;=C3306*12)),Paths!$H$306,0),"n.a."))</f>
        <v>0</v>
      </c>
      <c r="K3306" s="16">
        <f>IF(NOT(Paths!$C$306=1),0,IF(Paths!$P$306="Complete",IF(IF(Paths!$O$306=0,C3306=0,AND(C3306&gt;0,Paths!$O$306&gt;(C3306-1)*12,Paths!$O$306&lt;=C3306*12)),Paths!$N$306,0),"n.a."))</f>
        <v>0</v>
      </c>
      <c r="L3306" s="16">
        <f>IF(NOT(Paths!$C$306=1),0,IF(Paths!$P$306="Complete",IF(C3306=10,Paths!$I$306,0),"n.a."))</f>
        <v>0</v>
      </c>
      <c r="M3306" s="16">
        <f>IF(NOT(Paths!$C$306=1),0,IF(Paths!$P$306="Complete",IF(AND(Paths!$D$306="EV",Paths!$E$306&lt;120,Paths!$E$306+'Operating costs'!$B$65&gt;Paths!$E$306,Paths!$E$306+'Operating costs'!$B$65&lt;=120,IF(Paths!$E$306+'Operating costs'!$B$65=0,C3306=0,AND(C3306&gt;0,Paths!$E$306+'Operating costs'!$B$65&gt;(C3306-1)*12,Paths!$E$306+'Operating costs'!$B$65&lt;=C3306*12))),'Operating costs'!$B$64,0)+IF(AND('Operating costs'!$B$67&gt;0,'Operating costs'!$B$67&lt;=120,OR(Paths!$D$306="ICE",'Operating costs'!$B$67&lt;=Paths!$E$306),IF('Operating costs'!$B$67=0,C3306=0,AND(C3306&gt;0,'Operating costs'!$B$67&gt;(C3306-1)*12,'Operating costs'!$B$67&lt;=C3306*12))),'Operating costs'!$B$66,0),"n.a."))</f>
        <v>0</v>
      </c>
      <c r="N3306" s="16">
        <f>IF(NOT(Paths!$C$306=1),0,IF(Paths!$P$306="Complete",SUM(G3306:I3306)-J3306-K3306-L3306+M3306+IF(C3306=0,Paths!$F$306,0)+IF(IF(Paths!$E$306=0,C3306=0,AND(C3306&gt;0,Paths!$E$306&gt;(C3306-1)*12,Paths!$E$306&lt;=C3306*12)),VLOOKUP(A3306,'Fleet register'!$A$7:$S$106,16,FALSE),0),"n.a."))</f>
        <v>0</v>
      </c>
      <c r="O3306" s="16">
        <f>IF(NOT(Paths!$C$306=1),0,IF(Paths!$P$306="Complete",N3306-IF(C3306=0,Paths!$F$306,0),"n.a."))</f>
        <v>0</v>
      </c>
      <c r="P3306" s="16">
        <f>IF(NOT(Paths!$C$306=1),0,IF(Paths!$P$306="Complete",O3306+L3306,"n.a."))</f>
        <v>0</v>
      </c>
      <c r="Q3306" s="16">
        <f>IF(NOT(Paths!$C$306=1),0,IF(Paths!$P$306="Complete",N3306*(1+'Operating costs'!$B$54)^-C3306,"n.a."))</f>
        <v>0</v>
      </c>
      <c r="R3306" s="16">
        <f>IF(NOT(Paths!$C$306=1),0,IF(Paths!$P$306="Complete",IF(AND(C3306=0,Paths!$E$306=0),I3306-J3306-K3306+VLOOKUP(A3306,'Fleet register'!$A$7:$S$106,15,FALSE)+VLOOKUP(A3306,'Fleet register'!$A$7:$S$106,16,FALSE),0),"n.a."))</f>
        <v>0</v>
      </c>
      <c r="S3306" s="1">
        <f>IF(NOT(Paths!$C$306=1),0,IF(Paths!$P$306="Complete",IF(C3306=0,0,Paths!$S$306*Paths!$R$306),"n.a."))</f>
        <v>0</v>
      </c>
      <c r="T3306" s="1">
        <f>IF(NOT(Paths!$C$306=1),0,IF(Paths!$P$306="Complete",IF(C3306=0,0,VLOOKUP(A3306,'Fleet register'!$A$7:$S$106,9,FALSE)*Paths!$R$306),"n.a."))</f>
        <v>0</v>
      </c>
    </row>
    <row r="3307" spans="1:20" ht="24" customHeight="1">
      <c r="A3307" s="1" t="str">
        <f>Paths!$A$307</f>
        <v>T076</v>
      </c>
      <c r="B3307" s="1">
        <f>Paths!$B$307</f>
        <v>0</v>
      </c>
      <c r="C3307" s="1">
        <v>0</v>
      </c>
      <c r="D3307" s="1">
        <v>307</v>
      </c>
      <c r="E3307" s="1">
        <f>IF(OR(Paths!$C$307=0,C3307=0),0,MAX(0,MIN(C3307*12,Paths!$E$307)-(C3307-1)*12))</f>
        <v>0</v>
      </c>
      <c r="F3307" s="1">
        <f>IF(OR(Paths!$C$307=0,C3307=0),0,12-E3307)</f>
        <v>0</v>
      </c>
      <c r="G3307" s="16">
        <f>IF(NOT(Paths!$C$307=1),0,IF(Paths!$P$307="Complete",E3307/12*(Paths!$J$307*(1+'Operating costs'!$B$51)^MAX(0,C3307-1)+Paths!$K$307*(1+'Operating costs'!$B$53)^MAX(0,C3307-1)),"n.a."))</f>
        <v>0</v>
      </c>
      <c r="H3307" s="16">
        <f>IF(NOT(Paths!$C$307=1),0,IF(Paths!$P$307="Complete",F3307/12*(Paths!$L$307*(1+IF(Paths!$D$307="EV",'Operating costs'!$B$52,'Operating costs'!$B$51))^MAX(0,C3307-1)+Paths!$M$307*(1+'Operating costs'!$B$53)^MAX(0,C3307-1)),"n.a."))</f>
        <v>0</v>
      </c>
      <c r="I3307" s="16">
        <f>IF(NOT(Paths!$C$307=1),0,IF(Paths!$P$307="Complete",IF(IF(Paths!$E$307=0,C3307=0,AND(C3307&gt;0,Paths!$E$307&gt;(C3307-1)*12,Paths!$E$307&lt;=C3307*12)),Paths!$G$307,0),"n.a."))</f>
        <v>0</v>
      </c>
      <c r="J3307" s="16">
        <f>IF(NOT(Paths!$C$307=1),0,IF(Paths!$P$307="Complete",IF(IF(Paths!$E$307=0,C3307=0,AND(C3307&gt;0,Paths!$E$307&gt;(C3307-1)*12,Paths!$E$307&lt;=C3307*12)),Paths!$H$307,0),"n.a."))</f>
        <v>0</v>
      </c>
      <c r="K3307" s="16">
        <f>IF(NOT(Paths!$C$307=1),0,IF(Paths!$P$307="Complete",IF(IF(Paths!$O$307=0,C3307=0,AND(C3307&gt;0,Paths!$O$307&gt;(C3307-1)*12,Paths!$O$307&lt;=C3307*12)),Paths!$N$307,0),"n.a."))</f>
        <v>0</v>
      </c>
      <c r="L3307" s="16">
        <f>IF(NOT(Paths!$C$307=1),0,IF(Paths!$P$307="Complete",IF(C3307=10,Paths!$I$307,0),"n.a."))</f>
        <v>0</v>
      </c>
      <c r="M3307" s="16">
        <f>IF(NOT(Paths!$C$307=1),0,IF(Paths!$P$307="Complete",IF(AND(Paths!$D$307="EV",Paths!$E$307&lt;120,Paths!$E$307+'Operating costs'!$B$65&gt;Paths!$E$307,Paths!$E$307+'Operating costs'!$B$65&lt;=120,IF(Paths!$E$307+'Operating costs'!$B$65=0,C3307=0,AND(C3307&gt;0,Paths!$E$307+'Operating costs'!$B$65&gt;(C3307-1)*12,Paths!$E$307+'Operating costs'!$B$65&lt;=C3307*12))),'Operating costs'!$B$64,0)+IF(AND('Operating costs'!$B$67&gt;0,'Operating costs'!$B$67&lt;=120,OR(Paths!$D$307="ICE",'Operating costs'!$B$67&lt;=Paths!$E$307),IF('Operating costs'!$B$67=0,C3307=0,AND(C3307&gt;0,'Operating costs'!$B$67&gt;(C3307-1)*12,'Operating costs'!$B$67&lt;=C3307*12))),'Operating costs'!$B$66,0),"n.a."))</f>
        <v>0</v>
      </c>
      <c r="N3307" s="16">
        <f>IF(NOT(Paths!$C$307=1),0,IF(Paths!$P$307="Complete",SUM(G3307:I3307)-J3307-K3307-L3307+M3307+IF(C3307=0,Paths!$F$307,0)+IF(IF(Paths!$E$307=0,C3307=0,AND(C3307&gt;0,Paths!$E$307&gt;(C3307-1)*12,Paths!$E$307&lt;=C3307*12)),VLOOKUP(A3307,'Fleet register'!$A$7:$S$106,16,FALSE),0),"n.a."))</f>
        <v>0</v>
      </c>
      <c r="O3307" s="16">
        <f>IF(NOT(Paths!$C$307=1),0,IF(Paths!$P$307="Complete",N3307-IF(C3307=0,Paths!$F$307,0),"n.a."))</f>
        <v>0</v>
      </c>
      <c r="P3307" s="16">
        <f>IF(NOT(Paths!$C$307=1),0,IF(Paths!$P$307="Complete",O3307+L3307,"n.a."))</f>
        <v>0</v>
      </c>
      <c r="Q3307" s="16">
        <f>IF(NOT(Paths!$C$307=1),0,IF(Paths!$P$307="Complete",N3307*(1+'Operating costs'!$B$54)^-C3307,"n.a."))</f>
        <v>0</v>
      </c>
      <c r="R3307" s="16">
        <f>IF(NOT(Paths!$C$307=1),0,IF(Paths!$P$307="Complete",IF(AND(C3307=0,Paths!$E$307=0),I3307-J3307-K3307+VLOOKUP(A3307,'Fleet register'!$A$7:$S$106,15,FALSE)+VLOOKUP(A3307,'Fleet register'!$A$7:$S$106,16,FALSE),0),"n.a."))</f>
        <v>0</v>
      </c>
      <c r="S3307" s="1">
        <f>IF(NOT(Paths!$C$307=1),0,IF(Paths!$P$307="Complete",IF(C3307=0,0,Paths!$S$307*Paths!$R$307),"n.a."))</f>
        <v>0</v>
      </c>
      <c r="T3307" s="1">
        <f>IF(NOT(Paths!$C$307=1),0,IF(Paths!$P$307="Complete",IF(C3307=0,0,VLOOKUP(A3307,'Fleet register'!$A$7:$S$106,9,FALSE)*Paths!$R$307),"n.a."))</f>
        <v>0</v>
      </c>
    </row>
    <row r="3308" spans="1:20" ht="24" customHeight="1">
      <c r="A3308" s="1" t="str">
        <f>Paths!$A$307</f>
        <v>T076</v>
      </c>
      <c r="B3308" s="1">
        <f>Paths!$B$307</f>
        <v>0</v>
      </c>
      <c r="C3308" s="1">
        <v>1</v>
      </c>
      <c r="D3308" s="1">
        <v>307</v>
      </c>
      <c r="E3308" s="1">
        <f>IF(OR(Paths!$C$307=0,C3308=0),0,MAX(0,MIN(C3308*12,Paths!$E$307)-(C3308-1)*12))</f>
        <v>0</v>
      </c>
      <c r="F3308" s="1">
        <f>IF(OR(Paths!$C$307=0,C3308=0),0,12-E3308)</f>
        <v>0</v>
      </c>
      <c r="G3308" s="16">
        <f>IF(NOT(Paths!$C$307=1),0,IF(Paths!$P$307="Complete",E3308/12*(Paths!$J$307*(1+'Operating costs'!$B$51)^MAX(0,C3308-1)+Paths!$K$307*(1+'Operating costs'!$B$53)^MAX(0,C3308-1)),"n.a."))</f>
        <v>0</v>
      </c>
      <c r="H3308" s="16">
        <f>IF(NOT(Paths!$C$307=1),0,IF(Paths!$P$307="Complete",F3308/12*(Paths!$L$307*(1+IF(Paths!$D$307="EV",'Operating costs'!$B$52,'Operating costs'!$B$51))^MAX(0,C3308-1)+Paths!$M$307*(1+'Operating costs'!$B$53)^MAX(0,C3308-1)),"n.a."))</f>
        <v>0</v>
      </c>
      <c r="I3308" s="16">
        <f>IF(NOT(Paths!$C$307=1),0,IF(Paths!$P$307="Complete",IF(IF(Paths!$E$307=0,C3308=0,AND(C3308&gt;0,Paths!$E$307&gt;(C3308-1)*12,Paths!$E$307&lt;=C3308*12)),Paths!$G$307,0),"n.a."))</f>
        <v>0</v>
      </c>
      <c r="J3308" s="16">
        <f>IF(NOT(Paths!$C$307=1),0,IF(Paths!$P$307="Complete",IF(IF(Paths!$E$307=0,C3308=0,AND(C3308&gt;0,Paths!$E$307&gt;(C3308-1)*12,Paths!$E$307&lt;=C3308*12)),Paths!$H$307,0),"n.a."))</f>
        <v>0</v>
      </c>
      <c r="K3308" s="16">
        <f>IF(NOT(Paths!$C$307=1),0,IF(Paths!$P$307="Complete",IF(IF(Paths!$O$307=0,C3308=0,AND(C3308&gt;0,Paths!$O$307&gt;(C3308-1)*12,Paths!$O$307&lt;=C3308*12)),Paths!$N$307,0),"n.a."))</f>
        <v>0</v>
      </c>
      <c r="L3308" s="16">
        <f>IF(NOT(Paths!$C$307=1),0,IF(Paths!$P$307="Complete",IF(C3308=10,Paths!$I$307,0),"n.a."))</f>
        <v>0</v>
      </c>
      <c r="M3308" s="16">
        <f>IF(NOT(Paths!$C$307=1),0,IF(Paths!$P$307="Complete",IF(AND(Paths!$D$307="EV",Paths!$E$307&lt;120,Paths!$E$307+'Operating costs'!$B$65&gt;Paths!$E$307,Paths!$E$307+'Operating costs'!$B$65&lt;=120,IF(Paths!$E$307+'Operating costs'!$B$65=0,C3308=0,AND(C3308&gt;0,Paths!$E$307+'Operating costs'!$B$65&gt;(C3308-1)*12,Paths!$E$307+'Operating costs'!$B$65&lt;=C3308*12))),'Operating costs'!$B$64,0)+IF(AND('Operating costs'!$B$67&gt;0,'Operating costs'!$B$67&lt;=120,OR(Paths!$D$307="ICE",'Operating costs'!$B$67&lt;=Paths!$E$307),IF('Operating costs'!$B$67=0,C3308=0,AND(C3308&gt;0,'Operating costs'!$B$67&gt;(C3308-1)*12,'Operating costs'!$B$67&lt;=C3308*12))),'Operating costs'!$B$66,0),"n.a."))</f>
        <v>0</v>
      </c>
      <c r="N3308" s="16">
        <f>IF(NOT(Paths!$C$307=1),0,IF(Paths!$P$307="Complete",SUM(G3308:I3308)-J3308-K3308-L3308+M3308+IF(C3308=0,Paths!$F$307,0)+IF(IF(Paths!$E$307=0,C3308=0,AND(C3308&gt;0,Paths!$E$307&gt;(C3308-1)*12,Paths!$E$307&lt;=C3308*12)),VLOOKUP(A3308,'Fleet register'!$A$7:$S$106,16,FALSE),0),"n.a."))</f>
        <v>0</v>
      </c>
      <c r="O3308" s="16">
        <f>IF(NOT(Paths!$C$307=1),0,IF(Paths!$P$307="Complete",N3308-IF(C3308=0,Paths!$F$307,0),"n.a."))</f>
        <v>0</v>
      </c>
      <c r="P3308" s="16">
        <f>IF(NOT(Paths!$C$307=1),0,IF(Paths!$P$307="Complete",O3308+L3308,"n.a."))</f>
        <v>0</v>
      </c>
      <c r="Q3308" s="16">
        <f>IF(NOT(Paths!$C$307=1),0,IF(Paths!$P$307="Complete",N3308*(1+'Operating costs'!$B$54)^-C3308,"n.a."))</f>
        <v>0</v>
      </c>
      <c r="R3308" s="16">
        <f>IF(NOT(Paths!$C$307=1),0,IF(Paths!$P$307="Complete",IF(AND(C3308=0,Paths!$E$307=0),I3308-J3308-K3308+VLOOKUP(A3308,'Fleet register'!$A$7:$S$106,15,FALSE)+VLOOKUP(A3308,'Fleet register'!$A$7:$S$106,16,FALSE),0),"n.a."))</f>
        <v>0</v>
      </c>
      <c r="S3308" s="1">
        <f>IF(NOT(Paths!$C$307=1),0,IF(Paths!$P$307="Complete",IF(C3308=0,0,Paths!$S$307*Paths!$R$307),"n.a."))</f>
        <v>0</v>
      </c>
      <c r="T3308" s="1">
        <f>IF(NOT(Paths!$C$307=1),0,IF(Paths!$P$307="Complete",IF(C3308=0,0,VLOOKUP(A3308,'Fleet register'!$A$7:$S$106,9,FALSE)*Paths!$R$307),"n.a."))</f>
        <v>0</v>
      </c>
    </row>
    <row r="3309" spans="1:20" ht="24" customHeight="1">
      <c r="A3309" s="1" t="str">
        <f>Paths!$A$307</f>
        <v>T076</v>
      </c>
      <c r="B3309" s="1">
        <f>Paths!$B$307</f>
        <v>0</v>
      </c>
      <c r="C3309" s="1">
        <v>2</v>
      </c>
      <c r="D3309" s="1">
        <v>307</v>
      </c>
      <c r="E3309" s="1">
        <f>IF(OR(Paths!$C$307=0,C3309=0),0,MAX(0,MIN(C3309*12,Paths!$E$307)-(C3309-1)*12))</f>
        <v>0</v>
      </c>
      <c r="F3309" s="1">
        <f>IF(OR(Paths!$C$307=0,C3309=0),0,12-E3309)</f>
        <v>0</v>
      </c>
      <c r="G3309" s="16">
        <f>IF(NOT(Paths!$C$307=1),0,IF(Paths!$P$307="Complete",E3309/12*(Paths!$J$307*(1+'Operating costs'!$B$51)^MAX(0,C3309-1)+Paths!$K$307*(1+'Operating costs'!$B$53)^MAX(0,C3309-1)),"n.a."))</f>
        <v>0</v>
      </c>
      <c r="H3309" s="16">
        <f>IF(NOT(Paths!$C$307=1),0,IF(Paths!$P$307="Complete",F3309/12*(Paths!$L$307*(1+IF(Paths!$D$307="EV",'Operating costs'!$B$52,'Operating costs'!$B$51))^MAX(0,C3309-1)+Paths!$M$307*(1+'Operating costs'!$B$53)^MAX(0,C3309-1)),"n.a."))</f>
        <v>0</v>
      </c>
      <c r="I3309" s="16">
        <f>IF(NOT(Paths!$C$307=1),0,IF(Paths!$P$307="Complete",IF(IF(Paths!$E$307=0,C3309=0,AND(C3309&gt;0,Paths!$E$307&gt;(C3309-1)*12,Paths!$E$307&lt;=C3309*12)),Paths!$G$307,0),"n.a."))</f>
        <v>0</v>
      </c>
      <c r="J3309" s="16">
        <f>IF(NOT(Paths!$C$307=1),0,IF(Paths!$P$307="Complete",IF(IF(Paths!$E$307=0,C3309=0,AND(C3309&gt;0,Paths!$E$307&gt;(C3309-1)*12,Paths!$E$307&lt;=C3309*12)),Paths!$H$307,0),"n.a."))</f>
        <v>0</v>
      </c>
      <c r="K3309" s="16">
        <f>IF(NOT(Paths!$C$307=1),0,IF(Paths!$P$307="Complete",IF(IF(Paths!$O$307=0,C3309=0,AND(C3309&gt;0,Paths!$O$307&gt;(C3309-1)*12,Paths!$O$307&lt;=C3309*12)),Paths!$N$307,0),"n.a."))</f>
        <v>0</v>
      </c>
      <c r="L3309" s="16">
        <f>IF(NOT(Paths!$C$307=1),0,IF(Paths!$P$307="Complete",IF(C3309=10,Paths!$I$307,0),"n.a."))</f>
        <v>0</v>
      </c>
      <c r="M3309" s="16">
        <f>IF(NOT(Paths!$C$307=1),0,IF(Paths!$P$307="Complete",IF(AND(Paths!$D$307="EV",Paths!$E$307&lt;120,Paths!$E$307+'Operating costs'!$B$65&gt;Paths!$E$307,Paths!$E$307+'Operating costs'!$B$65&lt;=120,IF(Paths!$E$307+'Operating costs'!$B$65=0,C3309=0,AND(C3309&gt;0,Paths!$E$307+'Operating costs'!$B$65&gt;(C3309-1)*12,Paths!$E$307+'Operating costs'!$B$65&lt;=C3309*12))),'Operating costs'!$B$64,0)+IF(AND('Operating costs'!$B$67&gt;0,'Operating costs'!$B$67&lt;=120,OR(Paths!$D$307="ICE",'Operating costs'!$B$67&lt;=Paths!$E$307),IF('Operating costs'!$B$67=0,C3309=0,AND(C3309&gt;0,'Operating costs'!$B$67&gt;(C3309-1)*12,'Operating costs'!$B$67&lt;=C3309*12))),'Operating costs'!$B$66,0),"n.a."))</f>
        <v>0</v>
      </c>
      <c r="N3309" s="16">
        <f>IF(NOT(Paths!$C$307=1),0,IF(Paths!$P$307="Complete",SUM(G3309:I3309)-J3309-K3309-L3309+M3309+IF(C3309=0,Paths!$F$307,0)+IF(IF(Paths!$E$307=0,C3309=0,AND(C3309&gt;0,Paths!$E$307&gt;(C3309-1)*12,Paths!$E$307&lt;=C3309*12)),VLOOKUP(A3309,'Fleet register'!$A$7:$S$106,16,FALSE),0),"n.a."))</f>
        <v>0</v>
      </c>
      <c r="O3309" s="16">
        <f>IF(NOT(Paths!$C$307=1),0,IF(Paths!$P$307="Complete",N3309-IF(C3309=0,Paths!$F$307,0),"n.a."))</f>
        <v>0</v>
      </c>
      <c r="P3309" s="16">
        <f>IF(NOT(Paths!$C$307=1),0,IF(Paths!$P$307="Complete",O3309+L3309,"n.a."))</f>
        <v>0</v>
      </c>
      <c r="Q3309" s="16">
        <f>IF(NOT(Paths!$C$307=1),0,IF(Paths!$P$307="Complete",N3309*(1+'Operating costs'!$B$54)^-C3309,"n.a."))</f>
        <v>0</v>
      </c>
      <c r="R3309" s="16">
        <f>IF(NOT(Paths!$C$307=1),0,IF(Paths!$P$307="Complete",IF(AND(C3309=0,Paths!$E$307=0),I3309-J3309-K3309+VLOOKUP(A3309,'Fleet register'!$A$7:$S$106,15,FALSE)+VLOOKUP(A3309,'Fleet register'!$A$7:$S$106,16,FALSE),0),"n.a."))</f>
        <v>0</v>
      </c>
      <c r="S3309" s="1">
        <f>IF(NOT(Paths!$C$307=1),0,IF(Paths!$P$307="Complete",IF(C3309=0,0,Paths!$S$307*Paths!$R$307),"n.a."))</f>
        <v>0</v>
      </c>
      <c r="T3309" s="1">
        <f>IF(NOT(Paths!$C$307=1),0,IF(Paths!$P$307="Complete",IF(C3309=0,0,VLOOKUP(A3309,'Fleet register'!$A$7:$S$106,9,FALSE)*Paths!$R$307),"n.a."))</f>
        <v>0</v>
      </c>
    </row>
    <row r="3310" spans="1:20" ht="24" customHeight="1">
      <c r="A3310" s="1" t="str">
        <f>Paths!$A$307</f>
        <v>T076</v>
      </c>
      <c r="B3310" s="1">
        <f>Paths!$B$307</f>
        <v>0</v>
      </c>
      <c r="C3310" s="1">
        <v>3</v>
      </c>
      <c r="D3310" s="1">
        <v>307</v>
      </c>
      <c r="E3310" s="1">
        <f>IF(OR(Paths!$C$307=0,C3310=0),0,MAX(0,MIN(C3310*12,Paths!$E$307)-(C3310-1)*12))</f>
        <v>0</v>
      </c>
      <c r="F3310" s="1">
        <f>IF(OR(Paths!$C$307=0,C3310=0),0,12-E3310)</f>
        <v>0</v>
      </c>
      <c r="G3310" s="16">
        <f>IF(NOT(Paths!$C$307=1),0,IF(Paths!$P$307="Complete",E3310/12*(Paths!$J$307*(1+'Operating costs'!$B$51)^MAX(0,C3310-1)+Paths!$K$307*(1+'Operating costs'!$B$53)^MAX(0,C3310-1)),"n.a."))</f>
        <v>0</v>
      </c>
      <c r="H3310" s="16">
        <f>IF(NOT(Paths!$C$307=1),0,IF(Paths!$P$307="Complete",F3310/12*(Paths!$L$307*(1+IF(Paths!$D$307="EV",'Operating costs'!$B$52,'Operating costs'!$B$51))^MAX(0,C3310-1)+Paths!$M$307*(1+'Operating costs'!$B$53)^MAX(0,C3310-1)),"n.a."))</f>
        <v>0</v>
      </c>
      <c r="I3310" s="16">
        <f>IF(NOT(Paths!$C$307=1),0,IF(Paths!$P$307="Complete",IF(IF(Paths!$E$307=0,C3310=0,AND(C3310&gt;0,Paths!$E$307&gt;(C3310-1)*12,Paths!$E$307&lt;=C3310*12)),Paths!$G$307,0),"n.a."))</f>
        <v>0</v>
      </c>
      <c r="J3310" s="16">
        <f>IF(NOT(Paths!$C$307=1),0,IF(Paths!$P$307="Complete",IF(IF(Paths!$E$307=0,C3310=0,AND(C3310&gt;0,Paths!$E$307&gt;(C3310-1)*12,Paths!$E$307&lt;=C3310*12)),Paths!$H$307,0),"n.a."))</f>
        <v>0</v>
      </c>
      <c r="K3310" s="16">
        <f>IF(NOT(Paths!$C$307=1),0,IF(Paths!$P$307="Complete",IF(IF(Paths!$O$307=0,C3310=0,AND(C3310&gt;0,Paths!$O$307&gt;(C3310-1)*12,Paths!$O$307&lt;=C3310*12)),Paths!$N$307,0),"n.a."))</f>
        <v>0</v>
      </c>
      <c r="L3310" s="16">
        <f>IF(NOT(Paths!$C$307=1),0,IF(Paths!$P$307="Complete",IF(C3310=10,Paths!$I$307,0),"n.a."))</f>
        <v>0</v>
      </c>
      <c r="M3310" s="16">
        <f>IF(NOT(Paths!$C$307=1),0,IF(Paths!$P$307="Complete",IF(AND(Paths!$D$307="EV",Paths!$E$307&lt;120,Paths!$E$307+'Operating costs'!$B$65&gt;Paths!$E$307,Paths!$E$307+'Operating costs'!$B$65&lt;=120,IF(Paths!$E$307+'Operating costs'!$B$65=0,C3310=0,AND(C3310&gt;0,Paths!$E$307+'Operating costs'!$B$65&gt;(C3310-1)*12,Paths!$E$307+'Operating costs'!$B$65&lt;=C3310*12))),'Operating costs'!$B$64,0)+IF(AND('Operating costs'!$B$67&gt;0,'Operating costs'!$B$67&lt;=120,OR(Paths!$D$307="ICE",'Operating costs'!$B$67&lt;=Paths!$E$307),IF('Operating costs'!$B$67=0,C3310=0,AND(C3310&gt;0,'Operating costs'!$B$67&gt;(C3310-1)*12,'Operating costs'!$B$67&lt;=C3310*12))),'Operating costs'!$B$66,0),"n.a."))</f>
        <v>0</v>
      </c>
      <c r="N3310" s="16">
        <f>IF(NOT(Paths!$C$307=1),0,IF(Paths!$P$307="Complete",SUM(G3310:I3310)-J3310-K3310-L3310+M3310+IF(C3310=0,Paths!$F$307,0)+IF(IF(Paths!$E$307=0,C3310=0,AND(C3310&gt;0,Paths!$E$307&gt;(C3310-1)*12,Paths!$E$307&lt;=C3310*12)),VLOOKUP(A3310,'Fleet register'!$A$7:$S$106,16,FALSE),0),"n.a."))</f>
        <v>0</v>
      </c>
      <c r="O3310" s="16">
        <f>IF(NOT(Paths!$C$307=1),0,IF(Paths!$P$307="Complete",N3310-IF(C3310=0,Paths!$F$307,0),"n.a."))</f>
        <v>0</v>
      </c>
      <c r="P3310" s="16">
        <f>IF(NOT(Paths!$C$307=1),0,IF(Paths!$P$307="Complete",O3310+L3310,"n.a."))</f>
        <v>0</v>
      </c>
      <c r="Q3310" s="16">
        <f>IF(NOT(Paths!$C$307=1),0,IF(Paths!$P$307="Complete",N3310*(1+'Operating costs'!$B$54)^-C3310,"n.a."))</f>
        <v>0</v>
      </c>
      <c r="R3310" s="16">
        <f>IF(NOT(Paths!$C$307=1),0,IF(Paths!$P$307="Complete",IF(AND(C3310=0,Paths!$E$307=0),I3310-J3310-K3310+VLOOKUP(A3310,'Fleet register'!$A$7:$S$106,15,FALSE)+VLOOKUP(A3310,'Fleet register'!$A$7:$S$106,16,FALSE),0),"n.a."))</f>
        <v>0</v>
      </c>
      <c r="S3310" s="1">
        <f>IF(NOT(Paths!$C$307=1),0,IF(Paths!$P$307="Complete",IF(C3310=0,0,Paths!$S$307*Paths!$R$307),"n.a."))</f>
        <v>0</v>
      </c>
      <c r="T3310" s="1">
        <f>IF(NOT(Paths!$C$307=1),0,IF(Paths!$P$307="Complete",IF(C3310=0,0,VLOOKUP(A3310,'Fleet register'!$A$7:$S$106,9,FALSE)*Paths!$R$307),"n.a."))</f>
        <v>0</v>
      </c>
    </row>
    <row r="3311" spans="1:20" ht="24" customHeight="1">
      <c r="A3311" s="1" t="str">
        <f>Paths!$A$307</f>
        <v>T076</v>
      </c>
      <c r="B3311" s="1">
        <f>Paths!$B$307</f>
        <v>0</v>
      </c>
      <c r="C3311" s="1">
        <v>4</v>
      </c>
      <c r="D3311" s="1">
        <v>307</v>
      </c>
      <c r="E3311" s="1">
        <f>IF(OR(Paths!$C$307=0,C3311=0),0,MAX(0,MIN(C3311*12,Paths!$E$307)-(C3311-1)*12))</f>
        <v>0</v>
      </c>
      <c r="F3311" s="1">
        <f>IF(OR(Paths!$C$307=0,C3311=0),0,12-E3311)</f>
        <v>0</v>
      </c>
      <c r="G3311" s="16">
        <f>IF(NOT(Paths!$C$307=1),0,IF(Paths!$P$307="Complete",E3311/12*(Paths!$J$307*(1+'Operating costs'!$B$51)^MAX(0,C3311-1)+Paths!$K$307*(1+'Operating costs'!$B$53)^MAX(0,C3311-1)),"n.a."))</f>
        <v>0</v>
      </c>
      <c r="H3311" s="16">
        <f>IF(NOT(Paths!$C$307=1),0,IF(Paths!$P$307="Complete",F3311/12*(Paths!$L$307*(1+IF(Paths!$D$307="EV",'Operating costs'!$B$52,'Operating costs'!$B$51))^MAX(0,C3311-1)+Paths!$M$307*(1+'Operating costs'!$B$53)^MAX(0,C3311-1)),"n.a."))</f>
        <v>0</v>
      </c>
      <c r="I3311" s="16">
        <f>IF(NOT(Paths!$C$307=1),0,IF(Paths!$P$307="Complete",IF(IF(Paths!$E$307=0,C3311=0,AND(C3311&gt;0,Paths!$E$307&gt;(C3311-1)*12,Paths!$E$307&lt;=C3311*12)),Paths!$G$307,0),"n.a."))</f>
        <v>0</v>
      </c>
      <c r="J3311" s="16">
        <f>IF(NOT(Paths!$C$307=1),0,IF(Paths!$P$307="Complete",IF(IF(Paths!$E$307=0,C3311=0,AND(C3311&gt;0,Paths!$E$307&gt;(C3311-1)*12,Paths!$E$307&lt;=C3311*12)),Paths!$H$307,0),"n.a."))</f>
        <v>0</v>
      </c>
      <c r="K3311" s="16">
        <f>IF(NOT(Paths!$C$307=1),0,IF(Paths!$P$307="Complete",IF(IF(Paths!$O$307=0,C3311=0,AND(C3311&gt;0,Paths!$O$307&gt;(C3311-1)*12,Paths!$O$307&lt;=C3311*12)),Paths!$N$307,0),"n.a."))</f>
        <v>0</v>
      </c>
      <c r="L3311" s="16">
        <f>IF(NOT(Paths!$C$307=1),0,IF(Paths!$P$307="Complete",IF(C3311=10,Paths!$I$307,0),"n.a."))</f>
        <v>0</v>
      </c>
      <c r="M3311" s="16">
        <f>IF(NOT(Paths!$C$307=1),0,IF(Paths!$P$307="Complete",IF(AND(Paths!$D$307="EV",Paths!$E$307&lt;120,Paths!$E$307+'Operating costs'!$B$65&gt;Paths!$E$307,Paths!$E$307+'Operating costs'!$B$65&lt;=120,IF(Paths!$E$307+'Operating costs'!$B$65=0,C3311=0,AND(C3311&gt;0,Paths!$E$307+'Operating costs'!$B$65&gt;(C3311-1)*12,Paths!$E$307+'Operating costs'!$B$65&lt;=C3311*12))),'Operating costs'!$B$64,0)+IF(AND('Operating costs'!$B$67&gt;0,'Operating costs'!$B$67&lt;=120,OR(Paths!$D$307="ICE",'Operating costs'!$B$67&lt;=Paths!$E$307),IF('Operating costs'!$B$67=0,C3311=0,AND(C3311&gt;0,'Operating costs'!$B$67&gt;(C3311-1)*12,'Operating costs'!$B$67&lt;=C3311*12))),'Operating costs'!$B$66,0),"n.a."))</f>
        <v>0</v>
      </c>
      <c r="N3311" s="16">
        <f>IF(NOT(Paths!$C$307=1),0,IF(Paths!$P$307="Complete",SUM(G3311:I3311)-J3311-K3311-L3311+M3311+IF(C3311=0,Paths!$F$307,0)+IF(IF(Paths!$E$307=0,C3311=0,AND(C3311&gt;0,Paths!$E$307&gt;(C3311-1)*12,Paths!$E$307&lt;=C3311*12)),VLOOKUP(A3311,'Fleet register'!$A$7:$S$106,16,FALSE),0),"n.a."))</f>
        <v>0</v>
      </c>
      <c r="O3311" s="16">
        <f>IF(NOT(Paths!$C$307=1),0,IF(Paths!$P$307="Complete",N3311-IF(C3311=0,Paths!$F$307,0),"n.a."))</f>
        <v>0</v>
      </c>
      <c r="P3311" s="16">
        <f>IF(NOT(Paths!$C$307=1),0,IF(Paths!$P$307="Complete",O3311+L3311,"n.a."))</f>
        <v>0</v>
      </c>
      <c r="Q3311" s="16">
        <f>IF(NOT(Paths!$C$307=1),0,IF(Paths!$P$307="Complete",N3311*(1+'Operating costs'!$B$54)^-C3311,"n.a."))</f>
        <v>0</v>
      </c>
      <c r="R3311" s="16">
        <f>IF(NOT(Paths!$C$307=1),0,IF(Paths!$P$307="Complete",IF(AND(C3311=0,Paths!$E$307=0),I3311-J3311-K3311+VLOOKUP(A3311,'Fleet register'!$A$7:$S$106,15,FALSE)+VLOOKUP(A3311,'Fleet register'!$A$7:$S$106,16,FALSE),0),"n.a."))</f>
        <v>0</v>
      </c>
      <c r="S3311" s="1">
        <f>IF(NOT(Paths!$C$307=1),0,IF(Paths!$P$307="Complete",IF(C3311=0,0,Paths!$S$307*Paths!$R$307),"n.a."))</f>
        <v>0</v>
      </c>
      <c r="T3311" s="1">
        <f>IF(NOT(Paths!$C$307=1),0,IF(Paths!$P$307="Complete",IF(C3311=0,0,VLOOKUP(A3311,'Fleet register'!$A$7:$S$106,9,FALSE)*Paths!$R$307),"n.a."))</f>
        <v>0</v>
      </c>
    </row>
    <row r="3312" spans="1:20" ht="24" customHeight="1">
      <c r="A3312" s="1" t="str">
        <f>Paths!$A$307</f>
        <v>T076</v>
      </c>
      <c r="B3312" s="1">
        <f>Paths!$B$307</f>
        <v>0</v>
      </c>
      <c r="C3312" s="1">
        <v>5</v>
      </c>
      <c r="D3312" s="1">
        <v>307</v>
      </c>
      <c r="E3312" s="1">
        <f>IF(OR(Paths!$C$307=0,C3312=0),0,MAX(0,MIN(C3312*12,Paths!$E$307)-(C3312-1)*12))</f>
        <v>0</v>
      </c>
      <c r="F3312" s="1">
        <f>IF(OR(Paths!$C$307=0,C3312=0),0,12-E3312)</f>
        <v>0</v>
      </c>
      <c r="G3312" s="16">
        <f>IF(NOT(Paths!$C$307=1),0,IF(Paths!$P$307="Complete",E3312/12*(Paths!$J$307*(1+'Operating costs'!$B$51)^MAX(0,C3312-1)+Paths!$K$307*(1+'Operating costs'!$B$53)^MAX(0,C3312-1)),"n.a."))</f>
        <v>0</v>
      </c>
      <c r="H3312" s="16">
        <f>IF(NOT(Paths!$C$307=1),0,IF(Paths!$P$307="Complete",F3312/12*(Paths!$L$307*(1+IF(Paths!$D$307="EV",'Operating costs'!$B$52,'Operating costs'!$B$51))^MAX(0,C3312-1)+Paths!$M$307*(1+'Operating costs'!$B$53)^MAX(0,C3312-1)),"n.a."))</f>
        <v>0</v>
      </c>
      <c r="I3312" s="16">
        <f>IF(NOT(Paths!$C$307=1),0,IF(Paths!$P$307="Complete",IF(IF(Paths!$E$307=0,C3312=0,AND(C3312&gt;0,Paths!$E$307&gt;(C3312-1)*12,Paths!$E$307&lt;=C3312*12)),Paths!$G$307,0),"n.a."))</f>
        <v>0</v>
      </c>
      <c r="J3312" s="16">
        <f>IF(NOT(Paths!$C$307=1),0,IF(Paths!$P$307="Complete",IF(IF(Paths!$E$307=0,C3312=0,AND(C3312&gt;0,Paths!$E$307&gt;(C3312-1)*12,Paths!$E$307&lt;=C3312*12)),Paths!$H$307,0),"n.a."))</f>
        <v>0</v>
      </c>
      <c r="K3312" s="16">
        <f>IF(NOT(Paths!$C$307=1),0,IF(Paths!$P$307="Complete",IF(IF(Paths!$O$307=0,C3312=0,AND(C3312&gt;0,Paths!$O$307&gt;(C3312-1)*12,Paths!$O$307&lt;=C3312*12)),Paths!$N$307,0),"n.a."))</f>
        <v>0</v>
      </c>
      <c r="L3312" s="16">
        <f>IF(NOT(Paths!$C$307=1),0,IF(Paths!$P$307="Complete",IF(C3312=10,Paths!$I$307,0),"n.a."))</f>
        <v>0</v>
      </c>
      <c r="M3312" s="16">
        <f>IF(NOT(Paths!$C$307=1),0,IF(Paths!$P$307="Complete",IF(AND(Paths!$D$307="EV",Paths!$E$307&lt;120,Paths!$E$307+'Operating costs'!$B$65&gt;Paths!$E$307,Paths!$E$307+'Operating costs'!$B$65&lt;=120,IF(Paths!$E$307+'Operating costs'!$B$65=0,C3312=0,AND(C3312&gt;0,Paths!$E$307+'Operating costs'!$B$65&gt;(C3312-1)*12,Paths!$E$307+'Operating costs'!$B$65&lt;=C3312*12))),'Operating costs'!$B$64,0)+IF(AND('Operating costs'!$B$67&gt;0,'Operating costs'!$B$67&lt;=120,OR(Paths!$D$307="ICE",'Operating costs'!$B$67&lt;=Paths!$E$307),IF('Operating costs'!$B$67=0,C3312=0,AND(C3312&gt;0,'Operating costs'!$B$67&gt;(C3312-1)*12,'Operating costs'!$B$67&lt;=C3312*12))),'Operating costs'!$B$66,0),"n.a."))</f>
        <v>0</v>
      </c>
      <c r="N3312" s="16">
        <f>IF(NOT(Paths!$C$307=1),0,IF(Paths!$P$307="Complete",SUM(G3312:I3312)-J3312-K3312-L3312+M3312+IF(C3312=0,Paths!$F$307,0)+IF(IF(Paths!$E$307=0,C3312=0,AND(C3312&gt;0,Paths!$E$307&gt;(C3312-1)*12,Paths!$E$307&lt;=C3312*12)),VLOOKUP(A3312,'Fleet register'!$A$7:$S$106,16,FALSE),0),"n.a."))</f>
        <v>0</v>
      </c>
      <c r="O3312" s="16">
        <f>IF(NOT(Paths!$C$307=1),0,IF(Paths!$P$307="Complete",N3312-IF(C3312=0,Paths!$F$307,0),"n.a."))</f>
        <v>0</v>
      </c>
      <c r="P3312" s="16">
        <f>IF(NOT(Paths!$C$307=1),0,IF(Paths!$P$307="Complete",O3312+L3312,"n.a."))</f>
        <v>0</v>
      </c>
      <c r="Q3312" s="16">
        <f>IF(NOT(Paths!$C$307=1),0,IF(Paths!$P$307="Complete",N3312*(1+'Operating costs'!$B$54)^-C3312,"n.a."))</f>
        <v>0</v>
      </c>
      <c r="R3312" s="16">
        <f>IF(NOT(Paths!$C$307=1),0,IF(Paths!$P$307="Complete",IF(AND(C3312=0,Paths!$E$307=0),I3312-J3312-K3312+VLOOKUP(A3312,'Fleet register'!$A$7:$S$106,15,FALSE)+VLOOKUP(A3312,'Fleet register'!$A$7:$S$106,16,FALSE),0),"n.a."))</f>
        <v>0</v>
      </c>
      <c r="S3312" s="1">
        <f>IF(NOT(Paths!$C$307=1),0,IF(Paths!$P$307="Complete",IF(C3312=0,0,Paths!$S$307*Paths!$R$307),"n.a."))</f>
        <v>0</v>
      </c>
      <c r="T3312" s="1">
        <f>IF(NOT(Paths!$C$307=1),0,IF(Paths!$P$307="Complete",IF(C3312=0,0,VLOOKUP(A3312,'Fleet register'!$A$7:$S$106,9,FALSE)*Paths!$R$307),"n.a."))</f>
        <v>0</v>
      </c>
    </row>
    <row r="3313" spans="1:20" ht="24" customHeight="1">
      <c r="A3313" s="1" t="str">
        <f>Paths!$A$307</f>
        <v>T076</v>
      </c>
      <c r="B3313" s="1">
        <f>Paths!$B$307</f>
        <v>0</v>
      </c>
      <c r="C3313" s="1">
        <v>6</v>
      </c>
      <c r="D3313" s="1">
        <v>307</v>
      </c>
      <c r="E3313" s="1">
        <f>IF(OR(Paths!$C$307=0,C3313=0),0,MAX(0,MIN(C3313*12,Paths!$E$307)-(C3313-1)*12))</f>
        <v>0</v>
      </c>
      <c r="F3313" s="1">
        <f>IF(OR(Paths!$C$307=0,C3313=0),0,12-E3313)</f>
        <v>0</v>
      </c>
      <c r="G3313" s="16">
        <f>IF(NOT(Paths!$C$307=1),0,IF(Paths!$P$307="Complete",E3313/12*(Paths!$J$307*(1+'Operating costs'!$B$51)^MAX(0,C3313-1)+Paths!$K$307*(1+'Operating costs'!$B$53)^MAX(0,C3313-1)),"n.a."))</f>
        <v>0</v>
      </c>
      <c r="H3313" s="16">
        <f>IF(NOT(Paths!$C$307=1),0,IF(Paths!$P$307="Complete",F3313/12*(Paths!$L$307*(1+IF(Paths!$D$307="EV",'Operating costs'!$B$52,'Operating costs'!$B$51))^MAX(0,C3313-1)+Paths!$M$307*(1+'Operating costs'!$B$53)^MAX(0,C3313-1)),"n.a."))</f>
        <v>0</v>
      </c>
      <c r="I3313" s="16">
        <f>IF(NOT(Paths!$C$307=1),0,IF(Paths!$P$307="Complete",IF(IF(Paths!$E$307=0,C3313=0,AND(C3313&gt;0,Paths!$E$307&gt;(C3313-1)*12,Paths!$E$307&lt;=C3313*12)),Paths!$G$307,0),"n.a."))</f>
        <v>0</v>
      </c>
      <c r="J3313" s="16">
        <f>IF(NOT(Paths!$C$307=1),0,IF(Paths!$P$307="Complete",IF(IF(Paths!$E$307=0,C3313=0,AND(C3313&gt;0,Paths!$E$307&gt;(C3313-1)*12,Paths!$E$307&lt;=C3313*12)),Paths!$H$307,0),"n.a."))</f>
        <v>0</v>
      </c>
      <c r="K3313" s="16">
        <f>IF(NOT(Paths!$C$307=1),0,IF(Paths!$P$307="Complete",IF(IF(Paths!$O$307=0,C3313=0,AND(C3313&gt;0,Paths!$O$307&gt;(C3313-1)*12,Paths!$O$307&lt;=C3313*12)),Paths!$N$307,0),"n.a."))</f>
        <v>0</v>
      </c>
      <c r="L3313" s="16">
        <f>IF(NOT(Paths!$C$307=1),0,IF(Paths!$P$307="Complete",IF(C3313=10,Paths!$I$307,0),"n.a."))</f>
        <v>0</v>
      </c>
      <c r="M3313" s="16">
        <f>IF(NOT(Paths!$C$307=1),0,IF(Paths!$P$307="Complete",IF(AND(Paths!$D$307="EV",Paths!$E$307&lt;120,Paths!$E$307+'Operating costs'!$B$65&gt;Paths!$E$307,Paths!$E$307+'Operating costs'!$B$65&lt;=120,IF(Paths!$E$307+'Operating costs'!$B$65=0,C3313=0,AND(C3313&gt;0,Paths!$E$307+'Operating costs'!$B$65&gt;(C3313-1)*12,Paths!$E$307+'Operating costs'!$B$65&lt;=C3313*12))),'Operating costs'!$B$64,0)+IF(AND('Operating costs'!$B$67&gt;0,'Operating costs'!$B$67&lt;=120,OR(Paths!$D$307="ICE",'Operating costs'!$B$67&lt;=Paths!$E$307),IF('Operating costs'!$B$67=0,C3313=0,AND(C3313&gt;0,'Operating costs'!$B$67&gt;(C3313-1)*12,'Operating costs'!$B$67&lt;=C3313*12))),'Operating costs'!$B$66,0),"n.a."))</f>
        <v>0</v>
      </c>
      <c r="N3313" s="16">
        <f>IF(NOT(Paths!$C$307=1),0,IF(Paths!$P$307="Complete",SUM(G3313:I3313)-J3313-K3313-L3313+M3313+IF(C3313=0,Paths!$F$307,0)+IF(IF(Paths!$E$307=0,C3313=0,AND(C3313&gt;0,Paths!$E$307&gt;(C3313-1)*12,Paths!$E$307&lt;=C3313*12)),VLOOKUP(A3313,'Fleet register'!$A$7:$S$106,16,FALSE),0),"n.a."))</f>
        <v>0</v>
      </c>
      <c r="O3313" s="16">
        <f>IF(NOT(Paths!$C$307=1),0,IF(Paths!$P$307="Complete",N3313-IF(C3313=0,Paths!$F$307,0),"n.a."))</f>
        <v>0</v>
      </c>
      <c r="P3313" s="16">
        <f>IF(NOT(Paths!$C$307=1),0,IF(Paths!$P$307="Complete",O3313+L3313,"n.a."))</f>
        <v>0</v>
      </c>
      <c r="Q3313" s="16">
        <f>IF(NOT(Paths!$C$307=1),0,IF(Paths!$P$307="Complete",N3313*(1+'Operating costs'!$B$54)^-C3313,"n.a."))</f>
        <v>0</v>
      </c>
      <c r="R3313" s="16">
        <f>IF(NOT(Paths!$C$307=1),0,IF(Paths!$P$307="Complete",IF(AND(C3313=0,Paths!$E$307=0),I3313-J3313-K3313+VLOOKUP(A3313,'Fleet register'!$A$7:$S$106,15,FALSE)+VLOOKUP(A3313,'Fleet register'!$A$7:$S$106,16,FALSE),0),"n.a."))</f>
        <v>0</v>
      </c>
      <c r="S3313" s="1">
        <f>IF(NOT(Paths!$C$307=1),0,IF(Paths!$P$307="Complete",IF(C3313=0,0,Paths!$S$307*Paths!$R$307),"n.a."))</f>
        <v>0</v>
      </c>
      <c r="T3313" s="1">
        <f>IF(NOT(Paths!$C$307=1),0,IF(Paths!$P$307="Complete",IF(C3313=0,0,VLOOKUP(A3313,'Fleet register'!$A$7:$S$106,9,FALSE)*Paths!$R$307),"n.a."))</f>
        <v>0</v>
      </c>
    </row>
    <row r="3314" spans="1:20" ht="24" customHeight="1">
      <c r="A3314" s="1" t="str">
        <f>Paths!$A$307</f>
        <v>T076</v>
      </c>
      <c r="B3314" s="1">
        <f>Paths!$B$307</f>
        <v>0</v>
      </c>
      <c r="C3314" s="1">
        <v>7</v>
      </c>
      <c r="D3314" s="1">
        <v>307</v>
      </c>
      <c r="E3314" s="1">
        <f>IF(OR(Paths!$C$307=0,C3314=0),0,MAX(0,MIN(C3314*12,Paths!$E$307)-(C3314-1)*12))</f>
        <v>0</v>
      </c>
      <c r="F3314" s="1">
        <f>IF(OR(Paths!$C$307=0,C3314=0),0,12-E3314)</f>
        <v>0</v>
      </c>
      <c r="G3314" s="16">
        <f>IF(NOT(Paths!$C$307=1),0,IF(Paths!$P$307="Complete",E3314/12*(Paths!$J$307*(1+'Operating costs'!$B$51)^MAX(0,C3314-1)+Paths!$K$307*(1+'Operating costs'!$B$53)^MAX(0,C3314-1)),"n.a."))</f>
        <v>0</v>
      </c>
      <c r="H3314" s="16">
        <f>IF(NOT(Paths!$C$307=1),0,IF(Paths!$P$307="Complete",F3314/12*(Paths!$L$307*(1+IF(Paths!$D$307="EV",'Operating costs'!$B$52,'Operating costs'!$B$51))^MAX(0,C3314-1)+Paths!$M$307*(1+'Operating costs'!$B$53)^MAX(0,C3314-1)),"n.a."))</f>
        <v>0</v>
      </c>
      <c r="I3314" s="16">
        <f>IF(NOT(Paths!$C$307=1),0,IF(Paths!$P$307="Complete",IF(IF(Paths!$E$307=0,C3314=0,AND(C3314&gt;0,Paths!$E$307&gt;(C3314-1)*12,Paths!$E$307&lt;=C3314*12)),Paths!$G$307,0),"n.a."))</f>
        <v>0</v>
      </c>
      <c r="J3314" s="16">
        <f>IF(NOT(Paths!$C$307=1),0,IF(Paths!$P$307="Complete",IF(IF(Paths!$E$307=0,C3314=0,AND(C3314&gt;0,Paths!$E$307&gt;(C3314-1)*12,Paths!$E$307&lt;=C3314*12)),Paths!$H$307,0),"n.a."))</f>
        <v>0</v>
      </c>
      <c r="K3314" s="16">
        <f>IF(NOT(Paths!$C$307=1),0,IF(Paths!$P$307="Complete",IF(IF(Paths!$O$307=0,C3314=0,AND(C3314&gt;0,Paths!$O$307&gt;(C3314-1)*12,Paths!$O$307&lt;=C3314*12)),Paths!$N$307,0),"n.a."))</f>
        <v>0</v>
      </c>
      <c r="L3314" s="16">
        <f>IF(NOT(Paths!$C$307=1),0,IF(Paths!$P$307="Complete",IF(C3314=10,Paths!$I$307,0),"n.a."))</f>
        <v>0</v>
      </c>
      <c r="M3314" s="16">
        <f>IF(NOT(Paths!$C$307=1),0,IF(Paths!$P$307="Complete",IF(AND(Paths!$D$307="EV",Paths!$E$307&lt;120,Paths!$E$307+'Operating costs'!$B$65&gt;Paths!$E$307,Paths!$E$307+'Operating costs'!$B$65&lt;=120,IF(Paths!$E$307+'Operating costs'!$B$65=0,C3314=0,AND(C3314&gt;0,Paths!$E$307+'Operating costs'!$B$65&gt;(C3314-1)*12,Paths!$E$307+'Operating costs'!$B$65&lt;=C3314*12))),'Operating costs'!$B$64,0)+IF(AND('Operating costs'!$B$67&gt;0,'Operating costs'!$B$67&lt;=120,OR(Paths!$D$307="ICE",'Operating costs'!$B$67&lt;=Paths!$E$307),IF('Operating costs'!$B$67=0,C3314=0,AND(C3314&gt;0,'Operating costs'!$B$67&gt;(C3314-1)*12,'Operating costs'!$B$67&lt;=C3314*12))),'Operating costs'!$B$66,0),"n.a."))</f>
        <v>0</v>
      </c>
      <c r="N3314" s="16">
        <f>IF(NOT(Paths!$C$307=1),0,IF(Paths!$P$307="Complete",SUM(G3314:I3314)-J3314-K3314-L3314+M3314+IF(C3314=0,Paths!$F$307,0)+IF(IF(Paths!$E$307=0,C3314=0,AND(C3314&gt;0,Paths!$E$307&gt;(C3314-1)*12,Paths!$E$307&lt;=C3314*12)),VLOOKUP(A3314,'Fleet register'!$A$7:$S$106,16,FALSE),0),"n.a."))</f>
        <v>0</v>
      </c>
      <c r="O3314" s="16">
        <f>IF(NOT(Paths!$C$307=1),0,IF(Paths!$P$307="Complete",N3314-IF(C3314=0,Paths!$F$307,0),"n.a."))</f>
        <v>0</v>
      </c>
      <c r="P3314" s="16">
        <f>IF(NOT(Paths!$C$307=1),0,IF(Paths!$P$307="Complete",O3314+L3314,"n.a."))</f>
        <v>0</v>
      </c>
      <c r="Q3314" s="16">
        <f>IF(NOT(Paths!$C$307=1),0,IF(Paths!$P$307="Complete",N3314*(1+'Operating costs'!$B$54)^-C3314,"n.a."))</f>
        <v>0</v>
      </c>
      <c r="R3314" s="16">
        <f>IF(NOT(Paths!$C$307=1),0,IF(Paths!$P$307="Complete",IF(AND(C3314=0,Paths!$E$307=0),I3314-J3314-K3314+VLOOKUP(A3314,'Fleet register'!$A$7:$S$106,15,FALSE)+VLOOKUP(A3314,'Fleet register'!$A$7:$S$106,16,FALSE),0),"n.a."))</f>
        <v>0</v>
      </c>
      <c r="S3314" s="1">
        <f>IF(NOT(Paths!$C$307=1),0,IF(Paths!$P$307="Complete",IF(C3314=0,0,Paths!$S$307*Paths!$R$307),"n.a."))</f>
        <v>0</v>
      </c>
      <c r="T3314" s="1">
        <f>IF(NOT(Paths!$C$307=1),0,IF(Paths!$P$307="Complete",IF(C3314=0,0,VLOOKUP(A3314,'Fleet register'!$A$7:$S$106,9,FALSE)*Paths!$R$307),"n.a."))</f>
        <v>0</v>
      </c>
    </row>
    <row r="3315" spans="1:20" ht="24" customHeight="1">
      <c r="A3315" s="1" t="str">
        <f>Paths!$A$307</f>
        <v>T076</v>
      </c>
      <c r="B3315" s="1">
        <f>Paths!$B$307</f>
        <v>0</v>
      </c>
      <c r="C3315" s="1">
        <v>8</v>
      </c>
      <c r="D3315" s="1">
        <v>307</v>
      </c>
      <c r="E3315" s="1">
        <f>IF(OR(Paths!$C$307=0,C3315=0),0,MAX(0,MIN(C3315*12,Paths!$E$307)-(C3315-1)*12))</f>
        <v>0</v>
      </c>
      <c r="F3315" s="1">
        <f>IF(OR(Paths!$C$307=0,C3315=0),0,12-E3315)</f>
        <v>0</v>
      </c>
      <c r="G3315" s="16">
        <f>IF(NOT(Paths!$C$307=1),0,IF(Paths!$P$307="Complete",E3315/12*(Paths!$J$307*(1+'Operating costs'!$B$51)^MAX(0,C3315-1)+Paths!$K$307*(1+'Operating costs'!$B$53)^MAX(0,C3315-1)),"n.a."))</f>
        <v>0</v>
      </c>
      <c r="H3315" s="16">
        <f>IF(NOT(Paths!$C$307=1),0,IF(Paths!$P$307="Complete",F3315/12*(Paths!$L$307*(1+IF(Paths!$D$307="EV",'Operating costs'!$B$52,'Operating costs'!$B$51))^MAX(0,C3315-1)+Paths!$M$307*(1+'Operating costs'!$B$53)^MAX(0,C3315-1)),"n.a."))</f>
        <v>0</v>
      </c>
      <c r="I3315" s="16">
        <f>IF(NOT(Paths!$C$307=1),0,IF(Paths!$P$307="Complete",IF(IF(Paths!$E$307=0,C3315=0,AND(C3315&gt;0,Paths!$E$307&gt;(C3315-1)*12,Paths!$E$307&lt;=C3315*12)),Paths!$G$307,0),"n.a."))</f>
        <v>0</v>
      </c>
      <c r="J3315" s="16">
        <f>IF(NOT(Paths!$C$307=1),0,IF(Paths!$P$307="Complete",IF(IF(Paths!$E$307=0,C3315=0,AND(C3315&gt;0,Paths!$E$307&gt;(C3315-1)*12,Paths!$E$307&lt;=C3315*12)),Paths!$H$307,0),"n.a."))</f>
        <v>0</v>
      </c>
      <c r="K3315" s="16">
        <f>IF(NOT(Paths!$C$307=1),0,IF(Paths!$P$307="Complete",IF(IF(Paths!$O$307=0,C3315=0,AND(C3315&gt;0,Paths!$O$307&gt;(C3315-1)*12,Paths!$O$307&lt;=C3315*12)),Paths!$N$307,0),"n.a."))</f>
        <v>0</v>
      </c>
      <c r="L3315" s="16">
        <f>IF(NOT(Paths!$C$307=1),0,IF(Paths!$P$307="Complete",IF(C3315=10,Paths!$I$307,0),"n.a."))</f>
        <v>0</v>
      </c>
      <c r="M3315" s="16">
        <f>IF(NOT(Paths!$C$307=1),0,IF(Paths!$P$307="Complete",IF(AND(Paths!$D$307="EV",Paths!$E$307&lt;120,Paths!$E$307+'Operating costs'!$B$65&gt;Paths!$E$307,Paths!$E$307+'Operating costs'!$B$65&lt;=120,IF(Paths!$E$307+'Operating costs'!$B$65=0,C3315=0,AND(C3315&gt;0,Paths!$E$307+'Operating costs'!$B$65&gt;(C3315-1)*12,Paths!$E$307+'Operating costs'!$B$65&lt;=C3315*12))),'Operating costs'!$B$64,0)+IF(AND('Operating costs'!$B$67&gt;0,'Operating costs'!$B$67&lt;=120,OR(Paths!$D$307="ICE",'Operating costs'!$B$67&lt;=Paths!$E$307),IF('Operating costs'!$B$67=0,C3315=0,AND(C3315&gt;0,'Operating costs'!$B$67&gt;(C3315-1)*12,'Operating costs'!$B$67&lt;=C3315*12))),'Operating costs'!$B$66,0),"n.a."))</f>
        <v>0</v>
      </c>
      <c r="N3315" s="16">
        <f>IF(NOT(Paths!$C$307=1),0,IF(Paths!$P$307="Complete",SUM(G3315:I3315)-J3315-K3315-L3315+M3315+IF(C3315=0,Paths!$F$307,0)+IF(IF(Paths!$E$307=0,C3315=0,AND(C3315&gt;0,Paths!$E$307&gt;(C3315-1)*12,Paths!$E$307&lt;=C3315*12)),VLOOKUP(A3315,'Fleet register'!$A$7:$S$106,16,FALSE),0),"n.a."))</f>
        <v>0</v>
      </c>
      <c r="O3315" s="16">
        <f>IF(NOT(Paths!$C$307=1),0,IF(Paths!$P$307="Complete",N3315-IF(C3315=0,Paths!$F$307,0),"n.a."))</f>
        <v>0</v>
      </c>
      <c r="P3315" s="16">
        <f>IF(NOT(Paths!$C$307=1),0,IF(Paths!$P$307="Complete",O3315+L3315,"n.a."))</f>
        <v>0</v>
      </c>
      <c r="Q3315" s="16">
        <f>IF(NOT(Paths!$C$307=1),0,IF(Paths!$P$307="Complete",N3315*(1+'Operating costs'!$B$54)^-C3315,"n.a."))</f>
        <v>0</v>
      </c>
      <c r="R3315" s="16">
        <f>IF(NOT(Paths!$C$307=1),0,IF(Paths!$P$307="Complete",IF(AND(C3315=0,Paths!$E$307=0),I3315-J3315-K3315+VLOOKUP(A3315,'Fleet register'!$A$7:$S$106,15,FALSE)+VLOOKUP(A3315,'Fleet register'!$A$7:$S$106,16,FALSE),0),"n.a."))</f>
        <v>0</v>
      </c>
      <c r="S3315" s="1">
        <f>IF(NOT(Paths!$C$307=1),0,IF(Paths!$P$307="Complete",IF(C3315=0,0,Paths!$S$307*Paths!$R$307),"n.a."))</f>
        <v>0</v>
      </c>
      <c r="T3315" s="1">
        <f>IF(NOT(Paths!$C$307=1),0,IF(Paths!$P$307="Complete",IF(C3315=0,0,VLOOKUP(A3315,'Fleet register'!$A$7:$S$106,9,FALSE)*Paths!$R$307),"n.a."))</f>
        <v>0</v>
      </c>
    </row>
    <row r="3316" spans="1:20" ht="24" customHeight="1">
      <c r="A3316" s="1" t="str">
        <f>Paths!$A$307</f>
        <v>T076</v>
      </c>
      <c r="B3316" s="1">
        <f>Paths!$B$307</f>
        <v>0</v>
      </c>
      <c r="C3316" s="1">
        <v>9</v>
      </c>
      <c r="D3316" s="1">
        <v>307</v>
      </c>
      <c r="E3316" s="1">
        <f>IF(OR(Paths!$C$307=0,C3316=0),0,MAX(0,MIN(C3316*12,Paths!$E$307)-(C3316-1)*12))</f>
        <v>0</v>
      </c>
      <c r="F3316" s="1">
        <f>IF(OR(Paths!$C$307=0,C3316=0),0,12-E3316)</f>
        <v>0</v>
      </c>
      <c r="G3316" s="16">
        <f>IF(NOT(Paths!$C$307=1),0,IF(Paths!$P$307="Complete",E3316/12*(Paths!$J$307*(1+'Operating costs'!$B$51)^MAX(0,C3316-1)+Paths!$K$307*(1+'Operating costs'!$B$53)^MAX(0,C3316-1)),"n.a."))</f>
        <v>0</v>
      </c>
      <c r="H3316" s="16">
        <f>IF(NOT(Paths!$C$307=1),0,IF(Paths!$P$307="Complete",F3316/12*(Paths!$L$307*(1+IF(Paths!$D$307="EV",'Operating costs'!$B$52,'Operating costs'!$B$51))^MAX(0,C3316-1)+Paths!$M$307*(1+'Operating costs'!$B$53)^MAX(0,C3316-1)),"n.a."))</f>
        <v>0</v>
      </c>
      <c r="I3316" s="16">
        <f>IF(NOT(Paths!$C$307=1),0,IF(Paths!$P$307="Complete",IF(IF(Paths!$E$307=0,C3316=0,AND(C3316&gt;0,Paths!$E$307&gt;(C3316-1)*12,Paths!$E$307&lt;=C3316*12)),Paths!$G$307,0),"n.a."))</f>
        <v>0</v>
      </c>
      <c r="J3316" s="16">
        <f>IF(NOT(Paths!$C$307=1),0,IF(Paths!$P$307="Complete",IF(IF(Paths!$E$307=0,C3316=0,AND(C3316&gt;0,Paths!$E$307&gt;(C3316-1)*12,Paths!$E$307&lt;=C3316*12)),Paths!$H$307,0),"n.a."))</f>
        <v>0</v>
      </c>
      <c r="K3316" s="16">
        <f>IF(NOT(Paths!$C$307=1),0,IF(Paths!$P$307="Complete",IF(IF(Paths!$O$307=0,C3316=0,AND(C3316&gt;0,Paths!$O$307&gt;(C3316-1)*12,Paths!$O$307&lt;=C3316*12)),Paths!$N$307,0),"n.a."))</f>
        <v>0</v>
      </c>
      <c r="L3316" s="16">
        <f>IF(NOT(Paths!$C$307=1),0,IF(Paths!$P$307="Complete",IF(C3316=10,Paths!$I$307,0),"n.a."))</f>
        <v>0</v>
      </c>
      <c r="M3316" s="16">
        <f>IF(NOT(Paths!$C$307=1),0,IF(Paths!$P$307="Complete",IF(AND(Paths!$D$307="EV",Paths!$E$307&lt;120,Paths!$E$307+'Operating costs'!$B$65&gt;Paths!$E$307,Paths!$E$307+'Operating costs'!$B$65&lt;=120,IF(Paths!$E$307+'Operating costs'!$B$65=0,C3316=0,AND(C3316&gt;0,Paths!$E$307+'Operating costs'!$B$65&gt;(C3316-1)*12,Paths!$E$307+'Operating costs'!$B$65&lt;=C3316*12))),'Operating costs'!$B$64,0)+IF(AND('Operating costs'!$B$67&gt;0,'Operating costs'!$B$67&lt;=120,OR(Paths!$D$307="ICE",'Operating costs'!$B$67&lt;=Paths!$E$307),IF('Operating costs'!$B$67=0,C3316=0,AND(C3316&gt;0,'Operating costs'!$B$67&gt;(C3316-1)*12,'Operating costs'!$B$67&lt;=C3316*12))),'Operating costs'!$B$66,0),"n.a."))</f>
        <v>0</v>
      </c>
      <c r="N3316" s="16">
        <f>IF(NOT(Paths!$C$307=1),0,IF(Paths!$P$307="Complete",SUM(G3316:I3316)-J3316-K3316-L3316+M3316+IF(C3316=0,Paths!$F$307,0)+IF(IF(Paths!$E$307=0,C3316=0,AND(C3316&gt;0,Paths!$E$307&gt;(C3316-1)*12,Paths!$E$307&lt;=C3316*12)),VLOOKUP(A3316,'Fleet register'!$A$7:$S$106,16,FALSE),0),"n.a."))</f>
        <v>0</v>
      </c>
      <c r="O3316" s="16">
        <f>IF(NOT(Paths!$C$307=1),0,IF(Paths!$P$307="Complete",N3316-IF(C3316=0,Paths!$F$307,0),"n.a."))</f>
        <v>0</v>
      </c>
      <c r="P3316" s="16">
        <f>IF(NOT(Paths!$C$307=1),0,IF(Paths!$P$307="Complete",O3316+L3316,"n.a."))</f>
        <v>0</v>
      </c>
      <c r="Q3316" s="16">
        <f>IF(NOT(Paths!$C$307=1),0,IF(Paths!$P$307="Complete",N3316*(1+'Operating costs'!$B$54)^-C3316,"n.a."))</f>
        <v>0</v>
      </c>
      <c r="R3316" s="16">
        <f>IF(NOT(Paths!$C$307=1),0,IF(Paths!$P$307="Complete",IF(AND(C3316=0,Paths!$E$307=0),I3316-J3316-K3316+VLOOKUP(A3316,'Fleet register'!$A$7:$S$106,15,FALSE)+VLOOKUP(A3316,'Fleet register'!$A$7:$S$106,16,FALSE),0),"n.a."))</f>
        <v>0</v>
      </c>
      <c r="S3316" s="1">
        <f>IF(NOT(Paths!$C$307=1),0,IF(Paths!$P$307="Complete",IF(C3316=0,0,Paths!$S$307*Paths!$R$307),"n.a."))</f>
        <v>0</v>
      </c>
      <c r="T3316" s="1">
        <f>IF(NOT(Paths!$C$307=1),0,IF(Paths!$P$307="Complete",IF(C3316=0,0,VLOOKUP(A3316,'Fleet register'!$A$7:$S$106,9,FALSE)*Paths!$R$307),"n.a."))</f>
        <v>0</v>
      </c>
    </row>
    <row r="3317" spans="1:20" ht="24" customHeight="1">
      <c r="A3317" s="1" t="str">
        <f>Paths!$A$307</f>
        <v>T076</v>
      </c>
      <c r="B3317" s="1">
        <f>Paths!$B$307</f>
        <v>0</v>
      </c>
      <c r="C3317" s="1">
        <v>10</v>
      </c>
      <c r="D3317" s="1">
        <v>307</v>
      </c>
      <c r="E3317" s="1">
        <f>IF(OR(Paths!$C$307=0,C3317=0),0,MAX(0,MIN(C3317*12,Paths!$E$307)-(C3317-1)*12))</f>
        <v>0</v>
      </c>
      <c r="F3317" s="1">
        <f>IF(OR(Paths!$C$307=0,C3317=0),0,12-E3317)</f>
        <v>0</v>
      </c>
      <c r="G3317" s="16">
        <f>IF(NOT(Paths!$C$307=1),0,IF(Paths!$P$307="Complete",E3317/12*(Paths!$J$307*(1+'Operating costs'!$B$51)^MAX(0,C3317-1)+Paths!$K$307*(1+'Operating costs'!$B$53)^MAX(0,C3317-1)),"n.a."))</f>
        <v>0</v>
      </c>
      <c r="H3317" s="16">
        <f>IF(NOT(Paths!$C$307=1),0,IF(Paths!$P$307="Complete",F3317/12*(Paths!$L$307*(1+IF(Paths!$D$307="EV",'Operating costs'!$B$52,'Operating costs'!$B$51))^MAX(0,C3317-1)+Paths!$M$307*(1+'Operating costs'!$B$53)^MAX(0,C3317-1)),"n.a."))</f>
        <v>0</v>
      </c>
      <c r="I3317" s="16">
        <f>IF(NOT(Paths!$C$307=1),0,IF(Paths!$P$307="Complete",IF(IF(Paths!$E$307=0,C3317=0,AND(C3317&gt;0,Paths!$E$307&gt;(C3317-1)*12,Paths!$E$307&lt;=C3317*12)),Paths!$G$307,0),"n.a."))</f>
        <v>0</v>
      </c>
      <c r="J3317" s="16">
        <f>IF(NOT(Paths!$C$307=1),0,IF(Paths!$P$307="Complete",IF(IF(Paths!$E$307=0,C3317=0,AND(C3317&gt;0,Paths!$E$307&gt;(C3317-1)*12,Paths!$E$307&lt;=C3317*12)),Paths!$H$307,0),"n.a."))</f>
        <v>0</v>
      </c>
      <c r="K3317" s="16">
        <f>IF(NOT(Paths!$C$307=1),0,IF(Paths!$P$307="Complete",IF(IF(Paths!$O$307=0,C3317=0,AND(C3317&gt;0,Paths!$O$307&gt;(C3317-1)*12,Paths!$O$307&lt;=C3317*12)),Paths!$N$307,0),"n.a."))</f>
        <v>0</v>
      </c>
      <c r="L3317" s="16">
        <f>IF(NOT(Paths!$C$307=1),0,IF(Paths!$P$307="Complete",IF(C3317=10,Paths!$I$307,0),"n.a."))</f>
        <v>0</v>
      </c>
      <c r="M3317" s="16">
        <f>IF(NOT(Paths!$C$307=1),0,IF(Paths!$P$307="Complete",IF(AND(Paths!$D$307="EV",Paths!$E$307&lt;120,Paths!$E$307+'Operating costs'!$B$65&gt;Paths!$E$307,Paths!$E$307+'Operating costs'!$B$65&lt;=120,IF(Paths!$E$307+'Operating costs'!$B$65=0,C3317=0,AND(C3317&gt;0,Paths!$E$307+'Operating costs'!$B$65&gt;(C3317-1)*12,Paths!$E$307+'Operating costs'!$B$65&lt;=C3317*12))),'Operating costs'!$B$64,0)+IF(AND('Operating costs'!$B$67&gt;0,'Operating costs'!$B$67&lt;=120,OR(Paths!$D$307="ICE",'Operating costs'!$B$67&lt;=Paths!$E$307),IF('Operating costs'!$B$67=0,C3317=0,AND(C3317&gt;0,'Operating costs'!$B$67&gt;(C3317-1)*12,'Operating costs'!$B$67&lt;=C3317*12))),'Operating costs'!$B$66,0),"n.a."))</f>
        <v>0</v>
      </c>
      <c r="N3317" s="16">
        <f>IF(NOT(Paths!$C$307=1),0,IF(Paths!$P$307="Complete",SUM(G3317:I3317)-J3317-K3317-L3317+M3317+IF(C3317=0,Paths!$F$307,0)+IF(IF(Paths!$E$307=0,C3317=0,AND(C3317&gt;0,Paths!$E$307&gt;(C3317-1)*12,Paths!$E$307&lt;=C3317*12)),VLOOKUP(A3317,'Fleet register'!$A$7:$S$106,16,FALSE),0),"n.a."))</f>
        <v>0</v>
      </c>
      <c r="O3317" s="16">
        <f>IF(NOT(Paths!$C$307=1),0,IF(Paths!$P$307="Complete",N3317-IF(C3317=0,Paths!$F$307,0),"n.a."))</f>
        <v>0</v>
      </c>
      <c r="P3317" s="16">
        <f>IF(NOT(Paths!$C$307=1),0,IF(Paths!$P$307="Complete",O3317+L3317,"n.a."))</f>
        <v>0</v>
      </c>
      <c r="Q3317" s="16">
        <f>IF(NOT(Paths!$C$307=1),0,IF(Paths!$P$307="Complete",N3317*(1+'Operating costs'!$B$54)^-C3317,"n.a."))</f>
        <v>0</v>
      </c>
      <c r="R3317" s="16">
        <f>IF(NOT(Paths!$C$307=1),0,IF(Paths!$P$307="Complete",IF(AND(C3317=0,Paths!$E$307=0),I3317-J3317-K3317+VLOOKUP(A3317,'Fleet register'!$A$7:$S$106,15,FALSE)+VLOOKUP(A3317,'Fleet register'!$A$7:$S$106,16,FALSE),0),"n.a."))</f>
        <v>0</v>
      </c>
      <c r="S3317" s="1">
        <f>IF(NOT(Paths!$C$307=1),0,IF(Paths!$P$307="Complete",IF(C3317=0,0,Paths!$S$307*Paths!$R$307),"n.a."))</f>
        <v>0</v>
      </c>
      <c r="T3317" s="1">
        <f>IF(NOT(Paths!$C$307=1),0,IF(Paths!$P$307="Complete",IF(C3317=0,0,VLOOKUP(A3317,'Fleet register'!$A$7:$S$106,9,FALSE)*Paths!$R$307),"n.a."))</f>
        <v>0</v>
      </c>
    </row>
    <row r="3318" spans="1:20" ht="24" customHeight="1">
      <c r="A3318" s="1" t="str">
        <f>Paths!$A$308</f>
        <v>T076</v>
      </c>
      <c r="B3318" s="1">
        <f>Paths!$B$308</f>
        <v>1</v>
      </c>
      <c r="C3318" s="1">
        <v>0</v>
      </c>
      <c r="D3318" s="1">
        <v>308</v>
      </c>
      <c r="E3318" s="1">
        <f>IF(OR(Paths!$C$308=0,C3318=0),0,MAX(0,MIN(C3318*12,Paths!$E$308)-(C3318-1)*12))</f>
        <v>0</v>
      </c>
      <c r="F3318" s="1">
        <f>IF(OR(Paths!$C$308=0,C3318=0),0,12-E3318)</f>
        <v>0</v>
      </c>
      <c r="G3318" s="16">
        <f>IF(NOT(Paths!$C$308=1),0,IF(Paths!$P$308="Complete",E3318/12*(Paths!$J$308*(1+'Operating costs'!$B$51)^MAX(0,C3318-1)+Paths!$K$308*(1+'Operating costs'!$B$53)^MAX(0,C3318-1)),"n.a."))</f>
        <v>0</v>
      </c>
      <c r="H3318" s="16">
        <f>IF(NOT(Paths!$C$308=1),0,IF(Paths!$P$308="Complete",F3318/12*(Paths!$L$308*(1+IF(Paths!$D$308="EV",'Operating costs'!$B$52,'Operating costs'!$B$51))^MAX(0,C3318-1)+Paths!$M$308*(1+'Operating costs'!$B$53)^MAX(0,C3318-1)),"n.a."))</f>
        <v>0</v>
      </c>
      <c r="I3318" s="16">
        <f>IF(NOT(Paths!$C$308=1),0,IF(Paths!$P$308="Complete",IF(IF(Paths!$E$308=0,C3318=0,AND(C3318&gt;0,Paths!$E$308&gt;(C3318-1)*12,Paths!$E$308&lt;=C3318*12)),Paths!$G$308,0),"n.a."))</f>
        <v>0</v>
      </c>
      <c r="J3318" s="16">
        <f>IF(NOT(Paths!$C$308=1),0,IF(Paths!$P$308="Complete",IF(IF(Paths!$E$308=0,C3318=0,AND(C3318&gt;0,Paths!$E$308&gt;(C3318-1)*12,Paths!$E$308&lt;=C3318*12)),Paths!$H$308,0),"n.a."))</f>
        <v>0</v>
      </c>
      <c r="K3318" s="16">
        <f>IF(NOT(Paths!$C$308=1),0,IF(Paths!$P$308="Complete",IF(IF(Paths!$O$308=0,C3318=0,AND(C3318&gt;0,Paths!$O$308&gt;(C3318-1)*12,Paths!$O$308&lt;=C3318*12)),Paths!$N$308,0),"n.a."))</f>
        <v>0</v>
      </c>
      <c r="L3318" s="16">
        <f>IF(NOT(Paths!$C$308=1),0,IF(Paths!$P$308="Complete",IF(C3318=10,Paths!$I$308,0),"n.a."))</f>
        <v>0</v>
      </c>
      <c r="M3318" s="16">
        <f>IF(NOT(Paths!$C$308=1),0,IF(Paths!$P$308="Complete",IF(AND(Paths!$D$308="EV",Paths!$E$308&lt;120,Paths!$E$308+'Operating costs'!$B$65&gt;Paths!$E$308,Paths!$E$308+'Operating costs'!$B$65&lt;=120,IF(Paths!$E$308+'Operating costs'!$B$65=0,C3318=0,AND(C3318&gt;0,Paths!$E$308+'Operating costs'!$B$65&gt;(C3318-1)*12,Paths!$E$308+'Operating costs'!$B$65&lt;=C3318*12))),'Operating costs'!$B$64,0)+IF(AND('Operating costs'!$B$67&gt;0,'Operating costs'!$B$67&lt;=120,OR(Paths!$D$308="ICE",'Operating costs'!$B$67&lt;=Paths!$E$308),IF('Operating costs'!$B$67=0,C3318=0,AND(C3318&gt;0,'Operating costs'!$B$67&gt;(C3318-1)*12,'Operating costs'!$B$67&lt;=C3318*12))),'Operating costs'!$B$66,0),"n.a."))</f>
        <v>0</v>
      </c>
      <c r="N3318" s="16">
        <f>IF(NOT(Paths!$C$308=1),0,IF(Paths!$P$308="Complete",SUM(G3318:I3318)-J3318-K3318-L3318+M3318+IF(C3318=0,Paths!$F$308,0)+IF(IF(Paths!$E$308=0,C3318=0,AND(C3318&gt;0,Paths!$E$308&gt;(C3318-1)*12,Paths!$E$308&lt;=C3318*12)),VLOOKUP(A3318,'Fleet register'!$A$7:$S$106,16,FALSE),0),"n.a."))</f>
        <v>0</v>
      </c>
      <c r="O3318" s="16">
        <f>IF(NOT(Paths!$C$308=1),0,IF(Paths!$P$308="Complete",N3318-IF(C3318=0,Paths!$F$308,0),"n.a."))</f>
        <v>0</v>
      </c>
      <c r="P3318" s="16">
        <f>IF(NOT(Paths!$C$308=1),0,IF(Paths!$P$308="Complete",O3318+L3318,"n.a."))</f>
        <v>0</v>
      </c>
      <c r="Q3318" s="16">
        <f>IF(NOT(Paths!$C$308=1),0,IF(Paths!$P$308="Complete",N3318*(1+'Operating costs'!$B$54)^-C3318,"n.a."))</f>
        <v>0</v>
      </c>
      <c r="R3318" s="16">
        <f>IF(NOT(Paths!$C$308=1),0,IF(Paths!$P$308="Complete",IF(AND(C3318=0,Paths!$E$308=0),I3318-J3318-K3318+VLOOKUP(A3318,'Fleet register'!$A$7:$S$106,15,FALSE)+VLOOKUP(A3318,'Fleet register'!$A$7:$S$106,16,FALSE),0),"n.a."))</f>
        <v>0</v>
      </c>
      <c r="S3318" s="1">
        <f>IF(NOT(Paths!$C$308=1),0,IF(Paths!$P$308="Complete",IF(C3318=0,0,Paths!$S$308*Paths!$R$308),"n.a."))</f>
        <v>0</v>
      </c>
      <c r="T3318" s="1">
        <f>IF(NOT(Paths!$C$308=1),0,IF(Paths!$P$308="Complete",IF(C3318=0,0,VLOOKUP(A3318,'Fleet register'!$A$7:$S$106,9,FALSE)*Paths!$R$308),"n.a."))</f>
        <v>0</v>
      </c>
    </row>
    <row r="3319" spans="1:20" ht="24" customHeight="1">
      <c r="A3319" s="1" t="str">
        <f>Paths!$A$308</f>
        <v>T076</v>
      </c>
      <c r="B3319" s="1">
        <f>Paths!$B$308</f>
        <v>1</v>
      </c>
      <c r="C3319" s="1">
        <v>1</v>
      </c>
      <c r="D3319" s="1">
        <v>308</v>
      </c>
      <c r="E3319" s="1">
        <f>IF(OR(Paths!$C$308=0,C3319=0),0,MAX(0,MIN(C3319*12,Paths!$E$308)-(C3319-1)*12))</f>
        <v>0</v>
      </c>
      <c r="F3319" s="1">
        <f>IF(OR(Paths!$C$308=0,C3319=0),0,12-E3319)</f>
        <v>0</v>
      </c>
      <c r="G3319" s="16">
        <f>IF(NOT(Paths!$C$308=1),0,IF(Paths!$P$308="Complete",E3319/12*(Paths!$J$308*(1+'Operating costs'!$B$51)^MAX(0,C3319-1)+Paths!$K$308*(1+'Operating costs'!$B$53)^MAX(0,C3319-1)),"n.a."))</f>
        <v>0</v>
      </c>
      <c r="H3319" s="16">
        <f>IF(NOT(Paths!$C$308=1),0,IF(Paths!$P$308="Complete",F3319/12*(Paths!$L$308*(1+IF(Paths!$D$308="EV",'Operating costs'!$B$52,'Operating costs'!$B$51))^MAX(0,C3319-1)+Paths!$M$308*(1+'Operating costs'!$B$53)^MAX(0,C3319-1)),"n.a."))</f>
        <v>0</v>
      </c>
      <c r="I3319" s="16">
        <f>IF(NOT(Paths!$C$308=1),0,IF(Paths!$P$308="Complete",IF(IF(Paths!$E$308=0,C3319=0,AND(C3319&gt;0,Paths!$E$308&gt;(C3319-1)*12,Paths!$E$308&lt;=C3319*12)),Paths!$G$308,0),"n.a."))</f>
        <v>0</v>
      </c>
      <c r="J3319" s="16">
        <f>IF(NOT(Paths!$C$308=1),0,IF(Paths!$P$308="Complete",IF(IF(Paths!$E$308=0,C3319=0,AND(C3319&gt;0,Paths!$E$308&gt;(C3319-1)*12,Paths!$E$308&lt;=C3319*12)),Paths!$H$308,0),"n.a."))</f>
        <v>0</v>
      </c>
      <c r="K3319" s="16">
        <f>IF(NOT(Paths!$C$308=1),0,IF(Paths!$P$308="Complete",IF(IF(Paths!$O$308=0,C3319=0,AND(C3319&gt;0,Paths!$O$308&gt;(C3319-1)*12,Paths!$O$308&lt;=C3319*12)),Paths!$N$308,0),"n.a."))</f>
        <v>0</v>
      </c>
      <c r="L3319" s="16">
        <f>IF(NOT(Paths!$C$308=1),0,IF(Paths!$P$308="Complete",IF(C3319=10,Paths!$I$308,0),"n.a."))</f>
        <v>0</v>
      </c>
      <c r="M3319" s="16">
        <f>IF(NOT(Paths!$C$308=1),0,IF(Paths!$P$308="Complete",IF(AND(Paths!$D$308="EV",Paths!$E$308&lt;120,Paths!$E$308+'Operating costs'!$B$65&gt;Paths!$E$308,Paths!$E$308+'Operating costs'!$B$65&lt;=120,IF(Paths!$E$308+'Operating costs'!$B$65=0,C3319=0,AND(C3319&gt;0,Paths!$E$308+'Operating costs'!$B$65&gt;(C3319-1)*12,Paths!$E$308+'Operating costs'!$B$65&lt;=C3319*12))),'Operating costs'!$B$64,0)+IF(AND('Operating costs'!$B$67&gt;0,'Operating costs'!$B$67&lt;=120,OR(Paths!$D$308="ICE",'Operating costs'!$B$67&lt;=Paths!$E$308),IF('Operating costs'!$B$67=0,C3319=0,AND(C3319&gt;0,'Operating costs'!$B$67&gt;(C3319-1)*12,'Operating costs'!$B$67&lt;=C3319*12))),'Operating costs'!$B$66,0),"n.a."))</f>
        <v>0</v>
      </c>
      <c r="N3319" s="16">
        <f>IF(NOT(Paths!$C$308=1),0,IF(Paths!$P$308="Complete",SUM(G3319:I3319)-J3319-K3319-L3319+M3319+IF(C3319=0,Paths!$F$308,0)+IF(IF(Paths!$E$308=0,C3319=0,AND(C3319&gt;0,Paths!$E$308&gt;(C3319-1)*12,Paths!$E$308&lt;=C3319*12)),VLOOKUP(A3319,'Fleet register'!$A$7:$S$106,16,FALSE),0),"n.a."))</f>
        <v>0</v>
      </c>
      <c r="O3319" s="16">
        <f>IF(NOT(Paths!$C$308=1),0,IF(Paths!$P$308="Complete",N3319-IF(C3319=0,Paths!$F$308,0),"n.a."))</f>
        <v>0</v>
      </c>
      <c r="P3319" s="16">
        <f>IF(NOT(Paths!$C$308=1),0,IF(Paths!$P$308="Complete",O3319+L3319,"n.a."))</f>
        <v>0</v>
      </c>
      <c r="Q3319" s="16">
        <f>IF(NOT(Paths!$C$308=1),0,IF(Paths!$P$308="Complete",N3319*(1+'Operating costs'!$B$54)^-C3319,"n.a."))</f>
        <v>0</v>
      </c>
      <c r="R3319" s="16">
        <f>IF(NOT(Paths!$C$308=1),0,IF(Paths!$P$308="Complete",IF(AND(C3319=0,Paths!$E$308=0),I3319-J3319-K3319+VLOOKUP(A3319,'Fleet register'!$A$7:$S$106,15,FALSE)+VLOOKUP(A3319,'Fleet register'!$A$7:$S$106,16,FALSE),0),"n.a."))</f>
        <v>0</v>
      </c>
      <c r="S3319" s="1">
        <f>IF(NOT(Paths!$C$308=1),0,IF(Paths!$P$308="Complete",IF(C3319=0,0,Paths!$S$308*Paths!$R$308),"n.a."))</f>
        <v>0</v>
      </c>
      <c r="T3319" s="1">
        <f>IF(NOT(Paths!$C$308=1),0,IF(Paths!$P$308="Complete",IF(C3319=0,0,VLOOKUP(A3319,'Fleet register'!$A$7:$S$106,9,FALSE)*Paths!$R$308),"n.a."))</f>
        <v>0</v>
      </c>
    </row>
    <row r="3320" spans="1:20" ht="24" customHeight="1">
      <c r="A3320" s="1" t="str">
        <f>Paths!$A$308</f>
        <v>T076</v>
      </c>
      <c r="B3320" s="1">
        <f>Paths!$B$308</f>
        <v>1</v>
      </c>
      <c r="C3320" s="1">
        <v>2</v>
      </c>
      <c r="D3320" s="1">
        <v>308</v>
      </c>
      <c r="E3320" s="1">
        <f>IF(OR(Paths!$C$308=0,C3320=0),0,MAX(0,MIN(C3320*12,Paths!$E$308)-(C3320-1)*12))</f>
        <v>0</v>
      </c>
      <c r="F3320" s="1">
        <f>IF(OR(Paths!$C$308=0,C3320=0),0,12-E3320)</f>
        <v>0</v>
      </c>
      <c r="G3320" s="16">
        <f>IF(NOT(Paths!$C$308=1),0,IF(Paths!$P$308="Complete",E3320/12*(Paths!$J$308*(1+'Operating costs'!$B$51)^MAX(0,C3320-1)+Paths!$K$308*(1+'Operating costs'!$B$53)^MAX(0,C3320-1)),"n.a."))</f>
        <v>0</v>
      </c>
      <c r="H3320" s="16">
        <f>IF(NOT(Paths!$C$308=1),0,IF(Paths!$P$308="Complete",F3320/12*(Paths!$L$308*(1+IF(Paths!$D$308="EV",'Operating costs'!$B$52,'Operating costs'!$B$51))^MAX(0,C3320-1)+Paths!$M$308*(1+'Operating costs'!$B$53)^MAX(0,C3320-1)),"n.a."))</f>
        <v>0</v>
      </c>
      <c r="I3320" s="16">
        <f>IF(NOT(Paths!$C$308=1),0,IF(Paths!$P$308="Complete",IF(IF(Paths!$E$308=0,C3320=0,AND(C3320&gt;0,Paths!$E$308&gt;(C3320-1)*12,Paths!$E$308&lt;=C3320*12)),Paths!$G$308,0),"n.a."))</f>
        <v>0</v>
      </c>
      <c r="J3320" s="16">
        <f>IF(NOT(Paths!$C$308=1),0,IF(Paths!$P$308="Complete",IF(IF(Paths!$E$308=0,C3320=0,AND(C3320&gt;0,Paths!$E$308&gt;(C3320-1)*12,Paths!$E$308&lt;=C3320*12)),Paths!$H$308,0),"n.a."))</f>
        <v>0</v>
      </c>
      <c r="K3320" s="16">
        <f>IF(NOT(Paths!$C$308=1),0,IF(Paths!$P$308="Complete",IF(IF(Paths!$O$308=0,C3320=0,AND(C3320&gt;0,Paths!$O$308&gt;(C3320-1)*12,Paths!$O$308&lt;=C3320*12)),Paths!$N$308,0),"n.a."))</f>
        <v>0</v>
      </c>
      <c r="L3320" s="16">
        <f>IF(NOT(Paths!$C$308=1),0,IF(Paths!$P$308="Complete",IF(C3320=10,Paths!$I$308,0),"n.a."))</f>
        <v>0</v>
      </c>
      <c r="M3320" s="16">
        <f>IF(NOT(Paths!$C$308=1),0,IF(Paths!$P$308="Complete",IF(AND(Paths!$D$308="EV",Paths!$E$308&lt;120,Paths!$E$308+'Operating costs'!$B$65&gt;Paths!$E$308,Paths!$E$308+'Operating costs'!$B$65&lt;=120,IF(Paths!$E$308+'Operating costs'!$B$65=0,C3320=0,AND(C3320&gt;0,Paths!$E$308+'Operating costs'!$B$65&gt;(C3320-1)*12,Paths!$E$308+'Operating costs'!$B$65&lt;=C3320*12))),'Operating costs'!$B$64,0)+IF(AND('Operating costs'!$B$67&gt;0,'Operating costs'!$B$67&lt;=120,OR(Paths!$D$308="ICE",'Operating costs'!$B$67&lt;=Paths!$E$308),IF('Operating costs'!$B$67=0,C3320=0,AND(C3320&gt;0,'Operating costs'!$B$67&gt;(C3320-1)*12,'Operating costs'!$B$67&lt;=C3320*12))),'Operating costs'!$B$66,0),"n.a."))</f>
        <v>0</v>
      </c>
      <c r="N3320" s="16">
        <f>IF(NOT(Paths!$C$308=1),0,IF(Paths!$P$308="Complete",SUM(G3320:I3320)-J3320-K3320-L3320+M3320+IF(C3320=0,Paths!$F$308,0)+IF(IF(Paths!$E$308=0,C3320=0,AND(C3320&gt;0,Paths!$E$308&gt;(C3320-1)*12,Paths!$E$308&lt;=C3320*12)),VLOOKUP(A3320,'Fleet register'!$A$7:$S$106,16,FALSE),0),"n.a."))</f>
        <v>0</v>
      </c>
      <c r="O3320" s="16">
        <f>IF(NOT(Paths!$C$308=1),0,IF(Paths!$P$308="Complete",N3320-IF(C3320=0,Paths!$F$308,0),"n.a."))</f>
        <v>0</v>
      </c>
      <c r="P3320" s="16">
        <f>IF(NOT(Paths!$C$308=1),0,IF(Paths!$P$308="Complete",O3320+L3320,"n.a."))</f>
        <v>0</v>
      </c>
      <c r="Q3320" s="16">
        <f>IF(NOT(Paths!$C$308=1),0,IF(Paths!$P$308="Complete",N3320*(1+'Operating costs'!$B$54)^-C3320,"n.a."))</f>
        <v>0</v>
      </c>
      <c r="R3320" s="16">
        <f>IF(NOT(Paths!$C$308=1),0,IF(Paths!$P$308="Complete",IF(AND(C3320=0,Paths!$E$308=0),I3320-J3320-K3320+VLOOKUP(A3320,'Fleet register'!$A$7:$S$106,15,FALSE)+VLOOKUP(A3320,'Fleet register'!$A$7:$S$106,16,FALSE),0),"n.a."))</f>
        <v>0</v>
      </c>
      <c r="S3320" s="1">
        <f>IF(NOT(Paths!$C$308=1),0,IF(Paths!$P$308="Complete",IF(C3320=0,0,Paths!$S$308*Paths!$R$308),"n.a."))</f>
        <v>0</v>
      </c>
      <c r="T3320" s="1">
        <f>IF(NOT(Paths!$C$308=1),0,IF(Paths!$P$308="Complete",IF(C3320=0,0,VLOOKUP(A3320,'Fleet register'!$A$7:$S$106,9,FALSE)*Paths!$R$308),"n.a."))</f>
        <v>0</v>
      </c>
    </row>
    <row r="3321" spans="1:20" ht="24" customHeight="1">
      <c r="A3321" s="1" t="str">
        <f>Paths!$A$308</f>
        <v>T076</v>
      </c>
      <c r="B3321" s="1">
        <f>Paths!$B$308</f>
        <v>1</v>
      </c>
      <c r="C3321" s="1">
        <v>3</v>
      </c>
      <c r="D3321" s="1">
        <v>308</v>
      </c>
      <c r="E3321" s="1">
        <f>IF(OR(Paths!$C$308=0,C3321=0),0,MAX(0,MIN(C3321*12,Paths!$E$308)-(C3321-1)*12))</f>
        <v>0</v>
      </c>
      <c r="F3321" s="1">
        <f>IF(OR(Paths!$C$308=0,C3321=0),0,12-E3321)</f>
        <v>0</v>
      </c>
      <c r="G3321" s="16">
        <f>IF(NOT(Paths!$C$308=1),0,IF(Paths!$P$308="Complete",E3321/12*(Paths!$J$308*(1+'Operating costs'!$B$51)^MAX(0,C3321-1)+Paths!$K$308*(1+'Operating costs'!$B$53)^MAX(0,C3321-1)),"n.a."))</f>
        <v>0</v>
      </c>
      <c r="H3321" s="16">
        <f>IF(NOT(Paths!$C$308=1),0,IF(Paths!$P$308="Complete",F3321/12*(Paths!$L$308*(1+IF(Paths!$D$308="EV",'Operating costs'!$B$52,'Operating costs'!$B$51))^MAX(0,C3321-1)+Paths!$M$308*(1+'Operating costs'!$B$53)^MAX(0,C3321-1)),"n.a."))</f>
        <v>0</v>
      </c>
      <c r="I3321" s="16">
        <f>IF(NOT(Paths!$C$308=1),0,IF(Paths!$P$308="Complete",IF(IF(Paths!$E$308=0,C3321=0,AND(C3321&gt;0,Paths!$E$308&gt;(C3321-1)*12,Paths!$E$308&lt;=C3321*12)),Paths!$G$308,0),"n.a."))</f>
        <v>0</v>
      </c>
      <c r="J3321" s="16">
        <f>IF(NOT(Paths!$C$308=1),0,IF(Paths!$P$308="Complete",IF(IF(Paths!$E$308=0,C3321=0,AND(C3321&gt;0,Paths!$E$308&gt;(C3321-1)*12,Paths!$E$308&lt;=C3321*12)),Paths!$H$308,0),"n.a."))</f>
        <v>0</v>
      </c>
      <c r="K3321" s="16">
        <f>IF(NOT(Paths!$C$308=1),0,IF(Paths!$P$308="Complete",IF(IF(Paths!$O$308=0,C3321=0,AND(C3321&gt;0,Paths!$O$308&gt;(C3321-1)*12,Paths!$O$308&lt;=C3321*12)),Paths!$N$308,0),"n.a."))</f>
        <v>0</v>
      </c>
      <c r="L3321" s="16">
        <f>IF(NOT(Paths!$C$308=1),0,IF(Paths!$P$308="Complete",IF(C3321=10,Paths!$I$308,0),"n.a."))</f>
        <v>0</v>
      </c>
      <c r="M3321" s="16">
        <f>IF(NOT(Paths!$C$308=1),0,IF(Paths!$P$308="Complete",IF(AND(Paths!$D$308="EV",Paths!$E$308&lt;120,Paths!$E$308+'Operating costs'!$B$65&gt;Paths!$E$308,Paths!$E$308+'Operating costs'!$B$65&lt;=120,IF(Paths!$E$308+'Operating costs'!$B$65=0,C3321=0,AND(C3321&gt;0,Paths!$E$308+'Operating costs'!$B$65&gt;(C3321-1)*12,Paths!$E$308+'Operating costs'!$B$65&lt;=C3321*12))),'Operating costs'!$B$64,0)+IF(AND('Operating costs'!$B$67&gt;0,'Operating costs'!$B$67&lt;=120,OR(Paths!$D$308="ICE",'Operating costs'!$B$67&lt;=Paths!$E$308),IF('Operating costs'!$B$67=0,C3321=0,AND(C3321&gt;0,'Operating costs'!$B$67&gt;(C3321-1)*12,'Operating costs'!$B$67&lt;=C3321*12))),'Operating costs'!$B$66,0),"n.a."))</f>
        <v>0</v>
      </c>
      <c r="N3321" s="16">
        <f>IF(NOT(Paths!$C$308=1),0,IF(Paths!$P$308="Complete",SUM(G3321:I3321)-J3321-K3321-L3321+M3321+IF(C3321=0,Paths!$F$308,0)+IF(IF(Paths!$E$308=0,C3321=0,AND(C3321&gt;0,Paths!$E$308&gt;(C3321-1)*12,Paths!$E$308&lt;=C3321*12)),VLOOKUP(A3321,'Fleet register'!$A$7:$S$106,16,FALSE),0),"n.a."))</f>
        <v>0</v>
      </c>
      <c r="O3321" s="16">
        <f>IF(NOT(Paths!$C$308=1),0,IF(Paths!$P$308="Complete",N3321-IF(C3321=0,Paths!$F$308,0),"n.a."))</f>
        <v>0</v>
      </c>
      <c r="P3321" s="16">
        <f>IF(NOT(Paths!$C$308=1),0,IF(Paths!$P$308="Complete",O3321+L3321,"n.a."))</f>
        <v>0</v>
      </c>
      <c r="Q3321" s="16">
        <f>IF(NOT(Paths!$C$308=1),0,IF(Paths!$P$308="Complete",N3321*(1+'Operating costs'!$B$54)^-C3321,"n.a."))</f>
        <v>0</v>
      </c>
      <c r="R3321" s="16">
        <f>IF(NOT(Paths!$C$308=1),0,IF(Paths!$P$308="Complete",IF(AND(C3321=0,Paths!$E$308=0),I3321-J3321-K3321+VLOOKUP(A3321,'Fleet register'!$A$7:$S$106,15,FALSE)+VLOOKUP(A3321,'Fleet register'!$A$7:$S$106,16,FALSE),0),"n.a."))</f>
        <v>0</v>
      </c>
      <c r="S3321" s="1">
        <f>IF(NOT(Paths!$C$308=1),0,IF(Paths!$P$308="Complete",IF(C3321=0,0,Paths!$S$308*Paths!$R$308),"n.a."))</f>
        <v>0</v>
      </c>
      <c r="T3321" s="1">
        <f>IF(NOT(Paths!$C$308=1),0,IF(Paths!$P$308="Complete",IF(C3321=0,0,VLOOKUP(A3321,'Fleet register'!$A$7:$S$106,9,FALSE)*Paths!$R$308),"n.a."))</f>
        <v>0</v>
      </c>
    </row>
    <row r="3322" spans="1:20" ht="24" customHeight="1">
      <c r="A3322" s="1" t="str">
        <f>Paths!$A$308</f>
        <v>T076</v>
      </c>
      <c r="B3322" s="1">
        <f>Paths!$B$308</f>
        <v>1</v>
      </c>
      <c r="C3322" s="1">
        <v>4</v>
      </c>
      <c r="D3322" s="1">
        <v>308</v>
      </c>
      <c r="E3322" s="1">
        <f>IF(OR(Paths!$C$308=0,C3322=0),0,MAX(0,MIN(C3322*12,Paths!$E$308)-(C3322-1)*12))</f>
        <v>0</v>
      </c>
      <c r="F3322" s="1">
        <f>IF(OR(Paths!$C$308=0,C3322=0),0,12-E3322)</f>
        <v>0</v>
      </c>
      <c r="G3322" s="16">
        <f>IF(NOT(Paths!$C$308=1),0,IF(Paths!$P$308="Complete",E3322/12*(Paths!$J$308*(1+'Operating costs'!$B$51)^MAX(0,C3322-1)+Paths!$K$308*(1+'Operating costs'!$B$53)^MAX(0,C3322-1)),"n.a."))</f>
        <v>0</v>
      </c>
      <c r="H3322" s="16">
        <f>IF(NOT(Paths!$C$308=1),0,IF(Paths!$P$308="Complete",F3322/12*(Paths!$L$308*(1+IF(Paths!$D$308="EV",'Operating costs'!$B$52,'Operating costs'!$B$51))^MAX(0,C3322-1)+Paths!$M$308*(1+'Operating costs'!$B$53)^MAX(0,C3322-1)),"n.a."))</f>
        <v>0</v>
      </c>
      <c r="I3322" s="16">
        <f>IF(NOT(Paths!$C$308=1),0,IF(Paths!$P$308="Complete",IF(IF(Paths!$E$308=0,C3322=0,AND(C3322&gt;0,Paths!$E$308&gt;(C3322-1)*12,Paths!$E$308&lt;=C3322*12)),Paths!$G$308,0),"n.a."))</f>
        <v>0</v>
      </c>
      <c r="J3322" s="16">
        <f>IF(NOT(Paths!$C$308=1),0,IF(Paths!$P$308="Complete",IF(IF(Paths!$E$308=0,C3322=0,AND(C3322&gt;0,Paths!$E$308&gt;(C3322-1)*12,Paths!$E$308&lt;=C3322*12)),Paths!$H$308,0),"n.a."))</f>
        <v>0</v>
      </c>
      <c r="K3322" s="16">
        <f>IF(NOT(Paths!$C$308=1),0,IF(Paths!$P$308="Complete",IF(IF(Paths!$O$308=0,C3322=0,AND(C3322&gt;0,Paths!$O$308&gt;(C3322-1)*12,Paths!$O$308&lt;=C3322*12)),Paths!$N$308,0),"n.a."))</f>
        <v>0</v>
      </c>
      <c r="L3322" s="16">
        <f>IF(NOT(Paths!$C$308=1),0,IF(Paths!$P$308="Complete",IF(C3322=10,Paths!$I$308,0),"n.a."))</f>
        <v>0</v>
      </c>
      <c r="M3322" s="16">
        <f>IF(NOT(Paths!$C$308=1),0,IF(Paths!$P$308="Complete",IF(AND(Paths!$D$308="EV",Paths!$E$308&lt;120,Paths!$E$308+'Operating costs'!$B$65&gt;Paths!$E$308,Paths!$E$308+'Operating costs'!$B$65&lt;=120,IF(Paths!$E$308+'Operating costs'!$B$65=0,C3322=0,AND(C3322&gt;0,Paths!$E$308+'Operating costs'!$B$65&gt;(C3322-1)*12,Paths!$E$308+'Operating costs'!$B$65&lt;=C3322*12))),'Operating costs'!$B$64,0)+IF(AND('Operating costs'!$B$67&gt;0,'Operating costs'!$B$67&lt;=120,OR(Paths!$D$308="ICE",'Operating costs'!$B$67&lt;=Paths!$E$308),IF('Operating costs'!$B$67=0,C3322=0,AND(C3322&gt;0,'Operating costs'!$B$67&gt;(C3322-1)*12,'Operating costs'!$B$67&lt;=C3322*12))),'Operating costs'!$B$66,0),"n.a."))</f>
        <v>0</v>
      </c>
      <c r="N3322" s="16">
        <f>IF(NOT(Paths!$C$308=1),0,IF(Paths!$P$308="Complete",SUM(G3322:I3322)-J3322-K3322-L3322+M3322+IF(C3322=0,Paths!$F$308,0)+IF(IF(Paths!$E$308=0,C3322=0,AND(C3322&gt;0,Paths!$E$308&gt;(C3322-1)*12,Paths!$E$308&lt;=C3322*12)),VLOOKUP(A3322,'Fleet register'!$A$7:$S$106,16,FALSE),0),"n.a."))</f>
        <v>0</v>
      </c>
      <c r="O3322" s="16">
        <f>IF(NOT(Paths!$C$308=1),0,IF(Paths!$P$308="Complete",N3322-IF(C3322=0,Paths!$F$308,0),"n.a."))</f>
        <v>0</v>
      </c>
      <c r="P3322" s="16">
        <f>IF(NOT(Paths!$C$308=1),0,IF(Paths!$P$308="Complete",O3322+L3322,"n.a."))</f>
        <v>0</v>
      </c>
      <c r="Q3322" s="16">
        <f>IF(NOT(Paths!$C$308=1),0,IF(Paths!$P$308="Complete",N3322*(1+'Operating costs'!$B$54)^-C3322,"n.a."))</f>
        <v>0</v>
      </c>
      <c r="R3322" s="16">
        <f>IF(NOT(Paths!$C$308=1),0,IF(Paths!$P$308="Complete",IF(AND(C3322=0,Paths!$E$308=0),I3322-J3322-K3322+VLOOKUP(A3322,'Fleet register'!$A$7:$S$106,15,FALSE)+VLOOKUP(A3322,'Fleet register'!$A$7:$S$106,16,FALSE),0),"n.a."))</f>
        <v>0</v>
      </c>
      <c r="S3322" s="1">
        <f>IF(NOT(Paths!$C$308=1),0,IF(Paths!$P$308="Complete",IF(C3322=0,0,Paths!$S$308*Paths!$R$308),"n.a."))</f>
        <v>0</v>
      </c>
      <c r="T3322" s="1">
        <f>IF(NOT(Paths!$C$308=1),0,IF(Paths!$P$308="Complete",IF(C3322=0,0,VLOOKUP(A3322,'Fleet register'!$A$7:$S$106,9,FALSE)*Paths!$R$308),"n.a."))</f>
        <v>0</v>
      </c>
    </row>
    <row r="3323" spans="1:20" ht="24" customHeight="1">
      <c r="A3323" s="1" t="str">
        <f>Paths!$A$308</f>
        <v>T076</v>
      </c>
      <c r="B3323" s="1">
        <f>Paths!$B$308</f>
        <v>1</v>
      </c>
      <c r="C3323" s="1">
        <v>5</v>
      </c>
      <c r="D3323" s="1">
        <v>308</v>
      </c>
      <c r="E3323" s="1">
        <f>IF(OR(Paths!$C$308=0,C3323=0),0,MAX(0,MIN(C3323*12,Paths!$E$308)-(C3323-1)*12))</f>
        <v>0</v>
      </c>
      <c r="F3323" s="1">
        <f>IF(OR(Paths!$C$308=0,C3323=0),0,12-E3323)</f>
        <v>0</v>
      </c>
      <c r="G3323" s="16">
        <f>IF(NOT(Paths!$C$308=1),0,IF(Paths!$P$308="Complete",E3323/12*(Paths!$J$308*(1+'Operating costs'!$B$51)^MAX(0,C3323-1)+Paths!$K$308*(1+'Operating costs'!$B$53)^MAX(0,C3323-1)),"n.a."))</f>
        <v>0</v>
      </c>
      <c r="H3323" s="16">
        <f>IF(NOT(Paths!$C$308=1),0,IF(Paths!$P$308="Complete",F3323/12*(Paths!$L$308*(1+IF(Paths!$D$308="EV",'Operating costs'!$B$52,'Operating costs'!$B$51))^MAX(0,C3323-1)+Paths!$M$308*(1+'Operating costs'!$B$53)^MAX(0,C3323-1)),"n.a."))</f>
        <v>0</v>
      </c>
      <c r="I3323" s="16">
        <f>IF(NOT(Paths!$C$308=1),0,IF(Paths!$P$308="Complete",IF(IF(Paths!$E$308=0,C3323=0,AND(C3323&gt;0,Paths!$E$308&gt;(C3323-1)*12,Paths!$E$308&lt;=C3323*12)),Paths!$G$308,0),"n.a."))</f>
        <v>0</v>
      </c>
      <c r="J3323" s="16">
        <f>IF(NOT(Paths!$C$308=1),0,IF(Paths!$P$308="Complete",IF(IF(Paths!$E$308=0,C3323=0,AND(C3323&gt;0,Paths!$E$308&gt;(C3323-1)*12,Paths!$E$308&lt;=C3323*12)),Paths!$H$308,0),"n.a."))</f>
        <v>0</v>
      </c>
      <c r="K3323" s="16">
        <f>IF(NOT(Paths!$C$308=1),0,IF(Paths!$P$308="Complete",IF(IF(Paths!$O$308=0,C3323=0,AND(C3323&gt;0,Paths!$O$308&gt;(C3323-1)*12,Paths!$O$308&lt;=C3323*12)),Paths!$N$308,0),"n.a."))</f>
        <v>0</v>
      </c>
      <c r="L3323" s="16">
        <f>IF(NOT(Paths!$C$308=1),0,IF(Paths!$P$308="Complete",IF(C3323=10,Paths!$I$308,0),"n.a."))</f>
        <v>0</v>
      </c>
      <c r="M3323" s="16">
        <f>IF(NOT(Paths!$C$308=1),0,IF(Paths!$P$308="Complete",IF(AND(Paths!$D$308="EV",Paths!$E$308&lt;120,Paths!$E$308+'Operating costs'!$B$65&gt;Paths!$E$308,Paths!$E$308+'Operating costs'!$B$65&lt;=120,IF(Paths!$E$308+'Operating costs'!$B$65=0,C3323=0,AND(C3323&gt;0,Paths!$E$308+'Operating costs'!$B$65&gt;(C3323-1)*12,Paths!$E$308+'Operating costs'!$B$65&lt;=C3323*12))),'Operating costs'!$B$64,0)+IF(AND('Operating costs'!$B$67&gt;0,'Operating costs'!$B$67&lt;=120,OR(Paths!$D$308="ICE",'Operating costs'!$B$67&lt;=Paths!$E$308),IF('Operating costs'!$B$67=0,C3323=0,AND(C3323&gt;0,'Operating costs'!$B$67&gt;(C3323-1)*12,'Operating costs'!$B$67&lt;=C3323*12))),'Operating costs'!$B$66,0),"n.a."))</f>
        <v>0</v>
      </c>
      <c r="N3323" s="16">
        <f>IF(NOT(Paths!$C$308=1),0,IF(Paths!$P$308="Complete",SUM(G3323:I3323)-J3323-K3323-L3323+M3323+IF(C3323=0,Paths!$F$308,0)+IF(IF(Paths!$E$308=0,C3323=0,AND(C3323&gt;0,Paths!$E$308&gt;(C3323-1)*12,Paths!$E$308&lt;=C3323*12)),VLOOKUP(A3323,'Fleet register'!$A$7:$S$106,16,FALSE),0),"n.a."))</f>
        <v>0</v>
      </c>
      <c r="O3323" s="16">
        <f>IF(NOT(Paths!$C$308=1),0,IF(Paths!$P$308="Complete",N3323-IF(C3323=0,Paths!$F$308,0),"n.a."))</f>
        <v>0</v>
      </c>
      <c r="P3323" s="16">
        <f>IF(NOT(Paths!$C$308=1),0,IF(Paths!$P$308="Complete",O3323+L3323,"n.a."))</f>
        <v>0</v>
      </c>
      <c r="Q3323" s="16">
        <f>IF(NOT(Paths!$C$308=1),0,IF(Paths!$P$308="Complete",N3323*(1+'Operating costs'!$B$54)^-C3323,"n.a."))</f>
        <v>0</v>
      </c>
      <c r="R3323" s="16">
        <f>IF(NOT(Paths!$C$308=1),0,IF(Paths!$P$308="Complete",IF(AND(C3323=0,Paths!$E$308=0),I3323-J3323-K3323+VLOOKUP(A3323,'Fleet register'!$A$7:$S$106,15,FALSE)+VLOOKUP(A3323,'Fleet register'!$A$7:$S$106,16,FALSE),0),"n.a."))</f>
        <v>0</v>
      </c>
      <c r="S3323" s="1">
        <f>IF(NOT(Paths!$C$308=1),0,IF(Paths!$P$308="Complete",IF(C3323=0,0,Paths!$S$308*Paths!$R$308),"n.a."))</f>
        <v>0</v>
      </c>
      <c r="T3323" s="1">
        <f>IF(NOT(Paths!$C$308=1),0,IF(Paths!$P$308="Complete",IF(C3323=0,0,VLOOKUP(A3323,'Fleet register'!$A$7:$S$106,9,FALSE)*Paths!$R$308),"n.a."))</f>
        <v>0</v>
      </c>
    </row>
    <row r="3324" spans="1:20" ht="24" customHeight="1">
      <c r="A3324" s="1" t="str">
        <f>Paths!$A$308</f>
        <v>T076</v>
      </c>
      <c r="B3324" s="1">
        <f>Paths!$B$308</f>
        <v>1</v>
      </c>
      <c r="C3324" s="1">
        <v>6</v>
      </c>
      <c r="D3324" s="1">
        <v>308</v>
      </c>
      <c r="E3324" s="1">
        <f>IF(OR(Paths!$C$308=0,C3324=0),0,MAX(0,MIN(C3324*12,Paths!$E$308)-(C3324-1)*12))</f>
        <v>0</v>
      </c>
      <c r="F3324" s="1">
        <f>IF(OR(Paths!$C$308=0,C3324=0),0,12-E3324)</f>
        <v>0</v>
      </c>
      <c r="G3324" s="16">
        <f>IF(NOT(Paths!$C$308=1),0,IF(Paths!$P$308="Complete",E3324/12*(Paths!$J$308*(1+'Operating costs'!$B$51)^MAX(0,C3324-1)+Paths!$K$308*(1+'Operating costs'!$B$53)^MAX(0,C3324-1)),"n.a."))</f>
        <v>0</v>
      </c>
      <c r="H3324" s="16">
        <f>IF(NOT(Paths!$C$308=1),0,IF(Paths!$P$308="Complete",F3324/12*(Paths!$L$308*(1+IF(Paths!$D$308="EV",'Operating costs'!$B$52,'Operating costs'!$B$51))^MAX(0,C3324-1)+Paths!$M$308*(1+'Operating costs'!$B$53)^MAX(0,C3324-1)),"n.a."))</f>
        <v>0</v>
      </c>
      <c r="I3324" s="16">
        <f>IF(NOT(Paths!$C$308=1),0,IF(Paths!$P$308="Complete",IF(IF(Paths!$E$308=0,C3324=0,AND(C3324&gt;0,Paths!$E$308&gt;(C3324-1)*12,Paths!$E$308&lt;=C3324*12)),Paths!$G$308,0),"n.a."))</f>
        <v>0</v>
      </c>
      <c r="J3324" s="16">
        <f>IF(NOT(Paths!$C$308=1),0,IF(Paths!$P$308="Complete",IF(IF(Paths!$E$308=0,C3324=0,AND(C3324&gt;0,Paths!$E$308&gt;(C3324-1)*12,Paths!$E$308&lt;=C3324*12)),Paths!$H$308,0),"n.a."))</f>
        <v>0</v>
      </c>
      <c r="K3324" s="16">
        <f>IF(NOT(Paths!$C$308=1),0,IF(Paths!$P$308="Complete",IF(IF(Paths!$O$308=0,C3324=0,AND(C3324&gt;0,Paths!$O$308&gt;(C3324-1)*12,Paths!$O$308&lt;=C3324*12)),Paths!$N$308,0),"n.a."))</f>
        <v>0</v>
      </c>
      <c r="L3324" s="16">
        <f>IF(NOT(Paths!$C$308=1),0,IF(Paths!$P$308="Complete",IF(C3324=10,Paths!$I$308,0),"n.a."))</f>
        <v>0</v>
      </c>
      <c r="M3324" s="16">
        <f>IF(NOT(Paths!$C$308=1),0,IF(Paths!$P$308="Complete",IF(AND(Paths!$D$308="EV",Paths!$E$308&lt;120,Paths!$E$308+'Operating costs'!$B$65&gt;Paths!$E$308,Paths!$E$308+'Operating costs'!$B$65&lt;=120,IF(Paths!$E$308+'Operating costs'!$B$65=0,C3324=0,AND(C3324&gt;0,Paths!$E$308+'Operating costs'!$B$65&gt;(C3324-1)*12,Paths!$E$308+'Operating costs'!$B$65&lt;=C3324*12))),'Operating costs'!$B$64,0)+IF(AND('Operating costs'!$B$67&gt;0,'Operating costs'!$B$67&lt;=120,OR(Paths!$D$308="ICE",'Operating costs'!$B$67&lt;=Paths!$E$308),IF('Operating costs'!$B$67=0,C3324=0,AND(C3324&gt;0,'Operating costs'!$B$67&gt;(C3324-1)*12,'Operating costs'!$B$67&lt;=C3324*12))),'Operating costs'!$B$66,0),"n.a."))</f>
        <v>0</v>
      </c>
      <c r="N3324" s="16">
        <f>IF(NOT(Paths!$C$308=1),0,IF(Paths!$P$308="Complete",SUM(G3324:I3324)-J3324-K3324-L3324+M3324+IF(C3324=0,Paths!$F$308,0)+IF(IF(Paths!$E$308=0,C3324=0,AND(C3324&gt;0,Paths!$E$308&gt;(C3324-1)*12,Paths!$E$308&lt;=C3324*12)),VLOOKUP(A3324,'Fleet register'!$A$7:$S$106,16,FALSE),0),"n.a."))</f>
        <v>0</v>
      </c>
      <c r="O3324" s="16">
        <f>IF(NOT(Paths!$C$308=1),0,IF(Paths!$P$308="Complete",N3324-IF(C3324=0,Paths!$F$308,0),"n.a."))</f>
        <v>0</v>
      </c>
      <c r="P3324" s="16">
        <f>IF(NOT(Paths!$C$308=1),0,IF(Paths!$P$308="Complete",O3324+L3324,"n.a."))</f>
        <v>0</v>
      </c>
      <c r="Q3324" s="16">
        <f>IF(NOT(Paths!$C$308=1),0,IF(Paths!$P$308="Complete",N3324*(1+'Operating costs'!$B$54)^-C3324,"n.a."))</f>
        <v>0</v>
      </c>
      <c r="R3324" s="16">
        <f>IF(NOT(Paths!$C$308=1),0,IF(Paths!$P$308="Complete",IF(AND(C3324=0,Paths!$E$308=0),I3324-J3324-K3324+VLOOKUP(A3324,'Fleet register'!$A$7:$S$106,15,FALSE)+VLOOKUP(A3324,'Fleet register'!$A$7:$S$106,16,FALSE),0),"n.a."))</f>
        <v>0</v>
      </c>
      <c r="S3324" s="1">
        <f>IF(NOT(Paths!$C$308=1),0,IF(Paths!$P$308="Complete",IF(C3324=0,0,Paths!$S$308*Paths!$R$308),"n.a."))</f>
        <v>0</v>
      </c>
      <c r="T3324" s="1">
        <f>IF(NOT(Paths!$C$308=1),0,IF(Paths!$P$308="Complete",IF(C3324=0,0,VLOOKUP(A3324,'Fleet register'!$A$7:$S$106,9,FALSE)*Paths!$R$308),"n.a."))</f>
        <v>0</v>
      </c>
    </row>
    <row r="3325" spans="1:20" ht="24" customHeight="1">
      <c r="A3325" s="1" t="str">
        <f>Paths!$A$308</f>
        <v>T076</v>
      </c>
      <c r="B3325" s="1">
        <f>Paths!$B$308</f>
        <v>1</v>
      </c>
      <c r="C3325" s="1">
        <v>7</v>
      </c>
      <c r="D3325" s="1">
        <v>308</v>
      </c>
      <c r="E3325" s="1">
        <f>IF(OR(Paths!$C$308=0,C3325=0),0,MAX(0,MIN(C3325*12,Paths!$E$308)-(C3325-1)*12))</f>
        <v>0</v>
      </c>
      <c r="F3325" s="1">
        <f>IF(OR(Paths!$C$308=0,C3325=0),0,12-E3325)</f>
        <v>0</v>
      </c>
      <c r="G3325" s="16">
        <f>IF(NOT(Paths!$C$308=1),0,IF(Paths!$P$308="Complete",E3325/12*(Paths!$J$308*(1+'Operating costs'!$B$51)^MAX(0,C3325-1)+Paths!$K$308*(1+'Operating costs'!$B$53)^MAX(0,C3325-1)),"n.a."))</f>
        <v>0</v>
      </c>
      <c r="H3325" s="16">
        <f>IF(NOT(Paths!$C$308=1),0,IF(Paths!$P$308="Complete",F3325/12*(Paths!$L$308*(1+IF(Paths!$D$308="EV",'Operating costs'!$B$52,'Operating costs'!$B$51))^MAX(0,C3325-1)+Paths!$M$308*(1+'Operating costs'!$B$53)^MAX(0,C3325-1)),"n.a."))</f>
        <v>0</v>
      </c>
      <c r="I3325" s="16">
        <f>IF(NOT(Paths!$C$308=1),0,IF(Paths!$P$308="Complete",IF(IF(Paths!$E$308=0,C3325=0,AND(C3325&gt;0,Paths!$E$308&gt;(C3325-1)*12,Paths!$E$308&lt;=C3325*12)),Paths!$G$308,0),"n.a."))</f>
        <v>0</v>
      </c>
      <c r="J3325" s="16">
        <f>IF(NOT(Paths!$C$308=1),0,IF(Paths!$P$308="Complete",IF(IF(Paths!$E$308=0,C3325=0,AND(C3325&gt;0,Paths!$E$308&gt;(C3325-1)*12,Paths!$E$308&lt;=C3325*12)),Paths!$H$308,0),"n.a."))</f>
        <v>0</v>
      </c>
      <c r="K3325" s="16">
        <f>IF(NOT(Paths!$C$308=1),0,IF(Paths!$P$308="Complete",IF(IF(Paths!$O$308=0,C3325=0,AND(C3325&gt;0,Paths!$O$308&gt;(C3325-1)*12,Paths!$O$308&lt;=C3325*12)),Paths!$N$308,0),"n.a."))</f>
        <v>0</v>
      </c>
      <c r="L3325" s="16">
        <f>IF(NOT(Paths!$C$308=1),0,IF(Paths!$P$308="Complete",IF(C3325=10,Paths!$I$308,0),"n.a."))</f>
        <v>0</v>
      </c>
      <c r="M3325" s="16">
        <f>IF(NOT(Paths!$C$308=1),0,IF(Paths!$P$308="Complete",IF(AND(Paths!$D$308="EV",Paths!$E$308&lt;120,Paths!$E$308+'Operating costs'!$B$65&gt;Paths!$E$308,Paths!$E$308+'Operating costs'!$B$65&lt;=120,IF(Paths!$E$308+'Operating costs'!$B$65=0,C3325=0,AND(C3325&gt;0,Paths!$E$308+'Operating costs'!$B$65&gt;(C3325-1)*12,Paths!$E$308+'Operating costs'!$B$65&lt;=C3325*12))),'Operating costs'!$B$64,0)+IF(AND('Operating costs'!$B$67&gt;0,'Operating costs'!$B$67&lt;=120,OR(Paths!$D$308="ICE",'Operating costs'!$B$67&lt;=Paths!$E$308),IF('Operating costs'!$B$67=0,C3325=0,AND(C3325&gt;0,'Operating costs'!$B$67&gt;(C3325-1)*12,'Operating costs'!$B$67&lt;=C3325*12))),'Operating costs'!$B$66,0),"n.a."))</f>
        <v>0</v>
      </c>
      <c r="N3325" s="16">
        <f>IF(NOT(Paths!$C$308=1),0,IF(Paths!$P$308="Complete",SUM(G3325:I3325)-J3325-K3325-L3325+M3325+IF(C3325=0,Paths!$F$308,0)+IF(IF(Paths!$E$308=0,C3325=0,AND(C3325&gt;0,Paths!$E$308&gt;(C3325-1)*12,Paths!$E$308&lt;=C3325*12)),VLOOKUP(A3325,'Fleet register'!$A$7:$S$106,16,FALSE),0),"n.a."))</f>
        <v>0</v>
      </c>
      <c r="O3325" s="16">
        <f>IF(NOT(Paths!$C$308=1),0,IF(Paths!$P$308="Complete",N3325-IF(C3325=0,Paths!$F$308,0),"n.a."))</f>
        <v>0</v>
      </c>
      <c r="P3325" s="16">
        <f>IF(NOT(Paths!$C$308=1),0,IF(Paths!$P$308="Complete",O3325+L3325,"n.a."))</f>
        <v>0</v>
      </c>
      <c r="Q3325" s="16">
        <f>IF(NOT(Paths!$C$308=1),0,IF(Paths!$P$308="Complete",N3325*(1+'Operating costs'!$B$54)^-C3325,"n.a."))</f>
        <v>0</v>
      </c>
      <c r="R3325" s="16">
        <f>IF(NOT(Paths!$C$308=1),0,IF(Paths!$P$308="Complete",IF(AND(C3325=0,Paths!$E$308=0),I3325-J3325-K3325+VLOOKUP(A3325,'Fleet register'!$A$7:$S$106,15,FALSE)+VLOOKUP(A3325,'Fleet register'!$A$7:$S$106,16,FALSE),0),"n.a."))</f>
        <v>0</v>
      </c>
      <c r="S3325" s="1">
        <f>IF(NOT(Paths!$C$308=1),0,IF(Paths!$P$308="Complete",IF(C3325=0,0,Paths!$S$308*Paths!$R$308),"n.a."))</f>
        <v>0</v>
      </c>
      <c r="T3325" s="1">
        <f>IF(NOT(Paths!$C$308=1),0,IF(Paths!$P$308="Complete",IF(C3325=0,0,VLOOKUP(A3325,'Fleet register'!$A$7:$S$106,9,FALSE)*Paths!$R$308),"n.a."))</f>
        <v>0</v>
      </c>
    </row>
    <row r="3326" spans="1:20" ht="24" customHeight="1">
      <c r="A3326" s="1" t="str">
        <f>Paths!$A$308</f>
        <v>T076</v>
      </c>
      <c r="B3326" s="1">
        <f>Paths!$B$308</f>
        <v>1</v>
      </c>
      <c r="C3326" s="1">
        <v>8</v>
      </c>
      <c r="D3326" s="1">
        <v>308</v>
      </c>
      <c r="E3326" s="1">
        <f>IF(OR(Paths!$C$308=0,C3326=0),0,MAX(0,MIN(C3326*12,Paths!$E$308)-(C3326-1)*12))</f>
        <v>0</v>
      </c>
      <c r="F3326" s="1">
        <f>IF(OR(Paths!$C$308=0,C3326=0),0,12-E3326)</f>
        <v>0</v>
      </c>
      <c r="G3326" s="16">
        <f>IF(NOT(Paths!$C$308=1),0,IF(Paths!$P$308="Complete",E3326/12*(Paths!$J$308*(1+'Operating costs'!$B$51)^MAX(0,C3326-1)+Paths!$K$308*(1+'Operating costs'!$B$53)^MAX(0,C3326-1)),"n.a."))</f>
        <v>0</v>
      </c>
      <c r="H3326" s="16">
        <f>IF(NOT(Paths!$C$308=1),0,IF(Paths!$P$308="Complete",F3326/12*(Paths!$L$308*(1+IF(Paths!$D$308="EV",'Operating costs'!$B$52,'Operating costs'!$B$51))^MAX(0,C3326-1)+Paths!$M$308*(1+'Operating costs'!$B$53)^MAX(0,C3326-1)),"n.a."))</f>
        <v>0</v>
      </c>
      <c r="I3326" s="16">
        <f>IF(NOT(Paths!$C$308=1),0,IF(Paths!$P$308="Complete",IF(IF(Paths!$E$308=0,C3326=0,AND(C3326&gt;0,Paths!$E$308&gt;(C3326-1)*12,Paths!$E$308&lt;=C3326*12)),Paths!$G$308,0),"n.a."))</f>
        <v>0</v>
      </c>
      <c r="J3326" s="16">
        <f>IF(NOT(Paths!$C$308=1),0,IF(Paths!$P$308="Complete",IF(IF(Paths!$E$308=0,C3326=0,AND(C3326&gt;0,Paths!$E$308&gt;(C3326-1)*12,Paths!$E$308&lt;=C3326*12)),Paths!$H$308,0),"n.a."))</f>
        <v>0</v>
      </c>
      <c r="K3326" s="16">
        <f>IF(NOT(Paths!$C$308=1),0,IF(Paths!$P$308="Complete",IF(IF(Paths!$O$308=0,C3326=0,AND(C3326&gt;0,Paths!$O$308&gt;(C3326-1)*12,Paths!$O$308&lt;=C3326*12)),Paths!$N$308,0),"n.a."))</f>
        <v>0</v>
      </c>
      <c r="L3326" s="16">
        <f>IF(NOT(Paths!$C$308=1),0,IF(Paths!$P$308="Complete",IF(C3326=10,Paths!$I$308,0),"n.a."))</f>
        <v>0</v>
      </c>
      <c r="M3326" s="16">
        <f>IF(NOT(Paths!$C$308=1),0,IF(Paths!$P$308="Complete",IF(AND(Paths!$D$308="EV",Paths!$E$308&lt;120,Paths!$E$308+'Operating costs'!$B$65&gt;Paths!$E$308,Paths!$E$308+'Operating costs'!$B$65&lt;=120,IF(Paths!$E$308+'Operating costs'!$B$65=0,C3326=0,AND(C3326&gt;0,Paths!$E$308+'Operating costs'!$B$65&gt;(C3326-1)*12,Paths!$E$308+'Operating costs'!$B$65&lt;=C3326*12))),'Operating costs'!$B$64,0)+IF(AND('Operating costs'!$B$67&gt;0,'Operating costs'!$B$67&lt;=120,OR(Paths!$D$308="ICE",'Operating costs'!$B$67&lt;=Paths!$E$308),IF('Operating costs'!$B$67=0,C3326=0,AND(C3326&gt;0,'Operating costs'!$B$67&gt;(C3326-1)*12,'Operating costs'!$B$67&lt;=C3326*12))),'Operating costs'!$B$66,0),"n.a."))</f>
        <v>0</v>
      </c>
      <c r="N3326" s="16">
        <f>IF(NOT(Paths!$C$308=1),0,IF(Paths!$P$308="Complete",SUM(G3326:I3326)-J3326-K3326-L3326+M3326+IF(C3326=0,Paths!$F$308,0)+IF(IF(Paths!$E$308=0,C3326=0,AND(C3326&gt;0,Paths!$E$308&gt;(C3326-1)*12,Paths!$E$308&lt;=C3326*12)),VLOOKUP(A3326,'Fleet register'!$A$7:$S$106,16,FALSE),0),"n.a."))</f>
        <v>0</v>
      </c>
      <c r="O3326" s="16">
        <f>IF(NOT(Paths!$C$308=1),0,IF(Paths!$P$308="Complete",N3326-IF(C3326=0,Paths!$F$308,0),"n.a."))</f>
        <v>0</v>
      </c>
      <c r="P3326" s="16">
        <f>IF(NOT(Paths!$C$308=1),0,IF(Paths!$P$308="Complete",O3326+L3326,"n.a."))</f>
        <v>0</v>
      </c>
      <c r="Q3326" s="16">
        <f>IF(NOT(Paths!$C$308=1),0,IF(Paths!$P$308="Complete",N3326*(1+'Operating costs'!$B$54)^-C3326,"n.a."))</f>
        <v>0</v>
      </c>
      <c r="R3326" s="16">
        <f>IF(NOT(Paths!$C$308=1),0,IF(Paths!$P$308="Complete",IF(AND(C3326=0,Paths!$E$308=0),I3326-J3326-K3326+VLOOKUP(A3326,'Fleet register'!$A$7:$S$106,15,FALSE)+VLOOKUP(A3326,'Fleet register'!$A$7:$S$106,16,FALSE),0),"n.a."))</f>
        <v>0</v>
      </c>
      <c r="S3326" s="1">
        <f>IF(NOT(Paths!$C$308=1),0,IF(Paths!$P$308="Complete",IF(C3326=0,0,Paths!$S$308*Paths!$R$308),"n.a."))</f>
        <v>0</v>
      </c>
      <c r="T3326" s="1">
        <f>IF(NOT(Paths!$C$308=1),0,IF(Paths!$P$308="Complete",IF(C3326=0,0,VLOOKUP(A3326,'Fleet register'!$A$7:$S$106,9,FALSE)*Paths!$R$308),"n.a."))</f>
        <v>0</v>
      </c>
    </row>
    <row r="3327" spans="1:20" ht="24" customHeight="1">
      <c r="A3327" s="1" t="str">
        <f>Paths!$A$308</f>
        <v>T076</v>
      </c>
      <c r="B3327" s="1">
        <f>Paths!$B$308</f>
        <v>1</v>
      </c>
      <c r="C3327" s="1">
        <v>9</v>
      </c>
      <c r="D3327" s="1">
        <v>308</v>
      </c>
      <c r="E3327" s="1">
        <f>IF(OR(Paths!$C$308=0,C3327=0),0,MAX(0,MIN(C3327*12,Paths!$E$308)-(C3327-1)*12))</f>
        <v>0</v>
      </c>
      <c r="F3327" s="1">
        <f>IF(OR(Paths!$C$308=0,C3327=0),0,12-E3327)</f>
        <v>0</v>
      </c>
      <c r="G3327" s="16">
        <f>IF(NOT(Paths!$C$308=1),0,IF(Paths!$P$308="Complete",E3327/12*(Paths!$J$308*(1+'Operating costs'!$B$51)^MAX(0,C3327-1)+Paths!$K$308*(1+'Operating costs'!$B$53)^MAX(0,C3327-1)),"n.a."))</f>
        <v>0</v>
      </c>
      <c r="H3327" s="16">
        <f>IF(NOT(Paths!$C$308=1),0,IF(Paths!$P$308="Complete",F3327/12*(Paths!$L$308*(1+IF(Paths!$D$308="EV",'Operating costs'!$B$52,'Operating costs'!$B$51))^MAX(0,C3327-1)+Paths!$M$308*(1+'Operating costs'!$B$53)^MAX(0,C3327-1)),"n.a."))</f>
        <v>0</v>
      </c>
      <c r="I3327" s="16">
        <f>IF(NOT(Paths!$C$308=1),0,IF(Paths!$P$308="Complete",IF(IF(Paths!$E$308=0,C3327=0,AND(C3327&gt;0,Paths!$E$308&gt;(C3327-1)*12,Paths!$E$308&lt;=C3327*12)),Paths!$G$308,0),"n.a."))</f>
        <v>0</v>
      </c>
      <c r="J3327" s="16">
        <f>IF(NOT(Paths!$C$308=1),0,IF(Paths!$P$308="Complete",IF(IF(Paths!$E$308=0,C3327=0,AND(C3327&gt;0,Paths!$E$308&gt;(C3327-1)*12,Paths!$E$308&lt;=C3327*12)),Paths!$H$308,0),"n.a."))</f>
        <v>0</v>
      </c>
      <c r="K3327" s="16">
        <f>IF(NOT(Paths!$C$308=1),0,IF(Paths!$P$308="Complete",IF(IF(Paths!$O$308=0,C3327=0,AND(C3327&gt;0,Paths!$O$308&gt;(C3327-1)*12,Paths!$O$308&lt;=C3327*12)),Paths!$N$308,0),"n.a."))</f>
        <v>0</v>
      </c>
      <c r="L3327" s="16">
        <f>IF(NOT(Paths!$C$308=1),0,IF(Paths!$P$308="Complete",IF(C3327=10,Paths!$I$308,0),"n.a."))</f>
        <v>0</v>
      </c>
      <c r="M3327" s="16">
        <f>IF(NOT(Paths!$C$308=1),0,IF(Paths!$P$308="Complete",IF(AND(Paths!$D$308="EV",Paths!$E$308&lt;120,Paths!$E$308+'Operating costs'!$B$65&gt;Paths!$E$308,Paths!$E$308+'Operating costs'!$B$65&lt;=120,IF(Paths!$E$308+'Operating costs'!$B$65=0,C3327=0,AND(C3327&gt;0,Paths!$E$308+'Operating costs'!$B$65&gt;(C3327-1)*12,Paths!$E$308+'Operating costs'!$B$65&lt;=C3327*12))),'Operating costs'!$B$64,0)+IF(AND('Operating costs'!$B$67&gt;0,'Operating costs'!$B$67&lt;=120,OR(Paths!$D$308="ICE",'Operating costs'!$B$67&lt;=Paths!$E$308),IF('Operating costs'!$B$67=0,C3327=0,AND(C3327&gt;0,'Operating costs'!$B$67&gt;(C3327-1)*12,'Operating costs'!$B$67&lt;=C3327*12))),'Operating costs'!$B$66,0),"n.a."))</f>
        <v>0</v>
      </c>
      <c r="N3327" s="16">
        <f>IF(NOT(Paths!$C$308=1),0,IF(Paths!$P$308="Complete",SUM(G3327:I3327)-J3327-K3327-L3327+M3327+IF(C3327=0,Paths!$F$308,0)+IF(IF(Paths!$E$308=0,C3327=0,AND(C3327&gt;0,Paths!$E$308&gt;(C3327-1)*12,Paths!$E$308&lt;=C3327*12)),VLOOKUP(A3327,'Fleet register'!$A$7:$S$106,16,FALSE),0),"n.a."))</f>
        <v>0</v>
      </c>
      <c r="O3327" s="16">
        <f>IF(NOT(Paths!$C$308=1),0,IF(Paths!$P$308="Complete",N3327-IF(C3327=0,Paths!$F$308,0),"n.a."))</f>
        <v>0</v>
      </c>
      <c r="P3327" s="16">
        <f>IF(NOT(Paths!$C$308=1),0,IF(Paths!$P$308="Complete",O3327+L3327,"n.a."))</f>
        <v>0</v>
      </c>
      <c r="Q3327" s="16">
        <f>IF(NOT(Paths!$C$308=1),0,IF(Paths!$P$308="Complete",N3327*(1+'Operating costs'!$B$54)^-C3327,"n.a."))</f>
        <v>0</v>
      </c>
      <c r="R3327" s="16">
        <f>IF(NOT(Paths!$C$308=1),0,IF(Paths!$P$308="Complete",IF(AND(C3327=0,Paths!$E$308=0),I3327-J3327-K3327+VLOOKUP(A3327,'Fleet register'!$A$7:$S$106,15,FALSE)+VLOOKUP(A3327,'Fleet register'!$A$7:$S$106,16,FALSE),0),"n.a."))</f>
        <v>0</v>
      </c>
      <c r="S3327" s="1">
        <f>IF(NOT(Paths!$C$308=1),0,IF(Paths!$P$308="Complete",IF(C3327=0,0,Paths!$S$308*Paths!$R$308),"n.a."))</f>
        <v>0</v>
      </c>
      <c r="T3327" s="1">
        <f>IF(NOT(Paths!$C$308=1),0,IF(Paths!$P$308="Complete",IF(C3327=0,0,VLOOKUP(A3327,'Fleet register'!$A$7:$S$106,9,FALSE)*Paths!$R$308),"n.a."))</f>
        <v>0</v>
      </c>
    </row>
    <row r="3328" spans="1:20" ht="24" customHeight="1">
      <c r="A3328" s="1" t="str">
        <f>Paths!$A$308</f>
        <v>T076</v>
      </c>
      <c r="B3328" s="1">
        <f>Paths!$B$308</f>
        <v>1</v>
      </c>
      <c r="C3328" s="1">
        <v>10</v>
      </c>
      <c r="D3328" s="1">
        <v>308</v>
      </c>
      <c r="E3328" s="1">
        <f>IF(OR(Paths!$C$308=0,C3328=0),0,MAX(0,MIN(C3328*12,Paths!$E$308)-(C3328-1)*12))</f>
        <v>0</v>
      </c>
      <c r="F3328" s="1">
        <f>IF(OR(Paths!$C$308=0,C3328=0),0,12-E3328)</f>
        <v>0</v>
      </c>
      <c r="G3328" s="16">
        <f>IF(NOT(Paths!$C$308=1),0,IF(Paths!$P$308="Complete",E3328/12*(Paths!$J$308*(1+'Operating costs'!$B$51)^MAX(0,C3328-1)+Paths!$K$308*(1+'Operating costs'!$B$53)^MAX(0,C3328-1)),"n.a."))</f>
        <v>0</v>
      </c>
      <c r="H3328" s="16">
        <f>IF(NOT(Paths!$C$308=1),0,IF(Paths!$P$308="Complete",F3328/12*(Paths!$L$308*(1+IF(Paths!$D$308="EV",'Operating costs'!$B$52,'Operating costs'!$B$51))^MAX(0,C3328-1)+Paths!$M$308*(1+'Operating costs'!$B$53)^MAX(0,C3328-1)),"n.a."))</f>
        <v>0</v>
      </c>
      <c r="I3328" s="16">
        <f>IF(NOT(Paths!$C$308=1),0,IF(Paths!$P$308="Complete",IF(IF(Paths!$E$308=0,C3328=0,AND(C3328&gt;0,Paths!$E$308&gt;(C3328-1)*12,Paths!$E$308&lt;=C3328*12)),Paths!$G$308,0),"n.a."))</f>
        <v>0</v>
      </c>
      <c r="J3328" s="16">
        <f>IF(NOT(Paths!$C$308=1),0,IF(Paths!$P$308="Complete",IF(IF(Paths!$E$308=0,C3328=0,AND(C3328&gt;0,Paths!$E$308&gt;(C3328-1)*12,Paths!$E$308&lt;=C3328*12)),Paths!$H$308,0),"n.a."))</f>
        <v>0</v>
      </c>
      <c r="K3328" s="16">
        <f>IF(NOT(Paths!$C$308=1),0,IF(Paths!$P$308="Complete",IF(IF(Paths!$O$308=0,C3328=0,AND(C3328&gt;0,Paths!$O$308&gt;(C3328-1)*12,Paths!$O$308&lt;=C3328*12)),Paths!$N$308,0),"n.a."))</f>
        <v>0</v>
      </c>
      <c r="L3328" s="16">
        <f>IF(NOT(Paths!$C$308=1),0,IF(Paths!$P$308="Complete",IF(C3328=10,Paths!$I$308,0),"n.a."))</f>
        <v>0</v>
      </c>
      <c r="M3328" s="16">
        <f>IF(NOT(Paths!$C$308=1),0,IF(Paths!$P$308="Complete",IF(AND(Paths!$D$308="EV",Paths!$E$308&lt;120,Paths!$E$308+'Operating costs'!$B$65&gt;Paths!$E$308,Paths!$E$308+'Operating costs'!$B$65&lt;=120,IF(Paths!$E$308+'Operating costs'!$B$65=0,C3328=0,AND(C3328&gt;0,Paths!$E$308+'Operating costs'!$B$65&gt;(C3328-1)*12,Paths!$E$308+'Operating costs'!$B$65&lt;=C3328*12))),'Operating costs'!$B$64,0)+IF(AND('Operating costs'!$B$67&gt;0,'Operating costs'!$B$67&lt;=120,OR(Paths!$D$308="ICE",'Operating costs'!$B$67&lt;=Paths!$E$308),IF('Operating costs'!$B$67=0,C3328=0,AND(C3328&gt;0,'Operating costs'!$B$67&gt;(C3328-1)*12,'Operating costs'!$B$67&lt;=C3328*12))),'Operating costs'!$B$66,0),"n.a."))</f>
        <v>0</v>
      </c>
      <c r="N3328" s="16">
        <f>IF(NOT(Paths!$C$308=1),0,IF(Paths!$P$308="Complete",SUM(G3328:I3328)-J3328-K3328-L3328+M3328+IF(C3328=0,Paths!$F$308,0)+IF(IF(Paths!$E$308=0,C3328=0,AND(C3328&gt;0,Paths!$E$308&gt;(C3328-1)*12,Paths!$E$308&lt;=C3328*12)),VLOOKUP(A3328,'Fleet register'!$A$7:$S$106,16,FALSE),0),"n.a."))</f>
        <v>0</v>
      </c>
      <c r="O3328" s="16">
        <f>IF(NOT(Paths!$C$308=1),0,IF(Paths!$P$308="Complete",N3328-IF(C3328=0,Paths!$F$308,0),"n.a."))</f>
        <v>0</v>
      </c>
      <c r="P3328" s="16">
        <f>IF(NOT(Paths!$C$308=1),0,IF(Paths!$P$308="Complete",O3328+L3328,"n.a."))</f>
        <v>0</v>
      </c>
      <c r="Q3328" s="16">
        <f>IF(NOT(Paths!$C$308=1),0,IF(Paths!$P$308="Complete",N3328*(1+'Operating costs'!$B$54)^-C3328,"n.a."))</f>
        <v>0</v>
      </c>
      <c r="R3328" s="16">
        <f>IF(NOT(Paths!$C$308=1),0,IF(Paths!$P$308="Complete",IF(AND(C3328=0,Paths!$E$308=0),I3328-J3328-K3328+VLOOKUP(A3328,'Fleet register'!$A$7:$S$106,15,FALSE)+VLOOKUP(A3328,'Fleet register'!$A$7:$S$106,16,FALSE),0),"n.a."))</f>
        <v>0</v>
      </c>
      <c r="S3328" s="1">
        <f>IF(NOT(Paths!$C$308=1),0,IF(Paths!$P$308="Complete",IF(C3328=0,0,Paths!$S$308*Paths!$R$308),"n.a."))</f>
        <v>0</v>
      </c>
      <c r="T3328" s="1">
        <f>IF(NOT(Paths!$C$308=1),0,IF(Paths!$P$308="Complete",IF(C3328=0,0,VLOOKUP(A3328,'Fleet register'!$A$7:$S$106,9,FALSE)*Paths!$R$308),"n.a."))</f>
        <v>0</v>
      </c>
    </row>
    <row r="3329" spans="1:20" ht="24" customHeight="1">
      <c r="A3329" s="1" t="str">
        <f>Paths!$A$309</f>
        <v>T076</v>
      </c>
      <c r="B3329" s="1">
        <f>Paths!$B$309</f>
        <v>2</v>
      </c>
      <c r="C3329" s="1">
        <v>0</v>
      </c>
      <c r="D3329" s="1">
        <v>309</v>
      </c>
      <c r="E3329" s="1">
        <f>IF(OR(Paths!$C$309=0,C3329=0),0,MAX(0,MIN(C3329*12,Paths!$E$309)-(C3329-1)*12))</f>
        <v>0</v>
      </c>
      <c r="F3329" s="1">
        <f>IF(OR(Paths!$C$309=0,C3329=0),0,12-E3329)</f>
        <v>0</v>
      </c>
      <c r="G3329" s="16">
        <f>IF(NOT(Paths!$C$309=1),0,IF(Paths!$P$309="Complete",E3329/12*(Paths!$J$309*(1+'Operating costs'!$B$51)^MAX(0,C3329-1)+Paths!$K$309*(1+'Operating costs'!$B$53)^MAX(0,C3329-1)),"n.a."))</f>
        <v>0</v>
      </c>
      <c r="H3329" s="16">
        <f>IF(NOT(Paths!$C$309=1),0,IF(Paths!$P$309="Complete",F3329/12*(Paths!$L$309*(1+IF(Paths!$D$309="EV",'Operating costs'!$B$52,'Operating costs'!$B$51))^MAX(0,C3329-1)+Paths!$M$309*(1+'Operating costs'!$B$53)^MAX(0,C3329-1)),"n.a."))</f>
        <v>0</v>
      </c>
      <c r="I3329" s="16">
        <f>IF(NOT(Paths!$C$309=1),0,IF(Paths!$P$309="Complete",IF(IF(Paths!$E$309=0,C3329=0,AND(C3329&gt;0,Paths!$E$309&gt;(C3329-1)*12,Paths!$E$309&lt;=C3329*12)),Paths!$G$309,0),"n.a."))</f>
        <v>0</v>
      </c>
      <c r="J3329" s="16">
        <f>IF(NOT(Paths!$C$309=1),0,IF(Paths!$P$309="Complete",IF(IF(Paths!$E$309=0,C3329=0,AND(C3329&gt;0,Paths!$E$309&gt;(C3329-1)*12,Paths!$E$309&lt;=C3329*12)),Paths!$H$309,0),"n.a."))</f>
        <v>0</v>
      </c>
      <c r="K3329" s="16">
        <f>IF(NOT(Paths!$C$309=1),0,IF(Paths!$P$309="Complete",IF(IF(Paths!$O$309=0,C3329=0,AND(C3329&gt;0,Paths!$O$309&gt;(C3329-1)*12,Paths!$O$309&lt;=C3329*12)),Paths!$N$309,0),"n.a."))</f>
        <v>0</v>
      </c>
      <c r="L3329" s="16">
        <f>IF(NOT(Paths!$C$309=1),0,IF(Paths!$P$309="Complete",IF(C3329=10,Paths!$I$309,0),"n.a."))</f>
        <v>0</v>
      </c>
      <c r="M3329" s="16">
        <f>IF(NOT(Paths!$C$309=1),0,IF(Paths!$P$309="Complete",IF(AND(Paths!$D$309="EV",Paths!$E$309&lt;120,Paths!$E$309+'Operating costs'!$B$65&gt;Paths!$E$309,Paths!$E$309+'Operating costs'!$B$65&lt;=120,IF(Paths!$E$309+'Operating costs'!$B$65=0,C3329=0,AND(C3329&gt;0,Paths!$E$309+'Operating costs'!$B$65&gt;(C3329-1)*12,Paths!$E$309+'Operating costs'!$B$65&lt;=C3329*12))),'Operating costs'!$B$64,0)+IF(AND('Operating costs'!$B$67&gt;0,'Operating costs'!$B$67&lt;=120,OR(Paths!$D$309="ICE",'Operating costs'!$B$67&lt;=Paths!$E$309),IF('Operating costs'!$B$67=0,C3329=0,AND(C3329&gt;0,'Operating costs'!$B$67&gt;(C3329-1)*12,'Operating costs'!$B$67&lt;=C3329*12))),'Operating costs'!$B$66,0),"n.a."))</f>
        <v>0</v>
      </c>
      <c r="N3329" s="16">
        <f>IF(NOT(Paths!$C$309=1),0,IF(Paths!$P$309="Complete",SUM(G3329:I3329)-J3329-K3329-L3329+M3329+IF(C3329=0,Paths!$F$309,0)+IF(IF(Paths!$E$309=0,C3329=0,AND(C3329&gt;0,Paths!$E$309&gt;(C3329-1)*12,Paths!$E$309&lt;=C3329*12)),VLOOKUP(A3329,'Fleet register'!$A$7:$S$106,16,FALSE),0),"n.a."))</f>
        <v>0</v>
      </c>
      <c r="O3329" s="16">
        <f>IF(NOT(Paths!$C$309=1),0,IF(Paths!$P$309="Complete",N3329-IF(C3329=0,Paths!$F$309,0),"n.a."))</f>
        <v>0</v>
      </c>
      <c r="P3329" s="16">
        <f>IF(NOT(Paths!$C$309=1),0,IF(Paths!$P$309="Complete",O3329+L3329,"n.a."))</f>
        <v>0</v>
      </c>
      <c r="Q3329" s="16">
        <f>IF(NOT(Paths!$C$309=1),0,IF(Paths!$P$309="Complete",N3329*(1+'Operating costs'!$B$54)^-C3329,"n.a."))</f>
        <v>0</v>
      </c>
      <c r="R3329" s="16">
        <f>IF(NOT(Paths!$C$309=1),0,IF(Paths!$P$309="Complete",IF(AND(C3329=0,Paths!$E$309=0),I3329-J3329-K3329+VLOOKUP(A3329,'Fleet register'!$A$7:$S$106,15,FALSE)+VLOOKUP(A3329,'Fleet register'!$A$7:$S$106,16,FALSE),0),"n.a."))</f>
        <v>0</v>
      </c>
      <c r="S3329" s="1">
        <f>IF(NOT(Paths!$C$309=1),0,IF(Paths!$P$309="Complete",IF(C3329=0,0,Paths!$S$309*Paths!$R$309),"n.a."))</f>
        <v>0</v>
      </c>
      <c r="T3329" s="1">
        <f>IF(NOT(Paths!$C$309=1),0,IF(Paths!$P$309="Complete",IF(C3329=0,0,VLOOKUP(A3329,'Fleet register'!$A$7:$S$106,9,FALSE)*Paths!$R$309),"n.a."))</f>
        <v>0</v>
      </c>
    </row>
    <row r="3330" spans="1:20" ht="24" customHeight="1">
      <c r="A3330" s="1" t="str">
        <f>Paths!$A$309</f>
        <v>T076</v>
      </c>
      <c r="B3330" s="1">
        <f>Paths!$B$309</f>
        <v>2</v>
      </c>
      <c r="C3330" s="1">
        <v>1</v>
      </c>
      <c r="D3330" s="1">
        <v>309</v>
      </c>
      <c r="E3330" s="1">
        <f>IF(OR(Paths!$C$309=0,C3330=0),0,MAX(0,MIN(C3330*12,Paths!$E$309)-(C3330-1)*12))</f>
        <v>0</v>
      </c>
      <c r="F3330" s="1">
        <f>IF(OR(Paths!$C$309=0,C3330=0),0,12-E3330)</f>
        <v>0</v>
      </c>
      <c r="G3330" s="16">
        <f>IF(NOT(Paths!$C$309=1),0,IF(Paths!$P$309="Complete",E3330/12*(Paths!$J$309*(1+'Operating costs'!$B$51)^MAX(0,C3330-1)+Paths!$K$309*(1+'Operating costs'!$B$53)^MAX(0,C3330-1)),"n.a."))</f>
        <v>0</v>
      </c>
      <c r="H3330" s="16">
        <f>IF(NOT(Paths!$C$309=1),0,IF(Paths!$P$309="Complete",F3330/12*(Paths!$L$309*(1+IF(Paths!$D$309="EV",'Operating costs'!$B$52,'Operating costs'!$B$51))^MAX(0,C3330-1)+Paths!$M$309*(1+'Operating costs'!$B$53)^MAX(0,C3330-1)),"n.a."))</f>
        <v>0</v>
      </c>
      <c r="I3330" s="16">
        <f>IF(NOT(Paths!$C$309=1),0,IF(Paths!$P$309="Complete",IF(IF(Paths!$E$309=0,C3330=0,AND(C3330&gt;0,Paths!$E$309&gt;(C3330-1)*12,Paths!$E$309&lt;=C3330*12)),Paths!$G$309,0),"n.a."))</f>
        <v>0</v>
      </c>
      <c r="J3330" s="16">
        <f>IF(NOT(Paths!$C$309=1),0,IF(Paths!$P$309="Complete",IF(IF(Paths!$E$309=0,C3330=0,AND(C3330&gt;0,Paths!$E$309&gt;(C3330-1)*12,Paths!$E$309&lt;=C3330*12)),Paths!$H$309,0),"n.a."))</f>
        <v>0</v>
      </c>
      <c r="K3330" s="16">
        <f>IF(NOT(Paths!$C$309=1),0,IF(Paths!$P$309="Complete",IF(IF(Paths!$O$309=0,C3330=0,AND(C3330&gt;0,Paths!$O$309&gt;(C3330-1)*12,Paths!$O$309&lt;=C3330*12)),Paths!$N$309,0),"n.a."))</f>
        <v>0</v>
      </c>
      <c r="L3330" s="16">
        <f>IF(NOT(Paths!$C$309=1),0,IF(Paths!$P$309="Complete",IF(C3330=10,Paths!$I$309,0),"n.a."))</f>
        <v>0</v>
      </c>
      <c r="M3330" s="16">
        <f>IF(NOT(Paths!$C$309=1),0,IF(Paths!$P$309="Complete",IF(AND(Paths!$D$309="EV",Paths!$E$309&lt;120,Paths!$E$309+'Operating costs'!$B$65&gt;Paths!$E$309,Paths!$E$309+'Operating costs'!$B$65&lt;=120,IF(Paths!$E$309+'Operating costs'!$B$65=0,C3330=0,AND(C3330&gt;0,Paths!$E$309+'Operating costs'!$B$65&gt;(C3330-1)*12,Paths!$E$309+'Operating costs'!$B$65&lt;=C3330*12))),'Operating costs'!$B$64,0)+IF(AND('Operating costs'!$B$67&gt;0,'Operating costs'!$B$67&lt;=120,OR(Paths!$D$309="ICE",'Operating costs'!$B$67&lt;=Paths!$E$309),IF('Operating costs'!$B$67=0,C3330=0,AND(C3330&gt;0,'Operating costs'!$B$67&gt;(C3330-1)*12,'Operating costs'!$B$67&lt;=C3330*12))),'Operating costs'!$B$66,0),"n.a."))</f>
        <v>0</v>
      </c>
      <c r="N3330" s="16">
        <f>IF(NOT(Paths!$C$309=1),0,IF(Paths!$P$309="Complete",SUM(G3330:I3330)-J3330-K3330-L3330+M3330+IF(C3330=0,Paths!$F$309,0)+IF(IF(Paths!$E$309=0,C3330=0,AND(C3330&gt;0,Paths!$E$309&gt;(C3330-1)*12,Paths!$E$309&lt;=C3330*12)),VLOOKUP(A3330,'Fleet register'!$A$7:$S$106,16,FALSE),0),"n.a."))</f>
        <v>0</v>
      </c>
      <c r="O3330" s="16">
        <f>IF(NOT(Paths!$C$309=1),0,IF(Paths!$P$309="Complete",N3330-IF(C3330=0,Paths!$F$309,0),"n.a."))</f>
        <v>0</v>
      </c>
      <c r="P3330" s="16">
        <f>IF(NOT(Paths!$C$309=1),0,IF(Paths!$P$309="Complete",O3330+L3330,"n.a."))</f>
        <v>0</v>
      </c>
      <c r="Q3330" s="16">
        <f>IF(NOT(Paths!$C$309=1),0,IF(Paths!$P$309="Complete",N3330*(1+'Operating costs'!$B$54)^-C3330,"n.a."))</f>
        <v>0</v>
      </c>
      <c r="R3330" s="16">
        <f>IF(NOT(Paths!$C$309=1),0,IF(Paths!$P$309="Complete",IF(AND(C3330=0,Paths!$E$309=0),I3330-J3330-K3330+VLOOKUP(A3330,'Fleet register'!$A$7:$S$106,15,FALSE)+VLOOKUP(A3330,'Fleet register'!$A$7:$S$106,16,FALSE),0),"n.a."))</f>
        <v>0</v>
      </c>
      <c r="S3330" s="1">
        <f>IF(NOT(Paths!$C$309=1),0,IF(Paths!$P$309="Complete",IF(C3330=0,0,Paths!$S$309*Paths!$R$309),"n.a."))</f>
        <v>0</v>
      </c>
      <c r="T3330" s="1">
        <f>IF(NOT(Paths!$C$309=1),0,IF(Paths!$P$309="Complete",IF(C3330=0,0,VLOOKUP(A3330,'Fleet register'!$A$7:$S$106,9,FALSE)*Paths!$R$309),"n.a."))</f>
        <v>0</v>
      </c>
    </row>
    <row r="3331" spans="1:20" ht="24" customHeight="1">
      <c r="A3331" s="1" t="str">
        <f>Paths!$A$309</f>
        <v>T076</v>
      </c>
      <c r="B3331" s="1">
        <f>Paths!$B$309</f>
        <v>2</v>
      </c>
      <c r="C3331" s="1">
        <v>2</v>
      </c>
      <c r="D3331" s="1">
        <v>309</v>
      </c>
      <c r="E3331" s="1">
        <f>IF(OR(Paths!$C$309=0,C3331=0),0,MAX(0,MIN(C3331*12,Paths!$E$309)-(C3331-1)*12))</f>
        <v>0</v>
      </c>
      <c r="F3331" s="1">
        <f>IF(OR(Paths!$C$309=0,C3331=0),0,12-E3331)</f>
        <v>0</v>
      </c>
      <c r="G3331" s="16">
        <f>IF(NOT(Paths!$C$309=1),0,IF(Paths!$P$309="Complete",E3331/12*(Paths!$J$309*(1+'Operating costs'!$B$51)^MAX(0,C3331-1)+Paths!$K$309*(1+'Operating costs'!$B$53)^MAX(0,C3331-1)),"n.a."))</f>
        <v>0</v>
      </c>
      <c r="H3331" s="16">
        <f>IF(NOT(Paths!$C$309=1),0,IF(Paths!$P$309="Complete",F3331/12*(Paths!$L$309*(1+IF(Paths!$D$309="EV",'Operating costs'!$B$52,'Operating costs'!$B$51))^MAX(0,C3331-1)+Paths!$M$309*(1+'Operating costs'!$B$53)^MAX(0,C3331-1)),"n.a."))</f>
        <v>0</v>
      </c>
      <c r="I3331" s="16">
        <f>IF(NOT(Paths!$C$309=1),0,IF(Paths!$P$309="Complete",IF(IF(Paths!$E$309=0,C3331=0,AND(C3331&gt;0,Paths!$E$309&gt;(C3331-1)*12,Paths!$E$309&lt;=C3331*12)),Paths!$G$309,0),"n.a."))</f>
        <v>0</v>
      </c>
      <c r="J3331" s="16">
        <f>IF(NOT(Paths!$C$309=1),0,IF(Paths!$P$309="Complete",IF(IF(Paths!$E$309=0,C3331=0,AND(C3331&gt;0,Paths!$E$309&gt;(C3331-1)*12,Paths!$E$309&lt;=C3331*12)),Paths!$H$309,0),"n.a."))</f>
        <v>0</v>
      </c>
      <c r="K3331" s="16">
        <f>IF(NOT(Paths!$C$309=1),0,IF(Paths!$P$309="Complete",IF(IF(Paths!$O$309=0,C3331=0,AND(C3331&gt;0,Paths!$O$309&gt;(C3331-1)*12,Paths!$O$309&lt;=C3331*12)),Paths!$N$309,0),"n.a."))</f>
        <v>0</v>
      </c>
      <c r="L3331" s="16">
        <f>IF(NOT(Paths!$C$309=1),0,IF(Paths!$P$309="Complete",IF(C3331=10,Paths!$I$309,0),"n.a."))</f>
        <v>0</v>
      </c>
      <c r="M3331" s="16">
        <f>IF(NOT(Paths!$C$309=1),0,IF(Paths!$P$309="Complete",IF(AND(Paths!$D$309="EV",Paths!$E$309&lt;120,Paths!$E$309+'Operating costs'!$B$65&gt;Paths!$E$309,Paths!$E$309+'Operating costs'!$B$65&lt;=120,IF(Paths!$E$309+'Operating costs'!$B$65=0,C3331=0,AND(C3331&gt;0,Paths!$E$309+'Operating costs'!$B$65&gt;(C3331-1)*12,Paths!$E$309+'Operating costs'!$B$65&lt;=C3331*12))),'Operating costs'!$B$64,0)+IF(AND('Operating costs'!$B$67&gt;0,'Operating costs'!$B$67&lt;=120,OR(Paths!$D$309="ICE",'Operating costs'!$B$67&lt;=Paths!$E$309),IF('Operating costs'!$B$67=0,C3331=0,AND(C3331&gt;0,'Operating costs'!$B$67&gt;(C3331-1)*12,'Operating costs'!$B$67&lt;=C3331*12))),'Operating costs'!$B$66,0),"n.a."))</f>
        <v>0</v>
      </c>
      <c r="N3331" s="16">
        <f>IF(NOT(Paths!$C$309=1),0,IF(Paths!$P$309="Complete",SUM(G3331:I3331)-J3331-K3331-L3331+M3331+IF(C3331=0,Paths!$F$309,0)+IF(IF(Paths!$E$309=0,C3331=0,AND(C3331&gt;0,Paths!$E$309&gt;(C3331-1)*12,Paths!$E$309&lt;=C3331*12)),VLOOKUP(A3331,'Fleet register'!$A$7:$S$106,16,FALSE),0),"n.a."))</f>
        <v>0</v>
      </c>
      <c r="O3331" s="16">
        <f>IF(NOT(Paths!$C$309=1),0,IF(Paths!$P$309="Complete",N3331-IF(C3331=0,Paths!$F$309,0),"n.a."))</f>
        <v>0</v>
      </c>
      <c r="P3331" s="16">
        <f>IF(NOT(Paths!$C$309=1),0,IF(Paths!$P$309="Complete",O3331+L3331,"n.a."))</f>
        <v>0</v>
      </c>
      <c r="Q3331" s="16">
        <f>IF(NOT(Paths!$C$309=1),0,IF(Paths!$P$309="Complete",N3331*(1+'Operating costs'!$B$54)^-C3331,"n.a."))</f>
        <v>0</v>
      </c>
      <c r="R3331" s="16">
        <f>IF(NOT(Paths!$C$309=1),0,IF(Paths!$P$309="Complete",IF(AND(C3331=0,Paths!$E$309=0),I3331-J3331-K3331+VLOOKUP(A3331,'Fleet register'!$A$7:$S$106,15,FALSE)+VLOOKUP(A3331,'Fleet register'!$A$7:$S$106,16,FALSE),0),"n.a."))</f>
        <v>0</v>
      </c>
      <c r="S3331" s="1">
        <f>IF(NOT(Paths!$C$309=1),0,IF(Paths!$P$309="Complete",IF(C3331=0,0,Paths!$S$309*Paths!$R$309),"n.a."))</f>
        <v>0</v>
      </c>
      <c r="T3331" s="1">
        <f>IF(NOT(Paths!$C$309=1),0,IF(Paths!$P$309="Complete",IF(C3331=0,0,VLOOKUP(A3331,'Fleet register'!$A$7:$S$106,9,FALSE)*Paths!$R$309),"n.a."))</f>
        <v>0</v>
      </c>
    </row>
    <row r="3332" spans="1:20" ht="24" customHeight="1">
      <c r="A3332" s="1" t="str">
        <f>Paths!$A$309</f>
        <v>T076</v>
      </c>
      <c r="B3332" s="1">
        <f>Paths!$B$309</f>
        <v>2</v>
      </c>
      <c r="C3332" s="1">
        <v>3</v>
      </c>
      <c r="D3332" s="1">
        <v>309</v>
      </c>
      <c r="E3332" s="1">
        <f>IF(OR(Paths!$C$309=0,C3332=0),0,MAX(0,MIN(C3332*12,Paths!$E$309)-(C3332-1)*12))</f>
        <v>0</v>
      </c>
      <c r="F3332" s="1">
        <f>IF(OR(Paths!$C$309=0,C3332=0),0,12-E3332)</f>
        <v>0</v>
      </c>
      <c r="G3332" s="16">
        <f>IF(NOT(Paths!$C$309=1),0,IF(Paths!$P$309="Complete",E3332/12*(Paths!$J$309*(1+'Operating costs'!$B$51)^MAX(0,C3332-1)+Paths!$K$309*(1+'Operating costs'!$B$53)^MAX(0,C3332-1)),"n.a."))</f>
        <v>0</v>
      </c>
      <c r="H3332" s="16">
        <f>IF(NOT(Paths!$C$309=1),0,IF(Paths!$P$309="Complete",F3332/12*(Paths!$L$309*(1+IF(Paths!$D$309="EV",'Operating costs'!$B$52,'Operating costs'!$B$51))^MAX(0,C3332-1)+Paths!$M$309*(1+'Operating costs'!$B$53)^MAX(0,C3332-1)),"n.a."))</f>
        <v>0</v>
      </c>
      <c r="I3332" s="16">
        <f>IF(NOT(Paths!$C$309=1),0,IF(Paths!$P$309="Complete",IF(IF(Paths!$E$309=0,C3332=0,AND(C3332&gt;0,Paths!$E$309&gt;(C3332-1)*12,Paths!$E$309&lt;=C3332*12)),Paths!$G$309,0),"n.a."))</f>
        <v>0</v>
      </c>
      <c r="J3332" s="16">
        <f>IF(NOT(Paths!$C$309=1),0,IF(Paths!$P$309="Complete",IF(IF(Paths!$E$309=0,C3332=0,AND(C3332&gt;0,Paths!$E$309&gt;(C3332-1)*12,Paths!$E$309&lt;=C3332*12)),Paths!$H$309,0),"n.a."))</f>
        <v>0</v>
      </c>
      <c r="K3332" s="16">
        <f>IF(NOT(Paths!$C$309=1),0,IF(Paths!$P$309="Complete",IF(IF(Paths!$O$309=0,C3332=0,AND(C3332&gt;0,Paths!$O$309&gt;(C3332-1)*12,Paths!$O$309&lt;=C3332*12)),Paths!$N$309,0),"n.a."))</f>
        <v>0</v>
      </c>
      <c r="L3332" s="16">
        <f>IF(NOT(Paths!$C$309=1),0,IF(Paths!$P$309="Complete",IF(C3332=10,Paths!$I$309,0),"n.a."))</f>
        <v>0</v>
      </c>
      <c r="M3332" s="16">
        <f>IF(NOT(Paths!$C$309=1),0,IF(Paths!$P$309="Complete",IF(AND(Paths!$D$309="EV",Paths!$E$309&lt;120,Paths!$E$309+'Operating costs'!$B$65&gt;Paths!$E$309,Paths!$E$309+'Operating costs'!$B$65&lt;=120,IF(Paths!$E$309+'Operating costs'!$B$65=0,C3332=0,AND(C3332&gt;0,Paths!$E$309+'Operating costs'!$B$65&gt;(C3332-1)*12,Paths!$E$309+'Operating costs'!$B$65&lt;=C3332*12))),'Operating costs'!$B$64,0)+IF(AND('Operating costs'!$B$67&gt;0,'Operating costs'!$B$67&lt;=120,OR(Paths!$D$309="ICE",'Operating costs'!$B$67&lt;=Paths!$E$309),IF('Operating costs'!$B$67=0,C3332=0,AND(C3332&gt;0,'Operating costs'!$B$67&gt;(C3332-1)*12,'Operating costs'!$B$67&lt;=C3332*12))),'Operating costs'!$B$66,0),"n.a."))</f>
        <v>0</v>
      </c>
      <c r="N3332" s="16">
        <f>IF(NOT(Paths!$C$309=1),0,IF(Paths!$P$309="Complete",SUM(G3332:I3332)-J3332-K3332-L3332+M3332+IF(C3332=0,Paths!$F$309,0)+IF(IF(Paths!$E$309=0,C3332=0,AND(C3332&gt;0,Paths!$E$309&gt;(C3332-1)*12,Paths!$E$309&lt;=C3332*12)),VLOOKUP(A3332,'Fleet register'!$A$7:$S$106,16,FALSE),0),"n.a."))</f>
        <v>0</v>
      </c>
      <c r="O3332" s="16">
        <f>IF(NOT(Paths!$C$309=1),0,IF(Paths!$P$309="Complete",N3332-IF(C3332=0,Paths!$F$309,0),"n.a."))</f>
        <v>0</v>
      </c>
      <c r="P3332" s="16">
        <f>IF(NOT(Paths!$C$309=1),0,IF(Paths!$P$309="Complete",O3332+L3332,"n.a."))</f>
        <v>0</v>
      </c>
      <c r="Q3332" s="16">
        <f>IF(NOT(Paths!$C$309=1),0,IF(Paths!$P$309="Complete",N3332*(1+'Operating costs'!$B$54)^-C3332,"n.a."))</f>
        <v>0</v>
      </c>
      <c r="R3332" s="16">
        <f>IF(NOT(Paths!$C$309=1),0,IF(Paths!$P$309="Complete",IF(AND(C3332=0,Paths!$E$309=0),I3332-J3332-K3332+VLOOKUP(A3332,'Fleet register'!$A$7:$S$106,15,FALSE)+VLOOKUP(A3332,'Fleet register'!$A$7:$S$106,16,FALSE),0),"n.a."))</f>
        <v>0</v>
      </c>
      <c r="S3332" s="1">
        <f>IF(NOT(Paths!$C$309=1),0,IF(Paths!$P$309="Complete",IF(C3332=0,0,Paths!$S$309*Paths!$R$309),"n.a."))</f>
        <v>0</v>
      </c>
      <c r="T3332" s="1">
        <f>IF(NOT(Paths!$C$309=1),0,IF(Paths!$P$309="Complete",IF(C3332=0,0,VLOOKUP(A3332,'Fleet register'!$A$7:$S$106,9,FALSE)*Paths!$R$309),"n.a."))</f>
        <v>0</v>
      </c>
    </row>
    <row r="3333" spans="1:20" ht="24" customHeight="1">
      <c r="A3333" s="1" t="str">
        <f>Paths!$A$309</f>
        <v>T076</v>
      </c>
      <c r="B3333" s="1">
        <f>Paths!$B$309</f>
        <v>2</v>
      </c>
      <c r="C3333" s="1">
        <v>4</v>
      </c>
      <c r="D3333" s="1">
        <v>309</v>
      </c>
      <c r="E3333" s="1">
        <f>IF(OR(Paths!$C$309=0,C3333=0),0,MAX(0,MIN(C3333*12,Paths!$E$309)-(C3333-1)*12))</f>
        <v>0</v>
      </c>
      <c r="F3333" s="1">
        <f>IF(OR(Paths!$C$309=0,C3333=0),0,12-E3333)</f>
        <v>0</v>
      </c>
      <c r="G3333" s="16">
        <f>IF(NOT(Paths!$C$309=1),0,IF(Paths!$P$309="Complete",E3333/12*(Paths!$J$309*(1+'Operating costs'!$B$51)^MAX(0,C3333-1)+Paths!$K$309*(1+'Operating costs'!$B$53)^MAX(0,C3333-1)),"n.a."))</f>
        <v>0</v>
      </c>
      <c r="H3333" s="16">
        <f>IF(NOT(Paths!$C$309=1),0,IF(Paths!$P$309="Complete",F3333/12*(Paths!$L$309*(1+IF(Paths!$D$309="EV",'Operating costs'!$B$52,'Operating costs'!$B$51))^MAX(0,C3333-1)+Paths!$M$309*(1+'Operating costs'!$B$53)^MAX(0,C3333-1)),"n.a."))</f>
        <v>0</v>
      </c>
      <c r="I3333" s="16">
        <f>IF(NOT(Paths!$C$309=1),0,IF(Paths!$P$309="Complete",IF(IF(Paths!$E$309=0,C3333=0,AND(C3333&gt;0,Paths!$E$309&gt;(C3333-1)*12,Paths!$E$309&lt;=C3333*12)),Paths!$G$309,0),"n.a."))</f>
        <v>0</v>
      </c>
      <c r="J3333" s="16">
        <f>IF(NOT(Paths!$C$309=1),0,IF(Paths!$P$309="Complete",IF(IF(Paths!$E$309=0,C3333=0,AND(C3333&gt;0,Paths!$E$309&gt;(C3333-1)*12,Paths!$E$309&lt;=C3333*12)),Paths!$H$309,0),"n.a."))</f>
        <v>0</v>
      </c>
      <c r="K3333" s="16">
        <f>IF(NOT(Paths!$C$309=1),0,IF(Paths!$P$309="Complete",IF(IF(Paths!$O$309=0,C3333=0,AND(C3333&gt;0,Paths!$O$309&gt;(C3333-1)*12,Paths!$O$309&lt;=C3333*12)),Paths!$N$309,0),"n.a."))</f>
        <v>0</v>
      </c>
      <c r="L3333" s="16">
        <f>IF(NOT(Paths!$C$309=1),0,IF(Paths!$P$309="Complete",IF(C3333=10,Paths!$I$309,0),"n.a."))</f>
        <v>0</v>
      </c>
      <c r="M3333" s="16">
        <f>IF(NOT(Paths!$C$309=1),0,IF(Paths!$P$309="Complete",IF(AND(Paths!$D$309="EV",Paths!$E$309&lt;120,Paths!$E$309+'Operating costs'!$B$65&gt;Paths!$E$309,Paths!$E$309+'Operating costs'!$B$65&lt;=120,IF(Paths!$E$309+'Operating costs'!$B$65=0,C3333=0,AND(C3333&gt;0,Paths!$E$309+'Operating costs'!$B$65&gt;(C3333-1)*12,Paths!$E$309+'Operating costs'!$B$65&lt;=C3333*12))),'Operating costs'!$B$64,0)+IF(AND('Operating costs'!$B$67&gt;0,'Operating costs'!$B$67&lt;=120,OR(Paths!$D$309="ICE",'Operating costs'!$B$67&lt;=Paths!$E$309),IF('Operating costs'!$B$67=0,C3333=0,AND(C3333&gt;0,'Operating costs'!$B$67&gt;(C3333-1)*12,'Operating costs'!$B$67&lt;=C3333*12))),'Operating costs'!$B$66,0),"n.a."))</f>
        <v>0</v>
      </c>
      <c r="N3333" s="16">
        <f>IF(NOT(Paths!$C$309=1),0,IF(Paths!$P$309="Complete",SUM(G3333:I3333)-J3333-K3333-L3333+M3333+IF(C3333=0,Paths!$F$309,0)+IF(IF(Paths!$E$309=0,C3333=0,AND(C3333&gt;0,Paths!$E$309&gt;(C3333-1)*12,Paths!$E$309&lt;=C3333*12)),VLOOKUP(A3333,'Fleet register'!$A$7:$S$106,16,FALSE),0),"n.a."))</f>
        <v>0</v>
      </c>
      <c r="O3333" s="16">
        <f>IF(NOT(Paths!$C$309=1),0,IF(Paths!$P$309="Complete",N3333-IF(C3333=0,Paths!$F$309,0),"n.a."))</f>
        <v>0</v>
      </c>
      <c r="P3333" s="16">
        <f>IF(NOT(Paths!$C$309=1),0,IF(Paths!$P$309="Complete",O3333+L3333,"n.a."))</f>
        <v>0</v>
      </c>
      <c r="Q3333" s="16">
        <f>IF(NOT(Paths!$C$309=1),0,IF(Paths!$P$309="Complete",N3333*(1+'Operating costs'!$B$54)^-C3333,"n.a."))</f>
        <v>0</v>
      </c>
      <c r="R3333" s="16">
        <f>IF(NOT(Paths!$C$309=1),0,IF(Paths!$P$309="Complete",IF(AND(C3333=0,Paths!$E$309=0),I3333-J3333-K3333+VLOOKUP(A3333,'Fleet register'!$A$7:$S$106,15,FALSE)+VLOOKUP(A3333,'Fleet register'!$A$7:$S$106,16,FALSE),0),"n.a."))</f>
        <v>0</v>
      </c>
      <c r="S3333" s="1">
        <f>IF(NOT(Paths!$C$309=1),0,IF(Paths!$P$309="Complete",IF(C3333=0,0,Paths!$S$309*Paths!$R$309),"n.a."))</f>
        <v>0</v>
      </c>
      <c r="T3333" s="1">
        <f>IF(NOT(Paths!$C$309=1),0,IF(Paths!$P$309="Complete",IF(C3333=0,0,VLOOKUP(A3333,'Fleet register'!$A$7:$S$106,9,FALSE)*Paths!$R$309),"n.a."))</f>
        <v>0</v>
      </c>
    </row>
    <row r="3334" spans="1:20" ht="24" customHeight="1">
      <c r="A3334" s="1" t="str">
        <f>Paths!$A$309</f>
        <v>T076</v>
      </c>
      <c r="B3334" s="1">
        <f>Paths!$B$309</f>
        <v>2</v>
      </c>
      <c r="C3334" s="1">
        <v>5</v>
      </c>
      <c r="D3334" s="1">
        <v>309</v>
      </c>
      <c r="E3334" s="1">
        <f>IF(OR(Paths!$C$309=0,C3334=0),0,MAX(0,MIN(C3334*12,Paths!$E$309)-(C3334-1)*12))</f>
        <v>0</v>
      </c>
      <c r="F3334" s="1">
        <f>IF(OR(Paths!$C$309=0,C3334=0),0,12-E3334)</f>
        <v>0</v>
      </c>
      <c r="G3334" s="16">
        <f>IF(NOT(Paths!$C$309=1),0,IF(Paths!$P$309="Complete",E3334/12*(Paths!$J$309*(1+'Operating costs'!$B$51)^MAX(0,C3334-1)+Paths!$K$309*(1+'Operating costs'!$B$53)^MAX(0,C3334-1)),"n.a."))</f>
        <v>0</v>
      </c>
      <c r="H3334" s="16">
        <f>IF(NOT(Paths!$C$309=1),0,IF(Paths!$P$309="Complete",F3334/12*(Paths!$L$309*(1+IF(Paths!$D$309="EV",'Operating costs'!$B$52,'Operating costs'!$B$51))^MAX(0,C3334-1)+Paths!$M$309*(1+'Operating costs'!$B$53)^MAX(0,C3334-1)),"n.a."))</f>
        <v>0</v>
      </c>
      <c r="I3334" s="16">
        <f>IF(NOT(Paths!$C$309=1),0,IF(Paths!$P$309="Complete",IF(IF(Paths!$E$309=0,C3334=0,AND(C3334&gt;0,Paths!$E$309&gt;(C3334-1)*12,Paths!$E$309&lt;=C3334*12)),Paths!$G$309,0),"n.a."))</f>
        <v>0</v>
      </c>
      <c r="J3334" s="16">
        <f>IF(NOT(Paths!$C$309=1),0,IF(Paths!$P$309="Complete",IF(IF(Paths!$E$309=0,C3334=0,AND(C3334&gt;0,Paths!$E$309&gt;(C3334-1)*12,Paths!$E$309&lt;=C3334*12)),Paths!$H$309,0),"n.a."))</f>
        <v>0</v>
      </c>
      <c r="K3334" s="16">
        <f>IF(NOT(Paths!$C$309=1),0,IF(Paths!$P$309="Complete",IF(IF(Paths!$O$309=0,C3334=0,AND(C3334&gt;0,Paths!$O$309&gt;(C3334-1)*12,Paths!$O$309&lt;=C3334*12)),Paths!$N$309,0),"n.a."))</f>
        <v>0</v>
      </c>
      <c r="L3334" s="16">
        <f>IF(NOT(Paths!$C$309=1),0,IF(Paths!$P$309="Complete",IF(C3334=10,Paths!$I$309,0),"n.a."))</f>
        <v>0</v>
      </c>
      <c r="M3334" s="16">
        <f>IF(NOT(Paths!$C$309=1),0,IF(Paths!$P$309="Complete",IF(AND(Paths!$D$309="EV",Paths!$E$309&lt;120,Paths!$E$309+'Operating costs'!$B$65&gt;Paths!$E$309,Paths!$E$309+'Operating costs'!$B$65&lt;=120,IF(Paths!$E$309+'Operating costs'!$B$65=0,C3334=0,AND(C3334&gt;0,Paths!$E$309+'Operating costs'!$B$65&gt;(C3334-1)*12,Paths!$E$309+'Operating costs'!$B$65&lt;=C3334*12))),'Operating costs'!$B$64,0)+IF(AND('Operating costs'!$B$67&gt;0,'Operating costs'!$B$67&lt;=120,OR(Paths!$D$309="ICE",'Operating costs'!$B$67&lt;=Paths!$E$309),IF('Operating costs'!$B$67=0,C3334=0,AND(C3334&gt;0,'Operating costs'!$B$67&gt;(C3334-1)*12,'Operating costs'!$B$67&lt;=C3334*12))),'Operating costs'!$B$66,0),"n.a."))</f>
        <v>0</v>
      </c>
      <c r="N3334" s="16">
        <f>IF(NOT(Paths!$C$309=1),0,IF(Paths!$P$309="Complete",SUM(G3334:I3334)-J3334-K3334-L3334+M3334+IF(C3334=0,Paths!$F$309,0)+IF(IF(Paths!$E$309=0,C3334=0,AND(C3334&gt;0,Paths!$E$309&gt;(C3334-1)*12,Paths!$E$309&lt;=C3334*12)),VLOOKUP(A3334,'Fleet register'!$A$7:$S$106,16,FALSE),0),"n.a."))</f>
        <v>0</v>
      </c>
      <c r="O3334" s="16">
        <f>IF(NOT(Paths!$C$309=1),0,IF(Paths!$P$309="Complete",N3334-IF(C3334=0,Paths!$F$309,0),"n.a."))</f>
        <v>0</v>
      </c>
      <c r="P3334" s="16">
        <f>IF(NOT(Paths!$C$309=1),0,IF(Paths!$P$309="Complete",O3334+L3334,"n.a."))</f>
        <v>0</v>
      </c>
      <c r="Q3334" s="16">
        <f>IF(NOT(Paths!$C$309=1),0,IF(Paths!$P$309="Complete",N3334*(1+'Operating costs'!$B$54)^-C3334,"n.a."))</f>
        <v>0</v>
      </c>
      <c r="R3334" s="16">
        <f>IF(NOT(Paths!$C$309=1),0,IF(Paths!$P$309="Complete",IF(AND(C3334=0,Paths!$E$309=0),I3334-J3334-K3334+VLOOKUP(A3334,'Fleet register'!$A$7:$S$106,15,FALSE)+VLOOKUP(A3334,'Fleet register'!$A$7:$S$106,16,FALSE),0),"n.a."))</f>
        <v>0</v>
      </c>
      <c r="S3334" s="1">
        <f>IF(NOT(Paths!$C$309=1),0,IF(Paths!$P$309="Complete",IF(C3334=0,0,Paths!$S$309*Paths!$R$309),"n.a."))</f>
        <v>0</v>
      </c>
      <c r="T3334" s="1">
        <f>IF(NOT(Paths!$C$309=1),0,IF(Paths!$P$309="Complete",IF(C3334=0,0,VLOOKUP(A3334,'Fleet register'!$A$7:$S$106,9,FALSE)*Paths!$R$309),"n.a."))</f>
        <v>0</v>
      </c>
    </row>
    <row r="3335" spans="1:20" ht="24" customHeight="1">
      <c r="A3335" s="1" t="str">
        <f>Paths!$A$309</f>
        <v>T076</v>
      </c>
      <c r="B3335" s="1">
        <f>Paths!$B$309</f>
        <v>2</v>
      </c>
      <c r="C3335" s="1">
        <v>6</v>
      </c>
      <c r="D3335" s="1">
        <v>309</v>
      </c>
      <c r="E3335" s="1">
        <f>IF(OR(Paths!$C$309=0,C3335=0),0,MAX(0,MIN(C3335*12,Paths!$E$309)-(C3335-1)*12))</f>
        <v>0</v>
      </c>
      <c r="F3335" s="1">
        <f>IF(OR(Paths!$C$309=0,C3335=0),0,12-E3335)</f>
        <v>0</v>
      </c>
      <c r="G3335" s="16">
        <f>IF(NOT(Paths!$C$309=1),0,IF(Paths!$P$309="Complete",E3335/12*(Paths!$J$309*(1+'Operating costs'!$B$51)^MAX(0,C3335-1)+Paths!$K$309*(1+'Operating costs'!$B$53)^MAX(0,C3335-1)),"n.a."))</f>
        <v>0</v>
      </c>
      <c r="H3335" s="16">
        <f>IF(NOT(Paths!$C$309=1),0,IF(Paths!$P$309="Complete",F3335/12*(Paths!$L$309*(1+IF(Paths!$D$309="EV",'Operating costs'!$B$52,'Operating costs'!$B$51))^MAX(0,C3335-1)+Paths!$M$309*(1+'Operating costs'!$B$53)^MAX(0,C3335-1)),"n.a."))</f>
        <v>0</v>
      </c>
      <c r="I3335" s="16">
        <f>IF(NOT(Paths!$C$309=1),0,IF(Paths!$P$309="Complete",IF(IF(Paths!$E$309=0,C3335=0,AND(C3335&gt;0,Paths!$E$309&gt;(C3335-1)*12,Paths!$E$309&lt;=C3335*12)),Paths!$G$309,0),"n.a."))</f>
        <v>0</v>
      </c>
      <c r="J3335" s="16">
        <f>IF(NOT(Paths!$C$309=1),0,IF(Paths!$P$309="Complete",IF(IF(Paths!$E$309=0,C3335=0,AND(C3335&gt;0,Paths!$E$309&gt;(C3335-1)*12,Paths!$E$309&lt;=C3335*12)),Paths!$H$309,0),"n.a."))</f>
        <v>0</v>
      </c>
      <c r="K3335" s="16">
        <f>IF(NOT(Paths!$C$309=1),0,IF(Paths!$P$309="Complete",IF(IF(Paths!$O$309=0,C3335=0,AND(C3335&gt;0,Paths!$O$309&gt;(C3335-1)*12,Paths!$O$309&lt;=C3335*12)),Paths!$N$309,0),"n.a."))</f>
        <v>0</v>
      </c>
      <c r="L3335" s="16">
        <f>IF(NOT(Paths!$C$309=1),0,IF(Paths!$P$309="Complete",IF(C3335=10,Paths!$I$309,0),"n.a."))</f>
        <v>0</v>
      </c>
      <c r="M3335" s="16">
        <f>IF(NOT(Paths!$C$309=1),0,IF(Paths!$P$309="Complete",IF(AND(Paths!$D$309="EV",Paths!$E$309&lt;120,Paths!$E$309+'Operating costs'!$B$65&gt;Paths!$E$309,Paths!$E$309+'Operating costs'!$B$65&lt;=120,IF(Paths!$E$309+'Operating costs'!$B$65=0,C3335=0,AND(C3335&gt;0,Paths!$E$309+'Operating costs'!$B$65&gt;(C3335-1)*12,Paths!$E$309+'Operating costs'!$B$65&lt;=C3335*12))),'Operating costs'!$B$64,0)+IF(AND('Operating costs'!$B$67&gt;0,'Operating costs'!$B$67&lt;=120,OR(Paths!$D$309="ICE",'Operating costs'!$B$67&lt;=Paths!$E$309),IF('Operating costs'!$B$67=0,C3335=0,AND(C3335&gt;0,'Operating costs'!$B$67&gt;(C3335-1)*12,'Operating costs'!$B$67&lt;=C3335*12))),'Operating costs'!$B$66,0),"n.a."))</f>
        <v>0</v>
      </c>
      <c r="N3335" s="16">
        <f>IF(NOT(Paths!$C$309=1),0,IF(Paths!$P$309="Complete",SUM(G3335:I3335)-J3335-K3335-L3335+M3335+IF(C3335=0,Paths!$F$309,0)+IF(IF(Paths!$E$309=0,C3335=0,AND(C3335&gt;0,Paths!$E$309&gt;(C3335-1)*12,Paths!$E$309&lt;=C3335*12)),VLOOKUP(A3335,'Fleet register'!$A$7:$S$106,16,FALSE),0),"n.a."))</f>
        <v>0</v>
      </c>
      <c r="O3335" s="16">
        <f>IF(NOT(Paths!$C$309=1),0,IF(Paths!$P$309="Complete",N3335-IF(C3335=0,Paths!$F$309,0),"n.a."))</f>
        <v>0</v>
      </c>
      <c r="P3335" s="16">
        <f>IF(NOT(Paths!$C$309=1),0,IF(Paths!$P$309="Complete",O3335+L3335,"n.a."))</f>
        <v>0</v>
      </c>
      <c r="Q3335" s="16">
        <f>IF(NOT(Paths!$C$309=1),0,IF(Paths!$P$309="Complete",N3335*(1+'Operating costs'!$B$54)^-C3335,"n.a."))</f>
        <v>0</v>
      </c>
      <c r="R3335" s="16">
        <f>IF(NOT(Paths!$C$309=1),0,IF(Paths!$P$309="Complete",IF(AND(C3335=0,Paths!$E$309=0),I3335-J3335-K3335+VLOOKUP(A3335,'Fleet register'!$A$7:$S$106,15,FALSE)+VLOOKUP(A3335,'Fleet register'!$A$7:$S$106,16,FALSE),0),"n.a."))</f>
        <v>0</v>
      </c>
      <c r="S3335" s="1">
        <f>IF(NOT(Paths!$C$309=1),0,IF(Paths!$P$309="Complete",IF(C3335=0,0,Paths!$S$309*Paths!$R$309),"n.a."))</f>
        <v>0</v>
      </c>
      <c r="T3335" s="1">
        <f>IF(NOT(Paths!$C$309=1),0,IF(Paths!$P$309="Complete",IF(C3335=0,0,VLOOKUP(A3335,'Fleet register'!$A$7:$S$106,9,FALSE)*Paths!$R$309),"n.a."))</f>
        <v>0</v>
      </c>
    </row>
    <row r="3336" spans="1:20" ht="24" customHeight="1">
      <c r="A3336" s="1" t="str">
        <f>Paths!$A$309</f>
        <v>T076</v>
      </c>
      <c r="B3336" s="1">
        <f>Paths!$B$309</f>
        <v>2</v>
      </c>
      <c r="C3336" s="1">
        <v>7</v>
      </c>
      <c r="D3336" s="1">
        <v>309</v>
      </c>
      <c r="E3336" s="1">
        <f>IF(OR(Paths!$C$309=0,C3336=0),0,MAX(0,MIN(C3336*12,Paths!$E$309)-(C3336-1)*12))</f>
        <v>0</v>
      </c>
      <c r="F3336" s="1">
        <f>IF(OR(Paths!$C$309=0,C3336=0),0,12-E3336)</f>
        <v>0</v>
      </c>
      <c r="G3336" s="16">
        <f>IF(NOT(Paths!$C$309=1),0,IF(Paths!$P$309="Complete",E3336/12*(Paths!$J$309*(1+'Operating costs'!$B$51)^MAX(0,C3336-1)+Paths!$K$309*(1+'Operating costs'!$B$53)^MAX(0,C3336-1)),"n.a."))</f>
        <v>0</v>
      </c>
      <c r="H3336" s="16">
        <f>IF(NOT(Paths!$C$309=1),0,IF(Paths!$P$309="Complete",F3336/12*(Paths!$L$309*(1+IF(Paths!$D$309="EV",'Operating costs'!$B$52,'Operating costs'!$B$51))^MAX(0,C3336-1)+Paths!$M$309*(1+'Operating costs'!$B$53)^MAX(0,C3336-1)),"n.a."))</f>
        <v>0</v>
      </c>
      <c r="I3336" s="16">
        <f>IF(NOT(Paths!$C$309=1),0,IF(Paths!$P$309="Complete",IF(IF(Paths!$E$309=0,C3336=0,AND(C3336&gt;0,Paths!$E$309&gt;(C3336-1)*12,Paths!$E$309&lt;=C3336*12)),Paths!$G$309,0),"n.a."))</f>
        <v>0</v>
      </c>
      <c r="J3336" s="16">
        <f>IF(NOT(Paths!$C$309=1),0,IF(Paths!$P$309="Complete",IF(IF(Paths!$E$309=0,C3336=0,AND(C3336&gt;0,Paths!$E$309&gt;(C3336-1)*12,Paths!$E$309&lt;=C3336*12)),Paths!$H$309,0),"n.a."))</f>
        <v>0</v>
      </c>
      <c r="K3336" s="16">
        <f>IF(NOT(Paths!$C$309=1),0,IF(Paths!$P$309="Complete",IF(IF(Paths!$O$309=0,C3336=0,AND(C3336&gt;0,Paths!$O$309&gt;(C3336-1)*12,Paths!$O$309&lt;=C3336*12)),Paths!$N$309,0),"n.a."))</f>
        <v>0</v>
      </c>
      <c r="L3336" s="16">
        <f>IF(NOT(Paths!$C$309=1),0,IF(Paths!$P$309="Complete",IF(C3336=10,Paths!$I$309,0),"n.a."))</f>
        <v>0</v>
      </c>
      <c r="M3336" s="16">
        <f>IF(NOT(Paths!$C$309=1),0,IF(Paths!$P$309="Complete",IF(AND(Paths!$D$309="EV",Paths!$E$309&lt;120,Paths!$E$309+'Operating costs'!$B$65&gt;Paths!$E$309,Paths!$E$309+'Operating costs'!$B$65&lt;=120,IF(Paths!$E$309+'Operating costs'!$B$65=0,C3336=0,AND(C3336&gt;0,Paths!$E$309+'Operating costs'!$B$65&gt;(C3336-1)*12,Paths!$E$309+'Operating costs'!$B$65&lt;=C3336*12))),'Operating costs'!$B$64,0)+IF(AND('Operating costs'!$B$67&gt;0,'Operating costs'!$B$67&lt;=120,OR(Paths!$D$309="ICE",'Operating costs'!$B$67&lt;=Paths!$E$309),IF('Operating costs'!$B$67=0,C3336=0,AND(C3336&gt;0,'Operating costs'!$B$67&gt;(C3336-1)*12,'Operating costs'!$B$67&lt;=C3336*12))),'Operating costs'!$B$66,0),"n.a."))</f>
        <v>0</v>
      </c>
      <c r="N3336" s="16">
        <f>IF(NOT(Paths!$C$309=1),0,IF(Paths!$P$309="Complete",SUM(G3336:I3336)-J3336-K3336-L3336+M3336+IF(C3336=0,Paths!$F$309,0)+IF(IF(Paths!$E$309=0,C3336=0,AND(C3336&gt;0,Paths!$E$309&gt;(C3336-1)*12,Paths!$E$309&lt;=C3336*12)),VLOOKUP(A3336,'Fleet register'!$A$7:$S$106,16,FALSE),0),"n.a."))</f>
        <v>0</v>
      </c>
      <c r="O3336" s="16">
        <f>IF(NOT(Paths!$C$309=1),0,IF(Paths!$P$309="Complete",N3336-IF(C3336=0,Paths!$F$309,0),"n.a."))</f>
        <v>0</v>
      </c>
      <c r="P3336" s="16">
        <f>IF(NOT(Paths!$C$309=1),0,IF(Paths!$P$309="Complete",O3336+L3336,"n.a."))</f>
        <v>0</v>
      </c>
      <c r="Q3336" s="16">
        <f>IF(NOT(Paths!$C$309=1),0,IF(Paths!$P$309="Complete",N3336*(1+'Operating costs'!$B$54)^-C3336,"n.a."))</f>
        <v>0</v>
      </c>
      <c r="R3336" s="16">
        <f>IF(NOT(Paths!$C$309=1),0,IF(Paths!$P$309="Complete",IF(AND(C3336=0,Paths!$E$309=0),I3336-J3336-K3336+VLOOKUP(A3336,'Fleet register'!$A$7:$S$106,15,FALSE)+VLOOKUP(A3336,'Fleet register'!$A$7:$S$106,16,FALSE),0),"n.a."))</f>
        <v>0</v>
      </c>
      <c r="S3336" s="1">
        <f>IF(NOT(Paths!$C$309=1),0,IF(Paths!$P$309="Complete",IF(C3336=0,0,Paths!$S$309*Paths!$R$309),"n.a."))</f>
        <v>0</v>
      </c>
      <c r="T3336" s="1">
        <f>IF(NOT(Paths!$C$309=1),0,IF(Paths!$P$309="Complete",IF(C3336=0,0,VLOOKUP(A3336,'Fleet register'!$A$7:$S$106,9,FALSE)*Paths!$R$309),"n.a."))</f>
        <v>0</v>
      </c>
    </row>
    <row r="3337" spans="1:20" ht="24" customHeight="1">
      <c r="A3337" s="1" t="str">
        <f>Paths!$A$309</f>
        <v>T076</v>
      </c>
      <c r="B3337" s="1">
        <f>Paths!$B$309</f>
        <v>2</v>
      </c>
      <c r="C3337" s="1">
        <v>8</v>
      </c>
      <c r="D3337" s="1">
        <v>309</v>
      </c>
      <c r="E3337" s="1">
        <f>IF(OR(Paths!$C$309=0,C3337=0),0,MAX(0,MIN(C3337*12,Paths!$E$309)-(C3337-1)*12))</f>
        <v>0</v>
      </c>
      <c r="F3337" s="1">
        <f>IF(OR(Paths!$C$309=0,C3337=0),0,12-E3337)</f>
        <v>0</v>
      </c>
      <c r="G3337" s="16">
        <f>IF(NOT(Paths!$C$309=1),0,IF(Paths!$P$309="Complete",E3337/12*(Paths!$J$309*(1+'Operating costs'!$B$51)^MAX(0,C3337-1)+Paths!$K$309*(1+'Operating costs'!$B$53)^MAX(0,C3337-1)),"n.a."))</f>
        <v>0</v>
      </c>
      <c r="H3337" s="16">
        <f>IF(NOT(Paths!$C$309=1),0,IF(Paths!$P$309="Complete",F3337/12*(Paths!$L$309*(1+IF(Paths!$D$309="EV",'Operating costs'!$B$52,'Operating costs'!$B$51))^MAX(0,C3337-1)+Paths!$M$309*(1+'Operating costs'!$B$53)^MAX(0,C3337-1)),"n.a."))</f>
        <v>0</v>
      </c>
      <c r="I3337" s="16">
        <f>IF(NOT(Paths!$C$309=1),0,IF(Paths!$P$309="Complete",IF(IF(Paths!$E$309=0,C3337=0,AND(C3337&gt;0,Paths!$E$309&gt;(C3337-1)*12,Paths!$E$309&lt;=C3337*12)),Paths!$G$309,0),"n.a."))</f>
        <v>0</v>
      </c>
      <c r="J3337" s="16">
        <f>IF(NOT(Paths!$C$309=1),0,IF(Paths!$P$309="Complete",IF(IF(Paths!$E$309=0,C3337=0,AND(C3337&gt;0,Paths!$E$309&gt;(C3337-1)*12,Paths!$E$309&lt;=C3337*12)),Paths!$H$309,0),"n.a."))</f>
        <v>0</v>
      </c>
      <c r="K3337" s="16">
        <f>IF(NOT(Paths!$C$309=1),0,IF(Paths!$P$309="Complete",IF(IF(Paths!$O$309=0,C3337=0,AND(C3337&gt;0,Paths!$O$309&gt;(C3337-1)*12,Paths!$O$309&lt;=C3337*12)),Paths!$N$309,0),"n.a."))</f>
        <v>0</v>
      </c>
      <c r="L3337" s="16">
        <f>IF(NOT(Paths!$C$309=1),0,IF(Paths!$P$309="Complete",IF(C3337=10,Paths!$I$309,0),"n.a."))</f>
        <v>0</v>
      </c>
      <c r="M3337" s="16">
        <f>IF(NOT(Paths!$C$309=1),0,IF(Paths!$P$309="Complete",IF(AND(Paths!$D$309="EV",Paths!$E$309&lt;120,Paths!$E$309+'Operating costs'!$B$65&gt;Paths!$E$309,Paths!$E$309+'Operating costs'!$B$65&lt;=120,IF(Paths!$E$309+'Operating costs'!$B$65=0,C3337=0,AND(C3337&gt;0,Paths!$E$309+'Operating costs'!$B$65&gt;(C3337-1)*12,Paths!$E$309+'Operating costs'!$B$65&lt;=C3337*12))),'Operating costs'!$B$64,0)+IF(AND('Operating costs'!$B$67&gt;0,'Operating costs'!$B$67&lt;=120,OR(Paths!$D$309="ICE",'Operating costs'!$B$67&lt;=Paths!$E$309),IF('Operating costs'!$B$67=0,C3337=0,AND(C3337&gt;0,'Operating costs'!$B$67&gt;(C3337-1)*12,'Operating costs'!$B$67&lt;=C3337*12))),'Operating costs'!$B$66,0),"n.a."))</f>
        <v>0</v>
      </c>
      <c r="N3337" s="16">
        <f>IF(NOT(Paths!$C$309=1),0,IF(Paths!$P$309="Complete",SUM(G3337:I3337)-J3337-K3337-L3337+M3337+IF(C3337=0,Paths!$F$309,0)+IF(IF(Paths!$E$309=0,C3337=0,AND(C3337&gt;0,Paths!$E$309&gt;(C3337-1)*12,Paths!$E$309&lt;=C3337*12)),VLOOKUP(A3337,'Fleet register'!$A$7:$S$106,16,FALSE),0),"n.a."))</f>
        <v>0</v>
      </c>
      <c r="O3337" s="16">
        <f>IF(NOT(Paths!$C$309=1),0,IF(Paths!$P$309="Complete",N3337-IF(C3337=0,Paths!$F$309,0),"n.a."))</f>
        <v>0</v>
      </c>
      <c r="P3337" s="16">
        <f>IF(NOT(Paths!$C$309=1),0,IF(Paths!$P$309="Complete",O3337+L3337,"n.a."))</f>
        <v>0</v>
      </c>
      <c r="Q3337" s="16">
        <f>IF(NOT(Paths!$C$309=1),0,IF(Paths!$P$309="Complete",N3337*(1+'Operating costs'!$B$54)^-C3337,"n.a."))</f>
        <v>0</v>
      </c>
      <c r="R3337" s="16">
        <f>IF(NOT(Paths!$C$309=1),0,IF(Paths!$P$309="Complete",IF(AND(C3337=0,Paths!$E$309=0),I3337-J3337-K3337+VLOOKUP(A3337,'Fleet register'!$A$7:$S$106,15,FALSE)+VLOOKUP(A3337,'Fleet register'!$A$7:$S$106,16,FALSE),0),"n.a."))</f>
        <v>0</v>
      </c>
      <c r="S3337" s="1">
        <f>IF(NOT(Paths!$C$309=1),0,IF(Paths!$P$309="Complete",IF(C3337=0,0,Paths!$S$309*Paths!$R$309),"n.a."))</f>
        <v>0</v>
      </c>
      <c r="T3337" s="1">
        <f>IF(NOT(Paths!$C$309=1),0,IF(Paths!$P$309="Complete",IF(C3337=0,0,VLOOKUP(A3337,'Fleet register'!$A$7:$S$106,9,FALSE)*Paths!$R$309),"n.a."))</f>
        <v>0</v>
      </c>
    </row>
    <row r="3338" spans="1:20" ht="24" customHeight="1">
      <c r="A3338" s="1" t="str">
        <f>Paths!$A$309</f>
        <v>T076</v>
      </c>
      <c r="B3338" s="1">
        <f>Paths!$B$309</f>
        <v>2</v>
      </c>
      <c r="C3338" s="1">
        <v>9</v>
      </c>
      <c r="D3338" s="1">
        <v>309</v>
      </c>
      <c r="E3338" s="1">
        <f>IF(OR(Paths!$C$309=0,C3338=0),0,MAX(0,MIN(C3338*12,Paths!$E$309)-(C3338-1)*12))</f>
        <v>0</v>
      </c>
      <c r="F3338" s="1">
        <f>IF(OR(Paths!$C$309=0,C3338=0),0,12-E3338)</f>
        <v>0</v>
      </c>
      <c r="G3338" s="16">
        <f>IF(NOT(Paths!$C$309=1),0,IF(Paths!$P$309="Complete",E3338/12*(Paths!$J$309*(1+'Operating costs'!$B$51)^MAX(0,C3338-1)+Paths!$K$309*(1+'Operating costs'!$B$53)^MAX(0,C3338-1)),"n.a."))</f>
        <v>0</v>
      </c>
      <c r="H3338" s="16">
        <f>IF(NOT(Paths!$C$309=1),0,IF(Paths!$P$309="Complete",F3338/12*(Paths!$L$309*(1+IF(Paths!$D$309="EV",'Operating costs'!$B$52,'Operating costs'!$B$51))^MAX(0,C3338-1)+Paths!$M$309*(1+'Operating costs'!$B$53)^MAX(0,C3338-1)),"n.a."))</f>
        <v>0</v>
      </c>
      <c r="I3338" s="16">
        <f>IF(NOT(Paths!$C$309=1),0,IF(Paths!$P$309="Complete",IF(IF(Paths!$E$309=0,C3338=0,AND(C3338&gt;0,Paths!$E$309&gt;(C3338-1)*12,Paths!$E$309&lt;=C3338*12)),Paths!$G$309,0),"n.a."))</f>
        <v>0</v>
      </c>
      <c r="J3338" s="16">
        <f>IF(NOT(Paths!$C$309=1),0,IF(Paths!$P$309="Complete",IF(IF(Paths!$E$309=0,C3338=0,AND(C3338&gt;0,Paths!$E$309&gt;(C3338-1)*12,Paths!$E$309&lt;=C3338*12)),Paths!$H$309,0),"n.a."))</f>
        <v>0</v>
      </c>
      <c r="K3338" s="16">
        <f>IF(NOT(Paths!$C$309=1),0,IF(Paths!$P$309="Complete",IF(IF(Paths!$O$309=0,C3338=0,AND(C3338&gt;0,Paths!$O$309&gt;(C3338-1)*12,Paths!$O$309&lt;=C3338*12)),Paths!$N$309,0),"n.a."))</f>
        <v>0</v>
      </c>
      <c r="L3338" s="16">
        <f>IF(NOT(Paths!$C$309=1),0,IF(Paths!$P$309="Complete",IF(C3338=10,Paths!$I$309,0),"n.a."))</f>
        <v>0</v>
      </c>
      <c r="M3338" s="16">
        <f>IF(NOT(Paths!$C$309=1),0,IF(Paths!$P$309="Complete",IF(AND(Paths!$D$309="EV",Paths!$E$309&lt;120,Paths!$E$309+'Operating costs'!$B$65&gt;Paths!$E$309,Paths!$E$309+'Operating costs'!$B$65&lt;=120,IF(Paths!$E$309+'Operating costs'!$B$65=0,C3338=0,AND(C3338&gt;0,Paths!$E$309+'Operating costs'!$B$65&gt;(C3338-1)*12,Paths!$E$309+'Operating costs'!$B$65&lt;=C3338*12))),'Operating costs'!$B$64,0)+IF(AND('Operating costs'!$B$67&gt;0,'Operating costs'!$B$67&lt;=120,OR(Paths!$D$309="ICE",'Operating costs'!$B$67&lt;=Paths!$E$309),IF('Operating costs'!$B$67=0,C3338=0,AND(C3338&gt;0,'Operating costs'!$B$67&gt;(C3338-1)*12,'Operating costs'!$B$67&lt;=C3338*12))),'Operating costs'!$B$66,0),"n.a."))</f>
        <v>0</v>
      </c>
      <c r="N3338" s="16">
        <f>IF(NOT(Paths!$C$309=1),0,IF(Paths!$P$309="Complete",SUM(G3338:I3338)-J3338-K3338-L3338+M3338+IF(C3338=0,Paths!$F$309,0)+IF(IF(Paths!$E$309=0,C3338=0,AND(C3338&gt;0,Paths!$E$309&gt;(C3338-1)*12,Paths!$E$309&lt;=C3338*12)),VLOOKUP(A3338,'Fleet register'!$A$7:$S$106,16,FALSE),0),"n.a."))</f>
        <v>0</v>
      </c>
      <c r="O3338" s="16">
        <f>IF(NOT(Paths!$C$309=1),0,IF(Paths!$P$309="Complete",N3338-IF(C3338=0,Paths!$F$309,0),"n.a."))</f>
        <v>0</v>
      </c>
      <c r="P3338" s="16">
        <f>IF(NOT(Paths!$C$309=1),0,IF(Paths!$P$309="Complete",O3338+L3338,"n.a."))</f>
        <v>0</v>
      </c>
      <c r="Q3338" s="16">
        <f>IF(NOT(Paths!$C$309=1),0,IF(Paths!$P$309="Complete",N3338*(1+'Operating costs'!$B$54)^-C3338,"n.a."))</f>
        <v>0</v>
      </c>
      <c r="R3338" s="16">
        <f>IF(NOT(Paths!$C$309=1),0,IF(Paths!$P$309="Complete",IF(AND(C3338=0,Paths!$E$309=0),I3338-J3338-K3338+VLOOKUP(A3338,'Fleet register'!$A$7:$S$106,15,FALSE)+VLOOKUP(A3338,'Fleet register'!$A$7:$S$106,16,FALSE),0),"n.a."))</f>
        <v>0</v>
      </c>
      <c r="S3338" s="1">
        <f>IF(NOT(Paths!$C$309=1),0,IF(Paths!$P$309="Complete",IF(C3338=0,0,Paths!$S$309*Paths!$R$309),"n.a."))</f>
        <v>0</v>
      </c>
      <c r="T3338" s="1">
        <f>IF(NOT(Paths!$C$309=1),0,IF(Paths!$P$309="Complete",IF(C3338=0,0,VLOOKUP(A3338,'Fleet register'!$A$7:$S$106,9,FALSE)*Paths!$R$309),"n.a."))</f>
        <v>0</v>
      </c>
    </row>
    <row r="3339" spans="1:20" ht="24" customHeight="1">
      <c r="A3339" s="1" t="str">
        <f>Paths!$A$309</f>
        <v>T076</v>
      </c>
      <c r="B3339" s="1">
        <f>Paths!$B$309</f>
        <v>2</v>
      </c>
      <c r="C3339" s="1">
        <v>10</v>
      </c>
      <c r="D3339" s="1">
        <v>309</v>
      </c>
      <c r="E3339" s="1">
        <f>IF(OR(Paths!$C$309=0,C3339=0),0,MAX(0,MIN(C3339*12,Paths!$E$309)-(C3339-1)*12))</f>
        <v>0</v>
      </c>
      <c r="F3339" s="1">
        <f>IF(OR(Paths!$C$309=0,C3339=0),0,12-E3339)</f>
        <v>0</v>
      </c>
      <c r="G3339" s="16">
        <f>IF(NOT(Paths!$C$309=1),0,IF(Paths!$P$309="Complete",E3339/12*(Paths!$J$309*(1+'Operating costs'!$B$51)^MAX(0,C3339-1)+Paths!$K$309*(1+'Operating costs'!$B$53)^MAX(0,C3339-1)),"n.a."))</f>
        <v>0</v>
      </c>
      <c r="H3339" s="16">
        <f>IF(NOT(Paths!$C$309=1),0,IF(Paths!$P$309="Complete",F3339/12*(Paths!$L$309*(1+IF(Paths!$D$309="EV",'Operating costs'!$B$52,'Operating costs'!$B$51))^MAX(0,C3339-1)+Paths!$M$309*(1+'Operating costs'!$B$53)^MAX(0,C3339-1)),"n.a."))</f>
        <v>0</v>
      </c>
      <c r="I3339" s="16">
        <f>IF(NOT(Paths!$C$309=1),0,IF(Paths!$P$309="Complete",IF(IF(Paths!$E$309=0,C3339=0,AND(C3339&gt;0,Paths!$E$309&gt;(C3339-1)*12,Paths!$E$309&lt;=C3339*12)),Paths!$G$309,0),"n.a."))</f>
        <v>0</v>
      </c>
      <c r="J3339" s="16">
        <f>IF(NOT(Paths!$C$309=1),0,IF(Paths!$P$309="Complete",IF(IF(Paths!$E$309=0,C3339=0,AND(C3339&gt;0,Paths!$E$309&gt;(C3339-1)*12,Paths!$E$309&lt;=C3339*12)),Paths!$H$309,0),"n.a."))</f>
        <v>0</v>
      </c>
      <c r="K3339" s="16">
        <f>IF(NOT(Paths!$C$309=1),0,IF(Paths!$P$309="Complete",IF(IF(Paths!$O$309=0,C3339=0,AND(C3339&gt;0,Paths!$O$309&gt;(C3339-1)*12,Paths!$O$309&lt;=C3339*12)),Paths!$N$309,0),"n.a."))</f>
        <v>0</v>
      </c>
      <c r="L3339" s="16">
        <f>IF(NOT(Paths!$C$309=1),0,IF(Paths!$P$309="Complete",IF(C3339=10,Paths!$I$309,0),"n.a."))</f>
        <v>0</v>
      </c>
      <c r="M3339" s="16">
        <f>IF(NOT(Paths!$C$309=1),0,IF(Paths!$P$309="Complete",IF(AND(Paths!$D$309="EV",Paths!$E$309&lt;120,Paths!$E$309+'Operating costs'!$B$65&gt;Paths!$E$309,Paths!$E$309+'Operating costs'!$B$65&lt;=120,IF(Paths!$E$309+'Operating costs'!$B$65=0,C3339=0,AND(C3339&gt;0,Paths!$E$309+'Operating costs'!$B$65&gt;(C3339-1)*12,Paths!$E$309+'Operating costs'!$B$65&lt;=C3339*12))),'Operating costs'!$B$64,0)+IF(AND('Operating costs'!$B$67&gt;0,'Operating costs'!$B$67&lt;=120,OR(Paths!$D$309="ICE",'Operating costs'!$B$67&lt;=Paths!$E$309),IF('Operating costs'!$B$67=0,C3339=0,AND(C3339&gt;0,'Operating costs'!$B$67&gt;(C3339-1)*12,'Operating costs'!$B$67&lt;=C3339*12))),'Operating costs'!$B$66,0),"n.a."))</f>
        <v>0</v>
      </c>
      <c r="N3339" s="16">
        <f>IF(NOT(Paths!$C$309=1),0,IF(Paths!$P$309="Complete",SUM(G3339:I3339)-J3339-K3339-L3339+M3339+IF(C3339=0,Paths!$F$309,0)+IF(IF(Paths!$E$309=0,C3339=0,AND(C3339&gt;0,Paths!$E$309&gt;(C3339-1)*12,Paths!$E$309&lt;=C3339*12)),VLOOKUP(A3339,'Fleet register'!$A$7:$S$106,16,FALSE),0),"n.a."))</f>
        <v>0</v>
      </c>
      <c r="O3339" s="16">
        <f>IF(NOT(Paths!$C$309=1),0,IF(Paths!$P$309="Complete",N3339-IF(C3339=0,Paths!$F$309,0),"n.a."))</f>
        <v>0</v>
      </c>
      <c r="P3339" s="16">
        <f>IF(NOT(Paths!$C$309=1),0,IF(Paths!$P$309="Complete",O3339+L3339,"n.a."))</f>
        <v>0</v>
      </c>
      <c r="Q3339" s="16">
        <f>IF(NOT(Paths!$C$309=1),0,IF(Paths!$P$309="Complete",N3339*(1+'Operating costs'!$B$54)^-C3339,"n.a."))</f>
        <v>0</v>
      </c>
      <c r="R3339" s="16">
        <f>IF(NOT(Paths!$C$309=1),0,IF(Paths!$P$309="Complete",IF(AND(C3339=0,Paths!$E$309=0),I3339-J3339-K3339+VLOOKUP(A3339,'Fleet register'!$A$7:$S$106,15,FALSE)+VLOOKUP(A3339,'Fleet register'!$A$7:$S$106,16,FALSE),0),"n.a."))</f>
        <v>0</v>
      </c>
      <c r="S3339" s="1">
        <f>IF(NOT(Paths!$C$309=1),0,IF(Paths!$P$309="Complete",IF(C3339=0,0,Paths!$S$309*Paths!$R$309),"n.a."))</f>
        <v>0</v>
      </c>
      <c r="T3339" s="1">
        <f>IF(NOT(Paths!$C$309=1),0,IF(Paths!$P$309="Complete",IF(C3339=0,0,VLOOKUP(A3339,'Fleet register'!$A$7:$S$106,9,FALSE)*Paths!$R$309),"n.a."))</f>
        <v>0</v>
      </c>
    </row>
    <row r="3340" spans="1:20" ht="24" customHeight="1">
      <c r="A3340" s="1" t="str">
        <f>Paths!$A$310</f>
        <v>T076</v>
      </c>
      <c r="B3340" s="1">
        <f>Paths!$B$310</f>
        <v>3</v>
      </c>
      <c r="C3340" s="1">
        <v>0</v>
      </c>
      <c r="D3340" s="1">
        <v>310</v>
      </c>
      <c r="E3340" s="1">
        <f>IF(OR(Paths!$C$310=0,C3340=0),0,MAX(0,MIN(C3340*12,Paths!$E$310)-(C3340-1)*12))</f>
        <v>0</v>
      </c>
      <c r="F3340" s="1">
        <f>IF(OR(Paths!$C$310=0,C3340=0),0,12-E3340)</f>
        <v>0</v>
      </c>
      <c r="G3340" s="16">
        <f>IF(NOT(Paths!$C$310=1),0,IF(Paths!$P$310="Complete",E3340/12*(Paths!$J$310*(1+'Operating costs'!$B$51)^MAX(0,C3340-1)+Paths!$K$310*(1+'Operating costs'!$B$53)^MAX(0,C3340-1)),"n.a."))</f>
        <v>0</v>
      </c>
      <c r="H3340" s="16">
        <f>IF(NOT(Paths!$C$310=1),0,IF(Paths!$P$310="Complete",F3340/12*(Paths!$L$310*(1+IF(Paths!$D$310="EV",'Operating costs'!$B$52,'Operating costs'!$B$51))^MAX(0,C3340-1)+Paths!$M$310*(1+'Operating costs'!$B$53)^MAX(0,C3340-1)),"n.a."))</f>
        <v>0</v>
      </c>
      <c r="I3340" s="16">
        <f>IF(NOT(Paths!$C$310=1),0,IF(Paths!$P$310="Complete",IF(IF(Paths!$E$310=0,C3340=0,AND(C3340&gt;0,Paths!$E$310&gt;(C3340-1)*12,Paths!$E$310&lt;=C3340*12)),Paths!$G$310,0),"n.a."))</f>
        <v>0</v>
      </c>
      <c r="J3340" s="16">
        <f>IF(NOT(Paths!$C$310=1),0,IF(Paths!$P$310="Complete",IF(IF(Paths!$E$310=0,C3340=0,AND(C3340&gt;0,Paths!$E$310&gt;(C3340-1)*12,Paths!$E$310&lt;=C3340*12)),Paths!$H$310,0),"n.a."))</f>
        <v>0</v>
      </c>
      <c r="K3340" s="16">
        <f>IF(NOT(Paths!$C$310=1),0,IF(Paths!$P$310="Complete",IF(IF(Paths!$O$310=0,C3340=0,AND(C3340&gt;0,Paths!$O$310&gt;(C3340-1)*12,Paths!$O$310&lt;=C3340*12)),Paths!$N$310,0),"n.a."))</f>
        <v>0</v>
      </c>
      <c r="L3340" s="16">
        <f>IF(NOT(Paths!$C$310=1),0,IF(Paths!$P$310="Complete",IF(C3340=10,Paths!$I$310,0),"n.a."))</f>
        <v>0</v>
      </c>
      <c r="M3340" s="16">
        <f>IF(NOT(Paths!$C$310=1),0,IF(Paths!$P$310="Complete",IF(AND(Paths!$D$310="EV",Paths!$E$310&lt;120,Paths!$E$310+'Operating costs'!$B$65&gt;Paths!$E$310,Paths!$E$310+'Operating costs'!$B$65&lt;=120,IF(Paths!$E$310+'Operating costs'!$B$65=0,C3340=0,AND(C3340&gt;0,Paths!$E$310+'Operating costs'!$B$65&gt;(C3340-1)*12,Paths!$E$310+'Operating costs'!$B$65&lt;=C3340*12))),'Operating costs'!$B$64,0)+IF(AND('Operating costs'!$B$67&gt;0,'Operating costs'!$B$67&lt;=120,OR(Paths!$D$310="ICE",'Operating costs'!$B$67&lt;=Paths!$E$310),IF('Operating costs'!$B$67=0,C3340=0,AND(C3340&gt;0,'Operating costs'!$B$67&gt;(C3340-1)*12,'Operating costs'!$B$67&lt;=C3340*12))),'Operating costs'!$B$66,0),"n.a."))</f>
        <v>0</v>
      </c>
      <c r="N3340" s="16">
        <f>IF(NOT(Paths!$C$310=1),0,IF(Paths!$P$310="Complete",SUM(G3340:I3340)-J3340-K3340-L3340+M3340+IF(C3340=0,Paths!$F$310,0)+IF(IF(Paths!$E$310=0,C3340=0,AND(C3340&gt;0,Paths!$E$310&gt;(C3340-1)*12,Paths!$E$310&lt;=C3340*12)),VLOOKUP(A3340,'Fleet register'!$A$7:$S$106,16,FALSE),0),"n.a."))</f>
        <v>0</v>
      </c>
      <c r="O3340" s="16">
        <f>IF(NOT(Paths!$C$310=1),0,IF(Paths!$P$310="Complete",N3340-IF(C3340=0,Paths!$F$310,0),"n.a."))</f>
        <v>0</v>
      </c>
      <c r="P3340" s="16">
        <f>IF(NOT(Paths!$C$310=1),0,IF(Paths!$P$310="Complete",O3340+L3340,"n.a."))</f>
        <v>0</v>
      </c>
      <c r="Q3340" s="16">
        <f>IF(NOT(Paths!$C$310=1),0,IF(Paths!$P$310="Complete",N3340*(1+'Operating costs'!$B$54)^-C3340,"n.a."))</f>
        <v>0</v>
      </c>
      <c r="R3340" s="16">
        <f>IF(NOT(Paths!$C$310=1),0,IF(Paths!$P$310="Complete",IF(AND(C3340=0,Paths!$E$310=0),I3340-J3340-K3340+VLOOKUP(A3340,'Fleet register'!$A$7:$S$106,15,FALSE)+VLOOKUP(A3340,'Fleet register'!$A$7:$S$106,16,FALSE),0),"n.a."))</f>
        <v>0</v>
      </c>
      <c r="S3340" s="1">
        <f>IF(NOT(Paths!$C$310=1),0,IF(Paths!$P$310="Complete",IF(C3340=0,0,Paths!$S$310*Paths!$R$310),"n.a."))</f>
        <v>0</v>
      </c>
      <c r="T3340" s="1">
        <f>IF(NOT(Paths!$C$310=1),0,IF(Paths!$P$310="Complete",IF(C3340=0,0,VLOOKUP(A3340,'Fleet register'!$A$7:$S$106,9,FALSE)*Paths!$R$310),"n.a."))</f>
        <v>0</v>
      </c>
    </row>
    <row r="3341" spans="1:20" ht="24" customHeight="1">
      <c r="A3341" s="1" t="str">
        <f>Paths!$A$310</f>
        <v>T076</v>
      </c>
      <c r="B3341" s="1">
        <f>Paths!$B$310</f>
        <v>3</v>
      </c>
      <c r="C3341" s="1">
        <v>1</v>
      </c>
      <c r="D3341" s="1">
        <v>310</v>
      </c>
      <c r="E3341" s="1">
        <f>IF(OR(Paths!$C$310=0,C3341=0),0,MAX(0,MIN(C3341*12,Paths!$E$310)-(C3341-1)*12))</f>
        <v>0</v>
      </c>
      <c r="F3341" s="1">
        <f>IF(OR(Paths!$C$310=0,C3341=0),0,12-E3341)</f>
        <v>0</v>
      </c>
      <c r="G3341" s="16">
        <f>IF(NOT(Paths!$C$310=1),0,IF(Paths!$P$310="Complete",E3341/12*(Paths!$J$310*(1+'Operating costs'!$B$51)^MAX(0,C3341-1)+Paths!$K$310*(1+'Operating costs'!$B$53)^MAX(0,C3341-1)),"n.a."))</f>
        <v>0</v>
      </c>
      <c r="H3341" s="16">
        <f>IF(NOT(Paths!$C$310=1),0,IF(Paths!$P$310="Complete",F3341/12*(Paths!$L$310*(1+IF(Paths!$D$310="EV",'Operating costs'!$B$52,'Operating costs'!$B$51))^MAX(0,C3341-1)+Paths!$M$310*(1+'Operating costs'!$B$53)^MAX(0,C3341-1)),"n.a."))</f>
        <v>0</v>
      </c>
      <c r="I3341" s="16">
        <f>IF(NOT(Paths!$C$310=1),0,IF(Paths!$P$310="Complete",IF(IF(Paths!$E$310=0,C3341=0,AND(C3341&gt;0,Paths!$E$310&gt;(C3341-1)*12,Paths!$E$310&lt;=C3341*12)),Paths!$G$310,0),"n.a."))</f>
        <v>0</v>
      </c>
      <c r="J3341" s="16">
        <f>IF(NOT(Paths!$C$310=1),0,IF(Paths!$P$310="Complete",IF(IF(Paths!$E$310=0,C3341=0,AND(C3341&gt;0,Paths!$E$310&gt;(C3341-1)*12,Paths!$E$310&lt;=C3341*12)),Paths!$H$310,0),"n.a."))</f>
        <v>0</v>
      </c>
      <c r="K3341" s="16">
        <f>IF(NOT(Paths!$C$310=1),0,IF(Paths!$P$310="Complete",IF(IF(Paths!$O$310=0,C3341=0,AND(C3341&gt;0,Paths!$O$310&gt;(C3341-1)*12,Paths!$O$310&lt;=C3341*12)),Paths!$N$310,0),"n.a."))</f>
        <v>0</v>
      </c>
      <c r="L3341" s="16">
        <f>IF(NOT(Paths!$C$310=1),0,IF(Paths!$P$310="Complete",IF(C3341=10,Paths!$I$310,0),"n.a."))</f>
        <v>0</v>
      </c>
      <c r="M3341" s="16">
        <f>IF(NOT(Paths!$C$310=1),0,IF(Paths!$P$310="Complete",IF(AND(Paths!$D$310="EV",Paths!$E$310&lt;120,Paths!$E$310+'Operating costs'!$B$65&gt;Paths!$E$310,Paths!$E$310+'Operating costs'!$B$65&lt;=120,IF(Paths!$E$310+'Operating costs'!$B$65=0,C3341=0,AND(C3341&gt;0,Paths!$E$310+'Operating costs'!$B$65&gt;(C3341-1)*12,Paths!$E$310+'Operating costs'!$B$65&lt;=C3341*12))),'Operating costs'!$B$64,0)+IF(AND('Operating costs'!$B$67&gt;0,'Operating costs'!$B$67&lt;=120,OR(Paths!$D$310="ICE",'Operating costs'!$B$67&lt;=Paths!$E$310),IF('Operating costs'!$B$67=0,C3341=0,AND(C3341&gt;0,'Operating costs'!$B$67&gt;(C3341-1)*12,'Operating costs'!$B$67&lt;=C3341*12))),'Operating costs'!$B$66,0),"n.a."))</f>
        <v>0</v>
      </c>
      <c r="N3341" s="16">
        <f>IF(NOT(Paths!$C$310=1),0,IF(Paths!$P$310="Complete",SUM(G3341:I3341)-J3341-K3341-L3341+M3341+IF(C3341=0,Paths!$F$310,0)+IF(IF(Paths!$E$310=0,C3341=0,AND(C3341&gt;0,Paths!$E$310&gt;(C3341-1)*12,Paths!$E$310&lt;=C3341*12)),VLOOKUP(A3341,'Fleet register'!$A$7:$S$106,16,FALSE),0),"n.a."))</f>
        <v>0</v>
      </c>
      <c r="O3341" s="16">
        <f>IF(NOT(Paths!$C$310=1),0,IF(Paths!$P$310="Complete",N3341-IF(C3341=0,Paths!$F$310,0),"n.a."))</f>
        <v>0</v>
      </c>
      <c r="P3341" s="16">
        <f>IF(NOT(Paths!$C$310=1),0,IF(Paths!$P$310="Complete",O3341+L3341,"n.a."))</f>
        <v>0</v>
      </c>
      <c r="Q3341" s="16">
        <f>IF(NOT(Paths!$C$310=1),0,IF(Paths!$P$310="Complete",N3341*(1+'Operating costs'!$B$54)^-C3341,"n.a."))</f>
        <v>0</v>
      </c>
      <c r="R3341" s="16">
        <f>IF(NOT(Paths!$C$310=1),0,IF(Paths!$P$310="Complete",IF(AND(C3341=0,Paths!$E$310=0),I3341-J3341-K3341+VLOOKUP(A3341,'Fleet register'!$A$7:$S$106,15,FALSE)+VLOOKUP(A3341,'Fleet register'!$A$7:$S$106,16,FALSE),0),"n.a."))</f>
        <v>0</v>
      </c>
      <c r="S3341" s="1">
        <f>IF(NOT(Paths!$C$310=1),0,IF(Paths!$P$310="Complete",IF(C3341=0,0,Paths!$S$310*Paths!$R$310),"n.a."))</f>
        <v>0</v>
      </c>
      <c r="T3341" s="1">
        <f>IF(NOT(Paths!$C$310=1),0,IF(Paths!$P$310="Complete",IF(C3341=0,0,VLOOKUP(A3341,'Fleet register'!$A$7:$S$106,9,FALSE)*Paths!$R$310),"n.a."))</f>
        <v>0</v>
      </c>
    </row>
    <row r="3342" spans="1:20" ht="24" customHeight="1">
      <c r="A3342" s="1" t="str">
        <f>Paths!$A$310</f>
        <v>T076</v>
      </c>
      <c r="B3342" s="1">
        <f>Paths!$B$310</f>
        <v>3</v>
      </c>
      <c r="C3342" s="1">
        <v>2</v>
      </c>
      <c r="D3342" s="1">
        <v>310</v>
      </c>
      <c r="E3342" s="1">
        <f>IF(OR(Paths!$C$310=0,C3342=0),0,MAX(0,MIN(C3342*12,Paths!$E$310)-(C3342-1)*12))</f>
        <v>0</v>
      </c>
      <c r="F3342" s="1">
        <f>IF(OR(Paths!$C$310=0,C3342=0),0,12-E3342)</f>
        <v>0</v>
      </c>
      <c r="G3342" s="16">
        <f>IF(NOT(Paths!$C$310=1),0,IF(Paths!$P$310="Complete",E3342/12*(Paths!$J$310*(1+'Operating costs'!$B$51)^MAX(0,C3342-1)+Paths!$K$310*(1+'Operating costs'!$B$53)^MAX(0,C3342-1)),"n.a."))</f>
        <v>0</v>
      </c>
      <c r="H3342" s="16">
        <f>IF(NOT(Paths!$C$310=1),0,IF(Paths!$P$310="Complete",F3342/12*(Paths!$L$310*(1+IF(Paths!$D$310="EV",'Operating costs'!$B$52,'Operating costs'!$B$51))^MAX(0,C3342-1)+Paths!$M$310*(1+'Operating costs'!$B$53)^MAX(0,C3342-1)),"n.a."))</f>
        <v>0</v>
      </c>
      <c r="I3342" s="16">
        <f>IF(NOT(Paths!$C$310=1),0,IF(Paths!$P$310="Complete",IF(IF(Paths!$E$310=0,C3342=0,AND(C3342&gt;0,Paths!$E$310&gt;(C3342-1)*12,Paths!$E$310&lt;=C3342*12)),Paths!$G$310,0),"n.a."))</f>
        <v>0</v>
      </c>
      <c r="J3342" s="16">
        <f>IF(NOT(Paths!$C$310=1),0,IF(Paths!$P$310="Complete",IF(IF(Paths!$E$310=0,C3342=0,AND(C3342&gt;0,Paths!$E$310&gt;(C3342-1)*12,Paths!$E$310&lt;=C3342*12)),Paths!$H$310,0),"n.a."))</f>
        <v>0</v>
      </c>
      <c r="K3342" s="16">
        <f>IF(NOT(Paths!$C$310=1),0,IF(Paths!$P$310="Complete",IF(IF(Paths!$O$310=0,C3342=0,AND(C3342&gt;0,Paths!$O$310&gt;(C3342-1)*12,Paths!$O$310&lt;=C3342*12)),Paths!$N$310,0),"n.a."))</f>
        <v>0</v>
      </c>
      <c r="L3342" s="16">
        <f>IF(NOT(Paths!$C$310=1),0,IF(Paths!$P$310="Complete",IF(C3342=10,Paths!$I$310,0),"n.a."))</f>
        <v>0</v>
      </c>
      <c r="M3342" s="16">
        <f>IF(NOT(Paths!$C$310=1),0,IF(Paths!$P$310="Complete",IF(AND(Paths!$D$310="EV",Paths!$E$310&lt;120,Paths!$E$310+'Operating costs'!$B$65&gt;Paths!$E$310,Paths!$E$310+'Operating costs'!$B$65&lt;=120,IF(Paths!$E$310+'Operating costs'!$B$65=0,C3342=0,AND(C3342&gt;0,Paths!$E$310+'Operating costs'!$B$65&gt;(C3342-1)*12,Paths!$E$310+'Operating costs'!$B$65&lt;=C3342*12))),'Operating costs'!$B$64,0)+IF(AND('Operating costs'!$B$67&gt;0,'Operating costs'!$B$67&lt;=120,OR(Paths!$D$310="ICE",'Operating costs'!$B$67&lt;=Paths!$E$310),IF('Operating costs'!$B$67=0,C3342=0,AND(C3342&gt;0,'Operating costs'!$B$67&gt;(C3342-1)*12,'Operating costs'!$B$67&lt;=C3342*12))),'Operating costs'!$B$66,0),"n.a."))</f>
        <v>0</v>
      </c>
      <c r="N3342" s="16">
        <f>IF(NOT(Paths!$C$310=1),0,IF(Paths!$P$310="Complete",SUM(G3342:I3342)-J3342-K3342-L3342+M3342+IF(C3342=0,Paths!$F$310,0)+IF(IF(Paths!$E$310=0,C3342=0,AND(C3342&gt;0,Paths!$E$310&gt;(C3342-1)*12,Paths!$E$310&lt;=C3342*12)),VLOOKUP(A3342,'Fleet register'!$A$7:$S$106,16,FALSE),0),"n.a."))</f>
        <v>0</v>
      </c>
      <c r="O3342" s="16">
        <f>IF(NOT(Paths!$C$310=1),0,IF(Paths!$P$310="Complete",N3342-IF(C3342=0,Paths!$F$310,0),"n.a."))</f>
        <v>0</v>
      </c>
      <c r="P3342" s="16">
        <f>IF(NOT(Paths!$C$310=1),0,IF(Paths!$P$310="Complete",O3342+L3342,"n.a."))</f>
        <v>0</v>
      </c>
      <c r="Q3342" s="16">
        <f>IF(NOT(Paths!$C$310=1),0,IF(Paths!$P$310="Complete",N3342*(1+'Operating costs'!$B$54)^-C3342,"n.a."))</f>
        <v>0</v>
      </c>
      <c r="R3342" s="16">
        <f>IF(NOT(Paths!$C$310=1),0,IF(Paths!$P$310="Complete",IF(AND(C3342=0,Paths!$E$310=0),I3342-J3342-K3342+VLOOKUP(A3342,'Fleet register'!$A$7:$S$106,15,FALSE)+VLOOKUP(A3342,'Fleet register'!$A$7:$S$106,16,FALSE),0),"n.a."))</f>
        <v>0</v>
      </c>
      <c r="S3342" s="1">
        <f>IF(NOT(Paths!$C$310=1),0,IF(Paths!$P$310="Complete",IF(C3342=0,0,Paths!$S$310*Paths!$R$310),"n.a."))</f>
        <v>0</v>
      </c>
      <c r="T3342" s="1">
        <f>IF(NOT(Paths!$C$310=1),0,IF(Paths!$P$310="Complete",IF(C3342=0,0,VLOOKUP(A3342,'Fleet register'!$A$7:$S$106,9,FALSE)*Paths!$R$310),"n.a."))</f>
        <v>0</v>
      </c>
    </row>
    <row r="3343" spans="1:20" ht="24" customHeight="1">
      <c r="A3343" s="1" t="str">
        <f>Paths!$A$310</f>
        <v>T076</v>
      </c>
      <c r="B3343" s="1">
        <f>Paths!$B$310</f>
        <v>3</v>
      </c>
      <c r="C3343" s="1">
        <v>3</v>
      </c>
      <c r="D3343" s="1">
        <v>310</v>
      </c>
      <c r="E3343" s="1">
        <f>IF(OR(Paths!$C$310=0,C3343=0),0,MAX(0,MIN(C3343*12,Paths!$E$310)-(C3343-1)*12))</f>
        <v>0</v>
      </c>
      <c r="F3343" s="1">
        <f>IF(OR(Paths!$C$310=0,C3343=0),0,12-E3343)</f>
        <v>0</v>
      </c>
      <c r="G3343" s="16">
        <f>IF(NOT(Paths!$C$310=1),0,IF(Paths!$P$310="Complete",E3343/12*(Paths!$J$310*(1+'Operating costs'!$B$51)^MAX(0,C3343-1)+Paths!$K$310*(1+'Operating costs'!$B$53)^MAX(0,C3343-1)),"n.a."))</f>
        <v>0</v>
      </c>
      <c r="H3343" s="16">
        <f>IF(NOT(Paths!$C$310=1),0,IF(Paths!$P$310="Complete",F3343/12*(Paths!$L$310*(1+IF(Paths!$D$310="EV",'Operating costs'!$B$52,'Operating costs'!$B$51))^MAX(0,C3343-1)+Paths!$M$310*(1+'Operating costs'!$B$53)^MAX(0,C3343-1)),"n.a."))</f>
        <v>0</v>
      </c>
      <c r="I3343" s="16">
        <f>IF(NOT(Paths!$C$310=1),0,IF(Paths!$P$310="Complete",IF(IF(Paths!$E$310=0,C3343=0,AND(C3343&gt;0,Paths!$E$310&gt;(C3343-1)*12,Paths!$E$310&lt;=C3343*12)),Paths!$G$310,0),"n.a."))</f>
        <v>0</v>
      </c>
      <c r="J3343" s="16">
        <f>IF(NOT(Paths!$C$310=1),0,IF(Paths!$P$310="Complete",IF(IF(Paths!$E$310=0,C3343=0,AND(C3343&gt;0,Paths!$E$310&gt;(C3343-1)*12,Paths!$E$310&lt;=C3343*12)),Paths!$H$310,0),"n.a."))</f>
        <v>0</v>
      </c>
      <c r="K3343" s="16">
        <f>IF(NOT(Paths!$C$310=1),0,IF(Paths!$P$310="Complete",IF(IF(Paths!$O$310=0,C3343=0,AND(C3343&gt;0,Paths!$O$310&gt;(C3343-1)*12,Paths!$O$310&lt;=C3343*12)),Paths!$N$310,0),"n.a."))</f>
        <v>0</v>
      </c>
      <c r="L3343" s="16">
        <f>IF(NOT(Paths!$C$310=1),0,IF(Paths!$P$310="Complete",IF(C3343=10,Paths!$I$310,0),"n.a."))</f>
        <v>0</v>
      </c>
      <c r="M3343" s="16">
        <f>IF(NOT(Paths!$C$310=1),0,IF(Paths!$P$310="Complete",IF(AND(Paths!$D$310="EV",Paths!$E$310&lt;120,Paths!$E$310+'Operating costs'!$B$65&gt;Paths!$E$310,Paths!$E$310+'Operating costs'!$B$65&lt;=120,IF(Paths!$E$310+'Operating costs'!$B$65=0,C3343=0,AND(C3343&gt;0,Paths!$E$310+'Operating costs'!$B$65&gt;(C3343-1)*12,Paths!$E$310+'Operating costs'!$B$65&lt;=C3343*12))),'Operating costs'!$B$64,0)+IF(AND('Operating costs'!$B$67&gt;0,'Operating costs'!$B$67&lt;=120,OR(Paths!$D$310="ICE",'Operating costs'!$B$67&lt;=Paths!$E$310),IF('Operating costs'!$B$67=0,C3343=0,AND(C3343&gt;0,'Operating costs'!$B$67&gt;(C3343-1)*12,'Operating costs'!$B$67&lt;=C3343*12))),'Operating costs'!$B$66,0),"n.a."))</f>
        <v>0</v>
      </c>
      <c r="N3343" s="16">
        <f>IF(NOT(Paths!$C$310=1),0,IF(Paths!$P$310="Complete",SUM(G3343:I3343)-J3343-K3343-L3343+M3343+IF(C3343=0,Paths!$F$310,0)+IF(IF(Paths!$E$310=0,C3343=0,AND(C3343&gt;0,Paths!$E$310&gt;(C3343-1)*12,Paths!$E$310&lt;=C3343*12)),VLOOKUP(A3343,'Fleet register'!$A$7:$S$106,16,FALSE),0),"n.a."))</f>
        <v>0</v>
      </c>
      <c r="O3343" s="16">
        <f>IF(NOT(Paths!$C$310=1),0,IF(Paths!$P$310="Complete",N3343-IF(C3343=0,Paths!$F$310,0),"n.a."))</f>
        <v>0</v>
      </c>
      <c r="P3343" s="16">
        <f>IF(NOT(Paths!$C$310=1),0,IF(Paths!$P$310="Complete",O3343+L3343,"n.a."))</f>
        <v>0</v>
      </c>
      <c r="Q3343" s="16">
        <f>IF(NOT(Paths!$C$310=1),0,IF(Paths!$P$310="Complete",N3343*(1+'Operating costs'!$B$54)^-C3343,"n.a."))</f>
        <v>0</v>
      </c>
      <c r="R3343" s="16">
        <f>IF(NOT(Paths!$C$310=1),0,IF(Paths!$P$310="Complete",IF(AND(C3343=0,Paths!$E$310=0),I3343-J3343-K3343+VLOOKUP(A3343,'Fleet register'!$A$7:$S$106,15,FALSE)+VLOOKUP(A3343,'Fleet register'!$A$7:$S$106,16,FALSE),0),"n.a."))</f>
        <v>0</v>
      </c>
      <c r="S3343" s="1">
        <f>IF(NOT(Paths!$C$310=1),0,IF(Paths!$P$310="Complete",IF(C3343=0,0,Paths!$S$310*Paths!$R$310),"n.a."))</f>
        <v>0</v>
      </c>
      <c r="T3343" s="1">
        <f>IF(NOT(Paths!$C$310=1),0,IF(Paths!$P$310="Complete",IF(C3343=0,0,VLOOKUP(A3343,'Fleet register'!$A$7:$S$106,9,FALSE)*Paths!$R$310),"n.a."))</f>
        <v>0</v>
      </c>
    </row>
    <row r="3344" spans="1:20" ht="24" customHeight="1">
      <c r="A3344" s="1" t="str">
        <f>Paths!$A$310</f>
        <v>T076</v>
      </c>
      <c r="B3344" s="1">
        <f>Paths!$B$310</f>
        <v>3</v>
      </c>
      <c r="C3344" s="1">
        <v>4</v>
      </c>
      <c r="D3344" s="1">
        <v>310</v>
      </c>
      <c r="E3344" s="1">
        <f>IF(OR(Paths!$C$310=0,C3344=0),0,MAX(0,MIN(C3344*12,Paths!$E$310)-(C3344-1)*12))</f>
        <v>0</v>
      </c>
      <c r="F3344" s="1">
        <f>IF(OR(Paths!$C$310=0,C3344=0),0,12-E3344)</f>
        <v>0</v>
      </c>
      <c r="G3344" s="16">
        <f>IF(NOT(Paths!$C$310=1),0,IF(Paths!$P$310="Complete",E3344/12*(Paths!$J$310*(1+'Operating costs'!$B$51)^MAX(0,C3344-1)+Paths!$K$310*(1+'Operating costs'!$B$53)^MAX(0,C3344-1)),"n.a."))</f>
        <v>0</v>
      </c>
      <c r="H3344" s="16">
        <f>IF(NOT(Paths!$C$310=1),0,IF(Paths!$P$310="Complete",F3344/12*(Paths!$L$310*(1+IF(Paths!$D$310="EV",'Operating costs'!$B$52,'Operating costs'!$B$51))^MAX(0,C3344-1)+Paths!$M$310*(1+'Operating costs'!$B$53)^MAX(0,C3344-1)),"n.a."))</f>
        <v>0</v>
      </c>
      <c r="I3344" s="16">
        <f>IF(NOT(Paths!$C$310=1),0,IF(Paths!$P$310="Complete",IF(IF(Paths!$E$310=0,C3344=0,AND(C3344&gt;0,Paths!$E$310&gt;(C3344-1)*12,Paths!$E$310&lt;=C3344*12)),Paths!$G$310,0),"n.a."))</f>
        <v>0</v>
      </c>
      <c r="J3344" s="16">
        <f>IF(NOT(Paths!$C$310=1),0,IF(Paths!$P$310="Complete",IF(IF(Paths!$E$310=0,C3344=0,AND(C3344&gt;0,Paths!$E$310&gt;(C3344-1)*12,Paths!$E$310&lt;=C3344*12)),Paths!$H$310,0),"n.a."))</f>
        <v>0</v>
      </c>
      <c r="K3344" s="16">
        <f>IF(NOT(Paths!$C$310=1),0,IF(Paths!$P$310="Complete",IF(IF(Paths!$O$310=0,C3344=0,AND(C3344&gt;0,Paths!$O$310&gt;(C3344-1)*12,Paths!$O$310&lt;=C3344*12)),Paths!$N$310,0),"n.a."))</f>
        <v>0</v>
      </c>
      <c r="L3344" s="16">
        <f>IF(NOT(Paths!$C$310=1),0,IF(Paths!$P$310="Complete",IF(C3344=10,Paths!$I$310,0),"n.a."))</f>
        <v>0</v>
      </c>
      <c r="M3344" s="16">
        <f>IF(NOT(Paths!$C$310=1),0,IF(Paths!$P$310="Complete",IF(AND(Paths!$D$310="EV",Paths!$E$310&lt;120,Paths!$E$310+'Operating costs'!$B$65&gt;Paths!$E$310,Paths!$E$310+'Operating costs'!$B$65&lt;=120,IF(Paths!$E$310+'Operating costs'!$B$65=0,C3344=0,AND(C3344&gt;0,Paths!$E$310+'Operating costs'!$B$65&gt;(C3344-1)*12,Paths!$E$310+'Operating costs'!$B$65&lt;=C3344*12))),'Operating costs'!$B$64,0)+IF(AND('Operating costs'!$B$67&gt;0,'Operating costs'!$B$67&lt;=120,OR(Paths!$D$310="ICE",'Operating costs'!$B$67&lt;=Paths!$E$310),IF('Operating costs'!$B$67=0,C3344=0,AND(C3344&gt;0,'Operating costs'!$B$67&gt;(C3344-1)*12,'Operating costs'!$B$67&lt;=C3344*12))),'Operating costs'!$B$66,0),"n.a."))</f>
        <v>0</v>
      </c>
      <c r="N3344" s="16">
        <f>IF(NOT(Paths!$C$310=1),0,IF(Paths!$P$310="Complete",SUM(G3344:I3344)-J3344-K3344-L3344+M3344+IF(C3344=0,Paths!$F$310,0)+IF(IF(Paths!$E$310=0,C3344=0,AND(C3344&gt;0,Paths!$E$310&gt;(C3344-1)*12,Paths!$E$310&lt;=C3344*12)),VLOOKUP(A3344,'Fleet register'!$A$7:$S$106,16,FALSE),0),"n.a."))</f>
        <v>0</v>
      </c>
      <c r="O3344" s="16">
        <f>IF(NOT(Paths!$C$310=1),0,IF(Paths!$P$310="Complete",N3344-IF(C3344=0,Paths!$F$310,0),"n.a."))</f>
        <v>0</v>
      </c>
      <c r="P3344" s="16">
        <f>IF(NOT(Paths!$C$310=1),0,IF(Paths!$P$310="Complete",O3344+L3344,"n.a."))</f>
        <v>0</v>
      </c>
      <c r="Q3344" s="16">
        <f>IF(NOT(Paths!$C$310=1),0,IF(Paths!$P$310="Complete",N3344*(1+'Operating costs'!$B$54)^-C3344,"n.a."))</f>
        <v>0</v>
      </c>
      <c r="R3344" s="16">
        <f>IF(NOT(Paths!$C$310=1),0,IF(Paths!$P$310="Complete",IF(AND(C3344=0,Paths!$E$310=0),I3344-J3344-K3344+VLOOKUP(A3344,'Fleet register'!$A$7:$S$106,15,FALSE)+VLOOKUP(A3344,'Fleet register'!$A$7:$S$106,16,FALSE),0),"n.a."))</f>
        <v>0</v>
      </c>
      <c r="S3344" s="1">
        <f>IF(NOT(Paths!$C$310=1),0,IF(Paths!$P$310="Complete",IF(C3344=0,0,Paths!$S$310*Paths!$R$310),"n.a."))</f>
        <v>0</v>
      </c>
      <c r="T3344" s="1">
        <f>IF(NOT(Paths!$C$310=1),0,IF(Paths!$P$310="Complete",IF(C3344=0,0,VLOOKUP(A3344,'Fleet register'!$A$7:$S$106,9,FALSE)*Paths!$R$310),"n.a."))</f>
        <v>0</v>
      </c>
    </row>
    <row r="3345" spans="1:20" ht="24" customHeight="1">
      <c r="A3345" s="1" t="str">
        <f>Paths!$A$310</f>
        <v>T076</v>
      </c>
      <c r="B3345" s="1">
        <f>Paths!$B$310</f>
        <v>3</v>
      </c>
      <c r="C3345" s="1">
        <v>5</v>
      </c>
      <c r="D3345" s="1">
        <v>310</v>
      </c>
      <c r="E3345" s="1">
        <f>IF(OR(Paths!$C$310=0,C3345=0),0,MAX(0,MIN(C3345*12,Paths!$E$310)-(C3345-1)*12))</f>
        <v>0</v>
      </c>
      <c r="F3345" s="1">
        <f>IF(OR(Paths!$C$310=0,C3345=0),0,12-E3345)</f>
        <v>0</v>
      </c>
      <c r="G3345" s="16">
        <f>IF(NOT(Paths!$C$310=1),0,IF(Paths!$P$310="Complete",E3345/12*(Paths!$J$310*(1+'Operating costs'!$B$51)^MAX(0,C3345-1)+Paths!$K$310*(1+'Operating costs'!$B$53)^MAX(0,C3345-1)),"n.a."))</f>
        <v>0</v>
      </c>
      <c r="H3345" s="16">
        <f>IF(NOT(Paths!$C$310=1),0,IF(Paths!$P$310="Complete",F3345/12*(Paths!$L$310*(1+IF(Paths!$D$310="EV",'Operating costs'!$B$52,'Operating costs'!$B$51))^MAX(0,C3345-1)+Paths!$M$310*(1+'Operating costs'!$B$53)^MAX(0,C3345-1)),"n.a."))</f>
        <v>0</v>
      </c>
      <c r="I3345" s="16">
        <f>IF(NOT(Paths!$C$310=1),0,IF(Paths!$P$310="Complete",IF(IF(Paths!$E$310=0,C3345=0,AND(C3345&gt;0,Paths!$E$310&gt;(C3345-1)*12,Paths!$E$310&lt;=C3345*12)),Paths!$G$310,0),"n.a."))</f>
        <v>0</v>
      </c>
      <c r="J3345" s="16">
        <f>IF(NOT(Paths!$C$310=1),0,IF(Paths!$P$310="Complete",IF(IF(Paths!$E$310=0,C3345=0,AND(C3345&gt;0,Paths!$E$310&gt;(C3345-1)*12,Paths!$E$310&lt;=C3345*12)),Paths!$H$310,0),"n.a."))</f>
        <v>0</v>
      </c>
      <c r="K3345" s="16">
        <f>IF(NOT(Paths!$C$310=1),0,IF(Paths!$P$310="Complete",IF(IF(Paths!$O$310=0,C3345=0,AND(C3345&gt;0,Paths!$O$310&gt;(C3345-1)*12,Paths!$O$310&lt;=C3345*12)),Paths!$N$310,0),"n.a."))</f>
        <v>0</v>
      </c>
      <c r="L3345" s="16">
        <f>IF(NOT(Paths!$C$310=1),0,IF(Paths!$P$310="Complete",IF(C3345=10,Paths!$I$310,0),"n.a."))</f>
        <v>0</v>
      </c>
      <c r="M3345" s="16">
        <f>IF(NOT(Paths!$C$310=1),0,IF(Paths!$P$310="Complete",IF(AND(Paths!$D$310="EV",Paths!$E$310&lt;120,Paths!$E$310+'Operating costs'!$B$65&gt;Paths!$E$310,Paths!$E$310+'Operating costs'!$B$65&lt;=120,IF(Paths!$E$310+'Operating costs'!$B$65=0,C3345=0,AND(C3345&gt;0,Paths!$E$310+'Operating costs'!$B$65&gt;(C3345-1)*12,Paths!$E$310+'Operating costs'!$B$65&lt;=C3345*12))),'Operating costs'!$B$64,0)+IF(AND('Operating costs'!$B$67&gt;0,'Operating costs'!$B$67&lt;=120,OR(Paths!$D$310="ICE",'Operating costs'!$B$67&lt;=Paths!$E$310),IF('Operating costs'!$B$67=0,C3345=0,AND(C3345&gt;0,'Operating costs'!$B$67&gt;(C3345-1)*12,'Operating costs'!$B$67&lt;=C3345*12))),'Operating costs'!$B$66,0),"n.a."))</f>
        <v>0</v>
      </c>
      <c r="N3345" s="16">
        <f>IF(NOT(Paths!$C$310=1),0,IF(Paths!$P$310="Complete",SUM(G3345:I3345)-J3345-K3345-L3345+M3345+IF(C3345=0,Paths!$F$310,0)+IF(IF(Paths!$E$310=0,C3345=0,AND(C3345&gt;0,Paths!$E$310&gt;(C3345-1)*12,Paths!$E$310&lt;=C3345*12)),VLOOKUP(A3345,'Fleet register'!$A$7:$S$106,16,FALSE),0),"n.a."))</f>
        <v>0</v>
      </c>
      <c r="O3345" s="16">
        <f>IF(NOT(Paths!$C$310=1),0,IF(Paths!$P$310="Complete",N3345-IF(C3345=0,Paths!$F$310,0),"n.a."))</f>
        <v>0</v>
      </c>
      <c r="P3345" s="16">
        <f>IF(NOT(Paths!$C$310=1),0,IF(Paths!$P$310="Complete",O3345+L3345,"n.a."))</f>
        <v>0</v>
      </c>
      <c r="Q3345" s="16">
        <f>IF(NOT(Paths!$C$310=1),0,IF(Paths!$P$310="Complete",N3345*(1+'Operating costs'!$B$54)^-C3345,"n.a."))</f>
        <v>0</v>
      </c>
      <c r="R3345" s="16">
        <f>IF(NOT(Paths!$C$310=1),0,IF(Paths!$P$310="Complete",IF(AND(C3345=0,Paths!$E$310=0),I3345-J3345-K3345+VLOOKUP(A3345,'Fleet register'!$A$7:$S$106,15,FALSE)+VLOOKUP(A3345,'Fleet register'!$A$7:$S$106,16,FALSE),0),"n.a."))</f>
        <v>0</v>
      </c>
      <c r="S3345" s="1">
        <f>IF(NOT(Paths!$C$310=1),0,IF(Paths!$P$310="Complete",IF(C3345=0,0,Paths!$S$310*Paths!$R$310),"n.a."))</f>
        <v>0</v>
      </c>
      <c r="T3345" s="1">
        <f>IF(NOT(Paths!$C$310=1),0,IF(Paths!$P$310="Complete",IF(C3345=0,0,VLOOKUP(A3345,'Fleet register'!$A$7:$S$106,9,FALSE)*Paths!$R$310),"n.a."))</f>
        <v>0</v>
      </c>
    </row>
    <row r="3346" spans="1:20" ht="24" customHeight="1">
      <c r="A3346" s="1" t="str">
        <f>Paths!$A$310</f>
        <v>T076</v>
      </c>
      <c r="B3346" s="1">
        <f>Paths!$B$310</f>
        <v>3</v>
      </c>
      <c r="C3346" s="1">
        <v>6</v>
      </c>
      <c r="D3346" s="1">
        <v>310</v>
      </c>
      <c r="E3346" s="1">
        <f>IF(OR(Paths!$C$310=0,C3346=0),0,MAX(0,MIN(C3346*12,Paths!$E$310)-(C3346-1)*12))</f>
        <v>0</v>
      </c>
      <c r="F3346" s="1">
        <f>IF(OR(Paths!$C$310=0,C3346=0),0,12-E3346)</f>
        <v>0</v>
      </c>
      <c r="G3346" s="16">
        <f>IF(NOT(Paths!$C$310=1),0,IF(Paths!$P$310="Complete",E3346/12*(Paths!$J$310*(1+'Operating costs'!$B$51)^MAX(0,C3346-1)+Paths!$K$310*(1+'Operating costs'!$B$53)^MAX(0,C3346-1)),"n.a."))</f>
        <v>0</v>
      </c>
      <c r="H3346" s="16">
        <f>IF(NOT(Paths!$C$310=1),0,IF(Paths!$P$310="Complete",F3346/12*(Paths!$L$310*(1+IF(Paths!$D$310="EV",'Operating costs'!$B$52,'Operating costs'!$B$51))^MAX(0,C3346-1)+Paths!$M$310*(1+'Operating costs'!$B$53)^MAX(0,C3346-1)),"n.a."))</f>
        <v>0</v>
      </c>
      <c r="I3346" s="16">
        <f>IF(NOT(Paths!$C$310=1),0,IF(Paths!$P$310="Complete",IF(IF(Paths!$E$310=0,C3346=0,AND(C3346&gt;0,Paths!$E$310&gt;(C3346-1)*12,Paths!$E$310&lt;=C3346*12)),Paths!$G$310,0),"n.a."))</f>
        <v>0</v>
      </c>
      <c r="J3346" s="16">
        <f>IF(NOT(Paths!$C$310=1),0,IF(Paths!$P$310="Complete",IF(IF(Paths!$E$310=0,C3346=0,AND(C3346&gt;0,Paths!$E$310&gt;(C3346-1)*12,Paths!$E$310&lt;=C3346*12)),Paths!$H$310,0),"n.a."))</f>
        <v>0</v>
      </c>
      <c r="K3346" s="16">
        <f>IF(NOT(Paths!$C$310=1),0,IF(Paths!$P$310="Complete",IF(IF(Paths!$O$310=0,C3346=0,AND(C3346&gt;0,Paths!$O$310&gt;(C3346-1)*12,Paths!$O$310&lt;=C3346*12)),Paths!$N$310,0),"n.a."))</f>
        <v>0</v>
      </c>
      <c r="L3346" s="16">
        <f>IF(NOT(Paths!$C$310=1),0,IF(Paths!$P$310="Complete",IF(C3346=10,Paths!$I$310,0),"n.a."))</f>
        <v>0</v>
      </c>
      <c r="M3346" s="16">
        <f>IF(NOT(Paths!$C$310=1),0,IF(Paths!$P$310="Complete",IF(AND(Paths!$D$310="EV",Paths!$E$310&lt;120,Paths!$E$310+'Operating costs'!$B$65&gt;Paths!$E$310,Paths!$E$310+'Operating costs'!$B$65&lt;=120,IF(Paths!$E$310+'Operating costs'!$B$65=0,C3346=0,AND(C3346&gt;0,Paths!$E$310+'Operating costs'!$B$65&gt;(C3346-1)*12,Paths!$E$310+'Operating costs'!$B$65&lt;=C3346*12))),'Operating costs'!$B$64,0)+IF(AND('Operating costs'!$B$67&gt;0,'Operating costs'!$B$67&lt;=120,OR(Paths!$D$310="ICE",'Operating costs'!$B$67&lt;=Paths!$E$310),IF('Operating costs'!$B$67=0,C3346=0,AND(C3346&gt;0,'Operating costs'!$B$67&gt;(C3346-1)*12,'Operating costs'!$B$67&lt;=C3346*12))),'Operating costs'!$B$66,0),"n.a."))</f>
        <v>0</v>
      </c>
      <c r="N3346" s="16">
        <f>IF(NOT(Paths!$C$310=1),0,IF(Paths!$P$310="Complete",SUM(G3346:I3346)-J3346-K3346-L3346+M3346+IF(C3346=0,Paths!$F$310,0)+IF(IF(Paths!$E$310=0,C3346=0,AND(C3346&gt;0,Paths!$E$310&gt;(C3346-1)*12,Paths!$E$310&lt;=C3346*12)),VLOOKUP(A3346,'Fleet register'!$A$7:$S$106,16,FALSE),0),"n.a."))</f>
        <v>0</v>
      </c>
      <c r="O3346" s="16">
        <f>IF(NOT(Paths!$C$310=1),0,IF(Paths!$P$310="Complete",N3346-IF(C3346=0,Paths!$F$310,0),"n.a."))</f>
        <v>0</v>
      </c>
      <c r="P3346" s="16">
        <f>IF(NOT(Paths!$C$310=1),0,IF(Paths!$P$310="Complete",O3346+L3346,"n.a."))</f>
        <v>0</v>
      </c>
      <c r="Q3346" s="16">
        <f>IF(NOT(Paths!$C$310=1),0,IF(Paths!$P$310="Complete",N3346*(1+'Operating costs'!$B$54)^-C3346,"n.a."))</f>
        <v>0</v>
      </c>
      <c r="R3346" s="16">
        <f>IF(NOT(Paths!$C$310=1),0,IF(Paths!$P$310="Complete",IF(AND(C3346=0,Paths!$E$310=0),I3346-J3346-K3346+VLOOKUP(A3346,'Fleet register'!$A$7:$S$106,15,FALSE)+VLOOKUP(A3346,'Fleet register'!$A$7:$S$106,16,FALSE),0),"n.a."))</f>
        <v>0</v>
      </c>
      <c r="S3346" s="1">
        <f>IF(NOT(Paths!$C$310=1),0,IF(Paths!$P$310="Complete",IF(C3346=0,0,Paths!$S$310*Paths!$R$310),"n.a."))</f>
        <v>0</v>
      </c>
      <c r="T3346" s="1">
        <f>IF(NOT(Paths!$C$310=1),0,IF(Paths!$P$310="Complete",IF(C3346=0,0,VLOOKUP(A3346,'Fleet register'!$A$7:$S$106,9,FALSE)*Paths!$R$310),"n.a."))</f>
        <v>0</v>
      </c>
    </row>
    <row r="3347" spans="1:20" ht="24" customHeight="1">
      <c r="A3347" s="1" t="str">
        <f>Paths!$A$310</f>
        <v>T076</v>
      </c>
      <c r="B3347" s="1">
        <f>Paths!$B$310</f>
        <v>3</v>
      </c>
      <c r="C3347" s="1">
        <v>7</v>
      </c>
      <c r="D3347" s="1">
        <v>310</v>
      </c>
      <c r="E3347" s="1">
        <f>IF(OR(Paths!$C$310=0,C3347=0),0,MAX(0,MIN(C3347*12,Paths!$E$310)-(C3347-1)*12))</f>
        <v>0</v>
      </c>
      <c r="F3347" s="1">
        <f>IF(OR(Paths!$C$310=0,C3347=0),0,12-E3347)</f>
        <v>0</v>
      </c>
      <c r="G3347" s="16">
        <f>IF(NOT(Paths!$C$310=1),0,IF(Paths!$P$310="Complete",E3347/12*(Paths!$J$310*(1+'Operating costs'!$B$51)^MAX(0,C3347-1)+Paths!$K$310*(1+'Operating costs'!$B$53)^MAX(0,C3347-1)),"n.a."))</f>
        <v>0</v>
      </c>
      <c r="H3347" s="16">
        <f>IF(NOT(Paths!$C$310=1),0,IF(Paths!$P$310="Complete",F3347/12*(Paths!$L$310*(1+IF(Paths!$D$310="EV",'Operating costs'!$B$52,'Operating costs'!$B$51))^MAX(0,C3347-1)+Paths!$M$310*(1+'Operating costs'!$B$53)^MAX(0,C3347-1)),"n.a."))</f>
        <v>0</v>
      </c>
      <c r="I3347" s="16">
        <f>IF(NOT(Paths!$C$310=1),0,IF(Paths!$P$310="Complete",IF(IF(Paths!$E$310=0,C3347=0,AND(C3347&gt;0,Paths!$E$310&gt;(C3347-1)*12,Paths!$E$310&lt;=C3347*12)),Paths!$G$310,0),"n.a."))</f>
        <v>0</v>
      </c>
      <c r="J3347" s="16">
        <f>IF(NOT(Paths!$C$310=1),0,IF(Paths!$P$310="Complete",IF(IF(Paths!$E$310=0,C3347=0,AND(C3347&gt;0,Paths!$E$310&gt;(C3347-1)*12,Paths!$E$310&lt;=C3347*12)),Paths!$H$310,0),"n.a."))</f>
        <v>0</v>
      </c>
      <c r="K3347" s="16">
        <f>IF(NOT(Paths!$C$310=1),0,IF(Paths!$P$310="Complete",IF(IF(Paths!$O$310=0,C3347=0,AND(C3347&gt;0,Paths!$O$310&gt;(C3347-1)*12,Paths!$O$310&lt;=C3347*12)),Paths!$N$310,0),"n.a."))</f>
        <v>0</v>
      </c>
      <c r="L3347" s="16">
        <f>IF(NOT(Paths!$C$310=1),0,IF(Paths!$P$310="Complete",IF(C3347=10,Paths!$I$310,0),"n.a."))</f>
        <v>0</v>
      </c>
      <c r="M3347" s="16">
        <f>IF(NOT(Paths!$C$310=1),0,IF(Paths!$P$310="Complete",IF(AND(Paths!$D$310="EV",Paths!$E$310&lt;120,Paths!$E$310+'Operating costs'!$B$65&gt;Paths!$E$310,Paths!$E$310+'Operating costs'!$B$65&lt;=120,IF(Paths!$E$310+'Operating costs'!$B$65=0,C3347=0,AND(C3347&gt;0,Paths!$E$310+'Operating costs'!$B$65&gt;(C3347-1)*12,Paths!$E$310+'Operating costs'!$B$65&lt;=C3347*12))),'Operating costs'!$B$64,0)+IF(AND('Operating costs'!$B$67&gt;0,'Operating costs'!$B$67&lt;=120,OR(Paths!$D$310="ICE",'Operating costs'!$B$67&lt;=Paths!$E$310),IF('Operating costs'!$B$67=0,C3347=0,AND(C3347&gt;0,'Operating costs'!$B$67&gt;(C3347-1)*12,'Operating costs'!$B$67&lt;=C3347*12))),'Operating costs'!$B$66,0),"n.a."))</f>
        <v>0</v>
      </c>
      <c r="N3347" s="16">
        <f>IF(NOT(Paths!$C$310=1),0,IF(Paths!$P$310="Complete",SUM(G3347:I3347)-J3347-K3347-L3347+M3347+IF(C3347=0,Paths!$F$310,0)+IF(IF(Paths!$E$310=0,C3347=0,AND(C3347&gt;0,Paths!$E$310&gt;(C3347-1)*12,Paths!$E$310&lt;=C3347*12)),VLOOKUP(A3347,'Fleet register'!$A$7:$S$106,16,FALSE),0),"n.a."))</f>
        <v>0</v>
      </c>
      <c r="O3347" s="16">
        <f>IF(NOT(Paths!$C$310=1),0,IF(Paths!$P$310="Complete",N3347-IF(C3347=0,Paths!$F$310,0),"n.a."))</f>
        <v>0</v>
      </c>
      <c r="P3347" s="16">
        <f>IF(NOT(Paths!$C$310=1),0,IF(Paths!$P$310="Complete",O3347+L3347,"n.a."))</f>
        <v>0</v>
      </c>
      <c r="Q3347" s="16">
        <f>IF(NOT(Paths!$C$310=1),0,IF(Paths!$P$310="Complete",N3347*(1+'Operating costs'!$B$54)^-C3347,"n.a."))</f>
        <v>0</v>
      </c>
      <c r="R3347" s="16">
        <f>IF(NOT(Paths!$C$310=1),0,IF(Paths!$P$310="Complete",IF(AND(C3347=0,Paths!$E$310=0),I3347-J3347-K3347+VLOOKUP(A3347,'Fleet register'!$A$7:$S$106,15,FALSE)+VLOOKUP(A3347,'Fleet register'!$A$7:$S$106,16,FALSE),0),"n.a."))</f>
        <v>0</v>
      </c>
      <c r="S3347" s="1">
        <f>IF(NOT(Paths!$C$310=1),0,IF(Paths!$P$310="Complete",IF(C3347=0,0,Paths!$S$310*Paths!$R$310),"n.a."))</f>
        <v>0</v>
      </c>
      <c r="T3347" s="1">
        <f>IF(NOT(Paths!$C$310=1),0,IF(Paths!$P$310="Complete",IF(C3347=0,0,VLOOKUP(A3347,'Fleet register'!$A$7:$S$106,9,FALSE)*Paths!$R$310),"n.a."))</f>
        <v>0</v>
      </c>
    </row>
    <row r="3348" spans="1:20" ht="24" customHeight="1">
      <c r="A3348" s="1" t="str">
        <f>Paths!$A$310</f>
        <v>T076</v>
      </c>
      <c r="B3348" s="1">
        <f>Paths!$B$310</f>
        <v>3</v>
      </c>
      <c r="C3348" s="1">
        <v>8</v>
      </c>
      <c r="D3348" s="1">
        <v>310</v>
      </c>
      <c r="E3348" s="1">
        <f>IF(OR(Paths!$C$310=0,C3348=0),0,MAX(0,MIN(C3348*12,Paths!$E$310)-(C3348-1)*12))</f>
        <v>0</v>
      </c>
      <c r="F3348" s="1">
        <f>IF(OR(Paths!$C$310=0,C3348=0),0,12-E3348)</f>
        <v>0</v>
      </c>
      <c r="G3348" s="16">
        <f>IF(NOT(Paths!$C$310=1),0,IF(Paths!$P$310="Complete",E3348/12*(Paths!$J$310*(1+'Operating costs'!$B$51)^MAX(0,C3348-1)+Paths!$K$310*(1+'Operating costs'!$B$53)^MAX(0,C3348-1)),"n.a."))</f>
        <v>0</v>
      </c>
      <c r="H3348" s="16">
        <f>IF(NOT(Paths!$C$310=1),0,IF(Paths!$P$310="Complete",F3348/12*(Paths!$L$310*(1+IF(Paths!$D$310="EV",'Operating costs'!$B$52,'Operating costs'!$B$51))^MAX(0,C3348-1)+Paths!$M$310*(1+'Operating costs'!$B$53)^MAX(0,C3348-1)),"n.a."))</f>
        <v>0</v>
      </c>
      <c r="I3348" s="16">
        <f>IF(NOT(Paths!$C$310=1),0,IF(Paths!$P$310="Complete",IF(IF(Paths!$E$310=0,C3348=0,AND(C3348&gt;0,Paths!$E$310&gt;(C3348-1)*12,Paths!$E$310&lt;=C3348*12)),Paths!$G$310,0),"n.a."))</f>
        <v>0</v>
      </c>
      <c r="J3348" s="16">
        <f>IF(NOT(Paths!$C$310=1),0,IF(Paths!$P$310="Complete",IF(IF(Paths!$E$310=0,C3348=0,AND(C3348&gt;0,Paths!$E$310&gt;(C3348-1)*12,Paths!$E$310&lt;=C3348*12)),Paths!$H$310,0),"n.a."))</f>
        <v>0</v>
      </c>
      <c r="K3348" s="16">
        <f>IF(NOT(Paths!$C$310=1),0,IF(Paths!$P$310="Complete",IF(IF(Paths!$O$310=0,C3348=0,AND(C3348&gt;0,Paths!$O$310&gt;(C3348-1)*12,Paths!$O$310&lt;=C3348*12)),Paths!$N$310,0),"n.a."))</f>
        <v>0</v>
      </c>
      <c r="L3348" s="16">
        <f>IF(NOT(Paths!$C$310=1),0,IF(Paths!$P$310="Complete",IF(C3348=10,Paths!$I$310,0),"n.a."))</f>
        <v>0</v>
      </c>
      <c r="M3348" s="16">
        <f>IF(NOT(Paths!$C$310=1),0,IF(Paths!$P$310="Complete",IF(AND(Paths!$D$310="EV",Paths!$E$310&lt;120,Paths!$E$310+'Operating costs'!$B$65&gt;Paths!$E$310,Paths!$E$310+'Operating costs'!$B$65&lt;=120,IF(Paths!$E$310+'Operating costs'!$B$65=0,C3348=0,AND(C3348&gt;0,Paths!$E$310+'Operating costs'!$B$65&gt;(C3348-1)*12,Paths!$E$310+'Operating costs'!$B$65&lt;=C3348*12))),'Operating costs'!$B$64,0)+IF(AND('Operating costs'!$B$67&gt;0,'Operating costs'!$B$67&lt;=120,OR(Paths!$D$310="ICE",'Operating costs'!$B$67&lt;=Paths!$E$310),IF('Operating costs'!$B$67=0,C3348=0,AND(C3348&gt;0,'Operating costs'!$B$67&gt;(C3348-1)*12,'Operating costs'!$B$67&lt;=C3348*12))),'Operating costs'!$B$66,0),"n.a."))</f>
        <v>0</v>
      </c>
      <c r="N3348" s="16">
        <f>IF(NOT(Paths!$C$310=1),0,IF(Paths!$P$310="Complete",SUM(G3348:I3348)-J3348-K3348-L3348+M3348+IF(C3348=0,Paths!$F$310,0)+IF(IF(Paths!$E$310=0,C3348=0,AND(C3348&gt;0,Paths!$E$310&gt;(C3348-1)*12,Paths!$E$310&lt;=C3348*12)),VLOOKUP(A3348,'Fleet register'!$A$7:$S$106,16,FALSE),0),"n.a."))</f>
        <v>0</v>
      </c>
      <c r="O3348" s="16">
        <f>IF(NOT(Paths!$C$310=1),0,IF(Paths!$P$310="Complete",N3348-IF(C3348=0,Paths!$F$310,0),"n.a."))</f>
        <v>0</v>
      </c>
      <c r="P3348" s="16">
        <f>IF(NOT(Paths!$C$310=1),0,IF(Paths!$P$310="Complete",O3348+L3348,"n.a."))</f>
        <v>0</v>
      </c>
      <c r="Q3348" s="16">
        <f>IF(NOT(Paths!$C$310=1),0,IF(Paths!$P$310="Complete",N3348*(1+'Operating costs'!$B$54)^-C3348,"n.a."))</f>
        <v>0</v>
      </c>
      <c r="R3348" s="16">
        <f>IF(NOT(Paths!$C$310=1),0,IF(Paths!$P$310="Complete",IF(AND(C3348=0,Paths!$E$310=0),I3348-J3348-K3348+VLOOKUP(A3348,'Fleet register'!$A$7:$S$106,15,FALSE)+VLOOKUP(A3348,'Fleet register'!$A$7:$S$106,16,FALSE),0),"n.a."))</f>
        <v>0</v>
      </c>
      <c r="S3348" s="1">
        <f>IF(NOT(Paths!$C$310=1),0,IF(Paths!$P$310="Complete",IF(C3348=0,0,Paths!$S$310*Paths!$R$310),"n.a."))</f>
        <v>0</v>
      </c>
      <c r="T3348" s="1">
        <f>IF(NOT(Paths!$C$310=1),0,IF(Paths!$P$310="Complete",IF(C3348=0,0,VLOOKUP(A3348,'Fleet register'!$A$7:$S$106,9,FALSE)*Paths!$R$310),"n.a."))</f>
        <v>0</v>
      </c>
    </row>
    <row r="3349" spans="1:20" ht="24" customHeight="1">
      <c r="A3349" s="1" t="str">
        <f>Paths!$A$310</f>
        <v>T076</v>
      </c>
      <c r="B3349" s="1">
        <f>Paths!$B$310</f>
        <v>3</v>
      </c>
      <c r="C3349" s="1">
        <v>9</v>
      </c>
      <c r="D3349" s="1">
        <v>310</v>
      </c>
      <c r="E3349" s="1">
        <f>IF(OR(Paths!$C$310=0,C3349=0),0,MAX(0,MIN(C3349*12,Paths!$E$310)-(C3349-1)*12))</f>
        <v>0</v>
      </c>
      <c r="F3349" s="1">
        <f>IF(OR(Paths!$C$310=0,C3349=0),0,12-E3349)</f>
        <v>0</v>
      </c>
      <c r="G3349" s="16">
        <f>IF(NOT(Paths!$C$310=1),0,IF(Paths!$P$310="Complete",E3349/12*(Paths!$J$310*(1+'Operating costs'!$B$51)^MAX(0,C3349-1)+Paths!$K$310*(1+'Operating costs'!$B$53)^MAX(0,C3349-1)),"n.a."))</f>
        <v>0</v>
      </c>
      <c r="H3349" s="16">
        <f>IF(NOT(Paths!$C$310=1),0,IF(Paths!$P$310="Complete",F3349/12*(Paths!$L$310*(1+IF(Paths!$D$310="EV",'Operating costs'!$B$52,'Operating costs'!$B$51))^MAX(0,C3349-1)+Paths!$M$310*(1+'Operating costs'!$B$53)^MAX(0,C3349-1)),"n.a."))</f>
        <v>0</v>
      </c>
      <c r="I3349" s="16">
        <f>IF(NOT(Paths!$C$310=1),0,IF(Paths!$P$310="Complete",IF(IF(Paths!$E$310=0,C3349=0,AND(C3349&gt;0,Paths!$E$310&gt;(C3349-1)*12,Paths!$E$310&lt;=C3349*12)),Paths!$G$310,0),"n.a."))</f>
        <v>0</v>
      </c>
      <c r="J3349" s="16">
        <f>IF(NOT(Paths!$C$310=1),0,IF(Paths!$P$310="Complete",IF(IF(Paths!$E$310=0,C3349=0,AND(C3349&gt;0,Paths!$E$310&gt;(C3349-1)*12,Paths!$E$310&lt;=C3349*12)),Paths!$H$310,0),"n.a."))</f>
        <v>0</v>
      </c>
      <c r="K3349" s="16">
        <f>IF(NOT(Paths!$C$310=1),0,IF(Paths!$P$310="Complete",IF(IF(Paths!$O$310=0,C3349=0,AND(C3349&gt;0,Paths!$O$310&gt;(C3349-1)*12,Paths!$O$310&lt;=C3349*12)),Paths!$N$310,0),"n.a."))</f>
        <v>0</v>
      </c>
      <c r="L3349" s="16">
        <f>IF(NOT(Paths!$C$310=1),0,IF(Paths!$P$310="Complete",IF(C3349=10,Paths!$I$310,0),"n.a."))</f>
        <v>0</v>
      </c>
      <c r="M3349" s="16">
        <f>IF(NOT(Paths!$C$310=1),0,IF(Paths!$P$310="Complete",IF(AND(Paths!$D$310="EV",Paths!$E$310&lt;120,Paths!$E$310+'Operating costs'!$B$65&gt;Paths!$E$310,Paths!$E$310+'Operating costs'!$B$65&lt;=120,IF(Paths!$E$310+'Operating costs'!$B$65=0,C3349=0,AND(C3349&gt;0,Paths!$E$310+'Operating costs'!$B$65&gt;(C3349-1)*12,Paths!$E$310+'Operating costs'!$B$65&lt;=C3349*12))),'Operating costs'!$B$64,0)+IF(AND('Operating costs'!$B$67&gt;0,'Operating costs'!$B$67&lt;=120,OR(Paths!$D$310="ICE",'Operating costs'!$B$67&lt;=Paths!$E$310),IF('Operating costs'!$B$67=0,C3349=0,AND(C3349&gt;0,'Operating costs'!$B$67&gt;(C3349-1)*12,'Operating costs'!$B$67&lt;=C3349*12))),'Operating costs'!$B$66,0),"n.a."))</f>
        <v>0</v>
      </c>
      <c r="N3349" s="16">
        <f>IF(NOT(Paths!$C$310=1),0,IF(Paths!$P$310="Complete",SUM(G3349:I3349)-J3349-K3349-L3349+M3349+IF(C3349=0,Paths!$F$310,0)+IF(IF(Paths!$E$310=0,C3349=0,AND(C3349&gt;0,Paths!$E$310&gt;(C3349-1)*12,Paths!$E$310&lt;=C3349*12)),VLOOKUP(A3349,'Fleet register'!$A$7:$S$106,16,FALSE),0),"n.a."))</f>
        <v>0</v>
      </c>
      <c r="O3349" s="16">
        <f>IF(NOT(Paths!$C$310=1),0,IF(Paths!$P$310="Complete",N3349-IF(C3349=0,Paths!$F$310,0),"n.a."))</f>
        <v>0</v>
      </c>
      <c r="P3349" s="16">
        <f>IF(NOT(Paths!$C$310=1),0,IF(Paths!$P$310="Complete",O3349+L3349,"n.a."))</f>
        <v>0</v>
      </c>
      <c r="Q3349" s="16">
        <f>IF(NOT(Paths!$C$310=1),0,IF(Paths!$P$310="Complete",N3349*(1+'Operating costs'!$B$54)^-C3349,"n.a."))</f>
        <v>0</v>
      </c>
      <c r="R3349" s="16">
        <f>IF(NOT(Paths!$C$310=1),0,IF(Paths!$P$310="Complete",IF(AND(C3349=0,Paths!$E$310=0),I3349-J3349-K3349+VLOOKUP(A3349,'Fleet register'!$A$7:$S$106,15,FALSE)+VLOOKUP(A3349,'Fleet register'!$A$7:$S$106,16,FALSE),0),"n.a."))</f>
        <v>0</v>
      </c>
      <c r="S3349" s="1">
        <f>IF(NOT(Paths!$C$310=1),0,IF(Paths!$P$310="Complete",IF(C3349=0,0,Paths!$S$310*Paths!$R$310),"n.a."))</f>
        <v>0</v>
      </c>
      <c r="T3349" s="1">
        <f>IF(NOT(Paths!$C$310=1),0,IF(Paths!$P$310="Complete",IF(C3349=0,0,VLOOKUP(A3349,'Fleet register'!$A$7:$S$106,9,FALSE)*Paths!$R$310),"n.a."))</f>
        <v>0</v>
      </c>
    </row>
    <row r="3350" spans="1:20" ht="24" customHeight="1">
      <c r="A3350" s="1" t="str">
        <f>Paths!$A$310</f>
        <v>T076</v>
      </c>
      <c r="B3350" s="1">
        <f>Paths!$B$310</f>
        <v>3</v>
      </c>
      <c r="C3350" s="1">
        <v>10</v>
      </c>
      <c r="D3350" s="1">
        <v>310</v>
      </c>
      <c r="E3350" s="1">
        <f>IF(OR(Paths!$C$310=0,C3350=0),0,MAX(0,MIN(C3350*12,Paths!$E$310)-(C3350-1)*12))</f>
        <v>0</v>
      </c>
      <c r="F3350" s="1">
        <f>IF(OR(Paths!$C$310=0,C3350=0),0,12-E3350)</f>
        <v>0</v>
      </c>
      <c r="G3350" s="16">
        <f>IF(NOT(Paths!$C$310=1),0,IF(Paths!$P$310="Complete",E3350/12*(Paths!$J$310*(1+'Operating costs'!$B$51)^MAX(0,C3350-1)+Paths!$K$310*(1+'Operating costs'!$B$53)^MAX(0,C3350-1)),"n.a."))</f>
        <v>0</v>
      </c>
      <c r="H3350" s="16">
        <f>IF(NOT(Paths!$C$310=1),0,IF(Paths!$P$310="Complete",F3350/12*(Paths!$L$310*(1+IF(Paths!$D$310="EV",'Operating costs'!$B$52,'Operating costs'!$B$51))^MAX(0,C3350-1)+Paths!$M$310*(1+'Operating costs'!$B$53)^MAX(0,C3350-1)),"n.a."))</f>
        <v>0</v>
      </c>
      <c r="I3350" s="16">
        <f>IF(NOT(Paths!$C$310=1),0,IF(Paths!$P$310="Complete",IF(IF(Paths!$E$310=0,C3350=0,AND(C3350&gt;0,Paths!$E$310&gt;(C3350-1)*12,Paths!$E$310&lt;=C3350*12)),Paths!$G$310,0),"n.a."))</f>
        <v>0</v>
      </c>
      <c r="J3350" s="16">
        <f>IF(NOT(Paths!$C$310=1),0,IF(Paths!$P$310="Complete",IF(IF(Paths!$E$310=0,C3350=0,AND(C3350&gt;0,Paths!$E$310&gt;(C3350-1)*12,Paths!$E$310&lt;=C3350*12)),Paths!$H$310,0),"n.a."))</f>
        <v>0</v>
      </c>
      <c r="K3350" s="16">
        <f>IF(NOT(Paths!$C$310=1),0,IF(Paths!$P$310="Complete",IF(IF(Paths!$O$310=0,C3350=0,AND(C3350&gt;0,Paths!$O$310&gt;(C3350-1)*12,Paths!$O$310&lt;=C3350*12)),Paths!$N$310,0),"n.a."))</f>
        <v>0</v>
      </c>
      <c r="L3350" s="16">
        <f>IF(NOT(Paths!$C$310=1),0,IF(Paths!$P$310="Complete",IF(C3350=10,Paths!$I$310,0),"n.a."))</f>
        <v>0</v>
      </c>
      <c r="M3350" s="16">
        <f>IF(NOT(Paths!$C$310=1),0,IF(Paths!$P$310="Complete",IF(AND(Paths!$D$310="EV",Paths!$E$310&lt;120,Paths!$E$310+'Operating costs'!$B$65&gt;Paths!$E$310,Paths!$E$310+'Operating costs'!$B$65&lt;=120,IF(Paths!$E$310+'Operating costs'!$B$65=0,C3350=0,AND(C3350&gt;0,Paths!$E$310+'Operating costs'!$B$65&gt;(C3350-1)*12,Paths!$E$310+'Operating costs'!$B$65&lt;=C3350*12))),'Operating costs'!$B$64,0)+IF(AND('Operating costs'!$B$67&gt;0,'Operating costs'!$B$67&lt;=120,OR(Paths!$D$310="ICE",'Operating costs'!$B$67&lt;=Paths!$E$310),IF('Operating costs'!$B$67=0,C3350=0,AND(C3350&gt;0,'Operating costs'!$B$67&gt;(C3350-1)*12,'Operating costs'!$B$67&lt;=C3350*12))),'Operating costs'!$B$66,0),"n.a."))</f>
        <v>0</v>
      </c>
      <c r="N3350" s="16">
        <f>IF(NOT(Paths!$C$310=1),0,IF(Paths!$P$310="Complete",SUM(G3350:I3350)-J3350-K3350-L3350+M3350+IF(C3350=0,Paths!$F$310,0)+IF(IF(Paths!$E$310=0,C3350=0,AND(C3350&gt;0,Paths!$E$310&gt;(C3350-1)*12,Paths!$E$310&lt;=C3350*12)),VLOOKUP(A3350,'Fleet register'!$A$7:$S$106,16,FALSE),0),"n.a."))</f>
        <v>0</v>
      </c>
      <c r="O3350" s="16">
        <f>IF(NOT(Paths!$C$310=1),0,IF(Paths!$P$310="Complete",N3350-IF(C3350=0,Paths!$F$310,0),"n.a."))</f>
        <v>0</v>
      </c>
      <c r="P3350" s="16">
        <f>IF(NOT(Paths!$C$310=1),0,IF(Paths!$P$310="Complete",O3350+L3350,"n.a."))</f>
        <v>0</v>
      </c>
      <c r="Q3350" s="16">
        <f>IF(NOT(Paths!$C$310=1),0,IF(Paths!$P$310="Complete",N3350*(1+'Operating costs'!$B$54)^-C3350,"n.a."))</f>
        <v>0</v>
      </c>
      <c r="R3350" s="16">
        <f>IF(NOT(Paths!$C$310=1),0,IF(Paths!$P$310="Complete",IF(AND(C3350=0,Paths!$E$310=0),I3350-J3350-K3350+VLOOKUP(A3350,'Fleet register'!$A$7:$S$106,15,FALSE)+VLOOKUP(A3350,'Fleet register'!$A$7:$S$106,16,FALSE),0),"n.a."))</f>
        <v>0</v>
      </c>
      <c r="S3350" s="1">
        <f>IF(NOT(Paths!$C$310=1),0,IF(Paths!$P$310="Complete",IF(C3350=0,0,Paths!$S$310*Paths!$R$310),"n.a."))</f>
        <v>0</v>
      </c>
      <c r="T3350" s="1">
        <f>IF(NOT(Paths!$C$310=1),0,IF(Paths!$P$310="Complete",IF(C3350=0,0,VLOOKUP(A3350,'Fleet register'!$A$7:$S$106,9,FALSE)*Paths!$R$310),"n.a."))</f>
        <v>0</v>
      </c>
    </row>
    <row r="3351" spans="1:20" ht="24" customHeight="1">
      <c r="A3351" s="1" t="str">
        <f>Paths!$A$311</f>
        <v>T077</v>
      </c>
      <c r="B3351" s="1">
        <f>Paths!$B$311</f>
        <v>0</v>
      </c>
      <c r="C3351" s="1">
        <v>0</v>
      </c>
      <c r="D3351" s="1">
        <v>311</v>
      </c>
      <c r="E3351" s="1">
        <f>IF(OR(Paths!$C$311=0,C3351=0),0,MAX(0,MIN(C3351*12,Paths!$E$311)-(C3351-1)*12))</f>
        <v>0</v>
      </c>
      <c r="F3351" s="1">
        <f>IF(OR(Paths!$C$311=0,C3351=0),0,12-E3351)</f>
        <v>0</v>
      </c>
      <c r="G3351" s="16">
        <f>IF(NOT(Paths!$C$311=1),0,IF(Paths!$P$311="Complete",E3351/12*(Paths!$J$311*(1+'Operating costs'!$B$51)^MAX(0,C3351-1)+Paths!$K$311*(1+'Operating costs'!$B$53)^MAX(0,C3351-1)),"n.a."))</f>
        <v>0</v>
      </c>
      <c r="H3351" s="16">
        <f>IF(NOT(Paths!$C$311=1),0,IF(Paths!$P$311="Complete",F3351/12*(Paths!$L$311*(1+IF(Paths!$D$311="EV",'Operating costs'!$B$52,'Operating costs'!$B$51))^MAX(0,C3351-1)+Paths!$M$311*(1+'Operating costs'!$B$53)^MAX(0,C3351-1)),"n.a."))</f>
        <v>0</v>
      </c>
      <c r="I3351" s="16">
        <f>IF(NOT(Paths!$C$311=1),0,IF(Paths!$P$311="Complete",IF(IF(Paths!$E$311=0,C3351=0,AND(C3351&gt;0,Paths!$E$311&gt;(C3351-1)*12,Paths!$E$311&lt;=C3351*12)),Paths!$G$311,0),"n.a."))</f>
        <v>0</v>
      </c>
      <c r="J3351" s="16">
        <f>IF(NOT(Paths!$C$311=1),0,IF(Paths!$P$311="Complete",IF(IF(Paths!$E$311=0,C3351=0,AND(C3351&gt;0,Paths!$E$311&gt;(C3351-1)*12,Paths!$E$311&lt;=C3351*12)),Paths!$H$311,0),"n.a."))</f>
        <v>0</v>
      </c>
      <c r="K3351" s="16">
        <f>IF(NOT(Paths!$C$311=1),0,IF(Paths!$P$311="Complete",IF(IF(Paths!$O$311=0,C3351=0,AND(C3351&gt;0,Paths!$O$311&gt;(C3351-1)*12,Paths!$O$311&lt;=C3351*12)),Paths!$N$311,0),"n.a."))</f>
        <v>0</v>
      </c>
      <c r="L3351" s="16">
        <f>IF(NOT(Paths!$C$311=1),0,IF(Paths!$P$311="Complete",IF(C3351=10,Paths!$I$311,0),"n.a."))</f>
        <v>0</v>
      </c>
      <c r="M3351" s="16">
        <f>IF(NOT(Paths!$C$311=1),0,IF(Paths!$P$311="Complete",IF(AND(Paths!$D$311="EV",Paths!$E$311&lt;120,Paths!$E$311+'Operating costs'!$B$65&gt;Paths!$E$311,Paths!$E$311+'Operating costs'!$B$65&lt;=120,IF(Paths!$E$311+'Operating costs'!$B$65=0,C3351=0,AND(C3351&gt;0,Paths!$E$311+'Operating costs'!$B$65&gt;(C3351-1)*12,Paths!$E$311+'Operating costs'!$B$65&lt;=C3351*12))),'Operating costs'!$B$64,0)+IF(AND('Operating costs'!$B$67&gt;0,'Operating costs'!$B$67&lt;=120,OR(Paths!$D$311="ICE",'Operating costs'!$B$67&lt;=Paths!$E$311),IF('Operating costs'!$B$67=0,C3351=0,AND(C3351&gt;0,'Operating costs'!$B$67&gt;(C3351-1)*12,'Operating costs'!$B$67&lt;=C3351*12))),'Operating costs'!$B$66,0),"n.a."))</f>
        <v>0</v>
      </c>
      <c r="N3351" s="16">
        <f>IF(NOT(Paths!$C$311=1),0,IF(Paths!$P$311="Complete",SUM(G3351:I3351)-J3351-K3351-L3351+M3351+IF(C3351=0,Paths!$F$311,0)+IF(IF(Paths!$E$311=0,C3351=0,AND(C3351&gt;0,Paths!$E$311&gt;(C3351-1)*12,Paths!$E$311&lt;=C3351*12)),VLOOKUP(A3351,'Fleet register'!$A$7:$S$106,16,FALSE),0),"n.a."))</f>
        <v>0</v>
      </c>
      <c r="O3351" s="16">
        <f>IF(NOT(Paths!$C$311=1),0,IF(Paths!$P$311="Complete",N3351-IF(C3351=0,Paths!$F$311,0),"n.a."))</f>
        <v>0</v>
      </c>
      <c r="P3351" s="16">
        <f>IF(NOT(Paths!$C$311=1),0,IF(Paths!$P$311="Complete",O3351+L3351,"n.a."))</f>
        <v>0</v>
      </c>
      <c r="Q3351" s="16">
        <f>IF(NOT(Paths!$C$311=1),0,IF(Paths!$P$311="Complete",N3351*(1+'Operating costs'!$B$54)^-C3351,"n.a."))</f>
        <v>0</v>
      </c>
      <c r="R3351" s="16">
        <f>IF(NOT(Paths!$C$311=1),0,IF(Paths!$P$311="Complete",IF(AND(C3351=0,Paths!$E$311=0),I3351-J3351-K3351+VLOOKUP(A3351,'Fleet register'!$A$7:$S$106,15,FALSE)+VLOOKUP(A3351,'Fleet register'!$A$7:$S$106,16,FALSE),0),"n.a."))</f>
        <v>0</v>
      </c>
      <c r="S3351" s="1">
        <f>IF(NOT(Paths!$C$311=1),0,IF(Paths!$P$311="Complete",IF(C3351=0,0,Paths!$S$311*Paths!$R$311),"n.a."))</f>
        <v>0</v>
      </c>
      <c r="T3351" s="1">
        <f>IF(NOT(Paths!$C$311=1),0,IF(Paths!$P$311="Complete",IF(C3351=0,0,VLOOKUP(A3351,'Fleet register'!$A$7:$S$106,9,FALSE)*Paths!$R$311),"n.a."))</f>
        <v>0</v>
      </c>
    </row>
    <row r="3352" spans="1:20" ht="24" customHeight="1">
      <c r="A3352" s="1" t="str">
        <f>Paths!$A$311</f>
        <v>T077</v>
      </c>
      <c r="B3352" s="1">
        <f>Paths!$B$311</f>
        <v>0</v>
      </c>
      <c r="C3352" s="1">
        <v>1</v>
      </c>
      <c r="D3352" s="1">
        <v>311</v>
      </c>
      <c r="E3352" s="1">
        <f>IF(OR(Paths!$C$311=0,C3352=0),0,MAX(0,MIN(C3352*12,Paths!$E$311)-(C3352-1)*12))</f>
        <v>0</v>
      </c>
      <c r="F3352" s="1">
        <f>IF(OR(Paths!$C$311=0,C3352=0),0,12-E3352)</f>
        <v>0</v>
      </c>
      <c r="G3352" s="16">
        <f>IF(NOT(Paths!$C$311=1),0,IF(Paths!$P$311="Complete",E3352/12*(Paths!$J$311*(1+'Operating costs'!$B$51)^MAX(0,C3352-1)+Paths!$K$311*(1+'Operating costs'!$B$53)^MAX(0,C3352-1)),"n.a."))</f>
        <v>0</v>
      </c>
      <c r="H3352" s="16">
        <f>IF(NOT(Paths!$C$311=1),0,IF(Paths!$P$311="Complete",F3352/12*(Paths!$L$311*(1+IF(Paths!$D$311="EV",'Operating costs'!$B$52,'Operating costs'!$B$51))^MAX(0,C3352-1)+Paths!$M$311*(1+'Operating costs'!$B$53)^MAX(0,C3352-1)),"n.a."))</f>
        <v>0</v>
      </c>
      <c r="I3352" s="16">
        <f>IF(NOT(Paths!$C$311=1),0,IF(Paths!$P$311="Complete",IF(IF(Paths!$E$311=0,C3352=0,AND(C3352&gt;0,Paths!$E$311&gt;(C3352-1)*12,Paths!$E$311&lt;=C3352*12)),Paths!$G$311,0),"n.a."))</f>
        <v>0</v>
      </c>
      <c r="J3352" s="16">
        <f>IF(NOT(Paths!$C$311=1),0,IF(Paths!$P$311="Complete",IF(IF(Paths!$E$311=0,C3352=0,AND(C3352&gt;0,Paths!$E$311&gt;(C3352-1)*12,Paths!$E$311&lt;=C3352*12)),Paths!$H$311,0),"n.a."))</f>
        <v>0</v>
      </c>
      <c r="K3352" s="16">
        <f>IF(NOT(Paths!$C$311=1),0,IF(Paths!$P$311="Complete",IF(IF(Paths!$O$311=0,C3352=0,AND(C3352&gt;0,Paths!$O$311&gt;(C3352-1)*12,Paths!$O$311&lt;=C3352*12)),Paths!$N$311,0),"n.a."))</f>
        <v>0</v>
      </c>
      <c r="L3352" s="16">
        <f>IF(NOT(Paths!$C$311=1),0,IF(Paths!$P$311="Complete",IF(C3352=10,Paths!$I$311,0),"n.a."))</f>
        <v>0</v>
      </c>
      <c r="M3352" s="16">
        <f>IF(NOT(Paths!$C$311=1),0,IF(Paths!$P$311="Complete",IF(AND(Paths!$D$311="EV",Paths!$E$311&lt;120,Paths!$E$311+'Operating costs'!$B$65&gt;Paths!$E$311,Paths!$E$311+'Operating costs'!$B$65&lt;=120,IF(Paths!$E$311+'Operating costs'!$B$65=0,C3352=0,AND(C3352&gt;0,Paths!$E$311+'Operating costs'!$B$65&gt;(C3352-1)*12,Paths!$E$311+'Operating costs'!$B$65&lt;=C3352*12))),'Operating costs'!$B$64,0)+IF(AND('Operating costs'!$B$67&gt;0,'Operating costs'!$B$67&lt;=120,OR(Paths!$D$311="ICE",'Operating costs'!$B$67&lt;=Paths!$E$311),IF('Operating costs'!$B$67=0,C3352=0,AND(C3352&gt;0,'Operating costs'!$B$67&gt;(C3352-1)*12,'Operating costs'!$B$67&lt;=C3352*12))),'Operating costs'!$B$66,0),"n.a."))</f>
        <v>0</v>
      </c>
      <c r="N3352" s="16">
        <f>IF(NOT(Paths!$C$311=1),0,IF(Paths!$P$311="Complete",SUM(G3352:I3352)-J3352-K3352-L3352+M3352+IF(C3352=0,Paths!$F$311,0)+IF(IF(Paths!$E$311=0,C3352=0,AND(C3352&gt;0,Paths!$E$311&gt;(C3352-1)*12,Paths!$E$311&lt;=C3352*12)),VLOOKUP(A3352,'Fleet register'!$A$7:$S$106,16,FALSE),0),"n.a."))</f>
        <v>0</v>
      </c>
      <c r="O3352" s="16">
        <f>IF(NOT(Paths!$C$311=1),0,IF(Paths!$P$311="Complete",N3352-IF(C3352=0,Paths!$F$311,0),"n.a."))</f>
        <v>0</v>
      </c>
      <c r="P3352" s="16">
        <f>IF(NOT(Paths!$C$311=1),0,IF(Paths!$P$311="Complete",O3352+L3352,"n.a."))</f>
        <v>0</v>
      </c>
      <c r="Q3352" s="16">
        <f>IF(NOT(Paths!$C$311=1),0,IF(Paths!$P$311="Complete",N3352*(1+'Operating costs'!$B$54)^-C3352,"n.a."))</f>
        <v>0</v>
      </c>
      <c r="R3352" s="16">
        <f>IF(NOT(Paths!$C$311=1),0,IF(Paths!$P$311="Complete",IF(AND(C3352=0,Paths!$E$311=0),I3352-J3352-K3352+VLOOKUP(A3352,'Fleet register'!$A$7:$S$106,15,FALSE)+VLOOKUP(A3352,'Fleet register'!$A$7:$S$106,16,FALSE),0),"n.a."))</f>
        <v>0</v>
      </c>
      <c r="S3352" s="1">
        <f>IF(NOT(Paths!$C$311=1),0,IF(Paths!$P$311="Complete",IF(C3352=0,0,Paths!$S$311*Paths!$R$311),"n.a."))</f>
        <v>0</v>
      </c>
      <c r="T3352" s="1">
        <f>IF(NOT(Paths!$C$311=1),0,IF(Paths!$P$311="Complete",IF(C3352=0,0,VLOOKUP(A3352,'Fleet register'!$A$7:$S$106,9,FALSE)*Paths!$R$311),"n.a."))</f>
        <v>0</v>
      </c>
    </row>
    <row r="3353" spans="1:20" ht="24" customHeight="1">
      <c r="A3353" s="1" t="str">
        <f>Paths!$A$311</f>
        <v>T077</v>
      </c>
      <c r="B3353" s="1">
        <f>Paths!$B$311</f>
        <v>0</v>
      </c>
      <c r="C3353" s="1">
        <v>2</v>
      </c>
      <c r="D3353" s="1">
        <v>311</v>
      </c>
      <c r="E3353" s="1">
        <f>IF(OR(Paths!$C$311=0,C3353=0),0,MAX(0,MIN(C3353*12,Paths!$E$311)-(C3353-1)*12))</f>
        <v>0</v>
      </c>
      <c r="F3353" s="1">
        <f>IF(OR(Paths!$C$311=0,C3353=0),0,12-E3353)</f>
        <v>0</v>
      </c>
      <c r="G3353" s="16">
        <f>IF(NOT(Paths!$C$311=1),0,IF(Paths!$P$311="Complete",E3353/12*(Paths!$J$311*(1+'Operating costs'!$B$51)^MAX(0,C3353-1)+Paths!$K$311*(1+'Operating costs'!$B$53)^MAX(0,C3353-1)),"n.a."))</f>
        <v>0</v>
      </c>
      <c r="H3353" s="16">
        <f>IF(NOT(Paths!$C$311=1),0,IF(Paths!$P$311="Complete",F3353/12*(Paths!$L$311*(1+IF(Paths!$D$311="EV",'Operating costs'!$B$52,'Operating costs'!$B$51))^MAX(0,C3353-1)+Paths!$M$311*(1+'Operating costs'!$B$53)^MAX(0,C3353-1)),"n.a."))</f>
        <v>0</v>
      </c>
      <c r="I3353" s="16">
        <f>IF(NOT(Paths!$C$311=1),0,IF(Paths!$P$311="Complete",IF(IF(Paths!$E$311=0,C3353=0,AND(C3353&gt;0,Paths!$E$311&gt;(C3353-1)*12,Paths!$E$311&lt;=C3353*12)),Paths!$G$311,0),"n.a."))</f>
        <v>0</v>
      </c>
      <c r="J3353" s="16">
        <f>IF(NOT(Paths!$C$311=1),0,IF(Paths!$P$311="Complete",IF(IF(Paths!$E$311=0,C3353=0,AND(C3353&gt;0,Paths!$E$311&gt;(C3353-1)*12,Paths!$E$311&lt;=C3353*12)),Paths!$H$311,0),"n.a."))</f>
        <v>0</v>
      </c>
      <c r="K3353" s="16">
        <f>IF(NOT(Paths!$C$311=1),0,IF(Paths!$P$311="Complete",IF(IF(Paths!$O$311=0,C3353=0,AND(C3353&gt;0,Paths!$O$311&gt;(C3353-1)*12,Paths!$O$311&lt;=C3353*12)),Paths!$N$311,0),"n.a."))</f>
        <v>0</v>
      </c>
      <c r="L3353" s="16">
        <f>IF(NOT(Paths!$C$311=1),0,IF(Paths!$P$311="Complete",IF(C3353=10,Paths!$I$311,0),"n.a."))</f>
        <v>0</v>
      </c>
      <c r="M3353" s="16">
        <f>IF(NOT(Paths!$C$311=1),0,IF(Paths!$P$311="Complete",IF(AND(Paths!$D$311="EV",Paths!$E$311&lt;120,Paths!$E$311+'Operating costs'!$B$65&gt;Paths!$E$311,Paths!$E$311+'Operating costs'!$B$65&lt;=120,IF(Paths!$E$311+'Operating costs'!$B$65=0,C3353=0,AND(C3353&gt;0,Paths!$E$311+'Operating costs'!$B$65&gt;(C3353-1)*12,Paths!$E$311+'Operating costs'!$B$65&lt;=C3353*12))),'Operating costs'!$B$64,0)+IF(AND('Operating costs'!$B$67&gt;0,'Operating costs'!$B$67&lt;=120,OR(Paths!$D$311="ICE",'Operating costs'!$B$67&lt;=Paths!$E$311),IF('Operating costs'!$B$67=0,C3353=0,AND(C3353&gt;0,'Operating costs'!$B$67&gt;(C3353-1)*12,'Operating costs'!$B$67&lt;=C3353*12))),'Operating costs'!$B$66,0),"n.a."))</f>
        <v>0</v>
      </c>
      <c r="N3353" s="16">
        <f>IF(NOT(Paths!$C$311=1),0,IF(Paths!$P$311="Complete",SUM(G3353:I3353)-J3353-K3353-L3353+M3353+IF(C3353=0,Paths!$F$311,0)+IF(IF(Paths!$E$311=0,C3353=0,AND(C3353&gt;0,Paths!$E$311&gt;(C3353-1)*12,Paths!$E$311&lt;=C3353*12)),VLOOKUP(A3353,'Fleet register'!$A$7:$S$106,16,FALSE),0),"n.a."))</f>
        <v>0</v>
      </c>
      <c r="O3353" s="16">
        <f>IF(NOT(Paths!$C$311=1),0,IF(Paths!$P$311="Complete",N3353-IF(C3353=0,Paths!$F$311,0),"n.a."))</f>
        <v>0</v>
      </c>
      <c r="P3353" s="16">
        <f>IF(NOT(Paths!$C$311=1),0,IF(Paths!$P$311="Complete",O3353+L3353,"n.a."))</f>
        <v>0</v>
      </c>
      <c r="Q3353" s="16">
        <f>IF(NOT(Paths!$C$311=1),0,IF(Paths!$P$311="Complete",N3353*(1+'Operating costs'!$B$54)^-C3353,"n.a."))</f>
        <v>0</v>
      </c>
      <c r="R3353" s="16">
        <f>IF(NOT(Paths!$C$311=1),0,IF(Paths!$P$311="Complete",IF(AND(C3353=0,Paths!$E$311=0),I3353-J3353-K3353+VLOOKUP(A3353,'Fleet register'!$A$7:$S$106,15,FALSE)+VLOOKUP(A3353,'Fleet register'!$A$7:$S$106,16,FALSE),0),"n.a."))</f>
        <v>0</v>
      </c>
      <c r="S3353" s="1">
        <f>IF(NOT(Paths!$C$311=1),0,IF(Paths!$P$311="Complete",IF(C3353=0,0,Paths!$S$311*Paths!$R$311),"n.a."))</f>
        <v>0</v>
      </c>
      <c r="T3353" s="1">
        <f>IF(NOT(Paths!$C$311=1),0,IF(Paths!$P$311="Complete",IF(C3353=0,0,VLOOKUP(A3353,'Fleet register'!$A$7:$S$106,9,FALSE)*Paths!$R$311),"n.a."))</f>
        <v>0</v>
      </c>
    </row>
    <row r="3354" spans="1:20" ht="24" customHeight="1">
      <c r="A3354" s="1" t="str">
        <f>Paths!$A$311</f>
        <v>T077</v>
      </c>
      <c r="B3354" s="1">
        <f>Paths!$B$311</f>
        <v>0</v>
      </c>
      <c r="C3354" s="1">
        <v>3</v>
      </c>
      <c r="D3354" s="1">
        <v>311</v>
      </c>
      <c r="E3354" s="1">
        <f>IF(OR(Paths!$C$311=0,C3354=0),0,MAX(0,MIN(C3354*12,Paths!$E$311)-(C3354-1)*12))</f>
        <v>0</v>
      </c>
      <c r="F3354" s="1">
        <f>IF(OR(Paths!$C$311=0,C3354=0),0,12-E3354)</f>
        <v>0</v>
      </c>
      <c r="G3354" s="16">
        <f>IF(NOT(Paths!$C$311=1),0,IF(Paths!$P$311="Complete",E3354/12*(Paths!$J$311*(1+'Operating costs'!$B$51)^MAX(0,C3354-1)+Paths!$K$311*(1+'Operating costs'!$B$53)^MAX(0,C3354-1)),"n.a."))</f>
        <v>0</v>
      </c>
      <c r="H3354" s="16">
        <f>IF(NOT(Paths!$C$311=1),0,IF(Paths!$P$311="Complete",F3354/12*(Paths!$L$311*(1+IF(Paths!$D$311="EV",'Operating costs'!$B$52,'Operating costs'!$B$51))^MAX(0,C3354-1)+Paths!$M$311*(1+'Operating costs'!$B$53)^MAX(0,C3354-1)),"n.a."))</f>
        <v>0</v>
      </c>
      <c r="I3354" s="16">
        <f>IF(NOT(Paths!$C$311=1),0,IF(Paths!$P$311="Complete",IF(IF(Paths!$E$311=0,C3354=0,AND(C3354&gt;0,Paths!$E$311&gt;(C3354-1)*12,Paths!$E$311&lt;=C3354*12)),Paths!$G$311,0),"n.a."))</f>
        <v>0</v>
      </c>
      <c r="J3354" s="16">
        <f>IF(NOT(Paths!$C$311=1),0,IF(Paths!$P$311="Complete",IF(IF(Paths!$E$311=0,C3354=0,AND(C3354&gt;0,Paths!$E$311&gt;(C3354-1)*12,Paths!$E$311&lt;=C3354*12)),Paths!$H$311,0),"n.a."))</f>
        <v>0</v>
      </c>
      <c r="K3354" s="16">
        <f>IF(NOT(Paths!$C$311=1),0,IF(Paths!$P$311="Complete",IF(IF(Paths!$O$311=0,C3354=0,AND(C3354&gt;0,Paths!$O$311&gt;(C3354-1)*12,Paths!$O$311&lt;=C3354*12)),Paths!$N$311,0),"n.a."))</f>
        <v>0</v>
      </c>
      <c r="L3354" s="16">
        <f>IF(NOT(Paths!$C$311=1),0,IF(Paths!$P$311="Complete",IF(C3354=10,Paths!$I$311,0),"n.a."))</f>
        <v>0</v>
      </c>
      <c r="M3354" s="16">
        <f>IF(NOT(Paths!$C$311=1),0,IF(Paths!$P$311="Complete",IF(AND(Paths!$D$311="EV",Paths!$E$311&lt;120,Paths!$E$311+'Operating costs'!$B$65&gt;Paths!$E$311,Paths!$E$311+'Operating costs'!$B$65&lt;=120,IF(Paths!$E$311+'Operating costs'!$B$65=0,C3354=0,AND(C3354&gt;0,Paths!$E$311+'Operating costs'!$B$65&gt;(C3354-1)*12,Paths!$E$311+'Operating costs'!$B$65&lt;=C3354*12))),'Operating costs'!$B$64,0)+IF(AND('Operating costs'!$B$67&gt;0,'Operating costs'!$B$67&lt;=120,OR(Paths!$D$311="ICE",'Operating costs'!$B$67&lt;=Paths!$E$311),IF('Operating costs'!$B$67=0,C3354=0,AND(C3354&gt;0,'Operating costs'!$B$67&gt;(C3354-1)*12,'Operating costs'!$B$67&lt;=C3354*12))),'Operating costs'!$B$66,0),"n.a."))</f>
        <v>0</v>
      </c>
      <c r="N3354" s="16">
        <f>IF(NOT(Paths!$C$311=1),0,IF(Paths!$P$311="Complete",SUM(G3354:I3354)-J3354-K3354-L3354+M3354+IF(C3354=0,Paths!$F$311,0)+IF(IF(Paths!$E$311=0,C3354=0,AND(C3354&gt;0,Paths!$E$311&gt;(C3354-1)*12,Paths!$E$311&lt;=C3354*12)),VLOOKUP(A3354,'Fleet register'!$A$7:$S$106,16,FALSE),0),"n.a."))</f>
        <v>0</v>
      </c>
      <c r="O3354" s="16">
        <f>IF(NOT(Paths!$C$311=1),0,IF(Paths!$P$311="Complete",N3354-IF(C3354=0,Paths!$F$311,0),"n.a."))</f>
        <v>0</v>
      </c>
      <c r="P3354" s="16">
        <f>IF(NOT(Paths!$C$311=1),0,IF(Paths!$P$311="Complete",O3354+L3354,"n.a."))</f>
        <v>0</v>
      </c>
      <c r="Q3354" s="16">
        <f>IF(NOT(Paths!$C$311=1),0,IF(Paths!$P$311="Complete",N3354*(1+'Operating costs'!$B$54)^-C3354,"n.a."))</f>
        <v>0</v>
      </c>
      <c r="R3354" s="16">
        <f>IF(NOT(Paths!$C$311=1),0,IF(Paths!$P$311="Complete",IF(AND(C3354=0,Paths!$E$311=0),I3354-J3354-K3354+VLOOKUP(A3354,'Fleet register'!$A$7:$S$106,15,FALSE)+VLOOKUP(A3354,'Fleet register'!$A$7:$S$106,16,FALSE),0),"n.a."))</f>
        <v>0</v>
      </c>
      <c r="S3354" s="1">
        <f>IF(NOT(Paths!$C$311=1),0,IF(Paths!$P$311="Complete",IF(C3354=0,0,Paths!$S$311*Paths!$R$311),"n.a."))</f>
        <v>0</v>
      </c>
      <c r="T3354" s="1">
        <f>IF(NOT(Paths!$C$311=1),0,IF(Paths!$P$311="Complete",IF(C3354=0,0,VLOOKUP(A3354,'Fleet register'!$A$7:$S$106,9,FALSE)*Paths!$R$311),"n.a."))</f>
        <v>0</v>
      </c>
    </row>
    <row r="3355" spans="1:20" ht="24" customHeight="1">
      <c r="A3355" s="1" t="str">
        <f>Paths!$A$311</f>
        <v>T077</v>
      </c>
      <c r="B3355" s="1">
        <f>Paths!$B$311</f>
        <v>0</v>
      </c>
      <c r="C3355" s="1">
        <v>4</v>
      </c>
      <c r="D3355" s="1">
        <v>311</v>
      </c>
      <c r="E3355" s="1">
        <f>IF(OR(Paths!$C$311=0,C3355=0),0,MAX(0,MIN(C3355*12,Paths!$E$311)-(C3355-1)*12))</f>
        <v>0</v>
      </c>
      <c r="F3355" s="1">
        <f>IF(OR(Paths!$C$311=0,C3355=0),0,12-E3355)</f>
        <v>0</v>
      </c>
      <c r="G3355" s="16">
        <f>IF(NOT(Paths!$C$311=1),0,IF(Paths!$P$311="Complete",E3355/12*(Paths!$J$311*(1+'Operating costs'!$B$51)^MAX(0,C3355-1)+Paths!$K$311*(1+'Operating costs'!$B$53)^MAX(0,C3355-1)),"n.a."))</f>
        <v>0</v>
      </c>
      <c r="H3355" s="16">
        <f>IF(NOT(Paths!$C$311=1),0,IF(Paths!$P$311="Complete",F3355/12*(Paths!$L$311*(1+IF(Paths!$D$311="EV",'Operating costs'!$B$52,'Operating costs'!$B$51))^MAX(0,C3355-1)+Paths!$M$311*(1+'Operating costs'!$B$53)^MAX(0,C3355-1)),"n.a."))</f>
        <v>0</v>
      </c>
      <c r="I3355" s="16">
        <f>IF(NOT(Paths!$C$311=1),0,IF(Paths!$P$311="Complete",IF(IF(Paths!$E$311=0,C3355=0,AND(C3355&gt;0,Paths!$E$311&gt;(C3355-1)*12,Paths!$E$311&lt;=C3355*12)),Paths!$G$311,0),"n.a."))</f>
        <v>0</v>
      </c>
      <c r="J3355" s="16">
        <f>IF(NOT(Paths!$C$311=1),0,IF(Paths!$P$311="Complete",IF(IF(Paths!$E$311=0,C3355=0,AND(C3355&gt;0,Paths!$E$311&gt;(C3355-1)*12,Paths!$E$311&lt;=C3355*12)),Paths!$H$311,0),"n.a."))</f>
        <v>0</v>
      </c>
      <c r="K3355" s="16">
        <f>IF(NOT(Paths!$C$311=1),0,IF(Paths!$P$311="Complete",IF(IF(Paths!$O$311=0,C3355=0,AND(C3355&gt;0,Paths!$O$311&gt;(C3355-1)*12,Paths!$O$311&lt;=C3355*12)),Paths!$N$311,0),"n.a."))</f>
        <v>0</v>
      </c>
      <c r="L3355" s="16">
        <f>IF(NOT(Paths!$C$311=1),0,IF(Paths!$P$311="Complete",IF(C3355=10,Paths!$I$311,0),"n.a."))</f>
        <v>0</v>
      </c>
      <c r="M3355" s="16">
        <f>IF(NOT(Paths!$C$311=1),0,IF(Paths!$P$311="Complete",IF(AND(Paths!$D$311="EV",Paths!$E$311&lt;120,Paths!$E$311+'Operating costs'!$B$65&gt;Paths!$E$311,Paths!$E$311+'Operating costs'!$B$65&lt;=120,IF(Paths!$E$311+'Operating costs'!$B$65=0,C3355=0,AND(C3355&gt;0,Paths!$E$311+'Operating costs'!$B$65&gt;(C3355-1)*12,Paths!$E$311+'Operating costs'!$B$65&lt;=C3355*12))),'Operating costs'!$B$64,0)+IF(AND('Operating costs'!$B$67&gt;0,'Operating costs'!$B$67&lt;=120,OR(Paths!$D$311="ICE",'Operating costs'!$B$67&lt;=Paths!$E$311),IF('Operating costs'!$B$67=0,C3355=0,AND(C3355&gt;0,'Operating costs'!$B$67&gt;(C3355-1)*12,'Operating costs'!$B$67&lt;=C3355*12))),'Operating costs'!$B$66,0),"n.a."))</f>
        <v>0</v>
      </c>
      <c r="N3355" s="16">
        <f>IF(NOT(Paths!$C$311=1),0,IF(Paths!$P$311="Complete",SUM(G3355:I3355)-J3355-K3355-L3355+M3355+IF(C3355=0,Paths!$F$311,0)+IF(IF(Paths!$E$311=0,C3355=0,AND(C3355&gt;0,Paths!$E$311&gt;(C3355-1)*12,Paths!$E$311&lt;=C3355*12)),VLOOKUP(A3355,'Fleet register'!$A$7:$S$106,16,FALSE),0),"n.a."))</f>
        <v>0</v>
      </c>
      <c r="O3355" s="16">
        <f>IF(NOT(Paths!$C$311=1),0,IF(Paths!$P$311="Complete",N3355-IF(C3355=0,Paths!$F$311,0),"n.a."))</f>
        <v>0</v>
      </c>
      <c r="P3355" s="16">
        <f>IF(NOT(Paths!$C$311=1),0,IF(Paths!$P$311="Complete",O3355+L3355,"n.a."))</f>
        <v>0</v>
      </c>
      <c r="Q3355" s="16">
        <f>IF(NOT(Paths!$C$311=1),0,IF(Paths!$P$311="Complete",N3355*(1+'Operating costs'!$B$54)^-C3355,"n.a."))</f>
        <v>0</v>
      </c>
      <c r="R3355" s="16">
        <f>IF(NOT(Paths!$C$311=1),0,IF(Paths!$P$311="Complete",IF(AND(C3355=0,Paths!$E$311=0),I3355-J3355-K3355+VLOOKUP(A3355,'Fleet register'!$A$7:$S$106,15,FALSE)+VLOOKUP(A3355,'Fleet register'!$A$7:$S$106,16,FALSE),0),"n.a."))</f>
        <v>0</v>
      </c>
      <c r="S3355" s="1">
        <f>IF(NOT(Paths!$C$311=1),0,IF(Paths!$P$311="Complete",IF(C3355=0,0,Paths!$S$311*Paths!$R$311),"n.a."))</f>
        <v>0</v>
      </c>
      <c r="T3355" s="1">
        <f>IF(NOT(Paths!$C$311=1),0,IF(Paths!$P$311="Complete",IF(C3355=0,0,VLOOKUP(A3355,'Fleet register'!$A$7:$S$106,9,FALSE)*Paths!$R$311),"n.a."))</f>
        <v>0</v>
      </c>
    </row>
    <row r="3356" spans="1:20" ht="24" customHeight="1">
      <c r="A3356" s="1" t="str">
        <f>Paths!$A$311</f>
        <v>T077</v>
      </c>
      <c r="B3356" s="1">
        <f>Paths!$B$311</f>
        <v>0</v>
      </c>
      <c r="C3356" s="1">
        <v>5</v>
      </c>
      <c r="D3356" s="1">
        <v>311</v>
      </c>
      <c r="E3356" s="1">
        <f>IF(OR(Paths!$C$311=0,C3356=0),0,MAX(0,MIN(C3356*12,Paths!$E$311)-(C3356-1)*12))</f>
        <v>0</v>
      </c>
      <c r="F3356" s="1">
        <f>IF(OR(Paths!$C$311=0,C3356=0),0,12-E3356)</f>
        <v>0</v>
      </c>
      <c r="G3356" s="16">
        <f>IF(NOT(Paths!$C$311=1),0,IF(Paths!$P$311="Complete",E3356/12*(Paths!$J$311*(1+'Operating costs'!$B$51)^MAX(0,C3356-1)+Paths!$K$311*(1+'Operating costs'!$B$53)^MAX(0,C3356-1)),"n.a."))</f>
        <v>0</v>
      </c>
      <c r="H3356" s="16">
        <f>IF(NOT(Paths!$C$311=1),0,IF(Paths!$P$311="Complete",F3356/12*(Paths!$L$311*(1+IF(Paths!$D$311="EV",'Operating costs'!$B$52,'Operating costs'!$B$51))^MAX(0,C3356-1)+Paths!$M$311*(1+'Operating costs'!$B$53)^MAX(0,C3356-1)),"n.a."))</f>
        <v>0</v>
      </c>
      <c r="I3356" s="16">
        <f>IF(NOT(Paths!$C$311=1),0,IF(Paths!$P$311="Complete",IF(IF(Paths!$E$311=0,C3356=0,AND(C3356&gt;0,Paths!$E$311&gt;(C3356-1)*12,Paths!$E$311&lt;=C3356*12)),Paths!$G$311,0),"n.a."))</f>
        <v>0</v>
      </c>
      <c r="J3356" s="16">
        <f>IF(NOT(Paths!$C$311=1),0,IF(Paths!$P$311="Complete",IF(IF(Paths!$E$311=0,C3356=0,AND(C3356&gt;0,Paths!$E$311&gt;(C3356-1)*12,Paths!$E$311&lt;=C3356*12)),Paths!$H$311,0),"n.a."))</f>
        <v>0</v>
      </c>
      <c r="K3356" s="16">
        <f>IF(NOT(Paths!$C$311=1),0,IF(Paths!$P$311="Complete",IF(IF(Paths!$O$311=0,C3356=0,AND(C3356&gt;0,Paths!$O$311&gt;(C3356-1)*12,Paths!$O$311&lt;=C3356*12)),Paths!$N$311,0),"n.a."))</f>
        <v>0</v>
      </c>
      <c r="L3356" s="16">
        <f>IF(NOT(Paths!$C$311=1),0,IF(Paths!$P$311="Complete",IF(C3356=10,Paths!$I$311,0),"n.a."))</f>
        <v>0</v>
      </c>
      <c r="M3356" s="16">
        <f>IF(NOT(Paths!$C$311=1),0,IF(Paths!$P$311="Complete",IF(AND(Paths!$D$311="EV",Paths!$E$311&lt;120,Paths!$E$311+'Operating costs'!$B$65&gt;Paths!$E$311,Paths!$E$311+'Operating costs'!$B$65&lt;=120,IF(Paths!$E$311+'Operating costs'!$B$65=0,C3356=0,AND(C3356&gt;0,Paths!$E$311+'Operating costs'!$B$65&gt;(C3356-1)*12,Paths!$E$311+'Operating costs'!$B$65&lt;=C3356*12))),'Operating costs'!$B$64,0)+IF(AND('Operating costs'!$B$67&gt;0,'Operating costs'!$B$67&lt;=120,OR(Paths!$D$311="ICE",'Operating costs'!$B$67&lt;=Paths!$E$311),IF('Operating costs'!$B$67=0,C3356=0,AND(C3356&gt;0,'Operating costs'!$B$67&gt;(C3356-1)*12,'Operating costs'!$B$67&lt;=C3356*12))),'Operating costs'!$B$66,0),"n.a."))</f>
        <v>0</v>
      </c>
      <c r="N3356" s="16">
        <f>IF(NOT(Paths!$C$311=1),0,IF(Paths!$P$311="Complete",SUM(G3356:I3356)-J3356-K3356-L3356+M3356+IF(C3356=0,Paths!$F$311,0)+IF(IF(Paths!$E$311=0,C3356=0,AND(C3356&gt;0,Paths!$E$311&gt;(C3356-1)*12,Paths!$E$311&lt;=C3356*12)),VLOOKUP(A3356,'Fleet register'!$A$7:$S$106,16,FALSE),0),"n.a."))</f>
        <v>0</v>
      </c>
      <c r="O3356" s="16">
        <f>IF(NOT(Paths!$C$311=1),0,IF(Paths!$P$311="Complete",N3356-IF(C3356=0,Paths!$F$311,0),"n.a."))</f>
        <v>0</v>
      </c>
      <c r="P3356" s="16">
        <f>IF(NOT(Paths!$C$311=1),0,IF(Paths!$P$311="Complete",O3356+L3356,"n.a."))</f>
        <v>0</v>
      </c>
      <c r="Q3356" s="16">
        <f>IF(NOT(Paths!$C$311=1),0,IF(Paths!$P$311="Complete",N3356*(1+'Operating costs'!$B$54)^-C3356,"n.a."))</f>
        <v>0</v>
      </c>
      <c r="R3356" s="16">
        <f>IF(NOT(Paths!$C$311=1),0,IF(Paths!$P$311="Complete",IF(AND(C3356=0,Paths!$E$311=0),I3356-J3356-K3356+VLOOKUP(A3356,'Fleet register'!$A$7:$S$106,15,FALSE)+VLOOKUP(A3356,'Fleet register'!$A$7:$S$106,16,FALSE),0),"n.a."))</f>
        <v>0</v>
      </c>
      <c r="S3356" s="1">
        <f>IF(NOT(Paths!$C$311=1),0,IF(Paths!$P$311="Complete",IF(C3356=0,0,Paths!$S$311*Paths!$R$311),"n.a."))</f>
        <v>0</v>
      </c>
      <c r="T3356" s="1">
        <f>IF(NOT(Paths!$C$311=1),0,IF(Paths!$P$311="Complete",IF(C3356=0,0,VLOOKUP(A3356,'Fleet register'!$A$7:$S$106,9,FALSE)*Paths!$R$311),"n.a."))</f>
        <v>0</v>
      </c>
    </row>
    <row r="3357" spans="1:20" ht="24" customHeight="1">
      <c r="A3357" s="1" t="str">
        <f>Paths!$A$311</f>
        <v>T077</v>
      </c>
      <c r="B3357" s="1">
        <f>Paths!$B$311</f>
        <v>0</v>
      </c>
      <c r="C3357" s="1">
        <v>6</v>
      </c>
      <c r="D3357" s="1">
        <v>311</v>
      </c>
      <c r="E3357" s="1">
        <f>IF(OR(Paths!$C$311=0,C3357=0),0,MAX(0,MIN(C3357*12,Paths!$E$311)-(C3357-1)*12))</f>
        <v>0</v>
      </c>
      <c r="F3357" s="1">
        <f>IF(OR(Paths!$C$311=0,C3357=0),0,12-E3357)</f>
        <v>0</v>
      </c>
      <c r="G3357" s="16">
        <f>IF(NOT(Paths!$C$311=1),0,IF(Paths!$P$311="Complete",E3357/12*(Paths!$J$311*(1+'Operating costs'!$B$51)^MAX(0,C3357-1)+Paths!$K$311*(1+'Operating costs'!$B$53)^MAX(0,C3357-1)),"n.a."))</f>
        <v>0</v>
      </c>
      <c r="H3357" s="16">
        <f>IF(NOT(Paths!$C$311=1),0,IF(Paths!$P$311="Complete",F3357/12*(Paths!$L$311*(1+IF(Paths!$D$311="EV",'Operating costs'!$B$52,'Operating costs'!$B$51))^MAX(0,C3357-1)+Paths!$M$311*(1+'Operating costs'!$B$53)^MAX(0,C3357-1)),"n.a."))</f>
        <v>0</v>
      </c>
      <c r="I3357" s="16">
        <f>IF(NOT(Paths!$C$311=1),0,IF(Paths!$P$311="Complete",IF(IF(Paths!$E$311=0,C3357=0,AND(C3357&gt;0,Paths!$E$311&gt;(C3357-1)*12,Paths!$E$311&lt;=C3357*12)),Paths!$G$311,0),"n.a."))</f>
        <v>0</v>
      </c>
      <c r="J3357" s="16">
        <f>IF(NOT(Paths!$C$311=1),0,IF(Paths!$P$311="Complete",IF(IF(Paths!$E$311=0,C3357=0,AND(C3357&gt;0,Paths!$E$311&gt;(C3357-1)*12,Paths!$E$311&lt;=C3357*12)),Paths!$H$311,0),"n.a."))</f>
        <v>0</v>
      </c>
      <c r="K3357" s="16">
        <f>IF(NOT(Paths!$C$311=1),0,IF(Paths!$P$311="Complete",IF(IF(Paths!$O$311=0,C3357=0,AND(C3357&gt;0,Paths!$O$311&gt;(C3357-1)*12,Paths!$O$311&lt;=C3357*12)),Paths!$N$311,0),"n.a."))</f>
        <v>0</v>
      </c>
      <c r="L3357" s="16">
        <f>IF(NOT(Paths!$C$311=1),0,IF(Paths!$P$311="Complete",IF(C3357=10,Paths!$I$311,0),"n.a."))</f>
        <v>0</v>
      </c>
      <c r="M3357" s="16">
        <f>IF(NOT(Paths!$C$311=1),0,IF(Paths!$P$311="Complete",IF(AND(Paths!$D$311="EV",Paths!$E$311&lt;120,Paths!$E$311+'Operating costs'!$B$65&gt;Paths!$E$311,Paths!$E$311+'Operating costs'!$B$65&lt;=120,IF(Paths!$E$311+'Operating costs'!$B$65=0,C3357=0,AND(C3357&gt;0,Paths!$E$311+'Operating costs'!$B$65&gt;(C3357-1)*12,Paths!$E$311+'Operating costs'!$B$65&lt;=C3357*12))),'Operating costs'!$B$64,0)+IF(AND('Operating costs'!$B$67&gt;0,'Operating costs'!$B$67&lt;=120,OR(Paths!$D$311="ICE",'Operating costs'!$B$67&lt;=Paths!$E$311),IF('Operating costs'!$B$67=0,C3357=0,AND(C3357&gt;0,'Operating costs'!$B$67&gt;(C3357-1)*12,'Operating costs'!$B$67&lt;=C3357*12))),'Operating costs'!$B$66,0),"n.a."))</f>
        <v>0</v>
      </c>
      <c r="N3357" s="16">
        <f>IF(NOT(Paths!$C$311=1),0,IF(Paths!$P$311="Complete",SUM(G3357:I3357)-J3357-K3357-L3357+M3357+IF(C3357=0,Paths!$F$311,0)+IF(IF(Paths!$E$311=0,C3357=0,AND(C3357&gt;0,Paths!$E$311&gt;(C3357-1)*12,Paths!$E$311&lt;=C3357*12)),VLOOKUP(A3357,'Fleet register'!$A$7:$S$106,16,FALSE),0),"n.a."))</f>
        <v>0</v>
      </c>
      <c r="O3357" s="16">
        <f>IF(NOT(Paths!$C$311=1),0,IF(Paths!$P$311="Complete",N3357-IF(C3357=0,Paths!$F$311,0),"n.a."))</f>
        <v>0</v>
      </c>
      <c r="P3357" s="16">
        <f>IF(NOT(Paths!$C$311=1),0,IF(Paths!$P$311="Complete",O3357+L3357,"n.a."))</f>
        <v>0</v>
      </c>
      <c r="Q3357" s="16">
        <f>IF(NOT(Paths!$C$311=1),0,IF(Paths!$P$311="Complete",N3357*(1+'Operating costs'!$B$54)^-C3357,"n.a."))</f>
        <v>0</v>
      </c>
      <c r="R3357" s="16">
        <f>IF(NOT(Paths!$C$311=1),0,IF(Paths!$P$311="Complete",IF(AND(C3357=0,Paths!$E$311=0),I3357-J3357-K3357+VLOOKUP(A3357,'Fleet register'!$A$7:$S$106,15,FALSE)+VLOOKUP(A3357,'Fleet register'!$A$7:$S$106,16,FALSE),0),"n.a."))</f>
        <v>0</v>
      </c>
      <c r="S3357" s="1">
        <f>IF(NOT(Paths!$C$311=1),0,IF(Paths!$P$311="Complete",IF(C3357=0,0,Paths!$S$311*Paths!$R$311),"n.a."))</f>
        <v>0</v>
      </c>
      <c r="T3357" s="1">
        <f>IF(NOT(Paths!$C$311=1),0,IF(Paths!$P$311="Complete",IF(C3357=0,0,VLOOKUP(A3357,'Fleet register'!$A$7:$S$106,9,FALSE)*Paths!$R$311),"n.a."))</f>
        <v>0</v>
      </c>
    </row>
    <row r="3358" spans="1:20" ht="24" customHeight="1">
      <c r="A3358" s="1" t="str">
        <f>Paths!$A$311</f>
        <v>T077</v>
      </c>
      <c r="B3358" s="1">
        <f>Paths!$B$311</f>
        <v>0</v>
      </c>
      <c r="C3358" s="1">
        <v>7</v>
      </c>
      <c r="D3358" s="1">
        <v>311</v>
      </c>
      <c r="E3358" s="1">
        <f>IF(OR(Paths!$C$311=0,C3358=0),0,MAX(0,MIN(C3358*12,Paths!$E$311)-(C3358-1)*12))</f>
        <v>0</v>
      </c>
      <c r="F3358" s="1">
        <f>IF(OR(Paths!$C$311=0,C3358=0),0,12-E3358)</f>
        <v>0</v>
      </c>
      <c r="G3358" s="16">
        <f>IF(NOT(Paths!$C$311=1),0,IF(Paths!$P$311="Complete",E3358/12*(Paths!$J$311*(1+'Operating costs'!$B$51)^MAX(0,C3358-1)+Paths!$K$311*(1+'Operating costs'!$B$53)^MAX(0,C3358-1)),"n.a."))</f>
        <v>0</v>
      </c>
      <c r="H3358" s="16">
        <f>IF(NOT(Paths!$C$311=1),0,IF(Paths!$P$311="Complete",F3358/12*(Paths!$L$311*(1+IF(Paths!$D$311="EV",'Operating costs'!$B$52,'Operating costs'!$B$51))^MAX(0,C3358-1)+Paths!$M$311*(1+'Operating costs'!$B$53)^MAX(0,C3358-1)),"n.a."))</f>
        <v>0</v>
      </c>
      <c r="I3358" s="16">
        <f>IF(NOT(Paths!$C$311=1),0,IF(Paths!$P$311="Complete",IF(IF(Paths!$E$311=0,C3358=0,AND(C3358&gt;0,Paths!$E$311&gt;(C3358-1)*12,Paths!$E$311&lt;=C3358*12)),Paths!$G$311,0),"n.a."))</f>
        <v>0</v>
      </c>
      <c r="J3358" s="16">
        <f>IF(NOT(Paths!$C$311=1),0,IF(Paths!$P$311="Complete",IF(IF(Paths!$E$311=0,C3358=0,AND(C3358&gt;0,Paths!$E$311&gt;(C3358-1)*12,Paths!$E$311&lt;=C3358*12)),Paths!$H$311,0),"n.a."))</f>
        <v>0</v>
      </c>
      <c r="K3358" s="16">
        <f>IF(NOT(Paths!$C$311=1),0,IF(Paths!$P$311="Complete",IF(IF(Paths!$O$311=0,C3358=0,AND(C3358&gt;0,Paths!$O$311&gt;(C3358-1)*12,Paths!$O$311&lt;=C3358*12)),Paths!$N$311,0),"n.a."))</f>
        <v>0</v>
      </c>
      <c r="L3358" s="16">
        <f>IF(NOT(Paths!$C$311=1),0,IF(Paths!$P$311="Complete",IF(C3358=10,Paths!$I$311,0),"n.a."))</f>
        <v>0</v>
      </c>
      <c r="M3358" s="16">
        <f>IF(NOT(Paths!$C$311=1),0,IF(Paths!$P$311="Complete",IF(AND(Paths!$D$311="EV",Paths!$E$311&lt;120,Paths!$E$311+'Operating costs'!$B$65&gt;Paths!$E$311,Paths!$E$311+'Operating costs'!$B$65&lt;=120,IF(Paths!$E$311+'Operating costs'!$B$65=0,C3358=0,AND(C3358&gt;0,Paths!$E$311+'Operating costs'!$B$65&gt;(C3358-1)*12,Paths!$E$311+'Operating costs'!$B$65&lt;=C3358*12))),'Operating costs'!$B$64,0)+IF(AND('Operating costs'!$B$67&gt;0,'Operating costs'!$B$67&lt;=120,OR(Paths!$D$311="ICE",'Operating costs'!$B$67&lt;=Paths!$E$311),IF('Operating costs'!$B$67=0,C3358=0,AND(C3358&gt;0,'Operating costs'!$B$67&gt;(C3358-1)*12,'Operating costs'!$B$67&lt;=C3358*12))),'Operating costs'!$B$66,0),"n.a."))</f>
        <v>0</v>
      </c>
      <c r="N3358" s="16">
        <f>IF(NOT(Paths!$C$311=1),0,IF(Paths!$P$311="Complete",SUM(G3358:I3358)-J3358-K3358-L3358+M3358+IF(C3358=0,Paths!$F$311,0)+IF(IF(Paths!$E$311=0,C3358=0,AND(C3358&gt;0,Paths!$E$311&gt;(C3358-1)*12,Paths!$E$311&lt;=C3358*12)),VLOOKUP(A3358,'Fleet register'!$A$7:$S$106,16,FALSE),0),"n.a."))</f>
        <v>0</v>
      </c>
      <c r="O3358" s="16">
        <f>IF(NOT(Paths!$C$311=1),0,IF(Paths!$P$311="Complete",N3358-IF(C3358=0,Paths!$F$311,0),"n.a."))</f>
        <v>0</v>
      </c>
      <c r="P3358" s="16">
        <f>IF(NOT(Paths!$C$311=1),0,IF(Paths!$P$311="Complete",O3358+L3358,"n.a."))</f>
        <v>0</v>
      </c>
      <c r="Q3358" s="16">
        <f>IF(NOT(Paths!$C$311=1),0,IF(Paths!$P$311="Complete",N3358*(1+'Operating costs'!$B$54)^-C3358,"n.a."))</f>
        <v>0</v>
      </c>
      <c r="R3358" s="16">
        <f>IF(NOT(Paths!$C$311=1),0,IF(Paths!$P$311="Complete",IF(AND(C3358=0,Paths!$E$311=0),I3358-J3358-K3358+VLOOKUP(A3358,'Fleet register'!$A$7:$S$106,15,FALSE)+VLOOKUP(A3358,'Fleet register'!$A$7:$S$106,16,FALSE),0),"n.a."))</f>
        <v>0</v>
      </c>
      <c r="S3358" s="1">
        <f>IF(NOT(Paths!$C$311=1),0,IF(Paths!$P$311="Complete",IF(C3358=0,0,Paths!$S$311*Paths!$R$311),"n.a."))</f>
        <v>0</v>
      </c>
      <c r="T3358" s="1">
        <f>IF(NOT(Paths!$C$311=1),0,IF(Paths!$P$311="Complete",IF(C3358=0,0,VLOOKUP(A3358,'Fleet register'!$A$7:$S$106,9,FALSE)*Paths!$R$311),"n.a."))</f>
        <v>0</v>
      </c>
    </row>
    <row r="3359" spans="1:20" ht="24" customHeight="1">
      <c r="A3359" s="1" t="str">
        <f>Paths!$A$311</f>
        <v>T077</v>
      </c>
      <c r="B3359" s="1">
        <f>Paths!$B$311</f>
        <v>0</v>
      </c>
      <c r="C3359" s="1">
        <v>8</v>
      </c>
      <c r="D3359" s="1">
        <v>311</v>
      </c>
      <c r="E3359" s="1">
        <f>IF(OR(Paths!$C$311=0,C3359=0),0,MAX(0,MIN(C3359*12,Paths!$E$311)-(C3359-1)*12))</f>
        <v>0</v>
      </c>
      <c r="F3359" s="1">
        <f>IF(OR(Paths!$C$311=0,C3359=0),0,12-E3359)</f>
        <v>0</v>
      </c>
      <c r="G3359" s="16">
        <f>IF(NOT(Paths!$C$311=1),0,IF(Paths!$P$311="Complete",E3359/12*(Paths!$J$311*(1+'Operating costs'!$B$51)^MAX(0,C3359-1)+Paths!$K$311*(1+'Operating costs'!$B$53)^MAX(0,C3359-1)),"n.a."))</f>
        <v>0</v>
      </c>
      <c r="H3359" s="16">
        <f>IF(NOT(Paths!$C$311=1),0,IF(Paths!$P$311="Complete",F3359/12*(Paths!$L$311*(1+IF(Paths!$D$311="EV",'Operating costs'!$B$52,'Operating costs'!$B$51))^MAX(0,C3359-1)+Paths!$M$311*(1+'Operating costs'!$B$53)^MAX(0,C3359-1)),"n.a."))</f>
        <v>0</v>
      </c>
      <c r="I3359" s="16">
        <f>IF(NOT(Paths!$C$311=1),0,IF(Paths!$P$311="Complete",IF(IF(Paths!$E$311=0,C3359=0,AND(C3359&gt;0,Paths!$E$311&gt;(C3359-1)*12,Paths!$E$311&lt;=C3359*12)),Paths!$G$311,0),"n.a."))</f>
        <v>0</v>
      </c>
      <c r="J3359" s="16">
        <f>IF(NOT(Paths!$C$311=1),0,IF(Paths!$P$311="Complete",IF(IF(Paths!$E$311=0,C3359=0,AND(C3359&gt;0,Paths!$E$311&gt;(C3359-1)*12,Paths!$E$311&lt;=C3359*12)),Paths!$H$311,0),"n.a."))</f>
        <v>0</v>
      </c>
      <c r="K3359" s="16">
        <f>IF(NOT(Paths!$C$311=1),0,IF(Paths!$P$311="Complete",IF(IF(Paths!$O$311=0,C3359=0,AND(C3359&gt;0,Paths!$O$311&gt;(C3359-1)*12,Paths!$O$311&lt;=C3359*12)),Paths!$N$311,0),"n.a."))</f>
        <v>0</v>
      </c>
      <c r="L3359" s="16">
        <f>IF(NOT(Paths!$C$311=1),0,IF(Paths!$P$311="Complete",IF(C3359=10,Paths!$I$311,0),"n.a."))</f>
        <v>0</v>
      </c>
      <c r="M3359" s="16">
        <f>IF(NOT(Paths!$C$311=1),0,IF(Paths!$P$311="Complete",IF(AND(Paths!$D$311="EV",Paths!$E$311&lt;120,Paths!$E$311+'Operating costs'!$B$65&gt;Paths!$E$311,Paths!$E$311+'Operating costs'!$B$65&lt;=120,IF(Paths!$E$311+'Operating costs'!$B$65=0,C3359=0,AND(C3359&gt;0,Paths!$E$311+'Operating costs'!$B$65&gt;(C3359-1)*12,Paths!$E$311+'Operating costs'!$B$65&lt;=C3359*12))),'Operating costs'!$B$64,0)+IF(AND('Operating costs'!$B$67&gt;0,'Operating costs'!$B$67&lt;=120,OR(Paths!$D$311="ICE",'Operating costs'!$B$67&lt;=Paths!$E$311),IF('Operating costs'!$B$67=0,C3359=0,AND(C3359&gt;0,'Operating costs'!$B$67&gt;(C3359-1)*12,'Operating costs'!$B$67&lt;=C3359*12))),'Operating costs'!$B$66,0),"n.a."))</f>
        <v>0</v>
      </c>
      <c r="N3359" s="16">
        <f>IF(NOT(Paths!$C$311=1),0,IF(Paths!$P$311="Complete",SUM(G3359:I3359)-J3359-K3359-L3359+M3359+IF(C3359=0,Paths!$F$311,0)+IF(IF(Paths!$E$311=0,C3359=0,AND(C3359&gt;0,Paths!$E$311&gt;(C3359-1)*12,Paths!$E$311&lt;=C3359*12)),VLOOKUP(A3359,'Fleet register'!$A$7:$S$106,16,FALSE),0),"n.a."))</f>
        <v>0</v>
      </c>
      <c r="O3359" s="16">
        <f>IF(NOT(Paths!$C$311=1),0,IF(Paths!$P$311="Complete",N3359-IF(C3359=0,Paths!$F$311,0),"n.a."))</f>
        <v>0</v>
      </c>
      <c r="P3359" s="16">
        <f>IF(NOT(Paths!$C$311=1),0,IF(Paths!$P$311="Complete",O3359+L3359,"n.a."))</f>
        <v>0</v>
      </c>
      <c r="Q3359" s="16">
        <f>IF(NOT(Paths!$C$311=1),0,IF(Paths!$P$311="Complete",N3359*(1+'Operating costs'!$B$54)^-C3359,"n.a."))</f>
        <v>0</v>
      </c>
      <c r="R3359" s="16">
        <f>IF(NOT(Paths!$C$311=1),0,IF(Paths!$P$311="Complete",IF(AND(C3359=0,Paths!$E$311=0),I3359-J3359-K3359+VLOOKUP(A3359,'Fleet register'!$A$7:$S$106,15,FALSE)+VLOOKUP(A3359,'Fleet register'!$A$7:$S$106,16,FALSE),0),"n.a."))</f>
        <v>0</v>
      </c>
      <c r="S3359" s="1">
        <f>IF(NOT(Paths!$C$311=1),0,IF(Paths!$P$311="Complete",IF(C3359=0,0,Paths!$S$311*Paths!$R$311),"n.a."))</f>
        <v>0</v>
      </c>
      <c r="T3359" s="1">
        <f>IF(NOT(Paths!$C$311=1),0,IF(Paths!$P$311="Complete",IF(C3359=0,0,VLOOKUP(A3359,'Fleet register'!$A$7:$S$106,9,FALSE)*Paths!$R$311),"n.a."))</f>
        <v>0</v>
      </c>
    </row>
    <row r="3360" spans="1:20" ht="24" customHeight="1">
      <c r="A3360" s="1" t="str">
        <f>Paths!$A$311</f>
        <v>T077</v>
      </c>
      <c r="B3360" s="1">
        <f>Paths!$B$311</f>
        <v>0</v>
      </c>
      <c r="C3360" s="1">
        <v>9</v>
      </c>
      <c r="D3360" s="1">
        <v>311</v>
      </c>
      <c r="E3360" s="1">
        <f>IF(OR(Paths!$C$311=0,C3360=0),0,MAX(0,MIN(C3360*12,Paths!$E$311)-(C3360-1)*12))</f>
        <v>0</v>
      </c>
      <c r="F3360" s="1">
        <f>IF(OR(Paths!$C$311=0,C3360=0),0,12-E3360)</f>
        <v>0</v>
      </c>
      <c r="G3360" s="16">
        <f>IF(NOT(Paths!$C$311=1),0,IF(Paths!$P$311="Complete",E3360/12*(Paths!$J$311*(1+'Operating costs'!$B$51)^MAX(0,C3360-1)+Paths!$K$311*(1+'Operating costs'!$B$53)^MAX(0,C3360-1)),"n.a."))</f>
        <v>0</v>
      </c>
      <c r="H3360" s="16">
        <f>IF(NOT(Paths!$C$311=1),0,IF(Paths!$P$311="Complete",F3360/12*(Paths!$L$311*(1+IF(Paths!$D$311="EV",'Operating costs'!$B$52,'Operating costs'!$B$51))^MAX(0,C3360-1)+Paths!$M$311*(1+'Operating costs'!$B$53)^MAX(0,C3360-1)),"n.a."))</f>
        <v>0</v>
      </c>
      <c r="I3360" s="16">
        <f>IF(NOT(Paths!$C$311=1),0,IF(Paths!$P$311="Complete",IF(IF(Paths!$E$311=0,C3360=0,AND(C3360&gt;0,Paths!$E$311&gt;(C3360-1)*12,Paths!$E$311&lt;=C3360*12)),Paths!$G$311,0),"n.a."))</f>
        <v>0</v>
      </c>
      <c r="J3360" s="16">
        <f>IF(NOT(Paths!$C$311=1),0,IF(Paths!$P$311="Complete",IF(IF(Paths!$E$311=0,C3360=0,AND(C3360&gt;0,Paths!$E$311&gt;(C3360-1)*12,Paths!$E$311&lt;=C3360*12)),Paths!$H$311,0),"n.a."))</f>
        <v>0</v>
      </c>
      <c r="K3360" s="16">
        <f>IF(NOT(Paths!$C$311=1),0,IF(Paths!$P$311="Complete",IF(IF(Paths!$O$311=0,C3360=0,AND(C3360&gt;0,Paths!$O$311&gt;(C3360-1)*12,Paths!$O$311&lt;=C3360*12)),Paths!$N$311,0),"n.a."))</f>
        <v>0</v>
      </c>
      <c r="L3360" s="16">
        <f>IF(NOT(Paths!$C$311=1),0,IF(Paths!$P$311="Complete",IF(C3360=10,Paths!$I$311,0),"n.a."))</f>
        <v>0</v>
      </c>
      <c r="M3360" s="16">
        <f>IF(NOT(Paths!$C$311=1),0,IF(Paths!$P$311="Complete",IF(AND(Paths!$D$311="EV",Paths!$E$311&lt;120,Paths!$E$311+'Operating costs'!$B$65&gt;Paths!$E$311,Paths!$E$311+'Operating costs'!$B$65&lt;=120,IF(Paths!$E$311+'Operating costs'!$B$65=0,C3360=0,AND(C3360&gt;0,Paths!$E$311+'Operating costs'!$B$65&gt;(C3360-1)*12,Paths!$E$311+'Operating costs'!$B$65&lt;=C3360*12))),'Operating costs'!$B$64,0)+IF(AND('Operating costs'!$B$67&gt;0,'Operating costs'!$B$67&lt;=120,OR(Paths!$D$311="ICE",'Operating costs'!$B$67&lt;=Paths!$E$311),IF('Operating costs'!$B$67=0,C3360=0,AND(C3360&gt;0,'Operating costs'!$B$67&gt;(C3360-1)*12,'Operating costs'!$B$67&lt;=C3360*12))),'Operating costs'!$B$66,0),"n.a."))</f>
        <v>0</v>
      </c>
      <c r="N3360" s="16">
        <f>IF(NOT(Paths!$C$311=1),0,IF(Paths!$P$311="Complete",SUM(G3360:I3360)-J3360-K3360-L3360+M3360+IF(C3360=0,Paths!$F$311,0)+IF(IF(Paths!$E$311=0,C3360=0,AND(C3360&gt;0,Paths!$E$311&gt;(C3360-1)*12,Paths!$E$311&lt;=C3360*12)),VLOOKUP(A3360,'Fleet register'!$A$7:$S$106,16,FALSE),0),"n.a."))</f>
        <v>0</v>
      </c>
      <c r="O3360" s="16">
        <f>IF(NOT(Paths!$C$311=1),0,IF(Paths!$P$311="Complete",N3360-IF(C3360=0,Paths!$F$311,0),"n.a."))</f>
        <v>0</v>
      </c>
      <c r="P3360" s="16">
        <f>IF(NOT(Paths!$C$311=1),0,IF(Paths!$P$311="Complete",O3360+L3360,"n.a."))</f>
        <v>0</v>
      </c>
      <c r="Q3360" s="16">
        <f>IF(NOT(Paths!$C$311=1),0,IF(Paths!$P$311="Complete",N3360*(1+'Operating costs'!$B$54)^-C3360,"n.a."))</f>
        <v>0</v>
      </c>
      <c r="R3360" s="16">
        <f>IF(NOT(Paths!$C$311=1),0,IF(Paths!$P$311="Complete",IF(AND(C3360=0,Paths!$E$311=0),I3360-J3360-K3360+VLOOKUP(A3360,'Fleet register'!$A$7:$S$106,15,FALSE)+VLOOKUP(A3360,'Fleet register'!$A$7:$S$106,16,FALSE),0),"n.a."))</f>
        <v>0</v>
      </c>
      <c r="S3360" s="1">
        <f>IF(NOT(Paths!$C$311=1),0,IF(Paths!$P$311="Complete",IF(C3360=0,0,Paths!$S$311*Paths!$R$311),"n.a."))</f>
        <v>0</v>
      </c>
      <c r="T3360" s="1">
        <f>IF(NOT(Paths!$C$311=1),0,IF(Paths!$P$311="Complete",IF(C3360=0,0,VLOOKUP(A3360,'Fleet register'!$A$7:$S$106,9,FALSE)*Paths!$R$311),"n.a."))</f>
        <v>0</v>
      </c>
    </row>
    <row r="3361" spans="1:20" ht="24" customHeight="1">
      <c r="A3361" s="1" t="str">
        <f>Paths!$A$311</f>
        <v>T077</v>
      </c>
      <c r="B3361" s="1">
        <f>Paths!$B$311</f>
        <v>0</v>
      </c>
      <c r="C3361" s="1">
        <v>10</v>
      </c>
      <c r="D3361" s="1">
        <v>311</v>
      </c>
      <c r="E3361" s="1">
        <f>IF(OR(Paths!$C$311=0,C3361=0),0,MAX(0,MIN(C3361*12,Paths!$E$311)-(C3361-1)*12))</f>
        <v>0</v>
      </c>
      <c r="F3361" s="1">
        <f>IF(OR(Paths!$C$311=0,C3361=0),0,12-E3361)</f>
        <v>0</v>
      </c>
      <c r="G3361" s="16">
        <f>IF(NOT(Paths!$C$311=1),0,IF(Paths!$P$311="Complete",E3361/12*(Paths!$J$311*(1+'Operating costs'!$B$51)^MAX(0,C3361-1)+Paths!$K$311*(1+'Operating costs'!$B$53)^MAX(0,C3361-1)),"n.a."))</f>
        <v>0</v>
      </c>
      <c r="H3361" s="16">
        <f>IF(NOT(Paths!$C$311=1),0,IF(Paths!$P$311="Complete",F3361/12*(Paths!$L$311*(1+IF(Paths!$D$311="EV",'Operating costs'!$B$52,'Operating costs'!$B$51))^MAX(0,C3361-1)+Paths!$M$311*(1+'Operating costs'!$B$53)^MAX(0,C3361-1)),"n.a."))</f>
        <v>0</v>
      </c>
      <c r="I3361" s="16">
        <f>IF(NOT(Paths!$C$311=1),0,IF(Paths!$P$311="Complete",IF(IF(Paths!$E$311=0,C3361=0,AND(C3361&gt;0,Paths!$E$311&gt;(C3361-1)*12,Paths!$E$311&lt;=C3361*12)),Paths!$G$311,0),"n.a."))</f>
        <v>0</v>
      </c>
      <c r="J3361" s="16">
        <f>IF(NOT(Paths!$C$311=1),0,IF(Paths!$P$311="Complete",IF(IF(Paths!$E$311=0,C3361=0,AND(C3361&gt;0,Paths!$E$311&gt;(C3361-1)*12,Paths!$E$311&lt;=C3361*12)),Paths!$H$311,0),"n.a."))</f>
        <v>0</v>
      </c>
      <c r="K3361" s="16">
        <f>IF(NOT(Paths!$C$311=1),0,IF(Paths!$P$311="Complete",IF(IF(Paths!$O$311=0,C3361=0,AND(C3361&gt;0,Paths!$O$311&gt;(C3361-1)*12,Paths!$O$311&lt;=C3361*12)),Paths!$N$311,0),"n.a."))</f>
        <v>0</v>
      </c>
      <c r="L3361" s="16">
        <f>IF(NOT(Paths!$C$311=1),0,IF(Paths!$P$311="Complete",IF(C3361=10,Paths!$I$311,0),"n.a."))</f>
        <v>0</v>
      </c>
      <c r="M3361" s="16">
        <f>IF(NOT(Paths!$C$311=1),0,IF(Paths!$P$311="Complete",IF(AND(Paths!$D$311="EV",Paths!$E$311&lt;120,Paths!$E$311+'Operating costs'!$B$65&gt;Paths!$E$311,Paths!$E$311+'Operating costs'!$B$65&lt;=120,IF(Paths!$E$311+'Operating costs'!$B$65=0,C3361=0,AND(C3361&gt;0,Paths!$E$311+'Operating costs'!$B$65&gt;(C3361-1)*12,Paths!$E$311+'Operating costs'!$B$65&lt;=C3361*12))),'Operating costs'!$B$64,0)+IF(AND('Operating costs'!$B$67&gt;0,'Operating costs'!$B$67&lt;=120,OR(Paths!$D$311="ICE",'Operating costs'!$B$67&lt;=Paths!$E$311),IF('Operating costs'!$B$67=0,C3361=0,AND(C3361&gt;0,'Operating costs'!$B$67&gt;(C3361-1)*12,'Operating costs'!$B$67&lt;=C3361*12))),'Operating costs'!$B$66,0),"n.a."))</f>
        <v>0</v>
      </c>
      <c r="N3361" s="16">
        <f>IF(NOT(Paths!$C$311=1),0,IF(Paths!$P$311="Complete",SUM(G3361:I3361)-J3361-K3361-L3361+M3361+IF(C3361=0,Paths!$F$311,0)+IF(IF(Paths!$E$311=0,C3361=0,AND(C3361&gt;0,Paths!$E$311&gt;(C3361-1)*12,Paths!$E$311&lt;=C3361*12)),VLOOKUP(A3361,'Fleet register'!$A$7:$S$106,16,FALSE),0),"n.a."))</f>
        <v>0</v>
      </c>
      <c r="O3361" s="16">
        <f>IF(NOT(Paths!$C$311=1),0,IF(Paths!$P$311="Complete",N3361-IF(C3361=0,Paths!$F$311,0),"n.a."))</f>
        <v>0</v>
      </c>
      <c r="P3361" s="16">
        <f>IF(NOT(Paths!$C$311=1),0,IF(Paths!$P$311="Complete",O3361+L3361,"n.a."))</f>
        <v>0</v>
      </c>
      <c r="Q3361" s="16">
        <f>IF(NOT(Paths!$C$311=1),0,IF(Paths!$P$311="Complete",N3361*(1+'Operating costs'!$B$54)^-C3361,"n.a."))</f>
        <v>0</v>
      </c>
      <c r="R3361" s="16">
        <f>IF(NOT(Paths!$C$311=1),0,IF(Paths!$P$311="Complete",IF(AND(C3361=0,Paths!$E$311=0),I3361-J3361-K3361+VLOOKUP(A3361,'Fleet register'!$A$7:$S$106,15,FALSE)+VLOOKUP(A3361,'Fleet register'!$A$7:$S$106,16,FALSE),0),"n.a."))</f>
        <v>0</v>
      </c>
      <c r="S3361" s="1">
        <f>IF(NOT(Paths!$C$311=1),0,IF(Paths!$P$311="Complete",IF(C3361=0,0,Paths!$S$311*Paths!$R$311),"n.a."))</f>
        <v>0</v>
      </c>
      <c r="T3361" s="1">
        <f>IF(NOT(Paths!$C$311=1),0,IF(Paths!$P$311="Complete",IF(C3361=0,0,VLOOKUP(A3361,'Fleet register'!$A$7:$S$106,9,FALSE)*Paths!$R$311),"n.a."))</f>
        <v>0</v>
      </c>
    </row>
    <row r="3362" spans="1:20" ht="24" customHeight="1">
      <c r="A3362" s="1" t="str">
        <f>Paths!$A$312</f>
        <v>T077</v>
      </c>
      <c r="B3362" s="1">
        <f>Paths!$B$312</f>
        <v>1</v>
      </c>
      <c r="C3362" s="1">
        <v>0</v>
      </c>
      <c r="D3362" s="1">
        <v>312</v>
      </c>
      <c r="E3362" s="1">
        <f>IF(OR(Paths!$C$312=0,C3362=0),0,MAX(0,MIN(C3362*12,Paths!$E$312)-(C3362-1)*12))</f>
        <v>0</v>
      </c>
      <c r="F3362" s="1">
        <f>IF(OR(Paths!$C$312=0,C3362=0),0,12-E3362)</f>
        <v>0</v>
      </c>
      <c r="G3362" s="16">
        <f>IF(NOT(Paths!$C$312=1),0,IF(Paths!$P$312="Complete",E3362/12*(Paths!$J$312*(1+'Operating costs'!$B$51)^MAX(0,C3362-1)+Paths!$K$312*(1+'Operating costs'!$B$53)^MAX(0,C3362-1)),"n.a."))</f>
        <v>0</v>
      </c>
      <c r="H3362" s="16">
        <f>IF(NOT(Paths!$C$312=1),0,IF(Paths!$P$312="Complete",F3362/12*(Paths!$L$312*(1+IF(Paths!$D$312="EV",'Operating costs'!$B$52,'Operating costs'!$B$51))^MAX(0,C3362-1)+Paths!$M$312*(1+'Operating costs'!$B$53)^MAX(0,C3362-1)),"n.a."))</f>
        <v>0</v>
      </c>
      <c r="I3362" s="16">
        <f>IF(NOT(Paths!$C$312=1),0,IF(Paths!$P$312="Complete",IF(IF(Paths!$E$312=0,C3362=0,AND(C3362&gt;0,Paths!$E$312&gt;(C3362-1)*12,Paths!$E$312&lt;=C3362*12)),Paths!$G$312,0),"n.a."))</f>
        <v>0</v>
      </c>
      <c r="J3362" s="16">
        <f>IF(NOT(Paths!$C$312=1),0,IF(Paths!$P$312="Complete",IF(IF(Paths!$E$312=0,C3362=0,AND(C3362&gt;0,Paths!$E$312&gt;(C3362-1)*12,Paths!$E$312&lt;=C3362*12)),Paths!$H$312,0),"n.a."))</f>
        <v>0</v>
      </c>
      <c r="K3362" s="16">
        <f>IF(NOT(Paths!$C$312=1),0,IF(Paths!$P$312="Complete",IF(IF(Paths!$O$312=0,C3362=0,AND(C3362&gt;0,Paths!$O$312&gt;(C3362-1)*12,Paths!$O$312&lt;=C3362*12)),Paths!$N$312,0),"n.a."))</f>
        <v>0</v>
      </c>
      <c r="L3362" s="16">
        <f>IF(NOT(Paths!$C$312=1),0,IF(Paths!$P$312="Complete",IF(C3362=10,Paths!$I$312,0),"n.a."))</f>
        <v>0</v>
      </c>
      <c r="M3362" s="16">
        <f>IF(NOT(Paths!$C$312=1),0,IF(Paths!$P$312="Complete",IF(AND(Paths!$D$312="EV",Paths!$E$312&lt;120,Paths!$E$312+'Operating costs'!$B$65&gt;Paths!$E$312,Paths!$E$312+'Operating costs'!$B$65&lt;=120,IF(Paths!$E$312+'Operating costs'!$B$65=0,C3362=0,AND(C3362&gt;0,Paths!$E$312+'Operating costs'!$B$65&gt;(C3362-1)*12,Paths!$E$312+'Operating costs'!$B$65&lt;=C3362*12))),'Operating costs'!$B$64,0)+IF(AND('Operating costs'!$B$67&gt;0,'Operating costs'!$B$67&lt;=120,OR(Paths!$D$312="ICE",'Operating costs'!$B$67&lt;=Paths!$E$312),IF('Operating costs'!$B$67=0,C3362=0,AND(C3362&gt;0,'Operating costs'!$B$67&gt;(C3362-1)*12,'Operating costs'!$B$67&lt;=C3362*12))),'Operating costs'!$B$66,0),"n.a."))</f>
        <v>0</v>
      </c>
      <c r="N3362" s="16">
        <f>IF(NOT(Paths!$C$312=1),0,IF(Paths!$P$312="Complete",SUM(G3362:I3362)-J3362-K3362-L3362+M3362+IF(C3362=0,Paths!$F$312,0)+IF(IF(Paths!$E$312=0,C3362=0,AND(C3362&gt;0,Paths!$E$312&gt;(C3362-1)*12,Paths!$E$312&lt;=C3362*12)),VLOOKUP(A3362,'Fleet register'!$A$7:$S$106,16,FALSE),0),"n.a."))</f>
        <v>0</v>
      </c>
      <c r="O3362" s="16">
        <f>IF(NOT(Paths!$C$312=1),0,IF(Paths!$P$312="Complete",N3362-IF(C3362=0,Paths!$F$312,0),"n.a."))</f>
        <v>0</v>
      </c>
      <c r="P3362" s="16">
        <f>IF(NOT(Paths!$C$312=1),0,IF(Paths!$P$312="Complete",O3362+L3362,"n.a."))</f>
        <v>0</v>
      </c>
      <c r="Q3362" s="16">
        <f>IF(NOT(Paths!$C$312=1),0,IF(Paths!$P$312="Complete",N3362*(1+'Operating costs'!$B$54)^-C3362,"n.a."))</f>
        <v>0</v>
      </c>
      <c r="R3362" s="16">
        <f>IF(NOT(Paths!$C$312=1),0,IF(Paths!$P$312="Complete",IF(AND(C3362=0,Paths!$E$312=0),I3362-J3362-K3362+VLOOKUP(A3362,'Fleet register'!$A$7:$S$106,15,FALSE)+VLOOKUP(A3362,'Fleet register'!$A$7:$S$106,16,FALSE),0),"n.a."))</f>
        <v>0</v>
      </c>
      <c r="S3362" s="1">
        <f>IF(NOT(Paths!$C$312=1),0,IF(Paths!$P$312="Complete",IF(C3362=0,0,Paths!$S$312*Paths!$R$312),"n.a."))</f>
        <v>0</v>
      </c>
      <c r="T3362" s="1">
        <f>IF(NOT(Paths!$C$312=1),0,IF(Paths!$P$312="Complete",IF(C3362=0,0,VLOOKUP(A3362,'Fleet register'!$A$7:$S$106,9,FALSE)*Paths!$R$312),"n.a."))</f>
        <v>0</v>
      </c>
    </row>
    <row r="3363" spans="1:20" ht="24" customHeight="1">
      <c r="A3363" s="1" t="str">
        <f>Paths!$A$312</f>
        <v>T077</v>
      </c>
      <c r="B3363" s="1">
        <f>Paths!$B$312</f>
        <v>1</v>
      </c>
      <c r="C3363" s="1">
        <v>1</v>
      </c>
      <c r="D3363" s="1">
        <v>312</v>
      </c>
      <c r="E3363" s="1">
        <f>IF(OR(Paths!$C$312=0,C3363=0),0,MAX(0,MIN(C3363*12,Paths!$E$312)-(C3363-1)*12))</f>
        <v>0</v>
      </c>
      <c r="F3363" s="1">
        <f>IF(OR(Paths!$C$312=0,C3363=0),0,12-E3363)</f>
        <v>0</v>
      </c>
      <c r="G3363" s="16">
        <f>IF(NOT(Paths!$C$312=1),0,IF(Paths!$P$312="Complete",E3363/12*(Paths!$J$312*(1+'Operating costs'!$B$51)^MAX(0,C3363-1)+Paths!$K$312*(1+'Operating costs'!$B$53)^MAX(0,C3363-1)),"n.a."))</f>
        <v>0</v>
      </c>
      <c r="H3363" s="16">
        <f>IF(NOT(Paths!$C$312=1),0,IF(Paths!$P$312="Complete",F3363/12*(Paths!$L$312*(1+IF(Paths!$D$312="EV",'Operating costs'!$B$52,'Operating costs'!$B$51))^MAX(0,C3363-1)+Paths!$M$312*(1+'Operating costs'!$B$53)^MAX(0,C3363-1)),"n.a."))</f>
        <v>0</v>
      </c>
      <c r="I3363" s="16">
        <f>IF(NOT(Paths!$C$312=1),0,IF(Paths!$P$312="Complete",IF(IF(Paths!$E$312=0,C3363=0,AND(C3363&gt;0,Paths!$E$312&gt;(C3363-1)*12,Paths!$E$312&lt;=C3363*12)),Paths!$G$312,0),"n.a."))</f>
        <v>0</v>
      </c>
      <c r="J3363" s="16">
        <f>IF(NOT(Paths!$C$312=1),0,IF(Paths!$P$312="Complete",IF(IF(Paths!$E$312=0,C3363=0,AND(C3363&gt;0,Paths!$E$312&gt;(C3363-1)*12,Paths!$E$312&lt;=C3363*12)),Paths!$H$312,0),"n.a."))</f>
        <v>0</v>
      </c>
      <c r="K3363" s="16">
        <f>IF(NOT(Paths!$C$312=1),0,IF(Paths!$P$312="Complete",IF(IF(Paths!$O$312=0,C3363=0,AND(C3363&gt;0,Paths!$O$312&gt;(C3363-1)*12,Paths!$O$312&lt;=C3363*12)),Paths!$N$312,0),"n.a."))</f>
        <v>0</v>
      </c>
      <c r="L3363" s="16">
        <f>IF(NOT(Paths!$C$312=1),0,IF(Paths!$P$312="Complete",IF(C3363=10,Paths!$I$312,0),"n.a."))</f>
        <v>0</v>
      </c>
      <c r="M3363" s="16">
        <f>IF(NOT(Paths!$C$312=1),0,IF(Paths!$P$312="Complete",IF(AND(Paths!$D$312="EV",Paths!$E$312&lt;120,Paths!$E$312+'Operating costs'!$B$65&gt;Paths!$E$312,Paths!$E$312+'Operating costs'!$B$65&lt;=120,IF(Paths!$E$312+'Operating costs'!$B$65=0,C3363=0,AND(C3363&gt;0,Paths!$E$312+'Operating costs'!$B$65&gt;(C3363-1)*12,Paths!$E$312+'Operating costs'!$B$65&lt;=C3363*12))),'Operating costs'!$B$64,0)+IF(AND('Operating costs'!$B$67&gt;0,'Operating costs'!$B$67&lt;=120,OR(Paths!$D$312="ICE",'Operating costs'!$B$67&lt;=Paths!$E$312),IF('Operating costs'!$B$67=0,C3363=0,AND(C3363&gt;0,'Operating costs'!$B$67&gt;(C3363-1)*12,'Operating costs'!$B$67&lt;=C3363*12))),'Operating costs'!$B$66,0),"n.a."))</f>
        <v>0</v>
      </c>
      <c r="N3363" s="16">
        <f>IF(NOT(Paths!$C$312=1),0,IF(Paths!$P$312="Complete",SUM(G3363:I3363)-J3363-K3363-L3363+M3363+IF(C3363=0,Paths!$F$312,0)+IF(IF(Paths!$E$312=0,C3363=0,AND(C3363&gt;0,Paths!$E$312&gt;(C3363-1)*12,Paths!$E$312&lt;=C3363*12)),VLOOKUP(A3363,'Fleet register'!$A$7:$S$106,16,FALSE),0),"n.a."))</f>
        <v>0</v>
      </c>
      <c r="O3363" s="16">
        <f>IF(NOT(Paths!$C$312=1),0,IF(Paths!$P$312="Complete",N3363-IF(C3363=0,Paths!$F$312,0),"n.a."))</f>
        <v>0</v>
      </c>
      <c r="P3363" s="16">
        <f>IF(NOT(Paths!$C$312=1),0,IF(Paths!$P$312="Complete",O3363+L3363,"n.a."))</f>
        <v>0</v>
      </c>
      <c r="Q3363" s="16">
        <f>IF(NOT(Paths!$C$312=1),0,IF(Paths!$P$312="Complete",N3363*(1+'Operating costs'!$B$54)^-C3363,"n.a."))</f>
        <v>0</v>
      </c>
      <c r="R3363" s="16">
        <f>IF(NOT(Paths!$C$312=1),0,IF(Paths!$P$312="Complete",IF(AND(C3363=0,Paths!$E$312=0),I3363-J3363-K3363+VLOOKUP(A3363,'Fleet register'!$A$7:$S$106,15,FALSE)+VLOOKUP(A3363,'Fleet register'!$A$7:$S$106,16,FALSE),0),"n.a."))</f>
        <v>0</v>
      </c>
      <c r="S3363" s="1">
        <f>IF(NOT(Paths!$C$312=1),0,IF(Paths!$P$312="Complete",IF(C3363=0,0,Paths!$S$312*Paths!$R$312),"n.a."))</f>
        <v>0</v>
      </c>
      <c r="T3363" s="1">
        <f>IF(NOT(Paths!$C$312=1),0,IF(Paths!$P$312="Complete",IF(C3363=0,0,VLOOKUP(A3363,'Fleet register'!$A$7:$S$106,9,FALSE)*Paths!$R$312),"n.a."))</f>
        <v>0</v>
      </c>
    </row>
    <row r="3364" spans="1:20" ht="24" customHeight="1">
      <c r="A3364" s="1" t="str">
        <f>Paths!$A$312</f>
        <v>T077</v>
      </c>
      <c r="B3364" s="1">
        <f>Paths!$B$312</f>
        <v>1</v>
      </c>
      <c r="C3364" s="1">
        <v>2</v>
      </c>
      <c r="D3364" s="1">
        <v>312</v>
      </c>
      <c r="E3364" s="1">
        <f>IF(OR(Paths!$C$312=0,C3364=0),0,MAX(0,MIN(C3364*12,Paths!$E$312)-(C3364-1)*12))</f>
        <v>0</v>
      </c>
      <c r="F3364" s="1">
        <f>IF(OR(Paths!$C$312=0,C3364=0),0,12-E3364)</f>
        <v>0</v>
      </c>
      <c r="G3364" s="16">
        <f>IF(NOT(Paths!$C$312=1),0,IF(Paths!$P$312="Complete",E3364/12*(Paths!$J$312*(1+'Operating costs'!$B$51)^MAX(0,C3364-1)+Paths!$K$312*(1+'Operating costs'!$B$53)^MAX(0,C3364-1)),"n.a."))</f>
        <v>0</v>
      </c>
      <c r="H3364" s="16">
        <f>IF(NOT(Paths!$C$312=1),0,IF(Paths!$P$312="Complete",F3364/12*(Paths!$L$312*(1+IF(Paths!$D$312="EV",'Operating costs'!$B$52,'Operating costs'!$B$51))^MAX(0,C3364-1)+Paths!$M$312*(1+'Operating costs'!$B$53)^MAX(0,C3364-1)),"n.a."))</f>
        <v>0</v>
      </c>
      <c r="I3364" s="16">
        <f>IF(NOT(Paths!$C$312=1),0,IF(Paths!$P$312="Complete",IF(IF(Paths!$E$312=0,C3364=0,AND(C3364&gt;0,Paths!$E$312&gt;(C3364-1)*12,Paths!$E$312&lt;=C3364*12)),Paths!$G$312,0),"n.a."))</f>
        <v>0</v>
      </c>
      <c r="J3364" s="16">
        <f>IF(NOT(Paths!$C$312=1),0,IF(Paths!$P$312="Complete",IF(IF(Paths!$E$312=0,C3364=0,AND(C3364&gt;0,Paths!$E$312&gt;(C3364-1)*12,Paths!$E$312&lt;=C3364*12)),Paths!$H$312,0),"n.a."))</f>
        <v>0</v>
      </c>
      <c r="K3364" s="16">
        <f>IF(NOT(Paths!$C$312=1),0,IF(Paths!$P$312="Complete",IF(IF(Paths!$O$312=0,C3364=0,AND(C3364&gt;0,Paths!$O$312&gt;(C3364-1)*12,Paths!$O$312&lt;=C3364*12)),Paths!$N$312,0),"n.a."))</f>
        <v>0</v>
      </c>
      <c r="L3364" s="16">
        <f>IF(NOT(Paths!$C$312=1),0,IF(Paths!$P$312="Complete",IF(C3364=10,Paths!$I$312,0),"n.a."))</f>
        <v>0</v>
      </c>
      <c r="M3364" s="16">
        <f>IF(NOT(Paths!$C$312=1),0,IF(Paths!$P$312="Complete",IF(AND(Paths!$D$312="EV",Paths!$E$312&lt;120,Paths!$E$312+'Operating costs'!$B$65&gt;Paths!$E$312,Paths!$E$312+'Operating costs'!$B$65&lt;=120,IF(Paths!$E$312+'Operating costs'!$B$65=0,C3364=0,AND(C3364&gt;0,Paths!$E$312+'Operating costs'!$B$65&gt;(C3364-1)*12,Paths!$E$312+'Operating costs'!$B$65&lt;=C3364*12))),'Operating costs'!$B$64,0)+IF(AND('Operating costs'!$B$67&gt;0,'Operating costs'!$B$67&lt;=120,OR(Paths!$D$312="ICE",'Operating costs'!$B$67&lt;=Paths!$E$312),IF('Operating costs'!$B$67=0,C3364=0,AND(C3364&gt;0,'Operating costs'!$B$67&gt;(C3364-1)*12,'Operating costs'!$B$67&lt;=C3364*12))),'Operating costs'!$B$66,0),"n.a."))</f>
        <v>0</v>
      </c>
      <c r="N3364" s="16">
        <f>IF(NOT(Paths!$C$312=1),0,IF(Paths!$P$312="Complete",SUM(G3364:I3364)-J3364-K3364-L3364+M3364+IF(C3364=0,Paths!$F$312,0)+IF(IF(Paths!$E$312=0,C3364=0,AND(C3364&gt;0,Paths!$E$312&gt;(C3364-1)*12,Paths!$E$312&lt;=C3364*12)),VLOOKUP(A3364,'Fleet register'!$A$7:$S$106,16,FALSE),0),"n.a."))</f>
        <v>0</v>
      </c>
      <c r="O3364" s="16">
        <f>IF(NOT(Paths!$C$312=1),0,IF(Paths!$P$312="Complete",N3364-IF(C3364=0,Paths!$F$312,0),"n.a."))</f>
        <v>0</v>
      </c>
      <c r="P3364" s="16">
        <f>IF(NOT(Paths!$C$312=1),0,IF(Paths!$P$312="Complete",O3364+L3364,"n.a."))</f>
        <v>0</v>
      </c>
      <c r="Q3364" s="16">
        <f>IF(NOT(Paths!$C$312=1),0,IF(Paths!$P$312="Complete",N3364*(1+'Operating costs'!$B$54)^-C3364,"n.a."))</f>
        <v>0</v>
      </c>
      <c r="R3364" s="16">
        <f>IF(NOT(Paths!$C$312=1),0,IF(Paths!$P$312="Complete",IF(AND(C3364=0,Paths!$E$312=0),I3364-J3364-K3364+VLOOKUP(A3364,'Fleet register'!$A$7:$S$106,15,FALSE)+VLOOKUP(A3364,'Fleet register'!$A$7:$S$106,16,FALSE),0),"n.a."))</f>
        <v>0</v>
      </c>
      <c r="S3364" s="1">
        <f>IF(NOT(Paths!$C$312=1),0,IF(Paths!$P$312="Complete",IF(C3364=0,0,Paths!$S$312*Paths!$R$312),"n.a."))</f>
        <v>0</v>
      </c>
      <c r="T3364" s="1">
        <f>IF(NOT(Paths!$C$312=1),0,IF(Paths!$P$312="Complete",IF(C3364=0,0,VLOOKUP(A3364,'Fleet register'!$A$7:$S$106,9,FALSE)*Paths!$R$312),"n.a."))</f>
        <v>0</v>
      </c>
    </row>
    <row r="3365" spans="1:20" ht="24" customHeight="1">
      <c r="A3365" s="1" t="str">
        <f>Paths!$A$312</f>
        <v>T077</v>
      </c>
      <c r="B3365" s="1">
        <f>Paths!$B$312</f>
        <v>1</v>
      </c>
      <c r="C3365" s="1">
        <v>3</v>
      </c>
      <c r="D3365" s="1">
        <v>312</v>
      </c>
      <c r="E3365" s="1">
        <f>IF(OR(Paths!$C$312=0,C3365=0),0,MAX(0,MIN(C3365*12,Paths!$E$312)-(C3365-1)*12))</f>
        <v>0</v>
      </c>
      <c r="F3365" s="1">
        <f>IF(OR(Paths!$C$312=0,C3365=0),0,12-E3365)</f>
        <v>0</v>
      </c>
      <c r="G3365" s="16">
        <f>IF(NOT(Paths!$C$312=1),0,IF(Paths!$P$312="Complete",E3365/12*(Paths!$J$312*(1+'Operating costs'!$B$51)^MAX(0,C3365-1)+Paths!$K$312*(1+'Operating costs'!$B$53)^MAX(0,C3365-1)),"n.a."))</f>
        <v>0</v>
      </c>
      <c r="H3365" s="16">
        <f>IF(NOT(Paths!$C$312=1),0,IF(Paths!$P$312="Complete",F3365/12*(Paths!$L$312*(1+IF(Paths!$D$312="EV",'Operating costs'!$B$52,'Operating costs'!$B$51))^MAX(0,C3365-1)+Paths!$M$312*(1+'Operating costs'!$B$53)^MAX(0,C3365-1)),"n.a."))</f>
        <v>0</v>
      </c>
      <c r="I3365" s="16">
        <f>IF(NOT(Paths!$C$312=1),0,IF(Paths!$P$312="Complete",IF(IF(Paths!$E$312=0,C3365=0,AND(C3365&gt;0,Paths!$E$312&gt;(C3365-1)*12,Paths!$E$312&lt;=C3365*12)),Paths!$G$312,0),"n.a."))</f>
        <v>0</v>
      </c>
      <c r="J3365" s="16">
        <f>IF(NOT(Paths!$C$312=1),0,IF(Paths!$P$312="Complete",IF(IF(Paths!$E$312=0,C3365=0,AND(C3365&gt;0,Paths!$E$312&gt;(C3365-1)*12,Paths!$E$312&lt;=C3365*12)),Paths!$H$312,0),"n.a."))</f>
        <v>0</v>
      </c>
      <c r="K3365" s="16">
        <f>IF(NOT(Paths!$C$312=1),0,IF(Paths!$P$312="Complete",IF(IF(Paths!$O$312=0,C3365=0,AND(C3365&gt;0,Paths!$O$312&gt;(C3365-1)*12,Paths!$O$312&lt;=C3365*12)),Paths!$N$312,0),"n.a."))</f>
        <v>0</v>
      </c>
      <c r="L3365" s="16">
        <f>IF(NOT(Paths!$C$312=1),0,IF(Paths!$P$312="Complete",IF(C3365=10,Paths!$I$312,0),"n.a."))</f>
        <v>0</v>
      </c>
      <c r="M3365" s="16">
        <f>IF(NOT(Paths!$C$312=1),0,IF(Paths!$P$312="Complete",IF(AND(Paths!$D$312="EV",Paths!$E$312&lt;120,Paths!$E$312+'Operating costs'!$B$65&gt;Paths!$E$312,Paths!$E$312+'Operating costs'!$B$65&lt;=120,IF(Paths!$E$312+'Operating costs'!$B$65=0,C3365=0,AND(C3365&gt;0,Paths!$E$312+'Operating costs'!$B$65&gt;(C3365-1)*12,Paths!$E$312+'Operating costs'!$B$65&lt;=C3365*12))),'Operating costs'!$B$64,0)+IF(AND('Operating costs'!$B$67&gt;0,'Operating costs'!$B$67&lt;=120,OR(Paths!$D$312="ICE",'Operating costs'!$B$67&lt;=Paths!$E$312),IF('Operating costs'!$B$67=0,C3365=0,AND(C3365&gt;0,'Operating costs'!$B$67&gt;(C3365-1)*12,'Operating costs'!$B$67&lt;=C3365*12))),'Operating costs'!$B$66,0),"n.a."))</f>
        <v>0</v>
      </c>
      <c r="N3365" s="16">
        <f>IF(NOT(Paths!$C$312=1),0,IF(Paths!$P$312="Complete",SUM(G3365:I3365)-J3365-K3365-L3365+M3365+IF(C3365=0,Paths!$F$312,0)+IF(IF(Paths!$E$312=0,C3365=0,AND(C3365&gt;0,Paths!$E$312&gt;(C3365-1)*12,Paths!$E$312&lt;=C3365*12)),VLOOKUP(A3365,'Fleet register'!$A$7:$S$106,16,FALSE),0),"n.a."))</f>
        <v>0</v>
      </c>
      <c r="O3365" s="16">
        <f>IF(NOT(Paths!$C$312=1),0,IF(Paths!$P$312="Complete",N3365-IF(C3365=0,Paths!$F$312,0),"n.a."))</f>
        <v>0</v>
      </c>
      <c r="P3365" s="16">
        <f>IF(NOT(Paths!$C$312=1),0,IF(Paths!$P$312="Complete",O3365+L3365,"n.a."))</f>
        <v>0</v>
      </c>
      <c r="Q3365" s="16">
        <f>IF(NOT(Paths!$C$312=1),0,IF(Paths!$P$312="Complete",N3365*(1+'Operating costs'!$B$54)^-C3365,"n.a."))</f>
        <v>0</v>
      </c>
      <c r="R3365" s="16">
        <f>IF(NOT(Paths!$C$312=1),0,IF(Paths!$P$312="Complete",IF(AND(C3365=0,Paths!$E$312=0),I3365-J3365-K3365+VLOOKUP(A3365,'Fleet register'!$A$7:$S$106,15,FALSE)+VLOOKUP(A3365,'Fleet register'!$A$7:$S$106,16,FALSE),0),"n.a."))</f>
        <v>0</v>
      </c>
      <c r="S3365" s="1">
        <f>IF(NOT(Paths!$C$312=1),0,IF(Paths!$P$312="Complete",IF(C3365=0,0,Paths!$S$312*Paths!$R$312),"n.a."))</f>
        <v>0</v>
      </c>
      <c r="T3365" s="1">
        <f>IF(NOT(Paths!$C$312=1),0,IF(Paths!$P$312="Complete",IF(C3365=0,0,VLOOKUP(A3365,'Fleet register'!$A$7:$S$106,9,FALSE)*Paths!$R$312),"n.a."))</f>
        <v>0</v>
      </c>
    </row>
    <row r="3366" spans="1:20" ht="24" customHeight="1">
      <c r="A3366" s="1" t="str">
        <f>Paths!$A$312</f>
        <v>T077</v>
      </c>
      <c r="B3366" s="1">
        <f>Paths!$B$312</f>
        <v>1</v>
      </c>
      <c r="C3366" s="1">
        <v>4</v>
      </c>
      <c r="D3366" s="1">
        <v>312</v>
      </c>
      <c r="E3366" s="1">
        <f>IF(OR(Paths!$C$312=0,C3366=0),0,MAX(0,MIN(C3366*12,Paths!$E$312)-(C3366-1)*12))</f>
        <v>0</v>
      </c>
      <c r="F3366" s="1">
        <f>IF(OR(Paths!$C$312=0,C3366=0),0,12-E3366)</f>
        <v>0</v>
      </c>
      <c r="G3366" s="16">
        <f>IF(NOT(Paths!$C$312=1),0,IF(Paths!$P$312="Complete",E3366/12*(Paths!$J$312*(1+'Operating costs'!$B$51)^MAX(0,C3366-1)+Paths!$K$312*(1+'Operating costs'!$B$53)^MAX(0,C3366-1)),"n.a."))</f>
        <v>0</v>
      </c>
      <c r="H3366" s="16">
        <f>IF(NOT(Paths!$C$312=1),0,IF(Paths!$P$312="Complete",F3366/12*(Paths!$L$312*(1+IF(Paths!$D$312="EV",'Operating costs'!$B$52,'Operating costs'!$B$51))^MAX(0,C3366-1)+Paths!$M$312*(1+'Operating costs'!$B$53)^MAX(0,C3366-1)),"n.a."))</f>
        <v>0</v>
      </c>
      <c r="I3366" s="16">
        <f>IF(NOT(Paths!$C$312=1),0,IF(Paths!$P$312="Complete",IF(IF(Paths!$E$312=0,C3366=0,AND(C3366&gt;0,Paths!$E$312&gt;(C3366-1)*12,Paths!$E$312&lt;=C3366*12)),Paths!$G$312,0),"n.a."))</f>
        <v>0</v>
      </c>
      <c r="J3366" s="16">
        <f>IF(NOT(Paths!$C$312=1),0,IF(Paths!$P$312="Complete",IF(IF(Paths!$E$312=0,C3366=0,AND(C3366&gt;0,Paths!$E$312&gt;(C3366-1)*12,Paths!$E$312&lt;=C3366*12)),Paths!$H$312,0),"n.a."))</f>
        <v>0</v>
      </c>
      <c r="K3366" s="16">
        <f>IF(NOT(Paths!$C$312=1),0,IF(Paths!$P$312="Complete",IF(IF(Paths!$O$312=0,C3366=0,AND(C3366&gt;0,Paths!$O$312&gt;(C3366-1)*12,Paths!$O$312&lt;=C3366*12)),Paths!$N$312,0),"n.a."))</f>
        <v>0</v>
      </c>
      <c r="L3366" s="16">
        <f>IF(NOT(Paths!$C$312=1),0,IF(Paths!$P$312="Complete",IF(C3366=10,Paths!$I$312,0),"n.a."))</f>
        <v>0</v>
      </c>
      <c r="M3366" s="16">
        <f>IF(NOT(Paths!$C$312=1),0,IF(Paths!$P$312="Complete",IF(AND(Paths!$D$312="EV",Paths!$E$312&lt;120,Paths!$E$312+'Operating costs'!$B$65&gt;Paths!$E$312,Paths!$E$312+'Operating costs'!$B$65&lt;=120,IF(Paths!$E$312+'Operating costs'!$B$65=0,C3366=0,AND(C3366&gt;0,Paths!$E$312+'Operating costs'!$B$65&gt;(C3366-1)*12,Paths!$E$312+'Operating costs'!$B$65&lt;=C3366*12))),'Operating costs'!$B$64,0)+IF(AND('Operating costs'!$B$67&gt;0,'Operating costs'!$B$67&lt;=120,OR(Paths!$D$312="ICE",'Operating costs'!$B$67&lt;=Paths!$E$312),IF('Operating costs'!$B$67=0,C3366=0,AND(C3366&gt;0,'Operating costs'!$B$67&gt;(C3366-1)*12,'Operating costs'!$B$67&lt;=C3366*12))),'Operating costs'!$B$66,0),"n.a."))</f>
        <v>0</v>
      </c>
      <c r="N3366" s="16">
        <f>IF(NOT(Paths!$C$312=1),0,IF(Paths!$P$312="Complete",SUM(G3366:I3366)-J3366-K3366-L3366+M3366+IF(C3366=0,Paths!$F$312,0)+IF(IF(Paths!$E$312=0,C3366=0,AND(C3366&gt;0,Paths!$E$312&gt;(C3366-1)*12,Paths!$E$312&lt;=C3366*12)),VLOOKUP(A3366,'Fleet register'!$A$7:$S$106,16,FALSE),0),"n.a."))</f>
        <v>0</v>
      </c>
      <c r="O3366" s="16">
        <f>IF(NOT(Paths!$C$312=1),0,IF(Paths!$P$312="Complete",N3366-IF(C3366=0,Paths!$F$312,0),"n.a."))</f>
        <v>0</v>
      </c>
      <c r="P3366" s="16">
        <f>IF(NOT(Paths!$C$312=1),0,IF(Paths!$P$312="Complete",O3366+L3366,"n.a."))</f>
        <v>0</v>
      </c>
      <c r="Q3366" s="16">
        <f>IF(NOT(Paths!$C$312=1),0,IF(Paths!$P$312="Complete",N3366*(1+'Operating costs'!$B$54)^-C3366,"n.a."))</f>
        <v>0</v>
      </c>
      <c r="R3366" s="16">
        <f>IF(NOT(Paths!$C$312=1),0,IF(Paths!$P$312="Complete",IF(AND(C3366=0,Paths!$E$312=0),I3366-J3366-K3366+VLOOKUP(A3366,'Fleet register'!$A$7:$S$106,15,FALSE)+VLOOKUP(A3366,'Fleet register'!$A$7:$S$106,16,FALSE),0),"n.a."))</f>
        <v>0</v>
      </c>
      <c r="S3366" s="1">
        <f>IF(NOT(Paths!$C$312=1),0,IF(Paths!$P$312="Complete",IF(C3366=0,0,Paths!$S$312*Paths!$R$312),"n.a."))</f>
        <v>0</v>
      </c>
      <c r="T3366" s="1">
        <f>IF(NOT(Paths!$C$312=1),0,IF(Paths!$P$312="Complete",IF(C3366=0,0,VLOOKUP(A3366,'Fleet register'!$A$7:$S$106,9,FALSE)*Paths!$R$312),"n.a."))</f>
        <v>0</v>
      </c>
    </row>
    <row r="3367" spans="1:20" ht="24" customHeight="1">
      <c r="A3367" s="1" t="str">
        <f>Paths!$A$312</f>
        <v>T077</v>
      </c>
      <c r="B3367" s="1">
        <f>Paths!$B$312</f>
        <v>1</v>
      </c>
      <c r="C3367" s="1">
        <v>5</v>
      </c>
      <c r="D3367" s="1">
        <v>312</v>
      </c>
      <c r="E3367" s="1">
        <f>IF(OR(Paths!$C$312=0,C3367=0),0,MAX(0,MIN(C3367*12,Paths!$E$312)-(C3367-1)*12))</f>
        <v>0</v>
      </c>
      <c r="F3367" s="1">
        <f>IF(OR(Paths!$C$312=0,C3367=0),0,12-E3367)</f>
        <v>0</v>
      </c>
      <c r="G3367" s="16">
        <f>IF(NOT(Paths!$C$312=1),0,IF(Paths!$P$312="Complete",E3367/12*(Paths!$J$312*(1+'Operating costs'!$B$51)^MAX(0,C3367-1)+Paths!$K$312*(1+'Operating costs'!$B$53)^MAX(0,C3367-1)),"n.a."))</f>
        <v>0</v>
      </c>
      <c r="H3367" s="16">
        <f>IF(NOT(Paths!$C$312=1),0,IF(Paths!$P$312="Complete",F3367/12*(Paths!$L$312*(1+IF(Paths!$D$312="EV",'Operating costs'!$B$52,'Operating costs'!$B$51))^MAX(0,C3367-1)+Paths!$M$312*(1+'Operating costs'!$B$53)^MAX(0,C3367-1)),"n.a."))</f>
        <v>0</v>
      </c>
      <c r="I3367" s="16">
        <f>IF(NOT(Paths!$C$312=1),0,IF(Paths!$P$312="Complete",IF(IF(Paths!$E$312=0,C3367=0,AND(C3367&gt;0,Paths!$E$312&gt;(C3367-1)*12,Paths!$E$312&lt;=C3367*12)),Paths!$G$312,0),"n.a."))</f>
        <v>0</v>
      </c>
      <c r="J3367" s="16">
        <f>IF(NOT(Paths!$C$312=1),0,IF(Paths!$P$312="Complete",IF(IF(Paths!$E$312=0,C3367=0,AND(C3367&gt;0,Paths!$E$312&gt;(C3367-1)*12,Paths!$E$312&lt;=C3367*12)),Paths!$H$312,0),"n.a."))</f>
        <v>0</v>
      </c>
      <c r="K3367" s="16">
        <f>IF(NOT(Paths!$C$312=1),0,IF(Paths!$P$312="Complete",IF(IF(Paths!$O$312=0,C3367=0,AND(C3367&gt;0,Paths!$O$312&gt;(C3367-1)*12,Paths!$O$312&lt;=C3367*12)),Paths!$N$312,0),"n.a."))</f>
        <v>0</v>
      </c>
      <c r="L3367" s="16">
        <f>IF(NOT(Paths!$C$312=1),0,IF(Paths!$P$312="Complete",IF(C3367=10,Paths!$I$312,0),"n.a."))</f>
        <v>0</v>
      </c>
      <c r="M3367" s="16">
        <f>IF(NOT(Paths!$C$312=1),0,IF(Paths!$P$312="Complete",IF(AND(Paths!$D$312="EV",Paths!$E$312&lt;120,Paths!$E$312+'Operating costs'!$B$65&gt;Paths!$E$312,Paths!$E$312+'Operating costs'!$B$65&lt;=120,IF(Paths!$E$312+'Operating costs'!$B$65=0,C3367=0,AND(C3367&gt;0,Paths!$E$312+'Operating costs'!$B$65&gt;(C3367-1)*12,Paths!$E$312+'Operating costs'!$B$65&lt;=C3367*12))),'Operating costs'!$B$64,0)+IF(AND('Operating costs'!$B$67&gt;0,'Operating costs'!$B$67&lt;=120,OR(Paths!$D$312="ICE",'Operating costs'!$B$67&lt;=Paths!$E$312),IF('Operating costs'!$B$67=0,C3367=0,AND(C3367&gt;0,'Operating costs'!$B$67&gt;(C3367-1)*12,'Operating costs'!$B$67&lt;=C3367*12))),'Operating costs'!$B$66,0),"n.a."))</f>
        <v>0</v>
      </c>
      <c r="N3367" s="16">
        <f>IF(NOT(Paths!$C$312=1),0,IF(Paths!$P$312="Complete",SUM(G3367:I3367)-J3367-K3367-L3367+M3367+IF(C3367=0,Paths!$F$312,0)+IF(IF(Paths!$E$312=0,C3367=0,AND(C3367&gt;0,Paths!$E$312&gt;(C3367-1)*12,Paths!$E$312&lt;=C3367*12)),VLOOKUP(A3367,'Fleet register'!$A$7:$S$106,16,FALSE),0),"n.a."))</f>
        <v>0</v>
      </c>
      <c r="O3367" s="16">
        <f>IF(NOT(Paths!$C$312=1),0,IF(Paths!$P$312="Complete",N3367-IF(C3367=0,Paths!$F$312,0),"n.a."))</f>
        <v>0</v>
      </c>
      <c r="P3367" s="16">
        <f>IF(NOT(Paths!$C$312=1),0,IF(Paths!$P$312="Complete",O3367+L3367,"n.a."))</f>
        <v>0</v>
      </c>
      <c r="Q3367" s="16">
        <f>IF(NOT(Paths!$C$312=1),0,IF(Paths!$P$312="Complete",N3367*(1+'Operating costs'!$B$54)^-C3367,"n.a."))</f>
        <v>0</v>
      </c>
      <c r="R3367" s="16">
        <f>IF(NOT(Paths!$C$312=1),0,IF(Paths!$P$312="Complete",IF(AND(C3367=0,Paths!$E$312=0),I3367-J3367-K3367+VLOOKUP(A3367,'Fleet register'!$A$7:$S$106,15,FALSE)+VLOOKUP(A3367,'Fleet register'!$A$7:$S$106,16,FALSE),0),"n.a."))</f>
        <v>0</v>
      </c>
      <c r="S3367" s="1">
        <f>IF(NOT(Paths!$C$312=1),0,IF(Paths!$P$312="Complete",IF(C3367=0,0,Paths!$S$312*Paths!$R$312),"n.a."))</f>
        <v>0</v>
      </c>
      <c r="T3367" s="1">
        <f>IF(NOT(Paths!$C$312=1),0,IF(Paths!$P$312="Complete",IF(C3367=0,0,VLOOKUP(A3367,'Fleet register'!$A$7:$S$106,9,FALSE)*Paths!$R$312),"n.a."))</f>
        <v>0</v>
      </c>
    </row>
    <row r="3368" spans="1:20" ht="24" customHeight="1">
      <c r="A3368" s="1" t="str">
        <f>Paths!$A$312</f>
        <v>T077</v>
      </c>
      <c r="B3368" s="1">
        <f>Paths!$B$312</f>
        <v>1</v>
      </c>
      <c r="C3368" s="1">
        <v>6</v>
      </c>
      <c r="D3368" s="1">
        <v>312</v>
      </c>
      <c r="E3368" s="1">
        <f>IF(OR(Paths!$C$312=0,C3368=0),0,MAX(0,MIN(C3368*12,Paths!$E$312)-(C3368-1)*12))</f>
        <v>0</v>
      </c>
      <c r="F3368" s="1">
        <f>IF(OR(Paths!$C$312=0,C3368=0),0,12-E3368)</f>
        <v>0</v>
      </c>
      <c r="G3368" s="16">
        <f>IF(NOT(Paths!$C$312=1),0,IF(Paths!$P$312="Complete",E3368/12*(Paths!$J$312*(1+'Operating costs'!$B$51)^MAX(0,C3368-1)+Paths!$K$312*(1+'Operating costs'!$B$53)^MAX(0,C3368-1)),"n.a."))</f>
        <v>0</v>
      </c>
      <c r="H3368" s="16">
        <f>IF(NOT(Paths!$C$312=1),0,IF(Paths!$P$312="Complete",F3368/12*(Paths!$L$312*(1+IF(Paths!$D$312="EV",'Operating costs'!$B$52,'Operating costs'!$B$51))^MAX(0,C3368-1)+Paths!$M$312*(1+'Operating costs'!$B$53)^MAX(0,C3368-1)),"n.a."))</f>
        <v>0</v>
      </c>
      <c r="I3368" s="16">
        <f>IF(NOT(Paths!$C$312=1),0,IF(Paths!$P$312="Complete",IF(IF(Paths!$E$312=0,C3368=0,AND(C3368&gt;0,Paths!$E$312&gt;(C3368-1)*12,Paths!$E$312&lt;=C3368*12)),Paths!$G$312,0),"n.a."))</f>
        <v>0</v>
      </c>
      <c r="J3368" s="16">
        <f>IF(NOT(Paths!$C$312=1),0,IF(Paths!$P$312="Complete",IF(IF(Paths!$E$312=0,C3368=0,AND(C3368&gt;0,Paths!$E$312&gt;(C3368-1)*12,Paths!$E$312&lt;=C3368*12)),Paths!$H$312,0),"n.a."))</f>
        <v>0</v>
      </c>
      <c r="K3368" s="16">
        <f>IF(NOT(Paths!$C$312=1),0,IF(Paths!$P$312="Complete",IF(IF(Paths!$O$312=0,C3368=0,AND(C3368&gt;0,Paths!$O$312&gt;(C3368-1)*12,Paths!$O$312&lt;=C3368*12)),Paths!$N$312,0),"n.a."))</f>
        <v>0</v>
      </c>
      <c r="L3368" s="16">
        <f>IF(NOT(Paths!$C$312=1),0,IF(Paths!$P$312="Complete",IF(C3368=10,Paths!$I$312,0),"n.a."))</f>
        <v>0</v>
      </c>
      <c r="M3368" s="16">
        <f>IF(NOT(Paths!$C$312=1),0,IF(Paths!$P$312="Complete",IF(AND(Paths!$D$312="EV",Paths!$E$312&lt;120,Paths!$E$312+'Operating costs'!$B$65&gt;Paths!$E$312,Paths!$E$312+'Operating costs'!$B$65&lt;=120,IF(Paths!$E$312+'Operating costs'!$B$65=0,C3368=0,AND(C3368&gt;0,Paths!$E$312+'Operating costs'!$B$65&gt;(C3368-1)*12,Paths!$E$312+'Operating costs'!$B$65&lt;=C3368*12))),'Operating costs'!$B$64,0)+IF(AND('Operating costs'!$B$67&gt;0,'Operating costs'!$B$67&lt;=120,OR(Paths!$D$312="ICE",'Operating costs'!$B$67&lt;=Paths!$E$312),IF('Operating costs'!$B$67=0,C3368=0,AND(C3368&gt;0,'Operating costs'!$B$67&gt;(C3368-1)*12,'Operating costs'!$B$67&lt;=C3368*12))),'Operating costs'!$B$66,0),"n.a."))</f>
        <v>0</v>
      </c>
      <c r="N3368" s="16">
        <f>IF(NOT(Paths!$C$312=1),0,IF(Paths!$P$312="Complete",SUM(G3368:I3368)-J3368-K3368-L3368+M3368+IF(C3368=0,Paths!$F$312,0)+IF(IF(Paths!$E$312=0,C3368=0,AND(C3368&gt;0,Paths!$E$312&gt;(C3368-1)*12,Paths!$E$312&lt;=C3368*12)),VLOOKUP(A3368,'Fleet register'!$A$7:$S$106,16,FALSE),0),"n.a."))</f>
        <v>0</v>
      </c>
      <c r="O3368" s="16">
        <f>IF(NOT(Paths!$C$312=1),0,IF(Paths!$P$312="Complete",N3368-IF(C3368=0,Paths!$F$312,0),"n.a."))</f>
        <v>0</v>
      </c>
      <c r="P3368" s="16">
        <f>IF(NOT(Paths!$C$312=1),0,IF(Paths!$P$312="Complete",O3368+L3368,"n.a."))</f>
        <v>0</v>
      </c>
      <c r="Q3368" s="16">
        <f>IF(NOT(Paths!$C$312=1),0,IF(Paths!$P$312="Complete",N3368*(1+'Operating costs'!$B$54)^-C3368,"n.a."))</f>
        <v>0</v>
      </c>
      <c r="R3368" s="16">
        <f>IF(NOT(Paths!$C$312=1),0,IF(Paths!$P$312="Complete",IF(AND(C3368=0,Paths!$E$312=0),I3368-J3368-K3368+VLOOKUP(A3368,'Fleet register'!$A$7:$S$106,15,FALSE)+VLOOKUP(A3368,'Fleet register'!$A$7:$S$106,16,FALSE),0),"n.a."))</f>
        <v>0</v>
      </c>
      <c r="S3368" s="1">
        <f>IF(NOT(Paths!$C$312=1),0,IF(Paths!$P$312="Complete",IF(C3368=0,0,Paths!$S$312*Paths!$R$312),"n.a."))</f>
        <v>0</v>
      </c>
      <c r="T3368" s="1">
        <f>IF(NOT(Paths!$C$312=1),0,IF(Paths!$P$312="Complete",IF(C3368=0,0,VLOOKUP(A3368,'Fleet register'!$A$7:$S$106,9,FALSE)*Paths!$R$312),"n.a."))</f>
        <v>0</v>
      </c>
    </row>
    <row r="3369" spans="1:20" ht="24" customHeight="1">
      <c r="A3369" s="1" t="str">
        <f>Paths!$A$312</f>
        <v>T077</v>
      </c>
      <c r="B3369" s="1">
        <f>Paths!$B$312</f>
        <v>1</v>
      </c>
      <c r="C3369" s="1">
        <v>7</v>
      </c>
      <c r="D3369" s="1">
        <v>312</v>
      </c>
      <c r="E3369" s="1">
        <f>IF(OR(Paths!$C$312=0,C3369=0),0,MAX(0,MIN(C3369*12,Paths!$E$312)-(C3369-1)*12))</f>
        <v>0</v>
      </c>
      <c r="F3369" s="1">
        <f>IF(OR(Paths!$C$312=0,C3369=0),0,12-E3369)</f>
        <v>0</v>
      </c>
      <c r="G3369" s="16">
        <f>IF(NOT(Paths!$C$312=1),0,IF(Paths!$P$312="Complete",E3369/12*(Paths!$J$312*(1+'Operating costs'!$B$51)^MAX(0,C3369-1)+Paths!$K$312*(1+'Operating costs'!$B$53)^MAX(0,C3369-1)),"n.a."))</f>
        <v>0</v>
      </c>
      <c r="H3369" s="16">
        <f>IF(NOT(Paths!$C$312=1),0,IF(Paths!$P$312="Complete",F3369/12*(Paths!$L$312*(1+IF(Paths!$D$312="EV",'Operating costs'!$B$52,'Operating costs'!$B$51))^MAX(0,C3369-1)+Paths!$M$312*(1+'Operating costs'!$B$53)^MAX(0,C3369-1)),"n.a."))</f>
        <v>0</v>
      </c>
      <c r="I3369" s="16">
        <f>IF(NOT(Paths!$C$312=1),0,IF(Paths!$P$312="Complete",IF(IF(Paths!$E$312=0,C3369=0,AND(C3369&gt;0,Paths!$E$312&gt;(C3369-1)*12,Paths!$E$312&lt;=C3369*12)),Paths!$G$312,0),"n.a."))</f>
        <v>0</v>
      </c>
      <c r="J3369" s="16">
        <f>IF(NOT(Paths!$C$312=1),0,IF(Paths!$P$312="Complete",IF(IF(Paths!$E$312=0,C3369=0,AND(C3369&gt;0,Paths!$E$312&gt;(C3369-1)*12,Paths!$E$312&lt;=C3369*12)),Paths!$H$312,0),"n.a."))</f>
        <v>0</v>
      </c>
      <c r="K3369" s="16">
        <f>IF(NOT(Paths!$C$312=1),0,IF(Paths!$P$312="Complete",IF(IF(Paths!$O$312=0,C3369=0,AND(C3369&gt;0,Paths!$O$312&gt;(C3369-1)*12,Paths!$O$312&lt;=C3369*12)),Paths!$N$312,0),"n.a."))</f>
        <v>0</v>
      </c>
      <c r="L3369" s="16">
        <f>IF(NOT(Paths!$C$312=1),0,IF(Paths!$P$312="Complete",IF(C3369=10,Paths!$I$312,0),"n.a."))</f>
        <v>0</v>
      </c>
      <c r="M3369" s="16">
        <f>IF(NOT(Paths!$C$312=1),0,IF(Paths!$P$312="Complete",IF(AND(Paths!$D$312="EV",Paths!$E$312&lt;120,Paths!$E$312+'Operating costs'!$B$65&gt;Paths!$E$312,Paths!$E$312+'Operating costs'!$B$65&lt;=120,IF(Paths!$E$312+'Operating costs'!$B$65=0,C3369=0,AND(C3369&gt;0,Paths!$E$312+'Operating costs'!$B$65&gt;(C3369-1)*12,Paths!$E$312+'Operating costs'!$B$65&lt;=C3369*12))),'Operating costs'!$B$64,0)+IF(AND('Operating costs'!$B$67&gt;0,'Operating costs'!$B$67&lt;=120,OR(Paths!$D$312="ICE",'Operating costs'!$B$67&lt;=Paths!$E$312),IF('Operating costs'!$B$67=0,C3369=0,AND(C3369&gt;0,'Operating costs'!$B$67&gt;(C3369-1)*12,'Operating costs'!$B$67&lt;=C3369*12))),'Operating costs'!$B$66,0),"n.a."))</f>
        <v>0</v>
      </c>
      <c r="N3369" s="16">
        <f>IF(NOT(Paths!$C$312=1),0,IF(Paths!$P$312="Complete",SUM(G3369:I3369)-J3369-K3369-L3369+M3369+IF(C3369=0,Paths!$F$312,0)+IF(IF(Paths!$E$312=0,C3369=0,AND(C3369&gt;0,Paths!$E$312&gt;(C3369-1)*12,Paths!$E$312&lt;=C3369*12)),VLOOKUP(A3369,'Fleet register'!$A$7:$S$106,16,FALSE),0),"n.a."))</f>
        <v>0</v>
      </c>
      <c r="O3369" s="16">
        <f>IF(NOT(Paths!$C$312=1),0,IF(Paths!$P$312="Complete",N3369-IF(C3369=0,Paths!$F$312,0),"n.a."))</f>
        <v>0</v>
      </c>
      <c r="P3369" s="16">
        <f>IF(NOT(Paths!$C$312=1),0,IF(Paths!$P$312="Complete",O3369+L3369,"n.a."))</f>
        <v>0</v>
      </c>
      <c r="Q3369" s="16">
        <f>IF(NOT(Paths!$C$312=1),0,IF(Paths!$P$312="Complete",N3369*(1+'Operating costs'!$B$54)^-C3369,"n.a."))</f>
        <v>0</v>
      </c>
      <c r="R3369" s="16">
        <f>IF(NOT(Paths!$C$312=1),0,IF(Paths!$P$312="Complete",IF(AND(C3369=0,Paths!$E$312=0),I3369-J3369-K3369+VLOOKUP(A3369,'Fleet register'!$A$7:$S$106,15,FALSE)+VLOOKUP(A3369,'Fleet register'!$A$7:$S$106,16,FALSE),0),"n.a."))</f>
        <v>0</v>
      </c>
      <c r="S3369" s="1">
        <f>IF(NOT(Paths!$C$312=1),0,IF(Paths!$P$312="Complete",IF(C3369=0,0,Paths!$S$312*Paths!$R$312),"n.a."))</f>
        <v>0</v>
      </c>
      <c r="T3369" s="1">
        <f>IF(NOT(Paths!$C$312=1),0,IF(Paths!$P$312="Complete",IF(C3369=0,0,VLOOKUP(A3369,'Fleet register'!$A$7:$S$106,9,FALSE)*Paths!$R$312),"n.a."))</f>
        <v>0</v>
      </c>
    </row>
    <row r="3370" spans="1:20" ht="24" customHeight="1">
      <c r="A3370" s="1" t="str">
        <f>Paths!$A$312</f>
        <v>T077</v>
      </c>
      <c r="B3370" s="1">
        <f>Paths!$B$312</f>
        <v>1</v>
      </c>
      <c r="C3370" s="1">
        <v>8</v>
      </c>
      <c r="D3370" s="1">
        <v>312</v>
      </c>
      <c r="E3370" s="1">
        <f>IF(OR(Paths!$C$312=0,C3370=0),0,MAX(0,MIN(C3370*12,Paths!$E$312)-(C3370-1)*12))</f>
        <v>0</v>
      </c>
      <c r="F3370" s="1">
        <f>IF(OR(Paths!$C$312=0,C3370=0),0,12-E3370)</f>
        <v>0</v>
      </c>
      <c r="G3370" s="16">
        <f>IF(NOT(Paths!$C$312=1),0,IF(Paths!$P$312="Complete",E3370/12*(Paths!$J$312*(1+'Operating costs'!$B$51)^MAX(0,C3370-1)+Paths!$K$312*(1+'Operating costs'!$B$53)^MAX(0,C3370-1)),"n.a."))</f>
        <v>0</v>
      </c>
      <c r="H3370" s="16">
        <f>IF(NOT(Paths!$C$312=1),0,IF(Paths!$P$312="Complete",F3370/12*(Paths!$L$312*(1+IF(Paths!$D$312="EV",'Operating costs'!$B$52,'Operating costs'!$B$51))^MAX(0,C3370-1)+Paths!$M$312*(1+'Operating costs'!$B$53)^MAX(0,C3370-1)),"n.a."))</f>
        <v>0</v>
      </c>
      <c r="I3370" s="16">
        <f>IF(NOT(Paths!$C$312=1),0,IF(Paths!$P$312="Complete",IF(IF(Paths!$E$312=0,C3370=0,AND(C3370&gt;0,Paths!$E$312&gt;(C3370-1)*12,Paths!$E$312&lt;=C3370*12)),Paths!$G$312,0),"n.a."))</f>
        <v>0</v>
      </c>
      <c r="J3370" s="16">
        <f>IF(NOT(Paths!$C$312=1),0,IF(Paths!$P$312="Complete",IF(IF(Paths!$E$312=0,C3370=0,AND(C3370&gt;0,Paths!$E$312&gt;(C3370-1)*12,Paths!$E$312&lt;=C3370*12)),Paths!$H$312,0),"n.a."))</f>
        <v>0</v>
      </c>
      <c r="K3370" s="16">
        <f>IF(NOT(Paths!$C$312=1),0,IF(Paths!$P$312="Complete",IF(IF(Paths!$O$312=0,C3370=0,AND(C3370&gt;0,Paths!$O$312&gt;(C3370-1)*12,Paths!$O$312&lt;=C3370*12)),Paths!$N$312,0),"n.a."))</f>
        <v>0</v>
      </c>
      <c r="L3370" s="16">
        <f>IF(NOT(Paths!$C$312=1),0,IF(Paths!$P$312="Complete",IF(C3370=10,Paths!$I$312,0),"n.a."))</f>
        <v>0</v>
      </c>
      <c r="M3370" s="16">
        <f>IF(NOT(Paths!$C$312=1),0,IF(Paths!$P$312="Complete",IF(AND(Paths!$D$312="EV",Paths!$E$312&lt;120,Paths!$E$312+'Operating costs'!$B$65&gt;Paths!$E$312,Paths!$E$312+'Operating costs'!$B$65&lt;=120,IF(Paths!$E$312+'Operating costs'!$B$65=0,C3370=0,AND(C3370&gt;0,Paths!$E$312+'Operating costs'!$B$65&gt;(C3370-1)*12,Paths!$E$312+'Operating costs'!$B$65&lt;=C3370*12))),'Operating costs'!$B$64,0)+IF(AND('Operating costs'!$B$67&gt;0,'Operating costs'!$B$67&lt;=120,OR(Paths!$D$312="ICE",'Operating costs'!$B$67&lt;=Paths!$E$312),IF('Operating costs'!$B$67=0,C3370=0,AND(C3370&gt;0,'Operating costs'!$B$67&gt;(C3370-1)*12,'Operating costs'!$B$67&lt;=C3370*12))),'Operating costs'!$B$66,0),"n.a."))</f>
        <v>0</v>
      </c>
      <c r="N3370" s="16">
        <f>IF(NOT(Paths!$C$312=1),0,IF(Paths!$P$312="Complete",SUM(G3370:I3370)-J3370-K3370-L3370+M3370+IF(C3370=0,Paths!$F$312,0)+IF(IF(Paths!$E$312=0,C3370=0,AND(C3370&gt;0,Paths!$E$312&gt;(C3370-1)*12,Paths!$E$312&lt;=C3370*12)),VLOOKUP(A3370,'Fleet register'!$A$7:$S$106,16,FALSE),0),"n.a."))</f>
        <v>0</v>
      </c>
      <c r="O3370" s="16">
        <f>IF(NOT(Paths!$C$312=1),0,IF(Paths!$P$312="Complete",N3370-IF(C3370=0,Paths!$F$312,0),"n.a."))</f>
        <v>0</v>
      </c>
      <c r="P3370" s="16">
        <f>IF(NOT(Paths!$C$312=1),0,IF(Paths!$P$312="Complete",O3370+L3370,"n.a."))</f>
        <v>0</v>
      </c>
      <c r="Q3370" s="16">
        <f>IF(NOT(Paths!$C$312=1),0,IF(Paths!$P$312="Complete",N3370*(1+'Operating costs'!$B$54)^-C3370,"n.a."))</f>
        <v>0</v>
      </c>
      <c r="R3370" s="16">
        <f>IF(NOT(Paths!$C$312=1),0,IF(Paths!$P$312="Complete",IF(AND(C3370=0,Paths!$E$312=0),I3370-J3370-K3370+VLOOKUP(A3370,'Fleet register'!$A$7:$S$106,15,FALSE)+VLOOKUP(A3370,'Fleet register'!$A$7:$S$106,16,FALSE),0),"n.a."))</f>
        <v>0</v>
      </c>
      <c r="S3370" s="1">
        <f>IF(NOT(Paths!$C$312=1),0,IF(Paths!$P$312="Complete",IF(C3370=0,0,Paths!$S$312*Paths!$R$312),"n.a."))</f>
        <v>0</v>
      </c>
      <c r="T3370" s="1">
        <f>IF(NOT(Paths!$C$312=1),0,IF(Paths!$P$312="Complete",IF(C3370=0,0,VLOOKUP(A3370,'Fleet register'!$A$7:$S$106,9,FALSE)*Paths!$R$312),"n.a."))</f>
        <v>0</v>
      </c>
    </row>
    <row r="3371" spans="1:20" ht="24" customHeight="1">
      <c r="A3371" s="1" t="str">
        <f>Paths!$A$312</f>
        <v>T077</v>
      </c>
      <c r="B3371" s="1">
        <f>Paths!$B$312</f>
        <v>1</v>
      </c>
      <c r="C3371" s="1">
        <v>9</v>
      </c>
      <c r="D3371" s="1">
        <v>312</v>
      </c>
      <c r="E3371" s="1">
        <f>IF(OR(Paths!$C$312=0,C3371=0),0,MAX(0,MIN(C3371*12,Paths!$E$312)-(C3371-1)*12))</f>
        <v>0</v>
      </c>
      <c r="F3371" s="1">
        <f>IF(OR(Paths!$C$312=0,C3371=0),0,12-E3371)</f>
        <v>0</v>
      </c>
      <c r="G3371" s="16">
        <f>IF(NOT(Paths!$C$312=1),0,IF(Paths!$P$312="Complete",E3371/12*(Paths!$J$312*(1+'Operating costs'!$B$51)^MAX(0,C3371-1)+Paths!$K$312*(1+'Operating costs'!$B$53)^MAX(0,C3371-1)),"n.a."))</f>
        <v>0</v>
      </c>
      <c r="H3371" s="16">
        <f>IF(NOT(Paths!$C$312=1),0,IF(Paths!$P$312="Complete",F3371/12*(Paths!$L$312*(1+IF(Paths!$D$312="EV",'Operating costs'!$B$52,'Operating costs'!$B$51))^MAX(0,C3371-1)+Paths!$M$312*(1+'Operating costs'!$B$53)^MAX(0,C3371-1)),"n.a."))</f>
        <v>0</v>
      </c>
      <c r="I3371" s="16">
        <f>IF(NOT(Paths!$C$312=1),0,IF(Paths!$P$312="Complete",IF(IF(Paths!$E$312=0,C3371=0,AND(C3371&gt;0,Paths!$E$312&gt;(C3371-1)*12,Paths!$E$312&lt;=C3371*12)),Paths!$G$312,0),"n.a."))</f>
        <v>0</v>
      </c>
      <c r="J3371" s="16">
        <f>IF(NOT(Paths!$C$312=1),0,IF(Paths!$P$312="Complete",IF(IF(Paths!$E$312=0,C3371=0,AND(C3371&gt;0,Paths!$E$312&gt;(C3371-1)*12,Paths!$E$312&lt;=C3371*12)),Paths!$H$312,0),"n.a."))</f>
        <v>0</v>
      </c>
      <c r="K3371" s="16">
        <f>IF(NOT(Paths!$C$312=1),0,IF(Paths!$P$312="Complete",IF(IF(Paths!$O$312=0,C3371=0,AND(C3371&gt;0,Paths!$O$312&gt;(C3371-1)*12,Paths!$O$312&lt;=C3371*12)),Paths!$N$312,0),"n.a."))</f>
        <v>0</v>
      </c>
      <c r="L3371" s="16">
        <f>IF(NOT(Paths!$C$312=1),0,IF(Paths!$P$312="Complete",IF(C3371=10,Paths!$I$312,0),"n.a."))</f>
        <v>0</v>
      </c>
      <c r="M3371" s="16">
        <f>IF(NOT(Paths!$C$312=1),0,IF(Paths!$P$312="Complete",IF(AND(Paths!$D$312="EV",Paths!$E$312&lt;120,Paths!$E$312+'Operating costs'!$B$65&gt;Paths!$E$312,Paths!$E$312+'Operating costs'!$B$65&lt;=120,IF(Paths!$E$312+'Operating costs'!$B$65=0,C3371=0,AND(C3371&gt;0,Paths!$E$312+'Operating costs'!$B$65&gt;(C3371-1)*12,Paths!$E$312+'Operating costs'!$B$65&lt;=C3371*12))),'Operating costs'!$B$64,0)+IF(AND('Operating costs'!$B$67&gt;0,'Operating costs'!$B$67&lt;=120,OR(Paths!$D$312="ICE",'Operating costs'!$B$67&lt;=Paths!$E$312),IF('Operating costs'!$B$67=0,C3371=0,AND(C3371&gt;0,'Operating costs'!$B$67&gt;(C3371-1)*12,'Operating costs'!$B$67&lt;=C3371*12))),'Operating costs'!$B$66,0),"n.a."))</f>
        <v>0</v>
      </c>
      <c r="N3371" s="16">
        <f>IF(NOT(Paths!$C$312=1),0,IF(Paths!$P$312="Complete",SUM(G3371:I3371)-J3371-K3371-L3371+M3371+IF(C3371=0,Paths!$F$312,0)+IF(IF(Paths!$E$312=0,C3371=0,AND(C3371&gt;0,Paths!$E$312&gt;(C3371-1)*12,Paths!$E$312&lt;=C3371*12)),VLOOKUP(A3371,'Fleet register'!$A$7:$S$106,16,FALSE),0),"n.a."))</f>
        <v>0</v>
      </c>
      <c r="O3371" s="16">
        <f>IF(NOT(Paths!$C$312=1),0,IF(Paths!$P$312="Complete",N3371-IF(C3371=0,Paths!$F$312,0),"n.a."))</f>
        <v>0</v>
      </c>
      <c r="P3371" s="16">
        <f>IF(NOT(Paths!$C$312=1),0,IF(Paths!$P$312="Complete",O3371+L3371,"n.a."))</f>
        <v>0</v>
      </c>
      <c r="Q3371" s="16">
        <f>IF(NOT(Paths!$C$312=1),0,IF(Paths!$P$312="Complete",N3371*(1+'Operating costs'!$B$54)^-C3371,"n.a."))</f>
        <v>0</v>
      </c>
      <c r="R3371" s="16">
        <f>IF(NOT(Paths!$C$312=1),0,IF(Paths!$P$312="Complete",IF(AND(C3371=0,Paths!$E$312=0),I3371-J3371-K3371+VLOOKUP(A3371,'Fleet register'!$A$7:$S$106,15,FALSE)+VLOOKUP(A3371,'Fleet register'!$A$7:$S$106,16,FALSE),0),"n.a."))</f>
        <v>0</v>
      </c>
      <c r="S3371" s="1">
        <f>IF(NOT(Paths!$C$312=1),0,IF(Paths!$P$312="Complete",IF(C3371=0,0,Paths!$S$312*Paths!$R$312),"n.a."))</f>
        <v>0</v>
      </c>
      <c r="T3371" s="1">
        <f>IF(NOT(Paths!$C$312=1),0,IF(Paths!$P$312="Complete",IF(C3371=0,0,VLOOKUP(A3371,'Fleet register'!$A$7:$S$106,9,FALSE)*Paths!$R$312),"n.a."))</f>
        <v>0</v>
      </c>
    </row>
    <row r="3372" spans="1:20" ht="24" customHeight="1">
      <c r="A3372" s="1" t="str">
        <f>Paths!$A$312</f>
        <v>T077</v>
      </c>
      <c r="B3372" s="1">
        <f>Paths!$B$312</f>
        <v>1</v>
      </c>
      <c r="C3372" s="1">
        <v>10</v>
      </c>
      <c r="D3372" s="1">
        <v>312</v>
      </c>
      <c r="E3372" s="1">
        <f>IF(OR(Paths!$C$312=0,C3372=0),0,MAX(0,MIN(C3372*12,Paths!$E$312)-(C3372-1)*12))</f>
        <v>0</v>
      </c>
      <c r="F3372" s="1">
        <f>IF(OR(Paths!$C$312=0,C3372=0),0,12-E3372)</f>
        <v>0</v>
      </c>
      <c r="G3372" s="16">
        <f>IF(NOT(Paths!$C$312=1),0,IF(Paths!$P$312="Complete",E3372/12*(Paths!$J$312*(1+'Operating costs'!$B$51)^MAX(0,C3372-1)+Paths!$K$312*(1+'Operating costs'!$B$53)^MAX(0,C3372-1)),"n.a."))</f>
        <v>0</v>
      </c>
      <c r="H3372" s="16">
        <f>IF(NOT(Paths!$C$312=1),0,IF(Paths!$P$312="Complete",F3372/12*(Paths!$L$312*(1+IF(Paths!$D$312="EV",'Operating costs'!$B$52,'Operating costs'!$B$51))^MAX(0,C3372-1)+Paths!$M$312*(1+'Operating costs'!$B$53)^MAX(0,C3372-1)),"n.a."))</f>
        <v>0</v>
      </c>
      <c r="I3372" s="16">
        <f>IF(NOT(Paths!$C$312=1),0,IF(Paths!$P$312="Complete",IF(IF(Paths!$E$312=0,C3372=0,AND(C3372&gt;0,Paths!$E$312&gt;(C3372-1)*12,Paths!$E$312&lt;=C3372*12)),Paths!$G$312,0),"n.a."))</f>
        <v>0</v>
      </c>
      <c r="J3372" s="16">
        <f>IF(NOT(Paths!$C$312=1),0,IF(Paths!$P$312="Complete",IF(IF(Paths!$E$312=0,C3372=0,AND(C3372&gt;0,Paths!$E$312&gt;(C3372-1)*12,Paths!$E$312&lt;=C3372*12)),Paths!$H$312,0),"n.a."))</f>
        <v>0</v>
      </c>
      <c r="K3372" s="16">
        <f>IF(NOT(Paths!$C$312=1),0,IF(Paths!$P$312="Complete",IF(IF(Paths!$O$312=0,C3372=0,AND(C3372&gt;0,Paths!$O$312&gt;(C3372-1)*12,Paths!$O$312&lt;=C3372*12)),Paths!$N$312,0),"n.a."))</f>
        <v>0</v>
      </c>
      <c r="L3372" s="16">
        <f>IF(NOT(Paths!$C$312=1),0,IF(Paths!$P$312="Complete",IF(C3372=10,Paths!$I$312,0),"n.a."))</f>
        <v>0</v>
      </c>
      <c r="M3372" s="16">
        <f>IF(NOT(Paths!$C$312=1),0,IF(Paths!$P$312="Complete",IF(AND(Paths!$D$312="EV",Paths!$E$312&lt;120,Paths!$E$312+'Operating costs'!$B$65&gt;Paths!$E$312,Paths!$E$312+'Operating costs'!$B$65&lt;=120,IF(Paths!$E$312+'Operating costs'!$B$65=0,C3372=0,AND(C3372&gt;0,Paths!$E$312+'Operating costs'!$B$65&gt;(C3372-1)*12,Paths!$E$312+'Operating costs'!$B$65&lt;=C3372*12))),'Operating costs'!$B$64,0)+IF(AND('Operating costs'!$B$67&gt;0,'Operating costs'!$B$67&lt;=120,OR(Paths!$D$312="ICE",'Operating costs'!$B$67&lt;=Paths!$E$312),IF('Operating costs'!$B$67=0,C3372=0,AND(C3372&gt;0,'Operating costs'!$B$67&gt;(C3372-1)*12,'Operating costs'!$B$67&lt;=C3372*12))),'Operating costs'!$B$66,0),"n.a."))</f>
        <v>0</v>
      </c>
      <c r="N3372" s="16">
        <f>IF(NOT(Paths!$C$312=1),0,IF(Paths!$P$312="Complete",SUM(G3372:I3372)-J3372-K3372-L3372+M3372+IF(C3372=0,Paths!$F$312,0)+IF(IF(Paths!$E$312=0,C3372=0,AND(C3372&gt;0,Paths!$E$312&gt;(C3372-1)*12,Paths!$E$312&lt;=C3372*12)),VLOOKUP(A3372,'Fleet register'!$A$7:$S$106,16,FALSE),0),"n.a."))</f>
        <v>0</v>
      </c>
      <c r="O3372" s="16">
        <f>IF(NOT(Paths!$C$312=1),0,IF(Paths!$P$312="Complete",N3372-IF(C3372=0,Paths!$F$312,0),"n.a."))</f>
        <v>0</v>
      </c>
      <c r="P3372" s="16">
        <f>IF(NOT(Paths!$C$312=1),0,IF(Paths!$P$312="Complete",O3372+L3372,"n.a."))</f>
        <v>0</v>
      </c>
      <c r="Q3372" s="16">
        <f>IF(NOT(Paths!$C$312=1),0,IF(Paths!$P$312="Complete",N3372*(1+'Operating costs'!$B$54)^-C3372,"n.a."))</f>
        <v>0</v>
      </c>
      <c r="R3372" s="16">
        <f>IF(NOT(Paths!$C$312=1),0,IF(Paths!$P$312="Complete",IF(AND(C3372=0,Paths!$E$312=0),I3372-J3372-K3372+VLOOKUP(A3372,'Fleet register'!$A$7:$S$106,15,FALSE)+VLOOKUP(A3372,'Fleet register'!$A$7:$S$106,16,FALSE),0),"n.a."))</f>
        <v>0</v>
      </c>
      <c r="S3372" s="1">
        <f>IF(NOT(Paths!$C$312=1),0,IF(Paths!$P$312="Complete",IF(C3372=0,0,Paths!$S$312*Paths!$R$312),"n.a."))</f>
        <v>0</v>
      </c>
      <c r="T3372" s="1">
        <f>IF(NOT(Paths!$C$312=1),0,IF(Paths!$P$312="Complete",IF(C3372=0,0,VLOOKUP(A3372,'Fleet register'!$A$7:$S$106,9,FALSE)*Paths!$R$312),"n.a."))</f>
        <v>0</v>
      </c>
    </row>
    <row r="3373" spans="1:20" ht="24" customHeight="1">
      <c r="A3373" s="1" t="str">
        <f>Paths!$A$313</f>
        <v>T077</v>
      </c>
      <c r="B3373" s="1">
        <f>Paths!$B$313</f>
        <v>2</v>
      </c>
      <c r="C3373" s="1">
        <v>0</v>
      </c>
      <c r="D3373" s="1">
        <v>313</v>
      </c>
      <c r="E3373" s="1">
        <f>IF(OR(Paths!$C$313=0,C3373=0),0,MAX(0,MIN(C3373*12,Paths!$E$313)-(C3373-1)*12))</f>
        <v>0</v>
      </c>
      <c r="F3373" s="1">
        <f>IF(OR(Paths!$C$313=0,C3373=0),0,12-E3373)</f>
        <v>0</v>
      </c>
      <c r="G3373" s="16">
        <f>IF(NOT(Paths!$C$313=1),0,IF(Paths!$P$313="Complete",E3373/12*(Paths!$J$313*(1+'Operating costs'!$B$51)^MAX(0,C3373-1)+Paths!$K$313*(1+'Operating costs'!$B$53)^MAX(0,C3373-1)),"n.a."))</f>
        <v>0</v>
      </c>
      <c r="H3373" s="16">
        <f>IF(NOT(Paths!$C$313=1),0,IF(Paths!$P$313="Complete",F3373/12*(Paths!$L$313*(1+IF(Paths!$D$313="EV",'Operating costs'!$B$52,'Operating costs'!$B$51))^MAX(0,C3373-1)+Paths!$M$313*(1+'Operating costs'!$B$53)^MAX(0,C3373-1)),"n.a."))</f>
        <v>0</v>
      </c>
      <c r="I3373" s="16">
        <f>IF(NOT(Paths!$C$313=1),0,IF(Paths!$P$313="Complete",IF(IF(Paths!$E$313=0,C3373=0,AND(C3373&gt;0,Paths!$E$313&gt;(C3373-1)*12,Paths!$E$313&lt;=C3373*12)),Paths!$G$313,0),"n.a."))</f>
        <v>0</v>
      </c>
      <c r="J3373" s="16">
        <f>IF(NOT(Paths!$C$313=1),0,IF(Paths!$P$313="Complete",IF(IF(Paths!$E$313=0,C3373=0,AND(C3373&gt;0,Paths!$E$313&gt;(C3373-1)*12,Paths!$E$313&lt;=C3373*12)),Paths!$H$313,0),"n.a."))</f>
        <v>0</v>
      </c>
      <c r="K3373" s="16">
        <f>IF(NOT(Paths!$C$313=1),0,IF(Paths!$P$313="Complete",IF(IF(Paths!$O$313=0,C3373=0,AND(C3373&gt;0,Paths!$O$313&gt;(C3373-1)*12,Paths!$O$313&lt;=C3373*12)),Paths!$N$313,0),"n.a."))</f>
        <v>0</v>
      </c>
      <c r="L3373" s="16">
        <f>IF(NOT(Paths!$C$313=1),0,IF(Paths!$P$313="Complete",IF(C3373=10,Paths!$I$313,0),"n.a."))</f>
        <v>0</v>
      </c>
      <c r="M3373" s="16">
        <f>IF(NOT(Paths!$C$313=1),0,IF(Paths!$P$313="Complete",IF(AND(Paths!$D$313="EV",Paths!$E$313&lt;120,Paths!$E$313+'Operating costs'!$B$65&gt;Paths!$E$313,Paths!$E$313+'Operating costs'!$B$65&lt;=120,IF(Paths!$E$313+'Operating costs'!$B$65=0,C3373=0,AND(C3373&gt;0,Paths!$E$313+'Operating costs'!$B$65&gt;(C3373-1)*12,Paths!$E$313+'Operating costs'!$B$65&lt;=C3373*12))),'Operating costs'!$B$64,0)+IF(AND('Operating costs'!$B$67&gt;0,'Operating costs'!$B$67&lt;=120,OR(Paths!$D$313="ICE",'Operating costs'!$B$67&lt;=Paths!$E$313),IF('Operating costs'!$B$67=0,C3373=0,AND(C3373&gt;0,'Operating costs'!$B$67&gt;(C3373-1)*12,'Operating costs'!$B$67&lt;=C3373*12))),'Operating costs'!$B$66,0),"n.a."))</f>
        <v>0</v>
      </c>
      <c r="N3373" s="16">
        <f>IF(NOT(Paths!$C$313=1),0,IF(Paths!$P$313="Complete",SUM(G3373:I3373)-J3373-K3373-L3373+M3373+IF(C3373=0,Paths!$F$313,0)+IF(IF(Paths!$E$313=0,C3373=0,AND(C3373&gt;0,Paths!$E$313&gt;(C3373-1)*12,Paths!$E$313&lt;=C3373*12)),VLOOKUP(A3373,'Fleet register'!$A$7:$S$106,16,FALSE),0),"n.a."))</f>
        <v>0</v>
      </c>
      <c r="O3373" s="16">
        <f>IF(NOT(Paths!$C$313=1),0,IF(Paths!$P$313="Complete",N3373-IF(C3373=0,Paths!$F$313,0),"n.a."))</f>
        <v>0</v>
      </c>
      <c r="P3373" s="16">
        <f>IF(NOT(Paths!$C$313=1),0,IF(Paths!$P$313="Complete",O3373+L3373,"n.a."))</f>
        <v>0</v>
      </c>
      <c r="Q3373" s="16">
        <f>IF(NOT(Paths!$C$313=1),0,IF(Paths!$P$313="Complete",N3373*(1+'Operating costs'!$B$54)^-C3373,"n.a."))</f>
        <v>0</v>
      </c>
      <c r="R3373" s="16">
        <f>IF(NOT(Paths!$C$313=1),0,IF(Paths!$P$313="Complete",IF(AND(C3373=0,Paths!$E$313=0),I3373-J3373-K3373+VLOOKUP(A3373,'Fleet register'!$A$7:$S$106,15,FALSE)+VLOOKUP(A3373,'Fleet register'!$A$7:$S$106,16,FALSE),0),"n.a."))</f>
        <v>0</v>
      </c>
      <c r="S3373" s="1">
        <f>IF(NOT(Paths!$C$313=1),0,IF(Paths!$P$313="Complete",IF(C3373=0,0,Paths!$S$313*Paths!$R$313),"n.a."))</f>
        <v>0</v>
      </c>
      <c r="T3373" s="1">
        <f>IF(NOT(Paths!$C$313=1),0,IF(Paths!$P$313="Complete",IF(C3373=0,0,VLOOKUP(A3373,'Fleet register'!$A$7:$S$106,9,FALSE)*Paths!$R$313),"n.a."))</f>
        <v>0</v>
      </c>
    </row>
    <row r="3374" spans="1:20" ht="24" customHeight="1">
      <c r="A3374" s="1" t="str">
        <f>Paths!$A$313</f>
        <v>T077</v>
      </c>
      <c r="B3374" s="1">
        <f>Paths!$B$313</f>
        <v>2</v>
      </c>
      <c r="C3374" s="1">
        <v>1</v>
      </c>
      <c r="D3374" s="1">
        <v>313</v>
      </c>
      <c r="E3374" s="1">
        <f>IF(OR(Paths!$C$313=0,C3374=0),0,MAX(0,MIN(C3374*12,Paths!$E$313)-(C3374-1)*12))</f>
        <v>0</v>
      </c>
      <c r="F3374" s="1">
        <f>IF(OR(Paths!$C$313=0,C3374=0),0,12-E3374)</f>
        <v>0</v>
      </c>
      <c r="G3374" s="16">
        <f>IF(NOT(Paths!$C$313=1),0,IF(Paths!$P$313="Complete",E3374/12*(Paths!$J$313*(1+'Operating costs'!$B$51)^MAX(0,C3374-1)+Paths!$K$313*(1+'Operating costs'!$B$53)^MAX(0,C3374-1)),"n.a."))</f>
        <v>0</v>
      </c>
      <c r="H3374" s="16">
        <f>IF(NOT(Paths!$C$313=1),0,IF(Paths!$P$313="Complete",F3374/12*(Paths!$L$313*(1+IF(Paths!$D$313="EV",'Operating costs'!$B$52,'Operating costs'!$B$51))^MAX(0,C3374-1)+Paths!$M$313*(1+'Operating costs'!$B$53)^MAX(0,C3374-1)),"n.a."))</f>
        <v>0</v>
      </c>
      <c r="I3374" s="16">
        <f>IF(NOT(Paths!$C$313=1),0,IF(Paths!$P$313="Complete",IF(IF(Paths!$E$313=0,C3374=0,AND(C3374&gt;0,Paths!$E$313&gt;(C3374-1)*12,Paths!$E$313&lt;=C3374*12)),Paths!$G$313,0),"n.a."))</f>
        <v>0</v>
      </c>
      <c r="J3374" s="16">
        <f>IF(NOT(Paths!$C$313=1),0,IF(Paths!$P$313="Complete",IF(IF(Paths!$E$313=0,C3374=0,AND(C3374&gt;0,Paths!$E$313&gt;(C3374-1)*12,Paths!$E$313&lt;=C3374*12)),Paths!$H$313,0),"n.a."))</f>
        <v>0</v>
      </c>
      <c r="K3374" s="16">
        <f>IF(NOT(Paths!$C$313=1),0,IF(Paths!$P$313="Complete",IF(IF(Paths!$O$313=0,C3374=0,AND(C3374&gt;0,Paths!$O$313&gt;(C3374-1)*12,Paths!$O$313&lt;=C3374*12)),Paths!$N$313,0),"n.a."))</f>
        <v>0</v>
      </c>
      <c r="L3374" s="16">
        <f>IF(NOT(Paths!$C$313=1),0,IF(Paths!$P$313="Complete",IF(C3374=10,Paths!$I$313,0),"n.a."))</f>
        <v>0</v>
      </c>
      <c r="M3374" s="16">
        <f>IF(NOT(Paths!$C$313=1),0,IF(Paths!$P$313="Complete",IF(AND(Paths!$D$313="EV",Paths!$E$313&lt;120,Paths!$E$313+'Operating costs'!$B$65&gt;Paths!$E$313,Paths!$E$313+'Operating costs'!$B$65&lt;=120,IF(Paths!$E$313+'Operating costs'!$B$65=0,C3374=0,AND(C3374&gt;0,Paths!$E$313+'Operating costs'!$B$65&gt;(C3374-1)*12,Paths!$E$313+'Operating costs'!$B$65&lt;=C3374*12))),'Operating costs'!$B$64,0)+IF(AND('Operating costs'!$B$67&gt;0,'Operating costs'!$B$67&lt;=120,OR(Paths!$D$313="ICE",'Operating costs'!$B$67&lt;=Paths!$E$313),IF('Operating costs'!$B$67=0,C3374=0,AND(C3374&gt;0,'Operating costs'!$B$67&gt;(C3374-1)*12,'Operating costs'!$B$67&lt;=C3374*12))),'Operating costs'!$B$66,0),"n.a."))</f>
        <v>0</v>
      </c>
      <c r="N3374" s="16">
        <f>IF(NOT(Paths!$C$313=1),0,IF(Paths!$P$313="Complete",SUM(G3374:I3374)-J3374-K3374-L3374+M3374+IF(C3374=0,Paths!$F$313,0)+IF(IF(Paths!$E$313=0,C3374=0,AND(C3374&gt;0,Paths!$E$313&gt;(C3374-1)*12,Paths!$E$313&lt;=C3374*12)),VLOOKUP(A3374,'Fleet register'!$A$7:$S$106,16,FALSE),0),"n.a."))</f>
        <v>0</v>
      </c>
      <c r="O3374" s="16">
        <f>IF(NOT(Paths!$C$313=1),0,IF(Paths!$P$313="Complete",N3374-IF(C3374=0,Paths!$F$313,0),"n.a."))</f>
        <v>0</v>
      </c>
      <c r="P3374" s="16">
        <f>IF(NOT(Paths!$C$313=1),0,IF(Paths!$P$313="Complete",O3374+L3374,"n.a."))</f>
        <v>0</v>
      </c>
      <c r="Q3374" s="16">
        <f>IF(NOT(Paths!$C$313=1),0,IF(Paths!$P$313="Complete",N3374*(1+'Operating costs'!$B$54)^-C3374,"n.a."))</f>
        <v>0</v>
      </c>
      <c r="R3374" s="16">
        <f>IF(NOT(Paths!$C$313=1),0,IF(Paths!$P$313="Complete",IF(AND(C3374=0,Paths!$E$313=0),I3374-J3374-K3374+VLOOKUP(A3374,'Fleet register'!$A$7:$S$106,15,FALSE)+VLOOKUP(A3374,'Fleet register'!$A$7:$S$106,16,FALSE),0),"n.a."))</f>
        <v>0</v>
      </c>
      <c r="S3374" s="1">
        <f>IF(NOT(Paths!$C$313=1),0,IF(Paths!$P$313="Complete",IF(C3374=0,0,Paths!$S$313*Paths!$R$313),"n.a."))</f>
        <v>0</v>
      </c>
      <c r="T3374" s="1">
        <f>IF(NOT(Paths!$C$313=1),0,IF(Paths!$P$313="Complete",IF(C3374=0,0,VLOOKUP(A3374,'Fleet register'!$A$7:$S$106,9,FALSE)*Paths!$R$313),"n.a."))</f>
        <v>0</v>
      </c>
    </row>
    <row r="3375" spans="1:20" ht="24" customHeight="1">
      <c r="A3375" s="1" t="str">
        <f>Paths!$A$313</f>
        <v>T077</v>
      </c>
      <c r="B3375" s="1">
        <f>Paths!$B$313</f>
        <v>2</v>
      </c>
      <c r="C3375" s="1">
        <v>2</v>
      </c>
      <c r="D3375" s="1">
        <v>313</v>
      </c>
      <c r="E3375" s="1">
        <f>IF(OR(Paths!$C$313=0,C3375=0),0,MAX(0,MIN(C3375*12,Paths!$E$313)-(C3375-1)*12))</f>
        <v>0</v>
      </c>
      <c r="F3375" s="1">
        <f>IF(OR(Paths!$C$313=0,C3375=0),0,12-E3375)</f>
        <v>0</v>
      </c>
      <c r="G3375" s="16">
        <f>IF(NOT(Paths!$C$313=1),0,IF(Paths!$P$313="Complete",E3375/12*(Paths!$J$313*(1+'Operating costs'!$B$51)^MAX(0,C3375-1)+Paths!$K$313*(1+'Operating costs'!$B$53)^MAX(0,C3375-1)),"n.a."))</f>
        <v>0</v>
      </c>
      <c r="H3375" s="16">
        <f>IF(NOT(Paths!$C$313=1),0,IF(Paths!$P$313="Complete",F3375/12*(Paths!$L$313*(1+IF(Paths!$D$313="EV",'Operating costs'!$B$52,'Operating costs'!$B$51))^MAX(0,C3375-1)+Paths!$M$313*(1+'Operating costs'!$B$53)^MAX(0,C3375-1)),"n.a."))</f>
        <v>0</v>
      </c>
      <c r="I3375" s="16">
        <f>IF(NOT(Paths!$C$313=1),0,IF(Paths!$P$313="Complete",IF(IF(Paths!$E$313=0,C3375=0,AND(C3375&gt;0,Paths!$E$313&gt;(C3375-1)*12,Paths!$E$313&lt;=C3375*12)),Paths!$G$313,0),"n.a."))</f>
        <v>0</v>
      </c>
      <c r="J3375" s="16">
        <f>IF(NOT(Paths!$C$313=1),0,IF(Paths!$P$313="Complete",IF(IF(Paths!$E$313=0,C3375=0,AND(C3375&gt;0,Paths!$E$313&gt;(C3375-1)*12,Paths!$E$313&lt;=C3375*12)),Paths!$H$313,0),"n.a."))</f>
        <v>0</v>
      </c>
      <c r="K3375" s="16">
        <f>IF(NOT(Paths!$C$313=1),0,IF(Paths!$P$313="Complete",IF(IF(Paths!$O$313=0,C3375=0,AND(C3375&gt;0,Paths!$O$313&gt;(C3375-1)*12,Paths!$O$313&lt;=C3375*12)),Paths!$N$313,0),"n.a."))</f>
        <v>0</v>
      </c>
      <c r="L3375" s="16">
        <f>IF(NOT(Paths!$C$313=1),0,IF(Paths!$P$313="Complete",IF(C3375=10,Paths!$I$313,0),"n.a."))</f>
        <v>0</v>
      </c>
      <c r="M3375" s="16">
        <f>IF(NOT(Paths!$C$313=1),0,IF(Paths!$P$313="Complete",IF(AND(Paths!$D$313="EV",Paths!$E$313&lt;120,Paths!$E$313+'Operating costs'!$B$65&gt;Paths!$E$313,Paths!$E$313+'Operating costs'!$B$65&lt;=120,IF(Paths!$E$313+'Operating costs'!$B$65=0,C3375=0,AND(C3375&gt;0,Paths!$E$313+'Operating costs'!$B$65&gt;(C3375-1)*12,Paths!$E$313+'Operating costs'!$B$65&lt;=C3375*12))),'Operating costs'!$B$64,0)+IF(AND('Operating costs'!$B$67&gt;0,'Operating costs'!$B$67&lt;=120,OR(Paths!$D$313="ICE",'Operating costs'!$B$67&lt;=Paths!$E$313),IF('Operating costs'!$B$67=0,C3375=0,AND(C3375&gt;0,'Operating costs'!$B$67&gt;(C3375-1)*12,'Operating costs'!$B$67&lt;=C3375*12))),'Operating costs'!$B$66,0),"n.a."))</f>
        <v>0</v>
      </c>
      <c r="N3375" s="16">
        <f>IF(NOT(Paths!$C$313=1),0,IF(Paths!$P$313="Complete",SUM(G3375:I3375)-J3375-K3375-L3375+M3375+IF(C3375=0,Paths!$F$313,0)+IF(IF(Paths!$E$313=0,C3375=0,AND(C3375&gt;0,Paths!$E$313&gt;(C3375-1)*12,Paths!$E$313&lt;=C3375*12)),VLOOKUP(A3375,'Fleet register'!$A$7:$S$106,16,FALSE),0),"n.a."))</f>
        <v>0</v>
      </c>
      <c r="O3375" s="16">
        <f>IF(NOT(Paths!$C$313=1),0,IF(Paths!$P$313="Complete",N3375-IF(C3375=0,Paths!$F$313,0),"n.a."))</f>
        <v>0</v>
      </c>
      <c r="P3375" s="16">
        <f>IF(NOT(Paths!$C$313=1),0,IF(Paths!$P$313="Complete",O3375+L3375,"n.a."))</f>
        <v>0</v>
      </c>
      <c r="Q3375" s="16">
        <f>IF(NOT(Paths!$C$313=1),0,IF(Paths!$P$313="Complete",N3375*(1+'Operating costs'!$B$54)^-C3375,"n.a."))</f>
        <v>0</v>
      </c>
      <c r="R3375" s="16">
        <f>IF(NOT(Paths!$C$313=1),0,IF(Paths!$P$313="Complete",IF(AND(C3375=0,Paths!$E$313=0),I3375-J3375-K3375+VLOOKUP(A3375,'Fleet register'!$A$7:$S$106,15,FALSE)+VLOOKUP(A3375,'Fleet register'!$A$7:$S$106,16,FALSE),0),"n.a."))</f>
        <v>0</v>
      </c>
      <c r="S3375" s="1">
        <f>IF(NOT(Paths!$C$313=1),0,IF(Paths!$P$313="Complete",IF(C3375=0,0,Paths!$S$313*Paths!$R$313),"n.a."))</f>
        <v>0</v>
      </c>
      <c r="T3375" s="1">
        <f>IF(NOT(Paths!$C$313=1),0,IF(Paths!$P$313="Complete",IF(C3375=0,0,VLOOKUP(A3375,'Fleet register'!$A$7:$S$106,9,FALSE)*Paths!$R$313),"n.a."))</f>
        <v>0</v>
      </c>
    </row>
    <row r="3376" spans="1:20" ht="24" customHeight="1">
      <c r="A3376" s="1" t="str">
        <f>Paths!$A$313</f>
        <v>T077</v>
      </c>
      <c r="B3376" s="1">
        <f>Paths!$B$313</f>
        <v>2</v>
      </c>
      <c r="C3376" s="1">
        <v>3</v>
      </c>
      <c r="D3376" s="1">
        <v>313</v>
      </c>
      <c r="E3376" s="1">
        <f>IF(OR(Paths!$C$313=0,C3376=0),0,MAX(0,MIN(C3376*12,Paths!$E$313)-(C3376-1)*12))</f>
        <v>0</v>
      </c>
      <c r="F3376" s="1">
        <f>IF(OR(Paths!$C$313=0,C3376=0),0,12-E3376)</f>
        <v>0</v>
      </c>
      <c r="G3376" s="16">
        <f>IF(NOT(Paths!$C$313=1),0,IF(Paths!$P$313="Complete",E3376/12*(Paths!$J$313*(1+'Operating costs'!$B$51)^MAX(0,C3376-1)+Paths!$K$313*(1+'Operating costs'!$B$53)^MAX(0,C3376-1)),"n.a."))</f>
        <v>0</v>
      </c>
      <c r="H3376" s="16">
        <f>IF(NOT(Paths!$C$313=1),0,IF(Paths!$P$313="Complete",F3376/12*(Paths!$L$313*(1+IF(Paths!$D$313="EV",'Operating costs'!$B$52,'Operating costs'!$B$51))^MAX(0,C3376-1)+Paths!$M$313*(1+'Operating costs'!$B$53)^MAX(0,C3376-1)),"n.a."))</f>
        <v>0</v>
      </c>
      <c r="I3376" s="16">
        <f>IF(NOT(Paths!$C$313=1),0,IF(Paths!$P$313="Complete",IF(IF(Paths!$E$313=0,C3376=0,AND(C3376&gt;0,Paths!$E$313&gt;(C3376-1)*12,Paths!$E$313&lt;=C3376*12)),Paths!$G$313,0),"n.a."))</f>
        <v>0</v>
      </c>
      <c r="J3376" s="16">
        <f>IF(NOT(Paths!$C$313=1),0,IF(Paths!$P$313="Complete",IF(IF(Paths!$E$313=0,C3376=0,AND(C3376&gt;0,Paths!$E$313&gt;(C3376-1)*12,Paths!$E$313&lt;=C3376*12)),Paths!$H$313,0),"n.a."))</f>
        <v>0</v>
      </c>
      <c r="K3376" s="16">
        <f>IF(NOT(Paths!$C$313=1),0,IF(Paths!$P$313="Complete",IF(IF(Paths!$O$313=0,C3376=0,AND(C3376&gt;0,Paths!$O$313&gt;(C3376-1)*12,Paths!$O$313&lt;=C3376*12)),Paths!$N$313,0),"n.a."))</f>
        <v>0</v>
      </c>
      <c r="L3376" s="16">
        <f>IF(NOT(Paths!$C$313=1),0,IF(Paths!$P$313="Complete",IF(C3376=10,Paths!$I$313,0),"n.a."))</f>
        <v>0</v>
      </c>
      <c r="M3376" s="16">
        <f>IF(NOT(Paths!$C$313=1),0,IF(Paths!$P$313="Complete",IF(AND(Paths!$D$313="EV",Paths!$E$313&lt;120,Paths!$E$313+'Operating costs'!$B$65&gt;Paths!$E$313,Paths!$E$313+'Operating costs'!$B$65&lt;=120,IF(Paths!$E$313+'Operating costs'!$B$65=0,C3376=0,AND(C3376&gt;0,Paths!$E$313+'Operating costs'!$B$65&gt;(C3376-1)*12,Paths!$E$313+'Operating costs'!$B$65&lt;=C3376*12))),'Operating costs'!$B$64,0)+IF(AND('Operating costs'!$B$67&gt;0,'Operating costs'!$B$67&lt;=120,OR(Paths!$D$313="ICE",'Operating costs'!$B$67&lt;=Paths!$E$313),IF('Operating costs'!$B$67=0,C3376=0,AND(C3376&gt;0,'Operating costs'!$B$67&gt;(C3376-1)*12,'Operating costs'!$B$67&lt;=C3376*12))),'Operating costs'!$B$66,0),"n.a."))</f>
        <v>0</v>
      </c>
      <c r="N3376" s="16">
        <f>IF(NOT(Paths!$C$313=1),0,IF(Paths!$P$313="Complete",SUM(G3376:I3376)-J3376-K3376-L3376+M3376+IF(C3376=0,Paths!$F$313,0)+IF(IF(Paths!$E$313=0,C3376=0,AND(C3376&gt;0,Paths!$E$313&gt;(C3376-1)*12,Paths!$E$313&lt;=C3376*12)),VLOOKUP(A3376,'Fleet register'!$A$7:$S$106,16,FALSE),0),"n.a."))</f>
        <v>0</v>
      </c>
      <c r="O3376" s="16">
        <f>IF(NOT(Paths!$C$313=1),0,IF(Paths!$P$313="Complete",N3376-IF(C3376=0,Paths!$F$313,0),"n.a."))</f>
        <v>0</v>
      </c>
      <c r="P3376" s="16">
        <f>IF(NOT(Paths!$C$313=1),0,IF(Paths!$P$313="Complete",O3376+L3376,"n.a."))</f>
        <v>0</v>
      </c>
      <c r="Q3376" s="16">
        <f>IF(NOT(Paths!$C$313=1),0,IF(Paths!$P$313="Complete",N3376*(1+'Operating costs'!$B$54)^-C3376,"n.a."))</f>
        <v>0</v>
      </c>
      <c r="R3376" s="16">
        <f>IF(NOT(Paths!$C$313=1),0,IF(Paths!$P$313="Complete",IF(AND(C3376=0,Paths!$E$313=0),I3376-J3376-K3376+VLOOKUP(A3376,'Fleet register'!$A$7:$S$106,15,FALSE)+VLOOKUP(A3376,'Fleet register'!$A$7:$S$106,16,FALSE),0),"n.a."))</f>
        <v>0</v>
      </c>
      <c r="S3376" s="1">
        <f>IF(NOT(Paths!$C$313=1),0,IF(Paths!$P$313="Complete",IF(C3376=0,0,Paths!$S$313*Paths!$R$313),"n.a."))</f>
        <v>0</v>
      </c>
      <c r="T3376" s="1">
        <f>IF(NOT(Paths!$C$313=1),0,IF(Paths!$P$313="Complete",IF(C3376=0,0,VLOOKUP(A3376,'Fleet register'!$A$7:$S$106,9,FALSE)*Paths!$R$313),"n.a."))</f>
        <v>0</v>
      </c>
    </row>
    <row r="3377" spans="1:20" ht="24" customHeight="1">
      <c r="A3377" s="1" t="str">
        <f>Paths!$A$313</f>
        <v>T077</v>
      </c>
      <c r="B3377" s="1">
        <f>Paths!$B$313</f>
        <v>2</v>
      </c>
      <c r="C3377" s="1">
        <v>4</v>
      </c>
      <c r="D3377" s="1">
        <v>313</v>
      </c>
      <c r="E3377" s="1">
        <f>IF(OR(Paths!$C$313=0,C3377=0),0,MAX(0,MIN(C3377*12,Paths!$E$313)-(C3377-1)*12))</f>
        <v>0</v>
      </c>
      <c r="F3377" s="1">
        <f>IF(OR(Paths!$C$313=0,C3377=0),0,12-E3377)</f>
        <v>0</v>
      </c>
      <c r="G3377" s="16">
        <f>IF(NOT(Paths!$C$313=1),0,IF(Paths!$P$313="Complete",E3377/12*(Paths!$J$313*(1+'Operating costs'!$B$51)^MAX(0,C3377-1)+Paths!$K$313*(1+'Operating costs'!$B$53)^MAX(0,C3377-1)),"n.a."))</f>
        <v>0</v>
      </c>
      <c r="H3377" s="16">
        <f>IF(NOT(Paths!$C$313=1),0,IF(Paths!$P$313="Complete",F3377/12*(Paths!$L$313*(1+IF(Paths!$D$313="EV",'Operating costs'!$B$52,'Operating costs'!$B$51))^MAX(0,C3377-1)+Paths!$M$313*(1+'Operating costs'!$B$53)^MAX(0,C3377-1)),"n.a."))</f>
        <v>0</v>
      </c>
      <c r="I3377" s="16">
        <f>IF(NOT(Paths!$C$313=1),0,IF(Paths!$P$313="Complete",IF(IF(Paths!$E$313=0,C3377=0,AND(C3377&gt;0,Paths!$E$313&gt;(C3377-1)*12,Paths!$E$313&lt;=C3377*12)),Paths!$G$313,0),"n.a."))</f>
        <v>0</v>
      </c>
      <c r="J3377" s="16">
        <f>IF(NOT(Paths!$C$313=1),0,IF(Paths!$P$313="Complete",IF(IF(Paths!$E$313=0,C3377=0,AND(C3377&gt;0,Paths!$E$313&gt;(C3377-1)*12,Paths!$E$313&lt;=C3377*12)),Paths!$H$313,0),"n.a."))</f>
        <v>0</v>
      </c>
      <c r="K3377" s="16">
        <f>IF(NOT(Paths!$C$313=1),0,IF(Paths!$P$313="Complete",IF(IF(Paths!$O$313=0,C3377=0,AND(C3377&gt;0,Paths!$O$313&gt;(C3377-1)*12,Paths!$O$313&lt;=C3377*12)),Paths!$N$313,0),"n.a."))</f>
        <v>0</v>
      </c>
      <c r="L3377" s="16">
        <f>IF(NOT(Paths!$C$313=1),0,IF(Paths!$P$313="Complete",IF(C3377=10,Paths!$I$313,0),"n.a."))</f>
        <v>0</v>
      </c>
      <c r="M3377" s="16">
        <f>IF(NOT(Paths!$C$313=1),0,IF(Paths!$P$313="Complete",IF(AND(Paths!$D$313="EV",Paths!$E$313&lt;120,Paths!$E$313+'Operating costs'!$B$65&gt;Paths!$E$313,Paths!$E$313+'Operating costs'!$B$65&lt;=120,IF(Paths!$E$313+'Operating costs'!$B$65=0,C3377=0,AND(C3377&gt;0,Paths!$E$313+'Operating costs'!$B$65&gt;(C3377-1)*12,Paths!$E$313+'Operating costs'!$B$65&lt;=C3377*12))),'Operating costs'!$B$64,0)+IF(AND('Operating costs'!$B$67&gt;0,'Operating costs'!$B$67&lt;=120,OR(Paths!$D$313="ICE",'Operating costs'!$B$67&lt;=Paths!$E$313),IF('Operating costs'!$B$67=0,C3377=0,AND(C3377&gt;0,'Operating costs'!$B$67&gt;(C3377-1)*12,'Operating costs'!$B$67&lt;=C3377*12))),'Operating costs'!$B$66,0),"n.a."))</f>
        <v>0</v>
      </c>
      <c r="N3377" s="16">
        <f>IF(NOT(Paths!$C$313=1),0,IF(Paths!$P$313="Complete",SUM(G3377:I3377)-J3377-K3377-L3377+M3377+IF(C3377=0,Paths!$F$313,0)+IF(IF(Paths!$E$313=0,C3377=0,AND(C3377&gt;0,Paths!$E$313&gt;(C3377-1)*12,Paths!$E$313&lt;=C3377*12)),VLOOKUP(A3377,'Fleet register'!$A$7:$S$106,16,FALSE),0),"n.a."))</f>
        <v>0</v>
      </c>
      <c r="O3377" s="16">
        <f>IF(NOT(Paths!$C$313=1),0,IF(Paths!$P$313="Complete",N3377-IF(C3377=0,Paths!$F$313,0),"n.a."))</f>
        <v>0</v>
      </c>
      <c r="P3377" s="16">
        <f>IF(NOT(Paths!$C$313=1),0,IF(Paths!$P$313="Complete",O3377+L3377,"n.a."))</f>
        <v>0</v>
      </c>
      <c r="Q3377" s="16">
        <f>IF(NOT(Paths!$C$313=1),0,IF(Paths!$P$313="Complete",N3377*(1+'Operating costs'!$B$54)^-C3377,"n.a."))</f>
        <v>0</v>
      </c>
      <c r="R3377" s="16">
        <f>IF(NOT(Paths!$C$313=1),0,IF(Paths!$P$313="Complete",IF(AND(C3377=0,Paths!$E$313=0),I3377-J3377-K3377+VLOOKUP(A3377,'Fleet register'!$A$7:$S$106,15,FALSE)+VLOOKUP(A3377,'Fleet register'!$A$7:$S$106,16,FALSE),0),"n.a."))</f>
        <v>0</v>
      </c>
      <c r="S3377" s="1">
        <f>IF(NOT(Paths!$C$313=1),0,IF(Paths!$P$313="Complete",IF(C3377=0,0,Paths!$S$313*Paths!$R$313),"n.a."))</f>
        <v>0</v>
      </c>
      <c r="T3377" s="1">
        <f>IF(NOT(Paths!$C$313=1),0,IF(Paths!$P$313="Complete",IF(C3377=0,0,VLOOKUP(A3377,'Fleet register'!$A$7:$S$106,9,FALSE)*Paths!$R$313),"n.a."))</f>
        <v>0</v>
      </c>
    </row>
    <row r="3378" spans="1:20" ht="24" customHeight="1">
      <c r="A3378" s="1" t="str">
        <f>Paths!$A$313</f>
        <v>T077</v>
      </c>
      <c r="B3378" s="1">
        <f>Paths!$B$313</f>
        <v>2</v>
      </c>
      <c r="C3378" s="1">
        <v>5</v>
      </c>
      <c r="D3378" s="1">
        <v>313</v>
      </c>
      <c r="E3378" s="1">
        <f>IF(OR(Paths!$C$313=0,C3378=0),0,MAX(0,MIN(C3378*12,Paths!$E$313)-(C3378-1)*12))</f>
        <v>0</v>
      </c>
      <c r="F3378" s="1">
        <f>IF(OR(Paths!$C$313=0,C3378=0),0,12-E3378)</f>
        <v>0</v>
      </c>
      <c r="G3378" s="16">
        <f>IF(NOT(Paths!$C$313=1),0,IF(Paths!$P$313="Complete",E3378/12*(Paths!$J$313*(1+'Operating costs'!$B$51)^MAX(0,C3378-1)+Paths!$K$313*(1+'Operating costs'!$B$53)^MAX(0,C3378-1)),"n.a."))</f>
        <v>0</v>
      </c>
      <c r="H3378" s="16">
        <f>IF(NOT(Paths!$C$313=1),0,IF(Paths!$P$313="Complete",F3378/12*(Paths!$L$313*(1+IF(Paths!$D$313="EV",'Operating costs'!$B$52,'Operating costs'!$B$51))^MAX(0,C3378-1)+Paths!$M$313*(1+'Operating costs'!$B$53)^MAX(0,C3378-1)),"n.a."))</f>
        <v>0</v>
      </c>
      <c r="I3378" s="16">
        <f>IF(NOT(Paths!$C$313=1),0,IF(Paths!$P$313="Complete",IF(IF(Paths!$E$313=0,C3378=0,AND(C3378&gt;0,Paths!$E$313&gt;(C3378-1)*12,Paths!$E$313&lt;=C3378*12)),Paths!$G$313,0),"n.a."))</f>
        <v>0</v>
      </c>
      <c r="J3378" s="16">
        <f>IF(NOT(Paths!$C$313=1),0,IF(Paths!$P$313="Complete",IF(IF(Paths!$E$313=0,C3378=0,AND(C3378&gt;0,Paths!$E$313&gt;(C3378-1)*12,Paths!$E$313&lt;=C3378*12)),Paths!$H$313,0),"n.a."))</f>
        <v>0</v>
      </c>
      <c r="K3378" s="16">
        <f>IF(NOT(Paths!$C$313=1),0,IF(Paths!$P$313="Complete",IF(IF(Paths!$O$313=0,C3378=0,AND(C3378&gt;0,Paths!$O$313&gt;(C3378-1)*12,Paths!$O$313&lt;=C3378*12)),Paths!$N$313,0),"n.a."))</f>
        <v>0</v>
      </c>
      <c r="L3378" s="16">
        <f>IF(NOT(Paths!$C$313=1),0,IF(Paths!$P$313="Complete",IF(C3378=10,Paths!$I$313,0),"n.a."))</f>
        <v>0</v>
      </c>
      <c r="M3378" s="16">
        <f>IF(NOT(Paths!$C$313=1),0,IF(Paths!$P$313="Complete",IF(AND(Paths!$D$313="EV",Paths!$E$313&lt;120,Paths!$E$313+'Operating costs'!$B$65&gt;Paths!$E$313,Paths!$E$313+'Operating costs'!$B$65&lt;=120,IF(Paths!$E$313+'Operating costs'!$B$65=0,C3378=0,AND(C3378&gt;0,Paths!$E$313+'Operating costs'!$B$65&gt;(C3378-1)*12,Paths!$E$313+'Operating costs'!$B$65&lt;=C3378*12))),'Operating costs'!$B$64,0)+IF(AND('Operating costs'!$B$67&gt;0,'Operating costs'!$B$67&lt;=120,OR(Paths!$D$313="ICE",'Operating costs'!$B$67&lt;=Paths!$E$313),IF('Operating costs'!$B$67=0,C3378=0,AND(C3378&gt;0,'Operating costs'!$B$67&gt;(C3378-1)*12,'Operating costs'!$B$67&lt;=C3378*12))),'Operating costs'!$B$66,0),"n.a."))</f>
        <v>0</v>
      </c>
      <c r="N3378" s="16">
        <f>IF(NOT(Paths!$C$313=1),0,IF(Paths!$P$313="Complete",SUM(G3378:I3378)-J3378-K3378-L3378+M3378+IF(C3378=0,Paths!$F$313,0)+IF(IF(Paths!$E$313=0,C3378=0,AND(C3378&gt;0,Paths!$E$313&gt;(C3378-1)*12,Paths!$E$313&lt;=C3378*12)),VLOOKUP(A3378,'Fleet register'!$A$7:$S$106,16,FALSE),0),"n.a."))</f>
        <v>0</v>
      </c>
      <c r="O3378" s="16">
        <f>IF(NOT(Paths!$C$313=1),0,IF(Paths!$P$313="Complete",N3378-IF(C3378=0,Paths!$F$313,0),"n.a."))</f>
        <v>0</v>
      </c>
      <c r="P3378" s="16">
        <f>IF(NOT(Paths!$C$313=1),0,IF(Paths!$P$313="Complete",O3378+L3378,"n.a."))</f>
        <v>0</v>
      </c>
      <c r="Q3378" s="16">
        <f>IF(NOT(Paths!$C$313=1),0,IF(Paths!$P$313="Complete",N3378*(1+'Operating costs'!$B$54)^-C3378,"n.a."))</f>
        <v>0</v>
      </c>
      <c r="R3378" s="16">
        <f>IF(NOT(Paths!$C$313=1),0,IF(Paths!$P$313="Complete",IF(AND(C3378=0,Paths!$E$313=0),I3378-J3378-K3378+VLOOKUP(A3378,'Fleet register'!$A$7:$S$106,15,FALSE)+VLOOKUP(A3378,'Fleet register'!$A$7:$S$106,16,FALSE),0),"n.a."))</f>
        <v>0</v>
      </c>
      <c r="S3378" s="1">
        <f>IF(NOT(Paths!$C$313=1),0,IF(Paths!$P$313="Complete",IF(C3378=0,0,Paths!$S$313*Paths!$R$313),"n.a."))</f>
        <v>0</v>
      </c>
      <c r="T3378" s="1">
        <f>IF(NOT(Paths!$C$313=1),0,IF(Paths!$P$313="Complete",IF(C3378=0,0,VLOOKUP(A3378,'Fleet register'!$A$7:$S$106,9,FALSE)*Paths!$R$313),"n.a."))</f>
        <v>0</v>
      </c>
    </row>
    <row r="3379" spans="1:20" ht="24" customHeight="1">
      <c r="A3379" s="1" t="str">
        <f>Paths!$A$313</f>
        <v>T077</v>
      </c>
      <c r="B3379" s="1">
        <f>Paths!$B$313</f>
        <v>2</v>
      </c>
      <c r="C3379" s="1">
        <v>6</v>
      </c>
      <c r="D3379" s="1">
        <v>313</v>
      </c>
      <c r="E3379" s="1">
        <f>IF(OR(Paths!$C$313=0,C3379=0),0,MAX(0,MIN(C3379*12,Paths!$E$313)-(C3379-1)*12))</f>
        <v>0</v>
      </c>
      <c r="F3379" s="1">
        <f>IF(OR(Paths!$C$313=0,C3379=0),0,12-E3379)</f>
        <v>0</v>
      </c>
      <c r="G3379" s="16">
        <f>IF(NOT(Paths!$C$313=1),0,IF(Paths!$P$313="Complete",E3379/12*(Paths!$J$313*(1+'Operating costs'!$B$51)^MAX(0,C3379-1)+Paths!$K$313*(1+'Operating costs'!$B$53)^MAX(0,C3379-1)),"n.a."))</f>
        <v>0</v>
      </c>
      <c r="H3379" s="16">
        <f>IF(NOT(Paths!$C$313=1),0,IF(Paths!$P$313="Complete",F3379/12*(Paths!$L$313*(1+IF(Paths!$D$313="EV",'Operating costs'!$B$52,'Operating costs'!$B$51))^MAX(0,C3379-1)+Paths!$M$313*(1+'Operating costs'!$B$53)^MAX(0,C3379-1)),"n.a."))</f>
        <v>0</v>
      </c>
      <c r="I3379" s="16">
        <f>IF(NOT(Paths!$C$313=1),0,IF(Paths!$P$313="Complete",IF(IF(Paths!$E$313=0,C3379=0,AND(C3379&gt;0,Paths!$E$313&gt;(C3379-1)*12,Paths!$E$313&lt;=C3379*12)),Paths!$G$313,0),"n.a."))</f>
        <v>0</v>
      </c>
      <c r="J3379" s="16">
        <f>IF(NOT(Paths!$C$313=1),0,IF(Paths!$P$313="Complete",IF(IF(Paths!$E$313=0,C3379=0,AND(C3379&gt;0,Paths!$E$313&gt;(C3379-1)*12,Paths!$E$313&lt;=C3379*12)),Paths!$H$313,0),"n.a."))</f>
        <v>0</v>
      </c>
      <c r="K3379" s="16">
        <f>IF(NOT(Paths!$C$313=1),0,IF(Paths!$P$313="Complete",IF(IF(Paths!$O$313=0,C3379=0,AND(C3379&gt;0,Paths!$O$313&gt;(C3379-1)*12,Paths!$O$313&lt;=C3379*12)),Paths!$N$313,0),"n.a."))</f>
        <v>0</v>
      </c>
      <c r="L3379" s="16">
        <f>IF(NOT(Paths!$C$313=1),0,IF(Paths!$P$313="Complete",IF(C3379=10,Paths!$I$313,0),"n.a."))</f>
        <v>0</v>
      </c>
      <c r="M3379" s="16">
        <f>IF(NOT(Paths!$C$313=1),0,IF(Paths!$P$313="Complete",IF(AND(Paths!$D$313="EV",Paths!$E$313&lt;120,Paths!$E$313+'Operating costs'!$B$65&gt;Paths!$E$313,Paths!$E$313+'Operating costs'!$B$65&lt;=120,IF(Paths!$E$313+'Operating costs'!$B$65=0,C3379=0,AND(C3379&gt;0,Paths!$E$313+'Operating costs'!$B$65&gt;(C3379-1)*12,Paths!$E$313+'Operating costs'!$B$65&lt;=C3379*12))),'Operating costs'!$B$64,0)+IF(AND('Operating costs'!$B$67&gt;0,'Operating costs'!$B$67&lt;=120,OR(Paths!$D$313="ICE",'Operating costs'!$B$67&lt;=Paths!$E$313),IF('Operating costs'!$B$67=0,C3379=0,AND(C3379&gt;0,'Operating costs'!$B$67&gt;(C3379-1)*12,'Operating costs'!$B$67&lt;=C3379*12))),'Operating costs'!$B$66,0),"n.a."))</f>
        <v>0</v>
      </c>
      <c r="N3379" s="16">
        <f>IF(NOT(Paths!$C$313=1),0,IF(Paths!$P$313="Complete",SUM(G3379:I3379)-J3379-K3379-L3379+M3379+IF(C3379=0,Paths!$F$313,0)+IF(IF(Paths!$E$313=0,C3379=0,AND(C3379&gt;0,Paths!$E$313&gt;(C3379-1)*12,Paths!$E$313&lt;=C3379*12)),VLOOKUP(A3379,'Fleet register'!$A$7:$S$106,16,FALSE),0),"n.a."))</f>
        <v>0</v>
      </c>
      <c r="O3379" s="16">
        <f>IF(NOT(Paths!$C$313=1),0,IF(Paths!$P$313="Complete",N3379-IF(C3379=0,Paths!$F$313,0),"n.a."))</f>
        <v>0</v>
      </c>
      <c r="P3379" s="16">
        <f>IF(NOT(Paths!$C$313=1),0,IF(Paths!$P$313="Complete",O3379+L3379,"n.a."))</f>
        <v>0</v>
      </c>
      <c r="Q3379" s="16">
        <f>IF(NOT(Paths!$C$313=1),0,IF(Paths!$P$313="Complete",N3379*(1+'Operating costs'!$B$54)^-C3379,"n.a."))</f>
        <v>0</v>
      </c>
      <c r="R3379" s="16">
        <f>IF(NOT(Paths!$C$313=1),0,IF(Paths!$P$313="Complete",IF(AND(C3379=0,Paths!$E$313=0),I3379-J3379-K3379+VLOOKUP(A3379,'Fleet register'!$A$7:$S$106,15,FALSE)+VLOOKUP(A3379,'Fleet register'!$A$7:$S$106,16,FALSE),0),"n.a."))</f>
        <v>0</v>
      </c>
      <c r="S3379" s="1">
        <f>IF(NOT(Paths!$C$313=1),0,IF(Paths!$P$313="Complete",IF(C3379=0,0,Paths!$S$313*Paths!$R$313),"n.a."))</f>
        <v>0</v>
      </c>
      <c r="T3379" s="1">
        <f>IF(NOT(Paths!$C$313=1),0,IF(Paths!$P$313="Complete",IF(C3379=0,0,VLOOKUP(A3379,'Fleet register'!$A$7:$S$106,9,FALSE)*Paths!$R$313),"n.a."))</f>
        <v>0</v>
      </c>
    </row>
    <row r="3380" spans="1:20" ht="24" customHeight="1">
      <c r="A3380" s="1" t="str">
        <f>Paths!$A$313</f>
        <v>T077</v>
      </c>
      <c r="B3380" s="1">
        <f>Paths!$B$313</f>
        <v>2</v>
      </c>
      <c r="C3380" s="1">
        <v>7</v>
      </c>
      <c r="D3380" s="1">
        <v>313</v>
      </c>
      <c r="E3380" s="1">
        <f>IF(OR(Paths!$C$313=0,C3380=0),0,MAX(0,MIN(C3380*12,Paths!$E$313)-(C3380-1)*12))</f>
        <v>0</v>
      </c>
      <c r="F3380" s="1">
        <f>IF(OR(Paths!$C$313=0,C3380=0),0,12-E3380)</f>
        <v>0</v>
      </c>
      <c r="G3380" s="16">
        <f>IF(NOT(Paths!$C$313=1),0,IF(Paths!$P$313="Complete",E3380/12*(Paths!$J$313*(1+'Operating costs'!$B$51)^MAX(0,C3380-1)+Paths!$K$313*(1+'Operating costs'!$B$53)^MAX(0,C3380-1)),"n.a."))</f>
        <v>0</v>
      </c>
      <c r="H3380" s="16">
        <f>IF(NOT(Paths!$C$313=1),0,IF(Paths!$P$313="Complete",F3380/12*(Paths!$L$313*(1+IF(Paths!$D$313="EV",'Operating costs'!$B$52,'Operating costs'!$B$51))^MAX(0,C3380-1)+Paths!$M$313*(1+'Operating costs'!$B$53)^MAX(0,C3380-1)),"n.a."))</f>
        <v>0</v>
      </c>
      <c r="I3380" s="16">
        <f>IF(NOT(Paths!$C$313=1),0,IF(Paths!$P$313="Complete",IF(IF(Paths!$E$313=0,C3380=0,AND(C3380&gt;0,Paths!$E$313&gt;(C3380-1)*12,Paths!$E$313&lt;=C3380*12)),Paths!$G$313,0),"n.a."))</f>
        <v>0</v>
      </c>
      <c r="J3380" s="16">
        <f>IF(NOT(Paths!$C$313=1),0,IF(Paths!$P$313="Complete",IF(IF(Paths!$E$313=0,C3380=0,AND(C3380&gt;0,Paths!$E$313&gt;(C3380-1)*12,Paths!$E$313&lt;=C3380*12)),Paths!$H$313,0),"n.a."))</f>
        <v>0</v>
      </c>
      <c r="K3380" s="16">
        <f>IF(NOT(Paths!$C$313=1),0,IF(Paths!$P$313="Complete",IF(IF(Paths!$O$313=0,C3380=0,AND(C3380&gt;0,Paths!$O$313&gt;(C3380-1)*12,Paths!$O$313&lt;=C3380*12)),Paths!$N$313,0),"n.a."))</f>
        <v>0</v>
      </c>
      <c r="L3380" s="16">
        <f>IF(NOT(Paths!$C$313=1),0,IF(Paths!$P$313="Complete",IF(C3380=10,Paths!$I$313,0),"n.a."))</f>
        <v>0</v>
      </c>
      <c r="M3380" s="16">
        <f>IF(NOT(Paths!$C$313=1),0,IF(Paths!$P$313="Complete",IF(AND(Paths!$D$313="EV",Paths!$E$313&lt;120,Paths!$E$313+'Operating costs'!$B$65&gt;Paths!$E$313,Paths!$E$313+'Operating costs'!$B$65&lt;=120,IF(Paths!$E$313+'Operating costs'!$B$65=0,C3380=0,AND(C3380&gt;0,Paths!$E$313+'Operating costs'!$B$65&gt;(C3380-1)*12,Paths!$E$313+'Operating costs'!$B$65&lt;=C3380*12))),'Operating costs'!$B$64,0)+IF(AND('Operating costs'!$B$67&gt;0,'Operating costs'!$B$67&lt;=120,OR(Paths!$D$313="ICE",'Operating costs'!$B$67&lt;=Paths!$E$313),IF('Operating costs'!$B$67=0,C3380=0,AND(C3380&gt;0,'Operating costs'!$B$67&gt;(C3380-1)*12,'Operating costs'!$B$67&lt;=C3380*12))),'Operating costs'!$B$66,0),"n.a."))</f>
        <v>0</v>
      </c>
      <c r="N3380" s="16">
        <f>IF(NOT(Paths!$C$313=1),0,IF(Paths!$P$313="Complete",SUM(G3380:I3380)-J3380-K3380-L3380+M3380+IF(C3380=0,Paths!$F$313,0)+IF(IF(Paths!$E$313=0,C3380=0,AND(C3380&gt;0,Paths!$E$313&gt;(C3380-1)*12,Paths!$E$313&lt;=C3380*12)),VLOOKUP(A3380,'Fleet register'!$A$7:$S$106,16,FALSE),0),"n.a."))</f>
        <v>0</v>
      </c>
      <c r="O3380" s="16">
        <f>IF(NOT(Paths!$C$313=1),0,IF(Paths!$P$313="Complete",N3380-IF(C3380=0,Paths!$F$313,0),"n.a."))</f>
        <v>0</v>
      </c>
      <c r="P3380" s="16">
        <f>IF(NOT(Paths!$C$313=1),0,IF(Paths!$P$313="Complete",O3380+L3380,"n.a."))</f>
        <v>0</v>
      </c>
      <c r="Q3380" s="16">
        <f>IF(NOT(Paths!$C$313=1),0,IF(Paths!$P$313="Complete",N3380*(1+'Operating costs'!$B$54)^-C3380,"n.a."))</f>
        <v>0</v>
      </c>
      <c r="R3380" s="16">
        <f>IF(NOT(Paths!$C$313=1),0,IF(Paths!$P$313="Complete",IF(AND(C3380=0,Paths!$E$313=0),I3380-J3380-K3380+VLOOKUP(A3380,'Fleet register'!$A$7:$S$106,15,FALSE)+VLOOKUP(A3380,'Fleet register'!$A$7:$S$106,16,FALSE),0),"n.a."))</f>
        <v>0</v>
      </c>
      <c r="S3380" s="1">
        <f>IF(NOT(Paths!$C$313=1),0,IF(Paths!$P$313="Complete",IF(C3380=0,0,Paths!$S$313*Paths!$R$313),"n.a."))</f>
        <v>0</v>
      </c>
      <c r="T3380" s="1">
        <f>IF(NOT(Paths!$C$313=1),0,IF(Paths!$P$313="Complete",IF(C3380=0,0,VLOOKUP(A3380,'Fleet register'!$A$7:$S$106,9,FALSE)*Paths!$R$313),"n.a."))</f>
        <v>0</v>
      </c>
    </row>
    <row r="3381" spans="1:20" ht="24" customHeight="1">
      <c r="A3381" s="1" t="str">
        <f>Paths!$A$313</f>
        <v>T077</v>
      </c>
      <c r="B3381" s="1">
        <f>Paths!$B$313</f>
        <v>2</v>
      </c>
      <c r="C3381" s="1">
        <v>8</v>
      </c>
      <c r="D3381" s="1">
        <v>313</v>
      </c>
      <c r="E3381" s="1">
        <f>IF(OR(Paths!$C$313=0,C3381=0),0,MAX(0,MIN(C3381*12,Paths!$E$313)-(C3381-1)*12))</f>
        <v>0</v>
      </c>
      <c r="F3381" s="1">
        <f>IF(OR(Paths!$C$313=0,C3381=0),0,12-E3381)</f>
        <v>0</v>
      </c>
      <c r="G3381" s="16">
        <f>IF(NOT(Paths!$C$313=1),0,IF(Paths!$P$313="Complete",E3381/12*(Paths!$J$313*(1+'Operating costs'!$B$51)^MAX(0,C3381-1)+Paths!$K$313*(1+'Operating costs'!$B$53)^MAX(0,C3381-1)),"n.a."))</f>
        <v>0</v>
      </c>
      <c r="H3381" s="16">
        <f>IF(NOT(Paths!$C$313=1),0,IF(Paths!$P$313="Complete",F3381/12*(Paths!$L$313*(1+IF(Paths!$D$313="EV",'Operating costs'!$B$52,'Operating costs'!$B$51))^MAX(0,C3381-1)+Paths!$M$313*(1+'Operating costs'!$B$53)^MAX(0,C3381-1)),"n.a."))</f>
        <v>0</v>
      </c>
      <c r="I3381" s="16">
        <f>IF(NOT(Paths!$C$313=1),0,IF(Paths!$P$313="Complete",IF(IF(Paths!$E$313=0,C3381=0,AND(C3381&gt;0,Paths!$E$313&gt;(C3381-1)*12,Paths!$E$313&lt;=C3381*12)),Paths!$G$313,0),"n.a."))</f>
        <v>0</v>
      </c>
      <c r="J3381" s="16">
        <f>IF(NOT(Paths!$C$313=1),0,IF(Paths!$P$313="Complete",IF(IF(Paths!$E$313=0,C3381=0,AND(C3381&gt;0,Paths!$E$313&gt;(C3381-1)*12,Paths!$E$313&lt;=C3381*12)),Paths!$H$313,0),"n.a."))</f>
        <v>0</v>
      </c>
      <c r="K3381" s="16">
        <f>IF(NOT(Paths!$C$313=1),0,IF(Paths!$P$313="Complete",IF(IF(Paths!$O$313=0,C3381=0,AND(C3381&gt;0,Paths!$O$313&gt;(C3381-1)*12,Paths!$O$313&lt;=C3381*12)),Paths!$N$313,0),"n.a."))</f>
        <v>0</v>
      </c>
      <c r="L3381" s="16">
        <f>IF(NOT(Paths!$C$313=1),0,IF(Paths!$P$313="Complete",IF(C3381=10,Paths!$I$313,0),"n.a."))</f>
        <v>0</v>
      </c>
      <c r="M3381" s="16">
        <f>IF(NOT(Paths!$C$313=1),0,IF(Paths!$P$313="Complete",IF(AND(Paths!$D$313="EV",Paths!$E$313&lt;120,Paths!$E$313+'Operating costs'!$B$65&gt;Paths!$E$313,Paths!$E$313+'Operating costs'!$B$65&lt;=120,IF(Paths!$E$313+'Operating costs'!$B$65=0,C3381=0,AND(C3381&gt;0,Paths!$E$313+'Operating costs'!$B$65&gt;(C3381-1)*12,Paths!$E$313+'Operating costs'!$B$65&lt;=C3381*12))),'Operating costs'!$B$64,0)+IF(AND('Operating costs'!$B$67&gt;0,'Operating costs'!$B$67&lt;=120,OR(Paths!$D$313="ICE",'Operating costs'!$B$67&lt;=Paths!$E$313),IF('Operating costs'!$B$67=0,C3381=0,AND(C3381&gt;0,'Operating costs'!$B$67&gt;(C3381-1)*12,'Operating costs'!$B$67&lt;=C3381*12))),'Operating costs'!$B$66,0),"n.a."))</f>
        <v>0</v>
      </c>
      <c r="N3381" s="16">
        <f>IF(NOT(Paths!$C$313=1),0,IF(Paths!$P$313="Complete",SUM(G3381:I3381)-J3381-K3381-L3381+M3381+IF(C3381=0,Paths!$F$313,0)+IF(IF(Paths!$E$313=0,C3381=0,AND(C3381&gt;0,Paths!$E$313&gt;(C3381-1)*12,Paths!$E$313&lt;=C3381*12)),VLOOKUP(A3381,'Fleet register'!$A$7:$S$106,16,FALSE),0),"n.a."))</f>
        <v>0</v>
      </c>
      <c r="O3381" s="16">
        <f>IF(NOT(Paths!$C$313=1),0,IF(Paths!$P$313="Complete",N3381-IF(C3381=0,Paths!$F$313,0),"n.a."))</f>
        <v>0</v>
      </c>
      <c r="P3381" s="16">
        <f>IF(NOT(Paths!$C$313=1),0,IF(Paths!$P$313="Complete",O3381+L3381,"n.a."))</f>
        <v>0</v>
      </c>
      <c r="Q3381" s="16">
        <f>IF(NOT(Paths!$C$313=1),0,IF(Paths!$P$313="Complete",N3381*(1+'Operating costs'!$B$54)^-C3381,"n.a."))</f>
        <v>0</v>
      </c>
      <c r="R3381" s="16">
        <f>IF(NOT(Paths!$C$313=1),0,IF(Paths!$P$313="Complete",IF(AND(C3381=0,Paths!$E$313=0),I3381-J3381-K3381+VLOOKUP(A3381,'Fleet register'!$A$7:$S$106,15,FALSE)+VLOOKUP(A3381,'Fleet register'!$A$7:$S$106,16,FALSE),0),"n.a."))</f>
        <v>0</v>
      </c>
      <c r="S3381" s="1">
        <f>IF(NOT(Paths!$C$313=1),0,IF(Paths!$P$313="Complete",IF(C3381=0,0,Paths!$S$313*Paths!$R$313),"n.a."))</f>
        <v>0</v>
      </c>
      <c r="T3381" s="1">
        <f>IF(NOT(Paths!$C$313=1),0,IF(Paths!$P$313="Complete",IF(C3381=0,0,VLOOKUP(A3381,'Fleet register'!$A$7:$S$106,9,FALSE)*Paths!$R$313),"n.a."))</f>
        <v>0</v>
      </c>
    </row>
    <row r="3382" spans="1:20" ht="24" customHeight="1">
      <c r="A3382" s="1" t="str">
        <f>Paths!$A$313</f>
        <v>T077</v>
      </c>
      <c r="B3382" s="1">
        <f>Paths!$B$313</f>
        <v>2</v>
      </c>
      <c r="C3382" s="1">
        <v>9</v>
      </c>
      <c r="D3382" s="1">
        <v>313</v>
      </c>
      <c r="E3382" s="1">
        <f>IF(OR(Paths!$C$313=0,C3382=0),0,MAX(0,MIN(C3382*12,Paths!$E$313)-(C3382-1)*12))</f>
        <v>0</v>
      </c>
      <c r="F3382" s="1">
        <f>IF(OR(Paths!$C$313=0,C3382=0),0,12-E3382)</f>
        <v>0</v>
      </c>
      <c r="G3382" s="16">
        <f>IF(NOT(Paths!$C$313=1),0,IF(Paths!$P$313="Complete",E3382/12*(Paths!$J$313*(1+'Operating costs'!$B$51)^MAX(0,C3382-1)+Paths!$K$313*(1+'Operating costs'!$B$53)^MAX(0,C3382-1)),"n.a."))</f>
        <v>0</v>
      </c>
      <c r="H3382" s="16">
        <f>IF(NOT(Paths!$C$313=1),0,IF(Paths!$P$313="Complete",F3382/12*(Paths!$L$313*(1+IF(Paths!$D$313="EV",'Operating costs'!$B$52,'Operating costs'!$B$51))^MAX(0,C3382-1)+Paths!$M$313*(1+'Operating costs'!$B$53)^MAX(0,C3382-1)),"n.a."))</f>
        <v>0</v>
      </c>
      <c r="I3382" s="16">
        <f>IF(NOT(Paths!$C$313=1),0,IF(Paths!$P$313="Complete",IF(IF(Paths!$E$313=0,C3382=0,AND(C3382&gt;0,Paths!$E$313&gt;(C3382-1)*12,Paths!$E$313&lt;=C3382*12)),Paths!$G$313,0),"n.a."))</f>
        <v>0</v>
      </c>
      <c r="J3382" s="16">
        <f>IF(NOT(Paths!$C$313=1),0,IF(Paths!$P$313="Complete",IF(IF(Paths!$E$313=0,C3382=0,AND(C3382&gt;0,Paths!$E$313&gt;(C3382-1)*12,Paths!$E$313&lt;=C3382*12)),Paths!$H$313,0),"n.a."))</f>
        <v>0</v>
      </c>
      <c r="K3382" s="16">
        <f>IF(NOT(Paths!$C$313=1),0,IF(Paths!$P$313="Complete",IF(IF(Paths!$O$313=0,C3382=0,AND(C3382&gt;0,Paths!$O$313&gt;(C3382-1)*12,Paths!$O$313&lt;=C3382*12)),Paths!$N$313,0),"n.a."))</f>
        <v>0</v>
      </c>
      <c r="L3382" s="16">
        <f>IF(NOT(Paths!$C$313=1),0,IF(Paths!$P$313="Complete",IF(C3382=10,Paths!$I$313,0),"n.a."))</f>
        <v>0</v>
      </c>
      <c r="M3382" s="16">
        <f>IF(NOT(Paths!$C$313=1),0,IF(Paths!$P$313="Complete",IF(AND(Paths!$D$313="EV",Paths!$E$313&lt;120,Paths!$E$313+'Operating costs'!$B$65&gt;Paths!$E$313,Paths!$E$313+'Operating costs'!$B$65&lt;=120,IF(Paths!$E$313+'Operating costs'!$B$65=0,C3382=0,AND(C3382&gt;0,Paths!$E$313+'Operating costs'!$B$65&gt;(C3382-1)*12,Paths!$E$313+'Operating costs'!$B$65&lt;=C3382*12))),'Operating costs'!$B$64,0)+IF(AND('Operating costs'!$B$67&gt;0,'Operating costs'!$B$67&lt;=120,OR(Paths!$D$313="ICE",'Operating costs'!$B$67&lt;=Paths!$E$313),IF('Operating costs'!$B$67=0,C3382=0,AND(C3382&gt;0,'Operating costs'!$B$67&gt;(C3382-1)*12,'Operating costs'!$B$67&lt;=C3382*12))),'Operating costs'!$B$66,0),"n.a."))</f>
        <v>0</v>
      </c>
      <c r="N3382" s="16">
        <f>IF(NOT(Paths!$C$313=1),0,IF(Paths!$P$313="Complete",SUM(G3382:I3382)-J3382-K3382-L3382+M3382+IF(C3382=0,Paths!$F$313,0)+IF(IF(Paths!$E$313=0,C3382=0,AND(C3382&gt;0,Paths!$E$313&gt;(C3382-1)*12,Paths!$E$313&lt;=C3382*12)),VLOOKUP(A3382,'Fleet register'!$A$7:$S$106,16,FALSE),0),"n.a."))</f>
        <v>0</v>
      </c>
      <c r="O3382" s="16">
        <f>IF(NOT(Paths!$C$313=1),0,IF(Paths!$P$313="Complete",N3382-IF(C3382=0,Paths!$F$313,0),"n.a."))</f>
        <v>0</v>
      </c>
      <c r="P3382" s="16">
        <f>IF(NOT(Paths!$C$313=1),0,IF(Paths!$P$313="Complete",O3382+L3382,"n.a."))</f>
        <v>0</v>
      </c>
      <c r="Q3382" s="16">
        <f>IF(NOT(Paths!$C$313=1),0,IF(Paths!$P$313="Complete",N3382*(1+'Operating costs'!$B$54)^-C3382,"n.a."))</f>
        <v>0</v>
      </c>
      <c r="R3382" s="16">
        <f>IF(NOT(Paths!$C$313=1),0,IF(Paths!$P$313="Complete",IF(AND(C3382=0,Paths!$E$313=0),I3382-J3382-K3382+VLOOKUP(A3382,'Fleet register'!$A$7:$S$106,15,FALSE)+VLOOKUP(A3382,'Fleet register'!$A$7:$S$106,16,FALSE),0),"n.a."))</f>
        <v>0</v>
      </c>
      <c r="S3382" s="1">
        <f>IF(NOT(Paths!$C$313=1),0,IF(Paths!$P$313="Complete",IF(C3382=0,0,Paths!$S$313*Paths!$R$313),"n.a."))</f>
        <v>0</v>
      </c>
      <c r="T3382" s="1">
        <f>IF(NOT(Paths!$C$313=1),0,IF(Paths!$P$313="Complete",IF(C3382=0,0,VLOOKUP(A3382,'Fleet register'!$A$7:$S$106,9,FALSE)*Paths!$R$313),"n.a."))</f>
        <v>0</v>
      </c>
    </row>
    <row r="3383" spans="1:20" ht="24" customHeight="1">
      <c r="A3383" s="1" t="str">
        <f>Paths!$A$313</f>
        <v>T077</v>
      </c>
      <c r="B3383" s="1">
        <f>Paths!$B$313</f>
        <v>2</v>
      </c>
      <c r="C3383" s="1">
        <v>10</v>
      </c>
      <c r="D3383" s="1">
        <v>313</v>
      </c>
      <c r="E3383" s="1">
        <f>IF(OR(Paths!$C$313=0,C3383=0),0,MAX(0,MIN(C3383*12,Paths!$E$313)-(C3383-1)*12))</f>
        <v>0</v>
      </c>
      <c r="F3383" s="1">
        <f>IF(OR(Paths!$C$313=0,C3383=0),0,12-E3383)</f>
        <v>0</v>
      </c>
      <c r="G3383" s="16">
        <f>IF(NOT(Paths!$C$313=1),0,IF(Paths!$P$313="Complete",E3383/12*(Paths!$J$313*(1+'Operating costs'!$B$51)^MAX(0,C3383-1)+Paths!$K$313*(1+'Operating costs'!$B$53)^MAX(0,C3383-1)),"n.a."))</f>
        <v>0</v>
      </c>
      <c r="H3383" s="16">
        <f>IF(NOT(Paths!$C$313=1),0,IF(Paths!$P$313="Complete",F3383/12*(Paths!$L$313*(1+IF(Paths!$D$313="EV",'Operating costs'!$B$52,'Operating costs'!$B$51))^MAX(0,C3383-1)+Paths!$M$313*(1+'Operating costs'!$B$53)^MAX(0,C3383-1)),"n.a."))</f>
        <v>0</v>
      </c>
      <c r="I3383" s="16">
        <f>IF(NOT(Paths!$C$313=1),0,IF(Paths!$P$313="Complete",IF(IF(Paths!$E$313=0,C3383=0,AND(C3383&gt;0,Paths!$E$313&gt;(C3383-1)*12,Paths!$E$313&lt;=C3383*12)),Paths!$G$313,0),"n.a."))</f>
        <v>0</v>
      </c>
      <c r="J3383" s="16">
        <f>IF(NOT(Paths!$C$313=1),0,IF(Paths!$P$313="Complete",IF(IF(Paths!$E$313=0,C3383=0,AND(C3383&gt;0,Paths!$E$313&gt;(C3383-1)*12,Paths!$E$313&lt;=C3383*12)),Paths!$H$313,0),"n.a."))</f>
        <v>0</v>
      </c>
      <c r="K3383" s="16">
        <f>IF(NOT(Paths!$C$313=1),0,IF(Paths!$P$313="Complete",IF(IF(Paths!$O$313=0,C3383=0,AND(C3383&gt;0,Paths!$O$313&gt;(C3383-1)*12,Paths!$O$313&lt;=C3383*12)),Paths!$N$313,0),"n.a."))</f>
        <v>0</v>
      </c>
      <c r="L3383" s="16">
        <f>IF(NOT(Paths!$C$313=1),0,IF(Paths!$P$313="Complete",IF(C3383=10,Paths!$I$313,0),"n.a."))</f>
        <v>0</v>
      </c>
      <c r="M3383" s="16">
        <f>IF(NOT(Paths!$C$313=1),0,IF(Paths!$P$313="Complete",IF(AND(Paths!$D$313="EV",Paths!$E$313&lt;120,Paths!$E$313+'Operating costs'!$B$65&gt;Paths!$E$313,Paths!$E$313+'Operating costs'!$B$65&lt;=120,IF(Paths!$E$313+'Operating costs'!$B$65=0,C3383=0,AND(C3383&gt;0,Paths!$E$313+'Operating costs'!$B$65&gt;(C3383-1)*12,Paths!$E$313+'Operating costs'!$B$65&lt;=C3383*12))),'Operating costs'!$B$64,0)+IF(AND('Operating costs'!$B$67&gt;0,'Operating costs'!$B$67&lt;=120,OR(Paths!$D$313="ICE",'Operating costs'!$B$67&lt;=Paths!$E$313),IF('Operating costs'!$B$67=0,C3383=0,AND(C3383&gt;0,'Operating costs'!$B$67&gt;(C3383-1)*12,'Operating costs'!$B$67&lt;=C3383*12))),'Operating costs'!$B$66,0),"n.a."))</f>
        <v>0</v>
      </c>
      <c r="N3383" s="16">
        <f>IF(NOT(Paths!$C$313=1),0,IF(Paths!$P$313="Complete",SUM(G3383:I3383)-J3383-K3383-L3383+M3383+IF(C3383=0,Paths!$F$313,0)+IF(IF(Paths!$E$313=0,C3383=0,AND(C3383&gt;0,Paths!$E$313&gt;(C3383-1)*12,Paths!$E$313&lt;=C3383*12)),VLOOKUP(A3383,'Fleet register'!$A$7:$S$106,16,FALSE),0),"n.a."))</f>
        <v>0</v>
      </c>
      <c r="O3383" s="16">
        <f>IF(NOT(Paths!$C$313=1),0,IF(Paths!$P$313="Complete",N3383-IF(C3383=0,Paths!$F$313,0),"n.a."))</f>
        <v>0</v>
      </c>
      <c r="P3383" s="16">
        <f>IF(NOT(Paths!$C$313=1),0,IF(Paths!$P$313="Complete",O3383+L3383,"n.a."))</f>
        <v>0</v>
      </c>
      <c r="Q3383" s="16">
        <f>IF(NOT(Paths!$C$313=1),0,IF(Paths!$P$313="Complete",N3383*(1+'Operating costs'!$B$54)^-C3383,"n.a."))</f>
        <v>0</v>
      </c>
      <c r="R3383" s="16">
        <f>IF(NOT(Paths!$C$313=1),0,IF(Paths!$P$313="Complete",IF(AND(C3383=0,Paths!$E$313=0),I3383-J3383-K3383+VLOOKUP(A3383,'Fleet register'!$A$7:$S$106,15,FALSE)+VLOOKUP(A3383,'Fleet register'!$A$7:$S$106,16,FALSE),0),"n.a."))</f>
        <v>0</v>
      </c>
      <c r="S3383" s="1">
        <f>IF(NOT(Paths!$C$313=1),0,IF(Paths!$P$313="Complete",IF(C3383=0,0,Paths!$S$313*Paths!$R$313),"n.a."))</f>
        <v>0</v>
      </c>
      <c r="T3383" s="1">
        <f>IF(NOT(Paths!$C$313=1),0,IF(Paths!$P$313="Complete",IF(C3383=0,0,VLOOKUP(A3383,'Fleet register'!$A$7:$S$106,9,FALSE)*Paths!$R$313),"n.a."))</f>
        <v>0</v>
      </c>
    </row>
    <row r="3384" spans="1:20" ht="24" customHeight="1">
      <c r="A3384" s="1" t="str">
        <f>Paths!$A$314</f>
        <v>T077</v>
      </c>
      <c r="B3384" s="1">
        <f>Paths!$B$314</f>
        <v>3</v>
      </c>
      <c r="C3384" s="1">
        <v>0</v>
      </c>
      <c r="D3384" s="1">
        <v>314</v>
      </c>
      <c r="E3384" s="1">
        <f>IF(OR(Paths!$C$314=0,C3384=0),0,MAX(0,MIN(C3384*12,Paths!$E$314)-(C3384-1)*12))</f>
        <v>0</v>
      </c>
      <c r="F3384" s="1">
        <f>IF(OR(Paths!$C$314=0,C3384=0),0,12-E3384)</f>
        <v>0</v>
      </c>
      <c r="G3384" s="16">
        <f>IF(NOT(Paths!$C$314=1),0,IF(Paths!$P$314="Complete",E3384/12*(Paths!$J$314*(1+'Operating costs'!$B$51)^MAX(0,C3384-1)+Paths!$K$314*(1+'Operating costs'!$B$53)^MAX(0,C3384-1)),"n.a."))</f>
        <v>0</v>
      </c>
      <c r="H3384" s="16">
        <f>IF(NOT(Paths!$C$314=1),0,IF(Paths!$P$314="Complete",F3384/12*(Paths!$L$314*(1+IF(Paths!$D$314="EV",'Operating costs'!$B$52,'Operating costs'!$B$51))^MAX(0,C3384-1)+Paths!$M$314*(1+'Operating costs'!$B$53)^MAX(0,C3384-1)),"n.a."))</f>
        <v>0</v>
      </c>
      <c r="I3384" s="16">
        <f>IF(NOT(Paths!$C$314=1),0,IF(Paths!$P$314="Complete",IF(IF(Paths!$E$314=0,C3384=0,AND(C3384&gt;0,Paths!$E$314&gt;(C3384-1)*12,Paths!$E$314&lt;=C3384*12)),Paths!$G$314,0),"n.a."))</f>
        <v>0</v>
      </c>
      <c r="J3384" s="16">
        <f>IF(NOT(Paths!$C$314=1),0,IF(Paths!$P$314="Complete",IF(IF(Paths!$E$314=0,C3384=0,AND(C3384&gt;0,Paths!$E$314&gt;(C3384-1)*12,Paths!$E$314&lt;=C3384*12)),Paths!$H$314,0),"n.a."))</f>
        <v>0</v>
      </c>
      <c r="K3384" s="16">
        <f>IF(NOT(Paths!$C$314=1),0,IF(Paths!$P$314="Complete",IF(IF(Paths!$O$314=0,C3384=0,AND(C3384&gt;0,Paths!$O$314&gt;(C3384-1)*12,Paths!$O$314&lt;=C3384*12)),Paths!$N$314,0),"n.a."))</f>
        <v>0</v>
      </c>
      <c r="L3384" s="16">
        <f>IF(NOT(Paths!$C$314=1),0,IF(Paths!$P$314="Complete",IF(C3384=10,Paths!$I$314,0),"n.a."))</f>
        <v>0</v>
      </c>
      <c r="M3384" s="16">
        <f>IF(NOT(Paths!$C$314=1),0,IF(Paths!$P$314="Complete",IF(AND(Paths!$D$314="EV",Paths!$E$314&lt;120,Paths!$E$314+'Operating costs'!$B$65&gt;Paths!$E$314,Paths!$E$314+'Operating costs'!$B$65&lt;=120,IF(Paths!$E$314+'Operating costs'!$B$65=0,C3384=0,AND(C3384&gt;0,Paths!$E$314+'Operating costs'!$B$65&gt;(C3384-1)*12,Paths!$E$314+'Operating costs'!$B$65&lt;=C3384*12))),'Operating costs'!$B$64,0)+IF(AND('Operating costs'!$B$67&gt;0,'Operating costs'!$B$67&lt;=120,OR(Paths!$D$314="ICE",'Operating costs'!$B$67&lt;=Paths!$E$314),IF('Operating costs'!$B$67=0,C3384=0,AND(C3384&gt;0,'Operating costs'!$B$67&gt;(C3384-1)*12,'Operating costs'!$B$67&lt;=C3384*12))),'Operating costs'!$B$66,0),"n.a."))</f>
        <v>0</v>
      </c>
      <c r="N3384" s="16">
        <f>IF(NOT(Paths!$C$314=1),0,IF(Paths!$P$314="Complete",SUM(G3384:I3384)-J3384-K3384-L3384+M3384+IF(C3384=0,Paths!$F$314,0)+IF(IF(Paths!$E$314=0,C3384=0,AND(C3384&gt;0,Paths!$E$314&gt;(C3384-1)*12,Paths!$E$314&lt;=C3384*12)),VLOOKUP(A3384,'Fleet register'!$A$7:$S$106,16,FALSE),0),"n.a."))</f>
        <v>0</v>
      </c>
      <c r="O3384" s="16">
        <f>IF(NOT(Paths!$C$314=1),0,IF(Paths!$P$314="Complete",N3384-IF(C3384=0,Paths!$F$314,0),"n.a."))</f>
        <v>0</v>
      </c>
      <c r="P3384" s="16">
        <f>IF(NOT(Paths!$C$314=1),0,IF(Paths!$P$314="Complete",O3384+L3384,"n.a."))</f>
        <v>0</v>
      </c>
      <c r="Q3384" s="16">
        <f>IF(NOT(Paths!$C$314=1),0,IF(Paths!$P$314="Complete",N3384*(1+'Operating costs'!$B$54)^-C3384,"n.a."))</f>
        <v>0</v>
      </c>
      <c r="R3384" s="16">
        <f>IF(NOT(Paths!$C$314=1),0,IF(Paths!$P$314="Complete",IF(AND(C3384=0,Paths!$E$314=0),I3384-J3384-K3384+VLOOKUP(A3384,'Fleet register'!$A$7:$S$106,15,FALSE)+VLOOKUP(A3384,'Fleet register'!$A$7:$S$106,16,FALSE),0),"n.a."))</f>
        <v>0</v>
      </c>
      <c r="S3384" s="1">
        <f>IF(NOT(Paths!$C$314=1),0,IF(Paths!$P$314="Complete",IF(C3384=0,0,Paths!$S$314*Paths!$R$314),"n.a."))</f>
        <v>0</v>
      </c>
      <c r="T3384" s="1">
        <f>IF(NOT(Paths!$C$314=1),0,IF(Paths!$P$314="Complete",IF(C3384=0,0,VLOOKUP(A3384,'Fleet register'!$A$7:$S$106,9,FALSE)*Paths!$R$314),"n.a."))</f>
        <v>0</v>
      </c>
    </row>
    <row r="3385" spans="1:20" ht="24" customHeight="1">
      <c r="A3385" s="1" t="str">
        <f>Paths!$A$314</f>
        <v>T077</v>
      </c>
      <c r="B3385" s="1">
        <f>Paths!$B$314</f>
        <v>3</v>
      </c>
      <c r="C3385" s="1">
        <v>1</v>
      </c>
      <c r="D3385" s="1">
        <v>314</v>
      </c>
      <c r="E3385" s="1">
        <f>IF(OR(Paths!$C$314=0,C3385=0),0,MAX(0,MIN(C3385*12,Paths!$E$314)-(C3385-1)*12))</f>
        <v>0</v>
      </c>
      <c r="F3385" s="1">
        <f>IF(OR(Paths!$C$314=0,C3385=0),0,12-E3385)</f>
        <v>0</v>
      </c>
      <c r="G3385" s="16">
        <f>IF(NOT(Paths!$C$314=1),0,IF(Paths!$P$314="Complete",E3385/12*(Paths!$J$314*(1+'Operating costs'!$B$51)^MAX(0,C3385-1)+Paths!$K$314*(1+'Operating costs'!$B$53)^MAX(0,C3385-1)),"n.a."))</f>
        <v>0</v>
      </c>
      <c r="H3385" s="16">
        <f>IF(NOT(Paths!$C$314=1),0,IF(Paths!$P$314="Complete",F3385/12*(Paths!$L$314*(1+IF(Paths!$D$314="EV",'Operating costs'!$B$52,'Operating costs'!$B$51))^MAX(0,C3385-1)+Paths!$M$314*(1+'Operating costs'!$B$53)^MAX(0,C3385-1)),"n.a."))</f>
        <v>0</v>
      </c>
      <c r="I3385" s="16">
        <f>IF(NOT(Paths!$C$314=1),0,IF(Paths!$P$314="Complete",IF(IF(Paths!$E$314=0,C3385=0,AND(C3385&gt;0,Paths!$E$314&gt;(C3385-1)*12,Paths!$E$314&lt;=C3385*12)),Paths!$G$314,0),"n.a."))</f>
        <v>0</v>
      </c>
      <c r="J3385" s="16">
        <f>IF(NOT(Paths!$C$314=1),0,IF(Paths!$P$314="Complete",IF(IF(Paths!$E$314=0,C3385=0,AND(C3385&gt;0,Paths!$E$314&gt;(C3385-1)*12,Paths!$E$314&lt;=C3385*12)),Paths!$H$314,0),"n.a."))</f>
        <v>0</v>
      </c>
      <c r="K3385" s="16">
        <f>IF(NOT(Paths!$C$314=1),0,IF(Paths!$P$314="Complete",IF(IF(Paths!$O$314=0,C3385=0,AND(C3385&gt;0,Paths!$O$314&gt;(C3385-1)*12,Paths!$O$314&lt;=C3385*12)),Paths!$N$314,0),"n.a."))</f>
        <v>0</v>
      </c>
      <c r="L3385" s="16">
        <f>IF(NOT(Paths!$C$314=1),0,IF(Paths!$P$314="Complete",IF(C3385=10,Paths!$I$314,0),"n.a."))</f>
        <v>0</v>
      </c>
      <c r="M3385" s="16">
        <f>IF(NOT(Paths!$C$314=1),0,IF(Paths!$P$314="Complete",IF(AND(Paths!$D$314="EV",Paths!$E$314&lt;120,Paths!$E$314+'Operating costs'!$B$65&gt;Paths!$E$314,Paths!$E$314+'Operating costs'!$B$65&lt;=120,IF(Paths!$E$314+'Operating costs'!$B$65=0,C3385=0,AND(C3385&gt;0,Paths!$E$314+'Operating costs'!$B$65&gt;(C3385-1)*12,Paths!$E$314+'Operating costs'!$B$65&lt;=C3385*12))),'Operating costs'!$B$64,0)+IF(AND('Operating costs'!$B$67&gt;0,'Operating costs'!$B$67&lt;=120,OR(Paths!$D$314="ICE",'Operating costs'!$B$67&lt;=Paths!$E$314),IF('Operating costs'!$B$67=0,C3385=0,AND(C3385&gt;0,'Operating costs'!$B$67&gt;(C3385-1)*12,'Operating costs'!$B$67&lt;=C3385*12))),'Operating costs'!$B$66,0),"n.a."))</f>
        <v>0</v>
      </c>
      <c r="N3385" s="16">
        <f>IF(NOT(Paths!$C$314=1),0,IF(Paths!$P$314="Complete",SUM(G3385:I3385)-J3385-K3385-L3385+M3385+IF(C3385=0,Paths!$F$314,0)+IF(IF(Paths!$E$314=0,C3385=0,AND(C3385&gt;0,Paths!$E$314&gt;(C3385-1)*12,Paths!$E$314&lt;=C3385*12)),VLOOKUP(A3385,'Fleet register'!$A$7:$S$106,16,FALSE),0),"n.a."))</f>
        <v>0</v>
      </c>
      <c r="O3385" s="16">
        <f>IF(NOT(Paths!$C$314=1),0,IF(Paths!$P$314="Complete",N3385-IF(C3385=0,Paths!$F$314,0),"n.a."))</f>
        <v>0</v>
      </c>
      <c r="P3385" s="16">
        <f>IF(NOT(Paths!$C$314=1),0,IF(Paths!$P$314="Complete",O3385+L3385,"n.a."))</f>
        <v>0</v>
      </c>
      <c r="Q3385" s="16">
        <f>IF(NOT(Paths!$C$314=1),0,IF(Paths!$P$314="Complete",N3385*(1+'Operating costs'!$B$54)^-C3385,"n.a."))</f>
        <v>0</v>
      </c>
      <c r="R3385" s="16">
        <f>IF(NOT(Paths!$C$314=1),0,IF(Paths!$P$314="Complete",IF(AND(C3385=0,Paths!$E$314=0),I3385-J3385-K3385+VLOOKUP(A3385,'Fleet register'!$A$7:$S$106,15,FALSE)+VLOOKUP(A3385,'Fleet register'!$A$7:$S$106,16,FALSE),0),"n.a."))</f>
        <v>0</v>
      </c>
      <c r="S3385" s="1">
        <f>IF(NOT(Paths!$C$314=1),0,IF(Paths!$P$314="Complete",IF(C3385=0,0,Paths!$S$314*Paths!$R$314),"n.a."))</f>
        <v>0</v>
      </c>
      <c r="T3385" s="1">
        <f>IF(NOT(Paths!$C$314=1),0,IF(Paths!$P$314="Complete",IF(C3385=0,0,VLOOKUP(A3385,'Fleet register'!$A$7:$S$106,9,FALSE)*Paths!$R$314),"n.a."))</f>
        <v>0</v>
      </c>
    </row>
    <row r="3386" spans="1:20" ht="24" customHeight="1">
      <c r="A3386" s="1" t="str">
        <f>Paths!$A$314</f>
        <v>T077</v>
      </c>
      <c r="B3386" s="1">
        <f>Paths!$B$314</f>
        <v>3</v>
      </c>
      <c r="C3386" s="1">
        <v>2</v>
      </c>
      <c r="D3386" s="1">
        <v>314</v>
      </c>
      <c r="E3386" s="1">
        <f>IF(OR(Paths!$C$314=0,C3386=0),0,MAX(0,MIN(C3386*12,Paths!$E$314)-(C3386-1)*12))</f>
        <v>0</v>
      </c>
      <c r="F3386" s="1">
        <f>IF(OR(Paths!$C$314=0,C3386=0),0,12-E3386)</f>
        <v>0</v>
      </c>
      <c r="G3386" s="16">
        <f>IF(NOT(Paths!$C$314=1),0,IF(Paths!$P$314="Complete",E3386/12*(Paths!$J$314*(1+'Operating costs'!$B$51)^MAX(0,C3386-1)+Paths!$K$314*(1+'Operating costs'!$B$53)^MAX(0,C3386-1)),"n.a."))</f>
        <v>0</v>
      </c>
      <c r="H3386" s="16">
        <f>IF(NOT(Paths!$C$314=1),0,IF(Paths!$P$314="Complete",F3386/12*(Paths!$L$314*(1+IF(Paths!$D$314="EV",'Operating costs'!$B$52,'Operating costs'!$B$51))^MAX(0,C3386-1)+Paths!$M$314*(1+'Operating costs'!$B$53)^MAX(0,C3386-1)),"n.a."))</f>
        <v>0</v>
      </c>
      <c r="I3386" s="16">
        <f>IF(NOT(Paths!$C$314=1),0,IF(Paths!$P$314="Complete",IF(IF(Paths!$E$314=0,C3386=0,AND(C3386&gt;0,Paths!$E$314&gt;(C3386-1)*12,Paths!$E$314&lt;=C3386*12)),Paths!$G$314,0),"n.a."))</f>
        <v>0</v>
      </c>
      <c r="J3386" s="16">
        <f>IF(NOT(Paths!$C$314=1),0,IF(Paths!$P$314="Complete",IF(IF(Paths!$E$314=0,C3386=0,AND(C3386&gt;0,Paths!$E$314&gt;(C3386-1)*12,Paths!$E$314&lt;=C3386*12)),Paths!$H$314,0),"n.a."))</f>
        <v>0</v>
      </c>
      <c r="K3386" s="16">
        <f>IF(NOT(Paths!$C$314=1),0,IF(Paths!$P$314="Complete",IF(IF(Paths!$O$314=0,C3386=0,AND(C3386&gt;0,Paths!$O$314&gt;(C3386-1)*12,Paths!$O$314&lt;=C3386*12)),Paths!$N$314,0),"n.a."))</f>
        <v>0</v>
      </c>
      <c r="L3386" s="16">
        <f>IF(NOT(Paths!$C$314=1),0,IF(Paths!$P$314="Complete",IF(C3386=10,Paths!$I$314,0),"n.a."))</f>
        <v>0</v>
      </c>
      <c r="M3386" s="16">
        <f>IF(NOT(Paths!$C$314=1),0,IF(Paths!$P$314="Complete",IF(AND(Paths!$D$314="EV",Paths!$E$314&lt;120,Paths!$E$314+'Operating costs'!$B$65&gt;Paths!$E$314,Paths!$E$314+'Operating costs'!$B$65&lt;=120,IF(Paths!$E$314+'Operating costs'!$B$65=0,C3386=0,AND(C3386&gt;0,Paths!$E$314+'Operating costs'!$B$65&gt;(C3386-1)*12,Paths!$E$314+'Operating costs'!$B$65&lt;=C3386*12))),'Operating costs'!$B$64,0)+IF(AND('Operating costs'!$B$67&gt;0,'Operating costs'!$B$67&lt;=120,OR(Paths!$D$314="ICE",'Operating costs'!$B$67&lt;=Paths!$E$314),IF('Operating costs'!$B$67=0,C3386=0,AND(C3386&gt;0,'Operating costs'!$B$67&gt;(C3386-1)*12,'Operating costs'!$B$67&lt;=C3386*12))),'Operating costs'!$B$66,0),"n.a."))</f>
        <v>0</v>
      </c>
      <c r="N3386" s="16">
        <f>IF(NOT(Paths!$C$314=1),0,IF(Paths!$P$314="Complete",SUM(G3386:I3386)-J3386-K3386-L3386+M3386+IF(C3386=0,Paths!$F$314,0)+IF(IF(Paths!$E$314=0,C3386=0,AND(C3386&gt;0,Paths!$E$314&gt;(C3386-1)*12,Paths!$E$314&lt;=C3386*12)),VLOOKUP(A3386,'Fleet register'!$A$7:$S$106,16,FALSE),0),"n.a."))</f>
        <v>0</v>
      </c>
      <c r="O3386" s="16">
        <f>IF(NOT(Paths!$C$314=1),0,IF(Paths!$P$314="Complete",N3386-IF(C3386=0,Paths!$F$314,0),"n.a."))</f>
        <v>0</v>
      </c>
      <c r="P3386" s="16">
        <f>IF(NOT(Paths!$C$314=1),0,IF(Paths!$P$314="Complete",O3386+L3386,"n.a."))</f>
        <v>0</v>
      </c>
      <c r="Q3386" s="16">
        <f>IF(NOT(Paths!$C$314=1),0,IF(Paths!$P$314="Complete",N3386*(1+'Operating costs'!$B$54)^-C3386,"n.a."))</f>
        <v>0</v>
      </c>
      <c r="R3386" s="16">
        <f>IF(NOT(Paths!$C$314=1),0,IF(Paths!$P$314="Complete",IF(AND(C3386=0,Paths!$E$314=0),I3386-J3386-K3386+VLOOKUP(A3386,'Fleet register'!$A$7:$S$106,15,FALSE)+VLOOKUP(A3386,'Fleet register'!$A$7:$S$106,16,FALSE),0),"n.a."))</f>
        <v>0</v>
      </c>
      <c r="S3386" s="1">
        <f>IF(NOT(Paths!$C$314=1),0,IF(Paths!$P$314="Complete",IF(C3386=0,0,Paths!$S$314*Paths!$R$314),"n.a."))</f>
        <v>0</v>
      </c>
      <c r="T3386" s="1">
        <f>IF(NOT(Paths!$C$314=1),0,IF(Paths!$P$314="Complete",IF(C3386=0,0,VLOOKUP(A3386,'Fleet register'!$A$7:$S$106,9,FALSE)*Paths!$R$314),"n.a."))</f>
        <v>0</v>
      </c>
    </row>
    <row r="3387" spans="1:20" ht="24" customHeight="1">
      <c r="A3387" s="1" t="str">
        <f>Paths!$A$314</f>
        <v>T077</v>
      </c>
      <c r="B3387" s="1">
        <f>Paths!$B$314</f>
        <v>3</v>
      </c>
      <c r="C3387" s="1">
        <v>3</v>
      </c>
      <c r="D3387" s="1">
        <v>314</v>
      </c>
      <c r="E3387" s="1">
        <f>IF(OR(Paths!$C$314=0,C3387=0),0,MAX(0,MIN(C3387*12,Paths!$E$314)-(C3387-1)*12))</f>
        <v>0</v>
      </c>
      <c r="F3387" s="1">
        <f>IF(OR(Paths!$C$314=0,C3387=0),0,12-E3387)</f>
        <v>0</v>
      </c>
      <c r="G3387" s="16">
        <f>IF(NOT(Paths!$C$314=1),0,IF(Paths!$P$314="Complete",E3387/12*(Paths!$J$314*(1+'Operating costs'!$B$51)^MAX(0,C3387-1)+Paths!$K$314*(1+'Operating costs'!$B$53)^MAX(0,C3387-1)),"n.a."))</f>
        <v>0</v>
      </c>
      <c r="H3387" s="16">
        <f>IF(NOT(Paths!$C$314=1),0,IF(Paths!$P$314="Complete",F3387/12*(Paths!$L$314*(1+IF(Paths!$D$314="EV",'Operating costs'!$B$52,'Operating costs'!$B$51))^MAX(0,C3387-1)+Paths!$M$314*(1+'Operating costs'!$B$53)^MAX(0,C3387-1)),"n.a."))</f>
        <v>0</v>
      </c>
      <c r="I3387" s="16">
        <f>IF(NOT(Paths!$C$314=1),0,IF(Paths!$P$314="Complete",IF(IF(Paths!$E$314=0,C3387=0,AND(C3387&gt;0,Paths!$E$314&gt;(C3387-1)*12,Paths!$E$314&lt;=C3387*12)),Paths!$G$314,0),"n.a."))</f>
        <v>0</v>
      </c>
      <c r="J3387" s="16">
        <f>IF(NOT(Paths!$C$314=1),0,IF(Paths!$P$314="Complete",IF(IF(Paths!$E$314=0,C3387=0,AND(C3387&gt;0,Paths!$E$314&gt;(C3387-1)*12,Paths!$E$314&lt;=C3387*12)),Paths!$H$314,0),"n.a."))</f>
        <v>0</v>
      </c>
      <c r="K3387" s="16">
        <f>IF(NOT(Paths!$C$314=1),0,IF(Paths!$P$314="Complete",IF(IF(Paths!$O$314=0,C3387=0,AND(C3387&gt;0,Paths!$O$314&gt;(C3387-1)*12,Paths!$O$314&lt;=C3387*12)),Paths!$N$314,0),"n.a."))</f>
        <v>0</v>
      </c>
      <c r="L3387" s="16">
        <f>IF(NOT(Paths!$C$314=1),0,IF(Paths!$P$314="Complete",IF(C3387=10,Paths!$I$314,0),"n.a."))</f>
        <v>0</v>
      </c>
      <c r="M3387" s="16">
        <f>IF(NOT(Paths!$C$314=1),0,IF(Paths!$P$314="Complete",IF(AND(Paths!$D$314="EV",Paths!$E$314&lt;120,Paths!$E$314+'Operating costs'!$B$65&gt;Paths!$E$314,Paths!$E$314+'Operating costs'!$B$65&lt;=120,IF(Paths!$E$314+'Operating costs'!$B$65=0,C3387=0,AND(C3387&gt;0,Paths!$E$314+'Operating costs'!$B$65&gt;(C3387-1)*12,Paths!$E$314+'Operating costs'!$B$65&lt;=C3387*12))),'Operating costs'!$B$64,0)+IF(AND('Operating costs'!$B$67&gt;0,'Operating costs'!$B$67&lt;=120,OR(Paths!$D$314="ICE",'Operating costs'!$B$67&lt;=Paths!$E$314),IF('Operating costs'!$B$67=0,C3387=0,AND(C3387&gt;0,'Operating costs'!$B$67&gt;(C3387-1)*12,'Operating costs'!$B$67&lt;=C3387*12))),'Operating costs'!$B$66,0),"n.a."))</f>
        <v>0</v>
      </c>
      <c r="N3387" s="16">
        <f>IF(NOT(Paths!$C$314=1),0,IF(Paths!$P$314="Complete",SUM(G3387:I3387)-J3387-K3387-L3387+M3387+IF(C3387=0,Paths!$F$314,0)+IF(IF(Paths!$E$314=0,C3387=0,AND(C3387&gt;0,Paths!$E$314&gt;(C3387-1)*12,Paths!$E$314&lt;=C3387*12)),VLOOKUP(A3387,'Fleet register'!$A$7:$S$106,16,FALSE),0),"n.a."))</f>
        <v>0</v>
      </c>
      <c r="O3387" s="16">
        <f>IF(NOT(Paths!$C$314=1),0,IF(Paths!$P$314="Complete",N3387-IF(C3387=0,Paths!$F$314,0),"n.a."))</f>
        <v>0</v>
      </c>
      <c r="P3387" s="16">
        <f>IF(NOT(Paths!$C$314=1),0,IF(Paths!$P$314="Complete",O3387+L3387,"n.a."))</f>
        <v>0</v>
      </c>
      <c r="Q3387" s="16">
        <f>IF(NOT(Paths!$C$314=1),0,IF(Paths!$P$314="Complete",N3387*(1+'Operating costs'!$B$54)^-C3387,"n.a."))</f>
        <v>0</v>
      </c>
      <c r="R3387" s="16">
        <f>IF(NOT(Paths!$C$314=1),0,IF(Paths!$P$314="Complete",IF(AND(C3387=0,Paths!$E$314=0),I3387-J3387-K3387+VLOOKUP(A3387,'Fleet register'!$A$7:$S$106,15,FALSE)+VLOOKUP(A3387,'Fleet register'!$A$7:$S$106,16,FALSE),0),"n.a."))</f>
        <v>0</v>
      </c>
      <c r="S3387" s="1">
        <f>IF(NOT(Paths!$C$314=1),0,IF(Paths!$P$314="Complete",IF(C3387=0,0,Paths!$S$314*Paths!$R$314),"n.a."))</f>
        <v>0</v>
      </c>
      <c r="T3387" s="1">
        <f>IF(NOT(Paths!$C$314=1),0,IF(Paths!$P$314="Complete",IF(C3387=0,0,VLOOKUP(A3387,'Fleet register'!$A$7:$S$106,9,FALSE)*Paths!$R$314),"n.a."))</f>
        <v>0</v>
      </c>
    </row>
    <row r="3388" spans="1:20" ht="24" customHeight="1">
      <c r="A3388" s="1" t="str">
        <f>Paths!$A$314</f>
        <v>T077</v>
      </c>
      <c r="B3388" s="1">
        <f>Paths!$B$314</f>
        <v>3</v>
      </c>
      <c r="C3388" s="1">
        <v>4</v>
      </c>
      <c r="D3388" s="1">
        <v>314</v>
      </c>
      <c r="E3388" s="1">
        <f>IF(OR(Paths!$C$314=0,C3388=0),0,MAX(0,MIN(C3388*12,Paths!$E$314)-(C3388-1)*12))</f>
        <v>0</v>
      </c>
      <c r="F3388" s="1">
        <f>IF(OR(Paths!$C$314=0,C3388=0),0,12-E3388)</f>
        <v>0</v>
      </c>
      <c r="G3388" s="16">
        <f>IF(NOT(Paths!$C$314=1),0,IF(Paths!$P$314="Complete",E3388/12*(Paths!$J$314*(1+'Operating costs'!$B$51)^MAX(0,C3388-1)+Paths!$K$314*(1+'Operating costs'!$B$53)^MAX(0,C3388-1)),"n.a."))</f>
        <v>0</v>
      </c>
      <c r="H3388" s="16">
        <f>IF(NOT(Paths!$C$314=1),0,IF(Paths!$P$314="Complete",F3388/12*(Paths!$L$314*(1+IF(Paths!$D$314="EV",'Operating costs'!$B$52,'Operating costs'!$B$51))^MAX(0,C3388-1)+Paths!$M$314*(1+'Operating costs'!$B$53)^MAX(0,C3388-1)),"n.a."))</f>
        <v>0</v>
      </c>
      <c r="I3388" s="16">
        <f>IF(NOT(Paths!$C$314=1),0,IF(Paths!$P$314="Complete",IF(IF(Paths!$E$314=0,C3388=0,AND(C3388&gt;0,Paths!$E$314&gt;(C3388-1)*12,Paths!$E$314&lt;=C3388*12)),Paths!$G$314,0),"n.a."))</f>
        <v>0</v>
      </c>
      <c r="J3388" s="16">
        <f>IF(NOT(Paths!$C$314=1),0,IF(Paths!$P$314="Complete",IF(IF(Paths!$E$314=0,C3388=0,AND(C3388&gt;0,Paths!$E$314&gt;(C3388-1)*12,Paths!$E$314&lt;=C3388*12)),Paths!$H$314,0),"n.a."))</f>
        <v>0</v>
      </c>
      <c r="K3388" s="16">
        <f>IF(NOT(Paths!$C$314=1),0,IF(Paths!$P$314="Complete",IF(IF(Paths!$O$314=0,C3388=0,AND(C3388&gt;0,Paths!$O$314&gt;(C3388-1)*12,Paths!$O$314&lt;=C3388*12)),Paths!$N$314,0),"n.a."))</f>
        <v>0</v>
      </c>
      <c r="L3388" s="16">
        <f>IF(NOT(Paths!$C$314=1),0,IF(Paths!$P$314="Complete",IF(C3388=10,Paths!$I$314,0),"n.a."))</f>
        <v>0</v>
      </c>
      <c r="M3388" s="16">
        <f>IF(NOT(Paths!$C$314=1),0,IF(Paths!$P$314="Complete",IF(AND(Paths!$D$314="EV",Paths!$E$314&lt;120,Paths!$E$314+'Operating costs'!$B$65&gt;Paths!$E$314,Paths!$E$314+'Operating costs'!$B$65&lt;=120,IF(Paths!$E$314+'Operating costs'!$B$65=0,C3388=0,AND(C3388&gt;0,Paths!$E$314+'Operating costs'!$B$65&gt;(C3388-1)*12,Paths!$E$314+'Operating costs'!$B$65&lt;=C3388*12))),'Operating costs'!$B$64,0)+IF(AND('Operating costs'!$B$67&gt;0,'Operating costs'!$B$67&lt;=120,OR(Paths!$D$314="ICE",'Operating costs'!$B$67&lt;=Paths!$E$314),IF('Operating costs'!$B$67=0,C3388=0,AND(C3388&gt;0,'Operating costs'!$B$67&gt;(C3388-1)*12,'Operating costs'!$B$67&lt;=C3388*12))),'Operating costs'!$B$66,0),"n.a."))</f>
        <v>0</v>
      </c>
      <c r="N3388" s="16">
        <f>IF(NOT(Paths!$C$314=1),0,IF(Paths!$P$314="Complete",SUM(G3388:I3388)-J3388-K3388-L3388+M3388+IF(C3388=0,Paths!$F$314,0)+IF(IF(Paths!$E$314=0,C3388=0,AND(C3388&gt;0,Paths!$E$314&gt;(C3388-1)*12,Paths!$E$314&lt;=C3388*12)),VLOOKUP(A3388,'Fleet register'!$A$7:$S$106,16,FALSE),0),"n.a."))</f>
        <v>0</v>
      </c>
      <c r="O3388" s="16">
        <f>IF(NOT(Paths!$C$314=1),0,IF(Paths!$P$314="Complete",N3388-IF(C3388=0,Paths!$F$314,0),"n.a."))</f>
        <v>0</v>
      </c>
      <c r="P3388" s="16">
        <f>IF(NOT(Paths!$C$314=1),0,IF(Paths!$P$314="Complete",O3388+L3388,"n.a."))</f>
        <v>0</v>
      </c>
      <c r="Q3388" s="16">
        <f>IF(NOT(Paths!$C$314=1),0,IF(Paths!$P$314="Complete",N3388*(1+'Operating costs'!$B$54)^-C3388,"n.a."))</f>
        <v>0</v>
      </c>
      <c r="R3388" s="16">
        <f>IF(NOT(Paths!$C$314=1),0,IF(Paths!$P$314="Complete",IF(AND(C3388=0,Paths!$E$314=0),I3388-J3388-K3388+VLOOKUP(A3388,'Fleet register'!$A$7:$S$106,15,FALSE)+VLOOKUP(A3388,'Fleet register'!$A$7:$S$106,16,FALSE),0),"n.a."))</f>
        <v>0</v>
      </c>
      <c r="S3388" s="1">
        <f>IF(NOT(Paths!$C$314=1),0,IF(Paths!$P$314="Complete",IF(C3388=0,0,Paths!$S$314*Paths!$R$314),"n.a."))</f>
        <v>0</v>
      </c>
      <c r="T3388" s="1">
        <f>IF(NOT(Paths!$C$314=1),0,IF(Paths!$P$314="Complete",IF(C3388=0,0,VLOOKUP(A3388,'Fleet register'!$A$7:$S$106,9,FALSE)*Paths!$R$314),"n.a."))</f>
        <v>0</v>
      </c>
    </row>
    <row r="3389" spans="1:20" ht="24" customHeight="1">
      <c r="A3389" s="1" t="str">
        <f>Paths!$A$314</f>
        <v>T077</v>
      </c>
      <c r="B3389" s="1">
        <f>Paths!$B$314</f>
        <v>3</v>
      </c>
      <c r="C3389" s="1">
        <v>5</v>
      </c>
      <c r="D3389" s="1">
        <v>314</v>
      </c>
      <c r="E3389" s="1">
        <f>IF(OR(Paths!$C$314=0,C3389=0),0,MAX(0,MIN(C3389*12,Paths!$E$314)-(C3389-1)*12))</f>
        <v>0</v>
      </c>
      <c r="F3389" s="1">
        <f>IF(OR(Paths!$C$314=0,C3389=0),0,12-E3389)</f>
        <v>0</v>
      </c>
      <c r="G3389" s="16">
        <f>IF(NOT(Paths!$C$314=1),0,IF(Paths!$P$314="Complete",E3389/12*(Paths!$J$314*(1+'Operating costs'!$B$51)^MAX(0,C3389-1)+Paths!$K$314*(1+'Operating costs'!$B$53)^MAX(0,C3389-1)),"n.a."))</f>
        <v>0</v>
      </c>
      <c r="H3389" s="16">
        <f>IF(NOT(Paths!$C$314=1),0,IF(Paths!$P$314="Complete",F3389/12*(Paths!$L$314*(1+IF(Paths!$D$314="EV",'Operating costs'!$B$52,'Operating costs'!$B$51))^MAX(0,C3389-1)+Paths!$M$314*(1+'Operating costs'!$B$53)^MAX(0,C3389-1)),"n.a."))</f>
        <v>0</v>
      </c>
      <c r="I3389" s="16">
        <f>IF(NOT(Paths!$C$314=1),0,IF(Paths!$P$314="Complete",IF(IF(Paths!$E$314=0,C3389=0,AND(C3389&gt;0,Paths!$E$314&gt;(C3389-1)*12,Paths!$E$314&lt;=C3389*12)),Paths!$G$314,0),"n.a."))</f>
        <v>0</v>
      </c>
      <c r="J3389" s="16">
        <f>IF(NOT(Paths!$C$314=1),0,IF(Paths!$P$314="Complete",IF(IF(Paths!$E$314=0,C3389=0,AND(C3389&gt;0,Paths!$E$314&gt;(C3389-1)*12,Paths!$E$314&lt;=C3389*12)),Paths!$H$314,0),"n.a."))</f>
        <v>0</v>
      </c>
      <c r="K3389" s="16">
        <f>IF(NOT(Paths!$C$314=1),0,IF(Paths!$P$314="Complete",IF(IF(Paths!$O$314=0,C3389=0,AND(C3389&gt;0,Paths!$O$314&gt;(C3389-1)*12,Paths!$O$314&lt;=C3389*12)),Paths!$N$314,0),"n.a."))</f>
        <v>0</v>
      </c>
      <c r="L3389" s="16">
        <f>IF(NOT(Paths!$C$314=1),0,IF(Paths!$P$314="Complete",IF(C3389=10,Paths!$I$314,0),"n.a."))</f>
        <v>0</v>
      </c>
      <c r="M3389" s="16">
        <f>IF(NOT(Paths!$C$314=1),0,IF(Paths!$P$314="Complete",IF(AND(Paths!$D$314="EV",Paths!$E$314&lt;120,Paths!$E$314+'Operating costs'!$B$65&gt;Paths!$E$314,Paths!$E$314+'Operating costs'!$B$65&lt;=120,IF(Paths!$E$314+'Operating costs'!$B$65=0,C3389=0,AND(C3389&gt;0,Paths!$E$314+'Operating costs'!$B$65&gt;(C3389-1)*12,Paths!$E$314+'Operating costs'!$B$65&lt;=C3389*12))),'Operating costs'!$B$64,0)+IF(AND('Operating costs'!$B$67&gt;0,'Operating costs'!$B$67&lt;=120,OR(Paths!$D$314="ICE",'Operating costs'!$B$67&lt;=Paths!$E$314),IF('Operating costs'!$B$67=0,C3389=0,AND(C3389&gt;0,'Operating costs'!$B$67&gt;(C3389-1)*12,'Operating costs'!$B$67&lt;=C3389*12))),'Operating costs'!$B$66,0),"n.a."))</f>
        <v>0</v>
      </c>
      <c r="N3389" s="16">
        <f>IF(NOT(Paths!$C$314=1),0,IF(Paths!$P$314="Complete",SUM(G3389:I3389)-J3389-K3389-L3389+M3389+IF(C3389=0,Paths!$F$314,0)+IF(IF(Paths!$E$314=0,C3389=0,AND(C3389&gt;0,Paths!$E$314&gt;(C3389-1)*12,Paths!$E$314&lt;=C3389*12)),VLOOKUP(A3389,'Fleet register'!$A$7:$S$106,16,FALSE),0),"n.a."))</f>
        <v>0</v>
      </c>
      <c r="O3389" s="16">
        <f>IF(NOT(Paths!$C$314=1),0,IF(Paths!$P$314="Complete",N3389-IF(C3389=0,Paths!$F$314,0),"n.a."))</f>
        <v>0</v>
      </c>
      <c r="P3389" s="16">
        <f>IF(NOT(Paths!$C$314=1),0,IF(Paths!$P$314="Complete",O3389+L3389,"n.a."))</f>
        <v>0</v>
      </c>
      <c r="Q3389" s="16">
        <f>IF(NOT(Paths!$C$314=1),0,IF(Paths!$P$314="Complete",N3389*(1+'Operating costs'!$B$54)^-C3389,"n.a."))</f>
        <v>0</v>
      </c>
      <c r="R3389" s="16">
        <f>IF(NOT(Paths!$C$314=1),0,IF(Paths!$P$314="Complete",IF(AND(C3389=0,Paths!$E$314=0),I3389-J3389-K3389+VLOOKUP(A3389,'Fleet register'!$A$7:$S$106,15,FALSE)+VLOOKUP(A3389,'Fleet register'!$A$7:$S$106,16,FALSE),0),"n.a."))</f>
        <v>0</v>
      </c>
      <c r="S3389" s="1">
        <f>IF(NOT(Paths!$C$314=1),0,IF(Paths!$P$314="Complete",IF(C3389=0,0,Paths!$S$314*Paths!$R$314),"n.a."))</f>
        <v>0</v>
      </c>
      <c r="T3389" s="1">
        <f>IF(NOT(Paths!$C$314=1),0,IF(Paths!$P$314="Complete",IF(C3389=0,0,VLOOKUP(A3389,'Fleet register'!$A$7:$S$106,9,FALSE)*Paths!$R$314),"n.a."))</f>
        <v>0</v>
      </c>
    </row>
    <row r="3390" spans="1:20" ht="24" customHeight="1">
      <c r="A3390" s="1" t="str">
        <f>Paths!$A$314</f>
        <v>T077</v>
      </c>
      <c r="B3390" s="1">
        <f>Paths!$B$314</f>
        <v>3</v>
      </c>
      <c r="C3390" s="1">
        <v>6</v>
      </c>
      <c r="D3390" s="1">
        <v>314</v>
      </c>
      <c r="E3390" s="1">
        <f>IF(OR(Paths!$C$314=0,C3390=0),0,MAX(0,MIN(C3390*12,Paths!$E$314)-(C3390-1)*12))</f>
        <v>0</v>
      </c>
      <c r="F3390" s="1">
        <f>IF(OR(Paths!$C$314=0,C3390=0),0,12-E3390)</f>
        <v>0</v>
      </c>
      <c r="G3390" s="16">
        <f>IF(NOT(Paths!$C$314=1),0,IF(Paths!$P$314="Complete",E3390/12*(Paths!$J$314*(1+'Operating costs'!$B$51)^MAX(0,C3390-1)+Paths!$K$314*(1+'Operating costs'!$B$53)^MAX(0,C3390-1)),"n.a."))</f>
        <v>0</v>
      </c>
      <c r="H3390" s="16">
        <f>IF(NOT(Paths!$C$314=1),0,IF(Paths!$P$314="Complete",F3390/12*(Paths!$L$314*(1+IF(Paths!$D$314="EV",'Operating costs'!$B$52,'Operating costs'!$B$51))^MAX(0,C3390-1)+Paths!$M$314*(1+'Operating costs'!$B$53)^MAX(0,C3390-1)),"n.a."))</f>
        <v>0</v>
      </c>
      <c r="I3390" s="16">
        <f>IF(NOT(Paths!$C$314=1),0,IF(Paths!$P$314="Complete",IF(IF(Paths!$E$314=0,C3390=0,AND(C3390&gt;0,Paths!$E$314&gt;(C3390-1)*12,Paths!$E$314&lt;=C3390*12)),Paths!$G$314,0),"n.a."))</f>
        <v>0</v>
      </c>
      <c r="J3390" s="16">
        <f>IF(NOT(Paths!$C$314=1),0,IF(Paths!$P$314="Complete",IF(IF(Paths!$E$314=0,C3390=0,AND(C3390&gt;0,Paths!$E$314&gt;(C3390-1)*12,Paths!$E$314&lt;=C3390*12)),Paths!$H$314,0),"n.a."))</f>
        <v>0</v>
      </c>
      <c r="K3390" s="16">
        <f>IF(NOT(Paths!$C$314=1),0,IF(Paths!$P$314="Complete",IF(IF(Paths!$O$314=0,C3390=0,AND(C3390&gt;0,Paths!$O$314&gt;(C3390-1)*12,Paths!$O$314&lt;=C3390*12)),Paths!$N$314,0),"n.a."))</f>
        <v>0</v>
      </c>
      <c r="L3390" s="16">
        <f>IF(NOT(Paths!$C$314=1),0,IF(Paths!$P$314="Complete",IF(C3390=10,Paths!$I$314,0),"n.a."))</f>
        <v>0</v>
      </c>
      <c r="M3390" s="16">
        <f>IF(NOT(Paths!$C$314=1),0,IF(Paths!$P$314="Complete",IF(AND(Paths!$D$314="EV",Paths!$E$314&lt;120,Paths!$E$314+'Operating costs'!$B$65&gt;Paths!$E$314,Paths!$E$314+'Operating costs'!$B$65&lt;=120,IF(Paths!$E$314+'Operating costs'!$B$65=0,C3390=0,AND(C3390&gt;0,Paths!$E$314+'Operating costs'!$B$65&gt;(C3390-1)*12,Paths!$E$314+'Operating costs'!$B$65&lt;=C3390*12))),'Operating costs'!$B$64,0)+IF(AND('Operating costs'!$B$67&gt;0,'Operating costs'!$B$67&lt;=120,OR(Paths!$D$314="ICE",'Operating costs'!$B$67&lt;=Paths!$E$314),IF('Operating costs'!$B$67=0,C3390=0,AND(C3390&gt;0,'Operating costs'!$B$67&gt;(C3390-1)*12,'Operating costs'!$B$67&lt;=C3390*12))),'Operating costs'!$B$66,0),"n.a."))</f>
        <v>0</v>
      </c>
      <c r="N3390" s="16">
        <f>IF(NOT(Paths!$C$314=1),0,IF(Paths!$P$314="Complete",SUM(G3390:I3390)-J3390-K3390-L3390+M3390+IF(C3390=0,Paths!$F$314,0)+IF(IF(Paths!$E$314=0,C3390=0,AND(C3390&gt;0,Paths!$E$314&gt;(C3390-1)*12,Paths!$E$314&lt;=C3390*12)),VLOOKUP(A3390,'Fleet register'!$A$7:$S$106,16,FALSE),0),"n.a."))</f>
        <v>0</v>
      </c>
      <c r="O3390" s="16">
        <f>IF(NOT(Paths!$C$314=1),0,IF(Paths!$P$314="Complete",N3390-IF(C3390=0,Paths!$F$314,0),"n.a."))</f>
        <v>0</v>
      </c>
      <c r="P3390" s="16">
        <f>IF(NOT(Paths!$C$314=1),0,IF(Paths!$P$314="Complete",O3390+L3390,"n.a."))</f>
        <v>0</v>
      </c>
      <c r="Q3390" s="16">
        <f>IF(NOT(Paths!$C$314=1),0,IF(Paths!$P$314="Complete",N3390*(1+'Operating costs'!$B$54)^-C3390,"n.a."))</f>
        <v>0</v>
      </c>
      <c r="R3390" s="16">
        <f>IF(NOT(Paths!$C$314=1),0,IF(Paths!$P$314="Complete",IF(AND(C3390=0,Paths!$E$314=0),I3390-J3390-K3390+VLOOKUP(A3390,'Fleet register'!$A$7:$S$106,15,FALSE)+VLOOKUP(A3390,'Fleet register'!$A$7:$S$106,16,FALSE),0),"n.a."))</f>
        <v>0</v>
      </c>
      <c r="S3390" s="1">
        <f>IF(NOT(Paths!$C$314=1),0,IF(Paths!$P$314="Complete",IF(C3390=0,0,Paths!$S$314*Paths!$R$314),"n.a."))</f>
        <v>0</v>
      </c>
      <c r="T3390" s="1">
        <f>IF(NOT(Paths!$C$314=1),0,IF(Paths!$P$314="Complete",IF(C3390=0,0,VLOOKUP(A3390,'Fleet register'!$A$7:$S$106,9,FALSE)*Paths!$R$314),"n.a."))</f>
        <v>0</v>
      </c>
    </row>
    <row r="3391" spans="1:20" ht="24" customHeight="1">
      <c r="A3391" s="1" t="str">
        <f>Paths!$A$314</f>
        <v>T077</v>
      </c>
      <c r="B3391" s="1">
        <f>Paths!$B$314</f>
        <v>3</v>
      </c>
      <c r="C3391" s="1">
        <v>7</v>
      </c>
      <c r="D3391" s="1">
        <v>314</v>
      </c>
      <c r="E3391" s="1">
        <f>IF(OR(Paths!$C$314=0,C3391=0),0,MAX(0,MIN(C3391*12,Paths!$E$314)-(C3391-1)*12))</f>
        <v>0</v>
      </c>
      <c r="F3391" s="1">
        <f>IF(OR(Paths!$C$314=0,C3391=0),0,12-E3391)</f>
        <v>0</v>
      </c>
      <c r="G3391" s="16">
        <f>IF(NOT(Paths!$C$314=1),0,IF(Paths!$P$314="Complete",E3391/12*(Paths!$J$314*(1+'Operating costs'!$B$51)^MAX(0,C3391-1)+Paths!$K$314*(1+'Operating costs'!$B$53)^MAX(0,C3391-1)),"n.a."))</f>
        <v>0</v>
      </c>
      <c r="H3391" s="16">
        <f>IF(NOT(Paths!$C$314=1),0,IF(Paths!$P$314="Complete",F3391/12*(Paths!$L$314*(1+IF(Paths!$D$314="EV",'Operating costs'!$B$52,'Operating costs'!$B$51))^MAX(0,C3391-1)+Paths!$M$314*(1+'Operating costs'!$B$53)^MAX(0,C3391-1)),"n.a."))</f>
        <v>0</v>
      </c>
      <c r="I3391" s="16">
        <f>IF(NOT(Paths!$C$314=1),0,IF(Paths!$P$314="Complete",IF(IF(Paths!$E$314=0,C3391=0,AND(C3391&gt;0,Paths!$E$314&gt;(C3391-1)*12,Paths!$E$314&lt;=C3391*12)),Paths!$G$314,0),"n.a."))</f>
        <v>0</v>
      </c>
      <c r="J3391" s="16">
        <f>IF(NOT(Paths!$C$314=1),0,IF(Paths!$P$314="Complete",IF(IF(Paths!$E$314=0,C3391=0,AND(C3391&gt;0,Paths!$E$314&gt;(C3391-1)*12,Paths!$E$314&lt;=C3391*12)),Paths!$H$314,0),"n.a."))</f>
        <v>0</v>
      </c>
      <c r="K3391" s="16">
        <f>IF(NOT(Paths!$C$314=1),0,IF(Paths!$P$314="Complete",IF(IF(Paths!$O$314=0,C3391=0,AND(C3391&gt;0,Paths!$O$314&gt;(C3391-1)*12,Paths!$O$314&lt;=C3391*12)),Paths!$N$314,0),"n.a."))</f>
        <v>0</v>
      </c>
      <c r="L3391" s="16">
        <f>IF(NOT(Paths!$C$314=1),0,IF(Paths!$P$314="Complete",IF(C3391=10,Paths!$I$314,0),"n.a."))</f>
        <v>0</v>
      </c>
      <c r="M3391" s="16">
        <f>IF(NOT(Paths!$C$314=1),0,IF(Paths!$P$314="Complete",IF(AND(Paths!$D$314="EV",Paths!$E$314&lt;120,Paths!$E$314+'Operating costs'!$B$65&gt;Paths!$E$314,Paths!$E$314+'Operating costs'!$B$65&lt;=120,IF(Paths!$E$314+'Operating costs'!$B$65=0,C3391=0,AND(C3391&gt;0,Paths!$E$314+'Operating costs'!$B$65&gt;(C3391-1)*12,Paths!$E$314+'Operating costs'!$B$65&lt;=C3391*12))),'Operating costs'!$B$64,0)+IF(AND('Operating costs'!$B$67&gt;0,'Operating costs'!$B$67&lt;=120,OR(Paths!$D$314="ICE",'Operating costs'!$B$67&lt;=Paths!$E$314),IF('Operating costs'!$B$67=0,C3391=0,AND(C3391&gt;0,'Operating costs'!$B$67&gt;(C3391-1)*12,'Operating costs'!$B$67&lt;=C3391*12))),'Operating costs'!$B$66,0),"n.a."))</f>
        <v>0</v>
      </c>
      <c r="N3391" s="16">
        <f>IF(NOT(Paths!$C$314=1),0,IF(Paths!$P$314="Complete",SUM(G3391:I3391)-J3391-K3391-L3391+M3391+IF(C3391=0,Paths!$F$314,0)+IF(IF(Paths!$E$314=0,C3391=0,AND(C3391&gt;0,Paths!$E$314&gt;(C3391-1)*12,Paths!$E$314&lt;=C3391*12)),VLOOKUP(A3391,'Fleet register'!$A$7:$S$106,16,FALSE),0),"n.a."))</f>
        <v>0</v>
      </c>
      <c r="O3391" s="16">
        <f>IF(NOT(Paths!$C$314=1),0,IF(Paths!$P$314="Complete",N3391-IF(C3391=0,Paths!$F$314,0),"n.a."))</f>
        <v>0</v>
      </c>
      <c r="P3391" s="16">
        <f>IF(NOT(Paths!$C$314=1),0,IF(Paths!$P$314="Complete",O3391+L3391,"n.a."))</f>
        <v>0</v>
      </c>
      <c r="Q3391" s="16">
        <f>IF(NOT(Paths!$C$314=1),0,IF(Paths!$P$314="Complete",N3391*(1+'Operating costs'!$B$54)^-C3391,"n.a."))</f>
        <v>0</v>
      </c>
      <c r="R3391" s="16">
        <f>IF(NOT(Paths!$C$314=1),0,IF(Paths!$P$314="Complete",IF(AND(C3391=0,Paths!$E$314=0),I3391-J3391-K3391+VLOOKUP(A3391,'Fleet register'!$A$7:$S$106,15,FALSE)+VLOOKUP(A3391,'Fleet register'!$A$7:$S$106,16,FALSE),0),"n.a."))</f>
        <v>0</v>
      </c>
      <c r="S3391" s="1">
        <f>IF(NOT(Paths!$C$314=1),0,IF(Paths!$P$314="Complete",IF(C3391=0,0,Paths!$S$314*Paths!$R$314),"n.a."))</f>
        <v>0</v>
      </c>
      <c r="T3391" s="1">
        <f>IF(NOT(Paths!$C$314=1),0,IF(Paths!$P$314="Complete",IF(C3391=0,0,VLOOKUP(A3391,'Fleet register'!$A$7:$S$106,9,FALSE)*Paths!$R$314),"n.a."))</f>
        <v>0</v>
      </c>
    </row>
    <row r="3392" spans="1:20" ht="24" customHeight="1">
      <c r="A3392" s="1" t="str">
        <f>Paths!$A$314</f>
        <v>T077</v>
      </c>
      <c r="B3392" s="1">
        <f>Paths!$B$314</f>
        <v>3</v>
      </c>
      <c r="C3392" s="1">
        <v>8</v>
      </c>
      <c r="D3392" s="1">
        <v>314</v>
      </c>
      <c r="E3392" s="1">
        <f>IF(OR(Paths!$C$314=0,C3392=0),0,MAX(0,MIN(C3392*12,Paths!$E$314)-(C3392-1)*12))</f>
        <v>0</v>
      </c>
      <c r="F3392" s="1">
        <f>IF(OR(Paths!$C$314=0,C3392=0),0,12-E3392)</f>
        <v>0</v>
      </c>
      <c r="G3392" s="16">
        <f>IF(NOT(Paths!$C$314=1),0,IF(Paths!$P$314="Complete",E3392/12*(Paths!$J$314*(1+'Operating costs'!$B$51)^MAX(0,C3392-1)+Paths!$K$314*(1+'Operating costs'!$B$53)^MAX(0,C3392-1)),"n.a."))</f>
        <v>0</v>
      </c>
      <c r="H3392" s="16">
        <f>IF(NOT(Paths!$C$314=1),0,IF(Paths!$P$314="Complete",F3392/12*(Paths!$L$314*(1+IF(Paths!$D$314="EV",'Operating costs'!$B$52,'Operating costs'!$B$51))^MAX(0,C3392-1)+Paths!$M$314*(1+'Operating costs'!$B$53)^MAX(0,C3392-1)),"n.a."))</f>
        <v>0</v>
      </c>
      <c r="I3392" s="16">
        <f>IF(NOT(Paths!$C$314=1),0,IF(Paths!$P$314="Complete",IF(IF(Paths!$E$314=0,C3392=0,AND(C3392&gt;0,Paths!$E$314&gt;(C3392-1)*12,Paths!$E$314&lt;=C3392*12)),Paths!$G$314,0),"n.a."))</f>
        <v>0</v>
      </c>
      <c r="J3392" s="16">
        <f>IF(NOT(Paths!$C$314=1),0,IF(Paths!$P$314="Complete",IF(IF(Paths!$E$314=0,C3392=0,AND(C3392&gt;0,Paths!$E$314&gt;(C3392-1)*12,Paths!$E$314&lt;=C3392*12)),Paths!$H$314,0),"n.a."))</f>
        <v>0</v>
      </c>
      <c r="K3392" s="16">
        <f>IF(NOT(Paths!$C$314=1),0,IF(Paths!$P$314="Complete",IF(IF(Paths!$O$314=0,C3392=0,AND(C3392&gt;0,Paths!$O$314&gt;(C3392-1)*12,Paths!$O$314&lt;=C3392*12)),Paths!$N$314,0),"n.a."))</f>
        <v>0</v>
      </c>
      <c r="L3392" s="16">
        <f>IF(NOT(Paths!$C$314=1),0,IF(Paths!$P$314="Complete",IF(C3392=10,Paths!$I$314,0),"n.a."))</f>
        <v>0</v>
      </c>
      <c r="M3392" s="16">
        <f>IF(NOT(Paths!$C$314=1),0,IF(Paths!$P$314="Complete",IF(AND(Paths!$D$314="EV",Paths!$E$314&lt;120,Paths!$E$314+'Operating costs'!$B$65&gt;Paths!$E$314,Paths!$E$314+'Operating costs'!$B$65&lt;=120,IF(Paths!$E$314+'Operating costs'!$B$65=0,C3392=0,AND(C3392&gt;0,Paths!$E$314+'Operating costs'!$B$65&gt;(C3392-1)*12,Paths!$E$314+'Operating costs'!$B$65&lt;=C3392*12))),'Operating costs'!$B$64,0)+IF(AND('Operating costs'!$B$67&gt;0,'Operating costs'!$B$67&lt;=120,OR(Paths!$D$314="ICE",'Operating costs'!$B$67&lt;=Paths!$E$314),IF('Operating costs'!$B$67=0,C3392=0,AND(C3392&gt;0,'Operating costs'!$B$67&gt;(C3392-1)*12,'Operating costs'!$B$67&lt;=C3392*12))),'Operating costs'!$B$66,0),"n.a."))</f>
        <v>0</v>
      </c>
      <c r="N3392" s="16">
        <f>IF(NOT(Paths!$C$314=1),0,IF(Paths!$P$314="Complete",SUM(G3392:I3392)-J3392-K3392-L3392+M3392+IF(C3392=0,Paths!$F$314,0)+IF(IF(Paths!$E$314=0,C3392=0,AND(C3392&gt;0,Paths!$E$314&gt;(C3392-1)*12,Paths!$E$314&lt;=C3392*12)),VLOOKUP(A3392,'Fleet register'!$A$7:$S$106,16,FALSE),0),"n.a."))</f>
        <v>0</v>
      </c>
      <c r="O3392" s="16">
        <f>IF(NOT(Paths!$C$314=1),0,IF(Paths!$P$314="Complete",N3392-IF(C3392=0,Paths!$F$314,0),"n.a."))</f>
        <v>0</v>
      </c>
      <c r="P3392" s="16">
        <f>IF(NOT(Paths!$C$314=1),0,IF(Paths!$P$314="Complete",O3392+L3392,"n.a."))</f>
        <v>0</v>
      </c>
      <c r="Q3392" s="16">
        <f>IF(NOT(Paths!$C$314=1),0,IF(Paths!$P$314="Complete",N3392*(1+'Operating costs'!$B$54)^-C3392,"n.a."))</f>
        <v>0</v>
      </c>
      <c r="R3392" s="16">
        <f>IF(NOT(Paths!$C$314=1),0,IF(Paths!$P$314="Complete",IF(AND(C3392=0,Paths!$E$314=0),I3392-J3392-K3392+VLOOKUP(A3392,'Fleet register'!$A$7:$S$106,15,FALSE)+VLOOKUP(A3392,'Fleet register'!$A$7:$S$106,16,FALSE),0),"n.a."))</f>
        <v>0</v>
      </c>
      <c r="S3392" s="1">
        <f>IF(NOT(Paths!$C$314=1),0,IF(Paths!$P$314="Complete",IF(C3392=0,0,Paths!$S$314*Paths!$R$314),"n.a."))</f>
        <v>0</v>
      </c>
      <c r="T3392" s="1">
        <f>IF(NOT(Paths!$C$314=1),0,IF(Paths!$P$314="Complete",IF(C3392=0,0,VLOOKUP(A3392,'Fleet register'!$A$7:$S$106,9,FALSE)*Paths!$R$314),"n.a."))</f>
        <v>0</v>
      </c>
    </row>
    <row r="3393" spans="1:20" ht="24" customHeight="1">
      <c r="A3393" s="1" t="str">
        <f>Paths!$A$314</f>
        <v>T077</v>
      </c>
      <c r="B3393" s="1">
        <f>Paths!$B$314</f>
        <v>3</v>
      </c>
      <c r="C3393" s="1">
        <v>9</v>
      </c>
      <c r="D3393" s="1">
        <v>314</v>
      </c>
      <c r="E3393" s="1">
        <f>IF(OR(Paths!$C$314=0,C3393=0),0,MAX(0,MIN(C3393*12,Paths!$E$314)-(C3393-1)*12))</f>
        <v>0</v>
      </c>
      <c r="F3393" s="1">
        <f>IF(OR(Paths!$C$314=0,C3393=0),0,12-E3393)</f>
        <v>0</v>
      </c>
      <c r="G3393" s="16">
        <f>IF(NOT(Paths!$C$314=1),0,IF(Paths!$P$314="Complete",E3393/12*(Paths!$J$314*(1+'Operating costs'!$B$51)^MAX(0,C3393-1)+Paths!$K$314*(1+'Operating costs'!$B$53)^MAX(0,C3393-1)),"n.a."))</f>
        <v>0</v>
      </c>
      <c r="H3393" s="16">
        <f>IF(NOT(Paths!$C$314=1),0,IF(Paths!$P$314="Complete",F3393/12*(Paths!$L$314*(1+IF(Paths!$D$314="EV",'Operating costs'!$B$52,'Operating costs'!$B$51))^MAX(0,C3393-1)+Paths!$M$314*(1+'Operating costs'!$B$53)^MAX(0,C3393-1)),"n.a."))</f>
        <v>0</v>
      </c>
      <c r="I3393" s="16">
        <f>IF(NOT(Paths!$C$314=1),0,IF(Paths!$P$314="Complete",IF(IF(Paths!$E$314=0,C3393=0,AND(C3393&gt;0,Paths!$E$314&gt;(C3393-1)*12,Paths!$E$314&lt;=C3393*12)),Paths!$G$314,0),"n.a."))</f>
        <v>0</v>
      </c>
      <c r="J3393" s="16">
        <f>IF(NOT(Paths!$C$314=1),0,IF(Paths!$P$314="Complete",IF(IF(Paths!$E$314=0,C3393=0,AND(C3393&gt;0,Paths!$E$314&gt;(C3393-1)*12,Paths!$E$314&lt;=C3393*12)),Paths!$H$314,0),"n.a."))</f>
        <v>0</v>
      </c>
      <c r="K3393" s="16">
        <f>IF(NOT(Paths!$C$314=1),0,IF(Paths!$P$314="Complete",IF(IF(Paths!$O$314=0,C3393=0,AND(C3393&gt;0,Paths!$O$314&gt;(C3393-1)*12,Paths!$O$314&lt;=C3393*12)),Paths!$N$314,0),"n.a."))</f>
        <v>0</v>
      </c>
      <c r="L3393" s="16">
        <f>IF(NOT(Paths!$C$314=1),0,IF(Paths!$P$314="Complete",IF(C3393=10,Paths!$I$314,0),"n.a."))</f>
        <v>0</v>
      </c>
      <c r="M3393" s="16">
        <f>IF(NOT(Paths!$C$314=1),0,IF(Paths!$P$314="Complete",IF(AND(Paths!$D$314="EV",Paths!$E$314&lt;120,Paths!$E$314+'Operating costs'!$B$65&gt;Paths!$E$314,Paths!$E$314+'Operating costs'!$B$65&lt;=120,IF(Paths!$E$314+'Operating costs'!$B$65=0,C3393=0,AND(C3393&gt;0,Paths!$E$314+'Operating costs'!$B$65&gt;(C3393-1)*12,Paths!$E$314+'Operating costs'!$B$65&lt;=C3393*12))),'Operating costs'!$B$64,0)+IF(AND('Operating costs'!$B$67&gt;0,'Operating costs'!$B$67&lt;=120,OR(Paths!$D$314="ICE",'Operating costs'!$B$67&lt;=Paths!$E$314),IF('Operating costs'!$B$67=0,C3393=0,AND(C3393&gt;0,'Operating costs'!$B$67&gt;(C3393-1)*12,'Operating costs'!$B$67&lt;=C3393*12))),'Operating costs'!$B$66,0),"n.a."))</f>
        <v>0</v>
      </c>
      <c r="N3393" s="16">
        <f>IF(NOT(Paths!$C$314=1),0,IF(Paths!$P$314="Complete",SUM(G3393:I3393)-J3393-K3393-L3393+M3393+IF(C3393=0,Paths!$F$314,0)+IF(IF(Paths!$E$314=0,C3393=0,AND(C3393&gt;0,Paths!$E$314&gt;(C3393-1)*12,Paths!$E$314&lt;=C3393*12)),VLOOKUP(A3393,'Fleet register'!$A$7:$S$106,16,FALSE),0),"n.a."))</f>
        <v>0</v>
      </c>
      <c r="O3393" s="16">
        <f>IF(NOT(Paths!$C$314=1),0,IF(Paths!$P$314="Complete",N3393-IF(C3393=0,Paths!$F$314,0),"n.a."))</f>
        <v>0</v>
      </c>
      <c r="P3393" s="16">
        <f>IF(NOT(Paths!$C$314=1),0,IF(Paths!$P$314="Complete",O3393+L3393,"n.a."))</f>
        <v>0</v>
      </c>
      <c r="Q3393" s="16">
        <f>IF(NOT(Paths!$C$314=1),0,IF(Paths!$P$314="Complete",N3393*(1+'Operating costs'!$B$54)^-C3393,"n.a."))</f>
        <v>0</v>
      </c>
      <c r="R3393" s="16">
        <f>IF(NOT(Paths!$C$314=1),0,IF(Paths!$P$314="Complete",IF(AND(C3393=0,Paths!$E$314=0),I3393-J3393-K3393+VLOOKUP(A3393,'Fleet register'!$A$7:$S$106,15,FALSE)+VLOOKUP(A3393,'Fleet register'!$A$7:$S$106,16,FALSE),0),"n.a."))</f>
        <v>0</v>
      </c>
      <c r="S3393" s="1">
        <f>IF(NOT(Paths!$C$314=1),0,IF(Paths!$P$314="Complete",IF(C3393=0,0,Paths!$S$314*Paths!$R$314),"n.a."))</f>
        <v>0</v>
      </c>
      <c r="T3393" s="1">
        <f>IF(NOT(Paths!$C$314=1),0,IF(Paths!$P$314="Complete",IF(C3393=0,0,VLOOKUP(A3393,'Fleet register'!$A$7:$S$106,9,FALSE)*Paths!$R$314),"n.a."))</f>
        <v>0</v>
      </c>
    </row>
    <row r="3394" spans="1:20" ht="24" customHeight="1">
      <c r="A3394" s="1" t="str">
        <f>Paths!$A$314</f>
        <v>T077</v>
      </c>
      <c r="B3394" s="1">
        <f>Paths!$B$314</f>
        <v>3</v>
      </c>
      <c r="C3394" s="1">
        <v>10</v>
      </c>
      <c r="D3394" s="1">
        <v>314</v>
      </c>
      <c r="E3394" s="1">
        <f>IF(OR(Paths!$C$314=0,C3394=0),0,MAX(0,MIN(C3394*12,Paths!$E$314)-(C3394-1)*12))</f>
        <v>0</v>
      </c>
      <c r="F3394" s="1">
        <f>IF(OR(Paths!$C$314=0,C3394=0),0,12-E3394)</f>
        <v>0</v>
      </c>
      <c r="G3394" s="16">
        <f>IF(NOT(Paths!$C$314=1),0,IF(Paths!$P$314="Complete",E3394/12*(Paths!$J$314*(1+'Operating costs'!$B$51)^MAX(0,C3394-1)+Paths!$K$314*(1+'Operating costs'!$B$53)^MAX(0,C3394-1)),"n.a."))</f>
        <v>0</v>
      </c>
      <c r="H3394" s="16">
        <f>IF(NOT(Paths!$C$314=1),0,IF(Paths!$P$314="Complete",F3394/12*(Paths!$L$314*(1+IF(Paths!$D$314="EV",'Operating costs'!$B$52,'Operating costs'!$B$51))^MAX(0,C3394-1)+Paths!$M$314*(1+'Operating costs'!$B$53)^MAX(0,C3394-1)),"n.a."))</f>
        <v>0</v>
      </c>
      <c r="I3394" s="16">
        <f>IF(NOT(Paths!$C$314=1),0,IF(Paths!$P$314="Complete",IF(IF(Paths!$E$314=0,C3394=0,AND(C3394&gt;0,Paths!$E$314&gt;(C3394-1)*12,Paths!$E$314&lt;=C3394*12)),Paths!$G$314,0),"n.a."))</f>
        <v>0</v>
      </c>
      <c r="J3394" s="16">
        <f>IF(NOT(Paths!$C$314=1),0,IF(Paths!$P$314="Complete",IF(IF(Paths!$E$314=0,C3394=0,AND(C3394&gt;0,Paths!$E$314&gt;(C3394-1)*12,Paths!$E$314&lt;=C3394*12)),Paths!$H$314,0),"n.a."))</f>
        <v>0</v>
      </c>
      <c r="K3394" s="16">
        <f>IF(NOT(Paths!$C$314=1),0,IF(Paths!$P$314="Complete",IF(IF(Paths!$O$314=0,C3394=0,AND(C3394&gt;0,Paths!$O$314&gt;(C3394-1)*12,Paths!$O$314&lt;=C3394*12)),Paths!$N$314,0),"n.a."))</f>
        <v>0</v>
      </c>
      <c r="L3394" s="16">
        <f>IF(NOT(Paths!$C$314=1),0,IF(Paths!$P$314="Complete",IF(C3394=10,Paths!$I$314,0),"n.a."))</f>
        <v>0</v>
      </c>
      <c r="M3394" s="16">
        <f>IF(NOT(Paths!$C$314=1),0,IF(Paths!$P$314="Complete",IF(AND(Paths!$D$314="EV",Paths!$E$314&lt;120,Paths!$E$314+'Operating costs'!$B$65&gt;Paths!$E$314,Paths!$E$314+'Operating costs'!$B$65&lt;=120,IF(Paths!$E$314+'Operating costs'!$B$65=0,C3394=0,AND(C3394&gt;0,Paths!$E$314+'Operating costs'!$B$65&gt;(C3394-1)*12,Paths!$E$314+'Operating costs'!$B$65&lt;=C3394*12))),'Operating costs'!$B$64,0)+IF(AND('Operating costs'!$B$67&gt;0,'Operating costs'!$B$67&lt;=120,OR(Paths!$D$314="ICE",'Operating costs'!$B$67&lt;=Paths!$E$314),IF('Operating costs'!$B$67=0,C3394=0,AND(C3394&gt;0,'Operating costs'!$B$67&gt;(C3394-1)*12,'Operating costs'!$B$67&lt;=C3394*12))),'Operating costs'!$B$66,0),"n.a."))</f>
        <v>0</v>
      </c>
      <c r="N3394" s="16">
        <f>IF(NOT(Paths!$C$314=1),0,IF(Paths!$P$314="Complete",SUM(G3394:I3394)-J3394-K3394-L3394+M3394+IF(C3394=0,Paths!$F$314,0)+IF(IF(Paths!$E$314=0,C3394=0,AND(C3394&gt;0,Paths!$E$314&gt;(C3394-1)*12,Paths!$E$314&lt;=C3394*12)),VLOOKUP(A3394,'Fleet register'!$A$7:$S$106,16,FALSE),0),"n.a."))</f>
        <v>0</v>
      </c>
      <c r="O3394" s="16">
        <f>IF(NOT(Paths!$C$314=1),0,IF(Paths!$P$314="Complete",N3394-IF(C3394=0,Paths!$F$314,0),"n.a."))</f>
        <v>0</v>
      </c>
      <c r="P3394" s="16">
        <f>IF(NOT(Paths!$C$314=1),0,IF(Paths!$P$314="Complete",O3394+L3394,"n.a."))</f>
        <v>0</v>
      </c>
      <c r="Q3394" s="16">
        <f>IF(NOT(Paths!$C$314=1),0,IF(Paths!$P$314="Complete",N3394*(1+'Operating costs'!$B$54)^-C3394,"n.a."))</f>
        <v>0</v>
      </c>
      <c r="R3394" s="16">
        <f>IF(NOT(Paths!$C$314=1),0,IF(Paths!$P$314="Complete",IF(AND(C3394=0,Paths!$E$314=0),I3394-J3394-K3394+VLOOKUP(A3394,'Fleet register'!$A$7:$S$106,15,FALSE)+VLOOKUP(A3394,'Fleet register'!$A$7:$S$106,16,FALSE),0),"n.a."))</f>
        <v>0</v>
      </c>
      <c r="S3394" s="1">
        <f>IF(NOT(Paths!$C$314=1),0,IF(Paths!$P$314="Complete",IF(C3394=0,0,Paths!$S$314*Paths!$R$314),"n.a."))</f>
        <v>0</v>
      </c>
      <c r="T3394" s="1">
        <f>IF(NOT(Paths!$C$314=1),0,IF(Paths!$P$314="Complete",IF(C3394=0,0,VLOOKUP(A3394,'Fleet register'!$A$7:$S$106,9,FALSE)*Paths!$R$314),"n.a."))</f>
        <v>0</v>
      </c>
    </row>
    <row r="3395" spans="1:20" ht="24" customHeight="1">
      <c r="A3395" s="1" t="str">
        <f>Paths!$A$315</f>
        <v>T078</v>
      </c>
      <c r="B3395" s="1">
        <f>Paths!$B$315</f>
        <v>0</v>
      </c>
      <c r="C3395" s="1">
        <v>0</v>
      </c>
      <c r="D3395" s="1">
        <v>315</v>
      </c>
      <c r="E3395" s="1">
        <f>IF(OR(Paths!$C$315=0,C3395=0),0,MAX(0,MIN(C3395*12,Paths!$E$315)-(C3395-1)*12))</f>
        <v>0</v>
      </c>
      <c r="F3395" s="1">
        <f>IF(OR(Paths!$C$315=0,C3395=0),0,12-E3395)</f>
        <v>0</v>
      </c>
      <c r="G3395" s="16">
        <f>IF(NOT(Paths!$C$315=1),0,IF(Paths!$P$315="Complete",E3395/12*(Paths!$J$315*(1+'Operating costs'!$B$51)^MAX(0,C3395-1)+Paths!$K$315*(1+'Operating costs'!$B$53)^MAX(0,C3395-1)),"n.a."))</f>
        <v>0</v>
      </c>
      <c r="H3395" s="16">
        <f>IF(NOT(Paths!$C$315=1),0,IF(Paths!$P$315="Complete",F3395/12*(Paths!$L$315*(1+IF(Paths!$D$315="EV",'Operating costs'!$B$52,'Operating costs'!$B$51))^MAX(0,C3395-1)+Paths!$M$315*(1+'Operating costs'!$B$53)^MAX(0,C3395-1)),"n.a."))</f>
        <v>0</v>
      </c>
      <c r="I3395" s="16">
        <f>IF(NOT(Paths!$C$315=1),0,IF(Paths!$P$315="Complete",IF(IF(Paths!$E$315=0,C3395=0,AND(C3395&gt;0,Paths!$E$315&gt;(C3395-1)*12,Paths!$E$315&lt;=C3395*12)),Paths!$G$315,0),"n.a."))</f>
        <v>0</v>
      </c>
      <c r="J3395" s="16">
        <f>IF(NOT(Paths!$C$315=1),0,IF(Paths!$P$315="Complete",IF(IF(Paths!$E$315=0,C3395=0,AND(C3395&gt;0,Paths!$E$315&gt;(C3395-1)*12,Paths!$E$315&lt;=C3395*12)),Paths!$H$315,0),"n.a."))</f>
        <v>0</v>
      </c>
      <c r="K3395" s="16">
        <f>IF(NOT(Paths!$C$315=1),0,IF(Paths!$P$315="Complete",IF(IF(Paths!$O$315=0,C3395=0,AND(C3395&gt;0,Paths!$O$315&gt;(C3395-1)*12,Paths!$O$315&lt;=C3395*12)),Paths!$N$315,0),"n.a."))</f>
        <v>0</v>
      </c>
      <c r="L3395" s="16">
        <f>IF(NOT(Paths!$C$315=1),0,IF(Paths!$P$315="Complete",IF(C3395=10,Paths!$I$315,0),"n.a."))</f>
        <v>0</v>
      </c>
      <c r="M3395" s="16">
        <f>IF(NOT(Paths!$C$315=1),0,IF(Paths!$P$315="Complete",IF(AND(Paths!$D$315="EV",Paths!$E$315&lt;120,Paths!$E$315+'Operating costs'!$B$65&gt;Paths!$E$315,Paths!$E$315+'Operating costs'!$B$65&lt;=120,IF(Paths!$E$315+'Operating costs'!$B$65=0,C3395=0,AND(C3395&gt;0,Paths!$E$315+'Operating costs'!$B$65&gt;(C3395-1)*12,Paths!$E$315+'Operating costs'!$B$65&lt;=C3395*12))),'Operating costs'!$B$64,0)+IF(AND('Operating costs'!$B$67&gt;0,'Operating costs'!$B$67&lt;=120,OR(Paths!$D$315="ICE",'Operating costs'!$B$67&lt;=Paths!$E$315),IF('Operating costs'!$B$67=0,C3395=0,AND(C3395&gt;0,'Operating costs'!$B$67&gt;(C3395-1)*12,'Operating costs'!$B$67&lt;=C3395*12))),'Operating costs'!$B$66,0),"n.a."))</f>
        <v>0</v>
      </c>
      <c r="N3395" s="16">
        <f>IF(NOT(Paths!$C$315=1),0,IF(Paths!$P$315="Complete",SUM(G3395:I3395)-J3395-K3395-L3395+M3395+IF(C3395=0,Paths!$F$315,0)+IF(IF(Paths!$E$315=0,C3395=0,AND(C3395&gt;0,Paths!$E$315&gt;(C3395-1)*12,Paths!$E$315&lt;=C3395*12)),VLOOKUP(A3395,'Fleet register'!$A$7:$S$106,16,FALSE),0),"n.a."))</f>
        <v>0</v>
      </c>
      <c r="O3395" s="16">
        <f>IF(NOT(Paths!$C$315=1),0,IF(Paths!$P$315="Complete",N3395-IF(C3395=0,Paths!$F$315,0),"n.a."))</f>
        <v>0</v>
      </c>
      <c r="P3395" s="16">
        <f>IF(NOT(Paths!$C$315=1),0,IF(Paths!$P$315="Complete",O3395+L3395,"n.a."))</f>
        <v>0</v>
      </c>
      <c r="Q3395" s="16">
        <f>IF(NOT(Paths!$C$315=1),0,IF(Paths!$P$315="Complete",N3395*(1+'Operating costs'!$B$54)^-C3395,"n.a."))</f>
        <v>0</v>
      </c>
      <c r="R3395" s="16">
        <f>IF(NOT(Paths!$C$315=1),0,IF(Paths!$P$315="Complete",IF(AND(C3395=0,Paths!$E$315=0),I3395-J3395-K3395+VLOOKUP(A3395,'Fleet register'!$A$7:$S$106,15,FALSE)+VLOOKUP(A3395,'Fleet register'!$A$7:$S$106,16,FALSE),0),"n.a."))</f>
        <v>0</v>
      </c>
      <c r="S3395" s="1">
        <f>IF(NOT(Paths!$C$315=1),0,IF(Paths!$P$315="Complete",IF(C3395=0,0,Paths!$S$315*Paths!$R$315),"n.a."))</f>
        <v>0</v>
      </c>
      <c r="T3395" s="1">
        <f>IF(NOT(Paths!$C$315=1),0,IF(Paths!$P$315="Complete",IF(C3395=0,0,VLOOKUP(A3395,'Fleet register'!$A$7:$S$106,9,FALSE)*Paths!$R$315),"n.a."))</f>
        <v>0</v>
      </c>
    </row>
    <row r="3396" spans="1:20" ht="24" customHeight="1">
      <c r="A3396" s="1" t="str">
        <f>Paths!$A$315</f>
        <v>T078</v>
      </c>
      <c r="B3396" s="1">
        <f>Paths!$B$315</f>
        <v>0</v>
      </c>
      <c r="C3396" s="1">
        <v>1</v>
      </c>
      <c r="D3396" s="1">
        <v>315</v>
      </c>
      <c r="E3396" s="1">
        <f>IF(OR(Paths!$C$315=0,C3396=0),0,MAX(0,MIN(C3396*12,Paths!$E$315)-(C3396-1)*12))</f>
        <v>0</v>
      </c>
      <c r="F3396" s="1">
        <f>IF(OR(Paths!$C$315=0,C3396=0),0,12-E3396)</f>
        <v>0</v>
      </c>
      <c r="G3396" s="16">
        <f>IF(NOT(Paths!$C$315=1),0,IF(Paths!$P$315="Complete",E3396/12*(Paths!$J$315*(1+'Operating costs'!$B$51)^MAX(0,C3396-1)+Paths!$K$315*(1+'Operating costs'!$B$53)^MAX(0,C3396-1)),"n.a."))</f>
        <v>0</v>
      </c>
      <c r="H3396" s="16">
        <f>IF(NOT(Paths!$C$315=1),0,IF(Paths!$P$315="Complete",F3396/12*(Paths!$L$315*(1+IF(Paths!$D$315="EV",'Operating costs'!$B$52,'Operating costs'!$B$51))^MAX(0,C3396-1)+Paths!$M$315*(1+'Operating costs'!$B$53)^MAX(0,C3396-1)),"n.a."))</f>
        <v>0</v>
      </c>
      <c r="I3396" s="16">
        <f>IF(NOT(Paths!$C$315=1),0,IF(Paths!$P$315="Complete",IF(IF(Paths!$E$315=0,C3396=0,AND(C3396&gt;0,Paths!$E$315&gt;(C3396-1)*12,Paths!$E$315&lt;=C3396*12)),Paths!$G$315,0),"n.a."))</f>
        <v>0</v>
      </c>
      <c r="J3396" s="16">
        <f>IF(NOT(Paths!$C$315=1),0,IF(Paths!$P$315="Complete",IF(IF(Paths!$E$315=0,C3396=0,AND(C3396&gt;0,Paths!$E$315&gt;(C3396-1)*12,Paths!$E$315&lt;=C3396*12)),Paths!$H$315,0),"n.a."))</f>
        <v>0</v>
      </c>
      <c r="K3396" s="16">
        <f>IF(NOT(Paths!$C$315=1),0,IF(Paths!$P$315="Complete",IF(IF(Paths!$O$315=0,C3396=0,AND(C3396&gt;0,Paths!$O$315&gt;(C3396-1)*12,Paths!$O$315&lt;=C3396*12)),Paths!$N$315,0),"n.a."))</f>
        <v>0</v>
      </c>
      <c r="L3396" s="16">
        <f>IF(NOT(Paths!$C$315=1),0,IF(Paths!$P$315="Complete",IF(C3396=10,Paths!$I$315,0),"n.a."))</f>
        <v>0</v>
      </c>
      <c r="M3396" s="16">
        <f>IF(NOT(Paths!$C$315=1),0,IF(Paths!$P$315="Complete",IF(AND(Paths!$D$315="EV",Paths!$E$315&lt;120,Paths!$E$315+'Operating costs'!$B$65&gt;Paths!$E$315,Paths!$E$315+'Operating costs'!$B$65&lt;=120,IF(Paths!$E$315+'Operating costs'!$B$65=0,C3396=0,AND(C3396&gt;0,Paths!$E$315+'Operating costs'!$B$65&gt;(C3396-1)*12,Paths!$E$315+'Operating costs'!$B$65&lt;=C3396*12))),'Operating costs'!$B$64,0)+IF(AND('Operating costs'!$B$67&gt;0,'Operating costs'!$B$67&lt;=120,OR(Paths!$D$315="ICE",'Operating costs'!$B$67&lt;=Paths!$E$315),IF('Operating costs'!$B$67=0,C3396=0,AND(C3396&gt;0,'Operating costs'!$B$67&gt;(C3396-1)*12,'Operating costs'!$B$67&lt;=C3396*12))),'Operating costs'!$B$66,0),"n.a."))</f>
        <v>0</v>
      </c>
      <c r="N3396" s="16">
        <f>IF(NOT(Paths!$C$315=1),0,IF(Paths!$P$315="Complete",SUM(G3396:I3396)-J3396-K3396-L3396+M3396+IF(C3396=0,Paths!$F$315,0)+IF(IF(Paths!$E$315=0,C3396=0,AND(C3396&gt;0,Paths!$E$315&gt;(C3396-1)*12,Paths!$E$315&lt;=C3396*12)),VLOOKUP(A3396,'Fleet register'!$A$7:$S$106,16,FALSE),0),"n.a."))</f>
        <v>0</v>
      </c>
      <c r="O3396" s="16">
        <f>IF(NOT(Paths!$C$315=1),0,IF(Paths!$P$315="Complete",N3396-IF(C3396=0,Paths!$F$315,0),"n.a."))</f>
        <v>0</v>
      </c>
      <c r="P3396" s="16">
        <f>IF(NOT(Paths!$C$315=1),0,IF(Paths!$P$315="Complete",O3396+L3396,"n.a."))</f>
        <v>0</v>
      </c>
      <c r="Q3396" s="16">
        <f>IF(NOT(Paths!$C$315=1),0,IF(Paths!$P$315="Complete",N3396*(1+'Operating costs'!$B$54)^-C3396,"n.a."))</f>
        <v>0</v>
      </c>
      <c r="R3396" s="16">
        <f>IF(NOT(Paths!$C$315=1),0,IF(Paths!$P$315="Complete",IF(AND(C3396=0,Paths!$E$315=0),I3396-J3396-K3396+VLOOKUP(A3396,'Fleet register'!$A$7:$S$106,15,FALSE)+VLOOKUP(A3396,'Fleet register'!$A$7:$S$106,16,FALSE),0),"n.a."))</f>
        <v>0</v>
      </c>
      <c r="S3396" s="1">
        <f>IF(NOT(Paths!$C$315=1),0,IF(Paths!$P$315="Complete",IF(C3396=0,0,Paths!$S$315*Paths!$R$315),"n.a."))</f>
        <v>0</v>
      </c>
      <c r="T3396" s="1">
        <f>IF(NOT(Paths!$C$315=1),0,IF(Paths!$P$315="Complete",IF(C3396=0,0,VLOOKUP(A3396,'Fleet register'!$A$7:$S$106,9,FALSE)*Paths!$R$315),"n.a."))</f>
        <v>0</v>
      </c>
    </row>
    <row r="3397" spans="1:20" ht="24" customHeight="1">
      <c r="A3397" s="1" t="str">
        <f>Paths!$A$315</f>
        <v>T078</v>
      </c>
      <c r="B3397" s="1">
        <f>Paths!$B$315</f>
        <v>0</v>
      </c>
      <c r="C3397" s="1">
        <v>2</v>
      </c>
      <c r="D3397" s="1">
        <v>315</v>
      </c>
      <c r="E3397" s="1">
        <f>IF(OR(Paths!$C$315=0,C3397=0),0,MAX(0,MIN(C3397*12,Paths!$E$315)-(C3397-1)*12))</f>
        <v>0</v>
      </c>
      <c r="F3397" s="1">
        <f>IF(OR(Paths!$C$315=0,C3397=0),0,12-E3397)</f>
        <v>0</v>
      </c>
      <c r="G3397" s="16">
        <f>IF(NOT(Paths!$C$315=1),0,IF(Paths!$P$315="Complete",E3397/12*(Paths!$J$315*(1+'Operating costs'!$B$51)^MAX(0,C3397-1)+Paths!$K$315*(1+'Operating costs'!$B$53)^MAX(0,C3397-1)),"n.a."))</f>
        <v>0</v>
      </c>
      <c r="H3397" s="16">
        <f>IF(NOT(Paths!$C$315=1),0,IF(Paths!$P$315="Complete",F3397/12*(Paths!$L$315*(1+IF(Paths!$D$315="EV",'Operating costs'!$B$52,'Operating costs'!$B$51))^MAX(0,C3397-1)+Paths!$M$315*(1+'Operating costs'!$B$53)^MAX(0,C3397-1)),"n.a."))</f>
        <v>0</v>
      </c>
      <c r="I3397" s="16">
        <f>IF(NOT(Paths!$C$315=1),0,IF(Paths!$P$315="Complete",IF(IF(Paths!$E$315=0,C3397=0,AND(C3397&gt;0,Paths!$E$315&gt;(C3397-1)*12,Paths!$E$315&lt;=C3397*12)),Paths!$G$315,0),"n.a."))</f>
        <v>0</v>
      </c>
      <c r="J3397" s="16">
        <f>IF(NOT(Paths!$C$315=1),0,IF(Paths!$P$315="Complete",IF(IF(Paths!$E$315=0,C3397=0,AND(C3397&gt;0,Paths!$E$315&gt;(C3397-1)*12,Paths!$E$315&lt;=C3397*12)),Paths!$H$315,0),"n.a."))</f>
        <v>0</v>
      </c>
      <c r="K3397" s="16">
        <f>IF(NOT(Paths!$C$315=1),0,IF(Paths!$P$315="Complete",IF(IF(Paths!$O$315=0,C3397=0,AND(C3397&gt;0,Paths!$O$315&gt;(C3397-1)*12,Paths!$O$315&lt;=C3397*12)),Paths!$N$315,0),"n.a."))</f>
        <v>0</v>
      </c>
      <c r="L3397" s="16">
        <f>IF(NOT(Paths!$C$315=1),0,IF(Paths!$P$315="Complete",IF(C3397=10,Paths!$I$315,0),"n.a."))</f>
        <v>0</v>
      </c>
      <c r="M3397" s="16">
        <f>IF(NOT(Paths!$C$315=1),0,IF(Paths!$P$315="Complete",IF(AND(Paths!$D$315="EV",Paths!$E$315&lt;120,Paths!$E$315+'Operating costs'!$B$65&gt;Paths!$E$315,Paths!$E$315+'Operating costs'!$B$65&lt;=120,IF(Paths!$E$315+'Operating costs'!$B$65=0,C3397=0,AND(C3397&gt;0,Paths!$E$315+'Operating costs'!$B$65&gt;(C3397-1)*12,Paths!$E$315+'Operating costs'!$B$65&lt;=C3397*12))),'Operating costs'!$B$64,0)+IF(AND('Operating costs'!$B$67&gt;0,'Operating costs'!$B$67&lt;=120,OR(Paths!$D$315="ICE",'Operating costs'!$B$67&lt;=Paths!$E$315),IF('Operating costs'!$B$67=0,C3397=0,AND(C3397&gt;0,'Operating costs'!$B$67&gt;(C3397-1)*12,'Operating costs'!$B$67&lt;=C3397*12))),'Operating costs'!$B$66,0),"n.a."))</f>
        <v>0</v>
      </c>
      <c r="N3397" s="16">
        <f>IF(NOT(Paths!$C$315=1),0,IF(Paths!$P$315="Complete",SUM(G3397:I3397)-J3397-K3397-L3397+M3397+IF(C3397=0,Paths!$F$315,0)+IF(IF(Paths!$E$315=0,C3397=0,AND(C3397&gt;0,Paths!$E$315&gt;(C3397-1)*12,Paths!$E$315&lt;=C3397*12)),VLOOKUP(A3397,'Fleet register'!$A$7:$S$106,16,FALSE),0),"n.a."))</f>
        <v>0</v>
      </c>
      <c r="O3397" s="16">
        <f>IF(NOT(Paths!$C$315=1),0,IF(Paths!$P$315="Complete",N3397-IF(C3397=0,Paths!$F$315,0),"n.a."))</f>
        <v>0</v>
      </c>
      <c r="P3397" s="16">
        <f>IF(NOT(Paths!$C$315=1),0,IF(Paths!$P$315="Complete",O3397+L3397,"n.a."))</f>
        <v>0</v>
      </c>
      <c r="Q3397" s="16">
        <f>IF(NOT(Paths!$C$315=1),0,IF(Paths!$P$315="Complete",N3397*(1+'Operating costs'!$B$54)^-C3397,"n.a."))</f>
        <v>0</v>
      </c>
      <c r="R3397" s="16">
        <f>IF(NOT(Paths!$C$315=1),0,IF(Paths!$P$315="Complete",IF(AND(C3397=0,Paths!$E$315=0),I3397-J3397-K3397+VLOOKUP(A3397,'Fleet register'!$A$7:$S$106,15,FALSE)+VLOOKUP(A3397,'Fleet register'!$A$7:$S$106,16,FALSE),0),"n.a."))</f>
        <v>0</v>
      </c>
      <c r="S3397" s="1">
        <f>IF(NOT(Paths!$C$315=1),0,IF(Paths!$P$315="Complete",IF(C3397=0,0,Paths!$S$315*Paths!$R$315),"n.a."))</f>
        <v>0</v>
      </c>
      <c r="T3397" s="1">
        <f>IF(NOT(Paths!$C$315=1),0,IF(Paths!$P$315="Complete",IF(C3397=0,0,VLOOKUP(A3397,'Fleet register'!$A$7:$S$106,9,FALSE)*Paths!$R$315),"n.a."))</f>
        <v>0</v>
      </c>
    </row>
    <row r="3398" spans="1:20" ht="24" customHeight="1">
      <c r="A3398" s="1" t="str">
        <f>Paths!$A$315</f>
        <v>T078</v>
      </c>
      <c r="B3398" s="1">
        <f>Paths!$B$315</f>
        <v>0</v>
      </c>
      <c r="C3398" s="1">
        <v>3</v>
      </c>
      <c r="D3398" s="1">
        <v>315</v>
      </c>
      <c r="E3398" s="1">
        <f>IF(OR(Paths!$C$315=0,C3398=0),0,MAX(0,MIN(C3398*12,Paths!$E$315)-(C3398-1)*12))</f>
        <v>0</v>
      </c>
      <c r="F3398" s="1">
        <f>IF(OR(Paths!$C$315=0,C3398=0),0,12-E3398)</f>
        <v>0</v>
      </c>
      <c r="G3398" s="16">
        <f>IF(NOT(Paths!$C$315=1),0,IF(Paths!$P$315="Complete",E3398/12*(Paths!$J$315*(1+'Operating costs'!$B$51)^MAX(0,C3398-1)+Paths!$K$315*(1+'Operating costs'!$B$53)^MAX(0,C3398-1)),"n.a."))</f>
        <v>0</v>
      </c>
      <c r="H3398" s="16">
        <f>IF(NOT(Paths!$C$315=1),0,IF(Paths!$P$315="Complete",F3398/12*(Paths!$L$315*(1+IF(Paths!$D$315="EV",'Operating costs'!$B$52,'Operating costs'!$B$51))^MAX(0,C3398-1)+Paths!$M$315*(1+'Operating costs'!$B$53)^MAX(0,C3398-1)),"n.a."))</f>
        <v>0</v>
      </c>
      <c r="I3398" s="16">
        <f>IF(NOT(Paths!$C$315=1),0,IF(Paths!$P$315="Complete",IF(IF(Paths!$E$315=0,C3398=0,AND(C3398&gt;0,Paths!$E$315&gt;(C3398-1)*12,Paths!$E$315&lt;=C3398*12)),Paths!$G$315,0),"n.a."))</f>
        <v>0</v>
      </c>
      <c r="J3398" s="16">
        <f>IF(NOT(Paths!$C$315=1),0,IF(Paths!$P$315="Complete",IF(IF(Paths!$E$315=0,C3398=0,AND(C3398&gt;0,Paths!$E$315&gt;(C3398-1)*12,Paths!$E$315&lt;=C3398*12)),Paths!$H$315,0),"n.a."))</f>
        <v>0</v>
      </c>
      <c r="K3398" s="16">
        <f>IF(NOT(Paths!$C$315=1),0,IF(Paths!$P$315="Complete",IF(IF(Paths!$O$315=0,C3398=0,AND(C3398&gt;0,Paths!$O$315&gt;(C3398-1)*12,Paths!$O$315&lt;=C3398*12)),Paths!$N$315,0),"n.a."))</f>
        <v>0</v>
      </c>
      <c r="L3398" s="16">
        <f>IF(NOT(Paths!$C$315=1),0,IF(Paths!$P$315="Complete",IF(C3398=10,Paths!$I$315,0),"n.a."))</f>
        <v>0</v>
      </c>
      <c r="M3398" s="16">
        <f>IF(NOT(Paths!$C$315=1),0,IF(Paths!$P$315="Complete",IF(AND(Paths!$D$315="EV",Paths!$E$315&lt;120,Paths!$E$315+'Operating costs'!$B$65&gt;Paths!$E$315,Paths!$E$315+'Operating costs'!$B$65&lt;=120,IF(Paths!$E$315+'Operating costs'!$B$65=0,C3398=0,AND(C3398&gt;0,Paths!$E$315+'Operating costs'!$B$65&gt;(C3398-1)*12,Paths!$E$315+'Operating costs'!$B$65&lt;=C3398*12))),'Operating costs'!$B$64,0)+IF(AND('Operating costs'!$B$67&gt;0,'Operating costs'!$B$67&lt;=120,OR(Paths!$D$315="ICE",'Operating costs'!$B$67&lt;=Paths!$E$315),IF('Operating costs'!$B$67=0,C3398=0,AND(C3398&gt;0,'Operating costs'!$B$67&gt;(C3398-1)*12,'Operating costs'!$B$67&lt;=C3398*12))),'Operating costs'!$B$66,0),"n.a."))</f>
        <v>0</v>
      </c>
      <c r="N3398" s="16">
        <f>IF(NOT(Paths!$C$315=1),0,IF(Paths!$P$315="Complete",SUM(G3398:I3398)-J3398-K3398-L3398+M3398+IF(C3398=0,Paths!$F$315,0)+IF(IF(Paths!$E$315=0,C3398=0,AND(C3398&gt;0,Paths!$E$315&gt;(C3398-1)*12,Paths!$E$315&lt;=C3398*12)),VLOOKUP(A3398,'Fleet register'!$A$7:$S$106,16,FALSE),0),"n.a."))</f>
        <v>0</v>
      </c>
      <c r="O3398" s="16">
        <f>IF(NOT(Paths!$C$315=1),0,IF(Paths!$P$315="Complete",N3398-IF(C3398=0,Paths!$F$315,0),"n.a."))</f>
        <v>0</v>
      </c>
      <c r="P3398" s="16">
        <f>IF(NOT(Paths!$C$315=1),0,IF(Paths!$P$315="Complete",O3398+L3398,"n.a."))</f>
        <v>0</v>
      </c>
      <c r="Q3398" s="16">
        <f>IF(NOT(Paths!$C$315=1),0,IF(Paths!$P$315="Complete",N3398*(1+'Operating costs'!$B$54)^-C3398,"n.a."))</f>
        <v>0</v>
      </c>
      <c r="R3398" s="16">
        <f>IF(NOT(Paths!$C$315=1),0,IF(Paths!$P$315="Complete",IF(AND(C3398=0,Paths!$E$315=0),I3398-J3398-K3398+VLOOKUP(A3398,'Fleet register'!$A$7:$S$106,15,FALSE)+VLOOKUP(A3398,'Fleet register'!$A$7:$S$106,16,FALSE),0),"n.a."))</f>
        <v>0</v>
      </c>
      <c r="S3398" s="1">
        <f>IF(NOT(Paths!$C$315=1),0,IF(Paths!$P$315="Complete",IF(C3398=0,0,Paths!$S$315*Paths!$R$315),"n.a."))</f>
        <v>0</v>
      </c>
      <c r="T3398" s="1">
        <f>IF(NOT(Paths!$C$315=1),0,IF(Paths!$P$315="Complete",IF(C3398=0,0,VLOOKUP(A3398,'Fleet register'!$A$7:$S$106,9,FALSE)*Paths!$R$315),"n.a."))</f>
        <v>0</v>
      </c>
    </row>
    <row r="3399" spans="1:20" ht="24" customHeight="1">
      <c r="A3399" s="1" t="str">
        <f>Paths!$A$315</f>
        <v>T078</v>
      </c>
      <c r="B3399" s="1">
        <f>Paths!$B$315</f>
        <v>0</v>
      </c>
      <c r="C3399" s="1">
        <v>4</v>
      </c>
      <c r="D3399" s="1">
        <v>315</v>
      </c>
      <c r="E3399" s="1">
        <f>IF(OR(Paths!$C$315=0,C3399=0),0,MAX(0,MIN(C3399*12,Paths!$E$315)-(C3399-1)*12))</f>
        <v>0</v>
      </c>
      <c r="F3399" s="1">
        <f>IF(OR(Paths!$C$315=0,C3399=0),0,12-E3399)</f>
        <v>0</v>
      </c>
      <c r="G3399" s="16">
        <f>IF(NOT(Paths!$C$315=1),0,IF(Paths!$P$315="Complete",E3399/12*(Paths!$J$315*(1+'Operating costs'!$B$51)^MAX(0,C3399-1)+Paths!$K$315*(1+'Operating costs'!$B$53)^MAX(0,C3399-1)),"n.a."))</f>
        <v>0</v>
      </c>
      <c r="H3399" s="16">
        <f>IF(NOT(Paths!$C$315=1),0,IF(Paths!$P$315="Complete",F3399/12*(Paths!$L$315*(1+IF(Paths!$D$315="EV",'Operating costs'!$B$52,'Operating costs'!$B$51))^MAX(0,C3399-1)+Paths!$M$315*(1+'Operating costs'!$B$53)^MAX(0,C3399-1)),"n.a."))</f>
        <v>0</v>
      </c>
      <c r="I3399" s="16">
        <f>IF(NOT(Paths!$C$315=1),0,IF(Paths!$P$315="Complete",IF(IF(Paths!$E$315=0,C3399=0,AND(C3399&gt;0,Paths!$E$315&gt;(C3399-1)*12,Paths!$E$315&lt;=C3399*12)),Paths!$G$315,0),"n.a."))</f>
        <v>0</v>
      </c>
      <c r="J3399" s="16">
        <f>IF(NOT(Paths!$C$315=1),0,IF(Paths!$P$315="Complete",IF(IF(Paths!$E$315=0,C3399=0,AND(C3399&gt;0,Paths!$E$315&gt;(C3399-1)*12,Paths!$E$315&lt;=C3399*12)),Paths!$H$315,0),"n.a."))</f>
        <v>0</v>
      </c>
      <c r="K3399" s="16">
        <f>IF(NOT(Paths!$C$315=1),0,IF(Paths!$P$315="Complete",IF(IF(Paths!$O$315=0,C3399=0,AND(C3399&gt;0,Paths!$O$315&gt;(C3399-1)*12,Paths!$O$315&lt;=C3399*12)),Paths!$N$315,0),"n.a."))</f>
        <v>0</v>
      </c>
      <c r="L3399" s="16">
        <f>IF(NOT(Paths!$C$315=1),0,IF(Paths!$P$315="Complete",IF(C3399=10,Paths!$I$315,0),"n.a."))</f>
        <v>0</v>
      </c>
      <c r="M3399" s="16">
        <f>IF(NOT(Paths!$C$315=1),0,IF(Paths!$P$315="Complete",IF(AND(Paths!$D$315="EV",Paths!$E$315&lt;120,Paths!$E$315+'Operating costs'!$B$65&gt;Paths!$E$315,Paths!$E$315+'Operating costs'!$B$65&lt;=120,IF(Paths!$E$315+'Operating costs'!$B$65=0,C3399=0,AND(C3399&gt;0,Paths!$E$315+'Operating costs'!$B$65&gt;(C3399-1)*12,Paths!$E$315+'Operating costs'!$B$65&lt;=C3399*12))),'Operating costs'!$B$64,0)+IF(AND('Operating costs'!$B$67&gt;0,'Operating costs'!$B$67&lt;=120,OR(Paths!$D$315="ICE",'Operating costs'!$B$67&lt;=Paths!$E$315),IF('Operating costs'!$B$67=0,C3399=0,AND(C3399&gt;0,'Operating costs'!$B$67&gt;(C3399-1)*12,'Operating costs'!$B$67&lt;=C3399*12))),'Operating costs'!$B$66,0),"n.a."))</f>
        <v>0</v>
      </c>
      <c r="N3399" s="16">
        <f>IF(NOT(Paths!$C$315=1),0,IF(Paths!$P$315="Complete",SUM(G3399:I3399)-J3399-K3399-L3399+M3399+IF(C3399=0,Paths!$F$315,0)+IF(IF(Paths!$E$315=0,C3399=0,AND(C3399&gt;0,Paths!$E$315&gt;(C3399-1)*12,Paths!$E$315&lt;=C3399*12)),VLOOKUP(A3399,'Fleet register'!$A$7:$S$106,16,FALSE),0),"n.a."))</f>
        <v>0</v>
      </c>
      <c r="O3399" s="16">
        <f>IF(NOT(Paths!$C$315=1),0,IF(Paths!$P$315="Complete",N3399-IF(C3399=0,Paths!$F$315,0),"n.a."))</f>
        <v>0</v>
      </c>
      <c r="P3399" s="16">
        <f>IF(NOT(Paths!$C$315=1),0,IF(Paths!$P$315="Complete",O3399+L3399,"n.a."))</f>
        <v>0</v>
      </c>
      <c r="Q3399" s="16">
        <f>IF(NOT(Paths!$C$315=1),0,IF(Paths!$P$315="Complete",N3399*(1+'Operating costs'!$B$54)^-C3399,"n.a."))</f>
        <v>0</v>
      </c>
      <c r="R3399" s="16">
        <f>IF(NOT(Paths!$C$315=1),0,IF(Paths!$P$315="Complete",IF(AND(C3399=0,Paths!$E$315=0),I3399-J3399-K3399+VLOOKUP(A3399,'Fleet register'!$A$7:$S$106,15,FALSE)+VLOOKUP(A3399,'Fleet register'!$A$7:$S$106,16,FALSE),0),"n.a."))</f>
        <v>0</v>
      </c>
      <c r="S3399" s="1">
        <f>IF(NOT(Paths!$C$315=1),0,IF(Paths!$P$315="Complete",IF(C3399=0,0,Paths!$S$315*Paths!$R$315),"n.a."))</f>
        <v>0</v>
      </c>
      <c r="T3399" s="1">
        <f>IF(NOT(Paths!$C$315=1),0,IF(Paths!$P$315="Complete",IF(C3399=0,0,VLOOKUP(A3399,'Fleet register'!$A$7:$S$106,9,FALSE)*Paths!$R$315),"n.a."))</f>
        <v>0</v>
      </c>
    </row>
    <row r="3400" spans="1:20" ht="24" customHeight="1">
      <c r="A3400" s="1" t="str">
        <f>Paths!$A$315</f>
        <v>T078</v>
      </c>
      <c r="B3400" s="1">
        <f>Paths!$B$315</f>
        <v>0</v>
      </c>
      <c r="C3400" s="1">
        <v>5</v>
      </c>
      <c r="D3400" s="1">
        <v>315</v>
      </c>
      <c r="E3400" s="1">
        <f>IF(OR(Paths!$C$315=0,C3400=0),0,MAX(0,MIN(C3400*12,Paths!$E$315)-(C3400-1)*12))</f>
        <v>0</v>
      </c>
      <c r="F3400" s="1">
        <f>IF(OR(Paths!$C$315=0,C3400=0),0,12-E3400)</f>
        <v>0</v>
      </c>
      <c r="G3400" s="16">
        <f>IF(NOT(Paths!$C$315=1),0,IF(Paths!$P$315="Complete",E3400/12*(Paths!$J$315*(1+'Operating costs'!$B$51)^MAX(0,C3400-1)+Paths!$K$315*(1+'Operating costs'!$B$53)^MAX(0,C3400-1)),"n.a."))</f>
        <v>0</v>
      </c>
      <c r="H3400" s="16">
        <f>IF(NOT(Paths!$C$315=1),0,IF(Paths!$P$315="Complete",F3400/12*(Paths!$L$315*(1+IF(Paths!$D$315="EV",'Operating costs'!$B$52,'Operating costs'!$B$51))^MAX(0,C3400-1)+Paths!$M$315*(1+'Operating costs'!$B$53)^MAX(0,C3400-1)),"n.a."))</f>
        <v>0</v>
      </c>
      <c r="I3400" s="16">
        <f>IF(NOT(Paths!$C$315=1),0,IF(Paths!$P$315="Complete",IF(IF(Paths!$E$315=0,C3400=0,AND(C3400&gt;0,Paths!$E$315&gt;(C3400-1)*12,Paths!$E$315&lt;=C3400*12)),Paths!$G$315,0),"n.a."))</f>
        <v>0</v>
      </c>
      <c r="J3400" s="16">
        <f>IF(NOT(Paths!$C$315=1),0,IF(Paths!$P$315="Complete",IF(IF(Paths!$E$315=0,C3400=0,AND(C3400&gt;0,Paths!$E$315&gt;(C3400-1)*12,Paths!$E$315&lt;=C3400*12)),Paths!$H$315,0),"n.a."))</f>
        <v>0</v>
      </c>
      <c r="K3400" s="16">
        <f>IF(NOT(Paths!$C$315=1),0,IF(Paths!$P$315="Complete",IF(IF(Paths!$O$315=0,C3400=0,AND(C3400&gt;0,Paths!$O$315&gt;(C3400-1)*12,Paths!$O$315&lt;=C3400*12)),Paths!$N$315,0),"n.a."))</f>
        <v>0</v>
      </c>
      <c r="L3400" s="16">
        <f>IF(NOT(Paths!$C$315=1),0,IF(Paths!$P$315="Complete",IF(C3400=10,Paths!$I$315,0),"n.a."))</f>
        <v>0</v>
      </c>
      <c r="M3400" s="16">
        <f>IF(NOT(Paths!$C$315=1),0,IF(Paths!$P$315="Complete",IF(AND(Paths!$D$315="EV",Paths!$E$315&lt;120,Paths!$E$315+'Operating costs'!$B$65&gt;Paths!$E$315,Paths!$E$315+'Operating costs'!$B$65&lt;=120,IF(Paths!$E$315+'Operating costs'!$B$65=0,C3400=0,AND(C3400&gt;0,Paths!$E$315+'Operating costs'!$B$65&gt;(C3400-1)*12,Paths!$E$315+'Operating costs'!$B$65&lt;=C3400*12))),'Operating costs'!$B$64,0)+IF(AND('Operating costs'!$B$67&gt;0,'Operating costs'!$B$67&lt;=120,OR(Paths!$D$315="ICE",'Operating costs'!$B$67&lt;=Paths!$E$315),IF('Operating costs'!$B$67=0,C3400=0,AND(C3400&gt;0,'Operating costs'!$B$67&gt;(C3400-1)*12,'Operating costs'!$B$67&lt;=C3400*12))),'Operating costs'!$B$66,0),"n.a."))</f>
        <v>0</v>
      </c>
      <c r="N3400" s="16">
        <f>IF(NOT(Paths!$C$315=1),0,IF(Paths!$P$315="Complete",SUM(G3400:I3400)-J3400-K3400-L3400+M3400+IF(C3400=0,Paths!$F$315,0)+IF(IF(Paths!$E$315=0,C3400=0,AND(C3400&gt;0,Paths!$E$315&gt;(C3400-1)*12,Paths!$E$315&lt;=C3400*12)),VLOOKUP(A3400,'Fleet register'!$A$7:$S$106,16,FALSE),0),"n.a."))</f>
        <v>0</v>
      </c>
      <c r="O3400" s="16">
        <f>IF(NOT(Paths!$C$315=1),0,IF(Paths!$P$315="Complete",N3400-IF(C3400=0,Paths!$F$315,0),"n.a."))</f>
        <v>0</v>
      </c>
      <c r="P3400" s="16">
        <f>IF(NOT(Paths!$C$315=1),0,IF(Paths!$P$315="Complete",O3400+L3400,"n.a."))</f>
        <v>0</v>
      </c>
      <c r="Q3400" s="16">
        <f>IF(NOT(Paths!$C$315=1),0,IF(Paths!$P$315="Complete",N3400*(1+'Operating costs'!$B$54)^-C3400,"n.a."))</f>
        <v>0</v>
      </c>
      <c r="R3400" s="16">
        <f>IF(NOT(Paths!$C$315=1),0,IF(Paths!$P$315="Complete",IF(AND(C3400=0,Paths!$E$315=0),I3400-J3400-K3400+VLOOKUP(A3400,'Fleet register'!$A$7:$S$106,15,FALSE)+VLOOKUP(A3400,'Fleet register'!$A$7:$S$106,16,FALSE),0),"n.a."))</f>
        <v>0</v>
      </c>
      <c r="S3400" s="1">
        <f>IF(NOT(Paths!$C$315=1),0,IF(Paths!$P$315="Complete",IF(C3400=0,0,Paths!$S$315*Paths!$R$315),"n.a."))</f>
        <v>0</v>
      </c>
      <c r="T3400" s="1">
        <f>IF(NOT(Paths!$C$315=1),0,IF(Paths!$P$315="Complete",IF(C3400=0,0,VLOOKUP(A3400,'Fleet register'!$A$7:$S$106,9,FALSE)*Paths!$R$315),"n.a."))</f>
        <v>0</v>
      </c>
    </row>
    <row r="3401" spans="1:20" ht="24" customHeight="1">
      <c r="A3401" s="1" t="str">
        <f>Paths!$A$315</f>
        <v>T078</v>
      </c>
      <c r="B3401" s="1">
        <f>Paths!$B$315</f>
        <v>0</v>
      </c>
      <c r="C3401" s="1">
        <v>6</v>
      </c>
      <c r="D3401" s="1">
        <v>315</v>
      </c>
      <c r="E3401" s="1">
        <f>IF(OR(Paths!$C$315=0,C3401=0),0,MAX(0,MIN(C3401*12,Paths!$E$315)-(C3401-1)*12))</f>
        <v>0</v>
      </c>
      <c r="F3401" s="1">
        <f>IF(OR(Paths!$C$315=0,C3401=0),0,12-E3401)</f>
        <v>0</v>
      </c>
      <c r="G3401" s="16">
        <f>IF(NOT(Paths!$C$315=1),0,IF(Paths!$P$315="Complete",E3401/12*(Paths!$J$315*(1+'Operating costs'!$B$51)^MAX(0,C3401-1)+Paths!$K$315*(1+'Operating costs'!$B$53)^MAX(0,C3401-1)),"n.a."))</f>
        <v>0</v>
      </c>
      <c r="H3401" s="16">
        <f>IF(NOT(Paths!$C$315=1),0,IF(Paths!$P$315="Complete",F3401/12*(Paths!$L$315*(1+IF(Paths!$D$315="EV",'Operating costs'!$B$52,'Operating costs'!$B$51))^MAX(0,C3401-1)+Paths!$M$315*(1+'Operating costs'!$B$53)^MAX(0,C3401-1)),"n.a."))</f>
        <v>0</v>
      </c>
      <c r="I3401" s="16">
        <f>IF(NOT(Paths!$C$315=1),0,IF(Paths!$P$315="Complete",IF(IF(Paths!$E$315=0,C3401=0,AND(C3401&gt;0,Paths!$E$315&gt;(C3401-1)*12,Paths!$E$315&lt;=C3401*12)),Paths!$G$315,0),"n.a."))</f>
        <v>0</v>
      </c>
      <c r="J3401" s="16">
        <f>IF(NOT(Paths!$C$315=1),0,IF(Paths!$P$315="Complete",IF(IF(Paths!$E$315=0,C3401=0,AND(C3401&gt;0,Paths!$E$315&gt;(C3401-1)*12,Paths!$E$315&lt;=C3401*12)),Paths!$H$315,0),"n.a."))</f>
        <v>0</v>
      </c>
      <c r="K3401" s="16">
        <f>IF(NOT(Paths!$C$315=1),0,IF(Paths!$P$315="Complete",IF(IF(Paths!$O$315=0,C3401=0,AND(C3401&gt;0,Paths!$O$315&gt;(C3401-1)*12,Paths!$O$315&lt;=C3401*12)),Paths!$N$315,0),"n.a."))</f>
        <v>0</v>
      </c>
      <c r="L3401" s="16">
        <f>IF(NOT(Paths!$C$315=1),0,IF(Paths!$P$315="Complete",IF(C3401=10,Paths!$I$315,0),"n.a."))</f>
        <v>0</v>
      </c>
      <c r="M3401" s="16">
        <f>IF(NOT(Paths!$C$315=1),0,IF(Paths!$P$315="Complete",IF(AND(Paths!$D$315="EV",Paths!$E$315&lt;120,Paths!$E$315+'Operating costs'!$B$65&gt;Paths!$E$315,Paths!$E$315+'Operating costs'!$B$65&lt;=120,IF(Paths!$E$315+'Operating costs'!$B$65=0,C3401=0,AND(C3401&gt;0,Paths!$E$315+'Operating costs'!$B$65&gt;(C3401-1)*12,Paths!$E$315+'Operating costs'!$B$65&lt;=C3401*12))),'Operating costs'!$B$64,0)+IF(AND('Operating costs'!$B$67&gt;0,'Operating costs'!$B$67&lt;=120,OR(Paths!$D$315="ICE",'Operating costs'!$B$67&lt;=Paths!$E$315),IF('Operating costs'!$B$67=0,C3401=0,AND(C3401&gt;0,'Operating costs'!$B$67&gt;(C3401-1)*12,'Operating costs'!$B$67&lt;=C3401*12))),'Operating costs'!$B$66,0),"n.a."))</f>
        <v>0</v>
      </c>
      <c r="N3401" s="16">
        <f>IF(NOT(Paths!$C$315=1),0,IF(Paths!$P$315="Complete",SUM(G3401:I3401)-J3401-K3401-L3401+M3401+IF(C3401=0,Paths!$F$315,0)+IF(IF(Paths!$E$315=0,C3401=0,AND(C3401&gt;0,Paths!$E$315&gt;(C3401-1)*12,Paths!$E$315&lt;=C3401*12)),VLOOKUP(A3401,'Fleet register'!$A$7:$S$106,16,FALSE),0),"n.a."))</f>
        <v>0</v>
      </c>
      <c r="O3401" s="16">
        <f>IF(NOT(Paths!$C$315=1),0,IF(Paths!$P$315="Complete",N3401-IF(C3401=0,Paths!$F$315,0),"n.a."))</f>
        <v>0</v>
      </c>
      <c r="P3401" s="16">
        <f>IF(NOT(Paths!$C$315=1),0,IF(Paths!$P$315="Complete",O3401+L3401,"n.a."))</f>
        <v>0</v>
      </c>
      <c r="Q3401" s="16">
        <f>IF(NOT(Paths!$C$315=1),0,IF(Paths!$P$315="Complete",N3401*(1+'Operating costs'!$B$54)^-C3401,"n.a."))</f>
        <v>0</v>
      </c>
      <c r="R3401" s="16">
        <f>IF(NOT(Paths!$C$315=1),0,IF(Paths!$P$315="Complete",IF(AND(C3401=0,Paths!$E$315=0),I3401-J3401-K3401+VLOOKUP(A3401,'Fleet register'!$A$7:$S$106,15,FALSE)+VLOOKUP(A3401,'Fleet register'!$A$7:$S$106,16,FALSE),0),"n.a."))</f>
        <v>0</v>
      </c>
      <c r="S3401" s="1">
        <f>IF(NOT(Paths!$C$315=1),0,IF(Paths!$P$315="Complete",IF(C3401=0,0,Paths!$S$315*Paths!$R$315),"n.a."))</f>
        <v>0</v>
      </c>
      <c r="T3401" s="1">
        <f>IF(NOT(Paths!$C$315=1),0,IF(Paths!$P$315="Complete",IF(C3401=0,0,VLOOKUP(A3401,'Fleet register'!$A$7:$S$106,9,FALSE)*Paths!$R$315),"n.a."))</f>
        <v>0</v>
      </c>
    </row>
    <row r="3402" spans="1:20" ht="24" customHeight="1">
      <c r="A3402" s="1" t="str">
        <f>Paths!$A$315</f>
        <v>T078</v>
      </c>
      <c r="B3402" s="1">
        <f>Paths!$B$315</f>
        <v>0</v>
      </c>
      <c r="C3402" s="1">
        <v>7</v>
      </c>
      <c r="D3402" s="1">
        <v>315</v>
      </c>
      <c r="E3402" s="1">
        <f>IF(OR(Paths!$C$315=0,C3402=0),0,MAX(0,MIN(C3402*12,Paths!$E$315)-(C3402-1)*12))</f>
        <v>0</v>
      </c>
      <c r="F3402" s="1">
        <f>IF(OR(Paths!$C$315=0,C3402=0),0,12-E3402)</f>
        <v>0</v>
      </c>
      <c r="G3402" s="16">
        <f>IF(NOT(Paths!$C$315=1),0,IF(Paths!$P$315="Complete",E3402/12*(Paths!$J$315*(1+'Operating costs'!$B$51)^MAX(0,C3402-1)+Paths!$K$315*(1+'Operating costs'!$B$53)^MAX(0,C3402-1)),"n.a."))</f>
        <v>0</v>
      </c>
      <c r="H3402" s="16">
        <f>IF(NOT(Paths!$C$315=1),0,IF(Paths!$P$315="Complete",F3402/12*(Paths!$L$315*(1+IF(Paths!$D$315="EV",'Operating costs'!$B$52,'Operating costs'!$B$51))^MAX(0,C3402-1)+Paths!$M$315*(1+'Operating costs'!$B$53)^MAX(0,C3402-1)),"n.a."))</f>
        <v>0</v>
      </c>
      <c r="I3402" s="16">
        <f>IF(NOT(Paths!$C$315=1),0,IF(Paths!$P$315="Complete",IF(IF(Paths!$E$315=0,C3402=0,AND(C3402&gt;0,Paths!$E$315&gt;(C3402-1)*12,Paths!$E$315&lt;=C3402*12)),Paths!$G$315,0),"n.a."))</f>
        <v>0</v>
      </c>
      <c r="J3402" s="16">
        <f>IF(NOT(Paths!$C$315=1),0,IF(Paths!$P$315="Complete",IF(IF(Paths!$E$315=0,C3402=0,AND(C3402&gt;0,Paths!$E$315&gt;(C3402-1)*12,Paths!$E$315&lt;=C3402*12)),Paths!$H$315,0),"n.a."))</f>
        <v>0</v>
      </c>
      <c r="K3402" s="16">
        <f>IF(NOT(Paths!$C$315=1),0,IF(Paths!$P$315="Complete",IF(IF(Paths!$O$315=0,C3402=0,AND(C3402&gt;0,Paths!$O$315&gt;(C3402-1)*12,Paths!$O$315&lt;=C3402*12)),Paths!$N$315,0),"n.a."))</f>
        <v>0</v>
      </c>
      <c r="L3402" s="16">
        <f>IF(NOT(Paths!$C$315=1),0,IF(Paths!$P$315="Complete",IF(C3402=10,Paths!$I$315,0),"n.a."))</f>
        <v>0</v>
      </c>
      <c r="M3402" s="16">
        <f>IF(NOT(Paths!$C$315=1),0,IF(Paths!$P$315="Complete",IF(AND(Paths!$D$315="EV",Paths!$E$315&lt;120,Paths!$E$315+'Operating costs'!$B$65&gt;Paths!$E$315,Paths!$E$315+'Operating costs'!$B$65&lt;=120,IF(Paths!$E$315+'Operating costs'!$B$65=0,C3402=0,AND(C3402&gt;0,Paths!$E$315+'Operating costs'!$B$65&gt;(C3402-1)*12,Paths!$E$315+'Operating costs'!$B$65&lt;=C3402*12))),'Operating costs'!$B$64,0)+IF(AND('Operating costs'!$B$67&gt;0,'Operating costs'!$B$67&lt;=120,OR(Paths!$D$315="ICE",'Operating costs'!$B$67&lt;=Paths!$E$315),IF('Operating costs'!$B$67=0,C3402=0,AND(C3402&gt;0,'Operating costs'!$B$67&gt;(C3402-1)*12,'Operating costs'!$B$67&lt;=C3402*12))),'Operating costs'!$B$66,0),"n.a."))</f>
        <v>0</v>
      </c>
      <c r="N3402" s="16">
        <f>IF(NOT(Paths!$C$315=1),0,IF(Paths!$P$315="Complete",SUM(G3402:I3402)-J3402-K3402-L3402+M3402+IF(C3402=0,Paths!$F$315,0)+IF(IF(Paths!$E$315=0,C3402=0,AND(C3402&gt;0,Paths!$E$315&gt;(C3402-1)*12,Paths!$E$315&lt;=C3402*12)),VLOOKUP(A3402,'Fleet register'!$A$7:$S$106,16,FALSE),0),"n.a."))</f>
        <v>0</v>
      </c>
      <c r="O3402" s="16">
        <f>IF(NOT(Paths!$C$315=1),0,IF(Paths!$P$315="Complete",N3402-IF(C3402=0,Paths!$F$315,0),"n.a."))</f>
        <v>0</v>
      </c>
      <c r="P3402" s="16">
        <f>IF(NOT(Paths!$C$315=1),0,IF(Paths!$P$315="Complete",O3402+L3402,"n.a."))</f>
        <v>0</v>
      </c>
      <c r="Q3402" s="16">
        <f>IF(NOT(Paths!$C$315=1),0,IF(Paths!$P$315="Complete",N3402*(1+'Operating costs'!$B$54)^-C3402,"n.a."))</f>
        <v>0</v>
      </c>
      <c r="R3402" s="16">
        <f>IF(NOT(Paths!$C$315=1),0,IF(Paths!$P$315="Complete",IF(AND(C3402=0,Paths!$E$315=0),I3402-J3402-K3402+VLOOKUP(A3402,'Fleet register'!$A$7:$S$106,15,FALSE)+VLOOKUP(A3402,'Fleet register'!$A$7:$S$106,16,FALSE),0),"n.a."))</f>
        <v>0</v>
      </c>
      <c r="S3402" s="1">
        <f>IF(NOT(Paths!$C$315=1),0,IF(Paths!$P$315="Complete",IF(C3402=0,0,Paths!$S$315*Paths!$R$315),"n.a."))</f>
        <v>0</v>
      </c>
      <c r="T3402" s="1">
        <f>IF(NOT(Paths!$C$315=1),0,IF(Paths!$P$315="Complete",IF(C3402=0,0,VLOOKUP(A3402,'Fleet register'!$A$7:$S$106,9,FALSE)*Paths!$R$315),"n.a."))</f>
        <v>0</v>
      </c>
    </row>
    <row r="3403" spans="1:20" ht="24" customHeight="1">
      <c r="A3403" s="1" t="str">
        <f>Paths!$A$315</f>
        <v>T078</v>
      </c>
      <c r="B3403" s="1">
        <f>Paths!$B$315</f>
        <v>0</v>
      </c>
      <c r="C3403" s="1">
        <v>8</v>
      </c>
      <c r="D3403" s="1">
        <v>315</v>
      </c>
      <c r="E3403" s="1">
        <f>IF(OR(Paths!$C$315=0,C3403=0),0,MAX(0,MIN(C3403*12,Paths!$E$315)-(C3403-1)*12))</f>
        <v>0</v>
      </c>
      <c r="F3403" s="1">
        <f>IF(OR(Paths!$C$315=0,C3403=0),0,12-E3403)</f>
        <v>0</v>
      </c>
      <c r="G3403" s="16">
        <f>IF(NOT(Paths!$C$315=1),0,IF(Paths!$P$315="Complete",E3403/12*(Paths!$J$315*(1+'Operating costs'!$B$51)^MAX(0,C3403-1)+Paths!$K$315*(1+'Operating costs'!$B$53)^MAX(0,C3403-1)),"n.a."))</f>
        <v>0</v>
      </c>
      <c r="H3403" s="16">
        <f>IF(NOT(Paths!$C$315=1),0,IF(Paths!$P$315="Complete",F3403/12*(Paths!$L$315*(1+IF(Paths!$D$315="EV",'Operating costs'!$B$52,'Operating costs'!$B$51))^MAX(0,C3403-1)+Paths!$M$315*(1+'Operating costs'!$B$53)^MAX(0,C3403-1)),"n.a."))</f>
        <v>0</v>
      </c>
      <c r="I3403" s="16">
        <f>IF(NOT(Paths!$C$315=1),0,IF(Paths!$P$315="Complete",IF(IF(Paths!$E$315=0,C3403=0,AND(C3403&gt;0,Paths!$E$315&gt;(C3403-1)*12,Paths!$E$315&lt;=C3403*12)),Paths!$G$315,0),"n.a."))</f>
        <v>0</v>
      </c>
      <c r="J3403" s="16">
        <f>IF(NOT(Paths!$C$315=1),0,IF(Paths!$P$315="Complete",IF(IF(Paths!$E$315=0,C3403=0,AND(C3403&gt;0,Paths!$E$315&gt;(C3403-1)*12,Paths!$E$315&lt;=C3403*12)),Paths!$H$315,0),"n.a."))</f>
        <v>0</v>
      </c>
      <c r="K3403" s="16">
        <f>IF(NOT(Paths!$C$315=1),0,IF(Paths!$P$315="Complete",IF(IF(Paths!$O$315=0,C3403=0,AND(C3403&gt;0,Paths!$O$315&gt;(C3403-1)*12,Paths!$O$315&lt;=C3403*12)),Paths!$N$315,0),"n.a."))</f>
        <v>0</v>
      </c>
      <c r="L3403" s="16">
        <f>IF(NOT(Paths!$C$315=1),0,IF(Paths!$P$315="Complete",IF(C3403=10,Paths!$I$315,0),"n.a."))</f>
        <v>0</v>
      </c>
      <c r="M3403" s="16">
        <f>IF(NOT(Paths!$C$315=1),0,IF(Paths!$P$315="Complete",IF(AND(Paths!$D$315="EV",Paths!$E$315&lt;120,Paths!$E$315+'Operating costs'!$B$65&gt;Paths!$E$315,Paths!$E$315+'Operating costs'!$B$65&lt;=120,IF(Paths!$E$315+'Operating costs'!$B$65=0,C3403=0,AND(C3403&gt;0,Paths!$E$315+'Operating costs'!$B$65&gt;(C3403-1)*12,Paths!$E$315+'Operating costs'!$B$65&lt;=C3403*12))),'Operating costs'!$B$64,0)+IF(AND('Operating costs'!$B$67&gt;0,'Operating costs'!$B$67&lt;=120,OR(Paths!$D$315="ICE",'Operating costs'!$B$67&lt;=Paths!$E$315),IF('Operating costs'!$B$67=0,C3403=0,AND(C3403&gt;0,'Operating costs'!$B$67&gt;(C3403-1)*12,'Operating costs'!$B$67&lt;=C3403*12))),'Operating costs'!$B$66,0),"n.a."))</f>
        <v>0</v>
      </c>
      <c r="N3403" s="16">
        <f>IF(NOT(Paths!$C$315=1),0,IF(Paths!$P$315="Complete",SUM(G3403:I3403)-J3403-K3403-L3403+M3403+IF(C3403=0,Paths!$F$315,0)+IF(IF(Paths!$E$315=0,C3403=0,AND(C3403&gt;0,Paths!$E$315&gt;(C3403-1)*12,Paths!$E$315&lt;=C3403*12)),VLOOKUP(A3403,'Fleet register'!$A$7:$S$106,16,FALSE),0),"n.a."))</f>
        <v>0</v>
      </c>
      <c r="O3403" s="16">
        <f>IF(NOT(Paths!$C$315=1),0,IF(Paths!$P$315="Complete",N3403-IF(C3403=0,Paths!$F$315,0),"n.a."))</f>
        <v>0</v>
      </c>
      <c r="P3403" s="16">
        <f>IF(NOT(Paths!$C$315=1),0,IF(Paths!$P$315="Complete",O3403+L3403,"n.a."))</f>
        <v>0</v>
      </c>
      <c r="Q3403" s="16">
        <f>IF(NOT(Paths!$C$315=1),0,IF(Paths!$P$315="Complete",N3403*(1+'Operating costs'!$B$54)^-C3403,"n.a."))</f>
        <v>0</v>
      </c>
      <c r="R3403" s="16">
        <f>IF(NOT(Paths!$C$315=1),0,IF(Paths!$P$315="Complete",IF(AND(C3403=0,Paths!$E$315=0),I3403-J3403-K3403+VLOOKUP(A3403,'Fleet register'!$A$7:$S$106,15,FALSE)+VLOOKUP(A3403,'Fleet register'!$A$7:$S$106,16,FALSE),0),"n.a."))</f>
        <v>0</v>
      </c>
      <c r="S3403" s="1">
        <f>IF(NOT(Paths!$C$315=1),0,IF(Paths!$P$315="Complete",IF(C3403=0,0,Paths!$S$315*Paths!$R$315),"n.a."))</f>
        <v>0</v>
      </c>
      <c r="T3403" s="1">
        <f>IF(NOT(Paths!$C$315=1),0,IF(Paths!$P$315="Complete",IF(C3403=0,0,VLOOKUP(A3403,'Fleet register'!$A$7:$S$106,9,FALSE)*Paths!$R$315),"n.a."))</f>
        <v>0</v>
      </c>
    </row>
    <row r="3404" spans="1:20" ht="24" customHeight="1">
      <c r="A3404" s="1" t="str">
        <f>Paths!$A$315</f>
        <v>T078</v>
      </c>
      <c r="B3404" s="1">
        <f>Paths!$B$315</f>
        <v>0</v>
      </c>
      <c r="C3404" s="1">
        <v>9</v>
      </c>
      <c r="D3404" s="1">
        <v>315</v>
      </c>
      <c r="E3404" s="1">
        <f>IF(OR(Paths!$C$315=0,C3404=0),0,MAX(0,MIN(C3404*12,Paths!$E$315)-(C3404-1)*12))</f>
        <v>0</v>
      </c>
      <c r="F3404" s="1">
        <f>IF(OR(Paths!$C$315=0,C3404=0),0,12-E3404)</f>
        <v>0</v>
      </c>
      <c r="G3404" s="16">
        <f>IF(NOT(Paths!$C$315=1),0,IF(Paths!$P$315="Complete",E3404/12*(Paths!$J$315*(1+'Operating costs'!$B$51)^MAX(0,C3404-1)+Paths!$K$315*(1+'Operating costs'!$B$53)^MAX(0,C3404-1)),"n.a."))</f>
        <v>0</v>
      </c>
      <c r="H3404" s="16">
        <f>IF(NOT(Paths!$C$315=1),0,IF(Paths!$P$315="Complete",F3404/12*(Paths!$L$315*(1+IF(Paths!$D$315="EV",'Operating costs'!$B$52,'Operating costs'!$B$51))^MAX(0,C3404-1)+Paths!$M$315*(1+'Operating costs'!$B$53)^MAX(0,C3404-1)),"n.a."))</f>
        <v>0</v>
      </c>
      <c r="I3404" s="16">
        <f>IF(NOT(Paths!$C$315=1),0,IF(Paths!$P$315="Complete",IF(IF(Paths!$E$315=0,C3404=0,AND(C3404&gt;0,Paths!$E$315&gt;(C3404-1)*12,Paths!$E$315&lt;=C3404*12)),Paths!$G$315,0),"n.a."))</f>
        <v>0</v>
      </c>
      <c r="J3404" s="16">
        <f>IF(NOT(Paths!$C$315=1),0,IF(Paths!$P$315="Complete",IF(IF(Paths!$E$315=0,C3404=0,AND(C3404&gt;0,Paths!$E$315&gt;(C3404-1)*12,Paths!$E$315&lt;=C3404*12)),Paths!$H$315,0),"n.a."))</f>
        <v>0</v>
      </c>
      <c r="K3404" s="16">
        <f>IF(NOT(Paths!$C$315=1),0,IF(Paths!$P$315="Complete",IF(IF(Paths!$O$315=0,C3404=0,AND(C3404&gt;0,Paths!$O$315&gt;(C3404-1)*12,Paths!$O$315&lt;=C3404*12)),Paths!$N$315,0),"n.a."))</f>
        <v>0</v>
      </c>
      <c r="L3404" s="16">
        <f>IF(NOT(Paths!$C$315=1),0,IF(Paths!$P$315="Complete",IF(C3404=10,Paths!$I$315,0),"n.a."))</f>
        <v>0</v>
      </c>
      <c r="M3404" s="16">
        <f>IF(NOT(Paths!$C$315=1),0,IF(Paths!$P$315="Complete",IF(AND(Paths!$D$315="EV",Paths!$E$315&lt;120,Paths!$E$315+'Operating costs'!$B$65&gt;Paths!$E$315,Paths!$E$315+'Operating costs'!$B$65&lt;=120,IF(Paths!$E$315+'Operating costs'!$B$65=0,C3404=0,AND(C3404&gt;0,Paths!$E$315+'Operating costs'!$B$65&gt;(C3404-1)*12,Paths!$E$315+'Operating costs'!$B$65&lt;=C3404*12))),'Operating costs'!$B$64,0)+IF(AND('Operating costs'!$B$67&gt;0,'Operating costs'!$B$67&lt;=120,OR(Paths!$D$315="ICE",'Operating costs'!$B$67&lt;=Paths!$E$315),IF('Operating costs'!$B$67=0,C3404=0,AND(C3404&gt;0,'Operating costs'!$B$67&gt;(C3404-1)*12,'Operating costs'!$B$67&lt;=C3404*12))),'Operating costs'!$B$66,0),"n.a."))</f>
        <v>0</v>
      </c>
      <c r="N3404" s="16">
        <f>IF(NOT(Paths!$C$315=1),0,IF(Paths!$P$315="Complete",SUM(G3404:I3404)-J3404-K3404-L3404+M3404+IF(C3404=0,Paths!$F$315,0)+IF(IF(Paths!$E$315=0,C3404=0,AND(C3404&gt;0,Paths!$E$315&gt;(C3404-1)*12,Paths!$E$315&lt;=C3404*12)),VLOOKUP(A3404,'Fleet register'!$A$7:$S$106,16,FALSE),0),"n.a."))</f>
        <v>0</v>
      </c>
      <c r="O3404" s="16">
        <f>IF(NOT(Paths!$C$315=1),0,IF(Paths!$P$315="Complete",N3404-IF(C3404=0,Paths!$F$315,0),"n.a."))</f>
        <v>0</v>
      </c>
      <c r="P3404" s="16">
        <f>IF(NOT(Paths!$C$315=1),0,IF(Paths!$P$315="Complete",O3404+L3404,"n.a."))</f>
        <v>0</v>
      </c>
      <c r="Q3404" s="16">
        <f>IF(NOT(Paths!$C$315=1),0,IF(Paths!$P$315="Complete",N3404*(1+'Operating costs'!$B$54)^-C3404,"n.a."))</f>
        <v>0</v>
      </c>
      <c r="R3404" s="16">
        <f>IF(NOT(Paths!$C$315=1),0,IF(Paths!$P$315="Complete",IF(AND(C3404=0,Paths!$E$315=0),I3404-J3404-K3404+VLOOKUP(A3404,'Fleet register'!$A$7:$S$106,15,FALSE)+VLOOKUP(A3404,'Fleet register'!$A$7:$S$106,16,FALSE),0),"n.a."))</f>
        <v>0</v>
      </c>
      <c r="S3404" s="1">
        <f>IF(NOT(Paths!$C$315=1),0,IF(Paths!$P$315="Complete",IF(C3404=0,0,Paths!$S$315*Paths!$R$315),"n.a."))</f>
        <v>0</v>
      </c>
      <c r="T3404" s="1">
        <f>IF(NOT(Paths!$C$315=1),0,IF(Paths!$P$315="Complete",IF(C3404=0,0,VLOOKUP(A3404,'Fleet register'!$A$7:$S$106,9,FALSE)*Paths!$R$315),"n.a."))</f>
        <v>0</v>
      </c>
    </row>
    <row r="3405" spans="1:20" ht="24" customHeight="1">
      <c r="A3405" s="1" t="str">
        <f>Paths!$A$315</f>
        <v>T078</v>
      </c>
      <c r="B3405" s="1">
        <f>Paths!$B$315</f>
        <v>0</v>
      </c>
      <c r="C3405" s="1">
        <v>10</v>
      </c>
      <c r="D3405" s="1">
        <v>315</v>
      </c>
      <c r="E3405" s="1">
        <f>IF(OR(Paths!$C$315=0,C3405=0),0,MAX(0,MIN(C3405*12,Paths!$E$315)-(C3405-1)*12))</f>
        <v>0</v>
      </c>
      <c r="F3405" s="1">
        <f>IF(OR(Paths!$C$315=0,C3405=0),0,12-E3405)</f>
        <v>0</v>
      </c>
      <c r="G3405" s="16">
        <f>IF(NOT(Paths!$C$315=1),0,IF(Paths!$P$315="Complete",E3405/12*(Paths!$J$315*(1+'Operating costs'!$B$51)^MAX(0,C3405-1)+Paths!$K$315*(1+'Operating costs'!$B$53)^MAX(0,C3405-1)),"n.a."))</f>
        <v>0</v>
      </c>
      <c r="H3405" s="16">
        <f>IF(NOT(Paths!$C$315=1),0,IF(Paths!$P$315="Complete",F3405/12*(Paths!$L$315*(1+IF(Paths!$D$315="EV",'Operating costs'!$B$52,'Operating costs'!$B$51))^MAX(0,C3405-1)+Paths!$M$315*(1+'Operating costs'!$B$53)^MAX(0,C3405-1)),"n.a."))</f>
        <v>0</v>
      </c>
      <c r="I3405" s="16">
        <f>IF(NOT(Paths!$C$315=1),0,IF(Paths!$P$315="Complete",IF(IF(Paths!$E$315=0,C3405=0,AND(C3405&gt;0,Paths!$E$315&gt;(C3405-1)*12,Paths!$E$315&lt;=C3405*12)),Paths!$G$315,0),"n.a."))</f>
        <v>0</v>
      </c>
      <c r="J3405" s="16">
        <f>IF(NOT(Paths!$C$315=1),0,IF(Paths!$P$315="Complete",IF(IF(Paths!$E$315=0,C3405=0,AND(C3405&gt;0,Paths!$E$315&gt;(C3405-1)*12,Paths!$E$315&lt;=C3405*12)),Paths!$H$315,0),"n.a."))</f>
        <v>0</v>
      </c>
      <c r="K3405" s="16">
        <f>IF(NOT(Paths!$C$315=1),0,IF(Paths!$P$315="Complete",IF(IF(Paths!$O$315=0,C3405=0,AND(C3405&gt;0,Paths!$O$315&gt;(C3405-1)*12,Paths!$O$315&lt;=C3405*12)),Paths!$N$315,0),"n.a."))</f>
        <v>0</v>
      </c>
      <c r="L3405" s="16">
        <f>IF(NOT(Paths!$C$315=1),0,IF(Paths!$P$315="Complete",IF(C3405=10,Paths!$I$315,0),"n.a."))</f>
        <v>0</v>
      </c>
      <c r="M3405" s="16">
        <f>IF(NOT(Paths!$C$315=1),0,IF(Paths!$P$315="Complete",IF(AND(Paths!$D$315="EV",Paths!$E$315&lt;120,Paths!$E$315+'Operating costs'!$B$65&gt;Paths!$E$315,Paths!$E$315+'Operating costs'!$B$65&lt;=120,IF(Paths!$E$315+'Operating costs'!$B$65=0,C3405=0,AND(C3405&gt;0,Paths!$E$315+'Operating costs'!$B$65&gt;(C3405-1)*12,Paths!$E$315+'Operating costs'!$B$65&lt;=C3405*12))),'Operating costs'!$B$64,0)+IF(AND('Operating costs'!$B$67&gt;0,'Operating costs'!$B$67&lt;=120,OR(Paths!$D$315="ICE",'Operating costs'!$B$67&lt;=Paths!$E$315),IF('Operating costs'!$B$67=0,C3405=0,AND(C3405&gt;0,'Operating costs'!$B$67&gt;(C3405-1)*12,'Operating costs'!$B$67&lt;=C3405*12))),'Operating costs'!$B$66,0),"n.a."))</f>
        <v>0</v>
      </c>
      <c r="N3405" s="16">
        <f>IF(NOT(Paths!$C$315=1),0,IF(Paths!$P$315="Complete",SUM(G3405:I3405)-J3405-K3405-L3405+M3405+IF(C3405=0,Paths!$F$315,0)+IF(IF(Paths!$E$315=0,C3405=0,AND(C3405&gt;0,Paths!$E$315&gt;(C3405-1)*12,Paths!$E$315&lt;=C3405*12)),VLOOKUP(A3405,'Fleet register'!$A$7:$S$106,16,FALSE),0),"n.a."))</f>
        <v>0</v>
      </c>
      <c r="O3405" s="16">
        <f>IF(NOT(Paths!$C$315=1),0,IF(Paths!$P$315="Complete",N3405-IF(C3405=0,Paths!$F$315,0),"n.a."))</f>
        <v>0</v>
      </c>
      <c r="P3405" s="16">
        <f>IF(NOT(Paths!$C$315=1),0,IF(Paths!$P$315="Complete",O3405+L3405,"n.a."))</f>
        <v>0</v>
      </c>
      <c r="Q3405" s="16">
        <f>IF(NOT(Paths!$C$315=1),0,IF(Paths!$P$315="Complete",N3405*(1+'Operating costs'!$B$54)^-C3405,"n.a."))</f>
        <v>0</v>
      </c>
      <c r="R3405" s="16">
        <f>IF(NOT(Paths!$C$315=1),0,IF(Paths!$P$315="Complete",IF(AND(C3405=0,Paths!$E$315=0),I3405-J3405-K3405+VLOOKUP(A3405,'Fleet register'!$A$7:$S$106,15,FALSE)+VLOOKUP(A3405,'Fleet register'!$A$7:$S$106,16,FALSE),0),"n.a."))</f>
        <v>0</v>
      </c>
      <c r="S3405" s="1">
        <f>IF(NOT(Paths!$C$315=1),0,IF(Paths!$P$315="Complete",IF(C3405=0,0,Paths!$S$315*Paths!$R$315),"n.a."))</f>
        <v>0</v>
      </c>
      <c r="T3405" s="1">
        <f>IF(NOT(Paths!$C$315=1),0,IF(Paths!$P$315="Complete",IF(C3405=0,0,VLOOKUP(A3405,'Fleet register'!$A$7:$S$106,9,FALSE)*Paths!$R$315),"n.a."))</f>
        <v>0</v>
      </c>
    </row>
    <row r="3406" spans="1:20" ht="24" customHeight="1">
      <c r="A3406" s="1" t="str">
        <f>Paths!$A$316</f>
        <v>T078</v>
      </c>
      <c r="B3406" s="1">
        <f>Paths!$B$316</f>
        <v>1</v>
      </c>
      <c r="C3406" s="1">
        <v>0</v>
      </c>
      <c r="D3406" s="1">
        <v>316</v>
      </c>
      <c r="E3406" s="1">
        <f>IF(OR(Paths!$C$316=0,C3406=0),0,MAX(0,MIN(C3406*12,Paths!$E$316)-(C3406-1)*12))</f>
        <v>0</v>
      </c>
      <c r="F3406" s="1">
        <f>IF(OR(Paths!$C$316=0,C3406=0),0,12-E3406)</f>
        <v>0</v>
      </c>
      <c r="G3406" s="16">
        <f>IF(NOT(Paths!$C$316=1),0,IF(Paths!$P$316="Complete",E3406/12*(Paths!$J$316*(1+'Operating costs'!$B$51)^MAX(0,C3406-1)+Paths!$K$316*(1+'Operating costs'!$B$53)^MAX(0,C3406-1)),"n.a."))</f>
        <v>0</v>
      </c>
      <c r="H3406" s="16">
        <f>IF(NOT(Paths!$C$316=1),0,IF(Paths!$P$316="Complete",F3406/12*(Paths!$L$316*(1+IF(Paths!$D$316="EV",'Operating costs'!$B$52,'Operating costs'!$B$51))^MAX(0,C3406-1)+Paths!$M$316*(1+'Operating costs'!$B$53)^MAX(0,C3406-1)),"n.a."))</f>
        <v>0</v>
      </c>
      <c r="I3406" s="16">
        <f>IF(NOT(Paths!$C$316=1),0,IF(Paths!$P$316="Complete",IF(IF(Paths!$E$316=0,C3406=0,AND(C3406&gt;0,Paths!$E$316&gt;(C3406-1)*12,Paths!$E$316&lt;=C3406*12)),Paths!$G$316,0),"n.a."))</f>
        <v>0</v>
      </c>
      <c r="J3406" s="16">
        <f>IF(NOT(Paths!$C$316=1),0,IF(Paths!$P$316="Complete",IF(IF(Paths!$E$316=0,C3406=0,AND(C3406&gt;0,Paths!$E$316&gt;(C3406-1)*12,Paths!$E$316&lt;=C3406*12)),Paths!$H$316,0),"n.a."))</f>
        <v>0</v>
      </c>
      <c r="K3406" s="16">
        <f>IF(NOT(Paths!$C$316=1),0,IF(Paths!$P$316="Complete",IF(IF(Paths!$O$316=0,C3406=0,AND(C3406&gt;0,Paths!$O$316&gt;(C3406-1)*12,Paths!$O$316&lt;=C3406*12)),Paths!$N$316,0),"n.a."))</f>
        <v>0</v>
      </c>
      <c r="L3406" s="16">
        <f>IF(NOT(Paths!$C$316=1),0,IF(Paths!$P$316="Complete",IF(C3406=10,Paths!$I$316,0),"n.a."))</f>
        <v>0</v>
      </c>
      <c r="M3406" s="16">
        <f>IF(NOT(Paths!$C$316=1),0,IF(Paths!$P$316="Complete",IF(AND(Paths!$D$316="EV",Paths!$E$316&lt;120,Paths!$E$316+'Operating costs'!$B$65&gt;Paths!$E$316,Paths!$E$316+'Operating costs'!$B$65&lt;=120,IF(Paths!$E$316+'Operating costs'!$B$65=0,C3406=0,AND(C3406&gt;0,Paths!$E$316+'Operating costs'!$B$65&gt;(C3406-1)*12,Paths!$E$316+'Operating costs'!$B$65&lt;=C3406*12))),'Operating costs'!$B$64,0)+IF(AND('Operating costs'!$B$67&gt;0,'Operating costs'!$B$67&lt;=120,OR(Paths!$D$316="ICE",'Operating costs'!$B$67&lt;=Paths!$E$316),IF('Operating costs'!$B$67=0,C3406=0,AND(C3406&gt;0,'Operating costs'!$B$67&gt;(C3406-1)*12,'Operating costs'!$B$67&lt;=C3406*12))),'Operating costs'!$B$66,0),"n.a."))</f>
        <v>0</v>
      </c>
      <c r="N3406" s="16">
        <f>IF(NOT(Paths!$C$316=1),0,IF(Paths!$P$316="Complete",SUM(G3406:I3406)-J3406-K3406-L3406+M3406+IF(C3406=0,Paths!$F$316,0)+IF(IF(Paths!$E$316=0,C3406=0,AND(C3406&gt;0,Paths!$E$316&gt;(C3406-1)*12,Paths!$E$316&lt;=C3406*12)),VLOOKUP(A3406,'Fleet register'!$A$7:$S$106,16,FALSE),0),"n.a."))</f>
        <v>0</v>
      </c>
      <c r="O3406" s="16">
        <f>IF(NOT(Paths!$C$316=1),0,IF(Paths!$P$316="Complete",N3406-IF(C3406=0,Paths!$F$316,0),"n.a."))</f>
        <v>0</v>
      </c>
      <c r="P3406" s="16">
        <f>IF(NOT(Paths!$C$316=1),0,IF(Paths!$P$316="Complete",O3406+L3406,"n.a."))</f>
        <v>0</v>
      </c>
      <c r="Q3406" s="16">
        <f>IF(NOT(Paths!$C$316=1),0,IF(Paths!$P$316="Complete",N3406*(1+'Operating costs'!$B$54)^-C3406,"n.a."))</f>
        <v>0</v>
      </c>
      <c r="R3406" s="16">
        <f>IF(NOT(Paths!$C$316=1),0,IF(Paths!$P$316="Complete",IF(AND(C3406=0,Paths!$E$316=0),I3406-J3406-K3406+VLOOKUP(A3406,'Fleet register'!$A$7:$S$106,15,FALSE)+VLOOKUP(A3406,'Fleet register'!$A$7:$S$106,16,FALSE),0),"n.a."))</f>
        <v>0</v>
      </c>
      <c r="S3406" s="1">
        <f>IF(NOT(Paths!$C$316=1),0,IF(Paths!$P$316="Complete",IF(C3406=0,0,Paths!$S$316*Paths!$R$316),"n.a."))</f>
        <v>0</v>
      </c>
      <c r="T3406" s="1">
        <f>IF(NOT(Paths!$C$316=1),0,IF(Paths!$P$316="Complete",IF(C3406=0,0,VLOOKUP(A3406,'Fleet register'!$A$7:$S$106,9,FALSE)*Paths!$R$316),"n.a."))</f>
        <v>0</v>
      </c>
    </row>
    <row r="3407" spans="1:20" ht="24" customHeight="1">
      <c r="A3407" s="1" t="str">
        <f>Paths!$A$316</f>
        <v>T078</v>
      </c>
      <c r="B3407" s="1">
        <f>Paths!$B$316</f>
        <v>1</v>
      </c>
      <c r="C3407" s="1">
        <v>1</v>
      </c>
      <c r="D3407" s="1">
        <v>316</v>
      </c>
      <c r="E3407" s="1">
        <f>IF(OR(Paths!$C$316=0,C3407=0),0,MAX(0,MIN(C3407*12,Paths!$E$316)-(C3407-1)*12))</f>
        <v>0</v>
      </c>
      <c r="F3407" s="1">
        <f>IF(OR(Paths!$C$316=0,C3407=0),0,12-E3407)</f>
        <v>0</v>
      </c>
      <c r="G3407" s="16">
        <f>IF(NOT(Paths!$C$316=1),0,IF(Paths!$P$316="Complete",E3407/12*(Paths!$J$316*(1+'Operating costs'!$B$51)^MAX(0,C3407-1)+Paths!$K$316*(1+'Operating costs'!$B$53)^MAX(0,C3407-1)),"n.a."))</f>
        <v>0</v>
      </c>
      <c r="H3407" s="16">
        <f>IF(NOT(Paths!$C$316=1),0,IF(Paths!$P$316="Complete",F3407/12*(Paths!$L$316*(1+IF(Paths!$D$316="EV",'Operating costs'!$B$52,'Operating costs'!$B$51))^MAX(0,C3407-1)+Paths!$M$316*(1+'Operating costs'!$B$53)^MAX(0,C3407-1)),"n.a."))</f>
        <v>0</v>
      </c>
      <c r="I3407" s="16">
        <f>IF(NOT(Paths!$C$316=1),0,IF(Paths!$P$316="Complete",IF(IF(Paths!$E$316=0,C3407=0,AND(C3407&gt;0,Paths!$E$316&gt;(C3407-1)*12,Paths!$E$316&lt;=C3407*12)),Paths!$G$316,0),"n.a."))</f>
        <v>0</v>
      </c>
      <c r="J3407" s="16">
        <f>IF(NOT(Paths!$C$316=1),0,IF(Paths!$P$316="Complete",IF(IF(Paths!$E$316=0,C3407=0,AND(C3407&gt;0,Paths!$E$316&gt;(C3407-1)*12,Paths!$E$316&lt;=C3407*12)),Paths!$H$316,0),"n.a."))</f>
        <v>0</v>
      </c>
      <c r="K3407" s="16">
        <f>IF(NOT(Paths!$C$316=1),0,IF(Paths!$P$316="Complete",IF(IF(Paths!$O$316=0,C3407=0,AND(C3407&gt;0,Paths!$O$316&gt;(C3407-1)*12,Paths!$O$316&lt;=C3407*12)),Paths!$N$316,0),"n.a."))</f>
        <v>0</v>
      </c>
      <c r="L3407" s="16">
        <f>IF(NOT(Paths!$C$316=1),0,IF(Paths!$P$316="Complete",IF(C3407=10,Paths!$I$316,0),"n.a."))</f>
        <v>0</v>
      </c>
      <c r="M3407" s="16">
        <f>IF(NOT(Paths!$C$316=1),0,IF(Paths!$P$316="Complete",IF(AND(Paths!$D$316="EV",Paths!$E$316&lt;120,Paths!$E$316+'Operating costs'!$B$65&gt;Paths!$E$316,Paths!$E$316+'Operating costs'!$B$65&lt;=120,IF(Paths!$E$316+'Operating costs'!$B$65=0,C3407=0,AND(C3407&gt;0,Paths!$E$316+'Operating costs'!$B$65&gt;(C3407-1)*12,Paths!$E$316+'Operating costs'!$B$65&lt;=C3407*12))),'Operating costs'!$B$64,0)+IF(AND('Operating costs'!$B$67&gt;0,'Operating costs'!$B$67&lt;=120,OR(Paths!$D$316="ICE",'Operating costs'!$B$67&lt;=Paths!$E$316),IF('Operating costs'!$B$67=0,C3407=0,AND(C3407&gt;0,'Operating costs'!$B$67&gt;(C3407-1)*12,'Operating costs'!$B$67&lt;=C3407*12))),'Operating costs'!$B$66,0),"n.a."))</f>
        <v>0</v>
      </c>
      <c r="N3407" s="16">
        <f>IF(NOT(Paths!$C$316=1),0,IF(Paths!$P$316="Complete",SUM(G3407:I3407)-J3407-K3407-L3407+M3407+IF(C3407=0,Paths!$F$316,0)+IF(IF(Paths!$E$316=0,C3407=0,AND(C3407&gt;0,Paths!$E$316&gt;(C3407-1)*12,Paths!$E$316&lt;=C3407*12)),VLOOKUP(A3407,'Fleet register'!$A$7:$S$106,16,FALSE),0),"n.a."))</f>
        <v>0</v>
      </c>
      <c r="O3407" s="16">
        <f>IF(NOT(Paths!$C$316=1),0,IF(Paths!$P$316="Complete",N3407-IF(C3407=0,Paths!$F$316,0),"n.a."))</f>
        <v>0</v>
      </c>
      <c r="P3407" s="16">
        <f>IF(NOT(Paths!$C$316=1),0,IF(Paths!$P$316="Complete",O3407+L3407,"n.a."))</f>
        <v>0</v>
      </c>
      <c r="Q3407" s="16">
        <f>IF(NOT(Paths!$C$316=1),0,IF(Paths!$P$316="Complete",N3407*(1+'Operating costs'!$B$54)^-C3407,"n.a."))</f>
        <v>0</v>
      </c>
      <c r="R3407" s="16">
        <f>IF(NOT(Paths!$C$316=1),0,IF(Paths!$P$316="Complete",IF(AND(C3407=0,Paths!$E$316=0),I3407-J3407-K3407+VLOOKUP(A3407,'Fleet register'!$A$7:$S$106,15,FALSE)+VLOOKUP(A3407,'Fleet register'!$A$7:$S$106,16,FALSE),0),"n.a."))</f>
        <v>0</v>
      </c>
      <c r="S3407" s="1">
        <f>IF(NOT(Paths!$C$316=1),0,IF(Paths!$P$316="Complete",IF(C3407=0,0,Paths!$S$316*Paths!$R$316),"n.a."))</f>
        <v>0</v>
      </c>
      <c r="T3407" s="1">
        <f>IF(NOT(Paths!$C$316=1),0,IF(Paths!$P$316="Complete",IF(C3407=0,0,VLOOKUP(A3407,'Fleet register'!$A$7:$S$106,9,FALSE)*Paths!$R$316),"n.a."))</f>
        <v>0</v>
      </c>
    </row>
    <row r="3408" spans="1:20" ht="24" customHeight="1">
      <c r="A3408" s="1" t="str">
        <f>Paths!$A$316</f>
        <v>T078</v>
      </c>
      <c r="B3408" s="1">
        <f>Paths!$B$316</f>
        <v>1</v>
      </c>
      <c r="C3408" s="1">
        <v>2</v>
      </c>
      <c r="D3408" s="1">
        <v>316</v>
      </c>
      <c r="E3408" s="1">
        <f>IF(OR(Paths!$C$316=0,C3408=0),0,MAX(0,MIN(C3408*12,Paths!$E$316)-(C3408-1)*12))</f>
        <v>0</v>
      </c>
      <c r="F3408" s="1">
        <f>IF(OR(Paths!$C$316=0,C3408=0),0,12-E3408)</f>
        <v>0</v>
      </c>
      <c r="G3408" s="16">
        <f>IF(NOT(Paths!$C$316=1),0,IF(Paths!$P$316="Complete",E3408/12*(Paths!$J$316*(1+'Operating costs'!$B$51)^MAX(0,C3408-1)+Paths!$K$316*(1+'Operating costs'!$B$53)^MAX(0,C3408-1)),"n.a."))</f>
        <v>0</v>
      </c>
      <c r="H3408" s="16">
        <f>IF(NOT(Paths!$C$316=1),0,IF(Paths!$P$316="Complete",F3408/12*(Paths!$L$316*(1+IF(Paths!$D$316="EV",'Operating costs'!$B$52,'Operating costs'!$B$51))^MAX(0,C3408-1)+Paths!$M$316*(1+'Operating costs'!$B$53)^MAX(0,C3408-1)),"n.a."))</f>
        <v>0</v>
      </c>
      <c r="I3408" s="16">
        <f>IF(NOT(Paths!$C$316=1),0,IF(Paths!$P$316="Complete",IF(IF(Paths!$E$316=0,C3408=0,AND(C3408&gt;0,Paths!$E$316&gt;(C3408-1)*12,Paths!$E$316&lt;=C3408*12)),Paths!$G$316,0),"n.a."))</f>
        <v>0</v>
      </c>
      <c r="J3408" s="16">
        <f>IF(NOT(Paths!$C$316=1),0,IF(Paths!$P$316="Complete",IF(IF(Paths!$E$316=0,C3408=0,AND(C3408&gt;0,Paths!$E$316&gt;(C3408-1)*12,Paths!$E$316&lt;=C3408*12)),Paths!$H$316,0),"n.a."))</f>
        <v>0</v>
      </c>
      <c r="K3408" s="16">
        <f>IF(NOT(Paths!$C$316=1),0,IF(Paths!$P$316="Complete",IF(IF(Paths!$O$316=0,C3408=0,AND(C3408&gt;0,Paths!$O$316&gt;(C3408-1)*12,Paths!$O$316&lt;=C3408*12)),Paths!$N$316,0),"n.a."))</f>
        <v>0</v>
      </c>
      <c r="L3408" s="16">
        <f>IF(NOT(Paths!$C$316=1),0,IF(Paths!$P$316="Complete",IF(C3408=10,Paths!$I$316,0),"n.a."))</f>
        <v>0</v>
      </c>
      <c r="M3408" s="16">
        <f>IF(NOT(Paths!$C$316=1),0,IF(Paths!$P$316="Complete",IF(AND(Paths!$D$316="EV",Paths!$E$316&lt;120,Paths!$E$316+'Operating costs'!$B$65&gt;Paths!$E$316,Paths!$E$316+'Operating costs'!$B$65&lt;=120,IF(Paths!$E$316+'Operating costs'!$B$65=0,C3408=0,AND(C3408&gt;0,Paths!$E$316+'Operating costs'!$B$65&gt;(C3408-1)*12,Paths!$E$316+'Operating costs'!$B$65&lt;=C3408*12))),'Operating costs'!$B$64,0)+IF(AND('Operating costs'!$B$67&gt;0,'Operating costs'!$B$67&lt;=120,OR(Paths!$D$316="ICE",'Operating costs'!$B$67&lt;=Paths!$E$316),IF('Operating costs'!$B$67=0,C3408=0,AND(C3408&gt;0,'Operating costs'!$B$67&gt;(C3408-1)*12,'Operating costs'!$B$67&lt;=C3408*12))),'Operating costs'!$B$66,0),"n.a."))</f>
        <v>0</v>
      </c>
      <c r="N3408" s="16">
        <f>IF(NOT(Paths!$C$316=1),0,IF(Paths!$P$316="Complete",SUM(G3408:I3408)-J3408-K3408-L3408+M3408+IF(C3408=0,Paths!$F$316,0)+IF(IF(Paths!$E$316=0,C3408=0,AND(C3408&gt;0,Paths!$E$316&gt;(C3408-1)*12,Paths!$E$316&lt;=C3408*12)),VLOOKUP(A3408,'Fleet register'!$A$7:$S$106,16,FALSE),0),"n.a."))</f>
        <v>0</v>
      </c>
      <c r="O3408" s="16">
        <f>IF(NOT(Paths!$C$316=1),0,IF(Paths!$P$316="Complete",N3408-IF(C3408=0,Paths!$F$316,0),"n.a."))</f>
        <v>0</v>
      </c>
      <c r="P3408" s="16">
        <f>IF(NOT(Paths!$C$316=1),0,IF(Paths!$P$316="Complete",O3408+L3408,"n.a."))</f>
        <v>0</v>
      </c>
      <c r="Q3408" s="16">
        <f>IF(NOT(Paths!$C$316=1),0,IF(Paths!$P$316="Complete",N3408*(1+'Operating costs'!$B$54)^-C3408,"n.a."))</f>
        <v>0</v>
      </c>
      <c r="R3408" s="16">
        <f>IF(NOT(Paths!$C$316=1),0,IF(Paths!$P$316="Complete",IF(AND(C3408=0,Paths!$E$316=0),I3408-J3408-K3408+VLOOKUP(A3408,'Fleet register'!$A$7:$S$106,15,FALSE)+VLOOKUP(A3408,'Fleet register'!$A$7:$S$106,16,FALSE),0),"n.a."))</f>
        <v>0</v>
      </c>
      <c r="S3408" s="1">
        <f>IF(NOT(Paths!$C$316=1),0,IF(Paths!$P$316="Complete",IF(C3408=0,0,Paths!$S$316*Paths!$R$316),"n.a."))</f>
        <v>0</v>
      </c>
      <c r="T3408" s="1">
        <f>IF(NOT(Paths!$C$316=1),0,IF(Paths!$P$316="Complete",IF(C3408=0,0,VLOOKUP(A3408,'Fleet register'!$A$7:$S$106,9,FALSE)*Paths!$R$316),"n.a."))</f>
        <v>0</v>
      </c>
    </row>
    <row r="3409" spans="1:20" ht="24" customHeight="1">
      <c r="A3409" s="1" t="str">
        <f>Paths!$A$316</f>
        <v>T078</v>
      </c>
      <c r="B3409" s="1">
        <f>Paths!$B$316</f>
        <v>1</v>
      </c>
      <c r="C3409" s="1">
        <v>3</v>
      </c>
      <c r="D3409" s="1">
        <v>316</v>
      </c>
      <c r="E3409" s="1">
        <f>IF(OR(Paths!$C$316=0,C3409=0),0,MAX(0,MIN(C3409*12,Paths!$E$316)-(C3409-1)*12))</f>
        <v>0</v>
      </c>
      <c r="F3409" s="1">
        <f>IF(OR(Paths!$C$316=0,C3409=0),0,12-E3409)</f>
        <v>0</v>
      </c>
      <c r="G3409" s="16">
        <f>IF(NOT(Paths!$C$316=1),0,IF(Paths!$P$316="Complete",E3409/12*(Paths!$J$316*(1+'Operating costs'!$B$51)^MAX(0,C3409-1)+Paths!$K$316*(1+'Operating costs'!$B$53)^MAX(0,C3409-1)),"n.a."))</f>
        <v>0</v>
      </c>
      <c r="H3409" s="16">
        <f>IF(NOT(Paths!$C$316=1),0,IF(Paths!$P$316="Complete",F3409/12*(Paths!$L$316*(1+IF(Paths!$D$316="EV",'Operating costs'!$B$52,'Operating costs'!$B$51))^MAX(0,C3409-1)+Paths!$M$316*(1+'Operating costs'!$B$53)^MAX(0,C3409-1)),"n.a."))</f>
        <v>0</v>
      </c>
      <c r="I3409" s="16">
        <f>IF(NOT(Paths!$C$316=1),0,IF(Paths!$P$316="Complete",IF(IF(Paths!$E$316=0,C3409=0,AND(C3409&gt;0,Paths!$E$316&gt;(C3409-1)*12,Paths!$E$316&lt;=C3409*12)),Paths!$G$316,0),"n.a."))</f>
        <v>0</v>
      </c>
      <c r="J3409" s="16">
        <f>IF(NOT(Paths!$C$316=1),0,IF(Paths!$P$316="Complete",IF(IF(Paths!$E$316=0,C3409=0,AND(C3409&gt;0,Paths!$E$316&gt;(C3409-1)*12,Paths!$E$316&lt;=C3409*12)),Paths!$H$316,0),"n.a."))</f>
        <v>0</v>
      </c>
      <c r="K3409" s="16">
        <f>IF(NOT(Paths!$C$316=1),0,IF(Paths!$P$316="Complete",IF(IF(Paths!$O$316=0,C3409=0,AND(C3409&gt;0,Paths!$O$316&gt;(C3409-1)*12,Paths!$O$316&lt;=C3409*12)),Paths!$N$316,0),"n.a."))</f>
        <v>0</v>
      </c>
      <c r="L3409" s="16">
        <f>IF(NOT(Paths!$C$316=1),0,IF(Paths!$P$316="Complete",IF(C3409=10,Paths!$I$316,0),"n.a."))</f>
        <v>0</v>
      </c>
      <c r="M3409" s="16">
        <f>IF(NOT(Paths!$C$316=1),0,IF(Paths!$P$316="Complete",IF(AND(Paths!$D$316="EV",Paths!$E$316&lt;120,Paths!$E$316+'Operating costs'!$B$65&gt;Paths!$E$316,Paths!$E$316+'Operating costs'!$B$65&lt;=120,IF(Paths!$E$316+'Operating costs'!$B$65=0,C3409=0,AND(C3409&gt;0,Paths!$E$316+'Operating costs'!$B$65&gt;(C3409-1)*12,Paths!$E$316+'Operating costs'!$B$65&lt;=C3409*12))),'Operating costs'!$B$64,0)+IF(AND('Operating costs'!$B$67&gt;0,'Operating costs'!$B$67&lt;=120,OR(Paths!$D$316="ICE",'Operating costs'!$B$67&lt;=Paths!$E$316),IF('Operating costs'!$B$67=0,C3409=0,AND(C3409&gt;0,'Operating costs'!$B$67&gt;(C3409-1)*12,'Operating costs'!$B$67&lt;=C3409*12))),'Operating costs'!$B$66,0),"n.a."))</f>
        <v>0</v>
      </c>
      <c r="N3409" s="16">
        <f>IF(NOT(Paths!$C$316=1),0,IF(Paths!$P$316="Complete",SUM(G3409:I3409)-J3409-K3409-L3409+M3409+IF(C3409=0,Paths!$F$316,0)+IF(IF(Paths!$E$316=0,C3409=0,AND(C3409&gt;0,Paths!$E$316&gt;(C3409-1)*12,Paths!$E$316&lt;=C3409*12)),VLOOKUP(A3409,'Fleet register'!$A$7:$S$106,16,FALSE),0),"n.a."))</f>
        <v>0</v>
      </c>
      <c r="O3409" s="16">
        <f>IF(NOT(Paths!$C$316=1),0,IF(Paths!$P$316="Complete",N3409-IF(C3409=0,Paths!$F$316,0),"n.a."))</f>
        <v>0</v>
      </c>
      <c r="P3409" s="16">
        <f>IF(NOT(Paths!$C$316=1),0,IF(Paths!$P$316="Complete",O3409+L3409,"n.a."))</f>
        <v>0</v>
      </c>
      <c r="Q3409" s="16">
        <f>IF(NOT(Paths!$C$316=1),0,IF(Paths!$P$316="Complete",N3409*(1+'Operating costs'!$B$54)^-C3409,"n.a."))</f>
        <v>0</v>
      </c>
      <c r="R3409" s="16">
        <f>IF(NOT(Paths!$C$316=1),0,IF(Paths!$P$316="Complete",IF(AND(C3409=0,Paths!$E$316=0),I3409-J3409-K3409+VLOOKUP(A3409,'Fleet register'!$A$7:$S$106,15,FALSE)+VLOOKUP(A3409,'Fleet register'!$A$7:$S$106,16,FALSE),0),"n.a."))</f>
        <v>0</v>
      </c>
      <c r="S3409" s="1">
        <f>IF(NOT(Paths!$C$316=1),0,IF(Paths!$P$316="Complete",IF(C3409=0,0,Paths!$S$316*Paths!$R$316),"n.a."))</f>
        <v>0</v>
      </c>
      <c r="T3409" s="1">
        <f>IF(NOT(Paths!$C$316=1),0,IF(Paths!$P$316="Complete",IF(C3409=0,0,VLOOKUP(A3409,'Fleet register'!$A$7:$S$106,9,FALSE)*Paths!$R$316),"n.a."))</f>
        <v>0</v>
      </c>
    </row>
    <row r="3410" spans="1:20" ht="24" customHeight="1">
      <c r="A3410" s="1" t="str">
        <f>Paths!$A$316</f>
        <v>T078</v>
      </c>
      <c r="B3410" s="1">
        <f>Paths!$B$316</f>
        <v>1</v>
      </c>
      <c r="C3410" s="1">
        <v>4</v>
      </c>
      <c r="D3410" s="1">
        <v>316</v>
      </c>
      <c r="E3410" s="1">
        <f>IF(OR(Paths!$C$316=0,C3410=0),0,MAX(0,MIN(C3410*12,Paths!$E$316)-(C3410-1)*12))</f>
        <v>0</v>
      </c>
      <c r="F3410" s="1">
        <f>IF(OR(Paths!$C$316=0,C3410=0),0,12-E3410)</f>
        <v>0</v>
      </c>
      <c r="G3410" s="16">
        <f>IF(NOT(Paths!$C$316=1),0,IF(Paths!$P$316="Complete",E3410/12*(Paths!$J$316*(1+'Operating costs'!$B$51)^MAX(0,C3410-1)+Paths!$K$316*(1+'Operating costs'!$B$53)^MAX(0,C3410-1)),"n.a."))</f>
        <v>0</v>
      </c>
      <c r="H3410" s="16">
        <f>IF(NOT(Paths!$C$316=1),0,IF(Paths!$P$316="Complete",F3410/12*(Paths!$L$316*(1+IF(Paths!$D$316="EV",'Operating costs'!$B$52,'Operating costs'!$B$51))^MAX(0,C3410-1)+Paths!$M$316*(1+'Operating costs'!$B$53)^MAX(0,C3410-1)),"n.a."))</f>
        <v>0</v>
      </c>
      <c r="I3410" s="16">
        <f>IF(NOT(Paths!$C$316=1),0,IF(Paths!$P$316="Complete",IF(IF(Paths!$E$316=0,C3410=0,AND(C3410&gt;0,Paths!$E$316&gt;(C3410-1)*12,Paths!$E$316&lt;=C3410*12)),Paths!$G$316,0),"n.a."))</f>
        <v>0</v>
      </c>
      <c r="J3410" s="16">
        <f>IF(NOT(Paths!$C$316=1),0,IF(Paths!$P$316="Complete",IF(IF(Paths!$E$316=0,C3410=0,AND(C3410&gt;0,Paths!$E$316&gt;(C3410-1)*12,Paths!$E$316&lt;=C3410*12)),Paths!$H$316,0),"n.a."))</f>
        <v>0</v>
      </c>
      <c r="K3410" s="16">
        <f>IF(NOT(Paths!$C$316=1),0,IF(Paths!$P$316="Complete",IF(IF(Paths!$O$316=0,C3410=0,AND(C3410&gt;0,Paths!$O$316&gt;(C3410-1)*12,Paths!$O$316&lt;=C3410*12)),Paths!$N$316,0),"n.a."))</f>
        <v>0</v>
      </c>
      <c r="L3410" s="16">
        <f>IF(NOT(Paths!$C$316=1),0,IF(Paths!$P$316="Complete",IF(C3410=10,Paths!$I$316,0),"n.a."))</f>
        <v>0</v>
      </c>
      <c r="M3410" s="16">
        <f>IF(NOT(Paths!$C$316=1),0,IF(Paths!$P$316="Complete",IF(AND(Paths!$D$316="EV",Paths!$E$316&lt;120,Paths!$E$316+'Operating costs'!$B$65&gt;Paths!$E$316,Paths!$E$316+'Operating costs'!$B$65&lt;=120,IF(Paths!$E$316+'Operating costs'!$B$65=0,C3410=0,AND(C3410&gt;0,Paths!$E$316+'Operating costs'!$B$65&gt;(C3410-1)*12,Paths!$E$316+'Operating costs'!$B$65&lt;=C3410*12))),'Operating costs'!$B$64,0)+IF(AND('Operating costs'!$B$67&gt;0,'Operating costs'!$B$67&lt;=120,OR(Paths!$D$316="ICE",'Operating costs'!$B$67&lt;=Paths!$E$316),IF('Operating costs'!$B$67=0,C3410=0,AND(C3410&gt;0,'Operating costs'!$B$67&gt;(C3410-1)*12,'Operating costs'!$B$67&lt;=C3410*12))),'Operating costs'!$B$66,0),"n.a."))</f>
        <v>0</v>
      </c>
      <c r="N3410" s="16">
        <f>IF(NOT(Paths!$C$316=1),0,IF(Paths!$P$316="Complete",SUM(G3410:I3410)-J3410-K3410-L3410+M3410+IF(C3410=0,Paths!$F$316,0)+IF(IF(Paths!$E$316=0,C3410=0,AND(C3410&gt;0,Paths!$E$316&gt;(C3410-1)*12,Paths!$E$316&lt;=C3410*12)),VLOOKUP(A3410,'Fleet register'!$A$7:$S$106,16,FALSE),0),"n.a."))</f>
        <v>0</v>
      </c>
      <c r="O3410" s="16">
        <f>IF(NOT(Paths!$C$316=1),0,IF(Paths!$P$316="Complete",N3410-IF(C3410=0,Paths!$F$316,0),"n.a."))</f>
        <v>0</v>
      </c>
      <c r="P3410" s="16">
        <f>IF(NOT(Paths!$C$316=1),0,IF(Paths!$P$316="Complete",O3410+L3410,"n.a."))</f>
        <v>0</v>
      </c>
      <c r="Q3410" s="16">
        <f>IF(NOT(Paths!$C$316=1),0,IF(Paths!$P$316="Complete",N3410*(1+'Operating costs'!$B$54)^-C3410,"n.a."))</f>
        <v>0</v>
      </c>
      <c r="R3410" s="16">
        <f>IF(NOT(Paths!$C$316=1),0,IF(Paths!$P$316="Complete",IF(AND(C3410=0,Paths!$E$316=0),I3410-J3410-K3410+VLOOKUP(A3410,'Fleet register'!$A$7:$S$106,15,FALSE)+VLOOKUP(A3410,'Fleet register'!$A$7:$S$106,16,FALSE),0),"n.a."))</f>
        <v>0</v>
      </c>
      <c r="S3410" s="1">
        <f>IF(NOT(Paths!$C$316=1),0,IF(Paths!$P$316="Complete",IF(C3410=0,0,Paths!$S$316*Paths!$R$316),"n.a."))</f>
        <v>0</v>
      </c>
      <c r="T3410" s="1">
        <f>IF(NOT(Paths!$C$316=1),0,IF(Paths!$P$316="Complete",IF(C3410=0,0,VLOOKUP(A3410,'Fleet register'!$A$7:$S$106,9,FALSE)*Paths!$R$316),"n.a."))</f>
        <v>0</v>
      </c>
    </row>
    <row r="3411" spans="1:20" ht="24" customHeight="1">
      <c r="A3411" s="1" t="str">
        <f>Paths!$A$316</f>
        <v>T078</v>
      </c>
      <c r="B3411" s="1">
        <f>Paths!$B$316</f>
        <v>1</v>
      </c>
      <c r="C3411" s="1">
        <v>5</v>
      </c>
      <c r="D3411" s="1">
        <v>316</v>
      </c>
      <c r="E3411" s="1">
        <f>IF(OR(Paths!$C$316=0,C3411=0),0,MAX(0,MIN(C3411*12,Paths!$E$316)-(C3411-1)*12))</f>
        <v>0</v>
      </c>
      <c r="F3411" s="1">
        <f>IF(OR(Paths!$C$316=0,C3411=0),0,12-E3411)</f>
        <v>0</v>
      </c>
      <c r="G3411" s="16">
        <f>IF(NOT(Paths!$C$316=1),0,IF(Paths!$P$316="Complete",E3411/12*(Paths!$J$316*(1+'Operating costs'!$B$51)^MAX(0,C3411-1)+Paths!$K$316*(1+'Operating costs'!$B$53)^MAX(0,C3411-1)),"n.a."))</f>
        <v>0</v>
      </c>
      <c r="H3411" s="16">
        <f>IF(NOT(Paths!$C$316=1),0,IF(Paths!$P$316="Complete",F3411/12*(Paths!$L$316*(1+IF(Paths!$D$316="EV",'Operating costs'!$B$52,'Operating costs'!$B$51))^MAX(0,C3411-1)+Paths!$M$316*(1+'Operating costs'!$B$53)^MAX(0,C3411-1)),"n.a."))</f>
        <v>0</v>
      </c>
      <c r="I3411" s="16">
        <f>IF(NOT(Paths!$C$316=1),0,IF(Paths!$P$316="Complete",IF(IF(Paths!$E$316=0,C3411=0,AND(C3411&gt;0,Paths!$E$316&gt;(C3411-1)*12,Paths!$E$316&lt;=C3411*12)),Paths!$G$316,0),"n.a."))</f>
        <v>0</v>
      </c>
      <c r="J3411" s="16">
        <f>IF(NOT(Paths!$C$316=1),0,IF(Paths!$P$316="Complete",IF(IF(Paths!$E$316=0,C3411=0,AND(C3411&gt;0,Paths!$E$316&gt;(C3411-1)*12,Paths!$E$316&lt;=C3411*12)),Paths!$H$316,0),"n.a."))</f>
        <v>0</v>
      </c>
      <c r="K3411" s="16">
        <f>IF(NOT(Paths!$C$316=1),0,IF(Paths!$P$316="Complete",IF(IF(Paths!$O$316=0,C3411=0,AND(C3411&gt;0,Paths!$O$316&gt;(C3411-1)*12,Paths!$O$316&lt;=C3411*12)),Paths!$N$316,0),"n.a."))</f>
        <v>0</v>
      </c>
      <c r="L3411" s="16">
        <f>IF(NOT(Paths!$C$316=1),0,IF(Paths!$P$316="Complete",IF(C3411=10,Paths!$I$316,0),"n.a."))</f>
        <v>0</v>
      </c>
      <c r="M3411" s="16">
        <f>IF(NOT(Paths!$C$316=1),0,IF(Paths!$P$316="Complete",IF(AND(Paths!$D$316="EV",Paths!$E$316&lt;120,Paths!$E$316+'Operating costs'!$B$65&gt;Paths!$E$316,Paths!$E$316+'Operating costs'!$B$65&lt;=120,IF(Paths!$E$316+'Operating costs'!$B$65=0,C3411=0,AND(C3411&gt;0,Paths!$E$316+'Operating costs'!$B$65&gt;(C3411-1)*12,Paths!$E$316+'Operating costs'!$B$65&lt;=C3411*12))),'Operating costs'!$B$64,0)+IF(AND('Operating costs'!$B$67&gt;0,'Operating costs'!$B$67&lt;=120,OR(Paths!$D$316="ICE",'Operating costs'!$B$67&lt;=Paths!$E$316),IF('Operating costs'!$B$67=0,C3411=0,AND(C3411&gt;0,'Operating costs'!$B$67&gt;(C3411-1)*12,'Operating costs'!$B$67&lt;=C3411*12))),'Operating costs'!$B$66,0),"n.a."))</f>
        <v>0</v>
      </c>
      <c r="N3411" s="16">
        <f>IF(NOT(Paths!$C$316=1),0,IF(Paths!$P$316="Complete",SUM(G3411:I3411)-J3411-K3411-L3411+M3411+IF(C3411=0,Paths!$F$316,0)+IF(IF(Paths!$E$316=0,C3411=0,AND(C3411&gt;0,Paths!$E$316&gt;(C3411-1)*12,Paths!$E$316&lt;=C3411*12)),VLOOKUP(A3411,'Fleet register'!$A$7:$S$106,16,FALSE),0),"n.a."))</f>
        <v>0</v>
      </c>
      <c r="O3411" s="16">
        <f>IF(NOT(Paths!$C$316=1),0,IF(Paths!$P$316="Complete",N3411-IF(C3411=0,Paths!$F$316,0),"n.a."))</f>
        <v>0</v>
      </c>
      <c r="P3411" s="16">
        <f>IF(NOT(Paths!$C$316=1),0,IF(Paths!$P$316="Complete",O3411+L3411,"n.a."))</f>
        <v>0</v>
      </c>
      <c r="Q3411" s="16">
        <f>IF(NOT(Paths!$C$316=1),0,IF(Paths!$P$316="Complete",N3411*(1+'Operating costs'!$B$54)^-C3411,"n.a."))</f>
        <v>0</v>
      </c>
      <c r="R3411" s="16">
        <f>IF(NOT(Paths!$C$316=1),0,IF(Paths!$P$316="Complete",IF(AND(C3411=0,Paths!$E$316=0),I3411-J3411-K3411+VLOOKUP(A3411,'Fleet register'!$A$7:$S$106,15,FALSE)+VLOOKUP(A3411,'Fleet register'!$A$7:$S$106,16,FALSE),0),"n.a."))</f>
        <v>0</v>
      </c>
      <c r="S3411" s="1">
        <f>IF(NOT(Paths!$C$316=1),0,IF(Paths!$P$316="Complete",IF(C3411=0,0,Paths!$S$316*Paths!$R$316),"n.a."))</f>
        <v>0</v>
      </c>
      <c r="T3411" s="1">
        <f>IF(NOT(Paths!$C$316=1),0,IF(Paths!$P$316="Complete",IF(C3411=0,0,VLOOKUP(A3411,'Fleet register'!$A$7:$S$106,9,FALSE)*Paths!$R$316),"n.a."))</f>
        <v>0</v>
      </c>
    </row>
    <row r="3412" spans="1:20" ht="24" customHeight="1">
      <c r="A3412" s="1" t="str">
        <f>Paths!$A$316</f>
        <v>T078</v>
      </c>
      <c r="B3412" s="1">
        <f>Paths!$B$316</f>
        <v>1</v>
      </c>
      <c r="C3412" s="1">
        <v>6</v>
      </c>
      <c r="D3412" s="1">
        <v>316</v>
      </c>
      <c r="E3412" s="1">
        <f>IF(OR(Paths!$C$316=0,C3412=0),0,MAX(0,MIN(C3412*12,Paths!$E$316)-(C3412-1)*12))</f>
        <v>0</v>
      </c>
      <c r="F3412" s="1">
        <f>IF(OR(Paths!$C$316=0,C3412=0),0,12-E3412)</f>
        <v>0</v>
      </c>
      <c r="G3412" s="16">
        <f>IF(NOT(Paths!$C$316=1),0,IF(Paths!$P$316="Complete",E3412/12*(Paths!$J$316*(1+'Operating costs'!$B$51)^MAX(0,C3412-1)+Paths!$K$316*(1+'Operating costs'!$B$53)^MAX(0,C3412-1)),"n.a."))</f>
        <v>0</v>
      </c>
      <c r="H3412" s="16">
        <f>IF(NOT(Paths!$C$316=1),0,IF(Paths!$P$316="Complete",F3412/12*(Paths!$L$316*(1+IF(Paths!$D$316="EV",'Operating costs'!$B$52,'Operating costs'!$B$51))^MAX(0,C3412-1)+Paths!$M$316*(1+'Operating costs'!$B$53)^MAX(0,C3412-1)),"n.a."))</f>
        <v>0</v>
      </c>
      <c r="I3412" s="16">
        <f>IF(NOT(Paths!$C$316=1),0,IF(Paths!$P$316="Complete",IF(IF(Paths!$E$316=0,C3412=0,AND(C3412&gt;0,Paths!$E$316&gt;(C3412-1)*12,Paths!$E$316&lt;=C3412*12)),Paths!$G$316,0),"n.a."))</f>
        <v>0</v>
      </c>
      <c r="J3412" s="16">
        <f>IF(NOT(Paths!$C$316=1),0,IF(Paths!$P$316="Complete",IF(IF(Paths!$E$316=0,C3412=0,AND(C3412&gt;0,Paths!$E$316&gt;(C3412-1)*12,Paths!$E$316&lt;=C3412*12)),Paths!$H$316,0),"n.a."))</f>
        <v>0</v>
      </c>
      <c r="K3412" s="16">
        <f>IF(NOT(Paths!$C$316=1),0,IF(Paths!$P$316="Complete",IF(IF(Paths!$O$316=0,C3412=0,AND(C3412&gt;0,Paths!$O$316&gt;(C3412-1)*12,Paths!$O$316&lt;=C3412*12)),Paths!$N$316,0),"n.a."))</f>
        <v>0</v>
      </c>
      <c r="L3412" s="16">
        <f>IF(NOT(Paths!$C$316=1),0,IF(Paths!$P$316="Complete",IF(C3412=10,Paths!$I$316,0),"n.a."))</f>
        <v>0</v>
      </c>
      <c r="M3412" s="16">
        <f>IF(NOT(Paths!$C$316=1),0,IF(Paths!$P$316="Complete",IF(AND(Paths!$D$316="EV",Paths!$E$316&lt;120,Paths!$E$316+'Operating costs'!$B$65&gt;Paths!$E$316,Paths!$E$316+'Operating costs'!$B$65&lt;=120,IF(Paths!$E$316+'Operating costs'!$B$65=0,C3412=0,AND(C3412&gt;0,Paths!$E$316+'Operating costs'!$B$65&gt;(C3412-1)*12,Paths!$E$316+'Operating costs'!$B$65&lt;=C3412*12))),'Operating costs'!$B$64,0)+IF(AND('Operating costs'!$B$67&gt;0,'Operating costs'!$B$67&lt;=120,OR(Paths!$D$316="ICE",'Operating costs'!$B$67&lt;=Paths!$E$316),IF('Operating costs'!$B$67=0,C3412=0,AND(C3412&gt;0,'Operating costs'!$B$67&gt;(C3412-1)*12,'Operating costs'!$B$67&lt;=C3412*12))),'Operating costs'!$B$66,0),"n.a."))</f>
        <v>0</v>
      </c>
      <c r="N3412" s="16">
        <f>IF(NOT(Paths!$C$316=1),0,IF(Paths!$P$316="Complete",SUM(G3412:I3412)-J3412-K3412-L3412+M3412+IF(C3412=0,Paths!$F$316,0)+IF(IF(Paths!$E$316=0,C3412=0,AND(C3412&gt;0,Paths!$E$316&gt;(C3412-1)*12,Paths!$E$316&lt;=C3412*12)),VLOOKUP(A3412,'Fleet register'!$A$7:$S$106,16,FALSE),0),"n.a."))</f>
        <v>0</v>
      </c>
      <c r="O3412" s="16">
        <f>IF(NOT(Paths!$C$316=1),0,IF(Paths!$P$316="Complete",N3412-IF(C3412=0,Paths!$F$316,0),"n.a."))</f>
        <v>0</v>
      </c>
      <c r="P3412" s="16">
        <f>IF(NOT(Paths!$C$316=1),0,IF(Paths!$P$316="Complete",O3412+L3412,"n.a."))</f>
        <v>0</v>
      </c>
      <c r="Q3412" s="16">
        <f>IF(NOT(Paths!$C$316=1),0,IF(Paths!$P$316="Complete",N3412*(1+'Operating costs'!$B$54)^-C3412,"n.a."))</f>
        <v>0</v>
      </c>
      <c r="R3412" s="16">
        <f>IF(NOT(Paths!$C$316=1),0,IF(Paths!$P$316="Complete",IF(AND(C3412=0,Paths!$E$316=0),I3412-J3412-K3412+VLOOKUP(A3412,'Fleet register'!$A$7:$S$106,15,FALSE)+VLOOKUP(A3412,'Fleet register'!$A$7:$S$106,16,FALSE),0),"n.a."))</f>
        <v>0</v>
      </c>
      <c r="S3412" s="1">
        <f>IF(NOT(Paths!$C$316=1),0,IF(Paths!$P$316="Complete",IF(C3412=0,0,Paths!$S$316*Paths!$R$316),"n.a."))</f>
        <v>0</v>
      </c>
      <c r="T3412" s="1">
        <f>IF(NOT(Paths!$C$316=1),0,IF(Paths!$P$316="Complete",IF(C3412=0,0,VLOOKUP(A3412,'Fleet register'!$A$7:$S$106,9,FALSE)*Paths!$R$316),"n.a."))</f>
        <v>0</v>
      </c>
    </row>
    <row r="3413" spans="1:20" ht="24" customHeight="1">
      <c r="A3413" s="1" t="str">
        <f>Paths!$A$316</f>
        <v>T078</v>
      </c>
      <c r="B3413" s="1">
        <f>Paths!$B$316</f>
        <v>1</v>
      </c>
      <c r="C3413" s="1">
        <v>7</v>
      </c>
      <c r="D3413" s="1">
        <v>316</v>
      </c>
      <c r="E3413" s="1">
        <f>IF(OR(Paths!$C$316=0,C3413=0),0,MAX(0,MIN(C3413*12,Paths!$E$316)-(C3413-1)*12))</f>
        <v>0</v>
      </c>
      <c r="F3413" s="1">
        <f>IF(OR(Paths!$C$316=0,C3413=0),0,12-E3413)</f>
        <v>0</v>
      </c>
      <c r="G3413" s="16">
        <f>IF(NOT(Paths!$C$316=1),0,IF(Paths!$P$316="Complete",E3413/12*(Paths!$J$316*(1+'Operating costs'!$B$51)^MAX(0,C3413-1)+Paths!$K$316*(1+'Operating costs'!$B$53)^MAX(0,C3413-1)),"n.a."))</f>
        <v>0</v>
      </c>
      <c r="H3413" s="16">
        <f>IF(NOT(Paths!$C$316=1),0,IF(Paths!$P$316="Complete",F3413/12*(Paths!$L$316*(1+IF(Paths!$D$316="EV",'Operating costs'!$B$52,'Operating costs'!$B$51))^MAX(0,C3413-1)+Paths!$M$316*(1+'Operating costs'!$B$53)^MAX(0,C3413-1)),"n.a."))</f>
        <v>0</v>
      </c>
      <c r="I3413" s="16">
        <f>IF(NOT(Paths!$C$316=1),0,IF(Paths!$P$316="Complete",IF(IF(Paths!$E$316=0,C3413=0,AND(C3413&gt;0,Paths!$E$316&gt;(C3413-1)*12,Paths!$E$316&lt;=C3413*12)),Paths!$G$316,0),"n.a."))</f>
        <v>0</v>
      </c>
      <c r="J3413" s="16">
        <f>IF(NOT(Paths!$C$316=1),0,IF(Paths!$P$316="Complete",IF(IF(Paths!$E$316=0,C3413=0,AND(C3413&gt;0,Paths!$E$316&gt;(C3413-1)*12,Paths!$E$316&lt;=C3413*12)),Paths!$H$316,0),"n.a."))</f>
        <v>0</v>
      </c>
      <c r="K3413" s="16">
        <f>IF(NOT(Paths!$C$316=1),0,IF(Paths!$P$316="Complete",IF(IF(Paths!$O$316=0,C3413=0,AND(C3413&gt;0,Paths!$O$316&gt;(C3413-1)*12,Paths!$O$316&lt;=C3413*12)),Paths!$N$316,0),"n.a."))</f>
        <v>0</v>
      </c>
      <c r="L3413" s="16">
        <f>IF(NOT(Paths!$C$316=1),0,IF(Paths!$P$316="Complete",IF(C3413=10,Paths!$I$316,0),"n.a."))</f>
        <v>0</v>
      </c>
      <c r="M3413" s="16">
        <f>IF(NOT(Paths!$C$316=1),0,IF(Paths!$P$316="Complete",IF(AND(Paths!$D$316="EV",Paths!$E$316&lt;120,Paths!$E$316+'Operating costs'!$B$65&gt;Paths!$E$316,Paths!$E$316+'Operating costs'!$B$65&lt;=120,IF(Paths!$E$316+'Operating costs'!$B$65=0,C3413=0,AND(C3413&gt;0,Paths!$E$316+'Operating costs'!$B$65&gt;(C3413-1)*12,Paths!$E$316+'Operating costs'!$B$65&lt;=C3413*12))),'Operating costs'!$B$64,0)+IF(AND('Operating costs'!$B$67&gt;0,'Operating costs'!$B$67&lt;=120,OR(Paths!$D$316="ICE",'Operating costs'!$B$67&lt;=Paths!$E$316),IF('Operating costs'!$B$67=0,C3413=0,AND(C3413&gt;0,'Operating costs'!$B$67&gt;(C3413-1)*12,'Operating costs'!$B$67&lt;=C3413*12))),'Operating costs'!$B$66,0),"n.a."))</f>
        <v>0</v>
      </c>
      <c r="N3413" s="16">
        <f>IF(NOT(Paths!$C$316=1),0,IF(Paths!$P$316="Complete",SUM(G3413:I3413)-J3413-K3413-L3413+M3413+IF(C3413=0,Paths!$F$316,0)+IF(IF(Paths!$E$316=0,C3413=0,AND(C3413&gt;0,Paths!$E$316&gt;(C3413-1)*12,Paths!$E$316&lt;=C3413*12)),VLOOKUP(A3413,'Fleet register'!$A$7:$S$106,16,FALSE),0),"n.a."))</f>
        <v>0</v>
      </c>
      <c r="O3413" s="16">
        <f>IF(NOT(Paths!$C$316=1),0,IF(Paths!$P$316="Complete",N3413-IF(C3413=0,Paths!$F$316,0),"n.a."))</f>
        <v>0</v>
      </c>
      <c r="P3413" s="16">
        <f>IF(NOT(Paths!$C$316=1),0,IF(Paths!$P$316="Complete",O3413+L3413,"n.a."))</f>
        <v>0</v>
      </c>
      <c r="Q3413" s="16">
        <f>IF(NOT(Paths!$C$316=1),0,IF(Paths!$P$316="Complete",N3413*(1+'Operating costs'!$B$54)^-C3413,"n.a."))</f>
        <v>0</v>
      </c>
      <c r="R3413" s="16">
        <f>IF(NOT(Paths!$C$316=1),0,IF(Paths!$P$316="Complete",IF(AND(C3413=0,Paths!$E$316=0),I3413-J3413-K3413+VLOOKUP(A3413,'Fleet register'!$A$7:$S$106,15,FALSE)+VLOOKUP(A3413,'Fleet register'!$A$7:$S$106,16,FALSE),0),"n.a."))</f>
        <v>0</v>
      </c>
      <c r="S3413" s="1">
        <f>IF(NOT(Paths!$C$316=1),0,IF(Paths!$P$316="Complete",IF(C3413=0,0,Paths!$S$316*Paths!$R$316),"n.a."))</f>
        <v>0</v>
      </c>
      <c r="T3413" s="1">
        <f>IF(NOT(Paths!$C$316=1),0,IF(Paths!$P$316="Complete",IF(C3413=0,0,VLOOKUP(A3413,'Fleet register'!$A$7:$S$106,9,FALSE)*Paths!$R$316),"n.a."))</f>
        <v>0</v>
      </c>
    </row>
    <row r="3414" spans="1:20" ht="24" customHeight="1">
      <c r="A3414" s="1" t="str">
        <f>Paths!$A$316</f>
        <v>T078</v>
      </c>
      <c r="B3414" s="1">
        <f>Paths!$B$316</f>
        <v>1</v>
      </c>
      <c r="C3414" s="1">
        <v>8</v>
      </c>
      <c r="D3414" s="1">
        <v>316</v>
      </c>
      <c r="E3414" s="1">
        <f>IF(OR(Paths!$C$316=0,C3414=0),0,MAX(0,MIN(C3414*12,Paths!$E$316)-(C3414-1)*12))</f>
        <v>0</v>
      </c>
      <c r="F3414" s="1">
        <f>IF(OR(Paths!$C$316=0,C3414=0),0,12-E3414)</f>
        <v>0</v>
      </c>
      <c r="G3414" s="16">
        <f>IF(NOT(Paths!$C$316=1),0,IF(Paths!$P$316="Complete",E3414/12*(Paths!$J$316*(1+'Operating costs'!$B$51)^MAX(0,C3414-1)+Paths!$K$316*(1+'Operating costs'!$B$53)^MAX(0,C3414-1)),"n.a."))</f>
        <v>0</v>
      </c>
      <c r="H3414" s="16">
        <f>IF(NOT(Paths!$C$316=1),0,IF(Paths!$P$316="Complete",F3414/12*(Paths!$L$316*(1+IF(Paths!$D$316="EV",'Operating costs'!$B$52,'Operating costs'!$B$51))^MAX(0,C3414-1)+Paths!$M$316*(1+'Operating costs'!$B$53)^MAX(0,C3414-1)),"n.a."))</f>
        <v>0</v>
      </c>
      <c r="I3414" s="16">
        <f>IF(NOT(Paths!$C$316=1),0,IF(Paths!$P$316="Complete",IF(IF(Paths!$E$316=0,C3414=0,AND(C3414&gt;0,Paths!$E$316&gt;(C3414-1)*12,Paths!$E$316&lt;=C3414*12)),Paths!$G$316,0),"n.a."))</f>
        <v>0</v>
      </c>
      <c r="J3414" s="16">
        <f>IF(NOT(Paths!$C$316=1),0,IF(Paths!$P$316="Complete",IF(IF(Paths!$E$316=0,C3414=0,AND(C3414&gt;0,Paths!$E$316&gt;(C3414-1)*12,Paths!$E$316&lt;=C3414*12)),Paths!$H$316,0),"n.a."))</f>
        <v>0</v>
      </c>
      <c r="K3414" s="16">
        <f>IF(NOT(Paths!$C$316=1),0,IF(Paths!$P$316="Complete",IF(IF(Paths!$O$316=0,C3414=0,AND(C3414&gt;0,Paths!$O$316&gt;(C3414-1)*12,Paths!$O$316&lt;=C3414*12)),Paths!$N$316,0),"n.a."))</f>
        <v>0</v>
      </c>
      <c r="L3414" s="16">
        <f>IF(NOT(Paths!$C$316=1),0,IF(Paths!$P$316="Complete",IF(C3414=10,Paths!$I$316,0),"n.a."))</f>
        <v>0</v>
      </c>
      <c r="M3414" s="16">
        <f>IF(NOT(Paths!$C$316=1),0,IF(Paths!$P$316="Complete",IF(AND(Paths!$D$316="EV",Paths!$E$316&lt;120,Paths!$E$316+'Operating costs'!$B$65&gt;Paths!$E$316,Paths!$E$316+'Operating costs'!$B$65&lt;=120,IF(Paths!$E$316+'Operating costs'!$B$65=0,C3414=0,AND(C3414&gt;0,Paths!$E$316+'Operating costs'!$B$65&gt;(C3414-1)*12,Paths!$E$316+'Operating costs'!$B$65&lt;=C3414*12))),'Operating costs'!$B$64,0)+IF(AND('Operating costs'!$B$67&gt;0,'Operating costs'!$B$67&lt;=120,OR(Paths!$D$316="ICE",'Operating costs'!$B$67&lt;=Paths!$E$316),IF('Operating costs'!$B$67=0,C3414=0,AND(C3414&gt;0,'Operating costs'!$B$67&gt;(C3414-1)*12,'Operating costs'!$B$67&lt;=C3414*12))),'Operating costs'!$B$66,0),"n.a."))</f>
        <v>0</v>
      </c>
      <c r="N3414" s="16">
        <f>IF(NOT(Paths!$C$316=1),0,IF(Paths!$P$316="Complete",SUM(G3414:I3414)-J3414-K3414-L3414+M3414+IF(C3414=0,Paths!$F$316,0)+IF(IF(Paths!$E$316=0,C3414=0,AND(C3414&gt;0,Paths!$E$316&gt;(C3414-1)*12,Paths!$E$316&lt;=C3414*12)),VLOOKUP(A3414,'Fleet register'!$A$7:$S$106,16,FALSE),0),"n.a."))</f>
        <v>0</v>
      </c>
      <c r="O3414" s="16">
        <f>IF(NOT(Paths!$C$316=1),0,IF(Paths!$P$316="Complete",N3414-IF(C3414=0,Paths!$F$316,0),"n.a."))</f>
        <v>0</v>
      </c>
      <c r="P3414" s="16">
        <f>IF(NOT(Paths!$C$316=1),0,IF(Paths!$P$316="Complete",O3414+L3414,"n.a."))</f>
        <v>0</v>
      </c>
      <c r="Q3414" s="16">
        <f>IF(NOT(Paths!$C$316=1),0,IF(Paths!$P$316="Complete",N3414*(1+'Operating costs'!$B$54)^-C3414,"n.a."))</f>
        <v>0</v>
      </c>
      <c r="R3414" s="16">
        <f>IF(NOT(Paths!$C$316=1),0,IF(Paths!$P$316="Complete",IF(AND(C3414=0,Paths!$E$316=0),I3414-J3414-K3414+VLOOKUP(A3414,'Fleet register'!$A$7:$S$106,15,FALSE)+VLOOKUP(A3414,'Fleet register'!$A$7:$S$106,16,FALSE),0),"n.a."))</f>
        <v>0</v>
      </c>
      <c r="S3414" s="1">
        <f>IF(NOT(Paths!$C$316=1),0,IF(Paths!$P$316="Complete",IF(C3414=0,0,Paths!$S$316*Paths!$R$316),"n.a."))</f>
        <v>0</v>
      </c>
      <c r="T3414" s="1">
        <f>IF(NOT(Paths!$C$316=1),0,IF(Paths!$P$316="Complete",IF(C3414=0,0,VLOOKUP(A3414,'Fleet register'!$A$7:$S$106,9,FALSE)*Paths!$R$316),"n.a."))</f>
        <v>0</v>
      </c>
    </row>
    <row r="3415" spans="1:20" ht="24" customHeight="1">
      <c r="A3415" s="1" t="str">
        <f>Paths!$A$316</f>
        <v>T078</v>
      </c>
      <c r="B3415" s="1">
        <f>Paths!$B$316</f>
        <v>1</v>
      </c>
      <c r="C3415" s="1">
        <v>9</v>
      </c>
      <c r="D3415" s="1">
        <v>316</v>
      </c>
      <c r="E3415" s="1">
        <f>IF(OR(Paths!$C$316=0,C3415=0),0,MAX(0,MIN(C3415*12,Paths!$E$316)-(C3415-1)*12))</f>
        <v>0</v>
      </c>
      <c r="F3415" s="1">
        <f>IF(OR(Paths!$C$316=0,C3415=0),0,12-E3415)</f>
        <v>0</v>
      </c>
      <c r="G3415" s="16">
        <f>IF(NOT(Paths!$C$316=1),0,IF(Paths!$P$316="Complete",E3415/12*(Paths!$J$316*(1+'Operating costs'!$B$51)^MAX(0,C3415-1)+Paths!$K$316*(1+'Operating costs'!$B$53)^MAX(0,C3415-1)),"n.a."))</f>
        <v>0</v>
      </c>
      <c r="H3415" s="16">
        <f>IF(NOT(Paths!$C$316=1),0,IF(Paths!$P$316="Complete",F3415/12*(Paths!$L$316*(1+IF(Paths!$D$316="EV",'Operating costs'!$B$52,'Operating costs'!$B$51))^MAX(0,C3415-1)+Paths!$M$316*(1+'Operating costs'!$B$53)^MAX(0,C3415-1)),"n.a."))</f>
        <v>0</v>
      </c>
      <c r="I3415" s="16">
        <f>IF(NOT(Paths!$C$316=1),0,IF(Paths!$P$316="Complete",IF(IF(Paths!$E$316=0,C3415=0,AND(C3415&gt;0,Paths!$E$316&gt;(C3415-1)*12,Paths!$E$316&lt;=C3415*12)),Paths!$G$316,0),"n.a."))</f>
        <v>0</v>
      </c>
      <c r="J3415" s="16">
        <f>IF(NOT(Paths!$C$316=1),0,IF(Paths!$P$316="Complete",IF(IF(Paths!$E$316=0,C3415=0,AND(C3415&gt;0,Paths!$E$316&gt;(C3415-1)*12,Paths!$E$316&lt;=C3415*12)),Paths!$H$316,0),"n.a."))</f>
        <v>0</v>
      </c>
      <c r="K3415" s="16">
        <f>IF(NOT(Paths!$C$316=1),0,IF(Paths!$P$316="Complete",IF(IF(Paths!$O$316=0,C3415=0,AND(C3415&gt;0,Paths!$O$316&gt;(C3415-1)*12,Paths!$O$316&lt;=C3415*12)),Paths!$N$316,0),"n.a."))</f>
        <v>0</v>
      </c>
      <c r="L3415" s="16">
        <f>IF(NOT(Paths!$C$316=1),0,IF(Paths!$P$316="Complete",IF(C3415=10,Paths!$I$316,0),"n.a."))</f>
        <v>0</v>
      </c>
      <c r="M3415" s="16">
        <f>IF(NOT(Paths!$C$316=1),0,IF(Paths!$P$316="Complete",IF(AND(Paths!$D$316="EV",Paths!$E$316&lt;120,Paths!$E$316+'Operating costs'!$B$65&gt;Paths!$E$316,Paths!$E$316+'Operating costs'!$B$65&lt;=120,IF(Paths!$E$316+'Operating costs'!$B$65=0,C3415=0,AND(C3415&gt;0,Paths!$E$316+'Operating costs'!$B$65&gt;(C3415-1)*12,Paths!$E$316+'Operating costs'!$B$65&lt;=C3415*12))),'Operating costs'!$B$64,0)+IF(AND('Operating costs'!$B$67&gt;0,'Operating costs'!$B$67&lt;=120,OR(Paths!$D$316="ICE",'Operating costs'!$B$67&lt;=Paths!$E$316),IF('Operating costs'!$B$67=0,C3415=0,AND(C3415&gt;0,'Operating costs'!$B$67&gt;(C3415-1)*12,'Operating costs'!$B$67&lt;=C3415*12))),'Operating costs'!$B$66,0),"n.a."))</f>
        <v>0</v>
      </c>
      <c r="N3415" s="16">
        <f>IF(NOT(Paths!$C$316=1),0,IF(Paths!$P$316="Complete",SUM(G3415:I3415)-J3415-K3415-L3415+M3415+IF(C3415=0,Paths!$F$316,0)+IF(IF(Paths!$E$316=0,C3415=0,AND(C3415&gt;0,Paths!$E$316&gt;(C3415-1)*12,Paths!$E$316&lt;=C3415*12)),VLOOKUP(A3415,'Fleet register'!$A$7:$S$106,16,FALSE),0),"n.a."))</f>
        <v>0</v>
      </c>
      <c r="O3415" s="16">
        <f>IF(NOT(Paths!$C$316=1),0,IF(Paths!$P$316="Complete",N3415-IF(C3415=0,Paths!$F$316,0),"n.a."))</f>
        <v>0</v>
      </c>
      <c r="P3415" s="16">
        <f>IF(NOT(Paths!$C$316=1),0,IF(Paths!$P$316="Complete",O3415+L3415,"n.a."))</f>
        <v>0</v>
      </c>
      <c r="Q3415" s="16">
        <f>IF(NOT(Paths!$C$316=1),0,IF(Paths!$P$316="Complete",N3415*(1+'Operating costs'!$B$54)^-C3415,"n.a."))</f>
        <v>0</v>
      </c>
      <c r="R3415" s="16">
        <f>IF(NOT(Paths!$C$316=1),0,IF(Paths!$P$316="Complete",IF(AND(C3415=0,Paths!$E$316=0),I3415-J3415-K3415+VLOOKUP(A3415,'Fleet register'!$A$7:$S$106,15,FALSE)+VLOOKUP(A3415,'Fleet register'!$A$7:$S$106,16,FALSE),0),"n.a."))</f>
        <v>0</v>
      </c>
      <c r="S3415" s="1">
        <f>IF(NOT(Paths!$C$316=1),0,IF(Paths!$P$316="Complete",IF(C3415=0,0,Paths!$S$316*Paths!$R$316),"n.a."))</f>
        <v>0</v>
      </c>
      <c r="T3415" s="1">
        <f>IF(NOT(Paths!$C$316=1),0,IF(Paths!$P$316="Complete",IF(C3415=0,0,VLOOKUP(A3415,'Fleet register'!$A$7:$S$106,9,FALSE)*Paths!$R$316),"n.a."))</f>
        <v>0</v>
      </c>
    </row>
    <row r="3416" spans="1:20" ht="24" customHeight="1">
      <c r="A3416" s="1" t="str">
        <f>Paths!$A$316</f>
        <v>T078</v>
      </c>
      <c r="B3416" s="1">
        <f>Paths!$B$316</f>
        <v>1</v>
      </c>
      <c r="C3416" s="1">
        <v>10</v>
      </c>
      <c r="D3416" s="1">
        <v>316</v>
      </c>
      <c r="E3416" s="1">
        <f>IF(OR(Paths!$C$316=0,C3416=0),0,MAX(0,MIN(C3416*12,Paths!$E$316)-(C3416-1)*12))</f>
        <v>0</v>
      </c>
      <c r="F3416" s="1">
        <f>IF(OR(Paths!$C$316=0,C3416=0),0,12-E3416)</f>
        <v>0</v>
      </c>
      <c r="G3416" s="16">
        <f>IF(NOT(Paths!$C$316=1),0,IF(Paths!$P$316="Complete",E3416/12*(Paths!$J$316*(1+'Operating costs'!$B$51)^MAX(0,C3416-1)+Paths!$K$316*(1+'Operating costs'!$B$53)^MAX(0,C3416-1)),"n.a."))</f>
        <v>0</v>
      </c>
      <c r="H3416" s="16">
        <f>IF(NOT(Paths!$C$316=1),0,IF(Paths!$P$316="Complete",F3416/12*(Paths!$L$316*(1+IF(Paths!$D$316="EV",'Operating costs'!$B$52,'Operating costs'!$B$51))^MAX(0,C3416-1)+Paths!$M$316*(1+'Operating costs'!$B$53)^MAX(0,C3416-1)),"n.a."))</f>
        <v>0</v>
      </c>
      <c r="I3416" s="16">
        <f>IF(NOT(Paths!$C$316=1),0,IF(Paths!$P$316="Complete",IF(IF(Paths!$E$316=0,C3416=0,AND(C3416&gt;0,Paths!$E$316&gt;(C3416-1)*12,Paths!$E$316&lt;=C3416*12)),Paths!$G$316,0),"n.a."))</f>
        <v>0</v>
      </c>
      <c r="J3416" s="16">
        <f>IF(NOT(Paths!$C$316=1),0,IF(Paths!$P$316="Complete",IF(IF(Paths!$E$316=0,C3416=0,AND(C3416&gt;0,Paths!$E$316&gt;(C3416-1)*12,Paths!$E$316&lt;=C3416*12)),Paths!$H$316,0),"n.a."))</f>
        <v>0</v>
      </c>
      <c r="K3416" s="16">
        <f>IF(NOT(Paths!$C$316=1),0,IF(Paths!$P$316="Complete",IF(IF(Paths!$O$316=0,C3416=0,AND(C3416&gt;0,Paths!$O$316&gt;(C3416-1)*12,Paths!$O$316&lt;=C3416*12)),Paths!$N$316,0),"n.a."))</f>
        <v>0</v>
      </c>
      <c r="L3416" s="16">
        <f>IF(NOT(Paths!$C$316=1),0,IF(Paths!$P$316="Complete",IF(C3416=10,Paths!$I$316,0),"n.a."))</f>
        <v>0</v>
      </c>
      <c r="M3416" s="16">
        <f>IF(NOT(Paths!$C$316=1),0,IF(Paths!$P$316="Complete",IF(AND(Paths!$D$316="EV",Paths!$E$316&lt;120,Paths!$E$316+'Operating costs'!$B$65&gt;Paths!$E$316,Paths!$E$316+'Operating costs'!$B$65&lt;=120,IF(Paths!$E$316+'Operating costs'!$B$65=0,C3416=0,AND(C3416&gt;0,Paths!$E$316+'Operating costs'!$B$65&gt;(C3416-1)*12,Paths!$E$316+'Operating costs'!$B$65&lt;=C3416*12))),'Operating costs'!$B$64,0)+IF(AND('Operating costs'!$B$67&gt;0,'Operating costs'!$B$67&lt;=120,OR(Paths!$D$316="ICE",'Operating costs'!$B$67&lt;=Paths!$E$316),IF('Operating costs'!$B$67=0,C3416=0,AND(C3416&gt;0,'Operating costs'!$B$67&gt;(C3416-1)*12,'Operating costs'!$B$67&lt;=C3416*12))),'Operating costs'!$B$66,0),"n.a."))</f>
        <v>0</v>
      </c>
      <c r="N3416" s="16">
        <f>IF(NOT(Paths!$C$316=1),0,IF(Paths!$P$316="Complete",SUM(G3416:I3416)-J3416-K3416-L3416+M3416+IF(C3416=0,Paths!$F$316,0)+IF(IF(Paths!$E$316=0,C3416=0,AND(C3416&gt;0,Paths!$E$316&gt;(C3416-1)*12,Paths!$E$316&lt;=C3416*12)),VLOOKUP(A3416,'Fleet register'!$A$7:$S$106,16,FALSE),0),"n.a."))</f>
        <v>0</v>
      </c>
      <c r="O3416" s="16">
        <f>IF(NOT(Paths!$C$316=1),0,IF(Paths!$P$316="Complete",N3416-IF(C3416=0,Paths!$F$316,0),"n.a."))</f>
        <v>0</v>
      </c>
      <c r="P3416" s="16">
        <f>IF(NOT(Paths!$C$316=1),0,IF(Paths!$P$316="Complete",O3416+L3416,"n.a."))</f>
        <v>0</v>
      </c>
      <c r="Q3416" s="16">
        <f>IF(NOT(Paths!$C$316=1),0,IF(Paths!$P$316="Complete",N3416*(1+'Operating costs'!$B$54)^-C3416,"n.a."))</f>
        <v>0</v>
      </c>
      <c r="R3416" s="16">
        <f>IF(NOT(Paths!$C$316=1),0,IF(Paths!$P$316="Complete",IF(AND(C3416=0,Paths!$E$316=0),I3416-J3416-K3416+VLOOKUP(A3416,'Fleet register'!$A$7:$S$106,15,FALSE)+VLOOKUP(A3416,'Fleet register'!$A$7:$S$106,16,FALSE),0),"n.a."))</f>
        <v>0</v>
      </c>
      <c r="S3416" s="1">
        <f>IF(NOT(Paths!$C$316=1),0,IF(Paths!$P$316="Complete",IF(C3416=0,0,Paths!$S$316*Paths!$R$316),"n.a."))</f>
        <v>0</v>
      </c>
      <c r="T3416" s="1">
        <f>IF(NOT(Paths!$C$316=1),0,IF(Paths!$P$316="Complete",IF(C3416=0,0,VLOOKUP(A3416,'Fleet register'!$A$7:$S$106,9,FALSE)*Paths!$R$316),"n.a."))</f>
        <v>0</v>
      </c>
    </row>
    <row r="3417" spans="1:20" ht="24" customHeight="1">
      <c r="A3417" s="1" t="str">
        <f>Paths!$A$317</f>
        <v>T078</v>
      </c>
      <c r="B3417" s="1">
        <f>Paths!$B$317</f>
        <v>2</v>
      </c>
      <c r="C3417" s="1">
        <v>0</v>
      </c>
      <c r="D3417" s="1">
        <v>317</v>
      </c>
      <c r="E3417" s="1">
        <f>IF(OR(Paths!$C$317=0,C3417=0),0,MAX(0,MIN(C3417*12,Paths!$E$317)-(C3417-1)*12))</f>
        <v>0</v>
      </c>
      <c r="F3417" s="1">
        <f>IF(OR(Paths!$C$317=0,C3417=0),0,12-E3417)</f>
        <v>0</v>
      </c>
      <c r="G3417" s="16">
        <f>IF(NOT(Paths!$C$317=1),0,IF(Paths!$P$317="Complete",E3417/12*(Paths!$J$317*(1+'Operating costs'!$B$51)^MAX(0,C3417-1)+Paths!$K$317*(1+'Operating costs'!$B$53)^MAX(0,C3417-1)),"n.a."))</f>
        <v>0</v>
      </c>
      <c r="H3417" s="16">
        <f>IF(NOT(Paths!$C$317=1),0,IF(Paths!$P$317="Complete",F3417/12*(Paths!$L$317*(1+IF(Paths!$D$317="EV",'Operating costs'!$B$52,'Operating costs'!$B$51))^MAX(0,C3417-1)+Paths!$M$317*(1+'Operating costs'!$B$53)^MAX(0,C3417-1)),"n.a."))</f>
        <v>0</v>
      </c>
      <c r="I3417" s="16">
        <f>IF(NOT(Paths!$C$317=1),0,IF(Paths!$P$317="Complete",IF(IF(Paths!$E$317=0,C3417=0,AND(C3417&gt;0,Paths!$E$317&gt;(C3417-1)*12,Paths!$E$317&lt;=C3417*12)),Paths!$G$317,0),"n.a."))</f>
        <v>0</v>
      </c>
      <c r="J3417" s="16">
        <f>IF(NOT(Paths!$C$317=1),0,IF(Paths!$P$317="Complete",IF(IF(Paths!$E$317=0,C3417=0,AND(C3417&gt;0,Paths!$E$317&gt;(C3417-1)*12,Paths!$E$317&lt;=C3417*12)),Paths!$H$317,0),"n.a."))</f>
        <v>0</v>
      </c>
      <c r="K3417" s="16">
        <f>IF(NOT(Paths!$C$317=1),0,IF(Paths!$P$317="Complete",IF(IF(Paths!$O$317=0,C3417=0,AND(C3417&gt;0,Paths!$O$317&gt;(C3417-1)*12,Paths!$O$317&lt;=C3417*12)),Paths!$N$317,0),"n.a."))</f>
        <v>0</v>
      </c>
      <c r="L3417" s="16">
        <f>IF(NOT(Paths!$C$317=1),0,IF(Paths!$P$317="Complete",IF(C3417=10,Paths!$I$317,0),"n.a."))</f>
        <v>0</v>
      </c>
      <c r="M3417" s="16">
        <f>IF(NOT(Paths!$C$317=1),0,IF(Paths!$P$317="Complete",IF(AND(Paths!$D$317="EV",Paths!$E$317&lt;120,Paths!$E$317+'Operating costs'!$B$65&gt;Paths!$E$317,Paths!$E$317+'Operating costs'!$B$65&lt;=120,IF(Paths!$E$317+'Operating costs'!$B$65=0,C3417=0,AND(C3417&gt;0,Paths!$E$317+'Operating costs'!$B$65&gt;(C3417-1)*12,Paths!$E$317+'Operating costs'!$B$65&lt;=C3417*12))),'Operating costs'!$B$64,0)+IF(AND('Operating costs'!$B$67&gt;0,'Operating costs'!$B$67&lt;=120,OR(Paths!$D$317="ICE",'Operating costs'!$B$67&lt;=Paths!$E$317),IF('Operating costs'!$B$67=0,C3417=0,AND(C3417&gt;0,'Operating costs'!$B$67&gt;(C3417-1)*12,'Operating costs'!$B$67&lt;=C3417*12))),'Operating costs'!$B$66,0),"n.a."))</f>
        <v>0</v>
      </c>
      <c r="N3417" s="16">
        <f>IF(NOT(Paths!$C$317=1),0,IF(Paths!$P$317="Complete",SUM(G3417:I3417)-J3417-K3417-L3417+M3417+IF(C3417=0,Paths!$F$317,0)+IF(IF(Paths!$E$317=0,C3417=0,AND(C3417&gt;0,Paths!$E$317&gt;(C3417-1)*12,Paths!$E$317&lt;=C3417*12)),VLOOKUP(A3417,'Fleet register'!$A$7:$S$106,16,FALSE),0),"n.a."))</f>
        <v>0</v>
      </c>
      <c r="O3417" s="16">
        <f>IF(NOT(Paths!$C$317=1),0,IF(Paths!$P$317="Complete",N3417-IF(C3417=0,Paths!$F$317,0),"n.a."))</f>
        <v>0</v>
      </c>
      <c r="P3417" s="16">
        <f>IF(NOT(Paths!$C$317=1),0,IF(Paths!$P$317="Complete",O3417+L3417,"n.a."))</f>
        <v>0</v>
      </c>
      <c r="Q3417" s="16">
        <f>IF(NOT(Paths!$C$317=1),0,IF(Paths!$P$317="Complete",N3417*(1+'Operating costs'!$B$54)^-C3417,"n.a."))</f>
        <v>0</v>
      </c>
      <c r="R3417" s="16">
        <f>IF(NOT(Paths!$C$317=1),0,IF(Paths!$P$317="Complete",IF(AND(C3417=0,Paths!$E$317=0),I3417-J3417-K3417+VLOOKUP(A3417,'Fleet register'!$A$7:$S$106,15,FALSE)+VLOOKUP(A3417,'Fleet register'!$A$7:$S$106,16,FALSE),0),"n.a."))</f>
        <v>0</v>
      </c>
      <c r="S3417" s="1">
        <f>IF(NOT(Paths!$C$317=1),0,IF(Paths!$P$317="Complete",IF(C3417=0,0,Paths!$S$317*Paths!$R$317),"n.a."))</f>
        <v>0</v>
      </c>
      <c r="T3417" s="1">
        <f>IF(NOT(Paths!$C$317=1),0,IF(Paths!$P$317="Complete",IF(C3417=0,0,VLOOKUP(A3417,'Fleet register'!$A$7:$S$106,9,FALSE)*Paths!$R$317),"n.a."))</f>
        <v>0</v>
      </c>
    </row>
    <row r="3418" spans="1:20" ht="24" customHeight="1">
      <c r="A3418" s="1" t="str">
        <f>Paths!$A$317</f>
        <v>T078</v>
      </c>
      <c r="B3418" s="1">
        <f>Paths!$B$317</f>
        <v>2</v>
      </c>
      <c r="C3418" s="1">
        <v>1</v>
      </c>
      <c r="D3418" s="1">
        <v>317</v>
      </c>
      <c r="E3418" s="1">
        <f>IF(OR(Paths!$C$317=0,C3418=0),0,MAX(0,MIN(C3418*12,Paths!$E$317)-(C3418-1)*12))</f>
        <v>0</v>
      </c>
      <c r="F3418" s="1">
        <f>IF(OR(Paths!$C$317=0,C3418=0),0,12-E3418)</f>
        <v>0</v>
      </c>
      <c r="G3418" s="16">
        <f>IF(NOT(Paths!$C$317=1),0,IF(Paths!$P$317="Complete",E3418/12*(Paths!$J$317*(1+'Operating costs'!$B$51)^MAX(0,C3418-1)+Paths!$K$317*(1+'Operating costs'!$B$53)^MAX(0,C3418-1)),"n.a."))</f>
        <v>0</v>
      </c>
      <c r="H3418" s="16">
        <f>IF(NOT(Paths!$C$317=1),0,IF(Paths!$P$317="Complete",F3418/12*(Paths!$L$317*(1+IF(Paths!$D$317="EV",'Operating costs'!$B$52,'Operating costs'!$B$51))^MAX(0,C3418-1)+Paths!$M$317*(1+'Operating costs'!$B$53)^MAX(0,C3418-1)),"n.a."))</f>
        <v>0</v>
      </c>
      <c r="I3418" s="16">
        <f>IF(NOT(Paths!$C$317=1),0,IF(Paths!$P$317="Complete",IF(IF(Paths!$E$317=0,C3418=0,AND(C3418&gt;0,Paths!$E$317&gt;(C3418-1)*12,Paths!$E$317&lt;=C3418*12)),Paths!$G$317,0),"n.a."))</f>
        <v>0</v>
      </c>
      <c r="J3418" s="16">
        <f>IF(NOT(Paths!$C$317=1),0,IF(Paths!$P$317="Complete",IF(IF(Paths!$E$317=0,C3418=0,AND(C3418&gt;0,Paths!$E$317&gt;(C3418-1)*12,Paths!$E$317&lt;=C3418*12)),Paths!$H$317,0),"n.a."))</f>
        <v>0</v>
      </c>
      <c r="K3418" s="16">
        <f>IF(NOT(Paths!$C$317=1),0,IF(Paths!$P$317="Complete",IF(IF(Paths!$O$317=0,C3418=0,AND(C3418&gt;0,Paths!$O$317&gt;(C3418-1)*12,Paths!$O$317&lt;=C3418*12)),Paths!$N$317,0),"n.a."))</f>
        <v>0</v>
      </c>
      <c r="L3418" s="16">
        <f>IF(NOT(Paths!$C$317=1),0,IF(Paths!$P$317="Complete",IF(C3418=10,Paths!$I$317,0),"n.a."))</f>
        <v>0</v>
      </c>
      <c r="M3418" s="16">
        <f>IF(NOT(Paths!$C$317=1),0,IF(Paths!$P$317="Complete",IF(AND(Paths!$D$317="EV",Paths!$E$317&lt;120,Paths!$E$317+'Operating costs'!$B$65&gt;Paths!$E$317,Paths!$E$317+'Operating costs'!$B$65&lt;=120,IF(Paths!$E$317+'Operating costs'!$B$65=0,C3418=0,AND(C3418&gt;0,Paths!$E$317+'Operating costs'!$B$65&gt;(C3418-1)*12,Paths!$E$317+'Operating costs'!$B$65&lt;=C3418*12))),'Operating costs'!$B$64,0)+IF(AND('Operating costs'!$B$67&gt;0,'Operating costs'!$B$67&lt;=120,OR(Paths!$D$317="ICE",'Operating costs'!$B$67&lt;=Paths!$E$317),IF('Operating costs'!$B$67=0,C3418=0,AND(C3418&gt;0,'Operating costs'!$B$67&gt;(C3418-1)*12,'Operating costs'!$B$67&lt;=C3418*12))),'Operating costs'!$B$66,0),"n.a."))</f>
        <v>0</v>
      </c>
      <c r="N3418" s="16">
        <f>IF(NOT(Paths!$C$317=1),0,IF(Paths!$P$317="Complete",SUM(G3418:I3418)-J3418-K3418-L3418+M3418+IF(C3418=0,Paths!$F$317,0)+IF(IF(Paths!$E$317=0,C3418=0,AND(C3418&gt;0,Paths!$E$317&gt;(C3418-1)*12,Paths!$E$317&lt;=C3418*12)),VLOOKUP(A3418,'Fleet register'!$A$7:$S$106,16,FALSE),0),"n.a."))</f>
        <v>0</v>
      </c>
      <c r="O3418" s="16">
        <f>IF(NOT(Paths!$C$317=1),0,IF(Paths!$P$317="Complete",N3418-IF(C3418=0,Paths!$F$317,0),"n.a."))</f>
        <v>0</v>
      </c>
      <c r="P3418" s="16">
        <f>IF(NOT(Paths!$C$317=1),0,IF(Paths!$P$317="Complete",O3418+L3418,"n.a."))</f>
        <v>0</v>
      </c>
      <c r="Q3418" s="16">
        <f>IF(NOT(Paths!$C$317=1),0,IF(Paths!$P$317="Complete",N3418*(1+'Operating costs'!$B$54)^-C3418,"n.a."))</f>
        <v>0</v>
      </c>
      <c r="R3418" s="16">
        <f>IF(NOT(Paths!$C$317=1),0,IF(Paths!$P$317="Complete",IF(AND(C3418=0,Paths!$E$317=0),I3418-J3418-K3418+VLOOKUP(A3418,'Fleet register'!$A$7:$S$106,15,FALSE)+VLOOKUP(A3418,'Fleet register'!$A$7:$S$106,16,FALSE),0),"n.a."))</f>
        <v>0</v>
      </c>
      <c r="S3418" s="1">
        <f>IF(NOT(Paths!$C$317=1),0,IF(Paths!$P$317="Complete",IF(C3418=0,0,Paths!$S$317*Paths!$R$317),"n.a."))</f>
        <v>0</v>
      </c>
      <c r="T3418" s="1">
        <f>IF(NOT(Paths!$C$317=1),0,IF(Paths!$P$317="Complete",IF(C3418=0,0,VLOOKUP(A3418,'Fleet register'!$A$7:$S$106,9,FALSE)*Paths!$R$317),"n.a."))</f>
        <v>0</v>
      </c>
    </row>
    <row r="3419" spans="1:20" ht="24" customHeight="1">
      <c r="A3419" s="1" t="str">
        <f>Paths!$A$317</f>
        <v>T078</v>
      </c>
      <c r="B3419" s="1">
        <f>Paths!$B$317</f>
        <v>2</v>
      </c>
      <c r="C3419" s="1">
        <v>2</v>
      </c>
      <c r="D3419" s="1">
        <v>317</v>
      </c>
      <c r="E3419" s="1">
        <f>IF(OR(Paths!$C$317=0,C3419=0),0,MAX(0,MIN(C3419*12,Paths!$E$317)-(C3419-1)*12))</f>
        <v>0</v>
      </c>
      <c r="F3419" s="1">
        <f>IF(OR(Paths!$C$317=0,C3419=0),0,12-E3419)</f>
        <v>0</v>
      </c>
      <c r="G3419" s="16">
        <f>IF(NOT(Paths!$C$317=1),0,IF(Paths!$P$317="Complete",E3419/12*(Paths!$J$317*(1+'Operating costs'!$B$51)^MAX(0,C3419-1)+Paths!$K$317*(1+'Operating costs'!$B$53)^MAX(0,C3419-1)),"n.a."))</f>
        <v>0</v>
      </c>
      <c r="H3419" s="16">
        <f>IF(NOT(Paths!$C$317=1),0,IF(Paths!$P$317="Complete",F3419/12*(Paths!$L$317*(1+IF(Paths!$D$317="EV",'Operating costs'!$B$52,'Operating costs'!$B$51))^MAX(0,C3419-1)+Paths!$M$317*(1+'Operating costs'!$B$53)^MAX(0,C3419-1)),"n.a."))</f>
        <v>0</v>
      </c>
      <c r="I3419" s="16">
        <f>IF(NOT(Paths!$C$317=1),0,IF(Paths!$P$317="Complete",IF(IF(Paths!$E$317=0,C3419=0,AND(C3419&gt;0,Paths!$E$317&gt;(C3419-1)*12,Paths!$E$317&lt;=C3419*12)),Paths!$G$317,0),"n.a."))</f>
        <v>0</v>
      </c>
      <c r="J3419" s="16">
        <f>IF(NOT(Paths!$C$317=1),0,IF(Paths!$P$317="Complete",IF(IF(Paths!$E$317=0,C3419=0,AND(C3419&gt;0,Paths!$E$317&gt;(C3419-1)*12,Paths!$E$317&lt;=C3419*12)),Paths!$H$317,0),"n.a."))</f>
        <v>0</v>
      </c>
      <c r="K3419" s="16">
        <f>IF(NOT(Paths!$C$317=1),0,IF(Paths!$P$317="Complete",IF(IF(Paths!$O$317=0,C3419=0,AND(C3419&gt;0,Paths!$O$317&gt;(C3419-1)*12,Paths!$O$317&lt;=C3419*12)),Paths!$N$317,0),"n.a."))</f>
        <v>0</v>
      </c>
      <c r="L3419" s="16">
        <f>IF(NOT(Paths!$C$317=1),0,IF(Paths!$P$317="Complete",IF(C3419=10,Paths!$I$317,0),"n.a."))</f>
        <v>0</v>
      </c>
      <c r="M3419" s="16">
        <f>IF(NOT(Paths!$C$317=1),0,IF(Paths!$P$317="Complete",IF(AND(Paths!$D$317="EV",Paths!$E$317&lt;120,Paths!$E$317+'Operating costs'!$B$65&gt;Paths!$E$317,Paths!$E$317+'Operating costs'!$B$65&lt;=120,IF(Paths!$E$317+'Operating costs'!$B$65=0,C3419=0,AND(C3419&gt;0,Paths!$E$317+'Operating costs'!$B$65&gt;(C3419-1)*12,Paths!$E$317+'Operating costs'!$B$65&lt;=C3419*12))),'Operating costs'!$B$64,0)+IF(AND('Operating costs'!$B$67&gt;0,'Operating costs'!$B$67&lt;=120,OR(Paths!$D$317="ICE",'Operating costs'!$B$67&lt;=Paths!$E$317),IF('Operating costs'!$B$67=0,C3419=0,AND(C3419&gt;0,'Operating costs'!$B$67&gt;(C3419-1)*12,'Operating costs'!$B$67&lt;=C3419*12))),'Operating costs'!$B$66,0),"n.a."))</f>
        <v>0</v>
      </c>
      <c r="N3419" s="16">
        <f>IF(NOT(Paths!$C$317=1),0,IF(Paths!$P$317="Complete",SUM(G3419:I3419)-J3419-K3419-L3419+M3419+IF(C3419=0,Paths!$F$317,0)+IF(IF(Paths!$E$317=0,C3419=0,AND(C3419&gt;0,Paths!$E$317&gt;(C3419-1)*12,Paths!$E$317&lt;=C3419*12)),VLOOKUP(A3419,'Fleet register'!$A$7:$S$106,16,FALSE),0),"n.a."))</f>
        <v>0</v>
      </c>
      <c r="O3419" s="16">
        <f>IF(NOT(Paths!$C$317=1),0,IF(Paths!$P$317="Complete",N3419-IF(C3419=0,Paths!$F$317,0),"n.a."))</f>
        <v>0</v>
      </c>
      <c r="P3419" s="16">
        <f>IF(NOT(Paths!$C$317=1),0,IF(Paths!$P$317="Complete",O3419+L3419,"n.a."))</f>
        <v>0</v>
      </c>
      <c r="Q3419" s="16">
        <f>IF(NOT(Paths!$C$317=1),0,IF(Paths!$P$317="Complete",N3419*(1+'Operating costs'!$B$54)^-C3419,"n.a."))</f>
        <v>0</v>
      </c>
      <c r="R3419" s="16">
        <f>IF(NOT(Paths!$C$317=1),0,IF(Paths!$P$317="Complete",IF(AND(C3419=0,Paths!$E$317=0),I3419-J3419-K3419+VLOOKUP(A3419,'Fleet register'!$A$7:$S$106,15,FALSE)+VLOOKUP(A3419,'Fleet register'!$A$7:$S$106,16,FALSE),0),"n.a."))</f>
        <v>0</v>
      </c>
      <c r="S3419" s="1">
        <f>IF(NOT(Paths!$C$317=1),0,IF(Paths!$P$317="Complete",IF(C3419=0,0,Paths!$S$317*Paths!$R$317),"n.a."))</f>
        <v>0</v>
      </c>
      <c r="T3419" s="1">
        <f>IF(NOT(Paths!$C$317=1),0,IF(Paths!$P$317="Complete",IF(C3419=0,0,VLOOKUP(A3419,'Fleet register'!$A$7:$S$106,9,FALSE)*Paths!$R$317),"n.a."))</f>
        <v>0</v>
      </c>
    </row>
    <row r="3420" spans="1:20" ht="24" customHeight="1">
      <c r="A3420" s="1" t="str">
        <f>Paths!$A$317</f>
        <v>T078</v>
      </c>
      <c r="B3420" s="1">
        <f>Paths!$B$317</f>
        <v>2</v>
      </c>
      <c r="C3420" s="1">
        <v>3</v>
      </c>
      <c r="D3420" s="1">
        <v>317</v>
      </c>
      <c r="E3420" s="1">
        <f>IF(OR(Paths!$C$317=0,C3420=0),0,MAX(0,MIN(C3420*12,Paths!$E$317)-(C3420-1)*12))</f>
        <v>0</v>
      </c>
      <c r="F3420" s="1">
        <f>IF(OR(Paths!$C$317=0,C3420=0),0,12-E3420)</f>
        <v>0</v>
      </c>
      <c r="G3420" s="16">
        <f>IF(NOT(Paths!$C$317=1),0,IF(Paths!$P$317="Complete",E3420/12*(Paths!$J$317*(1+'Operating costs'!$B$51)^MAX(0,C3420-1)+Paths!$K$317*(1+'Operating costs'!$B$53)^MAX(0,C3420-1)),"n.a."))</f>
        <v>0</v>
      </c>
      <c r="H3420" s="16">
        <f>IF(NOT(Paths!$C$317=1),0,IF(Paths!$P$317="Complete",F3420/12*(Paths!$L$317*(1+IF(Paths!$D$317="EV",'Operating costs'!$B$52,'Operating costs'!$B$51))^MAX(0,C3420-1)+Paths!$M$317*(1+'Operating costs'!$B$53)^MAX(0,C3420-1)),"n.a."))</f>
        <v>0</v>
      </c>
      <c r="I3420" s="16">
        <f>IF(NOT(Paths!$C$317=1),0,IF(Paths!$P$317="Complete",IF(IF(Paths!$E$317=0,C3420=0,AND(C3420&gt;0,Paths!$E$317&gt;(C3420-1)*12,Paths!$E$317&lt;=C3420*12)),Paths!$G$317,0),"n.a."))</f>
        <v>0</v>
      </c>
      <c r="J3420" s="16">
        <f>IF(NOT(Paths!$C$317=1),0,IF(Paths!$P$317="Complete",IF(IF(Paths!$E$317=0,C3420=0,AND(C3420&gt;0,Paths!$E$317&gt;(C3420-1)*12,Paths!$E$317&lt;=C3420*12)),Paths!$H$317,0),"n.a."))</f>
        <v>0</v>
      </c>
      <c r="K3420" s="16">
        <f>IF(NOT(Paths!$C$317=1),0,IF(Paths!$P$317="Complete",IF(IF(Paths!$O$317=0,C3420=0,AND(C3420&gt;0,Paths!$O$317&gt;(C3420-1)*12,Paths!$O$317&lt;=C3420*12)),Paths!$N$317,0),"n.a."))</f>
        <v>0</v>
      </c>
      <c r="L3420" s="16">
        <f>IF(NOT(Paths!$C$317=1),0,IF(Paths!$P$317="Complete",IF(C3420=10,Paths!$I$317,0),"n.a."))</f>
        <v>0</v>
      </c>
      <c r="M3420" s="16">
        <f>IF(NOT(Paths!$C$317=1),0,IF(Paths!$P$317="Complete",IF(AND(Paths!$D$317="EV",Paths!$E$317&lt;120,Paths!$E$317+'Operating costs'!$B$65&gt;Paths!$E$317,Paths!$E$317+'Operating costs'!$B$65&lt;=120,IF(Paths!$E$317+'Operating costs'!$B$65=0,C3420=0,AND(C3420&gt;0,Paths!$E$317+'Operating costs'!$B$65&gt;(C3420-1)*12,Paths!$E$317+'Operating costs'!$B$65&lt;=C3420*12))),'Operating costs'!$B$64,0)+IF(AND('Operating costs'!$B$67&gt;0,'Operating costs'!$B$67&lt;=120,OR(Paths!$D$317="ICE",'Operating costs'!$B$67&lt;=Paths!$E$317),IF('Operating costs'!$B$67=0,C3420=0,AND(C3420&gt;0,'Operating costs'!$B$67&gt;(C3420-1)*12,'Operating costs'!$B$67&lt;=C3420*12))),'Operating costs'!$B$66,0),"n.a."))</f>
        <v>0</v>
      </c>
      <c r="N3420" s="16">
        <f>IF(NOT(Paths!$C$317=1),0,IF(Paths!$P$317="Complete",SUM(G3420:I3420)-J3420-K3420-L3420+M3420+IF(C3420=0,Paths!$F$317,0)+IF(IF(Paths!$E$317=0,C3420=0,AND(C3420&gt;0,Paths!$E$317&gt;(C3420-1)*12,Paths!$E$317&lt;=C3420*12)),VLOOKUP(A3420,'Fleet register'!$A$7:$S$106,16,FALSE),0),"n.a."))</f>
        <v>0</v>
      </c>
      <c r="O3420" s="16">
        <f>IF(NOT(Paths!$C$317=1),0,IF(Paths!$P$317="Complete",N3420-IF(C3420=0,Paths!$F$317,0),"n.a."))</f>
        <v>0</v>
      </c>
      <c r="P3420" s="16">
        <f>IF(NOT(Paths!$C$317=1),0,IF(Paths!$P$317="Complete",O3420+L3420,"n.a."))</f>
        <v>0</v>
      </c>
      <c r="Q3420" s="16">
        <f>IF(NOT(Paths!$C$317=1),0,IF(Paths!$P$317="Complete",N3420*(1+'Operating costs'!$B$54)^-C3420,"n.a."))</f>
        <v>0</v>
      </c>
      <c r="R3420" s="16">
        <f>IF(NOT(Paths!$C$317=1),0,IF(Paths!$P$317="Complete",IF(AND(C3420=0,Paths!$E$317=0),I3420-J3420-K3420+VLOOKUP(A3420,'Fleet register'!$A$7:$S$106,15,FALSE)+VLOOKUP(A3420,'Fleet register'!$A$7:$S$106,16,FALSE),0),"n.a."))</f>
        <v>0</v>
      </c>
      <c r="S3420" s="1">
        <f>IF(NOT(Paths!$C$317=1),0,IF(Paths!$P$317="Complete",IF(C3420=0,0,Paths!$S$317*Paths!$R$317),"n.a."))</f>
        <v>0</v>
      </c>
      <c r="T3420" s="1">
        <f>IF(NOT(Paths!$C$317=1),0,IF(Paths!$P$317="Complete",IF(C3420=0,0,VLOOKUP(A3420,'Fleet register'!$A$7:$S$106,9,FALSE)*Paths!$R$317),"n.a."))</f>
        <v>0</v>
      </c>
    </row>
    <row r="3421" spans="1:20" ht="24" customHeight="1">
      <c r="A3421" s="1" t="str">
        <f>Paths!$A$317</f>
        <v>T078</v>
      </c>
      <c r="B3421" s="1">
        <f>Paths!$B$317</f>
        <v>2</v>
      </c>
      <c r="C3421" s="1">
        <v>4</v>
      </c>
      <c r="D3421" s="1">
        <v>317</v>
      </c>
      <c r="E3421" s="1">
        <f>IF(OR(Paths!$C$317=0,C3421=0),0,MAX(0,MIN(C3421*12,Paths!$E$317)-(C3421-1)*12))</f>
        <v>0</v>
      </c>
      <c r="F3421" s="1">
        <f>IF(OR(Paths!$C$317=0,C3421=0),0,12-E3421)</f>
        <v>0</v>
      </c>
      <c r="G3421" s="16">
        <f>IF(NOT(Paths!$C$317=1),0,IF(Paths!$P$317="Complete",E3421/12*(Paths!$J$317*(1+'Operating costs'!$B$51)^MAX(0,C3421-1)+Paths!$K$317*(1+'Operating costs'!$B$53)^MAX(0,C3421-1)),"n.a."))</f>
        <v>0</v>
      </c>
      <c r="H3421" s="16">
        <f>IF(NOT(Paths!$C$317=1),0,IF(Paths!$P$317="Complete",F3421/12*(Paths!$L$317*(1+IF(Paths!$D$317="EV",'Operating costs'!$B$52,'Operating costs'!$B$51))^MAX(0,C3421-1)+Paths!$M$317*(1+'Operating costs'!$B$53)^MAX(0,C3421-1)),"n.a."))</f>
        <v>0</v>
      </c>
      <c r="I3421" s="16">
        <f>IF(NOT(Paths!$C$317=1),0,IF(Paths!$P$317="Complete",IF(IF(Paths!$E$317=0,C3421=0,AND(C3421&gt;0,Paths!$E$317&gt;(C3421-1)*12,Paths!$E$317&lt;=C3421*12)),Paths!$G$317,0),"n.a."))</f>
        <v>0</v>
      </c>
      <c r="J3421" s="16">
        <f>IF(NOT(Paths!$C$317=1),0,IF(Paths!$P$317="Complete",IF(IF(Paths!$E$317=0,C3421=0,AND(C3421&gt;0,Paths!$E$317&gt;(C3421-1)*12,Paths!$E$317&lt;=C3421*12)),Paths!$H$317,0),"n.a."))</f>
        <v>0</v>
      </c>
      <c r="K3421" s="16">
        <f>IF(NOT(Paths!$C$317=1),0,IF(Paths!$P$317="Complete",IF(IF(Paths!$O$317=0,C3421=0,AND(C3421&gt;0,Paths!$O$317&gt;(C3421-1)*12,Paths!$O$317&lt;=C3421*12)),Paths!$N$317,0),"n.a."))</f>
        <v>0</v>
      </c>
      <c r="L3421" s="16">
        <f>IF(NOT(Paths!$C$317=1),0,IF(Paths!$P$317="Complete",IF(C3421=10,Paths!$I$317,0),"n.a."))</f>
        <v>0</v>
      </c>
      <c r="M3421" s="16">
        <f>IF(NOT(Paths!$C$317=1),0,IF(Paths!$P$317="Complete",IF(AND(Paths!$D$317="EV",Paths!$E$317&lt;120,Paths!$E$317+'Operating costs'!$B$65&gt;Paths!$E$317,Paths!$E$317+'Operating costs'!$B$65&lt;=120,IF(Paths!$E$317+'Operating costs'!$B$65=0,C3421=0,AND(C3421&gt;0,Paths!$E$317+'Operating costs'!$B$65&gt;(C3421-1)*12,Paths!$E$317+'Operating costs'!$B$65&lt;=C3421*12))),'Operating costs'!$B$64,0)+IF(AND('Operating costs'!$B$67&gt;0,'Operating costs'!$B$67&lt;=120,OR(Paths!$D$317="ICE",'Operating costs'!$B$67&lt;=Paths!$E$317),IF('Operating costs'!$B$67=0,C3421=0,AND(C3421&gt;0,'Operating costs'!$B$67&gt;(C3421-1)*12,'Operating costs'!$B$67&lt;=C3421*12))),'Operating costs'!$B$66,0),"n.a."))</f>
        <v>0</v>
      </c>
      <c r="N3421" s="16">
        <f>IF(NOT(Paths!$C$317=1),0,IF(Paths!$P$317="Complete",SUM(G3421:I3421)-J3421-K3421-L3421+M3421+IF(C3421=0,Paths!$F$317,0)+IF(IF(Paths!$E$317=0,C3421=0,AND(C3421&gt;0,Paths!$E$317&gt;(C3421-1)*12,Paths!$E$317&lt;=C3421*12)),VLOOKUP(A3421,'Fleet register'!$A$7:$S$106,16,FALSE),0),"n.a."))</f>
        <v>0</v>
      </c>
      <c r="O3421" s="16">
        <f>IF(NOT(Paths!$C$317=1),0,IF(Paths!$P$317="Complete",N3421-IF(C3421=0,Paths!$F$317,0),"n.a."))</f>
        <v>0</v>
      </c>
      <c r="P3421" s="16">
        <f>IF(NOT(Paths!$C$317=1),0,IF(Paths!$P$317="Complete",O3421+L3421,"n.a."))</f>
        <v>0</v>
      </c>
      <c r="Q3421" s="16">
        <f>IF(NOT(Paths!$C$317=1),0,IF(Paths!$P$317="Complete",N3421*(1+'Operating costs'!$B$54)^-C3421,"n.a."))</f>
        <v>0</v>
      </c>
      <c r="R3421" s="16">
        <f>IF(NOT(Paths!$C$317=1),0,IF(Paths!$P$317="Complete",IF(AND(C3421=0,Paths!$E$317=0),I3421-J3421-K3421+VLOOKUP(A3421,'Fleet register'!$A$7:$S$106,15,FALSE)+VLOOKUP(A3421,'Fleet register'!$A$7:$S$106,16,FALSE),0),"n.a."))</f>
        <v>0</v>
      </c>
      <c r="S3421" s="1">
        <f>IF(NOT(Paths!$C$317=1),0,IF(Paths!$P$317="Complete",IF(C3421=0,0,Paths!$S$317*Paths!$R$317),"n.a."))</f>
        <v>0</v>
      </c>
      <c r="T3421" s="1">
        <f>IF(NOT(Paths!$C$317=1),0,IF(Paths!$P$317="Complete",IF(C3421=0,0,VLOOKUP(A3421,'Fleet register'!$A$7:$S$106,9,FALSE)*Paths!$R$317),"n.a."))</f>
        <v>0</v>
      </c>
    </row>
    <row r="3422" spans="1:20" ht="24" customHeight="1">
      <c r="A3422" s="1" t="str">
        <f>Paths!$A$317</f>
        <v>T078</v>
      </c>
      <c r="B3422" s="1">
        <f>Paths!$B$317</f>
        <v>2</v>
      </c>
      <c r="C3422" s="1">
        <v>5</v>
      </c>
      <c r="D3422" s="1">
        <v>317</v>
      </c>
      <c r="E3422" s="1">
        <f>IF(OR(Paths!$C$317=0,C3422=0),0,MAX(0,MIN(C3422*12,Paths!$E$317)-(C3422-1)*12))</f>
        <v>0</v>
      </c>
      <c r="F3422" s="1">
        <f>IF(OR(Paths!$C$317=0,C3422=0),0,12-E3422)</f>
        <v>0</v>
      </c>
      <c r="G3422" s="16">
        <f>IF(NOT(Paths!$C$317=1),0,IF(Paths!$P$317="Complete",E3422/12*(Paths!$J$317*(1+'Operating costs'!$B$51)^MAX(0,C3422-1)+Paths!$K$317*(1+'Operating costs'!$B$53)^MAX(0,C3422-1)),"n.a."))</f>
        <v>0</v>
      </c>
      <c r="H3422" s="16">
        <f>IF(NOT(Paths!$C$317=1),0,IF(Paths!$P$317="Complete",F3422/12*(Paths!$L$317*(1+IF(Paths!$D$317="EV",'Operating costs'!$B$52,'Operating costs'!$B$51))^MAX(0,C3422-1)+Paths!$M$317*(1+'Operating costs'!$B$53)^MAX(0,C3422-1)),"n.a."))</f>
        <v>0</v>
      </c>
      <c r="I3422" s="16">
        <f>IF(NOT(Paths!$C$317=1),0,IF(Paths!$P$317="Complete",IF(IF(Paths!$E$317=0,C3422=0,AND(C3422&gt;0,Paths!$E$317&gt;(C3422-1)*12,Paths!$E$317&lt;=C3422*12)),Paths!$G$317,0),"n.a."))</f>
        <v>0</v>
      </c>
      <c r="J3422" s="16">
        <f>IF(NOT(Paths!$C$317=1),0,IF(Paths!$P$317="Complete",IF(IF(Paths!$E$317=0,C3422=0,AND(C3422&gt;0,Paths!$E$317&gt;(C3422-1)*12,Paths!$E$317&lt;=C3422*12)),Paths!$H$317,0),"n.a."))</f>
        <v>0</v>
      </c>
      <c r="K3422" s="16">
        <f>IF(NOT(Paths!$C$317=1),0,IF(Paths!$P$317="Complete",IF(IF(Paths!$O$317=0,C3422=0,AND(C3422&gt;0,Paths!$O$317&gt;(C3422-1)*12,Paths!$O$317&lt;=C3422*12)),Paths!$N$317,0),"n.a."))</f>
        <v>0</v>
      </c>
      <c r="L3422" s="16">
        <f>IF(NOT(Paths!$C$317=1),0,IF(Paths!$P$317="Complete",IF(C3422=10,Paths!$I$317,0),"n.a."))</f>
        <v>0</v>
      </c>
      <c r="M3422" s="16">
        <f>IF(NOT(Paths!$C$317=1),0,IF(Paths!$P$317="Complete",IF(AND(Paths!$D$317="EV",Paths!$E$317&lt;120,Paths!$E$317+'Operating costs'!$B$65&gt;Paths!$E$317,Paths!$E$317+'Operating costs'!$B$65&lt;=120,IF(Paths!$E$317+'Operating costs'!$B$65=0,C3422=0,AND(C3422&gt;0,Paths!$E$317+'Operating costs'!$B$65&gt;(C3422-1)*12,Paths!$E$317+'Operating costs'!$B$65&lt;=C3422*12))),'Operating costs'!$B$64,0)+IF(AND('Operating costs'!$B$67&gt;0,'Operating costs'!$B$67&lt;=120,OR(Paths!$D$317="ICE",'Operating costs'!$B$67&lt;=Paths!$E$317),IF('Operating costs'!$B$67=0,C3422=0,AND(C3422&gt;0,'Operating costs'!$B$67&gt;(C3422-1)*12,'Operating costs'!$B$67&lt;=C3422*12))),'Operating costs'!$B$66,0),"n.a."))</f>
        <v>0</v>
      </c>
      <c r="N3422" s="16">
        <f>IF(NOT(Paths!$C$317=1),0,IF(Paths!$P$317="Complete",SUM(G3422:I3422)-J3422-K3422-L3422+M3422+IF(C3422=0,Paths!$F$317,0)+IF(IF(Paths!$E$317=0,C3422=0,AND(C3422&gt;0,Paths!$E$317&gt;(C3422-1)*12,Paths!$E$317&lt;=C3422*12)),VLOOKUP(A3422,'Fleet register'!$A$7:$S$106,16,FALSE),0),"n.a."))</f>
        <v>0</v>
      </c>
      <c r="O3422" s="16">
        <f>IF(NOT(Paths!$C$317=1),0,IF(Paths!$P$317="Complete",N3422-IF(C3422=0,Paths!$F$317,0),"n.a."))</f>
        <v>0</v>
      </c>
      <c r="P3422" s="16">
        <f>IF(NOT(Paths!$C$317=1),0,IF(Paths!$P$317="Complete",O3422+L3422,"n.a."))</f>
        <v>0</v>
      </c>
      <c r="Q3422" s="16">
        <f>IF(NOT(Paths!$C$317=1),0,IF(Paths!$P$317="Complete",N3422*(1+'Operating costs'!$B$54)^-C3422,"n.a."))</f>
        <v>0</v>
      </c>
      <c r="R3422" s="16">
        <f>IF(NOT(Paths!$C$317=1),0,IF(Paths!$P$317="Complete",IF(AND(C3422=0,Paths!$E$317=0),I3422-J3422-K3422+VLOOKUP(A3422,'Fleet register'!$A$7:$S$106,15,FALSE)+VLOOKUP(A3422,'Fleet register'!$A$7:$S$106,16,FALSE),0),"n.a."))</f>
        <v>0</v>
      </c>
      <c r="S3422" s="1">
        <f>IF(NOT(Paths!$C$317=1),0,IF(Paths!$P$317="Complete",IF(C3422=0,0,Paths!$S$317*Paths!$R$317),"n.a."))</f>
        <v>0</v>
      </c>
      <c r="T3422" s="1">
        <f>IF(NOT(Paths!$C$317=1),0,IF(Paths!$P$317="Complete",IF(C3422=0,0,VLOOKUP(A3422,'Fleet register'!$A$7:$S$106,9,FALSE)*Paths!$R$317),"n.a."))</f>
        <v>0</v>
      </c>
    </row>
    <row r="3423" spans="1:20" ht="24" customHeight="1">
      <c r="A3423" s="1" t="str">
        <f>Paths!$A$317</f>
        <v>T078</v>
      </c>
      <c r="B3423" s="1">
        <f>Paths!$B$317</f>
        <v>2</v>
      </c>
      <c r="C3423" s="1">
        <v>6</v>
      </c>
      <c r="D3423" s="1">
        <v>317</v>
      </c>
      <c r="E3423" s="1">
        <f>IF(OR(Paths!$C$317=0,C3423=0),0,MAX(0,MIN(C3423*12,Paths!$E$317)-(C3423-1)*12))</f>
        <v>0</v>
      </c>
      <c r="F3423" s="1">
        <f>IF(OR(Paths!$C$317=0,C3423=0),0,12-E3423)</f>
        <v>0</v>
      </c>
      <c r="G3423" s="16">
        <f>IF(NOT(Paths!$C$317=1),0,IF(Paths!$P$317="Complete",E3423/12*(Paths!$J$317*(1+'Operating costs'!$B$51)^MAX(0,C3423-1)+Paths!$K$317*(1+'Operating costs'!$B$53)^MAX(0,C3423-1)),"n.a."))</f>
        <v>0</v>
      </c>
      <c r="H3423" s="16">
        <f>IF(NOT(Paths!$C$317=1),0,IF(Paths!$P$317="Complete",F3423/12*(Paths!$L$317*(1+IF(Paths!$D$317="EV",'Operating costs'!$B$52,'Operating costs'!$B$51))^MAX(0,C3423-1)+Paths!$M$317*(1+'Operating costs'!$B$53)^MAX(0,C3423-1)),"n.a."))</f>
        <v>0</v>
      </c>
      <c r="I3423" s="16">
        <f>IF(NOT(Paths!$C$317=1),0,IF(Paths!$P$317="Complete",IF(IF(Paths!$E$317=0,C3423=0,AND(C3423&gt;0,Paths!$E$317&gt;(C3423-1)*12,Paths!$E$317&lt;=C3423*12)),Paths!$G$317,0),"n.a."))</f>
        <v>0</v>
      </c>
      <c r="J3423" s="16">
        <f>IF(NOT(Paths!$C$317=1),0,IF(Paths!$P$317="Complete",IF(IF(Paths!$E$317=0,C3423=0,AND(C3423&gt;0,Paths!$E$317&gt;(C3423-1)*12,Paths!$E$317&lt;=C3423*12)),Paths!$H$317,0),"n.a."))</f>
        <v>0</v>
      </c>
      <c r="K3423" s="16">
        <f>IF(NOT(Paths!$C$317=1),0,IF(Paths!$P$317="Complete",IF(IF(Paths!$O$317=0,C3423=0,AND(C3423&gt;0,Paths!$O$317&gt;(C3423-1)*12,Paths!$O$317&lt;=C3423*12)),Paths!$N$317,0),"n.a."))</f>
        <v>0</v>
      </c>
      <c r="L3423" s="16">
        <f>IF(NOT(Paths!$C$317=1),0,IF(Paths!$P$317="Complete",IF(C3423=10,Paths!$I$317,0),"n.a."))</f>
        <v>0</v>
      </c>
      <c r="M3423" s="16">
        <f>IF(NOT(Paths!$C$317=1),0,IF(Paths!$P$317="Complete",IF(AND(Paths!$D$317="EV",Paths!$E$317&lt;120,Paths!$E$317+'Operating costs'!$B$65&gt;Paths!$E$317,Paths!$E$317+'Operating costs'!$B$65&lt;=120,IF(Paths!$E$317+'Operating costs'!$B$65=0,C3423=0,AND(C3423&gt;0,Paths!$E$317+'Operating costs'!$B$65&gt;(C3423-1)*12,Paths!$E$317+'Operating costs'!$B$65&lt;=C3423*12))),'Operating costs'!$B$64,0)+IF(AND('Operating costs'!$B$67&gt;0,'Operating costs'!$B$67&lt;=120,OR(Paths!$D$317="ICE",'Operating costs'!$B$67&lt;=Paths!$E$317),IF('Operating costs'!$B$67=0,C3423=0,AND(C3423&gt;0,'Operating costs'!$B$67&gt;(C3423-1)*12,'Operating costs'!$B$67&lt;=C3423*12))),'Operating costs'!$B$66,0),"n.a."))</f>
        <v>0</v>
      </c>
      <c r="N3423" s="16">
        <f>IF(NOT(Paths!$C$317=1),0,IF(Paths!$P$317="Complete",SUM(G3423:I3423)-J3423-K3423-L3423+M3423+IF(C3423=0,Paths!$F$317,0)+IF(IF(Paths!$E$317=0,C3423=0,AND(C3423&gt;0,Paths!$E$317&gt;(C3423-1)*12,Paths!$E$317&lt;=C3423*12)),VLOOKUP(A3423,'Fleet register'!$A$7:$S$106,16,FALSE),0),"n.a."))</f>
        <v>0</v>
      </c>
      <c r="O3423" s="16">
        <f>IF(NOT(Paths!$C$317=1),0,IF(Paths!$P$317="Complete",N3423-IF(C3423=0,Paths!$F$317,0),"n.a."))</f>
        <v>0</v>
      </c>
      <c r="P3423" s="16">
        <f>IF(NOT(Paths!$C$317=1),0,IF(Paths!$P$317="Complete",O3423+L3423,"n.a."))</f>
        <v>0</v>
      </c>
      <c r="Q3423" s="16">
        <f>IF(NOT(Paths!$C$317=1),0,IF(Paths!$P$317="Complete",N3423*(1+'Operating costs'!$B$54)^-C3423,"n.a."))</f>
        <v>0</v>
      </c>
      <c r="R3423" s="16">
        <f>IF(NOT(Paths!$C$317=1),0,IF(Paths!$P$317="Complete",IF(AND(C3423=0,Paths!$E$317=0),I3423-J3423-K3423+VLOOKUP(A3423,'Fleet register'!$A$7:$S$106,15,FALSE)+VLOOKUP(A3423,'Fleet register'!$A$7:$S$106,16,FALSE),0),"n.a."))</f>
        <v>0</v>
      </c>
      <c r="S3423" s="1">
        <f>IF(NOT(Paths!$C$317=1),0,IF(Paths!$P$317="Complete",IF(C3423=0,0,Paths!$S$317*Paths!$R$317),"n.a."))</f>
        <v>0</v>
      </c>
      <c r="T3423" s="1">
        <f>IF(NOT(Paths!$C$317=1),0,IF(Paths!$P$317="Complete",IF(C3423=0,0,VLOOKUP(A3423,'Fleet register'!$A$7:$S$106,9,FALSE)*Paths!$R$317),"n.a."))</f>
        <v>0</v>
      </c>
    </row>
    <row r="3424" spans="1:20" ht="24" customHeight="1">
      <c r="A3424" s="1" t="str">
        <f>Paths!$A$317</f>
        <v>T078</v>
      </c>
      <c r="B3424" s="1">
        <f>Paths!$B$317</f>
        <v>2</v>
      </c>
      <c r="C3424" s="1">
        <v>7</v>
      </c>
      <c r="D3424" s="1">
        <v>317</v>
      </c>
      <c r="E3424" s="1">
        <f>IF(OR(Paths!$C$317=0,C3424=0),0,MAX(0,MIN(C3424*12,Paths!$E$317)-(C3424-1)*12))</f>
        <v>0</v>
      </c>
      <c r="F3424" s="1">
        <f>IF(OR(Paths!$C$317=0,C3424=0),0,12-E3424)</f>
        <v>0</v>
      </c>
      <c r="G3424" s="16">
        <f>IF(NOT(Paths!$C$317=1),0,IF(Paths!$P$317="Complete",E3424/12*(Paths!$J$317*(1+'Operating costs'!$B$51)^MAX(0,C3424-1)+Paths!$K$317*(1+'Operating costs'!$B$53)^MAX(0,C3424-1)),"n.a."))</f>
        <v>0</v>
      </c>
      <c r="H3424" s="16">
        <f>IF(NOT(Paths!$C$317=1),0,IF(Paths!$P$317="Complete",F3424/12*(Paths!$L$317*(1+IF(Paths!$D$317="EV",'Operating costs'!$B$52,'Operating costs'!$B$51))^MAX(0,C3424-1)+Paths!$M$317*(1+'Operating costs'!$B$53)^MAX(0,C3424-1)),"n.a."))</f>
        <v>0</v>
      </c>
      <c r="I3424" s="16">
        <f>IF(NOT(Paths!$C$317=1),0,IF(Paths!$P$317="Complete",IF(IF(Paths!$E$317=0,C3424=0,AND(C3424&gt;0,Paths!$E$317&gt;(C3424-1)*12,Paths!$E$317&lt;=C3424*12)),Paths!$G$317,0),"n.a."))</f>
        <v>0</v>
      </c>
      <c r="J3424" s="16">
        <f>IF(NOT(Paths!$C$317=1),0,IF(Paths!$P$317="Complete",IF(IF(Paths!$E$317=0,C3424=0,AND(C3424&gt;0,Paths!$E$317&gt;(C3424-1)*12,Paths!$E$317&lt;=C3424*12)),Paths!$H$317,0),"n.a."))</f>
        <v>0</v>
      </c>
      <c r="K3424" s="16">
        <f>IF(NOT(Paths!$C$317=1),0,IF(Paths!$P$317="Complete",IF(IF(Paths!$O$317=0,C3424=0,AND(C3424&gt;0,Paths!$O$317&gt;(C3424-1)*12,Paths!$O$317&lt;=C3424*12)),Paths!$N$317,0),"n.a."))</f>
        <v>0</v>
      </c>
      <c r="L3424" s="16">
        <f>IF(NOT(Paths!$C$317=1),0,IF(Paths!$P$317="Complete",IF(C3424=10,Paths!$I$317,0),"n.a."))</f>
        <v>0</v>
      </c>
      <c r="M3424" s="16">
        <f>IF(NOT(Paths!$C$317=1),0,IF(Paths!$P$317="Complete",IF(AND(Paths!$D$317="EV",Paths!$E$317&lt;120,Paths!$E$317+'Operating costs'!$B$65&gt;Paths!$E$317,Paths!$E$317+'Operating costs'!$B$65&lt;=120,IF(Paths!$E$317+'Operating costs'!$B$65=0,C3424=0,AND(C3424&gt;0,Paths!$E$317+'Operating costs'!$B$65&gt;(C3424-1)*12,Paths!$E$317+'Operating costs'!$B$65&lt;=C3424*12))),'Operating costs'!$B$64,0)+IF(AND('Operating costs'!$B$67&gt;0,'Operating costs'!$B$67&lt;=120,OR(Paths!$D$317="ICE",'Operating costs'!$B$67&lt;=Paths!$E$317),IF('Operating costs'!$B$67=0,C3424=0,AND(C3424&gt;0,'Operating costs'!$B$67&gt;(C3424-1)*12,'Operating costs'!$B$67&lt;=C3424*12))),'Operating costs'!$B$66,0),"n.a."))</f>
        <v>0</v>
      </c>
      <c r="N3424" s="16">
        <f>IF(NOT(Paths!$C$317=1),0,IF(Paths!$P$317="Complete",SUM(G3424:I3424)-J3424-K3424-L3424+M3424+IF(C3424=0,Paths!$F$317,0)+IF(IF(Paths!$E$317=0,C3424=0,AND(C3424&gt;0,Paths!$E$317&gt;(C3424-1)*12,Paths!$E$317&lt;=C3424*12)),VLOOKUP(A3424,'Fleet register'!$A$7:$S$106,16,FALSE),0),"n.a."))</f>
        <v>0</v>
      </c>
      <c r="O3424" s="16">
        <f>IF(NOT(Paths!$C$317=1),0,IF(Paths!$P$317="Complete",N3424-IF(C3424=0,Paths!$F$317,0),"n.a."))</f>
        <v>0</v>
      </c>
      <c r="P3424" s="16">
        <f>IF(NOT(Paths!$C$317=1),0,IF(Paths!$P$317="Complete",O3424+L3424,"n.a."))</f>
        <v>0</v>
      </c>
      <c r="Q3424" s="16">
        <f>IF(NOT(Paths!$C$317=1),0,IF(Paths!$P$317="Complete",N3424*(1+'Operating costs'!$B$54)^-C3424,"n.a."))</f>
        <v>0</v>
      </c>
      <c r="R3424" s="16">
        <f>IF(NOT(Paths!$C$317=1),0,IF(Paths!$P$317="Complete",IF(AND(C3424=0,Paths!$E$317=0),I3424-J3424-K3424+VLOOKUP(A3424,'Fleet register'!$A$7:$S$106,15,FALSE)+VLOOKUP(A3424,'Fleet register'!$A$7:$S$106,16,FALSE),0),"n.a."))</f>
        <v>0</v>
      </c>
      <c r="S3424" s="1">
        <f>IF(NOT(Paths!$C$317=1),0,IF(Paths!$P$317="Complete",IF(C3424=0,0,Paths!$S$317*Paths!$R$317),"n.a."))</f>
        <v>0</v>
      </c>
      <c r="T3424" s="1">
        <f>IF(NOT(Paths!$C$317=1),0,IF(Paths!$P$317="Complete",IF(C3424=0,0,VLOOKUP(A3424,'Fleet register'!$A$7:$S$106,9,FALSE)*Paths!$R$317),"n.a."))</f>
        <v>0</v>
      </c>
    </row>
    <row r="3425" spans="1:20" ht="24" customHeight="1">
      <c r="A3425" s="1" t="str">
        <f>Paths!$A$317</f>
        <v>T078</v>
      </c>
      <c r="B3425" s="1">
        <f>Paths!$B$317</f>
        <v>2</v>
      </c>
      <c r="C3425" s="1">
        <v>8</v>
      </c>
      <c r="D3425" s="1">
        <v>317</v>
      </c>
      <c r="E3425" s="1">
        <f>IF(OR(Paths!$C$317=0,C3425=0),0,MAX(0,MIN(C3425*12,Paths!$E$317)-(C3425-1)*12))</f>
        <v>0</v>
      </c>
      <c r="F3425" s="1">
        <f>IF(OR(Paths!$C$317=0,C3425=0),0,12-E3425)</f>
        <v>0</v>
      </c>
      <c r="G3425" s="16">
        <f>IF(NOT(Paths!$C$317=1),0,IF(Paths!$P$317="Complete",E3425/12*(Paths!$J$317*(1+'Operating costs'!$B$51)^MAX(0,C3425-1)+Paths!$K$317*(1+'Operating costs'!$B$53)^MAX(0,C3425-1)),"n.a."))</f>
        <v>0</v>
      </c>
      <c r="H3425" s="16">
        <f>IF(NOT(Paths!$C$317=1),0,IF(Paths!$P$317="Complete",F3425/12*(Paths!$L$317*(1+IF(Paths!$D$317="EV",'Operating costs'!$B$52,'Operating costs'!$B$51))^MAX(0,C3425-1)+Paths!$M$317*(1+'Operating costs'!$B$53)^MAX(0,C3425-1)),"n.a."))</f>
        <v>0</v>
      </c>
      <c r="I3425" s="16">
        <f>IF(NOT(Paths!$C$317=1),0,IF(Paths!$P$317="Complete",IF(IF(Paths!$E$317=0,C3425=0,AND(C3425&gt;0,Paths!$E$317&gt;(C3425-1)*12,Paths!$E$317&lt;=C3425*12)),Paths!$G$317,0),"n.a."))</f>
        <v>0</v>
      </c>
      <c r="J3425" s="16">
        <f>IF(NOT(Paths!$C$317=1),0,IF(Paths!$P$317="Complete",IF(IF(Paths!$E$317=0,C3425=0,AND(C3425&gt;0,Paths!$E$317&gt;(C3425-1)*12,Paths!$E$317&lt;=C3425*12)),Paths!$H$317,0),"n.a."))</f>
        <v>0</v>
      </c>
      <c r="K3425" s="16">
        <f>IF(NOT(Paths!$C$317=1),0,IF(Paths!$P$317="Complete",IF(IF(Paths!$O$317=0,C3425=0,AND(C3425&gt;0,Paths!$O$317&gt;(C3425-1)*12,Paths!$O$317&lt;=C3425*12)),Paths!$N$317,0),"n.a."))</f>
        <v>0</v>
      </c>
      <c r="L3425" s="16">
        <f>IF(NOT(Paths!$C$317=1),0,IF(Paths!$P$317="Complete",IF(C3425=10,Paths!$I$317,0),"n.a."))</f>
        <v>0</v>
      </c>
      <c r="M3425" s="16">
        <f>IF(NOT(Paths!$C$317=1),0,IF(Paths!$P$317="Complete",IF(AND(Paths!$D$317="EV",Paths!$E$317&lt;120,Paths!$E$317+'Operating costs'!$B$65&gt;Paths!$E$317,Paths!$E$317+'Operating costs'!$B$65&lt;=120,IF(Paths!$E$317+'Operating costs'!$B$65=0,C3425=0,AND(C3425&gt;0,Paths!$E$317+'Operating costs'!$B$65&gt;(C3425-1)*12,Paths!$E$317+'Operating costs'!$B$65&lt;=C3425*12))),'Operating costs'!$B$64,0)+IF(AND('Operating costs'!$B$67&gt;0,'Operating costs'!$B$67&lt;=120,OR(Paths!$D$317="ICE",'Operating costs'!$B$67&lt;=Paths!$E$317),IF('Operating costs'!$B$67=0,C3425=0,AND(C3425&gt;0,'Operating costs'!$B$67&gt;(C3425-1)*12,'Operating costs'!$B$67&lt;=C3425*12))),'Operating costs'!$B$66,0),"n.a."))</f>
        <v>0</v>
      </c>
      <c r="N3425" s="16">
        <f>IF(NOT(Paths!$C$317=1),0,IF(Paths!$P$317="Complete",SUM(G3425:I3425)-J3425-K3425-L3425+M3425+IF(C3425=0,Paths!$F$317,0)+IF(IF(Paths!$E$317=0,C3425=0,AND(C3425&gt;0,Paths!$E$317&gt;(C3425-1)*12,Paths!$E$317&lt;=C3425*12)),VLOOKUP(A3425,'Fleet register'!$A$7:$S$106,16,FALSE),0),"n.a."))</f>
        <v>0</v>
      </c>
      <c r="O3425" s="16">
        <f>IF(NOT(Paths!$C$317=1),0,IF(Paths!$P$317="Complete",N3425-IF(C3425=0,Paths!$F$317,0),"n.a."))</f>
        <v>0</v>
      </c>
      <c r="P3425" s="16">
        <f>IF(NOT(Paths!$C$317=1),0,IF(Paths!$P$317="Complete",O3425+L3425,"n.a."))</f>
        <v>0</v>
      </c>
      <c r="Q3425" s="16">
        <f>IF(NOT(Paths!$C$317=1),0,IF(Paths!$P$317="Complete",N3425*(1+'Operating costs'!$B$54)^-C3425,"n.a."))</f>
        <v>0</v>
      </c>
      <c r="R3425" s="16">
        <f>IF(NOT(Paths!$C$317=1),0,IF(Paths!$P$317="Complete",IF(AND(C3425=0,Paths!$E$317=0),I3425-J3425-K3425+VLOOKUP(A3425,'Fleet register'!$A$7:$S$106,15,FALSE)+VLOOKUP(A3425,'Fleet register'!$A$7:$S$106,16,FALSE),0),"n.a."))</f>
        <v>0</v>
      </c>
      <c r="S3425" s="1">
        <f>IF(NOT(Paths!$C$317=1),0,IF(Paths!$P$317="Complete",IF(C3425=0,0,Paths!$S$317*Paths!$R$317),"n.a."))</f>
        <v>0</v>
      </c>
      <c r="T3425" s="1">
        <f>IF(NOT(Paths!$C$317=1),0,IF(Paths!$P$317="Complete",IF(C3425=0,0,VLOOKUP(A3425,'Fleet register'!$A$7:$S$106,9,FALSE)*Paths!$R$317),"n.a."))</f>
        <v>0</v>
      </c>
    </row>
    <row r="3426" spans="1:20" ht="24" customHeight="1">
      <c r="A3426" s="1" t="str">
        <f>Paths!$A$317</f>
        <v>T078</v>
      </c>
      <c r="B3426" s="1">
        <f>Paths!$B$317</f>
        <v>2</v>
      </c>
      <c r="C3426" s="1">
        <v>9</v>
      </c>
      <c r="D3426" s="1">
        <v>317</v>
      </c>
      <c r="E3426" s="1">
        <f>IF(OR(Paths!$C$317=0,C3426=0),0,MAX(0,MIN(C3426*12,Paths!$E$317)-(C3426-1)*12))</f>
        <v>0</v>
      </c>
      <c r="F3426" s="1">
        <f>IF(OR(Paths!$C$317=0,C3426=0),0,12-E3426)</f>
        <v>0</v>
      </c>
      <c r="G3426" s="16">
        <f>IF(NOT(Paths!$C$317=1),0,IF(Paths!$P$317="Complete",E3426/12*(Paths!$J$317*(1+'Operating costs'!$B$51)^MAX(0,C3426-1)+Paths!$K$317*(1+'Operating costs'!$B$53)^MAX(0,C3426-1)),"n.a."))</f>
        <v>0</v>
      </c>
      <c r="H3426" s="16">
        <f>IF(NOT(Paths!$C$317=1),0,IF(Paths!$P$317="Complete",F3426/12*(Paths!$L$317*(1+IF(Paths!$D$317="EV",'Operating costs'!$B$52,'Operating costs'!$B$51))^MAX(0,C3426-1)+Paths!$M$317*(1+'Operating costs'!$B$53)^MAX(0,C3426-1)),"n.a."))</f>
        <v>0</v>
      </c>
      <c r="I3426" s="16">
        <f>IF(NOT(Paths!$C$317=1),0,IF(Paths!$P$317="Complete",IF(IF(Paths!$E$317=0,C3426=0,AND(C3426&gt;0,Paths!$E$317&gt;(C3426-1)*12,Paths!$E$317&lt;=C3426*12)),Paths!$G$317,0),"n.a."))</f>
        <v>0</v>
      </c>
      <c r="J3426" s="16">
        <f>IF(NOT(Paths!$C$317=1),0,IF(Paths!$P$317="Complete",IF(IF(Paths!$E$317=0,C3426=0,AND(C3426&gt;0,Paths!$E$317&gt;(C3426-1)*12,Paths!$E$317&lt;=C3426*12)),Paths!$H$317,0),"n.a."))</f>
        <v>0</v>
      </c>
      <c r="K3426" s="16">
        <f>IF(NOT(Paths!$C$317=1),0,IF(Paths!$P$317="Complete",IF(IF(Paths!$O$317=0,C3426=0,AND(C3426&gt;0,Paths!$O$317&gt;(C3426-1)*12,Paths!$O$317&lt;=C3426*12)),Paths!$N$317,0),"n.a."))</f>
        <v>0</v>
      </c>
      <c r="L3426" s="16">
        <f>IF(NOT(Paths!$C$317=1),0,IF(Paths!$P$317="Complete",IF(C3426=10,Paths!$I$317,0),"n.a."))</f>
        <v>0</v>
      </c>
      <c r="M3426" s="16">
        <f>IF(NOT(Paths!$C$317=1),0,IF(Paths!$P$317="Complete",IF(AND(Paths!$D$317="EV",Paths!$E$317&lt;120,Paths!$E$317+'Operating costs'!$B$65&gt;Paths!$E$317,Paths!$E$317+'Operating costs'!$B$65&lt;=120,IF(Paths!$E$317+'Operating costs'!$B$65=0,C3426=0,AND(C3426&gt;0,Paths!$E$317+'Operating costs'!$B$65&gt;(C3426-1)*12,Paths!$E$317+'Operating costs'!$B$65&lt;=C3426*12))),'Operating costs'!$B$64,0)+IF(AND('Operating costs'!$B$67&gt;0,'Operating costs'!$B$67&lt;=120,OR(Paths!$D$317="ICE",'Operating costs'!$B$67&lt;=Paths!$E$317),IF('Operating costs'!$B$67=0,C3426=0,AND(C3426&gt;0,'Operating costs'!$B$67&gt;(C3426-1)*12,'Operating costs'!$B$67&lt;=C3426*12))),'Operating costs'!$B$66,0),"n.a."))</f>
        <v>0</v>
      </c>
      <c r="N3426" s="16">
        <f>IF(NOT(Paths!$C$317=1),0,IF(Paths!$P$317="Complete",SUM(G3426:I3426)-J3426-K3426-L3426+M3426+IF(C3426=0,Paths!$F$317,0)+IF(IF(Paths!$E$317=0,C3426=0,AND(C3426&gt;0,Paths!$E$317&gt;(C3426-1)*12,Paths!$E$317&lt;=C3426*12)),VLOOKUP(A3426,'Fleet register'!$A$7:$S$106,16,FALSE),0),"n.a."))</f>
        <v>0</v>
      </c>
      <c r="O3426" s="16">
        <f>IF(NOT(Paths!$C$317=1),0,IF(Paths!$P$317="Complete",N3426-IF(C3426=0,Paths!$F$317,0),"n.a."))</f>
        <v>0</v>
      </c>
      <c r="P3426" s="16">
        <f>IF(NOT(Paths!$C$317=1),0,IF(Paths!$P$317="Complete",O3426+L3426,"n.a."))</f>
        <v>0</v>
      </c>
      <c r="Q3426" s="16">
        <f>IF(NOT(Paths!$C$317=1),0,IF(Paths!$P$317="Complete",N3426*(1+'Operating costs'!$B$54)^-C3426,"n.a."))</f>
        <v>0</v>
      </c>
      <c r="R3426" s="16">
        <f>IF(NOT(Paths!$C$317=1),0,IF(Paths!$P$317="Complete",IF(AND(C3426=0,Paths!$E$317=0),I3426-J3426-K3426+VLOOKUP(A3426,'Fleet register'!$A$7:$S$106,15,FALSE)+VLOOKUP(A3426,'Fleet register'!$A$7:$S$106,16,FALSE),0),"n.a."))</f>
        <v>0</v>
      </c>
      <c r="S3426" s="1">
        <f>IF(NOT(Paths!$C$317=1),0,IF(Paths!$P$317="Complete",IF(C3426=0,0,Paths!$S$317*Paths!$R$317),"n.a."))</f>
        <v>0</v>
      </c>
      <c r="T3426" s="1">
        <f>IF(NOT(Paths!$C$317=1),0,IF(Paths!$P$317="Complete",IF(C3426=0,0,VLOOKUP(A3426,'Fleet register'!$A$7:$S$106,9,FALSE)*Paths!$R$317),"n.a."))</f>
        <v>0</v>
      </c>
    </row>
    <row r="3427" spans="1:20" ht="24" customHeight="1">
      <c r="A3427" s="1" t="str">
        <f>Paths!$A$317</f>
        <v>T078</v>
      </c>
      <c r="B3427" s="1">
        <f>Paths!$B$317</f>
        <v>2</v>
      </c>
      <c r="C3427" s="1">
        <v>10</v>
      </c>
      <c r="D3427" s="1">
        <v>317</v>
      </c>
      <c r="E3427" s="1">
        <f>IF(OR(Paths!$C$317=0,C3427=0),0,MAX(0,MIN(C3427*12,Paths!$E$317)-(C3427-1)*12))</f>
        <v>0</v>
      </c>
      <c r="F3427" s="1">
        <f>IF(OR(Paths!$C$317=0,C3427=0),0,12-E3427)</f>
        <v>0</v>
      </c>
      <c r="G3427" s="16">
        <f>IF(NOT(Paths!$C$317=1),0,IF(Paths!$P$317="Complete",E3427/12*(Paths!$J$317*(1+'Operating costs'!$B$51)^MAX(0,C3427-1)+Paths!$K$317*(1+'Operating costs'!$B$53)^MAX(0,C3427-1)),"n.a."))</f>
        <v>0</v>
      </c>
      <c r="H3427" s="16">
        <f>IF(NOT(Paths!$C$317=1),0,IF(Paths!$P$317="Complete",F3427/12*(Paths!$L$317*(1+IF(Paths!$D$317="EV",'Operating costs'!$B$52,'Operating costs'!$B$51))^MAX(0,C3427-1)+Paths!$M$317*(1+'Operating costs'!$B$53)^MAX(0,C3427-1)),"n.a."))</f>
        <v>0</v>
      </c>
      <c r="I3427" s="16">
        <f>IF(NOT(Paths!$C$317=1),0,IF(Paths!$P$317="Complete",IF(IF(Paths!$E$317=0,C3427=0,AND(C3427&gt;0,Paths!$E$317&gt;(C3427-1)*12,Paths!$E$317&lt;=C3427*12)),Paths!$G$317,0),"n.a."))</f>
        <v>0</v>
      </c>
      <c r="J3427" s="16">
        <f>IF(NOT(Paths!$C$317=1),0,IF(Paths!$P$317="Complete",IF(IF(Paths!$E$317=0,C3427=0,AND(C3427&gt;0,Paths!$E$317&gt;(C3427-1)*12,Paths!$E$317&lt;=C3427*12)),Paths!$H$317,0),"n.a."))</f>
        <v>0</v>
      </c>
      <c r="K3427" s="16">
        <f>IF(NOT(Paths!$C$317=1),0,IF(Paths!$P$317="Complete",IF(IF(Paths!$O$317=0,C3427=0,AND(C3427&gt;0,Paths!$O$317&gt;(C3427-1)*12,Paths!$O$317&lt;=C3427*12)),Paths!$N$317,0),"n.a."))</f>
        <v>0</v>
      </c>
      <c r="L3427" s="16">
        <f>IF(NOT(Paths!$C$317=1),0,IF(Paths!$P$317="Complete",IF(C3427=10,Paths!$I$317,0),"n.a."))</f>
        <v>0</v>
      </c>
      <c r="M3427" s="16">
        <f>IF(NOT(Paths!$C$317=1),0,IF(Paths!$P$317="Complete",IF(AND(Paths!$D$317="EV",Paths!$E$317&lt;120,Paths!$E$317+'Operating costs'!$B$65&gt;Paths!$E$317,Paths!$E$317+'Operating costs'!$B$65&lt;=120,IF(Paths!$E$317+'Operating costs'!$B$65=0,C3427=0,AND(C3427&gt;0,Paths!$E$317+'Operating costs'!$B$65&gt;(C3427-1)*12,Paths!$E$317+'Operating costs'!$B$65&lt;=C3427*12))),'Operating costs'!$B$64,0)+IF(AND('Operating costs'!$B$67&gt;0,'Operating costs'!$B$67&lt;=120,OR(Paths!$D$317="ICE",'Operating costs'!$B$67&lt;=Paths!$E$317),IF('Operating costs'!$B$67=0,C3427=0,AND(C3427&gt;0,'Operating costs'!$B$67&gt;(C3427-1)*12,'Operating costs'!$B$67&lt;=C3427*12))),'Operating costs'!$B$66,0),"n.a."))</f>
        <v>0</v>
      </c>
      <c r="N3427" s="16">
        <f>IF(NOT(Paths!$C$317=1),0,IF(Paths!$P$317="Complete",SUM(G3427:I3427)-J3427-K3427-L3427+M3427+IF(C3427=0,Paths!$F$317,0)+IF(IF(Paths!$E$317=0,C3427=0,AND(C3427&gt;0,Paths!$E$317&gt;(C3427-1)*12,Paths!$E$317&lt;=C3427*12)),VLOOKUP(A3427,'Fleet register'!$A$7:$S$106,16,FALSE),0),"n.a."))</f>
        <v>0</v>
      </c>
      <c r="O3427" s="16">
        <f>IF(NOT(Paths!$C$317=1),0,IF(Paths!$P$317="Complete",N3427-IF(C3427=0,Paths!$F$317,0),"n.a."))</f>
        <v>0</v>
      </c>
      <c r="P3427" s="16">
        <f>IF(NOT(Paths!$C$317=1),0,IF(Paths!$P$317="Complete",O3427+L3427,"n.a."))</f>
        <v>0</v>
      </c>
      <c r="Q3427" s="16">
        <f>IF(NOT(Paths!$C$317=1),0,IF(Paths!$P$317="Complete",N3427*(1+'Operating costs'!$B$54)^-C3427,"n.a."))</f>
        <v>0</v>
      </c>
      <c r="R3427" s="16">
        <f>IF(NOT(Paths!$C$317=1),0,IF(Paths!$P$317="Complete",IF(AND(C3427=0,Paths!$E$317=0),I3427-J3427-K3427+VLOOKUP(A3427,'Fleet register'!$A$7:$S$106,15,FALSE)+VLOOKUP(A3427,'Fleet register'!$A$7:$S$106,16,FALSE),0),"n.a."))</f>
        <v>0</v>
      </c>
      <c r="S3427" s="1">
        <f>IF(NOT(Paths!$C$317=1),0,IF(Paths!$P$317="Complete",IF(C3427=0,0,Paths!$S$317*Paths!$R$317),"n.a."))</f>
        <v>0</v>
      </c>
      <c r="T3427" s="1">
        <f>IF(NOT(Paths!$C$317=1),0,IF(Paths!$P$317="Complete",IF(C3427=0,0,VLOOKUP(A3427,'Fleet register'!$A$7:$S$106,9,FALSE)*Paths!$R$317),"n.a."))</f>
        <v>0</v>
      </c>
    </row>
    <row r="3428" spans="1:20" ht="24" customHeight="1">
      <c r="A3428" s="1" t="str">
        <f>Paths!$A$318</f>
        <v>T078</v>
      </c>
      <c r="B3428" s="1">
        <f>Paths!$B$318</f>
        <v>3</v>
      </c>
      <c r="C3428" s="1">
        <v>0</v>
      </c>
      <c r="D3428" s="1">
        <v>318</v>
      </c>
      <c r="E3428" s="1">
        <f>IF(OR(Paths!$C$318=0,C3428=0),0,MAX(0,MIN(C3428*12,Paths!$E$318)-(C3428-1)*12))</f>
        <v>0</v>
      </c>
      <c r="F3428" s="1">
        <f>IF(OR(Paths!$C$318=0,C3428=0),0,12-E3428)</f>
        <v>0</v>
      </c>
      <c r="G3428" s="16">
        <f>IF(NOT(Paths!$C$318=1),0,IF(Paths!$P$318="Complete",E3428/12*(Paths!$J$318*(1+'Operating costs'!$B$51)^MAX(0,C3428-1)+Paths!$K$318*(1+'Operating costs'!$B$53)^MAX(0,C3428-1)),"n.a."))</f>
        <v>0</v>
      </c>
      <c r="H3428" s="16">
        <f>IF(NOT(Paths!$C$318=1),0,IF(Paths!$P$318="Complete",F3428/12*(Paths!$L$318*(1+IF(Paths!$D$318="EV",'Operating costs'!$B$52,'Operating costs'!$B$51))^MAX(0,C3428-1)+Paths!$M$318*(1+'Operating costs'!$B$53)^MAX(0,C3428-1)),"n.a."))</f>
        <v>0</v>
      </c>
      <c r="I3428" s="16">
        <f>IF(NOT(Paths!$C$318=1),0,IF(Paths!$P$318="Complete",IF(IF(Paths!$E$318=0,C3428=0,AND(C3428&gt;0,Paths!$E$318&gt;(C3428-1)*12,Paths!$E$318&lt;=C3428*12)),Paths!$G$318,0),"n.a."))</f>
        <v>0</v>
      </c>
      <c r="J3428" s="16">
        <f>IF(NOT(Paths!$C$318=1),0,IF(Paths!$P$318="Complete",IF(IF(Paths!$E$318=0,C3428=0,AND(C3428&gt;0,Paths!$E$318&gt;(C3428-1)*12,Paths!$E$318&lt;=C3428*12)),Paths!$H$318,0),"n.a."))</f>
        <v>0</v>
      </c>
      <c r="K3428" s="16">
        <f>IF(NOT(Paths!$C$318=1),0,IF(Paths!$P$318="Complete",IF(IF(Paths!$O$318=0,C3428=0,AND(C3428&gt;0,Paths!$O$318&gt;(C3428-1)*12,Paths!$O$318&lt;=C3428*12)),Paths!$N$318,0),"n.a."))</f>
        <v>0</v>
      </c>
      <c r="L3428" s="16">
        <f>IF(NOT(Paths!$C$318=1),0,IF(Paths!$P$318="Complete",IF(C3428=10,Paths!$I$318,0),"n.a."))</f>
        <v>0</v>
      </c>
      <c r="M3428" s="16">
        <f>IF(NOT(Paths!$C$318=1),0,IF(Paths!$P$318="Complete",IF(AND(Paths!$D$318="EV",Paths!$E$318&lt;120,Paths!$E$318+'Operating costs'!$B$65&gt;Paths!$E$318,Paths!$E$318+'Operating costs'!$B$65&lt;=120,IF(Paths!$E$318+'Operating costs'!$B$65=0,C3428=0,AND(C3428&gt;0,Paths!$E$318+'Operating costs'!$B$65&gt;(C3428-1)*12,Paths!$E$318+'Operating costs'!$B$65&lt;=C3428*12))),'Operating costs'!$B$64,0)+IF(AND('Operating costs'!$B$67&gt;0,'Operating costs'!$B$67&lt;=120,OR(Paths!$D$318="ICE",'Operating costs'!$B$67&lt;=Paths!$E$318),IF('Operating costs'!$B$67=0,C3428=0,AND(C3428&gt;0,'Operating costs'!$B$67&gt;(C3428-1)*12,'Operating costs'!$B$67&lt;=C3428*12))),'Operating costs'!$B$66,0),"n.a."))</f>
        <v>0</v>
      </c>
      <c r="N3428" s="16">
        <f>IF(NOT(Paths!$C$318=1),0,IF(Paths!$P$318="Complete",SUM(G3428:I3428)-J3428-K3428-L3428+M3428+IF(C3428=0,Paths!$F$318,0)+IF(IF(Paths!$E$318=0,C3428=0,AND(C3428&gt;0,Paths!$E$318&gt;(C3428-1)*12,Paths!$E$318&lt;=C3428*12)),VLOOKUP(A3428,'Fleet register'!$A$7:$S$106,16,FALSE),0),"n.a."))</f>
        <v>0</v>
      </c>
      <c r="O3428" s="16">
        <f>IF(NOT(Paths!$C$318=1),0,IF(Paths!$P$318="Complete",N3428-IF(C3428=0,Paths!$F$318,0),"n.a."))</f>
        <v>0</v>
      </c>
      <c r="P3428" s="16">
        <f>IF(NOT(Paths!$C$318=1),0,IF(Paths!$P$318="Complete",O3428+L3428,"n.a."))</f>
        <v>0</v>
      </c>
      <c r="Q3428" s="16">
        <f>IF(NOT(Paths!$C$318=1),0,IF(Paths!$P$318="Complete",N3428*(1+'Operating costs'!$B$54)^-C3428,"n.a."))</f>
        <v>0</v>
      </c>
      <c r="R3428" s="16">
        <f>IF(NOT(Paths!$C$318=1),0,IF(Paths!$P$318="Complete",IF(AND(C3428=0,Paths!$E$318=0),I3428-J3428-K3428+VLOOKUP(A3428,'Fleet register'!$A$7:$S$106,15,FALSE)+VLOOKUP(A3428,'Fleet register'!$A$7:$S$106,16,FALSE),0),"n.a."))</f>
        <v>0</v>
      </c>
      <c r="S3428" s="1">
        <f>IF(NOT(Paths!$C$318=1),0,IF(Paths!$P$318="Complete",IF(C3428=0,0,Paths!$S$318*Paths!$R$318),"n.a."))</f>
        <v>0</v>
      </c>
      <c r="T3428" s="1">
        <f>IF(NOT(Paths!$C$318=1),0,IF(Paths!$P$318="Complete",IF(C3428=0,0,VLOOKUP(A3428,'Fleet register'!$A$7:$S$106,9,FALSE)*Paths!$R$318),"n.a."))</f>
        <v>0</v>
      </c>
    </row>
    <row r="3429" spans="1:20" ht="24" customHeight="1">
      <c r="A3429" s="1" t="str">
        <f>Paths!$A$318</f>
        <v>T078</v>
      </c>
      <c r="B3429" s="1">
        <f>Paths!$B$318</f>
        <v>3</v>
      </c>
      <c r="C3429" s="1">
        <v>1</v>
      </c>
      <c r="D3429" s="1">
        <v>318</v>
      </c>
      <c r="E3429" s="1">
        <f>IF(OR(Paths!$C$318=0,C3429=0),0,MAX(0,MIN(C3429*12,Paths!$E$318)-(C3429-1)*12))</f>
        <v>0</v>
      </c>
      <c r="F3429" s="1">
        <f>IF(OR(Paths!$C$318=0,C3429=0),0,12-E3429)</f>
        <v>0</v>
      </c>
      <c r="G3429" s="16">
        <f>IF(NOT(Paths!$C$318=1),0,IF(Paths!$P$318="Complete",E3429/12*(Paths!$J$318*(1+'Operating costs'!$B$51)^MAX(0,C3429-1)+Paths!$K$318*(1+'Operating costs'!$B$53)^MAX(0,C3429-1)),"n.a."))</f>
        <v>0</v>
      </c>
      <c r="H3429" s="16">
        <f>IF(NOT(Paths!$C$318=1),0,IF(Paths!$P$318="Complete",F3429/12*(Paths!$L$318*(1+IF(Paths!$D$318="EV",'Operating costs'!$B$52,'Operating costs'!$B$51))^MAX(0,C3429-1)+Paths!$M$318*(1+'Operating costs'!$B$53)^MAX(0,C3429-1)),"n.a."))</f>
        <v>0</v>
      </c>
      <c r="I3429" s="16">
        <f>IF(NOT(Paths!$C$318=1),0,IF(Paths!$P$318="Complete",IF(IF(Paths!$E$318=0,C3429=0,AND(C3429&gt;0,Paths!$E$318&gt;(C3429-1)*12,Paths!$E$318&lt;=C3429*12)),Paths!$G$318,0),"n.a."))</f>
        <v>0</v>
      </c>
      <c r="J3429" s="16">
        <f>IF(NOT(Paths!$C$318=1),0,IF(Paths!$P$318="Complete",IF(IF(Paths!$E$318=0,C3429=0,AND(C3429&gt;0,Paths!$E$318&gt;(C3429-1)*12,Paths!$E$318&lt;=C3429*12)),Paths!$H$318,0),"n.a."))</f>
        <v>0</v>
      </c>
      <c r="K3429" s="16">
        <f>IF(NOT(Paths!$C$318=1),0,IF(Paths!$P$318="Complete",IF(IF(Paths!$O$318=0,C3429=0,AND(C3429&gt;0,Paths!$O$318&gt;(C3429-1)*12,Paths!$O$318&lt;=C3429*12)),Paths!$N$318,0),"n.a."))</f>
        <v>0</v>
      </c>
      <c r="L3429" s="16">
        <f>IF(NOT(Paths!$C$318=1),0,IF(Paths!$P$318="Complete",IF(C3429=10,Paths!$I$318,0),"n.a."))</f>
        <v>0</v>
      </c>
      <c r="M3429" s="16">
        <f>IF(NOT(Paths!$C$318=1),0,IF(Paths!$P$318="Complete",IF(AND(Paths!$D$318="EV",Paths!$E$318&lt;120,Paths!$E$318+'Operating costs'!$B$65&gt;Paths!$E$318,Paths!$E$318+'Operating costs'!$B$65&lt;=120,IF(Paths!$E$318+'Operating costs'!$B$65=0,C3429=0,AND(C3429&gt;0,Paths!$E$318+'Operating costs'!$B$65&gt;(C3429-1)*12,Paths!$E$318+'Operating costs'!$B$65&lt;=C3429*12))),'Operating costs'!$B$64,0)+IF(AND('Operating costs'!$B$67&gt;0,'Operating costs'!$B$67&lt;=120,OR(Paths!$D$318="ICE",'Operating costs'!$B$67&lt;=Paths!$E$318),IF('Operating costs'!$B$67=0,C3429=0,AND(C3429&gt;0,'Operating costs'!$B$67&gt;(C3429-1)*12,'Operating costs'!$B$67&lt;=C3429*12))),'Operating costs'!$B$66,0),"n.a."))</f>
        <v>0</v>
      </c>
      <c r="N3429" s="16">
        <f>IF(NOT(Paths!$C$318=1),0,IF(Paths!$P$318="Complete",SUM(G3429:I3429)-J3429-K3429-L3429+M3429+IF(C3429=0,Paths!$F$318,0)+IF(IF(Paths!$E$318=0,C3429=0,AND(C3429&gt;0,Paths!$E$318&gt;(C3429-1)*12,Paths!$E$318&lt;=C3429*12)),VLOOKUP(A3429,'Fleet register'!$A$7:$S$106,16,FALSE),0),"n.a."))</f>
        <v>0</v>
      </c>
      <c r="O3429" s="16">
        <f>IF(NOT(Paths!$C$318=1),0,IF(Paths!$P$318="Complete",N3429-IF(C3429=0,Paths!$F$318,0),"n.a."))</f>
        <v>0</v>
      </c>
      <c r="P3429" s="16">
        <f>IF(NOT(Paths!$C$318=1),0,IF(Paths!$P$318="Complete",O3429+L3429,"n.a."))</f>
        <v>0</v>
      </c>
      <c r="Q3429" s="16">
        <f>IF(NOT(Paths!$C$318=1),0,IF(Paths!$P$318="Complete",N3429*(1+'Operating costs'!$B$54)^-C3429,"n.a."))</f>
        <v>0</v>
      </c>
      <c r="R3429" s="16">
        <f>IF(NOT(Paths!$C$318=1),0,IF(Paths!$P$318="Complete",IF(AND(C3429=0,Paths!$E$318=0),I3429-J3429-K3429+VLOOKUP(A3429,'Fleet register'!$A$7:$S$106,15,FALSE)+VLOOKUP(A3429,'Fleet register'!$A$7:$S$106,16,FALSE),0),"n.a."))</f>
        <v>0</v>
      </c>
      <c r="S3429" s="1">
        <f>IF(NOT(Paths!$C$318=1),0,IF(Paths!$P$318="Complete",IF(C3429=0,0,Paths!$S$318*Paths!$R$318),"n.a."))</f>
        <v>0</v>
      </c>
      <c r="T3429" s="1">
        <f>IF(NOT(Paths!$C$318=1),0,IF(Paths!$P$318="Complete",IF(C3429=0,0,VLOOKUP(A3429,'Fleet register'!$A$7:$S$106,9,FALSE)*Paths!$R$318),"n.a."))</f>
        <v>0</v>
      </c>
    </row>
    <row r="3430" spans="1:20" ht="24" customHeight="1">
      <c r="A3430" s="1" t="str">
        <f>Paths!$A$318</f>
        <v>T078</v>
      </c>
      <c r="B3430" s="1">
        <f>Paths!$B$318</f>
        <v>3</v>
      </c>
      <c r="C3430" s="1">
        <v>2</v>
      </c>
      <c r="D3430" s="1">
        <v>318</v>
      </c>
      <c r="E3430" s="1">
        <f>IF(OR(Paths!$C$318=0,C3430=0),0,MAX(0,MIN(C3430*12,Paths!$E$318)-(C3430-1)*12))</f>
        <v>0</v>
      </c>
      <c r="F3430" s="1">
        <f>IF(OR(Paths!$C$318=0,C3430=0),0,12-E3430)</f>
        <v>0</v>
      </c>
      <c r="G3430" s="16">
        <f>IF(NOT(Paths!$C$318=1),0,IF(Paths!$P$318="Complete",E3430/12*(Paths!$J$318*(1+'Operating costs'!$B$51)^MAX(0,C3430-1)+Paths!$K$318*(1+'Operating costs'!$B$53)^MAX(0,C3430-1)),"n.a."))</f>
        <v>0</v>
      </c>
      <c r="H3430" s="16">
        <f>IF(NOT(Paths!$C$318=1),0,IF(Paths!$P$318="Complete",F3430/12*(Paths!$L$318*(1+IF(Paths!$D$318="EV",'Operating costs'!$B$52,'Operating costs'!$B$51))^MAX(0,C3430-1)+Paths!$M$318*(1+'Operating costs'!$B$53)^MAX(0,C3430-1)),"n.a."))</f>
        <v>0</v>
      </c>
      <c r="I3430" s="16">
        <f>IF(NOT(Paths!$C$318=1),0,IF(Paths!$P$318="Complete",IF(IF(Paths!$E$318=0,C3430=0,AND(C3430&gt;0,Paths!$E$318&gt;(C3430-1)*12,Paths!$E$318&lt;=C3430*12)),Paths!$G$318,0),"n.a."))</f>
        <v>0</v>
      </c>
      <c r="J3430" s="16">
        <f>IF(NOT(Paths!$C$318=1),0,IF(Paths!$P$318="Complete",IF(IF(Paths!$E$318=0,C3430=0,AND(C3430&gt;0,Paths!$E$318&gt;(C3430-1)*12,Paths!$E$318&lt;=C3430*12)),Paths!$H$318,0),"n.a."))</f>
        <v>0</v>
      </c>
      <c r="K3430" s="16">
        <f>IF(NOT(Paths!$C$318=1),0,IF(Paths!$P$318="Complete",IF(IF(Paths!$O$318=0,C3430=0,AND(C3430&gt;0,Paths!$O$318&gt;(C3430-1)*12,Paths!$O$318&lt;=C3430*12)),Paths!$N$318,0),"n.a."))</f>
        <v>0</v>
      </c>
      <c r="L3430" s="16">
        <f>IF(NOT(Paths!$C$318=1),0,IF(Paths!$P$318="Complete",IF(C3430=10,Paths!$I$318,0),"n.a."))</f>
        <v>0</v>
      </c>
      <c r="M3430" s="16">
        <f>IF(NOT(Paths!$C$318=1),0,IF(Paths!$P$318="Complete",IF(AND(Paths!$D$318="EV",Paths!$E$318&lt;120,Paths!$E$318+'Operating costs'!$B$65&gt;Paths!$E$318,Paths!$E$318+'Operating costs'!$B$65&lt;=120,IF(Paths!$E$318+'Operating costs'!$B$65=0,C3430=0,AND(C3430&gt;0,Paths!$E$318+'Operating costs'!$B$65&gt;(C3430-1)*12,Paths!$E$318+'Operating costs'!$B$65&lt;=C3430*12))),'Operating costs'!$B$64,0)+IF(AND('Operating costs'!$B$67&gt;0,'Operating costs'!$B$67&lt;=120,OR(Paths!$D$318="ICE",'Operating costs'!$B$67&lt;=Paths!$E$318),IF('Operating costs'!$B$67=0,C3430=0,AND(C3430&gt;0,'Operating costs'!$B$67&gt;(C3430-1)*12,'Operating costs'!$B$67&lt;=C3430*12))),'Operating costs'!$B$66,0),"n.a."))</f>
        <v>0</v>
      </c>
      <c r="N3430" s="16">
        <f>IF(NOT(Paths!$C$318=1),0,IF(Paths!$P$318="Complete",SUM(G3430:I3430)-J3430-K3430-L3430+M3430+IF(C3430=0,Paths!$F$318,0)+IF(IF(Paths!$E$318=0,C3430=0,AND(C3430&gt;0,Paths!$E$318&gt;(C3430-1)*12,Paths!$E$318&lt;=C3430*12)),VLOOKUP(A3430,'Fleet register'!$A$7:$S$106,16,FALSE),0),"n.a."))</f>
        <v>0</v>
      </c>
      <c r="O3430" s="16">
        <f>IF(NOT(Paths!$C$318=1),0,IF(Paths!$P$318="Complete",N3430-IF(C3430=0,Paths!$F$318,0),"n.a."))</f>
        <v>0</v>
      </c>
      <c r="P3430" s="16">
        <f>IF(NOT(Paths!$C$318=1),0,IF(Paths!$P$318="Complete",O3430+L3430,"n.a."))</f>
        <v>0</v>
      </c>
      <c r="Q3430" s="16">
        <f>IF(NOT(Paths!$C$318=1),0,IF(Paths!$P$318="Complete",N3430*(1+'Operating costs'!$B$54)^-C3430,"n.a."))</f>
        <v>0</v>
      </c>
      <c r="R3430" s="16">
        <f>IF(NOT(Paths!$C$318=1),0,IF(Paths!$P$318="Complete",IF(AND(C3430=0,Paths!$E$318=0),I3430-J3430-K3430+VLOOKUP(A3430,'Fleet register'!$A$7:$S$106,15,FALSE)+VLOOKUP(A3430,'Fleet register'!$A$7:$S$106,16,FALSE),0),"n.a."))</f>
        <v>0</v>
      </c>
      <c r="S3430" s="1">
        <f>IF(NOT(Paths!$C$318=1),0,IF(Paths!$P$318="Complete",IF(C3430=0,0,Paths!$S$318*Paths!$R$318),"n.a."))</f>
        <v>0</v>
      </c>
      <c r="T3430" s="1">
        <f>IF(NOT(Paths!$C$318=1),0,IF(Paths!$P$318="Complete",IF(C3430=0,0,VLOOKUP(A3430,'Fleet register'!$A$7:$S$106,9,FALSE)*Paths!$R$318),"n.a."))</f>
        <v>0</v>
      </c>
    </row>
    <row r="3431" spans="1:20" ht="24" customHeight="1">
      <c r="A3431" s="1" t="str">
        <f>Paths!$A$318</f>
        <v>T078</v>
      </c>
      <c r="B3431" s="1">
        <f>Paths!$B$318</f>
        <v>3</v>
      </c>
      <c r="C3431" s="1">
        <v>3</v>
      </c>
      <c r="D3431" s="1">
        <v>318</v>
      </c>
      <c r="E3431" s="1">
        <f>IF(OR(Paths!$C$318=0,C3431=0),0,MAX(0,MIN(C3431*12,Paths!$E$318)-(C3431-1)*12))</f>
        <v>0</v>
      </c>
      <c r="F3431" s="1">
        <f>IF(OR(Paths!$C$318=0,C3431=0),0,12-E3431)</f>
        <v>0</v>
      </c>
      <c r="G3431" s="16">
        <f>IF(NOT(Paths!$C$318=1),0,IF(Paths!$P$318="Complete",E3431/12*(Paths!$J$318*(1+'Operating costs'!$B$51)^MAX(0,C3431-1)+Paths!$K$318*(1+'Operating costs'!$B$53)^MAX(0,C3431-1)),"n.a."))</f>
        <v>0</v>
      </c>
      <c r="H3431" s="16">
        <f>IF(NOT(Paths!$C$318=1),0,IF(Paths!$P$318="Complete",F3431/12*(Paths!$L$318*(1+IF(Paths!$D$318="EV",'Operating costs'!$B$52,'Operating costs'!$B$51))^MAX(0,C3431-1)+Paths!$M$318*(1+'Operating costs'!$B$53)^MAX(0,C3431-1)),"n.a."))</f>
        <v>0</v>
      </c>
      <c r="I3431" s="16">
        <f>IF(NOT(Paths!$C$318=1),0,IF(Paths!$P$318="Complete",IF(IF(Paths!$E$318=0,C3431=0,AND(C3431&gt;0,Paths!$E$318&gt;(C3431-1)*12,Paths!$E$318&lt;=C3431*12)),Paths!$G$318,0),"n.a."))</f>
        <v>0</v>
      </c>
      <c r="J3431" s="16">
        <f>IF(NOT(Paths!$C$318=1),0,IF(Paths!$P$318="Complete",IF(IF(Paths!$E$318=0,C3431=0,AND(C3431&gt;0,Paths!$E$318&gt;(C3431-1)*12,Paths!$E$318&lt;=C3431*12)),Paths!$H$318,0),"n.a."))</f>
        <v>0</v>
      </c>
      <c r="K3431" s="16">
        <f>IF(NOT(Paths!$C$318=1),0,IF(Paths!$P$318="Complete",IF(IF(Paths!$O$318=0,C3431=0,AND(C3431&gt;0,Paths!$O$318&gt;(C3431-1)*12,Paths!$O$318&lt;=C3431*12)),Paths!$N$318,0),"n.a."))</f>
        <v>0</v>
      </c>
      <c r="L3431" s="16">
        <f>IF(NOT(Paths!$C$318=1),0,IF(Paths!$P$318="Complete",IF(C3431=10,Paths!$I$318,0),"n.a."))</f>
        <v>0</v>
      </c>
      <c r="M3431" s="16">
        <f>IF(NOT(Paths!$C$318=1),0,IF(Paths!$P$318="Complete",IF(AND(Paths!$D$318="EV",Paths!$E$318&lt;120,Paths!$E$318+'Operating costs'!$B$65&gt;Paths!$E$318,Paths!$E$318+'Operating costs'!$B$65&lt;=120,IF(Paths!$E$318+'Operating costs'!$B$65=0,C3431=0,AND(C3431&gt;0,Paths!$E$318+'Operating costs'!$B$65&gt;(C3431-1)*12,Paths!$E$318+'Operating costs'!$B$65&lt;=C3431*12))),'Operating costs'!$B$64,0)+IF(AND('Operating costs'!$B$67&gt;0,'Operating costs'!$B$67&lt;=120,OR(Paths!$D$318="ICE",'Operating costs'!$B$67&lt;=Paths!$E$318),IF('Operating costs'!$B$67=0,C3431=0,AND(C3431&gt;0,'Operating costs'!$B$67&gt;(C3431-1)*12,'Operating costs'!$B$67&lt;=C3431*12))),'Operating costs'!$B$66,0),"n.a."))</f>
        <v>0</v>
      </c>
      <c r="N3431" s="16">
        <f>IF(NOT(Paths!$C$318=1),0,IF(Paths!$P$318="Complete",SUM(G3431:I3431)-J3431-K3431-L3431+M3431+IF(C3431=0,Paths!$F$318,0)+IF(IF(Paths!$E$318=0,C3431=0,AND(C3431&gt;0,Paths!$E$318&gt;(C3431-1)*12,Paths!$E$318&lt;=C3431*12)),VLOOKUP(A3431,'Fleet register'!$A$7:$S$106,16,FALSE),0),"n.a."))</f>
        <v>0</v>
      </c>
      <c r="O3431" s="16">
        <f>IF(NOT(Paths!$C$318=1),0,IF(Paths!$P$318="Complete",N3431-IF(C3431=0,Paths!$F$318,0),"n.a."))</f>
        <v>0</v>
      </c>
      <c r="P3431" s="16">
        <f>IF(NOT(Paths!$C$318=1),0,IF(Paths!$P$318="Complete",O3431+L3431,"n.a."))</f>
        <v>0</v>
      </c>
      <c r="Q3431" s="16">
        <f>IF(NOT(Paths!$C$318=1),0,IF(Paths!$P$318="Complete",N3431*(1+'Operating costs'!$B$54)^-C3431,"n.a."))</f>
        <v>0</v>
      </c>
      <c r="R3431" s="16">
        <f>IF(NOT(Paths!$C$318=1),0,IF(Paths!$P$318="Complete",IF(AND(C3431=0,Paths!$E$318=0),I3431-J3431-K3431+VLOOKUP(A3431,'Fleet register'!$A$7:$S$106,15,FALSE)+VLOOKUP(A3431,'Fleet register'!$A$7:$S$106,16,FALSE),0),"n.a."))</f>
        <v>0</v>
      </c>
      <c r="S3431" s="1">
        <f>IF(NOT(Paths!$C$318=1),0,IF(Paths!$P$318="Complete",IF(C3431=0,0,Paths!$S$318*Paths!$R$318),"n.a."))</f>
        <v>0</v>
      </c>
      <c r="T3431" s="1">
        <f>IF(NOT(Paths!$C$318=1),0,IF(Paths!$P$318="Complete",IF(C3431=0,0,VLOOKUP(A3431,'Fleet register'!$A$7:$S$106,9,FALSE)*Paths!$R$318),"n.a."))</f>
        <v>0</v>
      </c>
    </row>
    <row r="3432" spans="1:20" ht="24" customHeight="1">
      <c r="A3432" s="1" t="str">
        <f>Paths!$A$318</f>
        <v>T078</v>
      </c>
      <c r="B3432" s="1">
        <f>Paths!$B$318</f>
        <v>3</v>
      </c>
      <c r="C3432" s="1">
        <v>4</v>
      </c>
      <c r="D3432" s="1">
        <v>318</v>
      </c>
      <c r="E3432" s="1">
        <f>IF(OR(Paths!$C$318=0,C3432=0),0,MAX(0,MIN(C3432*12,Paths!$E$318)-(C3432-1)*12))</f>
        <v>0</v>
      </c>
      <c r="F3432" s="1">
        <f>IF(OR(Paths!$C$318=0,C3432=0),0,12-E3432)</f>
        <v>0</v>
      </c>
      <c r="G3432" s="16">
        <f>IF(NOT(Paths!$C$318=1),0,IF(Paths!$P$318="Complete",E3432/12*(Paths!$J$318*(1+'Operating costs'!$B$51)^MAX(0,C3432-1)+Paths!$K$318*(1+'Operating costs'!$B$53)^MAX(0,C3432-1)),"n.a."))</f>
        <v>0</v>
      </c>
      <c r="H3432" s="16">
        <f>IF(NOT(Paths!$C$318=1),0,IF(Paths!$P$318="Complete",F3432/12*(Paths!$L$318*(1+IF(Paths!$D$318="EV",'Operating costs'!$B$52,'Operating costs'!$B$51))^MAX(0,C3432-1)+Paths!$M$318*(1+'Operating costs'!$B$53)^MAX(0,C3432-1)),"n.a."))</f>
        <v>0</v>
      </c>
      <c r="I3432" s="16">
        <f>IF(NOT(Paths!$C$318=1),0,IF(Paths!$P$318="Complete",IF(IF(Paths!$E$318=0,C3432=0,AND(C3432&gt;0,Paths!$E$318&gt;(C3432-1)*12,Paths!$E$318&lt;=C3432*12)),Paths!$G$318,0),"n.a."))</f>
        <v>0</v>
      </c>
      <c r="J3432" s="16">
        <f>IF(NOT(Paths!$C$318=1),0,IF(Paths!$P$318="Complete",IF(IF(Paths!$E$318=0,C3432=0,AND(C3432&gt;0,Paths!$E$318&gt;(C3432-1)*12,Paths!$E$318&lt;=C3432*12)),Paths!$H$318,0),"n.a."))</f>
        <v>0</v>
      </c>
      <c r="K3432" s="16">
        <f>IF(NOT(Paths!$C$318=1),0,IF(Paths!$P$318="Complete",IF(IF(Paths!$O$318=0,C3432=0,AND(C3432&gt;0,Paths!$O$318&gt;(C3432-1)*12,Paths!$O$318&lt;=C3432*12)),Paths!$N$318,0),"n.a."))</f>
        <v>0</v>
      </c>
      <c r="L3432" s="16">
        <f>IF(NOT(Paths!$C$318=1),0,IF(Paths!$P$318="Complete",IF(C3432=10,Paths!$I$318,0),"n.a."))</f>
        <v>0</v>
      </c>
      <c r="M3432" s="16">
        <f>IF(NOT(Paths!$C$318=1),0,IF(Paths!$P$318="Complete",IF(AND(Paths!$D$318="EV",Paths!$E$318&lt;120,Paths!$E$318+'Operating costs'!$B$65&gt;Paths!$E$318,Paths!$E$318+'Operating costs'!$B$65&lt;=120,IF(Paths!$E$318+'Operating costs'!$B$65=0,C3432=0,AND(C3432&gt;0,Paths!$E$318+'Operating costs'!$B$65&gt;(C3432-1)*12,Paths!$E$318+'Operating costs'!$B$65&lt;=C3432*12))),'Operating costs'!$B$64,0)+IF(AND('Operating costs'!$B$67&gt;0,'Operating costs'!$B$67&lt;=120,OR(Paths!$D$318="ICE",'Operating costs'!$B$67&lt;=Paths!$E$318),IF('Operating costs'!$B$67=0,C3432=0,AND(C3432&gt;0,'Operating costs'!$B$67&gt;(C3432-1)*12,'Operating costs'!$B$67&lt;=C3432*12))),'Operating costs'!$B$66,0),"n.a."))</f>
        <v>0</v>
      </c>
      <c r="N3432" s="16">
        <f>IF(NOT(Paths!$C$318=1),0,IF(Paths!$P$318="Complete",SUM(G3432:I3432)-J3432-K3432-L3432+M3432+IF(C3432=0,Paths!$F$318,0)+IF(IF(Paths!$E$318=0,C3432=0,AND(C3432&gt;0,Paths!$E$318&gt;(C3432-1)*12,Paths!$E$318&lt;=C3432*12)),VLOOKUP(A3432,'Fleet register'!$A$7:$S$106,16,FALSE),0),"n.a."))</f>
        <v>0</v>
      </c>
      <c r="O3432" s="16">
        <f>IF(NOT(Paths!$C$318=1),0,IF(Paths!$P$318="Complete",N3432-IF(C3432=0,Paths!$F$318,0),"n.a."))</f>
        <v>0</v>
      </c>
      <c r="P3432" s="16">
        <f>IF(NOT(Paths!$C$318=1),0,IF(Paths!$P$318="Complete",O3432+L3432,"n.a."))</f>
        <v>0</v>
      </c>
      <c r="Q3432" s="16">
        <f>IF(NOT(Paths!$C$318=1),0,IF(Paths!$P$318="Complete",N3432*(1+'Operating costs'!$B$54)^-C3432,"n.a."))</f>
        <v>0</v>
      </c>
      <c r="R3432" s="16">
        <f>IF(NOT(Paths!$C$318=1),0,IF(Paths!$P$318="Complete",IF(AND(C3432=0,Paths!$E$318=0),I3432-J3432-K3432+VLOOKUP(A3432,'Fleet register'!$A$7:$S$106,15,FALSE)+VLOOKUP(A3432,'Fleet register'!$A$7:$S$106,16,FALSE),0),"n.a."))</f>
        <v>0</v>
      </c>
      <c r="S3432" s="1">
        <f>IF(NOT(Paths!$C$318=1),0,IF(Paths!$P$318="Complete",IF(C3432=0,0,Paths!$S$318*Paths!$R$318),"n.a."))</f>
        <v>0</v>
      </c>
      <c r="T3432" s="1">
        <f>IF(NOT(Paths!$C$318=1),0,IF(Paths!$P$318="Complete",IF(C3432=0,0,VLOOKUP(A3432,'Fleet register'!$A$7:$S$106,9,FALSE)*Paths!$R$318),"n.a."))</f>
        <v>0</v>
      </c>
    </row>
    <row r="3433" spans="1:20" ht="24" customHeight="1">
      <c r="A3433" s="1" t="str">
        <f>Paths!$A$318</f>
        <v>T078</v>
      </c>
      <c r="B3433" s="1">
        <f>Paths!$B$318</f>
        <v>3</v>
      </c>
      <c r="C3433" s="1">
        <v>5</v>
      </c>
      <c r="D3433" s="1">
        <v>318</v>
      </c>
      <c r="E3433" s="1">
        <f>IF(OR(Paths!$C$318=0,C3433=0),0,MAX(0,MIN(C3433*12,Paths!$E$318)-(C3433-1)*12))</f>
        <v>0</v>
      </c>
      <c r="F3433" s="1">
        <f>IF(OR(Paths!$C$318=0,C3433=0),0,12-E3433)</f>
        <v>0</v>
      </c>
      <c r="G3433" s="16">
        <f>IF(NOT(Paths!$C$318=1),0,IF(Paths!$P$318="Complete",E3433/12*(Paths!$J$318*(1+'Operating costs'!$B$51)^MAX(0,C3433-1)+Paths!$K$318*(1+'Operating costs'!$B$53)^MAX(0,C3433-1)),"n.a."))</f>
        <v>0</v>
      </c>
      <c r="H3433" s="16">
        <f>IF(NOT(Paths!$C$318=1),0,IF(Paths!$P$318="Complete",F3433/12*(Paths!$L$318*(1+IF(Paths!$D$318="EV",'Operating costs'!$B$52,'Operating costs'!$B$51))^MAX(0,C3433-1)+Paths!$M$318*(1+'Operating costs'!$B$53)^MAX(0,C3433-1)),"n.a."))</f>
        <v>0</v>
      </c>
      <c r="I3433" s="16">
        <f>IF(NOT(Paths!$C$318=1),0,IF(Paths!$P$318="Complete",IF(IF(Paths!$E$318=0,C3433=0,AND(C3433&gt;0,Paths!$E$318&gt;(C3433-1)*12,Paths!$E$318&lt;=C3433*12)),Paths!$G$318,0),"n.a."))</f>
        <v>0</v>
      </c>
      <c r="J3433" s="16">
        <f>IF(NOT(Paths!$C$318=1),0,IF(Paths!$P$318="Complete",IF(IF(Paths!$E$318=0,C3433=0,AND(C3433&gt;0,Paths!$E$318&gt;(C3433-1)*12,Paths!$E$318&lt;=C3433*12)),Paths!$H$318,0),"n.a."))</f>
        <v>0</v>
      </c>
      <c r="K3433" s="16">
        <f>IF(NOT(Paths!$C$318=1),0,IF(Paths!$P$318="Complete",IF(IF(Paths!$O$318=0,C3433=0,AND(C3433&gt;0,Paths!$O$318&gt;(C3433-1)*12,Paths!$O$318&lt;=C3433*12)),Paths!$N$318,0),"n.a."))</f>
        <v>0</v>
      </c>
      <c r="L3433" s="16">
        <f>IF(NOT(Paths!$C$318=1),0,IF(Paths!$P$318="Complete",IF(C3433=10,Paths!$I$318,0),"n.a."))</f>
        <v>0</v>
      </c>
      <c r="M3433" s="16">
        <f>IF(NOT(Paths!$C$318=1),0,IF(Paths!$P$318="Complete",IF(AND(Paths!$D$318="EV",Paths!$E$318&lt;120,Paths!$E$318+'Operating costs'!$B$65&gt;Paths!$E$318,Paths!$E$318+'Operating costs'!$B$65&lt;=120,IF(Paths!$E$318+'Operating costs'!$B$65=0,C3433=0,AND(C3433&gt;0,Paths!$E$318+'Operating costs'!$B$65&gt;(C3433-1)*12,Paths!$E$318+'Operating costs'!$B$65&lt;=C3433*12))),'Operating costs'!$B$64,0)+IF(AND('Operating costs'!$B$67&gt;0,'Operating costs'!$B$67&lt;=120,OR(Paths!$D$318="ICE",'Operating costs'!$B$67&lt;=Paths!$E$318),IF('Operating costs'!$B$67=0,C3433=0,AND(C3433&gt;0,'Operating costs'!$B$67&gt;(C3433-1)*12,'Operating costs'!$B$67&lt;=C3433*12))),'Operating costs'!$B$66,0),"n.a."))</f>
        <v>0</v>
      </c>
      <c r="N3433" s="16">
        <f>IF(NOT(Paths!$C$318=1),0,IF(Paths!$P$318="Complete",SUM(G3433:I3433)-J3433-K3433-L3433+M3433+IF(C3433=0,Paths!$F$318,0)+IF(IF(Paths!$E$318=0,C3433=0,AND(C3433&gt;0,Paths!$E$318&gt;(C3433-1)*12,Paths!$E$318&lt;=C3433*12)),VLOOKUP(A3433,'Fleet register'!$A$7:$S$106,16,FALSE),0),"n.a."))</f>
        <v>0</v>
      </c>
      <c r="O3433" s="16">
        <f>IF(NOT(Paths!$C$318=1),0,IF(Paths!$P$318="Complete",N3433-IF(C3433=0,Paths!$F$318,0),"n.a."))</f>
        <v>0</v>
      </c>
      <c r="P3433" s="16">
        <f>IF(NOT(Paths!$C$318=1),0,IF(Paths!$P$318="Complete",O3433+L3433,"n.a."))</f>
        <v>0</v>
      </c>
      <c r="Q3433" s="16">
        <f>IF(NOT(Paths!$C$318=1),0,IF(Paths!$P$318="Complete",N3433*(1+'Operating costs'!$B$54)^-C3433,"n.a."))</f>
        <v>0</v>
      </c>
      <c r="R3433" s="16">
        <f>IF(NOT(Paths!$C$318=1),0,IF(Paths!$P$318="Complete",IF(AND(C3433=0,Paths!$E$318=0),I3433-J3433-K3433+VLOOKUP(A3433,'Fleet register'!$A$7:$S$106,15,FALSE)+VLOOKUP(A3433,'Fleet register'!$A$7:$S$106,16,FALSE),0),"n.a."))</f>
        <v>0</v>
      </c>
      <c r="S3433" s="1">
        <f>IF(NOT(Paths!$C$318=1),0,IF(Paths!$P$318="Complete",IF(C3433=0,0,Paths!$S$318*Paths!$R$318),"n.a."))</f>
        <v>0</v>
      </c>
      <c r="T3433" s="1">
        <f>IF(NOT(Paths!$C$318=1),0,IF(Paths!$P$318="Complete",IF(C3433=0,0,VLOOKUP(A3433,'Fleet register'!$A$7:$S$106,9,FALSE)*Paths!$R$318),"n.a."))</f>
        <v>0</v>
      </c>
    </row>
    <row r="3434" spans="1:20" ht="24" customHeight="1">
      <c r="A3434" s="1" t="str">
        <f>Paths!$A$318</f>
        <v>T078</v>
      </c>
      <c r="B3434" s="1">
        <f>Paths!$B$318</f>
        <v>3</v>
      </c>
      <c r="C3434" s="1">
        <v>6</v>
      </c>
      <c r="D3434" s="1">
        <v>318</v>
      </c>
      <c r="E3434" s="1">
        <f>IF(OR(Paths!$C$318=0,C3434=0),0,MAX(0,MIN(C3434*12,Paths!$E$318)-(C3434-1)*12))</f>
        <v>0</v>
      </c>
      <c r="F3434" s="1">
        <f>IF(OR(Paths!$C$318=0,C3434=0),0,12-E3434)</f>
        <v>0</v>
      </c>
      <c r="G3434" s="16">
        <f>IF(NOT(Paths!$C$318=1),0,IF(Paths!$P$318="Complete",E3434/12*(Paths!$J$318*(1+'Operating costs'!$B$51)^MAX(0,C3434-1)+Paths!$K$318*(1+'Operating costs'!$B$53)^MAX(0,C3434-1)),"n.a."))</f>
        <v>0</v>
      </c>
      <c r="H3434" s="16">
        <f>IF(NOT(Paths!$C$318=1),0,IF(Paths!$P$318="Complete",F3434/12*(Paths!$L$318*(1+IF(Paths!$D$318="EV",'Operating costs'!$B$52,'Operating costs'!$B$51))^MAX(0,C3434-1)+Paths!$M$318*(1+'Operating costs'!$B$53)^MAX(0,C3434-1)),"n.a."))</f>
        <v>0</v>
      </c>
      <c r="I3434" s="16">
        <f>IF(NOT(Paths!$C$318=1),0,IF(Paths!$P$318="Complete",IF(IF(Paths!$E$318=0,C3434=0,AND(C3434&gt;0,Paths!$E$318&gt;(C3434-1)*12,Paths!$E$318&lt;=C3434*12)),Paths!$G$318,0),"n.a."))</f>
        <v>0</v>
      </c>
      <c r="J3434" s="16">
        <f>IF(NOT(Paths!$C$318=1),0,IF(Paths!$P$318="Complete",IF(IF(Paths!$E$318=0,C3434=0,AND(C3434&gt;0,Paths!$E$318&gt;(C3434-1)*12,Paths!$E$318&lt;=C3434*12)),Paths!$H$318,0),"n.a."))</f>
        <v>0</v>
      </c>
      <c r="K3434" s="16">
        <f>IF(NOT(Paths!$C$318=1),0,IF(Paths!$P$318="Complete",IF(IF(Paths!$O$318=0,C3434=0,AND(C3434&gt;0,Paths!$O$318&gt;(C3434-1)*12,Paths!$O$318&lt;=C3434*12)),Paths!$N$318,0),"n.a."))</f>
        <v>0</v>
      </c>
      <c r="L3434" s="16">
        <f>IF(NOT(Paths!$C$318=1),0,IF(Paths!$P$318="Complete",IF(C3434=10,Paths!$I$318,0),"n.a."))</f>
        <v>0</v>
      </c>
      <c r="M3434" s="16">
        <f>IF(NOT(Paths!$C$318=1),0,IF(Paths!$P$318="Complete",IF(AND(Paths!$D$318="EV",Paths!$E$318&lt;120,Paths!$E$318+'Operating costs'!$B$65&gt;Paths!$E$318,Paths!$E$318+'Operating costs'!$B$65&lt;=120,IF(Paths!$E$318+'Operating costs'!$B$65=0,C3434=0,AND(C3434&gt;0,Paths!$E$318+'Operating costs'!$B$65&gt;(C3434-1)*12,Paths!$E$318+'Operating costs'!$B$65&lt;=C3434*12))),'Operating costs'!$B$64,0)+IF(AND('Operating costs'!$B$67&gt;0,'Operating costs'!$B$67&lt;=120,OR(Paths!$D$318="ICE",'Operating costs'!$B$67&lt;=Paths!$E$318),IF('Operating costs'!$B$67=0,C3434=0,AND(C3434&gt;0,'Operating costs'!$B$67&gt;(C3434-1)*12,'Operating costs'!$B$67&lt;=C3434*12))),'Operating costs'!$B$66,0),"n.a."))</f>
        <v>0</v>
      </c>
      <c r="N3434" s="16">
        <f>IF(NOT(Paths!$C$318=1),0,IF(Paths!$P$318="Complete",SUM(G3434:I3434)-J3434-K3434-L3434+M3434+IF(C3434=0,Paths!$F$318,0)+IF(IF(Paths!$E$318=0,C3434=0,AND(C3434&gt;0,Paths!$E$318&gt;(C3434-1)*12,Paths!$E$318&lt;=C3434*12)),VLOOKUP(A3434,'Fleet register'!$A$7:$S$106,16,FALSE),0),"n.a."))</f>
        <v>0</v>
      </c>
      <c r="O3434" s="16">
        <f>IF(NOT(Paths!$C$318=1),0,IF(Paths!$P$318="Complete",N3434-IF(C3434=0,Paths!$F$318,0),"n.a."))</f>
        <v>0</v>
      </c>
      <c r="P3434" s="16">
        <f>IF(NOT(Paths!$C$318=1),0,IF(Paths!$P$318="Complete",O3434+L3434,"n.a."))</f>
        <v>0</v>
      </c>
      <c r="Q3434" s="16">
        <f>IF(NOT(Paths!$C$318=1),0,IF(Paths!$P$318="Complete",N3434*(1+'Operating costs'!$B$54)^-C3434,"n.a."))</f>
        <v>0</v>
      </c>
      <c r="R3434" s="16">
        <f>IF(NOT(Paths!$C$318=1),0,IF(Paths!$P$318="Complete",IF(AND(C3434=0,Paths!$E$318=0),I3434-J3434-K3434+VLOOKUP(A3434,'Fleet register'!$A$7:$S$106,15,FALSE)+VLOOKUP(A3434,'Fleet register'!$A$7:$S$106,16,FALSE),0),"n.a."))</f>
        <v>0</v>
      </c>
      <c r="S3434" s="1">
        <f>IF(NOT(Paths!$C$318=1),0,IF(Paths!$P$318="Complete",IF(C3434=0,0,Paths!$S$318*Paths!$R$318),"n.a."))</f>
        <v>0</v>
      </c>
      <c r="T3434" s="1">
        <f>IF(NOT(Paths!$C$318=1),0,IF(Paths!$P$318="Complete",IF(C3434=0,0,VLOOKUP(A3434,'Fleet register'!$A$7:$S$106,9,FALSE)*Paths!$R$318),"n.a."))</f>
        <v>0</v>
      </c>
    </row>
    <row r="3435" spans="1:20" ht="24" customHeight="1">
      <c r="A3435" s="1" t="str">
        <f>Paths!$A$318</f>
        <v>T078</v>
      </c>
      <c r="B3435" s="1">
        <f>Paths!$B$318</f>
        <v>3</v>
      </c>
      <c r="C3435" s="1">
        <v>7</v>
      </c>
      <c r="D3435" s="1">
        <v>318</v>
      </c>
      <c r="E3435" s="1">
        <f>IF(OR(Paths!$C$318=0,C3435=0),0,MAX(0,MIN(C3435*12,Paths!$E$318)-(C3435-1)*12))</f>
        <v>0</v>
      </c>
      <c r="F3435" s="1">
        <f>IF(OR(Paths!$C$318=0,C3435=0),0,12-E3435)</f>
        <v>0</v>
      </c>
      <c r="G3435" s="16">
        <f>IF(NOT(Paths!$C$318=1),0,IF(Paths!$P$318="Complete",E3435/12*(Paths!$J$318*(1+'Operating costs'!$B$51)^MAX(0,C3435-1)+Paths!$K$318*(1+'Operating costs'!$B$53)^MAX(0,C3435-1)),"n.a."))</f>
        <v>0</v>
      </c>
      <c r="H3435" s="16">
        <f>IF(NOT(Paths!$C$318=1),0,IF(Paths!$P$318="Complete",F3435/12*(Paths!$L$318*(1+IF(Paths!$D$318="EV",'Operating costs'!$B$52,'Operating costs'!$B$51))^MAX(0,C3435-1)+Paths!$M$318*(1+'Operating costs'!$B$53)^MAX(0,C3435-1)),"n.a."))</f>
        <v>0</v>
      </c>
      <c r="I3435" s="16">
        <f>IF(NOT(Paths!$C$318=1),0,IF(Paths!$P$318="Complete",IF(IF(Paths!$E$318=0,C3435=0,AND(C3435&gt;0,Paths!$E$318&gt;(C3435-1)*12,Paths!$E$318&lt;=C3435*12)),Paths!$G$318,0),"n.a."))</f>
        <v>0</v>
      </c>
      <c r="J3435" s="16">
        <f>IF(NOT(Paths!$C$318=1),0,IF(Paths!$P$318="Complete",IF(IF(Paths!$E$318=0,C3435=0,AND(C3435&gt;0,Paths!$E$318&gt;(C3435-1)*12,Paths!$E$318&lt;=C3435*12)),Paths!$H$318,0),"n.a."))</f>
        <v>0</v>
      </c>
      <c r="K3435" s="16">
        <f>IF(NOT(Paths!$C$318=1),0,IF(Paths!$P$318="Complete",IF(IF(Paths!$O$318=0,C3435=0,AND(C3435&gt;0,Paths!$O$318&gt;(C3435-1)*12,Paths!$O$318&lt;=C3435*12)),Paths!$N$318,0),"n.a."))</f>
        <v>0</v>
      </c>
      <c r="L3435" s="16">
        <f>IF(NOT(Paths!$C$318=1),0,IF(Paths!$P$318="Complete",IF(C3435=10,Paths!$I$318,0),"n.a."))</f>
        <v>0</v>
      </c>
      <c r="M3435" s="16">
        <f>IF(NOT(Paths!$C$318=1),0,IF(Paths!$P$318="Complete",IF(AND(Paths!$D$318="EV",Paths!$E$318&lt;120,Paths!$E$318+'Operating costs'!$B$65&gt;Paths!$E$318,Paths!$E$318+'Operating costs'!$B$65&lt;=120,IF(Paths!$E$318+'Operating costs'!$B$65=0,C3435=0,AND(C3435&gt;0,Paths!$E$318+'Operating costs'!$B$65&gt;(C3435-1)*12,Paths!$E$318+'Operating costs'!$B$65&lt;=C3435*12))),'Operating costs'!$B$64,0)+IF(AND('Operating costs'!$B$67&gt;0,'Operating costs'!$B$67&lt;=120,OR(Paths!$D$318="ICE",'Operating costs'!$B$67&lt;=Paths!$E$318),IF('Operating costs'!$B$67=0,C3435=0,AND(C3435&gt;0,'Operating costs'!$B$67&gt;(C3435-1)*12,'Operating costs'!$B$67&lt;=C3435*12))),'Operating costs'!$B$66,0),"n.a."))</f>
        <v>0</v>
      </c>
      <c r="N3435" s="16">
        <f>IF(NOT(Paths!$C$318=1),0,IF(Paths!$P$318="Complete",SUM(G3435:I3435)-J3435-K3435-L3435+M3435+IF(C3435=0,Paths!$F$318,0)+IF(IF(Paths!$E$318=0,C3435=0,AND(C3435&gt;0,Paths!$E$318&gt;(C3435-1)*12,Paths!$E$318&lt;=C3435*12)),VLOOKUP(A3435,'Fleet register'!$A$7:$S$106,16,FALSE),0),"n.a."))</f>
        <v>0</v>
      </c>
      <c r="O3435" s="16">
        <f>IF(NOT(Paths!$C$318=1),0,IF(Paths!$P$318="Complete",N3435-IF(C3435=0,Paths!$F$318,0),"n.a."))</f>
        <v>0</v>
      </c>
      <c r="P3435" s="16">
        <f>IF(NOT(Paths!$C$318=1),0,IF(Paths!$P$318="Complete",O3435+L3435,"n.a."))</f>
        <v>0</v>
      </c>
      <c r="Q3435" s="16">
        <f>IF(NOT(Paths!$C$318=1),0,IF(Paths!$P$318="Complete",N3435*(1+'Operating costs'!$B$54)^-C3435,"n.a."))</f>
        <v>0</v>
      </c>
      <c r="R3435" s="16">
        <f>IF(NOT(Paths!$C$318=1),0,IF(Paths!$P$318="Complete",IF(AND(C3435=0,Paths!$E$318=0),I3435-J3435-K3435+VLOOKUP(A3435,'Fleet register'!$A$7:$S$106,15,FALSE)+VLOOKUP(A3435,'Fleet register'!$A$7:$S$106,16,FALSE),0),"n.a."))</f>
        <v>0</v>
      </c>
      <c r="S3435" s="1">
        <f>IF(NOT(Paths!$C$318=1),0,IF(Paths!$P$318="Complete",IF(C3435=0,0,Paths!$S$318*Paths!$R$318),"n.a."))</f>
        <v>0</v>
      </c>
      <c r="T3435" s="1">
        <f>IF(NOT(Paths!$C$318=1),0,IF(Paths!$P$318="Complete",IF(C3435=0,0,VLOOKUP(A3435,'Fleet register'!$A$7:$S$106,9,FALSE)*Paths!$R$318),"n.a."))</f>
        <v>0</v>
      </c>
    </row>
    <row r="3436" spans="1:20" ht="24" customHeight="1">
      <c r="A3436" s="1" t="str">
        <f>Paths!$A$318</f>
        <v>T078</v>
      </c>
      <c r="B3436" s="1">
        <f>Paths!$B$318</f>
        <v>3</v>
      </c>
      <c r="C3436" s="1">
        <v>8</v>
      </c>
      <c r="D3436" s="1">
        <v>318</v>
      </c>
      <c r="E3436" s="1">
        <f>IF(OR(Paths!$C$318=0,C3436=0),0,MAX(0,MIN(C3436*12,Paths!$E$318)-(C3436-1)*12))</f>
        <v>0</v>
      </c>
      <c r="F3436" s="1">
        <f>IF(OR(Paths!$C$318=0,C3436=0),0,12-E3436)</f>
        <v>0</v>
      </c>
      <c r="G3436" s="16">
        <f>IF(NOT(Paths!$C$318=1),0,IF(Paths!$P$318="Complete",E3436/12*(Paths!$J$318*(1+'Operating costs'!$B$51)^MAX(0,C3436-1)+Paths!$K$318*(1+'Operating costs'!$B$53)^MAX(0,C3436-1)),"n.a."))</f>
        <v>0</v>
      </c>
      <c r="H3436" s="16">
        <f>IF(NOT(Paths!$C$318=1),0,IF(Paths!$P$318="Complete",F3436/12*(Paths!$L$318*(1+IF(Paths!$D$318="EV",'Operating costs'!$B$52,'Operating costs'!$B$51))^MAX(0,C3436-1)+Paths!$M$318*(1+'Operating costs'!$B$53)^MAX(0,C3436-1)),"n.a."))</f>
        <v>0</v>
      </c>
      <c r="I3436" s="16">
        <f>IF(NOT(Paths!$C$318=1),0,IF(Paths!$P$318="Complete",IF(IF(Paths!$E$318=0,C3436=0,AND(C3436&gt;0,Paths!$E$318&gt;(C3436-1)*12,Paths!$E$318&lt;=C3436*12)),Paths!$G$318,0),"n.a."))</f>
        <v>0</v>
      </c>
      <c r="J3436" s="16">
        <f>IF(NOT(Paths!$C$318=1),0,IF(Paths!$P$318="Complete",IF(IF(Paths!$E$318=0,C3436=0,AND(C3436&gt;0,Paths!$E$318&gt;(C3436-1)*12,Paths!$E$318&lt;=C3436*12)),Paths!$H$318,0),"n.a."))</f>
        <v>0</v>
      </c>
      <c r="K3436" s="16">
        <f>IF(NOT(Paths!$C$318=1),0,IF(Paths!$P$318="Complete",IF(IF(Paths!$O$318=0,C3436=0,AND(C3436&gt;0,Paths!$O$318&gt;(C3436-1)*12,Paths!$O$318&lt;=C3436*12)),Paths!$N$318,0),"n.a."))</f>
        <v>0</v>
      </c>
      <c r="L3436" s="16">
        <f>IF(NOT(Paths!$C$318=1),0,IF(Paths!$P$318="Complete",IF(C3436=10,Paths!$I$318,0),"n.a."))</f>
        <v>0</v>
      </c>
      <c r="M3436" s="16">
        <f>IF(NOT(Paths!$C$318=1),0,IF(Paths!$P$318="Complete",IF(AND(Paths!$D$318="EV",Paths!$E$318&lt;120,Paths!$E$318+'Operating costs'!$B$65&gt;Paths!$E$318,Paths!$E$318+'Operating costs'!$B$65&lt;=120,IF(Paths!$E$318+'Operating costs'!$B$65=0,C3436=0,AND(C3436&gt;0,Paths!$E$318+'Operating costs'!$B$65&gt;(C3436-1)*12,Paths!$E$318+'Operating costs'!$B$65&lt;=C3436*12))),'Operating costs'!$B$64,0)+IF(AND('Operating costs'!$B$67&gt;0,'Operating costs'!$B$67&lt;=120,OR(Paths!$D$318="ICE",'Operating costs'!$B$67&lt;=Paths!$E$318),IF('Operating costs'!$B$67=0,C3436=0,AND(C3436&gt;0,'Operating costs'!$B$67&gt;(C3436-1)*12,'Operating costs'!$B$67&lt;=C3436*12))),'Operating costs'!$B$66,0),"n.a."))</f>
        <v>0</v>
      </c>
      <c r="N3436" s="16">
        <f>IF(NOT(Paths!$C$318=1),0,IF(Paths!$P$318="Complete",SUM(G3436:I3436)-J3436-K3436-L3436+M3436+IF(C3436=0,Paths!$F$318,0)+IF(IF(Paths!$E$318=0,C3436=0,AND(C3436&gt;0,Paths!$E$318&gt;(C3436-1)*12,Paths!$E$318&lt;=C3436*12)),VLOOKUP(A3436,'Fleet register'!$A$7:$S$106,16,FALSE),0),"n.a."))</f>
        <v>0</v>
      </c>
      <c r="O3436" s="16">
        <f>IF(NOT(Paths!$C$318=1),0,IF(Paths!$P$318="Complete",N3436-IF(C3436=0,Paths!$F$318,0),"n.a."))</f>
        <v>0</v>
      </c>
      <c r="P3436" s="16">
        <f>IF(NOT(Paths!$C$318=1),0,IF(Paths!$P$318="Complete",O3436+L3436,"n.a."))</f>
        <v>0</v>
      </c>
      <c r="Q3436" s="16">
        <f>IF(NOT(Paths!$C$318=1),0,IF(Paths!$P$318="Complete",N3436*(1+'Operating costs'!$B$54)^-C3436,"n.a."))</f>
        <v>0</v>
      </c>
      <c r="R3436" s="16">
        <f>IF(NOT(Paths!$C$318=1),0,IF(Paths!$P$318="Complete",IF(AND(C3436=0,Paths!$E$318=0),I3436-J3436-K3436+VLOOKUP(A3436,'Fleet register'!$A$7:$S$106,15,FALSE)+VLOOKUP(A3436,'Fleet register'!$A$7:$S$106,16,FALSE),0),"n.a."))</f>
        <v>0</v>
      </c>
      <c r="S3436" s="1">
        <f>IF(NOT(Paths!$C$318=1),0,IF(Paths!$P$318="Complete",IF(C3436=0,0,Paths!$S$318*Paths!$R$318),"n.a."))</f>
        <v>0</v>
      </c>
      <c r="T3436" s="1">
        <f>IF(NOT(Paths!$C$318=1),0,IF(Paths!$P$318="Complete",IF(C3436=0,0,VLOOKUP(A3436,'Fleet register'!$A$7:$S$106,9,FALSE)*Paths!$R$318),"n.a."))</f>
        <v>0</v>
      </c>
    </row>
    <row r="3437" spans="1:20" ht="24" customHeight="1">
      <c r="A3437" s="1" t="str">
        <f>Paths!$A$318</f>
        <v>T078</v>
      </c>
      <c r="B3437" s="1">
        <f>Paths!$B$318</f>
        <v>3</v>
      </c>
      <c r="C3437" s="1">
        <v>9</v>
      </c>
      <c r="D3437" s="1">
        <v>318</v>
      </c>
      <c r="E3437" s="1">
        <f>IF(OR(Paths!$C$318=0,C3437=0),0,MAX(0,MIN(C3437*12,Paths!$E$318)-(C3437-1)*12))</f>
        <v>0</v>
      </c>
      <c r="F3437" s="1">
        <f>IF(OR(Paths!$C$318=0,C3437=0),0,12-E3437)</f>
        <v>0</v>
      </c>
      <c r="G3437" s="16">
        <f>IF(NOT(Paths!$C$318=1),0,IF(Paths!$P$318="Complete",E3437/12*(Paths!$J$318*(1+'Operating costs'!$B$51)^MAX(0,C3437-1)+Paths!$K$318*(1+'Operating costs'!$B$53)^MAX(0,C3437-1)),"n.a."))</f>
        <v>0</v>
      </c>
      <c r="H3437" s="16">
        <f>IF(NOT(Paths!$C$318=1),0,IF(Paths!$P$318="Complete",F3437/12*(Paths!$L$318*(1+IF(Paths!$D$318="EV",'Operating costs'!$B$52,'Operating costs'!$B$51))^MAX(0,C3437-1)+Paths!$M$318*(1+'Operating costs'!$B$53)^MAX(0,C3437-1)),"n.a."))</f>
        <v>0</v>
      </c>
      <c r="I3437" s="16">
        <f>IF(NOT(Paths!$C$318=1),0,IF(Paths!$P$318="Complete",IF(IF(Paths!$E$318=0,C3437=0,AND(C3437&gt;0,Paths!$E$318&gt;(C3437-1)*12,Paths!$E$318&lt;=C3437*12)),Paths!$G$318,0),"n.a."))</f>
        <v>0</v>
      </c>
      <c r="J3437" s="16">
        <f>IF(NOT(Paths!$C$318=1),0,IF(Paths!$P$318="Complete",IF(IF(Paths!$E$318=0,C3437=0,AND(C3437&gt;0,Paths!$E$318&gt;(C3437-1)*12,Paths!$E$318&lt;=C3437*12)),Paths!$H$318,0),"n.a."))</f>
        <v>0</v>
      </c>
      <c r="K3437" s="16">
        <f>IF(NOT(Paths!$C$318=1),0,IF(Paths!$P$318="Complete",IF(IF(Paths!$O$318=0,C3437=0,AND(C3437&gt;0,Paths!$O$318&gt;(C3437-1)*12,Paths!$O$318&lt;=C3437*12)),Paths!$N$318,0),"n.a."))</f>
        <v>0</v>
      </c>
      <c r="L3437" s="16">
        <f>IF(NOT(Paths!$C$318=1),0,IF(Paths!$P$318="Complete",IF(C3437=10,Paths!$I$318,0),"n.a."))</f>
        <v>0</v>
      </c>
      <c r="M3437" s="16">
        <f>IF(NOT(Paths!$C$318=1),0,IF(Paths!$P$318="Complete",IF(AND(Paths!$D$318="EV",Paths!$E$318&lt;120,Paths!$E$318+'Operating costs'!$B$65&gt;Paths!$E$318,Paths!$E$318+'Operating costs'!$B$65&lt;=120,IF(Paths!$E$318+'Operating costs'!$B$65=0,C3437=0,AND(C3437&gt;0,Paths!$E$318+'Operating costs'!$B$65&gt;(C3437-1)*12,Paths!$E$318+'Operating costs'!$B$65&lt;=C3437*12))),'Operating costs'!$B$64,0)+IF(AND('Operating costs'!$B$67&gt;0,'Operating costs'!$B$67&lt;=120,OR(Paths!$D$318="ICE",'Operating costs'!$B$67&lt;=Paths!$E$318),IF('Operating costs'!$B$67=0,C3437=0,AND(C3437&gt;0,'Operating costs'!$B$67&gt;(C3437-1)*12,'Operating costs'!$B$67&lt;=C3437*12))),'Operating costs'!$B$66,0),"n.a."))</f>
        <v>0</v>
      </c>
      <c r="N3437" s="16">
        <f>IF(NOT(Paths!$C$318=1),0,IF(Paths!$P$318="Complete",SUM(G3437:I3437)-J3437-K3437-L3437+M3437+IF(C3437=0,Paths!$F$318,0)+IF(IF(Paths!$E$318=0,C3437=0,AND(C3437&gt;0,Paths!$E$318&gt;(C3437-1)*12,Paths!$E$318&lt;=C3437*12)),VLOOKUP(A3437,'Fleet register'!$A$7:$S$106,16,FALSE),0),"n.a."))</f>
        <v>0</v>
      </c>
      <c r="O3437" s="16">
        <f>IF(NOT(Paths!$C$318=1),0,IF(Paths!$P$318="Complete",N3437-IF(C3437=0,Paths!$F$318,0),"n.a."))</f>
        <v>0</v>
      </c>
      <c r="P3437" s="16">
        <f>IF(NOT(Paths!$C$318=1),0,IF(Paths!$P$318="Complete",O3437+L3437,"n.a."))</f>
        <v>0</v>
      </c>
      <c r="Q3437" s="16">
        <f>IF(NOT(Paths!$C$318=1),0,IF(Paths!$P$318="Complete",N3437*(1+'Operating costs'!$B$54)^-C3437,"n.a."))</f>
        <v>0</v>
      </c>
      <c r="R3437" s="16">
        <f>IF(NOT(Paths!$C$318=1),0,IF(Paths!$P$318="Complete",IF(AND(C3437=0,Paths!$E$318=0),I3437-J3437-K3437+VLOOKUP(A3437,'Fleet register'!$A$7:$S$106,15,FALSE)+VLOOKUP(A3437,'Fleet register'!$A$7:$S$106,16,FALSE),0),"n.a."))</f>
        <v>0</v>
      </c>
      <c r="S3437" s="1">
        <f>IF(NOT(Paths!$C$318=1),0,IF(Paths!$P$318="Complete",IF(C3437=0,0,Paths!$S$318*Paths!$R$318),"n.a."))</f>
        <v>0</v>
      </c>
      <c r="T3437" s="1">
        <f>IF(NOT(Paths!$C$318=1),0,IF(Paths!$P$318="Complete",IF(C3437=0,0,VLOOKUP(A3437,'Fleet register'!$A$7:$S$106,9,FALSE)*Paths!$R$318),"n.a."))</f>
        <v>0</v>
      </c>
    </row>
    <row r="3438" spans="1:20" ht="24" customHeight="1">
      <c r="A3438" s="1" t="str">
        <f>Paths!$A$318</f>
        <v>T078</v>
      </c>
      <c r="B3438" s="1">
        <f>Paths!$B$318</f>
        <v>3</v>
      </c>
      <c r="C3438" s="1">
        <v>10</v>
      </c>
      <c r="D3438" s="1">
        <v>318</v>
      </c>
      <c r="E3438" s="1">
        <f>IF(OR(Paths!$C$318=0,C3438=0),0,MAX(0,MIN(C3438*12,Paths!$E$318)-(C3438-1)*12))</f>
        <v>0</v>
      </c>
      <c r="F3438" s="1">
        <f>IF(OR(Paths!$C$318=0,C3438=0),0,12-E3438)</f>
        <v>0</v>
      </c>
      <c r="G3438" s="16">
        <f>IF(NOT(Paths!$C$318=1),0,IF(Paths!$P$318="Complete",E3438/12*(Paths!$J$318*(1+'Operating costs'!$B$51)^MAX(0,C3438-1)+Paths!$K$318*(1+'Operating costs'!$B$53)^MAX(0,C3438-1)),"n.a."))</f>
        <v>0</v>
      </c>
      <c r="H3438" s="16">
        <f>IF(NOT(Paths!$C$318=1),0,IF(Paths!$P$318="Complete",F3438/12*(Paths!$L$318*(1+IF(Paths!$D$318="EV",'Operating costs'!$B$52,'Operating costs'!$B$51))^MAX(0,C3438-1)+Paths!$M$318*(1+'Operating costs'!$B$53)^MAX(0,C3438-1)),"n.a."))</f>
        <v>0</v>
      </c>
      <c r="I3438" s="16">
        <f>IF(NOT(Paths!$C$318=1),0,IF(Paths!$P$318="Complete",IF(IF(Paths!$E$318=0,C3438=0,AND(C3438&gt;0,Paths!$E$318&gt;(C3438-1)*12,Paths!$E$318&lt;=C3438*12)),Paths!$G$318,0),"n.a."))</f>
        <v>0</v>
      </c>
      <c r="J3438" s="16">
        <f>IF(NOT(Paths!$C$318=1),0,IF(Paths!$P$318="Complete",IF(IF(Paths!$E$318=0,C3438=0,AND(C3438&gt;0,Paths!$E$318&gt;(C3438-1)*12,Paths!$E$318&lt;=C3438*12)),Paths!$H$318,0),"n.a."))</f>
        <v>0</v>
      </c>
      <c r="K3438" s="16">
        <f>IF(NOT(Paths!$C$318=1),0,IF(Paths!$P$318="Complete",IF(IF(Paths!$O$318=0,C3438=0,AND(C3438&gt;0,Paths!$O$318&gt;(C3438-1)*12,Paths!$O$318&lt;=C3438*12)),Paths!$N$318,0),"n.a."))</f>
        <v>0</v>
      </c>
      <c r="L3438" s="16">
        <f>IF(NOT(Paths!$C$318=1),0,IF(Paths!$P$318="Complete",IF(C3438=10,Paths!$I$318,0),"n.a."))</f>
        <v>0</v>
      </c>
      <c r="M3438" s="16">
        <f>IF(NOT(Paths!$C$318=1),0,IF(Paths!$P$318="Complete",IF(AND(Paths!$D$318="EV",Paths!$E$318&lt;120,Paths!$E$318+'Operating costs'!$B$65&gt;Paths!$E$318,Paths!$E$318+'Operating costs'!$B$65&lt;=120,IF(Paths!$E$318+'Operating costs'!$B$65=0,C3438=0,AND(C3438&gt;0,Paths!$E$318+'Operating costs'!$B$65&gt;(C3438-1)*12,Paths!$E$318+'Operating costs'!$B$65&lt;=C3438*12))),'Operating costs'!$B$64,0)+IF(AND('Operating costs'!$B$67&gt;0,'Operating costs'!$B$67&lt;=120,OR(Paths!$D$318="ICE",'Operating costs'!$B$67&lt;=Paths!$E$318),IF('Operating costs'!$B$67=0,C3438=0,AND(C3438&gt;0,'Operating costs'!$B$67&gt;(C3438-1)*12,'Operating costs'!$B$67&lt;=C3438*12))),'Operating costs'!$B$66,0),"n.a."))</f>
        <v>0</v>
      </c>
      <c r="N3438" s="16">
        <f>IF(NOT(Paths!$C$318=1),0,IF(Paths!$P$318="Complete",SUM(G3438:I3438)-J3438-K3438-L3438+M3438+IF(C3438=0,Paths!$F$318,0)+IF(IF(Paths!$E$318=0,C3438=0,AND(C3438&gt;0,Paths!$E$318&gt;(C3438-1)*12,Paths!$E$318&lt;=C3438*12)),VLOOKUP(A3438,'Fleet register'!$A$7:$S$106,16,FALSE),0),"n.a."))</f>
        <v>0</v>
      </c>
      <c r="O3438" s="16">
        <f>IF(NOT(Paths!$C$318=1),0,IF(Paths!$P$318="Complete",N3438-IF(C3438=0,Paths!$F$318,0),"n.a."))</f>
        <v>0</v>
      </c>
      <c r="P3438" s="16">
        <f>IF(NOT(Paths!$C$318=1),0,IF(Paths!$P$318="Complete",O3438+L3438,"n.a."))</f>
        <v>0</v>
      </c>
      <c r="Q3438" s="16">
        <f>IF(NOT(Paths!$C$318=1),0,IF(Paths!$P$318="Complete",N3438*(1+'Operating costs'!$B$54)^-C3438,"n.a."))</f>
        <v>0</v>
      </c>
      <c r="R3438" s="16">
        <f>IF(NOT(Paths!$C$318=1),0,IF(Paths!$P$318="Complete",IF(AND(C3438=0,Paths!$E$318=0),I3438-J3438-K3438+VLOOKUP(A3438,'Fleet register'!$A$7:$S$106,15,FALSE)+VLOOKUP(A3438,'Fleet register'!$A$7:$S$106,16,FALSE),0),"n.a."))</f>
        <v>0</v>
      </c>
      <c r="S3438" s="1">
        <f>IF(NOT(Paths!$C$318=1),0,IF(Paths!$P$318="Complete",IF(C3438=0,0,Paths!$S$318*Paths!$R$318),"n.a."))</f>
        <v>0</v>
      </c>
      <c r="T3438" s="1">
        <f>IF(NOT(Paths!$C$318=1),0,IF(Paths!$P$318="Complete",IF(C3438=0,0,VLOOKUP(A3438,'Fleet register'!$A$7:$S$106,9,FALSE)*Paths!$R$318),"n.a."))</f>
        <v>0</v>
      </c>
    </row>
    <row r="3439" spans="1:20" ht="24" customHeight="1">
      <c r="A3439" s="1" t="str">
        <f>Paths!$A$319</f>
        <v>T079</v>
      </c>
      <c r="B3439" s="1">
        <f>Paths!$B$319</f>
        <v>0</v>
      </c>
      <c r="C3439" s="1">
        <v>0</v>
      </c>
      <c r="D3439" s="1">
        <v>319</v>
      </c>
      <c r="E3439" s="1">
        <f>IF(OR(Paths!$C$319=0,C3439=0),0,MAX(0,MIN(C3439*12,Paths!$E$319)-(C3439-1)*12))</f>
        <v>0</v>
      </c>
      <c r="F3439" s="1">
        <f>IF(OR(Paths!$C$319=0,C3439=0),0,12-E3439)</f>
        <v>0</v>
      </c>
      <c r="G3439" s="16">
        <f>IF(NOT(Paths!$C$319=1),0,IF(Paths!$P$319="Complete",E3439/12*(Paths!$J$319*(1+'Operating costs'!$B$51)^MAX(0,C3439-1)+Paths!$K$319*(1+'Operating costs'!$B$53)^MAX(0,C3439-1)),"n.a."))</f>
        <v>0</v>
      </c>
      <c r="H3439" s="16">
        <f>IF(NOT(Paths!$C$319=1),0,IF(Paths!$P$319="Complete",F3439/12*(Paths!$L$319*(1+IF(Paths!$D$319="EV",'Operating costs'!$B$52,'Operating costs'!$B$51))^MAX(0,C3439-1)+Paths!$M$319*(1+'Operating costs'!$B$53)^MAX(0,C3439-1)),"n.a."))</f>
        <v>0</v>
      </c>
      <c r="I3439" s="16">
        <f>IF(NOT(Paths!$C$319=1),0,IF(Paths!$P$319="Complete",IF(IF(Paths!$E$319=0,C3439=0,AND(C3439&gt;0,Paths!$E$319&gt;(C3439-1)*12,Paths!$E$319&lt;=C3439*12)),Paths!$G$319,0),"n.a."))</f>
        <v>0</v>
      </c>
      <c r="J3439" s="16">
        <f>IF(NOT(Paths!$C$319=1),0,IF(Paths!$P$319="Complete",IF(IF(Paths!$E$319=0,C3439=0,AND(C3439&gt;0,Paths!$E$319&gt;(C3439-1)*12,Paths!$E$319&lt;=C3439*12)),Paths!$H$319,0),"n.a."))</f>
        <v>0</v>
      </c>
      <c r="K3439" s="16">
        <f>IF(NOT(Paths!$C$319=1),0,IF(Paths!$P$319="Complete",IF(IF(Paths!$O$319=0,C3439=0,AND(C3439&gt;0,Paths!$O$319&gt;(C3439-1)*12,Paths!$O$319&lt;=C3439*12)),Paths!$N$319,0),"n.a."))</f>
        <v>0</v>
      </c>
      <c r="L3439" s="16">
        <f>IF(NOT(Paths!$C$319=1),0,IF(Paths!$P$319="Complete",IF(C3439=10,Paths!$I$319,0),"n.a."))</f>
        <v>0</v>
      </c>
      <c r="M3439" s="16">
        <f>IF(NOT(Paths!$C$319=1),0,IF(Paths!$P$319="Complete",IF(AND(Paths!$D$319="EV",Paths!$E$319&lt;120,Paths!$E$319+'Operating costs'!$B$65&gt;Paths!$E$319,Paths!$E$319+'Operating costs'!$B$65&lt;=120,IF(Paths!$E$319+'Operating costs'!$B$65=0,C3439=0,AND(C3439&gt;0,Paths!$E$319+'Operating costs'!$B$65&gt;(C3439-1)*12,Paths!$E$319+'Operating costs'!$B$65&lt;=C3439*12))),'Operating costs'!$B$64,0)+IF(AND('Operating costs'!$B$67&gt;0,'Operating costs'!$B$67&lt;=120,OR(Paths!$D$319="ICE",'Operating costs'!$B$67&lt;=Paths!$E$319),IF('Operating costs'!$B$67=0,C3439=0,AND(C3439&gt;0,'Operating costs'!$B$67&gt;(C3439-1)*12,'Operating costs'!$B$67&lt;=C3439*12))),'Operating costs'!$B$66,0),"n.a."))</f>
        <v>0</v>
      </c>
      <c r="N3439" s="16">
        <f>IF(NOT(Paths!$C$319=1),0,IF(Paths!$P$319="Complete",SUM(G3439:I3439)-J3439-K3439-L3439+M3439+IF(C3439=0,Paths!$F$319,0)+IF(IF(Paths!$E$319=0,C3439=0,AND(C3439&gt;0,Paths!$E$319&gt;(C3439-1)*12,Paths!$E$319&lt;=C3439*12)),VLOOKUP(A3439,'Fleet register'!$A$7:$S$106,16,FALSE),0),"n.a."))</f>
        <v>0</v>
      </c>
      <c r="O3439" s="16">
        <f>IF(NOT(Paths!$C$319=1),0,IF(Paths!$P$319="Complete",N3439-IF(C3439=0,Paths!$F$319,0),"n.a."))</f>
        <v>0</v>
      </c>
      <c r="P3439" s="16">
        <f>IF(NOT(Paths!$C$319=1),0,IF(Paths!$P$319="Complete",O3439+L3439,"n.a."))</f>
        <v>0</v>
      </c>
      <c r="Q3439" s="16">
        <f>IF(NOT(Paths!$C$319=1),0,IF(Paths!$P$319="Complete",N3439*(1+'Operating costs'!$B$54)^-C3439,"n.a."))</f>
        <v>0</v>
      </c>
      <c r="R3439" s="16">
        <f>IF(NOT(Paths!$C$319=1),0,IF(Paths!$P$319="Complete",IF(AND(C3439=0,Paths!$E$319=0),I3439-J3439-K3439+VLOOKUP(A3439,'Fleet register'!$A$7:$S$106,15,FALSE)+VLOOKUP(A3439,'Fleet register'!$A$7:$S$106,16,FALSE),0),"n.a."))</f>
        <v>0</v>
      </c>
      <c r="S3439" s="1">
        <f>IF(NOT(Paths!$C$319=1),0,IF(Paths!$P$319="Complete",IF(C3439=0,0,Paths!$S$319*Paths!$R$319),"n.a."))</f>
        <v>0</v>
      </c>
      <c r="T3439" s="1">
        <f>IF(NOT(Paths!$C$319=1),0,IF(Paths!$P$319="Complete",IF(C3439=0,0,VLOOKUP(A3439,'Fleet register'!$A$7:$S$106,9,FALSE)*Paths!$R$319),"n.a."))</f>
        <v>0</v>
      </c>
    </row>
    <row r="3440" spans="1:20" ht="24" customHeight="1">
      <c r="A3440" s="1" t="str">
        <f>Paths!$A$319</f>
        <v>T079</v>
      </c>
      <c r="B3440" s="1">
        <f>Paths!$B$319</f>
        <v>0</v>
      </c>
      <c r="C3440" s="1">
        <v>1</v>
      </c>
      <c r="D3440" s="1">
        <v>319</v>
      </c>
      <c r="E3440" s="1">
        <f>IF(OR(Paths!$C$319=0,C3440=0),0,MAX(0,MIN(C3440*12,Paths!$E$319)-(C3440-1)*12))</f>
        <v>0</v>
      </c>
      <c r="F3440" s="1">
        <f>IF(OR(Paths!$C$319=0,C3440=0),0,12-E3440)</f>
        <v>0</v>
      </c>
      <c r="G3440" s="16">
        <f>IF(NOT(Paths!$C$319=1),0,IF(Paths!$P$319="Complete",E3440/12*(Paths!$J$319*(1+'Operating costs'!$B$51)^MAX(0,C3440-1)+Paths!$K$319*(1+'Operating costs'!$B$53)^MAX(0,C3440-1)),"n.a."))</f>
        <v>0</v>
      </c>
      <c r="H3440" s="16">
        <f>IF(NOT(Paths!$C$319=1),0,IF(Paths!$P$319="Complete",F3440/12*(Paths!$L$319*(1+IF(Paths!$D$319="EV",'Operating costs'!$B$52,'Operating costs'!$B$51))^MAX(0,C3440-1)+Paths!$M$319*(1+'Operating costs'!$B$53)^MAX(0,C3440-1)),"n.a."))</f>
        <v>0</v>
      </c>
      <c r="I3440" s="16">
        <f>IF(NOT(Paths!$C$319=1),0,IF(Paths!$P$319="Complete",IF(IF(Paths!$E$319=0,C3440=0,AND(C3440&gt;0,Paths!$E$319&gt;(C3440-1)*12,Paths!$E$319&lt;=C3440*12)),Paths!$G$319,0),"n.a."))</f>
        <v>0</v>
      </c>
      <c r="J3440" s="16">
        <f>IF(NOT(Paths!$C$319=1),0,IF(Paths!$P$319="Complete",IF(IF(Paths!$E$319=0,C3440=0,AND(C3440&gt;0,Paths!$E$319&gt;(C3440-1)*12,Paths!$E$319&lt;=C3440*12)),Paths!$H$319,0),"n.a."))</f>
        <v>0</v>
      </c>
      <c r="K3440" s="16">
        <f>IF(NOT(Paths!$C$319=1),0,IF(Paths!$P$319="Complete",IF(IF(Paths!$O$319=0,C3440=0,AND(C3440&gt;0,Paths!$O$319&gt;(C3440-1)*12,Paths!$O$319&lt;=C3440*12)),Paths!$N$319,0),"n.a."))</f>
        <v>0</v>
      </c>
      <c r="L3440" s="16">
        <f>IF(NOT(Paths!$C$319=1),0,IF(Paths!$P$319="Complete",IF(C3440=10,Paths!$I$319,0),"n.a."))</f>
        <v>0</v>
      </c>
      <c r="M3440" s="16">
        <f>IF(NOT(Paths!$C$319=1),0,IF(Paths!$P$319="Complete",IF(AND(Paths!$D$319="EV",Paths!$E$319&lt;120,Paths!$E$319+'Operating costs'!$B$65&gt;Paths!$E$319,Paths!$E$319+'Operating costs'!$B$65&lt;=120,IF(Paths!$E$319+'Operating costs'!$B$65=0,C3440=0,AND(C3440&gt;0,Paths!$E$319+'Operating costs'!$B$65&gt;(C3440-1)*12,Paths!$E$319+'Operating costs'!$B$65&lt;=C3440*12))),'Operating costs'!$B$64,0)+IF(AND('Operating costs'!$B$67&gt;0,'Operating costs'!$B$67&lt;=120,OR(Paths!$D$319="ICE",'Operating costs'!$B$67&lt;=Paths!$E$319),IF('Operating costs'!$B$67=0,C3440=0,AND(C3440&gt;0,'Operating costs'!$B$67&gt;(C3440-1)*12,'Operating costs'!$B$67&lt;=C3440*12))),'Operating costs'!$B$66,0),"n.a."))</f>
        <v>0</v>
      </c>
      <c r="N3440" s="16">
        <f>IF(NOT(Paths!$C$319=1),0,IF(Paths!$P$319="Complete",SUM(G3440:I3440)-J3440-K3440-L3440+M3440+IF(C3440=0,Paths!$F$319,0)+IF(IF(Paths!$E$319=0,C3440=0,AND(C3440&gt;0,Paths!$E$319&gt;(C3440-1)*12,Paths!$E$319&lt;=C3440*12)),VLOOKUP(A3440,'Fleet register'!$A$7:$S$106,16,FALSE),0),"n.a."))</f>
        <v>0</v>
      </c>
      <c r="O3440" s="16">
        <f>IF(NOT(Paths!$C$319=1),0,IF(Paths!$P$319="Complete",N3440-IF(C3440=0,Paths!$F$319,0),"n.a."))</f>
        <v>0</v>
      </c>
      <c r="P3440" s="16">
        <f>IF(NOT(Paths!$C$319=1),0,IF(Paths!$P$319="Complete",O3440+L3440,"n.a."))</f>
        <v>0</v>
      </c>
      <c r="Q3440" s="16">
        <f>IF(NOT(Paths!$C$319=1),0,IF(Paths!$P$319="Complete",N3440*(1+'Operating costs'!$B$54)^-C3440,"n.a."))</f>
        <v>0</v>
      </c>
      <c r="R3440" s="16">
        <f>IF(NOT(Paths!$C$319=1),0,IF(Paths!$P$319="Complete",IF(AND(C3440=0,Paths!$E$319=0),I3440-J3440-K3440+VLOOKUP(A3440,'Fleet register'!$A$7:$S$106,15,FALSE)+VLOOKUP(A3440,'Fleet register'!$A$7:$S$106,16,FALSE),0),"n.a."))</f>
        <v>0</v>
      </c>
      <c r="S3440" s="1">
        <f>IF(NOT(Paths!$C$319=1),0,IF(Paths!$P$319="Complete",IF(C3440=0,0,Paths!$S$319*Paths!$R$319),"n.a."))</f>
        <v>0</v>
      </c>
      <c r="T3440" s="1">
        <f>IF(NOT(Paths!$C$319=1),0,IF(Paths!$P$319="Complete",IF(C3440=0,0,VLOOKUP(A3440,'Fleet register'!$A$7:$S$106,9,FALSE)*Paths!$R$319),"n.a."))</f>
        <v>0</v>
      </c>
    </row>
    <row r="3441" spans="1:20" ht="24" customHeight="1">
      <c r="A3441" s="1" t="str">
        <f>Paths!$A$319</f>
        <v>T079</v>
      </c>
      <c r="B3441" s="1">
        <f>Paths!$B$319</f>
        <v>0</v>
      </c>
      <c r="C3441" s="1">
        <v>2</v>
      </c>
      <c r="D3441" s="1">
        <v>319</v>
      </c>
      <c r="E3441" s="1">
        <f>IF(OR(Paths!$C$319=0,C3441=0),0,MAX(0,MIN(C3441*12,Paths!$E$319)-(C3441-1)*12))</f>
        <v>0</v>
      </c>
      <c r="F3441" s="1">
        <f>IF(OR(Paths!$C$319=0,C3441=0),0,12-E3441)</f>
        <v>0</v>
      </c>
      <c r="G3441" s="16">
        <f>IF(NOT(Paths!$C$319=1),0,IF(Paths!$P$319="Complete",E3441/12*(Paths!$J$319*(1+'Operating costs'!$B$51)^MAX(0,C3441-1)+Paths!$K$319*(1+'Operating costs'!$B$53)^MAX(0,C3441-1)),"n.a."))</f>
        <v>0</v>
      </c>
      <c r="H3441" s="16">
        <f>IF(NOT(Paths!$C$319=1),0,IF(Paths!$P$319="Complete",F3441/12*(Paths!$L$319*(1+IF(Paths!$D$319="EV",'Operating costs'!$B$52,'Operating costs'!$B$51))^MAX(0,C3441-1)+Paths!$M$319*(1+'Operating costs'!$B$53)^MAX(0,C3441-1)),"n.a."))</f>
        <v>0</v>
      </c>
      <c r="I3441" s="16">
        <f>IF(NOT(Paths!$C$319=1),0,IF(Paths!$P$319="Complete",IF(IF(Paths!$E$319=0,C3441=0,AND(C3441&gt;0,Paths!$E$319&gt;(C3441-1)*12,Paths!$E$319&lt;=C3441*12)),Paths!$G$319,0),"n.a."))</f>
        <v>0</v>
      </c>
      <c r="J3441" s="16">
        <f>IF(NOT(Paths!$C$319=1),0,IF(Paths!$P$319="Complete",IF(IF(Paths!$E$319=0,C3441=0,AND(C3441&gt;0,Paths!$E$319&gt;(C3441-1)*12,Paths!$E$319&lt;=C3441*12)),Paths!$H$319,0),"n.a."))</f>
        <v>0</v>
      </c>
      <c r="K3441" s="16">
        <f>IF(NOT(Paths!$C$319=1),0,IF(Paths!$P$319="Complete",IF(IF(Paths!$O$319=0,C3441=0,AND(C3441&gt;0,Paths!$O$319&gt;(C3441-1)*12,Paths!$O$319&lt;=C3441*12)),Paths!$N$319,0),"n.a."))</f>
        <v>0</v>
      </c>
      <c r="L3441" s="16">
        <f>IF(NOT(Paths!$C$319=1),0,IF(Paths!$P$319="Complete",IF(C3441=10,Paths!$I$319,0),"n.a."))</f>
        <v>0</v>
      </c>
      <c r="M3441" s="16">
        <f>IF(NOT(Paths!$C$319=1),0,IF(Paths!$P$319="Complete",IF(AND(Paths!$D$319="EV",Paths!$E$319&lt;120,Paths!$E$319+'Operating costs'!$B$65&gt;Paths!$E$319,Paths!$E$319+'Operating costs'!$B$65&lt;=120,IF(Paths!$E$319+'Operating costs'!$B$65=0,C3441=0,AND(C3441&gt;0,Paths!$E$319+'Operating costs'!$B$65&gt;(C3441-1)*12,Paths!$E$319+'Operating costs'!$B$65&lt;=C3441*12))),'Operating costs'!$B$64,0)+IF(AND('Operating costs'!$B$67&gt;0,'Operating costs'!$B$67&lt;=120,OR(Paths!$D$319="ICE",'Operating costs'!$B$67&lt;=Paths!$E$319),IF('Operating costs'!$B$67=0,C3441=0,AND(C3441&gt;0,'Operating costs'!$B$67&gt;(C3441-1)*12,'Operating costs'!$B$67&lt;=C3441*12))),'Operating costs'!$B$66,0),"n.a."))</f>
        <v>0</v>
      </c>
      <c r="N3441" s="16">
        <f>IF(NOT(Paths!$C$319=1),0,IF(Paths!$P$319="Complete",SUM(G3441:I3441)-J3441-K3441-L3441+M3441+IF(C3441=0,Paths!$F$319,0)+IF(IF(Paths!$E$319=0,C3441=0,AND(C3441&gt;0,Paths!$E$319&gt;(C3441-1)*12,Paths!$E$319&lt;=C3441*12)),VLOOKUP(A3441,'Fleet register'!$A$7:$S$106,16,FALSE),0),"n.a."))</f>
        <v>0</v>
      </c>
      <c r="O3441" s="16">
        <f>IF(NOT(Paths!$C$319=1),0,IF(Paths!$P$319="Complete",N3441-IF(C3441=0,Paths!$F$319,0),"n.a."))</f>
        <v>0</v>
      </c>
      <c r="P3441" s="16">
        <f>IF(NOT(Paths!$C$319=1),0,IF(Paths!$P$319="Complete",O3441+L3441,"n.a."))</f>
        <v>0</v>
      </c>
      <c r="Q3441" s="16">
        <f>IF(NOT(Paths!$C$319=1),0,IF(Paths!$P$319="Complete",N3441*(1+'Operating costs'!$B$54)^-C3441,"n.a."))</f>
        <v>0</v>
      </c>
      <c r="R3441" s="16">
        <f>IF(NOT(Paths!$C$319=1),0,IF(Paths!$P$319="Complete",IF(AND(C3441=0,Paths!$E$319=0),I3441-J3441-K3441+VLOOKUP(A3441,'Fleet register'!$A$7:$S$106,15,FALSE)+VLOOKUP(A3441,'Fleet register'!$A$7:$S$106,16,FALSE),0),"n.a."))</f>
        <v>0</v>
      </c>
      <c r="S3441" s="1">
        <f>IF(NOT(Paths!$C$319=1),0,IF(Paths!$P$319="Complete",IF(C3441=0,0,Paths!$S$319*Paths!$R$319),"n.a."))</f>
        <v>0</v>
      </c>
      <c r="T3441" s="1">
        <f>IF(NOT(Paths!$C$319=1),0,IF(Paths!$P$319="Complete",IF(C3441=0,0,VLOOKUP(A3441,'Fleet register'!$A$7:$S$106,9,FALSE)*Paths!$R$319),"n.a."))</f>
        <v>0</v>
      </c>
    </row>
    <row r="3442" spans="1:20" ht="24" customHeight="1">
      <c r="A3442" s="1" t="str">
        <f>Paths!$A$319</f>
        <v>T079</v>
      </c>
      <c r="B3442" s="1">
        <f>Paths!$B$319</f>
        <v>0</v>
      </c>
      <c r="C3442" s="1">
        <v>3</v>
      </c>
      <c r="D3442" s="1">
        <v>319</v>
      </c>
      <c r="E3442" s="1">
        <f>IF(OR(Paths!$C$319=0,C3442=0),0,MAX(0,MIN(C3442*12,Paths!$E$319)-(C3442-1)*12))</f>
        <v>0</v>
      </c>
      <c r="F3442" s="1">
        <f>IF(OR(Paths!$C$319=0,C3442=0),0,12-E3442)</f>
        <v>0</v>
      </c>
      <c r="G3442" s="16">
        <f>IF(NOT(Paths!$C$319=1),0,IF(Paths!$P$319="Complete",E3442/12*(Paths!$J$319*(1+'Operating costs'!$B$51)^MAX(0,C3442-1)+Paths!$K$319*(1+'Operating costs'!$B$53)^MAX(0,C3442-1)),"n.a."))</f>
        <v>0</v>
      </c>
      <c r="H3442" s="16">
        <f>IF(NOT(Paths!$C$319=1),0,IF(Paths!$P$319="Complete",F3442/12*(Paths!$L$319*(1+IF(Paths!$D$319="EV",'Operating costs'!$B$52,'Operating costs'!$B$51))^MAX(0,C3442-1)+Paths!$M$319*(1+'Operating costs'!$B$53)^MAX(0,C3442-1)),"n.a."))</f>
        <v>0</v>
      </c>
      <c r="I3442" s="16">
        <f>IF(NOT(Paths!$C$319=1),0,IF(Paths!$P$319="Complete",IF(IF(Paths!$E$319=0,C3442=0,AND(C3442&gt;0,Paths!$E$319&gt;(C3442-1)*12,Paths!$E$319&lt;=C3442*12)),Paths!$G$319,0),"n.a."))</f>
        <v>0</v>
      </c>
      <c r="J3442" s="16">
        <f>IF(NOT(Paths!$C$319=1),0,IF(Paths!$P$319="Complete",IF(IF(Paths!$E$319=0,C3442=0,AND(C3442&gt;0,Paths!$E$319&gt;(C3442-1)*12,Paths!$E$319&lt;=C3442*12)),Paths!$H$319,0),"n.a."))</f>
        <v>0</v>
      </c>
      <c r="K3442" s="16">
        <f>IF(NOT(Paths!$C$319=1),0,IF(Paths!$P$319="Complete",IF(IF(Paths!$O$319=0,C3442=0,AND(C3442&gt;0,Paths!$O$319&gt;(C3442-1)*12,Paths!$O$319&lt;=C3442*12)),Paths!$N$319,0),"n.a."))</f>
        <v>0</v>
      </c>
      <c r="L3442" s="16">
        <f>IF(NOT(Paths!$C$319=1),0,IF(Paths!$P$319="Complete",IF(C3442=10,Paths!$I$319,0),"n.a."))</f>
        <v>0</v>
      </c>
      <c r="M3442" s="16">
        <f>IF(NOT(Paths!$C$319=1),0,IF(Paths!$P$319="Complete",IF(AND(Paths!$D$319="EV",Paths!$E$319&lt;120,Paths!$E$319+'Operating costs'!$B$65&gt;Paths!$E$319,Paths!$E$319+'Operating costs'!$B$65&lt;=120,IF(Paths!$E$319+'Operating costs'!$B$65=0,C3442=0,AND(C3442&gt;0,Paths!$E$319+'Operating costs'!$B$65&gt;(C3442-1)*12,Paths!$E$319+'Operating costs'!$B$65&lt;=C3442*12))),'Operating costs'!$B$64,0)+IF(AND('Operating costs'!$B$67&gt;0,'Operating costs'!$B$67&lt;=120,OR(Paths!$D$319="ICE",'Operating costs'!$B$67&lt;=Paths!$E$319),IF('Operating costs'!$B$67=0,C3442=0,AND(C3442&gt;0,'Operating costs'!$B$67&gt;(C3442-1)*12,'Operating costs'!$B$67&lt;=C3442*12))),'Operating costs'!$B$66,0),"n.a."))</f>
        <v>0</v>
      </c>
      <c r="N3442" s="16">
        <f>IF(NOT(Paths!$C$319=1),0,IF(Paths!$P$319="Complete",SUM(G3442:I3442)-J3442-K3442-L3442+M3442+IF(C3442=0,Paths!$F$319,0)+IF(IF(Paths!$E$319=0,C3442=0,AND(C3442&gt;0,Paths!$E$319&gt;(C3442-1)*12,Paths!$E$319&lt;=C3442*12)),VLOOKUP(A3442,'Fleet register'!$A$7:$S$106,16,FALSE),0),"n.a."))</f>
        <v>0</v>
      </c>
      <c r="O3442" s="16">
        <f>IF(NOT(Paths!$C$319=1),0,IF(Paths!$P$319="Complete",N3442-IF(C3442=0,Paths!$F$319,0),"n.a."))</f>
        <v>0</v>
      </c>
      <c r="P3442" s="16">
        <f>IF(NOT(Paths!$C$319=1),0,IF(Paths!$P$319="Complete",O3442+L3442,"n.a."))</f>
        <v>0</v>
      </c>
      <c r="Q3442" s="16">
        <f>IF(NOT(Paths!$C$319=1),0,IF(Paths!$P$319="Complete",N3442*(1+'Operating costs'!$B$54)^-C3442,"n.a."))</f>
        <v>0</v>
      </c>
      <c r="R3442" s="16">
        <f>IF(NOT(Paths!$C$319=1),0,IF(Paths!$P$319="Complete",IF(AND(C3442=0,Paths!$E$319=0),I3442-J3442-K3442+VLOOKUP(A3442,'Fleet register'!$A$7:$S$106,15,FALSE)+VLOOKUP(A3442,'Fleet register'!$A$7:$S$106,16,FALSE),0),"n.a."))</f>
        <v>0</v>
      </c>
      <c r="S3442" s="1">
        <f>IF(NOT(Paths!$C$319=1),0,IF(Paths!$P$319="Complete",IF(C3442=0,0,Paths!$S$319*Paths!$R$319),"n.a."))</f>
        <v>0</v>
      </c>
      <c r="T3442" s="1">
        <f>IF(NOT(Paths!$C$319=1),0,IF(Paths!$P$319="Complete",IF(C3442=0,0,VLOOKUP(A3442,'Fleet register'!$A$7:$S$106,9,FALSE)*Paths!$R$319),"n.a."))</f>
        <v>0</v>
      </c>
    </row>
    <row r="3443" spans="1:20" ht="24" customHeight="1">
      <c r="A3443" s="1" t="str">
        <f>Paths!$A$319</f>
        <v>T079</v>
      </c>
      <c r="B3443" s="1">
        <f>Paths!$B$319</f>
        <v>0</v>
      </c>
      <c r="C3443" s="1">
        <v>4</v>
      </c>
      <c r="D3443" s="1">
        <v>319</v>
      </c>
      <c r="E3443" s="1">
        <f>IF(OR(Paths!$C$319=0,C3443=0),0,MAX(0,MIN(C3443*12,Paths!$E$319)-(C3443-1)*12))</f>
        <v>0</v>
      </c>
      <c r="F3443" s="1">
        <f>IF(OR(Paths!$C$319=0,C3443=0),0,12-E3443)</f>
        <v>0</v>
      </c>
      <c r="G3443" s="16">
        <f>IF(NOT(Paths!$C$319=1),0,IF(Paths!$P$319="Complete",E3443/12*(Paths!$J$319*(1+'Operating costs'!$B$51)^MAX(0,C3443-1)+Paths!$K$319*(1+'Operating costs'!$B$53)^MAX(0,C3443-1)),"n.a."))</f>
        <v>0</v>
      </c>
      <c r="H3443" s="16">
        <f>IF(NOT(Paths!$C$319=1),0,IF(Paths!$P$319="Complete",F3443/12*(Paths!$L$319*(1+IF(Paths!$D$319="EV",'Operating costs'!$B$52,'Operating costs'!$B$51))^MAX(0,C3443-1)+Paths!$M$319*(1+'Operating costs'!$B$53)^MAX(0,C3443-1)),"n.a."))</f>
        <v>0</v>
      </c>
      <c r="I3443" s="16">
        <f>IF(NOT(Paths!$C$319=1),0,IF(Paths!$P$319="Complete",IF(IF(Paths!$E$319=0,C3443=0,AND(C3443&gt;0,Paths!$E$319&gt;(C3443-1)*12,Paths!$E$319&lt;=C3443*12)),Paths!$G$319,0),"n.a."))</f>
        <v>0</v>
      </c>
      <c r="J3443" s="16">
        <f>IF(NOT(Paths!$C$319=1),0,IF(Paths!$P$319="Complete",IF(IF(Paths!$E$319=0,C3443=0,AND(C3443&gt;0,Paths!$E$319&gt;(C3443-1)*12,Paths!$E$319&lt;=C3443*12)),Paths!$H$319,0),"n.a."))</f>
        <v>0</v>
      </c>
      <c r="K3443" s="16">
        <f>IF(NOT(Paths!$C$319=1),0,IF(Paths!$P$319="Complete",IF(IF(Paths!$O$319=0,C3443=0,AND(C3443&gt;0,Paths!$O$319&gt;(C3443-1)*12,Paths!$O$319&lt;=C3443*12)),Paths!$N$319,0),"n.a."))</f>
        <v>0</v>
      </c>
      <c r="L3443" s="16">
        <f>IF(NOT(Paths!$C$319=1),0,IF(Paths!$P$319="Complete",IF(C3443=10,Paths!$I$319,0),"n.a."))</f>
        <v>0</v>
      </c>
      <c r="M3443" s="16">
        <f>IF(NOT(Paths!$C$319=1),0,IF(Paths!$P$319="Complete",IF(AND(Paths!$D$319="EV",Paths!$E$319&lt;120,Paths!$E$319+'Operating costs'!$B$65&gt;Paths!$E$319,Paths!$E$319+'Operating costs'!$B$65&lt;=120,IF(Paths!$E$319+'Operating costs'!$B$65=0,C3443=0,AND(C3443&gt;0,Paths!$E$319+'Operating costs'!$B$65&gt;(C3443-1)*12,Paths!$E$319+'Operating costs'!$B$65&lt;=C3443*12))),'Operating costs'!$B$64,0)+IF(AND('Operating costs'!$B$67&gt;0,'Operating costs'!$B$67&lt;=120,OR(Paths!$D$319="ICE",'Operating costs'!$B$67&lt;=Paths!$E$319),IF('Operating costs'!$B$67=0,C3443=0,AND(C3443&gt;0,'Operating costs'!$B$67&gt;(C3443-1)*12,'Operating costs'!$B$67&lt;=C3443*12))),'Operating costs'!$B$66,0),"n.a."))</f>
        <v>0</v>
      </c>
      <c r="N3443" s="16">
        <f>IF(NOT(Paths!$C$319=1),0,IF(Paths!$P$319="Complete",SUM(G3443:I3443)-J3443-K3443-L3443+M3443+IF(C3443=0,Paths!$F$319,0)+IF(IF(Paths!$E$319=0,C3443=0,AND(C3443&gt;0,Paths!$E$319&gt;(C3443-1)*12,Paths!$E$319&lt;=C3443*12)),VLOOKUP(A3443,'Fleet register'!$A$7:$S$106,16,FALSE),0),"n.a."))</f>
        <v>0</v>
      </c>
      <c r="O3443" s="16">
        <f>IF(NOT(Paths!$C$319=1),0,IF(Paths!$P$319="Complete",N3443-IF(C3443=0,Paths!$F$319,0),"n.a."))</f>
        <v>0</v>
      </c>
      <c r="P3443" s="16">
        <f>IF(NOT(Paths!$C$319=1),0,IF(Paths!$P$319="Complete",O3443+L3443,"n.a."))</f>
        <v>0</v>
      </c>
      <c r="Q3443" s="16">
        <f>IF(NOT(Paths!$C$319=1),0,IF(Paths!$P$319="Complete",N3443*(1+'Operating costs'!$B$54)^-C3443,"n.a."))</f>
        <v>0</v>
      </c>
      <c r="R3443" s="16">
        <f>IF(NOT(Paths!$C$319=1),0,IF(Paths!$P$319="Complete",IF(AND(C3443=0,Paths!$E$319=0),I3443-J3443-K3443+VLOOKUP(A3443,'Fleet register'!$A$7:$S$106,15,FALSE)+VLOOKUP(A3443,'Fleet register'!$A$7:$S$106,16,FALSE),0),"n.a."))</f>
        <v>0</v>
      </c>
      <c r="S3443" s="1">
        <f>IF(NOT(Paths!$C$319=1),0,IF(Paths!$P$319="Complete",IF(C3443=0,0,Paths!$S$319*Paths!$R$319),"n.a."))</f>
        <v>0</v>
      </c>
      <c r="T3443" s="1">
        <f>IF(NOT(Paths!$C$319=1),0,IF(Paths!$P$319="Complete",IF(C3443=0,0,VLOOKUP(A3443,'Fleet register'!$A$7:$S$106,9,FALSE)*Paths!$R$319),"n.a."))</f>
        <v>0</v>
      </c>
    </row>
    <row r="3444" spans="1:20" ht="24" customHeight="1">
      <c r="A3444" s="1" t="str">
        <f>Paths!$A$319</f>
        <v>T079</v>
      </c>
      <c r="B3444" s="1">
        <f>Paths!$B$319</f>
        <v>0</v>
      </c>
      <c r="C3444" s="1">
        <v>5</v>
      </c>
      <c r="D3444" s="1">
        <v>319</v>
      </c>
      <c r="E3444" s="1">
        <f>IF(OR(Paths!$C$319=0,C3444=0),0,MAX(0,MIN(C3444*12,Paths!$E$319)-(C3444-1)*12))</f>
        <v>0</v>
      </c>
      <c r="F3444" s="1">
        <f>IF(OR(Paths!$C$319=0,C3444=0),0,12-E3444)</f>
        <v>0</v>
      </c>
      <c r="G3444" s="16">
        <f>IF(NOT(Paths!$C$319=1),0,IF(Paths!$P$319="Complete",E3444/12*(Paths!$J$319*(1+'Operating costs'!$B$51)^MAX(0,C3444-1)+Paths!$K$319*(1+'Operating costs'!$B$53)^MAX(0,C3444-1)),"n.a."))</f>
        <v>0</v>
      </c>
      <c r="H3444" s="16">
        <f>IF(NOT(Paths!$C$319=1),0,IF(Paths!$P$319="Complete",F3444/12*(Paths!$L$319*(1+IF(Paths!$D$319="EV",'Operating costs'!$B$52,'Operating costs'!$B$51))^MAX(0,C3444-1)+Paths!$M$319*(1+'Operating costs'!$B$53)^MAX(0,C3444-1)),"n.a."))</f>
        <v>0</v>
      </c>
      <c r="I3444" s="16">
        <f>IF(NOT(Paths!$C$319=1),0,IF(Paths!$P$319="Complete",IF(IF(Paths!$E$319=0,C3444=0,AND(C3444&gt;0,Paths!$E$319&gt;(C3444-1)*12,Paths!$E$319&lt;=C3444*12)),Paths!$G$319,0),"n.a."))</f>
        <v>0</v>
      </c>
      <c r="J3444" s="16">
        <f>IF(NOT(Paths!$C$319=1),0,IF(Paths!$P$319="Complete",IF(IF(Paths!$E$319=0,C3444=0,AND(C3444&gt;0,Paths!$E$319&gt;(C3444-1)*12,Paths!$E$319&lt;=C3444*12)),Paths!$H$319,0),"n.a."))</f>
        <v>0</v>
      </c>
      <c r="K3444" s="16">
        <f>IF(NOT(Paths!$C$319=1),0,IF(Paths!$P$319="Complete",IF(IF(Paths!$O$319=0,C3444=0,AND(C3444&gt;0,Paths!$O$319&gt;(C3444-1)*12,Paths!$O$319&lt;=C3444*12)),Paths!$N$319,0),"n.a."))</f>
        <v>0</v>
      </c>
      <c r="L3444" s="16">
        <f>IF(NOT(Paths!$C$319=1),0,IF(Paths!$P$319="Complete",IF(C3444=10,Paths!$I$319,0),"n.a."))</f>
        <v>0</v>
      </c>
      <c r="M3444" s="16">
        <f>IF(NOT(Paths!$C$319=1),0,IF(Paths!$P$319="Complete",IF(AND(Paths!$D$319="EV",Paths!$E$319&lt;120,Paths!$E$319+'Operating costs'!$B$65&gt;Paths!$E$319,Paths!$E$319+'Operating costs'!$B$65&lt;=120,IF(Paths!$E$319+'Operating costs'!$B$65=0,C3444=0,AND(C3444&gt;0,Paths!$E$319+'Operating costs'!$B$65&gt;(C3444-1)*12,Paths!$E$319+'Operating costs'!$B$65&lt;=C3444*12))),'Operating costs'!$B$64,0)+IF(AND('Operating costs'!$B$67&gt;0,'Operating costs'!$B$67&lt;=120,OR(Paths!$D$319="ICE",'Operating costs'!$B$67&lt;=Paths!$E$319),IF('Operating costs'!$B$67=0,C3444=0,AND(C3444&gt;0,'Operating costs'!$B$67&gt;(C3444-1)*12,'Operating costs'!$B$67&lt;=C3444*12))),'Operating costs'!$B$66,0),"n.a."))</f>
        <v>0</v>
      </c>
      <c r="N3444" s="16">
        <f>IF(NOT(Paths!$C$319=1),0,IF(Paths!$P$319="Complete",SUM(G3444:I3444)-J3444-K3444-L3444+M3444+IF(C3444=0,Paths!$F$319,0)+IF(IF(Paths!$E$319=0,C3444=0,AND(C3444&gt;0,Paths!$E$319&gt;(C3444-1)*12,Paths!$E$319&lt;=C3444*12)),VLOOKUP(A3444,'Fleet register'!$A$7:$S$106,16,FALSE),0),"n.a."))</f>
        <v>0</v>
      </c>
      <c r="O3444" s="16">
        <f>IF(NOT(Paths!$C$319=1),0,IF(Paths!$P$319="Complete",N3444-IF(C3444=0,Paths!$F$319,0),"n.a."))</f>
        <v>0</v>
      </c>
      <c r="P3444" s="16">
        <f>IF(NOT(Paths!$C$319=1),0,IF(Paths!$P$319="Complete",O3444+L3444,"n.a."))</f>
        <v>0</v>
      </c>
      <c r="Q3444" s="16">
        <f>IF(NOT(Paths!$C$319=1),0,IF(Paths!$P$319="Complete",N3444*(1+'Operating costs'!$B$54)^-C3444,"n.a."))</f>
        <v>0</v>
      </c>
      <c r="R3444" s="16">
        <f>IF(NOT(Paths!$C$319=1),0,IF(Paths!$P$319="Complete",IF(AND(C3444=0,Paths!$E$319=0),I3444-J3444-K3444+VLOOKUP(A3444,'Fleet register'!$A$7:$S$106,15,FALSE)+VLOOKUP(A3444,'Fleet register'!$A$7:$S$106,16,FALSE),0),"n.a."))</f>
        <v>0</v>
      </c>
      <c r="S3444" s="1">
        <f>IF(NOT(Paths!$C$319=1),0,IF(Paths!$P$319="Complete",IF(C3444=0,0,Paths!$S$319*Paths!$R$319),"n.a."))</f>
        <v>0</v>
      </c>
      <c r="T3444" s="1">
        <f>IF(NOT(Paths!$C$319=1),0,IF(Paths!$P$319="Complete",IF(C3444=0,0,VLOOKUP(A3444,'Fleet register'!$A$7:$S$106,9,FALSE)*Paths!$R$319),"n.a."))</f>
        <v>0</v>
      </c>
    </row>
    <row r="3445" spans="1:20" ht="24" customHeight="1">
      <c r="A3445" s="1" t="str">
        <f>Paths!$A$319</f>
        <v>T079</v>
      </c>
      <c r="B3445" s="1">
        <f>Paths!$B$319</f>
        <v>0</v>
      </c>
      <c r="C3445" s="1">
        <v>6</v>
      </c>
      <c r="D3445" s="1">
        <v>319</v>
      </c>
      <c r="E3445" s="1">
        <f>IF(OR(Paths!$C$319=0,C3445=0),0,MAX(0,MIN(C3445*12,Paths!$E$319)-(C3445-1)*12))</f>
        <v>0</v>
      </c>
      <c r="F3445" s="1">
        <f>IF(OR(Paths!$C$319=0,C3445=0),0,12-E3445)</f>
        <v>0</v>
      </c>
      <c r="G3445" s="16">
        <f>IF(NOT(Paths!$C$319=1),0,IF(Paths!$P$319="Complete",E3445/12*(Paths!$J$319*(1+'Operating costs'!$B$51)^MAX(0,C3445-1)+Paths!$K$319*(1+'Operating costs'!$B$53)^MAX(0,C3445-1)),"n.a."))</f>
        <v>0</v>
      </c>
      <c r="H3445" s="16">
        <f>IF(NOT(Paths!$C$319=1),0,IF(Paths!$P$319="Complete",F3445/12*(Paths!$L$319*(1+IF(Paths!$D$319="EV",'Operating costs'!$B$52,'Operating costs'!$B$51))^MAX(0,C3445-1)+Paths!$M$319*(1+'Operating costs'!$B$53)^MAX(0,C3445-1)),"n.a."))</f>
        <v>0</v>
      </c>
      <c r="I3445" s="16">
        <f>IF(NOT(Paths!$C$319=1),0,IF(Paths!$P$319="Complete",IF(IF(Paths!$E$319=0,C3445=0,AND(C3445&gt;0,Paths!$E$319&gt;(C3445-1)*12,Paths!$E$319&lt;=C3445*12)),Paths!$G$319,0),"n.a."))</f>
        <v>0</v>
      </c>
      <c r="J3445" s="16">
        <f>IF(NOT(Paths!$C$319=1),0,IF(Paths!$P$319="Complete",IF(IF(Paths!$E$319=0,C3445=0,AND(C3445&gt;0,Paths!$E$319&gt;(C3445-1)*12,Paths!$E$319&lt;=C3445*12)),Paths!$H$319,0),"n.a."))</f>
        <v>0</v>
      </c>
      <c r="K3445" s="16">
        <f>IF(NOT(Paths!$C$319=1),0,IF(Paths!$P$319="Complete",IF(IF(Paths!$O$319=0,C3445=0,AND(C3445&gt;0,Paths!$O$319&gt;(C3445-1)*12,Paths!$O$319&lt;=C3445*12)),Paths!$N$319,0),"n.a."))</f>
        <v>0</v>
      </c>
      <c r="L3445" s="16">
        <f>IF(NOT(Paths!$C$319=1),0,IF(Paths!$P$319="Complete",IF(C3445=10,Paths!$I$319,0),"n.a."))</f>
        <v>0</v>
      </c>
      <c r="M3445" s="16">
        <f>IF(NOT(Paths!$C$319=1),0,IF(Paths!$P$319="Complete",IF(AND(Paths!$D$319="EV",Paths!$E$319&lt;120,Paths!$E$319+'Operating costs'!$B$65&gt;Paths!$E$319,Paths!$E$319+'Operating costs'!$B$65&lt;=120,IF(Paths!$E$319+'Operating costs'!$B$65=0,C3445=0,AND(C3445&gt;0,Paths!$E$319+'Operating costs'!$B$65&gt;(C3445-1)*12,Paths!$E$319+'Operating costs'!$B$65&lt;=C3445*12))),'Operating costs'!$B$64,0)+IF(AND('Operating costs'!$B$67&gt;0,'Operating costs'!$B$67&lt;=120,OR(Paths!$D$319="ICE",'Operating costs'!$B$67&lt;=Paths!$E$319),IF('Operating costs'!$B$67=0,C3445=0,AND(C3445&gt;0,'Operating costs'!$B$67&gt;(C3445-1)*12,'Operating costs'!$B$67&lt;=C3445*12))),'Operating costs'!$B$66,0),"n.a."))</f>
        <v>0</v>
      </c>
      <c r="N3445" s="16">
        <f>IF(NOT(Paths!$C$319=1),0,IF(Paths!$P$319="Complete",SUM(G3445:I3445)-J3445-K3445-L3445+M3445+IF(C3445=0,Paths!$F$319,0)+IF(IF(Paths!$E$319=0,C3445=0,AND(C3445&gt;0,Paths!$E$319&gt;(C3445-1)*12,Paths!$E$319&lt;=C3445*12)),VLOOKUP(A3445,'Fleet register'!$A$7:$S$106,16,FALSE),0),"n.a."))</f>
        <v>0</v>
      </c>
      <c r="O3445" s="16">
        <f>IF(NOT(Paths!$C$319=1),0,IF(Paths!$P$319="Complete",N3445-IF(C3445=0,Paths!$F$319,0),"n.a."))</f>
        <v>0</v>
      </c>
      <c r="P3445" s="16">
        <f>IF(NOT(Paths!$C$319=1),0,IF(Paths!$P$319="Complete",O3445+L3445,"n.a."))</f>
        <v>0</v>
      </c>
      <c r="Q3445" s="16">
        <f>IF(NOT(Paths!$C$319=1),0,IF(Paths!$P$319="Complete",N3445*(1+'Operating costs'!$B$54)^-C3445,"n.a."))</f>
        <v>0</v>
      </c>
      <c r="R3445" s="16">
        <f>IF(NOT(Paths!$C$319=1),0,IF(Paths!$P$319="Complete",IF(AND(C3445=0,Paths!$E$319=0),I3445-J3445-K3445+VLOOKUP(A3445,'Fleet register'!$A$7:$S$106,15,FALSE)+VLOOKUP(A3445,'Fleet register'!$A$7:$S$106,16,FALSE),0),"n.a."))</f>
        <v>0</v>
      </c>
      <c r="S3445" s="1">
        <f>IF(NOT(Paths!$C$319=1),0,IF(Paths!$P$319="Complete",IF(C3445=0,0,Paths!$S$319*Paths!$R$319),"n.a."))</f>
        <v>0</v>
      </c>
      <c r="T3445" s="1">
        <f>IF(NOT(Paths!$C$319=1),0,IF(Paths!$P$319="Complete",IF(C3445=0,0,VLOOKUP(A3445,'Fleet register'!$A$7:$S$106,9,FALSE)*Paths!$R$319),"n.a."))</f>
        <v>0</v>
      </c>
    </row>
    <row r="3446" spans="1:20" ht="24" customHeight="1">
      <c r="A3446" s="1" t="str">
        <f>Paths!$A$319</f>
        <v>T079</v>
      </c>
      <c r="B3446" s="1">
        <f>Paths!$B$319</f>
        <v>0</v>
      </c>
      <c r="C3446" s="1">
        <v>7</v>
      </c>
      <c r="D3446" s="1">
        <v>319</v>
      </c>
      <c r="E3446" s="1">
        <f>IF(OR(Paths!$C$319=0,C3446=0),0,MAX(0,MIN(C3446*12,Paths!$E$319)-(C3446-1)*12))</f>
        <v>0</v>
      </c>
      <c r="F3446" s="1">
        <f>IF(OR(Paths!$C$319=0,C3446=0),0,12-E3446)</f>
        <v>0</v>
      </c>
      <c r="G3446" s="16">
        <f>IF(NOT(Paths!$C$319=1),0,IF(Paths!$P$319="Complete",E3446/12*(Paths!$J$319*(1+'Operating costs'!$B$51)^MAX(0,C3446-1)+Paths!$K$319*(1+'Operating costs'!$B$53)^MAX(0,C3446-1)),"n.a."))</f>
        <v>0</v>
      </c>
      <c r="H3446" s="16">
        <f>IF(NOT(Paths!$C$319=1),0,IF(Paths!$P$319="Complete",F3446/12*(Paths!$L$319*(1+IF(Paths!$D$319="EV",'Operating costs'!$B$52,'Operating costs'!$B$51))^MAX(0,C3446-1)+Paths!$M$319*(1+'Operating costs'!$B$53)^MAX(0,C3446-1)),"n.a."))</f>
        <v>0</v>
      </c>
      <c r="I3446" s="16">
        <f>IF(NOT(Paths!$C$319=1),0,IF(Paths!$P$319="Complete",IF(IF(Paths!$E$319=0,C3446=0,AND(C3446&gt;0,Paths!$E$319&gt;(C3446-1)*12,Paths!$E$319&lt;=C3446*12)),Paths!$G$319,0),"n.a."))</f>
        <v>0</v>
      </c>
      <c r="J3446" s="16">
        <f>IF(NOT(Paths!$C$319=1),0,IF(Paths!$P$319="Complete",IF(IF(Paths!$E$319=0,C3446=0,AND(C3446&gt;0,Paths!$E$319&gt;(C3446-1)*12,Paths!$E$319&lt;=C3446*12)),Paths!$H$319,0),"n.a."))</f>
        <v>0</v>
      </c>
      <c r="K3446" s="16">
        <f>IF(NOT(Paths!$C$319=1),0,IF(Paths!$P$319="Complete",IF(IF(Paths!$O$319=0,C3446=0,AND(C3446&gt;0,Paths!$O$319&gt;(C3446-1)*12,Paths!$O$319&lt;=C3446*12)),Paths!$N$319,0),"n.a."))</f>
        <v>0</v>
      </c>
      <c r="L3446" s="16">
        <f>IF(NOT(Paths!$C$319=1),0,IF(Paths!$P$319="Complete",IF(C3446=10,Paths!$I$319,0),"n.a."))</f>
        <v>0</v>
      </c>
      <c r="M3446" s="16">
        <f>IF(NOT(Paths!$C$319=1),0,IF(Paths!$P$319="Complete",IF(AND(Paths!$D$319="EV",Paths!$E$319&lt;120,Paths!$E$319+'Operating costs'!$B$65&gt;Paths!$E$319,Paths!$E$319+'Operating costs'!$B$65&lt;=120,IF(Paths!$E$319+'Operating costs'!$B$65=0,C3446=0,AND(C3446&gt;0,Paths!$E$319+'Operating costs'!$B$65&gt;(C3446-1)*12,Paths!$E$319+'Operating costs'!$B$65&lt;=C3446*12))),'Operating costs'!$B$64,0)+IF(AND('Operating costs'!$B$67&gt;0,'Operating costs'!$B$67&lt;=120,OR(Paths!$D$319="ICE",'Operating costs'!$B$67&lt;=Paths!$E$319),IF('Operating costs'!$B$67=0,C3446=0,AND(C3446&gt;0,'Operating costs'!$B$67&gt;(C3446-1)*12,'Operating costs'!$B$67&lt;=C3446*12))),'Operating costs'!$B$66,0),"n.a."))</f>
        <v>0</v>
      </c>
      <c r="N3446" s="16">
        <f>IF(NOT(Paths!$C$319=1),0,IF(Paths!$P$319="Complete",SUM(G3446:I3446)-J3446-K3446-L3446+M3446+IF(C3446=0,Paths!$F$319,0)+IF(IF(Paths!$E$319=0,C3446=0,AND(C3446&gt;0,Paths!$E$319&gt;(C3446-1)*12,Paths!$E$319&lt;=C3446*12)),VLOOKUP(A3446,'Fleet register'!$A$7:$S$106,16,FALSE),0),"n.a."))</f>
        <v>0</v>
      </c>
      <c r="O3446" s="16">
        <f>IF(NOT(Paths!$C$319=1),0,IF(Paths!$P$319="Complete",N3446-IF(C3446=0,Paths!$F$319,0),"n.a."))</f>
        <v>0</v>
      </c>
      <c r="P3446" s="16">
        <f>IF(NOT(Paths!$C$319=1),0,IF(Paths!$P$319="Complete",O3446+L3446,"n.a."))</f>
        <v>0</v>
      </c>
      <c r="Q3446" s="16">
        <f>IF(NOT(Paths!$C$319=1),0,IF(Paths!$P$319="Complete",N3446*(1+'Operating costs'!$B$54)^-C3446,"n.a."))</f>
        <v>0</v>
      </c>
      <c r="R3446" s="16">
        <f>IF(NOT(Paths!$C$319=1),0,IF(Paths!$P$319="Complete",IF(AND(C3446=0,Paths!$E$319=0),I3446-J3446-K3446+VLOOKUP(A3446,'Fleet register'!$A$7:$S$106,15,FALSE)+VLOOKUP(A3446,'Fleet register'!$A$7:$S$106,16,FALSE),0),"n.a."))</f>
        <v>0</v>
      </c>
      <c r="S3446" s="1">
        <f>IF(NOT(Paths!$C$319=1),0,IF(Paths!$P$319="Complete",IF(C3446=0,0,Paths!$S$319*Paths!$R$319),"n.a."))</f>
        <v>0</v>
      </c>
      <c r="T3446" s="1">
        <f>IF(NOT(Paths!$C$319=1),0,IF(Paths!$P$319="Complete",IF(C3446=0,0,VLOOKUP(A3446,'Fleet register'!$A$7:$S$106,9,FALSE)*Paths!$R$319),"n.a."))</f>
        <v>0</v>
      </c>
    </row>
    <row r="3447" spans="1:20" ht="24" customHeight="1">
      <c r="A3447" s="1" t="str">
        <f>Paths!$A$319</f>
        <v>T079</v>
      </c>
      <c r="B3447" s="1">
        <f>Paths!$B$319</f>
        <v>0</v>
      </c>
      <c r="C3447" s="1">
        <v>8</v>
      </c>
      <c r="D3447" s="1">
        <v>319</v>
      </c>
      <c r="E3447" s="1">
        <f>IF(OR(Paths!$C$319=0,C3447=0),0,MAX(0,MIN(C3447*12,Paths!$E$319)-(C3447-1)*12))</f>
        <v>0</v>
      </c>
      <c r="F3447" s="1">
        <f>IF(OR(Paths!$C$319=0,C3447=0),0,12-E3447)</f>
        <v>0</v>
      </c>
      <c r="G3447" s="16">
        <f>IF(NOT(Paths!$C$319=1),0,IF(Paths!$P$319="Complete",E3447/12*(Paths!$J$319*(1+'Operating costs'!$B$51)^MAX(0,C3447-1)+Paths!$K$319*(1+'Operating costs'!$B$53)^MAX(0,C3447-1)),"n.a."))</f>
        <v>0</v>
      </c>
      <c r="H3447" s="16">
        <f>IF(NOT(Paths!$C$319=1),0,IF(Paths!$P$319="Complete",F3447/12*(Paths!$L$319*(1+IF(Paths!$D$319="EV",'Operating costs'!$B$52,'Operating costs'!$B$51))^MAX(0,C3447-1)+Paths!$M$319*(1+'Operating costs'!$B$53)^MAX(0,C3447-1)),"n.a."))</f>
        <v>0</v>
      </c>
      <c r="I3447" s="16">
        <f>IF(NOT(Paths!$C$319=1),0,IF(Paths!$P$319="Complete",IF(IF(Paths!$E$319=0,C3447=0,AND(C3447&gt;0,Paths!$E$319&gt;(C3447-1)*12,Paths!$E$319&lt;=C3447*12)),Paths!$G$319,0),"n.a."))</f>
        <v>0</v>
      </c>
      <c r="J3447" s="16">
        <f>IF(NOT(Paths!$C$319=1),0,IF(Paths!$P$319="Complete",IF(IF(Paths!$E$319=0,C3447=0,AND(C3447&gt;0,Paths!$E$319&gt;(C3447-1)*12,Paths!$E$319&lt;=C3447*12)),Paths!$H$319,0),"n.a."))</f>
        <v>0</v>
      </c>
      <c r="K3447" s="16">
        <f>IF(NOT(Paths!$C$319=1),0,IF(Paths!$P$319="Complete",IF(IF(Paths!$O$319=0,C3447=0,AND(C3447&gt;0,Paths!$O$319&gt;(C3447-1)*12,Paths!$O$319&lt;=C3447*12)),Paths!$N$319,0),"n.a."))</f>
        <v>0</v>
      </c>
      <c r="L3447" s="16">
        <f>IF(NOT(Paths!$C$319=1),0,IF(Paths!$P$319="Complete",IF(C3447=10,Paths!$I$319,0),"n.a."))</f>
        <v>0</v>
      </c>
      <c r="M3447" s="16">
        <f>IF(NOT(Paths!$C$319=1),0,IF(Paths!$P$319="Complete",IF(AND(Paths!$D$319="EV",Paths!$E$319&lt;120,Paths!$E$319+'Operating costs'!$B$65&gt;Paths!$E$319,Paths!$E$319+'Operating costs'!$B$65&lt;=120,IF(Paths!$E$319+'Operating costs'!$B$65=0,C3447=0,AND(C3447&gt;0,Paths!$E$319+'Operating costs'!$B$65&gt;(C3447-1)*12,Paths!$E$319+'Operating costs'!$B$65&lt;=C3447*12))),'Operating costs'!$B$64,0)+IF(AND('Operating costs'!$B$67&gt;0,'Operating costs'!$B$67&lt;=120,OR(Paths!$D$319="ICE",'Operating costs'!$B$67&lt;=Paths!$E$319),IF('Operating costs'!$B$67=0,C3447=0,AND(C3447&gt;0,'Operating costs'!$B$67&gt;(C3447-1)*12,'Operating costs'!$B$67&lt;=C3447*12))),'Operating costs'!$B$66,0),"n.a."))</f>
        <v>0</v>
      </c>
      <c r="N3447" s="16">
        <f>IF(NOT(Paths!$C$319=1),0,IF(Paths!$P$319="Complete",SUM(G3447:I3447)-J3447-K3447-L3447+M3447+IF(C3447=0,Paths!$F$319,0)+IF(IF(Paths!$E$319=0,C3447=0,AND(C3447&gt;0,Paths!$E$319&gt;(C3447-1)*12,Paths!$E$319&lt;=C3447*12)),VLOOKUP(A3447,'Fleet register'!$A$7:$S$106,16,FALSE),0),"n.a."))</f>
        <v>0</v>
      </c>
      <c r="O3447" s="16">
        <f>IF(NOT(Paths!$C$319=1),0,IF(Paths!$P$319="Complete",N3447-IF(C3447=0,Paths!$F$319,0),"n.a."))</f>
        <v>0</v>
      </c>
      <c r="P3447" s="16">
        <f>IF(NOT(Paths!$C$319=1),0,IF(Paths!$P$319="Complete",O3447+L3447,"n.a."))</f>
        <v>0</v>
      </c>
      <c r="Q3447" s="16">
        <f>IF(NOT(Paths!$C$319=1),0,IF(Paths!$P$319="Complete",N3447*(1+'Operating costs'!$B$54)^-C3447,"n.a."))</f>
        <v>0</v>
      </c>
      <c r="R3447" s="16">
        <f>IF(NOT(Paths!$C$319=1),0,IF(Paths!$P$319="Complete",IF(AND(C3447=0,Paths!$E$319=0),I3447-J3447-K3447+VLOOKUP(A3447,'Fleet register'!$A$7:$S$106,15,FALSE)+VLOOKUP(A3447,'Fleet register'!$A$7:$S$106,16,FALSE),0),"n.a."))</f>
        <v>0</v>
      </c>
      <c r="S3447" s="1">
        <f>IF(NOT(Paths!$C$319=1),0,IF(Paths!$P$319="Complete",IF(C3447=0,0,Paths!$S$319*Paths!$R$319),"n.a."))</f>
        <v>0</v>
      </c>
      <c r="T3447" s="1">
        <f>IF(NOT(Paths!$C$319=1),0,IF(Paths!$P$319="Complete",IF(C3447=0,0,VLOOKUP(A3447,'Fleet register'!$A$7:$S$106,9,FALSE)*Paths!$R$319),"n.a."))</f>
        <v>0</v>
      </c>
    </row>
    <row r="3448" spans="1:20" ht="24" customHeight="1">
      <c r="A3448" s="1" t="str">
        <f>Paths!$A$319</f>
        <v>T079</v>
      </c>
      <c r="B3448" s="1">
        <f>Paths!$B$319</f>
        <v>0</v>
      </c>
      <c r="C3448" s="1">
        <v>9</v>
      </c>
      <c r="D3448" s="1">
        <v>319</v>
      </c>
      <c r="E3448" s="1">
        <f>IF(OR(Paths!$C$319=0,C3448=0),0,MAX(0,MIN(C3448*12,Paths!$E$319)-(C3448-1)*12))</f>
        <v>0</v>
      </c>
      <c r="F3448" s="1">
        <f>IF(OR(Paths!$C$319=0,C3448=0),0,12-E3448)</f>
        <v>0</v>
      </c>
      <c r="G3448" s="16">
        <f>IF(NOT(Paths!$C$319=1),0,IF(Paths!$P$319="Complete",E3448/12*(Paths!$J$319*(1+'Operating costs'!$B$51)^MAX(0,C3448-1)+Paths!$K$319*(1+'Operating costs'!$B$53)^MAX(0,C3448-1)),"n.a."))</f>
        <v>0</v>
      </c>
      <c r="H3448" s="16">
        <f>IF(NOT(Paths!$C$319=1),0,IF(Paths!$P$319="Complete",F3448/12*(Paths!$L$319*(1+IF(Paths!$D$319="EV",'Operating costs'!$B$52,'Operating costs'!$B$51))^MAX(0,C3448-1)+Paths!$M$319*(1+'Operating costs'!$B$53)^MAX(0,C3448-1)),"n.a."))</f>
        <v>0</v>
      </c>
      <c r="I3448" s="16">
        <f>IF(NOT(Paths!$C$319=1),0,IF(Paths!$P$319="Complete",IF(IF(Paths!$E$319=0,C3448=0,AND(C3448&gt;0,Paths!$E$319&gt;(C3448-1)*12,Paths!$E$319&lt;=C3448*12)),Paths!$G$319,0),"n.a."))</f>
        <v>0</v>
      </c>
      <c r="J3448" s="16">
        <f>IF(NOT(Paths!$C$319=1),0,IF(Paths!$P$319="Complete",IF(IF(Paths!$E$319=0,C3448=0,AND(C3448&gt;0,Paths!$E$319&gt;(C3448-1)*12,Paths!$E$319&lt;=C3448*12)),Paths!$H$319,0),"n.a."))</f>
        <v>0</v>
      </c>
      <c r="K3448" s="16">
        <f>IF(NOT(Paths!$C$319=1),0,IF(Paths!$P$319="Complete",IF(IF(Paths!$O$319=0,C3448=0,AND(C3448&gt;0,Paths!$O$319&gt;(C3448-1)*12,Paths!$O$319&lt;=C3448*12)),Paths!$N$319,0),"n.a."))</f>
        <v>0</v>
      </c>
      <c r="L3448" s="16">
        <f>IF(NOT(Paths!$C$319=1),0,IF(Paths!$P$319="Complete",IF(C3448=10,Paths!$I$319,0),"n.a."))</f>
        <v>0</v>
      </c>
      <c r="M3448" s="16">
        <f>IF(NOT(Paths!$C$319=1),0,IF(Paths!$P$319="Complete",IF(AND(Paths!$D$319="EV",Paths!$E$319&lt;120,Paths!$E$319+'Operating costs'!$B$65&gt;Paths!$E$319,Paths!$E$319+'Operating costs'!$B$65&lt;=120,IF(Paths!$E$319+'Operating costs'!$B$65=0,C3448=0,AND(C3448&gt;0,Paths!$E$319+'Operating costs'!$B$65&gt;(C3448-1)*12,Paths!$E$319+'Operating costs'!$B$65&lt;=C3448*12))),'Operating costs'!$B$64,0)+IF(AND('Operating costs'!$B$67&gt;0,'Operating costs'!$B$67&lt;=120,OR(Paths!$D$319="ICE",'Operating costs'!$B$67&lt;=Paths!$E$319),IF('Operating costs'!$B$67=0,C3448=0,AND(C3448&gt;0,'Operating costs'!$B$67&gt;(C3448-1)*12,'Operating costs'!$B$67&lt;=C3448*12))),'Operating costs'!$B$66,0),"n.a."))</f>
        <v>0</v>
      </c>
      <c r="N3448" s="16">
        <f>IF(NOT(Paths!$C$319=1),0,IF(Paths!$P$319="Complete",SUM(G3448:I3448)-J3448-K3448-L3448+M3448+IF(C3448=0,Paths!$F$319,0)+IF(IF(Paths!$E$319=0,C3448=0,AND(C3448&gt;0,Paths!$E$319&gt;(C3448-1)*12,Paths!$E$319&lt;=C3448*12)),VLOOKUP(A3448,'Fleet register'!$A$7:$S$106,16,FALSE),0),"n.a."))</f>
        <v>0</v>
      </c>
      <c r="O3448" s="16">
        <f>IF(NOT(Paths!$C$319=1),0,IF(Paths!$P$319="Complete",N3448-IF(C3448=0,Paths!$F$319,0),"n.a."))</f>
        <v>0</v>
      </c>
      <c r="P3448" s="16">
        <f>IF(NOT(Paths!$C$319=1),0,IF(Paths!$P$319="Complete",O3448+L3448,"n.a."))</f>
        <v>0</v>
      </c>
      <c r="Q3448" s="16">
        <f>IF(NOT(Paths!$C$319=1),0,IF(Paths!$P$319="Complete",N3448*(1+'Operating costs'!$B$54)^-C3448,"n.a."))</f>
        <v>0</v>
      </c>
      <c r="R3448" s="16">
        <f>IF(NOT(Paths!$C$319=1),0,IF(Paths!$P$319="Complete",IF(AND(C3448=0,Paths!$E$319=0),I3448-J3448-K3448+VLOOKUP(A3448,'Fleet register'!$A$7:$S$106,15,FALSE)+VLOOKUP(A3448,'Fleet register'!$A$7:$S$106,16,FALSE),0),"n.a."))</f>
        <v>0</v>
      </c>
      <c r="S3448" s="1">
        <f>IF(NOT(Paths!$C$319=1),0,IF(Paths!$P$319="Complete",IF(C3448=0,0,Paths!$S$319*Paths!$R$319),"n.a."))</f>
        <v>0</v>
      </c>
      <c r="T3448" s="1">
        <f>IF(NOT(Paths!$C$319=1),0,IF(Paths!$P$319="Complete",IF(C3448=0,0,VLOOKUP(A3448,'Fleet register'!$A$7:$S$106,9,FALSE)*Paths!$R$319),"n.a."))</f>
        <v>0</v>
      </c>
    </row>
    <row r="3449" spans="1:20" ht="24" customHeight="1">
      <c r="A3449" s="1" t="str">
        <f>Paths!$A$319</f>
        <v>T079</v>
      </c>
      <c r="B3449" s="1">
        <f>Paths!$B$319</f>
        <v>0</v>
      </c>
      <c r="C3449" s="1">
        <v>10</v>
      </c>
      <c r="D3449" s="1">
        <v>319</v>
      </c>
      <c r="E3449" s="1">
        <f>IF(OR(Paths!$C$319=0,C3449=0),0,MAX(0,MIN(C3449*12,Paths!$E$319)-(C3449-1)*12))</f>
        <v>0</v>
      </c>
      <c r="F3449" s="1">
        <f>IF(OR(Paths!$C$319=0,C3449=0),0,12-E3449)</f>
        <v>0</v>
      </c>
      <c r="G3449" s="16">
        <f>IF(NOT(Paths!$C$319=1),0,IF(Paths!$P$319="Complete",E3449/12*(Paths!$J$319*(1+'Operating costs'!$B$51)^MAX(0,C3449-1)+Paths!$K$319*(1+'Operating costs'!$B$53)^MAX(0,C3449-1)),"n.a."))</f>
        <v>0</v>
      </c>
      <c r="H3449" s="16">
        <f>IF(NOT(Paths!$C$319=1),0,IF(Paths!$P$319="Complete",F3449/12*(Paths!$L$319*(1+IF(Paths!$D$319="EV",'Operating costs'!$B$52,'Operating costs'!$B$51))^MAX(0,C3449-1)+Paths!$M$319*(1+'Operating costs'!$B$53)^MAX(0,C3449-1)),"n.a."))</f>
        <v>0</v>
      </c>
      <c r="I3449" s="16">
        <f>IF(NOT(Paths!$C$319=1),0,IF(Paths!$P$319="Complete",IF(IF(Paths!$E$319=0,C3449=0,AND(C3449&gt;0,Paths!$E$319&gt;(C3449-1)*12,Paths!$E$319&lt;=C3449*12)),Paths!$G$319,0),"n.a."))</f>
        <v>0</v>
      </c>
      <c r="J3449" s="16">
        <f>IF(NOT(Paths!$C$319=1),0,IF(Paths!$P$319="Complete",IF(IF(Paths!$E$319=0,C3449=0,AND(C3449&gt;0,Paths!$E$319&gt;(C3449-1)*12,Paths!$E$319&lt;=C3449*12)),Paths!$H$319,0),"n.a."))</f>
        <v>0</v>
      </c>
      <c r="K3449" s="16">
        <f>IF(NOT(Paths!$C$319=1),0,IF(Paths!$P$319="Complete",IF(IF(Paths!$O$319=0,C3449=0,AND(C3449&gt;0,Paths!$O$319&gt;(C3449-1)*12,Paths!$O$319&lt;=C3449*12)),Paths!$N$319,0),"n.a."))</f>
        <v>0</v>
      </c>
      <c r="L3449" s="16">
        <f>IF(NOT(Paths!$C$319=1),0,IF(Paths!$P$319="Complete",IF(C3449=10,Paths!$I$319,0),"n.a."))</f>
        <v>0</v>
      </c>
      <c r="M3449" s="16">
        <f>IF(NOT(Paths!$C$319=1),0,IF(Paths!$P$319="Complete",IF(AND(Paths!$D$319="EV",Paths!$E$319&lt;120,Paths!$E$319+'Operating costs'!$B$65&gt;Paths!$E$319,Paths!$E$319+'Operating costs'!$B$65&lt;=120,IF(Paths!$E$319+'Operating costs'!$B$65=0,C3449=0,AND(C3449&gt;0,Paths!$E$319+'Operating costs'!$B$65&gt;(C3449-1)*12,Paths!$E$319+'Operating costs'!$B$65&lt;=C3449*12))),'Operating costs'!$B$64,0)+IF(AND('Operating costs'!$B$67&gt;0,'Operating costs'!$B$67&lt;=120,OR(Paths!$D$319="ICE",'Operating costs'!$B$67&lt;=Paths!$E$319),IF('Operating costs'!$B$67=0,C3449=0,AND(C3449&gt;0,'Operating costs'!$B$67&gt;(C3449-1)*12,'Operating costs'!$B$67&lt;=C3449*12))),'Operating costs'!$B$66,0),"n.a."))</f>
        <v>0</v>
      </c>
      <c r="N3449" s="16">
        <f>IF(NOT(Paths!$C$319=1),0,IF(Paths!$P$319="Complete",SUM(G3449:I3449)-J3449-K3449-L3449+M3449+IF(C3449=0,Paths!$F$319,0)+IF(IF(Paths!$E$319=0,C3449=0,AND(C3449&gt;0,Paths!$E$319&gt;(C3449-1)*12,Paths!$E$319&lt;=C3449*12)),VLOOKUP(A3449,'Fleet register'!$A$7:$S$106,16,FALSE),0),"n.a."))</f>
        <v>0</v>
      </c>
      <c r="O3449" s="16">
        <f>IF(NOT(Paths!$C$319=1),0,IF(Paths!$P$319="Complete",N3449-IF(C3449=0,Paths!$F$319,0),"n.a."))</f>
        <v>0</v>
      </c>
      <c r="P3449" s="16">
        <f>IF(NOT(Paths!$C$319=1),0,IF(Paths!$P$319="Complete",O3449+L3449,"n.a."))</f>
        <v>0</v>
      </c>
      <c r="Q3449" s="16">
        <f>IF(NOT(Paths!$C$319=1),0,IF(Paths!$P$319="Complete",N3449*(1+'Operating costs'!$B$54)^-C3449,"n.a."))</f>
        <v>0</v>
      </c>
      <c r="R3449" s="16">
        <f>IF(NOT(Paths!$C$319=1),0,IF(Paths!$P$319="Complete",IF(AND(C3449=0,Paths!$E$319=0),I3449-J3449-K3449+VLOOKUP(A3449,'Fleet register'!$A$7:$S$106,15,FALSE)+VLOOKUP(A3449,'Fleet register'!$A$7:$S$106,16,FALSE),0),"n.a."))</f>
        <v>0</v>
      </c>
      <c r="S3449" s="1">
        <f>IF(NOT(Paths!$C$319=1),0,IF(Paths!$P$319="Complete",IF(C3449=0,0,Paths!$S$319*Paths!$R$319),"n.a."))</f>
        <v>0</v>
      </c>
      <c r="T3449" s="1">
        <f>IF(NOT(Paths!$C$319=1),0,IF(Paths!$P$319="Complete",IF(C3449=0,0,VLOOKUP(A3449,'Fleet register'!$A$7:$S$106,9,FALSE)*Paths!$R$319),"n.a."))</f>
        <v>0</v>
      </c>
    </row>
    <row r="3450" spans="1:20" ht="24" customHeight="1">
      <c r="A3450" s="1" t="str">
        <f>Paths!$A$320</f>
        <v>T079</v>
      </c>
      <c r="B3450" s="1">
        <f>Paths!$B$320</f>
        <v>1</v>
      </c>
      <c r="C3450" s="1">
        <v>0</v>
      </c>
      <c r="D3450" s="1">
        <v>320</v>
      </c>
      <c r="E3450" s="1">
        <f>IF(OR(Paths!$C$320=0,C3450=0),0,MAX(0,MIN(C3450*12,Paths!$E$320)-(C3450-1)*12))</f>
        <v>0</v>
      </c>
      <c r="F3450" s="1">
        <f>IF(OR(Paths!$C$320=0,C3450=0),0,12-E3450)</f>
        <v>0</v>
      </c>
      <c r="G3450" s="16">
        <f>IF(NOT(Paths!$C$320=1),0,IF(Paths!$P$320="Complete",E3450/12*(Paths!$J$320*(1+'Operating costs'!$B$51)^MAX(0,C3450-1)+Paths!$K$320*(1+'Operating costs'!$B$53)^MAX(0,C3450-1)),"n.a."))</f>
        <v>0</v>
      </c>
      <c r="H3450" s="16">
        <f>IF(NOT(Paths!$C$320=1),0,IF(Paths!$P$320="Complete",F3450/12*(Paths!$L$320*(1+IF(Paths!$D$320="EV",'Operating costs'!$B$52,'Operating costs'!$B$51))^MAX(0,C3450-1)+Paths!$M$320*(1+'Operating costs'!$B$53)^MAX(0,C3450-1)),"n.a."))</f>
        <v>0</v>
      </c>
      <c r="I3450" s="16">
        <f>IF(NOT(Paths!$C$320=1),0,IF(Paths!$P$320="Complete",IF(IF(Paths!$E$320=0,C3450=0,AND(C3450&gt;0,Paths!$E$320&gt;(C3450-1)*12,Paths!$E$320&lt;=C3450*12)),Paths!$G$320,0),"n.a."))</f>
        <v>0</v>
      </c>
      <c r="J3450" s="16">
        <f>IF(NOT(Paths!$C$320=1),0,IF(Paths!$P$320="Complete",IF(IF(Paths!$E$320=0,C3450=0,AND(C3450&gt;0,Paths!$E$320&gt;(C3450-1)*12,Paths!$E$320&lt;=C3450*12)),Paths!$H$320,0),"n.a."))</f>
        <v>0</v>
      </c>
      <c r="K3450" s="16">
        <f>IF(NOT(Paths!$C$320=1),0,IF(Paths!$P$320="Complete",IF(IF(Paths!$O$320=0,C3450=0,AND(C3450&gt;0,Paths!$O$320&gt;(C3450-1)*12,Paths!$O$320&lt;=C3450*12)),Paths!$N$320,0),"n.a."))</f>
        <v>0</v>
      </c>
      <c r="L3450" s="16">
        <f>IF(NOT(Paths!$C$320=1),0,IF(Paths!$P$320="Complete",IF(C3450=10,Paths!$I$320,0),"n.a."))</f>
        <v>0</v>
      </c>
      <c r="M3450" s="16">
        <f>IF(NOT(Paths!$C$320=1),0,IF(Paths!$P$320="Complete",IF(AND(Paths!$D$320="EV",Paths!$E$320&lt;120,Paths!$E$320+'Operating costs'!$B$65&gt;Paths!$E$320,Paths!$E$320+'Operating costs'!$B$65&lt;=120,IF(Paths!$E$320+'Operating costs'!$B$65=0,C3450=0,AND(C3450&gt;0,Paths!$E$320+'Operating costs'!$B$65&gt;(C3450-1)*12,Paths!$E$320+'Operating costs'!$B$65&lt;=C3450*12))),'Operating costs'!$B$64,0)+IF(AND('Operating costs'!$B$67&gt;0,'Operating costs'!$B$67&lt;=120,OR(Paths!$D$320="ICE",'Operating costs'!$B$67&lt;=Paths!$E$320),IF('Operating costs'!$B$67=0,C3450=0,AND(C3450&gt;0,'Operating costs'!$B$67&gt;(C3450-1)*12,'Operating costs'!$B$67&lt;=C3450*12))),'Operating costs'!$B$66,0),"n.a."))</f>
        <v>0</v>
      </c>
      <c r="N3450" s="16">
        <f>IF(NOT(Paths!$C$320=1),0,IF(Paths!$P$320="Complete",SUM(G3450:I3450)-J3450-K3450-L3450+M3450+IF(C3450=0,Paths!$F$320,0)+IF(IF(Paths!$E$320=0,C3450=0,AND(C3450&gt;0,Paths!$E$320&gt;(C3450-1)*12,Paths!$E$320&lt;=C3450*12)),VLOOKUP(A3450,'Fleet register'!$A$7:$S$106,16,FALSE),0),"n.a."))</f>
        <v>0</v>
      </c>
      <c r="O3450" s="16">
        <f>IF(NOT(Paths!$C$320=1),0,IF(Paths!$P$320="Complete",N3450-IF(C3450=0,Paths!$F$320,0),"n.a."))</f>
        <v>0</v>
      </c>
      <c r="P3450" s="16">
        <f>IF(NOT(Paths!$C$320=1),0,IF(Paths!$P$320="Complete",O3450+L3450,"n.a."))</f>
        <v>0</v>
      </c>
      <c r="Q3450" s="16">
        <f>IF(NOT(Paths!$C$320=1),0,IF(Paths!$P$320="Complete",N3450*(1+'Operating costs'!$B$54)^-C3450,"n.a."))</f>
        <v>0</v>
      </c>
      <c r="R3450" s="16">
        <f>IF(NOT(Paths!$C$320=1),0,IF(Paths!$P$320="Complete",IF(AND(C3450=0,Paths!$E$320=0),I3450-J3450-K3450+VLOOKUP(A3450,'Fleet register'!$A$7:$S$106,15,FALSE)+VLOOKUP(A3450,'Fleet register'!$A$7:$S$106,16,FALSE),0),"n.a."))</f>
        <v>0</v>
      </c>
      <c r="S3450" s="1">
        <f>IF(NOT(Paths!$C$320=1),0,IF(Paths!$P$320="Complete",IF(C3450=0,0,Paths!$S$320*Paths!$R$320),"n.a."))</f>
        <v>0</v>
      </c>
      <c r="T3450" s="1">
        <f>IF(NOT(Paths!$C$320=1),0,IF(Paths!$P$320="Complete",IF(C3450=0,0,VLOOKUP(A3450,'Fleet register'!$A$7:$S$106,9,FALSE)*Paths!$R$320),"n.a."))</f>
        <v>0</v>
      </c>
    </row>
    <row r="3451" spans="1:20" ht="24" customHeight="1">
      <c r="A3451" s="1" t="str">
        <f>Paths!$A$320</f>
        <v>T079</v>
      </c>
      <c r="B3451" s="1">
        <f>Paths!$B$320</f>
        <v>1</v>
      </c>
      <c r="C3451" s="1">
        <v>1</v>
      </c>
      <c r="D3451" s="1">
        <v>320</v>
      </c>
      <c r="E3451" s="1">
        <f>IF(OR(Paths!$C$320=0,C3451=0),0,MAX(0,MIN(C3451*12,Paths!$E$320)-(C3451-1)*12))</f>
        <v>0</v>
      </c>
      <c r="F3451" s="1">
        <f>IF(OR(Paths!$C$320=0,C3451=0),0,12-E3451)</f>
        <v>0</v>
      </c>
      <c r="G3451" s="16">
        <f>IF(NOT(Paths!$C$320=1),0,IF(Paths!$P$320="Complete",E3451/12*(Paths!$J$320*(1+'Operating costs'!$B$51)^MAX(0,C3451-1)+Paths!$K$320*(1+'Operating costs'!$B$53)^MAX(0,C3451-1)),"n.a."))</f>
        <v>0</v>
      </c>
      <c r="H3451" s="16">
        <f>IF(NOT(Paths!$C$320=1),0,IF(Paths!$P$320="Complete",F3451/12*(Paths!$L$320*(1+IF(Paths!$D$320="EV",'Operating costs'!$B$52,'Operating costs'!$B$51))^MAX(0,C3451-1)+Paths!$M$320*(1+'Operating costs'!$B$53)^MAX(0,C3451-1)),"n.a."))</f>
        <v>0</v>
      </c>
      <c r="I3451" s="16">
        <f>IF(NOT(Paths!$C$320=1),0,IF(Paths!$P$320="Complete",IF(IF(Paths!$E$320=0,C3451=0,AND(C3451&gt;0,Paths!$E$320&gt;(C3451-1)*12,Paths!$E$320&lt;=C3451*12)),Paths!$G$320,0),"n.a."))</f>
        <v>0</v>
      </c>
      <c r="J3451" s="16">
        <f>IF(NOT(Paths!$C$320=1),0,IF(Paths!$P$320="Complete",IF(IF(Paths!$E$320=0,C3451=0,AND(C3451&gt;0,Paths!$E$320&gt;(C3451-1)*12,Paths!$E$320&lt;=C3451*12)),Paths!$H$320,0),"n.a."))</f>
        <v>0</v>
      </c>
      <c r="K3451" s="16">
        <f>IF(NOT(Paths!$C$320=1),0,IF(Paths!$P$320="Complete",IF(IF(Paths!$O$320=0,C3451=0,AND(C3451&gt;0,Paths!$O$320&gt;(C3451-1)*12,Paths!$O$320&lt;=C3451*12)),Paths!$N$320,0),"n.a."))</f>
        <v>0</v>
      </c>
      <c r="L3451" s="16">
        <f>IF(NOT(Paths!$C$320=1),0,IF(Paths!$P$320="Complete",IF(C3451=10,Paths!$I$320,0),"n.a."))</f>
        <v>0</v>
      </c>
      <c r="M3451" s="16">
        <f>IF(NOT(Paths!$C$320=1),0,IF(Paths!$P$320="Complete",IF(AND(Paths!$D$320="EV",Paths!$E$320&lt;120,Paths!$E$320+'Operating costs'!$B$65&gt;Paths!$E$320,Paths!$E$320+'Operating costs'!$B$65&lt;=120,IF(Paths!$E$320+'Operating costs'!$B$65=0,C3451=0,AND(C3451&gt;0,Paths!$E$320+'Operating costs'!$B$65&gt;(C3451-1)*12,Paths!$E$320+'Operating costs'!$B$65&lt;=C3451*12))),'Operating costs'!$B$64,0)+IF(AND('Operating costs'!$B$67&gt;0,'Operating costs'!$B$67&lt;=120,OR(Paths!$D$320="ICE",'Operating costs'!$B$67&lt;=Paths!$E$320),IF('Operating costs'!$B$67=0,C3451=0,AND(C3451&gt;0,'Operating costs'!$B$67&gt;(C3451-1)*12,'Operating costs'!$B$67&lt;=C3451*12))),'Operating costs'!$B$66,0),"n.a."))</f>
        <v>0</v>
      </c>
      <c r="N3451" s="16">
        <f>IF(NOT(Paths!$C$320=1),0,IF(Paths!$P$320="Complete",SUM(G3451:I3451)-J3451-K3451-L3451+M3451+IF(C3451=0,Paths!$F$320,0)+IF(IF(Paths!$E$320=0,C3451=0,AND(C3451&gt;0,Paths!$E$320&gt;(C3451-1)*12,Paths!$E$320&lt;=C3451*12)),VLOOKUP(A3451,'Fleet register'!$A$7:$S$106,16,FALSE),0),"n.a."))</f>
        <v>0</v>
      </c>
      <c r="O3451" s="16">
        <f>IF(NOT(Paths!$C$320=1),0,IF(Paths!$P$320="Complete",N3451-IF(C3451=0,Paths!$F$320,0),"n.a."))</f>
        <v>0</v>
      </c>
      <c r="P3451" s="16">
        <f>IF(NOT(Paths!$C$320=1),0,IF(Paths!$P$320="Complete",O3451+L3451,"n.a."))</f>
        <v>0</v>
      </c>
      <c r="Q3451" s="16">
        <f>IF(NOT(Paths!$C$320=1),0,IF(Paths!$P$320="Complete",N3451*(1+'Operating costs'!$B$54)^-C3451,"n.a."))</f>
        <v>0</v>
      </c>
      <c r="R3451" s="16">
        <f>IF(NOT(Paths!$C$320=1),0,IF(Paths!$P$320="Complete",IF(AND(C3451=0,Paths!$E$320=0),I3451-J3451-K3451+VLOOKUP(A3451,'Fleet register'!$A$7:$S$106,15,FALSE)+VLOOKUP(A3451,'Fleet register'!$A$7:$S$106,16,FALSE),0),"n.a."))</f>
        <v>0</v>
      </c>
      <c r="S3451" s="1">
        <f>IF(NOT(Paths!$C$320=1),0,IF(Paths!$P$320="Complete",IF(C3451=0,0,Paths!$S$320*Paths!$R$320),"n.a."))</f>
        <v>0</v>
      </c>
      <c r="T3451" s="1">
        <f>IF(NOT(Paths!$C$320=1),0,IF(Paths!$P$320="Complete",IF(C3451=0,0,VLOOKUP(A3451,'Fleet register'!$A$7:$S$106,9,FALSE)*Paths!$R$320),"n.a."))</f>
        <v>0</v>
      </c>
    </row>
    <row r="3452" spans="1:20" ht="24" customHeight="1">
      <c r="A3452" s="1" t="str">
        <f>Paths!$A$320</f>
        <v>T079</v>
      </c>
      <c r="B3452" s="1">
        <f>Paths!$B$320</f>
        <v>1</v>
      </c>
      <c r="C3452" s="1">
        <v>2</v>
      </c>
      <c r="D3452" s="1">
        <v>320</v>
      </c>
      <c r="E3452" s="1">
        <f>IF(OR(Paths!$C$320=0,C3452=0),0,MAX(0,MIN(C3452*12,Paths!$E$320)-(C3452-1)*12))</f>
        <v>0</v>
      </c>
      <c r="F3452" s="1">
        <f>IF(OR(Paths!$C$320=0,C3452=0),0,12-E3452)</f>
        <v>0</v>
      </c>
      <c r="G3452" s="16">
        <f>IF(NOT(Paths!$C$320=1),0,IF(Paths!$P$320="Complete",E3452/12*(Paths!$J$320*(1+'Operating costs'!$B$51)^MAX(0,C3452-1)+Paths!$K$320*(1+'Operating costs'!$B$53)^MAX(0,C3452-1)),"n.a."))</f>
        <v>0</v>
      </c>
      <c r="H3452" s="16">
        <f>IF(NOT(Paths!$C$320=1),0,IF(Paths!$P$320="Complete",F3452/12*(Paths!$L$320*(1+IF(Paths!$D$320="EV",'Operating costs'!$B$52,'Operating costs'!$B$51))^MAX(0,C3452-1)+Paths!$M$320*(1+'Operating costs'!$B$53)^MAX(0,C3452-1)),"n.a."))</f>
        <v>0</v>
      </c>
      <c r="I3452" s="16">
        <f>IF(NOT(Paths!$C$320=1),0,IF(Paths!$P$320="Complete",IF(IF(Paths!$E$320=0,C3452=0,AND(C3452&gt;0,Paths!$E$320&gt;(C3452-1)*12,Paths!$E$320&lt;=C3452*12)),Paths!$G$320,0),"n.a."))</f>
        <v>0</v>
      </c>
      <c r="J3452" s="16">
        <f>IF(NOT(Paths!$C$320=1),0,IF(Paths!$P$320="Complete",IF(IF(Paths!$E$320=0,C3452=0,AND(C3452&gt;0,Paths!$E$320&gt;(C3452-1)*12,Paths!$E$320&lt;=C3452*12)),Paths!$H$320,0),"n.a."))</f>
        <v>0</v>
      </c>
      <c r="K3452" s="16">
        <f>IF(NOT(Paths!$C$320=1),0,IF(Paths!$P$320="Complete",IF(IF(Paths!$O$320=0,C3452=0,AND(C3452&gt;0,Paths!$O$320&gt;(C3452-1)*12,Paths!$O$320&lt;=C3452*12)),Paths!$N$320,0),"n.a."))</f>
        <v>0</v>
      </c>
      <c r="L3452" s="16">
        <f>IF(NOT(Paths!$C$320=1),0,IF(Paths!$P$320="Complete",IF(C3452=10,Paths!$I$320,0),"n.a."))</f>
        <v>0</v>
      </c>
      <c r="M3452" s="16">
        <f>IF(NOT(Paths!$C$320=1),0,IF(Paths!$P$320="Complete",IF(AND(Paths!$D$320="EV",Paths!$E$320&lt;120,Paths!$E$320+'Operating costs'!$B$65&gt;Paths!$E$320,Paths!$E$320+'Operating costs'!$B$65&lt;=120,IF(Paths!$E$320+'Operating costs'!$B$65=0,C3452=0,AND(C3452&gt;0,Paths!$E$320+'Operating costs'!$B$65&gt;(C3452-1)*12,Paths!$E$320+'Operating costs'!$B$65&lt;=C3452*12))),'Operating costs'!$B$64,0)+IF(AND('Operating costs'!$B$67&gt;0,'Operating costs'!$B$67&lt;=120,OR(Paths!$D$320="ICE",'Operating costs'!$B$67&lt;=Paths!$E$320),IF('Operating costs'!$B$67=0,C3452=0,AND(C3452&gt;0,'Operating costs'!$B$67&gt;(C3452-1)*12,'Operating costs'!$B$67&lt;=C3452*12))),'Operating costs'!$B$66,0),"n.a."))</f>
        <v>0</v>
      </c>
      <c r="N3452" s="16">
        <f>IF(NOT(Paths!$C$320=1),0,IF(Paths!$P$320="Complete",SUM(G3452:I3452)-J3452-K3452-L3452+M3452+IF(C3452=0,Paths!$F$320,0)+IF(IF(Paths!$E$320=0,C3452=0,AND(C3452&gt;0,Paths!$E$320&gt;(C3452-1)*12,Paths!$E$320&lt;=C3452*12)),VLOOKUP(A3452,'Fleet register'!$A$7:$S$106,16,FALSE),0),"n.a."))</f>
        <v>0</v>
      </c>
      <c r="O3452" s="16">
        <f>IF(NOT(Paths!$C$320=1),0,IF(Paths!$P$320="Complete",N3452-IF(C3452=0,Paths!$F$320,0),"n.a."))</f>
        <v>0</v>
      </c>
      <c r="P3452" s="16">
        <f>IF(NOT(Paths!$C$320=1),0,IF(Paths!$P$320="Complete",O3452+L3452,"n.a."))</f>
        <v>0</v>
      </c>
      <c r="Q3452" s="16">
        <f>IF(NOT(Paths!$C$320=1),0,IF(Paths!$P$320="Complete",N3452*(1+'Operating costs'!$B$54)^-C3452,"n.a."))</f>
        <v>0</v>
      </c>
      <c r="R3452" s="16">
        <f>IF(NOT(Paths!$C$320=1),0,IF(Paths!$P$320="Complete",IF(AND(C3452=0,Paths!$E$320=0),I3452-J3452-K3452+VLOOKUP(A3452,'Fleet register'!$A$7:$S$106,15,FALSE)+VLOOKUP(A3452,'Fleet register'!$A$7:$S$106,16,FALSE),0),"n.a."))</f>
        <v>0</v>
      </c>
      <c r="S3452" s="1">
        <f>IF(NOT(Paths!$C$320=1),0,IF(Paths!$P$320="Complete",IF(C3452=0,0,Paths!$S$320*Paths!$R$320),"n.a."))</f>
        <v>0</v>
      </c>
      <c r="T3452" s="1">
        <f>IF(NOT(Paths!$C$320=1),0,IF(Paths!$P$320="Complete",IF(C3452=0,0,VLOOKUP(A3452,'Fleet register'!$A$7:$S$106,9,FALSE)*Paths!$R$320),"n.a."))</f>
        <v>0</v>
      </c>
    </row>
    <row r="3453" spans="1:20" ht="24" customHeight="1">
      <c r="A3453" s="1" t="str">
        <f>Paths!$A$320</f>
        <v>T079</v>
      </c>
      <c r="B3453" s="1">
        <f>Paths!$B$320</f>
        <v>1</v>
      </c>
      <c r="C3453" s="1">
        <v>3</v>
      </c>
      <c r="D3453" s="1">
        <v>320</v>
      </c>
      <c r="E3453" s="1">
        <f>IF(OR(Paths!$C$320=0,C3453=0),0,MAX(0,MIN(C3453*12,Paths!$E$320)-(C3453-1)*12))</f>
        <v>0</v>
      </c>
      <c r="F3453" s="1">
        <f>IF(OR(Paths!$C$320=0,C3453=0),0,12-E3453)</f>
        <v>0</v>
      </c>
      <c r="G3453" s="16">
        <f>IF(NOT(Paths!$C$320=1),0,IF(Paths!$P$320="Complete",E3453/12*(Paths!$J$320*(1+'Operating costs'!$B$51)^MAX(0,C3453-1)+Paths!$K$320*(1+'Operating costs'!$B$53)^MAX(0,C3453-1)),"n.a."))</f>
        <v>0</v>
      </c>
      <c r="H3453" s="16">
        <f>IF(NOT(Paths!$C$320=1),0,IF(Paths!$P$320="Complete",F3453/12*(Paths!$L$320*(1+IF(Paths!$D$320="EV",'Operating costs'!$B$52,'Operating costs'!$B$51))^MAX(0,C3453-1)+Paths!$M$320*(1+'Operating costs'!$B$53)^MAX(0,C3453-1)),"n.a."))</f>
        <v>0</v>
      </c>
      <c r="I3453" s="16">
        <f>IF(NOT(Paths!$C$320=1),0,IF(Paths!$P$320="Complete",IF(IF(Paths!$E$320=0,C3453=0,AND(C3453&gt;0,Paths!$E$320&gt;(C3453-1)*12,Paths!$E$320&lt;=C3453*12)),Paths!$G$320,0),"n.a."))</f>
        <v>0</v>
      </c>
      <c r="J3453" s="16">
        <f>IF(NOT(Paths!$C$320=1),0,IF(Paths!$P$320="Complete",IF(IF(Paths!$E$320=0,C3453=0,AND(C3453&gt;0,Paths!$E$320&gt;(C3453-1)*12,Paths!$E$320&lt;=C3453*12)),Paths!$H$320,0),"n.a."))</f>
        <v>0</v>
      </c>
      <c r="K3453" s="16">
        <f>IF(NOT(Paths!$C$320=1),0,IF(Paths!$P$320="Complete",IF(IF(Paths!$O$320=0,C3453=0,AND(C3453&gt;0,Paths!$O$320&gt;(C3453-1)*12,Paths!$O$320&lt;=C3453*12)),Paths!$N$320,0),"n.a."))</f>
        <v>0</v>
      </c>
      <c r="L3453" s="16">
        <f>IF(NOT(Paths!$C$320=1),0,IF(Paths!$P$320="Complete",IF(C3453=10,Paths!$I$320,0),"n.a."))</f>
        <v>0</v>
      </c>
      <c r="M3453" s="16">
        <f>IF(NOT(Paths!$C$320=1),0,IF(Paths!$P$320="Complete",IF(AND(Paths!$D$320="EV",Paths!$E$320&lt;120,Paths!$E$320+'Operating costs'!$B$65&gt;Paths!$E$320,Paths!$E$320+'Operating costs'!$B$65&lt;=120,IF(Paths!$E$320+'Operating costs'!$B$65=0,C3453=0,AND(C3453&gt;0,Paths!$E$320+'Operating costs'!$B$65&gt;(C3453-1)*12,Paths!$E$320+'Operating costs'!$B$65&lt;=C3453*12))),'Operating costs'!$B$64,0)+IF(AND('Operating costs'!$B$67&gt;0,'Operating costs'!$B$67&lt;=120,OR(Paths!$D$320="ICE",'Operating costs'!$B$67&lt;=Paths!$E$320),IF('Operating costs'!$B$67=0,C3453=0,AND(C3453&gt;0,'Operating costs'!$B$67&gt;(C3453-1)*12,'Operating costs'!$B$67&lt;=C3453*12))),'Operating costs'!$B$66,0),"n.a."))</f>
        <v>0</v>
      </c>
      <c r="N3453" s="16">
        <f>IF(NOT(Paths!$C$320=1),0,IF(Paths!$P$320="Complete",SUM(G3453:I3453)-J3453-K3453-L3453+M3453+IF(C3453=0,Paths!$F$320,0)+IF(IF(Paths!$E$320=0,C3453=0,AND(C3453&gt;0,Paths!$E$320&gt;(C3453-1)*12,Paths!$E$320&lt;=C3453*12)),VLOOKUP(A3453,'Fleet register'!$A$7:$S$106,16,FALSE),0),"n.a."))</f>
        <v>0</v>
      </c>
      <c r="O3453" s="16">
        <f>IF(NOT(Paths!$C$320=1),0,IF(Paths!$P$320="Complete",N3453-IF(C3453=0,Paths!$F$320,0),"n.a."))</f>
        <v>0</v>
      </c>
      <c r="P3453" s="16">
        <f>IF(NOT(Paths!$C$320=1),0,IF(Paths!$P$320="Complete",O3453+L3453,"n.a."))</f>
        <v>0</v>
      </c>
      <c r="Q3453" s="16">
        <f>IF(NOT(Paths!$C$320=1),0,IF(Paths!$P$320="Complete",N3453*(1+'Operating costs'!$B$54)^-C3453,"n.a."))</f>
        <v>0</v>
      </c>
      <c r="R3453" s="16">
        <f>IF(NOT(Paths!$C$320=1),0,IF(Paths!$P$320="Complete",IF(AND(C3453=0,Paths!$E$320=0),I3453-J3453-K3453+VLOOKUP(A3453,'Fleet register'!$A$7:$S$106,15,FALSE)+VLOOKUP(A3453,'Fleet register'!$A$7:$S$106,16,FALSE),0),"n.a."))</f>
        <v>0</v>
      </c>
      <c r="S3453" s="1">
        <f>IF(NOT(Paths!$C$320=1),0,IF(Paths!$P$320="Complete",IF(C3453=0,0,Paths!$S$320*Paths!$R$320),"n.a."))</f>
        <v>0</v>
      </c>
      <c r="T3453" s="1">
        <f>IF(NOT(Paths!$C$320=1),0,IF(Paths!$P$320="Complete",IF(C3453=0,0,VLOOKUP(A3453,'Fleet register'!$A$7:$S$106,9,FALSE)*Paths!$R$320),"n.a."))</f>
        <v>0</v>
      </c>
    </row>
    <row r="3454" spans="1:20" ht="24" customHeight="1">
      <c r="A3454" s="1" t="str">
        <f>Paths!$A$320</f>
        <v>T079</v>
      </c>
      <c r="B3454" s="1">
        <f>Paths!$B$320</f>
        <v>1</v>
      </c>
      <c r="C3454" s="1">
        <v>4</v>
      </c>
      <c r="D3454" s="1">
        <v>320</v>
      </c>
      <c r="E3454" s="1">
        <f>IF(OR(Paths!$C$320=0,C3454=0),0,MAX(0,MIN(C3454*12,Paths!$E$320)-(C3454-1)*12))</f>
        <v>0</v>
      </c>
      <c r="F3454" s="1">
        <f>IF(OR(Paths!$C$320=0,C3454=0),0,12-E3454)</f>
        <v>0</v>
      </c>
      <c r="G3454" s="16">
        <f>IF(NOT(Paths!$C$320=1),0,IF(Paths!$P$320="Complete",E3454/12*(Paths!$J$320*(1+'Operating costs'!$B$51)^MAX(0,C3454-1)+Paths!$K$320*(1+'Operating costs'!$B$53)^MAX(0,C3454-1)),"n.a."))</f>
        <v>0</v>
      </c>
      <c r="H3454" s="16">
        <f>IF(NOT(Paths!$C$320=1),0,IF(Paths!$P$320="Complete",F3454/12*(Paths!$L$320*(1+IF(Paths!$D$320="EV",'Operating costs'!$B$52,'Operating costs'!$B$51))^MAX(0,C3454-1)+Paths!$M$320*(1+'Operating costs'!$B$53)^MAX(0,C3454-1)),"n.a."))</f>
        <v>0</v>
      </c>
      <c r="I3454" s="16">
        <f>IF(NOT(Paths!$C$320=1),0,IF(Paths!$P$320="Complete",IF(IF(Paths!$E$320=0,C3454=0,AND(C3454&gt;0,Paths!$E$320&gt;(C3454-1)*12,Paths!$E$320&lt;=C3454*12)),Paths!$G$320,0),"n.a."))</f>
        <v>0</v>
      </c>
      <c r="J3454" s="16">
        <f>IF(NOT(Paths!$C$320=1),0,IF(Paths!$P$320="Complete",IF(IF(Paths!$E$320=0,C3454=0,AND(C3454&gt;0,Paths!$E$320&gt;(C3454-1)*12,Paths!$E$320&lt;=C3454*12)),Paths!$H$320,0),"n.a."))</f>
        <v>0</v>
      </c>
      <c r="K3454" s="16">
        <f>IF(NOT(Paths!$C$320=1),0,IF(Paths!$P$320="Complete",IF(IF(Paths!$O$320=0,C3454=0,AND(C3454&gt;0,Paths!$O$320&gt;(C3454-1)*12,Paths!$O$320&lt;=C3454*12)),Paths!$N$320,0),"n.a."))</f>
        <v>0</v>
      </c>
      <c r="L3454" s="16">
        <f>IF(NOT(Paths!$C$320=1),0,IF(Paths!$P$320="Complete",IF(C3454=10,Paths!$I$320,0),"n.a."))</f>
        <v>0</v>
      </c>
      <c r="M3454" s="16">
        <f>IF(NOT(Paths!$C$320=1),0,IF(Paths!$P$320="Complete",IF(AND(Paths!$D$320="EV",Paths!$E$320&lt;120,Paths!$E$320+'Operating costs'!$B$65&gt;Paths!$E$320,Paths!$E$320+'Operating costs'!$B$65&lt;=120,IF(Paths!$E$320+'Operating costs'!$B$65=0,C3454=0,AND(C3454&gt;0,Paths!$E$320+'Operating costs'!$B$65&gt;(C3454-1)*12,Paths!$E$320+'Operating costs'!$B$65&lt;=C3454*12))),'Operating costs'!$B$64,0)+IF(AND('Operating costs'!$B$67&gt;0,'Operating costs'!$B$67&lt;=120,OR(Paths!$D$320="ICE",'Operating costs'!$B$67&lt;=Paths!$E$320),IF('Operating costs'!$B$67=0,C3454=0,AND(C3454&gt;0,'Operating costs'!$B$67&gt;(C3454-1)*12,'Operating costs'!$B$67&lt;=C3454*12))),'Operating costs'!$B$66,0),"n.a."))</f>
        <v>0</v>
      </c>
      <c r="N3454" s="16">
        <f>IF(NOT(Paths!$C$320=1),0,IF(Paths!$P$320="Complete",SUM(G3454:I3454)-J3454-K3454-L3454+M3454+IF(C3454=0,Paths!$F$320,0)+IF(IF(Paths!$E$320=0,C3454=0,AND(C3454&gt;0,Paths!$E$320&gt;(C3454-1)*12,Paths!$E$320&lt;=C3454*12)),VLOOKUP(A3454,'Fleet register'!$A$7:$S$106,16,FALSE),0),"n.a."))</f>
        <v>0</v>
      </c>
      <c r="O3454" s="16">
        <f>IF(NOT(Paths!$C$320=1),0,IF(Paths!$P$320="Complete",N3454-IF(C3454=0,Paths!$F$320,0),"n.a."))</f>
        <v>0</v>
      </c>
      <c r="P3454" s="16">
        <f>IF(NOT(Paths!$C$320=1),0,IF(Paths!$P$320="Complete",O3454+L3454,"n.a."))</f>
        <v>0</v>
      </c>
      <c r="Q3454" s="16">
        <f>IF(NOT(Paths!$C$320=1),0,IF(Paths!$P$320="Complete",N3454*(1+'Operating costs'!$B$54)^-C3454,"n.a."))</f>
        <v>0</v>
      </c>
      <c r="R3454" s="16">
        <f>IF(NOT(Paths!$C$320=1),0,IF(Paths!$P$320="Complete",IF(AND(C3454=0,Paths!$E$320=0),I3454-J3454-K3454+VLOOKUP(A3454,'Fleet register'!$A$7:$S$106,15,FALSE)+VLOOKUP(A3454,'Fleet register'!$A$7:$S$106,16,FALSE),0),"n.a."))</f>
        <v>0</v>
      </c>
      <c r="S3454" s="1">
        <f>IF(NOT(Paths!$C$320=1),0,IF(Paths!$P$320="Complete",IF(C3454=0,0,Paths!$S$320*Paths!$R$320),"n.a."))</f>
        <v>0</v>
      </c>
      <c r="T3454" s="1">
        <f>IF(NOT(Paths!$C$320=1),0,IF(Paths!$P$320="Complete",IF(C3454=0,0,VLOOKUP(A3454,'Fleet register'!$A$7:$S$106,9,FALSE)*Paths!$R$320),"n.a."))</f>
        <v>0</v>
      </c>
    </row>
    <row r="3455" spans="1:20" ht="24" customHeight="1">
      <c r="A3455" s="1" t="str">
        <f>Paths!$A$320</f>
        <v>T079</v>
      </c>
      <c r="B3455" s="1">
        <f>Paths!$B$320</f>
        <v>1</v>
      </c>
      <c r="C3455" s="1">
        <v>5</v>
      </c>
      <c r="D3455" s="1">
        <v>320</v>
      </c>
      <c r="E3455" s="1">
        <f>IF(OR(Paths!$C$320=0,C3455=0),0,MAX(0,MIN(C3455*12,Paths!$E$320)-(C3455-1)*12))</f>
        <v>0</v>
      </c>
      <c r="F3455" s="1">
        <f>IF(OR(Paths!$C$320=0,C3455=0),0,12-E3455)</f>
        <v>0</v>
      </c>
      <c r="G3455" s="16">
        <f>IF(NOT(Paths!$C$320=1),0,IF(Paths!$P$320="Complete",E3455/12*(Paths!$J$320*(1+'Operating costs'!$B$51)^MAX(0,C3455-1)+Paths!$K$320*(1+'Operating costs'!$B$53)^MAX(0,C3455-1)),"n.a."))</f>
        <v>0</v>
      </c>
      <c r="H3455" s="16">
        <f>IF(NOT(Paths!$C$320=1),0,IF(Paths!$P$320="Complete",F3455/12*(Paths!$L$320*(1+IF(Paths!$D$320="EV",'Operating costs'!$B$52,'Operating costs'!$B$51))^MAX(0,C3455-1)+Paths!$M$320*(1+'Operating costs'!$B$53)^MAX(0,C3455-1)),"n.a."))</f>
        <v>0</v>
      </c>
      <c r="I3455" s="16">
        <f>IF(NOT(Paths!$C$320=1),0,IF(Paths!$P$320="Complete",IF(IF(Paths!$E$320=0,C3455=0,AND(C3455&gt;0,Paths!$E$320&gt;(C3455-1)*12,Paths!$E$320&lt;=C3455*12)),Paths!$G$320,0),"n.a."))</f>
        <v>0</v>
      </c>
      <c r="J3455" s="16">
        <f>IF(NOT(Paths!$C$320=1),0,IF(Paths!$P$320="Complete",IF(IF(Paths!$E$320=0,C3455=0,AND(C3455&gt;0,Paths!$E$320&gt;(C3455-1)*12,Paths!$E$320&lt;=C3455*12)),Paths!$H$320,0),"n.a."))</f>
        <v>0</v>
      </c>
      <c r="K3455" s="16">
        <f>IF(NOT(Paths!$C$320=1),0,IF(Paths!$P$320="Complete",IF(IF(Paths!$O$320=0,C3455=0,AND(C3455&gt;0,Paths!$O$320&gt;(C3455-1)*12,Paths!$O$320&lt;=C3455*12)),Paths!$N$320,0),"n.a."))</f>
        <v>0</v>
      </c>
      <c r="L3455" s="16">
        <f>IF(NOT(Paths!$C$320=1),0,IF(Paths!$P$320="Complete",IF(C3455=10,Paths!$I$320,0),"n.a."))</f>
        <v>0</v>
      </c>
      <c r="M3455" s="16">
        <f>IF(NOT(Paths!$C$320=1),0,IF(Paths!$P$320="Complete",IF(AND(Paths!$D$320="EV",Paths!$E$320&lt;120,Paths!$E$320+'Operating costs'!$B$65&gt;Paths!$E$320,Paths!$E$320+'Operating costs'!$B$65&lt;=120,IF(Paths!$E$320+'Operating costs'!$B$65=0,C3455=0,AND(C3455&gt;0,Paths!$E$320+'Operating costs'!$B$65&gt;(C3455-1)*12,Paths!$E$320+'Operating costs'!$B$65&lt;=C3455*12))),'Operating costs'!$B$64,0)+IF(AND('Operating costs'!$B$67&gt;0,'Operating costs'!$B$67&lt;=120,OR(Paths!$D$320="ICE",'Operating costs'!$B$67&lt;=Paths!$E$320),IF('Operating costs'!$B$67=0,C3455=0,AND(C3455&gt;0,'Operating costs'!$B$67&gt;(C3455-1)*12,'Operating costs'!$B$67&lt;=C3455*12))),'Operating costs'!$B$66,0),"n.a."))</f>
        <v>0</v>
      </c>
      <c r="N3455" s="16">
        <f>IF(NOT(Paths!$C$320=1),0,IF(Paths!$P$320="Complete",SUM(G3455:I3455)-J3455-K3455-L3455+M3455+IF(C3455=0,Paths!$F$320,0)+IF(IF(Paths!$E$320=0,C3455=0,AND(C3455&gt;0,Paths!$E$320&gt;(C3455-1)*12,Paths!$E$320&lt;=C3455*12)),VLOOKUP(A3455,'Fleet register'!$A$7:$S$106,16,FALSE),0),"n.a."))</f>
        <v>0</v>
      </c>
      <c r="O3455" s="16">
        <f>IF(NOT(Paths!$C$320=1),0,IF(Paths!$P$320="Complete",N3455-IF(C3455=0,Paths!$F$320,0),"n.a."))</f>
        <v>0</v>
      </c>
      <c r="P3455" s="16">
        <f>IF(NOT(Paths!$C$320=1),0,IF(Paths!$P$320="Complete",O3455+L3455,"n.a."))</f>
        <v>0</v>
      </c>
      <c r="Q3455" s="16">
        <f>IF(NOT(Paths!$C$320=1),0,IF(Paths!$P$320="Complete",N3455*(1+'Operating costs'!$B$54)^-C3455,"n.a."))</f>
        <v>0</v>
      </c>
      <c r="R3455" s="16">
        <f>IF(NOT(Paths!$C$320=1),0,IF(Paths!$P$320="Complete",IF(AND(C3455=0,Paths!$E$320=0),I3455-J3455-K3455+VLOOKUP(A3455,'Fleet register'!$A$7:$S$106,15,FALSE)+VLOOKUP(A3455,'Fleet register'!$A$7:$S$106,16,FALSE),0),"n.a."))</f>
        <v>0</v>
      </c>
      <c r="S3455" s="1">
        <f>IF(NOT(Paths!$C$320=1),0,IF(Paths!$P$320="Complete",IF(C3455=0,0,Paths!$S$320*Paths!$R$320),"n.a."))</f>
        <v>0</v>
      </c>
      <c r="T3455" s="1">
        <f>IF(NOT(Paths!$C$320=1),0,IF(Paths!$P$320="Complete",IF(C3455=0,0,VLOOKUP(A3455,'Fleet register'!$A$7:$S$106,9,FALSE)*Paths!$R$320),"n.a."))</f>
        <v>0</v>
      </c>
    </row>
    <row r="3456" spans="1:20" ht="24" customHeight="1">
      <c r="A3456" s="1" t="str">
        <f>Paths!$A$320</f>
        <v>T079</v>
      </c>
      <c r="B3456" s="1">
        <f>Paths!$B$320</f>
        <v>1</v>
      </c>
      <c r="C3456" s="1">
        <v>6</v>
      </c>
      <c r="D3456" s="1">
        <v>320</v>
      </c>
      <c r="E3456" s="1">
        <f>IF(OR(Paths!$C$320=0,C3456=0),0,MAX(0,MIN(C3456*12,Paths!$E$320)-(C3456-1)*12))</f>
        <v>0</v>
      </c>
      <c r="F3456" s="1">
        <f>IF(OR(Paths!$C$320=0,C3456=0),0,12-E3456)</f>
        <v>0</v>
      </c>
      <c r="G3456" s="16">
        <f>IF(NOT(Paths!$C$320=1),0,IF(Paths!$P$320="Complete",E3456/12*(Paths!$J$320*(1+'Operating costs'!$B$51)^MAX(0,C3456-1)+Paths!$K$320*(1+'Operating costs'!$B$53)^MAX(0,C3456-1)),"n.a."))</f>
        <v>0</v>
      </c>
      <c r="H3456" s="16">
        <f>IF(NOT(Paths!$C$320=1),0,IF(Paths!$P$320="Complete",F3456/12*(Paths!$L$320*(1+IF(Paths!$D$320="EV",'Operating costs'!$B$52,'Operating costs'!$B$51))^MAX(0,C3456-1)+Paths!$M$320*(1+'Operating costs'!$B$53)^MAX(0,C3456-1)),"n.a."))</f>
        <v>0</v>
      </c>
      <c r="I3456" s="16">
        <f>IF(NOT(Paths!$C$320=1),0,IF(Paths!$P$320="Complete",IF(IF(Paths!$E$320=0,C3456=0,AND(C3456&gt;0,Paths!$E$320&gt;(C3456-1)*12,Paths!$E$320&lt;=C3456*12)),Paths!$G$320,0),"n.a."))</f>
        <v>0</v>
      </c>
      <c r="J3456" s="16">
        <f>IF(NOT(Paths!$C$320=1),0,IF(Paths!$P$320="Complete",IF(IF(Paths!$E$320=0,C3456=0,AND(C3456&gt;0,Paths!$E$320&gt;(C3456-1)*12,Paths!$E$320&lt;=C3456*12)),Paths!$H$320,0),"n.a."))</f>
        <v>0</v>
      </c>
      <c r="K3456" s="16">
        <f>IF(NOT(Paths!$C$320=1),0,IF(Paths!$P$320="Complete",IF(IF(Paths!$O$320=0,C3456=0,AND(C3456&gt;0,Paths!$O$320&gt;(C3456-1)*12,Paths!$O$320&lt;=C3456*12)),Paths!$N$320,0),"n.a."))</f>
        <v>0</v>
      </c>
      <c r="L3456" s="16">
        <f>IF(NOT(Paths!$C$320=1),0,IF(Paths!$P$320="Complete",IF(C3456=10,Paths!$I$320,0),"n.a."))</f>
        <v>0</v>
      </c>
      <c r="M3456" s="16">
        <f>IF(NOT(Paths!$C$320=1),0,IF(Paths!$P$320="Complete",IF(AND(Paths!$D$320="EV",Paths!$E$320&lt;120,Paths!$E$320+'Operating costs'!$B$65&gt;Paths!$E$320,Paths!$E$320+'Operating costs'!$B$65&lt;=120,IF(Paths!$E$320+'Operating costs'!$B$65=0,C3456=0,AND(C3456&gt;0,Paths!$E$320+'Operating costs'!$B$65&gt;(C3456-1)*12,Paths!$E$320+'Operating costs'!$B$65&lt;=C3456*12))),'Operating costs'!$B$64,0)+IF(AND('Operating costs'!$B$67&gt;0,'Operating costs'!$B$67&lt;=120,OR(Paths!$D$320="ICE",'Operating costs'!$B$67&lt;=Paths!$E$320),IF('Operating costs'!$B$67=0,C3456=0,AND(C3456&gt;0,'Operating costs'!$B$67&gt;(C3456-1)*12,'Operating costs'!$B$67&lt;=C3456*12))),'Operating costs'!$B$66,0),"n.a."))</f>
        <v>0</v>
      </c>
      <c r="N3456" s="16">
        <f>IF(NOT(Paths!$C$320=1),0,IF(Paths!$P$320="Complete",SUM(G3456:I3456)-J3456-K3456-L3456+M3456+IF(C3456=0,Paths!$F$320,0)+IF(IF(Paths!$E$320=0,C3456=0,AND(C3456&gt;0,Paths!$E$320&gt;(C3456-1)*12,Paths!$E$320&lt;=C3456*12)),VLOOKUP(A3456,'Fleet register'!$A$7:$S$106,16,FALSE),0),"n.a."))</f>
        <v>0</v>
      </c>
      <c r="O3456" s="16">
        <f>IF(NOT(Paths!$C$320=1),0,IF(Paths!$P$320="Complete",N3456-IF(C3456=0,Paths!$F$320,0),"n.a."))</f>
        <v>0</v>
      </c>
      <c r="P3456" s="16">
        <f>IF(NOT(Paths!$C$320=1),0,IF(Paths!$P$320="Complete",O3456+L3456,"n.a."))</f>
        <v>0</v>
      </c>
      <c r="Q3456" s="16">
        <f>IF(NOT(Paths!$C$320=1),0,IF(Paths!$P$320="Complete",N3456*(1+'Operating costs'!$B$54)^-C3456,"n.a."))</f>
        <v>0</v>
      </c>
      <c r="R3456" s="16">
        <f>IF(NOT(Paths!$C$320=1),0,IF(Paths!$P$320="Complete",IF(AND(C3456=0,Paths!$E$320=0),I3456-J3456-K3456+VLOOKUP(A3456,'Fleet register'!$A$7:$S$106,15,FALSE)+VLOOKUP(A3456,'Fleet register'!$A$7:$S$106,16,FALSE),0),"n.a."))</f>
        <v>0</v>
      </c>
      <c r="S3456" s="1">
        <f>IF(NOT(Paths!$C$320=1),0,IF(Paths!$P$320="Complete",IF(C3456=0,0,Paths!$S$320*Paths!$R$320),"n.a."))</f>
        <v>0</v>
      </c>
      <c r="T3456" s="1">
        <f>IF(NOT(Paths!$C$320=1),0,IF(Paths!$P$320="Complete",IF(C3456=0,0,VLOOKUP(A3456,'Fleet register'!$A$7:$S$106,9,FALSE)*Paths!$R$320),"n.a."))</f>
        <v>0</v>
      </c>
    </row>
    <row r="3457" spans="1:20" ht="24" customHeight="1">
      <c r="A3457" s="1" t="str">
        <f>Paths!$A$320</f>
        <v>T079</v>
      </c>
      <c r="B3457" s="1">
        <f>Paths!$B$320</f>
        <v>1</v>
      </c>
      <c r="C3457" s="1">
        <v>7</v>
      </c>
      <c r="D3457" s="1">
        <v>320</v>
      </c>
      <c r="E3457" s="1">
        <f>IF(OR(Paths!$C$320=0,C3457=0),0,MAX(0,MIN(C3457*12,Paths!$E$320)-(C3457-1)*12))</f>
        <v>0</v>
      </c>
      <c r="F3457" s="1">
        <f>IF(OR(Paths!$C$320=0,C3457=0),0,12-E3457)</f>
        <v>0</v>
      </c>
      <c r="G3457" s="16">
        <f>IF(NOT(Paths!$C$320=1),0,IF(Paths!$P$320="Complete",E3457/12*(Paths!$J$320*(1+'Operating costs'!$B$51)^MAX(0,C3457-1)+Paths!$K$320*(1+'Operating costs'!$B$53)^MAX(0,C3457-1)),"n.a."))</f>
        <v>0</v>
      </c>
      <c r="H3457" s="16">
        <f>IF(NOT(Paths!$C$320=1),0,IF(Paths!$P$320="Complete",F3457/12*(Paths!$L$320*(1+IF(Paths!$D$320="EV",'Operating costs'!$B$52,'Operating costs'!$B$51))^MAX(0,C3457-1)+Paths!$M$320*(1+'Operating costs'!$B$53)^MAX(0,C3457-1)),"n.a."))</f>
        <v>0</v>
      </c>
      <c r="I3457" s="16">
        <f>IF(NOT(Paths!$C$320=1),0,IF(Paths!$P$320="Complete",IF(IF(Paths!$E$320=0,C3457=0,AND(C3457&gt;0,Paths!$E$320&gt;(C3457-1)*12,Paths!$E$320&lt;=C3457*12)),Paths!$G$320,0),"n.a."))</f>
        <v>0</v>
      </c>
      <c r="J3457" s="16">
        <f>IF(NOT(Paths!$C$320=1),0,IF(Paths!$P$320="Complete",IF(IF(Paths!$E$320=0,C3457=0,AND(C3457&gt;0,Paths!$E$320&gt;(C3457-1)*12,Paths!$E$320&lt;=C3457*12)),Paths!$H$320,0),"n.a."))</f>
        <v>0</v>
      </c>
      <c r="K3457" s="16">
        <f>IF(NOT(Paths!$C$320=1),0,IF(Paths!$P$320="Complete",IF(IF(Paths!$O$320=0,C3457=0,AND(C3457&gt;0,Paths!$O$320&gt;(C3457-1)*12,Paths!$O$320&lt;=C3457*12)),Paths!$N$320,0),"n.a."))</f>
        <v>0</v>
      </c>
      <c r="L3457" s="16">
        <f>IF(NOT(Paths!$C$320=1),0,IF(Paths!$P$320="Complete",IF(C3457=10,Paths!$I$320,0),"n.a."))</f>
        <v>0</v>
      </c>
      <c r="M3457" s="16">
        <f>IF(NOT(Paths!$C$320=1),0,IF(Paths!$P$320="Complete",IF(AND(Paths!$D$320="EV",Paths!$E$320&lt;120,Paths!$E$320+'Operating costs'!$B$65&gt;Paths!$E$320,Paths!$E$320+'Operating costs'!$B$65&lt;=120,IF(Paths!$E$320+'Operating costs'!$B$65=0,C3457=0,AND(C3457&gt;0,Paths!$E$320+'Operating costs'!$B$65&gt;(C3457-1)*12,Paths!$E$320+'Operating costs'!$B$65&lt;=C3457*12))),'Operating costs'!$B$64,0)+IF(AND('Operating costs'!$B$67&gt;0,'Operating costs'!$B$67&lt;=120,OR(Paths!$D$320="ICE",'Operating costs'!$B$67&lt;=Paths!$E$320),IF('Operating costs'!$B$67=0,C3457=0,AND(C3457&gt;0,'Operating costs'!$B$67&gt;(C3457-1)*12,'Operating costs'!$B$67&lt;=C3457*12))),'Operating costs'!$B$66,0),"n.a."))</f>
        <v>0</v>
      </c>
      <c r="N3457" s="16">
        <f>IF(NOT(Paths!$C$320=1),0,IF(Paths!$P$320="Complete",SUM(G3457:I3457)-J3457-K3457-L3457+M3457+IF(C3457=0,Paths!$F$320,0)+IF(IF(Paths!$E$320=0,C3457=0,AND(C3457&gt;0,Paths!$E$320&gt;(C3457-1)*12,Paths!$E$320&lt;=C3457*12)),VLOOKUP(A3457,'Fleet register'!$A$7:$S$106,16,FALSE),0),"n.a."))</f>
        <v>0</v>
      </c>
      <c r="O3457" s="16">
        <f>IF(NOT(Paths!$C$320=1),0,IF(Paths!$P$320="Complete",N3457-IF(C3457=0,Paths!$F$320,0),"n.a."))</f>
        <v>0</v>
      </c>
      <c r="P3457" s="16">
        <f>IF(NOT(Paths!$C$320=1),0,IF(Paths!$P$320="Complete",O3457+L3457,"n.a."))</f>
        <v>0</v>
      </c>
      <c r="Q3457" s="16">
        <f>IF(NOT(Paths!$C$320=1),0,IF(Paths!$P$320="Complete",N3457*(1+'Operating costs'!$B$54)^-C3457,"n.a."))</f>
        <v>0</v>
      </c>
      <c r="R3457" s="16">
        <f>IF(NOT(Paths!$C$320=1),0,IF(Paths!$P$320="Complete",IF(AND(C3457=0,Paths!$E$320=0),I3457-J3457-K3457+VLOOKUP(A3457,'Fleet register'!$A$7:$S$106,15,FALSE)+VLOOKUP(A3457,'Fleet register'!$A$7:$S$106,16,FALSE),0),"n.a."))</f>
        <v>0</v>
      </c>
      <c r="S3457" s="1">
        <f>IF(NOT(Paths!$C$320=1),0,IF(Paths!$P$320="Complete",IF(C3457=0,0,Paths!$S$320*Paths!$R$320),"n.a."))</f>
        <v>0</v>
      </c>
      <c r="T3457" s="1">
        <f>IF(NOT(Paths!$C$320=1),0,IF(Paths!$P$320="Complete",IF(C3457=0,0,VLOOKUP(A3457,'Fleet register'!$A$7:$S$106,9,FALSE)*Paths!$R$320),"n.a."))</f>
        <v>0</v>
      </c>
    </row>
    <row r="3458" spans="1:20" ht="24" customHeight="1">
      <c r="A3458" s="1" t="str">
        <f>Paths!$A$320</f>
        <v>T079</v>
      </c>
      <c r="B3458" s="1">
        <f>Paths!$B$320</f>
        <v>1</v>
      </c>
      <c r="C3458" s="1">
        <v>8</v>
      </c>
      <c r="D3458" s="1">
        <v>320</v>
      </c>
      <c r="E3458" s="1">
        <f>IF(OR(Paths!$C$320=0,C3458=0),0,MAX(0,MIN(C3458*12,Paths!$E$320)-(C3458-1)*12))</f>
        <v>0</v>
      </c>
      <c r="F3458" s="1">
        <f>IF(OR(Paths!$C$320=0,C3458=0),0,12-E3458)</f>
        <v>0</v>
      </c>
      <c r="G3458" s="16">
        <f>IF(NOT(Paths!$C$320=1),0,IF(Paths!$P$320="Complete",E3458/12*(Paths!$J$320*(1+'Operating costs'!$B$51)^MAX(0,C3458-1)+Paths!$K$320*(1+'Operating costs'!$B$53)^MAX(0,C3458-1)),"n.a."))</f>
        <v>0</v>
      </c>
      <c r="H3458" s="16">
        <f>IF(NOT(Paths!$C$320=1),0,IF(Paths!$P$320="Complete",F3458/12*(Paths!$L$320*(1+IF(Paths!$D$320="EV",'Operating costs'!$B$52,'Operating costs'!$B$51))^MAX(0,C3458-1)+Paths!$M$320*(1+'Operating costs'!$B$53)^MAX(0,C3458-1)),"n.a."))</f>
        <v>0</v>
      </c>
      <c r="I3458" s="16">
        <f>IF(NOT(Paths!$C$320=1),0,IF(Paths!$P$320="Complete",IF(IF(Paths!$E$320=0,C3458=0,AND(C3458&gt;0,Paths!$E$320&gt;(C3458-1)*12,Paths!$E$320&lt;=C3458*12)),Paths!$G$320,0),"n.a."))</f>
        <v>0</v>
      </c>
      <c r="J3458" s="16">
        <f>IF(NOT(Paths!$C$320=1),0,IF(Paths!$P$320="Complete",IF(IF(Paths!$E$320=0,C3458=0,AND(C3458&gt;0,Paths!$E$320&gt;(C3458-1)*12,Paths!$E$320&lt;=C3458*12)),Paths!$H$320,0),"n.a."))</f>
        <v>0</v>
      </c>
      <c r="K3458" s="16">
        <f>IF(NOT(Paths!$C$320=1),0,IF(Paths!$P$320="Complete",IF(IF(Paths!$O$320=0,C3458=0,AND(C3458&gt;0,Paths!$O$320&gt;(C3458-1)*12,Paths!$O$320&lt;=C3458*12)),Paths!$N$320,0),"n.a."))</f>
        <v>0</v>
      </c>
      <c r="L3458" s="16">
        <f>IF(NOT(Paths!$C$320=1),0,IF(Paths!$P$320="Complete",IF(C3458=10,Paths!$I$320,0),"n.a."))</f>
        <v>0</v>
      </c>
      <c r="M3458" s="16">
        <f>IF(NOT(Paths!$C$320=1),0,IF(Paths!$P$320="Complete",IF(AND(Paths!$D$320="EV",Paths!$E$320&lt;120,Paths!$E$320+'Operating costs'!$B$65&gt;Paths!$E$320,Paths!$E$320+'Operating costs'!$B$65&lt;=120,IF(Paths!$E$320+'Operating costs'!$B$65=0,C3458=0,AND(C3458&gt;0,Paths!$E$320+'Operating costs'!$B$65&gt;(C3458-1)*12,Paths!$E$320+'Operating costs'!$B$65&lt;=C3458*12))),'Operating costs'!$B$64,0)+IF(AND('Operating costs'!$B$67&gt;0,'Operating costs'!$B$67&lt;=120,OR(Paths!$D$320="ICE",'Operating costs'!$B$67&lt;=Paths!$E$320),IF('Operating costs'!$B$67=0,C3458=0,AND(C3458&gt;0,'Operating costs'!$B$67&gt;(C3458-1)*12,'Operating costs'!$B$67&lt;=C3458*12))),'Operating costs'!$B$66,0),"n.a."))</f>
        <v>0</v>
      </c>
      <c r="N3458" s="16">
        <f>IF(NOT(Paths!$C$320=1),0,IF(Paths!$P$320="Complete",SUM(G3458:I3458)-J3458-K3458-L3458+M3458+IF(C3458=0,Paths!$F$320,0)+IF(IF(Paths!$E$320=0,C3458=0,AND(C3458&gt;0,Paths!$E$320&gt;(C3458-1)*12,Paths!$E$320&lt;=C3458*12)),VLOOKUP(A3458,'Fleet register'!$A$7:$S$106,16,FALSE),0),"n.a."))</f>
        <v>0</v>
      </c>
      <c r="O3458" s="16">
        <f>IF(NOT(Paths!$C$320=1),0,IF(Paths!$P$320="Complete",N3458-IF(C3458=0,Paths!$F$320,0),"n.a."))</f>
        <v>0</v>
      </c>
      <c r="P3458" s="16">
        <f>IF(NOT(Paths!$C$320=1),0,IF(Paths!$P$320="Complete",O3458+L3458,"n.a."))</f>
        <v>0</v>
      </c>
      <c r="Q3458" s="16">
        <f>IF(NOT(Paths!$C$320=1),0,IF(Paths!$P$320="Complete",N3458*(1+'Operating costs'!$B$54)^-C3458,"n.a."))</f>
        <v>0</v>
      </c>
      <c r="R3458" s="16">
        <f>IF(NOT(Paths!$C$320=1),0,IF(Paths!$P$320="Complete",IF(AND(C3458=0,Paths!$E$320=0),I3458-J3458-K3458+VLOOKUP(A3458,'Fleet register'!$A$7:$S$106,15,FALSE)+VLOOKUP(A3458,'Fleet register'!$A$7:$S$106,16,FALSE),0),"n.a."))</f>
        <v>0</v>
      </c>
      <c r="S3458" s="1">
        <f>IF(NOT(Paths!$C$320=1),0,IF(Paths!$P$320="Complete",IF(C3458=0,0,Paths!$S$320*Paths!$R$320),"n.a."))</f>
        <v>0</v>
      </c>
      <c r="T3458" s="1">
        <f>IF(NOT(Paths!$C$320=1),0,IF(Paths!$P$320="Complete",IF(C3458=0,0,VLOOKUP(A3458,'Fleet register'!$A$7:$S$106,9,FALSE)*Paths!$R$320),"n.a."))</f>
        <v>0</v>
      </c>
    </row>
    <row r="3459" spans="1:20" ht="24" customHeight="1">
      <c r="A3459" s="1" t="str">
        <f>Paths!$A$320</f>
        <v>T079</v>
      </c>
      <c r="B3459" s="1">
        <f>Paths!$B$320</f>
        <v>1</v>
      </c>
      <c r="C3459" s="1">
        <v>9</v>
      </c>
      <c r="D3459" s="1">
        <v>320</v>
      </c>
      <c r="E3459" s="1">
        <f>IF(OR(Paths!$C$320=0,C3459=0),0,MAX(0,MIN(C3459*12,Paths!$E$320)-(C3459-1)*12))</f>
        <v>0</v>
      </c>
      <c r="F3459" s="1">
        <f>IF(OR(Paths!$C$320=0,C3459=0),0,12-E3459)</f>
        <v>0</v>
      </c>
      <c r="G3459" s="16">
        <f>IF(NOT(Paths!$C$320=1),0,IF(Paths!$P$320="Complete",E3459/12*(Paths!$J$320*(1+'Operating costs'!$B$51)^MAX(0,C3459-1)+Paths!$K$320*(1+'Operating costs'!$B$53)^MAX(0,C3459-1)),"n.a."))</f>
        <v>0</v>
      </c>
      <c r="H3459" s="16">
        <f>IF(NOT(Paths!$C$320=1),0,IF(Paths!$P$320="Complete",F3459/12*(Paths!$L$320*(1+IF(Paths!$D$320="EV",'Operating costs'!$B$52,'Operating costs'!$B$51))^MAX(0,C3459-1)+Paths!$M$320*(1+'Operating costs'!$B$53)^MAX(0,C3459-1)),"n.a."))</f>
        <v>0</v>
      </c>
      <c r="I3459" s="16">
        <f>IF(NOT(Paths!$C$320=1),0,IF(Paths!$P$320="Complete",IF(IF(Paths!$E$320=0,C3459=0,AND(C3459&gt;0,Paths!$E$320&gt;(C3459-1)*12,Paths!$E$320&lt;=C3459*12)),Paths!$G$320,0),"n.a."))</f>
        <v>0</v>
      </c>
      <c r="J3459" s="16">
        <f>IF(NOT(Paths!$C$320=1),0,IF(Paths!$P$320="Complete",IF(IF(Paths!$E$320=0,C3459=0,AND(C3459&gt;0,Paths!$E$320&gt;(C3459-1)*12,Paths!$E$320&lt;=C3459*12)),Paths!$H$320,0),"n.a."))</f>
        <v>0</v>
      </c>
      <c r="K3459" s="16">
        <f>IF(NOT(Paths!$C$320=1),0,IF(Paths!$P$320="Complete",IF(IF(Paths!$O$320=0,C3459=0,AND(C3459&gt;0,Paths!$O$320&gt;(C3459-1)*12,Paths!$O$320&lt;=C3459*12)),Paths!$N$320,0),"n.a."))</f>
        <v>0</v>
      </c>
      <c r="L3459" s="16">
        <f>IF(NOT(Paths!$C$320=1),0,IF(Paths!$P$320="Complete",IF(C3459=10,Paths!$I$320,0),"n.a."))</f>
        <v>0</v>
      </c>
      <c r="M3459" s="16">
        <f>IF(NOT(Paths!$C$320=1),0,IF(Paths!$P$320="Complete",IF(AND(Paths!$D$320="EV",Paths!$E$320&lt;120,Paths!$E$320+'Operating costs'!$B$65&gt;Paths!$E$320,Paths!$E$320+'Operating costs'!$B$65&lt;=120,IF(Paths!$E$320+'Operating costs'!$B$65=0,C3459=0,AND(C3459&gt;0,Paths!$E$320+'Operating costs'!$B$65&gt;(C3459-1)*12,Paths!$E$320+'Operating costs'!$B$65&lt;=C3459*12))),'Operating costs'!$B$64,0)+IF(AND('Operating costs'!$B$67&gt;0,'Operating costs'!$B$67&lt;=120,OR(Paths!$D$320="ICE",'Operating costs'!$B$67&lt;=Paths!$E$320),IF('Operating costs'!$B$67=0,C3459=0,AND(C3459&gt;0,'Operating costs'!$B$67&gt;(C3459-1)*12,'Operating costs'!$B$67&lt;=C3459*12))),'Operating costs'!$B$66,0),"n.a."))</f>
        <v>0</v>
      </c>
      <c r="N3459" s="16">
        <f>IF(NOT(Paths!$C$320=1),0,IF(Paths!$P$320="Complete",SUM(G3459:I3459)-J3459-K3459-L3459+M3459+IF(C3459=0,Paths!$F$320,0)+IF(IF(Paths!$E$320=0,C3459=0,AND(C3459&gt;0,Paths!$E$320&gt;(C3459-1)*12,Paths!$E$320&lt;=C3459*12)),VLOOKUP(A3459,'Fleet register'!$A$7:$S$106,16,FALSE),0),"n.a."))</f>
        <v>0</v>
      </c>
      <c r="O3459" s="16">
        <f>IF(NOT(Paths!$C$320=1),0,IF(Paths!$P$320="Complete",N3459-IF(C3459=0,Paths!$F$320,0),"n.a."))</f>
        <v>0</v>
      </c>
      <c r="P3459" s="16">
        <f>IF(NOT(Paths!$C$320=1),0,IF(Paths!$P$320="Complete",O3459+L3459,"n.a."))</f>
        <v>0</v>
      </c>
      <c r="Q3459" s="16">
        <f>IF(NOT(Paths!$C$320=1),0,IF(Paths!$P$320="Complete",N3459*(1+'Operating costs'!$B$54)^-C3459,"n.a."))</f>
        <v>0</v>
      </c>
      <c r="R3459" s="16">
        <f>IF(NOT(Paths!$C$320=1),0,IF(Paths!$P$320="Complete",IF(AND(C3459=0,Paths!$E$320=0),I3459-J3459-K3459+VLOOKUP(A3459,'Fleet register'!$A$7:$S$106,15,FALSE)+VLOOKUP(A3459,'Fleet register'!$A$7:$S$106,16,FALSE),0),"n.a."))</f>
        <v>0</v>
      </c>
      <c r="S3459" s="1">
        <f>IF(NOT(Paths!$C$320=1),0,IF(Paths!$P$320="Complete",IF(C3459=0,0,Paths!$S$320*Paths!$R$320),"n.a."))</f>
        <v>0</v>
      </c>
      <c r="T3459" s="1">
        <f>IF(NOT(Paths!$C$320=1),0,IF(Paths!$P$320="Complete",IF(C3459=0,0,VLOOKUP(A3459,'Fleet register'!$A$7:$S$106,9,FALSE)*Paths!$R$320),"n.a."))</f>
        <v>0</v>
      </c>
    </row>
    <row r="3460" spans="1:20" ht="24" customHeight="1">
      <c r="A3460" s="1" t="str">
        <f>Paths!$A$320</f>
        <v>T079</v>
      </c>
      <c r="B3460" s="1">
        <f>Paths!$B$320</f>
        <v>1</v>
      </c>
      <c r="C3460" s="1">
        <v>10</v>
      </c>
      <c r="D3460" s="1">
        <v>320</v>
      </c>
      <c r="E3460" s="1">
        <f>IF(OR(Paths!$C$320=0,C3460=0),0,MAX(0,MIN(C3460*12,Paths!$E$320)-(C3460-1)*12))</f>
        <v>0</v>
      </c>
      <c r="F3460" s="1">
        <f>IF(OR(Paths!$C$320=0,C3460=0),0,12-E3460)</f>
        <v>0</v>
      </c>
      <c r="G3460" s="16">
        <f>IF(NOT(Paths!$C$320=1),0,IF(Paths!$P$320="Complete",E3460/12*(Paths!$J$320*(1+'Operating costs'!$B$51)^MAX(0,C3460-1)+Paths!$K$320*(1+'Operating costs'!$B$53)^MAX(0,C3460-1)),"n.a."))</f>
        <v>0</v>
      </c>
      <c r="H3460" s="16">
        <f>IF(NOT(Paths!$C$320=1),0,IF(Paths!$P$320="Complete",F3460/12*(Paths!$L$320*(1+IF(Paths!$D$320="EV",'Operating costs'!$B$52,'Operating costs'!$B$51))^MAX(0,C3460-1)+Paths!$M$320*(1+'Operating costs'!$B$53)^MAX(0,C3460-1)),"n.a."))</f>
        <v>0</v>
      </c>
      <c r="I3460" s="16">
        <f>IF(NOT(Paths!$C$320=1),0,IF(Paths!$P$320="Complete",IF(IF(Paths!$E$320=0,C3460=0,AND(C3460&gt;0,Paths!$E$320&gt;(C3460-1)*12,Paths!$E$320&lt;=C3460*12)),Paths!$G$320,0),"n.a."))</f>
        <v>0</v>
      </c>
      <c r="J3460" s="16">
        <f>IF(NOT(Paths!$C$320=1),0,IF(Paths!$P$320="Complete",IF(IF(Paths!$E$320=0,C3460=0,AND(C3460&gt;0,Paths!$E$320&gt;(C3460-1)*12,Paths!$E$320&lt;=C3460*12)),Paths!$H$320,0),"n.a."))</f>
        <v>0</v>
      </c>
      <c r="K3460" s="16">
        <f>IF(NOT(Paths!$C$320=1),0,IF(Paths!$P$320="Complete",IF(IF(Paths!$O$320=0,C3460=0,AND(C3460&gt;0,Paths!$O$320&gt;(C3460-1)*12,Paths!$O$320&lt;=C3460*12)),Paths!$N$320,0),"n.a."))</f>
        <v>0</v>
      </c>
      <c r="L3460" s="16">
        <f>IF(NOT(Paths!$C$320=1),0,IF(Paths!$P$320="Complete",IF(C3460=10,Paths!$I$320,0),"n.a."))</f>
        <v>0</v>
      </c>
      <c r="M3460" s="16">
        <f>IF(NOT(Paths!$C$320=1),0,IF(Paths!$P$320="Complete",IF(AND(Paths!$D$320="EV",Paths!$E$320&lt;120,Paths!$E$320+'Operating costs'!$B$65&gt;Paths!$E$320,Paths!$E$320+'Operating costs'!$B$65&lt;=120,IF(Paths!$E$320+'Operating costs'!$B$65=0,C3460=0,AND(C3460&gt;0,Paths!$E$320+'Operating costs'!$B$65&gt;(C3460-1)*12,Paths!$E$320+'Operating costs'!$B$65&lt;=C3460*12))),'Operating costs'!$B$64,0)+IF(AND('Operating costs'!$B$67&gt;0,'Operating costs'!$B$67&lt;=120,OR(Paths!$D$320="ICE",'Operating costs'!$B$67&lt;=Paths!$E$320),IF('Operating costs'!$B$67=0,C3460=0,AND(C3460&gt;0,'Operating costs'!$B$67&gt;(C3460-1)*12,'Operating costs'!$B$67&lt;=C3460*12))),'Operating costs'!$B$66,0),"n.a."))</f>
        <v>0</v>
      </c>
      <c r="N3460" s="16">
        <f>IF(NOT(Paths!$C$320=1),0,IF(Paths!$P$320="Complete",SUM(G3460:I3460)-J3460-K3460-L3460+M3460+IF(C3460=0,Paths!$F$320,0)+IF(IF(Paths!$E$320=0,C3460=0,AND(C3460&gt;0,Paths!$E$320&gt;(C3460-1)*12,Paths!$E$320&lt;=C3460*12)),VLOOKUP(A3460,'Fleet register'!$A$7:$S$106,16,FALSE),0),"n.a."))</f>
        <v>0</v>
      </c>
      <c r="O3460" s="16">
        <f>IF(NOT(Paths!$C$320=1),0,IF(Paths!$P$320="Complete",N3460-IF(C3460=0,Paths!$F$320,0),"n.a."))</f>
        <v>0</v>
      </c>
      <c r="P3460" s="16">
        <f>IF(NOT(Paths!$C$320=1),0,IF(Paths!$P$320="Complete",O3460+L3460,"n.a."))</f>
        <v>0</v>
      </c>
      <c r="Q3460" s="16">
        <f>IF(NOT(Paths!$C$320=1),0,IF(Paths!$P$320="Complete",N3460*(1+'Operating costs'!$B$54)^-C3460,"n.a."))</f>
        <v>0</v>
      </c>
      <c r="R3460" s="16">
        <f>IF(NOT(Paths!$C$320=1),0,IF(Paths!$P$320="Complete",IF(AND(C3460=0,Paths!$E$320=0),I3460-J3460-K3460+VLOOKUP(A3460,'Fleet register'!$A$7:$S$106,15,FALSE)+VLOOKUP(A3460,'Fleet register'!$A$7:$S$106,16,FALSE),0),"n.a."))</f>
        <v>0</v>
      </c>
      <c r="S3460" s="1">
        <f>IF(NOT(Paths!$C$320=1),0,IF(Paths!$P$320="Complete",IF(C3460=0,0,Paths!$S$320*Paths!$R$320),"n.a."))</f>
        <v>0</v>
      </c>
      <c r="T3460" s="1">
        <f>IF(NOT(Paths!$C$320=1),0,IF(Paths!$P$320="Complete",IF(C3460=0,0,VLOOKUP(A3460,'Fleet register'!$A$7:$S$106,9,FALSE)*Paths!$R$320),"n.a."))</f>
        <v>0</v>
      </c>
    </row>
    <row r="3461" spans="1:20" ht="24" customHeight="1">
      <c r="A3461" s="1" t="str">
        <f>Paths!$A$321</f>
        <v>T079</v>
      </c>
      <c r="B3461" s="1">
        <f>Paths!$B$321</f>
        <v>2</v>
      </c>
      <c r="C3461" s="1">
        <v>0</v>
      </c>
      <c r="D3461" s="1">
        <v>321</v>
      </c>
      <c r="E3461" s="1">
        <f>IF(OR(Paths!$C$321=0,C3461=0),0,MAX(0,MIN(C3461*12,Paths!$E$321)-(C3461-1)*12))</f>
        <v>0</v>
      </c>
      <c r="F3461" s="1">
        <f>IF(OR(Paths!$C$321=0,C3461=0),0,12-E3461)</f>
        <v>0</v>
      </c>
      <c r="G3461" s="16">
        <f>IF(NOT(Paths!$C$321=1),0,IF(Paths!$P$321="Complete",E3461/12*(Paths!$J$321*(1+'Operating costs'!$B$51)^MAX(0,C3461-1)+Paths!$K$321*(1+'Operating costs'!$B$53)^MAX(0,C3461-1)),"n.a."))</f>
        <v>0</v>
      </c>
      <c r="H3461" s="16">
        <f>IF(NOT(Paths!$C$321=1),0,IF(Paths!$P$321="Complete",F3461/12*(Paths!$L$321*(1+IF(Paths!$D$321="EV",'Operating costs'!$B$52,'Operating costs'!$B$51))^MAX(0,C3461-1)+Paths!$M$321*(1+'Operating costs'!$B$53)^MAX(0,C3461-1)),"n.a."))</f>
        <v>0</v>
      </c>
      <c r="I3461" s="16">
        <f>IF(NOT(Paths!$C$321=1),0,IF(Paths!$P$321="Complete",IF(IF(Paths!$E$321=0,C3461=0,AND(C3461&gt;0,Paths!$E$321&gt;(C3461-1)*12,Paths!$E$321&lt;=C3461*12)),Paths!$G$321,0),"n.a."))</f>
        <v>0</v>
      </c>
      <c r="J3461" s="16">
        <f>IF(NOT(Paths!$C$321=1),0,IF(Paths!$P$321="Complete",IF(IF(Paths!$E$321=0,C3461=0,AND(C3461&gt;0,Paths!$E$321&gt;(C3461-1)*12,Paths!$E$321&lt;=C3461*12)),Paths!$H$321,0),"n.a."))</f>
        <v>0</v>
      </c>
      <c r="K3461" s="16">
        <f>IF(NOT(Paths!$C$321=1),0,IF(Paths!$P$321="Complete",IF(IF(Paths!$O$321=0,C3461=0,AND(C3461&gt;0,Paths!$O$321&gt;(C3461-1)*12,Paths!$O$321&lt;=C3461*12)),Paths!$N$321,0),"n.a."))</f>
        <v>0</v>
      </c>
      <c r="L3461" s="16">
        <f>IF(NOT(Paths!$C$321=1),0,IF(Paths!$P$321="Complete",IF(C3461=10,Paths!$I$321,0),"n.a."))</f>
        <v>0</v>
      </c>
      <c r="M3461" s="16">
        <f>IF(NOT(Paths!$C$321=1),0,IF(Paths!$P$321="Complete",IF(AND(Paths!$D$321="EV",Paths!$E$321&lt;120,Paths!$E$321+'Operating costs'!$B$65&gt;Paths!$E$321,Paths!$E$321+'Operating costs'!$B$65&lt;=120,IF(Paths!$E$321+'Operating costs'!$B$65=0,C3461=0,AND(C3461&gt;0,Paths!$E$321+'Operating costs'!$B$65&gt;(C3461-1)*12,Paths!$E$321+'Operating costs'!$B$65&lt;=C3461*12))),'Operating costs'!$B$64,0)+IF(AND('Operating costs'!$B$67&gt;0,'Operating costs'!$B$67&lt;=120,OR(Paths!$D$321="ICE",'Operating costs'!$B$67&lt;=Paths!$E$321),IF('Operating costs'!$B$67=0,C3461=0,AND(C3461&gt;0,'Operating costs'!$B$67&gt;(C3461-1)*12,'Operating costs'!$B$67&lt;=C3461*12))),'Operating costs'!$B$66,0),"n.a."))</f>
        <v>0</v>
      </c>
      <c r="N3461" s="16">
        <f>IF(NOT(Paths!$C$321=1),0,IF(Paths!$P$321="Complete",SUM(G3461:I3461)-J3461-K3461-L3461+M3461+IF(C3461=0,Paths!$F$321,0)+IF(IF(Paths!$E$321=0,C3461=0,AND(C3461&gt;0,Paths!$E$321&gt;(C3461-1)*12,Paths!$E$321&lt;=C3461*12)),VLOOKUP(A3461,'Fleet register'!$A$7:$S$106,16,FALSE),0),"n.a."))</f>
        <v>0</v>
      </c>
      <c r="O3461" s="16">
        <f>IF(NOT(Paths!$C$321=1),0,IF(Paths!$P$321="Complete",N3461-IF(C3461=0,Paths!$F$321,0),"n.a."))</f>
        <v>0</v>
      </c>
      <c r="P3461" s="16">
        <f>IF(NOT(Paths!$C$321=1),0,IF(Paths!$P$321="Complete",O3461+L3461,"n.a."))</f>
        <v>0</v>
      </c>
      <c r="Q3461" s="16">
        <f>IF(NOT(Paths!$C$321=1),0,IF(Paths!$P$321="Complete",N3461*(1+'Operating costs'!$B$54)^-C3461,"n.a."))</f>
        <v>0</v>
      </c>
      <c r="R3461" s="16">
        <f>IF(NOT(Paths!$C$321=1),0,IF(Paths!$P$321="Complete",IF(AND(C3461=0,Paths!$E$321=0),I3461-J3461-K3461+VLOOKUP(A3461,'Fleet register'!$A$7:$S$106,15,FALSE)+VLOOKUP(A3461,'Fleet register'!$A$7:$S$106,16,FALSE),0),"n.a."))</f>
        <v>0</v>
      </c>
      <c r="S3461" s="1">
        <f>IF(NOT(Paths!$C$321=1),0,IF(Paths!$P$321="Complete",IF(C3461=0,0,Paths!$S$321*Paths!$R$321),"n.a."))</f>
        <v>0</v>
      </c>
      <c r="T3461" s="1">
        <f>IF(NOT(Paths!$C$321=1),0,IF(Paths!$P$321="Complete",IF(C3461=0,0,VLOOKUP(A3461,'Fleet register'!$A$7:$S$106,9,FALSE)*Paths!$R$321),"n.a."))</f>
        <v>0</v>
      </c>
    </row>
    <row r="3462" spans="1:20" ht="24" customHeight="1">
      <c r="A3462" s="1" t="str">
        <f>Paths!$A$321</f>
        <v>T079</v>
      </c>
      <c r="B3462" s="1">
        <f>Paths!$B$321</f>
        <v>2</v>
      </c>
      <c r="C3462" s="1">
        <v>1</v>
      </c>
      <c r="D3462" s="1">
        <v>321</v>
      </c>
      <c r="E3462" s="1">
        <f>IF(OR(Paths!$C$321=0,C3462=0),0,MAX(0,MIN(C3462*12,Paths!$E$321)-(C3462-1)*12))</f>
        <v>0</v>
      </c>
      <c r="F3462" s="1">
        <f>IF(OR(Paths!$C$321=0,C3462=0),0,12-E3462)</f>
        <v>0</v>
      </c>
      <c r="G3462" s="16">
        <f>IF(NOT(Paths!$C$321=1),0,IF(Paths!$P$321="Complete",E3462/12*(Paths!$J$321*(1+'Operating costs'!$B$51)^MAX(0,C3462-1)+Paths!$K$321*(1+'Operating costs'!$B$53)^MAX(0,C3462-1)),"n.a."))</f>
        <v>0</v>
      </c>
      <c r="H3462" s="16">
        <f>IF(NOT(Paths!$C$321=1),0,IF(Paths!$P$321="Complete",F3462/12*(Paths!$L$321*(1+IF(Paths!$D$321="EV",'Operating costs'!$B$52,'Operating costs'!$B$51))^MAX(0,C3462-1)+Paths!$M$321*(1+'Operating costs'!$B$53)^MAX(0,C3462-1)),"n.a."))</f>
        <v>0</v>
      </c>
      <c r="I3462" s="16">
        <f>IF(NOT(Paths!$C$321=1),0,IF(Paths!$P$321="Complete",IF(IF(Paths!$E$321=0,C3462=0,AND(C3462&gt;0,Paths!$E$321&gt;(C3462-1)*12,Paths!$E$321&lt;=C3462*12)),Paths!$G$321,0),"n.a."))</f>
        <v>0</v>
      </c>
      <c r="J3462" s="16">
        <f>IF(NOT(Paths!$C$321=1),0,IF(Paths!$P$321="Complete",IF(IF(Paths!$E$321=0,C3462=0,AND(C3462&gt;0,Paths!$E$321&gt;(C3462-1)*12,Paths!$E$321&lt;=C3462*12)),Paths!$H$321,0),"n.a."))</f>
        <v>0</v>
      </c>
      <c r="K3462" s="16">
        <f>IF(NOT(Paths!$C$321=1),0,IF(Paths!$P$321="Complete",IF(IF(Paths!$O$321=0,C3462=0,AND(C3462&gt;0,Paths!$O$321&gt;(C3462-1)*12,Paths!$O$321&lt;=C3462*12)),Paths!$N$321,0),"n.a."))</f>
        <v>0</v>
      </c>
      <c r="L3462" s="16">
        <f>IF(NOT(Paths!$C$321=1),0,IF(Paths!$P$321="Complete",IF(C3462=10,Paths!$I$321,0),"n.a."))</f>
        <v>0</v>
      </c>
      <c r="M3462" s="16">
        <f>IF(NOT(Paths!$C$321=1),0,IF(Paths!$P$321="Complete",IF(AND(Paths!$D$321="EV",Paths!$E$321&lt;120,Paths!$E$321+'Operating costs'!$B$65&gt;Paths!$E$321,Paths!$E$321+'Operating costs'!$B$65&lt;=120,IF(Paths!$E$321+'Operating costs'!$B$65=0,C3462=0,AND(C3462&gt;0,Paths!$E$321+'Operating costs'!$B$65&gt;(C3462-1)*12,Paths!$E$321+'Operating costs'!$B$65&lt;=C3462*12))),'Operating costs'!$B$64,0)+IF(AND('Operating costs'!$B$67&gt;0,'Operating costs'!$B$67&lt;=120,OR(Paths!$D$321="ICE",'Operating costs'!$B$67&lt;=Paths!$E$321),IF('Operating costs'!$B$67=0,C3462=0,AND(C3462&gt;0,'Operating costs'!$B$67&gt;(C3462-1)*12,'Operating costs'!$B$67&lt;=C3462*12))),'Operating costs'!$B$66,0),"n.a."))</f>
        <v>0</v>
      </c>
      <c r="N3462" s="16">
        <f>IF(NOT(Paths!$C$321=1),0,IF(Paths!$P$321="Complete",SUM(G3462:I3462)-J3462-K3462-L3462+M3462+IF(C3462=0,Paths!$F$321,0)+IF(IF(Paths!$E$321=0,C3462=0,AND(C3462&gt;0,Paths!$E$321&gt;(C3462-1)*12,Paths!$E$321&lt;=C3462*12)),VLOOKUP(A3462,'Fleet register'!$A$7:$S$106,16,FALSE),0),"n.a."))</f>
        <v>0</v>
      </c>
      <c r="O3462" s="16">
        <f>IF(NOT(Paths!$C$321=1),0,IF(Paths!$P$321="Complete",N3462-IF(C3462=0,Paths!$F$321,0),"n.a."))</f>
        <v>0</v>
      </c>
      <c r="P3462" s="16">
        <f>IF(NOT(Paths!$C$321=1),0,IF(Paths!$P$321="Complete",O3462+L3462,"n.a."))</f>
        <v>0</v>
      </c>
      <c r="Q3462" s="16">
        <f>IF(NOT(Paths!$C$321=1),0,IF(Paths!$P$321="Complete",N3462*(1+'Operating costs'!$B$54)^-C3462,"n.a."))</f>
        <v>0</v>
      </c>
      <c r="R3462" s="16">
        <f>IF(NOT(Paths!$C$321=1),0,IF(Paths!$P$321="Complete",IF(AND(C3462=0,Paths!$E$321=0),I3462-J3462-K3462+VLOOKUP(A3462,'Fleet register'!$A$7:$S$106,15,FALSE)+VLOOKUP(A3462,'Fleet register'!$A$7:$S$106,16,FALSE),0),"n.a."))</f>
        <v>0</v>
      </c>
      <c r="S3462" s="1">
        <f>IF(NOT(Paths!$C$321=1),0,IF(Paths!$P$321="Complete",IF(C3462=0,0,Paths!$S$321*Paths!$R$321),"n.a."))</f>
        <v>0</v>
      </c>
      <c r="T3462" s="1">
        <f>IF(NOT(Paths!$C$321=1),0,IF(Paths!$P$321="Complete",IF(C3462=0,0,VLOOKUP(A3462,'Fleet register'!$A$7:$S$106,9,FALSE)*Paths!$R$321),"n.a."))</f>
        <v>0</v>
      </c>
    </row>
    <row r="3463" spans="1:20" ht="24" customHeight="1">
      <c r="A3463" s="1" t="str">
        <f>Paths!$A$321</f>
        <v>T079</v>
      </c>
      <c r="B3463" s="1">
        <f>Paths!$B$321</f>
        <v>2</v>
      </c>
      <c r="C3463" s="1">
        <v>2</v>
      </c>
      <c r="D3463" s="1">
        <v>321</v>
      </c>
      <c r="E3463" s="1">
        <f>IF(OR(Paths!$C$321=0,C3463=0),0,MAX(0,MIN(C3463*12,Paths!$E$321)-(C3463-1)*12))</f>
        <v>0</v>
      </c>
      <c r="F3463" s="1">
        <f>IF(OR(Paths!$C$321=0,C3463=0),0,12-E3463)</f>
        <v>0</v>
      </c>
      <c r="G3463" s="16">
        <f>IF(NOT(Paths!$C$321=1),0,IF(Paths!$P$321="Complete",E3463/12*(Paths!$J$321*(1+'Operating costs'!$B$51)^MAX(0,C3463-1)+Paths!$K$321*(1+'Operating costs'!$B$53)^MAX(0,C3463-1)),"n.a."))</f>
        <v>0</v>
      </c>
      <c r="H3463" s="16">
        <f>IF(NOT(Paths!$C$321=1),0,IF(Paths!$P$321="Complete",F3463/12*(Paths!$L$321*(1+IF(Paths!$D$321="EV",'Operating costs'!$B$52,'Operating costs'!$B$51))^MAX(0,C3463-1)+Paths!$M$321*(1+'Operating costs'!$B$53)^MAX(0,C3463-1)),"n.a."))</f>
        <v>0</v>
      </c>
      <c r="I3463" s="16">
        <f>IF(NOT(Paths!$C$321=1),0,IF(Paths!$P$321="Complete",IF(IF(Paths!$E$321=0,C3463=0,AND(C3463&gt;0,Paths!$E$321&gt;(C3463-1)*12,Paths!$E$321&lt;=C3463*12)),Paths!$G$321,0),"n.a."))</f>
        <v>0</v>
      </c>
      <c r="J3463" s="16">
        <f>IF(NOT(Paths!$C$321=1),0,IF(Paths!$P$321="Complete",IF(IF(Paths!$E$321=0,C3463=0,AND(C3463&gt;0,Paths!$E$321&gt;(C3463-1)*12,Paths!$E$321&lt;=C3463*12)),Paths!$H$321,0),"n.a."))</f>
        <v>0</v>
      </c>
      <c r="K3463" s="16">
        <f>IF(NOT(Paths!$C$321=1),0,IF(Paths!$P$321="Complete",IF(IF(Paths!$O$321=0,C3463=0,AND(C3463&gt;0,Paths!$O$321&gt;(C3463-1)*12,Paths!$O$321&lt;=C3463*12)),Paths!$N$321,0),"n.a."))</f>
        <v>0</v>
      </c>
      <c r="L3463" s="16">
        <f>IF(NOT(Paths!$C$321=1),0,IF(Paths!$P$321="Complete",IF(C3463=10,Paths!$I$321,0),"n.a."))</f>
        <v>0</v>
      </c>
      <c r="M3463" s="16">
        <f>IF(NOT(Paths!$C$321=1),0,IF(Paths!$P$321="Complete",IF(AND(Paths!$D$321="EV",Paths!$E$321&lt;120,Paths!$E$321+'Operating costs'!$B$65&gt;Paths!$E$321,Paths!$E$321+'Operating costs'!$B$65&lt;=120,IF(Paths!$E$321+'Operating costs'!$B$65=0,C3463=0,AND(C3463&gt;0,Paths!$E$321+'Operating costs'!$B$65&gt;(C3463-1)*12,Paths!$E$321+'Operating costs'!$B$65&lt;=C3463*12))),'Operating costs'!$B$64,0)+IF(AND('Operating costs'!$B$67&gt;0,'Operating costs'!$B$67&lt;=120,OR(Paths!$D$321="ICE",'Operating costs'!$B$67&lt;=Paths!$E$321),IF('Operating costs'!$B$67=0,C3463=0,AND(C3463&gt;0,'Operating costs'!$B$67&gt;(C3463-1)*12,'Operating costs'!$B$67&lt;=C3463*12))),'Operating costs'!$B$66,0),"n.a."))</f>
        <v>0</v>
      </c>
      <c r="N3463" s="16">
        <f>IF(NOT(Paths!$C$321=1),0,IF(Paths!$P$321="Complete",SUM(G3463:I3463)-J3463-K3463-L3463+M3463+IF(C3463=0,Paths!$F$321,0)+IF(IF(Paths!$E$321=0,C3463=0,AND(C3463&gt;0,Paths!$E$321&gt;(C3463-1)*12,Paths!$E$321&lt;=C3463*12)),VLOOKUP(A3463,'Fleet register'!$A$7:$S$106,16,FALSE),0),"n.a."))</f>
        <v>0</v>
      </c>
      <c r="O3463" s="16">
        <f>IF(NOT(Paths!$C$321=1),0,IF(Paths!$P$321="Complete",N3463-IF(C3463=0,Paths!$F$321,0),"n.a."))</f>
        <v>0</v>
      </c>
      <c r="P3463" s="16">
        <f>IF(NOT(Paths!$C$321=1),0,IF(Paths!$P$321="Complete",O3463+L3463,"n.a."))</f>
        <v>0</v>
      </c>
      <c r="Q3463" s="16">
        <f>IF(NOT(Paths!$C$321=1),0,IF(Paths!$P$321="Complete",N3463*(1+'Operating costs'!$B$54)^-C3463,"n.a."))</f>
        <v>0</v>
      </c>
      <c r="R3463" s="16">
        <f>IF(NOT(Paths!$C$321=1),0,IF(Paths!$P$321="Complete",IF(AND(C3463=0,Paths!$E$321=0),I3463-J3463-K3463+VLOOKUP(A3463,'Fleet register'!$A$7:$S$106,15,FALSE)+VLOOKUP(A3463,'Fleet register'!$A$7:$S$106,16,FALSE),0),"n.a."))</f>
        <v>0</v>
      </c>
      <c r="S3463" s="1">
        <f>IF(NOT(Paths!$C$321=1),0,IF(Paths!$P$321="Complete",IF(C3463=0,0,Paths!$S$321*Paths!$R$321),"n.a."))</f>
        <v>0</v>
      </c>
      <c r="T3463" s="1">
        <f>IF(NOT(Paths!$C$321=1),0,IF(Paths!$P$321="Complete",IF(C3463=0,0,VLOOKUP(A3463,'Fleet register'!$A$7:$S$106,9,FALSE)*Paths!$R$321),"n.a."))</f>
        <v>0</v>
      </c>
    </row>
    <row r="3464" spans="1:20" ht="24" customHeight="1">
      <c r="A3464" s="1" t="str">
        <f>Paths!$A$321</f>
        <v>T079</v>
      </c>
      <c r="B3464" s="1">
        <f>Paths!$B$321</f>
        <v>2</v>
      </c>
      <c r="C3464" s="1">
        <v>3</v>
      </c>
      <c r="D3464" s="1">
        <v>321</v>
      </c>
      <c r="E3464" s="1">
        <f>IF(OR(Paths!$C$321=0,C3464=0),0,MAX(0,MIN(C3464*12,Paths!$E$321)-(C3464-1)*12))</f>
        <v>0</v>
      </c>
      <c r="F3464" s="1">
        <f>IF(OR(Paths!$C$321=0,C3464=0),0,12-E3464)</f>
        <v>0</v>
      </c>
      <c r="G3464" s="16">
        <f>IF(NOT(Paths!$C$321=1),0,IF(Paths!$P$321="Complete",E3464/12*(Paths!$J$321*(1+'Operating costs'!$B$51)^MAX(0,C3464-1)+Paths!$K$321*(1+'Operating costs'!$B$53)^MAX(0,C3464-1)),"n.a."))</f>
        <v>0</v>
      </c>
      <c r="H3464" s="16">
        <f>IF(NOT(Paths!$C$321=1),0,IF(Paths!$P$321="Complete",F3464/12*(Paths!$L$321*(1+IF(Paths!$D$321="EV",'Operating costs'!$B$52,'Operating costs'!$B$51))^MAX(0,C3464-1)+Paths!$M$321*(1+'Operating costs'!$B$53)^MAX(0,C3464-1)),"n.a."))</f>
        <v>0</v>
      </c>
      <c r="I3464" s="16">
        <f>IF(NOT(Paths!$C$321=1),0,IF(Paths!$P$321="Complete",IF(IF(Paths!$E$321=0,C3464=0,AND(C3464&gt;0,Paths!$E$321&gt;(C3464-1)*12,Paths!$E$321&lt;=C3464*12)),Paths!$G$321,0),"n.a."))</f>
        <v>0</v>
      </c>
      <c r="J3464" s="16">
        <f>IF(NOT(Paths!$C$321=1),0,IF(Paths!$P$321="Complete",IF(IF(Paths!$E$321=0,C3464=0,AND(C3464&gt;0,Paths!$E$321&gt;(C3464-1)*12,Paths!$E$321&lt;=C3464*12)),Paths!$H$321,0),"n.a."))</f>
        <v>0</v>
      </c>
      <c r="K3464" s="16">
        <f>IF(NOT(Paths!$C$321=1),0,IF(Paths!$P$321="Complete",IF(IF(Paths!$O$321=0,C3464=0,AND(C3464&gt;0,Paths!$O$321&gt;(C3464-1)*12,Paths!$O$321&lt;=C3464*12)),Paths!$N$321,0),"n.a."))</f>
        <v>0</v>
      </c>
      <c r="L3464" s="16">
        <f>IF(NOT(Paths!$C$321=1),0,IF(Paths!$P$321="Complete",IF(C3464=10,Paths!$I$321,0),"n.a."))</f>
        <v>0</v>
      </c>
      <c r="M3464" s="16">
        <f>IF(NOT(Paths!$C$321=1),0,IF(Paths!$P$321="Complete",IF(AND(Paths!$D$321="EV",Paths!$E$321&lt;120,Paths!$E$321+'Operating costs'!$B$65&gt;Paths!$E$321,Paths!$E$321+'Operating costs'!$B$65&lt;=120,IF(Paths!$E$321+'Operating costs'!$B$65=0,C3464=0,AND(C3464&gt;0,Paths!$E$321+'Operating costs'!$B$65&gt;(C3464-1)*12,Paths!$E$321+'Operating costs'!$B$65&lt;=C3464*12))),'Operating costs'!$B$64,0)+IF(AND('Operating costs'!$B$67&gt;0,'Operating costs'!$B$67&lt;=120,OR(Paths!$D$321="ICE",'Operating costs'!$B$67&lt;=Paths!$E$321),IF('Operating costs'!$B$67=0,C3464=0,AND(C3464&gt;0,'Operating costs'!$B$67&gt;(C3464-1)*12,'Operating costs'!$B$67&lt;=C3464*12))),'Operating costs'!$B$66,0),"n.a."))</f>
        <v>0</v>
      </c>
      <c r="N3464" s="16">
        <f>IF(NOT(Paths!$C$321=1),0,IF(Paths!$P$321="Complete",SUM(G3464:I3464)-J3464-K3464-L3464+M3464+IF(C3464=0,Paths!$F$321,0)+IF(IF(Paths!$E$321=0,C3464=0,AND(C3464&gt;0,Paths!$E$321&gt;(C3464-1)*12,Paths!$E$321&lt;=C3464*12)),VLOOKUP(A3464,'Fleet register'!$A$7:$S$106,16,FALSE),0),"n.a."))</f>
        <v>0</v>
      </c>
      <c r="O3464" s="16">
        <f>IF(NOT(Paths!$C$321=1),0,IF(Paths!$P$321="Complete",N3464-IF(C3464=0,Paths!$F$321,0),"n.a."))</f>
        <v>0</v>
      </c>
      <c r="P3464" s="16">
        <f>IF(NOT(Paths!$C$321=1),0,IF(Paths!$P$321="Complete",O3464+L3464,"n.a."))</f>
        <v>0</v>
      </c>
      <c r="Q3464" s="16">
        <f>IF(NOT(Paths!$C$321=1),0,IF(Paths!$P$321="Complete",N3464*(1+'Operating costs'!$B$54)^-C3464,"n.a."))</f>
        <v>0</v>
      </c>
      <c r="R3464" s="16">
        <f>IF(NOT(Paths!$C$321=1),0,IF(Paths!$P$321="Complete",IF(AND(C3464=0,Paths!$E$321=0),I3464-J3464-K3464+VLOOKUP(A3464,'Fleet register'!$A$7:$S$106,15,FALSE)+VLOOKUP(A3464,'Fleet register'!$A$7:$S$106,16,FALSE),0),"n.a."))</f>
        <v>0</v>
      </c>
      <c r="S3464" s="1">
        <f>IF(NOT(Paths!$C$321=1),0,IF(Paths!$P$321="Complete",IF(C3464=0,0,Paths!$S$321*Paths!$R$321),"n.a."))</f>
        <v>0</v>
      </c>
      <c r="T3464" s="1">
        <f>IF(NOT(Paths!$C$321=1),0,IF(Paths!$P$321="Complete",IF(C3464=0,0,VLOOKUP(A3464,'Fleet register'!$A$7:$S$106,9,FALSE)*Paths!$R$321),"n.a."))</f>
        <v>0</v>
      </c>
    </row>
    <row r="3465" spans="1:20" ht="24" customHeight="1">
      <c r="A3465" s="1" t="str">
        <f>Paths!$A$321</f>
        <v>T079</v>
      </c>
      <c r="B3465" s="1">
        <f>Paths!$B$321</f>
        <v>2</v>
      </c>
      <c r="C3465" s="1">
        <v>4</v>
      </c>
      <c r="D3465" s="1">
        <v>321</v>
      </c>
      <c r="E3465" s="1">
        <f>IF(OR(Paths!$C$321=0,C3465=0),0,MAX(0,MIN(C3465*12,Paths!$E$321)-(C3465-1)*12))</f>
        <v>0</v>
      </c>
      <c r="F3465" s="1">
        <f>IF(OR(Paths!$C$321=0,C3465=0),0,12-E3465)</f>
        <v>0</v>
      </c>
      <c r="G3465" s="16">
        <f>IF(NOT(Paths!$C$321=1),0,IF(Paths!$P$321="Complete",E3465/12*(Paths!$J$321*(1+'Operating costs'!$B$51)^MAX(0,C3465-1)+Paths!$K$321*(1+'Operating costs'!$B$53)^MAX(0,C3465-1)),"n.a."))</f>
        <v>0</v>
      </c>
      <c r="H3465" s="16">
        <f>IF(NOT(Paths!$C$321=1),0,IF(Paths!$P$321="Complete",F3465/12*(Paths!$L$321*(1+IF(Paths!$D$321="EV",'Operating costs'!$B$52,'Operating costs'!$B$51))^MAX(0,C3465-1)+Paths!$M$321*(1+'Operating costs'!$B$53)^MAX(0,C3465-1)),"n.a."))</f>
        <v>0</v>
      </c>
      <c r="I3465" s="16">
        <f>IF(NOT(Paths!$C$321=1),0,IF(Paths!$P$321="Complete",IF(IF(Paths!$E$321=0,C3465=0,AND(C3465&gt;0,Paths!$E$321&gt;(C3465-1)*12,Paths!$E$321&lt;=C3465*12)),Paths!$G$321,0),"n.a."))</f>
        <v>0</v>
      </c>
      <c r="J3465" s="16">
        <f>IF(NOT(Paths!$C$321=1),0,IF(Paths!$P$321="Complete",IF(IF(Paths!$E$321=0,C3465=0,AND(C3465&gt;0,Paths!$E$321&gt;(C3465-1)*12,Paths!$E$321&lt;=C3465*12)),Paths!$H$321,0),"n.a."))</f>
        <v>0</v>
      </c>
      <c r="K3465" s="16">
        <f>IF(NOT(Paths!$C$321=1),0,IF(Paths!$P$321="Complete",IF(IF(Paths!$O$321=0,C3465=0,AND(C3465&gt;0,Paths!$O$321&gt;(C3465-1)*12,Paths!$O$321&lt;=C3465*12)),Paths!$N$321,0),"n.a."))</f>
        <v>0</v>
      </c>
      <c r="L3465" s="16">
        <f>IF(NOT(Paths!$C$321=1),0,IF(Paths!$P$321="Complete",IF(C3465=10,Paths!$I$321,0),"n.a."))</f>
        <v>0</v>
      </c>
      <c r="M3465" s="16">
        <f>IF(NOT(Paths!$C$321=1),0,IF(Paths!$P$321="Complete",IF(AND(Paths!$D$321="EV",Paths!$E$321&lt;120,Paths!$E$321+'Operating costs'!$B$65&gt;Paths!$E$321,Paths!$E$321+'Operating costs'!$B$65&lt;=120,IF(Paths!$E$321+'Operating costs'!$B$65=0,C3465=0,AND(C3465&gt;0,Paths!$E$321+'Operating costs'!$B$65&gt;(C3465-1)*12,Paths!$E$321+'Operating costs'!$B$65&lt;=C3465*12))),'Operating costs'!$B$64,0)+IF(AND('Operating costs'!$B$67&gt;0,'Operating costs'!$B$67&lt;=120,OR(Paths!$D$321="ICE",'Operating costs'!$B$67&lt;=Paths!$E$321),IF('Operating costs'!$B$67=0,C3465=0,AND(C3465&gt;0,'Operating costs'!$B$67&gt;(C3465-1)*12,'Operating costs'!$B$67&lt;=C3465*12))),'Operating costs'!$B$66,0),"n.a."))</f>
        <v>0</v>
      </c>
      <c r="N3465" s="16">
        <f>IF(NOT(Paths!$C$321=1),0,IF(Paths!$P$321="Complete",SUM(G3465:I3465)-J3465-K3465-L3465+M3465+IF(C3465=0,Paths!$F$321,0)+IF(IF(Paths!$E$321=0,C3465=0,AND(C3465&gt;0,Paths!$E$321&gt;(C3465-1)*12,Paths!$E$321&lt;=C3465*12)),VLOOKUP(A3465,'Fleet register'!$A$7:$S$106,16,FALSE),0),"n.a."))</f>
        <v>0</v>
      </c>
      <c r="O3465" s="16">
        <f>IF(NOT(Paths!$C$321=1),0,IF(Paths!$P$321="Complete",N3465-IF(C3465=0,Paths!$F$321,0),"n.a."))</f>
        <v>0</v>
      </c>
      <c r="P3465" s="16">
        <f>IF(NOT(Paths!$C$321=1),0,IF(Paths!$P$321="Complete",O3465+L3465,"n.a."))</f>
        <v>0</v>
      </c>
      <c r="Q3465" s="16">
        <f>IF(NOT(Paths!$C$321=1),0,IF(Paths!$P$321="Complete",N3465*(1+'Operating costs'!$B$54)^-C3465,"n.a."))</f>
        <v>0</v>
      </c>
      <c r="R3465" s="16">
        <f>IF(NOT(Paths!$C$321=1),0,IF(Paths!$P$321="Complete",IF(AND(C3465=0,Paths!$E$321=0),I3465-J3465-K3465+VLOOKUP(A3465,'Fleet register'!$A$7:$S$106,15,FALSE)+VLOOKUP(A3465,'Fleet register'!$A$7:$S$106,16,FALSE),0),"n.a."))</f>
        <v>0</v>
      </c>
      <c r="S3465" s="1">
        <f>IF(NOT(Paths!$C$321=1),0,IF(Paths!$P$321="Complete",IF(C3465=0,0,Paths!$S$321*Paths!$R$321),"n.a."))</f>
        <v>0</v>
      </c>
      <c r="T3465" s="1">
        <f>IF(NOT(Paths!$C$321=1),0,IF(Paths!$P$321="Complete",IF(C3465=0,0,VLOOKUP(A3465,'Fleet register'!$A$7:$S$106,9,FALSE)*Paths!$R$321),"n.a."))</f>
        <v>0</v>
      </c>
    </row>
    <row r="3466" spans="1:20" ht="24" customHeight="1">
      <c r="A3466" s="1" t="str">
        <f>Paths!$A$321</f>
        <v>T079</v>
      </c>
      <c r="B3466" s="1">
        <f>Paths!$B$321</f>
        <v>2</v>
      </c>
      <c r="C3466" s="1">
        <v>5</v>
      </c>
      <c r="D3466" s="1">
        <v>321</v>
      </c>
      <c r="E3466" s="1">
        <f>IF(OR(Paths!$C$321=0,C3466=0),0,MAX(0,MIN(C3466*12,Paths!$E$321)-(C3466-1)*12))</f>
        <v>0</v>
      </c>
      <c r="F3466" s="1">
        <f>IF(OR(Paths!$C$321=0,C3466=0),0,12-E3466)</f>
        <v>0</v>
      </c>
      <c r="G3466" s="16">
        <f>IF(NOT(Paths!$C$321=1),0,IF(Paths!$P$321="Complete",E3466/12*(Paths!$J$321*(1+'Operating costs'!$B$51)^MAX(0,C3466-1)+Paths!$K$321*(1+'Operating costs'!$B$53)^MAX(0,C3466-1)),"n.a."))</f>
        <v>0</v>
      </c>
      <c r="H3466" s="16">
        <f>IF(NOT(Paths!$C$321=1),0,IF(Paths!$P$321="Complete",F3466/12*(Paths!$L$321*(1+IF(Paths!$D$321="EV",'Operating costs'!$B$52,'Operating costs'!$B$51))^MAX(0,C3466-1)+Paths!$M$321*(1+'Operating costs'!$B$53)^MAX(0,C3466-1)),"n.a."))</f>
        <v>0</v>
      </c>
      <c r="I3466" s="16">
        <f>IF(NOT(Paths!$C$321=1),0,IF(Paths!$P$321="Complete",IF(IF(Paths!$E$321=0,C3466=0,AND(C3466&gt;0,Paths!$E$321&gt;(C3466-1)*12,Paths!$E$321&lt;=C3466*12)),Paths!$G$321,0),"n.a."))</f>
        <v>0</v>
      </c>
      <c r="J3466" s="16">
        <f>IF(NOT(Paths!$C$321=1),0,IF(Paths!$P$321="Complete",IF(IF(Paths!$E$321=0,C3466=0,AND(C3466&gt;0,Paths!$E$321&gt;(C3466-1)*12,Paths!$E$321&lt;=C3466*12)),Paths!$H$321,0),"n.a."))</f>
        <v>0</v>
      </c>
      <c r="K3466" s="16">
        <f>IF(NOT(Paths!$C$321=1),0,IF(Paths!$P$321="Complete",IF(IF(Paths!$O$321=0,C3466=0,AND(C3466&gt;0,Paths!$O$321&gt;(C3466-1)*12,Paths!$O$321&lt;=C3466*12)),Paths!$N$321,0),"n.a."))</f>
        <v>0</v>
      </c>
      <c r="L3466" s="16">
        <f>IF(NOT(Paths!$C$321=1),0,IF(Paths!$P$321="Complete",IF(C3466=10,Paths!$I$321,0),"n.a."))</f>
        <v>0</v>
      </c>
      <c r="M3466" s="16">
        <f>IF(NOT(Paths!$C$321=1),0,IF(Paths!$P$321="Complete",IF(AND(Paths!$D$321="EV",Paths!$E$321&lt;120,Paths!$E$321+'Operating costs'!$B$65&gt;Paths!$E$321,Paths!$E$321+'Operating costs'!$B$65&lt;=120,IF(Paths!$E$321+'Operating costs'!$B$65=0,C3466=0,AND(C3466&gt;0,Paths!$E$321+'Operating costs'!$B$65&gt;(C3466-1)*12,Paths!$E$321+'Operating costs'!$B$65&lt;=C3466*12))),'Operating costs'!$B$64,0)+IF(AND('Operating costs'!$B$67&gt;0,'Operating costs'!$B$67&lt;=120,OR(Paths!$D$321="ICE",'Operating costs'!$B$67&lt;=Paths!$E$321),IF('Operating costs'!$B$67=0,C3466=0,AND(C3466&gt;0,'Operating costs'!$B$67&gt;(C3466-1)*12,'Operating costs'!$B$67&lt;=C3466*12))),'Operating costs'!$B$66,0),"n.a."))</f>
        <v>0</v>
      </c>
      <c r="N3466" s="16">
        <f>IF(NOT(Paths!$C$321=1),0,IF(Paths!$P$321="Complete",SUM(G3466:I3466)-J3466-K3466-L3466+M3466+IF(C3466=0,Paths!$F$321,0)+IF(IF(Paths!$E$321=0,C3466=0,AND(C3466&gt;0,Paths!$E$321&gt;(C3466-1)*12,Paths!$E$321&lt;=C3466*12)),VLOOKUP(A3466,'Fleet register'!$A$7:$S$106,16,FALSE),0),"n.a."))</f>
        <v>0</v>
      </c>
      <c r="O3466" s="16">
        <f>IF(NOT(Paths!$C$321=1),0,IF(Paths!$P$321="Complete",N3466-IF(C3466=0,Paths!$F$321,0),"n.a."))</f>
        <v>0</v>
      </c>
      <c r="P3466" s="16">
        <f>IF(NOT(Paths!$C$321=1),0,IF(Paths!$P$321="Complete",O3466+L3466,"n.a."))</f>
        <v>0</v>
      </c>
      <c r="Q3466" s="16">
        <f>IF(NOT(Paths!$C$321=1),0,IF(Paths!$P$321="Complete",N3466*(1+'Operating costs'!$B$54)^-C3466,"n.a."))</f>
        <v>0</v>
      </c>
      <c r="R3466" s="16">
        <f>IF(NOT(Paths!$C$321=1),0,IF(Paths!$P$321="Complete",IF(AND(C3466=0,Paths!$E$321=0),I3466-J3466-K3466+VLOOKUP(A3466,'Fleet register'!$A$7:$S$106,15,FALSE)+VLOOKUP(A3466,'Fleet register'!$A$7:$S$106,16,FALSE),0),"n.a."))</f>
        <v>0</v>
      </c>
      <c r="S3466" s="1">
        <f>IF(NOT(Paths!$C$321=1),0,IF(Paths!$P$321="Complete",IF(C3466=0,0,Paths!$S$321*Paths!$R$321),"n.a."))</f>
        <v>0</v>
      </c>
      <c r="T3466" s="1">
        <f>IF(NOT(Paths!$C$321=1),0,IF(Paths!$P$321="Complete",IF(C3466=0,0,VLOOKUP(A3466,'Fleet register'!$A$7:$S$106,9,FALSE)*Paths!$R$321),"n.a."))</f>
        <v>0</v>
      </c>
    </row>
    <row r="3467" spans="1:20" ht="24" customHeight="1">
      <c r="A3467" s="1" t="str">
        <f>Paths!$A$321</f>
        <v>T079</v>
      </c>
      <c r="B3467" s="1">
        <f>Paths!$B$321</f>
        <v>2</v>
      </c>
      <c r="C3467" s="1">
        <v>6</v>
      </c>
      <c r="D3467" s="1">
        <v>321</v>
      </c>
      <c r="E3467" s="1">
        <f>IF(OR(Paths!$C$321=0,C3467=0),0,MAX(0,MIN(C3467*12,Paths!$E$321)-(C3467-1)*12))</f>
        <v>0</v>
      </c>
      <c r="F3467" s="1">
        <f>IF(OR(Paths!$C$321=0,C3467=0),0,12-E3467)</f>
        <v>0</v>
      </c>
      <c r="G3467" s="16">
        <f>IF(NOT(Paths!$C$321=1),0,IF(Paths!$P$321="Complete",E3467/12*(Paths!$J$321*(1+'Operating costs'!$B$51)^MAX(0,C3467-1)+Paths!$K$321*(1+'Operating costs'!$B$53)^MAX(0,C3467-1)),"n.a."))</f>
        <v>0</v>
      </c>
      <c r="H3467" s="16">
        <f>IF(NOT(Paths!$C$321=1),0,IF(Paths!$P$321="Complete",F3467/12*(Paths!$L$321*(1+IF(Paths!$D$321="EV",'Operating costs'!$B$52,'Operating costs'!$B$51))^MAX(0,C3467-1)+Paths!$M$321*(1+'Operating costs'!$B$53)^MAX(0,C3467-1)),"n.a."))</f>
        <v>0</v>
      </c>
      <c r="I3467" s="16">
        <f>IF(NOT(Paths!$C$321=1),0,IF(Paths!$P$321="Complete",IF(IF(Paths!$E$321=0,C3467=0,AND(C3467&gt;0,Paths!$E$321&gt;(C3467-1)*12,Paths!$E$321&lt;=C3467*12)),Paths!$G$321,0),"n.a."))</f>
        <v>0</v>
      </c>
      <c r="J3467" s="16">
        <f>IF(NOT(Paths!$C$321=1),0,IF(Paths!$P$321="Complete",IF(IF(Paths!$E$321=0,C3467=0,AND(C3467&gt;0,Paths!$E$321&gt;(C3467-1)*12,Paths!$E$321&lt;=C3467*12)),Paths!$H$321,0),"n.a."))</f>
        <v>0</v>
      </c>
      <c r="K3467" s="16">
        <f>IF(NOT(Paths!$C$321=1),0,IF(Paths!$P$321="Complete",IF(IF(Paths!$O$321=0,C3467=0,AND(C3467&gt;0,Paths!$O$321&gt;(C3467-1)*12,Paths!$O$321&lt;=C3467*12)),Paths!$N$321,0),"n.a."))</f>
        <v>0</v>
      </c>
      <c r="L3467" s="16">
        <f>IF(NOT(Paths!$C$321=1),0,IF(Paths!$P$321="Complete",IF(C3467=10,Paths!$I$321,0),"n.a."))</f>
        <v>0</v>
      </c>
      <c r="M3467" s="16">
        <f>IF(NOT(Paths!$C$321=1),0,IF(Paths!$P$321="Complete",IF(AND(Paths!$D$321="EV",Paths!$E$321&lt;120,Paths!$E$321+'Operating costs'!$B$65&gt;Paths!$E$321,Paths!$E$321+'Operating costs'!$B$65&lt;=120,IF(Paths!$E$321+'Operating costs'!$B$65=0,C3467=0,AND(C3467&gt;0,Paths!$E$321+'Operating costs'!$B$65&gt;(C3467-1)*12,Paths!$E$321+'Operating costs'!$B$65&lt;=C3467*12))),'Operating costs'!$B$64,0)+IF(AND('Operating costs'!$B$67&gt;0,'Operating costs'!$B$67&lt;=120,OR(Paths!$D$321="ICE",'Operating costs'!$B$67&lt;=Paths!$E$321),IF('Operating costs'!$B$67=0,C3467=0,AND(C3467&gt;0,'Operating costs'!$B$67&gt;(C3467-1)*12,'Operating costs'!$B$67&lt;=C3467*12))),'Operating costs'!$B$66,0),"n.a."))</f>
        <v>0</v>
      </c>
      <c r="N3467" s="16">
        <f>IF(NOT(Paths!$C$321=1),0,IF(Paths!$P$321="Complete",SUM(G3467:I3467)-J3467-K3467-L3467+M3467+IF(C3467=0,Paths!$F$321,0)+IF(IF(Paths!$E$321=0,C3467=0,AND(C3467&gt;0,Paths!$E$321&gt;(C3467-1)*12,Paths!$E$321&lt;=C3467*12)),VLOOKUP(A3467,'Fleet register'!$A$7:$S$106,16,FALSE),0),"n.a."))</f>
        <v>0</v>
      </c>
      <c r="O3467" s="16">
        <f>IF(NOT(Paths!$C$321=1),0,IF(Paths!$P$321="Complete",N3467-IF(C3467=0,Paths!$F$321,0),"n.a."))</f>
        <v>0</v>
      </c>
      <c r="P3467" s="16">
        <f>IF(NOT(Paths!$C$321=1),0,IF(Paths!$P$321="Complete",O3467+L3467,"n.a."))</f>
        <v>0</v>
      </c>
      <c r="Q3467" s="16">
        <f>IF(NOT(Paths!$C$321=1),0,IF(Paths!$P$321="Complete",N3467*(1+'Operating costs'!$B$54)^-C3467,"n.a."))</f>
        <v>0</v>
      </c>
      <c r="R3467" s="16">
        <f>IF(NOT(Paths!$C$321=1),0,IF(Paths!$P$321="Complete",IF(AND(C3467=0,Paths!$E$321=0),I3467-J3467-K3467+VLOOKUP(A3467,'Fleet register'!$A$7:$S$106,15,FALSE)+VLOOKUP(A3467,'Fleet register'!$A$7:$S$106,16,FALSE),0),"n.a."))</f>
        <v>0</v>
      </c>
      <c r="S3467" s="1">
        <f>IF(NOT(Paths!$C$321=1),0,IF(Paths!$P$321="Complete",IF(C3467=0,0,Paths!$S$321*Paths!$R$321),"n.a."))</f>
        <v>0</v>
      </c>
      <c r="T3467" s="1">
        <f>IF(NOT(Paths!$C$321=1),0,IF(Paths!$P$321="Complete",IF(C3467=0,0,VLOOKUP(A3467,'Fleet register'!$A$7:$S$106,9,FALSE)*Paths!$R$321),"n.a."))</f>
        <v>0</v>
      </c>
    </row>
    <row r="3468" spans="1:20" ht="24" customHeight="1">
      <c r="A3468" s="1" t="str">
        <f>Paths!$A$321</f>
        <v>T079</v>
      </c>
      <c r="B3468" s="1">
        <f>Paths!$B$321</f>
        <v>2</v>
      </c>
      <c r="C3468" s="1">
        <v>7</v>
      </c>
      <c r="D3468" s="1">
        <v>321</v>
      </c>
      <c r="E3468" s="1">
        <f>IF(OR(Paths!$C$321=0,C3468=0),0,MAX(0,MIN(C3468*12,Paths!$E$321)-(C3468-1)*12))</f>
        <v>0</v>
      </c>
      <c r="F3468" s="1">
        <f>IF(OR(Paths!$C$321=0,C3468=0),0,12-E3468)</f>
        <v>0</v>
      </c>
      <c r="G3468" s="16">
        <f>IF(NOT(Paths!$C$321=1),0,IF(Paths!$P$321="Complete",E3468/12*(Paths!$J$321*(1+'Operating costs'!$B$51)^MAX(0,C3468-1)+Paths!$K$321*(1+'Operating costs'!$B$53)^MAX(0,C3468-1)),"n.a."))</f>
        <v>0</v>
      </c>
      <c r="H3468" s="16">
        <f>IF(NOT(Paths!$C$321=1),0,IF(Paths!$P$321="Complete",F3468/12*(Paths!$L$321*(1+IF(Paths!$D$321="EV",'Operating costs'!$B$52,'Operating costs'!$B$51))^MAX(0,C3468-1)+Paths!$M$321*(1+'Operating costs'!$B$53)^MAX(0,C3468-1)),"n.a."))</f>
        <v>0</v>
      </c>
      <c r="I3468" s="16">
        <f>IF(NOT(Paths!$C$321=1),0,IF(Paths!$P$321="Complete",IF(IF(Paths!$E$321=0,C3468=0,AND(C3468&gt;0,Paths!$E$321&gt;(C3468-1)*12,Paths!$E$321&lt;=C3468*12)),Paths!$G$321,0),"n.a."))</f>
        <v>0</v>
      </c>
      <c r="J3468" s="16">
        <f>IF(NOT(Paths!$C$321=1),0,IF(Paths!$P$321="Complete",IF(IF(Paths!$E$321=0,C3468=0,AND(C3468&gt;0,Paths!$E$321&gt;(C3468-1)*12,Paths!$E$321&lt;=C3468*12)),Paths!$H$321,0),"n.a."))</f>
        <v>0</v>
      </c>
      <c r="K3468" s="16">
        <f>IF(NOT(Paths!$C$321=1),0,IF(Paths!$P$321="Complete",IF(IF(Paths!$O$321=0,C3468=0,AND(C3468&gt;0,Paths!$O$321&gt;(C3468-1)*12,Paths!$O$321&lt;=C3468*12)),Paths!$N$321,0),"n.a."))</f>
        <v>0</v>
      </c>
      <c r="L3468" s="16">
        <f>IF(NOT(Paths!$C$321=1),0,IF(Paths!$P$321="Complete",IF(C3468=10,Paths!$I$321,0),"n.a."))</f>
        <v>0</v>
      </c>
      <c r="M3468" s="16">
        <f>IF(NOT(Paths!$C$321=1),0,IF(Paths!$P$321="Complete",IF(AND(Paths!$D$321="EV",Paths!$E$321&lt;120,Paths!$E$321+'Operating costs'!$B$65&gt;Paths!$E$321,Paths!$E$321+'Operating costs'!$B$65&lt;=120,IF(Paths!$E$321+'Operating costs'!$B$65=0,C3468=0,AND(C3468&gt;0,Paths!$E$321+'Operating costs'!$B$65&gt;(C3468-1)*12,Paths!$E$321+'Operating costs'!$B$65&lt;=C3468*12))),'Operating costs'!$B$64,0)+IF(AND('Operating costs'!$B$67&gt;0,'Operating costs'!$B$67&lt;=120,OR(Paths!$D$321="ICE",'Operating costs'!$B$67&lt;=Paths!$E$321),IF('Operating costs'!$B$67=0,C3468=0,AND(C3468&gt;0,'Operating costs'!$B$67&gt;(C3468-1)*12,'Operating costs'!$B$67&lt;=C3468*12))),'Operating costs'!$B$66,0),"n.a."))</f>
        <v>0</v>
      </c>
      <c r="N3468" s="16">
        <f>IF(NOT(Paths!$C$321=1),0,IF(Paths!$P$321="Complete",SUM(G3468:I3468)-J3468-K3468-L3468+M3468+IF(C3468=0,Paths!$F$321,0)+IF(IF(Paths!$E$321=0,C3468=0,AND(C3468&gt;0,Paths!$E$321&gt;(C3468-1)*12,Paths!$E$321&lt;=C3468*12)),VLOOKUP(A3468,'Fleet register'!$A$7:$S$106,16,FALSE),0),"n.a."))</f>
        <v>0</v>
      </c>
      <c r="O3468" s="16">
        <f>IF(NOT(Paths!$C$321=1),0,IF(Paths!$P$321="Complete",N3468-IF(C3468=0,Paths!$F$321,0),"n.a."))</f>
        <v>0</v>
      </c>
      <c r="P3468" s="16">
        <f>IF(NOT(Paths!$C$321=1),0,IF(Paths!$P$321="Complete",O3468+L3468,"n.a."))</f>
        <v>0</v>
      </c>
      <c r="Q3468" s="16">
        <f>IF(NOT(Paths!$C$321=1),0,IF(Paths!$P$321="Complete",N3468*(1+'Operating costs'!$B$54)^-C3468,"n.a."))</f>
        <v>0</v>
      </c>
      <c r="R3468" s="16">
        <f>IF(NOT(Paths!$C$321=1),0,IF(Paths!$P$321="Complete",IF(AND(C3468=0,Paths!$E$321=0),I3468-J3468-K3468+VLOOKUP(A3468,'Fleet register'!$A$7:$S$106,15,FALSE)+VLOOKUP(A3468,'Fleet register'!$A$7:$S$106,16,FALSE),0),"n.a."))</f>
        <v>0</v>
      </c>
      <c r="S3468" s="1">
        <f>IF(NOT(Paths!$C$321=1),0,IF(Paths!$P$321="Complete",IF(C3468=0,0,Paths!$S$321*Paths!$R$321),"n.a."))</f>
        <v>0</v>
      </c>
      <c r="T3468" s="1">
        <f>IF(NOT(Paths!$C$321=1),0,IF(Paths!$P$321="Complete",IF(C3468=0,0,VLOOKUP(A3468,'Fleet register'!$A$7:$S$106,9,FALSE)*Paths!$R$321),"n.a."))</f>
        <v>0</v>
      </c>
    </row>
    <row r="3469" spans="1:20" ht="24" customHeight="1">
      <c r="A3469" s="1" t="str">
        <f>Paths!$A$321</f>
        <v>T079</v>
      </c>
      <c r="B3469" s="1">
        <f>Paths!$B$321</f>
        <v>2</v>
      </c>
      <c r="C3469" s="1">
        <v>8</v>
      </c>
      <c r="D3469" s="1">
        <v>321</v>
      </c>
      <c r="E3469" s="1">
        <f>IF(OR(Paths!$C$321=0,C3469=0),0,MAX(0,MIN(C3469*12,Paths!$E$321)-(C3469-1)*12))</f>
        <v>0</v>
      </c>
      <c r="F3469" s="1">
        <f>IF(OR(Paths!$C$321=0,C3469=0),0,12-E3469)</f>
        <v>0</v>
      </c>
      <c r="G3469" s="16">
        <f>IF(NOT(Paths!$C$321=1),0,IF(Paths!$P$321="Complete",E3469/12*(Paths!$J$321*(1+'Operating costs'!$B$51)^MAX(0,C3469-1)+Paths!$K$321*(1+'Operating costs'!$B$53)^MAX(0,C3469-1)),"n.a."))</f>
        <v>0</v>
      </c>
      <c r="H3469" s="16">
        <f>IF(NOT(Paths!$C$321=1),0,IF(Paths!$P$321="Complete",F3469/12*(Paths!$L$321*(1+IF(Paths!$D$321="EV",'Operating costs'!$B$52,'Operating costs'!$B$51))^MAX(0,C3469-1)+Paths!$M$321*(1+'Operating costs'!$B$53)^MAX(0,C3469-1)),"n.a."))</f>
        <v>0</v>
      </c>
      <c r="I3469" s="16">
        <f>IF(NOT(Paths!$C$321=1),0,IF(Paths!$P$321="Complete",IF(IF(Paths!$E$321=0,C3469=0,AND(C3469&gt;0,Paths!$E$321&gt;(C3469-1)*12,Paths!$E$321&lt;=C3469*12)),Paths!$G$321,0),"n.a."))</f>
        <v>0</v>
      </c>
      <c r="J3469" s="16">
        <f>IF(NOT(Paths!$C$321=1),0,IF(Paths!$P$321="Complete",IF(IF(Paths!$E$321=0,C3469=0,AND(C3469&gt;0,Paths!$E$321&gt;(C3469-1)*12,Paths!$E$321&lt;=C3469*12)),Paths!$H$321,0),"n.a."))</f>
        <v>0</v>
      </c>
      <c r="K3469" s="16">
        <f>IF(NOT(Paths!$C$321=1),0,IF(Paths!$P$321="Complete",IF(IF(Paths!$O$321=0,C3469=0,AND(C3469&gt;0,Paths!$O$321&gt;(C3469-1)*12,Paths!$O$321&lt;=C3469*12)),Paths!$N$321,0),"n.a."))</f>
        <v>0</v>
      </c>
      <c r="L3469" s="16">
        <f>IF(NOT(Paths!$C$321=1),0,IF(Paths!$P$321="Complete",IF(C3469=10,Paths!$I$321,0),"n.a."))</f>
        <v>0</v>
      </c>
      <c r="M3469" s="16">
        <f>IF(NOT(Paths!$C$321=1),0,IF(Paths!$P$321="Complete",IF(AND(Paths!$D$321="EV",Paths!$E$321&lt;120,Paths!$E$321+'Operating costs'!$B$65&gt;Paths!$E$321,Paths!$E$321+'Operating costs'!$B$65&lt;=120,IF(Paths!$E$321+'Operating costs'!$B$65=0,C3469=0,AND(C3469&gt;0,Paths!$E$321+'Operating costs'!$B$65&gt;(C3469-1)*12,Paths!$E$321+'Operating costs'!$B$65&lt;=C3469*12))),'Operating costs'!$B$64,0)+IF(AND('Operating costs'!$B$67&gt;0,'Operating costs'!$B$67&lt;=120,OR(Paths!$D$321="ICE",'Operating costs'!$B$67&lt;=Paths!$E$321),IF('Operating costs'!$B$67=0,C3469=0,AND(C3469&gt;0,'Operating costs'!$B$67&gt;(C3469-1)*12,'Operating costs'!$B$67&lt;=C3469*12))),'Operating costs'!$B$66,0),"n.a."))</f>
        <v>0</v>
      </c>
      <c r="N3469" s="16">
        <f>IF(NOT(Paths!$C$321=1),0,IF(Paths!$P$321="Complete",SUM(G3469:I3469)-J3469-K3469-L3469+M3469+IF(C3469=0,Paths!$F$321,0)+IF(IF(Paths!$E$321=0,C3469=0,AND(C3469&gt;0,Paths!$E$321&gt;(C3469-1)*12,Paths!$E$321&lt;=C3469*12)),VLOOKUP(A3469,'Fleet register'!$A$7:$S$106,16,FALSE),0),"n.a."))</f>
        <v>0</v>
      </c>
      <c r="O3469" s="16">
        <f>IF(NOT(Paths!$C$321=1),0,IF(Paths!$P$321="Complete",N3469-IF(C3469=0,Paths!$F$321,0),"n.a."))</f>
        <v>0</v>
      </c>
      <c r="P3469" s="16">
        <f>IF(NOT(Paths!$C$321=1),0,IF(Paths!$P$321="Complete",O3469+L3469,"n.a."))</f>
        <v>0</v>
      </c>
      <c r="Q3469" s="16">
        <f>IF(NOT(Paths!$C$321=1),0,IF(Paths!$P$321="Complete",N3469*(1+'Operating costs'!$B$54)^-C3469,"n.a."))</f>
        <v>0</v>
      </c>
      <c r="R3469" s="16">
        <f>IF(NOT(Paths!$C$321=1),0,IF(Paths!$P$321="Complete",IF(AND(C3469=0,Paths!$E$321=0),I3469-J3469-K3469+VLOOKUP(A3469,'Fleet register'!$A$7:$S$106,15,FALSE)+VLOOKUP(A3469,'Fleet register'!$A$7:$S$106,16,FALSE),0),"n.a."))</f>
        <v>0</v>
      </c>
      <c r="S3469" s="1">
        <f>IF(NOT(Paths!$C$321=1),0,IF(Paths!$P$321="Complete",IF(C3469=0,0,Paths!$S$321*Paths!$R$321),"n.a."))</f>
        <v>0</v>
      </c>
      <c r="T3469" s="1">
        <f>IF(NOT(Paths!$C$321=1),0,IF(Paths!$P$321="Complete",IF(C3469=0,0,VLOOKUP(A3469,'Fleet register'!$A$7:$S$106,9,FALSE)*Paths!$R$321),"n.a."))</f>
        <v>0</v>
      </c>
    </row>
    <row r="3470" spans="1:20" ht="24" customHeight="1">
      <c r="A3470" s="1" t="str">
        <f>Paths!$A$321</f>
        <v>T079</v>
      </c>
      <c r="B3470" s="1">
        <f>Paths!$B$321</f>
        <v>2</v>
      </c>
      <c r="C3470" s="1">
        <v>9</v>
      </c>
      <c r="D3470" s="1">
        <v>321</v>
      </c>
      <c r="E3470" s="1">
        <f>IF(OR(Paths!$C$321=0,C3470=0),0,MAX(0,MIN(C3470*12,Paths!$E$321)-(C3470-1)*12))</f>
        <v>0</v>
      </c>
      <c r="F3470" s="1">
        <f>IF(OR(Paths!$C$321=0,C3470=0),0,12-E3470)</f>
        <v>0</v>
      </c>
      <c r="G3470" s="16">
        <f>IF(NOT(Paths!$C$321=1),0,IF(Paths!$P$321="Complete",E3470/12*(Paths!$J$321*(1+'Operating costs'!$B$51)^MAX(0,C3470-1)+Paths!$K$321*(1+'Operating costs'!$B$53)^MAX(0,C3470-1)),"n.a."))</f>
        <v>0</v>
      </c>
      <c r="H3470" s="16">
        <f>IF(NOT(Paths!$C$321=1),0,IF(Paths!$P$321="Complete",F3470/12*(Paths!$L$321*(1+IF(Paths!$D$321="EV",'Operating costs'!$B$52,'Operating costs'!$B$51))^MAX(0,C3470-1)+Paths!$M$321*(1+'Operating costs'!$B$53)^MAX(0,C3470-1)),"n.a."))</f>
        <v>0</v>
      </c>
      <c r="I3470" s="16">
        <f>IF(NOT(Paths!$C$321=1),0,IF(Paths!$P$321="Complete",IF(IF(Paths!$E$321=0,C3470=0,AND(C3470&gt;0,Paths!$E$321&gt;(C3470-1)*12,Paths!$E$321&lt;=C3470*12)),Paths!$G$321,0),"n.a."))</f>
        <v>0</v>
      </c>
      <c r="J3470" s="16">
        <f>IF(NOT(Paths!$C$321=1),0,IF(Paths!$P$321="Complete",IF(IF(Paths!$E$321=0,C3470=0,AND(C3470&gt;0,Paths!$E$321&gt;(C3470-1)*12,Paths!$E$321&lt;=C3470*12)),Paths!$H$321,0),"n.a."))</f>
        <v>0</v>
      </c>
      <c r="K3470" s="16">
        <f>IF(NOT(Paths!$C$321=1),0,IF(Paths!$P$321="Complete",IF(IF(Paths!$O$321=0,C3470=0,AND(C3470&gt;0,Paths!$O$321&gt;(C3470-1)*12,Paths!$O$321&lt;=C3470*12)),Paths!$N$321,0),"n.a."))</f>
        <v>0</v>
      </c>
      <c r="L3470" s="16">
        <f>IF(NOT(Paths!$C$321=1),0,IF(Paths!$P$321="Complete",IF(C3470=10,Paths!$I$321,0),"n.a."))</f>
        <v>0</v>
      </c>
      <c r="M3470" s="16">
        <f>IF(NOT(Paths!$C$321=1),0,IF(Paths!$P$321="Complete",IF(AND(Paths!$D$321="EV",Paths!$E$321&lt;120,Paths!$E$321+'Operating costs'!$B$65&gt;Paths!$E$321,Paths!$E$321+'Operating costs'!$B$65&lt;=120,IF(Paths!$E$321+'Operating costs'!$B$65=0,C3470=0,AND(C3470&gt;0,Paths!$E$321+'Operating costs'!$B$65&gt;(C3470-1)*12,Paths!$E$321+'Operating costs'!$B$65&lt;=C3470*12))),'Operating costs'!$B$64,0)+IF(AND('Operating costs'!$B$67&gt;0,'Operating costs'!$B$67&lt;=120,OR(Paths!$D$321="ICE",'Operating costs'!$B$67&lt;=Paths!$E$321),IF('Operating costs'!$B$67=0,C3470=0,AND(C3470&gt;0,'Operating costs'!$B$67&gt;(C3470-1)*12,'Operating costs'!$B$67&lt;=C3470*12))),'Operating costs'!$B$66,0),"n.a."))</f>
        <v>0</v>
      </c>
      <c r="N3470" s="16">
        <f>IF(NOT(Paths!$C$321=1),0,IF(Paths!$P$321="Complete",SUM(G3470:I3470)-J3470-K3470-L3470+M3470+IF(C3470=0,Paths!$F$321,0)+IF(IF(Paths!$E$321=0,C3470=0,AND(C3470&gt;0,Paths!$E$321&gt;(C3470-1)*12,Paths!$E$321&lt;=C3470*12)),VLOOKUP(A3470,'Fleet register'!$A$7:$S$106,16,FALSE),0),"n.a."))</f>
        <v>0</v>
      </c>
      <c r="O3470" s="16">
        <f>IF(NOT(Paths!$C$321=1),0,IF(Paths!$P$321="Complete",N3470-IF(C3470=0,Paths!$F$321,0),"n.a."))</f>
        <v>0</v>
      </c>
      <c r="P3470" s="16">
        <f>IF(NOT(Paths!$C$321=1),0,IF(Paths!$P$321="Complete",O3470+L3470,"n.a."))</f>
        <v>0</v>
      </c>
      <c r="Q3470" s="16">
        <f>IF(NOT(Paths!$C$321=1),0,IF(Paths!$P$321="Complete",N3470*(1+'Operating costs'!$B$54)^-C3470,"n.a."))</f>
        <v>0</v>
      </c>
      <c r="R3470" s="16">
        <f>IF(NOT(Paths!$C$321=1),0,IF(Paths!$P$321="Complete",IF(AND(C3470=0,Paths!$E$321=0),I3470-J3470-K3470+VLOOKUP(A3470,'Fleet register'!$A$7:$S$106,15,FALSE)+VLOOKUP(A3470,'Fleet register'!$A$7:$S$106,16,FALSE),0),"n.a."))</f>
        <v>0</v>
      </c>
      <c r="S3470" s="1">
        <f>IF(NOT(Paths!$C$321=1),0,IF(Paths!$P$321="Complete",IF(C3470=0,0,Paths!$S$321*Paths!$R$321),"n.a."))</f>
        <v>0</v>
      </c>
      <c r="T3470" s="1">
        <f>IF(NOT(Paths!$C$321=1),0,IF(Paths!$P$321="Complete",IF(C3470=0,0,VLOOKUP(A3470,'Fleet register'!$A$7:$S$106,9,FALSE)*Paths!$R$321),"n.a."))</f>
        <v>0</v>
      </c>
    </row>
    <row r="3471" spans="1:20" ht="24" customHeight="1">
      <c r="A3471" s="1" t="str">
        <f>Paths!$A$321</f>
        <v>T079</v>
      </c>
      <c r="B3471" s="1">
        <f>Paths!$B$321</f>
        <v>2</v>
      </c>
      <c r="C3471" s="1">
        <v>10</v>
      </c>
      <c r="D3471" s="1">
        <v>321</v>
      </c>
      <c r="E3471" s="1">
        <f>IF(OR(Paths!$C$321=0,C3471=0),0,MAX(0,MIN(C3471*12,Paths!$E$321)-(C3471-1)*12))</f>
        <v>0</v>
      </c>
      <c r="F3471" s="1">
        <f>IF(OR(Paths!$C$321=0,C3471=0),0,12-E3471)</f>
        <v>0</v>
      </c>
      <c r="G3471" s="16">
        <f>IF(NOT(Paths!$C$321=1),0,IF(Paths!$P$321="Complete",E3471/12*(Paths!$J$321*(1+'Operating costs'!$B$51)^MAX(0,C3471-1)+Paths!$K$321*(1+'Operating costs'!$B$53)^MAX(0,C3471-1)),"n.a."))</f>
        <v>0</v>
      </c>
      <c r="H3471" s="16">
        <f>IF(NOT(Paths!$C$321=1),0,IF(Paths!$P$321="Complete",F3471/12*(Paths!$L$321*(1+IF(Paths!$D$321="EV",'Operating costs'!$B$52,'Operating costs'!$B$51))^MAX(0,C3471-1)+Paths!$M$321*(1+'Operating costs'!$B$53)^MAX(0,C3471-1)),"n.a."))</f>
        <v>0</v>
      </c>
      <c r="I3471" s="16">
        <f>IF(NOT(Paths!$C$321=1),0,IF(Paths!$P$321="Complete",IF(IF(Paths!$E$321=0,C3471=0,AND(C3471&gt;0,Paths!$E$321&gt;(C3471-1)*12,Paths!$E$321&lt;=C3471*12)),Paths!$G$321,0),"n.a."))</f>
        <v>0</v>
      </c>
      <c r="J3471" s="16">
        <f>IF(NOT(Paths!$C$321=1),0,IF(Paths!$P$321="Complete",IF(IF(Paths!$E$321=0,C3471=0,AND(C3471&gt;0,Paths!$E$321&gt;(C3471-1)*12,Paths!$E$321&lt;=C3471*12)),Paths!$H$321,0),"n.a."))</f>
        <v>0</v>
      </c>
      <c r="K3471" s="16">
        <f>IF(NOT(Paths!$C$321=1),0,IF(Paths!$P$321="Complete",IF(IF(Paths!$O$321=0,C3471=0,AND(C3471&gt;0,Paths!$O$321&gt;(C3471-1)*12,Paths!$O$321&lt;=C3471*12)),Paths!$N$321,0),"n.a."))</f>
        <v>0</v>
      </c>
      <c r="L3471" s="16">
        <f>IF(NOT(Paths!$C$321=1),0,IF(Paths!$P$321="Complete",IF(C3471=10,Paths!$I$321,0),"n.a."))</f>
        <v>0</v>
      </c>
      <c r="M3471" s="16">
        <f>IF(NOT(Paths!$C$321=1),0,IF(Paths!$P$321="Complete",IF(AND(Paths!$D$321="EV",Paths!$E$321&lt;120,Paths!$E$321+'Operating costs'!$B$65&gt;Paths!$E$321,Paths!$E$321+'Operating costs'!$B$65&lt;=120,IF(Paths!$E$321+'Operating costs'!$B$65=0,C3471=0,AND(C3471&gt;0,Paths!$E$321+'Operating costs'!$B$65&gt;(C3471-1)*12,Paths!$E$321+'Operating costs'!$B$65&lt;=C3471*12))),'Operating costs'!$B$64,0)+IF(AND('Operating costs'!$B$67&gt;0,'Operating costs'!$B$67&lt;=120,OR(Paths!$D$321="ICE",'Operating costs'!$B$67&lt;=Paths!$E$321),IF('Operating costs'!$B$67=0,C3471=0,AND(C3471&gt;0,'Operating costs'!$B$67&gt;(C3471-1)*12,'Operating costs'!$B$67&lt;=C3471*12))),'Operating costs'!$B$66,0),"n.a."))</f>
        <v>0</v>
      </c>
      <c r="N3471" s="16">
        <f>IF(NOT(Paths!$C$321=1),0,IF(Paths!$P$321="Complete",SUM(G3471:I3471)-J3471-K3471-L3471+M3471+IF(C3471=0,Paths!$F$321,0)+IF(IF(Paths!$E$321=0,C3471=0,AND(C3471&gt;0,Paths!$E$321&gt;(C3471-1)*12,Paths!$E$321&lt;=C3471*12)),VLOOKUP(A3471,'Fleet register'!$A$7:$S$106,16,FALSE),0),"n.a."))</f>
        <v>0</v>
      </c>
      <c r="O3471" s="16">
        <f>IF(NOT(Paths!$C$321=1),0,IF(Paths!$P$321="Complete",N3471-IF(C3471=0,Paths!$F$321,0),"n.a."))</f>
        <v>0</v>
      </c>
      <c r="P3471" s="16">
        <f>IF(NOT(Paths!$C$321=1),0,IF(Paths!$P$321="Complete",O3471+L3471,"n.a."))</f>
        <v>0</v>
      </c>
      <c r="Q3471" s="16">
        <f>IF(NOT(Paths!$C$321=1),0,IF(Paths!$P$321="Complete",N3471*(1+'Operating costs'!$B$54)^-C3471,"n.a."))</f>
        <v>0</v>
      </c>
      <c r="R3471" s="16">
        <f>IF(NOT(Paths!$C$321=1),0,IF(Paths!$P$321="Complete",IF(AND(C3471=0,Paths!$E$321=0),I3471-J3471-K3471+VLOOKUP(A3471,'Fleet register'!$A$7:$S$106,15,FALSE)+VLOOKUP(A3471,'Fleet register'!$A$7:$S$106,16,FALSE),0),"n.a."))</f>
        <v>0</v>
      </c>
      <c r="S3471" s="1">
        <f>IF(NOT(Paths!$C$321=1),0,IF(Paths!$P$321="Complete",IF(C3471=0,0,Paths!$S$321*Paths!$R$321),"n.a."))</f>
        <v>0</v>
      </c>
      <c r="T3471" s="1">
        <f>IF(NOT(Paths!$C$321=1),0,IF(Paths!$P$321="Complete",IF(C3471=0,0,VLOOKUP(A3471,'Fleet register'!$A$7:$S$106,9,FALSE)*Paths!$R$321),"n.a."))</f>
        <v>0</v>
      </c>
    </row>
    <row r="3472" spans="1:20" ht="24" customHeight="1">
      <c r="A3472" s="1" t="str">
        <f>Paths!$A$322</f>
        <v>T079</v>
      </c>
      <c r="B3472" s="1">
        <f>Paths!$B$322</f>
        <v>3</v>
      </c>
      <c r="C3472" s="1">
        <v>0</v>
      </c>
      <c r="D3472" s="1">
        <v>322</v>
      </c>
      <c r="E3472" s="1">
        <f>IF(OR(Paths!$C$322=0,C3472=0),0,MAX(0,MIN(C3472*12,Paths!$E$322)-(C3472-1)*12))</f>
        <v>0</v>
      </c>
      <c r="F3472" s="1">
        <f>IF(OR(Paths!$C$322=0,C3472=0),0,12-E3472)</f>
        <v>0</v>
      </c>
      <c r="G3472" s="16">
        <f>IF(NOT(Paths!$C$322=1),0,IF(Paths!$P$322="Complete",E3472/12*(Paths!$J$322*(1+'Operating costs'!$B$51)^MAX(0,C3472-1)+Paths!$K$322*(1+'Operating costs'!$B$53)^MAX(0,C3472-1)),"n.a."))</f>
        <v>0</v>
      </c>
      <c r="H3472" s="16">
        <f>IF(NOT(Paths!$C$322=1),0,IF(Paths!$P$322="Complete",F3472/12*(Paths!$L$322*(1+IF(Paths!$D$322="EV",'Operating costs'!$B$52,'Operating costs'!$B$51))^MAX(0,C3472-1)+Paths!$M$322*(1+'Operating costs'!$B$53)^MAX(0,C3472-1)),"n.a."))</f>
        <v>0</v>
      </c>
      <c r="I3472" s="16">
        <f>IF(NOT(Paths!$C$322=1),0,IF(Paths!$P$322="Complete",IF(IF(Paths!$E$322=0,C3472=0,AND(C3472&gt;0,Paths!$E$322&gt;(C3472-1)*12,Paths!$E$322&lt;=C3472*12)),Paths!$G$322,0),"n.a."))</f>
        <v>0</v>
      </c>
      <c r="J3472" s="16">
        <f>IF(NOT(Paths!$C$322=1),0,IF(Paths!$P$322="Complete",IF(IF(Paths!$E$322=0,C3472=0,AND(C3472&gt;0,Paths!$E$322&gt;(C3472-1)*12,Paths!$E$322&lt;=C3472*12)),Paths!$H$322,0),"n.a."))</f>
        <v>0</v>
      </c>
      <c r="K3472" s="16">
        <f>IF(NOT(Paths!$C$322=1),0,IF(Paths!$P$322="Complete",IF(IF(Paths!$O$322=0,C3472=0,AND(C3472&gt;0,Paths!$O$322&gt;(C3472-1)*12,Paths!$O$322&lt;=C3472*12)),Paths!$N$322,0),"n.a."))</f>
        <v>0</v>
      </c>
      <c r="L3472" s="16">
        <f>IF(NOT(Paths!$C$322=1),0,IF(Paths!$P$322="Complete",IF(C3472=10,Paths!$I$322,0),"n.a."))</f>
        <v>0</v>
      </c>
      <c r="M3472" s="16">
        <f>IF(NOT(Paths!$C$322=1),0,IF(Paths!$P$322="Complete",IF(AND(Paths!$D$322="EV",Paths!$E$322&lt;120,Paths!$E$322+'Operating costs'!$B$65&gt;Paths!$E$322,Paths!$E$322+'Operating costs'!$B$65&lt;=120,IF(Paths!$E$322+'Operating costs'!$B$65=0,C3472=0,AND(C3472&gt;0,Paths!$E$322+'Operating costs'!$B$65&gt;(C3472-1)*12,Paths!$E$322+'Operating costs'!$B$65&lt;=C3472*12))),'Operating costs'!$B$64,0)+IF(AND('Operating costs'!$B$67&gt;0,'Operating costs'!$B$67&lt;=120,OR(Paths!$D$322="ICE",'Operating costs'!$B$67&lt;=Paths!$E$322),IF('Operating costs'!$B$67=0,C3472=0,AND(C3472&gt;0,'Operating costs'!$B$67&gt;(C3472-1)*12,'Operating costs'!$B$67&lt;=C3472*12))),'Operating costs'!$B$66,0),"n.a."))</f>
        <v>0</v>
      </c>
      <c r="N3472" s="16">
        <f>IF(NOT(Paths!$C$322=1),0,IF(Paths!$P$322="Complete",SUM(G3472:I3472)-J3472-K3472-L3472+M3472+IF(C3472=0,Paths!$F$322,0)+IF(IF(Paths!$E$322=0,C3472=0,AND(C3472&gt;0,Paths!$E$322&gt;(C3472-1)*12,Paths!$E$322&lt;=C3472*12)),VLOOKUP(A3472,'Fleet register'!$A$7:$S$106,16,FALSE),0),"n.a."))</f>
        <v>0</v>
      </c>
      <c r="O3472" s="16">
        <f>IF(NOT(Paths!$C$322=1),0,IF(Paths!$P$322="Complete",N3472-IF(C3472=0,Paths!$F$322,0),"n.a."))</f>
        <v>0</v>
      </c>
      <c r="P3472" s="16">
        <f>IF(NOT(Paths!$C$322=1),0,IF(Paths!$P$322="Complete",O3472+L3472,"n.a."))</f>
        <v>0</v>
      </c>
      <c r="Q3472" s="16">
        <f>IF(NOT(Paths!$C$322=1),0,IF(Paths!$P$322="Complete",N3472*(1+'Operating costs'!$B$54)^-C3472,"n.a."))</f>
        <v>0</v>
      </c>
      <c r="R3472" s="16">
        <f>IF(NOT(Paths!$C$322=1),0,IF(Paths!$P$322="Complete",IF(AND(C3472=0,Paths!$E$322=0),I3472-J3472-K3472+VLOOKUP(A3472,'Fleet register'!$A$7:$S$106,15,FALSE)+VLOOKUP(A3472,'Fleet register'!$A$7:$S$106,16,FALSE),0),"n.a."))</f>
        <v>0</v>
      </c>
      <c r="S3472" s="1">
        <f>IF(NOT(Paths!$C$322=1),0,IF(Paths!$P$322="Complete",IF(C3472=0,0,Paths!$S$322*Paths!$R$322),"n.a."))</f>
        <v>0</v>
      </c>
      <c r="T3472" s="1">
        <f>IF(NOT(Paths!$C$322=1),0,IF(Paths!$P$322="Complete",IF(C3472=0,0,VLOOKUP(A3472,'Fleet register'!$A$7:$S$106,9,FALSE)*Paths!$R$322),"n.a."))</f>
        <v>0</v>
      </c>
    </row>
    <row r="3473" spans="1:20" ht="24" customHeight="1">
      <c r="A3473" s="1" t="str">
        <f>Paths!$A$322</f>
        <v>T079</v>
      </c>
      <c r="B3473" s="1">
        <f>Paths!$B$322</f>
        <v>3</v>
      </c>
      <c r="C3473" s="1">
        <v>1</v>
      </c>
      <c r="D3473" s="1">
        <v>322</v>
      </c>
      <c r="E3473" s="1">
        <f>IF(OR(Paths!$C$322=0,C3473=0),0,MAX(0,MIN(C3473*12,Paths!$E$322)-(C3473-1)*12))</f>
        <v>0</v>
      </c>
      <c r="F3473" s="1">
        <f>IF(OR(Paths!$C$322=0,C3473=0),0,12-E3473)</f>
        <v>0</v>
      </c>
      <c r="G3473" s="16">
        <f>IF(NOT(Paths!$C$322=1),0,IF(Paths!$P$322="Complete",E3473/12*(Paths!$J$322*(1+'Operating costs'!$B$51)^MAX(0,C3473-1)+Paths!$K$322*(1+'Operating costs'!$B$53)^MAX(0,C3473-1)),"n.a."))</f>
        <v>0</v>
      </c>
      <c r="H3473" s="16">
        <f>IF(NOT(Paths!$C$322=1),0,IF(Paths!$P$322="Complete",F3473/12*(Paths!$L$322*(1+IF(Paths!$D$322="EV",'Operating costs'!$B$52,'Operating costs'!$B$51))^MAX(0,C3473-1)+Paths!$M$322*(1+'Operating costs'!$B$53)^MAX(0,C3473-1)),"n.a."))</f>
        <v>0</v>
      </c>
      <c r="I3473" s="16">
        <f>IF(NOT(Paths!$C$322=1),0,IF(Paths!$P$322="Complete",IF(IF(Paths!$E$322=0,C3473=0,AND(C3473&gt;0,Paths!$E$322&gt;(C3473-1)*12,Paths!$E$322&lt;=C3473*12)),Paths!$G$322,0),"n.a."))</f>
        <v>0</v>
      </c>
      <c r="J3473" s="16">
        <f>IF(NOT(Paths!$C$322=1),0,IF(Paths!$P$322="Complete",IF(IF(Paths!$E$322=0,C3473=0,AND(C3473&gt;0,Paths!$E$322&gt;(C3473-1)*12,Paths!$E$322&lt;=C3473*12)),Paths!$H$322,0),"n.a."))</f>
        <v>0</v>
      </c>
      <c r="K3473" s="16">
        <f>IF(NOT(Paths!$C$322=1),0,IF(Paths!$P$322="Complete",IF(IF(Paths!$O$322=0,C3473=0,AND(C3473&gt;0,Paths!$O$322&gt;(C3473-1)*12,Paths!$O$322&lt;=C3473*12)),Paths!$N$322,0),"n.a."))</f>
        <v>0</v>
      </c>
      <c r="L3473" s="16">
        <f>IF(NOT(Paths!$C$322=1),0,IF(Paths!$P$322="Complete",IF(C3473=10,Paths!$I$322,0),"n.a."))</f>
        <v>0</v>
      </c>
      <c r="M3473" s="16">
        <f>IF(NOT(Paths!$C$322=1),0,IF(Paths!$P$322="Complete",IF(AND(Paths!$D$322="EV",Paths!$E$322&lt;120,Paths!$E$322+'Operating costs'!$B$65&gt;Paths!$E$322,Paths!$E$322+'Operating costs'!$B$65&lt;=120,IF(Paths!$E$322+'Operating costs'!$B$65=0,C3473=0,AND(C3473&gt;0,Paths!$E$322+'Operating costs'!$B$65&gt;(C3473-1)*12,Paths!$E$322+'Operating costs'!$B$65&lt;=C3473*12))),'Operating costs'!$B$64,0)+IF(AND('Operating costs'!$B$67&gt;0,'Operating costs'!$B$67&lt;=120,OR(Paths!$D$322="ICE",'Operating costs'!$B$67&lt;=Paths!$E$322),IF('Operating costs'!$B$67=0,C3473=0,AND(C3473&gt;0,'Operating costs'!$B$67&gt;(C3473-1)*12,'Operating costs'!$B$67&lt;=C3473*12))),'Operating costs'!$B$66,0),"n.a."))</f>
        <v>0</v>
      </c>
      <c r="N3473" s="16">
        <f>IF(NOT(Paths!$C$322=1),0,IF(Paths!$P$322="Complete",SUM(G3473:I3473)-J3473-K3473-L3473+M3473+IF(C3473=0,Paths!$F$322,0)+IF(IF(Paths!$E$322=0,C3473=0,AND(C3473&gt;0,Paths!$E$322&gt;(C3473-1)*12,Paths!$E$322&lt;=C3473*12)),VLOOKUP(A3473,'Fleet register'!$A$7:$S$106,16,FALSE),0),"n.a."))</f>
        <v>0</v>
      </c>
      <c r="O3473" s="16">
        <f>IF(NOT(Paths!$C$322=1),0,IF(Paths!$P$322="Complete",N3473-IF(C3473=0,Paths!$F$322,0),"n.a."))</f>
        <v>0</v>
      </c>
      <c r="P3473" s="16">
        <f>IF(NOT(Paths!$C$322=1),0,IF(Paths!$P$322="Complete",O3473+L3473,"n.a."))</f>
        <v>0</v>
      </c>
      <c r="Q3473" s="16">
        <f>IF(NOT(Paths!$C$322=1),0,IF(Paths!$P$322="Complete",N3473*(1+'Operating costs'!$B$54)^-C3473,"n.a."))</f>
        <v>0</v>
      </c>
      <c r="R3473" s="16">
        <f>IF(NOT(Paths!$C$322=1),0,IF(Paths!$P$322="Complete",IF(AND(C3473=0,Paths!$E$322=0),I3473-J3473-K3473+VLOOKUP(A3473,'Fleet register'!$A$7:$S$106,15,FALSE)+VLOOKUP(A3473,'Fleet register'!$A$7:$S$106,16,FALSE),0),"n.a."))</f>
        <v>0</v>
      </c>
      <c r="S3473" s="1">
        <f>IF(NOT(Paths!$C$322=1),0,IF(Paths!$P$322="Complete",IF(C3473=0,0,Paths!$S$322*Paths!$R$322),"n.a."))</f>
        <v>0</v>
      </c>
      <c r="T3473" s="1">
        <f>IF(NOT(Paths!$C$322=1),0,IF(Paths!$P$322="Complete",IF(C3473=0,0,VLOOKUP(A3473,'Fleet register'!$A$7:$S$106,9,FALSE)*Paths!$R$322),"n.a."))</f>
        <v>0</v>
      </c>
    </row>
    <row r="3474" spans="1:20" ht="24" customHeight="1">
      <c r="A3474" s="1" t="str">
        <f>Paths!$A$322</f>
        <v>T079</v>
      </c>
      <c r="B3474" s="1">
        <f>Paths!$B$322</f>
        <v>3</v>
      </c>
      <c r="C3474" s="1">
        <v>2</v>
      </c>
      <c r="D3474" s="1">
        <v>322</v>
      </c>
      <c r="E3474" s="1">
        <f>IF(OR(Paths!$C$322=0,C3474=0),0,MAX(0,MIN(C3474*12,Paths!$E$322)-(C3474-1)*12))</f>
        <v>0</v>
      </c>
      <c r="F3474" s="1">
        <f>IF(OR(Paths!$C$322=0,C3474=0),0,12-E3474)</f>
        <v>0</v>
      </c>
      <c r="G3474" s="16">
        <f>IF(NOT(Paths!$C$322=1),0,IF(Paths!$P$322="Complete",E3474/12*(Paths!$J$322*(1+'Operating costs'!$B$51)^MAX(0,C3474-1)+Paths!$K$322*(1+'Operating costs'!$B$53)^MAX(0,C3474-1)),"n.a."))</f>
        <v>0</v>
      </c>
      <c r="H3474" s="16">
        <f>IF(NOT(Paths!$C$322=1),0,IF(Paths!$P$322="Complete",F3474/12*(Paths!$L$322*(1+IF(Paths!$D$322="EV",'Operating costs'!$B$52,'Operating costs'!$B$51))^MAX(0,C3474-1)+Paths!$M$322*(1+'Operating costs'!$B$53)^MAX(0,C3474-1)),"n.a."))</f>
        <v>0</v>
      </c>
      <c r="I3474" s="16">
        <f>IF(NOT(Paths!$C$322=1),0,IF(Paths!$P$322="Complete",IF(IF(Paths!$E$322=0,C3474=0,AND(C3474&gt;0,Paths!$E$322&gt;(C3474-1)*12,Paths!$E$322&lt;=C3474*12)),Paths!$G$322,0),"n.a."))</f>
        <v>0</v>
      </c>
      <c r="J3474" s="16">
        <f>IF(NOT(Paths!$C$322=1),0,IF(Paths!$P$322="Complete",IF(IF(Paths!$E$322=0,C3474=0,AND(C3474&gt;0,Paths!$E$322&gt;(C3474-1)*12,Paths!$E$322&lt;=C3474*12)),Paths!$H$322,0),"n.a."))</f>
        <v>0</v>
      </c>
      <c r="K3474" s="16">
        <f>IF(NOT(Paths!$C$322=1),0,IF(Paths!$P$322="Complete",IF(IF(Paths!$O$322=0,C3474=0,AND(C3474&gt;0,Paths!$O$322&gt;(C3474-1)*12,Paths!$O$322&lt;=C3474*12)),Paths!$N$322,0),"n.a."))</f>
        <v>0</v>
      </c>
      <c r="L3474" s="16">
        <f>IF(NOT(Paths!$C$322=1),0,IF(Paths!$P$322="Complete",IF(C3474=10,Paths!$I$322,0),"n.a."))</f>
        <v>0</v>
      </c>
      <c r="M3474" s="16">
        <f>IF(NOT(Paths!$C$322=1),0,IF(Paths!$P$322="Complete",IF(AND(Paths!$D$322="EV",Paths!$E$322&lt;120,Paths!$E$322+'Operating costs'!$B$65&gt;Paths!$E$322,Paths!$E$322+'Operating costs'!$B$65&lt;=120,IF(Paths!$E$322+'Operating costs'!$B$65=0,C3474=0,AND(C3474&gt;0,Paths!$E$322+'Operating costs'!$B$65&gt;(C3474-1)*12,Paths!$E$322+'Operating costs'!$B$65&lt;=C3474*12))),'Operating costs'!$B$64,0)+IF(AND('Operating costs'!$B$67&gt;0,'Operating costs'!$B$67&lt;=120,OR(Paths!$D$322="ICE",'Operating costs'!$B$67&lt;=Paths!$E$322),IF('Operating costs'!$B$67=0,C3474=0,AND(C3474&gt;0,'Operating costs'!$B$67&gt;(C3474-1)*12,'Operating costs'!$B$67&lt;=C3474*12))),'Operating costs'!$B$66,0),"n.a."))</f>
        <v>0</v>
      </c>
      <c r="N3474" s="16">
        <f>IF(NOT(Paths!$C$322=1),0,IF(Paths!$P$322="Complete",SUM(G3474:I3474)-J3474-K3474-L3474+M3474+IF(C3474=0,Paths!$F$322,0)+IF(IF(Paths!$E$322=0,C3474=0,AND(C3474&gt;0,Paths!$E$322&gt;(C3474-1)*12,Paths!$E$322&lt;=C3474*12)),VLOOKUP(A3474,'Fleet register'!$A$7:$S$106,16,FALSE),0),"n.a."))</f>
        <v>0</v>
      </c>
      <c r="O3474" s="16">
        <f>IF(NOT(Paths!$C$322=1),0,IF(Paths!$P$322="Complete",N3474-IF(C3474=0,Paths!$F$322,0),"n.a."))</f>
        <v>0</v>
      </c>
      <c r="P3474" s="16">
        <f>IF(NOT(Paths!$C$322=1),0,IF(Paths!$P$322="Complete",O3474+L3474,"n.a."))</f>
        <v>0</v>
      </c>
      <c r="Q3474" s="16">
        <f>IF(NOT(Paths!$C$322=1),0,IF(Paths!$P$322="Complete",N3474*(1+'Operating costs'!$B$54)^-C3474,"n.a."))</f>
        <v>0</v>
      </c>
      <c r="R3474" s="16">
        <f>IF(NOT(Paths!$C$322=1),0,IF(Paths!$P$322="Complete",IF(AND(C3474=0,Paths!$E$322=0),I3474-J3474-K3474+VLOOKUP(A3474,'Fleet register'!$A$7:$S$106,15,FALSE)+VLOOKUP(A3474,'Fleet register'!$A$7:$S$106,16,FALSE),0),"n.a."))</f>
        <v>0</v>
      </c>
      <c r="S3474" s="1">
        <f>IF(NOT(Paths!$C$322=1),0,IF(Paths!$P$322="Complete",IF(C3474=0,0,Paths!$S$322*Paths!$R$322),"n.a."))</f>
        <v>0</v>
      </c>
      <c r="T3474" s="1">
        <f>IF(NOT(Paths!$C$322=1),0,IF(Paths!$P$322="Complete",IF(C3474=0,0,VLOOKUP(A3474,'Fleet register'!$A$7:$S$106,9,FALSE)*Paths!$R$322),"n.a."))</f>
        <v>0</v>
      </c>
    </row>
    <row r="3475" spans="1:20" ht="24" customHeight="1">
      <c r="A3475" s="1" t="str">
        <f>Paths!$A$322</f>
        <v>T079</v>
      </c>
      <c r="B3475" s="1">
        <f>Paths!$B$322</f>
        <v>3</v>
      </c>
      <c r="C3475" s="1">
        <v>3</v>
      </c>
      <c r="D3475" s="1">
        <v>322</v>
      </c>
      <c r="E3475" s="1">
        <f>IF(OR(Paths!$C$322=0,C3475=0),0,MAX(0,MIN(C3475*12,Paths!$E$322)-(C3475-1)*12))</f>
        <v>0</v>
      </c>
      <c r="F3475" s="1">
        <f>IF(OR(Paths!$C$322=0,C3475=0),0,12-E3475)</f>
        <v>0</v>
      </c>
      <c r="G3475" s="16">
        <f>IF(NOT(Paths!$C$322=1),0,IF(Paths!$P$322="Complete",E3475/12*(Paths!$J$322*(1+'Operating costs'!$B$51)^MAX(0,C3475-1)+Paths!$K$322*(1+'Operating costs'!$B$53)^MAX(0,C3475-1)),"n.a."))</f>
        <v>0</v>
      </c>
      <c r="H3475" s="16">
        <f>IF(NOT(Paths!$C$322=1),0,IF(Paths!$P$322="Complete",F3475/12*(Paths!$L$322*(1+IF(Paths!$D$322="EV",'Operating costs'!$B$52,'Operating costs'!$B$51))^MAX(0,C3475-1)+Paths!$M$322*(1+'Operating costs'!$B$53)^MAX(0,C3475-1)),"n.a."))</f>
        <v>0</v>
      </c>
      <c r="I3475" s="16">
        <f>IF(NOT(Paths!$C$322=1),0,IF(Paths!$P$322="Complete",IF(IF(Paths!$E$322=0,C3475=0,AND(C3475&gt;0,Paths!$E$322&gt;(C3475-1)*12,Paths!$E$322&lt;=C3475*12)),Paths!$G$322,0),"n.a."))</f>
        <v>0</v>
      </c>
      <c r="J3475" s="16">
        <f>IF(NOT(Paths!$C$322=1),0,IF(Paths!$P$322="Complete",IF(IF(Paths!$E$322=0,C3475=0,AND(C3475&gt;0,Paths!$E$322&gt;(C3475-1)*12,Paths!$E$322&lt;=C3475*12)),Paths!$H$322,0),"n.a."))</f>
        <v>0</v>
      </c>
      <c r="K3475" s="16">
        <f>IF(NOT(Paths!$C$322=1),0,IF(Paths!$P$322="Complete",IF(IF(Paths!$O$322=0,C3475=0,AND(C3475&gt;0,Paths!$O$322&gt;(C3475-1)*12,Paths!$O$322&lt;=C3475*12)),Paths!$N$322,0),"n.a."))</f>
        <v>0</v>
      </c>
      <c r="L3475" s="16">
        <f>IF(NOT(Paths!$C$322=1),0,IF(Paths!$P$322="Complete",IF(C3475=10,Paths!$I$322,0),"n.a."))</f>
        <v>0</v>
      </c>
      <c r="M3475" s="16">
        <f>IF(NOT(Paths!$C$322=1),0,IF(Paths!$P$322="Complete",IF(AND(Paths!$D$322="EV",Paths!$E$322&lt;120,Paths!$E$322+'Operating costs'!$B$65&gt;Paths!$E$322,Paths!$E$322+'Operating costs'!$B$65&lt;=120,IF(Paths!$E$322+'Operating costs'!$B$65=0,C3475=0,AND(C3475&gt;0,Paths!$E$322+'Operating costs'!$B$65&gt;(C3475-1)*12,Paths!$E$322+'Operating costs'!$B$65&lt;=C3475*12))),'Operating costs'!$B$64,0)+IF(AND('Operating costs'!$B$67&gt;0,'Operating costs'!$B$67&lt;=120,OR(Paths!$D$322="ICE",'Operating costs'!$B$67&lt;=Paths!$E$322),IF('Operating costs'!$B$67=0,C3475=0,AND(C3475&gt;0,'Operating costs'!$B$67&gt;(C3475-1)*12,'Operating costs'!$B$67&lt;=C3475*12))),'Operating costs'!$B$66,0),"n.a."))</f>
        <v>0</v>
      </c>
      <c r="N3475" s="16">
        <f>IF(NOT(Paths!$C$322=1),0,IF(Paths!$P$322="Complete",SUM(G3475:I3475)-J3475-K3475-L3475+M3475+IF(C3475=0,Paths!$F$322,0)+IF(IF(Paths!$E$322=0,C3475=0,AND(C3475&gt;0,Paths!$E$322&gt;(C3475-1)*12,Paths!$E$322&lt;=C3475*12)),VLOOKUP(A3475,'Fleet register'!$A$7:$S$106,16,FALSE),0),"n.a."))</f>
        <v>0</v>
      </c>
      <c r="O3475" s="16">
        <f>IF(NOT(Paths!$C$322=1),0,IF(Paths!$P$322="Complete",N3475-IF(C3475=0,Paths!$F$322,0),"n.a."))</f>
        <v>0</v>
      </c>
      <c r="P3475" s="16">
        <f>IF(NOT(Paths!$C$322=1),0,IF(Paths!$P$322="Complete",O3475+L3475,"n.a."))</f>
        <v>0</v>
      </c>
      <c r="Q3475" s="16">
        <f>IF(NOT(Paths!$C$322=1),0,IF(Paths!$P$322="Complete",N3475*(1+'Operating costs'!$B$54)^-C3475,"n.a."))</f>
        <v>0</v>
      </c>
      <c r="R3475" s="16">
        <f>IF(NOT(Paths!$C$322=1),0,IF(Paths!$P$322="Complete",IF(AND(C3475=0,Paths!$E$322=0),I3475-J3475-K3475+VLOOKUP(A3475,'Fleet register'!$A$7:$S$106,15,FALSE)+VLOOKUP(A3475,'Fleet register'!$A$7:$S$106,16,FALSE),0),"n.a."))</f>
        <v>0</v>
      </c>
      <c r="S3475" s="1">
        <f>IF(NOT(Paths!$C$322=1),0,IF(Paths!$P$322="Complete",IF(C3475=0,0,Paths!$S$322*Paths!$R$322),"n.a."))</f>
        <v>0</v>
      </c>
      <c r="T3475" s="1">
        <f>IF(NOT(Paths!$C$322=1),0,IF(Paths!$P$322="Complete",IF(C3475=0,0,VLOOKUP(A3475,'Fleet register'!$A$7:$S$106,9,FALSE)*Paths!$R$322),"n.a."))</f>
        <v>0</v>
      </c>
    </row>
    <row r="3476" spans="1:20" ht="24" customHeight="1">
      <c r="A3476" s="1" t="str">
        <f>Paths!$A$322</f>
        <v>T079</v>
      </c>
      <c r="B3476" s="1">
        <f>Paths!$B$322</f>
        <v>3</v>
      </c>
      <c r="C3476" s="1">
        <v>4</v>
      </c>
      <c r="D3476" s="1">
        <v>322</v>
      </c>
      <c r="E3476" s="1">
        <f>IF(OR(Paths!$C$322=0,C3476=0),0,MAX(0,MIN(C3476*12,Paths!$E$322)-(C3476-1)*12))</f>
        <v>0</v>
      </c>
      <c r="F3476" s="1">
        <f>IF(OR(Paths!$C$322=0,C3476=0),0,12-E3476)</f>
        <v>0</v>
      </c>
      <c r="G3476" s="16">
        <f>IF(NOT(Paths!$C$322=1),0,IF(Paths!$P$322="Complete",E3476/12*(Paths!$J$322*(1+'Operating costs'!$B$51)^MAX(0,C3476-1)+Paths!$K$322*(1+'Operating costs'!$B$53)^MAX(0,C3476-1)),"n.a."))</f>
        <v>0</v>
      </c>
      <c r="H3476" s="16">
        <f>IF(NOT(Paths!$C$322=1),0,IF(Paths!$P$322="Complete",F3476/12*(Paths!$L$322*(1+IF(Paths!$D$322="EV",'Operating costs'!$B$52,'Operating costs'!$B$51))^MAX(0,C3476-1)+Paths!$M$322*(1+'Operating costs'!$B$53)^MAX(0,C3476-1)),"n.a."))</f>
        <v>0</v>
      </c>
      <c r="I3476" s="16">
        <f>IF(NOT(Paths!$C$322=1),0,IF(Paths!$P$322="Complete",IF(IF(Paths!$E$322=0,C3476=0,AND(C3476&gt;0,Paths!$E$322&gt;(C3476-1)*12,Paths!$E$322&lt;=C3476*12)),Paths!$G$322,0),"n.a."))</f>
        <v>0</v>
      </c>
      <c r="J3476" s="16">
        <f>IF(NOT(Paths!$C$322=1),0,IF(Paths!$P$322="Complete",IF(IF(Paths!$E$322=0,C3476=0,AND(C3476&gt;0,Paths!$E$322&gt;(C3476-1)*12,Paths!$E$322&lt;=C3476*12)),Paths!$H$322,0),"n.a."))</f>
        <v>0</v>
      </c>
      <c r="K3476" s="16">
        <f>IF(NOT(Paths!$C$322=1),0,IF(Paths!$P$322="Complete",IF(IF(Paths!$O$322=0,C3476=0,AND(C3476&gt;0,Paths!$O$322&gt;(C3476-1)*12,Paths!$O$322&lt;=C3476*12)),Paths!$N$322,0),"n.a."))</f>
        <v>0</v>
      </c>
      <c r="L3476" s="16">
        <f>IF(NOT(Paths!$C$322=1),0,IF(Paths!$P$322="Complete",IF(C3476=10,Paths!$I$322,0),"n.a."))</f>
        <v>0</v>
      </c>
      <c r="M3476" s="16">
        <f>IF(NOT(Paths!$C$322=1),0,IF(Paths!$P$322="Complete",IF(AND(Paths!$D$322="EV",Paths!$E$322&lt;120,Paths!$E$322+'Operating costs'!$B$65&gt;Paths!$E$322,Paths!$E$322+'Operating costs'!$B$65&lt;=120,IF(Paths!$E$322+'Operating costs'!$B$65=0,C3476=0,AND(C3476&gt;0,Paths!$E$322+'Operating costs'!$B$65&gt;(C3476-1)*12,Paths!$E$322+'Operating costs'!$B$65&lt;=C3476*12))),'Operating costs'!$B$64,0)+IF(AND('Operating costs'!$B$67&gt;0,'Operating costs'!$B$67&lt;=120,OR(Paths!$D$322="ICE",'Operating costs'!$B$67&lt;=Paths!$E$322),IF('Operating costs'!$B$67=0,C3476=0,AND(C3476&gt;0,'Operating costs'!$B$67&gt;(C3476-1)*12,'Operating costs'!$B$67&lt;=C3476*12))),'Operating costs'!$B$66,0),"n.a."))</f>
        <v>0</v>
      </c>
      <c r="N3476" s="16">
        <f>IF(NOT(Paths!$C$322=1),0,IF(Paths!$P$322="Complete",SUM(G3476:I3476)-J3476-K3476-L3476+M3476+IF(C3476=0,Paths!$F$322,0)+IF(IF(Paths!$E$322=0,C3476=0,AND(C3476&gt;0,Paths!$E$322&gt;(C3476-1)*12,Paths!$E$322&lt;=C3476*12)),VLOOKUP(A3476,'Fleet register'!$A$7:$S$106,16,FALSE),0),"n.a."))</f>
        <v>0</v>
      </c>
      <c r="O3476" s="16">
        <f>IF(NOT(Paths!$C$322=1),0,IF(Paths!$P$322="Complete",N3476-IF(C3476=0,Paths!$F$322,0),"n.a."))</f>
        <v>0</v>
      </c>
      <c r="P3476" s="16">
        <f>IF(NOT(Paths!$C$322=1),0,IF(Paths!$P$322="Complete",O3476+L3476,"n.a."))</f>
        <v>0</v>
      </c>
      <c r="Q3476" s="16">
        <f>IF(NOT(Paths!$C$322=1),0,IF(Paths!$P$322="Complete",N3476*(1+'Operating costs'!$B$54)^-C3476,"n.a."))</f>
        <v>0</v>
      </c>
      <c r="R3476" s="16">
        <f>IF(NOT(Paths!$C$322=1),0,IF(Paths!$P$322="Complete",IF(AND(C3476=0,Paths!$E$322=0),I3476-J3476-K3476+VLOOKUP(A3476,'Fleet register'!$A$7:$S$106,15,FALSE)+VLOOKUP(A3476,'Fleet register'!$A$7:$S$106,16,FALSE),0),"n.a."))</f>
        <v>0</v>
      </c>
      <c r="S3476" s="1">
        <f>IF(NOT(Paths!$C$322=1),0,IF(Paths!$P$322="Complete",IF(C3476=0,0,Paths!$S$322*Paths!$R$322),"n.a."))</f>
        <v>0</v>
      </c>
      <c r="T3476" s="1">
        <f>IF(NOT(Paths!$C$322=1),0,IF(Paths!$P$322="Complete",IF(C3476=0,0,VLOOKUP(A3476,'Fleet register'!$A$7:$S$106,9,FALSE)*Paths!$R$322),"n.a."))</f>
        <v>0</v>
      </c>
    </row>
    <row r="3477" spans="1:20" ht="24" customHeight="1">
      <c r="A3477" s="1" t="str">
        <f>Paths!$A$322</f>
        <v>T079</v>
      </c>
      <c r="B3477" s="1">
        <f>Paths!$B$322</f>
        <v>3</v>
      </c>
      <c r="C3477" s="1">
        <v>5</v>
      </c>
      <c r="D3477" s="1">
        <v>322</v>
      </c>
      <c r="E3477" s="1">
        <f>IF(OR(Paths!$C$322=0,C3477=0),0,MAX(0,MIN(C3477*12,Paths!$E$322)-(C3477-1)*12))</f>
        <v>0</v>
      </c>
      <c r="F3477" s="1">
        <f>IF(OR(Paths!$C$322=0,C3477=0),0,12-E3477)</f>
        <v>0</v>
      </c>
      <c r="G3477" s="16">
        <f>IF(NOT(Paths!$C$322=1),0,IF(Paths!$P$322="Complete",E3477/12*(Paths!$J$322*(1+'Operating costs'!$B$51)^MAX(0,C3477-1)+Paths!$K$322*(1+'Operating costs'!$B$53)^MAX(0,C3477-1)),"n.a."))</f>
        <v>0</v>
      </c>
      <c r="H3477" s="16">
        <f>IF(NOT(Paths!$C$322=1),0,IF(Paths!$P$322="Complete",F3477/12*(Paths!$L$322*(1+IF(Paths!$D$322="EV",'Operating costs'!$B$52,'Operating costs'!$B$51))^MAX(0,C3477-1)+Paths!$M$322*(1+'Operating costs'!$B$53)^MAX(0,C3477-1)),"n.a."))</f>
        <v>0</v>
      </c>
      <c r="I3477" s="16">
        <f>IF(NOT(Paths!$C$322=1),0,IF(Paths!$P$322="Complete",IF(IF(Paths!$E$322=0,C3477=0,AND(C3477&gt;0,Paths!$E$322&gt;(C3477-1)*12,Paths!$E$322&lt;=C3477*12)),Paths!$G$322,0),"n.a."))</f>
        <v>0</v>
      </c>
      <c r="J3477" s="16">
        <f>IF(NOT(Paths!$C$322=1),0,IF(Paths!$P$322="Complete",IF(IF(Paths!$E$322=0,C3477=0,AND(C3477&gt;0,Paths!$E$322&gt;(C3477-1)*12,Paths!$E$322&lt;=C3477*12)),Paths!$H$322,0),"n.a."))</f>
        <v>0</v>
      </c>
      <c r="K3477" s="16">
        <f>IF(NOT(Paths!$C$322=1),0,IF(Paths!$P$322="Complete",IF(IF(Paths!$O$322=0,C3477=0,AND(C3477&gt;0,Paths!$O$322&gt;(C3477-1)*12,Paths!$O$322&lt;=C3477*12)),Paths!$N$322,0),"n.a."))</f>
        <v>0</v>
      </c>
      <c r="L3477" s="16">
        <f>IF(NOT(Paths!$C$322=1),0,IF(Paths!$P$322="Complete",IF(C3477=10,Paths!$I$322,0),"n.a."))</f>
        <v>0</v>
      </c>
      <c r="M3477" s="16">
        <f>IF(NOT(Paths!$C$322=1),0,IF(Paths!$P$322="Complete",IF(AND(Paths!$D$322="EV",Paths!$E$322&lt;120,Paths!$E$322+'Operating costs'!$B$65&gt;Paths!$E$322,Paths!$E$322+'Operating costs'!$B$65&lt;=120,IF(Paths!$E$322+'Operating costs'!$B$65=0,C3477=0,AND(C3477&gt;0,Paths!$E$322+'Operating costs'!$B$65&gt;(C3477-1)*12,Paths!$E$322+'Operating costs'!$B$65&lt;=C3477*12))),'Operating costs'!$B$64,0)+IF(AND('Operating costs'!$B$67&gt;0,'Operating costs'!$B$67&lt;=120,OR(Paths!$D$322="ICE",'Operating costs'!$B$67&lt;=Paths!$E$322),IF('Operating costs'!$B$67=0,C3477=0,AND(C3477&gt;0,'Operating costs'!$B$67&gt;(C3477-1)*12,'Operating costs'!$B$67&lt;=C3477*12))),'Operating costs'!$B$66,0),"n.a."))</f>
        <v>0</v>
      </c>
      <c r="N3477" s="16">
        <f>IF(NOT(Paths!$C$322=1),0,IF(Paths!$P$322="Complete",SUM(G3477:I3477)-J3477-K3477-L3477+M3477+IF(C3477=0,Paths!$F$322,0)+IF(IF(Paths!$E$322=0,C3477=0,AND(C3477&gt;0,Paths!$E$322&gt;(C3477-1)*12,Paths!$E$322&lt;=C3477*12)),VLOOKUP(A3477,'Fleet register'!$A$7:$S$106,16,FALSE),0),"n.a."))</f>
        <v>0</v>
      </c>
      <c r="O3477" s="16">
        <f>IF(NOT(Paths!$C$322=1),0,IF(Paths!$P$322="Complete",N3477-IF(C3477=0,Paths!$F$322,0),"n.a."))</f>
        <v>0</v>
      </c>
      <c r="P3477" s="16">
        <f>IF(NOT(Paths!$C$322=1),0,IF(Paths!$P$322="Complete",O3477+L3477,"n.a."))</f>
        <v>0</v>
      </c>
      <c r="Q3477" s="16">
        <f>IF(NOT(Paths!$C$322=1),0,IF(Paths!$P$322="Complete",N3477*(1+'Operating costs'!$B$54)^-C3477,"n.a."))</f>
        <v>0</v>
      </c>
      <c r="R3477" s="16">
        <f>IF(NOT(Paths!$C$322=1),0,IF(Paths!$P$322="Complete",IF(AND(C3477=0,Paths!$E$322=0),I3477-J3477-K3477+VLOOKUP(A3477,'Fleet register'!$A$7:$S$106,15,FALSE)+VLOOKUP(A3477,'Fleet register'!$A$7:$S$106,16,FALSE),0),"n.a."))</f>
        <v>0</v>
      </c>
      <c r="S3477" s="1">
        <f>IF(NOT(Paths!$C$322=1),0,IF(Paths!$P$322="Complete",IF(C3477=0,0,Paths!$S$322*Paths!$R$322),"n.a."))</f>
        <v>0</v>
      </c>
      <c r="T3477" s="1">
        <f>IF(NOT(Paths!$C$322=1),0,IF(Paths!$P$322="Complete",IF(C3477=0,0,VLOOKUP(A3477,'Fleet register'!$A$7:$S$106,9,FALSE)*Paths!$R$322),"n.a."))</f>
        <v>0</v>
      </c>
    </row>
    <row r="3478" spans="1:20" ht="24" customHeight="1">
      <c r="A3478" s="1" t="str">
        <f>Paths!$A$322</f>
        <v>T079</v>
      </c>
      <c r="B3478" s="1">
        <f>Paths!$B$322</f>
        <v>3</v>
      </c>
      <c r="C3478" s="1">
        <v>6</v>
      </c>
      <c r="D3478" s="1">
        <v>322</v>
      </c>
      <c r="E3478" s="1">
        <f>IF(OR(Paths!$C$322=0,C3478=0),0,MAX(0,MIN(C3478*12,Paths!$E$322)-(C3478-1)*12))</f>
        <v>0</v>
      </c>
      <c r="F3478" s="1">
        <f>IF(OR(Paths!$C$322=0,C3478=0),0,12-E3478)</f>
        <v>0</v>
      </c>
      <c r="G3478" s="16">
        <f>IF(NOT(Paths!$C$322=1),0,IF(Paths!$P$322="Complete",E3478/12*(Paths!$J$322*(1+'Operating costs'!$B$51)^MAX(0,C3478-1)+Paths!$K$322*(1+'Operating costs'!$B$53)^MAX(0,C3478-1)),"n.a."))</f>
        <v>0</v>
      </c>
      <c r="H3478" s="16">
        <f>IF(NOT(Paths!$C$322=1),0,IF(Paths!$P$322="Complete",F3478/12*(Paths!$L$322*(1+IF(Paths!$D$322="EV",'Operating costs'!$B$52,'Operating costs'!$B$51))^MAX(0,C3478-1)+Paths!$M$322*(1+'Operating costs'!$B$53)^MAX(0,C3478-1)),"n.a."))</f>
        <v>0</v>
      </c>
      <c r="I3478" s="16">
        <f>IF(NOT(Paths!$C$322=1),0,IF(Paths!$P$322="Complete",IF(IF(Paths!$E$322=0,C3478=0,AND(C3478&gt;0,Paths!$E$322&gt;(C3478-1)*12,Paths!$E$322&lt;=C3478*12)),Paths!$G$322,0),"n.a."))</f>
        <v>0</v>
      </c>
      <c r="J3478" s="16">
        <f>IF(NOT(Paths!$C$322=1),0,IF(Paths!$P$322="Complete",IF(IF(Paths!$E$322=0,C3478=0,AND(C3478&gt;0,Paths!$E$322&gt;(C3478-1)*12,Paths!$E$322&lt;=C3478*12)),Paths!$H$322,0),"n.a."))</f>
        <v>0</v>
      </c>
      <c r="K3478" s="16">
        <f>IF(NOT(Paths!$C$322=1),0,IF(Paths!$P$322="Complete",IF(IF(Paths!$O$322=0,C3478=0,AND(C3478&gt;0,Paths!$O$322&gt;(C3478-1)*12,Paths!$O$322&lt;=C3478*12)),Paths!$N$322,0),"n.a."))</f>
        <v>0</v>
      </c>
      <c r="L3478" s="16">
        <f>IF(NOT(Paths!$C$322=1),0,IF(Paths!$P$322="Complete",IF(C3478=10,Paths!$I$322,0),"n.a."))</f>
        <v>0</v>
      </c>
      <c r="M3478" s="16">
        <f>IF(NOT(Paths!$C$322=1),0,IF(Paths!$P$322="Complete",IF(AND(Paths!$D$322="EV",Paths!$E$322&lt;120,Paths!$E$322+'Operating costs'!$B$65&gt;Paths!$E$322,Paths!$E$322+'Operating costs'!$B$65&lt;=120,IF(Paths!$E$322+'Operating costs'!$B$65=0,C3478=0,AND(C3478&gt;0,Paths!$E$322+'Operating costs'!$B$65&gt;(C3478-1)*12,Paths!$E$322+'Operating costs'!$B$65&lt;=C3478*12))),'Operating costs'!$B$64,0)+IF(AND('Operating costs'!$B$67&gt;0,'Operating costs'!$B$67&lt;=120,OR(Paths!$D$322="ICE",'Operating costs'!$B$67&lt;=Paths!$E$322),IF('Operating costs'!$B$67=0,C3478=0,AND(C3478&gt;0,'Operating costs'!$B$67&gt;(C3478-1)*12,'Operating costs'!$B$67&lt;=C3478*12))),'Operating costs'!$B$66,0),"n.a."))</f>
        <v>0</v>
      </c>
      <c r="N3478" s="16">
        <f>IF(NOT(Paths!$C$322=1),0,IF(Paths!$P$322="Complete",SUM(G3478:I3478)-J3478-K3478-L3478+M3478+IF(C3478=0,Paths!$F$322,0)+IF(IF(Paths!$E$322=0,C3478=0,AND(C3478&gt;0,Paths!$E$322&gt;(C3478-1)*12,Paths!$E$322&lt;=C3478*12)),VLOOKUP(A3478,'Fleet register'!$A$7:$S$106,16,FALSE),0),"n.a."))</f>
        <v>0</v>
      </c>
      <c r="O3478" s="16">
        <f>IF(NOT(Paths!$C$322=1),0,IF(Paths!$P$322="Complete",N3478-IF(C3478=0,Paths!$F$322,0),"n.a."))</f>
        <v>0</v>
      </c>
      <c r="P3478" s="16">
        <f>IF(NOT(Paths!$C$322=1),0,IF(Paths!$P$322="Complete",O3478+L3478,"n.a."))</f>
        <v>0</v>
      </c>
      <c r="Q3478" s="16">
        <f>IF(NOT(Paths!$C$322=1),0,IF(Paths!$P$322="Complete",N3478*(1+'Operating costs'!$B$54)^-C3478,"n.a."))</f>
        <v>0</v>
      </c>
      <c r="R3478" s="16">
        <f>IF(NOT(Paths!$C$322=1),0,IF(Paths!$P$322="Complete",IF(AND(C3478=0,Paths!$E$322=0),I3478-J3478-K3478+VLOOKUP(A3478,'Fleet register'!$A$7:$S$106,15,FALSE)+VLOOKUP(A3478,'Fleet register'!$A$7:$S$106,16,FALSE),0),"n.a."))</f>
        <v>0</v>
      </c>
      <c r="S3478" s="1">
        <f>IF(NOT(Paths!$C$322=1),0,IF(Paths!$P$322="Complete",IF(C3478=0,0,Paths!$S$322*Paths!$R$322),"n.a."))</f>
        <v>0</v>
      </c>
      <c r="T3478" s="1">
        <f>IF(NOT(Paths!$C$322=1),0,IF(Paths!$P$322="Complete",IF(C3478=0,0,VLOOKUP(A3478,'Fleet register'!$A$7:$S$106,9,FALSE)*Paths!$R$322),"n.a."))</f>
        <v>0</v>
      </c>
    </row>
    <row r="3479" spans="1:20" ht="24" customHeight="1">
      <c r="A3479" s="1" t="str">
        <f>Paths!$A$322</f>
        <v>T079</v>
      </c>
      <c r="B3479" s="1">
        <f>Paths!$B$322</f>
        <v>3</v>
      </c>
      <c r="C3479" s="1">
        <v>7</v>
      </c>
      <c r="D3479" s="1">
        <v>322</v>
      </c>
      <c r="E3479" s="1">
        <f>IF(OR(Paths!$C$322=0,C3479=0),0,MAX(0,MIN(C3479*12,Paths!$E$322)-(C3479-1)*12))</f>
        <v>0</v>
      </c>
      <c r="F3479" s="1">
        <f>IF(OR(Paths!$C$322=0,C3479=0),0,12-E3479)</f>
        <v>0</v>
      </c>
      <c r="G3479" s="16">
        <f>IF(NOT(Paths!$C$322=1),0,IF(Paths!$P$322="Complete",E3479/12*(Paths!$J$322*(1+'Operating costs'!$B$51)^MAX(0,C3479-1)+Paths!$K$322*(1+'Operating costs'!$B$53)^MAX(0,C3479-1)),"n.a."))</f>
        <v>0</v>
      </c>
      <c r="H3479" s="16">
        <f>IF(NOT(Paths!$C$322=1),0,IF(Paths!$P$322="Complete",F3479/12*(Paths!$L$322*(1+IF(Paths!$D$322="EV",'Operating costs'!$B$52,'Operating costs'!$B$51))^MAX(0,C3479-1)+Paths!$M$322*(1+'Operating costs'!$B$53)^MAX(0,C3479-1)),"n.a."))</f>
        <v>0</v>
      </c>
      <c r="I3479" s="16">
        <f>IF(NOT(Paths!$C$322=1),0,IF(Paths!$P$322="Complete",IF(IF(Paths!$E$322=0,C3479=0,AND(C3479&gt;0,Paths!$E$322&gt;(C3479-1)*12,Paths!$E$322&lt;=C3479*12)),Paths!$G$322,0),"n.a."))</f>
        <v>0</v>
      </c>
      <c r="J3479" s="16">
        <f>IF(NOT(Paths!$C$322=1),0,IF(Paths!$P$322="Complete",IF(IF(Paths!$E$322=0,C3479=0,AND(C3479&gt;0,Paths!$E$322&gt;(C3479-1)*12,Paths!$E$322&lt;=C3479*12)),Paths!$H$322,0),"n.a."))</f>
        <v>0</v>
      </c>
      <c r="K3479" s="16">
        <f>IF(NOT(Paths!$C$322=1),0,IF(Paths!$P$322="Complete",IF(IF(Paths!$O$322=0,C3479=0,AND(C3479&gt;0,Paths!$O$322&gt;(C3479-1)*12,Paths!$O$322&lt;=C3479*12)),Paths!$N$322,0),"n.a."))</f>
        <v>0</v>
      </c>
      <c r="L3479" s="16">
        <f>IF(NOT(Paths!$C$322=1),0,IF(Paths!$P$322="Complete",IF(C3479=10,Paths!$I$322,0),"n.a."))</f>
        <v>0</v>
      </c>
      <c r="M3479" s="16">
        <f>IF(NOT(Paths!$C$322=1),0,IF(Paths!$P$322="Complete",IF(AND(Paths!$D$322="EV",Paths!$E$322&lt;120,Paths!$E$322+'Operating costs'!$B$65&gt;Paths!$E$322,Paths!$E$322+'Operating costs'!$B$65&lt;=120,IF(Paths!$E$322+'Operating costs'!$B$65=0,C3479=0,AND(C3479&gt;0,Paths!$E$322+'Operating costs'!$B$65&gt;(C3479-1)*12,Paths!$E$322+'Operating costs'!$B$65&lt;=C3479*12))),'Operating costs'!$B$64,0)+IF(AND('Operating costs'!$B$67&gt;0,'Operating costs'!$B$67&lt;=120,OR(Paths!$D$322="ICE",'Operating costs'!$B$67&lt;=Paths!$E$322),IF('Operating costs'!$B$67=0,C3479=0,AND(C3479&gt;0,'Operating costs'!$B$67&gt;(C3479-1)*12,'Operating costs'!$B$67&lt;=C3479*12))),'Operating costs'!$B$66,0),"n.a."))</f>
        <v>0</v>
      </c>
      <c r="N3479" s="16">
        <f>IF(NOT(Paths!$C$322=1),0,IF(Paths!$P$322="Complete",SUM(G3479:I3479)-J3479-K3479-L3479+M3479+IF(C3479=0,Paths!$F$322,0)+IF(IF(Paths!$E$322=0,C3479=0,AND(C3479&gt;0,Paths!$E$322&gt;(C3479-1)*12,Paths!$E$322&lt;=C3479*12)),VLOOKUP(A3479,'Fleet register'!$A$7:$S$106,16,FALSE),0),"n.a."))</f>
        <v>0</v>
      </c>
      <c r="O3479" s="16">
        <f>IF(NOT(Paths!$C$322=1),0,IF(Paths!$P$322="Complete",N3479-IF(C3479=0,Paths!$F$322,0),"n.a."))</f>
        <v>0</v>
      </c>
      <c r="P3479" s="16">
        <f>IF(NOT(Paths!$C$322=1),0,IF(Paths!$P$322="Complete",O3479+L3479,"n.a."))</f>
        <v>0</v>
      </c>
      <c r="Q3479" s="16">
        <f>IF(NOT(Paths!$C$322=1),0,IF(Paths!$P$322="Complete",N3479*(1+'Operating costs'!$B$54)^-C3479,"n.a."))</f>
        <v>0</v>
      </c>
      <c r="R3479" s="16">
        <f>IF(NOT(Paths!$C$322=1),0,IF(Paths!$P$322="Complete",IF(AND(C3479=0,Paths!$E$322=0),I3479-J3479-K3479+VLOOKUP(A3479,'Fleet register'!$A$7:$S$106,15,FALSE)+VLOOKUP(A3479,'Fleet register'!$A$7:$S$106,16,FALSE),0),"n.a."))</f>
        <v>0</v>
      </c>
      <c r="S3479" s="1">
        <f>IF(NOT(Paths!$C$322=1),0,IF(Paths!$P$322="Complete",IF(C3479=0,0,Paths!$S$322*Paths!$R$322),"n.a."))</f>
        <v>0</v>
      </c>
      <c r="T3479" s="1">
        <f>IF(NOT(Paths!$C$322=1),0,IF(Paths!$P$322="Complete",IF(C3479=0,0,VLOOKUP(A3479,'Fleet register'!$A$7:$S$106,9,FALSE)*Paths!$R$322),"n.a."))</f>
        <v>0</v>
      </c>
    </row>
    <row r="3480" spans="1:20" ht="24" customHeight="1">
      <c r="A3480" s="1" t="str">
        <f>Paths!$A$322</f>
        <v>T079</v>
      </c>
      <c r="B3480" s="1">
        <f>Paths!$B$322</f>
        <v>3</v>
      </c>
      <c r="C3480" s="1">
        <v>8</v>
      </c>
      <c r="D3480" s="1">
        <v>322</v>
      </c>
      <c r="E3480" s="1">
        <f>IF(OR(Paths!$C$322=0,C3480=0),0,MAX(0,MIN(C3480*12,Paths!$E$322)-(C3480-1)*12))</f>
        <v>0</v>
      </c>
      <c r="F3480" s="1">
        <f>IF(OR(Paths!$C$322=0,C3480=0),0,12-E3480)</f>
        <v>0</v>
      </c>
      <c r="G3480" s="16">
        <f>IF(NOT(Paths!$C$322=1),0,IF(Paths!$P$322="Complete",E3480/12*(Paths!$J$322*(1+'Operating costs'!$B$51)^MAX(0,C3480-1)+Paths!$K$322*(1+'Operating costs'!$B$53)^MAX(0,C3480-1)),"n.a."))</f>
        <v>0</v>
      </c>
      <c r="H3480" s="16">
        <f>IF(NOT(Paths!$C$322=1),0,IF(Paths!$P$322="Complete",F3480/12*(Paths!$L$322*(1+IF(Paths!$D$322="EV",'Operating costs'!$B$52,'Operating costs'!$B$51))^MAX(0,C3480-1)+Paths!$M$322*(1+'Operating costs'!$B$53)^MAX(0,C3480-1)),"n.a."))</f>
        <v>0</v>
      </c>
      <c r="I3480" s="16">
        <f>IF(NOT(Paths!$C$322=1),0,IF(Paths!$P$322="Complete",IF(IF(Paths!$E$322=0,C3480=0,AND(C3480&gt;0,Paths!$E$322&gt;(C3480-1)*12,Paths!$E$322&lt;=C3480*12)),Paths!$G$322,0),"n.a."))</f>
        <v>0</v>
      </c>
      <c r="J3480" s="16">
        <f>IF(NOT(Paths!$C$322=1),0,IF(Paths!$P$322="Complete",IF(IF(Paths!$E$322=0,C3480=0,AND(C3480&gt;0,Paths!$E$322&gt;(C3480-1)*12,Paths!$E$322&lt;=C3480*12)),Paths!$H$322,0),"n.a."))</f>
        <v>0</v>
      </c>
      <c r="K3480" s="16">
        <f>IF(NOT(Paths!$C$322=1),0,IF(Paths!$P$322="Complete",IF(IF(Paths!$O$322=0,C3480=0,AND(C3480&gt;0,Paths!$O$322&gt;(C3480-1)*12,Paths!$O$322&lt;=C3480*12)),Paths!$N$322,0),"n.a."))</f>
        <v>0</v>
      </c>
      <c r="L3480" s="16">
        <f>IF(NOT(Paths!$C$322=1),0,IF(Paths!$P$322="Complete",IF(C3480=10,Paths!$I$322,0),"n.a."))</f>
        <v>0</v>
      </c>
      <c r="M3480" s="16">
        <f>IF(NOT(Paths!$C$322=1),0,IF(Paths!$P$322="Complete",IF(AND(Paths!$D$322="EV",Paths!$E$322&lt;120,Paths!$E$322+'Operating costs'!$B$65&gt;Paths!$E$322,Paths!$E$322+'Operating costs'!$B$65&lt;=120,IF(Paths!$E$322+'Operating costs'!$B$65=0,C3480=0,AND(C3480&gt;0,Paths!$E$322+'Operating costs'!$B$65&gt;(C3480-1)*12,Paths!$E$322+'Operating costs'!$B$65&lt;=C3480*12))),'Operating costs'!$B$64,0)+IF(AND('Operating costs'!$B$67&gt;0,'Operating costs'!$B$67&lt;=120,OR(Paths!$D$322="ICE",'Operating costs'!$B$67&lt;=Paths!$E$322),IF('Operating costs'!$B$67=0,C3480=0,AND(C3480&gt;0,'Operating costs'!$B$67&gt;(C3480-1)*12,'Operating costs'!$B$67&lt;=C3480*12))),'Operating costs'!$B$66,0),"n.a."))</f>
        <v>0</v>
      </c>
      <c r="N3480" s="16">
        <f>IF(NOT(Paths!$C$322=1),0,IF(Paths!$P$322="Complete",SUM(G3480:I3480)-J3480-K3480-L3480+M3480+IF(C3480=0,Paths!$F$322,0)+IF(IF(Paths!$E$322=0,C3480=0,AND(C3480&gt;0,Paths!$E$322&gt;(C3480-1)*12,Paths!$E$322&lt;=C3480*12)),VLOOKUP(A3480,'Fleet register'!$A$7:$S$106,16,FALSE),0),"n.a."))</f>
        <v>0</v>
      </c>
      <c r="O3480" s="16">
        <f>IF(NOT(Paths!$C$322=1),0,IF(Paths!$P$322="Complete",N3480-IF(C3480=0,Paths!$F$322,0),"n.a."))</f>
        <v>0</v>
      </c>
      <c r="P3480" s="16">
        <f>IF(NOT(Paths!$C$322=1),0,IF(Paths!$P$322="Complete",O3480+L3480,"n.a."))</f>
        <v>0</v>
      </c>
      <c r="Q3480" s="16">
        <f>IF(NOT(Paths!$C$322=1),0,IF(Paths!$P$322="Complete",N3480*(1+'Operating costs'!$B$54)^-C3480,"n.a."))</f>
        <v>0</v>
      </c>
      <c r="R3480" s="16">
        <f>IF(NOT(Paths!$C$322=1),0,IF(Paths!$P$322="Complete",IF(AND(C3480=0,Paths!$E$322=0),I3480-J3480-K3480+VLOOKUP(A3480,'Fleet register'!$A$7:$S$106,15,FALSE)+VLOOKUP(A3480,'Fleet register'!$A$7:$S$106,16,FALSE),0),"n.a."))</f>
        <v>0</v>
      </c>
      <c r="S3480" s="1">
        <f>IF(NOT(Paths!$C$322=1),0,IF(Paths!$P$322="Complete",IF(C3480=0,0,Paths!$S$322*Paths!$R$322),"n.a."))</f>
        <v>0</v>
      </c>
      <c r="T3480" s="1">
        <f>IF(NOT(Paths!$C$322=1),0,IF(Paths!$P$322="Complete",IF(C3480=0,0,VLOOKUP(A3480,'Fleet register'!$A$7:$S$106,9,FALSE)*Paths!$R$322),"n.a."))</f>
        <v>0</v>
      </c>
    </row>
    <row r="3481" spans="1:20" ht="24" customHeight="1">
      <c r="A3481" s="1" t="str">
        <f>Paths!$A$322</f>
        <v>T079</v>
      </c>
      <c r="B3481" s="1">
        <f>Paths!$B$322</f>
        <v>3</v>
      </c>
      <c r="C3481" s="1">
        <v>9</v>
      </c>
      <c r="D3481" s="1">
        <v>322</v>
      </c>
      <c r="E3481" s="1">
        <f>IF(OR(Paths!$C$322=0,C3481=0),0,MAX(0,MIN(C3481*12,Paths!$E$322)-(C3481-1)*12))</f>
        <v>0</v>
      </c>
      <c r="F3481" s="1">
        <f>IF(OR(Paths!$C$322=0,C3481=0),0,12-E3481)</f>
        <v>0</v>
      </c>
      <c r="G3481" s="16">
        <f>IF(NOT(Paths!$C$322=1),0,IF(Paths!$P$322="Complete",E3481/12*(Paths!$J$322*(1+'Operating costs'!$B$51)^MAX(0,C3481-1)+Paths!$K$322*(1+'Operating costs'!$B$53)^MAX(0,C3481-1)),"n.a."))</f>
        <v>0</v>
      </c>
      <c r="H3481" s="16">
        <f>IF(NOT(Paths!$C$322=1),0,IF(Paths!$P$322="Complete",F3481/12*(Paths!$L$322*(1+IF(Paths!$D$322="EV",'Operating costs'!$B$52,'Operating costs'!$B$51))^MAX(0,C3481-1)+Paths!$M$322*(1+'Operating costs'!$B$53)^MAX(0,C3481-1)),"n.a."))</f>
        <v>0</v>
      </c>
      <c r="I3481" s="16">
        <f>IF(NOT(Paths!$C$322=1),0,IF(Paths!$P$322="Complete",IF(IF(Paths!$E$322=0,C3481=0,AND(C3481&gt;0,Paths!$E$322&gt;(C3481-1)*12,Paths!$E$322&lt;=C3481*12)),Paths!$G$322,0),"n.a."))</f>
        <v>0</v>
      </c>
      <c r="J3481" s="16">
        <f>IF(NOT(Paths!$C$322=1),0,IF(Paths!$P$322="Complete",IF(IF(Paths!$E$322=0,C3481=0,AND(C3481&gt;0,Paths!$E$322&gt;(C3481-1)*12,Paths!$E$322&lt;=C3481*12)),Paths!$H$322,0),"n.a."))</f>
        <v>0</v>
      </c>
      <c r="K3481" s="16">
        <f>IF(NOT(Paths!$C$322=1),0,IF(Paths!$P$322="Complete",IF(IF(Paths!$O$322=0,C3481=0,AND(C3481&gt;0,Paths!$O$322&gt;(C3481-1)*12,Paths!$O$322&lt;=C3481*12)),Paths!$N$322,0),"n.a."))</f>
        <v>0</v>
      </c>
      <c r="L3481" s="16">
        <f>IF(NOT(Paths!$C$322=1),0,IF(Paths!$P$322="Complete",IF(C3481=10,Paths!$I$322,0),"n.a."))</f>
        <v>0</v>
      </c>
      <c r="M3481" s="16">
        <f>IF(NOT(Paths!$C$322=1),0,IF(Paths!$P$322="Complete",IF(AND(Paths!$D$322="EV",Paths!$E$322&lt;120,Paths!$E$322+'Operating costs'!$B$65&gt;Paths!$E$322,Paths!$E$322+'Operating costs'!$B$65&lt;=120,IF(Paths!$E$322+'Operating costs'!$B$65=0,C3481=0,AND(C3481&gt;0,Paths!$E$322+'Operating costs'!$B$65&gt;(C3481-1)*12,Paths!$E$322+'Operating costs'!$B$65&lt;=C3481*12))),'Operating costs'!$B$64,0)+IF(AND('Operating costs'!$B$67&gt;0,'Operating costs'!$B$67&lt;=120,OR(Paths!$D$322="ICE",'Operating costs'!$B$67&lt;=Paths!$E$322),IF('Operating costs'!$B$67=0,C3481=0,AND(C3481&gt;0,'Operating costs'!$B$67&gt;(C3481-1)*12,'Operating costs'!$B$67&lt;=C3481*12))),'Operating costs'!$B$66,0),"n.a."))</f>
        <v>0</v>
      </c>
      <c r="N3481" s="16">
        <f>IF(NOT(Paths!$C$322=1),0,IF(Paths!$P$322="Complete",SUM(G3481:I3481)-J3481-K3481-L3481+M3481+IF(C3481=0,Paths!$F$322,0)+IF(IF(Paths!$E$322=0,C3481=0,AND(C3481&gt;0,Paths!$E$322&gt;(C3481-1)*12,Paths!$E$322&lt;=C3481*12)),VLOOKUP(A3481,'Fleet register'!$A$7:$S$106,16,FALSE),0),"n.a."))</f>
        <v>0</v>
      </c>
      <c r="O3481" s="16">
        <f>IF(NOT(Paths!$C$322=1),0,IF(Paths!$P$322="Complete",N3481-IF(C3481=0,Paths!$F$322,0),"n.a."))</f>
        <v>0</v>
      </c>
      <c r="P3481" s="16">
        <f>IF(NOT(Paths!$C$322=1),0,IF(Paths!$P$322="Complete",O3481+L3481,"n.a."))</f>
        <v>0</v>
      </c>
      <c r="Q3481" s="16">
        <f>IF(NOT(Paths!$C$322=1),0,IF(Paths!$P$322="Complete",N3481*(1+'Operating costs'!$B$54)^-C3481,"n.a."))</f>
        <v>0</v>
      </c>
      <c r="R3481" s="16">
        <f>IF(NOT(Paths!$C$322=1),0,IF(Paths!$P$322="Complete",IF(AND(C3481=0,Paths!$E$322=0),I3481-J3481-K3481+VLOOKUP(A3481,'Fleet register'!$A$7:$S$106,15,FALSE)+VLOOKUP(A3481,'Fleet register'!$A$7:$S$106,16,FALSE),0),"n.a."))</f>
        <v>0</v>
      </c>
      <c r="S3481" s="1">
        <f>IF(NOT(Paths!$C$322=1),0,IF(Paths!$P$322="Complete",IF(C3481=0,0,Paths!$S$322*Paths!$R$322),"n.a."))</f>
        <v>0</v>
      </c>
      <c r="T3481" s="1">
        <f>IF(NOT(Paths!$C$322=1),0,IF(Paths!$P$322="Complete",IF(C3481=0,0,VLOOKUP(A3481,'Fleet register'!$A$7:$S$106,9,FALSE)*Paths!$R$322),"n.a."))</f>
        <v>0</v>
      </c>
    </row>
    <row r="3482" spans="1:20" ht="24" customHeight="1">
      <c r="A3482" s="1" t="str">
        <f>Paths!$A$322</f>
        <v>T079</v>
      </c>
      <c r="B3482" s="1">
        <f>Paths!$B$322</f>
        <v>3</v>
      </c>
      <c r="C3482" s="1">
        <v>10</v>
      </c>
      <c r="D3482" s="1">
        <v>322</v>
      </c>
      <c r="E3482" s="1">
        <f>IF(OR(Paths!$C$322=0,C3482=0),0,MAX(0,MIN(C3482*12,Paths!$E$322)-(C3482-1)*12))</f>
        <v>0</v>
      </c>
      <c r="F3482" s="1">
        <f>IF(OR(Paths!$C$322=0,C3482=0),0,12-E3482)</f>
        <v>0</v>
      </c>
      <c r="G3482" s="16">
        <f>IF(NOT(Paths!$C$322=1),0,IF(Paths!$P$322="Complete",E3482/12*(Paths!$J$322*(1+'Operating costs'!$B$51)^MAX(0,C3482-1)+Paths!$K$322*(1+'Operating costs'!$B$53)^MAX(0,C3482-1)),"n.a."))</f>
        <v>0</v>
      </c>
      <c r="H3482" s="16">
        <f>IF(NOT(Paths!$C$322=1),0,IF(Paths!$P$322="Complete",F3482/12*(Paths!$L$322*(1+IF(Paths!$D$322="EV",'Operating costs'!$B$52,'Operating costs'!$B$51))^MAX(0,C3482-1)+Paths!$M$322*(1+'Operating costs'!$B$53)^MAX(0,C3482-1)),"n.a."))</f>
        <v>0</v>
      </c>
      <c r="I3482" s="16">
        <f>IF(NOT(Paths!$C$322=1),0,IF(Paths!$P$322="Complete",IF(IF(Paths!$E$322=0,C3482=0,AND(C3482&gt;0,Paths!$E$322&gt;(C3482-1)*12,Paths!$E$322&lt;=C3482*12)),Paths!$G$322,0),"n.a."))</f>
        <v>0</v>
      </c>
      <c r="J3482" s="16">
        <f>IF(NOT(Paths!$C$322=1),0,IF(Paths!$P$322="Complete",IF(IF(Paths!$E$322=0,C3482=0,AND(C3482&gt;0,Paths!$E$322&gt;(C3482-1)*12,Paths!$E$322&lt;=C3482*12)),Paths!$H$322,0),"n.a."))</f>
        <v>0</v>
      </c>
      <c r="K3482" s="16">
        <f>IF(NOT(Paths!$C$322=1),0,IF(Paths!$P$322="Complete",IF(IF(Paths!$O$322=0,C3482=0,AND(C3482&gt;0,Paths!$O$322&gt;(C3482-1)*12,Paths!$O$322&lt;=C3482*12)),Paths!$N$322,0),"n.a."))</f>
        <v>0</v>
      </c>
      <c r="L3482" s="16">
        <f>IF(NOT(Paths!$C$322=1),0,IF(Paths!$P$322="Complete",IF(C3482=10,Paths!$I$322,0),"n.a."))</f>
        <v>0</v>
      </c>
      <c r="M3482" s="16">
        <f>IF(NOT(Paths!$C$322=1),0,IF(Paths!$P$322="Complete",IF(AND(Paths!$D$322="EV",Paths!$E$322&lt;120,Paths!$E$322+'Operating costs'!$B$65&gt;Paths!$E$322,Paths!$E$322+'Operating costs'!$B$65&lt;=120,IF(Paths!$E$322+'Operating costs'!$B$65=0,C3482=0,AND(C3482&gt;0,Paths!$E$322+'Operating costs'!$B$65&gt;(C3482-1)*12,Paths!$E$322+'Operating costs'!$B$65&lt;=C3482*12))),'Operating costs'!$B$64,0)+IF(AND('Operating costs'!$B$67&gt;0,'Operating costs'!$B$67&lt;=120,OR(Paths!$D$322="ICE",'Operating costs'!$B$67&lt;=Paths!$E$322),IF('Operating costs'!$B$67=0,C3482=0,AND(C3482&gt;0,'Operating costs'!$B$67&gt;(C3482-1)*12,'Operating costs'!$B$67&lt;=C3482*12))),'Operating costs'!$B$66,0),"n.a."))</f>
        <v>0</v>
      </c>
      <c r="N3482" s="16">
        <f>IF(NOT(Paths!$C$322=1),0,IF(Paths!$P$322="Complete",SUM(G3482:I3482)-J3482-K3482-L3482+M3482+IF(C3482=0,Paths!$F$322,0)+IF(IF(Paths!$E$322=0,C3482=0,AND(C3482&gt;0,Paths!$E$322&gt;(C3482-1)*12,Paths!$E$322&lt;=C3482*12)),VLOOKUP(A3482,'Fleet register'!$A$7:$S$106,16,FALSE),0),"n.a."))</f>
        <v>0</v>
      </c>
      <c r="O3482" s="16">
        <f>IF(NOT(Paths!$C$322=1),0,IF(Paths!$P$322="Complete",N3482-IF(C3482=0,Paths!$F$322,0),"n.a."))</f>
        <v>0</v>
      </c>
      <c r="P3482" s="16">
        <f>IF(NOT(Paths!$C$322=1),0,IF(Paths!$P$322="Complete",O3482+L3482,"n.a."))</f>
        <v>0</v>
      </c>
      <c r="Q3482" s="16">
        <f>IF(NOT(Paths!$C$322=1),0,IF(Paths!$P$322="Complete",N3482*(1+'Operating costs'!$B$54)^-C3482,"n.a."))</f>
        <v>0</v>
      </c>
      <c r="R3482" s="16">
        <f>IF(NOT(Paths!$C$322=1),0,IF(Paths!$P$322="Complete",IF(AND(C3482=0,Paths!$E$322=0),I3482-J3482-K3482+VLOOKUP(A3482,'Fleet register'!$A$7:$S$106,15,FALSE)+VLOOKUP(A3482,'Fleet register'!$A$7:$S$106,16,FALSE),0),"n.a."))</f>
        <v>0</v>
      </c>
      <c r="S3482" s="1">
        <f>IF(NOT(Paths!$C$322=1),0,IF(Paths!$P$322="Complete",IF(C3482=0,0,Paths!$S$322*Paths!$R$322),"n.a."))</f>
        <v>0</v>
      </c>
      <c r="T3482" s="1">
        <f>IF(NOT(Paths!$C$322=1),0,IF(Paths!$P$322="Complete",IF(C3482=0,0,VLOOKUP(A3482,'Fleet register'!$A$7:$S$106,9,FALSE)*Paths!$R$322),"n.a."))</f>
        <v>0</v>
      </c>
    </row>
    <row r="3483" spans="1:20" ht="24" customHeight="1">
      <c r="A3483" s="1" t="str">
        <f>Paths!$A$323</f>
        <v>T080</v>
      </c>
      <c r="B3483" s="1">
        <f>Paths!$B$323</f>
        <v>0</v>
      </c>
      <c r="C3483" s="1">
        <v>0</v>
      </c>
      <c r="D3483" s="1">
        <v>323</v>
      </c>
      <c r="E3483" s="1">
        <f>IF(OR(Paths!$C$323=0,C3483=0),0,MAX(0,MIN(C3483*12,Paths!$E$323)-(C3483-1)*12))</f>
        <v>0</v>
      </c>
      <c r="F3483" s="1">
        <f>IF(OR(Paths!$C$323=0,C3483=0),0,12-E3483)</f>
        <v>0</v>
      </c>
      <c r="G3483" s="16">
        <f>IF(NOT(Paths!$C$323=1),0,IF(Paths!$P$323="Complete",E3483/12*(Paths!$J$323*(1+'Operating costs'!$B$51)^MAX(0,C3483-1)+Paths!$K$323*(1+'Operating costs'!$B$53)^MAX(0,C3483-1)),"n.a."))</f>
        <v>0</v>
      </c>
      <c r="H3483" s="16">
        <f>IF(NOT(Paths!$C$323=1),0,IF(Paths!$P$323="Complete",F3483/12*(Paths!$L$323*(1+IF(Paths!$D$323="EV",'Operating costs'!$B$52,'Operating costs'!$B$51))^MAX(0,C3483-1)+Paths!$M$323*(1+'Operating costs'!$B$53)^MAX(0,C3483-1)),"n.a."))</f>
        <v>0</v>
      </c>
      <c r="I3483" s="16">
        <f>IF(NOT(Paths!$C$323=1),0,IF(Paths!$P$323="Complete",IF(IF(Paths!$E$323=0,C3483=0,AND(C3483&gt;0,Paths!$E$323&gt;(C3483-1)*12,Paths!$E$323&lt;=C3483*12)),Paths!$G$323,0),"n.a."))</f>
        <v>0</v>
      </c>
      <c r="J3483" s="16">
        <f>IF(NOT(Paths!$C$323=1),0,IF(Paths!$P$323="Complete",IF(IF(Paths!$E$323=0,C3483=0,AND(C3483&gt;0,Paths!$E$323&gt;(C3483-1)*12,Paths!$E$323&lt;=C3483*12)),Paths!$H$323,0),"n.a."))</f>
        <v>0</v>
      </c>
      <c r="K3483" s="16">
        <f>IF(NOT(Paths!$C$323=1),0,IF(Paths!$P$323="Complete",IF(IF(Paths!$O$323=0,C3483=0,AND(C3483&gt;0,Paths!$O$323&gt;(C3483-1)*12,Paths!$O$323&lt;=C3483*12)),Paths!$N$323,0),"n.a."))</f>
        <v>0</v>
      </c>
      <c r="L3483" s="16">
        <f>IF(NOT(Paths!$C$323=1),0,IF(Paths!$P$323="Complete",IF(C3483=10,Paths!$I$323,0),"n.a."))</f>
        <v>0</v>
      </c>
      <c r="M3483" s="16">
        <f>IF(NOT(Paths!$C$323=1),0,IF(Paths!$P$323="Complete",IF(AND(Paths!$D$323="EV",Paths!$E$323&lt;120,Paths!$E$323+'Operating costs'!$B$65&gt;Paths!$E$323,Paths!$E$323+'Operating costs'!$B$65&lt;=120,IF(Paths!$E$323+'Operating costs'!$B$65=0,C3483=0,AND(C3483&gt;0,Paths!$E$323+'Operating costs'!$B$65&gt;(C3483-1)*12,Paths!$E$323+'Operating costs'!$B$65&lt;=C3483*12))),'Operating costs'!$B$64,0)+IF(AND('Operating costs'!$B$67&gt;0,'Operating costs'!$B$67&lt;=120,OR(Paths!$D$323="ICE",'Operating costs'!$B$67&lt;=Paths!$E$323),IF('Operating costs'!$B$67=0,C3483=0,AND(C3483&gt;0,'Operating costs'!$B$67&gt;(C3483-1)*12,'Operating costs'!$B$67&lt;=C3483*12))),'Operating costs'!$B$66,0),"n.a."))</f>
        <v>0</v>
      </c>
      <c r="N3483" s="16">
        <f>IF(NOT(Paths!$C$323=1),0,IF(Paths!$P$323="Complete",SUM(G3483:I3483)-J3483-K3483-L3483+M3483+IF(C3483=0,Paths!$F$323,0)+IF(IF(Paths!$E$323=0,C3483=0,AND(C3483&gt;0,Paths!$E$323&gt;(C3483-1)*12,Paths!$E$323&lt;=C3483*12)),VLOOKUP(A3483,'Fleet register'!$A$7:$S$106,16,FALSE),0),"n.a."))</f>
        <v>0</v>
      </c>
      <c r="O3483" s="16">
        <f>IF(NOT(Paths!$C$323=1),0,IF(Paths!$P$323="Complete",N3483-IF(C3483=0,Paths!$F$323,0),"n.a."))</f>
        <v>0</v>
      </c>
      <c r="P3483" s="16">
        <f>IF(NOT(Paths!$C$323=1),0,IF(Paths!$P$323="Complete",O3483+L3483,"n.a."))</f>
        <v>0</v>
      </c>
      <c r="Q3483" s="16">
        <f>IF(NOT(Paths!$C$323=1),0,IF(Paths!$P$323="Complete",N3483*(1+'Operating costs'!$B$54)^-C3483,"n.a."))</f>
        <v>0</v>
      </c>
      <c r="R3483" s="16">
        <f>IF(NOT(Paths!$C$323=1),0,IF(Paths!$P$323="Complete",IF(AND(C3483=0,Paths!$E$323=0),I3483-J3483-K3483+VLOOKUP(A3483,'Fleet register'!$A$7:$S$106,15,FALSE)+VLOOKUP(A3483,'Fleet register'!$A$7:$S$106,16,FALSE),0),"n.a."))</f>
        <v>0</v>
      </c>
      <c r="S3483" s="1">
        <f>IF(NOT(Paths!$C$323=1),0,IF(Paths!$P$323="Complete",IF(C3483=0,0,Paths!$S$323*Paths!$R$323),"n.a."))</f>
        <v>0</v>
      </c>
      <c r="T3483" s="1">
        <f>IF(NOT(Paths!$C$323=1),0,IF(Paths!$P$323="Complete",IF(C3483=0,0,VLOOKUP(A3483,'Fleet register'!$A$7:$S$106,9,FALSE)*Paths!$R$323),"n.a."))</f>
        <v>0</v>
      </c>
    </row>
    <row r="3484" spans="1:20" ht="24" customHeight="1">
      <c r="A3484" s="1" t="str">
        <f>Paths!$A$323</f>
        <v>T080</v>
      </c>
      <c r="B3484" s="1">
        <f>Paths!$B$323</f>
        <v>0</v>
      </c>
      <c r="C3484" s="1">
        <v>1</v>
      </c>
      <c r="D3484" s="1">
        <v>323</v>
      </c>
      <c r="E3484" s="1">
        <f>IF(OR(Paths!$C$323=0,C3484=0),0,MAX(0,MIN(C3484*12,Paths!$E$323)-(C3484-1)*12))</f>
        <v>0</v>
      </c>
      <c r="F3484" s="1">
        <f>IF(OR(Paths!$C$323=0,C3484=0),0,12-E3484)</f>
        <v>0</v>
      </c>
      <c r="G3484" s="16">
        <f>IF(NOT(Paths!$C$323=1),0,IF(Paths!$P$323="Complete",E3484/12*(Paths!$J$323*(1+'Operating costs'!$B$51)^MAX(0,C3484-1)+Paths!$K$323*(1+'Operating costs'!$B$53)^MAX(0,C3484-1)),"n.a."))</f>
        <v>0</v>
      </c>
      <c r="H3484" s="16">
        <f>IF(NOT(Paths!$C$323=1),0,IF(Paths!$P$323="Complete",F3484/12*(Paths!$L$323*(1+IF(Paths!$D$323="EV",'Operating costs'!$B$52,'Operating costs'!$B$51))^MAX(0,C3484-1)+Paths!$M$323*(1+'Operating costs'!$B$53)^MAX(0,C3484-1)),"n.a."))</f>
        <v>0</v>
      </c>
      <c r="I3484" s="16">
        <f>IF(NOT(Paths!$C$323=1),0,IF(Paths!$P$323="Complete",IF(IF(Paths!$E$323=0,C3484=0,AND(C3484&gt;0,Paths!$E$323&gt;(C3484-1)*12,Paths!$E$323&lt;=C3484*12)),Paths!$G$323,0),"n.a."))</f>
        <v>0</v>
      </c>
      <c r="J3484" s="16">
        <f>IF(NOT(Paths!$C$323=1),0,IF(Paths!$P$323="Complete",IF(IF(Paths!$E$323=0,C3484=0,AND(C3484&gt;0,Paths!$E$323&gt;(C3484-1)*12,Paths!$E$323&lt;=C3484*12)),Paths!$H$323,0),"n.a."))</f>
        <v>0</v>
      </c>
      <c r="K3484" s="16">
        <f>IF(NOT(Paths!$C$323=1),0,IF(Paths!$P$323="Complete",IF(IF(Paths!$O$323=0,C3484=0,AND(C3484&gt;0,Paths!$O$323&gt;(C3484-1)*12,Paths!$O$323&lt;=C3484*12)),Paths!$N$323,0),"n.a."))</f>
        <v>0</v>
      </c>
      <c r="L3484" s="16">
        <f>IF(NOT(Paths!$C$323=1),0,IF(Paths!$P$323="Complete",IF(C3484=10,Paths!$I$323,0),"n.a."))</f>
        <v>0</v>
      </c>
      <c r="M3484" s="16">
        <f>IF(NOT(Paths!$C$323=1),0,IF(Paths!$P$323="Complete",IF(AND(Paths!$D$323="EV",Paths!$E$323&lt;120,Paths!$E$323+'Operating costs'!$B$65&gt;Paths!$E$323,Paths!$E$323+'Operating costs'!$B$65&lt;=120,IF(Paths!$E$323+'Operating costs'!$B$65=0,C3484=0,AND(C3484&gt;0,Paths!$E$323+'Operating costs'!$B$65&gt;(C3484-1)*12,Paths!$E$323+'Operating costs'!$B$65&lt;=C3484*12))),'Operating costs'!$B$64,0)+IF(AND('Operating costs'!$B$67&gt;0,'Operating costs'!$B$67&lt;=120,OR(Paths!$D$323="ICE",'Operating costs'!$B$67&lt;=Paths!$E$323),IF('Operating costs'!$B$67=0,C3484=0,AND(C3484&gt;0,'Operating costs'!$B$67&gt;(C3484-1)*12,'Operating costs'!$B$67&lt;=C3484*12))),'Operating costs'!$B$66,0),"n.a."))</f>
        <v>0</v>
      </c>
      <c r="N3484" s="16">
        <f>IF(NOT(Paths!$C$323=1),0,IF(Paths!$P$323="Complete",SUM(G3484:I3484)-J3484-K3484-L3484+M3484+IF(C3484=0,Paths!$F$323,0)+IF(IF(Paths!$E$323=0,C3484=0,AND(C3484&gt;0,Paths!$E$323&gt;(C3484-1)*12,Paths!$E$323&lt;=C3484*12)),VLOOKUP(A3484,'Fleet register'!$A$7:$S$106,16,FALSE),0),"n.a."))</f>
        <v>0</v>
      </c>
      <c r="O3484" s="16">
        <f>IF(NOT(Paths!$C$323=1),0,IF(Paths!$P$323="Complete",N3484-IF(C3484=0,Paths!$F$323,0),"n.a."))</f>
        <v>0</v>
      </c>
      <c r="P3484" s="16">
        <f>IF(NOT(Paths!$C$323=1),0,IF(Paths!$P$323="Complete",O3484+L3484,"n.a."))</f>
        <v>0</v>
      </c>
      <c r="Q3484" s="16">
        <f>IF(NOT(Paths!$C$323=1),0,IF(Paths!$P$323="Complete",N3484*(1+'Operating costs'!$B$54)^-C3484,"n.a."))</f>
        <v>0</v>
      </c>
      <c r="R3484" s="16">
        <f>IF(NOT(Paths!$C$323=1),0,IF(Paths!$P$323="Complete",IF(AND(C3484=0,Paths!$E$323=0),I3484-J3484-K3484+VLOOKUP(A3484,'Fleet register'!$A$7:$S$106,15,FALSE)+VLOOKUP(A3484,'Fleet register'!$A$7:$S$106,16,FALSE),0),"n.a."))</f>
        <v>0</v>
      </c>
      <c r="S3484" s="1">
        <f>IF(NOT(Paths!$C$323=1),0,IF(Paths!$P$323="Complete",IF(C3484=0,0,Paths!$S$323*Paths!$R$323),"n.a."))</f>
        <v>0</v>
      </c>
      <c r="T3484" s="1">
        <f>IF(NOT(Paths!$C$323=1),0,IF(Paths!$P$323="Complete",IF(C3484=0,0,VLOOKUP(A3484,'Fleet register'!$A$7:$S$106,9,FALSE)*Paths!$R$323),"n.a."))</f>
        <v>0</v>
      </c>
    </row>
    <row r="3485" spans="1:20" ht="24" customHeight="1">
      <c r="A3485" s="1" t="str">
        <f>Paths!$A$323</f>
        <v>T080</v>
      </c>
      <c r="B3485" s="1">
        <f>Paths!$B$323</f>
        <v>0</v>
      </c>
      <c r="C3485" s="1">
        <v>2</v>
      </c>
      <c r="D3485" s="1">
        <v>323</v>
      </c>
      <c r="E3485" s="1">
        <f>IF(OR(Paths!$C$323=0,C3485=0),0,MAX(0,MIN(C3485*12,Paths!$E$323)-(C3485-1)*12))</f>
        <v>0</v>
      </c>
      <c r="F3485" s="1">
        <f>IF(OR(Paths!$C$323=0,C3485=0),0,12-E3485)</f>
        <v>0</v>
      </c>
      <c r="G3485" s="16">
        <f>IF(NOT(Paths!$C$323=1),0,IF(Paths!$P$323="Complete",E3485/12*(Paths!$J$323*(1+'Operating costs'!$B$51)^MAX(0,C3485-1)+Paths!$K$323*(1+'Operating costs'!$B$53)^MAX(0,C3485-1)),"n.a."))</f>
        <v>0</v>
      </c>
      <c r="H3485" s="16">
        <f>IF(NOT(Paths!$C$323=1),0,IF(Paths!$P$323="Complete",F3485/12*(Paths!$L$323*(1+IF(Paths!$D$323="EV",'Operating costs'!$B$52,'Operating costs'!$B$51))^MAX(0,C3485-1)+Paths!$M$323*(1+'Operating costs'!$B$53)^MAX(0,C3485-1)),"n.a."))</f>
        <v>0</v>
      </c>
      <c r="I3485" s="16">
        <f>IF(NOT(Paths!$C$323=1),0,IF(Paths!$P$323="Complete",IF(IF(Paths!$E$323=0,C3485=0,AND(C3485&gt;0,Paths!$E$323&gt;(C3485-1)*12,Paths!$E$323&lt;=C3485*12)),Paths!$G$323,0),"n.a."))</f>
        <v>0</v>
      </c>
      <c r="J3485" s="16">
        <f>IF(NOT(Paths!$C$323=1),0,IF(Paths!$P$323="Complete",IF(IF(Paths!$E$323=0,C3485=0,AND(C3485&gt;0,Paths!$E$323&gt;(C3485-1)*12,Paths!$E$323&lt;=C3485*12)),Paths!$H$323,0),"n.a."))</f>
        <v>0</v>
      </c>
      <c r="K3485" s="16">
        <f>IF(NOT(Paths!$C$323=1),0,IF(Paths!$P$323="Complete",IF(IF(Paths!$O$323=0,C3485=0,AND(C3485&gt;0,Paths!$O$323&gt;(C3485-1)*12,Paths!$O$323&lt;=C3485*12)),Paths!$N$323,0),"n.a."))</f>
        <v>0</v>
      </c>
      <c r="L3485" s="16">
        <f>IF(NOT(Paths!$C$323=1),0,IF(Paths!$P$323="Complete",IF(C3485=10,Paths!$I$323,0),"n.a."))</f>
        <v>0</v>
      </c>
      <c r="M3485" s="16">
        <f>IF(NOT(Paths!$C$323=1),0,IF(Paths!$P$323="Complete",IF(AND(Paths!$D$323="EV",Paths!$E$323&lt;120,Paths!$E$323+'Operating costs'!$B$65&gt;Paths!$E$323,Paths!$E$323+'Operating costs'!$B$65&lt;=120,IF(Paths!$E$323+'Operating costs'!$B$65=0,C3485=0,AND(C3485&gt;0,Paths!$E$323+'Operating costs'!$B$65&gt;(C3485-1)*12,Paths!$E$323+'Operating costs'!$B$65&lt;=C3485*12))),'Operating costs'!$B$64,0)+IF(AND('Operating costs'!$B$67&gt;0,'Operating costs'!$B$67&lt;=120,OR(Paths!$D$323="ICE",'Operating costs'!$B$67&lt;=Paths!$E$323),IF('Operating costs'!$B$67=0,C3485=0,AND(C3485&gt;0,'Operating costs'!$B$67&gt;(C3485-1)*12,'Operating costs'!$B$67&lt;=C3485*12))),'Operating costs'!$B$66,0),"n.a."))</f>
        <v>0</v>
      </c>
      <c r="N3485" s="16">
        <f>IF(NOT(Paths!$C$323=1),0,IF(Paths!$P$323="Complete",SUM(G3485:I3485)-J3485-K3485-L3485+M3485+IF(C3485=0,Paths!$F$323,0)+IF(IF(Paths!$E$323=0,C3485=0,AND(C3485&gt;0,Paths!$E$323&gt;(C3485-1)*12,Paths!$E$323&lt;=C3485*12)),VLOOKUP(A3485,'Fleet register'!$A$7:$S$106,16,FALSE),0),"n.a."))</f>
        <v>0</v>
      </c>
      <c r="O3485" s="16">
        <f>IF(NOT(Paths!$C$323=1),0,IF(Paths!$P$323="Complete",N3485-IF(C3485=0,Paths!$F$323,0),"n.a."))</f>
        <v>0</v>
      </c>
      <c r="P3485" s="16">
        <f>IF(NOT(Paths!$C$323=1),0,IF(Paths!$P$323="Complete",O3485+L3485,"n.a."))</f>
        <v>0</v>
      </c>
      <c r="Q3485" s="16">
        <f>IF(NOT(Paths!$C$323=1),0,IF(Paths!$P$323="Complete",N3485*(1+'Operating costs'!$B$54)^-C3485,"n.a."))</f>
        <v>0</v>
      </c>
      <c r="R3485" s="16">
        <f>IF(NOT(Paths!$C$323=1),0,IF(Paths!$P$323="Complete",IF(AND(C3485=0,Paths!$E$323=0),I3485-J3485-K3485+VLOOKUP(A3485,'Fleet register'!$A$7:$S$106,15,FALSE)+VLOOKUP(A3485,'Fleet register'!$A$7:$S$106,16,FALSE),0),"n.a."))</f>
        <v>0</v>
      </c>
      <c r="S3485" s="1">
        <f>IF(NOT(Paths!$C$323=1),0,IF(Paths!$P$323="Complete",IF(C3485=0,0,Paths!$S$323*Paths!$R$323),"n.a."))</f>
        <v>0</v>
      </c>
      <c r="T3485" s="1">
        <f>IF(NOT(Paths!$C$323=1),0,IF(Paths!$P$323="Complete",IF(C3485=0,0,VLOOKUP(A3485,'Fleet register'!$A$7:$S$106,9,FALSE)*Paths!$R$323),"n.a."))</f>
        <v>0</v>
      </c>
    </row>
    <row r="3486" spans="1:20" ht="24" customHeight="1">
      <c r="A3486" s="1" t="str">
        <f>Paths!$A$323</f>
        <v>T080</v>
      </c>
      <c r="B3486" s="1">
        <f>Paths!$B$323</f>
        <v>0</v>
      </c>
      <c r="C3486" s="1">
        <v>3</v>
      </c>
      <c r="D3486" s="1">
        <v>323</v>
      </c>
      <c r="E3486" s="1">
        <f>IF(OR(Paths!$C$323=0,C3486=0),0,MAX(0,MIN(C3486*12,Paths!$E$323)-(C3486-1)*12))</f>
        <v>0</v>
      </c>
      <c r="F3486" s="1">
        <f>IF(OR(Paths!$C$323=0,C3486=0),0,12-E3486)</f>
        <v>0</v>
      </c>
      <c r="G3486" s="16">
        <f>IF(NOT(Paths!$C$323=1),0,IF(Paths!$P$323="Complete",E3486/12*(Paths!$J$323*(1+'Operating costs'!$B$51)^MAX(0,C3486-1)+Paths!$K$323*(1+'Operating costs'!$B$53)^MAX(0,C3486-1)),"n.a."))</f>
        <v>0</v>
      </c>
      <c r="H3486" s="16">
        <f>IF(NOT(Paths!$C$323=1),0,IF(Paths!$P$323="Complete",F3486/12*(Paths!$L$323*(1+IF(Paths!$D$323="EV",'Operating costs'!$B$52,'Operating costs'!$B$51))^MAX(0,C3486-1)+Paths!$M$323*(1+'Operating costs'!$B$53)^MAX(0,C3486-1)),"n.a."))</f>
        <v>0</v>
      </c>
      <c r="I3486" s="16">
        <f>IF(NOT(Paths!$C$323=1),0,IF(Paths!$P$323="Complete",IF(IF(Paths!$E$323=0,C3486=0,AND(C3486&gt;0,Paths!$E$323&gt;(C3486-1)*12,Paths!$E$323&lt;=C3486*12)),Paths!$G$323,0),"n.a."))</f>
        <v>0</v>
      </c>
      <c r="J3486" s="16">
        <f>IF(NOT(Paths!$C$323=1),0,IF(Paths!$P$323="Complete",IF(IF(Paths!$E$323=0,C3486=0,AND(C3486&gt;0,Paths!$E$323&gt;(C3486-1)*12,Paths!$E$323&lt;=C3486*12)),Paths!$H$323,0),"n.a."))</f>
        <v>0</v>
      </c>
      <c r="K3486" s="16">
        <f>IF(NOT(Paths!$C$323=1),0,IF(Paths!$P$323="Complete",IF(IF(Paths!$O$323=0,C3486=0,AND(C3486&gt;0,Paths!$O$323&gt;(C3486-1)*12,Paths!$O$323&lt;=C3486*12)),Paths!$N$323,0),"n.a."))</f>
        <v>0</v>
      </c>
      <c r="L3486" s="16">
        <f>IF(NOT(Paths!$C$323=1),0,IF(Paths!$P$323="Complete",IF(C3486=10,Paths!$I$323,0),"n.a."))</f>
        <v>0</v>
      </c>
      <c r="M3486" s="16">
        <f>IF(NOT(Paths!$C$323=1),0,IF(Paths!$P$323="Complete",IF(AND(Paths!$D$323="EV",Paths!$E$323&lt;120,Paths!$E$323+'Operating costs'!$B$65&gt;Paths!$E$323,Paths!$E$323+'Operating costs'!$B$65&lt;=120,IF(Paths!$E$323+'Operating costs'!$B$65=0,C3486=0,AND(C3486&gt;0,Paths!$E$323+'Operating costs'!$B$65&gt;(C3486-1)*12,Paths!$E$323+'Operating costs'!$B$65&lt;=C3486*12))),'Operating costs'!$B$64,0)+IF(AND('Operating costs'!$B$67&gt;0,'Operating costs'!$B$67&lt;=120,OR(Paths!$D$323="ICE",'Operating costs'!$B$67&lt;=Paths!$E$323),IF('Operating costs'!$B$67=0,C3486=0,AND(C3486&gt;0,'Operating costs'!$B$67&gt;(C3486-1)*12,'Operating costs'!$B$67&lt;=C3486*12))),'Operating costs'!$B$66,0),"n.a."))</f>
        <v>0</v>
      </c>
      <c r="N3486" s="16">
        <f>IF(NOT(Paths!$C$323=1),0,IF(Paths!$P$323="Complete",SUM(G3486:I3486)-J3486-K3486-L3486+M3486+IF(C3486=0,Paths!$F$323,0)+IF(IF(Paths!$E$323=0,C3486=0,AND(C3486&gt;0,Paths!$E$323&gt;(C3486-1)*12,Paths!$E$323&lt;=C3486*12)),VLOOKUP(A3486,'Fleet register'!$A$7:$S$106,16,FALSE),0),"n.a."))</f>
        <v>0</v>
      </c>
      <c r="O3486" s="16">
        <f>IF(NOT(Paths!$C$323=1),0,IF(Paths!$P$323="Complete",N3486-IF(C3486=0,Paths!$F$323,0),"n.a."))</f>
        <v>0</v>
      </c>
      <c r="P3486" s="16">
        <f>IF(NOT(Paths!$C$323=1),0,IF(Paths!$P$323="Complete",O3486+L3486,"n.a."))</f>
        <v>0</v>
      </c>
      <c r="Q3486" s="16">
        <f>IF(NOT(Paths!$C$323=1),0,IF(Paths!$P$323="Complete",N3486*(1+'Operating costs'!$B$54)^-C3486,"n.a."))</f>
        <v>0</v>
      </c>
      <c r="R3486" s="16">
        <f>IF(NOT(Paths!$C$323=1),0,IF(Paths!$P$323="Complete",IF(AND(C3486=0,Paths!$E$323=0),I3486-J3486-K3486+VLOOKUP(A3486,'Fleet register'!$A$7:$S$106,15,FALSE)+VLOOKUP(A3486,'Fleet register'!$A$7:$S$106,16,FALSE),0),"n.a."))</f>
        <v>0</v>
      </c>
      <c r="S3486" s="1">
        <f>IF(NOT(Paths!$C$323=1),0,IF(Paths!$P$323="Complete",IF(C3486=0,0,Paths!$S$323*Paths!$R$323),"n.a."))</f>
        <v>0</v>
      </c>
      <c r="T3486" s="1">
        <f>IF(NOT(Paths!$C$323=1),0,IF(Paths!$P$323="Complete",IF(C3486=0,0,VLOOKUP(A3486,'Fleet register'!$A$7:$S$106,9,FALSE)*Paths!$R$323),"n.a."))</f>
        <v>0</v>
      </c>
    </row>
    <row r="3487" spans="1:20" ht="24" customHeight="1">
      <c r="A3487" s="1" t="str">
        <f>Paths!$A$323</f>
        <v>T080</v>
      </c>
      <c r="B3487" s="1">
        <f>Paths!$B$323</f>
        <v>0</v>
      </c>
      <c r="C3487" s="1">
        <v>4</v>
      </c>
      <c r="D3487" s="1">
        <v>323</v>
      </c>
      <c r="E3487" s="1">
        <f>IF(OR(Paths!$C$323=0,C3487=0),0,MAX(0,MIN(C3487*12,Paths!$E$323)-(C3487-1)*12))</f>
        <v>0</v>
      </c>
      <c r="F3487" s="1">
        <f>IF(OR(Paths!$C$323=0,C3487=0),0,12-E3487)</f>
        <v>0</v>
      </c>
      <c r="G3487" s="16">
        <f>IF(NOT(Paths!$C$323=1),0,IF(Paths!$P$323="Complete",E3487/12*(Paths!$J$323*(1+'Operating costs'!$B$51)^MAX(0,C3487-1)+Paths!$K$323*(1+'Operating costs'!$B$53)^MAX(0,C3487-1)),"n.a."))</f>
        <v>0</v>
      </c>
      <c r="H3487" s="16">
        <f>IF(NOT(Paths!$C$323=1),0,IF(Paths!$P$323="Complete",F3487/12*(Paths!$L$323*(1+IF(Paths!$D$323="EV",'Operating costs'!$B$52,'Operating costs'!$B$51))^MAX(0,C3487-1)+Paths!$M$323*(1+'Operating costs'!$B$53)^MAX(0,C3487-1)),"n.a."))</f>
        <v>0</v>
      </c>
      <c r="I3487" s="16">
        <f>IF(NOT(Paths!$C$323=1),0,IF(Paths!$P$323="Complete",IF(IF(Paths!$E$323=0,C3487=0,AND(C3487&gt;0,Paths!$E$323&gt;(C3487-1)*12,Paths!$E$323&lt;=C3487*12)),Paths!$G$323,0),"n.a."))</f>
        <v>0</v>
      </c>
      <c r="J3487" s="16">
        <f>IF(NOT(Paths!$C$323=1),0,IF(Paths!$P$323="Complete",IF(IF(Paths!$E$323=0,C3487=0,AND(C3487&gt;0,Paths!$E$323&gt;(C3487-1)*12,Paths!$E$323&lt;=C3487*12)),Paths!$H$323,0),"n.a."))</f>
        <v>0</v>
      </c>
      <c r="K3487" s="16">
        <f>IF(NOT(Paths!$C$323=1),0,IF(Paths!$P$323="Complete",IF(IF(Paths!$O$323=0,C3487=0,AND(C3487&gt;0,Paths!$O$323&gt;(C3487-1)*12,Paths!$O$323&lt;=C3487*12)),Paths!$N$323,0),"n.a."))</f>
        <v>0</v>
      </c>
      <c r="L3487" s="16">
        <f>IF(NOT(Paths!$C$323=1),0,IF(Paths!$P$323="Complete",IF(C3487=10,Paths!$I$323,0),"n.a."))</f>
        <v>0</v>
      </c>
      <c r="M3487" s="16">
        <f>IF(NOT(Paths!$C$323=1),0,IF(Paths!$P$323="Complete",IF(AND(Paths!$D$323="EV",Paths!$E$323&lt;120,Paths!$E$323+'Operating costs'!$B$65&gt;Paths!$E$323,Paths!$E$323+'Operating costs'!$B$65&lt;=120,IF(Paths!$E$323+'Operating costs'!$B$65=0,C3487=0,AND(C3487&gt;0,Paths!$E$323+'Operating costs'!$B$65&gt;(C3487-1)*12,Paths!$E$323+'Operating costs'!$B$65&lt;=C3487*12))),'Operating costs'!$B$64,0)+IF(AND('Operating costs'!$B$67&gt;0,'Operating costs'!$B$67&lt;=120,OR(Paths!$D$323="ICE",'Operating costs'!$B$67&lt;=Paths!$E$323),IF('Operating costs'!$B$67=0,C3487=0,AND(C3487&gt;0,'Operating costs'!$B$67&gt;(C3487-1)*12,'Operating costs'!$B$67&lt;=C3487*12))),'Operating costs'!$B$66,0),"n.a."))</f>
        <v>0</v>
      </c>
      <c r="N3487" s="16">
        <f>IF(NOT(Paths!$C$323=1),0,IF(Paths!$P$323="Complete",SUM(G3487:I3487)-J3487-K3487-L3487+M3487+IF(C3487=0,Paths!$F$323,0)+IF(IF(Paths!$E$323=0,C3487=0,AND(C3487&gt;0,Paths!$E$323&gt;(C3487-1)*12,Paths!$E$323&lt;=C3487*12)),VLOOKUP(A3487,'Fleet register'!$A$7:$S$106,16,FALSE),0),"n.a."))</f>
        <v>0</v>
      </c>
      <c r="O3487" s="16">
        <f>IF(NOT(Paths!$C$323=1),0,IF(Paths!$P$323="Complete",N3487-IF(C3487=0,Paths!$F$323,0),"n.a."))</f>
        <v>0</v>
      </c>
      <c r="P3487" s="16">
        <f>IF(NOT(Paths!$C$323=1),0,IF(Paths!$P$323="Complete",O3487+L3487,"n.a."))</f>
        <v>0</v>
      </c>
      <c r="Q3487" s="16">
        <f>IF(NOT(Paths!$C$323=1),0,IF(Paths!$P$323="Complete",N3487*(1+'Operating costs'!$B$54)^-C3487,"n.a."))</f>
        <v>0</v>
      </c>
      <c r="R3487" s="16">
        <f>IF(NOT(Paths!$C$323=1),0,IF(Paths!$P$323="Complete",IF(AND(C3487=0,Paths!$E$323=0),I3487-J3487-K3487+VLOOKUP(A3487,'Fleet register'!$A$7:$S$106,15,FALSE)+VLOOKUP(A3487,'Fleet register'!$A$7:$S$106,16,FALSE),0),"n.a."))</f>
        <v>0</v>
      </c>
      <c r="S3487" s="1">
        <f>IF(NOT(Paths!$C$323=1),0,IF(Paths!$P$323="Complete",IF(C3487=0,0,Paths!$S$323*Paths!$R$323),"n.a."))</f>
        <v>0</v>
      </c>
      <c r="T3487" s="1">
        <f>IF(NOT(Paths!$C$323=1),0,IF(Paths!$P$323="Complete",IF(C3487=0,0,VLOOKUP(A3487,'Fleet register'!$A$7:$S$106,9,FALSE)*Paths!$R$323),"n.a."))</f>
        <v>0</v>
      </c>
    </row>
    <row r="3488" spans="1:20" ht="24" customHeight="1">
      <c r="A3488" s="1" t="str">
        <f>Paths!$A$323</f>
        <v>T080</v>
      </c>
      <c r="B3488" s="1">
        <f>Paths!$B$323</f>
        <v>0</v>
      </c>
      <c r="C3488" s="1">
        <v>5</v>
      </c>
      <c r="D3488" s="1">
        <v>323</v>
      </c>
      <c r="E3488" s="1">
        <f>IF(OR(Paths!$C$323=0,C3488=0),0,MAX(0,MIN(C3488*12,Paths!$E$323)-(C3488-1)*12))</f>
        <v>0</v>
      </c>
      <c r="F3488" s="1">
        <f>IF(OR(Paths!$C$323=0,C3488=0),0,12-E3488)</f>
        <v>0</v>
      </c>
      <c r="G3488" s="16">
        <f>IF(NOT(Paths!$C$323=1),0,IF(Paths!$P$323="Complete",E3488/12*(Paths!$J$323*(1+'Operating costs'!$B$51)^MAX(0,C3488-1)+Paths!$K$323*(1+'Operating costs'!$B$53)^MAX(0,C3488-1)),"n.a."))</f>
        <v>0</v>
      </c>
      <c r="H3488" s="16">
        <f>IF(NOT(Paths!$C$323=1),0,IF(Paths!$P$323="Complete",F3488/12*(Paths!$L$323*(1+IF(Paths!$D$323="EV",'Operating costs'!$B$52,'Operating costs'!$B$51))^MAX(0,C3488-1)+Paths!$M$323*(1+'Operating costs'!$B$53)^MAX(0,C3488-1)),"n.a."))</f>
        <v>0</v>
      </c>
      <c r="I3488" s="16">
        <f>IF(NOT(Paths!$C$323=1),0,IF(Paths!$P$323="Complete",IF(IF(Paths!$E$323=0,C3488=0,AND(C3488&gt;0,Paths!$E$323&gt;(C3488-1)*12,Paths!$E$323&lt;=C3488*12)),Paths!$G$323,0),"n.a."))</f>
        <v>0</v>
      </c>
      <c r="J3488" s="16">
        <f>IF(NOT(Paths!$C$323=1),0,IF(Paths!$P$323="Complete",IF(IF(Paths!$E$323=0,C3488=0,AND(C3488&gt;0,Paths!$E$323&gt;(C3488-1)*12,Paths!$E$323&lt;=C3488*12)),Paths!$H$323,0),"n.a."))</f>
        <v>0</v>
      </c>
      <c r="K3488" s="16">
        <f>IF(NOT(Paths!$C$323=1),0,IF(Paths!$P$323="Complete",IF(IF(Paths!$O$323=0,C3488=0,AND(C3488&gt;0,Paths!$O$323&gt;(C3488-1)*12,Paths!$O$323&lt;=C3488*12)),Paths!$N$323,0),"n.a."))</f>
        <v>0</v>
      </c>
      <c r="L3488" s="16">
        <f>IF(NOT(Paths!$C$323=1),0,IF(Paths!$P$323="Complete",IF(C3488=10,Paths!$I$323,0),"n.a."))</f>
        <v>0</v>
      </c>
      <c r="M3488" s="16">
        <f>IF(NOT(Paths!$C$323=1),0,IF(Paths!$P$323="Complete",IF(AND(Paths!$D$323="EV",Paths!$E$323&lt;120,Paths!$E$323+'Operating costs'!$B$65&gt;Paths!$E$323,Paths!$E$323+'Operating costs'!$B$65&lt;=120,IF(Paths!$E$323+'Operating costs'!$B$65=0,C3488=0,AND(C3488&gt;0,Paths!$E$323+'Operating costs'!$B$65&gt;(C3488-1)*12,Paths!$E$323+'Operating costs'!$B$65&lt;=C3488*12))),'Operating costs'!$B$64,0)+IF(AND('Operating costs'!$B$67&gt;0,'Operating costs'!$B$67&lt;=120,OR(Paths!$D$323="ICE",'Operating costs'!$B$67&lt;=Paths!$E$323),IF('Operating costs'!$B$67=0,C3488=0,AND(C3488&gt;0,'Operating costs'!$B$67&gt;(C3488-1)*12,'Operating costs'!$B$67&lt;=C3488*12))),'Operating costs'!$B$66,0),"n.a."))</f>
        <v>0</v>
      </c>
      <c r="N3488" s="16">
        <f>IF(NOT(Paths!$C$323=1),0,IF(Paths!$P$323="Complete",SUM(G3488:I3488)-J3488-K3488-L3488+M3488+IF(C3488=0,Paths!$F$323,0)+IF(IF(Paths!$E$323=0,C3488=0,AND(C3488&gt;0,Paths!$E$323&gt;(C3488-1)*12,Paths!$E$323&lt;=C3488*12)),VLOOKUP(A3488,'Fleet register'!$A$7:$S$106,16,FALSE),0),"n.a."))</f>
        <v>0</v>
      </c>
      <c r="O3488" s="16">
        <f>IF(NOT(Paths!$C$323=1),0,IF(Paths!$P$323="Complete",N3488-IF(C3488=0,Paths!$F$323,0),"n.a."))</f>
        <v>0</v>
      </c>
      <c r="P3488" s="16">
        <f>IF(NOT(Paths!$C$323=1),0,IF(Paths!$P$323="Complete",O3488+L3488,"n.a."))</f>
        <v>0</v>
      </c>
      <c r="Q3488" s="16">
        <f>IF(NOT(Paths!$C$323=1),0,IF(Paths!$P$323="Complete",N3488*(1+'Operating costs'!$B$54)^-C3488,"n.a."))</f>
        <v>0</v>
      </c>
      <c r="R3488" s="16">
        <f>IF(NOT(Paths!$C$323=1),0,IF(Paths!$P$323="Complete",IF(AND(C3488=0,Paths!$E$323=0),I3488-J3488-K3488+VLOOKUP(A3488,'Fleet register'!$A$7:$S$106,15,FALSE)+VLOOKUP(A3488,'Fleet register'!$A$7:$S$106,16,FALSE),0),"n.a."))</f>
        <v>0</v>
      </c>
      <c r="S3488" s="1">
        <f>IF(NOT(Paths!$C$323=1),0,IF(Paths!$P$323="Complete",IF(C3488=0,0,Paths!$S$323*Paths!$R$323),"n.a."))</f>
        <v>0</v>
      </c>
      <c r="T3488" s="1">
        <f>IF(NOT(Paths!$C$323=1),0,IF(Paths!$P$323="Complete",IF(C3488=0,0,VLOOKUP(A3488,'Fleet register'!$A$7:$S$106,9,FALSE)*Paths!$R$323),"n.a."))</f>
        <v>0</v>
      </c>
    </row>
    <row r="3489" spans="1:20" ht="24" customHeight="1">
      <c r="A3489" s="1" t="str">
        <f>Paths!$A$323</f>
        <v>T080</v>
      </c>
      <c r="B3489" s="1">
        <f>Paths!$B$323</f>
        <v>0</v>
      </c>
      <c r="C3489" s="1">
        <v>6</v>
      </c>
      <c r="D3489" s="1">
        <v>323</v>
      </c>
      <c r="E3489" s="1">
        <f>IF(OR(Paths!$C$323=0,C3489=0),0,MAX(0,MIN(C3489*12,Paths!$E$323)-(C3489-1)*12))</f>
        <v>0</v>
      </c>
      <c r="F3489" s="1">
        <f>IF(OR(Paths!$C$323=0,C3489=0),0,12-E3489)</f>
        <v>0</v>
      </c>
      <c r="G3489" s="16">
        <f>IF(NOT(Paths!$C$323=1),0,IF(Paths!$P$323="Complete",E3489/12*(Paths!$J$323*(1+'Operating costs'!$B$51)^MAX(0,C3489-1)+Paths!$K$323*(1+'Operating costs'!$B$53)^MAX(0,C3489-1)),"n.a."))</f>
        <v>0</v>
      </c>
      <c r="H3489" s="16">
        <f>IF(NOT(Paths!$C$323=1),0,IF(Paths!$P$323="Complete",F3489/12*(Paths!$L$323*(1+IF(Paths!$D$323="EV",'Operating costs'!$B$52,'Operating costs'!$B$51))^MAX(0,C3489-1)+Paths!$M$323*(1+'Operating costs'!$B$53)^MAX(0,C3489-1)),"n.a."))</f>
        <v>0</v>
      </c>
      <c r="I3489" s="16">
        <f>IF(NOT(Paths!$C$323=1),0,IF(Paths!$P$323="Complete",IF(IF(Paths!$E$323=0,C3489=0,AND(C3489&gt;0,Paths!$E$323&gt;(C3489-1)*12,Paths!$E$323&lt;=C3489*12)),Paths!$G$323,0),"n.a."))</f>
        <v>0</v>
      </c>
      <c r="J3489" s="16">
        <f>IF(NOT(Paths!$C$323=1),0,IF(Paths!$P$323="Complete",IF(IF(Paths!$E$323=0,C3489=0,AND(C3489&gt;0,Paths!$E$323&gt;(C3489-1)*12,Paths!$E$323&lt;=C3489*12)),Paths!$H$323,0),"n.a."))</f>
        <v>0</v>
      </c>
      <c r="K3489" s="16">
        <f>IF(NOT(Paths!$C$323=1),0,IF(Paths!$P$323="Complete",IF(IF(Paths!$O$323=0,C3489=0,AND(C3489&gt;0,Paths!$O$323&gt;(C3489-1)*12,Paths!$O$323&lt;=C3489*12)),Paths!$N$323,0),"n.a."))</f>
        <v>0</v>
      </c>
      <c r="L3489" s="16">
        <f>IF(NOT(Paths!$C$323=1),0,IF(Paths!$P$323="Complete",IF(C3489=10,Paths!$I$323,0),"n.a."))</f>
        <v>0</v>
      </c>
      <c r="M3489" s="16">
        <f>IF(NOT(Paths!$C$323=1),0,IF(Paths!$P$323="Complete",IF(AND(Paths!$D$323="EV",Paths!$E$323&lt;120,Paths!$E$323+'Operating costs'!$B$65&gt;Paths!$E$323,Paths!$E$323+'Operating costs'!$B$65&lt;=120,IF(Paths!$E$323+'Operating costs'!$B$65=0,C3489=0,AND(C3489&gt;0,Paths!$E$323+'Operating costs'!$B$65&gt;(C3489-1)*12,Paths!$E$323+'Operating costs'!$B$65&lt;=C3489*12))),'Operating costs'!$B$64,0)+IF(AND('Operating costs'!$B$67&gt;0,'Operating costs'!$B$67&lt;=120,OR(Paths!$D$323="ICE",'Operating costs'!$B$67&lt;=Paths!$E$323),IF('Operating costs'!$B$67=0,C3489=0,AND(C3489&gt;0,'Operating costs'!$B$67&gt;(C3489-1)*12,'Operating costs'!$B$67&lt;=C3489*12))),'Operating costs'!$B$66,0),"n.a."))</f>
        <v>0</v>
      </c>
      <c r="N3489" s="16">
        <f>IF(NOT(Paths!$C$323=1),0,IF(Paths!$P$323="Complete",SUM(G3489:I3489)-J3489-K3489-L3489+M3489+IF(C3489=0,Paths!$F$323,0)+IF(IF(Paths!$E$323=0,C3489=0,AND(C3489&gt;0,Paths!$E$323&gt;(C3489-1)*12,Paths!$E$323&lt;=C3489*12)),VLOOKUP(A3489,'Fleet register'!$A$7:$S$106,16,FALSE),0),"n.a."))</f>
        <v>0</v>
      </c>
      <c r="O3489" s="16">
        <f>IF(NOT(Paths!$C$323=1),0,IF(Paths!$P$323="Complete",N3489-IF(C3489=0,Paths!$F$323,0),"n.a."))</f>
        <v>0</v>
      </c>
      <c r="P3489" s="16">
        <f>IF(NOT(Paths!$C$323=1),0,IF(Paths!$P$323="Complete",O3489+L3489,"n.a."))</f>
        <v>0</v>
      </c>
      <c r="Q3489" s="16">
        <f>IF(NOT(Paths!$C$323=1),0,IF(Paths!$P$323="Complete",N3489*(1+'Operating costs'!$B$54)^-C3489,"n.a."))</f>
        <v>0</v>
      </c>
      <c r="R3489" s="16">
        <f>IF(NOT(Paths!$C$323=1),0,IF(Paths!$P$323="Complete",IF(AND(C3489=0,Paths!$E$323=0),I3489-J3489-K3489+VLOOKUP(A3489,'Fleet register'!$A$7:$S$106,15,FALSE)+VLOOKUP(A3489,'Fleet register'!$A$7:$S$106,16,FALSE),0),"n.a."))</f>
        <v>0</v>
      </c>
      <c r="S3489" s="1">
        <f>IF(NOT(Paths!$C$323=1),0,IF(Paths!$P$323="Complete",IF(C3489=0,0,Paths!$S$323*Paths!$R$323),"n.a."))</f>
        <v>0</v>
      </c>
      <c r="T3489" s="1">
        <f>IF(NOT(Paths!$C$323=1),0,IF(Paths!$P$323="Complete",IF(C3489=0,0,VLOOKUP(A3489,'Fleet register'!$A$7:$S$106,9,FALSE)*Paths!$R$323),"n.a."))</f>
        <v>0</v>
      </c>
    </row>
    <row r="3490" spans="1:20" ht="24" customHeight="1">
      <c r="A3490" s="1" t="str">
        <f>Paths!$A$323</f>
        <v>T080</v>
      </c>
      <c r="B3490" s="1">
        <f>Paths!$B$323</f>
        <v>0</v>
      </c>
      <c r="C3490" s="1">
        <v>7</v>
      </c>
      <c r="D3490" s="1">
        <v>323</v>
      </c>
      <c r="E3490" s="1">
        <f>IF(OR(Paths!$C$323=0,C3490=0),0,MAX(0,MIN(C3490*12,Paths!$E$323)-(C3490-1)*12))</f>
        <v>0</v>
      </c>
      <c r="F3490" s="1">
        <f>IF(OR(Paths!$C$323=0,C3490=0),0,12-E3490)</f>
        <v>0</v>
      </c>
      <c r="G3490" s="16">
        <f>IF(NOT(Paths!$C$323=1),0,IF(Paths!$P$323="Complete",E3490/12*(Paths!$J$323*(1+'Operating costs'!$B$51)^MAX(0,C3490-1)+Paths!$K$323*(1+'Operating costs'!$B$53)^MAX(0,C3490-1)),"n.a."))</f>
        <v>0</v>
      </c>
      <c r="H3490" s="16">
        <f>IF(NOT(Paths!$C$323=1),0,IF(Paths!$P$323="Complete",F3490/12*(Paths!$L$323*(1+IF(Paths!$D$323="EV",'Operating costs'!$B$52,'Operating costs'!$B$51))^MAX(0,C3490-1)+Paths!$M$323*(1+'Operating costs'!$B$53)^MAX(0,C3490-1)),"n.a."))</f>
        <v>0</v>
      </c>
      <c r="I3490" s="16">
        <f>IF(NOT(Paths!$C$323=1),0,IF(Paths!$P$323="Complete",IF(IF(Paths!$E$323=0,C3490=0,AND(C3490&gt;0,Paths!$E$323&gt;(C3490-1)*12,Paths!$E$323&lt;=C3490*12)),Paths!$G$323,0),"n.a."))</f>
        <v>0</v>
      </c>
      <c r="J3490" s="16">
        <f>IF(NOT(Paths!$C$323=1),0,IF(Paths!$P$323="Complete",IF(IF(Paths!$E$323=0,C3490=0,AND(C3490&gt;0,Paths!$E$323&gt;(C3490-1)*12,Paths!$E$323&lt;=C3490*12)),Paths!$H$323,0),"n.a."))</f>
        <v>0</v>
      </c>
      <c r="K3490" s="16">
        <f>IF(NOT(Paths!$C$323=1),0,IF(Paths!$P$323="Complete",IF(IF(Paths!$O$323=0,C3490=0,AND(C3490&gt;0,Paths!$O$323&gt;(C3490-1)*12,Paths!$O$323&lt;=C3490*12)),Paths!$N$323,0),"n.a."))</f>
        <v>0</v>
      </c>
      <c r="L3490" s="16">
        <f>IF(NOT(Paths!$C$323=1),0,IF(Paths!$P$323="Complete",IF(C3490=10,Paths!$I$323,0),"n.a."))</f>
        <v>0</v>
      </c>
      <c r="M3490" s="16">
        <f>IF(NOT(Paths!$C$323=1),0,IF(Paths!$P$323="Complete",IF(AND(Paths!$D$323="EV",Paths!$E$323&lt;120,Paths!$E$323+'Operating costs'!$B$65&gt;Paths!$E$323,Paths!$E$323+'Operating costs'!$B$65&lt;=120,IF(Paths!$E$323+'Operating costs'!$B$65=0,C3490=0,AND(C3490&gt;0,Paths!$E$323+'Operating costs'!$B$65&gt;(C3490-1)*12,Paths!$E$323+'Operating costs'!$B$65&lt;=C3490*12))),'Operating costs'!$B$64,0)+IF(AND('Operating costs'!$B$67&gt;0,'Operating costs'!$B$67&lt;=120,OR(Paths!$D$323="ICE",'Operating costs'!$B$67&lt;=Paths!$E$323),IF('Operating costs'!$B$67=0,C3490=0,AND(C3490&gt;0,'Operating costs'!$B$67&gt;(C3490-1)*12,'Operating costs'!$B$67&lt;=C3490*12))),'Operating costs'!$B$66,0),"n.a."))</f>
        <v>0</v>
      </c>
      <c r="N3490" s="16">
        <f>IF(NOT(Paths!$C$323=1),0,IF(Paths!$P$323="Complete",SUM(G3490:I3490)-J3490-K3490-L3490+M3490+IF(C3490=0,Paths!$F$323,0)+IF(IF(Paths!$E$323=0,C3490=0,AND(C3490&gt;0,Paths!$E$323&gt;(C3490-1)*12,Paths!$E$323&lt;=C3490*12)),VLOOKUP(A3490,'Fleet register'!$A$7:$S$106,16,FALSE),0),"n.a."))</f>
        <v>0</v>
      </c>
      <c r="O3490" s="16">
        <f>IF(NOT(Paths!$C$323=1),0,IF(Paths!$P$323="Complete",N3490-IF(C3490=0,Paths!$F$323,0),"n.a."))</f>
        <v>0</v>
      </c>
      <c r="P3490" s="16">
        <f>IF(NOT(Paths!$C$323=1),0,IF(Paths!$P$323="Complete",O3490+L3490,"n.a."))</f>
        <v>0</v>
      </c>
      <c r="Q3490" s="16">
        <f>IF(NOT(Paths!$C$323=1),0,IF(Paths!$P$323="Complete",N3490*(1+'Operating costs'!$B$54)^-C3490,"n.a."))</f>
        <v>0</v>
      </c>
      <c r="R3490" s="16">
        <f>IF(NOT(Paths!$C$323=1),0,IF(Paths!$P$323="Complete",IF(AND(C3490=0,Paths!$E$323=0),I3490-J3490-K3490+VLOOKUP(A3490,'Fleet register'!$A$7:$S$106,15,FALSE)+VLOOKUP(A3490,'Fleet register'!$A$7:$S$106,16,FALSE),0),"n.a."))</f>
        <v>0</v>
      </c>
      <c r="S3490" s="1">
        <f>IF(NOT(Paths!$C$323=1),0,IF(Paths!$P$323="Complete",IF(C3490=0,0,Paths!$S$323*Paths!$R$323),"n.a."))</f>
        <v>0</v>
      </c>
      <c r="T3490" s="1">
        <f>IF(NOT(Paths!$C$323=1),0,IF(Paths!$P$323="Complete",IF(C3490=0,0,VLOOKUP(A3490,'Fleet register'!$A$7:$S$106,9,FALSE)*Paths!$R$323),"n.a."))</f>
        <v>0</v>
      </c>
    </row>
    <row r="3491" spans="1:20" ht="24" customHeight="1">
      <c r="A3491" s="1" t="str">
        <f>Paths!$A$323</f>
        <v>T080</v>
      </c>
      <c r="B3491" s="1">
        <f>Paths!$B$323</f>
        <v>0</v>
      </c>
      <c r="C3491" s="1">
        <v>8</v>
      </c>
      <c r="D3491" s="1">
        <v>323</v>
      </c>
      <c r="E3491" s="1">
        <f>IF(OR(Paths!$C$323=0,C3491=0),0,MAX(0,MIN(C3491*12,Paths!$E$323)-(C3491-1)*12))</f>
        <v>0</v>
      </c>
      <c r="F3491" s="1">
        <f>IF(OR(Paths!$C$323=0,C3491=0),0,12-E3491)</f>
        <v>0</v>
      </c>
      <c r="G3491" s="16">
        <f>IF(NOT(Paths!$C$323=1),0,IF(Paths!$P$323="Complete",E3491/12*(Paths!$J$323*(1+'Operating costs'!$B$51)^MAX(0,C3491-1)+Paths!$K$323*(1+'Operating costs'!$B$53)^MAX(0,C3491-1)),"n.a."))</f>
        <v>0</v>
      </c>
      <c r="H3491" s="16">
        <f>IF(NOT(Paths!$C$323=1),0,IF(Paths!$P$323="Complete",F3491/12*(Paths!$L$323*(1+IF(Paths!$D$323="EV",'Operating costs'!$B$52,'Operating costs'!$B$51))^MAX(0,C3491-1)+Paths!$M$323*(1+'Operating costs'!$B$53)^MAX(0,C3491-1)),"n.a."))</f>
        <v>0</v>
      </c>
      <c r="I3491" s="16">
        <f>IF(NOT(Paths!$C$323=1),0,IF(Paths!$P$323="Complete",IF(IF(Paths!$E$323=0,C3491=0,AND(C3491&gt;0,Paths!$E$323&gt;(C3491-1)*12,Paths!$E$323&lt;=C3491*12)),Paths!$G$323,0),"n.a."))</f>
        <v>0</v>
      </c>
      <c r="J3491" s="16">
        <f>IF(NOT(Paths!$C$323=1),0,IF(Paths!$P$323="Complete",IF(IF(Paths!$E$323=0,C3491=0,AND(C3491&gt;0,Paths!$E$323&gt;(C3491-1)*12,Paths!$E$323&lt;=C3491*12)),Paths!$H$323,0),"n.a."))</f>
        <v>0</v>
      </c>
      <c r="K3491" s="16">
        <f>IF(NOT(Paths!$C$323=1),0,IF(Paths!$P$323="Complete",IF(IF(Paths!$O$323=0,C3491=0,AND(C3491&gt;0,Paths!$O$323&gt;(C3491-1)*12,Paths!$O$323&lt;=C3491*12)),Paths!$N$323,0),"n.a."))</f>
        <v>0</v>
      </c>
      <c r="L3491" s="16">
        <f>IF(NOT(Paths!$C$323=1),0,IF(Paths!$P$323="Complete",IF(C3491=10,Paths!$I$323,0),"n.a."))</f>
        <v>0</v>
      </c>
      <c r="M3491" s="16">
        <f>IF(NOT(Paths!$C$323=1),0,IF(Paths!$P$323="Complete",IF(AND(Paths!$D$323="EV",Paths!$E$323&lt;120,Paths!$E$323+'Operating costs'!$B$65&gt;Paths!$E$323,Paths!$E$323+'Operating costs'!$B$65&lt;=120,IF(Paths!$E$323+'Operating costs'!$B$65=0,C3491=0,AND(C3491&gt;0,Paths!$E$323+'Operating costs'!$B$65&gt;(C3491-1)*12,Paths!$E$323+'Operating costs'!$B$65&lt;=C3491*12))),'Operating costs'!$B$64,0)+IF(AND('Operating costs'!$B$67&gt;0,'Operating costs'!$B$67&lt;=120,OR(Paths!$D$323="ICE",'Operating costs'!$B$67&lt;=Paths!$E$323),IF('Operating costs'!$B$67=0,C3491=0,AND(C3491&gt;0,'Operating costs'!$B$67&gt;(C3491-1)*12,'Operating costs'!$B$67&lt;=C3491*12))),'Operating costs'!$B$66,0),"n.a."))</f>
        <v>0</v>
      </c>
      <c r="N3491" s="16">
        <f>IF(NOT(Paths!$C$323=1),0,IF(Paths!$P$323="Complete",SUM(G3491:I3491)-J3491-K3491-L3491+M3491+IF(C3491=0,Paths!$F$323,0)+IF(IF(Paths!$E$323=0,C3491=0,AND(C3491&gt;0,Paths!$E$323&gt;(C3491-1)*12,Paths!$E$323&lt;=C3491*12)),VLOOKUP(A3491,'Fleet register'!$A$7:$S$106,16,FALSE),0),"n.a."))</f>
        <v>0</v>
      </c>
      <c r="O3491" s="16">
        <f>IF(NOT(Paths!$C$323=1),0,IF(Paths!$P$323="Complete",N3491-IF(C3491=0,Paths!$F$323,0),"n.a."))</f>
        <v>0</v>
      </c>
      <c r="P3491" s="16">
        <f>IF(NOT(Paths!$C$323=1),0,IF(Paths!$P$323="Complete",O3491+L3491,"n.a."))</f>
        <v>0</v>
      </c>
      <c r="Q3491" s="16">
        <f>IF(NOT(Paths!$C$323=1),0,IF(Paths!$P$323="Complete",N3491*(1+'Operating costs'!$B$54)^-C3491,"n.a."))</f>
        <v>0</v>
      </c>
      <c r="R3491" s="16">
        <f>IF(NOT(Paths!$C$323=1),0,IF(Paths!$P$323="Complete",IF(AND(C3491=0,Paths!$E$323=0),I3491-J3491-K3491+VLOOKUP(A3491,'Fleet register'!$A$7:$S$106,15,FALSE)+VLOOKUP(A3491,'Fleet register'!$A$7:$S$106,16,FALSE),0),"n.a."))</f>
        <v>0</v>
      </c>
      <c r="S3491" s="1">
        <f>IF(NOT(Paths!$C$323=1),0,IF(Paths!$P$323="Complete",IF(C3491=0,0,Paths!$S$323*Paths!$R$323),"n.a."))</f>
        <v>0</v>
      </c>
      <c r="T3491" s="1">
        <f>IF(NOT(Paths!$C$323=1),0,IF(Paths!$P$323="Complete",IF(C3491=0,0,VLOOKUP(A3491,'Fleet register'!$A$7:$S$106,9,FALSE)*Paths!$R$323),"n.a."))</f>
        <v>0</v>
      </c>
    </row>
    <row r="3492" spans="1:20" ht="24" customHeight="1">
      <c r="A3492" s="1" t="str">
        <f>Paths!$A$323</f>
        <v>T080</v>
      </c>
      <c r="B3492" s="1">
        <f>Paths!$B$323</f>
        <v>0</v>
      </c>
      <c r="C3492" s="1">
        <v>9</v>
      </c>
      <c r="D3492" s="1">
        <v>323</v>
      </c>
      <c r="E3492" s="1">
        <f>IF(OR(Paths!$C$323=0,C3492=0),0,MAX(0,MIN(C3492*12,Paths!$E$323)-(C3492-1)*12))</f>
        <v>0</v>
      </c>
      <c r="F3492" s="1">
        <f>IF(OR(Paths!$C$323=0,C3492=0),0,12-E3492)</f>
        <v>0</v>
      </c>
      <c r="G3492" s="16">
        <f>IF(NOT(Paths!$C$323=1),0,IF(Paths!$P$323="Complete",E3492/12*(Paths!$J$323*(1+'Operating costs'!$B$51)^MAX(0,C3492-1)+Paths!$K$323*(1+'Operating costs'!$B$53)^MAX(0,C3492-1)),"n.a."))</f>
        <v>0</v>
      </c>
      <c r="H3492" s="16">
        <f>IF(NOT(Paths!$C$323=1),0,IF(Paths!$P$323="Complete",F3492/12*(Paths!$L$323*(1+IF(Paths!$D$323="EV",'Operating costs'!$B$52,'Operating costs'!$B$51))^MAX(0,C3492-1)+Paths!$M$323*(1+'Operating costs'!$B$53)^MAX(0,C3492-1)),"n.a."))</f>
        <v>0</v>
      </c>
      <c r="I3492" s="16">
        <f>IF(NOT(Paths!$C$323=1),0,IF(Paths!$P$323="Complete",IF(IF(Paths!$E$323=0,C3492=0,AND(C3492&gt;0,Paths!$E$323&gt;(C3492-1)*12,Paths!$E$323&lt;=C3492*12)),Paths!$G$323,0),"n.a."))</f>
        <v>0</v>
      </c>
      <c r="J3492" s="16">
        <f>IF(NOT(Paths!$C$323=1),0,IF(Paths!$P$323="Complete",IF(IF(Paths!$E$323=0,C3492=0,AND(C3492&gt;0,Paths!$E$323&gt;(C3492-1)*12,Paths!$E$323&lt;=C3492*12)),Paths!$H$323,0),"n.a."))</f>
        <v>0</v>
      </c>
      <c r="K3492" s="16">
        <f>IF(NOT(Paths!$C$323=1),0,IF(Paths!$P$323="Complete",IF(IF(Paths!$O$323=0,C3492=0,AND(C3492&gt;0,Paths!$O$323&gt;(C3492-1)*12,Paths!$O$323&lt;=C3492*12)),Paths!$N$323,0),"n.a."))</f>
        <v>0</v>
      </c>
      <c r="L3492" s="16">
        <f>IF(NOT(Paths!$C$323=1),0,IF(Paths!$P$323="Complete",IF(C3492=10,Paths!$I$323,0),"n.a."))</f>
        <v>0</v>
      </c>
      <c r="M3492" s="16">
        <f>IF(NOT(Paths!$C$323=1),0,IF(Paths!$P$323="Complete",IF(AND(Paths!$D$323="EV",Paths!$E$323&lt;120,Paths!$E$323+'Operating costs'!$B$65&gt;Paths!$E$323,Paths!$E$323+'Operating costs'!$B$65&lt;=120,IF(Paths!$E$323+'Operating costs'!$B$65=0,C3492=0,AND(C3492&gt;0,Paths!$E$323+'Operating costs'!$B$65&gt;(C3492-1)*12,Paths!$E$323+'Operating costs'!$B$65&lt;=C3492*12))),'Operating costs'!$B$64,0)+IF(AND('Operating costs'!$B$67&gt;0,'Operating costs'!$B$67&lt;=120,OR(Paths!$D$323="ICE",'Operating costs'!$B$67&lt;=Paths!$E$323),IF('Operating costs'!$B$67=0,C3492=0,AND(C3492&gt;0,'Operating costs'!$B$67&gt;(C3492-1)*12,'Operating costs'!$B$67&lt;=C3492*12))),'Operating costs'!$B$66,0),"n.a."))</f>
        <v>0</v>
      </c>
      <c r="N3492" s="16">
        <f>IF(NOT(Paths!$C$323=1),0,IF(Paths!$P$323="Complete",SUM(G3492:I3492)-J3492-K3492-L3492+M3492+IF(C3492=0,Paths!$F$323,0)+IF(IF(Paths!$E$323=0,C3492=0,AND(C3492&gt;0,Paths!$E$323&gt;(C3492-1)*12,Paths!$E$323&lt;=C3492*12)),VLOOKUP(A3492,'Fleet register'!$A$7:$S$106,16,FALSE),0),"n.a."))</f>
        <v>0</v>
      </c>
      <c r="O3492" s="16">
        <f>IF(NOT(Paths!$C$323=1),0,IF(Paths!$P$323="Complete",N3492-IF(C3492=0,Paths!$F$323,0),"n.a."))</f>
        <v>0</v>
      </c>
      <c r="P3492" s="16">
        <f>IF(NOT(Paths!$C$323=1),0,IF(Paths!$P$323="Complete",O3492+L3492,"n.a."))</f>
        <v>0</v>
      </c>
      <c r="Q3492" s="16">
        <f>IF(NOT(Paths!$C$323=1),0,IF(Paths!$P$323="Complete",N3492*(1+'Operating costs'!$B$54)^-C3492,"n.a."))</f>
        <v>0</v>
      </c>
      <c r="R3492" s="16">
        <f>IF(NOT(Paths!$C$323=1),0,IF(Paths!$P$323="Complete",IF(AND(C3492=0,Paths!$E$323=0),I3492-J3492-K3492+VLOOKUP(A3492,'Fleet register'!$A$7:$S$106,15,FALSE)+VLOOKUP(A3492,'Fleet register'!$A$7:$S$106,16,FALSE),0),"n.a."))</f>
        <v>0</v>
      </c>
      <c r="S3492" s="1">
        <f>IF(NOT(Paths!$C$323=1),0,IF(Paths!$P$323="Complete",IF(C3492=0,0,Paths!$S$323*Paths!$R$323),"n.a."))</f>
        <v>0</v>
      </c>
      <c r="T3492" s="1">
        <f>IF(NOT(Paths!$C$323=1),0,IF(Paths!$P$323="Complete",IF(C3492=0,0,VLOOKUP(A3492,'Fleet register'!$A$7:$S$106,9,FALSE)*Paths!$R$323),"n.a."))</f>
        <v>0</v>
      </c>
    </row>
    <row r="3493" spans="1:20" ht="24" customHeight="1">
      <c r="A3493" s="1" t="str">
        <f>Paths!$A$323</f>
        <v>T080</v>
      </c>
      <c r="B3493" s="1">
        <f>Paths!$B$323</f>
        <v>0</v>
      </c>
      <c r="C3493" s="1">
        <v>10</v>
      </c>
      <c r="D3493" s="1">
        <v>323</v>
      </c>
      <c r="E3493" s="1">
        <f>IF(OR(Paths!$C$323=0,C3493=0),0,MAX(0,MIN(C3493*12,Paths!$E$323)-(C3493-1)*12))</f>
        <v>0</v>
      </c>
      <c r="F3493" s="1">
        <f>IF(OR(Paths!$C$323=0,C3493=0),0,12-E3493)</f>
        <v>0</v>
      </c>
      <c r="G3493" s="16">
        <f>IF(NOT(Paths!$C$323=1),0,IF(Paths!$P$323="Complete",E3493/12*(Paths!$J$323*(1+'Operating costs'!$B$51)^MAX(0,C3493-1)+Paths!$K$323*(1+'Operating costs'!$B$53)^MAX(0,C3493-1)),"n.a."))</f>
        <v>0</v>
      </c>
      <c r="H3493" s="16">
        <f>IF(NOT(Paths!$C$323=1),0,IF(Paths!$P$323="Complete",F3493/12*(Paths!$L$323*(1+IF(Paths!$D$323="EV",'Operating costs'!$B$52,'Operating costs'!$B$51))^MAX(0,C3493-1)+Paths!$M$323*(1+'Operating costs'!$B$53)^MAX(0,C3493-1)),"n.a."))</f>
        <v>0</v>
      </c>
      <c r="I3493" s="16">
        <f>IF(NOT(Paths!$C$323=1),0,IF(Paths!$P$323="Complete",IF(IF(Paths!$E$323=0,C3493=0,AND(C3493&gt;0,Paths!$E$323&gt;(C3493-1)*12,Paths!$E$323&lt;=C3493*12)),Paths!$G$323,0),"n.a."))</f>
        <v>0</v>
      </c>
      <c r="J3493" s="16">
        <f>IF(NOT(Paths!$C$323=1),0,IF(Paths!$P$323="Complete",IF(IF(Paths!$E$323=0,C3493=0,AND(C3493&gt;0,Paths!$E$323&gt;(C3493-1)*12,Paths!$E$323&lt;=C3493*12)),Paths!$H$323,0),"n.a."))</f>
        <v>0</v>
      </c>
      <c r="K3493" s="16">
        <f>IF(NOT(Paths!$C$323=1),0,IF(Paths!$P$323="Complete",IF(IF(Paths!$O$323=0,C3493=0,AND(C3493&gt;0,Paths!$O$323&gt;(C3493-1)*12,Paths!$O$323&lt;=C3493*12)),Paths!$N$323,0),"n.a."))</f>
        <v>0</v>
      </c>
      <c r="L3493" s="16">
        <f>IF(NOT(Paths!$C$323=1),0,IF(Paths!$P$323="Complete",IF(C3493=10,Paths!$I$323,0),"n.a."))</f>
        <v>0</v>
      </c>
      <c r="M3493" s="16">
        <f>IF(NOT(Paths!$C$323=1),0,IF(Paths!$P$323="Complete",IF(AND(Paths!$D$323="EV",Paths!$E$323&lt;120,Paths!$E$323+'Operating costs'!$B$65&gt;Paths!$E$323,Paths!$E$323+'Operating costs'!$B$65&lt;=120,IF(Paths!$E$323+'Operating costs'!$B$65=0,C3493=0,AND(C3493&gt;0,Paths!$E$323+'Operating costs'!$B$65&gt;(C3493-1)*12,Paths!$E$323+'Operating costs'!$B$65&lt;=C3493*12))),'Operating costs'!$B$64,0)+IF(AND('Operating costs'!$B$67&gt;0,'Operating costs'!$B$67&lt;=120,OR(Paths!$D$323="ICE",'Operating costs'!$B$67&lt;=Paths!$E$323),IF('Operating costs'!$B$67=0,C3493=0,AND(C3493&gt;0,'Operating costs'!$B$67&gt;(C3493-1)*12,'Operating costs'!$B$67&lt;=C3493*12))),'Operating costs'!$B$66,0),"n.a."))</f>
        <v>0</v>
      </c>
      <c r="N3493" s="16">
        <f>IF(NOT(Paths!$C$323=1),0,IF(Paths!$P$323="Complete",SUM(G3493:I3493)-J3493-K3493-L3493+M3493+IF(C3493=0,Paths!$F$323,0)+IF(IF(Paths!$E$323=0,C3493=0,AND(C3493&gt;0,Paths!$E$323&gt;(C3493-1)*12,Paths!$E$323&lt;=C3493*12)),VLOOKUP(A3493,'Fleet register'!$A$7:$S$106,16,FALSE),0),"n.a."))</f>
        <v>0</v>
      </c>
      <c r="O3493" s="16">
        <f>IF(NOT(Paths!$C$323=1),0,IF(Paths!$P$323="Complete",N3493-IF(C3493=0,Paths!$F$323,0),"n.a."))</f>
        <v>0</v>
      </c>
      <c r="P3493" s="16">
        <f>IF(NOT(Paths!$C$323=1),0,IF(Paths!$P$323="Complete",O3493+L3493,"n.a."))</f>
        <v>0</v>
      </c>
      <c r="Q3493" s="16">
        <f>IF(NOT(Paths!$C$323=1),0,IF(Paths!$P$323="Complete",N3493*(1+'Operating costs'!$B$54)^-C3493,"n.a."))</f>
        <v>0</v>
      </c>
      <c r="R3493" s="16">
        <f>IF(NOT(Paths!$C$323=1),0,IF(Paths!$P$323="Complete",IF(AND(C3493=0,Paths!$E$323=0),I3493-J3493-K3493+VLOOKUP(A3493,'Fleet register'!$A$7:$S$106,15,FALSE)+VLOOKUP(A3493,'Fleet register'!$A$7:$S$106,16,FALSE),0),"n.a."))</f>
        <v>0</v>
      </c>
      <c r="S3493" s="1">
        <f>IF(NOT(Paths!$C$323=1),0,IF(Paths!$P$323="Complete",IF(C3493=0,0,Paths!$S$323*Paths!$R$323),"n.a."))</f>
        <v>0</v>
      </c>
      <c r="T3493" s="1">
        <f>IF(NOT(Paths!$C$323=1),0,IF(Paths!$P$323="Complete",IF(C3493=0,0,VLOOKUP(A3493,'Fleet register'!$A$7:$S$106,9,FALSE)*Paths!$R$323),"n.a."))</f>
        <v>0</v>
      </c>
    </row>
    <row r="3494" spans="1:20" ht="24" customHeight="1">
      <c r="A3494" s="1" t="str">
        <f>Paths!$A$324</f>
        <v>T080</v>
      </c>
      <c r="B3494" s="1">
        <f>Paths!$B$324</f>
        <v>1</v>
      </c>
      <c r="C3494" s="1">
        <v>0</v>
      </c>
      <c r="D3494" s="1">
        <v>324</v>
      </c>
      <c r="E3494" s="1">
        <f>IF(OR(Paths!$C$324=0,C3494=0),0,MAX(0,MIN(C3494*12,Paths!$E$324)-(C3494-1)*12))</f>
        <v>0</v>
      </c>
      <c r="F3494" s="1">
        <f>IF(OR(Paths!$C$324=0,C3494=0),0,12-E3494)</f>
        <v>0</v>
      </c>
      <c r="G3494" s="16">
        <f>IF(NOT(Paths!$C$324=1),0,IF(Paths!$P$324="Complete",E3494/12*(Paths!$J$324*(1+'Operating costs'!$B$51)^MAX(0,C3494-1)+Paths!$K$324*(1+'Operating costs'!$B$53)^MAX(0,C3494-1)),"n.a."))</f>
        <v>0</v>
      </c>
      <c r="H3494" s="16">
        <f>IF(NOT(Paths!$C$324=1),0,IF(Paths!$P$324="Complete",F3494/12*(Paths!$L$324*(1+IF(Paths!$D$324="EV",'Operating costs'!$B$52,'Operating costs'!$B$51))^MAX(0,C3494-1)+Paths!$M$324*(1+'Operating costs'!$B$53)^MAX(0,C3494-1)),"n.a."))</f>
        <v>0</v>
      </c>
      <c r="I3494" s="16">
        <f>IF(NOT(Paths!$C$324=1),0,IF(Paths!$P$324="Complete",IF(IF(Paths!$E$324=0,C3494=0,AND(C3494&gt;0,Paths!$E$324&gt;(C3494-1)*12,Paths!$E$324&lt;=C3494*12)),Paths!$G$324,0),"n.a."))</f>
        <v>0</v>
      </c>
      <c r="J3494" s="16">
        <f>IF(NOT(Paths!$C$324=1),0,IF(Paths!$P$324="Complete",IF(IF(Paths!$E$324=0,C3494=0,AND(C3494&gt;0,Paths!$E$324&gt;(C3494-1)*12,Paths!$E$324&lt;=C3494*12)),Paths!$H$324,0),"n.a."))</f>
        <v>0</v>
      </c>
      <c r="K3494" s="16">
        <f>IF(NOT(Paths!$C$324=1),0,IF(Paths!$P$324="Complete",IF(IF(Paths!$O$324=0,C3494=0,AND(C3494&gt;0,Paths!$O$324&gt;(C3494-1)*12,Paths!$O$324&lt;=C3494*12)),Paths!$N$324,0),"n.a."))</f>
        <v>0</v>
      </c>
      <c r="L3494" s="16">
        <f>IF(NOT(Paths!$C$324=1),0,IF(Paths!$P$324="Complete",IF(C3494=10,Paths!$I$324,0),"n.a."))</f>
        <v>0</v>
      </c>
      <c r="M3494" s="16">
        <f>IF(NOT(Paths!$C$324=1),0,IF(Paths!$P$324="Complete",IF(AND(Paths!$D$324="EV",Paths!$E$324&lt;120,Paths!$E$324+'Operating costs'!$B$65&gt;Paths!$E$324,Paths!$E$324+'Operating costs'!$B$65&lt;=120,IF(Paths!$E$324+'Operating costs'!$B$65=0,C3494=0,AND(C3494&gt;0,Paths!$E$324+'Operating costs'!$B$65&gt;(C3494-1)*12,Paths!$E$324+'Operating costs'!$B$65&lt;=C3494*12))),'Operating costs'!$B$64,0)+IF(AND('Operating costs'!$B$67&gt;0,'Operating costs'!$B$67&lt;=120,OR(Paths!$D$324="ICE",'Operating costs'!$B$67&lt;=Paths!$E$324),IF('Operating costs'!$B$67=0,C3494=0,AND(C3494&gt;0,'Operating costs'!$B$67&gt;(C3494-1)*12,'Operating costs'!$B$67&lt;=C3494*12))),'Operating costs'!$B$66,0),"n.a."))</f>
        <v>0</v>
      </c>
      <c r="N3494" s="16">
        <f>IF(NOT(Paths!$C$324=1),0,IF(Paths!$P$324="Complete",SUM(G3494:I3494)-J3494-K3494-L3494+M3494+IF(C3494=0,Paths!$F$324,0)+IF(IF(Paths!$E$324=0,C3494=0,AND(C3494&gt;0,Paths!$E$324&gt;(C3494-1)*12,Paths!$E$324&lt;=C3494*12)),VLOOKUP(A3494,'Fleet register'!$A$7:$S$106,16,FALSE),0),"n.a."))</f>
        <v>0</v>
      </c>
      <c r="O3494" s="16">
        <f>IF(NOT(Paths!$C$324=1),0,IF(Paths!$P$324="Complete",N3494-IF(C3494=0,Paths!$F$324,0),"n.a."))</f>
        <v>0</v>
      </c>
      <c r="P3494" s="16">
        <f>IF(NOT(Paths!$C$324=1),0,IF(Paths!$P$324="Complete",O3494+L3494,"n.a."))</f>
        <v>0</v>
      </c>
      <c r="Q3494" s="16">
        <f>IF(NOT(Paths!$C$324=1),0,IF(Paths!$P$324="Complete",N3494*(1+'Operating costs'!$B$54)^-C3494,"n.a."))</f>
        <v>0</v>
      </c>
      <c r="R3494" s="16">
        <f>IF(NOT(Paths!$C$324=1),0,IF(Paths!$P$324="Complete",IF(AND(C3494=0,Paths!$E$324=0),I3494-J3494-K3494+VLOOKUP(A3494,'Fleet register'!$A$7:$S$106,15,FALSE)+VLOOKUP(A3494,'Fleet register'!$A$7:$S$106,16,FALSE),0),"n.a."))</f>
        <v>0</v>
      </c>
      <c r="S3494" s="1">
        <f>IF(NOT(Paths!$C$324=1),0,IF(Paths!$P$324="Complete",IF(C3494=0,0,Paths!$S$324*Paths!$R$324),"n.a."))</f>
        <v>0</v>
      </c>
      <c r="T3494" s="1">
        <f>IF(NOT(Paths!$C$324=1),0,IF(Paths!$P$324="Complete",IF(C3494=0,0,VLOOKUP(A3494,'Fleet register'!$A$7:$S$106,9,FALSE)*Paths!$R$324),"n.a."))</f>
        <v>0</v>
      </c>
    </row>
    <row r="3495" spans="1:20" ht="24" customHeight="1">
      <c r="A3495" s="1" t="str">
        <f>Paths!$A$324</f>
        <v>T080</v>
      </c>
      <c r="B3495" s="1">
        <f>Paths!$B$324</f>
        <v>1</v>
      </c>
      <c r="C3495" s="1">
        <v>1</v>
      </c>
      <c r="D3495" s="1">
        <v>324</v>
      </c>
      <c r="E3495" s="1">
        <f>IF(OR(Paths!$C$324=0,C3495=0),0,MAX(0,MIN(C3495*12,Paths!$E$324)-(C3495-1)*12))</f>
        <v>0</v>
      </c>
      <c r="F3495" s="1">
        <f>IF(OR(Paths!$C$324=0,C3495=0),0,12-E3495)</f>
        <v>0</v>
      </c>
      <c r="G3495" s="16">
        <f>IF(NOT(Paths!$C$324=1),0,IF(Paths!$P$324="Complete",E3495/12*(Paths!$J$324*(1+'Operating costs'!$B$51)^MAX(0,C3495-1)+Paths!$K$324*(1+'Operating costs'!$B$53)^MAX(0,C3495-1)),"n.a."))</f>
        <v>0</v>
      </c>
      <c r="H3495" s="16">
        <f>IF(NOT(Paths!$C$324=1),0,IF(Paths!$P$324="Complete",F3495/12*(Paths!$L$324*(1+IF(Paths!$D$324="EV",'Operating costs'!$B$52,'Operating costs'!$B$51))^MAX(0,C3495-1)+Paths!$M$324*(1+'Operating costs'!$B$53)^MAX(0,C3495-1)),"n.a."))</f>
        <v>0</v>
      </c>
      <c r="I3495" s="16">
        <f>IF(NOT(Paths!$C$324=1),0,IF(Paths!$P$324="Complete",IF(IF(Paths!$E$324=0,C3495=0,AND(C3495&gt;0,Paths!$E$324&gt;(C3495-1)*12,Paths!$E$324&lt;=C3495*12)),Paths!$G$324,0),"n.a."))</f>
        <v>0</v>
      </c>
      <c r="J3495" s="16">
        <f>IF(NOT(Paths!$C$324=1),0,IF(Paths!$P$324="Complete",IF(IF(Paths!$E$324=0,C3495=0,AND(C3495&gt;0,Paths!$E$324&gt;(C3495-1)*12,Paths!$E$324&lt;=C3495*12)),Paths!$H$324,0),"n.a."))</f>
        <v>0</v>
      </c>
      <c r="K3495" s="16">
        <f>IF(NOT(Paths!$C$324=1),0,IF(Paths!$P$324="Complete",IF(IF(Paths!$O$324=0,C3495=0,AND(C3495&gt;0,Paths!$O$324&gt;(C3495-1)*12,Paths!$O$324&lt;=C3495*12)),Paths!$N$324,0),"n.a."))</f>
        <v>0</v>
      </c>
      <c r="L3495" s="16">
        <f>IF(NOT(Paths!$C$324=1),0,IF(Paths!$P$324="Complete",IF(C3495=10,Paths!$I$324,0),"n.a."))</f>
        <v>0</v>
      </c>
      <c r="M3495" s="16">
        <f>IF(NOT(Paths!$C$324=1),0,IF(Paths!$P$324="Complete",IF(AND(Paths!$D$324="EV",Paths!$E$324&lt;120,Paths!$E$324+'Operating costs'!$B$65&gt;Paths!$E$324,Paths!$E$324+'Operating costs'!$B$65&lt;=120,IF(Paths!$E$324+'Operating costs'!$B$65=0,C3495=0,AND(C3495&gt;0,Paths!$E$324+'Operating costs'!$B$65&gt;(C3495-1)*12,Paths!$E$324+'Operating costs'!$B$65&lt;=C3495*12))),'Operating costs'!$B$64,0)+IF(AND('Operating costs'!$B$67&gt;0,'Operating costs'!$B$67&lt;=120,OR(Paths!$D$324="ICE",'Operating costs'!$B$67&lt;=Paths!$E$324),IF('Operating costs'!$B$67=0,C3495=0,AND(C3495&gt;0,'Operating costs'!$B$67&gt;(C3495-1)*12,'Operating costs'!$B$67&lt;=C3495*12))),'Operating costs'!$B$66,0),"n.a."))</f>
        <v>0</v>
      </c>
      <c r="N3495" s="16">
        <f>IF(NOT(Paths!$C$324=1),0,IF(Paths!$P$324="Complete",SUM(G3495:I3495)-J3495-K3495-L3495+M3495+IF(C3495=0,Paths!$F$324,0)+IF(IF(Paths!$E$324=0,C3495=0,AND(C3495&gt;0,Paths!$E$324&gt;(C3495-1)*12,Paths!$E$324&lt;=C3495*12)),VLOOKUP(A3495,'Fleet register'!$A$7:$S$106,16,FALSE),0),"n.a."))</f>
        <v>0</v>
      </c>
      <c r="O3495" s="16">
        <f>IF(NOT(Paths!$C$324=1),0,IF(Paths!$P$324="Complete",N3495-IF(C3495=0,Paths!$F$324,0),"n.a."))</f>
        <v>0</v>
      </c>
      <c r="P3495" s="16">
        <f>IF(NOT(Paths!$C$324=1),0,IF(Paths!$P$324="Complete",O3495+L3495,"n.a."))</f>
        <v>0</v>
      </c>
      <c r="Q3495" s="16">
        <f>IF(NOT(Paths!$C$324=1),0,IF(Paths!$P$324="Complete",N3495*(1+'Operating costs'!$B$54)^-C3495,"n.a."))</f>
        <v>0</v>
      </c>
      <c r="R3495" s="16">
        <f>IF(NOT(Paths!$C$324=1),0,IF(Paths!$P$324="Complete",IF(AND(C3495=0,Paths!$E$324=0),I3495-J3495-K3495+VLOOKUP(A3495,'Fleet register'!$A$7:$S$106,15,FALSE)+VLOOKUP(A3495,'Fleet register'!$A$7:$S$106,16,FALSE),0),"n.a."))</f>
        <v>0</v>
      </c>
      <c r="S3495" s="1">
        <f>IF(NOT(Paths!$C$324=1),0,IF(Paths!$P$324="Complete",IF(C3495=0,0,Paths!$S$324*Paths!$R$324),"n.a."))</f>
        <v>0</v>
      </c>
      <c r="T3495" s="1">
        <f>IF(NOT(Paths!$C$324=1),0,IF(Paths!$P$324="Complete",IF(C3495=0,0,VLOOKUP(A3495,'Fleet register'!$A$7:$S$106,9,FALSE)*Paths!$R$324),"n.a."))</f>
        <v>0</v>
      </c>
    </row>
    <row r="3496" spans="1:20" ht="24" customHeight="1">
      <c r="A3496" s="1" t="str">
        <f>Paths!$A$324</f>
        <v>T080</v>
      </c>
      <c r="B3496" s="1">
        <f>Paths!$B$324</f>
        <v>1</v>
      </c>
      <c r="C3496" s="1">
        <v>2</v>
      </c>
      <c r="D3496" s="1">
        <v>324</v>
      </c>
      <c r="E3496" s="1">
        <f>IF(OR(Paths!$C$324=0,C3496=0),0,MAX(0,MIN(C3496*12,Paths!$E$324)-(C3496-1)*12))</f>
        <v>0</v>
      </c>
      <c r="F3496" s="1">
        <f>IF(OR(Paths!$C$324=0,C3496=0),0,12-E3496)</f>
        <v>0</v>
      </c>
      <c r="G3496" s="16">
        <f>IF(NOT(Paths!$C$324=1),0,IF(Paths!$P$324="Complete",E3496/12*(Paths!$J$324*(1+'Operating costs'!$B$51)^MAX(0,C3496-1)+Paths!$K$324*(1+'Operating costs'!$B$53)^MAX(0,C3496-1)),"n.a."))</f>
        <v>0</v>
      </c>
      <c r="H3496" s="16">
        <f>IF(NOT(Paths!$C$324=1),0,IF(Paths!$P$324="Complete",F3496/12*(Paths!$L$324*(1+IF(Paths!$D$324="EV",'Operating costs'!$B$52,'Operating costs'!$B$51))^MAX(0,C3496-1)+Paths!$M$324*(1+'Operating costs'!$B$53)^MAX(0,C3496-1)),"n.a."))</f>
        <v>0</v>
      </c>
      <c r="I3496" s="16">
        <f>IF(NOT(Paths!$C$324=1),0,IF(Paths!$P$324="Complete",IF(IF(Paths!$E$324=0,C3496=0,AND(C3496&gt;0,Paths!$E$324&gt;(C3496-1)*12,Paths!$E$324&lt;=C3496*12)),Paths!$G$324,0),"n.a."))</f>
        <v>0</v>
      </c>
      <c r="J3496" s="16">
        <f>IF(NOT(Paths!$C$324=1),0,IF(Paths!$P$324="Complete",IF(IF(Paths!$E$324=0,C3496=0,AND(C3496&gt;0,Paths!$E$324&gt;(C3496-1)*12,Paths!$E$324&lt;=C3496*12)),Paths!$H$324,0),"n.a."))</f>
        <v>0</v>
      </c>
      <c r="K3496" s="16">
        <f>IF(NOT(Paths!$C$324=1),0,IF(Paths!$P$324="Complete",IF(IF(Paths!$O$324=0,C3496=0,AND(C3496&gt;0,Paths!$O$324&gt;(C3496-1)*12,Paths!$O$324&lt;=C3496*12)),Paths!$N$324,0),"n.a."))</f>
        <v>0</v>
      </c>
      <c r="L3496" s="16">
        <f>IF(NOT(Paths!$C$324=1),0,IF(Paths!$P$324="Complete",IF(C3496=10,Paths!$I$324,0),"n.a."))</f>
        <v>0</v>
      </c>
      <c r="M3496" s="16">
        <f>IF(NOT(Paths!$C$324=1),0,IF(Paths!$P$324="Complete",IF(AND(Paths!$D$324="EV",Paths!$E$324&lt;120,Paths!$E$324+'Operating costs'!$B$65&gt;Paths!$E$324,Paths!$E$324+'Operating costs'!$B$65&lt;=120,IF(Paths!$E$324+'Operating costs'!$B$65=0,C3496=0,AND(C3496&gt;0,Paths!$E$324+'Operating costs'!$B$65&gt;(C3496-1)*12,Paths!$E$324+'Operating costs'!$B$65&lt;=C3496*12))),'Operating costs'!$B$64,0)+IF(AND('Operating costs'!$B$67&gt;0,'Operating costs'!$B$67&lt;=120,OR(Paths!$D$324="ICE",'Operating costs'!$B$67&lt;=Paths!$E$324),IF('Operating costs'!$B$67=0,C3496=0,AND(C3496&gt;0,'Operating costs'!$B$67&gt;(C3496-1)*12,'Operating costs'!$B$67&lt;=C3496*12))),'Operating costs'!$B$66,0),"n.a."))</f>
        <v>0</v>
      </c>
      <c r="N3496" s="16">
        <f>IF(NOT(Paths!$C$324=1),0,IF(Paths!$P$324="Complete",SUM(G3496:I3496)-J3496-K3496-L3496+M3496+IF(C3496=0,Paths!$F$324,0)+IF(IF(Paths!$E$324=0,C3496=0,AND(C3496&gt;0,Paths!$E$324&gt;(C3496-1)*12,Paths!$E$324&lt;=C3496*12)),VLOOKUP(A3496,'Fleet register'!$A$7:$S$106,16,FALSE),0),"n.a."))</f>
        <v>0</v>
      </c>
      <c r="O3496" s="16">
        <f>IF(NOT(Paths!$C$324=1),0,IF(Paths!$P$324="Complete",N3496-IF(C3496=0,Paths!$F$324,0),"n.a."))</f>
        <v>0</v>
      </c>
      <c r="P3496" s="16">
        <f>IF(NOT(Paths!$C$324=1),0,IF(Paths!$P$324="Complete",O3496+L3496,"n.a."))</f>
        <v>0</v>
      </c>
      <c r="Q3496" s="16">
        <f>IF(NOT(Paths!$C$324=1),0,IF(Paths!$P$324="Complete",N3496*(1+'Operating costs'!$B$54)^-C3496,"n.a."))</f>
        <v>0</v>
      </c>
      <c r="R3496" s="16">
        <f>IF(NOT(Paths!$C$324=1),0,IF(Paths!$P$324="Complete",IF(AND(C3496=0,Paths!$E$324=0),I3496-J3496-K3496+VLOOKUP(A3496,'Fleet register'!$A$7:$S$106,15,FALSE)+VLOOKUP(A3496,'Fleet register'!$A$7:$S$106,16,FALSE),0),"n.a."))</f>
        <v>0</v>
      </c>
      <c r="S3496" s="1">
        <f>IF(NOT(Paths!$C$324=1),0,IF(Paths!$P$324="Complete",IF(C3496=0,0,Paths!$S$324*Paths!$R$324),"n.a."))</f>
        <v>0</v>
      </c>
      <c r="T3496" s="1">
        <f>IF(NOT(Paths!$C$324=1),0,IF(Paths!$P$324="Complete",IF(C3496=0,0,VLOOKUP(A3496,'Fleet register'!$A$7:$S$106,9,FALSE)*Paths!$R$324),"n.a."))</f>
        <v>0</v>
      </c>
    </row>
    <row r="3497" spans="1:20" ht="24" customHeight="1">
      <c r="A3497" s="1" t="str">
        <f>Paths!$A$324</f>
        <v>T080</v>
      </c>
      <c r="B3497" s="1">
        <f>Paths!$B$324</f>
        <v>1</v>
      </c>
      <c r="C3497" s="1">
        <v>3</v>
      </c>
      <c r="D3497" s="1">
        <v>324</v>
      </c>
      <c r="E3497" s="1">
        <f>IF(OR(Paths!$C$324=0,C3497=0),0,MAX(0,MIN(C3497*12,Paths!$E$324)-(C3497-1)*12))</f>
        <v>0</v>
      </c>
      <c r="F3497" s="1">
        <f>IF(OR(Paths!$C$324=0,C3497=0),0,12-E3497)</f>
        <v>0</v>
      </c>
      <c r="G3497" s="16">
        <f>IF(NOT(Paths!$C$324=1),0,IF(Paths!$P$324="Complete",E3497/12*(Paths!$J$324*(1+'Operating costs'!$B$51)^MAX(0,C3497-1)+Paths!$K$324*(1+'Operating costs'!$B$53)^MAX(0,C3497-1)),"n.a."))</f>
        <v>0</v>
      </c>
      <c r="H3497" s="16">
        <f>IF(NOT(Paths!$C$324=1),0,IF(Paths!$P$324="Complete",F3497/12*(Paths!$L$324*(1+IF(Paths!$D$324="EV",'Operating costs'!$B$52,'Operating costs'!$B$51))^MAX(0,C3497-1)+Paths!$M$324*(1+'Operating costs'!$B$53)^MAX(0,C3497-1)),"n.a."))</f>
        <v>0</v>
      </c>
      <c r="I3497" s="16">
        <f>IF(NOT(Paths!$C$324=1),0,IF(Paths!$P$324="Complete",IF(IF(Paths!$E$324=0,C3497=0,AND(C3497&gt;0,Paths!$E$324&gt;(C3497-1)*12,Paths!$E$324&lt;=C3497*12)),Paths!$G$324,0),"n.a."))</f>
        <v>0</v>
      </c>
      <c r="J3497" s="16">
        <f>IF(NOT(Paths!$C$324=1),0,IF(Paths!$P$324="Complete",IF(IF(Paths!$E$324=0,C3497=0,AND(C3497&gt;0,Paths!$E$324&gt;(C3497-1)*12,Paths!$E$324&lt;=C3497*12)),Paths!$H$324,0),"n.a."))</f>
        <v>0</v>
      </c>
      <c r="K3497" s="16">
        <f>IF(NOT(Paths!$C$324=1),0,IF(Paths!$P$324="Complete",IF(IF(Paths!$O$324=0,C3497=0,AND(C3497&gt;0,Paths!$O$324&gt;(C3497-1)*12,Paths!$O$324&lt;=C3497*12)),Paths!$N$324,0),"n.a."))</f>
        <v>0</v>
      </c>
      <c r="L3497" s="16">
        <f>IF(NOT(Paths!$C$324=1),0,IF(Paths!$P$324="Complete",IF(C3497=10,Paths!$I$324,0),"n.a."))</f>
        <v>0</v>
      </c>
      <c r="M3497" s="16">
        <f>IF(NOT(Paths!$C$324=1),0,IF(Paths!$P$324="Complete",IF(AND(Paths!$D$324="EV",Paths!$E$324&lt;120,Paths!$E$324+'Operating costs'!$B$65&gt;Paths!$E$324,Paths!$E$324+'Operating costs'!$B$65&lt;=120,IF(Paths!$E$324+'Operating costs'!$B$65=0,C3497=0,AND(C3497&gt;0,Paths!$E$324+'Operating costs'!$B$65&gt;(C3497-1)*12,Paths!$E$324+'Operating costs'!$B$65&lt;=C3497*12))),'Operating costs'!$B$64,0)+IF(AND('Operating costs'!$B$67&gt;0,'Operating costs'!$B$67&lt;=120,OR(Paths!$D$324="ICE",'Operating costs'!$B$67&lt;=Paths!$E$324),IF('Operating costs'!$B$67=0,C3497=0,AND(C3497&gt;0,'Operating costs'!$B$67&gt;(C3497-1)*12,'Operating costs'!$B$67&lt;=C3497*12))),'Operating costs'!$B$66,0),"n.a."))</f>
        <v>0</v>
      </c>
      <c r="N3497" s="16">
        <f>IF(NOT(Paths!$C$324=1),0,IF(Paths!$P$324="Complete",SUM(G3497:I3497)-J3497-K3497-L3497+M3497+IF(C3497=0,Paths!$F$324,0)+IF(IF(Paths!$E$324=0,C3497=0,AND(C3497&gt;0,Paths!$E$324&gt;(C3497-1)*12,Paths!$E$324&lt;=C3497*12)),VLOOKUP(A3497,'Fleet register'!$A$7:$S$106,16,FALSE),0),"n.a."))</f>
        <v>0</v>
      </c>
      <c r="O3497" s="16">
        <f>IF(NOT(Paths!$C$324=1),0,IF(Paths!$P$324="Complete",N3497-IF(C3497=0,Paths!$F$324,0),"n.a."))</f>
        <v>0</v>
      </c>
      <c r="P3497" s="16">
        <f>IF(NOT(Paths!$C$324=1),0,IF(Paths!$P$324="Complete",O3497+L3497,"n.a."))</f>
        <v>0</v>
      </c>
      <c r="Q3497" s="16">
        <f>IF(NOT(Paths!$C$324=1),0,IF(Paths!$P$324="Complete",N3497*(1+'Operating costs'!$B$54)^-C3497,"n.a."))</f>
        <v>0</v>
      </c>
      <c r="R3497" s="16">
        <f>IF(NOT(Paths!$C$324=1),0,IF(Paths!$P$324="Complete",IF(AND(C3497=0,Paths!$E$324=0),I3497-J3497-K3497+VLOOKUP(A3497,'Fleet register'!$A$7:$S$106,15,FALSE)+VLOOKUP(A3497,'Fleet register'!$A$7:$S$106,16,FALSE),0),"n.a."))</f>
        <v>0</v>
      </c>
      <c r="S3497" s="1">
        <f>IF(NOT(Paths!$C$324=1),0,IF(Paths!$P$324="Complete",IF(C3497=0,0,Paths!$S$324*Paths!$R$324),"n.a."))</f>
        <v>0</v>
      </c>
      <c r="T3497" s="1">
        <f>IF(NOT(Paths!$C$324=1),0,IF(Paths!$P$324="Complete",IF(C3497=0,0,VLOOKUP(A3497,'Fleet register'!$A$7:$S$106,9,FALSE)*Paths!$R$324),"n.a."))</f>
        <v>0</v>
      </c>
    </row>
    <row r="3498" spans="1:20" ht="24" customHeight="1">
      <c r="A3498" s="1" t="str">
        <f>Paths!$A$324</f>
        <v>T080</v>
      </c>
      <c r="B3498" s="1">
        <f>Paths!$B$324</f>
        <v>1</v>
      </c>
      <c r="C3498" s="1">
        <v>4</v>
      </c>
      <c r="D3498" s="1">
        <v>324</v>
      </c>
      <c r="E3498" s="1">
        <f>IF(OR(Paths!$C$324=0,C3498=0),0,MAX(0,MIN(C3498*12,Paths!$E$324)-(C3498-1)*12))</f>
        <v>0</v>
      </c>
      <c r="F3498" s="1">
        <f>IF(OR(Paths!$C$324=0,C3498=0),0,12-E3498)</f>
        <v>0</v>
      </c>
      <c r="G3498" s="16">
        <f>IF(NOT(Paths!$C$324=1),0,IF(Paths!$P$324="Complete",E3498/12*(Paths!$J$324*(1+'Operating costs'!$B$51)^MAX(0,C3498-1)+Paths!$K$324*(1+'Operating costs'!$B$53)^MAX(0,C3498-1)),"n.a."))</f>
        <v>0</v>
      </c>
      <c r="H3498" s="16">
        <f>IF(NOT(Paths!$C$324=1),0,IF(Paths!$P$324="Complete",F3498/12*(Paths!$L$324*(1+IF(Paths!$D$324="EV",'Operating costs'!$B$52,'Operating costs'!$B$51))^MAX(0,C3498-1)+Paths!$M$324*(1+'Operating costs'!$B$53)^MAX(0,C3498-1)),"n.a."))</f>
        <v>0</v>
      </c>
      <c r="I3498" s="16">
        <f>IF(NOT(Paths!$C$324=1),0,IF(Paths!$P$324="Complete",IF(IF(Paths!$E$324=0,C3498=0,AND(C3498&gt;0,Paths!$E$324&gt;(C3498-1)*12,Paths!$E$324&lt;=C3498*12)),Paths!$G$324,0),"n.a."))</f>
        <v>0</v>
      </c>
      <c r="J3498" s="16">
        <f>IF(NOT(Paths!$C$324=1),0,IF(Paths!$P$324="Complete",IF(IF(Paths!$E$324=0,C3498=0,AND(C3498&gt;0,Paths!$E$324&gt;(C3498-1)*12,Paths!$E$324&lt;=C3498*12)),Paths!$H$324,0),"n.a."))</f>
        <v>0</v>
      </c>
      <c r="K3498" s="16">
        <f>IF(NOT(Paths!$C$324=1),0,IF(Paths!$P$324="Complete",IF(IF(Paths!$O$324=0,C3498=0,AND(C3498&gt;0,Paths!$O$324&gt;(C3498-1)*12,Paths!$O$324&lt;=C3498*12)),Paths!$N$324,0),"n.a."))</f>
        <v>0</v>
      </c>
      <c r="L3498" s="16">
        <f>IF(NOT(Paths!$C$324=1),0,IF(Paths!$P$324="Complete",IF(C3498=10,Paths!$I$324,0),"n.a."))</f>
        <v>0</v>
      </c>
      <c r="M3498" s="16">
        <f>IF(NOT(Paths!$C$324=1),0,IF(Paths!$P$324="Complete",IF(AND(Paths!$D$324="EV",Paths!$E$324&lt;120,Paths!$E$324+'Operating costs'!$B$65&gt;Paths!$E$324,Paths!$E$324+'Operating costs'!$B$65&lt;=120,IF(Paths!$E$324+'Operating costs'!$B$65=0,C3498=0,AND(C3498&gt;0,Paths!$E$324+'Operating costs'!$B$65&gt;(C3498-1)*12,Paths!$E$324+'Operating costs'!$B$65&lt;=C3498*12))),'Operating costs'!$B$64,0)+IF(AND('Operating costs'!$B$67&gt;0,'Operating costs'!$B$67&lt;=120,OR(Paths!$D$324="ICE",'Operating costs'!$B$67&lt;=Paths!$E$324),IF('Operating costs'!$B$67=0,C3498=0,AND(C3498&gt;0,'Operating costs'!$B$67&gt;(C3498-1)*12,'Operating costs'!$B$67&lt;=C3498*12))),'Operating costs'!$B$66,0),"n.a."))</f>
        <v>0</v>
      </c>
      <c r="N3498" s="16">
        <f>IF(NOT(Paths!$C$324=1),0,IF(Paths!$P$324="Complete",SUM(G3498:I3498)-J3498-K3498-L3498+M3498+IF(C3498=0,Paths!$F$324,0)+IF(IF(Paths!$E$324=0,C3498=0,AND(C3498&gt;0,Paths!$E$324&gt;(C3498-1)*12,Paths!$E$324&lt;=C3498*12)),VLOOKUP(A3498,'Fleet register'!$A$7:$S$106,16,FALSE),0),"n.a."))</f>
        <v>0</v>
      </c>
      <c r="O3498" s="16">
        <f>IF(NOT(Paths!$C$324=1),0,IF(Paths!$P$324="Complete",N3498-IF(C3498=0,Paths!$F$324,0),"n.a."))</f>
        <v>0</v>
      </c>
      <c r="P3498" s="16">
        <f>IF(NOT(Paths!$C$324=1),0,IF(Paths!$P$324="Complete",O3498+L3498,"n.a."))</f>
        <v>0</v>
      </c>
      <c r="Q3498" s="16">
        <f>IF(NOT(Paths!$C$324=1),0,IF(Paths!$P$324="Complete",N3498*(1+'Operating costs'!$B$54)^-C3498,"n.a."))</f>
        <v>0</v>
      </c>
      <c r="R3498" s="16">
        <f>IF(NOT(Paths!$C$324=1),0,IF(Paths!$P$324="Complete",IF(AND(C3498=0,Paths!$E$324=0),I3498-J3498-K3498+VLOOKUP(A3498,'Fleet register'!$A$7:$S$106,15,FALSE)+VLOOKUP(A3498,'Fleet register'!$A$7:$S$106,16,FALSE),0),"n.a."))</f>
        <v>0</v>
      </c>
      <c r="S3498" s="1">
        <f>IF(NOT(Paths!$C$324=1),0,IF(Paths!$P$324="Complete",IF(C3498=0,0,Paths!$S$324*Paths!$R$324),"n.a."))</f>
        <v>0</v>
      </c>
      <c r="T3498" s="1">
        <f>IF(NOT(Paths!$C$324=1),0,IF(Paths!$P$324="Complete",IF(C3498=0,0,VLOOKUP(A3498,'Fleet register'!$A$7:$S$106,9,FALSE)*Paths!$R$324),"n.a."))</f>
        <v>0</v>
      </c>
    </row>
    <row r="3499" spans="1:20" ht="24" customHeight="1">
      <c r="A3499" s="1" t="str">
        <f>Paths!$A$324</f>
        <v>T080</v>
      </c>
      <c r="B3499" s="1">
        <f>Paths!$B$324</f>
        <v>1</v>
      </c>
      <c r="C3499" s="1">
        <v>5</v>
      </c>
      <c r="D3499" s="1">
        <v>324</v>
      </c>
      <c r="E3499" s="1">
        <f>IF(OR(Paths!$C$324=0,C3499=0),0,MAX(0,MIN(C3499*12,Paths!$E$324)-(C3499-1)*12))</f>
        <v>0</v>
      </c>
      <c r="F3499" s="1">
        <f>IF(OR(Paths!$C$324=0,C3499=0),0,12-E3499)</f>
        <v>0</v>
      </c>
      <c r="G3499" s="16">
        <f>IF(NOT(Paths!$C$324=1),0,IF(Paths!$P$324="Complete",E3499/12*(Paths!$J$324*(1+'Operating costs'!$B$51)^MAX(0,C3499-1)+Paths!$K$324*(1+'Operating costs'!$B$53)^MAX(0,C3499-1)),"n.a."))</f>
        <v>0</v>
      </c>
      <c r="H3499" s="16">
        <f>IF(NOT(Paths!$C$324=1),0,IF(Paths!$P$324="Complete",F3499/12*(Paths!$L$324*(1+IF(Paths!$D$324="EV",'Operating costs'!$B$52,'Operating costs'!$B$51))^MAX(0,C3499-1)+Paths!$M$324*(1+'Operating costs'!$B$53)^MAX(0,C3499-1)),"n.a."))</f>
        <v>0</v>
      </c>
      <c r="I3499" s="16">
        <f>IF(NOT(Paths!$C$324=1),0,IF(Paths!$P$324="Complete",IF(IF(Paths!$E$324=0,C3499=0,AND(C3499&gt;0,Paths!$E$324&gt;(C3499-1)*12,Paths!$E$324&lt;=C3499*12)),Paths!$G$324,0),"n.a."))</f>
        <v>0</v>
      </c>
      <c r="J3499" s="16">
        <f>IF(NOT(Paths!$C$324=1),0,IF(Paths!$P$324="Complete",IF(IF(Paths!$E$324=0,C3499=0,AND(C3499&gt;0,Paths!$E$324&gt;(C3499-1)*12,Paths!$E$324&lt;=C3499*12)),Paths!$H$324,0),"n.a."))</f>
        <v>0</v>
      </c>
      <c r="K3499" s="16">
        <f>IF(NOT(Paths!$C$324=1),0,IF(Paths!$P$324="Complete",IF(IF(Paths!$O$324=0,C3499=0,AND(C3499&gt;0,Paths!$O$324&gt;(C3499-1)*12,Paths!$O$324&lt;=C3499*12)),Paths!$N$324,0),"n.a."))</f>
        <v>0</v>
      </c>
      <c r="L3499" s="16">
        <f>IF(NOT(Paths!$C$324=1),0,IF(Paths!$P$324="Complete",IF(C3499=10,Paths!$I$324,0),"n.a."))</f>
        <v>0</v>
      </c>
      <c r="M3499" s="16">
        <f>IF(NOT(Paths!$C$324=1),0,IF(Paths!$P$324="Complete",IF(AND(Paths!$D$324="EV",Paths!$E$324&lt;120,Paths!$E$324+'Operating costs'!$B$65&gt;Paths!$E$324,Paths!$E$324+'Operating costs'!$B$65&lt;=120,IF(Paths!$E$324+'Operating costs'!$B$65=0,C3499=0,AND(C3499&gt;0,Paths!$E$324+'Operating costs'!$B$65&gt;(C3499-1)*12,Paths!$E$324+'Operating costs'!$B$65&lt;=C3499*12))),'Operating costs'!$B$64,0)+IF(AND('Operating costs'!$B$67&gt;0,'Operating costs'!$B$67&lt;=120,OR(Paths!$D$324="ICE",'Operating costs'!$B$67&lt;=Paths!$E$324),IF('Operating costs'!$B$67=0,C3499=0,AND(C3499&gt;0,'Operating costs'!$B$67&gt;(C3499-1)*12,'Operating costs'!$B$67&lt;=C3499*12))),'Operating costs'!$B$66,0),"n.a."))</f>
        <v>0</v>
      </c>
      <c r="N3499" s="16">
        <f>IF(NOT(Paths!$C$324=1),0,IF(Paths!$P$324="Complete",SUM(G3499:I3499)-J3499-K3499-L3499+M3499+IF(C3499=0,Paths!$F$324,0)+IF(IF(Paths!$E$324=0,C3499=0,AND(C3499&gt;0,Paths!$E$324&gt;(C3499-1)*12,Paths!$E$324&lt;=C3499*12)),VLOOKUP(A3499,'Fleet register'!$A$7:$S$106,16,FALSE),0),"n.a."))</f>
        <v>0</v>
      </c>
      <c r="O3499" s="16">
        <f>IF(NOT(Paths!$C$324=1),0,IF(Paths!$P$324="Complete",N3499-IF(C3499=0,Paths!$F$324,0),"n.a."))</f>
        <v>0</v>
      </c>
      <c r="P3499" s="16">
        <f>IF(NOT(Paths!$C$324=1),0,IF(Paths!$P$324="Complete",O3499+L3499,"n.a."))</f>
        <v>0</v>
      </c>
      <c r="Q3499" s="16">
        <f>IF(NOT(Paths!$C$324=1),0,IF(Paths!$P$324="Complete",N3499*(1+'Operating costs'!$B$54)^-C3499,"n.a."))</f>
        <v>0</v>
      </c>
      <c r="R3499" s="16">
        <f>IF(NOT(Paths!$C$324=1),0,IF(Paths!$P$324="Complete",IF(AND(C3499=0,Paths!$E$324=0),I3499-J3499-K3499+VLOOKUP(A3499,'Fleet register'!$A$7:$S$106,15,FALSE)+VLOOKUP(A3499,'Fleet register'!$A$7:$S$106,16,FALSE),0),"n.a."))</f>
        <v>0</v>
      </c>
      <c r="S3499" s="1">
        <f>IF(NOT(Paths!$C$324=1),0,IF(Paths!$P$324="Complete",IF(C3499=0,0,Paths!$S$324*Paths!$R$324),"n.a."))</f>
        <v>0</v>
      </c>
      <c r="T3499" s="1">
        <f>IF(NOT(Paths!$C$324=1),0,IF(Paths!$P$324="Complete",IF(C3499=0,0,VLOOKUP(A3499,'Fleet register'!$A$7:$S$106,9,FALSE)*Paths!$R$324),"n.a."))</f>
        <v>0</v>
      </c>
    </row>
    <row r="3500" spans="1:20" ht="24" customHeight="1">
      <c r="A3500" s="1" t="str">
        <f>Paths!$A$324</f>
        <v>T080</v>
      </c>
      <c r="B3500" s="1">
        <f>Paths!$B$324</f>
        <v>1</v>
      </c>
      <c r="C3500" s="1">
        <v>6</v>
      </c>
      <c r="D3500" s="1">
        <v>324</v>
      </c>
      <c r="E3500" s="1">
        <f>IF(OR(Paths!$C$324=0,C3500=0),0,MAX(0,MIN(C3500*12,Paths!$E$324)-(C3500-1)*12))</f>
        <v>0</v>
      </c>
      <c r="F3500" s="1">
        <f>IF(OR(Paths!$C$324=0,C3500=0),0,12-E3500)</f>
        <v>0</v>
      </c>
      <c r="G3500" s="16">
        <f>IF(NOT(Paths!$C$324=1),0,IF(Paths!$P$324="Complete",E3500/12*(Paths!$J$324*(1+'Operating costs'!$B$51)^MAX(0,C3500-1)+Paths!$K$324*(1+'Operating costs'!$B$53)^MAX(0,C3500-1)),"n.a."))</f>
        <v>0</v>
      </c>
      <c r="H3500" s="16">
        <f>IF(NOT(Paths!$C$324=1),0,IF(Paths!$P$324="Complete",F3500/12*(Paths!$L$324*(1+IF(Paths!$D$324="EV",'Operating costs'!$B$52,'Operating costs'!$B$51))^MAX(0,C3500-1)+Paths!$M$324*(1+'Operating costs'!$B$53)^MAX(0,C3500-1)),"n.a."))</f>
        <v>0</v>
      </c>
      <c r="I3500" s="16">
        <f>IF(NOT(Paths!$C$324=1),0,IF(Paths!$P$324="Complete",IF(IF(Paths!$E$324=0,C3500=0,AND(C3500&gt;0,Paths!$E$324&gt;(C3500-1)*12,Paths!$E$324&lt;=C3500*12)),Paths!$G$324,0),"n.a."))</f>
        <v>0</v>
      </c>
      <c r="J3500" s="16">
        <f>IF(NOT(Paths!$C$324=1),0,IF(Paths!$P$324="Complete",IF(IF(Paths!$E$324=0,C3500=0,AND(C3500&gt;0,Paths!$E$324&gt;(C3500-1)*12,Paths!$E$324&lt;=C3500*12)),Paths!$H$324,0),"n.a."))</f>
        <v>0</v>
      </c>
      <c r="K3500" s="16">
        <f>IF(NOT(Paths!$C$324=1),0,IF(Paths!$P$324="Complete",IF(IF(Paths!$O$324=0,C3500=0,AND(C3500&gt;0,Paths!$O$324&gt;(C3500-1)*12,Paths!$O$324&lt;=C3500*12)),Paths!$N$324,0),"n.a."))</f>
        <v>0</v>
      </c>
      <c r="L3500" s="16">
        <f>IF(NOT(Paths!$C$324=1),0,IF(Paths!$P$324="Complete",IF(C3500=10,Paths!$I$324,0),"n.a."))</f>
        <v>0</v>
      </c>
      <c r="M3500" s="16">
        <f>IF(NOT(Paths!$C$324=1),0,IF(Paths!$P$324="Complete",IF(AND(Paths!$D$324="EV",Paths!$E$324&lt;120,Paths!$E$324+'Operating costs'!$B$65&gt;Paths!$E$324,Paths!$E$324+'Operating costs'!$B$65&lt;=120,IF(Paths!$E$324+'Operating costs'!$B$65=0,C3500=0,AND(C3500&gt;0,Paths!$E$324+'Operating costs'!$B$65&gt;(C3500-1)*12,Paths!$E$324+'Operating costs'!$B$65&lt;=C3500*12))),'Operating costs'!$B$64,0)+IF(AND('Operating costs'!$B$67&gt;0,'Operating costs'!$B$67&lt;=120,OR(Paths!$D$324="ICE",'Operating costs'!$B$67&lt;=Paths!$E$324),IF('Operating costs'!$B$67=0,C3500=0,AND(C3500&gt;0,'Operating costs'!$B$67&gt;(C3500-1)*12,'Operating costs'!$B$67&lt;=C3500*12))),'Operating costs'!$B$66,0),"n.a."))</f>
        <v>0</v>
      </c>
      <c r="N3500" s="16">
        <f>IF(NOT(Paths!$C$324=1),0,IF(Paths!$P$324="Complete",SUM(G3500:I3500)-J3500-K3500-L3500+M3500+IF(C3500=0,Paths!$F$324,0)+IF(IF(Paths!$E$324=0,C3500=0,AND(C3500&gt;0,Paths!$E$324&gt;(C3500-1)*12,Paths!$E$324&lt;=C3500*12)),VLOOKUP(A3500,'Fleet register'!$A$7:$S$106,16,FALSE),0),"n.a."))</f>
        <v>0</v>
      </c>
      <c r="O3500" s="16">
        <f>IF(NOT(Paths!$C$324=1),0,IF(Paths!$P$324="Complete",N3500-IF(C3500=0,Paths!$F$324,0),"n.a."))</f>
        <v>0</v>
      </c>
      <c r="P3500" s="16">
        <f>IF(NOT(Paths!$C$324=1),0,IF(Paths!$P$324="Complete",O3500+L3500,"n.a."))</f>
        <v>0</v>
      </c>
      <c r="Q3500" s="16">
        <f>IF(NOT(Paths!$C$324=1),0,IF(Paths!$P$324="Complete",N3500*(1+'Operating costs'!$B$54)^-C3500,"n.a."))</f>
        <v>0</v>
      </c>
      <c r="R3500" s="16">
        <f>IF(NOT(Paths!$C$324=1),0,IF(Paths!$P$324="Complete",IF(AND(C3500=0,Paths!$E$324=0),I3500-J3500-K3500+VLOOKUP(A3500,'Fleet register'!$A$7:$S$106,15,FALSE)+VLOOKUP(A3500,'Fleet register'!$A$7:$S$106,16,FALSE),0),"n.a."))</f>
        <v>0</v>
      </c>
      <c r="S3500" s="1">
        <f>IF(NOT(Paths!$C$324=1),0,IF(Paths!$P$324="Complete",IF(C3500=0,0,Paths!$S$324*Paths!$R$324),"n.a."))</f>
        <v>0</v>
      </c>
      <c r="T3500" s="1">
        <f>IF(NOT(Paths!$C$324=1),0,IF(Paths!$P$324="Complete",IF(C3500=0,0,VLOOKUP(A3500,'Fleet register'!$A$7:$S$106,9,FALSE)*Paths!$R$324),"n.a."))</f>
        <v>0</v>
      </c>
    </row>
    <row r="3501" spans="1:20" ht="24" customHeight="1">
      <c r="A3501" s="1" t="str">
        <f>Paths!$A$324</f>
        <v>T080</v>
      </c>
      <c r="B3501" s="1">
        <f>Paths!$B$324</f>
        <v>1</v>
      </c>
      <c r="C3501" s="1">
        <v>7</v>
      </c>
      <c r="D3501" s="1">
        <v>324</v>
      </c>
      <c r="E3501" s="1">
        <f>IF(OR(Paths!$C$324=0,C3501=0),0,MAX(0,MIN(C3501*12,Paths!$E$324)-(C3501-1)*12))</f>
        <v>0</v>
      </c>
      <c r="F3501" s="1">
        <f>IF(OR(Paths!$C$324=0,C3501=0),0,12-E3501)</f>
        <v>0</v>
      </c>
      <c r="G3501" s="16">
        <f>IF(NOT(Paths!$C$324=1),0,IF(Paths!$P$324="Complete",E3501/12*(Paths!$J$324*(1+'Operating costs'!$B$51)^MAX(0,C3501-1)+Paths!$K$324*(1+'Operating costs'!$B$53)^MAX(0,C3501-1)),"n.a."))</f>
        <v>0</v>
      </c>
      <c r="H3501" s="16">
        <f>IF(NOT(Paths!$C$324=1),0,IF(Paths!$P$324="Complete",F3501/12*(Paths!$L$324*(1+IF(Paths!$D$324="EV",'Operating costs'!$B$52,'Operating costs'!$B$51))^MAX(0,C3501-1)+Paths!$M$324*(1+'Operating costs'!$B$53)^MAX(0,C3501-1)),"n.a."))</f>
        <v>0</v>
      </c>
      <c r="I3501" s="16">
        <f>IF(NOT(Paths!$C$324=1),0,IF(Paths!$P$324="Complete",IF(IF(Paths!$E$324=0,C3501=0,AND(C3501&gt;0,Paths!$E$324&gt;(C3501-1)*12,Paths!$E$324&lt;=C3501*12)),Paths!$G$324,0),"n.a."))</f>
        <v>0</v>
      </c>
      <c r="J3501" s="16">
        <f>IF(NOT(Paths!$C$324=1),0,IF(Paths!$P$324="Complete",IF(IF(Paths!$E$324=0,C3501=0,AND(C3501&gt;0,Paths!$E$324&gt;(C3501-1)*12,Paths!$E$324&lt;=C3501*12)),Paths!$H$324,0),"n.a."))</f>
        <v>0</v>
      </c>
      <c r="K3501" s="16">
        <f>IF(NOT(Paths!$C$324=1),0,IF(Paths!$P$324="Complete",IF(IF(Paths!$O$324=0,C3501=0,AND(C3501&gt;0,Paths!$O$324&gt;(C3501-1)*12,Paths!$O$324&lt;=C3501*12)),Paths!$N$324,0),"n.a."))</f>
        <v>0</v>
      </c>
      <c r="L3501" s="16">
        <f>IF(NOT(Paths!$C$324=1),0,IF(Paths!$P$324="Complete",IF(C3501=10,Paths!$I$324,0),"n.a."))</f>
        <v>0</v>
      </c>
      <c r="M3501" s="16">
        <f>IF(NOT(Paths!$C$324=1),0,IF(Paths!$P$324="Complete",IF(AND(Paths!$D$324="EV",Paths!$E$324&lt;120,Paths!$E$324+'Operating costs'!$B$65&gt;Paths!$E$324,Paths!$E$324+'Operating costs'!$B$65&lt;=120,IF(Paths!$E$324+'Operating costs'!$B$65=0,C3501=0,AND(C3501&gt;0,Paths!$E$324+'Operating costs'!$B$65&gt;(C3501-1)*12,Paths!$E$324+'Operating costs'!$B$65&lt;=C3501*12))),'Operating costs'!$B$64,0)+IF(AND('Operating costs'!$B$67&gt;0,'Operating costs'!$B$67&lt;=120,OR(Paths!$D$324="ICE",'Operating costs'!$B$67&lt;=Paths!$E$324),IF('Operating costs'!$B$67=0,C3501=0,AND(C3501&gt;0,'Operating costs'!$B$67&gt;(C3501-1)*12,'Operating costs'!$B$67&lt;=C3501*12))),'Operating costs'!$B$66,0),"n.a."))</f>
        <v>0</v>
      </c>
      <c r="N3501" s="16">
        <f>IF(NOT(Paths!$C$324=1),0,IF(Paths!$P$324="Complete",SUM(G3501:I3501)-J3501-K3501-L3501+M3501+IF(C3501=0,Paths!$F$324,0)+IF(IF(Paths!$E$324=0,C3501=0,AND(C3501&gt;0,Paths!$E$324&gt;(C3501-1)*12,Paths!$E$324&lt;=C3501*12)),VLOOKUP(A3501,'Fleet register'!$A$7:$S$106,16,FALSE),0),"n.a."))</f>
        <v>0</v>
      </c>
      <c r="O3501" s="16">
        <f>IF(NOT(Paths!$C$324=1),0,IF(Paths!$P$324="Complete",N3501-IF(C3501=0,Paths!$F$324,0),"n.a."))</f>
        <v>0</v>
      </c>
      <c r="P3501" s="16">
        <f>IF(NOT(Paths!$C$324=1),0,IF(Paths!$P$324="Complete",O3501+L3501,"n.a."))</f>
        <v>0</v>
      </c>
      <c r="Q3501" s="16">
        <f>IF(NOT(Paths!$C$324=1),0,IF(Paths!$P$324="Complete",N3501*(1+'Operating costs'!$B$54)^-C3501,"n.a."))</f>
        <v>0</v>
      </c>
      <c r="R3501" s="16">
        <f>IF(NOT(Paths!$C$324=1),0,IF(Paths!$P$324="Complete",IF(AND(C3501=0,Paths!$E$324=0),I3501-J3501-K3501+VLOOKUP(A3501,'Fleet register'!$A$7:$S$106,15,FALSE)+VLOOKUP(A3501,'Fleet register'!$A$7:$S$106,16,FALSE),0),"n.a."))</f>
        <v>0</v>
      </c>
      <c r="S3501" s="1">
        <f>IF(NOT(Paths!$C$324=1),0,IF(Paths!$P$324="Complete",IF(C3501=0,0,Paths!$S$324*Paths!$R$324),"n.a."))</f>
        <v>0</v>
      </c>
      <c r="T3501" s="1">
        <f>IF(NOT(Paths!$C$324=1),0,IF(Paths!$P$324="Complete",IF(C3501=0,0,VLOOKUP(A3501,'Fleet register'!$A$7:$S$106,9,FALSE)*Paths!$R$324),"n.a."))</f>
        <v>0</v>
      </c>
    </row>
    <row r="3502" spans="1:20" ht="24" customHeight="1">
      <c r="A3502" s="1" t="str">
        <f>Paths!$A$324</f>
        <v>T080</v>
      </c>
      <c r="B3502" s="1">
        <f>Paths!$B$324</f>
        <v>1</v>
      </c>
      <c r="C3502" s="1">
        <v>8</v>
      </c>
      <c r="D3502" s="1">
        <v>324</v>
      </c>
      <c r="E3502" s="1">
        <f>IF(OR(Paths!$C$324=0,C3502=0),0,MAX(0,MIN(C3502*12,Paths!$E$324)-(C3502-1)*12))</f>
        <v>0</v>
      </c>
      <c r="F3502" s="1">
        <f>IF(OR(Paths!$C$324=0,C3502=0),0,12-E3502)</f>
        <v>0</v>
      </c>
      <c r="G3502" s="16">
        <f>IF(NOT(Paths!$C$324=1),0,IF(Paths!$P$324="Complete",E3502/12*(Paths!$J$324*(1+'Operating costs'!$B$51)^MAX(0,C3502-1)+Paths!$K$324*(1+'Operating costs'!$B$53)^MAX(0,C3502-1)),"n.a."))</f>
        <v>0</v>
      </c>
      <c r="H3502" s="16">
        <f>IF(NOT(Paths!$C$324=1),0,IF(Paths!$P$324="Complete",F3502/12*(Paths!$L$324*(1+IF(Paths!$D$324="EV",'Operating costs'!$B$52,'Operating costs'!$B$51))^MAX(0,C3502-1)+Paths!$M$324*(1+'Operating costs'!$B$53)^MAX(0,C3502-1)),"n.a."))</f>
        <v>0</v>
      </c>
      <c r="I3502" s="16">
        <f>IF(NOT(Paths!$C$324=1),0,IF(Paths!$P$324="Complete",IF(IF(Paths!$E$324=0,C3502=0,AND(C3502&gt;0,Paths!$E$324&gt;(C3502-1)*12,Paths!$E$324&lt;=C3502*12)),Paths!$G$324,0),"n.a."))</f>
        <v>0</v>
      </c>
      <c r="J3502" s="16">
        <f>IF(NOT(Paths!$C$324=1),0,IF(Paths!$P$324="Complete",IF(IF(Paths!$E$324=0,C3502=0,AND(C3502&gt;0,Paths!$E$324&gt;(C3502-1)*12,Paths!$E$324&lt;=C3502*12)),Paths!$H$324,0),"n.a."))</f>
        <v>0</v>
      </c>
      <c r="K3502" s="16">
        <f>IF(NOT(Paths!$C$324=1),0,IF(Paths!$P$324="Complete",IF(IF(Paths!$O$324=0,C3502=0,AND(C3502&gt;0,Paths!$O$324&gt;(C3502-1)*12,Paths!$O$324&lt;=C3502*12)),Paths!$N$324,0),"n.a."))</f>
        <v>0</v>
      </c>
      <c r="L3502" s="16">
        <f>IF(NOT(Paths!$C$324=1),0,IF(Paths!$P$324="Complete",IF(C3502=10,Paths!$I$324,0),"n.a."))</f>
        <v>0</v>
      </c>
      <c r="M3502" s="16">
        <f>IF(NOT(Paths!$C$324=1),0,IF(Paths!$P$324="Complete",IF(AND(Paths!$D$324="EV",Paths!$E$324&lt;120,Paths!$E$324+'Operating costs'!$B$65&gt;Paths!$E$324,Paths!$E$324+'Operating costs'!$B$65&lt;=120,IF(Paths!$E$324+'Operating costs'!$B$65=0,C3502=0,AND(C3502&gt;0,Paths!$E$324+'Operating costs'!$B$65&gt;(C3502-1)*12,Paths!$E$324+'Operating costs'!$B$65&lt;=C3502*12))),'Operating costs'!$B$64,0)+IF(AND('Operating costs'!$B$67&gt;0,'Operating costs'!$B$67&lt;=120,OR(Paths!$D$324="ICE",'Operating costs'!$B$67&lt;=Paths!$E$324),IF('Operating costs'!$B$67=0,C3502=0,AND(C3502&gt;0,'Operating costs'!$B$67&gt;(C3502-1)*12,'Operating costs'!$B$67&lt;=C3502*12))),'Operating costs'!$B$66,0),"n.a."))</f>
        <v>0</v>
      </c>
      <c r="N3502" s="16">
        <f>IF(NOT(Paths!$C$324=1),0,IF(Paths!$P$324="Complete",SUM(G3502:I3502)-J3502-K3502-L3502+M3502+IF(C3502=0,Paths!$F$324,0)+IF(IF(Paths!$E$324=0,C3502=0,AND(C3502&gt;0,Paths!$E$324&gt;(C3502-1)*12,Paths!$E$324&lt;=C3502*12)),VLOOKUP(A3502,'Fleet register'!$A$7:$S$106,16,FALSE),0),"n.a."))</f>
        <v>0</v>
      </c>
      <c r="O3502" s="16">
        <f>IF(NOT(Paths!$C$324=1),0,IF(Paths!$P$324="Complete",N3502-IF(C3502=0,Paths!$F$324,0),"n.a."))</f>
        <v>0</v>
      </c>
      <c r="P3502" s="16">
        <f>IF(NOT(Paths!$C$324=1),0,IF(Paths!$P$324="Complete",O3502+L3502,"n.a."))</f>
        <v>0</v>
      </c>
      <c r="Q3502" s="16">
        <f>IF(NOT(Paths!$C$324=1),0,IF(Paths!$P$324="Complete",N3502*(1+'Operating costs'!$B$54)^-C3502,"n.a."))</f>
        <v>0</v>
      </c>
      <c r="R3502" s="16">
        <f>IF(NOT(Paths!$C$324=1),0,IF(Paths!$P$324="Complete",IF(AND(C3502=0,Paths!$E$324=0),I3502-J3502-K3502+VLOOKUP(A3502,'Fleet register'!$A$7:$S$106,15,FALSE)+VLOOKUP(A3502,'Fleet register'!$A$7:$S$106,16,FALSE),0),"n.a."))</f>
        <v>0</v>
      </c>
      <c r="S3502" s="1">
        <f>IF(NOT(Paths!$C$324=1),0,IF(Paths!$P$324="Complete",IF(C3502=0,0,Paths!$S$324*Paths!$R$324),"n.a."))</f>
        <v>0</v>
      </c>
      <c r="T3502" s="1">
        <f>IF(NOT(Paths!$C$324=1),0,IF(Paths!$P$324="Complete",IF(C3502=0,0,VLOOKUP(A3502,'Fleet register'!$A$7:$S$106,9,FALSE)*Paths!$R$324),"n.a."))</f>
        <v>0</v>
      </c>
    </row>
    <row r="3503" spans="1:20" ht="24" customHeight="1">
      <c r="A3503" s="1" t="str">
        <f>Paths!$A$324</f>
        <v>T080</v>
      </c>
      <c r="B3503" s="1">
        <f>Paths!$B$324</f>
        <v>1</v>
      </c>
      <c r="C3503" s="1">
        <v>9</v>
      </c>
      <c r="D3503" s="1">
        <v>324</v>
      </c>
      <c r="E3503" s="1">
        <f>IF(OR(Paths!$C$324=0,C3503=0),0,MAX(0,MIN(C3503*12,Paths!$E$324)-(C3503-1)*12))</f>
        <v>0</v>
      </c>
      <c r="F3503" s="1">
        <f>IF(OR(Paths!$C$324=0,C3503=0),0,12-E3503)</f>
        <v>0</v>
      </c>
      <c r="G3503" s="16">
        <f>IF(NOT(Paths!$C$324=1),0,IF(Paths!$P$324="Complete",E3503/12*(Paths!$J$324*(1+'Operating costs'!$B$51)^MAX(0,C3503-1)+Paths!$K$324*(1+'Operating costs'!$B$53)^MAX(0,C3503-1)),"n.a."))</f>
        <v>0</v>
      </c>
      <c r="H3503" s="16">
        <f>IF(NOT(Paths!$C$324=1),0,IF(Paths!$P$324="Complete",F3503/12*(Paths!$L$324*(1+IF(Paths!$D$324="EV",'Operating costs'!$B$52,'Operating costs'!$B$51))^MAX(0,C3503-1)+Paths!$M$324*(1+'Operating costs'!$B$53)^MAX(0,C3503-1)),"n.a."))</f>
        <v>0</v>
      </c>
      <c r="I3503" s="16">
        <f>IF(NOT(Paths!$C$324=1),0,IF(Paths!$P$324="Complete",IF(IF(Paths!$E$324=0,C3503=0,AND(C3503&gt;0,Paths!$E$324&gt;(C3503-1)*12,Paths!$E$324&lt;=C3503*12)),Paths!$G$324,0),"n.a."))</f>
        <v>0</v>
      </c>
      <c r="J3503" s="16">
        <f>IF(NOT(Paths!$C$324=1),0,IF(Paths!$P$324="Complete",IF(IF(Paths!$E$324=0,C3503=0,AND(C3503&gt;0,Paths!$E$324&gt;(C3503-1)*12,Paths!$E$324&lt;=C3503*12)),Paths!$H$324,0),"n.a."))</f>
        <v>0</v>
      </c>
      <c r="K3503" s="16">
        <f>IF(NOT(Paths!$C$324=1),0,IF(Paths!$P$324="Complete",IF(IF(Paths!$O$324=0,C3503=0,AND(C3503&gt;0,Paths!$O$324&gt;(C3503-1)*12,Paths!$O$324&lt;=C3503*12)),Paths!$N$324,0),"n.a."))</f>
        <v>0</v>
      </c>
      <c r="L3503" s="16">
        <f>IF(NOT(Paths!$C$324=1),0,IF(Paths!$P$324="Complete",IF(C3503=10,Paths!$I$324,0),"n.a."))</f>
        <v>0</v>
      </c>
      <c r="M3503" s="16">
        <f>IF(NOT(Paths!$C$324=1),0,IF(Paths!$P$324="Complete",IF(AND(Paths!$D$324="EV",Paths!$E$324&lt;120,Paths!$E$324+'Operating costs'!$B$65&gt;Paths!$E$324,Paths!$E$324+'Operating costs'!$B$65&lt;=120,IF(Paths!$E$324+'Operating costs'!$B$65=0,C3503=0,AND(C3503&gt;0,Paths!$E$324+'Operating costs'!$B$65&gt;(C3503-1)*12,Paths!$E$324+'Operating costs'!$B$65&lt;=C3503*12))),'Operating costs'!$B$64,0)+IF(AND('Operating costs'!$B$67&gt;0,'Operating costs'!$B$67&lt;=120,OR(Paths!$D$324="ICE",'Operating costs'!$B$67&lt;=Paths!$E$324),IF('Operating costs'!$B$67=0,C3503=0,AND(C3503&gt;0,'Operating costs'!$B$67&gt;(C3503-1)*12,'Operating costs'!$B$67&lt;=C3503*12))),'Operating costs'!$B$66,0),"n.a."))</f>
        <v>0</v>
      </c>
      <c r="N3503" s="16">
        <f>IF(NOT(Paths!$C$324=1),0,IF(Paths!$P$324="Complete",SUM(G3503:I3503)-J3503-K3503-L3503+M3503+IF(C3503=0,Paths!$F$324,0)+IF(IF(Paths!$E$324=0,C3503=0,AND(C3503&gt;0,Paths!$E$324&gt;(C3503-1)*12,Paths!$E$324&lt;=C3503*12)),VLOOKUP(A3503,'Fleet register'!$A$7:$S$106,16,FALSE),0),"n.a."))</f>
        <v>0</v>
      </c>
      <c r="O3503" s="16">
        <f>IF(NOT(Paths!$C$324=1),0,IF(Paths!$P$324="Complete",N3503-IF(C3503=0,Paths!$F$324,0),"n.a."))</f>
        <v>0</v>
      </c>
      <c r="P3503" s="16">
        <f>IF(NOT(Paths!$C$324=1),0,IF(Paths!$P$324="Complete",O3503+L3503,"n.a."))</f>
        <v>0</v>
      </c>
      <c r="Q3503" s="16">
        <f>IF(NOT(Paths!$C$324=1),0,IF(Paths!$P$324="Complete",N3503*(1+'Operating costs'!$B$54)^-C3503,"n.a."))</f>
        <v>0</v>
      </c>
      <c r="R3503" s="16">
        <f>IF(NOT(Paths!$C$324=1),0,IF(Paths!$P$324="Complete",IF(AND(C3503=0,Paths!$E$324=0),I3503-J3503-K3503+VLOOKUP(A3503,'Fleet register'!$A$7:$S$106,15,FALSE)+VLOOKUP(A3503,'Fleet register'!$A$7:$S$106,16,FALSE),0),"n.a."))</f>
        <v>0</v>
      </c>
      <c r="S3503" s="1">
        <f>IF(NOT(Paths!$C$324=1),0,IF(Paths!$P$324="Complete",IF(C3503=0,0,Paths!$S$324*Paths!$R$324),"n.a."))</f>
        <v>0</v>
      </c>
      <c r="T3503" s="1">
        <f>IF(NOT(Paths!$C$324=1),0,IF(Paths!$P$324="Complete",IF(C3503=0,0,VLOOKUP(A3503,'Fleet register'!$A$7:$S$106,9,FALSE)*Paths!$R$324),"n.a."))</f>
        <v>0</v>
      </c>
    </row>
    <row r="3504" spans="1:20" ht="24" customHeight="1">
      <c r="A3504" s="1" t="str">
        <f>Paths!$A$324</f>
        <v>T080</v>
      </c>
      <c r="B3504" s="1">
        <f>Paths!$B$324</f>
        <v>1</v>
      </c>
      <c r="C3504" s="1">
        <v>10</v>
      </c>
      <c r="D3504" s="1">
        <v>324</v>
      </c>
      <c r="E3504" s="1">
        <f>IF(OR(Paths!$C$324=0,C3504=0),0,MAX(0,MIN(C3504*12,Paths!$E$324)-(C3504-1)*12))</f>
        <v>0</v>
      </c>
      <c r="F3504" s="1">
        <f>IF(OR(Paths!$C$324=0,C3504=0),0,12-E3504)</f>
        <v>0</v>
      </c>
      <c r="G3504" s="16">
        <f>IF(NOT(Paths!$C$324=1),0,IF(Paths!$P$324="Complete",E3504/12*(Paths!$J$324*(1+'Operating costs'!$B$51)^MAX(0,C3504-1)+Paths!$K$324*(1+'Operating costs'!$B$53)^MAX(0,C3504-1)),"n.a."))</f>
        <v>0</v>
      </c>
      <c r="H3504" s="16">
        <f>IF(NOT(Paths!$C$324=1),0,IF(Paths!$P$324="Complete",F3504/12*(Paths!$L$324*(1+IF(Paths!$D$324="EV",'Operating costs'!$B$52,'Operating costs'!$B$51))^MAX(0,C3504-1)+Paths!$M$324*(1+'Operating costs'!$B$53)^MAX(0,C3504-1)),"n.a."))</f>
        <v>0</v>
      </c>
      <c r="I3504" s="16">
        <f>IF(NOT(Paths!$C$324=1),0,IF(Paths!$P$324="Complete",IF(IF(Paths!$E$324=0,C3504=0,AND(C3504&gt;0,Paths!$E$324&gt;(C3504-1)*12,Paths!$E$324&lt;=C3504*12)),Paths!$G$324,0),"n.a."))</f>
        <v>0</v>
      </c>
      <c r="J3504" s="16">
        <f>IF(NOT(Paths!$C$324=1),0,IF(Paths!$P$324="Complete",IF(IF(Paths!$E$324=0,C3504=0,AND(C3504&gt;0,Paths!$E$324&gt;(C3504-1)*12,Paths!$E$324&lt;=C3504*12)),Paths!$H$324,0),"n.a."))</f>
        <v>0</v>
      </c>
      <c r="K3504" s="16">
        <f>IF(NOT(Paths!$C$324=1),0,IF(Paths!$P$324="Complete",IF(IF(Paths!$O$324=0,C3504=0,AND(C3504&gt;0,Paths!$O$324&gt;(C3504-1)*12,Paths!$O$324&lt;=C3504*12)),Paths!$N$324,0),"n.a."))</f>
        <v>0</v>
      </c>
      <c r="L3504" s="16">
        <f>IF(NOT(Paths!$C$324=1),0,IF(Paths!$P$324="Complete",IF(C3504=10,Paths!$I$324,0),"n.a."))</f>
        <v>0</v>
      </c>
      <c r="M3504" s="16">
        <f>IF(NOT(Paths!$C$324=1),0,IF(Paths!$P$324="Complete",IF(AND(Paths!$D$324="EV",Paths!$E$324&lt;120,Paths!$E$324+'Operating costs'!$B$65&gt;Paths!$E$324,Paths!$E$324+'Operating costs'!$B$65&lt;=120,IF(Paths!$E$324+'Operating costs'!$B$65=0,C3504=0,AND(C3504&gt;0,Paths!$E$324+'Operating costs'!$B$65&gt;(C3504-1)*12,Paths!$E$324+'Operating costs'!$B$65&lt;=C3504*12))),'Operating costs'!$B$64,0)+IF(AND('Operating costs'!$B$67&gt;0,'Operating costs'!$B$67&lt;=120,OR(Paths!$D$324="ICE",'Operating costs'!$B$67&lt;=Paths!$E$324),IF('Operating costs'!$B$67=0,C3504=0,AND(C3504&gt;0,'Operating costs'!$B$67&gt;(C3504-1)*12,'Operating costs'!$B$67&lt;=C3504*12))),'Operating costs'!$B$66,0),"n.a."))</f>
        <v>0</v>
      </c>
      <c r="N3504" s="16">
        <f>IF(NOT(Paths!$C$324=1),0,IF(Paths!$P$324="Complete",SUM(G3504:I3504)-J3504-K3504-L3504+M3504+IF(C3504=0,Paths!$F$324,0)+IF(IF(Paths!$E$324=0,C3504=0,AND(C3504&gt;0,Paths!$E$324&gt;(C3504-1)*12,Paths!$E$324&lt;=C3504*12)),VLOOKUP(A3504,'Fleet register'!$A$7:$S$106,16,FALSE),0),"n.a."))</f>
        <v>0</v>
      </c>
      <c r="O3504" s="16">
        <f>IF(NOT(Paths!$C$324=1),0,IF(Paths!$P$324="Complete",N3504-IF(C3504=0,Paths!$F$324,0),"n.a."))</f>
        <v>0</v>
      </c>
      <c r="P3504" s="16">
        <f>IF(NOT(Paths!$C$324=1),0,IF(Paths!$P$324="Complete",O3504+L3504,"n.a."))</f>
        <v>0</v>
      </c>
      <c r="Q3504" s="16">
        <f>IF(NOT(Paths!$C$324=1),0,IF(Paths!$P$324="Complete",N3504*(1+'Operating costs'!$B$54)^-C3504,"n.a."))</f>
        <v>0</v>
      </c>
      <c r="R3504" s="16">
        <f>IF(NOT(Paths!$C$324=1),0,IF(Paths!$P$324="Complete",IF(AND(C3504=0,Paths!$E$324=0),I3504-J3504-K3504+VLOOKUP(A3504,'Fleet register'!$A$7:$S$106,15,FALSE)+VLOOKUP(A3504,'Fleet register'!$A$7:$S$106,16,FALSE),0),"n.a."))</f>
        <v>0</v>
      </c>
      <c r="S3504" s="1">
        <f>IF(NOT(Paths!$C$324=1),0,IF(Paths!$P$324="Complete",IF(C3504=0,0,Paths!$S$324*Paths!$R$324),"n.a."))</f>
        <v>0</v>
      </c>
      <c r="T3504" s="1">
        <f>IF(NOT(Paths!$C$324=1),0,IF(Paths!$P$324="Complete",IF(C3504=0,0,VLOOKUP(A3504,'Fleet register'!$A$7:$S$106,9,FALSE)*Paths!$R$324),"n.a."))</f>
        <v>0</v>
      </c>
    </row>
    <row r="3505" spans="1:20" ht="24" customHeight="1">
      <c r="A3505" s="1" t="str">
        <f>Paths!$A$325</f>
        <v>T080</v>
      </c>
      <c r="B3505" s="1">
        <f>Paths!$B$325</f>
        <v>2</v>
      </c>
      <c r="C3505" s="1">
        <v>0</v>
      </c>
      <c r="D3505" s="1">
        <v>325</v>
      </c>
      <c r="E3505" s="1">
        <f>IF(OR(Paths!$C$325=0,C3505=0),0,MAX(0,MIN(C3505*12,Paths!$E$325)-(C3505-1)*12))</f>
        <v>0</v>
      </c>
      <c r="F3505" s="1">
        <f>IF(OR(Paths!$C$325=0,C3505=0),0,12-E3505)</f>
        <v>0</v>
      </c>
      <c r="G3505" s="16">
        <f>IF(NOT(Paths!$C$325=1),0,IF(Paths!$P$325="Complete",E3505/12*(Paths!$J$325*(1+'Operating costs'!$B$51)^MAX(0,C3505-1)+Paths!$K$325*(1+'Operating costs'!$B$53)^MAX(0,C3505-1)),"n.a."))</f>
        <v>0</v>
      </c>
      <c r="H3505" s="16">
        <f>IF(NOT(Paths!$C$325=1),0,IF(Paths!$P$325="Complete",F3505/12*(Paths!$L$325*(1+IF(Paths!$D$325="EV",'Operating costs'!$B$52,'Operating costs'!$B$51))^MAX(0,C3505-1)+Paths!$M$325*(1+'Operating costs'!$B$53)^MAX(0,C3505-1)),"n.a."))</f>
        <v>0</v>
      </c>
      <c r="I3505" s="16">
        <f>IF(NOT(Paths!$C$325=1),0,IF(Paths!$P$325="Complete",IF(IF(Paths!$E$325=0,C3505=0,AND(C3505&gt;0,Paths!$E$325&gt;(C3505-1)*12,Paths!$E$325&lt;=C3505*12)),Paths!$G$325,0),"n.a."))</f>
        <v>0</v>
      </c>
      <c r="J3505" s="16">
        <f>IF(NOT(Paths!$C$325=1),0,IF(Paths!$P$325="Complete",IF(IF(Paths!$E$325=0,C3505=0,AND(C3505&gt;0,Paths!$E$325&gt;(C3505-1)*12,Paths!$E$325&lt;=C3505*12)),Paths!$H$325,0),"n.a."))</f>
        <v>0</v>
      </c>
      <c r="K3505" s="16">
        <f>IF(NOT(Paths!$C$325=1),0,IF(Paths!$P$325="Complete",IF(IF(Paths!$O$325=0,C3505=0,AND(C3505&gt;0,Paths!$O$325&gt;(C3505-1)*12,Paths!$O$325&lt;=C3505*12)),Paths!$N$325,0),"n.a."))</f>
        <v>0</v>
      </c>
      <c r="L3505" s="16">
        <f>IF(NOT(Paths!$C$325=1),0,IF(Paths!$P$325="Complete",IF(C3505=10,Paths!$I$325,0),"n.a."))</f>
        <v>0</v>
      </c>
      <c r="M3505" s="16">
        <f>IF(NOT(Paths!$C$325=1),0,IF(Paths!$P$325="Complete",IF(AND(Paths!$D$325="EV",Paths!$E$325&lt;120,Paths!$E$325+'Operating costs'!$B$65&gt;Paths!$E$325,Paths!$E$325+'Operating costs'!$B$65&lt;=120,IF(Paths!$E$325+'Operating costs'!$B$65=0,C3505=0,AND(C3505&gt;0,Paths!$E$325+'Operating costs'!$B$65&gt;(C3505-1)*12,Paths!$E$325+'Operating costs'!$B$65&lt;=C3505*12))),'Operating costs'!$B$64,0)+IF(AND('Operating costs'!$B$67&gt;0,'Operating costs'!$B$67&lt;=120,OR(Paths!$D$325="ICE",'Operating costs'!$B$67&lt;=Paths!$E$325),IF('Operating costs'!$B$67=0,C3505=0,AND(C3505&gt;0,'Operating costs'!$B$67&gt;(C3505-1)*12,'Operating costs'!$B$67&lt;=C3505*12))),'Operating costs'!$B$66,0),"n.a."))</f>
        <v>0</v>
      </c>
      <c r="N3505" s="16">
        <f>IF(NOT(Paths!$C$325=1),0,IF(Paths!$P$325="Complete",SUM(G3505:I3505)-J3505-K3505-L3505+M3505+IF(C3505=0,Paths!$F$325,0)+IF(IF(Paths!$E$325=0,C3505=0,AND(C3505&gt;0,Paths!$E$325&gt;(C3505-1)*12,Paths!$E$325&lt;=C3505*12)),VLOOKUP(A3505,'Fleet register'!$A$7:$S$106,16,FALSE),0),"n.a."))</f>
        <v>0</v>
      </c>
      <c r="O3505" s="16">
        <f>IF(NOT(Paths!$C$325=1),0,IF(Paths!$P$325="Complete",N3505-IF(C3505=0,Paths!$F$325,0),"n.a."))</f>
        <v>0</v>
      </c>
      <c r="P3505" s="16">
        <f>IF(NOT(Paths!$C$325=1),0,IF(Paths!$P$325="Complete",O3505+L3505,"n.a."))</f>
        <v>0</v>
      </c>
      <c r="Q3505" s="16">
        <f>IF(NOT(Paths!$C$325=1),0,IF(Paths!$P$325="Complete",N3505*(1+'Operating costs'!$B$54)^-C3505,"n.a."))</f>
        <v>0</v>
      </c>
      <c r="R3505" s="16">
        <f>IF(NOT(Paths!$C$325=1),0,IF(Paths!$P$325="Complete",IF(AND(C3505=0,Paths!$E$325=0),I3505-J3505-K3505+VLOOKUP(A3505,'Fleet register'!$A$7:$S$106,15,FALSE)+VLOOKUP(A3505,'Fleet register'!$A$7:$S$106,16,FALSE),0),"n.a."))</f>
        <v>0</v>
      </c>
      <c r="S3505" s="1">
        <f>IF(NOT(Paths!$C$325=1),0,IF(Paths!$P$325="Complete",IF(C3505=0,0,Paths!$S$325*Paths!$R$325),"n.a."))</f>
        <v>0</v>
      </c>
      <c r="T3505" s="1">
        <f>IF(NOT(Paths!$C$325=1),0,IF(Paths!$P$325="Complete",IF(C3505=0,0,VLOOKUP(A3505,'Fleet register'!$A$7:$S$106,9,FALSE)*Paths!$R$325),"n.a."))</f>
        <v>0</v>
      </c>
    </row>
    <row r="3506" spans="1:20" ht="24" customHeight="1">
      <c r="A3506" s="1" t="str">
        <f>Paths!$A$325</f>
        <v>T080</v>
      </c>
      <c r="B3506" s="1">
        <f>Paths!$B$325</f>
        <v>2</v>
      </c>
      <c r="C3506" s="1">
        <v>1</v>
      </c>
      <c r="D3506" s="1">
        <v>325</v>
      </c>
      <c r="E3506" s="1">
        <f>IF(OR(Paths!$C$325=0,C3506=0),0,MAX(0,MIN(C3506*12,Paths!$E$325)-(C3506-1)*12))</f>
        <v>0</v>
      </c>
      <c r="F3506" s="1">
        <f>IF(OR(Paths!$C$325=0,C3506=0),0,12-E3506)</f>
        <v>0</v>
      </c>
      <c r="G3506" s="16">
        <f>IF(NOT(Paths!$C$325=1),0,IF(Paths!$P$325="Complete",E3506/12*(Paths!$J$325*(1+'Operating costs'!$B$51)^MAX(0,C3506-1)+Paths!$K$325*(1+'Operating costs'!$B$53)^MAX(0,C3506-1)),"n.a."))</f>
        <v>0</v>
      </c>
      <c r="H3506" s="16">
        <f>IF(NOT(Paths!$C$325=1),0,IF(Paths!$P$325="Complete",F3506/12*(Paths!$L$325*(1+IF(Paths!$D$325="EV",'Operating costs'!$B$52,'Operating costs'!$B$51))^MAX(0,C3506-1)+Paths!$M$325*(1+'Operating costs'!$B$53)^MAX(0,C3506-1)),"n.a."))</f>
        <v>0</v>
      </c>
      <c r="I3506" s="16">
        <f>IF(NOT(Paths!$C$325=1),0,IF(Paths!$P$325="Complete",IF(IF(Paths!$E$325=0,C3506=0,AND(C3506&gt;0,Paths!$E$325&gt;(C3506-1)*12,Paths!$E$325&lt;=C3506*12)),Paths!$G$325,0),"n.a."))</f>
        <v>0</v>
      </c>
      <c r="J3506" s="16">
        <f>IF(NOT(Paths!$C$325=1),0,IF(Paths!$P$325="Complete",IF(IF(Paths!$E$325=0,C3506=0,AND(C3506&gt;0,Paths!$E$325&gt;(C3506-1)*12,Paths!$E$325&lt;=C3506*12)),Paths!$H$325,0),"n.a."))</f>
        <v>0</v>
      </c>
      <c r="K3506" s="16">
        <f>IF(NOT(Paths!$C$325=1),0,IF(Paths!$P$325="Complete",IF(IF(Paths!$O$325=0,C3506=0,AND(C3506&gt;0,Paths!$O$325&gt;(C3506-1)*12,Paths!$O$325&lt;=C3506*12)),Paths!$N$325,0),"n.a."))</f>
        <v>0</v>
      </c>
      <c r="L3506" s="16">
        <f>IF(NOT(Paths!$C$325=1),0,IF(Paths!$P$325="Complete",IF(C3506=10,Paths!$I$325,0),"n.a."))</f>
        <v>0</v>
      </c>
      <c r="M3506" s="16">
        <f>IF(NOT(Paths!$C$325=1),0,IF(Paths!$P$325="Complete",IF(AND(Paths!$D$325="EV",Paths!$E$325&lt;120,Paths!$E$325+'Operating costs'!$B$65&gt;Paths!$E$325,Paths!$E$325+'Operating costs'!$B$65&lt;=120,IF(Paths!$E$325+'Operating costs'!$B$65=0,C3506=0,AND(C3506&gt;0,Paths!$E$325+'Operating costs'!$B$65&gt;(C3506-1)*12,Paths!$E$325+'Operating costs'!$B$65&lt;=C3506*12))),'Operating costs'!$B$64,0)+IF(AND('Operating costs'!$B$67&gt;0,'Operating costs'!$B$67&lt;=120,OR(Paths!$D$325="ICE",'Operating costs'!$B$67&lt;=Paths!$E$325),IF('Operating costs'!$B$67=0,C3506=0,AND(C3506&gt;0,'Operating costs'!$B$67&gt;(C3506-1)*12,'Operating costs'!$B$67&lt;=C3506*12))),'Operating costs'!$B$66,0),"n.a."))</f>
        <v>0</v>
      </c>
      <c r="N3506" s="16">
        <f>IF(NOT(Paths!$C$325=1),0,IF(Paths!$P$325="Complete",SUM(G3506:I3506)-J3506-K3506-L3506+M3506+IF(C3506=0,Paths!$F$325,0)+IF(IF(Paths!$E$325=0,C3506=0,AND(C3506&gt;0,Paths!$E$325&gt;(C3506-1)*12,Paths!$E$325&lt;=C3506*12)),VLOOKUP(A3506,'Fleet register'!$A$7:$S$106,16,FALSE),0),"n.a."))</f>
        <v>0</v>
      </c>
      <c r="O3506" s="16">
        <f>IF(NOT(Paths!$C$325=1),0,IF(Paths!$P$325="Complete",N3506-IF(C3506=0,Paths!$F$325,0),"n.a."))</f>
        <v>0</v>
      </c>
      <c r="P3506" s="16">
        <f>IF(NOT(Paths!$C$325=1),0,IF(Paths!$P$325="Complete",O3506+L3506,"n.a."))</f>
        <v>0</v>
      </c>
      <c r="Q3506" s="16">
        <f>IF(NOT(Paths!$C$325=1),0,IF(Paths!$P$325="Complete",N3506*(1+'Operating costs'!$B$54)^-C3506,"n.a."))</f>
        <v>0</v>
      </c>
      <c r="R3506" s="16">
        <f>IF(NOT(Paths!$C$325=1),0,IF(Paths!$P$325="Complete",IF(AND(C3506=0,Paths!$E$325=0),I3506-J3506-K3506+VLOOKUP(A3506,'Fleet register'!$A$7:$S$106,15,FALSE)+VLOOKUP(A3506,'Fleet register'!$A$7:$S$106,16,FALSE),0),"n.a."))</f>
        <v>0</v>
      </c>
      <c r="S3506" s="1">
        <f>IF(NOT(Paths!$C$325=1),0,IF(Paths!$P$325="Complete",IF(C3506=0,0,Paths!$S$325*Paths!$R$325),"n.a."))</f>
        <v>0</v>
      </c>
      <c r="T3506" s="1">
        <f>IF(NOT(Paths!$C$325=1),0,IF(Paths!$P$325="Complete",IF(C3506=0,0,VLOOKUP(A3506,'Fleet register'!$A$7:$S$106,9,FALSE)*Paths!$R$325),"n.a."))</f>
        <v>0</v>
      </c>
    </row>
    <row r="3507" spans="1:20" ht="24" customHeight="1">
      <c r="A3507" s="1" t="str">
        <f>Paths!$A$325</f>
        <v>T080</v>
      </c>
      <c r="B3507" s="1">
        <f>Paths!$B$325</f>
        <v>2</v>
      </c>
      <c r="C3507" s="1">
        <v>2</v>
      </c>
      <c r="D3507" s="1">
        <v>325</v>
      </c>
      <c r="E3507" s="1">
        <f>IF(OR(Paths!$C$325=0,C3507=0),0,MAX(0,MIN(C3507*12,Paths!$E$325)-(C3507-1)*12))</f>
        <v>0</v>
      </c>
      <c r="F3507" s="1">
        <f>IF(OR(Paths!$C$325=0,C3507=0),0,12-E3507)</f>
        <v>0</v>
      </c>
      <c r="G3507" s="16">
        <f>IF(NOT(Paths!$C$325=1),0,IF(Paths!$P$325="Complete",E3507/12*(Paths!$J$325*(1+'Operating costs'!$B$51)^MAX(0,C3507-1)+Paths!$K$325*(1+'Operating costs'!$B$53)^MAX(0,C3507-1)),"n.a."))</f>
        <v>0</v>
      </c>
      <c r="H3507" s="16">
        <f>IF(NOT(Paths!$C$325=1),0,IF(Paths!$P$325="Complete",F3507/12*(Paths!$L$325*(1+IF(Paths!$D$325="EV",'Operating costs'!$B$52,'Operating costs'!$B$51))^MAX(0,C3507-1)+Paths!$M$325*(1+'Operating costs'!$B$53)^MAX(0,C3507-1)),"n.a."))</f>
        <v>0</v>
      </c>
      <c r="I3507" s="16">
        <f>IF(NOT(Paths!$C$325=1),0,IF(Paths!$P$325="Complete",IF(IF(Paths!$E$325=0,C3507=0,AND(C3507&gt;0,Paths!$E$325&gt;(C3507-1)*12,Paths!$E$325&lt;=C3507*12)),Paths!$G$325,0),"n.a."))</f>
        <v>0</v>
      </c>
      <c r="J3507" s="16">
        <f>IF(NOT(Paths!$C$325=1),0,IF(Paths!$P$325="Complete",IF(IF(Paths!$E$325=0,C3507=0,AND(C3507&gt;0,Paths!$E$325&gt;(C3507-1)*12,Paths!$E$325&lt;=C3507*12)),Paths!$H$325,0),"n.a."))</f>
        <v>0</v>
      </c>
      <c r="K3507" s="16">
        <f>IF(NOT(Paths!$C$325=1),0,IF(Paths!$P$325="Complete",IF(IF(Paths!$O$325=0,C3507=0,AND(C3507&gt;0,Paths!$O$325&gt;(C3507-1)*12,Paths!$O$325&lt;=C3507*12)),Paths!$N$325,0),"n.a."))</f>
        <v>0</v>
      </c>
      <c r="L3507" s="16">
        <f>IF(NOT(Paths!$C$325=1),0,IF(Paths!$P$325="Complete",IF(C3507=10,Paths!$I$325,0),"n.a."))</f>
        <v>0</v>
      </c>
      <c r="M3507" s="16">
        <f>IF(NOT(Paths!$C$325=1),0,IF(Paths!$P$325="Complete",IF(AND(Paths!$D$325="EV",Paths!$E$325&lt;120,Paths!$E$325+'Operating costs'!$B$65&gt;Paths!$E$325,Paths!$E$325+'Operating costs'!$B$65&lt;=120,IF(Paths!$E$325+'Operating costs'!$B$65=0,C3507=0,AND(C3507&gt;0,Paths!$E$325+'Operating costs'!$B$65&gt;(C3507-1)*12,Paths!$E$325+'Operating costs'!$B$65&lt;=C3507*12))),'Operating costs'!$B$64,0)+IF(AND('Operating costs'!$B$67&gt;0,'Operating costs'!$B$67&lt;=120,OR(Paths!$D$325="ICE",'Operating costs'!$B$67&lt;=Paths!$E$325),IF('Operating costs'!$B$67=0,C3507=0,AND(C3507&gt;0,'Operating costs'!$B$67&gt;(C3507-1)*12,'Operating costs'!$B$67&lt;=C3507*12))),'Operating costs'!$B$66,0),"n.a."))</f>
        <v>0</v>
      </c>
      <c r="N3507" s="16">
        <f>IF(NOT(Paths!$C$325=1),0,IF(Paths!$P$325="Complete",SUM(G3507:I3507)-J3507-K3507-L3507+M3507+IF(C3507=0,Paths!$F$325,0)+IF(IF(Paths!$E$325=0,C3507=0,AND(C3507&gt;0,Paths!$E$325&gt;(C3507-1)*12,Paths!$E$325&lt;=C3507*12)),VLOOKUP(A3507,'Fleet register'!$A$7:$S$106,16,FALSE),0),"n.a."))</f>
        <v>0</v>
      </c>
      <c r="O3507" s="16">
        <f>IF(NOT(Paths!$C$325=1),0,IF(Paths!$P$325="Complete",N3507-IF(C3507=0,Paths!$F$325,0),"n.a."))</f>
        <v>0</v>
      </c>
      <c r="P3507" s="16">
        <f>IF(NOT(Paths!$C$325=1),0,IF(Paths!$P$325="Complete",O3507+L3507,"n.a."))</f>
        <v>0</v>
      </c>
      <c r="Q3507" s="16">
        <f>IF(NOT(Paths!$C$325=1),0,IF(Paths!$P$325="Complete",N3507*(1+'Operating costs'!$B$54)^-C3507,"n.a."))</f>
        <v>0</v>
      </c>
      <c r="R3507" s="16">
        <f>IF(NOT(Paths!$C$325=1),0,IF(Paths!$P$325="Complete",IF(AND(C3507=0,Paths!$E$325=0),I3507-J3507-K3507+VLOOKUP(A3507,'Fleet register'!$A$7:$S$106,15,FALSE)+VLOOKUP(A3507,'Fleet register'!$A$7:$S$106,16,FALSE),0),"n.a."))</f>
        <v>0</v>
      </c>
      <c r="S3507" s="1">
        <f>IF(NOT(Paths!$C$325=1),0,IF(Paths!$P$325="Complete",IF(C3507=0,0,Paths!$S$325*Paths!$R$325),"n.a."))</f>
        <v>0</v>
      </c>
      <c r="T3507" s="1">
        <f>IF(NOT(Paths!$C$325=1),0,IF(Paths!$P$325="Complete",IF(C3507=0,0,VLOOKUP(A3507,'Fleet register'!$A$7:$S$106,9,FALSE)*Paths!$R$325),"n.a."))</f>
        <v>0</v>
      </c>
    </row>
    <row r="3508" spans="1:20" ht="24" customHeight="1">
      <c r="A3508" s="1" t="str">
        <f>Paths!$A$325</f>
        <v>T080</v>
      </c>
      <c r="B3508" s="1">
        <f>Paths!$B$325</f>
        <v>2</v>
      </c>
      <c r="C3508" s="1">
        <v>3</v>
      </c>
      <c r="D3508" s="1">
        <v>325</v>
      </c>
      <c r="E3508" s="1">
        <f>IF(OR(Paths!$C$325=0,C3508=0),0,MAX(0,MIN(C3508*12,Paths!$E$325)-(C3508-1)*12))</f>
        <v>0</v>
      </c>
      <c r="F3508" s="1">
        <f>IF(OR(Paths!$C$325=0,C3508=0),0,12-E3508)</f>
        <v>0</v>
      </c>
      <c r="G3508" s="16">
        <f>IF(NOT(Paths!$C$325=1),0,IF(Paths!$P$325="Complete",E3508/12*(Paths!$J$325*(1+'Operating costs'!$B$51)^MAX(0,C3508-1)+Paths!$K$325*(1+'Operating costs'!$B$53)^MAX(0,C3508-1)),"n.a."))</f>
        <v>0</v>
      </c>
      <c r="H3508" s="16">
        <f>IF(NOT(Paths!$C$325=1),0,IF(Paths!$P$325="Complete",F3508/12*(Paths!$L$325*(1+IF(Paths!$D$325="EV",'Operating costs'!$B$52,'Operating costs'!$B$51))^MAX(0,C3508-1)+Paths!$M$325*(1+'Operating costs'!$B$53)^MAX(0,C3508-1)),"n.a."))</f>
        <v>0</v>
      </c>
      <c r="I3508" s="16">
        <f>IF(NOT(Paths!$C$325=1),0,IF(Paths!$P$325="Complete",IF(IF(Paths!$E$325=0,C3508=0,AND(C3508&gt;0,Paths!$E$325&gt;(C3508-1)*12,Paths!$E$325&lt;=C3508*12)),Paths!$G$325,0),"n.a."))</f>
        <v>0</v>
      </c>
      <c r="J3508" s="16">
        <f>IF(NOT(Paths!$C$325=1),0,IF(Paths!$P$325="Complete",IF(IF(Paths!$E$325=0,C3508=0,AND(C3508&gt;0,Paths!$E$325&gt;(C3508-1)*12,Paths!$E$325&lt;=C3508*12)),Paths!$H$325,0),"n.a."))</f>
        <v>0</v>
      </c>
      <c r="K3508" s="16">
        <f>IF(NOT(Paths!$C$325=1),0,IF(Paths!$P$325="Complete",IF(IF(Paths!$O$325=0,C3508=0,AND(C3508&gt;0,Paths!$O$325&gt;(C3508-1)*12,Paths!$O$325&lt;=C3508*12)),Paths!$N$325,0),"n.a."))</f>
        <v>0</v>
      </c>
      <c r="L3508" s="16">
        <f>IF(NOT(Paths!$C$325=1),0,IF(Paths!$P$325="Complete",IF(C3508=10,Paths!$I$325,0),"n.a."))</f>
        <v>0</v>
      </c>
      <c r="M3508" s="16">
        <f>IF(NOT(Paths!$C$325=1),0,IF(Paths!$P$325="Complete",IF(AND(Paths!$D$325="EV",Paths!$E$325&lt;120,Paths!$E$325+'Operating costs'!$B$65&gt;Paths!$E$325,Paths!$E$325+'Operating costs'!$B$65&lt;=120,IF(Paths!$E$325+'Operating costs'!$B$65=0,C3508=0,AND(C3508&gt;0,Paths!$E$325+'Operating costs'!$B$65&gt;(C3508-1)*12,Paths!$E$325+'Operating costs'!$B$65&lt;=C3508*12))),'Operating costs'!$B$64,0)+IF(AND('Operating costs'!$B$67&gt;0,'Operating costs'!$B$67&lt;=120,OR(Paths!$D$325="ICE",'Operating costs'!$B$67&lt;=Paths!$E$325),IF('Operating costs'!$B$67=0,C3508=0,AND(C3508&gt;0,'Operating costs'!$B$67&gt;(C3508-1)*12,'Operating costs'!$B$67&lt;=C3508*12))),'Operating costs'!$B$66,0),"n.a."))</f>
        <v>0</v>
      </c>
      <c r="N3508" s="16">
        <f>IF(NOT(Paths!$C$325=1),0,IF(Paths!$P$325="Complete",SUM(G3508:I3508)-J3508-K3508-L3508+M3508+IF(C3508=0,Paths!$F$325,0)+IF(IF(Paths!$E$325=0,C3508=0,AND(C3508&gt;0,Paths!$E$325&gt;(C3508-1)*12,Paths!$E$325&lt;=C3508*12)),VLOOKUP(A3508,'Fleet register'!$A$7:$S$106,16,FALSE),0),"n.a."))</f>
        <v>0</v>
      </c>
      <c r="O3508" s="16">
        <f>IF(NOT(Paths!$C$325=1),0,IF(Paths!$P$325="Complete",N3508-IF(C3508=0,Paths!$F$325,0),"n.a."))</f>
        <v>0</v>
      </c>
      <c r="P3508" s="16">
        <f>IF(NOT(Paths!$C$325=1),0,IF(Paths!$P$325="Complete",O3508+L3508,"n.a."))</f>
        <v>0</v>
      </c>
      <c r="Q3508" s="16">
        <f>IF(NOT(Paths!$C$325=1),0,IF(Paths!$P$325="Complete",N3508*(1+'Operating costs'!$B$54)^-C3508,"n.a."))</f>
        <v>0</v>
      </c>
      <c r="R3508" s="16">
        <f>IF(NOT(Paths!$C$325=1),0,IF(Paths!$P$325="Complete",IF(AND(C3508=0,Paths!$E$325=0),I3508-J3508-K3508+VLOOKUP(A3508,'Fleet register'!$A$7:$S$106,15,FALSE)+VLOOKUP(A3508,'Fleet register'!$A$7:$S$106,16,FALSE),0),"n.a."))</f>
        <v>0</v>
      </c>
      <c r="S3508" s="1">
        <f>IF(NOT(Paths!$C$325=1),0,IF(Paths!$P$325="Complete",IF(C3508=0,0,Paths!$S$325*Paths!$R$325),"n.a."))</f>
        <v>0</v>
      </c>
      <c r="T3508" s="1">
        <f>IF(NOT(Paths!$C$325=1),0,IF(Paths!$P$325="Complete",IF(C3508=0,0,VLOOKUP(A3508,'Fleet register'!$A$7:$S$106,9,FALSE)*Paths!$R$325),"n.a."))</f>
        <v>0</v>
      </c>
    </row>
    <row r="3509" spans="1:20" ht="24" customHeight="1">
      <c r="A3509" s="1" t="str">
        <f>Paths!$A$325</f>
        <v>T080</v>
      </c>
      <c r="B3509" s="1">
        <f>Paths!$B$325</f>
        <v>2</v>
      </c>
      <c r="C3509" s="1">
        <v>4</v>
      </c>
      <c r="D3509" s="1">
        <v>325</v>
      </c>
      <c r="E3509" s="1">
        <f>IF(OR(Paths!$C$325=0,C3509=0),0,MAX(0,MIN(C3509*12,Paths!$E$325)-(C3509-1)*12))</f>
        <v>0</v>
      </c>
      <c r="F3509" s="1">
        <f>IF(OR(Paths!$C$325=0,C3509=0),0,12-E3509)</f>
        <v>0</v>
      </c>
      <c r="G3509" s="16">
        <f>IF(NOT(Paths!$C$325=1),0,IF(Paths!$P$325="Complete",E3509/12*(Paths!$J$325*(1+'Operating costs'!$B$51)^MAX(0,C3509-1)+Paths!$K$325*(1+'Operating costs'!$B$53)^MAX(0,C3509-1)),"n.a."))</f>
        <v>0</v>
      </c>
      <c r="H3509" s="16">
        <f>IF(NOT(Paths!$C$325=1),0,IF(Paths!$P$325="Complete",F3509/12*(Paths!$L$325*(1+IF(Paths!$D$325="EV",'Operating costs'!$B$52,'Operating costs'!$B$51))^MAX(0,C3509-1)+Paths!$M$325*(1+'Operating costs'!$B$53)^MAX(0,C3509-1)),"n.a."))</f>
        <v>0</v>
      </c>
      <c r="I3509" s="16">
        <f>IF(NOT(Paths!$C$325=1),0,IF(Paths!$P$325="Complete",IF(IF(Paths!$E$325=0,C3509=0,AND(C3509&gt;0,Paths!$E$325&gt;(C3509-1)*12,Paths!$E$325&lt;=C3509*12)),Paths!$G$325,0),"n.a."))</f>
        <v>0</v>
      </c>
      <c r="J3509" s="16">
        <f>IF(NOT(Paths!$C$325=1),0,IF(Paths!$P$325="Complete",IF(IF(Paths!$E$325=0,C3509=0,AND(C3509&gt;0,Paths!$E$325&gt;(C3509-1)*12,Paths!$E$325&lt;=C3509*12)),Paths!$H$325,0),"n.a."))</f>
        <v>0</v>
      </c>
      <c r="K3509" s="16">
        <f>IF(NOT(Paths!$C$325=1),0,IF(Paths!$P$325="Complete",IF(IF(Paths!$O$325=0,C3509=0,AND(C3509&gt;0,Paths!$O$325&gt;(C3509-1)*12,Paths!$O$325&lt;=C3509*12)),Paths!$N$325,0),"n.a."))</f>
        <v>0</v>
      </c>
      <c r="L3509" s="16">
        <f>IF(NOT(Paths!$C$325=1),0,IF(Paths!$P$325="Complete",IF(C3509=10,Paths!$I$325,0),"n.a."))</f>
        <v>0</v>
      </c>
      <c r="M3509" s="16">
        <f>IF(NOT(Paths!$C$325=1),0,IF(Paths!$P$325="Complete",IF(AND(Paths!$D$325="EV",Paths!$E$325&lt;120,Paths!$E$325+'Operating costs'!$B$65&gt;Paths!$E$325,Paths!$E$325+'Operating costs'!$B$65&lt;=120,IF(Paths!$E$325+'Operating costs'!$B$65=0,C3509=0,AND(C3509&gt;0,Paths!$E$325+'Operating costs'!$B$65&gt;(C3509-1)*12,Paths!$E$325+'Operating costs'!$B$65&lt;=C3509*12))),'Operating costs'!$B$64,0)+IF(AND('Operating costs'!$B$67&gt;0,'Operating costs'!$B$67&lt;=120,OR(Paths!$D$325="ICE",'Operating costs'!$B$67&lt;=Paths!$E$325),IF('Operating costs'!$B$67=0,C3509=0,AND(C3509&gt;0,'Operating costs'!$B$67&gt;(C3509-1)*12,'Operating costs'!$B$67&lt;=C3509*12))),'Operating costs'!$B$66,0),"n.a."))</f>
        <v>0</v>
      </c>
      <c r="N3509" s="16">
        <f>IF(NOT(Paths!$C$325=1),0,IF(Paths!$P$325="Complete",SUM(G3509:I3509)-J3509-K3509-L3509+M3509+IF(C3509=0,Paths!$F$325,0)+IF(IF(Paths!$E$325=0,C3509=0,AND(C3509&gt;0,Paths!$E$325&gt;(C3509-1)*12,Paths!$E$325&lt;=C3509*12)),VLOOKUP(A3509,'Fleet register'!$A$7:$S$106,16,FALSE),0),"n.a."))</f>
        <v>0</v>
      </c>
      <c r="O3509" s="16">
        <f>IF(NOT(Paths!$C$325=1),0,IF(Paths!$P$325="Complete",N3509-IF(C3509=0,Paths!$F$325,0),"n.a."))</f>
        <v>0</v>
      </c>
      <c r="P3509" s="16">
        <f>IF(NOT(Paths!$C$325=1),0,IF(Paths!$P$325="Complete",O3509+L3509,"n.a."))</f>
        <v>0</v>
      </c>
      <c r="Q3509" s="16">
        <f>IF(NOT(Paths!$C$325=1),0,IF(Paths!$P$325="Complete",N3509*(1+'Operating costs'!$B$54)^-C3509,"n.a."))</f>
        <v>0</v>
      </c>
      <c r="R3509" s="16">
        <f>IF(NOT(Paths!$C$325=1),0,IF(Paths!$P$325="Complete",IF(AND(C3509=0,Paths!$E$325=0),I3509-J3509-K3509+VLOOKUP(A3509,'Fleet register'!$A$7:$S$106,15,FALSE)+VLOOKUP(A3509,'Fleet register'!$A$7:$S$106,16,FALSE),0),"n.a."))</f>
        <v>0</v>
      </c>
      <c r="S3509" s="1">
        <f>IF(NOT(Paths!$C$325=1),0,IF(Paths!$P$325="Complete",IF(C3509=0,0,Paths!$S$325*Paths!$R$325),"n.a."))</f>
        <v>0</v>
      </c>
      <c r="T3509" s="1">
        <f>IF(NOT(Paths!$C$325=1),0,IF(Paths!$P$325="Complete",IF(C3509=0,0,VLOOKUP(A3509,'Fleet register'!$A$7:$S$106,9,FALSE)*Paths!$R$325),"n.a."))</f>
        <v>0</v>
      </c>
    </row>
    <row r="3510" spans="1:20" ht="24" customHeight="1">
      <c r="A3510" s="1" t="str">
        <f>Paths!$A$325</f>
        <v>T080</v>
      </c>
      <c r="B3510" s="1">
        <f>Paths!$B$325</f>
        <v>2</v>
      </c>
      <c r="C3510" s="1">
        <v>5</v>
      </c>
      <c r="D3510" s="1">
        <v>325</v>
      </c>
      <c r="E3510" s="1">
        <f>IF(OR(Paths!$C$325=0,C3510=0),0,MAX(0,MIN(C3510*12,Paths!$E$325)-(C3510-1)*12))</f>
        <v>0</v>
      </c>
      <c r="F3510" s="1">
        <f>IF(OR(Paths!$C$325=0,C3510=0),0,12-E3510)</f>
        <v>0</v>
      </c>
      <c r="G3510" s="16">
        <f>IF(NOT(Paths!$C$325=1),0,IF(Paths!$P$325="Complete",E3510/12*(Paths!$J$325*(1+'Operating costs'!$B$51)^MAX(0,C3510-1)+Paths!$K$325*(1+'Operating costs'!$B$53)^MAX(0,C3510-1)),"n.a."))</f>
        <v>0</v>
      </c>
      <c r="H3510" s="16">
        <f>IF(NOT(Paths!$C$325=1),0,IF(Paths!$P$325="Complete",F3510/12*(Paths!$L$325*(1+IF(Paths!$D$325="EV",'Operating costs'!$B$52,'Operating costs'!$B$51))^MAX(0,C3510-1)+Paths!$M$325*(1+'Operating costs'!$B$53)^MAX(0,C3510-1)),"n.a."))</f>
        <v>0</v>
      </c>
      <c r="I3510" s="16">
        <f>IF(NOT(Paths!$C$325=1),0,IF(Paths!$P$325="Complete",IF(IF(Paths!$E$325=0,C3510=0,AND(C3510&gt;0,Paths!$E$325&gt;(C3510-1)*12,Paths!$E$325&lt;=C3510*12)),Paths!$G$325,0),"n.a."))</f>
        <v>0</v>
      </c>
      <c r="J3510" s="16">
        <f>IF(NOT(Paths!$C$325=1),0,IF(Paths!$P$325="Complete",IF(IF(Paths!$E$325=0,C3510=0,AND(C3510&gt;0,Paths!$E$325&gt;(C3510-1)*12,Paths!$E$325&lt;=C3510*12)),Paths!$H$325,0),"n.a."))</f>
        <v>0</v>
      </c>
      <c r="K3510" s="16">
        <f>IF(NOT(Paths!$C$325=1),0,IF(Paths!$P$325="Complete",IF(IF(Paths!$O$325=0,C3510=0,AND(C3510&gt;0,Paths!$O$325&gt;(C3510-1)*12,Paths!$O$325&lt;=C3510*12)),Paths!$N$325,0),"n.a."))</f>
        <v>0</v>
      </c>
      <c r="L3510" s="16">
        <f>IF(NOT(Paths!$C$325=1),0,IF(Paths!$P$325="Complete",IF(C3510=10,Paths!$I$325,0),"n.a."))</f>
        <v>0</v>
      </c>
      <c r="M3510" s="16">
        <f>IF(NOT(Paths!$C$325=1),0,IF(Paths!$P$325="Complete",IF(AND(Paths!$D$325="EV",Paths!$E$325&lt;120,Paths!$E$325+'Operating costs'!$B$65&gt;Paths!$E$325,Paths!$E$325+'Operating costs'!$B$65&lt;=120,IF(Paths!$E$325+'Operating costs'!$B$65=0,C3510=0,AND(C3510&gt;0,Paths!$E$325+'Operating costs'!$B$65&gt;(C3510-1)*12,Paths!$E$325+'Operating costs'!$B$65&lt;=C3510*12))),'Operating costs'!$B$64,0)+IF(AND('Operating costs'!$B$67&gt;0,'Operating costs'!$B$67&lt;=120,OR(Paths!$D$325="ICE",'Operating costs'!$B$67&lt;=Paths!$E$325),IF('Operating costs'!$B$67=0,C3510=0,AND(C3510&gt;0,'Operating costs'!$B$67&gt;(C3510-1)*12,'Operating costs'!$B$67&lt;=C3510*12))),'Operating costs'!$B$66,0),"n.a."))</f>
        <v>0</v>
      </c>
      <c r="N3510" s="16">
        <f>IF(NOT(Paths!$C$325=1),0,IF(Paths!$P$325="Complete",SUM(G3510:I3510)-J3510-K3510-L3510+M3510+IF(C3510=0,Paths!$F$325,0)+IF(IF(Paths!$E$325=0,C3510=0,AND(C3510&gt;0,Paths!$E$325&gt;(C3510-1)*12,Paths!$E$325&lt;=C3510*12)),VLOOKUP(A3510,'Fleet register'!$A$7:$S$106,16,FALSE),0),"n.a."))</f>
        <v>0</v>
      </c>
      <c r="O3510" s="16">
        <f>IF(NOT(Paths!$C$325=1),0,IF(Paths!$P$325="Complete",N3510-IF(C3510=0,Paths!$F$325,0),"n.a."))</f>
        <v>0</v>
      </c>
      <c r="P3510" s="16">
        <f>IF(NOT(Paths!$C$325=1),0,IF(Paths!$P$325="Complete",O3510+L3510,"n.a."))</f>
        <v>0</v>
      </c>
      <c r="Q3510" s="16">
        <f>IF(NOT(Paths!$C$325=1),0,IF(Paths!$P$325="Complete",N3510*(1+'Operating costs'!$B$54)^-C3510,"n.a."))</f>
        <v>0</v>
      </c>
      <c r="R3510" s="16">
        <f>IF(NOT(Paths!$C$325=1),0,IF(Paths!$P$325="Complete",IF(AND(C3510=0,Paths!$E$325=0),I3510-J3510-K3510+VLOOKUP(A3510,'Fleet register'!$A$7:$S$106,15,FALSE)+VLOOKUP(A3510,'Fleet register'!$A$7:$S$106,16,FALSE),0),"n.a."))</f>
        <v>0</v>
      </c>
      <c r="S3510" s="1">
        <f>IF(NOT(Paths!$C$325=1),0,IF(Paths!$P$325="Complete",IF(C3510=0,0,Paths!$S$325*Paths!$R$325),"n.a."))</f>
        <v>0</v>
      </c>
      <c r="T3510" s="1">
        <f>IF(NOT(Paths!$C$325=1),0,IF(Paths!$P$325="Complete",IF(C3510=0,0,VLOOKUP(A3510,'Fleet register'!$A$7:$S$106,9,FALSE)*Paths!$R$325),"n.a."))</f>
        <v>0</v>
      </c>
    </row>
    <row r="3511" spans="1:20" ht="24" customHeight="1">
      <c r="A3511" s="1" t="str">
        <f>Paths!$A$325</f>
        <v>T080</v>
      </c>
      <c r="B3511" s="1">
        <f>Paths!$B$325</f>
        <v>2</v>
      </c>
      <c r="C3511" s="1">
        <v>6</v>
      </c>
      <c r="D3511" s="1">
        <v>325</v>
      </c>
      <c r="E3511" s="1">
        <f>IF(OR(Paths!$C$325=0,C3511=0),0,MAX(0,MIN(C3511*12,Paths!$E$325)-(C3511-1)*12))</f>
        <v>0</v>
      </c>
      <c r="F3511" s="1">
        <f>IF(OR(Paths!$C$325=0,C3511=0),0,12-E3511)</f>
        <v>0</v>
      </c>
      <c r="G3511" s="16">
        <f>IF(NOT(Paths!$C$325=1),0,IF(Paths!$P$325="Complete",E3511/12*(Paths!$J$325*(1+'Operating costs'!$B$51)^MAX(0,C3511-1)+Paths!$K$325*(1+'Operating costs'!$B$53)^MAX(0,C3511-1)),"n.a."))</f>
        <v>0</v>
      </c>
      <c r="H3511" s="16">
        <f>IF(NOT(Paths!$C$325=1),0,IF(Paths!$P$325="Complete",F3511/12*(Paths!$L$325*(1+IF(Paths!$D$325="EV",'Operating costs'!$B$52,'Operating costs'!$B$51))^MAX(0,C3511-1)+Paths!$M$325*(1+'Operating costs'!$B$53)^MAX(0,C3511-1)),"n.a."))</f>
        <v>0</v>
      </c>
      <c r="I3511" s="16">
        <f>IF(NOT(Paths!$C$325=1),0,IF(Paths!$P$325="Complete",IF(IF(Paths!$E$325=0,C3511=0,AND(C3511&gt;0,Paths!$E$325&gt;(C3511-1)*12,Paths!$E$325&lt;=C3511*12)),Paths!$G$325,0),"n.a."))</f>
        <v>0</v>
      </c>
      <c r="J3511" s="16">
        <f>IF(NOT(Paths!$C$325=1),0,IF(Paths!$P$325="Complete",IF(IF(Paths!$E$325=0,C3511=0,AND(C3511&gt;0,Paths!$E$325&gt;(C3511-1)*12,Paths!$E$325&lt;=C3511*12)),Paths!$H$325,0),"n.a."))</f>
        <v>0</v>
      </c>
      <c r="K3511" s="16">
        <f>IF(NOT(Paths!$C$325=1),0,IF(Paths!$P$325="Complete",IF(IF(Paths!$O$325=0,C3511=0,AND(C3511&gt;0,Paths!$O$325&gt;(C3511-1)*12,Paths!$O$325&lt;=C3511*12)),Paths!$N$325,0),"n.a."))</f>
        <v>0</v>
      </c>
      <c r="L3511" s="16">
        <f>IF(NOT(Paths!$C$325=1),0,IF(Paths!$P$325="Complete",IF(C3511=10,Paths!$I$325,0),"n.a."))</f>
        <v>0</v>
      </c>
      <c r="M3511" s="16">
        <f>IF(NOT(Paths!$C$325=1),0,IF(Paths!$P$325="Complete",IF(AND(Paths!$D$325="EV",Paths!$E$325&lt;120,Paths!$E$325+'Operating costs'!$B$65&gt;Paths!$E$325,Paths!$E$325+'Operating costs'!$B$65&lt;=120,IF(Paths!$E$325+'Operating costs'!$B$65=0,C3511=0,AND(C3511&gt;0,Paths!$E$325+'Operating costs'!$B$65&gt;(C3511-1)*12,Paths!$E$325+'Operating costs'!$B$65&lt;=C3511*12))),'Operating costs'!$B$64,0)+IF(AND('Operating costs'!$B$67&gt;0,'Operating costs'!$B$67&lt;=120,OR(Paths!$D$325="ICE",'Operating costs'!$B$67&lt;=Paths!$E$325),IF('Operating costs'!$B$67=0,C3511=0,AND(C3511&gt;0,'Operating costs'!$B$67&gt;(C3511-1)*12,'Operating costs'!$B$67&lt;=C3511*12))),'Operating costs'!$B$66,0),"n.a."))</f>
        <v>0</v>
      </c>
      <c r="N3511" s="16">
        <f>IF(NOT(Paths!$C$325=1),0,IF(Paths!$P$325="Complete",SUM(G3511:I3511)-J3511-K3511-L3511+M3511+IF(C3511=0,Paths!$F$325,0)+IF(IF(Paths!$E$325=0,C3511=0,AND(C3511&gt;0,Paths!$E$325&gt;(C3511-1)*12,Paths!$E$325&lt;=C3511*12)),VLOOKUP(A3511,'Fleet register'!$A$7:$S$106,16,FALSE),0),"n.a."))</f>
        <v>0</v>
      </c>
      <c r="O3511" s="16">
        <f>IF(NOT(Paths!$C$325=1),0,IF(Paths!$P$325="Complete",N3511-IF(C3511=0,Paths!$F$325,0),"n.a."))</f>
        <v>0</v>
      </c>
      <c r="P3511" s="16">
        <f>IF(NOT(Paths!$C$325=1),0,IF(Paths!$P$325="Complete",O3511+L3511,"n.a."))</f>
        <v>0</v>
      </c>
      <c r="Q3511" s="16">
        <f>IF(NOT(Paths!$C$325=1),0,IF(Paths!$P$325="Complete",N3511*(1+'Operating costs'!$B$54)^-C3511,"n.a."))</f>
        <v>0</v>
      </c>
      <c r="R3511" s="16">
        <f>IF(NOT(Paths!$C$325=1),0,IF(Paths!$P$325="Complete",IF(AND(C3511=0,Paths!$E$325=0),I3511-J3511-K3511+VLOOKUP(A3511,'Fleet register'!$A$7:$S$106,15,FALSE)+VLOOKUP(A3511,'Fleet register'!$A$7:$S$106,16,FALSE),0),"n.a."))</f>
        <v>0</v>
      </c>
      <c r="S3511" s="1">
        <f>IF(NOT(Paths!$C$325=1),0,IF(Paths!$P$325="Complete",IF(C3511=0,0,Paths!$S$325*Paths!$R$325),"n.a."))</f>
        <v>0</v>
      </c>
      <c r="T3511" s="1">
        <f>IF(NOT(Paths!$C$325=1),0,IF(Paths!$P$325="Complete",IF(C3511=0,0,VLOOKUP(A3511,'Fleet register'!$A$7:$S$106,9,FALSE)*Paths!$R$325),"n.a."))</f>
        <v>0</v>
      </c>
    </row>
    <row r="3512" spans="1:20" ht="24" customHeight="1">
      <c r="A3512" s="1" t="str">
        <f>Paths!$A$325</f>
        <v>T080</v>
      </c>
      <c r="B3512" s="1">
        <f>Paths!$B$325</f>
        <v>2</v>
      </c>
      <c r="C3512" s="1">
        <v>7</v>
      </c>
      <c r="D3512" s="1">
        <v>325</v>
      </c>
      <c r="E3512" s="1">
        <f>IF(OR(Paths!$C$325=0,C3512=0),0,MAX(0,MIN(C3512*12,Paths!$E$325)-(C3512-1)*12))</f>
        <v>0</v>
      </c>
      <c r="F3512" s="1">
        <f>IF(OR(Paths!$C$325=0,C3512=0),0,12-E3512)</f>
        <v>0</v>
      </c>
      <c r="G3512" s="16">
        <f>IF(NOT(Paths!$C$325=1),0,IF(Paths!$P$325="Complete",E3512/12*(Paths!$J$325*(1+'Operating costs'!$B$51)^MAX(0,C3512-1)+Paths!$K$325*(1+'Operating costs'!$B$53)^MAX(0,C3512-1)),"n.a."))</f>
        <v>0</v>
      </c>
      <c r="H3512" s="16">
        <f>IF(NOT(Paths!$C$325=1),0,IF(Paths!$P$325="Complete",F3512/12*(Paths!$L$325*(1+IF(Paths!$D$325="EV",'Operating costs'!$B$52,'Operating costs'!$B$51))^MAX(0,C3512-1)+Paths!$M$325*(1+'Operating costs'!$B$53)^MAX(0,C3512-1)),"n.a."))</f>
        <v>0</v>
      </c>
      <c r="I3512" s="16">
        <f>IF(NOT(Paths!$C$325=1),0,IF(Paths!$P$325="Complete",IF(IF(Paths!$E$325=0,C3512=0,AND(C3512&gt;0,Paths!$E$325&gt;(C3512-1)*12,Paths!$E$325&lt;=C3512*12)),Paths!$G$325,0),"n.a."))</f>
        <v>0</v>
      </c>
      <c r="J3512" s="16">
        <f>IF(NOT(Paths!$C$325=1),0,IF(Paths!$P$325="Complete",IF(IF(Paths!$E$325=0,C3512=0,AND(C3512&gt;0,Paths!$E$325&gt;(C3512-1)*12,Paths!$E$325&lt;=C3512*12)),Paths!$H$325,0),"n.a."))</f>
        <v>0</v>
      </c>
      <c r="K3512" s="16">
        <f>IF(NOT(Paths!$C$325=1),0,IF(Paths!$P$325="Complete",IF(IF(Paths!$O$325=0,C3512=0,AND(C3512&gt;0,Paths!$O$325&gt;(C3512-1)*12,Paths!$O$325&lt;=C3512*12)),Paths!$N$325,0),"n.a."))</f>
        <v>0</v>
      </c>
      <c r="L3512" s="16">
        <f>IF(NOT(Paths!$C$325=1),0,IF(Paths!$P$325="Complete",IF(C3512=10,Paths!$I$325,0),"n.a."))</f>
        <v>0</v>
      </c>
      <c r="M3512" s="16">
        <f>IF(NOT(Paths!$C$325=1),0,IF(Paths!$P$325="Complete",IF(AND(Paths!$D$325="EV",Paths!$E$325&lt;120,Paths!$E$325+'Operating costs'!$B$65&gt;Paths!$E$325,Paths!$E$325+'Operating costs'!$B$65&lt;=120,IF(Paths!$E$325+'Operating costs'!$B$65=0,C3512=0,AND(C3512&gt;0,Paths!$E$325+'Operating costs'!$B$65&gt;(C3512-1)*12,Paths!$E$325+'Operating costs'!$B$65&lt;=C3512*12))),'Operating costs'!$B$64,0)+IF(AND('Operating costs'!$B$67&gt;0,'Operating costs'!$B$67&lt;=120,OR(Paths!$D$325="ICE",'Operating costs'!$B$67&lt;=Paths!$E$325),IF('Operating costs'!$B$67=0,C3512=0,AND(C3512&gt;0,'Operating costs'!$B$67&gt;(C3512-1)*12,'Operating costs'!$B$67&lt;=C3512*12))),'Operating costs'!$B$66,0),"n.a."))</f>
        <v>0</v>
      </c>
      <c r="N3512" s="16">
        <f>IF(NOT(Paths!$C$325=1),0,IF(Paths!$P$325="Complete",SUM(G3512:I3512)-J3512-K3512-L3512+M3512+IF(C3512=0,Paths!$F$325,0)+IF(IF(Paths!$E$325=0,C3512=0,AND(C3512&gt;0,Paths!$E$325&gt;(C3512-1)*12,Paths!$E$325&lt;=C3512*12)),VLOOKUP(A3512,'Fleet register'!$A$7:$S$106,16,FALSE),0),"n.a."))</f>
        <v>0</v>
      </c>
      <c r="O3512" s="16">
        <f>IF(NOT(Paths!$C$325=1),0,IF(Paths!$P$325="Complete",N3512-IF(C3512=0,Paths!$F$325,0),"n.a."))</f>
        <v>0</v>
      </c>
      <c r="P3512" s="16">
        <f>IF(NOT(Paths!$C$325=1),0,IF(Paths!$P$325="Complete",O3512+L3512,"n.a."))</f>
        <v>0</v>
      </c>
      <c r="Q3512" s="16">
        <f>IF(NOT(Paths!$C$325=1),0,IF(Paths!$P$325="Complete",N3512*(1+'Operating costs'!$B$54)^-C3512,"n.a."))</f>
        <v>0</v>
      </c>
      <c r="R3512" s="16">
        <f>IF(NOT(Paths!$C$325=1),0,IF(Paths!$P$325="Complete",IF(AND(C3512=0,Paths!$E$325=0),I3512-J3512-K3512+VLOOKUP(A3512,'Fleet register'!$A$7:$S$106,15,FALSE)+VLOOKUP(A3512,'Fleet register'!$A$7:$S$106,16,FALSE),0),"n.a."))</f>
        <v>0</v>
      </c>
      <c r="S3512" s="1">
        <f>IF(NOT(Paths!$C$325=1),0,IF(Paths!$P$325="Complete",IF(C3512=0,0,Paths!$S$325*Paths!$R$325),"n.a."))</f>
        <v>0</v>
      </c>
      <c r="T3512" s="1">
        <f>IF(NOT(Paths!$C$325=1),0,IF(Paths!$P$325="Complete",IF(C3512=0,0,VLOOKUP(A3512,'Fleet register'!$A$7:$S$106,9,FALSE)*Paths!$R$325),"n.a."))</f>
        <v>0</v>
      </c>
    </row>
    <row r="3513" spans="1:20" ht="24" customHeight="1">
      <c r="A3513" s="1" t="str">
        <f>Paths!$A$325</f>
        <v>T080</v>
      </c>
      <c r="B3513" s="1">
        <f>Paths!$B$325</f>
        <v>2</v>
      </c>
      <c r="C3513" s="1">
        <v>8</v>
      </c>
      <c r="D3513" s="1">
        <v>325</v>
      </c>
      <c r="E3513" s="1">
        <f>IF(OR(Paths!$C$325=0,C3513=0),0,MAX(0,MIN(C3513*12,Paths!$E$325)-(C3513-1)*12))</f>
        <v>0</v>
      </c>
      <c r="F3513" s="1">
        <f>IF(OR(Paths!$C$325=0,C3513=0),0,12-E3513)</f>
        <v>0</v>
      </c>
      <c r="G3513" s="16">
        <f>IF(NOT(Paths!$C$325=1),0,IF(Paths!$P$325="Complete",E3513/12*(Paths!$J$325*(1+'Operating costs'!$B$51)^MAX(0,C3513-1)+Paths!$K$325*(1+'Operating costs'!$B$53)^MAX(0,C3513-1)),"n.a."))</f>
        <v>0</v>
      </c>
      <c r="H3513" s="16">
        <f>IF(NOT(Paths!$C$325=1),0,IF(Paths!$P$325="Complete",F3513/12*(Paths!$L$325*(1+IF(Paths!$D$325="EV",'Operating costs'!$B$52,'Operating costs'!$B$51))^MAX(0,C3513-1)+Paths!$M$325*(1+'Operating costs'!$B$53)^MAX(0,C3513-1)),"n.a."))</f>
        <v>0</v>
      </c>
      <c r="I3513" s="16">
        <f>IF(NOT(Paths!$C$325=1),0,IF(Paths!$P$325="Complete",IF(IF(Paths!$E$325=0,C3513=0,AND(C3513&gt;0,Paths!$E$325&gt;(C3513-1)*12,Paths!$E$325&lt;=C3513*12)),Paths!$G$325,0),"n.a."))</f>
        <v>0</v>
      </c>
      <c r="J3513" s="16">
        <f>IF(NOT(Paths!$C$325=1),0,IF(Paths!$P$325="Complete",IF(IF(Paths!$E$325=0,C3513=0,AND(C3513&gt;0,Paths!$E$325&gt;(C3513-1)*12,Paths!$E$325&lt;=C3513*12)),Paths!$H$325,0),"n.a."))</f>
        <v>0</v>
      </c>
      <c r="K3513" s="16">
        <f>IF(NOT(Paths!$C$325=1),0,IF(Paths!$P$325="Complete",IF(IF(Paths!$O$325=0,C3513=0,AND(C3513&gt;0,Paths!$O$325&gt;(C3513-1)*12,Paths!$O$325&lt;=C3513*12)),Paths!$N$325,0),"n.a."))</f>
        <v>0</v>
      </c>
      <c r="L3513" s="16">
        <f>IF(NOT(Paths!$C$325=1),0,IF(Paths!$P$325="Complete",IF(C3513=10,Paths!$I$325,0),"n.a."))</f>
        <v>0</v>
      </c>
      <c r="M3513" s="16">
        <f>IF(NOT(Paths!$C$325=1),0,IF(Paths!$P$325="Complete",IF(AND(Paths!$D$325="EV",Paths!$E$325&lt;120,Paths!$E$325+'Operating costs'!$B$65&gt;Paths!$E$325,Paths!$E$325+'Operating costs'!$B$65&lt;=120,IF(Paths!$E$325+'Operating costs'!$B$65=0,C3513=0,AND(C3513&gt;0,Paths!$E$325+'Operating costs'!$B$65&gt;(C3513-1)*12,Paths!$E$325+'Operating costs'!$B$65&lt;=C3513*12))),'Operating costs'!$B$64,0)+IF(AND('Operating costs'!$B$67&gt;0,'Operating costs'!$B$67&lt;=120,OR(Paths!$D$325="ICE",'Operating costs'!$B$67&lt;=Paths!$E$325),IF('Operating costs'!$B$67=0,C3513=0,AND(C3513&gt;0,'Operating costs'!$B$67&gt;(C3513-1)*12,'Operating costs'!$B$67&lt;=C3513*12))),'Operating costs'!$B$66,0),"n.a."))</f>
        <v>0</v>
      </c>
      <c r="N3513" s="16">
        <f>IF(NOT(Paths!$C$325=1),0,IF(Paths!$P$325="Complete",SUM(G3513:I3513)-J3513-K3513-L3513+M3513+IF(C3513=0,Paths!$F$325,0)+IF(IF(Paths!$E$325=0,C3513=0,AND(C3513&gt;0,Paths!$E$325&gt;(C3513-1)*12,Paths!$E$325&lt;=C3513*12)),VLOOKUP(A3513,'Fleet register'!$A$7:$S$106,16,FALSE),0),"n.a."))</f>
        <v>0</v>
      </c>
      <c r="O3513" s="16">
        <f>IF(NOT(Paths!$C$325=1),0,IF(Paths!$P$325="Complete",N3513-IF(C3513=0,Paths!$F$325,0),"n.a."))</f>
        <v>0</v>
      </c>
      <c r="P3513" s="16">
        <f>IF(NOT(Paths!$C$325=1),0,IF(Paths!$P$325="Complete",O3513+L3513,"n.a."))</f>
        <v>0</v>
      </c>
      <c r="Q3513" s="16">
        <f>IF(NOT(Paths!$C$325=1),0,IF(Paths!$P$325="Complete",N3513*(1+'Operating costs'!$B$54)^-C3513,"n.a."))</f>
        <v>0</v>
      </c>
      <c r="R3513" s="16">
        <f>IF(NOT(Paths!$C$325=1),0,IF(Paths!$P$325="Complete",IF(AND(C3513=0,Paths!$E$325=0),I3513-J3513-K3513+VLOOKUP(A3513,'Fleet register'!$A$7:$S$106,15,FALSE)+VLOOKUP(A3513,'Fleet register'!$A$7:$S$106,16,FALSE),0),"n.a."))</f>
        <v>0</v>
      </c>
      <c r="S3513" s="1">
        <f>IF(NOT(Paths!$C$325=1),0,IF(Paths!$P$325="Complete",IF(C3513=0,0,Paths!$S$325*Paths!$R$325),"n.a."))</f>
        <v>0</v>
      </c>
      <c r="T3513" s="1">
        <f>IF(NOT(Paths!$C$325=1),0,IF(Paths!$P$325="Complete",IF(C3513=0,0,VLOOKUP(A3513,'Fleet register'!$A$7:$S$106,9,FALSE)*Paths!$R$325),"n.a."))</f>
        <v>0</v>
      </c>
    </row>
    <row r="3514" spans="1:20" ht="24" customHeight="1">
      <c r="A3514" s="1" t="str">
        <f>Paths!$A$325</f>
        <v>T080</v>
      </c>
      <c r="B3514" s="1">
        <f>Paths!$B$325</f>
        <v>2</v>
      </c>
      <c r="C3514" s="1">
        <v>9</v>
      </c>
      <c r="D3514" s="1">
        <v>325</v>
      </c>
      <c r="E3514" s="1">
        <f>IF(OR(Paths!$C$325=0,C3514=0),0,MAX(0,MIN(C3514*12,Paths!$E$325)-(C3514-1)*12))</f>
        <v>0</v>
      </c>
      <c r="F3514" s="1">
        <f>IF(OR(Paths!$C$325=0,C3514=0),0,12-E3514)</f>
        <v>0</v>
      </c>
      <c r="G3514" s="16">
        <f>IF(NOT(Paths!$C$325=1),0,IF(Paths!$P$325="Complete",E3514/12*(Paths!$J$325*(1+'Operating costs'!$B$51)^MAX(0,C3514-1)+Paths!$K$325*(1+'Operating costs'!$B$53)^MAX(0,C3514-1)),"n.a."))</f>
        <v>0</v>
      </c>
      <c r="H3514" s="16">
        <f>IF(NOT(Paths!$C$325=1),0,IF(Paths!$P$325="Complete",F3514/12*(Paths!$L$325*(1+IF(Paths!$D$325="EV",'Operating costs'!$B$52,'Operating costs'!$B$51))^MAX(0,C3514-1)+Paths!$M$325*(1+'Operating costs'!$B$53)^MAX(0,C3514-1)),"n.a."))</f>
        <v>0</v>
      </c>
      <c r="I3514" s="16">
        <f>IF(NOT(Paths!$C$325=1),0,IF(Paths!$P$325="Complete",IF(IF(Paths!$E$325=0,C3514=0,AND(C3514&gt;0,Paths!$E$325&gt;(C3514-1)*12,Paths!$E$325&lt;=C3514*12)),Paths!$G$325,0),"n.a."))</f>
        <v>0</v>
      </c>
      <c r="J3514" s="16">
        <f>IF(NOT(Paths!$C$325=1),0,IF(Paths!$P$325="Complete",IF(IF(Paths!$E$325=0,C3514=0,AND(C3514&gt;0,Paths!$E$325&gt;(C3514-1)*12,Paths!$E$325&lt;=C3514*12)),Paths!$H$325,0),"n.a."))</f>
        <v>0</v>
      </c>
      <c r="K3514" s="16">
        <f>IF(NOT(Paths!$C$325=1),0,IF(Paths!$P$325="Complete",IF(IF(Paths!$O$325=0,C3514=0,AND(C3514&gt;0,Paths!$O$325&gt;(C3514-1)*12,Paths!$O$325&lt;=C3514*12)),Paths!$N$325,0),"n.a."))</f>
        <v>0</v>
      </c>
      <c r="L3514" s="16">
        <f>IF(NOT(Paths!$C$325=1),0,IF(Paths!$P$325="Complete",IF(C3514=10,Paths!$I$325,0),"n.a."))</f>
        <v>0</v>
      </c>
      <c r="M3514" s="16">
        <f>IF(NOT(Paths!$C$325=1),0,IF(Paths!$P$325="Complete",IF(AND(Paths!$D$325="EV",Paths!$E$325&lt;120,Paths!$E$325+'Operating costs'!$B$65&gt;Paths!$E$325,Paths!$E$325+'Operating costs'!$B$65&lt;=120,IF(Paths!$E$325+'Operating costs'!$B$65=0,C3514=0,AND(C3514&gt;0,Paths!$E$325+'Operating costs'!$B$65&gt;(C3514-1)*12,Paths!$E$325+'Operating costs'!$B$65&lt;=C3514*12))),'Operating costs'!$B$64,0)+IF(AND('Operating costs'!$B$67&gt;0,'Operating costs'!$B$67&lt;=120,OR(Paths!$D$325="ICE",'Operating costs'!$B$67&lt;=Paths!$E$325),IF('Operating costs'!$B$67=0,C3514=0,AND(C3514&gt;0,'Operating costs'!$B$67&gt;(C3514-1)*12,'Operating costs'!$B$67&lt;=C3514*12))),'Operating costs'!$B$66,0),"n.a."))</f>
        <v>0</v>
      </c>
      <c r="N3514" s="16">
        <f>IF(NOT(Paths!$C$325=1),0,IF(Paths!$P$325="Complete",SUM(G3514:I3514)-J3514-K3514-L3514+M3514+IF(C3514=0,Paths!$F$325,0)+IF(IF(Paths!$E$325=0,C3514=0,AND(C3514&gt;0,Paths!$E$325&gt;(C3514-1)*12,Paths!$E$325&lt;=C3514*12)),VLOOKUP(A3514,'Fleet register'!$A$7:$S$106,16,FALSE),0),"n.a."))</f>
        <v>0</v>
      </c>
      <c r="O3514" s="16">
        <f>IF(NOT(Paths!$C$325=1),0,IF(Paths!$P$325="Complete",N3514-IF(C3514=0,Paths!$F$325,0),"n.a."))</f>
        <v>0</v>
      </c>
      <c r="P3514" s="16">
        <f>IF(NOT(Paths!$C$325=1),0,IF(Paths!$P$325="Complete",O3514+L3514,"n.a."))</f>
        <v>0</v>
      </c>
      <c r="Q3514" s="16">
        <f>IF(NOT(Paths!$C$325=1),0,IF(Paths!$P$325="Complete",N3514*(1+'Operating costs'!$B$54)^-C3514,"n.a."))</f>
        <v>0</v>
      </c>
      <c r="R3514" s="16">
        <f>IF(NOT(Paths!$C$325=1),0,IF(Paths!$P$325="Complete",IF(AND(C3514=0,Paths!$E$325=0),I3514-J3514-K3514+VLOOKUP(A3514,'Fleet register'!$A$7:$S$106,15,FALSE)+VLOOKUP(A3514,'Fleet register'!$A$7:$S$106,16,FALSE),0),"n.a."))</f>
        <v>0</v>
      </c>
      <c r="S3514" s="1">
        <f>IF(NOT(Paths!$C$325=1),0,IF(Paths!$P$325="Complete",IF(C3514=0,0,Paths!$S$325*Paths!$R$325),"n.a."))</f>
        <v>0</v>
      </c>
      <c r="T3514" s="1">
        <f>IF(NOT(Paths!$C$325=1),0,IF(Paths!$P$325="Complete",IF(C3514=0,0,VLOOKUP(A3514,'Fleet register'!$A$7:$S$106,9,FALSE)*Paths!$R$325),"n.a."))</f>
        <v>0</v>
      </c>
    </row>
    <row r="3515" spans="1:20" ht="24" customHeight="1">
      <c r="A3515" s="1" t="str">
        <f>Paths!$A$325</f>
        <v>T080</v>
      </c>
      <c r="B3515" s="1">
        <f>Paths!$B$325</f>
        <v>2</v>
      </c>
      <c r="C3515" s="1">
        <v>10</v>
      </c>
      <c r="D3515" s="1">
        <v>325</v>
      </c>
      <c r="E3515" s="1">
        <f>IF(OR(Paths!$C$325=0,C3515=0),0,MAX(0,MIN(C3515*12,Paths!$E$325)-(C3515-1)*12))</f>
        <v>0</v>
      </c>
      <c r="F3515" s="1">
        <f>IF(OR(Paths!$C$325=0,C3515=0),0,12-E3515)</f>
        <v>0</v>
      </c>
      <c r="G3515" s="16">
        <f>IF(NOT(Paths!$C$325=1),0,IF(Paths!$P$325="Complete",E3515/12*(Paths!$J$325*(1+'Operating costs'!$B$51)^MAX(0,C3515-1)+Paths!$K$325*(1+'Operating costs'!$B$53)^MAX(0,C3515-1)),"n.a."))</f>
        <v>0</v>
      </c>
      <c r="H3515" s="16">
        <f>IF(NOT(Paths!$C$325=1),0,IF(Paths!$P$325="Complete",F3515/12*(Paths!$L$325*(1+IF(Paths!$D$325="EV",'Operating costs'!$B$52,'Operating costs'!$B$51))^MAX(0,C3515-1)+Paths!$M$325*(1+'Operating costs'!$B$53)^MAX(0,C3515-1)),"n.a."))</f>
        <v>0</v>
      </c>
      <c r="I3515" s="16">
        <f>IF(NOT(Paths!$C$325=1),0,IF(Paths!$P$325="Complete",IF(IF(Paths!$E$325=0,C3515=0,AND(C3515&gt;0,Paths!$E$325&gt;(C3515-1)*12,Paths!$E$325&lt;=C3515*12)),Paths!$G$325,0),"n.a."))</f>
        <v>0</v>
      </c>
      <c r="J3515" s="16">
        <f>IF(NOT(Paths!$C$325=1),0,IF(Paths!$P$325="Complete",IF(IF(Paths!$E$325=0,C3515=0,AND(C3515&gt;0,Paths!$E$325&gt;(C3515-1)*12,Paths!$E$325&lt;=C3515*12)),Paths!$H$325,0),"n.a."))</f>
        <v>0</v>
      </c>
      <c r="K3515" s="16">
        <f>IF(NOT(Paths!$C$325=1),0,IF(Paths!$P$325="Complete",IF(IF(Paths!$O$325=0,C3515=0,AND(C3515&gt;0,Paths!$O$325&gt;(C3515-1)*12,Paths!$O$325&lt;=C3515*12)),Paths!$N$325,0),"n.a."))</f>
        <v>0</v>
      </c>
      <c r="L3515" s="16">
        <f>IF(NOT(Paths!$C$325=1),0,IF(Paths!$P$325="Complete",IF(C3515=10,Paths!$I$325,0),"n.a."))</f>
        <v>0</v>
      </c>
      <c r="M3515" s="16">
        <f>IF(NOT(Paths!$C$325=1),0,IF(Paths!$P$325="Complete",IF(AND(Paths!$D$325="EV",Paths!$E$325&lt;120,Paths!$E$325+'Operating costs'!$B$65&gt;Paths!$E$325,Paths!$E$325+'Operating costs'!$B$65&lt;=120,IF(Paths!$E$325+'Operating costs'!$B$65=0,C3515=0,AND(C3515&gt;0,Paths!$E$325+'Operating costs'!$B$65&gt;(C3515-1)*12,Paths!$E$325+'Operating costs'!$B$65&lt;=C3515*12))),'Operating costs'!$B$64,0)+IF(AND('Operating costs'!$B$67&gt;0,'Operating costs'!$B$67&lt;=120,OR(Paths!$D$325="ICE",'Operating costs'!$B$67&lt;=Paths!$E$325),IF('Operating costs'!$B$67=0,C3515=0,AND(C3515&gt;0,'Operating costs'!$B$67&gt;(C3515-1)*12,'Operating costs'!$B$67&lt;=C3515*12))),'Operating costs'!$B$66,0),"n.a."))</f>
        <v>0</v>
      </c>
      <c r="N3515" s="16">
        <f>IF(NOT(Paths!$C$325=1),0,IF(Paths!$P$325="Complete",SUM(G3515:I3515)-J3515-K3515-L3515+M3515+IF(C3515=0,Paths!$F$325,0)+IF(IF(Paths!$E$325=0,C3515=0,AND(C3515&gt;0,Paths!$E$325&gt;(C3515-1)*12,Paths!$E$325&lt;=C3515*12)),VLOOKUP(A3515,'Fleet register'!$A$7:$S$106,16,FALSE),0),"n.a."))</f>
        <v>0</v>
      </c>
      <c r="O3515" s="16">
        <f>IF(NOT(Paths!$C$325=1),0,IF(Paths!$P$325="Complete",N3515-IF(C3515=0,Paths!$F$325,0),"n.a."))</f>
        <v>0</v>
      </c>
      <c r="P3515" s="16">
        <f>IF(NOT(Paths!$C$325=1),0,IF(Paths!$P$325="Complete",O3515+L3515,"n.a."))</f>
        <v>0</v>
      </c>
      <c r="Q3515" s="16">
        <f>IF(NOT(Paths!$C$325=1),0,IF(Paths!$P$325="Complete",N3515*(1+'Operating costs'!$B$54)^-C3515,"n.a."))</f>
        <v>0</v>
      </c>
      <c r="R3515" s="16">
        <f>IF(NOT(Paths!$C$325=1),0,IF(Paths!$P$325="Complete",IF(AND(C3515=0,Paths!$E$325=0),I3515-J3515-K3515+VLOOKUP(A3515,'Fleet register'!$A$7:$S$106,15,FALSE)+VLOOKUP(A3515,'Fleet register'!$A$7:$S$106,16,FALSE),0),"n.a."))</f>
        <v>0</v>
      </c>
      <c r="S3515" s="1">
        <f>IF(NOT(Paths!$C$325=1),0,IF(Paths!$P$325="Complete",IF(C3515=0,0,Paths!$S$325*Paths!$R$325),"n.a."))</f>
        <v>0</v>
      </c>
      <c r="T3515" s="1">
        <f>IF(NOT(Paths!$C$325=1),0,IF(Paths!$P$325="Complete",IF(C3515=0,0,VLOOKUP(A3515,'Fleet register'!$A$7:$S$106,9,FALSE)*Paths!$R$325),"n.a."))</f>
        <v>0</v>
      </c>
    </row>
    <row r="3516" spans="1:20" ht="24" customHeight="1">
      <c r="A3516" s="1" t="str">
        <f>Paths!$A$326</f>
        <v>T080</v>
      </c>
      <c r="B3516" s="1">
        <f>Paths!$B$326</f>
        <v>3</v>
      </c>
      <c r="C3516" s="1">
        <v>0</v>
      </c>
      <c r="D3516" s="1">
        <v>326</v>
      </c>
      <c r="E3516" s="1">
        <f>IF(OR(Paths!$C$326=0,C3516=0),0,MAX(0,MIN(C3516*12,Paths!$E$326)-(C3516-1)*12))</f>
        <v>0</v>
      </c>
      <c r="F3516" s="1">
        <f>IF(OR(Paths!$C$326=0,C3516=0),0,12-E3516)</f>
        <v>0</v>
      </c>
      <c r="G3516" s="16">
        <f>IF(NOT(Paths!$C$326=1),0,IF(Paths!$P$326="Complete",E3516/12*(Paths!$J$326*(1+'Operating costs'!$B$51)^MAX(0,C3516-1)+Paths!$K$326*(1+'Operating costs'!$B$53)^MAX(0,C3516-1)),"n.a."))</f>
        <v>0</v>
      </c>
      <c r="H3516" s="16">
        <f>IF(NOT(Paths!$C$326=1),0,IF(Paths!$P$326="Complete",F3516/12*(Paths!$L$326*(1+IF(Paths!$D$326="EV",'Operating costs'!$B$52,'Operating costs'!$B$51))^MAX(0,C3516-1)+Paths!$M$326*(1+'Operating costs'!$B$53)^MAX(0,C3516-1)),"n.a."))</f>
        <v>0</v>
      </c>
      <c r="I3516" s="16">
        <f>IF(NOT(Paths!$C$326=1),0,IF(Paths!$P$326="Complete",IF(IF(Paths!$E$326=0,C3516=0,AND(C3516&gt;0,Paths!$E$326&gt;(C3516-1)*12,Paths!$E$326&lt;=C3516*12)),Paths!$G$326,0),"n.a."))</f>
        <v>0</v>
      </c>
      <c r="J3516" s="16">
        <f>IF(NOT(Paths!$C$326=1),0,IF(Paths!$P$326="Complete",IF(IF(Paths!$E$326=0,C3516=0,AND(C3516&gt;0,Paths!$E$326&gt;(C3516-1)*12,Paths!$E$326&lt;=C3516*12)),Paths!$H$326,0),"n.a."))</f>
        <v>0</v>
      </c>
      <c r="K3516" s="16">
        <f>IF(NOT(Paths!$C$326=1),0,IF(Paths!$P$326="Complete",IF(IF(Paths!$O$326=0,C3516=0,AND(C3516&gt;0,Paths!$O$326&gt;(C3516-1)*12,Paths!$O$326&lt;=C3516*12)),Paths!$N$326,0),"n.a."))</f>
        <v>0</v>
      </c>
      <c r="L3516" s="16">
        <f>IF(NOT(Paths!$C$326=1),0,IF(Paths!$P$326="Complete",IF(C3516=10,Paths!$I$326,0),"n.a."))</f>
        <v>0</v>
      </c>
      <c r="M3516" s="16">
        <f>IF(NOT(Paths!$C$326=1),0,IF(Paths!$P$326="Complete",IF(AND(Paths!$D$326="EV",Paths!$E$326&lt;120,Paths!$E$326+'Operating costs'!$B$65&gt;Paths!$E$326,Paths!$E$326+'Operating costs'!$B$65&lt;=120,IF(Paths!$E$326+'Operating costs'!$B$65=0,C3516=0,AND(C3516&gt;0,Paths!$E$326+'Operating costs'!$B$65&gt;(C3516-1)*12,Paths!$E$326+'Operating costs'!$B$65&lt;=C3516*12))),'Operating costs'!$B$64,0)+IF(AND('Operating costs'!$B$67&gt;0,'Operating costs'!$B$67&lt;=120,OR(Paths!$D$326="ICE",'Operating costs'!$B$67&lt;=Paths!$E$326),IF('Operating costs'!$B$67=0,C3516=0,AND(C3516&gt;0,'Operating costs'!$B$67&gt;(C3516-1)*12,'Operating costs'!$B$67&lt;=C3516*12))),'Operating costs'!$B$66,0),"n.a."))</f>
        <v>0</v>
      </c>
      <c r="N3516" s="16">
        <f>IF(NOT(Paths!$C$326=1),0,IF(Paths!$P$326="Complete",SUM(G3516:I3516)-J3516-K3516-L3516+M3516+IF(C3516=0,Paths!$F$326,0)+IF(IF(Paths!$E$326=0,C3516=0,AND(C3516&gt;0,Paths!$E$326&gt;(C3516-1)*12,Paths!$E$326&lt;=C3516*12)),VLOOKUP(A3516,'Fleet register'!$A$7:$S$106,16,FALSE),0),"n.a."))</f>
        <v>0</v>
      </c>
      <c r="O3516" s="16">
        <f>IF(NOT(Paths!$C$326=1),0,IF(Paths!$P$326="Complete",N3516-IF(C3516=0,Paths!$F$326,0),"n.a."))</f>
        <v>0</v>
      </c>
      <c r="P3516" s="16">
        <f>IF(NOT(Paths!$C$326=1),0,IF(Paths!$P$326="Complete",O3516+L3516,"n.a."))</f>
        <v>0</v>
      </c>
      <c r="Q3516" s="16">
        <f>IF(NOT(Paths!$C$326=1),0,IF(Paths!$P$326="Complete",N3516*(1+'Operating costs'!$B$54)^-C3516,"n.a."))</f>
        <v>0</v>
      </c>
      <c r="R3516" s="16">
        <f>IF(NOT(Paths!$C$326=1),0,IF(Paths!$P$326="Complete",IF(AND(C3516=0,Paths!$E$326=0),I3516-J3516-K3516+VLOOKUP(A3516,'Fleet register'!$A$7:$S$106,15,FALSE)+VLOOKUP(A3516,'Fleet register'!$A$7:$S$106,16,FALSE),0),"n.a."))</f>
        <v>0</v>
      </c>
      <c r="S3516" s="1">
        <f>IF(NOT(Paths!$C$326=1),0,IF(Paths!$P$326="Complete",IF(C3516=0,0,Paths!$S$326*Paths!$R$326),"n.a."))</f>
        <v>0</v>
      </c>
      <c r="T3516" s="1">
        <f>IF(NOT(Paths!$C$326=1),0,IF(Paths!$P$326="Complete",IF(C3516=0,0,VLOOKUP(A3516,'Fleet register'!$A$7:$S$106,9,FALSE)*Paths!$R$326),"n.a."))</f>
        <v>0</v>
      </c>
    </row>
    <row r="3517" spans="1:20" ht="24" customHeight="1">
      <c r="A3517" s="1" t="str">
        <f>Paths!$A$326</f>
        <v>T080</v>
      </c>
      <c r="B3517" s="1">
        <f>Paths!$B$326</f>
        <v>3</v>
      </c>
      <c r="C3517" s="1">
        <v>1</v>
      </c>
      <c r="D3517" s="1">
        <v>326</v>
      </c>
      <c r="E3517" s="1">
        <f>IF(OR(Paths!$C$326=0,C3517=0),0,MAX(0,MIN(C3517*12,Paths!$E$326)-(C3517-1)*12))</f>
        <v>0</v>
      </c>
      <c r="F3517" s="1">
        <f>IF(OR(Paths!$C$326=0,C3517=0),0,12-E3517)</f>
        <v>0</v>
      </c>
      <c r="G3517" s="16">
        <f>IF(NOT(Paths!$C$326=1),0,IF(Paths!$P$326="Complete",E3517/12*(Paths!$J$326*(1+'Operating costs'!$B$51)^MAX(0,C3517-1)+Paths!$K$326*(1+'Operating costs'!$B$53)^MAX(0,C3517-1)),"n.a."))</f>
        <v>0</v>
      </c>
      <c r="H3517" s="16">
        <f>IF(NOT(Paths!$C$326=1),0,IF(Paths!$P$326="Complete",F3517/12*(Paths!$L$326*(1+IF(Paths!$D$326="EV",'Operating costs'!$B$52,'Operating costs'!$B$51))^MAX(0,C3517-1)+Paths!$M$326*(1+'Operating costs'!$B$53)^MAX(0,C3517-1)),"n.a."))</f>
        <v>0</v>
      </c>
      <c r="I3517" s="16">
        <f>IF(NOT(Paths!$C$326=1),0,IF(Paths!$P$326="Complete",IF(IF(Paths!$E$326=0,C3517=0,AND(C3517&gt;0,Paths!$E$326&gt;(C3517-1)*12,Paths!$E$326&lt;=C3517*12)),Paths!$G$326,0),"n.a."))</f>
        <v>0</v>
      </c>
      <c r="J3517" s="16">
        <f>IF(NOT(Paths!$C$326=1),0,IF(Paths!$P$326="Complete",IF(IF(Paths!$E$326=0,C3517=0,AND(C3517&gt;0,Paths!$E$326&gt;(C3517-1)*12,Paths!$E$326&lt;=C3517*12)),Paths!$H$326,0),"n.a."))</f>
        <v>0</v>
      </c>
      <c r="K3517" s="16">
        <f>IF(NOT(Paths!$C$326=1),0,IF(Paths!$P$326="Complete",IF(IF(Paths!$O$326=0,C3517=0,AND(C3517&gt;0,Paths!$O$326&gt;(C3517-1)*12,Paths!$O$326&lt;=C3517*12)),Paths!$N$326,0),"n.a."))</f>
        <v>0</v>
      </c>
      <c r="L3517" s="16">
        <f>IF(NOT(Paths!$C$326=1),0,IF(Paths!$P$326="Complete",IF(C3517=10,Paths!$I$326,0),"n.a."))</f>
        <v>0</v>
      </c>
      <c r="M3517" s="16">
        <f>IF(NOT(Paths!$C$326=1),0,IF(Paths!$P$326="Complete",IF(AND(Paths!$D$326="EV",Paths!$E$326&lt;120,Paths!$E$326+'Operating costs'!$B$65&gt;Paths!$E$326,Paths!$E$326+'Operating costs'!$B$65&lt;=120,IF(Paths!$E$326+'Operating costs'!$B$65=0,C3517=0,AND(C3517&gt;0,Paths!$E$326+'Operating costs'!$B$65&gt;(C3517-1)*12,Paths!$E$326+'Operating costs'!$B$65&lt;=C3517*12))),'Operating costs'!$B$64,0)+IF(AND('Operating costs'!$B$67&gt;0,'Operating costs'!$B$67&lt;=120,OR(Paths!$D$326="ICE",'Operating costs'!$B$67&lt;=Paths!$E$326),IF('Operating costs'!$B$67=0,C3517=0,AND(C3517&gt;0,'Operating costs'!$B$67&gt;(C3517-1)*12,'Operating costs'!$B$67&lt;=C3517*12))),'Operating costs'!$B$66,0),"n.a."))</f>
        <v>0</v>
      </c>
      <c r="N3517" s="16">
        <f>IF(NOT(Paths!$C$326=1),0,IF(Paths!$P$326="Complete",SUM(G3517:I3517)-J3517-K3517-L3517+M3517+IF(C3517=0,Paths!$F$326,0)+IF(IF(Paths!$E$326=0,C3517=0,AND(C3517&gt;0,Paths!$E$326&gt;(C3517-1)*12,Paths!$E$326&lt;=C3517*12)),VLOOKUP(A3517,'Fleet register'!$A$7:$S$106,16,FALSE),0),"n.a."))</f>
        <v>0</v>
      </c>
      <c r="O3517" s="16">
        <f>IF(NOT(Paths!$C$326=1),0,IF(Paths!$P$326="Complete",N3517-IF(C3517=0,Paths!$F$326,0),"n.a."))</f>
        <v>0</v>
      </c>
      <c r="P3517" s="16">
        <f>IF(NOT(Paths!$C$326=1),0,IF(Paths!$P$326="Complete",O3517+L3517,"n.a."))</f>
        <v>0</v>
      </c>
      <c r="Q3517" s="16">
        <f>IF(NOT(Paths!$C$326=1),0,IF(Paths!$P$326="Complete",N3517*(1+'Operating costs'!$B$54)^-C3517,"n.a."))</f>
        <v>0</v>
      </c>
      <c r="R3517" s="16">
        <f>IF(NOT(Paths!$C$326=1),0,IF(Paths!$P$326="Complete",IF(AND(C3517=0,Paths!$E$326=0),I3517-J3517-K3517+VLOOKUP(A3517,'Fleet register'!$A$7:$S$106,15,FALSE)+VLOOKUP(A3517,'Fleet register'!$A$7:$S$106,16,FALSE),0),"n.a."))</f>
        <v>0</v>
      </c>
      <c r="S3517" s="1">
        <f>IF(NOT(Paths!$C$326=1),0,IF(Paths!$P$326="Complete",IF(C3517=0,0,Paths!$S$326*Paths!$R$326),"n.a."))</f>
        <v>0</v>
      </c>
      <c r="T3517" s="1">
        <f>IF(NOT(Paths!$C$326=1),0,IF(Paths!$P$326="Complete",IF(C3517=0,0,VLOOKUP(A3517,'Fleet register'!$A$7:$S$106,9,FALSE)*Paths!$R$326),"n.a."))</f>
        <v>0</v>
      </c>
    </row>
    <row r="3518" spans="1:20" ht="24" customHeight="1">
      <c r="A3518" s="1" t="str">
        <f>Paths!$A$326</f>
        <v>T080</v>
      </c>
      <c r="B3518" s="1">
        <f>Paths!$B$326</f>
        <v>3</v>
      </c>
      <c r="C3518" s="1">
        <v>2</v>
      </c>
      <c r="D3518" s="1">
        <v>326</v>
      </c>
      <c r="E3518" s="1">
        <f>IF(OR(Paths!$C$326=0,C3518=0),0,MAX(0,MIN(C3518*12,Paths!$E$326)-(C3518-1)*12))</f>
        <v>0</v>
      </c>
      <c r="F3518" s="1">
        <f>IF(OR(Paths!$C$326=0,C3518=0),0,12-E3518)</f>
        <v>0</v>
      </c>
      <c r="G3518" s="16">
        <f>IF(NOT(Paths!$C$326=1),0,IF(Paths!$P$326="Complete",E3518/12*(Paths!$J$326*(1+'Operating costs'!$B$51)^MAX(0,C3518-1)+Paths!$K$326*(1+'Operating costs'!$B$53)^MAX(0,C3518-1)),"n.a."))</f>
        <v>0</v>
      </c>
      <c r="H3518" s="16">
        <f>IF(NOT(Paths!$C$326=1),0,IF(Paths!$P$326="Complete",F3518/12*(Paths!$L$326*(1+IF(Paths!$D$326="EV",'Operating costs'!$B$52,'Operating costs'!$B$51))^MAX(0,C3518-1)+Paths!$M$326*(1+'Operating costs'!$B$53)^MAX(0,C3518-1)),"n.a."))</f>
        <v>0</v>
      </c>
      <c r="I3518" s="16">
        <f>IF(NOT(Paths!$C$326=1),0,IF(Paths!$P$326="Complete",IF(IF(Paths!$E$326=0,C3518=0,AND(C3518&gt;0,Paths!$E$326&gt;(C3518-1)*12,Paths!$E$326&lt;=C3518*12)),Paths!$G$326,0),"n.a."))</f>
        <v>0</v>
      </c>
      <c r="J3518" s="16">
        <f>IF(NOT(Paths!$C$326=1),0,IF(Paths!$P$326="Complete",IF(IF(Paths!$E$326=0,C3518=0,AND(C3518&gt;0,Paths!$E$326&gt;(C3518-1)*12,Paths!$E$326&lt;=C3518*12)),Paths!$H$326,0),"n.a."))</f>
        <v>0</v>
      </c>
      <c r="K3518" s="16">
        <f>IF(NOT(Paths!$C$326=1),0,IF(Paths!$P$326="Complete",IF(IF(Paths!$O$326=0,C3518=0,AND(C3518&gt;0,Paths!$O$326&gt;(C3518-1)*12,Paths!$O$326&lt;=C3518*12)),Paths!$N$326,0),"n.a."))</f>
        <v>0</v>
      </c>
      <c r="L3518" s="16">
        <f>IF(NOT(Paths!$C$326=1),0,IF(Paths!$P$326="Complete",IF(C3518=10,Paths!$I$326,0),"n.a."))</f>
        <v>0</v>
      </c>
      <c r="M3518" s="16">
        <f>IF(NOT(Paths!$C$326=1),0,IF(Paths!$P$326="Complete",IF(AND(Paths!$D$326="EV",Paths!$E$326&lt;120,Paths!$E$326+'Operating costs'!$B$65&gt;Paths!$E$326,Paths!$E$326+'Operating costs'!$B$65&lt;=120,IF(Paths!$E$326+'Operating costs'!$B$65=0,C3518=0,AND(C3518&gt;0,Paths!$E$326+'Operating costs'!$B$65&gt;(C3518-1)*12,Paths!$E$326+'Operating costs'!$B$65&lt;=C3518*12))),'Operating costs'!$B$64,0)+IF(AND('Operating costs'!$B$67&gt;0,'Operating costs'!$B$67&lt;=120,OR(Paths!$D$326="ICE",'Operating costs'!$B$67&lt;=Paths!$E$326),IF('Operating costs'!$B$67=0,C3518=0,AND(C3518&gt;0,'Operating costs'!$B$67&gt;(C3518-1)*12,'Operating costs'!$B$67&lt;=C3518*12))),'Operating costs'!$B$66,0),"n.a."))</f>
        <v>0</v>
      </c>
      <c r="N3518" s="16">
        <f>IF(NOT(Paths!$C$326=1),0,IF(Paths!$P$326="Complete",SUM(G3518:I3518)-J3518-K3518-L3518+M3518+IF(C3518=0,Paths!$F$326,0)+IF(IF(Paths!$E$326=0,C3518=0,AND(C3518&gt;0,Paths!$E$326&gt;(C3518-1)*12,Paths!$E$326&lt;=C3518*12)),VLOOKUP(A3518,'Fleet register'!$A$7:$S$106,16,FALSE),0),"n.a."))</f>
        <v>0</v>
      </c>
      <c r="O3518" s="16">
        <f>IF(NOT(Paths!$C$326=1),0,IF(Paths!$P$326="Complete",N3518-IF(C3518=0,Paths!$F$326,0),"n.a."))</f>
        <v>0</v>
      </c>
      <c r="P3518" s="16">
        <f>IF(NOT(Paths!$C$326=1),0,IF(Paths!$P$326="Complete",O3518+L3518,"n.a."))</f>
        <v>0</v>
      </c>
      <c r="Q3518" s="16">
        <f>IF(NOT(Paths!$C$326=1),0,IF(Paths!$P$326="Complete",N3518*(1+'Operating costs'!$B$54)^-C3518,"n.a."))</f>
        <v>0</v>
      </c>
      <c r="R3518" s="16">
        <f>IF(NOT(Paths!$C$326=1),0,IF(Paths!$P$326="Complete",IF(AND(C3518=0,Paths!$E$326=0),I3518-J3518-K3518+VLOOKUP(A3518,'Fleet register'!$A$7:$S$106,15,FALSE)+VLOOKUP(A3518,'Fleet register'!$A$7:$S$106,16,FALSE),0),"n.a."))</f>
        <v>0</v>
      </c>
      <c r="S3518" s="1">
        <f>IF(NOT(Paths!$C$326=1),0,IF(Paths!$P$326="Complete",IF(C3518=0,0,Paths!$S$326*Paths!$R$326),"n.a."))</f>
        <v>0</v>
      </c>
      <c r="T3518" s="1">
        <f>IF(NOT(Paths!$C$326=1),0,IF(Paths!$P$326="Complete",IF(C3518=0,0,VLOOKUP(A3518,'Fleet register'!$A$7:$S$106,9,FALSE)*Paths!$R$326),"n.a."))</f>
        <v>0</v>
      </c>
    </row>
    <row r="3519" spans="1:20" ht="24" customHeight="1">
      <c r="A3519" s="1" t="str">
        <f>Paths!$A$326</f>
        <v>T080</v>
      </c>
      <c r="B3519" s="1">
        <f>Paths!$B$326</f>
        <v>3</v>
      </c>
      <c r="C3519" s="1">
        <v>3</v>
      </c>
      <c r="D3519" s="1">
        <v>326</v>
      </c>
      <c r="E3519" s="1">
        <f>IF(OR(Paths!$C$326=0,C3519=0),0,MAX(0,MIN(C3519*12,Paths!$E$326)-(C3519-1)*12))</f>
        <v>0</v>
      </c>
      <c r="F3519" s="1">
        <f>IF(OR(Paths!$C$326=0,C3519=0),0,12-E3519)</f>
        <v>0</v>
      </c>
      <c r="G3519" s="16">
        <f>IF(NOT(Paths!$C$326=1),0,IF(Paths!$P$326="Complete",E3519/12*(Paths!$J$326*(1+'Operating costs'!$B$51)^MAX(0,C3519-1)+Paths!$K$326*(1+'Operating costs'!$B$53)^MAX(0,C3519-1)),"n.a."))</f>
        <v>0</v>
      </c>
      <c r="H3519" s="16">
        <f>IF(NOT(Paths!$C$326=1),0,IF(Paths!$P$326="Complete",F3519/12*(Paths!$L$326*(1+IF(Paths!$D$326="EV",'Operating costs'!$B$52,'Operating costs'!$B$51))^MAX(0,C3519-1)+Paths!$M$326*(1+'Operating costs'!$B$53)^MAX(0,C3519-1)),"n.a."))</f>
        <v>0</v>
      </c>
      <c r="I3519" s="16">
        <f>IF(NOT(Paths!$C$326=1),0,IF(Paths!$P$326="Complete",IF(IF(Paths!$E$326=0,C3519=0,AND(C3519&gt;0,Paths!$E$326&gt;(C3519-1)*12,Paths!$E$326&lt;=C3519*12)),Paths!$G$326,0),"n.a."))</f>
        <v>0</v>
      </c>
      <c r="J3519" s="16">
        <f>IF(NOT(Paths!$C$326=1),0,IF(Paths!$P$326="Complete",IF(IF(Paths!$E$326=0,C3519=0,AND(C3519&gt;0,Paths!$E$326&gt;(C3519-1)*12,Paths!$E$326&lt;=C3519*12)),Paths!$H$326,0),"n.a."))</f>
        <v>0</v>
      </c>
      <c r="K3519" s="16">
        <f>IF(NOT(Paths!$C$326=1),0,IF(Paths!$P$326="Complete",IF(IF(Paths!$O$326=0,C3519=0,AND(C3519&gt;0,Paths!$O$326&gt;(C3519-1)*12,Paths!$O$326&lt;=C3519*12)),Paths!$N$326,0),"n.a."))</f>
        <v>0</v>
      </c>
      <c r="L3519" s="16">
        <f>IF(NOT(Paths!$C$326=1),0,IF(Paths!$P$326="Complete",IF(C3519=10,Paths!$I$326,0),"n.a."))</f>
        <v>0</v>
      </c>
      <c r="M3519" s="16">
        <f>IF(NOT(Paths!$C$326=1),0,IF(Paths!$P$326="Complete",IF(AND(Paths!$D$326="EV",Paths!$E$326&lt;120,Paths!$E$326+'Operating costs'!$B$65&gt;Paths!$E$326,Paths!$E$326+'Operating costs'!$B$65&lt;=120,IF(Paths!$E$326+'Operating costs'!$B$65=0,C3519=0,AND(C3519&gt;0,Paths!$E$326+'Operating costs'!$B$65&gt;(C3519-1)*12,Paths!$E$326+'Operating costs'!$B$65&lt;=C3519*12))),'Operating costs'!$B$64,0)+IF(AND('Operating costs'!$B$67&gt;0,'Operating costs'!$B$67&lt;=120,OR(Paths!$D$326="ICE",'Operating costs'!$B$67&lt;=Paths!$E$326),IF('Operating costs'!$B$67=0,C3519=0,AND(C3519&gt;0,'Operating costs'!$B$67&gt;(C3519-1)*12,'Operating costs'!$B$67&lt;=C3519*12))),'Operating costs'!$B$66,0),"n.a."))</f>
        <v>0</v>
      </c>
      <c r="N3519" s="16">
        <f>IF(NOT(Paths!$C$326=1),0,IF(Paths!$P$326="Complete",SUM(G3519:I3519)-J3519-K3519-L3519+M3519+IF(C3519=0,Paths!$F$326,0)+IF(IF(Paths!$E$326=0,C3519=0,AND(C3519&gt;0,Paths!$E$326&gt;(C3519-1)*12,Paths!$E$326&lt;=C3519*12)),VLOOKUP(A3519,'Fleet register'!$A$7:$S$106,16,FALSE),0),"n.a."))</f>
        <v>0</v>
      </c>
      <c r="O3519" s="16">
        <f>IF(NOT(Paths!$C$326=1),0,IF(Paths!$P$326="Complete",N3519-IF(C3519=0,Paths!$F$326,0),"n.a."))</f>
        <v>0</v>
      </c>
      <c r="P3519" s="16">
        <f>IF(NOT(Paths!$C$326=1),0,IF(Paths!$P$326="Complete",O3519+L3519,"n.a."))</f>
        <v>0</v>
      </c>
      <c r="Q3519" s="16">
        <f>IF(NOT(Paths!$C$326=1),0,IF(Paths!$P$326="Complete",N3519*(1+'Operating costs'!$B$54)^-C3519,"n.a."))</f>
        <v>0</v>
      </c>
      <c r="R3519" s="16">
        <f>IF(NOT(Paths!$C$326=1),0,IF(Paths!$P$326="Complete",IF(AND(C3519=0,Paths!$E$326=0),I3519-J3519-K3519+VLOOKUP(A3519,'Fleet register'!$A$7:$S$106,15,FALSE)+VLOOKUP(A3519,'Fleet register'!$A$7:$S$106,16,FALSE),0),"n.a."))</f>
        <v>0</v>
      </c>
      <c r="S3519" s="1">
        <f>IF(NOT(Paths!$C$326=1),0,IF(Paths!$P$326="Complete",IF(C3519=0,0,Paths!$S$326*Paths!$R$326),"n.a."))</f>
        <v>0</v>
      </c>
      <c r="T3519" s="1">
        <f>IF(NOT(Paths!$C$326=1),0,IF(Paths!$P$326="Complete",IF(C3519=0,0,VLOOKUP(A3519,'Fleet register'!$A$7:$S$106,9,FALSE)*Paths!$R$326),"n.a."))</f>
        <v>0</v>
      </c>
    </row>
    <row r="3520" spans="1:20" ht="24" customHeight="1">
      <c r="A3520" s="1" t="str">
        <f>Paths!$A$326</f>
        <v>T080</v>
      </c>
      <c r="B3520" s="1">
        <f>Paths!$B$326</f>
        <v>3</v>
      </c>
      <c r="C3520" s="1">
        <v>4</v>
      </c>
      <c r="D3520" s="1">
        <v>326</v>
      </c>
      <c r="E3520" s="1">
        <f>IF(OR(Paths!$C$326=0,C3520=0),0,MAX(0,MIN(C3520*12,Paths!$E$326)-(C3520-1)*12))</f>
        <v>0</v>
      </c>
      <c r="F3520" s="1">
        <f>IF(OR(Paths!$C$326=0,C3520=0),0,12-E3520)</f>
        <v>0</v>
      </c>
      <c r="G3520" s="16">
        <f>IF(NOT(Paths!$C$326=1),0,IF(Paths!$P$326="Complete",E3520/12*(Paths!$J$326*(1+'Operating costs'!$B$51)^MAX(0,C3520-1)+Paths!$K$326*(1+'Operating costs'!$B$53)^MAX(0,C3520-1)),"n.a."))</f>
        <v>0</v>
      </c>
      <c r="H3520" s="16">
        <f>IF(NOT(Paths!$C$326=1),0,IF(Paths!$P$326="Complete",F3520/12*(Paths!$L$326*(1+IF(Paths!$D$326="EV",'Operating costs'!$B$52,'Operating costs'!$B$51))^MAX(0,C3520-1)+Paths!$M$326*(1+'Operating costs'!$B$53)^MAX(0,C3520-1)),"n.a."))</f>
        <v>0</v>
      </c>
      <c r="I3520" s="16">
        <f>IF(NOT(Paths!$C$326=1),0,IF(Paths!$P$326="Complete",IF(IF(Paths!$E$326=0,C3520=0,AND(C3520&gt;0,Paths!$E$326&gt;(C3520-1)*12,Paths!$E$326&lt;=C3520*12)),Paths!$G$326,0),"n.a."))</f>
        <v>0</v>
      </c>
      <c r="J3520" s="16">
        <f>IF(NOT(Paths!$C$326=1),0,IF(Paths!$P$326="Complete",IF(IF(Paths!$E$326=0,C3520=0,AND(C3520&gt;0,Paths!$E$326&gt;(C3520-1)*12,Paths!$E$326&lt;=C3520*12)),Paths!$H$326,0),"n.a."))</f>
        <v>0</v>
      </c>
      <c r="K3520" s="16">
        <f>IF(NOT(Paths!$C$326=1),0,IF(Paths!$P$326="Complete",IF(IF(Paths!$O$326=0,C3520=0,AND(C3520&gt;0,Paths!$O$326&gt;(C3520-1)*12,Paths!$O$326&lt;=C3520*12)),Paths!$N$326,0),"n.a."))</f>
        <v>0</v>
      </c>
      <c r="L3520" s="16">
        <f>IF(NOT(Paths!$C$326=1),0,IF(Paths!$P$326="Complete",IF(C3520=10,Paths!$I$326,0),"n.a."))</f>
        <v>0</v>
      </c>
      <c r="M3520" s="16">
        <f>IF(NOT(Paths!$C$326=1),0,IF(Paths!$P$326="Complete",IF(AND(Paths!$D$326="EV",Paths!$E$326&lt;120,Paths!$E$326+'Operating costs'!$B$65&gt;Paths!$E$326,Paths!$E$326+'Operating costs'!$B$65&lt;=120,IF(Paths!$E$326+'Operating costs'!$B$65=0,C3520=0,AND(C3520&gt;0,Paths!$E$326+'Operating costs'!$B$65&gt;(C3520-1)*12,Paths!$E$326+'Operating costs'!$B$65&lt;=C3520*12))),'Operating costs'!$B$64,0)+IF(AND('Operating costs'!$B$67&gt;0,'Operating costs'!$B$67&lt;=120,OR(Paths!$D$326="ICE",'Operating costs'!$B$67&lt;=Paths!$E$326),IF('Operating costs'!$B$67=0,C3520=0,AND(C3520&gt;0,'Operating costs'!$B$67&gt;(C3520-1)*12,'Operating costs'!$B$67&lt;=C3520*12))),'Operating costs'!$B$66,0),"n.a."))</f>
        <v>0</v>
      </c>
      <c r="N3520" s="16">
        <f>IF(NOT(Paths!$C$326=1),0,IF(Paths!$P$326="Complete",SUM(G3520:I3520)-J3520-K3520-L3520+M3520+IF(C3520=0,Paths!$F$326,0)+IF(IF(Paths!$E$326=0,C3520=0,AND(C3520&gt;0,Paths!$E$326&gt;(C3520-1)*12,Paths!$E$326&lt;=C3520*12)),VLOOKUP(A3520,'Fleet register'!$A$7:$S$106,16,FALSE),0),"n.a."))</f>
        <v>0</v>
      </c>
      <c r="O3520" s="16">
        <f>IF(NOT(Paths!$C$326=1),0,IF(Paths!$P$326="Complete",N3520-IF(C3520=0,Paths!$F$326,0),"n.a."))</f>
        <v>0</v>
      </c>
      <c r="P3520" s="16">
        <f>IF(NOT(Paths!$C$326=1),0,IF(Paths!$P$326="Complete",O3520+L3520,"n.a."))</f>
        <v>0</v>
      </c>
      <c r="Q3520" s="16">
        <f>IF(NOT(Paths!$C$326=1),0,IF(Paths!$P$326="Complete",N3520*(1+'Operating costs'!$B$54)^-C3520,"n.a."))</f>
        <v>0</v>
      </c>
      <c r="R3520" s="16">
        <f>IF(NOT(Paths!$C$326=1),0,IF(Paths!$P$326="Complete",IF(AND(C3520=0,Paths!$E$326=0),I3520-J3520-K3520+VLOOKUP(A3520,'Fleet register'!$A$7:$S$106,15,FALSE)+VLOOKUP(A3520,'Fleet register'!$A$7:$S$106,16,FALSE),0),"n.a."))</f>
        <v>0</v>
      </c>
      <c r="S3520" s="1">
        <f>IF(NOT(Paths!$C$326=1),0,IF(Paths!$P$326="Complete",IF(C3520=0,0,Paths!$S$326*Paths!$R$326),"n.a."))</f>
        <v>0</v>
      </c>
      <c r="T3520" s="1">
        <f>IF(NOT(Paths!$C$326=1),0,IF(Paths!$P$326="Complete",IF(C3520=0,0,VLOOKUP(A3520,'Fleet register'!$A$7:$S$106,9,FALSE)*Paths!$R$326),"n.a."))</f>
        <v>0</v>
      </c>
    </row>
    <row r="3521" spans="1:20" ht="24" customHeight="1">
      <c r="A3521" s="1" t="str">
        <f>Paths!$A$326</f>
        <v>T080</v>
      </c>
      <c r="B3521" s="1">
        <f>Paths!$B$326</f>
        <v>3</v>
      </c>
      <c r="C3521" s="1">
        <v>5</v>
      </c>
      <c r="D3521" s="1">
        <v>326</v>
      </c>
      <c r="E3521" s="1">
        <f>IF(OR(Paths!$C$326=0,C3521=0),0,MAX(0,MIN(C3521*12,Paths!$E$326)-(C3521-1)*12))</f>
        <v>0</v>
      </c>
      <c r="F3521" s="1">
        <f>IF(OR(Paths!$C$326=0,C3521=0),0,12-E3521)</f>
        <v>0</v>
      </c>
      <c r="G3521" s="16">
        <f>IF(NOT(Paths!$C$326=1),0,IF(Paths!$P$326="Complete",E3521/12*(Paths!$J$326*(1+'Operating costs'!$B$51)^MAX(0,C3521-1)+Paths!$K$326*(1+'Operating costs'!$B$53)^MAX(0,C3521-1)),"n.a."))</f>
        <v>0</v>
      </c>
      <c r="H3521" s="16">
        <f>IF(NOT(Paths!$C$326=1),0,IF(Paths!$P$326="Complete",F3521/12*(Paths!$L$326*(1+IF(Paths!$D$326="EV",'Operating costs'!$B$52,'Operating costs'!$B$51))^MAX(0,C3521-1)+Paths!$M$326*(1+'Operating costs'!$B$53)^MAX(0,C3521-1)),"n.a."))</f>
        <v>0</v>
      </c>
      <c r="I3521" s="16">
        <f>IF(NOT(Paths!$C$326=1),0,IF(Paths!$P$326="Complete",IF(IF(Paths!$E$326=0,C3521=0,AND(C3521&gt;0,Paths!$E$326&gt;(C3521-1)*12,Paths!$E$326&lt;=C3521*12)),Paths!$G$326,0),"n.a."))</f>
        <v>0</v>
      </c>
      <c r="J3521" s="16">
        <f>IF(NOT(Paths!$C$326=1),0,IF(Paths!$P$326="Complete",IF(IF(Paths!$E$326=0,C3521=0,AND(C3521&gt;0,Paths!$E$326&gt;(C3521-1)*12,Paths!$E$326&lt;=C3521*12)),Paths!$H$326,0),"n.a."))</f>
        <v>0</v>
      </c>
      <c r="K3521" s="16">
        <f>IF(NOT(Paths!$C$326=1),0,IF(Paths!$P$326="Complete",IF(IF(Paths!$O$326=0,C3521=0,AND(C3521&gt;0,Paths!$O$326&gt;(C3521-1)*12,Paths!$O$326&lt;=C3521*12)),Paths!$N$326,0),"n.a."))</f>
        <v>0</v>
      </c>
      <c r="L3521" s="16">
        <f>IF(NOT(Paths!$C$326=1),0,IF(Paths!$P$326="Complete",IF(C3521=10,Paths!$I$326,0),"n.a."))</f>
        <v>0</v>
      </c>
      <c r="M3521" s="16">
        <f>IF(NOT(Paths!$C$326=1),0,IF(Paths!$P$326="Complete",IF(AND(Paths!$D$326="EV",Paths!$E$326&lt;120,Paths!$E$326+'Operating costs'!$B$65&gt;Paths!$E$326,Paths!$E$326+'Operating costs'!$B$65&lt;=120,IF(Paths!$E$326+'Operating costs'!$B$65=0,C3521=0,AND(C3521&gt;0,Paths!$E$326+'Operating costs'!$B$65&gt;(C3521-1)*12,Paths!$E$326+'Operating costs'!$B$65&lt;=C3521*12))),'Operating costs'!$B$64,0)+IF(AND('Operating costs'!$B$67&gt;0,'Operating costs'!$B$67&lt;=120,OR(Paths!$D$326="ICE",'Operating costs'!$B$67&lt;=Paths!$E$326),IF('Operating costs'!$B$67=0,C3521=0,AND(C3521&gt;0,'Operating costs'!$B$67&gt;(C3521-1)*12,'Operating costs'!$B$67&lt;=C3521*12))),'Operating costs'!$B$66,0),"n.a."))</f>
        <v>0</v>
      </c>
      <c r="N3521" s="16">
        <f>IF(NOT(Paths!$C$326=1),0,IF(Paths!$P$326="Complete",SUM(G3521:I3521)-J3521-K3521-L3521+M3521+IF(C3521=0,Paths!$F$326,0)+IF(IF(Paths!$E$326=0,C3521=0,AND(C3521&gt;0,Paths!$E$326&gt;(C3521-1)*12,Paths!$E$326&lt;=C3521*12)),VLOOKUP(A3521,'Fleet register'!$A$7:$S$106,16,FALSE),0),"n.a."))</f>
        <v>0</v>
      </c>
      <c r="O3521" s="16">
        <f>IF(NOT(Paths!$C$326=1),0,IF(Paths!$P$326="Complete",N3521-IF(C3521=0,Paths!$F$326,0),"n.a."))</f>
        <v>0</v>
      </c>
      <c r="P3521" s="16">
        <f>IF(NOT(Paths!$C$326=1),0,IF(Paths!$P$326="Complete",O3521+L3521,"n.a."))</f>
        <v>0</v>
      </c>
      <c r="Q3521" s="16">
        <f>IF(NOT(Paths!$C$326=1),0,IF(Paths!$P$326="Complete",N3521*(1+'Operating costs'!$B$54)^-C3521,"n.a."))</f>
        <v>0</v>
      </c>
      <c r="R3521" s="16">
        <f>IF(NOT(Paths!$C$326=1),0,IF(Paths!$P$326="Complete",IF(AND(C3521=0,Paths!$E$326=0),I3521-J3521-K3521+VLOOKUP(A3521,'Fleet register'!$A$7:$S$106,15,FALSE)+VLOOKUP(A3521,'Fleet register'!$A$7:$S$106,16,FALSE),0),"n.a."))</f>
        <v>0</v>
      </c>
      <c r="S3521" s="1">
        <f>IF(NOT(Paths!$C$326=1),0,IF(Paths!$P$326="Complete",IF(C3521=0,0,Paths!$S$326*Paths!$R$326),"n.a."))</f>
        <v>0</v>
      </c>
      <c r="T3521" s="1">
        <f>IF(NOT(Paths!$C$326=1),0,IF(Paths!$P$326="Complete",IF(C3521=0,0,VLOOKUP(A3521,'Fleet register'!$A$7:$S$106,9,FALSE)*Paths!$R$326),"n.a."))</f>
        <v>0</v>
      </c>
    </row>
    <row r="3522" spans="1:20" ht="24" customHeight="1">
      <c r="A3522" s="1" t="str">
        <f>Paths!$A$326</f>
        <v>T080</v>
      </c>
      <c r="B3522" s="1">
        <f>Paths!$B$326</f>
        <v>3</v>
      </c>
      <c r="C3522" s="1">
        <v>6</v>
      </c>
      <c r="D3522" s="1">
        <v>326</v>
      </c>
      <c r="E3522" s="1">
        <f>IF(OR(Paths!$C$326=0,C3522=0),0,MAX(0,MIN(C3522*12,Paths!$E$326)-(C3522-1)*12))</f>
        <v>0</v>
      </c>
      <c r="F3522" s="1">
        <f>IF(OR(Paths!$C$326=0,C3522=0),0,12-E3522)</f>
        <v>0</v>
      </c>
      <c r="G3522" s="16">
        <f>IF(NOT(Paths!$C$326=1),0,IF(Paths!$P$326="Complete",E3522/12*(Paths!$J$326*(1+'Operating costs'!$B$51)^MAX(0,C3522-1)+Paths!$K$326*(1+'Operating costs'!$B$53)^MAX(0,C3522-1)),"n.a."))</f>
        <v>0</v>
      </c>
      <c r="H3522" s="16">
        <f>IF(NOT(Paths!$C$326=1),0,IF(Paths!$P$326="Complete",F3522/12*(Paths!$L$326*(1+IF(Paths!$D$326="EV",'Operating costs'!$B$52,'Operating costs'!$B$51))^MAX(0,C3522-1)+Paths!$M$326*(1+'Operating costs'!$B$53)^MAX(0,C3522-1)),"n.a."))</f>
        <v>0</v>
      </c>
      <c r="I3522" s="16">
        <f>IF(NOT(Paths!$C$326=1),0,IF(Paths!$P$326="Complete",IF(IF(Paths!$E$326=0,C3522=0,AND(C3522&gt;0,Paths!$E$326&gt;(C3522-1)*12,Paths!$E$326&lt;=C3522*12)),Paths!$G$326,0),"n.a."))</f>
        <v>0</v>
      </c>
      <c r="J3522" s="16">
        <f>IF(NOT(Paths!$C$326=1),0,IF(Paths!$P$326="Complete",IF(IF(Paths!$E$326=0,C3522=0,AND(C3522&gt;0,Paths!$E$326&gt;(C3522-1)*12,Paths!$E$326&lt;=C3522*12)),Paths!$H$326,0),"n.a."))</f>
        <v>0</v>
      </c>
      <c r="K3522" s="16">
        <f>IF(NOT(Paths!$C$326=1),0,IF(Paths!$P$326="Complete",IF(IF(Paths!$O$326=0,C3522=0,AND(C3522&gt;0,Paths!$O$326&gt;(C3522-1)*12,Paths!$O$326&lt;=C3522*12)),Paths!$N$326,0),"n.a."))</f>
        <v>0</v>
      </c>
      <c r="L3522" s="16">
        <f>IF(NOT(Paths!$C$326=1),0,IF(Paths!$P$326="Complete",IF(C3522=10,Paths!$I$326,0),"n.a."))</f>
        <v>0</v>
      </c>
      <c r="M3522" s="16">
        <f>IF(NOT(Paths!$C$326=1),0,IF(Paths!$P$326="Complete",IF(AND(Paths!$D$326="EV",Paths!$E$326&lt;120,Paths!$E$326+'Operating costs'!$B$65&gt;Paths!$E$326,Paths!$E$326+'Operating costs'!$B$65&lt;=120,IF(Paths!$E$326+'Operating costs'!$B$65=0,C3522=0,AND(C3522&gt;0,Paths!$E$326+'Operating costs'!$B$65&gt;(C3522-1)*12,Paths!$E$326+'Operating costs'!$B$65&lt;=C3522*12))),'Operating costs'!$B$64,0)+IF(AND('Operating costs'!$B$67&gt;0,'Operating costs'!$B$67&lt;=120,OR(Paths!$D$326="ICE",'Operating costs'!$B$67&lt;=Paths!$E$326),IF('Operating costs'!$B$67=0,C3522=0,AND(C3522&gt;0,'Operating costs'!$B$67&gt;(C3522-1)*12,'Operating costs'!$B$67&lt;=C3522*12))),'Operating costs'!$B$66,0),"n.a."))</f>
        <v>0</v>
      </c>
      <c r="N3522" s="16">
        <f>IF(NOT(Paths!$C$326=1),0,IF(Paths!$P$326="Complete",SUM(G3522:I3522)-J3522-K3522-L3522+M3522+IF(C3522=0,Paths!$F$326,0)+IF(IF(Paths!$E$326=0,C3522=0,AND(C3522&gt;0,Paths!$E$326&gt;(C3522-1)*12,Paths!$E$326&lt;=C3522*12)),VLOOKUP(A3522,'Fleet register'!$A$7:$S$106,16,FALSE),0),"n.a."))</f>
        <v>0</v>
      </c>
      <c r="O3522" s="16">
        <f>IF(NOT(Paths!$C$326=1),0,IF(Paths!$P$326="Complete",N3522-IF(C3522=0,Paths!$F$326,0),"n.a."))</f>
        <v>0</v>
      </c>
      <c r="P3522" s="16">
        <f>IF(NOT(Paths!$C$326=1),0,IF(Paths!$P$326="Complete",O3522+L3522,"n.a."))</f>
        <v>0</v>
      </c>
      <c r="Q3522" s="16">
        <f>IF(NOT(Paths!$C$326=1),0,IF(Paths!$P$326="Complete",N3522*(1+'Operating costs'!$B$54)^-C3522,"n.a."))</f>
        <v>0</v>
      </c>
      <c r="R3522" s="16">
        <f>IF(NOT(Paths!$C$326=1),0,IF(Paths!$P$326="Complete",IF(AND(C3522=0,Paths!$E$326=0),I3522-J3522-K3522+VLOOKUP(A3522,'Fleet register'!$A$7:$S$106,15,FALSE)+VLOOKUP(A3522,'Fleet register'!$A$7:$S$106,16,FALSE),0),"n.a."))</f>
        <v>0</v>
      </c>
      <c r="S3522" s="1">
        <f>IF(NOT(Paths!$C$326=1),0,IF(Paths!$P$326="Complete",IF(C3522=0,0,Paths!$S$326*Paths!$R$326),"n.a."))</f>
        <v>0</v>
      </c>
      <c r="T3522" s="1">
        <f>IF(NOT(Paths!$C$326=1),0,IF(Paths!$P$326="Complete",IF(C3522=0,0,VLOOKUP(A3522,'Fleet register'!$A$7:$S$106,9,FALSE)*Paths!$R$326),"n.a."))</f>
        <v>0</v>
      </c>
    </row>
    <row r="3523" spans="1:20" ht="24" customHeight="1">
      <c r="A3523" s="1" t="str">
        <f>Paths!$A$326</f>
        <v>T080</v>
      </c>
      <c r="B3523" s="1">
        <f>Paths!$B$326</f>
        <v>3</v>
      </c>
      <c r="C3523" s="1">
        <v>7</v>
      </c>
      <c r="D3523" s="1">
        <v>326</v>
      </c>
      <c r="E3523" s="1">
        <f>IF(OR(Paths!$C$326=0,C3523=0),0,MAX(0,MIN(C3523*12,Paths!$E$326)-(C3523-1)*12))</f>
        <v>0</v>
      </c>
      <c r="F3523" s="1">
        <f>IF(OR(Paths!$C$326=0,C3523=0),0,12-E3523)</f>
        <v>0</v>
      </c>
      <c r="G3523" s="16">
        <f>IF(NOT(Paths!$C$326=1),0,IF(Paths!$P$326="Complete",E3523/12*(Paths!$J$326*(1+'Operating costs'!$B$51)^MAX(0,C3523-1)+Paths!$K$326*(1+'Operating costs'!$B$53)^MAX(0,C3523-1)),"n.a."))</f>
        <v>0</v>
      </c>
      <c r="H3523" s="16">
        <f>IF(NOT(Paths!$C$326=1),0,IF(Paths!$P$326="Complete",F3523/12*(Paths!$L$326*(1+IF(Paths!$D$326="EV",'Operating costs'!$B$52,'Operating costs'!$B$51))^MAX(0,C3523-1)+Paths!$M$326*(1+'Operating costs'!$B$53)^MAX(0,C3523-1)),"n.a."))</f>
        <v>0</v>
      </c>
      <c r="I3523" s="16">
        <f>IF(NOT(Paths!$C$326=1),0,IF(Paths!$P$326="Complete",IF(IF(Paths!$E$326=0,C3523=0,AND(C3523&gt;0,Paths!$E$326&gt;(C3523-1)*12,Paths!$E$326&lt;=C3523*12)),Paths!$G$326,0),"n.a."))</f>
        <v>0</v>
      </c>
      <c r="J3523" s="16">
        <f>IF(NOT(Paths!$C$326=1),0,IF(Paths!$P$326="Complete",IF(IF(Paths!$E$326=0,C3523=0,AND(C3523&gt;0,Paths!$E$326&gt;(C3523-1)*12,Paths!$E$326&lt;=C3523*12)),Paths!$H$326,0),"n.a."))</f>
        <v>0</v>
      </c>
      <c r="K3523" s="16">
        <f>IF(NOT(Paths!$C$326=1),0,IF(Paths!$P$326="Complete",IF(IF(Paths!$O$326=0,C3523=0,AND(C3523&gt;0,Paths!$O$326&gt;(C3523-1)*12,Paths!$O$326&lt;=C3523*12)),Paths!$N$326,0),"n.a."))</f>
        <v>0</v>
      </c>
      <c r="L3523" s="16">
        <f>IF(NOT(Paths!$C$326=1),0,IF(Paths!$P$326="Complete",IF(C3523=10,Paths!$I$326,0),"n.a."))</f>
        <v>0</v>
      </c>
      <c r="M3523" s="16">
        <f>IF(NOT(Paths!$C$326=1),0,IF(Paths!$P$326="Complete",IF(AND(Paths!$D$326="EV",Paths!$E$326&lt;120,Paths!$E$326+'Operating costs'!$B$65&gt;Paths!$E$326,Paths!$E$326+'Operating costs'!$B$65&lt;=120,IF(Paths!$E$326+'Operating costs'!$B$65=0,C3523=0,AND(C3523&gt;0,Paths!$E$326+'Operating costs'!$B$65&gt;(C3523-1)*12,Paths!$E$326+'Operating costs'!$B$65&lt;=C3523*12))),'Operating costs'!$B$64,0)+IF(AND('Operating costs'!$B$67&gt;0,'Operating costs'!$B$67&lt;=120,OR(Paths!$D$326="ICE",'Operating costs'!$B$67&lt;=Paths!$E$326),IF('Operating costs'!$B$67=0,C3523=0,AND(C3523&gt;0,'Operating costs'!$B$67&gt;(C3523-1)*12,'Operating costs'!$B$67&lt;=C3523*12))),'Operating costs'!$B$66,0),"n.a."))</f>
        <v>0</v>
      </c>
      <c r="N3523" s="16">
        <f>IF(NOT(Paths!$C$326=1),0,IF(Paths!$P$326="Complete",SUM(G3523:I3523)-J3523-K3523-L3523+M3523+IF(C3523=0,Paths!$F$326,0)+IF(IF(Paths!$E$326=0,C3523=0,AND(C3523&gt;0,Paths!$E$326&gt;(C3523-1)*12,Paths!$E$326&lt;=C3523*12)),VLOOKUP(A3523,'Fleet register'!$A$7:$S$106,16,FALSE),0),"n.a."))</f>
        <v>0</v>
      </c>
      <c r="O3523" s="16">
        <f>IF(NOT(Paths!$C$326=1),0,IF(Paths!$P$326="Complete",N3523-IF(C3523=0,Paths!$F$326,0),"n.a."))</f>
        <v>0</v>
      </c>
      <c r="P3523" s="16">
        <f>IF(NOT(Paths!$C$326=1),0,IF(Paths!$P$326="Complete",O3523+L3523,"n.a."))</f>
        <v>0</v>
      </c>
      <c r="Q3523" s="16">
        <f>IF(NOT(Paths!$C$326=1),0,IF(Paths!$P$326="Complete",N3523*(1+'Operating costs'!$B$54)^-C3523,"n.a."))</f>
        <v>0</v>
      </c>
      <c r="R3523" s="16">
        <f>IF(NOT(Paths!$C$326=1),0,IF(Paths!$P$326="Complete",IF(AND(C3523=0,Paths!$E$326=0),I3523-J3523-K3523+VLOOKUP(A3523,'Fleet register'!$A$7:$S$106,15,FALSE)+VLOOKUP(A3523,'Fleet register'!$A$7:$S$106,16,FALSE),0),"n.a."))</f>
        <v>0</v>
      </c>
      <c r="S3523" s="1">
        <f>IF(NOT(Paths!$C$326=1),0,IF(Paths!$P$326="Complete",IF(C3523=0,0,Paths!$S$326*Paths!$R$326),"n.a."))</f>
        <v>0</v>
      </c>
      <c r="T3523" s="1">
        <f>IF(NOT(Paths!$C$326=1),0,IF(Paths!$P$326="Complete",IF(C3523=0,0,VLOOKUP(A3523,'Fleet register'!$A$7:$S$106,9,FALSE)*Paths!$R$326),"n.a."))</f>
        <v>0</v>
      </c>
    </row>
    <row r="3524" spans="1:20" ht="24" customHeight="1">
      <c r="A3524" s="1" t="str">
        <f>Paths!$A$326</f>
        <v>T080</v>
      </c>
      <c r="B3524" s="1">
        <f>Paths!$B$326</f>
        <v>3</v>
      </c>
      <c r="C3524" s="1">
        <v>8</v>
      </c>
      <c r="D3524" s="1">
        <v>326</v>
      </c>
      <c r="E3524" s="1">
        <f>IF(OR(Paths!$C$326=0,C3524=0),0,MAX(0,MIN(C3524*12,Paths!$E$326)-(C3524-1)*12))</f>
        <v>0</v>
      </c>
      <c r="F3524" s="1">
        <f>IF(OR(Paths!$C$326=0,C3524=0),0,12-E3524)</f>
        <v>0</v>
      </c>
      <c r="G3524" s="16">
        <f>IF(NOT(Paths!$C$326=1),0,IF(Paths!$P$326="Complete",E3524/12*(Paths!$J$326*(1+'Operating costs'!$B$51)^MAX(0,C3524-1)+Paths!$K$326*(1+'Operating costs'!$B$53)^MAX(0,C3524-1)),"n.a."))</f>
        <v>0</v>
      </c>
      <c r="H3524" s="16">
        <f>IF(NOT(Paths!$C$326=1),0,IF(Paths!$P$326="Complete",F3524/12*(Paths!$L$326*(1+IF(Paths!$D$326="EV",'Operating costs'!$B$52,'Operating costs'!$B$51))^MAX(0,C3524-1)+Paths!$M$326*(1+'Operating costs'!$B$53)^MAX(0,C3524-1)),"n.a."))</f>
        <v>0</v>
      </c>
      <c r="I3524" s="16">
        <f>IF(NOT(Paths!$C$326=1),0,IF(Paths!$P$326="Complete",IF(IF(Paths!$E$326=0,C3524=0,AND(C3524&gt;0,Paths!$E$326&gt;(C3524-1)*12,Paths!$E$326&lt;=C3524*12)),Paths!$G$326,0),"n.a."))</f>
        <v>0</v>
      </c>
      <c r="J3524" s="16">
        <f>IF(NOT(Paths!$C$326=1),0,IF(Paths!$P$326="Complete",IF(IF(Paths!$E$326=0,C3524=0,AND(C3524&gt;0,Paths!$E$326&gt;(C3524-1)*12,Paths!$E$326&lt;=C3524*12)),Paths!$H$326,0),"n.a."))</f>
        <v>0</v>
      </c>
      <c r="K3524" s="16">
        <f>IF(NOT(Paths!$C$326=1),0,IF(Paths!$P$326="Complete",IF(IF(Paths!$O$326=0,C3524=0,AND(C3524&gt;0,Paths!$O$326&gt;(C3524-1)*12,Paths!$O$326&lt;=C3524*12)),Paths!$N$326,0),"n.a."))</f>
        <v>0</v>
      </c>
      <c r="L3524" s="16">
        <f>IF(NOT(Paths!$C$326=1),0,IF(Paths!$P$326="Complete",IF(C3524=10,Paths!$I$326,0),"n.a."))</f>
        <v>0</v>
      </c>
      <c r="M3524" s="16">
        <f>IF(NOT(Paths!$C$326=1),0,IF(Paths!$P$326="Complete",IF(AND(Paths!$D$326="EV",Paths!$E$326&lt;120,Paths!$E$326+'Operating costs'!$B$65&gt;Paths!$E$326,Paths!$E$326+'Operating costs'!$B$65&lt;=120,IF(Paths!$E$326+'Operating costs'!$B$65=0,C3524=0,AND(C3524&gt;0,Paths!$E$326+'Operating costs'!$B$65&gt;(C3524-1)*12,Paths!$E$326+'Operating costs'!$B$65&lt;=C3524*12))),'Operating costs'!$B$64,0)+IF(AND('Operating costs'!$B$67&gt;0,'Operating costs'!$B$67&lt;=120,OR(Paths!$D$326="ICE",'Operating costs'!$B$67&lt;=Paths!$E$326),IF('Operating costs'!$B$67=0,C3524=0,AND(C3524&gt;0,'Operating costs'!$B$67&gt;(C3524-1)*12,'Operating costs'!$B$67&lt;=C3524*12))),'Operating costs'!$B$66,0),"n.a."))</f>
        <v>0</v>
      </c>
      <c r="N3524" s="16">
        <f>IF(NOT(Paths!$C$326=1),0,IF(Paths!$P$326="Complete",SUM(G3524:I3524)-J3524-K3524-L3524+M3524+IF(C3524=0,Paths!$F$326,0)+IF(IF(Paths!$E$326=0,C3524=0,AND(C3524&gt;0,Paths!$E$326&gt;(C3524-1)*12,Paths!$E$326&lt;=C3524*12)),VLOOKUP(A3524,'Fleet register'!$A$7:$S$106,16,FALSE),0),"n.a."))</f>
        <v>0</v>
      </c>
      <c r="O3524" s="16">
        <f>IF(NOT(Paths!$C$326=1),0,IF(Paths!$P$326="Complete",N3524-IF(C3524=0,Paths!$F$326,0),"n.a."))</f>
        <v>0</v>
      </c>
      <c r="P3524" s="16">
        <f>IF(NOT(Paths!$C$326=1),0,IF(Paths!$P$326="Complete",O3524+L3524,"n.a."))</f>
        <v>0</v>
      </c>
      <c r="Q3524" s="16">
        <f>IF(NOT(Paths!$C$326=1),0,IF(Paths!$P$326="Complete",N3524*(1+'Operating costs'!$B$54)^-C3524,"n.a."))</f>
        <v>0</v>
      </c>
      <c r="R3524" s="16">
        <f>IF(NOT(Paths!$C$326=1),0,IF(Paths!$P$326="Complete",IF(AND(C3524=0,Paths!$E$326=0),I3524-J3524-K3524+VLOOKUP(A3524,'Fleet register'!$A$7:$S$106,15,FALSE)+VLOOKUP(A3524,'Fleet register'!$A$7:$S$106,16,FALSE),0),"n.a."))</f>
        <v>0</v>
      </c>
      <c r="S3524" s="1">
        <f>IF(NOT(Paths!$C$326=1),0,IF(Paths!$P$326="Complete",IF(C3524=0,0,Paths!$S$326*Paths!$R$326),"n.a."))</f>
        <v>0</v>
      </c>
      <c r="T3524" s="1">
        <f>IF(NOT(Paths!$C$326=1),0,IF(Paths!$P$326="Complete",IF(C3524=0,0,VLOOKUP(A3524,'Fleet register'!$A$7:$S$106,9,FALSE)*Paths!$R$326),"n.a."))</f>
        <v>0</v>
      </c>
    </row>
    <row r="3525" spans="1:20" ht="24" customHeight="1">
      <c r="A3525" s="1" t="str">
        <f>Paths!$A$326</f>
        <v>T080</v>
      </c>
      <c r="B3525" s="1">
        <f>Paths!$B$326</f>
        <v>3</v>
      </c>
      <c r="C3525" s="1">
        <v>9</v>
      </c>
      <c r="D3525" s="1">
        <v>326</v>
      </c>
      <c r="E3525" s="1">
        <f>IF(OR(Paths!$C$326=0,C3525=0),0,MAX(0,MIN(C3525*12,Paths!$E$326)-(C3525-1)*12))</f>
        <v>0</v>
      </c>
      <c r="F3525" s="1">
        <f>IF(OR(Paths!$C$326=0,C3525=0),0,12-E3525)</f>
        <v>0</v>
      </c>
      <c r="G3525" s="16">
        <f>IF(NOT(Paths!$C$326=1),0,IF(Paths!$P$326="Complete",E3525/12*(Paths!$J$326*(1+'Operating costs'!$B$51)^MAX(0,C3525-1)+Paths!$K$326*(1+'Operating costs'!$B$53)^MAX(0,C3525-1)),"n.a."))</f>
        <v>0</v>
      </c>
      <c r="H3525" s="16">
        <f>IF(NOT(Paths!$C$326=1),0,IF(Paths!$P$326="Complete",F3525/12*(Paths!$L$326*(1+IF(Paths!$D$326="EV",'Operating costs'!$B$52,'Operating costs'!$B$51))^MAX(0,C3525-1)+Paths!$M$326*(1+'Operating costs'!$B$53)^MAX(0,C3525-1)),"n.a."))</f>
        <v>0</v>
      </c>
      <c r="I3525" s="16">
        <f>IF(NOT(Paths!$C$326=1),0,IF(Paths!$P$326="Complete",IF(IF(Paths!$E$326=0,C3525=0,AND(C3525&gt;0,Paths!$E$326&gt;(C3525-1)*12,Paths!$E$326&lt;=C3525*12)),Paths!$G$326,0),"n.a."))</f>
        <v>0</v>
      </c>
      <c r="J3525" s="16">
        <f>IF(NOT(Paths!$C$326=1),0,IF(Paths!$P$326="Complete",IF(IF(Paths!$E$326=0,C3525=0,AND(C3525&gt;0,Paths!$E$326&gt;(C3525-1)*12,Paths!$E$326&lt;=C3525*12)),Paths!$H$326,0),"n.a."))</f>
        <v>0</v>
      </c>
      <c r="K3525" s="16">
        <f>IF(NOT(Paths!$C$326=1),0,IF(Paths!$P$326="Complete",IF(IF(Paths!$O$326=0,C3525=0,AND(C3525&gt;0,Paths!$O$326&gt;(C3525-1)*12,Paths!$O$326&lt;=C3525*12)),Paths!$N$326,0),"n.a."))</f>
        <v>0</v>
      </c>
      <c r="L3525" s="16">
        <f>IF(NOT(Paths!$C$326=1),0,IF(Paths!$P$326="Complete",IF(C3525=10,Paths!$I$326,0),"n.a."))</f>
        <v>0</v>
      </c>
      <c r="M3525" s="16">
        <f>IF(NOT(Paths!$C$326=1),0,IF(Paths!$P$326="Complete",IF(AND(Paths!$D$326="EV",Paths!$E$326&lt;120,Paths!$E$326+'Operating costs'!$B$65&gt;Paths!$E$326,Paths!$E$326+'Operating costs'!$B$65&lt;=120,IF(Paths!$E$326+'Operating costs'!$B$65=0,C3525=0,AND(C3525&gt;0,Paths!$E$326+'Operating costs'!$B$65&gt;(C3525-1)*12,Paths!$E$326+'Operating costs'!$B$65&lt;=C3525*12))),'Operating costs'!$B$64,0)+IF(AND('Operating costs'!$B$67&gt;0,'Operating costs'!$B$67&lt;=120,OR(Paths!$D$326="ICE",'Operating costs'!$B$67&lt;=Paths!$E$326),IF('Operating costs'!$B$67=0,C3525=0,AND(C3525&gt;0,'Operating costs'!$B$67&gt;(C3525-1)*12,'Operating costs'!$B$67&lt;=C3525*12))),'Operating costs'!$B$66,0),"n.a."))</f>
        <v>0</v>
      </c>
      <c r="N3525" s="16">
        <f>IF(NOT(Paths!$C$326=1),0,IF(Paths!$P$326="Complete",SUM(G3525:I3525)-J3525-K3525-L3525+M3525+IF(C3525=0,Paths!$F$326,0)+IF(IF(Paths!$E$326=0,C3525=0,AND(C3525&gt;0,Paths!$E$326&gt;(C3525-1)*12,Paths!$E$326&lt;=C3525*12)),VLOOKUP(A3525,'Fleet register'!$A$7:$S$106,16,FALSE),0),"n.a."))</f>
        <v>0</v>
      </c>
      <c r="O3525" s="16">
        <f>IF(NOT(Paths!$C$326=1),0,IF(Paths!$P$326="Complete",N3525-IF(C3525=0,Paths!$F$326,0),"n.a."))</f>
        <v>0</v>
      </c>
      <c r="P3525" s="16">
        <f>IF(NOT(Paths!$C$326=1),0,IF(Paths!$P$326="Complete",O3525+L3525,"n.a."))</f>
        <v>0</v>
      </c>
      <c r="Q3525" s="16">
        <f>IF(NOT(Paths!$C$326=1),0,IF(Paths!$P$326="Complete",N3525*(1+'Operating costs'!$B$54)^-C3525,"n.a."))</f>
        <v>0</v>
      </c>
      <c r="R3525" s="16">
        <f>IF(NOT(Paths!$C$326=1),0,IF(Paths!$P$326="Complete",IF(AND(C3525=0,Paths!$E$326=0),I3525-J3525-K3525+VLOOKUP(A3525,'Fleet register'!$A$7:$S$106,15,FALSE)+VLOOKUP(A3525,'Fleet register'!$A$7:$S$106,16,FALSE),0),"n.a."))</f>
        <v>0</v>
      </c>
      <c r="S3525" s="1">
        <f>IF(NOT(Paths!$C$326=1),0,IF(Paths!$P$326="Complete",IF(C3525=0,0,Paths!$S$326*Paths!$R$326),"n.a."))</f>
        <v>0</v>
      </c>
      <c r="T3525" s="1">
        <f>IF(NOT(Paths!$C$326=1),0,IF(Paths!$P$326="Complete",IF(C3525=0,0,VLOOKUP(A3525,'Fleet register'!$A$7:$S$106,9,FALSE)*Paths!$R$326),"n.a."))</f>
        <v>0</v>
      </c>
    </row>
    <row r="3526" spans="1:20" ht="24" customHeight="1">
      <c r="A3526" s="1" t="str">
        <f>Paths!$A$326</f>
        <v>T080</v>
      </c>
      <c r="B3526" s="1">
        <f>Paths!$B$326</f>
        <v>3</v>
      </c>
      <c r="C3526" s="1">
        <v>10</v>
      </c>
      <c r="D3526" s="1">
        <v>326</v>
      </c>
      <c r="E3526" s="1">
        <f>IF(OR(Paths!$C$326=0,C3526=0),0,MAX(0,MIN(C3526*12,Paths!$E$326)-(C3526-1)*12))</f>
        <v>0</v>
      </c>
      <c r="F3526" s="1">
        <f>IF(OR(Paths!$C$326=0,C3526=0),0,12-E3526)</f>
        <v>0</v>
      </c>
      <c r="G3526" s="16">
        <f>IF(NOT(Paths!$C$326=1),0,IF(Paths!$P$326="Complete",E3526/12*(Paths!$J$326*(1+'Operating costs'!$B$51)^MAX(0,C3526-1)+Paths!$K$326*(1+'Operating costs'!$B$53)^MAX(0,C3526-1)),"n.a."))</f>
        <v>0</v>
      </c>
      <c r="H3526" s="16">
        <f>IF(NOT(Paths!$C$326=1),0,IF(Paths!$P$326="Complete",F3526/12*(Paths!$L$326*(1+IF(Paths!$D$326="EV",'Operating costs'!$B$52,'Operating costs'!$B$51))^MAX(0,C3526-1)+Paths!$M$326*(1+'Operating costs'!$B$53)^MAX(0,C3526-1)),"n.a."))</f>
        <v>0</v>
      </c>
      <c r="I3526" s="16">
        <f>IF(NOT(Paths!$C$326=1),0,IF(Paths!$P$326="Complete",IF(IF(Paths!$E$326=0,C3526=0,AND(C3526&gt;0,Paths!$E$326&gt;(C3526-1)*12,Paths!$E$326&lt;=C3526*12)),Paths!$G$326,0),"n.a."))</f>
        <v>0</v>
      </c>
      <c r="J3526" s="16">
        <f>IF(NOT(Paths!$C$326=1),0,IF(Paths!$P$326="Complete",IF(IF(Paths!$E$326=0,C3526=0,AND(C3526&gt;0,Paths!$E$326&gt;(C3526-1)*12,Paths!$E$326&lt;=C3526*12)),Paths!$H$326,0),"n.a."))</f>
        <v>0</v>
      </c>
      <c r="K3526" s="16">
        <f>IF(NOT(Paths!$C$326=1),0,IF(Paths!$P$326="Complete",IF(IF(Paths!$O$326=0,C3526=0,AND(C3526&gt;0,Paths!$O$326&gt;(C3526-1)*12,Paths!$O$326&lt;=C3526*12)),Paths!$N$326,0),"n.a."))</f>
        <v>0</v>
      </c>
      <c r="L3526" s="16">
        <f>IF(NOT(Paths!$C$326=1),0,IF(Paths!$P$326="Complete",IF(C3526=10,Paths!$I$326,0),"n.a."))</f>
        <v>0</v>
      </c>
      <c r="M3526" s="16">
        <f>IF(NOT(Paths!$C$326=1),0,IF(Paths!$P$326="Complete",IF(AND(Paths!$D$326="EV",Paths!$E$326&lt;120,Paths!$E$326+'Operating costs'!$B$65&gt;Paths!$E$326,Paths!$E$326+'Operating costs'!$B$65&lt;=120,IF(Paths!$E$326+'Operating costs'!$B$65=0,C3526=0,AND(C3526&gt;0,Paths!$E$326+'Operating costs'!$B$65&gt;(C3526-1)*12,Paths!$E$326+'Operating costs'!$B$65&lt;=C3526*12))),'Operating costs'!$B$64,0)+IF(AND('Operating costs'!$B$67&gt;0,'Operating costs'!$B$67&lt;=120,OR(Paths!$D$326="ICE",'Operating costs'!$B$67&lt;=Paths!$E$326),IF('Operating costs'!$B$67=0,C3526=0,AND(C3526&gt;0,'Operating costs'!$B$67&gt;(C3526-1)*12,'Operating costs'!$B$67&lt;=C3526*12))),'Operating costs'!$B$66,0),"n.a."))</f>
        <v>0</v>
      </c>
      <c r="N3526" s="16">
        <f>IF(NOT(Paths!$C$326=1),0,IF(Paths!$P$326="Complete",SUM(G3526:I3526)-J3526-K3526-L3526+M3526+IF(C3526=0,Paths!$F$326,0)+IF(IF(Paths!$E$326=0,C3526=0,AND(C3526&gt;0,Paths!$E$326&gt;(C3526-1)*12,Paths!$E$326&lt;=C3526*12)),VLOOKUP(A3526,'Fleet register'!$A$7:$S$106,16,FALSE),0),"n.a."))</f>
        <v>0</v>
      </c>
      <c r="O3526" s="16">
        <f>IF(NOT(Paths!$C$326=1),0,IF(Paths!$P$326="Complete",N3526-IF(C3526=0,Paths!$F$326,0),"n.a."))</f>
        <v>0</v>
      </c>
      <c r="P3526" s="16">
        <f>IF(NOT(Paths!$C$326=1),0,IF(Paths!$P$326="Complete",O3526+L3526,"n.a."))</f>
        <v>0</v>
      </c>
      <c r="Q3526" s="16">
        <f>IF(NOT(Paths!$C$326=1),0,IF(Paths!$P$326="Complete",N3526*(1+'Operating costs'!$B$54)^-C3526,"n.a."))</f>
        <v>0</v>
      </c>
      <c r="R3526" s="16">
        <f>IF(NOT(Paths!$C$326=1),0,IF(Paths!$P$326="Complete",IF(AND(C3526=0,Paths!$E$326=0),I3526-J3526-K3526+VLOOKUP(A3526,'Fleet register'!$A$7:$S$106,15,FALSE)+VLOOKUP(A3526,'Fleet register'!$A$7:$S$106,16,FALSE),0),"n.a."))</f>
        <v>0</v>
      </c>
      <c r="S3526" s="1">
        <f>IF(NOT(Paths!$C$326=1),0,IF(Paths!$P$326="Complete",IF(C3526=0,0,Paths!$S$326*Paths!$R$326),"n.a."))</f>
        <v>0</v>
      </c>
      <c r="T3526" s="1">
        <f>IF(NOT(Paths!$C$326=1),0,IF(Paths!$P$326="Complete",IF(C3526=0,0,VLOOKUP(A3526,'Fleet register'!$A$7:$S$106,9,FALSE)*Paths!$R$326),"n.a."))</f>
        <v>0</v>
      </c>
    </row>
    <row r="3527" spans="1:20" ht="24" customHeight="1">
      <c r="A3527" s="1" t="str">
        <f>Paths!$A$327</f>
        <v>T081</v>
      </c>
      <c r="B3527" s="1">
        <f>Paths!$B$327</f>
        <v>0</v>
      </c>
      <c r="C3527" s="1">
        <v>0</v>
      </c>
      <c r="D3527" s="1">
        <v>327</v>
      </c>
      <c r="E3527" s="1">
        <f>IF(OR(Paths!$C$327=0,C3527=0),0,MAX(0,MIN(C3527*12,Paths!$E$327)-(C3527-1)*12))</f>
        <v>0</v>
      </c>
      <c r="F3527" s="1">
        <f>IF(OR(Paths!$C$327=0,C3527=0),0,12-E3527)</f>
        <v>0</v>
      </c>
      <c r="G3527" s="16">
        <f>IF(NOT(Paths!$C$327=1),0,IF(Paths!$P$327="Complete",E3527/12*(Paths!$J$327*(1+'Operating costs'!$B$51)^MAX(0,C3527-1)+Paths!$K$327*(1+'Operating costs'!$B$53)^MAX(0,C3527-1)),"n.a."))</f>
        <v>0</v>
      </c>
      <c r="H3527" s="16">
        <f>IF(NOT(Paths!$C$327=1),0,IF(Paths!$P$327="Complete",F3527/12*(Paths!$L$327*(1+IF(Paths!$D$327="EV",'Operating costs'!$B$52,'Operating costs'!$B$51))^MAX(0,C3527-1)+Paths!$M$327*(1+'Operating costs'!$B$53)^MAX(0,C3527-1)),"n.a."))</f>
        <v>0</v>
      </c>
      <c r="I3527" s="16">
        <f>IF(NOT(Paths!$C$327=1),0,IF(Paths!$P$327="Complete",IF(IF(Paths!$E$327=0,C3527=0,AND(C3527&gt;0,Paths!$E$327&gt;(C3527-1)*12,Paths!$E$327&lt;=C3527*12)),Paths!$G$327,0),"n.a."))</f>
        <v>0</v>
      </c>
      <c r="J3527" s="16">
        <f>IF(NOT(Paths!$C$327=1),0,IF(Paths!$P$327="Complete",IF(IF(Paths!$E$327=0,C3527=0,AND(C3527&gt;0,Paths!$E$327&gt;(C3527-1)*12,Paths!$E$327&lt;=C3527*12)),Paths!$H$327,0),"n.a."))</f>
        <v>0</v>
      </c>
      <c r="K3527" s="16">
        <f>IF(NOT(Paths!$C$327=1),0,IF(Paths!$P$327="Complete",IF(IF(Paths!$O$327=0,C3527=0,AND(C3527&gt;0,Paths!$O$327&gt;(C3527-1)*12,Paths!$O$327&lt;=C3527*12)),Paths!$N$327,0),"n.a."))</f>
        <v>0</v>
      </c>
      <c r="L3527" s="16">
        <f>IF(NOT(Paths!$C$327=1),0,IF(Paths!$P$327="Complete",IF(C3527=10,Paths!$I$327,0),"n.a."))</f>
        <v>0</v>
      </c>
      <c r="M3527" s="16">
        <f>IF(NOT(Paths!$C$327=1),0,IF(Paths!$P$327="Complete",IF(AND(Paths!$D$327="EV",Paths!$E$327&lt;120,Paths!$E$327+'Operating costs'!$B$65&gt;Paths!$E$327,Paths!$E$327+'Operating costs'!$B$65&lt;=120,IF(Paths!$E$327+'Operating costs'!$B$65=0,C3527=0,AND(C3527&gt;0,Paths!$E$327+'Operating costs'!$B$65&gt;(C3527-1)*12,Paths!$E$327+'Operating costs'!$B$65&lt;=C3527*12))),'Operating costs'!$B$64,0)+IF(AND('Operating costs'!$B$67&gt;0,'Operating costs'!$B$67&lt;=120,OR(Paths!$D$327="ICE",'Operating costs'!$B$67&lt;=Paths!$E$327),IF('Operating costs'!$B$67=0,C3527=0,AND(C3527&gt;0,'Operating costs'!$B$67&gt;(C3527-1)*12,'Operating costs'!$B$67&lt;=C3527*12))),'Operating costs'!$B$66,0),"n.a."))</f>
        <v>0</v>
      </c>
      <c r="N3527" s="16">
        <f>IF(NOT(Paths!$C$327=1),0,IF(Paths!$P$327="Complete",SUM(G3527:I3527)-J3527-K3527-L3527+M3527+IF(C3527=0,Paths!$F$327,0)+IF(IF(Paths!$E$327=0,C3527=0,AND(C3527&gt;0,Paths!$E$327&gt;(C3527-1)*12,Paths!$E$327&lt;=C3527*12)),VLOOKUP(A3527,'Fleet register'!$A$7:$S$106,16,FALSE),0),"n.a."))</f>
        <v>0</v>
      </c>
      <c r="O3527" s="16">
        <f>IF(NOT(Paths!$C$327=1),0,IF(Paths!$P$327="Complete",N3527-IF(C3527=0,Paths!$F$327,0),"n.a."))</f>
        <v>0</v>
      </c>
      <c r="P3527" s="16">
        <f>IF(NOT(Paths!$C$327=1),0,IF(Paths!$P$327="Complete",O3527+L3527,"n.a."))</f>
        <v>0</v>
      </c>
      <c r="Q3527" s="16">
        <f>IF(NOT(Paths!$C$327=1),0,IF(Paths!$P$327="Complete",N3527*(1+'Operating costs'!$B$54)^-C3527,"n.a."))</f>
        <v>0</v>
      </c>
      <c r="R3527" s="16">
        <f>IF(NOT(Paths!$C$327=1),0,IF(Paths!$P$327="Complete",IF(AND(C3527=0,Paths!$E$327=0),I3527-J3527-K3527+VLOOKUP(A3527,'Fleet register'!$A$7:$S$106,15,FALSE)+VLOOKUP(A3527,'Fleet register'!$A$7:$S$106,16,FALSE),0),"n.a."))</f>
        <v>0</v>
      </c>
      <c r="S3527" s="1">
        <f>IF(NOT(Paths!$C$327=1),0,IF(Paths!$P$327="Complete",IF(C3527=0,0,Paths!$S$327*Paths!$R$327),"n.a."))</f>
        <v>0</v>
      </c>
      <c r="T3527" s="1">
        <f>IF(NOT(Paths!$C$327=1),0,IF(Paths!$P$327="Complete",IF(C3527=0,0,VLOOKUP(A3527,'Fleet register'!$A$7:$S$106,9,FALSE)*Paths!$R$327),"n.a."))</f>
        <v>0</v>
      </c>
    </row>
    <row r="3528" spans="1:20" ht="24" customHeight="1">
      <c r="A3528" s="1" t="str">
        <f>Paths!$A$327</f>
        <v>T081</v>
      </c>
      <c r="B3528" s="1">
        <f>Paths!$B$327</f>
        <v>0</v>
      </c>
      <c r="C3528" s="1">
        <v>1</v>
      </c>
      <c r="D3528" s="1">
        <v>327</v>
      </c>
      <c r="E3528" s="1">
        <f>IF(OR(Paths!$C$327=0,C3528=0),0,MAX(0,MIN(C3528*12,Paths!$E$327)-(C3528-1)*12))</f>
        <v>0</v>
      </c>
      <c r="F3528" s="1">
        <f>IF(OR(Paths!$C$327=0,C3528=0),0,12-E3528)</f>
        <v>0</v>
      </c>
      <c r="G3528" s="16">
        <f>IF(NOT(Paths!$C$327=1),0,IF(Paths!$P$327="Complete",E3528/12*(Paths!$J$327*(1+'Operating costs'!$B$51)^MAX(0,C3528-1)+Paths!$K$327*(1+'Operating costs'!$B$53)^MAX(0,C3528-1)),"n.a."))</f>
        <v>0</v>
      </c>
      <c r="H3528" s="16">
        <f>IF(NOT(Paths!$C$327=1),0,IF(Paths!$P$327="Complete",F3528/12*(Paths!$L$327*(1+IF(Paths!$D$327="EV",'Operating costs'!$B$52,'Operating costs'!$B$51))^MAX(0,C3528-1)+Paths!$M$327*(1+'Operating costs'!$B$53)^MAX(0,C3528-1)),"n.a."))</f>
        <v>0</v>
      </c>
      <c r="I3528" s="16">
        <f>IF(NOT(Paths!$C$327=1),0,IF(Paths!$P$327="Complete",IF(IF(Paths!$E$327=0,C3528=0,AND(C3528&gt;0,Paths!$E$327&gt;(C3528-1)*12,Paths!$E$327&lt;=C3528*12)),Paths!$G$327,0),"n.a."))</f>
        <v>0</v>
      </c>
      <c r="J3528" s="16">
        <f>IF(NOT(Paths!$C$327=1),0,IF(Paths!$P$327="Complete",IF(IF(Paths!$E$327=0,C3528=0,AND(C3528&gt;0,Paths!$E$327&gt;(C3528-1)*12,Paths!$E$327&lt;=C3528*12)),Paths!$H$327,0),"n.a."))</f>
        <v>0</v>
      </c>
      <c r="K3528" s="16">
        <f>IF(NOT(Paths!$C$327=1),0,IF(Paths!$P$327="Complete",IF(IF(Paths!$O$327=0,C3528=0,AND(C3528&gt;0,Paths!$O$327&gt;(C3528-1)*12,Paths!$O$327&lt;=C3528*12)),Paths!$N$327,0),"n.a."))</f>
        <v>0</v>
      </c>
      <c r="L3528" s="16">
        <f>IF(NOT(Paths!$C$327=1),0,IF(Paths!$P$327="Complete",IF(C3528=10,Paths!$I$327,0),"n.a."))</f>
        <v>0</v>
      </c>
      <c r="M3528" s="16">
        <f>IF(NOT(Paths!$C$327=1),0,IF(Paths!$P$327="Complete",IF(AND(Paths!$D$327="EV",Paths!$E$327&lt;120,Paths!$E$327+'Operating costs'!$B$65&gt;Paths!$E$327,Paths!$E$327+'Operating costs'!$B$65&lt;=120,IF(Paths!$E$327+'Operating costs'!$B$65=0,C3528=0,AND(C3528&gt;0,Paths!$E$327+'Operating costs'!$B$65&gt;(C3528-1)*12,Paths!$E$327+'Operating costs'!$B$65&lt;=C3528*12))),'Operating costs'!$B$64,0)+IF(AND('Operating costs'!$B$67&gt;0,'Operating costs'!$B$67&lt;=120,OR(Paths!$D$327="ICE",'Operating costs'!$B$67&lt;=Paths!$E$327),IF('Operating costs'!$B$67=0,C3528=0,AND(C3528&gt;0,'Operating costs'!$B$67&gt;(C3528-1)*12,'Operating costs'!$B$67&lt;=C3528*12))),'Operating costs'!$B$66,0),"n.a."))</f>
        <v>0</v>
      </c>
      <c r="N3528" s="16">
        <f>IF(NOT(Paths!$C$327=1),0,IF(Paths!$P$327="Complete",SUM(G3528:I3528)-J3528-K3528-L3528+M3528+IF(C3528=0,Paths!$F$327,0)+IF(IF(Paths!$E$327=0,C3528=0,AND(C3528&gt;0,Paths!$E$327&gt;(C3528-1)*12,Paths!$E$327&lt;=C3528*12)),VLOOKUP(A3528,'Fleet register'!$A$7:$S$106,16,FALSE),0),"n.a."))</f>
        <v>0</v>
      </c>
      <c r="O3528" s="16">
        <f>IF(NOT(Paths!$C$327=1),0,IF(Paths!$P$327="Complete",N3528-IF(C3528=0,Paths!$F$327,0),"n.a."))</f>
        <v>0</v>
      </c>
      <c r="P3528" s="16">
        <f>IF(NOT(Paths!$C$327=1),0,IF(Paths!$P$327="Complete",O3528+L3528,"n.a."))</f>
        <v>0</v>
      </c>
      <c r="Q3528" s="16">
        <f>IF(NOT(Paths!$C$327=1),0,IF(Paths!$P$327="Complete",N3528*(1+'Operating costs'!$B$54)^-C3528,"n.a."))</f>
        <v>0</v>
      </c>
      <c r="R3528" s="16">
        <f>IF(NOT(Paths!$C$327=1),0,IF(Paths!$P$327="Complete",IF(AND(C3528=0,Paths!$E$327=0),I3528-J3528-K3528+VLOOKUP(A3528,'Fleet register'!$A$7:$S$106,15,FALSE)+VLOOKUP(A3528,'Fleet register'!$A$7:$S$106,16,FALSE),0),"n.a."))</f>
        <v>0</v>
      </c>
      <c r="S3528" s="1">
        <f>IF(NOT(Paths!$C$327=1),0,IF(Paths!$P$327="Complete",IF(C3528=0,0,Paths!$S$327*Paths!$R$327),"n.a."))</f>
        <v>0</v>
      </c>
      <c r="T3528" s="1">
        <f>IF(NOT(Paths!$C$327=1),0,IF(Paths!$P$327="Complete",IF(C3528=0,0,VLOOKUP(A3528,'Fleet register'!$A$7:$S$106,9,FALSE)*Paths!$R$327),"n.a."))</f>
        <v>0</v>
      </c>
    </row>
    <row r="3529" spans="1:20" ht="24" customHeight="1">
      <c r="A3529" s="1" t="str">
        <f>Paths!$A$327</f>
        <v>T081</v>
      </c>
      <c r="B3529" s="1">
        <f>Paths!$B$327</f>
        <v>0</v>
      </c>
      <c r="C3529" s="1">
        <v>2</v>
      </c>
      <c r="D3529" s="1">
        <v>327</v>
      </c>
      <c r="E3529" s="1">
        <f>IF(OR(Paths!$C$327=0,C3529=0),0,MAX(0,MIN(C3529*12,Paths!$E$327)-(C3529-1)*12))</f>
        <v>0</v>
      </c>
      <c r="F3529" s="1">
        <f>IF(OR(Paths!$C$327=0,C3529=0),0,12-E3529)</f>
        <v>0</v>
      </c>
      <c r="G3529" s="16">
        <f>IF(NOT(Paths!$C$327=1),0,IF(Paths!$P$327="Complete",E3529/12*(Paths!$J$327*(1+'Operating costs'!$B$51)^MAX(0,C3529-1)+Paths!$K$327*(1+'Operating costs'!$B$53)^MAX(0,C3529-1)),"n.a."))</f>
        <v>0</v>
      </c>
      <c r="H3529" s="16">
        <f>IF(NOT(Paths!$C$327=1),0,IF(Paths!$P$327="Complete",F3529/12*(Paths!$L$327*(1+IF(Paths!$D$327="EV",'Operating costs'!$B$52,'Operating costs'!$B$51))^MAX(0,C3529-1)+Paths!$M$327*(1+'Operating costs'!$B$53)^MAX(0,C3529-1)),"n.a."))</f>
        <v>0</v>
      </c>
      <c r="I3529" s="16">
        <f>IF(NOT(Paths!$C$327=1),0,IF(Paths!$P$327="Complete",IF(IF(Paths!$E$327=0,C3529=0,AND(C3529&gt;0,Paths!$E$327&gt;(C3529-1)*12,Paths!$E$327&lt;=C3529*12)),Paths!$G$327,0),"n.a."))</f>
        <v>0</v>
      </c>
      <c r="J3529" s="16">
        <f>IF(NOT(Paths!$C$327=1),0,IF(Paths!$P$327="Complete",IF(IF(Paths!$E$327=0,C3529=0,AND(C3529&gt;0,Paths!$E$327&gt;(C3529-1)*12,Paths!$E$327&lt;=C3529*12)),Paths!$H$327,0),"n.a."))</f>
        <v>0</v>
      </c>
      <c r="K3529" s="16">
        <f>IF(NOT(Paths!$C$327=1),0,IF(Paths!$P$327="Complete",IF(IF(Paths!$O$327=0,C3529=0,AND(C3529&gt;0,Paths!$O$327&gt;(C3529-1)*12,Paths!$O$327&lt;=C3529*12)),Paths!$N$327,0),"n.a."))</f>
        <v>0</v>
      </c>
      <c r="L3529" s="16">
        <f>IF(NOT(Paths!$C$327=1),0,IF(Paths!$P$327="Complete",IF(C3529=10,Paths!$I$327,0),"n.a."))</f>
        <v>0</v>
      </c>
      <c r="M3529" s="16">
        <f>IF(NOT(Paths!$C$327=1),0,IF(Paths!$P$327="Complete",IF(AND(Paths!$D$327="EV",Paths!$E$327&lt;120,Paths!$E$327+'Operating costs'!$B$65&gt;Paths!$E$327,Paths!$E$327+'Operating costs'!$B$65&lt;=120,IF(Paths!$E$327+'Operating costs'!$B$65=0,C3529=0,AND(C3529&gt;0,Paths!$E$327+'Operating costs'!$B$65&gt;(C3529-1)*12,Paths!$E$327+'Operating costs'!$B$65&lt;=C3529*12))),'Operating costs'!$B$64,0)+IF(AND('Operating costs'!$B$67&gt;0,'Operating costs'!$B$67&lt;=120,OR(Paths!$D$327="ICE",'Operating costs'!$B$67&lt;=Paths!$E$327),IF('Operating costs'!$B$67=0,C3529=0,AND(C3529&gt;0,'Operating costs'!$B$67&gt;(C3529-1)*12,'Operating costs'!$B$67&lt;=C3529*12))),'Operating costs'!$B$66,0),"n.a."))</f>
        <v>0</v>
      </c>
      <c r="N3529" s="16">
        <f>IF(NOT(Paths!$C$327=1),0,IF(Paths!$P$327="Complete",SUM(G3529:I3529)-J3529-K3529-L3529+M3529+IF(C3529=0,Paths!$F$327,0)+IF(IF(Paths!$E$327=0,C3529=0,AND(C3529&gt;0,Paths!$E$327&gt;(C3529-1)*12,Paths!$E$327&lt;=C3529*12)),VLOOKUP(A3529,'Fleet register'!$A$7:$S$106,16,FALSE),0),"n.a."))</f>
        <v>0</v>
      </c>
      <c r="O3529" s="16">
        <f>IF(NOT(Paths!$C$327=1),0,IF(Paths!$P$327="Complete",N3529-IF(C3529=0,Paths!$F$327,0),"n.a."))</f>
        <v>0</v>
      </c>
      <c r="P3529" s="16">
        <f>IF(NOT(Paths!$C$327=1),0,IF(Paths!$P$327="Complete",O3529+L3529,"n.a."))</f>
        <v>0</v>
      </c>
      <c r="Q3529" s="16">
        <f>IF(NOT(Paths!$C$327=1),0,IF(Paths!$P$327="Complete",N3529*(1+'Operating costs'!$B$54)^-C3529,"n.a."))</f>
        <v>0</v>
      </c>
      <c r="R3529" s="16">
        <f>IF(NOT(Paths!$C$327=1),0,IF(Paths!$P$327="Complete",IF(AND(C3529=0,Paths!$E$327=0),I3529-J3529-K3529+VLOOKUP(A3529,'Fleet register'!$A$7:$S$106,15,FALSE)+VLOOKUP(A3529,'Fleet register'!$A$7:$S$106,16,FALSE),0),"n.a."))</f>
        <v>0</v>
      </c>
      <c r="S3529" s="1">
        <f>IF(NOT(Paths!$C$327=1),0,IF(Paths!$P$327="Complete",IF(C3529=0,0,Paths!$S$327*Paths!$R$327),"n.a."))</f>
        <v>0</v>
      </c>
      <c r="T3529" s="1">
        <f>IF(NOT(Paths!$C$327=1),0,IF(Paths!$P$327="Complete",IF(C3529=0,0,VLOOKUP(A3529,'Fleet register'!$A$7:$S$106,9,FALSE)*Paths!$R$327),"n.a."))</f>
        <v>0</v>
      </c>
    </row>
    <row r="3530" spans="1:20" ht="24" customHeight="1">
      <c r="A3530" s="1" t="str">
        <f>Paths!$A$327</f>
        <v>T081</v>
      </c>
      <c r="B3530" s="1">
        <f>Paths!$B$327</f>
        <v>0</v>
      </c>
      <c r="C3530" s="1">
        <v>3</v>
      </c>
      <c r="D3530" s="1">
        <v>327</v>
      </c>
      <c r="E3530" s="1">
        <f>IF(OR(Paths!$C$327=0,C3530=0),0,MAX(0,MIN(C3530*12,Paths!$E$327)-(C3530-1)*12))</f>
        <v>0</v>
      </c>
      <c r="F3530" s="1">
        <f>IF(OR(Paths!$C$327=0,C3530=0),0,12-E3530)</f>
        <v>0</v>
      </c>
      <c r="G3530" s="16">
        <f>IF(NOT(Paths!$C$327=1),0,IF(Paths!$P$327="Complete",E3530/12*(Paths!$J$327*(1+'Operating costs'!$B$51)^MAX(0,C3530-1)+Paths!$K$327*(1+'Operating costs'!$B$53)^MAX(0,C3530-1)),"n.a."))</f>
        <v>0</v>
      </c>
      <c r="H3530" s="16">
        <f>IF(NOT(Paths!$C$327=1),0,IF(Paths!$P$327="Complete",F3530/12*(Paths!$L$327*(1+IF(Paths!$D$327="EV",'Operating costs'!$B$52,'Operating costs'!$B$51))^MAX(0,C3530-1)+Paths!$M$327*(1+'Operating costs'!$B$53)^MAX(0,C3530-1)),"n.a."))</f>
        <v>0</v>
      </c>
      <c r="I3530" s="16">
        <f>IF(NOT(Paths!$C$327=1),0,IF(Paths!$P$327="Complete",IF(IF(Paths!$E$327=0,C3530=0,AND(C3530&gt;0,Paths!$E$327&gt;(C3530-1)*12,Paths!$E$327&lt;=C3530*12)),Paths!$G$327,0),"n.a."))</f>
        <v>0</v>
      </c>
      <c r="J3530" s="16">
        <f>IF(NOT(Paths!$C$327=1),0,IF(Paths!$P$327="Complete",IF(IF(Paths!$E$327=0,C3530=0,AND(C3530&gt;0,Paths!$E$327&gt;(C3530-1)*12,Paths!$E$327&lt;=C3530*12)),Paths!$H$327,0),"n.a."))</f>
        <v>0</v>
      </c>
      <c r="K3530" s="16">
        <f>IF(NOT(Paths!$C$327=1),0,IF(Paths!$P$327="Complete",IF(IF(Paths!$O$327=0,C3530=0,AND(C3530&gt;0,Paths!$O$327&gt;(C3530-1)*12,Paths!$O$327&lt;=C3530*12)),Paths!$N$327,0),"n.a."))</f>
        <v>0</v>
      </c>
      <c r="L3530" s="16">
        <f>IF(NOT(Paths!$C$327=1),0,IF(Paths!$P$327="Complete",IF(C3530=10,Paths!$I$327,0),"n.a."))</f>
        <v>0</v>
      </c>
      <c r="M3530" s="16">
        <f>IF(NOT(Paths!$C$327=1),0,IF(Paths!$P$327="Complete",IF(AND(Paths!$D$327="EV",Paths!$E$327&lt;120,Paths!$E$327+'Operating costs'!$B$65&gt;Paths!$E$327,Paths!$E$327+'Operating costs'!$B$65&lt;=120,IF(Paths!$E$327+'Operating costs'!$B$65=0,C3530=0,AND(C3530&gt;0,Paths!$E$327+'Operating costs'!$B$65&gt;(C3530-1)*12,Paths!$E$327+'Operating costs'!$B$65&lt;=C3530*12))),'Operating costs'!$B$64,0)+IF(AND('Operating costs'!$B$67&gt;0,'Operating costs'!$B$67&lt;=120,OR(Paths!$D$327="ICE",'Operating costs'!$B$67&lt;=Paths!$E$327),IF('Operating costs'!$B$67=0,C3530=0,AND(C3530&gt;0,'Operating costs'!$B$67&gt;(C3530-1)*12,'Operating costs'!$B$67&lt;=C3530*12))),'Operating costs'!$B$66,0),"n.a."))</f>
        <v>0</v>
      </c>
      <c r="N3530" s="16">
        <f>IF(NOT(Paths!$C$327=1),0,IF(Paths!$P$327="Complete",SUM(G3530:I3530)-J3530-K3530-L3530+M3530+IF(C3530=0,Paths!$F$327,0)+IF(IF(Paths!$E$327=0,C3530=0,AND(C3530&gt;0,Paths!$E$327&gt;(C3530-1)*12,Paths!$E$327&lt;=C3530*12)),VLOOKUP(A3530,'Fleet register'!$A$7:$S$106,16,FALSE),0),"n.a."))</f>
        <v>0</v>
      </c>
      <c r="O3530" s="16">
        <f>IF(NOT(Paths!$C$327=1),0,IF(Paths!$P$327="Complete",N3530-IF(C3530=0,Paths!$F$327,0),"n.a."))</f>
        <v>0</v>
      </c>
      <c r="P3530" s="16">
        <f>IF(NOT(Paths!$C$327=1),0,IF(Paths!$P$327="Complete",O3530+L3530,"n.a."))</f>
        <v>0</v>
      </c>
      <c r="Q3530" s="16">
        <f>IF(NOT(Paths!$C$327=1),0,IF(Paths!$P$327="Complete",N3530*(1+'Operating costs'!$B$54)^-C3530,"n.a."))</f>
        <v>0</v>
      </c>
      <c r="R3530" s="16">
        <f>IF(NOT(Paths!$C$327=1),0,IF(Paths!$P$327="Complete",IF(AND(C3530=0,Paths!$E$327=0),I3530-J3530-K3530+VLOOKUP(A3530,'Fleet register'!$A$7:$S$106,15,FALSE)+VLOOKUP(A3530,'Fleet register'!$A$7:$S$106,16,FALSE),0),"n.a."))</f>
        <v>0</v>
      </c>
      <c r="S3530" s="1">
        <f>IF(NOT(Paths!$C$327=1),0,IF(Paths!$P$327="Complete",IF(C3530=0,0,Paths!$S$327*Paths!$R$327),"n.a."))</f>
        <v>0</v>
      </c>
      <c r="T3530" s="1">
        <f>IF(NOT(Paths!$C$327=1),0,IF(Paths!$P$327="Complete",IF(C3530=0,0,VLOOKUP(A3530,'Fleet register'!$A$7:$S$106,9,FALSE)*Paths!$R$327),"n.a."))</f>
        <v>0</v>
      </c>
    </row>
    <row r="3531" spans="1:20" ht="24" customHeight="1">
      <c r="A3531" s="1" t="str">
        <f>Paths!$A$327</f>
        <v>T081</v>
      </c>
      <c r="B3531" s="1">
        <f>Paths!$B$327</f>
        <v>0</v>
      </c>
      <c r="C3531" s="1">
        <v>4</v>
      </c>
      <c r="D3531" s="1">
        <v>327</v>
      </c>
      <c r="E3531" s="1">
        <f>IF(OR(Paths!$C$327=0,C3531=0),0,MAX(0,MIN(C3531*12,Paths!$E$327)-(C3531-1)*12))</f>
        <v>0</v>
      </c>
      <c r="F3531" s="1">
        <f>IF(OR(Paths!$C$327=0,C3531=0),0,12-E3531)</f>
        <v>0</v>
      </c>
      <c r="G3531" s="16">
        <f>IF(NOT(Paths!$C$327=1),0,IF(Paths!$P$327="Complete",E3531/12*(Paths!$J$327*(1+'Operating costs'!$B$51)^MAX(0,C3531-1)+Paths!$K$327*(1+'Operating costs'!$B$53)^MAX(0,C3531-1)),"n.a."))</f>
        <v>0</v>
      </c>
      <c r="H3531" s="16">
        <f>IF(NOT(Paths!$C$327=1),0,IF(Paths!$P$327="Complete",F3531/12*(Paths!$L$327*(1+IF(Paths!$D$327="EV",'Operating costs'!$B$52,'Operating costs'!$B$51))^MAX(0,C3531-1)+Paths!$M$327*(1+'Operating costs'!$B$53)^MAX(0,C3531-1)),"n.a."))</f>
        <v>0</v>
      </c>
      <c r="I3531" s="16">
        <f>IF(NOT(Paths!$C$327=1),0,IF(Paths!$P$327="Complete",IF(IF(Paths!$E$327=0,C3531=0,AND(C3531&gt;0,Paths!$E$327&gt;(C3531-1)*12,Paths!$E$327&lt;=C3531*12)),Paths!$G$327,0),"n.a."))</f>
        <v>0</v>
      </c>
      <c r="J3531" s="16">
        <f>IF(NOT(Paths!$C$327=1),0,IF(Paths!$P$327="Complete",IF(IF(Paths!$E$327=0,C3531=0,AND(C3531&gt;0,Paths!$E$327&gt;(C3531-1)*12,Paths!$E$327&lt;=C3531*12)),Paths!$H$327,0),"n.a."))</f>
        <v>0</v>
      </c>
      <c r="K3531" s="16">
        <f>IF(NOT(Paths!$C$327=1),0,IF(Paths!$P$327="Complete",IF(IF(Paths!$O$327=0,C3531=0,AND(C3531&gt;0,Paths!$O$327&gt;(C3531-1)*12,Paths!$O$327&lt;=C3531*12)),Paths!$N$327,0),"n.a."))</f>
        <v>0</v>
      </c>
      <c r="L3531" s="16">
        <f>IF(NOT(Paths!$C$327=1),0,IF(Paths!$P$327="Complete",IF(C3531=10,Paths!$I$327,0),"n.a."))</f>
        <v>0</v>
      </c>
      <c r="M3531" s="16">
        <f>IF(NOT(Paths!$C$327=1),0,IF(Paths!$P$327="Complete",IF(AND(Paths!$D$327="EV",Paths!$E$327&lt;120,Paths!$E$327+'Operating costs'!$B$65&gt;Paths!$E$327,Paths!$E$327+'Operating costs'!$B$65&lt;=120,IF(Paths!$E$327+'Operating costs'!$B$65=0,C3531=0,AND(C3531&gt;0,Paths!$E$327+'Operating costs'!$B$65&gt;(C3531-1)*12,Paths!$E$327+'Operating costs'!$B$65&lt;=C3531*12))),'Operating costs'!$B$64,0)+IF(AND('Operating costs'!$B$67&gt;0,'Operating costs'!$B$67&lt;=120,OR(Paths!$D$327="ICE",'Operating costs'!$B$67&lt;=Paths!$E$327),IF('Operating costs'!$B$67=0,C3531=0,AND(C3531&gt;0,'Operating costs'!$B$67&gt;(C3531-1)*12,'Operating costs'!$B$67&lt;=C3531*12))),'Operating costs'!$B$66,0),"n.a."))</f>
        <v>0</v>
      </c>
      <c r="N3531" s="16">
        <f>IF(NOT(Paths!$C$327=1),0,IF(Paths!$P$327="Complete",SUM(G3531:I3531)-J3531-K3531-L3531+M3531+IF(C3531=0,Paths!$F$327,0)+IF(IF(Paths!$E$327=0,C3531=0,AND(C3531&gt;0,Paths!$E$327&gt;(C3531-1)*12,Paths!$E$327&lt;=C3531*12)),VLOOKUP(A3531,'Fleet register'!$A$7:$S$106,16,FALSE),0),"n.a."))</f>
        <v>0</v>
      </c>
      <c r="O3531" s="16">
        <f>IF(NOT(Paths!$C$327=1),0,IF(Paths!$P$327="Complete",N3531-IF(C3531=0,Paths!$F$327,0),"n.a."))</f>
        <v>0</v>
      </c>
      <c r="P3531" s="16">
        <f>IF(NOT(Paths!$C$327=1),0,IF(Paths!$P$327="Complete",O3531+L3531,"n.a."))</f>
        <v>0</v>
      </c>
      <c r="Q3531" s="16">
        <f>IF(NOT(Paths!$C$327=1),0,IF(Paths!$P$327="Complete",N3531*(1+'Operating costs'!$B$54)^-C3531,"n.a."))</f>
        <v>0</v>
      </c>
      <c r="R3531" s="16">
        <f>IF(NOT(Paths!$C$327=1),0,IF(Paths!$P$327="Complete",IF(AND(C3531=0,Paths!$E$327=0),I3531-J3531-K3531+VLOOKUP(A3531,'Fleet register'!$A$7:$S$106,15,FALSE)+VLOOKUP(A3531,'Fleet register'!$A$7:$S$106,16,FALSE),0),"n.a."))</f>
        <v>0</v>
      </c>
      <c r="S3531" s="1">
        <f>IF(NOT(Paths!$C$327=1),0,IF(Paths!$P$327="Complete",IF(C3531=0,0,Paths!$S$327*Paths!$R$327),"n.a."))</f>
        <v>0</v>
      </c>
      <c r="T3531" s="1">
        <f>IF(NOT(Paths!$C$327=1),0,IF(Paths!$P$327="Complete",IF(C3531=0,0,VLOOKUP(A3531,'Fleet register'!$A$7:$S$106,9,FALSE)*Paths!$R$327),"n.a."))</f>
        <v>0</v>
      </c>
    </row>
    <row r="3532" spans="1:20" ht="24" customHeight="1">
      <c r="A3532" s="1" t="str">
        <f>Paths!$A$327</f>
        <v>T081</v>
      </c>
      <c r="B3532" s="1">
        <f>Paths!$B$327</f>
        <v>0</v>
      </c>
      <c r="C3532" s="1">
        <v>5</v>
      </c>
      <c r="D3532" s="1">
        <v>327</v>
      </c>
      <c r="E3532" s="1">
        <f>IF(OR(Paths!$C$327=0,C3532=0),0,MAX(0,MIN(C3532*12,Paths!$E$327)-(C3532-1)*12))</f>
        <v>0</v>
      </c>
      <c r="F3532" s="1">
        <f>IF(OR(Paths!$C$327=0,C3532=0),0,12-E3532)</f>
        <v>0</v>
      </c>
      <c r="G3532" s="16">
        <f>IF(NOT(Paths!$C$327=1),0,IF(Paths!$P$327="Complete",E3532/12*(Paths!$J$327*(1+'Operating costs'!$B$51)^MAX(0,C3532-1)+Paths!$K$327*(1+'Operating costs'!$B$53)^MAX(0,C3532-1)),"n.a."))</f>
        <v>0</v>
      </c>
      <c r="H3532" s="16">
        <f>IF(NOT(Paths!$C$327=1),0,IF(Paths!$P$327="Complete",F3532/12*(Paths!$L$327*(1+IF(Paths!$D$327="EV",'Operating costs'!$B$52,'Operating costs'!$B$51))^MAX(0,C3532-1)+Paths!$M$327*(1+'Operating costs'!$B$53)^MAX(0,C3532-1)),"n.a."))</f>
        <v>0</v>
      </c>
      <c r="I3532" s="16">
        <f>IF(NOT(Paths!$C$327=1),0,IF(Paths!$P$327="Complete",IF(IF(Paths!$E$327=0,C3532=0,AND(C3532&gt;0,Paths!$E$327&gt;(C3532-1)*12,Paths!$E$327&lt;=C3532*12)),Paths!$G$327,0),"n.a."))</f>
        <v>0</v>
      </c>
      <c r="J3532" s="16">
        <f>IF(NOT(Paths!$C$327=1),0,IF(Paths!$P$327="Complete",IF(IF(Paths!$E$327=0,C3532=0,AND(C3532&gt;0,Paths!$E$327&gt;(C3532-1)*12,Paths!$E$327&lt;=C3532*12)),Paths!$H$327,0),"n.a."))</f>
        <v>0</v>
      </c>
      <c r="K3532" s="16">
        <f>IF(NOT(Paths!$C$327=1),0,IF(Paths!$P$327="Complete",IF(IF(Paths!$O$327=0,C3532=0,AND(C3532&gt;0,Paths!$O$327&gt;(C3532-1)*12,Paths!$O$327&lt;=C3532*12)),Paths!$N$327,0),"n.a."))</f>
        <v>0</v>
      </c>
      <c r="L3532" s="16">
        <f>IF(NOT(Paths!$C$327=1),0,IF(Paths!$P$327="Complete",IF(C3532=10,Paths!$I$327,0),"n.a."))</f>
        <v>0</v>
      </c>
      <c r="M3532" s="16">
        <f>IF(NOT(Paths!$C$327=1),0,IF(Paths!$P$327="Complete",IF(AND(Paths!$D$327="EV",Paths!$E$327&lt;120,Paths!$E$327+'Operating costs'!$B$65&gt;Paths!$E$327,Paths!$E$327+'Operating costs'!$B$65&lt;=120,IF(Paths!$E$327+'Operating costs'!$B$65=0,C3532=0,AND(C3532&gt;0,Paths!$E$327+'Operating costs'!$B$65&gt;(C3532-1)*12,Paths!$E$327+'Operating costs'!$B$65&lt;=C3532*12))),'Operating costs'!$B$64,0)+IF(AND('Operating costs'!$B$67&gt;0,'Operating costs'!$B$67&lt;=120,OR(Paths!$D$327="ICE",'Operating costs'!$B$67&lt;=Paths!$E$327),IF('Operating costs'!$B$67=0,C3532=0,AND(C3532&gt;0,'Operating costs'!$B$67&gt;(C3532-1)*12,'Operating costs'!$B$67&lt;=C3532*12))),'Operating costs'!$B$66,0),"n.a."))</f>
        <v>0</v>
      </c>
      <c r="N3532" s="16">
        <f>IF(NOT(Paths!$C$327=1),0,IF(Paths!$P$327="Complete",SUM(G3532:I3532)-J3532-K3532-L3532+M3532+IF(C3532=0,Paths!$F$327,0)+IF(IF(Paths!$E$327=0,C3532=0,AND(C3532&gt;0,Paths!$E$327&gt;(C3532-1)*12,Paths!$E$327&lt;=C3532*12)),VLOOKUP(A3532,'Fleet register'!$A$7:$S$106,16,FALSE),0),"n.a."))</f>
        <v>0</v>
      </c>
      <c r="O3532" s="16">
        <f>IF(NOT(Paths!$C$327=1),0,IF(Paths!$P$327="Complete",N3532-IF(C3532=0,Paths!$F$327,0),"n.a."))</f>
        <v>0</v>
      </c>
      <c r="P3532" s="16">
        <f>IF(NOT(Paths!$C$327=1),0,IF(Paths!$P$327="Complete",O3532+L3532,"n.a."))</f>
        <v>0</v>
      </c>
      <c r="Q3532" s="16">
        <f>IF(NOT(Paths!$C$327=1),0,IF(Paths!$P$327="Complete",N3532*(1+'Operating costs'!$B$54)^-C3532,"n.a."))</f>
        <v>0</v>
      </c>
      <c r="R3532" s="16">
        <f>IF(NOT(Paths!$C$327=1),0,IF(Paths!$P$327="Complete",IF(AND(C3532=0,Paths!$E$327=0),I3532-J3532-K3532+VLOOKUP(A3532,'Fleet register'!$A$7:$S$106,15,FALSE)+VLOOKUP(A3532,'Fleet register'!$A$7:$S$106,16,FALSE),0),"n.a."))</f>
        <v>0</v>
      </c>
      <c r="S3532" s="1">
        <f>IF(NOT(Paths!$C$327=1),0,IF(Paths!$P$327="Complete",IF(C3532=0,0,Paths!$S$327*Paths!$R$327),"n.a."))</f>
        <v>0</v>
      </c>
      <c r="T3532" s="1">
        <f>IF(NOT(Paths!$C$327=1),0,IF(Paths!$P$327="Complete",IF(C3532=0,0,VLOOKUP(A3532,'Fleet register'!$A$7:$S$106,9,FALSE)*Paths!$R$327),"n.a."))</f>
        <v>0</v>
      </c>
    </row>
    <row r="3533" spans="1:20" ht="24" customHeight="1">
      <c r="A3533" s="1" t="str">
        <f>Paths!$A$327</f>
        <v>T081</v>
      </c>
      <c r="B3533" s="1">
        <f>Paths!$B$327</f>
        <v>0</v>
      </c>
      <c r="C3533" s="1">
        <v>6</v>
      </c>
      <c r="D3533" s="1">
        <v>327</v>
      </c>
      <c r="E3533" s="1">
        <f>IF(OR(Paths!$C$327=0,C3533=0),0,MAX(0,MIN(C3533*12,Paths!$E$327)-(C3533-1)*12))</f>
        <v>0</v>
      </c>
      <c r="F3533" s="1">
        <f>IF(OR(Paths!$C$327=0,C3533=0),0,12-E3533)</f>
        <v>0</v>
      </c>
      <c r="G3533" s="16">
        <f>IF(NOT(Paths!$C$327=1),0,IF(Paths!$P$327="Complete",E3533/12*(Paths!$J$327*(1+'Operating costs'!$B$51)^MAX(0,C3533-1)+Paths!$K$327*(1+'Operating costs'!$B$53)^MAX(0,C3533-1)),"n.a."))</f>
        <v>0</v>
      </c>
      <c r="H3533" s="16">
        <f>IF(NOT(Paths!$C$327=1),0,IF(Paths!$P$327="Complete",F3533/12*(Paths!$L$327*(1+IF(Paths!$D$327="EV",'Operating costs'!$B$52,'Operating costs'!$B$51))^MAX(0,C3533-1)+Paths!$M$327*(1+'Operating costs'!$B$53)^MAX(0,C3533-1)),"n.a."))</f>
        <v>0</v>
      </c>
      <c r="I3533" s="16">
        <f>IF(NOT(Paths!$C$327=1),0,IF(Paths!$P$327="Complete",IF(IF(Paths!$E$327=0,C3533=0,AND(C3533&gt;0,Paths!$E$327&gt;(C3533-1)*12,Paths!$E$327&lt;=C3533*12)),Paths!$G$327,0),"n.a."))</f>
        <v>0</v>
      </c>
      <c r="J3533" s="16">
        <f>IF(NOT(Paths!$C$327=1),0,IF(Paths!$P$327="Complete",IF(IF(Paths!$E$327=0,C3533=0,AND(C3533&gt;0,Paths!$E$327&gt;(C3533-1)*12,Paths!$E$327&lt;=C3533*12)),Paths!$H$327,0),"n.a."))</f>
        <v>0</v>
      </c>
      <c r="K3533" s="16">
        <f>IF(NOT(Paths!$C$327=1),0,IF(Paths!$P$327="Complete",IF(IF(Paths!$O$327=0,C3533=0,AND(C3533&gt;0,Paths!$O$327&gt;(C3533-1)*12,Paths!$O$327&lt;=C3533*12)),Paths!$N$327,0),"n.a."))</f>
        <v>0</v>
      </c>
      <c r="L3533" s="16">
        <f>IF(NOT(Paths!$C$327=1),0,IF(Paths!$P$327="Complete",IF(C3533=10,Paths!$I$327,0),"n.a."))</f>
        <v>0</v>
      </c>
      <c r="M3533" s="16">
        <f>IF(NOT(Paths!$C$327=1),0,IF(Paths!$P$327="Complete",IF(AND(Paths!$D$327="EV",Paths!$E$327&lt;120,Paths!$E$327+'Operating costs'!$B$65&gt;Paths!$E$327,Paths!$E$327+'Operating costs'!$B$65&lt;=120,IF(Paths!$E$327+'Operating costs'!$B$65=0,C3533=0,AND(C3533&gt;0,Paths!$E$327+'Operating costs'!$B$65&gt;(C3533-1)*12,Paths!$E$327+'Operating costs'!$B$65&lt;=C3533*12))),'Operating costs'!$B$64,0)+IF(AND('Operating costs'!$B$67&gt;0,'Operating costs'!$B$67&lt;=120,OR(Paths!$D$327="ICE",'Operating costs'!$B$67&lt;=Paths!$E$327),IF('Operating costs'!$B$67=0,C3533=0,AND(C3533&gt;0,'Operating costs'!$B$67&gt;(C3533-1)*12,'Operating costs'!$B$67&lt;=C3533*12))),'Operating costs'!$B$66,0),"n.a."))</f>
        <v>0</v>
      </c>
      <c r="N3533" s="16">
        <f>IF(NOT(Paths!$C$327=1),0,IF(Paths!$P$327="Complete",SUM(G3533:I3533)-J3533-K3533-L3533+M3533+IF(C3533=0,Paths!$F$327,0)+IF(IF(Paths!$E$327=0,C3533=0,AND(C3533&gt;0,Paths!$E$327&gt;(C3533-1)*12,Paths!$E$327&lt;=C3533*12)),VLOOKUP(A3533,'Fleet register'!$A$7:$S$106,16,FALSE),0),"n.a."))</f>
        <v>0</v>
      </c>
      <c r="O3533" s="16">
        <f>IF(NOT(Paths!$C$327=1),0,IF(Paths!$P$327="Complete",N3533-IF(C3533=0,Paths!$F$327,0),"n.a."))</f>
        <v>0</v>
      </c>
      <c r="P3533" s="16">
        <f>IF(NOT(Paths!$C$327=1),0,IF(Paths!$P$327="Complete",O3533+L3533,"n.a."))</f>
        <v>0</v>
      </c>
      <c r="Q3533" s="16">
        <f>IF(NOT(Paths!$C$327=1),0,IF(Paths!$P$327="Complete",N3533*(1+'Operating costs'!$B$54)^-C3533,"n.a."))</f>
        <v>0</v>
      </c>
      <c r="R3533" s="16">
        <f>IF(NOT(Paths!$C$327=1),0,IF(Paths!$P$327="Complete",IF(AND(C3533=0,Paths!$E$327=0),I3533-J3533-K3533+VLOOKUP(A3533,'Fleet register'!$A$7:$S$106,15,FALSE)+VLOOKUP(A3533,'Fleet register'!$A$7:$S$106,16,FALSE),0),"n.a."))</f>
        <v>0</v>
      </c>
      <c r="S3533" s="1">
        <f>IF(NOT(Paths!$C$327=1),0,IF(Paths!$P$327="Complete",IF(C3533=0,0,Paths!$S$327*Paths!$R$327),"n.a."))</f>
        <v>0</v>
      </c>
      <c r="T3533" s="1">
        <f>IF(NOT(Paths!$C$327=1),0,IF(Paths!$P$327="Complete",IF(C3533=0,0,VLOOKUP(A3533,'Fleet register'!$A$7:$S$106,9,FALSE)*Paths!$R$327),"n.a."))</f>
        <v>0</v>
      </c>
    </row>
    <row r="3534" spans="1:20" ht="24" customHeight="1">
      <c r="A3534" s="1" t="str">
        <f>Paths!$A$327</f>
        <v>T081</v>
      </c>
      <c r="B3534" s="1">
        <f>Paths!$B$327</f>
        <v>0</v>
      </c>
      <c r="C3534" s="1">
        <v>7</v>
      </c>
      <c r="D3534" s="1">
        <v>327</v>
      </c>
      <c r="E3534" s="1">
        <f>IF(OR(Paths!$C$327=0,C3534=0),0,MAX(0,MIN(C3534*12,Paths!$E$327)-(C3534-1)*12))</f>
        <v>0</v>
      </c>
      <c r="F3534" s="1">
        <f>IF(OR(Paths!$C$327=0,C3534=0),0,12-E3534)</f>
        <v>0</v>
      </c>
      <c r="G3534" s="16">
        <f>IF(NOT(Paths!$C$327=1),0,IF(Paths!$P$327="Complete",E3534/12*(Paths!$J$327*(1+'Operating costs'!$B$51)^MAX(0,C3534-1)+Paths!$K$327*(1+'Operating costs'!$B$53)^MAX(0,C3534-1)),"n.a."))</f>
        <v>0</v>
      </c>
      <c r="H3534" s="16">
        <f>IF(NOT(Paths!$C$327=1),0,IF(Paths!$P$327="Complete",F3534/12*(Paths!$L$327*(1+IF(Paths!$D$327="EV",'Operating costs'!$B$52,'Operating costs'!$B$51))^MAX(0,C3534-1)+Paths!$M$327*(1+'Operating costs'!$B$53)^MAX(0,C3534-1)),"n.a."))</f>
        <v>0</v>
      </c>
      <c r="I3534" s="16">
        <f>IF(NOT(Paths!$C$327=1),0,IF(Paths!$P$327="Complete",IF(IF(Paths!$E$327=0,C3534=0,AND(C3534&gt;0,Paths!$E$327&gt;(C3534-1)*12,Paths!$E$327&lt;=C3534*12)),Paths!$G$327,0),"n.a."))</f>
        <v>0</v>
      </c>
      <c r="J3534" s="16">
        <f>IF(NOT(Paths!$C$327=1),0,IF(Paths!$P$327="Complete",IF(IF(Paths!$E$327=0,C3534=0,AND(C3534&gt;0,Paths!$E$327&gt;(C3534-1)*12,Paths!$E$327&lt;=C3534*12)),Paths!$H$327,0),"n.a."))</f>
        <v>0</v>
      </c>
      <c r="K3534" s="16">
        <f>IF(NOT(Paths!$C$327=1),0,IF(Paths!$P$327="Complete",IF(IF(Paths!$O$327=0,C3534=0,AND(C3534&gt;0,Paths!$O$327&gt;(C3534-1)*12,Paths!$O$327&lt;=C3534*12)),Paths!$N$327,0),"n.a."))</f>
        <v>0</v>
      </c>
      <c r="L3534" s="16">
        <f>IF(NOT(Paths!$C$327=1),0,IF(Paths!$P$327="Complete",IF(C3534=10,Paths!$I$327,0),"n.a."))</f>
        <v>0</v>
      </c>
      <c r="M3534" s="16">
        <f>IF(NOT(Paths!$C$327=1),0,IF(Paths!$P$327="Complete",IF(AND(Paths!$D$327="EV",Paths!$E$327&lt;120,Paths!$E$327+'Operating costs'!$B$65&gt;Paths!$E$327,Paths!$E$327+'Operating costs'!$B$65&lt;=120,IF(Paths!$E$327+'Operating costs'!$B$65=0,C3534=0,AND(C3534&gt;0,Paths!$E$327+'Operating costs'!$B$65&gt;(C3534-1)*12,Paths!$E$327+'Operating costs'!$B$65&lt;=C3534*12))),'Operating costs'!$B$64,0)+IF(AND('Operating costs'!$B$67&gt;0,'Operating costs'!$B$67&lt;=120,OR(Paths!$D$327="ICE",'Operating costs'!$B$67&lt;=Paths!$E$327),IF('Operating costs'!$B$67=0,C3534=0,AND(C3534&gt;0,'Operating costs'!$B$67&gt;(C3534-1)*12,'Operating costs'!$B$67&lt;=C3534*12))),'Operating costs'!$B$66,0),"n.a."))</f>
        <v>0</v>
      </c>
      <c r="N3534" s="16">
        <f>IF(NOT(Paths!$C$327=1),0,IF(Paths!$P$327="Complete",SUM(G3534:I3534)-J3534-K3534-L3534+M3534+IF(C3534=0,Paths!$F$327,0)+IF(IF(Paths!$E$327=0,C3534=0,AND(C3534&gt;0,Paths!$E$327&gt;(C3534-1)*12,Paths!$E$327&lt;=C3534*12)),VLOOKUP(A3534,'Fleet register'!$A$7:$S$106,16,FALSE),0),"n.a."))</f>
        <v>0</v>
      </c>
      <c r="O3534" s="16">
        <f>IF(NOT(Paths!$C$327=1),0,IF(Paths!$P$327="Complete",N3534-IF(C3534=0,Paths!$F$327,0),"n.a."))</f>
        <v>0</v>
      </c>
      <c r="P3534" s="16">
        <f>IF(NOT(Paths!$C$327=1),0,IF(Paths!$P$327="Complete",O3534+L3534,"n.a."))</f>
        <v>0</v>
      </c>
      <c r="Q3534" s="16">
        <f>IF(NOT(Paths!$C$327=1),0,IF(Paths!$P$327="Complete",N3534*(1+'Operating costs'!$B$54)^-C3534,"n.a."))</f>
        <v>0</v>
      </c>
      <c r="R3534" s="16">
        <f>IF(NOT(Paths!$C$327=1),0,IF(Paths!$P$327="Complete",IF(AND(C3534=0,Paths!$E$327=0),I3534-J3534-K3534+VLOOKUP(A3534,'Fleet register'!$A$7:$S$106,15,FALSE)+VLOOKUP(A3534,'Fleet register'!$A$7:$S$106,16,FALSE),0),"n.a."))</f>
        <v>0</v>
      </c>
      <c r="S3534" s="1">
        <f>IF(NOT(Paths!$C$327=1),0,IF(Paths!$P$327="Complete",IF(C3534=0,0,Paths!$S$327*Paths!$R$327),"n.a."))</f>
        <v>0</v>
      </c>
      <c r="T3534" s="1">
        <f>IF(NOT(Paths!$C$327=1),0,IF(Paths!$P$327="Complete",IF(C3534=0,0,VLOOKUP(A3534,'Fleet register'!$A$7:$S$106,9,FALSE)*Paths!$R$327),"n.a."))</f>
        <v>0</v>
      </c>
    </row>
    <row r="3535" spans="1:20" ht="24" customHeight="1">
      <c r="A3535" s="1" t="str">
        <f>Paths!$A$327</f>
        <v>T081</v>
      </c>
      <c r="B3535" s="1">
        <f>Paths!$B$327</f>
        <v>0</v>
      </c>
      <c r="C3535" s="1">
        <v>8</v>
      </c>
      <c r="D3535" s="1">
        <v>327</v>
      </c>
      <c r="E3535" s="1">
        <f>IF(OR(Paths!$C$327=0,C3535=0),0,MAX(0,MIN(C3535*12,Paths!$E$327)-(C3535-1)*12))</f>
        <v>0</v>
      </c>
      <c r="F3535" s="1">
        <f>IF(OR(Paths!$C$327=0,C3535=0),0,12-E3535)</f>
        <v>0</v>
      </c>
      <c r="G3535" s="16">
        <f>IF(NOT(Paths!$C$327=1),0,IF(Paths!$P$327="Complete",E3535/12*(Paths!$J$327*(1+'Operating costs'!$B$51)^MAX(0,C3535-1)+Paths!$K$327*(1+'Operating costs'!$B$53)^MAX(0,C3535-1)),"n.a."))</f>
        <v>0</v>
      </c>
      <c r="H3535" s="16">
        <f>IF(NOT(Paths!$C$327=1),0,IF(Paths!$P$327="Complete",F3535/12*(Paths!$L$327*(1+IF(Paths!$D$327="EV",'Operating costs'!$B$52,'Operating costs'!$B$51))^MAX(0,C3535-1)+Paths!$M$327*(1+'Operating costs'!$B$53)^MAX(0,C3535-1)),"n.a."))</f>
        <v>0</v>
      </c>
      <c r="I3535" s="16">
        <f>IF(NOT(Paths!$C$327=1),0,IF(Paths!$P$327="Complete",IF(IF(Paths!$E$327=0,C3535=0,AND(C3535&gt;0,Paths!$E$327&gt;(C3535-1)*12,Paths!$E$327&lt;=C3535*12)),Paths!$G$327,0),"n.a."))</f>
        <v>0</v>
      </c>
      <c r="J3535" s="16">
        <f>IF(NOT(Paths!$C$327=1),0,IF(Paths!$P$327="Complete",IF(IF(Paths!$E$327=0,C3535=0,AND(C3535&gt;0,Paths!$E$327&gt;(C3535-1)*12,Paths!$E$327&lt;=C3535*12)),Paths!$H$327,0),"n.a."))</f>
        <v>0</v>
      </c>
      <c r="K3535" s="16">
        <f>IF(NOT(Paths!$C$327=1),0,IF(Paths!$P$327="Complete",IF(IF(Paths!$O$327=0,C3535=0,AND(C3535&gt;0,Paths!$O$327&gt;(C3535-1)*12,Paths!$O$327&lt;=C3535*12)),Paths!$N$327,0),"n.a."))</f>
        <v>0</v>
      </c>
      <c r="L3535" s="16">
        <f>IF(NOT(Paths!$C$327=1),0,IF(Paths!$P$327="Complete",IF(C3535=10,Paths!$I$327,0),"n.a."))</f>
        <v>0</v>
      </c>
      <c r="M3535" s="16">
        <f>IF(NOT(Paths!$C$327=1),0,IF(Paths!$P$327="Complete",IF(AND(Paths!$D$327="EV",Paths!$E$327&lt;120,Paths!$E$327+'Operating costs'!$B$65&gt;Paths!$E$327,Paths!$E$327+'Operating costs'!$B$65&lt;=120,IF(Paths!$E$327+'Operating costs'!$B$65=0,C3535=0,AND(C3535&gt;0,Paths!$E$327+'Operating costs'!$B$65&gt;(C3535-1)*12,Paths!$E$327+'Operating costs'!$B$65&lt;=C3535*12))),'Operating costs'!$B$64,0)+IF(AND('Operating costs'!$B$67&gt;0,'Operating costs'!$B$67&lt;=120,OR(Paths!$D$327="ICE",'Operating costs'!$B$67&lt;=Paths!$E$327),IF('Operating costs'!$B$67=0,C3535=0,AND(C3535&gt;0,'Operating costs'!$B$67&gt;(C3535-1)*12,'Operating costs'!$B$67&lt;=C3535*12))),'Operating costs'!$B$66,0),"n.a."))</f>
        <v>0</v>
      </c>
      <c r="N3535" s="16">
        <f>IF(NOT(Paths!$C$327=1),0,IF(Paths!$P$327="Complete",SUM(G3535:I3535)-J3535-K3535-L3535+M3535+IF(C3535=0,Paths!$F$327,0)+IF(IF(Paths!$E$327=0,C3535=0,AND(C3535&gt;0,Paths!$E$327&gt;(C3535-1)*12,Paths!$E$327&lt;=C3535*12)),VLOOKUP(A3535,'Fleet register'!$A$7:$S$106,16,FALSE),0),"n.a."))</f>
        <v>0</v>
      </c>
      <c r="O3535" s="16">
        <f>IF(NOT(Paths!$C$327=1),0,IF(Paths!$P$327="Complete",N3535-IF(C3535=0,Paths!$F$327,0),"n.a."))</f>
        <v>0</v>
      </c>
      <c r="P3535" s="16">
        <f>IF(NOT(Paths!$C$327=1),0,IF(Paths!$P$327="Complete",O3535+L3535,"n.a."))</f>
        <v>0</v>
      </c>
      <c r="Q3535" s="16">
        <f>IF(NOT(Paths!$C$327=1),0,IF(Paths!$P$327="Complete",N3535*(1+'Operating costs'!$B$54)^-C3535,"n.a."))</f>
        <v>0</v>
      </c>
      <c r="R3535" s="16">
        <f>IF(NOT(Paths!$C$327=1),0,IF(Paths!$P$327="Complete",IF(AND(C3535=0,Paths!$E$327=0),I3535-J3535-K3535+VLOOKUP(A3535,'Fleet register'!$A$7:$S$106,15,FALSE)+VLOOKUP(A3535,'Fleet register'!$A$7:$S$106,16,FALSE),0),"n.a."))</f>
        <v>0</v>
      </c>
      <c r="S3535" s="1">
        <f>IF(NOT(Paths!$C$327=1),0,IF(Paths!$P$327="Complete",IF(C3535=0,0,Paths!$S$327*Paths!$R$327),"n.a."))</f>
        <v>0</v>
      </c>
      <c r="T3535" s="1">
        <f>IF(NOT(Paths!$C$327=1),0,IF(Paths!$P$327="Complete",IF(C3535=0,0,VLOOKUP(A3535,'Fleet register'!$A$7:$S$106,9,FALSE)*Paths!$R$327),"n.a."))</f>
        <v>0</v>
      </c>
    </row>
    <row r="3536" spans="1:20" ht="24" customHeight="1">
      <c r="A3536" s="1" t="str">
        <f>Paths!$A$327</f>
        <v>T081</v>
      </c>
      <c r="B3536" s="1">
        <f>Paths!$B$327</f>
        <v>0</v>
      </c>
      <c r="C3536" s="1">
        <v>9</v>
      </c>
      <c r="D3536" s="1">
        <v>327</v>
      </c>
      <c r="E3536" s="1">
        <f>IF(OR(Paths!$C$327=0,C3536=0),0,MAX(0,MIN(C3536*12,Paths!$E$327)-(C3536-1)*12))</f>
        <v>0</v>
      </c>
      <c r="F3536" s="1">
        <f>IF(OR(Paths!$C$327=0,C3536=0),0,12-E3536)</f>
        <v>0</v>
      </c>
      <c r="G3536" s="16">
        <f>IF(NOT(Paths!$C$327=1),0,IF(Paths!$P$327="Complete",E3536/12*(Paths!$J$327*(1+'Operating costs'!$B$51)^MAX(0,C3536-1)+Paths!$K$327*(1+'Operating costs'!$B$53)^MAX(0,C3536-1)),"n.a."))</f>
        <v>0</v>
      </c>
      <c r="H3536" s="16">
        <f>IF(NOT(Paths!$C$327=1),0,IF(Paths!$P$327="Complete",F3536/12*(Paths!$L$327*(1+IF(Paths!$D$327="EV",'Operating costs'!$B$52,'Operating costs'!$B$51))^MAX(0,C3536-1)+Paths!$M$327*(1+'Operating costs'!$B$53)^MAX(0,C3536-1)),"n.a."))</f>
        <v>0</v>
      </c>
      <c r="I3536" s="16">
        <f>IF(NOT(Paths!$C$327=1),0,IF(Paths!$P$327="Complete",IF(IF(Paths!$E$327=0,C3536=0,AND(C3536&gt;0,Paths!$E$327&gt;(C3536-1)*12,Paths!$E$327&lt;=C3536*12)),Paths!$G$327,0),"n.a."))</f>
        <v>0</v>
      </c>
      <c r="J3536" s="16">
        <f>IF(NOT(Paths!$C$327=1),0,IF(Paths!$P$327="Complete",IF(IF(Paths!$E$327=0,C3536=0,AND(C3536&gt;0,Paths!$E$327&gt;(C3536-1)*12,Paths!$E$327&lt;=C3536*12)),Paths!$H$327,0),"n.a."))</f>
        <v>0</v>
      </c>
      <c r="K3536" s="16">
        <f>IF(NOT(Paths!$C$327=1),0,IF(Paths!$P$327="Complete",IF(IF(Paths!$O$327=0,C3536=0,AND(C3536&gt;0,Paths!$O$327&gt;(C3536-1)*12,Paths!$O$327&lt;=C3536*12)),Paths!$N$327,0),"n.a."))</f>
        <v>0</v>
      </c>
      <c r="L3536" s="16">
        <f>IF(NOT(Paths!$C$327=1),0,IF(Paths!$P$327="Complete",IF(C3536=10,Paths!$I$327,0),"n.a."))</f>
        <v>0</v>
      </c>
      <c r="M3536" s="16">
        <f>IF(NOT(Paths!$C$327=1),0,IF(Paths!$P$327="Complete",IF(AND(Paths!$D$327="EV",Paths!$E$327&lt;120,Paths!$E$327+'Operating costs'!$B$65&gt;Paths!$E$327,Paths!$E$327+'Operating costs'!$B$65&lt;=120,IF(Paths!$E$327+'Operating costs'!$B$65=0,C3536=0,AND(C3536&gt;0,Paths!$E$327+'Operating costs'!$B$65&gt;(C3536-1)*12,Paths!$E$327+'Operating costs'!$B$65&lt;=C3536*12))),'Operating costs'!$B$64,0)+IF(AND('Operating costs'!$B$67&gt;0,'Operating costs'!$B$67&lt;=120,OR(Paths!$D$327="ICE",'Operating costs'!$B$67&lt;=Paths!$E$327),IF('Operating costs'!$B$67=0,C3536=0,AND(C3536&gt;0,'Operating costs'!$B$67&gt;(C3536-1)*12,'Operating costs'!$B$67&lt;=C3536*12))),'Operating costs'!$B$66,0),"n.a."))</f>
        <v>0</v>
      </c>
      <c r="N3536" s="16">
        <f>IF(NOT(Paths!$C$327=1),0,IF(Paths!$P$327="Complete",SUM(G3536:I3536)-J3536-K3536-L3536+M3536+IF(C3536=0,Paths!$F$327,0)+IF(IF(Paths!$E$327=0,C3536=0,AND(C3536&gt;0,Paths!$E$327&gt;(C3536-1)*12,Paths!$E$327&lt;=C3536*12)),VLOOKUP(A3536,'Fleet register'!$A$7:$S$106,16,FALSE),0),"n.a."))</f>
        <v>0</v>
      </c>
      <c r="O3536" s="16">
        <f>IF(NOT(Paths!$C$327=1),0,IF(Paths!$P$327="Complete",N3536-IF(C3536=0,Paths!$F$327,0),"n.a."))</f>
        <v>0</v>
      </c>
      <c r="P3536" s="16">
        <f>IF(NOT(Paths!$C$327=1),0,IF(Paths!$P$327="Complete",O3536+L3536,"n.a."))</f>
        <v>0</v>
      </c>
      <c r="Q3536" s="16">
        <f>IF(NOT(Paths!$C$327=1),0,IF(Paths!$P$327="Complete",N3536*(1+'Operating costs'!$B$54)^-C3536,"n.a."))</f>
        <v>0</v>
      </c>
      <c r="R3536" s="16">
        <f>IF(NOT(Paths!$C$327=1),0,IF(Paths!$P$327="Complete",IF(AND(C3536=0,Paths!$E$327=0),I3536-J3536-K3536+VLOOKUP(A3536,'Fleet register'!$A$7:$S$106,15,FALSE)+VLOOKUP(A3536,'Fleet register'!$A$7:$S$106,16,FALSE),0),"n.a."))</f>
        <v>0</v>
      </c>
      <c r="S3536" s="1">
        <f>IF(NOT(Paths!$C$327=1),0,IF(Paths!$P$327="Complete",IF(C3536=0,0,Paths!$S$327*Paths!$R$327),"n.a."))</f>
        <v>0</v>
      </c>
      <c r="T3536" s="1">
        <f>IF(NOT(Paths!$C$327=1),0,IF(Paths!$P$327="Complete",IF(C3536=0,0,VLOOKUP(A3536,'Fleet register'!$A$7:$S$106,9,FALSE)*Paths!$R$327),"n.a."))</f>
        <v>0</v>
      </c>
    </row>
    <row r="3537" spans="1:20" ht="24" customHeight="1">
      <c r="A3537" s="1" t="str">
        <f>Paths!$A$327</f>
        <v>T081</v>
      </c>
      <c r="B3537" s="1">
        <f>Paths!$B$327</f>
        <v>0</v>
      </c>
      <c r="C3537" s="1">
        <v>10</v>
      </c>
      <c r="D3537" s="1">
        <v>327</v>
      </c>
      <c r="E3537" s="1">
        <f>IF(OR(Paths!$C$327=0,C3537=0),0,MAX(0,MIN(C3537*12,Paths!$E$327)-(C3537-1)*12))</f>
        <v>0</v>
      </c>
      <c r="F3537" s="1">
        <f>IF(OR(Paths!$C$327=0,C3537=0),0,12-E3537)</f>
        <v>0</v>
      </c>
      <c r="G3537" s="16">
        <f>IF(NOT(Paths!$C$327=1),0,IF(Paths!$P$327="Complete",E3537/12*(Paths!$J$327*(1+'Operating costs'!$B$51)^MAX(0,C3537-1)+Paths!$K$327*(1+'Operating costs'!$B$53)^MAX(0,C3537-1)),"n.a."))</f>
        <v>0</v>
      </c>
      <c r="H3537" s="16">
        <f>IF(NOT(Paths!$C$327=1),0,IF(Paths!$P$327="Complete",F3537/12*(Paths!$L$327*(1+IF(Paths!$D$327="EV",'Operating costs'!$B$52,'Operating costs'!$B$51))^MAX(0,C3537-1)+Paths!$M$327*(1+'Operating costs'!$B$53)^MAX(0,C3537-1)),"n.a."))</f>
        <v>0</v>
      </c>
      <c r="I3537" s="16">
        <f>IF(NOT(Paths!$C$327=1),0,IF(Paths!$P$327="Complete",IF(IF(Paths!$E$327=0,C3537=0,AND(C3537&gt;0,Paths!$E$327&gt;(C3537-1)*12,Paths!$E$327&lt;=C3537*12)),Paths!$G$327,0),"n.a."))</f>
        <v>0</v>
      </c>
      <c r="J3537" s="16">
        <f>IF(NOT(Paths!$C$327=1),0,IF(Paths!$P$327="Complete",IF(IF(Paths!$E$327=0,C3537=0,AND(C3537&gt;0,Paths!$E$327&gt;(C3537-1)*12,Paths!$E$327&lt;=C3537*12)),Paths!$H$327,0),"n.a."))</f>
        <v>0</v>
      </c>
      <c r="K3537" s="16">
        <f>IF(NOT(Paths!$C$327=1),0,IF(Paths!$P$327="Complete",IF(IF(Paths!$O$327=0,C3537=0,AND(C3537&gt;0,Paths!$O$327&gt;(C3537-1)*12,Paths!$O$327&lt;=C3537*12)),Paths!$N$327,0),"n.a."))</f>
        <v>0</v>
      </c>
      <c r="L3537" s="16">
        <f>IF(NOT(Paths!$C$327=1),0,IF(Paths!$P$327="Complete",IF(C3537=10,Paths!$I$327,0),"n.a."))</f>
        <v>0</v>
      </c>
      <c r="M3537" s="16">
        <f>IF(NOT(Paths!$C$327=1),0,IF(Paths!$P$327="Complete",IF(AND(Paths!$D$327="EV",Paths!$E$327&lt;120,Paths!$E$327+'Operating costs'!$B$65&gt;Paths!$E$327,Paths!$E$327+'Operating costs'!$B$65&lt;=120,IF(Paths!$E$327+'Operating costs'!$B$65=0,C3537=0,AND(C3537&gt;0,Paths!$E$327+'Operating costs'!$B$65&gt;(C3537-1)*12,Paths!$E$327+'Operating costs'!$B$65&lt;=C3537*12))),'Operating costs'!$B$64,0)+IF(AND('Operating costs'!$B$67&gt;0,'Operating costs'!$B$67&lt;=120,OR(Paths!$D$327="ICE",'Operating costs'!$B$67&lt;=Paths!$E$327),IF('Operating costs'!$B$67=0,C3537=0,AND(C3537&gt;0,'Operating costs'!$B$67&gt;(C3537-1)*12,'Operating costs'!$B$67&lt;=C3537*12))),'Operating costs'!$B$66,0),"n.a."))</f>
        <v>0</v>
      </c>
      <c r="N3537" s="16">
        <f>IF(NOT(Paths!$C$327=1),0,IF(Paths!$P$327="Complete",SUM(G3537:I3537)-J3537-K3537-L3537+M3537+IF(C3537=0,Paths!$F$327,0)+IF(IF(Paths!$E$327=0,C3537=0,AND(C3537&gt;0,Paths!$E$327&gt;(C3537-1)*12,Paths!$E$327&lt;=C3537*12)),VLOOKUP(A3537,'Fleet register'!$A$7:$S$106,16,FALSE),0),"n.a."))</f>
        <v>0</v>
      </c>
      <c r="O3537" s="16">
        <f>IF(NOT(Paths!$C$327=1),0,IF(Paths!$P$327="Complete",N3537-IF(C3537=0,Paths!$F$327,0),"n.a."))</f>
        <v>0</v>
      </c>
      <c r="P3537" s="16">
        <f>IF(NOT(Paths!$C$327=1),0,IF(Paths!$P$327="Complete",O3537+L3537,"n.a."))</f>
        <v>0</v>
      </c>
      <c r="Q3537" s="16">
        <f>IF(NOT(Paths!$C$327=1),0,IF(Paths!$P$327="Complete",N3537*(1+'Operating costs'!$B$54)^-C3537,"n.a."))</f>
        <v>0</v>
      </c>
      <c r="R3537" s="16">
        <f>IF(NOT(Paths!$C$327=1),0,IF(Paths!$P$327="Complete",IF(AND(C3537=0,Paths!$E$327=0),I3537-J3537-K3537+VLOOKUP(A3537,'Fleet register'!$A$7:$S$106,15,FALSE)+VLOOKUP(A3537,'Fleet register'!$A$7:$S$106,16,FALSE),0),"n.a."))</f>
        <v>0</v>
      </c>
      <c r="S3537" s="1">
        <f>IF(NOT(Paths!$C$327=1),0,IF(Paths!$P$327="Complete",IF(C3537=0,0,Paths!$S$327*Paths!$R$327),"n.a."))</f>
        <v>0</v>
      </c>
      <c r="T3537" s="1">
        <f>IF(NOT(Paths!$C$327=1),0,IF(Paths!$P$327="Complete",IF(C3537=0,0,VLOOKUP(A3537,'Fleet register'!$A$7:$S$106,9,FALSE)*Paths!$R$327),"n.a."))</f>
        <v>0</v>
      </c>
    </row>
    <row r="3538" spans="1:20" ht="24" customHeight="1">
      <c r="A3538" s="1" t="str">
        <f>Paths!$A$328</f>
        <v>T081</v>
      </c>
      <c r="B3538" s="1">
        <f>Paths!$B$328</f>
        <v>1</v>
      </c>
      <c r="C3538" s="1">
        <v>0</v>
      </c>
      <c r="D3538" s="1">
        <v>328</v>
      </c>
      <c r="E3538" s="1">
        <f>IF(OR(Paths!$C$328=0,C3538=0),0,MAX(0,MIN(C3538*12,Paths!$E$328)-(C3538-1)*12))</f>
        <v>0</v>
      </c>
      <c r="F3538" s="1">
        <f>IF(OR(Paths!$C$328=0,C3538=0),0,12-E3538)</f>
        <v>0</v>
      </c>
      <c r="G3538" s="16">
        <f>IF(NOT(Paths!$C$328=1),0,IF(Paths!$P$328="Complete",E3538/12*(Paths!$J$328*(1+'Operating costs'!$B$51)^MAX(0,C3538-1)+Paths!$K$328*(1+'Operating costs'!$B$53)^MAX(0,C3538-1)),"n.a."))</f>
        <v>0</v>
      </c>
      <c r="H3538" s="16">
        <f>IF(NOT(Paths!$C$328=1),0,IF(Paths!$P$328="Complete",F3538/12*(Paths!$L$328*(1+IF(Paths!$D$328="EV",'Operating costs'!$B$52,'Operating costs'!$B$51))^MAX(0,C3538-1)+Paths!$M$328*(1+'Operating costs'!$B$53)^MAX(0,C3538-1)),"n.a."))</f>
        <v>0</v>
      </c>
      <c r="I3538" s="16">
        <f>IF(NOT(Paths!$C$328=1),0,IF(Paths!$P$328="Complete",IF(IF(Paths!$E$328=0,C3538=0,AND(C3538&gt;0,Paths!$E$328&gt;(C3538-1)*12,Paths!$E$328&lt;=C3538*12)),Paths!$G$328,0),"n.a."))</f>
        <v>0</v>
      </c>
      <c r="J3538" s="16">
        <f>IF(NOT(Paths!$C$328=1),0,IF(Paths!$P$328="Complete",IF(IF(Paths!$E$328=0,C3538=0,AND(C3538&gt;0,Paths!$E$328&gt;(C3538-1)*12,Paths!$E$328&lt;=C3538*12)),Paths!$H$328,0),"n.a."))</f>
        <v>0</v>
      </c>
      <c r="K3538" s="16">
        <f>IF(NOT(Paths!$C$328=1),0,IF(Paths!$P$328="Complete",IF(IF(Paths!$O$328=0,C3538=0,AND(C3538&gt;0,Paths!$O$328&gt;(C3538-1)*12,Paths!$O$328&lt;=C3538*12)),Paths!$N$328,0),"n.a."))</f>
        <v>0</v>
      </c>
      <c r="L3538" s="16">
        <f>IF(NOT(Paths!$C$328=1),0,IF(Paths!$P$328="Complete",IF(C3538=10,Paths!$I$328,0),"n.a."))</f>
        <v>0</v>
      </c>
      <c r="M3538" s="16">
        <f>IF(NOT(Paths!$C$328=1),0,IF(Paths!$P$328="Complete",IF(AND(Paths!$D$328="EV",Paths!$E$328&lt;120,Paths!$E$328+'Operating costs'!$B$65&gt;Paths!$E$328,Paths!$E$328+'Operating costs'!$B$65&lt;=120,IF(Paths!$E$328+'Operating costs'!$B$65=0,C3538=0,AND(C3538&gt;0,Paths!$E$328+'Operating costs'!$B$65&gt;(C3538-1)*12,Paths!$E$328+'Operating costs'!$B$65&lt;=C3538*12))),'Operating costs'!$B$64,0)+IF(AND('Operating costs'!$B$67&gt;0,'Operating costs'!$B$67&lt;=120,OR(Paths!$D$328="ICE",'Operating costs'!$B$67&lt;=Paths!$E$328),IF('Operating costs'!$B$67=0,C3538=0,AND(C3538&gt;0,'Operating costs'!$B$67&gt;(C3538-1)*12,'Operating costs'!$B$67&lt;=C3538*12))),'Operating costs'!$B$66,0),"n.a."))</f>
        <v>0</v>
      </c>
      <c r="N3538" s="16">
        <f>IF(NOT(Paths!$C$328=1),0,IF(Paths!$P$328="Complete",SUM(G3538:I3538)-J3538-K3538-L3538+M3538+IF(C3538=0,Paths!$F$328,0)+IF(IF(Paths!$E$328=0,C3538=0,AND(C3538&gt;0,Paths!$E$328&gt;(C3538-1)*12,Paths!$E$328&lt;=C3538*12)),VLOOKUP(A3538,'Fleet register'!$A$7:$S$106,16,FALSE),0),"n.a."))</f>
        <v>0</v>
      </c>
      <c r="O3538" s="16">
        <f>IF(NOT(Paths!$C$328=1),0,IF(Paths!$P$328="Complete",N3538-IF(C3538=0,Paths!$F$328,0),"n.a."))</f>
        <v>0</v>
      </c>
      <c r="P3538" s="16">
        <f>IF(NOT(Paths!$C$328=1),0,IF(Paths!$P$328="Complete",O3538+L3538,"n.a."))</f>
        <v>0</v>
      </c>
      <c r="Q3538" s="16">
        <f>IF(NOT(Paths!$C$328=1),0,IF(Paths!$P$328="Complete",N3538*(1+'Operating costs'!$B$54)^-C3538,"n.a."))</f>
        <v>0</v>
      </c>
      <c r="R3538" s="16">
        <f>IF(NOT(Paths!$C$328=1),0,IF(Paths!$P$328="Complete",IF(AND(C3538=0,Paths!$E$328=0),I3538-J3538-K3538+VLOOKUP(A3538,'Fleet register'!$A$7:$S$106,15,FALSE)+VLOOKUP(A3538,'Fleet register'!$A$7:$S$106,16,FALSE),0),"n.a."))</f>
        <v>0</v>
      </c>
      <c r="S3538" s="1">
        <f>IF(NOT(Paths!$C$328=1),0,IF(Paths!$P$328="Complete",IF(C3538=0,0,Paths!$S$328*Paths!$R$328),"n.a."))</f>
        <v>0</v>
      </c>
      <c r="T3538" s="1">
        <f>IF(NOT(Paths!$C$328=1),0,IF(Paths!$P$328="Complete",IF(C3538=0,0,VLOOKUP(A3538,'Fleet register'!$A$7:$S$106,9,FALSE)*Paths!$R$328),"n.a."))</f>
        <v>0</v>
      </c>
    </row>
    <row r="3539" spans="1:20" ht="24" customHeight="1">
      <c r="A3539" s="1" t="str">
        <f>Paths!$A$328</f>
        <v>T081</v>
      </c>
      <c r="B3539" s="1">
        <f>Paths!$B$328</f>
        <v>1</v>
      </c>
      <c r="C3539" s="1">
        <v>1</v>
      </c>
      <c r="D3539" s="1">
        <v>328</v>
      </c>
      <c r="E3539" s="1">
        <f>IF(OR(Paths!$C$328=0,C3539=0),0,MAX(0,MIN(C3539*12,Paths!$E$328)-(C3539-1)*12))</f>
        <v>0</v>
      </c>
      <c r="F3539" s="1">
        <f>IF(OR(Paths!$C$328=0,C3539=0),0,12-E3539)</f>
        <v>0</v>
      </c>
      <c r="G3539" s="16">
        <f>IF(NOT(Paths!$C$328=1),0,IF(Paths!$P$328="Complete",E3539/12*(Paths!$J$328*(1+'Operating costs'!$B$51)^MAX(0,C3539-1)+Paths!$K$328*(1+'Operating costs'!$B$53)^MAX(0,C3539-1)),"n.a."))</f>
        <v>0</v>
      </c>
      <c r="H3539" s="16">
        <f>IF(NOT(Paths!$C$328=1),0,IF(Paths!$P$328="Complete",F3539/12*(Paths!$L$328*(1+IF(Paths!$D$328="EV",'Operating costs'!$B$52,'Operating costs'!$B$51))^MAX(0,C3539-1)+Paths!$M$328*(1+'Operating costs'!$B$53)^MAX(0,C3539-1)),"n.a."))</f>
        <v>0</v>
      </c>
      <c r="I3539" s="16">
        <f>IF(NOT(Paths!$C$328=1),0,IF(Paths!$P$328="Complete",IF(IF(Paths!$E$328=0,C3539=0,AND(C3539&gt;0,Paths!$E$328&gt;(C3539-1)*12,Paths!$E$328&lt;=C3539*12)),Paths!$G$328,0),"n.a."))</f>
        <v>0</v>
      </c>
      <c r="J3539" s="16">
        <f>IF(NOT(Paths!$C$328=1),0,IF(Paths!$P$328="Complete",IF(IF(Paths!$E$328=0,C3539=0,AND(C3539&gt;0,Paths!$E$328&gt;(C3539-1)*12,Paths!$E$328&lt;=C3539*12)),Paths!$H$328,0),"n.a."))</f>
        <v>0</v>
      </c>
      <c r="K3539" s="16">
        <f>IF(NOT(Paths!$C$328=1),0,IF(Paths!$P$328="Complete",IF(IF(Paths!$O$328=0,C3539=0,AND(C3539&gt;0,Paths!$O$328&gt;(C3539-1)*12,Paths!$O$328&lt;=C3539*12)),Paths!$N$328,0),"n.a."))</f>
        <v>0</v>
      </c>
      <c r="L3539" s="16">
        <f>IF(NOT(Paths!$C$328=1),0,IF(Paths!$P$328="Complete",IF(C3539=10,Paths!$I$328,0),"n.a."))</f>
        <v>0</v>
      </c>
      <c r="M3539" s="16">
        <f>IF(NOT(Paths!$C$328=1),0,IF(Paths!$P$328="Complete",IF(AND(Paths!$D$328="EV",Paths!$E$328&lt;120,Paths!$E$328+'Operating costs'!$B$65&gt;Paths!$E$328,Paths!$E$328+'Operating costs'!$B$65&lt;=120,IF(Paths!$E$328+'Operating costs'!$B$65=0,C3539=0,AND(C3539&gt;0,Paths!$E$328+'Operating costs'!$B$65&gt;(C3539-1)*12,Paths!$E$328+'Operating costs'!$B$65&lt;=C3539*12))),'Operating costs'!$B$64,0)+IF(AND('Operating costs'!$B$67&gt;0,'Operating costs'!$B$67&lt;=120,OR(Paths!$D$328="ICE",'Operating costs'!$B$67&lt;=Paths!$E$328),IF('Operating costs'!$B$67=0,C3539=0,AND(C3539&gt;0,'Operating costs'!$B$67&gt;(C3539-1)*12,'Operating costs'!$B$67&lt;=C3539*12))),'Operating costs'!$B$66,0),"n.a."))</f>
        <v>0</v>
      </c>
      <c r="N3539" s="16">
        <f>IF(NOT(Paths!$C$328=1),0,IF(Paths!$P$328="Complete",SUM(G3539:I3539)-J3539-K3539-L3539+M3539+IF(C3539=0,Paths!$F$328,0)+IF(IF(Paths!$E$328=0,C3539=0,AND(C3539&gt;0,Paths!$E$328&gt;(C3539-1)*12,Paths!$E$328&lt;=C3539*12)),VLOOKUP(A3539,'Fleet register'!$A$7:$S$106,16,FALSE),0),"n.a."))</f>
        <v>0</v>
      </c>
      <c r="O3539" s="16">
        <f>IF(NOT(Paths!$C$328=1),0,IF(Paths!$P$328="Complete",N3539-IF(C3539=0,Paths!$F$328,0),"n.a."))</f>
        <v>0</v>
      </c>
      <c r="P3539" s="16">
        <f>IF(NOT(Paths!$C$328=1),0,IF(Paths!$P$328="Complete",O3539+L3539,"n.a."))</f>
        <v>0</v>
      </c>
      <c r="Q3539" s="16">
        <f>IF(NOT(Paths!$C$328=1),0,IF(Paths!$P$328="Complete",N3539*(1+'Operating costs'!$B$54)^-C3539,"n.a."))</f>
        <v>0</v>
      </c>
      <c r="R3539" s="16">
        <f>IF(NOT(Paths!$C$328=1),0,IF(Paths!$P$328="Complete",IF(AND(C3539=0,Paths!$E$328=0),I3539-J3539-K3539+VLOOKUP(A3539,'Fleet register'!$A$7:$S$106,15,FALSE)+VLOOKUP(A3539,'Fleet register'!$A$7:$S$106,16,FALSE),0),"n.a."))</f>
        <v>0</v>
      </c>
      <c r="S3539" s="1">
        <f>IF(NOT(Paths!$C$328=1),0,IF(Paths!$P$328="Complete",IF(C3539=0,0,Paths!$S$328*Paths!$R$328),"n.a."))</f>
        <v>0</v>
      </c>
      <c r="T3539" s="1">
        <f>IF(NOT(Paths!$C$328=1),0,IF(Paths!$P$328="Complete",IF(C3539=0,0,VLOOKUP(A3539,'Fleet register'!$A$7:$S$106,9,FALSE)*Paths!$R$328),"n.a."))</f>
        <v>0</v>
      </c>
    </row>
    <row r="3540" spans="1:20" ht="24" customHeight="1">
      <c r="A3540" s="1" t="str">
        <f>Paths!$A$328</f>
        <v>T081</v>
      </c>
      <c r="B3540" s="1">
        <f>Paths!$B$328</f>
        <v>1</v>
      </c>
      <c r="C3540" s="1">
        <v>2</v>
      </c>
      <c r="D3540" s="1">
        <v>328</v>
      </c>
      <c r="E3540" s="1">
        <f>IF(OR(Paths!$C$328=0,C3540=0),0,MAX(0,MIN(C3540*12,Paths!$E$328)-(C3540-1)*12))</f>
        <v>0</v>
      </c>
      <c r="F3540" s="1">
        <f>IF(OR(Paths!$C$328=0,C3540=0),0,12-E3540)</f>
        <v>0</v>
      </c>
      <c r="G3540" s="16">
        <f>IF(NOT(Paths!$C$328=1),0,IF(Paths!$P$328="Complete",E3540/12*(Paths!$J$328*(1+'Operating costs'!$B$51)^MAX(0,C3540-1)+Paths!$K$328*(1+'Operating costs'!$B$53)^MAX(0,C3540-1)),"n.a."))</f>
        <v>0</v>
      </c>
      <c r="H3540" s="16">
        <f>IF(NOT(Paths!$C$328=1),0,IF(Paths!$P$328="Complete",F3540/12*(Paths!$L$328*(1+IF(Paths!$D$328="EV",'Operating costs'!$B$52,'Operating costs'!$B$51))^MAX(0,C3540-1)+Paths!$M$328*(1+'Operating costs'!$B$53)^MAX(0,C3540-1)),"n.a."))</f>
        <v>0</v>
      </c>
      <c r="I3540" s="16">
        <f>IF(NOT(Paths!$C$328=1),0,IF(Paths!$P$328="Complete",IF(IF(Paths!$E$328=0,C3540=0,AND(C3540&gt;0,Paths!$E$328&gt;(C3540-1)*12,Paths!$E$328&lt;=C3540*12)),Paths!$G$328,0),"n.a."))</f>
        <v>0</v>
      </c>
      <c r="J3540" s="16">
        <f>IF(NOT(Paths!$C$328=1),0,IF(Paths!$P$328="Complete",IF(IF(Paths!$E$328=0,C3540=0,AND(C3540&gt;0,Paths!$E$328&gt;(C3540-1)*12,Paths!$E$328&lt;=C3540*12)),Paths!$H$328,0),"n.a."))</f>
        <v>0</v>
      </c>
      <c r="K3540" s="16">
        <f>IF(NOT(Paths!$C$328=1),0,IF(Paths!$P$328="Complete",IF(IF(Paths!$O$328=0,C3540=0,AND(C3540&gt;0,Paths!$O$328&gt;(C3540-1)*12,Paths!$O$328&lt;=C3540*12)),Paths!$N$328,0),"n.a."))</f>
        <v>0</v>
      </c>
      <c r="L3540" s="16">
        <f>IF(NOT(Paths!$C$328=1),0,IF(Paths!$P$328="Complete",IF(C3540=10,Paths!$I$328,0),"n.a."))</f>
        <v>0</v>
      </c>
      <c r="M3540" s="16">
        <f>IF(NOT(Paths!$C$328=1),0,IF(Paths!$P$328="Complete",IF(AND(Paths!$D$328="EV",Paths!$E$328&lt;120,Paths!$E$328+'Operating costs'!$B$65&gt;Paths!$E$328,Paths!$E$328+'Operating costs'!$B$65&lt;=120,IF(Paths!$E$328+'Operating costs'!$B$65=0,C3540=0,AND(C3540&gt;0,Paths!$E$328+'Operating costs'!$B$65&gt;(C3540-1)*12,Paths!$E$328+'Operating costs'!$B$65&lt;=C3540*12))),'Operating costs'!$B$64,0)+IF(AND('Operating costs'!$B$67&gt;0,'Operating costs'!$B$67&lt;=120,OR(Paths!$D$328="ICE",'Operating costs'!$B$67&lt;=Paths!$E$328),IF('Operating costs'!$B$67=0,C3540=0,AND(C3540&gt;0,'Operating costs'!$B$67&gt;(C3540-1)*12,'Operating costs'!$B$67&lt;=C3540*12))),'Operating costs'!$B$66,0),"n.a."))</f>
        <v>0</v>
      </c>
      <c r="N3540" s="16">
        <f>IF(NOT(Paths!$C$328=1),0,IF(Paths!$P$328="Complete",SUM(G3540:I3540)-J3540-K3540-L3540+M3540+IF(C3540=0,Paths!$F$328,0)+IF(IF(Paths!$E$328=0,C3540=0,AND(C3540&gt;0,Paths!$E$328&gt;(C3540-1)*12,Paths!$E$328&lt;=C3540*12)),VLOOKUP(A3540,'Fleet register'!$A$7:$S$106,16,FALSE),0),"n.a."))</f>
        <v>0</v>
      </c>
      <c r="O3540" s="16">
        <f>IF(NOT(Paths!$C$328=1),0,IF(Paths!$P$328="Complete",N3540-IF(C3540=0,Paths!$F$328,0),"n.a."))</f>
        <v>0</v>
      </c>
      <c r="P3540" s="16">
        <f>IF(NOT(Paths!$C$328=1),0,IF(Paths!$P$328="Complete",O3540+L3540,"n.a."))</f>
        <v>0</v>
      </c>
      <c r="Q3540" s="16">
        <f>IF(NOT(Paths!$C$328=1),0,IF(Paths!$P$328="Complete",N3540*(1+'Operating costs'!$B$54)^-C3540,"n.a."))</f>
        <v>0</v>
      </c>
      <c r="R3540" s="16">
        <f>IF(NOT(Paths!$C$328=1),0,IF(Paths!$P$328="Complete",IF(AND(C3540=0,Paths!$E$328=0),I3540-J3540-K3540+VLOOKUP(A3540,'Fleet register'!$A$7:$S$106,15,FALSE)+VLOOKUP(A3540,'Fleet register'!$A$7:$S$106,16,FALSE),0),"n.a."))</f>
        <v>0</v>
      </c>
      <c r="S3540" s="1">
        <f>IF(NOT(Paths!$C$328=1),0,IF(Paths!$P$328="Complete",IF(C3540=0,0,Paths!$S$328*Paths!$R$328),"n.a."))</f>
        <v>0</v>
      </c>
      <c r="T3540" s="1">
        <f>IF(NOT(Paths!$C$328=1),0,IF(Paths!$P$328="Complete",IF(C3540=0,0,VLOOKUP(A3540,'Fleet register'!$A$7:$S$106,9,FALSE)*Paths!$R$328),"n.a."))</f>
        <v>0</v>
      </c>
    </row>
    <row r="3541" spans="1:20" ht="24" customHeight="1">
      <c r="A3541" s="1" t="str">
        <f>Paths!$A$328</f>
        <v>T081</v>
      </c>
      <c r="B3541" s="1">
        <f>Paths!$B$328</f>
        <v>1</v>
      </c>
      <c r="C3541" s="1">
        <v>3</v>
      </c>
      <c r="D3541" s="1">
        <v>328</v>
      </c>
      <c r="E3541" s="1">
        <f>IF(OR(Paths!$C$328=0,C3541=0),0,MAX(0,MIN(C3541*12,Paths!$E$328)-(C3541-1)*12))</f>
        <v>0</v>
      </c>
      <c r="F3541" s="1">
        <f>IF(OR(Paths!$C$328=0,C3541=0),0,12-E3541)</f>
        <v>0</v>
      </c>
      <c r="G3541" s="16">
        <f>IF(NOT(Paths!$C$328=1),0,IF(Paths!$P$328="Complete",E3541/12*(Paths!$J$328*(1+'Operating costs'!$B$51)^MAX(0,C3541-1)+Paths!$K$328*(1+'Operating costs'!$B$53)^MAX(0,C3541-1)),"n.a."))</f>
        <v>0</v>
      </c>
      <c r="H3541" s="16">
        <f>IF(NOT(Paths!$C$328=1),0,IF(Paths!$P$328="Complete",F3541/12*(Paths!$L$328*(1+IF(Paths!$D$328="EV",'Operating costs'!$B$52,'Operating costs'!$B$51))^MAX(0,C3541-1)+Paths!$M$328*(1+'Operating costs'!$B$53)^MAX(0,C3541-1)),"n.a."))</f>
        <v>0</v>
      </c>
      <c r="I3541" s="16">
        <f>IF(NOT(Paths!$C$328=1),0,IF(Paths!$P$328="Complete",IF(IF(Paths!$E$328=0,C3541=0,AND(C3541&gt;0,Paths!$E$328&gt;(C3541-1)*12,Paths!$E$328&lt;=C3541*12)),Paths!$G$328,0),"n.a."))</f>
        <v>0</v>
      </c>
      <c r="J3541" s="16">
        <f>IF(NOT(Paths!$C$328=1),0,IF(Paths!$P$328="Complete",IF(IF(Paths!$E$328=0,C3541=0,AND(C3541&gt;0,Paths!$E$328&gt;(C3541-1)*12,Paths!$E$328&lt;=C3541*12)),Paths!$H$328,0),"n.a."))</f>
        <v>0</v>
      </c>
      <c r="K3541" s="16">
        <f>IF(NOT(Paths!$C$328=1),0,IF(Paths!$P$328="Complete",IF(IF(Paths!$O$328=0,C3541=0,AND(C3541&gt;0,Paths!$O$328&gt;(C3541-1)*12,Paths!$O$328&lt;=C3541*12)),Paths!$N$328,0),"n.a."))</f>
        <v>0</v>
      </c>
      <c r="L3541" s="16">
        <f>IF(NOT(Paths!$C$328=1),0,IF(Paths!$P$328="Complete",IF(C3541=10,Paths!$I$328,0),"n.a."))</f>
        <v>0</v>
      </c>
      <c r="M3541" s="16">
        <f>IF(NOT(Paths!$C$328=1),0,IF(Paths!$P$328="Complete",IF(AND(Paths!$D$328="EV",Paths!$E$328&lt;120,Paths!$E$328+'Operating costs'!$B$65&gt;Paths!$E$328,Paths!$E$328+'Operating costs'!$B$65&lt;=120,IF(Paths!$E$328+'Operating costs'!$B$65=0,C3541=0,AND(C3541&gt;0,Paths!$E$328+'Operating costs'!$B$65&gt;(C3541-1)*12,Paths!$E$328+'Operating costs'!$B$65&lt;=C3541*12))),'Operating costs'!$B$64,0)+IF(AND('Operating costs'!$B$67&gt;0,'Operating costs'!$B$67&lt;=120,OR(Paths!$D$328="ICE",'Operating costs'!$B$67&lt;=Paths!$E$328),IF('Operating costs'!$B$67=0,C3541=0,AND(C3541&gt;0,'Operating costs'!$B$67&gt;(C3541-1)*12,'Operating costs'!$B$67&lt;=C3541*12))),'Operating costs'!$B$66,0),"n.a."))</f>
        <v>0</v>
      </c>
      <c r="N3541" s="16">
        <f>IF(NOT(Paths!$C$328=1),0,IF(Paths!$P$328="Complete",SUM(G3541:I3541)-J3541-K3541-L3541+M3541+IF(C3541=0,Paths!$F$328,0)+IF(IF(Paths!$E$328=0,C3541=0,AND(C3541&gt;0,Paths!$E$328&gt;(C3541-1)*12,Paths!$E$328&lt;=C3541*12)),VLOOKUP(A3541,'Fleet register'!$A$7:$S$106,16,FALSE),0),"n.a."))</f>
        <v>0</v>
      </c>
      <c r="O3541" s="16">
        <f>IF(NOT(Paths!$C$328=1),0,IF(Paths!$P$328="Complete",N3541-IF(C3541=0,Paths!$F$328,0),"n.a."))</f>
        <v>0</v>
      </c>
      <c r="P3541" s="16">
        <f>IF(NOT(Paths!$C$328=1),0,IF(Paths!$P$328="Complete",O3541+L3541,"n.a."))</f>
        <v>0</v>
      </c>
      <c r="Q3541" s="16">
        <f>IF(NOT(Paths!$C$328=1),0,IF(Paths!$P$328="Complete",N3541*(1+'Operating costs'!$B$54)^-C3541,"n.a."))</f>
        <v>0</v>
      </c>
      <c r="R3541" s="16">
        <f>IF(NOT(Paths!$C$328=1),0,IF(Paths!$P$328="Complete",IF(AND(C3541=0,Paths!$E$328=0),I3541-J3541-K3541+VLOOKUP(A3541,'Fleet register'!$A$7:$S$106,15,FALSE)+VLOOKUP(A3541,'Fleet register'!$A$7:$S$106,16,FALSE),0),"n.a."))</f>
        <v>0</v>
      </c>
      <c r="S3541" s="1">
        <f>IF(NOT(Paths!$C$328=1),0,IF(Paths!$P$328="Complete",IF(C3541=0,0,Paths!$S$328*Paths!$R$328),"n.a."))</f>
        <v>0</v>
      </c>
      <c r="T3541" s="1">
        <f>IF(NOT(Paths!$C$328=1),0,IF(Paths!$P$328="Complete",IF(C3541=0,0,VLOOKUP(A3541,'Fleet register'!$A$7:$S$106,9,FALSE)*Paths!$R$328),"n.a."))</f>
        <v>0</v>
      </c>
    </row>
    <row r="3542" spans="1:20" ht="24" customHeight="1">
      <c r="A3542" s="1" t="str">
        <f>Paths!$A$328</f>
        <v>T081</v>
      </c>
      <c r="B3542" s="1">
        <f>Paths!$B$328</f>
        <v>1</v>
      </c>
      <c r="C3542" s="1">
        <v>4</v>
      </c>
      <c r="D3542" s="1">
        <v>328</v>
      </c>
      <c r="E3542" s="1">
        <f>IF(OR(Paths!$C$328=0,C3542=0),0,MAX(0,MIN(C3542*12,Paths!$E$328)-(C3542-1)*12))</f>
        <v>0</v>
      </c>
      <c r="F3542" s="1">
        <f>IF(OR(Paths!$C$328=0,C3542=0),0,12-E3542)</f>
        <v>0</v>
      </c>
      <c r="G3542" s="16">
        <f>IF(NOT(Paths!$C$328=1),0,IF(Paths!$P$328="Complete",E3542/12*(Paths!$J$328*(1+'Operating costs'!$B$51)^MAX(0,C3542-1)+Paths!$K$328*(1+'Operating costs'!$B$53)^MAX(0,C3542-1)),"n.a."))</f>
        <v>0</v>
      </c>
      <c r="H3542" s="16">
        <f>IF(NOT(Paths!$C$328=1),0,IF(Paths!$P$328="Complete",F3542/12*(Paths!$L$328*(1+IF(Paths!$D$328="EV",'Operating costs'!$B$52,'Operating costs'!$B$51))^MAX(0,C3542-1)+Paths!$M$328*(1+'Operating costs'!$B$53)^MAX(0,C3542-1)),"n.a."))</f>
        <v>0</v>
      </c>
      <c r="I3542" s="16">
        <f>IF(NOT(Paths!$C$328=1),0,IF(Paths!$P$328="Complete",IF(IF(Paths!$E$328=0,C3542=0,AND(C3542&gt;0,Paths!$E$328&gt;(C3542-1)*12,Paths!$E$328&lt;=C3542*12)),Paths!$G$328,0),"n.a."))</f>
        <v>0</v>
      </c>
      <c r="J3542" s="16">
        <f>IF(NOT(Paths!$C$328=1),0,IF(Paths!$P$328="Complete",IF(IF(Paths!$E$328=0,C3542=0,AND(C3542&gt;0,Paths!$E$328&gt;(C3542-1)*12,Paths!$E$328&lt;=C3542*12)),Paths!$H$328,0),"n.a."))</f>
        <v>0</v>
      </c>
      <c r="K3542" s="16">
        <f>IF(NOT(Paths!$C$328=1),0,IF(Paths!$P$328="Complete",IF(IF(Paths!$O$328=0,C3542=0,AND(C3542&gt;0,Paths!$O$328&gt;(C3542-1)*12,Paths!$O$328&lt;=C3542*12)),Paths!$N$328,0),"n.a."))</f>
        <v>0</v>
      </c>
      <c r="L3542" s="16">
        <f>IF(NOT(Paths!$C$328=1),0,IF(Paths!$P$328="Complete",IF(C3542=10,Paths!$I$328,0),"n.a."))</f>
        <v>0</v>
      </c>
      <c r="M3542" s="16">
        <f>IF(NOT(Paths!$C$328=1),0,IF(Paths!$P$328="Complete",IF(AND(Paths!$D$328="EV",Paths!$E$328&lt;120,Paths!$E$328+'Operating costs'!$B$65&gt;Paths!$E$328,Paths!$E$328+'Operating costs'!$B$65&lt;=120,IF(Paths!$E$328+'Operating costs'!$B$65=0,C3542=0,AND(C3542&gt;0,Paths!$E$328+'Operating costs'!$B$65&gt;(C3542-1)*12,Paths!$E$328+'Operating costs'!$B$65&lt;=C3542*12))),'Operating costs'!$B$64,0)+IF(AND('Operating costs'!$B$67&gt;0,'Operating costs'!$B$67&lt;=120,OR(Paths!$D$328="ICE",'Operating costs'!$B$67&lt;=Paths!$E$328),IF('Operating costs'!$B$67=0,C3542=0,AND(C3542&gt;0,'Operating costs'!$B$67&gt;(C3542-1)*12,'Operating costs'!$B$67&lt;=C3542*12))),'Operating costs'!$B$66,0),"n.a."))</f>
        <v>0</v>
      </c>
      <c r="N3542" s="16">
        <f>IF(NOT(Paths!$C$328=1),0,IF(Paths!$P$328="Complete",SUM(G3542:I3542)-J3542-K3542-L3542+M3542+IF(C3542=0,Paths!$F$328,0)+IF(IF(Paths!$E$328=0,C3542=0,AND(C3542&gt;0,Paths!$E$328&gt;(C3542-1)*12,Paths!$E$328&lt;=C3542*12)),VLOOKUP(A3542,'Fleet register'!$A$7:$S$106,16,FALSE),0),"n.a."))</f>
        <v>0</v>
      </c>
      <c r="O3542" s="16">
        <f>IF(NOT(Paths!$C$328=1),0,IF(Paths!$P$328="Complete",N3542-IF(C3542=0,Paths!$F$328,0),"n.a."))</f>
        <v>0</v>
      </c>
      <c r="P3542" s="16">
        <f>IF(NOT(Paths!$C$328=1),0,IF(Paths!$P$328="Complete",O3542+L3542,"n.a."))</f>
        <v>0</v>
      </c>
      <c r="Q3542" s="16">
        <f>IF(NOT(Paths!$C$328=1),0,IF(Paths!$P$328="Complete",N3542*(1+'Operating costs'!$B$54)^-C3542,"n.a."))</f>
        <v>0</v>
      </c>
      <c r="R3542" s="16">
        <f>IF(NOT(Paths!$C$328=1),0,IF(Paths!$P$328="Complete",IF(AND(C3542=0,Paths!$E$328=0),I3542-J3542-K3542+VLOOKUP(A3542,'Fleet register'!$A$7:$S$106,15,FALSE)+VLOOKUP(A3542,'Fleet register'!$A$7:$S$106,16,FALSE),0),"n.a."))</f>
        <v>0</v>
      </c>
      <c r="S3542" s="1">
        <f>IF(NOT(Paths!$C$328=1),0,IF(Paths!$P$328="Complete",IF(C3542=0,0,Paths!$S$328*Paths!$R$328),"n.a."))</f>
        <v>0</v>
      </c>
      <c r="T3542" s="1">
        <f>IF(NOT(Paths!$C$328=1),0,IF(Paths!$P$328="Complete",IF(C3542=0,0,VLOOKUP(A3542,'Fleet register'!$A$7:$S$106,9,FALSE)*Paths!$R$328),"n.a."))</f>
        <v>0</v>
      </c>
    </row>
    <row r="3543" spans="1:20" ht="24" customHeight="1">
      <c r="A3543" s="1" t="str">
        <f>Paths!$A$328</f>
        <v>T081</v>
      </c>
      <c r="B3543" s="1">
        <f>Paths!$B$328</f>
        <v>1</v>
      </c>
      <c r="C3543" s="1">
        <v>5</v>
      </c>
      <c r="D3543" s="1">
        <v>328</v>
      </c>
      <c r="E3543" s="1">
        <f>IF(OR(Paths!$C$328=0,C3543=0),0,MAX(0,MIN(C3543*12,Paths!$E$328)-(C3543-1)*12))</f>
        <v>0</v>
      </c>
      <c r="F3543" s="1">
        <f>IF(OR(Paths!$C$328=0,C3543=0),0,12-E3543)</f>
        <v>0</v>
      </c>
      <c r="G3543" s="16">
        <f>IF(NOT(Paths!$C$328=1),0,IF(Paths!$P$328="Complete",E3543/12*(Paths!$J$328*(1+'Operating costs'!$B$51)^MAX(0,C3543-1)+Paths!$K$328*(1+'Operating costs'!$B$53)^MAX(0,C3543-1)),"n.a."))</f>
        <v>0</v>
      </c>
      <c r="H3543" s="16">
        <f>IF(NOT(Paths!$C$328=1),0,IF(Paths!$P$328="Complete",F3543/12*(Paths!$L$328*(1+IF(Paths!$D$328="EV",'Operating costs'!$B$52,'Operating costs'!$B$51))^MAX(0,C3543-1)+Paths!$M$328*(1+'Operating costs'!$B$53)^MAX(0,C3543-1)),"n.a."))</f>
        <v>0</v>
      </c>
      <c r="I3543" s="16">
        <f>IF(NOT(Paths!$C$328=1),0,IF(Paths!$P$328="Complete",IF(IF(Paths!$E$328=0,C3543=0,AND(C3543&gt;0,Paths!$E$328&gt;(C3543-1)*12,Paths!$E$328&lt;=C3543*12)),Paths!$G$328,0),"n.a."))</f>
        <v>0</v>
      </c>
      <c r="J3543" s="16">
        <f>IF(NOT(Paths!$C$328=1),0,IF(Paths!$P$328="Complete",IF(IF(Paths!$E$328=0,C3543=0,AND(C3543&gt;0,Paths!$E$328&gt;(C3543-1)*12,Paths!$E$328&lt;=C3543*12)),Paths!$H$328,0),"n.a."))</f>
        <v>0</v>
      </c>
      <c r="K3543" s="16">
        <f>IF(NOT(Paths!$C$328=1),0,IF(Paths!$P$328="Complete",IF(IF(Paths!$O$328=0,C3543=0,AND(C3543&gt;0,Paths!$O$328&gt;(C3543-1)*12,Paths!$O$328&lt;=C3543*12)),Paths!$N$328,0),"n.a."))</f>
        <v>0</v>
      </c>
      <c r="L3543" s="16">
        <f>IF(NOT(Paths!$C$328=1),0,IF(Paths!$P$328="Complete",IF(C3543=10,Paths!$I$328,0),"n.a."))</f>
        <v>0</v>
      </c>
      <c r="M3543" s="16">
        <f>IF(NOT(Paths!$C$328=1),0,IF(Paths!$P$328="Complete",IF(AND(Paths!$D$328="EV",Paths!$E$328&lt;120,Paths!$E$328+'Operating costs'!$B$65&gt;Paths!$E$328,Paths!$E$328+'Operating costs'!$B$65&lt;=120,IF(Paths!$E$328+'Operating costs'!$B$65=0,C3543=0,AND(C3543&gt;0,Paths!$E$328+'Operating costs'!$B$65&gt;(C3543-1)*12,Paths!$E$328+'Operating costs'!$B$65&lt;=C3543*12))),'Operating costs'!$B$64,0)+IF(AND('Operating costs'!$B$67&gt;0,'Operating costs'!$B$67&lt;=120,OR(Paths!$D$328="ICE",'Operating costs'!$B$67&lt;=Paths!$E$328),IF('Operating costs'!$B$67=0,C3543=0,AND(C3543&gt;0,'Operating costs'!$B$67&gt;(C3543-1)*12,'Operating costs'!$B$67&lt;=C3543*12))),'Operating costs'!$B$66,0),"n.a."))</f>
        <v>0</v>
      </c>
      <c r="N3543" s="16">
        <f>IF(NOT(Paths!$C$328=1),0,IF(Paths!$P$328="Complete",SUM(G3543:I3543)-J3543-K3543-L3543+M3543+IF(C3543=0,Paths!$F$328,0)+IF(IF(Paths!$E$328=0,C3543=0,AND(C3543&gt;0,Paths!$E$328&gt;(C3543-1)*12,Paths!$E$328&lt;=C3543*12)),VLOOKUP(A3543,'Fleet register'!$A$7:$S$106,16,FALSE),0),"n.a."))</f>
        <v>0</v>
      </c>
      <c r="O3543" s="16">
        <f>IF(NOT(Paths!$C$328=1),0,IF(Paths!$P$328="Complete",N3543-IF(C3543=0,Paths!$F$328,0),"n.a."))</f>
        <v>0</v>
      </c>
      <c r="P3543" s="16">
        <f>IF(NOT(Paths!$C$328=1),0,IF(Paths!$P$328="Complete",O3543+L3543,"n.a."))</f>
        <v>0</v>
      </c>
      <c r="Q3543" s="16">
        <f>IF(NOT(Paths!$C$328=1),0,IF(Paths!$P$328="Complete",N3543*(1+'Operating costs'!$B$54)^-C3543,"n.a."))</f>
        <v>0</v>
      </c>
      <c r="R3543" s="16">
        <f>IF(NOT(Paths!$C$328=1),0,IF(Paths!$P$328="Complete",IF(AND(C3543=0,Paths!$E$328=0),I3543-J3543-K3543+VLOOKUP(A3543,'Fleet register'!$A$7:$S$106,15,FALSE)+VLOOKUP(A3543,'Fleet register'!$A$7:$S$106,16,FALSE),0),"n.a."))</f>
        <v>0</v>
      </c>
      <c r="S3543" s="1">
        <f>IF(NOT(Paths!$C$328=1),0,IF(Paths!$P$328="Complete",IF(C3543=0,0,Paths!$S$328*Paths!$R$328),"n.a."))</f>
        <v>0</v>
      </c>
      <c r="T3543" s="1">
        <f>IF(NOT(Paths!$C$328=1),0,IF(Paths!$P$328="Complete",IF(C3543=0,0,VLOOKUP(A3543,'Fleet register'!$A$7:$S$106,9,FALSE)*Paths!$R$328),"n.a."))</f>
        <v>0</v>
      </c>
    </row>
    <row r="3544" spans="1:20" ht="24" customHeight="1">
      <c r="A3544" s="1" t="str">
        <f>Paths!$A$328</f>
        <v>T081</v>
      </c>
      <c r="B3544" s="1">
        <f>Paths!$B$328</f>
        <v>1</v>
      </c>
      <c r="C3544" s="1">
        <v>6</v>
      </c>
      <c r="D3544" s="1">
        <v>328</v>
      </c>
      <c r="E3544" s="1">
        <f>IF(OR(Paths!$C$328=0,C3544=0),0,MAX(0,MIN(C3544*12,Paths!$E$328)-(C3544-1)*12))</f>
        <v>0</v>
      </c>
      <c r="F3544" s="1">
        <f>IF(OR(Paths!$C$328=0,C3544=0),0,12-E3544)</f>
        <v>0</v>
      </c>
      <c r="G3544" s="16">
        <f>IF(NOT(Paths!$C$328=1),0,IF(Paths!$P$328="Complete",E3544/12*(Paths!$J$328*(1+'Operating costs'!$B$51)^MAX(0,C3544-1)+Paths!$K$328*(1+'Operating costs'!$B$53)^MAX(0,C3544-1)),"n.a."))</f>
        <v>0</v>
      </c>
      <c r="H3544" s="16">
        <f>IF(NOT(Paths!$C$328=1),0,IF(Paths!$P$328="Complete",F3544/12*(Paths!$L$328*(1+IF(Paths!$D$328="EV",'Operating costs'!$B$52,'Operating costs'!$B$51))^MAX(0,C3544-1)+Paths!$M$328*(1+'Operating costs'!$B$53)^MAX(0,C3544-1)),"n.a."))</f>
        <v>0</v>
      </c>
      <c r="I3544" s="16">
        <f>IF(NOT(Paths!$C$328=1),0,IF(Paths!$P$328="Complete",IF(IF(Paths!$E$328=0,C3544=0,AND(C3544&gt;0,Paths!$E$328&gt;(C3544-1)*12,Paths!$E$328&lt;=C3544*12)),Paths!$G$328,0),"n.a."))</f>
        <v>0</v>
      </c>
      <c r="J3544" s="16">
        <f>IF(NOT(Paths!$C$328=1),0,IF(Paths!$P$328="Complete",IF(IF(Paths!$E$328=0,C3544=0,AND(C3544&gt;0,Paths!$E$328&gt;(C3544-1)*12,Paths!$E$328&lt;=C3544*12)),Paths!$H$328,0),"n.a."))</f>
        <v>0</v>
      </c>
      <c r="K3544" s="16">
        <f>IF(NOT(Paths!$C$328=1),0,IF(Paths!$P$328="Complete",IF(IF(Paths!$O$328=0,C3544=0,AND(C3544&gt;0,Paths!$O$328&gt;(C3544-1)*12,Paths!$O$328&lt;=C3544*12)),Paths!$N$328,0),"n.a."))</f>
        <v>0</v>
      </c>
      <c r="L3544" s="16">
        <f>IF(NOT(Paths!$C$328=1),0,IF(Paths!$P$328="Complete",IF(C3544=10,Paths!$I$328,0),"n.a."))</f>
        <v>0</v>
      </c>
      <c r="M3544" s="16">
        <f>IF(NOT(Paths!$C$328=1),0,IF(Paths!$P$328="Complete",IF(AND(Paths!$D$328="EV",Paths!$E$328&lt;120,Paths!$E$328+'Operating costs'!$B$65&gt;Paths!$E$328,Paths!$E$328+'Operating costs'!$B$65&lt;=120,IF(Paths!$E$328+'Operating costs'!$B$65=0,C3544=0,AND(C3544&gt;0,Paths!$E$328+'Operating costs'!$B$65&gt;(C3544-1)*12,Paths!$E$328+'Operating costs'!$B$65&lt;=C3544*12))),'Operating costs'!$B$64,0)+IF(AND('Operating costs'!$B$67&gt;0,'Operating costs'!$B$67&lt;=120,OR(Paths!$D$328="ICE",'Operating costs'!$B$67&lt;=Paths!$E$328),IF('Operating costs'!$B$67=0,C3544=0,AND(C3544&gt;0,'Operating costs'!$B$67&gt;(C3544-1)*12,'Operating costs'!$B$67&lt;=C3544*12))),'Operating costs'!$B$66,0),"n.a."))</f>
        <v>0</v>
      </c>
      <c r="N3544" s="16">
        <f>IF(NOT(Paths!$C$328=1),0,IF(Paths!$P$328="Complete",SUM(G3544:I3544)-J3544-K3544-L3544+M3544+IF(C3544=0,Paths!$F$328,0)+IF(IF(Paths!$E$328=0,C3544=0,AND(C3544&gt;0,Paths!$E$328&gt;(C3544-1)*12,Paths!$E$328&lt;=C3544*12)),VLOOKUP(A3544,'Fleet register'!$A$7:$S$106,16,FALSE),0),"n.a."))</f>
        <v>0</v>
      </c>
      <c r="O3544" s="16">
        <f>IF(NOT(Paths!$C$328=1),0,IF(Paths!$P$328="Complete",N3544-IF(C3544=0,Paths!$F$328,0),"n.a."))</f>
        <v>0</v>
      </c>
      <c r="P3544" s="16">
        <f>IF(NOT(Paths!$C$328=1),0,IF(Paths!$P$328="Complete",O3544+L3544,"n.a."))</f>
        <v>0</v>
      </c>
      <c r="Q3544" s="16">
        <f>IF(NOT(Paths!$C$328=1),0,IF(Paths!$P$328="Complete",N3544*(1+'Operating costs'!$B$54)^-C3544,"n.a."))</f>
        <v>0</v>
      </c>
      <c r="R3544" s="16">
        <f>IF(NOT(Paths!$C$328=1),0,IF(Paths!$P$328="Complete",IF(AND(C3544=0,Paths!$E$328=0),I3544-J3544-K3544+VLOOKUP(A3544,'Fleet register'!$A$7:$S$106,15,FALSE)+VLOOKUP(A3544,'Fleet register'!$A$7:$S$106,16,FALSE),0),"n.a."))</f>
        <v>0</v>
      </c>
      <c r="S3544" s="1">
        <f>IF(NOT(Paths!$C$328=1),0,IF(Paths!$P$328="Complete",IF(C3544=0,0,Paths!$S$328*Paths!$R$328),"n.a."))</f>
        <v>0</v>
      </c>
      <c r="T3544" s="1">
        <f>IF(NOT(Paths!$C$328=1),0,IF(Paths!$P$328="Complete",IF(C3544=0,0,VLOOKUP(A3544,'Fleet register'!$A$7:$S$106,9,FALSE)*Paths!$R$328),"n.a."))</f>
        <v>0</v>
      </c>
    </row>
    <row r="3545" spans="1:20" ht="24" customHeight="1">
      <c r="A3545" s="1" t="str">
        <f>Paths!$A$328</f>
        <v>T081</v>
      </c>
      <c r="B3545" s="1">
        <f>Paths!$B$328</f>
        <v>1</v>
      </c>
      <c r="C3545" s="1">
        <v>7</v>
      </c>
      <c r="D3545" s="1">
        <v>328</v>
      </c>
      <c r="E3545" s="1">
        <f>IF(OR(Paths!$C$328=0,C3545=0),0,MAX(0,MIN(C3545*12,Paths!$E$328)-(C3545-1)*12))</f>
        <v>0</v>
      </c>
      <c r="F3545" s="1">
        <f>IF(OR(Paths!$C$328=0,C3545=0),0,12-E3545)</f>
        <v>0</v>
      </c>
      <c r="G3545" s="16">
        <f>IF(NOT(Paths!$C$328=1),0,IF(Paths!$P$328="Complete",E3545/12*(Paths!$J$328*(1+'Operating costs'!$B$51)^MAX(0,C3545-1)+Paths!$K$328*(1+'Operating costs'!$B$53)^MAX(0,C3545-1)),"n.a."))</f>
        <v>0</v>
      </c>
      <c r="H3545" s="16">
        <f>IF(NOT(Paths!$C$328=1),0,IF(Paths!$P$328="Complete",F3545/12*(Paths!$L$328*(1+IF(Paths!$D$328="EV",'Operating costs'!$B$52,'Operating costs'!$B$51))^MAX(0,C3545-1)+Paths!$M$328*(1+'Operating costs'!$B$53)^MAX(0,C3545-1)),"n.a."))</f>
        <v>0</v>
      </c>
      <c r="I3545" s="16">
        <f>IF(NOT(Paths!$C$328=1),0,IF(Paths!$P$328="Complete",IF(IF(Paths!$E$328=0,C3545=0,AND(C3545&gt;0,Paths!$E$328&gt;(C3545-1)*12,Paths!$E$328&lt;=C3545*12)),Paths!$G$328,0),"n.a."))</f>
        <v>0</v>
      </c>
      <c r="J3545" s="16">
        <f>IF(NOT(Paths!$C$328=1),0,IF(Paths!$P$328="Complete",IF(IF(Paths!$E$328=0,C3545=0,AND(C3545&gt;0,Paths!$E$328&gt;(C3545-1)*12,Paths!$E$328&lt;=C3545*12)),Paths!$H$328,0),"n.a."))</f>
        <v>0</v>
      </c>
      <c r="K3545" s="16">
        <f>IF(NOT(Paths!$C$328=1),0,IF(Paths!$P$328="Complete",IF(IF(Paths!$O$328=0,C3545=0,AND(C3545&gt;0,Paths!$O$328&gt;(C3545-1)*12,Paths!$O$328&lt;=C3545*12)),Paths!$N$328,0),"n.a."))</f>
        <v>0</v>
      </c>
      <c r="L3545" s="16">
        <f>IF(NOT(Paths!$C$328=1),0,IF(Paths!$P$328="Complete",IF(C3545=10,Paths!$I$328,0),"n.a."))</f>
        <v>0</v>
      </c>
      <c r="M3545" s="16">
        <f>IF(NOT(Paths!$C$328=1),0,IF(Paths!$P$328="Complete",IF(AND(Paths!$D$328="EV",Paths!$E$328&lt;120,Paths!$E$328+'Operating costs'!$B$65&gt;Paths!$E$328,Paths!$E$328+'Operating costs'!$B$65&lt;=120,IF(Paths!$E$328+'Operating costs'!$B$65=0,C3545=0,AND(C3545&gt;0,Paths!$E$328+'Operating costs'!$B$65&gt;(C3545-1)*12,Paths!$E$328+'Operating costs'!$B$65&lt;=C3545*12))),'Operating costs'!$B$64,0)+IF(AND('Operating costs'!$B$67&gt;0,'Operating costs'!$B$67&lt;=120,OR(Paths!$D$328="ICE",'Operating costs'!$B$67&lt;=Paths!$E$328),IF('Operating costs'!$B$67=0,C3545=0,AND(C3545&gt;0,'Operating costs'!$B$67&gt;(C3545-1)*12,'Operating costs'!$B$67&lt;=C3545*12))),'Operating costs'!$B$66,0),"n.a."))</f>
        <v>0</v>
      </c>
      <c r="N3545" s="16">
        <f>IF(NOT(Paths!$C$328=1),0,IF(Paths!$P$328="Complete",SUM(G3545:I3545)-J3545-K3545-L3545+M3545+IF(C3545=0,Paths!$F$328,0)+IF(IF(Paths!$E$328=0,C3545=0,AND(C3545&gt;0,Paths!$E$328&gt;(C3545-1)*12,Paths!$E$328&lt;=C3545*12)),VLOOKUP(A3545,'Fleet register'!$A$7:$S$106,16,FALSE),0),"n.a."))</f>
        <v>0</v>
      </c>
      <c r="O3545" s="16">
        <f>IF(NOT(Paths!$C$328=1),0,IF(Paths!$P$328="Complete",N3545-IF(C3545=0,Paths!$F$328,0),"n.a."))</f>
        <v>0</v>
      </c>
      <c r="P3545" s="16">
        <f>IF(NOT(Paths!$C$328=1),0,IF(Paths!$P$328="Complete",O3545+L3545,"n.a."))</f>
        <v>0</v>
      </c>
      <c r="Q3545" s="16">
        <f>IF(NOT(Paths!$C$328=1),0,IF(Paths!$P$328="Complete",N3545*(1+'Operating costs'!$B$54)^-C3545,"n.a."))</f>
        <v>0</v>
      </c>
      <c r="R3545" s="16">
        <f>IF(NOT(Paths!$C$328=1),0,IF(Paths!$P$328="Complete",IF(AND(C3545=0,Paths!$E$328=0),I3545-J3545-K3545+VLOOKUP(A3545,'Fleet register'!$A$7:$S$106,15,FALSE)+VLOOKUP(A3545,'Fleet register'!$A$7:$S$106,16,FALSE),0),"n.a."))</f>
        <v>0</v>
      </c>
      <c r="S3545" s="1">
        <f>IF(NOT(Paths!$C$328=1),0,IF(Paths!$P$328="Complete",IF(C3545=0,0,Paths!$S$328*Paths!$R$328),"n.a."))</f>
        <v>0</v>
      </c>
      <c r="T3545" s="1">
        <f>IF(NOT(Paths!$C$328=1),0,IF(Paths!$P$328="Complete",IF(C3545=0,0,VLOOKUP(A3545,'Fleet register'!$A$7:$S$106,9,FALSE)*Paths!$R$328),"n.a."))</f>
        <v>0</v>
      </c>
    </row>
    <row r="3546" spans="1:20" ht="24" customHeight="1">
      <c r="A3546" s="1" t="str">
        <f>Paths!$A$328</f>
        <v>T081</v>
      </c>
      <c r="B3546" s="1">
        <f>Paths!$B$328</f>
        <v>1</v>
      </c>
      <c r="C3546" s="1">
        <v>8</v>
      </c>
      <c r="D3546" s="1">
        <v>328</v>
      </c>
      <c r="E3546" s="1">
        <f>IF(OR(Paths!$C$328=0,C3546=0),0,MAX(0,MIN(C3546*12,Paths!$E$328)-(C3546-1)*12))</f>
        <v>0</v>
      </c>
      <c r="F3546" s="1">
        <f>IF(OR(Paths!$C$328=0,C3546=0),0,12-E3546)</f>
        <v>0</v>
      </c>
      <c r="G3546" s="16">
        <f>IF(NOT(Paths!$C$328=1),0,IF(Paths!$P$328="Complete",E3546/12*(Paths!$J$328*(1+'Operating costs'!$B$51)^MAX(0,C3546-1)+Paths!$K$328*(1+'Operating costs'!$B$53)^MAX(0,C3546-1)),"n.a."))</f>
        <v>0</v>
      </c>
      <c r="H3546" s="16">
        <f>IF(NOT(Paths!$C$328=1),0,IF(Paths!$P$328="Complete",F3546/12*(Paths!$L$328*(1+IF(Paths!$D$328="EV",'Operating costs'!$B$52,'Operating costs'!$B$51))^MAX(0,C3546-1)+Paths!$M$328*(1+'Operating costs'!$B$53)^MAX(0,C3546-1)),"n.a."))</f>
        <v>0</v>
      </c>
      <c r="I3546" s="16">
        <f>IF(NOT(Paths!$C$328=1),0,IF(Paths!$P$328="Complete",IF(IF(Paths!$E$328=0,C3546=0,AND(C3546&gt;0,Paths!$E$328&gt;(C3546-1)*12,Paths!$E$328&lt;=C3546*12)),Paths!$G$328,0),"n.a."))</f>
        <v>0</v>
      </c>
      <c r="J3546" s="16">
        <f>IF(NOT(Paths!$C$328=1),0,IF(Paths!$P$328="Complete",IF(IF(Paths!$E$328=0,C3546=0,AND(C3546&gt;0,Paths!$E$328&gt;(C3546-1)*12,Paths!$E$328&lt;=C3546*12)),Paths!$H$328,0),"n.a."))</f>
        <v>0</v>
      </c>
      <c r="K3546" s="16">
        <f>IF(NOT(Paths!$C$328=1),0,IF(Paths!$P$328="Complete",IF(IF(Paths!$O$328=0,C3546=0,AND(C3546&gt;0,Paths!$O$328&gt;(C3546-1)*12,Paths!$O$328&lt;=C3546*12)),Paths!$N$328,0),"n.a."))</f>
        <v>0</v>
      </c>
      <c r="L3546" s="16">
        <f>IF(NOT(Paths!$C$328=1),0,IF(Paths!$P$328="Complete",IF(C3546=10,Paths!$I$328,0),"n.a."))</f>
        <v>0</v>
      </c>
      <c r="M3546" s="16">
        <f>IF(NOT(Paths!$C$328=1),0,IF(Paths!$P$328="Complete",IF(AND(Paths!$D$328="EV",Paths!$E$328&lt;120,Paths!$E$328+'Operating costs'!$B$65&gt;Paths!$E$328,Paths!$E$328+'Operating costs'!$B$65&lt;=120,IF(Paths!$E$328+'Operating costs'!$B$65=0,C3546=0,AND(C3546&gt;0,Paths!$E$328+'Operating costs'!$B$65&gt;(C3546-1)*12,Paths!$E$328+'Operating costs'!$B$65&lt;=C3546*12))),'Operating costs'!$B$64,0)+IF(AND('Operating costs'!$B$67&gt;0,'Operating costs'!$B$67&lt;=120,OR(Paths!$D$328="ICE",'Operating costs'!$B$67&lt;=Paths!$E$328),IF('Operating costs'!$B$67=0,C3546=0,AND(C3546&gt;0,'Operating costs'!$B$67&gt;(C3546-1)*12,'Operating costs'!$B$67&lt;=C3546*12))),'Operating costs'!$B$66,0),"n.a."))</f>
        <v>0</v>
      </c>
      <c r="N3546" s="16">
        <f>IF(NOT(Paths!$C$328=1),0,IF(Paths!$P$328="Complete",SUM(G3546:I3546)-J3546-K3546-L3546+M3546+IF(C3546=0,Paths!$F$328,0)+IF(IF(Paths!$E$328=0,C3546=0,AND(C3546&gt;0,Paths!$E$328&gt;(C3546-1)*12,Paths!$E$328&lt;=C3546*12)),VLOOKUP(A3546,'Fleet register'!$A$7:$S$106,16,FALSE),0),"n.a."))</f>
        <v>0</v>
      </c>
      <c r="O3546" s="16">
        <f>IF(NOT(Paths!$C$328=1),0,IF(Paths!$P$328="Complete",N3546-IF(C3546=0,Paths!$F$328,0),"n.a."))</f>
        <v>0</v>
      </c>
      <c r="P3546" s="16">
        <f>IF(NOT(Paths!$C$328=1),0,IF(Paths!$P$328="Complete",O3546+L3546,"n.a."))</f>
        <v>0</v>
      </c>
      <c r="Q3546" s="16">
        <f>IF(NOT(Paths!$C$328=1),0,IF(Paths!$P$328="Complete",N3546*(1+'Operating costs'!$B$54)^-C3546,"n.a."))</f>
        <v>0</v>
      </c>
      <c r="R3546" s="16">
        <f>IF(NOT(Paths!$C$328=1),0,IF(Paths!$P$328="Complete",IF(AND(C3546=0,Paths!$E$328=0),I3546-J3546-K3546+VLOOKUP(A3546,'Fleet register'!$A$7:$S$106,15,FALSE)+VLOOKUP(A3546,'Fleet register'!$A$7:$S$106,16,FALSE),0),"n.a."))</f>
        <v>0</v>
      </c>
      <c r="S3546" s="1">
        <f>IF(NOT(Paths!$C$328=1),0,IF(Paths!$P$328="Complete",IF(C3546=0,0,Paths!$S$328*Paths!$R$328),"n.a."))</f>
        <v>0</v>
      </c>
      <c r="T3546" s="1">
        <f>IF(NOT(Paths!$C$328=1),0,IF(Paths!$P$328="Complete",IF(C3546=0,0,VLOOKUP(A3546,'Fleet register'!$A$7:$S$106,9,FALSE)*Paths!$R$328),"n.a."))</f>
        <v>0</v>
      </c>
    </row>
    <row r="3547" spans="1:20" ht="24" customHeight="1">
      <c r="A3547" s="1" t="str">
        <f>Paths!$A$328</f>
        <v>T081</v>
      </c>
      <c r="B3547" s="1">
        <f>Paths!$B$328</f>
        <v>1</v>
      </c>
      <c r="C3547" s="1">
        <v>9</v>
      </c>
      <c r="D3547" s="1">
        <v>328</v>
      </c>
      <c r="E3547" s="1">
        <f>IF(OR(Paths!$C$328=0,C3547=0),0,MAX(0,MIN(C3547*12,Paths!$E$328)-(C3547-1)*12))</f>
        <v>0</v>
      </c>
      <c r="F3547" s="1">
        <f>IF(OR(Paths!$C$328=0,C3547=0),0,12-E3547)</f>
        <v>0</v>
      </c>
      <c r="G3547" s="16">
        <f>IF(NOT(Paths!$C$328=1),0,IF(Paths!$P$328="Complete",E3547/12*(Paths!$J$328*(1+'Operating costs'!$B$51)^MAX(0,C3547-1)+Paths!$K$328*(1+'Operating costs'!$B$53)^MAX(0,C3547-1)),"n.a."))</f>
        <v>0</v>
      </c>
      <c r="H3547" s="16">
        <f>IF(NOT(Paths!$C$328=1),0,IF(Paths!$P$328="Complete",F3547/12*(Paths!$L$328*(1+IF(Paths!$D$328="EV",'Operating costs'!$B$52,'Operating costs'!$B$51))^MAX(0,C3547-1)+Paths!$M$328*(1+'Operating costs'!$B$53)^MAX(0,C3547-1)),"n.a."))</f>
        <v>0</v>
      </c>
      <c r="I3547" s="16">
        <f>IF(NOT(Paths!$C$328=1),0,IF(Paths!$P$328="Complete",IF(IF(Paths!$E$328=0,C3547=0,AND(C3547&gt;0,Paths!$E$328&gt;(C3547-1)*12,Paths!$E$328&lt;=C3547*12)),Paths!$G$328,0),"n.a."))</f>
        <v>0</v>
      </c>
      <c r="J3547" s="16">
        <f>IF(NOT(Paths!$C$328=1),0,IF(Paths!$P$328="Complete",IF(IF(Paths!$E$328=0,C3547=0,AND(C3547&gt;0,Paths!$E$328&gt;(C3547-1)*12,Paths!$E$328&lt;=C3547*12)),Paths!$H$328,0),"n.a."))</f>
        <v>0</v>
      </c>
      <c r="K3547" s="16">
        <f>IF(NOT(Paths!$C$328=1),0,IF(Paths!$P$328="Complete",IF(IF(Paths!$O$328=0,C3547=0,AND(C3547&gt;0,Paths!$O$328&gt;(C3547-1)*12,Paths!$O$328&lt;=C3547*12)),Paths!$N$328,0),"n.a."))</f>
        <v>0</v>
      </c>
      <c r="L3547" s="16">
        <f>IF(NOT(Paths!$C$328=1),0,IF(Paths!$P$328="Complete",IF(C3547=10,Paths!$I$328,0),"n.a."))</f>
        <v>0</v>
      </c>
      <c r="M3547" s="16">
        <f>IF(NOT(Paths!$C$328=1),0,IF(Paths!$P$328="Complete",IF(AND(Paths!$D$328="EV",Paths!$E$328&lt;120,Paths!$E$328+'Operating costs'!$B$65&gt;Paths!$E$328,Paths!$E$328+'Operating costs'!$B$65&lt;=120,IF(Paths!$E$328+'Operating costs'!$B$65=0,C3547=0,AND(C3547&gt;0,Paths!$E$328+'Operating costs'!$B$65&gt;(C3547-1)*12,Paths!$E$328+'Operating costs'!$B$65&lt;=C3547*12))),'Operating costs'!$B$64,0)+IF(AND('Operating costs'!$B$67&gt;0,'Operating costs'!$B$67&lt;=120,OR(Paths!$D$328="ICE",'Operating costs'!$B$67&lt;=Paths!$E$328),IF('Operating costs'!$B$67=0,C3547=0,AND(C3547&gt;0,'Operating costs'!$B$67&gt;(C3547-1)*12,'Operating costs'!$B$67&lt;=C3547*12))),'Operating costs'!$B$66,0),"n.a."))</f>
        <v>0</v>
      </c>
      <c r="N3547" s="16">
        <f>IF(NOT(Paths!$C$328=1),0,IF(Paths!$P$328="Complete",SUM(G3547:I3547)-J3547-K3547-L3547+M3547+IF(C3547=0,Paths!$F$328,0)+IF(IF(Paths!$E$328=0,C3547=0,AND(C3547&gt;0,Paths!$E$328&gt;(C3547-1)*12,Paths!$E$328&lt;=C3547*12)),VLOOKUP(A3547,'Fleet register'!$A$7:$S$106,16,FALSE),0),"n.a."))</f>
        <v>0</v>
      </c>
      <c r="O3547" s="16">
        <f>IF(NOT(Paths!$C$328=1),0,IF(Paths!$P$328="Complete",N3547-IF(C3547=0,Paths!$F$328,0),"n.a."))</f>
        <v>0</v>
      </c>
      <c r="P3547" s="16">
        <f>IF(NOT(Paths!$C$328=1),0,IF(Paths!$P$328="Complete",O3547+L3547,"n.a."))</f>
        <v>0</v>
      </c>
      <c r="Q3547" s="16">
        <f>IF(NOT(Paths!$C$328=1),0,IF(Paths!$P$328="Complete",N3547*(1+'Operating costs'!$B$54)^-C3547,"n.a."))</f>
        <v>0</v>
      </c>
      <c r="R3547" s="16">
        <f>IF(NOT(Paths!$C$328=1),0,IF(Paths!$P$328="Complete",IF(AND(C3547=0,Paths!$E$328=0),I3547-J3547-K3547+VLOOKUP(A3547,'Fleet register'!$A$7:$S$106,15,FALSE)+VLOOKUP(A3547,'Fleet register'!$A$7:$S$106,16,FALSE),0),"n.a."))</f>
        <v>0</v>
      </c>
      <c r="S3547" s="1">
        <f>IF(NOT(Paths!$C$328=1),0,IF(Paths!$P$328="Complete",IF(C3547=0,0,Paths!$S$328*Paths!$R$328),"n.a."))</f>
        <v>0</v>
      </c>
      <c r="T3547" s="1">
        <f>IF(NOT(Paths!$C$328=1),0,IF(Paths!$P$328="Complete",IF(C3547=0,0,VLOOKUP(A3547,'Fleet register'!$A$7:$S$106,9,FALSE)*Paths!$R$328),"n.a."))</f>
        <v>0</v>
      </c>
    </row>
    <row r="3548" spans="1:20" ht="24" customHeight="1">
      <c r="A3548" s="1" t="str">
        <f>Paths!$A$328</f>
        <v>T081</v>
      </c>
      <c r="B3548" s="1">
        <f>Paths!$B$328</f>
        <v>1</v>
      </c>
      <c r="C3548" s="1">
        <v>10</v>
      </c>
      <c r="D3548" s="1">
        <v>328</v>
      </c>
      <c r="E3548" s="1">
        <f>IF(OR(Paths!$C$328=0,C3548=0),0,MAX(0,MIN(C3548*12,Paths!$E$328)-(C3548-1)*12))</f>
        <v>0</v>
      </c>
      <c r="F3548" s="1">
        <f>IF(OR(Paths!$C$328=0,C3548=0),0,12-E3548)</f>
        <v>0</v>
      </c>
      <c r="G3548" s="16">
        <f>IF(NOT(Paths!$C$328=1),0,IF(Paths!$P$328="Complete",E3548/12*(Paths!$J$328*(1+'Operating costs'!$B$51)^MAX(0,C3548-1)+Paths!$K$328*(1+'Operating costs'!$B$53)^MAX(0,C3548-1)),"n.a."))</f>
        <v>0</v>
      </c>
      <c r="H3548" s="16">
        <f>IF(NOT(Paths!$C$328=1),0,IF(Paths!$P$328="Complete",F3548/12*(Paths!$L$328*(1+IF(Paths!$D$328="EV",'Operating costs'!$B$52,'Operating costs'!$B$51))^MAX(0,C3548-1)+Paths!$M$328*(1+'Operating costs'!$B$53)^MAX(0,C3548-1)),"n.a."))</f>
        <v>0</v>
      </c>
      <c r="I3548" s="16">
        <f>IF(NOT(Paths!$C$328=1),0,IF(Paths!$P$328="Complete",IF(IF(Paths!$E$328=0,C3548=0,AND(C3548&gt;0,Paths!$E$328&gt;(C3548-1)*12,Paths!$E$328&lt;=C3548*12)),Paths!$G$328,0),"n.a."))</f>
        <v>0</v>
      </c>
      <c r="J3548" s="16">
        <f>IF(NOT(Paths!$C$328=1),0,IF(Paths!$P$328="Complete",IF(IF(Paths!$E$328=0,C3548=0,AND(C3548&gt;0,Paths!$E$328&gt;(C3548-1)*12,Paths!$E$328&lt;=C3548*12)),Paths!$H$328,0),"n.a."))</f>
        <v>0</v>
      </c>
      <c r="K3548" s="16">
        <f>IF(NOT(Paths!$C$328=1),0,IF(Paths!$P$328="Complete",IF(IF(Paths!$O$328=0,C3548=0,AND(C3548&gt;0,Paths!$O$328&gt;(C3548-1)*12,Paths!$O$328&lt;=C3548*12)),Paths!$N$328,0),"n.a."))</f>
        <v>0</v>
      </c>
      <c r="L3548" s="16">
        <f>IF(NOT(Paths!$C$328=1),0,IF(Paths!$P$328="Complete",IF(C3548=10,Paths!$I$328,0),"n.a."))</f>
        <v>0</v>
      </c>
      <c r="M3548" s="16">
        <f>IF(NOT(Paths!$C$328=1),0,IF(Paths!$P$328="Complete",IF(AND(Paths!$D$328="EV",Paths!$E$328&lt;120,Paths!$E$328+'Operating costs'!$B$65&gt;Paths!$E$328,Paths!$E$328+'Operating costs'!$B$65&lt;=120,IF(Paths!$E$328+'Operating costs'!$B$65=0,C3548=0,AND(C3548&gt;0,Paths!$E$328+'Operating costs'!$B$65&gt;(C3548-1)*12,Paths!$E$328+'Operating costs'!$B$65&lt;=C3548*12))),'Operating costs'!$B$64,0)+IF(AND('Operating costs'!$B$67&gt;0,'Operating costs'!$B$67&lt;=120,OR(Paths!$D$328="ICE",'Operating costs'!$B$67&lt;=Paths!$E$328),IF('Operating costs'!$B$67=0,C3548=0,AND(C3548&gt;0,'Operating costs'!$B$67&gt;(C3548-1)*12,'Operating costs'!$B$67&lt;=C3548*12))),'Operating costs'!$B$66,0),"n.a."))</f>
        <v>0</v>
      </c>
      <c r="N3548" s="16">
        <f>IF(NOT(Paths!$C$328=1),0,IF(Paths!$P$328="Complete",SUM(G3548:I3548)-J3548-K3548-L3548+M3548+IF(C3548=0,Paths!$F$328,0)+IF(IF(Paths!$E$328=0,C3548=0,AND(C3548&gt;0,Paths!$E$328&gt;(C3548-1)*12,Paths!$E$328&lt;=C3548*12)),VLOOKUP(A3548,'Fleet register'!$A$7:$S$106,16,FALSE),0),"n.a."))</f>
        <v>0</v>
      </c>
      <c r="O3548" s="16">
        <f>IF(NOT(Paths!$C$328=1),0,IF(Paths!$P$328="Complete",N3548-IF(C3548=0,Paths!$F$328,0),"n.a."))</f>
        <v>0</v>
      </c>
      <c r="P3548" s="16">
        <f>IF(NOT(Paths!$C$328=1),0,IF(Paths!$P$328="Complete",O3548+L3548,"n.a."))</f>
        <v>0</v>
      </c>
      <c r="Q3548" s="16">
        <f>IF(NOT(Paths!$C$328=1),0,IF(Paths!$P$328="Complete",N3548*(1+'Operating costs'!$B$54)^-C3548,"n.a."))</f>
        <v>0</v>
      </c>
      <c r="R3548" s="16">
        <f>IF(NOT(Paths!$C$328=1),0,IF(Paths!$P$328="Complete",IF(AND(C3548=0,Paths!$E$328=0),I3548-J3548-K3548+VLOOKUP(A3548,'Fleet register'!$A$7:$S$106,15,FALSE)+VLOOKUP(A3548,'Fleet register'!$A$7:$S$106,16,FALSE),0),"n.a."))</f>
        <v>0</v>
      </c>
      <c r="S3548" s="1">
        <f>IF(NOT(Paths!$C$328=1),0,IF(Paths!$P$328="Complete",IF(C3548=0,0,Paths!$S$328*Paths!$R$328),"n.a."))</f>
        <v>0</v>
      </c>
      <c r="T3548" s="1">
        <f>IF(NOT(Paths!$C$328=1),0,IF(Paths!$P$328="Complete",IF(C3548=0,0,VLOOKUP(A3548,'Fleet register'!$A$7:$S$106,9,FALSE)*Paths!$R$328),"n.a."))</f>
        <v>0</v>
      </c>
    </row>
    <row r="3549" spans="1:20" ht="24" customHeight="1">
      <c r="A3549" s="1" t="str">
        <f>Paths!$A$329</f>
        <v>T081</v>
      </c>
      <c r="B3549" s="1">
        <f>Paths!$B$329</f>
        <v>2</v>
      </c>
      <c r="C3549" s="1">
        <v>0</v>
      </c>
      <c r="D3549" s="1">
        <v>329</v>
      </c>
      <c r="E3549" s="1">
        <f>IF(OR(Paths!$C$329=0,C3549=0),0,MAX(0,MIN(C3549*12,Paths!$E$329)-(C3549-1)*12))</f>
        <v>0</v>
      </c>
      <c r="F3549" s="1">
        <f>IF(OR(Paths!$C$329=0,C3549=0),0,12-E3549)</f>
        <v>0</v>
      </c>
      <c r="G3549" s="16">
        <f>IF(NOT(Paths!$C$329=1),0,IF(Paths!$P$329="Complete",E3549/12*(Paths!$J$329*(1+'Operating costs'!$B$51)^MAX(0,C3549-1)+Paths!$K$329*(1+'Operating costs'!$B$53)^MAX(0,C3549-1)),"n.a."))</f>
        <v>0</v>
      </c>
      <c r="H3549" s="16">
        <f>IF(NOT(Paths!$C$329=1),0,IF(Paths!$P$329="Complete",F3549/12*(Paths!$L$329*(1+IF(Paths!$D$329="EV",'Operating costs'!$B$52,'Operating costs'!$B$51))^MAX(0,C3549-1)+Paths!$M$329*(1+'Operating costs'!$B$53)^MAX(0,C3549-1)),"n.a."))</f>
        <v>0</v>
      </c>
      <c r="I3549" s="16">
        <f>IF(NOT(Paths!$C$329=1),0,IF(Paths!$P$329="Complete",IF(IF(Paths!$E$329=0,C3549=0,AND(C3549&gt;0,Paths!$E$329&gt;(C3549-1)*12,Paths!$E$329&lt;=C3549*12)),Paths!$G$329,0),"n.a."))</f>
        <v>0</v>
      </c>
      <c r="J3549" s="16">
        <f>IF(NOT(Paths!$C$329=1),0,IF(Paths!$P$329="Complete",IF(IF(Paths!$E$329=0,C3549=0,AND(C3549&gt;0,Paths!$E$329&gt;(C3549-1)*12,Paths!$E$329&lt;=C3549*12)),Paths!$H$329,0),"n.a."))</f>
        <v>0</v>
      </c>
      <c r="K3549" s="16">
        <f>IF(NOT(Paths!$C$329=1),0,IF(Paths!$P$329="Complete",IF(IF(Paths!$O$329=0,C3549=0,AND(C3549&gt;0,Paths!$O$329&gt;(C3549-1)*12,Paths!$O$329&lt;=C3549*12)),Paths!$N$329,0),"n.a."))</f>
        <v>0</v>
      </c>
      <c r="L3549" s="16">
        <f>IF(NOT(Paths!$C$329=1),0,IF(Paths!$P$329="Complete",IF(C3549=10,Paths!$I$329,0),"n.a."))</f>
        <v>0</v>
      </c>
      <c r="M3549" s="16">
        <f>IF(NOT(Paths!$C$329=1),0,IF(Paths!$P$329="Complete",IF(AND(Paths!$D$329="EV",Paths!$E$329&lt;120,Paths!$E$329+'Operating costs'!$B$65&gt;Paths!$E$329,Paths!$E$329+'Operating costs'!$B$65&lt;=120,IF(Paths!$E$329+'Operating costs'!$B$65=0,C3549=0,AND(C3549&gt;0,Paths!$E$329+'Operating costs'!$B$65&gt;(C3549-1)*12,Paths!$E$329+'Operating costs'!$B$65&lt;=C3549*12))),'Operating costs'!$B$64,0)+IF(AND('Operating costs'!$B$67&gt;0,'Operating costs'!$B$67&lt;=120,OR(Paths!$D$329="ICE",'Operating costs'!$B$67&lt;=Paths!$E$329),IF('Operating costs'!$B$67=0,C3549=0,AND(C3549&gt;0,'Operating costs'!$B$67&gt;(C3549-1)*12,'Operating costs'!$B$67&lt;=C3549*12))),'Operating costs'!$B$66,0),"n.a."))</f>
        <v>0</v>
      </c>
      <c r="N3549" s="16">
        <f>IF(NOT(Paths!$C$329=1),0,IF(Paths!$P$329="Complete",SUM(G3549:I3549)-J3549-K3549-L3549+M3549+IF(C3549=0,Paths!$F$329,0)+IF(IF(Paths!$E$329=0,C3549=0,AND(C3549&gt;0,Paths!$E$329&gt;(C3549-1)*12,Paths!$E$329&lt;=C3549*12)),VLOOKUP(A3549,'Fleet register'!$A$7:$S$106,16,FALSE),0),"n.a."))</f>
        <v>0</v>
      </c>
      <c r="O3549" s="16">
        <f>IF(NOT(Paths!$C$329=1),0,IF(Paths!$P$329="Complete",N3549-IF(C3549=0,Paths!$F$329,0),"n.a."))</f>
        <v>0</v>
      </c>
      <c r="P3549" s="16">
        <f>IF(NOT(Paths!$C$329=1),0,IF(Paths!$P$329="Complete",O3549+L3549,"n.a."))</f>
        <v>0</v>
      </c>
      <c r="Q3549" s="16">
        <f>IF(NOT(Paths!$C$329=1),0,IF(Paths!$P$329="Complete",N3549*(1+'Operating costs'!$B$54)^-C3549,"n.a."))</f>
        <v>0</v>
      </c>
      <c r="R3549" s="16">
        <f>IF(NOT(Paths!$C$329=1),0,IF(Paths!$P$329="Complete",IF(AND(C3549=0,Paths!$E$329=0),I3549-J3549-K3549+VLOOKUP(A3549,'Fleet register'!$A$7:$S$106,15,FALSE)+VLOOKUP(A3549,'Fleet register'!$A$7:$S$106,16,FALSE),0),"n.a."))</f>
        <v>0</v>
      </c>
      <c r="S3549" s="1">
        <f>IF(NOT(Paths!$C$329=1),0,IF(Paths!$P$329="Complete",IF(C3549=0,0,Paths!$S$329*Paths!$R$329),"n.a."))</f>
        <v>0</v>
      </c>
      <c r="T3549" s="1">
        <f>IF(NOT(Paths!$C$329=1),0,IF(Paths!$P$329="Complete",IF(C3549=0,0,VLOOKUP(A3549,'Fleet register'!$A$7:$S$106,9,FALSE)*Paths!$R$329),"n.a."))</f>
        <v>0</v>
      </c>
    </row>
    <row r="3550" spans="1:20" ht="24" customHeight="1">
      <c r="A3550" s="1" t="str">
        <f>Paths!$A$329</f>
        <v>T081</v>
      </c>
      <c r="B3550" s="1">
        <f>Paths!$B$329</f>
        <v>2</v>
      </c>
      <c r="C3550" s="1">
        <v>1</v>
      </c>
      <c r="D3550" s="1">
        <v>329</v>
      </c>
      <c r="E3550" s="1">
        <f>IF(OR(Paths!$C$329=0,C3550=0),0,MAX(0,MIN(C3550*12,Paths!$E$329)-(C3550-1)*12))</f>
        <v>0</v>
      </c>
      <c r="F3550" s="1">
        <f>IF(OR(Paths!$C$329=0,C3550=0),0,12-E3550)</f>
        <v>0</v>
      </c>
      <c r="G3550" s="16">
        <f>IF(NOT(Paths!$C$329=1),0,IF(Paths!$P$329="Complete",E3550/12*(Paths!$J$329*(1+'Operating costs'!$B$51)^MAX(0,C3550-1)+Paths!$K$329*(1+'Operating costs'!$B$53)^MAX(0,C3550-1)),"n.a."))</f>
        <v>0</v>
      </c>
      <c r="H3550" s="16">
        <f>IF(NOT(Paths!$C$329=1),0,IF(Paths!$P$329="Complete",F3550/12*(Paths!$L$329*(1+IF(Paths!$D$329="EV",'Operating costs'!$B$52,'Operating costs'!$B$51))^MAX(0,C3550-1)+Paths!$M$329*(1+'Operating costs'!$B$53)^MAX(0,C3550-1)),"n.a."))</f>
        <v>0</v>
      </c>
      <c r="I3550" s="16">
        <f>IF(NOT(Paths!$C$329=1),0,IF(Paths!$P$329="Complete",IF(IF(Paths!$E$329=0,C3550=0,AND(C3550&gt;0,Paths!$E$329&gt;(C3550-1)*12,Paths!$E$329&lt;=C3550*12)),Paths!$G$329,0),"n.a."))</f>
        <v>0</v>
      </c>
      <c r="J3550" s="16">
        <f>IF(NOT(Paths!$C$329=1),0,IF(Paths!$P$329="Complete",IF(IF(Paths!$E$329=0,C3550=0,AND(C3550&gt;0,Paths!$E$329&gt;(C3550-1)*12,Paths!$E$329&lt;=C3550*12)),Paths!$H$329,0),"n.a."))</f>
        <v>0</v>
      </c>
      <c r="K3550" s="16">
        <f>IF(NOT(Paths!$C$329=1),0,IF(Paths!$P$329="Complete",IF(IF(Paths!$O$329=0,C3550=0,AND(C3550&gt;0,Paths!$O$329&gt;(C3550-1)*12,Paths!$O$329&lt;=C3550*12)),Paths!$N$329,0),"n.a."))</f>
        <v>0</v>
      </c>
      <c r="L3550" s="16">
        <f>IF(NOT(Paths!$C$329=1),0,IF(Paths!$P$329="Complete",IF(C3550=10,Paths!$I$329,0),"n.a."))</f>
        <v>0</v>
      </c>
      <c r="M3550" s="16">
        <f>IF(NOT(Paths!$C$329=1),0,IF(Paths!$P$329="Complete",IF(AND(Paths!$D$329="EV",Paths!$E$329&lt;120,Paths!$E$329+'Operating costs'!$B$65&gt;Paths!$E$329,Paths!$E$329+'Operating costs'!$B$65&lt;=120,IF(Paths!$E$329+'Operating costs'!$B$65=0,C3550=0,AND(C3550&gt;0,Paths!$E$329+'Operating costs'!$B$65&gt;(C3550-1)*12,Paths!$E$329+'Operating costs'!$B$65&lt;=C3550*12))),'Operating costs'!$B$64,0)+IF(AND('Operating costs'!$B$67&gt;0,'Operating costs'!$B$67&lt;=120,OR(Paths!$D$329="ICE",'Operating costs'!$B$67&lt;=Paths!$E$329),IF('Operating costs'!$B$67=0,C3550=0,AND(C3550&gt;0,'Operating costs'!$B$67&gt;(C3550-1)*12,'Operating costs'!$B$67&lt;=C3550*12))),'Operating costs'!$B$66,0),"n.a."))</f>
        <v>0</v>
      </c>
      <c r="N3550" s="16">
        <f>IF(NOT(Paths!$C$329=1),0,IF(Paths!$P$329="Complete",SUM(G3550:I3550)-J3550-K3550-L3550+M3550+IF(C3550=0,Paths!$F$329,0)+IF(IF(Paths!$E$329=0,C3550=0,AND(C3550&gt;0,Paths!$E$329&gt;(C3550-1)*12,Paths!$E$329&lt;=C3550*12)),VLOOKUP(A3550,'Fleet register'!$A$7:$S$106,16,FALSE),0),"n.a."))</f>
        <v>0</v>
      </c>
      <c r="O3550" s="16">
        <f>IF(NOT(Paths!$C$329=1),0,IF(Paths!$P$329="Complete",N3550-IF(C3550=0,Paths!$F$329,0),"n.a."))</f>
        <v>0</v>
      </c>
      <c r="P3550" s="16">
        <f>IF(NOT(Paths!$C$329=1),0,IF(Paths!$P$329="Complete",O3550+L3550,"n.a."))</f>
        <v>0</v>
      </c>
      <c r="Q3550" s="16">
        <f>IF(NOT(Paths!$C$329=1),0,IF(Paths!$P$329="Complete",N3550*(1+'Operating costs'!$B$54)^-C3550,"n.a."))</f>
        <v>0</v>
      </c>
      <c r="R3550" s="16">
        <f>IF(NOT(Paths!$C$329=1),0,IF(Paths!$P$329="Complete",IF(AND(C3550=0,Paths!$E$329=0),I3550-J3550-K3550+VLOOKUP(A3550,'Fleet register'!$A$7:$S$106,15,FALSE)+VLOOKUP(A3550,'Fleet register'!$A$7:$S$106,16,FALSE),0),"n.a."))</f>
        <v>0</v>
      </c>
      <c r="S3550" s="1">
        <f>IF(NOT(Paths!$C$329=1),0,IF(Paths!$P$329="Complete",IF(C3550=0,0,Paths!$S$329*Paths!$R$329),"n.a."))</f>
        <v>0</v>
      </c>
      <c r="T3550" s="1">
        <f>IF(NOT(Paths!$C$329=1),0,IF(Paths!$P$329="Complete",IF(C3550=0,0,VLOOKUP(A3550,'Fleet register'!$A$7:$S$106,9,FALSE)*Paths!$R$329),"n.a."))</f>
        <v>0</v>
      </c>
    </row>
    <row r="3551" spans="1:20" ht="24" customHeight="1">
      <c r="A3551" s="1" t="str">
        <f>Paths!$A$329</f>
        <v>T081</v>
      </c>
      <c r="B3551" s="1">
        <f>Paths!$B$329</f>
        <v>2</v>
      </c>
      <c r="C3551" s="1">
        <v>2</v>
      </c>
      <c r="D3551" s="1">
        <v>329</v>
      </c>
      <c r="E3551" s="1">
        <f>IF(OR(Paths!$C$329=0,C3551=0),0,MAX(0,MIN(C3551*12,Paths!$E$329)-(C3551-1)*12))</f>
        <v>0</v>
      </c>
      <c r="F3551" s="1">
        <f>IF(OR(Paths!$C$329=0,C3551=0),0,12-E3551)</f>
        <v>0</v>
      </c>
      <c r="G3551" s="16">
        <f>IF(NOT(Paths!$C$329=1),0,IF(Paths!$P$329="Complete",E3551/12*(Paths!$J$329*(1+'Operating costs'!$B$51)^MAX(0,C3551-1)+Paths!$K$329*(1+'Operating costs'!$B$53)^MAX(0,C3551-1)),"n.a."))</f>
        <v>0</v>
      </c>
      <c r="H3551" s="16">
        <f>IF(NOT(Paths!$C$329=1),0,IF(Paths!$P$329="Complete",F3551/12*(Paths!$L$329*(1+IF(Paths!$D$329="EV",'Operating costs'!$B$52,'Operating costs'!$B$51))^MAX(0,C3551-1)+Paths!$M$329*(1+'Operating costs'!$B$53)^MAX(0,C3551-1)),"n.a."))</f>
        <v>0</v>
      </c>
      <c r="I3551" s="16">
        <f>IF(NOT(Paths!$C$329=1),0,IF(Paths!$P$329="Complete",IF(IF(Paths!$E$329=0,C3551=0,AND(C3551&gt;0,Paths!$E$329&gt;(C3551-1)*12,Paths!$E$329&lt;=C3551*12)),Paths!$G$329,0),"n.a."))</f>
        <v>0</v>
      </c>
      <c r="J3551" s="16">
        <f>IF(NOT(Paths!$C$329=1),0,IF(Paths!$P$329="Complete",IF(IF(Paths!$E$329=0,C3551=0,AND(C3551&gt;0,Paths!$E$329&gt;(C3551-1)*12,Paths!$E$329&lt;=C3551*12)),Paths!$H$329,0),"n.a."))</f>
        <v>0</v>
      </c>
      <c r="K3551" s="16">
        <f>IF(NOT(Paths!$C$329=1),0,IF(Paths!$P$329="Complete",IF(IF(Paths!$O$329=0,C3551=0,AND(C3551&gt;0,Paths!$O$329&gt;(C3551-1)*12,Paths!$O$329&lt;=C3551*12)),Paths!$N$329,0),"n.a."))</f>
        <v>0</v>
      </c>
      <c r="L3551" s="16">
        <f>IF(NOT(Paths!$C$329=1),0,IF(Paths!$P$329="Complete",IF(C3551=10,Paths!$I$329,0),"n.a."))</f>
        <v>0</v>
      </c>
      <c r="M3551" s="16">
        <f>IF(NOT(Paths!$C$329=1),0,IF(Paths!$P$329="Complete",IF(AND(Paths!$D$329="EV",Paths!$E$329&lt;120,Paths!$E$329+'Operating costs'!$B$65&gt;Paths!$E$329,Paths!$E$329+'Operating costs'!$B$65&lt;=120,IF(Paths!$E$329+'Operating costs'!$B$65=0,C3551=0,AND(C3551&gt;0,Paths!$E$329+'Operating costs'!$B$65&gt;(C3551-1)*12,Paths!$E$329+'Operating costs'!$B$65&lt;=C3551*12))),'Operating costs'!$B$64,0)+IF(AND('Operating costs'!$B$67&gt;0,'Operating costs'!$B$67&lt;=120,OR(Paths!$D$329="ICE",'Operating costs'!$B$67&lt;=Paths!$E$329),IF('Operating costs'!$B$67=0,C3551=0,AND(C3551&gt;0,'Operating costs'!$B$67&gt;(C3551-1)*12,'Operating costs'!$B$67&lt;=C3551*12))),'Operating costs'!$B$66,0),"n.a."))</f>
        <v>0</v>
      </c>
      <c r="N3551" s="16">
        <f>IF(NOT(Paths!$C$329=1),0,IF(Paths!$P$329="Complete",SUM(G3551:I3551)-J3551-K3551-L3551+M3551+IF(C3551=0,Paths!$F$329,0)+IF(IF(Paths!$E$329=0,C3551=0,AND(C3551&gt;0,Paths!$E$329&gt;(C3551-1)*12,Paths!$E$329&lt;=C3551*12)),VLOOKUP(A3551,'Fleet register'!$A$7:$S$106,16,FALSE),0),"n.a."))</f>
        <v>0</v>
      </c>
      <c r="O3551" s="16">
        <f>IF(NOT(Paths!$C$329=1),0,IF(Paths!$P$329="Complete",N3551-IF(C3551=0,Paths!$F$329,0),"n.a."))</f>
        <v>0</v>
      </c>
      <c r="P3551" s="16">
        <f>IF(NOT(Paths!$C$329=1),0,IF(Paths!$P$329="Complete",O3551+L3551,"n.a."))</f>
        <v>0</v>
      </c>
      <c r="Q3551" s="16">
        <f>IF(NOT(Paths!$C$329=1),0,IF(Paths!$P$329="Complete",N3551*(1+'Operating costs'!$B$54)^-C3551,"n.a."))</f>
        <v>0</v>
      </c>
      <c r="R3551" s="16">
        <f>IF(NOT(Paths!$C$329=1),0,IF(Paths!$P$329="Complete",IF(AND(C3551=0,Paths!$E$329=0),I3551-J3551-K3551+VLOOKUP(A3551,'Fleet register'!$A$7:$S$106,15,FALSE)+VLOOKUP(A3551,'Fleet register'!$A$7:$S$106,16,FALSE),0),"n.a."))</f>
        <v>0</v>
      </c>
      <c r="S3551" s="1">
        <f>IF(NOT(Paths!$C$329=1),0,IF(Paths!$P$329="Complete",IF(C3551=0,0,Paths!$S$329*Paths!$R$329),"n.a."))</f>
        <v>0</v>
      </c>
      <c r="T3551" s="1">
        <f>IF(NOT(Paths!$C$329=1),0,IF(Paths!$P$329="Complete",IF(C3551=0,0,VLOOKUP(A3551,'Fleet register'!$A$7:$S$106,9,FALSE)*Paths!$R$329),"n.a."))</f>
        <v>0</v>
      </c>
    </row>
    <row r="3552" spans="1:20" ht="24" customHeight="1">
      <c r="A3552" s="1" t="str">
        <f>Paths!$A$329</f>
        <v>T081</v>
      </c>
      <c r="B3552" s="1">
        <f>Paths!$B$329</f>
        <v>2</v>
      </c>
      <c r="C3552" s="1">
        <v>3</v>
      </c>
      <c r="D3552" s="1">
        <v>329</v>
      </c>
      <c r="E3552" s="1">
        <f>IF(OR(Paths!$C$329=0,C3552=0),0,MAX(0,MIN(C3552*12,Paths!$E$329)-(C3552-1)*12))</f>
        <v>0</v>
      </c>
      <c r="F3552" s="1">
        <f>IF(OR(Paths!$C$329=0,C3552=0),0,12-E3552)</f>
        <v>0</v>
      </c>
      <c r="G3552" s="16">
        <f>IF(NOT(Paths!$C$329=1),0,IF(Paths!$P$329="Complete",E3552/12*(Paths!$J$329*(1+'Operating costs'!$B$51)^MAX(0,C3552-1)+Paths!$K$329*(1+'Operating costs'!$B$53)^MAX(0,C3552-1)),"n.a."))</f>
        <v>0</v>
      </c>
      <c r="H3552" s="16">
        <f>IF(NOT(Paths!$C$329=1),0,IF(Paths!$P$329="Complete",F3552/12*(Paths!$L$329*(1+IF(Paths!$D$329="EV",'Operating costs'!$B$52,'Operating costs'!$B$51))^MAX(0,C3552-1)+Paths!$M$329*(1+'Operating costs'!$B$53)^MAX(0,C3552-1)),"n.a."))</f>
        <v>0</v>
      </c>
      <c r="I3552" s="16">
        <f>IF(NOT(Paths!$C$329=1),0,IF(Paths!$P$329="Complete",IF(IF(Paths!$E$329=0,C3552=0,AND(C3552&gt;0,Paths!$E$329&gt;(C3552-1)*12,Paths!$E$329&lt;=C3552*12)),Paths!$G$329,0),"n.a."))</f>
        <v>0</v>
      </c>
      <c r="J3552" s="16">
        <f>IF(NOT(Paths!$C$329=1),0,IF(Paths!$P$329="Complete",IF(IF(Paths!$E$329=0,C3552=0,AND(C3552&gt;0,Paths!$E$329&gt;(C3552-1)*12,Paths!$E$329&lt;=C3552*12)),Paths!$H$329,0),"n.a."))</f>
        <v>0</v>
      </c>
      <c r="K3552" s="16">
        <f>IF(NOT(Paths!$C$329=1),0,IF(Paths!$P$329="Complete",IF(IF(Paths!$O$329=0,C3552=0,AND(C3552&gt;0,Paths!$O$329&gt;(C3552-1)*12,Paths!$O$329&lt;=C3552*12)),Paths!$N$329,0),"n.a."))</f>
        <v>0</v>
      </c>
      <c r="L3552" s="16">
        <f>IF(NOT(Paths!$C$329=1),0,IF(Paths!$P$329="Complete",IF(C3552=10,Paths!$I$329,0),"n.a."))</f>
        <v>0</v>
      </c>
      <c r="M3552" s="16">
        <f>IF(NOT(Paths!$C$329=1),0,IF(Paths!$P$329="Complete",IF(AND(Paths!$D$329="EV",Paths!$E$329&lt;120,Paths!$E$329+'Operating costs'!$B$65&gt;Paths!$E$329,Paths!$E$329+'Operating costs'!$B$65&lt;=120,IF(Paths!$E$329+'Operating costs'!$B$65=0,C3552=0,AND(C3552&gt;0,Paths!$E$329+'Operating costs'!$B$65&gt;(C3552-1)*12,Paths!$E$329+'Operating costs'!$B$65&lt;=C3552*12))),'Operating costs'!$B$64,0)+IF(AND('Operating costs'!$B$67&gt;0,'Operating costs'!$B$67&lt;=120,OR(Paths!$D$329="ICE",'Operating costs'!$B$67&lt;=Paths!$E$329),IF('Operating costs'!$B$67=0,C3552=0,AND(C3552&gt;0,'Operating costs'!$B$67&gt;(C3552-1)*12,'Operating costs'!$B$67&lt;=C3552*12))),'Operating costs'!$B$66,0),"n.a."))</f>
        <v>0</v>
      </c>
      <c r="N3552" s="16">
        <f>IF(NOT(Paths!$C$329=1),0,IF(Paths!$P$329="Complete",SUM(G3552:I3552)-J3552-K3552-L3552+M3552+IF(C3552=0,Paths!$F$329,0)+IF(IF(Paths!$E$329=0,C3552=0,AND(C3552&gt;0,Paths!$E$329&gt;(C3552-1)*12,Paths!$E$329&lt;=C3552*12)),VLOOKUP(A3552,'Fleet register'!$A$7:$S$106,16,FALSE),0),"n.a."))</f>
        <v>0</v>
      </c>
      <c r="O3552" s="16">
        <f>IF(NOT(Paths!$C$329=1),0,IF(Paths!$P$329="Complete",N3552-IF(C3552=0,Paths!$F$329,0),"n.a."))</f>
        <v>0</v>
      </c>
      <c r="P3552" s="16">
        <f>IF(NOT(Paths!$C$329=1),0,IF(Paths!$P$329="Complete",O3552+L3552,"n.a."))</f>
        <v>0</v>
      </c>
      <c r="Q3552" s="16">
        <f>IF(NOT(Paths!$C$329=1),0,IF(Paths!$P$329="Complete",N3552*(1+'Operating costs'!$B$54)^-C3552,"n.a."))</f>
        <v>0</v>
      </c>
      <c r="R3552" s="16">
        <f>IF(NOT(Paths!$C$329=1),0,IF(Paths!$P$329="Complete",IF(AND(C3552=0,Paths!$E$329=0),I3552-J3552-K3552+VLOOKUP(A3552,'Fleet register'!$A$7:$S$106,15,FALSE)+VLOOKUP(A3552,'Fleet register'!$A$7:$S$106,16,FALSE),0),"n.a."))</f>
        <v>0</v>
      </c>
      <c r="S3552" s="1">
        <f>IF(NOT(Paths!$C$329=1),0,IF(Paths!$P$329="Complete",IF(C3552=0,0,Paths!$S$329*Paths!$R$329),"n.a."))</f>
        <v>0</v>
      </c>
      <c r="T3552" s="1">
        <f>IF(NOT(Paths!$C$329=1),0,IF(Paths!$P$329="Complete",IF(C3552=0,0,VLOOKUP(A3552,'Fleet register'!$A$7:$S$106,9,FALSE)*Paths!$R$329),"n.a."))</f>
        <v>0</v>
      </c>
    </row>
    <row r="3553" spans="1:20" ht="24" customHeight="1">
      <c r="A3553" s="1" t="str">
        <f>Paths!$A$329</f>
        <v>T081</v>
      </c>
      <c r="B3553" s="1">
        <f>Paths!$B$329</f>
        <v>2</v>
      </c>
      <c r="C3553" s="1">
        <v>4</v>
      </c>
      <c r="D3553" s="1">
        <v>329</v>
      </c>
      <c r="E3553" s="1">
        <f>IF(OR(Paths!$C$329=0,C3553=0),0,MAX(0,MIN(C3553*12,Paths!$E$329)-(C3553-1)*12))</f>
        <v>0</v>
      </c>
      <c r="F3553" s="1">
        <f>IF(OR(Paths!$C$329=0,C3553=0),0,12-E3553)</f>
        <v>0</v>
      </c>
      <c r="G3553" s="16">
        <f>IF(NOT(Paths!$C$329=1),0,IF(Paths!$P$329="Complete",E3553/12*(Paths!$J$329*(1+'Operating costs'!$B$51)^MAX(0,C3553-1)+Paths!$K$329*(1+'Operating costs'!$B$53)^MAX(0,C3553-1)),"n.a."))</f>
        <v>0</v>
      </c>
      <c r="H3553" s="16">
        <f>IF(NOT(Paths!$C$329=1),0,IF(Paths!$P$329="Complete",F3553/12*(Paths!$L$329*(1+IF(Paths!$D$329="EV",'Operating costs'!$B$52,'Operating costs'!$B$51))^MAX(0,C3553-1)+Paths!$M$329*(1+'Operating costs'!$B$53)^MAX(0,C3553-1)),"n.a."))</f>
        <v>0</v>
      </c>
      <c r="I3553" s="16">
        <f>IF(NOT(Paths!$C$329=1),0,IF(Paths!$P$329="Complete",IF(IF(Paths!$E$329=0,C3553=0,AND(C3553&gt;0,Paths!$E$329&gt;(C3553-1)*12,Paths!$E$329&lt;=C3553*12)),Paths!$G$329,0),"n.a."))</f>
        <v>0</v>
      </c>
      <c r="J3553" s="16">
        <f>IF(NOT(Paths!$C$329=1),0,IF(Paths!$P$329="Complete",IF(IF(Paths!$E$329=0,C3553=0,AND(C3553&gt;0,Paths!$E$329&gt;(C3553-1)*12,Paths!$E$329&lt;=C3553*12)),Paths!$H$329,0),"n.a."))</f>
        <v>0</v>
      </c>
      <c r="K3553" s="16">
        <f>IF(NOT(Paths!$C$329=1),0,IF(Paths!$P$329="Complete",IF(IF(Paths!$O$329=0,C3553=0,AND(C3553&gt;0,Paths!$O$329&gt;(C3553-1)*12,Paths!$O$329&lt;=C3553*12)),Paths!$N$329,0),"n.a."))</f>
        <v>0</v>
      </c>
      <c r="L3553" s="16">
        <f>IF(NOT(Paths!$C$329=1),0,IF(Paths!$P$329="Complete",IF(C3553=10,Paths!$I$329,0),"n.a."))</f>
        <v>0</v>
      </c>
      <c r="M3553" s="16">
        <f>IF(NOT(Paths!$C$329=1),0,IF(Paths!$P$329="Complete",IF(AND(Paths!$D$329="EV",Paths!$E$329&lt;120,Paths!$E$329+'Operating costs'!$B$65&gt;Paths!$E$329,Paths!$E$329+'Operating costs'!$B$65&lt;=120,IF(Paths!$E$329+'Operating costs'!$B$65=0,C3553=0,AND(C3553&gt;0,Paths!$E$329+'Operating costs'!$B$65&gt;(C3553-1)*12,Paths!$E$329+'Operating costs'!$B$65&lt;=C3553*12))),'Operating costs'!$B$64,0)+IF(AND('Operating costs'!$B$67&gt;0,'Operating costs'!$B$67&lt;=120,OR(Paths!$D$329="ICE",'Operating costs'!$B$67&lt;=Paths!$E$329),IF('Operating costs'!$B$67=0,C3553=0,AND(C3553&gt;0,'Operating costs'!$B$67&gt;(C3553-1)*12,'Operating costs'!$B$67&lt;=C3553*12))),'Operating costs'!$B$66,0),"n.a."))</f>
        <v>0</v>
      </c>
      <c r="N3553" s="16">
        <f>IF(NOT(Paths!$C$329=1),0,IF(Paths!$P$329="Complete",SUM(G3553:I3553)-J3553-K3553-L3553+M3553+IF(C3553=0,Paths!$F$329,0)+IF(IF(Paths!$E$329=0,C3553=0,AND(C3553&gt;0,Paths!$E$329&gt;(C3553-1)*12,Paths!$E$329&lt;=C3553*12)),VLOOKUP(A3553,'Fleet register'!$A$7:$S$106,16,FALSE),0),"n.a."))</f>
        <v>0</v>
      </c>
      <c r="O3553" s="16">
        <f>IF(NOT(Paths!$C$329=1),0,IF(Paths!$P$329="Complete",N3553-IF(C3553=0,Paths!$F$329,0),"n.a."))</f>
        <v>0</v>
      </c>
      <c r="P3553" s="16">
        <f>IF(NOT(Paths!$C$329=1),0,IF(Paths!$P$329="Complete",O3553+L3553,"n.a."))</f>
        <v>0</v>
      </c>
      <c r="Q3553" s="16">
        <f>IF(NOT(Paths!$C$329=1),0,IF(Paths!$P$329="Complete",N3553*(1+'Operating costs'!$B$54)^-C3553,"n.a."))</f>
        <v>0</v>
      </c>
      <c r="R3553" s="16">
        <f>IF(NOT(Paths!$C$329=1),0,IF(Paths!$P$329="Complete",IF(AND(C3553=0,Paths!$E$329=0),I3553-J3553-K3553+VLOOKUP(A3553,'Fleet register'!$A$7:$S$106,15,FALSE)+VLOOKUP(A3553,'Fleet register'!$A$7:$S$106,16,FALSE),0),"n.a."))</f>
        <v>0</v>
      </c>
      <c r="S3553" s="1">
        <f>IF(NOT(Paths!$C$329=1),0,IF(Paths!$P$329="Complete",IF(C3553=0,0,Paths!$S$329*Paths!$R$329),"n.a."))</f>
        <v>0</v>
      </c>
      <c r="T3553" s="1">
        <f>IF(NOT(Paths!$C$329=1),0,IF(Paths!$P$329="Complete",IF(C3553=0,0,VLOOKUP(A3553,'Fleet register'!$A$7:$S$106,9,FALSE)*Paths!$R$329),"n.a."))</f>
        <v>0</v>
      </c>
    </row>
    <row r="3554" spans="1:20" ht="24" customHeight="1">
      <c r="A3554" s="1" t="str">
        <f>Paths!$A$329</f>
        <v>T081</v>
      </c>
      <c r="B3554" s="1">
        <f>Paths!$B$329</f>
        <v>2</v>
      </c>
      <c r="C3554" s="1">
        <v>5</v>
      </c>
      <c r="D3554" s="1">
        <v>329</v>
      </c>
      <c r="E3554" s="1">
        <f>IF(OR(Paths!$C$329=0,C3554=0),0,MAX(0,MIN(C3554*12,Paths!$E$329)-(C3554-1)*12))</f>
        <v>0</v>
      </c>
      <c r="F3554" s="1">
        <f>IF(OR(Paths!$C$329=0,C3554=0),0,12-E3554)</f>
        <v>0</v>
      </c>
      <c r="G3554" s="16">
        <f>IF(NOT(Paths!$C$329=1),0,IF(Paths!$P$329="Complete",E3554/12*(Paths!$J$329*(1+'Operating costs'!$B$51)^MAX(0,C3554-1)+Paths!$K$329*(1+'Operating costs'!$B$53)^MAX(0,C3554-1)),"n.a."))</f>
        <v>0</v>
      </c>
      <c r="H3554" s="16">
        <f>IF(NOT(Paths!$C$329=1),0,IF(Paths!$P$329="Complete",F3554/12*(Paths!$L$329*(1+IF(Paths!$D$329="EV",'Operating costs'!$B$52,'Operating costs'!$B$51))^MAX(0,C3554-1)+Paths!$M$329*(1+'Operating costs'!$B$53)^MAX(0,C3554-1)),"n.a."))</f>
        <v>0</v>
      </c>
      <c r="I3554" s="16">
        <f>IF(NOT(Paths!$C$329=1),0,IF(Paths!$P$329="Complete",IF(IF(Paths!$E$329=0,C3554=0,AND(C3554&gt;0,Paths!$E$329&gt;(C3554-1)*12,Paths!$E$329&lt;=C3554*12)),Paths!$G$329,0),"n.a."))</f>
        <v>0</v>
      </c>
      <c r="J3554" s="16">
        <f>IF(NOT(Paths!$C$329=1),0,IF(Paths!$P$329="Complete",IF(IF(Paths!$E$329=0,C3554=0,AND(C3554&gt;0,Paths!$E$329&gt;(C3554-1)*12,Paths!$E$329&lt;=C3554*12)),Paths!$H$329,0),"n.a."))</f>
        <v>0</v>
      </c>
      <c r="K3554" s="16">
        <f>IF(NOT(Paths!$C$329=1),0,IF(Paths!$P$329="Complete",IF(IF(Paths!$O$329=0,C3554=0,AND(C3554&gt;0,Paths!$O$329&gt;(C3554-1)*12,Paths!$O$329&lt;=C3554*12)),Paths!$N$329,0),"n.a."))</f>
        <v>0</v>
      </c>
      <c r="L3554" s="16">
        <f>IF(NOT(Paths!$C$329=1),0,IF(Paths!$P$329="Complete",IF(C3554=10,Paths!$I$329,0),"n.a."))</f>
        <v>0</v>
      </c>
      <c r="M3554" s="16">
        <f>IF(NOT(Paths!$C$329=1),0,IF(Paths!$P$329="Complete",IF(AND(Paths!$D$329="EV",Paths!$E$329&lt;120,Paths!$E$329+'Operating costs'!$B$65&gt;Paths!$E$329,Paths!$E$329+'Operating costs'!$B$65&lt;=120,IF(Paths!$E$329+'Operating costs'!$B$65=0,C3554=0,AND(C3554&gt;0,Paths!$E$329+'Operating costs'!$B$65&gt;(C3554-1)*12,Paths!$E$329+'Operating costs'!$B$65&lt;=C3554*12))),'Operating costs'!$B$64,0)+IF(AND('Operating costs'!$B$67&gt;0,'Operating costs'!$B$67&lt;=120,OR(Paths!$D$329="ICE",'Operating costs'!$B$67&lt;=Paths!$E$329),IF('Operating costs'!$B$67=0,C3554=0,AND(C3554&gt;0,'Operating costs'!$B$67&gt;(C3554-1)*12,'Operating costs'!$B$67&lt;=C3554*12))),'Operating costs'!$B$66,0),"n.a."))</f>
        <v>0</v>
      </c>
      <c r="N3554" s="16">
        <f>IF(NOT(Paths!$C$329=1),0,IF(Paths!$P$329="Complete",SUM(G3554:I3554)-J3554-K3554-L3554+M3554+IF(C3554=0,Paths!$F$329,0)+IF(IF(Paths!$E$329=0,C3554=0,AND(C3554&gt;0,Paths!$E$329&gt;(C3554-1)*12,Paths!$E$329&lt;=C3554*12)),VLOOKUP(A3554,'Fleet register'!$A$7:$S$106,16,FALSE),0),"n.a."))</f>
        <v>0</v>
      </c>
      <c r="O3554" s="16">
        <f>IF(NOT(Paths!$C$329=1),0,IF(Paths!$P$329="Complete",N3554-IF(C3554=0,Paths!$F$329,0),"n.a."))</f>
        <v>0</v>
      </c>
      <c r="P3554" s="16">
        <f>IF(NOT(Paths!$C$329=1),0,IF(Paths!$P$329="Complete",O3554+L3554,"n.a."))</f>
        <v>0</v>
      </c>
      <c r="Q3554" s="16">
        <f>IF(NOT(Paths!$C$329=1),0,IF(Paths!$P$329="Complete",N3554*(1+'Operating costs'!$B$54)^-C3554,"n.a."))</f>
        <v>0</v>
      </c>
      <c r="R3554" s="16">
        <f>IF(NOT(Paths!$C$329=1),0,IF(Paths!$P$329="Complete",IF(AND(C3554=0,Paths!$E$329=0),I3554-J3554-K3554+VLOOKUP(A3554,'Fleet register'!$A$7:$S$106,15,FALSE)+VLOOKUP(A3554,'Fleet register'!$A$7:$S$106,16,FALSE),0),"n.a."))</f>
        <v>0</v>
      </c>
      <c r="S3554" s="1">
        <f>IF(NOT(Paths!$C$329=1),0,IF(Paths!$P$329="Complete",IF(C3554=0,0,Paths!$S$329*Paths!$R$329),"n.a."))</f>
        <v>0</v>
      </c>
      <c r="T3554" s="1">
        <f>IF(NOT(Paths!$C$329=1),0,IF(Paths!$P$329="Complete",IF(C3554=0,0,VLOOKUP(A3554,'Fleet register'!$A$7:$S$106,9,FALSE)*Paths!$R$329),"n.a."))</f>
        <v>0</v>
      </c>
    </row>
    <row r="3555" spans="1:20" ht="24" customHeight="1">
      <c r="A3555" s="1" t="str">
        <f>Paths!$A$329</f>
        <v>T081</v>
      </c>
      <c r="B3555" s="1">
        <f>Paths!$B$329</f>
        <v>2</v>
      </c>
      <c r="C3555" s="1">
        <v>6</v>
      </c>
      <c r="D3555" s="1">
        <v>329</v>
      </c>
      <c r="E3555" s="1">
        <f>IF(OR(Paths!$C$329=0,C3555=0),0,MAX(0,MIN(C3555*12,Paths!$E$329)-(C3555-1)*12))</f>
        <v>0</v>
      </c>
      <c r="F3555" s="1">
        <f>IF(OR(Paths!$C$329=0,C3555=0),0,12-E3555)</f>
        <v>0</v>
      </c>
      <c r="G3555" s="16">
        <f>IF(NOT(Paths!$C$329=1),0,IF(Paths!$P$329="Complete",E3555/12*(Paths!$J$329*(1+'Operating costs'!$B$51)^MAX(0,C3555-1)+Paths!$K$329*(1+'Operating costs'!$B$53)^MAX(0,C3555-1)),"n.a."))</f>
        <v>0</v>
      </c>
      <c r="H3555" s="16">
        <f>IF(NOT(Paths!$C$329=1),0,IF(Paths!$P$329="Complete",F3555/12*(Paths!$L$329*(1+IF(Paths!$D$329="EV",'Operating costs'!$B$52,'Operating costs'!$B$51))^MAX(0,C3555-1)+Paths!$M$329*(1+'Operating costs'!$B$53)^MAX(0,C3555-1)),"n.a."))</f>
        <v>0</v>
      </c>
      <c r="I3555" s="16">
        <f>IF(NOT(Paths!$C$329=1),0,IF(Paths!$P$329="Complete",IF(IF(Paths!$E$329=0,C3555=0,AND(C3555&gt;0,Paths!$E$329&gt;(C3555-1)*12,Paths!$E$329&lt;=C3555*12)),Paths!$G$329,0),"n.a."))</f>
        <v>0</v>
      </c>
      <c r="J3555" s="16">
        <f>IF(NOT(Paths!$C$329=1),0,IF(Paths!$P$329="Complete",IF(IF(Paths!$E$329=0,C3555=0,AND(C3555&gt;0,Paths!$E$329&gt;(C3555-1)*12,Paths!$E$329&lt;=C3555*12)),Paths!$H$329,0),"n.a."))</f>
        <v>0</v>
      </c>
      <c r="K3555" s="16">
        <f>IF(NOT(Paths!$C$329=1),0,IF(Paths!$P$329="Complete",IF(IF(Paths!$O$329=0,C3555=0,AND(C3555&gt;0,Paths!$O$329&gt;(C3555-1)*12,Paths!$O$329&lt;=C3555*12)),Paths!$N$329,0),"n.a."))</f>
        <v>0</v>
      </c>
      <c r="L3555" s="16">
        <f>IF(NOT(Paths!$C$329=1),0,IF(Paths!$P$329="Complete",IF(C3555=10,Paths!$I$329,0),"n.a."))</f>
        <v>0</v>
      </c>
      <c r="M3555" s="16">
        <f>IF(NOT(Paths!$C$329=1),0,IF(Paths!$P$329="Complete",IF(AND(Paths!$D$329="EV",Paths!$E$329&lt;120,Paths!$E$329+'Operating costs'!$B$65&gt;Paths!$E$329,Paths!$E$329+'Operating costs'!$B$65&lt;=120,IF(Paths!$E$329+'Operating costs'!$B$65=0,C3555=0,AND(C3555&gt;0,Paths!$E$329+'Operating costs'!$B$65&gt;(C3555-1)*12,Paths!$E$329+'Operating costs'!$B$65&lt;=C3555*12))),'Operating costs'!$B$64,0)+IF(AND('Operating costs'!$B$67&gt;0,'Operating costs'!$B$67&lt;=120,OR(Paths!$D$329="ICE",'Operating costs'!$B$67&lt;=Paths!$E$329),IF('Operating costs'!$B$67=0,C3555=0,AND(C3555&gt;0,'Operating costs'!$B$67&gt;(C3555-1)*12,'Operating costs'!$B$67&lt;=C3555*12))),'Operating costs'!$B$66,0),"n.a."))</f>
        <v>0</v>
      </c>
      <c r="N3555" s="16">
        <f>IF(NOT(Paths!$C$329=1),0,IF(Paths!$P$329="Complete",SUM(G3555:I3555)-J3555-K3555-L3555+M3555+IF(C3555=0,Paths!$F$329,0)+IF(IF(Paths!$E$329=0,C3555=0,AND(C3555&gt;0,Paths!$E$329&gt;(C3555-1)*12,Paths!$E$329&lt;=C3555*12)),VLOOKUP(A3555,'Fleet register'!$A$7:$S$106,16,FALSE),0),"n.a."))</f>
        <v>0</v>
      </c>
      <c r="O3555" s="16">
        <f>IF(NOT(Paths!$C$329=1),0,IF(Paths!$P$329="Complete",N3555-IF(C3555=0,Paths!$F$329,0),"n.a."))</f>
        <v>0</v>
      </c>
      <c r="P3555" s="16">
        <f>IF(NOT(Paths!$C$329=1),0,IF(Paths!$P$329="Complete",O3555+L3555,"n.a."))</f>
        <v>0</v>
      </c>
      <c r="Q3555" s="16">
        <f>IF(NOT(Paths!$C$329=1),0,IF(Paths!$P$329="Complete",N3555*(1+'Operating costs'!$B$54)^-C3555,"n.a."))</f>
        <v>0</v>
      </c>
      <c r="R3555" s="16">
        <f>IF(NOT(Paths!$C$329=1),0,IF(Paths!$P$329="Complete",IF(AND(C3555=0,Paths!$E$329=0),I3555-J3555-K3555+VLOOKUP(A3555,'Fleet register'!$A$7:$S$106,15,FALSE)+VLOOKUP(A3555,'Fleet register'!$A$7:$S$106,16,FALSE),0),"n.a."))</f>
        <v>0</v>
      </c>
      <c r="S3555" s="1">
        <f>IF(NOT(Paths!$C$329=1),0,IF(Paths!$P$329="Complete",IF(C3555=0,0,Paths!$S$329*Paths!$R$329),"n.a."))</f>
        <v>0</v>
      </c>
      <c r="T3555" s="1">
        <f>IF(NOT(Paths!$C$329=1),0,IF(Paths!$P$329="Complete",IF(C3555=0,0,VLOOKUP(A3555,'Fleet register'!$A$7:$S$106,9,FALSE)*Paths!$R$329),"n.a."))</f>
        <v>0</v>
      </c>
    </row>
    <row r="3556" spans="1:20" ht="24" customHeight="1">
      <c r="A3556" s="1" t="str">
        <f>Paths!$A$329</f>
        <v>T081</v>
      </c>
      <c r="B3556" s="1">
        <f>Paths!$B$329</f>
        <v>2</v>
      </c>
      <c r="C3556" s="1">
        <v>7</v>
      </c>
      <c r="D3556" s="1">
        <v>329</v>
      </c>
      <c r="E3556" s="1">
        <f>IF(OR(Paths!$C$329=0,C3556=0),0,MAX(0,MIN(C3556*12,Paths!$E$329)-(C3556-1)*12))</f>
        <v>0</v>
      </c>
      <c r="F3556" s="1">
        <f>IF(OR(Paths!$C$329=0,C3556=0),0,12-E3556)</f>
        <v>0</v>
      </c>
      <c r="G3556" s="16">
        <f>IF(NOT(Paths!$C$329=1),0,IF(Paths!$P$329="Complete",E3556/12*(Paths!$J$329*(1+'Operating costs'!$B$51)^MAX(0,C3556-1)+Paths!$K$329*(1+'Operating costs'!$B$53)^MAX(0,C3556-1)),"n.a."))</f>
        <v>0</v>
      </c>
      <c r="H3556" s="16">
        <f>IF(NOT(Paths!$C$329=1),0,IF(Paths!$P$329="Complete",F3556/12*(Paths!$L$329*(1+IF(Paths!$D$329="EV",'Operating costs'!$B$52,'Operating costs'!$B$51))^MAX(0,C3556-1)+Paths!$M$329*(1+'Operating costs'!$B$53)^MAX(0,C3556-1)),"n.a."))</f>
        <v>0</v>
      </c>
      <c r="I3556" s="16">
        <f>IF(NOT(Paths!$C$329=1),0,IF(Paths!$P$329="Complete",IF(IF(Paths!$E$329=0,C3556=0,AND(C3556&gt;0,Paths!$E$329&gt;(C3556-1)*12,Paths!$E$329&lt;=C3556*12)),Paths!$G$329,0),"n.a."))</f>
        <v>0</v>
      </c>
      <c r="J3556" s="16">
        <f>IF(NOT(Paths!$C$329=1),0,IF(Paths!$P$329="Complete",IF(IF(Paths!$E$329=0,C3556=0,AND(C3556&gt;0,Paths!$E$329&gt;(C3556-1)*12,Paths!$E$329&lt;=C3556*12)),Paths!$H$329,0),"n.a."))</f>
        <v>0</v>
      </c>
      <c r="K3556" s="16">
        <f>IF(NOT(Paths!$C$329=1),0,IF(Paths!$P$329="Complete",IF(IF(Paths!$O$329=0,C3556=0,AND(C3556&gt;0,Paths!$O$329&gt;(C3556-1)*12,Paths!$O$329&lt;=C3556*12)),Paths!$N$329,0),"n.a."))</f>
        <v>0</v>
      </c>
      <c r="L3556" s="16">
        <f>IF(NOT(Paths!$C$329=1),0,IF(Paths!$P$329="Complete",IF(C3556=10,Paths!$I$329,0),"n.a."))</f>
        <v>0</v>
      </c>
      <c r="M3556" s="16">
        <f>IF(NOT(Paths!$C$329=1),0,IF(Paths!$P$329="Complete",IF(AND(Paths!$D$329="EV",Paths!$E$329&lt;120,Paths!$E$329+'Operating costs'!$B$65&gt;Paths!$E$329,Paths!$E$329+'Operating costs'!$B$65&lt;=120,IF(Paths!$E$329+'Operating costs'!$B$65=0,C3556=0,AND(C3556&gt;0,Paths!$E$329+'Operating costs'!$B$65&gt;(C3556-1)*12,Paths!$E$329+'Operating costs'!$B$65&lt;=C3556*12))),'Operating costs'!$B$64,0)+IF(AND('Operating costs'!$B$67&gt;0,'Operating costs'!$B$67&lt;=120,OR(Paths!$D$329="ICE",'Operating costs'!$B$67&lt;=Paths!$E$329),IF('Operating costs'!$B$67=0,C3556=0,AND(C3556&gt;0,'Operating costs'!$B$67&gt;(C3556-1)*12,'Operating costs'!$B$67&lt;=C3556*12))),'Operating costs'!$B$66,0),"n.a."))</f>
        <v>0</v>
      </c>
      <c r="N3556" s="16">
        <f>IF(NOT(Paths!$C$329=1),0,IF(Paths!$P$329="Complete",SUM(G3556:I3556)-J3556-K3556-L3556+M3556+IF(C3556=0,Paths!$F$329,0)+IF(IF(Paths!$E$329=0,C3556=0,AND(C3556&gt;0,Paths!$E$329&gt;(C3556-1)*12,Paths!$E$329&lt;=C3556*12)),VLOOKUP(A3556,'Fleet register'!$A$7:$S$106,16,FALSE),0),"n.a."))</f>
        <v>0</v>
      </c>
      <c r="O3556" s="16">
        <f>IF(NOT(Paths!$C$329=1),0,IF(Paths!$P$329="Complete",N3556-IF(C3556=0,Paths!$F$329,0),"n.a."))</f>
        <v>0</v>
      </c>
      <c r="P3556" s="16">
        <f>IF(NOT(Paths!$C$329=1),0,IF(Paths!$P$329="Complete",O3556+L3556,"n.a."))</f>
        <v>0</v>
      </c>
      <c r="Q3556" s="16">
        <f>IF(NOT(Paths!$C$329=1),0,IF(Paths!$P$329="Complete",N3556*(1+'Operating costs'!$B$54)^-C3556,"n.a."))</f>
        <v>0</v>
      </c>
      <c r="R3556" s="16">
        <f>IF(NOT(Paths!$C$329=1),0,IF(Paths!$P$329="Complete",IF(AND(C3556=0,Paths!$E$329=0),I3556-J3556-K3556+VLOOKUP(A3556,'Fleet register'!$A$7:$S$106,15,FALSE)+VLOOKUP(A3556,'Fleet register'!$A$7:$S$106,16,FALSE),0),"n.a."))</f>
        <v>0</v>
      </c>
      <c r="S3556" s="1">
        <f>IF(NOT(Paths!$C$329=1),0,IF(Paths!$P$329="Complete",IF(C3556=0,0,Paths!$S$329*Paths!$R$329),"n.a."))</f>
        <v>0</v>
      </c>
      <c r="T3556" s="1">
        <f>IF(NOT(Paths!$C$329=1),0,IF(Paths!$P$329="Complete",IF(C3556=0,0,VLOOKUP(A3556,'Fleet register'!$A$7:$S$106,9,FALSE)*Paths!$R$329),"n.a."))</f>
        <v>0</v>
      </c>
    </row>
    <row r="3557" spans="1:20" ht="24" customHeight="1">
      <c r="A3557" s="1" t="str">
        <f>Paths!$A$329</f>
        <v>T081</v>
      </c>
      <c r="B3557" s="1">
        <f>Paths!$B$329</f>
        <v>2</v>
      </c>
      <c r="C3557" s="1">
        <v>8</v>
      </c>
      <c r="D3557" s="1">
        <v>329</v>
      </c>
      <c r="E3557" s="1">
        <f>IF(OR(Paths!$C$329=0,C3557=0),0,MAX(0,MIN(C3557*12,Paths!$E$329)-(C3557-1)*12))</f>
        <v>0</v>
      </c>
      <c r="F3557" s="1">
        <f>IF(OR(Paths!$C$329=0,C3557=0),0,12-E3557)</f>
        <v>0</v>
      </c>
      <c r="G3557" s="16">
        <f>IF(NOT(Paths!$C$329=1),0,IF(Paths!$P$329="Complete",E3557/12*(Paths!$J$329*(1+'Operating costs'!$B$51)^MAX(0,C3557-1)+Paths!$K$329*(1+'Operating costs'!$B$53)^MAX(0,C3557-1)),"n.a."))</f>
        <v>0</v>
      </c>
      <c r="H3557" s="16">
        <f>IF(NOT(Paths!$C$329=1),0,IF(Paths!$P$329="Complete",F3557/12*(Paths!$L$329*(1+IF(Paths!$D$329="EV",'Operating costs'!$B$52,'Operating costs'!$B$51))^MAX(0,C3557-1)+Paths!$M$329*(1+'Operating costs'!$B$53)^MAX(0,C3557-1)),"n.a."))</f>
        <v>0</v>
      </c>
      <c r="I3557" s="16">
        <f>IF(NOT(Paths!$C$329=1),0,IF(Paths!$P$329="Complete",IF(IF(Paths!$E$329=0,C3557=0,AND(C3557&gt;0,Paths!$E$329&gt;(C3557-1)*12,Paths!$E$329&lt;=C3557*12)),Paths!$G$329,0),"n.a."))</f>
        <v>0</v>
      </c>
      <c r="J3557" s="16">
        <f>IF(NOT(Paths!$C$329=1),0,IF(Paths!$P$329="Complete",IF(IF(Paths!$E$329=0,C3557=0,AND(C3557&gt;0,Paths!$E$329&gt;(C3557-1)*12,Paths!$E$329&lt;=C3557*12)),Paths!$H$329,0),"n.a."))</f>
        <v>0</v>
      </c>
      <c r="K3557" s="16">
        <f>IF(NOT(Paths!$C$329=1),0,IF(Paths!$P$329="Complete",IF(IF(Paths!$O$329=0,C3557=0,AND(C3557&gt;0,Paths!$O$329&gt;(C3557-1)*12,Paths!$O$329&lt;=C3557*12)),Paths!$N$329,0),"n.a."))</f>
        <v>0</v>
      </c>
      <c r="L3557" s="16">
        <f>IF(NOT(Paths!$C$329=1),0,IF(Paths!$P$329="Complete",IF(C3557=10,Paths!$I$329,0),"n.a."))</f>
        <v>0</v>
      </c>
      <c r="M3557" s="16">
        <f>IF(NOT(Paths!$C$329=1),0,IF(Paths!$P$329="Complete",IF(AND(Paths!$D$329="EV",Paths!$E$329&lt;120,Paths!$E$329+'Operating costs'!$B$65&gt;Paths!$E$329,Paths!$E$329+'Operating costs'!$B$65&lt;=120,IF(Paths!$E$329+'Operating costs'!$B$65=0,C3557=0,AND(C3557&gt;0,Paths!$E$329+'Operating costs'!$B$65&gt;(C3557-1)*12,Paths!$E$329+'Operating costs'!$B$65&lt;=C3557*12))),'Operating costs'!$B$64,0)+IF(AND('Operating costs'!$B$67&gt;0,'Operating costs'!$B$67&lt;=120,OR(Paths!$D$329="ICE",'Operating costs'!$B$67&lt;=Paths!$E$329),IF('Operating costs'!$B$67=0,C3557=0,AND(C3557&gt;0,'Operating costs'!$B$67&gt;(C3557-1)*12,'Operating costs'!$B$67&lt;=C3557*12))),'Operating costs'!$B$66,0),"n.a."))</f>
        <v>0</v>
      </c>
      <c r="N3557" s="16">
        <f>IF(NOT(Paths!$C$329=1),0,IF(Paths!$P$329="Complete",SUM(G3557:I3557)-J3557-K3557-L3557+M3557+IF(C3557=0,Paths!$F$329,0)+IF(IF(Paths!$E$329=0,C3557=0,AND(C3557&gt;0,Paths!$E$329&gt;(C3557-1)*12,Paths!$E$329&lt;=C3557*12)),VLOOKUP(A3557,'Fleet register'!$A$7:$S$106,16,FALSE),0),"n.a."))</f>
        <v>0</v>
      </c>
      <c r="O3557" s="16">
        <f>IF(NOT(Paths!$C$329=1),0,IF(Paths!$P$329="Complete",N3557-IF(C3557=0,Paths!$F$329,0),"n.a."))</f>
        <v>0</v>
      </c>
      <c r="P3557" s="16">
        <f>IF(NOT(Paths!$C$329=1),0,IF(Paths!$P$329="Complete",O3557+L3557,"n.a."))</f>
        <v>0</v>
      </c>
      <c r="Q3557" s="16">
        <f>IF(NOT(Paths!$C$329=1),0,IF(Paths!$P$329="Complete",N3557*(1+'Operating costs'!$B$54)^-C3557,"n.a."))</f>
        <v>0</v>
      </c>
      <c r="R3557" s="16">
        <f>IF(NOT(Paths!$C$329=1),0,IF(Paths!$P$329="Complete",IF(AND(C3557=0,Paths!$E$329=0),I3557-J3557-K3557+VLOOKUP(A3557,'Fleet register'!$A$7:$S$106,15,FALSE)+VLOOKUP(A3557,'Fleet register'!$A$7:$S$106,16,FALSE),0),"n.a."))</f>
        <v>0</v>
      </c>
      <c r="S3557" s="1">
        <f>IF(NOT(Paths!$C$329=1),0,IF(Paths!$P$329="Complete",IF(C3557=0,0,Paths!$S$329*Paths!$R$329),"n.a."))</f>
        <v>0</v>
      </c>
      <c r="T3557" s="1">
        <f>IF(NOT(Paths!$C$329=1),0,IF(Paths!$P$329="Complete",IF(C3557=0,0,VLOOKUP(A3557,'Fleet register'!$A$7:$S$106,9,FALSE)*Paths!$R$329),"n.a."))</f>
        <v>0</v>
      </c>
    </row>
    <row r="3558" spans="1:20" ht="24" customHeight="1">
      <c r="A3558" s="1" t="str">
        <f>Paths!$A$329</f>
        <v>T081</v>
      </c>
      <c r="B3558" s="1">
        <f>Paths!$B$329</f>
        <v>2</v>
      </c>
      <c r="C3558" s="1">
        <v>9</v>
      </c>
      <c r="D3558" s="1">
        <v>329</v>
      </c>
      <c r="E3558" s="1">
        <f>IF(OR(Paths!$C$329=0,C3558=0),0,MAX(0,MIN(C3558*12,Paths!$E$329)-(C3558-1)*12))</f>
        <v>0</v>
      </c>
      <c r="F3558" s="1">
        <f>IF(OR(Paths!$C$329=0,C3558=0),0,12-E3558)</f>
        <v>0</v>
      </c>
      <c r="G3558" s="16">
        <f>IF(NOT(Paths!$C$329=1),0,IF(Paths!$P$329="Complete",E3558/12*(Paths!$J$329*(1+'Operating costs'!$B$51)^MAX(0,C3558-1)+Paths!$K$329*(1+'Operating costs'!$B$53)^MAX(0,C3558-1)),"n.a."))</f>
        <v>0</v>
      </c>
      <c r="H3558" s="16">
        <f>IF(NOT(Paths!$C$329=1),0,IF(Paths!$P$329="Complete",F3558/12*(Paths!$L$329*(1+IF(Paths!$D$329="EV",'Operating costs'!$B$52,'Operating costs'!$B$51))^MAX(0,C3558-1)+Paths!$M$329*(1+'Operating costs'!$B$53)^MAX(0,C3558-1)),"n.a."))</f>
        <v>0</v>
      </c>
      <c r="I3558" s="16">
        <f>IF(NOT(Paths!$C$329=1),0,IF(Paths!$P$329="Complete",IF(IF(Paths!$E$329=0,C3558=0,AND(C3558&gt;0,Paths!$E$329&gt;(C3558-1)*12,Paths!$E$329&lt;=C3558*12)),Paths!$G$329,0),"n.a."))</f>
        <v>0</v>
      </c>
      <c r="J3558" s="16">
        <f>IF(NOT(Paths!$C$329=1),0,IF(Paths!$P$329="Complete",IF(IF(Paths!$E$329=0,C3558=0,AND(C3558&gt;0,Paths!$E$329&gt;(C3558-1)*12,Paths!$E$329&lt;=C3558*12)),Paths!$H$329,0),"n.a."))</f>
        <v>0</v>
      </c>
      <c r="K3558" s="16">
        <f>IF(NOT(Paths!$C$329=1),0,IF(Paths!$P$329="Complete",IF(IF(Paths!$O$329=0,C3558=0,AND(C3558&gt;0,Paths!$O$329&gt;(C3558-1)*12,Paths!$O$329&lt;=C3558*12)),Paths!$N$329,0),"n.a."))</f>
        <v>0</v>
      </c>
      <c r="L3558" s="16">
        <f>IF(NOT(Paths!$C$329=1),0,IF(Paths!$P$329="Complete",IF(C3558=10,Paths!$I$329,0),"n.a."))</f>
        <v>0</v>
      </c>
      <c r="M3558" s="16">
        <f>IF(NOT(Paths!$C$329=1),0,IF(Paths!$P$329="Complete",IF(AND(Paths!$D$329="EV",Paths!$E$329&lt;120,Paths!$E$329+'Operating costs'!$B$65&gt;Paths!$E$329,Paths!$E$329+'Operating costs'!$B$65&lt;=120,IF(Paths!$E$329+'Operating costs'!$B$65=0,C3558=0,AND(C3558&gt;0,Paths!$E$329+'Operating costs'!$B$65&gt;(C3558-1)*12,Paths!$E$329+'Operating costs'!$B$65&lt;=C3558*12))),'Operating costs'!$B$64,0)+IF(AND('Operating costs'!$B$67&gt;0,'Operating costs'!$B$67&lt;=120,OR(Paths!$D$329="ICE",'Operating costs'!$B$67&lt;=Paths!$E$329),IF('Operating costs'!$B$67=0,C3558=0,AND(C3558&gt;0,'Operating costs'!$B$67&gt;(C3558-1)*12,'Operating costs'!$B$67&lt;=C3558*12))),'Operating costs'!$B$66,0),"n.a."))</f>
        <v>0</v>
      </c>
      <c r="N3558" s="16">
        <f>IF(NOT(Paths!$C$329=1),0,IF(Paths!$P$329="Complete",SUM(G3558:I3558)-J3558-K3558-L3558+M3558+IF(C3558=0,Paths!$F$329,0)+IF(IF(Paths!$E$329=0,C3558=0,AND(C3558&gt;0,Paths!$E$329&gt;(C3558-1)*12,Paths!$E$329&lt;=C3558*12)),VLOOKUP(A3558,'Fleet register'!$A$7:$S$106,16,FALSE),0),"n.a."))</f>
        <v>0</v>
      </c>
      <c r="O3558" s="16">
        <f>IF(NOT(Paths!$C$329=1),0,IF(Paths!$P$329="Complete",N3558-IF(C3558=0,Paths!$F$329,0),"n.a."))</f>
        <v>0</v>
      </c>
      <c r="P3558" s="16">
        <f>IF(NOT(Paths!$C$329=1),0,IF(Paths!$P$329="Complete",O3558+L3558,"n.a."))</f>
        <v>0</v>
      </c>
      <c r="Q3558" s="16">
        <f>IF(NOT(Paths!$C$329=1),0,IF(Paths!$P$329="Complete",N3558*(1+'Operating costs'!$B$54)^-C3558,"n.a."))</f>
        <v>0</v>
      </c>
      <c r="R3558" s="16">
        <f>IF(NOT(Paths!$C$329=1),0,IF(Paths!$P$329="Complete",IF(AND(C3558=0,Paths!$E$329=0),I3558-J3558-K3558+VLOOKUP(A3558,'Fleet register'!$A$7:$S$106,15,FALSE)+VLOOKUP(A3558,'Fleet register'!$A$7:$S$106,16,FALSE),0),"n.a."))</f>
        <v>0</v>
      </c>
      <c r="S3558" s="1">
        <f>IF(NOT(Paths!$C$329=1),0,IF(Paths!$P$329="Complete",IF(C3558=0,0,Paths!$S$329*Paths!$R$329),"n.a."))</f>
        <v>0</v>
      </c>
      <c r="T3558" s="1">
        <f>IF(NOT(Paths!$C$329=1),0,IF(Paths!$P$329="Complete",IF(C3558=0,0,VLOOKUP(A3558,'Fleet register'!$A$7:$S$106,9,FALSE)*Paths!$R$329),"n.a."))</f>
        <v>0</v>
      </c>
    </row>
    <row r="3559" spans="1:20" ht="24" customHeight="1">
      <c r="A3559" s="1" t="str">
        <f>Paths!$A$329</f>
        <v>T081</v>
      </c>
      <c r="B3559" s="1">
        <f>Paths!$B$329</f>
        <v>2</v>
      </c>
      <c r="C3559" s="1">
        <v>10</v>
      </c>
      <c r="D3559" s="1">
        <v>329</v>
      </c>
      <c r="E3559" s="1">
        <f>IF(OR(Paths!$C$329=0,C3559=0),0,MAX(0,MIN(C3559*12,Paths!$E$329)-(C3559-1)*12))</f>
        <v>0</v>
      </c>
      <c r="F3559" s="1">
        <f>IF(OR(Paths!$C$329=0,C3559=0),0,12-E3559)</f>
        <v>0</v>
      </c>
      <c r="G3559" s="16">
        <f>IF(NOT(Paths!$C$329=1),0,IF(Paths!$P$329="Complete",E3559/12*(Paths!$J$329*(1+'Operating costs'!$B$51)^MAX(0,C3559-1)+Paths!$K$329*(1+'Operating costs'!$B$53)^MAX(0,C3559-1)),"n.a."))</f>
        <v>0</v>
      </c>
      <c r="H3559" s="16">
        <f>IF(NOT(Paths!$C$329=1),0,IF(Paths!$P$329="Complete",F3559/12*(Paths!$L$329*(1+IF(Paths!$D$329="EV",'Operating costs'!$B$52,'Operating costs'!$B$51))^MAX(0,C3559-1)+Paths!$M$329*(1+'Operating costs'!$B$53)^MAX(0,C3559-1)),"n.a."))</f>
        <v>0</v>
      </c>
      <c r="I3559" s="16">
        <f>IF(NOT(Paths!$C$329=1),0,IF(Paths!$P$329="Complete",IF(IF(Paths!$E$329=0,C3559=0,AND(C3559&gt;0,Paths!$E$329&gt;(C3559-1)*12,Paths!$E$329&lt;=C3559*12)),Paths!$G$329,0),"n.a."))</f>
        <v>0</v>
      </c>
      <c r="J3559" s="16">
        <f>IF(NOT(Paths!$C$329=1),0,IF(Paths!$P$329="Complete",IF(IF(Paths!$E$329=0,C3559=0,AND(C3559&gt;0,Paths!$E$329&gt;(C3559-1)*12,Paths!$E$329&lt;=C3559*12)),Paths!$H$329,0),"n.a."))</f>
        <v>0</v>
      </c>
      <c r="K3559" s="16">
        <f>IF(NOT(Paths!$C$329=1),0,IF(Paths!$P$329="Complete",IF(IF(Paths!$O$329=0,C3559=0,AND(C3559&gt;0,Paths!$O$329&gt;(C3559-1)*12,Paths!$O$329&lt;=C3559*12)),Paths!$N$329,0),"n.a."))</f>
        <v>0</v>
      </c>
      <c r="L3559" s="16">
        <f>IF(NOT(Paths!$C$329=1),0,IF(Paths!$P$329="Complete",IF(C3559=10,Paths!$I$329,0),"n.a."))</f>
        <v>0</v>
      </c>
      <c r="M3559" s="16">
        <f>IF(NOT(Paths!$C$329=1),0,IF(Paths!$P$329="Complete",IF(AND(Paths!$D$329="EV",Paths!$E$329&lt;120,Paths!$E$329+'Operating costs'!$B$65&gt;Paths!$E$329,Paths!$E$329+'Operating costs'!$B$65&lt;=120,IF(Paths!$E$329+'Operating costs'!$B$65=0,C3559=0,AND(C3559&gt;0,Paths!$E$329+'Operating costs'!$B$65&gt;(C3559-1)*12,Paths!$E$329+'Operating costs'!$B$65&lt;=C3559*12))),'Operating costs'!$B$64,0)+IF(AND('Operating costs'!$B$67&gt;0,'Operating costs'!$B$67&lt;=120,OR(Paths!$D$329="ICE",'Operating costs'!$B$67&lt;=Paths!$E$329),IF('Operating costs'!$B$67=0,C3559=0,AND(C3559&gt;0,'Operating costs'!$B$67&gt;(C3559-1)*12,'Operating costs'!$B$67&lt;=C3559*12))),'Operating costs'!$B$66,0),"n.a."))</f>
        <v>0</v>
      </c>
      <c r="N3559" s="16">
        <f>IF(NOT(Paths!$C$329=1),0,IF(Paths!$P$329="Complete",SUM(G3559:I3559)-J3559-K3559-L3559+M3559+IF(C3559=0,Paths!$F$329,0)+IF(IF(Paths!$E$329=0,C3559=0,AND(C3559&gt;0,Paths!$E$329&gt;(C3559-1)*12,Paths!$E$329&lt;=C3559*12)),VLOOKUP(A3559,'Fleet register'!$A$7:$S$106,16,FALSE),0),"n.a."))</f>
        <v>0</v>
      </c>
      <c r="O3559" s="16">
        <f>IF(NOT(Paths!$C$329=1),0,IF(Paths!$P$329="Complete",N3559-IF(C3559=0,Paths!$F$329,0),"n.a."))</f>
        <v>0</v>
      </c>
      <c r="P3559" s="16">
        <f>IF(NOT(Paths!$C$329=1),0,IF(Paths!$P$329="Complete",O3559+L3559,"n.a."))</f>
        <v>0</v>
      </c>
      <c r="Q3559" s="16">
        <f>IF(NOT(Paths!$C$329=1),0,IF(Paths!$P$329="Complete",N3559*(1+'Operating costs'!$B$54)^-C3559,"n.a."))</f>
        <v>0</v>
      </c>
      <c r="R3559" s="16">
        <f>IF(NOT(Paths!$C$329=1),0,IF(Paths!$P$329="Complete",IF(AND(C3559=0,Paths!$E$329=0),I3559-J3559-K3559+VLOOKUP(A3559,'Fleet register'!$A$7:$S$106,15,FALSE)+VLOOKUP(A3559,'Fleet register'!$A$7:$S$106,16,FALSE),0),"n.a."))</f>
        <v>0</v>
      </c>
      <c r="S3559" s="1">
        <f>IF(NOT(Paths!$C$329=1),0,IF(Paths!$P$329="Complete",IF(C3559=0,0,Paths!$S$329*Paths!$R$329),"n.a."))</f>
        <v>0</v>
      </c>
      <c r="T3559" s="1">
        <f>IF(NOT(Paths!$C$329=1),0,IF(Paths!$P$329="Complete",IF(C3559=0,0,VLOOKUP(A3559,'Fleet register'!$A$7:$S$106,9,FALSE)*Paths!$R$329),"n.a."))</f>
        <v>0</v>
      </c>
    </row>
    <row r="3560" spans="1:20" ht="24" customHeight="1">
      <c r="A3560" s="1" t="str">
        <f>Paths!$A$330</f>
        <v>T081</v>
      </c>
      <c r="B3560" s="1">
        <f>Paths!$B$330</f>
        <v>3</v>
      </c>
      <c r="C3560" s="1">
        <v>0</v>
      </c>
      <c r="D3560" s="1">
        <v>330</v>
      </c>
      <c r="E3560" s="1">
        <f>IF(OR(Paths!$C$330=0,C3560=0),0,MAX(0,MIN(C3560*12,Paths!$E$330)-(C3560-1)*12))</f>
        <v>0</v>
      </c>
      <c r="F3560" s="1">
        <f>IF(OR(Paths!$C$330=0,C3560=0),0,12-E3560)</f>
        <v>0</v>
      </c>
      <c r="G3560" s="16">
        <f>IF(NOT(Paths!$C$330=1),0,IF(Paths!$P$330="Complete",E3560/12*(Paths!$J$330*(1+'Operating costs'!$B$51)^MAX(0,C3560-1)+Paths!$K$330*(1+'Operating costs'!$B$53)^MAX(0,C3560-1)),"n.a."))</f>
        <v>0</v>
      </c>
      <c r="H3560" s="16">
        <f>IF(NOT(Paths!$C$330=1),0,IF(Paths!$P$330="Complete",F3560/12*(Paths!$L$330*(1+IF(Paths!$D$330="EV",'Operating costs'!$B$52,'Operating costs'!$B$51))^MAX(0,C3560-1)+Paths!$M$330*(1+'Operating costs'!$B$53)^MAX(0,C3560-1)),"n.a."))</f>
        <v>0</v>
      </c>
      <c r="I3560" s="16">
        <f>IF(NOT(Paths!$C$330=1),0,IF(Paths!$P$330="Complete",IF(IF(Paths!$E$330=0,C3560=0,AND(C3560&gt;0,Paths!$E$330&gt;(C3560-1)*12,Paths!$E$330&lt;=C3560*12)),Paths!$G$330,0),"n.a."))</f>
        <v>0</v>
      </c>
      <c r="J3560" s="16">
        <f>IF(NOT(Paths!$C$330=1),0,IF(Paths!$P$330="Complete",IF(IF(Paths!$E$330=0,C3560=0,AND(C3560&gt;0,Paths!$E$330&gt;(C3560-1)*12,Paths!$E$330&lt;=C3560*12)),Paths!$H$330,0),"n.a."))</f>
        <v>0</v>
      </c>
      <c r="K3560" s="16">
        <f>IF(NOT(Paths!$C$330=1),0,IF(Paths!$P$330="Complete",IF(IF(Paths!$O$330=0,C3560=0,AND(C3560&gt;0,Paths!$O$330&gt;(C3560-1)*12,Paths!$O$330&lt;=C3560*12)),Paths!$N$330,0),"n.a."))</f>
        <v>0</v>
      </c>
      <c r="L3560" s="16">
        <f>IF(NOT(Paths!$C$330=1),0,IF(Paths!$P$330="Complete",IF(C3560=10,Paths!$I$330,0),"n.a."))</f>
        <v>0</v>
      </c>
      <c r="M3560" s="16">
        <f>IF(NOT(Paths!$C$330=1),0,IF(Paths!$P$330="Complete",IF(AND(Paths!$D$330="EV",Paths!$E$330&lt;120,Paths!$E$330+'Operating costs'!$B$65&gt;Paths!$E$330,Paths!$E$330+'Operating costs'!$B$65&lt;=120,IF(Paths!$E$330+'Operating costs'!$B$65=0,C3560=0,AND(C3560&gt;0,Paths!$E$330+'Operating costs'!$B$65&gt;(C3560-1)*12,Paths!$E$330+'Operating costs'!$B$65&lt;=C3560*12))),'Operating costs'!$B$64,0)+IF(AND('Operating costs'!$B$67&gt;0,'Operating costs'!$B$67&lt;=120,OR(Paths!$D$330="ICE",'Operating costs'!$B$67&lt;=Paths!$E$330),IF('Operating costs'!$B$67=0,C3560=0,AND(C3560&gt;0,'Operating costs'!$B$67&gt;(C3560-1)*12,'Operating costs'!$B$67&lt;=C3560*12))),'Operating costs'!$B$66,0),"n.a."))</f>
        <v>0</v>
      </c>
      <c r="N3560" s="16">
        <f>IF(NOT(Paths!$C$330=1),0,IF(Paths!$P$330="Complete",SUM(G3560:I3560)-J3560-K3560-L3560+M3560+IF(C3560=0,Paths!$F$330,0)+IF(IF(Paths!$E$330=0,C3560=0,AND(C3560&gt;0,Paths!$E$330&gt;(C3560-1)*12,Paths!$E$330&lt;=C3560*12)),VLOOKUP(A3560,'Fleet register'!$A$7:$S$106,16,FALSE),0),"n.a."))</f>
        <v>0</v>
      </c>
      <c r="O3560" s="16">
        <f>IF(NOT(Paths!$C$330=1),0,IF(Paths!$P$330="Complete",N3560-IF(C3560=0,Paths!$F$330,0),"n.a."))</f>
        <v>0</v>
      </c>
      <c r="P3560" s="16">
        <f>IF(NOT(Paths!$C$330=1),0,IF(Paths!$P$330="Complete",O3560+L3560,"n.a."))</f>
        <v>0</v>
      </c>
      <c r="Q3560" s="16">
        <f>IF(NOT(Paths!$C$330=1),0,IF(Paths!$P$330="Complete",N3560*(1+'Operating costs'!$B$54)^-C3560,"n.a."))</f>
        <v>0</v>
      </c>
      <c r="R3560" s="16">
        <f>IF(NOT(Paths!$C$330=1),0,IF(Paths!$P$330="Complete",IF(AND(C3560=0,Paths!$E$330=0),I3560-J3560-K3560+VLOOKUP(A3560,'Fleet register'!$A$7:$S$106,15,FALSE)+VLOOKUP(A3560,'Fleet register'!$A$7:$S$106,16,FALSE),0),"n.a."))</f>
        <v>0</v>
      </c>
      <c r="S3560" s="1">
        <f>IF(NOT(Paths!$C$330=1),0,IF(Paths!$P$330="Complete",IF(C3560=0,0,Paths!$S$330*Paths!$R$330),"n.a."))</f>
        <v>0</v>
      </c>
      <c r="T3560" s="1">
        <f>IF(NOT(Paths!$C$330=1),0,IF(Paths!$P$330="Complete",IF(C3560=0,0,VLOOKUP(A3560,'Fleet register'!$A$7:$S$106,9,FALSE)*Paths!$R$330),"n.a."))</f>
        <v>0</v>
      </c>
    </row>
    <row r="3561" spans="1:20" ht="24" customHeight="1">
      <c r="A3561" s="1" t="str">
        <f>Paths!$A$330</f>
        <v>T081</v>
      </c>
      <c r="B3561" s="1">
        <f>Paths!$B$330</f>
        <v>3</v>
      </c>
      <c r="C3561" s="1">
        <v>1</v>
      </c>
      <c r="D3561" s="1">
        <v>330</v>
      </c>
      <c r="E3561" s="1">
        <f>IF(OR(Paths!$C$330=0,C3561=0),0,MAX(0,MIN(C3561*12,Paths!$E$330)-(C3561-1)*12))</f>
        <v>0</v>
      </c>
      <c r="F3561" s="1">
        <f>IF(OR(Paths!$C$330=0,C3561=0),0,12-E3561)</f>
        <v>0</v>
      </c>
      <c r="G3561" s="16">
        <f>IF(NOT(Paths!$C$330=1),0,IF(Paths!$P$330="Complete",E3561/12*(Paths!$J$330*(1+'Operating costs'!$B$51)^MAX(0,C3561-1)+Paths!$K$330*(1+'Operating costs'!$B$53)^MAX(0,C3561-1)),"n.a."))</f>
        <v>0</v>
      </c>
      <c r="H3561" s="16">
        <f>IF(NOT(Paths!$C$330=1),0,IF(Paths!$P$330="Complete",F3561/12*(Paths!$L$330*(1+IF(Paths!$D$330="EV",'Operating costs'!$B$52,'Operating costs'!$B$51))^MAX(0,C3561-1)+Paths!$M$330*(1+'Operating costs'!$B$53)^MAX(0,C3561-1)),"n.a."))</f>
        <v>0</v>
      </c>
      <c r="I3561" s="16">
        <f>IF(NOT(Paths!$C$330=1),0,IF(Paths!$P$330="Complete",IF(IF(Paths!$E$330=0,C3561=0,AND(C3561&gt;0,Paths!$E$330&gt;(C3561-1)*12,Paths!$E$330&lt;=C3561*12)),Paths!$G$330,0),"n.a."))</f>
        <v>0</v>
      </c>
      <c r="J3561" s="16">
        <f>IF(NOT(Paths!$C$330=1),0,IF(Paths!$P$330="Complete",IF(IF(Paths!$E$330=0,C3561=0,AND(C3561&gt;0,Paths!$E$330&gt;(C3561-1)*12,Paths!$E$330&lt;=C3561*12)),Paths!$H$330,0),"n.a."))</f>
        <v>0</v>
      </c>
      <c r="K3561" s="16">
        <f>IF(NOT(Paths!$C$330=1),0,IF(Paths!$P$330="Complete",IF(IF(Paths!$O$330=0,C3561=0,AND(C3561&gt;0,Paths!$O$330&gt;(C3561-1)*12,Paths!$O$330&lt;=C3561*12)),Paths!$N$330,0),"n.a."))</f>
        <v>0</v>
      </c>
      <c r="L3561" s="16">
        <f>IF(NOT(Paths!$C$330=1),0,IF(Paths!$P$330="Complete",IF(C3561=10,Paths!$I$330,0),"n.a."))</f>
        <v>0</v>
      </c>
      <c r="M3561" s="16">
        <f>IF(NOT(Paths!$C$330=1),0,IF(Paths!$P$330="Complete",IF(AND(Paths!$D$330="EV",Paths!$E$330&lt;120,Paths!$E$330+'Operating costs'!$B$65&gt;Paths!$E$330,Paths!$E$330+'Operating costs'!$B$65&lt;=120,IF(Paths!$E$330+'Operating costs'!$B$65=0,C3561=0,AND(C3561&gt;0,Paths!$E$330+'Operating costs'!$B$65&gt;(C3561-1)*12,Paths!$E$330+'Operating costs'!$B$65&lt;=C3561*12))),'Operating costs'!$B$64,0)+IF(AND('Operating costs'!$B$67&gt;0,'Operating costs'!$B$67&lt;=120,OR(Paths!$D$330="ICE",'Operating costs'!$B$67&lt;=Paths!$E$330),IF('Operating costs'!$B$67=0,C3561=0,AND(C3561&gt;0,'Operating costs'!$B$67&gt;(C3561-1)*12,'Operating costs'!$B$67&lt;=C3561*12))),'Operating costs'!$B$66,0),"n.a."))</f>
        <v>0</v>
      </c>
      <c r="N3561" s="16">
        <f>IF(NOT(Paths!$C$330=1),0,IF(Paths!$P$330="Complete",SUM(G3561:I3561)-J3561-K3561-L3561+M3561+IF(C3561=0,Paths!$F$330,0)+IF(IF(Paths!$E$330=0,C3561=0,AND(C3561&gt;0,Paths!$E$330&gt;(C3561-1)*12,Paths!$E$330&lt;=C3561*12)),VLOOKUP(A3561,'Fleet register'!$A$7:$S$106,16,FALSE),0),"n.a."))</f>
        <v>0</v>
      </c>
      <c r="O3561" s="16">
        <f>IF(NOT(Paths!$C$330=1),0,IF(Paths!$P$330="Complete",N3561-IF(C3561=0,Paths!$F$330,0),"n.a."))</f>
        <v>0</v>
      </c>
      <c r="P3561" s="16">
        <f>IF(NOT(Paths!$C$330=1),0,IF(Paths!$P$330="Complete",O3561+L3561,"n.a."))</f>
        <v>0</v>
      </c>
      <c r="Q3561" s="16">
        <f>IF(NOT(Paths!$C$330=1),0,IF(Paths!$P$330="Complete",N3561*(1+'Operating costs'!$B$54)^-C3561,"n.a."))</f>
        <v>0</v>
      </c>
      <c r="R3561" s="16">
        <f>IF(NOT(Paths!$C$330=1),0,IF(Paths!$P$330="Complete",IF(AND(C3561=0,Paths!$E$330=0),I3561-J3561-K3561+VLOOKUP(A3561,'Fleet register'!$A$7:$S$106,15,FALSE)+VLOOKUP(A3561,'Fleet register'!$A$7:$S$106,16,FALSE),0),"n.a."))</f>
        <v>0</v>
      </c>
      <c r="S3561" s="1">
        <f>IF(NOT(Paths!$C$330=1),0,IF(Paths!$P$330="Complete",IF(C3561=0,0,Paths!$S$330*Paths!$R$330),"n.a."))</f>
        <v>0</v>
      </c>
      <c r="T3561" s="1">
        <f>IF(NOT(Paths!$C$330=1),0,IF(Paths!$P$330="Complete",IF(C3561=0,0,VLOOKUP(A3561,'Fleet register'!$A$7:$S$106,9,FALSE)*Paths!$R$330),"n.a."))</f>
        <v>0</v>
      </c>
    </row>
    <row r="3562" spans="1:20" ht="24" customHeight="1">
      <c r="A3562" s="1" t="str">
        <f>Paths!$A$330</f>
        <v>T081</v>
      </c>
      <c r="B3562" s="1">
        <f>Paths!$B$330</f>
        <v>3</v>
      </c>
      <c r="C3562" s="1">
        <v>2</v>
      </c>
      <c r="D3562" s="1">
        <v>330</v>
      </c>
      <c r="E3562" s="1">
        <f>IF(OR(Paths!$C$330=0,C3562=0),0,MAX(0,MIN(C3562*12,Paths!$E$330)-(C3562-1)*12))</f>
        <v>0</v>
      </c>
      <c r="F3562" s="1">
        <f>IF(OR(Paths!$C$330=0,C3562=0),0,12-E3562)</f>
        <v>0</v>
      </c>
      <c r="G3562" s="16">
        <f>IF(NOT(Paths!$C$330=1),0,IF(Paths!$P$330="Complete",E3562/12*(Paths!$J$330*(1+'Operating costs'!$B$51)^MAX(0,C3562-1)+Paths!$K$330*(1+'Operating costs'!$B$53)^MAX(0,C3562-1)),"n.a."))</f>
        <v>0</v>
      </c>
      <c r="H3562" s="16">
        <f>IF(NOT(Paths!$C$330=1),0,IF(Paths!$P$330="Complete",F3562/12*(Paths!$L$330*(1+IF(Paths!$D$330="EV",'Operating costs'!$B$52,'Operating costs'!$B$51))^MAX(0,C3562-1)+Paths!$M$330*(1+'Operating costs'!$B$53)^MAX(0,C3562-1)),"n.a."))</f>
        <v>0</v>
      </c>
      <c r="I3562" s="16">
        <f>IF(NOT(Paths!$C$330=1),0,IF(Paths!$P$330="Complete",IF(IF(Paths!$E$330=0,C3562=0,AND(C3562&gt;0,Paths!$E$330&gt;(C3562-1)*12,Paths!$E$330&lt;=C3562*12)),Paths!$G$330,0),"n.a."))</f>
        <v>0</v>
      </c>
      <c r="J3562" s="16">
        <f>IF(NOT(Paths!$C$330=1),0,IF(Paths!$P$330="Complete",IF(IF(Paths!$E$330=0,C3562=0,AND(C3562&gt;0,Paths!$E$330&gt;(C3562-1)*12,Paths!$E$330&lt;=C3562*12)),Paths!$H$330,0),"n.a."))</f>
        <v>0</v>
      </c>
      <c r="K3562" s="16">
        <f>IF(NOT(Paths!$C$330=1),0,IF(Paths!$P$330="Complete",IF(IF(Paths!$O$330=0,C3562=0,AND(C3562&gt;0,Paths!$O$330&gt;(C3562-1)*12,Paths!$O$330&lt;=C3562*12)),Paths!$N$330,0),"n.a."))</f>
        <v>0</v>
      </c>
      <c r="L3562" s="16">
        <f>IF(NOT(Paths!$C$330=1),0,IF(Paths!$P$330="Complete",IF(C3562=10,Paths!$I$330,0),"n.a."))</f>
        <v>0</v>
      </c>
      <c r="M3562" s="16">
        <f>IF(NOT(Paths!$C$330=1),0,IF(Paths!$P$330="Complete",IF(AND(Paths!$D$330="EV",Paths!$E$330&lt;120,Paths!$E$330+'Operating costs'!$B$65&gt;Paths!$E$330,Paths!$E$330+'Operating costs'!$B$65&lt;=120,IF(Paths!$E$330+'Operating costs'!$B$65=0,C3562=0,AND(C3562&gt;0,Paths!$E$330+'Operating costs'!$B$65&gt;(C3562-1)*12,Paths!$E$330+'Operating costs'!$B$65&lt;=C3562*12))),'Operating costs'!$B$64,0)+IF(AND('Operating costs'!$B$67&gt;0,'Operating costs'!$B$67&lt;=120,OR(Paths!$D$330="ICE",'Operating costs'!$B$67&lt;=Paths!$E$330),IF('Operating costs'!$B$67=0,C3562=0,AND(C3562&gt;0,'Operating costs'!$B$67&gt;(C3562-1)*12,'Operating costs'!$B$67&lt;=C3562*12))),'Operating costs'!$B$66,0),"n.a."))</f>
        <v>0</v>
      </c>
      <c r="N3562" s="16">
        <f>IF(NOT(Paths!$C$330=1),0,IF(Paths!$P$330="Complete",SUM(G3562:I3562)-J3562-K3562-L3562+M3562+IF(C3562=0,Paths!$F$330,0)+IF(IF(Paths!$E$330=0,C3562=0,AND(C3562&gt;0,Paths!$E$330&gt;(C3562-1)*12,Paths!$E$330&lt;=C3562*12)),VLOOKUP(A3562,'Fleet register'!$A$7:$S$106,16,FALSE),0),"n.a."))</f>
        <v>0</v>
      </c>
      <c r="O3562" s="16">
        <f>IF(NOT(Paths!$C$330=1),0,IF(Paths!$P$330="Complete",N3562-IF(C3562=0,Paths!$F$330,0),"n.a."))</f>
        <v>0</v>
      </c>
      <c r="P3562" s="16">
        <f>IF(NOT(Paths!$C$330=1),0,IF(Paths!$P$330="Complete",O3562+L3562,"n.a."))</f>
        <v>0</v>
      </c>
      <c r="Q3562" s="16">
        <f>IF(NOT(Paths!$C$330=1),0,IF(Paths!$P$330="Complete",N3562*(1+'Operating costs'!$B$54)^-C3562,"n.a."))</f>
        <v>0</v>
      </c>
      <c r="R3562" s="16">
        <f>IF(NOT(Paths!$C$330=1),0,IF(Paths!$P$330="Complete",IF(AND(C3562=0,Paths!$E$330=0),I3562-J3562-K3562+VLOOKUP(A3562,'Fleet register'!$A$7:$S$106,15,FALSE)+VLOOKUP(A3562,'Fleet register'!$A$7:$S$106,16,FALSE),0),"n.a."))</f>
        <v>0</v>
      </c>
      <c r="S3562" s="1">
        <f>IF(NOT(Paths!$C$330=1),0,IF(Paths!$P$330="Complete",IF(C3562=0,0,Paths!$S$330*Paths!$R$330),"n.a."))</f>
        <v>0</v>
      </c>
      <c r="T3562" s="1">
        <f>IF(NOT(Paths!$C$330=1),0,IF(Paths!$P$330="Complete",IF(C3562=0,0,VLOOKUP(A3562,'Fleet register'!$A$7:$S$106,9,FALSE)*Paths!$R$330),"n.a."))</f>
        <v>0</v>
      </c>
    </row>
    <row r="3563" spans="1:20" ht="24" customHeight="1">
      <c r="A3563" s="1" t="str">
        <f>Paths!$A$330</f>
        <v>T081</v>
      </c>
      <c r="B3563" s="1">
        <f>Paths!$B$330</f>
        <v>3</v>
      </c>
      <c r="C3563" s="1">
        <v>3</v>
      </c>
      <c r="D3563" s="1">
        <v>330</v>
      </c>
      <c r="E3563" s="1">
        <f>IF(OR(Paths!$C$330=0,C3563=0),0,MAX(0,MIN(C3563*12,Paths!$E$330)-(C3563-1)*12))</f>
        <v>0</v>
      </c>
      <c r="F3563" s="1">
        <f>IF(OR(Paths!$C$330=0,C3563=0),0,12-E3563)</f>
        <v>0</v>
      </c>
      <c r="G3563" s="16">
        <f>IF(NOT(Paths!$C$330=1),0,IF(Paths!$P$330="Complete",E3563/12*(Paths!$J$330*(1+'Operating costs'!$B$51)^MAX(0,C3563-1)+Paths!$K$330*(1+'Operating costs'!$B$53)^MAX(0,C3563-1)),"n.a."))</f>
        <v>0</v>
      </c>
      <c r="H3563" s="16">
        <f>IF(NOT(Paths!$C$330=1),0,IF(Paths!$P$330="Complete",F3563/12*(Paths!$L$330*(1+IF(Paths!$D$330="EV",'Operating costs'!$B$52,'Operating costs'!$B$51))^MAX(0,C3563-1)+Paths!$M$330*(1+'Operating costs'!$B$53)^MAX(0,C3563-1)),"n.a."))</f>
        <v>0</v>
      </c>
      <c r="I3563" s="16">
        <f>IF(NOT(Paths!$C$330=1),0,IF(Paths!$P$330="Complete",IF(IF(Paths!$E$330=0,C3563=0,AND(C3563&gt;0,Paths!$E$330&gt;(C3563-1)*12,Paths!$E$330&lt;=C3563*12)),Paths!$G$330,0),"n.a."))</f>
        <v>0</v>
      </c>
      <c r="J3563" s="16">
        <f>IF(NOT(Paths!$C$330=1),0,IF(Paths!$P$330="Complete",IF(IF(Paths!$E$330=0,C3563=0,AND(C3563&gt;0,Paths!$E$330&gt;(C3563-1)*12,Paths!$E$330&lt;=C3563*12)),Paths!$H$330,0),"n.a."))</f>
        <v>0</v>
      </c>
      <c r="K3563" s="16">
        <f>IF(NOT(Paths!$C$330=1),0,IF(Paths!$P$330="Complete",IF(IF(Paths!$O$330=0,C3563=0,AND(C3563&gt;0,Paths!$O$330&gt;(C3563-1)*12,Paths!$O$330&lt;=C3563*12)),Paths!$N$330,0),"n.a."))</f>
        <v>0</v>
      </c>
      <c r="L3563" s="16">
        <f>IF(NOT(Paths!$C$330=1),0,IF(Paths!$P$330="Complete",IF(C3563=10,Paths!$I$330,0),"n.a."))</f>
        <v>0</v>
      </c>
      <c r="M3563" s="16">
        <f>IF(NOT(Paths!$C$330=1),0,IF(Paths!$P$330="Complete",IF(AND(Paths!$D$330="EV",Paths!$E$330&lt;120,Paths!$E$330+'Operating costs'!$B$65&gt;Paths!$E$330,Paths!$E$330+'Operating costs'!$B$65&lt;=120,IF(Paths!$E$330+'Operating costs'!$B$65=0,C3563=0,AND(C3563&gt;0,Paths!$E$330+'Operating costs'!$B$65&gt;(C3563-1)*12,Paths!$E$330+'Operating costs'!$B$65&lt;=C3563*12))),'Operating costs'!$B$64,0)+IF(AND('Operating costs'!$B$67&gt;0,'Operating costs'!$B$67&lt;=120,OR(Paths!$D$330="ICE",'Operating costs'!$B$67&lt;=Paths!$E$330),IF('Operating costs'!$B$67=0,C3563=0,AND(C3563&gt;0,'Operating costs'!$B$67&gt;(C3563-1)*12,'Operating costs'!$B$67&lt;=C3563*12))),'Operating costs'!$B$66,0),"n.a."))</f>
        <v>0</v>
      </c>
      <c r="N3563" s="16">
        <f>IF(NOT(Paths!$C$330=1),0,IF(Paths!$P$330="Complete",SUM(G3563:I3563)-J3563-K3563-L3563+M3563+IF(C3563=0,Paths!$F$330,0)+IF(IF(Paths!$E$330=0,C3563=0,AND(C3563&gt;0,Paths!$E$330&gt;(C3563-1)*12,Paths!$E$330&lt;=C3563*12)),VLOOKUP(A3563,'Fleet register'!$A$7:$S$106,16,FALSE),0),"n.a."))</f>
        <v>0</v>
      </c>
      <c r="O3563" s="16">
        <f>IF(NOT(Paths!$C$330=1),0,IF(Paths!$P$330="Complete",N3563-IF(C3563=0,Paths!$F$330,0),"n.a."))</f>
        <v>0</v>
      </c>
      <c r="P3563" s="16">
        <f>IF(NOT(Paths!$C$330=1),0,IF(Paths!$P$330="Complete",O3563+L3563,"n.a."))</f>
        <v>0</v>
      </c>
      <c r="Q3563" s="16">
        <f>IF(NOT(Paths!$C$330=1),0,IF(Paths!$P$330="Complete",N3563*(1+'Operating costs'!$B$54)^-C3563,"n.a."))</f>
        <v>0</v>
      </c>
      <c r="R3563" s="16">
        <f>IF(NOT(Paths!$C$330=1),0,IF(Paths!$P$330="Complete",IF(AND(C3563=0,Paths!$E$330=0),I3563-J3563-K3563+VLOOKUP(A3563,'Fleet register'!$A$7:$S$106,15,FALSE)+VLOOKUP(A3563,'Fleet register'!$A$7:$S$106,16,FALSE),0),"n.a."))</f>
        <v>0</v>
      </c>
      <c r="S3563" s="1">
        <f>IF(NOT(Paths!$C$330=1),0,IF(Paths!$P$330="Complete",IF(C3563=0,0,Paths!$S$330*Paths!$R$330),"n.a."))</f>
        <v>0</v>
      </c>
      <c r="T3563" s="1">
        <f>IF(NOT(Paths!$C$330=1),0,IF(Paths!$P$330="Complete",IF(C3563=0,0,VLOOKUP(A3563,'Fleet register'!$A$7:$S$106,9,FALSE)*Paths!$R$330),"n.a."))</f>
        <v>0</v>
      </c>
    </row>
    <row r="3564" spans="1:20" ht="24" customHeight="1">
      <c r="A3564" s="1" t="str">
        <f>Paths!$A$330</f>
        <v>T081</v>
      </c>
      <c r="B3564" s="1">
        <f>Paths!$B$330</f>
        <v>3</v>
      </c>
      <c r="C3564" s="1">
        <v>4</v>
      </c>
      <c r="D3564" s="1">
        <v>330</v>
      </c>
      <c r="E3564" s="1">
        <f>IF(OR(Paths!$C$330=0,C3564=0),0,MAX(0,MIN(C3564*12,Paths!$E$330)-(C3564-1)*12))</f>
        <v>0</v>
      </c>
      <c r="F3564" s="1">
        <f>IF(OR(Paths!$C$330=0,C3564=0),0,12-E3564)</f>
        <v>0</v>
      </c>
      <c r="G3564" s="16">
        <f>IF(NOT(Paths!$C$330=1),0,IF(Paths!$P$330="Complete",E3564/12*(Paths!$J$330*(1+'Operating costs'!$B$51)^MAX(0,C3564-1)+Paths!$K$330*(1+'Operating costs'!$B$53)^MAX(0,C3564-1)),"n.a."))</f>
        <v>0</v>
      </c>
      <c r="H3564" s="16">
        <f>IF(NOT(Paths!$C$330=1),0,IF(Paths!$P$330="Complete",F3564/12*(Paths!$L$330*(1+IF(Paths!$D$330="EV",'Operating costs'!$B$52,'Operating costs'!$B$51))^MAX(0,C3564-1)+Paths!$M$330*(1+'Operating costs'!$B$53)^MAX(0,C3564-1)),"n.a."))</f>
        <v>0</v>
      </c>
      <c r="I3564" s="16">
        <f>IF(NOT(Paths!$C$330=1),0,IF(Paths!$P$330="Complete",IF(IF(Paths!$E$330=0,C3564=0,AND(C3564&gt;0,Paths!$E$330&gt;(C3564-1)*12,Paths!$E$330&lt;=C3564*12)),Paths!$G$330,0),"n.a."))</f>
        <v>0</v>
      </c>
      <c r="J3564" s="16">
        <f>IF(NOT(Paths!$C$330=1),0,IF(Paths!$P$330="Complete",IF(IF(Paths!$E$330=0,C3564=0,AND(C3564&gt;0,Paths!$E$330&gt;(C3564-1)*12,Paths!$E$330&lt;=C3564*12)),Paths!$H$330,0),"n.a."))</f>
        <v>0</v>
      </c>
      <c r="K3564" s="16">
        <f>IF(NOT(Paths!$C$330=1),0,IF(Paths!$P$330="Complete",IF(IF(Paths!$O$330=0,C3564=0,AND(C3564&gt;0,Paths!$O$330&gt;(C3564-1)*12,Paths!$O$330&lt;=C3564*12)),Paths!$N$330,0),"n.a."))</f>
        <v>0</v>
      </c>
      <c r="L3564" s="16">
        <f>IF(NOT(Paths!$C$330=1),0,IF(Paths!$P$330="Complete",IF(C3564=10,Paths!$I$330,0),"n.a."))</f>
        <v>0</v>
      </c>
      <c r="M3564" s="16">
        <f>IF(NOT(Paths!$C$330=1),0,IF(Paths!$P$330="Complete",IF(AND(Paths!$D$330="EV",Paths!$E$330&lt;120,Paths!$E$330+'Operating costs'!$B$65&gt;Paths!$E$330,Paths!$E$330+'Operating costs'!$B$65&lt;=120,IF(Paths!$E$330+'Operating costs'!$B$65=0,C3564=0,AND(C3564&gt;0,Paths!$E$330+'Operating costs'!$B$65&gt;(C3564-1)*12,Paths!$E$330+'Operating costs'!$B$65&lt;=C3564*12))),'Operating costs'!$B$64,0)+IF(AND('Operating costs'!$B$67&gt;0,'Operating costs'!$B$67&lt;=120,OR(Paths!$D$330="ICE",'Operating costs'!$B$67&lt;=Paths!$E$330),IF('Operating costs'!$B$67=0,C3564=0,AND(C3564&gt;0,'Operating costs'!$B$67&gt;(C3564-1)*12,'Operating costs'!$B$67&lt;=C3564*12))),'Operating costs'!$B$66,0),"n.a."))</f>
        <v>0</v>
      </c>
      <c r="N3564" s="16">
        <f>IF(NOT(Paths!$C$330=1),0,IF(Paths!$P$330="Complete",SUM(G3564:I3564)-J3564-K3564-L3564+M3564+IF(C3564=0,Paths!$F$330,0)+IF(IF(Paths!$E$330=0,C3564=0,AND(C3564&gt;0,Paths!$E$330&gt;(C3564-1)*12,Paths!$E$330&lt;=C3564*12)),VLOOKUP(A3564,'Fleet register'!$A$7:$S$106,16,FALSE),0),"n.a."))</f>
        <v>0</v>
      </c>
      <c r="O3564" s="16">
        <f>IF(NOT(Paths!$C$330=1),0,IF(Paths!$P$330="Complete",N3564-IF(C3564=0,Paths!$F$330,0),"n.a."))</f>
        <v>0</v>
      </c>
      <c r="P3564" s="16">
        <f>IF(NOT(Paths!$C$330=1),0,IF(Paths!$P$330="Complete",O3564+L3564,"n.a."))</f>
        <v>0</v>
      </c>
      <c r="Q3564" s="16">
        <f>IF(NOT(Paths!$C$330=1),0,IF(Paths!$P$330="Complete",N3564*(1+'Operating costs'!$B$54)^-C3564,"n.a."))</f>
        <v>0</v>
      </c>
      <c r="R3564" s="16">
        <f>IF(NOT(Paths!$C$330=1),0,IF(Paths!$P$330="Complete",IF(AND(C3564=0,Paths!$E$330=0),I3564-J3564-K3564+VLOOKUP(A3564,'Fleet register'!$A$7:$S$106,15,FALSE)+VLOOKUP(A3564,'Fleet register'!$A$7:$S$106,16,FALSE),0),"n.a."))</f>
        <v>0</v>
      </c>
      <c r="S3564" s="1">
        <f>IF(NOT(Paths!$C$330=1),0,IF(Paths!$P$330="Complete",IF(C3564=0,0,Paths!$S$330*Paths!$R$330),"n.a."))</f>
        <v>0</v>
      </c>
      <c r="T3564" s="1">
        <f>IF(NOT(Paths!$C$330=1),0,IF(Paths!$P$330="Complete",IF(C3564=0,0,VLOOKUP(A3564,'Fleet register'!$A$7:$S$106,9,FALSE)*Paths!$R$330),"n.a."))</f>
        <v>0</v>
      </c>
    </row>
    <row r="3565" spans="1:20" ht="24" customHeight="1">
      <c r="A3565" s="1" t="str">
        <f>Paths!$A$330</f>
        <v>T081</v>
      </c>
      <c r="B3565" s="1">
        <f>Paths!$B$330</f>
        <v>3</v>
      </c>
      <c r="C3565" s="1">
        <v>5</v>
      </c>
      <c r="D3565" s="1">
        <v>330</v>
      </c>
      <c r="E3565" s="1">
        <f>IF(OR(Paths!$C$330=0,C3565=0),0,MAX(0,MIN(C3565*12,Paths!$E$330)-(C3565-1)*12))</f>
        <v>0</v>
      </c>
      <c r="F3565" s="1">
        <f>IF(OR(Paths!$C$330=0,C3565=0),0,12-E3565)</f>
        <v>0</v>
      </c>
      <c r="G3565" s="16">
        <f>IF(NOT(Paths!$C$330=1),0,IF(Paths!$P$330="Complete",E3565/12*(Paths!$J$330*(1+'Operating costs'!$B$51)^MAX(0,C3565-1)+Paths!$K$330*(1+'Operating costs'!$B$53)^MAX(0,C3565-1)),"n.a."))</f>
        <v>0</v>
      </c>
      <c r="H3565" s="16">
        <f>IF(NOT(Paths!$C$330=1),0,IF(Paths!$P$330="Complete",F3565/12*(Paths!$L$330*(1+IF(Paths!$D$330="EV",'Operating costs'!$B$52,'Operating costs'!$B$51))^MAX(0,C3565-1)+Paths!$M$330*(1+'Operating costs'!$B$53)^MAX(0,C3565-1)),"n.a."))</f>
        <v>0</v>
      </c>
      <c r="I3565" s="16">
        <f>IF(NOT(Paths!$C$330=1),0,IF(Paths!$P$330="Complete",IF(IF(Paths!$E$330=0,C3565=0,AND(C3565&gt;0,Paths!$E$330&gt;(C3565-1)*12,Paths!$E$330&lt;=C3565*12)),Paths!$G$330,0),"n.a."))</f>
        <v>0</v>
      </c>
      <c r="J3565" s="16">
        <f>IF(NOT(Paths!$C$330=1),0,IF(Paths!$P$330="Complete",IF(IF(Paths!$E$330=0,C3565=0,AND(C3565&gt;0,Paths!$E$330&gt;(C3565-1)*12,Paths!$E$330&lt;=C3565*12)),Paths!$H$330,0),"n.a."))</f>
        <v>0</v>
      </c>
      <c r="K3565" s="16">
        <f>IF(NOT(Paths!$C$330=1),0,IF(Paths!$P$330="Complete",IF(IF(Paths!$O$330=0,C3565=0,AND(C3565&gt;0,Paths!$O$330&gt;(C3565-1)*12,Paths!$O$330&lt;=C3565*12)),Paths!$N$330,0),"n.a."))</f>
        <v>0</v>
      </c>
      <c r="L3565" s="16">
        <f>IF(NOT(Paths!$C$330=1),0,IF(Paths!$P$330="Complete",IF(C3565=10,Paths!$I$330,0),"n.a."))</f>
        <v>0</v>
      </c>
      <c r="M3565" s="16">
        <f>IF(NOT(Paths!$C$330=1),0,IF(Paths!$P$330="Complete",IF(AND(Paths!$D$330="EV",Paths!$E$330&lt;120,Paths!$E$330+'Operating costs'!$B$65&gt;Paths!$E$330,Paths!$E$330+'Operating costs'!$B$65&lt;=120,IF(Paths!$E$330+'Operating costs'!$B$65=0,C3565=0,AND(C3565&gt;0,Paths!$E$330+'Operating costs'!$B$65&gt;(C3565-1)*12,Paths!$E$330+'Operating costs'!$B$65&lt;=C3565*12))),'Operating costs'!$B$64,0)+IF(AND('Operating costs'!$B$67&gt;0,'Operating costs'!$B$67&lt;=120,OR(Paths!$D$330="ICE",'Operating costs'!$B$67&lt;=Paths!$E$330),IF('Operating costs'!$B$67=0,C3565=0,AND(C3565&gt;0,'Operating costs'!$B$67&gt;(C3565-1)*12,'Operating costs'!$B$67&lt;=C3565*12))),'Operating costs'!$B$66,0),"n.a."))</f>
        <v>0</v>
      </c>
      <c r="N3565" s="16">
        <f>IF(NOT(Paths!$C$330=1),0,IF(Paths!$P$330="Complete",SUM(G3565:I3565)-J3565-K3565-L3565+M3565+IF(C3565=0,Paths!$F$330,0)+IF(IF(Paths!$E$330=0,C3565=0,AND(C3565&gt;0,Paths!$E$330&gt;(C3565-1)*12,Paths!$E$330&lt;=C3565*12)),VLOOKUP(A3565,'Fleet register'!$A$7:$S$106,16,FALSE),0),"n.a."))</f>
        <v>0</v>
      </c>
      <c r="O3565" s="16">
        <f>IF(NOT(Paths!$C$330=1),0,IF(Paths!$P$330="Complete",N3565-IF(C3565=0,Paths!$F$330,0),"n.a."))</f>
        <v>0</v>
      </c>
      <c r="P3565" s="16">
        <f>IF(NOT(Paths!$C$330=1),0,IF(Paths!$P$330="Complete",O3565+L3565,"n.a."))</f>
        <v>0</v>
      </c>
      <c r="Q3565" s="16">
        <f>IF(NOT(Paths!$C$330=1),0,IF(Paths!$P$330="Complete",N3565*(1+'Operating costs'!$B$54)^-C3565,"n.a."))</f>
        <v>0</v>
      </c>
      <c r="R3565" s="16">
        <f>IF(NOT(Paths!$C$330=1),0,IF(Paths!$P$330="Complete",IF(AND(C3565=0,Paths!$E$330=0),I3565-J3565-K3565+VLOOKUP(A3565,'Fleet register'!$A$7:$S$106,15,FALSE)+VLOOKUP(A3565,'Fleet register'!$A$7:$S$106,16,FALSE),0),"n.a."))</f>
        <v>0</v>
      </c>
      <c r="S3565" s="1">
        <f>IF(NOT(Paths!$C$330=1),0,IF(Paths!$P$330="Complete",IF(C3565=0,0,Paths!$S$330*Paths!$R$330),"n.a."))</f>
        <v>0</v>
      </c>
      <c r="T3565" s="1">
        <f>IF(NOT(Paths!$C$330=1),0,IF(Paths!$P$330="Complete",IF(C3565=0,0,VLOOKUP(A3565,'Fleet register'!$A$7:$S$106,9,FALSE)*Paths!$R$330),"n.a."))</f>
        <v>0</v>
      </c>
    </row>
    <row r="3566" spans="1:20" ht="24" customHeight="1">
      <c r="A3566" s="1" t="str">
        <f>Paths!$A$330</f>
        <v>T081</v>
      </c>
      <c r="B3566" s="1">
        <f>Paths!$B$330</f>
        <v>3</v>
      </c>
      <c r="C3566" s="1">
        <v>6</v>
      </c>
      <c r="D3566" s="1">
        <v>330</v>
      </c>
      <c r="E3566" s="1">
        <f>IF(OR(Paths!$C$330=0,C3566=0),0,MAX(0,MIN(C3566*12,Paths!$E$330)-(C3566-1)*12))</f>
        <v>0</v>
      </c>
      <c r="F3566" s="1">
        <f>IF(OR(Paths!$C$330=0,C3566=0),0,12-E3566)</f>
        <v>0</v>
      </c>
      <c r="G3566" s="16">
        <f>IF(NOT(Paths!$C$330=1),0,IF(Paths!$P$330="Complete",E3566/12*(Paths!$J$330*(1+'Operating costs'!$B$51)^MAX(0,C3566-1)+Paths!$K$330*(1+'Operating costs'!$B$53)^MAX(0,C3566-1)),"n.a."))</f>
        <v>0</v>
      </c>
      <c r="H3566" s="16">
        <f>IF(NOT(Paths!$C$330=1),0,IF(Paths!$P$330="Complete",F3566/12*(Paths!$L$330*(1+IF(Paths!$D$330="EV",'Operating costs'!$B$52,'Operating costs'!$B$51))^MAX(0,C3566-1)+Paths!$M$330*(1+'Operating costs'!$B$53)^MAX(0,C3566-1)),"n.a."))</f>
        <v>0</v>
      </c>
      <c r="I3566" s="16">
        <f>IF(NOT(Paths!$C$330=1),0,IF(Paths!$P$330="Complete",IF(IF(Paths!$E$330=0,C3566=0,AND(C3566&gt;0,Paths!$E$330&gt;(C3566-1)*12,Paths!$E$330&lt;=C3566*12)),Paths!$G$330,0),"n.a."))</f>
        <v>0</v>
      </c>
      <c r="J3566" s="16">
        <f>IF(NOT(Paths!$C$330=1),0,IF(Paths!$P$330="Complete",IF(IF(Paths!$E$330=0,C3566=0,AND(C3566&gt;0,Paths!$E$330&gt;(C3566-1)*12,Paths!$E$330&lt;=C3566*12)),Paths!$H$330,0),"n.a."))</f>
        <v>0</v>
      </c>
      <c r="K3566" s="16">
        <f>IF(NOT(Paths!$C$330=1),0,IF(Paths!$P$330="Complete",IF(IF(Paths!$O$330=0,C3566=0,AND(C3566&gt;0,Paths!$O$330&gt;(C3566-1)*12,Paths!$O$330&lt;=C3566*12)),Paths!$N$330,0),"n.a."))</f>
        <v>0</v>
      </c>
      <c r="L3566" s="16">
        <f>IF(NOT(Paths!$C$330=1),0,IF(Paths!$P$330="Complete",IF(C3566=10,Paths!$I$330,0),"n.a."))</f>
        <v>0</v>
      </c>
      <c r="M3566" s="16">
        <f>IF(NOT(Paths!$C$330=1),0,IF(Paths!$P$330="Complete",IF(AND(Paths!$D$330="EV",Paths!$E$330&lt;120,Paths!$E$330+'Operating costs'!$B$65&gt;Paths!$E$330,Paths!$E$330+'Operating costs'!$B$65&lt;=120,IF(Paths!$E$330+'Operating costs'!$B$65=0,C3566=0,AND(C3566&gt;0,Paths!$E$330+'Operating costs'!$B$65&gt;(C3566-1)*12,Paths!$E$330+'Operating costs'!$B$65&lt;=C3566*12))),'Operating costs'!$B$64,0)+IF(AND('Operating costs'!$B$67&gt;0,'Operating costs'!$B$67&lt;=120,OR(Paths!$D$330="ICE",'Operating costs'!$B$67&lt;=Paths!$E$330),IF('Operating costs'!$B$67=0,C3566=0,AND(C3566&gt;0,'Operating costs'!$B$67&gt;(C3566-1)*12,'Operating costs'!$B$67&lt;=C3566*12))),'Operating costs'!$B$66,0),"n.a."))</f>
        <v>0</v>
      </c>
      <c r="N3566" s="16">
        <f>IF(NOT(Paths!$C$330=1),0,IF(Paths!$P$330="Complete",SUM(G3566:I3566)-J3566-K3566-L3566+M3566+IF(C3566=0,Paths!$F$330,0)+IF(IF(Paths!$E$330=0,C3566=0,AND(C3566&gt;0,Paths!$E$330&gt;(C3566-1)*12,Paths!$E$330&lt;=C3566*12)),VLOOKUP(A3566,'Fleet register'!$A$7:$S$106,16,FALSE),0),"n.a."))</f>
        <v>0</v>
      </c>
      <c r="O3566" s="16">
        <f>IF(NOT(Paths!$C$330=1),0,IF(Paths!$P$330="Complete",N3566-IF(C3566=0,Paths!$F$330,0),"n.a."))</f>
        <v>0</v>
      </c>
      <c r="P3566" s="16">
        <f>IF(NOT(Paths!$C$330=1),0,IF(Paths!$P$330="Complete",O3566+L3566,"n.a."))</f>
        <v>0</v>
      </c>
      <c r="Q3566" s="16">
        <f>IF(NOT(Paths!$C$330=1),0,IF(Paths!$P$330="Complete",N3566*(1+'Operating costs'!$B$54)^-C3566,"n.a."))</f>
        <v>0</v>
      </c>
      <c r="R3566" s="16">
        <f>IF(NOT(Paths!$C$330=1),0,IF(Paths!$P$330="Complete",IF(AND(C3566=0,Paths!$E$330=0),I3566-J3566-K3566+VLOOKUP(A3566,'Fleet register'!$A$7:$S$106,15,FALSE)+VLOOKUP(A3566,'Fleet register'!$A$7:$S$106,16,FALSE),0),"n.a."))</f>
        <v>0</v>
      </c>
      <c r="S3566" s="1">
        <f>IF(NOT(Paths!$C$330=1),0,IF(Paths!$P$330="Complete",IF(C3566=0,0,Paths!$S$330*Paths!$R$330),"n.a."))</f>
        <v>0</v>
      </c>
      <c r="T3566" s="1">
        <f>IF(NOT(Paths!$C$330=1),0,IF(Paths!$P$330="Complete",IF(C3566=0,0,VLOOKUP(A3566,'Fleet register'!$A$7:$S$106,9,FALSE)*Paths!$R$330),"n.a."))</f>
        <v>0</v>
      </c>
    </row>
    <row r="3567" spans="1:20" ht="24" customHeight="1">
      <c r="A3567" s="1" t="str">
        <f>Paths!$A$330</f>
        <v>T081</v>
      </c>
      <c r="B3567" s="1">
        <f>Paths!$B$330</f>
        <v>3</v>
      </c>
      <c r="C3567" s="1">
        <v>7</v>
      </c>
      <c r="D3567" s="1">
        <v>330</v>
      </c>
      <c r="E3567" s="1">
        <f>IF(OR(Paths!$C$330=0,C3567=0),0,MAX(0,MIN(C3567*12,Paths!$E$330)-(C3567-1)*12))</f>
        <v>0</v>
      </c>
      <c r="F3567" s="1">
        <f>IF(OR(Paths!$C$330=0,C3567=0),0,12-E3567)</f>
        <v>0</v>
      </c>
      <c r="G3567" s="16">
        <f>IF(NOT(Paths!$C$330=1),0,IF(Paths!$P$330="Complete",E3567/12*(Paths!$J$330*(1+'Operating costs'!$B$51)^MAX(0,C3567-1)+Paths!$K$330*(1+'Operating costs'!$B$53)^MAX(0,C3567-1)),"n.a."))</f>
        <v>0</v>
      </c>
      <c r="H3567" s="16">
        <f>IF(NOT(Paths!$C$330=1),0,IF(Paths!$P$330="Complete",F3567/12*(Paths!$L$330*(1+IF(Paths!$D$330="EV",'Operating costs'!$B$52,'Operating costs'!$B$51))^MAX(0,C3567-1)+Paths!$M$330*(1+'Operating costs'!$B$53)^MAX(0,C3567-1)),"n.a."))</f>
        <v>0</v>
      </c>
      <c r="I3567" s="16">
        <f>IF(NOT(Paths!$C$330=1),0,IF(Paths!$P$330="Complete",IF(IF(Paths!$E$330=0,C3567=0,AND(C3567&gt;0,Paths!$E$330&gt;(C3567-1)*12,Paths!$E$330&lt;=C3567*12)),Paths!$G$330,0),"n.a."))</f>
        <v>0</v>
      </c>
      <c r="J3567" s="16">
        <f>IF(NOT(Paths!$C$330=1),0,IF(Paths!$P$330="Complete",IF(IF(Paths!$E$330=0,C3567=0,AND(C3567&gt;0,Paths!$E$330&gt;(C3567-1)*12,Paths!$E$330&lt;=C3567*12)),Paths!$H$330,0),"n.a."))</f>
        <v>0</v>
      </c>
      <c r="K3567" s="16">
        <f>IF(NOT(Paths!$C$330=1),0,IF(Paths!$P$330="Complete",IF(IF(Paths!$O$330=0,C3567=0,AND(C3567&gt;0,Paths!$O$330&gt;(C3567-1)*12,Paths!$O$330&lt;=C3567*12)),Paths!$N$330,0),"n.a."))</f>
        <v>0</v>
      </c>
      <c r="L3567" s="16">
        <f>IF(NOT(Paths!$C$330=1),0,IF(Paths!$P$330="Complete",IF(C3567=10,Paths!$I$330,0),"n.a."))</f>
        <v>0</v>
      </c>
      <c r="M3567" s="16">
        <f>IF(NOT(Paths!$C$330=1),0,IF(Paths!$P$330="Complete",IF(AND(Paths!$D$330="EV",Paths!$E$330&lt;120,Paths!$E$330+'Operating costs'!$B$65&gt;Paths!$E$330,Paths!$E$330+'Operating costs'!$B$65&lt;=120,IF(Paths!$E$330+'Operating costs'!$B$65=0,C3567=0,AND(C3567&gt;0,Paths!$E$330+'Operating costs'!$B$65&gt;(C3567-1)*12,Paths!$E$330+'Operating costs'!$B$65&lt;=C3567*12))),'Operating costs'!$B$64,0)+IF(AND('Operating costs'!$B$67&gt;0,'Operating costs'!$B$67&lt;=120,OR(Paths!$D$330="ICE",'Operating costs'!$B$67&lt;=Paths!$E$330),IF('Operating costs'!$B$67=0,C3567=0,AND(C3567&gt;0,'Operating costs'!$B$67&gt;(C3567-1)*12,'Operating costs'!$B$67&lt;=C3567*12))),'Operating costs'!$B$66,0),"n.a."))</f>
        <v>0</v>
      </c>
      <c r="N3567" s="16">
        <f>IF(NOT(Paths!$C$330=1),0,IF(Paths!$P$330="Complete",SUM(G3567:I3567)-J3567-K3567-L3567+M3567+IF(C3567=0,Paths!$F$330,0)+IF(IF(Paths!$E$330=0,C3567=0,AND(C3567&gt;0,Paths!$E$330&gt;(C3567-1)*12,Paths!$E$330&lt;=C3567*12)),VLOOKUP(A3567,'Fleet register'!$A$7:$S$106,16,FALSE),0),"n.a."))</f>
        <v>0</v>
      </c>
      <c r="O3567" s="16">
        <f>IF(NOT(Paths!$C$330=1),0,IF(Paths!$P$330="Complete",N3567-IF(C3567=0,Paths!$F$330,0),"n.a."))</f>
        <v>0</v>
      </c>
      <c r="P3567" s="16">
        <f>IF(NOT(Paths!$C$330=1),0,IF(Paths!$P$330="Complete",O3567+L3567,"n.a."))</f>
        <v>0</v>
      </c>
      <c r="Q3567" s="16">
        <f>IF(NOT(Paths!$C$330=1),0,IF(Paths!$P$330="Complete",N3567*(1+'Operating costs'!$B$54)^-C3567,"n.a."))</f>
        <v>0</v>
      </c>
      <c r="R3567" s="16">
        <f>IF(NOT(Paths!$C$330=1),0,IF(Paths!$P$330="Complete",IF(AND(C3567=0,Paths!$E$330=0),I3567-J3567-K3567+VLOOKUP(A3567,'Fleet register'!$A$7:$S$106,15,FALSE)+VLOOKUP(A3567,'Fleet register'!$A$7:$S$106,16,FALSE),0),"n.a."))</f>
        <v>0</v>
      </c>
      <c r="S3567" s="1">
        <f>IF(NOT(Paths!$C$330=1),0,IF(Paths!$P$330="Complete",IF(C3567=0,0,Paths!$S$330*Paths!$R$330),"n.a."))</f>
        <v>0</v>
      </c>
      <c r="T3567" s="1">
        <f>IF(NOT(Paths!$C$330=1),0,IF(Paths!$P$330="Complete",IF(C3567=0,0,VLOOKUP(A3567,'Fleet register'!$A$7:$S$106,9,FALSE)*Paths!$R$330),"n.a."))</f>
        <v>0</v>
      </c>
    </row>
    <row r="3568" spans="1:20" ht="24" customHeight="1">
      <c r="A3568" s="1" t="str">
        <f>Paths!$A$330</f>
        <v>T081</v>
      </c>
      <c r="B3568" s="1">
        <f>Paths!$B$330</f>
        <v>3</v>
      </c>
      <c r="C3568" s="1">
        <v>8</v>
      </c>
      <c r="D3568" s="1">
        <v>330</v>
      </c>
      <c r="E3568" s="1">
        <f>IF(OR(Paths!$C$330=0,C3568=0),0,MAX(0,MIN(C3568*12,Paths!$E$330)-(C3568-1)*12))</f>
        <v>0</v>
      </c>
      <c r="F3568" s="1">
        <f>IF(OR(Paths!$C$330=0,C3568=0),0,12-E3568)</f>
        <v>0</v>
      </c>
      <c r="G3568" s="16">
        <f>IF(NOT(Paths!$C$330=1),0,IF(Paths!$P$330="Complete",E3568/12*(Paths!$J$330*(1+'Operating costs'!$B$51)^MAX(0,C3568-1)+Paths!$K$330*(1+'Operating costs'!$B$53)^MAX(0,C3568-1)),"n.a."))</f>
        <v>0</v>
      </c>
      <c r="H3568" s="16">
        <f>IF(NOT(Paths!$C$330=1),0,IF(Paths!$P$330="Complete",F3568/12*(Paths!$L$330*(1+IF(Paths!$D$330="EV",'Operating costs'!$B$52,'Operating costs'!$B$51))^MAX(0,C3568-1)+Paths!$M$330*(1+'Operating costs'!$B$53)^MAX(0,C3568-1)),"n.a."))</f>
        <v>0</v>
      </c>
      <c r="I3568" s="16">
        <f>IF(NOT(Paths!$C$330=1),0,IF(Paths!$P$330="Complete",IF(IF(Paths!$E$330=0,C3568=0,AND(C3568&gt;0,Paths!$E$330&gt;(C3568-1)*12,Paths!$E$330&lt;=C3568*12)),Paths!$G$330,0),"n.a."))</f>
        <v>0</v>
      </c>
      <c r="J3568" s="16">
        <f>IF(NOT(Paths!$C$330=1),0,IF(Paths!$P$330="Complete",IF(IF(Paths!$E$330=0,C3568=0,AND(C3568&gt;0,Paths!$E$330&gt;(C3568-1)*12,Paths!$E$330&lt;=C3568*12)),Paths!$H$330,0),"n.a."))</f>
        <v>0</v>
      </c>
      <c r="K3568" s="16">
        <f>IF(NOT(Paths!$C$330=1),0,IF(Paths!$P$330="Complete",IF(IF(Paths!$O$330=0,C3568=0,AND(C3568&gt;0,Paths!$O$330&gt;(C3568-1)*12,Paths!$O$330&lt;=C3568*12)),Paths!$N$330,0),"n.a."))</f>
        <v>0</v>
      </c>
      <c r="L3568" s="16">
        <f>IF(NOT(Paths!$C$330=1),0,IF(Paths!$P$330="Complete",IF(C3568=10,Paths!$I$330,0),"n.a."))</f>
        <v>0</v>
      </c>
      <c r="M3568" s="16">
        <f>IF(NOT(Paths!$C$330=1),0,IF(Paths!$P$330="Complete",IF(AND(Paths!$D$330="EV",Paths!$E$330&lt;120,Paths!$E$330+'Operating costs'!$B$65&gt;Paths!$E$330,Paths!$E$330+'Operating costs'!$B$65&lt;=120,IF(Paths!$E$330+'Operating costs'!$B$65=0,C3568=0,AND(C3568&gt;0,Paths!$E$330+'Operating costs'!$B$65&gt;(C3568-1)*12,Paths!$E$330+'Operating costs'!$B$65&lt;=C3568*12))),'Operating costs'!$B$64,0)+IF(AND('Operating costs'!$B$67&gt;0,'Operating costs'!$B$67&lt;=120,OR(Paths!$D$330="ICE",'Operating costs'!$B$67&lt;=Paths!$E$330),IF('Operating costs'!$B$67=0,C3568=0,AND(C3568&gt;0,'Operating costs'!$B$67&gt;(C3568-1)*12,'Operating costs'!$B$67&lt;=C3568*12))),'Operating costs'!$B$66,0),"n.a."))</f>
        <v>0</v>
      </c>
      <c r="N3568" s="16">
        <f>IF(NOT(Paths!$C$330=1),0,IF(Paths!$P$330="Complete",SUM(G3568:I3568)-J3568-K3568-L3568+M3568+IF(C3568=0,Paths!$F$330,0)+IF(IF(Paths!$E$330=0,C3568=0,AND(C3568&gt;0,Paths!$E$330&gt;(C3568-1)*12,Paths!$E$330&lt;=C3568*12)),VLOOKUP(A3568,'Fleet register'!$A$7:$S$106,16,FALSE),0),"n.a."))</f>
        <v>0</v>
      </c>
      <c r="O3568" s="16">
        <f>IF(NOT(Paths!$C$330=1),0,IF(Paths!$P$330="Complete",N3568-IF(C3568=0,Paths!$F$330,0),"n.a."))</f>
        <v>0</v>
      </c>
      <c r="P3568" s="16">
        <f>IF(NOT(Paths!$C$330=1),0,IF(Paths!$P$330="Complete",O3568+L3568,"n.a."))</f>
        <v>0</v>
      </c>
      <c r="Q3568" s="16">
        <f>IF(NOT(Paths!$C$330=1),0,IF(Paths!$P$330="Complete",N3568*(1+'Operating costs'!$B$54)^-C3568,"n.a."))</f>
        <v>0</v>
      </c>
      <c r="R3568" s="16">
        <f>IF(NOT(Paths!$C$330=1),0,IF(Paths!$P$330="Complete",IF(AND(C3568=0,Paths!$E$330=0),I3568-J3568-K3568+VLOOKUP(A3568,'Fleet register'!$A$7:$S$106,15,FALSE)+VLOOKUP(A3568,'Fleet register'!$A$7:$S$106,16,FALSE),0),"n.a."))</f>
        <v>0</v>
      </c>
      <c r="S3568" s="1">
        <f>IF(NOT(Paths!$C$330=1),0,IF(Paths!$P$330="Complete",IF(C3568=0,0,Paths!$S$330*Paths!$R$330),"n.a."))</f>
        <v>0</v>
      </c>
      <c r="T3568" s="1">
        <f>IF(NOT(Paths!$C$330=1),0,IF(Paths!$P$330="Complete",IF(C3568=0,0,VLOOKUP(A3568,'Fleet register'!$A$7:$S$106,9,FALSE)*Paths!$R$330),"n.a."))</f>
        <v>0</v>
      </c>
    </row>
    <row r="3569" spans="1:20" ht="24" customHeight="1">
      <c r="A3569" s="1" t="str">
        <f>Paths!$A$330</f>
        <v>T081</v>
      </c>
      <c r="B3569" s="1">
        <f>Paths!$B$330</f>
        <v>3</v>
      </c>
      <c r="C3569" s="1">
        <v>9</v>
      </c>
      <c r="D3569" s="1">
        <v>330</v>
      </c>
      <c r="E3569" s="1">
        <f>IF(OR(Paths!$C$330=0,C3569=0),0,MAX(0,MIN(C3569*12,Paths!$E$330)-(C3569-1)*12))</f>
        <v>0</v>
      </c>
      <c r="F3569" s="1">
        <f>IF(OR(Paths!$C$330=0,C3569=0),0,12-E3569)</f>
        <v>0</v>
      </c>
      <c r="G3569" s="16">
        <f>IF(NOT(Paths!$C$330=1),0,IF(Paths!$P$330="Complete",E3569/12*(Paths!$J$330*(1+'Operating costs'!$B$51)^MAX(0,C3569-1)+Paths!$K$330*(1+'Operating costs'!$B$53)^MAX(0,C3569-1)),"n.a."))</f>
        <v>0</v>
      </c>
      <c r="H3569" s="16">
        <f>IF(NOT(Paths!$C$330=1),0,IF(Paths!$P$330="Complete",F3569/12*(Paths!$L$330*(1+IF(Paths!$D$330="EV",'Operating costs'!$B$52,'Operating costs'!$B$51))^MAX(0,C3569-1)+Paths!$M$330*(1+'Operating costs'!$B$53)^MAX(0,C3569-1)),"n.a."))</f>
        <v>0</v>
      </c>
      <c r="I3569" s="16">
        <f>IF(NOT(Paths!$C$330=1),0,IF(Paths!$P$330="Complete",IF(IF(Paths!$E$330=0,C3569=0,AND(C3569&gt;0,Paths!$E$330&gt;(C3569-1)*12,Paths!$E$330&lt;=C3569*12)),Paths!$G$330,0),"n.a."))</f>
        <v>0</v>
      </c>
      <c r="J3569" s="16">
        <f>IF(NOT(Paths!$C$330=1),0,IF(Paths!$P$330="Complete",IF(IF(Paths!$E$330=0,C3569=0,AND(C3569&gt;0,Paths!$E$330&gt;(C3569-1)*12,Paths!$E$330&lt;=C3569*12)),Paths!$H$330,0),"n.a."))</f>
        <v>0</v>
      </c>
      <c r="K3569" s="16">
        <f>IF(NOT(Paths!$C$330=1),0,IF(Paths!$P$330="Complete",IF(IF(Paths!$O$330=0,C3569=0,AND(C3569&gt;0,Paths!$O$330&gt;(C3569-1)*12,Paths!$O$330&lt;=C3569*12)),Paths!$N$330,0),"n.a."))</f>
        <v>0</v>
      </c>
      <c r="L3569" s="16">
        <f>IF(NOT(Paths!$C$330=1),0,IF(Paths!$P$330="Complete",IF(C3569=10,Paths!$I$330,0),"n.a."))</f>
        <v>0</v>
      </c>
      <c r="M3569" s="16">
        <f>IF(NOT(Paths!$C$330=1),0,IF(Paths!$P$330="Complete",IF(AND(Paths!$D$330="EV",Paths!$E$330&lt;120,Paths!$E$330+'Operating costs'!$B$65&gt;Paths!$E$330,Paths!$E$330+'Operating costs'!$B$65&lt;=120,IF(Paths!$E$330+'Operating costs'!$B$65=0,C3569=0,AND(C3569&gt;0,Paths!$E$330+'Operating costs'!$B$65&gt;(C3569-1)*12,Paths!$E$330+'Operating costs'!$B$65&lt;=C3569*12))),'Operating costs'!$B$64,0)+IF(AND('Operating costs'!$B$67&gt;0,'Operating costs'!$B$67&lt;=120,OR(Paths!$D$330="ICE",'Operating costs'!$B$67&lt;=Paths!$E$330),IF('Operating costs'!$B$67=0,C3569=0,AND(C3569&gt;0,'Operating costs'!$B$67&gt;(C3569-1)*12,'Operating costs'!$B$67&lt;=C3569*12))),'Operating costs'!$B$66,0),"n.a."))</f>
        <v>0</v>
      </c>
      <c r="N3569" s="16">
        <f>IF(NOT(Paths!$C$330=1),0,IF(Paths!$P$330="Complete",SUM(G3569:I3569)-J3569-K3569-L3569+M3569+IF(C3569=0,Paths!$F$330,0)+IF(IF(Paths!$E$330=0,C3569=0,AND(C3569&gt;0,Paths!$E$330&gt;(C3569-1)*12,Paths!$E$330&lt;=C3569*12)),VLOOKUP(A3569,'Fleet register'!$A$7:$S$106,16,FALSE),0),"n.a."))</f>
        <v>0</v>
      </c>
      <c r="O3569" s="16">
        <f>IF(NOT(Paths!$C$330=1),0,IF(Paths!$P$330="Complete",N3569-IF(C3569=0,Paths!$F$330,0),"n.a."))</f>
        <v>0</v>
      </c>
      <c r="P3569" s="16">
        <f>IF(NOT(Paths!$C$330=1),0,IF(Paths!$P$330="Complete",O3569+L3569,"n.a."))</f>
        <v>0</v>
      </c>
      <c r="Q3569" s="16">
        <f>IF(NOT(Paths!$C$330=1),0,IF(Paths!$P$330="Complete",N3569*(1+'Operating costs'!$B$54)^-C3569,"n.a."))</f>
        <v>0</v>
      </c>
      <c r="R3569" s="16">
        <f>IF(NOT(Paths!$C$330=1),0,IF(Paths!$P$330="Complete",IF(AND(C3569=0,Paths!$E$330=0),I3569-J3569-K3569+VLOOKUP(A3569,'Fleet register'!$A$7:$S$106,15,FALSE)+VLOOKUP(A3569,'Fleet register'!$A$7:$S$106,16,FALSE),0),"n.a."))</f>
        <v>0</v>
      </c>
      <c r="S3569" s="1">
        <f>IF(NOT(Paths!$C$330=1),0,IF(Paths!$P$330="Complete",IF(C3569=0,0,Paths!$S$330*Paths!$R$330),"n.a."))</f>
        <v>0</v>
      </c>
      <c r="T3569" s="1">
        <f>IF(NOT(Paths!$C$330=1),0,IF(Paths!$P$330="Complete",IF(C3569=0,0,VLOOKUP(A3569,'Fleet register'!$A$7:$S$106,9,FALSE)*Paths!$R$330),"n.a."))</f>
        <v>0</v>
      </c>
    </row>
    <row r="3570" spans="1:20" ht="24" customHeight="1">
      <c r="A3570" s="1" t="str">
        <f>Paths!$A$330</f>
        <v>T081</v>
      </c>
      <c r="B3570" s="1">
        <f>Paths!$B$330</f>
        <v>3</v>
      </c>
      <c r="C3570" s="1">
        <v>10</v>
      </c>
      <c r="D3570" s="1">
        <v>330</v>
      </c>
      <c r="E3570" s="1">
        <f>IF(OR(Paths!$C$330=0,C3570=0),0,MAX(0,MIN(C3570*12,Paths!$E$330)-(C3570-1)*12))</f>
        <v>0</v>
      </c>
      <c r="F3570" s="1">
        <f>IF(OR(Paths!$C$330=0,C3570=0),0,12-E3570)</f>
        <v>0</v>
      </c>
      <c r="G3570" s="16">
        <f>IF(NOT(Paths!$C$330=1),0,IF(Paths!$P$330="Complete",E3570/12*(Paths!$J$330*(1+'Operating costs'!$B$51)^MAX(0,C3570-1)+Paths!$K$330*(1+'Operating costs'!$B$53)^MAX(0,C3570-1)),"n.a."))</f>
        <v>0</v>
      </c>
      <c r="H3570" s="16">
        <f>IF(NOT(Paths!$C$330=1),0,IF(Paths!$P$330="Complete",F3570/12*(Paths!$L$330*(1+IF(Paths!$D$330="EV",'Operating costs'!$B$52,'Operating costs'!$B$51))^MAX(0,C3570-1)+Paths!$M$330*(1+'Operating costs'!$B$53)^MAX(0,C3570-1)),"n.a."))</f>
        <v>0</v>
      </c>
      <c r="I3570" s="16">
        <f>IF(NOT(Paths!$C$330=1),0,IF(Paths!$P$330="Complete",IF(IF(Paths!$E$330=0,C3570=0,AND(C3570&gt;0,Paths!$E$330&gt;(C3570-1)*12,Paths!$E$330&lt;=C3570*12)),Paths!$G$330,0),"n.a."))</f>
        <v>0</v>
      </c>
      <c r="J3570" s="16">
        <f>IF(NOT(Paths!$C$330=1),0,IF(Paths!$P$330="Complete",IF(IF(Paths!$E$330=0,C3570=0,AND(C3570&gt;0,Paths!$E$330&gt;(C3570-1)*12,Paths!$E$330&lt;=C3570*12)),Paths!$H$330,0),"n.a."))</f>
        <v>0</v>
      </c>
      <c r="K3570" s="16">
        <f>IF(NOT(Paths!$C$330=1),0,IF(Paths!$P$330="Complete",IF(IF(Paths!$O$330=0,C3570=0,AND(C3570&gt;0,Paths!$O$330&gt;(C3570-1)*12,Paths!$O$330&lt;=C3570*12)),Paths!$N$330,0),"n.a."))</f>
        <v>0</v>
      </c>
      <c r="L3570" s="16">
        <f>IF(NOT(Paths!$C$330=1),0,IF(Paths!$P$330="Complete",IF(C3570=10,Paths!$I$330,0),"n.a."))</f>
        <v>0</v>
      </c>
      <c r="M3570" s="16">
        <f>IF(NOT(Paths!$C$330=1),0,IF(Paths!$P$330="Complete",IF(AND(Paths!$D$330="EV",Paths!$E$330&lt;120,Paths!$E$330+'Operating costs'!$B$65&gt;Paths!$E$330,Paths!$E$330+'Operating costs'!$B$65&lt;=120,IF(Paths!$E$330+'Operating costs'!$B$65=0,C3570=0,AND(C3570&gt;0,Paths!$E$330+'Operating costs'!$B$65&gt;(C3570-1)*12,Paths!$E$330+'Operating costs'!$B$65&lt;=C3570*12))),'Operating costs'!$B$64,0)+IF(AND('Operating costs'!$B$67&gt;0,'Operating costs'!$B$67&lt;=120,OR(Paths!$D$330="ICE",'Operating costs'!$B$67&lt;=Paths!$E$330),IF('Operating costs'!$B$67=0,C3570=0,AND(C3570&gt;0,'Operating costs'!$B$67&gt;(C3570-1)*12,'Operating costs'!$B$67&lt;=C3570*12))),'Operating costs'!$B$66,0),"n.a."))</f>
        <v>0</v>
      </c>
      <c r="N3570" s="16">
        <f>IF(NOT(Paths!$C$330=1),0,IF(Paths!$P$330="Complete",SUM(G3570:I3570)-J3570-K3570-L3570+M3570+IF(C3570=0,Paths!$F$330,0)+IF(IF(Paths!$E$330=0,C3570=0,AND(C3570&gt;0,Paths!$E$330&gt;(C3570-1)*12,Paths!$E$330&lt;=C3570*12)),VLOOKUP(A3570,'Fleet register'!$A$7:$S$106,16,FALSE),0),"n.a."))</f>
        <v>0</v>
      </c>
      <c r="O3570" s="16">
        <f>IF(NOT(Paths!$C$330=1),0,IF(Paths!$P$330="Complete",N3570-IF(C3570=0,Paths!$F$330,0),"n.a."))</f>
        <v>0</v>
      </c>
      <c r="P3570" s="16">
        <f>IF(NOT(Paths!$C$330=1),0,IF(Paths!$P$330="Complete",O3570+L3570,"n.a."))</f>
        <v>0</v>
      </c>
      <c r="Q3570" s="16">
        <f>IF(NOT(Paths!$C$330=1),0,IF(Paths!$P$330="Complete",N3570*(1+'Operating costs'!$B$54)^-C3570,"n.a."))</f>
        <v>0</v>
      </c>
      <c r="R3570" s="16">
        <f>IF(NOT(Paths!$C$330=1),0,IF(Paths!$P$330="Complete",IF(AND(C3570=0,Paths!$E$330=0),I3570-J3570-K3570+VLOOKUP(A3570,'Fleet register'!$A$7:$S$106,15,FALSE)+VLOOKUP(A3570,'Fleet register'!$A$7:$S$106,16,FALSE),0),"n.a."))</f>
        <v>0</v>
      </c>
      <c r="S3570" s="1">
        <f>IF(NOT(Paths!$C$330=1),0,IF(Paths!$P$330="Complete",IF(C3570=0,0,Paths!$S$330*Paths!$R$330),"n.a."))</f>
        <v>0</v>
      </c>
      <c r="T3570" s="1">
        <f>IF(NOT(Paths!$C$330=1),0,IF(Paths!$P$330="Complete",IF(C3570=0,0,VLOOKUP(A3570,'Fleet register'!$A$7:$S$106,9,FALSE)*Paths!$R$330),"n.a."))</f>
        <v>0</v>
      </c>
    </row>
    <row r="3571" spans="1:20" ht="24" customHeight="1">
      <c r="A3571" s="1" t="str">
        <f>Paths!$A$331</f>
        <v>T082</v>
      </c>
      <c r="B3571" s="1">
        <f>Paths!$B$331</f>
        <v>0</v>
      </c>
      <c r="C3571" s="1">
        <v>0</v>
      </c>
      <c r="D3571" s="1">
        <v>331</v>
      </c>
      <c r="E3571" s="1">
        <f>IF(OR(Paths!$C$331=0,C3571=0),0,MAX(0,MIN(C3571*12,Paths!$E$331)-(C3571-1)*12))</f>
        <v>0</v>
      </c>
      <c r="F3571" s="1">
        <f>IF(OR(Paths!$C$331=0,C3571=0),0,12-E3571)</f>
        <v>0</v>
      </c>
      <c r="G3571" s="16">
        <f>IF(NOT(Paths!$C$331=1),0,IF(Paths!$P$331="Complete",E3571/12*(Paths!$J$331*(1+'Operating costs'!$B$51)^MAX(0,C3571-1)+Paths!$K$331*(1+'Operating costs'!$B$53)^MAX(0,C3571-1)),"n.a."))</f>
        <v>0</v>
      </c>
      <c r="H3571" s="16">
        <f>IF(NOT(Paths!$C$331=1),0,IF(Paths!$P$331="Complete",F3571/12*(Paths!$L$331*(1+IF(Paths!$D$331="EV",'Operating costs'!$B$52,'Operating costs'!$B$51))^MAX(0,C3571-1)+Paths!$M$331*(1+'Operating costs'!$B$53)^MAX(0,C3571-1)),"n.a."))</f>
        <v>0</v>
      </c>
      <c r="I3571" s="16">
        <f>IF(NOT(Paths!$C$331=1),0,IF(Paths!$P$331="Complete",IF(IF(Paths!$E$331=0,C3571=0,AND(C3571&gt;0,Paths!$E$331&gt;(C3571-1)*12,Paths!$E$331&lt;=C3571*12)),Paths!$G$331,0),"n.a."))</f>
        <v>0</v>
      </c>
      <c r="J3571" s="16">
        <f>IF(NOT(Paths!$C$331=1),0,IF(Paths!$P$331="Complete",IF(IF(Paths!$E$331=0,C3571=0,AND(C3571&gt;0,Paths!$E$331&gt;(C3571-1)*12,Paths!$E$331&lt;=C3571*12)),Paths!$H$331,0),"n.a."))</f>
        <v>0</v>
      </c>
      <c r="K3571" s="16">
        <f>IF(NOT(Paths!$C$331=1),0,IF(Paths!$P$331="Complete",IF(IF(Paths!$O$331=0,C3571=0,AND(C3571&gt;0,Paths!$O$331&gt;(C3571-1)*12,Paths!$O$331&lt;=C3571*12)),Paths!$N$331,0),"n.a."))</f>
        <v>0</v>
      </c>
      <c r="L3571" s="16">
        <f>IF(NOT(Paths!$C$331=1),0,IF(Paths!$P$331="Complete",IF(C3571=10,Paths!$I$331,0),"n.a."))</f>
        <v>0</v>
      </c>
      <c r="M3571" s="16">
        <f>IF(NOT(Paths!$C$331=1),0,IF(Paths!$P$331="Complete",IF(AND(Paths!$D$331="EV",Paths!$E$331&lt;120,Paths!$E$331+'Operating costs'!$B$65&gt;Paths!$E$331,Paths!$E$331+'Operating costs'!$B$65&lt;=120,IF(Paths!$E$331+'Operating costs'!$B$65=0,C3571=0,AND(C3571&gt;0,Paths!$E$331+'Operating costs'!$B$65&gt;(C3571-1)*12,Paths!$E$331+'Operating costs'!$B$65&lt;=C3571*12))),'Operating costs'!$B$64,0)+IF(AND('Operating costs'!$B$67&gt;0,'Operating costs'!$B$67&lt;=120,OR(Paths!$D$331="ICE",'Operating costs'!$B$67&lt;=Paths!$E$331),IF('Operating costs'!$B$67=0,C3571=0,AND(C3571&gt;0,'Operating costs'!$B$67&gt;(C3571-1)*12,'Operating costs'!$B$67&lt;=C3571*12))),'Operating costs'!$B$66,0),"n.a."))</f>
        <v>0</v>
      </c>
      <c r="N3571" s="16">
        <f>IF(NOT(Paths!$C$331=1),0,IF(Paths!$P$331="Complete",SUM(G3571:I3571)-J3571-K3571-L3571+M3571+IF(C3571=0,Paths!$F$331,0)+IF(IF(Paths!$E$331=0,C3571=0,AND(C3571&gt;0,Paths!$E$331&gt;(C3571-1)*12,Paths!$E$331&lt;=C3571*12)),VLOOKUP(A3571,'Fleet register'!$A$7:$S$106,16,FALSE),0),"n.a."))</f>
        <v>0</v>
      </c>
      <c r="O3571" s="16">
        <f>IF(NOT(Paths!$C$331=1),0,IF(Paths!$P$331="Complete",N3571-IF(C3571=0,Paths!$F$331,0),"n.a."))</f>
        <v>0</v>
      </c>
      <c r="P3571" s="16">
        <f>IF(NOT(Paths!$C$331=1),0,IF(Paths!$P$331="Complete",O3571+L3571,"n.a."))</f>
        <v>0</v>
      </c>
      <c r="Q3571" s="16">
        <f>IF(NOT(Paths!$C$331=1),0,IF(Paths!$P$331="Complete",N3571*(1+'Operating costs'!$B$54)^-C3571,"n.a."))</f>
        <v>0</v>
      </c>
      <c r="R3571" s="16">
        <f>IF(NOT(Paths!$C$331=1),0,IF(Paths!$P$331="Complete",IF(AND(C3571=0,Paths!$E$331=0),I3571-J3571-K3571+VLOOKUP(A3571,'Fleet register'!$A$7:$S$106,15,FALSE)+VLOOKUP(A3571,'Fleet register'!$A$7:$S$106,16,FALSE),0),"n.a."))</f>
        <v>0</v>
      </c>
      <c r="S3571" s="1">
        <f>IF(NOT(Paths!$C$331=1),0,IF(Paths!$P$331="Complete",IF(C3571=0,0,Paths!$S$331*Paths!$R$331),"n.a."))</f>
        <v>0</v>
      </c>
      <c r="T3571" s="1">
        <f>IF(NOT(Paths!$C$331=1),0,IF(Paths!$P$331="Complete",IF(C3571=0,0,VLOOKUP(A3571,'Fleet register'!$A$7:$S$106,9,FALSE)*Paths!$R$331),"n.a."))</f>
        <v>0</v>
      </c>
    </row>
    <row r="3572" spans="1:20" ht="24" customHeight="1">
      <c r="A3572" s="1" t="str">
        <f>Paths!$A$331</f>
        <v>T082</v>
      </c>
      <c r="B3572" s="1">
        <f>Paths!$B$331</f>
        <v>0</v>
      </c>
      <c r="C3572" s="1">
        <v>1</v>
      </c>
      <c r="D3572" s="1">
        <v>331</v>
      </c>
      <c r="E3572" s="1">
        <f>IF(OR(Paths!$C$331=0,C3572=0),0,MAX(0,MIN(C3572*12,Paths!$E$331)-(C3572-1)*12))</f>
        <v>0</v>
      </c>
      <c r="F3572" s="1">
        <f>IF(OR(Paths!$C$331=0,C3572=0),0,12-E3572)</f>
        <v>0</v>
      </c>
      <c r="G3572" s="16">
        <f>IF(NOT(Paths!$C$331=1),0,IF(Paths!$P$331="Complete",E3572/12*(Paths!$J$331*(1+'Operating costs'!$B$51)^MAX(0,C3572-1)+Paths!$K$331*(1+'Operating costs'!$B$53)^MAX(0,C3572-1)),"n.a."))</f>
        <v>0</v>
      </c>
      <c r="H3572" s="16">
        <f>IF(NOT(Paths!$C$331=1),0,IF(Paths!$P$331="Complete",F3572/12*(Paths!$L$331*(1+IF(Paths!$D$331="EV",'Operating costs'!$B$52,'Operating costs'!$B$51))^MAX(0,C3572-1)+Paths!$M$331*(1+'Operating costs'!$B$53)^MAX(0,C3572-1)),"n.a."))</f>
        <v>0</v>
      </c>
      <c r="I3572" s="16">
        <f>IF(NOT(Paths!$C$331=1),0,IF(Paths!$P$331="Complete",IF(IF(Paths!$E$331=0,C3572=0,AND(C3572&gt;0,Paths!$E$331&gt;(C3572-1)*12,Paths!$E$331&lt;=C3572*12)),Paths!$G$331,0),"n.a."))</f>
        <v>0</v>
      </c>
      <c r="J3572" s="16">
        <f>IF(NOT(Paths!$C$331=1),0,IF(Paths!$P$331="Complete",IF(IF(Paths!$E$331=0,C3572=0,AND(C3572&gt;0,Paths!$E$331&gt;(C3572-1)*12,Paths!$E$331&lt;=C3572*12)),Paths!$H$331,0),"n.a."))</f>
        <v>0</v>
      </c>
      <c r="K3572" s="16">
        <f>IF(NOT(Paths!$C$331=1),0,IF(Paths!$P$331="Complete",IF(IF(Paths!$O$331=0,C3572=0,AND(C3572&gt;0,Paths!$O$331&gt;(C3572-1)*12,Paths!$O$331&lt;=C3572*12)),Paths!$N$331,0),"n.a."))</f>
        <v>0</v>
      </c>
      <c r="L3572" s="16">
        <f>IF(NOT(Paths!$C$331=1),0,IF(Paths!$P$331="Complete",IF(C3572=10,Paths!$I$331,0),"n.a."))</f>
        <v>0</v>
      </c>
      <c r="M3572" s="16">
        <f>IF(NOT(Paths!$C$331=1),0,IF(Paths!$P$331="Complete",IF(AND(Paths!$D$331="EV",Paths!$E$331&lt;120,Paths!$E$331+'Operating costs'!$B$65&gt;Paths!$E$331,Paths!$E$331+'Operating costs'!$B$65&lt;=120,IF(Paths!$E$331+'Operating costs'!$B$65=0,C3572=0,AND(C3572&gt;0,Paths!$E$331+'Operating costs'!$B$65&gt;(C3572-1)*12,Paths!$E$331+'Operating costs'!$B$65&lt;=C3572*12))),'Operating costs'!$B$64,0)+IF(AND('Operating costs'!$B$67&gt;0,'Operating costs'!$B$67&lt;=120,OR(Paths!$D$331="ICE",'Operating costs'!$B$67&lt;=Paths!$E$331),IF('Operating costs'!$B$67=0,C3572=0,AND(C3572&gt;0,'Operating costs'!$B$67&gt;(C3572-1)*12,'Operating costs'!$B$67&lt;=C3572*12))),'Operating costs'!$B$66,0),"n.a."))</f>
        <v>0</v>
      </c>
      <c r="N3572" s="16">
        <f>IF(NOT(Paths!$C$331=1),0,IF(Paths!$P$331="Complete",SUM(G3572:I3572)-J3572-K3572-L3572+M3572+IF(C3572=0,Paths!$F$331,0)+IF(IF(Paths!$E$331=0,C3572=0,AND(C3572&gt;0,Paths!$E$331&gt;(C3572-1)*12,Paths!$E$331&lt;=C3572*12)),VLOOKUP(A3572,'Fleet register'!$A$7:$S$106,16,FALSE),0),"n.a."))</f>
        <v>0</v>
      </c>
      <c r="O3572" s="16">
        <f>IF(NOT(Paths!$C$331=1),0,IF(Paths!$P$331="Complete",N3572-IF(C3572=0,Paths!$F$331,0),"n.a."))</f>
        <v>0</v>
      </c>
      <c r="P3572" s="16">
        <f>IF(NOT(Paths!$C$331=1),0,IF(Paths!$P$331="Complete",O3572+L3572,"n.a."))</f>
        <v>0</v>
      </c>
      <c r="Q3572" s="16">
        <f>IF(NOT(Paths!$C$331=1),0,IF(Paths!$P$331="Complete",N3572*(1+'Operating costs'!$B$54)^-C3572,"n.a."))</f>
        <v>0</v>
      </c>
      <c r="R3572" s="16">
        <f>IF(NOT(Paths!$C$331=1),0,IF(Paths!$P$331="Complete",IF(AND(C3572=0,Paths!$E$331=0),I3572-J3572-K3572+VLOOKUP(A3572,'Fleet register'!$A$7:$S$106,15,FALSE)+VLOOKUP(A3572,'Fleet register'!$A$7:$S$106,16,FALSE),0),"n.a."))</f>
        <v>0</v>
      </c>
      <c r="S3572" s="1">
        <f>IF(NOT(Paths!$C$331=1),0,IF(Paths!$P$331="Complete",IF(C3572=0,0,Paths!$S$331*Paths!$R$331),"n.a."))</f>
        <v>0</v>
      </c>
      <c r="T3572" s="1">
        <f>IF(NOT(Paths!$C$331=1),0,IF(Paths!$P$331="Complete",IF(C3572=0,0,VLOOKUP(A3572,'Fleet register'!$A$7:$S$106,9,FALSE)*Paths!$R$331),"n.a."))</f>
        <v>0</v>
      </c>
    </row>
    <row r="3573" spans="1:20" ht="24" customHeight="1">
      <c r="A3573" s="1" t="str">
        <f>Paths!$A$331</f>
        <v>T082</v>
      </c>
      <c r="B3573" s="1">
        <f>Paths!$B$331</f>
        <v>0</v>
      </c>
      <c r="C3573" s="1">
        <v>2</v>
      </c>
      <c r="D3573" s="1">
        <v>331</v>
      </c>
      <c r="E3573" s="1">
        <f>IF(OR(Paths!$C$331=0,C3573=0),0,MAX(0,MIN(C3573*12,Paths!$E$331)-(C3573-1)*12))</f>
        <v>0</v>
      </c>
      <c r="F3573" s="1">
        <f>IF(OR(Paths!$C$331=0,C3573=0),0,12-E3573)</f>
        <v>0</v>
      </c>
      <c r="G3573" s="16">
        <f>IF(NOT(Paths!$C$331=1),0,IF(Paths!$P$331="Complete",E3573/12*(Paths!$J$331*(1+'Operating costs'!$B$51)^MAX(0,C3573-1)+Paths!$K$331*(1+'Operating costs'!$B$53)^MAX(0,C3573-1)),"n.a."))</f>
        <v>0</v>
      </c>
      <c r="H3573" s="16">
        <f>IF(NOT(Paths!$C$331=1),0,IF(Paths!$P$331="Complete",F3573/12*(Paths!$L$331*(1+IF(Paths!$D$331="EV",'Operating costs'!$B$52,'Operating costs'!$B$51))^MAX(0,C3573-1)+Paths!$M$331*(1+'Operating costs'!$B$53)^MAX(0,C3573-1)),"n.a."))</f>
        <v>0</v>
      </c>
      <c r="I3573" s="16">
        <f>IF(NOT(Paths!$C$331=1),0,IF(Paths!$P$331="Complete",IF(IF(Paths!$E$331=0,C3573=0,AND(C3573&gt;0,Paths!$E$331&gt;(C3573-1)*12,Paths!$E$331&lt;=C3573*12)),Paths!$G$331,0),"n.a."))</f>
        <v>0</v>
      </c>
      <c r="J3573" s="16">
        <f>IF(NOT(Paths!$C$331=1),0,IF(Paths!$P$331="Complete",IF(IF(Paths!$E$331=0,C3573=0,AND(C3573&gt;0,Paths!$E$331&gt;(C3573-1)*12,Paths!$E$331&lt;=C3573*12)),Paths!$H$331,0),"n.a."))</f>
        <v>0</v>
      </c>
      <c r="K3573" s="16">
        <f>IF(NOT(Paths!$C$331=1),0,IF(Paths!$P$331="Complete",IF(IF(Paths!$O$331=0,C3573=0,AND(C3573&gt;0,Paths!$O$331&gt;(C3573-1)*12,Paths!$O$331&lt;=C3573*12)),Paths!$N$331,0),"n.a."))</f>
        <v>0</v>
      </c>
      <c r="L3573" s="16">
        <f>IF(NOT(Paths!$C$331=1),0,IF(Paths!$P$331="Complete",IF(C3573=10,Paths!$I$331,0),"n.a."))</f>
        <v>0</v>
      </c>
      <c r="M3573" s="16">
        <f>IF(NOT(Paths!$C$331=1),0,IF(Paths!$P$331="Complete",IF(AND(Paths!$D$331="EV",Paths!$E$331&lt;120,Paths!$E$331+'Operating costs'!$B$65&gt;Paths!$E$331,Paths!$E$331+'Operating costs'!$B$65&lt;=120,IF(Paths!$E$331+'Operating costs'!$B$65=0,C3573=0,AND(C3573&gt;0,Paths!$E$331+'Operating costs'!$B$65&gt;(C3573-1)*12,Paths!$E$331+'Operating costs'!$B$65&lt;=C3573*12))),'Operating costs'!$B$64,0)+IF(AND('Operating costs'!$B$67&gt;0,'Operating costs'!$B$67&lt;=120,OR(Paths!$D$331="ICE",'Operating costs'!$B$67&lt;=Paths!$E$331),IF('Operating costs'!$B$67=0,C3573=0,AND(C3573&gt;0,'Operating costs'!$B$67&gt;(C3573-1)*12,'Operating costs'!$B$67&lt;=C3573*12))),'Operating costs'!$B$66,0),"n.a."))</f>
        <v>0</v>
      </c>
      <c r="N3573" s="16">
        <f>IF(NOT(Paths!$C$331=1),0,IF(Paths!$P$331="Complete",SUM(G3573:I3573)-J3573-K3573-L3573+M3573+IF(C3573=0,Paths!$F$331,0)+IF(IF(Paths!$E$331=0,C3573=0,AND(C3573&gt;0,Paths!$E$331&gt;(C3573-1)*12,Paths!$E$331&lt;=C3573*12)),VLOOKUP(A3573,'Fleet register'!$A$7:$S$106,16,FALSE),0),"n.a."))</f>
        <v>0</v>
      </c>
      <c r="O3573" s="16">
        <f>IF(NOT(Paths!$C$331=1),0,IF(Paths!$P$331="Complete",N3573-IF(C3573=0,Paths!$F$331,0),"n.a."))</f>
        <v>0</v>
      </c>
      <c r="P3573" s="16">
        <f>IF(NOT(Paths!$C$331=1),0,IF(Paths!$P$331="Complete",O3573+L3573,"n.a."))</f>
        <v>0</v>
      </c>
      <c r="Q3573" s="16">
        <f>IF(NOT(Paths!$C$331=1),0,IF(Paths!$P$331="Complete",N3573*(1+'Operating costs'!$B$54)^-C3573,"n.a."))</f>
        <v>0</v>
      </c>
      <c r="R3573" s="16">
        <f>IF(NOT(Paths!$C$331=1),0,IF(Paths!$P$331="Complete",IF(AND(C3573=0,Paths!$E$331=0),I3573-J3573-K3573+VLOOKUP(A3573,'Fleet register'!$A$7:$S$106,15,FALSE)+VLOOKUP(A3573,'Fleet register'!$A$7:$S$106,16,FALSE),0),"n.a."))</f>
        <v>0</v>
      </c>
      <c r="S3573" s="1">
        <f>IF(NOT(Paths!$C$331=1),0,IF(Paths!$P$331="Complete",IF(C3573=0,0,Paths!$S$331*Paths!$R$331),"n.a."))</f>
        <v>0</v>
      </c>
      <c r="T3573" s="1">
        <f>IF(NOT(Paths!$C$331=1),0,IF(Paths!$P$331="Complete",IF(C3573=0,0,VLOOKUP(A3573,'Fleet register'!$A$7:$S$106,9,FALSE)*Paths!$R$331),"n.a."))</f>
        <v>0</v>
      </c>
    </row>
    <row r="3574" spans="1:20" ht="24" customHeight="1">
      <c r="A3574" s="1" t="str">
        <f>Paths!$A$331</f>
        <v>T082</v>
      </c>
      <c r="B3574" s="1">
        <f>Paths!$B$331</f>
        <v>0</v>
      </c>
      <c r="C3574" s="1">
        <v>3</v>
      </c>
      <c r="D3574" s="1">
        <v>331</v>
      </c>
      <c r="E3574" s="1">
        <f>IF(OR(Paths!$C$331=0,C3574=0),0,MAX(0,MIN(C3574*12,Paths!$E$331)-(C3574-1)*12))</f>
        <v>0</v>
      </c>
      <c r="F3574" s="1">
        <f>IF(OR(Paths!$C$331=0,C3574=0),0,12-E3574)</f>
        <v>0</v>
      </c>
      <c r="G3574" s="16">
        <f>IF(NOT(Paths!$C$331=1),0,IF(Paths!$P$331="Complete",E3574/12*(Paths!$J$331*(1+'Operating costs'!$B$51)^MAX(0,C3574-1)+Paths!$K$331*(1+'Operating costs'!$B$53)^MAX(0,C3574-1)),"n.a."))</f>
        <v>0</v>
      </c>
      <c r="H3574" s="16">
        <f>IF(NOT(Paths!$C$331=1),0,IF(Paths!$P$331="Complete",F3574/12*(Paths!$L$331*(1+IF(Paths!$D$331="EV",'Operating costs'!$B$52,'Operating costs'!$B$51))^MAX(0,C3574-1)+Paths!$M$331*(1+'Operating costs'!$B$53)^MAX(0,C3574-1)),"n.a."))</f>
        <v>0</v>
      </c>
      <c r="I3574" s="16">
        <f>IF(NOT(Paths!$C$331=1),0,IF(Paths!$P$331="Complete",IF(IF(Paths!$E$331=0,C3574=0,AND(C3574&gt;0,Paths!$E$331&gt;(C3574-1)*12,Paths!$E$331&lt;=C3574*12)),Paths!$G$331,0),"n.a."))</f>
        <v>0</v>
      </c>
      <c r="J3574" s="16">
        <f>IF(NOT(Paths!$C$331=1),0,IF(Paths!$P$331="Complete",IF(IF(Paths!$E$331=0,C3574=0,AND(C3574&gt;0,Paths!$E$331&gt;(C3574-1)*12,Paths!$E$331&lt;=C3574*12)),Paths!$H$331,0),"n.a."))</f>
        <v>0</v>
      </c>
      <c r="K3574" s="16">
        <f>IF(NOT(Paths!$C$331=1),0,IF(Paths!$P$331="Complete",IF(IF(Paths!$O$331=0,C3574=0,AND(C3574&gt;0,Paths!$O$331&gt;(C3574-1)*12,Paths!$O$331&lt;=C3574*12)),Paths!$N$331,0),"n.a."))</f>
        <v>0</v>
      </c>
      <c r="L3574" s="16">
        <f>IF(NOT(Paths!$C$331=1),0,IF(Paths!$P$331="Complete",IF(C3574=10,Paths!$I$331,0),"n.a."))</f>
        <v>0</v>
      </c>
      <c r="M3574" s="16">
        <f>IF(NOT(Paths!$C$331=1),0,IF(Paths!$P$331="Complete",IF(AND(Paths!$D$331="EV",Paths!$E$331&lt;120,Paths!$E$331+'Operating costs'!$B$65&gt;Paths!$E$331,Paths!$E$331+'Operating costs'!$B$65&lt;=120,IF(Paths!$E$331+'Operating costs'!$B$65=0,C3574=0,AND(C3574&gt;0,Paths!$E$331+'Operating costs'!$B$65&gt;(C3574-1)*12,Paths!$E$331+'Operating costs'!$B$65&lt;=C3574*12))),'Operating costs'!$B$64,0)+IF(AND('Operating costs'!$B$67&gt;0,'Operating costs'!$B$67&lt;=120,OR(Paths!$D$331="ICE",'Operating costs'!$B$67&lt;=Paths!$E$331),IF('Operating costs'!$B$67=0,C3574=0,AND(C3574&gt;0,'Operating costs'!$B$67&gt;(C3574-1)*12,'Operating costs'!$B$67&lt;=C3574*12))),'Operating costs'!$B$66,0),"n.a."))</f>
        <v>0</v>
      </c>
      <c r="N3574" s="16">
        <f>IF(NOT(Paths!$C$331=1),0,IF(Paths!$P$331="Complete",SUM(G3574:I3574)-J3574-K3574-L3574+M3574+IF(C3574=0,Paths!$F$331,0)+IF(IF(Paths!$E$331=0,C3574=0,AND(C3574&gt;0,Paths!$E$331&gt;(C3574-1)*12,Paths!$E$331&lt;=C3574*12)),VLOOKUP(A3574,'Fleet register'!$A$7:$S$106,16,FALSE),0),"n.a."))</f>
        <v>0</v>
      </c>
      <c r="O3574" s="16">
        <f>IF(NOT(Paths!$C$331=1),0,IF(Paths!$P$331="Complete",N3574-IF(C3574=0,Paths!$F$331,0),"n.a."))</f>
        <v>0</v>
      </c>
      <c r="P3574" s="16">
        <f>IF(NOT(Paths!$C$331=1),0,IF(Paths!$P$331="Complete",O3574+L3574,"n.a."))</f>
        <v>0</v>
      </c>
      <c r="Q3574" s="16">
        <f>IF(NOT(Paths!$C$331=1),0,IF(Paths!$P$331="Complete",N3574*(1+'Operating costs'!$B$54)^-C3574,"n.a."))</f>
        <v>0</v>
      </c>
      <c r="R3574" s="16">
        <f>IF(NOT(Paths!$C$331=1),0,IF(Paths!$P$331="Complete",IF(AND(C3574=0,Paths!$E$331=0),I3574-J3574-K3574+VLOOKUP(A3574,'Fleet register'!$A$7:$S$106,15,FALSE)+VLOOKUP(A3574,'Fleet register'!$A$7:$S$106,16,FALSE),0),"n.a."))</f>
        <v>0</v>
      </c>
      <c r="S3574" s="1">
        <f>IF(NOT(Paths!$C$331=1),0,IF(Paths!$P$331="Complete",IF(C3574=0,0,Paths!$S$331*Paths!$R$331),"n.a."))</f>
        <v>0</v>
      </c>
      <c r="T3574" s="1">
        <f>IF(NOT(Paths!$C$331=1),0,IF(Paths!$P$331="Complete",IF(C3574=0,0,VLOOKUP(A3574,'Fleet register'!$A$7:$S$106,9,FALSE)*Paths!$R$331),"n.a."))</f>
        <v>0</v>
      </c>
    </row>
    <row r="3575" spans="1:20" ht="24" customHeight="1">
      <c r="A3575" s="1" t="str">
        <f>Paths!$A$331</f>
        <v>T082</v>
      </c>
      <c r="B3575" s="1">
        <f>Paths!$B$331</f>
        <v>0</v>
      </c>
      <c r="C3575" s="1">
        <v>4</v>
      </c>
      <c r="D3575" s="1">
        <v>331</v>
      </c>
      <c r="E3575" s="1">
        <f>IF(OR(Paths!$C$331=0,C3575=0),0,MAX(0,MIN(C3575*12,Paths!$E$331)-(C3575-1)*12))</f>
        <v>0</v>
      </c>
      <c r="F3575" s="1">
        <f>IF(OR(Paths!$C$331=0,C3575=0),0,12-E3575)</f>
        <v>0</v>
      </c>
      <c r="G3575" s="16">
        <f>IF(NOT(Paths!$C$331=1),0,IF(Paths!$P$331="Complete",E3575/12*(Paths!$J$331*(1+'Operating costs'!$B$51)^MAX(0,C3575-1)+Paths!$K$331*(1+'Operating costs'!$B$53)^MAX(0,C3575-1)),"n.a."))</f>
        <v>0</v>
      </c>
      <c r="H3575" s="16">
        <f>IF(NOT(Paths!$C$331=1),0,IF(Paths!$P$331="Complete",F3575/12*(Paths!$L$331*(1+IF(Paths!$D$331="EV",'Operating costs'!$B$52,'Operating costs'!$B$51))^MAX(0,C3575-1)+Paths!$M$331*(1+'Operating costs'!$B$53)^MAX(0,C3575-1)),"n.a."))</f>
        <v>0</v>
      </c>
      <c r="I3575" s="16">
        <f>IF(NOT(Paths!$C$331=1),0,IF(Paths!$P$331="Complete",IF(IF(Paths!$E$331=0,C3575=0,AND(C3575&gt;0,Paths!$E$331&gt;(C3575-1)*12,Paths!$E$331&lt;=C3575*12)),Paths!$G$331,0),"n.a."))</f>
        <v>0</v>
      </c>
      <c r="J3575" s="16">
        <f>IF(NOT(Paths!$C$331=1),0,IF(Paths!$P$331="Complete",IF(IF(Paths!$E$331=0,C3575=0,AND(C3575&gt;0,Paths!$E$331&gt;(C3575-1)*12,Paths!$E$331&lt;=C3575*12)),Paths!$H$331,0),"n.a."))</f>
        <v>0</v>
      </c>
      <c r="K3575" s="16">
        <f>IF(NOT(Paths!$C$331=1),0,IF(Paths!$P$331="Complete",IF(IF(Paths!$O$331=0,C3575=0,AND(C3575&gt;0,Paths!$O$331&gt;(C3575-1)*12,Paths!$O$331&lt;=C3575*12)),Paths!$N$331,0),"n.a."))</f>
        <v>0</v>
      </c>
      <c r="L3575" s="16">
        <f>IF(NOT(Paths!$C$331=1),0,IF(Paths!$P$331="Complete",IF(C3575=10,Paths!$I$331,0),"n.a."))</f>
        <v>0</v>
      </c>
      <c r="M3575" s="16">
        <f>IF(NOT(Paths!$C$331=1),0,IF(Paths!$P$331="Complete",IF(AND(Paths!$D$331="EV",Paths!$E$331&lt;120,Paths!$E$331+'Operating costs'!$B$65&gt;Paths!$E$331,Paths!$E$331+'Operating costs'!$B$65&lt;=120,IF(Paths!$E$331+'Operating costs'!$B$65=0,C3575=0,AND(C3575&gt;0,Paths!$E$331+'Operating costs'!$B$65&gt;(C3575-1)*12,Paths!$E$331+'Operating costs'!$B$65&lt;=C3575*12))),'Operating costs'!$B$64,0)+IF(AND('Operating costs'!$B$67&gt;0,'Operating costs'!$B$67&lt;=120,OR(Paths!$D$331="ICE",'Operating costs'!$B$67&lt;=Paths!$E$331),IF('Operating costs'!$B$67=0,C3575=0,AND(C3575&gt;0,'Operating costs'!$B$67&gt;(C3575-1)*12,'Operating costs'!$B$67&lt;=C3575*12))),'Operating costs'!$B$66,0),"n.a."))</f>
        <v>0</v>
      </c>
      <c r="N3575" s="16">
        <f>IF(NOT(Paths!$C$331=1),0,IF(Paths!$P$331="Complete",SUM(G3575:I3575)-J3575-K3575-L3575+M3575+IF(C3575=0,Paths!$F$331,0)+IF(IF(Paths!$E$331=0,C3575=0,AND(C3575&gt;0,Paths!$E$331&gt;(C3575-1)*12,Paths!$E$331&lt;=C3575*12)),VLOOKUP(A3575,'Fleet register'!$A$7:$S$106,16,FALSE),0),"n.a."))</f>
        <v>0</v>
      </c>
      <c r="O3575" s="16">
        <f>IF(NOT(Paths!$C$331=1),0,IF(Paths!$P$331="Complete",N3575-IF(C3575=0,Paths!$F$331,0),"n.a."))</f>
        <v>0</v>
      </c>
      <c r="P3575" s="16">
        <f>IF(NOT(Paths!$C$331=1),0,IF(Paths!$P$331="Complete",O3575+L3575,"n.a."))</f>
        <v>0</v>
      </c>
      <c r="Q3575" s="16">
        <f>IF(NOT(Paths!$C$331=1),0,IF(Paths!$P$331="Complete",N3575*(1+'Operating costs'!$B$54)^-C3575,"n.a."))</f>
        <v>0</v>
      </c>
      <c r="R3575" s="16">
        <f>IF(NOT(Paths!$C$331=1),0,IF(Paths!$P$331="Complete",IF(AND(C3575=0,Paths!$E$331=0),I3575-J3575-K3575+VLOOKUP(A3575,'Fleet register'!$A$7:$S$106,15,FALSE)+VLOOKUP(A3575,'Fleet register'!$A$7:$S$106,16,FALSE),0),"n.a."))</f>
        <v>0</v>
      </c>
      <c r="S3575" s="1">
        <f>IF(NOT(Paths!$C$331=1),0,IF(Paths!$P$331="Complete",IF(C3575=0,0,Paths!$S$331*Paths!$R$331),"n.a."))</f>
        <v>0</v>
      </c>
      <c r="T3575" s="1">
        <f>IF(NOT(Paths!$C$331=1),0,IF(Paths!$P$331="Complete",IF(C3575=0,0,VLOOKUP(A3575,'Fleet register'!$A$7:$S$106,9,FALSE)*Paths!$R$331),"n.a."))</f>
        <v>0</v>
      </c>
    </row>
    <row r="3576" spans="1:20" ht="24" customHeight="1">
      <c r="A3576" s="1" t="str">
        <f>Paths!$A$331</f>
        <v>T082</v>
      </c>
      <c r="B3576" s="1">
        <f>Paths!$B$331</f>
        <v>0</v>
      </c>
      <c r="C3576" s="1">
        <v>5</v>
      </c>
      <c r="D3576" s="1">
        <v>331</v>
      </c>
      <c r="E3576" s="1">
        <f>IF(OR(Paths!$C$331=0,C3576=0),0,MAX(0,MIN(C3576*12,Paths!$E$331)-(C3576-1)*12))</f>
        <v>0</v>
      </c>
      <c r="F3576" s="1">
        <f>IF(OR(Paths!$C$331=0,C3576=0),0,12-E3576)</f>
        <v>0</v>
      </c>
      <c r="G3576" s="16">
        <f>IF(NOT(Paths!$C$331=1),0,IF(Paths!$P$331="Complete",E3576/12*(Paths!$J$331*(1+'Operating costs'!$B$51)^MAX(0,C3576-1)+Paths!$K$331*(1+'Operating costs'!$B$53)^MAX(0,C3576-1)),"n.a."))</f>
        <v>0</v>
      </c>
      <c r="H3576" s="16">
        <f>IF(NOT(Paths!$C$331=1),0,IF(Paths!$P$331="Complete",F3576/12*(Paths!$L$331*(1+IF(Paths!$D$331="EV",'Operating costs'!$B$52,'Operating costs'!$B$51))^MAX(0,C3576-1)+Paths!$M$331*(1+'Operating costs'!$B$53)^MAX(0,C3576-1)),"n.a."))</f>
        <v>0</v>
      </c>
      <c r="I3576" s="16">
        <f>IF(NOT(Paths!$C$331=1),0,IF(Paths!$P$331="Complete",IF(IF(Paths!$E$331=0,C3576=0,AND(C3576&gt;0,Paths!$E$331&gt;(C3576-1)*12,Paths!$E$331&lt;=C3576*12)),Paths!$G$331,0),"n.a."))</f>
        <v>0</v>
      </c>
      <c r="J3576" s="16">
        <f>IF(NOT(Paths!$C$331=1),0,IF(Paths!$P$331="Complete",IF(IF(Paths!$E$331=0,C3576=0,AND(C3576&gt;0,Paths!$E$331&gt;(C3576-1)*12,Paths!$E$331&lt;=C3576*12)),Paths!$H$331,0),"n.a."))</f>
        <v>0</v>
      </c>
      <c r="K3576" s="16">
        <f>IF(NOT(Paths!$C$331=1),0,IF(Paths!$P$331="Complete",IF(IF(Paths!$O$331=0,C3576=0,AND(C3576&gt;0,Paths!$O$331&gt;(C3576-1)*12,Paths!$O$331&lt;=C3576*12)),Paths!$N$331,0),"n.a."))</f>
        <v>0</v>
      </c>
      <c r="L3576" s="16">
        <f>IF(NOT(Paths!$C$331=1),0,IF(Paths!$P$331="Complete",IF(C3576=10,Paths!$I$331,0),"n.a."))</f>
        <v>0</v>
      </c>
      <c r="M3576" s="16">
        <f>IF(NOT(Paths!$C$331=1),0,IF(Paths!$P$331="Complete",IF(AND(Paths!$D$331="EV",Paths!$E$331&lt;120,Paths!$E$331+'Operating costs'!$B$65&gt;Paths!$E$331,Paths!$E$331+'Operating costs'!$B$65&lt;=120,IF(Paths!$E$331+'Operating costs'!$B$65=0,C3576=0,AND(C3576&gt;0,Paths!$E$331+'Operating costs'!$B$65&gt;(C3576-1)*12,Paths!$E$331+'Operating costs'!$B$65&lt;=C3576*12))),'Operating costs'!$B$64,0)+IF(AND('Operating costs'!$B$67&gt;0,'Operating costs'!$B$67&lt;=120,OR(Paths!$D$331="ICE",'Operating costs'!$B$67&lt;=Paths!$E$331),IF('Operating costs'!$B$67=0,C3576=0,AND(C3576&gt;0,'Operating costs'!$B$67&gt;(C3576-1)*12,'Operating costs'!$B$67&lt;=C3576*12))),'Operating costs'!$B$66,0),"n.a."))</f>
        <v>0</v>
      </c>
      <c r="N3576" s="16">
        <f>IF(NOT(Paths!$C$331=1),0,IF(Paths!$P$331="Complete",SUM(G3576:I3576)-J3576-K3576-L3576+M3576+IF(C3576=0,Paths!$F$331,0)+IF(IF(Paths!$E$331=0,C3576=0,AND(C3576&gt;0,Paths!$E$331&gt;(C3576-1)*12,Paths!$E$331&lt;=C3576*12)),VLOOKUP(A3576,'Fleet register'!$A$7:$S$106,16,FALSE),0),"n.a."))</f>
        <v>0</v>
      </c>
      <c r="O3576" s="16">
        <f>IF(NOT(Paths!$C$331=1),0,IF(Paths!$P$331="Complete",N3576-IF(C3576=0,Paths!$F$331,0),"n.a."))</f>
        <v>0</v>
      </c>
      <c r="P3576" s="16">
        <f>IF(NOT(Paths!$C$331=1),0,IF(Paths!$P$331="Complete",O3576+L3576,"n.a."))</f>
        <v>0</v>
      </c>
      <c r="Q3576" s="16">
        <f>IF(NOT(Paths!$C$331=1),0,IF(Paths!$P$331="Complete",N3576*(1+'Operating costs'!$B$54)^-C3576,"n.a."))</f>
        <v>0</v>
      </c>
      <c r="R3576" s="16">
        <f>IF(NOT(Paths!$C$331=1),0,IF(Paths!$P$331="Complete",IF(AND(C3576=0,Paths!$E$331=0),I3576-J3576-K3576+VLOOKUP(A3576,'Fleet register'!$A$7:$S$106,15,FALSE)+VLOOKUP(A3576,'Fleet register'!$A$7:$S$106,16,FALSE),0),"n.a."))</f>
        <v>0</v>
      </c>
      <c r="S3576" s="1">
        <f>IF(NOT(Paths!$C$331=1),0,IF(Paths!$P$331="Complete",IF(C3576=0,0,Paths!$S$331*Paths!$R$331),"n.a."))</f>
        <v>0</v>
      </c>
      <c r="T3576" s="1">
        <f>IF(NOT(Paths!$C$331=1),0,IF(Paths!$P$331="Complete",IF(C3576=0,0,VLOOKUP(A3576,'Fleet register'!$A$7:$S$106,9,FALSE)*Paths!$R$331),"n.a."))</f>
        <v>0</v>
      </c>
    </row>
    <row r="3577" spans="1:20" ht="24" customHeight="1">
      <c r="A3577" s="1" t="str">
        <f>Paths!$A$331</f>
        <v>T082</v>
      </c>
      <c r="B3577" s="1">
        <f>Paths!$B$331</f>
        <v>0</v>
      </c>
      <c r="C3577" s="1">
        <v>6</v>
      </c>
      <c r="D3577" s="1">
        <v>331</v>
      </c>
      <c r="E3577" s="1">
        <f>IF(OR(Paths!$C$331=0,C3577=0),0,MAX(0,MIN(C3577*12,Paths!$E$331)-(C3577-1)*12))</f>
        <v>0</v>
      </c>
      <c r="F3577" s="1">
        <f>IF(OR(Paths!$C$331=0,C3577=0),0,12-E3577)</f>
        <v>0</v>
      </c>
      <c r="G3577" s="16">
        <f>IF(NOT(Paths!$C$331=1),0,IF(Paths!$P$331="Complete",E3577/12*(Paths!$J$331*(1+'Operating costs'!$B$51)^MAX(0,C3577-1)+Paths!$K$331*(1+'Operating costs'!$B$53)^MAX(0,C3577-1)),"n.a."))</f>
        <v>0</v>
      </c>
      <c r="H3577" s="16">
        <f>IF(NOT(Paths!$C$331=1),0,IF(Paths!$P$331="Complete",F3577/12*(Paths!$L$331*(1+IF(Paths!$D$331="EV",'Operating costs'!$B$52,'Operating costs'!$B$51))^MAX(0,C3577-1)+Paths!$M$331*(1+'Operating costs'!$B$53)^MAX(0,C3577-1)),"n.a."))</f>
        <v>0</v>
      </c>
      <c r="I3577" s="16">
        <f>IF(NOT(Paths!$C$331=1),0,IF(Paths!$P$331="Complete",IF(IF(Paths!$E$331=0,C3577=0,AND(C3577&gt;0,Paths!$E$331&gt;(C3577-1)*12,Paths!$E$331&lt;=C3577*12)),Paths!$G$331,0),"n.a."))</f>
        <v>0</v>
      </c>
      <c r="J3577" s="16">
        <f>IF(NOT(Paths!$C$331=1),0,IF(Paths!$P$331="Complete",IF(IF(Paths!$E$331=0,C3577=0,AND(C3577&gt;0,Paths!$E$331&gt;(C3577-1)*12,Paths!$E$331&lt;=C3577*12)),Paths!$H$331,0),"n.a."))</f>
        <v>0</v>
      </c>
      <c r="K3577" s="16">
        <f>IF(NOT(Paths!$C$331=1),0,IF(Paths!$P$331="Complete",IF(IF(Paths!$O$331=0,C3577=0,AND(C3577&gt;0,Paths!$O$331&gt;(C3577-1)*12,Paths!$O$331&lt;=C3577*12)),Paths!$N$331,0),"n.a."))</f>
        <v>0</v>
      </c>
      <c r="L3577" s="16">
        <f>IF(NOT(Paths!$C$331=1),0,IF(Paths!$P$331="Complete",IF(C3577=10,Paths!$I$331,0),"n.a."))</f>
        <v>0</v>
      </c>
      <c r="M3577" s="16">
        <f>IF(NOT(Paths!$C$331=1),0,IF(Paths!$P$331="Complete",IF(AND(Paths!$D$331="EV",Paths!$E$331&lt;120,Paths!$E$331+'Operating costs'!$B$65&gt;Paths!$E$331,Paths!$E$331+'Operating costs'!$B$65&lt;=120,IF(Paths!$E$331+'Operating costs'!$B$65=0,C3577=0,AND(C3577&gt;0,Paths!$E$331+'Operating costs'!$B$65&gt;(C3577-1)*12,Paths!$E$331+'Operating costs'!$B$65&lt;=C3577*12))),'Operating costs'!$B$64,0)+IF(AND('Operating costs'!$B$67&gt;0,'Operating costs'!$B$67&lt;=120,OR(Paths!$D$331="ICE",'Operating costs'!$B$67&lt;=Paths!$E$331),IF('Operating costs'!$B$67=0,C3577=0,AND(C3577&gt;0,'Operating costs'!$B$67&gt;(C3577-1)*12,'Operating costs'!$B$67&lt;=C3577*12))),'Operating costs'!$B$66,0),"n.a."))</f>
        <v>0</v>
      </c>
      <c r="N3577" s="16">
        <f>IF(NOT(Paths!$C$331=1),0,IF(Paths!$P$331="Complete",SUM(G3577:I3577)-J3577-K3577-L3577+M3577+IF(C3577=0,Paths!$F$331,0)+IF(IF(Paths!$E$331=0,C3577=0,AND(C3577&gt;0,Paths!$E$331&gt;(C3577-1)*12,Paths!$E$331&lt;=C3577*12)),VLOOKUP(A3577,'Fleet register'!$A$7:$S$106,16,FALSE),0),"n.a."))</f>
        <v>0</v>
      </c>
      <c r="O3577" s="16">
        <f>IF(NOT(Paths!$C$331=1),0,IF(Paths!$P$331="Complete",N3577-IF(C3577=0,Paths!$F$331,0),"n.a."))</f>
        <v>0</v>
      </c>
      <c r="P3577" s="16">
        <f>IF(NOT(Paths!$C$331=1),0,IF(Paths!$P$331="Complete",O3577+L3577,"n.a."))</f>
        <v>0</v>
      </c>
      <c r="Q3577" s="16">
        <f>IF(NOT(Paths!$C$331=1),0,IF(Paths!$P$331="Complete",N3577*(1+'Operating costs'!$B$54)^-C3577,"n.a."))</f>
        <v>0</v>
      </c>
      <c r="R3577" s="16">
        <f>IF(NOT(Paths!$C$331=1),0,IF(Paths!$P$331="Complete",IF(AND(C3577=0,Paths!$E$331=0),I3577-J3577-K3577+VLOOKUP(A3577,'Fleet register'!$A$7:$S$106,15,FALSE)+VLOOKUP(A3577,'Fleet register'!$A$7:$S$106,16,FALSE),0),"n.a."))</f>
        <v>0</v>
      </c>
      <c r="S3577" s="1">
        <f>IF(NOT(Paths!$C$331=1),0,IF(Paths!$P$331="Complete",IF(C3577=0,0,Paths!$S$331*Paths!$R$331),"n.a."))</f>
        <v>0</v>
      </c>
      <c r="T3577" s="1">
        <f>IF(NOT(Paths!$C$331=1),0,IF(Paths!$P$331="Complete",IF(C3577=0,0,VLOOKUP(A3577,'Fleet register'!$A$7:$S$106,9,FALSE)*Paths!$R$331),"n.a."))</f>
        <v>0</v>
      </c>
    </row>
    <row r="3578" spans="1:20" ht="24" customHeight="1">
      <c r="A3578" s="1" t="str">
        <f>Paths!$A$331</f>
        <v>T082</v>
      </c>
      <c r="B3578" s="1">
        <f>Paths!$B$331</f>
        <v>0</v>
      </c>
      <c r="C3578" s="1">
        <v>7</v>
      </c>
      <c r="D3578" s="1">
        <v>331</v>
      </c>
      <c r="E3578" s="1">
        <f>IF(OR(Paths!$C$331=0,C3578=0),0,MAX(0,MIN(C3578*12,Paths!$E$331)-(C3578-1)*12))</f>
        <v>0</v>
      </c>
      <c r="F3578" s="1">
        <f>IF(OR(Paths!$C$331=0,C3578=0),0,12-E3578)</f>
        <v>0</v>
      </c>
      <c r="G3578" s="16">
        <f>IF(NOT(Paths!$C$331=1),0,IF(Paths!$P$331="Complete",E3578/12*(Paths!$J$331*(1+'Operating costs'!$B$51)^MAX(0,C3578-1)+Paths!$K$331*(1+'Operating costs'!$B$53)^MAX(0,C3578-1)),"n.a."))</f>
        <v>0</v>
      </c>
      <c r="H3578" s="16">
        <f>IF(NOT(Paths!$C$331=1),0,IF(Paths!$P$331="Complete",F3578/12*(Paths!$L$331*(1+IF(Paths!$D$331="EV",'Operating costs'!$B$52,'Operating costs'!$B$51))^MAX(0,C3578-1)+Paths!$M$331*(1+'Operating costs'!$B$53)^MAX(0,C3578-1)),"n.a."))</f>
        <v>0</v>
      </c>
      <c r="I3578" s="16">
        <f>IF(NOT(Paths!$C$331=1),0,IF(Paths!$P$331="Complete",IF(IF(Paths!$E$331=0,C3578=0,AND(C3578&gt;0,Paths!$E$331&gt;(C3578-1)*12,Paths!$E$331&lt;=C3578*12)),Paths!$G$331,0),"n.a."))</f>
        <v>0</v>
      </c>
      <c r="J3578" s="16">
        <f>IF(NOT(Paths!$C$331=1),0,IF(Paths!$P$331="Complete",IF(IF(Paths!$E$331=0,C3578=0,AND(C3578&gt;0,Paths!$E$331&gt;(C3578-1)*12,Paths!$E$331&lt;=C3578*12)),Paths!$H$331,0),"n.a."))</f>
        <v>0</v>
      </c>
      <c r="K3578" s="16">
        <f>IF(NOT(Paths!$C$331=1),0,IF(Paths!$P$331="Complete",IF(IF(Paths!$O$331=0,C3578=0,AND(C3578&gt;0,Paths!$O$331&gt;(C3578-1)*12,Paths!$O$331&lt;=C3578*12)),Paths!$N$331,0),"n.a."))</f>
        <v>0</v>
      </c>
      <c r="L3578" s="16">
        <f>IF(NOT(Paths!$C$331=1),0,IF(Paths!$P$331="Complete",IF(C3578=10,Paths!$I$331,0),"n.a."))</f>
        <v>0</v>
      </c>
      <c r="M3578" s="16">
        <f>IF(NOT(Paths!$C$331=1),0,IF(Paths!$P$331="Complete",IF(AND(Paths!$D$331="EV",Paths!$E$331&lt;120,Paths!$E$331+'Operating costs'!$B$65&gt;Paths!$E$331,Paths!$E$331+'Operating costs'!$B$65&lt;=120,IF(Paths!$E$331+'Operating costs'!$B$65=0,C3578=0,AND(C3578&gt;0,Paths!$E$331+'Operating costs'!$B$65&gt;(C3578-1)*12,Paths!$E$331+'Operating costs'!$B$65&lt;=C3578*12))),'Operating costs'!$B$64,0)+IF(AND('Operating costs'!$B$67&gt;0,'Operating costs'!$B$67&lt;=120,OR(Paths!$D$331="ICE",'Operating costs'!$B$67&lt;=Paths!$E$331),IF('Operating costs'!$B$67=0,C3578=0,AND(C3578&gt;0,'Operating costs'!$B$67&gt;(C3578-1)*12,'Operating costs'!$B$67&lt;=C3578*12))),'Operating costs'!$B$66,0),"n.a."))</f>
        <v>0</v>
      </c>
      <c r="N3578" s="16">
        <f>IF(NOT(Paths!$C$331=1),0,IF(Paths!$P$331="Complete",SUM(G3578:I3578)-J3578-K3578-L3578+M3578+IF(C3578=0,Paths!$F$331,0)+IF(IF(Paths!$E$331=0,C3578=0,AND(C3578&gt;0,Paths!$E$331&gt;(C3578-1)*12,Paths!$E$331&lt;=C3578*12)),VLOOKUP(A3578,'Fleet register'!$A$7:$S$106,16,FALSE),0),"n.a."))</f>
        <v>0</v>
      </c>
      <c r="O3578" s="16">
        <f>IF(NOT(Paths!$C$331=1),0,IF(Paths!$P$331="Complete",N3578-IF(C3578=0,Paths!$F$331,0),"n.a."))</f>
        <v>0</v>
      </c>
      <c r="P3578" s="16">
        <f>IF(NOT(Paths!$C$331=1),0,IF(Paths!$P$331="Complete",O3578+L3578,"n.a."))</f>
        <v>0</v>
      </c>
      <c r="Q3578" s="16">
        <f>IF(NOT(Paths!$C$331=1),0,IF(Paths!$P$331="Complete",N3578*(1+'Operating costs'!$B$54)^-C3578,"n.a."))</f>
        <v>0</v>
      </c>
      <c r="R3578" s="16">
        <f>IF(NOT(Paths!$C$331=1),0,IF(Paths!$P$331="Complete",IF(AND(C3578=0,Paths!$E$331=0),I3578-J3578-K3578+VLOOKUP(A3578,'Fleet register'!$A$7:$S$106,15,FALSE)+VLOOKUP(A3578,'Fleet register'!$A$7:$S$106,16,FALSE),0),"n.a."))</f>
        <v>0</v>
      </c>
      <c r="S3578" s="1">
        <f>IF(NOT(Paths!$C$331=1),0,IF(Paths!$P$331="Complete",IF(C3578=0,0,Paths!$S$331*Paths!$R$331),"n.a."))</f>
        <v>0</v>
      </c>
      <c r="T3578" s="1">
        <f>IF(NOT(Paths!$C$331=1),0,IF(Paths!$P$331="Complete",IF(C3578=0,0,VLOOKUP(A3578,'Fleet register'!$A$7:$S$106,9,FALSE)*Paths!$R$331),"n.a."))</f>
        <v>0</v>
      </c>
    </row>
    <row r="3579" spans="1:20" ht="24" customHeight="1">
      <c r="A3579" s="1" t="str">
        <f>Paths!$A$331</f>
        <v>T082</v>
      </c>
      <c r="B3579" s="1">
        <f>Paths!$B$331</f>
        <v>0</v>
      </c>
      <c r="C3579" s="1">
        <v>8</v>
      </c>
      <c r="D3579" s="1">
        <v>331</v>
      </c>
      <c r="E3579" s="1">
        <f>IF(OR(Paths!$C$331=0,C3579=0),0,MAX(0,MIN(C3579*12,Paths!$E$331)-(C3579-1)*12))</f>
        <v>0</v>
      </c>
      <c r="F3579" s="1">
        <f>IF(OR(Paths!$C$331=0,C3579=0),0,12-E3579)</f>
        <v>0</v>
      </c>
      <c r="G3579" s="16">
        <f>IF(NOT(Paths!$C$331=1),0,IF(Paths!$P$331="Complete",E3579/12*(Paths!$J$331*(1+'Operating costs'!$B$51)^MAX(0,C3579-1)+Paths!$K$331*(1+'Operating costs'!$B$53)^MAX(0,C3579-1)),"n.a."))</f>
        <v>0</v>
      </c>
      <c r="H3579" s="16">
        <f>IF(NOT(Paths!$C$331=1),0,IF(Paths!$P$331="Complete",F3579/12*(Paths!$L$331*(1+IF(Paths!$D$331="EV",'Operating costs'!$B$52,'Operating costs'!$B$51))^MAX(0,C3579-1)+Paths!$M$331*(1+'Operating costs'!$B$53)^MAX(0,C3579-1)),"n.a."))</f>
        <v>0</v>
      </c>
      <c r="I3579" s="16">
        <f>IF(NOT(Paths!$C$331=1),0,IF(Paths!$P$331="Complete",IF(IF(Paths!$E$331=0,C3579=0,AND(C3579&gt;0,Paths!$E$331&gt;(C3579-1)*12,Paths!$E$331&lt;=C3579*12)),Paths!$G$331,0),"n.a."))</f>
        <v>0</v>
      </c>
      <c r="J3579" s="16">
        <f>IF(NOT(Paths!$C$331=1),0,IF(Paths!$P$331="Complete",IF(IF(Paths!$E$331=0,C3579=0,AND(C3579&gt;0,Paths!$E$331&gt;(C3579-1)*12,Paths!$E$331&lt;=C3579*12)),Paths!$H$331,0),"n.a."))</f>
        <v>0</v>
      </c>
      <c r="K3579" s="16">
        <f>IF(NOT(Paths!$C$331=1),0,IF(Paths!$P$331="Complete",IF(IF(Paths!$O$331=0,C3579=0,AND(C3579&gt;0,Paths!$O$331&gt;(C3579-1)*12,Paths!$O$331&lt;=C3579*12)),Paths!$N$331,0),"n.a."))</f>
        <v>0</v>
      </c>
      <c r="L3579" s="16">
        <f>IF(NOT(Paths!$C$331=1),0,IF(Paths!$P$331="Complete",IF(C3579=10,Paths!$I$331,0),"n.a."))</f>
        <v>0</v>
      </c>
      <c r="M3579" s="16">
        <f>IF(NOT(Paths!$C$331=1),0,IF(Paths!$P$331="Complete",IF(AND(Paths!$D$331="EV",Paths!$E$331&lt;120,Paths!$E$331+'Operating costs'!$B$65&gt;Paths!$E$331,Paths!$E$331+'Operating costs'!$B$65&lt;=120,IF(Paths!$E$331+'Operating costs'!$B$65=0,C3579=0,AND(C3579&gt;0,Paths!$E$331+'Operating costs'!$B$65&gt;(C3579-1)*12,Paths!$E$331+'Operating costs'!$B$65&lt;=C3579*12))),'Operating costs'!$B$64,0)+IF(AND('Operating costs'!$B$67&gt;0,'Operating costs'!$B$67&lt;=120,OR(Paths!$D$331="ICE",'Operating costs'!$B$67&lt;=Paths!$E$331),IF('Operating costs'!$B$67=0,C3579=0,AND(C3579&gt;0,'Operating costs'!$B$67&gt;(C3579-1)*12,'Operating costs'!$B$67&lt;=C3579*12))),'Operating costs'!$B$66,0),"n.a."))</f>
        <v>0</v>
      </c>
      <c r="N3579" s="16">
        <f>IF(NOT(Paths!$C$331=1),0,IF(Paths!$P$331="Complete",SUM(G3579:I3579)-J3579-K3579-L3579+M3579+IF(C3579=0,Paths!$F$331,0)+IF(IF(Paths!$E$331=0,C3579=0,AND(C3579&gt;0,Paths!$E$331&gt;(C3579-1)*12,Paths!$E$331&lt;=C3579*12)),VLOOKUP(A3579,'Fleet register'!$A$7:$S$106,16,FALSE),0),"n.a."))</f>
        <v>0</v>
      </c>
      <c r="O3579" s="16">
        <f>IF(NOT(Paths!$C$331=1),0,IF(Paths!$P$331="Complete",N3579-IF(C3579=0,Paths!$F$331,0),"n.a."))</f>
        <v>0</v>
      </c>
      <c r="P3579" s="16">
        <f>IF(NOT(Paths!$C$331=1),0,IF(Paths!$P$331="Complete",O3579+L3579,"n.a."))</f>
        <v>0</v>
      </c>
      <c r="Q3579" s="16">
        <f>IF(NOT(Paths!$C$331=1),0,IF(Paths!$P$331="Complete",N3579*(1+'Operating costs'!$B$54)^-C3579,"n.a."))</f>
        <v>0</v>
      </c>
      <c r="R3579" s="16">
        <f>IF(NOT(Paths!$C$331=1),0,IF(Paths!$P$331="Complete",IF(AND(C3579=0,Paths!$E$331=0),I3579-J3579-K3579+VLOOKUP(A3579,'Fleet register'!$A$7:$S$106,15,FALSE)+VLOOKUP(A3579,'Fleet register'!$A$7:$S$106,16,FALSE),0),"n.a."))</f>
        <v>0</v>
      </c>
      <c r="S3579" s="1">
        <f>IF(NOT(Paths!$C$331=1),0,IF(Paths!$P$331="Complete",IF(C3579=0,0,Paths!$S$331*Paths!$R$331),"n.a."))</f>
        <v>0</v>
      </c>
      <c r="T3579" s="1">
        <f>IF(NOT(Paths!$C$331=1),0,IF(Paths!$P$331="Complete",IF(C3579=0,0,VLOOKUP(A3579,'Fleet register'!$A$7:$S$106,9,FALSE)*Paths!$R$331),"n.a."))</f>
        <v>0</v>
      </c>
    </row>
    <row r="3580" spans="1:20" ht="24" customHeight="1">
      <c r="A3580" s="1" t="str">
        <f>Paths!$A$331</f>
        <v>T082</v>
      </c>
      <c r="B3580" s="1">
        <f>Paths!$B$331</f>
        <v>0</v>
      </c>
      <c r="C3580" s="1">
        <v>9</v>
      </c>
      <c r="D3580" s="1">
        <v>331</v>
      </c>
      <c r="E3580" s="1">
        <f>IF(OR(Paths!$C$331=0,C3580=0),0,MAX(0,MIN(C3580*12,Paths!$E$331)-(C3580-1)*12))</f>
        <v>0</v>
      </c>
      <c r="F3580" s="1">
        <f>IF(OR(Paths!$C$331=0,C3580=0),0,12-E3580)</f>
        <v>0</v>
      </c>
      <c r="G3580" s="16">
        <f>IF(NOT(Paths!$C$331=1),0,IF(Paths!$P$331="Complete",E3580/12*(Paths!$J$331*(1+'Operating costs'!$B$51)^MAX(0,C3580-1)+Paths!$K$331*(1+'Operating costs'!$B$53)^MAX(0,C3580-1)),"n.a."))</f>
        <v>0</v>
      </c>
      <c r="H3580" s="16">
        <f>IF(NOT(Paths!$C$331=1),0,IF(Paths!$P$331="Complete",F3580/12*(Paths!$L$331*(1+IF(Paths!$D$331="EV",'Operating costs'!$B$52,'Operating costs'!$B$51))^MAX(0,C3580-1)+Paths!$M$331*(1+'Operating costs'!$B$53)^MAX(0,C3580-1)),"n.a."))</f>
        <v>0</v>
      </c>
      <c r="I3580" s="16">
        <f>IF(NOT(Paths!$C$331=1),0,IF(Paths!$P$331="Complete",IF(IF(Paths!$E$331=0,C3580=0,AND(C3580&gt;0,Paths!$E$331&gt;(C3580-1)*12,Paths!$E$331&lt;=C3580*12)),Paths!$G$331,0),"n.a."))</f>
        <v>0</v>
      </c>
      <c r="J3580" s="16">
        <f>IF(NOT(Paths!$C$331=1),0,IF(Paths!$P$331="Complete",IF(IF(Paths!$E$331=0,C3580=0,AND(C3580&gt;0,Paths!$E$331&gt;(C3580-1)*12,Paths!$E$331&lt;=C3580*12)),Paths!$H$331,0),"n.a."))</f>
        <v>0</v>
      </c>
      <c r="K3580" s="16">
        <f>IF(NOT(Paths!$C$331=1),0,IF(Paths!$P$331="Complete",IF(IF(Paths!$O$331=0,C3580=0,AND(C3580&gt;0,Paths!$O$331&gt;(C3580-1)*12,Paths!$O$331&lt;=C3580*12)),Paths!$N$331,0),"n.a."))</f>
        <v>0</v>
      </c>
      <c r="L3580" s="16">
        <f>IF(NOT(Paths!$C$331=1),0,IF(Paths!$P$331="Complete",IF(C3580=10,Paths!$I$331,0),"n.a."))</f>
        <v>0</v>
      </c>
      <c r="M3580" s="16">
        <f>IF(NOT(Paths!$C$331=1),0,IF(Paths!$P$331="Complete",IF(AND(Paths!$D$331="EV",Paths!$E$331&lt;120,Paths!$E$331+'Operating costs'!$B$65&gt;Paths!$E$331,Paths!$E$331+'Operating costs'!$B$65&lt;=120,IF(Paths!$E$331+'Operating costs'!$B$65=0,C3580=0,AND(C3580&gt;0,Paths!$E$331+'Operating costs'!$B$65&gt;(C3580-1)*12,Paths!$E$331+'Operating costs'!$B$65&lt;=C3580*12))),'Operating costs'!$B$64,0)+IF(AND('Operating costs'!$B$67&gt;0,'Operating costs'!$B$67&lt;=120,OR(Paths!$D$331="ICE",'Operating costs'!$B$67&lt;=Paths!$E$331),IF('Operating costs'!$B$67=0,C3580=0,AND(C3580&gt;0,'Operating costs'!$B$67&gt;(C3580-1)*12,'Operating costs'!$B$67&lt;=C3580*12))),'Operating costs'!$B$66,0),"n.a."))</f>
        <v>0</v>
      </c>
      <c r="N3580" s="16">
        <f>IF(NOT(Paths!$C$331=1),0,IF(Paths!$P$331="Complete",SUM(G3580:I3580)-J3580-K3580-L3580+M3580+IF(C3580=0,Paths!$F$331,0)+IF(IF(Paths!$E$331=0,C3580=0,AND(C3580&gt;0,Paths!$E$331&gt;(C3580-1)*12,Paths!$E$331&lt;=C3580*12)),VLOOKUP(A3580,'Fleet register'!$A$7:$S$106,16,FALSE),0),"n.a."))</f>
        <v>0</v>
      </c>
      <c r="O3580" s="16">
        <f>IF(NOT(Paths!$C$331=1),0,IF(Paths!$P$331="Complete",N3580-IF(C3580=0,Paths!$F$331,0),"n.a."))</f>
        <v>0</v>
      </c>
      <c r="P3580" s="16">
        <f>IF(NOT(Paths!$C$331=1),0,IF(Paths!$P$331="Complete",O3580+L3580,"n.a."))</f>
        <v>0</v>
      </c>
      <c r="Q3580" s="16">
        <f>IF(NOT(Paths!$C$331=1),0,IF(Paths!$P$331="Complete",N3580*(1+'Operating costs'!$B$54)^-C3580,"n.a."))</f>
        <v>0</v>
      </c>
      <c r="R3580" s="16">
        <f>IF(NOT(Paths!$C$331=1),0,IF(Paths!$P$331="Complete",IF(AND(C3580=0,Paths!$E$331=0),I3580-J3580-K3580+VLOOKUP(A3580,'Fleet register'!$A$7:$S$106,15,FALSE)+VLOOKUP(A3580,'Fleet register'!$A$7:$S$106,16,FALSE),0),"n.a."))</f>
        <v>0</v>
      </c>
      <c r="S3580" s="1">
        <f>IF(NOT(Paths!$C$331=1),0,IF(Paths!$P$331="Complete",IF(C3580=0,0,Paths!$S$331*Paths!$R$331),"n.a."))</f>
        <v>0</v>
      </c>
      <c r="T3580" s="1">
        <f>IF(NOT(Paths!$C$331=1),0,IF(Paths!$P$331="Complete",IF(C3580=0,0,VLOOKUP(A3580,'Fleet register'!$A$7:$S$106,9,FALSE)*Paths!$R$331),"n.a."))</f>
        <v>0</v>
      </c>
    </row>
    <row r="3581" spans="1:20" ht="24" customHeight="1">
      <c r="A3581" s="1" t="str">
        <f>Paths!$A$331</f>
        <v>T082</v>
      </c>
      <c r="B3581" s="1">
        <f>Paths!$B$331</f>
        <v>0</v>
      </c>
      <c r="C3581" s="1">
        <v>10</v>
      </c>
      <c r="D3581" s="1">
        <v>331</v>
      </c>
      <c r="E3581" s="1">
        <f>IF(OR(Paths!$C$331=0,C3581=0),0,MAX(0,MIN(C3581*12,Paths!$E$331)-(C3581-1)*12))</f>
        <v>0</v>
      </c>
      <c r="F3581" s="1">
        <f>IF(OR(Paths!$C$331=0,C3581=0),0,12-E3581)</f>
        <v>0</v>
      </c>
      <c r="G3581" s="16">
        <f>IF(NOT(Paths!$C$331=1),0,IF(Paths!$P$331="Complete",E3581/12*(Paths!$J$331*(1+'Operating costs'!$B$51)^MAX(0,C3581-1)+Paths!$K$331*(1+'Operating costs'!$B$53)^MAX(0,C3581-1)),"n.a."))</f>
        <v>0</v>
      </c>
      <c r="H3581" s="16">
        <f>IF(NOT(Paths!$C$331=1),0,IF(Paths!$P$331="Complete",F3581/12*(Paths!$L$331*(1+IF(Paths!$D$331="EV",'Operating costs'!$B$52,'Operating costs'!$B$51))^MAX(0,C3581-1)+Paths!$M$331*(1+'Operating costs'!$B$53)^MAX(0,C3581-1)),"n.a."))</f>
        <v>0</v>
      </c>
      <c r="I3581" s="16">
        <f>IF(NOT(Paths!$C$331=1),0,IF(Paths!$P$331="Complete",IF(IF(Paths!$E$331=0,C3581=0,AND(C3581&gt;0,Paths!$E$331&gt;(C3581-1)*12,Paths!$E$331&lt;=C3581*12)),Paths!$G$331,0),"n.a."))</f>
        <v>0</v>
      </c>
      <c r="J3581" s="16">
        <f>IF(NOT(Paths!$C$331=1),0,IF(Paths!$P$331="Complete",IF(IF(Paths!$E$331=0,C3581=0,AND(C3581&gt;0,Paths!$E$331&gt;(C3581-1)*12,Paths!$E$331&lt;=C3581*12)),Paths!$H$331,0),"n.a."))</f>
        <v>0</v>
      </c>
      <c r="K3581" s="16">
        <f>IF(NOT(Paths!$C$331=1),0,IF(Paths!$P$331="Complete",IF(IF(Paths!$O$331=0,C3581=0,AND(C3581&gt;0,Paths!$O$331&gt;(C3581-1)*12,Paths!$O$331&lt;=C3581*12)),Paths!$N$331,0),"n.a."))</f>
        <v>0</v>
      </c>
      <c r="L3581" s="16">
        <f>IF(NOT(Paths!$C$331=1),0,IF(Paths!$P$331="Complete",IF(C3581=10,Paths!$I$331,0),"n.a."))</f>
        <v>0</v>
      </c>
      <c r="M3581" s="16">
        <f>IF(NOT(Paths!$C$331=1),0,IF(Paths!$P$331="Complete",IF(AND(Paths!$D$331="EV",Paths!$E$331&lt;120,Paths!$E$331+'Operating costs'!$B$65&gt;Paths!$E$331,Paths!$E$331+'Operating costs'!$B$65&lt;=120,IF(Paths!$E$331+'Operating costs'!$B$65=0,C3581=0,AND(C3581&gt;0,Paths!$E$331+'Operating costs'!$B$65&gt;(C3581-1)*12,Paths!$E$331+'Operating costs'!$B$65&lt;=C3581*12))),'Operating costs'!$B$64,0)+IF(AND('Operating costs'!$B$67&gt;0,'Operating costs'!$B$67&lt;=120,OR(Paths!$D$331="ICE",'Operating costs'!$B$67&lt;=Paths!$E$331),IF('Operating costs'!$B$67=0,C3581=0,AND(C3581&gt;0,'Operating costs'!$B$67&gt;(C3581-1)*12,'Operating costs'!$B$67&lt;=C3581*12))),'Operating costs'!$B$66,0),"n.a."))</f>
        <v>0</v>
      </c>
      <c r="N3581" s="16">
        <f>IF(NOT(Paths!$C$331=1),0,IF(Paths!$P$331="Complete",SUM(G3581:I3581)-J3581-K3581-L3581+M3581+IF(C3581=0,Paths!$F$331,0)+IF(IF(Paths!$E$331=0,C3581=0,AND(C3581&gt;0,Paths!$E$331&gt;(C3581-1)*12,Paths!$E$331&lt;=C3581*12)),VLOOKUP(A3581,'Fleet register'!$A$7:$S$106,16,FALSE),0),"n.a."))</f>
        <v>0</v>
      </c>
      <c r="O3581" s="16">
        <f>IF(NOT(Paths!$C$331=1),0,IF(Paths!$P$331="Complete",N3581-IF(C3581=0,Paths!$F$331,0),"n.a."))</f>
        <v>0</v>
      </c>
      <c r="P3581" s="16">
        <f>IF(NOT(Paths!$C$331=1),0,IF(Paths!$P$331="Complete",O3581+L3581,"n.a."))</f>
        <v>0</v>
      </c>
      <c r="Q3581" s="16">
        <f>IF(NOT(Paths!$C$331=1),0,IF(Paths!$P$331="Complete",N3581*(1+'Operating costs'!$B$54)^-C3581,"n.a."))</f>
        <v>0</v>
      </c>
      <c r="R3581" s="16">
        <f>IF(NOT(Paths!$C$331=1),0,IF(Paths!$P$331="Complete",IF(AND(C3581=0,Paths!$E$331=0),I3581-J3581-K3581+VLOOKUP(A3581,'Fleet register'!$A$7:$S$106,15,FALSE)+VLOOKUP(A3581,'Fleet register'!$A$7:$S$106,16,FALSE),0),"n.a."))</f>
        <v>0</v>
      </c>
      <c r="S3581" s="1">
        <f>IF(NOT(Paths!$C$331=1),0,IF(Paths!$P$331="Complete",IF(C3581=0,0,Paths!$S$331*Paths!$R$331),"n.a."))</f>
        <v>0</v>
      </c>
      <c r="T3581" s="1">
        <f>IF(NOT(Paths!$C$331=1),0,IF(Paths!$P$331="Complete",IF(C3581=0,0,VLOOKUP(A3581,'Fleet register'!$A$7:$S$106,9,FALSE)*Paths!$R$331),"n.a."))</f>
        <v>0</v>
      </c>
    </row>
    <row r="3582" spans="1:20" ht="24" customHeight="1">
      <c r="A3582" s="1" t="str">
        <f>Paths!$A$332</f>
        <v>T082</v>
      </c>
      <c r="B3582" s="1">
        <f>Paths!$B$332</f>
        <v>1</v>
      </c>
      <c r="C3582" s="1">
        <v>0</v>
      </c>
      <c r="D3582" s="1">
        <v>332</v>
      </c>
      <c r="E3582" s="1">
        <f>IF(OR(Paths!$C$332=0,C3582=0),0,MAX(0,MIN(C3582*12,Paths!$E$332)-(C3582-1)*12))</f>
        <v>0</v>
      </c>
      <c r="F3582" s="1">
        <f>IF(OR(Paths!$C$332=0,C3582=0),0,12-E3582)</f>
        <v>0</v>
      </c>
      <c r="G3582" s="16">
        <f>IF(NOT(Paths!$C$332=1),0,IF(Paths!$P$332="Complete",E3582/12*(Paths!$J$332*(1+'Operating costs'!$B$51)^MAX(0,C3582-1)+Paths!$K$332*(1+'Operating costs'!$B$53)^MAX(0,C3582-1)),"n.a."))</f>
        <v>0</v>
      </c>
      <c r="H3582" s="16">
        <f>IF(NOT(Paths!$C$332=1),0,IF(Paths!$P$332="Complete",F3582/12*(Paths!$L$332*(1+IF(Paths!$D$332="EV",'Operating costs'!$B$52,'Operating costs'!$B$51))^MAX(0,C3582-1)+Paths!$M$332*(1+'Operating costs'!$B$53)^MAX(0,C3582-1)),"n.a."))</f>
        <v>0</v>
      </c>
      <c r="I3582" s="16">
        <f>IF(NOT(Paths!$C$332=1),0,IF(Paths!$P$332="Complete",IF(IF(Paths!$E$332=0,C3582=0,AND(C3582&gt;0,Paths!$E$332&gt;(C3582-1)*12,Paths!$E$332&lt;=C3582*12)),Paths!$G$332,0),"n.a."))</f>
        <v>0</v>
      </c>
      <c r="J3582" s="16">
        <f>IF(NOT(Paths!$C$332=1),0,IF(Paths!$P$332="Complete",IF(IF(Paths!$E$332=0,C3582=0,AND(C3582&gt;0,Paths!$E$332&gt;(C3582-1)*12,Paths!$E$332&lt;=C3582*12)),Paths!$H$332,0),"n.a."))</f>
        <v>0</v>
      </c>
      <c r="K3582" s="16">
        <f>IF(NOT(Paths!$C$332=1),0,IF(Paths!$P$332="Complete",IF(IF(Paths!$O$332=0,C3582=0,AND(C3582&gt;0,Paths!$O$332&gt;(C3582-1)*12,Paths!$O$332&lt;=C3582*12)),Paths!$N$332,0),"n.a."))</f>
        <v>0</v>
      </c>
      <c r="L3582" s="16">
        <f>IF(NOT(Paths!$C$332=1),0,IF(Paths!$P$332="Complete",IF(C3582=10,Paths!$I$332,0),"n.a."))</f>
        <v>0</v>
      </c>
      <c r="M3582" s="16">
        <f>IF(NOT(Paths!$C$332=1),0,IF(Paths!$P$332="Complete",IF(AND(Paths!$D$332="EV",Paths!$E$332&lt;120,Paths!$E$332+'Operating costs'!$B$65&gt;Paths!$E$332,Paths!$E$332+'Operating costs'!$B$65&lt;=120,IF(Paths!$E$332+'Operating costs'!$B$65=0,C3582=0,AND(C3582&gt;0,Paths!$E$332+'Operating costs'!$B$65&gt;(C3582-1)*12,Paths!$E$332+'Operating costs'!$B$65&lt;=C3582*12))),'Operating costs'!$B$64,0)+IF(AND('Operating costs'!$B$67&gt;0,'Operating costs'!$B$67&lt;=120,OR(Paths!$D$332="ICE",'Operating costs'!$B$67&lt;=Paths!$E$332),IF('Operating costs'!$B$67=0,C3582=0,AND(C3582&gt;0,'Operating costs'!$B$67&gt;(C3582-1)*12,'Operating costs'!$B$67&lt;=C3582*12))),'Operating costs'!$B$66,0),"n.a."))</f>
        <v>0</v>
      </c>
      <c r="N3582" s="16">
        <f>IF(NOT(Paths!$C$332=1),0,IF(Paths!$P$332="Complete",SUM(G3582:I3582)-J3582-K3582-L3582+M3582+IF(C3582=0,Paths!$F$332,0)+IF(IF(Paths!$E$332=0,C3582=0,AND(C3582&gt;0,Paths!$E$332&gt;(C3582-1)*12,Paths!$E$332&lt;=C3582*12)),VLOOKUP(A3582,'Fleet register'!$A$7:$S$106,16,FALSE),0),"n.a."))</f>
        <v>0</v>
      </c>
      <c r="O3582" s="16">
        <f>IF(NOT(Paths!$C$332=1),0,IF(Paths!$P$332="Complete",N3582-IF(C3582=0,Paths!$F$332,0),"n.a."))</f>
        <v>0</v>
      </c>
      <c r="P3582" s="16">
        <f>IF(NOT(Paths!$C$332=1),0,IF(Paths!$P$332="Complete",O3582+L3582,"n.a."))</f>
        <v>0</v>
      </c>
      <c r="Q3582" s="16">
        <f>IF(NOT(Paths!$C$332=1),0,IF(Paths!$P$332="Complete",N3582*(1+'Operating costs'!$B$54)^-C3582,"n.a."))</f>
        <v>0</v>
      </c>
      <c r="R3582" s="16">
        <f>IF(NOT(Paths!$C$332=1),0,IF(Paths!$P$332="Complete",IF(AND(C3582=0,Paths!$E$332=0),I3582-J3582-K3582+VLOOKUP(A3582,'Fleet register'!$A$7:$S$106,15,FALSE)+VLOOKUP(A3582,'Fleet register'!$A$7:$S$106,16,FALSE),0),"n.a."))</f>
        <v>0</v>
      </c>
      <c r="S3582" s="1">
        <f>IF(NOT(Paths!$C$332=1),0,IF(Paths!$P$332="Complete",IF(C3582=0,0,Paths!$S$332*Paths!$R$332),"n.a."))</f>
        <v>0</v>
      </c>
      <c r="T3582" s="1">
        <f>IF(NOT(Paths!$C$332=1),0,IF(Paths!$P$332="Complete",IF(C3582=0,0,VLOOKUP(A3582,'Fleet register'!$A$7:$S$106,9,FALSE)*Paths!$R$332),"n.a."))</f>
        <v>0</v>
      </c>
    </row>
    <row r="3583" spans="1:20" ht="24" customHeight="1">
      <c r="A3583" s="1" t="str">
        <f>Paths!$A$332</f>
        <v>T082</v>
      </c>
      <c r="B3583" s="1">
        <f>Paths!$B$332</f>
        <v>1</v>
      </c>
      <c r="C3583" s="1">
        <v>1</v>
      </c>
      <c r="D3583" s="1">
        <v>332</v>
      </c>
      <c r="E3583" s="1">
        <f>IF(OR(Paths!$C$332=0,C3583=0),0,MAX(0,MIN(C3583*12,Paths!$E$332)-(C3583-1)*12))</f>
        <v>0</v>
      </c>
      <c r="F3583" s="1">
        <f>IF(OR(Paths!$C$332=0,C3583=0),0,12-E3583)</f>
        <v>0</v>
      </c>
      <c r="G3583" s="16">
        <f>IF(NOT(Paths!$C$332=1),0,IF(Paths!$P$332="Complete",E3583/12*(Paths!$J$332*(1+'Operating costs'!$B$51)^MAX(0,C3583-1)+Paths!$K$332*(1+'Operating costs'!$B$53)^MAX(0,C3583-1)),"n.a."))</f>
        <v>0</v>
      </c>
      <c r="H3583" s="16">
        <f>IF(NOT(Paths!$C$332=1),0,IF(Paths!$P$332="Complete",F3583/12*(Paths!$L$332*(1+IF(Paths!$D$332="EV",'Operating costs'!$B$52,'Operating costs'!$B$51))^MAX(0,C3583-1)+Paths!$M$332*(1+'Operating costs'!$B$53)^MAX(0,C3583-1)),"n.a."))</f>
        <v>0</v>
      </c>
      <c r="I3583" s="16">
        <f>IF(NOT(Paths!$C$332=1),0,IF(Paths!$P$332="Complete",IF(IF(Paths!$E$332=0,C3583=0,AND(C3583&gt;0,Paths!$E$332&gt;(C3583-1)*12,Paths!$E$332&lt;=C3583*12)),Paths!$G$332,0),"n.a."))</f>
        <v>0</v>
      </c>
      <c r="J3583" s="16">
        <f>IF(NOT(Paths!$C$332=1),0,IF(Paths!$P$332="Complete",IF(IF(Paths!$E$332=0,C3583=0,AND(C3583&gt;0,Paths!$E$332&gt;(C3583-1)*12,Paths!$E$332&lt;=C3583*12)),Paths!$H$332,0),"n.a."))</f>
        <v>0</v>
      </c>
      <c r="K3583" s="16">
        <f>IF(NOT(Paths!$C$332=1),0,IF(Paths!$P$332="Complete",IF(IF(Paths!$O$332=0,C3583=0,AND(C3583&gt;0,Paths!$O$332&gt;(C3583-1)*12,Paths!$O$332&lt;=C3583*12)),Paths!$N$332,0),"n.a."))</f>
        <v>0</v>
      </c>
      <c r="L3583" s="16">
        <f>IF(NOT(Paths!$C$332=1),0,IF(Paths!$P$332="Complete",IF(C3583=10,Paths!$I$332,0),"n.a."))</f>
        <v>0</v>
      </c>
      <c r="M3583" s="16">
        <f>IF(NOT(Paths!$C$332=1),0,IF(Paths!$P$332="Complete",IF(AND(Paths!$D$332="EV",Paths!$E$332&lt;120,Paths!$E$332+'Operating costs'!$B$65&gt;Paths!$E$332,Paths!$E$332+'Operating costs'!$B$65&lt;=120,IF(Paths!$E$332+'Operating costs'!$B$65=0,C3583=0,AND(C3583&gt;0,Paths!$E$332+'Operating costs'!$B$65&gt;(C3583-1)*12,Paths!$E$332+'Operating costs'!$B$65&lt;=C3583*12))),'Operating costs'!$B$64,0)+IF(AND('Operating costs'!$B$67&gt;0,'Operating costs'!$B$67&lt;=120,OR(Paths!$D$332="ICE",'Operating costs'!$B$67&lt;=Paths!$E$332),IF('Operating costs'!$B$67=0,C3583=0,AND(C3583&gt;0,'Operating costs'!$B$67&gt;(C3583-1)*12,'Operating costs'!$B$67&lt;=C3583*12))),'Operating costs'!$B$66,0),"n.a."))</f>
        <v>0</v>
      </c>
      <c r="N3583" s="16">
        <f>IF(NOT(Paths!$C$332=1),0,IF(Paths!$P$332="Complete",SUM(G3583:I3583)-J3583-K3583-L3583+M3583+IF(C3583=0,Paths!$F$332,0)+IF(IF(Paths!$E$332=0,C3583=0,AND(C3583&gt;0,Paths!$E$332&gt;(C3583-1)*12,Paths!$E$332&lt;=C3583*12)),VLOOKUP(A3583,'Fleet register'!$A$7:$S$106,16,FALSE),0),"n.a."))</f>
        <v>0</v>
      </c>
      <c r="O3583" s="16">
        <f>IF(NOT(Paths!$C$332=1),0,IF(Paths!$P$332="Complete",N3583-IF(C3583=0,Paths!$F$332,0),"n.a."))</f>
        <v>0</v>
      </c>
      <c r="P3583" s="16">
        <f>IF(NOT(Paths!$C$332=1),0,IF(Paths!$P$332="Complete",O3583+L3583,"n.a."))</f>
        <v>0</v>
      </c>
      <c r="Q3583" s="16">
        <f>IF(NOT(Paths!$C$332=1),0,IF(Paths!$P$332="Complete",N3583*(1+'Operating costs'!$B$54)^-C3583,"n.a."))</f>
        <v>0</v>
      </c>
      <c r="R3583" s="16">
        <f>IF(NOT(Paths!$C$332=1),0,IF(Paths!$P$332="Complete",IF(AND(C3583=0,Paths!$E$332=0),I3583-J3583-K3583+VLOOKUP(A3583,'Fleet register'!$A$7:$S$106,15,FALSE)+VLOOKUP(A3583,'Fleet register'!$A$7:$S$106,16,FALSE),0),"n.a."))</f>
        <v>0</v>
      </c>
      <c r="S3583" s="1">
        <f>IF(NOT(Paths!$C$332=1),0,IF(Paths!$P$332="Complete",IF(C3583=0,0,Paths!$S$332*Paths!$R$332),"n.a."))</f>
        <v>0</v>
      </c>
      <c r="T3583" s="1">
        <f>IF(NOT(Paths!$C$332=1),0,IF(Paths!$P$332="Complete",IF(C3583=0,0,VLOOKUP(A3583,'Fleet register'!$A$7:$S$106,9,FALSE)*Paths!$R$332),"n.a."))</f>
        <v>0</v>
      </c>
    </row>
    <row r="3584" spans="1:20" ht="24" customHeight="1">
      <c r="A3584" s="1" t="str">
        <f>Paths!$A$332</f>
        <v>T082</v>
      </c>
      <c r="B3584" s="1">
        <f>Paths!$B$332</f>
        <v>1</v>
      </c>
      <c r="C3584" s="1">
        <v>2</v>
      </c>
      <c r="D3584" s="1">
        <v>332</v>
      </c>
      <c r="E3584" s="1">
        <f>IF(OR(Paths!$C$332=0,C3584=0),0,MAX(0,MIN(C3584*12,Paths!$E$332)-(C3584-1)*12))</f>
        <v>0</v>
      </c>
      <c r="F3584" s="1">
        <f>IF(OR(Paths!$C$332=0,C3584=0),0,12-E3584)</f>
        <v>0</v>
      </c>
      <c r="G3584" s="16">
        <f>IF(NOT(Paths!$C$332=1),0,IF(Paths!$P$332="Complete",E3584/12*(Paths!$J$332*(1+'Operating costs'!$B$51)^MAX(0,C3584-1)+Paths!$K$332*(1+'Operating costs'!$B$53)^MAX(0,C3584-1)),"n.a."))</f>
        <v>0</v>
      </c>
      <c r="H3584" s="16">
        <f>IF(NOT(Paths!$C$332=1),0,IF(Paths!$P$332="Complete",F3584/12*(Paths!$L$332*(1+IF(Paths!$D$332="EV",'Operating costs'!$B$52,'Operating costs'!$B$51))^MAX(0,C3584-1)+Paths!$M$332*(1+'Operating costs'!$B$53)^MAX(0,C3584-1)),"n.a."))</f>
        <v>0</v>
      </c>
      <c r="I3584" s="16">
        <f>IF(NOT(Paths!$C$332=1),0,IF(Paths!$P$332="Complete",IF(IF(Paths!$E$332=0,C3584=0,AND(C3584&gt;0,Paths!$E$332&gt;(C3584-1)*12,Paths!$E$332&lt;=C3584*12)),Paths!$G$332,0),"n.a."))</f>
        <v>0</v>
      </c>
      <c r="J3584" s="16">
        <f>IF(NOT(Paths!$C$332=1),0,IF(Paths!$P$332="Complete",IF(IF(Paths!$E$332=0,C3584=0,AND(C3584&gt;0,Paths!$E$332&gt;(C3584-1)*12,Paths!$E$332&lt;=C3584*12)),Paths!$H$332,0),"n.a."))</f>
        <v>0</v>
      </c>
      <c r="K3584" s="16">
        <f>IF(NOT(Paths!$C$332=1),0,IF(Paths!$P$332="Complete",IF(IF(Paths!$O$332=0,C3584=0,AND(C3584&gt;0,Paths!$O$332&gt;(C3584-1)*12,Paths!$O$332&lt;=C3584*12)),Paths!$N$332,0),"n.a."))</f>
        <v>0</v>
      </c>
      <c r="L3584" s="16">
        <f>IF(NOT(Paths!$C$332=1),0,IF(Paths!$P$332="Complete",IF(C3584=10,Paths!$I$332,0),"n.a."))</f>
        <v>0</v>
      </c>
      <c r="M3584" s="16">
        <f>IF(NOT(Paths!$C$332=1),0,IF(Paths!$P$332="Complete",IF(AND(Paths!$D$332="EV",Paths!$E$332&lt;120,Paths!$E$332+'Operating costs'!$B$65&gt;Paths!$E$332,Paths!$E$332+'Operating costs'!$B$65&lt;=120,IF(Paths!$E$332+'Operating costs'!$B$65=0,C3584=0,AND(C3584&gt;0,Paths!$E$332+'Operating costs'!$B$65&gt;(C3584-1)*12,Paths!$E$332+'Operating costs'!$B$65&lt;=C3584*12))),'Operating costs'!$B$64,0)+IF(AND('Operating costs'!$B$67&gt;0,'Operating costs'!$B$67&lt;=120,OR(Paths!$D$332="ICE",'Operating costs'!$B$67&lt;=Paths!$E$332),IF('Operating costs'!$B$67=0,C3584=0,AND(C3584&gt;0,'Operating costs'!$B$67&gt;(C3584-1)*12,'Operating costs'!$B$67&lt;=C3584*12))),'Operating costs'!$B$66,0),"n.a."))</f>
        <v>0</v>
      </c>
      <c r="N3584" s="16">
        <f>IF(NOT(Paths!$C$332=1),0,IF(Paths!$P$332="Complete",SUM(G3584:I3584)-J3584-K3584-L3584+M3584+IF(C3584=0,Paths!$F$332,0)+IF(IF(Paths!$E$332=0,C3584=0,AND(C3584&gt;0,Paths!$E$332&gt;(C3584-1)*12,Paths!$E$332&lt;=C3584*12)),VLOOKUP(A3584,'Fleet register'!$A$7:$S$106,16,FALSE),0),"n.a."))</f>
        <v>0</v>
      </c>
      <c r="O3584" s="16">
        <f>IF(NOT(Paths!$C$332=1),0,IF(Paths!$P$332="Complete",N3584-IF(C3584=0,Paths!$F$332,0),"n.a."))</f>
        <v>0</v>
      </c>
      <c r="P3584" s="16">
        <f>IF(NOT(Paths!$C$332=1),0,IF(Paths!$P$332="Complete",O3584+L3584,"n.a."))</f>
        <v>0</v>
      </c>
      <c r="Q3584" s="16">
        <f>IF(NOT(Paths!$C$332=1),0,IF(Paths!$P$332="Complete",N3584*(1+'Operating costs'!$B$54)^-C3584,"n.a."))</f>
        <v>0</v>
      </c>
      <c r="R3584" s="16">
        <f>IF(NOT(Paths!$C$332=1),0,IF(Paths!$P$332="Complete",IF(AND(C3584=0,Paths!$E$332=0),I3584-J3584-K3584+VLOOKUP(A3584,'Fleet register'!$A$7:$S$106,15,FALSE)+VLOOKUP(A3584,'Fleet register'!$A$7:$S$106,16,FALSE),0),"n.a."))</f>
        <v>0</v>
      </c>
      <c r="S3584" s="1">
        <f>IF(NOT(Paths!$C$332=1),0,IF(Paths!$P$332="Complete",IF(C3584=0,0,Paths!$S$332*Paths!$R$332),"n.a."))</f>
        <v>0</v>
      </c>
      <c r="T3584" s="1">
        <f>IF(NOT(Paths!$C$332=1),0,IF(Paths!$P$332="Complete",IF(C3584=0,0,VLOOKUP(A3584,'Fleet register'!$A$7:$S$106,9,FALSE)*Paths!$R$332),"n.a."))</f>
        <v>0</v>
      </c>
    </row>
    <row r="3585" spans="1:20" ht="24" customHeight="1">
      <c r="A3585" s="1" t="str">
        <f>Paths!$A$332</f>
        <v>T082</v>
      </c>
      <c r="B3585" s="1">
        <f>Paths!$B$332</f>
        <v>1</v>
      </c>
      <c r="C3585" s="1">
        <v>3</v>
      </c>
      <c r="D3585" s="1">
        <v>332</v>
      </c>
      <c r="E3585" s="1">
        <f>IF(OR(Paths!$C$332=0,C3585=0),0,MAX(0,MIN(C3585*12,Paths!$E$332)-(C3585-1)*12))</f>
        <v>0</v>
      </c>
      <c r="F3585" s="1">
        <f>IF(OR(Paths!$C$332=0,C3585=0),0,12-E3585)</f>
        <v>0</v>
      </c>
      <c r="G3585" s="16">
        <f>IF(NOT(Paths!$C$332=1),0,IF(Paths!$P$332="Complete",E3585/12*(Paths!$J$332*(1+'Operating costs'!$B$51)^MAX(0,C3585-1)+Paths!$K$332*(1+'Operating costs'!$B$53)^MAX(0,C3585-1)),"n.a."))</f>
        <v>0</v>
      </c>
      <c r="H3585" s="16">
        <f>IF(NOT(Paths!$C$332=1),0,IF(Paths!$P$332="Complete",F3585/12*(Paths!$L$332*(1+IF(Paths!$D$332="EV",'Operating costs'!$B$52,'Operating costs'!$B$51))^MAX(0,C3585-1)+Paths!$M$332*(1+'Operating costs'!$B$53)^MAX(0,C3585-1)),"n.a."))</f>
        <v>0</v>
      </c>
      <c r="I3585" s="16">
        <f>IF(NOT(Paths!$C$332=1),0,IF(Paths!$P$332="Complete",IF(IF(Paths!$E$332=0,C3585=0,AND(C3585&gt;0,Paths!$E$332&gt;(C3585-1)*12,Paths!$E$332&lt;=C3585*12)),Paths!$G$332,0),"n.a."))</f>
        <v>0</v>
      </c>
      <c r="J3585" s="16">
        <f>IF(NOT(Paths!$C$332=1),0,IF(Paths!$P$332="Complete",IF(IF(Paths!$E$332=0,C3585=0,AND(C3585&gt;0,Paths!$E$332&gt;(C3585-1)*12,Paths!$E$332&lt;=C3585*12)),Paths!$H$332,0),"n.a."))</f>
        <v>0</v>
      </c>
      <c r="K3585" s="16">
        <f>IF(NOT(Paths!$C$332=1),0,IF(Paths!$P$332="Complete",IF(IF(Paths!$O$332=0,C3585=0,AND(C3585&gt;0,Paths!$O$332&gt;(C3585-1)*12,Paths!$O$332&lt;=C3585*12)),Paths!$N$332,0),"n.a."))</f>
        <v>0</v>
      </c>
      <c r="L3585" s="16">
        <f>IF(NOT(Paths!$C$332=1),0,IF(Paths!$P$332="Complete",IF(C3585=10,Paths!$I$332,0),"n.a."))</f>
        <v>0</v>
      </c>
      <c r="M3585" s="16">
        <f>IF(NOT(Paths!$C$332=1),0,IF(Paths!$P$332="Complete",IF(AND(Paths!$D$332="EV",Paths!$E$332&lt;120,Paths!$E$332+'Operating costs'!$B$65&gt;Paths!$E$332,Paths!$E$332+'Operating costs'!$B$65&lt;=120,IF(Paths!$E$332+'Operating costs'!$B$65=0,C3585=0,AND(C3585&gt;0,Paths!$E$332+'Operating costs'!$B$65&gt;(C3585-1)*12,Paths!$E$332+'Operating costs'!$B$65&lt;=C3585*12))),'Operating costs'!$B$64,0)+IF(AND('Operating costs'!$B$67&gt;0,'Operating costs'!$B$67&lt;=120,OR(Paths!$D$332="ICE",'Operating costs'!$B$67&lt;=Paths!$E$332),IF('Operating costs'!$B$67=0,C3585=0,AND(C3585&gt;0,'Operating costs'!$B$67&gt;(C3585-1)*12,'Operating costs'!$B$67&lt;=C3585*12))),'Operating costs'!$B$66,0),"n.a."))</f>
        <v>0</v>
      </c>
      <c r="N3585" s="16">
        <f>IF(NOT(Paths!$C$332=1),0,IF(Paths!$P$332="Complete",SUM(G3585:I3585)-J3585-K3585-L3585+M3585+IF(C3585=0,Paths!$F$332,0)+IF(IF(Paths!$E$332=0,C3585=0,AND(C3585&gt;0,Paths!$E$332&gt;(C3585-1)*12,Paths!$E$332&lt;=C3585*12)),VLOOKUP(A3585,'Fleet register'!$A$7:$S$106,16,FALSE),0),"n.a."))</f>
        <v>0</v>
      </c>
      <c r="O3585" s="16">
        <f>IF(NOT(Paths!$C$332=1),0,IF(Paths!$P$332="Complete",N3585-IF(C3585=0,Paths!$F$332,0),"n.a."))</f>
        <v>0</v>
      </c>
      <c r="P3585" s="16">
        <f>IF(NOT(Paths!$C$332=1),0,IF(Paths!$P$332="Complete",O3585+L3585,"n.a."))</f>
        <v>0</v>
      </c>
      <c r="Q3585" s="16">
        <f>IF(NOT(Paths!$C$332=1),0,IF(Paths!$P$332="Complete",N3585*(1+'Operating costs'!$B$54)^-C3585,"n.a."))</f>
        <v>0</v>
      </c>
      <c r="R3585" s="16">
        <f>IF(NOT(Paths!$C$332=1),0,IF(Paths!$P$332="Complete",IF(AND(C3585=0,Paths!$E$332=0),I3585-J3585-K3585+VLOOKUP(A3585,'Fleet register'!$A$7:$S$106,15,FALSE)+VLOOKUP(A3585,'Fleet register'!$A$7:$S$106,16,FALSE),0),"n.a."))</f>
        <v>0</v>
      </c>
      <c r="S3585" s="1">
        <f>IF(NOT(Paths!$C$332=1),0,IF(Paths!$P$332="Complete",IF(C3585=0,0,Paths!$S$332*Paths!$R$332),"n.a."))</f>
        <v>0</v>
      </c>
      <c r="T3585" s="1">
        <f>IF(NOT(Paths!$C$332=1),0,IF(Paths!$P$332="Complete",IF(C3585=0,0,VLOOKUP(A3585,'Fleet register'!$A$7:$S$106,9,FALSE)*Paths!$R$332),"n.a."))</f>
        <v>0</v>
      </c>
    </row>
    <row r="3586" spans="1:20" ht="24" customHeight="1">
      <c r="A3586" s="1" t="str">
        <f>Paths!$A$332</f>
        <v>T082</v>
      </c>
      <c r="B3586" s="1">
        <f>Paths!$B$332</f>
        <v>1</v>
      </c>
      <c r="C3586" s="1">
        <v>4</v>
      </c>
      <c r="D3586" s="1">
        <v>332</v>
      </c>
      <c r="E3586" s="1">
        <f>IF(OR(Paths!$C$332=0,C3586=0),0,MAX(0,MIN(C3586*12,Paths!$E$332)-(C3586-1)*12))</f>
        <v>0</v>
      </c>
      <c r="F3586" s="1">
        <f>IF(OR(Paths!$C$332=0,C3586=0),0,12-E3586)</f>
        <v>0</v>
      </c>
      <c r="G3586" s="16">
        <f>IF(NOT(Paths!$C$332=1),0,IF(Paths!$P$332="Complete",E3586/12*(Paths!$J$332*(1+'Operating costs'!$B$51)^MAX(0,C3586-1)+Paths!$K$332*(1+'Operating costs'!$B$53)^MAX(0,C3586-1)),"n.a."))</f>
        <v>0</v>
      </c>
      <c r="H3586" s="16">
        <f>IF(NOT(Paths!$C$332=1),0,IF(Paths!$P$332="Complete",F3586/12*(Paths!$L$332*(1+IF(Paths!$D$332="EV",'Operating costs'!$B$52,'Operating costs'!$B$51))^MAX(0,C3586-1)+Paths!$M$332*(1+'Operating costs'!$B$53)^MAX(0,C3586-1)),"n.a."))</f>
        <v>0</v>
      </c>
      <c r="I3586" s="16">
        <f>IF(NOT(Paths!$C$332=1),0,IF(Paths!$P$332="Complete",IF(IF(Paths!$E$332=0,C3586=0,AND(C3586&gt;0,Paths!$E$332&gt;(C3586-1)*12,Paths!$E$332&lt;=C3586*12)),Paths!$G$332,0),"n.a."))</f>
        <v>0</v>
      </c>
      <c r="J3586" s="16">
        <f>IF(NOT(Paths!$C$332=1),0,IF(Paths!$P$332="Complete",IF(IF(Paths!$E$332=0,C3586=0,AND(C3586&gt;0,Paths!$E$332&gt;(C3586-1)*12,Paths!$E$332&lt;=C3586*12)),Paths!$H$332,0),"n.a."))</f>
        <v>0</v>
      </c>
      <c r="K3586" s="16">
        <f>IF(NOT(Paths!$C$332=1),0,IF(Paths!$P$332="Complete",IF(IF(Paths!$O$332=0,C3586=0,AND(C3586&gt;0,Paths!$O$332&gt;(C3586-1)*12,Paths!$O$332&lt;=C3586*12)),Paths!$N$332,0),"n.a."))</f>
        <v>0</v>
      </c>
      <c r="L3586" s="16">
        <f>IF(NOT(Paths!$C$332=1),0,IF(Paths!$P$332="Complete",IF(C3586=10,Paths!$I$332,0),"n.a."))</f>
        <v>0</v>
      </c>
      <c r="M3586" s="16">
        <f>IF(NOT(Paths!$C$332=1),0,IF(Paths!$P$332="Complete",IF(AND(Paths!$D$332="EV",Paths!$E$332&lt;120,Paths!$E$332+'Operating costs'!$B$65&gt;Paths!$E$332,Paths!$E$332+'Operating costs'!$B$65&lt;=120,IF(Paths!$E$332+'Operating costs'!$B$65=0,C3586=0,AND(C3586&gt;0,Paths!$E$332+'Operating costs'!$B$65&gt;(C3586-1)*12,Paths!$E$332+'Operating costs'!$B$65&lt;=C3586*12))),'Operating costs'!$B$64,0)+IF(AND('Operating costs'!$B$67&gt;0,'Operating costs'!$B$67&lt;=120,OR(Paths!$D$332="ICE",'Operating costs'!$B$67&lt;=Paths!$E$332),IF('Operating costs'!$B$67=0,C3586=0,AND(C3586&gt;0,'Operating costs'!$B$67&gt;(C3586-1)*12,'Operating costs'!$B$67&lt;=C3586*12))),'Operating costs'!$B$66,0),"n.a."))</f>
        <v>0</v>
      </c>
      <c r="N3586" s="16">
        <f>IF(NOT(Paths!$C$332=1),0,IF(Paths!$P$332="Complete",SUM(G3586:I3586)-J3586-K3586-L3586+M3586+IF(C3586=0,Paths!$F$332,0)+IF(IF(Paths!$E$332=0,C3586=0,AND(C3586&gt;0,Paths!$E$332&gt;(C3586-1)*12,Paths!$E$332&lt;=C3586*12)),VLOOKUP(A3586,'Fleet register'!$A$7:$S$106,16,FALSE),0),"n.a."))</f>
        <v>0</v>
      </c>
      <c r="O3586" s="16">
        <f>IF(NOT(Paths!$C$332=1),0,IF(Paths!$P$332="Complete",N3586-IF(C3586=0,Paths!$F$332,0),"n.a."))</f>
        <v>0</v>
      </c>
      <c r="P3586" s="16">
        <f>IF(NOT(Paths!$C$332=1),0,IF(Paths!$P$332="Complete",O3586+L3586,"n.a."))</f>
        <v>0</v>
      </c>
      <c r="Q3586" s="16">
        <f>IF(NOT(Paths!$C$332=1),0,IF(Paths!$P$332="Complete",N3586*(1+'Operating costs'!$B$54)^-C3586,"n.a."))</f>
        <v>0</v>
      </c>
      <c r="R3586" s="16">
        <f>IF(NOT(Paths!$C$332=1),0,IF(Paths!$P$332="Complete",IF(AND(C3586=0,Paths!$E$332=0),I3586-J3586-K3586+VLOOKUP(A3586,'Fleet register'!$A$7:$S$106,15,FALSE)+VLOOKUP(A3586,'Fleet register'!$A$7:$S$106,16,FALSE),0),"n.a."))</f>
        <v>0</v>
      </c>
      <c r="S3586" s="1">
        <f>IF(NOT(Paths!$C$332=1),0,IF(Paths!$P$332="Complete",IF(C3586=0,0,Paths!$S$332*Paths!$R$332),"n.a."))</f>
        <v>0</v>
      </c>
      <c r="T3586" s="1">
        <f>IF(NOT(Paths!$C$332=1),0,IF(Paths!$P$332="Complete",IF(C3586=0,0,VLOOKUP(A3586,'Fleet register'!$A$7:$S$106,9,FALSE)*Paths!$R$332),"n.a."))</f>
        <v>0</v>
      </c>
    </row>
    <row r="3587" spans="1:20" ht="24" customHeight="1">
      <c r="A3587" s="1" t="str">
        <f>Paths!$A$332</f>
        <v>T082</v>
      </c>
      <c r="B3587" s="1">
        <f>Paths!$B$332</f>
        <v>1</v>
      </c>
      <c r="C3587" s="1">
        <v>5</v>
      </c>
      <c r="D3587" s="1">
        <v>332</v>
      </c>
      <c r="E3587" s="1">
        <f>IF(OR(Paths!$C$332=0,C3587=0),0,MAX(0,MIN(C3587*12,Paths!$E$332)-(C3587-1)*12))</f>
        <v>0</v>
      </c>
      <c r="F3587" s="1">
        <f>IF(OR(Paths!$C$332=0,C3587=0),0,12-E3587)</f>
        <v>0</v>
      </c>
      <c r="G3587" s="16">
        <f>IF(NOT(Paths!$C$332=1),0,IF(Paths!$P$332="Complete",E3587/12*(Paths!$J$332*(1+'Operating costs'!$B$51)^MAX(0,C3587-1)+Paths!$K$332*(1+'Operating costs'!$B$53)^MAX(0,C3587-1)),"n.a."))</f>
        <v>0</v>
      </c>
      <c r="H3587" s="16">
        <f>IF(NOT(Paths!$C$332=1),0,IF(Paths!$P$332="Complete",F3587/12*(Paths!$L$332*(1+IF(Paths!$D$332="EV",'Operating costs'!$B$52,'Operating costs'!$B$51))^MAX(0,C3587-1)+Paths!$M$332*(1+'Operating costs'!$B$53)^MAX(0,C3587-1)),"n.a."))</f>
        <v>0</v>
      </c>
      <c r="I3587" s="16">
        <f>IF(NOT(Paths!$C$332=1),0,IF(Paths!$P$332="Complete",IF(IF(Paths!$E$332=0,C3587=0,AND(C3587&gt;0,Paths!$E$332&gt;(C3587-1)*12,Paths!$E$332&lt;=C3587*12)),Paths!$G$332,0),"n.a."))</f>
        <v>0</v>
      </c>
      <c r="J3587" s="16">
        <f>IF(NOT(Paths!$C$332=1),0,IF(Paths!$P$332="Complete",IF(IF(Paths!$E$332=0,C3587=0,AND(C3587&gt;0,Paths!$E$332&gt;(C3587-1)*12,Paths!$E$332&lt;=C3587*12)),Paths!$H$332,0),"n.a."))</f>
        <v>0</v>
      </c>
      <c r="K3587" s="16">
        <f>IF(NOT(Paths!$C$332=1),0,IF(Paths!$P$332="Complete",IF(IF(Paths!$O$332=0,C3587=0,AND(C3587&gt;0,Paths!$O$332&gt;(C3587-1)*12,Paths!$O$332&lt;=C3587*12)),Paths!$N$332,0),"n.a."))</f>
        <v>0</v>
      </c>
      <c r="L3587" s="16">
        <f>IF(NOT(Paths!$C$332=1),0,IF(Paths!$P$332="Complete",IF(C3587=10,Paths!$I$332,0),"n.a."))</f>
        <v>0</v>
      </c>
      <c r="M3587" s="16">
        <f>IF(NOT(Paths!$C$332=1),0,IF(Paths!$P$332="Complete",IF(AND(Paths!$D$332="EV",Paths!$E$332&lt;120,Paths!$E$332+'Operating costs'!$B$65&gt;Paths!$E$332,Paths!$E$332+'Operating costs'!$B$65&lt;=120,IF(Paths!$E$332+'Operating costs'!$B$65=0,C3587=0,AND(C3587&gt;0,Paths!$E$332+'Operating costs'!$B$65&gt;(C3587-1)*12,Paths!$E$332+'Operating costs'!$B$65&lt;=C3587*12))),'Operating costs'!$B$64,0)+IF(AND('Operating costs'!$B$67&gt;0,'Operating costs'!$B$67&lt;=120,OR(Paths!$D$332="ICE",'Operating costs'!$B$67&lt;=Paths!$E$332),IF('Operating costs'!$B$67=0,C3587=0,AND(C3587&gt;0,'Operating costs'!$B$67&gt;(C3587-1)*12,'Operating costs'!$B$67&lt;=C3587*12))),'Operating costs'!$B$66,0),"n.a."))</f>
        <v>0</v>
      </c>
      <c r="N3587" s="16">
        <f>IF(NOT(Paths!$C$332=1),0,IF(Paths!$P$332="Complete",SUM(G3587:I3587)-J3587-K3587-L3587+M3587+IF(C3587=0,Paths!$F$332,0)+IF(IF(Paths!$E$332=0,C3587=0,AND(C3587&gt;0,Paths!$E$332&gt;(C3587-1)*12,Paths!$E$332&lt;=C3587*12)),VLOOKUP(A3587,'Fleet register'!$A$7:$S$106,16,FALSE),0),"n.a."))</f>
        <v>0</v>
      </c>
      <c r="O3587" s="16">
        <f>IF(NOT(Paths!$C$332=1),0,IF(Paths!$P$332="Complete",N3587-IF(C3587=0,Paths!$F$332,0),"n.a."))</f>
        <v>0</v>
      </c>
      <c r="P3587" s="16">
        <f>IF(NOT(Paths!$C$332=1),0,IF(Paths!$P$332="Complete",O3587+L3587,"n.a."))</f>
        <v>0</v>
      </c>
      <c r="Q3587" s="16">
        <f>IF(NOT(Paths!$C$332=1),0,IF(Paths!$P$332="Complete",N3587*(1+'Operating costs'!$B$54)^-C3587,"n.a."))</f>
        <v>0</v>
      </c>
      <c r="R3587" s="16">
        <f>IF(NOT(Paths!$C$332=1),0,IF(Paths!$P$332="Complete",IF(AND(C3587=0,Paths!$E$332=0),I3587-J3587-K3587+VLOOKUP(A3587,'Fleet register'!$A$7:$S$106,15,FALSE)+VLOOKUP(A3587,'Fleet register'!$A$7:$S$106,16,FALSE),0),"n.a."))</f>
        <v>0</v>
      </c>
      <c r="S3587" s="1">
        <f>IF(NOT(Paths!$C$332=1),0,IF(Paths!$P$332="Complete",IF(C3587=0,0,Paths!$S$332*Paths!$R$332),"n.a."))</f>
        <v>0</v>
      </c>
      <c r="T3587" s="1">
        <f>IF(NOT(Paths!$C$332=1),0,IF(Paths!$P$332="Complete",IF(C3587=0,0,VLOOKUP(A3587,'Fleet register'!$A$7:$S$106,9,FALSE)*Paths!$R$332),"n.a."))</f>
        <v>0</v>
      </c>
    </row>
    <row r="3588" spans="1:20" ht="24" customHeight="1">
      <c r="A3588" s="1" t="str">
        <f>Paths!$A$332</f>
        <v>T082</v>
      </c>
      <c r="B3588" s="1">
        <f>Paths!$B$332</f>
        <v>1</v>
      </c>
      <c r="C3588" s="1">
        <v>6</v>
      </c>
      <c r="D3588" s="1">
        <v>332</v>
      </c>
      <c r="E3588" s="1">
        <f>IF(OR(Paths!$C$332=0,C3588=0),0,MAX(0,MIN(C3588*12,Paths!$E$332)-(C3588-1)*12))</f>
        <v>0</v>
      </c>
      <c r="F3588" s="1">
        <f>IF(OR(Paths!$C$332=0,C3588=0),0,12-E3588)</f>
        <v>0</v>
      </c>
      <c r="G3588" s="16">
        <f>IF(NOT(Paths!$C$332=1),0,IF(Paths!$P$332="Complete",E3588/12*(Paths!$J$332*(1+'Operating costs'!$B$51)^MAX(0,C3588-1)+Paths!$K$332*(1+'Operating costs'!$B$53)^MAX(0,C3588-1)),"n.a."))</f>
        <v>0</v>
      </c>
      <c r="H3588" s="16">
        <f>IF(NOT(Paths!$C$332=1),0,IF(Paths!$P$332="Complete",F3588/12*(Paths!$L$332*(1+IF(Paths!$D$332="EV",'Operating costs'!$B$52,'Operating costs'!$B$51))^MAX(0,C3588-1)+Paths!$M$332*(1+'Operating costs'!$B$53)^MAX(0,C3588-1)),"n.a."))</f>
        <v>0</v>
      </c>
      <c r="I3588" s="16">
        <f>IF(NOT(Paths!$C$332=1),0,IF(Paths!$P$332="Complete",IF(IF(Paths!$E$332=0,C3588=0,AND(C3588&gt;0,Paths!$E$332&gt;(C3588-1)*12,Paths!$E$332&lt;=C3588*12)),Paths!$G$332,0),"n.a."))</f>
        <v>0</v>
      </c>
      <c r="J3588" s="16">
        <f>IF(NOT(Paths!$C$332=1),0,IF(Paths!$P$332="Complete",IF(IF(Paths!$E$332=0,C3588=0,AND(C3588&gt;0,Paths!$E$332&gt;(C3588-1)*12,Paths!$E$332&lt;=C3588*12)),Paths!$H$332,0),"n.a."))</f>
        <v>0</v>
      </c>
      <c r="K3588" s="16">
        <f>IF(NOT(Paths!$C$332=1),0,IF(Paths!$P$332="Complete",IF(IF(Paths!$O$332=0,C3588=0,AND(C3588&gt;0,Paths!$O$332&gt;(C3588-1)*12,Paths!$O$332&lt;=C3588*12)),Paths!$N$332,0),"n.a."))</f>
        <v>0</v>
      </c>
      <c r="L3588" s="16">
        <f>IF(NOT(Paths!$C$332=1),0,IF(Paths!$P$332="Complete",IF(C3588=10,Paths!$I$332,0),"n.a."))</f>
        <v>0</v>
      </c>
      <c r="M3588" s="16">
        <f>IF(NOT(Paths!$C$332=1),0,IF(Paths!$P$332="Complete",IF(AND(Paths!$D$332="EV",Paths!$E$332&lt;120,Paths!$E$332+'Operating costs'!$B$65&gt;Paths!$E$332,Paths!$E$332+'Operating costs'!$B$65&lt;=120,IF(Paths!$E$332+'Operating costs'!$B$65=0,C3588=0,AND(C3588&gt;0,Paths!$E$332+'Operating costs'!$B$65&gt;(C3588-1)*12,Paths!$E$332+'Operating costs'!$B$65&lt;=C3588*12))),'Operating costs'!$B$64,0)+IF(AND('Operating costs'!$B$67&gt;0,'Operating costs'!$B$67&lt;=120,OR(Paths!$D$332="ICE",'Operating costs'!$B$67&lt;=Paths!$E$332),IF('Operating costs'!$B$67=0,C3588=0,AND(C3588&gt;0,'Operating costs'!$B$67&gt;(C3588-1)*12,'Operating costs'!$B$67&lt;=C3588*12))),'Operating costs'!$B$66,0),"n.a."))</f>
        <v>0</v>
      </c>
      <c r="N3588" s="16">
        <f>IF(NOT(Paths!$C$332=1),0,IF(Paths!$P$332="Complete",SUM(G3588:I3588)-J3588-K3588-L3588+M3588+IF(C3588=0,Paths!$F$332,0)+IF(IF(Paths!$E$332=0,C3588=0,AND(C3588&gt;0,Paths!$E$332&gt;(C3588-1)*12,Paths!$E$332&lt;=C3588*12)),VLOOKUP(A3588,'Fleet register'!$A$7:$S$106,16,FALSE),0),"n.a."))</f>
        <v>0</v>
      </c>
      <c r="O3588" s="16">
        <f>IF(NOT(Paths!$C$332=1),0,IF(Paths!$P$332="Complete",N3588-IF(C3588=0,Paths!$F$332,0),"n.a."))</f>
        <v>0</v>
      </c>
      <c r="P3588" s="16">
        <f>IF(NOT(Paths!$C$332=1),0,IF(Paths!$P$332="Complete",O3588+L3588,"n.a."))</f>
        <v>0</v>
      </c>
      <c r="Q3588" s="16">
        <f>IF(NOT(Paths!$C$332=1),0,IF(Paths!$P$332="Complete",N3588*(1+'Operating costs'!$B$54)^-C3588,"n.a."))</f>
        <v>0</v>
      </c>
      <c r="R3588" s="16">
        <f>IF(NOT(Paths!$C$332=1),0,IF(Paths!$P$332="Complete",IF(AND(C3588=0,Paths!$E$332=0),I3588-J3588-K3588+VLOOKUP(A3588,'Fleet register'!$A$7:$S$106,15,FALSE)+VLOOKUP(A3588,'Fleet register'!$A$7:$S$106,16,FALSE),0),"n.a."))</f>
        <v>0</v>
      </c>
      <c r="S3588" s="1">
        <f>IF(NOT(Paths!$C$332=1),0,IF(Paths!$P$332="Complete",IF(C3588=0,0,Paths!$S$332*Paths!$R$332),"n.a."))</f>
        <v>0</v>
      </c>
      <c r="T3588" s="1">
        <f>IF(NOT(Paths!$C$332=1),0,IF(Paths!$P$332="Complete",IF(C3588=0,0,VLOOKUP(A3588,'Fleet register'!$A$7:$S$106,9,FALSE)*Paths!$R$332),"n.a."))</f>
        <v>0</v>
      </c>
    </row>
    <row r="3589" spans="1:20" ht="24" customHeight="1">
      <c r="A3589" s="1" t="str">
        <f>Paths!$A$332</f>
        <v>T082</v>
      </c>
      <c r="B3589" s="1">
        <f>Paths!$B$332</f>
        <v>1</v>
      </c>
      <c r="C3589" s="1">
        <v>7</v>
      </c>
      <c r="D3589" s="1">
        <v>332</v>
      </c>
      <c r="E3589" s="1">
        <f>IF(OR(Paths!$C$332=0,C3589=0),0,MAX(0,MIN(C3589*12,Paths!$E$332)-(C3589-1)*12))</f>
        <v>0</v>
      </c>
      <c r="F3589" s="1">
        <f>IF(OR(Paths!$C$332=0,C3589=0),0,12-E3589)</f>
        <v>0</v>
      </c>
      <c r="G3589" s="16">
        <f>IF(NOT(Paths!$C$332=1),0,IF(Paths!$P$332="Complete",E3589/12*(Paths!$J$332*(1+'Operating costs'!$B$51)^MAX(0,C3589-1)+Paths!$K$332*(1+'Operating costs'!$B$53)^MAX(0,C3589-1)),"n.a."))</f>
        <v>0</v>
      </c>
      <c r="H3589" s="16">
        <f>IF(NOT(Paths!$C$332=1),0,IF(Paths!$P$332="Complete",F3589/12*(Paths!$L$332*(1+IF(Paths!$D$332="EV",'Operating costs'!$B$52,'Operating costs'!$B$51))^MAX(0,C3589-1)+Paths!$M$332*(1+'Operating costs'!$B$53)^MAX(0,C3589-1)),"n.a."))</f>
        <v>0</v>
      </c>
      <c r="I3589" s="16">
        <f>IF(NOT(Paths!$C$332=1),0,IF(Paths!$P$332="Complete",IF(IF(Paths!$E$332=0,C3589=0,AND(C3589&gt;0,Paths!$E$332&gt;(C3589-1)*12,Paths!$E$332&lt;=C3589*12)),Paths!$G$332,0),"n.a."))</f>
        <v>0</v>
      </c>
      <c r="J3589" s="16">
        <f>IF(NOT(Paths!$C$332=1),0,IF(Paths!$P$332="Complete",IF(IF(Paths!$E$332=0,C3589=0,AND(C3589&gt;0,Paths!$E$332&gt;(C3589-1)*12,Paths!$E$332&lt;=C3589*12)),Paths!$H$332,0),"n.a."))</f>
        <v>0</v>
      </c>
      <c r="K3589" s="16">
        <f>IF(NOT(Paths!$C$332=1),0,IF(Paths!$P$332="Complete",IF(IF(Paths!$O$332=0,C3589=0,AND(C3589&gt;0,Paths!$O$332&gt;(C3589-1)*12,Paths!$O$332&lt;=C3589*12)),Paths!$N$332,0),"n.a."))</f>
        <v>0</v>
      </c>
      <c r="L3589" s="16">
        <f>IF(NOT(Paths!$C$332=1),0,IF(Paths!$P$332="Complete",IF(C3589=10,Paths!$I$332,0),"n.a."))</f>
        <v>0</v>
      </c>
      <c r="M3589" s="16">
        <f>IF(NOT(Paths!$C$332=1),0,IF(Paths!$P$332="Complete",IF(AND(Paths!$D$332="EV",Paths!$E$332&lt;120,Paths!$E$332+'Operating costs'!$B$65&gt;Paths!$E$332,Paths!$E$332+'Operating costs'!$B$65&lt;=120,IF(Paths!$E$332+'Operating costs'!$B$65=0,C3589=0,AND(C3589&gt;0,Paths!$E$332+'Operating costs'!$B$65&gt;(C3589-1)*12,Paths!$E$332+'Operating costs'!$B$65&lt;=C3589*12))),'Operating costs'!$B$64,0)+IF(AND('Operating costs'!$B$67&gt;0,'Operating costs'!$B$67&lt;=120,OR(Paths!$D$332="ICE",'Operating costs'!$B$67&lt;=Paths!$E$332),IF('Operating costs'!$B$67=0,C3589=0,AND(C3589&gt;0,'Operating costs'!$B$67&gt;(C3589-1)*12,'Operating costs'!$B$67&lt;=C3589*12))),'Operating costs'!$B$66,0),"n.a."))</f>
        <v>0</v>
      </c>
      <c r="N3589" s="16">
        <f>IF(NOT(Paths!$C$332=1),0,IF(Paths!$P$332="Complete",SUM(G3589:I3589)-J3589-K3589-L3589+M3589+IF(C3589=0,Paths!$F$332,0)+IF(IF(Paths!$E$332=0,C3589=0,AND(C3589&gt;0,Paths!$E$332&gt;(C3589-1)*12,Paths!$E$332&lt;=C3589*12)),VLOOKUP(A3589,'Fleet register'!$A$7:$S$106,16,FALSE),0),"n.a."))</f>
        <v>0</v>
      </c>
      <c r="O3589" s="16">
        <f>IF(NOT(Paths!$C$332=1),0,IF(Paths!$P$332="Complete",N3589-IF(C3589=0,Paths!$F$332,0),"n.a."))</f>
        <v>0</v>
      </c>
      <c r="P3589" s="16">
        <f>IF(NOT(Paths!$C$332=1),0,IF(Paths!$P$332="Complete",O3589+L3589,"n.a."))</f>
        <v>0</v>
      </c>
      <c r="Q3589" s="16">
        <f>IF(NOT(Paths!$C$332=1),0,IF(Paths!$P$332="Complete",N3589*(1+'Operating costs'!$B$54)^-C3589,"n.a."))</f>
        <v>0</v>
      </c>
      <c r="R3589" s="16">
        <f>IF(NOT(Paths!$C$332=1),0,IF(Paths!$P$332="Complete",IF(AND(C3589=0,Paths!$E$332=0),I3589-J3589-K3589+VLOOKUP(A3589,'Fleet register'!$A$7:$S$106,15,FALSE)+VLOOKUP(A3589,'Fleet register'!$A$7:$S$106,16,FALSE),0),"n.a."))</f>
        <v>0</v>
      </c>
      <c r="S3589" s="1">
        <f>IF(NOT(Paths!$C$332=1),0,IF(Paths!$P$332="Complete",IF(C3589=0,0,Paths!$S$332*Paths!$R$332),"n.a."))</f>
        <v>0</v>
      </c>
      <c r="T3589" s="1">
        <f>IF(NOT(Paths!$C$332=1),0,IF(Paths!$P$332="Complete",IF(C3589=0,0,VLOOKUP(A3589,'Fleet register'!$A$7:$S$106,9,FALSE)*Paths!$R$332),"n.a."))</f>
        <v>0</v>
      </c>
    </row>
    <row r="3590" spans="1:20" ht="24" customHeight="1">
      <c r="A3590" s="1" t="str">
        <f>Paths!$A$332</f>
        <v>T082</v>
      </c>
      <c r="B3590" s="1">
        <f>Paths!$B$332</f>
        <v>1</v>
      </c>
      <c r="C3590" s="1">
        <v>8</v>
      </c>
      <c r="D3590" s="1">
        <v>332</v>
      </c>
      <c r="E3590" s="1">
        <f>IF(OR(Paths!$C$332=0,C3590=0),0,MAX(0,MIN(C3590*12,Paths!$E$332)-(C3590-1)*12))</f>
        <v>0</v>
      </c>
      <c r="F3590" s="1">
        <f>IF(OR(Paths!$C$332=0,C3590=0),0,12-E3590)</f>
        <v>0</v>
      </c>
      <c r="G3590" s="16">
        <f>IF(NOT(Paths!$C$332=1),0,IF(Paths!$P$332="Complete",E3590/12*(Paths!$J$332*(1+'Operating costs'!$B$51)^MAX(0,C3590-1)+Paths!$K$332*(1+'Operating costs'!$B$53)^MAX(0,C3590-1)),"n.a."))</f>
        <v>0</v>
      </c>
      <c r="H3590" s="16">
        <f>IF(NOT(Paths!$C$332=1),0,IF(Paths!$P$332="Complete",F3590/12*(Paths!$L$332*(1+IF(Paths!$D$332="EV",'Operating costs'!$B$52,'Operating costs'!$B$51))^MAX(0,C3590-1)+Paths!$M$332*(1+'Operating costs'!$B$53)^MAX(0,C3590-1)),"n.a."))</f>
        <v>0</v>
      </c>
      <c r="I3590" s="16">
        <f>IF(NOT(Paths!$C$332=1),0,IF(Paths!$P$332="Complete",IF(IF(Paths!$E$332=0,C3590=0,AND(C3590&gt;0,Paths!$E$332&gt;(C3590-1)*12,Paths!$E$332&lt;=C3590*12)),Paths!$G$332,0),"n.a."))</f>
        <v>0</v>
      </c>
      <c r="J3590" s="16">
        <f>IF(NOT(Paths!$C$332=1),0,IF(Paths!$P$332="Complete",IF(IF(Paths!$E$332=0,C3590=0,AND(C3590&gt;0,Paths!$E$332&gt;(C3590-1)*12,Paths!$E$332&lt;=C3590*12)),Paths!$H$332,0),"n.a."))</f>
        <v>0</v>
      </c>
      <c r="K3590" s="16">
        <f>IF(NOT(Paths!$C$332=1),0,IF(Paths!$P$332="Complete",IF(IF(Paths!$O$332=0,C3590=0,AND(C3590&gt;0,Paths!$O$332&gt;(C3590-1)*12,Paths!$O$332&lt;=C3590*12)),Paths!$N$332,0),"n.a."))</f>
        <v>0</v>
      </c>
      <c r="L3590" s="16">
        <f>IF(NOT(Paths!$C$332=1),0,IF(Paths!$P$332="Complete",IF(C3590=10,Paths!$I$332,0),"n.a."))</f>
        <v>0</v>
      </c>
      <c r="M3590" s="16">
        <f>IF(NOT(Paths!$C$332=1),0,IF(Paths!$P$332="Complete",IF(AND(Paths!$D$332="EV",Paths!$E$332&lt;120,Paths!$E$332+'Operating costs'!$B$65&gt;Paths!$E$332,Paths!$E$332+'Operating costs'!$B$65&lt;=120,IF(Paths!$E$332+'Operating costs'!$B$65=0,C3590=0,AND(C3590&gt;0,Paths!$E$332+'Operating costs'!$B$65&gt;(C3590-1)*12,Paths!$E$332+'Operating costs'!$B$65&lt;=C3590*12))),'Operating costs'!$B$64,0)+IF(AND('Operating costs'!$B$67&gt;0,'Operating costs'!$B$67&lt;=120,OR(Paths!$D$332="ICE",'Operating costs'!$B$67&lt;=Paths!$E$332),IF('Operating costs'!$B$67=0,C3590=0,AND(C3590&gt;0,'Operating costs'!$B$67&gt;(C3590-1)*12,'Operating costs'!$B$67&lt;=C3590*12))),'Operating costs'!$B$66,0),"n.a."))</f>
        <v>0</v>
      </c>
      <c r="N3590" s="16">
        <f>IF(NOT(Paths!$C$332=1),0,IF(Paths!$P$332="Complete",SUM(G3590:I3590)-J3590-K3590-L3590+M3590+IF(C3590=0,Paths!$F$332,0)+IF(IF(Paths!$E$332=0,C3590=0,AND(C3590&gt;0,Paths!$E$332&gt;(C3590-1)*12,Paths!$E$332&lt;=C3590*12)),VLOOKUP(A3590,'Fleet register'!$A$7:$S$106,16,FALSE),0),"n.a."))</f>
        <v>0</v>
      </c>
      <c r="O3590" s="16">
        <f>IF(NOT(Paths!$C$332=1),0,IF(Paths!$P$332="Complete",N3590-IF(C3590=0,Paths!$F$332,0),"n.a."))</f>
        <v>0</v>
      </c>
      <c r="P3590" s="16">
        <f>IF(NOT(Paths!$C$332=1),0,IF(Paths!$P$332="Complete",O3590+L3590,"n.a."))</f>
        <v>0</v>
      </c>
      <c r="Q3590" s="16">
        <f>IF(NOT(Paths!$C$332=1),0,IF(Paths!$P$332="Complete",N3590*(1+'Operating costs'!$B$54)^-C3590,"n.a."))</f>
        <v>0</v>
      </c>
      <c r="R3590" s="16">
        <f>IF(NOT(Paths!$C$332=1),0,IF(Paths!$P$332="Complete",IF(AND(C3590=0,Paths!$E$332=0),I3590-J3590-K3590+VLOOKUP(A3590,'Fleet register'!$A$7:$S$106,15,FALSE)+VLOOKUP(A3590,'Fleet register'!$A$7:$S$106,16,FALSE),0),"n.a."))</f>
        <v>0</v>
      </c>
      <c r="S3590" s="1">
        <f>IF(NOT(Paths!$C$332=1),0,IF(Paths!$P$332="Complete",IF(C3590=0,0,Paths!$S$332*Paths!$R$332),"n.a."))</f>
        <v>0</v>
      </c>
      <c r="T3590" s="1">
        <f>IF(NOT(Paths!$C$332=1),0,IF(Paths!$P$332="Complete",IF(C3590=0,0,VLOOKUP(A3590,'Fleet register'!$A$7:$S$106,9,FALSE)*Paths!$R$332),"n.a."))</f>
        <v>0</v>
      </c>
    </row>
    <row r="3591" spans="1:20" ht="24" customHeight="1">
      <c r="A3591" s="1" t="str">
        <f>Paths!$A$332</f>
        <v>T082</v>
      </c>
      <c r="B3591" s="1">
        <f>Paths!$B$332</f>
        <v>1</v>
      </c>
      <c r="C3591" s="1">
        <v>9</v>
      </c>
      <c r="D3591" s="1">
        <v>332</v>
      </c>
      <c r="E3591" s="1">
        <f>IF(OR(Paths!$C$332=0,C3591=0),0,MAX(0,MIN(C3591*12,Paths!$E$332)-(C3591-1)*12))</f>
        <v>0</v>
      </c>
      <c r="F3591" s="1">
        <f>IF(OR(Paths!$C$332=0,C3591=0),0,12-E3591)</f>
        <v>0</v>
      </c>
      <c r="G3591" s="16">
        <f>IF(NOT(Paths!$C$332=1),0,IF(Paths!$P$332="Complete",E3591/12*(Paths!$J$332*(1+'Operating costs'!$B$51)^MAX(0,C3591-1)+Paths!$K$332*(1+'Operating costs'!$B$53)^MAX(0,C3591-1)),"n.a."))</f>
        <v>0</v>
      </c>
      <c r="H3591" s="16">
        <f>IF(NOT(Paths!$C$332=1),0,IF(Paths!$P$332="Complete",F3591/12*(Paths!$L$332*(1+IF(Paths!$D$332="EV",'Operating costs'!$B$52,'Operating costs'!$B$51))^MAX(0,C3591-1)+Paths!$M$332*(1+'Operating costs'!$B$53)^MAX(0,C3591-1)),"n.a."))</f>
        <v>0</v>
      </c>
      <c r="I3591" s="16">
        <f>IF(NOT(Paths!$C$332=1),0,IF(Paths!$P$332="Complete",IF(IF(Paths!$E$332=0,C3591=0,AND(C3591&gt;0,Paths!$E$332&gt;(C3591-1)*12,Paths!$E$332&lt;=C3591*12)),Paths!$G$332,0),"n.a."))</f>
        <v>0</v>
      </c>
      <c r="J3591" s="16">
        <f>IF(NOT(Paths!$C$332=1),0,IF(Paths!$P$332="Complete",IF(IF(Paths!$E$332=0,C3591=0,AND(C3591&gt;0,Paths!$E$332&gt;(C3591-1)*12,Paths!$E$332&lt;=C3591*12)),Paths!$H$332,0),"n.a."))</f>
        <v>0</v>
      </c>
      <c r="K3591" s="16">
        <f>IF(NOT(Paths!$C$332=1),0,IF(Paths!$P$332="Complete",IF(IF(Paths!$O$332=0,C3591=0,AND(C3591&gt;0,Paths!$O$332&gt;(C3591-1)*12,Paths!$O$332&lt;=C3591*12)),Paths!$N$332,0),"n.a."))</f>
        <v>0</v>
      </c>
      <c r="L3591" s="16">
        <f>IF(NOT(Paths!$C$332=1),0,IF(Paths!$P$332="Complete",IF(C3591=10,Paths!$I$332,0),"n.a."))</f>
        <v>0</v>
      </c>
      <c r="M3591" s="16">
        <f>IF(NOT(Paths!$C$332=1),0,IF(Paths!$P$332="Complete",IF(AND(Paths!$D$332="EV",Paths!$E$332&lt;120,Paths!$E$332+'Operating costs'!$B$65&gt;Paths!$E$332,Paths!$E$332+'Operating costs'!$B$65&lt;=120,IF(Paths!$E$332+'Operating costs'!$B$65=0,C3591=0,AND(C3591&gt;0,Paths!$E$332+'Operating costs'!$B$65&gt;(C3591-1)*12,Paths!$E$332+'Operating costs'!$B$65&lt;=C3591*12))),'Operating costs'!$B$64,0)+IF(AND('Operating costs'!$B$67&gt;0,'Operating costs'!$B$67&lt;=120,OR(Paths!$D$332="ICE",'Operating costs'!$B$67&lt;=Paths!$E$332),IF('Operating costs'!$B$67=0,C3591=0,AND(C3591&gt;0,'Operating costs'!$B$67&gt;(C3591-1)*12,'Operating costs'!$B$67&lt;=C3591*12))),'Operating costs'!$B$66,0),"n.a."))</f>
        <v>0</v>
      </c>
      <c r="N3591" s="16">
        <f>IF(NOT(Paths!$C$332=1),0,IF(Paths!$P$332="Complete",SUM(G3591:I3591)-J3591-K3591-L3591+M3591+IF(C3591=0,Paths!$F$332,0)+IF(IF(Paths!$E$332=0,C3591=0,AND(C3591&gt;0,Paths!$E$332&gt;(C3591-1)*12,Paths!$E$332&lt;=C3591*12)),VLOOKUP(A3591,'Fleet register'!$A$7:$S$106,16,FALSE),0),"n.a."))</f>
        <v>0</v>
      </c>
      <c r="O3591" s="16">
        <f>IF(NOT(Paths!$C$332=1),0,IF(Paths!$P$332="Complete",N3591-IF(C3591=0,Paths!$F$332,0),"n.a."))</f>
        <v>0</v>
      </c>
      <c r="P3591" s="16">
        <f>IF(NOT(Paths!$C$332=1),0,IF(Paths!$P$332="Complete",O3591+L3591,"n.a."))</f>
        <v>0</v>
      </c>
      <c r="Q3591" s="16">
        <f>IF(NOT(Paths!$C$332=1),0,IF(Paths!$P$332="Complete",N3591*(1+'Operating costs'!$B$54)^-C3591,"n.a."))</f>
        <v>0</v>
      </c>
      <c r="R3591" s="16">
        <f>IF(NOT(Paths!$C$332=1),0,IF(Paths!$P$332="Complete",IF(AND(C3591=0,Paths!$E$332=0),I3591-J3591-K3591+VLOOKUP(A3591,'Fleet register'!$A$7:$S$106,15,FALSE)+VLOOKUP(A3591,'Fleet register'!$A$7:$S$106,16,FALSE),0),"n.a."))</f>
        <v>0</v>
      </c>
      <c r="S3591" s="1">
        <f>IF(NOT(Paths!$C$332=1),0,IF(Paths!$P$332="Complete",IF(C3591=0,0,Paths!$S$332*Paths!$R$332),"n.a."))</f>
        <v>0</v>
      </c>
      <c r="T3591" s="1">
        <f>IF(NOT(Paths!$C$332=1),0,IF(Paths!$P$332="Complete",IF(C3591=0,0,VLOOKUP(A3591,'Fleet register'!$A$7:$S$106,9,FALSE)*Paths!$R$332),"n.a."))</f>
        <v>0</v>
      </c>
    </row>
    <row r="3592" spans="1:20" ht="24" customHeight="1">
      <c r="A3592" s="1" t="str">
        <f>Paths!$A$332</f>
        <v>T082</v>
      </c>
      <c r="B3592" s="1">
        <f>Paths!$B$332</f>
        <v>1</v>
      </c>
      <c r="C3592" s="1">
        <v>10</v>
      </c>
      <c r="D3592" s="1">
        <v>332</v>
      </c>
      <c r="E3592" s="1">
        <f>IF(OR(Paths!$C$332=0,C3592=0),0,MAX(0,MIN(C3592*12,Paths!$E$332)-(C3592-1)*12))</f>
        <v>0</v>
      </c>
      <c r="F3592" s="1">
        <f>IF(OR(Paths!$C$332=0,C3592=0),0,12-E3592)</f>
        <v>0</v>
      </c>
      <c r="G3592" s="16">
        <f>IF(NOT(Paths!$C$332=1),0,IF(Paths!$P$332="Complete",E3592/12*(Paths!$J$332*(1+'Operating costs'!$B$51)^MAX(0,C3592-1)+Paths!$K$332*(1+'Operating costs'!$B$53)^MAX(0,C3592-1)),"n.a."))</f>
        <v>0</v>
      </c>
      <c r="H3592" s="16">
        <f>IF(NOT(Paths!$C$332=1),0,IF(Paths!$P$332="Complete",F3592/12*(Paths!$L$332*(1+IF(Paths!$D$332="EV",'Operating costs'!$B$52,'Operating costs'!$B$51))^MAX(0,C3592-1)+Paths!$M$332*(1+'Operating costs'!$B$53)^MAX(0,C3592-1)),"n.a."))</f>
        <v>0</v>
      </c>
      <c r="I3592" s="16">
        <f>IF(NOT(Paths!$C$332=1),0,IF(Paths!$P$332="Complete",IF(IF(Paths!$E$332=0,C3592=0,AND(C3592&gt;0,Paths!$E$332&gt;(C3592-1)*12,Paths!$E$332&lt;=C3592*12)),Paths!$G$332,0),"n.a."))</f>
        <v>0</v>
      </c>
      <c r="J3592" s="16">
        <f>IF(NOT(Paths!$C$332=1),0,IF(Paths!$P$332="Complete",IF(IF(Paths!$E$332=0,C3592=0,AND(C3592&gt;0,Paths!$E$332&gt;(C3592-1)*12,Paths!$E$332&lt;=C3592*12)),Paths!$H$332,0),"n.a."))</f>
        <v>0</v>
      </c>
      <c r="K3592" s="16">
        <f>IF(NOT(Paths!$C$332=1),0,IF(Paths!$P$332="Complete",IF(IF(Paths!$O$332=0,C3592=0,AND(C3592&gt;0,Paths!$O$332&gt;(C3592-1)*12,Paths!$O$332&lt;=C3592*12)),Paths!$N$332,0),"n.a."))</f>
        <v>0</v>
      </c>
      <c r="L3592" s="16">
        <f>IF(NOT(Paths!$C$332=1),0,IF(Paths!$P$332="Complete",IF(C3592=10,Paths!$I$332,0),"n.a."))</f>
        <v>0</v>
      </c>
      <c r="M3592" s="16">
        <f>IF(NOT(Paths!$C$332=1),0,IF(Paths!$P$332="Complete",IF(AND(Paths!$D$332="EV",Paths!$E$332&lt;120,Paths!$E$332+'Operating costs'!$B$65&gt;Paths!$E$332,Paths!$E$332+'Operating costs'!$B$65&lt;=120,IF(Paths!$E$332+'Operating costs'!$B$65=0,C3592=0,AND(C3592&gt;0,Paths!$E$332+'Operating costs'!$B$65&gt;(C3592-1)*12,Paths!$E$332+'Operating costs'!$B$65&lt;=C3592*12))),'Operating costs'!$B$64,0)+IF(AND('Operating costs'!$B$67&gt;0,'Operating costs'!$B$67&lt;=120,OR(Paths!$D$332="ICE",'Operating costs'!$B$67&lt;=Paths!$E$332),IF('Operating costs'!$B$67=0,C3592=0,AND(C3592&gt;0,'Operating costs'!$B$67&gt;(C3592-1)*12,'Operating costs'!$B$67&lt;=C3592*12))),'Operating costs'!$B$66,0),"n.a."))</f>
        <v>0</v>
      </c>
      <c r="N3592" s="16">
        <f>IF(NOT(Paths!$C$332=1),0,IF(Paths!$P$332="Complete",SUM(G3592:I3592)-J3592-K3592-L3592+M3592+IF(C3592=0,Paths!$F$332,0)+IF(IF(Paths!$E$332=0,C3592=0,AND(C3592&gt;0,Paths!$E$332&gt;(C3592-1)*12,Paths!$E$332&lt;=C3592*12)),VLOOKUP(A3592,'Fleet register'!$A$7:$S$106,16,FALSE),0),"n.a."))</f>
        <v>0</v>
      </c>
      <c r="O3592" s="16">
        <f>IF(NOT(Paths!$C$332=1),0,IF(Paths!$P$332="Complete",N3592-IF(C3592=0,Paths!$F$332,0),"n.a."))</f>
        <v>0</v>
      </c>
      <c r="P3592" s="16">
        <f>IF(NOT(Paths!$C$332=1),0,IF(Paths!$P$332="Complete",O3592+L3592,"n.a."))</f>
        <v>0</v>
      </c>
      <c r="Q3592" s="16">
        <f>IF(NOT(Paths!$C$332=1),0,IF(Paths!$P$332="Complete",N3592*(1+'Operating costs'!$B$54)^-C3592,"n.a."))</f>
        <v>0</v>
      </c>
      <c r="R3592" s="16">
        <f>IF(NOT(Paths!$C$332=1),0,IF(Paths!$P$332="Complete",IF(AND(C3592=0,Paths!$E$332=0),I3592-J3592-K3592+VLOOKUP(A3592,'Fleet register'!$A$7:$S$106,15,FALSE)+VLOOKUP(A3592,'Fleet register'!$A$7:$S$106,16,FALSE),0),"n.a."))</f>
        <v>0</v>
      </c>
      <c r="S3592" s="1">
        <f>IF(NOT(Paths!$C$332=1),0,IF(Paths!$P$332="Complete",IF(C3592=0,0,Paths!$S$332*Paths!$R$332),"n.a."))</f>
        <v>0</v>
      </c>
      <c r="T3592" s="1">
        <f>IF(NOT(Paths!$C$332=1),0,IF(Paths!$P$332="Complete",IF(C3592=0,0,VLOOKUP(A3592,'Fleet register'!$A$7:$S$106,9,FALSE)*Paths!$R$332),"n.a."))</f>
        <v>0</v>
      </c>
    </row>
    <row r="3593" spans="1:20" ht="24" customHeight="1">
      <c r="A3593" s="1" t="str">
        <f>Paths!$A$333</f>
        <v>T082</v>
      </c>
      <c r="B3593" s="1">
        <f>Paths!$B$333</f>
        <v>2</v>
      </c>
      <c r="C3593" s="1">
        <v>0</v>
      </c>
      <c r="D3593" s="1">
        <v>333</v>
      </c>
      <c r="E3593" s="1">
        <f>IF(OR(Paths!$C$333=0,C3593=0),0,MAX(0,MIN(C3593*12,Paths!$E$333)-(C3593-1)*12))</f>
        <v>0</v>
      </c>
      <c r="F3593" s="1">
        <f>IF(OR(Paths!$C$333=0,C3593=0),0,12-E3593)</f>
        <v>0</v>
      </c>
      <c r="G3593" s="16">
        <f>IF(NOT(Paths!$C$333=1),0,IF(Paths!$P$333="Complete",E3593/12*(Paths!$J$333*(1+'Operating costs'!$B$51)^MAX(0,C3593-1)+Paths!$K$333*(1+'Operating costs'!$B$53)^MAX(0,C3593-1)),"n.a."))</f>
        <v>0</v>
      </c>
      <c r="H3593" s="16">
        <f>IF(NOT(Paths!$C$333=1),0,IF(Paths!$P$333="Complete",F3593/12*(Paths!$L$333*(1+IF(Paths!$D$333="EV",'Operating costs'!$B$52,'Operating costs'!$B$51))^MAX(0,C3593-1)+Paths!$M$333*(1+'Operating costs'!$B$53)^MAX(0,C3593-1)),"n.a."))</f>
        <v>0</v>
      </c>
      <c r="I3593" s="16">
        <f>IF(NOT(Paths!$C$333=1),0,IF(Paths!$P$333="Complete",IF(IF(Paths!$E$333=0,C3593=0,AND(C3593&gt;0,Paths!$E$333&gt;(C3593-1)*12,Paths!$E$333&lt;=C3593*12)),Paths!$G$333,0),"n.a."))</f>
        <v>0</v>
      </c>
      <c r="J3593" s="16">
        <f>IF(NOT(Paths!$C$333=1),0,IF(Paths!$P$333="Complete",IF(IF(Paths!$E$333=0,C3593=0,AND(C3593&gt;0,Paths!$E$333&gt;(C3593-1)*12,Paths!$E$333&lt;=C3593*12)),Paths!$H$333,0),"n.a."))</f>
        <v>0</v>
      </c>
      <c r="K3593" s="16">
        <f>IF(NOT(Paths!$C$333=1),0,IF(Paths!$P$333="Complete",IF(IF(Paths!$O$333=0,C3593=0,AND(C3593&gt;0,Paths!$O$333&gt;(C3593-1)*12,Paths!$O$333&lt;=C3593*12)),Paths!$N$333,0),"n.a."))</f>
        <v>0</v>
      </c>
      <c r="L3593" s="16">
        <f>IF(NOT(Paths!$C$333=1),0,IF(Paths!$P$333="Complete",IF(C3593=10,Paths!$I$333,0),"n.a."))</f>
        <v>0</v>
      </c>
      <c r="M3593" s="16">
        <f>IF(NOT(Paths!$C$333=1),0,IF(Paths!$P$333="Complete",IF(AND(Paths!$D$333="EV",Paths!$E$333&lt;120,Paths!$E$333+'Operating costs'!$B$65&gt;Paths!$E$333,Paths!$E$333+'Operating costs'!$B$65&lt;=120,IF(Paths!$E$333+'Operating costs'!$B$65=0,C3593=0,AND(C3593&gt;0,Paths!$E$333+'Operating costs'!$B$65&gt;(C3593-1)*12,Paths!$E$333+'Operating costs'!$B$65&lt;=C3593*12))),'Operating costs'!$B$64,0)+IF(AND('Operating costs'!$B$67&gt;0,'Operating costs'!$B$67&lt;=120,OR(Paths!$D$333="ICE",'Operating costs'!$B$67&lt;=Paths!$E$333),IF('Operating costs'!$B$67=0,C3593=0,AND(C3593&gt;0,'Operating costs'!$B$67&gt;(C3593-1)*12,'Operating costs'!$B$67&lt;=C3593*12))),'Operating costs'!$B$66,0),"n.a."))</f>
        <v>0</v>
      </c>
      <c r="N3593" s="16">
        <f>IF(NOT(Paths!$C$333=1),0,IF(Paths!$P$333="Complete",SUM(G3593:I3593)-J3593-K3593-L3593+M3593+IF(C3593=0,Paths!$F$333,0)+IF(IF(Paths!$E$333=0,C3593=0,AND(C3593&gt;0,Paths!$E$333&gt;(C3593-1)*12,Paths!$E$333&lt;=C3593*12)),VLOOKUP(A3593,'Fleet register'!$A$7:$S$106,16,FALSE),0),"n.a."))</f>
        <v>0</v>
      </c>
      <c r="O3593" s="16">
        <f>IF(NOT(Paths!$C$333=1),0,IF(Paths!$P$333="Complete",N3593-IF(C3593=0,Paths!$F$333,0),"n.a."))</f>
        <v>0</v>
      </c>
      <c r="P3593" s="16">
        <f>IF(NOT(Paths!$C$333=1),0,IF(Paths!$P$333="Complete",O3593+L3593,"n.a."))</f>
        <v>0</v>
      </c>
      <c r="Q3593" s="16">
        <f>IF(NOT(Paths!$C$333=1),0,IF(Paths!$P$333="Complete",N3593*(1+'Operating costs'!$B$54)^-C3593,"n.a."))</f>
        <v>0</v>
      </c>
      <c r="R3593" s="16">
        <f>IF(NOT(Paths!$C$333=1),0,IF(Paths!$P$333="Complete",IF(AND(C3593=0,Paths!$E$333=0),I3593-J3593-K3593+VLOOKUP(A3593,'Fleet register'!$A$7:$S$106,15,FALSE)+VLOOKUP(A3593,'Fleet register'!$A$7:$S$106,16,FALSE),0),"n.a."))</f>
        <v>0</v>
      </c>
      <c r="S3593" s="1">
        <f>IF(NOT(Paths!$C$333=1),0,IF(Paths!$P$333="Complete",IF(C3593=0,0,Paths!$S$333*Paths!$R$333),"n.a."))</f>
        <v>0</v>
      </c>
      <c r="T3593" s="1">
        <f>IF(NOT(Paths!$C$333=1),0,IF(Paths!$P$333="Complete",IF(C3593=0,0,VLOOKUP(A3593,'Fleet register'!$A$7:$S$106,9,FALSE)*Paths!$R$333),"n.a."))</f>
        <v>0</v>
      </c>
    </row>
    <row r="3594" spans="1:20" ht="24" customHeight="1">
      <c r="A3594" s="1" t="str">
        <f>Paths!$A$333</f>
        <v>T082</v>
      </c>
      <c r="B3594" s="1">
        <f>Paths!$B$333</f>
        <v>2</v>
      </c>
      <c r="C3594" s="1">
        <v>1</v>
      </c>
      <c r="D3594" s="1">
        <v>333</v>
      </c>
      <c r="E3594" s="1">
        <f>IF(OR(Paths!$C$333=0,C3594=0),0,MAX(0,MIN(C3594*12,Paths!$E$333)-(C3594-1)*12))</f>
        <v>0</v>
      </c>
      <c r="F3594" s="1">
        <f>IF(OR(Paths!$C$333=0,C3594=0),0,12-E3594)</f>
        <v>0</v>
      </c>
      <c r="G3594" s="16">
        <f>IF(NOT(Paths!$C$333=1),0,IF(Paths!$P$333="Complete",E3594/12*(Paths!$J$333*(1+'Operating costs'!$B$51)^MAX(0,C3594-1)+Paths!$K$333*(1+'Operating costs'!$B$53)^MAX(0,C3594-1)),"n.a."))</f>
        <v>0</v>
      </c>
      <c r="H3594" s="16">
        <f>IF(NOT(Paths!$C$333=1),0,IF(Paths!$P$333="Complete",F3594/12*(Paths!$L$333*(1+IF(Paths!$D$333="EV",'Operating costs'!$B$52,'Operating costs'!$B$51))^MAX(0,C3594-1)+Paths!$M$333*(1+'Operating costs'!$B$53)^MAX(0,C3594-1)),"n.a."))</f>
        <v>0</v>
      </c>
      <c r="I3594" s="16">
        <f>IF(NOT(Paths!$C$333=1),0,IF(Paths!$P$333="Complete",IF(IF(Paths!$E$333=0,C3594=0,AND(C3594&gt;0,Paths!$E$333&gt;(C3594-1)*12,Paths!$E$333&lt;=C3594*12)),Paths!$G$333,0),"n.a."))</f>
        <v>0</v>
      </c>
      <c r="J3594" s="16">
        <f>IF(NOT(Paths!$C$333=1),0,IF(Paths!$P$333="Complete",IF(IF(Paths!$E$333=0,C3594=0,AND(C3594&gt;0,Paths!$E$333&gt;(C3594-1)*12,Paths!$E$333&lt;=C3594*12)),Paths!$H$333,0),"n.a."))</f>
        <v>0</v>
      </c>
      <c r="K3594" s="16">
        <f>IF(NOT(Paths!$C$333=1),0,IF(Paths!$P$333="Complete",IF(IF(Paths!$O$333=0,C3594=0,AND(C3594&gt;0,Paths!$O$333&gt;(C3594-1)*12,Paths!$O$333&lt;=C3594*12)),Paths!$N$333,0),"n.a."))</f>
        <v>0</v>
      </c>
      <c r="L3594" s="16">
        <f>IF(NOT(Paths!$C$333=1),0,IF(Paths!$P$333="Complete",IF(C3594=10,Paths!$I$333,0),"n.a."))</f>
        <v>0</v>
      </c>
      <c r="M3594" s="16">
        <f>IF(NOT(Paths!$C$333=1),0,IF(Paths!$P$333="Complete",IF(AND(Paths!$D$333="EV",Paths!$E$333&lt;120,Paths!$E$333+'Operating costs'!$B$65&gt;Paths!$E$333,Paths!$E$333+'Operating costs'!$B$65&lt;=120,IF(Paths!$E$333+'Operating costs'!$B$65=0,C3594=0,AND(C3594&gt;0,Paths!$E$333+'Operating costs'!$B$65&gt;(C3594-1)*12,Paths!$E$333+'Operating costs'!$B$65&lt;=C3594*12))),'Operating costs'!$B$64,0)+IF(AND('Operating costs'!$B$67&gt;0,'Operating costs'!$B$67&lt;=120,OR(Paths!$D$333="ICE",'Operating costs'!$B$67&lt;=Paths!$E$333),IF('Operating costs'!$B$67=0,C3594=0,AND(C3594&gt;0,'Operating costs'!$B$67&gt;(C3594-1)*12,'Operating costs'!$B$67&lt;=C3594*12))),'Operating costs'!$B$66,0),"n.a."))</f>
        <v>0</v>
      </c>
      <c r="N3594" s="16">
        <f>IF(NOT(Paths!$C$333=1),0,IF(Paths!$P$333="Complete",SUM(G3594:I3594)-J3594-K3594-L3594+M3594+IF(C3594=0,Paths!$F$333,0)+IF(IF(Paths!$E$333=0,C3594=0,AND(C3594&gt;0,Paths!$E$333&gt;(C3594-1)*12,Paths!$E$333&lt;=C3594*12)),VLOOKUP(A3594,'Fleet register'!$A$7:$S$106,16,FALSE),0),"n.a."))</f>
        <v>0</v>
      </c>
      <c r="O3594" s="16">
        <f>IF(NOT(Paths!$C$333=1),0,IF(Paths!$P$333="Complete",N3594-IF(C3594=0,Paths!$F$333,0),"n.a."))</f>
        <v>0</v>
      </c>
      <c r="P3594" s="16">
        <f>IF(NOT(Paths!$C$333=1),0,IF(Paths!$P$333="Complete",O3594+L3594,"n.a."))</f>
        <v>0</v>
      </c>
      <c r="Q3594" s="16">
        <f>IF(NOT(Paths!$C$333=1),0,IF(Paths!$P$333="Complete",N3594*(1+'Operating costs'!$B$54)^-C3594,"n.a."))</f>
        <v>0</v>
      </c>
      <c r="R3594" s="16">
        <f>IF(NOT(Paths!$C$333=1),0,IF(Paths!$P$333="Complete",IF(AND(C3594=0,Paths!$E$333=0),I3594-J3594-K3594+VLOOKUP(A3594,'Fleet register'!$A$7:$S$106,15,FALSE)+VLOOKUP(A3594,'Fleet register'!$A$7:$S$106,16,FALSE),0),"n.a."))</f>
        <v>0</v>
      </c>
      <c r="S3594" s="1">
        <f>IF(NOT(Paths!$C$333=1),0,IF(Paths!$P$333="Complete",IF(C3594=0,0,Paths!$S$333*Paths!$R$333),"n.a."))</f>
        <v>0</v>
      </c>
      <c r="T3594" s="1">
        <f>IF(NOT(Paths!$C$333=1),0,IF(Paths!$P$333="Complete",IF(C3594=0,0,VLOOKUP(A3594,'Fleet register'!$A$7:$S$106,9,FALSE)*Paths!$R$333),"n.a."))</f>
        <v>0</v>
      </c>
    </row>
    <row r="3595" spans="1:20" ht="24" customHeight="1">
      <c r="A3595" s="1" t="str">
        <f>Paths!$A$333</f>
        <v>T082</v>
      </c>
      <c r="B3595" s="1">
        <f>Paths!$B$333</f>
        <v>2</v>
      </c>
      <c r="C3595" s="1">
        <v>2</v>
      </c>
      <c r="D3595" s="1">
        <v>333</v>
      </c>
      <c r="E3595" s="1">
        <f>IF(OR(Paths!$C$333=0,C3595=0),0,MAX(0,MIN(C3595*12,Paths!$E$333)-(C3595-1)*12))</f>
        <v>0</v>
      </c>
      <c r="F3595" s="1">
        <f>IF(OR(Paths!$C$333=0,C3595=0),0,12-E3595)</f>
        <v>0</v>
      </c>
      <c r="G3595" s="16">
        <f>IF(NOT(Paths!$C$333=1),0,IF(Paths!$P$333="Complete",E3595/12*(Paths!$J$333*(1+'Operating costs'!$B$51)^MAX(0,C3595-1)+Paths!$K$333*(1+'Operating costs'!$B$53)^MAX(0,C3595-1)),"n.a."))</f>
        <v>0</v>
      </c>
      <c r="H3595" s="16">
        <f>IF(NOT(Paths!$C$333=1),0,IF(Paths!$P$333="Complete",F3595/12*(Paths!$L$333*(1+IF(Paths!$D$333="EV",'Operating costs'!$B$52,'Operating costs'!$B$51))^MAX(0,C3595-1)+Paths!$M$333*(1+'Operating costs'!$B$53)^MAX(0,C3595-1)),"n.a."))</f>
        <v>0</v>
      </c>
      <c r="I3595" s="16">
        <f>IF(NOT(Paths!$C$333=1),0,IF(Paths!$P$333="Complete",IF(IF(Paths!$E$333=0,C3595=0,AND(C3595&gt;0,Paths!$E$333&gt;(C3595-1)*12,Paths!$E$333&lt;=C3595*12)),Paths!$G$333,0),"n.a."))</f>
        <v>0</v>
      </c>
      <c r="J3595" s="16">
        <f>IF(NOT(Paths!$C$333=1),0,IF(Paths!$P$333="Complete",IF(IF(Paths!$E$333=0,C3595=0,AND(C3595&gt;0,Paths!$E$333&gt;(C3595-1)*12,Paths!$E$333&lt;=C3595*12)),Paths!$H$333,0),"n.a."))</f>
        <v>0</v>
      </c>
      <c r="K3595" s="16">
        <f>IF(NOT(Paths!$C$333=1),0,IF(Paths!$P$333="Complete",IF(IF(Paths!$O$333=0,C3595=0,AND(C3595&gt;0,Paths!$O$333&gt;(C3595-1)*12,Paths!$O$333&lt;=C3595*12)),Paths!$N$333,0),"n.a."))</f>
        <v>0</v>
      </c>
      <c r="L3595" s="16">
        <f>IF(NOT(Paths!$C$333=1),0,IF(Paths!$P$333="Complete",IF(C3595=10,Paths!$I$333,0),"n.a."))</f>
        <v>0</v>
      </c>
      <c r="M3595" s="16">
        <f>IF(NOT(Paths!$C$333=1),0,IF(Paths!$P$333="Complete",IF(AND(Paths!$D$333="EV",Paths!$E$333&lt;120,Paths!$E$333+'Operating costs'!$B$65&gt;Paths!$E$333,Paths!$E$333+'Operating costs'!$B$65&lt;=120,IF(Paths!$E$333+'Operating costs'!$B$65=0,C3595=0,AND(C3595&gt;0,Paths!$E$333+'Operating costs'!$B$65&gt;(C3595-1)*12,Paths!$E$333+'Operating costs'!$B$65&lt;=C3595*12))),'Operating costs'!$B$64,0)+IF(AND('Operating costs'!$B$67&gt;0,'Operating costs'!$B$67&lt;=120,OR(Paths!$D$333="ICE",'Operating costs'!$B$67&lt;=Paths!$E$333),IF('Operating costs'!$B$67=0,C3595=0,AND(C3595&gt;0,'Operating costs'!$B$67&gt;(C3595-1)*12,'Operating costs'!$B$67&lt;=C3595*12))),'Operating costs'!$B$66,0),"n.a."))</f>
        <v>0</v>
      </c>
      <c r="N3595" s="16">
        <f>IF(NOT(Paths!$C$333=1),0,IF(Paths!$P$333="Complete",SUM(G3595:I3595)-J3595-K3595-L3595+M3595+IF(C3595=0,Paths!$F$333,0)+IF(IF(Paths!$E$333=0,C3595=0,AND(C3595&gt;0,Paths!$E$333&gt;(C3595-1)*12,Paths!$E$333&lt;=C3595*12)),VLOOKUP(A3595,'Fleet register'!$A$7:$S$106,16,FALSE),0),"n.a."))</f>
        <v>0</v>
      </c>
      <c r="O3595" s="16">
        <f>IF(NOT(Paths!$C$333=1),0,IF(Paths!$P$333="Complete",N3595-IF(C3595=0,Paths!$F$333,0),"n.a."))</f>
        <v>0</v>
      </c>
      <c r="P3595" s="16">
        <f>IF(NOT(Paths!$C$333=1),0,IF(Paths!$P$333="Complete",O3595+L3595,"n.a."))</f>
        <v>0</v>
      </c>
      <c r="Q3595" s="16">
        <f>IF(NOT(Paths!$C$333=1),0,IF(Paths!$P$333="Complete",N3595*(1+'Operating costs'!$B$54)^-C3595,"n.a."))</f>
        <v>0</v>
      </c>
      <c r="R3595" s="16">
        <f>IF(NOT(Paths!$C$333=1),0,IF(Paths!$P$333="Complete",IF(AND(C3595=0,Paths!$E$333=0),I3595-J3595-K3595+VLOOKUP(A3595,'Fleet register'!$A$7:$S$106,15,FALSE)+VLOOKUP(A3595,'Fleet register'!$A$7:$S$106,16,FALSE),0),"n.a."))</f>
        <v>0</v>
      </c>
      <c r="S3595" s="1">
        <f>IF(NOT(Paths!$C$333=1),0,IF(Paths!$P$333="Complete",IF(C3595=0,0,Paths!$S$333*Paths!$R$333),"n.a."))</f>
        <v>0</v>
      </c>
      <c r="T3595" s="1">
        <f>IF(NOT(Paths!$C$333=1),0,IF(Paths!$P$333="Complete",IF(C3595=0,0,VLOOKUP(A3595,'Fleet register'!$A$7:$S$106,9,FALSE)*Paths!$R$333),"n.a."))</f>
        <v>0</v>
      </c>
    </row>
    <row r="3596" spans="1:20" ht="24" customHeight="1">
      <c r="A3596" s="1" t="str">
        <f>Paths!$A$333</f>
        <v>T082</v>
      </c>
      <c r="B3596" s="1">
        <f>Paths!$B$333</f>
        <v>2</v>
      </c>
      <c r="C3596" s="1">
        <v>3</v>
      </c>
      <c r="D3596" s="1">
        <v>333</v>
      </c>
      <c r="E3596" s="1">
        <f>IF(OR(Paths!$C$333=0,C3596=0),0,MAX(0,MIN(C3596*12,Paths!$E$333)-(C3596-1)*12))</f>
        <v>0</v>
      </c>
      <c r="F3596" s="1">
        <f>IF(OR(Paths!$C$333=0,C3596=0),0,12-E3596)</f>
        <v>0</v>
      </c>
      <c r="G3596" s="16">
        <f>IF(NOT(Paths!$C$333=1),0,IF(Paths!$P$333="Complete",E3596/12*(Paths!$J$333*(1+'Operating costs'!$B$51)^MAX(0,C3596-1)+Paths!$K$333*(1+'Operating costs'!$B$53)^MAX(0,C3596-1)),"n.a."))</f>
        <v>0</v>
      </c>
      <c r="H3596" s="16">
        <f>IF(NOT(Paths!$C$333=1),0,IF(Paths!$P$333="Complete",F3596/12*(Paths!$L$333*(1+IF(Paths!$D$333="EV",'Operating costs'!$B$52,'Operating costs'!$B$51))^MAX(0,C3596-1)+Paths!$M$333*(1+'Operating costs'!$B$53)^MAX(0,C3596-1)),"n.a."))</f>
        <v>0</v>
      </c>
      <c r="I3596" s="16">
        <f>IF(NOT(Paths!$C$333=1),0,IF(Paths!$P$333="Complete",IF(IF(Paths!$E$333=0,C3596=0,AND(C3596&gt;0,Paths!$E$333&gt;(C3596-1)*12,Paths!$E$333&lt;=C3596*12)),Paths!$G$333,0),"n.a."))</f>
        <v>0</v>
      </c>
      <c r="J3596" s="16">
        <f>IF(NOT(Paths!$C$333=1),0,IF(Paths!$P$333="Complete",IF(IF(Paths!$E$333=0,C3596=0,AND(C3596&gt;0,Paths!$E$333&gt;(C3596-1)*12,Paths!$E$333&lt;=C3596*12)),Paths!$H$333,0),"n.a."))</f>
        <v>0</v>
      </c>
      <c r="K3596" s="16">
        <f>IF(NOT(Paths!$C$333=1),0,IF(Paths!$P$333="Complete",IF(IF(Paths!$O$333=0,C3596=0,AND(C3596&gt;0,Paths!$O$333&gt;(C3596-1)*12,Paths!$O$333&lt;=C3596*12)),Paths!$N$333,0),"n.a."))</f>
        <v>0</v>
      </c>
      <c r="L3596" s="16">
        <f>IF(NOT(Paths!$C$333=1),0,IF(Paths!$P$333="Complete",IF(C3596=10,Paths!$I$333,0),"n.a."))</f>
        <v>0</v>
      </c>
      <c r="M3596" s="16">
        <f>IF(NOT(Paths!$C$333=1),0,IF(Paths!$P$333="Complete",IF(AND(Paths!$D$333="EV",Paths!$E$333&lt;120,Paths!$E$333+'Operating costs'!$B$65&gt;Paths!$E$333,Paths!$E$333+'Operating costs'!$B$65&lt;=120,IF(Paths!$E$333+'Operating costs'!$B$65=0,C3596=0,AND(C3596&gt;0,Paths!$E$333+'Operating costs'!$B$65&gt;(C3596-1)*12,Paths!$E$333+'Operating costs'!$B$65&lt;=C3596*12))),'Operating costs'!$B$64,0)+IF(AND('Operating costs'!$B$67&gt;0,'Operating costs'!$B$67&lt;=120,OR(Paths!$D$333="ICE",'Operating costs'!$B$67&lt;=Paths!$E$333),IF('Operating costs'!$B$67=0,C3596=0,AND(C3596&gt;0,'Operating costs'!$B$67&gt;(C3596-1)*12,'Operating costs'!$B$67&lt;=C3596*12))),'Operating costs'!$B$66,0),"n.a."))</f>
        <v>0</v>
      </c>
      <c r="N3596" s="16">
        <f>IF(NOT(Paths!$C$333=1),0,IF(Paths!$P$333="Complete",SUM(G3596:I3596)-J3596-K3596-L3596+M3596+IF(C3596=0,Paths!$F$333,0)+IF(IF(Paths!$E$333=0,C3596=0,AND(C3596&gt;0,Paths!$E$333&gt;(C3596-1)*12,Paths!$E$333&lt;=C3596*12)),VLOOKUP(A3596,'Fleet register'!$A$7:$S$106,16,FALSE),0),"n.a."))</f>
        <v>0</v>
      </c>
      <c r="O3596" s="16">
        <f>IF(NOT(Paths!$C$333=1),0,IF(Paths!$P$333="Complete",N3596-IF(C3596=0,Paths!$F$333,0),"n.a."))</f>
        <v>0</v>
      </c>
      <c r="P3596" s="16">
        <f>IF(NOT(Paths!$C$333=1),0,IF(Paths!$P$333="Complete",O3596+L3596,"n.a."))</f>
        <v>0</v>
      </c>
      <c r="Q3596" s="16">
        <f>IF(NOT(Paths!$C$333=1),0,IF(Paths!$P$333="Complete",N3596*(1+'Operating costs'!$B$54)^-C3596,"n.a."))</f>
        <v>0</v>
      </c>
      <c r="R3596" s="16">
        <f>IF(NOT(Paths!$C$333=1),0,IF(Paths!$P$333="Complete",IF(AND(C3596=0,Paths!$E$333=0),I3596-J3596-K3596+VLOOKUP(A3596,'Fleet register'!$A$7:$S$106,15,FALSE)+VLOOKUP(A3596,'Fleet register'!$A$7:$S$106,16,FALSE),0),"n.a."))</f>
        <v>0</v>
      </c>
      <c r="S3596" s="1">
        <f>IF(NOT(Paths!$C$333=1),0,IF(Paths!$P$333="Complete",IF(C3596=0,0,Paths!$S$333*Paths!$R$333),"n.a."))</f>
        <v>0</v>
      </c>
      <c r="T3596" s="1">
        <f>IF(NOT(Paths!$C$333=1),0,IF(Paths!$P$333="Complete",IF(C3596=0,0,VLOOKUP(A3596,'Fleet register'!$A$7:$S$106,9,FALSE)*Paths!$R$333),"n.a."))</f>
        <v>0</v>
      </c>
    </row>
    <row r="3597" spans="1:20" ht="24" customHeight="1">
      <c r="A3597" s="1" t="str">
        <f>Paths!$A$333</f>
        <v>T082</v>
      </c>
      <c r="B3597" s="1">
        <f>Paths!$B$333</f>
        <v>2</v>
      </c>
      <c r="C3597" s="1">
        <v>4</v>
      </c>
      <c r="D3597" s="1">
        <v>333</v>
      </c>
      <c r="E3597" s="1">
        <f>IF(OR(Paths!$C$333=0,C3597=0),0,MAX(0,MIN(C3597*12,Paths!$E$333)-(C3597-1)*12))</f>
        <v>0</v>
      </c>
      <c r="F3597" s="1">
        <f>IF(OR(Paths!$C$333=0,C3597=0),0,12-E3597)</f>
        <v>0</v>
      </c>
      <c r="G3597" s="16">
        <f>IF(NOT(Paths!$C$333=1),0,IF(Paths!$P$333="Complete",E3597/12*(Paths!$J$333*(1+'Operating costs'!$B$51)^MAX(0,C3597-1)+Paths!$K$333*(1+'Operating costs'!$B$53)^MAX(0,C3597-1)),"n.a."))</f>
        <v>0</v>
      </c>
      <c r="H3597" s="16">
        <f>IF(NOT(Paths!$C$333=1),0,IF(Paths!$P$333="Complete",F3597/12*(Paths!$L$333*(1+IF(Paths!$D$333="EV",'Operating costs'!$B$52,'Operating costs'!$B$51))^MAX(0,C3597-1)+Paths!$M$333*(1+'Operating costs'!$B$53)^MAX(0,C3597-1)),"n.a."))</f>
        <v>0</v>
      </c>
      <c r="I3597" s="16">
        <f>IF(NOT(Paths!$C$333=1),0,IF(Paths!$P$333="Complete",IF(IF(Paths!$E$333=0,C3597=0,AND(C3597&gt;0,Paths!$E$333&gt;(C3597-1)*12,Paths!$E$333&lt;=C3597*12)),Paths!$G$333,0),"n.a."))</f>
        <v>0</v>
      </c>
      <c r="J3597" s="16">
        <f>IF(NOT(Paths!$C$333=1),0,IF(Paths!$P$333="Complete",IF(IF(Paths!$E$333=0,C3597=0,AND(C3597&gt;0,Paths!$E$333&gt;(C3597-1)*12,Paths!$E$333&lt;=C3597*12)),Paths!$H$333,0),"n.a."))</f>
        <v>0</v>
      </c>
      <c r="K3597" s="16">
        <f>IF(NOT(Paths!$C$333=1),0,IF(Paths!$P$333="Complete",IF(IF(Paths!$O$333=0,C3597=0,AND(C3597&gt;0,Paths!$O$333&gt;(C3597-1)*12,Paths!$O$333&lt;=C3597*12)),Paths!$N$333,0),"n.a."))</f>
        <v>0</v>
      </c>
      <c r="L3597" s="16">
        <f>IF(NOT(Paths!$C$333=1),0,IF(Paths!$P$333="Complete",IF(C3597=10,Paths!$I$333,0),"n.a."))</f>
        <v>0</v>
      </c>
      <c r="M3597" s="16">
        <f>IF(NOT(Paths!$C$333=1),0,IF(Paths!$P$333="Complete",IF(AND(Paths!$D$333="EV",Paths!$E$333&lt;120,Paths!$E$333+'Operating costs'!$B$65&gt;Paths!$E$333,Paths!$E$333+'Operating costs'!$B$65&lt;=120,IF(Paths!$E$333+'Operating costs'!$B$65=0,C3597=0,AND(C3597&gt;0,Paths!$E$333+'Operating costs'!$B$65&gt;(C3597-1)*12,Paths!$E$333+'Operating costs'!$B$65&lt;=C3597*12))),'Operating costs'!$B$64,0)+IF(AND('Operating costs'!$B$67&gt;0,'Operating costs'!$B$67&lt;=120,OR(Paths!$D$333="ICE",'Operating costs'!$B$67&lt;=Paths!$E$333),IF('Operating costs'!$B$67=0,C3597=0,AND(C3597&gt;0,'Operating costs'!$B$67&gt;(C3597-1)*12,'Operating costs'!$B$67&lt;=C3597*12))),'Operating costs'!$B$66,0),"n.a."))</f>
        <v>0</v>
      </c>
      <c r="N3597" s="16">
        <f>IF(NOT(Paths!$C$333=1),0,IF(Paths!$P$333="Complete",SUM(G3597:I3597)-J3597-K3597-L3597+M3597+IF(C3597=0,Paths!$F$333,0)+IF(IF(Paths!$E$333=0,C3597=0,AND(C3597&gt;0,Paths!$E$333&gt;(C3597-1)*12,Paths!$E$333&lt;=C3597*12)),VLOOKUP(A3597,'Fleet register'!$A$7:$S$106,16,FALSE),0),"n.a."))</f>
        <v>0</v>
      </c>
      <c r="O3597" s="16">
        <f>IF(NOT(Paths!$C$333=1),0,IF(Paths!$P$333="Complete",N3597-IF(C3597=0,Paths!$F$333,0),"n.a."))</f>
        <v>0</v>
      </c>
      <c r="P3597" s="16">
        <f>IF(NOT(Paths!$C$333=1),0,IF(Paths!$P$333="Complete",O3597+L3597,"n.a."))</f>
        <v>0</v>
      </c>
      <c r="Q3597" s="16">
        <f>IF(NOT(Paths!$C$333=1),0,IF(Paths!$P$333="Complete",N3597*(1+'Operating costs'!$B$54)^-C3597,"n.a."))</f>
        <v>0</v>
      </c>
      <c r="R3597" s="16">
        <f>IF(NOT(Paths!$C$333=1),0,IF(Paths!$P$333="Complete",IF(AND(C3597=0,Paths!$E$333=0),I3597-J3597-K3597+VLOOKUP(A3597,'Fleet register'!$A$7:$S$106,15,FALSE)+VLOOKUP(A3597,'Fleet register'!$A$7:$S$106,16,FALSE),0),"n.a."))</f>
        <v>0</v>
      </c>
      <c r="S3597" s="1">
        <f>IF(NOT(Paths!$C$333=1),0,IF(Paths!$P$333="Complete",IF(C3597=0,0,Paths!$S$333*Paths!$R$333),"n.a."))</f>
        <v>0</v>
      </c>
      <c r="T3597" s="1">
        <f>IF(NOT(Paths!$C$333=1),0,IF(Paths!$P$333="Complete",IF(C3597=0,0,VLOOKUP(A3597,'Fleet register'!$A$7:$S$106,9,FALSE)*Paths!$R$333),"n.a."))</f>
        <v>0</v>
      </c>
    </row>
    <row r="3598" spans="1:20" ht="24" customHeight="1">
      <c r="A3598" s="1" t="str">
        <f>Paths!$A$333</f>
        <v>T082</v>
      </c>
      <c r="B3598" s="1">
        <f>Paths!$B$333</f>
        <v>2</v>
      </c>
      <c r="C3598" s="1">
        <v>5</v>
      </c>
      <c r="D3598" s="1">
        <v>333</v>
      </c>
      <c r="E3598" s="1">
        <f>IF(OR(Paths!$C$333=0,C3598=0),0,MAX(0,MIN(C3598*12,Paths!$E$333)-(C3598-1)*12))</f>
        <v>0</v>
      </c>
      <c r="F3598" s="1">
        <f>IF(OR(Paths!$C$333=0,C3598=0),0,12-E3598)</f>
        <v>0</v>
      </c>
      <c r="G3598" s="16">
        <f>IF(NOT(Paths!$C$333=1),0,IF(Paths!$P$333="Complete",E3598/12*(Paths!$J$333*(1+'Operating costs'!$B$51)^MAX(0,C3598-1)+Paths!$K$333*(1+'Operating costs'!$B$53)^MAX(0,C3598-1)),"n.a."))</f>
        <v>0</v>
      </c>
      <c r="H3598" s="16">
        <f>IF(NOT(Paths!$C$333=1),0,IF(Paths!$P$333="Complete",F3598/12*(Paths!$L$333*(1+IF(Paths!$D$333="EV",'Operating costs'!$B$52,'Operating costs'!$B$51))^MAX(0,C3598-1)+Paths!$M$333*(1+'Operating costs'!$B$53)^MAX(0,C3598-1)),"n.a."))</f>
        <v>0</v>
      </c>
      <c r="I3598" s="16">
        <f>IF(NOT(Paths!$C$333=1),0,IF(Paths!$P$333="Complete",IF(IF(Paths!$E$333=0,C3598=0,AND(C3598&gt;0,Paths!$E$333&gt;(C3598-1)*12,Paths!$E$333&lt;=C3598*12)),Paths!$G$333,0),"n.a."))</f>
        <v>0</v>
      </c>
      <c r="J3598" s="16">
        <f>IF(NOT(Paths!$C$333=1),0,IF(Paths!$P$333="Complete",IF(IF(Paths!$E$333=0,C3598=0,AND(C3598&gt;0,Paths!$E$333&gt;(C3598-1)*12,Paths!$E$333&lt;=C3598*12)),Paths!$H$333,0),"n.a."))</f>
        <v>0</v>
      </c>
      <c r="K3598" s="16">
        <f>IF(NOT(Paths!$C$333=1),0,IF(Paths!$P$333="Complete",IF(IF(Paths!$O$333=0,C3598=0,AND(C3598&gt;0,Paths!$O$333&gt;(C3598-1)*12,Paths!$O$333&lt;=C3598*12)),Paths!$N$333,0),"n.a."))</f>
        <v>0</v>
      </c>
      <c r="L3598" s="16">
        <f>IF(NOT(Paths!$C$333=1),0,IF(Paths!$P$333="Complete",IF(C3598=10,Paths!$I$333,0),"n.a."))</f>
        <v>0</v>
      </c>
      <c r="M3598" s="16">
        <f>IF(NOT(Paths!$C$333=1),0,IF(Paths!$P$333="Complete",IF(AND(Paths!$D$333="EV",Paths!$E$333&lt;120,Paths!$E$333+'Operating costs'!$B$65&gt;Paths!$E$333,Paths!$E$333+'Operating costs'!$B$65&lt;=120,IF(Paths!$E$333+'Operating costs'!$B$65=0,C3598=0,AND(C3598&gt;0,Paths!$E$333+'Operating costs'!$B$65&gt;(C3598-1)*12,Paths!$E$333+'Operating costs'!$B$65&lt;=C3598*12))),'Operating costs'!$B$64,0)+IF(AND('Operating costs'!$B$67&gt;0,'Operating costs'!$B$67&lt;=120,OR(Paths!$D$333="ICE",'Operating costs'!$B$67&lt;=Paths!$E$333),IF('Operating costs'!$B$67=0,C3598=0,AND(C3598&gt;0,'Operating costs'!$B$67&gt;(C3598-1)*12,'Operating costs'!$B$67&lt;=C3598*12))),'Operating costs'!$B$66,0),"n.a."))</f>
        <v>0</v>
      </c>
      <c r="N3598" s="16">
        <f>IF(NOT(Paths!$C$333=1),0,IF(Paths!$P$333="Complete",SUM(G3598:I3598)-J3598-K3598-L3598+M3598+IF(C3598=0,Paths!$F$333,0)+IF(IF(Paths!$E$333=0,C3598=0,AND(C3598&gt;0,Paths!$E$333&gt;(C3598-1)*12,Paths!$E$333&lt;=C3598*12)),VLOOKUP(A3598,'Fleet register'!$A$7:$S$106,16,FALSE),0),"n.a."))</f>
        <v>0</v>
      </c>
      <c r="O3598" s="16">
        <f>IF(NOT(Paths!$C$333=1),0,IF(Paths!$P$333="Complete",N3598-IF(C3598=0,Paths!$F$333,0),"n.a."))</f>
        <v>0</v>
      </c>
      <c r="P3598" s="16">
        <f>IF(NOT(Paths!$C$333=1),0,IF(Paths!$P$333="Complete",O3598+L3598,"n.a."))</f>
        <v>0</v>
      </c>
      <c r="Q3598" s="16">
        <f>IF(NOT(Paths!$C$333=1),0,IF(Paths!$P$333="Complete",N3598*(1+'Operating costs'!$B$54)^-C3598,"n.a."))</f>
        <v>0</v>
      </c>
      <c r="R3598" s="16">
        <f>IF(NOT(Paths!$C$333=1),0,IF(Paths!$P$333="Complete",IF(AND(C3598=0,Paths!$E$333=0),I3598-J3598-K3598+VLOOKUP(A3598,'Fleet register'!$A$7:$S$106,15,FALSE)+VLOOKUP(A3598,'Fleet register'!$A$7:$S$106,16,FALSE),0),"n.a."))</f>
        <v>0</v>
      </c>
      <c r="S3598" s="1">
        <f>IF(NOT(Paths!$C$333=1),0,IF(Paths!$P$333="Complete",IF(C3598=0,0,Paths!$S$333*Paths!$R$333),"n.a."))</f>
        <v>0</v>
      </c>
      <c r="T3598" s="1">
        <f>IF(NOT(Paths!$C$333=1),0,IF(Paths!$P$333="Complete",IF(C3598=0,0,VLOOKUP(A3598,'Fleet register'!$A$7:$S$106,9,FALSE)*Paths!$R$333),"n.a."))</f>
        <v>0</v>
      </c>
    </row>
    <row r="3599" spans="1:20" ht="24" customHeight="1">
      <c r="A3599" s="1" t="str">
        <f>Paths!$A$333</f>
        <v>T082</v>
      </c>
      <c r="B3599" s="1">
        <f>Paths!$B$333</f>
        <v>2</v>
      </c>
      <c r="C3599" s="1">
        <v>6</v>
      </c>
      <c r="D3599" s="1">
        <v>333</v>
      </c>
      <c r="E3599" s="1">
        <f>IF(OR(Paths!$C$333=0,C3599=0),0,MAX(0,MIN(C3599*12,Paths!$E$333)-(C3599-1)*12))</f>
        <v>0</v>
      </c>
      <c r="F3599" s="1">
        <f>IF(OR(Paths!$C$333=0,C3599=0),0,12-E3599)</f>
        <v>0</v>
      </c>
      <c r="G3599" s="16">
        <f>IF(NOT(Paths!$C$333=1),0,IF(Paths!$P$333="Complete",E3599/12*(Paths!$J$333*(1+'Operating costs'!$B$51)^MAX(0,C3599-1)+Paths!$K$333*(1+'Operating costs'!$B$53)^MAX(0,C3599-1)),"n.a."))</f>
        <v>0</v>
      </c>
      <c r="H3599" s="16">
        <f>IF(NOT(Paths!$C$333=1),0,IF(Paths!$P$333="Complete",F3599/12*(Paths!$L$333*(1+IF(Paths!$D$333="EV",'Operating costs'!$B$52,'Operating costs'!$B$51))^MAX(0,C3599-1)+Paths!$M$333*(1+'Operating costs'!$B$53)^MAX(0,C3599-1)),"n.a."))</f>
        <v>0</v>
      </c>
      <c r="I3599" s="16">
        <f>IF(NOT(Paths!$C$333=1),0,IF(Paths!$P$333="Complete",IF(IF(Paths!$E$333=0,C3599=0,AND(C3599&gt;0,Paths!$E$333&gt;(C3599-1)*12,Paths!$E$333&lt;=C3599*12)),Paths!$G$333,0),"n.a."))</f>
        <v>0</v>
      </c>
      <c r="J3599" s="16">
        <f>IF(NOT(Paths!$C$333=1),0,IF(Paths!$P$333="Complete",IF(IF(Paths!$E$333=0,C3599=0,AND(C3599&gt;0,Paths!$E$333&gt;(C3599-1)*12,Paths!$E$333&lt;=C3599*12)),Paths!$H$333,0),"n.a."))</f>
        <v>0</v>
      </c>
      <c r="K3599" s="16">
        <f>IF(NOT(Paths!$C$333=1),0,IF(Paths!$P$333="Complete",IF(IF(Paths!$O$333=0,C3599=0,AND(C3599&gt;0,Paths!$O$333&gt;(C3599-1)*12,Paths!$O$333&lt;=C3599*12)),Paths!$N$333,0),"n.a."))</f>
        <v>0</v>
      </c>
      <c r="L3599" s="16">
        <f>IF(NOT(Paths!$C$333=1),0,IF(Paths!$P$333="Complete",IF(C3599=10,Paths!$I$333,0),"n.a."))</f>
        <v>0</v>
      </c>
      <c r="M3599" s="16">
        <f>IF(NOT(Paths!$C$333=1),0,IF(Paths!$P$333="Complete",IF(AND(Paths!$D$333="EV",Paths!$E$333&lt;120,Paths!$E$333+'Operating costs'!$B$65&gt;Paths!$E$333,Paths!$E$333+'Operating costs'!$B$65&lt;=120,IF(Paths!$E$333+'Operating costs'!$B$65=0,C3599=0,AND(C3599&gt;0,Paths!$E$333+'Operating costs'!$B$65&gt;(C3599-1)*12,Paths!$E$333+'Operating costs'!$B$65&lt;=C3599*12))),'Operating costs'!$B$64,0)+IF(AND('Operating costs'!$B$67&gt;0,'Operating costs'!$B$67&lt;=120,OR(Paths!$D$333="ICE",'Operating costs'!$B$67&lt;=Paths!$E$333),IF('Operating costs'!$B$67=0,C3599=0,AND(C3599&gt;0,'Operating costs'!$B$67&gt;(C3599-1)*12,'Operating costs'!$B$67&lt;=C3599*12))),'Operating costs'!$B$66,0),"n.a."))</f>
        <v>0</v>
      </c>
      <c r="N3599" s="16">
        <f>IF(NOT(Paths!$C$333=1),0,IF(Paths!$P$333="Complete",SUM(G3599:I3599)-J3599-K3599-L3599+M3599+IF(C3599=0,Paths!$F$333,0)+IF(IF(Paths!$E$333=0,C3599=0,AND(C3599&gt;0,Paths!$E$333&gt;(C3599-1)*12,Paths!$E$333&lt;=C3599*12)),VLOOKUP(A3599,'Fleet register'!$A$7:$S$106,16,FALSE),0),"n.a."))</f>
        <v>0</v>
      </c>
      <c r="O3599" s="16">
        <f>IF(NOT(Paths!$C$333=1),0,IF(Paths!$P$333="Complete",N3599-IF(C3599=0,Paths!$F$333,0),"n.a."))</f>
        <v>0</v>
      </c>
      <c r="P3599" s="16">
        <f>IF(NOT(Paths!$C$333=1),0,IF(Paths!$P$333="Complete",O3599+L3599,"n.a."))</f>
        <v>0</v>
      </c>
      <c r="Q3599" s="16">
        <f>IF(NOT(Paths!$C$333=1),0,IF(Paths!$P$333="Complete",N3599*(1+'Operating costs'!$B$54)^-C3599,"n.a."))</f>
        <v>0</v>
      </c>
      <c r="R3599" s="16">
        <f>IF(NOT(Paths!$C$333=1),0,IF(Paths!$P$333="Complete",IF(AND(C3599=0,Paths!$E$333=0),I3599-J3599-K3599+VLOOKUP(A3599,'Fleet register'!$A$7:$S$106,15,FALSE)+VLOOKUP(A3599,'Fleet register'!$A$7:$S$106,16,FALSE),0),"n.a."))</f>
        <v>0</v>
      </c>
      <c r="S3599" s="1">
        <f>IF(NOT(Paths!$C$333=1),0,IF(Paths!$P$333="Complete",IF(C3599=0,0,Paths!$S$333*Paths!$R$333),"n.a."))</f>
        <v>0</v>
      </c>
      <c r="T3599" s="1">
        <f>IF(NOT(Paths!$C$333=1),0,IF(Paths!$P$333="Complete",IF(C3599=0,0,VLOOKUP(A3599,'Fleet register'!$A$7:$S$106,9,FALSE)*Paths!$R$333),"n.a."))</f>
        <v>0</v>
      </c>
    </row>
    <row r="3600" spans="1:20" ht="24" customHeight="1">
      <c r="A3600" s="1" t="str">
        <f>Paths!$A$333</f>
        <v>T082</v>
      </c>
      <c r="B3600" s="1">
        <f>Paths!$B$333</f>
        <v>2</v>
      </c>
      <c r="C3600" s="1">
        <v>7</v>
      </c>
      <c r="D3600" s="1">
        <v>333</v>
      </c>
      <c r="E3600" s="1">
        <f>IF(OR(Paths!$C$333=0,C3600=0),0,MAX(0,MIN(C3600*12,Paths!$E$333)-(C3600-1)*12))</f>
        <v>0</v>
      </c>
      <c r="F3600" s="1">
        <f>IF(OR(Paths!$C$333=0,C3600=0),0,12-E3600)</f>
        <v>0</v>
      </c>
      <c r="G3600" s="16">
        <f>IF(NOT(Paths!$C$333=1),0,IF(Paths!$P$333="Complete",E3600/12*(Paths!$J$333*(1+'Operating costs'!$B$51)^MAX(0,C3600-1)+Paths!$K$333*(1+'Operating costs'!$B$53)^MAX(0,C3600-1)),"n.a."))</f>
        <v>0</v>
      </c>
      <c r="H3600" s="16">
        <f>IF(NOT(Paths!$C$333=1),0,IF(Paths!$P$333="Complete",F3600/12*(Paths!$L$333*(1+IF(Paths!$D$333="EV",'Operating costs'!$B$52,'Operating costs'!$B$51))^MAX(0,C3600-1)+Paths!$M$333*(1+'Operating costs'!$B$53)^MAX(0,C3600-1)),"n.a."))</f>
        <v>0</v>
      </c>
      <c r="I3600" s="16">
        <f>IF(NOT(Paths!$C$333=1),0,IF(Paths!$P$333="Complete",IF(IF(Paths!$E$333=0,C3600=0,AND(C3600&gt;0,Paths!$E$333&gt;(C3600-1)*12,Paths!$E$333&lt;=C3600*12)),Paths!$G$333,0),"n.a."))</f>
        <v>0</v>
      </c>
      <c r="J3600" s="16">
        <f>IF(NOT(Paths!$C$333=1),0,IF(Paths!$P$333="Complete",IF(IF(Paths!$E$333=0,C3600=0,AND(C3600&gt;0,Paths!$E$333&gt;(C3600-1)*12,Paths!$E$333&lt;=C3600*12)),Paths!$H$333,0),"n.a."))</f>
        <v>0</v>
      </c>
      <c r="K3600" s="16">
        <f>IF(NOT(Paths!$C$333=1),0,IF(Paths!$P$333="Complete",IF(IF(Paths!$O$333=0,C3600=0,AND(C3600&gt;0,Paths!$O$333&gt;(C3600-1)*12,Paths!$O$333&lt;=C3600*12)),Paths!$N$333,0),"n.a."))</f>
        <v>0</v>
      </c>
      <c r="L3600" s="16">
        <f>IF(NOT(Paths!$C$333=1),0,IF(Paths!$P$333="Complete",IF(C3600=10,Paths!$I$333,0),"n.a."))</f>
        <v>0</v>
      </c>
      <c r="M3600" s="16">
        <f>IF(NOT(Paths!$C$333=1),0,IF(Paths!$P$333="Complete",IF(AND(Paths!$D$333="EV",Paths!$E$333&lt;120,Paths!$E$333+'Operating costs'!$B$65&gt;Paths!$E$333,Paths!$E$333+'Operating costs'!$B$65&lt;=120,IF(Paths!$E$333+'Operating costs'!$B$65=0,C3600=0,AND(C3600&gt;0,Paths!$E$333+'Operating costs'!$B$65&gt;(C3600-1)*12,Paths!$E$333+'Operating costs'!$B$65&lt;=C3600*12))),'Operating costs'!$B$64,0)+IF(AND('Operating costs'!$B$67&gt;0,'Operating costs'!$B$67&lt;=120,OR(Paths!$D$333="ICE",'Operating costs'!$B$67&lt;=Paths!$E$333),IF('Operating costs'!$B$67=0,C3600=0,AND(C3600&gt;0,'Operating costs'!$B$67&gt;(C3600-1)*12,'Operating costs'!$B$67&lt;=C3600*12))),'Operating costs'!$B$66,0),"n.a."))</f>
        <v>0</v>
      </c>
      <c r="N3600" s="16">
        <f>IF(NOT(Paths!$C$333=1),0,IF(Paths!$P$333="Complete",SUM(G3600:I3600)-J3600-K3600-L3600+M3600+IF(C3600=0,Paths!$F$333,0)+IF(IF(Paths!$E$333=0,C3600=0,AND(C3600&gt;0,Paths!$E$333&gt;(C3600-1)*12,Paths!$E$333&lt;=C3600*12)),VLOOKUP(A3600,'Fleet register'!$A$7:$S$106,16,FALSE),0),"n.a."))</f>
        <v>0</v>
      </c>
      <c r="O3600" s="16">
        <f>IF(NOT(Paths!$C$333=1),0,IF(Paths!$P$333="Complete",N3600-IF(C3600=0,Paths!$F$333,0),"n.a."))</f>
        <v>0</v>
      </c>
      <c r="P3600" s="16">
        <f>IF(NOT(Paths!$C$333=1),0,IF(Paths!$P$333="Complete",O3600+L3600,"n.a."))</f>
        <v>0</v>
      </c>
      <c r="Q3600" s="16">
        <f>IF(NOT(Paths!$C$333=1),0,IF(Paths!$P$333="Complete",N3600*(1+'Operating costs'!$B$54)^-C3600,"n.a."))</f>
        <v>0</v>
      </c>
      <c r="R3600" s="16">
        <f>IF(NOT(Paths!$C$333=1),0,IF(Paths!$P$333="Complete",IF(AND(C3600=0,Paths!$E$333=0),I3600-J3600-K3600+VLOOKUP(A3600,'Fleet register'!$A$7:$S$106,15,FALSE)+VLOOKUP(A3600,'Fleet register'!$A$7:$S$106,16,FALSE),0),"n.a."))</f>
        <v>0</v>
      </c>
      <c r="S3600" s="1">
        <f>IF(NOT(Paths!$C$333=1),0,IF(Paths!$P$333="Complete",IF(C3600=0,0,Paths!$S$333*Paths!$R$333),"n.a."))</f>
        <v>0</v>
      </c>
      <c r="T3600" s="1">
        <f>IF(NOT(Paths!$C$333=1),0,IF(Paths!$P$333="Complete",IF(C3600=0,0,VLOOKUP(A3600,'Fleet register'!$A$7:$S$106,9,FALSE)*Paths!$R$333),"n.a."))</f>
        <v>0</v>
      </c>
    </row>
    <row r="3601" spans="1:20" ht="24" customHeight="1">
      <c r="A3601" s="1" t="str">
        <f>Paths!$A$333</f>
        <v>T082</v>
      </c>
      <c r="B3601" s="1">
        <f>Paths!$B$333</f>
        <v>2</v>
      </c>
      <c r="C3601" s="1">
        <v>8</v>
      </c>
      <c r="D3601" s="1">
        <v>333</v>
      </c>
      <c r="E3601" s="1">
        <f>IF(OR(Paths!$C$333=0,C3601=0),0,MAX(0,MIN(C3601*12,Paths!$E$333)-(C3601-1)*12))</f>
        <v>0</v>
      </c>
      <c r="F3601" s="1">
        <f>IF(OR(Paths!$C$333=0,C3601=0),0,12-E3601)</f>
        <v>0</v>
      </c>
      <c r="G3601" s="16">
        <f>IF(NOT(Paths!$C$333=1),0,IF(Paths!$P$333="Complete",E3601/12*(Paths!$J$333*(1+'Operating costs'!$B$51)^MAX(0,C3601-1)+Paths!$K$333*(1+'Operating costs'!$B$53)^MAX(0,C3601-1)),"n.a."))</f>
        <v>0</v>
      </c>
      <c r="H3601" s="16">
        <f>IF(NOT(Paths!$C$333=1),0,IF(Paths!$P$333="Complete",F3601/12*(Paths!$L$333*(1+IF(Paths!$D$333="EV",'Operating costs'!$B$52,'Operating costs'!$B$51))^MAX(0,C3601-1)+Paths!$M$333*(1+'Operating costs'!$B$53)^MAX(0,C3601-1)),"n.a."))</f>
        <v>0</v>
      </c>
      <c r="I3601" s="16">
        <f>IF(NOT(Paths!$C$333=1),0,IF(Paths!$P$333="Complete",IF(IF(Paths!$E$333=0,C3601=0,AND(C3601&gt;0,Paths!$E$333&gt;(C3601-1)*12,Paths!$E$333&lt;=C3601*12)),Paths!$G$333,0),"n.a."))</f>
        <v>0</v>
      </c>
      <c r="J3601" s="16">
        <f>IF(NOT(Paths!$C$333=1),0,IF(Paths!$P$333="Complete",IF(IF(Paths!$E$333=0,C3601=0,AND(C3601&gt;0,Paths!$E$333&gt;(C3601-1)*12,Paths!$E$333&lt;=C3601*12)),Paths!$H$333,0),"n.a."))</f>
        <v>0</v>
      </c>
      <c r="K3601" s="16">
        <f>IF(NOT(Paths!$C$333=1),0,IF(Paths!$P$333="Complete",IF(IF(Paths!$O$333=0,C3601=0,AND(C3601&gt;0,Paths!$O$333&gt;(C3601-1)*12,Paths!$O$333&lt;=C3601*12)),Paths!$N$333,0),"n.a."))</f>
        <v>0</v>
      </c>
      <c r="L3601" s="16">
        <f>IF(NOT(Paths!$C$333=1),0,IF(Paths!$P$333="Complete",IF(C3601=10,Paths!$I$333,0),"n.a."))</f>
        <v>0</v>
      </c>
      <c r="M3601" s="16">
        <f>IF(NOT(Paths!$C$333=1),0,IF(Paths!$P$333="Complete",IF(AND(Paths!$D$333="EV",Paths!$E$333&lt;120,Paths!$E$333+'Operating costs'!$B$65&gt;Paths!$E$333,Paths!$E$333+'Operating costs'!$B$65&lt;=120,IF(Paths!$E$333+'Operating costs'!$B$65=0,C3601=0,AND(C3601&gt;0,Paths!$E$333+'Operating costs'!$B$65&gt;(C3601-1)*12,Paths!$E$333+'Operating costs'!$B$65&lt;=C3601*12))),'Operating costs'!$B$64,0)+IF(AND('Operating costs'!$B$67&gt;0,'Operating costs'!$B$67&lt;=120,OR(Paths!$D$333="ICE",'Operating costs'!$B$67&lt;=Paths!$E$333),IF('Operating costs'!$B$67=0,C3601=0,AND(C3601&gt;0,'Operating costs'!$B$67&gt;(C3601-1)*12,'Operating costs'!$B$67&lt;=C3601*12))),'Operating costs'!$B$66,0),"n.a."))</f>
        <v>0</v>
      </c>
      <c r="N3601" s="16">
        <f>IF(NOT(Paths!$C$333=1),0,IF(Paths!$P$333="Complete",SUM(G3601:I3601)-J3601-K3601-L3601+M3601+IF(C3601=0,Paths!$F$333,0)+IF(IF(Paths!$E$333=0,C3601=0,AND(C3601&gt;0,Paths!$E$333&gt;(C3601-1)*12,Paths!$E$333&lt;=C3601*12)),VLOOKUP(A3601,'Fleet register'!$A$7:$S$106,16,FALSE),0),"n.a."))</f>
        <v>0</v>
      </c>
      <c r="O3601" s="16">
        <f>IF(NOT(Paths!$C$333=1),0,IF(Paths!$P$333="Complete",N3601-IF(C3601=0,Paths!$F$333,0),"n.a."))</f>
        <v>0</v>
      </c>
      <c r="P3601" s="16">
        <f>IF(NOT(Paths!$C$333=1),0,IF(Paths!$P$333="Complete",O3601+L3601,"n.a."))</f>
        <v>0</v>
      </c>
      <c r="Q3601" s="16">
        <f>IF(NOT(Paths!$C$333=1),0,IF(Paths!$P$333="Complete",N3601*(1+'Operating costs'!$B$54)^-C3601,"n.a."))</f>
        <v>0</v>
      </c>
      <c r="R3601" s="16">
        <f>IF(NOT(Paths!$C$333=1),0,IF(Paths!$P$333="Complete",IF(AND(C3601=0,Paths!$E$333=0),I3601-J3601-K3601+VLOOKUP(A3601,'Fleet register'!$A$7:$S$106,15,FALSE)+VLOOKUP(A3601,'Fleet register'!$A$7:$S$106,16,FALSE),0),"n.a."))</f>
        <v>0</v>
      </c>
      <c r="S3601" s="1">
        <f>IF(NOT(Paths!$C$333=1),0,IF(Paths!$P$333="Complete",IF(C3601=0,0,Paths!$S$333*Paths!$R$333),"n.a."))</f>
        <v>0</v>
      </c>
      <c r="T3601" s="1">
        <f>IF(NOT(Paths!$C$333=1),0,IF(Paths!$P$333="Complete",IF(C3601=0,0,VLOOKUP(A3601,'Fleet register'!$A$7:$S$106,9,FALSE)*Paths!$R$333),"n.a."))</f>
        <v>0</v>
      </c>
    </row>
    <row r="3602" spans="1:20" ht="24" customHeight="1">
      <c r="A3602" s="1" t="str">
        <f>Paths!$A$333</f>
        <v>T082</v>
      </c>
      <c r="B3602" s="1">
        <f>Paths!$B$333</f>
        <v>2</v>
      </c>
      <c r="C3602" s="1">
        <v>9</v>
      </c>
      <c r="D3602" s="1">
        <v>333</v>
      </c>
      <c r="E3602" s="1">
        <f>IF(OR(Paths!$C$333=0,C3602=0),0,MAX(0,MIN(C3602*12,Paths!$E$333)-(C3602-1)*12))</f>
        <v>0</v>
      </c>
      <c r="F3602" s="1">
        <f>IF(OR(Paths!$C$333=0,C3602=0),0,12-E3602)</f>
        <v>0</v>
      </c>
      <c r="G3602" s="16">
        <f>IF(NOT(Paths!$C$333=1),0,IF(Paths!$P$333="Complete",E3602/12*(Paths!$J$333*(1+'Operating costs'!$B$51)^MAX(0,C3602-1)+Paths!$K$333*(1+'Operating costs'!$B$53)^MAX(0,C3602-1)),"n.a."))</f>
        <v>0</v>
      </c>
      <c r="H3602" s="16">
        <f>IF(NOT(Paths!$C$333=1),0,IF(Paths!$P$333="Complete",F3602/12*(Paths!$L$333*(1+IF(Paths!$D$333="EV",'Operating costs'!$B$52,'Operating costs'!$B$51))^MAX(0,C3602-1)+Paths!$M$333*(1+'Operating costs'!$B$53)^MAX(0,C3602-1)),"n.a."))</f>
        <v>0</v>
      </c>
      <c r="I3602" s="16">
        <f>IF(NOT(Paths!$C$333=1),0,IF(Paths!$P$333="Complete",IF(IF(Paths!$E$333=0,C3602=0,AND(C3602&gt;0,Paths!$E$333&gt;(C3602-1)*12,Paths!$E$333&lt;=C3602*12)),Paths!$G$333,0),"n.a."))</f>
        <v>0</v>
      </c>
      <c r="J3602" s="16">
        <f>IF(NOT(Paths!$C$333=1),0,IF(Paths!$P$333="Complete",IF(IF(Paths!$E$333=0,C3602=0,AND(C3602&gt;0,Paths!$E$333&gt;(C3602-1)*12,Paths!$E$333&lt;=C3602*12)),Paths!$H$333,0),"n.a."))</f>
        <v>0</v>
      </c>
      <c r="K3602" s="16">
        <f>IF(NOT(Paths!$C$333=1),0,IF(Paths!$P$333="Complete",IF(IF(Paths!$O$333=0,C3602=0,AND(C3602&gt;0,Paths!$O$333&gt;(C3602-1)*12,Paths!$O$333&lt;=C3602*12)),Paths!$N$333,0),"n.a."))</f>
        <v>0</v>
      </c>
      <c r="L3602" s="16">
        <f>IF(NOT(Paths!$C$333=1),0,IF(Paths!$P$333="Complete",IF(C3602=10,Paths!$I$333,0),"n.a."))</f>
        <v>0</v>
      </c>
      <c r="M3602" s="16">
        <f>IF(NOT(Paths!$C$333=1),0,IF(Paths!$P$333="Complete",IF(AND(Paths!$D$333="EV",Paths!$E$333&lt;120,Paths!$E$333+'Operating costs'!$B$65&gt;Paths!$E$333,Paths!$E$333+'Operating costs'!$B$65&lt;=120,IF(Paths!$E$333+'Operating costs'!$B$65=0,C3602=0,AND(C3602&gt;0,Paths!$E$333+'Operating costs'!$B$65&gt;(C3602-1)*12,Paths!$E$333+'Operating costs'!$B$65&lt;=C3602*12))),'Operating costs'!$B$64,0)+IF(AND('Operating costs'!$B$67&gt;0,'Operating costs'!$B$67&lt;=120,OR(Paths!$D$333="ICE",'Operating costs'!$B$67&lt;=Paths!$E$333),IF('Operating costs'!$B$67=0,C3602=0,AND(C3602&gt;0,'Operating costs'!$B$67&gt;(C3602-1)*12,'Operating costs'!$B$67&lt;=C3602*12))),'Operating costs'!$B$66,0),"n.a."))</f>
        <v>0</v>
      </c>
      <c r="N3602" s="16">
        <f>IF(NOT(Paths!$C$333=1),0,IF(Paths!$P$333="Complete",SUM(G3602:I3602)-J3602-K3602-L3602+M3602+IF(C3602=0,Paths!$F$333,0)+IF(IF(Paths!$E$333=0,C3602=0,AND(C3602&gt;0,Paths!$E$333&gt;(C3602-1)*12,Paths!$E$333&lt;=C3602*12)),VLOOKUP(A3602,'Fleet register'!$A$7:$S$106,16,FALSE),0),"n.a."))</f>
        <v>0</v>
      </c>
      <c r="O3602" s="16">
        <f>IF(NOT(Paths!$C$333=1),0,IF(Paths!$P$333="Complete",N3602-IF(C3602=0,Paths!$F$333,0),"n.a."))</f>
        <v>0</v>
      </c>
      <c r="P3602" s="16">
        <f>IF(NOT(Paths!$C$333=1),0,IF(Paths!$P$333="Complete",O3602+L3602,"n.a."))</f>
        <v>0</v>
      </c>
      <c r="Q3602" s="16">
        <f>IF(NOT(Paths!$C$333=1),0,IF(Paths!$P$333="Complete",N3602*(1+'Operating costs'!$B$54)^-C3602,"n.a."))</f>
        <v>0</v>
      </c>
      <c r="R3602" s="16">
        <f>IF(NOT(Paths!$C$333=1),0,IF(Paths!$P$333="Complete",IF(AND(C3602=0,Paths!$E$333=0),I3602-J3602-K3602+VLOOKUP(A3602,'Fleet register'!$A$7:$S$106,15,FALSE)+VLOOKUP(A3602,'Fleet register'!$A$7:$S$106,16,FALSE),0),"n.a."))</f>
        <v>0</v>
      </c>
      <c r="S3602" s="1">
        <f>IF(NOT(Paths!$C$333=1),0,IF(Paths!$P$333="Complete",IF(C3602=0,0,Paths!$S$333*Paths!$R$333),"n.a."))</f>
        <v>0</v>
      </c>
      <c r="T3602" s="1">
        <f>IF(NOT(Paths!$C$333=1),0,IF(Paths!$P$333="Complete",IF(C3602=0,0,VLOOKUP(A3602,'Fleet register'!$A$7:$S$106,9,FALSE)*Paths!$R$333),"n.a."))</f>
        <v>0</v>
      </c>
    </row>
    <row r="3603" spans="1:20" ht="24" customHeight="1">
      <c r="A3603" s="1" t="str">
        <f>Paths!$A$333</f>
        <v>T082</v>
      </c>
      <c r="B3603" s="1">
        <f>Paths!$B$333</f>
        <v>2</v>
      </c>
      <c r="C3603" s="1">
        <v>10</v>
      </c>
      <c r="D3603" s="1">
        <v>333</v>
      </c>
      <c r="E3603" s="1">
        <f>IF(OR(Paths!$C$333=0,C3603=0),0,MAX(0,MIN(C3603*12,Paths!$E$333)-(C3603-1)*12))</f>
        <v>0</v>
      </c>
      <c r="F3603" s="1">
        <f>IF(OR(Paths!$C$333=0,C3603=0),0,12-E3603)</f>
        <v>0</v>
      </c>
      <c r="G3603" s="16">
        <f>IF(NOT(Paths!$C$333=1),0,IF(Paths!$P$333="Complete",E3603/12*(Paths!$J$333*(1+'Operating costs'!$B$51)^MAX(0,C3603-1)+Paths!$K$333*(1+'Operating costs'!$B$53)^MAX(0,C3603-1)),"n.a."))</f>
        <v>0</v>
      </c>
      <c r="H3603" s="16">
        <f>IF(NOT(Paths!$C$333=1),0,IF(Paths!$P$333="Complete",F3603/12*(Paths!$L$333*(1+IF(Paths!$D$333="EV",'Operating costs'!$B$52,'Operating costs'!$B$51))^MAX(0,C3603-1)+Paths!$M$333*(1+'Operating costs'!$B$53)^MAX(0,C3603-1)),"n.a."))</f>
        <v>0</v>
      </c>
      <c r="I3603" s="16">
        <f>IF(NOT(Paths!$C$333=1),0,IF(Paths!$P$333="Complete",IF(IF(Paths!$E$333=0,C3603=0,AND(C3603&gt;0,Paths!$E$333&gt;(C3603-1)*12,Paths!$E$333&lt;=C3603*12)),Paths!$G$333,0),"n.a."))</f>
        <v>0</v>
      </c>
      <c r="J3603" s="16">
        <f>IF(NOT(Paths!$C$333=1),0,IF(Paths!$P$333="Complete",IF(IF(Paths!$E$333=0,C3603=0,AND(C3603&gt;0,Paths!$E$333&gt;(C3603-1)*12,Paths!$E$333&lt;=C3603*12)),Paths!$H$333,0),"n.a."))</f>
        <v>0</v>
      </c>
      <c r="K3603" s="16">
        <f>IF(NOT(Paths!$C$333=1),0,IF(Paths!$P$333="Complete",IF(IF(Paths!$O$333=0,C3603=0,AND(C3603&gt;0,Paths!$O$333&gt;(C3603-1)*12,Paths!$O$333&lt;=C3603*12)),Paths!$N$333,0),"n.a."))</f>
        <v>0</v>
      </c>
      <c r="L3603" s="16">
        <f>IF(NOT(Paths!$C$333=1),0,IF(Paths!$P$333="Complete",IF(C3603=10,Paths!$I$333,0),"n.a."))</f>
        <v>0</v>
      </c>
      <c r="M3603" s="16">
        <f>IF(NOT(Paths!$C$333=1),0,IF(Paths!$P$333="Complete",IF(AND(Paths!$D$333="EV",Paths!$E$333&lt;120,Paths!$E$333+'Operating costs'!$B$65&gt;Paths!$E$333,Paths!$E$333+'Operating costs'!$B$65&lt;=120,IF(Paths!$E$333+'Operating costs'!$B$65=0,C3603=0,AND(C3603&gt;0,Paths!$E$333+'Operating costs'!$B$65&gt;(C3603-1)*12,Paths!$E$333+'Operating costs'!$B$65&lt;=C3603*12))),'Operating costs'!$B$64,0)+IF(AND('Operating costs'!$B$67&gt;0,'Operating costs'!$B$67&lt;=120,OR(Paths!$D$333="ICE",'Operating costs'!$B$67&lt;=Paths!$E$333),IF('Operating costs'!$B$67=0,C3603=0,AND(C3603&gt;0,'Operating costs'!$B$67&gt;(C3603-1)*12,'Operating costs'!$B$67&lt;=C3603*12))),'Operating costs'!$B$66,0),"n.a."))</f>
        <v>0</v>
      </c>
      <c r="N3603" s="16">
        <f>IF(NOT(Paths!$C$333=1),0,IF(Paths!$P$333="Complete",SUM(G3603:I3603)-J3603-K3603-L3603+M3603+IF(C3603=0,Paths!$F$333,0)+IF(IF(Paths!$E$333=0,C3603=0,AND(C3603&gt;0,Paths!$E$333&gt;(C3603-1)*12,Paths!$E$333&lt;=C3603*12)),VLOOKUP(A3603,'Fleet register'!$A$7:$S$106,16,FALSE),0),"n.a."))</f>
        <v>0</v>
      </c>
      <c r="O3603" s="16">
        <f>IF(NOT(Paths!$C$333=1),0,IF(Paths!$P$333="Complete",N3603-IF(C3603=0,Paths!$F$333,0),"n.a."))</f>
        <v>0</v>
      </c>
      <c r="P3603" s="16">
        <f>IF(NOT(Paths!$C$333=1),0,IF(Paths!$P$333="Complete",O3603+L3603,"n.a."))</f>
        <v>0</v>
      </c>
      <c r="Q3603" s="16">
        <f>IF(NOT(Paths!$C$333=1),0,IF(Paths!$P$333="Complete",N3603*(1+'Operating costs'!$B$54)^-C3603,"n.a."))</f>
        <v>0</v>
      </c>
      <c r="R3603" s="16">
        <f>IF(NOT(Paths!$C$333=1),0,IF(Paths!$P$333="Complete",IF(AND(C3603=0,Paths!$E$333=0),I3603-J3603-K3603+VLOOKUP(A3603,'Fleet register'!$A$7:$S$106,15,FALSE)+VLOOKUP(A3603,'Fleet register'!$A$7:$S$106,16,FALSE),0),"n.a."))</f>
        <v>0</v>
      </c>
      <c r="S3603" s="1">
        <f>IF(NOT(Paths!$C$333=1),0,IF(Paths!$P$333="Complete",IF(C3603=0,0,Paths!$S$333*Paths!$R$333),"n.a."))</f>
        <v>0</v>
      </c>
      <c r="T3603" s="1">
        <f>IF(NOT(Paths!$C$333=1),0,IF(Paths!$P$333="Complete",IF(C3603=0,0,VLOOKUP(A3603,'Fleet register'!$A$7:$S$106,9,FALSE)*Paths!$R$333),"n.a."))</f>
        <v>0</v>
      </c>
    </row>
    <row r="3604" spans="1:20" ht="24" customHeight="1">
      <c r="A3604" s="1" t="str">
        <f>Paths!$A$334</f>
        <v>T082</v>
      </c>
      <c r="B3604" s="1">
        <f>Paths!$B$334</f>
        <v>3</v>
      </c>
      <c r="C3604" s="1">
        <v>0</v>
      </c>
      <c r="D3604" s="1">
        <v>334</v>
      </c>
      <c r="E3604" s="1">
        <f>IF(OR(Paths!$C$334=0,C3604=0),0,MAX(0,MIN(C3604*12,Paths!$E$334)-(C3604-1)*12))</f>
        <v>0</v>
      </c>
      <c r="F3604" s="1">
        <f>IF(OR(Paths!$C$334=0,C3604=0),0,12-E3604)</f>
        <v>0</v>
      </c>
      <c r="G3604" s="16">
        <f>IF(NOT(Paths!$C$334=1),0,IF(Paths!$P$334="Complete",E3604/12*(Paths!$J$334*(1+'Operating costs'!$B$51)^MAX(0,C3604-1)+Paths!$K$334*(1+'Operating costs'!$B$53)^MAX(0,C3604-1)),"n.a."))</f>
        <v>0</v>
      </c>
      <c r="H3604" s="16">
        <f>IF(NOT(Paths!$C$334=1),0,IF(Paths!$P$334="Complete",F3604/12*(Paths!$L$334*(1+IF(Paths!$D$334="EV",'Operating costs'!$B$52,'Operating costs'!$B$51))^MAX(0,C3604-1)+Paths!$M$334*(1+'Operating costs'!$B$53)^MAX(0,C3604-1)),"n.a."))</f>
        <v>0</v>
      </c>
      <c r="I3604" s="16">
        <f>IF(NOT(Paths!$C$334=1),0,IF(Paths!$P$334="Complete",IF(IF(Paths!$E$334=0,C3604=0,AND(C3604&gt;0,Paths!$E$334&gt;(C3604-1)*12,Paths!$E$334&lt;=C3604*12)),Paths!$G$334,0),"n.a."))</f>
        <v>0</v>
      </c>
      <c r="J3604" s="16">
        <f>IF(NOT(Paths!$C$334=1),0,IF(Paths!$P$334="Complete",IF(IF(Paths!$E$334=0,C3604=0,AND(C3604&gt;0,Paths!$E$334&gt;(C3604-1)*12,Paths!$E$334&lt;=C3604*12)),Paths!$H$334,0),"n.a."))</f>
        <v>0</v>
      </c>
      <c r="K3604" s="16">
        <f>IF(NOT(Paths!$C$334=1),0,IF(Paths!$P$334="Complete",IF(IF(Paths!$O$334=0,C3604=0,AND(C3604&gt;0,Paths!$O$334&gt;(C3604-1)*12,Paths!$O$334&lt;=C3604*12)),Paths!$N$334,0),"n.a."))</f>
        <v>0</v>
      </c>
      <c r="L3604" s="16">
        <f>IF(NOT(Paths!$C$334=1),0,IF(Paths!$P$334="Complete",IF(C3604=10,Paths!$I$334,0),"n.a."))</f>
        <v>0</v>
      </c>
      <c r="M3604" s="16">
        <f>IF(NOT(Paths!$C$334=1),0,IF(Paths!$P$334="Complete",IF(AND(Paths!$D$334="EV",Paths!$E$334&lt;120,Paths!$E$334+'Operating costs'!$B$65&gt;Paths!$E$334,Paths!$E$334+'Operating costs'!$B$65&lt;=120,IF(Paths!$E$334+'Operating costs'!$B$65=0,C3604=0,AND(C3604&gt;0,Paths!$E$334+'Operating costs'!$B$65&gt;(C3604-1)*12,Paths!$E$334+'Operating costs'!$B$65&lt;=C3604*12))),'Operating costs'!$B$64,0)+IF(AND('Operating costs'!$B$67&gt;0,'Operating costs'!$B$67&lt;=120,OR(Paths!$D$334="ICE",'Operating costs'!$B$67&lt;=Paths!$E$334),IF('Operating costs'!$B$67=0,C3604=0,AND(C3604&gt;0,'Operating costs'!$B$67&gt;(C3604-1)*12,'Operating costs'!$B$67&lt;=C3604*12))),'Operating costs'!$B$66,0),"n.a."))</f>
        <v>0</v>
      </c>
      <c r="N3604" s="16">
        <f>IF(NOT(Paths!$C$334=1),0,IF(Paths!$P$334="Complete",SUM(G3604:I3604)-J3604-K3604-L3604+M3604+IF(C3604=0,Paths!$F$334,0)+IF(IF(Paths!$E$334=0,C3604=0,AND(C3604&gt;0,Paths!$E$334&gt;(C3604-1)*12,Paths!$E$334&lt;=C3604*12)),VLOOKUP(A3604,'Fleet register'!$A$7:$S$106,16,FALSE),0),"n.a."))</f>
        <v>0</v>
      </c>
      <c r="O3604" s="16">
        <f>IF(NOT(Paths!$C$334=1),0,IF(Paths!$P$334="Complete",N3604-IF(C3604=0,Paths!$F$334,0),"n.a."))</f>
        <v>0</v>
      </c>
      <c r="P3604" s="16">
        <f>IF(NOT(Paths!$C$334=1),0,IF(Paths!$P$334="Complete",O3604+L3604,"n.a."))</f>
        <v>0</v>
      </c>
      <c r="Q3604" s="16">
        <f>IF(NOT(Paths!$C$334=1),0,IF(Paths!$P$334="Complete",N3604*(1+'Operating costs'!$B$54)^-C3604,"n.a."))</f>
        <v>0</v>
      </c>
      <c r="R3604" s="16">
        <f>IF(NOT(Paths!$C$334=1),0,IF(Paths!$P$334="Complete",IF(AND(C3604=0,Paths!$E$334=0),I3604-J3604-K3604+VLOOKUP(A3604,'Fleet register'!$A$7:$S$106,15,FALSE)+VLOOKUP(A3604,'Fleet register'!$A$7:$S$106,16,FALSE),0),"n.a."))</f>
        <v>0</v>
      </c>
      <c r="S3604" s="1">
        <f>IF(NOT(Paths!$C$334=1),0,IF(Paths!$P$334="Complete",IF(C3604=0,0,Paths!$S$334*Paths!$R$334),"n.a."))</f>
        <v>0</v>
      </c>
      <c r="T3604" s="1">
        <f>IF(NOT(Paths!$C$334=1),0,IF(Paths!$P$334="Complete",IF(C3604=0,0,VLOOKUP(A3604,'Fleet register'!$A$7:$S$106,9,FALSE)*Paths!$R$334),"n.a."))</f>
        <v>0</v>
      </c>
    </row>
    <row r="3605" spans="1:20" ht="24" customHeight="1">
      <c r="A3605" s="1" t="str">
        <f>Paths!$A$334</f>
        <v>T082</v>
      </c>
      <c r="B3605" s="1">
        <f>Paths!$B$334</f>
        <v>3</v>
      </c>
      <c r="C3605" s="1">
        <v>1</v>
      </c>
      <c r="D3605" s="1">
        <v>334</v>
      </c>
      <c r="E3605" s="1">
        <f>IF(OR(Paths!$C$334=0,C3605=0),0,MAX(0,MIN(C3605*12,Paths!$E$334)-(C3605-1)*12))</f>
        <v>0</v>
      </c>
      <c r="F3605" s="1">
        <f>IF(OR(Paths!$C$334=0,C3605=0),0,12-E3605)</f>
        <v>0</v>
      </c>
      <c r="G3605" s="16">
        <f>IF(NOT(Paths!$C$334=1),0,IF(Paths!$P$334="Complete",E3605/12*(Paths!$J$334*(1+'Operating costs'!$B$51)^MAX(0,C3605-1)+Paths!$K$334*(1+'Operating costs'!$B$53)^MAX(0,C3605-1)),"n.a."))</f>
        <v>0</v>
      </c>
      <c r="H3605" s="16">
        <f>IF(NOT(Paths!$C$334=1),0,IF(Paths!$P$334="Complete",F3605/12*(Paths!$L$334*(1+IF(Paths!$D$334="EV",'Operating costs'!$B$52,'Operating costs'!$B$51))^MAX(0,C3605-1)+Paths!$M$334*(1+'Operating costs'!$B$53)^MAX(0,C3605-1)),"n.a."))</f>
        <v>0</v>
      </c>
      <c r="I3605" s="16">
        <f>IF(NOT(Paths!$C$334=1),0,IF(Paths!$P$334="Complete",IF(IF(Paths!$E$334=0,C3605=0,AND(C3605&gt;0,Paths!$E$334&gt;(C3605-1)*12,Paths!$E$334&lt;=C3605*12)),Paths!$G$334,0),"n.a."))</f>
        <v>0</v>
      </c>
      <c r="J3605" s="16">
        <f>IF(NOT(Paths!$C$334=1),0,IF(Paths!$P$334="Complete",IF(IF(Paths!$E$334=0,C3605=0,AND(C3605&gt;0,Paths!$E$334&gt;(C3605-1)*12,Paths!$E$334&lt;=C3605*12)),Paths!$H$334,0),"n.a."))</f>
        <v>0</v>
      </c>
      <c r="K3605" s="16">
        <f>IF(NOT(Paths!$C$334=1),0,IF(Paths!$P$334="Complete",IF(IF(Paths!$O$334=0,C3605=0,AND(C3605&gt;0,Paths!$O$334&gt;(C3605-1)*12,Paths!$O$334&lt;=C3605*12)),Paths!$N$334,0),"n.a."))</f>
        <v>0</v>
      </c>
      <c r="L3605" s="16">
        <f>IF(NOT(Paths!$C$334=1),0,IF(Paths!$P$334="Complete",IF(C3605=10,Paths!$I$334,0),"n.a."))</f>
        <v>0</v>
      </c>
      <c r="M3605" s="16">
        <f>IF(NOT(Paths!$C$334=1),0,IF(Paths!$P$334="Complete",IF(AND(Paths!$D$334="EV",Paths!$E$334&lt;120,Paths!$E$334+'Operating costs'!$B$65&gt;Paths!$E$334,Paths!$E$334+'Operating costs'!$B$65&lt;=120,IF(Paths!$E$334+'Operating costs'!$B$65=0,C3605=0,AND(C3605&gt;0,Paths!$E$334+'Operating costs'!$B$65&gt;(C3605-1)*12,Paths!$E$334+'Operating costs'!$B$65&lt;=C3605*12))),'Operating costs'!$B$64,0)+IF(AND('Operating costs'!$B$67&gt;0,'Operating costs'!$B$67&lt;=120,OR(Paths!$D$334="ICE",'Operating costs'!$B$67&lt;=Paths!$E$334),IF('Operating costs'!$B$67=0,C3605=0,AND(C3605&gt;0,'Operating costs'!$B$67&gt;(C3605-1)*12,'Operating costs'!$B$67&lt;=C3605*12))),'Operating costs'!$B$66,0),"n.a."))</f>
        <v>0</v>
      </c>
      <c r="N3605" s="16">
        <f>IF(NOT(Paths!$C$334=1),0,IF(Paths!$P$334="Complete",SUM(G3605:I3605)-J3605-K3605-L3605+M3605+IF(C3605=0,Paths!$F$334,0)+IF(IF(Paths!$E$334=0,C3605=0,AND(C3605&gt;0,Paths!$E$334&gt;(C3605-1)*12,Paths!$E$334&lt;=C3605*12)),VLOOKUP(A3605,'Fleet register'!$A$7:$S$106,16,FALSE),0),"n.a."))</f>
        <v>0</v>
      </c>
      <c r="O3605" s="16">
        <f>IF(NOT(Paths!$C$334=1),0,IF(Paths!$P$334="Complete",N3605-IF(C3605=0,Paths!$F$334,0),"n.a."))</f>
        <v>0</v>
      </c>
      <c r="P3605" s="16">
        <f>IF(NOT(Paths!$C$334=1),0,IF(Paths!$P$334="Complete",O3605+L3605,"n.a."))</f>
        <v>0</v>
      </c>
      <c r="Q3605" s="16">
        <f>IF(NOT(Paths!$C$334=1),0,IF(Paths!$P$334="Complete",N3605*(1+'Operating costs'!$B$54)^-C3605,"n.a."))</f>
        <v>0</v>
      </c>
      <c r="R3605" s="16">
        <f>IF(NOT(Paths!$C$334=1),0,IF(Paths!$P$334="Complete",IF(AND(C3605=0,Paths!$E$334=0),I3605-J3605-K3605+VLOOKUP(A3605,'Fleet register'!$A$7:$S$106,15,FALSE)+VLOOKUP(A3605,'Fleet register'!$A$7:$S$106,16,FALSE),0),"n.a."))</f>
        <v>0</v>
      </c>
      <c r="S3605" s="1">
        <f>IF(NOT(Paths!$C$334=1),0,IF(Paths!$P$334="Complete",IF(C3605=0,0,Paths!$S$334*Paths!$R$334),"n.a."))</f>
        <v>0</v>
      </c>
      <c r="T3605" s="1">
        <f>IF(NOT(Paths!$C$334=1),0,IF(Paths!$P$334="Complete",IF(C3605=0,0,VLOOKUP(A3605,'Fleet register'!$A$7:$S$106,9,FALSE)*Paths!$R$334),"n.a."))</f>
        <v>0</v>
      </c>
    </row>
    <row r="3606" spans="1:20" ht="24" customHeight="1">
      <c r="A3606" s="1" t="str">
        <f>Paths!$A$334</f>
        <v>T082</v>
      </c>
      <c r="B3606" s="1">
        <f>Paths!$B$334</f>
        <v>3</v>
      </c>
      <c r="C3606" s="1">
        <v>2</v>
      </c>
      <c r="D3606" s="1">
        <v>334</v>
      </c>
      <c r="E3606" s="1">
        <f>IF(OR(Paths!$C$334=0,C3606=0),0,MAX(0,MIN(C3606*12,Paths!$E$334)-(C3606-1)*12))</f>
        <v>0</v>
      </c>
      <c r="F3606" s="1">
        <f>IF(OR(Paths!$C$334=0,C3606=0),0,12-E3606)</f>
        <v>0</v>
      </c>
      <c r="G3606" s="16">
        <f>IF(NOT(Paths!$C$334=1),0,IF(Paths!$P$334="Complete",E3606/12*(Paths!$J$334*(1+'Operating costs'!$B$51)^MAX(0,C3606-1)+Paths!$K$334*(1+'Operating costs'!$B$53)^MAX(0,C3606-1)),"n.a."))</f>
        <v>0</v>
      </c>
      <c r="H3606" s="16">
        <f>IF(NOT(Paths!$C$334=1),0,IF(Paths!$P$334="Complete",F3606/12*(Paths!$L$334*(1+IF(Paths!$D$334="EV",'Operating costs'!$B$52,'Operating costs'!$B$51))^MAX(0,C3606-1)+Paths!$M$334*(1+'Operating costs'!$B$53)^MAX(0,C3606-1)),"n.a."))</f>
        <v>0</v>
      </c>
      <c r="I3606" s="16">
        <f>IF(NOT(Paths!$C$334=1),0,IF(Paths!$P$334="Complete",IF(IF(Paths!$E$334=0,C3606=0,AND(C3606&gt;0,Paths!$E$334&gt;(C3606-1)*12,Paths!$E$334&lt;=C3606*12)),Paths!$G$334,0),"n.a."))</f>
        <v>0</v>
      </c>
      <c r="J3606" s="16">
        <f>IF(NOT(Paths!$C$334=1),0,IF(Paths!$P$334="Complete",IF(IF(Paths!$E$334=0,C3606=0,AND(C3606&gt;0,Paths!$E$334&gt;(C3606-1)*12,Paths!$E$334&lt;=C3606*12)),Paths!$H$334,0),"n.a."))</f>
        <v>0</v>
      </c>
      <c r="K3606" s="16">
        <f>IF(NOT(Paths!$C$334=1),0,IF(Paths!$P$334="Complete",IF(IF(Paths!$O$334=0,C3606=0,AND(C3606&gt;0,Paths!$O$334&gt;(C3606-1)*12,Paths!$O$334&lt;=C3606*12)),Paths!$N$334,0),"n.a."))</f>
        <v>0</v>
      </c>
      <c r="L3606" s="16">
        <f>IF(NOT(Paths!$C$334=1),0,IF(Paths!$P$334="Complete",IF(C3606=10,Paths!$I$334,0),"n.a."))</f>
        <v>0</v>
      </c>
      <c r="M3606" s="16">
        <f>IF(NOT(Paths!$C$334=1),0,IF(Paths!$P$334="Complete",IF(AND(Paths!$D$334="EV",Paths!$E$334&lt;120,Paths!$E$334+'Operating costs'!$B$65&gt;Paths!$E$334,Paths!$E$334+'Operating costs'!$B$65&lt;=120,IF(Paths!$E$334+'Operating costs'!$B$65=0,C3606=0,AND(C3606&gt;0,Paths!$E$334+'Operating costs'!$B$65&gt;(C3606-1)*12,Paths!$E$334+'Operating costs'!$B$65&lt;=C3606*12))),'Operating costs'!$B$64,0)+IF(AND('Operating costs'!$B$67&gt;0,'Operating costs'!$B$67&lt;=120,OR(Paths!$D$334="ICE",'Operating costs'!$B$67&lt;=Paths!$E$334),IF('Operating costs'!$B$67=0,C3606=0,AND(C3606&gt;0,'Operating costs'!$B$67&gt;(C3606-1)*12,'Operating costs'!$B$67&lt;=C3606*12))),'Operating costs'!$B$66,0),"n.a."))</f>
        <v>0</v>
      </c>
      <c r="N3606" s="16">
        <f>IF(NOT(Paths!$C$334=1),0,IF(Paths!$P$334="Complete",SUM(G3606:I3606)-J3606-K3606-L3606+M3606+IF(C3606=0,Paths!$F$334,0)+IF(IF(Paths!$E$334=0,C3606=0,AND(C3606&gt;0,Paths!$E$334&gt;(C3606-1)*12,Paths!$E$334&lt;=C3606*12)),VLOOKUP(A3606,'Fleet register'!$A$7:$S$106,16,FALSE),0),"n.a."))</f>
        <v>0</v>
      </c>
      <c r="O3606" s="16">
        <f>IF(NOT(Paths!$C$334=1),0,IF(Paths!$P$334="Complete",N3606-IF(C3606=0,Paths!$F$334,0),"n.a."))</f>
        <v>0</v>
      </c>
      <c r="P3606" s="16">
        <f>IF(NOT(Paths!$C$334=1),0,IF(Paths!$P$334="Complete",O3606+L3606,"n.a."))</f>
        <v>0</v>
      </c>
      <c r="Q3606" s="16">
        <f>IF(NOT(Paths!$C$334=1),0,IF(Paths!$P$334="Complete",N3606*(1+'Operating costs'!$B$54)^-C3606,"n.a."))</f>
        <v>0</v>
      </c>
      <c r="R3606" s="16">
        <f>IF(NOT(Paths!$C$334=1),0,IF(Paths!$P$334="Complete",IF(AND(C3606=0,Paths!$E$334=0),I3606-J3606-K3606+VLOOKUP(A3606,'Fleet register'!$A$7:$S$106,15,FALSE)+VLOOKUP(A3606,'Fleet register'!$A$7:$S$106,16,FALSE),0),"n.a."))</f>
        <v>0</v>
      </c>
      <c r="S3606" s="1">
        <f>IF(NOT(Paths!$C$334=1),0,IF(Paths!$P$334="Complete",IF(C3606=0,0,Paths!$S$334*Paths!$R$334),"n.a."))</f>
        <v>0</v>
      </c>
      <c r="T3606" s="1">
        <f>IF(NOT(Paths!$C$334=1),0,IF(Paths!$P$334="Complete",IF(C3606=0,0,VLOOKUP(A3606,'Fleet register'!$A$7:$S$106,9,FALSE)*Paths!$R$334),"n.a."))</f>
        <v>0</v>
      </c>
    </row>
    <row r="3607" spans="1:20" ht="24" customHeight="1">
      <c r="A3607" s="1" t="str">
        <f>Paths!$A$334</f>
        <v>T082</v>
      </c>
      <c r="B3607" s="1">
        <f>Paths!$B$334</f>
        <v>3</v>
      </c>
      <c r="C3607" s="1">
        <v>3</v>
      </c>
      <c r="D3607" s="1">
        <v>334</v>
      </c>
      <c r="E3607" s="1">
        <f>IF(OR(Paths!$C$334=0,C3607=0),0,MAX(0,MIN(C3607*12,Paths!$E$334)-(C3607-1)*12))</f>
        <v>0</v>
      </c>
      <c r="F3607" s="1">
        <f>IF(OR(Paths!$C$334=0,C3607=0),0,12-E3607)</f>
        <v>0</v>
      </c>
      <c r="G3607" s="16">
        <f>IF(NOT(Paths!$C$334=1),0,IF(Paths!$P$334="Complete",E3607/12*(Paths!$J$334*(1+'Operating costs'!$B$51)^MAX(0,C3607-1)+Paths!$K$334*(1+'Operating costs'!$B$53)^MAX(0,C3607-1)),"n.a."))</f>
        <v>0</v>
      </c>
      <c r="H3607" s="16">
        <f>IF(NOT(Paths!$C$334=1),0,IF(Paths!$P$334="Complete",F3607/12*(Paths!$L$334*(1+IF(Paths!$D$334="EV",'Operating costs'!$B$52,'Operating costs'!$B$51))^MAX(0,C3607-1)+Paths!$M$334*(1+'Operating costs'!$B$53)^MAX(0,C3607-1)),"n.a."))</f>
        <v>0</v>
      </c>
      <c r="I3607" s="16">
        <f>IF(NOT(Paths!$C$334=1),0,IF(Paths!$P$334="Complete",IF(IF(Paths!$E$334=0,C3607=0,AND(C3607&gt;0,Paths!$E$334&gt;(C3607-1)*12,Paths!$E$334&lt;=C3607*12)),Paths!$G$334,0),"n.a."))</f>
        <v>0</v>
      </c>
      <c r="J3607" s="16">
        <f>IF(NOT(Paths!$C$334=1),0,IF(Paths!$P$334="Complete",IF(IF(Paths!$E$334=0,C3607=0,AND(C3607&gt;0,Paths!$E$334&gt;(C3607-1)*12,Paths!$E$334&lt;=C3607*12)),Paths!$H$334,0),"n.a."))</f>
        <v>0</v>
      </c>
      <c r="K3607" s="16">
        <f>IF(NOT(Paths!$C$334=1),0,IF(Paths!$P$334="Complete",IF(IF(Paths!$O$334=0,C3607=0,AND(C3607&gt;0,Paths!$O$334&gt;(C3607-1)*12,Paths!$O$334&lt;=C3607*12)),Paths!$N$334,0),"n.a."))</f>
        <v>0</v>
      </c>
      <c r="L3607" s="16">
        <f>IF(NOT(Paths!$C$334=1),0,IF(Paths!$P$334="Complete",IF(C3607=10,Paths!$I$334,0),"n.a."))</f>
        <v>0</v>
      </c>
      <c r="M3607" s="16">
        <f>IF(NOT(Paths!$C$334=1),0,IF(Paths!$P$334="Complete",IF(AND(Paths!$D$334="EV",Paths!$E$334&lt;120,Paths!$E$334+'Operating costs'!$B$65&gt;Paths!$E$334,Paths!$E$334+'Operating costs'!$B$65&lt;=120,IF(Paths!$E$334+'Operating costs'!$B$65=0,C3607=0,AND(C3607&gt;0,Paths!$E$334+'Operating costs'!$B$65&gt;(C3607-1)*12,Paths!$E$334+'Operating costs'!$B$65&lt;=C3607*12))),'Operating costs'!$B$64,0)+IF(AND('Operating costs'!$B$67&gt;0,'Operating costs'!$B$67&lt;=120,OR(Paths!$D$334="ICE",'Operating costs'!$B$67&lt;=Paths!$E$334),IF('Operating costs'!$B$67=0,C3607=0,AND(C3607&gt;0,'Operating costs'!$B$67&gt;(C3607-1)*12,'Operating costs'!$B$67&lt;=C3607*12))),'Operating costs'!$B$66,0),"n.a."))</f>
        <v>0</v>
      </c>
      <c r="N3607" s="16">
        <f>IF(NOT(Paths!$C$334=1),0,IF(Paths!$P$334="Complete",SUM(G3607:I3607)-J3607-K3607-L3607+M3607+IF(C3607=0,Paths!$F$334,0)+IF(IF(Paths!$E$334=0,C3607=0,AND(C3607&gt;0,Paths!$E$334&gt;(C3607-1)*12,Paths!$E$334&lt;=C3607*12)),VLOOKUP(A3607,'Fleet register'!$A$7:$S$106,16,FALSE),0),"n.a."))</f>
        <v>0</v>
      </c>
      <c r="O3607" s="16">
        <f>IF(NOT(Paths!$C$334=1),0,IF(Paths!$P$334="Complete",N3607-IF(C3607=0,Paths!$F$334,0),"n.a."))</f>
        <v>0</v>
      </c>
      <c r="P3607" s="16">
        <f>IF(NOT(Paths!$C$334=1),0,IF(Paths!$P$334="Complete",O3607+L3607,"n.a."))</f>
        <v>0</v>
      </c>
      <c r="Q3607" s="16">
        <f>IF(NOT(Paths!$C$334=1),0,IF(Paths!$P$334="Complete",N3607*(1+'Operating costs'!$B$54)^-C3607,"n.a."))</f>
        <v>0</v>
      </c>
      <c r="R3607" s="16">
        <f>IF(NOT(Paths!$C$334=1),0,IF(Paths!$P$334="Complete",IF(AND(C3607=0,Paths!$E$334=0),I3607-J3607-K3607+VLOOKUP(A3607,'Fleet register'!$A$7:$S$106,15,FALSE)+VLOOKUP(A3607,'Fleet register'!$A$7:$S$106,16,FALSE),0),"n.a."))</f>
        <v>0</v>
      </c>
      <c r="S3607" s="1">
        <f>IF(NOT(Paths!$C$334=1),0,IF(Paths!$P$334="Complete",IF(C3607=0,0,Paths!$S$334*Paths!$R$334),"n.a."))</f>
        <v>0</v>
      </c>
      <c r="T3607" s="1">
        <f>IF(NOT(Paths!$C$334=1),0,IF(Paths!$P$334="Complete",IF(C3607=0,0,VLOOKUP(A3607,'Fleet register'!$A$7:$S$106,9,FALSE)*Paths!$R$334),"n.a."))</f>
        <v>0</v>
      </c>
    </row>
    <row r="3608" spans="1:20" ht="24" customHeight="1">
      <c r="A3608" s="1" t="str">
        <f>Paths!$A$334</f>
        <v>T082</v>
      </c>
      <c r="B3608" s="1">
        <f>Paths!$B$334</f>
        <v>3</v>
      </c>
      <c r="C3608" s="1">
        <v>4</v>
      </c>
      <c r="D3608" s="1">
        <v>334</v>
      </c>
      <c r="E3608" s="1">
        <f>IF(OR(Paths!$C$334=0,C3608=0),0,MAX(0,MIN(C3608*12,Paths!$E$334)-(C3608-1)*12))</f>
        <v>0</v>
      </c>
      <c r="F3608" s="1">
        <f>IF(OR(Paths!$C$334=0,C3608=0),0,12-E3608)</f>
        <v>0</v>
      </c>
      <c r="G3608" s="16">
        <f>IF(NOT(Paths!$C$334=1),0,IF(Paths!$P$334="Complete",E3608/12*(Paths!$J$334*(1+'Operating costs'!$B$51)^MAX(0,C3608-1)+Paths!$K$334*(1+'Operating costs'!$B$53)^MAX(0,C3608-1)),"n.a."))</f>
        <v>0</v>
      </c>
      <c r="H3608" s="16">
        <f>IF(NOT(Paths!$C$334=1),0,IF(Paths!$P$334="Complete",F3608/12*(Paths!$L$334*(1+IF(Paths!$D$334="EV",'Operating costs'!$B$52,'Operating costs'!$B$51))^MAX(0,C3608-1)+Paths!$M$334*(1+'Operating costs'!$B$53)^MAX(0,C3608-1)),"n.a."))</f>
        <v>0</v>
      </c>
      <c r="I3608" s="16">
        <f>IF(NOT(Paths!$C$334=1),0,IF(Paths!$P$334="Complete",IF(IF(Paths!$E$334=0,C3608=0,AND(C3608&gt;0,Paths!$E$334&gt;(C3608-1)*12,Paths!$E$334&lt;=C3608*12)),Paths!$G$334,0),"n.a."))</f>
        <v>0</v>
      </c>
      <c r="J3608" s="16">
        <f>IF(NOT(Paths!$C$334=1),0,IF(Paths!$P$334="Complete",IF(IF(Paths!$E$334=0,C3608=0,AND(C3608&gt;0,Paths!$E$334&gt;(C3608-1)*12,Paths!$E$334&lt;=C3608*12)),Paths!$H$334,0),"n.a."))</f>
        <v>0</v>
      </c>
      <c r="K3608" s="16">
        <f>IF(NOT(Paths!$C$334=1),0,IF(Paths!$P$334="Complete",IF(IF(Paths!$O$334=0,C3608=0,AND(C3608&gt;0,Paths!$O$334&gt;(C3608-1)*12,Paths!$O$334&lt;=C3608*12)),Paths!$N$334,0),"n.a."))</f>
        <v>0</v>
      </c>
      <c r="L3608" s="16">
        <f>IF(NOT(Paths!$C$334=1),0,IF(Paths!$P$334="Complete",IF(C3608=10,Paths!$I$334,0),"n.a."))</f>
        <v>0</v>
      </c>
      <c r="M3608" s="16">
        <f>IF(NOT(Paths!$C$334=1),0,IF(Paths!$P$334="Complete",IF(AND(Paths!$D$334="EV",Paths!$E$334&lt;120,Paths!$E$334+'Operating costs'!$B$65&gt;Paths!$E$334,Paths!$E$334+'Operating costs'!$B$65&lt;=120,IF(Paths!$E$334+'Operating costs'!$B$65=0,C3608=0,AND(C3608&gt;0,Paths!$E$334+'Operating costs'!$B$65&gt;(C3608-1)*12,Paths!$E$334+'Operating costs'!$B$65&lt;=C3608*12))),'Operating costs'!$B$64,0)+IF(AND('Operating costs'!$B$67&gt;0,'Operating costs'!$B$67&lt;=120,OR(Paths!$D$334="ICE",'Operating costs'!$B$67&lt;=Paths!$E$334),IF('Operating costs'!$B$67=0,C3608=0,AND(C3608&gt;0,'Operating costs'!$B$67&gt;(C3608-1)*12,'Operating costs'!$B$67&lt;=C3608*12))),'Operating costs'!$B$66,0),"n.a."))</f>
        <v>0</v>
      </c>
      <c r="N3608" s="16">
        <f>IF(NOT(Paths!$C$334=1),0,IF(Paths!$P$334="Complete",SUM(G3608:I3608)-J3608-K3608-L3608+M3608+IF(C3608=0,Paths!$F$334,0)+IF(IF(Paths!$E$334=0,C3608=0,AND(C3608&gt;0,Paths!$E$334&gt;(C3608-1)*12,Paths!$E$334&lt;=C3608*12)),VLOOKUP(A3608,'Fleet register'!$A$7:$S$106,16,FALSE),0),"n.a."))</f>
        <v>0</v>
      </c>
      <c r="O3608" s="16">
        <f>IF(NOT(Paths!$C$334=1),0,IF(Paths!$P$334="Complete",N3608-IF(C3608=0,Paths!$F$334,0),"n.a."))</f>
        <v>0</v>
      </c>
      <c r="P3608" s="16">
        <f>IF(NOT(Paths!$C$334=1),0,IF(Paths!$P$334="Complete",O3608+L3608,"n.a."))</f>
        <v>0</v>
      </c>
      <c r="Q3608" s="16">
        <f>IF(NOT(Paths!$C$334=1),0,IF(Paths!$P$334="Complete",N3608*(1+'Operating costs'!$B$54)^-C3608,"n.a."))</f>
        <v>0</v>
      </c>
      <c r="R3608" s="16">
        <f>IF(NOT(Paths!$C$334=1),0,IF(Paths!$P$334="Complete",IF(AND(C3608=0,Paths!$E$334=0),I3608-J3608-K3608+VLOOKUP(A3608,'Fleet register'!$A$7:$S$106,15,FALSE)+VLOOKUP(A3608,'Fleet register'!$A$7:$S$106,16,FALSE),0),"n.a."))</f>
        <v>0</v>
      </c>
      <c r="S3608" s="1">
        <f>IF(NOT(Paths!$C$334=1),0,IF(Paths!$P$334="Complete",IF(C3608=0,0,Paths!$S$334*Paths!$R$334),"n.a."))</f>
        <v>0</v>
      </c>
      <c r="T3608" s="1">
        <f>IF(NOT(Paths!$C$334=1),0,IF(Paths!$P$334="Complete",IF(C3608=0,0,VLOOKUP(A3608,'Fleet register'!$A$7:$S$106,9,FALSE)*Paths!$R$334),"n.a."))</f>
        <v>0</v>
      </c>
    </row>
    <row r="3609" spans="1:20" ht="24" customHeight="1">
      <c r="A3609" s="1" t="str">
        <f>Paths!$A$334</f>
        <v>T082</v>
      </c>
      <c r="B3609" s="1">
        <f>Paths!$B$334</f>
        <v>3</v>
      </c>
      <c r="C3609" s="1">
        <v>5</v>
      </c>
      <c r="D3609" s="1">
        <v>334</v>
      </c>
      <c r="E3609" s="1">
        <f>IF(OR(Paths!$C$334=0,C3609=0),0,MAX(0,MIN(C3609*12,Paths!$E$334)-(C3609-1)*12))</f>
        <v>0</v>
      </c>
      <c r="F3609" s="1">
        <f>IF(OR(Paths!$C$334=0,C3609=0),0,12-E3609)</f>
        <v>0</v>
      </c>
      <c r="G3609" s="16">
        <f>IF(NOT(Paths!$C$334=1),0,IF(Paths!$P$334="Complete",E3609/12*(Paths!$J$334*(1+'Operating costs'!$B$51)^MAX(0,C3609-1)+Paths!$K$334*(1+'Operating costs'!$B$53)^MAX(0,C3609-1)),"n.a."))</f>
        <v>0</v>
      </c>
      <c r="H3609" s="16">
        <f>IF(NOT(Paths!$C$334=1),0,IF(Paths!$P$334="Complete",F3609/12*(Paths!$L$334*(1+IF(Paths!$D$334="EV",'Operating costs'!$B$52,'Operating costs'!$B$51))^MAX(0,C3609-1)+Paths!$M$334*(1+'Operating costs'!$B$53)^MAX(0,C3609-1)),"n.a."))</f>
        <v>0</v>
      </c>
      <c r="I3609" s="16">
        <f>IF(NOT(Paths!$C$334=1),0,IF(Paths!$P$334="Complete",IF(IF(Paths!$E$334=0,C3609=0,AND(C3609&gt;0,Paths!$E$334&gt;(C3609-1)*12,Paths!$E$334&lt;=C3609*12)),Paths!$G$334,0),"n.a."))</f>
        <v>0</v>
      </c>
      <c r="J3609" s="16">
        <f>IF(NOT(Paths!$C$334=1),0,IF(Paths!$P$334="Complete",IF(IF(Paths!$E$334=0,C3609=0,AND(C3609&gt;0,Paths!$E$334&gt;(C3609-1)*12,Paths!$E$334&lt;=C3609*12)),Paths!$H$334,0),"n.a."))</f>
        <v>0</v>
      </c>
      <c r="K3609" s="16">
        <f>IF(NOT(Paths!$C$334=1),0,IF(Paths!$P$334="Complete",IF(IF(Paths!$O$334=0,C3609=0,AND(C3609&gt;0,Paths!$O$334&gt;(C3609-1)*12,Paths!$O$334&lt;=C3609*12)),Paths!$N$334,0),"n.a."))</f>
        <v>0</v>
      </c>
      <c r="L3609" s="16">
        <f>IF(NOT(Paths!$C$334=1),0,IF(Paths!$P$334="Complete",IF(C3609=10,Paths!$I$334,0),"n.a."))</f>
        <v>0</v>
      </c>
      <c r="M3609" s="16">
        <f>IF(NOT(Paths!$C$334=1),0,IF(Paths!$P$334="Complete",IF(AND(Paths!$D$334="EV",Paths!$E$334&lt;120,Paths!$E$334+'Operating costs'!$B$65&gt;Paths!$E$334,Paths!$E$334+'Operating costs'!$B$65&lt;=120,IF(Paths!$E$334+'Operating costs'!$B$65=0,C3609=0,AND(C3609&gt;0,Paths!$E$334+'Operating costs'!$B$65&gt;(C3609-1)*12,Paths!$E$334+'Operating costs'!$B$65&lt;=C3609*12))),'Operating costs'!$B$64,0)+IF(AND('Operating costs'!$B$67&gt;0,'Operating costs'!$B$67&lt;=120,OR(Paths!$D$334="ICE",'Operating costs'!$B$67&lt;=Paths!$E$334),IF('Operating costs'!$B$67=0,C3609=0,AND(C3609&gt;0,'Operating costs'!$B$67&gt;(C3609-1)*12,'Operating costs'!$B$67&lt;=C3609*12))),'Operating costs'!$B$66,0),"n.a."))</f>
        <v>0</v>
      </c>
      <c r="N3609" s="16">
        <f>IF(NOT(Paths!$C$334=1),0,IF(Paths!$P$334="Complete",SUM(G3609:I3609)-J3609-K3609-L3609+M3609+IF(C3609=0,Paths!$F$334,0)+IF(IF(Paths!$E$334=0,C3609=0,AND(C3609&gt;0,Paths!$E$334&gt;(C3609-1)*12,Paths!$E$334&lt;=C3609*12)),VLOOKUP(A3609,'Fleet register'!$A$7:$S$106,16,FALSE),0),"n.a."))</f>
        <v>0</v>
      </c>
      <c r="O3609" s="16">
        <f>IF(NOT(Paths!$C$334=1),0,IF(Paths!$P$334="Complete",N3609-IF(C3609=0,Paths!$F$334,0),"n.a."))</f>
        <v>0</v>
      </c>
      <c r="P3609" s="16">
        <f>IF(NOT(Paths!$C$334=1),0,IF(Paths!$P$334="Complete",O3609+L3609,"n.a."))</f>
        <v>0</v>
      </c>
      <c r="Q3609" s="16">
        <f>IF(NOT(Paths!$C$334=1),0,IF(Paths!$P$334="Complete",N3609*(1+'Operating costs'!$B$54)^-C3609,"n.a."))</f>
        <v>0</v>
      </c>
      <c r="R3609" s="16">
        <f>IF(NOT(Paths!$C$334=1),0,IF(Paths!$P$334="Complete",IF(AND(C3609=0,Paths!$E$334=0),I3609-J3609-K3609+VLOOKUP(A3609,'Fleet register'!$A$7:$S$106,15,FALSE)+VLOOKUP(A3609,'Fleet register'!$A$7:$S$106,16,FALSE),0),"n.a."))</f>
        <v>0</v>
      </c>
      <c r="S3609" s="1">
        <f>IF(NOT(Paths!$C$334=1),0,IF(Paths!$P$334="Complete",IF(C3609=0,0,Paths!$S$334*Paths!$R$334),"n.a."))</f>
        <v>0</v>
      </c>
      <c r="T3609" s="1">
        <f>IF(NOT(Paths!$C$334=1),0,IF(Paths!$P$334="Complete",IF(C3609=0,0,VLOOKUP(A3609,'Fleet register'!$A$7:$S$106,9,FALSE)*Paths!$R$334),"n.a."))</f>
        <v>0</v>
      </c>
    </row>
    <row r="3610" spans="1:20" ht="24" customHeight="1">
      <c r="A3610" s="1" t="str">
        <f>Paths!$A$334</f>
        <v>T082</v>
      </c>
      <c r="B3610" s="1">
        <f>Paths!$B$334</f>
        <v>3</v>
      </c>
      <c r="C3610" s="1">
        <v>6</v>
      </c>
      <c r="D3610" s="1">
        <v>334</v>
      </c>
      <c r="E3610" s="1">
        <f>IF(OR(Paths!$C$334=0,C3610=0),0,MAX(0,MIN(C3610*12,Paths!$E$334)-(C3610-1)*12))</f>
        <v>0</v>
      </c>
      <c r="F3610" s="1">
        <f>IF(OR(Paths!$C$334=0,C3610=0),0,12-E3610)</f>
        <v>0</v>
      </c>
      <c r="G3610" s="16">
        <f>IF(NOT(Paths!$C$334=1),0,IF(Paths!$P$334="Complete",E3610/12*(Paths!$J$334*(1+'Operating costs'!$B$51)^MAX(0,C3610-1)+Paths!$K$334*(1+'Operating costs'!$B$53)^MAX(0,C3610-1)),"n.a."))</f>
        <v>0</v>
      </c>
      <c r="H3610" s="16">
        <f>IF(NOT(Paths!$C$334=1),0,IF(Paths!$P$334="Complete",F3610/12*(Paths!$L$334*(1+IF(Paths!$D$334="EV",'Operating costs'!$B$52,'Operating costs'!$B$51))^MAX(0,C3610-1)+Paths!$M$334*(1+'Operating costs'!$B$53)^MAX(0,C3610-1)),"n.a."))</f>
        <v>0</v>
      </c>
      <c r="I3610" s="16">
        <f>IF(NOT(Paths!$C$334=1),0,IF(Paths!$P$334="Complete",IF(IF(Paths!$E$334=0,C3610=0,AND(C3610&gt;0,Paths!$E$334&gt;(C3610-1)*12,Paths!$E$334&lt;=C3610*12)),Paths!$G$334,0),"n.a."))</f>
        <v>0</v>
      </c>
      <c r="J3610" s="16">
        <f>IF(NOT(Paths!$C$334=1),0,IF(Paths!$P$334="Complete",IF(IF(Paths!$E$334=0,C3610=0,AND(C3610&gt;0,Paths!$E$334&gt;(C3610-1)*12,Paths!$E$334&lt;=C3610*12)),Paths!$H$334,0),"n.a."))</f>
        <v>0</v>
      </c>
      <c r="K3610" s="16">
        <f>IF(NOT(Paths!$C$334=1),0,IF(Paths!$P$334="Complete",IF(IF(Paths!$O$334=0,C3610=0,AND(C3610&gt;0,Paths!$O$334&gt;(C3610-1)*12,Paths!$O$334&lt;=C3610*12)),Paths!$N$334,0),"n.a."))</f>
        <v>0</v>
      </c>
      <c r="L3610" s="16">
        <f>IF(NOT(Paths!$C$334=1),0,IF(Paths!$P$334="Complete",IF(C3610=10,Paths!$I$334,0),"n.a."))</f>
        <v>0</v>
      </c>
      <c r="M3610" s="16">
        <f>IF(NOT(Paths!$C$334=1),0,IF(Paths!$P$334="Complete",IF(AND(Paths!$D$334="EV",Paths!$E$334&lt;120,Paths!$E$334+'Operating costs'!$B$65&gt;Paths!$E$334,Paths!$E$334+'Operating costs'!$B$65&lt;=120,IF(Paths!$E$334+'Operating costs'!$B$65=0,C3610=0,AND(C3610&gt;0,Paths!$E$334+'Operating costs'!$B$65&gt;(C3610-1)*12,Paths!$E$334+'Operating costs'!$B$65&lt;=C3610*12))),'Operating costs'!$B$64,0)+IF(AND('Operating costs'!$B$67&gt;0,'Operating costs'!$B$67&lt;=120,OR(Paths!$D$334="ICE",'Operating costs'!$B$67&lt;=Paths!$E$334),IF('Operating costs'!$B$67=0,C3610=0,AND(C3610&gt;0,'Operating costs'!$B$67&gt;(C3610-1)*12,'Operating costs'!$B$67&lt;=C3610*12))),'Operating costs'!$B$66,0),"n.a."))</f>
        <v>0</v>
      </c>
      <c r="N3610" s="16">
        <f>IF(NOT(Paths!$C$334=1),0,IF(Paths!$P$334="Complete",SUM(G3610:I3610)-J3610-K3610-L3610+M3610+IF(C3610=0,Paths!$F$334,0)+IF(IF(Paths!$E$334=0,C3610=0,AND(C3610&gt;0,Paths!$E$334&gt;(C3610-1)*12,Paths!$E$334&lt;=C3610*12)),VLOOKUP(A3610,'Fleet register'!$A$7:$S$106,16,FALSE),0),"n.a."))</f>
        <v>0</v>
      </c>
      <c r="O3610" s="16">
        <f>IF(NOT(Paths!$C$334=1),0,IF(Paths!$P$334="Complete",N3610-IF(C3610=0,Paths!$F$334,0),"n.a."))</f>
        <v>0</v>
      </c>
      <c r="P3610" s="16">
        <f>IF(NOT(Paths!$C$334=1),0,IF(Paths!$P$334="Complete",O3610+L3610,"n.a."))</f>
        <v>0</v>
      </c>
      <c r="Q3610" s="16">
        <f>IF(NOT(Paths!$C$334=1),0,IF(Paths!$P$334="Complete",N3610*(1+'Operating costs'!$B$54)^-C3610,"n.a."))</f>
        <v>0</v>
      </c>
      <c r="R3610" s="16">
        <f>IF(NOT(Paths!$C$334=1),0,IF(Paths!$P$334="Complete",IF(AND(C3610=0,Paths!$E$334=0),I3610-J3610-K3610+VLOOKUP(A3610,'Fleet register'!$A$7:$S$106,15,FALSE)+VLOOKUP(A3610,'Fleet register'!$A$7:$S$106,16,FALSE),0),"n.a."))</f>
        <v>0</v>
      </c>
      <c r="S3610" s="1">
        <f>IF(NOT(Paths!$C$334=1),0,IF(Paths!$P$334="Complete",IF(C3610=0,0,Paths!$S$334*Paths!$R$334),"n.a."))</f>
        <v>0</v>
      </c>
      <c r="T3610" s="1">
        <f>IF(NOT(Paths!$C$334=1),0,IF(Paths!$P$334="Complete",IF(C3610=0,0,VLOOKUP(A3610,'Fleet register'!$A$7:$S$106,9,FALSE)*Paths!$R$334),"n.a."))</f>
        <v>0</v>
      </c>
    </row>
    <row r="3611" spans="1:20" ht="24" customHeight="1">
      <c r="A3611" s="1" t="str">
        <f>Paths!$A$334</f>
        <v>T082</v>
      </c>
      <c r="B3611" s="1">
        <f>Paths!$B$334</f>
        <v>3</v>
      </c>
      <c r="C3611" s="1">
        <v>7</v>
      </c>
      <c r="D3611" s="1">
        <v>334</v>
      </c>
      <c r="E3611" s="1">
        <f>IF(OR(Paths!$C$334=0,C3611=0),0,MAX(0,MIN(C3611*12,Paths!$E$334)-(C3611-1)*12))</f>
        <v>0</v>
      </c>
      <c r="F3611" s="1">
        <f>IF(OR(Paths!$C$334=0,C3611=0),0,12-E3611)</f>
        <v>0</v>
      </c>
      <c r="G3611" s="16">
        <f>IF(NOT(Paths!$C$334=1),0,IF(Paths!$P$334="Complete",E3611/12*(Paths!$J$334*(1+'Operating costs'!$B$51)^MAX(0,C3611-1)+Paths!$K$334*(1+'Operating costs'!$B$53)^MAX(0,C3611-1)),"n.a."))</f>
        <v>0</v>
      </c>
      <c r="H3611" s="16">
        <f>IF(NOT(Paths!$C$334=1),0,IF(Paths!$P$334="Complete",F3611/12*(Paths!$L$334*(1+IF(Paths!$D$334="EV",'Operating costs'!$B$52,'Operating costs'!$B$51))^MAX(0,C3611-1)+Paths!$M$334*(1+'Operating costs'!$B$53)^MAX(0,C3611-1)),"n.a."))</f>
        <v>0</v>
      </c>
      <c r="I3611" s="16">
        <f>IF(NOT(Paths!$C$334=1),0,IF(Paths!$P$334="Complete",IF(IF(Paths!$E$334=0,C3611=0,AND(C3611&gt;0,Paths!$E$334&gt;(C3611-1)*12,Paths!$E$334&lt;=C3611*12)),Paths!$G$334,0),"n.a."))</f>
        <v>0</v>
      </c>
      <c r="J3611" s="16">
        <f>IF(NOT(Paths!$C$334=1),0,IF(Paths!$P$334="Complete",IF(IF(Paths!$E$334=0,C3611=0,AND(C3611&gt;0,Paths!$E$334&gt;(C3611-1)*12,Paths!$E$334&lt;=C3611*12)),Paths!$H$334,0),"n.a."))</f>
        <v>0</v>
      </c>
      <c r="K3611" s="16">
        <f>IF(NOT(Paths!$C$334=1),0,IF(Paths!$P$334="Complete",IF(IF(Paths!$O$334=0,C3611=0,AND(C3611&gt;0,Paths!$O$334&gt;(C3611-1)*12,Paths!$O$334&lt;=C3611*12)),Paths!$N$334,0),"n.a."))</f>
        <v>0</v>
      </c>
      <c r="L3611" s="16">
        <f>IF(NOT(Paths!$C$334=1),0,IF(Paths!$P$334="Complete",IF(C3611=10,Paths!$I$334,0),"n.a."))</f>
        <v>0</v>
      </c>
      <c r="M3611" s="16">
        <f>IF(NOT(Paths!$C$334=1),0,IF(Paths!$P$334="Complete",IF(AND(Paths!$D$334="EV",Paths!$E$334&lt;120,Paths!$E$334+'Operating costs'!$B$65&gt;Paths!$E$334,Paths!$E$334+'Operating costs'!$B$65&lt;=120,IF(Paths!$E$334+'Operating costs'!$B$65=0,C3611=0,AND(C3611&gt;0,Paths!$E$334+'Operating costs'!$B$65&gt;(C3611-1)*12,Paths!$E$334+'Operating costs'!$B$65&lt;=C3611*12))),'Operating costs'!$B$64,0)+IF(AND('Operating costs'!$B$67&gt;0,'Operating costs'!$B$67&lt;=120,OR(Paths!$D$334="ICE",'Operating costs'!$B$67&lt;=Paths!$E$334),IF('Operating costs'!$B$67=0,C3611=0,AND(C3611&gt;0,'Operating costs'!$B$67&gt;(C3611-1)*12,'Operating costs'!$B$67&lt;=C3611*12))),'Operating costs'!$B$66,0),"n.a."))</f>
        <v>0</v>
      </c>
      <c r="N3611" s="16">
        <f>IF(NOT(Paths!$C$334=1),0,IF(Paths!$P$334="Complete",SUM(G3611:I3611)-J3611-K3611-L3611+M3611+IF(C3611=0,Paths!$F$334,0)+IF(IF(Paths!$E$334=0,C3611=0,AND(C3611&gt;0,Paths!$E$334&gt;(C3611-1)*12,Paths!$E$334&lt;=C3611*12)),VLOOKUP(A3611,'Fleet register'!$A$7:$S$106,16,FALSE),0),"n.a."))</f>
        <v>0</v>
      </c>
      <c r="O3611" s="16">
        <f>IF(NOT(Paths!$C$334=1),0,IF(Paths!$P$334="Complete",N3611-IF(C3611=0,Paths!$F$334,0),"n.a."))</f>
        <v>0</v>
      </c>
      <c r="P3611" s="16">
        <f>IF(NOT(Paths!$C$334=1),0,IF(Paths!$P$334="Complete",O3611+L3611,"n.a."))</f>
        <v>0</v>
      </c>
      <c r="Q3611" s="16">
        <f>IF(NOT(Paths!$C$334=1),0,IF(Paths!$P$334="Complete",N3611*(1+'Operating costs'!$B$54)^-C3611,"n.a."))</f>
        <v>0</v>
      </c>
      <c r="R3611" s="16">
        <f>IF(NOT(Paths!$C$334=1),0,IF(Paths!$P$334="Complete",IF(AND(C3611=0,Paths!$E$334=0),I3611-J3611-K3611+VLOOKUP(A3611,'Fleet register'!$A$7:$S$106,15,FALSE)+VLOOKUP(A3611,'Fleet register'!$A$7:$S$106,16,FALSE),0),"n.a."))</f>
        <v>0</v>
      </c>
      <c r="S3611" s="1">
        <f>IF(NOT(Paths!$C$334=1),0,IF(Paths!$P$334="Complete",IF(C3611=0,0,Paths!$S$334*Paths!$R$334),"n.a."))</f>
        <v>0</v>
      </c>
      <c r="T3611" s="1">
        <f>IF(NOT(Paths!$C$334=1),0,IF(Paths!$P$334="Complete",IF(C3611=0,0,VLOOKUP(A3611,'Fleet register'!$A$7:$S$106,9,FALSE)*Paths!$R$334),"n.a."))</f>
        <v>0</v>
      </c>
    </row>
    <row r="3612" spans="1:20" ht="24" customHeight="1">
      <c r="A3612" s="1" t="str">
        <f>Paths!$A$334</f>
        <v>T082</v>
      </c>
      <c r="B3612" s="1">
        <f>Paths!$B$334</f>
        <v>3</v>
      </c>
      <c r="C3612" s="1">
        <v>8</v>
      </c>
      <c r="D3612" s="1">
        <v>334</v>
      </c>
      <c r="E3612" s="1">
        <f>IF(OR(Paths!$C$334=0,C3612=0),0,MAX(0,MIN(C3612*12,Paths!$E$334)-(C3612-1)*12))</f>
        <v>0</v>
      </c>
      <c r="F3612" s="1">
        <f>IF(OR(Paths!$C$334=0,C3612=0),0,12-E3612)</f>
        <v>0</v>
      </c>
      <c r="G3612" s="16">
        <f>IF(NOT(Paths!$C$334=1),0,IF(Paths!$P$334="Complete",E3612/12*(Paths!$J$334*(1+'Operating costs'!$B$51)^MAX(0,C3612-1)+Paths!$K$334*(1+'Operating costs'!$B$53)^MAX(0,C3612-1)),"n.a."))</f>
        <v>0</v>
      </c>
      <c r="H3612" s="16">
        <f>IF(NOT(Paths!$C$334=1),0,IF(Paths!$P$334="Complete",F3612/12*(Paths!$L$334*(1+IF(Paths!$D$334="EV",'Operating costs'!$B$52,'Operating costs'!$B$51))^MAX(0,C3612-1)+Paths!$M$334*(1+'Operating costs'!$B$53)^MAX(0,C3612-1)),"n.a."))</f>
        <v>0</v>
      </c>
      <c r="I3612" s="16">
        <f>IF(NOT(Paths!$C$334=1),0,IF(Paths!$P$334="Complete",IF(IF(Paths!$E$334=0,C3612=0,AND(C3612&gt;0,Paths!$E$334&gt;(C3612-1)*12,Paths!$E$334&lt;=C3612*12)),Paths!$G$334,0),"n.a."))</f>
        <v>0</v>
      </c>
      <c r="J3612" s="16">
        <f>IF(NOT(Paths!$C$334=1),0,IF(Paths!$P$334="Complete",IF(IF(Paths!$E$334=0,C3612=0,AND(C3612&gt;0,Paths!$E$334&gt;(C3612-1)*12,Paths!$E$334&lt;=C3612*12)),Paths!$H$334,0),"n.a."))</f>
        <v>0</v>
      </c>
      <c r="K3612" s="16">
        <f>IF(NOT(Paths!$C$334=1),0,IF(Paths!$P$334="Complete",IF(IF(Paths!$O$334=0,C3612=0,AND(C3612&gt;0,Paths!$O$334&gt;(C3612-1)*12,Paths!$O$334&lt;=C3612*12)),Paths!$N$334,0),"n.a."))</f>
        <v>0</v>
      </c>
      <c r="L3612" s="16">
        <f>IF(NOT(Paths!$C$334=1),0,IF(Paths!$P$334="Complete",IF(C3612=10,Paths!$I$334,0),"n.a."))</f>
        <v>0</v>
      </c>
      <c r="M3612" s="16">
        <f>IF(NOT(Paths!$C$334=1),0,IF(Paths!$P$334="Complete",IF(AND(Paths!$D$334="EV",Paths!$E$334&lt;120,Paths!$E$334+'Operating costs'!$B$65&gt;Paths!$E$334,Paths!$E$334+'Operating costs'!$B$65&lt;=120,IF(Paths!$E$334+'Operating costs'!$B$65=0,C3612=0,AND(C3612&gt;0,Paths!$E$334+'Operating costs'!$B$65&gt;(C3612-1)*12,Paths!$E$334+'Operating costs'!$B$65&lt;=C3612*12))),'Operating costs'!$B$64,0)+IF(AND('Operating costs'!$B$67&gt;0,'Operating costs'!$B$67&lt;=120,OR(Paths!$D$334="ICE",'Operating costs'!$B$67&lt;=Paths!$E$334),IF('Operating costs'!$B$67=0,C3612=0,AND(C3612&gt;0,'Operating costs'!$B$67&gt;(C3612-1)*12,'Operating costs'!$B$67&lt;=C3612*12))),'Operating costs'!$B$66,0),"n.a."))</f>
        <v>0</v>
      </c>
      <c r="N3612" s="16">
        <f>IF(NOT(Paths!$C$334=1),0,IF(Paths!$P$334="Complete",SUM(G3612:I3612)-J3612-K3612-L3612+M3612+IF(C3612=0,Paths!$F$334,0)+IF(IF(Paths!$E$334=0,C3612=0,AND(C3612&gt;0,Paths!$E$334&gt;(C3612-1)*12,Paths!$E$334&lt;=C3612*12)),VLOOKUP(A3612,'Fleet register'!$A$7:$S$106,16,FALSE),0),"n.a."))</f>
        <v>0</v>
      </c>
      <c r="O3612" s="16">
        <f>IF(NOT(Paths!$C$334=1),0,IF(Paths!$P$334="Complete",N3612-IF(C3612=0,Paths!$F$334,0),"n.a."))</f>
        <v>0</v>
      </c>
      <c r="P3612" s="16">
        <f>IF(NOT(Paths!$C$334=1),0,IF(Paths!$P$334="Complete",O3612+L3612,"n.a."))</f>
        <v>0</v>
      </c>
      <c r="Q3612" s="16">
        <f>IF(NOT(Paths!$C$334=1),0,IF(Paths!$P$334="Complete",N3612*(1+'Operating costs'!$B$54)^-C3612,"n.a."))</f>
        <v>0</v>
      </c>
      <c r="R3612" s="16">
        <f>IF(NOT(Paths!$C$334=1),0,IF(Paths!$P$334="Complete",IF(AND(C3612=0,Paths!$E$334=0),I3612-J3612-K3612+VLOOKUP(A3612,'Fleet register'!$A$7:$S$106,15,FALSE)+VLOOKUP(A3612,'Fleet register'!$A$7:$S$106,16,FALSE),0),"n.a."))</f>
        <v>0</v>
      </c>
      <c r="S3612" s="1">
        <f>IF(NOT(Paths!$C$334=1),0,IF(Paths!$P$334="Complete",IF(C3612=0,0,Paths!$S$334*Paths!$R$334),"n.a."))</f>
        <v>0</v>
      </c>
      <c r="T3612" s="1">
        <f>IF(NOT(Paths!$C$334=1),0,IF(Paths!$P$334="Complete",IF(C3612=0,0,VLOOKUP(A3612,'Fleet register'!$A$7:$S$106,9,FALSE)*Paths!$R$334),"n.a."))</f>
        <v>0</v>
      </c>
    </row>
    <row r="3613" spans="1:20" ht="24" customHeight="1">
      <c r="A3613" s="1" t="str">
        <f>Paths!$A$334</f>
        <v>T082</v>
      </c>
      <c r="B3613" s="1">
        <f>Paths!$B$334</f>
        <v>3</v>
      </c>
      <c r="C3613" s="1">
        <v>9</v>
      </c>
      <c r="D3613" s="1">
        <v>334</v>
      </c>
      <c r="E3613" s="1">
        <f>IF(OR(Paths!$C$334=0,C3613=0),0,MAX(0,MIN(C3613*12,Paths!$E$334)-(C3613-1)*12))</f>
        <v>0</v>
      </c>
      <c r="F3613" s="1">
        <f>IF(OR(Paths!$C$334=0,C3613=0),0,12-E3613)</f>
        <v>0</v>
      </c>
      <c r="G3613" s="16">
        <f>IF(NOT(Paths!$C$334=1),0,IF(Paths!$P$334="Complete",E3613/12*(Paths!$J$334*(1+'Operating costs'!$B$51)^MAX(0,C3613-1)+Paths!$K$334*(1+'Operating costs'!$B$53)^MAX(0,C3613-1)),"n.a."))</f>
        <v>0</v>
      </c>
      <c r="H3613" s="16">
        <f>IF(NOT(Paths!$C$334=1),0,IF(Paths!$P$334="Complete",F3613/12*(Paths!$L$334*(1+IF(Paths!$D$334="EV",'Operating costs'!$B$52,'Operating costs'!$B$51))^MAX(0,C3613-1)+Paths!$M$334*(1+'Operating costs'!$B$53)^MAX(0,C3613-1)),"n.a."))</f>
        <v>0</v>
      </c>
      <c r="I3613" s="16">
        <f>IF(NOT(Paths!$C$334=1),0,IF(Paths!$P$334="Complete",IF(IF(Paths!$E$334=0,C3613=0,AND(C3613&gt;0,Paths!$E$334&gt;(C3613-1)*12,Paths!$E$334&lt;=C3613*12)),Paths!$G$334,0),"n.a."))</f>
        <v>0</v>
      </c>
      <c r="J3613" s="16">
        <f>IF(NOT(Paths!$C$334=1),0,IF(Paths!$P$334="Complete",IF(IF(Paths!$E$334=0,C3613=0,AND(C3613&gt;0,Paths!$E$334&gt;(C3613-1)*12,Paths!$E$334&lt;=C3613*12)),Paths!$H$334,0),"n.a."))</f>
        <v>0</v>
      </c>
      <c r="K3613" s="16">
        <f>IF(NOT(Paths!$C$334=1),0,IF(Paths!$P$334="Complete",IF(IF(Paths!$O$334=0,C3613=0,AND(C3613&gt;0,Paths!$O$334&gt;(C3613-1)*12,Paths!$O$334&lt;=C3613*12)),Paths!$N$334,0),"n.a."))</f>
        <v>0</v>
      </c>
      <c r="L3613" s="16">
        <f>IF(NOT(Paths!$C$334=1),0,IF(Paths!$P$334="Complete",IF(C3613=10,Paths!$I$334,0),"n.a."))</f>
        <v>0</v>
      </c>
      <c r="M3613" s="16">
        <f>IF(NOT(Paths!$C$334=1),0,IF(Paths!$P$334="Complete",IF(AND(Paths!$D$334="EV",Paths!$E$334&lt;120,Paths!$E$334+'Operating costs'!$B$65&gt;Paths!$E$334,Paths!$E$334+'Operating costs'!$B$65&lt;=120,IF(Paths!$E$334+'Operating costs'!$B$65=0,C3613=0,AND(C3613&gt;0,Paths!$E$334+'Operating costs'!$B$65&gt;(C3613-1)*12,Paths!$E$334+'Operating costs'!$B$65&lt;=C3613*12))),'Operating costs'!$B$64,0)+IF(AND('Operating costs'!$B$67&gt;0,'Operating costs'!$B$67&lt;=120,OR(Paths!$D$334="ICE",'Operating costs'!$B$67&lt;=Paths!$E$334),IF('Operating costs'!$B$67=0,C3613=0,AND(C3613&gt;0,'Operating costs'!$B$67&gt;(C3613-1)*12,'Operating costs'!$B$67&lt;=C3613*12))),'Operating costs'!$B$66,0),"n.a."))</f>
        <v>0</v>
      </c>
      <c r="N3613" s="16">
        <f>IF(NOT(Paths!$C$334=1),0,IF(Paths!$P$334="Complete",SUM(G3613:I3613)-J3613-K3613-L3613+M3613+IF(C3613=0,Paths!$F$334,0)+IF(IF(Paths!$E$334=0,C3613=0,AND(C3613&gt;0,Paths!$E$334&gt;(C3613-1)*12,Paths!$E$334&lt;=C3613*12)),VLOOKUP(A3613,'Fleet register'!$A$7:$S$106,16,FALSE),0),"n.a."))</f>
        <v>0</v>
      </c>
      <c r="O3613" s="16">
        <f>IF(NOT(Paths!$C$334=1),0,IF(Paths!$P$334="Complete",N3613-IF(C3613=0,Paths!$F$334,0),"n.a."))</f>
        <v>0</v>
      </c>
      <c r="P3613" s="16">
        <f>IF(NOT(Paths!$C$334=1),0,IF(Paths!$P$334="Complete",O3613+L3613,"n.a."))</f>
        <v>0</v>
      </c>
      <c r="Q3613" s="16">
        <f>IF(NOT(Paths!$C$334=1),0,IF(Paths!$P$334="Complete",N3613*(1+'Operating costs'!$B$54)^-C3613,"n.a."))</f>
        <v>0</v>
      </c>
      <c r="R3613" s="16">
        <f>IF(NOT(Paths!$C$334=1),0,IF(Paths!$P$334="Complete",IF(AND(C3613=0,Paths!$E$334=0),I3613-J3613-K3613+VLOOKUP(A3613,'Fleet register'!$A$7:$S$106,15,FALSE)+VLOOKUP(A3613,'Fleet register'!$A$7:$S$106,16,FALSE),0),"n.a."))</f>
        <v>0</v>
      </c>
      <c r="S3613" s="1">
        <f>IF(NOT(Paths!$C$334=1),0,IF(Paths!$P$334="Complete",IF(C3613=0,0,Paths!$S$334*Paths!$R$334),"n.a."))</f>
        <v>0</v>
      </c>
      <c r="T3613" s="1">
        <f>IF(NOT(Paths!$C$334=1),0,IF(Paths!$P$334="Complete",IF(C3613=0,0,VLOOKUP(A3613,'Fleet register'!$A$7:$S$106,9,FALSE)*Paths!$R$334),"n.a."))</f>
        <v>0</v>
      </c>
    </row>
    <row r="3614" spans="1:20" ht="24" customHeight="1">
      <c r="A3614" s="1" t="str">
        <f>Paths!$A$334</f>
        <v>T082</v>
      </c>
      <c r="B3614" s="1">
        <f>Paths!$B$334</f>
        <v>3</v>
      </c>
      <c r="C3614" s="1">
        <v>10</v>
      </c>
      <c r="D3614" s="1">
        <v>334</v>
      </c>
      <c r="E3614" s="1">
        <f>IF(OR(Paths!$C$334=0,C3614=0),0,MAX(0,MIN(C3614*12,Paths!$E$334)-(C3614-1)*12))</f>
        <v>0</v>
      </c>
      <c r="F3614" s="1">
        <f>IF(OR(Paths!$C$334=0,C3614=0),0,12-E3614)</f>
        <v>0</v>
      </c>
      <c r="G3614" s="16">
        <f>IF(NOT(Paths!$C$334=1),0,IF(Paths!$P$334="Complete",E3614/12*(Paths!$J$334*(1+'Operating costs'!$B$51)^MAX(0,C3614-1)+Paths!$K$334*(1+'Operating costs'!$B$53)^MAX(0,C3614-1)),"n.a."))</f>
        <v>0</v>
      </c>
      <c r="H3614" s="16">
        <f>IF(NOT(Paths!$C$334=1),0,IF(Paths!$P$334="Complete",F3614/12*(Paths!$L$334*(1+IF(Paths!$D$334="EV",'Operating costs'!$B$52,'Operating costs'!$B$51))^MAX(0,C3614-1)+Paths!$M$334*(1+'Operating costs'!$B$53)^MAX(0,C3614-1)),"n.a."))</f>
        <v>0</v>
      </c>
      <c r="I3614" s="16">
        <f>IF(NOT(Paths!$C$334=1),0,IF(Paths!$P$334="Complete",IF(IF(Paths!$E$334=0,C3614=0,AND(C3614&gt;0,Paths!$E$334&gt;(C3614-1)*12,Paths!$E$334&lt;=C3614*12)),Paths!$G$334,0),"n.a."))</f>
        <v>0</v>
      </c>
      <c r="J3614" s="16">
        <f>IF(NOT(Paths!$C$334=1),0,IF(Paths!$P$334="Complete",IF(IF(Paths!$E$334=0,C3614=0,AND(C3614&gt;0,Paths!$E$334&gt;(C3614-1)*12,Paths!$E$334&lt;=C3614*12)),Paths!$H$334,0),"n.a."))</f>
        <v>0</v>
      </c>
      <c r="K3614" s="16">
        <f>IF(NOT(Paths!$C$334=1),0,IF(Paths!$P$334="Complete",IF(IF(Paths!$O$334=0,C3614=0,AND(C3614&gt;0,Paths!$O$334&gt;(C3614-1)*12,Paths!$O$334&lt;=C3614*12)),Paths!$N$334,0),"n.a."))</f>
        <v>0</v>
      </c>
      <c r="L3614" s="16">
        <f>IF(NOT(Paths!$C$334=1),0,IF(Paths!$P$334="Complete",IF(C3614=10,Paths!$I$334,0),"n.a."))</f>
        <v>0</v>
      </c>
      <c r="M3614" s="16">
        <f>IF(NOT(Paths!$C$334=1),0,IF(Paths!$P$334="Complete",IF(AND(Paths!$D$334="EV",Paths!$E$334&lt;120,Paths!$E$334+'Operating costs'!$B$65&gt;Paths!$E$334,Paths!$E$334+'Operating costs'!$B$65&lt;=120,IF(Paths!$E$334+'Operating costs'!$B$65=0,C3614=0,AND(C3614&gt;0,Paths!$E$334+'Operating costs'!$B$65&gt;(C3614-1)*12,Paths!$E$334+'Operating costs'!$B$65&lt;=C3614*12))),'Operating costs'!$B$64,0)+IF(AND('Operating costs'!$B$67&gt;0,'Operating costs'!$B$67&lt;=120,OR(Paths!$D$334="ICE",'Operating costs'!$B$67&lt;=Paths!$E$334),IF('Operating costs'!$B$67=0,C3614=0,AND(C3614&gt;0,'Operating costs'!$B$67&gt;(C3614-1)*12,'Operating costs'!$B$67&lt;=C3614*12))),'Operating costs'!$B$66,0),"n.a."))</f>
        <v>0</v>
      </c>
      <c r="N3614" s="16">
        <f>IF(NOT(Paths!$C$334=1),0,IF(Paths!$P$334="Complete",SUM(G3614:I3614)-J3614-K3614-L3614+M3614+IF(C3614=0,Paths!$F$334,0)+IF(IF(Paths!$E$334=0,C3614=0,AND(C3614&gt;0,Paths!$E$334&gt;(C3614-1)*12,Paths!$E$334&lt;=C3614*12)),VLOOKUP(A3614,'Fleet register'!$A$7:$S$106,16,FALSE),0),"n.a."))</f>
        <v>0</v>
      </c>
      <c r="O3614" s="16">
        <f>IF(NOT(Paths!$C$334=1),0,IF(Paths!$P$334="Complete",N3614-IF(C3614=0,Paths!$F$334,0),"n.a."))</f>
        <v>0</v>
      </c>
      <c r="P3614" s="16">
        <f>IF(NOT(Paths!$C$334=1),0,IF(Paths!$P$334="Complete",O3614+L3614,"n.a."))</f>
        <v>0</v>
      </c>
      <c r="Q3614" s="16">
        <f>IF(NOT(Paths!$C$334=1),0,IF(Paths!$P$334="Complete",N3614*(1+'Operating costs'!$B$54)^-C3614,"n.a."))</f>
        <v>0</v>
      </c>
      <c r="R3614" s="16">
        <f>IF(NOT(Paths!$C$334=1),0,IF(Paths!$P$334="Complete",IF(AND(C3614=0,Paths!$E$334=0),I3614-J3614-K3614+VLOOKUP(A3614,'Fleet register'!$A$7:$S$106,15,FALSE)+VLOOKUP(A3614,'Fleet register'!$A$7:$S$106,16,FALSE),0),"n.a."))</f>
        <v>0</v>
      </c>
      <c r="S3614" s="1">
        <f>IF(NOT(Paths!$C$334=1),0,IF(Paths!$P$334="Complete",IF(C3614=0,0,Paths!$S$334*Paths!$R$334),"n.a."))</f>
        <v>0</v>
      </c>
      <c r="T3614" s="1">
        <f>IF(NOT(Paths!$C$334=1),0,IF(Paths!$P$334="Complete",IF(C3614=0,0,VLOOKUP(A3614,'Fleet register'!$A$7:$S$106,9,FALSE)*Paths!$R$334),"n.a."))</f>
        <v>0</v>
      </c>
    </row>
    <row r="3615" spans="1:20" ht="24" customHeight="1">
      <c r="A3615" s="1" t="str">
        <f>Paths!$A$335</f>
        <v>T083</v>
      </c>
      <c r="B3615" s="1">
        <f>Paths!$B$335</f>
        <v>0</v>
      </c>
      <c r="C3615" s="1">
        <v>0</v>
      </c>
      <c r="D3615" s="1">
        <v>335</v>
      </c>
      <c r="E3615" s="1">
        <f>IF(OR(Paths!$C$335=0,C3615=0),0,MAX(0,MIN(C3615*12,Paths!$E$335)-(C3615-1)*12))</f>
        <v>0</v>
      </c>
      <c r="F3615" s="1">
        <f>IF(OR(Paths!$C$335=0,C3615=0),0,12-E3615)</f>
        <v>0</v>
      </c>
      <c r="G3615" s="16">
        <f>IF(NOT(Paths!$C$335=1),0,IF(Paths!$P$335="Complete",E3615/12*(Paths!$J$335*(1+'Operating costs'!$B$51)^MAX(0,C3615-1)+Paths!$K$335*(1+'Operating costs'!$B$53)^MAX(0,C3615-1)),"n.a."))</f>
        <v>0</v>
      </c>
      <c r="H3615" s="16">
        <f>IF(NOT(Paths!$C$335=1),0,IF(Paths!$P$335="Complete",F3615/12*(Paths!$L$335*(1+IF(Paths!$D$335="EV",'Operating costs'!$B$52,'Operating costs'!$B$51))^MAX(0,C3615-1)+Paths!$M$335*(1+'Operating costs'!$B$53)^MAX(0,C3615-1)),"n.a."))</f>
        <v>0</v>
      </c>
      <c r="I3615" s="16">
        <f>IF(NOT(Paths!$C$335=1),0,IF(Paths!$P$335="Complete",IF(IF(Paths!$E$335=0,C3615=0,AND(C3615&gt;0,Paths!$E$335&gt;(C3615-1)*12,Paths!$E$335&lt;=C3615*12)),Paths!$G$335,0),"n.a."))</f>
        <v>0</v>
      </c>
      <c r="J3615" s="16">
        <f>IF(NOT(Paths!$C$335=1),0,IF(Paths!$P$335="Complete",IF(IF(Paths!$E$335=0,C3615=0,AND(C3615&gt;0,Paths!$E$335&gt;(C3615-1)*12,Paths!$E$335&lt;=C3615*12)),Paths!$H$335,0),"n.a."))</f>
        <v>0</v>
      </c>
      <c r="K3615" s="16">
        <f>IF(NOT(Paths!$C$335=1),0,IF(Paths!$P$335="Complete",IF(IF(Paths!$O$335=0,C3615=0,AND(C3615&gt;0,Paths!$O$335&gt;(C3615-1)*12,Paths!$O$335&lt;=C3615*12)),Paths!$N$335,0),"n.a."))</f>
        <v>0</v>
      </c>
      <c r="L3615" s="16">
        <f>IF(NOT(Paths!$C$335=1),0,IF(Paths!$P$335="Complete",IF(C3615=10,Paths!$I$335,0),"n.a."))</f>
        <v>0</v>
      </c>
      <c r="M3615" s="16">
        <f>IF(NOT(Paths!$C$335=1),0,IF(Paths!$P$335="Complete",IF(AND(Paths!$D$335="EV",Paths!$E$335&lt;120,Paths!$E$335+'Operating costs'!$B$65&gt;Paths!$E$335,Paths!$E$335+'Operating costs'!$B$65&lt;=120,IF(Paths!$E$335+'Operating costs'!$B$65=0,C3615=0,AND(C3615&gt;0,Paths!$E$335+'Operating costs'!$B$65&gt;(C3615-1)*12,Paths!$E$335+'Operating costs'!$B$65&lt;=C3615*12))),'Operating costs'!$B$64,0)+IF(AND('Operating costs'!$B$67&gt;0,'Operating costs'!$B$67&lt;=120,OR(Paths!$D$335="ICE",'Operating costs'!$B$67&lt;=Paths!$E$335),IF('Operating costs'!$B$67=0,C3615=0,AND(C3615&gt;0,'Operating costs'!$B$67&gt;(C3615-1)*12,'Operating costs'!$B$67&lt;=C3615*12))),'Operating costs'!$B$66,0),"n.a."))</f>
        <v>0</v>
      </c>
      <c r="N3615" s="16">
        <f>IF(NOT(Paths!$C$335=1),0,IF(Paths!$P$335="Complete",SUM(G3615:I3615)-J3615-K3615-L3615+M3615+IF(C3615=0,Paths!$F$335,0)+IF(IF(Paths!$E$335=0,C3615=0,AND(C3615&gt;0,Paths!$E$335&gt;(C3615-1)*12,Paths!$E$335&lt;=C3615*12)),VLOOKUP(A3615,'Fleet register'!$A$7:$S$106,16,FALSE),0),"n.a."))</f>
        <v>0</v>
      </c>
      <c r="O3615" s="16">
        <f>IF(NOT(Paths!$C$335=1),0,IF(Paths!$P$335="Complete",N3615-IF(C3615=0,Paths!$F$335,0),"n.a."))</f>
        <v>0</v>
      </c>
      <c r="P3615" s="16">
        <f>IF(NOT(Paths!$C$335=1),0,IF(Paths!$P$335="Complete",O3615+L3615,"n.a."))</f>
        <v>0</v>
      </c>
      <c r="Q3615" s="16">
        <f>IF(NOT(Paths!$C$335=1),0,IF(Paths!$P$335="Complete",N3615*(1+'Operating costs'!$B$54)^-C3615,"n.a."))</f>
        <v>0</v>
      </c>
      <c r="R3615" s="16">
        <f>IF(NOT(Paths!$C$335=1),0,IF(Paths!$P$335="Complete",IF(AND(C3615=0,Paths!$E$335=0),I3615-J3615-K3615+VLOOKUP(A3615,'Fleet register'!$A$7:$S$106,15,FALSE)+VLOOKUP(A3615,'Fleet register'!$A$7:$S$106,16,FALSE),0),"n.a."))</f>
        <v>0</v>
      </c>
      <c r="S3615" s="1">
        <f>IF(NOT(Paths!$C$335=1),0,IF(Paths!$P$335="Complete",IF(C3615=0,0,Paths!$S$335*Paths!$R$335),"n.a."))</f>
        <v>0</v>
      </c>
      <c r="T3615" s="1">
        <f>IF(NOT(Paths!$C$335=1),0,IF(Paths!$P$335="Complete",IF(C3615=0,0,VLOOKUP(A3615,'Fleet register'!$A$7:$S$106,9,FALSE)*Paths!$R$335),"n.a."))</f>
        <v>0</v>
      </c>
    </row>
    <row r="3616" spans="1:20" ht="24" customHeight="1">
      <c r="A3616" s="1" t="str">
        <f>Paths!$A$335</f>
        <v>T083</v>
      </c>
      <c r="B3616" s="1">
        <f>Paths!$B$335</f>
        <v>0</v>
      </c>
      <c r="C3616" s="1">
        <v>1</v>
      </c>
      <c r="D3616" s="1">
        <v>335</v>
      </c>
      <c r="E3616" s="1">
        <f>IF(OR(Paths!$C$335=0,C3616=0),0,MAX(0,MIN(C3616*12,Paths!$E$335)-(C3616-1)*12))</f>
        <v>0</v>
      </c>
      <c r="F3616" s="1">
        <f>IF(OR(Paths!$C$335=0,C3616=0),0,12-E3616)</f>
        <v>0</v>
      </c>
      <c r="G3616" s="16">
        <f>IF(NOT(Paths!$C$335=1),0,IF(Paths!$P$335="Complete",E3616/12*(Paths!$J$335*(1+'Operating costs'!$B$51)^MAX(0,C3616-1)+Paths!$K$335*(1+'Operating costs'!$B$53)^MAX(0,C3616-1)),"n.a."))</f>
        <v>0</v>
      </c>
      <c r="H3616" s="16">
        <f>IF(NOT(Paths!$C$335=1),0,IF(Paths!$P$335="Complete",F3616/12*(Paths!$L$335*(1+IF(Paths!$D$335="EV",'Operating costs'!$B$52,'Operating costs'!$B$51))^MAX(0,C3616-1)+Paths!$M$335*(1+'Operating costs'!$B$53)^MAX(0,C3616-1)),"n.a."))</f>
        <v>0</v>
      </c>
      <c r="I3616" s="16">
        <f>IF(NOT(Paths!$C$335=1),0,IF(Paths!$P$335="Complete",IF(IF(Paths!$E$335=0,C3616=0,AND(C3616&gt;0,Paths!$E$335&gt;(C3616-1)*12,Paths!$E$335&lt;=C3616*12)),Paths!$G$335,0),"n.a."))</f>
        <v>0</v>
      </c>
      <c r="J3616" s="16">
        <f>IF(NOT(Paths!$C$335=1),0,IF(Paths!$P$335="Complete",IF(IF(Paths!$E$335=0,C3616=0,AND(C3616&gt;0,Paths!$E$335&gt;(C3616-1)*12,Paths!$E$335&lt;=C3616*12)),Paths!$H$335,0),"n.a."))</f>
        <v>0</v>
      </c>
      <c r="K3616" s="16">
        <f>IF(NOT(Paths!$C$335=1),0,IF(Paths!$P$335="Complete",IF(IF(Paths!$O$335=0,C3616=0,AND(C3616&gt;0,Paths!$O$335&gt;(C3616-1)*12,Paths!$O$335&lt;=C3616*12)),Paths!$N$335,0),"n.a."))</f>
        <v>0</v>
      </c>
      <c r="L3616" s="16">
        <f>IF(NOT(Paths!$C$335=1),0,IF(Paths!$P$335="Complete",IF(C3616=10,Paths!$I$335,0),"n.a."))</f>
        <v>0</v>
      </c>
      <c r="M3616" s="16">
        <f>IF(NOT(Paths!$C$335=1),0,IF(Paths!$P$335="Complete",IF(AND(Paths!$D$335="EV",Paths!$E$335&lt;120,Paths!$E$335+'Operating costs'!$B$65&gt;Paths!$E$335,Paths!$E$335+'Operating costs'!$B$65&lt;=120,IF(Paths!$E$335+'Operating costs'!$B$65=0,C3616=0,AND(C3616&gt;0,Paths!$E$335+'Operating costs'!$B$65&gt;(C3616-1)*12,Paths!$E$335+'Operating costs'!$B$65&lt;=C3616*12))),'Operating costs'!$B$64,0)+IF(AND('Operating costs'!$B$67&gt;0,'Operating costs'!$B$67&lt;=120,OR(Paths!$D$335="ICE",'Operating costs'!$B$67&lt;=Paths!$E$335),IF('Operating costs'!$B$67=0,C3616=0,AND(C3616&gt;0,'Operating costs'!$B$67&gt;(C3616-1)*12,'Operating costs'!$B$67&lt;=C3616*12))),'Operating costs'!$B$66,0),"n.a."))</f>
        <v>0</v>
      </c>
      <c r="N3616" s="16">
        <f>IF(NOT(Paths!$C$335=1),0,IF(Paths!$P$335="Complete",SUM(G3616:I3616)-J3616-K3616-L3616+M3616+IF(C3616=0,Paths!$F$335,0)+IF(IF(Paths!$E$335=0,C3616=0,AND(C3616&gt;0,Paths!$E$335&gt;(C3616-1)*12,Paths!$E$335&lt;=C3616*12)),VLOOKUP(A3616,'Fleet register'!$A$7:$S$106,16,FALSE),0),"n.a."))</f>
        <v>0</v>
      </c>
      <c r="O3616" s="16">
        <f>IF(NOT(Paths!$C$335=1),0,IF(Paths!$P$335="Complete",N3616-IF(C3616=0,Paths!$F$335,0),"n.a."))</f>
        <v>0</v>
      </c>
      <c r="P3616" s="16">
        <f>IF(NOT(Paths!$C$335=1),0,IF(Paths!$P$335="Complete",O3616+L3616,"n.a."))</f>
        <v>0</v>
      </c>
      <c r="Q3616" s="16">
        <f>IF(NOT(Paths!$C$335=1),0,IF(Paths!$P$335="Complete",N3616*(1+'Operating costs'!$B$54)^-C3616,"n.a."))</f>
        <v>0</v>
      </c>
      <c r="R3616" s="16">
        <f>IF(NOT(Paths!$C$335=1),0,IF(Paths!$P$335="Complete",IF(AND(C3616=0,Paths!$E$335=0),I3616-J3616-K3616+VLOOKUP(A3616,'Fleet register'!$A$7:$S$106,15,FALSE)+VLOOKUP(A3616,'Fleet register'!$A$7:$S$106,16,FALSE),0),"n.a."))</f>
        <v>0</v>
      </c>
      <c r="S3616" s="1">
        <f>IF(NOT(Paths!$C$335=1),0,IF(Paths!$P$335="Complete",IF(C3616=0,0,Paths!$S$335*Paths!$R$335),"n.a."))</f>
        <v>0</v>
      </c>
      <c r="T3616" s="1">
        <f>IF(NOT(Paths!$C$335=1),0,IF(Paths!$P$335="Complete",IF(C3616=0,0,VLOOKUP(A3616,'Fleet register'!$A$7:$S$106,9,FALSE)*Paths!$R$335),"n.a."))</f>
        <v>0</v>
      </c>
    </row>
    <row r="3617" spans="1:20" ht="24" customHeight="1">
      <c r="A3617" s="1" t="str">
        <f>Paths!$A$335</f>
        <v>T083</v>
      </c>
      <c r="B3617" s="1">
        <f>Paths!$B$335</f>
        <v>0</v>
      </c>
      <c r="C3617" s="1">
        <v>2</v>
      </c>
      <c r="D3617" s="1">
        <v>335</v>
      </c>
      <c r="E3617" s="1">
        <f>IF(OR(Paths!$C$335=0,C3617=0),0,MAX(0,MIN(C3617*12,Paths!$E$335)-(C3617-1)*12))</f>
        <v>0</v>
      </c>
      <c r="F3617" s="1">
        <f>IF(OR(Paths!$C$335=0,C3617=0),0,12-E3617)</f>
        <v>0</v>
      </c>
      <c r="G3617" s="16">
        <f>IF(NOT(Paths!$C$335=1),0,IF(Paths!$P$335="Complete",E3617/12*(Paths!$J$335*(1+'Operating costs'!$B$51)^MAX(0,C3617-1)+Paths!$K$335*(1+'Operating costs'!$B$53)^MAX(0,C3617-1)),"n.a."))</f>
        <v>0</v>
      </c>
      <c r="H3617" s="16">
        <f>IF(NOT(Paths!$C$335=1),0,IF(Paths!$P$335="Complete",F3617/12*(Paths!$L$335*(1+IF(Paths!$D$335="EV",'Operating costs'!$B$52,'Operating costs'!$B$51))^MAX(0,C3617-1)+Paths!$M$335*(1+'Operating costs'!$B$53)^MAX(0,C3617-1)),"n.a."))</f>
        <v>0</v>
      </c>
      <c r="I3617" s="16">
        <f>IF(NOT(Paths!$C$335=1),0,IF(Paths!$P$335="Complete",IF(IF(Paths!$E$335=0,C3617=0,AND(C3617&gt;0,Paths!$E$335&gt;(C3617-1)*12,Paths!$E$335&lt;=C3617*12)),Paths!$G$335,0),"n.a."))</f>
        <v>0</v>
      </c>
      <c r="J3617" s="16">
        <f>IF(NOT(Paths!$C$335=1),0,IF(Paths!$P$335="Complete",IF(IF(Paths!$E$335=0,C3617=0,AND(C3617&gt;0,Paths!$E$335&gt;(C3617-1)*12,Paths!$E$335&lt;=C3617*12)),Paths!$H$335,0),"n.a."))</f>
        <v>0</v>
      </c>
      <c r="K3617" s="16">
        <f>IF(NOT(Paths!$C$335=1),0,IF(Paths!$P$335="Complete",IF(IF(Paths!$O$335=0,C3617=0,AND(C3617&gt;0,Paths!$O$335&gt;(C3617-1)*12,Paths!$O$335&lt;=C3617*12)),Paths!$N$335,0),"n.a."))</f>
        <v>0</v>
      </c>
      <c r="L3617" s="16">
        <f>IF(NOT(Paths!$C$335=1),0,IF(Paths!$P$335="Complete",IF(C3617=10,Paths!$I$335,0),"n.a."))</f>
        <v>0</v>
      </c>
      <c r="M3617" s="16">
        <f>IF(NOT(Paths!$C$335=1),0,IF(Paths!$P$335="Complete",IF(AND(Paths!$D$335="EV",Paths!$E$335&lt;120,Paths!$E$335+'Operating costs'!$B$65&gt;Paths!$E$335,Paths!$E$335+'Operating costs'!$B$65&lt;=120,IF(Paths!$E$335+'Operating costs'!$B$65=0,C3617=0,AND(C3617&gt;0,Paths!$E$335+'Operating costs'!$B$65&gt;(C3617-1)*12,Paths!$E$335+'Operating costs'!$B$65&lt;=C3617*12))),'Operating costs'!$B$64,0)+IF(AND('Operating costs'!$B$67&gt;0,'Operating costs'!$B$67&lt;=120,OR(Paths!$D$335="ICE",'Operating costs'!$B$67&lt;=Paths!$E$335),IF('Operating costs'!$B$67=0,C3617=0,AND(C3617&gt;0,'Operating costs'!$B$67&gt;(C3617-1)*12,'Operating costs'!$B$67&lt;=C3617*12))),'Operating costs'!$B$66,0),"n.a."))</f>
        <v>0</v>
      </c>
      <c r="N3617" s="16">
        <f>IF(NOT(Paths!$C$335=1),0,IF(Paths!$P$335="Complete",SUM(G3617:I3617)-J3617-K3617-L3617+M3617+IF(C3617=0,Paths!$F$335,0)+IF(IF(Paths!$E$335=0,C3617=0,AND(C3617&gt;0,Paths!$E$335&gt;(C3617-1)*12,Paths!$E$335&lt;=C3617*12)),VLOOKUP(A3617,'Fleet register'!$A$7:$S$106,16,FALSE),0),"n.a."))</f>
        <v>0</v>
      </c>
      <c r="O3617" s="16">
        <f>IF(NOT(Paths!$C$335=1),0,IF(Paths!$P$335="Complete",N3617-IF(C3617=0,Paths!$F$335,0),"n.a."))</f>
        <v>0</v>
      </c>
      <c r="P3617" s="16">
        <f>IF(NOT(Paths!$C$335=1),0,IF(Paths!$P$335="Complete",O3617+L3617,"n.a."))</f>
        <v>0</v>
      </c>
      <c r="Q3617" s="16">
        <f>IF(NOT(Paths!$C$335=1),0,IF(Paths!$P$335="Complete",N3617*(1+'Operating costs'!$B$54)^-C3617,"n.a."))</f>
        <v>0</v>
      </c>
      <c r="R3617" s="16">
        <f>IF(NOT(Paths!$C$335=1),0,IF(Paths!$P$335="Complete",IF(AND(C3617=0,Paths!$E$335=0),I3617-J3617-K3617+VLOOKUP(A3617,'Fleet register'!$A$7:$S$106,15,FALSE)+VLOOKUP(A3617,'Fleet register'!$A$7:$S$106,16,FALSE),0),"n.a."))</f>
        <v>0</v>
      </c>
      <c r="S3617" s="1">
        <f>IF(NOT(Paths!$C$335=1),0,IF(Paths!$P$335="Complete",IF(C3617=0,0,Paths!$S$335*Paths!$R$335),"n.a."))</f>
        <v>0</v>
      </c>
      <c r="T3617" s="1">
        <f>IF(NOT(Paths!$C$335=1),0,IF(Paths!$P$335="Complete",IF(C3617=0,0,VLOOKUP(A3617,'Fleet register'!$A$7:$S$106,9,FALSE)*Paths!$R$335),"n.a."))</f>
        <v>0</v>
      </c>
    </row>
    <row r="3618" spans="1:20" ht="24" customHeight="1">
      <c r="A3618" s="1" t="str">
        <f>Paths!$A$335</f>
        <v>T083</v>
      </c>
      <c r="B3618" s="1">
        <f>Paths!$B$335</f>
        <v>0</v>
      </c>
      <c r="C3618" s="1">
        <v>3</v>
      </c>
      <c r="D3618" s="1">
        <v>335</v>
      </c>
      <c r="E3618" s="1">
        <f>IF(OR(Paths!$C$335=0,C3618=0),0,MAX(0,MIN(C3618*12,Paths!$E$335)-(C3618-1)*12))</f>
        <v>0</v>
      </c>
      <c r="F3618" s="1">
        <f>IF(OR(Paths!$C$335=0,C3618=0),0,12-E3618)</f>
        <v>0</v>
      </c>
      <c r="G3618" s="16">
        <f>IF(NOT(Paths!$C$335=1),0,IF(Paths!$P$335="Complete",E3618/12*(Paths!$J$335*(1+'Operating costs'!$B$51)^MAX(0,C3618-1)+Paths!$K$335*(1+'Operating costs'!$B$53)^MAX(0,C3618-1)),"n.a."))</f>
        <v>0</v>
      </c>
      <c r="H3618" s="16">
        <f>IF(NOT(Paths!$C$335=1),0,IF(Paths!$P$335="Complete",F3618/12*(Paths!$L$335*(1+IF(Paths!$D$335="EV",'Operating costs'!$B$52,'Operating costs'!$B$51))^MAX(0,C3618-1)+Paths!$M$335*(1+'Operating costs'!$B$53)^MAX(0,C3618-1)),"n.a."))</f>
        <v>0</v>
      </c>
      <c r="I3618" s="16">
        <f>IF(NOT(Paths!$C$335=1),0,IF(Paths!$P$335="Complete",IF(IF(Paths!$E$335=0,C3618=0,AND(C3618&gt;0,Paths!$E$335&gt;(C3618-1)*12,Paths!$E$335&lt;=C3618*12)),Paths!$G$335,0),"n.a."))</f>
        <v>0</v>
      </c>
      <c r="J3618" s="16">
        <f>IF(NOT(Paths!$C$335=1),0,IF(Paths!$P$335="Complete",IF(IF(Paths!$E$335=0,C3618=0,AND(C3618&gt;0,Paths!$E$335&gt;(C3618-1)*12,Paths!$E$335&lt;=C3618*12)),Paths!$H$335,0),"n.a."))</f>
        <v>0</v>
      </c>
      <c r="K3618" s="16">
        <f>IF(NOT(Paths!$C$335=1),0,IF(Paths!$P$335="Complete",IF(IF(Paths!$O$335=0,C3618=0,AND(C3618&gt;0,Paths!$O$335&gt;(C3618-1)*12,Paths!$O$335&lt;=C3618*12)),Paths!$N$335,0),"n.a."))</f>
        <v>0</v>
      </c>
      <c r="L3618" s="16">
        <f>IF(NOT(Paths!$C$335=1),0,IF(Paths!$P$335="Complete",IF(C3618=10,Paths!$I$335,0),"n.a."))</f>
        <v>0</v>
      </c>
      <c r="M3618" s="16">
        <f>IF(NOT(Paths!$C$335=1),0,IF(Paths!$P$335="Complete",IF(AND(Paths!$D$335="EV",Paths!$E$335&lt;120,Paths!$E$335+'Operating costs'!$B$65&gt;Paths!$E$335,Paths!$E$335+'Operating costs'!$B$65&lt;=120,IF(Paths!$E$335+'Operating costs'!$B$65=0,C3618=0,AND(C3618&gt;0,Paths!$E$335+'Operating costs'!$B$65&gt;(C3618-1)*12,Paths!$E$335+'Operating costs'!$B$65&lt;=C3618*12))),'Operating costs'!$B$64,0)+IF(AND('Operating costs'!$B$67&gt;0,'Operating costs'!$B$67&lt;=120,OR(Paths!$D$335="ICE",'Operating costs'!$B$67&lt;=Paths!$E$335),IF('Operating costs'!$B$67=0,C3618=0,AND(C3618&gt;0,'Operating costs'!$B$67&gt;(C3618-1)*12,'Operating costs'!$B$67&lt;=C3618*12))),'Operating costs'!$B$66,0),"n.a."))</f>
        <v>0</v>
      </c>
      <c r="N3618" s="16">
        <f>IF(NOT(Paths!$C$335=1),0,IF(Paths!$P$335="Complete",SUM(G3618:I3618)-J3618-K3618-L3618+M3618+IF(C3618=0,Paths!$F$335,0)+IF(IF(Paths!$E$335=0,C3618=0,AND(C3618&gt;0,Paths!$E$335&gt;(C3618-1)*12,Paths!$E$335&lt;=C3618*12)),VLOOKUP(A3618,'Fleet register'!$A$7:$S$106,16,FALSE),0),"n.a."))</f>
        <v>0</v>
      </c>
      <c r="O3618" s="16">
        <f>IF(NOT(Paths!$C$335=1),0,IF(Paths!$P$335="Complete",N3618-IF(C3618=0,Paths!$F$335,0),"n.a."))</f>
        <v>0</v>
      </c>
      <c r="P3618" s="16">
        <f>IF(NOT(Paths!$C$335=1),0,IF(Paths!$P$335="Complete",O3618+L3618,"n.a."))</f>
        <v>0</v>
      </c>
      <c r="Q3618" s="16">
        <f>IF(NOT(Paths!$C$335=1),0,IF(Paths!$P$335="Complete",N3618*(1+'Operating costs'!$B$54)^-C3618,"n.a."))</f>
        <v>0</v>
      </c>
      <c r="R3618" s="16">
        <f>IF(NOT(Paths!$C$335=1),0,IF(Paths!$P$335="Complete",IF(AND(C3618=0,Paths!$E$335=0),I3618-J3618-K3618+VLOOKUP(A3618,'Fleet register'!$A$7:$S$106,15,FALSE)+VLOOKUP(A3618,'Fleet register'!$A$7:$S$106,16,FALSE),0),"n.a."))</f>
        <v>0</v>
      </c>
      <c r="S3618" s="1">
        <f>IF(NOT(Paths!$C$335=1),0,IF(Paths!$P$335="Complete",IF(C3618=0,0,Paths!$S$335*Paths!$R$335),"n.a."))</f>
        <v>0</v>
      </c>
      <c r="T3618" s="1">
        <f>IF(NOT(Paths!$C$335=1),0,IF(Paths!$P$335="Complete",IF(C3618=0,0,VLOOKUP(A3618,'Fleet register'!$A$7:$S$106,9,FALSE)*Paths!$R$335),"n.a."))</f>
        <v>0</v>
      </c>
    </row>
    <row r="3619" spans="1:20" ht="24" customHeight="1">
      <c r="A3619" s="1" t="str">
        <f>Paths!$A$335</f>
        <v>T083</v>
      </c>
      <c r="B3619" s="1">
        <f>Paths!$B$335</f>
        <v>0</v>
      </c>
      <c r="C3619" s="1">
        <v>4</v>
      </c>
      <c r="D3619" s="1">
        <v>335</v>
      </c>
      <c r="E3619" s="1">
        <f>IF(OR(Paths!$C$335=0,C3619=0),0,MAX(0,MIN(C3619*12,Paths!$E$335)-(C3619-1)*12))</f>
        <v>0</v>
      </c>
      <c r="F3619" s="1">
        <f>IF(OR(Paths!$C$335=0,C3619=0),0,12-E3619)</f>
        <v>0</v>
      </c>
      <c r="G3619" s="16">
        <f>IF(NOT(Paths!$C$335=1),0,IF(Paths!$P$335="Complete",E3619/12*(Paths!$J$335*(1+'Operating costs'!$B$51)^MAX(0,C3619-1)+Paths!$K$335*(1+'Operating costs'!$B$53)^MAX(0,C3619-1)),"n.a."))</f>
        <v>0</v>
      </c>
      <c r="H3619" s="16">
        <f>IF(NOT(Paths!$C$335=1),0,IF(Paths!$P$335="Complete",F3619/12*(Paths!$L$335*(1+IF(Paths!$D$335="EV",'Operating costs'!$B$52,'Operating costs'!$B$51))^MAX(0,C3619-1)+Paths!$M$335*(1+'Operating costs'!$B$53)^MAX(0,C3619-1)),"n.a."))</f>
        <v>0</v>
      </c>
      <c r="I3619" s="16">
        <f>IF(NOT(Paths!$C$335=1),0,IF(Paths!$P$335="Complete",IF(IF(Paths!$E$335=0,C3619=0,AND(C3619&gt;0,Paths!$E$335&gt;(C3619-1)*12,Paths!$E$335&lt;=C3619*12)),Paths!$G$335,0),"n.a."))</f>
        <v>0</v>
      </c>
      <c r="J3619" s="16">
        <f>IF(NOT(Paths!$C$335=1),0,IF(Paths!$P$335="Complete",IF(IF(Paths!$E$335=0,C3619=0,AND(C3619&gt;0,Paths!$E$335&gt;(C3619-1)*12,Paths!$E$335&lt;=C3619*12)),Paths!$H$335,0),"n.a."))</f>
        <v>0</v>
      </c>
      <c r="K3619" s="16">
        <f>IF(NOT(Paths!$C$335=1),0,IF(Paths!$P$335="Complete",IF(IF(Paths!$O$335=0,C3619=0,AND(C3619&gt;0,Paths!$O$335&gt;(C3619-1)*12,Paths!$O$335&lt;=C3619*12)),Paths!$N$335,0),"n.a."))</f>
        <v>0</v>
      </c>
      <c r="L3619" s="16">
        <f>IF(NOT(Paths!$C$335=1),0,IF(Paths!$P$335="Complete",IF(C3619=10,Paths!$I$335,0),"n.a."))</f>
        <v>0</v>
      </c>
      <c r="M3619" s="16">
        <f>IF(NOT(Paths!$C$335=1),0,IF(Paths!$P$335="Complete",IF(AND(Paths!$D$335="EV",Paths!$E$335&lt;120,Paths!$E$335+'Operating costs'!$B$65&gt;Paths!$E$335,Paths!$E$335+'Operating costs'!$B$65&lt;=120,IF(Paths!$E$335+'Operating costs'!$B$65=0,C3619=0,AND(C3619&gt;0,Paths!$E$335+'Operating costs'!$B$65&gt;(C3619-1)*12,Paths!$E$335+'Operating costs'!$B$65&lt;=C3619*12))),'Operating costs'!$B$64,0)+IF(AND('Operating costs'!$B$67&gt;0,'Operating costs'!$B$67&lt;=120,OR(Paths!$D$335="ICE",'Operating costs'!$B$67&lt;=Paths!$E$335),IF('Operating costs'!$B$67=0,C3619=0,AND(C3619&gt;0,'Operating costs'!$B$67&gt;(C3619-1)*12,'Operating costs'!$B$67&lt;=C3619*12))),'Operating costs'!$B$66,0),"n.a."))</f>
        <v>0</v>
      </c>
      <c r="N3619" s="16">
        <f>IF(NOT(Paths!$C$335=1),0,IF(Paths!$P$335="Complete",SUM(G3619:I3619)-J3619-K3619-L3619+M3619+IF(C3619=0,Paths!$F$335,0)+IF(IF(Paths!$E$335=0,C3619=0,AND(C3619&gt;0,Paths!$E$335&gt;(C3619-1)*12,Paths!$E$335&lt;=C3619*12)),VLOOKUP(A3619,'Fleet register'!$A$7:$S$106,16,FALSE),0),"n.a."))</f>
        <v>0</v>
      </c>
      <c r="O3619" s="16">
        <f>IF(NOT(Paths!$C$335=1),0,IF(Paths!$P$335="Complete",N3619-IF(C3619=0,Paths!$F$335,0),"n.a."))</f>
        <v>0</v>
      </c>
      <c r="P3619" s="16">
        <f>IF(NOT(Paths!$C$335=1),0,IF(Paths!$P$335="Complete",O3619+L3619,"n.a."))</f>
        <v>0</v>
      </c>
      <c r="Q3619" s="16">
        <f>IF(NOT(Paths!$C$335=1),0,IF(Paths!$P$335="Complete",N3619*(1+'Operating costs'!$B$54)^-C3619,"n.a."))</f>
        <v>0</v>
      </c>
      <c r="R3619" s="16">
        <f>IF(NOT(Paths!$C$335=1),0,IF(Paths!$P$335="Complete",IF(AND(C3619=0,Paths!$E$335=0),I3619-J3619-K3619+VLOOKUP(A3619,'Fleet register'!$A$7:$S$106,15,FALSE)+VLOOKUP(A3619,'Fleet register'!$A$7:$S$106,16,FALSE),0),"n.a."))</f>
        <v>0</v>
      </c>
      <c r="S3619" s="1">
        <f>IF(NOT(Paths!$C$335=1),0,IF(Paths!$P$335="Complete",IF(C3619=0,0,Paths!$S$335*Paths!$R$335),"n.a."))</f>
        <v>0</v>
      </c>
      <c r="T3619" s="1">
        <f>IF(NOT(Paths!$C$335=1),0,IF(Paths!$P$335="Complete",IF(C3619=0,0,VLOOKUP(A3619,'Fleet register'!$A$7:$S$106,9,FALSE)*Paths!$R$335),"n.a."))</f>
        <v>0</v>
      </c>
    </row>
    <row r="3620" spans="1:20" ht="24" customHeight="1">
      <c r="A3620" s="1" t="str">
        <f>Paths!$A$335</f>
        <v>T083</v>
      </c>
      <c r="B3620" s="1">
        <f>Paths!$B$335</f>
        <v>0</v>
      </c>
      <c r="C3620" s="1">
        <v>5</v>
      </c>
      <c r="D3620" s="1">
        <v>335</v>
      </c>
      <c r="E3620" s="1">
        <f>IF(OR(Paths!$C$335=0,C3620=0),0,MAX(0,MIN(C3620*12,Paths!$E$335)-(C3620-1)*12))</f>
        <v>0</v>
      </c>
      <c r="F3620" s="1">
        <f>IF(OR(Paths!$C$335=0,C3620=0),0,12-E3620)</f>
        <v>0</v>
      </c>
      <c r="G3620" s="16">
        <f>IF(NOT(Paths!$C$335=1),0,IF(Paths!$P$335="Complete",E3620/12*(Paths!$J$335*(1+'Operating costs'!$B$51)^MAX(0,C3620-1)+Paths!$K$335*(1+'Operating costs'!$B$53)^MAX(0,C3620-1)),"n.a."))</f>
        <v>0</v>
      </c>
      <c r="H3620" s="16">
        <f>IF(NOT(Paths!$C$335=1),0,IF(Paths!$P$335="Complete",F3620/12*(Paths!$L$335*(1+IF(Paths!$D$335="EV",'Operating costs'!$B$52,'Operating costs'!$B$51))^MAX(0,C3620-1)+Paths!$M$335*(1+'Operating costs'!$B$53)^MAX(0,C3620-1)),"n.a."))</f>
        <v>0</v>
      </c>
      <c r="I3620" s="16">
        <f>IF(NOT(Paths!$C$335=1),0,IF(Paths!$P$335="Complete",IF(IF(Paths!$E$335=0,C3620=0,AND(C3620&gt;0,Paths!$E$335&gt;(C3620-1)*12,Paths!$E$335&lt;=C3620*12)),Paths!$G$335,0),"n.a."))</f>
        <v>0</v>
      </c>
      <c r="J3620" s="16">
        <f>IF(NOT(Paths!$C$335=1),0,IF(Paths!$P$335="Complete",IF(IF(Paths!$E$335=0,C3620=0,AND(C3620&gt;0,Paths!$E$335&gt;(C3620-1)*12,Paths!$E$335&lt;=C3620*12)),Paths!$H$335,0),"n.a."))</f>
        <v>0</v>
      </c>
      <c r="K3620" s="16">
        <f>IF(NOT(Paths!$C$335=1),0,IF(Paths!$P$335="Complete",IF(IF(Paths!$O$335=0,C3620=0,AND(C3620&gt;0,Paths!$O$335&gt;(C3620-1)*12,Paths!$O$335&lt;=C3620*12)),Paths!$N$335,0),"n.a."))</f>
        <v>0</v>
      </c>
      <c r="L3620" s="16">
        <f>IF(NOT(Paths!$C$335=1),0,IF(Paths!$P$335="Complete",IF(C3620=10,Paths!$I$335,0),"n.a."))</f>
        <v>0</v>
      </c>
      <c r="M3620" s="16">
        <f>IF(NOT(Paths!$C$335=1),0,IF(Paths!$P$335="Complete",IF(AND(Paths!$D$335="EV",Paths!$E$335&lt;120,Paths!$E$335+'Operating costs'!$B$65&gt;Paths!$E$335,Paths!$E$335+'Operating costs'!$B$65&lt;=120,IF(Paths!$E$335+'Operating costs'!$B$65=0,C3620=0,AND(C3620&gt;0,Paths!$E$335+'Operating costs'!$B$65&gt;(C3620-1)*12,Paths!$E$335+'Operating costs'!$B$65&lt;=C3620*12))),'Operating costs'!$B$64,0)+IF(AND('Operating costs'!$B$67&gt;0,'Operating costs'!$B$67&lt;=120,OR(Paths!$D$335="ICE",'Operating costs'!$B$67&lt;=Paths!$E$335),IF('Operating costs'!$B$67=0,C3620=0,AND(C3620&gt;0,'Operating costs'!$B$67&gt;(C3620-1)*12,'Operating costs'!$B$67&lt;=C3620*12))),'Operating costs'!$B$66,0),"n.a."))</f>
        <v>0</v>
      </c>
      <c r="N3620" s="16">
        <f>IF(NOT(Paths!$C$335=1),0,IF(Paths!$P$335="Complete",SUM(G3620:I3620)-J3620-K3620-L3620+M3620+IF(C3620=0,Paths!$F$335,0)+IF(IF(Paths!$E$335=0,C3620=0,AND(C3620&gt;0,Paths!$E$335&gt;(C3620-1)*12,Paths!$E$335&lt;=C3620*12)),VLOOKUP(A3620,'Fleet register'!$A$7:$S$106,16,FALSE),0),"n.a."))</f>
        <v>0</v>
      </c>
      <c r="O3620" s="16">
        <f>IF(NOT(Paths!$C$335=1),0,IF(Paths!$P$335="Complete",N3620-IF(C3620=0,Paths!$F$335,0),"n.a."))</f>
        <v>0</v>
      </c>
      <c r="P3620" s="16">
        <f>IF(NOT(Paths!$C$335=1),0,IF(Paths!$P$335="Complete",O3620+L3620,"n.a."))</f>
        <v>0</v>
      </c>
      <c r="Q3620" s="16">
        <f>IF(NOT(Paths!$C$335=1),0,IF(Paths!$P$335="Complete",N3620*(1+'Operating costs'!$B$54)^-C3620,"n.a."))</f>
        <v>0</v>
      </c>
      <c r="R3620" s="16">
        <f>IF(NOT(Paths!$C$335=1),0,IF(Paths!$P$335="Complete",IF(AND(C3620=0,Paths!$E$335=0),I3620-J3620-K3620+VLOOKUP(A3620,'Fleet register'!$A$7:$S$106,15,FALSE)+VLOOKUP(A3620,'Fleet register'!$A$7:$S$106,16,FALSE),0),"n.a."))</f>
        <v>0</v>
      </c>
      <c r="S3620" s="1">
        <f>IF(NOT(Paths!$C$335=1),0,IF(Paths!$P$335="Complete",IF(C3620=0,0,Paths!$S$335*Paths!$R$335),"n.a."))</f>
        <v>0</v>
      </c>
      <c r="T3620" s="1">
        <f>IF(NOT(Paths!$C$335=1),0,IF(Paths!$P$335="Complete",IF(C3620=0,0,VLOOKUP(A3620,'Fleet register'!$A$7:$S$106,9,FALSE)*Paths!$R$335),"n.a."))</f>
        <v>0</v>
      </c>
    </row>
    <row r="3621" spans="1:20" ht="24" customHeight="1">
      <c r="A3621" s="1" t="str">
        <f>Paths!$A$335</f>
        <v>T083</v>
      </c>
      <c r="B3621" s="1">
        <f>Paths!$B$335</f>
        <v>0</v>
      </c>
      <c r="C3621" s="1">
        <v>6</v>
      </c>
      <c r="D3621" s="1">
        <v>335</v>
      </c>
      <c r="E3621" s="1">
        <f>IF(OR(Paths!$C$335=0,C3621=0),0,MAX(0,MIN(C3621*12,Paths!$E$335)-(C3621-1)*12))</f>
        <v>0</v>
      </c>
      <c r="F3621" s="1">
        <f>IF(OR(Paths!$C$335=0,C3621=0),0,12-E3621)</f>
        <v>0</v>
      </c>
      <c r="G3621" s="16">
        <f>IF(NOT(Paths!$C$335=1),0,IF(Paths!$P$335="Complete",E3621/12*(Paths!$J$335*(1+'Operating costs'!$B$51)^MAX(0,C3621-1)+Paths!$K$335*(1+'Operating costs'!$B$53)^MAX(0,C3621-1)),"n.a."))</f>
        <v>0</v>
      </c>
      <c r="H3621" s="16">
        <f>IF(NOT(Paths!$C$335=1),0,IF(Paths!$P$335="Complete",F3621/12*(Paths!$L$335*(1+IF(Paths!$D$335="EV",'Operating costs'!$B$52,'Operating costs'!$B$51))^MAX(0,C3621-1)+Paths!$M$335*(1+'Operating costs'!$B$53)^MAX(0,C3621-1)),"n.a."))</f>
        <v>0</v>
      </c>
      <c r="I3621" s="16">
        <f>IF(NOT(Paths!$C$335=1),0,IF(Paths!$P$335="Complete",IF(IF(Paths!$E$335=0,C3621=0,AND(C3621&gt;0,Paths!$E$335&gt;(C3621-1)*12,Paths!$E$335&lt;=C3621*12)),Paths!$G$335,0),"n.a."))</f>
        <v>0</v>
      </c>
      <c r="J3621" s="16">
        <f>IF(NOT(Paths!$C$335=1),0,IF(Paths!$P$335="Complete",IF(IF(Paths!$E$335=0,C3621=0,AND(C3621&gt;0,Paths!$E$335&gt;(C3621-1)*12,Paths!$E$335&lt;=C3621*12)),Paths!$H$335,0),"n.a."))</f>
        <v>0</v>
      </c>
      <c r="K3621" s="16">
        <f>IF(NOT(Paths!$C$335=1),0,IF(Paths!$P$335="Complete",IF(IF(Paths!$O$335=0,C3621=0,AND(C3621&gt;0,Paths!$O$335&gt;(C3621-1)*12,Paths!$O$335&lt;=C3621*12)),Paths!$N$335,0),"n.a."))</f>
        <v>0</v>
      </c>
      <c r="L3621" s="16">
        <f>IF(NOT(Paths!$C$335=1),0,IF(Paths!$P$335="Complete",IF(C3621=10,Paths!$I$335,0),"n.a."))</f>
        <v>0</v>
      </c>
      <c r="M3621" s="16">
        <f>IF(NOT(Paths!$C$335=1),0,IF(Paths!$P$335="Complete",IF(AND(Paths!$D$335="EV",Paths!$E$335&lt;120,Paths!$E$335+'Operating costs'!$B$65&gt;Paths!$E$335,Paths!$E$335+'Operating costs'!$B$65&lt;=120,IF(Paths!$E$335+'Operating costs'!$B$65=0,C3621=0,AND(C3621&gt;0,Paths!$E$335+'Operating costs'!$B$65&gt;(C3621-1)*12,Paths!$E$335+'Operating costs'!$B$65&lt;=C3621*12))),'Operating costs'!$B$64,0)+IF(AND('Operating costs'!$B$67&gt;0,'Operating costs'!$B$67&lt;=120,OR(Paths!$D$335="ICE",'Operating costs'!$B$67&lt;=Paths!$E$335),IF('Operating costs'!$B$67=0,C3621=0,AND(C3621&gt;0,'Operating costs'!$B$67&gt;(C3621-1)*12,'Operating costs'!$B$67&lt;=C3621*12))),'Operating costs'!$B$66,0),"n.a."))</f>
        <v>0</v>
      </c>
      <c r="N3621" s="16">
        <f>IF(NOT(Paths!$C$335=1),0,IF(Paths!$P$335="Complete",SUM(G3621:I3621)-J3621-K3621-L3621+M3621+IF(C3621=0,Paths!$F$335,0)+IF(IF(Paths!$E$335=0,C3621=0,AND(C3621&gt;0,Paths!$E$335&gt;(C3621-1)*12,Paths!$E$335&lt;=C3621*12)),VLOOKUP(A3621,'Fleet register'!$A$7:$S$106,16,FALSE),0),"n.a."))</f>
        <v>0</v>
      </c>
      <c r="O3621" s="16">
        <f>IF(NOT(Paths!$C$335=1),0,IF(Paths!$P$335="Complete",N3621-IF(C3621=0,Paths!$F$335,0),"n.a."))</f>
        <v>0</v>
      </c>
      <c r="P3621" s="16">
        <f>IF(NOT(Paths!$C$335=1),0,IF(Paths!$P$335="Complete",O3621+L3621,"n.a."))</f>
        <v>0</v>
      </c>
      <c r="Q3621" s="16">
        <f>IF(NOT(Paths!$C$335=1),0,IF(Paths!$P$335="Complete",N3621*(1+'Operating costs'!$B$54)^-C3621,"n.a."))</f>
        <v>0</v>
      </c>
      <c r="R3621" s="16">
        <f>IF(NOT(Paths!$C$335=1),0,IF(Paths!$P$335="Complete",IF(AND(C3621=0,Paths!$E$335=0),I3621-J3621-K3621+VLOOKUP(A3621,'Fleet register'!$A$7:$S$106,15,FALSE)+VLOOKUP(A3621,'Fleet register'!$A$7:$S$106,16,FALSE),0),"n.a."))</f>
        <v>0</v>
      </c>
      <c r="S3621" s="1">
        <f>IF(NOT(Paths!$C$335=1),0,IF(Paths!$P$335="Complete",IF(C3621=0,0,Paths!$S$335*Paths!$R$335),"n.a."))</f>
        <v>0</v>
      </c>
      <c r="T3621" s="1">
        <f>IF(NOT(Paths!$C$335=1),0,IF(Paths!$P$335="Complete",IF(C3621=0,0,VLOOKUP(A3621,'Fleet register'!$A$7:$S$106,9,FALSE)*Paths!$R$335),"n.a."))</f>
        <v>0</v>
      </c>
    </row>
    <row r="3622" spans="1:20" ht="24" customHeight="1">
      <c r="A3622" s="1" t="str">
        <f>Paths!$A$335</f>
        <v>T083</v>
      </c>
      <c r="B3622" s="1">
        <f>Paths!$B$335</f>
        <v>0</v>
      </c>
      <c r="C3622" s="1">
        <v>7</v>
      </c>
      <c r="D3622" s="1">
        <v>335</v>
      </c>
      <c r="E3622" s="1">
        <f>IF(OR(Paths!$C$335=0,C3622=0),0,MAX(0,MIN(C3622*12,Paths!$E$335)-(C3622-1)*12))</f>
        <v>0</v>
      </c>
      <c r="F3622" s="1">
        <f>IF(OR(Paths!$C$335=0,C3622=0),0,12-E3622)</f>
        <v>0</v>
      </c>
      <c r="G3622" s="16">
        <f>IF(NOT(Paths!$C$335=1),0,IF(Paths!$P$335="Complete",E3622/12*(Paths!$J$335*(1+'Operating costs'!$B$51)^MAX(0,C3622-1)+Paths!$K$335*(1+'Operating costs'!$B$53)^MAX(0,C3622-1)),"n.a."))</f>
        <v>0</v>
      </c>
      <c r="H3622" s="16">
        <f>IF(NOT(Paths!$C$335=1),0,IF(Paths!$P$335="Complete",F3622/12*(Paths!$L$335*(1+IF(Paths!$D$335="EV",'Operating costs'!$B$52,'Operating costs'!$B$51))^MAX(0,C3622-1)+Paths!$M$335*(1+'Operating costs'!$B$53)^MAX(0,C3622-1)),"n.a."))</f>
        <v>0</v>
      </c>
      <c r="I3622" s="16">
        <f>IF(NOT(Paths!$C$335=1),0,IF(Paths!$P$335="Complete",IF(IF(Paths!$E$335=0,C3622=0,AND(C3622&gt;0,Paths!$E$335&gt;(C3622-1)*12,Paths!$E$335&lt;=C3622*12)),Paths!$G$335,0),"n.a."))</f>
        <v>0</v>
      </c>
      <c r="J3622" s="16">
        <f>IF(NOT(Paths!$C$335=1),0,IF(Paths!$P$335="Complete",IF(IF(Paths!$E$335=0,C3622=0,AND(C3622&gt;0,Paths!$E$335&gt;(C3622-1)*12,Paths!$E$335&lt;=C3622*12)),Paths!$H$335,0),"n.a."))</f>
        <v>0</v>
      </c>
      <c r="K3622" s="16">
        <f>IF(NOT(Paths!$C$335=1),0,IF(Paths!$P$335="Complete",IF(IF(Paths!$O$335=0,C3622=0,AND(C3622&gt;0,Paths!$O$335&gt;(C3622-1)*12,Paths!$O$335&lt;=C3622*12)),Paths!$N$335,0),"n.a."))</f>
        <v>0</v>
      </c>
      <c r="L3622" s="16">
        <f>IF(NOT(Paths!$C$335=1),0,IF(Paths!$P$335="Complete",IF(C3622=10,Paths!$I$335,0),"n.a."))</f>
        <v>0</v>
      </c>
      <c r="M3622" s="16">
        <f>IF(NOT(Paths!$C$335=1),0,IF(Paths!$P$335="Complete",IF(AND(Paths!$D$335="EV",Paths!$E$335&lt;120,Paths!$E$335+'Operating costs'!$B$65&gt;Paths!$E$335,Paths!$E$335+'Operating costs'!$B$65&lt;=120,IF(Paths!$E$335+'Operating costs'!$B$65=0,C3622=0,AND(C3622&gt;0,Paths!$E$335+'Operating costs'!$B$65&gt;(C3622-1)*12,Paths!$E$335+'Operating costs'!$B$65&lt;=C3622*12))),'Operating costs'!$B$64,0)+IF(AND('Operating costs'!$B$67&gt;0,'Operating costs'!$B$67&lt;=120,OR(Paths!$D$335="ICE",'Operating costs'!$B$67&lt;=Paths!$E$335),IF('Operating costs'!$B$67=0,C3622=0,AND(C3622&gt;0,'Operating costs'!$B$67&gt;(C3622-1)*12,'Operating costs'!$B$67&lt;=C3622*12))),'Operating costs'!$B$66,0),"n.a."))</f>
        <v>0</v>
      </c>
      <c r="N3622" s="16">
        <f>IF(NOT(Paths!$C$335=1),0,IF(Paths!$P$335="Complete",SUM(G3622:I3622)-J3622-K3622-L3622+M3622+IF(C3622=0,Paths!$F$335,0)+IF(IF(Paths!$E$335=0,C3622=0,AND(C3622&gt;0,Paths!$E$335&gt;(C3622-1)*12,Paths!$E$335&lt;=C3622*12)),VLOOKUP(A3622,'Fleet register'!$A$7:$S$106,16,FALSE),0),"n.a."))</f>
        <v>0</v>
      </c>
      <c r="O3622" s="16">
        <f>IF(NOT(Paths!$C$335=1),0,IF(Paths!$P$335="Complete",N3622-IF(C3622=0,Paths!$F$335,0),"n.a."))</f>
        <v>0</v>
      </c>
      <c r="P3622" s="16">
        <f>IF(NOT(Paths!$C$335=1),0,IF(Paths!$P$335="Complete",O3622+L3622,"n.a."))</f>
        <v>0</v>
      </c>
      <c r="Q3622" s="16">
        <f>IF(NOT(Paths!$C$335=1),0,IF(Paths!$P$335="Complete",N3622*(1+'Operating costs'!$B$54)^-C3622,"n.a."))</f>
        <v>0</v>
      </c>
      <c r="R3622" s="16">
        <f>IF(NOT(Paths!$C$335=1),0,IF(Paths!$P$335="Complete",IF(AND(C3622=0,Paths!$E$335=0),I3622-J3622-K3622+VLOOKUP(A3622,'Fleet register'!$A$7:$S$106,15,FALSE)+VLOOKUP(A3622,'Fleet register'!$A$7:$S$106,16,FALSE),0),"n.a."))</f>
        <v>0</v>
      </c>
      <c r="S3622" s="1">
        <f>IF(NOT(Paths!$C$335=1),0,IF(Paths!$P$335="Complete",IF(C3622=0,0,Paths!$S$335*Paths!$R$335),"n.a."))</f>
        <v>0</v>
      </c>
      <c r="T3622" s="1">
        <f>IF(NOT(Paths!$C$335=1),0,IF(Paths!$P$335="Complete",IF(C3622=0,0,VLOOKUP(A3622,'Fleet register'!$A$7:$S$106,9,FALSE)*Paths!$R$335),"n.a."))</f>
        <v>0</v>
      </c>
    </row>
    <row r="3623" spans="1:20" ht="24" customHeight="1">
      <c r="A3623" s="1" t="str">
        <f>Paths!$A$335</f>
        <v>T083</v>
      </c>
      <c r="B3623" s="1">
        <f>Paths!$B$335</f>
        <v>0</v>
      </c>
      <c r="C3623" s="1">
        <v>8</v>
      </c>
      <c r="D3623" s="1">
        <v>335</v>
      </c>
      <c r="E3623" s="1">
        <f>IF(OR(Paths!$C$335=0,C3623=0),0,MAX(0,MIN(C3623*12,Paths!$E$335)-(C3623-1)*12))</f>
        <v>0</v>
      </c>
      <c r="F3623" s="1">
        <f>IF(OR(Paths!$C$335=0,C3623=0),0,12-E3623)</f>
        <v>0</v>
      </c>
      <c r="G3623" s="16">
        <f>IF(NOT(Paths!$C$335=1),0,IF(Paths!$P$335="Complete",E3623/12*(Paths!$J$335*(1+'Operating costs'!$B$51)^MAX(0,C3623-1)+Paths!$K$335*(1+'Operating costs'!$B$53)^MAX(0,C3623-1)),"n.a."))</f>
        <v>0</v>
      </c>
      <c r="H3623" s="16">
        <f>IF(NOT(Paths!$C$335=1),0,IF(Paths!$P$335="Complete",F3623/12*(Paths!$L$335*(1+IF(Paths!$D$335="EV",'Operating costs'!$B$52,'Operating costs'!$B$51))^MAX(0,C3623-1)+Paths!$M$335*(1+'Operating costs'!$B$53)^MAX(0,C3623-1)),"n.a."))</f>
        <v>0</v>
      </c>
      <c r="I3623" s="16">
        <f>IF(NOT(Paths!$C$335=1),0,IF(Paths!$P$335="Complete",IF(IF(Paths!$E$335=0,C3623=0,AND(C3623&gt;0,Paths!$E$335&gt;(C3623-1)*12,Paths!$E$335&lt;=C3623*12)),Paths!$G$335,0),"n.a."))</f>
        <v>0</v>
      </c>
      <c r="J3623" s="16">
        <f>IF(NOT(Paths!$C$335=1),0,IF(Paths!$P$335="Complete",IF(IF(Paths!$E$335=0,C3623=0,AND(C3623&gt;0,Paths!$E$335&gt;(C3623-1)*12,Paths!$E$335&lt;=C3623*12)),Paths!$H$335,0),"n.a."))</f>
        <v>0</v>
      </c>
      <c r="K3623" s="16">
        <f>IF(NOT(Paths!$C$335=1),0,IF(Paths!$P$335="Complete",IF(IF(Paths!$O$335=0,C3623=0,AND(C3623&gt;0,Paths!$O$335&gt;(C3623-1)*12,Paths!$O$335&lt;=C3623*12)),Paths!$N$335,0),"n.a."))</f>
        <v>0</v>
      </c>
      <c r="L3623" s="16">
        <f>IF(NOT(Paths!$C$335=1),0,IF(Paths!$P$335="Complete",IF(C3623=10,Paths!$I$335,0),"n.a."))</f>
        <v>0</v>
      </c>
      <c r="M3623" s="16">
        <f>IF(NOT(Paths!$C$335=1),0,IF(Paths!$P$335="Complete",IF(AND(Paths!$D$335="EV",Paths!$E$335&lt;120,Paths!$E$335+'Operating costs'!$B$65&gt;Paths!$E$335,Paths!$E$335+'Operating costs'!$B$65&lt;=120,IF(Paths!$E$335+'Operating costs'!$B$65=0,C3623=0,AND(C3623&gt;0,Paths!$E$335+'Operating costs'!$B$65&gt;(C3623-1)*12,Paths!$E$335+'Operating costs'!$B$65&lt;=C3623*12))),'Operating costs'!$B$64,0)+IF(AND('Operating costs'!$B$67&gt;0,'Operating costs'!$B$67&lt;=120,OR(Paths!$D$335="ICE",'Operating costs'!$B$67&lt;=Paths!$E$335),IF('Operating costs'!$B$67=0,C3623=0,AND(C3623&gt;0,'Operating costs'!$B$67&gt;(C3623-1)*12,'Operating costs'!$B$67&lt;=C3623*12))),'Operating costs'!$B$66,0),"n.a."))</f>
        <v>0</v>
      </c>
      <c r="N3623" s="16">
        <f>IF(NOT(Paths!$C$335=1),0,IF(Paths!$P$335="Complete",SUM(G3623:I3623)-J3623-K3623-L3623+M3623+IF(C3623=0,Paths!$F$335,0)+IF(IF(Paths!$E$335=0,C3623=0,AND(C3623&gt;0,Paths!$E$335&gt;(C3623-1)*12,Paths!$E$335&lt;=C3623*12)),VLOOKUP(A3623,'Fleet register'!$A$7:$S$106,16,FALSE),0),"n.a."))</f>
        <v>0</v>
      </c>
      <c r="O3623" s="16">
        <f>IF(NOT(Paths!$C$335=1),0,IF(Paths!$P$335="Complete",N3623-IF(C3623=0,Paths!$F$335,0),"n.a."))</f>
        <v>0</v>
      </c>
      <c r="P3623" s="16">
        <f>IF(NOT(Paths!$C$335=1),0,IF(Paths!$P$335="Complete",O3623+L3623,"n.a."))</f>
        <v>0</v>
      </c>
      <c r="Q3623" s="16">
        <f>IF(NOT(Paths!$C$335=1),0,IF(Paths!$P$335="Complete",N3623*(1+'Operating costs'!$B$54)^-C3623,"n.a."))</f>
        <v>0</v>
      </c>
      <c r="R3623" s="16">
        <f>IF(NOT(Paths!$C$335=1),0,IF(Paths!$P$335="Complete",IF(AND(C3623=0,Paths!$E$335=0),I3623-J3623-K3623+VLOOKUP(A3623,'Fleet register'!$A$7:$S$106,15,FALSE)+VLOOKUP(A3623,'Fleet register'!$A$7:$S$106,16,FALSE),0),"n.a."))</f>
        <v>0</v>
      </c>
      <c r="S3623" s="1">
        <f>IF(NOT(Paths!$C$335=1),0,IF(Paths!$P$335="Complete",IF(C3623=0,0,Paths!$S$335*Paths!$R$335),"n.a."))</f>
        <v>0</v>
      </c>
      <c r="T3623" s="1">
        <f>IF(NOT(Paths!$C$335=1),0,IF(Paths!$P$335="Complete",IF(C3623=0,0,VLOOKUP(A3623,'Fleet register'!$A$7:$S$106,9,FALSE)*Paths!$R$335),"n.a."))</f>
        <v>0</v>
      </c>
    </row>
    <row r="3624" spans="1:20" ht="24" customHeight="1">
      <c r="A3624" s="1" t="str">
        <f>Paths!$A$335</f>
        <v>T083</v>
      </c>
      <c r="B3624" s="1">
        <f>Paths!$B$335</f>
        <v>0</v>
      </c>
      <c r="C3624" s="1">
        <v>9</v>
      </c>
      <c r="D3624" s="1">
        <v>335</v>
      </c>
      <c r="E3624" s="1">
        <f>IF(OR(Paths!$C$335=0,C3624=0),0,MAX(0,MIN(C3624*12,Paths!$E$335)-(C3624-1)*12))</f>
        <v>0</v>
      </c>
      <c r="F3624" s="1">
        <f>IF(OR(Paths!$C$335=0,C3624=0),0,12-E3624)</f>
        <v>0</v>
      </c>
      <c r="G3624" s="16">
        <f>IF(NOT(Paths!$C$335=1),0,IF(Paths!$P$335="Complete",E3624/12*(Paths!$J$335*(1+'Operating costs'!$B$51)^MAX(0,C3624-1)+Paths!$K$335*(1+'Operating costs'!$B$53)^MAX(0,C3624-1)),"n.a."))</f>
        <v>0</v>
      </c>
      <c r="H3624" s="16">
        <f>IF(NOT(Paths!$C$335=1),0,IF(Paths!$P$335="Complete",F3624/12*(Paths!$L$335*(1+IF(Paths!$D$335="EV",'Operating costs'!$B$52,'Operating costs'!$B$51))^MAX(0,C3624-1)+Paths!$M$335*(1+'Operating costs'!$B$53)^MAX(0,C3624-1)),"n.a."))</f>
        <v>0</v>
      </c>
      <c r="I3624" s="16">
        <f>IF(NOT(Paths!$C$335=1),0,IF(Paths!$P$335="Complete",IF(IF(Paths!$E$335=0,C3624=0,AND(C3624&gt;0,Paths!$E$335&gt;(C3624-1)*12,Paths!$E$335&lt;=C3624*12)),Paths!$G$335,0),"n.a."))</f>
        <v>0</v>
      </c>
      <c r="J3624" s="16">
        <f>IF(NOT(Paths!$C$335=1),0,IF(Paths!$P$335="Complete",IF(IF(Paths!$E$335=0,C3624=0,AND(C3624&gt;0,Paths!$E$335&gt;(C3624-1)*12,Paths!$E$335&lt;=C3624*12)),Paths!$H$335,0),"n.a."))</f>
        <v>0</v>
      </c>
      <c r="K3624" s="16">
        <f>IF(NOT(Paths!$C$335=1),0,IF(Paths!$P$335="Complete",IF(IF(Paths!$O$335=0,C3624=0,AND(C3624&gt;0,Paths!$O$335&gt;(C3624-1)*12,Paths!$O$335&lt;=C3624*12)),Paths!$N$335,0),"n.a."))</f>
        <v>0</v>
      </c>
      <c r="L3624" s="16">
        <f>IF(NOT(Paths!$C$335=1),0,IF(Paths!$P$335="Complete",IF(C3624=10,Paths!$I$335,0),"n.a."))</f>
        <v>0</v>
      </c>
      <c r="M3624" s="16">
        <f>IF(NOT(Paths!$C$335=1),0,IF(Paths!$P$335="Complete",IF(AND(Paths!$D$335="EV",Paths!$E$335&lt;120,Paths!$E$335+'Operating costs'!$B$65&gt;Paths!$E$335,Paths!$E$335+'Operating costs'!$B$65&lt;=120,IF(Paths!$E$335+'Operating costs'!$B$65=0,C3624=0,AND(C3624&gt;0,Paths!$E$335+'Operating costs'!$B$65&gt;(C3624-1)*12,Paths!$E$335+'Operating costs'!$B$65&lt;=C3624*12))),'Operating costs'!$B$64,0)+IF(AND('Operating costs'!$B$67&gt;0,'Operating costs'!$B$67&lt;=120,OR(Paths!$D$335="ICE",'Operating costs'!$B$67&lt;=Paths!$E$335),IF('Operating costs'!$B$67=0,C3624=0,AND(C3624&gt;0,'Operating costs'!$B$67&gt;(C3624-1)*12,'Operating costs'!$B$67&lt;=C3624*12))),'Operating costs'!$B$66,0),"n.a."))</f>
        <v>0</v>
      </c>
      <c r="N3624" s="16">
        <f>IF(NOT(Paths!$C$335=1),0,IF(Paths!$P$335="Complete",SUM(G3624:I3624)-J3624-K3624-L3624+M3624+IF(C3624=0,Paths!$F$335,0)+IF(IF(Paths!$E$335=0,C3624=0,AND(C3624&gt;0,Paths!$E$335&gt;(C3624-1)*12,Paths!$E$335&lt;=C3624*12)),VLOOKUP(A3624,'Fleet register'!$A$7:$S$106,16,FALSE),0),"n.a."))</f>
        <v>0</v>
      </c>
      <c r="O3624" s="16">
        <f>IF(NOT(Paths!$C$335=1),0,IF(Paths!$P$335="Complete",N3624-IF(C3624=0,Paths!$F$335,0),"n.a."))</f>
        <v>0</v>
      </c>
      <c r="P3624" s="16">
        <f>IF(NOT(Paths!$C$335=1),0,IF(Paths!$P$335="Complete",O3624+L3624,"n.a."))</f>
        <v>0</v>
      </c>
      <c r="Q3624" s="16">
        <f>IF(NOT(Paths!$C$335=1),0,IF(Paths!$P$335="Complete",N3624*(1+'Operating costs'!$B$54)^-C3624,"n.a."))</f>
        <v>0</v>
      </c>
      <c r="R3624" s="16">
        <f>IF(NOT(Paths!$C$335=1),0,IF(Paths!$P$335="Complete",IF(AND(C3624=0,Paths!$E$335=0),I3624-J3624-K3624+VLOOKUP(A3624,'Fleet register'!$A$7:$S$106,15,FALSE)+VLOOKUP(A3624,'Fleet register'!$A$7:$S$106,16,FALSE),0),"n.a."))</f>
        <v>0</v>
      </c>
      <c r="S3624" s="1">
        <f>IF(NOT(Paths!$C$335=1),0,IF(Paths!$P$335="Complete",IF(C3624=0,0,Paths!$S$335*Paths!$R$335),"n.a."))</f>
        <v>0</v>
      </c>
      <c r="T3624" s="1">
        <f>IF(NOT(Paths!$C$335=1),0,IF(Paths!$P$335="Complete",IF(C3624=0,0,VLOOKUP(A3624,'Fleet register'!$A$7:$S$106,9,FALSE)*Paths!$R$335),"n.a."))</f>
        <v>0</v>
      </c>
    </row>
    <row r="3625" spans="1:20" ht="24" customHeight="1">
      <c r="A3625" s="1" t="str">
        <f>Paths!$A$335</f>
        <v>T083</v>
      </c>
      <c r="B3625" s="1">
        <f>Paths!$B$335</f>
        <v>0</v>
      </c>
      <c r="C3625" s="1">
        <v>10</v>
      </c>
      <c r="D3625" s="1">
        <v>335</v>
      </c>
      <c r="E3625" s="1">
        <f>IF(OR(Paths!$C$335=0,C3625=0),0,MAX(0,MIN(C3625*12,Paths!$E$335)-(C3625-1)*12))</f>
        <v>0</v>
      </c>
      <c r="F3625" s="1">
        <f>IF(OR(Paths!$C$335=0,C3625=0),0,12-E3625)</f>
        <v>0</v>
      </c>
      <c r="G3625" s="16">
        <f>IF(NOT(Paths!$C$335=1),0,IF(Paths!$P$335="Complete",E3625/12*(Paths!$J$335*(1+'Operating costs'!$B$51)^MAX(0,C3625-1)+Paths!$K$335*(1+'Operating costs'!$B$53)^MAX(0,C3625-1)),"n.a."))</f>
        <v>0</v>
      </c>
      <c r="H3625" s="16">
        <f>IF(NOT(Paths!$C$335=1),0,IF(Paths!$P$335="Complete",F3625/12*(Paths!$L$335*(1+IF(Paths!$D$335="EV",'Operating costs'!$B$52,'Operating costs'!$B$51))^MAX(0,C3625-1)+Paths!$M$335*(1+'Operating costs'!$B$53)^MAX(0,C3625-1)),"n.a."))</f>
        <v>0</v>
      </c>
      <c r="I3625" s="16">
        <f>IF(NOT(Paths!$C$335=1),0,IF(Paths!$P$335="Complete",IF(IF(Paths!$E$335=0,C3625=0,AND(C3625&gt;0,Paths!$E$335&gt;(C3625-1)*12,Paths!$E$335&lt;=C3625*12)),Paths!$G$335,0),"n.a."))</f>
        <v>0</v>
      </c>
      <c r="J3625" s="16">
        <f>IF(NOT(Paths!$C$335=1),0,IF(Paths!$P$335="Complete",IF(IF(Paths!$E$335=0,C3625=0,AND(C3625&gt;0,Paths!$E$335&gt;(C3625-1)*12,Paths!$E$335&lt;=C3625*12)),Paths!$H$335,0),"n.a."))</f>
        <v>0</v>
      </c>
      <c r="K3625" s="16">
        <f>IF(NOT(Paths!$C$335=1),0,IF(Paths!$P$335="Complete",IF(IF(Paths!$O$335=0,C3625=0,AND(C3625&gt;0,Paths!$O$335&gt;(C3625-1)*12,Paths!$O$335&lt;=C3625*12)),Paths!$N$335,0),"n.a."))</f>
        <v>0</v>
      </c>
      <c r="L3625" s="16">
        <f>IF(NOT(Paths!$C$335=1),0,IF(Paths!$P$335="Complete",IF(C3625=10,Paths!$I$335,0),"n.a."))</f>
        <v>0</v>
      </c>
      <c r="M3625" s="16">
        <f>IF(NOT(Paths!$C$335=1),0,IF(Paths!$P$335="Complete",IF(AND(Paths!$D$335="EV",Paths!$E$335&lt;120,Paths!$E$335+'Operating costs'!$B$65&gt;Paths!$E$335,Paths!$E$335+'Operating costs'!$B$65&lt;=120,IF(Paths!$E$335+'Operating costs'!$B$65=0,C3625=0,AND(C3625&gt;0,Paths!$E$335+'Operating costs'!$B$65&gt;(C3625-1)*12,Paths!$E$335+'Operating costs'!$B$65&lt;=C3625*12))),'Operating costs'!$B$64,0)+IF(AND('Operating costs'!$B$67&gt;0,'Operating costs'!$B$67&lt;=120,OR(Paths!$D$335="ICE",'Operating costs'!$B$67&lt;=Paths!$E$335),IF('Operating costs'!$B$67=0,C3625=0,AND(C3625&gt;0,'Operating costs'!$B$67&gt;(C3625-1)*12,'Operating costs'!$B$67&lt;=C3625*12))),'Operating costs'!$B$66,0),"n.a."))</f>
        <v>0</v>
      </c>
      <c r="N3625" s="16">
        <f>IF(NOT(Paths!$C$335=1),0,IF(Paths!$P$335="Complete",SUM(G3625:I3625)-J3625-K3625-L3625+M3625+IF(C3625=0,Paths!$F$335,0)+IF(IF(Paths!$E$335=0,C3625=0,AND(C3625&gt;0,Paths!$E$335&gt;(C3625-1)*12,Paths!$E$335&lt;=C3625*12)),VLOOKUP(A3625,'Fleet register'!$A$7:$S$106,16,FALSE),0),"n.a."))</f>
        <v>0</v>
      </c>
      <c r="O3625" s="16">
        <f>IF(NOT(Paths!$C$335=1),0,IF(Paths!$P$335="Complete",N3625-IF(C3625=0,Paths!$F$335,0),"n.a."))</f>
        <v>0</v>
      </c>
      <c r="P3625" s="16">
        <f>IF(NOT(Paths!$C$335=1),0,IF(Paths!$P$335="Complete",O3625+L3625,"n.a."))</f>
        <v>0</v>
      </c>
      <c r="Q3625" s="16">
        <f>IF(NOT(Paths!$C$335=1),0,IF(Paths!$P$335="Complete",N3625*(1+'Operating costs'!$B$54)^-C3625,"n.a."))</f>
        <v>0</v>
      </c>
      <c r="R3625" s="16">
        <f>IF(NOT(Paths!$C$335=1),0,IF(Paths!$P$335="Complete",IF(AND(C3625=0,Paths!$E$335=0),I3625-J3625-K3625+VLOOKUP(A3625,'Fleet register'!$A$7:$S$106,15,FALSE)+VLOOKUP(A3625,'Fleet register'!$A$7:$S$106,16,FALSE),0),"n.a."))</f>
        <v>0</v>
      </c>
      <c r="S3625" s="1">
        <f>IF(NOT(Paths!$C$335=1),0,IF(Paths!$P$335="Complete",IF(C3625=0,0,Paths!$S$335*Paths!$R$335),"n.a."))</f>
        <v>0</v>
      </c>
      <c r="T3625" s="1">
        <f>IF(NOT(Paths!$C$335=1),0,IF(Paths!$P$335="Complete",IF(C3625=0,0,VLOOKUP(A3625,'Fleet register'!$A$7:$S$106,9,FALSE)*Paths!$R$335),"n.a."))</f>
        <v>0</v>
      </c>
    </row>
    <row r="3626" spans="1:20" ht="24" customHeight="1">
      <c r="A3626" s="1" t="str">
        <f>Paths!$A$336</f>
        <v>T083</v>
      </c>
      <c r="B3626" s="1">
        <f>Paths!$B$336</f>
        <v>1</v>
      </c>
      <c r="C3626" s="1">
        <v>0</v>
      </c>
      <c r="D3626" s="1">
        <v>336</v>
      </c>
      <c r="E3626" s="1">
        <f>IF(OR(Paths!$C$336=0,C3626=0),0,MAX(0,MIN(C3626*12,Paths!$E$336)-(C3626-1)*12))</f>
        <v>0</v>
      </c>
      <c r="F3626" s="1">
        <f>IF(OR(Paths!$C$336=0,C3626=0),0,12-E3626)</f>
        <v>0</v>
      </c>
      <c r="G3626" s="16">
        <f>IF(NOT(Paths!$C$336=1),0,IF(Paths!$P$336="Complete",E3626/12*(Paths!$J$336*(1+'Operating costs'!$B$51)^MAX(0,C3626-1)+Paths!$K$336*(1+'Operating costs'!$B$53)^MAX(0,C3626-1)),"n.a."))</f>
        <v>0</v>
      </c>
      <c r="H3626" s="16">
        <f>IF(NOT(Paths!$C$336=1),0,IF(Paths!$P$336="Complete",F3626/12*(Paths!$L$336*(1+IF(Paths!$D$336="EV",'Operating costs'!$B$52,'Operating costs'!$B$51))^MAX(0,C3626-1)+Paths!$M$336*(1+'Operating costs'!$B$53)^MAX(0,C3626-1)),"n.a."))</f>
        <v>0</v>
      </c>
      <c r="I3626" s="16">
        <f>IF(NOT(Paths!$C$336=1),0,IF(Paths!$P$336="Complete",IF(IF(Paths!$E$336=0,C3626=0,AND(C3626&gt;0,Paths!$E$336&gt;(C3626-1)*12,Paths!$E$336&lt;=C3626*12)),Paths!$G$336,0),"n.a."))</f>
        <v>0</v>
      </c>
      <c r="J3626" s="16">
        <f>IF(NOT(Paths!$C$336=1),0,IF(Paths!$P$336="Complete",IF(IF(Paths!$E$336=0,C3626=0,AND(C3626&gt;0,Paths!$E$336&gt;(C3626-1)*12,Paths!$E$336&lt;=C3626*12)),Paths!$H$336,0),"n.a."))</f>
        <v>0</v>
      </c>
      <c r="K3626" s="16">
        <f>IF(NOT(Paths!$C$336=1),0,IF(Paths!$P$336="Complete",IF(IF(Paths!$O$336=0,C3626=0,AND(C3626&gt;0,Paths!$O$336&gt;(C3626-1)*12,Paths!$O$336&lt;=C3626*12)),Paths!$N$336,0),"n.a."))</f>
        <v>0</v>
      </c>
      <c r="L3626" s="16">
        <f>IF(NOT(Paths!$C$336=1),0,IF(Paths!$P$336="Complete",IF(C3626=10,Paths!$I$336,0),"n.a."))</f>
        <v>0</v>
      </c>
      <c r="M3626" s="16">
        <f>IF(NOT(Paths!$C$336=1),0,IF(Paths!$P$336="Complete",IF(AND(Paths!$D$336="EV",Paths!$E$336&lt;120,Paths!$E$336+'Operating costs'!$B$65&gt;Paths!$E$336,Paths!$E$336+'Operating costs'!$B$65&lt;=120,IF(Paths!$E$336+'Operating costs'!$B$65=0,C3626=0,AND(C3626&gt;0,Paths!$E$336+'Operating costs'!$B$65&gt;(C3626-1)*12,Paths!$E$336+'Operating costs'!$B$65&lt;=C3626*12))),'Operating costs'!$B$64,0)+IF(AND('Operating costs'!$B$67&gt;0,'Operating costs'!$B$67&lt;=120,OR(Paths!$D$336="ICE",'Operating costs'!$B$67&lt;=Paths!$E$336),IF('Operating costs'!$B$67=0,C3626=0,AND(C3626&gt;0,'Operating costs'!$B$67&gt;(C3626-1)*12,'Operating costs'!$B$67&lt;=C3626*12))),'Operating costs'!$B$66,0),"n.a."))</f>
        <v>0</v>
      </c>
      <c r="N3626" s="16">
        <f>IF(NOT(Paths!$C$336=1),0,IF(Paths!$P$336="Complete",SUM(G3626:I3626)-J3626-K3626-L3626+M3626+IF(C3626=0,Paths!$F$336,0)+IF(IF(Paths!$E$336=0,C3626=0,AND(C3626&gt;0,Paths!$E$336&gt;(C3626-1)*12,Paths!$E$336&lt;=C3626*12)),VLOOKUP(A3626,'Fleet register'!$A$7:$S$106,16,FALSE),0),"n.a."))</f>
        <v>0</v>
      </c>
      <c r="O3626" s="16">
        <f>IF(NOT(Paths!$C$336=1),0,IF(Paths!$P$336="Complete",N3626-IF(C3626=0,Paths!$F$336,0),"n.a."))</f>
        <v>0</v>
      </c>
      <c r="P3626" s="16">
        <f>IF(NOT(Paths!$C$336=1),0,IF(Paths!$P$336="Complete",O3626+L3626,"n.a."))</f>
        <v>0</v>
      </c>
      <c r="Q3626" s="16">
        <f>IF(NOT(Paths!$C$336=1),0,IF(Paths!$P$336="Complete",N3626*(1+'Operating costs'!$B$54)^-C3626,"n.a."))</f>
        <v>0</v>
      </c>
      <c r="R3626" s="16">
        <f>IF(NOT(Paths!$C$336=1),0,IF(Paths!$P$336="Complete",IF(AND(C3626=0,Paths!$E$336=0),I3626-J3626-K3626+VLOOKUP(A3626,'Fleet register'!$A$7:$S$106,15,FALSE)+VLOOKUP(A3626,'Fleet register'!$A$7:$S$106,16,FALSE),0),"n.a."))</f>
        <v>0</v>
      </c>
      <c r="S3626" s="1">
        <f>IF(NOT(Paths!$C$336=1),0,IF(Paths!$P$336="Complete",IF(C3626=0,0,Paths!$S$336*Paths!$R$336),"n.a."))</f>
        <v>0</v>
      </c>
      <c r="T3626" s="1">
        <f>IF(NOT(Paths!$C$336=1),0,IF(Paths!$P$336="Complete",IF(C3626=0,0,VLOOKUP(A3626,'Fleet register'!$A$7:$S$106,9,FALSE)*Paths!$R$336),"n.a."))</f>
        <v>0</v>
      </c>
    </row>
    <row r="3627" spans="1:20" ht="24" customHeight="1">
      <c r="A3627" s="1" t="str">
        <f>Paths!$A$336</f>
        <v>T083</v>
      </c>
      <c r="B3627" s="1">
        <f>Paths!$B$336</f>
        <v>1</v>
      </c>
      <c r="C3627" s="1">
        <v>1</v>
      </c>
      <c r="D3627" s="1">
        <v>336</v>
      </c>
      <c r="E3627" s="1">
        <f>IF(OR(Paths!$C$336=0,C3627=0),0,MAX(0,MIN(C3627*12,Paths!$E$336)-(C3627-1)*12))</f>
        <v>0</v>
      </c>
      <c r="F3627" s="1">
        <f>IF(OR(Paths!$C$336=0,C3627=0),0,12-E3627)</f>
        <v>0</v>
      </c>
      <c r="G3627" s="16">
        <f>IF(NOT(Paths!$C$336=1),0,IF(Paths!$P$336="Complete",E3627/12*(Paths!$J$336*(1+'Operating costs'!$B$51)^MAX(0,C3627-1)+Paths!$K$336*(1+'Operating costs'!$B$53)^MAX(0,C3627-1)),"n.a."))</f>
        <v>0</v>
      </c>
      <c r="H3627" s="16">
        <f>IF(NOT(Paths!$C$336=1),0,IF(Paths!$P$336="Complete",F3627/12*(Paths!$L$336*(1+IF(Paths!$D$336="EV",'Operating costs'!$B$52,'Operating costs'!$B$51))^MAX(0,C3627-1)+Paths!$M$336*(1+'Operating costs'!$B$53)^MAX(0,C3627-1)),"n.a."))</f>
        <v>0</v>
      </c>
      <c r="I3627" s="16">
        <f>IF(NOT(Paths!$C$336=1),0,IF(Paths!$P$336="Complete",IF(IF(Paths!$E$336=0,C3627=0,AND(C3627&gt;0,Paths!$E$336&gt;(C3627-1)*12,Paths!$E$336&lt;=C3627*12)),Paths!$G$336,0),"n.a."))</f>
        <v>0</v>
      </c>
      <c r="J3627" s="16">
        <f>IF(NOT(Paths!$C$336=1),0,IF(Paths!$P$336="Complete",IF(IF(Paths!$E$336=0,C3627=0,AND(C3627&gt;0,Paths!$E$336&gt;(C3627-1)*12,Paths!$E$336&lt;=C3627*12)),Paths!$H$336,0),"n.a."))</f>
        <v>0</v>
      </c>
      <c r="K3627" s="16">
        <f>IF(NOT(Paths!$C$336=1),0,IF(Paths!$P$336="Complete",IF(IF(Paths!$O$336=0,C3627=0,AND(C3627&gt;0,Paths!$O$336&gt;(C3627-1)*12,Paths!$O$336&lt;=C3627*12)),Paths!$N$336,0),"n.a."))</f>
        <v>0</v>
      </c>
      <c r="L3627" s="16">
        <f>IF(NOT(Paths!$C$336=1),0,IF(Paths!$P$336="Complete",IF(C3627=10,Paths!$I$336,0),"n.a."))</f>
        <v>0</v>
      </c>
      <c r="M3627" s="16">
        <f>IF(NOT(Paths!$C$336=1),0,IF(Paths!$P$336="Complete",IF(AND(Paths!$D$336="EV",Paths!$E$336&lt;120,Paths!$E$336+'Operating costs'!$B$65&gt;Paths!$E$336,Paths!$E$336+'Operating costs'!$B$65&lt;=120,IF(Paths!$E$336+'Operating costs'!$B$65=0,C3627=0,AND(C3627&gt;0,Paths!$E$336+'Operating costs'!$B$65&gt;(C3627-1)*12,Paths!$E$336+'Operating costs'!$B$65&lt;=C3627*12))),'Operating costs'!$B$64,0)+IF(AND('Operating costs'!$B$67&gt;0,'Operating costs'!$B$67&lt;=120,OR(Paths!$D$336="ICE",'Operating costs'!$B$67&lt;=Paths!$E$336),IF('Operating costs'!$B$67=0,C3627=0,AND(C3627&gt;0,'Operating costs'!$B$67&gt;(C3627-1)*12,'Operating costs'!$B$67&lt;=C3627*12))),'Operating costs'!$B$66,0),"n.a."))</f>
        <v>0</v>
      </c>
      <c r="N3627" s="16">
        <f>IF(NOT(Paths!$C$336=1),0,IF(Paths!$P$336="Complete",SUM(G3627:I3627)-J3627-K3627-L3627+M3627+IF(C3627=0,Paths!$F$336,0)+IF(IF(Paths!$E$336=0,C3627=0,AND(C3627&gt;0,Paths!$E$336&gt;(C3627-1)*12,Paths!$E$336&lt;=C3627*12)),VLOOKUP(A3627,'Fleet register'!$A$7:$S$106,16,FALSE),0),"n.a."))</f>
        <v>0</v>
      </c>
      <c r="O3627" s="16">
        <f>IF(NOT(Paths!$C$336=1),0,IF(Paths!$P$336="Complete",N3627-IF(C3627=0,Paths!$F$336,0),"n.a."))</f>
        <v>0</v>
      </c>
      <c r="P3627" s="16">
        <f>IF(NOT(Paths!$C$336=1),0,IF(Paths!$P$336="Complete",O3627+L3627,"n.a."))</f>
        <v>0</v>
      </c>
      <c r="Q3627" s="16">
        <f>IF(NOT(Paths!$C$336=1),0,IF(Paths!$P$336="Complete",N3627*(1+'Operating costs'!$B$54)^-C3627,"n.a."))</f>
        <v>0</v>
      </c>
      <c r="R3627" s="16">
        <f>IF(NOT(Paths!$C$336=1),0,IF(Paths!$P$336="Complete",IF(AND(C3627=0,Paths!$E$336=0),I3627-J3627-K3627+VLOOKUP(A3627,'Fleet register'!$A$7:$S$106,15,FALSE)+VLOOKUP(A3627,'Fleet register'!$A$7:$S$106,16,FALSE),0),"n.a."))</f>
        <v>0</v>
      </c>
      <c r="S3627" s="1">
        <f>IF(NOT(Paths!$C$336=1),0,IF(Paths!$P$336="Complete",IF(C3627=0,0,Paths!$S$336*Paths!$R$336),"n.a."))</f>
        <v>0</v>
      </c>
      <c r="T3627" s="1">
        <f>IF(NOT(Paths!$C$336=1),0,IF(Paths!$P$336="Complete",IF(C3627=0,0,VLOOKUP(A3627,'Fleet register'!$A$7:$S$106,9,FALSE)*Paths!$R$336),"n.a."))</f>
        <v>0</v>
      </c>
    </row>
    <row r="3628" spans="1:20" ht="24" customHeight="1">
      <c r="A3628" s="1" t="str">
        <f>Paths!$A$336</f>
        <v>T083</v>
      </c>
      <c r="B3628" s="1">
        <f>Paths!$B$336</f>
        <v>1</v>
      </c>
      <c r="C3628" s="1">
        <v>2</v>
      </c>
      <c r="D3628" s="1">
        <v>336</v>
      </c>
      <c r="E3628" s="1">
        <f>IF(OR(Paths!$C$336=0,C3628=0),0,MAX(0,MIN(C3628*12,Paths!$E$336)-(C3628-1)*12))</f>
        <v>0</v>
      </c>
      <c r="F3628" s="1">
        <f>IF(OR(Paths!$C$336=0,C3628=0),0,12-E3628)</f>
        <v>0</v>
      </c>
      <c r="G3628" s="16">
        <f>IF(NOT(Paths!$C$336=1),0,IF(Paths!$P$336="Complete",E3628/12*(Paths!$J$336*(1+'Operating costs'!$B$51)^MAX(0,C3628-1)+Paths!$K$336*(1+'Operating costs'!$B$53)^MAX(0,C3628-1)),"n.a."))</f>
        <v>0</v>
      </c>
      <c r="H3628" s="16">
        <f>IF(NOT(Paths!$C$336=1),0,IF(Paths!$P$336="Complete",F3628/12*(Paths!$L$336*(1+IF(Paths!$D$336="EV",'Operating costs'!$B$52,'Operating costs'!$B$51))^MAX(0,C3628-1)+Paths!$M$336*(1+'Operating costs'!$B$53)^MAX(0,C3628-1)),"n.a."))</f>
        <v>0</v>
      </c>
      <c r="I3628" s="16">
        <f>IF(NOT(Paths!$C$336=1),0,IF(Paths!$P$336="Complete",IF(IF(Paths!$E$336=0,C3628=0,AND(C3628&gt;0,Paths!$E$336&gt;(C3628-1)*12,Paths!$E$336&lt;=C3628*12)),Paths!$G$336,0),"n.a."))</f>
        <v>0</v>
      </c>
      <c r="J3628" s="16">
        <f>IF(NOT(Paths!$C$336=1),0,IF(Paths!$P$336="Complete",IF(IF(Paths!$E$336=0,C3628=0,AND(C3628&gt;0,Paths!$E$336&gt;(C3628-1)*12,Paths!$E$336&lt;=C3628*12)),Paths!$H$336,0),"n.a."))</f>
        <v>0</v>
      </c>
      <c r="K3628" s="16">
        <f>IF(NOT(Paths!$C$336=1),0,IF(Paths!$P$336="Complete",IF(IF(Paths!$O$336=0,C3628=0,AND(C3628&gt;0,Paths!$O$336&gt;(C3628-1)*12,Paths!$O$336&lt;=C3628*12)),Paths!$N$336,0),"n.a."))</f>
        <v>0</v>
      </c>
      <c r="L3628" s="16">
        <f>IF(NOT(Paths!$C$336=1),0,IF(Paths!$P$336="Complete",IF(C3628=10,Paths!$I$336,0),"n.a."))</f>
        <v>0</v>
      </c>
      <c r="M3628" s="16">
        <f>IF(NOT(Paths!$C$336=1),0,IF(Paths!$P$336="Complete",IF(AND(Paths!$D$336="EV",Paths!$E$336&lt;120,Paths!$E$336+'Operating costs'!$B$65&gt;Paths!$E$336,Paths!$E$336+'Operating costs'!$B$65&lt;=120,IF(Paths!$E$336+'Operating costs'!$B$65=0,C3628=0,AND(C3628&gt;0,Paths!$E$336+'Operating costs'!$B$65&gt;(C3628-1)*12,Paths!$E$336+'Operating costs'!$B$65&lt;=C3628*12))),'Operating costs'!$B$64,0)+IF(AND('Operating costs'!$B$67&gt;0,'Operating costs'!$B$67&lt;=120,OR(Paths!$D$336="ICE",'Operating costs'!$B$67&lt;=Paths!$E$336),IF('Operating costs'!$B$67=0,C3628=0,AND(C3628&gt;0,'Operating costs'!$B$67&gt;(C3628-1)*12,'Operating costs'!$B$67&lt;=C3628*12))),'Operating costs'!$B$66,0),"n.a."))</f>
        <v>0</v>
      </c>
      <c r="N3628" s="16">
        <f>IF(NOT(Paths!$C$336=1),0,IF(Paths!$P$336="Complete",SUM(G3628:I3628)-J3628-K3628-L3628+M3628+IF(C3628=0,Paths!$F$336,0)+IF(IF(Paths!$E$336=0,C3628=0,AND(C3628&gt;0,Paths!$E$336&gt;(C3628-1)*12,Paths!$E$336&lt;=C3628*12)),VLOOKUP(A3628,'Fleet register'!$A$7:$S$106,16,FALSE),0),"n.a."))</f>
        <v>0</v>
      </c>
      <c r="O3628" s="16">
        <f>IF(NOT(Paths!$C$336=1),0,IF(Paths!$P$336="Complete",N3628-IF(C3628=0,Paths!$F$336,0),"n.a."))</f>
        <v>0</v>
      </c>
      <c r="P3628" s="16">
        <f>IF(NOT(Paths!$C$336=1),0,IF(Paths!$P$336="Complete",O3628+L3628,"n.a."))</f>
        <v>0</v>
      </c>
      <c r="Q3628" s="16">
        <f>IF(NOT(Paths!$C$336=1),0,IF(Paths!$P$336="Complete",N3628*(1+'Operating costs'!$B$54)^-C3628,"n.a."))</f>
        <v>0</v>
      </c>
      <c r="R3628" s="16">
        <f>IF(NOT(Paths!$C$336=1),0,IF(Paths!$P$336="Complete",IF(AND(C3628=0,Paths!$E$336=0),I3628-J3628-K3628+VLOOKUP(A3628,'Fleet register'!$A$7:$S$106,15,FALSE)+VLOOKUP(A3628,'Fleet register'!$A$7:$S$106,16,FALSE),0),"n.a."))</f>
        <v>0</v>
      </c>
      <c r="S3628" s="1">
        <f>IF(NOT(Paths!$C$336=1),0,IF(Paths!$P$336="Complete",IF(C3628=0,0,Paths!$S$336*Paths!$R$336),"n.a."))</f>
        <v>0</v>
      </c>
      <c r="T3628" s="1">
        <f>IF(NOT(Paths!$C$336=1),0,IF(Paths!$P$336="Complete",IF(C3628=0,0,VLOOKUP(A3628,'Fleet register'!$A$7:$S$106,9,FALSE)*Paths!$R$336),"n.a."))</f>
        <v>0</v>
      </c>
    </row>
    <row r="3629" spans="1:20" ht="24" customHeight="1">
      <c r="A3629" s="1" t="str">
        <f>Paths!$A$336</f>
        <v>T083</v>
      </c>
      <c r="B3629" s="1">
        <f>Paths!$B$336</f>
        <v>1</v>
      </c>
      <c r="C3629" s="1">
        <v>3</v>
      </c>
      <c r="D3629" s="1">
        <v>336</v>
      </c>
      <c r="E3629" s="1">
        <f>IF(OR(Paths!$C$336=0,C3629=0),0,MAX(0,MIN(C3629*12,Paths!$E$336)-(C3629-1)*12))</f>
        <v>0</v>
      </c>
      <c r="F3629" s="1">
        <f>IF(OR(Paths!$C$336=0,C3629=0),0,12-E3629)</f>
        <v>0</v>
      </c>
      <c r="G3629" s="16">
        <f>IF(NOT(Paths!$C$336=1),0,IF(Paths!$P$336="Complete",E3629/12*(Paths!$J$336*(1+'Operating costs'!$B$51)^MAX(0,C3629-1)+Paths!$K$336*(1+'Operating costs'!$B$53)^MAX(0,C3629-1)),"n.a."))</f>
        <v>0</v>
      </c>
      <c r="H3629" s="16">
        <f>IF(NOT(Paths!$C$336=1),0,IF(Paths!$P$336="Complete",F3629/12*(Paths!$L$336*(1+IF(Paths!$D$336="EV",'Operating costs'!$B$52,'Operating costs'!$B$51))^MAX(0,C3629-1)+Paths!$M$336*(1+'Operating costs'!$B$53)^MAX(0,C3629-1)),"n.a."))</f>
        <v>0</v>
      </c>
      <c r="I3629" s="16">
        <f>IF(NOT(Paths!$C$336=1),0,IF(Paths!$P$336="Complete",IF(IF(Paths!$E$336=0,C3629=0,AND(C3629&gt;0,Paths!$E$336&gt;(C3629-1)*12,Paths!$E$336&lt;=C3629*12)),Paths!$G$336,0),"n.a."))</f>
        <v>0</v>
      </c>
      <c r="J3629" s="16">
        <f>IF(NOT(Paths!$C$336=1),0,IF(Paths!$P$336="Complete",IF(IF(Paths!$E$336=0,C3629=0,AND(C3629&gt;0,Paths!$E$336&gt;(C3629-1)*12,Paths!$E$336&lt;=C3629*12)),Paths!$H$336,0),"n.a."))</f>
        <v>0</v>
      </c>
      <c r="K3629" s="16">
        <f>IF(NOT(Paths!$C$336=1),0,IF(Paths!$P$336="Complete",IF(IF(Paths!$O$336=0,C3629=0,AND(C3629&gt;0,Paths!$O$336&gt;(C3629-1)*12,Paths!$O$336&lt;=C3629*12)),Paths!$N$336,0),"n.a."))</f>
        <v>0</v>
      </c>
      <c r="L3629" s="16">
        <f>IF(NOT(Paths!$C$336=1),0,IF(Paths!$P$336="Complete",IF(C3629=10,Paths!$I$336,0),"n.a."))</f>
        <v>0</v>
      </c>
      <c r="M3629" s="16">
        <f>IF(NOT(Paths!$C$336=1),0,IF(Paths!$P$336="Complete",IF(AND(Paths!$D$336="EV",Paths!$E$336&lt;120,Paths!$E$336+'Operating costs'!$B$65&gt;Paths!$E$336,Paths!$E$336+'Operating costs'!$B$65&lt;=120,IF(Paths!$E$336+'Operating costs'!$B$65=0,C3629=0,AND(C3629&gt;0,Paths!$E$336+'Operating costs'!$B$65&gt;(C3629-1)*12,Paths!$E$336+'Operating costs'!$B$65&lt;=C3629*12))),'Operating costs'!$B$64,0)+IF(AND('Operating costs'!$B$67&gt;0,'Operating costs'!$B$67&lt;=120,OR(Paths!$D$336="ICE",'Operating costs'!$B$67&lt;=Paths!$E$336),IF('Operating costs'!$B$67=0,C3629=0,AND(C3629&gt;0,'Operating costs'!$B$67&gt;(C3629-1)*12,'Operating costs'!$B$67&lt;=C3629*12))),'Operating costs'!$B$66,0),"n.a."))</f>
        <v>0</v>
      </c>
      <c r="N3629" s="16">
        <f>IF(NOT(Paths!$C$336=1),0,IF(Paths!$P$336="Complete",SUM(G3629:I3629)-J3629-K3629-L3629+M3629+IF(C3629=0,Paths!$F$336,0)+IF(IF(Paths!$E$336=0,C3629=0,AND(C3629&gt;0,Paths!$E$336&gt;(C3629-1)*12,Paths!$E$336&lt;=C3629*12)),VLOOKUP(A3629,'Fleet register'!$A$7:$S$106,16,FALSE),0),"n.a."))</f>
        <v>0</v>
      </c>
      <c r="O3629" s="16">
        <f>IF(NOT(Paths!$C$336=1),0,IF(Paths!$P$336="Complete",N3629-IF(C3629=0,Paths!$F$336,0),"n.a."))</f>
        <v>0</v>
      </c>
      <c r="P3629" s="16">
        <f>IF(NOT(Paths!$C$336=1),0,IF(Paths!$P$336="Complete",O3629+L3629,"n.a."))</f>
        <v>0</v>
      </c>
      <c r="Q3629" s="16">
        <f>IF(NOT(Paths!$C$336=1),0,IF(Paths!$P$336="Complete",N3629*(1+'Operating costs'!$B$54)^-C3629,"n.a."))</f>
        <v>0</v>
      </c>
      <c r="R3629" s="16">
        <f>IF(NOT(Paths!$C$336=1),0,IF(Paths!$P$336="Complete",IF(AND(C3629=0,Paths!$E$336=0),I3629-J3629-K3629+VLOOKUP(A3629,'Fleet register'!$A$7:$S$106,15,FALSE)+VLOOKUP(A3629,'Fleet register'!$A$7:$S$106,16,FALSE),0),"n.a."))</f>
        <v>0</v>
      </c>
      <c r="S3629" s="1">
        <f>IF(NOT(Paths!$C$336=1),0,IF(Paths!$P$336="Complete",IF(C3629=0,0,Paths!$S$336*Paths!$R$336),"n.a."))</f>
        <v>0</v>
      </c>
      <c r="T3629" s="1">
        <f>IF(NOT(Paths!$C$336=1),0,IF(Paths!$P$336="Complete",IF(C3629=0,0,VLOOKUP(A3629,'Fleet register'!$A$7:$S$106,9,FALSE)*Paths!$R$336),"n.a."))</f>
        <v>0</v>
      </c>
    </row>
    <row r="3630" spans="1:20" ht="24" customHeight="1">
      <c r="A3630" s="1" t="str">
        <f>Paths!$A$336</f>
        <v>T083</v>
      </c>
      <c r="B3630" s="1">
        <f>Paths!$B$336</f>
        <v>1</v>
      </c>
      <c r="C3630" s="1">
        <v>4</v>
      </c>
      <c r="D3630" s="1">
        <v>336</v>
      </c>
      <c r="E3630" s="1">
        <f>IF(OR(Paths!$C$336=0,C3630=0),0,MAX(0,MIN(C3630*12,Paths!$E$336)-(C3630-1)*12))</f>
        <v>0</v>
      </c>
      <c r="F3630" s="1">
        <f>IF(OR(Paths!$C$336=0,C3630=0),0,12-E3630)</f>
        <v>0</v>
      </c>
      <c r="G3630" s="16">
        <f>IF(NOT(Paths!$C$336=1),0,IF(Paths!$P$336="Complete",E3630/12*(Paths!$J$336*(1+'Operating costs'!$B$51)^MAX(0,C3630-1)+Paths!$K$336*(1+'Operating costs'!$B$53)^MAX(0,C3630-1)),"n.a."))</f>
        <v>0</v>
      </c>
      <c r="H3630" s="16">
        <f>IF(NOT(Paths!$C$336=1),0,IF(Paths!$P$336="Complete",F3630/12*(Paths!$L$336*(1+IF(Paths!$D$336="EV",'Operating costs'!$B$52,'Operating costs'!$B$51))^MAX(0,C3630-1)+Paths!$M$336*(1+'Operating costs'!$B$53)^MAX(0,C3630-1)),"n.a."))</f>
        <v>0</v>
      </c>
      <c r="I3630" s="16">
        <f>IF(NOT(Paths!$C$336=1),0,IF(Paths!$P$336="Complete",IF(IF(Paths!$E$336=0,C3630=0,AND(C3630&gt;0,Paths!$E$336&gt;(C3630-1)*12,Paths!$E$336&lt;=C3630*12)),Paths!$G$336,0),"n.a."))</f>
        <v>0</v>
      </c>
      <c r="J3630" s="16">
        <f>IF(NOT(Paths!$C$336=1),0,IF(Paths!$P$336="Complete",IF(IF(Paths!$E$336=0,C3630=0,AND(C3630&gt;0,Paths!$E$336&gt;(C3630-1)*12,Paths!$E$336&lt;=C3630*12)),Paths!$H$336,0),"n.a."))</f>
        <v>0</v>
      </c>
      <c r="K3630" s="16">
        <f>IF(NOT(Paths!$C$336=1),0,IF(Paths!$P$336="Complete",IF(IF(Paths!$O$336=0,C3630=0,AND(C3630&gt;0,Paths!$O$336&gt;(C3630-1)*12,Paths!$O$336&lt;=C3630*12)),Paths!$N$336,0),"n.a."))</f>
        <v>0</v>
      </c>
      <c r="L3630" s="16">
        <f>IF(NOT(Paths!$C$336=1),0,IF(Paths!$P$336="Complete",IF(C3630=10,Paths!$I$336,0),"n.a."))</f>
        <v>0</v>
      </c>
      <c r="M3630" s="16">
        <f>IF(NOT(Paths!$C$336=1),0,IF(Paths!$P$336="Complete",IF(AND(Paths!$D$336="EV",Paths!$E$336&lt;120,Paths!$E$336+'Operating costs'!$B$65&gt;Paths!$E$336,Paths!$E$336+'Operating costs'!$B$65&lt;=120,IF(Paths!$E$336+'Operating costs'!$B$65=0,C3630=0,AND(C3630&gt;0,Paths!$E$336+'Operating costs'!$B$65&gt;(C3630-1)*12,Paths!$E$336+'Operating costs'!$B$65&lt;=C3630*12))),'Operating costs'!$B$64,0)+IF(AND('Operating costs'!$B$67&gt;0,'Operating costs'!$B$67&lt;=120,OR(Paths!$D$336="ICE",'Operating costs'!$B$67&lt;=Paths!$E$336),IF('Operating costs'!$B$67=0,C3630=0,AND(C3630&gt;0,'Operating costs'!$B$67&gt;(C3630-1)*12,'Operating costs'!$B$67&lt;=C3630*12))),'Operating costs'!$B$66,0),"n.a."))</f>
        <v>0</v>
      </c>
      <c r="N3630" s="16">
        <f>IF(NOT(Paths!$C$336=1),0,IF(Paths!$P$336="Complete",SUM(G3630:I3630)-J3630-K3630-L3630+M3630+IF(C3630=0,Paths!$F$336,0)+IF(IF(Paths!$E$336=0,C3630=0,AND(C3630&gt;0,Paths!$E$336&gt;(C3630-1)*12,Paths!$E$336&lt;=C3630*12)),VLOOKUP(A3630,'Fleet register'!$A$7:$S$106,16,FALSE),0),"n.a."))</f>
        <v>0</v>
      </c>
      <c r="O3630" s="16">
        <f>IF(NOT(Paths!$C$336=1),0,IF(Paths!$P$336="Complete",N3630-IF(C3630=0,Paths!$F$336,0),"n.a."))</f>
        <v>0</v>
      </c>
      <c r="P3630" s="16">
        <f>IF(NOT(Paths!$C$336=1),0,IF(Paths!$P$336="Complete",O3630+L3630,"n.a."))</f>
        <v>0</v>
      </c>
      <c r="Q3630" s="16">
        <f>IF(NOT(Paths!$C$336=1),0,IF(Paths!$P$336="Complete",N3630*(1+'Operating costs'!$B$54)^-C3630,"n.a."))</f>
        <v>0</v>
      </c>
      <c r="R3630" s="16">
        <f>IF(NOT(Paths!$C$336=1),0,IF(Paths!$P$336="Complete",IF(AND(C3630=0,Paths!$E$336=0),I3630-J3630-K3630+VLOOKUP(A3630,'Fleet register'!$A$7:$S$106,15,FALSE)+VLOOKUP(A3630,'Fleet register'!$A$7:$S$106,16,FALSE),0),"n.a."))</f>
        <v>0</v>
      </c>
      <c r="S3630" s="1">
        <f>IF(NOT(Paths!$C$336=1),0,IF(Paths!$P$336="Complete",IF(C3630=0,0,Paths!$S$336*Paths!$R$336),"n.a."))</f>
        <v>0</v>
      </c>
      <c r="T3630" s="1">
        <f>IF(NOT(Paths!$C$336=1),0,IF(Paths!$P$336="Complete",IF(C3630=0,0,VLOOKUP(A3630,'Fleet register'!$A$7:$S$106,9,FALSE)*Paths!$R$336),"n.a."))</f>
        <v>0</v>
      </c>
    </row>
    <row r="3631" spans="1:20" ht="24" customHeight="1">
      <c r="A3631" s="1" t="str">
        <f>Paths!$A$336</f>
        <v>T083</v>
      </c>
      <c r="B3631" s="1">
        <f>Paths!$B$336</f>
        <v>1</v>
      </c>
      <c r="C3631" s="1">
        <v>5</v>
      </c>
      <c r="D3631" s="1">
        <v>336</v>
      </c>
      <c r="E3631" s="1">
        <f>IF(OR(Paths!$C$336=0,C3631=0),0,MAX(0,MIN(C3631*12,Paths!$E$336)-(C3631-1)*12))</f>
        <v>0</v>
      </c>
      <c r="F3631" s="1">
        <f>IF(OR(Paths!$C$336=0,C3631=0),0,12-E3631)</f>
        <v>0</v>
      </c>
      <c r="G3631" s="16">
        <f>IF(NOT(Paths!$C$336=1),0,IF(Paths!$P$336="Complete",E3631/12*(Paths!$J$336*(1+'Operating costs'!$B$51)^MAX(0,C3631-1)+Paths!$K$336*(1+'Operating costs'!$B$53)^MAX(0,C3631-1)),"n.a."))</f>
        <v>0</v>
      </c>
      <c r="H3631" s="16">
        <f>IF(NOT(Paths!$C$336=1),0,IF(Paths!$P$336="Complete",F3631/12*(Paths!$L$336*(1+IF(Paths!$D$336="EV",'Operating costs'!$B$52,'Operating costs'!$B$51))^MAX(0,C3631-1)+Paths!$M$336*(1+'Operating costs'!$B$53)^MAX(0,C3631-1)),"n.a."))</f>
        <v>0</v>
      </c>
      <c r="I3631" s="16">
        <f>IF(NOT(Paths!$C$336=1),0,IF(Paths!$P$336="Complete",IF(IF(Paths!$E$336=0,C3631=0,AND(C3631&gt;0,Paths!$E$336&gt;(C3631-1)*12,Paths!$E$336&lt;=C3631*12)),Paths!$G$336,0),"n.a."))</f>
        <v>0</v>
      </c>
      <c r="J3631" s="16">
        <f>IF(NOT(Paths!$C$336=1),0,IF(Paths!$P$336="Complete",IF(IF(Paths!$E$336=0,C3631=0,AND(C3631&gt;0,Paths!$E$336&gt;(C3631-1)*12,Paths!$E$336&lt;=C3631*12)),Paths!$H$336,0),"n.a."))</f>
        <v>0</v>
      </c>
      <c r="K3631" s="16">
        <f>IF(NOT(Paths!$C$336=1),0,IF(Paths!$P$336="Complete",IF(IF(Paths!$O$336=0,C3631=0,AND(C3631&gt;0,Paths!$O$336&gt;(C3631-1)*12,Paths!$O$336&lt;=C3631*12)),Paths!$N$336,0),"n.a."))</f>
        <v>0</v>
      </c>
      <c r="L3631" s="16">
        <f>IF(NOT(Paths!$C$336=1),0,IF(Paths!$P$336="Complete",IF(C3631=10,Paths!$I$336,0),"n.a."))</f>
        <v>0</v>
      </c>
      <c r="M3631" s="16">
        <f>IF(NOT(Paths!$C$336=1),0,IF(Paths!$P$336="Complete",IF(AND(Paths!$D$336="EV",Paths!$E$336&lt;120,Paths!$E$336+'Operating costs'!$B$65&gt;Paths!$E$336,Paths!$E$336+'Operating costs'!$B$65&lt;=120,IF(Paths!$E$336+'Operating costs'!$B$65=0,C3631=0,AND(C3631&gt;0,Paths!$E$336+'Operating costs'!$B$65&gt;(C3631-1)*12,Paths!$E$336+'Operating costs'!$B$65&lt;=C3631*12))),'Operating costs'!$B$64,0)+IF(AND('Operating costs'!$B$67&gt;0,'Operating costs'!$B$67&lt;=120,OR(Paths!$D$336="ICE",'Operating costs'!$B$67&lt;=Paths!$E$336),IF('Operating costs'!$B$67=0,C3631=0,AND(C3631&gt;0,'Operating costs'!$B$67&gt;(C3631-1)*12,'Operating costs'!$B$67&lt;=C3631*12))),'Operating costs'!$B$66,0),"n.a."))</f>
        <v>0</v>
      </c>
      <c r="N3631" s="16">
        <f>IF(NOT(Paths!$C$336=1),0,IF(Paths!$P$336="Complete",SUM(G3631:I3631)-J3631-K3631-L3631+M3631+IF(C3631=0,Paths!$F$336,0)+IF(IF(Paths!$E$336=0,C3631=0,AND(C3631&gt;0,Paths!$E$336&gt;(C3631-1)*12,Paths!$E$336&lt;=C3631*12)),VLOOKUP(A3631,'Fleet register'!$A$7:$S$106,16,FALSE),0),"n.a."))</f>
        <v>0</v>
      </c>
      <c r="O3631" s="16">
        <f>IF(NOT(Paths!$C$336=1),0,IF(Paths!$P$336="Complete",N3631-IF(C3631=0,Paths!$F$336,0),"n.a."))</f>
        <v>0</v>
      </c>
      <c r="P3631" s="16">
        <f>IF(NOT(Paths!$C$336=1),0,IF(Paths!$P$336="Complete",O3631+L3631,"n.a."))</f>
        <v>0</v>
      </c>
      <c r="Q3631" s="16">
        <f>IF(NOT(Paths!$C$336=1),0,IF(Paths!$P$336="Complete",N3631*(1+'Operating costs'!$B$54)^-C3631,"n.a."))</f>
        <v>0</v>
      </c>
      <c r="R3631" s="16">
        <f>IF(NOT(Paths!$C$336=1),0,IF(Paths!$P$336="Complete",IF(AND(C3631=0,Paths!$E$336=0),I3631-J3631-K3631+VLOOKUP(A3631,'Fleet register'!$A$7:$S$106,15,FALSE)+VLOOKUP(A3631,'Fleet register'!$A$7:$S$106,16,FALSE),0),"n.a."))</f>
        <v>0</v>
      </c>
      <c r="S3631" s="1">
        <f>IF(NOT(Paths!$C$336=1),0,IF(Paths!$P$336="Complete",IF(C3631=0,0,Paths!$S$336*Paths!$R$336),"n.a."))</f>
        <v>0</v>
      </c>
      <c r="T3631" s="1">
        <f>IF(NOT(Paths!$C$336=1),0,IF(Paths!$P$336="Complete",IF(C3631=0,0,VLOOKUP(A3631,'Fleet register'!$A$7:$S$106,9,FALSE)*Paths!$R$336),"n.a."))</f>
        <v>0</v>
      </c>
    </row>
    <row r="3632" spans="1:20" ht="24" customHeight="1">
      <c r="A3632" s="1" t="str">
        <f>Paths!$A$336</f>
        <v>T083</v>
      </c>
      <c r="B3632" s="1">
        <f>Paths!$B$336</f>
        <v>1</v>
      </c>
      <c r="C3632" s="1">
        <v>6</v>
      </c>
      <c r="D3632" s="1">
        <v>336</v>
      </c>
      <c r="E3632" s="1">
        <f>IF(OR(Paths!$C$336=0,C3632=0),0,MAX(0,MIN(C3632*12,Paths!$E$336)-(C3632-1)*12))</f>
        <v>0</v>
      </c>
      <c r="F3632" s="1">
        <f>IF(OR(Paths!$C$336=0,C3632=0),0,12-E3632)</f>
        <v>0</v>
      </c>
      <c r="G3632" s="16">
        <f>IF(NOT(Paths!$C$336=1),0,IF(Paths!$P$336="Complete",E3632/12*(Paths!$J$336*(1+'Operating costs'!$B$51)^MAX(0,C3632-1)+Paths!$K$336*(1+'Operating costs'!$B$53)^MAX(0,C3632-1)),"n.a."))</f>
        <v>0</v>
      </c>
      <c r="H3632" s="16">
        <f>IF(NOT(Paths!$C$336=1),0,IF(Paths!$P$336="Complete",F3632/12*(Paths!$L$336*(1+IF(Paths!$D$336="EV",'Operating costs'!$B$52,'Operating costs'!$B$51))^MAX(0,C3632-1)+Paths!$M$336*(1+'Operating costs'!$B$53)^MAX(0,C3632-1)),"n.a."))</f>
        <v>0</v>
      </c>
      <c r="I3632" s="16">
        <f>IF(NOT(Paths!$C$336=1),0,IF(Paths!$P$336="Complete",IF(IF(Paths!$E$336=0,C3632=0,AND(C3632&gt;0,Paths!$E$336&gt;(C3632-1)*12,Paths!$E$336&lt;=C3632*12)),Paths!$G$336,0),"n.a."))</f>
        <v>0</v>
      </c>
      <c r="J3632" s="16">
        <f>IF(NOT(Paths!$C$336=1),0,IF(Paths!$P$336="Complete",IF(IF(Paths!$E$336=0,C3632=0,AND(C3632&gt;0,Paths!$E$336&gt;(C3632-1)*12,Paths!$E$336&lt;=C3632*12)),Paths!$H$336,0),"n.a."))</f>
        <v>0</v>
      </c>
      <c r="K3632" s="16">
        <f>IF(NOT(Paths!$C$336=1),0,IF(Paths!$P$336="Complete",IF(IF(Paths!$O$336=0,C3632=0,AND(C3632&gt;0,Paths!$O$336&gt;(C3632-1)*12,Paths!$O$336&lt;=C3632*12)),Paths!$N$336,0),"n.a."))</f>
        <v>0</v>
      </c>
      <c r="L3632" s="16">
        <f>IF(NOT(Paths!$C$336=1),0,IF(Paths!$P$336="Complete",IF(C3632=10,Paths!$I$336,0),"n.a."))</f>
        <v>0</v>
      </c>
      <c r="M3632" s="16">
        <f>IF(NOT(Paths!$C$336=1),0,IF(Paths!$P$336="Complete",IF(AND(Paths!$D$336="EV",Paths!$E$336&lt;120,Paths!$E$336+'Operating costs'!$B$65&gt;Paths!$E$336,Paths!$E$336+'Operating costs'!$B$65&lt;=120,IF(Paths!$E$336+'Operating costs'!$B$65=0,C3632=0,AND(C3632&gt;0,Paths!$E$336+'Operating costs'!$B$65&gt;(C3632-1)*12,Paths!$E$336+'Operating costs'!$B$65&lt;=C3632*12))),'Operating costs'!$B$64,0)+IF(AND('Operating costs'!$B$67&gt;0,'Operating costs'!$B$67&lt;=120,OR(Paths!$D$336="ICE",'Operating costs'!$B$67&lt;=Paths!$E$336),IF('Operating costs'!$B$67=0,C3632=0,AND(C3632&gt;0,'Operating costs'!$B$67&gt;(C3632-1)*12,'Operating costs'!$B$67&lt;=C3632*12))),'Operating costs'!$B$66,0),"n.a."))</f>
        <v>0</v>
      </c>
      <c r="N3632" s="16">
        <f>IF(NOT(Paths!$C$336=1),0,IF(Paths!$P$336="Complete",SUM(G3632:I3632)-J3632-K3632-L3632+M3632+IF(C3632=0,Paths!$F$336,0)+IF(IF(Paths!$E$336=0,C3632=0,AND(C3632&gt;0,Paths!$E$336&gt;(C3632-1)*12,Paths!$E$336&lt;=C3632*12)),VLOOKUP(A3632,'Fleet register'!$A$7:$S$106,16,FALSE),0),"n.a."))</f>
        <v>0</v>
      </c>
      <c r="O3632" s="16">
        <f>IF(NOT(Paths!$C$336=1),0,IF(Paths!$P$336="Complete",N3632-IF(C3632=0,Paths!$F$336,0),"n.a."))</f>
        <v>0</v>
      </c>
      <c r="P3632" s="16">
        <f>IF(NOT(Paths!$C$336=1),0,IF(Paths!$P$336="Complete",O3632+L3632,"n.a."))</f>
        <v>0</v>
      </c>
      <c r="Q3632" s="16">
        <f>IF(NOT(Paths!$C$336=1),0,IF(Paths!$P$336="Complete",N3632*(1+'Operating costs'!$B$54)^-C3632,"n.a."))</f>
        <v>0</v>
      </c>
      <c r="R3632" s="16">
        <f>IF(NOT(Paths!$C$336=1),0,IF(Paths!$P$336="Complete",IF(AND(C3632=0,Paths!$E$336=0),I3632-J3632-K3632+VLOOKUP(A3632,'Fleet register'!$A$7:$S$106,15,FALSE)+VLOOKUP(A3632,'Fleet register'!$A$7:$S$106,16,FALSE),0),"n.a."))</f>
        <v>0</v>
      </c>
      <c r="S3632" s="1">
        <f>IF(NOT(Paths!$C$336=1),0,IF(Paths!$P$336="Complete",IF(C3632=0,0,Paths!$S$336*Paths!$R$336),"n.a."))</f>
        <v>0</v>
      </c>
      <c r="T3632" s="1">
        <f>IF(NOT(Paths!$C$336=1),0,IF(Paths!$P$336="Complete",IF(C3632=0,0,VLOOKUP(A3632,'Fleet register'!$A$7:$S$106,9,FALSE)*Paths!$R$336),"n.a."))</f>
        <v>0</v>
      </c>
    </row>
    <row r="3633" spans="1:20" ht="24" customHeight="1">
      <c r="A3633" s="1" t="str">
        <f>Paths!$A$336</f>
        <v>T083</v>
      </c>
      <c r="B3633" s="1">
        <f>Paths!$B$336</f>
        <v>1</v>
      </c>
      <c r="C3633" s="1">
        <v>7</v>
      </c>
      <c r="D3633" s="1">
        <v>336</v>
      </c>
      <c r="E3633" s="1">
        <f>IF(OR(Paths!$C$336=0,C3633=0),0,MAX(0,MIN(C3633*12,Paths!$E$336)-(C3633-1)*12))</f>
        <v>0</v>
      </c>
      <c r="F3633" s="1">
        <f>IF(OR(Paths!$C$336=0,C3633=0),0,12-E3633)</f>
        <v>0</v>
      </c>
      <c r="G3633" s="16">
        <f>IF(NOT(Paths!$C$336=1),0,IF(Paths!$P$336="Complete",E3633/12*(Paths!$J$336*(1+'Operating costs'!$B$51)^MAX(0,C3633-1)+Paths!$K$336*(1+'Operating costs'!$B$53)^MAX(0,C3633-1)),"n.a."))</f>
        <v>0</v>
      </c>
      <c r="H3633" s="16">
        <f>IF(NOT(Paths!$C$336=1),0,IF(Paths!$P$336="Complete",F3633/12*(Paths!$L$336*(1+IF(Paths!$D$336="EV",'Operating costs'!$B$52,'Operating costs'!$B$51))^MAX(0,C3633-1)+Paths!$M$336*(1+'Operating costs'!$B$53)^MAX(0,C3633-1)),"n.a."))</f>
        <v>0</v>
      </c>
      <c r="I3633" s="16">
        <f>IF(NOT(Paths!$C$336=1),0,IF(Paths!$P$336="Complete",IF(IF(Paths!$E$336=0,C3633=0,AND(C3633&gt;0,Paths!$E$336&gt;(C3633-1)*12,Paths!$E$336&lt;=C3633*12)),Paths!$G$336,0),"n.a."))</f>
        <v>0</v>
      </c>
      <c r="J3633" s="16">
        <f>IF(NOT(Paths!$C$336=1),0,IF(Paths!$P$336="Complete",IF(IF(Paths!$E$336=0,C3633=0,AND(C3633&gt;0,Paths!$E$336&gt;(C3633-1)*12,Paths!$E$336&lt;=C3633*12)),Paths!$H$336,0),"n.a."))</f>
        <v>0</v>
      </c>
      <c r="K3633" s="16">
        <f>IF(NOT(Paths!$C$336=1),0,IF(Paths!$P$336="Complete",IF(IF(Paths!$O$336=0,C3633=0,AND(C3633&gt;0,Paths!$O$336&gt;(C3633-1)*12,Paths!$O$336&lt;=C3633*12)),Paths!$N$336,0),"n.a."))</f>
        <v>0</v>
      </c>
      <c r="L3633" s="16">
        <f>IF(NOT(Paths!$C$336=1),0,IF(Paths!$P$336="Complete",IF(C3633=10,Paths!$I$336,0),"n.a."))</f>
        <v>0</v>
      </c>
      <c r="M3633" s="16">
        <f>IF(NOT(Paths!$C$336=1),0,IF(Paths!$P$336="Complete",IF(AND(Paths!$D$336="EV",Paths!$E$336&lt;120,Paths!$E$336+'Operating costs'!$B$65&gt;Paths!$E$336,Paths!$E$336+'Operating costs'!$B$65&lt;=120,IF(Paths!$E$336+'Operating costs'!$B$65=0,C3633=0,AND(C3633&gt;0,Paths!$E$336+'Operating costs'!$B$65&gt;(C3633-1)*12,Paths!$E$336+'Operating costs'!$B$65&lt;=C3633*12))),'Operating costs'!$B$64,0)+IF(AND('Operating costs'!$B$67&gt;0,'Operating costs'!$B$67&lt;=120,OR(Paths!$D$336="ICE",'Operating costs'!$B$67&lt;=Paths!$E$336),IF('Operating costs'!$B$67=0,C3633=0,AND(C3633&gt;0,'Operating costs'!$B$67&gt;(C3633-1)*12,'Operating costs'!$B$67&lt;=C3633*12))),'Operating costs'!$B$66,0),"n.a."))</f>
        <v>0</v>
      </c>
      <c r="N3633" s="16">
        <f>IF(NOT(Paths!$C$336=1),0,IF(Paths!$P$336="Complete",SUM(G3633:I3633)-J3633-K3633-L3633+M3633+IF(C3633=0,Paths!$F$336,0)+IF(IF(Paths!$E$336=0,C3633=0,AND(C3633&gt;0,Paths!$E$336&gt;(C3633-1)*12,Paths!$E$336&lt;=C3633*12)),VLOOKUP(A3633,'Fleet register'!$A$7:$S$106,16,FALSE),0),"n.a."))</f>
        <v>0</v>
      </c>
      <c r="O3633" s="16">
        <f>IF(NOT(Paths!$C$336=1),0,IF(Paths!$P$336="Complete",N3633-IF(C3633=0,Paths!$F$336,0),"n.a."))</f>
        <v>0</v>
      </c>
      <c r="P3633" s="16">
        <f>IF(NOT(Paths!$C$336=1),0,IF(Paths!$P$336="Complete",O3633+L3633,"n.a."))</f>
        <v>0</v>
      </c>
      <c r="Q3633" s="16">
        <f>IF(NOT(Paths!$C$336=1),0,IF(Paths!$P$336="Complete",N3633*(1+'Operating costs'!$B$54)^-C3633,"n.a."))</f>
        <v>0</v>
      </c>
      <c r="R3633" s="16">
        <f>IF(NOT(Paths!$C$336=1),0,IF(Paths!$P$336="Complete",IF(AND(C3633=0,Paths!$E$336=0),I3633-J3633-K3633+VLOOKUP(A3633,'Fleet register'!$A$7:$S$106,15,FALSE)+VLOOKUP(A3633,'Fleet register'!$A$7:$S$106,16,FALSE),0),"n.a."))</f>
        <v>0</v>
      </c>
      <c r="S3633" s="1">
        <f>IF(NOT(Paths!$C$336=1),0,IF(Paths!$P$336="Complete",IF(C3633=0,0,Paths!$S$336*Paths!$R$336),"n.a."))</f>
        <v>0</v>
      </c>
      <c r="T3633" s="1">
        <f>IF(NOT(Paths!$C$336=1),0,IF(Paths!$P$336="Complete",IF(C3633=0,0,VLOOKUP(A3633,'Fleet register'!$A$7:$S$106,9,FALSE)*Paths!$R$336),"n.a."))</f>
        <v>0</v>
      </c>
    </row>
    <row r="3634" spans="1:20" ht="24" customHeight="1">
      <c r="A3634" s="1" t="str">
        <f>Paths!$A$336</f>
        <v>T083</v>
      </c>
      <c r="B3634" s="1">
        <f>Paths!$B$336</f>
        <v>1</v>
      </c>
      <c r="C3634" s="1">
        <v>8</v>
      </c>
      <c r="D3634" s="1">
        <v>336</v>
      </c>
      <c r="E3634" s="1">
        <f>IF(OR(Paths!$C$336=0,C3634=0),0,MAX(0,MIN(C3634*12,Paths!$E$336)-(C3634-1)*12))</f>
        <v>0</v>
      </c>
      <c r="F3634" s="1">
        <f>IF(OR(Paths!$C$336=0,C3634=0),0,12-E3634)</f>
        <v>0</v>
      </c>
      <c r="G3634" s="16">
        <f>IF(NOT(Paths!$C$336=1),0,IF(Paths!$P$336="Complete",E3634/12*(Paths!$J$336*(1+'Operating costs'!$B$51)^MAX(0,C3634-1)+Paths!$K$336*(1+'Operating costs'!$B$53)^MAX(0,C3634-1)),"n.a."))</f>
        <v>0</v>
      </c>
      <c r="H3634" s="16">
        <f>IF(NOT(Paths!$C$336=1),0,IF(Paths!$P$336="Complete",F3634/12*(Paths!$L$336*(1+IF(Paths!$D$336="EV",'Operating costs'!$B$52,'Operating costs'!$B$51))^MAX(0,C3634-1)+Paths!$M$336*(1+'Operating costs'!$B$53)^MAX(0,C3634-1)),"n.a."))</f>
        <v>0</v>
      </c>
      <c r="I3634" s="16">
        <f>IF(NOT(Paths!$C$336=1),0,IF(Paths!$P$336="Complete",IF(IF(Paths!$E$336=0,C3634=0,AND(C3634&gt;0,Paths!$E$336&gt;(C3634-1)*12,Paths!$E$336&lt;=C3634*12)),Paths!$G$336,0),"n.a."))</f>
        <v>0</v>
      </c>
      <c r="J3634" s="16">
        <f>IF(NOT(Paths!$C$336=1),0,IF(Paths!$P$336="Complete",IF(IF(Paths!$E$336=0,C3634=0,AND(C3634&gt;0,Paths!$E$336&gt;(C3634-1)*12,Paths!$E$336&lt;=C3634*12)),Paths!$H$336,0),"n.a."))</f>
        <v>0</v>
      </c>
      <c r="K3634" s="16">
        <f>IF(NOT(Paths!$C$336=1),0,IF(Paths!$P$336="Complete",IF(IF(Paths!$O$336=0,C3634=0,AND(C3634&gt;0,Paths!$O$336&gt;(C3634-1)*12,Paths!$O$336&lt;=C3634*12)),Paths!$N$336,0),"n.a."))</f>
        <v>0</v>
      </c>
      <c r="L3634" s="16">
        <f>IF(NOT(Paths!$C$336=1),0,IF(Paths!$P$336="Complete",IF(C3634=10,Paths!$I$336,0),"n.a."))</f>
        <v>0</v>
      </c>
      <c r="M3634" s="16">
        <f>IF(NOT(Paths!$C$336=1),0,IF(Paths!$P$336="Complete",IF(AND(Paths!$D$336="EV",Paths!$E$336&lt;120,Paths!$E$336+'Operating costs'!$B$65&gt;Paths!$E$336,Paths!$E$336+'Operating costs'!$B$65&lt;=120,IF(Paths!$E$336+'Operating costs'!$B$65=0,C3634=0,AND(C3634&gt;0,Paths!$E$336+'Operating costs'!$B$65&gt;(C3634-1)*12,Paths!$E$336+'Operating costs'!$B$65&lt;=C3634*12))),'Operating costs'!$B$64,0)+IF(AND('Operating costs'!$B$67&gt;0,'Operating costs'!$B$67&lt;=120,OR(Paths!$D$336="ICE",'Operating costs'!$B$67&lt;=Paths!$E$336),IF('Operating costs'!$B$67=0,C3634=0,AND(C3634&gt;0,'Operating costs'!$B$67&gt;(C3634-1)*12,'Operating costs'!$B$67&lt;=C3634*12))),'Operating costs'!$B$66,0),"n.a."))</f>
        <v>0</v>
      </c>
      <c r="N3634" s="16">
        <f>IF(NOT(Paths!$C$336=1),0,IF(Paths!$P$336="Complete",SUM(G3634:I3634)-J3634-K3634-L3634+M3634+IF(C3634=0,Paths!$F$336,0)+IF(IF(Paths!$E$336=0,C3634=0,AND(C3634&gt;0,Paths!$E$336&gt;(C3634-1)*12,Paths!$E$336&lt;=C3634*12)),VLOOKUP(A3634,'Fleet register'!$A$7:$S$106,16,FALSE),0),"n.a."))</f>
        <v>0</v>
      </c>
      <c r="O3634" s="16">
        <f>IF(NOT(Paths!$C$336=1),0,IF(Paths!$P$336="Complete",N3634-IF(C3634=0,Paths!$F$336,0),"n.a."))</f>
        <v>0</v>
      </c>
      <c r="P3634" s="16">
        <f>IF(NOT(Paths!$C$336=1),0,IF(Paths!$P$336="Complete",O3634+L3634,"n.a."))</f>
        <v>0</v>
      </c>
      <c r="Q3634" s="16">
        <f>IF(NOT(Paths!$C$336=1),0,IF(Paths!$P$336="Complete",N3634*(1+'Operating costs'!$B$54)^-C3634,"n.a."))</f>
        <v>0</v>
      </c>
      <c r="R3634" s="16">
        <f>IF(NOT(Paths!$C$336=1),0,IF(Paths!$P$336="Complete",IF(AND(C3634=0,Paths!$E$336=0),I3634-J3634-K3634+VLOOKUP(A3634,'Fleet register'!$A$7:$S$106,15,FALSE)+VLOOKUP(A3634,'Fleet register'!$A$7:$S$106,16,FALSE),0),"n.a."))</f>
        <v>0</v>
      </c>
      <c r="S3634" s="1">
        <f>IF(NOT(Paths!$C$336=1),0,IF(Paths!$P$336="Complete",IF(C3634=0,0,Paths!$S$336*Paths!$R$336),"n.a."))</f>
        <v>0</v>
      </c>
      <c r="T3634" s="1">
        <f>IF(NOT(Paths!$C$336=1),0,IF(Paths!$P$336="Complete",IF(C3634=0,0,VLOOKUP(A3634,'Fleet register'!$A$7:$S$106,9,FALSE)*Paths!$R$336),"n.a."))</f>
        <v>0</v>
      </c>
    </row>
    <row r="3635" spans="1:20" ht="24" customHeight="1">
      <c r="A3635" s="1" t="str">
        <f>Paths!$A$336</f>
        <v>T083</v>
      </c>
      <c r="B3635" s="1">
        <f>Paths!$B$336</f>
        <v>1</v>
      </c>
      <c r="C3635" s="1">
        <v>9</v>
      </c>
      <c r="D3635" s="1">
        <v>336</v>
      </c>
      <c r="E3635" s="1">
        <f>IF(OR(Paths!$C$336=0,C3635=0),0,MAX(0,MIN(C3635*12,Paths!$E$336)-(C3635-1)*12))</f>
        <v>0</v>
      </c>
      <c r="F3635" s="1">
        <f>IF(OR(Paths!$C$336=0,C3635=0),0,12-E3635)</f>
        <v>0</v>
      </c>
      <c r="G3635" s="16">
        <f>IF(NOT(Paths!$C$336=1),0,IF(Paths!$P$336="Complete",E3635/12*(Paths!$J$336*(1+'Operating costs'!$B$51)^MAX(0,C3635-1)+Paths!$K$336*(1+'Operating costs'!$B$53)^MAX(0,C3635-1)),"n.a."))</f>
        <v>0</v>
      </c>
      <c r="H3635" s="16">
        <f>IF(NOT(Paths!$C$336=1),0,IF(Paths!$P$336="Complete",F3635/12*(Paths!$L$336*(1+IF(Paths!$D$336="EV",'Operating costs'!$B$52,'Operating costs'!$B$51))^MAX(0,C3635-1)+Paths!$M$336*(1+'Operating costs'!$B$53)^MAX(0,C3635-1)),"n.a."))</f>
        <v>0</v>
      </c>
      <c r="I3635" s="16">
        <f>IF(NOT(Paths!$C$336=1),0,IF(Paths!$P$336="Complete",IF(IF(Paths!$E$336=0,C3635=0,AND(C3635&gt;0,Paths!$E$336&gt;(C3635-1)*12,Paths!$E$336&lt;=C3635*12)),Paths!$G$336,0),"n.a."))</f>
        <v>0</v>
      </c>
      <c r="J3635" s="16">
        <f>IF(NOT(Paths!$C$336=1),0,IF(Paths!$P$336="Complete",IF(IF(Paths!$E$336=0,C3635=0,AND(C3635&gt;0,Paths!$E$336&gt;(C3635-1)*12,Paths!$E$336&lt;=C3635*12)),Paths!$H$336,0),"n.a."))</f>
        <v>0</v>
      </c>
      <c r="K3635" s="16">
        <f>IF(NOT(Paths!$C$336=1),0,IF(Paths!$P$336="Complete",IF(IF(Paths!$O$336=0,C3635=0,AND(C3635&gt;0,Paths!$O$336&gt;(C3635-1)*12,Paths!$O$336&lt;=C3635*12)),Paths!$N$336,0),"n.a."))</f>
        <v>0</v>
      </c>
      <c r="L3635" s="16">
        <f>IF(NOT(Paths!$C$336=1),0,IF(Paths!$P$336="Complete",IF(C3635=10,Paths!$I$336,0),"n.a."))</f>
        <v>0</v>
      </c>
      <c r="M3635" s="16">
        <f>IF(NOT(Paths!$C$336=1),0,IF(Paths!$P$336="Complete",IF(AND(Paths!$D$336="EV",Paths!$E$336&lt;120,Paths!$E$336+'Operating costs'!$B$65&gt;Paths!$E$336,Paths!$E$336+'Operating costs'!$B$65&lt;=120,IF(Paths!$E$336+'Operating costs'!$B$65=0,C3635=0,AND(C3635&gt;0,Paths!$E$336+'Operating costs'!$B$65&gt;(C3635-1)*12,Paths!$E$336+'Operating costs'!$B$65&lt;=C3635*12))),'Operating costs'!$B$64,0)+IF(AND('Operating costs'!$B$67&gt;0,'Operating costs'!$B$67&lt;=120,OR(Paths!$D$336="ICE",'Operating costs'!$B$67&lt;=Paths!$E$336),IF('Operating costs'!$B$67=0,C3635=0,AND(C3635&gt;0,'Operating costs'!$B$67&gt;(C3635-1)*12,'Operating costs'!$B$67&lt;=C3635*12))),'Operating costs'!$B$66,0),"n.a."))</f>
        <v>0</v>
      </c>
      <c r="N3635" s="16">
        <f>IF(NOT(Paths!$C$336=1),0,IF(Paths!$P$336="Complete",SUM(G3635:I3635)-J3635-K3635-L3635+M3635+IF(C3635=0,Paths!$F$336,0)+IF(IF(Paths!$E$336=0,C3635=0,AND(C3635&gt;0,Paths!$E$336&gt;(C3635-1)*12,Paths!$E$336&lt;=C3635*12)),VLOOKUP(A3635,'Fleet register'!$A$7:$S$106,16,FALSE),0),"n.a."))</f>
        <v>0</v>
      </c>
      <c r="O3635" s="16">
        <f>IF(NOT(Paths!$C$336=1),0,IF(Paths!$P$336="Complete",N3635-IF(C3635=0,Paths!$F$336,0),"n.a."))</f>
        <v>0</v>
      </c>
      <c r="P3635" s="16">
        <f>IF(NOT(Paths!$C$336=1),0,IF(Paths!$P$336="Complete",O3635+L3635,"n.a."))</f>
        <v>0</v>
      </c>
      <c r="Q3635" s="16">
        <f>IF(NOT(Paths!$C$336=1),0,IF(Paths!$P$336="Complete",N3635*(1+'Operating costs'!$B$54)^-C3635,"n.a."))</f>
        <v>0</v>
      </c>
      <c r="R3635" s="16">
        <f>IF(NOT(Paths!$C$336=1),0,IF(Paths!$P$336="Complete",IF(AND(C3635=0,Paths!$E$336=0),I3635-J3635-K3635+VLOOKUP(A3635,'Fleet register'!$A$7:$S$106,15,FALSE)+VLOOKUP(A3635,'Fleet register'!$A$7:$S$106,16,FALSE),0),"n.a."))</f>
        <v>0</v>
      </c>
      <c r="S3635" s="1">
        <f>IF(NOT(Paths!$C$336=1),0,IF(Paths!$P$336="Complete",IF(C3635=0,0,Paths!$S$336*Paths!$R$336),"n.a."))</f>
        <v>0</v>
      </c>
      <c r="T3635" s="1">
        <f>IF(NOT(Paths!$C$336=1),0,IF(Paths!$P$336="Complete",IF(C3635=0,0,VLOOKUP(A3635,'Fleet register'!$A$7:$S$106,9,FALSE)*Paths!$R$336),"n.a."))</f>
        <v>0</v>
      </c>
    </row>
    <row r="3636" spans="1:20" ht="24" customHeight="1">
      <c r="A3636" s="1" t="str">
        <f>Paths!$A$336</f>
        <v>T083</v>
      </c>
      <c r="B3636" s="1">
        <f>Paths!$B$336</f>
        <v>1</v>
      </c>
      <c r="C3636" s="1">
        <v>10</v>
      </c>
      <c r="D3636" s="1">
        <v>336</v>
      </c>
      <c r="E3636" s="1">
        <f>IF(OR(Paths!$C$336=0,C3636=0),0,MAX(0,MIN(C3636*12,Paths!$E$336)-(C3636-1)*12))</f>
        <v>0</v>
      </c>
      <c r="F3636" s="1">
        <f>IF(OR(Paths!$C$336=0,C3636=0),0,12-E3636)</f>
        <v>0</v>
      </c>
      <c r="G3636" s="16">
        <f>IF(NOT(Paths!$C$336=1),0,IF(Paths!$P$336="Complete",E3636/12*(Paths!$J$336*(1+'Operating costs'!$B$51)^MAX(0,C3636-1)+Paths!$K$336*(1+'Operating costs'!$B$53)^MAX(0,C3636-1)),"n.a."))</f>
        <v>0</v>
      </c>
      <c r="H3636" s="16">
        <f>IF(NOT(Paths!$C$336=1),0,IF(Paths!$P$336="Complete",F3636/12*(Paths!$L$336*(1+IF(Paths!$D$336="EV",'Operating costs'!$B$52,'Operating costs'!$B$51))^MAX(0,C3636-1)+Paths!$M$336*(1+'Operating costs'!$B$53)^MAX(0,C3636-1)),"n.a."))</f>
        <v>0</v>
      </c>
      <c r="I3636" s="16">
        <f>IF(NOT(Paths!$C$336=1),0,IF(Paths!$P$336="Complete",IF(IF(Paths!$E$336=0,C3636=0,AND(C3636&gt;0,Paths!$E$336&gt;(C3636-1)*12,Paths!$E$336&lt;=C3636*12)),Paths!$G$336,0),"n.a."))</f>
        <v>0</v>
      </c>
      <c r="J3636" s="16">
        <f>IF(NOT(Paths!$C$336=1),0,IF(Paths!$P$336="Complete",IF(IF(Paths!$E$336=0,C3636=0,AND(C3636&gt;0,Paths!$E$336&gt;(C3636-1)*12,Paths!$E$336&lt;=C3636*12)),Paths!$H$336,0),"n.a."))</f>
        <v>0</v>
      </c>
      <c r="K3636" s="16">
        <f>IF(NOT(Paths!$C$336=1),0,IF(Paths!$P$336="Complete",IF(IF(Paths!$O$336=0,C3636=0,AND(C3636&gt;0,Paths!$O$336&gt;(C3636-1)*12,Paths!$O$336&lt;=C3636*12)),Paths!$N$336,0),"n.a."))</f>
        <v>0</v>
      </c>
      <c r="L3636" s="16">
        <f>IF(NOT(Paths!$C$336=1),0,IF(Paths!$P$336="Complete",IF(C3636=10,Paths!$I$336,0),"n.a."))</f>
        <v>0</v>
      </c>
      <c r="M3636" s="16">
        <f>IF(NOT(Paths!$C$336=1),0,IF(Paths!$P$336="Complete",IF(AND(Paths!$D$336="EV",Paths!$E$336&lt;120,Paths!$E$336+'Operating costs'!$B$65&gt;Paths!$E$336,Paths!$E$336+'Operating costs'!$B$65&lt;=120,IF(Paths!$E$336+'Operating costs'!$B$65=0,C3636=0,AND(C3636&gt;0,Paths!$E$336+'Operating costs'!$B$65&gt;(C3636-1)*12,Paths!$E$336+'Operating costs'!$B$65&lt;=C3636*12))),'Operating costs'!$B$64,0)+IF(AND('Operating costs'!$B$67&gt;0,'Operating costs'!$B$67&lt;=120,OR(Paths!$D$336="ICE",'Operating costs'!$B$67&lt;=Paths!$E$336),IF('Operating costs'!$B$67=0,C3636=0,AND(C3636&gt;0,'Operating costs'!$B$67&gt;(C3636-1)*12,'Operating costs'!$B$67&lt;=C3636*12))),'Operating costs'!$B$66,0),"n.a."))</f>
        <v>0</v>
      </c>
      <c r="N3636" s="16">
        <f>IF(NOT(Paths!$C$336=1),0,IF(Paths!$P$336="Complete",SUM(G3636:I3636)-J3636-K3636-L3636+M3636+IF(C3636=0,Paths!$F$336,0)+IF(IF(Paths!$E$336=0,C3636=0,AND(C3636&gt;0,Paths!$E$336&gt;(C3636-1)*12,Paths!$E$336&lt;=C3636*12)),VLOOKUP(A3636,'Fleet register'!$A$7:$S$106,16,FALSE),0),"n.a."))</f>
        <v>0</v>
      </c>
      <c r="O3636" s="16">
        <f>IF(NOT(Paths!$C$336=1),0,IF(Paths!$P$336="Complete",N3636-IF(C3636=0,Paths!$F$336,0),"n.a."))</f>
        <v>0</v>
      </c>
      <c r="P3636" s="16">
        <f>IF(NOT(Paths!$C$336=1),0,IF(Paths!$P$336="Complete",O3636+L3636,"n.a."))</f>
        <v>0</v>
      </c>
      <c r="Q3636" s="16">
        <f>IF(NOT(Paths!$C$336=1),0,IF(Paths!$P$336="Complete",N3636*(1+'Operating costs'!$B$54)^-C3636,"n.a."))</f>
        <v>0</v>
      </c>
      <c r="R3636" s="16">
        <f>IF(NOT(Paths!$C$336=1),0,IF(Paths!$P$336="Complete",IF(AND(C3636=0,Paths!$E$336=0),I3636-J3636-K3636+VLOOKUP(A3636,'Fleet register'!$A$7:$S$106,15,FALSE)+VLOOKUP(A3636,'Fleet register'!$A$7:$S$106,16,FALSE),0),"n.a."))</f>
        <v>0</v>
      </c>
      <c r="S3636" s="1">
        <f>IF(NOT(Paths!$C$336=1),0,IF(Paths!$P$336="Complete",IF(C3636=0,0,Paths!$S$336*Paths!$R$336),"n.a."))</f>
        <v>0</v>
      </c>
      <c r="T3636" s="1">
        <f>IF(NOT(Paths!$C$336=1),0,IF(Paths!$P$336="Complete",IF(C3636=0,0,VLOOKUP(A3636,'Fleet register'!$A$7:$S$106,9,FALSE)*Paths!$R$336),"n.a."))</f>
        <v>0</v>
      </c>
    </row>
    <row r="3637" spans="1:20" ht="24" customHeight="1">
      <c r="A3637" s="1" t="str">
        <f>Paths!$A$337</f>
        <v>T083</v>
      </c>
      <c r="B3637" s="1">
        <f>Paths!$B$337</f>
        <v>2</v>
      </c>
      <c r="C3637" s="1">
        <v>0</v>
      </c>
      <c r="D3637" s="1">
        <v>337</v>
      </c>
      <c r="E3637" s="1">
        <f>IF(OR(Paths!$C$337=0,C3637=0),0,MAX(0,MIN(C3637*12,Paths!$E$337)-(C3637-1)*12))</f>
        <v>0</v>
      </c>
      <c r="F3637" s="1">
        <f>IF(OR(Paths!$C$337=0,C3637=0),0,12-E3637)</f>
        <v>0</v>
      </c>
      <c r="G3637" s="16">
        <f>IF(NOT(Paths!$C$337=1),0,IF(Paths!$P$337="Complete",E3637/12*(Paths!$J$337*(1+'Operating costs'!$B$51)^MAX(0,C3637-1)+Paths!$K$337*(1+'Operating costs'!$B$53)^MAX(0,C3637-1)),"n.a."))</f>
        <v>0</v>
      </c>
      <c r="H3637" s="16">
        <f>IF(NOT(Paths!$C$337=1),0,IF(Paths!$P$337="Complete",F3637/12*(Paths!$L$337*(1+IF(Paths!$D$337="EV",'Operating costs'!$B$52,'Operating costs'!$B$51))^MAX(0,C3637-1)+Paths!$M$337*(1+'Operating costs'!$B$53)^MAX(0,C3637-1)),"n.a."))</f>
        <v>0</v>
      </c>
      <c r="I3637" s="16">
        <f>IF(NOT(Paths!$C$337=1),0,IF(Paths!$P$337="Complete",IF(IF(Paths!$E$337=0,C3637=0,AND(C3637&gt;0,Paths!$E$337&gt;(C3637-1)*12,Paths!$E$337&lt;=C3637*12)),Paths!$G$337,0),"n.a."))</f>
        <v>0</v>
      </c>
      <c r="J3637" s="16">
        <f>IF(NOT(Paths!$C$337=1),0,IF(Paths!$P$337="Complete",IF(IF(Paths!$E$337=0,C3637=0,AND(C3637&gt;0,Paths!$E$337&gt;(C3637-1)*12,Paths!$E$337&lt;=C3637*12)),Paths!$H$337,0),"n.a."))</f>
        <v>0</v>
      </c>
      <c r="K3637" s="16">
        <f>IF(NOT(Paths!$C$337=1),0,IF(Paths!$P$337="Complete",IF(IF(Paths!$O$337=0,C3637=0,AND(C3637&gt;0,Paths!$O$337&gt;(C3637-1)*12,Paths!$O$337&lt;=C3637*12)),Paths!$N$337,0),"n.a."))</f>
        <v>0</v>
      </c>
      <c r="L3637" s="16">
        <f>IF(NOT(Paths!$C$337=1),0,IF(Paths!$P$337="Complete",IF(C3637=10,Paths!$I$337,0),"n.a."))</f>
        <v>0</v>
      </c>
      <c r="M3637" s="16">
        <f>IF(NOT(Paths!$C$337=1),0,IF(Paths!$P$337="Complete",IF(AND(Paths!$D$337="EV",Paths!$E$337&lt;120,Paths!$E$337+'Operating costs'!$B$65&gt;Paths!$E$337,Paths!$E$337+'Operating costs'!$B$65&lt;=120,IF(Paths!$E$337+'Operating costs'!$B$65=0,C3637=0,AND(C3637&gt;0,Paths!$E$337+'Operating costs'!$B$65&gt;(C3637-1)*12,Paths!$E$337+'Operating costs'!$B$65&lt;=C3637*12))),'Operating costs'!$B$64,0)+IF(AND('Operating costs'!$B$67&gt;0,'Operating costs'!$B$67&lt;=120,OR(Paths!$D$337="ICE",'Operating costs'!$B$67&lt;=Paths!$E$337),IF('Operating costs'!$B$67=0,C3637=0,AND(C3637&gt;0,'Operating costs'!$B$67&gt;(C3637-1)*12,'Operating costs'!$B$67&lt;=C3637*12))),'Operating costs'!$B$66,0),"n.a."))</f>
        <v>0</v>
      </c>
      <c r="N3637" s="16">
        <f>IF(NOT(Paths!$C$337=1),0,IF(Paths!$P$337="Complete",SUM(G3637:I3637)-J3637-K3637-L3637+M3637+IF(C3637=0,Paths!$F$337,0)+IF(IF(Paths!$E$337=0,C3637=0,AND(C3637&gt;0,Paths!$E$337&gt;(C3637-1)*12,Paths!$E$337&lt;=C3637*12)),VLOOKUP(A3637,'Fleet register'!$A$7:$S$106,16,FALSE),0),"n.a."))</f>
        <v>0</v>
      </c>
      <c r="O3637" s="16">
        <f>IF(NOT(Paths!$C$337=1),0,IF(Paths!$P$337="Complete",N3637-IF(C3637=0,Paths!$F$337,0),"n.a."))</f>
        <v>0</v>
      </c>
      <c r="P3637" s="16">
        <f>IF(NOT(Paths!$C$337=1),0,IF(Paths!$P$337="Complete",O3637+L3637,"n.a."))</f>
        <v>0</v>
      </c>
      <c r="Q3637" s="16">
        <f>IF(NOT(Paths!$C$337=1),0,IF(Paths!$P$337="Complete",N3637*(1+'Operating costs'!$B$54)^-C3637,"n.a."))</f>
        <v>0</v>
      </c>
      <c r="R3637" s="16">
        <f>IF(NOT(Paths!$C$337=1),0,IF(Paths!$P$337="Complete",IF(AND(C3637=0,Paths!$E$337=0),I3637-J3637-K3637+VLOOKUP(A3637,'Fleet register'!$A$7:$S$106,15,FALSE)+VLOOKUP(A3637,'Fleet register'!$A$7:$S$106,16,FALSE),0),"n.a."))</f>
        <v>0</v>
      </c>
      <c r="S3637" s="1">
        <f>IF(NOT(Paths!$C$337=1),0,IF(Paths!$P$337="Complete",IF(C3637=0,0,Paths!$S$337*Paths!$R$337),"n.a."))</f>
        <v>0</v>
      </c>
      <c r="T3637" s="1">
        <f>IF(NOT(Paths!$C$337=1),0,IF(Paths!$P$337="Complete",IF(C3637=0,0,VLOOKUP(A3637,'Fleet register'!$A$7:$S$106,9,FALSE)*Paths!$R$337),"n.a."))</f>
        <v>0</v>
      </c>
    </row>
    <row r="3638" spans="1:20" ht="24" customHeight="1">
      <c r="A3638" s="1" t="str">
        <f>Paths!$A$337</f>
        <v>T083</v>
      </c>
      <c r="B3638" s="1">
        <f>Paths!$B$337</f>
        <v>2</v>
      </c>
      <c r="C3638" s="1">
        <v>1</v>
      </c>
      <c r="D3638" s="1">
        <v>337</v>
      </c>
      <c r="E3638" s="1">
        <f>IF(OR(Paths!$C$337=0,C3638=0),0,MAX(0,MIN(C3638*12,Paths!$E$337)-(C3638-1)*12))</f>
        <v>0</v>
      </c>
      <c r="F3638" s="1">
        <f>IF(OR(Paths!$C$337=0,C3638=0),0,12-E3638)</f>
        <v>0</v>
      </c>
      <c r="G3638" s="16">
        <f>IF(NOT(Paths!$C$337=1),0,IF(Paths!$P$337="Complete",E3638/12*(Paths!$J$337*(1+'Operating costs'!$B$51)^MAX(0,C3638-1)+Paths!$K$337*(1+'Operating costs'!$B$53)^MAX(0,C3638-1)),"n.a."))</f>
        <v>0</v>
      </c>
      <c r="H3638" s="16">
        <f>IF(NOT(Paths!$C$337=1),0,IF(Paths!$P$337="Complete",F3638/12*(Paths!$L$337*(1+IF(Paths!$D$337="EV",'Operating costs'!$B$52,'Operating costs'!$B$51))^MAX(0,C3638-1)+Paths!$M$337*(1+'Operating costs'!$B$53)^MAX(0,C3638-1)),"n.a."))</f>
        <v>0</v>
      </c>
      <c r="I3638" s="16">
        <f>IF(NOT(Paths!$C$337=1),0,IF(Paths!$P$337="Complete",IF(IF(Paths!$E$337=0,C3638=0,AND(C3638&gt;0,Paths!$E$337&gt;(C3638-1)*12,Paths!$E$337&lt;=C3638*12)),Paths!$G$337,0),"n.a."))</f>
        <v>0</v>
      </c>
      <c r="J3638" s="16">
        <f>IF(NOT(Paths!$C$337=1),0,IF(Paths!$P$337="Complete",IF(IF(Paths!$E$337=0,C3638=0,AND(C3638&gt;0,Paths!$E$337&gt;(C3638-1)*12,Paths!$E$337&lt;=C3638*12)),Paths!$H$337,0),"n.a."))</f>
        <v>0</v>
      </c>
      <c r="K3638" s="16">
        <f>IF(NOT(Paths!$C$337=1),0,IF(Paths!$P$337="Complete",IF(IF(Paths!$O$337=0,C3638=0,AND(C3638&gt;0,Paths!$O$337&gt;(C3638-1)*12,Paths!$O$337&lt;=C3638*12)),Paths!$N$337,0),"n.a."))</f>
        <v>0</v>
      </c>
      <c r="L3638" s="16">
        <f>IF(NOT(Paths!$C$337=1),0,IF(Paths!$P$337="Complete",IF(C3638=10,Paths!$I$337,0),"n.a."))</f>
        <v>0</v>
      </c>
      <c r="M3638" s="16">
        <f>IF(NOT(Paths!$C$337=1),0,IF(Paths!$P$337="Complete",IF(AND(Paths!$D$337="EV",Paths!$E$337&lt;120,Paths!$E$337+'Operating costs'!$B$65&gt;Paths!$E$337,Paths!$E$337+'Operating costs'!$B$65&lt;=120,IF(Paths!$E$337+'Operating costs'!$B$65=0,C3638=0,AND(C3638&gt;0,Paths!$E$337+'Operating costs'!$B$65&gt;(C3638-1)*12,Paths!$E$337+'Operating costs'!$B$65&lt;=C3638*12))),'Operating costs'!$B$64,0)+IF(AND('Operating costs'!$B$67&gt;0,'Operating costs'!$B$67&lt;=120,OR(Paths!$D$337="ICE",'Operating costs'!$B$67&lt;=Paths!$E$337),IF('Operating costs'!$B$67=0,C3638=0,AND(C3638&gt;0,'Operating costs'!$B$67&gt;(C3638-1)*12,'Operating costs'!$B$67&lt;=C3638*12))),'Operating costs'!$B$66,0),"n.a."))</f>
        <v>0</v>
      </c>
      <c r="N3638" s="16">
        <f>IF(NOT(Paths!$C$337=1),0,IF(Paths!$P$337="Complete",SUM(G3638:I3638)-J3638-K3638-L3638+M3638+IF(C3638=0,Paths!$F$337,0)+IF(IF(Paths!$E$337=0,C3638=0,AND(C3638&gt;0,Paths!$E$337&gt;(C3638-1)*12,Paths!$E$337&lt;=C3638*12)),VLOOKUP(A3638,'Fleet register'!$A$7:$S$106,16,FALSE),0),"n.a."))</f>
        <v>0</v>
      </c>
      <c r="O3638" s="16">
        <f>IF(NOT(Paths!$C$337=1),0,IF(Paths!$P$337="Complete",N3638-IF(C3638=0,Paths!$F$337,0),"n.a."))</f>
        <v>0</v>
      </c>
      <c r="P3638" s="16">
        <f>IF(NOT(Paths!$C$337=1),0,IF(Paths!$P$337="Complete",O3638+L3638,"n.a."))</f>
        <v>0</v>
      </c>
      <c r="Q3638" s="16">
        <f>IF(NOT(Paths!$C$337=1),0,IF(Paths!$P$337="Complete",N3638*(1+'Operating costs'!$B$54)^-C3638,"n.a."))</f>
        <v>0</v>
      </c>
      <c r="R3638" s="16">
        <f>IF(NOT(Paths!$C$337=1),0,IF(Paths!$P$337="Complete",IF(AND(C3638=0,Paths!$E$337=0),I3638-J3638-K3638+VLOOKUP(A3638,'Fleet register'!$A$7:$S$106,15,FALSE)+VLOOKUP(A3638,'Fleet register'!$A$7:$S$106,16,FALSE),0),"n.a."))</f>
        <v>0</v>
      </c>
      <c r="S3638" s="1">
        <f>IF(NOT(Paths!$C$337=1),0,IF(Paths!$P$337="Complete",IF(C3638=0,0,Paths!$S$337*Paths!$R$337),"n.a."))</f>
        <v>0</v>
      </c>
      <c r="T3638" s="1">
        <f>IF(NOT(Paths!$C$337=1),0,IF(Paths!$P$337="Complete",IF(C3638=0,0,VLOOKUP(A3638,'Fleet register'!$A$7:$S$106,9,FALSE)*Paths!$R$337),"n.a."))</f>
        <v>0</v>
      </c>
    </row>
    <row r="3639" spans="1:20" ht="24" customHeight="1">
      <c r="A3639" s="1" t="str">
        <f>Paths!$A$337</f>
        <v>T083</v>
      </c>
      <c r="B3639" s="1">
        <f>Paths!$B$337</f>
        <v>2</v>
      </c>
      <c r="C3639" s="1">
        <v>2</v>
      </c>
      <c r="D3639" s="1">
        <v>337</v>
      </c>
      <c r="E3639" s="1">
        <f>IF(OR(Paths!$C$337=0,C3639=0),0,MAX(0,MIN(C3639*12,Paths!$E$337)-(C3639-1)*12))</f>
        <v>0</v>
      </c>
      <c r="F3639" s="1">
        <f>IF(OR(Paths!$C$337=0,C3639=0),0,12-E3639)</f>
        <v>0</v>
      </c>
      <c r="G3639" s="16">
        <f>IF(NOT(Paths!$C$337=1),0,IF(Paths!$P$337="Complete",E3639/12*(Paths!$J$337*(1+'Operating costs'!$B$51)^MAX(0,C3639-1)+Paths!$K$337*(1+'Operating costs'!$B$53)^MAX(0,C3639-1)),"n.a."))</f>
        <v>0</v>
      </c>
      <c r="H3639" s="16">
        <f>IF(NOT(Paths!$C$337=1),0,IF(Paths!$P$337="Complete",F3639/12*(Paths!$L$337*(1+IF(Paths!$D$337="EV",'Operating costs'!$B$52,'Operating costs'!$B$51))^MAX(0,C3639-1)+Paths!$M$337*(1+'Operating costs'!$B$53)^MAX(0,C3639-1)),"n.a."))</f>
        <v>0</v>
      </c>
      <c r="I3639" s="16">
        <f>IF(NOT(Paths!$C$337=1),0,IF(Paths!$P$337="Complete",IF(IF(Paths!$E$337=0,C3639=0,AND(C3639&gt;0,Paths!$E$337&gt;(C3639-1)*12,Paths!$E$337&lt;=C3639*12)),Paths!$G$337,0),"n.a."))</f>
        <v>0</v>
      </c>
      <c r="J3639" s="16">
        <f>IF(NOT(Paths!$C$337=1),0,IF(Paths!$P$337="Complete",IF(IF(Paths!$E$337=0,C3639=0,AND(C3639&gt;0,Paths!$E$337&gt;(C3639-1)*12,Paths!$E$337&lt;=C3639*12)),Paths!$H$337,0),"n.a."))</f>
        <v>0</v>
      </c>
      <c r="K3639" s="16">
        <f>IF(NOT(Paths!$C$337=1),0,IF(Paths!$P$337="Complete",IF(IF(Paths!$O$337=0,C3639=0,AND(C3639&gt;0,Paths!$O$337&gt;(C3639-1)*12,Paths!$O$337&lt;=C3639*12)),Paths!$N$337,0),"n.a."))</f>
        <v>0</v>
      </c>
      <c r="L3639" s="16">
        <f>IF(NOT(Paths!$C$337=1),0,IF(Paths!$P$337="Complete",IF(C3639=10,Paths!$I$337,0),"n.a."))</f>
        <v>0</v>
      </c>
      <c r="M3639" s="16">
        <f>IF(NOT(Paths!$C$337=1),0,IF(Paths!$P$337="Complete",IF(AND(Paths!$D$337="EV",Paths!$E$337&lt;120,Paths!$E$337+'Operating costs'!$B$65&gt;Paths!$E$337,Paths!$E$337+'Operating costs'!$B$65&lt;=120,IF(Paths!$E$337+'Operating costs'!$B$65=0,C3639=0,AND(C3639&gt;0,Paths!$E$337+'Operating costs'!$B$65&gt;(C3639-1)*12,Paths!$E$337+'Operating costs'!$B$65&lt;=C3639*12))),'Operating costs'!$B$64,0)+IF(AND('Operating costs'!$B$67&gt;0,'Operating costs'!$B$67&lt;=120,OR(Paths!$D$337="ICE",'Operating costs'!$B$67&lt;=Paths!$E$337),IF('Operating costs'!$B$67=0,C3639=0,AND(C3639&gt;0,'Operating costs'!$B$67&gt;(C3639-1)*12,'Operating costs'!$B$67&lt;=C3639*12))),'Operating costs'!$B$66,0),"n.a."))</f>
        <v>0</v>
      </c>
      <c r="N3639" s="16">
        <f>IF(NOT(Paths!$C$337=1),0,IF(Paths!$P$337="Complete",SUM(G3639:I3639)-J3639-K3639-L3639+M3639+IF(C3639=0,Paths!$F$337,0)+IF(IF(Paths!$E$337=0,C3639=0,AND(C3639&gt;0,Paths!$E$337&gt;(C3639-1)*12,Paths!$E$337&lt;=C3639*12)),VLOOKUP(A3639,'Fleet register'!$A$7:$S$106,16,FALSE),0),"n.a."))</f>
        <v>0</v>
      </c>
      <c r="O3639" s="16">
        <f>IF(NOT(Paths!$C$337=1),0,IF(Paths!$P$337="Complete",N3639-IF(C3639=0,Paths!$F$337,0),"n.a."))</f>
        <v>0</v>
      </c>
      <c r="P3639" s="16">
        <f>IF(NOT(Paths!$C$337=1),0,IF(Paths!$P$337="Complete",O3639+L3639,"n.a."))</f>
        <v>0</v>
      </c>
      <c r="Q3639" s="16">
        <f>IF(NOT(Paths!$C$337=1),0,IF(Paths!$P$337="Complete",N3639*(1+'Operating costs'!$B$54)^-C3639,"n.a."))</f>
        <v>0</v>
      </c>
      <c r="R3639" s="16">
        <f>IF(NOT(Paths!$C$337=1),0,IF(Paths!$P$337="Complete",IF(AND(C3639=0,Paths!$E$337=0),I3639-J3639-K3639+VLOOKUP(A3639,'Fleet register'!$A$7:$S$106,15,FALSE)+VLOOKUP(A3639,'Fleet register'!$A$7:$S$106,16,FALSE),0),"n.a."))</f>
        <v>0</v>
      </c>
      <c r="S3639" s="1">
        <f>IF(NOT(Paths!$C$337=1),0,IF(Paths!$P$337="Complete",IF(C3639=0,0,Paths!$S$337*Paths!$R$337),"n.a."))</f>
        <v>0</v>
      </c>
      <c r="T3639" s="1">
        <f>IF(NOT(Paths!$C$337=1),0,IF(Paths!$P$337="Complete",IF(C3639=0,0,VLOOKUP(A3639,'Fleet register'!$A$7:$S$106,9,FALSE)*Paths!$R$337),"n.a."))</f>
        <v>0</v>
      </c>
    </row>
    <row r="3640" spans="1:20" ht="24" customHeight="1">
      <c r="A3640" s="1" t="str">
        <f>Paths!$A$337</f>
        <v>T083</v>
      </c>
      <c r="B3640" s="1">
        <f>Paths!$B$337</f>
        <v>2</v>
      </c>
      <c r="C3640" s="1">
        <v>3</v>
      </c>
      <c r="D3640" s="1">
        <v>337</v>
      </c>
      <c r="E3640" s="1">
        <f>IF(OR(Paths!$C$337=0,C3640=0),0,MAX(0,MIN(C3640*12,Paths!$E$337)-(C3640-1)*12))</f>
        <v>0</v>
      </c>
      <c r="F3640" s="1">
        <f>IF(OR(Paths!$C$337=0,C3640=0),0,12-E3640)</f>
        <v>0</v>
      </c>
      <c r="G3640" s="16">
        <f>IF(NOT(Paths!$C$337=1),0,IF(Paths!$P$337="Complete",E3640/12*(Paths!$J$337*(1+'Operating costs'!$B$51)^MAX(0,C3640-1)+Paths!$K$337*(1+'Operating costs'!$B$53)^MAX(0,C3640-1)),"n.a."))</f>
        <v>0</v>
      </c>
      <c r="H3640" s="16">
        <f>IF(NOT(Paths!$C$337=1),0,IF(Paths!$P$337="Complete",F3640/12*(Paths!$L$337*(1+IF(Paths!$D$337="EV",'Operating costs'!$B$52,'Operating costs'!$B$51))^MAX(0,C3640-1)+Paths!$M$337*(1+'Operating costs'!$B$53)^MAX(0,C3640-1)),"n.a."))</f>
        <v>0</v>
      </c>
      <c r="I3640" s="16">
        <f>IF(NOT(Paths!$C$337=1),0,IF(Paths!$P$337="Complete",IF(IF(Paths!$E$337=0,C3640=0,AND(C3640&gt;0,Paths!$E$337&gt;(C3640-1)*12,Paths!$E$337&lt;=C3640*12)),Paths!$G$337,0),"n.a."))</f>
        <v>0</v>
      </c>
      <c r="J3640" s="16">
        <f>IF(NOT(Paths!$C$337=1),0,IF(Paths!$P$337="Complete",IF(IF(Paths!$E$337=0,C3640=0,AND(C3640&gt;0,Paths!$E$337&gt;(C3640-1)*12,Paths!$E$337&lt;=C3640*12)),Paths!$H$337,0),"n.a."))</f>
        <v>0</v>
      </c>
      <c r="K3640" s="16">
        <f>IF(NOT(Paths!$C$337=1),0,IF(Paths!$P$337="Complete",IF(IF(Paths!$O$337=0,C3640=0,AND(C3640&gt;0,Paths!$O$337&gt;(C3640-1)*12,Paths!$O$337&lt;=C3640*12)),Paths!$N$337,0),"n.a."))</f>
        <v>0</v>
      </c>
      <c r="L3640" s="16">
        <f>IF(NOT(Paths!$C$337=1),0,IF(Paths!$P$337="Complete",IF(C3640=10,Paths!$I$337,0),"n.a."))</f>
        <v>0</v>
      </c>
      <c r="M3640" s="16">
        <f>IF(NOT(Paths!$C$337=1),0,IF(Paths!$P$337="Complete",IF(AND(Paths!$D$337="EV",Paths!$E$337&lt;120,Paths!$E$337+'Operating costs'!$B$65&gt;Paths!$E$337,Paths!$E$337+'Operating costs'!$B$65&lt;=120,IF(Paths!$E$337+'Operating costs'!$B$65=0,C3640=0,AND(C3640&gt;0,Paths!$E$337+'Operating costs'!$B$65&gt;(C3640-1)*12,Paths!$E$337+'Operating costs'!$B$65&lt;=C3640*12))),'Operating costs'!$B$64,0)+IF(AND('Operating costs'!$B$67&gt;0,'Operating costs'!$B$67&lt;=120,OR(Paths!$D$337="ICE",'Operating costs'!$B$67&lt;=Paths!$E$337),IF('Operating costs'!$B$67=0,C3640=0,AND(C3640&gt;0,'Operating costs'!$B$67&gt;(C3640-1)*12,'Operating costs'!$B$67&lt;=C3640*12))),'Operating costs'!$B$66,0),"n.a."))</f>
        <v>0</v>
      </c>
      <c r="N3640" s="16">
        <f>IF(NOT(Paths!$C$337=1),0,IF(Paths!$P$337="Complete",SUM(G3640:I3640)-J3640-K3640-L3640+M3640+IF(C3640=0,Paths!$F$337,0)+IF(IF(Paths!$E$337=0,C3640=0,AND(C3640&gt;0,Paths!$E$337&gt;(C3640-1)*12,Paths!$E$337&lt;=C3640*12)),VLOOKUP(A3640,'Fleet register'!$A$7:$S$106,16,FALSE),0),"n.a."))</f>
        <v>0</v>
      </c>
      <c r="O3640" s="16">
        <f>IF(NOT(Paths!$C$337=1),0,IF(Paths!$P$337="Complete",N3640-IF(C3640=0,Paths!$F$337,0),"n.a."))</f>
        <v>0</v>
      </c>
      <c r="P3640" s="16">
        <f>IF(NOT(Paths!$C$337=1),0,IF(Paths!$P$337="Complete",O3640+L3640,"n.a."))</f>
        <v>0</v>
      </c>
      <c r="Q3640" s="16">
        <f>IF(NOT(Paths!$C$337=1),0,IF(Paths!$P$337="Complete",N3640*(1+'Operating costs'!$B$54)^-C3640,"n.a."))</f>
        <v>0</v>
      </c>
      <c r="R3640" s="16">
        <f>IF(NOT(Paths!$C$337=1),0,IF(Paths!$P$337="Complete",IF(AND(C3640=0,Paths!$E$337=0),I3640-J3640-K3640+VLOOKUP(A3640,'Fleet register'!$A$7:$S$106,15,FALSE)+VLOOKUP(A3640,'Fleet register'!$A$7:$S$106,16,FALSE),0),"n.a."))</f>
        <v>0</v>
      </c>
      <c r="S3640" s="1">
        <f>IF(NOT(Paths!$C$337=1),0,IF(Paths!$P$337="Complete",IF(C3640=0,0,Paths!$S$337*Paths!$R$337),"n.a."))</f>
        <v>0</v>
      </c>
      <c r="T3640" s="1">
        <f>IF(NOT(Paths!$C$337=1),0,IF(Paths!$P$337="Complete",IF(C3640=0,0,VLOOKUP(A3640,'Fleet register'!$A$7:$S$106,9,FALSE)*Paths!$R$337),"n.a."))</f>
        <v>0</v>
      </c>
    </row>
    <row r="3641" spans="1:20" ht="24" customHeight="1">
      <c r="A3641" s="1" t="str">
        <f>Paths!$A$337</f>
        <v>T083</v>
      </c>
      <c r="B3641" s="1">
        <f>Paths!$B$337</f>
        <v>2</v>
      </c>
      <c r="C3641" s="1">
        <v>4</v>
      </c>
      <c r="D3641" s="1">
        <v>337</v>
      </c>
      <c r="E3641" s="1">
        <f>IF(OR(Paths!$C$337=0,C3641=0),0,MAX(0,MIN(C3641*12,Paths!$E$337)-(C3641-1)*12))</f>
        <v>0</v>
      </c>
      <c r="F3641" s="1">
        <f>IF(OR(Paths!$C$337=0,C3641=0),0,12-E3641)</f>
        <v>0</v>
      </c>
      <c r="G3641" s="16">
        <f>IF(NOT(Paths!$C$337=1),0,IF(Paths!$P$337="Complete",E3641/12*(Paths!$J$337*(1+'Operating costs'!$B$51)^MAX(0,C3641-1)+Paths!$K$337*(1+'Operating costs'!$B$53)^MAX(0,C3641-1)),"n.a."))</f>
        <v>0</v>
      </c>
      <c r="H3641" s="16">
        <f>IF(NOT(Paths!$C$337=1),0,IF(Paths!$P$337="Complete",F3641/12*(Paths!$L$337*(1+IF(Paths!$D$337="EV",'Operating costs'!$B$52,'Operating costs'!$B$51))^MAX(0,C3641-1)+Paths!$M$337*(1+'Operating costs'!$B$53)^MAX(0,C3641-1)),"n.a."))</f>
        <v>0</v>
      </c>
      <c r="I3641" s="16">
        <f>IF(NOT(Paths!$C$337=1),0,IF(Paths!$P$337="Complete",IF(IF(Paths!$E$337=0,C3641=0,AND(C3641&gt;0,Paths!$E$337&gt;(C3641-1)*12,Paths!$E$337&lt;=C3641*12)),Paths!$G$337,0),"n.a."))</f>
        <v>0</v>
      </c>
      <c r="J3641" s="16">
        <f>IF(NOT(Paths!$C$337=1),0,IF(Paths!$P$337="Complete",IF(IF(Paths!$E$337=0,C3641=0,AND(C3641&gt;0,Paths!$E$337&gt;(C3641-1)*12,Paths!$E$337&lt;=C3641*12)),Paths!$H$337,0),"n.a."))</f>
        <v>0</v>
      </c>
      <c r="K3641" s="16">
        <f>IF(NOT(Paths!$C$337=1),0,IF(Paths!$P$337="Complete",IF(IF(Paths!$O$337=0,C3641=0,AND(C3641&gt;0,Paths!$O$337&gt;(C3641-1)*12,Paths!$O$337&lt;=C3641*12)),Paths!$N$337,0),"n.a."))</f>
        <v>0</v>
      </c>
      <c r="L3641" s="16">
        <f>IF(NOT(Paths!$C$337=1),0,IF(Paths!$P$337="Complete",IF(C3641=10,Paths!$I$337,0),"n.a."))</f>
        <v>0</v>
      </c>
      <c r="M3641" s="16">
        <f>IF(NOT(Paths!$C$337=1),0,IF(Paths!$P$337="Complete",IF(AND(Paths!$D$337="EV",Paths!$E$337&lt;120,Paths!$E$337+'Operating costs'!$B$65&gt;Paths!$E$337,Paths!$E$337+'Operating costs'!$B$65&lt;=120,IF(Paths!$E$337+'Operating costs'!$B$65=0,C3641=0,AND(C3641&gt;0,Paths!$E$337+'Operating costs'!$B$65&gt;(C3641-1)*12,Paths!$E$337+'Operating costs'!$B$65&lt;=C3641*12))),'Operating costs'!$B$64,0)+IF(AND('Operating costs'!$B$67&gt;0,'Operating costs'!$B$67&lt;=120,OR(Paths!$D$337="ICE",'Operating costs'!$B$67&lt;=Paths!$E$337),IF('Operating costs'!$B$67=0,C3641=0,AND(C3641&gt;0,'Operating costs'!$B$67&gt;(C3641-1)*12,'Operating costs'!$B$67&lt;=C3641*12))),'Operating costs'!$B$66,0),"n.a."))</f>
        <v>0</v>
      </c>
      <c r="N3641" s="16">
        <f>IF(NOT(Paths!$C$337=1),0,IF(Paths!$P$337="Complete",SUM(G3641:I3641)-J3641-K3641-L3641+M3641+IF(C3641=0,Paths!$F$337,0)+IF(IF(Paths!$E$337=0,C3641=0,AND(C3641&gt;0,Paths!$E$337&gt;(C3641-1)*12,Paths!$E$337&lt;=C3641*12)),VLOOKUP(A3641,'Fleet register'!$A$7:$S$106,16,FALSE),0),"n.a."))</f>
        <v>0</v>
      </c>
      <c r="O3641" s="16">
        <f>IF(NOT(Paths!$C$337=1),0,IF(Paths!$P$337="Complete",N3641-IF(C3641=0,Paths!$F$337,0),"n.a."))</f>
        <v>0</v>
      </c>
      <c r="P3641" s="16">
        <f>IF(NOT(Paths!$C$337=1),0,IF(Paths!$P$337="Complete",O3641+L3641,"n.a."))</f>
        <v>0</v>
      </c>
      <c r="Q3641" s="16">
        <f>IF(NOT(Paths!$C$337=1),0,IF(Paths!$P$337="Complete",N3641*(1+'Operating costs'!$B$54)^-C3641,"n.a."))</f>
        <v>0</v>
      </c>
      <c r="R3641" s="16">
        <f>IF(NOT(Paths!$C$337=1),0,IF(Paths!$P$337="Complete",IF(AND(C3641=0,Paths!$E$337=0),I3641-J3641-K3641+VLOOKUP(A3641,'Fleet register'!$A$7:$S$106,15,FALSE)+VLOOKUP(A3641,'Fleet register'!$A$7:$S$106,16,FALSE),0),"n.a."))</f>
        <v>0</v>
      </c>
      <c r="S3641" s="1">
        <f>IF(NOT(Paths!$C$337=1),0,IF(Paths!$P$337="Complete",IF(C3641=0,0,Paths!$S$337*Paths!$R$337),"n.a."))</f>
        <v>0</v>
      </c>
      <c r="T3641" s="1">
        <f>IF(NOT(Paths!$C$337=1),0,IF(Paths!$P$337="Complete",IF(C3641=0,0,VLOOKUP(A3641,'Fleet register'!$A$7:$S$106,9,FALSE)*Paths!$R$337),"n.a."))</f>
        <v>0</v>
      </c>
    </row>
    <row r="3642" spans="1:20" ht="24" customHeight="1">
      <c r="A3642" s="1" t="str">
        <f>Paths!$A$337</f>
        <v>T083</v>
      </c>
      <c r="B3642" s="1">
        <f>Paths!$B$337</f>
        <v>2</v>
      </c>
      <c r="C3642" s="1">
        <v>5</v>
      </c>
      <c r="D3642" s="1">
        <v>337</v>
      </c>
      <c r="E3642" s="1">
        <f>IF(OR(Paths!$C$337=0,C3642=0),0,MAX(0,MIN(C3642*12,Paths!$E$337)-(C3642-1)*12))</f>
        <v>0</v>
      </c>
      <c r="F3642" s="1">
        <f>IF(OR(Paths!$C$337=0,C3642=0),0,12-E3642)</f>
        <v>0</v>
      </c>
      <c r="G3642" s="16">
        <f>IF(NOT(Paths!$C$337=1),0,IF(Paths!$P$337="Complete",E3642/12*(Paths!$J$337*(1+'Operating costs'!$B$51)^MAX(0,C3642-1)+Paths!$K$337*(1+'Operating costs'!$B$53)^MAX(0,C3642-1)),"n.a."))</f>
        <v>0</v>
      </c>
      <c r="H3642" s="16">
        <f>IF(NOT(Paths!$C$337=1),0,IF(Paths!$P$337="Complete",F3642/12*(Paths!$L$337*(1+IF(Paths!$D$337="EV",'Operating costs'!$B$52,'Operating costs'!$B$51))^MAX(0,C3642-1)+Paths!$M$337*(1+'Operating costs'!$B$53)^MAX(0,C3642-1)),"n.a."))</f>
        <v>0</v>
      </c>
      <c r="I3642" s="16">
        <f>IF(NOT(Paths!$C$337=1),0,IF(Paths!$P$337="Complete",IF(IF(Paths!$E$337=0,C3642=0,AND(C3642&gt;0,Paths!$E$337&gt;(C3642-1)*12,Paths!$E$337&lt;=C3642*12)),Paths!$G$337,0),"n.a."))</f>
        <v>0</v>
      </c>
      <c r="J3642" s="16">
        <f>IF(NOT(Paths!$C$337=1),0,IF(Paths!$P$337="Complete",IF(IF(Paths!$E$337=0,C3642=0,AND(C3642&gt;0,Paths!$E$337&gt;(C3642-1)*12,Paths!$E$337&lt;=C3642*12)),Paths!$H$337,0),"n.a."))</f>
        <v>0</v>
      </c>
      <c r="K3642" s="16">
        <f>IF(NOT(Paths!$C$337=1),0,IF(Paths!$P$337="Complete",IF(IF(Paths!$O$337=0,C3642=0,AND(C3642&gt;0,Paths!$O$337&gt;(C3642-1)*12,Paths!$O$337&lt;=C3642*12)),Paths!$N$337,0),"n.a."))</f>
        <v>0</v>
      </c>
      <c r="L3642" s="16">
        <f>IF(NOT(Paths!$C$337=1),0,IF(Paths!$P$337="Complete",IF(C3642=10,Paths!$I$337,0),"n.a."))</f>
        <v>0</v>
      </c>
      <c r="M3642" s="16">
        <f>IF(NOT(Paths!$C$337=1),0,IF(Paths!$P$337="Complete",IF(AND(Paths!$D$337="EV",Paths!$E$337&lt;120,Paths!$E$337+'Operating costs'!$B$65&gt;Paths!$E$337,Paths!$E$337+'Operating costs'!$B$65&lt;=120,IF(Paths!$E$337+'Operating costs'!$B$65=0,C3642=0,AND(C3642&gt;0,Paths!$E$337+'Operating costs'!$B$65&gt;(C3642-1)*12,Paths!$E$337+'Operating costs'!$B$65&lt;=C3642*12))),'Operating costs'!$B$64,0)+IF(AND('Operating costs'!$B$67&gt;0,'Operating costs'!$B$67&lt;=120,OR(Paths!$D$337="ICE",'Operating costs'!$B$67&lt;=Paths!$E$337),IF('Operating costs'!$B$67=0,C3642=0,AND(C3642&gt;0,'Operating costs'!$B$67&gt;(C3642-1)*12,'Operating costs'!$B$67&lt;=C3642*12))),'Operating costs'!$B$66,0),"n.a."))</f>
        <v>0</v>
      </c>
      <c r="N3642" s="16">
        <f>IF(NOT(Paths!$C$337=1),0,IF(Paths!$P$337="Complete",SUM(G3642:I3642)-J3642-K3642-L3642+M3642+IF(C3642=0,Paths!$F$337,0)+IF(IF(Paths!$E$337=0,C3642=0,AND(C3642&gt;0,Paths!$E$337&gt;(C3642-1)*12,Paths!$E$337&lt;=C3642*12)),VLOOKUP(A3642,'Fleet register'!$A$7:$S$106,16,FALSE),0),"n.a."))</f>
        <v>0</v>
      </c>
      <c r="O3642" s="16">
        <f>IF(NOT(Paths!$C$337=1),0,IF(Paths!$P$337="Complete",N3642-IF(C3642=0,Paths!$F$337,0),"n.a."))</f>
        <v>0</v>
      </c>
      <c r="P3642" s="16">
        <f>IF(NOT(Paths!$C$337=1),0,IF(Paths!$P$337="Complete",O3642+L3642,"n.a."))</f>
        <v>0</v>
      </c>
      <c r="Q3642" s="16">
        <f>IF(NOT(Paths!$C$337=1),0,IF(Paths!$P$337="Complete",N3642*(1+'Operating costs'!$B$54)^-C3642,"n.a."))</f>
        <v>0</v>
      </c>
      <c r="R3642" s="16">
        <f>IF(NOT(Paths!$C$337=1),0,IF(Paths!$P$337="Complete",IF(AND(C3642=0,Paths!$E$337=0),I3642-J3642-K3642+VLOOKUP(A3642,'Fleet register'!$A$7:$S$106,15,FALSE)+VLOOKUP(A3642,'Fleet register'!$A$7:$S$106,16,FALSE),0),"n.a."))</f>
        <v>0</v>
      </c>
      <c r="S3642" s="1">
        <f>IF(NOT(Paths!$C$337=1),0,IF(Paths!$P$337="Complete",IF(C3642=0,0,Paths!$S$337*Paths!$R$337),"n.a."))</f>
        <v>0</v>
      </c>
      <c r="T3642" s="1">
        <f>IF(NOT(Paths!$C$337=1),0,IF(Paths!$P$337="Complete",IF(C3642=0,0,VLOOKUP(A3642,'Fleet register'!$A$7:$S$106,9,FALSE)*Paths!$R$337),"n.a."))</f>
        <v>0</v>
      </c>
    </row>
    <row r="3643" spans="1:20" ht="24" customHeight="1">
      <c r="A3643" s="1" t="str">
        <f>Paths!$A$337</f>
        <v>T083</v>
      </c>
      <c r="B3643" s="1">
        <f>Paths!$B$337</f>
        <v>2</v>
      </c>
      <c r="C3643" s="1">
        <v>6</v>
      </c>
      <c r="D3643" s="1">
        <v>337</v>
      </c>
      <c r="E3643" s="1">
        <f>IF(OR(Paths!$C$337=0,C3643=0),0,MAX(0,MIN(C3643*12,Paths!$E$337)-(C3643-1)*12))</f>
        <v>0</v>
      </c>
      <c r="F3643" s="1">
        <f>IF(OR(Paths!$C$337=0,C3643=0),0,12-E3643)</f>
        <v>0</v>
      </c>
      <c r="G3643" s="16">
        <f>IF(NOT(Paths!$C$337=1),0,IF(Paths!$P$337="Complete",E3643/12*(Paths!$J$337*(1+'Operating costs'!$B$51)^MAX(0,C3643-1)+Paths!$K$337*(1+'Operating costs'!$B$53)^MAX(0,C3643-1)),"n.a."))</f>
        <v>0</v>
      </c>
      <c r="H3643" s="16">
        <f>IF(NOT(Paths!$C$337=1),0,IF(Paths!$P$337="Complete",F3643/12*(Paths!$L$337*(1+IF(Paths!$D$337="EV",'Operating costs'!$B$52,'Operating costs'!$B$51))^MAX(0,C3643-1)+Paths!$M$337*(1+'Operating costs'!$B$53)^MAX(0,C3643-1)),"n.a."))</f>
        <v>0</v>
      </c>
      <c r="I3643" s="16">
        <f>IF(NOT(Paths!$C$337=1),0,IF(Paths!$P$337="Complete",IF(IF(Paths!$E$337=0,C3643=0,AND(C3643&gt;0,Paths!$E$337&gt;(C3643-1)*12,Paths!$E$337&lt;=C3643*12)),Paths!$G$337,0),"n.a."))</f>
        <v>0</v>
      </c>
      <c r="J3643" s="16">
        <f>IF(NOT(Paths!$C$337=1),0,IF(Paths!$P$337="Complete",IF(IF(Paths!$E$337=0,C3643=0,AND(C3643&gt;0,Paths!$E$337&gt;(C3643-1)*12,Paths!$E$337&lt;=C3643*12)),Paths!$H$337,0),"n.a."))</f>
        <v>0</v>
      </c>
      <c r="K3643" s="16">
        <f>IF(NOT(Paths!$C$337=1),0,IF(Paths!$P$337="Complete",IF(IF(Paths!$O$337=0,C3643=0,AND(C3643&gt;0,Paths!$O$337&gt;(C3643-1)*12,Paths!$O$337&lt;=C3643*12)),Paths!$N$337,0),"n.a."))</f>
        <v>0</v>
      </c>
      <c r="L3643" s="16">
        <f>IF(NOT(Paths!$C$337=1),0,IF(Paths!$P$337="Complete",IF(C3643=10,Paths!$I$337,0),"n.a."))</f>
        <v>0</v>
      </c>
      <c r="M3643" s="16">
        <f>IF(NOT(Paths!$C$337=1),0,IF(Paths!$P$337="Complete",IF(AND(Paths!$D$337="EV",Paths!$E$337&lt;120,Paths!$E$337+'Operating costs'!$B$65&gt;Paths!$E$337,Paths!$E$337+'Operating costs'!$B$65&lt;=120,IF(Paths!$E$337+'Operating costs'!$B$65=0,C3643=0,AND(C3643&gt;0,Paths!$E$337+'Operating costs'!$B$65&gt;(C3643-1)*12,Paths!$E$337+'Operating costs'!$B$65&lt;=C3643*12))),'Operating costs'!$B$64,0)+IF(AND('Operating costs'!$B$67&gt;0,'Operating costs'!$B$67&lt;=120,OR(Paths!$D$337="ICE",'Operating costs'!$B$67&lt;=Paths!$E$337),IF('Operating costs'!$B$67=0,C3643=0,AND(C3643&gt;0,'Operating costs'!$B$67&gt;(C3643-1)*12,'Operating costs'!$B$67&lt;=C3643*12))),'Operating costs'!$B$66,0),"n.a."))</f>
        <v>0</v>
      </c>
      <c r="N3643" s="16">
        <f>IF(NOT(Paths!$C$337=1),0,IF(Paths!$P$337="Complete",SUM(G3643:I3643)-J3643-K3643-L3643+M3643+IF(C3643=0,Paths!$F$337,0)+IF(IF(Paths!$E$337=0,C3643=0,AND(C3643&gt;0,Paths!$E$337&gt;(C3643-1)*12,Paths!$E$337&lt;=C3643*12)),VLOOKUP(A3643,'Fleet register'!$A$7:$S$106,16,FALSE),0),"n.a."))</f>
        <v>0</v>
      </c>
      <c r="O3643" s="16">
        <f>IF(NOT(Paths!$C$337=1),0,IF(Paths!$P$337="Complete",N3643-IF(C3643=0,Paths!$F$337,0),"n.a."))</f>
        <v>0</v>
      </c>
      <c r="P3643" s="16">
        <f>IF(NOT(Paths!$C$337=1),0,IF(Paths!$P$337="Complete",O3643+L3643,"n.a."))</f>
        <v>0</v>
      </c>
      <c r="Q3643" s="16">
        <f>IF(NOT(Paths!$C$337=1),0,IF(Paths!$P$337="Complete",N3643*(1+'Operating costs'!$B$54)^-C3643,"n.a."))</f>
        <v>0</v>
      </c>
      <c r="R3643" s="16">
        <f>IF(NOT(Paths!$C$337=1),0,IF(Paths!$P$337="Complete",IF(AND(C3643=0,Paths!$E$337=0),I3643-J3643-K3643+VLOOKUP(A3643,'Fleet register'!$A$7:$S$106,15,FALSE)+VLOOKUP(A3643,'Fleet register'!$A$7:$S$106,16,FALSE),0),"n.a."))</f>
        <v>0</v>
      </c>
      <c r="S3643" s="1">
        <f>IF(NOT(Paths!$C$337=1),0,IF(Paths!$P$337="Complete",IF(C3643=0,0,Paths!$S$337*Paths!$R$337),"n.a."))</f>
        <v>0</v>
      </c>
      <c r="T3643" s="1">
        <f>IF(NOT(Paths!$C$337=1),0,IF(Paths!$P$337="Complete",IF(C3643=0,0,VLOOKUP(A3643,'Fleet register'!$A$7:$S$106,9,FALSE)*Paths!$R$337),"n.a."))</f>
        <v>0</v>
      </c>
    </row>
    <row r="3644" spans="1:20" ht="24" customHeight="1">
      <c r="A3644" s="1" t="str">
        <f>Paths!$A$337</f>
        <v>T083</v>
      </c>
      <c r="B3644" s="1">
        <f>Paths!$B$337</f>
        <v>2</v>
      </c>
      <c r="C3644" s="1">
        <v>7</v>
      </c>
      <c r="D3644" s="1">
        <v>337</v>
      </c>
      <c r="E3644" s="1">
        <f>IF(OR(Paths!$C$337=0,C3644=0),0,MAX(0,MIN(C3644*12,Paths!$E$337)-(C3644-1)*12))</f>
        <v>0</v>
      </c>
      <c r="F3644" s="1">
        <f>IF(OR(Paths!$C$337=0,C3644=0),0,12-E3644)</f>
        <v>0</v>
      </c>
      <c r="G3644" s="16">
        <f>IF(NOT(Paths!$C$337=1),0,IF(Paths!$P$337="Complete",E3644/12*(Paths!$J$337*(1+'Operating costs'!$B$51)^MAX(0,C3644-1)+Paths!$K$337*(1+'Operating costs'!$B$53)^MAX(0,C3644-1)),"n.a."))</f>
        <v>0</v>
      </c>
      <c r="H3644" s="16">
        <f>IF(NOT(Paths!$C$337=1),0,IF(Paths!$P$337="Complete",F3644/12*(Paths!$L$337*(1+IF(Paths!$D$337="EV",'Operating costs'!$B$52,'Operating costs'!$B$51))^MAX(0,C3644-1)+Paths!$M$337*(1+'Operating costs'!$B$53)^MAX(0,C3644-1)),"n.a."))</f>
        <v>0</v>
      </c>
      <c r="I3644" s="16">
        <f>IF(NOT(Paths!$C$337=1),0,IF(Paths!$P$337="Complete",IF(IF(Paths!$E$337=0,C3644=0,AND(C3644&gt;0,Paths!$E$337&gt;(C3644-1)*12,Paths!$E$337&lt;=C3644*12)),Paths!$G$337,0),"n.a."))</f>
        <v>0</v>
      </c>
      <c r="J3644" s="16">
        <f>IF(NOT(Paths!$C$337=1),0,IF(Paths!$P$337="Complete",IF(IF(Paths!$E$337=0,C3644=0,AND(C3644&gt;0,Paths!$E$337&gt;(C3644-1)*12,Paths!$E$337&lt;=C3644*12)),Paths!$H$337,0),"n.a."))</f>
        <v>0</v>
      </c>
      <c r="K3644" s="16">
        <f>IF(NOT(Paths!$C$337=1),0,IF(Paths!$P$337="Complete",IF(IF(Paths!$O$337=0,C3644=0,AND(C3644&gt;0,Paths!$O$337&gt;(C3644-1)*12,Paths!$O$337&lt;=C3644*12)),Paths!$N$337,0),"n.a."))</f>
        <v>0</v>
      </c>
      <c r="L3644" s="16">
        <f>IF(NOT(Paths!$C$337=1),0,IF(Paths!$P$337="Complete",IF(C3644=10,Paths!$I$337,0),"n.a."))</f>
        <v>0</v>
      </c>
      <c r="M3644" s="16">
        <f>IF(NOT(Paths!$C$337=1),0,IF(Paths!$P$337="Complete",IF(AND(Paths!$D$337="EV",Paths!$E$337&lt;120,Paths!$E$337+'Operating costs'!$B$65&gt;Paths!$E$337,Paths!$E$337+'Operating costs'!$B$65&lt;=120,IF(Paths!$E$337+'Operating costs'!$B$65=0,C3644=0,AND(C3644&gt;0,Paths!$E$337+'Operating costs'!$B$65&gt;(C3644-1)*12,Paths!$E$337+'Operating costs'!$B$65&lt;=C3644*12))),'Operating costs'!$B$64,0)+IF(AND('Operating costs'!$B$67&gt;0,'Operating costs'!$B$67&lt;=120,OR(Paths!$D$337="ICE",'Operating costs'!$B$67&lt;=Paths!$E$337),IF('Operating costs'!$B$67=0,C3644=0,AND(C3644&gt;0,'Operating costs'!$B$67&gt;(C3644-1)*12,'Operating costs'!$B$67&lt;=C3644*12))),'Operating costs'!$B$66,0),"n.a."))</f>
        <v>0</v>
      </c>
      <c r="N3644" s="16">
        <f>IF(NOT(Paths!$C$337=1),0,IF(Paths!$P$337="Complete",SUM(G3644:I3644)-J3644-K3644-L3644+M3644+IF(C3644=0,Paths!$F$337,0)+IF(IF(Paths!$E$337=0,C3644=0,AND(C3644&gt;0,Paths!$E$337&gt;(C3644-1)*12,Paths!$E$337&lt;=C3644*12)),VLOOKUP(A3644,'Fleet register'!$A$7:$S$106,16,FALSE),0),"n.a."))</f>
        <v>0</v>
      </c>
      <c r="O3644" s="16">
        <f>IF(NOT(Paths!$C$337=1),0,IF(Paths!$P$337="Complete",N3644-IF(C3644=0,Paths!$F$337,0),"n.a."))</f>
        <v>0</v>
      </c>
      <c r="P3644" s="16">
        <f>IF(NOT(Paths!$C$337=1),0,IF(Paths!$P$337="Complete",O3644+L3644,"n.a."))</f>
        <v>0</v>
      </c>
      <c r="Q3644" s="16">
        <f>IF(NOT(Paths!$C$337=1),0,IF(Paths!$P$337="Complete",N3644*(1+'Operating costs'!$B$54)^-C3644,"n.a."))</f>
        <v>0</v>
      </c>
      <c r="R3644" s="16">
        <f>IF(NOT(Paths!$C$337=1),0,IF(Paths!$P$337="Complete",IF(AND(C3644=0,Paths!$E$337=0),I3644-J3644-K3644+VLOOKUP(A3644,'Fleet register'!$A$7:$S$106,15,FALSE)+VLOOKUP(A3644,'Fleet register'!$A$7:$S$106,16,FALSE),0),"n.a."))</f>
        <v>0</v>
      </c>
      <c r="S3644" s="1">
        <f>IF(NOT(Paths!$C$337=1),0,IF(Paths!$P$337="Complete",IF(C3644=0,0,Paths!$S$337*Paths!$R$337),"n.a."))</f>
        <v>0</v>
      </c>
      <c r="T3644" s="1">
        <f>IF(NOT(Paths!$C$337=1),0,IF(Paths!$P$337="Complete",IF(C3644=0,0,VLOOKUP(A3644,'Fleet register'!$A$7:$S$106,9,FALSE)*Paths!$R$337),"n.a."))</f>
        <v>0</v>
      </c>
    </row>
    <row r="3645" spans="1:20" ht="24" customHeight="1">
      <c r="A3645" s="1" t="str">
        <f>Paths!$A$337</f>
        <v>T083</v>
      </c>
      <c r="B3645" s="1">
        <f>Paths!$B$337</f>
        <v>2</v>
      </c>
      <c r="C3645" s="1">
        <v>8</v>
      </c>
      <c r="D3645" s="1">
        <v>337</v>
      </c>
      <c r="E3645" s="1">
        <f>IF(OR(Paths!$C$337=0,C3645=0),0,MAX(0,MIN(C3645*12,Paths!$E$337)-(C3645-1)*12))</f>
        <v>0</v>
      </c>
      <c r="F3645" s="1">
        <f>IF(OR(Paths!$C$337=0,C3645=0),0,12-E3645)</f>
        <v>0</v>
      </c>
      <c r="G3645" s="16">
        <f>IF(NOT(Paths!$C$337=1),0,IF(Paths!$P$337="Complete",E3645/12*(Paths!$J$337*(1+'Operating costs'!$B$51)^MAX(0,C3645-1)+Paths!$K$337*(1+'Operating costs'!$B$53)^MAX(0,C3645-1)),"n.a."))</f>
        <v>0</v>
      </c>
      <c r="H3645" s="16">
        <f>IF(NOT(Paths!$C$337=1),0,IF(Paths!$P$337="Complete",F3645/12*(Paths!$L$337*(1+IF(Paths!$D$337="EV",'Operating costs'!$B$52,'Operating costs'!$B$51))^MAX(0,C3645-1)+Paths!$M$337*(1+'Operating costs'!$B$53)^MAX(0,C3645-1)),"n.a."))</f>
        <v>0</v>
      </c>
      <c r="I3645" s="16">
        <f>IF(NOT(Paths!$C$337=1),0,IF(Paths!$P$337="Complete",IF(IF(Paths!$E$337=0,C3645=0,AND(C3645&gt;0,Paths!$E$337&gt;(C3645-1)*12,Paths!$E$337&lt;=C3645*12)),Paths!$G$337,0),"n.a."))</f>
        <v>0</v>
      </c>
      <c r="J3645" s="16">
        <f>IF(NOT(Paths!$C$337=1),0,IF(Paths!$P$337="Complete",IF(IF(Paths!$E$337=0,C3645=0,AND(C3645&gt;0,Paths!$E$337&gt;(C3645-1)*12,Paths!$E$337&lt;=C3645*12)),Paths!$H$337,0),"n.a."))</f>
        <v>0</v>
      </c>
      <c r="K3645" s="16">
        <f>IF(NOT(Paths!$C$337=1),0,IF(Paths!$P$337="Complete",IF(IF(Paths!$O$337=0,C3645=0,AND(C3645&gt;0,Paths!$O$337&gt;(C3645-1)*12,Paths!$O$337&lt;=C3645*12)),Paths!$N$337,0),"n.a."))</f>
        <v>0</v>
      </c>
      <c r="L3645" s="16">
        <f>IF(NOT(Paths!$C$337=1),0,IF(Paths!$P$337="Complete",IF(C3645=10,Paths!$I$337,0),"n.a."))</f>
        <v>0</v>
      </c>
      <c r="M3645" s="16">
        <f>IF(NOT(Paths!$C$337=1),0,IF(Paths!$P$337="Complete",IF(AND(Paths!$D$337="EV",Paths!$E$337&lt;120,Paths!$E$337+'Operating costs'!$B$65&gt;Paths!$E$337,Paths!$E$337+'Operating costs'!$B$65&lt;=120,IF(Paths!$E$337+'Operating costs'!$B$65=0,C3645=0,AND(C3645&gt;0,Paths!$E$337+'Operating costs'!$B$65&gt;(C3645-1)*12,Paths!$E$337+'Operating costs'!$B$65&lt;=C3645*12))),'Operating costs'!$B$64,0)+IF(AND('Operating costs'!$B$67&gt;0,'Operating costs'!$B$67&lt;=120,OR(Paths!$D$337="ICE",'Operating costs'!$B$67&lt;=Paths!$E$337),IF('Operating costs'!$B$67=0,C3645=0,AND(C3645&gt;0,'Operating costs'!$B$67&gt;(C3645-1)*12,'Operating costs'!$B$67&lt;=C3645*12))),'Operating costs'!$B$66,0),"n.a."))</f>
        <v>0</v>
      </c>
      <c r="N3645" s="16">
        <f>IF(NOT(Paths!$C$337=1),0,IF(Paths!$P$337="Complete",SUM(G3645:I3645)-J3645-K3645-L3645+M3645+IF(C3645=0,Paths!$F$337,0)+IF(IF(Paths!$E$337=0,C3645=0,AND(C3645&gt;0,Paths!$E$337&gt;(C3645-1)*12,Paths!$E$337&lt;=C3645*12)),VLOOKUP(A3645,'Fleet register'!$A$7:$S$106,16,FALSE),0),"n.a."))</f>
        <v>0</v>
      </c>
      <c r="O3645" s="16">
        <f>IF(NOT(Paths!$C$337=1),0,IF(Paths!$P$337="Complete",N3645-IF(C3645=0,Paths!$F$337,0),"n.a."))</f>
        <v>0</v>
      </c>
      <c r="P3645" s="16">
        <f>IF(NOT(Paths!$C$337=1),0,IF(Paths!$P$337="Complete",O3645+L3645,"n.a."))</f>
        <v>0</v>
      </c>
      <c r="Q3645" s="16">
        <f>IF(NOT(Paths!$C$337=1),0,IF(Paths!$P$337="Complete",N3645*(1+'Operating costs'!$B$54)^-C3645,"n.a."))</f>
        <v>0</v>
      </c>
      <c r="R3645" s="16">
        <f>IF(NOT(Paths!$C$337=1),0,IF(Paths!$P$337="Complete",IF(AND(C3645=0,Paths!$E$337=0),I3645-J3645-K3645+VLOOKUP(A3645,'Fleet register'!$A$7:$S$106,15,FALSE)+VLOOKUP(A3645,'Fleet register'!$A$7:$S$106,16,FALSE),0),"n.a."))</f>
        <v>0</v>
      </c>
      <c r="S3645" s="1">
        <f>IF(NOT(Paths!$C$337=1),0,IF(Paths!$P$337="Complete",IF(C3645=0,0,Paths!$S$337*Paths!$R$337),"n.a."))</f>
        <v>0</v>
      </c>
      <c r="T3645" s="1">
        <f>IF(NOT(Paths!$C$337=1),0,IF(Paths!$P$337="Complete",IF(C3645=0,0,VLOOKUP(A3645,'Fleet register'!$A$7:$S$106,9,FALSE)*Paths!$R$337),"n.a."))</f>
        <v>0</v>
      </c>
    </row>
    <row r="3646" spans="1:20" ht="24" customHeight="1">
      <c r="A3646" s="1" t="str">
        <f>Paths!$A$337</f>
        <v>T083</v>
      </c>
      <c r="B3646" s="1">
        <f>Paths!$B$337</f>
        <v>2</v>
      </c>
      <c r="C3646" s="1">
        <v>9</v>
      </c>
      <c r="D3646" s="1">
        <v>337</v>
      </c>
      <c r="E3646" s="1">
        <f>IF(OR(Paths!$C$337=0,C3646=0),0,MAX(0,MIN(C3646*12,Paths!$E$337)-(C3646-1)*12))</f>
        <v>0</v>
      </c>
      <c r="F3646" s="1">
        <f>IF(OR(Paths!$C$337=0,C3646=0),0,12-E3646)</f>
        <v>0</v>
      </c>
      <c r="G3646" s="16">
        <f>IF(NOT(Paths!$C$337=1),0,IF(Paths!$P$337="Complete",E3646/12*(Paths!$J$337*(1+'Operating costs'!$B$51)^MAX(0,C3646-1)+Paths!$K$337*(1+'Operating costs'!$B$53)^MAX(0,C3646-1)),"n.a."))</f>
        <v>0</v>
      </c>
      <c r="H3646" s="16">
        <f>IF(NOT(Paths!$C$337=1),0,IF(Paths!$P$337="Complete",F3646/12*(Paths!$L$337*(1+IF(Paths!$D$337="EV",'Operating costs'!$B$52,'Operating costs'!$B$51))^MAX(0,C3646-1)+Paths!$M$337*(1+'Operating costs'!$B$53)^MAX(0,C3646-1)),"n.a."))</f>
        <v>0</v>
      </c>
      <c r="I3646" s="16">
        <f>IF(NOT(Paths!$C$337=1),0,IF(Paths!$P$337="Complete",IF(IF(Paths!$E$337=0,C3646=0,AND(C3646&gt;0,Paths!$E$337&gt;(C3646-1)*12,Paths!$E$337&lt;=C3646*12)),Paths!$G$337,0),"n.a."))</f>
        <v>0</v>
      </c>
      <c r="J3646" s="16">
        <f>IF(NOT(Paths!$C$337=1),0,IF(Paths!$P$337="Complete",IF(IF(Paths!$E$337=0,C3646=0,AND(C3646&gt;0,Paths!$E$337&gt;(C3646-1)*12,Paths!$E$337&lt;=C3646*12)),Paths!$H$337,0),"n.a."))</f>
        <v>0</v>
      </c>
      <c r="K3646" s="16">
        <f>IF(NOT(Paths!$C$337=1),0,IF(Paths!$P$337="Complete",IF(IF(Paths!$O$337=0,C3646=0,AND(C3646&gt;0,Paths!$O$337&gt;(C3646-1)*12,Paths!$O$337&lt;=C3646*12)),Paths!$N$337,0),"n.a."))</f>
        <v>0</v>
      </c>
      <c r="L3646" s="16">
        <f>IF(NOT(Paths!$C$337=1),0,IF(Paths!$P$337="Complete",IF(C3646=10,Paths!$I$337,0),"n.a."))</f>
        <v>0</v>
      </c>
      <c r="M3646" s="16">
        <f>IF(NOT(Paths!$C$337=1),0,IF(Paths!$P$337="Complete",IF(AND(Paths!$D$337="EV",Paths!$E$337&lt;120,Paths!$E$337+'Operating costs'!$B$65&gt;Paths!$E$337,Paths!$E$337+'Operating costs'!$B$65&lt;=120,IF(Paths!$E$337+'Operating costs'!$B$65=0,C3646=0,AND(C3646&gt;0,Paths!$E$337+'Operating costs'!$B$65&gt;(C3646-1)*12,Paths!$E$337+'Operating costs'!$B$65&lt;=C3646*12))),'Operating costs'!$B$64,0)+IF(AND('Operating costs'!$B$67&gt;0,'Operating costs'!$B$67&lt;=120,OR(Paths!$D$337="ICE",'Operating costs'!$B$67&lt;=Paths!$E$337),IF('Operating costs'!$B$67=0,C3646=0,AND(C3646&gt;0,'Operating costs'!$B$67&gt;(C3646-1)*12,'Operating costs'!$B$67&lt;=C3646*12))),'Operating costs'!$B$66,0),"n.a."))</f>
        <v>0</v>
      </c>
      <c r="N3646" s="16">
        <f>IF(NOT(Paths!$C$337=1),0,IF(Paths!$P$337="Complete",SUM(G3646:I3646)-J3646-K3646-L3646+M3646+IF(C3646=0,Paths!$F$337,0)+IF(IF(Paths!$E$337=0,C3646=0,AND(C3646&gt;0,Paths!$E$337&gt;(C3646-1)*12,Paths!$E$337&lt;=C3646*12)),VLOOKUP(A3646,'Fleet register'!$A$7:$S$106,16,FALSE),0),"n.a."))</f>
        <v>0</v>
      </c>
      <c r="O3646" s="16">
        <f>IF(NOT(Paths!$C$337=1),0,IF(Paths!$P$337="Complete",N3646-IF(C3646=0,Paths!$F$337,0),"n.a."))</f>
        <v>0</v>
      </c>
      <c r="P3646" s="16">
        <f>IF(NOT(Paths!$C$337=1),0,IF(Paths!$P$337="Complete",O3646+L3646,"n.a."))</f>
        <v>0</v>
      </c>
      <c r="Q3646" s="16">
        <f>IF(NOT(Paths!$C$337=1),0,IF(Paths!$P$337="Complete",N3646*(1+'Operating costs'!$B$54)^-C3646,"n.a."))</f>
        <v>0</v>
      </c>
      <c r="R3646" s="16">
        <f>IF(NOT(Paths!$C$337=1),0,IF(Paths!$P$337="Complete",IF(AND(C3646=0,Paths!$E$337=0),I3646-J3646-K3646+VLOOKUP(A3646,'Fleet register'!$A$7:$S$106,15,FALSE)+VLOOKUP(A3646,'Fleet register'!$A$7:$S$106,16,FALSE),0),"n.a."))</f>
        <v>0</v>
      </c>
      <c r="S3646" s="1">
        <f>IF(NOT(Paths!$C$337=1),0,IF(Paths!$P$337="Complete",IF(C3646=0,0,Paths!$S$337*Paths!$R$337),"n.a."))</f>
        <v>0</v>
      </c>
      <c r="T3646" s="1">
        <f>IF(NOT(Paths!$C$337=1),0,IF(Paths!$P$337="Complete",IF(C3646=0,0,VLOOKUP(A3646,'Fleet register'!$A$7:$S$106,9,FALSE)*Paths!$R$337),"n.a."))</f>
        <v>0</v>
      </c>
    </row>
    <row r="3647" spans="1:20" ht="24" customHeight="1">
      <c r="A3647" s="1" t="str">
        <f>Paths!$A$337</f>
        <v>T083</v>
      </c>
      <c r="B3647" s="1">
        <f>Paths!$B$337</f>
        <v>2</v>
      </c>
      <c r="C3647" s="1">
        <v>10</v>
      </c>
      <c r="D3647" s="1">
        <v>337</v>
      </c>
      <c r="E3647" s="1">
        <f>IF(OR(Paths!$C$337=0,C3647=0),0,MAX(0,MIN(C3647*12,Paths!$E$337)-(C3647-1)*12))</f>
        <v>0</v>
      </c>
      <c r="F3647" s="1">
        <f>IF(OR(Paths!$C$337=0,C3647=0),0,12-E3647)</f>
        <v>0</v>
      </c>
      <c r="G3647" s="16">
        <f>IF(NOT(Paths!$C$337=1),0,IF(Paths!$P$337="Complete",E3647/12*(Paths!$J$337*(1+'Operating costs'!$B$51)^MAX(0,C3647-1)+Paths!$K$337*(1+'Operating costs'!$B$53)^MAX(0,C3647-1)),"n.a."))</f>
        <v>0</v>
      </c>
      <c r="H3647" s="16">
        <f>IF(NOT(Paths!$C$337=1),0,IF(Paths!$P$337="Complete",F3647/12*(Paths!$L$337*(1+IF(Paths!$D$337="EV",'Operating costs'!$B$52,'Operating costs'!$B$51))^MAX(0,C3647-1)+Paths!$M$337*(1+'Operating costs'!$B$53)^MAX(0,C3647-1)),"n.a."))</f>
        <v>0</v>
      </c>
      <c r="I3647" s="16">
        <f>IF(NOT(Paths!$C$337=1),0,IF(Paths!$P$337="Complete",IF(IF(Paths!$E$337=0,C3647=0,AND(C3647&gt;0,Paths!$E$337&gt;(C3647-1)*12,Paths!$E$337&lt;=C3647*12)),Paths!$G$337,0),"n.a."))</f>
        <v>0</v>
      </c>
      <c r="J3647" s="16">
        <f>IF(NOT(Paths!$C$337=1),0,IF(Paths!$P$337="Complete",IF(IF(Paths!$E$337=0,C3647=0,AND(C3647&gt;0,Paths!$E$337&gt;(C3647-1)*12,Paths!$E$337&lt;=C3647*12)),Paths!$H$337,0),"n.a."))</f>
        <v>0</v>
      </c>
      <c r="K3647" s="16">
        <f>IF(NOT(Paths!$C$337=1),0,IF(Paths!$P$337="Complete",IF(IF(Paths!$O$337=0,C3647=0,AND(C3647&gt;0,Paths!$O$337&gt;(C3647-1)*12,Paths!$O$337&lt;=C3647*12)),Paths!$N$337,0),"n.a."))</f>
        <v>0</v>
      </c>
      <c r="L3647" s="16">
        <f>IF(NOT(Paths!$C$337=1),0,IF(Paths!$P$337="Complete",IF(C3647=10,Paths!$I$337,0),"n.a."))</f>
        <v>0</v>
      </c>
      <c r="M3647" s="16">
        <f>IF(NOT(Paths!$C$337=1),0,IF(Paths!$P$337="Complete",IF(AND(Paths!$D$337="EV",Paths!$E$337&lt;120,Paths!$E$337+'Operating costs'!$B$65&gt;Paths!$E$337,Paths!$E$337+'Operating costs'!$B$65&lt;=120,IF(Paths!$E$337+'Operating costs'!$B$65=0,C3647=0,AND(C3647&gt;0,Paths!$E$337+'Operating costs'!$B$65&gt;(C3647-1)*12,Paths!$E$337+'Operating costs'!$B$65&lt;=C3647*12))),'Operating costs'!$B$64,0)+IF(AND('Operating costs'!$B$67&gt;0,'Operating costs'!$B$67&lt;=120,OR(Paths!$D$337="ICE",'Operating costs'!$B$67&lt;=Paths!$E$337),IF('Operating costs'!$B$67=0,C3647=0,AND(C3647&gt;0,'Operating costs'!$B$67&gt;(C3647-1)*12,'Operating costs'!$B$67&lt;=C3647*12))),'Operating costs'!$B$66,0),"n.a."))</f>
        <v>0</v>
      </c>
      <c r="N3647" s="16">
        <f>IF(NOT(Paths!$C$337=1),0,IF(Paths!$P$337="Complete",SUM(G3647:I3647)-J3647-K3647-L3647+M3647+IF(C3647=0,Paths!$F$337,0)+IF(IF(Paths!$E$337=0,C3647=0,AND(C3647&gt;0,Paths!$E$337&gt;(C3647-1)*12,Paths!$E$337&lt;=C3647*12)),VLOOKUP(A3647,'Fleet register'!$A$7:$S$106,16,FALSE),0),"n.a."))</f>
        <v>0</v>
      </c>
      <c r="O3647" s="16">
        <f>IF(NOT(Paths!$C$337=1),0,IF(Paths!$P$337="Complete",N3647-IF(C3647=0,Paths!$F$337,0),"n.a."))</f>
        <v>0</v>
      </c>
      <c r="P3647" s="16">
        <f>IF(NOT(Paths!$C$337=1),0,IF(Paths!$P$337="Complete",O3647+L3647,"n.a."))</f>
        <v>0</v>
      </c>
      <c r="Q3647" s="16">
        <f>IF(NOT(Paths!$C$337=1),0,IF(Paths!$P$337="Complete",N3647*(1+'Operating costs'!$B$54)^-C3647,"n.a."))</f>
        <v>0</v>
      </c>
      <c r="R3647" s="16">
        <f>IF(NOT(Paths!$C$337=1),0,IF(Paths!$P$337="Complete",IF(AND(C3647=0,Paths!$E$337=0),I3647-J3647-K3647+VLOOKUP(A3647,'Fleet register'!$A$7:$S$106,15,FALSE)+VLOOKUP(A3647,'Fleet register'!$A$7:$S$106,16,FALSE),0),"n.a."))</f>
        <v>0</v>
      </c>
      <c r="S3647" s="1">
        <f>IF(NOT(Paths!$C$337=1),0,IF(Paths!$P$337="Complete",IF(C3647=0,0,Paths!$S$337*Paths!$R$337),"n.a."))</f>
        <v>0</v>
      </c>
      <c r="T3647" s="1">
        <f>IF(NOT(Paths!$C$337=1),0,IF(Paths!$P$337="Complete",IF(C3647=0,0,VLOOKUP(A3647,'Fleet register'!$A$7:$S$106,9,FALSE)*Paths!$R$337),"n.a."))</f>
        <v>0</v>
      </c>
    </row>
    <row r="3648" spans="1:20" ht="24" customHeight="1">
      <c r="A3648" s="1" t="str">
        <f>Paths!$A$338</f>
        <v>T083</v>
      </c>
      <c r="B3648" s="1">
        <f>Paths!$B$338</f>
        <v>3</v>
      </c>
      <c r="C3648" s="1">
        <v>0</v>
      </c>
      <c r="D3648" s="1">
        <v>338</v>
      </c>
      <c r="E3648" s="1">
        <f>IF(OR(Paths!$C$338=0,C3648=0),0,MAX(0,MIN(C3648*12,Paths!$E$338)-(C3648-1)*12))</f>
        <v>0</v>
      </c>
      <c r="F3648" s="1">
        <f>IF(OR(Paths!$C$338=0,C3648=0),0,12-E3648)</f>
        <v>0</v>
      </c>
      <c r="G3648" s="16">
        <f>IF(NOT(Paths!$C$338=1),0,IF(Paths!$P$338="Complete",E3648/12*(Paths!$J$338*(1+'Operating costs'!$B$51)^MAX(0,C3648-1)+Paths!$K$338*(1+'Operating costs'!$B$53)^MAX(0,C3648-1)),"n.a."))</f>
        <v>0</v>
      </c>
      <c r="H3648" s="16">
        <f>IF(NOT(Paths!$C$338=1),0,IF(Paths!$P$338="Complete",F3648/12*(Paths!$L$338*(1+IF(Paths!$D$338="EV",'Operating costs'!$B$52,'Operating costs'!$B$51))^MAX(0,C3648-1)+Paths!$M$338*(1+'Operating costs'!$B$53)^MAX(0,C3648-1)),"n.a."))</f>
        <v>0</v>
      </c>
      <c r="I3648" s="16">
        <f>IF(NOT(Paths!$C$338=1),0,IF(Paths!$P$338="Complete",IF(IF(Paths!$E$338=0,C3648=0,AND(C3648&gt;0,Paths!$E$338&gt;(C3648-1)*12,Paths!$E$338&lt;=C3648*12)),Paths!$G$338,0),"n.a."))</f>
        <v>0</v>
      </c>
      <c r="J3648" s="16">
        <f>IF(NOT(Paths!$C$338=1),0,IF(Paths!$P$338="Complete",IF(IF(Paths!$E$338=0,C3648=0,AND(C3648&gt;0,Paths!$E$338&gt;(C3648-1)*12,Paths!$E$338&lt;=C3648*12)),Paths!$H$338,0),"n.a."))</f>
        <v>0</v>
      </c>
      <c r="K3648" s="16">
        <f>IF(NOT(Paths!$C$338=1),0,IF(Paths!$P$338="Complete",IF(IF(Paths!$O$338=0,C3648=0,AND(C3648&gt;0,Paths!$O$338&gt;(C3648-1)*12,Paths!$O$338&lt;=C3648*12)),Paths!$N$338,0),"n.a."))</f>
        <v>0</v>
      </c>
      <c r="L3648" s="16">
        <f>IF(NOT(Paths!$C$338=1),0,IF(Paths!$P$338="Complete",IF(C3648=10,Paths!$I$338,0),"n.a."))</f>
        <v>0</v>
      </c>
      <c r="M3648" s="16">
        <f>IF(NOT(Paths!$C$338=1),0,IF(Paths!$P$338="Complete",IF(AND(Paths!$D$338="EV",Paths!$E$338&lt;120,Paths!$E$338+'Operating costs'!$B$65&gt;Paths!$E$338,Paths!$E$338+'Operating costs'!$B$65&lt;=120,IF(Paths!$E$338+'Operating costs'!$B$65=0,C3648=0,AND(C3648&gt;0,Paths!$E$338+'Operating costs'!$B$65&gt;(C3648-1)*12,Paths!$E$338+'Operating costs'!$B$65&lt;=C3648*12))),'Operating costs'!$B$64,0)+IF(AND('Operating costs'!$B$67&gt;0,'Operating costs'!$B$67&lt;=120,OR(Paths!$D$338="ICE",'Operating costs'!$B$67&lt;=Paths!$E$338),IF('Operating costs'!$B$67=0,C3648=0,AND(C3648&gt;0,'Operating costs'!$B$67&gt;(C3648-1)*12,'Operating costs'!$B$67&lt;=C3648*12))),'Operating costs'!$B$66,0),"n.a."))</f>
        <v>0</v>
      </c>
      <c r="N3648" s="16">
        <f>IF(NOT(Paths!$C$338=1),0,IF(Paths!$P$338="Complete",SUM(G3648:I3648)-J3648-K3648-L3648+M3648+IF(C3648=0,Paths!$F$338,0)+IF(IF(Paths!$E$338=0,C3648=0,AND(C3648&gt;0,Paths!$E$338&gt;(C3648-1)*12,Paths!$E$338&lt;=C3648*12)),VLOOKUP(A3648,'Fleet register'!$A$7:$S$106,16,FALSE),0),"n.a."))</f>
        <v>0</v>
      </c>
      <c r="O3648" s="16">
        <f>IF(NOT(Paths!$C$338=1),0,IF(Paths!$P$338="Complete",N3648-IF(C3648=0,Paths!$F$338,0),"n.a."))</f>
        <v>0</v>
      </c>
      <c r="P3648" s="16">
        <f>IF(NOT(Paths!$C$338=1),0,IF(Paths!$P$338="Complete",O3648+L3648,"n.a."))</f>
        <v>0</v>
      </c>
      <c r="Q3648" s="16">
        <f>IF(NOT(Paths!$C$338=1),0,IF(Paths!$P$338="Complete",N3648*(1+'Operating costs'!$B$54)^-C3648,"n.a."))</f>
        <v>0</v>
      </c>
      <c r="R3648" s="16">
        <f>IF(NOT(Paths!$C$338=1),0,IF(Paths!$P$338="Complete",IF(AND(C3648=0,Paths!$E$338=0),I3648-J3648-K3648+VLOOKUP(A3648,'Fleet register'!$A$7:$S$106,15,FALSE)+VLOOKUP(A3648,'Fleet register'!$A$7:$S$106,16,FALSE),0),"n.a."))</f>
        <v>0</v>
      </c>
      <c r="S3648" s="1">
        <f>IF(NOT(Paths!$C$338=1),0,IF(Paths!$P$338="Complete",IF(C3648=0,0,Paths!$S$338*Paths!$R$338),"n.a."))</f>
        <v>0</v>
      </c>
      <c r="T3648" s="1">
        <f>IF(NOT(Paths!$C$338=1),0,IF(Paths!$P$338="Complete",IF(C3648=0,0,VLOOKUP(A3648,'Fleet register'!$A$7:$S$106,9,FALSE)*Paths!$R$338),"n.a."))</f>
        <v>0</v>
      </c>
    </row>
    <row r="3649" spans="1:20" ht="24" customHeight="1">
      <c r="A3649" s="1" t="str">
        <f>Paths!$A$338</f>
        <v>T083</v>
      </c>
      <c r="B3649" s="1">
        <f>Paths!$B$338</f>
        <v>3</v>
      </c>
      <c r="C3649" s="1">
        <v>1</v>
      </c>
      <c r="D3649" s="1">
        <v>338</v>
      </c>
      <c r="E3649" s="1">
        <f>IF(OR(Paths!$C$338=0,C3649=0),0,MAX(0,MIN(C3649*12,Paths!$E$338)-(C3649-1)*12))</f>
        <v>0</v>
      </c>
      <c r="F3649" s="1">
        <f>IF(OR(Paths!$C$338=0,C3649=0),0,12-E3649)</f>
        <v>0</v>
      </c>
      <c r="G3649" s="16">
        <f>IF(NOT(Paths!$C$338=1),0,IF(Paths!$P$338="Complete",E3649/12*(Paths!$J$338*(1+'Operating costs'!$B$51)^MAX(0,C3649-1)+Paths!$K$338*(1+'Operating costs'!$B$53)^MAX(0,C3649-1)),"n.a."))</f>
        <v>0</v>
      </c>
      <c r="H3649" s="16">
        <f>IF(NOT(Paths!$C$338=1),0,IF(Paths!$P$338="Complete",F3649/12*(Paths!$L$338*(1+IF(Paths!$D$338="EV",'Operating costs'!$B$52,'Operating costs'!$B$51))^MAX(0,C3649-1)+Paths!$M$338*(1+'Operating costs'!$B$53)^MAX(0,C3649-1)),"n.a."))</f>
        <v>0</v>
      </c>
      <c r="I3649" s="16">
        <f>IF(NOT(Paths!$C$338=1),0,IF(Paths!$P$338="Complete",IF(IF(Paths!$E$338=0,C3649=0,AND(C3649&gt;0,Paths!$E$338&gt;(C3649-1)*12,Paths!$E$338&lt;=C3649*12)),Paths!$G$338,0),"n.a."))</f>
        <v>0</v>
      </c>
      <c r="J3649" s="16">
        <f>IF(NOT(Paths!$C$338=1),0,IF(Paths!$P$338="Complete",IF(IF(Paths!$E$338=0,C3649=0,AND(C3649&gt;0,Paths!$E$338&gt;(C3649-1)*12,Paths!$E$338&lt;=C3649*12)),Paths!$H$338,0),"n.a."))</f>
        <v>0</v>
      </c>
      <c r="K3649" s="16">
        <f>IF(NOT(Paths!$C$338=1),0,IF(Paths!$P$338="Complete",IF(IF(Paths!$O$338=0,C3649=0,AND(C3649&gt;0,Paths!$O$338&gt;(C3649-1)*12,Paths!$O$338&lt;=C3649*12)),Paths!$N$338,0),"n.a."))</f>
        <v>0</v>
      </c>
      <c r="L3649" s="16">
        <f>IF(NOT(Paths!$C$338=1),0,IF(Paths!$P$338="Complete",IF(C3649=10,Paths!$I$338,0),"n.a."))</f>
        <v>0</v>
      </c>
      <c r="M3649" s="16">
        <f>IF(NOT(Paths!$C$338=1),0,IF(Paths!$P$338="Complete",IF(AND(Paths!$D$338="EV",Paths!$E$338&lt;120,Paths!$E$338+'Operating costs'!$B$65&gt;Paths!$E$338,Paths!$E$338+'Operating costs'!$B$65&lt;=120,IF(Paths!$E$338+'Operating costs'!$B$65=0,C3649=0,AND(C3649&gt;0,Paths!$E$338+'Operating costs'!$B$65&gt;(C3649-1)*12,Paths!$E$338+'Operating costs'!$B$65&lt;=C3649*12))),'Operating costs'!$B$64,0)+IF(AND('Operating costs'!$B$67&gt;0,'Operating costs'!$B$67&lt;=120,OR(Paths!$D$338="ICE",'Operating costs'!$B$67&lt;=Paths!$E$338),IF('Operating costs'!$B$67=0,C3649=0,AND(C3649&gt;0,'Operating costs'!$B$67&gt;(C3649-1)*12,'Operating costs'!$B$67&lt;=C3649*12))),'Operating costs'!$B$66,0),"n.a."))</f>
        <v>0</v>
      </c>
      <c r="N3649" s="16">
        <f>IF(NOT(Paths!$C$338=1),0,IF(Paths!$P$338="Complete",SUM(G3649:I3649)-J3649-K3649-L3649+M3649+IF(C3649=0,Paths!$F$338,0)+IF(IF(Paths!$E$338=0,C3649=0,AND(C3649&gt;0,Paths!$E$338&gt;(C3649-1)*12,Paths!$E$338&lt;=C3649*12)),VLOOKUP(A3649,'Fleet register'!$A$7:$S$106,16,FALSE),0),"n.a."))</f>
        <v>0</v>
      </c>
      <c r="O3649" s="16">
        <f>IF(NOT(Paths!$C$338=1),0,IF(Paths!$P$338="Complete",N3649-IF(C3649=0,Paths!$F$338,0),"n.a."))</f>
        <v>0</v>
      </c>
      <c r="P3649" s="16">
        <f>IF(NOT(Paths!$C$338=1),0,IF(Paths!$P$338="Complete",O3649+L3649,"n.a."))</f>
        <v>0</v>
      </c>
      <c r="Q3649" s="16">
        <f>IF(NOT(Paths!$C$338=1),0,IF(Paths!$P$338="Complete",N3649*(1+'Operating costs'!$B$54)^-C3649,"n.a."))</f>
        <v>0</v>
      </c>
      <c r="R3649" s="16">
        <f>IF(NOT(Paths!$C$338=1),0,IF(Paths!$P$338="Complete",IF(AND(C3649=0,Paths!$E$338=0),I3649-J3649-K3649+VLOOKUP(A3649,'Fleet register'!$A$7:$S$106,15,FALSE)+VLOOKUP(A3649,'Fleet register'!$A$7:$S$106,16,FALSE),0),"n.a."))</f>
        <v>0</v>
      </c>
      <c r="S3649" s="1">
        <f>IF(NOT(Paths!$C$338=1),0,IF(Paths!$P$338="Complete",IF(C3649=0,0,Paths!$S$338*Paths!$R$338),"n.a."))</f>
        <v>0</v>
      </c>
      <c r="T3649" s="1">
        <f>IF(NOT(Paths!$C$338=1),0,IF(Paths!$P$338="Complete",IF(C3649=0,0,VLOOKUP(A3649,'Fleet register'!$A$7:$S$106,9,FALSE)*Paths!$R$338),"n.a."))</f>
        <v>0</v>
      </c>
    </row>
    <row r="3650" spans="1:20" ht="24" customHeight="1">
      <c r="A3650" s="1" t="str">
        <f>Paths!$A$338</f>
        <v>T083</v>
      </c>
      <c r="B3650" s="1">
        <f>Paths!$B$338</f>
        <v>3</v>
      </c>
      <c r="C3650" s="1">
        <v>2</v>
      </c>
      <c r="D3650" s="1">
        <v>338</v>
      </c>
      <c r="E3650" s="1">
        <f>IF(OR(Paths!$C$338=0,C3650=0),0,MAX(0,MIN(C3650*12,Paths!$E$338)-(C3650-1)*12))</f>
        <v>0</v>
      </c>
      <c r="F3650" s="1">
        <f>IF(OR(Paths!$C$338=0,C3650=0),0,12-E3650)</f>
        <v>0</v>
      </c>
      <c r="G3650" s="16">
        <f>IF(NOT(Paths!$C$338=1),0,IF(Paths!$P$338="Complete",E3650/12*(Paths!$J$338*(1+'Operating costs'!$B$51)^MAX(0,C3650-1)+Paths!$K$338*(1+'Operating costs'!$B$53)^MAX(0,C3650-1)),"n.a."))</f>
        <v>0</v>
      </c>
      <c r="H3650" s="16">
        <f>IF(NOT(Paths!$C$338=1),0,IF(Paths!$P$338="Complete",F3650/12*(Paths!$L$338*(1+IF(Paths!$D$338="EV",'Operating costs'!$B$52,'Operating costs'!$B$51))^MAX(0,C3650-1)+Paths!$M$338*(1+'Operating costs'!$B$53)^MAX(0,C3650-1)),"n.a."))</f>
        <v>0</v>
      </c>
      <c r="I3650" s="16">
        <f>IF(NOT(Paths!$C$338=1),0,IF(Paths!$P$338="Complete",IF(IF(Paths!$E$338=0,C3650=0,AND(C3650&gt;0,Paths!$E$338&gt;(C3650-1)*12,Paths!$E$338&lt;=C3650*12)),Paths!$G$338,0),"n.a."))</f>
        <v>0</v>
      </c>
      <c r="J3650" s="16">
        <f>IF(NOT(Paths!$C$338=1),0,IF(Paths!$P$338="Complete",IF(IF(Paths!$E$338=0,C3650=0,AND(C3650&gt;0,Paths!$E$338&gt;(C3650-1)*12,Paths!$E$338&lt;=C3650*12)),Paths!$H$338,0),"n.a."))</f>
        <v>0</v>
      </c>
      <c r="K3650" s="16">
        <f>IF(NOT(Paths!$C$338=1),0,IF(Paths!$P$338="Complete",IF(IF(Paths!$O$338=0,C3650=0,AND(C3650&gt;0,Paths!$O$338&gt;(C3650-1)*12,Paths!$O$338&lt;=C3650*12)),Paths!$N$338,0),"n.a."))</f>
        <v>0</v>
      </c>
      <c r="L3650" s="16">
        <f>IF(NOT(Paths!$C$338=1),0,IF(Paths!$P$338="Complete",IF(C3650=10,Paths!$I$338,0),"n.a."))</f>
        <v>0</v>
      </c>
      <c r="M3650" s="16">
        <f>IF(NOT(Paths!$C$338=1),0,IF(Paths!$P$338="Complete",IF(AND(Paths!$D$338="EV",Paths!$E$338&lt;120,Paths!$E$338+'Operating costs'!$B$65&gt;Paths!$E$338,Paths!$E$338+'Operating costs'!$B$65&lt;=120,IF(Paths!$E$338+'Operating costs'!$B$65=0,C3650=0,AND(C3650&gt;0,Paths!$E$338+'Operating costs'!$B$65&gt;(C3650-1)*12,Paths!$E$338+'Operating costs'!$B$65&lt;=C3650*12))),'Operating costs'!$B$64,0)+IF(AND('Operating costs'!$B$67&gt;0,'Operating costs'!$B$67&lt;=120,OR(Paths!$D$338="ICE",'Operating costs'!$B$67&lt;=Paths!$E$338),IF('Operating costs'!$B$67=0,C3650=0,AND(C3650&gt;0,'Operating costs'!$B$67&gt;(C3650-1)*12,'Operating costs'!$B$67&lt;=C3650*12))),'Operating costs'!$B$66,0),"n.a."))</f>
        <v>0</v>
      </c>
      <c r="N3650" s="16">
        <f>IF(NOT(Paths!$C$338=1),0,IF(Paths!$P$338="Complete",SUM(G3650:I3650)-J3650-K3650-L3650+M3650+IF(C3650=0,Paths!$F$338,0)+IF(IF(Paths!$E$338=0,C3650=0,AND(C3650&gt;0,Paths!$E$338&gt;(C3650-1)*12,Paths!$E$338&lt;=C3650*12)),VLOOKUP(A3650,'Fleet register'!$A$7:$S$106,16,FALSE),0),"n.a."))</f>
        <v>0</v>
      </c>
      <c r="O3650" s="16">
        <f>IF(NOT(Paths!$C$338=1),0,IF(Paths!$P$338="Complete",N3650-IF(C3650=0,Paths!$F$338,0),"n.a."))</f>
        <v>0</v>
      </c>
      <c r="P3650" s="16">
        <f>IF(NOT(Paths!$C$338=1),0,IF(Paths!$P$338="Complete",O3650+L3650,"n.a."))</f>
        <v>0</v>
      </c>
      <c r="Q3650" s="16">
        <f>IF(NOT(Paths!$C$338=1),0,IF(Paths!$P$338="Complete",N3650*(1+'Operating costs'!$B$54)^-C3650,"n.a."))</f>
        <v>0</v>
      </c>
      <c r="R3650" s="16">
        <f>IF(NOT(Paths!$C$338=1),0,IF(Paths!$P$338="Complete",IF(AND(C3650=0,Paths!$E$338=0),I3650-J3650-K3650+VLOOKUP(A3650,'Fleet register'!$A$7:$S$106,15,FALSE)+VLOOKUP(A3650,'Fleet register'!$A$7:$S$106,16,FALSE),0),"n.a."))</f>
        <v>0</v>
      </c>
      <c r="S3650" s="1">
        <f>IF(NOT(Paths!$C$338=1),0,IF(Paths!$P$338="Complete",IF(C3650=0,0,Paths!$S$338*Paths!$R$338),"n.a."))</f>
        <v>0</v>
      </c>
      <c r="T3650" s="1">
        <f>IF(NOT(Paths!$C$338=1),0,IF(Paths!$P$338="Complete",IF(C3650=0,0,VLOOKUP(A3650,'Fleet register'!$A$7:$S$106,9,FALSE)*Paths!$R$338),"n.a."))</f>
        <v>0</v>
      </c>
    </row>
    <row r="3651" spans="1:20" ht="24" customHeight="1">
      <c r="A3651" s="1" t="str">
        <f>Paths!$A$338</f>
        <v>T083</v>
      </c>
      <c r="B3651" s="1">
        <f>Paths!$B$338</f>
        <v>3</v>
      </c>
      <c r="C3651" s="1">
        <v>3</v>
      </c>
      <c r="D3651" s="1">
        <v>338</v>
      </c>
      <c r="E3651" s="1">
        <f>IF(OR(Paths!$C$338=0,C3651=0),0,MAX(0,MIN(C3651*12,Paths!$E$338)-(C3651-1)*12))</f>
        <v>0</v>
      </c>
      <c r="F3651" s="1">
        <f>IF(OR(Paths!$C$338=0,C3651=0),0,12-E3651)</f>
        <v>0</v>
      </c>
      <c r="G3651" s="16">
        <f>IF(NOT(Paths!$C$338=1),0,IF(Paths!$P$338="Complete",E3651/12*(Paths!$J$338*(1+'Operating costs'!$B$51)^MAX(0,C3651-1)+Paths!$K$338*(1+'Operating costs'!$B$53)^MAX(0,C3651-1)),"n.a."))</f>
        <v>0</v>
      </c>
      <c r="H3651" s="16">
        <f>IF(NOT(Paths!$C$338=1),0,IF(Paths!$P$338="Complete",F3651/12*(Paths!$L$338*(1+IF(Paths!$D$338="EV",'Operating costs'!$B$52,'Operating costs'!$B$51))^MAX(0,C3651-1)+Paths!$M$338*(1+'Operating costs'!$B$53)^MAX(0,C3651-1)),"n.a."))</f>
        <v>0</v>
      </c>
      <c r="I3651" s="16">
        <f>IF(NOT(Paths!$C$338=1),0,IF(Paths!$P$338="Complete",IF(IF(Paths!$E$338=0,C3651=0,AND(C3651&gt;0,Paths!$E$338&gt;(C3651-1)*12,Paths!$E$338&lt;=C3651*12)),Paths!$G$338,0),"n.a."))</f>
        <v>0</v>
      </c>
      <c r="J3651" s="16">
        <f>IF(NOT(Paths!$C$338=1),0,IF(Paths!$P$338="Complete",IF(IF(Paths!$E$338=0,C3651=0,AND(C3651&gt;0,Paths!$E$338&gt;(C3651-1)*12,Paths!$E$338&lt;=C3651*12)),Paths!$H$338,0),"n.a."))</f>
        <v>0</v>
      </c>
      <c r="K3651" s="16">
        <f>IF(NOT(Paths!$C$338=1),0,IF(Paths!$P$338="Complete",IF(IF(Paths!$O$338=0,C3651=0,AND(C3651&gt;0,Paths!$O$338&gt;(C3651-1)*12,Paths!$O$338&lt;=C3651*12)),Paths!$N$338,0),"n.a."))</f>
        <v>0</v>
      </c>
      <c r="L3651" s="16">
        <f>IF(NOT(Paths!$C$338=1),0,IF(Paths!$P$338="Complete",IF(C3651=10,Paths!$I$338,0),"n.a."))</f>
        <v>0</v>
      </c>
      <c r="M3651" s="16">
        <f>IF(NOT(Paths!$C$338=1),0,IF(Paths!$P$338="Complete",IF(AND(Paths!$D$338="EV",Paths!$E$338&lt;120,Paths!$E$338+'Operating costs'!$B$65&gt;Paths!$E$338,Paths!$E$338+'Operating costs'!$B$65&lt;=120,IF(Paths!$E$338+'Operating costs'!$B$65=0,C3651=0,AND(C3651&gt;0,Paths!$E$338+'Operating costs'!$B$65&gt;(C3651-1)*12,Paths!$E$338+'Operating costs'!$B$65&lt;=C3651*12))),'Operating costs'!$B$64,0)+IF(AND('Operating costs'!$B$67&gt;0,'Operating costs'!$B$67&lt;=120,OR(Paths!$D$338="ICE",'Operating costs'!$B$67&lt;=Paths!$E$338),IF('Operating costs'!$B$67=0,C3651=0,AND(C3651&gt;0,'Operating costs'!$B$67&gt;(C3651-1)*12,'Operating costs'!$B$67&lt;=C3651*12))),'Operating costs'!$B$66,0),"n.a."))</f>
        <v>0</v>
      </c>
      <c r="N3651" s="16">
        <f>IF(NOT(Paths!$C$338=1),0,IF(Paths!$P$338="Complete",SUM(G3651:I3651)-J3651-K3651-L3651+M3651+IF(C3651=0,Paths!$F$338,0)+IF(IF(Paths!$E$338=0,C3651=0,AND(C3651&gt;0,Paths!$E$338&gt;(C3651-1)*12,Paths!$E$338&lt;=C3651*12)),VLOOKUP(A3651,'Fleet register'!$A$7:$S$106,16,FALSE),0),"n.a."))</f>
        <v>0</v>
      </c>
      <c r="O3651" s="16">
        <f>IF(NOT(Paths!$C$338=1),0,IF(Paths!$P$338="Complete",N3651-IF(C3651=0,Paths!$F$338,0),"n.a."))</f>
        <v>0</v>
      </c>
      <c r="P3651" s="16">
        <f>IF(NOT(Paths!$C$338=1),0,IF(Paths!$P$338="Complete",O3651+L3651,"n.a."))</f>
        <v>0</v>
      </c>
      <c r="Q3651" s="16">
        <f>IF(NOT(Paths!$C$338=1),0,IF(Paths!$P$338="Complete",N3651*(1+'Operating costs'!$B$54)^-C3651,"n.a."))</f>
        <v>0</v>
      </c>
      <c r="R3651" s="16">
        <f>IF(NOT(Paths!$C$338=1),0,IF(Paths!$P$338="Complete",IF(AND(C3651=0,Paths!$E$338=0),I3651-J3651-K3651+VLOOKUP(A3651,'Fleet register'!$A$7:$S$106,15,FALSE)+VLOOKUP(A3651,'Fleet register'!$A$7:$S$106,16,FALSE),0),"n.a."))</f>
        <v>0</v>
      </c>
      <c r="S3651" s="1">
        <f>IF(NOT(Paths!$C$338=1),0,IF(Paths!$P$338="Complete",IF(C3651=0,0,Paths!$S$338*Paths!$R$338),"n.a."))</f>
        <v>0</v>
      </c>
      <c r="T3651" s="1">
        <f>IF(NOT(Paths!$C$338=1),0,IF(Paths!$P$338="Complete",IF(C3651=0,0,VLOOKUP(A3651,'Fleet register'!$A$7:$S$106,9,FALSE)*Paths!$R$338),"n.a."))</f>
        <v>0</v>
      </c>
    </row>
    <row r="3652" spans="1:20" ht="24" customHeight="1">
      <c r="A3652" s="1" t="str">
        <f>Paths!$A$338</f>
        <v>T083</v>
      </c>
      <c r="B3652" s="1">
        <f>Paths!$B$338</f>
        <v>3</v>
      </c>
      <c r="C3652" s="1">
        <v>4</v>
      </c>
      <c r="D3652" s="1">
        <v>338</v>
      </c>
      <c r="E3652" s="1">
        <f>IF(OR(Paths!$C$338=0,C3652=0),0,MAX(0,MIN(C3652*12,Paths!$E$338)-(C3652-1)*12))</f>
        <v>0</v>
      </c>
      <c r="F3652" s="1">
        <f>IF(OR(Paths!$C$338=0,C3652=0),0,12-E3652)</f>
        <v>0</v>
      </c>
      <c r="G3652" s="16">
        <f>IF(NOT(Paths!$C$338=1),0,IF(Paths!$P$338="Complete",E3652/12*(Paths!$J$338*(1+'Operating costs'!$B$51)^MAX(0,C3652-1)+Paths!$K$338*(1+'Operating costs'!$B$53)^MAX(0,C3652-1)),"n.a."))</f>
        <v>0</v>
      </c>
      <c r="H3652" s="16">
        <f>IF(NOT(Paths!$C$338=1),0,IF(Paths!$P$338="Complete",F3652/12*(Paths!$L$338*(1+IF(Paths!$D$338="EV",'Operating costs'!$B$52,'Operating costs'!$B$51))^MAX(0,C3652-1)+Paths!$M$338*(1+'Operating costs'!$B$53)^MAX(0,C3652-1)),"n.a."))</f>
        <v>0</v>
      </c>
      <c r="I3652" s="16">
        <f>IF(NOT(Paths!$C$338=1),0,IF(Paths!$P$338="Complete",IF(IF(Paths!$E$338=0,C3652=0,AND(C3652&gt;0,Paths!$E$338&gt;(C3652-1)*12,Paths!$E$338&lt;=C3652*12)),Paths!$G$338,0),"n.a."))</f>
        <v>0</v>
      </c>
      <c r="J3652" s="16">
        <f>IF(NOT(Paths!$C$338=1),0,IF(Paths!$P$338="Complete",IF(IF(Paths!$E$338=0,C3652=0,AND(C3652&gt;0,Paths!$E$338&gt;(C3652-1)*12,Paths!$E$338&lt;=C3652*12)),Paths!$H$338,0),"n.a."))</f>
        <v>0</v>
      </c>
      <c r="K3652" s="16">
        <f>IF(NOT(Paths!$C$338=1),0,IF(Paths!$P$338="Complete",IF(IF(Paths!$O$338=0,C3652=0,AND(C3652&gt;0,Paths!$O$338&gt;(C3652-1)*12,Paths!$O$338&lt;=C3652*12)),Paths!$N$338,0),"n.a."))</f>
        <v>0</v>
      </c>
      <c r="L3652" s="16">
        <f>IF(NOT(Paths!$C$338=1),0,IF(Paths!$P$338="Complete",IF(C3652=10,Paths!$I$338,0),"n.a."))</f>
        <v>0</v>
      </c>
      <c r="M3652" s="16">
        <f>IF(NOT(Paths!$C$338=1),0,IF(Paths!$P$338="Complete",IF(AND(Paths!$D$338="EV",Paths!$E$338&lt;120,Paths!$E$338+'Operating costs'!$B$65&gt;Paths!$E$338,Paths!$E$338+'Operating costs'!$B$65&lt;=120,IF(Paths!$E$338+'Operating costs'!$B$65=0,C3652=0,AND(C3652&gt;0,Paths!$E$338+'Operating costs'!$B$65&gt;(C3652-1)*12,Paths!$E$338+'Operating costs'!$B$65&lt;=C3652*12))),'Operating costs'!$B$64,0)+IF(AND('Operating costs'!$B$67&gt;0,'Operating costs'!$B$67&lt;=120,OR(Paths!$D$338="ICE",'Operating costs'!$B$67&lt;=Paths!$E$338),IF('Operating costs'!$B$67=0,C3652=0,AND(C3652&gt;0,'Operating costs'!$B$67&gt;(C3652-1)*12,'Operating costs'!$B$67&lt;=C3652*12))),'Operating costs'!$B$66,0),"n.a."))</f>
        <v>0</v>
      </c>
      <c r="N3652" s="16">
        <f>IF(NOT(Paths!$C$338=1),0,IF(Paths!$P$338="Complete",SUM(G3652:I3652)-J3652-K3652-L3652+M3652+IF(C3652=0,Paths!$F$338,0)+IF(IF(Paths!$E$338=0,C3652=0,AND(C3652&gt;0,Paths!$E$338&gt;(C3652-1)*12,Paths!$E$338&lt;=C3652*12)),VLOOKUP(A3652,'Fleet register'!$A$7:$S$106,16,FALSE),0),"n.a."))</f>
        <v>0</v>
      </c>
      <c r="O3652" s="16">
        <f>IF(NOT(Paths!$C$338=1),0,IF(Paths!$P$338="Complete",N3652-IF(C3652=0,Paths!$F$338,0),"n.a."))</f>
        <v>0</v>
      </c>
      <c r="P3652" s="16">
        <f>IF(NOT(Paths!$C$338=1),0,IF(Paths!$P$338="Complete",O3652+L3652,"n.a."))</f>
        <v>0</v>
      </c>
      <c r="Q3652" s="16">
        <f>IF(NOT(Paths!$C$338=1),0,IF(Paths!$P$338="Complete",N3652*(1+'Operating costs'!$B$54)^-C3652,"n.a."))</f>
        <v>0</v>
      </c>
      <c r="R3652" s="16">
        <f>IF(NOT(Paths!$C$338=1),0,IF(Paths!$P$338="Complete",IF(AND(C3652=0,Paths!$E$338=0),I3652-J3652-K3652+VLOOKUP(A3652,'Fleet register'!$A$7:$S$106,15,FALSE)+VLOOKUP(A3652,'Fleet register'!$A$7:$S$106,16,FALSE),0),"n.a."))</f>
        <v>0</v>
      </c>
      <c r="S3652" s="1">
        <f>IF(NOT(Paths!$C$338=1),0,IF(Paths!$P$338="Complete",IF(C3652=0,0,Paths!$S$338*Paths!$R$338),"n.a."))</f>
        <v>0</v>
      </c>
      <c r="T3652" s="1">
        <f>IF(NOT(Paths!$C$338=1),0,IF(Paths!$P$338="Complete",IF(C3652=0,0,VLOOKUP(A3652,'Fleet register'!$A$7:$S$106,9,FALSE)*Paths!$R$338),"n.a."))</f>
        <v>0</v>
      </c>
    </row>
    <row r="3653" spans="1:20" ht="24" customHeight="1">
      <c r="A3653" s="1" t="str">
        <f>Paths!$A$338</f>
        <v>T083</v>
      </c>
      <c r="B3653" s="1">
        <f>Paths!$B$338</f>
        <v>3</v>
      </c>
      <c r="C3653" s="1">
        <v>5</v>
      </c>
      <c r="D3653" s="1">
        <v>338</v>
      </c>
      <c r="E3653" s="1">
        <f>IF(OR(Paths!$C$338=0,C3653=0),0,MAX(0,MIN(C3653*12,Paths!$E$338)-(C3653-1)*12))</f>
        <v>0</v>
      </c>
      <c r="F3653" s="1">
        <f>IF(OR(Paths!$C$338=0,C3653=0),0,12-E3653)</f>
        <v>0</v>
      </c>
      <c r="G3653" s="16">
        <f>IF(NOT(Paths!$C$338=1),0,IF(Paths!$P$338="Complete",E3653/12*(Paths!$J$338*(1+'Operating costs'!$B$51)^MAX(0,C3653-1)+Paths!$K$338*(1+'Operating costs'!$B$53)^MAX(0,C3653-1)),"n.a."))</f>
        <v>0</v>
      </c>
      <c r="H3653" s="16">
        <f>IF(NOT(Paths!$C$338=1),0,IF(Paths!$P$338="Complete",F3653/12*(Paths!$L$338*(1+IF(Paths!$D$338="EV",'Operating costs'!$B$52,'Operating costs'!$B$51))^MAX(0,C3653-1)+Paths!$M$338*(1+'Operating costs'!$B$53)^MAX(0,C3653-1)),"n.a."))</f>
        <v>0</v>
      </c>
      <c r="I3653" s="16">
        <f>IF(NOT(Paths!$C$338=1),0,IF(Paths!$P$338="Complete",IF(IF(Paths!$E$338=0,C3653=0,AND(C3653&gt;0,Paths!$E$338&gt;(C3653-1)*12,Paths!$E$338&lt;=C3653*12)),Paths!$G$338,0),"n.a."))</f>
        <v>0</v>
      </c>
      <c r="J3653" s="16">
        <f>IF(NOT(Paths!$C$338=1),0,IF(Paths!$P$338="Complete",IF(IF(Paths!$E$338=0,C3653=0,AND(C3653&gt;0,Paths!$E$338&gt;(C3653-1)*12,Paths!$E$338&lt;=C3653*12)),Paths!$H$338,0),"n.a."))</f>
        <v>0</v>
      </c>
      <c r="K3653" s="16">
        <f>IF(NOT(Paths!$C$338=1),0,IF(Paths!$P$338="Complete",IF(IF(Paths!$O$338=0,C3653=0,AND(C3653&gt;0,Paths!$O$338&gt;(C3653-1)*12,Paths!$O$338&lt;=C3653*12)),Paths!$N$338,0),"n.a."))</f>
        <v>0</v>
      </c>
      <c r="L3653" s="16">
        <f>IF(NOT(Paths!$C$338=1),0,IF(Paths!$P$338="Complete",IF(C3653=10,Paths!$I$338,0),"n.a."))</f>
        <v>0</v>
      </c>
      <c r="M3653" s="16">
        <f>IF(NOT(Paths!$C$338=1),0,IF(Paths!$P$338="Complete",IF(AND(Paths!$D$338="EV",Paths!$E$338&lt;120,Paths!$E$338+'Operating costs'!$B$65&gt;Paths!$E$338,Paths!$E$338+'Operating costs'!$B$65&lt;=120,IF(Paths!$E$338+'Operating costs'!$B$65=0,C3653=0,AND(C3653&gt;0,Paths!$E$338+'Operating costs'!$B$65&gt;(C3653-1)*12,Paths!$E$338+'Operating costs'!$B$65&lt;=C3653*12))),'Operating costs'!$B$64,0)+IF(AND('Operating costs'!$B$67&gt;0,'Operating costs'!$B$67&lt;=120,OR(Paths!$D$338="ICE",'Operating costs'!$B$67&lt;=Paths!$E$338),IF('Operating costs'!$B$67=0,C3653=0,AND(C3653&gt;0,'Operating costs'!$B$67&gt;(C3653-1)*12,'Operating costs'!$B$67&lt;=C3653*12))),'Operating costs'!$B$66,0),"n.a."))</f>
        <v>0</v>
      </c>
      <c r="N3653" s="16">
        <f>IF(NOT(Paths!$C$338=1),0,IF(Paths!$P$338="Complete",SUM(G3653:I3653)-J3653-K3653-L3653+M3653+IF(C3653=0,Paths!$F$338,0)+IF(IF(Paths!$E$338=0,C3653=0,AND(C3653&gt;0,Paths!$E$338&gt;(C3653-1)*12,Paths!$E$338&lt;=C3653*12)),VLOOKUP(A3653,'Fleet register'!$A$7:$S$106,16,FALSE),0),"n.a."))</f>
        <v>0</v>
      </c>
      <c r="O3653" s="16">
        <f>IF(NOT(Paths!$C$338=1),0,IF(Paths!$P$338="Complete",N3653-IF(C3653=0,Paths!$F$338,0),"n.a."))</f>
        <v>0</v>
      </c>
      <c r="P3653" s="16">
        <f>IF(NOT(Paths!$C$338=1),0,IF(Paths!$P$338="Complete",O3653+L3653,"n.a."))</f>
        <v>0</v>
      </c>
      <c r="Q3653" s="16">
        <f>IF(NOT(Paths!$C$338=1),0,IF(Paths!$P$338="Complete",N3653*(1+'Operating costs'!$B$54)^-C3653,"n.a."))</f>
        <v>0</v>
      </c>
      <c r="R3653" s="16">
        <f>IF(NOT(Paths!$C$338=1),0,IF(Paths!$P$338="Complete",IF(AND(C3653=0,Paths!$E$338=0),I3653-J3653-K3653+VLOOKUP(A3653,'Fleet register'!$A$7:$S$106,15,FALSE)+VLOOKUP(A3653,'Fleet register'!$A$7:$S$106,16,FALSE),0),"n.a."))</f>
        <v>0</v>
      </c>
      <c r="S3653" s="1">
        <f>IF(NOT(Paths!$C$338=1),0,IF(Paths!$P$338="Complete",IF(C3653=0,0,Paths!$S$338*Paths!$R$338),"n.a."))</f>
        <v>0</v>
      </c>
      <c r="T3653" s="1">
        <f>IF(NOT(Paths!$C$338=1),0,IF(Paths!$P$338="Complete",IF(C3653=0,0,VLOOKUP(A3653,'Fleet register'!$A$7:$S$106,9,FALSE)*Paths!$R$338),"n.a."))</f>
        <v>0</v>
      </c>
    </row>
    <row r="3654" spans="1:20" ht="24" customHeight="1">
      <c r="A3654" s="1" t="str">
        <f>Paths!$A$338</f>
        <v>T083</v>
      </c>
      <c r="B3654" s="1">
        <f>Paths!$B$338</f>
        <v>3</v>
      </c>
      <c r="C3654" s="1">
        <v>6</v>
      </c>
      <c r="D3654" s="1">
        <v>338</v>
      </c>
      <c r="E3654" s="1">
        <f>IF(OR(Paths!$C$338=0,C3654=0),0,MAX(0,MIN(C3654*12,Paths!$E$338)-(C3654-1)*12))</f>
        <v>0</v>
      </c>
      <c r="F3654" s="1">
        <f>IF(OR(Paths!$C$338=0,C3654=0),0,12-E3654)</f>
        <v>0</v>
      </c>
      <c r="G3654" s="16">
        <f>IF(NOT(Paths!$C$338=1),0,IF(Paths!$P$338="Complete",E3654/12*(Paths!$J$338*(1+'Operating costs'!$B$51)^MAX(0,C3654-1)+Paths!$K$338*(1+'Operating costs'!$B$53)^MAX(0,C3654-1)),"n.a."))</f>
        <v>0</v>
      </c>
      <c r="H3654" s="16">
        <f>IF(NOT(Paths!$C$338=1),0,IF(Paths!$P$338="Complete",F3654/12*(Paths!$L$338*(1+IF(Paths!$D$338="EV",'Operating costs'!$B$52,'Operating costs'!$B$51))^MAX(0,C3654-1)+Paths!$M$338*(1+'Operating costs'!$B$53)^MAX(0,C3654-1)),"n.a."))</f>
        <v>0</v>
      </c>
      <c r="I3654" s="16">
        <f>IF(NOT(Paths!$C$338=1),0,IF(Paths!$P$338="Complete",IF(IF(Paths!$E$338=0,C3654=0,AND(C3654&gt;0,Paths!$E$338&gt;(C3654-1)*12,Paths!$E$338&lt;=C3654*12)),Paths!$G$338,0),"n.a."))</f>
        <v>0</v>
      </c>
      <c r="J3654" s="16">
        <f>IF(NOT(Paths!$C$338=1),0,IF(Paths!$P$338="Complete",IF(IF(Paths!$E$338=0,C3654=0,AND(C3654&gt;0,Paths!$E$338&gt;(C3654-1)*12,Paths!$E$338&lt;=C3654*12)),Paths!$H$338,0),"n.a."))</f>
        <v>0</v>
      </c>
      <c r="K3654" s="16">
        <f>IF(NOT(Paths!$C$338=1),0,IF(Paths!$P$338="Complete",IF(IF(Paths!$O$338=0,C3654=0,AND(C3654&gt;0,Paths!$O$338&gt;(C3654-1)*12,Paths!$O$338&lt;=C3654*12)),Paths!$N$338,0),"n.a."))</f>
        <v>0</v>
      </c>
      <c r="L3654" s="16">
        <f>IF(NOT(Paths!$C$338=1),0,IF(Paths!$P$338="Complete",IF(C3654=10,Paths!$I$338,0),"n.a."))</f>
        <v>0</v>
      </c>
      <c r="M3654" s="16">
        <f>IF(NOT(Paths!$C$338=1),0,IF(Paths!$P$338="Complete",IF(AND(Paths!$D$338="EV",Paths!$E$338&lt;120,Paths!$E$338+'Operating costs'!$B$65&gt;Paths!$E$338,Paths!$E$338+'Operating costs'!$B$65&lt;=120,IF(Paths!$E$338+'Operating costs'!$B$65=0,C3654=0,AND(C3654&gt;0,Paths!$E$338+'Operating costs'!$B$65&gt;(C3654-1)*12,Paths!$E$338+'Operating costs'!$B$65&lt;=C3654*12))),'Operating costs'!$B$64,0)+IF(AND('Operating costs'!$B$67&gt;0,'Operating costs'!$B$67&lt;=120,OR(Paths!$D$338="ICE",'Operating costs'!$B$67&lt;=Paths!$E$338),IF('Operating costs'!$B$67=0,C3654=0,AND(C3654&gt;0,'Operating costs'!$B$67&gt;(C3654-1)*12,'Operating costs'!$B$67&lt;=C3654*12))),'Operating costs'!$B$66,0),"n.a."))</f>
        <v>0</v>
      </c>
      <c r="N3654" s="16">
        <f>IF(NOT(Paths!$C$338=1),0,IF(Paths!$P$338="Complete",SUM(G3654:I3654)-J3654-K3654-L3654+M3654+IF(C3654=0,Paths!$F$338,0)+IF(IF(Paths!$E$338=0,C3654=0,AND(C3654&gt;0,Paths!$E$338&gt;(C3654-1)*12,Paths!$E$338&lt;=C3654*12)),VLOOKUP(A3654,'Fleet register'!$A$7:$S$106,16,FALSE),0),"n.a."))</f>
        <v>0</v>
      </c>
      <c r="O3654" s="16">
        <f>IF(NOT(Paths!$C$338=1),0,IF(Paths!$P$338="Complete",N3654-IF(C3654=0,Paths!$F$338,0),"n.a."))</f>
        <v>0</v>
      </c>
      <c r="P3654" s="16">
        <f>IF(NOT(Paths!$C$338=1),0,IF(Paths!$P$338="Complete",O3654+L3654,"n.a."))</f>
        <v>0</v>
      </c>
      <c r="Q3654" s="16">
        <f>IF(NOT(Paths!$C$338=1),0,IF(Paths!$P$338="Complete",N3654*(1+'Operating costs'!$B$54)^-C3654,"n.a."))</f>
        <v>0</v>
      </c>
      <c r="R3654" s="16">
        <f>IF(NOT(Paths!$C$338=1),0,IF(Paths!$P$338="Complete",IF(AND(C3654=0,Paths!$E$338=0),I3654-J3654-K3654+VLOOKUP(A3654,'Fleet register'!$A$7:$S$106,15,FALSE)+VLOOKUP(A3654,'Fleet register'!$A$7:$S$106,16,FALSE),0),"n.a."))</f>
        <v>0</v>
      </c>
      <c r="S3654" s="1">
        <f>IF(NOT(Paths!$C$338=1),0,IF(Paths!$P$338="Complete",IF(C3654=0,0,Paths!$S$338*Paths!$R$338),"n.a."))</f>
        <v>0</v>
      </c>
      <c r="T3654" s="1">
        <f>IF(NOT(Paths!$C$338=1),0,IF(Paths!$P$338="Complete",IF(C3654=0,0,VLOOKUP(A3654,'Fleet register'!$A$7:$S$106,9,FALSE)*Paths!$R$338),"n.a."))</f>
        <v>0</v>
      </c>
    </row>
    <row r="3655" spans="1:20" ht="24" customHeight="1">
      <c r="A3655" s="1" t="str">
        <f>Paths!$A$338</f>
        <v>T083</v>
      </c>
      <c r="B3655" s="1">
        <f>Paths!$B$338</f>
        <v>3</v>
      </c>
      <c r="C3655" s="1">
        <v>7</v>
      </c>
      <c r="D3655" s="1">
        <v>338</v>
      </c>
      <c r="E3655" s="1">
        <f>IF(OR(Paths!$C$338=0,C3655=0),0,MAX(0,MIN(C3655*12,Paths!$E$338)-(C3655-1)*12))</f>
        <v>0</v>
      </c>
      <c r="F3655" s="1">
        <f>IF(OR(Paths!$C$338=0,C3655=0),0,12-E3655)</f>
        <v>0</v>
      </c>
      <c r="G3655" s="16">
        <f>IF(NOT(Paths!$C$338=1),0,IF(Paths!$P$338="Complete",E3655/12*(Paths!$J$338*(1+'Operating costs'!$B$51)^MAX(0,C3655-1)+Paths!$K$338*(1+'Operating costs'!$B$53)^MAX(0,C3655-1)),"n.a."))</f>
        <v>0</v>
      </c>
      <c r="H3655" s="16">
        <f>IF(NOT(Paths!$C$338=1),0,IF(Paths!$P$338="Complete",F3655/12*(Paths!$L$338*(1+IF(Paths!$D$338="EV",'Operating costs'!$B$52,'Operating costs'!$B$51))^MAX(0,C3655-1)+Paths!$M$338*(1+'Operating costs'!$B$53)^MAX(0,C3655-1)),"n.a."))</f>
        <v>0</v>
      </c>
      <c r="I3655" s="16">
        <f>IF(NOT(Paths!$C$338=1),0,IF(Paths!$P$338="Complete",IF(IF(Paths!$E$338=0,C3655=0,AND(C3655&gt;0,Paths!$E$338&gt;(C3655-1)*12,Paths!$E$338&lt;=C3655*12)),Paths!$G$338,0),"n.a."))</f>
        <v>0</v>
      </c>
      <c r="J3655" s="16">
        <f>IF(NOT(Paths!$C$338=1),0,IF(Paths!$P$338="Complete",IF(IF(Paths!$E$338=0,C3655=0,AND(C3655&gt;0,Paths!$E$338&gt;(C3655-1)*12,Paths!$E$338&lt;=C3655*12)),Paths!$H$338,0),"n.a."))</f>
        <v>0</v>
      </c>
      <c r="K3655" s="16">
        <f>IF(NOT(Paths!$C$338=1),0,IF(Paths!$P$338="Complete",IF(IF(Paths!$O$338=0,C3655=0,AND(C3655&gt;0,Paths!$O$338&gt;(C3655-1)*12,Paths!$O$338&lt;=C3655*12)),Paths!$N$338,0),"n.a."))</f>
        <v>0</v>
      </c>
      <c r="L3655" s="16">
        <f>IF(NOT(Paths!$C$338=1),0,IF(Paths!$P$338="Complete",IF(C3655=10,Paths!$I$338,0),"n.a."))</f>
        <v>0</v>
      </c>
      <c r="M3655" s="16">
        <f>IF(NOT(Paths!$C$338=1),0,IF(Paths!$P$338="Complete",IF(AND(Paths!$D$338="EV",Paths!$E$338&lt;120,Paths!$E$338+'Operating costs'!$B$65&gt;Paths!$E$338,Paths!$E$338+'Operating costs'!$B$65&lt;=120,IF(Paths!$E$338+'Operating costs'!$B$65=0,C3655=0,AND(C3655&gt;0,Paths!$E$338+'Operating costs'!$B$65&gt;(C3655-1)*12,Paths!$E$338+'Operating costs'!$B$65&lt;=C3655*12))),'Operating costs'!$B$64,0)+IF(AND('Operating costs'!$B$67&gt;0,'Operating costs'!$B$67&lt;=120,OR(Paths!$D$338="ICE",'Operating costs'!$B$67&lt;=Paths!$E$338),IF('Operating costs'!$B$67=0,C3655=0,AND(C3655&gt;0,'Operating costs'!$B$67&gt;(C3655-1)*12,'Operating costs'!$B$67&lt;=C3655*12))),'Operating costs'!$B$66,0),"n.a."))</f>
        <v>0</v>
      </c>
      <c r="N3655" s="16">
        <f>IF(NOT(Paths!$C$338=1),0,IF(Paths!$P$338="Complete",SUM(G3655:I3655)-J3655-K3655-L3655+M3655+IF(C3655=0,Paths!$F$338,0)+IF(IF(Paths!$E$338=0,C3655=0,AND(C3655&gt;0,Paths!$E$338&gt;(C3655-1)*12,Paths!$E$338&lt;=C3655*12)),VLOOKUP(A3655,'Fleet register'!$A$7:$S$106,16,FALSE),0),"n.a."))</f>
        <v>0</v>
      </c>
      <c r="O3655" s="16">
        <f>IF(NOT(Paths!$C$338=1),0,IF(Paths!$P$338="Complete",N3655-IF(C3655=0,Paths!$F$338,0),"n.a."))</f>
        <v>0</v>
      </c>
      <c r="P3655" s="16">
        <f>IF(NOT(Paths!$C$338=1),0,IF(Paths!$P$338="Complete",O3655+L3655,"n.a."))</f>
        <v>0</v>
      </c>
      <c r="Q3655" s="16">
        <f>IF(NOT(Paths!$C$338=1),0,IF(Paths!$P$338="Complete",N3655*(1+'Operating costs'!$B$54)^-C3655,"n.a."))</f>
        <v>0</v>
      </c>
      <c r="R3655" s="16">
        <f>IF(NOT(Paths!$C$338=1),0,IF(Paths!$P$338="Complete",IF(AND(C3655=0,Paths!$E$338=0),I3655-J3655-K3655+VLOOKUP(A3655,'Fleet register'!$A$7:$S$106,15,FALSE)+VLOOKUP(A3655,'Fleet register'!$A$7:$S$106,16,FALSE),0),"n.a."))</f>
        <v>0</v>
      </c>
      <c r="S3655" s="1">
        <f>IF(NOT(Paths!$C$338=1),0,IF(Paths!$P$338="Complete",IF(C3655=0,0,Paths!$S$338*Paths!$R$338),"n.a."))</f>
        <v>0</v>
      </c>
      <c r="T3655" s="1">
        <f>IF(NOT(Paths!$C$338=1),0,IF(Paths!$P$338="Complete",IF(C3655=0,0,VLOOKUP(A3655,'Fleet register'!$A$7:$S$106,9,FALSE)*Paths!$R$338),"n.a."))</f>
        <v>0</v>
      </c>
    </row>
    <row r="3656" spans="1:20" ht="24" customHeight="1">
      <c r="A3656" s="1" t="str">
        <f>Paths!$A$338</f>
        <v>T083</v>
      </c>
      <c r="B3656" s="1">
        <f>Paths!$B$338</f>
        <v>3</v>
      </c>
      <c r="C3656" s="1">
        <v>8</v>
      </c>
      <c r="D3656" s="1">
        <v>338</v>
      </c>
      <c r="E3656" s="1">
        <f>IF(OR(Paths!$C$338=0,C3656=0),0,MAX(0,MIN(C3656*12,Paths!$E$338)-(C3656-1)*12))</f>
        <v>0</v>
      </c>
      <c r="F3656" s="1">
        <f>IF(OR(Paths!$C$338=0,C3656=0),0,12-E3656)</f>
        <v>0</v>
      </c>
      <c r="G3656" s="16">
        <f>IF(NOT(Paths!$C$338=1),0,IF(Paths!$P$338="Complete",E3656/12*(Paths!$J$338*(1+'Operating costs'!$B$51)^MAX(0,C3656-1)+Paths!$K$338*(1+'Operating costs'!$B$53)^MAX(0,C3656-1)),"n.a."))</f>
        <v>0</v>
      </c>
      <c r="H3656" s="16">
        <f>IF(NOT(Paths!$C$338=1),0,IF(Paths!$P$338="Complete",F3656/12*(Paths!$L$338*(1+IF(Paths!$D$338="EV",'Operating costs'!$B$52,'Operating costs'!$B$51))^MAX(0,C3656-1)+Paths!$M$338*(1+'Operating costs'!$B$53)^MAX(0,C3656-1)),"n.a."))</f>
        <v>0</v>
      </c>
      <c r="I3656" s="16">
        <f>IF(NOT(Paths!$C$338=1),0,IF(Paths!$P$338="Complete",IF(IF(Paths!$E$338=0,C3656=0,AND(C3656&gt;0,Paths!$E$338&gt;(C3656-1)*12,Paths!$E$338&lt;=C3656*12)),Paths!$G$338,0),"n.a."))</f>
        <v>0</v>
      </c>
      <c r="J3656" s="16">
        <f>IF(NOT(Paths!$C$338=1),0,IF(Paths!$P$338="Complete",IF(IF(Paths!$E$338=0,C3656=0,AND(C3656&gt;0,Paths!$E$338&gt;(C3656-1)*12,Paths!$E$338&lt;=C3656*12)),Paths!$H$338,0),"n.a."))</f>
        <v>0</v>
      </c>
      <c r="K3656" s="16">
        <f>IF(NOT(Paths!$C$338=1),0,IF(Paths!$P$338="Complete",IF(IF(Paths!$O$338=0,C3656=0,AND(C3656&gt;0,Paths!$O$338&gt;(C3656-1)*12,Paths!$O$338&lt;=C3656*12)),Paths!$N$338,0),"n.a."))</f>
        <v>0</v>
      </c>
      <c r="L3656" s="16">
        <f>IF(NOT(Paths!$C$338=1),0,IF(Paths!$P$338="Complete",IF(C3656=10,Paths!$I$338,0),"n.a."))</f>
        <v>0</v>
      </c>
      <c r="M3656" s="16">
        <f>IF(NOT(Paths!$C$338=1),0,IF(Paths!$P$338="Complete",IF(AND(Paths!$D$338="EV",Paths!$E$338&lt;120,Paths!$E$338+'Operating costs'!$B$65&gt;Paths!$E$338,Paths!$E$338+'Operating costs'!$B$65&lt;=120,IF(Paths!$E$338+'Operating costs'!$B$65=0,C3656=0,AND(C3656&gt;0,Paths!$E$338+'Operating costs'!$B$65&gt;(C3656-1)*12,Paths!$E$338+'Operating costs'!$B$65&lt;=C3656*12))),'Operating costs'!$B$64,0)+IF(AND('Operating costs'!$B$67&gt;0,'Operating costs'!$B$67&lt;=120,OR(Paths!$D$338="ICE",'Operating costs'!$B$67&lt;=Paths!$E$338),IF('Operating costs'!$B$67=0,C3656=0,AND(C3656&gt;0,'Operating costs'!$B$67&gt;(C3656-1)*12,'Operating costs'!$B$67&lt;=C3656*12))),'Operating costs'!$B$66,0),"n.a."))</f>
        <v>0</v>
      </c>
      <c r="N3656" s="16">
        <f>IF(NOT(Paths!$C$338=1),0,IF(Paths!$P$338="Complete",SUM(G3656:I3656)-J3656-K3656-L3656+M3656+IF(C3656=0,Paths!$F$338,0)+IF(IF(Paths!$E$338=0,C3656=0,AND(C3656&gt;0,Paths!$E$338&gt;(C3656-1)*12,Paths!$E$338&lt;=C3656*12)),VLOOKUP(A3656,'Fleet register'!$A$7:$S$106,16,FALSE),0),"n.a."))</f>
        <v>0</v>
      </c>
      <c r="O3656" s="16">
        <f>IF(NOT(Paths!$C$338=1),0,IF(Paths!$P$338="Complete",N3656-IF(C3656=0,Paths!$F$338,0),"n.a."))</f>
        <v>0</v>
      </c>
      <c r="P3656" s="16">
        <f>IF(NOT(Paths!$C$338=1),0,IF(Paths!$P$338="Complete",O3656+L3656,"n.a."))</f>
        <v>0</v>
      </c>
      <c r="Q3656" s="16">
        <f>IF(NOT(Paths!$C$338=1),0,IF(Paths!$P$338="Complete",N3656*(1+'Operating costs'!$B$54)^-C3656,"n.a."))</f>
        <v>0</v>
      </c>
      <c r="R3656" s="16">
        <f>IF(NOT(Paths!$C$338=1),0,IF(Paths!$P$338="Complete",IF(AND(C3656=0,Paths!$E$338=0),I3656-J3656-K3656+VLOOKUP(A3656,'Fleet register'!$A$7:$S$106,15,FALSE)+VLOOKUP(A3656,'Fleet register'!$A$7:$S$106,16,FALSE),0),"n.a."))</f>
        <v>0</v>
      </c>
      <c r="S3656" s="1">
        <f>IF(NOT(Paths!$C$338=1),0,IF(Paths!$P$338="Complete",IF(C3656=0,0,Paths!$S$338*Paths!$R$338),"n.a."))</f>
        <v>0</v>
      </c>
      <c r="T3656" s="1">
        <f>IF(NOT(Paths!$C$338=1),0,IF(Paths!$P$338="Complete",IF(C3656=0,0,VLOOKUP(A3656,'Fleet register'!$A$7:$S$106,9,FALSE)*Paths!$R$338),"n.a."))</f>
        <v>0</v>
      </c>
    </row>
    <row r="3657" spans="1:20" ht="24" customHeight="1">
      <c r="A3657" s="1" t="str">
        <f>Paths!$A$338</f>
        <v>T083</v>
      </c>
      <c r="B3657" s="1">
        <f>Paths!$B$338</f>
        <v>3</v>
      </c>
      <c r="C3657" s="1">
        <v>9</v>
      </c>
      <c r="D3657" s="1">
        <v>338</v>
      </c>
      <c r="E3657" s="1">
        <f>IF(OR(Paths!$C$338=0,C3657=0),0,MAX(0,MIN(C3657*12,Paths!$E$338)-(C3657-1)*12))</f>
        <v>0</v>
      </c>
      <c r="F3657" s="1">
        <f>IF(OR(Paths!$C$338=0,C3657=0),0,12-E3657)</f>
        <v>0</v>
      </c>
      <c r="G3657" s="16">
        <f>IF(NOT(Paths!$C$338=1),0,IF(Paths!$P$338="Complete",E3657/12*(Paths!$J$338*(1+'Operating costs'!$B$51)^MAX(0,C3657-1)+Paths!$K$338*(1+'Operating costs'!$B$53)^MAX(0,C3657-1)),"n.a."))</f>
        <v>0</v>
      </c>
      <c r="H3657" s="16">
        <f>IF(NOT(Paths!$C$338=1),0,IF(Paths!$P$338="Complete",F3657/12*(Paths!$L$338*(1+IF(Paths!$D$338="EV",'Operating costs'!$B$52,'Operating costs'!$B$51))^MAX(0,C3657-1)+Paths!$M$338*(1+'Operating costs'!$B$53)^MAX(0,C3657-1)),"n.a."))</f>
        <v>0</v>
      </c>
      <c r="I3657" s="16">
        <f>IF(NOT(Paths!$C$338=1),0,IF(Paths!$P$338="Complete",IF(IF(Paths!$E$338=0,C3657=0,AND(C3657&gt;0,Paths!$E$338&gt;(C3657-1)*12,Paths!$E$338&lt;=C3657*12)),Paths!$G$338,0),"n.a."))</f>
        <v>0</v>
      </c>
      <c r="J3657" s="16">
        <f>IF(NOT(Paths!$C$338=1),0,IF(Paths!$P$338="Complete",IF(IF(Paths!$E$338=0,C3657=0,AND(C3657&gt;0,Paths!$E$338&gt;(C3657-1)*12,Paths!$E$338&lt;=C3657*12)),Paths!$H$338,0),"n.a."))</f>
        <v>0</v>
      </c>
      <c r="K3657" s="16">
        <f>IF(NOT(Paths!$C$338=1),0,IF(Paths!$P$338="Complete",IF(IF(Paths!$O$338=0,C3657=0,AND(C3657&gt;0,Paths!$O$338&gt;(C3657-1)*12,Paths!$O$338&lt;=C3657*12)),Paths!$N$338,0),"n.a."))</f>
        <v>0</v>
      </c>
      <c r="L3657" s="16">
        <f>IF(NOT(Paths!$C$338=1),0,IF(Paths!$P$338="Complete",IF(C3657=10,Paths!$I$338,0),"n.a."))</f>
        <v>0</v>
      </c>
      <c r="M3657" s="16">
        <f>IF(NOT(Paths!$C$338=1),0,IF(Paths!$P$338="Complete",IF(AND(Paths!$D$338="EV",Paths!$E$338&lt;120,Paths!$E$338+'Operating costs'!$B$65&gt;Paths!$E$338,Paths!$E$338+'Operating costs'!$B$65&lt;=120,IF(Paths!$E$338+'Operating costs'!$B$65=0,C3657=0,AND(C3657&gt;0,Paths!$E$338+'Operating costs'!$B$65&gt;(C3657-1)*12,Paths!$E$338+'Operating costs'!$B$65&lt;=C3657*12))),'Operating costs'!$B$64,0)+IF(AND('Operating costs'!$B$67&gt;0,'Operating costs'!$B$67&lt;=120,OR(Paths!$D$338="ICE",'Operating costs'!$B$67&lt;=Paths!$E$338),IF('Operating costs'!$B$67=0,C3657=0,AND(C3657&gt;0,'Operating costs'!$B$67&gt;(C3657-1)*12,'Operating costs'!$B$67&lt;=C3657*12))),'Operating costs'!$B$66,0),"n.a."))</f>
        <v>0</v>
      </c>
      <c r="N3657" s="16">
        <f>IF(NOT(Paths!$C$338=1),0,IF(Paths!$P$338="Complete",SUM(G3657:I3657)-J3657-K3657-L3657+M3657+IF(C3657=0,Paths!$F$338,0)+IF(IF(Paths!$E$338=0,C3657=0,AND(C3657&gt;0,Paths!$E$338&gt;(C3657-1)*12,Paths!$E$338&lt;=C3657*12)),VLOOKUP(A3657,'Fleet register'!$A$7:$S$106,16,FALSE),0),"n.a."))</f>
        <v>0</v>
      </c>
      <c r="O3657" s="16">
        <f>IF(NOT(Paths!$C$338=1),0,IF(Paths!$P$338="Complete",N3657-IF(C3657=0,Paths!$F$338,0),"n.a."))</f>
        <v>0</v>
      </c>
      <c r="P3657" s="16">
        <f>IF(NOT(Paths!$C$338=1),0,IF(Paths!$P$338="Complete",O3657+L3657,"n.a."))</f>
        <v>0</v>
      </c>
      <c r="Q3657" s="16">
        <f>IF(NOT(Paths!$C$338=1),0,IF(Paths!$P$338="Complete",N3657*(1+'Operating costs'!$B$54)^-C3657,"n.a."))</f>
        <v>0</v>
      </c>
      <c r="R3657" s="16">
        <f>IF(NOT(Paths!$C$338=1),0,IF(Paths!$P$338="Complete",IF(AND(C3657=0,Paths!$E$338=0),I3657-J3657-K3657+VLOOKUP(A3657,'Fleet register'!$A$7:$S$106,15,FALSE)+VLOOKUP(A3657,'Fleet register'!$A$7:$S$106,16,FALSE),0),"n.a."))</f>
        <v>0</v>
      </c>
      <c r="S3657" s="1">
        <f>IF(NOT(Paths!$C$338=1),0,IF(Paths!$P$338="Complete",IF(C3657=0,0,Paths!$S$338*Paths!$R$338),"n.a."))</f>
        <v>0</v>
      </c>
      <c r="T3657" s="1">
        <f>IF(NOT(Paths!$C$338=1),0,IF(Paths!$P$338="Complete",IF(C3657=0,0,VLOOKUP(A3657,'Fleet register'!$A$7:$S$106,9,FALSE)*Paths!$R$338),"n.a."))</f>
        <v>0</v>
      </c>
    </row>
    <row r="3658" spans="1:20" ht="24" customHeight="1">
      <c r="A3658" s="1" t="str">
        <f>Paths!$A$338</f>
        <v>T083</v>
      </c>
      <c r="B3658" s="1">
        <f>Paths!$B$338</f>
        <v>3</v>
      </c>
      <c r="C3658" s="1">
        <v>10</v>
      </c>
      <c r="D3658" s="1">
        <v>338</v>
      </c>
      <c r="E3658" s="1">
        <f>IF(OR(Paths!$C$338=0,C3658=0),0,MAX(0,MIN(C3658*12,Paths!$E$338)-(C3658-1)*12))</f>
        <v>0</v>
      </c>
      <c r="F3658" s="1">
        <f>IF(OR(Paths!$C$338=0,C3658=0),0,12-E3658)</f>
        <v>0</v>
      </c>
      <c r="G3658" s="16">
        <f>IF(NOT(Paths!$C$338=1),0,IF(Paths!$P$338="Complete",E3658/12*(Paths!$J$338*(1+'Operating costs'!$B$51)^MAX(0,C3658-1)+Paths!$K$338*(1+'Operating costs'!$B$53)^MAX(0,C3658-1)),"n.a."))</f>
        <v>0</v>
      </c>
      <c r="H3658" s="16">
        <f>IF(NOT(Paths!$C$338=1),0,IF(Paths!$P$338="Complete",F3658/12*(Paths!$L$338*(1+IF(Paths!$D$338="EV",'Operating costs'!$B$52,'Operating costs'!$B$51))^MAX(0,C3658-1)+Paths!$M$338*(1+'Operating costs'!$B$53)^MAX(0,C3658-1)),"n.a."))</f>
        <v>0</v>
      </c>
      <c r="I3658" s="16">
        <f>IF(NOT(Paths!$C$338=1),0,IF(Paths!$P$338="Complete",IF(IF(Paths!$E$338=0,C3658=0,AND(C3658&gt;0,Paths!$E$338&gt;(C3658-1)*12,Paths!$E$338&lt;=C3658*12)),Paths!$G$338,0),"n.a."))</f>
        <v>0</v>
      </c>
      <c r="J3658" s="16">
        <f>IF(NOT(Paths!$C$338=1),0,IF(Paths!$P$338="Complete",IF(IF(Paths!$E$338=0,C3658=0,AND(C3658&gt;0,Paths!$E$338&gt;(C3658-1)*12,Paths!$E$338&lt;=C3658*12)),Paths!$H$338,0),"n.a."))</f>
        <v>0</v>
      </c>
      <c r="K3658" s="16">
        <f>IF(NOT(Paths!$C$338=1),0,IF(Paths!$P$338="Complete",IF(IF(Paths!$O$338=0,C3658=0,AND(C3658&gt;0,Paths!$O$338&gt;(C3658-1)*12,Paths!$O$338&lt;=C3658*12)),Paths!$N$338,0),"n.a."))</f>
        <v>0</v>
      </c>
      <c r="L3658" s="16">
        <f>IF(NOT(Paths!$C$338=1),0,IF(Paths!$P$338="Complete",IF(C3658=10,Paths!$I$338,0),"n.a."))</f>
        <v>0</v>
      </c>
      <c r="M3658" s="16">
        <f>IF(NOT(Paths!$C$338=1),0,IF(Paths!$P$338="Complete",IF(AND(Paths!$D$338="EV",Paths!$E$338&lt;120,Paths!$E$338+'Operating costs'!$B$65&gt;Paths!$E$338,Paths!$E$338+'Operating costs'!$B$65&lt;=120,IF(Paths!$E$338+'Operating costs'!$B$65=0,C3658=0,AND(C3658&gt;0,Paths!$E$338+'Operating costs'!$B$65&gt;(C3658-1)*12,Paths!$E$338+'Operating costs'!$B$65&lt;=C3658*12))),'Operating costs'!$B$64,0)+IF(AND('Operating costs'!$B$67&gt;0,'Operating costs'!$B$67&lt;=120,OR(Paths!$D$338="ICE",'Operating costs'!$B$67&lt;=Paths!$E$338),IF('Operating costs'!$B$67=0,C3658=0,AND(C3658&gt;0,'Operating costs'!$B$67&gt;(C3658-1)*12,'Operating costs'!$B$67&lt;=C3658*12))),'Operating costs'!$B$66,0),"n.a."))</f>
        <v>0</v>
      </c>
      <c r="N3658" s="16">
        <f>IF(NOT(Paths!$C$338=1),0,IF(Paths!$P$338="Complete",SUM(G3658:I3658)-J3658-K3658-L3658+M3658+IF(C3658=0,Paths!$F$338,0)+IF(IF(Paths!$E$338=0,C3658=0,AND(C3658&gt;0,Paths!$E$338&gt;(C3658-1)*12,Paths!$E$338&lt;=C3658*12)),VLOOKUP(A3658,'Fleet register'!$A$7:$S$106,16,FALSE),0),"n.a."))</f>
        <v>0</v>
      </c>
      <c r="O3658" s="16">
        <f>IF(NOT(Paths!$C$338=1),0,IF(Paths!$P$338="Complete",N3658-IF(C3658=0,Paths!$F$338,0),"n.a."))</f>
        <v>0</v>
      </c>
      <c r="P3658" s="16">
        <f>IF(NOT(Paths!$C$338=1),0,IF(Paths!$P$338="Complete",O3658+L3658,"n.a."))</f>
        <v>0</v>
      </c>
      <c r="Q3658" s="16">
        <f>IF(NOT(Paths!$C$338=1),0,IF(Paths!$P$338="Complete",N3658*(1+'Operating costs'!$B$54)^-C3658,"n.a."))</f>
        <v>0</v>
      </c>
      <c r="R3658" s="16">
        <f>IF(NOT(Paths!$C$338=1),0,IF(Paths!$P$338="Complete",IF(AND(C3658=0,Paths!$E$338=0),I3658-J3658-K3658+VLOOKUP(A3658,'Fleet register'!$A$7:$S$106,15,FALSE)+VLOOKUP(A3658,'Fleet register'!$A$7:$S$106,16,FALSE),0),"n.a."))</f>
        <v>0</v>
      </c>
      <c r="S3658" s="1">
        <f>IF(NOT(Paths!$C$338=1),0,IF(Paths!$P$338="Complete",IF(C3658=0,0,Paths!$S$338*Paths!$R$338),"n.a."))</f>
        <v>0</v>
      </c>
      <c r="T3658" s="1">
        <f>IF(NOT(Paths!$C$338=1),0,IF(Paths!$P$338="Complete",IF(C3658=0,0,VLOOKUP(A3658,'Fleet register'!$A$7:$S$106,9,FALSE)*Paths!$R$338),"n.a."))</f>
        <v>0</v>
      </c>
    </row>
    <row r="3659" spans="1:20" ht="24" customHeight="1">
      <c r="A3659" s="1" t="str">
        <f>Paths!$A$339</f>
        <v>T084</v>
      </c>
      <c r="B3659" s="1">
        <f>Paths!$B$339</f>
        <v>0</v>
      </c>
      <c r="C3659" s="1">
        <v>0</v>
      </c>
      <c r="D3659" s="1">
        <v>339</v>
      </c>
      <c r="E3659" s="1">
        <f>IF(OR(Paths!$C$339=0,C3659=0),0,MAX(0,MIN(C3659*12,Paths!$E$339)-(C3659-1)*12))</f>
        <v>0</v>
      </c>
      <c r="F3659" s="1">
        <f>IF(OR(Paths!$C$339=0,C3659=0),0,12-E3659)</f>
        <v>0</v>
      </c>
      <c r="G3659" s="16">
        <f>IF(NOT(Paths!$C$339=1),0,IF(Paths!$P$339="Complete",E3659/12*(Paths!$J$339*(1+'Operating costs'!$B$51)^MAX(0,C3659-1)+Paths!$K$339*(1+'Operating costs'!$B$53)^MAX(0,C3659-1)),"n.a."))</f>
        <v>0</v>
      </c>
      <c r="H3659" s="16">
        <f>IF(NOT(Paths!$C$339=1),0,IF(Paths!$P$339="Complete",F3659/12*(Paths!$L$339*(1+IF(Paths!$D$339="EV",'Operating costs'!$B$52,'Operating costs'!$B$51))^MAX(0,C3659-1)+Paths!$M$339*(1+'Operating costs'!$B$53)^MAX(0,C3659-1)),"n.a."))</f>
        <v>0</v>
      </c>
      <c r="I3659" s="16">
        <f>IF(NOT(Paths!$C$339=1),0,IF(Paths!$P$339="Complete",IF(IF(Paths!$E$339=0,C3659=0,AND(C3659&gt;0,Paths!$E$339&gt;(C3659-1)*12,Paths!$E$339&lt;=C3659*12)),Paths!$G$339,0),"n.a."))</f>
        <v>0</v>
      </c>
      <c r="J3659" s="16">
        <f>IF(NOT(Paths!$C$339=1),0,IF(Paths!$P$339="Complete",IF(IF(Paths!$E$339=0,C3659=0,AND(C3659&gt;0,Paths!$E$339&gt;(C3659-1)*12,Paths!$E$339&lt;=C3659*12)),Paths!$H$339,0),"n.a."))</f>
        <v>0</v>
      </c>
      <c r="K3659" s="16">
        <f>IF(NOT(Paths!$C$339=1),0,IF(Paths!$P$339="Complete",IF(IF(Paths!$O$339=0,C3659=0,AND(C3659&gt;0,Paths!$O$339&gt;(C3659-1)*12,Paths!$O$339&lt;=C3659*12)),Paths!$N$339,0),"n.a."))</f>
        <v>0</v>
      </c>
      <c r="L3659" s="16">
        <f>IF(NOT(Paths!$C$339=1),0,IF(Paths!$P$339="Complete",IF(C3659=10,Paths!$I$339,0),"n.a."))</f>
        <v>0</v>
      </c>
      <c r="M3659" s="16">
        <f>IF(NOT(Paths!$C$339=1),0,IF(Paths!$P$339="Complete",IF(AND(Paths!$D$339="EV",Paths!$E$339&lt;120,Paths!$E$339+'Operating costs'!$B$65&gt;Paths!$E$339,Paths!$E$339+'Operating costs'!$B$65&lt;=120,IF(Paths!$E$339+'Operating costs'!$B$65=0,C3659=0,AND(C3659&gt;0,Paths!$E$339+'Operating costs'!$B$65&gt;(C3659-1)*12,Paths!$E$339+'Operating costs'!$B$65&lt;=C3659*12))),'Operating costs'!$B$64,0)+IF(AND('Operating costs'!$B$67&gt;0,'Operating costs'!$B$67&lt;=120,OR(Paths!$D$339="ICE",'Operating costs'!$B$67&lt;=Paths!$E$339),IF('Operating costs'!$B$67=0,C3659=0,AND(C3659&gt;0,'Operating costs'!$B$67&gt;(C3659-1)*12,'Operating costs'!$B$67&lt;=C3659*12))),'Operating costs'!$B$66,0),"n.a."))</f>
        <v>0</v>
      </c>
      <c r="N3659" s="16">
        <f>IF(NOT(Paths!$C$339=1),0,IF(Paths!$P$339="Complete",SUM(G3659:I3659)-J3659-K3659-L3659+M3659+IF(C3659=0,Paths!$F$339,0)+IF(IF(Paths!$E$339=0,C3659=0,AND(C3659&gt;0,Paths!$E$339&gt;(C3659-1)*12,Paths!$E$339&lt;=C3659*12)),VLOOKUP(A3659,'Fleet register'!$A$7:$S$106,16,FALSE),0),"n.a."))</f>
        <v>0</v>
      </c>
      <c r="O3659" s="16">
        <f>IF(NOT(Paths!$C$339=1),0,IF(Paths!$P$339="Complete",N3659-IF(C3659=0,Paths!$F$339,0),"n.a."))</f>
        <v>0</v>
      </c>
      <c r="P3659" s="16">
        <f>IF(NOT(Paths!$C$339=1),0,IF(Paths!$P$339="Complete",O3659+L3659,"n.a."))</f>
        <v>0</v>
      </c>
      <c r="Q3659" s="16">
        <f>IF(NOT(Paths!$C$339=1),0,IF(Paths!$P$339="Complete",N3659*(1+'Operating costs'!$B$54)^-C3659,"n.a."))</f>
        <v>0</v>
      </c>
      <c r="R3659" s="16">
        <f>IF(NOT(Paths!$C$339=1),0,IF(Paths!$P$339="Complete",IF(AND(C3659=0,Paths!$E$339=0),I3659-J3659-K3659+VLOOKUP(A3659,'Fleet register'!$A$7:$S$106,15,FALSE)+VLOOKUP(A3659,'Fleet register'!$A$7:$S$106,16,FALSE),0),"n.a."))</f>
        <v>0</v>
      </c>
      <c r="S3659" s="1">
        <f>IF(NOT(Paths!$C$339=1),0,IF(Paths!$P$339="Complete",IF(C3659=0,0,Paths!$S$339*Paths!$R$339),"n.a."))</f>
        <v>0</v>
      </c>
      <c r="T3659" s="1">
        <f>IF(NOT(Paths!$C$339=1),0,IF(Paths!$P$339="Complete",IF(C3659=0,0,VLOOKUP(A3659,'Fleet register'!$A$7:$S$106,9,FALSE)*Paths!$R$339),"n.a."))</f>
        <v>0</v>
      </c>
    </row>
    <row r="3660" spans="1:20" ht="24" customHeight="1">
      <c r="A3660" s="1" t="str">
        <f>Paths!$A$339</f>
        <v>T084</v>
      </c>
      <c r="B3660" s="1">
        <f>Paths!$B$339</f>
        <v>0</v>
      </c>
      <c r="C3660" s="1">
        <v>1</v>
      </c>
      <c r="D3660" s="1">
        <v>339</v>
      </c>
      <c r="E3660" s="1">
        <f>IF(OR(Paths!$C$339=0,C3660=0),0,MAX(0,MIN(C3660*12,Paths!$E$339)-(C3660-1)*12))</f>
        <v>0</v>
      </c>
      <c r="F3660" s="1">
        <f>IF(OR(Paths!$C$339=0,C3660=0),0,12-E3660)</f>
        <v>0</v>
      </c>
      <c r="G3660" s="16">
        <f>IF(NOT(Paths!$C$339=1),0,IF(Paths!$P$339="Complete",E3660/12*(Paths!$J$339*(1+'Operating costs'!$B$51)^MAX(0,C3660-1)+Paths!$K$339*(1+'Operating costs'!$B$53)^MAX(0,C3660-1)),"n.a."))</f>
        <v>0</v>
      </c>
      <c r="H3660" s="16">
        <f>IF(NOT(Paths!$C$339=1),0,IF(Paths!$P$339="Complete",F3660/12*(Paths!$L$339*(1+IF(Paths!$D$339="EV",'Operating costs'!$B$52,'Operating costs'!$B$51))^MAX(0,C3660-1)+Paths!$M$339*(1+'Operating costs'!$B$53)^MAX(0,C3660-1)),"n.a."))</f>
        <v>0</v>
      </c>
      <c r="I3660" s="16">
        <f>IF(NOT(Paths!$C$339=1),0,IF(Paths!$P$339="Complete",IF(IF(Paths!$E$339=0,C3660=0,AND(C3660&gt;0,Paths!$E$339&gt;(C3660-1)*12,Paths!$E$339&lt;=C3660*12)),Paths!$G$339,0),"n.a."))</f>
        <v>0</v>
      </c>
      <c r="J3660" s="16">
        <f>IF(NOT(Paths!$C$339=1),0,IF(Paths!$P$339="Complete",IF(IF(Paths!$E$339=0,C3660=0,AND(C3660&gt;0,Paths!$E$339&gt;(C3660-1)*12,Paths!$E$339&lt;=C3660*12)),Paths!$H$339,0),"n.a."))</f>
        <v>0</v>
      </c>
      <c r="K3660" s="16">
        <f>IF(NOT(Paths!$C$339=1),0,IF(Paths!$P$339="Complete",IF(IF(Paths!$O$339=0,C3660=0,AND(C3660&gt;0,Paths!$O$339&gt;(C3660-1)*12,Paths!$O$339&lt;=C3660*12)),Paths!$N$339,0),"n.a."))</f>
        <v>0</v>
      </c>
      <c r="L3660" s="16">
        <f>IF(NOT(Paths!$C$339=1),0,IF(Paths!$P$339="Complete",IF(C3660=10,Paths!$I$339,0),"n.a."))</f>
        <v>0</v>
      </c>
      <c r="M3660" s="16">
        <f>IF(NOT(Paths!$C$339=1),0,IF(Paths!$P$339="Complete",IF(AND(Paths!$D$339="EV",Paths!$E$339&lt;120,Paths!$E$339+'Operating costs'!$B$65&gt;Paths!$E$339,Paths!$E$339+'Operating costs'!$B$65&lt;=120,IF(Paths!$E$339+'Operating costs'!$B$65=0,C3660=0,AND(C3660&gt;0,Paths!$E$339+'Operating costs'!$B$65&gt;(C3660-1)*12,Paths!$E$339+'Operating costs'!$B$65&lt;=C3660*12))),'Operating costs'!$B$64,0)+IF(AND('Operating costs'!$B$67&gt;0,'Operating costs'!$B$67&lt;=120,OR(Paths!$D$339="ICE",'Operating costs'!$B$67&lt;=Paths!$E$339),IF('Operating costs'!$B$67=0,C3660=0,AND(C3660&gt;0,'Operating costs'!$B$67&gt;(C3660-1)*12,'Operating costs'!$B$67&lt;=C3660*12))),'Operating costs'!$B$66,0),"n.a."))</f>
        <v>0</v>
      </c>
      <c r="N3660" s="16">
        <f>IF(NOT(Paths!$C$339=1),0,IF(Paths!$P$339="Complete",SUM(G3660:I3660)-J3660-K3660-L3660+M3660+IF(C3660=0,Paths!$F$339,0)+IF(IF(Paths!$E$339=0,C3660=0,AND(C3660&gt;0,Paths!$E$339&gt;(C3660-1)*12,Paths!$E$339&lt;=C3660*12)),VLOOKUP(A3660,'Fleet register'!$A$7:$S$106,16,FALSE),0),"n.a."))</f>
        <v>0</v>
      </c>
      <c r="O3660" s="16">
        <f>IF(NOT(Paths!$C$339=1),0,IF(Paths!$P$339="Complete",N3660-IF(C3660=0,Paths!$F$339,0),"n.a."))</f>
        <v>0</v>
      </c>
      <c r="P3660" s="16">
        <f>IF(NOT(Paths!$C$339=1),0,IF(Paths!$P$339="Complete",O3660+L3660,"n.a."))</f>
        <v>0</v>
      </c>
      <c r="Q3660" s="16">
        <f>IF(NOT(Paths!$C$339=1),0,IF(Paths!$P$339="Complete",N3660*(1+'Operating costs'!$B$54)^-C3660,"n.a."))</f>
        <v>0</v>
      </c>
      <c r="R3660" s="16">
        <f>IF(NOT(Paths!$C$339=1),0,IF(Paths!$P$339="Complete",IF(AND(C3660=0,Paths!$E$339=0),I3660-J3660-K3660+VLOOKUP(A3660,'Fleet register'!$A$7:$S$106,15,FALSE)+VLOOKUP(A3660,'Fleet register'!$A$7:$S$106,16,FALSE),0),"n.a."))</f>
        <v>0</v>
      </c>
      <c r="S3660" s="1">
        <f>IF(NOT(Paths!$C$339=1),0,IF(Paths!$P$339="Complete",IF(C3660=0,0,Paths!$S$339*Paths!$R$339),"n.a."))</f>
        <v>0</v>
      </c>
      <c r="T3660" s="1">
        <f>IF(NOT(Paths!$C$339=1),0,IF(Paths!$P$339="Complete",IF(C3660=0,0,VLOOKUP(A3660,'Fleet register'!$A$7:$S$106,9,FALSE)*Paths!$R$339),"n.a."))</f>
        <v>0</v>
      </c>
    </row>
    <row r="3661" spans="1:20" ht="24" customHeight="1">
      <c r="A3661" s="1" t="str">
        <f>Paths!$A$339</f>
        <v>T084</v>
      </c>
      <c r="B3661" s="1">
        <f>Paths!$B$339</f>
        <v>0</v>
      </c>
      <c r="C3661" s="1">
        <v>2</v>
      </c>
      <c r="D3661" s="1">
        <v>339</v>
      </c>
      <c r="E3661" s="1">
        <f>IF(OR(Paths!$C$339=0,C3661=0),0,MAX(0,MIN(C3661*12,Paths!$E$339)-(C3661-1)*12))</f>
        <v>0</v>
      </c>
      <c r="F3661" s="1">
        <f>IF(OR(Paths!$C$339=0,C3661=0),0,12-E3661)</f>
        <v>0</v>
      </c>
      <c r="G3661" s="16">
        <f>IF(NOT(Paths!$C$339=1),0,IF(Paths!$P$339="Complete",E3661/12*(Paths!$J$339*(1+'Operating costs'!$B$51)^MAX(0,C3661-1)+Paths!$K$339*(1+'Operating costs'!$B$53)^MAX(0,C3661-1)),"n.a."))</f>
        <v>0</v>
      </c>
      <c r="H3661" s="16">
        <f>IF(NOT(Paths!$C$339=1),0,IF(Paths!$P$339="Complete",F3661/12*(Paths!$L$339*(1+IF(Paths!$D$339="EV",'Operating costs'!$B$52,'Operating costs'!$B$51))^MAX(0,C3661-1)+Paths!$M$339*(1+'Operating costs'!$B$53)^MAX(0,C3661-1)),"n.a."))</f>
        <v>0</v>
      </c>
      <c r="I3661" s="16">
        <f>IF(NOT(Paths!$C$339=1),0,IF(Paths!$P$339="Complete",IF(IF(Paths!$E$339=0,C3661=0,AND(C3661&gt;0,Paths!$E$339&gt;(C3661-1)*12,Paths!$E$339&lt;=C3661*12)),Paths!$G$339,0),"n.a."))</f>
        <v>0</v>
      </c>
      <c r="J3661" s="16">
        <f>IF(NOT(Paths!$C$339=1),0,IF(Paths!$P$339="Complete",IF(IF(Paths!$E$339=0,C3661=0,AND(C3661&gt;0,Paths!$E$339&gt;(C3661-1)*12,Paths!$E$339&lt;=C3661*12)),Paths!$H$339,0),"n.a."))</f>
        <v>0</v>
      </c>
      <c r="K3661" s="16">
        <f>IF(NOT(Paths!$C$339=1),0,IF(Paths!$P$339="Complete",IF(IF(Paths!$O$339=0,C3661=0,AND(C3661&gt;0,Paths!$O$339&gt;(C3661-1)*12,Paths!$O$339&lt;=C3661*12)),Paths!$N$339,0),"n.a."))</f>
        <v>0</v>
      </c>
      <c r="L3661" s="16">
        <f>IF(NOT(Paths!$C$339=1),0,IF(Paths!$P$339="Complete",IF(C3661=10,Paths!$I$339,0),"n.a."))</f>
        <v>0</v>
      </c>
      <c r="M3661" s="16">
        <f>IF(NOT(Paths!$C$339=1),0,IF(Paths!$P$339="Complete",IF(AND(Paths!$D$339="EV",Paths!$E$339&lt;120,Paths!$E$339+'Operating costs'!$B$65&gt;Paths!$E$339,Paths!$E$339+'Operating costs'!$B$65&lt;=120,IF(Paths!$E$339+'Operating costs'!$B$65=0,C3661=0,AND(C3661&gt;0,Paths!$E$339+'Operating costs'!$B$65&gt;(C3661-1)*12,Paths!$E$339+'Operating costs'!$B$65&lt;=C3661*12))),'Operating costs'!$B$64,0)+IF(AND('Operating costs'!$B$67&gt;0,'Operating costs'!$B$67&lt;=120,OR(Paths!$D$339="ICE",'Operating costs'!$B$67&lt;=Paths!$E$339),IF('Operating costs'!$B$67=0,C3661=0,AND(C3661&gt;0,'Operating costs'!$B$67&gt;(C3661-1)*12,'Operating costs'!$B$67&lt;=C3661*12))),'Operating costs'!$B$66,0),"n.a."))</f>
        <v>0</v>
      </c>
      <c r="N3661" s="16">
        <f>IF(NOT(Paths!$C$339=1),0,IF(Paths!$P$339="Complete",SUM(G3661:I3661)-J3661-K3661-L3661+M3661+IF(C3661=0,Paths!$F$339,0)+IF(IF(Paths!$E$339=0,C3661=0,AND(C3661&gt;0,Paths!$E$339&gt;(C3661-1)*12,Paths!$E$339&lt;=C3661*12)),VLOOKUP(A3661,'Fleet register'!$A$7:$S$106,16,FALSE),0),"n.a."))</f>
        <v>0</v>
      </c>
      <c r="O3661" s="16">
        <f>IF(NOT(Paths!$C$339=1),0,IF(Paths!$P$339="Complete",N3661-IF(C3661=0,Paths!$F$339,0),"n.a."))</f>
        <v>0</v>
      </c>
      <c r="P3661" s="16">
        <f>IF(NOT(Paths!$C$339=1),0,IF(Paths!$P$339="Complete",O3661+L3661,"n.a."))</f>
        <v>0</v>
      </c>
      <c r="Q3661" s="16">
        <f>IF(NOT(Paths!$C$339=1),0,IF(Paths!$P$339="Complete",N3661*(1+'Operating costs'!$B$54)^-C3661,"n.a."))</f>
        <v>0</v>
      </c>
      <c r="R3661" s="16">
        <f>IF(NOT(Paths!$C$339=1),0,IF(Paths!$P$339="Complete",IF(AND(C3661=0,Paths!$E$339=0),I3661-J3661-K3661+VLOOKUP(A3661,'Fleet register'!$A$7:$S$106,15,FALSE)+VLOOKUP(A3661,'Fleet register'!$A$7:$S$106,16,FALSE),0),"n.a."))</f>
        <v>0</v>
      </c>
      <c r="S3661" s="1">
        <f>IF(NOT(Paths!$C$339=1),0,IF(Paths!$P$339="Complete",IF(C3661=0,0,Paths!$S$339*Paths!$R$339),"n.a."))</f>
        <v>0</v>
      </c>
      <c r="T3661" s="1">
        <f>IF(NOT(Paths!$C$339=1),0,IF(Paths!$P$339="Complete",IF(C3661=0,0,VLOOKUP(A3661,'Fleet register'!$A$7:$S$106,9,FALSE)*Paths!$R$339),"n.a."))</f>
        <v>0</v>
      </c>
    </row>
    <row r="3662" spans="1:20" ht="24" customHeight="1">
      <c r="A3662" s="1" t="str">
        <f>Paths!$A$339</f>
        <v>T084</v>
      </c>
      <c r="B3662" s="1">
        <f>Paths!$B$339</f>
        <v>0</v>
      </c>
      <c r="C3662" s="1">
        <v>3</v>
      </c>
      <c r="D3662" s="1">
        <v>339</v>
      </c>
      <c r="E3662" s="1">
        <f>IF(OR(Paths!$C$339=0,C3662=0),0,MAX(0,MIN(C3662*12,Paths!$E$339)-(C3662-1)*12))</f>
        <v>0</v>
      </c>
      <c r="F3662" s="1">
        <f>IF(OR(Paths!$C$339=0,C3662=0),0,12-E3662)</f>
        <v>0</v>
      </c>
      <c r="G3662" s="16">
        <f>IF(NOT(Paths!$C$339=1),0,IF(Paths!$P$339="Complete",E3662/12*(Paths!$J$339*(1+'Operating costs'!$B$51)^MAX(0,C3662-1)+Paths!$K$339*(1+'Operating costs'!$B$53)^MAX(0,C3662-1)),"n.a."))</f>
        <v>0</v>
      </c>
      <c r="H3662" s="16">
        <f>IF(NOT(Paths!$C$339=1),0,IF(Paths!$P$339="Complete",F3662/12*(Paths!$L$339*(1+IF(Paths!$D$339="EV",'Operating costs'!$B$52,'Operating costs'!$B$51))^MAX(0,C3662-1)+Paths!$M$339*(1+'Operating costs'!$B$53)^MAX(0,C3662-1)),"n.a."))</f>
        <v>0</v>
      </c>
      <c r="I3662" s="16">
        <f>IF(NOT(Paths!$C$339=1),0,IF(Paths!$P$339="Complete",IF(IF(Paths!$E$339=0,C3662=0,AND(C3662&gt;0,Paths!$E$339&gt;(C3662-1)*12,Paths!$E$339&lt;=C3662*12)),Paths!$G$339,0),"n.a."))</f>
        <v>0</v>
      </c>
      <c r="J3662" s="16">
        <f>IF(NOT(Paths!$C$339=1),0,IF(Paths!$P$339="Complete",IF(IF(Paths!$E$339=0,C3662=0,AND(C3662&gt;0,Paths!$E$339&gt;(C3662-1)*12,Paths!$E$339&lt;=C3662*12)),Paths!$H$339,0),"n.a."))</f>
        <v>0</v>
      </c>
      <c r="K3662" s="16">
        <f>IF(NOT(Paths!$C$339=1),0,IF(Paths!$P$339="Complete",IF(IF(Paths!$O$339=0,C3662=0,AND(C3662&gt;0,Paths!$O$339&gt;(C3662-1)*12,Paths!$O$339&lt;=C3662*12)),Paths!$N$339,0),"n.a."))</f>
        <v>0</v>
      </c>
      <c r="L3662" s="16">
        <f>IF(NOT(Paths!$C$339=1),0,IF(Paths!$P$339="Complete",IF(C3662=10,Paths!$I$339,0),"n.a."))</f>
        <v>0</v>
      </c>
      <c r="M3662" s="16">
        <f>IF(NOT(Paths!$C$339=1),0,IF(Paths!$P$339="Complete",IF(AND(Paths!$D$339="EV",Paths!$E$339&lt;120,Paths!$E$339+'Operating costs'!$B$65&gt;Paths!$E$339,Paths!$E$339+'Operating costs'!$B$65&lt;=120,IF(Paths!$E$339+'Operating costs'!$B$65=0,C3662=0,AND(C3662&gt;0,Paths!$E$339+'Operating costs'!$B$65&gt;(C3662-1)*12,Paths!$E$339+'Operating costs'!$B$65&lt;=C3662*12))),'Operating costs'!$B$64,0)+IF(AND('Operating costs'!$B$67&gt;0,'Operating costs'!$B$67&lt;=120,OR(Paths!$D$339="ICE",'Operating costs'!$B$67&lt;=Paths!$E$339),IF('Operating costs'!$B$67=0,C3662=0,AND(C3662&gt;0,'Operating costs'!$B$67&gt;(C3662-1)*12,'Operating costs'!$B$67&lt;=C3662*12))),'Operating costs'!$B$66,0),"n.a."))</f>
        <v>0</v>
      </c>
      <c r="N3662" s="16">
        <f>IF(NOT(Paths!$C$339=1),0,IF(Paths!$P$339="Complete",SUM(G3662:I3662)-J3662-K3662-L3662+M3662+IF(C3662=0,Paths!$F$339,0)+IF(IF(Paths!$E$339=0,C3662=0,AND(C3662&gt;0,Paths!$E$339&gt;(C3662-1)*12,Paths!$E$339&lt;=C3662*12)),VLOOKUP(A3662,'Fleet register'!$A$7:$S$106,16,FALSE),0),"n.a."))</f>
        <v>0</v>
      </c>
      <c r="O3662" s="16">
        <f>IF(NOT(Paths!$C$339=1),0,IF(Paths!$P$339="Complete",N3662-IF(C3662=0,Paths!$F$339,0),"n.a."))</f>
        <v>0</v>
      </c>
      <c r="P3662" s="16">
        <f>IF(NOT(Paths!$C$339=1),0,IF(Paths!$P$339="Complete",O3662+L3662,"n.a."))</f>
        <v>0</v>
      </c>
      <c r="Q3662" s="16">
        <f>IF(NOT(Paths!$C$339=1),0,IF(Paths!$P$339="Complete",N3662*(1+'Operating costs'!$B$54)^-C3662,"n.a."))</f>
        <v>0</v>
      </c>
      <c r="R3662" s="16">
        <f>IF(NOT(Paths!$C$339=1),0,IF(Paths!$P$339="Complete",IF(AND(C3662=0,Paths!$E$339=0),I3662-J3662-K3662+VLOOKUP(A3662,'Fleet register'!$A$7:$S$106,15,FALSE)+VLOOKUP(A3662,'Fleet register'!$A$7:$S$106,16,FALSE),0),"n.a."))</f>
        <v>0</v>
      </c>
      <c r="S3662" s="1">
        <f>IF(NOT(Paths!$C$339=1),0,IF(Paths!$P$339="Complete",IF(C3662=0,0,Paths!$S$339*Paths!$R$339),"n.a."))</f>
        <v>0</v>
      </c>
      <c r="T3662" s="1">
        <f>IF(NOT(Paths!$C$339=1),0,IF(Paths!$P$339="Complete",IF(C3662=0,0,VLOOKUP(A3662,'Fleet register'!$A$7:$S$106,9,FALSE)*Paths!$R$339),"n.a."))</f>
        <v>0</v>
      </c>
    </row>
    <row r="3663" spans="1:20" ht="24" customHeight="1">
      <c r="A3663" s="1" t="str">
        <f>Paths!$A$339</f>
        <v>T084</v>
      </c>
      <c r="B3663" s="1">
        <f>Paths!$B$339</f>
        <v>0</v>
      </c>
      <c r="C3663" s="1">
        <v>4</v>
      </c>
      <c r="D3663" s="1">
        <v>339</v>
      </c>
      <c r="E3663" s="1">
        <f>IF(OR(Paths!$C$339=0,C3663=0),0,MAX(0,MIN(C3663*12,Paths!$E$339)-(C3663-1)*12))</f>
        <v>0</v>
      </c>
      <c r="F3663" s="1">
        <f>IF(OR(Paths!$C$339=0,C3663=0),0,12-E3663)</f>
        <v>0</v>
      </c>
      <c r="G3663" s="16">
        <f>IF(NOT(Paths!$C$339=1),0,IF(Paths!$P$339="Complete",E3663/12*(Paths!$J$339*(1+'Operating costs'!$B$51)^MAX(0,C3663-1)+Paths!$K$339*(1+'Operating costs'!$B$53)^MAX(0,C3663-1)),"n.a."))</f>
        <v>0</v>
      </c>
      <c r="H3663" s="16">
        <f>IF(NOT(Paths!$C$339=1),0,IF(Paths!$P$339="Complete",F3663/12*(Paths!$L$339*(1+IF(Paths!$D$339="EV",'Operating costs'!$B$52,'Operating costs'!$B$51))^MAX(0,C3663-1)+Paths!$M$339*(1+'Operating costs'!$B$53)^MAX(0,C3663-1)),"n.a."))</f>
        <v>0</v>
      </c>
      <c r="I3663" s="16">
        <f>IF(NOT(Paths!$C$339=1),0,IF(Paths!$P$339="Complete",IF(IF(Paths!$E$339=0,C3663=0,AND(C3663&gt;0,Paths!$E$339&gt;(C3663-1)*12,Paths!$E$339&lt;=C3663*12)),Paths!$G$339,0),"n.a."))</f>
        <v>0</v>
      </c>
      <c r="J3663" s="16">
        <f>IF(NOT(Paths!$C$339=1),0,IF(Paths!$P$339="Complete",IF(IF(Paths!$E$339=0,C3663=0,AND(C3663&gt;0,Paths!$E$339&gt;(C3663-1)*12,Paths!$E$339&lt;=C3663*12)),Paths!$H$339,0),"n.a."))</f>
        <v>0</v>
      </c>
      <c r="K3663" s="16">
        <f>IF(NOT(Paths!$C$339=1),0,IF(Paths!$P$339="Complete",IF(IF(Paths!$O$339=0,C3663=0,AND(C3663&gt;0,Paths!$O$339&gt;(C3663-1)*12,Paths!$O$339&lt;=C3663*12)),Paths!$N$339,0),"n.a."))</f>
        <v>0</v>
      </c>
      <c r="L3663" s="16">
        <f>IF(NOT(Paths!$C$339=1),0,IF(Paths!$P$339="Complete",IF(C3663=10,Paths!$I$339,0),"n.a."))</f>
        <v>0</v>
      </c>
      <c r="M3663" s="16">
        <f>IF(NOT(Paths!$C$339=1),0,IF(Paths!$P$339="Complete",IF(AND(Paths!$D$339="EV",Paths!$E$339&lt;120,Paths!$E$339+'Operating costs'!$B$65&gt;Paths!$E$339,Paths!$E$339+'Operating costs'!$B$65&lt;=120,IF(Paths!$E$339+'Operating costs'!$B$65=0,C3663=0,AND(C3663&gt;0,Paths!$E$339+'Operating costs'!$B$65&gt;(C3663-1)*12,Paths!$E$339+'Operating costs'!$B$65&lt;=C3663*12))),'Operating costs'!$B$64,0)+IF(AND('Operating costs'!$B$67&gt;0,'Operating costs'!$B$67&lt;=120,OR(Paths!$D$339="ICE",'Operating costs'!$B$67&lt;=Paths!$E$339),IF('Operating costs'!$B$67=0,C3663=0,AND(C3663&gt;0,'Operating costs'!$B$67&gt;(C3663-1)*12,'Operating costs'!$B$67&lt;=C3663*12))),'Operating costs'!$B$66,0),"n.a."))</f>
        <v>0</v>
      </c>
      <c r="N3663" s="16">
        <f>IF(NOT(Paths!$C$339=1),0,IF(Paths!$P$339="Complete",SUM(G3663:I3663)-J3663-K3663-L3663+M3663+IF(C3663=0,Paths!$F$339,0)+IF(IF(Paths!$E$339=0,C3663=0,AND(C3663&gt;0,Paths!$E$339&gt;(C3663-1)*12,Paths!$E$339&lt;=C3663*12)),VLOOKUP(A3663,'Fleet register'!$A$7:$S$106,16,FALSE),0),"n.a."))</f>
        <v>0</v>
      </c>
      <c r="O3663" s="16">
        <f>IF(NOT(Paths!$C$339=1),0,IF(Paths!$P$339="Complete",N3663-IF(C3663=0,Paths!$F$339,0),"n.a."))</f>
        <v>0</v>
      </c>
      <c r="P3663" s="16">
        <f>IF(NOT(Paths!$C$339=1),0,IF(Paths!$P$339="Complete",O3663+L3663,"n.a."))</f>
        <v>0</v>
      </c>
      <c r="Q3663" s="16">
        <f>IF(NOT(Paths!$C$339=1),0,IF(Paths!$P$339="Complete",N3663*(1+'Operating costs'!$B$54)^-C3663,"n.a."))</f>
        <v>0</v>
      </c>
      <c r="R3663" s="16">
        <f>IF(NOT(Paths!$C$339=1),0,IF(Paths!$P$339="Complete",IF(AND(C3663=0,Paths!$E$339=0),I3663-J3663-K3663+VLOOKUP(A3663,'Fleet register'!$A$7:$S$106,15,FALSE)+VLOOKUP(A3663,'Fleet register'!$A$7:$S$106,16,FALSE),0),"n.a."))</f>
        <v>0</v>
      </c>
      <c r="S3663" s="1">
        <f>IF(NOT(Paths!$C$339=1),0,IF(Paths!$P$339="Complete",IF(C3663=0,0,Paths!$S$339*Paths!$R$339),"n.a."))</f>
        <v>0</v>
      </c>
      <c r="T3663" s="1">
        <f>IF(NOT(Paths!$C$339=1),0,IF(Paths!$P$339="Complete",IF(C3663=0,0,VLOOKUP(A3663,'Fleet register'!$A$7:$S$106,9,FALSE)*Paths!$R$339),"n.a."))</f>
        <v>0</v>
      </c>
    </row>
    <row r="3664" spans="1:20" ht="24" customHeight="1">
      <c r="A3664" s="1" t="str">
        <f>Paths!$A$339</f>
        <v>T084</v>
      </c>
      <c r="B3664" s="1">
        <f>Paths!$B$339</f>
        <v>0</v>
      </c>
      <c r="C3664" s="1">
        <v>5</v>
      </c>
      <c r="D3664" s="1">
        <v>339</v>
      </c>
      <c r="E3664" s="1">
        <f>IF(OR(Paths!$C$339=0,C3664=0),0,MAX(0,MIN(C3664*12,Paths!$E$339)-(C3664-1)*12))</f>
        <v>0</v>
      </c>
      <c r="F3664" s="1">
        <f>IF(OR(Paths!$C$339=0,C3664=0),0,12-E3664)</f>
        <v>0</v>
      </c>
      <c r="G3664" s="16">
        <f>IF(NOT(Paths!$C$339=1),0,IF(Paths!$P$339="Complete",E3664/12*(Paths!$J$339*(1+'Operating costs'!$B$51)^MAX(0,C3664-1)+Paths!$K$339*(1+'Operating costs'!$B$53)^MAX(0,C3664-1)),"n.a."))</f>
        <v>0</v>
      </c>
      <c r="H3664" s="16">
        <f>IF(NOT(Paths!$C$339=1),0,IF(Paths!$P$339="Complete",F3664/12*(Paths!$L$339*(1+IF(Paths!$D$339="EV",'Operating costs'!$B$52,'Operating costs'!$B$51))^MAX(0,C3664-1)+Paths!$M$339*(1+'Operating costs'!$B$53)^MAX(0,C3664-1)),"n.a."))</f>
        <v>0</v>
      </c>
      <c r="I3664" s="16">
        <f>IF(NOT(Paths!$C$339=1),0,IF(Paths!$P$339="Complete",IF(IF(Paths!$E$339=0,C3664=0,AND(C3664&gt;0,Paths!$E$339&gt;(C3664-1)*12,Paths!$E$339&lt;=C3664*12)),Paths!$G$339,0),"n.a."))</f>
        <v>0</v>
      </c>
      <c r="J3664" s="16">
        <f>IF(NOT(Paths!$C$339=1),0,IF(Paths!$P$339="Complete",IF(IF(Paths!$E$339=0,C3664=0,AND(C3664&gt;0,Paths!$E$339&gt;(C3664-1)*12,Paths!$E$339&lt;=C3664*12)),Paths!$H$339,0),"n.a."))</f>
        <v>0</v>
      </c>
      <c r="K3664" s="16">
        <f>IF(NOT(Paths!$C$339=1),0,IF(Paths!$P$339="Complete",IF(IF(Paths!$O$339=0,C3664=0,AND(C3664&gt;0,Paths!$O$339&gt;(C3664-1)*12,Paths!$O$339&lt;=C3664*12)),Paths!$N$339,0),"n.a."))</f>
        <v>0</v>
      </c>
      <c r="L3664" s="16">
        <f>IF(NOT(Paths!$C$339=1),0,IF(Paths!$P$339="Complete",IF(C3664=10,Paths!$I$339,0),"n.a."))</f>
        <v>0</v>
      </c>
      <c r="M3664" s="16">
        <f>IF(NOT(Paths!$C$339=1),0,IF(Paths!$P$339="Complete",IF(AND(Paths!$D$339="EV",Paths!$E$339&lt;120,Paths!$E$339+'Operating costs'!$B$65&gt;Paths!$E$339,Paths!$E$339+'Operating costs'!$B$65&lt;=120,IF(Paths!$E$339+'Operating costs'!$B$65=0,C3664=0,AND(C3664&gt;0,Paths!$E$339+'Operating costs'!$B$65&gt;(C3664-1)*12,Paths!$E$339+'Operating costs'!$B$65&lt;=C3664*12))),'Operating costs'!$B$64,0)+IF(AND('Operating costs'!$B$67&gt;0,'Operating costs'!$B$67&lt;=120,OR(Paths!$D$339="ICE",'Operating costs'!$B$67&lt;=Paths!$E$339),IF('Operating costs'!$B$67=0,C3664=0,AND(C3664&gt;0,'Operating costs'!$B$67&gt;(C3664-1)*12,'Operating costs'!$B$67&lt;=C3664*12))),'Operating costs'!$B$66,0),"n.a."))</f>
        <v>0</v>
      </c>
      <c r="N3664" s="16">
        <f>IF(NOT(Paths!$C$339=1),0,IF(Paths!$P$339="Complete",SUM(G3664:I3664)-J3664-K3664-L3664+M3664+IF(C3664=0,Paths!$F$339,0)+IF(IF(Paths!$E$339=0,C3664=0,AND(C3664&gt;0,Paths!$E$339&gt;(C3664-1)*12,Paths!$E$339&lt;=C3664*12)),VLOOKUP(A3664,'Fleet register'!$A$7:$S$106,16,FALSE),0),"n.a."))</f>
        <v>0</v>
      </c>
      <c r="O3664" s="16">
        <f>IF(NOT(Paths!$C$339=1),0,IF(Paths!$P$339="Complete",N3664-IF(C3664=0,Paths!$F$339,0),"n.a."))</f>
        <v>0</v>
      </c>
      <c r="P3664" s="16">
        <f>IF(NOT(Paths!$C$339=1),0,IF(Paths!$P$339="Complete",O3664+L3664,"n.a."))</f>
        <v>0</v>
      </c>
      <c r="Q3664" s="16">
        <f>IF(NOT(Paths!$C$339=1),0,IF(Paths!$P$339="Complete",N3664*(1+'Operating costs'!$B$54)^-C3664,"n.a."))</f>
        <v>0</v>
      </c>
      <c r="R3664" s="16">
        <f>IF(NOT(Paths!$C$339=1),0,IF(Paths!$P$339="Complete",IF(AND(C3664=0,Paths!$E$339=0),I3664-J3664-K3664+VLOOKUP(A3664,'Fleet register'!$A$7:$S$106,15,FALSE)+VLOOKUP(A3664,'Fleet register'!$A$7:$S$106,16,FALSE),0),"n.a."))</f>
        <v>0</v>
      </c>
      <c r="S3664" s="1">
        <f>IF(NOT(Paths!$C$339=1),0,IF(Paths!$P$339="Complete",IF(C3664=0,0,Paths!$S$339*Paths!$R$339),"n.a."))</f>
        <v>0</v>
      </c>
      <c r="T3664" s="1">
        <f>IF(NOT(Paths!$C$339=1),0,IF(Paths!$P$339="Complete",IF(C3664=0,0,VLOOKUP(A3664,'Fleet register'!$A$7:$S$106,9,FALSE)*Paths!$R$339),"n.a."))</f>
        <v>0</v>
      </c>
    </row>
    <row r="3665" spans="1:20" ht="24" customHeight="1">
      <c r="A3665" s="1" t="str">
        <f>Paths!$A$339</f>
        <v>T084</v>
      </c>
      <c r="B3665" s="1">
        <f>Paths!$B$339</f>
        <v>0</v>
      </c>
      <c r="C3665" s="1">
        <v>6</v>
      </c>
      <c r="D3665" s="1">
        <v>339</v>
      </c>
      <c r="E3665" s="1">
        <f>IF(OR(Paths!$C$339=0,C3665=0),0,MAX(0,MIN(C3665*12,Paths!$E$339)-(C3665-1)*12))</f>
        <v>0</v>
      </c>
      <c r="F3665" s="1">
        <f>IF(OR(Paths!$C$339=0,C3665=0),0,12-E3665)</f>
        <v>0</v>
      </c>
      <c r="G3665" s="16">
        <f>IF(NOT(Paths!$C$339=1),0,IF(Paths!$P$339="Complete",E3665/12*(Paths!$J$339*(1+'Operating costs'!$B$51)^MAX(0,C3665-1)+Paths!$K$339*(1+'Operating costs'!$B$53)^MAX(0,C3665-1)),"n.a."))</f>
        <v>0</v>
      </c>
      <c r="H3665" s="16">
        <f>IF(NOT(Paths!$C$339=1),0,IF(Paths!$P$339="Complete",F3665/12*(Paths!$L$339*(1+IF(Paths!$D$339="EV",'Operating costs'!$B$52,'Operating costs'!$B$51))^MAX(0,C3665-1)+Paths!$M$339*(1+'Operating costs'!$B$53)^MAX(0,C3665-1)),"n.a."))</f>
        <v>0</v>
      </c>
      <c r="I3665" s="16">
        <f>IF(NOT(Paths!$C$339=1),0,IF(Paths!$P$339="Complete",IF(IF(Paths!$E$339=0,C3665=0,AND(C3665&gt;0,Paths!$E$339&gt;(C3665-1)*12,Paths!$E$339&lt;=C3665*12)),Paths!$G$339,0),"n.a."))</f>
        <v>0</v>
      </c>
      <c r="J3665" s="16">
        <f>IF(NOT(Paths!$C$339=1),0,IF(Paths!$P$339="Complete",IF(IF(Paths!$E$339=0,C3665=0,AND(C3665&gt;0,Paths!$E$339&gt;(C3665-1)*12,Paths!$E$339&lt;=C3665*12)),Paths!$H$339,0),"n.a."))</f>
        <v>0</v>
      </c>
      <c r="K3665" s="16">
        <f>IF(NOT(Paths!$C$339=1),0,IF(Paths!$P$339="Complete",IF(IF(Paths!$O$339=0,C3665=0,AND(C3665&gt;0,Paths!$O$339&gt;(C3665-1)*12,Paths!$O$339&lt;=C3665*12)),Paths!$N$339,0),"n.a."))</f>
        <v>0</v>
      </c>
      <c r="L3665" s="16">
        <f>IF(NOT(Paths!$C$339=1),0,IF(Paths!$P$339="Complete",IF(C3665=10,Paths!$I$339,0),"n.a."))</f>
        <v>0</v>
      </c>
      <c r="M3665" s="16">
        <f>IF(NOT(Paths!$C$339=1),0,IF(Paths!$P$339="Complete",IF(AND(Paths!$D$339="EV",Paths!$E$339&lt;120,Paths!$E$339+'Operating costs'!$B$65&gt;Paths!$E$339,Paths!$E$339+'Operating costs'!$B$65&lt;=120,IF(Paths!$E$339+'Operating costs'!$B$65=0,C3665=0,AND(C3665&gt;0,Paths!$E$339+'Operating costs'!$B$65&gt;(C3665-1)*12,Paths!$E$339+'Operating costs'!$B$65&lt;=C3665*12))),'Operating costs'!$B$64,0)+IF(AND('Operating costs'!$B$67&gt;0,'Operating costs'!$B$67&lt;=120,OR(Paths!$D$339="ICE",'Operating costs'!$B$67&lt;=Paths!$E$339),IF('Operating costs'!$B$67=0,C3665=0,AND(C3665&gt;0,'Operating costs'!$B$67&gt;(C3665-1)*12,'Operating costs'!$B$67&lt;=C3665*12))),'Operating costs'!$B$66,0),"n.a."))</f>
        <v>0</v>
      </c>
      <c r="N3665" s="16">
        <f>IF(NOT(Paths!$C$339=1),0,IF(Paths!$P$339="Complete",SUM(G3665:I3665)-J3665-K3665-L3665+M3665+IF(C3665=0,Paths!$F$339,0)+IF(IF(Paths!$E$339=0,C3665=0,AND(C3665&gt;0,Paths!$E$339&gt;(C3665-1)*12,Paths!$E$339&lt;=C3665*12)),VLOOKUP(A3665,'Fleet register'!$A$7:$S$106,16,FALSE),0),"n.a."))</f>
        <v>0</v>
      </c>
      <c r="O3665" s="16">
        <f>IF(NOT(Paths!$C$339=1),0,IF(Paths!$P$339="Complete",N3665-IF(C3665=0,Paths!$F$339,0),"n.a."))</f>
        <v>0</v>
      </c>
      <c r="P3665" s="16">
        <f>IF(NOT(Paths!$C$339=1),0,IF(Paths!$P$339="Complete",O3665+L3665,"n.a."))</f>
        <v>0</v>
      </c>
      <c r="Q3665" s="16">
        <f>IF(NOT(Paths!$C$339=1),0,IF(Paths!$P$339="Complete",N3665*(1+'Operating costs'!$B$54)^-C3665,"n.a."))</f>
        <v>0</v>
      </c>
      <c r="R3665" s="16">
        <f>IF(NOT(Paths!$C$339=1),0,IF(Paths!$P$339="Complete",IF(AND(C3665=0,Paths!$E$339=0),I3665-J3665-K3665+VLOOKUP(A3665,'Fleet register'!$A$7:$S$106,15,FALSE)+VLOOKUP(A3665,'Fleet register'!$A$7:$S$106,16,FALSE),0),"n.a."))</f>
        <v>0</v>
      </c>
      <c r="S3665" s="1">
        <f>IF(NOT(Paths!$C$339=1),0,IF(Paths!$P$339="Complete",IF(C3665=0,0,Paths!$S$339*Paths!$R$339),"n.a."))</f>
        <v>0</v>
      </c>
      <c r="T3665" s="1">
        <f>IF(NOT(Paths!$C$339=1),0,IF(Paths!$P$339="Complete",IF(C3665=0,0,VLOOKUP(A3665,'Fleet register'!$A$7:$S$106,9,FALSE)*Paths!$R$339),"n.a."))</f>
        <v>0</v>
      </c>
    </row>
    <row r="3666" spans="1:20" ht="24" customHeight="1">
      <c r="A3666" s="1" t="str">
        <f>Paths!$A$339</f>
        <v>T084</v>
      </c>
      <c r="B3666" s="1">
        <f>Paths!$B$339</f>
        <v>0</v>
      </c>
      <c r="C3666" s="1">
        <v>7</v>
      </c>
      <c r="D3666" s="1">
        <v>339</v>
      </c>
      <c r="E3666" s="1">
        <f>IF(OR(Paths!$C$339=0,C3666=0),0,MAX(0,MIN(C3666*12,Paths!$E$339)-(C3666-1)*12))</f>
        <v>0</v>
      </c>
      <c r="F3666" s="1">
        <f>IF(OR(Paths!$C$339=0,C3666=0),0,12-E3666)</f>
        <v>0</v>
      </c>
      <c r="G3666" s="16">
        <f>IF(NOT(Paths!$C$339=1),0,IF(Paths!$P$339="Complete",E3666/12*(Paths!$J$339*(1+'Operating costs'!$B$51)^MAX(0,C3666-1)+Paths!$K$339*(1+'Operating costs'!$B$53)^MAX(0,C3666-1)),"n.a."))</f>
        <v>0</v>
      </c>
      <c r="H3666" s="16">
        <f>IF(NOT(Paths!$C$339=1),0,IF(Paths!$P$339="Complete",F3666/12*(Paths!$L$339*(1+IF(Paths!$D$339="EV",'Operating costs'!$B$52,'Operating costs'!$B$51))^MAX(0,C3666-1)+Paths!$M$339*(1+'Operating costs'!$B$53)^MAX(0,C3666-1)),"n.a."))</f>
        <v>0</v>
      </c>
      <c r="I3666" s="16">
        <f>IF(NOT(Paths!$C$339=1),0,IF(Paths!$P$339="Complete",IF(IF(Paths!$E$339=0,C3666=0,AND(C3666&gt;0,Paths!$E$339&gt;(C3666-1)*12,Paths!$E$339&lt;=C3666*12)),Paths!$G$339,0),"n.a."))</f>
        <v>0</v>
      </c>
      <c r="J3666" s="16">
        <f>IF(NOT(Paths!$C$339=1),0,IF(Paths!$P$339="Complete",IF(IF(Paths!$E$339=0,C3666=0,AND(C3666&gt;0,Paths!$E$339&gt;(C3666-1)*12,Paths!$E$339&lt;=C3666*12)),Paths!$H$339,0),"n.a."))</f>
        <v>0</v>
      </c>
      <c r="K3666" s="16">
        <f>IF(NOT(Paths!$C$339=1),0,IF(Paths!$P$339="Complete",IF(IF(Paths!$O$339=0,C3666=0,AND(C3666&gt;0,Paths!$O$339&gt;(C3666-1)*12,Paths!$O$339&lt;=C3666*12)),Paths!$N$339,0),"n.a."))</f>
        <v>0</v>
      </c>
      <c r="L3666" s="16">
        <f>IF(NOT(Paths!$C$339=1),0,IF(Paths!$P$339="Complete",IF(C3666=10,Paths!$I$339,0),"n.a."))</f>
        <v>0</v>
      </c>
      <c r="M3666" s="16">
        <f>IF(NOT(Paths!$C$339=1),0,IF(Paths!$P$339="Complete",IF(AND(Paths!$D$339="EV",Paths!$E$339&lt;120,Paths!$E$339+'Operating costs'!$B$65&gt;Paths!$E$339,Paths!$E$339+'Operating costs'!$B$65&lt;=120,IF(Paths!$E$339+'Operating costs'!$B$65=0,C3666=0,AND(C3666&gt;0,Paths!$E$339+'Operating costs'!$B$65&gt;(C3666-1)*12,Paths!$E$339+'Operating costs'!$B$65&lt;=C3666*12))),'Operating costs'!$B$64,0)+IF(AND('Operating costs'!$B$67&gt;0,'Operating costs'!$B$67&lt;=120,OR(Paths!$D$339="ICE",'Operating costs'!$B$67&lt;=Paths!$E$339),IF('Operating costs'!$B$67=0,C3666=0,AND(C3666&gt;0,'Operating costs'!$B$67&gt;(C3666-1)*12,'Operating costs'!$B$67&lt;=C3666*12))),'Operating costs'!$B$66,0),"n.a."))</f>
        <v>0</v>
      </c>
      <c r="N3666" s="16">
        <f>IF(NOT(Paths!$C$339=1),0,IF(Paths!$P$339="Complete",SUM(G3666:I3666)-J3666-K3666-L3666+M3666+IF(C3666=0,Paths!$F$339,0)+IF(IF(Paths!$E$339=0,C3666=0,AND(C3666&gt;0,Paths!$E$339&gt;(C3666-1)*12,Paths!$E$339&lt;=C3666*12)),VLOOKUP(A3666,'Fleet register'!$A$7:$S$106,16,FALSE),0),"n.a."))</f>
        <v>0</v>
      </c>
      <c r="O3666" s="16">
        <f>IF(NOT(Paths!$C$339=1),0,IF(Paths!$P$339="Complete",N3666-IF(C3666=0,Paths!$F$339,0),"n.a."))</f>
        <v>0</v>
      </c>
      <c r="P3666" s="16">
        <f>IF(NOT(Paths!$C$339=1),0,IF(Paths!$P$339="Complete",O3666+L3666,"n.a."))</f>
        <v>0</v>
      </c>
      <c r="Q3666" s="16">
        <f>IF(NOT(Paths!$C$339=1),0,IF(Paths!$P$339="Complete",N3666*(1+'Operating costs'!$B$54)^-C3666,"n.a."))</f>
        <v>0</v>
      </c>
      <c r="R3666" s="16">
        <f>IF(NOT(Paths!$C$339=1),0,IF(Paths!$P$339="Complete",IF(AND(C3666=0,Paths!$E$339=0),I3666-J3666-K3666+VLOOKUP(A3666,'Fleet register'!$A$7:$S$106,15,FALSE)+VLOOKUP(A3666,'Fleet register'!$A$7:$S$106,16,FALSE),0),"n.a."))</f>
        <v>0</v>
      </c>
      <c r="S3666" s="1">
        <f>IF(NOT(Paths!$C$339=1),0,IF(Paths!$P$339="Complete",IF(C3666=0,0,Paths!$S$339*Paths!$R$339),"n.a."))</f>
        <v>0</v>
      </c>
      <c r="T3666" s="1">
        <f>IF(NOT(Paths!$C$339=1),0,IF(Paths!$P$339="Complete",IF(C3666=0,0,VLOOKUP(A3666,'Fleet register'!$A$7:$S$106,9,FALSE)*Paths!$R$339),"n.a."))</f>
        <v>0</v>
      </c>
    </row>
    <row r="3667" spans="1:20" ht="24" customHeight="1">
      <c r="A3667" s="1" t="str">
        <f>Paths!$A$339</f>
        <v>T084</v>
      </c>
      <c r="B3667" s="1">
        <f>Paths!$B$339</f>
        <v>0</v>
      </c>
      <c r="C3667" s="1">
        <v>8</v>
      </c>
      <c r="D3667" s="1">
        <v>339</v>
      </c>
      <c r="E3667" s="1">
        <f>IF(OR(Paths!$C$339=0,C3667=0),0,MAX(0,MIN(C3667*12,Paths!$E$339)-(C3667-1)*12))</f>
        <v>0</v>
      </c>
      <c r="F3667" s="1">
        <f>IF(OR(Paths!$C$339=0,C3667=0),0,12-E3667)</f>
        <v>0</v>
      </c>
      <c r="G3667" s="16">
        <f>IF(NOT(Paths!$C$339=1),0,IF(Paths!$P$339="Complete",E3667/12*(Paths!$J$339*(1+'Operating costs'!$B$51)^MAX(0,C3667-1)+Paths!$K$339*(1+'Operating costs'!$B$53)^MAX(0,C3667-1)),"n.a."))</f>
        <v>0</v>
      </c>
      <c r="H3667" s="16">
        <f>IF(NOT(Paths!$C$339=1),0,IF(Paths!$P$339="Complete",F3667/12*(Paths!$L$339*(1+IF(Paths!$D$339="EV",'Operating costs'!$B$52,'Operating costs'!$B$51))^MAX(0,C3667-1)+Paths!$M$339*(1+'Operating costs'!$B$53)^MAX(0,C3667-1)),"n.a."))</f>
        <v>0</v>
      </c>
      <c r="I3667" s="16">
        <f>IF(NOT(Paths!$C$339=1),0,IF(Paths!$P$339="Complete",IF(IF(Paths!$E$339=0,C3667=0,AND(C3667&gt;0,Paths!$E$339&gt;(C3667-1)*12,Paths!$E$339&lt;=C3667*12)),Paths!$G$339,0),"n.a."))</f>
        <v>0</v>
      </c>
      <c r="J3667" s="16">
        <f>IF(NOT(Paths!$C$339=1),0,IF(Paths!$P$339="Complete",IF(IF(Paths!$E$339=0,C3667=0,AND(C3667&gt;0,Paths!$E$339&gt;(C3667-1)*12,Paths!$E$339&lt;=C3667*12)),Paths!$H$339,0),"n.a."))</f>
        <v>0</v>
      </c>
      <c r="K3667" s="16">
        <f>IF(NOT(Paths!$C$339=1),0,IF(Paths!$P$339="Complete",IF(IF(Paths!$O$339=0,C3667=0,AND(C3667&gt;0,Paths!$O$339&gt;(C3667-1)*12,Paths!$O$339&lt;=C3667*12)),Paths!$N$339,0),"n.a."))</f>
        <v>0</v>
      </c>
      <c r="L3667" s="16">
        <f>IF(NOT(Paths!$C$339=1),0,IF(Paths!$P$339="Complete",IF(C3667=10,Paths!$I$339,0),"n.a."))</f>
        <v>0</v>
      </c>
      <c r="M3667" s="16">
        <f>IF(NOT(Paths!$C$339=1),0,IF(Paths!$P$339="Complete",IF(AND(Paths!$D$339="EV",Paths!$E$339&lt;120,Paths!$E$339+'Operating costs'!$B$65&gt;Paths!$E$339,Paths!$E$339+'Operating costs'!$B$65&lt;=120,IF(Paths!$E$339+'Operating costs'!$B$65=0,C3667=0,AND(C3667&gt;0,Paths!$E$339+'Operating costs'!$B$65&gt;(C3667-1)*12,Paths!$E$339+'Operating costs'!$B$65&lt;=C3667*12))),'Operating costs'!$B$64,0)+IF(AND('Operating costs'!$B$67&gt;0,'Operating costs'!$B$67&lt;=120,OR(Paths!$D$339="ICE",'Operating costs'!$B$67&lt;=Paths!$E$339),IF('Operating costs'!$B$67=0,C3667=0,AND(C3667&gt;0,'Operating costs'!$B$67&gt;(C3667-1)*12,'Operating costs'!$B$67&lt;=C3667*12))),'Operating costs'!$B$66,0),"n.a."))</f>
        <v>0</v>
      </c>
      <c r="N3667" s="16">
        <f>IF(NOT(Paths!$C$339=1),0,IF(Paths!$P$339="Complete",SUM(G3667:I3667)-J3667-K3667-L3667+M3667+IF(C3667=0,Paths!$F$339,0)+IF(IF(Paths!$E$339=0,C3667=0,AND(C3667&gt;0,Paths!$E$339&gt;(C3667-1)*12,Paths!$E$339&lt;=C3667*12)),VLOOKUP(A3667,'Fleet register'!$A$7:$S$106,16,FALSE),0),"n.a."))</f>
        <v>0</v>
      </c>
      <c r="O3667" s="16">
        <f>IF(NOT(Paths!$C$339=1),0,IF(Paths!$P$339="Complete",N3667-IF(C3667=0,Paths!$F$339,0),"n.a."))</f>
        <v>0</v>
      </c>
      <c r="P3667" s="16">
        <f>IF(NOT(Paths!$C$339=1),0,IF(Paths!$P$339="Complete",O3667+L3667,"n.a."))</f>
        <v>0</v>
      </c>
      <c r="Q3667" s="16">
        <f>IF(NOT(Paths!$C$339=1),0,IF(Paths!$P$339="Complete",N3667*(1+'Operating costs'!$B$54)^-C3667,"n.a."))</f>
        <v>0</v>
      </c>
      <c r="R3667" s="16">
        <f>IF(NOT(Paths!$C$339=1),0,IF(Paths!$P$339="Complete",IF(AND(C3667=0,Paths!$E$339=0),I3667-J3667-K3667+VLOOKUP(A3667,'Fleet register'!$A$7:$S$106,15,FALSE)+VLOOKUP(A3667,'Fleet register'!$A$7:$S$106,16,FALSE),0),"n.a."))</f>
        <v>0</v>
      </c>
      <c r="S3667" s="1">
        <f>IF(NOT(Paths!$C$339=1),0,IF(Paths!$P$339="Complete",IF(C3667=0,0,Paths!$S$339*Paths!$R$339),"n.a."))</f>
        <v>0</v>
      </c>
      <c r="T3667" s="1">
        <f>IF(NOT(Paths!$C$339=1),0,IF(Paths!$P$339="Complete",IF(C3667=0,0,VLOOKUP(A3667,'Fleet register'!$A$7:$S$106,9,FALSE)*Paths!$R$339),"n.a."))</f>
        <v>0</v>
      </c>
    </row>
    <row r="3668" spans="1:20" ht="24" customHeight="1">
      <c r="A3668" s="1" t="str">
        <f>Paths!$A$339</f>
        <v>T084</v>
      </c>
      <c r="B3668" s="1">
        <f>Paths!$B$339</f>
        <v>0</v>
      </c>
      <c r="C3668" s="1">
        <v>9</v>
      </c>
      <c r="D3668" s="1">
        <v>339</v>
      </c>
      <c r="E3668" s="1">
        <f>IF(OR(Paths!$C$339=0,C3668=0),0,MAX(0,MIN(C3668*12,Paths!$E$339)-(C3668-1)*12))</f>
        <v>0</v>
      </c>
      <c r="F3668" s="1">
        <f>IF(OR(Paths!$C$339=0,C3668=0),0,12-E3668)</f>
        <v>0</v>
      </c>
      <c r="G3668" s="16">
        <f>IF(NOT(Paths!$C$339=1),0,IF(Paths!$P$339="Complete",E3668/12*(Paths!$J$339*(1+'Operating costs'!$B$51)^MAX(0,C3668-1)+Paths!$K$339*(1+'Operating costs'!$B$53)^MAX(0,C3668-1)),"n.a."))</f>
        <v>0</v>
      </c>
      <c r="H3668" s="16">
        <f>IF(NOT(Paths!$C$339=1),0,IF(Paths!$P$339="Complete",F3668/12*(Paths!$L$339*(1+IF(Paths!$D$339="EV",'Operating costs'!$B$52,'Operating costs'!$B$51))^MAX(0,C3668-1)+Paths!$M$339*(1+'Operating costs'!$B$53)^MAX(0,C3668-1)),"n.a."))</f>
        <v>0</v>
      </c>
      <c r="I3668" s="16">
        <f>IF(NOT(Paths!$C$339=1),0,IF(Paths!$P$339="Complete",IF(IF(Paths!$E$339=0,C3668=0,AND(C3668&gt;0,Paths!$E$339&gt;(C3668-1)*12,Paths!$E$339&lt;=C3668*12)),Paths!$G$339,0),"n.a."))</f>
        <v>0</v>
      </c>
      <c r="J3668" s="16">
        <f>IF(NOT(Paths!$C$339=1),0,IF(Paths!$P$339="Complete",IF(IF(Paths!$E$339=0,C3668=0,AND(C3668&gt;0,Paths!$E$339&gt;(C3668-1)*12,Paths!$E$339&lt;=C3668*12)),Paths!$H$339,0),"n.a."))</f>
        <v>0</v>
      </c>
      <c r="K3668" s="16">
        <f>IF(NOT(Paths!$C$339=1),0,IF(Paths!$P$339="Complete",IF(IF(Paths!$O$339=0,C3668=0,AND(C3668&gt;0,Paths!$O$339&gt;(C3668-1)*12,Paths!$O$339&lt;=C3668*12)),Paths!$N$339,0),"n.a."))</f>
        <v>0</v>
      </c>
      <c r="L3668" s="16">
        <f>IF(NOT(Paths!$C$339=1),0,IF(Paths!$P$339="Complete",IF(C3668=10,Paths!$I$339,0),"n.a."))</f>
        <v>0</v>
      </c>
      <c r="M3668" s="16">
        <f>IF(NOT(Paths!$C$339=1),0,IF(Paths!$P$339="Complete",IF(AND(Paths!$D$339="EV",Paths!$E$339&lt;120,Paths!$E$339+'Operating costs'!$B$65&gt;Paths!$E$339,Paths!$E$339+'Operating costs'!$B$65&lt;=120,IF(Paths!$E$339+'Operating costs'!$B$65=0,C3668=0,AND(C3668&gt;0,Paths!$E$339+'Operating costs'!$B$65&gt;(C3668-1)*12,Paths!$E$339+'Operating costs'!$B$65&lt;=C3668*12))),'Operating costs'!$B$64,0)+IF(AND('Operating costs'!$B$67&gt;0,'Operating costs'!$B$67&lt;=120,OR(Paths!$D$339="ICE",'Operating costs'!$B$67&lt;=Paths!$E$339),IF('Operating costs'!$B$67=0,C3668=0,AND(C3668&gt;0,'Operating costs'!$B$67&gt;(C3668-1)*12,'Operating costs'!$B$67&lt;=C3668*12))),'Operating costs'!$B$66,0),"n.a."))</f>
        <v>0</v>
      </c>
      <c r="N3668" s="16">
        <f>IF(NOT(Paths!$C$339=1),0,IF(Paths!$P$339="Complete",SUM(G3668:I3668)-J3668-K3668-L3668+M3668+IF(C3668=0,Paths!$F$339,0)+IF(IF(Paths!$E$339=0,C3668=0,AND(C3668&gt;0,Paths!$E$339&gt;(C3668-1)*12,Paths!$E$339&lt;=C3668*12)),VLOOKUP(A3668,'Fleet register'!$A$7:$S$106,16,FALSE),0),"n.a."))</f>
        <v>0</v>
      </c>
      <c r="O3668" s="16">
        <f>IF(NOT(Paths!$C$339=1),0,IF(Paths!$P$339="Complete",N3668-IF(C3668=0,Paths!$F$339,0),"n.a."))</f>
        <v>0</v>
      </c>
      <c r="P3668" s="16">
        <f>IF(NOT(Paths!$C$339=1),0,IF(Paths!$P$339="Complete",O3668+L3668,"n.a."))</f>
        <v>0</v>
      </c>
      <c r="Q3668" s="16">
        <f>IF(NOT(Paths!$C$339=1),0,IF(Paths!$P$339="Complete",N3668*(1+'Operating costs'!$B$54)^-C3668,"n.a."))</f>
        <v>0</v>
      </c>
      <c r="R3668" s="16">
        <f>IF(NOT(Paths!$C$339=1),0,IF(Paths!$P$339="Complete",IF(AND(C3668=0,Paths!$E$339=0),I3668-J3668-K3668+VLOOKUP(A3668,'Fleet register'!$A$7:$S$106,15,FALSE)+VLOOKUP(A3668,'Fleet register'!$A$7:$S$106,16,FALSE),0),"n.a."))</f>
        <v>0</v>
      </c>
      <c r="S3668" s="1">
        <f>IF(NOT(Paths!$C$339=1),0,IF(Paths!$P$339="Complete",IF(C3668=0,0,Paths!$S$339*Paths!$R$339),"n.a."))</f>
        <v>0</v>
      </c>
      <c r="T3668" s="1">
        <f>IF(NOT(Paths!$C$339=1),0,IF(Paths!$P$339="Complete",IF(C3668=0,0,VLOOKUP(A3668,'Fleet register'!$A$7:$S$106,9,FALSE)*Paths!$R$339),"n.a."))</f>
        <v>0</v>
      </c>
    </row>
    <row r="3669" spans="1:20" ht="24" customHeight="1">
      <c r="A3669" s="1" t="str">
        <f>Paths!$A$339</f>
        <v>T084</v>
      </c>
      <c r="B3669" s="1">
        <f>Paths!$B$339</f>
        <v>0</v>
      </c>
      <c r="C3669" s="1">
        <v>10</v>
      </c>
      <c r="D3669" s="1">
        <v>339</v>
      </c>
      <c r="E3669" s="1">
        <f>IF(OR(Paths!$C$339=0,C3669=0),0,MAX(0,MIN(C3669*12,Paths!$E$339)-(C3669-1)*12))</f>
        <v>0</v>
      </c>
      <c r="F3669" s="1">
        <f>IF(OR(Paths!$C$339=0,C3669=0),0,12-E3669)</f>
        <v>0</v>
      </c>
      <c r="G3669" s="16">
        <f>IF(NOT(Paths!$C$339=1),0,IF(Paths!$P$339="Complete",E3669/12*(Paths!$J$339*(1+'Operating costs'!$B$51)^MAX(0,C3669-1)+Paths!$K$339*(1+'Operating costs'!$B$53)^MAX(0,C3669-1)),"n.a."))</f>
        <v>0</v>
      </c>
      <c r="H3669" s="16">
        <f>IF(NOT(Paths!$C$339=1),0,IF(Paths!$P$339="Complete",F3669/12*(Paths!$L$339*(1+IF(Paths!$D$339="EV",'Operating costs'!$B$52,'Operating costs'!$B$51))^MAX(0,C3669-1)+Paths!$M$339*(1+'Operating costs'!$B$53)^MAX(0,C3669-1)),"n.a."))</f>
        <v>0</v>
      </c>
      <c r="I3669" s="16">
        <f>IF(NOT(Paths!$C$339=1),0,IF(Paths!$P$339="Complete",IF(IF(Paths!$E$339=0,C3669=0,AND(C3669&gt;0,Paths!$E$339&gt;(C3669-1)*12,Paths!$E$339&lt;=C3669*12)),Paths!$G$339,0),"n.a."))</f>
        <v>0</v>
      </c>
      <c r="J3669" s="16">
        <f>IF(NOT(Paths!$C$339=1),0,IF(Paths!$P$339="Complete",IF(IF(Paths!$E$339=0,C3669=0,AND(C3669&gt;0,Paths!$E$339&gt;(C3669-1)*12,Paths!$E$339&lt;=C3669*12)),Paths!$H$339,0),"n.a."))</f>
        <v>0</v>
      </c>
      <c r="K3669" s="16">
        <f>IF(NOT(Paths!$C$339=1),0,IF(Paths!$P$339="Complete",IF(IF(Paths!$O$339=0,C3669=0,AND(C3669&gt;0,Paths!$O$339&gt;(C3669-1)*12,Paths!$O$339&lt;=C3669*12)),Paths!$N$339,0),"n.a."))</f>
        <v>0</v>
      </c>
      <c r="L3669" s="16">
        <f>IF(NOT(Paths!$C$339=1),0,IF(Paths!$P$339="Complete",IF(C3669=10,Paths!$I$339,0),"n.a."))</f>
        <v>0</v>
      </c>
      <c r="M3669" s="16">
        <f>IF(NOT(Paths!$C$339=1),0,IF(Paths!$P$339="Complete",IF(AND(Paths!$D$339="EV",Paths!$E$339&lt;120,Paths!$E$339+'Operating costs'!$B$65&gt;Paths!$E$339,Paths!$E$339+'Operating costs'!$B$65&lt;=120,IF(Paths!$E$339+'Operating costs'!$B$65=0,C3669=0,AND(C3669&gt;0,Paths!$E$339+'Operating costs'!$B$65&gt;(C3669-1)*12,Paths!$E$339+'Operating costs'!$B$65&lt;=C3669*12))),'Operating costs'!$B$64,0)+IF(AND('Operating costs'!$B$67&gt;0,'Operating costs'!$B$67&lt;=120,OR(Paths!$D$339="ICE",'Operating costs'!$B$67&lt;=Paths!$E$339),IF('Operating costs'!$B$67=0,C3669=0,AND(C3669&gt;0,'Operating costs'!$B$67&gt;(C3669-1)*12,'Operating costs'!$B$67&lt;=C3669*12))),'Operating costs'!$B$66,0),"n.a."))</f>
        <v>0</v>
      </c>
      <c r="N3669" s="16">
        <f>IF(NOT(Paths!$C$339=1),0,IF(Paths!$P$339="Complete",SUM(G3669:I3669)-J3669-K3669-L3669+M3669+IF(C3669=0,Paths!$F$339,0)+IF(IF(Paths!$E$339=0,C3669=0,AND(C3669&gt;0,Paths!$E$339&gt;(C3669-1)*12,Paths!$E$339&lt;=C3669*12)),VLOOKUP(A3669,'Fleet register'!$A$7:$S$106,16,FALSE),0),"n.a."))</f>
        <v>0</v>
      </c>
      <c r="O3669" s="16">
        <f>IF(NOT(Paths!$C$339=1),0,IF(Paths!$P$339="Complete",N3669-IF(C3669=0,Paths!$F$339,0),"n.a."))</f>
        <v>0</v>
      </c>
      <c r="P3669" s="16">
        <f>IF(NOT(Paths!$C$339=1),0,IF(Paths!$P$339="Complete",O3669+L3669,"n.a."))</f>
        <v>0</v>
      </c>
      <c r="Q3669" s="16">
        <f>IF(NOT(Paths!$C$339=1),0,IF(Paths!$P$339="Complete",N3669*(1+'Operating costs'!$B$54)^-C3669,"n.a."))</f>
        <v>0</v>
      </c>
      <c r="R3669" s="16">
        <f>IF(NOT(Paths!$C$339=1),0,IF(Paths!$P$339="Complete",IF(AND(C3669=0,Paths!$E$339=0),I3669-J3669-K3669+VLOOKUP(A3669,'Fleet register'!$A$7:$S$106,15,FALSE)+VLOOKUP(A3669,'Fleet register'!$A$7:$S$106,16,FALSE),0),"n.a."))</f>
        <v>0</v>
      </c>
      <c r="S3669" s="1">
        <f>IF(NOT(Paths!$C$339=1),0,IF(Paths!$P$339="Complete",IF(C3669=0,0,Paths!$S$339*Paths!$R$339),"n.a."))</f>
        <v>0</v>
      </c>
      <c r="T3669" s="1">
        <f>IF(NOT(Paths!$C$339=1),0,IF(Paths!$P$339="Complete",IF(C3669=0,0,VLOOKUP(A3669,'Fleet register'!$A$7:$S$106,9,FALSE)*Paths!$R$339),"n.a."))</f>
        <v>0</v>
      </c>
    </row>
    <row r="3670" spans="1:20" ht="24" customHeight="1">
      <c r="A3670" s="1" t="str">
        <f>Paths!$A$340</f>
        <v>T084</v>
      </c>
      <c r="B3670" s="1">
        <f>Paths!$B$340</f>
        <v>1</v>
      </c>
      <c r="C3670" s="1">
        <v>0</v>
      </c>
      <c r="D3670" s="1">
        <v>340</v>
      </c>
      <c r="E3670" s="1">
        <f>IF(OR(Paths!$C$340=0,C3670=0),0,MAX(0,MIN(C3670*12,Paths!$E$340)-(C3670-1)*12))</f>
        <v>0</v>
      </c>
      <c r="F3670" s="1">
        <f>IF(OR(Paths!$C$340=0,C3670=0),0,12-E3670)</f>
        <v>0</v>
      </c>
      <c r="G3670" s="16">
        <f>IF(NOT(Paths!$C$340=1),0,IF(Paths!$P$340="Complete",E3670/12*(Paths!$J$340*(1+'Operating costs'!$B$51)^MAX(0,C3670-1)+Paths!$K$340*(1+'Operating costs'!$B$53)^MAX(0,C3670-1)),"n.a."))</f>
        <v>0</v>
      </c>
      <c r="H3670" s="16">
        <f>IF(NOT(Paths!$C$340=1),0,IF(Paths!$P$340="Complete",F3670/12*(Paths!$L$340*(1+IF(Paths!$D$340="EV",'Operating costs'!$B$52,'Operating costs'!$B$51))^MAX(0,C3670-1)+Paths!$M$340*(1+'Operating costs'!$B$53)^MAX(0,C3670-1)),"n.a."))</f>
        <v>0</v>
      </c>
      <c r="I3670" s="16">
        <f>IF(NOT(Paths!$C$340=1),0,IF(Paths!$P$340="Complete",IF(IF(Paths!$E$340=0,C3670=0,AND(C3670&gt;0,Paths!$E$340&gt;(C3670-1)*12,Paths!$E$340&lt;=C3670*12)),Paths!$G$340,0),"n.a."))</f>
        <v>0</v>
      </c>
      <c r="J3670" s="16">
        <f>IF(NOT(Paths!$C$340=1),0,IF(Paths!$P$340="Complete",IF(IF(Paths!$E$340=0,C3670=0,AND(C3670&gt;0,Paths!$E$340&gt;(C3670-1)*12,Paths!$E$340&lt;=C3670*12)),Paths!$H$340,0),"n.a."))</f>
        <v>0</v>
      </c>
      <c r="K3670" s="16">
        <f>IF(NOT(Paths!$C$340=1),0,IF(Paths!$P$340="Complete",IF(IF(Paths!$O$340=0,C3670=0,AND(C3670&gt;0,Paths!$O$340&gt;(C3670-1)*12,Paths!$O$340&lt;=C3670*12)),Paths!$N$340,0),"n.a."))</f>
        <v>0</v>
      </c>
      <c r="L3670" s="16">
        <f>IF(NOT(Paths!$C$340=1),0,IF(Paths!$P$340="Complete",IF(C3670=10,Paths!$I$340,0),"n.a."))</f>
        <v>0</v>
      </c>
      <c r="M3670" s="16">
        <f>IF(NOT(Paths!$C$340=1),0,IF(Paths!$P$340="Complete",IF(AND(Paths!$D$340="EV",Paths!$E$340&lt;120,Paths!$E$340+'Operating costs'!$B$65&gt;Paths!$E$340,Paths!$E$340+'Operating costs'!$B$65&lt;=120,IF(Paths!$E$340+'Operating costs'!$B$65=0,C3670=0,AND(C3670&gt;0,Paths!$E$340+'Operating costs'!$B$65&gt;(C3670-1)*12,Paths!$E$340+'Operating costs'!$B$65&lt;=C3670*12))),'Operating costs'!$B$64,0)+IF(AND('Operating costs'!$B$67&gt;0,'Operating costs'!$B$67&lt;=120,OR(Paths!$D$340="ICE",'Operating costs'!$B$67&lt;=Paths!$E$340),IF('Operating costs'!$B$67=0,C3670=0,AND(C3670&gt;0,'Operating costs'!$B$67&gt;(C3670-1)*12,'Operating costs'!$B$67&lt;=C3670*12))),'Operating costs'!$B$66,0),"n.a."))</f>
        <v>0</v>
      </c>
      <c r="N3670" s="16">
        <f>IF(NOT(Paths!$C$340=1),0,IF(Paths!$P$340="Complete",SUM(G3670:I3670)-J3670-K3670-L3670+M3670+IF(C3670=0,Paths!$F$340,0)+IF(IF(Paths!$E$340=0,C3670=0,AND(C3670&gt;0,Paths!$E$340&gt;(C3670-1)*12,Paths!$E$340&lt;=C3670*12)),VLOOKUP(A3670,'Fleet register'!$A$7:$S$106,16,FALSE),0),"n.a."))</f>
        <v>0</v>
      </c>
      <c r="O3670" s="16">
        <f>IF(NOT(Paths!$C$340=1),0,IF(Paths!$P$340="Complete",N3670-IF(C3670=0,Paths!$F$340,0),"n.a."))</f>
        <v>0</v>
      </c>
      <c r="P3670" s="16">
        <f>IF(NOT(Paths!$C$340=1),0,IF(Paths!$P$340="Complete",O3670+L3670,"n.a."))</f>
        <v>0</v>
      </c>
      <c r="Q3670" s="16">
        <f>IF(NOT(Paths!$C$340=1),0,IF(Paths!$P$340="Complete",N3670*(1+'Operating costs'!$B$54)^-C3670,"n.a."))</f>
        <v>0</v>
      </c>
      <c r="R3670" s="16">
        <f>IF(NOT(Paths!$C$340=1),0,IF(Paths!$P$340="Complete",IF(AND(C3670=0,Paths!$E$340=0),I3670-J3670-K3670+VLOOKUP(A3670,'Fleet register'!$A$7:$S$106,15,FALSE)+VLOOKUP(A3670,'Fleet register'!$A$7:$S$106,16,FALSE),0),"n.a."))</f>
        <v>0</v>
      </c>
      <c r="S3670" s="1">
        <f>IF(NOT(Paths!$C$340=1),0,IF(Paths!$P$340="Complete",IF(C3670=0,0,Paths!$S$340*Paths!$R$340),"n.a."))</f>
        <v>0</v>
      </c>
      <c r="T3670" s="1">
        <f>IF(NOT(Paths!$C$340=1),0,IF(Paths!$P$340="Complete",IF(C3670=0,0,VLOOKUP(A3670,'Fleet register'!$A$7:$S$106,9,FALSE)*Paths!$R$340),"n.a."))</f>
        <v>0</v>
      </c>
    </row>
    <row r="3671" spans="1:20" ht="24" customHeight="1">
      <c r="A3671" s="1" t="str">
        <f>Paths!$A$340</f>
        <v>T084</v>
      </c>
      <c r="B3671" s="1">
        <f>Paths!$B$340</f>
        <v>1</v>
      </c>
      <c r="C3671" s="1">
        <v>1</v>
      </c>
      <c r="D3671" s="1">
        <v>340</v>
      </c>
      <c r="E3671" s="1">
        <f>IF(OR(Paths!$C$340=0,C3671=0),0,MAX(0,MIN(C3671*12,Paths!$E$340)-(C3671-1)*12))</f>
        <v>0</v>
      </c>
      <c r="F3671" s="1">
        <f>IF(OR(Paths!$C$340=0,C3671=0),0,12-E3671)</f>
        <v>0</v>
      </c>
      <c r="G3671" s="16">
        <f>IF(NOT(Paths!$C$340=1),0,IF(Paths!$P$340="Complete",E3671/12*(Paths!$J$340*(1+'Operating costs'!$B$51)^MAX(0,C3671-1)+Paths!$K$340*(1+'Operating costs'!$B$53)^MAX(0,C3671-1)),"n.a."))</f>
        <v>0</v>
      </c>
      <c r="H3671" s="16">
        <f>IF(NOT(Paths!$C$340=1),0,IF(Paths!$P$340="Complete",F3671/12*(Paths!$L$340*(1+IF(Paths!$D$340="EV",'Operating costs'!$B$52,'Operating costs'!$B$51))^MAX(0,C3671-1)+Paths!$M$340*(1+'Operating costs'!$B$53)^MAX(0,C3671-1)),"n.a."))</f>
        <v>0</v>
      </c>
      <c r="I3671" s="16">
        <f>IF(NOT(Paths!$C$340=1),0,IF(Paths!$P$340="Complete",IF(IF(Paths!$E$340=0,C3671=0,AND(C3671&gt;0,Paths!$E$340&gt;(C3671-1)*12,Paths!$E$340&lt;=C3671*12)),Paths!$G$340,0),"n.a."))</f>
        <v>0</v>
      </c>
      <c r="J3671" s="16">
        <f>IF(NOT(Paths!$C$340=1),0,IF(Paths!$P$340="Complete",IF(IF(Paths!$E$340=0,C3671=0,AND(C3671&gt;0,Paths!$E$340&gt;(C3671-1)*12,Paths!$E$340&lt;=C3671*12)),Paths!$H$340,0),"n.a."))</f>
        <v>0</v>
      </c>
      <c r="K3671" s="16">
        <f>IF(NOT(Paths!$C$340=1),0,IF(Paths!$P$340="Complete",IF(IF(Paths!$O$340=0,C3671=0,AND(C3671&gt;0,Paths!$O$340&gt;(C3671-1)*12,Paths!$O$340&lt;=C3671*12)),Paths!$N$340,0),"n.a."))</f>
        <v>0</v>
      </c>
      <c r="L3671" s="16">
        <f>IF(NOT(Paths!$C$340=1),0,IF(Paths!$P$340="Complete",IF(C3671=10,Paths!$I$340,0),"n.a."))</f>
        <v>0</v>
      </c>
      <c r="M3671" s="16">
        <f>IF(NOT(Paths!$C$340=1),0,IF(Paths!$P$340="Complete",IF(AND(Paths!$D$340="EV",Paths!$E$340&lt;120,Paths!$E$340+'Operating costs'!$B$65&gt;Paths!$E$340,Paths!$E$340+'Operating costs'!$B$65&lt;=120,IF(Paths!$E$340+'Operating costs'!$B$65=0,C3671=0,AND(C3671&gt;0,Paths!$E$340+'Operating costs'!$B$65&gt;(C3671-1)*12,Paths!$E$340+'Operating costs'!$B$65&lt;=C3671*12))),'Operating costs'!$B$64,0)+IF(AND('Operating costs'!$B$67&gt;0,'Operating costs'!$B$67&lt;=120,OR(Paths!$D$340="ICE",'Operating costs'!$B$67&lt;=Paths!$E$340),IF('Operating costs'!$B$67=0,C3671=0,AND(C3671&gt;0,'Operating costs'!$B$67&gt;(C3671-1)*12,'Operating costs'!$B$67&lt;=C3671*12))),'Operating costs'!$B$66,0),"n.a."))</f>
        <v>0</v>
      </c>
      <c r="N3671" s="16">
        <f>IF(NOT(Paths!$C$340=1),0,IF(Paths!$P$340="Complete",SUM(G3671:I3671)-J3671-K3671-L3671+M3671+IF(C3671=0,Paths!$F$340,0)+IF(IF(Paths!$E$340=0,C3671=0,AND(C3671&gt;0,Paths!$E$340&gt;(C3671-1)*12,Paths!$E$340&lt;=C3671*12)),VLOOKUP(A3671,'Fleet register'!$A$7:$S$106,16,FALSE),0),"n.a."))</f>
        <v>0</v>
      </c>
      <c r="O3671" s="16">
        <f>IF(NOT(Paths!$C$340=1),0,IF(Paths!$P$340="Complete",N3671-IF(C3671=0,Paths!$F$340,0),"n.a."))</f>
        <v>0</v>
      </c>
      <c r="P3671" s="16">
        <f>IF(NOT(Paths!$C$340=1),0,IF(Paths!$P$340="Complete",O3671+L3671,"n.a."))</f>
        <v>0</v>
      </c>
      <c r="Q3671" s="16">
        <f>IF(NOT(Paths!$C$340=1),0,IF(Paths!$P$340="Complete",N3671*(1+'Operating costs'!$B$54)^-C3671,"n.a."))</f>
        <v>0</v>
      </c>
      <c r="R3671" s="16">
        <f>IF(NOT(Paths!$C$340=1),0,IF(Paths!$P$340="Complete",IF(AND(C3671=0,Paths!$E$340=0),I3671-J3671-K3671+VLOOKUP(A3671,'Fleet register'!$A$7:$S$106,15,FALSE)+VLOOKUP(A3671,'Fleet register'!$A$7:$S$106,16,FALSE),0),"n.a."))</f>
        <v>0</v>
      </c>
      <c r="S3671" s="1">
        <f>IF(NOT(Paths!$C$340=1),0,IF(Paths!$P$340="Complete",IF(C3671=0,0,Paths!$S$340*Paths!$R$340),"n.a."))</f>
        <v>0</v>
      </c>
      <c r="T3671" s="1">
        <f>IF(NOT(Paths!$C$340=1),0,IF(Paths!$P$340="Complete",IF(C3671=0,0,VLOOKUP(A3671,'Fleet register'!$A$7:$S$106,9,FALSE)*Paths!$R$340),"n.a."))</f>
        <v>0</v>
      </c>
    </row>
    <row r="3672" spans="1:20" ht="24" customHeight="1">
      <c r="A3672" s="1" t="str">
        <f>Paths!$A$340</f>
        <v>T084</v>
      </c>
      <c r="B3672" s="1">
        <f>Paths!$B$340</f>
        <v>1</v>
      </c>
      <c r="C3672" s="1">
        <v>2</v>
      </c>
      <c r="D3672" s="1">
        <v>340</v>
      </c>
      <c r="E3672" s="1">
        <f>IF(OR(Paths!$C$340=0,C3672=0),0,MAX(0,MIN(C3672*12,Paths!$E$340)-(C3672-1)*12))</f>
        <v>0</v>
      </c>
      <c r="F3672" s="1">
        <f>IF(OR(Paths!$C$340=0,C3672=0),0,12-E3672)</f>
        <v>0</v>
      </c>
      <c r="G3672" s="16">
        <f>IF(NOT(Paths!$C$340=1),0,IF(Paths!$P$340="Complete",E3672/12*(Paths!$J$340*(1+'Operating costs'!$B$51)^MAX(0,C3672-1)+Paths!$K$340*(1+'Operating costs'!$B$53)^MAX(0,C3672-1)),"n.a."))</f>
        <v>0</v>
      </c>
      <c r="H3672" s="16">
        <f>IF(NOT(Paths!$C$340=1),0,IF(Paths!$P$340="Complete",F3672/12*(Paths!$L$340*(1+IF(Paths!$D$340="EV",'Operating costs'!$B$52,'Operating costs'!$B$51))^MAX(0,C3672-1)+Paths!$M$340*(1+'Operating costs'!$B$53)^MAX(0,C3672-1)),"n.a."))</f>
        <v>0</v>
      </c>
      <c r="I3672" s="16">
        <f>IF(NOT(Paths!$C$340=1),0,IF(Paths!$P$340="Complete",IF(IF(Paths!$E$340=0,C3672=0,AND(C3672&gt;0,Paths!$E$340&gt;(C3672-1)*12,Paths!$E$340&lt;=C3672*12)),Paths!$G$340,0),"n.a."))</f>
        <v>0</v>
      </c>
      <c r="J3672" s="16">
        <f>IF(NOT(Paths!$C$340=1),0,IF(Paths!$P$340="Complete",IF(IF(Paths!$E$340=0,C3672=0,AND(C3672&gt;0,Paths!$E$340&gt;(C3672-1)*12,Paths!$E$340&lt;=C3672*12)),Paths!$H$340,0),"n.a."))</f>
        <v>0</v>
      </c>
      <c r="K3672" s="16">
        <f>IF(NOT(Paths!$C$340=1),0,IF(Paths!$P$340="Complete",IF(IF(Paths!$O$340=0,C3672=0,AND(C3672&gt;0,Paths!$O$340&gt;(C3672-1)*12,Paths!$O$340&lt;=C3672*12)),Paths!$N$340,0),"n.a."))</f>
        <v>0</v>
      </c>
      <c r="L3672" s="16">
        <f>IF(NOT(Paths!$C$340=1),0,IF(Paths!$P$340="Complete",IF(C3672=10,Paths!$I$340,0),"n.a."))</f>
        <v>0</v>
      </c>
      <c r="M3672" s="16">
        <f>IF(NOT(Paths!$C$340=1),0,IF(Paths!$P$340="Complete",IF(AND(Paths!$D$340="EV",Paths!$E$340&lt;120,Paths!$E$340+'Operating costs'!$B$65&gt;Paths!$E$340,Paths!$E$340+'Operating costs'!$B$65&lt;=120,IF(Paths!$E$340+'Operating costs'!$B$65=0,C3672=0,AND(C3672&gt;0,Paths!$E$340+'Operating costs'!$B$65&gt;(C3672-1)*12,Paths!$E$340+'Operating costs'!$B$65&lt;=C3672*12))),'Operating costs'!$B$64,0)+IF(AND('Operating costs'!$B$67&gt;0,'Operating costs'!$B$67&lt;=120,OR(Paths!$D$340="ICE",'Operating costs'!$B$67&lt;=Paths!$E$340),IF('Operating costs'!$B$67=0,C3672=0,AND(C3672&gt;0,'Operating costs'!$B$67&gt;(C3672-1)*12,'Operating costs'!$B$67&lt;=C3672*12))),'Operating costs'!$B$66,0),"n.a."))</f>
        <v>0</v>
      </c>
      <c r="N3672" s="16">
        <f>IF(NOT(Paths!$C$340=1),0,IF(Paths!$P$340="Complete",SUM(G3672:I3672)-J3672-K3672-L3672+M3672+IF(C3672=0,Paths!$F$340,0)+IF(IF(Paths!$E$340=0,C3672=0,AND(C3672&gt;0,Paths!$E$340&gt;(C3672-1)*12,Paths!$E$340&lt;=C3672*12)),VLOOKUP(A3672,'Fleet register'!$A$7:$S$106,16,FALSE),0),"n.a."))</f>
        <v>0</v>
      </c>
      <c r="O3672" s="16">
        <f>IF(NOT(Paths!$C$340=1),0,IF(Paths!$P$340="Complete",N3672-IF(C3672=0,Paths!$F$340,0),"n.a."))</f>
        <v>0</v>
      </c>
      <c r="P3672" s="16">
        <f>IF(NOT(Paths!$C$340=1),0,IF(Paths!$P$340="Complete",O3672+L3672,"n.a."))</f>
        <v>0</v>
      </c>
      <c r="Q3672" s="16">
        <f>IF(NOT(Paths!$C$340=1),0,IF(Paths!$P$340="Complete",N3672*(1+'Operating costs'!$B$54)^-C3672,"n.a."))</f>
        <v>0</v>
      </c>
      <c r="R3672" s="16">
        <f>IF(NOT(Paths!$C$340=1),0,IF(Paths!$P$340="Complete",IF(AND(C3672=0,Paths!$E$340=0),I3672-J3672-K3672+VLOOKUP(A3672,'Fleet register'!$A$7:$S$106,15,FALSE)+VLOOKUP(A3672,'Fleet register'!$A$7:$S$106,16,FALSE),0),"n.a."))</f>
        <v>0</v>
      </c>
      <c r="S3672" s="1">
        <f>IF(NOT(Paths!$C$340=1),0,IF(Paths!$P$340="Complete",IF(C3672=0,0,Paths!$S$340*Paths!$R$340),"n.a."))</f>
        <v>0</v>
      </c>
      <c r="T3672" s="1">
        <f>IF(NOT(Paths!$C$340=1),0,IF(Paths!$P$340="Complete",IF(C3672=0,0,VLOOKUP(A3672,'Fleet register'!$A$7:$S$106,9,FALSE)*Paths!$R$340),"n.a."))</f>
        <v>0</v>
      </c>
    </row>
    <row r="3673" spans="1:20" ht="24" customHeight="1">
      <c r="A3673" s="1" t="str">
        <f>Paths!$A$340</f>
        <v>T084</v>
      </c>
      <c r="B3673" s="1">
        <f>Paths!$B$340</f>
        <v>1</v>
      </c>
      <c r="C3673" s="1">
        <v>3</v>
      </c>
      <c r="D3673" s="1">
        <v>340</v>
      </c>
      <c r="E3673" s="1">
        <f>IF(OR(Paths!$C$340=0,C3673=0),0,MAX(0,MIN(C3673*12,Paths!$E$340)-(C3673-1)*12))</f>
        <v>0</v>
      </c>
      <c r="F3673" s="1">
        <f>IF(OR(Paths!$C$340=0,C3673=0),0,12-E3673)</f>
        <v>0</v>
      </c>
      <c r="G3673" s="16">
        <f>IF(NOT(Paths!$C$340=1),0,IF(Paths!$P$340="Complete",E3673/12*(Paths!$J$340*(1+'Operating costs'!$B$51)^MAX(0,C3673-1)+Paths!$K$340*(1+'Operating costs'!$B$53)^MAX(0,C3673-1)),"n.a."))</f>
        <v>0</v>
      </c>
      <c r="H3673" s="16">
        <f>IF(NOT(Paths!$C$340=1),0,IF(Paths!$P$340="Complete",F3673/12*(Paths!$L$340*(1+IF(Paths!$D$340="EV",'Operating costs'!$B$52,'Operating costs'!$B$51))^MAX(0,C3673-1)+Paths!$M$340*(1+'Operating costs'!$B$53)^MAX(0,C3673-1)),"n.a."))</f>
        <v>0</v>
      </c>
      <c r="I3673" s="16">
        <f>IF(NOT(Paths!$C$340=1),0,IF(Paths!$P$340="Complete",IF(IF(Paths!$E$340=0,C3673=0,AND(C3673&gt;0,Paths!$E$340&gt;(C3673-1)*12,Paths!$E$340&lt;=C3673*12)),Paths!$G$340,0),"n.a."))</f>
        <v>0</v>
      </c>
      <c r="J3673" s="16">
        <f>IF(NOT(Paths!$C$340=1),0,IF(Paths!$P$340="Complete",IF(IF(Paths!$E$340=0,C3673=0,AND(C3673&gt;0,Paths!$E$340&gt;(C3673-1)*12,Paths!$E$340&lt;=C3673*12)),Paths!$H$340,0),"n.a."))</f>
        <v>0</v>
      </c>
      <c r="K3673" s="16">
        <f>IF(NOT(Paths!$C$340=1),0,IF(Paths!$P$340="Complete",IF(IF(Paths!$O$340=0,C3673=0,AND(C3673&gt;0,Paths!$O$340&gt;(C3673-1)*12,Paths!$O$340&lt;=C3673*12)),Paths!$N$340,0),"n.a."))</f>
        <v>0</v>
      </c>
      <c r="L3673" s="16">
        <f>IF(NOT(Paths!$C$340=1),0,IF(Paths!$P$340="Complete",IF(C3673=10,Paths!$I$340,0),"n.a."))</f>
        <v>0</v>
      </c>
      <c r="M3673" s="16">
        <f>IF(NOT(Paths!$C$340=1),0,IF(Paths!$P$340="Complete",IF(AND(Paths!$D$340="EV",Paths!$E$340&lt;120,Paths!$E$340+'Operating costs'!$B$65&gt;Paths!$E$340,Paths!$E$340+'Operating costs'!$B$65&lt;=120,IF(Paths!$E$340+'Operating costs'!$B$65=0,C3673=0,AND(C3673&gt;0,Paths!$E$340+'Operating costs'!$B$65&gt;(C3673-1)*12,Paths!$E$340+'Operating costs'!$B$65&lt;=C3673*12))),'Operating costs'!$B$64,0)+IF(AND('Operating costs'!$B$67&gt;0,'Operating costs'!$B$67&lt;=120,OR(Paths!$D$340="ICE",'Operating costs'!$B$67&lt;=Paths!$E$340),IF('Operating costs'!$B$67=0,C3673=0,AND(C3673&gt;0,'Operating costs'!$B$67&gt;(C3673-1)*12,'Operating costs'!$B$67&lt;=C3673*12))),'Operating costs'!$B$66,0),"n.a."))</f>
        <v>0</v>
      </c>
      <c r="N3673" s="16">
        <f>IF(NOT(Paths!$C$340=1),0,IF(Paths!$P$340="Complete",SUM(G3673:I3673)-J3673-K3673-L3673+M3673+IF(C3673=0,Paths!$F$340,0)+IF(IF(Paths!$E$340=0,C3673=0,AND(C3673&gt;0,Paths!$E$340&gt;(C3673-1)*12,Paths!$E$340&lt;=C3673*12)),VLOOKUP(A3673,'Fleet register'!$A$7:$S$106,16,FALSE),0),"n.a."))</f>
        <v>0</v>
      </c>
      <c r="O3673" s="16">
        <f>IF(NOT(Paths!$C$340=1),0,IF(Paths!$P$340="Complete",N3673-IF(C3673=0,Paths!$F$340,0),"n.a."))</f>
        <v>0</v>
      </c>
      <c r="P3673" s="16">
        <f>IF(NOT(Paths!$C$340=1),0,IF(Paths!$P$340="Complete",O3673+L3673,"n.a."))</f>
        <v>0</v>
      </c>
      <c r="Q3673" s="16">
        <f>IF(NOT(Paths!$C$340=1),0,IF(Paths!$P$340="Complete",N3673*(1+'Operating costs'!$B$54)^-C3673,"n.a."))</f>
        <v>0</v>
      </c>
      <c r="R3673" s="16">
        <f>IF(NOT(Paths!$C$340=1),0,IF(Paths!$P$340="Complete",IF(AND(C3673=0,Paths!$E$340=0),I3673-J3673-K3673+VLOOKUP(A3673,'Fleet register'!$A$7:$S$106,15,FALSE)+VLOOKUP(A3673,'Fleet register'!$A$7:$S$106,16,FALSE),0),"n.a."))</f>
        <v>0</v>
      </c>
      <c r="S3673" s="1">
        <f>IF(NOT(Paths!$C$340=1),0,IF(Paths!$P$340="Complete",IF(C3673=0,0,Paths!$S$340*Paths!$R$340),"n.a."))</f>
        <v>0</v>
      </c>
      <c r="T3673" s="1">
        <f>IF(NOT(Paths!$C$340=1),0,IF(Paths!$P$340="Complete",IF(C3673=0,0,VLOOKUP(A3673,'Fleet register'!$A$7:$S$106,9,FALSE)*Paths!$R$340),"n.a."))</f>
        <v>0</v>
      </c>
    </row>
    <row r="3674" spans="1:20" ht="24" customHeight="1">
      <c r="A3674" s="1" t="str">
        <f>Paths!$A$340</f>
        <v>T084</v>
      </c>
      <c r="B3674" s="1">
        <f>Paths!$B$340</f>
        <v>1</v>
      </c>
      <c r="C3674" s="1">
        <v>4</v>
      </c>
      <c r="D3674" s="1">
        <v>340</v>
      </c>
      <c r="E3674" s="1">
        <f>IF(OR(Paths!$C$340=0,C3674=0),0,MAX(0,MIN(C3674*12,Paths!$E$340)-(C3674-1)*12))</f>
        <v>0</v>
      </c>
      <c r="F3674" s="1">
        <f>IF(OR(Paths!$C$340=0,C3674=0),0,12-E3674)</f>
        <v>0</v>
      </c>
      <c r="G3674" s="16">
        <f>IF(NOT(Paths!$C$340=1),0,IF(Paths!$P$340="Complete",E3674/12*(Paths!$J$340*(1+'Operating costs'!$B$51)^MAX(0,C3674-1)+Paths!$K$340*(1+'Operating costs'!$B$53)^MAX(0,C3674-1)),"n.a."))</f>
        <v>0</v>
      </c>
      <c r="H3674" s="16">
        <f>IF(NOT(Paths!$C$340=1),0,IF(Paths!$P$340="Complete",F3674/12*(Paths!$L$340*(1+IF(Paths!$D$340="EV",'Operating costs'!$B$52,'Operating costs'!$B$51))^MAX(0,C3674-1)+Paths!$M$340*(1+'Operating costs'!$B$53)^MAX(0,C3674-1)),"n.a."))</f>
        <v>0</v>
      </c>
      <c r="I3674" s="16">
        <f>IF(NOT(Paths!$C$340=1),0,IF(Paths!$P$340="Complete",IF(IF(Paths!$E$340=0,C3674=0,AND(C3674&gt;0,Paths!$E$340&gt;(C3674-1)*12,Paths!$E$340&lt;=C3674*12)),Paths!$G$340,0),"n.a."))</f>
        <v>0</v>
      </c>
      <c r="J3674" s="16">
        <f>IF(NOT(Paths!$C$340=1),0,IF(Paths!$P$340="Complete",IF(IF(Paths!$E$340=0,C3674=0,AND(C3674&gt;0,Paths!$E$340&gt;(C3674-1)*12,Paths!$E$340&lt;=C3674*12)),Paths!$H$340,0),"n.a."))</f>
        <v>0</v>
      </c>
      <c r="K3674" s="16">
        <f>IF(NOT(Paths!$C$340=1),0,IF(Paths!$P$340="Complete",IF(IF(Paths!$O$340=0,C3674=0,AND(C3674&gt;0,Paths!$O$340&gt;(C3674-1)*12,Paths!$O$340&lt;=C3674*12)),Paths!$N$340,0),"n.a."))</f>
        <v>0</v>
      </c>
      <c r="L3674" s="16">
        <f>IF(NOT(Paths!$C$340=1),0,IF(Paths!$P$340="Complete",IF(C3674=10,Paths!$I$340,0),"n.a."))</f>
        <v>0</v>
      </c>
      <c r="M3674" s="16">
        <f>IF(NOT(Paths!$C$340=1),0,IF(Paths!$P$340="Complete",IF(AND(Paths!$D$340="EV",Paths!$E$340&lt;120,Paths!$E$340+'Operating costs'!$B$65&gt;Paths!$E$340,Paths!$E$340+'Operating costs'!$B$65&lt;=120,IF(Paths!$E$340+'Operating costs'!$B$65=0,C3674=0,AND(C3674&gt;0,Paths!$E$340+'Operating costs'!$B$65&gt;(C3674-1)*12,Paths!$E$340+'Operating costs'!$B$65&lt;=C3674*12))),'Operating costs'!$B$64,0)+IF(AND('Operating costs'!$B$67&gt;0,'Operating costs'!$B$67&lt;=120,OR(Paths!$D$340="ICE",'Operating costs'!$B$67&lt;=Paths!$E$340),IF('Operating costs'!$B$67=0,C3674=0,AND(C3674&gt;0,'Operating costs'!$B$67&gt;(C3674-1)*12,'Operating costs'!$B$67&lt;=C3674*12))),'Operating costs'!$B$66,0),"n.a."))</f>
        <v>0</v>
      </c>
      <c r="N3674" s="16">
        <f>IF(NOT(Paths!$C$340=1),0,IF(Paths!$P$340="Complete",SUM(G3674:I3674)-J3674-K3674-L3674+M3674+IF(C3674=0,Paths!$F$340,0)+IF(IF(Paths!$E$340=0,C3674=0,AND(C3674&gt;0,Paths!$E$340&gt;(C3674-1)*12,Paths!$E$340&lt;=C3674*12)),VLOOKUP(A3674,'Fleet register'!$A$7:$S$106,16,FALSE),0),"n.a."))</f>
        <v>0</v>
      </c>
      <c r="O3674" s="16">
        <f>IF(NOT(Paths!$C$340=1),0,IF(Paths!$P$340="Complete",N3674-IF(C3674=0,Paths!$F$340,0),"n.a."))</f>
        <v>0</v>
      </c>
      <c r="P3674" s="16">
        <f>IF(NOT(Paths!$C$340=1),0,IF(Paths!$P$340="Complete",O3674+L3674,"n.a."))</f>
        <v>0</v>
      </c>
      <c r="Q3674" s="16">
        <f>IF(NOT(Paths!$C$340=1),0,IF(Paths!$P$340="Complete",N3674*(1+'Operating costs'!$B$54)^-C3674,"n.a."))</f>
        <v>0</v>
      </c>
      <c r="R3674" s="16">
        <f>IF(NOT(Paths!$C$340=1),0,IF(Paths!$P$340="Complete",IF(AND(C3674=0,Paths!$E$340=0),I3674-J3674-K3674+VLOOKUP(A3674,'Fleet register'!$A$7:$S$106,15,FALSE)+VLOOKUP(A3674,'Fleet register'!$A$7:$S$106,16,FALSE),0),"n.a."))</f>
        <v>0</v>
      </c>
      <c r="S3674" s="1">
        <f>IF(NOT(Paths!$C$340=1),0,IF(Paths!$P$340="Complete",IF(C3674=0,0,Paths!$S$340*Paths!$R$340),"n.a."))</f>
        <v>0</v>
      </c>
      <c r="T3674" s="1">
        <f>IF(NOT(Paths!$C$340=1),0,IF(Paths!$P$340="Complete",IF(C3674=0,0,VLOOKUP(A3674,'Fleet register'!$A$7:$S$106,9,FALSE)*Paths!$R$340),"n.a."))</f>
        <v>0</v>
      </c>
    </row>
    <row r="3675" spans="1:20" ht="24" customHeight="1">
      <c r="A3675" s="1" t="str">
        <f>Paths!$A$340</f>
        <v>T084</v>
      </c>
      <c r="B3675" s="1">
        <f>Paths!$B$340</f>
        <v>1</v>
      </c>
      <c r="C3675" s="1">
        <v>5</v>
      </c>
      <c r="D3675" s="1">
        <v>340</v>
      </c>
      <c r="E3675" s="1">
        <f>IF(OR(Paths!$C$340=0,C3675=0),0,MAX(0,MIN(C3675*12,Paths!$E$340)-(C3675-1)*12))</f>
        <v>0</v>
      </c>
      <c r="F3675" s="1">
        <f>IF(OR(Paths!$C$340=0,C3675=0),0,12-E3675)</f>
        <v>0</v>
      </c>
      <c r="G3675" s="16">
        <f>IF(NOT(Paths!$C$340=1),0,IF(Paths!$P$340="Complete",E3675/12*(Paths!$J$340*(1+'Operating costs'!$B$51)^MAX(0,C3675-1)+Paths!$K$340*(1+'Operating costs'!$B$53)^MAX(0,C3675-1)),"n.a."))</f>
        <v>0</v>
      </c>
      <c r="H3675" s="16">
        <f>IF(NOT(Paths!$C$340=1),0,IF(Paths!$P$340="Complete",F3675/12*(Paths!$L$340*(1+IF(Paths!$D$340="EV",'Operating costs'!$B$52,'Operating costs'!$B$51))^MAX(0,C3675-1)+Paths!$M$340*(1+'Operating costs'!$B$53)^MAX(0,C3675-1)),"n.a."))</f>
        <v>0</v>
      </c>
      <c r="I3675" s="16">
        <f>IF(NOT(Paths!$C$340=1),0,IF(Paths!$P$340="Complete",IF(IF(Paths!$E$340=0,C3675=0,AND(C3675&gt;0,Paths!$E$340&gt;(C3675-1)*12,Paths!$E$340&lt;=C3675*12)),Paths!$G$340,0),"n.a."))</f>
        <v>0</v>
      </c>
      <c r="J3675" s="16">
        <f>IF(NOT(Paths!$C$340=1),0,IF(Paths!$P$340="Complete",IF(IF(Paths!$E$340=0,C3675=0,AND(C3675&gt;0,Paths!$E$340&gt;(C3675-1)*12,Paths!$E$340&lt;=C3675*12)),Paths!$H$340,0),"n.a."))</f>
        <v>0</v>
      </c>
      <c r="K3675" s="16">
        <f>IF(NOT(Paths!$C$340=1),0,IF(Paths!$P$340="Complete",IF(IF(Paths!$O$340=0,C3675=0,AND(C3675&gt;0,Paths!$O$340&gt;(C3675-1)*12,Paths!$O$340&lt;=C3675*12)),Paths!$N$340,0),"n.a."))</f>
        <v>0</v>
      </c>
      <c r="L3675" s="16">
        <f>IF(NOT(Paths!$C$340=1),0,IF(Paths!$P$340="Complete",IF(C3675=10,Paths!$I$340,0),"n.a."))</f>
        <v>0</v>
      </c>
      <c r="M3675" s="16">
        <f>IF(NOT(Paths!$C$340=1),0,IF(Paths!$P$340="Complete",IF(AND(Paths!$D$340="EV",Paths!$E$340&lt;120,Paths!$E$340+'Operating costs'!$B$65&gt;Paths!$E$340,Paths!$E$340+'Operating costs'!$B$65&lt;=120,IF(Paths!$E$340+'Operating costs'!$B$65=0,C3675=0,AND(C3675&gt;0,Paths!$E$340+'Operating costs'!$B$65&gt;(C3675-1)*12,Paths!$E$340+'Operating costs'!$B$65&lt;=C3675*12))),'Operating costs'!$B$64,0)+IF(AND('Operating costs'!$B$67&gt;0,'Operating costs'!$B$67&lt;=120,OR(Paths!$D$340="ICE",'Operating costs'!$B$67&lt;=Paths!$E$340),IF('Operating costs'!$B$67=0,C3675=0,AND(C3675&gt;0,'Operating costs'!$B$67&gt;(C3675-1)*12,'Operating costs'!$B$67&lt;=C3675*12))),'Operating costs'!$B$66,0),"n.a."))</f>
        <v>0</v>
      </c>
      <c r="N3675" s="16">
        <f>IF(NOT(Paths!$C$340=1),0,IF(Paths!$P$340="Complete",SUM(G3675:I3675)-J3675-K3675-L3675+M3675+IF(C3675=0,Paths!$F$340,0)+IF(IF(Paths!$E$340=0,C3675=0,AND(C3675&gt;0,Paths!$E$340&gt;(C3675-1)*12,Paths!$E$340&lt;=C3675*12)),VLOOKUP(A3675,'Fleet register'!$A$7:$S$106,16,FALSE),0),"n.a."))</f>
        <v>0</v>
      </c>
      <c r="O3675" s="16">
        <f>IF(NOT(Paths!$C$340=1),0,IF(Paths!$P$340="Complete",N3675-IF(C3675=0,Paths!$F$340,0),"n.a."))</f>
        <v>0</v>
      </c>
      <c r="P3675" s="16">
        <f>IF(NOT(Paths!$C$340=1),0,IF(Paths!$P$340="Complete",O3675+L3675,"n.a."))</f>
        <v>0</v>
      </c>
      <c r="Q3675" s="16">
        <f>IF(NOT(Paths!$C$340=1),0,IF(Paths!$P$340="Complete",N3675*(1+'Operating costs'!$B$54)^-C3675,"n.a."))</f>
        <v>0</v>
      </c>
      <c r="R3675" s="16">
        <f>IF(NOT(Paths!$C$340=1),0,IF(Paths!$P$340="Complete",IF(AND(C3675=0,Paths!$E$340=0),I3675-J3675-K3675+VLOOKUP(A3675,'Fleet register'!$A$7:$S$106,15,FALSE)+VLOOKUP(A3675,'Fleet register'!$A$7:$S$106,16,FALSE),0),"n.a."))</f>
        <v>0</v>
      </c>
      <c r="S3675" s="1">
        <f>IF(NOT(Paths!$C$340=1),0,IF(Paths!$P$340="Complete",IF(C3675=0,0,Paths!$S$340*Paths!$R$340),"n.a."))</f>
        <v>0</v>
      </c>
      <c r="T3675" s="1">
        <f>IF(NOT(Paths!$C$340=1),0,IF(Paths!$P$340="Complete",IF(C3675=0,0,VLOOKUP(A3675,'Fleet register'!$A$7:$S$106,9,FALSE)*Paths!$R$340),"n.a."))</f>
        <v>0</v>
      </c>
    </row>
    <row r="3676" spans="1:20" ht="24" customHeight="1">
      <c r="A3676" s="1" t="str">
        <f>Paths!$A$340</f>
        <v>T084</v>
      </c>
      <c r="B3676" s="1">
        <f>Paths!$B$340</f>
        <v>1</v>
      </c>
      <c r="C3676" s="1">
        <v>6</v>
      </c>
      <c r="D3676" s="1">
        <v>340</v>
      </c>
      <c r="E3676" s="1">
        <f>IF(OR(Paths!$C$340=0,C3676=0),0,MAX(0,MIN(C3676*12,Paths!$E$340)-(C3676-1)*12))</f>
        <v>0</v>
      </c>
      <c r="F3676" s="1">
        <f>IF(OR(Paths!$C$340=0,C3676=0),0,12-E3676)</f>
        <v>0</v>
      </c>
      <c r="G3676" s="16">
        <f>IF(NOT(Paths!$C$340=1),0,IF(Paths!$P$340="Complete",E3676/12*(Paths!$J$340*(1+'Operating costs'!$B$51)^MAX(0,C3676-1)+Paths!$K$340*(1+'Operating costs'!$B$53)^MAX(0,C3676-1)),"n.a."))</f>
        <v>0</v>
      </c>
      <c r="H3676" s="16">
        <f>IF(NOT(Paths!$C$340=1),0,IF(Paths!$P$340="Complete",F3676/12*(Paths!$L$340*(1+IF(Paths!$D$340="EV",'Operating costs'!$B$52,'Operating costs'!$B$51))^MAX(0,C3676-1)+Paths!$M$340*(1+'Operating costs'!$B$53)^MAX(0,C3676-1)),"n.a."))</f>
        <v>0</v>
      </c>
      <c r="I3676" s="16">
        <f>IF(NOT(Paths!$C$340=1),0,IF(Paths!$P$340="Complete",IF(IF(Paths!$E$340=0,C3676=0,AND(C3676&gt;0,Paths!$E$340&gt;(C3676-1)*12,Paths!$E$340&lt;=C3676*12)),Paths!$G$340,0),"n.a."))</f>
        <v>0</v>
      </c>
      <c r="J3676" s="16">
        <f>IF(NOT(Paths!$C$340=1),0,IF(Paths!$P$340="Complete",IF(IF(Paths!$E$340=0,C3676=0,AND(C3676&gt;0,Paths!$E$340&gt;(C3676-1)*12,Paths!$E$340&lt;=C3676*12)),Paths!$H$340,0),"n.a."))</f>
        <v>0</v>
      </c>
      <c r="K3676" s="16">
        <f>IF(NOT(Paths!$C$340=1),0,IF(Paths!$P$340="Complete",IF(IF(Paths!$O$340=0,C3676=0,AND(C3676&gt;0,Paths!$O$340&gt;(C3676-1)*12,Paths!$O$340&lt;=C3676*12)),Paths!$N$340,0),"n.a."))</f>
        <v>0</v>
      </c>
      <c r="L3676" s="16">
        <f>IF(NOT(Paths!$C$340=1),0,IF(Paths!$P$340="Complete",IF(C3676=10,Paths!$I$340,0),"n.a."))</f>
        <v>0</v>
      </c>
      <c r="M3676" s="16">
        <f>IF(NOT(Paths!$C$340=1),0,IF(Paths!$P$340="Complete",IF(AND(Paths!$D$340="EV",Paths!$E$340&lt;120,Paths!$E$340+'Operating costs'!$B$65&gt;Paths!$E$340,Paths!$E$340+'Operating costs'!$B$65&lt;=120,IF(Paths!$E$340+'Operating costs'!$B$65=0,C3676=0,AND(C3676&gt;0,Paths!$E$340+'Operating costs'!$B$65&gt;(C3676-1)*12,Paths!$E$340+'Operating costs'!$B$65&lt;=C3676*12))),'Operating costs'!$B$64,0)+IF(AND('Operating costs'!$B$67&gt;0,'Operating costs'!$B$67&lt;=120,OR(Paths!$D$340="ICE",'Operating costs'!$B$67&lt;=Paths!$E$340),IF('Operating costs'!$B$67=0,C3676=0,AND(C3676&gt;0,'Operating costs'!$B$67&gt;(C3676-1)*12,'Operating costs'!$B$67&lt;=C3676*12))),'Operating costs'!$B$66,0),"n.a."))</f>
        <v>0</v>
      </c>
      <c r="N3676" s="16">
        <f>IF(NOT(Paths!$C$340=1),0,IF(Paths!$P$340="Complete",SUM(G3676:I3676)-J3676-K3676-L3676+M3676+IF(C3676=0,Paths!$F$340,0)+IF(IF(Paths!$E$340=0,C3676=0,AND(C3676&gt;0,Paths!$E$340&gt;(C3676-1)*12,Paths!$E$340&lt;=C3676*12)),VLOOKUP(A3676,'Fleet register'!$A$7:$S$106,16,FALSE),0),"n.a."))</f>
        <v>0</v>
      </c>
      <c r="O3676" s="16">
        <f>IF(NOT(Paths!$C$340=1),0,IF(Paths!$P$340="Complete",N3676-IF(C3676=0,Paths!$F$340,0),"n.a."))</f>
        <v>0</v>
      </c>
      <c r="P3676" s="16">
        <f>IF(NOT(Paths!$C$340=1),0,IF(Paths!$P$340="Complete",O3676+L3676,"n.a."))</f>
        <v>0</v>
      </c>
      <c r="Q3676" s="16">
        <f>IF(NOT(Paths!$C$340=1),0,IF(Paths!$P$340="Complete",N3676*(1+'Operating costs'!$B$54)^-C3676,"n.a."))</f>
        <v>0</v>
      </c>
      <c r="R3676" s="16">
        <f>IF(NOT(Paths!$C$340=1),0,IF(Paths!$P$340="Complete",IF(AND(C3676=0,Paths!$E$340=0),I3676-J3676-K3676+VLOOKUP(A3676,'Fleet register'!$A$7:$S$106,15,FALSE)+VLOOKUP(A3676,'Fleet register'!$A$7:$S$106,16,FALSE),0),"n.a."))</f>
        <v>0</v>
      </c>
      <c r="S3676" s="1">
        <f>IF(NOT(Paths!$C$340=1),0,IF(Paths!$P$340="Complete",IF(C3676=0,0,Paths!$S$340*Paths!$R$340),"n.a."))</f>
        <v>0</v>
      </c>
      <c r="T3676" s="1">
        <f>IF(NOT(Paths!$C$340=1),0,IF(Paths!$P$340="Complete",IF(C3676=0,0,VLOOKUP(A3676,'Fleet register'!$A$7:$S$106,9,FALSE)*Paths!$R$340),"n.a."))</f>
        <v>0</v>
      </c>
    </row>
    <row r="3677" spans="1:20" ht="24" customHeight="1">
      <c r="A3677" s="1" t="str">
        <f>Paths!$A$340</f>
        <v>T084</v>
      </c>
      <c r="B3677" s="1">
        <f>Paths!$B$340</f>
        <v>1</v>
      </c>
      <c r="C3677" s="1">
        <v>7</v>
      </c>
      <c r="D3677" s="1">
        <v>340</v>
      </c>
      <c r="E3677" s="1">
        <f>IF(OR(Paths!$C$340=0,C3677=0),0,MAX(0,MIN(C3677*12,Paths!$E$340)-(C3677-1)*12))</f>
        <v>0</v>
      </c>
      <c r="F3677" s="1">
        <f>IF(OR(Paths!$C$340=0,C3677=0),0,12-E3677)</f>
        <v>0</v>
      </c>
      <c r="G3677" s="16">
        <f>IF(NOT(Paths!$C$340=1),0,IF(Paths!$P$340="Complete",E3677/12*(Paths!$J$340*(1+'Operating costs'!$B$51)^MAX(0,C3677-1)+Paths!$K$340*(1+'Operating costs'!$B$53)^MAX(0,C3677-1)),"n.a."))</f>
        <v>0</v>
      </c>
      <c r="H3677" s="16">
        <f>IF(NOT(Paths!$C$340=1),0,IF(Paths!$P$340="Complete",F3677/12*(Paths!$L$340*(1+IF(Paths!$D$340="EV",'Operating costs'!$B$52,'Operating costs'!$B$51))^MAX(0,C3677-1)+Paths!$M$340*(1+'Operating costs'!$B$53)^MAX(0,C3677-1)),"n.a."))</f>
        <v>0</v>
      </c>
      <c r="I3677" s="16">
        <f>IF(NOT(Paths!$C$340=1),0,IF(Paths!$P$340="Complete",IF(IF(Paths!$E$340=0,C3677=0,AND(C3677&gt;0,Paths!$E$340&gt;(C3677-1)*12,Paths!$E$340&lt;=C3677*12)),Paths!$G$340,0),"n.a."))</f>
        <v>0</v>
      </c>
      <c r="J3677" s="16">
        <f>IF(NOT(Paths!$C$340=1),0,IF(Paths!$P$340="Complete",IF(IF(Paths!$E$340=0,C3677=0,AND(C3677&gt;0,Paths!$E$340&gt;(C3677-1)*12,Paths!$E$340&lt;=C3677*12)),Paths!$H$340,0),"n.a."))</f>
        <v>0</v>
      </c>
      <c r="K3677" s="16">
        <f>IF(NOT(Paths!$C$340=1),0,IF(Paths!$P$340="Complete",IF(IF(Paths!$O$340=0,C3677=0,AND(C3677&gt;0,Paths!$O$340&gt;(C3677-1)*12,Paths!$O$340&lt;=C3677*12)),Paths!$N$340,0),"n.a."))</f>
        <v>0</v>
      </c>
      <c r="L3677" s="16">
        <f>IF(NOT(Paths!$C$340=1),0,IF(Paths!$P$340="Complete",IF(C3677=10,Paths!$I$340,0),"n.a."))</f>
        <v>0</v>
      </c>
      <c r="M3677" s="16">
        <f>IF(NOT(Paths!$C$340=1),0,IF(Paths!$P$340="Complete",IF(AND(Paths!$D$340="EV",Paths!$E$340&lt;120,Paths!$E$340+'Operating costs'!$B$65&gt;Paths!$E$340,Paths!$E$340+'Operating costs'!$B$65&lt;=120,IF(Paths!$E$340+'Operating costs'!$B$65=0,C3677=0,AND(C3677&gt;0,Paths!$E$340+'Operating costs'!$B$65&gt;(C3677-1)*12,Paths!$E$340+'Operating costs'!$B$65&lt;=C3677*12))),'Operating costs'!$B$64,0)+IF(AND('Operating costs'!$B$67&gt;0,'Operating costs'!$B$67&lt;=120,OR(Paths!$D$340="ICE",'Operating costs'!$B$67&lt;=Paths!$E$340),IF('Operating costs'!$B$67=0,C3677=0,AND(C3677&gt;0,'Operating costs'!$B$67&gt;(C3677-1)*12,'Operating costs'!$B$67&lt;=C3677*12))),'Operating costs'!$B$66,0),"n.a."))</f>
        <v>0</v>
      </c>
      <c r="N3677" s="16">
        <f>IF(NOT(Paths!$C$340=1),0,IF(Paths!$P$340="Complete",SUM(G3677:I3677)-J3677-K3677-L3677+M3677+IF(C3677=0,Paths!$F$340,0)+IF(IF(Paths!$E$340=0,C3677=0,AND(C3677&gt;0,Paths!$E$340&gt;(C3677-1)*12,Paths!$E$340&lt;=C3677*12)),VLOOKUP(A3677,'Fleet register'!$A$7:$S$106,16,FALSE),0),"n.a."))</f>
        <v>0</v>
      </c>
      <c r="O3677" s="16">
        <f>IF(NOT(Paths!$C$340=1),0,IF(Paths!$P$340="Complete",N3677-IF(C3677=0,Paths!$F$340,0),"n.a."))</f>
        <v>0</v>
      </c>
      <c r="P3677" s="16">
        <f>IF(NOT(Paths!$C$340=1),0,IF(Paths!$P$340="Complete",O3677+L3677,"n.a."))</f>
        <v>0</v>
      </c>
      <c r="Q3677" s="16">
        <f>IF(NOT(Paths!$C$340=1),0,IF(Paths!$P$340="Complete",N3677*(1+'Operating costs'!$B$54)^-C3677,"n.a."))</f>
        <v>0</v>
      </c>
      <c r="R3677" s="16">
        <f>IF(NOT(Paths!$C$340=1),0,IF(Paths!$P$340="Complete",IF(AND(C3677=0,Paths!$E$340=0),I3677-J3677-K3677+VLOOKUP(A3677,'Fleet register'!$A$7:$S$106,15,FALSE)+VLOOKUP(A3677,'Fleet register'!$A$7:$S$106,16,FALSE),0),"n.a."))</f>
        <v>0</v>
      </c>
      <c r="S3677" s="1">
        <f>IF(NOT(Paths!$C$340=1),0,IF(Paths!$P$340="Complete",IF(C3677=0,0,Paths!$S$340*Paths!$R$340),"n.a."))</f>
        <v>0</v>
      </c>
      <c r="T3677" s="1">
        <f>IF(NOT(Paths!$C$340=1),0,IF(Paths!$P$340="Complete",IF(C3677=0,0,VLOOKUP(A3677,'Fleet register'!$A$7:$S$106,9,FALSE)*Paths!$R$340),"n.a."))</f>
        <v>0</v>
      </c>
    </row>
    <row r="3678" spans="1:20" ht="24" customHeight="1">
      <c r="A3678" s="1" t="str">
        <f>Paths!$A$340</f>
        <v>T084</v>
      </c>
      <c r="B3678" s="1">
        <f>Paths!$B$340</f>
        <v>1</v>
      </c>
      <c r="C3678" s="1">
        <v>8</v>
      </c>
      <c r="D3678" s="1">
        <v>340</v>
      </c>
      <c r="E3678" s="1">
        <f>IF(OR(Paths!$C$340=0,C3678=0),0,MAX(0,MIN(C3678*12,Paths!$E$340)-(C3678-1)*12))</f>
        <v>0</v>
      </c>
      <c r="F3678" s="1">
        <f>IF(OR(Paths!$C$340=0,C3678=0),0,12-E3678)</f>
        <v>0</v>
      </c>
      <c r="G3678" s="16">
        <f>IF(NOT(Paths!$C$340=1),0,IF(Paths!$P$340="Complete",E3678/12*(Paths!$J$340*(1+'Operating costs'!$B$51)^MAX(0,C3678-1)+Paths!$K$340*(1+'Operating costs'!$B$53)^MAX(0,C3678-1)),"n.a."))</f>
        <v>0</v>
      </c>
      <c r="H3678" s="16">
        <f>IF(NOT(Paths!$C$340=1),0,IF(Paths!$P$340="Complete",F3678/12*(Paths!$L$340*(1+IF(Paths!$D$340="EV",'Operating costs'!$B$52,'Operating costs'!$B$51))^MAX(0,C3678-1)+Paths!$M$340*(1+'Operating costs'!$B$53)^MAX(0,C3678-1)),"n.a."))</f>
        <v>0</v>
      </c>
      <c r="I3678" s="16">
        <f>IF(NOT(Paths!$C$340=1),0,IF(Paths!$P$340="Complete",IF(IF(Paths!$E$340=0,C3678=0,AND(C3678&gt;0,Paths!$E$340&gt;(C3678-1)*12,Paths!$E$340&lt;=C3678*12)),Paths!$G$340,0),"n.a."))</f>
        <v>0</v>
      </c>
      <c r="J3678" s="16">
        <f>IF(NOT(Paths!$C$340=1),0,IF(Paths!$P$340="Complete",IF(IF(Paths!$E$340=0,C3678=0,AND(C3678&gt;0,Paths!$E$340&gt;(C3678-1)*12,Paths!$E$340&lt;=C3678*12)),Paths!$H$340,0),"n.a."))</f>
        <v>0</v>
      </c>
      <c r="K3678" s="16">
        <f>IF(NOT(Paths!$C$340=1),0,IF(Paths!$P$340="Complete",IF(IF(Paths!$O$340=0,C3678=0,AND(C3678&gt;0,Paths!$O$340&gt;(C3678-1)*12,Paths!$O$340&lt;=C3678*12)),Paths!$N$340,0),"n.a."))</f>
        <v>0</v>
      </c>
      <c r="L3678" s="16">
        <f>IF(NOT(Paths!$C$340=1),0,IF(Paths!$P$340="Complete",IF(C3678=10,Paths!$I$340,0),"n.a."))</f>
        <v>0</v>
      </c>
      <c r="M3678" s="16">
        <f>IF(NOT(Paths!$C$340=1),0,IF(Paths!$P$340="Complete",IF(AND(Paths!$D$340="EV",Paths!$E$340&lt;120,Paths!$E$340+'Operating costs'!$B$65&gt;Paths!$E$340,Paths!$E$340+'Operating costs'!$B$65&lt;=120,IF(Paths!$E$340+'Operating costs'!$B$65=0,C3678=0,AND(C3678&gt;0,Paths!$E$340+'Operating costs'!$B$65&gt;(C3678-1)*12,Paths!$E$340+'Operating costs'!$B$65&lt;=C3678*12))),'Operating costs'!$B$64,0)+IF(AND('Operating costs'!$B$67&gt;0,'Operating costs'!$B$67&lt;=120,OR(Paths!$D$340="ICE",'Operating costs'!$B$67&lt;=Paths!$E$340),IF('Operating costs'!$B$67=0,C3678=0,AND(C3678&gt;0,'Operating costs'!$B$67&gt;(C3678-1)*12,'Operating costs'!$B$67&lt;=C3678*12))),'Operating costs'!$B$66,0),"n.a."))</f>
        <v>0</v>
      </c>
      <c r="N3678" s="16">
        <f>IF(NOT(Paths!$C$340=1),0,IF(Paths!$P$340="Complete",SUM(G3678:I3678)-J3678-K3678-L3678+M3678+IF(C3678=0,Paths!$F$340,0)+IF(IF(Paths!$E$340=0,C3678=0,AND(C3678&gt;0,Paths!$E$340&gt;(C3678-1)*12,Paths!$E$340&lt;=C3678*12)),VLOOKUP(A3678,'Fleet register'!$A$7:$S$106,16,FALSE),0),"n.a."))</f>
        <v>0</v>
      </c>
      <c r="O3678" s="16">
        <f>IF(NOT(Paths!$C$340=1),0,IF(Paths!$P$340="Complete",N3678-IF(C3678=0,Paths!$F$340,0),"n.a."))</f>
        <v>0</v>
      </c>
      <c r="P3678" s="16">
        <f>IF(NOT(Paths!$C$340=1),0,IF(Paths!$P$340="Complete",O3678+L3678,"n.a."))</f>
        <v>0</v>
      </c>
      <c r="Q3678" s="16">
        <f>IF(NOT(Paths!$C$340=1),0,IF(Paths!$P$340="Complete",N3678*(1+'Operating costs'!$B$54)^-C3678,"n.a."))</f>
        <v>0</v>
      </c>
      <c r="R3678" s="16">
        <f>IF(NOT(Paths!$C$340=1),0,IF(Paths!$P$340="Complete",IF(AND(C3678=0,Paths!$E$340=0),I3678-J3678-K3678+VLOOKUP(A3678,'Fleet register'!$A$7:$S$106,15,FALSE)+VLOOKUP(A3678,'Fleet register'!$A$7:$S$106,16,FALSE),0),"n.a."))</f>
        <v>0</v>
      </c>
      <c r="S3678" s="1">
        <f>IF(NOT(Paths!$C$340=1),0,IF(Paths!$P$340="Complete",IF(C3678=0,0,Paths!$S$340*Paths!$R$340),"n.a."))</f>
        <v>0</v>
      </c>
      <c r="T3678" s="1">
        <f>IF(NOT(Paths!$C$340=1),0,IF(Paths!$P$340="Complete",IF(C3678=0,0,VLOOKUP(A3678,'Fleet register'!$A$7:$S$106,9,FALSE)*Paths!$R$340),"n.a."))</f>
        <v>0</v>
      </c>
    </row>
    <row r="3679" spans="1:20" ht="24" customHeight="1">
      <c r="A3679" s="1" t="str">
        <f>Paths!$A$340</f>
        <v>T084</v>
      </c>
      <c r="B3679" s="1">
        <f>Paths!$B$340</f>
        <v>1</v>
      </c>
      <c r="C3679" s="1">
        <v>9</v>
      </c>
      <c r="D3679" s="1">
        <v>340</v>
      </c>
      <c r="E3679" s="1">
        <f>IF(OR(Paths!$C$340=0,C3679=0),0,MAX(0,MIN(C3679*12,Paths!$E$340)-(C3679-1)*12))</f>
        <v>0</v>
      </c>
      <c r="F3679" s="1">
        <f>IF(OR(Paths!$C$340=0,C3679=0),0,12-E3679)</f>
        <v>0</v>
      </c>
      <c r="G3679" s="16">
        <f>IF(NOT(Paths!$C$340=1),0,IF(Paths!$P$340="Complete",E3679/12*(Paths!$J$340*(1+'Operating costs'!$B$51)^MAX(0,C3679-1)+Paths!$K$340*(1+'Operating costs'!$B$53)^MAX(0,C3679-1)),"n.a."))</f>
        <v>0</v>
      </c>
      <c r="H3679" s="16">
        <f>IF(NOT(Paths!$C$340=1),0,IF(Paths!$P$340="Complete",F3679/12*(Paths!$L$340*(1+IF(Paths!$D$340="EV",'Operating costs'!$B$52,'Operating costs'!$B$51))^MAX(0,C3679-1)+Paths!$M$340*(1+'Operating costs'!$B$53)^MAX(0,C3679-1)),"n.a."))</f>
        <v>0</v>
      </c>
      <c r="I3679" s="16">
        <f>IF(NOT(Paths!$C$340=1),0,IF(Paths!$P$340="Complete",IF(IF(Paths!$E$340=0,C3679=0,AND(C3679&gt;0,Paths!$E$340&gt;(C3679-1)*12,Paths!$E$340&lt;=C3679*12)),Paths!$G$340,0),"n.a."))</f>
        <v>0</v>
      </c>
      <c r="J3679" s="16">
        <f>IF(NOT(Paths!$C$340=1),0,IF(Paths!$P$340="Complete",IF(IF(Paths!$E$340=0,C3679=0,AND(C3679&gt;0,Paths!$E$340&gt;(C3679-1)*12,Paths!$E$340&lt;=C3679*12)),Paths!$H$340,0),"n.a."))</f>
        <v>0</v>
      </c>
      <c r="K3679" s="16">
        <f>IF(NOT(Paths!$C$340=1),0,IF(Paths!$P$340="Complete",IF(IF(Paths!$O$340=0,C3679=0,AND(C3679&gt;0,Paths!$O$340&gt;(C3679-1)*12,Paths!$O$340&lt;=C3679*12)),Paths!$N$340,0),"n.a."))</f>
        <v>0</v>
      </c>
      <c r="L3679" s="16">
        <f>IF(NOT(Paths!$C$340=1),0,IF(Paths!$P$340="Complete",IF(C3679=10,Paths!$I$340,0),"n.a."))</f>
        <v>0</v>
      </c>
      <c r="M3679" s="16">
        <f>IF(NOT(Paths!$C$340=1),0,IF(Paths!$P$340="Complete",IF(AND(Paths!$D$340="EV",Paths!$E$340&lt;120,Paths!$E$340+'Operating costs'!$B$65&gt;Paths!$E$340,Paths!$E$340+'Operating costs'!$B$65&lt;=120,IF(Paths!$E$340+'Operating costs'!$B$65=0,C3679=0,AND(C3679&gt;0,Paths!$E$340+'Operating costs'!$B$65&gt;(C3679-1)*12,Paths!$E$340+'Operating costs'!$B$65&lt;=C3679*12))),'Operating costs'!$B$64,0)+IF(AND('Operating costs'!$B$67&gt;0,'Operating costs'!$B$67&lt;=120,OR(Paths!$D$340="ICE",'Operating costs'!$B$67&lt;=Paths!$E$340),IF('Operating costs'!$B$67=0,C3679=0,AND(C3679&gt;0,'Operating costs'!$B$67&gt;(C3679-1)*12,'Operating costs'!$B$67&lt;=C3679*12))),'Operating costs'!$B$66,0),"n.a."))</f>
        <v>0</v>
      </c>
      <c r="N3679" s="16">
        <f>IF(NOT(Paths!$C$340=1),0,IF(Paths!$P$340="Complete",SUM(G3679:I3679)-J3679-K3679-L3679+M3679+IF(C3679=0,Paths!$F$340,0)+IF(IF(Paths!$E$340=0,C3679=0,AND(C3679&gt;0,Paths!$E$340&gt;(C3679-1)*12,Paths!$E$340&lt;=C3679*12)),VLOOKUP(A3679,'Fleet register'!$A$7:$S$106,16,FALSE),0),"n.a."))</f>
        <v>0</v>
      </c>
      <c r="O3679" s="16">
        <f>IF(NOT(Paths!$C$340=1),0,IF(Paths!$P$340="Complete",N3679-IF(C3679=0,Paths!$F$340,0),"n.a."))</f>
        <v>0</v>
      </c>
      <c r="P3679" s="16">
        <f>IF(NOT(Paths!$C$340=1),0,IF(Paths!$P$340="Complete",O3679+L3679,"n.a."))</f>
        <v>0</v>
      </c>
      <c r="Q3679" s="16">
        <f>IF(NOT(Paths!$C$340=1),0,IF(Paths!$P$340="Complete",N3679*(1+'Operating costs'!$B$54)^-C3679,"n.a."))</f>
        <v>0</v>
      </c>
      <c r="R3679" s="16">
        <f>IF(NOT(Paths!$C$340=1),0,IF(Paths!$P$340="Complete",IF(AND(C3679=0,Paths!$E$340=0),I3679-J3679-K3679+VLOOKUP(A3679,'Fleet register'!$A$7:$S$106,15,FALSE)+VLOOKUP(A3679,'Fleet register'!$A$7:$S$106,16,FALSE),0),"n.a."))</f>
        <v>0</v>
      </c>
      <c r="S3679" s="1">
        <f>IF(NOT(Paths!$C$340=1),0,IF(Paths!$P$340="Complete",IF(C3679=0,0,Paths!$S$340*Paths!$R$340),"n.a."))</f>
        <v>0</v>
      </c>
      <c r="T3679" s="1">
        <f>IF(NOT(Paths!$C$340=1),0,IF(Paths!$P$340="Complete",IF(C3679=0,0,VLOOKUP(A3679,'Fleet register'!$A$7:$S$106,9,FALSE)*Paths!$R$340),"n.a."))</f>
        <v>0</v>
      </c>
    </row>
    <row r="3680" spans="1:20" ht="24" customHeight="1">
      <c r="A3680" s="1" t="str">
        <f>Paths!$A$340</f>
        <v>T084</v>
      </c>
      <c r="B3680" s="1">
        <f>Paths!$B$340</f>
        <v>1</v>
      </c>
      <c r="C3680" s="1">
        <v>10</v>
      </c>
      <c r="D3680" s="1">
        <v>340</v>
      </c>
      <c r="E3680" s="1">
        <f>IF(OR(Paths!$C$340=0,C3680=0),0,MAX(0,MIN(C3680*12,Paths!$E$340)-(C3680-1)*12))</f>
        <v>0</v>
      </c>
      <c r="F3680" s="1">
        <f>IF(OR(Paths!$C$340=0,C3680=0),0,12-E3680)</f>
        <v>0</v>
      </c>
      <c r="G3680" s="16">
        <f>IF(NOT(Paths!$C$340=1),0,IF(Paths!$P$340="Complete",E3680/12*(Paths!$J$340*(1+'Operating costs'!$B$51)^MAX(0,C3680-1)+Paths!$K$340*(1+'Operating costs'!$B$53)^MAX(0,C3680-1)),"n.a."))</f>
        <v>0</v>
      </c>
      <c r="H3680" s="16">
        <f>IF(NOT(Paths!$C$340=1),0,IF(Paths!$P$340="Complete",F3680/12*(Paths!$L$340*(1+IF(Paths!$D$340="EV",'Operating costs'!$B$52,'Operating costs'!$B$51))^MAX(0,C3680-1)+Paths!$M$340*(1+'Operating costs'!$B$53)^MAX(0,C3680-1)),"n.a."))</f>
        <v>0</v>
      </c>
      <c r="I3680" s="16">
        <f>IF(NOT(Paths!$C$340=1),0,IF(Paths!$P$340="Complete",IF(IF(Paths!$E$340=0,C3680=0,AND(C3680&gt;0,Paths!$E$340&gt;(C3680-1)*12,Paths!$E$340&lt;=C3680*12)),Paths!$G$340,0),"n.a."))</f>
        <v>0</v>
      </c>
      <c r="J3680" s="16">
        <f>IF(NOT(Paths!$C$340=1),0,IF(Paths!$P$340="Complete",IF(IF(Paths!$E$340=0,C3680=0,AND(C3680&gt;0,Paths!$E$340&gt;(C3680-1)*12,Paths!$E$340&lt;=C3680*12)),Paths!$H$340,0),"n.a."))</f>
        <v>0</v>
      </c>
      <c r="K3680" s="16">
        <f>IF(NOT(Paths!$C$340=1),0,IF(Paths!$P$340="Complete",IF(IF(Paths!$O$340=0,C3680=0,AND(C3680&gt;0,Paths!$O$340&gt;(C3680-1)*12,Paths!$O$340&lt;=C3680*12)),Paths!$N$340,0),"n.a."))</f>
        <v>0</v>
      </c>
      <c r="L3680" s="16">
        <f>IF(NOT(Paths!$C$340=1),0,IF(Paths!$P$340="Complete",IF(C3680=10,Paths!$I$340,0),"n.a."))</f>
        <v>0</v>
      </c>
      <c r="M3680" s="16">
        <f>IF(NOT(Paths!$C$340=1),0,IF(Paths!$P$340="Complete",IF(AND(Paths!$D$340="EV",Paths!$E$340&lt;120,Paths!$E$340+'Operating costs'!$B$65&gt;Paths!$E$340,Paths!$E$340+'Operating costs'!$B$65&lt;=120,IF(Paths!$E$340+'Operating costs'!$B$65=0,C3680=0,AND(C3680&gt;0,Paths!$E$340+'Operating costs'!$B$65&gt;(C3680-1)*12,Paths!$E$340+'Operating costs'!$B$65&lt;=C3680*12))),'Operating costs'!$B$64,0)+IF(AND('Operating costs'!$B$67&gt;0,'Operating costs'!$B$67&lt;=120,OR(Paths!$D$340="ICE",'Operating costs'!$B$67&lt;=Paths!$E$340),IF('Operating costs'!$B$67=0,C3680=0,AND(C3680&gt;0,'Operating costs'!$B$67&gt;(C3680-1)*12,'Operating costs'!$B$67&lt;=C3680*12))),'Operating costs'!$B$66,0),"n.a."))</f>
        <v>0</v>
      </c>
      <c r="N3680" s="16">
        <f>IF(NOT(Paths!$C$340=1),0,IF(Paths!$P$340="Complete",SUM(G3680:I3680)-J3680-K3680-L3680+M3680+IF(C3680=0,Paths!$F$340,0)+IF(IF(Paths!$E$340=0,C3680=0,AND(C3680&gt;0,Paths!$E$340&gt;(C3680-1)*12,Paths!$E$340&lt;=C3680*12)),VLOOKUP(A3680,'Fleet register'!$A$7:$S$106,16,FALSE),0),"n.a."))</f>
        <v>0</v>
      </c>
      <c r="O3680" s="16">
        <f>IF(NOT(Paths!$C$340=1),0,IF(Paths!$P$340="Complete",N3680-IF(C3680=0,Paths!$F$340,0),"n.a."))</f>
        <v>0</v>
      </c>
      <c r="P3680" s="16">
        <f>IF(NOT(Paths!$C$340=1),0,IF(Paths!$P$340="Complete",O3680+L3680,"n.a."))</f>
        <v>0</v>
      </c>
      <c r="Q3680" s="16">
        <f>IF(NOT(Paths!$C$340=1),0,IF(Paths!$P$340="Complete",N3680*(1+'Operating costs'!$B$54)^-C3680,"n.a."))</f>
        <v>0</v>
      </c>
      <c r="R3680" s="16">
        <f>IF(NOT(Paths!$C$340=1),0,IF(Paths!$P$340="Complete",IF(AND(C3680=0,Paths!$E$340=0),I3680-J3680-K3680+VLOOKUP(A3680,'Fleet register'!$A$7:$S$106,15,FALSE)+VLOOKUP(A3680,'Fleet register'!$A$7:$S$106,16,FALSE),0),"n.a."))</f>
        <v>0</v>
      </c>
      <c r="S3680" s="1">
        <f>IF(NOT(Paths!$C$340=1),0,IF(Paths!$P$340="Complete",IF(C3680=0,0,Paths!$S$340*Paths!$R$340),"n.a."))</f>
        <v>0</v>
      </c>
      <c r="T3680" s="1">
        <f>IF(NOT(Paths!$C$340=1),0,IF(Paths!$P$340="Complete",IF(C3680=0,0,VLOOKUP(A3680,'Fleet register'!$A$7:$S$106,9,FALSE)*Paths!$R$340),"n.a."))</f>
        <v>0</v>
      </c>
    </row>
    <row r="3681" spans="1:20" ht="24" customHeight="1">
      <c r="A3681" s="1" t="str">
        <f>Paths!$A$341</f>
        <v>T084</v>
      </c>
      <c r="B3681" s="1">
        <f>Paths!$B$341</f>
        <v>2</v>
      </c>
      <c r="C3681" s="1">
        <v>0</v>
      </c>
      <c r="D3681" s="1">
        <v>341</v>
      </c>
      <c r="E3681" s="1">
        <f>IF(OR(Paths!$C$341=0,C3681=0),0,MAX(0,MIN(C3681*12,Paths!$E$341)-(C3681-1)*12))</f>
        <v>0</v>
      </c>
      <c r="F3681" s="1">
        <f>IF(OR(Paths!$C$341=0,C3681=0),0,12-E3681)</f>
        <v>0</v>
      </c>
      <c r="G3681" s="16">
        <f>IF(NOT(Paths!$C$341=1),0,IF(Paths!$P$341="Complete",E3681/12*(Paths!$J$341*(1+'Operating costs'!$B$51)^MAX(0,C3681-1)+Paths!$K$341*(1+'Operating costs'!$B$53)^MAX(0,C3681-1)),"n.a."))</f>
        <v>0</v>
      </c>
      <c r="H3681" s="16">
        <f>IF(NOT(Paths!$C$341=1),0,IF(Paths!$P$341="Complete",F3681/12*(Paths!$L$341*(1+IF(Paths!$D$341="EV",'Operating costs'!$B$52,'Operating costs'!$B$51))^MAX(0,C3681-1)+Paths!$M$341*(1+'Operating costs'!$B$53)^MAX(0,C3681-1)),"n.a."))</f>
        <v>0</v>
      </c>
      <c r="I3681" s="16">
        <f>IF(NOT(Paths!$C$341=1),0,IF(Paths!$P$341="Complete",IF(IF(Paths!$E$341=0,C3681=0,AND(C3681&gt;0,Paths!$E$341&gt;(C3681-1)*12,Paths!$E$341&lt;=C3681*12)),Paths!$G$341,0),"n.a."))</f>
        <v>0</v>
      </c>
      <c r="J3681" s="16">
        <f>IF(NOT(Paths!$C$341=1),0,IF(Paths!$P$341="Complete",IF(IF(Paths!$E$341=0,C3681=0,AND(C3681&gt;0,Paths!$E$341&gt;(C3681-1)*12,Paths!$E$341&lt;=C3681*12)),Paths!$H$341,0),"n.a."))</f>
        <v>0</v>
      </c>
      <c r="K3681" s="16">
        <f>IF(NOT(Paths!$C$341=1),0,IF(Paths!$P$341="Complete",IF(IF(Paths!$O$341=0,C3681=0,AND(C3681&gt;0,Paths!$O$341&gt;(C3681-1)*12,Paths!$O$341&lt;=C3681*12)),Paths!$N$341,0),"n.a."))</f>
        <v>0</v>
      </c>
      <c r="L3681" s="16">
        <f>IF(NOT(Paths!$C$341=1),0,IF(Paths!$P$341="Complete",IF(C3681=10,Paths!$I$341,0),"n.a."))</f>
        <v>0</v>
      </c>
      <c r="M3681" s="16">
        <f>IF(NOT(Paths!$C$341=1),0,IF(Paths!$P$341="Complete",IF(AND(Paths!$D$341="EV",Paths!$E$341&lt;120,Paths!$E$341+'Operating costs'!$B$65&gt;Paths!$E$341,Paths!$E$341+'Operating costs'!$B$65&lt;=120,IF(Paths!$E$341+'Operating costs'!$B$65=0,C3681=0,AND(C3681&gt;0,Paths!$E$341+'Operating costs'!$B$65&gt;(C3681-1)*12,Paths!$E$341+'Operating costs'!$B$65&lt;=C3681*12))),'Operating costs'!$B$64,0)+IF(AND('Operating costs'!$B$67&gt;0,'Operating costs'!$B$67&lt;=120,OR(Paths!$D$341="ICE",'Operating costs'!$B$67&lt;=Paths!$E$341),IF('Operating costs'!$B$67=0,C3681=0,AND(C3681&gt;0,'Operating costs'!$B$67&gt;(C3681-1)*12,'Operating costs'!$B$67&lt;=C3681*12))),'Operating costs'!$B$66,0),"n.a."))</f>
        <v>0</v>
      </c>
      <c r="N3681" s="16">
        <f>IF(NOT(Paths!$C$341=1),0,IF(Paths!$P$341="Complete",SUM(G3681:I3681)-J3681-K3681-L3681+M3681+IF(C3681=0,Paths!$F$341,0)+IF(IF(Paths!$E$341=0,C3681=0,AND(C3681&gt;0,Paths!$E$341&gt;(C3681-1)*12,Paths!$E$341&lt;=C3681*12)),VLOOKUP(A3681,'Fleet register'!$A$7:$S$106,16,FALSE),0),"n.a."))</f>
        <v>0</v>
      </c>
      <c r="O3681" s="16">
        <f>IF(NOT(Paths!$C$341=1),0,IF(Paths!$P$341="Complete",N3681-IF(C3681=0,Paths!$F$341,0),"n.a."))</f>
        <v>0</v>
      </c>
      <c r="P3681" s="16">
        <f>IF(NOT(Paths!$C$341=1),0,IF(Paths!$P$341="Complete",O3681+L3681,"n.a."))</f>
        <v>0</v>
      </c>
      <c r="Q3681" s="16">
        <f>IF(NOT(Paths!$C$341=1),0,IF(Paths!$P$341="Complete",N3681*(1+'Operating costs'!$B$54)^-C3681,"n.a."))</f>
        <v>0</v>
      </c>
      <c r="R3681" s="16">
        <f>IF(NOT(Paths!$C$341=1),0,IF(Paths!$P$341="Complete",IF(AND(C3681=0,Paths!$E$341=0),I3681-J3681-K3681+VLOOKUP(A3681,'Fleet register'!$A$7:$S$106,15,FALSE)+VLOOKUP(A3681,'Fleet register'!$A$7:$S$106,16,FALSE),0),"n.a."))</f>
        <v>0</v>
      </c>
      <c r="S3681" s="1">
        <f>IF(NOT(Paths!$C$341=1),0,IF(Paths!$P$341="Complete",IF(C3681=0,0,Paths!$S$341*Paths!$R$341),"n.a."))</f>
        <v>0</v>
      </c>
      <c r="T3681" s="1">
        <f>IF(NOT(Paths!$C$341=1),0,IF(Paths!$P$341="Complete",IF(C3681=0,0,VLOOKUP(A3681,'Fleet register'!$A$7:$S$106,9,FALSE)*Paths!$R$341),"n.a."))</f>
        <v>0</v>
      </c>
    </row>
    <row r="3682" spans="1:20" ht="24" customHeight="1">
      <c r="A3682" s="1" t="str">
        <f>Paths!$A$341</f>
        <v>T084</v>
      </c>
      <c r="B3682" s="1">
        <f>Paths!$B$341</f>
        <v>2</v>
      </c>
      <c r="C3682" s="1">
        <v>1</v>
      </c>
      <c r="D3682" s="1">
        <v>341</v>
      </c>
      <c r="E3682" s="1">
        <f>IF(OR(Paths!$C$341=0,C3682=0),0,MAX(0,MIN(C3682*12,Paths!$E$341)-(C3682-1)*12))</f>
        <v>0</v>
      </c>
      <c r="F3682" s="1">
        <f>IF(OR(Paths!$C$341=0,C3682=0),0,12-E3682)</f>
        <v>0</v>
      </c>
      <c r="G3682" s="16">
        <f>IF(NOT(Paths!$C$341=1),0,IF(Paths!$P$341="Complete",E3682/12*(Paths!$J$341*(1+'Operating costs'!$B$51)^MAX(0,C3682-1)+Paths!$K$341*(1+'Operating costs'!$B$53)^MAX(0,C3682-1)),"n.a."))</f>
        <v>0</v>
      </c>
      <c r="H3682" s="16">
        <f>IF(NOT(Paths!$C$341=1),0,IF(Paths!$P$341="Complete",F3682/12*(Paths!$L$341*(1+IF(Paths!$D$341="EV",'Operating costs'!$B$52,'Operating costs'!$B$51))^MAX(0,C3682-1)+Paths!$M$341*(1+'Operating costs'!$B$53)^MAX(0,C3682-1)),"n.a."))</f>
        <v>0</v>
      </c>
      <c r="I3682" s="16">
        <f>IF(NOT(Paths!$C$341=1),0,IF(Paths!$P$341="Complete",IF(IF(Paths!$E$341=0,C3682=0,AND(C3682&gt;0,Paths!$E$341&gt;(C3682-1)*12,Paths!$E$341&lt;=C3682*12)),Paths!$G$341,0),"n.a."))</f>
        <v>0</v>
      </c>
      <c r="J3682" s="16">
        <f>IF(NOT(Paths!$C$341=1),0,IF(Paths!$P$341="Complete",IF(IF(Paths!$E$341=0,C3682=0,AND(C3682&gt;0,Paths!$E$341&gt;(C3682-1)*12,Paths!$E$341&lt;=C3682*12)),Paths!$H$341,0),"n.a."))</f>
        <v>0</v>
      </c>
      <c r="K3682" s="16">
        <f>IF(NOT(Paths!$C$341=1),0,IF(Paths!$P$341="Complete",IF(IF(Paths!$O$341=0,C3682=0,AND(C3682&gt;0,Paths!$O$341&gt;(C3682-1)*12,Paths!$O$341&lt;=C3682*12)),Paths!$N$341,0),"n.a."))</f>
        <v>0</v>
      </c>
      <c r="L3682" s="16">
        <f>IF(NOT(Paths!$C$341=1),0,IF(Paths!$P$341="Complete",IF(C3682=10,Paths!$I$341,0),"n.a."))</f>
        <v>0</v>
      </c>
      <c r="M3682" s="16">
        <f>IF(NOT(Paths!$C$341=1),0,IF(Paths!$P$341="Complete",IF(AND(Paths!$D$341="EV",Paths!$E$341&lt;120,Paths!$E$341+'Operating costs'!$B$65&gt;Paths!$E$341,Paths!$E$341+'Operating costs'!$B$65&lt;=120,IF(Paths!$E$341+'Operating costs'!$B$65=0,C3682=0,AND(C3682&gt;0,Paths!$E$341+'Operating costs'!$B$65&gt;(C3682-1)*12,Paths!$E$341+'Operating costs'!$B$65&lt;=C3682*12))),'Operating costs'!$B$64,0)+IF(AND('Operating costs'!$B$67&gt;0,'Operating costs'!$B$67&lt;=120,OR(Paths!$D$341="ICE",'Operating costs'!$B$67&lt;=Paths!$E$341),IF('Operating costs'!$B$67=0,C3682=0,AND(C3682&gt;0,'Operating costs'!$B$67&gt;(C3682-1)*12,'Operating costs'!$B$67&lt;=C3682*12))),'Operating costs'!$B$66,0),"n.a."))</f>
        <v>0</v>
      </c>
      <c r="N3682" s="16">
        <f>IF(NOT(Paths!$C$341=1),0,IF(Paths!$P$341="Complete",SUM(G3682:I3682)-J3682-K3682-L3682+M3682+IF(C3682=0,Paths!$F$341,0)+IF(IF(Paths!$E$341=0,C3682=0,AND(C3682&gt;0,Paths!$E$341&gt;(C3682-1)*12,Paths!$E$341&lt;=C3682*12)),VLOOKUP(A3682,'Fleet register'!$A$7:$S$106,16,FALSE),0),"n.a."))</f>
        <v>0</v>
      </c>
      <c r="O3682" s="16">
        <f>IF(NOT(Paths!$C$341=1),0,IF(Paths!$P$341="Complete",N3682-IF(C3682=0,Paths!$F$341,0),"n.a."))</f>
        <v>0</v>
      </c>
      <c r="P3682" s="16">
        <f>IF(NOT(Paths!$C$341=1),0,IF(Paths!$P$341="Complete",O3682+L3682,"n.a."))</f>
        <v>0</v>
      </c>
      <c r="Q3682" s="16">
        <f>IF(NOT(Paths!$C$341=1),0,IF(Paths!$P$341="Complete",N3682*(1+'Operating costs'!$B$54)^-C3682,"n.a."))</f>
        <v>0</v>
      </c>
      <c r="R3682" s="16">
        <f>IF(NOT(Paths!$C$341=1),0,IF(Paths!$P$341="Complete",IF(AND(C3682=0,Paths!$E$341=0),I3682-J3682-K3682+VLOOKUP(A3682,'Fleet register'!$A$7:$S$106,15,FALSE)+VLOOKUP(A3682,'Fleet register'!$A$7:$S$106,16,FALSE),0),"n.a."))</f>
        <v>0</v>
      </c>
      <c r="S3682" s="1">
        <f>IF(NOT(Paths!$C$341=1),0,IF(Paths!$P$341="Complete",IF(C3682=0,0,Paths!$S$341*Paths!$R$341),"n.a."))</f>
        <v>0</v>
      </c>
      <c r="T3682" s="1">
        <f>IF(NOT(Paths!$C$341=1),0,IF(Paths!$P$341="Complete",IF(C3682=0,0,VLOOKUP(A3682,'Fleet register'!$A$7:$S$106,9,FALSE)*Paths!$R$341),"n.a."))</f>
        <v>0</v>
      </c>
    </row>
    <row r="3683" spans="1:20" ht="24" customHeight="1">
      <c r="A3683" s="1" t="str">
        <f>Paths!$A$341</f>
        <v>T084</v>
      </c>
      <c r="B3683" s="1">
        <f>Paths!$B$341</f>
        <v>2</v>
      </c>
      <c r="C3683" s="1">
        <v>2</v>
      </c>
      <c r="D3683" s="1">
        <v>341</v>
      </c>
      <c r="E3683" s="1">
        <f>IF(OR(Paths!$C$341=0,C3683=0),0,MAX(0,MIN(C3683*12,Paths!$E$341)-(C3683-1)*12))</f>
        <v>0</v>
      </c>
      <c r="F3683" s="1">
        <f>IF(OR(Paths!$C$341=0,C3683=0),0,12-E3683)</f>
        <v>0</v>
      </c>
      <c r="G3683" s="16">
        <f>IF(NOT(Paths!$C$341=1),0,IF(Paths!$P$341="Complete",E3683/12*(Paths!$J$341*(1+'Operating costs'!$B$51)^MAX(0,C3683-1)+Paths!$K$341*(1+'Operating costs'!$B$53)^MAX(0,C3683-1)),"n.a."))</f>
        <v>0</v>
      </c>
      <c r="H3683" s="16">
        <f>IF(NOT(Paths!$C$341=1),0,IF(Paths!$P$341="Complete",F3683/12*(Paths!$L$341*(1+IF(Paths!$D$341="EV",'Operating costs'!$B$52,'Operating costs'!$B$51))^MAX(0,C3683-1)+Paths!$M$341*(1+'Operating costs'!$B$53)^MAX(0,C3683-1)),"n.a."))</f>
        <v>0</v>
      </c>
      <c r="I3683" s="16">
        <f>IF(NOT(Paths!$C$341=1),0,IF(Paths!$P$341="Complete",IF(IF(Paths!$E$341=0,C3683=0,AND(C3683&gt;0,Paths!$E$341&gt;(C3683-1)*12,Paths!$E$341&lt;=C3683*12)),Paths!$G$341,0),"n.a."))</f>
        <v>0</v>
      </c>
      <c r="J3683" s="16">
        <f>IF(NOT(Paths!$C$341=1),0,IF(Paths!$P$341="Complete",IF(IF(Paths!$E$341=0,C3683=0,AND(C3683&gt;0,Paths!$E$341&gt;(C3683-1)*12,Paths!$E$341&lt;=C3683*12)),Paths!$H$341,0),"n.a."))</f>
        <v>0</v>
      </c>
      <c r="K3683" s="16">
        <f>IF(NOT(Paths!$C$341=1),0,IF(Paths!$P$341="Complete",IF(IF(Paths!$O$341=0,C3683=0,AND(C3683&gt;0,Paths!$O$341&gt;(C3683-1)*12,Paths!$O$341&lt;=C3683*12)),Paths!$N$341,0),"n.a."))</f>
        <v>0</v>
      </c>
      <c r="L3683" s="16">
        <f>IF(NOT(Paths!$C$341=1),0,IF(Paths!$P$341="Complete",IF(C3683=10,Paths!$I$341,0),"n.a."))</f>
        <v>0</v>
      </c>
      <c r="M3683" s="16">
        <f>IF(NOT(Paths!$C$341=1),0,IF(Paths!$P$341="Complete",IF(AND(Paths!$D$341="EV",Paths!$E$341&lt;120,Paths!$E$341+'Operating costs'!$B$65&gt;Paths!$E$341,Paths!$E$341+'Operating costs'!$B$65&lt;=120,IF(Paths!$E$341+'Operating costs'!$B$65=0,C3683=0,AND(C3683&gt;0,Paths!$E$341+'Operating costs'!$B$65&gt;(C3683-1)*12,Paths!$E$341+'Operating costs'!$B$65&lt;=C3683*12))),'Operating costs'!$B$64,0)+IF(AND('Operating costs'!$B$67&gt;0,'Operating costs'!$B$67&lt;=120,OR(Paths!$D$341="ICE",'Operating costs'!$B$67&lt;=Paths!$E$341),IF('Operating costs'!$B$67=0,C3683=0,AND(C3683&gt;0,'Operating costs'!$B$67&gt;(C3683-1)*12,'Operating costs'!$B$67&lt;=C3683*12))),'Operating costs'!$B$66,0),"n.a."))</f>
        <v>0</v>
      </c>
      <c r="N3683" s="16">
        <f>IF(NOT(Paths!$C$341=1),0,IF(Paths!$P$341="Complete",SUM(G3683:I3683)-J3683-K3683-L3683+M3683+IF(C3683=0,Paths!$F$341,0)+IF(IF(Paths!$E$341=0,C3683=0,AND(C3683&gt;0,Paths!$E$341&gt;(C3683-1)*12,Paths!$E$341&lt;=C3683*12)),VLOOKUP(A3683,'Fleet register'!$A$7:$S$106,16,FALSE),0),"n.a."))</f>
        <v>0</v>
      </c>
      <c r="O3683" s="16">
        <f>IF(NOT(Paths!$C$341=1),0,IF(Paths!$P$341="Complete",N3683-IF(C3683=0,Paths!$F$341,0),"n.a."))</f>
        <v>0</v>
      </c>
      <c r="P3683" s="16">
        <f>IF(NOT(Paths!$C$341=1),0,IF(Paths!$P$341="Complete",O3683+L3683,"n.a."))</f>
        <v>0</v>
      </c>
      <c r="Q3683" s="16">
        <f>IF(NOT(Paths!$C$341=1),0,IF(Paths!$P$341="Complete",N3683*(1+'Operating costs'!$B$54)^-C3683,"n.a."))</f>
        <v>0</v>
      </c>
      <c r="R3683" s="16">
        <f>IF(NOT(Paths!$C$341=1),0,IF(Paths!$P$341="Complete",IF(AND(C3683=0,Paths!$E$341=0),I3683-J3683-K3683+VLOOKUP(A3683,'Fleet register'!$A$7:$S$106,15,FALSE)+VLOOKUP(A3683,'Fleet register'!$A$7:$S$106,16,FALSE),0),"n.a."))</f>
        <v>0</v>
      </c>
      <c r="S3683" s="1">
        <f>IF(NOT(Paths!$C$341=1),0,IF(Paths!$P$341="Complete",IF(C3683=0,0,Paths!$S$341*Paths!$R$341),"n.a."))</f>
        <v>0</v>
      </c>
      <c r="T3683" s="1">
        <f>IF(NOT(Paths!$C$341=1),0,IF(Paths!$P$341="Complete",IF(C3683=0,0,VLOOKUP(A3683,'Fleet register'!$A$7:$S$106,9,FALSE)*Paths!$R$341),"n.a."))</f>
        <v>0</v>
      </c>
    </row>
    <row r="3684" spans="1:20" ht="24" customHeight="1">
      <c r="A3684" s="1" t="str">
        <f>Paths!$A$341</f>
        <v>T084</v>
      </c>
      <c r="B3684" s="1">
        <f>Paths!$B$341</f>
        <v>2</v>
      </c>
      <c r="C3684" s="1">
        <v>3</v>
      </c>
      <c r="D3684" s="1">
        <v>341</v>
      </c>
      <c r="E3684" s="1">
        <f>IF(OR(Paths!$C$341=0,C3684=0),0,MAX(0,MIN(C3684*12,Paths!$E$341)-(C3684-1)*12))</f>
        <v>0</v>
      </c>
      <c r="F3684" s="1">
        <f>IF(OR(Paths!$C$341=0,C3684=0),0,12-E3684)</f>
        <v>0</v>
      </c>
      <c r="G3684" s="16">
        <f>IF(NOT(Paths!$C$341=1),0,IF(Paths!$P$341="Complete",E3684/12*(Paths!$J$341*(1+'Operating costs'!$B$51)^MAX(0,C3684-1)+Paths!$K$341*(1+'Operating costs'!$B$53)^MAX(0,C3684-1)),"n.a."))</f>
        <v>0</v>
      </c>
      <c r="H3684" s="16">
        <f>IF(NOT(Paths!$C$341=1),0,IF(Paths!$P$341="Complete",F3684/12*(Paths!$L$341*(1+IF(Paths!$D$341="EV",'Operating costs'!$B$52,'Operating costs'!$B$51))^MAX(0,C3684-1)+Paths!$M$341*(1+'Operating costs'!$B$53)^MAX(0,C3684-1)),"n.a."))</f>
        <v>0</v>
      </c>
      <c r="I3684" s="16">
        <f>IF(NOT(Paths!$C$341=1),0,IF(Paths!$P$341="Complete",IF(IF(Paths!$E$341=0,C3684=0,AND(C3684&gt;0,Paths!$E$341&gt;(C3684-1)*12,Paths!$E$341&lt;=C3684*12)),Paths!$G$341,0),"n.a."))</f>
        <v>0</v>
      </c>
      <c r="J3684" s="16">
        <f>IF(NOT(Paths!$C$341=1),0,IF(Paths!$P$341="Complete",IF(IF(Paths!$E$341=0,C3684=0,AND(C3684&gt;0,Paths!$E$341&gt;(C3684-1)*12,Paths!$E$341&lt;=C3684*12)),Paths!$H$341,0),"n.a."))</f>
        <v>0</v>
      </c>
      <c r="K3684" s="16">
        <f>IF(NOT(Paths!$C$341=1),0,IF(Paths!$P$341="Complete",IF(IF(Paths!$O$341=0,C3684=0,AND(C3684&gt;0,Paths!$O$341&gt;(C3684-1)*12,Paths!$O$341&lt;=C3684*12)),Paths!$N$341,0),"n.a."))</f>
        <v>0</v>
      </c>
      <c r="L3684" s="16">
        <f>IF(NOT(Paths!$C$341=1),0,IF(Paths!$P$341="Complete",IF(C3684=10,Paths!$I$341,0),"n.a."))</f>
        <v>0</v>
      </c>
      <c r="M3684" s="16">
        <f>IF(NOT(Paths!$C$341=1),0,IF(Paths!$P$341="Complete",IF(AND(Paths!$D$341="EV",Paths!$E$341&lt;120,Paths!$E$341+'Operating costs'!$B$65&gt;Paths!$E$341,Paths!$E$341+'Operating costs'!$B$65&lt;=120,IF(Paths!$E$341+'Operating costs'!$B$65=0,C3684=0,AND(C3684&gt;0,Paths!$E$341+'Operating costs'!$B$65&gt;(C3684-1)*12,Paths!$E$341+'Operating costs'!$B$65&lt;=C3684*12))),'Operating costs'!$B$64,0)+IF(AND('Operating costs'!$B$67&gt;0,'Operating costs'!$B$67&lt;=120,OR(Paths!$D$341="ICE",'Operating costs'!$B$67&lt;=Paths!$E$341),IF('Operating costs'!$B$67=0,C3684=0,AND(C3684&gt;0,'Operating costs'!$B$67&gt;(C3684-1)*12,'Operating costs'!$B$67&lt;=C3684*12))),'Operating costs'!$B$66,0),"n.a."))</f>
        <v>0</v>
      </c>
      <c r="N3684" s="16">
        <f>IF(NOT(Paths!$C$341=1),0,IF(Paths!$P$341="Complete",SUM(G3684:I3684)-J3684-K3684-L3684+M3684+IF(C3684=0,Paths!$F$341,0)+IF(IF(Paths!$E$341=0,C3684=0,AND(C3684&gt;0,Paths!$E$341&gt;(C3684-1)*12,Paths!$E$341&lt;=C3684*12)),VLOOKUP(A3684,'Fleet register'!$A$7:$S$106,16,FALSE),0),"n.a."))</f>
        <v>0</v>
      </c>
      <c r="O3684" s="16">
        <f>IF(NOT(Paths!$C$341=1),0,IF(Paths!$P$341="Complete",N3684-IF(C3684=0,Paths!$F$341,0),"n.a."))</f>
        <v>0</v>
      </c>
      <c r="P3684" s="16">
        <f>IF(NOT(Paths!$C$341=1),0,IF(Paths!$P$341="Complete",O3684+L3684,"n.a."))</f>
        <v>0</v>
      </c>
      <c r="Q3684" s="16">
        <f>IF(NOT(Paths!$C$341=1),0,IF(Paths!$P$341="Complete",N3684*(1+'Operating costs'!$B$54)^-C3684,"n.a."))</f>
        <v>0</v>
      </c>
      <c r="R3684" s="16">
        <f>IF(NOT(Paths!$C$341=1),0,IF(Paths!$P$341="Complete",IF(AND(C3684=0,Paths!$E$341=0),I3684-J3684-K3684+VLOOKUP(A3684,'Fleet register'!$A$7:$S$106,15,FALSE)+VLOOKUP(A3684,'Fleet register'!$A$7:$S$106,16,FALSE),0),"n.a."))</f>
        <v>0</v>
      </c>
      <c r="S3684" s="1">
        <f>IF(NOT(Paths!$C$341=1),0,IF(Paths!$P$341="Complete",IF(C3684=0,0,Paths!$S$341*Paths!$R$341),"n.a."))</f>
        <v>0</v>
      </c>
      <c r="T3684" s="1">
        <f>IF(NOT(Paths!$C$341=1),0,IF(Paths!$P$341="Complete",IF(C3684=0,0,VLOOKUP(A3684,'Fleet register'!$A$7:$S$106,9,FALSE)*Paths!$R$341),"n.a."))</f>
        <v>0</v>
      </c>
    </row>
    <row r="3685" spans="1:20" ht="24" customHeight="1">
      <c r="A3685" s="1" t="str">
        <f>Paths!$A$341</f>
        <v>T084</v>
      </c>
      <c r="B3685" s="1">
        <f>Paths!$B$341</f>
        <v>2</v>
      </c>
      <c r="C3685" s="1">
        <v>4</v>
      </c>
      <c r="D3685" s="1">
        <v>341</v>
      </c>
      <c r="E3685" s="1">
        <f>IF(OR(Paths!$C$341=0,C3685=0),0,MAX(0,MIN(C3685*12,Paths!$E$341)-(C3685-1)*12))</f>
        <v>0</v>
      </c>
      <c r="F3685" s="1">
        <f>IF(OR(Paths!$C$341=0,C3685=0),0,12-E3685)</f>
        <v>0</v>
      </c>
      <c r="G3685" s="16">
        <f>IF(NOT(Paths!$C$341=1),0,IF(Paths!$P$341="Complete",E3685/12*(Paths!$J$341*(1+'Operating costs'!$B$51)^MAX(0,C3685-1)+Paths!$K$341*(1+'Operating costs'!$B$53)^MAX(0,C3685-1)),"n.a."))</f>
        <v>0</v>
      </c>
      <c r="H3685" s="16">
        <f>IF(NOT(Paths!$C$341=1),0,IF(Paths!$P$341="Complete",F3685/12*(Paths!$L$341*(1+IF(Paths!$D$341="EV",'Operating costs'!$B$52,'Operating costs'!$B$51))^MAX(0,C3685-1)+Paths!$M$341*(1+'Operating costs'!$B$53)^MAX(0,C3685-1)),"n.a."))</f>
        <v>0</v>
      </c>
      <c r="I3685" s="16">
        <f>IF(NOT(Paths!$C$341=1),0,IF(Paths!$P$341="Complete",IF(IF(Paths!$E$341=0,C3685=0,AND(C3685&gt;0,Paths!$E$341&gt;(C3685-1)*12,Paths!$E$341&lt;=C3685*12)),Paths!$G$341,0),"n.a."))</f>
        <v>0</v>
      </c>
      <c r="J3685" s="16">
        <f>IF(NOT(Paths!$C$341=1),0,IF(Paths!$P$341="Complete",IF(IF(Paths!$E$341=0,C3685=0,AND(C3685&gt;0,Paths!$E$341&gt;(C3685-1)*12,Paths!$E$341&lt;=C3685*12)),Paths!$H$341,0),"n.a."))</f>
        <v>0</v>
      </c>
      <c r="K3685" s="16">
        <f>IF(NOT(Paths!$C$341=1),0,IF(Paths!$P$341="Complete",IF(IF(Paths!$O$341=0,C3685=0,AND(C3685&gt;0,Paths!$O$341&gt;(C3685-1)*12,Paths!$O$341&lt;=C3685*12)),Paths!$N$341,0),"n.a."))</f>
        <v>0</v>
      </c>
      <c r="L3685" s="16">
        <f>IF(NOT(Paths!$C$341=1),0,IF(Paths!$P$341="Complete",IF(C3685=10,Paths!$I$341,0),"n.a."))</f>
        <v>0</v>
      </c>
      <c r="M3685" s="16">
        <f>IF(NOT(Paths!$C$341=1),0,IF(Paths!$P$341="Complete",IF(AND(Paths!$D$341="EV",Paths!$E$341&lt;120,Paths!$E$341+'Operating costs'!$B$65&gt;Paths!$E$341,Paths!$E$341+'Operating costs'!$B$65&lt;=120,IF(Paths!$E$341+'Operating costs'!$B$65=0,C3685=0,AND(C3685&gt;0,Paths!$E$341+'Operating costs'!$B$65&gt;(C3685-1)*12,Paths!$E$341+'Operating costs'!$B$65&lt;=C3685*12))),'Operating costs'!$B$64,0)+IF(AND('Operating costs'!$B$67&gt;0,'Operating costs'!$B$67&lt;=120,OR(Paths!$D$341="ICE",'Operating costs'!$B$67&lt;=Paths!$E$341),IF('Operating costs'!$B$67=0,C3685=0,AND(C3685&gt;0,'Operating costs'!$B$67&gt;(C3685-1)*12,'Operating costs'!$B$67&lt;=C3685*12))),'Operating costs'!$B$66,0),"n.a."))</f>
        <v>0</v>
      </c>
      <c r="N3685" s="16">
        <f>IF(NOT(Paths!$C$341=1),0,IF(Paths!$P$341="Complete",SUM(G3685:I3685)-J3685-K3685-L3685+M3685+IF(C3685=0,Paths!$F$341,0)+IF(IF(Paths!$E$341=0,C3685=0,AND(C3685&gt;0,Paths!$E$341&gt;(C3685-1)*12,Paths!$E$341&lt;=C3685*12)),VLOOKUP(A3685,'Fleet register'!$A$7:$S$106,16,FALSE),0),"n.a."))</f>
        <v>0</v>
      </c>
      <c r="O3685" s="16">
        <f>IF(NOT(Paths!$C$341=1),0,IF(Paths!$P$341="Complete",N3685-IF(C3685=0,Paths!$F$341,0),"n.a."))</f>
        <v>0</v>
      </c>
      <c r="P3685" s="16">
        <f>IF(NOT(Paths!$C$341=1),0,IF(Paths!$P$341="Complete",O3685+L3685,"n.a."))</f>
        <v>0</v>
      </c>
      <c r="Q3685" s="16">
        <f>IF(NOT(Paths!$C$341=1),0,IF(Paths!$P$341="Complete",N3685*(1+'Operating costs'!$B$54)^-C3685,"n.a."))</f>
        <v>0</v>
      </c>
      <c r="R3685" s="16">
        <f>IF(NOT(Paths!$C$341=1),0,IF(Paths!$P$341="Complete",IF(AND(C3685=0,Paths!$E$341=0),I3685-J3685-K3685+VLOOKUP(A3685,'Fleet register'!$A$7:$S$106,15,FALSE)+VLOOKUP(A3685,'Fleet register'!$A$7:$S$106,16,FALSE),0),"n.a."))</f>
        <v>0</v>
      </c>
      <c r="S3685" s="1">
        <f>IF(NOT(Paths!$C$341=1),0,IF(Paths!$P$341="Complete",IF(C3685=0,0,Paths!$S$341*Paths!$R$341),"n.a."))</f>
        <v>0</v>
      </c>
      <c r="T3685" s="1">
        <f>IF(NOT(Paths!$C$341=1),0,IF(Paths!$P$341="Complete",IF(C3685=0,0,VLOOKUP(A3685,'Fleet register'!$A$7:$S$106,9,FALSE)*Paths!$R$341),"n.a."))</f>
        <v>0</v>
      </c>
    </row>
    <row r="3686" spans="1:20" ht="24" customHeight="1">
      <c r="A3686" s="1" t="str">
        <f>Paths!$A$341</f>
        <v>T084</v>
      </c>
      <c r="B3686" s="1">
        <f>Paths!$B$341</f>
        <v>2</v>
      </c>
      <c r="C3686" s="1">
        <v>5</v>
      </c>
      <c r="D3686" s="1">
        <v>341</v>
      </c>
      <c r="E3686" s="1">
        <f>IF(OR(Paths!$C$341=0,C3686=0),0,MAX(0,MIN(C3686*12,Paths!$E$341)-(C3686-1)*12))</f>
        <v>0</v>
      </c>
      <c r="F3686" s="1">
        <f>IF(OR(Paths!$C$341=0,C3686=0),0,12-E3686)</f>
        <v>0</v>
      </c>
      <c r="G3686" s="16">
        <f>IF(NOT(Paths!$C$341=1),0,IF(Paths!$P$341="Complete",E3686/12*(Paths!$J$341*(1+'Operating costs'!$B$51)^MAX(0,C3686-1)+Paths!$K$341*(1+'Operating costs'!$B$53)^MAX(0,C3686-1)),"n.a."))</f>
        <v>0</v>
      </c>
      <c r="H3686" s="16">
        <f>IF(NOT(Paths!$C$341=1),0,IF(Paths!$P$341="Complete",F3686/12*(Paths!$L$341*(1+IF(Paths!$D$341="EV",'Operating costs'!$B$52,'Operating costs'!$B$51))^MAX(0,C3686-1)+Paths!$M$341*(1+'Operating costs'!$B$53)^MAX(0,C3686-1)),"n.a."))</f>
        <v>0</v>
      </c>
      <c r="I3686" s="16">
        <f>IF(NOT(Paths!$C$341=1),0,IF(Paths!$P$341="Complete",IF(IF(Paths!$E$341=0,C3686=0,AND(C3686&gt;0,Paths!$E$341&gt;(C3686-1)*12,Paths!$E$341&lt;=C3686*12)),Paths!$G$341,0),"n.a."))</f>
        <v>0</v>
      </c>
      <c r="J3686" s="16">
        <f>IF(NOT(Paths!$C$341=1),0,IF(Paths!$P$341="Complete",IF(IF(Paths!$E$341=0,C3686=0,AND(C3686&gt;0,Paths!$E$341&gt;(C3686-1)*12,Paths!$E$341&lt;=C3686*12)),Paths!$H$341,0),"n.a."))</f>
        <v>0</v>
      </c>
      <c r="K3686" s="16">
        <f>IF(NOT(Paths!$C$341=1),0,IF(Paths!$P$341="Complete",IF(IF(Paths!$O$341=0,C3686=0,AND(C3686&gt;0,Paths!$O$341&gt;(C3686-1)*12,Paths!$O$341&lt;=C3686*12)),Paths!$N$341,0),"n.a."))</f>
        <v>0</v>
      </c>
      <c r="L3686" s="16">
        <f>IF(NOT(Paths!$C$341=1),0,IF(Paths!$P$341="Complete",IF(C3686=10,Paths!$I$341,0),"n.a."))</f>
        <v>0</v>
      </c>
      <c r="M3686" s="16">
        <f>IF(NOT(Paths!$C$341=1),0,IF(Paths!$P$341="Complete",IF(AND(Paths!$D$341="EV",Paths!$E$341&lt;120,Paths!$E$341+'Operating costs'!$B$65&gt;Paths!$E$341,Paths!$E$341+'Operating costs'!$B$65&lt;=120,IF(Paths!$E$341+'Operating costs'!$B$65=0,C3686=0,AND(C3686&gt;0,Paths!$E$341+'Operating costs'!$B$65&gt;(C3686-1)*12,Paths!$E$341+'Operating costs'!$B$65&lt;=C3686*12))),'Operating costs'!$B$64,0)+IF(AND('Operating costs'!$B$67&gt;0,'Operating costs'!$B$67&lt;=120,OR(Paths!$D$341="ICE",'Operating costs'!$B$67&lt;=Paths!$E$341),IF('Operating costs'!$B$67=0,C3686=0,AND(C3686&gt;0,'Operating costs'!$B$67&gt;(C3686-1)*12,'Operating costs'!$B$67&lt;=C3686*12))),'Operating costs'!$B$66,0),"n.a."))</f>
        <v>0</v>
      </c>
      <c r="N3686" s="16">
        <f>IF(NOT(Paths!$C$341=1),0,IF(Paths!$P$341="Complete",SUM(G3686:I3686)-J3686-K3686-L3686+M3686+IF(C3686=0,Paths!$F$341,0)+IF(IF(Paths!$E$341=0,C3686=0,AND(C3686&gt;0,Paths!$E$341&gt;(C3686-1)*12,Paths!$E$341&lt;=C3686*12)),VLOOKUP(A3686,'Fleet register'!$A$7:$S$106,16,FALSE),0),"n.a."))</f>
        <v>0</v>
      </c>
      <c r="O3686" s="16">
        <f>IF(NOT(Paths!$C$341=1),0,IF(Paths!$P$341="Complete",N3686-IF(C3686=0,Paths!$F$341,0),"n.a."))</f>
        <v>0</v>
      </c>
      <c r="P3686" s="16">
        <f>IF(NOT(Paths!$C$341=1),0,IF(Paths!$P$341="Complete",O3686+L3686,"n.a."))</f>
        <v>0</v>
      </c>
      <c r="Q3686" s="16">
        <f>IF(NOT(Paths!$C$341=1),0,IF(Paths!$P$341="Complete",N3686*(1+'Operating costs'!$B$54)^-C3686,"n.a."))</f>
        <v>0</v>
      </c>
      <c r="R3686" s="16">
        <f>IF(NOT(Paths!$C$341=1),0,IF(Paths!$P$341="Complete",IF(AND(C3686=0,Paths!$E$341=0),I3686-J3686-K3686+VLOOKUP(A3686,'Fleet register'!$A$7:$S$106,15,FALSE)+VLOOKUP(A3686,'Fleet register'!$A$7:$S$106,16,FALSE),0),"n.a."))</f>
        <v>0</v>
      </c>
      <c r="S3686" s="1">
        <f>IF(NOT(Paths!$C$341=1),0,IF(Paths!$P$341="Complete",IF(C3686=0,0,Paths!$S$341*Paths!$R$341),"n.a."))</f>
        <v>0</v>
      </c>
      <c r="T3686" s="1">
        <f>IF(NOT(Paths!$C$341=1),0,IF(Paths!$P$341="Complete",IF(C3686=0,0,VLOOKUP(A3686,'Fleet register'!$A$7:$S$106,9,FALSE)*Paths!$R$341),"n.a."))</f>
        <v>0</v>
      </c>
    </row>
    <row r="3687" spans="1:20" ht="24" customHeight="1">
      <c r="A3687" s="1" t="str">
        <f>Paths!$A$341</f>
        <v>T084</v>
      </c>
      <c r="B3687" s="1">
        <f>Paths!$B$341</f>
        <v>2</v>
      </c>
      <c r="C3687" s="1">
        <v>6</v>
      </c>
      <c r="D3687" s="1">
        <v>341</v>
      </c>
      <c r="E3687" s="1">
        <f>IF(OR(Paths!$C$341=0,C3687=0),0,MAX(0,MIN(C3687*12,Paths!$E$341)-(C3687-1)*12))</f>
        <v>0</v>
      </c>
      <c r="F3687" s="1">
        <f>IF(OR(Paths!$C$341=0,C3687=0),0,12-E3687)</f>
        <v>0</v>
      </c>
      <c r="G3687" s="16">
        <f>IF(NOT(Paths!$C$341=1),0,IF(Paths!$P$341="Complete",E3687/12*(Paths!$J$341*(1+'Operating costs'!$B$51)^MAX(0,C3687-1)+Paths!$K$341*(1+'Operating costs'!$B$53)^MAX(0,C3687-1)),"n.a."))</f>
        <v>0</v>
      </c>
      <c r="H3687" s="16">
        <f>IF(NOT(Paths!$C$341=1),0,IF(Paths!$P$341="Complete",F3687/12*(Paths!$L$341*(1+IF(Paths!$D$341="EV",'Operating costs'!$B$52,'Operating costs'!$B$51))^MAX(0,C3687-1)+Paths!$M$341*(1+'Operating costs'!$B$53)^MAX(0,C3687-1)),"n.a."))</f>
        <v>0</v>
      </c>
      <c r="I3687" s="16">
        <f>IF(NOT(Paths!$C$341=1),0,IF(Paths!$P$341="Complete",IF(IF(Paths!$E$341=0,C3687=0,AND(C3687&gt;0,Paths!$E$341&gt;(C3687-1)*12,Paths!$E$341&lt;=C3687*12)),Paths!$G$341,0),"n.a."))</f>
        <v>0</v>
      </c>
      <c r="J3687" s="16">
        <f>IF(NOT(Paths!$C$341=1),0,IF(Paths!$P$341="Complete",IF(IF(Paths!$E$341=0,C3687=0,AND(C3687&gt;0,Paths!$E$341&gt;(C3687-1)*12,Paths!$E$341&lt;=C3687*12)),Paths!$H$341,0),"n.a."))</f>
        <v>0</v>
      </c>
      <c r="K3687" s="16">
        <f>IF(NOT(Paths!$C$341=1),0,IF(Paths!$P$341="Complete",IF(IF(Paths!$O$341=0,C3687=0,AND(C3687&gt;0,Paths!$O$341&gt;(C3687-1)*12,Paths!$O$341&lt;=C3687*12)),Paths!$N$341,0),"n.a."))</f>
        <v>0</v>
      </c>
      <c r="L3687" s="16">
        <f>IF(NOT(Paths!$C$341=1),0,IF(Paths!$P$341="Complete",IF(C3687=10,Paths!$I$341,0),"n.a."))</f>
        <v>0</v>
      </c>
      <c r="M3687" s="16">
        <f>IF(NOT(Paths!$C$341=1),0,IF(Paths!$P$341="Complete",IF(AND(Paths!$D$341="EV",Paths!$E$341&lt;120,Paths!$E$341+'Operating costs'!$B$65&gt;Paths!$E$341,Paths!$E$341+'Operating costs'!$B$65&lt;=120,IF(Paths!$E$341+'Operating costs'!$B$65=0,C3687=0,AND(C3687&gt;0,Paths!$E$341+'Operating costs'!$B$65&gt;(C3687-1)*12,Paths!$E$341+'Operating costs'!$B$65&lt;=C3687*12))),'Operating costs'!$B$64,0)+IF(AND('Operating costs'!$B$67&gt;0,'Operating costs'!$B$67&lt;=120,OR(Paths!$D$341="ICE",'Operating costs'!$B$67&lt;=Paths!$E$341),IF('Operating costs'!$B$67=0,C3687=0,AND(C3687&gt;0,'Operating costs'!$B$67&gt;(C3687-1)*12,'Operating costs'!$B$67&lt;=C3687*12))),'Operating costs'!$B$66,0),"n.a."))</f>
        <v>0</v>
      </c>
      <c r="N3687" s="16">
        <f>IF(NOT(Paths!$C$341=1),0,IF(Paths!$P$341="Complete",SUM(G3687:I3687)-J3687-K3687-L3687+M3687+IF(C3687=0,Paths!$F$341,0)+IF(IF(Paths!$E$341=0,C3687=0,AND(C3687&gt;0,Paths!$E$341&gt;(C3687-1)*12,Paths!$E$341&lt;=C3687*12)),VLOOKUP(A3687,'Fleet register'!$A$7:$S$106,16,FALSE),0),"n.a."))</f>
        <v>0</v>
      </c>
      <c r="O3687" s="16">
        <f>IF(NOT(Paths!$C$341=1),0,IF(Paths!$P$341="Complete",N3687-IF(C3687=0,Paths!$F$341,0),"n.a."))</f>
        <v>0</v>
      </c>
      <c r="P3687" s="16">
        <f>IF(NOT(Paths!$C$341=1),0,IF(Paths!$P$341="Complete",O3687+L3687,"n.a."))</f>
        <v>0</v>
      </c>
      <c r="Q3687" s="16">
        <f>IF(NOT(Paths!$C$341=1),0,IF(Paths!$P$341="Complete",N3687*(1+'Operating costs'!$B$54)^-C3687,"n.a."))</f>
        <v>0</v>
      </c>
      <c r="R3687" s="16">
        <f>IF(NOT(Paths!$C$341=1),0,IF(Paths!$P$341="Complete",IF(AND(C3687=0,Paths!$E$341=0),I3687-J3687-K3687+VLOOKUP(A3687,'Fleet register'!$A$7:$S$106,15,FALSE)+VLOOKUP(A3687,'Fleet register'!$A$7:$S$106,16,FALSE),0),"n.a."))</f>
        <v>0</v>
      </c>
      <c r="S3687" s="1">
        <f>IF(NOT(Paths!$C$341=1),0,IF(Paths!$P$341="Complete",IF(C3687=0,0,Paths!$S$341*Paths!$R$341),"n.a."))</f>
        <v>0</v>
      </c>
      <c r="T3687" s="1">
        <f>IF(NOT(Paths!$C$341=1),0,IF(Paths!$P$341="Complete",IF(C3687=0,0,VLOOKUP(A3687,'Fleet register'!$A$7:$S$106,9,FALSE)*Paths!$R$341),"n.a."))</f>
        <v>0</v>
      </c>
    </row>
    <row r="3688" spans="1:20" ht="24" customHeight="1">
      <c r="A3688" s="1" t="str">
        <f>Paths!$A$341</f>
        <v>T084</v>
      </c>
      <c r="B3688" s="1">
        <f>Paths!$B$341</f>
        <v>2</v>
      </c>
      <c r="C3688" s="1">
        <v>7</v>
      </c>
      <c r="D3688" s="1">
        <v>341</v>
      </c>
      <c r="E3688" s="1">
        <f>IF(OR(Paths!$C$341=0,C3688=0),0,MAX(0,MIN(C3688*12,Paths!$E$341)-(C3688-1)*12))</f>
        <v>0</v>
      </c>
      <c r="F3688" s="1">
        <f>IF(OR(Paths!$C$341=0,C3688=0),0,12-E3688)</f>
        <v>0</v>
      </c>
      <c r="G3688" s="16">
        <f>IF(NOT(Paths!$C$341=1),0,IF(Paths!$P$341="Complete",E3688/12*(Paths!$J$341*(1+'Operating costs'!$B$51)^MAX(0,C3688-1)+Paths!$K$341*(1+'Operating costs'!$B$53)^MAX(0,C3688-1)),"n.a."))</f>
        <v>0</v>
      </c>
      <c r="H3688" s="16">
        <f>IF(NOT(Paths!$C$341=1),0,IF(Paths!$P$341="Complete",F3688/12*(Paths!$L$341*(1+IF(Paths!$D$341="EV",'Operating costs'!$B$52,'Operating costs'!$B$51))^MAX(0,C3688-1)+Paths!$M$341*(1+'Operating costs'!$B$53)^MAX(0,C3688-1)),"n.a."))</f>
        <v>0</v>
      </c>
      <c r="I3688" s="16">
        <f>IF(NOT(Paths!$C$341=1),0,IF(Paths!$P$341="Complete",IF(IF(Paths!$E$341=0,C3688=0,AND(C3688&gt;0,Paths!$E$341&gt;(C3688-1)*12,Paths!$E$341&lt;=C3688*12)),Paths!$G$341,0),"n.a."))</f>
        <v>0</v>
      </c>
      <c r="J3688" s="16">
        <f>IF(NOT(Paths!$C$341=1),0,IF(Paths!$P$341="Complete",IF(IF(Paths!$E$341=0,C3688=0,AND(C3688&gt;0,Paths!$E$341&gt;(C3688-1)*12,Paths!$E$341&lt;=C3688*12)),Paths!$H$341,0),"n.a."))</f>
        <v>0</v>
      </c>
      <c r="K3688" s="16">
        <f>IF(NOT(Paths!$C$341=1),0,IF(Paths!$P$341="Complete",IF(IF(Paths!$O$341=0,C3688=0,AND(C3688&gt;0,Paths!$O$341&gt;(C3688-1)*12,Paths!$O$341&lt;=C3688*12)),Paths!$N$341,0),"n.a."))</f>
        <v>0</v>
      </c>
      <c r="L3688" s="16">
        <f>IF(NOT(Paths!$C$341=1),0,IF(Paths!$P$341="Complete",IF(C3688=10,Paths!$I$341,0),"n.a."))</f>
        <v>0</v>
      </c>
      <c r="M3688" s="16">
        <f>IF(NOT(Paths!$C$341=1),0,IF(Paths!$P$341="Complete",IF(AND(Paths!$D$341="EV",Paths!$E$341&lt;120,Paths!$E$341+'Operating costs'!$B$65&gt;Paths!$E$341,Paths!$E$341+'Operating costs'!$B$65&lt;=120,IF(Paths!$E$341+'Operating costs'!$B$65=0,C3688=0,AND(C3688&gt;0,Paths!$E$341+'Operating costs'!$B$65&gt;(C3688-1)*12,Paths!$E$341+'Operating costs'!$B$65&lt;=C3688*12))),'Operating costs'!$B$64,0)+IF(AND('Operating costs'!$B$67&gt;0,'Operating costs'!$B$67&lt;=120,OR(Paths!$D$341="ICE",'Operating costs'!$B$67&lt;=Paths!$E$341),IF('Operating costs'!$B$67=0,C3688=0,AND(C3688&gt;0,'Operating costs'!$B$67&gt;(C3688-1)*12,'Operating costs'!$B$67&lt;=C3688*12))),'Operating costs'!$B$66,0),"n.a."))</f>
        <v>0</v>
      </c>
      <c r="N3688" s="16">
        <f>IF(NOT(Paths!$C$341=1),0,IF(Paths!$P$341="Complete",SUM(G3688:I3688)-J3688-K3688-L3688+M3688+IF(C3688=0,Paths!$F$341,0)+IF(IF(Paths!$E$341=0,C3688=0,AND(C3688&gt;0,Paths!$E$341&gt;(C3688-1)*12,Paths!$E$341&lt;=C3688*12)),VLOOKUP(A3688,'Fleet register'!$A$7:$S$106,16,FALSE),0),"n.a."))</f>
        <v>0</v>
      </c>
      <c r="O3688" s="16">
        <f>IF(NOT(Paths!$C$341=1),0,IF(Paths!$P$341="Complete",N3688-IF(C3688=0,Paths!$F$341,0),"n.a."))</f>
        <v>0</v>
      </c>
      <c r="P3688" s="16">
        <f>IF(NOT(Paths!$C$341=1),0,IF(Paths!$P$341="Complete",O3688+L3688,"n.a."))</f>
        <v>0</v>
      </c>
      <c r="Q3688" s="16">
        <f>IF(NOT(Paths!$C$341=1),0,IF(Paths!$P$341="Complete",N3688*(1+'Operating costs'!$B$54)^-C3688,"n.a."))</f>
        <v>0</v>
      </c>
      <c r="R3688" s="16">
        <f>IF(NOT(Paths!$C$341=1),0,IF(Paths!$P$341="Complete",IF(AND(C3688=0,Paths!$E$341=0),I3688-J3688-K3688+VLOOKUP(A3688,'Fleet register'!$A$7:$S$106,15,FALSE)+VLOOKUP(A3688,'Fleet register'!$A$7:$S$106,16,FALSE),0),"n.a."))</f>
        <v>0</v>
      </c>
      <c r="S3688" s="1">
        <f>IF(NOT(Paths!$C$341=1),0,IF(Paths!$P$341="Complete",IF(C3688=0,0,Paths!$S$341*Paths!$R$341),"n.a."))</f>
        <v>0</v>
      </c>
      <c r="T3688" s="1">
        <f>IF(NOT(Paths!$C$341=1),0,IF(Paths!$P$341="Complete",IF(C3688=0,0,VLOOKUP(A3688,'Fleet register'!$A$7:$S$106,9,FALSE)*Paths!$R$341),"n.a."))</f>
        <v>0</v>
      </c>
    </row>
    <row r="3689" spans="1:20" ht="24" customHeight="1">
      <c r="A3689" s="1" t="str">
        <f>Paths!$A$341</f>
        <v>T084</v>
      </c>
      <c r="B3689" s="1">
        <f>Paths!$B$341</f>
        <v>2</v>
      </c>
      <c r="C3689" s="1">
        <v>8</v>
      </c>
      <c r="D3689" s="1">
        <v>341</v>
      </c>
      <c r="E3689" s="1">
        <f>IF(OR(Paths!$C$341=0,C3689=0),0,MAX(0,MIN(C3689*12,Paths!$E$341)-(C3689-1)*12))</f>
        <v>0</v>
      </c>
      <c r="F3689" s="1">
        <f>IF(OR(Paths!$C$341=0,C3689=0),0,12-E3689)</f>
        <v>0</v>
      </c>
      <c r="G3689" s="16">
        <f>IF(NOT(Paths!$C$341=1),0,IF(Paths!$P$341="Complete",E3689/12*(Paths!$J$341*(1+'Operating costs'!$B$51)^MAX(0,C3689-1)+Paths!$K$341*(1+'Operating costs'!$B$53)^MAX(0,C3689-1)),"n.a."))</f>
        <v>0</v>
      </c>
      <c r="H3689" s="16">
        <f>IF(NOT(Paths!$C$341=1),0,IF(Paths!$P$341="Complete",F3689/12*(Paths!$L$341*(1+IF(Paths!$D$341="EV",'Operating costs'!$B$52,'Operating costs'!$B$51))^MAX(0,C3689-1)+Paths!$M$341*(1+'Operating costs'!$B$53)^MAX(0,C3689-1)),"n.a."))</f>
        <v>0</v>
      </c>
      <c r="I3689" s="16">
        <f>IF(NOT(Paths!$C$341=1),0,IF(Paths!$P$341="Complete",IF(IF(Paths!$E$341=0,C3689=0,AND(C3689&gt;0,Paths!$E$341&gt;(C3689-1)*12,Paths!$E$341&lt;=C3689*12)),Paths!$G$341,0),"n.a."))</f>
        <v>0</v>
      </c>
      <c r="J3689" s="16">
        <f>IF(NOT(Paths!$C$341=1),0,IF(Paths!$P$341="Complete",IF(IF(Paths!$E$341=0,C3689=0,AND(C3689&gt;0,Paths!$E$341&gt;(C3689-1)*12,Paths!$E$341&lt;=C3689*12)),Paths!$H$341,0),"n.a."))</f>
        <v>0</v>
      </c>
      <c r="K3689" s="16">
        <f>IF(NOT(Paths!$C$341=1),0,IF(Paths!$P$341="Complete",IF(IF(Paths!$O$341=0,C3689=0,AND(C3689&gt;0,Paths!$O$341&gt;(C3689-1)*12,Paths!$O$341&lt;=C3689*12)),Paths!$N$341,0),"n.a."))</f>
        <v>0</v>
      </c>
      <c r="L3689" s="16">
        <f>IF(NOT(Paths!$C$341=1),0,IF(Paths!$P$341="Complete",IF(C3689=10,Paths!$I$341,0),"n.a."))</f>
        <v>0</v>
      </c>
      <c r="M3689" s="16">
        <f>IF(NOT(Paths!$C$341=1),0,IF(Paths!$P$341="Complete",IF(AND(Paths!$D$341="EV",Paths!$E$341&lt;120,Paths!$E$341+'Operating costs'!$B$65&gt;Paths!$E$341,Paths!$E$341+'Operating costs'!$B$65&lt;=120,IF(Paths!$E$341+'Operating costs'!$B$65=0,C3689=0,AND(C3689&gt;0,Paths!$E$341+'Operating costs'!$B$65&gt;(C3689-1)*12,Paths!$E$341+'Operating costs'!$B$65&lt;=C3689*12))),'Operating costs'!$B$64,0)+IF(AND('Operating costs'!$B$67&gt;0,'Operating costs'!$B$67&lt;=120,OR(Paths!$D$341="ICE",'Operating costs'!$B$67&lt;=Paths!$E$341),IF('Operating costs'!$B$67=0,C3689=0,AND(C3689&gt;0,'Operating costs'!$B$67&gt;(C3689-1)*12,'Operating costs'!$B$67&lt;=C3689*12))),'Operating costs'!$B$66,0),"n.a."))</f>
        <v>0</v>
      </c>
      <c r="N3689" s="16">
        <f>IF(NOT(Paths!$C$341=1),0,IF(Paths!$P$341="Complete",SUM(G3689:I3689)-J3689-K3689-L3689+M3689+IF(C3689=0,Paths!$F$341,0)+IF(IF(Paths!$E$341=0,C3689=0,AND(C3689&gt;0,Paths!$E$341&gt;(C3689-1)*12,Paths!$E$341&lt;=C3689*12)),VLOOKUP(A3689,'Fleet register'!$A$7:$S$106,16,FALSE),0),"n.a."))</f>
        <v>0</v>
      </c>
      <c r="O3689" s="16">
        <f>IF(NOT(Paths!$C$341=1),0,IF(Paths!$P$341="Complete",N3689-IF(C3689=0,Paths!$F$341,0),"n.a."))</f>
        <v>0</v>
      </c>
      <c r="P3689" s="16">
        <f>IF(NOT(Paths!$C$341=1),0,IF(Paths!$P$341="Complete",O3689+L3689,"n.a."))</f>
        <v>0</v>
      </c>
      <c r="Q3689" s="16">
        <f>IF(NOT(Paths!$C$341=1),0,IF(Paths!$P$341="Complete",N3689*(1+'Operating costs'!$B$54)^-C3689,"n.a."))</f>
        <v>0</v>
      </c>
      <c r="R3689" s="16">
        <f>IF(NOT(Paths!$C$341=1),0,IF(Paths!$P$341="Complete",IF(AND(C3689=0,Paths!$E$341=0),I3689-J3689-K3689+VLOOKUP(A3689,'Fleet register'!$A$7:$S$106,15,FALSE)+VLOOKUP(A3689,'Fleet register'!$A$7:$S$106,16,FALSE),0),"n.a."))</f>
        <v>0</v>
      </c>
      <c r="S3689" s="1">
        <f>IF(NOT(Paths!$C$341=1),0,IF(Paths!$P$341="Complete",IF(C3689=0,0,Paths!$S$341*Paths!$R$341),"n.a."))</f>
        <v>0</v>
      </c>
      <c r="T3689" s="1">
        <f>IF(NOT(Paths!$C$341=1),0,IF(Paths!$P$341="Complete",IF(C3689=0,0,VLOOKUP(A3689,'Fleet register'!$A$7:$S$106,9,FALSE)*Paths!$R$341),"n.a."))</f>
        <v>0</v>
      </c>
    </row>
    <row r="3690" spans="1:20" ht="24" customHeight="1">
      <c r="A3690" s="1" t="str">
        <f>Paths!$A$341</f>
        <v>T084</v>
      </c>
      <c r="B3690" s="1">
        <f>Paths!$B$341</f>
        <v>2</v>
      </c>
      <c r="C3690" s="1">
        <v>9</v>
      </c>
      <c r="D3690" s="1">
        <v>341</v>
      </c>
      <c r="E3690" s="1">
        <f>IF(OR(Paths!$C$341=0,C3690=0),0,MAX(0,MIN(C3690*12,Paths!$E$341)-(C3690-1)*12))</f>
        <v>0</v>
      </c>
      <c r="F3690" s="1">
        <f>IF(OR(Paths!$C$341=0,C3690=0),0,12-E3690)</f>
        <v>0</v>
      </c>
      <c r="G3690" s="16">
        <f>IF(NOT(Paths!$C$341=1),0,IF(Paths!$P$341="Complete",E3690/12*(Paths!$J$341*(1+'Operating costs'!$B$51)^MAX(0,C3690-1)+Paths!$K$341*(1+'Operating costs'!$B$53)^MAX(0,C3690-1)),"n.a."))</f>
        <v>0</v>
      </c>
      <c r="H3690" s="16">
        <f>IF(NOT(Paths!$C$341=1),0,IF(Paths!$P$341="Complete",F3690/12*(Paths!$L$341*(1+IF(Paths!$D$341="EV",'Operating costs'!$B$52,'Operating costs'!$B$51))^MAX(0,C3690-1)+Paths!$M$341*(1+'Operating costs'!$B$53)^MAX(0,C3690-1)),"n.a."))</f>
        <v>0</v>
      </c>
      <c r="I3690" s="16">
        <f>IF(NOT(Paths!$C$341=1),0,IF(Paths!$P$341="Complete",IF(IF(Paths!$E$341=0,C3690=0,AND(C3690&gt;0,Paths!$E$341&gt;(C3690-1)*12,Paths!$E$341&lt;=C3690*12)),Paths!$G$341,0),"n.a."))</f>
        <v>0</v>
      </c>
      <c r="J3690" s="16">
        <f>IF(NOT(Paths!$C$341=1),0,IF(Paths!$P$341="Complete",IF(IF(Paths!$E$341=0,C3690=0,AND(C3690&gt;0,Paths!$E$341&gt;(C3690-1)*12,Paths!$E$341&lt;=C3690*12)),Paths!$H$341,0),"n.a."))</f>
        <v>0</v>
      </c>
      <c r="K3690" s="16">
        <f>IF(NOT(Paths!$C$341=1),0,IF(Paths!$P$341="Complete",IF(IF(Paths!$O$341=0,C3690=0,AND(C3690&gt;0,Paths!$O$341&gt;(C3690-1)*12,Paths!$O$341&lt;=C3690*12)),Paths!$N$341,0),"n.a."))</f>
        <v>0</v>
      </c>
      <c r="L3690" s="16">
        <f>IF(NOT(Paths!$C$341=1),0,IF(Paths!$P$341="Complete",IF(C3690=10,Paths!$I$341,0),"n.a."))</f>
        <v>0</v>
      </c>
      <c r="M3690" s="16">
        <f>IF(NOT(Paths!$C$341=1),0,IF(Paths!$P$341="Complete",IF(AND(Paths!$D$341="EV",Paths!$E$341&lt;120,Paths!$E$341+'Operating costs'!$B$65&gt;Paths!$E$341,Paths!$E$341+'Operating costs'!$B$65&lt;=120,IF(Paths!$E$341+'Operating costs'!$B$65=0,C3690=0,AND(C3690&gt;0,Paths!$E$341+'Operating costs'!$B$65&gt;(C3690-1)*12,Paths!$E$341+'Operating costs'!$B$65&lt;=C3690*12))),'Operating costs'!$B$64,0)+IF(AND('Operating costs'!$B$67&gt;0,'Operating costs'!$B$67&lt;=120,OR(Paths!$D$341="ICE",'Operating costs'!$B$67&lt;=Paths!$E$341),IF('Operating costs'!$B$67=0,C3690=0,AND(C3690&gt;0,'Operating costs'!$B$67&gt;(C3690-1)*12,'Operating costs'!$B$67&lt;=C3690*12))),'Operating costs'!$B$66,0),"n.a."))</f>
        <v>0</v>
      </c>
      <c r="N3690" s="16">
        <f>IF(NOT(Paths!$C$341=1),0,IF(Paths!$P$341="Complete",SUM(G3690:I3690)-J3690-K3690-L3690+M3690+IF(C3690=0,Paths!$F$341,0)+IF(IF(Paths!$E$341=0,C3690=0,AND(C3690&gt;0,Paths!$E$341&gt;(C3690-1)*12,Paths!$E$341&lt;=C3690*12)),VLOOKUP(A3690,'Fleet register'!$A$7:$S$106,16,FALSE),0),"n.a."))</f>
        <v>0</v>
      </c>
      <c r="O3690" s="16">
        <f>IF(NOT(Paths!$C$341=1),0,IF(Paths!$P$341="Complete",N3690-IF(C3690=0,Paths!$F$341,0),"n.a."))</f>
        <v>0</v>
      </c>
      <c r="P3690" s="16">
        <f>IF(NOT(Paths!$C$341=1),0,IF(Paths!$P$341="Complete",O3690+L3690,"n.a."))</f>
        <v>0</v>
      </c>
      <c r="Q3690" s="16">
        <f>IF(NOT(Paths!$C$341=1),0,IF(Paths!$P$341="Complete",N3690*(1+'Operating costs'!$B$54)^-C3690,"n.a."))</f>
        <v>0</v>
      </c>
      <c r="R3690" s="16">
        <f>IF(NOT(Paths!$C$341=1),0,IF(Paths!$P$341="Complete",IF(AND(C3690=0,Paths!$E$341=0),I3690-J3690-K3690+VLOOKUP(A3690,'Fleet register'!$A$7:$S$106,15,FALSE)+VLOOKUP(A3690,'Fleet register'!$A$7:$S$106,16,FALSE),0),"n.a."))</f>
        <v>0</v>
      </c>
      <c r="S3690" s="1">
        <f>IF(NOT(Paths!$C$341=1),0,IF(Paths!$P$341="Complete",IF(C3690=0,0,Paths!$S$341*Paths!$R$341),"n.a."))</f>
        <v>0</v>
      </c>
      <c r="T3690" s="1">
        <f>IF(NOT(Paths!$C$341=1),0,IF(Paths!$P$341="Complete",IF(C3690=0,0,VLOOKUP(A3690,'Fleet register'!$A$7:$S$106,9,FALSE)*Paths!$R$341),"n.a."))</f>
        <v>0</v>
      </c>
    </row>
    <row r="3691" spans="1:20" ht="24" customHeight="1">
      <c r="A3691" s="1" t="str">
        <f>Paths!$A$341</f>
        <v>T084</v>
      </c>
      <c r="B3691" s="1">
        <f>Paths!$B$341</f>
        <v>2</v>
      </c>
      <c r="C3691" s="1">
        <v>10</v>
      </c>
      <c r="D3691" s="1">
        <v>341</v>
      </c>
      <c r="E3691" s="1">
        <f>IF(OR(Paths!$C$341=0,C3691=0),0,MAX(0,MIN(C3691*12,Paths!$E$341)-(C3691-1)*12))</f>
        <v>0</v>
      </c>
      <c r="F3691" s="1">
        <f>IF(OR(Paths!$C$341=0,C3691=0),0,12-E3691)</f>
        <v>0</v>
      </c>
      <c r="G3691" s="16">
        <f>IF(NOT(Paths!$C$341=1),0,IF(Paths!$P$341="Complete",E3691/12*(Paths!$J$341*(1+'Operating costs'!$B$51)^MAX(0,C3691-1)+Paths!$K$341*(1+'Operating costs'!$B$53)^MAX(0,C3691-1)),"n.a."))</f>
        <v>0</v>
      </c>
      <c r="H3691" s="16">
        <f>IF(NOT(Paths!$C$341=1),0,IF(Paths!$P$341="Complete",F3691/12*(Paths!$L$341*(1+IF(Paths!$D$341="EV",'Operating costs'!$B$52,'Operating costs'!$B$51))^MAX(0,C3691-1)+Paths!$M$341*(1+'Operating costs'!$B$53)^MAX(0,C3691-1)),"n.a."))</f>
        <v>0</v>
      </c>
      <c r="I3691" s="16">
        <f>IF(NOT(Paths!$C$341=1),0,IF(Paths!$P$341="Complete",IF(IF(Paths!$E$341=0,C3691=0,AND(C3691&gt;0,Paths!$E$341&gt;(C3691-1)*12,Paths!$E$341&lt;=C3691*12)),Paths!$G$341,0),"n.a."))</f>
        <v>0</v>
      </c>
      <c r="J3691" s="16">
        <f>IF(NOT(Paths!$C$341=1),0,IF(Paths!$P$341="Complete",IF(IF(Paths!$E$341=0,C3691=0,AND(C3691&gt;0,Paths!$E$341&gt;(C3691-1)*12,Paths!$E$341&lt;=C3691*12)),Paths!$H$341,0),"n.a."))</f>
        <v>0</v>
      </c>
      <c r="K3691" s="16">
        <f>IF(NOT(Paths!$C$341=1),0,IF(Paths!$P$341="Complete",IF(IF(Paths!$O$341=0,C3691=0,AND(C3691&gt;0,Paths!$O$341&gt;(C3691-1)*12,Paths!$O$341&lt;=C3691*12)),Paths!$N$341,0),"n.a."))</f>
        <v>0</v>
      </c>
      <c r="L3691" s="16">
        <f>IF(NOT(Paths!$C$341=1),0,IF(Paths!$P$341="Complete",IF(C3691=10,Paths!$I$341,0),"n.a."))</f>
        <v>0</v>
      </c>
      <c r="M3691" s="16">
        <f>IF(NOT(Paths!$C$341=1),0,IF(Paths!$P$341="Complete",IF(AND(Paths!$D$341="EV",Paths!$E$341&lt;120,Paths!$E$341+'Operating costs'!$B$65&gt;Paths!$E$341,Paths!$E$341+'Operating costs'!$B$65&lt;=120,IF(Paths!$E$341+'Operating costs'!$B$65=0,C3691=0,AND(C3691&gt;0,Paths!$E$341+'Operating costs'!$B$65&gt;(C3691-1)*12,Paths!$E$341+'Operating costs'!$B$65&lt;=C3691*12))),'Operating costs'!$B$64,0)+IF(AND('Operating costs'!$B$67&gt;0,'Operating costs'!$B$67&lt;=120,OR(Paths!$D$341="ICE",'Operating costs'!$B$67&lt;=Paths!$E$341),IF('Operating costs'!$B$67=0,C3691=0,AND(C3691&gt;0,'Operating costs'!$B$67&gt;(C3691-1)*12,'Operating costs'!$B$67&lt;=C3691*12))),'Operating costs'!$B$66,0),"n.a."))</f>
        <v>0</v>
      </c>
      <c r="N3691" s="16">
        <f>IF(NOT(Paths!$C$341=1),0,IF(Paths!$P$341="Complete",SUM(G3691:I3691)-J3691-K3691-L3691+M3691+IF(C3691=0,Paths!$F$341,0)+IF(IF(Paths!$E$341=0,C3691=0,AND(C3691&gt;0,Paths!$E$341&gt;(C3691-1)*12,Paths!$E$341&lt;=C3691*12)),VLOOKUP(A3691,'Fleet register'!$A$7:$S$106,16,FALSE),0),"n.a."))</f>
        <v>0</v>
      </c>
      <c r="O3691" s="16">
        <f>IF(NOT(Paths!$C$341=1),0,IF(Paths!$P$341="Complete",N3691-IF(C3691=0,Paths!$F$341,0),"n.a."))</f>
        <v>0</v>
      </c>
      <c r="P3691" s="16">
        <f>IF(NOT(Paths!$C$341=1),0,IF(Paths!$P$341="Complete",O3691+L3691,"n.a."))</f>
        <v>0</v>
      </c>
      <c r="Q3691" s="16">
        <f>IF(NOT(Paths!$C$341=1),0,IF(Paths!$P$341="Complete",N3691*(1+'Operating costs'!$B$54)^-C3691,"n.a."))</f>
        <v>0</v>
      </c>
      <c r="R3691" s="16">
        <f>IF(NOT(Paths!$C$341=1),0,IF(Paths!$P$341="Complete",IF(AND(C3691=0,Paths!$E$341=0),I3691-J3691-K3691+VLOOKUP(A3691,'Fleet register'!$A$7:$S$106,15,FALSE)+VLOOKUP(A3691,'Fleet register'!$A$7:$S$106,16,FALSE),0),"n.a."))</f>
        <v>0</v>
      </c>
      <c r="S3691" s="1">
        <f>IF(NOT(Paths!$C$341=1),0,IF(Paths!$P$341="Complete",IF(C3691=0,0,Paths!$S$341*Paths!$R$341),"n.a."))</f>
        <v>0</v>
      </c>
      <c r="T3691" s="1">
        <f>IF(NOT(Paths!$C$341=1),0,IF(Paths!$P$341="Complete",IF(C3691=0,0,VLOOKUP(A3691,'Fleet register'!$A$7:$S$106,9,FALSE)*Paths!$R$341),"n.a."))</f>
        <v>0</v>
      </c>
    </row>
    <row r="3692" spans="1:20" ht="24" customHeight="1">
      <c r="A3692" s="1" t="str">
        <f>Paths!$A$342</f>
        <v>T084</v>
      </c>
      <c r="B3692" s="1">
        <f>Paths!$B$342</f>
        <v>3</v>
      </c>
      <c r="C3692" s="1">
        <v>0</v>
      </c>
      <c r="D3692" s="1">
        <v>342</v>
      </c>
      <c r="E3692" s="1">
        <f>IF(OR(Paths!$C$342=0,C3692=0),0,MAX(0,MIN(C3692*12,Paths!$E$342)-(C3692-1)*12))</f>
        <v>0</v>
      </c>
      <c r="F3692" s="1">
        <f>IF(OR(Paths!$C$342=0,C3692=0),0,12-E3692)</f>
        <v>0</v>
      </c>
      <c r="G3692" s="16">
        <f>IF(NOT(Paths!$C$342=1),0,IF(Paths!$P$342="Complete",E3692/12*(Paths!$J$342*(1+'Operating costs'!$B$51)^MAX(0,C3692-1)+Paths!$K$342*(1+'Operating costs'!$B$53)^MAX(0,C3692-1)),"n.a."))</f>
        <v>0</v>
      </c>
      <c r="H3692" s="16">
        <f>IF(NOT(Paths!$C$342=1),0,IF(Paths!$P$342="Complete",F3692/12*(Paths!$L$342*(1+IF(Paths!$D$342="EV",'Operating costs'!$B$52,'Operating costs'!$B$51))^MAX(0,C3692-1)+Paths!$M$342*(1+'Operating costs'!$B$53)^MAX(0,C3692-1)),"n.a."))</f>
        <v>0</v>
      </c>
      <c r="I3692" s="16">
        <f>IF(NOT(Paths!$C$342=1),0,IF(Paths!$P$342="Complete",IF(IF(Paths!$E$342=0,C3692=0,AND(C3692&gt;0,Paths!$E$342&gt;(C3692-1)*12,Paths!$E$342&lt;=C3692*12)),Paths!$G$342,0),"n.a."))</f>
        <v>0</v>
      </c>
      <c r="J3692" s="16">
        <f>IF(NOT(Paths!$C$342=1),0,IF(Paths!$P$342="Complete",IF(IF(Paths!$E$342=0,C3692=0,AND(C3692&gt;0,Paths!$E$342&gt;(C3692-1)*12,Paths!$E$342&lt;=C3692*12)),Paths!$H$342,0),"n.a."))</f>
        <v>0</v>
      </c>
      <c r="K3692" s="16">
        <f>IF(NOT(Paths!$C$342=1),0,IF(Paths!$P$342="Complete",IF(IF(Paths!$O$342=0,C3692=0,AND(C3692&gt;0,Paths!$O$342&gt;(C3692-1)*12,Paths!$O$342&lt;=C3692*12)),Paths!$N$342,0),"n.a."))</f>
        <v>0</v>
      </c>
      <c r="L3692" s="16">
        <f>IF(NOT(Paths!$C$342=1),0,IF(Paths!$P$342="Complete",IF(C3692=10,Paths!$I$342,0),"n.a."))</f>
        <v>0</v>
      </c>
      <c r="M3692" s="16">
        <f>IF(NOT(Paths!$C$342=1),0,IF(Paths!$P$342="Complete",IF(AND(Paths!$D$342="EV",Paths!$E$342&lt;120,Paths!$E$342+'Operating costs'!$B$65&gt;Paths!$E$342,Paths!$E$342+'Operating costs'!$B$65&lt;=120,IF(Paths!$E$342+'Operating costs'!$B$65=0,C3692=0,AND(C3692&gt;0,Paths!$E$342+'Operating costs'!$B$65&gt;(C3692-1)*12,Paths!$E$342+'Operating costs'!$B$65&lt;=C3692*12))),'Operating costs'!$B$64,0)+IF(AND('Operating costs'!$B$67&gt;0,'Operating costs'!$B$67&lt;=120,OR(Paths!$D$342="ICE",'Operating costs'!$B$67&lt;=Paths!$E$342),IF('Operating costs'!$B$67=0,C3692=0,AND(C3692&gt;0,'Operating costs'!$B$67&gt;(C3692-1)*12,'Operating costs'!$B$67&lt;=C3692*12))),'Operating costs'!$B$66,0),"n.a."))</f>
        <v>0</v>
      </c>
      <c r="N3692" s="16">
        <f>IF(NOT(Paths!$C$342=1),0,IF(Paths!$P$342="Complete",SUM(G3692:I3692)-J3692-K3692-L3692+M3692+IF(C3692=0,Paths!$F$342,0)+IF(IF(Paths!$E$342=0,C3692=0,AND(C3692&gt;0,Paths!$E$342&gt;(C3692-1)*12,Paths!$E$342&lt;=C3692*12)),VLOOKUP(A3692,'Fleet register'!$A$7:$S$106,16,FALSE),0),"n.a."))</f>
        <v>0</v>
      </c>
      <c r="O3692" s="16">
        <f>IF(NOT(Paths!$C$342=1),0,IF(Paths!$P$342="Complete",N3692-IF(C3692=0,Paths!$F$342,0),"n.a."))</f>
        <v>0</v>
      </c>
      <c r="P3692" s="16">
        <f>IF(NOT(Paths!$C$342=1),0,IF(Paths!$P$342="Complete",O3692+L3692,"n.a."))</f>
        <v>0</v>
      </c>
      <c r="Q3692" s="16">
        <f>IF(NOT(Paths!$C$342=1),0,IF(Paths!$P$342="Complete",N3692*(1+'Operating costs'!$B$54)^-C3692,"n.a."))</f>
        <v>0</v>
      </c>
      <c r="R3692" s="16">
        <f>IF(NOT(Paths!$C$342=1),0,IF(Paths!$P$342="Complete",IF(AND(C3692=0,Paths!$E$342=0),I3692-J3692-K3692+VLOOKUP(A3692,'Fleet register'!$A$7:$S$106,15,FALSE)+VLOOKUP(A3692,'Fleet register'!$A$7:$S$106,16,FALSE),0),"n.a."))</f>
        <v>0</v>
      </c>
      <c r="S3692" s="1">
        <f>IF(NOT(Paths!$C$342=1),0,IF(Paths!$P$342="Complete",IF(C3692=0,0,Paths!$S$342*Paths!$R$342),"n.a."))</f>
        <v>0</v>
      </c>
      <c r="T3692" s="1">
        <f>IF(NOT(Paths!$C$342=1),0,IF(Paths!$P$342="Complete",IF(C3692=0,0,VLOOKUP(A3692,'Fleet register'!$A$7:$S$106,9,FALSE)*Paths!$R$342),"n.a."))</f>
        <v>0</v>
      </c>
    </row>
    <row r="3693" spans="1:20" ht="24" customHeight="1">
      <c r="A3693" s="1" t="str">
        <f>Paths!$A$342</f>
        <v>T084</v>
      </c>
      <c r="B3693" s="1">
        <f>Paths!$B$342</f>
        <v>3</v>
      </c>
      <c r="C3693" s="1">
        <v>1</v>
      </c>
      <c r="D3693" s="1">
        <v>342</v>
      </c>
      <c r="E3693" s="1">
        <f>IF(OR(Paths!$C$342=0,C3693=0),0,MAX(0,MIN(C3693*12,Paths!$E$342)-(C3693-1)*12))</f>
        <v>0</v>
      </c>
      <c r="F3693" s="1">
        <f>IF(OR(Paths!$C$342=0,C3693=0),0,12-E3693)</f>
        <v>0</v>
      </c>
      <c r="G3693" s="16">
        <f>IF(NOT(Paths!$C$342=1),0,IF(Paths!$P$342="Complete",E3693/12*(Paths!$J$342*(1+'Operating costs'!$B$51)^MAX(0,C3693-1)+Paths!$K$342*(1+'Operating costs'!$B$53)^MAX(0,C3693-1)),"n.a."))</f>
        <v>0</v>
      </c>
      <c r="H3693" s="16">
        <f>IF(NOT(Paths!$C$342=1),0,IF(Paths!$P$342="Complete",F3693/12*(Paths!$L$342*(1+IF(Paths!$D$342="EV",'Operating costs'!$B$52,'Operating costs'!$B$51))^MAX(0,C3693-1)+Paths!$M$342*(1+'Operating costs'!$B$53)^MAX(0,C3693-1)),"n.a."))</f>
        <v>0</v>
      </c>
      <c r="I3693" s="16">
        <f>IF(NOT(Paths!$C$342=1),0,IF(Paths!$P$342="Complete",IF(IF(Paths!$E$342=0,C3693=0,AND(C3693&gt;0,Paths!$E$342&gt;(C3693-1)*12,Paths!$E$342&lt;=C3693*12)),Paths!$G$342,0),"n.a."))</f>
        <v>0</v>
      </c>
      <c r="J3693" s="16">
        <f>IF(NOT(Paths!$C$342=1),0,IF(Paths!$P$342="Complete",IF(IF(Paths!$E$342=0,C3693=0,AND(C3693&gt;0,Paths!$E$342&gt;(C3693-1)*12,Paths!$E$342&lt;=C3693*12)),Paths!$H$342,0),"n.a."))</f>
        <v>0</v>
      </c>
      <c r="K3693" s="16">
        <f>IF(NOT(Paths!$C$342=1),0,IF(Paths!$P$342="Complete",IF(IF(Paths!$O$342=0,C3693=0,AND(C3693&gt;0,Paths!$O$342&gt;(C3693-1)*12,Paths!$O$342&lt;=C3693*12)),Paths!$N$342,0),"n.a."))</f>
        <v>0</v>
      </c>
      <c r="L3693" s="16">
        <f>IF(NOT(Paths!$C$342=1),0,IF(Paths!$P$342="Complete",IF(C3693=10,Paths!$I$342,0),"n.a."))</f>
        <v>0</v>
      </c>
      <c r="M3693" s="16">
        <f>IF(NOT(Paths!$C$342=1),0,IF(Paths!$P$342="Complete",IF(AND(Paths!$D$342="EV",Paths!$E$342&lt;120,Paths!$E$342+'Operating costs'!$B$65&gt;Paths!$E$342,Paths!$E$342+'Operating costs'!$B$65&lt;=120,IF(Paths!$E$342+'Operating costs'!$B$65=0,C3693=0,AND(C3693&gt;0,Paths!$E$342+'Operating costs'!$B$65&gt;(C3693-1)*12,Paths!$E$342+'Operating costs'!$B$65&lt;=C3693*12))),'Operating costs'!$B$64,0)+IF(AND('Operating costs'!$B$67&gt;0,'Operating costs'!$B$67&lt;=120,OR(Paths!$D$342="ICE",'Operating costs'!$B$67&lt;=Paths!$E$342),IF('Operating costs'!$B$67=0,C3693=0,AND(C3693&gt;0,'Operating costs'!$B$67&gt;(C3693-1)*12,'Operating costs'!$B$67&lt;=C3693*12))),'Operating costs'!$B$66,0),"n.a."))</f>
        <v>0</v>
      </c>
      <c r="N3693" s="16">
        <f>IF(NOT(Paths!$C$342=1),0,IF(Paths!$P$342="Complete",SUM(G3693:I3693)-J3693-K3693-L3693+M3693+IF(C3693=0,Paths!$F$342,0)+IF(IF(Paths!$E$342=0,C3693=0,AND(C3693&gt;0,Paths!$E$342&gt;(C3693-1)*12,Paths!$E$342&lt;=C3693*12)),VLOOKUP(A3693,'Fleet register'!$A$7:$S$106,16,FALSE),0),"n.a."))</f>
        <v>0</v>
      </c>
      <c r="O3693" s="16">
        <f>IF(NOT(Paths!$C$342=1),0,IF(Paths!$P$342="Complete",N3693-IF(C3693=0,Paths!$F$342,0),"n.a."))</f>
        <v>0</v>
      </c>
      <c r="P3693" s="16">
        <f>IF(NOT(Paths!$C$342=1),0,IF(Paths!$P$342="Complete",O3693+L3693,"n.a."))</f>
        <v>0</v>
      </c>
      <c r="Q3693" s="16">
        <f>IF(NOT(Paths!$C$342=1),0,IF(Paths!$P$342="Complete",N3693*(1+'Operating costs'!$B$54)^-C3693,"n.a."))</f>
        <v>0</v>
      </c>
      <c r="R3693" s="16">
        <f>IF(NOT(Paths!$C$342=1),0,IF(Paths!$P$342="Complete",IF(AND(C3693=0,Paths!$E$342=0),I3693-J3693-K3693+VLOOKUP(A3693,'Fleet register'!$A$7:$S$106,15,FALSE)+VLOOKUP(A3693,'Fleet register'!$A$7:$S$106,16,FALSE),0),"n.a."))</f>
        <v>0</v>
      </c>
      <c r="S3693" s="1">
        <f>IF(NOT(Paths!$C$342=1),0,IF(Paths!$P$342="Complete",IF(C3693=0,0,Paths!$S$342*Paths!$R$342),"n.a."))</f>
        <v>0</v>
      </c>
      <c r="T3693" s="1">
        <f>IF(NOT(Paths!$C$342=1),0,IF(Paths!$P$342="Complete",IF(C3693=0,0,VLOOKUP(A3693,'Fleet register'!$A$7:$S$106,9,FALSE)*Paths!$R$342),"n.a."))</f>
        <v>0</v>
      </c>
    </row>
    <row r="3694" spans="1:20" ht="24" customHeight="1">
      <c r="A3694" s="1" t="str">
        <f>Paths!$A$342</f>
        <v>T084</v>
      </c>
      <c r="B3694" s="1">
        <f>Paths!$B$342</f>
        <v>3</v>
      </c>
      <c r="C3694" s="1">
        <v>2</v>
      </c>
      <c r="D3694" s="1">
        <v>342</v>
      </c>
      <c r="E3694" s="1">
        <f>IF(OR(Paths!$C$342=0,C3694=0),0,MAX(0,MIN(C3694*12,Paths!$E$342)-(C3694-1)*12))</f>
        <v>0</v>
      </c>
      <c r="F3694" s="1">
        <f>IF(OR(Paths!$C$342=0,C3694=0),0,12-E3694)</f>
        <v>0</v>
      </c>
      <c r="G3694" s="16">
        <f>IF(NOT(Paths!$C$342=1),0,IF(Paths!$P$342="Complete",E3694/12*(Paths!$J$342*(1+'Operating costs'!$B$51)^MAX(0,C3694-1)+Paths!$K$342*(1+'Operating costs'!$B$53)^MAX(0,C3694-1)),"n.a."))</f>
        <v>0</v>
      </c>
      <c r="H3694" s="16">
        <f>IF(NOT(Paths!$C$342=1),0,IF(Paths!$P$342="Complete",F3694/12*(Paths!$L$342*(1+IF(Paths!$D$342="EV",'Operating costs'!$B$52,'Operating costs'!$B$51))^MAX(0,C3694-1)+Paths!$M$342*(1+'Operating costs'!$B$53)^MAX(0,C3694-1)),"n.a."))</f>
        <v>0</v>
      </c>
      <c r="I3694" s="16">
        <f>IF(NOT(Paths!$C$342=1),0,IF(Paths!$P$342="Complete",IF(IF(Paths!$E$342=0,C3694=0,AND(C3694&gt;0,Paths!$E$342&gt;(C3694-1)*12,Paths!$E$342&lt;=C3694*12)),Paths!$G$342,0),"n.a."))</f>
        <v>0</v>
      </c>
      <c r="J3694" s="16">
        <f>IF(NOT(Paths!$C$342=1),0,IF(Paths!$P$342="Complete",IF(IF(Paths!$E$342=0,C3694=0,AND(C3694&gt;0,Paths!$E$342&gt;(C3694-1)*12,Paths!$E$342&lt;=C3694*12)),Paths!$H$342,0),"n.a."))</f>
        <v>0</v>
      </c>
      <c r="K3694" s="16">
        <f>IF(NOT(Paths!$C$342=1),0,IF(Paths!$P$342="Complete",IF(IF(Paths!$O$342=0,C3694=0,AND(C3694&gt;0,Paths!$O$342&gt;(C3694-1)*12,Paths!$O$342&lt;=C3694*12)),Paths!$N$342,0),"n.a."))</f>
        <v>0</v>
      </c>
      <c r="L3694" s="16">
        <f>IF(NOT(Paths!$C$342=1),0,IF(Paths!$P$342="Complete",IF(C3694=10,Paths!$I$342,0),"n.a."))</f>
        <v>0</v>
      </c>
      <c r="M3694" s="16">
        <f>IF(NOT(Paths!$C$342=1),0,IF(Paths!$P$342="Complete",IF(AND(Paths!$D$342="EV",Paths!$E$342&lt;120,Paths!$E$342+'Operating costs'!$B$65&gt;Paths!$E$342,Paths!$E$342+'Operating costs'!$B$65&lt;=120,IF(Paths!$E$342+'Operating costs'!$B$65=0,C3694=0,AND(C3694&gt;0,Paths!$E$342+'Operating costs'!$B$65&gt;(C3694-1)*12,Paths!$E$342+'Operating costs'!$B$65&lt;=C3694*12))),'Operating costs'!$B$64,0)+IF(AND('Operating costs'!$B$67&gt;0,'Operating costs'!$B$67&lt;=120,OR(Paths!$D$342="ICE",'Operating costs'!$B$67&lt;=Paths!$E$342),IF('Operating costs'!$B$67=0,C3694=0,AND(C3694&gt;0,'Operating costs'!$B$67&gt;(C3694-1)*12,'Operating costs'!$B$67&lt;=C3694*12))),'Operating costs'!$B$66,0),"n.a."))</f>
        <v>0</v>
      </c>
      <c r="N3694" s="16">
        <f>IF(NOT(Paths!$C$342=1),0,IF(Paths!$P$342="Complete",SUM(G3694:I3694)-J3694-K3694-L3694+M3694+IF(C3694=0,Paths!$F$342,0)+IF(IF(Paths!$E$342=0,C3694=0,AND(C3694&gt;0,Paths!$E$342&gt;(C3694-1)*12,Paths!$E$342&lt;=C3694*12)),VLOOKUP(A3694,'Fleet register'!$A$7:$S$106,16,FALSE),0),"n.a."))</f>
        <v>0</v>
      </c>
      <c r="O3694" s="16">
        <f>IF(NOT(Paths!$C$342=1),0,IF(Paths!$P$342="Complete",N3694-IF(C3694=0,Paths!$F$342,0),"n.a."))</f>
        <v>0</v>
      </c>
      <c r="P3694" s="16">
        <f>IF(NOT(Paths!$C$342=1),0,IF(Paths!$P$342="Complete",O3694+L3694,"n.a."))</f>
        <v>0</v>
      </c>
      <c r="Q3694" s="16">
        <f>IF(NOT(Paths!$C$342=1),0,IF(Paths!$P$342="Complete",N3694*(1+'Operating costs'!$B$54)^-C3694,"n.a."))</f>
        <v>0</v>
      </c>
      <c r="R3694" s="16">
        <f>IF(NOT(Paths!$C$342=1),0,IF(Paths!$P$342="Complete",IF(AND(C3694=0,Paths!$E$342=0),I3694-J3694-K3694+VLOOKUP(A3694,'Fleet register'!$A$7:$S$106,15,FALSE)+VLOOKUP(A3694,'Fleet register'!$A$7:$S$106,16,FALSE),0),"n.a."))</f>
        <v>0</v>
      </c>
      <c r="S3694" s="1">
        <f>IF(NOT(Paths!$C$342=1),0,IF(Paths!$P$342="Complete",IF(C3694=0,0,Paths!$S$342*Paths!$R$342),"n.a."))</f>
        <v>0</v>
      </c>
      <c r="T3694" s="1">
        <f>IF(NOT(Paths!$C$342=1),0,IF(Paths!$P$342="Complete",IF(C3694=0,0,VLOOKUP(A3694,'Fleet register'!$A$7:$S$106,9,FALSE)*Paths!$R$342),"n.a."))</f>
        <v>0</v>
      </c>
    </row>
    <row r="3695" spans="1:20" ht="24" customHeight="1">
      <c r="A3695" s="1" t="str">
        <f>Paths!$A$342</f>
        <v>T084</v>
      </c>
      <c r="B3695" s="1">
        <f>Paths!$B$342</f>
        <v>3</v>
      </c>
      <c r="C3695" s="1">
        <v>3</v>
      </c>
      <c r="D3695" s="1">
        <v>342</v>
      </c>
      <c r="E3695" s="1">
        <f>IF(OR(Paths!$C$342=0,C3695=0),0,MAX(0,MIN(C3695*12,Paths!$E$342)-(C3695-1)*12))</f>
        <v>0</v>
      </c>
      <c r="F3695" s="1">
        <f>IF(OR(Paths!$C$342=0,C3695=0),0,12-E3695)</f>
        <v>0</v>
      </c>
      <c r="G3695" s="16">
        <f>IF(NOT(Paths!$C$342=1),0,IF(Paths!$P$342="Complete",E3695/12*(Paths!$J$342*(1+'Operating costs'!$B$51)^MAX(0,C3695-1)+Paths!$K$342*(1+'Operating costs'!$B$53)^MAX(0,C3695-1)),"n.a."))</f>
        <v>0</v>
      </c>
      <c r="H3695" s="16">
        <f>IF(NOT(Paths!$C$342=1),0,IF(Paths!$P$342="Complete",F3695/12*(Paths!$L$342*(1+IF(Paths!$D$342="EV",'Operating costs'!$B$52,'Operating costs'!$B$51))^MAX(0,C3695-1)+Paths!$M$342*(1+'Operating costs'!$B$53)^MAX(0,C3695-1)),"n.a."))</f>
        <v>0</v>
      </c>
      <c r="I3695" s="16">
        <f>IF(NOT(Paths!$C$342=1),0,IF(Paths!$P$342="Complete",IF(IF(Paths!$E$342=0,C3695=0,AND(C3695&gt;0,Paths!$E$342&gt;(C3695-1)*12,Paths!$E$342&lt;=C3695*12)),Paths!$G$342,0),"n.a."))</f>
        <v>0</v>
      </c>
      <c r="J3695" s="16">
        <f>IF(NOT(Paths!$C$342=1),0,IF(Paths!$P$342="Complete",IF(IF(Paths!$E$342=0,C3695=0,AND(C3695&gt;0,Paths!$E$342&gt;(C3695-1)*12,Paths!$E$342&lt;=C3695*12)),Paths!$H$342,0),"n.a."))</f>
        <v>0</v>
      </c>
      <c r="K3695" s="16">
        <f>IF(NOT(Paths!$C$342=1),0,IF(Paths!$P$342="Complete",IF(IF(Paths!$O$342=0,C3695=0,AND(C3695&gt;0,Paths!$O$342&gt;(C3695-1)*12,Paths!$O$342&lt;=C3695*12)),Paths!$N$342,0),"n.a."))</f>
        <v>0</v>
      </c>
      <c r="L3695" s="16">
        <f>IF(NOT(Paths!$C$342=1),0,IF(Paths!$P$342="Complete",IF(C3695=10,Paths!$I$342,0),"n.a."))</f>
        <v>0</v>
      </c>
      <c r="M3695" s="16">
        <f>IF(NOT(Paths!$C$342=1),0,IF(Paths!$P$342="Complete",IF(AND(Paths!$D$342="EV",Paths!$E$342&lt;120,Paths!$E$342+'Operating costs'!$B$65&gt;Paths!$E$342,Paths!$E$342+'Operating costs'!$B$65&lt;=120,IF(Paths!$E$342+'Operating costs'!$B$65=0,C3695=0,AND(C3695&gt;0,Paths!$E$342+'Operating costs'!$B$65&gt;(C3695-1)*12,Paths!$E$342+'Operating costs'!$B$65&lt;=C3695*12))),'Operating costs'!$B$64,0)+IF(AND('Operating costs'!$B$67&gt;0,'Operating costs'!$B$67&lt;=120,OR(Paths!$D$342="ICE",'Operating costs'!$B$67&lt;=Paths!$E$342),IF('Operating costs'!$B$67=0,C3695=0,AND(C3695&gt;0,'Operating costs'!$B$67&gt;(C3695-1)*12,'Operating costs'!$B$67&lt;=C3695*12))),'Operating costs'!$B$66,0),"n.a."))</f>
        <v>0</v>
      </c>
      <c r="N3695" s="16">
        <f>IF(NOT(Paths!$C$342=1),0,IF(Paths!$P$342="Complete",SUM(G3695:I3695)-J3695-K3695-L3695+M3695+IF(C3695=0,Paths!$F$342,0)+IF(IF(Paths!$E$342=0,C3695=0,AND(C3695&gt;0,Paths!$E$342&gt;(C3695-1)*12,Paths!$E$342&lt;=C3695*12)),VLOOKUP(A3695,'Fleet register'!$A$7:$S$106,16,FALSE),0),"n.a."))</f>
        <v>0</v>
      </c>
      <c r="O3695" s="16">
        <f>IF(NOT(Paths!$C$342=1),0,IF(Paths!$P$342="Complete",N3695-IF(C3695=0,Paths!$F$342,0),"n.a."))</f>
        <v>0</v>
      </c>
      <c r="P3695" s="16">
        <f>IF(NOT(Paths!$C$342=1),0,IF(Paths!$P$342="Complete",O3695+L3695,"n.a."))</f>
        <v>0</v>
      </c>
      <c r="Q3695" s="16">
        <f>IF(NOT(Paths!$C$342=1),0,IF(Paths!$P$342="Complete",N3695*(1+'Operating costs'!$B$54)^-C3695,"n.a."))</f>
        <v>0</v>
      </c>
      <c r="R3695" s="16">
        <f>IF(NOT(Paths!$C$342=1),0,IF(Paths!$P$342="Complete",IF(AND(C3695=0,Paths!$E$342=0),I3695-J3695-K3695+VLOOKUP(A3695,'Fleet register'!$A$7:$S$106,15,FALSE)+VLOOKUP(A3695,'Fleet register'!$A$7:$S$106,16,FALSE),0),"n.a."))</f>
        <v>0</v>
      </c>
      <c r="S3695" s="1">
        <f>IF(NOT(Paths!$C$342=1),0,IF(Paths!$P$342="Complete",IF(C3695=0,0,Paths!$S$342*Paths!$R$342),"n.a."))</f>
        <v>0</v>
      </c>
      <c r="T3695" s="1">
        <f>IF(NOT(Paths!$C$342=1),0,IF(Paths!$P$342="Complete",IF(C3695=0,0,VLOOKUP(A3695,'Fleet register'!$A$7:$S$106,9,FALSE)*Paths!$R$342),"n.a."))</f>
        <v>0</v>
      </c>
    </row>
    <row r="3696" spans="1:20" ht="24" customHeight="1">
      <c r="A3696" s="1" t="str">
        <f>Paths!$A$342</f>
        <v>T084</v>
      </c>
      <c r="B3696" s="1">
        <f>Paths!$B$342</f>
        <v>3</v>
      </c>
      <c r="C3696" s="1">
        <v>4</v>
      </c>
      <c r="D3696" s="1">
        <v>342</v>
      </c>
      <c r="E3696" s="1">
        <f>IF(OR(Paths!$C$342=0,C3696=0),0,MAX(0,MIN(C3696*12,Paths!$E$342)-(C3696-1)*12))</f>
        <v>0</v>
      </c>
      <c r="F3696" s="1">
        <f>IF(OR(Paths!$C$342=0,C3696=0),0,12-E3696)</f>
        <v>0</v>
      </c>
      <c r="G3696" s="16">
        <f>IF(NOT(Paths!$C$342=1),0,IF(Paths!$P$342="Complete",E3696/12*(Paths!$J$342*(1+'Operating costs'!$B$51)^MAX(0,C3696-1)+Paths!$K$342*(1+'Operating costs'!$B$53)^MAX(0,C3696-1)),"n.a."))</f>
        <v>0</v>
      </c>
      <c r="H3696" s="16">
        <f>IF(NOT(Paths!$C$342=1),0,IF(Paths!$P$342="Complete",F3696/12*(Paths!$L$342*(1+IF(Paths!$D$342="EV",'Operating costs'!$B$52,'Operating costs'!$B$51))^MAX(0,C3696-1)+Paths!$M$342*(1+'Operating costs'!$B$53)^MAX(0,C3696-1)),"n.a."))</f>
        <v>0</v>
      </c>
      <c r="I3696" s="16">
        <f>IF(NOT(Paths!$C$342=1),0,IF(Paths!$P$342="Complete",IF(IF(Paths!$E$342=0,C3696=0,AND(C3696&gt;0,Paths!$E$342&gt;(C3696-1)*12,Paths!$E$342&lt;=C3696*12)),Paths!$G$342,0),"n.a."))</f>
        <v>0</v>
      </c>
      <c r="J3696" s="16">
        <f>IF(NOT(Paths!$C$342=1),0,IF(Paths!$P$342="Complete",IF(IF(Paths!$E$342=0,C3696=0,AND(C3696&gt;0,Paths!$E$342&gt;(C3696-1)*12,Paths!$E$342&lt;=C3696*12)),Paths!$H$342,0),"n.a."))</f>
        <v>0</v>
      </c>
      <c r="K3696" s="16">
        <f>IF(NOT(Paths!$C$342=1),0,IF(Paths!$P$342="Complete",IF(IF(Paths!$O$342=0,C3696=0,AND(C3696&gt;0,Paths!$O$342&gt;(C3696-1)*12,Paths!$O$342&lt;=C3696*12)),Paths!$N$342,0),"n.a."))</f>
        <v>0</v>
      </c>
      <c r="L3696" s="16">
        <f>IF(NOT(Paths!$C$342=1),0,IF(Paths!$P$342="Complete",IF(C3696=10,Paths!$I$342,0),"n.a."))</f>
        <v>0</v>
      </c>
      <c r="M3696" s="16">
        <f>IF(NOT(Paths!$C$342=1),0,IF(Paths!$P$342="Complete",IF(AND(Paths!$D$342="EV",Paths!$E$342&lt;120,Paths!$E$342+'Operating costs'!$B$65&gt;Paths!$E$342,Paths!$E$342+'Operating costs'!$B$65&lt;=120,IF(Paths!$E$342+'Operating costs'!$B$65=0,C3696=0,AND(C3696&gt;0,Paths!$E$342+'Operating costs'!$B$65&gt;(C3696-1)*12,Paths!$E$342+'Operating costs'!$B$65&lt;=C3696*12))),'Operating costs'!$B$64,0)+IF(AND('Operating costs'!$B$67&gt;0,'Operating costs'!$B$67&lt;=120,OR(Paths!$D$342="ICE",'Operating costs'!$B$67&lt;=Paths!$E$342),IF('Operating costs'!$B$67=0,C3696=0,AND(C3696&gt;0,'Operating costs'!$B$67&gt;(C3696-1)*12,'Operating costs'!$B$67&lt;=C3696*12))),'Operating costs'!$B$66,0),"n.a."))</f>
        <v>0</v>
      </c>
      <c r="N3696" s="16">
        <f>IF(NOT(Paths!$C$342=1),0,IF(Paths!$P$342="Complete",SUM(G3696:I3696)-J3696-K3696-L3696+M3696+IF(C3696=0,Paths!$F$342,0)+IF(IF(Paths!$E$342=0,C3696=0,AND(C3696&gt;0,Paths!$E$342&gt;(C3696-1)*12,Paths!$E$342&lt;=C3696*12)),VLOOKUP(A3696,'Fleet register'!$A$7:$S$106,16,FALSE),0),"n.a."))</f>
        <v>0</v>
      </c>
      <c r="O3696" s="16">
        <f>IF(NOT(Paths!$C$342=1),0,IF(Paths!$P$342="Complete",N3696-IF(C3696=0,Paths!$F$342,0),"n.a."))</f>
        <v>0</v>
      </c>
      <c r="P3696" s="16">
        <f>IF(NOT(Paths!$C$342=1),0,IF(Paths!$P$342="Complete",O3696+L3696,"n.a."))</f>
        <v>0</v>
      </c>
      <c r="Q3696" s="16">
        <f>IF(NOT(Paths!$C$342=1),0,IF(Paths!$P$342="Complete",N3696*(1+'Operating costs'!$B$54)^-C3696,"n.a."))</f>
        <v>0</v>
      </c>
      <c r="R3696" s="16">
        <f>IF(NOT(Paths!$C$342=1),0,IF(Paths!$P$342="Complete",IF(AND(C3696=0,Paths!$E$342=0),I3696-J3696-K3696+VLOOKUP(A3696,'Fleet register'!$A$7:$S$106,15,FALSE)+VLOOKUP(A3696,'Fleet register'!$A$7:$S$106,16,FALSE),0),"n.a."))</f>
        <v>0</v>
      </c>
      <c r="S3696" s="1">
        <f>IF(NOT(Paths!$C$342=1),0,IF(Paths!$P$342="Complete",IF(C3696=0,0,Paths!$S$342*Paths!$R$342),"n.a."))</f>
        <v>0</v>
      </c>
      <c r="T3696" s="1">
        <f>IF(NOT(Paths!$C$342=1),0,IF(Paths!$P$342="Complete",IF(C3696=0,0,VLOOKUP(A3696,'Fleet register'!$A$7:$S$106,9,FALSE)*Paths!$R$342),"n.a."))</f>
        <v>0</v>
      </c>
    </row>
    <row r="3697" spans="1:20" ht="24" customHeight="1">
      <c r="A3697" s="1" t="str">
        <f>Paths!$A$342</f>
        <v>T084</v>
      </c>
      <c r="B3697" s="1">
        <f>Paths!$B$342</f>
        <v>3</v>
      </c>
      <c r="C3697" s="1">
        <v>5</v>
      </c>
      <c r="D3697" s="1">
        <v>342</v>
      </c>
      <c r="E3697" s="1">
        <f>IF(OR(Paths!$C$342=0,C3697=0),0,MAX(0,MIN(C3697*12,Paths!$E$342)-(C3697-1)*12))</f>
        <v>0</v>
      </c>
      <c r="F3697" s="1">
        <f>IF(OR(Paths!$C$342=0,C3697=0),0,12-E3697)</f>
        <v>0</v>
      </c>
      <c r="G3697" s="16">
        <f>IF(NOT(Paths!$C$342=1),0,IF(Paths!$P$342="Complete",E3697/12*(Paths!$J$342*(1+'Operating costs'!$B$51)^MAX(0,C3697-1)+Paths!$K$342*(1+'Operating costs'!$B$53)^MAX(0,C3697-1)),"n.a."))</f>
        <v>0</v>
      </c>
      <c r="H3697" s="16">
        <f>IF(NOT(Paths!$C$342=1),0,IF(Paths!$P$342="Complete",F3697/12*(Paths!$L$342*(1+IF(Paths!$D$342="EV",'Operating costs'!$B$52,'Operating costs'!$B$51))^MAX(0,C3697-1)+Paths!$M$342*(1+'Operating costs'!$B$53)^MAX(0,C3697-1)),"n.a."))</f>
        <v>0</v>
      </c>
      <c r="I3697" s="16">
        <f>IF(NOT(Paths!$C$342=1),0,IF(Paths!$P$342="Complete",IF(IF(Paths!$E$342=0,C3697=0,AND(C3697&gt;0,Paths!$E$342&gt;(C3697-1)*12,Paths!$E$342&lt;=C3697*12)),Paths!$G$342,0),"n.a."))</f>
        <v>0</v>
      </c>
      <c r="J3697" s="16">
        <f>IF(NOT(Paths!$C$342=1),0,IF(Paths!$P$342="Complete",IF(IF(Paths!$E$342=0,C3697=0,AND(C3697&gt;0,Paths!$E$342&gt;(C3697-1)*12,Paths!$E$342&lt;=C3697*12)),Paths!$H$342,0),"n.a."))</f>
        <v>0</v>
      </c>
      <c r="K3697" s="16">
        <f>IF(NOT(Paths!$C$342=1),0,IF(Paths!$P$342="Complete",IF(IF(Paths!$O$342=0,C3697=0,AND(C3697&gt;0,Paths!$O$342&gt;(C3697-1)*12,Paths!$O$342&lt;=C3697*12)),Paths!$N$342,0),"n.a."))</f>
        <v>0</v>
      </c>
      <c r="L3697" s="16">
        <f>IF(NOT(Paths!$C$342=1),0,IF(Paths!$P$342="Complete",IF(C3697=10,Paths!$I$342,0),"n.a."))</f>
        <v>0</v>
      </c>
      <c r="M3697" s="16">
        <f>IF(NOT(Paths!$C$342=1),0,IF(Paths!$P$342="Complete",IF(AND(Paths!$D$342="EV",Paths!$E$342&lt;120,Paths!$E$342+'Operating costs'!$B$65&gt;Paths!$E$342,Paths!$E$342+'Operating costs'!$B$65&lt;=120,IF(Paths!$E$342+'Operating costs'!$B$65=0,C3697=0,AND(C3697&gt;0,Paths!$E$342+'Operating costs'!$B$65&gt;(C3697-1)*12,Paths!$E$342+'Operating costs'!$B$65&lt;=C3697*12))),'Operating costs'!$B$64,0)+IF(AND('Operating costs'!$B$67&gt;0,'Operating costs'!$B$67&lt;=120,OR(Paths!$D$342="ICE",'Operating costs'!$B$67&lt;=Paths!$E$342),IF('Operating costs'!$B$67=0,C3697=0,AND(C3697&gt;0,'Operating costs'!$B$67&gt;(C3697-1)*12,'Operating costs'!$B$67&lt;=C3697*12))),'Operating costs'!$B$66,0),"n.a."))</f>
        <v>0</v>
      </c>
      <c r="N3697" s="16">
        <f>IF(NOT(Paths!$C$342=1),0,IF(Paths!$P$342="Complete",SUM(G3697:I3697)-J3697-K3697-L3697+M3697+IF(C3697=0,Paths!$F$342,0)+IF(IF(Paths!$E$342=0,C3697=0,AND(C3697&gt;0,Paths!$E$342&gt;(C3697-1)*12,Paths!$E$342&lt;=C3697*12)),VLOOKUP(A3697,'Fleet register'!$A$7:$S$106,16,FALSE),0),"n.a."))</f>
        <v>0</v>
      </c>
      <c r="O3697" s="16">
        <f>IF(NOT(Paths!$C$342=1),0,IF(Paths!$P$342="Complete",N3697-IF(C3697=0,Paths!$F$342,0),"n.a."))</f>
        <v>0</v>
      </c>
      <c r="P3697" s="16">
        <f>IF(NOT(Paths!$C$342=1),0,IF(Paths!$P$342="Complete",O3697+L3697,"n.a."))</f>
        <v>0</v>
      </c>
      <c r="Q3697" s="16">
        <f>IF(NOT(Paths!$C$342=1),0,IF(Paths!$P$342="Complete",N3697*(1+'Operating costs'!$B$54)^-C3697,"n.a."))</f>
        <v>0</v>
      </c>
      <c r="R3697" s="16">
        <f>IF(NOT(Paths!$C$342=1),0,IF(Paths!$P$342="Complete",IF(AND(C3697=0,Paths!$E$342=0),I3697-J3697-K3697+VLOOKUP(A3697,'Fleet register'!$A$7:$S$106,15,FALSE)+VLOOKUP(A3697,'Fleet register'!$A$7:$S$106,16,FALSE),0),"n.a."))</f>
        <v>0</v>
      </c>
      <c r="S3697" s="1">
        <f>IF(NOT(Paths!$C$342=1),0,IF(Paths!$P$342="Complete",IF(C3697=0,0,Paths!$S$342*Paths!$R$342),"n.a."))</f>
        <v>0</v>
      </c>
      <c r="T3697" s="1">
        <f>IF(NOT(Paths!$C$342=1),0,IF(Paths!$P$342="Complete",IF(C3697=0,0,VLOOKUP(A3697,'Fleet register'!$A$7:$S$106,9,FALSE)*Paths!$R$342),"n.a."))</f>
        <v>0</v>
      </c>
    </row>
    <row r="3698" spans="1:20" ht="24" customHeight="1">
      <c r="A3698" s="1" t="str">
        <f>Paths!$A$342</f>
        <v>T084</v>
      </c>
      <c r="B3698" s="1">
        <f>Paths!$B$342</f>
        <v>3</v>
      </c>
      <c r="C3698" s="1">
        <v>6</v>
      </c>
      <c r="D3698" s="1">
        <v>342</v>
      </c>
      <c r="E3698" s="1">
        <f>IF(OR(Paths!$C$342=0,C3698=0),0,MAX(0,MIN(C3698*12,Paths!$E$342)-(C3698-1)*12))</f>
        <v>0</v>
      </c>
      <c r="F3698" s="1">
        <f>IF(OR(Paths!$C$342=0,C3698=0),0,12-E3698)</f>
        <v>0</v>
      </c>
      <c r="G3698" s="16">
        <f>IF(NOT(Paths!$C$342=1),0,IF(Paths!$P$342="Complete",E3698/12*(Paths!$J$342*(1+'Operating costs'!$B$51)^MAX(0,C3698-1)+Paths!$K$342*(1+'Operating costs'!$B$53)^MAX(0,C3698-1)),"n.a."))</f>
        <v>0</v>
      </c>
      <c r="H3698" s="16">
        <f>IF(NOT(Paths!$C$342=1),0,IF(Paths!$P$342="Complete",F3698/12*(Paths!$L$342*(1+IF(Paths!$D$342="EV",'Operating costs'!$B$52,'Operating costs'!$B$51))^MAX(0,C3698-1)+Paths!$M$342*(1+'Operating costs'!$B$53)^MAX(0,C3698-1)),"n.a."))</f>
        <v>0</v>
      </c>
      <c r="I3698" s="16">
        <f>IF(NOT(Paths!$C$342=1),0,IF(Paths!$P$342="Complete",IF(IF(Paths!$E$342=0,C3698=0,AND(C3698&gt;0,Paths!$E$342&gt;(C3698-1)*12,Paths!$E$342&lt;=C3698*12)),Paths!$G$342,0),"n.a."))</f>
        <v>0</v>
      </c>
      <c r="J3698" s="16">
        <f>IF(NOT(Paths!$C$342=1),0,IF(Paths!$P$342="Complete",IF(IF(Paths!$E$342=0,C3698=0,AND(C3698&gt;0,Paths!$E$342&gt;(C3698-1)*12,Paths!$E$342&lt;=C3698*12)),Paths!$H$342,0),"n.a."))</f>
        <v>0</v>
      </c>
      <c r="K3698" s="16">
        <f>IF(NOT(Paths!$C$342=1),0,IF(Paths!$P$342="Complete",IF(IF(Paths!$O$342=0,C3698=0,AND(C3698&gt;0,Paths!$O$342&gt;(C3698-1)*12,Paths!$O$342&lt;=C3698*12)),Paths!$N$342,0),"n.a."))</f>
        <v>0</v>
      </c>
      <c r="L3698" s="16">
        <f>IF(NOT(Paths!$C$342=1),0,IF(Paths!$P$342="Complete",IF(C3698=10,Paths!$I$342,0),"n.a."))</f>
        <v>0</v>
      </c>
      <c r="M3698" s="16">
        <f>IF(NOT(Paths!$C$342=1),0,IF(Paths!$P$342="Complete",IF(AND(Paths!$D$342="EV",Paths!$E$342&lt;120,Paths!$E$342+'Operating costs'!$B$65&gt;Paths!$E$342,Paths!$E$342+'Operating costs'!$B$65&lt;=120,IF(Paths!$E$342+'Operating costs'!$B$65=0,C3698=0,AND(C3698&gt;0,Paths!$E$342+'Operating costs'!$B$65&gt;(C3698-1)*12,Paths!$E$342+'Operating costs'!$B$65&lt;=C3698*12))),'Operating costs'!$B$64,0)+IF(AND('Operating costs'!$B$67&gt;0,'Operating costs'!$B$67&lt;=120,OR(Paths!$D$342="ICE",'Operating costs'!$B$67&lt;=Paths!$E$342),IF('Operating costs'!$B$67=0,C3698=0,AND(C3698&gt;0,'Operating costs'!$B$67&gt;(C3698-1)*12,'Operating costs'!$B$67&lt;=C3698*12))),'Operating costs'!$B$66,0),"n.a."))</f>
        <v>0</v>
      </c>
      <c r="N3698" s="16">
        <f>IF(NOT(Paths!$C$342=1),0,IF(Paths!$P$342="Complete",SUM(G3698:I3698)-J3698-K3698-L3698+M3698+IF(C3698=0,Paths!$F$342,0)+IF(IF(Paths!$E$342=0,C3698=0,AND(C3698&gt;0,Paths!$E$342&gt;(C3698-1)*12,Paths!$E$342&lt;=C3698*12)),VLOOKUP(A3698,'Fleet register'!$A$7:$S$106,16,FALSE),0),"n.a."))</f>
        <v>0</v>
      </c>
      <c r="O3698" s="16">
        <f>IF(NOT(Paths!$C$342=1),0,IF(Paths!$P$342="Complete",N3698-IF(C3698=0,Paths!$F$342,0),"n.a."))</f>
        <v>0</v>
      </c>
      <c r="P3698" s="16">
        <f>IF(NOT(Paths!$C$342=1),0,IF(Paths!$P$342="Complete",O3698+L3698,"n.a."))</f>
        <v>0</v>
      </c>
      <c r="Q3698" s="16">
        <f>IF(NOT(Paths!$C$342=1),0,IF(Paths!$P$342="Complete",N3698*(1+'Operating costs'!$B$54)^-C3698,"n.a."))</f>
        <v>0</v>
      </c>
      <c r="R3698" s="16">
        <f>IF(NOT(Paths!$C$342=1),0,IF(Paths!$P$342="Complete",IF(AND(C3698=0,Paths!$E$342=0),I3698-J3698-K3698+VLOOKUP(A3698,'Fleet register'!$A$7:$S$106,15,FALSE)+VLOOKUP(A3698,'Fleet register'!$A$7:$S$106,16,FALSE),0),"n.a."))</f>
        <v>0</v>
      </c>
      <c r="S3698" s="1">
        <f>IF(NOT(Paths!$C$342=1),0,IF(Paths!$P$342="Complete",IF(C3698=0,0,Paths!$S$342*Paths!$R$342),"n.a."))</f>
        <v>0</v>
      </c>
      <c r="T3698" s="1">
        <f>IF(NOT(Paths!$C$342=1),0,IF(Paths!$P$342="Complete",IF(C3698=0,0,VLOOKUP(A3698,'Fleet register'!$A$7:$S$106,9,FALSE)*Paths!$R$342),"n.a."))</f>
        <v>0</v>
      </c>
    </row>
    <row r="3699" spans="1:20" ht="24" customHeight="1">
      <c r="A3699" s="1" t="str">
        <f>Paths!$A$342</f>
        <v>T084</v>
      </c>
      <c r="B3699" s="1">
        <f>Paths!$B$342</f>
        <v>3</v>
      </c>
      <c r="C3699" s="1">
        <v>7</v>
      </c>
      <c r="D3699" s="1">
        <v>342</v>
      </c>
      <c r="E3699" s="1">
        <f>IF(OR(Paths!$C$342=0,C3699=0),0,MAX(0,MIN(C3699*12,Paths!$E$342)-(C3699-1)*12))</f>
        <v>0</v>
      </c>
      <c r="F3699" s="1">
        <f>IF(OR(Paths!$C$342=0,C3699=0),0,12-E3699)</f>
        <v>0</v>
      </c>
      <c r="G3699" s="16">
        <f>IF(NOT(Paths!$C$342=1),0,IF(Paths!$P$342="Complete",E3699/12*(Paths!$J$342*(1+'Operating costs'!$B$51)^MAX(0,C3699-1)+Paths!$K$342*(1+'Operating costs'!$B$53)^MAX(0,C3699-1)),"n.a."))</f>
        <v>0</v>
      </c>
      <c r="H3699" s="16">
        <f>IF(NOT(Paths!$C$342=1),0,IF(Paths!$P$342="Complete",F3699/12*(Paths!$L$342*(1+IF(Paths!$D$342="EV",'Operating costs'!$B$52,'Operating costs'!$B$51))^MAX(0,C3699-1)+Paths!$M$342*(1+'Operating costs'!$B$53)^MAX(0,C3699-1)),"n.a."))</f>
        <v>0</v>
      </c>
      <c r="I3699" s="16">
        <f>IF(NOT(Paths!$C$342=1),0,IF(Paths!$P$342="Complete",IF(IF(Paths!$E$342=0,C3699=0,AND(C3699&gt;0,Paths!$E$342&gt;(C3699-1)*12,Paths!$E$342&lt;=C3699*12)),Paths!$G$342,0),"n.a."))</f>
        <v>0</v>
      </c>
      <c r="J3699" s="16">
        <f>IF(NOT(Paths!$C$342=1),0,IF(Paths!$P$342="Complete",IF(IF(Paths!$E$342=0,C3699=0,AND(C3699&gt;0,Paths!$E$342&gt;(C3699-1)*12,Paths!$E$342&lt;=C3699*12)),Paths!$H$342,0),"n.a."))</f>
        <v>0</v>
      </c>
      <c r="K3699" s="16">
        <f>IF(NOT(Paths!$C$342=1),0,IF(Paths!$P$342="Complete",IF(IF(Paths!$O$342=0,C3699=0,AND(C3699&gt;0,Paths!$O$342&gt;(C3699-1)*12,Paths!$O$342&lt;=C3699*12)),Paths!$N$342,0),"n.a."))</f>
        <v>0</v>
      </c>
      <c r="L3699" s="16">
        <f>IF(NOT(Paths!$C$342=1),0,IF(Paths!$P$342="Complete",IF(C3699=10,Paths!$I$342,0),"n.a."))</f>
        <v>0</v>
      </c>
      <c r="M3699" s="16">
        <f>IF(NOT(Paths!$C$342=1),0,IF(Paths!$P$342="Complete",IF(AND(Paths!$D$342="EV",Paths!$E$342&lt;120,Paths!$E$342+'Operating costs'!$B$65&gt;Paths!$E$342,Paths!$E$342+'Operating costs'!$B$65&lt;=120,IF(Paths!$E$342+'Operating costs'!$B$65=0,C3699=0,AND(C3699&gt;0,Paths!$E$342+'Operating costs'!$B$65&gt;(C3699-1)*12,Paths!$E$342+'Operating costs'!$B$65&lt;=C3699*12))),'Operating costs'!$B$64,0)+IF(AND('Operating costs'!$B$67&gt;0,'Operating costs'!$B$67&lt;=120,OR(Paths!$D$342="ICE",'Operating costs'!$B$67&lt;=Paths!$E$342),IF('Operating costs'!$B$67=0,C3699=0,AND(C3699&gt;0,'Operating costs'!$B$67&gt;(C3699-1)*12,'Operating costs'!$B$67&lt;=C3699*12))),'Operating costs'!$B$66,0),"n.a."))</f>
        <v>0</v>
      </c>
      <c r="N3699" s="16">
        <f>IF(NOT(Paths!$C$342=1),0,IF(Paths!$P$342="Complete",SUM(G3699:I3699)-J3699-K3699-L3699+M3699+IF(C3699=0,Paths!$F$342,0)+IF(IF(Paths!$E$342=0,C3699=0,AND(C3699&gt;0,Paths!$E$342&gt;(C3699-1)*12,Paths!$E$342&lt;=C3699*12)),VLOOKUP(A3699,'Fleet register'!$A$7:$S$106,16,FALSE),0),"n.a."))</f>
        <v>0</v>
      </c>
      <c r="O3699" s="16">
        <f>IF(NOT(Paths!$C$342=1),0,IF(Paths!$P$342="Complete",N3699-IF(C3699=0,Paths!$F$342,0),"n.a."))</f>
        <v>0</v>
      </c>
      <c r="P3699" s="16">
        <f>IF(NOT(Paths!$C$342=1),0,IF(Paths!$P$342="Complete",O3699+L3699,"n.a."))</f>
        <v>0</v>
      </c>
      <c r="Q3699" s="16">
        <f>IF(NOT(Paths!$C$342=1),0,IF(Paths!$P$342="Complete",N3699*(1+'Operating costs'!$B$54)^-C3699,"n.a."))</f>
        <v>0</v>
      </c>
      <c r="R3699" s="16">
        <f>IF(NOT(Paths!$C$342=1),0,IF(Paths!$P$342="Complete",IF(AND(C3699=0,Paths!$E$342=0),I3699-J3699-K3699+VLOOKUP(A3699,'Fleet register'!$A$7:$S$106,15,FALSE)+VLOOKUP(A3699,'Fleet register'!$A$7:$S$106,16,FALSE),0),"n.a."))</f>
        <v>0</v>
      </c>
      <c r="S3699" s="1">
        <f>IF(NOT(Paths!$C$342=1),0,IF(Paths!$P$342="Complete",IF(C3699=0,0,Paths!$S$342*Paths!$R$342),"n.a."))</f>
        <v>0</v>
      </c>
      <c r="T3699" s="1">
        <f>IF(NOT(Paths!$C$342=1),0,IF(Paths!$P$342="Complete",IF(C3699=0,0,VLOOKUP(A3699,'Fleet register'!$A$7:$S$106,9,FALSE)*Paths!$R$342),"n.a."))</f>
        <v>0</v>
      </c>
    </row>
    <row r="3700" spans="1:20" ht="24" customHeight="1">
      <c r="A3700" s="1" t="str">
        <f>Paths!$A$342</f>
        <v>T084</v>
      </c>
      <c r="B3700" s="1">
        <f>Paths!$B$342</f>
        <v>3</v>
      </c>
      <c r="C3700" s="1">
        <v>8</v>
      </c>
      <c r="D3700" s="1">
        <v>342</v>
      </c>
      <c r="E3700" s="1">
        <f>IF(OR(Paths!$C$342=0,C3700=0),0,MAX(0,MIN(C3700*12,Paths!$E$342)-(C3700-1)*12))</f>
        <v>0</v>
      </c>
      <c r="F3700" s="1">
        <f>IF(OR(Paths!$C$342=0,C3700=0),0,12-E3700)</f>
        <v>0</v>
      </c>
      <c r="G3700" s="16">
        <f>IF(NOT(Paths!$C$342=1),0,IF(Paths!$P$342="Complete",E3700/12*(Paths!$J$342*(1+'Operating costs'!$B$51)^MAX(0,C3700-1)+Paths!$K$342*(1+'Operating costs'!$B$53)^MAX(0,C3700-1)),"n.a."))</f>
        <v>0</v>
      </c>
      <c r="H3700" s="16">
        <f>IF(NOT(Paths!$C$342=1),0,IF(Paths!$P$342="Complete",F3700/12*(Paths!$L$342*(1+IF(Paths!$D$342="EV",'Operating costs'!$B$52,'Operating costs'!$B$51))^MAX(0,C3700-1)+Paths!$M$342*(1+'Operating costs'!$B$53)^MAX(0,C3700-1)),"n.a."))</f>
        <v>0</v>
      </c>
      <c r="I3700" s="16">
        <f>IF(NOT(Paths!$C$342=1),0,IF(Paths!$P$342="Complete",IF(IF(Paths!$E$342=0,C3700=0,AND(C3700&gt;0,Paths!$E$342&gt;(C3700-1)*12,Paths!$E$342&lt;=C3700*12)),Paths!$G$342,0),"n.a."))</f>
        <v>0</v>
      </c>
      <c r="J3700" s="16">
        <f>IF(NOT(Paths!$C$342=1),0,IF(Paths!$P$342="Complete",IF(IF(Paths!$E$342=0,C3700=0,AND(C3700&gt;0,Paths!$E$342&gt;(C3700-1)*12,Paths!$E$342&lt;=C3700*12)),Paths!$H$342,0),"n.a."))</f>
        <v>0</v>
      </c>
      <c r="K3700" s="16">
        <f>IF(NOT(Paths!$C$342=1),0,IF(Paths!$P$342="Complete",IF(IF(Paths!$O$342=0,C3700=0,AND(C3700&gt;0,Paths!$O$342&gt;(C3700-1)*12,Paths!$O$342&lt;=C3700*12)),Paths!$N$342,0),"n.a."))</f>
        <v>0</v>
      </c>
      <c r="L3700" s="16">
        <f>IF(NOT(Paths!$C$342=1),0,IF(Paths!$P$342="Complete",IF(C3700=10,Paths!$I$342,0),"n.a."))</f>
        <v>0</v>
      </c>
      <c r="M3700" s="16">
        <f>IF(NOT(Paths!$C$342=1),0,IF(Paths!$P$342="Complete",IF(AND(Paths!$D$342="EV",Paths!$E$342&lt;120,Paths!$E$342+'Operating costs'!$B$65&gt;Paths!$E$342,Paths!$E$342+'Operating costs'!$B$65&lt;=120,IF(Paths!$E$342+'Operating costs'!$B$65=0,C3700=0,AND(C3700&gt;0,Paths!$E$342+'Operating costs'!$B$65&gt;(C3700-1)*12,Paths!$E$342+'Operating costs'!$B$65&lt;=C3700*12))),'Operating costs'!$B$64,0)+IF(AND('Operating costs'!$B$67&gt;0,'Operating costs'!$B$67&lt;=120,OR(Paths!$D$342="ICE",'Operating costs'!$B$67&lt;=Paths!$E$342),IF('Operating costs'!$B$67=0,C3700=0,AND(C3700&gt;0,'Operating costs'!$B$67&gt;(C3700-1)*12,'Operating costs'!$B$67&lt;=C3700*12))),'Operating costs'!$B$66,0),"n.a."))</f>
        <v>0</v>
      </c>
      <c r="N3700" s="16">
        <f>IF(NOT(Paths!$C$342=1),0,IF(Paths!$P$342="Complete",SUM(G3700:I3700)-J3700-K3700-L3700+M3700+IF(C3700=0,Paths!$F$342,0)+IF(IF(Paths!$E$342=0,C3700=0,AND(C3700&gt;0,Paths!$E$342&gt;(C3700-1)*12,Paths!$E$342&lt;=C3700*12)),VLOOKUP(A3700,'Fleet register'!$A$7:$S$106,16,FALSE),0),"n.a."))</f>
        <v>0</v>
      </c>
      <c r="O3700" s="16">
        <f>IF(NOT(Paths!$C$342=1),0,IF(Paths!$P$342="Complete",N3700-IF(C3700=0,Paths!$F$342,0),"n.a."))</f>
        <v>0</v>
      </c>
      <c r="P3700" s="16">
        <f>IF(NOT(Paths!$C$342=1),0,IF(Paths!$P$342="Complete",O3700+L3700,"n.a."))</f>
        <v>0</v>
      </c>
      <c r="Q3700" s="16">
        <f>IF(NOT(Paths!$C$342=1),0,IF(Paths!$P$342="Complete",N3700*(1+'Operating costs'!$B$54)^-C3700,"n.a."))</f>
        <v>0</v>
      </c>
      <c r="R3700" s="16">
        <f>IF(NOT(Paths!$C$342=1),0,IF(Paths!$P$342="Complete",IF(AND(C3700=0,Paths!$E$342=0),I3700-J3700-K3700+VLOOKUP(A3700,'Fleet register'!$A$7:$S$106,15,FALSE)+VLOOKUP(A3700,'Fleet register'!$A$7:$S$106,16,FALSE),0),"n.a."))</f>
        <v>0</v>
      </c>
      <c r="S3700" s="1">
        <f>IF(NOT(Paths!$C$342=1),0,IF(Paths!$P$342="Complete",IF(C3700=0,0,Paths!$S$342*Paths!$R$342),"n.a."))</f>
        <v>0</v>
      </c>
      <c r="T3700" s="1">
        <f>IF(NOT(Paths!$C$342=1),0,IF(Paths!$P$342="Complete",IF(C3700=0,0,VLOOKUP(A3700,'Fleet register'!$A$7:$S$106,9,FALSE)*Paths!$R$342),"n.a."))</f>
        <v>0</v>
      </c>
    </row>
    <row r="3701" spans="1:20" ht="24" customHeight="1">
      <c r="A3701" s="1" t="str">
        <f>Paths!$A$342</f>
        <v>T084</v>
      </c>
      <c r="B3701" s="1">
        <f>Paths!$B$342</f>
        <v>3</v>
      </c>
      <c r="C3701" s="1">
        <v>9</v>
      </c>
      <c r="D3701" s="1">
        <v>342</v>
      </c>
      <c r="E3701" s="1">
        <f>IF(OR(Paths!$C$342=0,C3701=0),0,MAX(0,MIN(C3701*12,Paths!$E$342)-(C3701-1)*12))</f>
        <v>0</v>
      </c>
      <c r="F3701" s="1">
        <f>IF(OR(Paths!$C$342=0,C3701=0),0,12-E3701)</f>
        <v>0</v>
      </c>
      <c r="G3701" s="16">
        <f>IF(NOT(Paths!$C$342=1),0,IF(Paths!$P$342="Complete",E3701/12*(Paths!$J$342*(1+'Operating costs'!$B$51)^MAX(0,C3701-1)+Paths!$K$342*(1+'Operating costs'!$B$53)^MAX(0,C3701-1)),"n.a."))</f>
        <v>0</v>
      </c>
      <c r="H3701" s="16">
        <f>IF(NOT(Paths!$C$342=1),0,IF(Paths!$P$342="Complete",F3701/12*(Paths!$L$342*(1+IF(Paths!$D$342="EV",'Operating costs'!$B$52,'Operating costs'!$B$51))^MAX(0,C3701-1)+Paths!$M$342*(1+'Operating costs'!$B$53)^MAX(0,C3701-1)),"n.a."))</f>
        <v>0</v>
      </c>
      <c r="I3701" s="16">
        <f>IF(NOT(Paths!$C$342=1),0,IF(Paths!$P$342="Complete",IF(IF(Paths!$E$342=0,C3701=0,AND(C3701&gt;0,Paths!$E$342&gt;(C3701-1)*12,Paths!$E$342&lt;=C3701*12)),Paths!$G$342,0),"n.a."))</f>
        <v>0</v>
      </c>
      <c r="J3701" s="16">
        <f>IF(NOT(Paths!$C$342=1),0,IF(Paths!$P$342="Complete",IF(IF(Paths!$E$342=0,C3701=0,AND(C3701&gt;0,Paths!$E$342&gt;(C3701-1)*12,Paths!$E$342&lt;=C3701*12)),Paths!$H$342,0),"n.a."))</f>
        <v>0</v>
      </c>
      <c r="K3701" s="16">
        <f>IF(NOT(Paths!$C$342=1),0,IF(Paths!$P$342="Complete",IF(IF(Paths!$O$342=0,C3701=0,AND(C3701&gt;0,Paths!$O$342&gt;(C3701-1)*12,Paths!$O$342&lt;=C3701*12)),Paths!$N$342,0),"n.a."))</f>
        <v>0</v>
      </c>
      <c r="L3701" s="16">
        <f>IF(NOT(Paths!$C$342=1),0,IF(Paths!$P$342="Complete",IF(C3701=10,Paths!$I$342,0),"n.a."))</f>
        <v>0</v>
      </c>
      <c r="M3701" s="16">
        <f>IF(NOT(Paths!$C$342=1),0,IF(Paths!$P$342="Complete",IF(AND(Paths!$D$342="EV",Paths!$E$342&lt;120,Paths!$E$342+'Operating costs'!$B$65&gt;Paths!$E$342,Paths!$E$342+'Operating costs'!$B$65&lt;=120,IF(Paths!$E$342+'Operating costs'!$B$65=0,C3701=0,AND(C3701&gt;0,Paths!$E$342+'Operating costs'!$B$65&gt;(C3701-1)*12,Paths!$E$342+'Operating costs'!$B$65&lt;=C3701*12))),'Operating costs'!$B$64,0)+IF(AND('Operating costs'!$B$67&gt;0,'Operating costs'!$B$67&lt;=120,OR(Paths!$D$342="ICE",'Operating costs'!$B$67&lt;=Paths!$E$342),IF('Operating costs'!$B$67=0,C3701=0,AND(C3701&gt;0,'Operating costs'!$B$67&gt;(C3701-1)*12,'Operating costs'!$B$67&lt;=C3701*12))),'Operating costs'!$B$66,0),"n.a."))</f>
        <v>0</v>
      </c>
      <c r="N3701" s="16">
        <f>IF(NOT(Paths!$C$342=1),0,IF(Paths!$P$342="Complete",SUM(G3701:I3701)-J3701-K3701-L3701+M3701+IF(C3701=0,Paths!$F$342,0)+IF(IF(Paths!$E$342=0,C3701=0,AND(C3701&gt;0,Paths!$E$342&gt;(C3701-1)*12,Paths!$E$342&lt;=C3701*12)),VLOOKUP(A3701,'Fleet register'!$A$7:$S$106,16,FALSE),0),"n.a."))</f>
        <v>0</v>
      </c>
      <c r="O3701" s="16">
        <f>IF(NOT(Paths!$C$342=1),0,IF(Paths!$P$342="Complete",N3701-IF(C3701=0,Paths!$F$342,0),"n.a."))</f>
        <v>0</v>
      </c>
      <c r="P3701" s="16">
        <f>IF(NOT(Paths!$C$342=1),0,IF(Paths!$P$342="Complete",O3701+L3701,"n.a."))</f>
        <v>0</v>
      </c>
      <c r="Q3701" s="16">
        <f>IF(NOT(Paths!$C$342=1),0,IF(Paths!$P$342="Complete",N3701*(1+'Operating costs'!$B$54)^-C3701,"n.a."))</f>
        <v>0</v>
      </c>
      <c r="R3701" s="16">
        <f>IF(NOT(Paths!$C$342=1),0,IF(Paths!$P$342="Complete",IF(AND(C3701=0,Paths!$E$342=0),I3701-J3701-K3701+VLOOKUP(A3701,'Fleet register'!$A$7:$S$106,15,FALSE)+VLOOKUP(A3701,'Fleet register'!$A$7:$S$106,16,FALSE),0),"n.a."))</f>
        <v>0</v>
      </c>
      <c r="S3701" s="1">
        <f>IF(NOT(Paths!$C$342=1),0,IF(Paths!$P$342="Complete",IF(C3701=0,0,Paths!$S$342*Paths!$R$342),"n.a."))</f>
        <v>0</v>
      </c>
      <c r="T3701" s="1">
        <f>IF(NOT(Paths!$C$342=1),0,IF(Paths!$P$342="Complete",IF(C3701=0,0,VLOOKUP(A3701,'Fleet register'!$A$7:$S$106,9,FALSE)*Paths!$R$342),"n.a."))</f>
        <v>0</v>
      </c>
    </row>
    <row r="3702" spans="1:20" ht="24" customHeight="1">
      <c r="A3702" s="1" t="str">
        <f>Paths!$A$342</f>
        <v>T084</v>
      </c>
      <c r="B3702" s="1">
        <f>Paths!$B$342</f>
        <v>3</v>
      </c>
      <c r="C3702" s="1">
        <v>10</v>
      </c>
      <c r="D3702" s="1">
        <v>342</v>
      </c>
      <c r="E3702" s="1">
        <f>IF(OR(Paths!$C$342=0,C3702=0),0,MAX(0,MIN(C3702*12,Paths!$E$342)-(C3702-1)*12))</f>
        <v>0</v>
      </c>
      <c r="F3702" s="1">
        <f>IF(OR(Paths!$C$342=0,C3702=0),0,12-E3702)</f>
        <v>0</v>
      </c>
      <c r="G3702" s="16">
        <f>IF(NOT(Paths!$C$342=1),0,IF(Paths!$P$342="Complete",E3702/12*(Paths!$J$342*(1+'Operating costs'!$B$51)^MAX(0,C3702-1)+Paths!$K$342*(1+'Operating costs'!$B$53)^MAX(0,C3702-1)),"n.a."))</f>
        <v>0</v>
      </c>
      <c r="H3702" s="16">
        <f>IF(NOT(Paths!$C$342=1),0,IF(Paths!$P$342="Complete",F3702/12*(Paths!$L$342*(1+IF(Paths!$D$342="EV",'Operating costs'!$B$52,'Operating costs'!$B$51))^MAX(0,C3702-1)+Paths!$M$342*(1+'Operating costs'!$B$53)^MAX(0,C3702-1)),"n.a."))</f>
        <v>0</v>
      </c>
      <c r="I3702" s="16">
        <f>IF(NOT(Paths!$C$342=1),0,IF(Paths!$P$342="Complete",IF(IF(Paths!$E$342=0,C3702=0,AND(C3702&gt;0,Paths!$E$342&gt;(C3702-1)*12,Paths!$E$342&lt;=C3702*12)),Paths!$G$342,0),"n.a."))</f>
        <v>0</v>
      </c>
      <c r="J3702" s="16">
        <f>IF(NOT(Paths!$C$342=1),0,IF(Paths!$P$342="Complete",IF(IF(Paths!$E$342=0,C3702=0,AND(C3702&gt;0,Paths!$E$342&gt;(C3702-1)*12,Paths!$E$342&lt;=C3702*12)),Paths!$H$342,0),"n.a."))</f>
        <v>0</v>
      </c>
      <c r="K3702" s="16">
        <f>IF(NOT(Paths!$C$342=1),0,IF(Paths!$P$342="Complete",IF(IF(Paths!$O$342=0,C3702=0,AND(C3702&gt;0,Paths!$O$342&gt;(C3702-1)*12,Paths!$O$342&lt;=C3702*12)),Paths!$N$342,0),"n.a."))</f>
        <v>0</v>
      </c>
      <c r="L3702" s="16">
        <f>IF(NOT(Paths!$C$342=1),0,IF(Paths!$P$342="Complete",IF(C3702=10,Paths!$I$342,0),"n.a."))</f>
        <v>0</v>
      </c>
      <c r="M3702" s="16">
        <f>IF(NOT(Paths!$C$342=1),0,IF(Paths!$P$342="Complete",IF(AND(Paths!$D$342="EV",Paths!$E$342&lt;120,Paths!$E$342+'Operating costs'!$B$65&gt;Paths!$E$342,Paths!$E$342+'Operating costs'!$B$65&lt;=120,IF(Paths!$E$342+'Operating costs'!$B$65=0,C3702=0,AND(C3702&gt;0,Paths!$E$342+'Operating costs'!$B$65&gt;(C3702-1)*12,Paths!$E$342+'Operating costs'!$B$65&lt;=C3702*12))),'Operating costs'!$B$64,0)+IF(AND('Operating costs'!$B$67&gt;0,'Operating costs'!$B$67&lt;=120,OR(Paths!$D$342="ICE",'Operating costs'!$B$67&lt;=Paths!$E$342),IF('Operating costs'!$B$67=0,C3702=0,AND(C3702&gt;0,'Operating costs'!$B$67&gt;(C3702-1)*12,'Operating costs'!$B$67&lt;=C3702*12))),'Operating costs'!$B$66,0),"n.a."))</f>
        <v>0</v>
      </c>
      <c r="N3702" s="16">
        <f>IF(NOT(Paths!$C$342=1),0,IF(Paths!$P$342="Complete",SUM(G3702:I3702)-J3702-K3702-L3702+M3702+IF(C3702=0,Paths!$F$342,0)+IF(IF(Paths!$E$342=0,C3702=0,AND(C3702&gt;0,Paths!$E$342&gt;(C3702-1)*12,Paths!$E$342&lt;=C3702*12)),VLOOKUP(A3702,'Fleet register'!$A$7:$S$106,16,FALSE),0),"n.a."))</f>
        <v>0</v>
      </c>
      <c r="O3702" s="16">
        <f>IF(NOT(Paths!$C$342=1),0,IF(Paths!$P$342="Complete",N3702-IF(C3702=0,Paths!$F$342,0),"n.a."))</f>
        <v>0</v>
      </c>
      <c r="P3702" s="16">
        <f>IF(NOT(Paths!$C$342=1),0,IF(Paths!$P$342="Complete",O3702+L3702,"n.a."))</f>
        <v>0</v>
      </c>
      <c r="Q3702" s="16">
        <f>IF(NOT(Paths!$C$342=1),0,IF(Paths!$P$342="Complete",N3702*(1+'Operating costs'!$B$54)^-C3702,"n.a."))</f>
        <v>0</v>
      </c>
      <c r="R3702" s="16">
        <f>IF(NOT(Paths!$C$342=1),0,IF(Paths!$P$342="Complete",IF(AND(C3702=0,Paths!$E$342=0),I3702-J3702-K3702+VLOOKUP(A3702,'Fleet register'!$A$7:$S$106,15,FALSE)+VLOOKUP(A3702,'Fleet register'!$A$7:$S$106,16,FALSE),0),"n.a."))</f>
        <v>0</v>
      </c>
      <c r="S3702" s="1">
        <f>IF(NOT(Paths!$C$342=1),0,IF(Paths!$P$342="Complete",IF(C3702=0,0,Paths!$S$342*Paths!$R$342),"n.a."))</f>
        <v>0</v>
      </c>
      <c r="T3702" s="1">
        <f>IF(NOT(Paths!$C$342=1),0,IF(Paths!$P$342="Complete",IF(C3702=0,0,VLOOKUP(A3702,'Fleet register'!$A$7:$S$106,9,FALSE)*Paths!$R$342),"n.a."))</f>
        <v>0</v>
      </c>
    </row>
    <row r="3703" spans="1:20" ht="24" customHeight="1">
      <c r="A3703" s="1" t="str">
        <f>Paths!$A$343</f>
        <v>T085</v>
      </c>
      <c r="B3703" s="1">
        <f>Paths!$B$343</f>
        <v>0</v>
      </c>
      <c r="C3703" s="1">
        <v>0</v>
      </c>
      <c r="D3703" s="1">
        <v>343</v>
      </c>
      <c r="E3703" s="1">
        <f>IF(OR(Paths!$C$343=0,C3703=0),0,MAX(0,MIN(C3703*12,Paths!$E$343)-(C3703-1)*12))</f>
        <v>0</v>
      </c>
      <c r="F3703" s="1">
        <f>IF(OR(Paths!$C$343=0,C3703=0),0,12-E3703)</f>
        <v>0</v>
      </c>
      <c r="G3703" s="16">
        <f>IF(NOT(Paths!$C$343=1),0,IF(Paths!$P$343="Complete",E3703/12*(Paths!$J$343*(1+'Operating costs'!$B$51)^MAX(0,C3703-1)+Paths!$K$343*(1+'Operating costs'!$B$53)^MAX(0,C3703-1)),"n.a."))</f>
        <v>0</v>
      </c>
      <c r="H3703" s="16">
        <f>IF(NOT(Paths!$C$343=1),0,IF(Paths!$P$343="Complete",F3703/12*(Paths!$L$343*(1+IF(Paths!$D$343="EV",'Operating costs'!$B$52,'Operating costs'!$B$51))^MAX(0,C3703-1)+Paths!$M$343*(1+'Operating costs'!$B$53)^MAX(0,C3703-1)),"n.a."))</f>
        <v>0</v>
      </c>
      <c r="I3703" s="16">
        <f>IF(NOT(Paths!$C$343=1),0,IF(Paths!$P$343="Complete",IF(IF(Paths!$E$343=0,C3703=0,AND(C3703&gt;0,Paths!$E$343&gt;(C3703-1)*12,Paths!$E$343&lt;=C3703*12)),Paths!$G$343,0),"n.a."))</f>
        <v>0</v>
      </c>
      <c r="J3703" s="16">
        <f>IF(NOT(Paths!$C$343=1),0,IF(Paths!$P$343="Complete",IF(IF(Paths!$E$343=0,C3703=0,AND(C3703&gt;0,Paths!$E$343&gt;(C3703-1)*12,Paths!$E$343&lt;=C3703*12)),Paths!$H$343,0),"n.a."))</f>
        <v>0</v>
      </c>
      <c r="K3703" s="16">
        <f>IF(NOT(Paths!$C$343=1),0,IF(Paths!$P$343="Complete",IF(IF(Paths!$O$343=0,C3703=0,AND(C3703&gt;0,Paths!$O$343&gt;(C3703-1)*12,Paths!$O$343&lt;=C3703*12)),Paths!$N$343,0),"n.a."))</f>
        <v>0</v>
      </c>
      <c r="L3703" s="16">
        <f>IF(NOT(Paths!$C$343=1),0,IF(Paths!$P$343="Complete",IF(C3703=10,Paths!$I$343,0),"n.a."))</f>
        <v>0</v>
      </c>
      <c r="M3703" s="16">
        <f>IF(NOT(Paths!$C$343=1),0,IF(Paths!$P$343="Complete",IF(AND(Paths!$D$343="EV",Paths!$E$343&lt;120,Paths!$E$343+'Operating costs'!$B$65&gt;Paths!$E$343,Paths!$E$343+'Operating costs'!$B$65&lt;=120,IF(Paths!$E$343+'Operating costs'!$B$65=0,C3703=0,AND(C3703&gt;0,Paths!$E$343+'Operating costs'!$B$65&gt;(C3703-1)*12,Paths!$E$343+'Operating costs'!$B$65&lt;=C3703*12))),'Operating costs'!$B$64,0)+IF(AND('Operating costs'!$B$67&gt;0,'Operating costs'!$B$67&lt;=120,OR(Paths!$D$343="ICE",'Operating costs'!$B$67&lt;=Paths!$E$343),IF('Operating costs'!$B$67=0,C3703=0,AND(C3703&gt;0,'Operating costs'!$B$67&gt;(C3703-1)*12,'Operating costs'!$B$67&lt;=C3703*12))),'Operating costs'!$B$66,0),"n.a."))</f>
        <v>0</v>
      </c>
      <c r="N3703" s="16">
        <f>IF(NOT(Paths!$C$343=1),0,IF(Paths!$P$343="Complete",SUM(G3703:I3703)-J3703-K3703-L3703+M3703+IF(C3703=0,Paths!$F$343,0)+IF(IF(Paths!$E$343=0,C3703=0,AND(C3703&gt;0,Paths!$E$343&gt;(C3703-1)*12,Paths!$E$343&lt;=C3703*12)),VLOOKUP(A3703,'Fleet register'!$A$7:$S$106,16,FALSE),0),"n.a."))</f>
        <v>0</v>
      </c>
      <c r="O3703" s="16">
        <f>IF(NOT(Paths!$C$343=1),0,IF(Paths!$P$343="Complete",N3703-IF(C3703=0,Paths!$F$343,0),"n.a."))</f>
        <v>0</v>
      </c>
      <c r="P3703" s="16">
        <f>IF(NOT(Paths!$C$343=1),0,IF(Paths!$P$343="Complete",O3703+L3703,"n.a."))</f>
        <v>0</v>
      </c>
      <c r="Q3703" s="16">
        <f>IF(NOT(Paths!$C$343=1),0,IF(Paths!$P$343="Complete",N3703*(1+'Operating costs'!$B$54)^-C3703,"n.a."))</f>
        <v>0</v>
      </c>
      <c r="R3703" s="16">
        <f>IF(NOT(Paths!$C$343=1),0,IF(Paths!$P$343="Complete",IF(AND(C3703=0,Paths!$E$343=0),I3703-J3703-K3703+VLOOKUP(A3703,'Fleet register'!$A$7:$S$106,15,FALSE)+VLOOKUP(A3703,'Fleet register'!$A$7:$S$106,16,FALSE),0),"n.a."))</f>
        <v>0</v>
      </c>
      <c r="S3703" s="1">
        <f>IF(NOT(Paths!$C$343=1),0,IF(Paths!$P$343="Complete",IF(C3703=0,0,Paths!$S$343*Paths!$R$343),"n.a."))</f>
        <v>0</v>
      </c>
      <c r="T3703" s="1">
        <f>IF(NOT(Paths!$C$343=1),0,IF(Paths!$P$343="Complete",IF(C3703=0,0,VLOOKUP(A3703,'Fleet register'!$A$7:$S$106,9,FALSE)*Paths!$R$343),"n.a."))</f>
        <v>0</v>
      </c>
    </row>
    <row r="3704" spans="1:20" ht="24" customHeight="1">
      <c r="A3704" s="1" t="str">
        <f>Paths!$A$343</f>
        <v>T085</v>
      </c>
      <c r="B3704" s="1">
        <f>Paths!$B$343</f>
        <v>0</v>
      </c>
      <c r="C3704" s="1">
        <v>1</v>
      </c>
      <c r="D3704" s="1">
        <v>343</v>
      </c>
      <c r="E3704" s="1">
        <f>IF(OR(Paths!$C$343=0,C3704=0),0,MAX(0,MIN(C3704*12,Paths!$E$343)-(C3704-1)*12))</f>
        <v>0</v>
      </c>
      <c r="F3704" s="1">
        <f>IF(OR(Paths!$C$343=0,C3704=0),0,12-E3704)</f>
        <v>0</v>
      </c>
      <c r="G3704" s="16">
        <f>IF(NOT(Paths!$C$343=1),0,IF(Paths!$P$343="Complete",E3704/12*(Paths!$J$343*(1+'Operating costs'!$B$51)^MAX(0,C3704-1)+Paths!$K$343*(1+'Operating costs'!$B$53)^MAX(0,C3704-1)),"n.a."))</f>
        <v>0</v>
      </c>
      <c r="H3704" s="16">
        <f>IF(NOT(Paths!$C$343=1),0,IF(Paths!$P$343="Complete",F3704/12*(Paths!$L$343*(1+IF(Paths!$D$343="EV",'Operating costs'!$B$52,'Operating costs'!$B$51))^MAX(0,C3704-1)+Paths!$M$343*(1+'Operating costs'!$B$53)^MAX(0,C3704-1)),"n.a."))</f>
        <v>0</v>
      </c>
      <c r="I3704" s="16">
        <f>IF(NOT(Paths!$C$343=1),0,IF(Paths!$P$343="Complete",IF(IF(Paths!$E$343=0,C3704=0,AND(C3704&gt;0,Paths!$E$343&gt;(C3704-1)*12,Paths!$E$343&lt;=C3704*12)),Paths!$G$343,0),"n.a."))</f>
        <v>0</v>
      </c>
      <c r="J3704" s="16">
        <f>IF(NOT(Paths!$C$343=1),0,IF(Paths!$P$343="Complete",IF(IF(Paths!$E$343=0,C3704=0,AND(C3704&gt;0,Paths!$E$343&gt;(C3704-1)*12,Paths!$E$343&lt;=C3704*12)),Paths!$H$343,0),"n.a."))</f>
        <v>0</v>
      </c>
      <c r="K3704" s="16">
        <f>IF(NOT(Paths!$C$343=1),0,IF(Paths!$P$343="Complete",IF(IF(Paths!$O$343=0,C3704=0,AND(C3704&gt;0,Paths!$O$343&gt;(C3704-1)*12,Paths!$O$343&lt;=C3704*12)),Paths!$N$343,0),"n.a."))</f>
        <v>0</v>
      </c>
      <c r="L3704" s="16">
        <f>IF(NOT(Paths!$C$343=1),0,IF(Paths!$P$343="Complete",IF(C3704=10,Paths!$I$343,0),"n.a."))</f>
        <v>0</v>
      </c>
      <c r="M3704" s="16">
        <f>IF(NOT(Paths!$C$343=1),0,IF(Paths!$P$343="Complete",IF(AND(Paths!$D$343="EV",Paths!$E$343&lt;120,Paths!$E$343+'Operating costs'!$B$65&gt;Paths!$E$343,Paths!$E$343+'Operating costs'!$B$65&lt;=120,IF(Paths!$E$343+'Operating costs'!$B$65=0,C3704=0,AND(C3704&gt;0,Paths!$E$343+'Operating costs'!$B$65&gt;(C3704-1)*12,Paths!$E$343+'Operating costs'!$B$65&lt;=C3704*12))),'Operating costs'!$B$64,0)+IF(AND('Operating costs'!$B$67&gt;0,'Operating costs'!$B$67&lt;=120,OR(Paths!$D$343="ICE",'Operating costs'!$B$67&lt;=Paths!$E$343),IF('Operating costs'!$B$67=0,C3704=0,AND(C3704&gt;0,'Operating costs'!$B$67&gt;(C3704-1)*12,'Operating costs'!$B$67&lt;=C3704*12))),'Operating costs'!$B$66,0),"n.a."))</f>
        <v>0</v>
      </c>
      <c r="N3704" s="16">
        <f>IF(NOT(Paths!$C$343=1),0,IF(Paths!$P$343="Complete",SUM(G3704:I3704)-J3704-K3704-L3704+M3704+IF(C3704=0,Paths!$F$343,0)+IF(IF(Paths!$E$343=0,C3704=0,AND(C3704&gt;0,Paths!$E$343&gt;(C3704-1)*12,Paths!$E$343&lt;=C3704*12)),VLOOKUP(A3704,'Fleet register'!$A$7:$S$106,16,FALSE),0),"n.a."))</f>
        <v>0</v>
      </c>
      <c r="O3704" s="16">
        <f>IF(NOT(Paths!$C$343=1),0,IF(Paths!$P$343="Complete",N3704-IF(C3704=0,Paths!$F$343,0),"n.a."))</f>
        <v>0</v>
      </c>
      <c r="P3704" s="16">
        <f>IF(NOT(Paths!$C$343=1),0,IF(Paths!$P$343="Complete",O3704+L3704,"n.a."))</f>
        <v>0</v>
      </c>
      <c r="Q3704" s="16">
        <f>IF(NOT(Paths!$C$343=1),0,IF(Paths!$P$343="Complete",N3704*(1+'Operating costs'!$B$54)^-C3704,"n.a."))</f>
        <v>0</v>
      </c>
      <c r="R3704" s="16">
        <f>IF(NOT(Paths!$C$343=1),0,IF(Paths!$P$343="Complete",IF(AND(C3704=0,Paths!$E$343=0),I3704-J3704-K3704+VLOOKUP(A3704,'Fleet register'!$A$7:$S$106,15,FALSE)+VLOOKUP(A3704,'Fleet register'!$A$7:$S$106,16,FALSE),0),"n.a."))</f>
        <v>0</v>
      </c>
      <c r="S3704" s="1">
        <f>IF(NOT(Paths!$C$343=1),0,IF(Paths!$P$343="Complete",IF(C3704=0,0,Paths!$S$343*Paths!$R$343),"n.a."))</f>
        <v>0</v>
      </c>
      <c r="T3704" s="1">
        <f>IF(NOT(Paths!$C$343=1),0,IF(Paths!$P$343="Complete",IF(C3704=0,0,VLOOKUP(A3704,'Fleet register'!$A$7:$S$106,9,FALSE)*Paths!$R$343),"n.a."))</f>
        <v>0</v>
      </c>
    </row>
    <row r="3705" spans="1:20" ht="24" customHeight="1">
      <c r="A3705" s="1" t="str">
        <f>Paths!$A$343</f>
        <v>T085</v>
      </c>
      <c r="B3705" s="1">
        <f>Paths!$B$343</f>
        <v>0</v>
      </c>
      <c r="C3705" s="1">
        <v>2</v>
      </c>
      <c r="D3705" s="1">
        <v>343</v>
      </c>
      <c r="E3705" s="1">
        <f>IF(OR(Paths!$C$343=0,C3705=0),0,MAX(0,MIN(C3705*12,Paths!$E$343)-(C3705-1)*12))</f>
        <v>0</v>
      </c>
      <c r="F3705" s="1">
        <f>IF(OR(Paths!$C$343=0,C3705=0),0,12-E3705)</f>
        <v>0</v>
      </c>
      <c r="G3705" s="16">
        <f>IF(NOT(Paths!$C$343=1),0,IF(Paths!$P$343="Complete",E3705/12*(Paths!$J$343*(1+'Operating costs'!$B$51)^MAX(0,C3705-1)+Paths!$K$343*(1+'Operating costs'!$B$53)^MAX(0,C3705-1)),"n.a."))</f>
        <v>0</v>
      </c>
      <c r="H3705" s="16">
        <f>IF(NOT(Paths!$C$343=1),0,IF(Paths!$P$343="Complete",F3705/12*(Paths!$L$343*(1+IF(Paths!$D$343="EV",'Operating costs'!$B$52,'Operating costs'!$B$51))^MAX(0,C3705-1)+Paths!$M$343*(1+'Operating costs'!$B$53)^MAX(0,C3705-1)),"n.a."))</f>
        <v>0</v>
      </c>
      <c r="I3705" s="16">
        <f>IF(NOT(Paths!$C$343=1),0,IF(Paths!$P$343="Complete",IF(IF(Paths!$E$343=0,C3705=0,AND(C3705&gt;0,Paths!$E$343&gt;(C3705-1)*12,Paths!$E$343&lt;=C3705*12)),Paths!$G$343,0),"n.a."))</f>
        <v>0</v>
      </c>
      <c r="J3705" s="16">
        <f>IF(NOT(Paths!$C$343=1),0,IF(Paths!$P$343="Complete",IF(IF(Paths!$E$343=0,C3705=0,AND(C3705&gt;0,Paths!$E$343&gt;(C3705-1)*12,Paths!$E$343&lt;=C3705*12)),Paths!$H$343,0),"n.a."))</f>
        <v>0</v>
      </c>
      <c r="K3705" s="16">
        <f>IF(NOT(Paths!$C$343=1),0,IF(Paths!$P$343="Complete",IF(IF(Paths!$O$343=0,C3705=0,AND(C3705&gt;0,Paths!$O$343&gt;(C3705-1)*12,Paths!$O$343&lt;=C3705*12)),Paths!$N$343,0),"n.a."))</f>
        <v>0</v>
      </c>
      <c r="L3705" s="16">
        <f>IF(NOT(Paths!$C$343=1),0,IF(Paths!$P$343="Complete",IF(C3705=10,Paths!$I$343,0),"n.a."))</f>
        <v>0</v>
      </c>
      <c r="M3705" s="16">
        <f>IF(NOT(Paths!$C$343=1),0,IF(Paths!$P$343="Complete",IF(AND(Paths!$D$343="EV",Paths!$E$343&lt;120,Paths!$E$343+'Operating costs'!$B$65&gt;Paths!$E$343,Paths!$E$343+'Operating costs'!$B$65&lt;=120,IF(Paths!$E$343+'Operating costs'!$B$65=0,C3705=0,AND(C3705&gt;0,Paths!$E$343+'Operating costs'!$B$65&gt;(C3705-1)*12,Paths!$E$343+'Operating costs'!$B$65&lt;=C3705*12))),'Operating costs'!$B$64,0)+IF(AND('Operating costs'!$B$67&gt;0,'Operating costs'!$B$67&lt;=120,OR(Paths!$D$343="ICE",'Operating costs'!$B$67&lt;=Paths!$E$343),IF('Operating costs'!$B$67=0,C3705=0,AND(C3705&gt;0,'Operating costs'!$B$67&gt;(C3705-1)*12,'Operating costs'!$B$67&lt;=C3705*12))),'Operating costs'!$B$66,0),"n.a."))</f>
        <v>0</v>
      </c>
      <c r="N3705" s="16">
        <f>IF(NOT(Paths!$C$343=1),0,IF(Paths!$P$343="Complete",SUM(G3705:I3705)-J3705-K3705-L3705+M3705+IF(C3705=0,Paths!$F$343,0)+IF(IF(Paths!$E$343=0,C3705=0,AND(C3705&gt;0,Paths!$E$343&gt;(C3705-1)*12,Paths!$E$343&lt;=C3705*12)),VLOOKUP(A3705,'Fleet register'!$A$7:$S$106,16,FALSE),0),"n.a."))</f>
        <v>0</v>
      </c>
      <c r="O3705" s="16">
        <f>IF(NOT(Paths!$C$343=1),0,IF(Paths!$P$343="Complete",N3705-IF(C3705=0,Paths!$F$343,0),"n.a."))</f>
        <v>0</v>
      </c>
      <c r="P3705" s="16">
        <f>IF(NOT(Paths!$C$343=1),0,IF(Paths!$P$343="Complete",O3705+L3705,"n.a."))</f>
        <v>0</v>
      </c>
      <c r="Q3705" s="16">
        <f>IF(NOT(Paths!$C$343=1),0,IF(Paths!$P$343="Complete",N3705*(1+'Operating costs'!$B$54)^-C3705,"n.a."))</f>
        <v>0</v>
      </c>
      <c r="R3705" s="16">
        <f>IF(NOT(Paths!$C$343=1),0,IF(Paths!$P$343="Complete",IF(AND(C3705=0,Paths!$E$343=0),I3705-J3705-K3705+VLOOKUP(A3705,'Fleet register'!$A$7:$S$106,15,FALSE)+VLOOKUP(A3705,'Fleet register'!$A$7:$S$106,16,FALSE),0),"n.a."))</f>
        <v>0</v>
      </c>
      <c r="S3705" s="1">
        <f>IF(NOT(Paths!$C$343=1),0,IF(Paths!$P$343="Complete",IF(C3705=0,0,Paths!$S$343*Paths!$R$343),"n.a."))</f>
        <v>0</v>
      </c>
      <c r="T3705" s="1">
        <f>IF(NOT(Paths!$C$343=1),0,IF(Paths!$P$343="Complete",IF(C3705=0,0,VLOOKUP(A3705,'Fleet register'!$A$7:$S$106,9,FALSE)*Paths!$R$343),"n.a."))</f>
        <v>0</v>
      </c>
    </row>
    <row r="3706" spans="1:20" ht="24" customHeight="1">
      <c r="A3706" s="1" t="str">
        <f>Paths!$A$343</f>
        <v>T085</v>
      </c>
      <c r="B3706" s="1">
        <f>Paths!$B$343</f>
        <v>0</v>
      </c>
      <c r="C3706" s="1">
        <v>3</v>
      </c>
      <c r="D3706" s="1">
        <v>343</v>
      </c>
      <c r="E3706" s="1">
        <f>IF(OR(Paths!$C$343=0,C3706=0),0,MAX(0,MIN(C3706*12,Paths!$E$343)-(C3706-1)*12))</f>
        <v>0</v>
      </c>
      <c r="F3706" s="1">
        <f>IF(OR(Paths!$C$343=0,C3706=0),0,12-E3706)</f>
        <v>0</v>
      </c>
      <c r="G3706" s="16">
        <f>IF(NOT(Paths!$C$343=1),0,IF(Paths!$P$343="Complete",E3706/12*(Paths!$J$343*(1+'Operating costs'!$B$51)^MAX(0,C3706-1)+Paths!$K$343*(1+'Operating costs'!$B$53)^MAX(0,C3706-1)),"n.a."))</f>
        <v>0</v>
      </c>
      <c r="H3706" s="16">
        <f>IF(NOT(Paths!$C$343=1),0,IF(Paths!$P$343="Complete",F3706/12*(Paths!$L$343*(1+IF(Paths!$D$343="EV",'Operating costs'!$B$52,'Operating costs'!$B$51))^MAX(0,C3706-1)+Paths!$M$343*(1+'Operating costs'!$B$53)^MAX(0,C3706-1)),"n.a."))</f>
        <v>0</v>
      </c>
      <c r="I3706" s="16">
        <f>IF(NOT(Paths!$C$343=1),0,IF(Paths!$P$343="Complete",IF(IF(Paths!$E$343=0,C3706=0,AND(C3706&gt;0,Paths!$E$343&gt;(C3706-1)*12,Paths!$E$343&lt;=C3706*12)),Paths!$G$343,0),"n.a."))</f>
        <v>0</v>
      </c>
      <c r="J3706" s="16">
        <f>IF(NOT(Paths!$C$343=1),0,IF(Paths!$P$343="Complete",IF(IF(Paths!$E$343=0,C3706=0,AND(C3706&gt;0,Paths!$E$343&gt;(C3706-1)*12,Paths!$E$343&lt;=C3706*12)),Paths!$H$343,0),"n.a."))</f>
        <v>0</v>
      </c>
      <c r="K3706" s="16">
        <f>IF(NOT(Paths!$C$343=1),0,IF(Paths!$P$343="Complete",IF(IF(Paths!$O$343=0,C3706=0,AND(C3706&gt;0,Paths!$O$343&gt;(C3706-1)*12,Paths!$O$343&lt;=C3706*12)),Paths!$N$343,0),"n.a."))</f>
        <v>0</v>
      </c>
      <c r="L3706" s="16">
        <f>IF(NOT(Paths!$C$343=1),0,IF(Paths!$P$343="Complete",IF(C3706=10,Paths!$I$343,0),"n.a."))</f>
        <v>0</v>
      </c>
      <c r="M3706" s="16">
        <f>IF(NOT(Paths!$C$343=1),0,IF(Paths!$P$343="Complete",IF(AND(Paths!$D$343="EV",Paths!$E$343&lt;120,Paths!$E$343+'Operating costs'!$B$65&gt;Paths!$E$343,Paths!$E$343+'Operating costs'!$B$65&lt;=120,IF(Paths!$E$343+'Operating costs'!$B$65=0,C3706=0,AND(C3706&gt;0,Paths!$E$343+'Operating costs'!$B$65&gt;(C3706-1)*12,Paths!$E$343+'Operating costs'!$B$65&lt;=C3706*12))),'Operating costs'!$B$64,0)+IF(AND('Operating costs'!$B$67&gt;0,'Operating costs'!$B$67&lt;=120,OR(Paths!$D$343="ICE",'Operating costs'!$B$67&lt;=Paths!$E$343),IF('Operating costs'!$B$67=0,C3706=0,AND(C3706&gt;0,'Operating costs'!$B$67&gt;(C3706-1)*12,'Operating costs'!$B$67&lt;=C3706*12))),'Operating costs'!$B$66,0),"n.a."))</f>
        <v>0</v>
      </c>
      <c r="N3706" s="16">
        <f>IF(NOT(Paths!$C$343=1),0,IF(Paths!$P$343="Complete",SUM(G3706:I3706)-J3706-K3706-L3706+M3706+IF(C3706=0,Paths!$F$343,0)+IF(IF(Paths!$E$343=0,C3706=0,AND(C3706&gt;0,Paths!$E$343&gt;(C3706-1)*12,Paths!$E$343&lt;=C3706*12)),VLOOKUP(A3706,'Fleet register'!$A$7:$S$106,16,FALSE),0),"n.a."))</f>
        <v>0</v>
      </c>
      <c r="O3706" s="16">
        <f>IF(NOT(Paths!$C$343=1),0,IF(Paths!$P$343="Complete",N3706-IF(C3706=0,Paths!$F$343,0),"n.a."))</f>
        <v>0</v>
      </c>
      <c r="P3706" s="16">
        <f>IF(NOT(Paths!$C$343=1),0,IF(Paths!$P$343="Complete",O3706+L3706,"n.a."))</f>
        <v>0</v>
      </c>
      <c r="Q3706" s="16">
        <f>IF(NOT(Paths!$C$343=1),0,IF(Paths!$P$343="Complete",N3706*(1+'Operating costs'!$B$54)^-C3706,"n.a."))</f>
        <v>0</v>
      </c>
      <c r="R3706" s="16">
        <f>IF(NOT(Paths!$C$343=1),0,IF(Paths!$P$343="Complete",IF(AND(C3706=0,Paths!$E$343=0),I3706-J3706-K3706+VLOOKUP(A3706,'Fleet register'!$A$7:$S$106,15,FALSE)+VLOOKUP(A3706,'Fleet register'!$A$7:$S$106,16,FALSE),0),"n.a."))</f>
        <v>0</v>
      </c>
      <c r="S3706" s="1">
        <f>IF(NOT(Paths!$C$343=1),0,IF(Paths!$P$343="Complete",IF(C3706=0,0,Paths!$S$343*Paths!$R$343),"n.a."))</f>
        <v>0</v>
      </c>
      <c r="T3706" s="1">
        <f>IF(NOT(Paths!$C$343=1),0,IF(Paths!$P$343="Complete",IF(C3706=0,0,VLOOKUP(A3706,'Fleet register'!$A$7:$S$106,9,FALSE)*Paths!$R$343),"n.a."))</f>
        <v>0</v>
      </c>
    </row>
    <row r="3707" spans="1:20" ht="24" customHeight="1">
      <c r="A3707" s="1" t="str">
        <f>Paths!$A$343</f>
        <v>T085</v>
      </c>
      <c r="B3707" s="1">
        <f>Paths!$B$343</f>
        <v>0</v>
      </c>
      <c r="C3707" s="1">
        <v>4</v>
      </c>
      <c r="D3707" s="1">
        <v>343</v>
      </c>
      <c r="E3707" s="1">
        <f>IF(OR(Paths!$C$343=0,C3707=0),0,MAX(0,MIN(C3707*12,Paths!$E$343)-(C3707-1)*12))</f>
        <v>0</v>
      </c>
      <c r="F3707" s="1">
        <f>IF(OR(Paths!$C$343=0,C3707=0),0,12-E3707)</f>
        <v>0</v>
      </c>
      <c r="G3707" s="16">
        <f>IF(NOT(Paths!$C$343=1),0,IF(Paths!$P$343="Complete",E3707/12*(Paths!$J$343*(1+'Operating costs'!$B$51)^MAX(0,C3707-1)+Paths!$K$343*(1+'Operating costs'!$B$53)^MAX(0,C3707-1)),"n.a."))</f>
        <v>0</v>
      </c>
      <c r="H3707" s="16">
        <f>IF(NOT(Paths!$C$343=1),0,IF(Paths!$P$343="Complete",F3707/12*(Paths!$L$343*(1+IF(Paths!$D$343="EV",'Operating costs'!$B$52,'Operating costs'!$B$51))^MAX(0,C3707-1)+Paths!$M$343*(1+'Operating costs'!$B$53)^MAX(0,C3707-1)),"n.a."))</f>
        <v>0</v>
      </c>
      <c r="I3707" s="16">
        <f>IF(NOT(Paths!$C$343=1),0,IF(Paths!$P$343="Complete",IF(IF(Paths!$E$343=0,C3707=0,AND(C3707&gt;0,Paths!$E$343&gt;(C3707-1)*12,Paths!$E$343&lt;=C3707*12)),Paths!$G$343,0),"n.a."))</f>
        <v>0</v>
      </c>
      <c r="J3707" s="16">
        <f>IF(NOT(Paths!$C$343=1),0,IF(Paths!$P$343="Complete",IF(IF(Paths!$E$343=0,C3707=0,AND(C3707&gt;0,Paths!$E$343&gt;(C3707-1)*12,Paths!$E$343&lt;=C3707*12)),Paths!$H$343,0),"n.a."))</f>
        <v>0</v>
      </c>
      <c r="K3707" s="16">
        <f>IF(NOT(Paths!$C$343=1),0,IF(Paths!$P$343="Complete",IF(IF(Paths!$O$343=0,C3707=0,AND(C3707&gt;0,Paths!$O$343&gt;(C3707-1)*12,Paths!$O$343&lt;=C3707*12)),Paths!$N$343,0),"n.a."))</f>
        <v>0</v>
      </c>
      <c r="L3707" s="16">
        <f>IF(NOT(Paths!$C$343=1),0,IF(Paths!$P$343="Complete",IF(C3707=10,Paths!$I$343,0),"n.a."))</f>
        <v>0</v>
      </c>
      <c r="M3707" s="16">
        <f>IF(NOT(Paths!$C$343=1),0,IF(Paths!$P$343="Complete",IF(AND(Paths!$D$343="EV",Paths!$E$343&lt;120,Paths!$E$343+'Operating costs'!$B$65&gt;Paths!$E$343,Paths!$E$343+'Operating costs'!$B$65&lt;=120,IF(Paths!$E$343+'Operating costs'!$B$65=0,C3707=0,AND(C3707&gt;0,Paths!$E$343+'Operating costs'!$B$65&gt;(C3707-1)*12,Paths!$E$343+'Operating costs'!$B$65&lt;=C3707*12))),'Operating costs'!$B$64,0)+IF(AND('Operating costs'!$B$67&gt;0,'Operating costs'!$B$67&lt;=120,OR(Paths!$D$343="ICE",'Operating costs'!$B$67&lt;=Paths!$E$343),IF('Operating costs'!$B$67=0,C3707=0,AND(C3707&gt;0,'Operating costs'!$B$67&gt;(C3707-1)*12,'Operating costs'!$B$67&lt;=C3707*12))),'Operating costs'!$B$66,0),"n.a."))</f>
        <v>0</v>
      </c>
      <c r="N3707" s="16">
        <f>IF(NOT(Paths!$C$343=1),0,IF(Paths!$P$343="Complete",SUM(G3707:I3707)-J3707-K3707-L3707+M3707+IF(C3707=0,Paths!$F$343,0)+IF(IF(Paths!$E$343=0,C3707=0,AND(C3707&gt;0,Paths!$E$343&gt;(C3707-1)*12,Paths!$E$343&lt;=C3707*12)),VLOOKUP(A3707,'Fleet register'!$A$7:$S$106,16,FALSE),0),"n.a."))</f>
        <v>0</v>
      </c>
      <c r="O3707" s="16">
        <f>IF(NOT(Paths!$C$343=1),0,IF(Paths!$P$343="Complete",N3707-IF(C3707=0,Paths!$F$343,0),"n.a."))</f>
        <v>0</v>
      </c>
      <c r="P3707" s="16">
        <f>IF(NOT(Paths!$C$343=1),0,IF(Paths!$P$343="Complete",O3707+L3707,"n.a."))</f>
        <v>0</v>
      </c>
      <c r="Q3707" s="16">
        <f>IF(NOT(Paths!$C$343=1),0,IF(Paths!$P$343="Complete",N3707*(1+'Operating costs'!$B$54)^-C3707,"n.a."))</f>
        <v>0</v>
      </c>
      <c r="R3707" s="16">
        <f>IF(NOT(Paths!$C$343=1),0,IF(Paths!$P$343="Complete",IF(AND(C3707=0,Paths!$E$343=0),I3707-J3707-K3707+VLOOKUP(A3707,'Fleet register'!$A$7:$S$106,15,FALSE)+VLOOKUP(A3707,'Fleet register'!$A$7:$S$106,16,FALSE),0),"n.a."))</f>
        <v>0</v>
      </c>
      <c r="S3707" s="1">
        <f>IF(NOT(Paths!$C$343=1),0,IF(Paths!$P$343="Complete",IF(C3707=0,0,Paths!$S$343*Paths!$R$343),"n.a."))</f>
        <v>0</v>
      </c>
      <c r="T3707" s="1">
        <f>IF(NOT(Paths!$C$343=1),0,IF(Paths!$P$343="Complete",IF(C3707=0,0,VLOOKUP(A3707,'Fleet register'!$A$7:$S$106,9,FALSE)*Paths!$R$343),"n.a."))</f>
        <v>0</v>
      </c>
    </row>
    <row r="3708" spans="1:20" ht="24" customHeight="1">
      <c r="A3708" s="1" t="str">
        <f>Paths!$A$343</f>
        <v>T085</v>
      </c>
      <c r="B3708" s="1">
        <f>Paths!$B$343</f>
        <v>0</v>
      </c>
      <c r="C3708" s="1">
        <v>5</v>
      </c>
      <c r="D3708" s="1">
        <v>343</v>
      </c>
      <c r="E3708" s="1">
        <f>IF(OR(Paths!$C$343=0,C3708=0),0,MAX(0,MIN(C3708*12,Paths!$E$343)-(C3708-1)*12))</f>
        <v>0</v>
      </c>
      <c r="F3708" s="1">
        <f>IF(OR(Paths!$C$343=0,C3708=0),0,12-E3708)</f>
        <v>0</v>
      </c>
      <c r="G3708" s="16">
        <f>IF(NOT(Paths!$C$343=1),0,IF(Paths!$P$343="Complete",E3708/12*(Paths!$J$343*(1+'Operating costs'!$B$51)^MAX(0,C3708-1)+Paths!$K$343*(1+'Operating costs'!$B$53)^MAX(0,C3708-1)),"n.a."))</f>
        <v>0</v>
      </c>
      <c r="H3708" s="16">
        <f>IF(NOT(Paths!$C$343=1),0,IF(Paths!$P$343="Complete",F3708/12*(Paths!$L$343*(1+IF(Paths!$D$343="EV",'Operating costs'!$B$52,'Operating costs'!$B$51))^MAX(0,C3708-1)+Paths!$M$343*(1+'Operating costs'!$B$53)^MAX(0,C3708-1)),"n.a."))</f>
        <v>0</v>
      </c>
      <c r="I3708" s="16">
        <f>IF(NOT(Paths!$C$343=1),0,IF(Paths!$P$343="Complete",IF(IF(Paths!$E$343=0,C3708=0,AND(C3708&gt;0,Paths!$E$343&gt;(C3708-1)*12,Paths!$E$343&lt;=C3708*12)),Paths!$G$343,0),"n.a."))</f>
        <v>0</v>
      </c>
      <c r="J3708" s="16">
        <f>IF(NOT(Paths!$C$343=1),0,IF(Paths!$P$343="Complete",IF(IF(Paths!$E$343=0,C3708=0,AND(C3708&gt;0,Paths!$E$343&gt;(C3708-1)*12,Paths!$E$343&lt;=C3708*12)),Paths!$H$343,0),"n.a."))</f>
        <v>0</v>
      </c>
      <c r="K3708" s="16">
        <f>IF(NOT(Paths!$C$343=1),0,IF(Paths!$P$343="Complete",IF(IF(Paths!$O$343=0,C3708=0,AND(C3708&gt;0,Paths!$O$343&gt;(C3708-1)*12,Paths!$O$343&lt;=C3708*12)),Paths!$N$343,0),"n.a."))</f>
        <v>0</v>
      </c>
      <c r="L3708" s="16">
        <f>IF(NOT(Paths!$C$343=1),0,IF(Paths!$P$343="Complete",IF(C3708=10,Paths!$I$343,0),"n.a."))</f>
        <v>0</v>
      </c>
      <c r="M3708" s="16">
        <f>IF(NOT(Paths!$C$343=1),0,IF(Paths!$P$343="Complete",IF(AND(Paths!$D$343="EV",Paths!$E$343&lt;120,Paths!$E$343+'Operating costs'!$B$65&gt;Paths!$E$343,Paths!$E$343+'Operating costs'!$B$65&lt;=120,IF(Paths!$E$343+'Operating costs'!$B$65=0,C3708=0,AND(C3708&gt;0,Paths!$E$343+'Operating costs'!$B$65&gt;(C3708-1)*12,Paths!$E$343+'Operating costs'!$B$65&lt;=C3708*12))),'Operating costs'!$B$64,0)+IF(AND('Operating costs'!$B$67&gt;0,'Operating costs'!$B$67&lt;=120,OR(Paths!$D$343="ICE",'Operating costs'!$B$67&lt;=Paths!$E$343),IF('Operating costs'!$B$67=0,C3708=0,AND(C3708&gt;0,'Operating costs'!$B$67&gt;(C3708-1)*12,'Operating costs'!$B$67&lt;=C3708*12))),'Operating costs'!$B$66,0),"n.a."))</f>
        <v>0</v>
      </c>
      <c r="N3708" s="16">
        <f>IF(NOT(Paths!$C$343=1),0,IF(Paths!$P$343="Complete",SUM(G3708:I3708)-J3708-K3708-L3708+M3708+IF(C3708=0,Paths!$F$343,0)+IF(IF(Paths!$E$343=0,C3708=0,AND(C3708&gt;0,Paths!$E$343&gt;(C3708-1)*12,Paths!$E$343&lt;=C3708*12)),VLOOKUP(A3708,'Fleet register'!$A$7:$S$106,16,FALSE),0),"n.a."))</f>
        <v>0</v>
      </c>
      <c r="O3708" s="16">
        <f>IF(NOT(Paths!$C$343=1),0,IF(Paths!$P$343="Complete",N3708-IF(C3708=0,Paths!$F$343,0),"n.a."))</f>
        <v>0</v>
      </c>
      <c r="P3708" s="16">
        <f>IF(NOT(Paths!$C$343=1),0,IF(Paths!$P$343="Complete",O3708+L3708,"n.a."))</f>
        <v>0</v>
      </c>
      <c r="Q3708" s="16">
        <f>IF(NOT(Paths!$C$343=1),0,IF(Paths!$P$343="Complete",N3708*(1+'Operating costs'!$B$54)^-C3708,"n.a."))</f>
        <v>0</v>
      </c>
      <c r="R3708" s="16">
        <f>IF(NOT(Paths!$C$343=1),0,IF(Paths!$P$343="Complete",IF(AND(C3708=0,Paths!$E$343=0),I3708-J3708-K3708+VLOOKUP(A3708,'Fleet register'!$A$7:$S$106,15,FALSE)+VLOOKUP(A3708,'Fleet register'!$A$7:$S$106,16,FALSE),0),"n.a."))</f>
        <v>0</v>
      </c>
      <c r="S3708" s="1">
        <f>IF(NOT(Paths!$C$343=1),0,IF(Paths!$P$343="Complete",IF(C3708=0,0,Paths!$S$343*Paths!$R$343),"n.a."))</f>
        <v>0</v>
      </c>
      <c r="T3708" s="1">
        <f>IF(NOT(Paths!$C$343=1),0,IF(Paths!$P$343="Complete",IF(C3708=0,0,VLOOKUP(A3708,'Fleet register'!$A$7:$S$106,9,FALSE)*Paths!$R$343),"n.a."))</f>
        <v>0</v>
      </c>
    </row>
    <row r="3709" spans="1:20" ht="24" customHeight="1">
      <c r="A3709" s="1" t="str">
        <f>Paths!$A$343</f>
        <v>T085</v>
      </c>
      <c r="B3709" s="1">
        <f>Paths!$B$343</f>
        <v>0</v>
      </c>
      <c r="C3709" s="1">
        <v>6</v>
      </c>
      <c r="D3709" s="1">
        <v>343</v>
      </c>
      <c r="E3709" s="1">
        <f>IF(OR(Paths!$C$343=0,C3709=0),0,MAX(0,MIN(C3709*12,Paths!$E$343)-(C3709-1)*12))</f>
        <v>0</v>
      </c>
      <c r="F3709" s="1">
        <f>IF(OR(Paths!$C$343=0,C3709=0),0,12-E3709)</f>
        <v>0</v>
      </c>
      <c r="G3709" s="16">
        <f>IF(NOT(Paths!$C$343=1),0,IF(Paths!$P$343="Complete",E3709/12*(Paths!$J$343*(1+'Operating costs'!$B$51)^MAX(0,C3709-1)+Paths!$K$343*(1+'Operating costs'!$B$53)^MAX(0,C3709-1)),"n.a."))</f>
        <v>0</v>
      </c>
      <c r="H3709" s="16">
        <f>IF(NOT(Paths!$C$343=1),0,IF(Paths!$P$343="Complete",F3709/12*(Paths!$L$343*(1+IF(Paths!$D$343="EV",'Operating costs'!$B$52,'Operating costs'!$B$51))^MAX(0,C3709-1)+Paths!$M$343*(1+'Operating costs'!$B$53)^MAX(0,C3709-1)),"n.a."))</f>
        <v>0</v>
      </c>
      <c r="I3709" s="16">
        <f>IF(NOT(Paths!$C$343=1),0,IF(Paths!$P$343="Complete",IF(IF(Paths!$E$343=0,C3709=0,AND(C3709&gt;0,Paths!$E$343&gt;(C3709-1)*12,Paths!$E$343&lt;=C3709*12)),Paths!$G$343,0),"n.a."))</f>
        <v>0</v>
      </c>
      <c r="J3709" s="16">
        <f>IF(NOT(Paths!$C$343=1),0,IF(Paths!$P$343="Complete",IF(IF(Paths!$E$343=0,C3709=0,AND(C3709&gt;0,Paths!$E$343&gt;(C3709-1)*12,Paths!$E$343&lt;=C3709*12)),Paths!$H$343,0),"n.a."))</f>
        <v>0</v>
      </c>
      <c r="K3709" s="16">
        <f>IF(NOT(Paths!$C$343=1),0,IF(Paths!$P$343="Complete",IF(IF(Paths!$O$343=0,C3709=0,AND(C3709&gt;0,Paths!$O$343&gt;(C3709-1)*12,Paths!$O$343&lt;=C3709*12)),Paths!$N$343,0),"n.a."))</f>
        <v>0</v>
      </c>
      <c r="L3709" s="16">
        <f>IF(NOT(Paths!$C$343=1),0,IF(Paths!$P$343="Complete",IF(C3709=10,Paths!$I$343,0),"n.a."))</f>
        <v>0</v>
      </c>
      <c r="M3709" s="16">
        <f>IF(NOT(Paths!$C$343=1),0,IF(Paths!$P$343="Complete",IF(AND(Paths!$D$343="EV",Paths!$E$343&lt;120,Paths!$E$343+'Operating costs'!$B$65&gt;Paths!$E$343,Paths!$E$343+'Operating costs'!$B$65&lt;=120,IF(Paths!$E$343+'Operating costs'!$B$65=0,C3709=0,AND(C3709&gt;0,Paths!$E$343+'Operating costs'!$B$65&gt;(C3709-1)*12,Paths!$E$343+'Operating costs'!$B$65&lt;=C3709*12))),'Operating costs'!$B$64,0)+IF(AND('Operating costs'!$B$67&gt;0,'Operating costs'!$B$67&lt;=120,OR(Paths!$D$343="ICE",'Operating costs'!$B$67&lt;=Paths!$E$343),IF('Operating costs'!$B$67=0,C3709=0,AND(C3709&gt;0,'Operating costs'!$B$67&gt;(C3709-1)*12,'Operating costs'!$B$67&lt;=C3709*12))),'Operating costs'!$B$66,0),"n.a."))</f>
        <v>0</v>
      </c>
      <c r="N3709" s="16">
        <f>IF(NOT(Paths!$C$343=1),0,IF(Paths!$P$343="Complete",SUM(G3709:I3709)-J3709-K3709-L3709+M3709+IF(C3709=0,Paths!$F$343,0)+IF(IF(Paths!$E$343=0,C3709=0,AND(C3709&gt;0,Paths!$E$343&gt;(C3709-1)*12,Paths!$E$343&lt;=C3709*12)),VLOOKUP(A3709,'Fleet register'!$A$7:$S$106,16,FALSE),0),"n.a."))</f>
        <v>0</v>
      </c>
      <c r="O3709" s="16">
        <f>IF(NOT(Paths!$C$343=1),0,IF(Paths!$P$343="Complete",N3709-IF(C3709=0,Paths!$F$343,0),"n.a."))</f>
        <v>0</v>
      </c>
      <c r="P3709" s="16">
        <f>IF(NOT(Paths!$C$343=1),0,IF(Paths!$P$343="Complete",O3709+L3709,"n.a."))</f>
        <v>0</v>
      </c>
      <c r="Q3709" s="16">
        <f>IF(NOT(Paths!$C$343=1),0,IF(Paths!$P$343="Complete",N3709*(1+'Operating costs'!$B$54)^-C3709,"n.a."))</f>
        <v>0</v>
      </c>
      <c r="R3709" s="16">
        <f>IF(NOT(Paths!$C$343=1),0,IF(Paths!$P$343="Complete",IF(AND(C3709=0,Paths!$E$343=0),I3709-J3709-K3709+VLOOKUP(A3709,'Fleet register'!$A$7:$S$106,15,FALSE)+VLOOKUP(A3709,'Fleet register'!$A$7:$S$106,16,FALSE),0),"n.a."))</f>
        <v>0</v>
      </c>
      <c r="S3709" s="1">
        <f>IF(NOT(Paths!$C$343=1),0,IF(Paths!$P$343="Complete",IF(C3709=0,0,Paths!$S$343*Paths!$R$343),"n.a."))</f>
        <v>0</v>
      </c>
      <c r="T3709" s="1">
        <f>IF(NOT(Paths!$C$343=1),0,IF(Paths!$P$343="Complete",IF(C3709=0,0,VLOOKUP(A3709,'Fleet register'!$A$7:$S$106,9,FALSE)*Paths!$R$343),"n.a."))</f>
        <v>0</v>
      </c>
    </row>
    <row r="3710" spans="1:20" ht="24" customHeight="1">
      <c r="A3710" s="1" t="str">
        <f>Paths!$A$343</f>
        <v>T085</v>
      </c>
      <c r="B3710" s="1">
        <f>Paths!$B$343</f>
        <v>0</v>
      </c>
      <c r="C3710" s="1">
        <v>7</v>
      </c>
      <c r="D3710" s="1">
        <v>343</v>
      </c>
      <c r="E3710" s="1">
        <f>IF(OR(Paths!$C$343=0,C3710=0),0,MAX(0,MIN(C3710*12,Paths!$E$343)-(C3710-1)*12))</f>
        <v>0</v>
      </c>
      <c r="F3710" s="1">
        <f>IF(OR(Paths!$C$343=0,C3710=0),0,12-E3710)</f>
        <v>0</v>
      </c>
      <c r="G3710" s="16">
        <f>IF(NOT(Paths!$C$343=1),0,IF(Paths!$P$343="Complete",E3710/12*(Paths!$J$343*(1+'Operating costs'!$B$51)^MAX(0,C3710-1)+Paths!$K$343*(1+'Operating costs'!$B$53)^MAX(0,C3710-1)),"n.a."))</f>
        <v>0</v>
      </c>
      <c r="H3710" s="16">
        <f>IF(NOT(Paths!$C$343=1),0,IF(Paths!$P$343="Complete",F3710/12*(Paths!$L$343*(1+IF(Paths!$D$343="EV",'Operating costs'!$B$52,'Operating costs'!$B$51))^MAX(0,C3710-1)+Paths!$M$343*(1+'Operating costs'!$B$53)^MAX(0,C3710-1)),"n.a."))</f>
        <v>0</v>
      </c>
      <c r="I3710" s="16">
        <f>IF(NOT(Paths!$C$343=1),0,IF(Paths!$P$343="Complete",IF(IF(Paths!$E$343=0,C3710=0,AND(C3710&gt;0,Paths!$E$343&gt;(C3710-1)*12,Paths!$E$343&lt;=C3710*12)),Paths!$G$343,0),"n.a."))</f>
        <v>0</v>
      </c>
      <c r="J3710" s="16">
        <f>IF(NOT(Paths!$C$343=1),0,IF(Paths!$P$343="Complete",IF(IF(Paths!$E$343=0,C3710=0,AND(C3710&gt;0,Paths!$E$343&gt;(C3710-1)*12,Paths!$E$343&lt;=C3710*12)),Paths!$H$343,0),"n.a."))</f>
        <v>0</v>
      </c>
      <c r="K3710" s="16">
        <f>IF(NOT(Paths!$C$343=1),0,IF(Paths!$P$343="Complete",IF(IF(Paths!$O$343=0,C3710=0,AND(C3710&gt;0,Paths!$O$343&gt;(C3710-1)*12,Paths!$O$343&lt;=C3710*12)),Paths!$N$343,0),"n.a."))</f>
        <v>0</v>
      </c>
      <c r="L3710" s="16">
        <f>IF(NOT(Paths!$C$343=1),0,IF(Paths!$P$343="Complete",IF(C3710=10,Paths!$I$343,0),"n.a."))</f>
        <v>0</v>
      </c>
      <c r="M3710" s="16">
        <f>IF(NOT(Paths!$C$343=1),0,IF(Paths!$P$343="Complete",IF(AND(Paths!$D$343="EV",Paths!$E$343&lt;120,Paths!$E$343+'Operating costs'!$B$65&gt;Paths!$E$343,Paths!$E$343+'Operating costs'!$B$65&lt;=120,IF(Paths!$E$343+'Operating costs'!$B$65=0,C3710=0,AND(C3710&gt;0,Paths!$E$343+'Operating costs'!$B$65&gt;(C3710-1)*12,Paths!$E$343+'Operating costs'!$B$65&lt;=C3710*12))),'Operating costs'!$B$64,0)+IF(AND('Operating costs'!$B$67&gt;0,'Operating costs'!$B$67&lt;=120,OR(Paths!$D$343="ICE",'Operating costs'!$B$67&lt;=Paths!$E$343),IF('Operating costs'!$B$67=0,C3710=0,AND(C3710&gt;0,'Operating costs'!$B$67&gt;(C3710-1)*12,'Operating costs'!$B$67&lt;=C3710*12))),'Operating costs'!$B$66,0),"n.a."))</f>
        <v>0</v>
      </c>
      <c r="N3710" s="16">
        <f>IF(NOT(Paths!$C$343=1),0,IF(Paths!$P$343="Complete",SUM(G3710:I3710)-J3710-K3710-L3710+M3710+IF(C3710=0,Paths!$F$343,0)+IF(IF(Paths!$E$343=0,C3710=0,AND(C3710&gt;0,Paths!$E$343&gt;(C3710-1)*12,Paths!$E$343&lt;=C3710*12)),VLOOKUP(A3710,'Fleet register'!$A$7:$S$106,16,FALSE),0),"n.a."))</f>
        <v>0</v>
      </c>
      <c r="O3710" s="16">
        <f>IF(NOT(Paths!$C$343=1),0,IF(Paths!$P$343="Complete",N3710-IF(C3710=0,Paths!$F$343,0),"n.a."))</f>
        <v>0</v>
      </c>
      <c r="P3710" s="16">
        <f>IF(NOT(Paths!$C$343=1),0,IF(Paths!$P$343="Complete",O3710+L3710,"n.a."))</f>
        <v>0</v>
      </c>
      <c r="Q3710" s="16">
        <f>IF(NOT(Paths!$C$343=1),0,IF(Paths!$P$343="Complete",N3710*(1+'Operating costs'!$B$54)^-C3710,"n.a."))</f>
        <v>0</v>
      </c>
      <c r="R3710" s="16">
        <f>IF(NOT(Paths!$C$343=1),0,IF(Paths!$P$343="Complete",IF(AND(C3710=0,Paths!$E$343=0),I3710-J3710-K3710+VLOOKUP(A3710,'Fleet register'!$A$7:$S$106,15,FALSE)+VLOOKUP(A3710,'Fleet register'!$A$7:$S$106,16,FALSE),0),"n.a."))</f>
        <v>0</v>
      </c>
      <c r="S3710" s="1">
        <f>IF(NOT(Paths!$C$343=1),0,IF(Paths!$P$343="Complete",IF(C3710=0,0,Paths!$S$343*Paths!$R$343),"n.a."))</f>
        <v>0</v>
      </c>
      <c r="T3710" s="1">
        <f>IF(NOT(Paths!$C$343=1),0,IF(Paths!$P$343="Complete",IF(C3710=0,0,VLOOKUP(A3710,'Fleet register'!$A$7:$S$106,9,FALSE)*Paths!$R$343),"n.a."))</f>
        <v>0</v>
      </c>
    </row>
    <row r="3711" spans="1:20" ht="24" customHeight="1">
      <c r="A3711" s="1" t="str">
        <f>Paths!$A$343</f>
        <v>T085</v>
      </c>
      <c r="B3711" s="1">
        <f>Paths!$B$343</f>
        <v>0</v>
      </c>
      <c r="C3711" s="1">
        <v>8</v>
      </c>
      <c r="D3711" s="1">
        <v>343</v>
      </c>
      <c r="E3711" s="1">
        <f>IF(OR(Paths!$C$343=0,C3711=0),0,MAX(0,MIN(C3711*12,Paths!$E$343)-(C3711-1)*12))</f>
        <v>0</v>
      </c>
      <c r="F3711" s="1">
        <f>IF(OR(Paths!$C$343=0,C3711=0),0,12-E3711)</f>
        <v>0</v>
      </c>
      <c r="G3711" s="16">
        <f>IF(NOT(Paths!$C$343=1),0,IF(Paths!$P$343="Complete",E3711/12*(Paths!$J$343*(1+'Operating costs'!$B$51)^MAX(0,C3711-1)+Paths!$K$343*(1+'Operating costs'!$B$53)^MAX(0,C3711-1)),"n.a."))</f>
        <v>0</v>
      </c>
      <c r="H3711" s="16">
        <f>IF(NOT(Paths!$C$343=1),0,IF(Paths!$P$343="Complete",F3711/12*(Paths!$L$343*(1+IF(Paths!$D$343="EV",'Operating costs'!$B$52,'Operating costs'!$B$51))^MAX(0,C3711-1)+Paths!$M$343*(1+'Operating costs'!$B$53)^MAX(0,C3711-1)),"n.a."))</f>
        <v>0</v>
      </c>
      <c r="I3711" s="16">
        <f>IF(NOT(Paths!$C$343=1),0,IF(Paths!$P$343="Complete",IF(IF(Paths!$E$343=0,C3711=0,AND(C3711&gt;0,Paths!$E$343&gt;(C3711-1)*12,Paths!$E$343&lt;=C3711*12)),Paths!$G$343,0),"n.a."))</f>
        <v>0</v>
      </c>
      <c r="J3711" s="16">
        <f>IF(NOT(Paths!$C$343=1),0,IF(Paths!$P$343="Complete",IF(IF(Paths!$E$343=0,C3711=0,AND(C3711&gt;0,Paths!$E$343&gt;(C3711-1)*12,Paths!$E$343&lt;=C3711*12)),Paths!$H$343,0),"n.a."))</f>
        <v>0</v>
      </c>
      <c r="K3711" s="16">
        <f>IF(NOT(Paths!$C$343=1),0,IF(Paths!$P$343="Complete",IF(IF(Paths!$O$343=0,C3711=0,AND(C3711&gt;0,Paths!$O$343&gt;(C3711-1)*12,Paths!$O$343&lt;=C3711*12)),Paths!$N$343,0),"n.a."))</f>
        <v>0</v>
      </c>
      <c r="L3711" s="16">
        <f>IF(NOT(Paths!$C$343=1),0,IF(Paths!$P$343="Complete",IF(C3711=10,Paths!$I$343,0),"n.a."))</f>
        <v>0</v>
      </c>
      <c r="M3711" s="16">
        <f>IF(NOT(Paths!$C$343=1),0,IF(Paths!$P$343="Complete",IF(AND(Paths!$D$343="EV",Paths!$E$343&lt;120,Paths!$E$343+'Operating costs'!$B$65&gt;Paths!$E$343,Paths!$E$343+'Operating costs'!$B$65&lt;=120,IF(Paths!$E$343+'Operating costs'!$B$65=0,C3711=0,AND(C3711&gt;0,Paths!$E$343+'Operating costs'!$B$65&gt;(C3711-1)*12,Paths!$E$343+'Operating costs'!$B$65&lt;=C3711*12))),'Operating costs'!$B$64,0)+IF(AND('Operating costs'!$B$67&gt;0,'Operating costs'!$B$67&lt;=120,OR(Paths!$D$343="ICE",'Operating costs'!$B$67&lt;=Paths!$E$343),IF('Operating costs'!$B$67=0,C3711=0,AND(C3711&gt;0,'Operating costs'!$B$67&gt;(C3711-1)*12,'Operating costs'!$B$67&lt;=C3711*12))),'Operating costs'!$B$66,0),"n.a."))</f>
        <v>0</v>
      </c>
      <c r="N3711" s="16">
        <f>IF(NOT(Paths!$C$343=1),0,IF(Paths!$P$343="Complete",SUM(G3711:I3711)-J3711-K3711-L3711+M3711+IF(C3711=0,Paths!$F$343,0)+IF(IF(Paths!$E$343=0,C3711=0,AND(C3711&gt;0,Paths!$E$343&gt;(C3711-1)*12,Paths!$E$343&lt;=C3711*12)),VLOOKUP(A3711,'Fleet register'!$A$7:$S$106,16,FALSE),0),"n.a."))</f>
        <v>0</v>
      </c>
      <c r="O3711" s="16">
        <f>IF(NOT(Paths!$C$343=1),0,IF(Paths!$P$343="Complete",N3711-IF(C3711=0,Paths!$F$343,0),"n.a."))</f>
        <v>0</v>
      </c>
      <c r="P3711" s="16">
        <f>IF(NOT(Paths!$C$343=1),0,IF(Paths!$P$343="Complete",O3711+L3711,"n.a."))</f>
        <v>0</v>
      </c>
      <c r="Q3711" s="16">
        <f>IF(NOT(Paths!$C$343=1),0,IF(Paths!$P$343="Complete",N3711*(1+'Operating costs'!$B$54)^-C3711,"n.a."))</f>
        <v>0</v>
      </c>
      <c r="R3711" s="16">
        <f>IF(NOT(Paths!$C$343=1),0,IF(Paths!$P$343="Complete",IF(AND(C3711=0,Paths!$E$343=0),I3711-J3711-K3711+VLOOKUP(A3711,'Fleet register'!$A$7:$S$106,15,FALSE)+VLOOKUP(A3711,'Fleet register'!$A$7:$S$106,16,FALSE),0),"n.a."))</f>
        <v>0</v>
      </c>
      <c r="S3711" s="1">
        <f>IF(NOT(Paths!$C$343=1),0,IF(Paths!$P$343="Complete",IF(C3711=0,0,Paths!$S$343*Paths!$R$343),"n.a."))</f>
        <v>0</v>
      </c>
      <c r="T3711" s="1">
        <f>IF(NOT(Paths!$C$343=1),0,IF(Paths!$P$343="Complete",IF(C3711=0,0,VLOOKUP(A3711,'Fleet register'!$A$7:$S$106,9,FALSE)*Paths!$R$343),"n.a."))</f>
        <v>0</v>
      </c>
    </row>
    <row r="3712" spans="1:20" ht="24" customHeight="1">
      <c r="A3712" s="1" t="str">
        <f>Paths!$A$343</f>
        <v>T085</v>
      </c>
      <c r="B3712" s="1">
        <f>Paths!$B$343</f>
        <v>0</v>
      </c>
      <c r="C3712" s="1">
        <v>9</v>
      </c>
      <c r="D3712" s="1">
        <v>343</v>
      </c>
      <c r="E3712" s="1">
        <f>IF(OR(Paths!$C$343=0,C3712=0),0,MAX(0,MIN(C3712*12,Paths!$E$343)-(C3712-1)*12))</f>
        <v>0</v>
      </c>
      <c r="F3712" s="1">
        <f>IF(OR(Paths!$C$343=0,C3712=0),0,12-E3712)</f>
        <v>0</v>
      </c>
      <c r="G3712" s="16">
        <f>IF(NOT(Paths!$C$343=1),0,IF(Paths!$P$343="Complete",E3712/12*(Paths!$J$343*(1+'Operating costs'!$B$51)^MAX(0,C3712-1)+Paths!$K$343*(1+'Operating costs'!$B$53)^MAX(0,C3712-1)),"n.a."))</f>
        <v>0</v>
      </c>
      <c r="H3712" s="16">
        <f>IF(NOT(Paths!$C$343=1),0,IF(Paths!$P$343="Complete",F3712/12*(Paths!$L$343*(1+IF(Paths!$D$343="EV",'Operating costs'!$B$52,'Operating costs'!$B$51))^MAX(0,C3712-1)+Paths!$M$343*(1+'Operating costs'!$B$53)^MAX(0,C3712-1)),"n.a."))</f>
        <v>0</v>
      </c>
      <c r="I3712" s="16">
        <f>IF(NOT(Paths!$C$343=1),0,IF(Paths!$P$343="Complete",IF(IF(Paths!$E$343=0,C3712=0,AND(C3712&gt;0,Paths!$E$343&gt;(C3712-1)*12,Paths!$E$343&lt;=C3712*12)),Paths!$G$343,0),"n.a."))</f>
        <v>0</v>
      </c>
      <c r="J3712" s="16">
        <f>IF(NOT(Paths!$C$343=1),0,IF(Paths!$P$343="Complete",IF(IF(Paths!$E$343=0,C3712=0,AND(C3712&gt;0,Paths!$E$343&gt;(C3712-1)*12,Paths!$E$343&lt;=C3712*12)),Paths!$H$343,0),"n.a."))</f>
        <v>0</v>
      </c>
      <c r="K3712" s="16">
        <f>IF(NOT(Paths!$C$343=1),0,IF(Paths!$P$343="Complete",IF(IF(Paths!$O$343=0,C3712=0,AND(C3712&gt;0,Paths!$O$343&gt;(C3712-1)*12,Paths!$O$343&lt;=C3712*12)),Paths!$N$343,0),"n.a."))</f>
        <v>0</v>
      </c>
      <c r="L3712" s="16">
        <f>IF(NOT(Paths!$C$343=1),0,IF(Paths!$P$343="Complete",IF(C3712=10,Paths!$I$343,0),"n.a."))</f>
        <v>0</v>
      </c>
      <c r="M3712" s="16">
        <f>IF(NOT(Paths!$C$343=1),0,IF(Paths!$P$343="Complete",IF(AND(Paths!$D$343="EV",Paths!$E$343&lt;120,Paths!$E$343+'Operating costs'!$B$65&gt;Paths!$E$343,Paths!$E$343+'Operating costs'!$B$65&lt;=120,IF(Paths!$E$343+'Operating costs'!$B$65=0,C3712=0,AND(C3712&gt;0,Paths!$E$343+'Operating costs'!$B$65&gt;(C3712-1)*12,Paths!$E$343+'Operating costs'!$B$65&lt;=C3712*12))),'Operating costs'!$B$64,0)+IF(AND('Operating costs'!$B$67&gt;0,'Operating costs'!$B$67&lt;=120,OR(Paths!$D$343="ICE",'Operating costs'!$B$67&lt;=Paths!$E$343),IF('Operating costs'!$B$67=0,C3712=0,AND(C3712&gt;0,'Operating costs'!$B$67&gt;(C3712-1)*12,'Operating costs'!$B$67&lt;=C3712*12))),'Operating costs'!$B$66,0),"n.a."))</f>
        <v>0</v>
      </c>
      <c r="N3712" s="16">
        <f>IF(NOT(Paths!$C$343=1),0,IF(Paths!$P$343="Complete",SUM(G3712:I3712)-J3712-K3712-L3712+M3712+IF(C3712=0,Paths!$F$343,0)+IF(IF(Paths!$E$343=0,C3712=0,AND(C3712&gt;0,Paths!$E$343&gt;(C3712-1)*12,Paths!$E$343&lt;=C3712*12)),VLOOKUP(A3712,'Fleet register'!$A$7:$S$106,16,FALSE),0),"n.a."))</f>
        <v>0</v>
      </c>
      <c r="O3712" s="16">
        <f>IF(NOT(Paths!$C$343=1),0,IF(Paths!$P$343="Complete",N3712-IF(C3712=0,Paths!$F$343,0),"n.a."))</f>
        <v>0</v>
      </c>
      <c r="P3712" s="16">
        <f>IF(NOT(Paths!$C$343=1),0,IF(Paths!$P$343="Complete",O3712+L3712,"n.a."))</f>
        <v>0</v>
      </c>
      <c r="Q3712" s="16">
        <f>IF(NOT(Paths!$C$343=1),0,IF(Paths!$P$343="Complete",N3712*(1+'Operating costs'!$B$54)^-C3712,"n.a."))</f>
        <v>0</v>
      </c>
      <c r="R3712" s="16">
        <f>IF(NOT(Paths!$C$343=1),0,IF(Paths!$P$343="Complete",IF(AND(C3712=0,Paths!$E$343=0),I3712-J3712-K3712+VLOOKUP(A3712,'Fleet register'!$A$7:$S$106,15,FALSE)+VLOOKUP(A3712,'Fleet register'!$A$7:$S$106,16,FALSE),0),"n.a."))</f>
        <v>0</v>
      </c>
      <c r="S3712" s="1">
        <f>IF(NOT(Paths!$C$343=1),0,IF(Paths!$P$343="Complete",IF(C3712=0,0,Paths!$S$343*Paths!$R$343),"n.a."))</f>
        <v>0</v>
      </c>
      <c r="T3712" s="1">
        <f>IF(NOT(Paths!$C$343=1),0,IF(Paths!$P$343="Complete",IF(C3712=0,0,VLOOKUP(A3712,'Fleet register'!$A$7:$S$106,9,FALSE)*Paths!$R$343),"n.a."))</f>
        <v>0</v>
      </c>
    </row>
    <row r="3713" spans="1:20" ht="24" customHeight="1">
      <c r="A3713" s="1" t="str">
        <f>Paths!$A$343</f>
        <v>T085</v>
      </c>
      <c r="B3713" s="1">
        <f>Paths!$B$343</f>
        <v>0</v>
      </c>
      <c r="C3713" s="1">
        <v>10</v>
      </c>
      <c r="D3713" s="1">
        <v>343</v>
      </c>
      <c r="E3713" s="1">
        <f>IF(OR(Paths!$C$343=0,C3713=0),0,MAX(0,MIN(C3713*12,Paths!$E$343)-(C3713-1)*12))</f>
        <v>0</v>
      </c>
      <c r="F3713" s="1">
        <f>IF(OR(Paths!$C$343=0,C3713=0),0,12-E3713)</f>
        <v>0</v>
      </c>
      <c r="G3713" s="16">
        <f>IF(NOT(Paths!$C$343=1),0,IF(Paths!$P$343="Complete",E3713/12*(Paths!$J$343*(1+'Operating costs'!$B$51)^MAX(0,C3713-1)+Paths!$K$343*(1+'Operating costs'!$B$53)^MAX(0,C3713-1)),"n.a."))</f>
        <v>0</v>
      </c>
      <c r="H3713" s="16">
        <f>IF(NOT(Paths!$C$343=1),0,IF(Paths!$P$343="Complete",F3713/12*(Paths!$L$343*(1+IF(Paths!$D$343="EV",'Operating costs'!$B$52,'Operating costs'!$B$51))^MAX(0,C3713-1)+Paths!$M$343*(1+'Operating costs'!$B$53)^MAX(0,C3713-1)),"n.a."))</f>
        <v>0</v>
      </c>
      <c r="I3713" s="16">
        <f>IF(NOT(Paths!$C$343=1),0,IF(Paths!$P$343="Complete",IF(IF(Paths!$E$343=0,C3713=0,AND(C3713&gt;0,Paths!$E$343&gt;(C3713-1)*12,Paths!$E$343&lt;=C3713*12)),Paths!$G$343,0),"n.a."))</f>
        <v>0</v>
      </c>
      <c r="J3713" s="16">
        <f>IF(NOT(Paths!$C$343=1),0,IF(Paths!$P$343="Complete",IF(IF(Paths!$E$343=0,C3713=0,AND(C3713&gt;0,Paths!$E$343&gt;(C3713-1)*12,Paths!$E$343&lt;=C3713*12)),Paths!$H$343,0),"n.a."))</f>
        <v>0</v>
      </c>
      <c r="K3713" s="16">
        <f>IF(NOT(Paths!$C$343=1),0,IF(Paths!$P$343="Complete",IF(IF(Paths!$O$343=0,C3713=0,AND(C3713&gt;0,Paths!$O$343&gt;(C3713-1)*12,Paths!$O$343&lt;=C3713*12)),Paths!$N$343,0),"n.a."))</f>
        <v>0</v>
      </c>
      <c r="L3713" s="16">
        <f>IF(NOT(Paths!$C$343=1),0,IF(Paths!$P$343="Complete",IF(C3713=10,Paths!$I$343,0),"n.a."))</f>
        <v>0</v>
      </c>
      <c r="M3713" s="16">
        <f>IF(NOT(Paths!$C$343=1),0,IF(Paths!$P$343="Complete",IF(AND(Paths!$D$343="EV",Paths!$E$343&lt;120,Paths!$E$343+'Operating costs'!$B$65&gt;Paths!$E$343,Paths!$E$343+'Operating costs'!$B$65&lt;=120,IF(Paths!$E$343+'Operating costs'!$B$65=0,C3713=0,AND(C3713&gt;0,Paths!$E$343+'Operating costs'!$B$65&gt;(C3713-1)*12,Paths!$E$343+'Operating costs'!$B$65&lt;=C3713*12))),'Operating costs'!$B$64,0)+IF(AND('Operating costs'!$B$67&gt;0,'Operating costs'!$B$67&lt;=120,OR(Paths!$D$343="ICE",'Operating costs'!$B$67&lt;=Paths!$E$343),IF('Operating costs'!$B$67=0,C3713=0,AND(C3713&gt;0,'Operating costs'!$B$67&gt;(C3713-1)*12,'Operating costs'!$B$67&lt;=C3713*12))),'Operating costs'!$B$66,0),"n.a."))</f>
        <v>0</v>
      </c>
      <c r="N3713" s="16">
        <f>IF(NOT(Paths!$C$343=1),0,IF(Paths!$P$343="Complete",SUM(G3713:I3713)-J3713-K3713-L3713+M3713+IF(C3713=0,Paths!$F$343,0)+IF(IF(Paths!$E$343=0,C3713=0,AND(C3713&gt;0,Paths!$E$343&gt;(C3713-1)*12,Paths!$E$343&lt;=C3713*12)),VLOOKUP(A3713,'Fleet register'!$A$7:$S$106,16,FALSE),0),"n.a."))</f>
        <v>0</v>
      </c>
      <c r="O3713" s="16">
        <f>IF(NOT(Paths!$C$343=1),0,IF(Paths!$P$343="Complete",N3713-IF(C3713=0,Paths!$F$343,0),"n.a."))</f>
        <v>0</v>
      </c>
      <c r="P3713" s="16">
        <f>IF(NOT(Paths!$C$343=1),0,IF(Paths!$P$343="Complete",O3713+L3713,"n.a."))</f>
        <v>0</v>
      </c>
      <c r="Q3713" s="16">
        <f>IF(NOT(Paths!$C$343=1),0,IF(Paths!$P$343="Complete",N3713*(1+'Operating costs'!$B$54)^-C3713,"n.a."))</f>
        <v>0</v>
      </c>
      <c r="R3713" s="16">
        <f>IF(NOT(Paths!$C$343=1),0,IF(Paths!$P$343="Complete",IF(AND(C3713=0,Paths!$E$343=0),I3713-J3713-K3713+VLOOKUP(A3713,'Fleet register'!$A$7:$S$106,15,FALSE)+VLOOKUP(A3713,'Fleet register'!$A$7:$S$106,16,FALSE),0),"n.a."))</f>
        <v>0</v>
      </c>
      <c r="S3713" s="1">
        <f>IF(NOT(Paths!$C$343=1),0,IF(Paths!$P$343="Complete",IF(C3713=0,0,Paths!$S$343*Paths!$R$343),"n.a."))</f>
        <v>0</v>
      </c>
      <c r="T3713" s="1">
        <f>IF(NOT(Paths!$C$343=1),0,IF(Paths!$P$343="Complete",IF(C3713=0,0,VLOOKUP(A3713,'Fleet register'!$A$7:$S$106,9,FALSE)*Paths!$R$343),"n.a."))</f>
        <v>0</v>
      </c>
    </row>
    <row r="3714" spans="1:20" ht="24" customHeight="1">
      <c r="A3714" s="1" t="str">
        <f>Paths!$A$344</f>
        <v>T085</v>
      </c>
      <c r="B3714" s="1">
        <f>Paths!$B$344</f>
        <v>1</v>
      </c>
      <c r="C3714" s="1">
        <v>0</v>
      </c>
      <c r="D3714" s="1">
        <v>344</v>
      </c>
      <c r="E3714" s="1">
        <f>IF(OR(Paths!$C$344=0,C3714=0),0,MAX(0,MIN(C3714*12,Paths!$E$344)-(C3714-1)*12))</f>
        <v>0</v>
      </c>
      <c r="F3714" s="1">
        <f>IF(OR(Paths!$C$344=0,C3714=0),0,12-E3714)</f>
        <v>0</v>
      </c>
      <c r="G3714" s="16">
        <f>IF(NOT(Paths!$C$344=1),0,IF(Paths!$P$344="Complete",E3714/12*(Paths!$J$344*(1+'Operating costs'!$B$51)^MAX(0,C3714-1)+Paths!$K$344*(1+'Operating costs'!$B$53)^MAX(0,C3714-1)),"n.a."))</f>
        <v>0</v>
      </c>
      <c r="H3714" s="16">
        <f>IF(NOT(Paths!$C$344=1),0,IF(Paths!$P$344="Complete",F3714/12*(Paths!$L$344*(1+IF(Paths!$D$344="EV",'Operating costs'!$B$52,'Operating costs'!$B$51))^MAX(0,C3714-1)+Paths!$M$344*(1+'Operating costs'!$B$53)^MAX(0,C3714-1)),"n.a."))</f>
        <v>0</v>
      </c>
      <c r="I3714" s="16">
        <f>IF(NOT(Paths!$C$344=1),0,IF(Paths!$P$344="Complete",IF(IF(Paths!$E$344=0,C3714=0,AND(C3714&gt;0,Paths!$E$344&gt;(C3714-1)*12,Paths!$E$344&lt;=C3714*12)),Paths!$G$344,0),"n.a."))</f>
        <v>0</v>
      </c>
      <c r="J3714" s="16">
        <f>IF(NOT(Paths!$C$344=1),0,IF(Paths!$P$344="Complete",IF(IF(Paths!$E$344=0,C3714=0,AND(C3714&gt;0,Paths!$E$344&gt;(C3714-1)*12,Paths!$E$344&lt;=C3714*12)),Paths!$H$344,0),"n.a."))</f>
        <v>0</v>
      </c>
      <c r="K3714" s="16">
        <f>IF(NOT(Paths!$C$344=1),0,IF(Paths!$P$344="Complete",IF(IF(Paths!$O$344=0,C3714=0,AND(C3714&gt;0,Paths!$O$344&gt;(C3714-1)*12,Paths!$O$344&lt;=C3714*12)),Paths!$N$344,0),"n.a."))</f>
        <v>0</v>
      </c>
      <c r="L3714" s="16">
        <f>IF(NOT(Paths!$C$344=1),0,IF(Paths!$P$344="Complete",IF(C3714=10,Paths!$I$344,0),"n.a."))</f>
        <v>0</v>
      </c>
      <c r="M3714" s="16">
        <f>IF(NOT(Paths!$C$344=1),0,IF(Paths!$P$344="Complete",IF(AND(Paths!$D$344="EV",Paths!$E$344&lt;120,Paths!$E$344+'Operating costs'!$B$65&gt;Paths!$E$344,Paths!$E$344+'Operating costs'!$B$65&lt;=120,IF(Paths!$E$344+'Operating costs'!$B$65=0,C3714=0,AND(C3714&gt;0,Paths!$E$344+'Operating costs'!$B$65&gt;(C3714-1)*12,Paths!$E$344+'Operating costs'!$B$65&lt;=C3714*12))),'Operating costs'!$B$64,0)+IF(AND('Operating costs'!$B$67&gt;0,'Operating costs'!$B$67&lt;=120,OR(Paths!$D$344="ICE",'Operating costs'!$B$67&lt;=Paths!$E$344),IF('Operating costs'!$B$67=0,C3714=0,AND(C3714&gt;0,'Operating costs'!$B$67&gt;(C3714-1)*12,'Operating costs'!$B$67&lt;=C3714*12))),'Operating costs'!$B$66,0),"n.a."))</f>
        <v>0</v>
      </c>
      <c r="N3714" s="16">
        <f>IF(NOT(Paths!$C$344=1),0,IF(Paths!$P$344="Complete",SUM(G3714:I3714)-J3714-K3714-L3714+M3714+IF(C3714=0,Paths!$F$344,0)+IF(IF(Paths!$E$344=0,C3714=0,AND(C3714&gt;0,Paths!$E$344&gt;(C3714-1)*12,Paths!$E$344&lt;=C3714*12)),VLOOKUP(A3714,'Fleet register'!$A$7:$S$106,16,FALSE),0),"n.a."))</f>
        <v>0</v>
      </c>
      <c r="O3714" s="16">
        <f>IF(NOT(Paths!$C$344=1),0,IF(Paths!$P$344="Complete",N3714-IF(C3714=0,Paths!$F$344,0),"n.a."))</f>
        <v>0</v>
      </c>
      <c r="P3714" s="16">
        <f>IF(NOT(Paths!$C$344=1),0,IF(Paths!$P$344="Complete",O3714+L3714,"n.a."))</f>
        <v>0</v>
      </c>
      <c r="Q3714" s="16">
        <f>IF(NOT(Paths!$C$344=1),0,IF(Paths!$P$344="Complete",N3714*(1+'Operating costs'!$B$54)^-C3714,"n.a."))</f>
        <v>0</v>
      </c>
      <c r="R3714" s="16">
        <f>IF(NOT(Paths!$C$344=1),0,IF(Paths!$P$344="Complete",IF(AND(C3714=0,Paths!$E$344=0),I3714-J3714-K3714+VLOOKUP(A3714,'Fleet register'!$A$7:$S$106,15,FALSE)+VLOOKUP(A3714,'Fleet register'!$A$7:$S$106,16,FALSE),0),"n.a."))</f>
        <v>0</v>
      </c>
      <c r="S3714" s="1">
        <f>IF(NOT(Paths!$C$344=1),0,IF(Paths!$P$344="Complete",IF(C3714=0,0,Paths!$S$344*Paths!$R$344),"n.a."))</f>
        <v>0</v>
      </c>
      <c r="T3714" s="1">
        <f>IF(NOT(Paths!$C$344=1),0,IF(Paths!$P$344="Complete",IF(C3714=0,0,VLOOKUP(A3714,'Fleet register'!$A$7:$S$106,9,FALSE)*Paths!$R$344),"n.a."))</f>
        <v>0</v>
      </c>
    </row>
    <row r="3715" spans="1:20" ht="24" customHeight="1">
      <c r="A3715" s="1" t="str">
        <f>Paths!$A$344</f>
        <v>T085</v>
      </c>
      <c r="B3715" s="1">
        <f>Paths!$B$344</f>
        <v>1</v>
      </c>
      <c r="C3715" s="1">
        <v>1</v>
      </c>
      <c r="D3715" s="1">
        <v>344</v>
      </c>
      <c r="E3715" s="1">
        <f>IF(OR(Paths!$C$344=0,C3715=0),0,MAX(0,MIN(C3715*12,Paths!$E$344)-(C3715-1)*12))</f>
        <v>0</v>
      </c>
      <c r="F3715" s="1">
        <f>IF(OR(Paths!$C$344=0,C3715=0),0,12-E3715)</f>
        <v>0</v>
      </c>
      <c r="G3715" s="16">
        <f>IF(NOT(Paths!$C$344=1),0,IF(Paths!$P$344="Complete",E3715/12*(Paths!$J$344*(1+'Operating costs'!$B$51)^MAX(0,C3715-1)+Paths!$K$344*(1+'Operating costs'!$B$53)^MAX(0,C3715-1)),"n.a."))</f>
        <v>0</v>
      </c>
      <c r="H3715" s="16">
        <f>IF(NOT(Paths!$C$344=1),0,IF(Paths!$P$344="Complete",F3715/12*(Paths!$L$344*(1+IF(Paths!$D$344="EV",'Operating costs'!$B$52,'Operating costs'!$B$51))^MAX(0,C3715-1)+Paths!$M$344*(1+'Operating costs'!$B$53)^MAX(0,C3715-1)),"n.a."))</f>
        <v>0</v>
      </c>
      <c r="I3715" s="16">
        <f>IF(NOT(Paths!$C$344=1),0,IF(Paths!$P$344="Complete",IF(IF(Paths!$E$344=0,C3715=0,AND(C3715&gt;0,Paths!$E$344&gt;(C3715-1)*12,Paths!$E$344&lt;=C3715*12)),Paths!$G$344,0),"n.a."))</f>
        <v>0</v>
      </c>
      <c r="J3715" s="16">
        <f>IF(NOT(Paths!$C$344=1),0,IF(Paths!$P$344="Complete",IF(IF(Paths!$E$344=0,C3715=0,AND(C3715&gt;0,Paths!$E$344&gt;(C3715-1)*12,Paths!$E$344&lt;=C3715*12)),Paths!$H$344,0),"n.a."))</f>
        <v>0</v>
      </c>
      <c r="K3715" s="16">
        <f>IF(NOT(Paths!$C$344=1),0,IF(Paths!$P$344="Complete",IF(IF(Paths!$O$344=0,C3715=0,AND(C3715&gt;0,Paths!$O$344&gt;(C3715-1)*12,Paths!$O$344&lt;=C3715*12)),Paths!$N$344,0),"n.a."))</f>
        <v>0</v>
      </c>
      <c r="L3715" s="16">
        <f>IF(NOT(Paths!$C$344=1),0,IF(Paths!$P$344="Complete",IF(C3715=10,Paths!$I$344,0),"n.a."))</f>
        <v>0</v>
      </c>
      <c r="M3715" s="16">
        <f>IF(NOT(Paths!$C$344=1),0,IF(Paths!$P$344="Complete",IF(AND(Paths!$D$344="EV",Paths!$E$344&lt;120,Paths!$E$344+'Operating costs'!$B$65&gt;Paths!$E$344,Paths!$E$344+'Operating costs'!$B$65&lt;=120,IF(Paths!$E$344+'Operating costs'!$B$65=0,C3715=0,AND(C3715&gt;0,Paths!$E$344+'Operating costs'!$B$65&gt;(C3715-1)*12,Paths!$E$344+'Operating costs'!$B$65&lt;=C3715*12))),'Operating costs'!$B$64,0)+IF(AND('Operating costs'!$B$67&gt;0,'Operating costs'!$B$67&lt;=120,OR(Paths!$D$344="ICE",'Operating costs'!$B$67&lt;=Paths!$E$344),IF('Operating costs'!$B$67=0,C3715=0,AND(C3715&gt;0,'Operating costs'!$B$67&gt;(C3715-1)*12,'Operating costs'!$B$67&lt;=C3715*12))),'Operating costs'!$B$66,0),"n.a."))</f>
        <v>0</v>
      </c>
      <c r="N3715" s="16">
        <f>IF(NOT(Paths!$C$344=1),0,IF(Paths!$P$344="Complete",SUM(G3715:I3715)-J3715-K3715-L3715+M3715+IF(C3715=0,Paths!$F$344,0)+IF(IF(Paths!$E$344=0,C3715=0,AND(C3715&gt;0,Paths!$E$344&gt;(C3715-1)*12,Paths!$E$344&lt;=C3715*12)),VLOOKUP(A3715,'Fleet register'!$A$7:$S$106,16,FALSE),0),"n.a."))</f>
        <v>0</v>
      </c>
      <c r="O3715" s="16">
        <f>IF(NOT(Paths!$C$344=1),0,IF(Paths!$P$344="Complete",N3715-IF(C3715=0,Paths!$F$344,0),"n.a."))</f>
        <v>0</v>
      </c>
      <c r="P3715" s="16">
        <f>IF(NOT(Paths!$C$344=1),0,IF(Paths!$P$344="Complete",O3715+L3715,"n.a."))</f>
        <v>0</v>
      </c>
      <c r="Q3715" s="16">
        <f>IF(NOT(Paths!$C$344=1),0,IF(Paths!$P$344="Complete",N3715*(1+'Operating costs'!$B$54)^-C3715,"n.a."))</f>
        <v>0</v>
      </c>
      <c r="R3715" s="16">
        <f>IF(NOT(Paths!$C$344=1),0,IF(Paths!$P$344="Complete",IF(AND(C3715=0,Paths!$E$344=0),I3715-J3715-K3715+VLOOKUP(A3715,'Fleet register'!$A$7:$S$106,15,FALSE)+VLOOKUP(A3715,'Fleet register'!$A$7:$S$106,16,FALSE),0),"n.a."))</f>
        <v>0</v>
      </c>
      <c r="S3715" s="1">
        <f>IF(NOT(Paths!$C$344=1),0,IF(Paths!$P$344="Complete",IF(C3715=0,0,Paths!$S$344*Paths!$R$344),"n.a."))</f>
        <v>0</v>
      </c>
      <c r="T3715" s="1">
        <f>IF(NOT(Paths!$C$344=1),0,IF(Paths!$P$344="Complete",IF(C3715=0,0,VLOOKUP(A3715,'Fleet register'!$A$7:$S$106,9,FALSE)*Paths!$R$344),"n.a."))</f>
        <v>0</v>
      </c>
    </row>
    <row r="3716" spans="1:20" ht="24" customHeight="1">
      <c r="A3716" s="1" t="str">
        <f>Paths!$A$344</f>
        <v>T085</v>
      </c>
      <c r="B3716" s="1">
        <f>Paths!$B$344</f>
        <v>1</v>
      </c>
      <c r="C3716" s="1">
        <v>2</v>
      </c>
      <c r="D3716" s="1">
        <v>344</v>
      </c>
      <c r="E3716" s="1">
        <f>IF(OR(Paths!$C$344=0,C3716=0),0,MAX(0,MIN(C3716*12,Paths!$E$344)-(C3716-1)*12))</f>
        <v>0</v>
      </c>
      <c r="F3716" s="1">
        <f>IF(OR(Paths!$C$344=0,C3716=0),0,12-E3716)</f>
        <v>0</v>
      </c>
      <c r="G3716" s="16">
        <f>IF(NOT(Paths!$C$344=1),0,IF(Paths!$P$344="Complete",E3716/12*(Paths!$J$344*(1+'Operating costs'!$B$51)^MAX(0,C3716-1)+Paths!$K$344*(1+'Operating costs'!$B$53)^MAX(0,C3716-1)),"n.a."))</f>
        <v>0</v>
      </c>
      <c r="H3716" s="16">
        <f>IF(NOT(Paths!$C$344=1),0,IF(Paths!$P$344="Complete",F3716/12*(Paths!$L$344*(1+IF(Paths!$D$344="EV",'Operating costs'!$B$52,'Operating costs'!$B$51))^MAX(0,C3716-1)+Paths!$M$344*(1+'Operating costs'!$B$53)^MAX(0,C3716-1)),"n.a."))</f>
        <v>0</v>
      </c>
      <c r="I3716" s="16">
        <f>IF(NOT(Paths!$C$344=1),0,IF(Paths!$P$344="Complete",IF(IF(Paths!$E$344=0,C3716=0,AND(C3716&gt;0,Paths!$E$344&gt;(C3716-1)*12,Paths!$E$344&lt;=C3716*12)),Paths!$G$344,0),"n.a."))</f>
        <v>0</v>
      </c>
      <c r="J3716" s="16">
        <f>IF(NOT(Paths!$C$344=1),0,IF(Paths!$P$344="Complete",IF(IF(Paths!$E$344=0,C3716=0,AND(C3716&gt;0,Paths!$E$344&gt;(C3716-1)*12,Paths!$E$344&lt;=C3716*12)),Paths!$H$344,0),"n.a."))</f>
        <v>0</v>
      </c>
      <c r="K3716" s="16">
        <f>IF(NOT(Paths!$C$344=1),0,IF(Paths!$P$344="Complete",IF(IF(Paths!$O$344=0,C3716=0,AND(C3716&gt;0,Paths!$O$344&gt;(C3716-1)*12,Paths!$O$344&lt;=C3716*12)),Paths!$N$344,0),"n.a."))</f>
        <v>0</v>
      </c>
      <c r="L3716" s="16">
        <f>IF(NOT(Paths!$C$344=1),0,IF(Paths!$P$344="Complete",IF(C3716=10,Paths!$I$344,0),"n.a."))</f>
        <v>0</v>
      </c>
      <c r="M3716" s="16">
        <f>IF(NOT(Paths!$C$344=1),0,IF(Paths!$P$344="Complete",IF(AND(Paths!$D$344="EV",Paths!$E$344&lt;120,Paths!$E$344+'Operating costs'!$B$65&gt;Paths!$E$344,Paths!$E$344+'Operating costs'!$B$65&lt;=120,IF(Paths!$E$344+'Operating costs'!$B$65=0,C3716=0,AND(C3716&gt;0,Paths!$E$344+'Operating costs'!$B$65&gt;(C3716-1)*12,Paths!$E$344+'Operating costs'!$B$65&lt;=C3716*12))),'Operating costs'!$B$64,0)+IF(AND('Operating costs'!$B$67&gt;0,'Operating costs'!$B$67&lt;=120,OR(Paths!$D$344="ICE",'Operating costs'!$B$67&lt;=Paths!$E$344),IF('Operating costs'!$B$67=0,C3716=0,AND(C3716&gt;0,'Operating costs'!$B$67&gt;(C3716-1)*12,'Operating costs'!$B$67&lt;=C3716*12))),'Operating costs'!$B$66,0),"n.a."))</f>
        <v>0</v>
      </c>
      <c r="N3716" s="16">
        <f>IF(NOT(Paths!$C$344=1),0,IF(Paths!$P$344="Complete",SUM(G3716:I3716)-J3716-K3716-L3716+M3716+IF(C3716=0,Paths!$F$344,0)+IF(IF(Paths!$E$344=0,C3716=0,AND(C3716&gt;0,Paths!$E$344&gt;(C3716-1)*12,Paths!$E$344&lt;=C3716*12)),VLOOKUP(A3716,'Fleet register'!$A$7:$S$106,16,FALSE),0),"n.a."))</f>
        <v>0</v>
      </c>
      <c r="O3716" s="16">
        <f>IF(NOT(Paths!$C$344=1),0,IF(Paths!$P$344="Complete",N3716-IF(C3716=0,Paths!$F$344,0),"n.a."))</f>
        <v>0</v>
      </c>
      <c r="P3716" s="16">
        <f>IF(NOT(Paths!$C$344=1),0,IF(Paths!$P$344="Complete",O3716+L3716,"n.a."))</f>
        <v>0</v>
      </c>
      <c r="Q3716" s="16">
        <f>IF(NOT(Paths!$C$344=1),0,IF(Paths!$P$344="Complete",N3716*(1+'Operating costs'!$B$54)^-C3716,"n.a."))</f>
        <v>0</v>
      </c>
      <c r="R3716" s="16">
        <f>IF(NOT(Paths!$C$344=1),0,IF(Paths!$P$344="Complete",IF(AND(C3716=0,Paths!$E$344=0),I3716-J3716-K3716+VLOOKUP(A3716,'Fleet register'!$A$7:$S$106,15,FALSE)+VLOOKUP(A3716,'Fleet register'!$A$7:$S$106,16,FALSE),0),"n.a."))</f>
        <v>0</v>
      </c>
      <c r="S3716" s="1">
        <f>IF(NOT(Paths!$C$344=1),0,IF(Paths!$P$344="Complete",IF(C3716=0,0,Paths!$S$344*Paths!$R$344),"n.a."))</f>
        <v>0</v>
      </c>
      <c r="T3716" s="1">
        <f>IF(NOT(Paths!$C$344=1),0,IF(Paths!$P$344="Complete",IF(C3716=0,0,VLOOKUP(A3716,'Fleet register'!$A$7:$S$106,9,FALSE)*Paths!$R$344),"n.a."))</f>
        <v>0</v>
      </c>
    </row>
    <row r="3717" spans="1:20" ht="24" customHeight="1">
      <c r="A3717" s="1" t="str">
        <f>Paths!$A$344</f>
        <v>T085</v>
      </c>
      <c r="B3717" s="1">
        <f>Paths!$B$344</f>
        <v>1</v>
      </c>
      <c r="C3717" s="1">
        <v>3</v>
      </c>
      <c r="D3717" s="1">
        <v>344</v>
      </c>
      <c r="E3717" s="1">
        <f>IF(OR(Paths!$C$344=0,C3717=0),0,MAX(0,MIN(C3717*12,Paths!$E$344)-(C3717-1)*12))</f>
        <v>0</v>
      </c>
      <c r="F3717" s="1">
        <f>IF(OR(Paths!$C$344=0,C3717=0),0,12-E3717)</f>
        <v>0</v>
      </c>
      <c r="G3717" s="16">
        <f>IF(NOT(Paths!$C$344=1),0,IF(Paths!$P$344="Complete",E3717/12*(Paths!$J$344*(1+'Operating costs'!$B$51)^MAX(0,C3717-1)+Paths!$K$344*(1+'Operating costs'!$B$53)^MAX(0,C3717-1)),"n.a."))</f>
        <v>0</v>
      </c>
      <c r="H3717" s="16">
        <f>IF(NOT(Paths!$C$344=1),0,IF(Paths!$P$344="Complete",F3717/12*(Paths!$L$344*(1+IF(Paths!$D$344="EV",'Operating costs'!$B$52,'Operating costs'!$B$51))^MAX(0,C3717-1)+Paths!$M$344*(1+'Operating costs'!$B$53)^MAX(0,C3717-1)),"n.a."))</f>
        <v>0</v>
      </c>
      <c r="I3717" s="16">
        <f>IF(NOT(Paths!$C$344=1),0,IF(Paths!$P$344="Complete",IF(IF(Paths!$E$344=0,C3717=0,AND(C3717&gt;0,Paths!$E$344&gt;(C3717-1)*12,Paths!$E$344&lt;=C3717*12)),Paths!$G$344,0),"n.a."))</f>
        <v>0</v>
      </c>
      <c r="J3717" s="16">
        <f>IF(NOT(Paths!$C$344=1),0,IF(Paths!$P$344="Complete",IF(IF(Paths!$E$344=0,C3717=0,AND(C3717&gt;0,Paths!$E$344&gt;(C3717-1)*12,Paths!$E$344&lt;=C3717*12)),Paths!$H$344,0),"n.a."))</f>
        <v>0</v>
      </c>
      <c r="K3717" s="16">
        <f>IF(NOT(Paths!$C$344=1),0,IF(Paths!$P$344="Complete",IF(IF(Paths!$O$344=0,C3717=0,AND(C3717&gt;0,Paths!$O$344&gt;(C3717-1)*12,Paths!$O$344&lt;=C3717*12)),Paths!$N$344,0),"n.a."))</f>
        <v>0</v>
      </c>
      <c r="L3717" s="16">
        <f>IF(NOT(Paths!$C$344=1),0,IF(Paths!$P$344="Complete",IF(C3717=10,Paths!$I$344,0),"n.a."))</f>
        <v>0</v>
      </c>
      <c r="M3717" s="16">
        <f>IF(NOT(Paths!$C$344=1),0,IF(Paths!$P$344="Complete",IF(AND(Paths!$D$344="EV",Paths!$E$344&lt;120,Paths!$E$344+'Operating costs'!$B$65&gt;Paths!$E$344,Paths!$E$344+'Operating costs'!$B$65&lt;=120,IF(Paths!$E$344+'Operating costs'!$B$65=0,C3717=0,AND(C3717&gt;0,Paths!$E$344+'Operating costs'!$B$65&gt;(C3717-1)*12,Paths!$E$344+'Operating costs'!$B$65&lt;=C3717*12))),'Operating costs'!$B$64,0)+IF(AND('Operating costs'!$B$67&gt;0,'Operating costs'!$B$67&lt;=120,OR(Paths!$D$344="ICE",'Operating costs'!$B$67&lt;=Paths!$E$344),IF('Operating costs'!$B$67=0,C3717=0,AND(C3717&gt;0,'Operating costs'!$B$67&gt;(C3717-1)*12,'Operating costs'!$B$67&lt;=C3717*12))),'Operating costs'!$B$66,0),"n.a."))</f>
        <v>0</v>
      </c>
      <c r="N3717" s="16">
        <f>IF(NOT(Paths!$C$344=1),0,IF(Paths!$P$344="Complete",SUM(G3717:I3717)-J3717-K3717-L3717+M3717+IF(C3717=0,Paths!$F$344,0)+IF(IF(Paths!$E$344=0,C3717=0,AND(C3717&gt;0,Paths!$E$344&gt;(C3717-1)*12,Paths!$E$344&lt;=C3717*12)),VLOOKUP(A3717,'Fleet register'!$A$7:$S$106,16,FALSE),0),"n.a."))</f>
        <v>0</v>
      </c>
      <c r="O3717" s="16">
        <f>IF(NOT(Paths!$C$344=1),0,IF(Paths!$P$344="Complete",N3717-IF(C3717=0,Paths!$F$344,0),"n.a."))</f>
        <v>0</v>
      </c>
      <c r="P3717" s="16">
        <f>IF(NOT(Paths!$C$344=1),0,IF(Paths!$P$344="Complete",O3717+L3717,"n.a."))</f>
        <v>0</v>
      </c>
      <c r="Q3717" s="16">
        <f>IF(NOT(Paths!$C$344=1),0,IF(Paths!$P$344="Complete",N3717*(1+'Operating costs'!$B$54)^-C3717,"n.a."))</f>
        <v>0</v>
      </c>
      <c r="R3717" s="16">
        <f>IF(NOT(Paths!$C$344=1),0,IF(Paths!$P$344="Complete",IF(AND(C3717=0,Paths!$E$344=0),I3717-J3717-K3717+VLOOKUP(A3717,'Fleet register'!$A$7:$S$106,15,FALSE)+VLOOKUP(A3717,'Fleet register'!$A$7:$S$106,16,FALSE),0),"n.a."))</f>
        <v>0</v>
      </c>
      <c r="S3717" s="1">
        <f>IF(NOT(Paths!$C$344=1),0,IF(Paths!$P$344="Complete",IF(C3717=0,0,Paths!$S$344*Paths!$R$344),"n.a."))</f>
        <v>0</v>
      </c>
      <c r="T3717" s="1">
        <f>IF(NOT(Paths!$C$344=1),0,IF(Paths!$P$344="Complete",IF(C3717=0,0,VLOOKUP(A3717,'Fleet register'!$A$7:$S$106,9,FALSE)*Paths!$R$344),"n.a."))</f>
        <v>0</v>
      </c>
    </row>
    <row r="3718" spans="1:20" ht="24" customHeight="1">
      <c r="A3718" s="1" t="str">
        <f>Paths!$A$344</f>
        <v>T085</v>
      </c>
      <c r="B3718" s="1">
        <f>Paths!$B$344</f>
        <v>1</v>
      </c>
      <c r="C3718" s="1">
        <v>4</v>
      </c>
      <c r="D3718" s="1">
        <v>344</v>
      </c>
      <c r="E3718" s="1">
        <f>IF(OR(Paths!$C$344=0,C3718=0),0,MAX(0,MIN(C3718*12,Paths!$E$344)-(C3718-1)*12))</f>
        <v>0</v>
      </c>
      <c r="F3718" s="1">
        <f>IF(OR(Paths!$C$344=0,C3718=0),0,12-E3718)</f>
        <v>0</v>
      </c>
      <c r="G3718" s="16">
        <f>IF(NOT(Paths!$C$344=1),0,IF(Paths!$P$344="Complete",E3718/12*(Paths!$J$344*(1+'Operating costs'!$B$51)^MAX(0,C3718-1)+Paths!$K$344*(1+'Operating costs'!$B$53)^MAX(0,C3718-1)),"n.a."))</f>
        <v>0</v>
      </c>
      <c r="H3718" s="16">
        <f>IF(NOT(Paths!$C$344=1),0,IF(Paths!$P$344="Complete",F3718/12*(Paths!$L$344*(1+IF(Paths!$D$344="EV",'Operating costs'!$B$52,'Operating costs'!$B$51))^MAX(0,C3718-1)+Paths!$M$344*(1+'Operating costs'!$B$53)^MAX(0,C3718-1)),"n.a."))</f>
        <v>0</v>
      </c>
      <c r="I3718" s="16">
        <f>IF(NOT(Paths!$C$344=1),0,IF(Paths!$P$344="Complete",IF(IF(Paths!$E$344=0,C3718=0,AND(C3718&gt;0,Paths!$E$344&gt;(C3718-1)*12,Paths!$E$344&lt;=C3718*12)),Paths!$G$344,0),"n.a."))</f>
        <v>0</v>
      </c>
      <c r="J3718" s="16">
        <f>IF(NOT(Paths!$C$344=1),0,IF(Paths!$P$344="Complete",IF(IF(Paths!$E$344=0,C3718=0,AND(C3718&gt;0,Paths!$E$344&gt;(C3718-1)*12,Paths!$E$344&lt;=C3718*12)),Paths!$H$344,0),"n.a."))</f>
        <v>0</v>
      </c>
      <c r="K3718" s="16">
        <f>IF(NOT(Paths!$C$344=1),0,IF(Paths!$P$344="Complete",IF(IF(Paths!$O$344=0,C3718=0,AND(C3718&gt;0,Paths!$O$344&gt;(C3718-1)*12,Paths!$O$344&lt;=C3718*12)),Paths!$N$344,0),"n.a."))</f>
        <v>0</v>
      </c>
      <c r="L3718" s="16">
        <f>IF(NOT(Paths!$C$344=1),0,IF(Paths!$P$344="Complete",IF(C3718=10,Paths!$I$344,0),"n.a."))</f>
        <v>0</v>
      </c>
      <c r="M3718" s="16">
        <f>IF(NOT(Paths!$C$344=1),0,IF(Paths!$P$344="Complete",IF(AND(Paths!$D$344="EV",Paths!$E$344&lt;120,Paths!$E$344+'Operating costs'!$B$65&gt;Paths!$E$344,Paths!$E$344+'Operating costs'!$B$65&lt;=120,IF(Paths!$E$344+'Operating costs'!$B$65=0,C3718=0,AND(C3718&gt;0,Paths!$E$344+'Operating costs'!$B$65&gt;(C3718-1)*12,Paths!$E$344+'Operating costs'!$B$65&lt;=C3718*12))),'Operating costs'!$B$64,0)+IF(AND('Operating costs'!$B$67&gt;0,'Operating costs'!$B$67&lt;=120,OR(Paths!$D$344="ICE",'Operating costs'!$B$67&lt;=Paths!$E$344),IF('Operating costs'!$B$67=0,C3718=0,AND(C3718&gt;0,'Operating costs'!$B$67&gt;(C3718-1)*12,'Operating costs'!$B$67&lt;=C3718*12))),'Operating costs'!$B$66,0),"n.a."))</f>
        <v>0</v>
      </c>
      <c r="N3718" s="16">
        <f>IF(NOT(Paths!$C$344=1),0,IF(Paths!$P$344="Complete",SUM(G3718:I3718)-J3718-K3718-L3718+M3718+IF(C3718=0,Paths!$F$344,0)+IF(IF(Paths!$E$344=0,C3718=0,AND(C3718&gt;0,Paths!$E$344&gt;(C3718-1)*12,Paths!$E$344&lt;=C3718*12)),VLOOKUP(A3718,'Fleet register'!$A$7:$S$106,16,FALSE),0),"n.a."))</f>
        <v>0</v>
      </c>
      <c r="O3718" s="16">
        <f>IF(NOT(Paths!$C$344=1),0,IF(Paths!$P$344="Complete",N3718-IF(C3718=0,Paths!$F$344,0),"n.a."))</f>
        <v>0</v>
      </c>
      <c r="P3718" s="16">
        <f>IF(NOT(Paths!$C$344=1),0,IF(Paths!$P$344="Complete",O3718+L3718,"n.a."))</f>
        <v>0</v>
      </c>
      <c r="Q3718" s="16">
        <f>IF(NOT(Paths!$C$344=1),0,IF(Paths!$P$344="Complete",N3718*(1+'Operating costs'!$B$54)^-C3718,"n.a."))</f>
        <v>0</v>
      </c>
      <c r="R3718" s="16">
        <f>IF(NOT(Paths!$C$344=1),0,IF(Paths!$P$344="Complete",IF(AND(C3718=0,Paths!$E$344=0),I3718-J3718-K3718+VLOOKUP(A3718,'Fleet register'!$A$7:$S$106,15,FALSE)+VLOOKUP(A3718,'Fleet register'!$A$7:$S$106,16,FALSE),0),"n.a."))</f>
        <v>0</v>
      </c>
      <c r="S3718" s="1">
        <f>IF(NOT(Paths!$C$344=1),0,IF(Paths!$P$344="Complete",IF(C3718=0,0,Paths!$S$344*Paths!$R$344),"n.a."))</f>
        <v>0</v>
      </c>
      <c r="T3718" s="1">
        <f>IF(NOT(Paths!$C$344=1),0,IF(Paths!$P$344="Complete",IF(C3718=0,0,VLOOKUP(A3718,'Fleet register'!$A$7:$S$106,9,FALSE)*Paths!$R$344),"n.a."))</f>
        <v>0</v>
      </c>
    </row>
    <row r="3719" spans="1:20" ht="24" customHeight="1">
      <c r="A3719" s="1" t="str">
        <f>Paths!$A$344</f>
        <v>T085</v>
      </c>
      <c r="B3719" s="1">
        <f>Paths!$B$344</f>
        <v>1</v>
      </c>
      <c r="C3719" s="1">
        <v>5</v>
      </c>
      <c r="D3719" s="1">
        <v>344</v>
      </c>
      <c r="E3719" s="1">
        <f>IF(OR(Paths!$C$344=0,C3719=0),0,MAX(0,MIN(C3719*12,Paths!$E$344)-(C3719-1)*12))</f>
        <v>0</v>
      </c>
      <c r="F3719" s="1">
        <f>IF(OR(Paths!$C$344=0,C3719=0),0,12-E3719)</f>
        <v>0</v>
      </c>
      <c r="G3719" s="16">
        <f>IF(NOT(Paths!$C$344=1),0,IF(Paths!$P$344="Complete",E3719/12*(Paths!$J$344*(1+'Operating costs'!$B$51)^MAX(0,C3719-1)+Paths!$K$344*(1+'Operating costs'!$B$53)^MAX(0,C3719-1)),"n.a."))</f>
        <v>0</v>
      </c>
      <c r="H3719" s="16">
        <f>IF(NOT(Paths!$C$344=1),0,IF(Paths!$P$344="Complete",F3719/12*(Paths!$L$344*(1+IF(Paths!$D$344="EV",'Operating costs'!$B$52,'Operating costs'!$B$51))^MAX(0,C3719-1)+Paths!$M$344*(1+'Operating costs'!$B$53)^MAX(0,C3719-1)),"n.a."))</f>
        <v>0</v>
      </c>
      <c r="I3719" s="16">
        <f>IF(NOT(Paths!$C$344=1),0,IF(Paths!$P$344="Complete",IF(IF(Paths!$E$344=0,C3719=0,AND(C3719&gt;0,Paths!$E$344&gt;(C3719-1)*12,Paths!$E$344&lt;=C3719*12)),Paths!$G$344,0),"n.a."))</f>
        <v>0</v>
      </c>
      <c r="J3719" s="16">
        <f>IF(NOT(Paths!$C$344=1),0,IF(Paths!$P$344="Complete",IF(IF(Paths!$E$344=0,C3719=0,AND(C3719&gt;0,Paths!$E$344&gt;(C3719-1)*12,Paths!$E$344&lt;=C3719*12)),Paths!$H$344,0),"n.a."))</f>
        <v>0</v>
      </c>
      <c r="K3719" s="16">
        <f>IF(NOT(Paths!$C$344=1),0,IF(Paths!$P$344="Complete",IF(IF(Paths!$O$344=0,C3719=0,AND(C3719&gt;0,Paths!$O$344&gt;(C3719-1)*12,Paths!$O$344&lt;=C3719*12)),Paths!$N$344,0),"n.a."))</f>
        <v>0</v>
      </c>
      <c r="L3719" s="16">
        <f>IF(NOT(Paths!$C$344=1),0,IF(Paths!$P$344="Complete",IF(C3719=10,Paths!$I$344,0),"n.a."))</f>
        <v>0</v>
      </c>
      <c r="M3719" s="16">
        <f>IF(NOT(Paths!$C$344=1),0,IF(Paths!$P$344="Complete",IF(AND(Paths!$D$344="EV",Paths!$E$344&lt;120,Paths!$E$344+'Operating costs'!$B$65&gt;Paths!$E$344,Paths!$E$344+'Operating costs'!$B$65&lt;=120,IF(Paths!$E$344+'Operating costs'!$B$65=0,C3719=0,AND(C3719&gt;0,Paths!$E$344+'Operating costs'!$B$65&gt;(C3719-1)*12,Paths!$E$344+'Operating costs'!$B$65&lt;=C3719*12))),'Operating costs'!$B$64,0)+IF(AND('Operating costs'!$B$67&gt;0,'Operating costs'!$B$67&lt;=120,OR(Paths!$D$344="ICE",'Operating costs'!$B$67&lt;=Paths!$E$344),IF('Operating costs'!$B$67=0,C3719=0,AND(C3719&gt;0,'Operating costs'!$B$67&gt;(C3719-1)*12,'Operating costs'!$B$67&lt;=C3719*12))),'Operating costs'!$B$66,0),"n.a."))</f>
        <v>0</v>
      </c>
      <c r="N3719" s="16">
        <f>IF(NOT(Paths!$C$344=1),0,IF(Paths!$P$344="Complete",SUM(G3719:I3719)-J3719-K3719-L3719+M3719+IF(C3719=0,Paths!$F$344,0)+IF(IF(Paths!$E$344=0,C3719=0,AND(C3719&gt;0,Paths!$E$344&gt;(C3719-1)*12,Paths!$E$344&lt;=C3719*12)),VLOOKUP(A3719,'Fleet register'!$A$7:$S$106,16,FALSE),0),"n.a."))</f>
        <v>0</v>
      </c>
      <c r="O3719" s="16">
        <f>IF(NOT(Paths!$C$344=1),0,IF(Paths!$P$344="Complete",N3719-IF(C3719=0,Paths!$F$344,0),"n.a."))</f>
        <v>0</v>
      </c>
      <c r="P3719" s="16">
        <f>IF(NOT(Paths!$C$344=1),0,IF(Paths!$P$344="Complete",O3719+L3719,"n.a."))</f>
        <v>0</v>
      </c>
      <c r="Q3719" s="16">
        <f>IF(NOT(Paths!$C$344=1),0,IF(Paths!$P$344="Complete",N3719*(1+'Operating costs'!$B$54)^-C3719,"n.a."))</f>
        <v>0</v>
      </c>
      <c r="R3719" s="16">
        <f>IF(NOT(Paths!$C$344=1),0,IF(Paths!$P$344="Complete",IF(AND(C3719=0,Paths!$E$344=0),I3719-J3719-K3719+VLOOKUP(A3719,'Fleet register'!$A$7:$S$106,15,FALSE)+VLOOKUP(A3719,'Fleet register'!$A$7:$S$106,16,FALSE),0),"n.a."))</f>
        <v>0</v>
      </c>
      <c r="S3719" s="1">
        <f>IF(NOT(Paths!$C$344=1),0,IF(Paths!$P$344="Complete",IF(C3719=0,0,Paths!$S$344*Paths!$R$344),"n.a."))</f>
        <v>0</v>
      </c>
      <c r="T3719" s="1">
        <f>IF(NOT(Paths!$C$344=1),0,IF(Paths!$P$344="Complete",IF(C3719=0,0,VLOOKUP(A3719,'Fleet register'!$A$7:$S$106,9,FALSE)*Paths!$R$344),"n.a."))</f>
        <v>0</v>
      </c>
    </row>
    <row r="3720" spans="1:20" ht="24" customHeight="1">
      <c r="A3720" s="1" t="str">
        <f>Paths!$A$344</f>
        <v>T085</v>
      </c>
      <c r="B3720" s="1">
        <f>Paths!$B$344</f>
        <v>1</v>
      </c>
      <c r="C3720" s="1">
        <v>6</v>
      </c>
      <c r="D3720" s="1">
        <v>344</v>
      </c>
      <c r="E3720" s="1">
        <f>IF(OR(Paths!$C$344=0,C3720=0),0,MAX(0,MIN(C3720*12,Paths!$E$344)-(C3720-1)*12))</f>
        <v>0</v>
      </c>
      <c r="F3720" s="1">
        <f>IF(OR(Paths!$C$344=0,C3720=0),0,12-E3720)</f>
        <v>0</v>
      </c>
      <c r="G3720" s="16">
        <f>IF(NOT(Paths!$C$344=1),0,IF(Paths!$P$344="Complete",E3720/12*(Paths!$J$344*(1+'Operating costs'!$B$51)^MAX(0,C3720-1)+Paths!$K$344*(1+'Operating costs'!$B$53)^MAX(0,C3720-1)),"n.a."))</f>
        <v>0</v>
      </c>
      <c r="H3720" s="16">
        <f>IF(NOT(Paths!$C$344=1),0,IF(Paths!$P$344="Complete",F3720/12*(Paths!$L$344*(1+IF(Paths!$D$344="EV",'Operating costs'!$B$52,'Operating costs'!$B$51))^MAX(0,C3720-1)+Paths!$M$344*(1+'Operating costs'!$B$53)^MAX(0,C3720-1)),"n.a."))</f>
        <v>0</v>
      </c>
      <c r="I3720" s="16">
        <f>IF(NOT(Paths!$C$344=1),0,IF(Paths!$P$344="Complete",IF(IF(Paths!$E$344=0,C3720=0,AND(C3720&gt;0,Paths!$E$344&gt;(C3720-1)*12,Paths!$E$344&lt;=C3720*12)),Paths!$G$344,0),"n.a."))</f>
        <v>0</v>
      </c>
      <c r="J3720" s="16">
        <f>IF(NOT(Paths!$C$344=1),0,IF(Paths!$P$344="Complete",IF(IF(Paths!$E$344=0,C3720=0,AND(C3720&gt;0,Paths!$E$344&gt;(C3720-1)*12,Paths!$E$344&lt;=C3720*12)),Paths!$H$344,0),"n.a."))</f>
        <v>0</v>
      </c>
      <c r="K3720" s="16">
        <f>IF(NOT(Paths!$C$344=1),0,IF(Paths!$P$344="Complete",IF(IF(Paths!$O$344=0,C3720=0,AND(C3720&gt;0,Paths!$O$344&gt;(C3720-1)*12,Paths!$O$344&lt;=C3720*12)),Paths!$N$344,0),"n.a."))</f>
        <v>0</v>
      </c>
      <c r="L3720" s="16">
        <f>IF(NOT(Paths!$C$344=1),0,IF(Paths!$P$344="Complete",IF(C3720=10,Paths!$I$344,0),"n.a."))</f>
        <v>0</v>
      </c>
      <c r="M3720" s="16">
        <f>IF(NOT(Paths!$C$344=1),0,IF(Paths!$P$344="Complete",IF(AND(Paths!$D$344="EV",Paths!$E$344&lt;120,Paths!$E$344+'Operating costs'!$B$65&gt;Paths!$E$344,Paths!$E$344+'Operating costs'!$B$65&lt;=120,IF(Paths!$E$344+'Operating costs'!$B$65=0,C3720=0,AND(C3720&gt;0,Paths!$E$344+'Operating costs'!$B$65&gt;(C3720-1)*12,Paths!$E$344+'Operating costs'!$B$65&lt;=C3720*12))),'Operating costs'!$B$64,0)+IF(AND('Operating costs'!$B$67&gt;0,'Operating costs'!$B$67&lt;=120,OR(Paths!$D$344="ICE",'Operating costs'!$B$67&lt;=Paths!$E$344),IF('Operating costs'!$B$67=0,C3720=0,AND(C3720&gt;0,'Operating costs'!$B$67&gt;(C3720-1)*12,'Operating costs'!$B$67&lt;=C3720*12))),'Operating costs'!$B$66,0),"n.a."))</f>
        <v>0</v>
      </c>
      <c r="N3720" s="16">
        <f>IF(NOT(Paths!$C$344=1),0,IF(Paths!$P$344="Complete",SUM(G3720:I3720)-J3720-K3720-L3720+M3720+IF(C3720=0,Paths!$F$344,0)+IF(IF(Paths!$E$344=0,C3720=0,AND(C3720&gt;0,Paths!$E$344&gt;(C3720-1)*12,Paths!$E$344&lt;=C3720*12)),VLOOKUP(A3720,'Fleet register'!$A$7:$S$106,16,FALSE),0),"n.a."))</f>
        <v>0</v>
      </c>
      <c r="O3720" s="16">
        <f>IF(NOT(Paths!$C$344=1),0,IF(Paths!$P$344="Complete",N3720-IF(C3720=0,Paths!$F$344,0),"n.a."))</f>
        <v>0</v>
      </c>
      <c r="P3720" s="16">
        <f>IF(NOT(Paths!$C$344=1),0,IF(Paths!$P$344="Complete",O3720+L3720,"n.a."))</f>
        <v>0</v>
      </c>
      <c r="Q3720" s="16">
        <f>IF(NOT(Paths!$C$344=1),0,IF(Paths!$P$344="Complete",N3720*(1+'Operating costs'!$B$54)^-C3720,"n.a."))</f>
        <v>0</v>
      </c>
      <c r="R3720" s="16">
        <f>IF(NOT(Paths!$C$344=1),0,IF(Paths!$P$344="Complete",IF(AND(C3720=0,Paths!$E$344=0),I3720-J3720-K3720+VLOOKUP(A3720,'Fleet register'!$A$7:$S$106,15,FALSE)+VLOOKUP(A3720,'Fleet register'!$A$7:$S$106,16,FALSE),0),"n.a."))</f>
        <v>0</v>
      </c>
      <c r="S3720" s="1">
        <f>IF(NOT(Paths!$C$344=1),0,IF(Paths!$P$344="Complete",IF(C3720=0,0,Paths!$S$344*Paths!$R$344),"n.a."))</f>
        <v>0</v>
      </c>
      <c r="T3720" s="1">
        <f>IF(NOT(Paths!$C$344=1),0,IF(Paths!$P$344="Complete",IF(C3720=0,0,VLOOKUP(A3720,'Fleet register'!$A$7:$S$106,9,FALSE)*Paths!$R$344),"n.a."))</f>
        <v>0</v>
      </c>
    </row>
    <row r="3721" spans="1:20" ht="24" customHeight="1">
      <c r="A3721" s="1" t="str">
        <f>Paths!$A$344</f>
        <v>T085</v>
      </c>
      <c r="B3721" s="1">
        <f>Paths!$B$344</f>
        <v>1</v>
      </c>
      <c r="C3721" s="1">
        <v>7</v>
      </c>
      <c r="D3721" s="1">
        <v>344</v>
      </c>
      <c r="E3721" s="1">
        <f>IF(OR(Paths!$C$344=0,C3721=0),0,MAX(0,MIN(C3721*12,Paths!$E$344)-(C3721-1)*12))</f>
        <v>0</v>
      </c>
      <c r="F3721" s="1">
        <f>IF(OR(Paths!$C$344=0,C3721=0),0,12-E3721)</f>
        <v>0</v>
      </c>
      <c r="G3721" s="16">
        <f>IF(NOT(Paths!$C$344=1),0,IF(Paths!$P$344="Complete",E3721/12*(Paths!$J$344*(1+'Operating costs'!$B$51)^MAX(0,C3721-1)+Paths!$K$344*(1+'Operating costs'!$B$53)^MAX(0,C3721-1)),"n.a."))</f>
        <v>0</v>
      </c>
      <c r="H3721" s="16">
        <f>IF(NOT(Paths!$C$344=1),0,IF(Paths!$P$344="Complete",F3721/12*(Paths!$L$344*(1+IF(Paths!$D$344="EV",'Operating costs'!$B$52,'Operating costs'!$B$51))^MAX(0,C3721-1)+Paths!$M$344*(1+'Operating costs'!$B$53)^MAX(0,C3721-1)),"n.a."))</f>
        <v>0</v>
      </c>
      <c r="I3721" s="16">
        <f>IF(NOT(Paths!$C$344=1),0,IF(Paths!$P$344="Complete",IF(IF(Paths!$E$344=0,C3721=0,AND(C3721&gt;0,Paths!$E$344&gt;(C3721-1)*12,Paths!$E$344&lt;=C3721*12)),Paths!$G$344,0),"n.a."))</f>
        <v>0</v>
      </c>
      <c r="J3721" s="16">
        <f>IF(NOT(Paths!$C$344=1),0,IF(Paths!$P$344="Complete",IF(IF(Paths!$E$344=0,C3721=0,AND(C3721&gt;0,Paths!$E$344&gt;(C3721-1)*12,Paths!$E$344&lt;=C3721*12)),Paths!$H$344,0),"n.a."))</f>
        <v>0</v>
      </c>
      <c r="K3721" s="16">
        <f>IF(NOT(Paths!$C$344=1),0,IF(Paths!$P$344="Complete",IF(IF(Paths!$O$344=0,C3721=0,AND(C3721&gt;0,Paths!$O$344&gt;(C3721-1)*12,Paths!$O$344&lt;=C3721*12)),Paths!$N$344,0),"n.a."))</f>
        <v>0</v>
      </c>
      <c r="L3721" s="16">
        <f>IF(NOT(Paths!$C$344=1),0,IF(Paths!$P$344="Complete",IF(C3721=10,Paths!$I$344,0),"n.a."))</f>
        <v>0</v>
      </c>
      <c r="M3721" s="16">
        <f>IF(NOT(Paths!$C$344=1),0,IF(Paths!$P$344="Complete",IF(AND(Paths!$D$344="EV",Paths!$E$344&lt;120,Paths!$E$344+'Operating costs'!$B$65&gt;Paths!$E$344,Paths!$E$344+'Operating costs'!$B$65&lt;=120,IF(Paths!$E$344+'Operating costs'!$B$65=0,C3721=0,AND(C3721&gt;0,Paths!$E$344+'Operating costs'!$B$65&gt;(C3721-1)*12,Paths!$E$344+'Operating costs'!$B$65&lt;=C3721*12))),'Operating costs'!$B$64,0)+IF(AND('Operating costs'!$B$67&gt;0,'Operating costs'!$B$67&lt;=120,OR(Paths!$D$344="ICE",'Operating costs'!$B$67&lt;=Paths!$E$344),IF('Operating costs'!$B$67=0,C3721=0,AND(C3721&gt;0,'Operating costs'!$B$67&gt;(C3721-1)*12,'Operating costs'!$B$67&lt;=C3721*12))),'Operating costs'!$B$66,0),"n.a."))</f>
        <v>0</v>
      </c>
      <c r="N3721" s="16">
        <f>IF(NOT(Paths!$C$344=1),0,IF(Paths!$P$344="Complete",SUM(G3721:I3721)-J3721-K3721-L3721+M3721+IF(C3721=0,Paths!$F$344,0)+IF(IF(Paths!$E$344=0,C3721=0,AND(C3721&gt;0,Paths!$E$344&gt;(C3721-1)*12,Paths!$E$344&lt;=C3721*12)),VLOOKUP(A3721,'Fleet register'!$A$7:$S$106,16,FALSE),0),"n.a."))</f>
        <v>0</v>
      </c>
      <c r="O3721" s="16">
        <f>IF(NOT(Paths!$C$344=1),0,IF(Paths!$P$344="Complete",N3721-IF(C3721=0,Paths!$F$344,0),"n.a."))</f>
        <v>0</v>
      </c>
      <c r="P3721" s="16">
        <f>IF(NOT(Paths!$C$344=1),0,IF(Paths!$P$344="Complete",O3721+L3721,"n.a."))</f>
        <v>0</v>
      </c>
      <c r="Q3721" s="16">
        <f>IF(NOT(Paths!$C$344=1),0,IF(Paths!$P$344="Complete",N3721*(1+'Operating costs'!$B$54)^-C3721,"n.a."))</f>
        <v>0</v>
      </c>
      <c r="R3721" s="16">
        <f>IF(NOT(Paths!$C$344=1),0,IF(Paths!$P$344="Complete",IF(AND(C3721=0,Paths!$E$344=0),I3721-J3721-K3721+VLOOKUP(A3721,'Fleet register'!$A$7:$S$106,15,FALSE)+VLOOKUP(A3721,'Fleet register'!$A$7:$S$106,16,FALSE),0),"n.a."))</f>
        <v>0</v>
      </c>
      <c r="S3721" s="1">
        <f>IF(NOT(Paths!$C$344=1),0,IF(Paths!$P$344="Complete",IF(C3721=0,0,Paths!$S$344*Paths!$R$344),"n.a."))</f>
        <v>0</v>
      </c>
      <c r="T3721" s="1">
        <f>IF(NOT(Paths!$C$344=1),0,IF(Paths!$P$344="Complete",IF(C3721=0,0,VLOOKUP(A3721,'Fleet register'!$A$7:$S$106,9,FALSE)*Paths!$R$344),"n.a."))</f>
        <v>0</v>
      </c>
    </row>
    <row r="3722" spans="1:20" ht="24" customHeight="1">
      <c r="A3722" s="1" t="str">
        <f>Paths!$A$344</f>
        <v>T085</v>
      </c>
      <c r="B3722" s="1">
        <f>Paths!$B$344</f>
        <v>1</v>
      </c>
      <c r="C3722" s="1">
        <v>8</v>
      </c>
      <c r="D3722" s="1">
        <v>344</v>
      </c>
      <c r="E3722" s="1">
        <f>IF(OR(Paths!$C$344=0,C3722=0),0,MAX(0,MIN(C3722*12,Paths!$E$344)-(C3722-1)*12))</f>
        <v>0</v>
      </c>
      <c r="F3722" s="1">
        <f>IF(OR(Paths!$C$344=0,C3722=0),0,12-E3722)</f>
        <v>0</v>
      </c>
      <c r="G3722" s="16">
        <f>IF(NOT(Paths!$C$344=1),0,IF(Paths!$P$344="Complete",E3722/12*(Paths!$J$344*(1+'Operating costs'!$B$51)^MAX(0,C3722-1)+Paths!$K$344*(1+'Operating costs'!$B$53)^MAX(0,C3722-1)),"n.a."))</f>
        <v>0</v>
      </c>
      <c r="H3722" s="16">
        <f>IF(NOT(Paths!$C$344=1),0,IF(Paths!$P$344="Complete",F3722/12*(Paths!$L$344*(1+IF(Paths!$D$344="EV",'Operating costs'!$B$52,'Operating costs'!$B$51))^MAX(0,C3722-1)+Paths!$M$344*(1+'Operating costs'!$B$53)^MAX(0,C3722-1)),"n.a."))</f>
        <v>0</v>
      </c>
      <c r="I3722" s="16">
        <f>IF(NOT(Paths!$C$344=1),0,IF(Paths!$P$344="Complete",IF(IF(Paths!$E$344=0,C3722=0,AND(C3722&gt;0,Paths!$E$344&gt;(C3722-1)*12,Paths!$E$344&lt;=C3722*12)),Paths!$G$344,0),"n.a."))</f>
        <v>0</v>
      </c>
      <c r="J3722" s="16">
        <f>IF(NOT(Paths!$C$344=1),0,IF(Paths!$P$344="Complete",IF(IF(Paths!$E$344=0,C3722=0,AND(C3722&gt;0,Paths!$E$344&gt;(C3722-1)*12,Paths!$E$344&lt;=C3722*12)),Paths!$H$344,0),"n.a."))</f>
        <v>0</v>
      </c>
      <c r="K3722" s="16">
        <f>IF(NOT(Paths!$C$344=1),0,IF(Paths!$P$344="Complete",IF(IF(Paths!$O$344=0,C3722=0,AND(C3722&gt;0,Paths!$O$344&gt;(C3722-1)*12,Paths!$O$344&lt;=C3722*12)),Paths!$N$344,0),"n.a."))</f>
        <v>0</v>
      </c>
      <c r="L3722" s="16">
        <f>IF(NOT(Paths!$C$344=1),0,IF(Paths!$P$344="Complete",IF(C3722=10,Paths!$I$344,0),"n.a."))</f>
        <v>0</v>
      </c>
      <c r="M3722" s="16">
        <f>IF(NOT(Paths!$C$344=1),0,IF(Paths!$P$344="Complete",IF(AND(Paths!$D$344="EV",Paths!$E$344&lt;120,Paths!$E$344+'Operating costs'!$B$65&gt;Paths!$E$344,Paths!$E$344+'Operating costs'!$B$65&lt;=120,IF(Paths!$E$344+'Operating costs'!$B$65=0,C3722=0,AND(C3722&gt;0,Paths!$E$344+'Operating costs'!$B$65&gt;(C3722-1)*12,Paths!$E$344+'Operating costs'!$B$65&lt;=C3722*12))),'Operating costs'!$B$64,0)+IF(AND('Operating costs'!$B$67&gt;0,'Operating costs'!$B$67&lt;=120,OR(Paths!$D$344="ICE",'Operating costs'!$B$67&lt;=Paths!$E$344),IF('Operating costs'!$B$67=0,C3722=0,AND(C3722&gt;0,'Operating costs'!$B$67&gt;(C3722-1)*12,'Operating costs'!$B$67&lt;=C3722*12))),'Operating costs'!$B$66,0),"n.a."))</f>
        <v>0</v>
      </c>
      <c r="N3722" s="16">
        <f>IF(NOT(Paths!$C$344=1),0,IF(Paths!$P$344="Complete",SUM(G3722:I3722)-J3722-K3722-L3722+M3722+IF(C3722=0,Paths!$F$344,0)+IF(IF(Paths!$E$344=0,C3722=0,AND(C3722&gt;0,Paths!$E$344&gt;(C3722-1)*12,Paths!$E$344&lt;=C3722*12)),VLOOKUP(A3722,'Fleet register'!$A$7:$S$106,16,FALSE),0),"n.a."))</f>
        <v>0</v>
      </c>
      <c r="O3722" s="16">
        <f>IF(NOT(Paths!$C$344=1),0,IF(Paths!$P$344="Complete",N3722-IF(C3722=0,Paths!$F$344,0),"n.a."))</f>
        <v>0</v>
      </c>
      <c r="P3722" s="16">
        <f>IF(NOT(Paths!$C$344=1),0,IF(Paths!$P$344="Complete",O3722+L3722,"n.a."))</f>
        <v>0</v>
      </c>
      <c r="Q3722" s="16">
        <f>IF(NOT(Paths!$C$344=1),0,IF(Paths!$P$344="Complete",N3722*(1+'Operating costs'!$B$54)^-C3722,"n.a."))</f>
        <v>0</v>
      </c>
      <c r="R3722" s="16">
        <f>IF(NOT(Paths!$C$344=1),0,IF(Paths!$P$344="Complete",IF(AND(C3722=0,Paths!$E$344=0),I3722-J3722-K3722+VLOOKUP(A3722,'Fleet register'!$A$7:$S$106,15,FALSE)+VLOOKUP(A3722,'Fleet register'!$A$7:$S$106,16,FALSE),0),"n.a."))</f>
        <v>0</v>
      </c>
      <c r="S3722" s="1">
        <f>IF(NOT(Paths!$C$344=1),0,IF(Paths!$P$344="Complete",IF(C3722=0,0,Paths!$S$344*Paths!$R$344),"n.a."))</f>
        <v>0</v>
      </c>
      <c r="T3722" s="1">
        <f>IF(NOT(Paths!$C$344=1),0,IF(Paths!$P$344="Complete",IF(C3722=0,0,VLOOKUP(A3722,'Fleet register'!$A$7:$S$106,9,FALSE)*Paths!$R$344),"n.a."))</f>
        <v>0</v>
      </c>
    </row>
    <row r="3723" spans="1:20" ht="24" customHeight="1">
      <c r="A3723" s="1" t="str">
        <f>Paths!$A$344</f>
        <v>T085</v>
      </c>
      <c r="B3723" s="1">
        <f>Paths!$B$344</f>
        <v>1</v>
      </c>
      <c r="C3723" s="1">
        <v>9</v>
      </c>
      <c r="D3723" s="1">
        <v>344</v>
      </c>
      <c r="E3723" s="1">
        <f>IF(OR(Paths!$C$344=0,C3723=0),0,MAX(0,MIN(C3723*12,Paths!$E$344)-(C3723-1)*12))</f>
        <v>0</v>
      </c>
      <c r="F3723" s="1">
        <f>IF(OR(Paths!$C$344=0,C3723=0),0,12-E3723)</f>
        <v>0</v>
      </c>
      <c r="G3723" s="16">
        <f>IF(NOT(Paths!$C$344=1),0,IF(Paths!$P$344="Complete",E3723/12*(Paths!$J$344*(1+'Operating costs'!$B$51)^MAX(0,C3723-1)+Paths!$K$344*(1+'Operating costs'!$B$53)^MAX(0,C3723-1)),"n.a."))</f>
        <v>0</v>
      </c>
      <c r="H3723" s="16">
        <f>IF(NOT(Paths!$C$344=1),0,IF(Paths!$P$344="Complete",F3723/12*(Paths!$L$344*(1+IF(Paths!$D$344="EV",'Operating costs'!$B$52,'Operating costs'!$B$51))^MAX(0,C3723-1)+Paths!$M$344*(1+'Operating costs'!$B$53)^MAX(0,C3723-1)),"n.a."))</f>
        <v>0</v>
      </c>
      <c r="I3723" s="16">
        <f>IF(NOT(Paths!$C$344=1),0,IF(Paths!$P$344="Complete",IF(IF(Paths!$E$344=0,C3723=0,AND(C3723&gt;0,Paths!$E$344&gt;(C3723-1)*12,Paths!$E$344&lt;=C3723*12)),Paths!$G$344,0),"n.a."))</f>
        <v>0</v>
      </c>
      <c r="J3723" s="16">
        <f>IF(NOT(Paths!$C$344=1),0,IF(Paths!$P$344="Complete",IF(IF(Paths!$E$344=0,C3723=0,AND(C3723&gt;0,Paths!$E$344&gt;(C3723-1)*12,Paths!$E$344&lt;=C3723*12)),Paths!$H$344,0),"n.a."))</f>
        <v>0</v>
      </c>
      <c r="K3723" s="16">
        <f>IF(NOT(Paths!$C$344=1),0,IF(Paths!$P$344="Complete",IF(IF(Paths!$O$344=0,C3723=0,AND(C3723&gt;0,Paths!$O$344&gt;(C3723-1)*12,Paths!$O$344&lt;=C3723*12)),Paths!$N$344,0),"n.a."))</f>
        <v>0</v>
      </c>
      <c r="L3723" s="16">
        <f>IF(NOT(Paths!$C$344=1),0,IF(Paths!$P$344="Complete",IF(C3723=10,Paths!$I$344,0),"n.a."))</f>
        <v>0</v>
      </c>
      <c r="M3723" s="16">
        <f>IF(NOT(Paths!$C$344=1),0,IF(Paths!$P$344="Complete",IF(AND(Paths!$D$344="EV",Paths!$E$344&lt;120,Paths!$E$344+'Operating costs'!$B$65&gt;Paths!$E$344,Paths!$E$344+'Operating costs'!$B$65&lt;=120,IF(Paths!$E$344+'Operating costs'!$B$65=0,C3723=0,AND(C3723&gt;0,Paths!$E$344+'Operating costs'!$B$65&gt;(C3723-1)*12,Paths!$E$344+'Operating costs'!$B$65&lt;=C3723*12))),'Operating costs'!$B$64,0)+IF(AND('Operating costs'!$B$67&gt;0,'Operating costs'!$B$67&lt;=120,OR(Paths!$D$344="ICE",'Operating costs'!$B$67&lt;=Paths!$E$344),IF('Operating costs'!$B$67=0,C3723=0,AND(C3723&gt;0,'Operating costs'!$B$67&gt;(C3723-1)*12,'Operating costs'!$B$67&lt;=C3723*12))),'Operating costs'!$B$66,0),"n.a."))</f>
        <v>0</v>
      </c>
      <c r="N3723" s="16">
        <f>IF(NOT(Paths!$C$344=1),0,IF(Paths!$P$344="Complete",SUM(G3723:I3723)-J3723-K3723-L3723+M3723+IF(C3723=0,Paths!$F$344,0)+IF(IF(Paths!$E$344=0,C3723=0,AND(C3723&gt;0,Paths!$E$344&gt;(C3723-1)*12,Paths!$E$344&lt;=C3723*12)),VLOOKUP(A3723,'Fleet register'!$A$7:$S$106,16,FALSE),0),"n.a."))</f>
        <v>0</v>
      </c>
      <c r="O3723" s="16">
        <f>IF(NOT(Paths!$C$344=1),0,IF(Paths!$P$344="Complete",N3723-IF(C3723=0,Paths!$F$344,0),"n.a."))</f>
        <v>0</v>
      </c>
      <c r="P3723" s="16">
        <f>IF(NOT(Paths!$C$344=1),0,IF(Paths!$P$344="Complete",O3723+L3723,"n.a."))</f>
        <v>0</v>
      </c>
      <c r="Q3723" s="16">
        <f>IF(NOT(Paths!$C$344=1),0,IF(Paths!$P$344="Complete",N3723*(1+'Operating costs'!$B$54)^-C3723,"n.a."))</f>
        <v>0</v>
      </c>
      <c r="R3723" s="16">
        <f>IF(NOT(Paths!$C$344=1),0,IF(Paths!$P$344="Complete",IF(AND(C3723=0,Paths!$E$344=0),I3723-J3723-K3723+VLOOKUP(A3723,'Fleet register'!$A$7:$S$106,15,FALSE)+VLOOKUP(A3723,'Fleet register'!$A$7:$S$106,16,FALSE),0),"n.a."))</f>
        <v>0</v>
      </c>
      <c r="S3723" s="1">
        <f>IF(NOT(Paths!$C$344=1),0,IF(Paths!$P$344="Complete",IF(C3723=0,0,Paths!$S$344*Paths!$R$344),"n.a."))</f>
        <v>0</v>
      </c>
      <c r="T3723" s="1">
        <f>IF(NOT(Paths!$C$344=1),0,IF(Paths!$P$344="Complete",IF(C3723=0,0,VLOOKUP(A3723,'Fleet register'!$A$7:$S$106,9,FALSE)*Paths!$R$344),"n.a."))</f>
        <v>0</v>
      </c>
    </row>
    <row r="3724" spans="1:20" ht="24" customHeight="1">
      <c r="A3724" s="1" t="str">
        <f>Paths!$A$344</f>
        <v>T085</v>
      </c>
      <c r="B3724" s="1">
        <f>Paths!$B$344</f>
        <v>1</v>
      </c>
      <c r="C3724" s="1">
        <v>10</v>
      </c>
      <c r="D3724" s="1">
        <v>344</v>
      </c>
      <c r="E3724" s="1">
        <f>IF(OR(Paths!$C$344=0,C3724=0),0,MAX(0,MIN(C3724*12,Paths!$E$344)-(C3724-1)*12))</f>
        <v>0</v>
      </c>
      <c r="F3724" s="1">
        <f>IF(OR(Paths!$C$344=0,C3724=0),0,12-E3724)</f>
        <v>0</v>
      </c>
      <c r="G3724" s="16">
        <f>IF(NOT(Paths!$C$344=1),0,IF(Paths!$P$344="Complete",E3724/12*(Paths!$J$344*(1+'Operating costs'!$B$51)^MAX(0,C3724-1)+Paths!$K$344*(1+'Operating costs'!$B$53)^MAX(0,C3724-1)),"n.a."))</f>
        <v>0</v>
      </c>
      <c r="H3724" s="16">
        <f>IF(NOT(Paths!$C$344=1),0,IF(Paths!$P$344="Complete",F3724/12*(Paths!$L$344*(1+IF(Paths!$D$344="EV",'Operating costs'!$B$52,'Operating costs'!$B$51))^MAX(0,C3724-1)+Paths!$M$344*(1+'Operating costs'!$B$53)^MAX(0,C3724-1)),"n.a."))</f>
        <v>0</v>
      </c>
      <c r="I3724" s="16">
        <f>IF(NOT(Paths!$C$344=1),0,IF(Paths!$P$344="Complete",IF(IF(Paths!$E$344=0,C3724=0,AND(C3724&gt;0,Paths!$E$344&gt;(C3724-1)*12,Paths!$E$344&lt;=C3724*12)),Paths!$G$344,0),"n.a."))</f>
        <v>0</v>
      </c>
      <c r="J3724" s="16">
        <f>IF(NOT(Paths!$C$344=1),0,IF(Paths!$P$344="Complete",IF(IF(Paths!$E$344=0,C3724=0,AND(C3724&gt;0,Paths!$E$344&gt;(C3724-1)*12,Paths!$E$344&lt;=C3724*12)),Paths!$H$344,0),"n.a."))</f>
        <v>0</v>
      </c>
      <c r="K3724" s="16">
        <f>IF(NOT(Paths!$C$344=1),0,IF(Paths!$P$344="Complete",IF(IF(Paths!$O$344=0,C3724=0,AND(C3724&gt;0,Paths!$O$344&gt;(C3724-1)*12,Paths!$O$344&lt;=C3724*12)),Paths!$N$344,0),"n.a."))</f>
        <v>0</v>
      </c>
      <c r="L3724" s="16">
        <f>IF(NOT(Paths!$C$344=1),0,IF(Paths!$P$344="Complete",IF(C3724=10,Paths!$I$344,0),"n.a."))</f>
        <v>0</v>
      </c>
      <c r="M3724" s="16">
        <f>IF(NOT(Paths!$C$344=1),0,IF(Paths!$P$344="Complete",IF(AND(Paths!$D$344="EV",Paths!$E$344&lt;120,Paths!$E$344+'Operating costs'!$B$65&gt;Paths!$E$344,Paths!$E$344+'Operating costs'!$B$65&lt;=120,IF(Paths!$E$344+'Operating costs'!$B$65=0,C3724=0,AND(C3724&gt;0,Paths!$E$344+'Operating costs'!$B$65&gt;(C3724-1)*12,Paths!$E$344+'Operating costs'!$B$65&lt;=C3724*12))),'Operating costs'!$B$64,0)+IF(AND('Operating costs'!$B$67&gt;0,'Operating costs'!$B$67&lt;=120,OR(Paths!$D$344="ICE",'Operating costs'!$B$67&lt;=Paths!$E$344),IF('Operating costs'!$B$67=0,C3724=0,AND(C3724&gt;0,'Operating costs'!$B$67&gt;(C3724-1)*12,'Operating costs'!$B$67&lt;=C3724*12))),'Operating costs'!$B$66,0),"n.a."))</f>
        <v>0</v>
      </c>
      <c r="N3724" s="16">
        <f>IF(NOT(Paths!$C$344=1),0,IF(Paths!$P$344="Complete",SUM(G3724:I3724)-J3724-K3724-L3724+M3724+IF(C3724=0,Paths!$F$344,0)+IF(IF(Paths!$E$344=0,C3724=0,AND(C3724&gt;0,Paths!$E$344&gt;(C3724-1)*12,Paths!$E$344&lt;=C3724*12)),VLOOKUP(A3724,'Fleet register'!$A$7:$S$106,16,FALSE),0),"n.a."))</f>
        <v>0</v>
      </c>
      <c r="O3724" s="16">
        <f>IF(NOT(Paths!$C$344=1),0,IF(Paths!$P$344="Complete",N3724-IF(C3724=0,Paths!$F$344,0),"n.a."))</f>
        <v>0</v>
      </c>
      <c r="P3724" s="16">
        <f>IF(NOT(Paths!$C$344=1),0,IF(Paths!$P$344="Complete",O3724+L3724,"n.a."))</f>
        <v>0</v>
      </c>
      <c r="Q3724" s="16">
        <f>IF(NOT(Paths!$C$344=1),0,IF(Paths!$P$344="Complete",N3724*(1+'Operating costs'!$B$54)^-C3724,"n.a."))</f>
        <v>0</v>
      </c>
      <c r="R3724" s="16">
        <f>IF(NOT(Paths!$C$344=1),0,IF(Paths!$P$344="Complete",IF(AND(C3724=0,Paths!$E$344=0),I3724-J3724-K3724+VLOOKUP(A3724,'Fleet register'!$A$7:$S$106,15,FALSE)+VLOOKUP(A3724,'Fleet register'!$A$7:$S$106,16,FALSE),0),"n.a."))</f>
        <v>0</v>
      </c>
      <c r="S3724" s="1">
        <f>IF(NOT(Paths!$C$344=1),0,IF(Paths!$P$344="Complete",IF(C3724=0,0,Paths!$S$344*Paths!$R$344),"n.a."))</f>
        <v>0</v>
      </c>
      <c r="T3724" s="1">
        <f>IF(NOT(Paths!$C$344=1),0,IF(Paths!$P$344="Complete",IF(C3724=0,0,VLOOKUP(A3724,'Fleet register'!$A$7:$S$106,9,FALSE)*Paths!$R$344),"n.a."))</f>
        <v>0</v>
      </c>
    </row>
    <row r="3725" spans="1:20" ht="24" customHeight="1">
      <c r="A3725" s="1" t="str">
        <f>Paths!$A$345</f>
        <v>T085</v>
      </c>
      <c r="B3725" s="1">
        <f>Paths!$B$345</f>
        <v>2</v>
      </c>
      <c r="C3725" s="1">
        <v>0</v>
      </c>
      <c r="D3725" s="1">
        <v>345</v>
      </c>
      <c r="E3725" s="1">
        <f>IF(OR(Paths!$C$345=0,C3725=0),0,MAX(0,MIN(C3725*12,Paths!$E$345)-(C3725-1)*12))</f>
        <v>0</v>
      </c>
      <c r="F3725" s="1">
        <f>IF(OR(Paths!$C$345=0,C3725=0),0,12-E3725)</f>
        <v>0</v>
      </c>
      <c r="G3725" s="16">
        <f>IF(NOT(Paths!$C$345=1),0,IF(Paths!$P$345="Complete",E3725/12*(Paths!$J$345*(1+'Operating costs'!$B$51)^MAX(0,C3725-1)+Paths!$K$345*(1+'Operating costs'!$B$53)^MAX(0,C3725-1)),"n.a."))</f>
        <v>0</v>
      </c>
      <c r="H3725" s="16">
        <f>IF(NOT(Paths!$C$345=1),0,IF(Paths!$P$345="Complete",F3725/12*(Paths!$L$345*(1+IF(Paths!$D$345="EV",'Operating costs'!$B$52,'Operating costs'!$B$51))^MAX(0,C3725-1)+Paths!$M$345*(1+'Operating costs'!$B$53)^MAX(0,C3725-1)),"n.a."))</f>
        <v>0</v>
      </c>
      <c r="I3725" s="16">
        <f>IF(NOT(Paths!$C$345=1),0,IF(Paths!$P$345="Complete",IF(IF(Paths!$E$345=0,C3725=0,AND(C3725&gt;0,Paths!$E$345&gt;(C3725-1)*12,Paths!$E$345&lt;=C3725*12)),Paths!$G$345,0),"n.a."))</f>
        <v>0</v>
      </c>
      <c r="J3725" s="16">
        <f>IF(NOT(Paths!$C$345=1),0,IF(Paths!$P$345="Complete",IF(IF(Paths!$E$345=0,C3725=0,AND(C3725&gt;0,Paths!$E$345&gt;(C3725-1)*12,Paths!$E$345&lt;=C3725*12)),Paths!$H$345,0),"n.a."))</f>
        <v>0</v>
      </c>
      <c r="K3725" s="16">
        <f>IF(NOT(Paths!$C$345=1),0,IF(Paths!$P$345="Complete",IF(IF(Paths!$O$345=0,C3725=0,AND(C3725&gt;0,Paths!$O$345&gt;(C3725-1)*12,Paths!$O$345&lt;=C3725*12)),Paths!$N$345,0),"n.a."))</f>
        <v>0</v>
      </c>
      <c r="L3725" s="16">
        <f>IF(NOT(Paths!$C$345=1),0,IF(Paths!$P$345="Complete",IF(C3725=10,Paths!$I$345,0),"n.a."))</f>
        <v>0</v>
      </c>
      <c r="M3725" s="16">
        <f>IF(NOT(Paths!$C$345=1),0,IF(Paths!$P$345="Complete",IF(AND(Paths!$D$345="EV",Paths!$E$345&lt;120,Paths!$E$345+'Operating costs'!$B$65&gt;Paths!$E$345,Paths!$E$345+'Operating costs'!$B$65&lt;=120,IF(Paths!$E$345+'Operating costs'!$B$65=0,C3725=0,AND(C3725&gt;0,Paths!$E$345+'Operating costs'!$B$65&gt;(C3725-1)*12,Paths!$E$345+'Operating costs'!$B$65&lt;=C3725*12))),'Operating costs'!$B$64,0)+IF(AND('Operating costs'!$B$67&gt;0,'Operating costs'!$B$67&lt;=120,OR(Paths!$D$345="ICE",'Operating costs'!$B$67&lt;=Paths!$E$345),IF('Operating costs'!$B$67=0,C3725=0,AND(C3725&gt;0,'Operating costs'!$B$67&gt;(C3725-1)*12,'Operating costs'!$B$67&lt;=C3725*12))),'Operating costs'!$B$66,0),"n.a."))</f>
        <v>0</v>
      </c>
      <c r="N3725" s="16">
        <f>IF(NOT(Paths!$C$345=1),0,IF(Paths!$P$345="Complete",SUM(G3725:I3725)-J3725-K3725-L3725+M3725+IF(C3725=0,Paths!$F$345,0)+IF(IF(Paths!$E$345=0,C3725=0,AND(C3725&gt;0,Paths!$E$345&gt;(C3725-1)*12,Paths!$E$345&lt;=C3725*12)),VLOOKUP(A3725,'Fleet register'!$A$7:$S$106,16,FALSE),0),"n.a."))</f>
        <v>0</v>
      </c>
      <c r="O3725" s="16">
        <f>IF(NOT(Paths!$C$345=1),0,IF(Paths!$P$345="Complete",N3725-IF(C3725=0,Paths!$F$345,0),"n.a."))</f>
        <v>0</v>
      </c>
      <c r="P3725" s="16">
        <f>IF(NOT(Paths!$C$345=1),0,IF(Paths!$P$345="Complete",O3725+L3725,"n.a."))</f>
        <v>0</v>
      </c>
      <c r="Q3725" s="16">
        <f>IF(NOT(Paths!$C$345=1),0,IF(Paths!$P$345="Complete",N3725*(1+'Operating costs'!$B$54)^-C3725,"n.a."))</f>
        <v>0</v>
      </c>
      <c r="R3725" s="16">
        <f>IF(NOT(Paths!$C$345=1),0,IF(Paths!$P$345="Complete",IF(AND(C3725=0,Paths!$E$345=0),I3725-J3725-K3725+VLOOKUP(A3725,'Fleet register'!$A$7:$S$106,15,FALSE)+VLOOKUP(A3725,'Fleet register'!$A$7:$S$106,16,FALSE),0),"n.a."))</f>
        <v>0</v>
      </c>
      <c r="S3725" s="1">
        <f>IF(NOT(Paths!$C$345=1),0,IF(Paths!$P$345="Complete",IF(C3725=0,0,Paths!$S$345*Paths!$R$345),"n.a."))</f>
        <v>0</v>
      </c>
      <c r="T3725" s="1">
        <f>IF(NOT(Paths!$C$345=1),0,IF(Paths!$P$345="Complete",IF(C3725=0,0,VLOOKUP(A3725,'Fleet register'!$A$7:$S$106,9,FALSE)*Paths!$R$345),"n.a."))</f>
        <v>0</v>
      </c>
    </row>
    <row r="3726" spans="1:20" ht="24" customHeight="1">
      <c r="A3726" s="1" t="str">
        <f>Paths!$A$345</f>
        <v>T085</v>
      </c>
      <c r="B3726" s="1">
        <f>Paths!$B$345</f>
        <v>2</v>
      </c>
      <c r="C3726" s="1">
        <v>1</v>
      </c>
      <c r="D3726" s="1">
        <v>345</v>
      </c>
      <c r="E3726" s="1">
        <f>IF(OR(Paths!$C$345=0,C3726=0),0,MAX(0,MIN(C3726*12,Paths!$E$345)-(C3726-1)*12))</f>
        <v>0</v>
      </c>
      <c r="F3726" s="1">
        <f>IF(OR(Paths!$C$345=0,C3726=0),0,12-E3726)</f>
        <v>0</v>
      </c>
      <c r="G3726" s="16">
        <f>IF(NOT(Paths!$C$345=1),0,IF(Paths!$P$345="Complete",E3726/12*(Paths!$J$345*(1+'Operating costs'!$B$51)^MAX(0,C3726-1)+Paths!$K$345*(1+'Operating costs'!$B$53)^MAX(0,C3726-1)),"n.a."))</f>
        <v>0</v>
      </c>
      <c r="H3726" s="16">
        <f>IF(NOT(Paths!$C$345=1),0,IF(Paths!$P$345="Complete",F3726/12*(Paths!$L$345*(1+IF(Paths!$D$345="EV",'Operating costs'!$B$52,'Operating costs'!$B$51))^MAX(0,C3726-1)+Paths!$M$345*(1+'Operating costs'!$B$53)^MAX(0,C3726-1)),"n.a."))</f>
        <v>0</v>
      </c>
      <c r="I3726" s="16">
        <f>IF(NOT(Paths!$C$345=1),0,IF(Paths!$P$345="Complete",IF(IF(Paths!$E$345=0,C3726=0,AND(C3726&gt;0,Paths!$E$345&gt;(C3726-1)*12,Paths!$E$345&lt;=C3726*12)),Paths!$G$345,0),"n.a."))</f>
        <v>0</v>
      </c>
      <c r="J3726" s="16">
        <f>IF(NOT(Paths!$C$345=1),0,IF(Paths!$P$345="Complete",IF(IF(Paths!$E$345=0,C3726=0,AND(C3726&gt;0,Paths!$E$345&gt;(C3726-1)*12,Paths!$E$345&lt;=C3726*12)),Paths!$H$345,0),"n.a."))</f>
        <v>0</v>
      </c>
      <c r="K3726" s="16">
        <f>IF(NOT(Paths!$C$345=1),0,IF(Paths!$P$345="Complete",IF(IF(Paths!$O$345=0,C3726=0,AND(C3726&gt;0,Paths!$O$345&gt;(C3726-1)*12,Paths!$O$345&lt;=C3726*12)),Paths!$N$345,0),"n.a."))</f>
        <v>0</v>
      </c>
      <c r="L3726" s="16">
        <f>IF(NOT(Paths!$C$345=1),0,IF(Paths!$P$345="Complete",IF(C3726=10,Paths!$I$345,0),"n.a."))</f>
        <v>0</v>
      </c>
      <c r="M3726" s="16">
        <f>IF(NOT(Paths!$C$345=1),0,IF(Paths!$P$345="Complete",IF(AND(Paths!$D$345="EV",Paths!$E$345&lt;120,Paths!$E$345+'Operating costs'!$B$65&gt;Paths!$E$345,Paths!$E$345+'Operating costs'!$B$65&lt;=120,IF(Paths!$E$345+'Operating costs'!$B$65=0,C3726=0,AND(C3726&gt;0,Paths!$E$345+'Operating costs'!$B$65&gt;(C3726-1)*12,Paths!$E$345+'Operating costs'!$B$65&lt;=C3726*12))),'Operating costs'!$B$64,0)+IF(AND('Operating costs'!$B$67&gt;0,'Operating costs'!$B$67&lt;=120,OR(Paths!$D$345="ICE",'Operating costs'!$B$67&lt;=Paths!$E$345),IF('Operating costs'!$B$67=0,C3726=0,AND(C3726&gt;0,'Operating costs'!$B$67&gt;(C3726-1)*12,'Operating costs'!$B$67&lt;=C3726*12))),'Operating costs'!$B$66,0),"n.a."))</f>
        <v>0</v>
      </c>
      <c r="N3726" s="16">
        <f>IF(NOT(Paths!$C$345=1),0,IF(Paths!$P$345="Complete",SUM(G3726:I3726)-J3726-K3726-L3726+M3726+IF(C3726=0,Paths!$F$345,0)+IF(IF(Paths!$E$345=0,C3726=0,AND(C3726&gt;0,Paths!$E$345&gt;(C3726-1)*12,Paths!$E$345&lt;=C3726*12)),VLOOKUP(A3726,'Fleet register'!$A$7:$S$106,16,FALSE),0),"n.a."))</f>
        <v>0</v>
      </c>
      <c r="O3726" s="16">
        <f>IF(NOT(Paths!$C$345=1),0,IF(Paths!$P$345="Complete",N3726-IF(C3726=0,Paths!$F$345,0),"n.a."))</f>
        <v>0</v>
      </c>
      <c r="P3726" s="16">
        <f>IF(NOT(Paths!$C$345=1),0,IF(Paths!$P$345="Complete",O3726+L3726,"n.a."))</f>
        <v>0</v>
      </c>
      <c r="Q3726" s="16">
        <f>IF(NOT(Paths!$C$345=1),0,IF(Paths!$P$345="Complete",N3726*(1+'Operating costs'!$B$54)^-C3726,"n.a."))</f>
        <v>0</v>
      </c>
      <c r="R3726" s="16">
        <f>IF(NOT(Paths!$C$345=1),0,IF(Paths!$P$345="Complete",IF(AND(C3726=0,Paths!$E$345=0),I3726-J3726-K3726+VLOOKUP(A3726,'Fleet register'!$A$7:$S$106,15,FALSE)+VLOOKUP(A3726,'Fleet register'!$A$7:$S$106,16,FALSE),0),"n.a."))</f>
        <v>0</v>
      </c>
      <c r="S3726" s="1">
        <f>IF(NOT(Paths!$C$345=1),0,IF(Paths!$P$345="Complete",IF(C3726=0,0,Paths!$S$345*Paths!$R$345),"n.a."))</f>
        <v>0</v>
      </c>
      <c r="T3726" s="1">
        <f>IF(NOT(Paths!$C$345=1),0,IF(Paths!$P$345="Complete",IF(C3726=0,0,VLOOKUP(A3726,'Fleet register'!$A$7:$S$106,9,FALSE)*Paths!$R$345),"n.a."))</f>
        <v>0</v>
      </c>
    </row>
    <row r="3727" spans="1:20" ht="24" customHeight="1">
      <c r="A3727" s="1" t="str">
        <f>Paths!$A$345</f>
        <v>T085</v>
      </c>
      <c r="B3727" s="1">
        <f>Paths!$B$345</f>
        <v>2</v>
      </c>
      <c r="C3727" s="1">
        <v>2</v>
      </c>
      <c r="D3727" s="1">
        <v>345</v>
      </c>
      <c r="E3727" s="1">
        <f>IF(OR(Paths!$C$345=0,C3727=0),0,MAX(0,MIN(C3727*12,Paths!$E$345)-(C3727-1)*12))</f>
        <v>0</v>
      </c>
      <c r="F3727" s="1">
        <f>IF(OR(Paths!$C$345=0,C3727=0),0,12-E3727)</f>
        <v>0</v>
      </c>
      <c r="G3727" s="16">
        <f>IF(NOT(Paths!$C$345=1),0,IF(Paths!$P$345="Complete",E3727/12*(Paths!$J$345*(1+'Operating costs'!$B$51)^MAX(0,C3727-1)+Paths!$K$345*(1+'Operating costs'!$B$53)^MAX(0,C3727-1)),"n.a."))</f>
        <v>0</v>
      </c>
      <c r="H3727" s="16">
        <f>IF(NOT(Paths!$C$345=1),0,IF(Paths!$P$345="Complete",F3727/12*(Paths!$L$345*(1+IF(Paths!$D$345="EV",'Operating costs'!$B$52,'Operating costs'!$B$51))^MAX(0,C3727-1)+Paths!$M$345*(1+'Operating costs'!$B$53)^MAX(0,C3727-1)),"n.a."))</f>
        <v>0</v>
      </c>
      <c r="I3727" s="16">
        <f>IF(NOT(Paths!$C$345=1),0,IF(Paths!$P$345="Complete",IF(IF(Paths!$E$345=0,C3727=0,AND(C3727&gt;0,Paths!$E$345&gt;(C3727-1)*12,Paths!$E$345&lt;=C3727*12)),Paths!$G$345,0),"n.a."))</f>
        <v>0</v>
      </c>
      <c r="J3727" s="16">
        <f>IF(NOT(Paths!$C$345=1),0,IF(Paths!$P$345="Complete",IF(IF(Paths!$E$345=0,C3727=0,AND(C3727&gt;0,Paths!$E$345&gt;(C3727-1)*12,Paths!$E$345&lt;=C3727*12)),Paths!$H$345,0),"n.a."))</f>
        <v>0</v>
      </c>
      <c r="K3727" s="16">
        <f>IF(NOT(Paths!$C$345=1),0,IF(Paths!$P$345="Complete",IF(IF(Paths!$O$345=0,C3727=0,AND(C3727&gt;0,Paths!$O$345&gt;(C3727-1)*12,Paths!$O$345&lt;=C3727*12)),Paths!$N$345,0),"n.a."))</f>
        <v>0</v>
      </c>
      <c r="L3727" s="16">
        <f>IF(NOT(Paths!$C$345=1),0,IF(Paths!$P$345="Complete",IF(C3727=10,Paths!$I$345,0),"n.a."))</f>
        <v>0</v>
      </c>
      <c r="M3727" s="16">
        <f>IF(NOT(Paths!$C$345=1),0,IF(Paths!$P$345="Complete",IF(AND(Paths!$D$345="EV",Paths!$E$345&lt;120,Paths!$E$345+'Operating costs'!$B$65&gt;Paths!$E$345,Paths!$E$345+'Operating costs'!$B$65&lt;=120,IF(Paths!$E$345+'Operating costs'!$B$65=0,C3727=0,AND(C3727&gt;0,Paths!$E$345+'Operating costs'!$B$65&gt;(C3727-1)*12,Paths!$E$345+'Operating costs'!$B$65&lt;=C3727*12))),'Operating costs'!$B$64,0)+IF(AND('Operating costs'!$B$67&gt;0,'Operating costs'!$B$67&lt;=120,OR(Paths!$D$345="ICE",'Operating costs'!$B$67&lt;=Paths!$E$345),IF('Operating costs'!$B$67=0,C3727=0,AND(C3727&gt;0,'Operating costs'!$B$67&gt;(C3727-1)*12,'Operating costs'!$B$67&lt;=C3727*12))),'Operating costs'!$B$66,0),"n.a."))</f>
        <v>0</v>
      </c>
      <c r="N3727" s="16">
        <f>IF(NOT(Paths!$C$345=1),0,IF(Paths!$P$345="Complete",SUM(G3727:I3727)-J3727-K3727-L3727+M3727+IF(C3727=0,Paths!$F$345,0)+IF(IF(Paths!$E$345=0,C3727=0,AND(C3727&gt;0,Paths!$E$345&gt;(C3727-1)*12,Paths!$E$345&lt;=C3727*12)),VLOOKUP(A3727,'Fleet register'!$A$7:$S$106,16,FALSE),0),"n.a."))</f>
        <v>0</v>
      </c>
      <c r="O3727" s="16">
        <f>IF(NOT(Paths!$C$345=1),0,IF(Paths!$P$345="Complete",N3727-IF(C3727=0,Paths!$F$345,0),"n.a."))</f>
        <v>0</v>
      </c>
      <c r="P3727" s="16">
        <f>IF(NOT(Paths!$C$345=1),0,IF(Paths!$P$345="Complete",O3727+L3727,"n.a."))</f>
        <v>0</v>
      </c>
      <c r="Q3727" s="16">
        <f>IF(NOT(Paths!$C$345=1),0,IF(Paths!$P$345="Complete",N3727*(1+'Operating costs'!$B$54)^-C3727,"n.a."))</f>
        <v>0</v>
      </c>
      <c r="R3727" s="16">
        <f>IF(NOT(Paths!$C$345=1),0,IF(Paths!$P$345="Complete",IF(AND(C3727=0,Paths!$E$345=0),I3727-J3727-K3727+VLOOKUP(A3727,'Fleet register'!$A$7:$S$106,15,FALSE)+VLOOKUP(A3727,'Fleet register'!$A$7:$S$106,16,FALSE),0),"n.a."))</f>
        <v>0</v>
      </c>
      <c r="S3727" s="1">
        <f>IF(NOT(Paths!$C$345=1),0,IF(Paths!$P$345="Complete",IF(C3727=0,0,Paths!$S$345*Paths!$R$345),"n.a."))</f>
        <v>0</v>
      </c>
      <c r="T3727" s="1">
        <f>IF(NOT(Paths!$C$345=1),0,IF(Paths!$P$345="Complete",IF(C3727=0,0,VLOOKUP(A3727,'Fleet register'!$A$7:$S$106,9,FALSE)*Paths!$R$345),"n.a."))</f>
        <v>0</v>
      </c>
    </row>
    <row r="3728" spans="1:20" ht="24" customHeight="1">
      <c r="A3728" s="1" t="str">
        <f>Paths!$A$345</f>
        <v>T085</v>
      </c>
      <c r="B3728" s="1">
        <f>Paths!$B$345</f>
        <v>2</v>
      </c>
      <c r="C3728" s="1">
        <v>3</v>
      </c>
      <c r="D3728" s="1">
        <v>345</v>
      </c>
      <c r="E3728" s="1">
        <f>IF(OR(Paths!$C$345=0,C3728=0),0,MAX(0,MIN(C3728*12,Paths!$E$345)-(C3728-1)*12))</f>
        <v>0</v>
      </c>
      <c r="F3728" s="1">
        <f>IF(OR(Paths!$C$345=0,C3728=0),0,12-E3728)</f>
        <v>0</v>
      </c>
      <c r="G3728" s="16">
        <f>IF(NOT(Paths!$C$345=1),0,IF(Paths!$P$345="Complete",E3728/12*(Paths!$J$345*(1+'Operating costs'!$B$51)^MAX(0,C3728-1)+Paths!$K$345*(1+'Operating costs'!$B$53)^MAX(0,C3728-1)),"n.a."))</f>
        <v>0</v>
      </c>
      <c r="H3728" s="16">
        <f>IF(NOT(Paths!$C$345=1),0,IF(Paths!$P$345="Complete",F3728/12*(Paths!$L$345*(1+IF(Paths!$D$345="EV",'Operating costs'!$B$52,'Operating costs'!$B$51))^MAX(0,C3728-1)+Paths!$M$345*(1+'Operating costs'!$B$53)^MAX(0,C3728-1)),"n.a."))</f>
        <v>0</v>
      </c>
      <c r="I3728" s="16">
        <f>IF(NOT(Paths!$C$345=1),0,IF(Paths!$P$345="Complete",IF(IF(Paths!$E$345=0,C3728=0,AND(C3728&gt;0,Paths!$E$345&gt;(C3728-1)*12,Paths!$E$345&lt;=C3728*12)),Paths!$G$345,0),"n.a."))</f>
        <v>0</v>
      </c>
      <c r="J3728" s="16">
        <f>IF(NOT(Paths!$C$345=1),0,IF(Paths!$P$345="Complete",IF(IF(Paths!$E$345=0,C3728=0,AND(C3728&gt;0,Paths!$E$345&gt;(C3728-1)*12,Paths!$E$345&lt;=C3728*12)),Paths!$H$345,0),"n.a."))</f>
        <v>0</v>
      </c>
      <c r="K3728" s="16">
        <f>IF(NOT(Paths!$C$345=1),0,IF(Paths!$P$345="Complete",IF(IF(Paths!$O$345=0,C3728=0,AND(C3728&gt;0,Paths!$O$345&gt;(C3728-1)*12,Paths!$O$345&lt;=C3728*12)),Paths!$N$345,0),"n.a."))</f>
        <v>0</v>
      </c>
      <c r="L3728" s="16">
        <f>IF(NOT(Paths!$C$345=1),0,IF(Paths!$P$345="Complete",IF(C3728=10,Paths!$I$345,0),"n.a."))</f>
        <v>0</v>
      </c>
      <c r="M3728" s="16">
        <f>IF(NOT(Paths!$C$345=1),0,IF(Paths!$P$345="Complete",IF(AND(Paths!$D$345="EV",Paths!$E$345&lt;120,Paths!$E$345+'Operating costs'!$B$65&gt;Paths!$E$345,Paths!$E$345+'Operating costs'!$B$65&lt;=120,IF(Paths!$E$345+'Operating costs'!$B$65=0,C3728=0,AND(C3728&gt;0,Paths!$E$345+'Operating costs'!$B$65&gt;(C3728-1)*12,Paths!$E$345+'Operating costs'!$B$65&lt;=C3728*12))),'Operating costs'!$B$64,0)+IF(AND('Operating costs'!$B$67&gt;0,'Operating costs'!$B$67&lt;=120,OR(Paths!$D$345="ICE",'Operating costs'!$B$67&lt;=Paths!$E$345),IF('Operating costs'!$B$67=0,C3728=0,AND(C3728&gt;0,'Operating costs'!$B$67&gt;(C3728-1)*12,'Operating costs'!$B$67&lt;=C3728*12))),'Operating costs'!$B$66,0),"n.a."))</f>
        <v>0</v>
      </c>
      <c r="N3728" s="16">
        <f>IF(NOT(Paths!$C$345=1),0,IF(Paths!$P$345="Complete",SUM(G3728:I3728)-J3728-K3728-L3728+M3728+IF(C3728=0,Paths!$F$345,0)+IF(IF(Paths!$E$345=0,C3728=0,AND(C3728&gt;0,Paths!$E$345&gt;(C3728-1)*12,Paths!$E$345&lt;=C3728*12)),VLOOKUP(A3728,'Fleet register'!$A$7:$S$106,16,FALSE),0),"n.a."))</f>
        <v>0</v>
      </c>
      <c r="O3728" s="16">
        <f>IF(NOT(Paths!$C$345=1),0,IF(Paths!$P$345="Complete",N3728-IF(C3728=0,Paths!$F$345,0),"n.a."))</f>
        <v>0</v>
      </c>
      <c r="P3728" s="16">
        <f>IF(NOT(Paths!$C$345=1),0,IF(Paths!$P$345="Complete",O3728+L3728,"n.a."))</f>
        <v>0</v>
      </c>
      <c r="Q3728" s="16">
        <f>IF(NOT(Paths!$C$345=1),0,IF(Paths!$P$345="Complete",N3728*(1+'Operating costs'!$B$54)^-C3728,"n.a."))</f>
        <v>0</v>
      </c>
      <c r="R3728" s="16">
        <f>IF(NOT(Paths!$C$345=1),0,IF(Paths!$P$345="Complete",IF(AND(C3728=0,Paths!$E$345=0),I3728-J3728-K3728+VLOOKUP(A3728,'Fleet register'!$A$7:$S$106,15,FALSE)+VLOOKUP(A3728,'Fleet register'!$A$7:$S$106,16,FALSE),0),"n.a."))</f>
        <v>0</v>
      </c>
      <c r="S3728" s="1">
        <f>IF(NOT(Paths!$C$345=1),0,IF(Paths!$P$345="Complete",IF(C3728=0,0,Paths!$S$345*Paths!$R$345),"n.a."))</f>
        <v>0</v>
      </c>
      <c r="T3728" s="1">
        <f>IF(NOT(Paths!$C$345=1),0,IF(Paths!$P$345="Complete",IF(C3728=0,0,VLOOKUP(A3728,'Fleet register'!$A$7:$S$106,9,FALSE)*Paths!$R$345),"n.a."))</f>
        <v>0</v>
      </c>
    </row>
    <row r="3729" spans="1:20" ht="24" customHeight="1">
      <c r="A3729" s="1" t="str">
        <f>Paths!$A$345</f>
        <v>T085</v>
      </c>
      <c r="B3729" s="1">
        <f>Paths!$B$345</f>
        <v>2</v>
      </c>
      <c r="C3729" s="1">
        <v>4</v>
      </c>
      <c r="D3729" s="1">
        <v>345</v>
      </c>
      <c r="E3729" s="1">
        <f>IF(OR(Paths!$C$345=0,C3729=0),0,MAX(0,MIN(C3729*12,Paths!$E$345)-(C3729-1)*12))</f>
        <v>0</v>
      </c>
      <c r="F3729" s="1">
        <f>IF(OR(Paths!$C$345=0,C3729=0),0,12-E3729)</f>
        <v>0</v>
      </c>
      <c r="G3729" s="16">
        <f>IF(NOT(Paths!$C$345=1),0,IF(Paths!$P$345="Complete",E3729/12*(Paths!$J$345*(1+'Operating costs'!$B$51)^MAX(0,C3729-1)+Paths!$K$345*(1+'Operating costs'!$B$53)^MAX(0,C3729-1)),"n.a."))</f>
        <v>0</v>
      </c>
      <c r="H3729" s="16">
        <f>IF(NOT(Paths!$C$345=1),0,IF(Paths!$P$345="Complete",F3729/12*(Paths!$L$345*(1+IF(Paths!$D$345="EV",'Operating costs'!$B$52,'Operating costs'!$B$51))^MAX(0,C3729-1)+Paths!$M$345*(1+'Operating costs'!$B$53)^MAX(0,C3729-1)),"n.a."))</f>
        <v>0</v>
      </c>
      <c r="I3729" s="16">
        <f>IF(NOT(Paths!$C$345=1),0,IF(Paths!$P$345="Complete",IF(IF(Paths!$E$345=0,C3729=0,AND(C3729&gt;0,Paths!$E$345&gt;(C3729-1)*12,Paths!$E$345&lt;=C3729*12)),Paths!$G$345,0),"n.a."))</f>
        <v>0</v>
      </c>
      <c r="J3729" s="16">
        <f>IF(NOT(Paths!$C$345=1),0,IF(Paths!$P$345="Complete",IF(IF(Paths!$E$345=0,C3729=0,AND(C3729&gt;0,Paths!$E$345&gt;(C3729-1)*12,Paths!$E$345&lt;=C3729*12)),Paths!$H$345,0),"n.a."))</f>
        <v>0</v>
      </c>
      <c r="K3729" s="16">
        <f>IF(NOT(Paths!$C$345=1),0,IF(Paths!$P$345="Complete",IF(IF(Paths!$O$345=0,C3729=0,AND(C3729&gt;0,Paths!$O$345&gt;(C3729-1)*12,Paths!$O$345&lt;=C3729*12)),Paths!$N$345,0),"n.a."))</f>
        <v>0</v>
      </c>
      <c r="L3729" s="16">
        <f>IF(NOT(Paths!$C$345=1),0,IF(Paths!$P$345="Complete",IF(C3729=10,Paths!$I$345,0),"n.a."))</f>
        <v>0</v>
      </c>
      <c r="M3729" s="16">
        <f>IF(NOT(Paths!$C$345=1),0,IF(Paths!$P$345="Complete",IF(AND(Paths!$D$345="EV",Paths!$E$345&lt;120,Paths!$E$345+'Operating costs'!$B$65&gt;Paths!$E$345,Paths!$E$345+'Operating costs'!$B$65&lt;=120,IF(Paths!$E$345+'Operating costs'!$B$65=0,C3729=0,AND(C3729&gt;0,Paths!$E$345+'Operating costs'!$B$65&gt;(C3729-1)*12,Paths!$E$345+'Operating costs'!$B$65&lt;=C3729*12))),'Operating costs'!$B$64,0)+IF(AND('Operating costs'!$B$67&gt;0,'Operating costs'!$B$67&lt;=120,OR(Paths!$D$345="ICE",'Operating costs'!$B$67&lt;=Paths!$E$345),IF('Operating costs'!$B$67=0,C3729=0,AND(C3729&gt;0,'Operating costs'!$B$67&gt;(C3729-1)*12,'Operating costs'!$B$67&lt;=C3729*12))),'Operating costs'!$B$66,0),"n.a."))</f>
        <v>0</v>
      </c>
      <c r="N3729" s="16">
        <f>IF(NOT(Paths!$C$345=1),0,IF(Paths!$P$345="Complete",SUM(G3729:I3729)-J3729-K3729-L3729+M3729+IF(C3729=0,Paths!$F$345,0)+IF(IF(Paths!$E$345=0,C3729=0,AND(C3729&gt;0,Paths!$E$345&gt;(C3729-1)*12,Paths!$E$345&lt;=C3729*12)),VLOOKUP(A3729,'Fleet register'!$A$7:$S$106,16,FALSE),0),"n.a."))</f>
        <v>0</v>
      </c>
      <c r="O3729" s="16">
        <f>IF(NOT(Paths!$C$345=1),0,IF(Paths!$P$345="Complete",N3729-IF(C3729=0,Paths!$F$345,0),"n.a."))</f>
        <v>0</v>
      </c>
      <c r="P3729" s="16">
        <f>IF(NOT(Paths!$C$345=1),0,IF(Paths!$P$345="Complete",O3729+L3729,"n.a."))</f>
        <v>0</v>
      </c>
      <c r="Q3729" s="16">
        <f>IF(NOT(Paths!$C$345=1),0,IF(Paths!$P$345="Complete",N3729*(1+'Operating costs'!$B$54)^-C3729,"n.a."))</f>
        <v>0</v>
      </c>
      <c r="R3729" s="16">
        <f>IF(NOT(Paths!$C$345=1),0,IF(Paths!$P$345="Complete",IF(AND(C3729=0,Paths!$E$345=0),I3729-J3729-K3729+VLOOKUP(A3729,'Fleet register'!$A$7:$S$106,15,FALSE)+VLOOKUP(A3729,'Fleet register'!$A$7:$S$106,16,FALSE),0),"n.a."))</f>
        <v>0</v>
      </c>
      <c r="S3729" s="1">
        <f>IF(NOT(Paths!$C$345=1),0,IF(Paths!$P$345="Complete",IF(C3729=0,0,Paths!$S$345*Paths!$R$345),"n.a."))</f>
        <v>0</v>
      </c>
      <c r="T3729" s="1">
        <f>IF(NOT(Paths!$C$345=1),0,IF(Paths!$P$345="Complete",IF(C3729=0,0,VLOOKUP(A3729,'Fleet register'!$A$7:$S$106,9,FALSE)*Paths!$R$345),"n.a."))</f>
        <v>0</v>
      </c>
    </row>
    <row r="3730" spans="1:20" ht="24" customHeight="1">
      <c r="A3730" s="1" t="str">
        <f>Paths!$A$345</f>
        <v>T085</v>
      </c>
      <c r="B3730" s="1">
        <f>Paths!$B$345</f>
        <v>2</v>
      </c>
      <c r="C3730" s="1">
        <v>5</v>
      </c>
      <c r="D3730" s="1">
        <v>345</v>
      </c>
      <c r="E3730" s="1">
        <f>IF(OR(Paths!$C$345=0,C3730=0),0,MAX(0,MIN(C3730*12,Paths!$E$345)-(C3730-1)*12))</f>
        <v>0</v>
      </c>
      <c r="F3730" s="1">
        <f>IF(OR(Paths!$C$345=0,C3730=0),0,12-E3730)</f>
        <v>0</v>
      </c>
      <c r="G3730" s="16">
        <f>IF(NOT(Paths!$C$345=1),0,IF(Paths!$P$345="Complete",E3730/12*(Paths!$J$345*(1+'Operating costs'!$B$51)^MAX(0,C3730-1)+Paths!$K$345*(1+'Operating costs'!$B$53)^MAX(0,C3730-1)),"n.a."))</f>
        <v>0</v>
      </c>
      <c r="H3730" s="16">
        <f>IF(NOT(Paths!$C$345=1),0,IF(Paths!$P$345="Complete",F3730/12*(Paths!$L$345*(1+IF(Paths!$D$345="EV",'Operating costs'!$B$52,'Operating costs'!$B$51))^MAX(0,C3730-1)+Paths!$M$345*(1+'Operating costs'!$B$53)^MAX(0,C3730-1)),"n.a."))</f>
        <v>0</v>
      </c>
      <c r="I3730" s="16">
        <f>IF(NOT(Paths!$C$345=1),0,IF(Paths!$P$345="Complete",IF(IF(Paths!$E$345=0,C3730=0,AND(C3730&gt;0,Paths!$E$345&gt;(C3730-1)*12,Paths!$E$345&lt;=C3730*12)),Paths!$G$345,0),"n.a."))</f>
        <v>0</v>
      </c>
      <c r="J3730" s="16">
        <f>IF(NOT(Paths!$C$345=1),0,IF(Paths!$P$345="Complete",IF(IF(Paths!$E$345=0,C3730=0,AND(C3730&gt;0,Paths!$E$345&gt;(C3730-1)*12,Paths!$E$345&lt;=C3730*12)),Paths!$H$345,0),"n.a."))</f>
        <v>0</v>
      </c>
      <c r="K3730" s="16">
        <f>IF(NOT(Paths!$C$345=1),0,IF(Paths!$P$345="Complete",IF(IF(Paths!$O$345=0,C3730=0,AND(C3730&gt;0,Paths!$O$345&gt;(C3730-1)*12,Paths!$O$345&lt;=C3730*12)),Paths!$N$345,0),"n.a."))</f>
        <v>0</v>
      </c>
      <c r="L3730" s="16">
        <f>IF(NOT(Paths!$C$345=1),0,IF(Paths!$P$345="Complete",IF(C3730=10,Paths!$I$345,0),"n.a."))</f>
        <v>0</v>
      </c>
      <c r="M3730" s="16">
        <f>IF(NOT(Paths!$C$345=1),0,IF(Paths!$P$345="Complete",IF(AND(Paths!$D$345="EV",Paths!$E$345&lt;120,Paths!$E$345+'Operating costs'!$B$65&gt;Paths!$E$345,Paths!$E$345+'Operating costs'!$B$65&lt;=120,IF(Paths!$E$345+'Operating costs'!$B$65=0,C3730=0,AND(C3730&gt;0,Paths!$E$345+'Operating costs'!$B$65&gt;(C3730-1)*12,Paths!$E$345+'Operating costs'!$B$65&lt;=C3730*12))),'Operating costs'!$B$64,0)+IF(AND('Operating costs'!$B$67&gt;0,'Operating costs'!$B$67&lt;=120,OR(Paths!$D$345="ICE",'Operating costs'!$B$67&lt;=Paths!$E$345),IF('Operating costs'!$B$67=0,C3730=0,AND(C3730&gt;0,'Operating costs'!$B$67&gt;(C3730-1)*12,'Operating costs'!$B$67&lt;=C3730*12))),'Operating costs'!$B$66,0),"n.a."))</f>
        <v>0</v>
      </c>
      <c r="N3730" s="16">
        <f>IF(NOT(Paths!$C$345=1),0,IF(Paths!$P$345="Complete",SUM(G3730:I3730)-J3730-K3730-L3730+M3730+IF(C3730=0,Paths!$F$345,0)+IF(IF(Paths!$E$345=0,C3730=0,AND(C3730&gt;0,Paths!$E$345&gt;(C3730-1)*12,Paths!$E$345&lt;=C3730*12)),VLOOKUP(A3730,'Fleet register'!$A$7:$S$106,16,FALSE),0),"n.a."))</f>
        <v>0</v>
      </c>
      <c r="O3730" s="16">
        <f>IF(NOT(Paths!$C$345=1),0,IF(Paths!$P$345="Complete",N3730-IF(C3730=0,Paths!$F$345,0),"n.a."))</f>
        <v>0</v>
      </c>
      <c r="P3730" s="16">
        <f>IF(NOT(Paths!$C$345=1),0,IF(Paths!$P$345="Complete",O3730+L3730,"n.a."))</f>
        <v>0</v>
      </c>
      <c r="Q3730" s="16">
        <f>IF(NOT(Paths!$C$345=1),0,IF(Paths!$P$345="Complete",N3730*(1+'Operating costs'!$B$54)^-C3730,"n.a."))</f>
        <v>0</v>
      </c>
      <c r="R3730" s="16">
        <f>IF(NOT(Paths!$C$345=1),0,IF(Paths!$P$345="Complete",IF(AND(C3730=0,Paths!$E$345=0),I3730-J3730-K3730+VLOOKUP(A3730,'Fleet register'!$A$7:$S$106,15,FALSE)+VLOOKUP(A3730,'Fleet register'!$A$7:$S$106,16,FALSE),0),"n.a."))</f>
        <v>0</v>
      </c>
      <c r="S3730" s="1">
        <f>IF(NOT(Paths!$C$345=1),0,IF(Paths!$P$345="Complete",IF(C3730=0,0,Paths!$S$345*Paths!$R$345),"n.a."))</f>
        <v>0</v>
      </c>
      <c r="T3730" s="1">
        <f>IF(NOT(Paths!$C$345=1),0,IF(Paths!$P$345="Complete",IF(C3730=0,0,VLOOKUP(A3730,'Fleet register'!$A$7:$S$106,9,FALSE)*Paths!$R$345),"n.a."))</f>
        <v>0</v>
      </c>
    </row>
    <row r="3731" spans="1:20" ht="24" customHeight="1">
      <c r="A3731" s="1" t="str">
        <f>Paths!$A$345</f>
        <v>T085</v>
      </c>
      <c r="B3731" s="1">
        <f>Paths!$B$345</f>
        <v>2</v>
      </c>
      <c r="C3731" s="1">
        <v>6</v>
      </c>
      <c r="D3731" s="1">
        <v>345</v>
      </c>
      <c r="E3731" s="1">
        <f>IF(OR(Paths!$C$345=0,C3731=0),0,MAX(0,MIN(C3731*12,Paths!$E$345)-(C3731-1)*12))</f>
        <v>0</v>
      </c>
      <c r="F3731" s="1">
        <f>IF(OR(Paths!$C$345=0,C3731=0),0,12-E3731)</f>
        <v>0</v>
      </c>
      <c r="G3731" s="16">
        <f>IF(NOT(Paths!$C$345=1),0,IF(Paths!$P$345="Complete",E3731/12*(Paths!$J$345*(1+'Operating costs'!$B$51)^MAX(0,C3731-1)+Paths!$K$345*(1+'Operating costs'!$B$53)^MAX(0,C3731-1)),"n.a."))</f>
        <v>0</v>
      </c>
      <c r="H3731" s="16">
        <f>IF(NOT(Paths!$C$345=1),0,IF(Paths!$P$345="Complete",F3731/12*(Paths!$L$345*(1+IF(Paths!$D$345="EV",'Operating costs'!$B$52,'Operating costs'!$B$51))^MAX(0,C3731-1)+Paths!$M$345*(1+'Operating costs'!$B$53)^MAX(0,C3731-1)),"n.a."))</f>
        <v>0</v>
      </c>
      <c r="I3731" s="16">
        <f>IF(NOT(Paths!$C$345=1),0,IF(Paths!$P$345="Complete",IF(IF(Paths!$E$345=0,C3731=0,AND(C3731&gt;0,Paths!$E$345&gt;(C3731-1)*12,Paths!$E$345&lt;=C3731*12)),Paths!$G$345,0),"n.a."))</f>
        <v>0</v>
      </c>
      <c r="J3731" s="16">
        <f>IF(NOT(Paths!$C$345=1),0,IF(Paths!$P$345="Complete",IF(IF(Paths!$E$345=0,C3731=0,AND(C3731&gt;0,Paths!$E$345&gt;(C3731-1)*12,Paths!$E$345&lt;=C3731*12)),Paths!$H$345,0),"n.a."))</f>
        <v>0</v>
      </c>
      <c r="K3731" s="16">
        <f>IF(NOT(Paths!$C$345=1),0,IF(Paths!$P$345="Complete",IF(IF(Paths!$O$345=0,C3731=0,AND(C3731&gt;0,Paths!$O$345&gt;(C3731-1)*12,Paths!$O$345&lt;=C3731*12)),Paths!$N$345,0),"n.a."))</f>
        <v>0</v>
      </c>
      <c r="L3731" s="16">
        <f>IF(NOT(Paths!$C$345=1),0,IF(Paths!$P$345="Complete",IF(C3731=10,Paths!$I$345,0),"n.a."))</f>
        <v>0</v>
      </c>
      <c r="M3731" s="16">
        <f>IF(NOT(Paths!$C$345=1),0,IF(Paths!$P$345="Complete",IF(AND(Paths!$D$345="EV",Paths!$E$345&lt;120,Paths!$E$345+'Operating costs'!$B$65&gt;Paths!$E$345,Paths!$E$345+'Operating costs'!$B$65&lt;=120,IF(Paths!$E$345+'Operating costs'!$B$65=0,C3731=0,AND(C3731&gt;0,Paths!$E$345+'Operating costs'!$B$65&gt;(C3731-1)*12,Paths!$E$345+'Operating costs'!$B$65&lt;=C3731*12))),'Operating costs'!$B$64,0)+IF(AND('Operating costs'!$B$67&gt;0,'Operating costs'!$B$67&lt;=120,OR(Paths!$D$345="ICE",'Operating costs'!$B$67&lt;=Paths!$E$345),IF('Operating costs'!$B$67=0,C3731=0,AND(C3731&gt;0,'Operating costs'!$B$67&gt;(C3731-1)*12,'Operating costs'!$B$67&lt;=C3731*12))),'Operating costs'!$B$66,0),"n.a."))</f>
        <v>0</v>
      </c>
      <c r="N3731" s="16">
        <f>IF(NOT(Paths!$C$345=1),0,IF(Paths!$P$345="Complete",SUM(G3731:I3731)-J3731-K3731-L3731+M3731+IF(C3731=0,Paths!$F$345,0)+IF(IF(Paths!$E$345=0,C3731=0,AND(C3731&gt;0,Paths!$E$345&gt;(C3731-1)*12,Paths!$E$345&lt;=C3731*12)),VLOOKUP(A3731,'Fleet register'!$A$7:$S$106,16,FALSE),0),"n.a."))</f>
        <v>0</v>
      </c>
      <c r="O3731" s="16">
        <f>IF(NOT(Paths!$C$345=1),0,IF(Paths!$P$345="Complete",N3731-IF(C3731=0,Paths!$F$345,0),"n.a."))</f>
        <v>0</v>
      </c>
      <c r="P3731" s="16">
        <f>IF(NOT(Paths!$C$345=1),0,IF(Paths!$P$345="Complete",O3731+L3731,"n.a."))</f>
        <v>0</v>
      </c>
      <c r="Q3731" s="16">
        <f>IF(NOT(Paths!$C$345=1),0,IF(Paths!$P$345="Complete",N3731*(1+'Operating costs'!$B$54)^-C3731,"n.a."))</f>
        <v>0</v>
      </c>
      <c r="R3731" s="16">
        <f>IF(NOT(Paths!$C$345=1),0,IF(Paths!$P$345="Complete",IF(AND(C3731=0,Paths!$E$345=0),I3731-J3731-K3731+VLOOKUP(A3731,'Fleet register'!$A$7:$S$106,15,FALSE)+VLOOKUP(A3731,'Fleet register'!$A$7:$S$106,16,FALSE),0),"n.a."))</f>
        <v>0</v>
      </c>
      <c r="S3731" s="1">
        <f>IF(NOT(Paths!$C$345=1),0,IF(Paths!$P$345="Complete",IF(C3731=0,0,Paths!$S$345*Paths!$R$345),"n.a."))</f>
        <v>0</v>
      </c>
      <c r="T3731" s="1">
        <f>IF(NOT(Paths!$C$345=1),0,IF(Paths!$P$345="Complete",IF(C3731=0,0,VLOOKUP(A3731,'Fleet register'!$A$7:$S$106,9,FALSE)*Paths!$R$345),"n.a."))</f>
        <v>0</v>
      </c>
    </row>
    <row r="3732" spans="1:20" ht="24" customHeight="1">
      <c r="A3732" s="1" t="str">
        <f>Paths!$A$345</f>
        <v>T085</v>
      </c>
      <c r="B3732" s="1">
        <f>Paths!$B$345</f>
        <v>2</v>
      </c>
      <c r="C3732" s="1">
        <v>7</v>
      </c>
      <c r="D3732" s="1">
        <v>345</v>
      </c>
      <c r="E3732" s="1">
        <f>IF(OR(Paths!$C$345=0,C3732=0),0,MAX(0,MIN(C3732*12,Paths!$E$345)-(C3732-1)*12))</f>
        <v>0</v>
      </c>
      <c r="F3732" s="1">
        <f>IF(OR(Paths!$C$345=0,C3732=0),0,12-E3732)</f>
        <v>0</v>
      </c>
      <c r="G3732" s="16">
        <f>IF(NOT(Paths!$C$345=1),0,IF(Paths!$P$345="Complete",E3732/12*(Paths!$J$345*(1+'Operating costs'!$B$51)^MAX(0,C3732-1)+Paths!$K$345*(1+'Operating costs'!$B$53)^MAX(0,C3732-1)),"n.a."))</f>
        <v>0</v>
      </c>
      <c r="H3732" s="16">
        <f>IF(NOT(Paths!$C$345=1),0,IF(Paths!$P$345="Complete",F3732/12*(Paths!$L$345*(1+IF(Paths!$D$345="EV",'Operating costs'!$B$52,'Operating costs'!$B$51))^MAX(0,C3732-1)+Paths!$M$345*(1+'Operating costs'!$B$53)^MAX(0,C3732-1)),"n.a."))</f>
        <v>0</v>
      </c>
      <c r="I3732" s="16">
        <f>IF(NOT(Paths!$C$345=1),0,IF(Paths!$P$345="Complete",IF(IF(Paths!$E$345=0,C3732=0,AND(C3732&gt;0,Paths!$E$345&gt;(C3732-1)*12,Paths!$E$345&lt;=C3732*12)),Paths!$G$345,0),"n.a."))</f>
        <v>0</v>
      </c>
      <c r="J3732" s="16">
        <f>IF(NOT(Paths!$C$345=1),0,IF(Paths!$P$345="Complete",IF(IF(Paths!$E$345=0,C3732=0,AND(C3732&gt;0,Paths!$E$345&gt;(C3732-1)*12,Paths!$E$345&lt;=C3732*12)),Paths!$H$345,0),"n.a."))</f>
        <v>0</v>
      </c>
      <c r="K3732" s="16">
        <f>IF(NOT(Paths!$C$345=1),0,IF(Paths!$P$345="Complete",IF(IF(Paths!$O$345=0,C3732=0,AND(C3732&gt;0,Paths!$O$345&gt;(C3732-1)*12,Paths!$O$345&lt;=C3732*12)),Paths!$N$345,0),"n.a."))</f>
        <v>0</v>
      </c>
      <c r="L3732" s="16">
        <f>IF(NOT(Paths!$C$345=1),0,IF(Paths!$P$345="Complete",IF(C3732=10,Paths!$I$345,0),"n.a."))</f>
        <v>0</v>
      </c>
      <c r="M3732" s="16">
        <f>IF(NOT(Paths!$C$345=1),0,IF(Paths!$P$345="Complete",IF(AND(Paths!$D$345="EV",Paths!$E$345&lt;120,Paths!$E$345+'Operating costs'!$B$65&gt;Paths!$E$345,Paths!$E$345+'Operating costs'!$B$65&lt;=120,IF(Paths!$E$345+'Operating costs'!$B$65=0,C3732=0,AND(C3732&gt;0,Paths!$E$345+'Operating costs'!$B$65&gt;(C3732-1)*12,Paths!$E$345+'Operating costs'!$B$65&lt;=C3732*12))),'Operating costs'!$B$64,0)+IF(AND('Operating costs'!$B$67&gt;0,'Operating costs'!$B$67&lt;=120,OR(Paths!$D$345="ICE",'Operating costs'!$B$67&lt;=Paths!$E$345),IF('Operating costs'!$B$67=0,C3732=0,AND(C3732&gt;0,'Operating costs'!$B$67&gt;(C3732-1)*12,'Operating costs'!$B$67&lt;=C3732*12))),'Operating costs'!$B$66,0),"n.a."))</f>
        <v>0</v>
      </c>
      <c r="N3732" s="16">
        <f>IF(NOT(Paths!$C$345=1),0,IF(Paths!$P$345="Complete",SUM(G3732:I3732)-J3732-K3732-L3732+M3732+IF(C3732=0,Paths!$F$345,0)+IF(IF(Paths!$E$345=0,C3732=0,AND(C3732&gt;0,Paths!$E$345&gt;(C3732-1)*12,Paths!$E$345&lt;=C3732*12)),VLOOKUP(A3732,'Fleet register'!$A$7:$S$106,16,FALSE),0),"n.a."))</f>
        <v>0</v>
      </c>
      <c r="O3732" s="16">
        <f>IF(NOT(Paths!$C$345=1),0,IF(Paths!$P$345="Complete",N3732-IF(C3732=0,Paths!$F$345,0),"n.a."))</f>
        <v>0</v>
      </c>
      <c r="P3732" s="16">
        <f>IF(NOT(Paths!$C$345=1),0,IF(Paths!$P$345="Complete",O3732+L3732,"n.a."))</f>
        <v>0</v>
      </c>
      <c r="Q3732" s="16">
        <f>IF(NOT(Paths!$C$345=1),0,IF(Paths!$P$345="Complete",N3732*(1+'Operating costs'!$B$54)^-C3732,"n.a."))</f>
        <v>0</v>
      </c>
      <c r="R3732" s="16">
        <f>IF(NOT(Paths!$C$345=1),0,IF(Paths!$P$345="Complete",IF(AND(C3732=0,Paths!$E$345=0),I3732-J3732-K3732+VLOOKUP(A3732,'Fleet register'!$A$7:$S$106,15,FALSE)+VLOOKUP(A3732,'Fleet register'!$A$7:$S$106,16,FALSE),0),"n.a."))</f>
        <v>0</v>
      </c>
      <c r="S3732" s="1">
        <f>IF(NOT(Paths!$C$345=1),0,IF(Paths!$P$345="Complete",IF(C3732=0,0,Paths!$S$345*Paths!$R$345),"n.a."))</f>
        <v>0</v>
      </c>
      <c r="T3732" s="1">
        <f>IF(NOT(Paths!$C$345=1),0,IF(Paths!$P$345="Complete",IF(C3732=0,0,VLOOKUP(A3732,'Fleet register'!$A$7:$S$106,9,FALSE)*Paths!$R$345),"n.a."))</f>
        <v>0</v>
      </c>
    </row>
    <row r="3733" spans="1:20" ht="24" customHeight="1">
      <c r="A3733" s="1" t="str">
        <f>Paths!$A$345</f>
        <v>T085</v>
      </c>
      <c r="B3733" s="1">
        <f>Paths!$B$345</f>
        <v>2</v>
      </c>
      <c r="C3733" s="1">
        <v>8</v>
      </c>
      <c r="D3733" s="1">
        <v>345</v>
      </c>
      <c r="E3733" s="1">
        <f>IF(OR(Paths!$C$345=0,C3733=0),0,MAX(0,MIN(C3733*12,Paths!$E$345)-(C3733-1)*12))</f>
        <v>0</v>
      </c>
      <c r="F3733" s="1">
        <f>IF(OR(Paths!$C$345=0,C3733=0),0,12-E3733)</f>
        <v>0</v>
      </c>
      <c r="G3733" s="16">
        <f>IF(NOT(Paths!$C$345=1),0,IF(Paths!$P$345="Complete",E3733/12*(Paths!$J$345*(1+'Operating costs'!$B$51)^MAX(0,C3733-1)+Paths!$K$345*(1+'Operating costs'!$B$53)^MAX(0,C3733-1)),"n.a."))</f>
        <v>0</v>
      </c>
      <c r="H3733" s="16">
        <f>IF(NOT(Paths!$C$345=1),0,IF(Paths!$P$345="Complete",F3733/12*(Paths!$L$345*(1+IF(Paths!$D$345="EV",'Operating costs'!$B$52,'Operating costs'!$B$51))^MAX(0,C3733-1)+Paths!$M$345*(1+'Operating costs'!$B$53)^MAX(0,C3733-1)),"n.a."))</f>
        <v>0</v>
      </c>
      <c r="I3733" s="16">
        <f>IF(NOT(Paths!$C$345=1),0,IF(Paths!$P$345="Complete",IF(IF(Paths!$E$345=0,C3733=0,AND(C3733&gt;0,Paths!$E$345&gt;(C3733-1)*12,Paths!$E$345&lt;=C3733*12)),Paths!$G$345,0),"n.a."))</f>
        <v>0</v>
      </c>
      <c r="J3733" s="16">
        <f>IF(NOT(Paths!$C$345=1),0,IF(Paths!$P$345="Complete",IF(IF(Paths!$E$345=0,C3733=0,AND(C3733&gt;0,Paths!$E$345&gt;(C3733-1)*12,Paths!$E$345&lt;=C3733*12)),Paths!$H$345,0),"n.a."))</f>
        <v>0</v>
      </c>
      <c r="K3733" s="16">
        <f>IF(NOT(Paths!$C$345=1),0,IF(Paths!$P$345="Complete",IF(IF(Paths!$O$345=0,C3733=0,AND(C3733&gt;0,Paths!$O$345&gt;(C3733-1)*12,Paths!$O$345&lt;=C3733*12)),Paths!$N$345,0),"n.a."))</f>
        <v>0</v>
      </c>
      <c r="L3733" s="16">
        <f>IF(NOT(Paths!$C$345=1),0,IF(Paths!$P$345="Complete",IF(C3733=10,Paths!$I$345,0),"n.a."))</f>
        <v>0</v>
      </c>
      <c r="M3733" s="16">
        <f>IF(NOT(Paths!$C$345=1),0,IF(Paths!$P$345="Complete",IF(AND(Paths!$D$345="EV",Paths!$E$345&lt;120,Paths!$E$345+'Operating costs'!$B$65&gt;Paths!$E$345,Paths!$E$345+'Operating costs'!$B$65&lt;=120,IF(Paths!$E$345+'Operating costs'!$B$65=0,C3733=0,AND(C3733&gt;0,Paths!$E$345+'Operating costs'!$B$65&gt;(C3733-1)*12,Paths!$E$345+'Operating costs'!$B$65&lt;=C3733*12))),'Operating costs'!$B$64,0)+IF(AND('Operating costs'!$B$67&gt;0,'Operating costs'!$B$67&lt;=120,OR(Paths!$D$345="ICE",'Operating costs'!$B$67&lt;=Paths!$E$345),IF('Operating costs'!$B$67=0,C3733=0,AND(C3733&gt;0,'Operating costs'!$B$67&gt;(C3733-1)*12,'Operating costs'!$B$67&lt;=C3733*12))),'Operating costs'!$B$66,0),"n.a."))</f>
        <v>0</v>
      </c>
      <c r="N3733" s="16">
        <f>IF(NOT(Paths!$C$345=1),0,IF(Paths!$P$345="Complete",SUM(G3733:I3733)-J3733-K3733-L3733+M3733+IF(C3733=0,Paths!$F$345,0)+IF(IF(Paths!$E$345=0,C3733=0,AND(C3733&gt;0,Paths!$E$345&gt;(C3733-1)*12,Paths!$E$345&lt;=C3733*12)),VLOOKUP(A3733,'Fleet register'!$A$7:$S$106,16,FALSE),0),"n.a."))</f>
        <v>0</v>
      </c>
      <c r="O3733" s="16">
        <f>IF(NOT(Paths!$C$345=1),0,IF(Paths!$P$345="Complete",N3733-IF(C3733=0,Paths!$F$345,0),"n.a."))</f>
        <v>0</v>
      </c>
      <c r="P3733" s="16">
        <f>IF(NOT(Paths!$C$345=1),0,IF(Paths!$P$345="Complete",O3733+L3733,"n.a."))</f>
        <v>0</v>
      </c>
      <c r="Q3733" s="16">
        <f>IF(NOT(Paths!$C$345=1),0,IF(Paths!$P$345="Complete",N3733*(1+'Operating costs'!$B$54)^-C3733,"n.a."))</f>
        <v>0</v>
      </c>
      <c r="R3733" s="16">
        <f>IF(NOT(Paths!$C$345=1),0,IF(Paths!$P$345="Complete",IF(AND(C3733=0,Paths!$E$345=0),I3733-J3733-K3733+VLOOKUP(A3733,'Fleet register'!$A$7:$S$106,15,FALSE)+VLOOKUP(A3733,'Fleet register'!$A$7:$S$106,16,FALSE),0),"n.a."))</f>
        <v>0</v>
      </c>
      <c r="S3733" s="1">
        <f>IF(NOT(Paths!$C$345=1),0,IF(Paths!$P$345="Complete",IF(C3733=0,0,Paths!$S$345*Paths!$R$345),"n.a."))</f>
        <v>0</v>
      </c>
      <c r="T3733" s="1">
        <f>IF(NOT(Paths!$C$345=1),0,IF(Paths!$P$345="Complete",IF(C3733=0,0,VLOOKUP(A3733,'Fleet register'!$A$7:$S$106,9,FALSE)*Paths!$R$345),"n.a."))</f>
        <v>0</v>
      </c>
    </row>
    <row r="3734" spans="1:20" ht="24" customHeight="1">
      <c r="A3734" s="1" t="str">
        <f>Paths!$A$345</f>
        <v>T085</v>
      </c>
      <c r="B3734" s="1">
        <f>Paths!$B$345</f>
        <v>2</v>
      </c>
      <c r="C3734" s="1">
        <v>9</v>
      </c>
      <c r="D3734" s="1">
        <v>345</v>
      </c>
      <c r="E3734" s="1">
        <f>IF(OR(Paths!$C$345=0,C3734=0),0,MAX(0,MIN(C3734*12,Paths!$E$345)-(C3734-1)*12))</f>
        <v>0</v>
      </c>
      <c r="F3734" s="1">
        <f>IF(OR(Paths!$C$345=0,C3734=0),0,12-E3734)</f>
        <v>0</v>
      </c>
      <c r="G3734" s="16">
        <f>IF(NOT(Paths!$C$345=1),0,IF(Paths!$P$345="Complete",E3734/12*(Paths!$J$345*(1+'Operating costs'!$B$51)^MAX(0,C3734-1)+Paths!$K$345*(1+'Operating costs'!$B$53)^MAX(0,C3734-1)),"n.a."))</f>
        <v>0</v>
      </c>
      <c r="H3734" s="16">
        <f>IF(NOT(Paths!$C$345=1),0,IF(Paths!$P$345="Complete",F3734/12*(Paths!$L$345*(1+IF(Paths!$D$345="EV",'Operating costs'!$B$52,'Operating costs'!$B$51))^MAX(0,C3734-1)+Paths!$M$345*(1+'Operating costs'!$B$53)^MAX(0,C3734-1)),"n.a."))</f>
        <v>0</v>
      </c>
      <c r="I3734" s="16">
        <f>IF(NOT(Paths!$C$345=1),0,IF(Paths!$P$345="Complete",IF(IF(Paths!$E$345=0,C3734=0,AND(C3734&gt;0,Paths!$E$345&gt;(C3734-1)*12,Paths!$E$345&lt;=C3734*12)),Paths!$G$345,0),"n.a."))</f>
        <v>0</v>
      </c>
      <c r="J3734" s="16">
        <f>IF(NOT(Paths!$C$345=1),0,IF(Paths!$P$345="Complete",IF(IF(Paths!$E$345=0,C3734=0,AND(C3734&gt;0,Paths!$E$345&gt;(C3734-1)*12,Paths!$E$345&lt;=C3734*12)),Paths!$H$345,0),"n.a."))</f>
        <v>0</v>
      </c>
      <c r="K3734" s="16">
        <f>IF(NOT(Paths!$C$345=1),0,IF(Paths!$P$345="Complete",IF(IF(Paths!$O$345=0,C3734=0,AND(C3734&gt;0,Paths!$O$345&gt;(C3734-1)*12,Paths!$O$345&lt;=C3734*12)),Paths!$N$345,0),"n.a."))</f>
        <v>0</v>
      </c>
      <c r="L3734" s="16">
        <f>IF(NOT(Paths!$C$345=1),0,IF(Paths!$P$345="Complete",IF(C3734=10,Paths!$I$345,0),"n.a."))</f>
        <v>0</v>
      </c>
      <c r="M3734" s="16">
        <f>IF(NOT(Paths!$C$345=1),0,IF(Paths!$P$345="Complete",IF(AND(Paths!$D$345="EV",Paths!$E$345&lt;120,Paths!$E$345+'Operating costs'!$B$65&gt;Paths!$E$345,Paths!$E$345+'Operating costs'!$B$65&lt;=120,IF(Paths!$E$345+'Operating costs'!$B$65=0,C3734=0,AND(C3734&gt;0,Paths!$E$345+'Operating costs'!$B$65&gt;(C3734-1)*12,Paths!$E$345+'Operating costs'!$B$65&lt;=C3734*12))),'Operating costs'!$B$64,0)+IF(AND('Operating costs'!$B$67&gt;0,'Operating costs'!$B$67&lt;=120,OR(Paths!$D$345="ICE",'Operating costs'!$B$67&lt;=Paths!$E$345),IF('Operating costs'!$B$67=0,C3734=0,AND(C3734&gt;0,'Operating costs'!$B$67&gt;(C3734-1)*12,'Operating costs'!$B$67&lt;=C3734*12))),'Operating costs'!$B$66,0),"n.a."))</f>
        <v>0</v>
      </c>
      <c r="N3734" s="16">
        <f>IF(NOT(Paths!$C$345=1),0,IF(Paths!$P$345="Complete",SUM(G3734:I3734)-J3734-K3734-L3734+M3734+IF(C3734=0,Paths!$F$345,0)+IF(IF(Paths!$E$345=0,C3734=0,AND(C3734&gt;0,Paths!$E$345&gt;(C3734-1)*12,Paths!$E$345&lt;=C3734*12)),VLOOKUP(A3734,'Fleet register'!$A$7:$S$106,16,FALSE),0),"n.a."))</f>
        <v>0</v>
      </c>
      <c r="O3734" s="16">
        <f>IF(NOT(Paths!$C$345=1),0,IF(Paths!$P$345="Complete",N3734-IF(C3734=0,Paths!$F$345,0),"n.a."))</f>
        <v>0</v>
      </c>
      <c r="P3734" s="16">
        <f>IF(NOT(Paths!$C$345=1),0,IF(Paths!$P$345="Complete",O3734+L3734,"n.a."))</f>
        <v>0</v>
      </c>
      <c r="Q3734" s="16">
        <f>IF(NOT(Paths!$C$345=1),0,IF(Paths!$P$345="Complete",N3734*(1+'Operating costs'!$B$54)^-C3734,"n.a."))</f>
        <v>0</v>
      </c>
      <c r="R3734" s="16">
        <f>IF(NOT(Paths!$C$345=1),0,IF(Paths!$P$345="Complete",IF(AND(C3734=0,Paths!$E$345=0),I3734-J3734-K3734+VLOOKUP(A3734,'Fleet register'!$A$7:$S$106,15,FALSE)+VLOOKUP(A3734,'Fleet register'!$A$7:$S$106,16,FALSE),0),"n.a."))</f>
        <v>0</v>
      </c>
      <c r="S3734" s="1">
        <f>IF(NOT(Paths!$C$345=1),0,IF(Paths!$P$345="Complete",IF(C3734=0,0,Paths!$S$345*Paths!$R$345),"n.a."))</f>
        <v>0</v>
      </c>
      <c r="T3734" s="1">
        <f>IF(NOT(Paths!$C$345=1),0,IF(Paths!$P$345="Complete",IF(C3734=0,0,VLOOKUP(A3734,'Fleet register'!$A$7:$S$106,9,FALSE)*Paths!$R$345),"n.a."))</f>
        <v>0</v>
      </c>
    </row>
    <row r="3735" spans="1:20" ht="24" customHeight="1">
      <c r="A3735" s="1" t="str">
        <f>Paths!$A$345</f>
        <v>T085</v>
      </c>
      <c r="B3735" s="1">
        <f>Paths!$B$345</f>
        <v>2</v>
      </c>
      <c r="C3735" s="1">
        <v>10</v>
      </c>
      <c r="D3735" s="1">
        <v>345</v>
      </c>
      <c r="E3735" s="1">
        <f>IF(OR(Paths!$C$345=0,C3735=0),0,MAX(0,MIN(C3735*12,Paths!$E$345)-(C3735-1)*12))</f>
        <v>0</v>
      </c>
      <c r="F3735" s="1">
        <f>IF(OR(Paths!$C$345=0,C3735=0),0,12-E3735)</f>
        <v>0</v>
      </c>
      <c r="G3735" s="16">
        <f>IF(NOT(Paths!$C$345=1),0,IF(Paths!$P$345="Complete",E3735/12*(Paths!$J$345*(1+'Operating costs'!$B$51)^MAX(0,C3735-1)+Paths!$K$345*(1+'Operating costs'!$B$53)^MAX(0,C3735-1)),"n.a."))</f>
        <v>0</v>
      </c>
      <c r="H3735" s="16">
        <f>IF(NOT(Paths!$C$345=1),0,IF(Paths!$P$345="Complete",F3735/12*(Paths!$L$345*(1+IF(Paths!$D$345="EV",'Operating costs'!$B$52,'Operating costs'!$B$51))^MAX(0,C3735-1)+Paths!$M$345*(1+'Operating costs'!$B$53)^MAX(0,C3735-1)),"n.a."))</f>
        <v>0</v>
      </c>
      <c r="I3735" s="16">
        <f>IF(NOT(Paths!$C$345=1),0,IF(Paths!$P$345="Complete",IF(IF(Paths!$E$345=0,C3735=0,AND(C3735&gt;0,Paths!$E$345&gt;(C3735-1)*12,Paths!$E$345&lt;=C3735*12)),Paths!$G$345,0),"n.a."))</f>
        <v>0</v>
      </c>
      <c r="J3735" s="16">
        <f>IF(NOT(Paths!$C$345=1),0,IF(Paths!$P$345="Complete",IF(IF(Paths!$E$345=0,C3735=0,AND(C3735&gt;0,Paths!$E$345&gt;(C3735-1)*12,Paths!$E$345&lt;=C3735*12)),Paths!$H$345,0),"n.a."))</f>
        <v>0</v>
      </c>
      <c r="K3735" s="16">
        <f>IF(NOT(Paths!$C$345=1),0,IF(Paths!$P$345="Complete",IF(IF(Paths!$O$345=0,C3735=0,AND(C3735&gt;0,Paths!$O$345&gt;(C3735-1)*12,Paths!$O$345&lt;=C3735*12)),Paths!$N$345,0),"n.a."))</f>
        <v>0</v>
      </c>
      <c r="L3735" s="16">
        <f>IF(NOT(Paths!$C$345=1),0,IF(Paths!$P$345="Complete",IF(C3735=10,Paths!$I$345,0),"n.a."))</f>
        <v>0</v>
      </c>
      <c r="M3735" s="16">
        <f>IF(NOT(Paths!$C$345=1),0,IF(Paths!$P$345="Complete",IF(AND(Paths!$D$345="EV",Paths!$E$345&lt;120,Paths!$E$345+'Operating costs'!$B$65&gt;Paths!$E$345,Paths!$E$345+'Operating costs'!$B$65&lt;=120,IF(Paths!$E$345+'Operating costs'!$B$65=0,C3735=0,AND(C3735&gt;0,Paths!$E$345+'Operating costs'!$B$65&gt;(C3735-1)*12,Paths!$E$345+'Operating costs'!$B$65&lt;=C3735*12))),'Operating costs'!$B$64,0)+IF(AND('Operating costs'!$B$67&gt;0,'Operating costs'!$B$67&lt;=120,OR(Paths!$D$345="ICE",'Operating costs'!$B$67&lt;=Paths!$E$345),IF('Operating costs'!$B$67=0,C3735=0,AND(C3735&gt;0,'Operating costs'!$B$67&gt;(C3735-1)*12,'Operating costs'!$B$67&lt;=C3735*12))),'Operating costs'!$B$66,0),"n.a."))</f>
        <v>0</v>
      </c>
      <c r="N3735" s="16">
        <f>IF(NOT(Paths!$C$345=1),0,IF(Paths!$P$345="Complete",SUM(G3735:I3735)-J3735-K3735-L3735+M3735+IF(C3735=0,Paths!$F$345,0)+IF(IF(Paths!$E$345=0,C3735=0,AND(C3735&gt;0,Paths!$E$345&gt;(C3735-1)*12,Paths!$E$345&lt;=C3735*12)),VLOOKUP(A3735,'Fleet register'!$A$7:$S$106,16,FALSE),0),"n.a."))</f>
        <v>0</v>
      </c>
      <c r="O3735" s="16">
        <f>IF(NOT(Paths!$C$345=1),0,IF(Paths!$P$345="Complete",N3735-IF(C3735=0,Paths!$F$345,0),"n.a."))</f>
        <v>0</v>
      </c>
      <c r="P3735" s="16">
        <f>IF(NOT(Paths!$C$345=1),0,IF(Paths!$P$345="Complete",O3735+L3735,"n.a."))</f>
        <v>0</v>
      </c>
      <c r="Q3735" s="16">
        <f>IF(NOT(Paths!$C$345=1),0,IF(Paths!$P$345="Complete",N3735*(1+'Operating costs'!$B$54)^-C3735,"n.a."))</f>
        <v>0</v>
      </c>
      <c r="R3735" s="16">
        <f>IF(NOT(Paths!$C$345=1),0,IF(Paths!$P$345="Complete",IF(AND(C3735=0,Paths!$E$345=0),I3735-J3735-K3735+VLOOKUP(A3735,'Fleet register'!$A$7:$S$106,15,FALSE)+VLOOKUP(A3735,'Fleet register'!$A$7:$S$106,16,FALSE),0),"n.a."))</f>
        <v>0</v>
      </c>
      <c r="S3735" s="1">
        <f>IF(NOT(Paths!$C$345=1),0,IF(Paths!$P$345="Complete",IF(C3735=0,0,Paths!$S$345*Paths!$R$345),"n.a."))</f>
        <v>0</v>
      </c>
      <c r="T3735" s="1">
        <f>IF(NOT(Paths!$C$345=1),0,IF(Paths!$P$345="Complete",IF(C3735=0,0,VLOOKUP(A3735,'Fleet register'!$A$7:$S$106,9,FALSE)*Paths!$R$345),"n.a."))</f>
        <v>0</v>
      </c>
    </row>
    <row r="3736" spans="1:20" ht="24" customHeight="1">
      <c r="A3736" s="1" t="str">
        <f>Paths!$A$346</f>
        <v>T085</v>
      </c>
      <c r="B3736" s="1">
        <f>Paths!$B$346</f>
        <v>3</v>
      </c>
      <c r="C3736" s="1">
        <v>0</v>
      </c>
      <c r="D3736" s="1">
        <v>346</v>
      </c>
      <c r="E3736" s="1">
        <f>IF(OR(Paths!$C$346=0,C3736=0),0,MAX(0,MIN(C3736*12,Paths!$E$346)-(C3736-1)*12))</f>
        <v>0</v>
      </c>
      <c r="F3736" s="1">
        <f>IF(OR(Paths!$C$346=0,C3736=0),0,12-E3736)</f>
        <v>0</v>
      </c>
      <c r="G3736" s="16">
        <f>IF(NOT(Paths!$C$346=1),0,IF(Paths!$P$346="Complete",E3736/12*(Paths!$J$346*(1+'Operating costs'!$B$51)^MAX(0,C3736-1)+Paths!$K$346*(1+'Operating costs'!$B$53)^MAX(0,C3736-1)),"n.a."))</f>
        <v>0</v>
      </c>
      <c r="H3736" s="16">
        <f>IF(NOT(Paths!$C$346=1),0,IF(Paths!$P$346="Complete",F3736/12*(Paths!$L$346*(1+IF(Paths!$D$346="EV",'Operating costs'!$B$52,'Operating costs'!$B$51))^MAX(0,C3736-1)+Paths!$M$346*(1+'Operating costs'!$B$53)^MAX(0,C3736-1)),"n.a."))</f>
        <v>0</v>
      </c>
      <c r="I3736" s="16">
        <f>IF(NOT(Paths!$C$346=1),0,IF(Paths!$P$346="Complete",IF(IF(Paths!$E$346=0,C3736=0,AND(C3736&gt;0,Paths!$E$346&gt;(C3736-1)*12,Paths!$E$346&lt;=C3736*12)),Paths!$G$346,0),"n.a."))</f>
        <v>0</v>
      </c>
      <c r="J3736" s="16">
        <f>IF(NOT(Paths!$C$346=1),0,IF(Paths!$P$346="Complete",IF(IF(Paths!$E$346=0,C3736=0,AND(C3736&gt;0,Paths!$E$346&gt;(C3736-1)*12,Paths!$E$346&lt;=C3736*12)),Paths!$H$346,0),"n.a."))</f>
        <v>0</v>
      </c>
      <c r="K3736" s="16">
        <f>IF(NOT(Paths!$C$346=1),0,IF(Paths!$P$346="Complete",IF(IF(Paths!$O$346=0,C3736=0,AND(C3736&gt;0,Paths!$O$346&gt;(C3736-1)*12,Paths!$O$346&lt;=C3736*12)),Paths!$N$346,0),"n.a."))</f>
        <v>0</v>
      </c>
      <c r="L3736" s="16">
        <f>IF(NOT(Paths!$C$346=1),0,IF(Paths!$P$346="Complete",IF(C3736=10,Paths!$I$346,0),"n.a."))</f>
        <v>0</v>
      </c>
      <c r="M3736" s="16">
        <f>IF(NOT(Paths!$C$346=1),0,IF(Paths!$P$346="Complete",IF(AND(Paths!$D$346="EV",Paths!$E$346&lt;120,Paths!$E$346+'Operating costs'!$B$65&gt;Paths!$E$346,Paths!$E$346+'Operating costs'!$B$65&lt;=120,IF(Paths!$E$346+'Operating costs'!$B$65=0,C3736=0,AND(C3736&gt;0,Paths!$E$346+'Operating costs'!$B$65&gt;(C3736-1)*12,Paths!$E$346+'Operating costs'!$B$65&lt;=C3736*12))),'Operating costs'!$B$64,0)+IF(AND('Operating costs'!$B$67&gt;0,'Operating costs'!$B$67&lt;=120,OR(Paths!$D$346="ICE",'Operating costs'!$B$67&lt;=Paths!$E$346),IF('Operating costs'!$B$67=0,C3736=0,AND(C3736&gt;0,'Operating costs'!$B$67&gt;(C3736-1)*12,'Operating costs'!$B$67&lt;=C3736*12))),'Operating costs'!$B$66,0),"n.a."))</f>
        <v>0</v>
      </c>
      <c r="N3736" s="16">
        <f>IF(NOT(Paths!$C$346=1),0,IF(Paths!$P$346="Complete",SUM(G3736:I3736)-J3736-K3736-L3736+M3736+IF(C3736=0,Paths!$F$346,0)+IF(IF(Paths!$E$346=0,C3736=0,AND(C3736&gt;0,Paths!$E$346&gt;(C3736-1)*12,Paths!$E$346&lt;=C3736*12)),VLOOKUP(A3736,'Fleet register'!$A$7:$S$106,16,FALSE),0),"n.a."))</f>
        <v>0</v>
      </c>
      <c r="O3736" s="16">
        <f>IF(NOT(Paths!$C$346=1),0,IF(Paths!$P$346="Complete",N3736-IF(C3736=0,Paths!$F$346,0),"n.a."))</f>
        <v>0</v>
      </c>
      <c r="P3736" s="16">
        <f>IF(NOT(Paths!$C$346=1),0,IF(Paths!$P$346="Complete",O3736+L3736,"n.a."))</f>
        <v>0</v>
      </c>
      <c r="Q3736" s="16">
        <f>IF(NOT(Paths!$C$346=1),0,IF(Paths!$P$346="Complete",N3736*(1+'Operating costs'!$B$54)^-C3736,"n.a."))</f>
        <v>0</v>
      </c>
      <c r="R3736" s="16">
        <f>IF(NOT(Paths!$C$346=1),0,IF(Paths!$P$346="Complete",IF(AND(C3736=0,Paths!$E$346=0),I3736-J3736-K3736+VLOOKUP(A3736,'Fleet register'!$A$7:$S$106,15,FALSE)+VLOOKUP(A3736,'Fleet register'!$A$7:$S$106,16,FALSE),0),"n.a."))</f>
        <v>0</v>
      </c>
      <c r="S3736" s="1">
        <f>IF(NOT(Paths!$C$346=1),0,IF(Paths!$P$346="Complete",IF(C3736=0,0,Paths!$S$346*Paths!$R$346),"n.a."))</f>
        <v>0</v>
      </c>
      <c r="T3736" s="1">
        <f>IF(NOT(Paths!$C$346=1),0,IF(Paths!$P$346="Complete",IF(C3736=0,0,VLOOKUP(A3736,'Fleet register'!$A$7:$S$106,9,FALSE)*Paths!$R$346),"n.a."))</f>
        <v>0</v>
      </c>
    </row>
    <row r="3737" spans="1:20" ht="24" customHeight="1">
      <c r="A3737" s="1" t="str">
        <f>Paths!$A$346</f>
        <v>T085</v>
      </c>
      <c r="B3737" s="1">
        <f>Paths!$B$346</f>
        <v>3</v>
      </c>
      <c r="C3737" s="1">
        <v>1</v>
      </c>
      <c r="D3737" s="1">
        <v>346</v>
      </c>
      <c r="E3737" s="1">
        <f>IF(OR(Paths!$C$346=0,C3737=0),0,MAX(0,MIN(C3737*12,Paths!$E$346)-(C3737-1)*12))</f>
        <v>0</v>
      </c>
      <c r="F3737" s="1">
        <f>IF(OR(Paths!$C$346=0,C3737=0),0,12-E3737)</f>
        <v>0</v>
      </c>
      <c r="G3737" s="16">
        <f>IF(NOT(Paths!$C$346=1),0,IF(Paths!$P$346="Complete",E3737/12*(Paths!$J$346*(1+'Operating costs'!$B$51)^MAX(0,C3737-1)+Paths!$K$346*(1+'Operating costs'!$B$53)^MAX(0,C3737-1)),"n.a."))</f>
        <v>0</v>
      </c>
      <c r="H3737" s="16">
        <f>IF(NOT(Paths!$C$346=1),0,IF(Paths!$P$346="Complete",F3737/12*(Paths!$L$346*(1+IF(Paths!$D$346="EV",'Operating costs'!$B$52,'Operating costs'!$B$51))^MAX(0,C3737-1)+Paths!$M$346*(1+'Operating costs'!$B$53)^MAX(0,C3737-1)),"n.a."))</f>
        <v>0</v>
      </c>
      <c r="I3737" s="16">
        <f>IF(NOT(Paths!$C$346=1),0,IF(Paths!$P$346="Complete",IF(IF(Paths!$E$346=0,C3737=0,AND(C3737&gt;0,Paths!$E$346&gt;(C3737-1)*12,Paths!$E$346&lt;=C3737*12)),Paths!$G$346,0),"n.a."))</f>
        <v>0</v>
      </c>
      <c r="J3737" s="16">
        <f>IF(NOT(Paths!$C$346=1),0,IF(Paths!$P$346="Complete",IF(IF(Paths!$E$346=0,C3737=0,AND(C3737&gt;0,Paths!$E$346&gt;(C3737-1)*12,Paths!$E$346&lt;=C3737*12)),Paths!$H$346,0),"n.a."))</f>
        <v>0</v>
      </c>
      <c r="K3737" s="16">
        <f>IF(NOT(Paths!$C$346=1),0,IF(Paths!$P$346="Complete",IF(IF(Paths!$O$346=0,C3737=0,AND(C3737&gt;0,Paths!$O$346&gt;(C3737-1)*12,Paths!$O$346&lt;=C3737*12)),Paths!$N$346,0),"n.a."))</f>
        <v>0</v>
      </c>
      <c r="L3737" s="16">
        <f>IF(NOT(Paths!$C$346=1),0,IF(Paths!$P$346="Complete",IF(C3737=10,Paths!$I$346,0),"n.a."))</f>
        <v>0</v>
      </c>
      <c r="M3737" s="16">
        <f>IF(NOT(Paths!$C$346=1),0,IF(Paths!$P$346="Complete",IF(AND(Paths!$D$346="EV",Paths!$E$346&lt;120,Paths!$E$346+'Operating costs'!$B$65&gt;Paths!$E$346,Paths!$E$346+'Operating costs'!$B$65&lt;=120,IF(Paths!$E$346+'Operating costs'!$B$65=0,C3737=0,AND(C3737&gt;0,Paths!$E$346+'Operating costs'!$B$65&gt;(C3737-1)*12,Paths!$E$346+'Operating costs'!$B$65&lt;=C3737*12))),'Operating costs'!$B$64,0)+IF(AND('Operating costs'!$B$67&gt;0,'Operating costs'!$B$67&lt;=120,OR(Paths!$D$346="ICE",'Operating costs'!$B$67&lt;=Paths!$E$346),IF('Operating costs'!$B$67=0,C3737=0,AND(C3737&gt;0,'Operating costs'!$B$67&gt;(C3737-1)*12,'Operating costs'!$B$67&lt;=C3737*12))),'Operating costs'!$B$66,0),"n.a."))</f>
        <v>0</v>
      </c>
      <c r="N3737" s="16">
        <f>IF(NOT(Paths!$C$346=1),0,IF(Paths!$P$346="Complete",SUM(G3737:I3737)-J3737-K3737-L3737+M3737+IF(C3737=0,Paths!$F$346,0)+IF(IF(Paths!$E$346=0,C3737=0,AND(C3737&gt;0,Paths!$E$346&gt;(C3737-1)*12,Paths!$E$346&lt;=C3737*12)),VLOOKUP(A3737,'Fleet register'!$A$7:$S$106,16,FALSE),0),"n.a."))</f>
        <v>0</v>
      </c>
      <c r="O3737" s="16">
        <f>IF(NOT(Paths!$C$346=1),0,IF(Paths!$P$346="Complete",N3737-IF(C3737=0,Paths!$F$346,0),"n.a."))</f>
        <v>0</v>
      </c>
      <c r="P3737" s="16">
        <f>IF(NOT(Paths!$C$346=1),0,IF(Paths!$P$346="Complete",O3737+L3737,"n.a."))</f>
        <v>0</v>
      </c>
      <c r="Q3737" s="16">
        <f>IF(NOT(Paths!$C$346=1),0,IF(Paths!$P$346="Complete",N3737*(1+'Operating costs'!$B$54)^-C3737,"n.a."))</f>
        <v>0</v>
      </c>
      <c r="R3737" s="16">
        <f>IF(NOT(Paths!$C$346=1),0,IF(Paths!$P$346="Complete",IF(AND(C3737=0,Paths!$E$346=0),I3737-J3737-K3737+VLOOKUP(A3737,'Fleet register'!$A$7:$S$106,15,FALSE)+VLOOKUP(A3737,'Fleet register'!$A$7:$S$106,16,FALSE),0),"n.a."))</f>
        <v>0</v>
      </c>
      <c r="S3737" s="1">
        <f>IF(NOT(Paths!$C$346=1),0,IF(Paths!$P$346="Complete",IF(C3737=0,0,Paths!$S$346*Paths!$R$346),"n.a."))</f>
        <v>0</v>
      </c>
      <c r="T3737" s="1">
        <f>IF(NOT(Paths!$C$346=1),0,IF(Paths!$P$346="Complete",IF(C3737=0,0,VLOOKUP(A3737,'Fleet register'!$A$7:$S$106,9,FALSE)*Paths!$R$346),"n.a."))</f>
        <v>0</v>
      </c>
    </row>
    <row r="3738" spans="1:20" ht="24" customHeight="1">
      <c r="A3738" s="1" t="str">
        <f>Paths!$A$346</f>
        <v>T085</v>
      </c>
      <c r="B3738" s="1">
        <f>Paths!$B$346</f>
        <v>3</v>
      </c>
      <c r="C3738" s="1">
        <v>2</v>
      </c>
      <c r="D3738" s="1">
        <v>346</v>
      </c>
      <c r="E3738" s="1">
        <f>IF(OR(Paths!$C$346=0,C3738=0),0,MAX(0,MIN(C3738*12,Paths!$E$346)-(C3738-1)*12))</f>
        <v>0</v>
      </c>
      <c r="F3738" s="1">
        <f>IF(OR(Paths!$C$346=0,C3738=0),0,12-E3738)</f>
        <v>0</v>
      </c>
      <c r="G3738" s="16">
        <f>IF(NOT(Paths!$C$346=1),0,IF(Paths!$P$346="Complete",E3738/12*(Paths!$J$346*(1+'Operating costs'!$B$51)^MAX(0,C3738-1)+Paths!$K$346*(1+'Operating costs'!$B$53)^MAX(0,C3738-1)),"n.a."))</f>
        <v>0</v>
      </c>
      <c r="H3738" s="16">
        <f>IF(NOT(Paths!$C$346=1),0,IF(Paths!$P$346="Complete",F3738/12*(Paths!$L$346*(1+IF(Paths!$D$346="EV",'Operating costs'!$B$52,'Operating costs'!$B$51))^MAX(0,C3738-1)+Paths!$M$346*(1+'Operating costs'!$B$53)^MAX(0,C3738-1)),"n.a."))</f>
        <v>0</v>
      </c>
      <c r="I3738" s="16">
        <f>IF(NOT(Paths!$C$346=1),0,IF(Paths!$P$346="Complete",IF(IF(Paths!$E$346=0,C3738=0,AND(C3738&gt;0,Paths!$E$346&gt;(C3738-1)*12,Paths!$E$346&lt;=C3738*12)),Paths!$G$346,0),"n.a."))</f>
        <v>0</v>
      </c>
      <c r="J3738" s="16">
        <f>IF(NOT(Paths!$C$346=1),0,IF(Paths!$P$346="Complete",IF(IF(Paths!$E$346=0,C3738=0,AND(C3738&gt;0,Paths!$E$346&gt;(C3738-1)*12,Paths!$E$346&lt;=C3738*12)),Paths!$H$346,0),"n.a."))</f>
        <v>0</v>
      </c>
      <c r="K3738" s="16">
        <f>IF(NOT(Paths!$C$346=1),0,IF(Paths!$P$346="Complete",IF(IF(Paths!$O$346=0,C3738=0,AND(C3738&gt;0,Paths!$O$346&gt;(C3738-1)*12,Paths!$O$346&lt;=C3738*12)),Paths!$N$346,0),"n.a."))</f>
        <v>0</v>
      </c>
      <c r="L3738" s="16">
        <f>IF(NOT(Paths!$C$346=1),0,IF(Paths!$P$346="Complete",IF(C3738=10,Paths!$I$346,0),"n.a."))</f>
        <v>0</v>
      </c>
      <c r="M3738" s="16">
        <f>IF(NOT(Paths!$C$346=1),0,IF(Paths!$P$346="Complete",IF(AND(Paths!$D$346="EV",Paths!$E$346&lt;120,Paths!$E$346+'Operating costs'!$B$65&gt;Paths!$E$346,Paths!$E$346+'Operating costs'!$B$65&lt;=120,IF(Paths!$E$346+'Operating costs'!$B$65=0,C3738=0,AND(C3738&gt;0,Paths!$E$346+'Operating costs'!$B$65&gt;(C3738-1)*12,Paths!$E$346+'Operating costs'!$B$65&lt;=C3738*12))),'Operating costs'!$B$64,0)+IF(AND('Operating costs'!$B$67&gt;0,'Operating costs'!$B$67&lt;=120,OR(Paths!$D$346="ICE",'Operating costs'!$B$67&lt;=Paths!$E$346),IF('Operating costs'!$B$67=0,C3738=0,AND(C3738&gt;0,'Operating costs'!$B$67&gt;(C3738-1)*12,'Operating costs'!$B$67&lt;=C3738*12))),'Operating costs'!$B$66,0),"n.a."))</f>
        <v>0</v>
      </c>
      <c r="N3738" s="16">
        <f>IF(NOT(Paths!$C$346=1),0,IF(Paths!$P$346="Complete",SUM(G3738:I3738)-J3738-K3738-L3738+M3738+IF(C3738=0,Paths!$F$346,0)+IF(IF(Paths!$E$346=0,C3738=0,AND(C3738&gt;0,Paths!$E$346&gt;(C3738-1)*12,Paths!$E$346&lt;=C3738*12)),VLOOKUP(A3738,'Fleet register'!$A$7:$S$106,16,FALSE),0),"n.a."))</f>
        <v>0</v>
      </c>
      <c r="O3738" s="16">
        <f>IF(NOT(Paths!$C$346=1),0,IF(Paths!$P$346="Complete",N3738-IF(C3738=0,Paths!$F$346,0),"n.a."))</f>
        <v>0</v>
      </c>
      <c r="P3738" s="16">
        <f>IF(NOT(Paths!$C$346=1),0,IF(Paths!$P$346="Complete",O3738+L3738,"n.a."))</f>
        <v>0</v>
      </c>
      <c r="Q3738" s="16">
        <f>IF(NOT(Paths!$C$346=1),0,IF(Paths!$P$346="Complete",N3738*(1+'Operating costs'!$B$54)^-C3738,"n.a."))</f>
        <v>0</v>
      </c>
      <c r="R3738" s="16">
        <f>IF(NOT(Paths!$C$346=1),0,IF(Paths!$P$346="Complete",IF(AND(C3738=0,Paths!$E$346=0),I3738-J3738-K3738+VLOOKUP(A3738,'Fleet register'!$A$7:$S$106,15,FALSE)+VLOOKUP(A3738,'Fleet register'!$A$7:$S$106,16,FALSE),0),"n.a."))</f>
        <v>0</v>
      </c>
      <c r="S3738" s="1">
        <f>IF(NOT(Paths!$C$346=1),0,IF(Paths!$P$346="Complete",IF(C3738=0,0,Paths!$S$346*Paths!$R$346),"n.a."))</f>
        <v>0</v>
      </c>
      <c r="T3738" s="1">
        <f>IF(NOT(Paths!$C$346=1),0,IF(Paths!$P$346="Complete",IF(C3738=0,0,VLOOKUP(A3738,'Fleet register'!$A$7:$S$106,9,FALSE)*Paths!$R$346),"n.a."))</f>
        <v>0</v>
      </c>
    </row>
    <row r="3739" spans="1:20" ht="24" customHeight="1">
      <c r="A3739" s="1" t="str">
        <f>Paths!$A$346</f>
        <v>T085</v>
      </c>
      <c r="B3739" s="1">
        <f>Paths!$B$346</f>
        <v>3</v>
      </c>
      <c r="C3739" s="1">
        <v>3</v>
      </c>
      <c r="D3739" s="1">
        <v>346</v>
      </c>
      <c r="E3739" s="1">
        <f>IF(OR(Paths!$C$346=0,C3739=0),0,MAX(0,MIN(C3739*12,Paths!$E$346)-(C3739-1)*12))</f>
        <v>0</v>
      </c>
      <c r="F3739" s="1">
        <f>IF(OR(Paths!$C$346=0,C3739=0),0,12-E3739)</f>
        <v>0</v>
      </c>
      <c r="G3739" s="16">
        <f>IF(NOT(Paths!$C$346=1),0,IF(Paths!$P$346="Complete",E3739/12*(Paths!$J$346*(1+'Operating costs'!$B$51)^MAX(0,C3739-1)+Paths!$K$346*(1+'Operating costs'!$B$53)^MAX(0,C3739-1)),"n.a."))</f>
        <v>0</v>
      </c>
      <c r="H3739" s="16">
        <f>IF(NOT(Paths!$C$346=1),0,IF(Paths!$P$346="Complete",F3739/12*(Paths!$L$346*(1+IF(Paths!$D$346="EV",'Operating costs'!$B$52,'Operating costs'!$B$51))^MAX(0,C3739-1)+Paths!$M$346*(1+'Operating costs'!$B$53)^MAX(0,C3739-1)),"n.a."))</f>
        <v>0</v>
      </c>
      <c r="I3739" s="16">
        <f>IF(NOT(Paths!$C$346=1),0,IF(Paths!$P$346="Complete",IF(IF(Paths!$E$346=0,C3739=0,AND(C3739&gt;0,Paths!$E$346&gt;(C3739-1)*12,Paths!$E$346&lt;=C3739*12)),Paths!$G$346,0),"n.a."))</f>
        <v>0</v>
      </c>
      <c r="J3739" s="16">
        <f>IF(NOT(Paths!$C$346=1),0,IF(Paths!$P$346="Complete",IF(IF(Paths!$E$346=0,C3739=0,AND(C3739&gt;0,Paths!$E$346&gt;(C3739-1)*12,Paths!$E$346&lt;=C3739*12)),Paths!$H$346,0),"n.a."))</f>
        <v>0</v>
      </c>
      <c r="K3739" s="16">
        <f>IF(NOT(Paths!$C$346=1),0,IF(Paths!$P$346="Complete",IF(IF(Paths!$O$346=0,C3739=0,AND(C3739&gt;0,Paths!$O$346&gt;(C3739-1)*12,Paths!$O$346&lt;=C3739*12)),Paths!$N$346,0),"n.a."))</f>
        <v>0</v>
      </c>
      <c r="L3739" s="16">
        <f>IF(NOT(Paths!$C$346=1),0,IF(Paths!$P$346="Complete",IF(C3739=10,Paths!$I$346,0),"n.a."))</f>
        <v>0</v>
      </c>
      <c r="M3739" s="16">
        <f>IF(NOT(Paths!$C$346=1),0,IF(Paths!$P$346="Complete",IF(AND(Paths!$D$346="EV",Paths!$E$346&lt;120,Paths!$E$346+'Operating costs'!$B$65&gt;Paths!$E$346,Paths!$E$346+'Operating costs'!$B$65&lt;=120,IF(Paths!$E$346+'Operating costs'!$B$65=0,C3739=0,AND(C3739&gt;0,Paths!$E$346+'Operating costs'!$B$65&gt;(C3739-1)*12,Paths!$E$346+'Operating costs'!$B$65&lt;=C3739*12))),'Operating costs'!$B$64,0)+IF(AND('Operating costs'!$B$67&gt;0,'Operating costs'!$B$67&lt;=120,OR(Paths!$D$346="ICE",'Operating costs'!$B$67&lt;=Paths!$E$346),IF('Operating costs'!$B$67=0,C3739=0,AND(C3739&gt;0,'Operating costs'!$B$67&gt;(C3739-1)*12,'Operating costs'!$B$67&lt;=C3739*12))),'Operating costs'!$B$66,0),"n.a."))</f>
        <v>0</v>
      </c>
      <c r="N3739" s="16">
        <f>IF(NOT(Paths!$C$346=1),0,IF(Paths!$P$346="Complete",SUM(G3739:I3739)-J3739-K3739-L3739+M3739+IF(C3739=0,Paths!$F$346,0)+IF(IF(Paths!$E$346=0,C3739=0,AND(C3739&gt;0,Paths!$E$346&gt;(C3739-1)*12,Paths!$E$346&lt;=C3739*12)),VLOOKUP(A3739,'Fleet register'!$A$7:$S$106,16,FALSE),0),"n.a."))</f>
        <v>0</v>
      </c>
      <c r="O3739" s="16">
        <f>IF(NOT(Paths!$C$346=1),0,IF(Paths!$P$346="Complete",N3739-IF(C3739=0,Paths!$F$346,0),"n.a."))</f>
        <v>0</v>
      </c>
      <c r="P3739" s="16">
        <f>IF(NOT(Paths!$C$346=1),0,IF(Paths!$P$346="Complete",O3739+L3739,"n.a."))</f>
        <v>0</v>
      </c>
      <c r="Q3739" s="16">
        <f>IF(NOT(Paths!$C$346=1),0,IF(Paths!$P$346="Complete",N3739*(1+'Operating costs'!$B$54)^-C3739,"n.a."))</f>
        <v>0</v>
      </c>
      <c r="R3739" s="16">
        <f>IF(NOT(Paths!$C$346=1),0,IF(Paths!$P$346="Complete",IF(AND(C3739=0,Paths!$E$346=0),I3739-J3739-K3739+VLOOKUP(A3739,'Fleet register'!$A$7:$S$106,15,FALSE)+VLOOKUP(A3739,'Fleet register'!$A$7:$S$106,16,FALSE),0),"n.a."))</f>
        <v>0</v>
      </c>
      <c r="S3739" s="1">
        <f>IF(NOT(Paths!$C$346=1),0,IF(Paths!$P$346="Complete",IF(C3739=0,0,Paths!$S$346*Paths!$R$346),"n.a."))</f>
        <v>0</v>
      </c>
      <c r="T3739" s="1">
        <f>IF(NOT(Paths!$C$346=1),0,IF(Paths!$P$346="Complete",IF(C3739=0,0,VLOOKUP(A3739,'Fleet register'!$A$7:$S$106,9,FALSE)*Paths!$R$346),"n.a."))</f>
        <v>0</v>
      </c>
    </row>
    <row r="3740" spans="1:20" ht="24" customHeight="1">
      <c r="A3740" s="1" t="str">
        <f>Paths!$A$346</f>
        <v>T085</v>
      </c>
      <c r="B3740" s="1">
        <f>Paths!$B$346</f>
        <v>3</v>
      </c>
      <c r="C3740" s="1">
        <v>4</v>
      </c>
      <c r="D3740" s="1">
        <v>346</v>
      </c>
      <c r="E3740" s="1">
        <f>IF(OR(Paths!$C$346=0,C3740=0),0,MAX(0,MIN(C3740*12,Paths!$E$346)-(C3740-1)*12))</f>
        <v>0</v>
      </c>
      <c r="F3740" s="1">
        <f>IF(OR(Paths!$C$346=0,C3740=0),0,12-E3740)</f>
        <v>0</v>
      </c>
      <c r="G3740" s="16">
        <f>IF(NOT(Paths!$C$346=1),0,IF(Paths!$P$346="Complete",E3740/12*(Paths!$J$346*(1+'Operating costs'!$B$51)^MAX(0,C3740-1)+Paths!$K$346*(1+'Operating costs'!$B$53)^MAX(0,C3740-1)),"n.a."))</f>
        <v>0</v>
      </c>
      <c r="H3740" s="16">
        <f>IF(NOT(Paths!$C$346=1),0,IF(Paths!$P$346="Complete",F3740/12*(Paths!$L$346*(1+IF(Paths!$D$346="EV",'Operating costs'!$B$52,'Operating costs'!$B$51))^MAX(0,C3740-1)+Paths!$M$346*(1+'Operating costs'!$B$53)^MAX(0,C3740-1)),"n.a."))</f>
        <v>0</v>
      </c>
      <c r="I3740" s="16">
        <f>IF(NOT(Paths!$C$346=1),0,IF(Paths!$P$346="Complete",IF(IF(Paths!$E$346=0,C3740=0,AND(C3740&gt;0,Paths!$E$346&gt;(C3740-1)*12,Paths!$E$346&lt;=C3740*12)),Paths!$G$346,0),"n.a."))</f>
        <v>0</v>
      </c>
      <c r="J3740" s="16">
        <f>IF(NOT(Paths!$C$346=1),0,IF(Paths!$P$346="Complete",IF(IF(Paths!$E$346=0,C3740=0,AND(C3740&gt;0,Paths!$E$346&gt;(C3740-1)*12,Paths!$E$346&lt;=C3740*12)),Paths!$H$346,0),"n.a."))</f>
        <v>0</v>
      </c>
      <c r="K3740" s="16">
        <f>IF(NOT(Paths!$C$346=1),0,IF(Paths!$P$346="Complete",IF(IF(Paths!$O$346=0,C3740=0,AND(C3740&gt;0,Paths!$O$346&gt;(C3740-1)*12,Paths!$O$346&lt;=C3740*12)),Paths!$N$346,0),"n.a."))</f>
        <v>0</v>
      </c>
      <c r="L3740" s="16">
        <f>IF(NOT(Paths!$C$346=1),0,IF(Paths!$P$346="Complete",IF(C3740=10,Paths!$I$346,0),"n.a."))</f>
        <v>0</v>
      </c>
      <c r="M3740" s="16">
        <f>IF(NOT(Paths!$C$346=1),0,IF(Paths!$P$346="Complete",IF(AND(Paths!$D$346="EV",Paths!$E$346&lt;120,Paths!$E$346+'Operating costs'!$B$65&gt;Paths!$E$346,Paths!$E$346+'Operating costs'!$B$65&lt;=120,IF(Paths!$E$346+'Operating costs'!$B$65=0,C3740=0,AND(C3740&gt;0,Paths!$E$346+'Operating costs'!$B$65&gt;(C3740-1)*12,Paths!$E$346+'Operating costs'!$B$65&lt;=C3740*12))),'Operating costs'!$B$64,0)+IF(AND('Operating costs'!$B$67&gt;0,'Operating costs'!$B$67&lt;=120,OR(Paths!$D$346="ICE",'Operating costs'!$B$67&lt;=Paths!$E$346),IF('Operating costs'!$B$67=0,C3740=0,AND(C3740&gt;0,'Operating costs'!$B$67&gt;(C3740-1)*12,'Operating costs'!$B$67&lt;=C3740*12))),'Operating costs'!$B$66,0),"n.a."))</f>
        <v>0</v>
      </c>
      <c r="N3740" s="16">
        <f>IF(NOT(Paths!$C$346=1),0,IF(Paths!$P$346="Complete",SUM(G3740:I3740)-J3740-K3740-L3740+M3740+IF(C3740=0,Paths!$F$346,0)+IF(IF(Paths!$E$346=0,C3740=0,AND(C3740&gt;0,Paths!$E$346&gt;(C3740-1)*12,Paths!$E$346&lt;=C3740*12)),VLOOKUP(A3740,'Fleet register'!$A$7:$S$106,16,FALSE),0),"n.a."))</f>
        <v>0</v>
      </c>
      <c r="O3740" s="16">
        <f>IF(NOT(Paths!$C$346=1),0,IF(Paths!$P$346="Complete",N3740-IF(C3740=0,Paths!$F$346,0),"n.a."))</f>
        <v>0</v>
      </c>
      <c r="P3740" s="16">
        <f>IF(NOT(Paths!$C$346=1),0,IF(Paths!$P$346="Complete",O3740+L3740,"n.a."))</f>
        <v>0</v>
      </c>
      <c r="Q3740" s="16">
        <f>IF(NOT(Paths!$C$346=1),0,IF(Paths!$P$346="Complete",N3740*(1+'Operating costs'!$B$54)^-C3740,"n.a."))</f>
        <v>0</v>
      </c>
      <c r="R3740" s="16">
        <f>IF(NOT(Paths!$C$346=1),0,IF(Paths!$P$346="Complete",IF(AND(C3740=0,Paths!$E$346=0),I3740-J3740-K3740+VLOOKUP(A3740,'Fleet register'!$A$7:$S$106,15,FALSE)+VLOOKUP(A3740,'Fleet register'!$A$7:$S$106,16,FALSE),0),"n.a."))</f>
        <v>0</v>
      </c>
      <c r="S3740" s="1">
        <f>IF(NOT(Paths!$C$346=1),0,IF(Paths!$P$346="Complete",IF(C3740=0,0,Paths!$S$346*Paths!$R$346),"n.a."))</f>
        <v>0</v>
      </c>
      <c r="T3740" s="1">
        <f>IF(NOT(Paths!$C$346=1),0,IF(Paths!$P$346="Complete",IF(C3740=0,0,VLOOKUP(A3740,'Fleet register'!$A$7:$S$106,9,FALSE)*Paths!$R$346),"n.a."))</f>
        <v>0</v>
      </c>
    </row>
    <row r="3741" spans="1:20" ht="24" customHeight="1">
      <c r="A3741" s="1" t="str">
        <f>Paths!$A$346</f>
        <v>T085</v>
      </c>
      <c r="B3741" s="1">
        <f>Paths!$B$346</f>
        <v>3</v>
      </c>
      <c r="C3741" s="1">
        <v>5</v>
      </c>
      <c r="D3741" s="1">
        <v>346</v>
      </c>
      <c r="E3741" s="1">
        <f>IF(OR(Paths!$C$346=0,C3741=0),0,MAX(0,MIN(C3741*12,Paths!$E$346)-(C3741-1)*12))</f>
        <v>0</v>
      </c>
      <c r="F3741" s="1">
        <f>IF(OR(Paths!$C$346=0,C3741=0),0,12-E3741)</f>
        <v>0</v>
      </c>
      <c r="G3741" s="16">
        <f>IF(NOT(Paths!$C$346=1),0,IF(Paths!$P$346="Complete",E3741/12*(Paths!$J$346*(1+'Operating costs'!$B$51)^MAX(0,C3741-1)+Paths!$K$346*(1+'Operating costs'!$B$53)^MAX(0,C3741-1)),"n.a."))</f>
        <v>0</v>
      </c>
      <c r="H3741" s="16">
        <f>IF(NOT(Paths!$C$346=1),0,IF(Paths!$P$346="Complete",F3741/12*(Paths!$L$346*(1+IF(Paths!$D$346="EV",'Operating costs'!$B$52,'Operating costs'!$B$51))^MAX(0,C3741-1)+Paths!$M$346*(1+'Operating costs'!$B$53)^MAX(0,C3741-1)),"n.a."))</f>
        <v>0</v>
      </c>
      <c r="I3741" s="16">
        <f>IF(NOT(Paths!$C$346=1),0,IF(Paths!$P$346="Complete",IF(IF(Paths!$E$346=0,C3741=0,AND(C3741&gt;0,Paths!$E$346&gt;(C3741-1)*12,Paths!$E$346&lt;=C3741*12)),Paths!$G$346,0),"n.a."))</f>
        <v>0</v>
      </c>
      <c r="J3741" s="16">
        <f>IF(NOT(Paths!$C$346=1),0,IF(Paths!$P$346="Complete",IF(IF(Paths!$E$346=0,C3741=0,AND(C3741&gt;0,Paths!$E$346&gt;(C3741-1)*12,Paths!$E$346&lt;=C3741*12)),Paths!$H$346,0),"n.a."))</f>
        <v>0</v>
      </c>
      <c r="K3741" s="16">
        <f>IF(NOT(Paths!$C$346=1),0,IF(Paths!$P$346="Complete",IF(IF(Paths!$O$346=0,C3741=0,AND(C3741&gt;0,Paths!$O$346&gt;(C3741-1)*12,Paths!$O$346&lt;=C3741*12)),Paths!$N$346,0),"n.a."))</f>
        <v>0</v>
      </c>
      <c r="L3741" s="16">
        <f>IF(NOT(Paths!$C$346=1),0,IF(Paths!$P$346="Complete",IF(C3741=10,Paths!$I$346,0),"n.a."))</f>
        <v>0</v>
      </c>
      <c r="M3741" s="16">
        <f>IF(NOT(Paths!$C$346=1),0,IF(Paths!$P$346="Complete",IF(AND(Paths!$D$346="EV",Paths!$E$346&lt;120,Paths!$E$346+'Operating costs'!$B$65&gt;Paths!$E$346,Paths!$E$346+'Operating costs'!$B$65&lt;=120,IF(Paths!$E$346+'Operating costs'!$B$65=0,C3741=0,AND(C3741&gt;0,Paths!$E$346+'Operating costs'!$B$65&gt;(C3741-1)*12,Paths!$E$346+'Operating costs'!$B$65&lt;=C3741*12))),'Operating costs'!$B$64,0)+IF(AND('Operating costs'!$B$67&gt;0,'Operating costs'!$B$67&lt;=120,OR(Paths!$D$346="ICE",'Operating costs'!$B$67&lt;=Paths!$E$346),IF('Operating costs'!$B$67=0,C3741=0,AND(C3741&gt;0,'Operating costs'!$B$67&gt;(C3741-1)*12,'Operating costs'!$B$67&lt;=C3741*12))),'Operating costs'!$B$66,0),"n.a."))</f>
        <v>0</v>
      </c>
      <c r="N3741" s="16">
        <f>IF(NOT(Paths!$C$346=1),0,IF(Paths!$P$346="Complete",SUM(G3741:I3741)-J3741-K3741-L3741+M3741+IF(C3741=0,Paths!$F$346,0)+IF(IF(Paths!$E$346=0,C3741=0,AND(C3741&gt;0,Paths!$E$346&gt;(C3741-1)*12,Paths!$E$346&lt;=C3741*12)),VLOOKUP(A3741,'Fleet register'!$A$7:$S$106,16,FALSE),0),"n.a."))</f>
        <v>0</v>
      </c>
      <c r="O3741" s="16">
        <f>IF(NOT(Paths!$C$346=1),0,IF(Paths!$P$346="Complete",N3741-IF(C3741=0,Paths!$F$346,0),"n.a."))</f>
        <v>0</v>
      </c>
      <c r="P3741" s="16">
        <f>IF(NOT(Paths!$C$346=1),0,IF(Paths!$P$346="Complete",O3741+L3741,"n.a."))</f>
        <v>0</v>
      </c>
      <c r="Q3741" s="16">
        <f>IF(NOT(Paths!$C$346=1),0,IF(Paths!$P$346="Complete",N3741*(1+'Operating costs'!$B$54)^-C3741,"n.a."))</f>
        <v>0</v>
      </c>
      <c r="R3741" s="16">
        <f>IF(NOT(Paths!$C$346=1),0,IF(Paths!$P$346="Complete",IF(AND(C3741=0,Paths!$E$346=0),I3741-J3741-K3741+VLOOKUP(A3741,'Fleet register'!$A$7:$S$106,15,FALSE)+VLOOKUP(A3741,'Fleet register'!$A$7:$S$106,16,FALSE),0),"n.a."))</f>
        <v>0</v>
      </c>
      <c r="S3741" s="1">
        <f>IF(NOT(Paths!$C$346=1),0,IF(Paths!$P$346="Complete",IF(C3741=0,0,Paths!$S$346*Paths!$R$346),"n.a."))</f>
        <v>0</v>
      </c>
      <c r="T3741" s="1">
        <f>IF(NOT(Paths!$C$346=1),0,IF(Paths!$P$346="Complete",IF(C3741=0,0,VLOOKUP(A3741,'Fleet register'!$A$7:$S$106,9,FALSE)*Paths!$R$346),"n.a."))</f>
        <v>0</v>
      </c>
    </row>
    <row r="3742" spans="1:20" ht="24" customHeight="1">
      <c r="A3742" s="1" t="str">
        <f>Paths!$A$346</f>
        <v>T085</v>
      </c>
      <c r="B3742" s="1">
        <f>Paths!$B$346</f>
        <v>3</v>
      </c>
      <c r="C3742" s="1">
        <v>6</v>
      </c>
      <c r="D3742" s="1">
        <v>346</v>
      </c>
      <c r="E3742" s="1">
        <f>IF(OR(Paths!$C$346=0,C3742=0),0,MAX(0,MIN(C3742*12,Paths!$E$346)-(C3742-1)*12))</f>
        <v>0</v>
      </c>
      <c r="F3742" s="1">
        <f>IF(OR(Paths!$C$346=0,C3742=0),0,12-E3742)</f>
        <v>0</v>
      </c>
      <c r="G3742" s="16">
        <f>IF(NOT(Paths!$C$346=1),0,IF(Paths!$P$346="Complete",E3742/12*(Paths!$J$346*(1+'Operating costs'!$B$51)^MAX(0,C3742-1)+Paths!$K$346*(1+'Operating costs'!$B$53)^MAX(0,C3742-1)),"n.a."))</f>
        <v>0</v>
      </c>
      <c r="H3742" s="16">
        <f>IF(NOT(Paths!$C$346=1),0,IF(Paths!$P$346="Complete",F3742/12*(Paths!$L$346*(1+IF(Paths!$D$346="EV",'Operating costs'!$B$52,'Operating costs'!$B$51))^MAX(0,C3742-1)+Paths!$M$346*(1+'Operating costs'!$B$53)^MAX(0,C3742-1)),"n.a."))</f>
        <v>0</v>
      </c>
      <c r="I3742" s="16">
        <f>IF(NOT(Paths!$C$346=1),0,IF(Paths!$P$346="Complete",IF(IF(Paths!$E$346=0,C3742=0,AND(C3742&gt;0,Paths!$E$346&gt;(C3742-1)*12,Paths!$E$346&lt;=C3742*12)),Paths!$G$346,0),"n.a."))</f>
        <v>0</v>
      </c>
      <c r="J3742" s="16">
        <f>IF(NOT(Paths!$C$346=1),0,IF(Paths!$P$346="Complete",IF(IF(Paths!$E$346=0,C3742=0,AND(C3742&gt;0,Paths!$E$346&gt;(C3742-1)*12,Paths!$E$346&lt;=C3742*12)),Paths!$H$346,0),"n.a."))</f>
        <v>0</v>
      </c>
      <c r="K3742" s="16">
        <f>IF(NOT(Paths!$C$346=1),0,IF(Paths!$P$346="Complete",IF(IF(Paths!$O$346=0,C3742=0,AND(C3742&gt;0,Paths!$O$346&gt;(C3742-1)*12,Paths!$O$346&lt;=C3742*12)),Paths!$N$346,0),"n.a."))</f>
        <v>0</v>
      </c>
      <c r="L3742" s="16">
        <f>IF(NOT(Paths!$C$346=1),0,IF(Paths!$P$346="Complete",IF(C3742=10,Paths!$I$346,0),"n.a."))</f>
        <v>0</v>
      </c>
      <c r="M3742" s="16">
        <f>IF(NOT(Paths!$C$346=1),0,IF(Paths!$P$346="Complete",IF(AND(Paths!$D$346="EV",Paths!$E$346&lt;120,Paths!$E$346+'Operating costs'!$B$65&gt;Paths!$E$346,Paths!$E$346+'Operating costs'!$B$65&lt;=120,IF(Paths!$E$346+'Operating costs'!$B$65=0,C3742=0,AND(C3742&gt;0,Paths!$E$346+'Operating costs'!$B$65&gt;(C3742-1)*12,Paths!$E$346+'Operating costs'!$B$65&lt;=C3742*12))),'Operating costs'!$B$64,0)+IF(AND('Operating costs'!$B$67&gt;0,'Operating costs'!$B$67&lt;=120,OR(Paths!$D$346="ICE",'Operating costs'!$B$67&lt;=Paths!$E$346),IF('Operating costs'!$B$67=0,C3742=0,AND(C3742&gt;0,'Operating costs'!$B$67&gt;(C3742-1)*12,'Operating costs'!$B$67&lt;=C3742*12))),'Operating costs'!$B$66,0),"n.a."))</f>
        <v>0</v>
      </c>
      <c r="N3742" s="16">
        <f>IF(NOT(Paths!$C$346=1),0,IF(Paths!$P$346="Complete",SUM(G3742:I3742)-J3742-K3742-L3742+M3742+IF(C3742=0,Paths!$F$346,0)+IF(IF(Paths!$E$346=0,C3742=0,AND(C3742&gt;0,Paths!$E$346&gt;(C3742-1)*12,Paths!$E$346&lt;=C3742*12)),VLOOKUP(A3742,'Fleet register'!$A$7:$S$106,16,FALSE),0),"n.a."))</f>
        <v>0</v>
      </c>
      <c r="O3742" s="16">
        <f>IF(NOT(Paths!$C$346=1),0,IF(Paths!$P$346="Complete",N3742-IF(C3742=0,Paths!$F$346,0),"n.a."))</f>
        <v>0</v>
      </c>
      <c r="P3742" s="16">
        <f>IF(NOT(Paths!$C$346=1),0,IF(Paths!$P$346="Complete",O3742+L3742,"n.a."))</f>
        <v>0</v>
      </c>
      <c r="Q3742" s="16">
        <f>IF(NOT(Paths!$C$346=1),0,IF(Paths!$P$346="Complete",N3742*(1+'Operating costs'!$B$54)^-C3742,"n.a."))</f>
        <v>0</v>
      </c>
      <c r="R3742" s="16">
        <f>IF(NOT(Paths!$C$346=1),0,IF(Paths!$P$346="Complete",IF(AND(C3742=0,Paths!$E$346=0),I3742-J3742-K3742+VLOOKUP(A3742,'Fleet register'!$A$7:$S$106,15,FALSE)+VLOOKUP(A3742,'Fleet register'!$A$7:$S$106,16,FALSE),0),"n.a."))</f>
        <v>0</v>
      </c>
      <c r="S3742" s="1">
        <f>IF(NOT(Paths!$C$346=1),0,IF(Paths!$P$346="Complete",IF(C3742=0,0,Paths!$S$346*Paths!$R$346),"n.a."))</f>
        <v>0</v>
      </c>
      <c r="T3742" s="1">
        <f>IF(NOT(Paths!$C$346=1),0,IF(Paths!$P$346="Complete",IF(C3742=0,0,VLOOKUP(A3742,'Fleet register'!$A$7:$S$106,9,FALSE)*Paths!$R$346),"n.a."))</f>
        <v>0</v>
      </c>
    </row>
    <row r="3743" spans="1:20" ht="24" customHeight="1">
      <c r="A3743" s="1" t="str">
        <f>Paths!$A$346</f>
        <v>T085</v>
      </c>
      <c r="B3743" s="1">
        <f>Paths!$B$346</f>
        <v>3</v>
      </c>
      <c r="C3743" s="1">
        <v>7</v>
      </c>
      <c r="D3743" s="1">
        <v>346</v>
      </c>
      <c r="E3743" s="1">
        <f>IF(OR(Paths!$C$346=0,C3743=0),0,MAX(0,MIN(C3743*12,Paths!$E$346)-(C3743-1)*12))</f>
        <v>0</v>
      </c>
      <c r="F3743" s="1">
        <f>IF(OR(Paths!$C$346=0,C3743=0),0,12-E3743)</f>
        <v>0</v>
      </c>
      <c r="G3743" s="16">
        <f>IF(NOT(Paths!$C$346=1),0,IF(Paths!$P$346="Complete",E3743/12*(Paths!$J$346*(1+'Operating costs'!$B$51)^MAX(0,C3743-1)+Paths!$K$346*(1+'Operating costs'!$B$53)^MAX(0,C3743-1)),"n.a."))</f>
        <v>0</v>
      </c>
      <c r="H3743" s="16">
        <f>IF(NOT(Paths!$C$346=1),0,IF(Paths!$P$346="Complete",F3743/12*(Paths!$L$346*(1+IF(Paths!$D$346="EV",'Operating costs'!$B$52,'Operating costs'!$B$51))^MAX(0,C3743-1)+Paths!$M$346*(1+'Operating costs'!$B$53)^MAX(0,C3743-1)),"n.a."))</f>
        <v>0</v>
      </c>
      <c r="I3743" s="16">
        <f>IF(NOT(Paths!$C$346=1),0,IF(Paths!$P$346="Complete",IF(IF(Paths!$E$346=0,C3743=0,AND(C3743&gt;0,Paths!$E$346&gt;(C3743-1)*12,Paths!$E$346&lt;=C3743*12)),Paths!$G$346,0),"n.a."))</f>
        <v>0</v>
      </c>
      <c r="J3743" s="16">
        <f>IF(NOT(Paths!$C$346=1),0,IF(Paths!$P$346="Complete",IF(IF(Paths!$E$346=0,C3743=0,AND(C3743&gt;0,Paths!$E$346&gt;(C3743-1)*12,Paths!$E$346&lt;=C3743*12)),Paths!$H$346,0),"n.a."))</f>
        <v>0</v>
      </c>
      <c r="K3743" s="16">
        <f>IF(NOT(Paths!$C$346=1),0,IF(Paths!$P$346="Complete",IF(IF(Paths!$O$346=0,C3743=0,AND(C3743&gt;0,Paths!$O$346&gt;(C3743-1)*12,Paths!$O$346&lt;=C3743*12)),Paths!$N$346,0),"n.a."))</f>
        <v>0</v>
      </c>
      <c r="L3743" s="16">
        <f>IF(NOT(Paths!$C$346=1),0,IF(Paths!$P$346="Complete",IF(C3743=10,Paths!$I$346,0),"n.a."))</f>
        <v>0</v>
      </c>
      <c r="M3743" s="16">
        <f>IF(NOT(Paths!$C$346=1),0,IF(Paths!$P$346="Complete",IF(AND(Paths!$D$346="EV",Paths!$E$346&lt;120,Paths!$E$346+'Operating costs'!$B$65&gt;Paths!$E$346,Paths!$E$346+'Operating costs'!$B$65&lt;=120,IF(Paths!$E$346+'Operating costs'!$B$65=0,C3743=0,AND(C3743&gt;0,Paths!$E$346+'Operating costs'!$B$65&gt;(C3743-1)*12,Paths!$E$346+'Operating costs'!$B$65&lt;=C3743*12))),'Operating costs'!$B$64,0)+IF(AND('Operating costs'!$B$67&gt;0,'Operating costs'!$B$67&lt;=120,OR(Paths!$D$346="ICE",'Operating costs'!$B$67&lt;=Paths!$E$346),IF('Operating costs'!$B$67=0,C3743=0,AND(C3743&gt;0,'Operating costs'!$B$67&gt;(C3743-1)*12,'Operating costs'!$B$67&lt;=C3743*12))),'Operating costs'!$B$66,0),"n.a."))</f>
        <v>0</v>
      </c>
      <c r="N3743" s="16">
        <f>IF(NOT(Paths!$C$346=1),0,IF(Paths!$P$346="Complete",SUM(G3743:I3743)-J3743-K3743-L3743+M3743+IF(C3743=0,Paths!$F$346,0)+IF(IF(Paths!$E$346=0,C3743=0,AND(C3743&gt;0,Paths!$E$346&gt;(C3743-1)*12,Paths!$E$346&lt;=C3743*12)),VLOOKUP(A3743,'Fleet register'!$A$7:$S$106,16,FALSE),0),"n.a."))</f>
        <v>0</v>
      </c>
      <c r="O3743" s="16">
        <f>IF(NOT(Paths!$C$346=1),0,IF(Paths!$P$346="Complete",N3743-IF(C3743=0,Paths!$F$346,0),"n.a."))</f>
        <v>0</v>
      </c>
      <c r="P3743" s="16">
        <f>IF(NOT(Paths!$C$346=1),0,IF(Paths!$P$346="Complete",O3743+L3743,"n.a."))</f>
        <v>0</v>
      </c>
      <c r="Q3743" s="16">
        <f>IF(NOT(Paths!$C$346=1),0,IF(Paths!$P$346="Complete",N3743*(1+'Operating costs'!$B$54)^-C3743,"n.a."))</f>
        <v>0</v>
      </c>
      <c r="R3743" s="16">
        <f>IF(NOT(Paths!$C$346=1),0,IF(Paths!$P$346="Complete",IF(AND(C3743=0,Paths!$E$346=0),I3743-J3743-K3743+VLOOKUP(A3743,'Fleet register'!$A$7:$S$106,15,FALSE)+VLOOKUP(A3743,'Fleet register'!$A$7:$S$106,16,FALSE),0),"n.a."))</f>
        <v>0</v>
      </c>
      <c r="S3743" s="1">
        <f>IF(NOT(Paths!$C$346=1),0,IF(Paths!$P$346="Complete",IF(C3743=0,0,Paths!$S$346*Paths!$R$346),"n.a."))</f>
        <v>0</v>
      </c>
      <c r="T3743" s="1">
        <f>IF(NOT(Paths!$C$346=1),0,IF(Paths!$P$346="Complete",IF(C3743=0,0,VLOOKUP(A3743,'Fleet register'!$A$7:$S$106,9,FALSE)*Paths!$R$346),"n.a."))</f>
        <v>0</v>
      </c>
    </row>
    <row r="3744" spans="1:20" ht="24" customHeight="1">
      <c r="A3744" s="1" t="str">
        <f>Paths!$A$346</f>
        <v>T085</v>
      </c>
      <c r="B3744" s="1">
        <f>Paths!$B$346</f>
        <v>3</v>
      </c>
      <c r="C3744" s="1">
        <v>8</v>
      </c>
      <c r="D3744" s="1">
        <v>346</v>
      </c>
      <c r="E3744" s="1">
        <f>IF(OR(Paths!$C$346=0,C3744=0),0,MAX(0,MIN(C3744*12,Paths!$E$346)-(C3744-1)*12))</f>
        <v>0</v>
      </c>
      <c r="F3744" s="1">
        <f>IF(OR(Paths!$C$346=0,C3744=0),0,12-E3744)</f>
        <v>0</v>
      </c>
      <c r="G3744" s="16">
        <f>IF(NOT(Paths!$C$346=1),0,IF(Paths!$P$346="Complete",E3744/12*(Paths!$J$346*(1+'Operating costs'!$B$51)^MAX(0,C3744-1)+Paths!$K$346*(1+'Operating costs'!$B$53)^MAX(0,C3744-1)),"n.a."))</f>
        <v>0</v>
      </c>
      <c r="H3744" s="16">
        <f>IF(NOT(Paths!$C$346=1),0,IF(Paths!$P$346="Complete",F3744/12*(Paths!$L$346*(1+IF(Paths!$D$346="EV",'Operating costs'!$B$52,'Operating costs'!$B$51))^MAX(0,C3744-1)+Paths!$M$346*(1+'Operating costs'!$B$53)^MAX(0,C3744-1)),"n.a."))</f>
        <v>0</v>
      </c>
      <c r="I3744" s="16">
        <f>IF(NOT(Paths!$C$346=1),0,IF(Paths!$P$346="Complete",IF(IF(Paths!$E$346=0,C3744=0,AND(C3744&gt;0,Paths!$E$346&gt;(C3744-1)*12,Paths!$E$346&lt;=C3744*12)),Paths!$G$346,0),"n.a."))</f>
        <v>0</v>
      </c>
      <c r="J3744" s="16">
        <f>IF(NOT(Paths!$C$346=1),0,IF(Paths!$P$346="Complete",IF(IF(Paths!$E$346=0,C3744=0,AND(C3744&gt;0,Paths!$E$346&gt;(C3744-1)*12,Paths!$E$346&lt;=C3744*12)),Paths!$H$346,0),"n.a."))</f>
        <v>0</v>
      </c>
      <c r="K3744" s="16">
        <f>IF(NOT(Paths!$C$346=1),0,IF(Paths!$P$346="Complete",IF(IF(Paths!$O$346=0,C3744=0,AND(C3744&gt;0,Paths!$O$346&gt;(C3744-1)*12,Paths!$O$346&lt;=C3744*12)),Paths!$N$346,0),"n.a."))</f>
        <v>0</v>
      </c>
      <c r="L3744" s="16">
        <f>IF(NOT(Paths!$C$346=1),0,IF(Paths!$P$346="Complete",IF(C3744=10,Paths!$I$346,0),"n.a."))</f>
        <v>0</v>
      </c>
      <c r="M3744" s="16">
        <f>IF(NOT(Paths!$C$346=1),0,IF(Paths!$P$346="Complete",IF(AND(Paths!$D$346="EV",Paths!$E$346&lt;120,Paths!$E$346+'Operating costs'!$B$65&gt;Paths!$E$346,Paths!$E$346+'Operating costs'!$B$65&lt;=120,IF(Paths!$E$346+'Operating costs'!$B$65=0,C3744=0,AND(C3744&gt;0,Paths!$E$346+'Operating costs'!$B$65&gt;(C3744-1)*12,Paths!$E$346+'Operating costs'!$B$65&lt;=C3744*12))),'Operating costs'!$B$64,0)+IF(AND('Operating costs'!$B$67&gt;0,'Operating costs'!$B$67&lt;=120,OR(Paths!$D$346="ICE",'Operating costs'!$B$67&lt;=Paths!$E$346),IF('Operating costs'!$B$67=0,C3744=0,AND(C3744&gt;0,'Operating costs'!$B$67&gt;(C3744-1)*12,'Operating costs'!$B$67&lt;=C3744*12))),'Operating costs'!$B$66,0),"n.a."))</f>
        <v>0</v>
      </c>
      <c r="N3744" s="16">
        <f>IF(NOT(Paths!$C$346=1),0,IF(Paths!$P$346="Complete",SUM(G3744:I3744)-J3744-K3744-L3744+M3744+IF(C3744=0,Paths!$F$346,0)+IF(IF(Paths!$E$346=0,C3744=0,AND(C3744&gt;0,Paths!$E$346&gt;(C3744-1)*12,Paths!$E$346&lt;=C3744*12)),VLOOKUP(A3744,'Fleet register'!$A$7:$S$106,16,FALSE),0),"n.a."))</f>
        <v>0</v>
      </c>
      <c r="O3744" s="16">
        <f>IF(NOT(Paths!$C$346=1),0,IF(Paths!$P$346="Complete",N3744-IF(C3744=0,Paths!$F$346,0),"n.a."))</f>
        <v>0</v>
      </c>
      <c r="P3744" s="16">
        <f>IF(NOT(Paths!$C$346=1),0,IF(Paths!$P$346="Complete",O3744+L3744,"n.a."))</f>
        <v>0</v>
      </c>
      <c r="Q3744" s="16">
        <f>IF(NOT(Paths!$C$346=1),0,IF(Paths!$P$346="Complete",N3744*(1+'Operating costs'!$B$54)^-C3744,"n.a."))</f>
        <v>0</v>
      </c>
      <c r="R3744" s="16">
        <f>IF(NOT(Paths!$C$346=1),0,IF(Paths!$P$346="Complete",IF(AND(C3744=0,Paths!$E$346=0),I3744-J3744-K3744+VLOOKUP(A3744,'Fleet register'!$A$7:$S$106,15,FALSE)+VLOOKUP(A3744,'Fleet register'!$A$7:$S$106,16,FALSE),0),"n.a."))</f>
        <v>0</v>
      </c>
      <c r="S3744" s="1">
        <f>IF(NOT(Paths!$C$346=1),0,IF(Paths!$P$346="Complete",IF(C3744=0,0,Paths!$S$346*Paths!$R$346),"n.a."))</f>
        <v>0</v>
      </c>
      <c r="T3744" s="1">
        <f>IF(NOT(Paths!$C$346=1),0,IF(Paths!$P$346="Complete",IF(C3744=0,0,VLOOKUP(A3744,'Fleet register'!$A$7:$S$106,9,FALSE)*Paths!$R$346),"n.a."))</f>
        <v>0</v>
      </c>
    </row>
    <row r="3745" spans="1:20" ht="24" customHeight="1">
      <c r="A3745" s="1" t="str">
        <f>Paths!$A$346</f>
        <v>T085</v>
      </c>
      <c r="B3745" s="1">
        <f>Paths!$B$346</f>
        <v>3</v>
      </c>
      <c r="C3745" s="1">
        <v>9</v>
      </c>
      <c r="D3745" s="1">
        <v>346</v>
      </c>
      <c r="E3745" s="1">
        <f>IF(OR(Paths!$C$346=0,C3745=0),0,MAX(0,MIN(C3745*12,Paths!$E$346)-(C3745-1)*12))</f>
        <v>0</v>
      </c>
      <c r="F3745" s="1">
        <f>IF(OR(Paths!$C$346=0,C3745=0),0,12-E3745)</f>
        <v>0</v>
      </c>
      <c r="G3745" s="16">
        <f>IF(NOT(Paths!$C$346=1),0,IF(Paths!$P$346="Complete",E3745/12*(Paths!$J$346*(1+'Operating costs'!$B$51)^MAX(0,C3745-1)+Paths!$K$346*(1+'Operating costs'!$B$53)^MAX(0,C3745-1)),"n.a."))</f>
        <v>0</v>
      </c>
      <c r="H3745" s="16">
        <f>IF(NOT(Paths!$C$346=1),0,IF(Paths!$P$346="Complete",F3745/12*(Paths!$L$346*(1+IF(Paths!$D$346="EV",'Operating costs'!$B$52,'Operating costs'!$B$51))^MAX(0,C3745-1)+Paths!$M$346*(1+'Operating costs'!$B$53)^MAX(0,C3745-1)),"n.a."))</f>
        <v>0</v>
      </c>
      <c r="I3745" s="16">
        <f>IF(NOT(Paths!$C$346=1),0,IF(Paths!$P$346="Complete",IF(IF(Paths!$E$346=0,C3745=0,AND(C3745&gt;0,Paths!$E$346&gt;(C3745-1)*12,Paths!$E$346&lt;=C3745*12)),Paths!$G$346,0),"n.a."))</f>
        <v>0</v>
      </c>
      <c r="J3745" s="16">
        <f>IF(NOT(Paths!$C$346=1),0,IF(Paths!$P$346="Complete",IF(IF(Paths!$E$346=0,C3745=0,AND(C3745&gt;0,Paths!$E$346&gt;(C3745-1)*12,Paths!$E$346&lt;=C3745*12)),Paths!$H$346,0),"n.a."))</f>
        <v>0</v>
      </c>
      <c r="K3745" s="16">
        <f>IF(NOT(Paths!$C$346=1),0,IF(Paths!$P$346="Complete",IF(IF(Paths!$O$346=0,C3745=0,AND(C3745&gt;0,Paths!$O$346&gt;(C3745-1)*12,Paths!$O$346&lt;=C3745*12)),Paths!$N$346,0),"n.a."))</f>
        <v>0</v>
      </c>
      <c r="L3745" s="16">
        <f>IF(NOT(Paths!$C$346=1),0,IF(Paths!$P$346="Complete",IF(C3745=10,Paths!$I$346,0),"n.a."))</f>
        <v>0</v>
      </c>
      <c r="M3745" s="16">
        <f>IF(NOT(Paths!$C$346=1),0,IF(Paths!$P$346="Complete",IF(AND(Paths!$D$346="EV",Paths!$E$346&lt;120,Paths!$E$346+'Operating costs'!$B$65&gt;Paths!$E$346,Paths!$E$346+'Operating costs'!$B$65&lt;=120,IF(Paths!$E$346+'Operating costs'!$B$65=0,C3745=0,AND(C3745&gt;0,Paths!$E$346+'Operating costs'!$B$65&gt;(C3745-1)*12,Paths!$E$346+'Operating costs'!$B$65&lt;=C3745*12))),'Operating costs'!$B$64,0)+IF(AND('Operating costs'!$B$67&gt;0,'Operating costs'!$B$67&lt;=120,OR(Paths!$D$346="ICE",'Operating costs'!$B$67&lt;=Paths!$E$346),IF('Operating costs'!$B$67=0,C3745=0,AND(C3745&gt;0,'Operating costs'!$B$67&gt;(C3745-1)*12,'Operating costs'!$B$67&lt;=C3745*12))),'Operating costs'!$B$66,0),"n.a."))</f>
        <v>0</v>
      </c>
      <c r="N3745" s="16">
        <f>IF(NOT(Paths!$C$346=1),0,IF(Paths!$P$346="Complete",SUM(G3745:I3745)-J3745-K3745-L3745+M3745+IF(C3745=0,Paths!$F$346,0)+IF(IF(Paths!$E$346=0,C3745=0,AND(C3745&gt;0,Paths!$E$346&gt;(C3745-1)*12,Paths!$E$346&lt;=C3745*12)),VLOOKUP(A3745,'Fleet register'!$A$7:$S$106,16,FALSE),0),"n.a."))</f>
        <v>0</v>
      </c>
      <c r="O3745" s="16">
        <f>IF(NOT(Paths!$C$346=1),0,IF(Paths!$P$346="Complete",N3745-IF(C3745=0,Paths!$F$346,0),"n.a."))</f>
        <v>0</v>
      </c>
      <c r="P3745" s="16">
        <f>IF(NOT(Paths!$C$346=1),0,IF(Paths!$P$346="Complete",O3745+L3745,"n.a."))</f>
        <v>0</v>
      </c>
      <c r="Q3745" s="16">
        <f>IF(NOT(Paths!$C$346=1),0,IF(Paths!$P$346="Complete",N3745*(1+'Operating costs'!$B$54)^-C3745,"n.a."))</f>
        <v>0</v>
      </c>
      <c r="R3745" s="16">
        <f>IF(NOT(Paths!$C$346=1),0,IF(Paths!$P$346="Complete",IF(AND(C3745=0,Paths!$E$346=0),I3745-J3745-K3745+VLOOKUP(A3745,'Fleet register'!$A$7:$S$106,15,FALSE)+VLOOKUP(A3745,'Fleet register'!$A$7:$S$106,16,FALSE),0),"n.a."))</f>
        <v>0</v>
      </c>
      <c r="S3745" s="1">
        <f>IF(NOT(Paths!$C$346=1),0,IF(Paths!$P$346="Complete",IF(C3745=0,0,Paths!$S$346*Paths!$R$346),"n.a."))</f>
        <v>0</v>
      </c>
      <c r="T3745" s="1">
        <f>IF(NOT(Paths!$C$346=1),0,IF(Paths!$P$346="Complete",IF(C3745=0,0,VLOOKUP(A3745,'Fleet register'!$A$7:$S$106,9,FALSE)*Paths!$R$346),"n.a."))</f>
        <v>0</v>
      </c>
    </row>
    <row r="3746" spans="1:20" ht="24" customHeight="1">
      <c r="A3746" s="1" t="str">
        <f>Paths!$A$346</f>
        <v>T085</v>
      </c>
      <c r="B3746" s="1">
        <f>Paths!$B$346</f>
        <v>3</v>
      </c>
      <c r="C3746" s="1">
        <v>10</v>
      </c>
      <c r="D3746" s="1">
        <v>346</v>
      </c>
      <c r="E3746" s="1">
        <f>IF(OR(Paths!$C$346=0,C3746=0),0,MAX(0,MIN(C3746*12,Paths!$E$346)-(C3746-1)*12))</f>
        <v>0</v>
      </c>
      <c r="F3746" s="1">
        <f>IF(OR(Paths!$C$346=0,C3746=0),0,12-E3746)</f>
        <v>0</v>
      </c>
      <c r="G3746" s="16">
        <f>IF(NOT(Paths!$C$346=1),0,IF(Paths!$P$346="Complete",E3746/12*(Paths!$J$346*(1+'Operating costs'!$B$51)^MAX(0,C3746-1)+Paths!$K$346*(1+'Operating costs'!$B$53)^MAX(0,C3746-1)),"n.a."))</f>
        <v>0</v>
      </c>
      <c r="H3746" s="16">
        <f>IF(NOT(Paths!$C$346=1),0,IF(Paths!$P$346="Complete",F3746/12*(Paths!$L$346*(1+IF(Paths!$D$346="EV",'Operating costs'!$B$52,'Operating costs'!$B$51))^MAX(0,C3746-1)+Paths!$M$346*(1+'Operating costs'!$B$53)^MAX(0,C3746-1)),"n.a."))</f>
        <v>0</v>
      </c>
      <c r="I3746" s="16">
        <f>IF(NOT(Paths!$C$346=1),0,IF(Paths!$P$346="Complete",IF(IF(Paths!$E$346=0,C3746=0,AND(C3746&gt;0,Paths!$E$346&gt;(C3746-1)*12,Paths!$E$346&lt;=C3746*12)),Paths!$G$346,0),"n.a."))</f>
        <v>0</v>
      </c>
      <c r="J3746" s="16">
        <f>IF(NOT(Paths!$C$346=1),0,IF(Paths!$P$346="Complete",IF(IF(Paths!$E$346=0,C3746=0,AND(C3746&gt;0,Paths!$E$346&gt;(C3746-1)*12,Paths!$E$346&lt;=C3746*12)),Paths!$H$346,0),"n.a."))</f>
        <v>0</v>
      </c>
      <c r="K3746" s="16">
        <f>IF(NOT(Paths!$C$346=1),0,IF(Paths!$P$346="Complete",IF(IF(Paths!$O$346=0,C3746=0,AND(C3746&gt;0,Paths!$O$346&gt;(C3746-1)*12,Paths!$O$346&lt;=C3746*12)),Paths!$N$346,0),"n.a."))</f>
        <v>0</v>
      </c>
      <c r="L3746" s="16">
        <f>IF(NOT(Paths!$C$346=1),0,IF(Paths!$P$346="Complete",IF(C3746=10,Paths!$I$346,0),"n.a."))</f>
        <v>0</v>
      </c>
      <c r="M3746" s="16">
        <f>IF(NOT(Paths!$C$346=1),0,IF(Paths!$P$346="Complete",IF(AND(Paths!$D$346="EV",Paths!$E$346&lt;120,Paths!$E$346+'Operating costs'!$B$65&gt;Paths!$E$346,Paths!$E$346+'Operating costs'!$B$65&lt;=120,IF(Paths!$E$346+'Operating costs'!$B$65=0,C3746=0,AND(C3746&gt;0,Paths!$E$346+'Operating costs'!$B$65&gt;(C3746-1)*12,Paths!$E$346+'Operating costs'!$B$65&lt;=C3746*12))),'Operating costs'!$B$64,0)+IF(AND('Operating costs'!$B$67&gt;0,'Operating costs'!$B$67&lt;=120,OR(Paths!$D$346="ICE",'Operating costs'!$B$67&lt;=Paths!$E$346),IF('Operating costs'!$B$67=0,C3746=0,AND(C3746&gt;0,'Operating costs'!$B$67&gt;(C3746-1)*12,'Operating costs'!$B$67&lt;=C3746*12))),'Operating costs'!$B$66,0),"n.a."))</f>
        <v>0</v>
      </c>
      <c r="N3746" s="16">
        <f>IF(NOT(Paths!$C$346=1),0,IF(Paths!$P$346="Complete",SUM(G3746:I3746)-J3746-K3746-L3746+M3746+IF(C3746=0,Paths!$F$346,0)+IF(IF(Paths!$E$346=0,C3746=0,AND(C3746&gt;0,Paths!$E$346&gt;(C3746-1)*12,Paths!$E$346&lt;=C3746*12)),VLOOKUP(A3746,'Fleet register'!$A$7:$S$106,16,FALSE),0),"n.a."))</f>
        <v>0</v>
      </c>
      <c r="O3746" s="16">
        <f>IF(NOT(Paths!$C$346=1),0,IF(Paths!$P$346="Complete",N3746-IF(C3746=0,Paths!$F$346,0),"n.a."))</f>
        <v>0</v>
      </c>
      <c r="P3746" s="16">
        <f>IF(NOT(Paths!$C$346=1),0,IF(Paths!$P$346="Complete",O3746+L3746,"n.a."))</f>
        <v>0</v>
      </c>
      <c r="Q3746" s="16">
        <f>IF(NOT(Paths!$C$346=1),0,IF(Paths!$P$346="Complete",N3746*(1+'Operating costs'!$B$54)^-C3746,"n.a."))</f>
        <v>0</v>
      </c>
      <c r="R3746" s="16">
        <f>IF(NOT(Paths!$C$346=1),0,IF(Paths!$P$346="Complete",IF(AND(C3746=0,Paths!$E$346=0),I3746-J3746-K3746+VLOOKUP(A3746,'Fleet register'!$A$7:$S$106,15,FALSE)+VLOOKUP(A3746,'Fleet register'!$A$7:$S$106,16,FALSE),0),"n.a."))</f>
        <v>0</v>
      </c>
      <c r="S3746" s="1">
        <f>IF(NOT(Paths!$C$346=1),0,IF(Paths!$P$346="Complete",IF(C3746=0,0,Paths!$S$346*Paths!$R$346),"n.a."))</f>
        <v>0</v>
      </c>
      <c r="T3746" s="1">
        <f>IF(NOT(Paths!$C$346=1),0,IF(Paths!$P$346="Complete",IF(C3746=0,0,VLOOKUP(A3746,'Fleet register'!$A$7:$S$106,9,FALSE)*Paths!$R$346),"n.a."))</f>
        <v>0</v>
      </c>
    </row>
    <row r="3747" spans="1:20" ht="24" customHeight="1">
      <c r="A3747" s="1" t="str">
        <f>Paths!$A$347</f>
        <v>T086</v>
      </c>
      <c r="B3747" s="1">
        <f>Paths!$B$347</f>
        <v>0</v>
      </c>
      <c r="C3747" s="1">
        <v>0</v>
      </c>
      <c r="D3747" s="1">
        <v>347</v>
      </c>
      <c r="E3747" s="1">
        <f>IF(OR(Paths!$C$347=0,C3747=0),0,MAX(0,MIN(C3747*12,Paths!$E$347)-(C3747-1)*12))</f>
        <v>0</v>
      </c>
      <c r="F3747" s="1">
        <f>IF(OR(Paths!$C$347=0,C3747=0),0,12-E3747)</f>
        <v>0</v>
      </c>
      <c r="G3747" s="16">
        <f>IF(NOT(Paths!$C$347=1),0,IF(Paths!$P$347="Complete",E3747/12*(Paths!$J$347*(1+'Operating costs'!$B$51)^MAX(0,C3747-1)+Paths!$K$347*(1+'Operating costs'!$B$53)^MAX(0,C3747-1)),"n.a."))</f>
        <v>0</v>
      </c>
      <c r="H3747" s="16">
        <f>IF(NOT(Paths!$C$347=1),0,IF(Paths!$P$347="Complete",F3747/12*(Paths!$L$347*(1+IF(Paths!$D$347="EV",'Operating costs'!$B$52,'Operating costs'!$B$51))^MAX(0,C3747-1)+Paths!$M$347*(1+'Operating costs'!$B$53)^MAX(0,C3747-1)),"n.a."))</f>
        <v>0</v>
      </c>
      <c r="I3747" s="16">
        <f>IF(NOT(Paths!$C$347=1),0,IF(Paths!$P$347="Complete",IF(IF(Paths!$E$347=0,C3747=0,AND(C3747&gt;0,Paths!$E$347&gt;(C3747-1)*12,Paths!$E$347&lt;=C3747*12)),Paths!$G$347,0),"n.a."))</f>
        <v>0</v>
      </c>
      <c r="J3747" s="16">
        <f>IF(NOT(Paths!$C$347=1),0,IF(Paths!$P$347="Complete",IF(IF(Paths!$E$347=0,C3747=0,AND(C3747&gt;0,Paths!$E$347&gt;(C3747-1)*12,Paths!$E$347&lt;=C3747*12)),Paths!$H$347,0),"n.a."))</f>
        <v>0</v>
      </c>
      <c r="K3747" s="16">
        <f>IF(NOT(Paths!$C$347=1),0,IF(Paths!$P$347="Complete",IF(IF(Paths!$O$347=0,C3747=0,AND(C3747&gt;0,Paths!$O$347&gt;(C3747-1)*12,Paths!$O$347&lt;=C3747*12)),Paths!$N$347,0),"n.a."))</f>
        <v>0</v>
      </c>
      <c r="L3747" s="16">
        <f>IF(NOT(Paths!$C$347=1),0,IF(Paths!$P$347="Complete",IF(C3747=10,Paths!$I$347,0),"n.a."))</f>
        <v>0</v>
      </c>
      <c r="M3747" s="16">
        <f>IF(NOT(Paths!$C$347=1),0,IF(Paths!$P$347="Complete",IF(AND(Paths!$D$347="EV",Paths!$E$347&lt;120,Paths!$E$347+'Operating costs'!$B$65&gt;Paths!$E$347,Paths!$E$347+'Operating costs'!$B$65&lt;=120,IF(Paths!$E$347+'Operating costs'!$B$65=0,C3747=0,AND(C3747&gt;0,Paths!$E$347+'Operating costs'!$B$65&gt;(C3747-1)*12,Paths!$E$347+'Operating costs'!$B$65&lt;=C3747*12))),'Operating costs'!$B$64,0)+IF(AND('Operating costs'!$B$67&gt;0,'Operating costs'!$B$67&lt;=120,OR(Paths!$D$347="ICE",'Operating costs'!$B$67&lt;=Paths!$E$347),IF('Operating costs'!$B$67=0,C3747=0,AND(C3747&gt;0,'Operating costs'!$B$67&gt;(C3747-1)*12,'Operating costs'!$B$67&lt;=C3747*12))),'Operating costs'!$B$66,0),"n.a."))</f>
        <v>0</v>
      </c>
      <c r="N3747" s="16">
        <f>IF(NOT(Paths!$C$347=1),0,IF(Paths!$P$347="Complete",SUM(G3747:I3747)-J3747-K3747-L3747+M3747+IF(C3747=0,Paths!$F$347,0)+IF(IF(Paths!$E$347=0,C3747=0,AND(C3747&gt;0,Paths!$E$347&gt;(C3747-1)*12,Paths!$E$347&lt;=C3747*12)),VLOOKUP(A3747,'Fleet register'!$A$7:$S$106,16,FALSE),0),"n.a."))</f>
        <v>0</v>
      </c>
      <c r="O3747" s="16">
        <f>IF(NOT(Paths!$C$347=1),0,IF(Paths!$P$347="Complete",N3747-IF(C3747=0,Paths!$F$347,0),"n.a."))</f>
        <v>0</v>
      </c>
      <c r="P3747" s="16">
        <f>IF(NOT(Paths!$C$347=1),0,IF(Paths!$P$347="Complete",O3747+L3747,"n.a."))</f>
        <v>0</v>
      </c>
      <c r="Q3747" s="16">
        <f>IF(NOT(Paths!$C$347=1),0,IF(Paths!$P$347="Complete",N3747*(1+'Operating costs'!$B$54)^-C3747,"n.a."))</f>
        <v>0</v>
      </c>
      <c r="R3747" s="16">
        <f>IF(NOT(Paths!$C$347=1),0,IF(Paths!$P$347="Complete",IF(AND(C3747=0,Paths!$E$347=0),I3747-J3747-K3747+VLOOKUP(A3747,'Fleet register'!$A$7:$S$106,15,FALSE)+VLOOKUP(A3747,'Fleet register'!$A$7:$S$106,16,FALSE),0),"n.a."))</f>
        <v>0</v>
      </c>
      <c r="S3747" s="1">
        <f>IF(NOT(Paths!$C$347=1),0,IF(Paths!$P$347="Complete",IF(C3747=0,0,Paths!$S$347*Paths!$R$347),"n.a."))</f>
        <v>0</v>
      </c>
      <c r="T3747" s="1">
        <f>IF(NOT(Paths!$C$347=1),0,IF(Paths!$P$347="Complete",IF(C3747=0,0,VLOOKUP(A3747,'Fleet register'!$A$7:$S$106,9,FALSE)*Paths!$R$347),"n.a."))</f>
        <v>0</v>
      </c>
    </row>
    <row r="3748" spans="1:20" ht="24" customHeight="1">
      <c r="A3748" s="1" t="str">
        <f>Paths!$A$347</f>
        <v>T086</v>
      </c>
      <c r="B3748" s="1">
        <f>Paths!$B$347</f>
        <v>0</v>
      </c>
      <c r="C3748" s="1">
        <v>1</v>
      </c>
      <c r="D3748" s="1">
        <v>347</v>
      </c>
      <c r="E3748" s="1">
        <f>IF(OR(Paths!$C$347=0,C3748=0),0,MAX(0,MIN(C3748*12,Paths!$E$347)-(C3748-1)*12))</f>
        <v>0</v>
      </c>
      <c r="F3748" s="1">
        <f>IF(OR(Paths!$C$347=0,C3748=0),0,12-E3748)</f>
        <v>0</v>
      </c>
      <c r="G3748" s="16">
        <f>IF(NOT(Paths!$C$347=1),0,IF(Paths!$P$347="Complete",E3748/12*(Paths!$J$347*(1+'Operating costs'!$B$51)^MAX(0,C3748-1)+Paths!$K$347*(1+'Operating costs'!$B$53)^MAX(0,C3748-1)),"n.a."))</f>
        <v>0</v>
      </c>
      <c r="H3748" s="16">
        <f>IF(NOT(Paths!$C$347=1),0,IF(Paths!$P$347="Complete",F3748/12*(Paths!$L$347*(1+IF(Paths!$D$347="EV",'Operating costs'!$B$52,'Operating costs'!$B$51))^MAX(0,C3748-1)+Paths!$M$347*(1+'Operating costs'!$B$53)^MAX(0,C3748-1)),"n.a."))</f>
        <v>0</v>
      </c>
      <c r="I3748" s="16">
        <f>IF(NOT(Paths!$C$347=1),0,IF(Paths!$P$347="Complete",IF(IF(Paths!$E$347=0,C3748=0,AND(C3748&gt;0,Paths!$E$347&gt;(C3748-1)*12,Paths!$E$347&lt;=C3748*12)),Paths!$G$347,0),"n.a."))</f>
        <v>0</v>
      </c>
      <c r="J3748" s="16">
        <f>IF(NOT(Paths!$C$347=1),0,IF(Paths!$P$347="Complete",IF(IF(Paths!$E$347=0,C3748=0,AND(C3748&gt;0,Paths!$E$347&gt;(C3748-1)*12,Paths!$E$347&lt;=C3748*12)),Paths!$H$347,0),"n.a."))</f>
        <v>0</v>
      </c>
      <c r="K3748" s="16">
        <f>IF(NOT(Paths!$C$347=1),0,IF(Paths!$P$347="Complete",IF(IF(Paths!$O$347=0,C3748=0,AND(C3748&gt;0,Paths!$O$347&gt;(C3748-1)*12,Paths!$O$347&lt;=C3748*12)),Paths!$N$347,0),"n.a."))</f>
        <v>0</v>
      </c>
      <c r="L3748" s="16">
        <f>IF(NOT(Paths!$C$347=1),0,IF(Paths!$P$347="Complete",IF(C3748=10,Paths!$I$347,0),"n.a."))</f>
        <v>0</v>
      </c>
      <c r="M3748" s="16">
        <f>IF(NOT(Paths!$C$347=1),0,IF(Paths!$P$347="Complete",IF(AND(Paths!$D$347="EV",Paths!$E$347&lt;120,Paths!$E$347+'Operating costs'!$B$65&gt;Paths!$E$347,Paths!$E$347+'Operating costs'!$B$65&lt;=120,IF(Paths!$E$347+'Operating costs'!$B$65=0,C3748=0,AND(C3748&gt;0,Paths!$E$347+'Operating costs'!$B$65&gt;(C3748-1)*12,Paths!$E$347+'Operating costs'!$B$65&lt;=C3748*12))),'Operating costs'!$B$64,0)+IF(AND('Operating costs'!$B$67&gt;0,'Operating costs'!$B$67&lt;=120,OR(Paths!$D$347="ICE",'Operating costs'!$B$67&lt;=Paths!$E$347),IF('Operating costs'!$B$67=0,C3748=0,AND(C3748&gt;0,'Operating costs'!$B$67&gt;(C3748-1)*12,'Operating costs'!$B$67&lt;=C3748*12))),'Operating costs'!$B$66,0),"n.a."))</f>
        <v>0</v>
      </c>
      <c r="N3748" s="16">
        <f>IF(NOT(Paths!$C$347=1),0,IF(Paths!$P$347="Complete",SUM(G3748:I3748)-J3748-K3748-L3748+M3748+IF(C3748=0,Paths!$F$347,0)+IF(IF(Paths!$E$347=0,C3748=0,AND(C3748&gt;0,Paths!$E$347&gt;(C3748-1)*12,Paths!$E$347&lt;=C3748*12)),VLOOKUP(A3748,'Fleet register'!$A$7:$S$106,16,FALSE),0),"n.a."))</f>
        <v>0</v>
      </c>
      <c r="O3748" s="16">
        <f>IF(NOT(Paths!$C$347=1),0,IF(Paths!$P$347="Complete",N3748-IF(C3748=0,Paths!$F$347,0),"n.a."))</f>
        <v>0</v>
      </c>
      <c r="P3748" s="16">
        <f>IF(NOT(Paths!$C$347=1),0,IF(Paths!$P$347="Complete",O3748+L3748,"n.a."))</f>
        <v>0</v>
      </c>
      <c r="Q3748" s="16">
        <f>IF(NOT(Paths!$C$347=1),0,IF(Paths!$P$347="Complete",N3748*(1+'Operating costs'!$B$54)^-C3748,"n.a."))</f>
        <v>0</v>
      </c>
      <c r="R3748" s="16">
        <f>IF(NOT(Paths!$C$347=1),0,IF(Paths!$P$347="Complete",IF(AND(C3748=0,Paths!$E$347=0),I3748-J3748-K3748+VLOOKUP(A3748,'Fleet register'!$A$7:$S$106,15,FALSE)+VLOOKUP(A3748,'Fleet register'!$A$7:$S$106,16,FALSE),0),"n.a."))</f>
        <v>0</v>
      </c>
      <c r="S3748" s="1">
        <f>IF(NOT(Paths!$C$347=1),0,IF(Paths!$P$347="Complete",IF(C3748=0,0,Paths!$S$347*Paths!$R$347),"n.a."))</f>
        <v>0</v>
      </c>
      <c r="T3748" s="1">
        <f>IF(NOT(Paths!$C$347=1),0,IF(Paths!$P$347="Complete",IF(C3748=0,0,VLOOKUP(A3748,'Fleet register'!$A$7:$S$106,9,FALSE)*Paths!$R$347),"n.a."))</f>
        <v>0</v>
      </c>
    </row>
    <row r="3749" spans="1:20" ht="24" customHeight="1">
      <c r="A3749" s="1" t="str">
        <f>Paths!$A$347</f>
        <v>T086</v>
      </c>
      <c r="B3749" s="1">
        <f>Paths!$B$347</f>
        <v>0</v>
      </c>
      <c r="C3749" s="1">
        <v>2</v>
      </c>
      <c r="D3749" s="1">
        <v>347</v>
      </c>
      <c r="E3749" s="1">
        <f>IF(OR(Paths!$C$347=0,C3749=0),0,MAX(0,MIN(C3749*12,Paths!$E$347)-(C3749-1)*12))</f>
        <v>0</v>
      </c>
      <c r="F3749" s="1">
        <f>IF(OR(Paths!$C$347=0,C3749=0),0,12-E3749)</f>
        <v>0</v>
      </c>
      <c r="G3749" s="16">
        <f>IF(NOT(Paths!$C$347=1),0,IF(Paths!$P$347="Complete",E3749/12*(Paths!$J$347*(1+'Operating costs'!$B$51)^MAX(0,C3749-1)+Paths!$K$347*(1+'Operating costs'!$B$53)^MAX(0,C3749-1)),"n.a."))</f>
        <v>0</v>
      </c>
      <c r="H3749" s="16">
        <f>IF(NOT(Paths!$C$347=1),0,IF(Paths!$P$347="Complete",F3749/12*(Paths!$L$347*(1+IF(Paths!$D$347="EV",'Operating costs'!$B$52,'Operating costs'!$B$51))^MAX(0,C3749-1)+Paths!$M$347*(1+'Operating costs'!$B$53)^MAX(0,C3749-1)),"n.a."))</f>
        <v>0</v>
      </c>
      <c r="I3749" s="16">
        <f>IF(NOT(Paths!$C$347=1),0,IF(Paths!$P$347="Complete",IF(IF(Paths!$E$347=0,C3749=0,AND(C3749&gt;0,Paths!$E$347&gt;(C3749-1)*12,Paths!$E$347&lt;=C3749*12)),Paths!$G$347,0),"n.a."))</f>
        <v>0</v>
      </c>
      <c r="J3749" s="16">
        <f>IF(NOT(Paths!$C$347=1),0,IF(Paths!$P$347="Complete",IF(IF(Paths!$E$347=0,C3749=0,AND(C3749&gt;0,Paths!$E$347&gt;(C3749-1)*12,Paths!$E$347&lt;=C3749*12)),Paths!$H$347,0),"n.a."))</f>
        <v>0</v>
      </c>
      <c r="K3749" s="16">
        <f>IF(NOT(Paths!$C$347=1),0,IF(Paths!$P$347="Complete",IF(IF(Paths!$O$347=0,C3749=0,AND(C3749&gt;0,Paths!$O$347&gt;(C3749-1)*12,Paths!$O$347&lt;=C3749*12)),Paths!$N$347,0),"n.a."))</f>
        <v>0</v>
      </c>
      <c r="L3749" s="16">
        <f>IF(NOT(Paths!$C$347=1),0,IF(Paths!$P$347="Complete",IF(C3749=10,Paths!$I$347,0),"n.a."))</f>
        <v>0</v>
      </c>
      <c r="M3749" s="16">
        <f>IF(NOT(Paths!$C$347=1),0,IF(Paths!$P$347="Complete",IF(AND(Paths!$D$347="EV",Paths!$E$347&lt;120,Paths!$E$347+'Operating costs'!$B$65&gt;Paths!$E$347,Paths!$E$347+'Operating costs'!$B$65&lt;=120,IF(Paths!$E$347+'Operating costs'!$B$65=0,C3749=0,AND(C3749&gt;0,Paths!$E$347+'Operating costs'!$B$65&gt;(C3749-1)*12,Paths!$E$347+'Operating costs'!$B$65&lt;=C3749*12))),'Operating costs'!$B$64,0)+IF(AND('Operating costs'!$B$67&gt;0,'Operating costs'!$B$67&lt;=120,OR(Paths!$D$347="ICE",'Operating costs'!$B$67&lt;=Paths!$E$347),IF('Operating costs'!$B$67=0,C3749=0,AND(C3749&gt;0,'Operating costs'!$B$67&gt;(C3749-1)*12,'Operating costs'!$B$67&lt;=C3749*12))),'Operating costs'!$B$66,0),"n.a."))</f>
        <v>0</v>
      </c>
      <c r="N3749" s="16">
        <f>IF(NOT(Paths!$C$347=1),0,IF(Paths!$P$347="Complete",SUM(G3749:I3749)-J3749-K3749-L3749+M3749+IF(C3749=0,Paths!$F$347,0)+IF(IF(Paths!$E$347=0,C3749=0,AND(C3749&gt;0,Paths!$E$347&gt;(C3749-1)*12,Paths!$E$347&lt;=C3749*12)),VLOOKUP(A3749,'Fleet register'!$A$7:$S$106,16,FALSE),0),"n.a."))</f>
        <v>0</v>
      </c>
      <c r="O3749" s="16">
        <f>IF(NOT(Paths!$C$347=1),0,IF(Paths!$P$347="Complete",N3749-IF(C3749=0,Paths!$F$347,0),"n.a."))</f>
        <v>0</v>
      </c>
      <c r="P3749" s="16">
        <f>IF(NOT(Paths!$C$347=1),0,IF(Paths!$P$347="Complete",O3749+L3749,"n.a."))</f>
        <v>0</v>
      </c>
      <c r="Q3749" s="16">
        <f>IF(NOT(Paths!$C$347=1),0,IF(Paths!$P$347="Complete",N3749*(1+'Operating costs'!$B$54)^-C3749,"n.a."))</f>
        <v>0</v>
      </c>
      <c r="R3749" s="16">
        <f>IF(NOT(Paths!$C$347=1),0,IF(Paths!$P$347="Complete",IF(AND(C3749=0,Paths!$E$347=0),I3749-J3749-K3749+VLOOKUP(A3749,'Fleet register'!$A$7:$S$106,15,FALSE)+VLOOKUP(A3749,'Fleet register'!$A$7:$S$106,16,FALSE),0),"n.a."))</f>
        <v>0</v>
      </c>
      <c r="S3749" s="1">
        <f>IF(NOT(Paths!$C$347=1),0,IF(Paths!$P$347="Complete",IF(C3749=0,0,Paths!$S$347*Paths!$R$347),"n.a."))</f>
        <v>0</v>
      </c>
      <c r="T3749" s="1">
        <f>IF(NOT(Paths!$C$347=1),0,IF(Paths!$P$347="Complete",IF(C3749=0,0,VLOOKUP(A3749,'Fleet register'!$A$7:$S$106,9,FALSE)*Paths!$R$347),"n.a."))</f>
        <v>0</v>
      </c>
    </row>
    <row r="3750" spans="1:20" ht="24" customHeight="1">
      <c r="A3750" s="1" t="str">
        <f>Paths!$A$347</f>
        <v>T086</v>
      </c>
      <c r="B3750" s="1">
        <f>Paths!$B$347</f>
        <v>0</v>
      </c>
      <c r="C3750" s="1">
        <v>3</v>
      </c>
      <c r="D3750" s="1">
        <v>347</v>
      </c>
      <c r="E3750" s="1">
        <f>IF(OR(Paths!$C$347=0,C3750=0),0,MAX(0,MIN(C3750*12,Paths!$E$347)-(C3750-1)*12))</f>
        <v>0</v>
      </c>
      <c r="F3750" s="1">
        <f>IF(OR(Paths!$C$347=0,C3750=0),0,12-E3750)</f>
        <v>0</v>
      </c>
      <c r="G3750" s="16">
        <f>IF(NOT(Paths!$C$347=1),0,IF(Paths!$P$347="Complete",E3750/12*(Paths!$J$347*(1+'Operating costs'!$B$51)^MAX(0,C3750-1)+Paths!$K$347*(1+'Operating costs'!$B$53)^MAX(0,C3750-1)),"n.a."))</f>
        <v>0</v>
      </c>
      <c r="H3750" s="16">
        <f>IF(NOT(Paths!$C$347=1),0,IF(Paths!$P$347="Complete",F3750/12*(Paths!$L$347*(1+IF(Paths!$D$347="EV",'Operating costs'!$B$52,'Operating costs'!$B$51))^MAX(0,C3750-1)+Paths!$M$347*(1+'Operating costs'!$B$53)^MAX(0,C3750-1)),"n.a."))</f>
        <v>0</v>
      </c>
      <c r="I3750" s="16">
        <f>IF(NOT(Paths!$C$347=1),0,IF(Paths!$P$347="Complete",IF(IF(Paths!$E$347=0,C3750=0,AND(C3750&gt;0,Paths!$E$347&gt;(C3750-1)*12,Paths!$E$347&lt;=C3750*12)),Paths!$G$347,0),"n.a."))</f>
        <v>0</v>
      </c>
      <c r="J3750" s="16">
        <f>IF(NOT(Paths!$C$347=1),0,IF(Paths!$P$347="Complete",IF(IF(Paths!$E$347=0,C3750=0,AND(C3750&gt;0,Paths!$E$347&gt;(C3750-1)*12,Paths!$E$347&lt;=C3750*12)),Paths!$H$347,0),"n.a."))</f>
        <v>0</v>
      </c>
      <c r="K3750" s="16">
        <f>IF(NOT(Paths!$C$347=1),0,IF(Paths!$P$347="Complete",IF(IF(Paths!$O$347=0,C3750=0,AND(C3750&gt;0,Paths!$O$347&gt;(C3750-1)*12,Paths!$O$347&lt;=C3750*12)),Paths!$N$347,0),"n.a."))</f>
        <v>0</v>
      </c>
      <c r="L3750" s="16">
        <f>IF(NOT(Paths!$C$347=1),0,IF(Paths!$P$347="Complete",IF(C3750=10,Paths!$I$347,0),"n.a."))</f>
        <v>0</v>
      </c>
      <c r="M3750" s="16">
        <f>IF(NOT(Paths!$C$347=1),0,IF(Paths!$P$347="Complete",IF(AND(Paths!$D$347="EV",Paths!$E$347&lt;120,Paths!$E$347+'Operating costs'!$B$65&gt;Paths!$E$347,Paths!$E$347+'Operating costs'!$B$65&lt;=120,IF(Paths!$E$347+'Operating costs'!$B$65=0,C3750=0,AND(C3750&gt;0,Paths!$E$347+'Operating costs'!$B$65&gt;(C3750-1)*12,Paths!$E$347+'Operating costs'!$B$65&lt;=C3750*12))),'Operating costs'!$B$64,0)+IF(AND('Operating costs'!$B$67&gt;0,'Operating costs'!$B$67&lt;=120,OR(Paths!$D$347="ICE",'Operating costs'!$B$67&lt;=Paths!$E$347),IF('Operating costs'!$B$67=0,C3750=0,AND(C3750&gt;0,'Operating costs'!$B$67&gt;(C3750-1)*12,'Operating costs'!$B$67&lt;=C3750*12))),'Operating costs'!$B$66,0),"n.a."))</f>
        <v>0</v>
      </c>
      <c r="N3750" s="16">
        <f>IF(NOT(Paths!$C$347=1),0,IF(Paths!$P$347="Complete",SUM(G3750:I3750)-J3750-K3750-L3750+M3750+IF(C3750=0,Paths!$F$347,0)+IF(IF(Paths!$E$347=0,C3750=0,AND(C3750&gt;0,Paths!$E$347&gt;(C3750-1)*12,Paths!$E$347&lt;=C3750*12)),VLOOKUP(A3750,'Fleet register'!$A$7:$S$106,16,FALSE),0),"n.a."))</f>
        <v>0</v>
      </c>
      <c r="O3750" s="16">
        <f>IF(NOT(Paths!$C$347=1),0,IF(Paths!$P$347="Complete",N3750-IF(C3750=0,Paths!$F$347,0),"n.a."))</f>
        <v>0</v>
      </c>
      <c r="P3750" s="16">
        <f>IF(NOT(Paths!$C$347=1),0,IF(Paths!$P$347="Complete",O3750+L3750,"n.a."))</f>
        <v>0</v>
      </c>
      <c r="Q3750" s="16">
        <f>IF(NOT(Paths!$C$347=1),0,IF(Paths!$P$347="Complete",N3750*(1+'Operating costs'!$B$54)^-C3750,"n.a."))</f>
        <v>0</v>
      </c>
      <c r="R3750" s="16">
        <f>IF(NOT(Paths!$C$347=1),0,IF(Paths!$P$347="Complete",IF(AND(C3750=0,Paths!$E$347=0),I3750-J3750-K3750+VLOOKUP(A3750,'Fleet register'!$A$7:$S$106,15,FALSE)+VLOOKUP(A3750,'Fleet register'!$A$7:$S$106,16,FALSE),0),"n.a."))</f>
        <v>0</v>
      </c>
      <c r="S3750" s="1">
        <f>IF(NOT(Paths!$C$347=1),0,IF(Paths!$P$347="Complete",IF(C3750=0,0,Paths!$S$347*Paths!$R$347),"n.a."))</f>
        <v>0</v>
      </c>
      <c r="T3750" s="1">
        <f>IF(NOT(Paths!$C$347=1),0,IF(Paths!$P$347="Complete",IF(C3750=0,0,VLOOKUP(A3750,'Fleet register'!$A$7:$S$106,9,FALSE)*Paths!$R$347),"n.a."))</f>
        <v>0</v>
      </c>
    </row>
    <row r="3751" spans="1:20" ht="24" customHeight="1">
      <c r="A3751" s="1" t="str">
        <f>Paths!$A$347</f>
        <v>T086</v>
      </c>
      <c r="B3751" s="1">
        <f>Paths!$B$347</f>
        <v>0</v>
      </c>
      <c r="C3751" s="1">
        <v>4</v>
      </c>
      <c r="D3751" s="1">
        <v>347</v>
      </c>
      <c r="E3751" s="1">
        <f>IF(OR(Paths!$C$347=0,C3751=0),0,MAX(0,MIN(C3751*12,Paths!$E$347)-(C3751-1)*12))</f>
        <v>0</v>
      </c>
      <c r="F3751" s="1">
        <f>IF(OR(Paths!$C$347=0,C3751=0),0,12-E3751)</f>
        <v>0</v>
      </c>
      <c r="G3751" s="16">
        <f>IF(NOT(Paths!$C$347=1),0,IF(Paths!$P$347="Complete",E3751/12*(Paths!$J$347*(1+'Operating costs'!$B$51)^MAX(0,C3751-1)+Paths!$K$347*(1+'Operating costs'!$B$53)^MAX(0,C3751-1)),"n.a."))</f>
        <v>0</v>
      </c>
      <c r="H3751" s="16">
        <f>IF(NOT(Paths!$C$347=1),0,IF(Paths!$P$347="Complete",F3751/12*(Paths!$L$347*(1+IF(Paths!$D$347="EV",'Operating costs'!$B$52,'Operating costs'!$B$51))^MAX(0,C3751-1)+Paths!$M$347*(1+'Operating costs'!$B$53)^MAX(0,C3751-1)),"n.a."))</f>
        <v>0</v>
      </c>
      <c r="I3751" s="16">
        <f>IF(NOT(Paths!$C$347=1),0,IF(Paths!$P$347="Complete",IF(IF(Paths!$E$347=0,C3751=0,AND(C3751&gt;0,Paths!$E$347&gt;(C3751-1)*12,Paths!$E$347&lt;=C3751*12)),Paths!$G$347,0),"n.a."))</f>
        <v>0</v>
      </c>
      <c r="J3751" s="16">
        <f>IF(NOT(Paths!$C$347=1),0,IF(Paths!$P$347="Complete",IF(IF(Paths!$E$347=0,C3751=0,AND(C3751&gt;0,Paths!$E$347&gt;(C3751-1)*12,Paths!$E$347&lt;=C3751*12)),Paths!$H$347,0),"n.a."))</f>
        <v>0</v>
      </c>
      <c r="K3751" s="16">
        <f>IF(NOT(Paths!$C$347=1),0,IF(Paths!$P$347="Complete",IF(IF(Paths!$O$347=0,C3751=0,AND(C3751&gt;0,Paths!$O$347&gt;(C3751-1)*12,Paths!$O$347&lt;=C3751*12)),Paths!$N$347,0),"n.a."))</f>
        <v>0</v>
      </c>
      <c r="L3751" s="16">
        <f>IF(NOT(Paths!$C$347=1),0,IF(Paths!$P$347="Complete",IF(C3751=10,Paths!$I$347,0),"n.a."))</f>
        <v>0</v>
      </c>
      <c r="M3751" s="16">
        <f>IF(NOT(Paths!$C$347=1),0,IF(Paths!$P$347="Complete",IF(AND(Paths!$D$347="EV",Paths!$E$347&lt;120,Paths!$E$347+'Operating costs'!$B$65&gt;Paths!$E$347,Paths!$E$347+'Operating costs'!$B$65&lt;=120,IF(Paths!$E$347+'Operating costs'!$B$65=0,C3751=0,AND(C3751&gt;0,Paths!$E$347+'Operating costs'!$B$65&gt;(C3751-1)*12,Paths!$E$347+'Operating costs'!$B$65&lt;=C3751*12))),'Operating costs'!$B$64,0)+IF(AND('Operating costs'!$B$67&gt;0,'Operating costs'!$B$67&lt;=120,OR(Paths!$D$347="ICE",'Operating costs'!$B$67&lt;=Paths!$E$347),IF('Operating costs'!$B$67=0,C3751=0,AND(C3751&gt;0,'Operating costs'!$B$67&gt;(C3751-1)*12,'Operating costs'!$B$67&lt;=C3751*12))),'Operating costs'!$B$66,0),"n.a."))</f>
        <v>0</v>
      </c>
      <c r="N3751" s="16">
        <f>IF(NOT(Paths!$C$347=1),0,IF(Paths!$P$347="Complete",SUM(G3751:I3751)-J3751-K3751-L3751+M3751+IF(C3751=0,Paths!$F$347,0)+IF(IF(Paths!$E$347=0,C3751=0,AND(C3751&gt;0,Paths!$E$347&gt;(C3751-1)*12,Paths!$E$347&lt;=C3751*12)),VLOOKUP(A3751,'Fleet register'!$A$7:$S$106,16,FALSE),0),"n.a."))</f>
        <v>0</v>
      </c>
      <c r="O3751" s="16">
        <f>IF(NOT(Paths!$C$347=1),0,IF(Paths!$P$347="Complete",N3751-IF(C3751=0,Paths!$F$347,0),"n.a."))</f>
        <v>0</v>
      </c>
      <c r="P3751" s="16">
        <f>IF(NOT(Paths!$C$347=1),0,IF(Paths!$P$347="Complete",O3751+L3751,"n.a."))</f>
        <v>0</v>
      </c>
      <c r="Q3751" s="16">
        <f>IF(NOT(Paths!$C$347=1),0,IF(Paths!$P$347="Complete",N3751*(1+'Operating costs'!$B$54)^-C3751,"n.a."))</f>
        <v>0</v>
      </c>
      <c r="R3751" s="16">
        <f>IF(NOT(Paths!$C$347=1),0,IF(Paths!$P$347="Complete",IF(AND(C3751=0,Paths!$E$347=0),I3751-J3751-K3751+VLOOKUP(A3751,'Fleet register'!$A$7:$S$106,15,FALSE)+VLOOKUP(A3751,'Fleet register'!$A$7:$S$106,16,FALSE),0),"n.a."))</f>
        <v>0</v>
      </c>
      <c r="S3751" s="1">
        <f>IF(NOT(Paths!$C$347=1),0,IF(Paths!$P$347="Complete",IF(C3751=0,0,Paths!$S$347*Paths!$R$347),"n.a."))</f>
        <v>0</v>
      </c>
      <c r="T3751" s="1">
        <f>IF(NOT(Paths!$C$347=1),0,IF(Paths!$P$347="Complete",IF(C3751=0,0,VLOOKUP(A3751,'Fleet register'!$A$7:$S$106,9,FALSE)*Paths!$R$347),"n.a."))</f>
        <v>0</v>
      </c>
    </row>
    <row r="3752" spans="1:20" ht="24" customHeight="1">
      <c r="A3752" s="1" t="str">
        <f>Paths!$A$347</f>
        <v>T086</v>
      </c>
      <c r="B3752" s="1">
        <f>Paths!$B$347</f>
        <v>0</v>
      </c>
      <c r="C3752" s="1">
        <v>5</v>
      </c>
      <c r="D3752" s="1">
        <v>347</v>
      </c>
      <c r="E3752" s="1">
        <f>IF(OR(Paths!$C$347=0,C3752=0),0,MAX(0,MIN(C3752*12,Paths!$E$347)-(C3752-1)*12))</f>
        <v>0</v>
      </c>
      <c r="F3752" s="1">
        <f>IF(OR(Paths!$C$347=0,C3752=0),0,12-E3752)</f>
        <v>0</v>
      </c>
      <c r="G3752" s="16">
        <f>IF(NOT(Paths!$C$347=1),0,IF(Paths!$P$347="Complete",E3752/12*(Paths!$J$347*(1+'Operating costs'!$B$51)^MAX(0,C3752-1)+Paths!$K$347*(1+'Operating costs'!$B$53)^MAX(0,C3752-1)),"n.a."))</f>
        <v>0</v>
      </c>
      <c r="H3752" s="16">
        <f>IF(NOT(Paths!$C$347=1),0,IF(Paths!$P$347="Complete",F3752/12*(Paths!$L$347*(1+IF(Paths!$D$347="EV",'Operating costs'!$B$52,'Operating costs'!$B$51))^MAX(0,C3752-1)+Paths!$M$347*(1+'Operating costs'!$B$53)^MAX(0,C3752-1)),"n.a."))</f>
        <v>0</v>
      </c>
      <c r="I3752" s="16">
        <f>IF(NOT(Paths!$C$347=1),0,IF(Paths!$P$347="Complete",IF(IF(Paths!$E$347=0,C3752=0,AND(C3752&gt;0,Paths!$E$347&gt;(C3752-1)*12,Paths!$E$347&lt;=C3752*12)),Paths!$G$347,0),"n.a."))</f>
        <v>0</v>
      </c>
      <c r="J3752" s="16">
        <f>IF(NOT(Paths!$C$347=1),0,IF(Paths!$P$347="Complete",IF(IF(Paths!$E$347=0,C3752=0,AND(C3752&gt;0,Paths!$E$347&gt;(C3752-1)*12,Paths!$E$347&lt;=C3752*12)),Paths!$H$347,0),"n.a."))</f>
        <v>0</v>
      </c>
      <c r="K3752" s="16">
        <f>IF(NOT(Paths!$C$347=1),0,IF(Paths!$P$347="Complete",IF(IF(Paths!$O$347=0,C3752=0,AND(C3752&gt;0,Paths!$O$347&gt;(C3752-1)*12,Paths!$O$347&lt;=C3752*12)),Paths!$N$347,0),"n.a."))</f>
        <v>0</v>
      </c>
      <c r="L3752" s="16">
        <f>IF(NOT(Paths!$C$347=1),0,IF(Paths!$P$347="Complete",IF(C3752=10,Paths!$I$347,0),"n.a."))</f>
        <v>0</v>
      </c>
      <c r="M3752" s="16">
        <f>IF(NOT(Paths!$C$347=1),0,IF(Paths!$P$347="Complete",IF(AND(Paths!$D$347="EV",Paths!$E$347&lt;120,Paths!$E$347+'Operating costs'!$B$65&gt;Paths!$E$347,Paths!$E$347+'Operating costs'!$B$65&lt;=120,IF(Paths!$E$347+'Operating costs'!$B$65=0,C3752=0,AND(C3752&gt;0,Paths!$E$347+'Operating costs'!$B$65&gt;(C3752-1)*12,Paths!$E$347+'Operating costs'!$B$65&lt;=C3752*12))),'Operating costs'!$B$64,0)+IF(AND('Operating costs'!$B$67&gt;0,'Operating costs'!$B$67&lt;=120,OR(Paths!$D$347="ICE",'Operating costs'!$B$67&lt;=Paths!$E$347),IF('Operating costs'!$B$67=0,C3752=0,AND(C3752&gt;0,'Operating costs'!$B$67&gt;(C3752-1)*12,'Operating costs'!$B$67&lt;=C3752*12))),'Operating costs'!$B$66,0),"n.a."))</f>
        <v>0</v>
      </c>
      <c r="N3752" s="16">
        <f>IF(NOT(Paths!$C$347=1),0,IF(Paths!$P$347="Complete",SUM(G3752:I3752)-J3752-K3752-L3752+M3752+IF(C3752=0,Paths!$F$347,0)+IF(IF(Paths!$E$347=0,C3752=0,AND(C3752&gt;0,Paths!$E$347&gt;(C3752-1)*12,Paths!$E$347&lt;=C3752*12)),VLOOKUP(A3752,'Fleet register'!$A$7:$S$106,16,FALSE),0),"n.a."))</f>
        <v>0</v>
      </c>
      <c r="O3752" s="16">
        <f>IF(NOT(Paths!$C$347=1),0,IF(Paths!$P$347="Complete",N3752-IF(C3752=0,Paths!$F$347,0),"n.a."))</f>
        <v>0</v>
      </c>
      <c r="P3752" s="16">
        <f>IF(NOT(Paths!$C$347=1),0,IF(Paths!$P$347="Complete",O3752+L3752,"n.a."))</f>
        <v>0</v>
      </c>
      <c r="Q3752" s="16">
        <f>IF(NOT(Paths!$C$347=1),0,IF(Paths!$P$347="Complete",N3752*(1+'Operating costs'!$B$54)^-C3752,"n.a."))</f>
        <v>0</v>
      </c>
      <c r="R3752" s="16">
        <f>IF(NOT(Paths!$C$347=1),0,IF(Paths!$P$347="Complete",IF(AND(C3752=0,Paths!$E$347=0),I3752-J3752-K3752+VLOOKUP(A3752,'Fleet register'!$A$7:$S$106,15,FALSE)+VLOOKUP(A3752,'Fleet register'!$A$7:$S$106,16,FALSE),0),"n.a."))</f>
        <v>0</v>
      </c>
      <c r="S3752" s="1">
        <f>IF(NOT(Paths!$C$347=1),0,IF(Paths!$P$347="Complete",IF(C3752=0,0,Paths!$S$347*Paths!$R$347),"n.a."))</f>
        <v>0</v>
      </c>
      <c r="T3752" s="1">
        <f>IF(NOT(Paths!$C$347=1),0,IF(Paths!$P$347="Complete",IF(C3752=0,0,VLOOKUP(A3752,'Fleet register'!$A$7:$S$106,9,FALSE)*Paths!$R$347),"n.a."))</f>
        <v>0</v>
      </c>
    </row>
    <row r="3753" spans="1:20" ht="24" customHeight="1">
      <c r="A3753" s="1" t="str">
        <f>Paths!$A$347</f>
        <v>T086</v>
      </c>
      <c r="B3753" s="1">
        <f>Paths!$B$347</f>
        <v>0</v>
      </c>
      <c r="C3753" s="1">
        <v>6</v>
      </c>
      <c r="D3753" s="1">
        <v>347</v>
      </c>
      <c r="E3753" s="1">
        <f>IF(OR(Paths!$C$347=0,C3753=0),0,MAX(0,MIN(C3753*12,Paths!$E$347)-(C3753-1)*12))</f>
        <v>0</v>
      </c>
      <c r="F3753" s="1">
        <f>IF(OR(Paths!$C$347=0,C3753=0),0,12-E3753)</f>
        <v>0</v>
      </c>
      <c r="G3753" s="16">
        <f>IF(NOT(Paths!$C$347=1),0,IF(Paths!$P$347="Complete",E3753/12*(Paths!$J$347*(1+'Operating costs'!$B$51)^MAX(0,C3753-1)+Paths!$K$347*(1+'Operating costs'!$B$53)^MAX(0,C3753-1)),"n.a."))</f>
        <v>0</v>
      </c>
      <c r="H3753" s="16">
        <f>IF(NOT(Paths!$C$347=1),0,IF(Paths!$P$347="Complete",F3753/12*(Paths!$L$347*(1+IF(Paths!$D$347="EV",'Operating costs'!$B$52,'Operating costs'!$B$51))^MAX(0,C3753-1)+Paths!$M$347*(1+'Operating costs'!$B$53)^MAX(0,C3753-1)),"n.a."))</f>
        <v>0</v>
      </c>
      <c r="I3753" s="16">
        <f>IF(NOT(Paths!$C$347=1),0,IF(Paths!$P$347="Complete",IF(IF(Paths!$E$347=0,C3753=0,AND(C3753&gt;0,Paths!$E$347&gt;(C3753-1)*12,Paths!$E$347&lt;=C3753*12)),Paths!$G$347,0),"n.a."))</f>
        <v>0</v>
      </c>
      <c r="J3753" s="16">
        <f>IF(NOT(Paths!$C$347=1),0,IF(Paths!$P$347="Complete",IF(IF(Paths!$E$347=0,C3753=0,AND(C3753&gt;0,Paths!$E$347&gt;(C3753-1)*12,Paths!$E$347&lt;=C3753*12)),Paths!$H$347,0),"n.a."))</f>
        <v>0</v>
      </c>
      <c r="K3753" s="16">
        <f>IF(NOT(Paths!$C$347=1),0,IF(Paths!$P$347="Complete",IF(IF(Paths!$O$347=0,C3753=0,AND(C3753&gt;0,Paths!$O$347&gt;(C3753-1)*12,Paths!$O$347&lt;=C3753*12)),Paths!$N$347,0),"n.a."))</f>
        <v>0</v>
      </c>
      <c r="L3753" s="16">
        <f>IF(NOT(Paths!$C$347=1),0,IF(Paths!$P$347="Complete",IF(C3753=10,Paths!$I$347,0),"n.a."))</f>
        <v>0</v>
      </c>
      <c r="M3753" s="16">
        <f>IF(NOT(Paths!$C$347=1),0,IF(Paths!$P$347="Complete",IF(AND(Paths!$D$347="EV",Paths!$E$347&lt;120,Paths!$E$347+'Operating costs'!$B$65&gt;Paths!$E$347,Paths!$E$347+'Operating costs'!$B$65&lt;=120,IF(Paths!$E$347+'Operating costs'!$B$65=0,C3753=0,AND(C3753&gt;0,Paths!$E$347+'Operating costs'!$B$65&gt;(C3753-1)*12,Paths!$E$347+'Operating costs'!$B$65&lt;=C3753*12))),'Operating costs'!$B$64,0)+IF(AND('Operating costs'!$B$67&gt;0,'Operating costs'!$B$67&lt;=120,OR(Paths!$D$347="ICE",'Operating costs'!$B$67&lt;=Paths!$E$347),IF('Operating costs'!$B$67=0,C3753=0,AND(C3753&gt;0,'Operating costs'!$B$67&gt;(C3753-1)*12,'Operating costs'!$B$67&lt;=C3753*12))),'Operating costs'!$B$66,0),"n.a."))</f>
        <v>0</v>
      </c>
      <c r="N3753" s="16">
        <f>IF(NOT(Paths!$C$347=1),0,IF(Paths!$P$347="Complete",SUM(G3753:I3753)-J3753-K3753-L3753+M3753+IF(C3753=0,Paths!$F$347,0)+IF(IF(Paths!$E$347=0,C3753=0,AND(C3753&gt;0,Paths!$E$347&gt;(C3753-1)*12,Paths!$E$347&lt;=C3753*12)),VLOOKUP(A3753,'Fleet register'!$A$7:$S$106,16,FALSE),0),"n.a."))</f>
        <v>0</v>
      </c>
      <c r="O3753" s="16">
        <f>IF(NOT(Paths!$C$347=1),0,IF(Paths!$P$347="Complete",N3753-IF(C3753=0,Paths!$F$347,0),"n.a."))</f>
        <v>0</v>
      </c>
      <c r="P3753" s="16">
        <f>IF(NOT(Paths!$C$347=1),0,IF(Paths!$P$347="Complete",O3753+L3753,"n.a."))</f>
        <v>0</v>
      </c>
      <c r="Q3753" s="16">
        <f>IF(NOT(Paths!$C$347=1),0,IF(Paths!$P$347="Complete",N3753*(1+'Operating costs'!$B$54)^-C3753,"n.a."))</f>
        <v>0</v>
      </c>
      <c r="R3753" s="16">
        <f>IF(NOT(Paths!$C$347=1),0,IF(Paths!$P$347="Complete",IF(AND(C3753=0,Paths!$E$347=0),I3753-J3753-K3753+VLOOKUP(A3753,'Fleet register'!$A$7:$S$106,15,FALSE)+VLOOKUP(A3753,'Fleet register'!$A$7:$S$106,16,FALSE),0),"n.a."))</f>
        <v>0</v>
      </c>
      <c r="S3753" s="1">
        <f>IF(NOT(Paths!$C$347=1),0,IF(Paths!$P$347="Complete",IF(C3753=0,0,Paths!$S$347*Paths!$R$347),"n.a."))</f>
        <v>0</v>
      </c>
      <c r="T3753" s="1">
        <f>IF(NOT(Paths!$C$347=1),0,IF(Paths!$P$347="Complete",IF(C3753=0,0,VLOOKUP(A3753,'Fleet register'!$A$7:$S$106,9,FALSE)*Paths!$R$347),"n.a."))</f>
        <v>0</v>
      </c>
    </row>
    <row r="3754" spans="1:20" ht="24" customHeight="1">
      <c r="A3754" s="1" t="str">
        <f>Paths!$A$347</f>
        <v>T086</v>
      </c>
      <c r="B3754" s="1">
        <f>Paths!$B$347</f>
        <v>0</v>
      </c>
      <c r="C3754" s="1">
        <v>7</v>
      </c>
      <c r="D3754" s="1">
        <v>347</v>
      </c>
      <c r="E3754" s="1">
        <f>IF(OR(Paths!$C$347=0,C3754=0),0,MAX(0,MIN(C3754*12,Paths!$E$347)-(C3754-1)*12))</f>
        <v>0</v>
      </c>
      <c r="F3754" s="1">
        <f>IF(OR(Paths!$C$347=0,C3754=0),0,12-E3754)</f>
        <v>0</v>
      </c>
      <c r="G3754" s="16">
        <f>IF(NOT(Paths!$C$347=1),0,IF(Paths!$P$347="Complete",E3754/12*(Paths!$J$347*(1+'Operating costs'!$B$51)^MAX(0,C3754-1)+Paths!$K$347*(1+'Operating costs'!$B$53)^MAX(0,C3754-1)),"n.a."))</f>
        <v>0</v>
      </c>
      <c r="H3754" s="16">
        <f>IF(NOT(Paths!$C$347=1),0,IF(Paths!$P$347="Complete",F3754/12*(Paths!$L$347*(1+IF(Paths!$D$347="EV",'Operating costs'!$B$52,'Operating costs'!$B$51))^MAX(0,C3754-1)+Paths!$M$347*(1+'Operating costs'!$B$53)^MAX(0,C3754-1)),"n.a."))</f>
        <v>0</v>
      </c>
      <c r="I3754" s="16">
        <f>IF(NOT(Paths!$C$347=1),0,IF(Paths!$P$347="Complete",IF(IF(Paths!$E$347=0,C3754=0,AND(C3754&gt;0,Paths!$E$347&gt;(C3754-1)*12,Paths!$E$347&lt;=C3754*12)),Paths!$G$347,0),"n.a."))</f>
        <v>0</v>
      </c>
      <c r="J3754" s="16">
        <f>IF(NOT(Paths!$C$347=1),0,IF(Paths!$P$347="Complete",IF(IF(Paths!$E$347=0,C3754=0,AND(C3754&gt;0,Paths!$E$347&gt;(C3754-1)*12,Paths!$E$347&lt;=C3754*12)),Paths!$H$347,0),"n.a."))</f>
        <v>0</v>
      </c>
      <c r="K3754" s="16">
        <f>IF(NOT(Paths!$C$347=1),0,IF(Paths!$P$347="Complete",IF(IF(Paths!$O$347=0,C3754=0,AND(C3754&gt;0,Paths!$O$347&gt;(C3754-1)*12,Paths!$O$347&lt;=C3754*12)),Paths!$N$347,0),"n.a."))</f>
        <v>0</v>
      </c>
      <c r="L3754" s="16">
        <f>IF(NOT(Paths!$C$347=1),0,IF(Paths!$P$347="Complete",IF(C3754=10,Paths!$I$347,0),"n.a."))</f>
        <v>0</v>
      </c>
      <c r="M3754" s="16">
        <f>IF(NOT(Paths!$C$347=1),0,IF(Paths!$P$347="Complete",IF(AND(Paths!$D$347="EV",Paths!$E$347&lt;120,Paths!$E$347+'Operating costs'!$B$65&gt;Paths!$E$347,Paths!$E$347+'Operating costs'!$B$65&lt;=120,IF(Paths!$E$347+'Operating costs'!$B$65=0,C3754=0,AND(C3754&gt;0,Paths!$E$347+'Operating costs'!$B$65&gt;(C3754-1)*12,Paths!$E$347+'Operating costs'!$B$65&lt;=C3754*12))),'Operating costs'!$B$64,0)+IF(AND('Operating costs'!$B$67&gt;0,'Operating costs'!$B$67&lt;=120,OR(Paths!$D$347="ICE",'Operating costs'!$B$67&lt;=Paths!$E$347),IF('Operating costs'!$B$67=0,C3754=0,AND(C3754&gt;0,'Operating costs'!$B$67&gt;(C3754-1)*12,'Operating costs'!$B$67&lt;=C3754*12))),'Operating costs'!$B$66,0),"n.a."))</f>
        <v>0</v>
      </c>
      <c r="N3754" s="16">
        <f>IF(NOT(Paths!$C$347=1),0,IF(Paths!$P$347="Complete",SUM(G3754:I3754)-J3754-K3754-L3754+M3754+IF(C3754=0,Paths!$F$347,0)+IF(IF(Paths!$E$347=0,C3754=0,AND(C3754&gt;0,Paths!$E$347&gt;(C3754-1)*12,Paths!$E$347&lt;=C3754*12)),VLOOKUP(A3754,'Fleet register'!$A$7:$S$106,16,FALSE),0),"n.a."))</f>
        <v>0</v>
      </c>
      <c r="O3754" s="16">
        <f>IF(NOT(Paths!$C$347=1),0,IF(Paths!$P$347="Complete",N3754-IF(C3754=0,Paths!$F$347,0),"n.a."))</f>
        <v>0</v>
      </c>
      <c r="P3754" s="16">
        <f>IF(NOT(Paths!$C$347=1),0,IF(Paths!$P$347="Complete",O3754+L3754,"n.a."))</f>
        <v>0</v>
      </c>
      <c r="Q3754" s="16">
        <f>IF(NOT(Paths!$C$347=1),0,IF(Paths!$P$347="Complete",N3754*(1+'Operating costs'!$B$54)^-C3754,"n.a."))</f>
        <v>0</v>
      </c>
      <c r="R3754" s="16">
        <f>IF(NOT(Paths!$C$347=1),0,IF(Paths!$P$347="Complete",IF(AND(C3754=0,Paths!$E$347=0),I3754-J3754-K3754+VLOOKUP(A3754,'Fleet register'!$A$7:$S$106,15,FALSE)+VLOOKUP(A3754,'Fleet register'!$A$7:$S$106,16,FALSE),0),"n.a."))</f>
        <v>0</v>
      </c>
      <c r="S3754" s="1">
        <f>IF(NOT(Paths!$C$347=1),0,IF(Paths!$P$347="Complete",IF(C3754=0,0,Paths!$S$347*Paths!$R$347),"n.a."))</f>
        <v>0</v>
      </c>
      <c r="T3754" s="1">
        <f>IF(NOT(Paths!$C$347=1),0,IF(Paths!$P$347="Complete",IF(C3754=0,0,VLOOKUP(A3754,'Fleet register'!$A$7:$S$106,9,FALSE)*Paths!$R$347),"n.a."))</f>
        <v>0</v>
      </c>
    </row>
    <row r="3755" spans="1:20" ht="24" customHeight="1">
      <c r="A3755" s="1" t="str">
        <f>Paths!$A$347</f>
        <v>T086</v>
      </c>
      <c r="B3755" s="1">
        <f>Paths!$B$347</f>
        <v>0</v>
      </c>
      <c r="C3755" s="1">
        <v>8</v>
      </c>
      <c r="D3755" s="1">
        <v>347</v>
      </c>
      <c r="E3755" s="1">
        <f>IF(OR(Paths!$C$347=0,C3755=0),0,MAX(0,MIN(C3755*12,Paths!$E$347)-(C3755-1)*12))</f>
        <v>0</v>
      </c>
      <c r="F3755" s="1">
        <f>IF(OR(Paths!$C$347=0,C3755=0),0,12-E3755)</f>
        <v>0</v>
      </c>
      <c r="G3755" s="16">
        <f>IF(NOT(Paths!$C$347=1),0,IF(Paths!$P$347="Complete",E3755/12*(Paths!$J$347*(1+'Operating costs'!$B$51)^MAX(0,C3755-1)+Paths!$K$347*(1+'Operating costs'!$B$53)^MAX(0,C3755-1)),"n.a."))</f>
        <v>0</v>
      </c>
      <c r="H3755" s="16">
        <f>IF(NOT(Paths!$C$347=1),0,IF(Paths!$P$347="Complete",F3755/12*(Paths!$L$347*(1+IF(Paths!$D$347="EV",'Operating costs'!$B$52,'Operating costs'!$B$51))^MAX(0,C3755-1)+Paths!$M$347*(1+'Operating costs'!$B$53)^MAX(0,C3755-1)),"n.a."))</f>
        <v>0</v>
      </c>
      <c r="I3755" s="16">
        <f>IF(NOT(Paths!$C$347=1),0,IF(Paths!$P$347="Complete",IF(IF(Paths!$E$347=0,C3755=0,AND(C3755&gt;0,Paths!$E$347&gt;(C3755-1)*12,Paths!$E$347&lt;=C3755*12)),Paths!$G$347,0),"n.a."))</f>
        <v>0</v>
      </c>
      <c r="J3755" s="16">
        <f>IF(NOT(Paths!$C$347=1),0,IF(Paths!$P$347="Complete",IF(IF(Paths!$E$347=0,C3755=0,AND(C3755&gt;0,Paths!$E$347&gt;(C3755-1)*12,Paths!$E$347&lt;=C3755*12)),Paths!$H$347,0),"n.a."))</f>
        <v>0</v>
      </c>
      <c r="K3755" s="16">
        <f>IF(NOT(Paths!$C$347=1),0,IF(Paths!$P$347="Complete",IF(IF(Paths!$O$347=0,C3755=0,AND(C3755&gt;0,Paths!$O$347&gt;(C3755-1)*12,Paths!$O$347&lt;=C3755*12)),Paths!$N$347,0),"n.a."))</f>
        <v>0</v>
      </c>
      <c r="L3755" s="16">
        <f>IF(NOT(Paths!$C$347=1),0,IF(Paths!$P$347="Complete",IF(C3755=10,Paths!$I$347,0),"n.a."))</f>
        <v>0</v>
      </c>
      <c r="M3755" s="16">
        <f>IF(NOT(Paths!$C$347=1),0,IF(Paths!$P$347="Complete",IF(AND(Paths!$D$347="EV",Paths!$E$347&lt;120,Paths!$E$347+'Operating costs'!$B$65&gt;Paths!$E$347,Paths!$E$347+'Operating costs'!$B$65&lt;=120,IF(Paths!$E$347+'Operating costs'!$B$65=0,C3755=0,AND(C3755&gt;0,Paths!$E$347+'Operating costs'!$B$65&gt;(C3755-1)*12,Paths!$E$347+'Operating costs'!$B$65&lt;=C3755*12))),'Operating costs'!$B$64,0)+IF(AND('Operating costs'!$B$67&gt;0,'Operating costs'!$B$67&lt;=120,OR(Paths!$D$347="ICE",'Operating costs'!$B$67&lt;=Paths!$E$347),IF('Operating costs'!$B$67=0,C3755=0,AND(C3755&gt;0,'Operating costs'!$B$67&gt;(C3755-1)*12,'Operating costs'!$B$67&lt;=C3755*12))),'Operating costs'!$B$66,0),"n.a."))</f>
        <v>0</v>
      </c>
      <c r="N3755" s="16">
        <f>IF(NOT(Paths!$C$347=1),0,IF(Paths!$P$347="Complete",SUM(G3755:I3755)-J3755-K3755-L3755+M3755+IF(C3755=0,Paths!$F$347,0)+IF(IF(Paths!$E$347=0,C3755=0,AND(C3755&gt;0,Paths!$E$347&gt;(C3755-1)*12,Paths!$E$347&lt;=C3755*12)),VLOOKUP(A3755,'Fleet register'!$A$7:$S$106,16,FALSE),0),"n.a."))</f>
        <v>0</v>
      </c>
      <c r="O3755" s="16">
        <f>IF(NOT(Paths!$C$347=1),0,IF(Paths!$P$347="Complete",N3755-IF(C3755=0,Paths!$F$347,0),"n.a."))</f>
        <v>0</v>
      </c>
      <c r="P3755" s="16">
        <f>IF(NOT(Paths!$C$347=1),0,IF(Paths!$P$347="Complete",O3755+L3755,"n.a."))</f>
        <v>0</v>
      </c>
      <c r="Q3755" s="16">
        <f>IF(NOT(Paths!$C$347=1),0,IF(Paths!$P$347="Complete",N3755*(1+'Operating costs'!$B$54)^-C3755,"n.a."))</f>
        <v>0</v>
      </c>
      <c r="R3755" s="16">
        <f>IF(NOT(Paths!$C$347=1),0,IF(Paths!$P$347="Complete",IF(AND(C3755=0,Paths!$E$347=0),I3755-J3755-K3755+VLOOKUP(A3755,'Fleet register'!$A$7:$S$106,15,FALSE)+VLOOKUP(A3755,'Fleet register'!$A$7:$S$106,16,FALSE),0),"n.a."))</f>
        <v>0</v>
      </c>
      <c r="S3755" s="1">
        <f>IF(NOT(Paths!$C$347=1),0,IF(Paths!$P$347="Complete",IF(C3755=0,0,Paths!$S$347*Paths!$R$347),"n.a."))</f>
        <v>0</v>
      </c>
      <c r="T3755" s="1">
        <f>IF(NOT(Paths!$C$347=1),0,IF(Paths!$P$347="Complete",IF(C3755=0,0,VLOOKUP(A3755,'Fleet register'!$A$7:$S$106,9,FALSE)*Paths!$R$347),"n.a."))</f>
        <v>0</v>
      </c>
    </row>
    <row r="3756" spans="1:20" ht="24" customHeight="1">
      <c r="A3756" s="1" t="str">
        <f>Paths!$A$347</f>
        <v>T086</v>
      </c>
      <c r="B3756" s="1">
        <f>Paths!$B$347</f>
        <v>0</v>
      </c>
      <c r="C3756" s="1">
        <v>9</v>
      </c>
      <c r="D3756" s="1">
        <v>347</v>
      </c>
      <c r="E3756" s="1">
        <f>IF(OR(Paths!$C$347=0,C3756=0),0,MAX(0,MIN(C3756*12,Paths!$E$347)-(C3756-1)*12))</f>
        <v>0</v>
      </c>
      <c r="F3756" s="1">
        <f>IF(OR(Paths!$C$347=0,C3756=0),0,12-E3756)</f>
        <v>0</v>
      </c>
      <c r="G3756" s="16">
        <f>IF(NOT(Paths!$C$347=1),0,IF(Paths!$P$347="Complete",E3756/12*(Paths!$J$347*(1+'Operating costs'!$B$51)^MAX(0,C3756-1)+Paths!$K$347*(1+'Operating costs'!$B$53)^MAX(0,C3756-1)),"n.a."))</f>
        <v>0</v>
      </c>
      <c r="H3756" s="16">
        <f>IF(NOT(Paths!$C$347=1),0,IF(Paths!$P$347="Complete",F3756/12*(Paths!$L$347*(1+IF(Paths!$D$347="EV",'Operating costs'!$B$52,'Operating costs'!$B$51))^MAX(0,C3756-1)+Paths!$M$347*(1+'Operating costs'!$B$53)^MAX(0,C3756-1)),"n.a."))</f>
        <v>0</v>
      </c>
      <c r="I3756" s="16">
        <f>IF(NOT(Paths!$C$347=1),0,IF(Paths!$P$347="Complete",IF(IF(Paths!$E$347=0,C3756=0,AND(C3756&gt;0,Paths!$E$347&gt;(C3756-1)*12,Paths!$E$347&lt;=C3756*12)),Paths!$G$347,0),"n.a."))</f>
        <v>0</v>
      </c>
      <c r="J3756" s="16">
        <f>IF(NOT(Paths!$C$347=1),0,IF(Paths!$P$347="Complete",IF(IF(Paths!$E$347=0,C3756=0,AND(C3756&gt;0,Paths!$E$347&gt;(C3756-1)*12,Paths!$E$347&lt;=C3756*12)),Paths!$H$347,0),"n.a."))</f>
        <v>0</v>
      </c>
      <c r="K3756" s="16">
        <f>IF(NOT(Paths!$C$347=1),0,IF(Paths!$P$347="Complete",IF(IF(Paths!$O$347=0,C3756=0,AND(C3756&gt;0,Paths!$O$347&gt;(C3756-1)*12,Paths!$O$347&lt;=C3756*12)),Paths!$N$347,0),"n.a."))</f>
        <v>0</v>
      </c>
      <c r="L3756" s="16">
        <f>IF(NOT(Paths!$C$347=1),0,IF(Paths!$P$347="Complete",IF(C3756=10,Paths!$I$347,0),"n.a."))</f>
        <v>0</v>
      </c>
      <c r="M3756" s="16">
        <f>IF(NOT(Paths!$C$347=1),0,IF(Paths!$P$347="Complete",IF(AND(Paths!$D$347="EV",Paths!$E$347&lt;120,Paths!$E$347+'Operating costs'!$B$65&gt;Paths!$E$347,Paths!$E$347+'Operating costs'!$B$65&lt;=120,IF(Paths!$E$347+'Operating costs'!$B$65=0,C3756=0,AND(C3756&gt;0,Paths!$E$347+'Operating costs'!$B$65&gt;(C3756-1)*12,Paths!$E$347+'Operating costs'!$B$65&lt;=C3756*12))),'Operating costs'!$B$64,0)+IF(AND('Operating costs'!$B$67&gt;0,'Operating costs'!$B$67&lt;=120,OR(Paths!$D$347="ICE",'Operating costs'!$B$67&lt;=Paths!$E$347),IF('Operating costs'!$B$67=0,C3756=0,AND(C3756&gt;0,'Operating costs'!$B$67&gt;(C3756-1)*12,'Operating costs'!$B$67&lt;=C3756*12))),'Operating costs'!$B$66,0),"n.a."))</f>
        <v>0</v>
      </c>
      <c r="N3756" s="16">
        <f>IF(NOT(Paths!$C$347=1),0,IF(Paths!$P$347="Complete",SUM(G3756:I3756)-J3756-K3756-L3756+M3756+IF(C3756=0,Paths!$F$347,0)+IF(IF(Paths!$E$347=0,C3756=0,AND(C3756&gt;0,Paths!$E$347&gt;(C3756-1)*12,Paths!$E$347&lt;=C3756*12)),VLOOKUP(A3756,'Fleet register'!$A$7:$S$106,16,FALSE),0),"n.a."))</f>
        <v>0</v>
      </c>
      <c r="O3756" s="16">
        <f>IF(NOT(Paths!$C$347=1),0,IF(Paths!$P$347="Complete",N3756-IF(C3756=0,Paths!$F$347,0),"n.a."))</f>
        <v>0</v>
      </c>
      <c r="P3756" s="16">
        <f>IF(NOT(Paths!$C$347=1),0,IF(Paths!$P$347="Complete",O3756+L3756,"n.a."))</f>
        <v>0</v>
      </c>
      <c r="Q3756" s="16">
        <f>IF(NOT(Paths!$C$347=1),0,IF(Paths!$P$347="Complete",N3756*(1+'Operating costs'!$B$54)^-C3756,"n.a."))</f>
        <v>0</v>
      </c>
      <c r="R3756" s="16">
        <f>IF(NOT(Paths!$C$347=1),0,IF(Paths!$P$347="Complete",IF(AND(C3756=0,Paths!$E$347=0),I3756-J3756-K3756+VLOOKUP(A3756,'Fleet register'!$A$7:$S$106,15,FALSE)+VLOOKUP(A3756,'Fleet register'!$A$7:$S$106,16,FALSE),0),"n.a."))</f>
        <v>0</v>
      </c>
      <c r="S3756" s="1">
        <f>IF(NOT(Paths!$C$347=1),0,IF(Paths!$P$347="Complete",IF(C3756=0,0,Paths!$S$347*Paths!$R$347),"n.a."))</f>
        <v>0</v>
      </c>
      <c r="T3756" s="1">
        <f>IF(NOT(Paths!$C$347=1),0,IF(Paths!$P$347="Complete",IF(C3756=0,0,VLOOKUP(A3756,'Fleet register'!$A$7:$S$106,9,FALSE)*Paths!$R$347),"n.a."))</f>
        <v>0</v>
      </c>
    </row>
    <row r="3757" spans="1:20" ht="24" customHeight="1">
      <c r="A3757" s="1" t="str">
        <f>Paths!$A$347</f>
        <v>T086</v>
      </c>
      <c r="B3757" s="1">
        <f>Paths!$B$347</f>
        <v>0</v>
      </c>
      <c r="C3757" s="1">
        <v>10</v>
      </c>
      <c r="D3757" s="1">
        <v>347</v>
      </c>
      <c r="E3757" s="1">
        <f>IF(OR(Paths!$C$347=0,C3757=0),0,MAX(0,MIN(C3757*12,Paths!$E$347)-(C3757-1)*12))</f>
        <v>0</v>
      </c>
      <c r="F3757" s="1">
        <f>IF(OR(Paths!$C$347=0,C3757=0),0,12-E3757)</f>
        <v>0</v>
      </c>
      <c r="G3757" s="16">
        <f>IF(NOT(Paths!$C$347=1),0,IF(Paths!$P$347="Complete",E3757/12*(Paths!$J$347*(1+'Operating costs'!$B$51)^MAX(0,C3757-1)+Paths!$K$347*(1+'Operating costs'!$B$53)^MAX(0,C3757-1)),"n.a."))</f>
        <v>0</v>
      </c>
      <c r="H3757" s="16">
        <f>IF(NOT(Paths!$C$347=1),0,IF(Paths!$P$347="Complete",F3757/12*(Paths!$L$347*(1+IF(Paths!$D$347="EV",'Operating costs'!$B$52,'Operating costs'!$B$51))^MAX(0,C3757-1)+Paths!$M$347*(1+'Operating costs'!$B$53)^MAX(0,C3757-1)),"n.a."))</f>
        <v>0</v>
      </c>
      <c r="I3757" s="16">
        <f>IF(NOT(Paths!$C$347=1),0,IF(Paths!$P$347="Complete",IF(IF(Paths!$E$347=0,C3757=0,AND(C3757&gt;0,Paths!$E$347&gt;(C3757-1)*12,Paths!$E$347&lt;=C3757*12)),Paths!$G$347,0),"n.a."))</f>
        <v>0</v>
      </c>
      <c r="J3757" s="16">
        <f>IF(NOT(Paths!$C$347=1),0,IF(Paths!$P$347="Complete",IF(IF(Paths!$E$347=0,C3757=0,AND(C3757&gt;0,Paths!$E$347&gt;(C3757-1)*12,Paths!$E$347&lt;=C3757*12)),Paths!$H$347,0),"n.a."))</f>
        <v>0</v>
      </c>
      <c r="K3757" s="16">
        <f>IF(NOT(Paths!$C$347=1),0,IF(Paths!$P$347="Complete",IF(IF(Paths!$O$347=0,C3757=0,AND(C3757&gt;0,Paths!$O$347&gt;(C3757-1)*12,Paths!$O$347&lt;=C3757*12)),Paths!$N$347,0),"n.a."))</f>
        <v>0</v>
      </c>
      <c r="L3757" s="16">
        <f>IF(NOT(Paths!$C$347=1),0,IF(Paths!$P$347="Complete",IF(C3757=10,Paths!$I$347,0),"n.a."))</f>
        <v>0</v>
      </c>
      <c r="M3757" s="16">
        <f>IF(NOT(Paths!$C$347=1),0,IF(Paths!$P$347="Complete",IF(AND(Paths!$D$347="EV",Paths!$E$347&lt;120,Paths!$E$347+'Operating costs'!$B$65&gt;Paths!$E$347,Paths!$E$347+'Operating costs'!$B$65&lt;=120,IF(Paths!$E$347+'Operating costs'!$B$65=0,C3757=0,AND(C3757&gt;0,Paths!$E$347+'Operating costs'!$B$65&gt;(C3757-1)*12,Paths!$E$347+'Operating costs'!$B$65&lt;=C3757*12))),'Operating costs'!$B$64,0)+IF(AND('Operating costs'!$B$67&gt;0,'Operating costs'!$B$67&lt;=120,OR(Paths!$D$347="ICE",'Operating costs'!$B$67&lt;=Paths!$E$347),IF('Operating costs'!$B$67=0,C3757=0,AND(C3757&gt;0,'Operating costs'!$B$67&gt;(C3757-1)*12,'Operating costs'!$B$67&lt;=C3757*12))),'Operating costs'!$B$66,0),"n.a."))</f>
        <v>0</v>
      </c>
      <c r="N3757" s="16">
        <f>IF(NOT(Paths!$C$347=1),0,IF(Paths!$P$347="Complete",SUM(G3757:I3757)-J3757-K3757-L3757+M3757+IF(C3757=0,Paths!$F$347,0)+IF(IF(Paths!$E$347=0,C3757=0,AND(C3757&gt;0,Paths!$E$347&gt;(C3757-1)*12,Paths!$E$347&lt;=C3757*12)),VLOOKUP(A3757,'Fleet register'!$A$7:$S$106,16,FALSE),0),"n.a."))</f>
        <v>0</v>
      </c>
      <c r="O3757" s="16">
        <f>IF(NOT(Paths!$C$347=1),0,IF(Paths!$P$347="Complete",N3757-IF(C3757=0,Paths!$F$347,0),"n.a."))</f>
        <v>0</v>
      </c>
      <c r="P3757" s="16">
        <f>IF(NOT(Paths!$C$347=1),0,IF(Paths!$P$347="Complete",O3757+L3757,"n.a."))</f>
        <v>0</v>
      </c>
      <c r="Q3757" s="16">
        <f>IF(NOT(Paths!$C$347=1),0,IF(Paths!$P$347="Complete",N3757*(1+'Operating costs'!$B$54)^-C3757,"n.a."))</f>
        <v>0</v>
      </c>
      <c r="R3757" s="16">
        <f>IF(NOT(Paths!$C$347=1),0,IF(Paths!$P$347="Complete",IF(AND(C3757=0,Paths!$E$347=0),I3757-J3757-K3757+VLOOKUP(A3757,'Fleet register'!$A$7:$S$106,15,FALSE)+VLOOKUP(A3757,'Fleet register'!$A$7:$S$106,16,FALSE),0),"n.a."))</f>
        <v>0</v>
      </c>
      <c r="S3757" s="1">
        <f>IF(NOT(Paths!$C$347=1),0,IF(Paths!$P$347="Complete",IF(C3757=0,0,Paths!$S$347*Paths!$R$347),"n.a."))</f>
        <v>0</v>
      </c>
      <c r="T3757" s="1">
        <f>IF(NOT(Paths!$C$347=1),0,IF(Paths!$P$347="Complete",IF(C3757=0,0,VLOOKUP(A3757,'Fleet register'!$A$7:$S$106,9,FALSE)*Paths!$R$347),"n.a."))</f>
        <v>0</v>
      </c>
    </row>
    <row r="3758" spans="1:20" ht="24" customHeight="1">
      <c r="A3758" s="1" t="str">
        <f>Paths!$A$348</f>
        <v>T086</v>
      </c>
      <c r="B3758" s="1">
        <f>Paths!$B$348</f>
        <v>1</v>
      </c>
      <c r="C3758" s="1">
        <v>0</v>
      </c>
      <c r="D3758" s="1">
        <v>348</v>
      </c>
      <c r="E3758" s="1">
        <f>IF(OR(Paths!$C$348=0,C3758=0),0,MAX(0,MIN(C3758*12,Paths!$E$348)-(C3758-1)*12))</f>
        <v>0</v>
      </c>
      <c r="F3758" s="1">
        <f>IF(OR(Paths!$C$348=0,C3758=0),0,12-E3758)</f>
        <v>0</v>
      </c>
      <c r="G3758" s="16">
        <f>IF(NOT(Paths!$C$348=1),0,IF(Paths!$P$348="Complete",E3758/12*(Paths!$J$348*(1+'Operating costs'!$B$51)^MAX(0,C3758-1)+Paths!$K$348*(1+'Operating costs'!$B$53)^MAX(0,C3758-1)),"n.a."))</f>
        <v>0</v>
      </c>
      <c r="H3758" s="16">
        <f>IF(NOT(Paths!$C$348=1),0,IF(Paths!$P$348="Complete",F3758/12*(Paths!$L$348*(1+IF(Paths!$D$348="EV",'Operating costs'!$B$52,'Operating costs'!$B$51))^MAX(0,C3758-1)+Paths!$M$348*(1+'Operating costs'!$B$53)^MAX(0,C3758-1)),"n.a."))</f>
        <v>0</v>
      </c>
      <c r="I3758" s="16">
        <f>IF(NOT(Paths!$C$348=1),0,IF(Paths!$P$348="Complete",IF(IF(Paths!$E$348=0,C3758=0,AND(C3758&gt;0,Paths!$E$348&gt;(C3758-1)*12,Paths!$E$348&lt;=C3758*12)),Paths!$G$348,0),"n.a."))</f>
        <v>0</v>
      </c>
      <c r="J3758" s="16">
        <f>IF(NOT(Paths!$C$348=1),0,IF(Paths!$P$348="Complete",IF(IF(Paths!$E$348=0,C3758=0,AND(C3758&gt;0,Paths!$E$348&gt;(C3758-1)*12,Paths!$E$348&lt;=C3758*12)),Paths!$H$348,0),"n.a."))</f>
        <v>0</v>
      </c>
      <c r="K3758" s="16">
        <f>IF(NOT(Paths!$C$348=1),0,IF(Paths!$P$348="Complete",IF(IF(Paths!$O$348=0,C3758=0,AND(C3758&gt;0,Paths!$O$348&gt;(C3758-1)*12,Paths!$O$348&lt;=C3758*12)),Paths!$N$348,0),"n.a."))</f>
        <v>0</v>
      </c>
      <c r="L3758" s="16">
        <f>IF(NOT(Paths!$C$348=1),0,IF(Paths!$P$348="Complete",IF(C3758=10,Paths!$I$348,0),"n.a."))</f>
        <v>0</v>
      </c>
      <c r="M3758" s="16">
        <f>IF(NOT(Paths!$C$348=1),0,IF(Paths!$P$348="Complete",IF(AND(Paths!$D$348="EV",Paths!$E$348&lt;120,Paths!$E$348+'Operating costs'!$B$65&gt;Paths!$E$348,Paths!$E$348+'Operating costs'!$B$65&lt;=120,IF(Paths!$E$348+'Operating costs'!$B$65=0,C3758=0,AND(C3758&gt;0,Paths!$E$348+'Operating costs'!$B$65&gt;(C3758-1)*12,Paths!$E$348+'Operating costs'!$B$65&lt;=C3758*12))),'Operating costs'!$B$64,0)+IF(AND('Operating costs'!$B$67&gt;0,'Operating costs'!$B$67&lt;=120,OR(Paths!$D$348="ICE",'Operating costs'!$B$67&lt;=Paths!$E$348),IF('Operating costs'!$B$67=0,C3758=0,AND(C3758&gt;0,'Operating costs'!$B$67&gt;(C3758-1)*12,'Operating costs'!$B$67&lt;=C3758*12))),'Operating costs'!$B$66,0),"n.a."))</f>
        <v>0</v>
      </c>
      <c r="N3758" s="16">
        <f>IF(NOT(Paths!$C$348=1),0,IF(Paths!$P$348="Complete",SUM(G3758:I3758)-J3758-K3758-L3758+M3758+IF(C3758=0,Paths!$F$348,0)+IF(IF(Paths!$E$348=0,C3758=0,AND(C3758&gt;0,Paths!$E$348&gt;(C3758-1)*12,Paths!$E$348&lt;=C3758*12)),VLOOKUP(A3758,'Fleet register'!$A$7:$S$106,16,FALSE),0),"n.a."))</f>
        <v>0</v>
      </c>
      <c r="O3758" s="16">
        <f>IF(NOT(Paths!$C$348=1),0,IF(Paths!$P$348="Complete",N3758-IF(C3758=0,Paths!$F$348,0),"n.a."))</f>
        <v>0</v>
      </c>
      <c r="P3758" s="16">
        <f>IF(NOT(Paths!$C$348=1),0,IF(Paths!$P$348="Complete",O3758+L3758,"n.a."))</f>
        <v>0</v>
      </c>
      <c r="Q3758" s="16">
        <f>IF(NOT(Paths!$C$348=1),0,IF(Paths!$P$348="Complete",N3758*(1+'Operating costs'!$B$54)^-C3758,"n.a."))</f>
        <v>0</v>
      </c>
      <c r="R3758" s="16">
        <f>IF(NOT(Paths!$C$348=1),0,IF(Paths!$P$348="Complete",IF(AND(C3758=0,Paths!$E$348=0),I3758-J3758-K3758+VLOOKUP(A3758,'Fleet register'!$A$7:$S$106,15,FALSE)+VLOOKUP(A3758,'Fleet register'!$A$7:$S$106,16,FALSE),0),"n.a."))</f>
        <v>0</v>
      </c>
      <c r="S3758" s="1">
        <f>IF(NOT(Paths!$C$348=1),0,IF(Paths!$P$348="Complete",IF(C3758=0,0,Paths!$S$348*Paths!$R$348),"n.a."))</f>
        <v>0</v>
      </c>
      <c r="T3758" s="1">
        <f>IF(NOT(Paths!$C$348=1),0,IF(Paths!$P$348="Complete",IF(C3758=0,0,VLOOKUP(A3758,'Fleet register'!$A$7:$S$106,9,FALSE)*Paths!$R$348),"n.a."))</f>
        <v>0</v>
      </c>
    </row>
    <row r="3759" spans="1:20" ht="24" customHeight="1">
      <c r="A3759" s="1" t="str">
        <f>Paths!$A$348</f>
        <v>T086</v>
      </c>
      <c r="B3759" s="1">
        <f>Paths!$B$348</f>
        <v>1</v>
      </c>
      <c r="C3759" s="1">
        <v>1</v>
      </c>
      <c r="D3759" s="1">
        <v>348</v>
      </c>
      <c r="E3759" s="1">
        <f>IF(OR(Paths!$C$348=0,C3759=0),0,MAX(0,MIN(C3759*12,Paths!$E$348)-(C3759-1)*12))</f>
        <v>0</v>
      </c>
      <c r="F3759" s="1">
        <f>IF(OR(Paths!$C$348=0,C3759=0),0,12-E3759)</f>
        <v>0</v>
      </c>
      <c r="G3759" s="16">
        <f>IF(NOT(Paths!$C$348=1),0,IF(Paths!$P$348="Complete",E3759/12*(Paths!$J$348*(1+'Operating costs'!$B$51)^MAX(0,C3759-1)+Paths!$K$348*(1+'Operating costs'!$B$53)^MAX(0,C3759-1)),"n.a."))</f>
        <v>0</v>
      </c>
      <c r="H3759" s="16">
        <f>IF(NOT(Paths!$C$348=1),0,IF(Paths!$P$348="Complete",F3759/12*(Paths!$L$348*(1+IF(Paths!$D$348="EV",'Operating costs'!$B$52,'Operating costs'!$B$51))^MAX(0,C3759-1)+Paths!$M$348*(1+'Operating costs'!$B$53)^MAX(0,C3759-1)),"n.a."))</f>
        <v>0</v>
      </c>
      <c r="I3759" s="16">
        <f>IF(NOT(Paths!$C$348=1),0,IF(Paths!$P$348="Complete",IF(IF(Paths!$E$348=0,C3759=0,AND(C3759&gt;0,Paths!$E$348&gt;(C3759-1)*12,Paths!$E$348&lt;=C3759*12)),Paths!$G$348,0),"n.a."))</f>
        <v>0</v>
      </c>
      <c r="J3759" s="16">
        <f>IF(NOT(Paths!$C$348=1),0,IF(Paths!$P$348="Complete",IF(IF(Paths!$E$348=0,C3759=0,AND(C3759&gt;0,Paths!$E$348&gt;(C3759-1)*12,Paths!$E$348&lt;=C3759*12)),Paths!$H$348,0),"n.a."))</f>
        <v>0</v>
      </c>
      <c r="K3759" s="16">
        <f>IF(NOT(Paths!$C$348=1),0,IF(Paths!$P$348="Complete",IF(IF(Paths!$O$348=0,C3759=0,AND(C3759&gt;0,Paths!$O$348&gt;(C3759-1)*12,Paths!$O$348&lt;=C3759*12)),Paths!$N$348,0),"n.a."))</f>
        <v>0</v>
      </c>
      <c r="L3759" s="16">
        <f>IF(NOT(Paths!$C$348=1),0,IF(Paths!$P$348="Complete",IF(C3759=10,Paths!$I$348,0),"n.a."))</f>
        <v>0</v>
      </c>
      <c r="M3759" s="16">
        <f>IF(NOT(Paths!$C$348=1),0,IF(Paths!$P$348="Complete",IF(AND(Paths!$D$348="EV",Paths!$E$348&lt;120,Paths!$E$348+'Operating costs'!$B$65&gt;Paths!$E$348,Paths!$E$348+'Operating costs'!$B$65&lt;=120,IF(Paths!$E$348+'Operating costs'!$B$65=0,C3759=0,AND(C3759&gt;0,Paths!$E$348+'Operating costs'!$B$65&gt;(C3759-1)*12,Paths!$E$348+'Operating costs'!$B$65&lt;=C3759*12))),'Operating costs'!$B$64,0)+IF(AND('Operating costs'!$B$67&gt;0,'Operating costs'!$B$67&lt;=120,OR(Paths!$D$348="ICE",'Operating costs'!$B$67&lt;=Paths!$E$348),IF('Operating costs'!$B$67=0,C3759=0,AND(C3759&gt;0,'Operating costs'!$B$67&gt;(C3759-1)*12,'Operating costs'!$B$67&lt;=C3759*12))),'Operating costs'!$B$66,0),"n.a."))</f>
        <v>0</v>
      </c>
      <c r="N3759" s="16">
        <f>IF(NOT(Paths!$C$348=1),0,IF(Paths!$P$348="Complete",SUM(G3759:I3759)-J3759-K3759-L3759+M3759+IF(C3759=0,Paths!$F$348,0)+IF(IF(Paths!$E$348=0,C3759=0,AND(C3759&gt;0,Paths!$E$348&gt;(C3759-1)*12,Paths!$E$348&lt;=C3759*12)),VLOOKUP(A3759,'Fleet register'!$A$7:$S$106,16,FALSE),0),"n.a."))</f>
        <v>0</v>
      </c>
      <c r="O3759" s="16">
        <f>IF(NOT(Paths!$C$348=1),0,IF(Paths!$P$348="Complete",N3759-IF(C3759=0,Paths!$F$348,0),"n.a."))</f>
        <v>0</v>
      </c>
      <c r="P3759" s="16">
        <f>IF(NOT(Paths!$C$348=1),0,IF(Paths!$P$348="Complete",O3759+L3759,"n.a."))</f>
        <v>0</v>
      </c>
      <c r="Q3759" s="16">
        <f>IF(NOT(Paths!$C$348=1),0,IF(Paths!$P$348="Complete",N3759*(1+'Operating costs'!$B$54)^-C3759,"n.a."))</f>
        <v>0</v>
      </c>
      <c r="R3759" s="16">
        <f>IF(NOT(Paths!$C$348=1),0,IF(Paths!$P$348="Complete",IF(AND(C3759=0,Paths!$E$348=0),I3759-J3759-K3759+VLOOKUP(A3759,'Fleet register'!$A$7:$S$106,15,FALSE)+VLOOKUP(A3759,'Fleet register'!$A$7:$S$106,16,FALSE),0),"n.a."))</f>
        <v>0</v>
      </c>
      <c r="S3759" s="1">
        <f>IF(NOT(Paths!$C$348=1),0,IF(Paths!$P$348="Complete",IF(C3759=0,0,Paths!$S$348*Paths!$R$348),"n.a."))</f>
        <v>0</v>
      </c>
      <c r="T3759" s="1">
        <f>IF(NOT(Paths!$C$348=1),0,IF(Paths!$P$348="Complete",IF(C3759=0,0,VLOOKUP(A3759,'Fleet register'!$A$7:$S$106,9,FALSE)*Paths!$R$348),"n.a."))</f>
        <v>0</v>
      </c>
    </row>
    <row r="3760" spans="1:20" ht="24" customHeight="1">
      <c r="A3760" s="1" t="str">
        <f>Paths!$A$348</f>
        <v>T086</v>
      </c>
      <c r="B3760" s="1">
        <f>Paths!$B$348</f>
        <v>1</v>
      </c>
      <c r="C3760" s="1">
        <v>2</v>
      </c>
      <c r="D3760" s="1">
        <v>348</v>
      </c>
      <c r="E3760" s="1">
        <f>IF(OR(Paths!$C$348=0,C3760=0),0,MAX(0,MIN(C3760*12,Paths!$E$348)-(C3760-1)*12))</f>
        <v>0</v>
      </c>
      <c r="F3760" s="1">
        <f>IF(OR(Paths!$C$348=0,C3760=0),0,12-E3760)</f>
        <v>0</v>
      </c>
      <c r="G3760" s="16">
        <f>IF(NOT(Paths!$C$348=1),0,IF(Paths!$P$348="Complete",E3760/12*(Paths!$J$348*(1+'Operating costs'!$B$51)^MAX(0,C3760-1)+Paths!$K$348*(1+'Operating costs'!$B$53)^MAX(0,C3760-1)),"n.a."))</f>
        <v>0</v>
      </c>
      <c r="H3760" s="16">
        <f>IF(NOT(Paths!$C$348=1),0,IF(Paths!$P$348="Complete",F3760/12*(Paths!$L$348*(1+IF(Paths!$D$348="EV",'Operating costs'!$B$52,'Operating costs'!$B$51))^MAX(0,C3760-1)+Paths!$M$348*(1+'Operating costs'!$B$53)^MAX(0,C3760-1)),"n.a."))</f>
        <v>0</v>
      </c>
      <c r="I3760" s="16">
        <f>IF(NOT(Paths!$C$348=1),0,IF(Paths!$P$348="Complete",IF(IF(Paths!$E$348=0,C3760=0,AND(C3760&gt;0,Paths!$E$348&gt;(C3760-1)*12,Paths!$E$348&lt;=C3760*12)),Paths!$G$348,0),"n.a."))</f>
        <v>0</v>
      </c>
      <c r="J3760" s="16">
        <f>IF(NOT(Paths!$C$348=1),0,IF(Paths!$P$348="Complete",IF(IF(Paths!$E$348=0,C3760=0,AND(C3760&gt;0,Paths!$E$348&gt;(C3760-1)*12,Paths!$E$348&lt;=C3760*12)),Paths!$H$348,0),"n.a."))</f>
        <v>0</v>
      </c>
      <c r="K3760" s="16">
        <f>IF(NOT(Paths!$C$348=1),0,IF(Paths!$P$348="Complete",IF(IF(Paths!$O$348=0,C3760=0,AND(C3760&gt;0,Paths!$O$348&gt;(C3760-1)*12,Paths!$O$348&lt;=C3760*12)),Paths!$N$348,0),"n.a."))</f>
        <v>0</v>
      </c>
      <c r="L3760" s="16">
        <f>IF(NOT(Paths!$C$348=1),0,IF(Paths!$P$348="Complete",IF(C3760=10,Paths!$I$348,0),"n.a."))</f>
        <v>0</v>
      </c>
      <c r="M3760" s="16">
        <f>IF(NOT(Paths!$C$348=1),0,IF(Paths!$P$348="Complete",IF(AND(Paths!$D$348="EV",Paths!$E$348&lt;120,Paths!$E$348+'Operating costs'!$B$65&gt;Paths!$E$348,Paths!$E$348+'Operating costs'!$B$65&lt;=120,IF(Paths!$E$348+'Operating costs'!$B$65=0,C3760=0,AND(C3760&gt;0,Paths!$E$348+'Operating costs'!$B$65&gt;(C3760-1)*12,Paths!$E$348+'Operating costs'!$B$65&lt;=C3760*12))),'Operating costs'!$B$64,0)+IF(AND('Operating costs'!$B$67&gt;0,'Operating costs'!$B$67&lt;=120,OR(Paths!$D$348="ICE",'Operating costs'!$B$67&lt;=Paths!$E$348),IF('Operating costs'!$B$67=0,C3760=0,AND(C3760&gt;0,'Operating costs'!$B$67&gt;(C3760-1)*12,'Operating costs'!$B$67&lt;=C3760*12))),'Operating costs'!$B$66,0),"n.a."))</f>
        <v>0</v>
      </c>
      <c r="N3760" s="16">
        <f>IF(NOT(Paths!$C$348=1),0,IF(Paths!$P$348="Complete",SUM(G3760:I3760)-J3760-K3760-L3760+M3760+IF(C3760=0,Paths!$F$348,0)+IF(IF(Paths!$E$348=0,C3760=0,AND(C3760&gt;0,Paths!$E$348&gt;(C3760-1)*12,Paths!$E$348&lt;=C3760*12)),VLOOKUP(A3760,'Fleet register'!$A$7:$S$106,16,FALSE),0),"n.a."))</f>
        <v>0</v>
      </c>
      <c r="O3760" s="16">
        <f>IF(NOT(Paths!$C$348=1),0,IF(Paths!$P$348="Complete",N3760-IF(C3760=0,Paths!$F$348,0),"n.a."))</f>
        <v>0</v>
      </c>
      <c r="P3760" s="16">
        <f>IF(NOT(Paths!$C$348=1),0,IF(Paths!$P$348="Complete",O3760+L3760,"n.a."))</f>
        <v>0</v>
      </c>
      <c r="Q3760" s="16">
        <f>IF(NOT(Paths!$C$348=1),0,IF(Paths!$P$348="Complete",N3760*(1+'Operating costs'!$B$54)^-C3760,"n.a."))</f>
        <v>0</v>
      </c>
      <c r="R3760" s="16">
        <f>IF(NOT(Paths!$C$348=1),0,IF(Paths!$P$348="Complete",IF(AND(C3760=0,Paths!$E$348=0),I3760-J3760-K3760+VLOOKUP(A3760,'Fleet register'!$A$7:$S$106,15,FALSE)+VLOOKUP(A3760,'Fleet register'!$A$7:$S$106,16,FALSE),0),"n.a."))</f>
        <v>0</v>
      </c>
      <c r="S3760" s="1">
        <f>IF(NOT(Paths!$C$348=1),0,IF(Paths!$P$348="Complete",IF(C3760=0,0,Paths!$S$348*Paths!$R$348),"n.a."))</f>
        <v>0</v>
      </c>
      <c r="T3760" s="1">
        <f>IF(NOT(Paths!$C$348=1),0,IF(Paths!$P$348="Complete",IF(C3760=0,0,VLOOKUP(A3760,'Fleet register'!$A$7:$S$106,9,FALSE)*Paths!$R$348),"n.a."))</f>
        <v>0</v>
      </c>
    </row>
    <row r="3761" spans="1:20" ht="24" customHeight="1">
      <c r="A3761" s="1" t="str">
        <f>Paths!$A$348</f>
        <v>T086</v>
      </c>
      <c r="B3761" s="1">
        <f>Paths!$B$348</f>
        <v>1</v>
      </c>
      <c r="C3761" s="1">
        <v>3</v>
      </c>
      <c r="D3761" s="1">
        <v>348</v>
      </c>
      <c r="E3761" s="1">
        <f>IF(OR(Paths!$C$348=0,C3761=0),0,MAX(0,MIN(C3761*12,Paths!$E$348)-(C3761-1)*12))</f>
        <v>0</v>
      </c>
      <c r="F3761" s="1">
        <f>IF(OR(Paths!$C$348=0,C3761=0),0,12-E3761)</f>
        <v>0</v>
      </c>
      <c r="G3761" s="16">
        <f>IF(NOT(Paths!$C$348=1),0,IF(Paths!$P$348="Complete",E3761/12*(Paths!$J$348*(1+'Operating costs'!$B$51)^MAX(0,C3761-1)+Paths!$K$348*(1+'Operating costs'!$B$53)^MAX(0,C3761-1)),"n.a."))</f>
        <v>0</v>
      </c>
      <c r="H3761" s="16">
        <f>IF(NOT(Paths!$C$348=1),0,IF(Paths!$P$348="Complete",F3761/12*(Paths!$L$348*(1+IF(Paths!$D$348="EV",'Operating costs'!$B$52,'Operating costs'!$B$51))^MAX(0,C3761-1)+Paths!$M$348*(1+'Operating costs'!$B$53)^MAX(0,C3761-1)),"n.a."))</f>
        <v>0</v>
      </c>
      <c r="I3761" s="16">
        <f>IF(NOT(Paths!$C$348=1),0,IF(Paths!$P$348="Complete",IF(IF(Paths!$E$348=0,C3761=0,AND(C3761&gt;0,Paths!$E$348&gt;(C3761-1)*12,Paths!$E$348&lt;=C3761*12)),Paths!$G$348,0),"n.a."))</f>
        <v>0</v>
      </c>
      <c r="J3761" s="16">
        <f>IF(NOT(Paths!$C$348=1),0,IF(Paths!$P$348="Complete",IF(IF(Paths!$E$348=0,C3761=0,AND(C3761&gt;0,Paths!$E$348&gt;(C3761-1)*12,Paths!$E$348&lt;=C3761*12)),Paths!$H$348,0),"n.a."))</f>
        <v>0</v>
      </c>
      <c r="K3761" s="16">
        <f>IF(NOT(Paths!$C$348=1),0,IF(Paths!$P$348="Complete",IF(IF(Paths!$O$348=0,C3761=0,AND(C3761&gt;0,Paths!$O$348&gt;(C3761-1)*12,Paths!$O$348&lt;=C3761*12)),Paths!$N$348,0),"n.a."))</f>
        <v>0</v>
      </c>
      <c r="L3761" s="16">
        <f>IF(NOT(Paths!$C$348=1),0,IF(Paths!$P$348="Complete",IF(C3761=10,Paths!$I$348,0),"n.a."))</f>
        <v>0</v>
      </c>
      <c r="M3761" s="16">
        <f>IF(NOT(Paths!$C$348=1),0,IF(Paths!$P$348="Complete",IF(AND(Paths!$D$348="EV",Paths!$E$348&lt;120,Paths!$E$348+'Operating costs'!$B$65&gt;Paths!$E$348,Paths!$E$348+'Operating costs'!$B$65&lt;=120,IF(Paths!$E$348+'Operating costs'!$B$65=0,C3761=0,AND(C3761&gt;0,Paths!$E$348+'Operating costs'!$B$65&gt;(C3761-1)*12,Paths!$E$348+'Operating costs'!$B$65&lt;=C3761*12))),'Operating costs'!$B$64,0)+IF(AND('Operating costs'!$B$67&gt;0,'Operating costs'!$B$67&lt;=120,OR(Paths!$D$348="ICE",'Operating costs'!$B$67&lt;=Paths!$E$348),IF('Operating costs'!$B$67=0,C3761=0,AND(C3761&gt;0,'Operating costs'!$B$67&gt;(C3761-1)*12,'Operating costs'!$B$67&lt;=C3761*12))),'Operating costs'!$B$66,0),"n.a."))</f>
        <v>0</v>
      </c>
      <c r="N3761" s="16">
        <f>IF(NOT(Paths!$C$348=1),0,IF(Paths!$P$348="Complete",SUM(G3761:I3761)-J3761-K3761-L3761+M3761+IF(C3761=0,Paths!$F$348,0)+IF(IF(Paths!$E$348=0,C3761=0,AND(C3761&gt;0,Paths!$E$348&gt;(C3761-1)*12,Paths!$E$348&lt;=C3761*12)),VLOOKUP(A3761,'Fleet register'!$A$7:$S$106,16,FALSE),0),"n.a."))</f>
        <v>0</v>
      </c>
      <c r="O3761" s="16">
        <f>IF(NOT(Paths!$C$348=1),0,IF(Paths!$P$348="Complete",N3761-IF(C3761=0,Paths!$F$348,0),"n.a."))</f>
        <v>0</v>
      </c>
      <c r="P3761" s="16">
        <f>IF(NOT(Paths!$C$348=1),0,IF(Paths!$P$348="Complete",O3761+L3761,"n.a."))</f>
        <v>0</v>
      </c>
      <c r="Q3761" s="16">
        <f>IF(NOT(Paths!$C$348=1),0,IF(Paths!$P$348="Complete",N3761*(1+'Operating costs'!$B$54)^-C3761,"n.a."))</f>
        <v>0</v>
      </c>
      <c r="R3761" s="16">
        <f>IF(NOT(Paths!$C$348=1),0,IF(Paths!$P$348="Complete",IF(AND(C3761=0,Paths!$E$348=0),I3761-J3761-K3761+VLOOKUP(A3761,'Fleet register'!$A$7:$S$106,15,FALSE)+VLOOKUP(A3761,'Fleet register'!$A$7:$S$106,16,FALSE),0),"n.a."))</f>
        <v>0</v>
      </c>
      <c r="S3761" s="1">
        <f>IF(NOT(Paths!$C$348=1),0,IF(Paths!$P$348="Complete",IF(C3761=0,0,Paths!$S$348*Paths!$R$348),"n.a."))</f>
        <v>0</v>
      </c>
      <c r="T3761" s="1">
        <f>IF(NOT(Paths!$C$348=1),0,IF(Paths!$P$348="Complete",IF(C3761=0,0,VLOOKUP(A3761,'Fleet register'!$A$7:$S$106,9,FALSE)*Paths!$R$348),"n.a."))</f>
        <v>0</v>
      </c>
    </row>
    <row r="3762" spans="1:20" ht="24" customHeight="1">
      <c r="A3762" s="1" t="str">
        <f>Paths!$A$348</f>
        <v>T086</v>
      </c>
      <c r="B3762" s="1">
        <f>Paths!$B$348</f>
        <v>1</v>
      </c>
      <c r="C3762" s="1">
        <v>4</v>
      </c>
      <c r="D3762" s="1">
        <v>348</v>
      </c>
      <c r="E3762" s="1">
        <f>IF(OR(Paths!$C$348=0,C3762=0),0,MAX(0,MIN(C3762*12,Paths!$E$348)-(C3762-1)*12))</f>
        <v>0</v>
      </c>
      <c r="F3762" s="1">
        <f>IF(OR(Paths!$C$348=0,C3762=0),0,12-E3762)</f>
        <v>0</v>
      </c>
      <c r="G3762" s="16">
        <f>IF(NOT(Paths!$C$348=1),0,IF(Paths!$P$348="Complete",E3762/12*(Paths!$J$348*(1+'Operating costs'!$B$51)^MAX(0,C3762-1)+Paths!$K$348*(1+'Operating costs'!$B$53)^MAX(0,C3762-1)),"n.a."))</f>
        <v>0</v>
      </c>
      <c r="H3762" s="16">
        <f>IF(NOT(Paths!$C$348=1),0,IF(Paths!$P$348="Complete",F3762/12*(Paths!$L$348*(1+IF(Paths!$D$348="EV",'Operating costs'!$B$52,'Operating costs'!$B$51))^MAX(0,C3762-1)+Paths!$M$348*(1+'Operating costs'!$B$53)^MAX(0,C3762-1)),"n.a."))</f>
        <v>0</v>
      </c>
      <c r="I3762" s="16">
        <f>IF(NOT(Paths!$C$348=1),0,IF(Paths!$P$348="Complete",IF(IF(Paths!$E$348=0,C3762=0,AND(C3762&gt;0,Paths!$E$348&gt;(C3762-1)*12,Paths!$E$348&lt;=C3762*12)),Paths!$G$348,0),"n.a."))</f>
        <v>0</v>
      </c>
      <c r="J3762" s="16">
        <f>IF(NOT(Paths!$C$348=1),0,IF(Paths!$P$348="Complete",IF(IF(Paths!$E$348=0,C3762=0,AND(C3762&gt;0,Paths!$E$348&gt;(C3762-1)*12,Paths!$E$348&lt;=C3762*12)),Paths!$H$348,0),"n.a."))</f>
        <v>0</v>
      </c>
      <c r="K3762" s="16">
        <f>IF(NOT(Paths!$C$348=1),0,IF(Paths!$P$348="Complete",IF(IF(Paths!$O$348=0,C3762=0,AND(C3762&gt;0,Paths!$O$348&gt;(C3762-1)*12,Paths!$O$348&lt;=C3762*12)),Paths!$N$348,0),"n.a."))</f>
        <v>0</v>
      </c>
      <c r="L3762" s="16">
        <f>IF(NOT(Paths!$C$348=1),0,IF(Paths!$P$348="Complete",IF(C3762=10,Paths!$I$348,0),"n.a."))</f>
        <v>0</v>
      </c>
      <c r="M3762" s="16">
        <f>IF(NOT(Paths!$C$348=1),0,IF(Paths!$P$348="Complete",IF(AND(Paths!$D$348="EV",Paths!$E$348&lt;120,Paths!$E$348+'Operating costs'!$B$65&gt;Paths!$E$348,Paths!$E$348+'Operating costs'!$B$65&lt;=120,IF(Paths!$E$348+'Operating costs'!$B$65=0,C3762=0,AND(C3762&gt;0,Paths!$E$348+'Operating costs'!$B$65&gt;(C3762-1)*12,Paths!$E$348+'Operating costs'!$B$65&lt;=C3762*12))),'Operating costs'!$B$64,0)+IF(AND('Operating costs'!$B$67&gt;0,'Operating costs'!$B$67&lt;=120,OR(Paths!$D$348="ICE",'Operating costs'!$B$67&lt;=Paths!$E$348),IF('Operating costs'!$B$67=0,C3762=0,AND(C3762&gt;0,'Operating costs'!$B$67&gt;(C3762-1)*12,'Operating costs'!$B$67&lt;=C3762*12))),'Operating costs'!$B$66,0),"n.a."))</f>
        <v>0</v>
      </c>
      <c r="N3762" s="16">
        <f>IF(NOT(Paths!$C$348=1),0,IF(Paths!$P$348="Complete",SUM(G3762:I3762)-J3762-K3762-L3762+M3762+IF(C3762=0,Paths!$F$348,0)+IF(IF(Paths!$E$348=0,C3762=0,AND(C3762&gt;0,Paths!$E$348&gt;(C3762-1)*12,Paths!$E$348&lt;=C3762*12)),VLOOKUP(A3762,'Fleet register'!$A$7:$S$106,16,FALSE),0),"n.a."))</f>
        <v>0</v>
      </c>
      <c r="O3762" s="16">
        <f>IF(NOT(Paths!$C$348=1),0,IF(Paths!$P$348="Complete",N3762-IF(C3762=0,Paths!$F$348,0),"n.a."))</f>
        <v>0</v>
      </c>
      <c r="P3762" s="16">
        <f>IF(NOT(Paths!$C$348=1),0,IF(Paths!$P$348="Complete",O3762+L3762,"n.a."))</f>
        <v>0</v>
      </c>
      <c r="Q3762" s="16">
        <f>IF(NOT(Paths!$C$348=1),0,IF(Paths!$P$348="Complete",N3762*(1+'Operating costs'!$B$54)^-C3762,"n.a."))</f>
        <v>0</v>
      </c>
      <c r="R3762" s="16">
        <f>IF(NOT(Paths!$C$348=1),0,IF(Paths!$P$348="Complete",IF(AND(C3762=0,Paths!$E$348=0),I3762-J3762-K3762+VLOOKUP(A3762,'Fleet register'!$A$7:$S$106,15,FALSE)+VLOOKUP(A3762,'Fleet register'!$A$7:$S$106,16,FALSE),0),"n.a."))</f>
        <v>0</v>
      </c>
      <c r="S3762" s="1">
        <f>IF(NOT(Paths!$C$348=1),0,IF(Paths!$P$348="Complete",IF(C3762=0,0,Paths!$S$348*Paths!$R$348),"n.a."))</f>
        <v>0</v>
      </c>
      <c r="T3762" s="1">
        <f>IF(NOT(Paths!$C$348=1),0,IF(Paths!$P$348="Complete",IF(C3762=0,0,VLOOKUP(A3762,'Fleet register'!$A$7:$S$106,9,FALSE)*Paths!$R$348),"n.a."))</f>
        <v>0</v>
      </c>
    </row>
    <row r="3763" spans="1:20" ht="24" customHeight="1">
      <c r="A3763" s="1" t="str">
        <f>Paths!$A$348</f>
        <v>T086</v>
      </c>
      <c r="B3763" s="1">
        <f>Paths!$B$348</f>
        <v>1</v>
      </c>
      <c r="C3763" s="1">
        <v>5</v>
      </c>
      <c r="D3763" s="1">
        <v>348</v>
      </c>
      <c r="E3763" s="1">
        <f>IF(OR(Paths!$C$348=0,C3763=0),0,MAX(0,MIN(C3763*12,Paths!$E$348)-(C3763-1)*12))</f>
        <v>0</v>
      </c>
      <c r="F3763" s="1">
        <f>IF(OR(Paths!$C$348=0,C3763=0),0,12-E3763)</f>
        <v>0</v>
      </c>
      <c r="G3763" s="16">
        <f>IF(NOT(Paths!$C$348=1),0,IF(Paths!$P$348="Complete",E3763/12*(Paths!$J$348*(1+'Operating costs'!$B$51)^MAX(0,C3763-1)+Paths!$K$348*(1+'Operating costs'!$B$53)^MAX(0,C3763-1)),"n.a."))</f>
        <v>0</v>
      </c>
      <c r="H3763" s="16">
        <f>IF(NOT(Paths!$C$348=1),0,IF(Paths!$P$348="Complete",F3763/12*(Paths!$L$348*(1+IF(Paths!$D$348="EV",'Operating costs'!$B$52,'Operating costs'!$B$51))^MAX(0,C3763-1)+Paths!$M$348*(1+'Operating costs'!$B$53)^MAX(0,C3763-1)),"n.a."))</f>
        <v>0</v>
      </c>
      <c r="I3763" s="16">
        <f>IF(NOT(Paths!$C$348=1),0,IF(Paths!$P$348="Complete",IF(IF(Paths!$E$348=0,C3763=0,AND(C3763&gt;0,Paths!$E$348&gt;(C3763-1)*12,Paths!$E$348&lt;=C3763*12)),Paths!$G$348,0),"n.a."))</f>
        <v>0</v>
      </c>
      <c r="J3763" s="16">
        <f>IF(NOT(Paths!$C$348=1),0,IF(Paths!$P$348="Complete",IF(IF(Paths!$E$348=0,C3763=0,AND(C3763&gt;0,Paths!$E$348&gt;(C3763-1)*12,Paths!$E$348&lt;=C3763*12)),Paths!$H$348,0),"n.a."))</f>
        <v>0</v>
      </c>
      <c r="K3763" s="16">
        <f>IF(NOT(Paths!$C$348=1),0,IF(Paths!$P$348="Complete",IF(IF(Paths!$O$348=0,C3763=0,AND(C3763&gt;0,Paths!$O$348&gt;(C3763-1)*12,Paths!$O$348&lt;=C3763*12)),Paths!$N$348,0),"n.a."))</f>
        <v>0</v>
      </c>
      <c r="L3763" s="16">
        <f>IF(NOT(Paths!$C$348=1),0,IF(Paths!$P$348="Complete",IF(C3763=10,Paths!$I$348,0),"n.a."))</f>
        <v>0</v>
      </c>
      <c r="M3763" s="16">
        <f>IF(NOT(Paths!$C$348=1),0,IF(Paths!$P$348="Complete",IF(AND(Paths!$D$348="EV",Paths!$E$348&lt;120,Paths!$E$348+'Operating costs'!$B$65&gt;Paths!$E$348,Paths!$E$348+'Operating costs'!$B$65&lt;=120,IF(Paths!$E$348+'Operating costs'!$B$65=0,C3763=0,AND(C3763&gt;0,Paths!$E$348+'Operating costs'!$B$65&gt;(C3763-1)*12,Paths!$E$348+'Operating costs'!$B$65&lt;=C3763*12))),'Operating costs'!$B$64,0)+IF(AND('Operating costs'!$B$67&gt;0,'Operating costs'!$B$67&lt;=120,OR(Paths!$D$348="ICE",'Operating costs'!$B$67&lt;=Paths!$E$348),IF('Operating costs'!$B$67=0,C3763=0,AND(C3763&gt;0,'Operating costs'!$B$67&gt;(C3763-1)*12,'Operating costs'!$B$67&lt;=C3763*12))),'Operating costs'!$B$66,0),"n.a."))</f>
        <v>0</v>
      </c>
      <c r="N3763" s="16">
        <f>IF(NOT(Paths!$C$348=1),0,IF(Paths!$P$348="Complete",SUM(G3763:I3763)-J3763-K3763-L3763+M3763+IF(C3763=0,Paths!$F$348,0)+IF(IF(Paths!$E$348=0,C3763=0,AND(C3763&gt;0,Paths!$E$348&gt;(C3763-1)*12,Paths!$E$348&lt;=C3763*12)),VLOOKUP(A3763,'Fleet register'!$A$7:$S$106,16,FALSE),0),"n.a."))</f>
        <v>0</v>
      </c>
      <c r="O3763" s="16">
        <f>IF(NOT(Paths!$C$348=1),0,IF(Paths!$P$348="Complete",N3763-IF(C3763=0,Paths!$F$348,0),"n.a."))</f>
        <v>0</v>
      </c>
      <c r="P3763" s="16">
        <f>IF(NOT(Paths!$C$348=1),0,IF(Paths!$P$348="Complete",O3763+L3763,"n.a."))</f>
        <v>0</v>
      </c>
      <c r="Q3763" s="16">
        <f>IF(NOT(Paths!$C$348=1),0,IF(Paths!$P$348="Complete",N3763*(1+'Operating costs'!$B$54)^-C3763,"n.a."))</f>
        <v>0</v>
      </c>
      <c r="R3763" s="16">
        <f>IF(NOT(Paths!$C$348=1),0,IF(Paths!$P$348="Complete",IF(AND(C3763=0,Paths!$E$348=0),I3763-J3763-K3763+VLOOKUP(A3763,'Fleet register'!$A$7:$S$106,15,FALSE)+VLOOKUP(A3763,'Fleet register'!$A$7:$S$106,16,FALSE),0),"n.a."))</f>
        <v>0</v>
      </c>
      <c r="S3763" s="1">
        <f>IF(NOT(Paths!$C$348=1),0,IF(Paths!$P$348="Complete",IF(C3763=0,0,Paths!$S$348*Paths!$R$348),"n.a."))</f>
        <v>0</v>
      </c>
      <c r="T3763" s="1">
        <f>IF(NOT(Paths!$C$348=1),0,IF(Paths!$P$348="Complete",IF(C3763=0,0,VLOOKUP(A3763,'Fleet register'!$A$7:$S$106,9,FALSE)*Paths!$R$348),"n.a."))</f>
        <v>0</v>
      </c>
    </row>
    <row r="3764" spans="1:20" ht="24" customHeight="1">
      <c r="A3764" s="1" t="str">
        <f>Paths!$A$348</f>
        <v>T086</v>
      </c>
      <c r="B3764" s="1">
        <f>Paths!$B$348</f>
        <v>1</v>
      </c>
      <c r="C3764" s="1">
        <v>6</v>
      </c>
      <c r="D3764" s="1">
        <v>348</v>
      </c>
      <c r="E3764" s="1">
        <f>IF(OR(Paths!$C$348=0,C3764=0),0,MAX(0,MIN(C3764*12,Paths!$E$348)-(C3764-1)*12))</f>
        <v>0</v>
      </c>
      <c r="F3764" s="1">
        <f>IF(OR(Paths!$C$348=0,C3764=0),0,12-E3764)</f>
        <v>0</v>
      </c>
      <c r="G3764" s="16">
        <f>IF(NOT(Paths!$C$348=1),0,IF(Paths!$P$348="Complete",E3764/12*(Paths!$J$348*(1+'Operating costs'!$B$51)^MAX(0,C3764-1)+Paths!$K$348*(1+'Operating costs'!$B$53)^MAX(0,C3764-1)),"n.a."))</f>
        <v>0</v>
      </c>
      <c r="H3764" s="16">
        <f>IF(NOT(Paths!$C$348=1),0,IF(Paths!$P$348="Complete",F3764/12*(Paths!$L$348*(1+IF(Paths!$D$348="EV",'Operating costs'!$B$52,'Operating costs'!$B$51))^MAX(0,C3764-1)+Paths!$M$348*(1+'Operating costs'!$B$53)^MAX(0,C3764-1)),"n.a."))</f>
        <v>0</v>
      </c>
      <c r="I3764" s="16">
        <f>IF(NOT(Paths!$C$348=1),0,IF(Paths!$P$348="Complete",IF(IF(Paths!$E$348=0,C3764=0,AND(C3764&gt;0,Paths!$E$348&gt;(C3764-1)*12,Paths!$E$348&lt;=C3764*12)),Paths!$G$348,0),"n.a."))</f>
        <v>0</v>
      </c>
      <c r="J3764" s="16">
        <f>IF(NOT(Paths!$C$348=1),0,IF(Paths!$P$348="Complete",IF(IF(Paths!$E$348=0,C3764=0,AND(C3764&gt;0,Paths!$E$348&gt;(C3764-1)*12,Paths!$E$348&lt;=C3764*12)),Paths!$H$348,0),"n.a."))</f>
        <v>0</v>
      </c>
      <c r="K3764" s="16">
        <f>IF(NOT(Paths!$C$348=1),0,IF(Paths!$P$348="Complete",IF(IF(Paths!$O$348=0,C3764=0,AND(C3764&gt;0,Paths!$O$348&gt;(C3764-1)*12,Paths!$O$348&lt;=C3764*12)),Paths!$N$348,0),"n.a."))</f>
        <v>0</v>
      </c>
      <c r="L3764" s="16">
        <f>IF(NOT(Paths!$C$348=1),0,IF(Paths!$P$348="Complete",IF(C3764=10,Paths!$I$348,0),"n.a."))</f>
        <v>0</v>
      </c>
      <c r="M3764" s="16">
        <f>IF(NOT(Paths!$C$348=1),0,IF(Paths!$P$348="Complete",IF(AND(Paths!$D$348="EV",Paths!$E$348&lt;120,Paths!$E$348+'Operating costs'!$B$65&gt;Paths!$E$348,Paths!$E$348+'Operating costs'!$B$65&lt;=120,IF(Paths!$E$348+'Operating costs'!$B$65=0,C3764=0,AND(C3764&gt;0,Paths!$E$348+'Operating costs'!$B$65&gt;(C3764-1)*12,Paths!$E$348+'Operating costs'!$B$65&lt;=C3764*12))),'Operating costs'!$B$64,0)+IF(AND('Operating costs'!$B$67&gt;0,'Operating costs'!$B$67&lt;=120,OR(Paths!$D$348="ICE",'Operating costs'!$B$67&lt;=Paths!$E$348),IF('Operating costs'!$B$67=0,C3764=0,AND(C3764&gt;0,'Operating costs'!$B$67&gt;(C3764-1)*12,'Operating costs'!$B$67&lt;=C3764*12))),'Operating costs'!$B$66,0),"n.a."))</f>
        <v>0</v>
      </c>
      <c r="N3764" s="16">
        <f>IF(NOT(Paths!$C$348=1),0,IF(Paths!$P$348="Complete",SUM(G3764:I3764)-J3764-K3764-L3764+M3764+IF(C3764=0,Paths!$F$348,0)+IF(IF(Paths!$E$348=0,C3764=0,AND(C3764&gt;0,Paths!$E$348&gt;(C3764-1)*12,Paths!$E$348&lt;=C3764*12)),VLOOKUP(A3764,'Fleet register'!$A$7:$S$106,16,FALSE),0),"n.a."))</f>
        <v>0</v>
      </c>
      <c r="O3764" s="16">
        <f>IF(NOT(Paths!$C$348=1),0,IF(Paths!$P$348="Complete",N3764-IF(C3764=0,Paths!$F$348,0),"n.a."))</f>
        <v>0</v>
      </c>
      <c r="P3764" s="16">
        <f>IF(NOT(Paths!$C$348=1),0,IF(Paths!$P$348="Complete",O3764+L3764,"n.a."))</f>
        <v>0</v>
      </c>
      <c r="Q3764" s="16">
        <f>IF(NOT(Paths!$C$348=1),0,IF(Paths!$P$348="Complete",N3764*(1+'Operating costs'!$B$54)^-C3764,"n.a."))</f>
        <v>0</v>
      </c>
      <c r="R3764" s="16">
        <f>IF(NOT(Paths!$C$348=1),0,IF(Paths!$P$348="Complete",IF(AND(C3764=0,Paths!$E$348=0),I3764-J3764-K3764+VLOOKUP(A3764,'Fleet register'!$A$7:$S$106,15,FALSE)+VLOOKUP(A3764,'Fleet register'!$A$7:$S$106,16,FALSE),0),"n.a."))</f>
        <v>0</v>
      </c>
      <c r="S3764" s="1">
        <f>IF(NOT(Paths!$C$348=1),0,IF(Paths!$P$348="Complete",IF(C3764=0,0,Paths!$S$348*Paths!$R$348),"n.a."))</f>
        <v>0</v>
      </c>
      <c r="T3764" s="1">
        <f>IF(NOT(Paths!$C$348=1),0,IF(Paths!$P$348="Complete",IF(C3764=0,0,VLOOKUP(A3764,'Fleet register'!$A$7:$S$106,9,FALSE)*Paths!$R$348),"n.a."))</f>
        <v>0</v>
      </c>
    </row>
    <row r="3765" spans="1:20" ht="24" customHeight="1">
      <c r="A3765" s="1" t="str">
        <f>Paths!$A$348</f>
        <v>T086</v>
      </c>
      <c r="B3765" s="1">
        <f>Paths!$B$348</f>
        <v>1</v>
      </c>
      <c r="C3765" s="1">
        <v>7</v>
      </c>
      <c r="D3765" s="1">
        <v>348</v>
      </c>
      <c r="E3765" s="1">
        <f>IF(OR(Paths!$C$348=0,C3765=0),0,MAX(0,MIN(C3765*12,Paths!$E$348)-(C3765-1)*12))</f>
        <v>0</v>
      </c>
      <c r="F3765" s="1">
        <f>IF(OR(Paths!$C$348=0,C3765=0),0,12-E3765)</f>
        <v>0</v>
      </c>
      <c r="G3765" s="16">
        <f>IF(NOT(Paths!$C$348=1),0,IF(Paths!$P$348="Complete",E3765/12*(Paths!$J$348*(1+'Operating costs'!$B$51)^MAX(0,C3765-1)+Paths!$K$348*(1+'Operating costs'!$B$53)^MAX(0,C3765-1)),"n.a."))</f>
        <v>0</v>
      </c>
      <c r="H3765" s="16">
        <f>IF(NOT(Paths!$C$348=1),0,IF(Paths!$P$348="Complete",F3765/12*(Paths!$L$348*(1+IF(Paths!$D$348="EV",'Operating costs'!$B$52,'Operating costs'!$B$51))^MAX(0,C3765-1)+Paths!$M$348*(1+'Operating costs'!$B$53)^MAX(0,C3765-1)),"n.a."))</f>
        <v>0</v>
      </c>
      <c r="I3765" s="16">
        <f>IF(NOT(Paths!$C$348=1),0,IF(Paths!$P$348="Complete",IF(IF(Paths!$E$348=0,C3765=0,AND(C3765&gt;0,Paths!$E$348&gt;(C3765-1)*12,Paths!$E$348&lt;=C3765*12)),Paths!$G$348,0),"n.a."))</f>
        <v>0</v>
      </c>
      <c r="J3765" s="16">
        <f>IF(NOT(Paths!$C$348=1),0,IF(Paths!$P$348="Complete",IF(IF(Paths!$E$348=0,C3765=0,AND(C3765&gt;0,Paths!$E$348&gt;(C3765-1)*12,Paths!$E$348&lt;=C3765*12)),Paths!$H$348,0),"n.a."))</f>
        <v>0</v>
      </c>
      <c r="K3765" s="16">
        <f>IF(NOT(Paths!$C$348=1),0,IF(Paths!$P$348="Complete",IF(IF(Paths!$O$348=0,C3765=0,AND(C3765&gt;0,Paths!$O$348&gt;(C3765-1)*12,Paths!$O$348&lt;=C3765*12)),Paths!$N$348,0),"n.a."))</f>
        <v>0</v>
      </c>
      <c r="L3765" s="16">
        <f>IF(NOT(Paths!$C$348=1),0,IF(Paths!$P$348="Complete",IF(C3765=10,Paths!$I$348,0),"n.a."))</f>
        <v>0</v>
      </c>
      <c r="M3765" s="16">
        <f>IF(NOT(Paths!$C$348=1),0,IF(Paths!$P$348="Complete",IF(AND(Paths!$D$348="EV",Paths!$E$348&lt;120,Paths!$E$348+'Operating costs'!$B$65&gt;Paths!$E$348,Paths!$E$348+'Operating costs'!$B$65&lt;=120,IF(Paths!$E$348+'Operating costs'!$B$65=0,C3765=0,AND(C3765&gt;0,Paths!$E$348+'Operating costs'!$B$65&gt;(C3765-1)*12,Paths!$E$348+'Operating costs'!$B$65&lt;=C3765*12))),'Operating costs'!$B$64,0)+IF(AND('Operating costs'!$B$67&gt;0,'Operating costs'!$B$67&lt;=120,OR(Paths!$D$348="ICE",'Operating costs'!$B$67&lt;=Paths!$E$348),IF('Operating costs'!$B$67=0,C3765=0,AND(C3765&gt;0,'Operating costs'!$B$67&gt;(C3765-1)*12,'Operating costs'!$B$67&lt;=C3765*12))),'Operating costs'!$B$66,0),"n.a."))</f>
        <v>0</v>
      </c>
      <c r="N3765" s="16">
        <f>IF(NOT(Paths!$C$348=1),0,IF(Paths!$P$348="Complete",SUM(G3765:I3765)-J3765-K3765-L3765+M3765+IF(C3765=0,Paths!$F$348,0)+IF(IF(Paths!$E$348=0,C3765=0,AND(C3765&gt;0,Paths!$E$348&gt;(C3765-1)*12,Paths!$E$348&lt;=C3765*12)),VLOOKUP(A3765,'Fleet register'!$A$7:$S$106,16,FALSE),0),"n.a."))</f>
        <v>0</v>
      </c>
      <c r="O3765" s="16">
        <f>IF(NOT(Paths!$C$348=1),0,IF(Paths!$P$348="Complete",N3765-IF(C3765=0,Paths!$F$348,0),"n.a."))</f>
        <v>0</v>
      </c>
      <c r="P3765" s="16">
        <f>IF(NOT(Paths!$C$348=1),0,IF(Paths!$P$348="Complete",O3765+L3765,"n.a."))</f>
        <v>0</v>
      </c>
      <c r="Q3765" s="16">
        <f>IF(NOT(Paths!$C$348=1),0,IF(Paths!$P$348="Complete",N3765*(1+'Operating costs'!$B$54)^-C3765,"n.a."))</f>
        <v>0</v>
      </c>
      <c r="R3765" s="16">
        <f>IF(NOT(Paths!$C$348=1),0,IF(Paths!$P$348="Complete",IF(AND(C3765=0,Paths!$E$348=0),I3765-J3765-K3765+VLOOKUP(A3765,'Fleet register'!$A$7:$S$106,15,FALSE)+VLOOKUP(A3765,'Fleet register'!$A$7:$S$106,16,FALSE),0),"n.a."))</f>
        <v>0</v>
      </c>
      <c r="S3765" s="1">
        <f>IF(NOT(Paths!$C$348=1),0,IF(Paths!$P$348="Complete",IF(C3765=0,0,Paths!$S$348*Paths!$R$348),"n.a."))</f>
        <v>0</v>
      </c>
      <c r="T3765" s="1">
        <f>IF(NOT(Paths!$C$348=1),0,IF(Paths!$P$348="Complete",IF(C3765=0,0,VLOOKUP(A3765,'Fleet register'!$A$7:$S$106,9,FALSE)*Paths!$R$348),"n.a."))</f>
        <v>0</v>
      </c>
    </row>
    <row r="3766" spans="1:20" ht="24" customHeight="1">
      <c r="A3766" s="1" t="str">
        <f>Paths!$A$348</f>
        <v>T086</v>
      </c>
      <c r="B3766" s="1">
        <f>Paths!$B$348</f>
        <v>1</v>
      </c>
      <c r="C3766" s="1">
        <v>8</v>
      </c>
      <c r="D3766" s="1">
        <v>348</v>
      </c>
      <c r="E3766" s="1">
        <f>IF(OR(Paths!$C$348=0,C3766=0),0,MAX(0,MIN(C3766*12,Paths!$E$348)-(C3766-1)*12))</f>
        <v>0</v>
      </c>
      <c r="F3766" s="1">
        <f>IF(OR(Paths!$C$348=0,C3766=0),0,12-E3766)</f>
        <v>0</v>
      </c>
      <c r="G3766" s="16">
        <f>IF(NOT(Paths!$C$348=1),0,IF(Paths!$P$348="Complete",E3766/12*(Paths!$J$348*(1+'Operating costs'!$B$51)^MAX(0,C3766-1)+Paths!$K$348*(1+'Operating costs'!$B$53)^MAX(0,C3766-1)),"n.a."))</f>
        <v>0</v>
      </c>
      <c r="H3766" s="16">
        <f>IF(NOT(Paths!$C$348=1),0,IF(Paths!$P$348="Complete",F3766/12*(Paths!$L$348*(1+IF(Paths!$D$348="EV",'Operating costs'!$B$52,'Operating costs'!$B$51))^MAX(0,C3766-1)+Paths!$M$348*(1+'Operating costs'!$B$53)^MAX(0,C3766-1)),"n.a."))</f>
        <v>0</v>
      </c>
      <c r="I3766" s="16">
        <f>IF(NOT(Paths!$C$348=1),0,IF(Paths!$P$348="Complete",IF(IF(Paths!$E$348=0,C3766=0,AND(C3766&gt;0,Paths!$E$348&gt;(C3766-1)*12,Paths!$E$348&lt;=C3766*12)),Paths!$G$348,0),"n.a."))</f>
        <v>0</v>
      </c>
      <c r="J3766" s="16">
        <f>IF(NOT(Paths!$C$348=1),0,IF(Paths!$P$348="Complete",IF(IF(Paths!$E$348=0,C3766=0,AND(C3766&gt;0,Paths!$E$348&gt;(C3766-1)*12,Paths!$E$348&lt;=C3766*12)),Paths!$H$348,0),"n.a."))</f>
        <v>0</v>
      </c>
      <c r="K3766" s="16">
        <f>IF(NOT(Paths!$C$348=1),0,IF(Paths!$P$348="Complete",IF(IF(Paths!$O$348=0,C3766=0,AND(C3766&gt;0,Paths!$O$348&gt;(C3766-1)*12,Paths!$O$348&lt;=C3766*12)),Paths!$N$348,0),"n.a."))</f>
        <v>0</v>
      </c>
      <c r="L3766" s="16">
        <f>IF(NOT(Paths!$C$348=1),0,IF(Paths!$P$348="Complete",IF(C3766=10,Paths!$I$348,0),"n.a."))</f>
        <v>0</v>
      </c>
      <c r="M3766" s="16">
        <f>IF(NOT(Paths!$C$348=1),0,IF(Paths!$P$348="Complete",IF(AND(Paths!$D$348="EV",Paths!$E$348&lt;120,Paths!$E$348+'Operating costs'!$B$65&gt;Paths!$E$348,Paths!$E$348+'Operating costs'!$B$65&lt;=120,IF(Paths!$E$348+'Operating costs'!$B$65=0,C3766=0,AND(C3766&gt;0,Paths!$E$348+'Operating costs'!$B$65&gt;(C3766-1)*12,Paths!$E$348+'Operating costs'!$B$65&lt;=C3766*12))),'Operating costs'!$B$64,0)+IF(AND('Operating costs'!$B$67&gt;0,'Operating costs'!$B$67&lt;=120,OR(Paths!$D$348="ICE",'Operating costs'!$B$67&lt;=Paths!$E$348),IF('Operating costs'!$B$67=0,C3766=0,AND(C3766&gt;0,'Operating costs'!$B$67&gt;(C3766-1)*12,'Operating costs'!$B$67&lt;=C3766*12))),'Operating costs'!$B$66,0),"n.a."))</f>
        <v>0</v>
      </c>
      <c r="N3766" s="16">
        <f>IF(NOT(Paths!$C$348=1),0,IF(Paths!$P$348="Complete",SUM(G3766:I3766)-J3766-K3766-L3766+M3766+IF(C3766=0,Paths!$F$348,0)+IF(IF(Paths!$E$348=0,C3766=0,AND(C3766&gt;0,Paths!$E$348&gt;(C3766-1)*12,Paths!$E$348&lt;=C3766*12)),VLOOKUP(A3766,'Fleet register'!$A$7:$S$106,16,FALSE),0),"n.a."))</f>
        <v>0</v>
      </c>
      <c r="O3766" s="16">
        <f>IF(NOT(Paths!$C$348=1),0,IF(Paths!$P$348="Complete",N3766-IF(C3766=0,Paths!$F$348,0),"n.a."))</f>
        <v>0</v>
      </c>
      <c r="P3766" s="16">
        <f>IF(NOT(Paths!$C$348=1),0,IF(Paths!$P$348="Complete",O3766+L3766,"n.a."))</f>
        <v>0</v>
      </c>
      <c r="Q3766" s="16">
        <f>IF(NOT(Paths!$C$348=1),0,IF(Paths!$P$348="Complete",N3766*(1+'Operating costs'!$B$54)^-C3766,"n.a."))</f>
        <v>0</v>
      </c>
      <c r="R3766" s="16">
        <f>IF(NOT(Paths!$C$348=1),0,IF(Paths!$P$348="Complete",IF(AND(C3766=0,Paths!$E$348=0),I3766-J3766-K3766+VLOOKUP(A3766,'Fleet register'!$A$7:$S$106,15,FALSE)+VLOOKUP(A3766,'Fleet register'!$A$7:$S$106,16,FALSE),0),"n.a."))</f>
        <v>0</v>
      </c>
      <c r="S3766" s="1">
        <f>IF(NOT(Paths!$C$348=1),0,IF(Paths!$P$348="Complete",IF(C3766=0,0,Paths!$S$348*Paths!$R$348),"n.a."))</f>
        <v>0</v>
      </c>
      <c r="T3766" s="1">
        <f>IF(NOT(Paths!$C$348=1),0,IF(Paths!$P$348="Complete",IF(C3766=0,0,VLOOKUP(A3766,'Fleet register'!$A$7:$S$106,9,FALSE)*Paths!$R$348),"n.a."))</f>
        <v>0</v>
      </c>
    </row>
    <row r="3767" spans="1:20" ht="24" customHeight="1">
      <c r="A3767" s="1" t="str">
        <f>Paths!$A$348</f>
        <v>T086</v>
      </c>
      <c r="B3767" s="1">
        <f>Paths!$B$348</f>
        <v>1</v>
      </c>
      <c r="C3767" s="1">
        <v>9</v>
      </c>
      <c r="D3767" s="1">
        <v>348</v>
      </c>
      <c r="E3767" s="1">
        <f>IF(OR(Paths!$C$348=0,C3767=0),0,MAX(0,MIN(C3767*12,Paths!$E$348)-(C3767-1)*12))</f>
        <v>0</v>
      </c>
      <c r="F3767" s="1">
        <f>IF(OR(Paths!$C$348=0,C3767=0),0,12-E3767)</f>
        <v>0</v>
      </c>
      <c r="G3767" s="16">
        <f>IF(NOT(Paths!$C$348=1),0,IF(Paths!$P$348="Complete",E3767/12*(Paths!$J$348*(1+'Operating costs'!$B$51)^MAX(0,C3767-1)+Paths!$K$348*(1+'Operating costs'!$B$53)^MAX(0,C3767-1)),"n.a."))</f>
        <v>0</v>
      </c>
      <c r="H3767" s="16">
        <f>IF(NOT(Paths!$C$348=1),0,IF(Paths!$P$348="Complete",F3767/12*(Paths!$L$348*(1+IF(Paths!$D$348="EV",'Operating costs'!$B$52,'Operating costs'!$B$51))^MAX(0,C3767-1)+Paths!$M$348*(1+'Operating costs'!$B$53)^MAX(0,C3767-1)),"n.a."))</f>
        <v>0</v>
      </c>
      <c r="I3767" s="16">
        <f>IF(NOT(Paths!$C$348=1),0,IF(Paths!$P$348="Complete",IF(IF(Paths!$E$348=0,C3767=0,AND(C3767&gt;0,Paths!$E$348&gt;(C3767-1)*12,Paths!$E$348&lt;=C3767*12)),Paths!$G$348,0),"n.a."))</f>
        <v>0</v>
      </c>
      <c r="J3767" s="16">
        <f>IF(NOT(Paths!$C$348=1),0,IF(Paths!$P$348="Complete",IF(IF(Paths!$E$348=0,C3767=0,AND(C3767&gt;0,Paths!$E$348&gt;(C3767-1)*12,Paths!$E$348&lt;=C3767*12)),Paths!$H$348,0),"n.a."))</f>
        <v>0</v>
      </c>
      <c r="K3767" s="16">
        <f>IF(NOT(Paths!$C$348=1),0,IF(Paths!$P$348="Complete",IF(IF(Paths!$O$348=0,C3767=0,AND(C3767&gt;0,Paths!$O$348&gt;(C3767-1)*12,Paths!$O$348&lt;=C3767*12)),Paths!$N$348,0),"n.a."))</f>
        <v>0</v>
      </c>
      <c r="L3767" s="16">
        <f>IF(NOT(Paths!$C$348=1),0,IF(Paths!$P$348="Complete",IF(C3767=10,Paths!$I$348,0),"n.a."))</f>
        <v>0</v>
      </c>
      <c r="M3767" s="16">
        <f>IF(NOT(Paths!$C$348=1),0,IF(Paths!$P$348="Complete",IF(AND(Paths!$D$348="EV",Paths!$E$348&lt;120,Paths!$E$348+'Operating costs'!$B$65&gt;Paths!$E$348,Paths!$E$348+'Operating costs'!$B$65&lt;=120,IF(Paths!$E$348+'Operating costs'!$B$65=0,C3767=0,AND(C3767&gt;0,Paths!$E$348+'Operating costs'!$B$65&gt;(C3767-1)*12,Paths!$E$348+'Operating costs'!$B$65&lt;=C3767*12))),'Operating costs'!$B$64,0)+IF(AND('Operating costs'!$B$67&gt;0,'Operating costs'!$B$67&lt;=120,OR(Paths!$D$348="ICE",'Operating costs'!$B$67&lt;=Paths!$E$348),IF('Operating costs'!$B$67=0,C3767=0,AND(C3767&gt;0,'Operating costs'!$B$67&gt;(C3767-1)*12,'Operating costs'!$B$67&lt;=C3767*12))),'Operating costs'!$B$66,0),"n.a."))</f>
        <v>0</v>
      </c>
      <c r="N3767" s="16">
        <f>IF(NOT(Paths!$C$348=1),0,IF(Paths!$P$348="Complete",SUM(G3767:I3767)-J3767-K3767-L3767+M3767+IF(C3767=0,Paths!$F$348,0)+IF(IF(Paths!$E$348=0,C3767=0,AND(C3767&gt;0,Paths!$E$348&gt;(C3767-1)*12,Paths!$E$348&lt;=C3767*12)),VLOOKUP(A3767,'Fleet register'!$A$7:$S$106,16,FALSE),0),"n.a."))</f>
        <v>0</v>
      </c>
      <c r="O3767" s="16">
        <f>IF(NOT(Paths!$C$348=1),0,IF(Paths!$P$348="Complete",N3767-IF(C3767=0,Paths!$F$348,0),"n.a."))</f>
        <v>0</v>
      </c>
      <c r="P3767" s="16">
        <f>IF(NOT(Paths!$C$348=1),0,IF(Paths!$P$348="Complete",O3767+L3767,"n.a."))</f>
        <v>0</v>
      </c>
      <c r="Q3767" s="16">
        <f>IF(NOT(Paths!$C$348=1),0,IF(Paths!$P$348="Complete",N3767*(1+'Operating costs'!$B$54)^-C3767,"n.a."))</f>
        <v>0</v>
      </c>
      <c r="R3767" s="16">
        <f>IF(NOT(Paths!$C$348=1),0,IF(Paths!$P$348="Complete",IF(AND(C3767=0,Paths!$E$348=0),I3767-J3767-K3767+VLOOKUP(A3767,'Fleet register'!$A$7:$S$106,15,FALSE)+VLOOKUP(A3767,'Fleet register'!$A$7:$S$106,16,FALSE),0),"n.a."))</f>
        <v>0</v>
      </c>
      <c r="S3767" s="1">
        <f>IF(NOT(Paths!$C$348=1),0,IF(Paths!$P$348="Complete",IF(C3767=0,0,Paths!$S$348*Paths!$R$348),"n.a."))</f>
        <v>0</v>
      </c>
      <c r="T3767" s="1">
        <f>IF(NOT(Paths!$C$348=1),0,IF(Paths!$P$348="Complete",IF(C3767=0,0,VLOOKUP(A3767,'Fleet register'!$A$7:$S$106,9,FALSE)*Paths!$R$348),"n.a."))</f>
        <v>0</v>
      </c>
    </row>
    <row r="3768" spans="1:20" ht="24" customHeight="1">
      <c r="A3768" s="1" t="str">
        <f>Paths!$A$348</f>
        <v>T086</v>
      </c>
      <c r="B3768" s="1">
        <f>Paths!$B$348</f>
        <v>1</v>
      </c>
      <c r="C3768" s="1">
        <v>10</v>
      </c>
      <c r="D3768" s="1">
        <v>348</v>
      </c>
      <c r="E3768" s="1">
        <f>IF(OR(Paths!$C$348=0,C3768=0),0,MAX(0,MIN(C3768*12,Paths!$E$348)-(C3768-1)*12))</f>
        <v>0</v>
      </c>
      <c r="F3768" s="1">
        <f>IF(OR(Paths!$C$348=0,C3768=0),0,12-E3768)</f>
        <v>0</v>
      </c>
      <c r="G3768" s="16">
        <f>IF(NOT(Paths!$C$348=1),0,IF(Paths!$P$348="Complete",E3768/12*(Paths!$J$348*(1+'Operating costs'!$B$51)^MAX(0,C3768-1)+Paths!$K$348*(1+'Operating costs'!$B$53)^MAX(0,C3768-1)),"n.a."))</f>
        <v>0</v>
      </c>
      <c r="H3768" s="16">
        <f>IF(NOT(Paths!$C$348=1),0,IF(Paths!$P$348="Complete",F3768/12*(Paths!$L$348*(1+IF(Paths!$D$348="EV",'Operating costs'!$B$52,'Operating costs'!$B$51))^MAX(0,C3768-1)+Paths!$M$348*(1+'Operating costs'!$B$53)^MAX(0,C3768-1)),"n.a."))</f>
        <v>0</v>
      </c>
      <c r="I3768" s="16">
        <f>IF(NOT(Paths!$C$348=1),0,IF(Paths!$P$348="Complete",IF(IF(Paths!$E$348=0,C3768=0,AND(C3768&gt;0,Paths!$E$348&gt;(C3768-1)*12,Paths!$E$348&lt;=C3768*12)),Paths!$G$348,0),"n.a."))</f>
        <v>0</v>
      </c>
      <c r="J3768" s="16">
        <f>IF(NOT(Paths!$C$348=1),0,IF(Paths!$P$348="Complete",IF(IF(Paths!$E$348=0,C3768=0,AND(C3768&gt;0,Paths!$E$348&gt;(C3768-1)*12,Paths!$E$348&lt;=C3768*12)),Paths!$H$348,0),"n.a."))</f>
        <v>0</v>
      </c>
      <c r="K3768" s="16">
        <f>IF(NOT(Paths!$C$348=1),0,IF(Paths!$P$348="Complete",IF(IF(Paths!$O$348=0,C3768=0,AND(C3768&gt;0,Paths!$O$348&gt;(C3768-1)*12,Paths!$O$348&lt;=C3768*12)),Paths!$N$348,0),"n.a."))</f>
        <v>0</v>
      </c>
      <c r="L3768" s="16">
        <f>IF(NOT(Paths!$C$348=1),0,IF(Paths!$P$348="Complete",IF(C3768=10,Paths!$I$348,0),"n.a."))</f>
        <v>0</v>
      </c>
      <c r="M3768" s="16">
        <f>IF(NOT(Paths!$C$348=1),0,IF(Paths!$P$348="Complete",IF(AND(Paths!$D$348="EV",Paths!$E$348&lt;120,Paths!$E$348+'Operating costs'!$B$65&gt;Paths!$E$348,Paths!$E$348+'Operating costs'!$B$65&lt;=120,IF(Paths!$E$348+'Operating costs'!$B$65=0,C3768=0,AND(C3768&gt;0,Paths!$E$348+'Operating costs'!$B$65&gt;(C3768-1)*12,Paths!$E$348+'Operating costs'!$B$65&lt;=C3768*12))),'Operating costs'!$B$64,0)+IF(AND('Operating costs'!$B$67&gt;0,'Operating costs'!$B$67&lt;=120,OR(Paths!$D$348="ICE",'Operating costs'!$B$67&lt;=Paths!$E$348),IF('Operating costs'!$B$67=0,C3768=0,AND(C3768&gt;0,'Operating costs'!$B$67&gt;(C3768-1)*12,'Operating costs'!$B$67&lt;=C3768*12))),'Operating costs'!$B$66,0),"n.a."))</f>
        <v>0</v>
      </c>
      <c r="N3768" s="16">
        <f>IF(NOT(Paths!$C$348=1),0,IF(Paths!$P$348="Complete",SUM(G3768:I3768)-J3768-K3768-L3768+M3768+IF(C3768=0,Paths!$F$348,0)+IF(IF(Paths!$E$348=0,C3768=0,AND(C3768&gt;0,Paths!$E$348&gt;(C3768-1)*12,Paths!$E$348&lt;=C3768*12)),VLOOKUP(A3768,'Fleet register'!$A$7:$S$106,16,FALSE),0),"n.a."))</f>
        <v>0</v>
      </c>
      <c r="O3768" s="16">
        <f>IF(NOT(Paths!$C$348=1),0,IF(Paths!$P$348="Complete",N3768-IF(C3768=0,Paths!$F$348,0),"n.a."))</f>
        <v>0</v>
      </c>
      <c r="P3768" s="16">
        <f>IF(NOT(Paths!$C$348=1),0,IF(Paths!$P$348="Complete",O3768+L3768,"n.a."))</f>
        <v>0</v>
      </c>
      <c r="Q3768" s="16">
        <f>IF(NOT(Paths!$C$348=1),0,IF(Paths!$P$348="Complete",N3768*(1+'Operating costs'!$B$54)^-C3768,"n.a."))</f>
        <v>0</v>
      </c>
      <c r="R3768" s="16">
        <f>IF(NOT(Paths!$C$348=1),0,IF(Paths!$P$348="Complete",IF(AND(C3768=0,Paths!$E$348=0),I3768-J3768-K3768+VLOOKUP(A3768,'Fleet register'!$A$7:$S$106,15,FALSE)+VLOOKUP(A3768,'Fleet register'!$A$7:$S$106,16,FALSE),0),"n.a."))</f>
        <v>0</v>
      </c>
      <c r="S3768" s="1">
        <f>IF(NOT(Paths!$C$348=1),0,IF(Paths!$P$348="Complete",IF(C3768=0,0,Paths!$S$348*Paths!$R$348),"n.a."))</f>
        <v>0</v>
      </c>
      <c r="T3768" s="1">
        <f>IF(NOT(Paths!$C$348=1),0,IF(Paths!$P$348="Complete",IF(C3768=0,0,VLOOKUP(A3768,'Fleet register'!$A$7:$S$106,9,FALSE)*Paths!$R$348),"n.a."))</f>
        <v>0</v>
      </c>
    </row>
    <row r="3769" spans="1:20" ht="24" customHeight="1">
      <c r="A3769" s="1" t="str">
        <f>Paths!$A$349</f>
        <v>T086</v>
      </c>
      <c r="B3769" s="1">
        <f>Paths!$B$349</f>
        <v>2</v>
      </c>
      <c r="C3769" s="1">
        <v>0</v>
      </c>
      <c r="D3769" s="1">
        <v>349</v>
      </c>
      <c r="E3769" s="1">
        <f>IF(OR(Paths!$C$349=0,C3769=0),0,MAX(0,MIN(C3769*12,Paths!$E$349)-(C3769-1)*12))</f>
        <v>0</v>
      </c>
      <c r="F3769" s="1">
        <f>IF(OR(Paths!$C$349=0,C3769=0),0,12-E3769)</f>
        <v>0</v>
      </c>
      <c r="G3769" s="16">
        <f>IF(NOT(Paths!$C$349=1),0,IF(Paths!$P$349="Complete",E3769/12*(Paths!$J$349*(1+'Operating costs'!$B$51)^MAX(0,C3769-1)+Paths!$K$349*(1+'Operating costs'!$B$53)^MAX(0,C3769-1)),"n.a."))</f>
        <v>0</v>
      </c>
      <c r="H3769" s="16">
        <f>IF(NOT(Paths!$C$349=1),0,IF(Paths!$P$349="Complete",F3769/12*(Paths!$L$349*(1+IF(Paths!$D$349="EV",'Operating costs'!$B$52,'Operating costs'!$B$51))^MAX(0,C3769-1)+Paths!$M$349*(1+'Operating costs'!$B$53)^MAX(0,C3769-1)),"n.a."))</f>
        <v>0</v>
      </c>
      <c r="I3769" s="16">
        <f>IF(NOT(Paths!$C$349=1),0,IF(Paths!$P$349="Complete",IF(IF(Paths!$E$349=0,C3769=0,AND(C3769&gt;0,Paths!$E$349&gt;(C3769-1)*12,Paths!$E$349&lt;=C3769*12)),Paths!$G$349,0),"n.a."))</f>
        <v>0</v>
      </c>
      <c r="J3769" s="16">
        <f>IF(NOT(Paths!$C$349=1),0,IF(Paths!$P$349="Complete",IF(IF(Paths!$E$349=0,C3769=0,AND(C3769&gt;0,Paths!$E$349&gt;(C3769-1)*12,Paths!$E$349&lt;=C3769*12)),Paths!$H$349,0),"n.a."))</f>
        <v>0</v>
      </c>
      <c r="K3769" s="16">
        <f>IF(NOT(Paths!$C$349=1),0,IF(Paths!$P$349="Complete",IF(IF(Paths!$O$349=0,C3769=0,AND(C3769&gt;0,Paths!$O$349&gt;(C3769-1)*12,Paths!$O$349&lt;=C3769*12)),Paths!$N$349,0),"n.a."))</f>
        <v>0</v>
      </c>
      <c r="L3769" s="16">
        <f>IF(NOT(Paths!$C$349=1),0,IF(Paths!$P$349="Complete",IF(C3769=10,Paths!$I$349,0),"n.a."))</f>
        <v>0</v>
      </c>
      <c r="M3769" s="16">
        <f>IF(NOT(Paths!$C$349=1),0,IF(Paths!$P$349="Complete",IF(AND(Paths!$D$349="EV",Paths!$E$349&lt;120,Paths!$E$349+'Operating costs'!$B$65&gt;Paths!$E$349,Paths!$E$349+'Operating costs'!$B$65&lt;=120,IF(Paths!$E$349+'Operating costs'!$B$65=0,C3769=0,AND(C3769&gt;0,Paths!$E$349+'Operating costs'!$B$65&gt;(C3769-1)*12,Paths!$E$349+'Operating costs'!$B$65&lt;=C3769*12))),'Operating costs'!$B$64,0)+IF(AND('Operating costs'!$B$67&gt;0,'Operating costs'!$B$67&lt;=120,OR(Paths!$D$349="ICE",'Operating costs'!$B$67&lt;=Paths!$E$349),IF('Operating costs'!$B$67=0,C3769=0,AND(C3769&gt;0,'Operating costs'!$B$67&gt;(C3769-1)*12,'Operating costs'!$B$67&lt;=C3769*12))),'Operating costs'!$B$66,0),"n.a."))</f>
        <v>0</v>
      </c>
      <c r="N3769" s="16">
        <f>IF(NOT(Paths!$C$349=1),0,IF(Paths!$P$349="Complete",SUM(G3769:I3769)-J3769-K3769-L3769+M3769+IF(C3769=0,Paths!$F$349,0)+IF(IF(Paths!$E$349=0,C3769=0,AND(C3769&gt;0,Paths!$E$349&gt;(C3769-1)*12,Paths!$E$349&lt;=C3769*12)),VLOOKUP(A3769,'Fleet register'!$A$7:$S$106,16,FALSE),0),"n.a."))</f>
        <v>0</v>
      </c>
      <c r="O3769" s="16">
        <f>IF(NOT(Paths!$C$349=1),0,IF(Paths!$P$349="Complete",N3769-IF(C3769=0,Paths!$F$349,0),"n.a."))</f>
        <v>0</v>
      </c>
      <c r="P3769" s="16">
        <f>IF(NOT(Paths!$C$349=1),0,IF(Paths!$P$349="Complete",O3769+L3769,"n.a."))</f>
        <v>0</v>
      </c>
      <c r="Q3769" s="16">
        <f>IF(NOT(Paths!$C$349=1),0,IF(Paths!$P$349="Complete",N3769*(1+'Operating costs'!$B$54)^-C3769,"n.a."))</f>
        <v>0</v>
      </c>
      <c r="R3769" s="16">
        <f>IF(NOT(Paths!$C$349=1),0,IF(Paths!$P$349="Complete",IF(AND(C3769=0,Paths!$E$349=0),I3769-J3769-K3769+VLOOKUP(A3769,'Fleet register'!$A$7:$S$106,15,FALSE)+VLOOKUP(A3769,'Fleet register'!$A$7:$S$106,16,FALSE),0),"n.a."))</f>
        <v>0</v>
      </c>
      <c r="S3769" s="1">
        <f>IF(NOT(Paths!$C$349=1),0,IF(Paths!$P$349="Complete",IF(C3769=0,0,Paths!$S$349*Paths!$R$349),"n.a."))</f>
        <v>0</v>
      </c>
      <c r="T3769" s="1">
        <f>IF(NOT(Paths!$C$349=1),0,IF(Paths!$P$349="Complete",IF(C3769=0,0,VLOOKUP(A3769,'Fleet register'!$A$7:$S$106,9,FALSE)*Paths!$R$349),"n.a."))</f>
        <v>0</v>
      </c>
    </row>
    <row r="3770" spans="1:20" ht="24" customHeight="1">
      <c r="A3770" s="1" t="str">
        <f>Paths!$A$349</f>
        <v>T086</v>
      </c>
      <c r="B3770" s="1">
        <f>Paths!$B$349</f>
        <v>2</v>
      </c>
      <c r="C3770" s="1">
        <v>1</v>
      </c>
      <c r="D3770" s="1">
        <v>349</v>
      </c>
      <c r="E3770" s="1">
        <f>IF(OR(Paths!$C$349=0,C3770=0),0,MAX(0,MIN(C3770*12,Paths!$E$349)-(C3770-1)*12))</f>
        <v>0</v>
      </c>
      <c r="F3770" s="1">
        <f>IF(OR(Paths!$C$349=0,C3770=0),0,12-E3770)</f>
        <v>0</v>
      </c>
      <c r="G3770" s="16">
        <f>IF(NOT(Paths!$C$349=1),0,IF(Paths!$P$349="Complete",E3770/12*(Paths!$J$349*(1+'Operating costs'!$B$51)^MAX(0,C3770-1)+Paths!$K$349*(1+'Operating costs'!$B$53)^MAX(0,C3770-1)),"n.a."))</f>
        <v>0</v>
      </c>
      <c r="H3770" s="16">
        <f>IF(NOT(Paths!$C$349=1),0,IF(Paths!$P$349="Complete",F3770/12*(Paths!$L$349*(1+IF(Paths!$D$349="EV",'Operating costs'!$B$52,'Operating costs'!$B$51))^MAX(0,C3770-1)+Paths!$M$349*(1+'Operating costs'!$B$53)^MAX(0,C3770-1)),"n.a."))</f>
        <v>0</v>
      </c>
      <c r="I3770" s="16">
        <f>IF(NOT(Paths!$C$349=1),0,IF(Paths!$P$349="Complete",IF(IF(Paths!$E$349=0,C3770=0,AND(C3770&gt;0,Paths!$E$349&gt;(C3770-1)*12,Paths!$E$349&lt;=C3770*12)),Paths!$G$349,0),"n.a."))</f>
        <v>0</v>
      </c>
      <c r="J3770" s="16">
        <f>IF(NOT(Paths!$C$349=1),0,IF(Paths!$P$349="Complete",IF(IF(Paths!$E$349=0,C3770=0,AND(C3770&gt;0,Paths!$E$349&gt;(C3770-1)*12,Paths!$E$349&lt;=C3770*12)),Paths!$H$349,0),"n.a."))</f>
        <v>0</v>
      </c>
      <c r="K3770" s="16">
        <f>IF(NOT(Paths!$C$349=1),0,IF(Paths!$P$349="Complete",IF(IF(Paths!$O$349=0,C3770=0,AND(C3770&gt;0,Paths!$O$349&gt;(C3770-1)*12,Paths!$O$349&lt;=C3770*12)),Paths!$N$349,0),"n.a."))</f>
        <v>0</v>
      </c>
      <c r="L3770" s="16">
        <f>IF(NOT(Paths!$C$349=1),0,IF(Paths!$P$349="Complete",IF(C3770=10,Paths!$I$349,0),"n.a."))</f>
        <v>0</v>
      </c>
      <c r="M3770" s="16">
        <f>IF(NOT(Paths!$C$349=1),0,IF(Paths!$P$349="Complete",IF(AND(Paths!$D$349="EV",Paths!$E$349&lt;120,Paths!$E$349+'Operating costs'!$B$65&gt;Paths!$E$349,Paths!$E$349+'Operating costs'!$B$65&lt;=120,IF(Paths!$E$349+'Operating costs'!$B$65=0,C3770=0,AND(C3770&gt;0,Paths!$E$349+'Operating costs'!$B$65&gt;(C3770-1)*12,Paths!$E$349+'Operating costs'!$B$65&lt;=C3770*12))),'Operating costs'!$B$64,0)+IF(AND('Operating costs'!$B$67&gt;0,'Operating costs'!$B$67&lt;=120,OR(Paths!$D$349="ICE",'Operating costs'!$B$67&lt;=Paths!$E$349),IF('Operating costs'!$B$67=0,C3770=0,AND(C3770&gt;0,'Operating costs'!$B$67&gt;(C3770-1)*12,'Operating costs'!$B$67&lt;=C3770*12))),'Operating costs'!$B$66,0),"n.a."))</f>
        <v>0</v>
      </c>
      <c r="N3770" s="16">
        <f>IF(NOT(Paths!$C$349=1),0,IF(Paths!$P$349="Complete",SUM(G3770:I3770)-J3770-K3770-L3770+M3770+IF(C3770=0,Paths!$F$349,0)+IF(IF(Paths!$E$349=0,C3770=0,AND(C3770&gt;0,Paths!$E$349&gt;(C3770-1)*12,Paths!$E$349&lt;=C3770*12)),VLOOKUP(A3770,'Fleet register'!$A$7:$S$106,16,FALSE),0),"n.a."))</f>
        <v>0</v>
      </c>
      <c r="O3770" s="16">
        <f>IF(NOT(Paths!$C$349=1),0,IF(Paths!$P$349="Complete",N3770-IF(C3770=0,Paths!$F$349,0),"n.a."))</f>
        <v>0</v>
      </c>
      <c r="P3770" s="16">
        <f>IF(NOT(Paths!$C$349=1),0,IF(Paths!$P$349="Complete",O3770+L3770,"n.a."))</f>
        <v>0</v>
      </c>
      <c r="Q3770" s="16">
        <f>IF(NOT(Paths!$C$349=1),0,IF(Paths!$P$349="Complete",N3770*(1+'Operating costs'!$B$54)^-C3770,"n.a."))</f>
        <v>0</v>
      </c>
      <c r="R3770" s="16">
        <f>IF(NOT(Paths!$C$349=1),0,IF(Paths!$P$349="Complete",IF(AND(C3770=0,Paths!$E$349=0),I3770-J3770-K3770+VLOOKUP(A3770,'Fleet register'!$A$7:$S$106,15,FALSE)+VLOOKUP(A3770,'Fleet register'!$A$7:$S$106,16,FALSE),0),"n.a."))</f>
        <v>0</v>
      </c>
      <c r="S3770" s="1">
        <f>IF(NOT(Paths!$C$349=1),0,IF(Paths!$P$349="Complete",IF(C3770=0,0,Paths!$S$349*Paths!$R$349),"n.a."))</f>
        <v>0</v>
      </c>
      <c r="T3770" s="1">
        <f>IF(NOT(Paths!$C$349=1),0,IF(Paths!$P$349="Complete",IF(C3770=0,0,VLOOKUP(A3770,'Fleet register'!$A$7:$S$106,9,FALSE)*Paths!$R$349),"n.a."))</f>
        <v>0</v>
      </c>
    </row>
    <row r="3771" spans="1:20" ht="24" customHeight="1">
      <c r="A3771" s="1" t="str">
        <f>Paths!$A$349</f>
        <v>T086</v>
      </c>
      <c r="B3771" s="1">
        <f>Paths!$B$349</f>
        <v>2</v>
      </c>
      <c r="C3771" s="1">
        <v>2</v>
      </c>
      <c r="D3771" s="1">
        <v>349</v>
      </c>
      <c r="E3771" s="1">
        <f>IF(OR(Paths!$C$349=0,C3771=0),0,MAX(0,MIN(C3771*12,Paths!$E$349)-(C3771-1)*12))</f>
        <v>0</v>
      </c>
      <c r="F3771" s="1">
        <f>IF(OR(Paths!$C$349=0,C3771=0),0,12-E3771)</f>
        <v>0</v>
      </c>
      <c r="G3771" s="16">
        <f>IF(NOT(Paths!$C$349=1),0,IF(Paths!$P$349="Complete",E3771/12*(Paths!$J$349*(1+'Operating costs'!$B$51)^MAX(0,C3771-1)+Paths!$K$349*(1+'Operating costs'!$B$53)^MAX(0,C3771-1)),"n.a."))</f>
        <v>0</v>
      </c>
      <c r="H3771" s="16">
        <f>IF(NOT(Paths!$C$349=1),0,IF(Paths!$P$349="Complete",F3771/12*(Paths!$L$349*(1+IF(Paths!$D$349="EV",'Operating costs'!$B$52,'Operating costs'!$B$51))^MAX(0,C3771-1)+Paths!$M$349*(1+'Operating costs'!$B$53)^MAX(0,C3771-1)),"n.a."))</f>
        <v>0</v>
      </c>
      <c r="I3771" s="16">
        <f>IF(NOT(Paths!$C$349=1),0,IF(Paths!$P$349="Complete",IF(IF(Paths!$E$349=0,C3771=0,AND(C3771&gt;0,Paths!$E$349&gt;(C3771-1)*12,Paths!$E$349&lt;=C3771*12)),Paths!$G$349,0),"n.a."))</f>
        <v>0</v>
      </c>
      <c r="J3771" s="16">
        <f>IF(NOT(Paths!$C$349=1),0,IF(Paths!$P$349="Complete",IF(IF(Paths!$E$349=0,C3771=0,AND(C3771&gt;0,Paths!$E$349&gt;(C3771-1)*12,Paths!$E$349&lt;=C3771*12)),Paths!$H$349,0),"n.a."))</f>
        <v>0</v>
      </c>
      <c r="K3771" s="16">
        <f>IF(NOT(Paths!$C$349=1),0,IF(Paths!$P$349="Complete",IF(IF(Paths!$O$349=0,C3771=0,AND(C3771&gt;0,Paths!$O$349&gt;(C3771-1)*12,Paths!$O$349&lt;=C3771*12)),Paths!$N$349,0),"n.a."))</f>
        <v>0</v>
      </c>
      <c r="L3771" s="16">
        <f>IF(NOT(Paths!$C$349=1),0,IF(Paths!$P$349="Complete",IF(C3771=10,Paths!$I$349,0),"n.a."))</f>
        <v>0</v>
      </c>
      <c r="M3771" s="16">
        <f>IF(NOT(Paths!$C$349=1),0,IF(Paths!$P$349="Complete",IF(AND(Paths!$D$349="EV",Paths!$E$349&lt;120,Paths!$E$349+'Operating costs'!$B$65&gt;Paths!$E$349,Paths!$E$349+'Operating costs'!$B$65&lt;=120,IF(Paths!$E$349+'Operating costs'!$B$65=0,C3771=0,AND(C3771&gt;0,Paths!$E$349+'Operating costs'!$B$65&gt;(C3771-1)*12,Paths!$E$349+'Operating costs'!$B$65&lt;=C3771*12))),'Operating costs'!$B$64,0)+IF(AND('Operating costs'!$B$67&gt;0,'Operating costs'!$B$67&lt;=120,OR(Paths!$D$349="ICE",'Operating costs'!$B$67&lt;=Paths!$E$349),IF('Operating costs'!$B$67=0,C3771=0,AND(C3771&gt;0,'Operating costs'!$B$67&gt;(C3771-1)*12,'Operating costs'!$B$67&lt;=C3771*12))),'Operating costs'!$B$66,0),"n.a."))</f>
        <v>0</v>
      </c>
      <c r="N3771" s="16">
        <f>IF(NOT(Paths!$C$349=1),0,IF(Paths!$P$349="Complete",SUM(G3771:I3771)-J3771-K3771-L3771+M3771+IF(C3771=0,Paths!$F$349,0)+IF(IF(Paths!$E$349=0,C3771=0,AND(C3771&gt;0,Paths!$E$349&gt;(C3771-1)*12,Paths!$E$349&lt;=C3771*12)),VLOOKUP(A3771,'Fleet register'!$A$7:$S$106,16,FALSE),0),"n.a."))</f>
        <v>0</v>
      </c>
      <c r="O3771" s="16">
        <f>IF(NOT(Paths!$C$349=1),0,IF(Paths!$P$349="Complete",N3771-IF(C3771=0,Paths!$F$349,0),"n.a."))</f>
        <v>0</v>
      </c>
      <c r="P3771" s="16">
        <f>IF(NOT(Paths!$C$349=1),0,IF(Paths!$P$349="Complete",O3771+L3771,"n.a."))</f>
        <v>0</v>
      </c>
      <c r="Q3771" s="16">
        <f>IF(NOT(Paths!$C$349=1),0,IF(Paths!$P$349="Complete",N3771*(1+'Operating costs'!$B$54)^-C3771,"n.a."))</f>
        <v>0</v>
      </c>
      <c r="R3771" s="16">
        <f>IF(NOT(Paths!$C$349=1),0,IF(Paths!$P$349="Complete",IF(AND(C3771=0,Paths!$E$349=0),I3771-J3771-K3771+VLOOKUP(A3771,'Fleet register'!$A$7:$S$106,15,FALSE)+VLOOKUP(A3771,'Fleet register'!$A$7:$S$106,16,FALSE),0),"n.a."))</f>
        <v>0</v>
      </c>
      <c r="S3771" s="1">
        <f>IF(NOT(Paths!$C$349=1),0,IF(Paths!$P$349="Complete",IF(C3771=0,0,Paths!$S$349*Paths!$R$349),"n.a."))</f>
        <v>0</v>
      </c>
      <c r="T3771" s="1">
        <f>IF(NOT(Paths!$C$349=1),0,IF(Paths!$P$349="Complete",IF(C3771=0,0,VLOOKUP(A3771,'Fleet register'!$A$7:$S$106,9,FALSE)*Paths!$R$349),"n.a."))</f>
        <v>0</v>
      </c>
    </row>
    <row r="3772" spans="1:20" ht="24" customHeight="1">
      <c r="A3772" s="1" t="str">
        <f>Paths!$A$349</f>
        <v>T086</v>
      </c>
      <c r="B3772" s="1">
        <f>Paths!$B$349</f>
        <v>2</v>
      </c>
      <c r="C3772" s="1">
        <v>3</v>
      </c>
      <c r="D3772" s="1">
        <v>349</v>
      </c>
      <c r="E3772" s="1">
        <f>IF(OR(Paths!$C$349=0,C3772=0),0,MAX(0,MIN(C3772*12,Paths!$E$349)-(C3772-1)*12))</f>
        <v>0</v>
      </c>
      <c r="F3772" s="1">
        <f>IF(OR(Paths!$C$349=0,C3772=0),0,12-E3772)</f>
        <v>0</v>
      </c>
      <c r="G3772" s="16">
        <f>IF(NOT(Paths!$C$349=1),0,IF(Paths!$P$349="Complete",E3772/12*(Paths!$J$349*(1+'Operating costs'!$B$51)^MAX(0,C3772-1)+Paths!$K$349*(1+'Operating costs'!$B$53)^MAX(0,C3772-1)),"n.a."))</f>
        <v>0</v>
      </c>
      <c r="H3772" s="16">
        <f>IF(NOT(Paths!$C$349=1),0,IF(Paths!$P$349="Complete",F3772/12*(Paths!$L$349*(1+IF(Paths!$D$349="EV",'Operating costs'!$B$52,'Operating costs'!$B$51))^MAX(0,C3772-1)+Paths!$M$349*(1+'Operating costs'!$B$53)^MAX(0,C3772-1)),"n.a."))</f>
        <v>0</v>
      </c>
      <c r="I3772" s="16">
        <f>IF(NOT(Paths!$C$349=1),0,IF(Paths!$P$349="Complete",IF(IF(Paths!$E$349=0,C3772=0,AND(C3772&gt;0,Paths!$E$349&gt;(C3772-1)*12,Paths!$E$349&lt;=C3772*12)),Paths!$G$349,0),"n.a."))</f>
        <v>0</v>
      </c>
      <c r="J3772" s="16">
        <f>IF(NOT(Paths!$C$349=1),0,IF(Paths!$P$349="Complete",IF(IF(Paths!$E$349=0,C3772=0,AND(C3772&gt;0,Paths!$E$349&gt;(C3772-1)*12,Paths!$E$349&lt;=C3772*12)),Paths!$H$349,0),"n.a."))</f>
        <v>0</v>
      </c>
      <c r="K3772" s="16">
        <f>IF(NOT(Paths!$C$349=1),0,IF(Paths!$P$349="Complete",IF(IF(Paths!$O$349=0,C3772=0,AND(C3772&gt;0,Paths!$O$349&gt;(C3772-1)*12,Paths!$O$349&lt;=C3772*12)),Paths!$N$349,0),"n.a."))</f>
        <v>0</v>
      </c>
      <c r="L3772" s="16">
        <f>IF(NOT(Paths!$C$349=1),0,IF(Paths!$P$349="Complete",IF(C3772=10,Paths!$I$349,0),"n.a."))</f>
        <v>0</v>
      </c>
      <c r="M3772" s="16">
        <f>IF(NOT(Paths!$C$349=1),0,IF(Paths!$P$349="Complete",IF(AND(Paths!$D$349="EV",Paths!$E$349&lt;120,Paths!$E$349+'Operating costs'!$B$65&gt;Paths!$E$349,Paths!$E$349+'Operating costs'!$B$65&lt;=120,IF(Paths!$E$349+'Operating costs'!$B$65=0,C3772=0,AND(C3772&gt;0,Paths!$E$349+'Operating costs'!$B$65&gt;(C3772-1)*12,Paths!$E$349+'Operating costs'!$B$65&lt;=C3772*12))),'Operating costs'!$B$64,0)+IF(AND('Operating costs'!$B$67&gt;0,'Operating costs'!$B$67&lt;=120,OR(Paths!$D$349="ICE",'Operating costs'!$B$67&lt;=Paths!$E$349),IF('Operating costs'!$B$67=0,C3772=0,AND(C3772&gt;0,'Operating costs'!$B$67&gt;(C3772-1)*12,'Operating costs'!$B$67&lt;=C3772*12))),'Operating costs'!$B$66,0),"n.a."))</f>
        <v>0</v>
      </c>
      <c r="N3772" s="16">
        <f>IF(NOT(Paths!$C$349=1),0,IF(Paths!$P$349="Complete",SUM(G3772:I3772)-J3772-K3772-L3772+M3772+IF(C3772=0,Paths!$F$349,0)+IF(IF(Paths!$E$349=0,C3772=0,AND(C3772&gt;0,Paths!$E$349&gt;(C3772-1)*12,Paths!$E$349&lt;=C3772*12)),VLOOKUP(A3772,'Fleet register'!$A$7:$S$106,16,FALSE),0),"n.a."))</f>
        <v>0</v>
      </c>
      <c r="O3772" s="16">
        <f>IF(NOT(Paths!$C$349=1),0,IF(Paths!$P$349="Complete",N3772-IF(C3772=0,Paths!$F$349,0),"n.a."))</f>
        <v>0</v>
      </c>
      <c r="P3772" s="16">
        <f>IF(NOT(Paths!$C$349=1),0,IF(Paths!$P$349="Complete",O3772+L3772,"n.a."))</f>
        <v>0</v>
      </c>
      <c r="Q3772" s="16">
        <f>IF(NOT(Paths!$C$349=1),0,IF(Paths!$P$349="Complete",N3772*(1+'Operating costs'!$B$54)^-C3772,"n.a."))</f>
        <v>0</v>
      </c>
      <c r="R3772" s="16">
        <f>IF(NOT(Paths!$C$349=1),0,IF(Paths!$P$349="Complete",IF(AND(C3772=0,Paths!$E$349=0),I3772-J3772-K3772+VLOOKUP(A3772,'Fleet register'!$A$7:$S$106,15,FALSE)+VLOOKUP(A3772,'Fleet register'!$A$7:$S$106,16,FALSE),0),"n.a."))</f>
        <v>0</v>
      </c>
      <c r="S3772" s="1">
        <f>IF(NOT(Paths!$C$349=1),0,IF(Paths!$P$349="Complete",IF(C3772=0,0,Paths!$S$349*Paths!$R$349),"n.a."))</f>
        <v>0</v>
      </c>
      <c r="T3772" s="1">
        <f>IF(NOT(Paths!$C$349=1),0,IF(Paths!$P$349="Complete",IF(C3772=0,0,VLOOKUP(A3772,'Fleet register'!$A$7:$S$106,9,FALSE)*Paths!$R$349),"n.a."))</f>
        <v>0</v>
      </c>
    </row>
    <row r="3773" spans="1:20" ht="24" customHeight="1">
      <c r="A3773" s="1" t="str">
        <f>Paths!$A$349</f>
        <v>T086</v>
      </c>
      <c r="B3773" s="1">
        <f>Paths!$B$349</f>
        <v>2</v>
      </c>
      <c r="C3773" s="1">
        <v>4</v>
      </c>
      <c r="D3773" s="1">
        <v>349</v>
      </c>
      <c r="E3773" s="1">
        <f>IF(OR(Paths!$C$349=0,C3773=0),0,MAX(0,MIN(C3773*12,Paths!$E$349)-(C3773-1)*12))</f>
        <v>0</v>
      </c>
      <c r="F3773" s="1">
        <f>IF(OR(Paths!$C$349=0,C3773=0),0,12-E3773)</f>
        <v>0</v>
      </c>
      <c r="G3773" s="16">
        <f>IF(NOT(Paths!$C$349=1),0,IF(Paths!$P$349="Complete",E3773/12*(Paths!$J$349*(1+'Operating costs'!$B$51)^MAX(0,C3773-1)+Paths!$K$349*(1+'Operating costs'!$B$53)^MAX(0,C3773-1)),"n.a."))</f>
        <v>0</v>
      </c>
      <c r="H3773" s="16">
        <f>IF(NOT(Paths!$C$349=1),0,IF(Paths!$P$349="Complete",F3773/12*(Paths!$L$349*(1+IF(Paths!$D$349="EV",'Operating costs'!$B$52,'Operating costs'!$B$51))^MAX(0,C3773-1)+Paths!$M$349*(1+'Operating costs'!$B$53)^MAX(0,C3773-1)),"n.a."))</f>
        <v>0</v>
      </c>
      <c r="I3773" s="16">
        <f>IF(NOT(Paths!$C$349=1),0,IF(Paths!$P$349="Complete",IF(IF(Paths!$E$349=0,C3773=0,AND(C3773&gt;0,Paths!$E$349&gt;(C3773-1)*12,Paths!$E$349&lt;=C3773*12)),Paths!$G$349,0),"n.a."))</f>
        <v>0</v>
      </c>
      <c r="J3773" s="16">
        <f>IF(NOT(Paths!$C$349=1),0,IF(Paths!$P$349="Complete",IF(IF(Paths!$E$349=0,C3773=0,AND(C3773&gt;0,Paths!$E$349&gt;(C3773-1)*12,Paths!$E$349&lt;=C3773*12)),Paths!$H$349,0),"n.a."))</f>
        <v>0</v>
      </c>
      <c r="K3773" s="16">
        <f>IF(NOT(Paths!$C$349=1),0,IF(Paths!$P$349="Complete",IF(IF(Paths!$O$349=0,C3773=0,AND(C3773&gt;0,Paths!$O$349&gt;(C3773-1)*12,Paths!$O$349&lt;=C3773*12)),Paths!$N$349,0),"n.a."))</f>
        <v>0</v>
      </c>
      <c r="L3773" s="16">
        <f>IF(NOT(Paths!$C$349=1),0,IF(Paths!$P$349="Complete",IF(C3773=10,Paths!$I$349,0),"n.a."))</f>
        <v>0</v>
      </c>
      <c r="M3773" s="16">
        <f>IF(NOT(Paths!$C$349=1),0,IF(Paths!$P$349="Complete",IF(AND(Paths!$D$349="EV",Paths!$E$349&lt;120,Paths!$E$349+'Operating costs'!$B$65&gt;Paths!$E$349,Paths!$E$349+'Operating costs'!$B$65&lt;=120,IF(Paths!$E$349+'Operating costs'!$B$65=0,C3773=0,AND(C3773&gt;0,Paths!$E$349+'Operating costs'!$B$65&gt;(C3773-1)*12,Paths!$E$349+'Operating costs'!$B$65&lt;=C3773*12))),'Operating costs'!$B$64,0)+IF(AND('Operating costs'!$B$67&gt;0,'Operating costs'!$B$67&lt;=120,OR(Paths!$D$349="ICE",'Operating costs'!$B$67&lt;=Paths!$E$349),IF('Operating costs'!$B$67=0,C3773=0,AND(C3773&gt;0,'Operating costs'!$B$67&gt;(C3773-1)*12,'Operating costs'!$B$67&lt;=C3773*12))),'Operating costs'!$B$66,0),"n.a."))</f>
        <v>0</v>
      </c>
      <c r="N3773" s="16">
        <f>IF(NOT(Paths!$C$349=1),0,IF(Paths!$P$349="Complete",SUM(G3773:I3773)-J3773-K3773-L3773+M3773+IF(C3773=0,Paths!$F$349,0)+IF(IF(Paths!$E$349=0,C3773=0,AND(C3773&gt;0,Paths!$E$349&gt;(C3773-1)*12,Paths!$E$349&lt;=C3773*12)),VLOOKUP(A3773,'Fleet register'!$A$7:$S$106,16,FALSE),0),"n.a."))</f>
        <v>0</v>
      </c>
      <c r="O3773" s="16">
        <f>IF(NOT(Paths!$C$349=1),0,IF(Paths!$P$349="Complete",N3773-IF(C3773=0,Paths!$F$349,0),"n.a."))</f>
        <v>0</v>
      </c>
      <c r="P3773" s="16">
        <f>IF(NOT(Paths!$C$349=1),0,IF(Paths!$P$349="Complete",O3773+L3773,"n.a."))</f>
        <v>0</v>
      </c>
      <c r="Q3773" s="16">
        <f>IF(NOT(Paths!$C$349=1),0,IF(Paths!$P$349="Complete",N3773*(1+'Operating costs'!$B$54)^-C3773,"n.a."))</f>
        <v>0</v>
      </c>
      <c r="R3773" s="16">
        <f>IF(NOT(Paths!$C$349=1),0,IF(Paths!$P$349="Complete",IF(AND(C3773=0,Paths!$E$349=0),I3773-J3773-K3773+VLOOKUP(A3773,'Fleet register'!$A$7:$S$106,15,FALSE)+VLOOKUP(A3773,'Fleet register'!$A$7:$S$106,16,FALSE),0),"n.a."))</f>
        <v>0</v>
      </c>
      <c r="S3773" s="1">
        <f>IF(NOT(Paths!$C$349=1),0,IF(Paths!$P$349="Complete",IF(C3773=0,0,Paths!$S$349*Paths!$R$349),"n.a."))</f>
        <v>0</v>
      </c>
      <c r="T3773" s="1">
        <f>IF(NOT(Paths!$C$349=1),0,IF(Paths!$P$349="Complete",IF(C3773=0,0,VLOOKUP(A3773,'Fleet register'!$A$7:$S$106,9,FALSE)*Paths!$R$349),"n.a."))</f>
        <v>0</v>
      </c>
    </row>
    <row r="3774" spans="1:20" ht="24" customHeight="1">
      <c r="A3774" s="1" t="str">
        <f>Paths!$A$349</f>
        <v>T086</v>
      </c>
      <c r="B3774" s="1">
        <f>Paths!$B$349</f>
        <v>2</v>
      </c>
      <c r="C3774" s="1">
        <v>5</v>
      </c>
      <c r="D3774" s="1">
        <v>349</v>
      </c>
      <c r="E3774" s="1">
        <f>IF(OR(Paths!$C$349=0,C3774=0),0,MAX(0,MIN(C3774*12,Paths!$E$349)-(C3774-1)*12))</f>
        <v>0</v>
      </c>
      <c r="F3774" s="1">
        <f>IF(OR(Paths!$C$349=0,C3774=0),0,12-E3774)</f>
        <v>0</v>
      </c>
      <c r="G3774" s="16">
        <f>IF(NOT(Paths!$C$349=1),0,IF(Paths!$P$349="Complete",E3774/12*(Paths!$J$349*(1+'Operating costs'!$B$51)^MAX(0,C3774-1)+Paths!$K$349*(1+'Operating costs'!$B$53)^MAX(0,C3774-1)),"n.a."))</f>
        <v>0</v>
      </c>
      <c r="H3774" s="16">
        <f>IF(NOT(Paths!$C$349=1),0,IF(Paths!$P$349="Complete",F3774/12*(Paths!$L$349*(1+IF(Paths!$D$349="EV",'Operating costs'!$B$52,'Operating costs'!$B$51))^MAX(0,C3774-1)+Paths!$M$349*(1+'Operating costs'!$B$53)^MAX(0,C3774-1)),"n.a."))</f>
        <v>0</v>
      </c>
      <c r="I3774" s="16">
        <f>IF(NOT(Paths!$C$349=1),0,IF(Paths!$P$349="Complete",IF(IF(Paths!$E$349=0,C3774=0,AND(C3774&gt;0,Paths!$E$349&gt;(C3774-1)*12,Paths!$E$349&lt;=C3774*12)),Paths!$G$349,0),"n.a."))</f>
        <v>0</v>
      </c>
      <c r="J3774" s="16">
        <f>IF(NOT(Paths!$C$349=1),0,IF(Paths!$P$349="Complete",IF(IF(Paths!$E$349=0,C3774=0,AND(C3774&gt;0,Paths!$E$349&gt;(C3774-1)*12,Paths!$E$349&lt;=C3774*12)),Paths!$H$349,0),"n.a."))</f>
        <v>0</v>
      </c>
      <c r="K3774" s="16">
        <f>IF(NOT(Paths!$C$349=1),0,IF(Paths!$P$349="Complete",IF(IF(Paths!$O$349=0,C3774=0,AND(C3774&gt;0,Paths!$O$349&gt;(C3774-1)*12,Paths!$O$349&lt;=C3774*12)),Paths!$N$349,0),"n.a."))</f>
        <v>0</v>
      </c>
      <c r="L3774" s="16">
        <f>IF(NOT(Paths!$C$349=1),0,IF(Paths!$P$349="Complete",IF(C3774=10,Paths!$I$349,0),"n.a."))</f>
        <v>0</v>
      </c>
      <c r="M3774" s="16">
        <f>IF(NOT(Paths!$C$349=1),0,IF(Paths!$P$349="Complete",IF(AND(Paths!$D$349="EV",Paths!$E$349&lt;120,Paths!$E$349+'Operating costs'!$B$65&gt;Paths!$E$349,Paths!$E$349+'Operating costs'!$B$65&lt;=120,IF(Paths!$E$349+'Operating costs'!$B$65=0,C3774=0,AND(C3774&gt;0,Paths!$E$349+'Operating costs'!$B$65&gt;(C3774-1)*12,Paths!$E$349+'Operating costs'!$B$65&lt;=C3774*12))),'Operating costs'!$B$64,0)+IF(AND('Operating costs'!$B$67&gt;0,'Operating costs'!$B$67&lt;=120,OR(Paths!$D$349="ICE",'Operating costs'!$B$67&lt;=Paths!$E$349),IF('Operating costs'!$B$67=0,C3774=0,AND(C3774&gt;0,'Operating costs'!$B$67&gt;(C3774-1)*12,'Operating costs'!$B$67&lt;=C3774*12))),'Operating costs'!$B$66,0),"n.a."))</f>
        <v>0</v>
      </c>
      <c r="N3774" s="16">
        <f>IF(NOT(Paths!$C$349=1),0,IF(Paths!$P$349="Complete",SUM(G3774:I3774)-J3774-K3774-L3774+M3774+IF(C3774=0,Paths!$F$349,0)+IF(IF(Paths!$E$349=0,C3774=0,AND(C3774&gt;0,Paths!$E$349&gt;(C3774-1)*12,Paths!$E$349&lt;=C3774*12)),VLOOKUP(A3774,'Fleet register'!$A$7:$S$106,16,FALSE),0),"n.a."))</f>
        <v>0</v>
      </c>
      <c r="O3774" s="16">
        <f>IF(NOT(Paths!$C$349=1),0,IF(Paths!$P$349="Complete",N3774-IF(C3774=0,Paths!$F$349,0),"n.a."))</f>
        <v>0</v>
      </c>
      <c r="P3774" s="16">
        <f>IF(NOT(Paths!$C$349=1),0,IF(Paths!$P$349="Complete",O3774+L3774,"n.a."))</f>
        <v>0</v>
      </c>
      <c r="Q3774" s="16">
        <f>IF(NOT(Paths!$C$349=1),0,IF(Paths!$P$349="Complete",N3774*(1+'Operating costs'!$B$54)^-C3774,"n.a."))</f>
        <v>0</v>
      </c>
      <c r="R3774" s="16">
        <f>IF(NOT(Paths!$C$349=1),0,IF(Paths!$P$349="Complete",IF(AND(C3774=0,Paths!$E$349=0),I3774-J3774-K3774+VLOOKUP(A3774,'Fleet register'!$A$7:$S$106,15,FALSE)+VLOOKUP(A3774,'Fleet register'!$A$7:$S$106,16,FALSE),0),"n.a."))</f>
        <v>0</v>
      </c>
      <c r="S3774" s="1">
        <f>IF(NOT(Paths!$C$349=1),0,IF(Paths!$P$349="Complete",IF(C3774=0,0,Paths!$S$349*Paths!$R$349),"n.a."))</f>
        <v>0</v>
      </c>
      <c r="T3774" s="1">
        <f>IF(NOT(Paths!$C$349=1),0,IF(Paths!$P$349="Complete",IF(C3774=0,0,VLOOKUP(A3774,'Fleet register'!$A$7:$S$106,9,FALSE)*Paths!$R$349),"n.a."))</f>
        <v>0</v>
      </c>
    </row>
    <row r="3775" spans="1:20" ht="24" customHeight="1">
      <c r="A3775" s="1" t="str">
        <f>Paths!$A$349</f>
        <v>T086</v>
      </c>
      <c r="B3775" s="1">
        <f>Paths!$B$349</f>
        <v>2</v>
      </c>
      <c r="C3775" s="1">
        <v>6</v>
      </c>
      <c r="D3775" s="1">
        <v>349</v>
      </c>
      <c r="E3775" s="1">
        <f>IF(OR(Paths!$C$349=0,C3775=0),0,MAX(0,MIN(C3775*12,Paths!$E$349)-(C3775-1)*12))</f>
        <v>0</v>
      </c>
      <c r="F3775" s="1">
        <f>IF(OR(Paths!$C$349=0,C3775=0),0,12-E3775)</f>
        <v>0</v>
      </c>
      <c r="G3775" s="16">
        <f>IF(NOT(Paths!$C$349=1),0,IF(Paths!$P$349="Complete",E3775/12*(Paths!$J$349*(1+'Operating costs'!$B$51)^MAX(0,C3775-1)+Paths!$K$349*(1+'Operating costs'!$B$53)^MAX(0,C3775-1)),"n.a."))</f>
        <v>0</v>
      </c>
      <c r="H3775" s="16">
        <f>IF(NOT(Paths!$C$349=1),0,IF(Paths!$P$349="Complete",F3775/12*(Paths!$L$349*(1+IF(Paths!$D$349="EV",'Operating costs'!$B$52,'Operating costs'!$B$51))^MAX(0,C3775-1)+Paths!$M$349*(1+'Operating costs'!$B$53)^MAX(0,C3775-1)),"n.a."))</f>
        <v>0</v>
      </c>
      <c r="I3775" s="16">
        <f>IF(NOT(Paths!$C$349=1),0,IF(Paths!$P$349="Complete",IF(IF(Paths!$E$349=0,C3775=0,AND(C3775&gt;0,Paths!$E$349&gt;(C3775-1)*12,Paths!$E$349&lt;=C3775*12)),Paths!$G$349,0),"n.a."))</f>
        <v>0</v>
      </c>
      <c r="J3775" s="16">
        <f>IF(NOT(Paths!$C$349=1),0,IF(Paths!$P$349="Complete",IF(IF(Paths!$E$349=0,C3775=0,AND(C3775&gt;0,Paths!$E$349&gt;(C3775-1)*12,Paths!$E$349&lt;=C3775*12)),Paths!$H$349,0),"n.a."))</f>
        <v>0</v>
      </c>
      <c r="K3775" s="16">
        <f>IF(NOT(Paths!$C$349=1),0,IF(Paths!$P$349="Complete",IF(IF(Paths!$O$349=0,C3775=0,AND(C3775&gt;0,Paths!$O$349&gt;(C3775-1)*12,Paths!$O$349&lt;=C3775*12)),Paths!$N$349,0),"n.a."))</f>
        <v>0</v>
      </c>
      <c r="L3775" s="16">
        <f>IF(NOT(Paths!$C$349=1),0,IF(Paths!$P$349="Complete",IF(C3775=10,Paths!$I$349,0),"n.a."))</f>
        <v>0</v>
      </c>
      <c r="M3775" s="16">
        <f>IF(NOT(Paths!$C$349=1),0,IF(Paths!$P$349="Complete",IF(AND(Paths!$D$349="EV",Paths!$E$349&lt;120,Paths!$E$349+'Operating costs'!$B$65&gt;Paths!$E$349,Paths!$E$349+'Operating costs'!$B$65&lt;=120,IF(Paths!$E$349+'Operating costs'!$B$65=0,C3775=0,AND(C3775&gt;0,Paths!$E$349+'Operating costs'!$B$65&gt;(C3775-1)*12,Paths!$E$349+'Operating costs'!$B$65&lt;=C3775*12))),'Operating costs'!$B$64,0)+IF(AND('Operating costs'!$B$67&gt;0,'Operating costs'!$B$67&lt;=120,OR(Paths!$D$349="ICE",'Operating costs'!$B$67&lt;=Paths!$E$349),IF('Operating costs'!$B$67=0,C3775=0,AND(C3775&gt;0,'Operating costs'!$B$67&gt;(C3775-1)*12,'Operating costs'!$B$67&lt;=C3775*12))),'Operating costs'!$B$66,0),"n.a."))</f>
        <v>0</v>
      </c>
      <c r="N3775" s="16">
        <f>IF(NOT(Paths!$C$349=1),0,IF(Paths!$P$349="Complete",SUM(G3775:I3775)-J3775-K3775-L3775+M3775+IF(C3775=0,Paths!$F$349,0)+IF(IF(Paths!$E$349=0,C3775=0,AND(C3775&gt;0,Paths!$E$349&gt;(C3775-1)*12,Paths!$E$349&lt;=C3775*12)),VLOOKUP(A3775,'Fleet register'!$A$7:$S$106,16,FALSE),0),"n.a."))</f>
        <v>0</v>
      </c>
      <c r="O3775" s="16">
        <f>IF(NOT(Paths!$C$349=1),0,IF(Paths!$P$349="Complete",N3775-IF(C3775=0,Paths!$F$349,0),"n.a."))</f>
        <v>0</v>
      </c>
      <c r="P3775" s="16">
        <f>IF(NOT(Paths!$C$349=1),0,IF(Paths!$P$349="Complete",O3775+L3775,"n.a."))</f>
        <v>0</v>
      </c>
      <c r="Q3775" s="16">
        <f>IF(NOT(Paths!$C$349=1),0,IF(Paths!$P$349="Complete",N3775*(1+'Operating costs'!$B$54)^-C3775,"n.a."))</f>
        <v>0</v>
      </c>
      <c r="R3775" s="16">
        <f>IF(NOT(Paths!$C$349=1),0,IF(Paths!$P$349="Complete",IF(AND(C3775=0,Paths!$E$349=0),I3775-J3775-K3775+VLOOKUP(A3775,'Fleet register'!$A$7:$S$106,15,FALSE)+VLOOKUP(A3775,'Fleet register'!$A$7:$S$106,16,FALSE),0),"n.a."))</f>
        <v>0</v>
      </c>
      <c r="S3775" s="1">
        <f>IF(NOT(Paths!$C$349=1),0,IF(Paths!$P$349="Complete",IF(C3775=0,0,Paths!$S$349*Paths!$R$349),"n.a."))</f>
        <v>0</v>
      </c>
      <c r="T3775" s="1">
        <f>IF(NOT(Paths!$C$349=1),0,IF(Paths!$P$349="Complete",IF(C3775=0,0,VLOOKUP(A3775,'Fleet register'!$A$7:$S$106,9,FALSE)*Paths!$R$349),"n.a."))</f>
        <v>0</v>
      </c>
    </row>
    <row r="3776" spans="1:20" ht="24" customHeight="1">
      <c r="A3776" s="1" t="str">
        <f>Paths!$A$349</f>
        <v>T086</v>
      </c>
      <c r="B3776" s="1">
        <f>Paths!$B$349</f>
        <v>2</v>
      </c>
      <c r="C3776" s="1">
        <v>7</v>
      </c>
      <c r="D3776" s="1">
        <v>349</v>
      </c>
      <c r="E3776" s="1">
        <f>IF(OR(Paths!$C$349=0,C3776=0),0,MAX(0,MIN(C3776*12,Paths!$E$349)-(C3776-1)*12))</f>
        <v>0</v>
      </c>
      <c r="F3776" s="1">
        <f>IF(OR(Paths!$C$349=0,C3776=0),0,12-E3776)</f>
        <v>0</v>
      </c>
      <c r="G3776" s="16">
        <f>IF(NOT(Paths!$C$349=1),0,IF(Paths!$P$349="Complete",E3776/12*(Paths!$J$349*(1+'Operating costs'!$B$51)^MAX(0,C3776-1)+Paths!$K$349*(1+'Operating costs'!$B$53)^MAX(0,C3776-1)),"n.a."))</f>
        <v>0</v>
      </c>
      <c r="H3776" s="16">
        <f>IF(NOT(Paths!$C$349=1),0,IF(Paths!$P$349="Complete",F3776/12*(Paths!$L$349*(1+IF(Paths!$D$349="EV",'Operating costs'!$B$52,'Operating costs'!$B$51))^MAX(0,C3776-1)+Paths!$M$349*(1+'Operating costs'!$B$53)^MAX(0,C3776-1)),"n.a."))</f>
        <v>0</v>
      </c>
      <c r="I3776" s="16">
        <f>IF(NOT(Paths!$C$349=1),0,IF(Paths!$P$349="Complete",IF(IF(Paths!$E$349=0,C3776=0,AND(C3776&gt;0,Paths!$E$349&gt;(C3776-1)*12,Paths!$E$349&lt;=C3776*12)),Paths!$G$349,0),"n.a."))</f>
        <v>0</v>
      </c>
      <c r="J3776" s="16">
        <f>IF(NOT(Paths!$C$349=1),0,IF(Paths!$P$349="Complete",IF(IF(Paths!$E$349=0,C3776=0,AND(C3776&gt;0,Paths!$E$349&gt;(C3776-1)*12,Paths!$E$349&lt;=C3776*12)),Paths!$H$349,0),"n.a."))</f>
        <v>0</v>
      </c>
      <c r="K3776" s="16">
        <f>IF(NOT(Paths!$C$349=1),0,IF(Paths!$P$349="Complete",IF(IF(Paths!$O$349=0,C3776=0,AND(C3776&gt;0,Paths!$O$349&gt;(C3776-1)*12,Paths!$O$349&lt;=C3776*12)),Paths!$N$349,0),"n.a."))</f>
        <v>0</v>
      </c>
      <c r="L3776" s="16">
        <f>IF(NOT(Paths!$C$349=1),0,IF(Paths!$P$349="Complete",IF(C3776=10,Paths!$I$349,0),"n.a."))</f>
        <v>0</v>
      </c>
      <c r="M3776" s="16">
        <f>IF(NOT(Paths!$C$349=1),0,IF(Paths!$P$349="Complete",IF(AND(Paths!$D$349="EV",Paths!$E$349&lt;120,Paths!$E$349+'Operating costs'!$B$65&gt;Paths!$E$349,Paths!$E$349+'Operating costs'!$B$65&lt;=120,IF(Paths!$E$349+'Operating costs'!$B$65=0,C3776=0,AND(C3776&gt;0,Paths!$E$349+'Operating costs'!$B$65&gt;(C3776-1)*12,Paths!$E$349+'Operating costs'!$B$65&lt;=C3776*12))),'Operating costs'!$B$64,0)+IF(AND('Operating costs'!$B$67&gt;0,'Operating costs'!$B$67&lt;=120,OR(Paths!$D$349="ICE",'Operating costs'!$B$67&lt;=Paths!$E$349),IF('Operating costs'!$B$67=0,C3776=0,AND(C3776&gt;0,'Operating costs'!$B$67&gt;(C3776-1)*12,'Operating costs'!$B$67&lt;=C3776*12))),'Operating costs'!$B$66,0),"n.a."))</f>
        <v>0</v>
      </c>
      <c r="N3776" s="16">
        <f>IF(NOT(Paths!$C$349=1),0,IF(Paths!$P$349="Complete",SUM(G3776:I3776)-J3776-K3776-L3776+M3776+IF(C3776=0,Paths!$F$349,0)+IF(IF(Paths!$E$349=0,C3776=0,AND(C3776&gt;0,Paths!$E$349&gt;(C3776-1)*12,Paths!$E$349&lt;=C3776*12)),VLOOKUP(A3776,'Fleet register'!$A$7:$S$106,16,FALSE),0),"n.a."))</f>
        <v>0</v>
      </c>
      <c r="O3776" s="16">
        <f>IF(NOT(Paths!$C$349=1),0,IF(Paths!$P$349="Complete",N3776-IF(C3776=0,Paths!$F$349,0),"n.a."))</f>
        <v>0</v>
      </c>
      <c r="P3776" s="16">
        <f>IF(NOT(Paths!$C$349=1),0,IF(Paths!$P$349="Complete",O3776+L3776,"n.a."))</f>
        <v>0</v>
      </c>
      <c r="Q3776" s="16">
        <f>IF(NOT(Paths!$C$349=1),0,IF(Paths!$P$349="Complete",N3776*(1+'Operating costs'!$B$54)^-C3776,"n.a."))</f>
        <v>0</v>
      </c>
      <c r="R3776" s="16">
        <f>IF(NOT(Paths!$C$349=1),0,IF(Paths!$P$349="Complete",IF(AND(C3776=0,Paths!$E$349=0),I3776-J3776-K3776+VLOOKUP(A3776,'Fleet register'!$A$7:$S$106,15,FALSE)+VLOOKUP(A3776,'Fleet register'!$A$7:$S$106,16,FALSE),0),"n.a."))</f>
        <v>0</v>
      </c>
      <c r="S3776" s="1">
        <f>IF(NOT(Paths!$C$349=1),0,IF(Paths!$P$349="Complete",IF(C3776=0,0,Paths!$S$349*Paths!$R$349),"n.a."))</f>
        <v>0</v>
      </c>
      <c r="T3776" s="1">
        <f>IF(NOT(Paths!$C$349=1),0,IF(Paths!$P$349="Complete",IF(C3776=0,0,VLOOKUP(A3776,'Fleet register'!$A$7:$S$106,9,FALSE)*Paths!$R$349),"n.a."))</f>
        <v>0</v>
      </c>
    </row>
    <row r="3777" spans="1:20" ht="24" customHeight="1">
      <c r="A3777" s="1" t="str">
        <f>Paths!$A$349</f>
        <v>T086</v>
      </c>
      <c r="B3777" s="1">
        <f>Paths!$B$349</f>
        <v>2</v>
      </c>
      <c r="C3777" s="1">
        <v>8</v>
      </c>
      <c r="D3777" s="1">
        <v>349</v>
      </c>
      <c r="E3777" s="1">
        <f>IF(OR(Paths!$C$349=0,C3777=0),0,MAX(0,MIN(C3777*12,Paths!$E$349)-(C3777-1)*12))</f>
        <v>0</v>
      </c>
      <c r="F3777" s="1">
        <f>IF(OR(Paths!$C$349=0,C3777=0),0,12-E3777)</f>
        <v>0</v>
      </c>
      <c r="G3777" s="16">
        <f>IF(NOT(Paths!$C$349=1),0,IF(Paths!$P$349="Complete",E3777/12*(Paths!$J$349*(1+'Operating costs'!$B$51)^MAX(0,C3777-1)+Paths!$K$349*(1+'Operating costs'!$B$53)^MAX(0,C3777-1)),"n.a."))</f>
        <v>0</v>
      </c>
      <c r="H3777" s="16">
        <f>IF(NOT(Paths!$C$349=1),0,IF(Paths!$P$349="Complete",F3777/12*(Paths!$L$349*(1+IF(Paths!$D$349="EV",'Operating costs'!$B$52,'Operating costs'!$B$51))^MAX(0,C3777-1)+Paths!$M$349*(1+'Operating costs'!$B$53)^MAX(0,C3777-1)),"n.a."))</f>
        <v>0</v>
      </c>
      <c r="I3777" s="16">
        <f>IF(NOT(Paths!$C$349=1),0,IF(Paths!$P$349="Complete",IF(IF(Paths!$E$349=0,C3777=0,AND(C3777&gt;0,Paths!$E$349&gt;(C3777-1)*12,Paths!$E$349&lt;=C3777*12)),Paths!$G$349,0),"n.a."))</f>
        <v>0</v>
      </c>
      <c r="J3777" s="16">
        <f>IF(NOT(Paths!$C$349=1),0,IF(Paths!$P$349="Complete",IF(IF(Paths!$E$349=0,C3777=0,AND(C3777&gt;0,Paths!$E$349&gt;(C3777-1)*12,Paths!$E$349&lt;=C3777*12)),Paths!$H$349,0),"n.a."))</f>
        <v>0</v>
      </c>
      <c r="K3777" s="16">
        <f>IF(NOT(Paths!$C$349=1),0,IF(Paths!$P$349="Complete",IF(IF(Paths!$O$349=0,C3777=0,AND(C3777&gt;0,Paths!$O$349&gt;(C3777-1)*12,Paths!$O$349&lt;=C3777*12)),Paths!$N$349,0),"n.a."))</f>
        <v>0</v>
      </c>
      <c r="L3777" s="16">
        <f>IF(NOT(Paths!$C$349=1),0,IF(Paths!$P$349="Complete",IF(C3777=10,Paths!$I$349,0),"n.a."))</f>
        <v>0</v>
      </c>
      <c r="M3777" s="16">
        <f>IF(NOT(Paths!$C$349=1),0,IF(Paths!$P$349="Complete",IF(AND(Paths!$D$349="EV",Paths!$E$349&lt;120,Paths!$E$349+'Operating costs'!$B$65&gt;Paths!$E$349,Paths!$E$349+'Operating costs'!$B$65&lt;=120,IF(Paths!$E$349+'Operating costs'!$B$65=0,C3777=0,AND(C3777&gt;0,Paths!$E$349+'Operating costs'!$B$65&gt;(C3777-1)*12,Paths!$E$349+'Operating costs'!$B$65&lt;=C3777*12))),'Operating costs'!$B$64,0)+IF(AND('Operating costs'!$B$67&gt;0,'Operating costs'!$B$67&lt;=120,OR(Paths!$D$349="ICE",'Operating costs'!$B$67&lt;=Paths!$E$349),IF('Operating costs'!$B$67=0,C3777=0,AND(C3777&gt;0,'Operating costs'!$B$67&gt;(C3777-1)*12,'Operating costs'!$B$67&lt;=C3777*12))),'Operating costs'!$B$66,0),"n.a."))</f>
        <v>0</v>
      </c>
      <c r="N3777" s="16">
        <f>IF(NOT(Paths!$C$349=1),0,IF(Paths!$P$349="Complete",SUM(G3777:I3777)-J3777-K3777-L3777+M3777+IF(C3777=0,Paths!$F$349,0)+IF(IF(Paths!$E$349=0,C3777=0,AND(C3777&gt;0,Paths!$E$349&gt;(C3777-1)*12,Paths!$E$349&lt;=C3777*12)),VLOOKUP(A3777,'Fleet register'!$A$7:$S$106,16,FALSE),0),"n.a."))</f>
        <v>0</v>
      </c>
      <c r="O3777" s="16">
        <f>IF(NOT(Paths!$C$349=1),0,IF(Paths!$P$349="Complete",N3777-IF(C3777=0,Paths!$F$349,0),"n.a."))</f>
        <v>0</v>
      </c>
      <c r="P3777" s="16">
        <f>IF(NOT(Paths!$C$349=1),0,IF(Paths!$P$349="Complete",O3777+L3777,"n.a."))</f>
        <v>0</v>
      </c>
      <c r="Q3777" s="16">
        <f>IF(NOT(Paths!$C$349=1),0,IF(Paths!$P$349="Complete",N3777*(1+'Operating costs'!$B$54)^-C3777,"n.a."))</f>
        <v>0</v>
      </c>
      <c r="R3777" s="16">
        <f>IF(NOT(Paths!$C$349=1),0,IF(Paths!$P$349="Complete",IF(AND(C3777=0,Paths!$E$349=0),I3777-J3777-K3777+VLOOKUP(A3777,'Fleet register'!$A$7:$S$106,15,FALSE)+VLOOKUP(A3777,'Fleet register'!$A$7:$S$106,16,FALSE),0),"n.a."))</f>
        <v>0</v>
      </c>
      <c r="S3777" s="1">
        <f>IF(NOT(Paths!$C$349=1),0,IF(Paths!$P$349="Complete",IF(C3777=0,0,Paths!$S$349*Paths!$R$349),"n.a."))</f>
        <v>0</v>
      </c>
      <c r="T3777" s="1">
        <f>IF(NOT(Paths!$C$349=1),0,IF(Paths!$P$349="Complete",IF(C3777=0,0,VLOOKUP(A3777,'Fleet register'!$A$7:$S$106,9,FALSE)*Paths!$R$349),"n.a."))</f>
        <v>0</v>
      </c>
    </row>
    <row r="3778" spans="1:20" ht="24" customHeight="1">
      <c r="A3778" s="1" t="str">
        <f>Paths!$A$349</f>
        <v>T086</v>
      </c>
      <c r="B3778" s="1">
        <f>Paths!$B$349</f>
        <v>2</v>
      </c>
      <c r="C3778" s="1">
        <v>9</v>
      </c>
      <c r="D3778" s="1">
        <v>349</v>
      </c>
      <c r="E3778" s="1">
        <f>IF(OR(Paths!$C$349=0,C3778=0),0,MAX(0,MIN(C3778*12,Paths!$E$349)-(C3778-1)*12))</f>
        <v>0</v>
      </c>
      <c r="F3778" s="1">
        <f>IF(OR(Paths!$C$349=0,C3778=0),0,12-E3778)</f>
        <v>0</v>
      </c>
      <c r="G3778" s="16">
        <f>IF(NOT(Paths!$C$349=1),0,IF(Paths!$P$349="Complete",E3778/12*(Paths!$J$349*(1+'Operating costs'!$B$51)^MAX(0,C3778-1)+Paths!$K$349*(1+'Operating costs'!$B$53)^MAX(0,C3778-1)),"n.a."))</f>
        <v>0</v>
      </c>
      <c r="H3778" s="16">
        <f>IF(NOT(Paths!$C$349=1),0,IF(Paths!$P$349="Complete",F3778/12*(Paths!$L$349*(1+IF(Paths!$D$349="EV",'Operating costs'!$B$52,'Operating costs'!$B$51))^MAX(0,C3778-1)+Paths!$M$349*(1+'Operating costs'!$B$53)^MAX(0,C3778-1)),"n.a."))</f>
        <v>0</v>
      </c>
      <c r="I3778" s="16">
        <f>IF(NOT(Paths!$C$349=1),0,IF(Paths!$P$349="Complete",IF(IF(Paths!$E$349=0,C3778=0,AND(C3778&gt;0,Paths!$E$349&gt;(C3778-1)*12,Paths!$E$349&lt;=C3778*12)),Paths!$G$349,0),"n.a."))</f>
        <v>0</v>
      </c>
      <c r="J3778" s="16">
        <f>IF(NOT(Paths!$C$349=1),0,IF(Paths!$P$349="Complete",IF(IF(Paths!$E$349=0,C3778=0,AND(C3778&gt;0,Paths!$E$349&gt;(C3778-1)*12,Paths!$E$349&lt;=C3778*12)),Paths!$H$349,0),"n.a."))</f>
        <v>0</v>
      </c>
      <c r="K3778" s="16">
        <f>IF(NOT(Paths!$C$349=1),0,IF(Paths!$P$349="Complete",IF(IF(Paths!$O$349=0,C3778=0,AND(C3778&gt;0,Paths!$O$349&gt;(C3778-1)*12,Paths!$O$349&lt;=C3778*12)),Paths!$N$349,0),"n.a."))</f>
        <v>0</v>
      </c>
      <c r="L3778" s="16">
        <f>IF(NOT(Paths!$C$349=1),0,IF(Paths!$P$349="Complete",IF(C3778=10,Paths!$I$349,0),"n.a."))</f>
        <v>0</v>
      </c>
      <c r="M3778" s="16">
        <f>IF(NOT(Paths!$C$349=1),0,IF(Paths!$P$349="Complete",IF(AND(Paths!$D$349="EV",Paths!$E$349&lt;120,Paths!$E$349+'Operating costs'!$B$65&gt;Paths!$E$349,Paths!$E$349+'Operating costs'!$B$65&lt;=120,IF(Paths!$E$349+'Operating costs'!$B$65=0,C3778=0,AND(C3778&gt;0,Paths!$E$349+'Operating costs'!$B$65&gt;(C3778-1)*12,Paths!$E$349+'Operating costs'!$B$65&lt;=C3778*12))),'Operating costs'!$B$64,0)+IF(AND('Operating costs'!$B$67&gt;0,'Operating costs'!$B$67&lt;=120,OR(Paths!$D$349="ICE",'Operating costs'!$B$67&lt;=Paths!$E$349),IF('Operating costs'!$B$67=0,C3778=0,AND(C3778&gt;0,'Operating costs'!$B$67&gt;(C3778-1)*12,'Operating costs'!$B$67&lt;=C3778*12))),'Operating costs'!$B$66,0),"n.a."))</f>
        <v>0</v>
      </c>
      <c r="N3778" s="16">
        <f>IF(NOT(Paths!$C$349=1),0,IF(Paths!$P$349="Complete",SUM(G3778:I3778)-J3778-K3778-L3778+M3778+IF(C3778=0,Paths!$F$349,0)+IF(IF(Paths!$E$349=0,C3778=0,AND(C3778&gt;0,Paths!$E$349&gt;(C3778-1)*12,Paths!$E$349&lt;=C3778*12)),VLOOKUP(A3778,'Fleet register'!$A$7:$S$106,16,FALSE),0),"n.a."))</f>
        <v>0</v>
      </c>
      <c r="O3778" s="16">
        <f>IF(NOT(Paths!$C$349=1),0,IF(Paths!$P$349="Complete",N3778-IF(C3778=0,Paths!$F$349,0),"n.a."))</f>
        <v>0</v>
      </c>
      <c r="P3778" s="16">
        <f>IF(NOT(Paths!$C$349=1),0,IF(Paths!$P$349="Complete",O3778+L3778,"n.a."))</f>
        <v>0</v>
      </c>
      <c r="Q3778" s="16">
        <f>IF(NOT(Paths!$C$349=1),0,IF(Paths!$P$349="Complete",N3778*(1+'Operating costs'!$B$54)^-C3778,"n.a."))</f>
        <v>0</v>
      </c>
      <c r="R3778" s="16">
        <f>IF(NOT(Paths!$C$349=1),0,IF(Paths!$P$349="Complete",IF(AND(C3778=0,Paths!$E$349=0),I3778-J3778-K3778+VLOOKUP(A3778,'Fleet register'!$A$7:$S$106,15,FALSE)+VLOOKUP(A3778,'Fleet register'!$A$7:$S$106,16,FALSE),0),"n.a."))</f>
        <v>0</v>
      </c>
      <c r="S3778" s="1">
        <f>IF(NOT(Paths!$C$349=1),0,IF(Paths!$P$349="Complete",IF(C3778=0,0,Paths!$S$349*Paths!$R$349),"n.a."))</f>
        <v>0</v>
      </c>
      <c r="T3778" s="1">
        <f>IF(NOT(Paths!$C$349=1),0,IF(Paths!$P$349="Complete",IF(C3778=0,0,VLOOKUP(A3778,'Fleet register'!$A$7:$S$106,9,FALSE)*Paths!$R$349),"n.a."))</f>
        <v>0</v>
      </c>
    </row>
    <row r="3779" spans="1:20" ht="24" customHeight="1">
      <c r="A3779" s="1" t="str">
        <f>Paths!$A$349</f>
        <v>T086</v>
      </c>
      <c r="B3779" s="1">
        <f>Paths!$B$349</f>
        <v>2</v>
      </c>
      <c r="C3779" s="1">
        <v>10</v>
      </c>
      <c r="D3779" s="1">
        <v>349</v>
      </c>
      <c r="E3779" s="1">
        <f>IF(OR(Paths!$C$349=0,C3779=0),0,MAX(0,MIN(C3779*12,Paths!$E$349)-(C3779-1)*12))</f>
        <v>0</v>
      </c>
      <c r="F3779" s="1">
        <f>IF(OR(Paths!$C$349=0,C3779=0),0,12-E3779)</f>
        <v>0</v>
      </c>
      <c r="G3779" s="16">
        <f>IF(NOT(Paths!$C$349=1),0,IF(Paths!$P$349="Complete",E3779/12*(Paths!$J$349*(1+'Operating costs'!$B$51)^MAX(0,C3779-1)+Paths!$K$349*(1+'Operating costs'!$B$53)^MAX(0,C3779-1)),"n.a."))</f>
        <v>0</v>
      </c>
      <c r="H3779" s="16">
        <f>IF(NOT(Paths!$C$349=1),0,IF(Paths!$P$349="Complete",F3779/12*(Paths!$L$349*(1+IF(Paths!$D$349="EV",'Operating costs'!$B$52,'Operating costs'!$B$51))^MAX(0,C3779-1)+Paths!$M$349*(1+'Operating costs'!$B$53)^MAX(0,C3779-1)),"n.a."))</f>
        <v>0</v>
      </c>
      <c r="I3779" s="16">
        <f>IF(NOT(Paths!$C$349=1),0,IF(Paths!$P$349="Complete",IF(IF(Paths!$E$349=0,C3779=0,AND(C3779&gt;0,Paths!$E$349&gt;(C3779-1)*12,Paths!$E$349&lt;=C3779*12)),Paths!$G$349,0),"n.a."))</f>
        <v>0</v>
      </c>
      <c r="J3779" s="16">
        <f>IF(NOT(Paths!$C$349=1),0,IF(Paths!$P$349="Complete",IF(IF(Paths!$E$349=0,C3779=0,AND(C3779&gt;0,Paths!$E$349&gt;(C3779-1)*12,Paths!$E$349&lt;=C3779*12)),Paths!$H$349,0),"n.a."))</f>
        <v>0</v>
      </c>
      <c r="K3779" s="16">
        <f>IF(NOT(Paths!$C$349=1),0,IF(Paths!$P$349="Complete",IF(IF(Paths!$O$349=0,C3779=0,AND(C3779&gt;0,Paths!$O$349&gt;(C3779-1)*12,Paths!$O$349&lt;=C3779*12)),Paths!$N$349,0),"n.a."))</f>
        <v>0</v>
      </c>
      <c r="L3779" s="16">
        <f>IF(NOT(Paths!$C$349=1),0,IF(Paths!$P$349="Complete",IF(C3779=10,Paths!$I$349,0),"n.a."))</f>
        <v>0</v>
      </c>
      <c r="M3779" s="16">
        <f>IF(NOT(Paths!$C$349=1),0,IF(Paths!$P$349="Complete",IF(AND(Paths!$D$349="EV",Paths!$E$349&lt;120,Paths!$E$349+'Operating costs'!$B$65&gt;Paths!$E$349,Paths!$E$349+'Operating costs'!$B$65&lt;=120,IF(Paths!$E$349+'Operating costs'!$B$65=0,C3779=0,AND(C3779&gt;0,Paths!$E$349+'Operating costs'!$B$65&gt;(C3779-1)*12,Paths!$E$349+'Operating costs'!$B$65&lt;=C3779*12))),'Operating costs'!$B$64,0)+IF(AND('Operating costs'!$B$67&gt;0,'Operating costs'!$B$67&lt;=120,OR(Paths!$D$349="ICE",'Operating costs'!$B$67&lt;=Paths!$E$349),IF('Operating costs'!$B$67=0,C3779=0,AND(C3779&gt;0,'Operating costs'!$B$67&gt;(C3779-1)*12,'Operating costs'!$B$67&lt;=C3779*12))),'Operating costs'!$B$66,0),"n.a."))</f>
        <v>0</v>
      </c>
      <c r="N3779" s="16">
        <f>IF(NOT(Paths!$C$349=1),0,IF(Paths!$P$349="Complete",SUM(G3779:I3779)-J3779-K3779-L3779+M3779+IF(C3779=0,Paths!$F$349,0)+IF(IF(Paths!$E$349=0,C3779=0,AND(C3779&gt;0,Paths!$E$349&gt;(C3779-1)*12,Paths!$E$349&lt;=C3779*12)),VLOOKUP(A3779,'Fleet register'!$A$7:$S$106,16,FALSE),0),"n.a."))</f>
        <v>0</v>
      </c>
      <c r="O3779" s="16">
        <f>IF(NOT(Paths!$C$349=1),0,IF(Paths!$P$349="Complete",N3779-IF(C3779=0,Paths!$F$349,0),"n.a."))</f>
        <v>0</v>
      </c>
      <c r="P3779" s="16">
        <f>IF(NOT(Paths!$C$349=1),0,IF(Paths!$P$349="Complete",O3779+L3779,"n.a."))</f>
        <v>0</v>
      </c>
      <c r="Q3779" s="16">
        <f>IF(NOT(Paths!$C$349=1),0,IF(Paths!$P$349="Complete",N3779*(1+'Operating costs'!$B$54)^-C3779,"n.a."))</f>
        <v>0</v>
      </c>
      <c r="R3779" s="16">
        <f>IF(NOT(Paths!$C$349=1),0,IF(Paths!$P$349="Complete",IF(AND(C3779=0,Paths!$E$349=0),I3779-J3779-K3779+VLOOKUP(A3779,'Fleet register'!$A$7:$S$106,15,FALSE)+VLOOKUP(A3779,'Fleet register'!$A$7:$S$106,16,FALSE),0),"n.a."))</f>
        <v>0</v>
      </c>
      <c r="S3779" s="1">
        <f>IF(NOT(Paths!$C$349=1),0,IF(Paths!$P$349="Complete",IF(C3779=0,0,Paths!$S$349*Paths!$R$349),"n.a."))</f>
        <v>0</v>
      </c>
      <c r="T3779" s="1">
        <f>IF(NOT(Paths!$C$349=1),0,IF(Paths!$P$349="Complete",IF(C3779=0,0,VLOOKUP(A3779,'Fleet register'!$A$7:$S$106,9,FALSE)*Paths!$R$349),"n.a."))</f>
        <v>0</v>
      </c>
    </row>
    <row r="3780" spans="1:20" ht="24" customHeight="1">
      <c r="A3780" s="1" t="str">
        <f>Paths!$A$350</f>
        <v>T086</v>
      </c>
      <c r="B3780" s="1">
        <f>Paths!$B$350</f>
        <v>3</v>
      </c>
      <c r="C3780" s="1">
        <v>0</v>
      </c>
      <c r="D3780" s="1">
        <v>350</v>
      </c>
      <c r="E3780" s="1">
        <f>IF(OR(Paths!$C$350=0,C3780=0),0,MAX(0,MIN(C3780*12,Paths!$E$350)-(C3780-1)*12))</f>
        <v>0</v>
      </c>
      <c r="F3780" s="1">
        <f>IF(OR(Paths!$C$350=0,C3780=0),0,12-E3780)</f>
        <v>0</v>
      </c>
      <c r="G3780" s="16">
        <f>IF(NOT(Paths!$C$350=1),0,IF(Paths!$P$350="Complete",E3780/12*(Paths!$J$350*(1+'Operating costs'!$B$51)^MAX(0,C3780-1)+Paths!$K$350*(1+'Operating costs'!$B$53)^MAX(0,C3780-1)),"n.a."))</f>
        <v>0</v>
      </c>
      <c r="H3780" s="16">
        <f>IF(NOT(Paths!$C$350=1),0,IF(Paths!$P$350="Complete",F3780/12*(Paths!$L$350*(1+IF(Paths!$D$350="EV",'Operating costs'!$B$52,'Operating costs'!$B$51))^MAX(0,C3780-1)+Paths!$M$350*(1+'Operating costs'!$B$53)^MAX(0,C3780-1)),"n.a."))</f>
        <v>0</v>
      </c>
      <c r="I3780" s="16">
        <f>IF(NOT(Paths!$C$350=1),0,IF(Paths!$P$350="Complete",IF(IF(Paths!$E$350=0,C3780=0,AND(C3780&gt;0,Paths!$E$350&gt;(C3780-1)*12,Paths!$E$350&lt;=C3780*12)),Paths!$G$350,0),"n.a."))</f>
        <v>0</v>
      </c>
      <c r="J3780" s="16">
        <f>IF(NOT(Paths!$C$350=1),0,IF(Paths!$P$350="Complete",IF(IF(Paths!$E$350=0,C3780=0,AND(C3780&gt;0,Paths!$E$350&gt;(C3780-1)*12,Paths!$E$350&lt;=C3780*12)),Paths!$H$350,0),"n.a."))</f>
        <v>0</v>
      </c>
      <c r="K3780" s="16">
        <f>IF(NOT(Paths!$C$350=1),0,IF(Paths!$P$350="Complete",IF(IF(Paths!$O$350=0,C3780=0,AND(C3780&gt;0,Paths!$O$350&gt;(C3780-1)*12,Paths!$O$350&lt;=C3780*12)),Paths!$N$350,0),"n.a."))</f>
        <v>0</v>
      </c>
      <c r="L3780" s="16">
        <f>IF(NOT(Paths!$C$350=1),0,IF(Paths!$P$350="Complete",IF(C3780=10,Paths!$I$350,0),"n.a."))</f>
        <v>0</v>
      </c>
      <c r="M3780" s="16">
        <f>IF(NOT(Paths!$C$350=1),0,IF(Paths!$P$350="Complete",IF(AND(Paths!$D$350="EV",Paths!$E$350&lt;120,Paths!$E$350+'Operating costs'!$B$65&gt;Paths!$E$350,Paths!$E$350+'Operating costs'!$B$65&lt;=120,IF(Paths!$E$350+'Operating costs'!$B$65=0,C3780=0,AND(C3780&gt;0,Paths!$E$350+'Operating costs'!$B$65&gt;(C3780-1)*12,Paths!$E$350+'Operating costs'!$B$65&lt;=C3780*12))),'Operating costs'!$B$64,0)+IF(AND('Operating costs'!$B$67&gt;0,'Operating costs'!$B$67&lt;=120,OR(Paths!$D$350="ICE",'Operating costs'!$B$67&lt;=Paths!$E$350),IF('Operating costs'!$B$67=0,C3780=0,AND(C3780&gt;0,'Operating costs'!$B$67&gt;(C3780-1)*12,'Operating costs'!$B$67&lt;=C3780*12))),'Operating costs'!$B$66,0),"n.a."))</f>
        <v>0</v>
      </c>
      <c r="N3780" s="16">
        <f>IF(NOT(Paths!$C$350=1),0,IF(Paths!$P$350="Complete",SUM(G3780:I3780)-J3780-K3780-L3780+M3780+IF(C3780=0,Paths!$F$350,0)+IF(IF(Paths!$E$350=0,C3780=0,AND(C3780&gt;0,Paths!$E$350&gt;(C3780-1)*12,Paths!$E$350&lt;=C3780*12)),VLOOKUP(A3780,'Fleet register'!$A$7:$S$106,16,FALSE),0),"n.a."))</f>
        <v>0</v>
      </c>
      <c r="O3780" s="16">
        <f>IF(NOT(Paths!$C$350=1),0,IF(Paths!$P$350="Complete",N3780-IF(C3780=0,Paths!$F$350,0),"n.a."))</f>
        <v>0</v>
      </c>
      <c r="P3780" s="16">
        <f>IF(NOT(Paths!$C$350=1),0,IF(Paths!$P$350="Complete",O3780+L3780,"n.a."))</f>
        <v>0</v>
      </c>
      <c r="Q3780" s="16">
        <f>IF(NOT(Paths!$C$350=1),0,IF(Paths!$P$350="Complete",N3780*(1+'Operating costs'!$B$54)^-C3780,"n.a."))</f>
        <v>0</v>
      </c>
      <c r="R3780" s="16">
        <f>IF(NOT(Paths!$C$350=1),0,IF(Paths!$P$350="Complete",IF(AND(C3780=0,Paths!$E$350=0),I3780-J3780-K3780+VLOOKUP(A3780,'Fleet register'!$A$7:$S$106,15,FALSE)+VLOOKUP(A3780,'Fleet register'!$A$7:$S$106,16,FALSE),0),"n.a."))</f>
        <v>0</v>
      </c>
      <c r="S3780" s="1">
        <f>IF(NOT(Paths!$C$350=1),0,IF(Paths!$P$350="Complete",IF(C3780=0,0,Paths!$S$350*Paths!$R$350),"n.a."))</f>
        <v>0</v>
      </c>
      <c r="T3780" s="1">
        <f>IF(NOT(Paths!$C$350=1),0,IF(Paths!$P$350="Complete",IF(C3780=0,0,VLOOKUP(A3780,'Fleet register'!$A$7:$S$106,9,FALSE)*Paths!$R$350),"n.a."))</f>
        <v>0</v>
      </c>
    </row>
    <row r="3781" spans="1:20" ht="24" customHeight="1">
      <c r="A3781" s="1" t="str">
        <f>Paths!$A$350</f>
        <v>T086</v>
      </c>
      <c r="B3781" s="1">
        <f>Paths!$B$350</f>
        <v>3</v>
      </c>
      <c r="C3781" s="1">
        <v>1</v>
      </c>
      <c r="D3781" s="1">
        <v>350</v>
      </c>
      <c r="E3781" s="1">
        <f>IF(OR(Paths!$C$350=0,C3781=0),0,MAX(0,MIN(C3781*12,Paths!$E$350)-(C3781-1)*12))</f>
        <v>0</v>
      </c>
      <c r="F3781" s="1">
        <f>IF(OR(Paths!$C$350=0,C3781=0),0,12-E3781)</f>
        <v>0</v>
      </c>
      <c r="G3781" s="16">
        <f>IF(NOT(Paths!$C$350=1),0,IF(Paths!$P$350="Complete",E3781/12*(Paths!$J$350*(1+'Operating costs'!$B$51)^MAX(0,C3781-1)+Paths!$K$350*(1+'Operating costs'!$B$53)^MAX(0,C3781-1)),"n.a."))</f>
        <v>0</v>
      </c>
      <c r="H3781" s="16">
        <f>IF(NOT(Paths!$C$350=1),0,IF(Paths!$P$350="Complete",F3781/12*(Paths!$L$350*(1+IF(Paths!$D$350="EV",'Operating costs'!$B$52,'Operating costs'!$B$51))^MAX(0,C3781-1)+Paths!$M$350*(1+'Operating costs'!$B$53)^MAX(0,C3781-1)),"n.a."))</f>
        <v>0</v>
      </c>
      <c r="I3781" s="16">
        <f>IF(NOT(Paths!$C$350=1),0,IF(Paths!$P$350="Complete",IF(IF(Paths!$E$350=0,C3781=0,AND(C3781&gt;0,Paths!$E$350&gt;(C3781-1)*12,Paths!$E$350&lt;=C3781*12)),Paths!$G$350,0),"n.a."))</f>
        <v>0</v>
      </c>
      <c r="J3781" s="16">
        <f>IF(NOT(Paths!$C$350=1),0,IF(Paths!$P$350="Complete",IF(IF(Paths!$E$350=0,C3781=0,AND(C3781&gt;0,Paths!$E$350&gt;(C3781-1)*12,Paths!$E$350&lt;=C3781*12)),Paths!$H$350,0),"n.a."))</f>
        <v>0</v>
      </c>
      <c r="K3781" s="16">
        <f>IF(NOT(Paths!$C$350=1),0,IF(Paths!$P$350="Complete",IF(IF(Paths!$O$350=0,C3781=0,AND(C3781&gt;0,Paths!$O$350&gt;(C3781-1)*12,Paths!$O$350&lt;=C3781*12)),Paths!$N$350,0),"n.a."))</f>
        <v>0</v>
      </c>
      <c r="L3781" s="16">
        <f>IF(NOT(Paths!$C$350=1),0,IF(Paths!$P$350="Complete",IF(C3781=10,Paths!$I$350,0),"n.a."))</f>
        <v>0</v>
      </c>
      <c r="M3781" s="16">
        <f>IF(NOT(Paths!$C$350=1),0,IF(Paths!$P$350="Complete",IF(AND(Paths!$D$350="EV",Paths!$E$350&lt;120,Paths!$E$350+'Operating costs'!$B$65&gt;Paths!$E$350,Paths!$E$350+'Operating costs'!$B$65&lt;=120,IF(Paths!$E$350+'Operating costs'!$B$65=0,C3781=0,AND(C3781&gt;0,Paths!$E$350+'Operating costs'!$B$65&gt;(C3781-1)*12,Paths!$E$350+'Operating costs'!$B$65&lt;=C3781*12))),'Operating costs'!$B$64,0)+IF(AND('Operating costs'!$B$67&gt;0,'Operating costs'!$B$67&lt;=120,OR(Paths!$D$350="ICE",'Operating costs'!$B$67&lt;=Paths!$E$350),IF('Operating costs'!$B$67=0,C3781=0,AND(C3781&gt;0,'Operating costs'!$B$67&gt;(C3781-1)*12,'Operating costs'!$B$67&lt;=C3781*12))),'Operating costs'!$B$66,0),"n.a."))</f>
        <v>0</v>
      </c>
      <c r="N3781" s="16">
        <f>IF(NOT(Paths!$C$350=1),0,IF(Paths!$P$350="Complete",SUM(G3781:I3781)-J3781-K3781-L3781+M3781+IF(C3781=0,Paths!$F$350,0)+IF(IF(Paths!$E$350=0,C3781=0,AND(C3781&gt;0,Paths!$E$350&gt;(C3781-1)*12,Paths!$E$350&lt;=C3781*12)),VLOOKUP(A3781,'Fleet register'!$A$7:$S$106,16,FALSE),0),"n.a."))</f>
        <v>0</v>
      </c>
      <c r="O3781" s="16">
        <f>IF(NOT(Paths!$C$350=1),0,IF(Paths!$P$350="Complete",N3781-IF(C3781=0,Paths!$F$350,0),"n.a."))</f>
        <v>0</v>
      </c>
      <c r="P3781" s="16">
        <f>IF(NOT(Paths!$C$350=1),0,IF(Paths!$P$350="Complete",O3781+L3781,"n.a."))</f>
        <v>0</v>
      </c>
      <c r="Q3781" s="16">
        <f>IF(NOT(Paths!$C$350=1),0,IF(Paths!$P$350="Complete",N3781*(1+'Operating costs'!$B$54)^-C3781,"n.a."))</f>
        <v>0</v>
      </c>
      <c r="R3781" s="16">
        <f>IF(NOT(Paths!$C$350=1),0,IF(Paths!$P$350="Complete",IF(AND(C3781=0,Paths!$E$350=0),I3781-J3781-K3781+VLOOKUP(A3781,'Fleet register'!$A$7:$S$106,15,FALSE)+VLOOKUP(A3781,'Fleet register'!$A$7:$S$106,16,FALSE),0),"n.a."))</f>
        <v>0</v>
      </c>
      <c r="S3781" s="1">
        <f>IF(NOT(Paths!$C$350=1),0,IF(Paths!$P$350="Complete",IF(C3781=0,0,Paths!$S$350*Paths!$R$350),"n.a."))</f>
        <v>0</v>
      </c>
      <c r="T3781" s="1">
        <f>IF(NOT(Paths!$C$350=1),0,IF(Paths!$P$350="Complete",IF(C3781=0,0,VLOOKUP(A3781,'Fleet register'!$A$7:$S$106,9,FALSE)*Paths!$R$350),"n.a."))</f>
        <v>0</v>
      </c>
    </row>
    <row r="3782" spans="1:20" ht="24" customHeight="1">
      <c r="A3782" s="1" t="str">
        <f>Paths!$A$350</f>
        <v>T086</v>
      </c>
      <c r="B3782" s="1">
        <f>Paths!$B$350</f>
        <v>3</v>
      </c>
      <c r="C3782" s="1">
        <v>2</v>
      </c>
      <c r="D3782" s="1">
        <v>350</v>
      </c>
      <c r="E3782" s="1">
        <f>IF(OR(Paths!$C$350=0,C3782=0),0,MAX(0,MIN(C3782*12,Paths!$E$350)-(C3782-1)*12))</f>
        <v>0</v>
      </c>
      <c r="F3782" s="1">
        <f>IF(OR(Paths!$C$350=0,C3782=0),0,12-E3782)</f>
        <v>0</v>
      </c>
      <c r="G3782" s="16">
        <f>IF(NOT(Paths!$C$350=1),0,IF(Paths!$P$350="Complete",E3782/12*(Paths!$J$350*(1+'Operating costs'!$B$51)^MAX(0,C3782-1)+Paths!$K$350*(1+'Operating costs'!$B$53)^MAX(0,C3782-1)),"n.a."))</f>
        <v>0</v>
      </c>
      <c r="H3782" s="16">
        <f>IF(NOT(Paths!$C$350=1),0,IF(Paths!$P$350="Complete",F3782/12*(Paths!$L$350*(1+IF(Paths!$D$350="EV",'Operating costs'!$B$52,'Operating costs'!$B$51))^MAX(0,C3782-1)+Paths!$M$350*(1+'Operating costs'!$B$53)^MAX(0,C3782-1)),"n.a."))</f>
        <v>0</v>
      </c>
      <c r="I3782" s="16">
        <f>IF(NOT(Paths!$C$350=1),0,IF(Paths!$P$350="Complete",IF(IF(Paths!$E$350=0,C3782=0,AND(C3782&gt;0,Paths!$E$350&gt;(C3782-1)*12,Paths!$E$350&lt;=C3782*12)),Paths!$G$350,0),"n.a."))</f>
        <v>0</v>
      </c>
      <c r="J3782" s="16">
        <f>IF(NOT(Paths!$C$350=1),0,IF(Paths!$P$350="Complete",IF(IF(Paths!$E$350=0,C3782=0,AND(C3782&gt;0,Paths!$E$350&gt;(C3782-1)*12,Paths!$E$350&lt;=C3782*12)),Paths!$H$350,0),"n.a."))</f>
        <v>0</v>
      </c>
      <c r="K3782" s="16">
        <f>IF(NOT(Paths!$C$350=1),0,IF(Paths!$P$350="Complete",IF(IF(Paths!$O$350=0,C3782=0,AND(C3782&gt;0,Paths!$O$350&gt;(C3782-1)*12,Paths!$O$350&lt;=C3782*12)),Paths!$N$350,0),"n.a."))</f>
        <v>0</v>
      </c>
      <c r="L3782" s="16">
        <f>IF(NOT(Paths!$C$350=1),0,IF(Paths!$P$350="Complete",IF(C3782=10,Paths!$I$350,0),"n.a."))</f>
        <v>0</v>
      </c>
      <c r="M3782" s="16">
        <f>IF(NOT(Paths!$C$350=1),0,IF(Paths!$P$350="Complete",IF(AND(Paths!$D$350="EV",Paths!$E$350&lt;120,Paths!$E$350+'Operating costs'!$B$65&gt;Paths!$E$350,Paths!$E$350+'Operating costs'!$B$65&lt;=120,IF(Paths!$E$350+'Operating costs'!$B$65=0,C3782=0,AND(C3782&gt;0,Paths!$E$350+'Operating costs'!$B$65&gt;(C3782-1)*12,Paths!$E$350+'Operating costs'!$B$65&lt;=C3782*12))),'Operating costs'!$B$64,0)+IF(AND('Operating costs'!$B$67&gt;0,'Operating costs'!$B$67&lt;=120,OR(Paths!$D$350="ICE",'Operating costs'!$B$67&lt;=Paths!$E$350),IF('Operating costs'!$B$67=0,C3782=0,AND(C3782&gt;0,'Operating costs'!$B$67&gt;(C3782-1)*12,'Operating costs'!$B$67&lt;=C3782*12))),'Operating costs'!$B$66,0),"n.a."))</f>
        <v>0</v>
      </c>
      <c r="N3782" s="16">
        <f>IF(NOT(Paths!$C$350=1),0,IF(Paths!$P$350="Complete",SUM(G3782:I3782)-J3782-K3782-L3782+M3782+IF(C3782=0,Paths!$F$350,0)+IF(IF(Paths!$E$350=0,C3782=0,AND(C3782&gt;0,Paths!$E$350&gt;(C3782-1)*12,Paths!$E$350&lt;=C3782*12)),VLOOKUP(A3782,'Fleet register'!$A$7:$S$106,16,FALSE),0),"n.a."))</f>
        <v>0</v>
      </c>
      <c r="O3782" s="16">
        <f>IF(NOT(Paths!$C$350=1),0,IF(Paths!$P$350="Complete",N3782-IF(C3782=0,Paths!$F$350,0),"n.a."))</f>
        <v>0</v>
      </c>
      <c r="P3782" s="16">
        <f>IF(NOT(Paths!$C$350=1),0,IF(Paths!$P$350="Complete",O3782+L3782,"n.a."))</f>
        <v>0</v>
      </c>
      <c r="Q3782" s="16">
        <f>IF(NOT(Paths!$C$350=1),0,IF(Paths!$P$350="Complete",N3782*(1+'Operating costs'!$B$54)^-C3782,"n.a."))</f>
        <v>0</v>
      </c>
      <c r="R3782" s="16">
        <f>IF(NOT(Paths!$C$350=1),0,IF(Paths!$P$350="Complete",IF(AND(C3782=0,Paths!$E$350=0),I3782-J3782-K3782+VLOOKUP(A3782,'Fleet register'!$A$7:$S$106,15,FALSE)+VLOOKUP(A3782,'Fleet register'!$A$7:$S$106,16,FALSE),0),"n.a."))</f>
        <v>0</v>
      </c>
      <c r="S3782" s="1">
        <f>IF(NOT(Paths!$C$350=1),0,IF(Paths!$P$350="Complete",IF(C3782=0,0,Paths!$S$350*Paths!$R$350),"n.a."))</f>
        <v>0</v>
      </c>
      <c r="T3782" s="1">
        <f>IF(NOT(Paths!$C$350=1),0,IF(Paths!$P$350="Complete",IF(C3782=0,0,VLOOKUP(A3782,'Fleet register'!$A$7:$S$106,9,FALSE)*Paths!$R$350),"n.a."))</f>
        <v>0</v>
      </c>
    </row>
    <row r="3783" spans="1:20" ht="24" customHeight="1">
      <c r="A3783" s="1" t="str">
        <f>Paths!$A$350</f>
        <v>T086</v>
      </c>
      <c r="B3783" s="1">
        <f>Paths!$B$350</f>
        <v>3</v>
      </c>
      <c r="C3783" s="1">
        <v>3</v>
      </c>
      <c r="D3783" s="1">
        <v>350</v>
      </c>
      <c r="E3783" s="1">
        <f>IF(OR(Paths!$C$350=0,C3783=0),0,MAX(0,MIN(C3783*12,Paths!$E$350)-(C3783-1)*12))</f>
        <v>0</v>
      </c>
      <c r="F3783" s="1">
        <f>IF(OR(Paths!$C$350=0,C3783=0),0,12-E3783)</f>
        <v>0</v>
      </c>
      <c r="G3783" s="16">
        <f>IF(NOT(Paths!$C$350=1),0,IF(Paths!$P$350="Complete",E3783/12*(Paths!$J$350*(1+'Operating costs'!$B$51)^MAX(0,C3783-1)+Paths!$K$350*(1+'Operating costs'!$B$53)^MAX(0,C3783-1)),"n.a."))</f>
        <v>0</v>
      </c>
      <c r="H3783" s="16">
        <f>IF(NOT(Paths!$C$350=1),0,IF(Paths!$P$350="Complete",F3783/12*(Paths!$L$350*(1+IF(Paths!$D$350="EV",'Operating costs'!$B$52,'Operating costs'!$B$51))^MAX(0,C3783-1)+Paths!$M$350*(1+'Operating costs'!$B$53)^MAX(0,C3783-1)),"n.a."))</f>
        <v>0</v>
      </c>
      <c r="I3783" s="16">
        <f>IF(NOT(Paths!$C$350=1),0,IF(Paths!$P$350="Complete",IF(IF(Paths!$E$350=0,C3783=0,AND(C3783&gt;0,Paths!$E$350&gt;(C3783-1)*12,Paths!$E$350&lt;=C3783*12)),Paths!$G$350,0),"n.a."))</f>
        <v>0</v>
      </c>
      <c r="J3783" s="16">
        <f>IF(NOT(Paths!$C$350=1),0,IF(Paths!$P$350="Complete",IF(IF(Paths!$E$350=0,C3783=0,AND(C3783&gt;0,Paths!$E$350&gt;(C3783-1)*12,Paths!$E$350&lt;=C3783*12)),Paths!$H$350,0),"n.a."))</f>
        <v>0</v>
      </c>
      <c r="K3783" s="16">
        <f>IF(NOT(Paths!$C$350=1),0,IF(Paths!$P$350="Complete",IF(IF(Paths!$O$350=0,C3783=0,AND(C3783&gt;0,Paths!$O$350&gt;(C3783-1)*12,Paths!$O$350&lt;=C3783*12)),Paths!$N$350,0),"n.a."))</f>
        <v>0</v>
      </c>
      <c r="L3783" s="16">
        <f>IF(NOT(Paths!$C$350=1),0,IF(Paths!$P$350="Complete",IF(C3783=10,Paths!$I$350,0),"n.a."))</f>
        <v>0</v>
      </c>
      <c r="M3783" s="16">
        <f>IF(NOT(Paths!$C$350=1),0,IF(Paths!$P$350="Complete",IF(AND(Paths!$D$350="EV",Paths!$E$350&lt;120,Paths!$E$350+'Operating costs'!$B$65&gt;Paths!$E$350,Paths!$E$350+'Operating costs'!$B$65&lt;=120,IF(Paths!$E$350+'Operating costs'!$B$65=0,C3783=0,AND(C3783&gt;0,Paths!$E$350+'Operating costs'!$B$65&gt;(C3783-1)*12,Paths!$E$350+'Operating costs'!$B$65&lt;=C3783*12))),'Operating costs'!$B$64,0)+IF(AND('Operating costs'!$B$67&gt;0,'Operating costs'!$B$67&lt;=120,OR(Paths!$D$350="ICE",'Operating costs'!$B$67&lt;=Paths!$E$350),IF('Operating costs'!$B$67=0,C3783=0,AND(C3783&gt;0,'Operating costs'!$B$67&gt;(C3783-1)*12,'Operating costs'!$B$67&lt;=C3783*12))),'Operating costs'!$B$66,0),"n.a."))</f>
        <v>0</v>
      </c>
      <c r="N3783" s="16">
        <f>IF(NOT(Paths!$C$350=1),0,IF(Paths!$P$350="Complete",SUM(G3783:I3783)-J3783-K3783-L3783+M3783+IF(C3783=0,Paths!$F$350,0)+IF(IF(Paths!$E$350=0,C3783=0,AND(C3783&gt;0,Paths!$E$350&gt;(C3783-1)*12,Paths!$E$350&lt;=C3783*12)),VLOOKUP(A3783,'Fleet register'!$A$7:$S$106,16,FALSE),0),"n.a."))</f>
        <v>0</v>
      </c>
      <c r="O3783" s="16">
        <f>IF(NOT(Paths!$C$350=1),0,IF(Paths!$P$350="Complete",N3783-IF(C3783=0,Paths!$F$350,0),"n.a."))</f>
        <v>0</v>
      </c>
      <c r="P3783" s="16">
        <f>IF(NOT(Paths!$C$350=1),0,IF(Paths!$P$350="Complete",O3783+L3783,"n.a."))</f>
        <v>0</v>
      </c>
      <c r="Q3783" s="16">
        <f>IF(NOT(Paths!$C$350=1),0,IF(Paths!$P$350="Complete",N3783*(1+'Operating costs'!$B$54)^-C3783,"n.a."))</f>
        <v>0</v>
      </c>
      <c r="R3783" s="16">
        <f>IF(NOT(Paths!$C$350=1),0,IF(Paths!$P$350="Complete",IF(AND(C3783=0,Paths!$E$350=0),I3783-J3783-K3783+VLOOKUP(A3783,'Fleet register'!$A$7:$S$106,15,FALSE)+VLOOKUP(A3783,'Fleet register'!$A$7:$S$106,16,FALSE),0),"n.a."))</f>
        <v>0</v>
      </c>
      <c r="S3783" s="1">
        <f>IF(NOT(Paths!$C$350=1),0,IF(Paths!$P$350="Complete",IF(C3783=0,0,Paths!$S$350*Paths!$R$350),"n.a."))</f>
        <v>0</v>
      </c>
      <c r="T3783" s="1">
        <f>IF(NOT(Paths!$C$350=1),0,IF(Paths!$P$350="Complete",IF(C3783=0,0,VLOOKUP(A3783,'Fleet register'!$A$7:$S$106,9,FALSE)*Paths!$R$350),"n.a."))</f>
        <v>0</v>
      </c>
    </row>
    <row r="3784" spans="1:20" ht="24" customHeight="1">
      <c r="A3784" s="1" t="str">
        <f>Paths!$A$350</f>
        <v>T086</v>
      </c>
      <c r="B3784" s="1">
        <f>Paths!$B$350</f>
        <v>3</v>
      </c>
      <c r="C3784" s="1">
        <v>4</v>
      </c>
      <c r="D3784" s="1">
        <v>350</v>
      </c>
      <c r="E3784" s="1">
        <f>IF(OR(Paths!$C$350=0,C3784=0),0,MAX(0,MIN(C3784*12,Paths!$E$350)-(C3784-1)*12))</f>
        <v>0</v>
      </c>
      <c r="F3784" s="1">
        <f>IF(OR(Paths!$C$350=0,C3784=0),0,12-E3784)</f>
        <v>0</v>
      </c>
      <c r="G3784" s="16">
        <f>IF(NOT(Paths!$C$350=1),0,IF(Paths!$P$350="Complete",E3784/12*(Paths!$J$350*(1+'Operating costs'!$B$51)^MAX(0,C3784-1)+Paths!$K$350*(1+'Operating costs'!$B$53)^MAX(0,C3784-1)),"n.a."))</f>
        <v>0</v>
      </c>
      <c r="H3784" s="16">
        <f>IF(NOT(Paths!$C$350=1),0,IF(Paths!$P$350="Complete",F3784/12*(Paths!$L$350*(1+IF(Paths!$D$350="EV",'Operating costs'!$B$52,'Operating costs'!$B$51))^MAX(0,C3784-1)+Paths!$M$350*(1+'Operating costs'!$B$53)^MAX(0,C3784-1)),"n.a."))</f>
        <v>0</v>
      </c>
      <c r="I3784" s="16">
        <f>IF(NOT(Paths!$C$350=1),0,IF(Paths!$P$350="Complete",IF(IF(Paths!$E$350=0,C3784=0,AND(C3784&gt;0,Paths!$E$350&gt;(C3784-1)*12,Paths!$E$350&lt;=C3784*12)),Paths!$G$350,0),"n.a."))</f>
        <v>0</v>
      </c>
      <c r="J3784" s="16">
        <f>IF(NOT(Paths!$C$350=1),0,IF(Paths!$P$350="Complete",IF(IF(Paths!$E$350=0,C3784=0,AND(C3784&gt;0,Paths!$E$350&gt;(C3784-1)*12,Paths!$E$350&lt;=C3784*12)),Paths!$H$350,0),"n.a."))</f>
        <v>0</v>
      </c>
      <c r="K3784" s="16">
        <f>IF(NOT(Paths!$C$350=1),0,IF(Paths!$P$350="Complete",IF(IF(Paths!$O$350=0,C3784=0,AND(C3784&gt;0,Paths!$O$350&gt;(C3784-1)*12,Paths!$O$350&lt;=C3784*12)),Paths!$N$350,0),"n.a."))</f>
        <v>0</v>
      </c>
      <c r="L3784" s="16">
        <f>IF(NOT(Paths!$C$350=1),0,IF(Paths!$P$350="Complete",IF(C3784=10,Paths!$I$350,0),"n.a."))</f>
        <v>0</v>
      </c>
      <c r="M3784" s="16">
        <f>IF(NOT(Paths!$C$350=1),0,IF(Paths!$P$350="Complete",IF(AND(Paths!$D$350="EV",Paths!$E$350&lt;120,Paths!$E$350+'Operating costs'!$B$65&gt;Paths!$E$350,Paths!$E$350+'Operating costs'!$B$65&lt;=120,IF(Paths!$E$350+'Operating costs'!$B$65=0,C3784=0,AND(C3784&gt;0,Paths!$E$350+'Operating costs'!$B$65&gt;(C3784-1)*12,Paths!$E$350+'Operating costs'!$B$65&lt;=C3784*12))),'Operating costs'!$B$64,0)+IF(AND('Operating costs'!$B$67&gt;0,'Operating costs'!$B$67&lt;=120,OR(Paths!$D$350="ICE",'Operating costs'!$B$67&lt;=Paths!$E$350),IF('Operating costs'!$B$67=0,C3784=0,AND(C3784&gt;0,'Operating costs'!$B$67&gt;(C3784-1)*12,'Operating costs'!$B$67&lt;=C3784*12))),'Operating costs'!$B$66,0),"n.a."))</f>
        <v>0</v>
      </c>
      <c r="N3784" s="16">
        <f>IF(NOT(Paths!$C$350=1),0,IF(Paths!$P$350="Complete",SUM(G3784:I3784)-J3784-K3784-L3784+M3784+IF(C3784=0,Paths!$F$350,0)+IF(IF(Paths!$E$350=0,C3784=0,AND(C3784&gt;0,Paths!$E$350&gt;(C3784-1)*12,Paths!$E$350&lt;=C3784*12)),VLOOKUP(A3784,'Fleet register'!$A$7:$S$106,16,FALSE),0),"n.a."))</f>
        <v>0</v>
      </c>
      <c r="O3784" s="16">
        <f>IF(NOT(Paths!$C$350=1),0,IF(Paths!$P$350="Complete",N3784-IF(C3784=0,Paths!$F$350,0),"n.a."))</f>
        <v>0</v>
      </c>
      <c r="P3784" s="16">
        <f>IF(NOT(Paths!$C$350=1),0,IF(Paths!$P$350="Complete",O3784+L3784,"n.a."))</f>
        <v>0</v>
      </c>
      <c r="Q3784" s="16">
        <f>IF(NOT(Paths!$C$350=1),0,IF(Paths!$P$350="Complete",N3784*(1+'Operating costs'!$B$54)^-C3784,"n.a."))</f>
        <v>0</v>
      </c>
      <c r="R3784" s="16">
        <f>IF(NOT(Paths!$C$350=1),0,IF(Paths!$P$350="Complete",IF(AND(C3784=0,Paths!$E$350=0),I3784-J3784-K3784+VLOOKUP(A3784,'Fleet register'!$A$7:$S$106,15,FALSE)+VLOOKUP(A3784,'Fleet register'!$A$7:$S$106,16,FALSE),0),"n.a."))</f>
        <v>0</v>
      </c>
      <c r="S3784" s="1">
        <f>IF(NOT(Paths!$C$350=1),0,IF(Paths!$P$350="Complete",IF(C3784=0,0,Paths!$S$350*Paths!$R$350),"n.a."))</f>
        <v>0</v>
      </c>
      <c r="T3784" s="1">
        <f>IF(NOT(Paths!$C$350=1),0,IF(Paths!$P$350="Complete",IF(C3784=0,0,VLOOKUP(A3784,'Fleet register'!$A$7:$S$106,9,FALSE)*Paths!$R$350),"n.a."))</f>
        <v>0</v>
      </c>
    </row>
    <row r="3785" spans="1:20" ht="24" customHeight="1">
      <c r="A3785" s="1" t="str">
        <f>Paths!$A$350</f>
        <v>T086</v>
      </c>
      <c r="B3785" s="1">
        <f>Paths!$B$350</f>
        <v>3</v>
      </c>
      <c r="C3785" s="1">
        <v>5</v>
      </c>
      <c r="D3785" s="1">
        <v>350</v>
      </c>
      <c r="E3785" s="1">
        <f>IF(OR(Paths!$C$350=0,C3785=0),0,MAX(0,MIN(C3785*12,Paths!$E$350)-(C3785-1)*12))</f>
        <v>0</v>
      </c>
      <c r="F3785" s="1">
        <f>IF(OR(Paths!$C$350=0,C3785=0),0,12-E3785)</f>
        <v>0</v>
      </c>
      <c r="G3785" s="16">
        <f>IF(NOT(Paths!$C$350=1),0,IF(Paths!$P$350="Complete",E3785/12*(Paths!$J$350*(1+'Operating costs'!$B$51)^MAX(0,C3785-1)+Paths!$K$350*(1+'Operating costs'!$B$53)^MAX(0,C3785-1)),"n.a."))</f>
        <v>0</v>
      </c>
      <c r="H3785" s="16">
        <f>IF(NOT(Paths!$C$350=1),0,IF(Paths!$P$350="Complete",F3785/12*(Paths!$L$350*(1+IF(Paths!$D$350="EV",'Operating costs'!$B$52,'Operating costs'!$B$51))^MAX(0,C3785-1)+Paths!$M$350*(1+'Operating costs'!$B$53)^MAX(0,C3785-1)),"n.a."))</f>
        <v>0</v>
      </c>
      <c r="I3785" s="16">
        <f>IF(NOT(Paths!$C$350=1),0,IF(Paths!$P$350="Complete",IF(IF(Paths!$E$350=0,C3785=0,AND(C3785&gt;0,Paths!$E$350&gt;(C3785-1)*12,Paths!$E$350&lt;=C3785*12)),Paths!$G$350,0),"n.a."))</f>
        <v>0</v>
      </c>
      <c r="J3785" s="16">
        <f>IF(NOT(Paths!$C$350=1),0,IF(Paths!$P$350="Complete",IF(IF(Paths!$E$350=0,C3785=0,AND(C3785&gt;0,Paths!$E$350&gt;(C3785-1)*12,Paths!$E$350&lt;=C3785*12)),Paths!$H$350,0),"n.a."))</f>
        <v>0</v>
      </c>
      <c r="K3785" s="16">
        <f>IF(NOT(Paths!$C$350=1),0,IF(Paths!$P$350="Complete",IF(IF(Paths!$O$350=0,C3785=0,AND(C3785&gt;0,Paths!$O$350&gt;(C3785-1)*12,Paths!$O$350&lt;=C3785*12)),Paths!$N$350,0),"n.a."))</f>
        <v>0</v>
      </c>
      <c r="L3785" s="16">
        <f>IF(NOT(Paths!$C$350=1),0,IF(Paths!$P$350="Complete",IF(C3785=10,Paths!$I$350,0),"n.a."))</f>
        <v>0</v>
      </c>
      <c r="M3785" s="16">
        <f>IF(NOT(Paths!$C$350=1),0,IF(Paths!$P$350="Complete",IF(AND(Paths!$D$350="EV",Paths!$E$350&lt;120,Paths!$E$350+'Operating costs'!$B$65&gt;Paths!$E$350,Paths!$E$350+'Operating costs'!$B$65&lt;=120,IF(Paths!$E$350+'Operating costs'!$B$65=0,C3785=0,AND(C3785&gt;0,Paths!$E$350+'Operating costs'!$B$65&gt;(C3785-1)*12,Paths!$E$350+'Operating costs'!$B$65&lt;=C3785*12))),'Operating costs'!$B$64,0)+IF(AND('Operating costs'!$B$67&gt;0,'Operating costs'!$B$67&lt;=120,OR(Paths!$D$350="ICE",'Operating costs'!$B$67&lt;=Paths!$E$350),IF('Operating costs'!$B$67=0,C3785=0,AND(C3785&gt;0,'Operating costs'!$B$67&gt;(C3785-1)*12,'Operating costs'!$B$67&lt;=C3785*12))),'Operating costs'!$B$66,0),"n.a."))</f>
        <v>0</v>
      </c>
      <c r="N3785" s="16">
        <f>IF(NOT(Paths!$C$350=1),0,IF(Paths!$P$350="Complete",SUM(G3785:I3785)-J3785-K3785-L3785+M3785+IF(C3785=0,Paths!$F$350,0)+IF(IF(Paths!$E$350=0,C3785=0,AND(C3785&gt;0,Paths!$E$350&gt;(C3785-1)*12,Paths!$E$350&lt;=C3785*12)),VLOOKUP(A3785,'Fleet register'!$A$7:$S$106,16,FALSE),0),"n.a."))</f>
        <v>0</v>
      </c>
      <c r="O3785" s="16">
        <f>IF(NOT(Paths!$C$350=1),0,IF(Paths!$P$350="Complete",N3785-IF(C3785=0,Paths!$F$350,0),"n.a."))</f>
        <v>0</v>
      </c>
      <c r="P3785" s="16">
        <f>IF(NOT(Paths!$C$350=1),0,IF(Paths!$P$350="Complete",O3785+L3785,"n.a."))</f>
        <v>0</v>
      </c>
      <c r="Q3785" s="16">
        <f>IF(NOT(Paths!$C$350=1),0,IF(Paths!$P$350="Complete",N3785*(1+'Operating costs'!$B$54)^-C3785,"n.a."))</f>
        <v>0</v>
      </c>
      <c r="R3785" s="16">
        <f>IF(NOT(Paths!$C$350=1),0,IF(Paths!$P$350="Complete",IF(AND(C3785=0,Paths!$E$350=0),I3785-J3785-K3785+VLOOKUP(A3785,'Fleet register'!$A$7:$S$106,15,FALSE)+VLOOKUP(A3785,'Fleet register'!$A$7:$S$106,16,FALSE),0),"n.a."))</f>
        <v>0</v>
      </c>
      <c r="S3785" s="1">
        <f>IF(NOT(Paths!$C$350=1),0,IF(Paths!$P$350="Complete",IF(C3785=0,0,Paths!$S$350*Paths!$R$350),"n.a."))</f>
        <v>0</v>
      </c>
      <c r="T3785" s="1">
        <f>IF(NOT(Paths!$C$350=1),0,IF(Paths!$P$350="Complete",IF(C3785=0,0,VLOOKUP(A3785,'Fleet register'!$A$7:$S$106,9,FALSE)*Paths!$R$350),"n.a."))</f>
        <v>0</v>
      </c>
    </row>
    <row r="3786" spans="1:20" ht="24" customHeight="1">
      <c r="A3786" s="1" t="str">
        <f>Paths!$A$350</f>
        <v>T086</v>
      </c>
      <c r="B3786" s="1">
        <f>Paths!$B$350</f>
        <v>3</v>
      </c>
      <c r="C3786" s="1">
        <v>6</v>
      </c>
      <c r="D3786" s="1">
        <v>350</v>
      </c>
      <c r="E3786" s="1">
        <f>IF(OR(Paths!$C$350=0,C3786=0),0,MAX(0,MIN(C3786*12,Paths!$E$350)-(C3786-1)*12))</f>
        <v>0</v>
      </c>
      <c r="F3786" s="1">
        <f>IF(OR(Paths!$C$350=0,C3786=0),0,12-E3786)</f>
        <v>0</v>
      </c>
      <c r="G3786" s="16">
        <f>IF(NOT(Paths!$C$350=1),0,IF(Paths!$P$350="Complete",E3786/12*(Paths!$J$350*(1+'Operating costs'!$B$51)^MAX(0,C3786-1)+Paths!$K$350*(1+'Operating costs'!$B$53)^MAX(0,C3786-1)),"n.a."))</f>
        <v>0</v>
      </c>
      <c r="H3786" s="16">
        <f>IF(NOT(Paths!$C$350=1),0,IF(Paths!$P$350="Complete",F3786/12*(Paths!$L$350*(1+IF(Paths!$D$350="EV",'Operating costs'!$B$52,'Operating costs'!$B$51))^MAX(0,C3786-1)+Paths!$M$350*(1+'Operating costs'!$B$53)^MAX(0,C3786-1)),"n.a."))</f>
        <v>0</v>
      </c>
      <c r="I3786" s="16">
        <f>IF(NOT(Paths!$C$350=1),0,IF(Paths!$P$350="Complete",IF(IF(Paths!$E$350=0,C3786=0,AND(C3786&gt;0,Paths!$E$350&gt;(C3786-1)*12,Paths!$E$350&lt;=C3786*12)),Paths!$G$350,0),"n.a."))</f>
        <v>0</v>
      </c>
      <c r="J3786" s="16">
        <f>IF(NOT(Paths!$C$350=1),0,IF(Paths!$P$350="Complete",IF(IF(Paths!$E$350=0,C3786=0,AND(C3786&gt;0,Paths!$E$350&gt;(C3786-1)*12,Paths!$E$350&lt;=C3786*12)),Paths!$H$350,0),"n.a."))</f>
        <v>0</v>
      </c>
      <c r="K3786" s="16">
        <f>IF(NOT(Paths!$C$350=1),0,IF(Paths!$P$350="Complete",IF(IF(Paths!$O$350=0,C3786=0,AND(C3786&gt;0,Paths!$O$350&gt;(C3786-1)*12,Paths!$O$350&lt;=C3786*12)),Paths!$N$350,0),"n.a."))</f>
        <v>0</v>
      </c>
      <c r="L3786" s="16">
        <f>IF(NOT(Paths!$C$350=1),0,IF(Paths!$P$350="Complete",IF(C3786=10,Paths!$I$350,0),"n.a."))</f>
        <v>0</v>
      </c>
      <c r="M3786" s="16">
        <f>IF(NOT(Paths!$C$350=1),0,IF(Paths!$P$350="Complete",IF(AND(Paths!$D$350="EV",Paths!$E$350&lt;120,Paths!$E$350+'Operating costs'!$B$65&gt;Paths!$E$350,Paths!$E$350+'Operating costs'!$B$65&lt;=120,IF(Paths!$E$350+'Operating costs'!$B$65=0,C3786=0,AND(C3786&gt;0,Paths!$E$350+'Operating costs'!$B$65&gt;(C3786-1)*12,Paths!$E$350+'Operating costs'!$B$65&lt;=C3786*12))),'Operating costs'!$B$64,0)+IF(AND('Operating costs'!$B$67&gt;0,'Operating costs'!$B$67&lt;=120,OR(Paths!$D$350="ICE",'Operating costs'!$B$67&lt;=Paths!$E$350),IF('Operating costs'!$B$67=0,C3786=0,AND(C3786&gt;0,'Operating costs'!$B$67&gt;(C3786-1)*12,'Operating costs'!$B$67&lt;=C3786*12))),'Operating costs'!$B$66,0),"n.a."))</f>
        <v>0</v>
      </c>
      <c r="N3786" s="16">
        <f>IF(NOT(Paths!$C$350=1),0,IF(Paths!$P$350="Complete",SUM(G3786:I3786)-J3786-K3786-L3786+M3786+IF(C3786=0,Paths!$F$350,0)+IF(IF(Paths!$E$350=0,C3786=0,AND(C3786&gt;0,Paths!$E$350&gt;(C3786-1)*12,Paths!$E$350&lt;=C3786*12)),VLOOKUP(A3786,'Fleet register'!$A$7:$S$106,16,FALSE),0),"n.a."))</f>
        <v>0</v>
      </c>
      <c r="O3786" s="16">
        <f>IF(NOT(Paths!$C$350=1),0,IF(Paths!$P$350="Complete",N3786-IF(C3786=0,Paths!$F$350,0),"n.a."))</f>
        <v>0</v>
      </c>
      <c r="P3786" s="16">
        <f>IF(NOT(Paths!$C$350=1),0,IF(Paths!$P$350="Complete",O3786+L3786,"n.a."))</f>
        <v>0</v>
      </c>
      <c r="Q3786" s="16">
        <f>IF(NOT(Paths!$C$350=1),0,IF(Paths!$P$350="Complete",N3786*(1+'Operating costs'!$B$54)^-C3786,"n.a."))</f>
        <v>0</v>
      </c>
      <c r="R3786" s="16">
        <f>IF(NOT(Paths!$C$350=1),0,IF(Paths!$P$350="Complete",IF(AND(C3786=0,Paths!$E$350=0),I3786-J3786-K3786+VLOOKUP(A3786,'Fleet register'!$A$7:$S$106,15,FALSE)+VLOOKUP(A3786,'Fleet register'!$A$7:$S$106,16,FALSE),0),"n.a."))</f>
        <v>0</v>
      </c>
      <c r="S3786" s="1">
        <f>IF(NOT(Paths!$C$350=1),0,IF(Paths!$P$350="Complete",IF(C3786=0,0,Paths!$S$350*Paths!$R$350),"n.a."))</f>
        <v>0</v>
      </c>
      <c r="T3786" s="1">
        <f>IF(NOT(Paths!$C$350=1),0,IF(Paths!$P$350="Complete",IF(C3786=0,0,VLOOKUP(A3786,'Fleet register'!$A$7:$S$106,9,FALSE)*Paths!$R$350),"n.a."))</f>
        <v>0</v>
      </c>
    </row>
    <row r="3787" spans="1:20" ht="24" customHeight="1">
      <c r="A3787" s="1" t="str">
        <f>Paths!$A$350</f>
        <v>T086</v>
      </c>
      <c r="B3787" s="1">
        <f>Paths!$B$350</f>
        <v>3</v>
      </c>
      <c r="C3787" s="1">
        <v>7</v>
      </c>
      <c r="D3787" s="1">
        <v>350</v>
      </c>
      <c r="E3787" s="1">
        <f>IF(OR(Paths!$C$350=0,C3787=0),0,MAX(0,MIN(C3787*12,Paths!$E$350)-(C3787-1)*12))</f>
        <v>0</v>
      </c>
      <c r="F3787" s="1">
        <f>IF(OR(Paths!$C$350=0,C3787=0),0,12-E3787)</f>
        <v>0</v>
      </c>
      <c r="G3787" s="16">
        <f>IF(NOT(Paths!$C$350=1),0,IF(Paths!$P$350="Complete",E3787/12*(Paths!$J$350*(1+'Operating costs'!$B$51)^MAX(0,C3787-1)+Paths!$K$350*(1+'Operating costs'!$B$53)^MAX(0,C3787-1)),"n.a."))</f>
        <v>0</v>
      </c>
      <c r="H3787" s="16">
        <f>IF(NOT(Paths!$C$350=1),0,IF(Paths!$P$350="Complete",F3787/12*(Paths!$L$350*(1+IF(Paths!$D$350="EV",'Operating costs'!$B$52,'Operating costs'!$B$51))^MAX(0,C3787-1)+Paths!$M$350*(1+'Operating costs'!$B$53)^MAX(0,C3787-1)),"n.a."))</f>
        <v>0</v>
      </c>
      <c r="I3787" s="16">
        <f>IF(NOT(Paths!$C$350=1),0,IF(Paths!$P$350="Complete",IF(IF(Paths!$E$350=0,C3787=0,AND(C3787&gt;0,Paths!$E$350&gt;(C3787-1)*12,Paths!$E$350&lt;=C3787*12)),Paths!$G$350,0),"n.a."))</f>
        <v>0</v>
      </c>
      <c r="J3787" s="16">
        <f>IF(NOT(Paths!$C$350=1),0,IF(Paths!$P$350="Complete",IF(IF(Paths!$E$350=0,C3787=0,AND(C3787&gt;0,Paths!$E$350&gt;(C3787-1)*12,Paths!$E$350&lt;=C3787*12)),Paths!$H$350,0),"n.a."))</f>
        <v>0</v>
      </c>
      <c r="K3787" s="16">
        <f>IF(NOT(Paths!$C$350=1),0,IF(Paths!$P$350="Complete",IF(IF(Paths!$O$350=0,C3787=0,AND(C3787&gt;0,Paths!$O$350&gt;(C3787-1)*12,Paths!$O$350&lt;=C3787*12)),Paths!$N$350,0),"n.a."))</f>
        <v>0</v>
      </c>
      <c r="L3787" s="16">
        <f>IF(NOT(Paths!$C$350=1),0,IF(Paths!$P$350="Complete",IF(C3787=10,Paths!$I$350,0),"n.a."))</f>
        <v>0</v>
      </c>
      <c r="M3787" s="16">
        <f>IF(NOT(Paths!$C$350=1),0,IF(Paths!$P$350="Complete",IF(AND(Paths!$D$350="EV",Paths!$E$350&lt;120,Paths!$E$350+'Operating costs'!$B$65&gt;Paths!$E$350,Paths!$E$350+'Operating costs'!$B$65&lt;=120,IF(Paths!$E$350+'Operating costs'!$B$65=0,C3787=0,AND(C3787&gt;0,Paths!$E$350+'Operating costs'!$B$65&gt;(C3787-1)*12,Paths!$E$350+'Operating costs'!$B$65&lt;=C3787*12))),'Operating costs'!$B$64,0)+IF(AND('Operating costs'!$B$67&gt;0,'Operating costs'!$B$67&lt;=120,OR(Paths!$D$350="ICE",'Operating costs'!$B$67&lt;=Paths!$E$350),IF('Operating costs'!$B$67=0,C3787=0,AND(C3787&gt;0,'Operating costs'!$B$67&gt;(C3787-1)*12,'Operating costs'!$B$67&lt;=C3787*12))),'Operating costs'!$B$66,0),"n.a."))</f>
        <v>0</v>
      </c>
      <c r="N3787" s="16">
        <f>IF(NOT(Paths!$C$350=1),0,IF(Paths!$P$350="Complete",SUM(G3787:I3787)-J3787-K3787-L3787+M3787+IF(C3787=0,Paths!$F$350,0)+IF(IF(Paths!$E$350=0,C3787=0,AND(C3787&gt;0,Paths!$E$350&gt;(C3787-1)*12,Paths!$E$350&lt;=C3787*12)),VLOOKUP(A3787,'Fleet register'!$A$7:$S$106,16,FALSE),0),"n.a."))</f>
        <v>0</v>
      </c>
      <c r="O3787" s="16">
        <f>IF(NOT(Paths!$C$350=1),0,IF(Paths!$P$350="Complete",N3787-IF(C3787=0,Paths!$F$350,0),"n.a."))</f>
        <v>0</v>
      </c>
      <c r="P3787" s="16">
        <f>IF(NOT(Paths!$C$350=1),0,IF(Paths!$P$350="Complete",O3787+L3787,"n.a."))</f>
        <v>0</v>
      </c>
      <c r="Q3787" s="16">
        <f>IF(NOT(Paths!$C$350=1),0,IF(Paths!$P$350="Complete",N3787*(1+'Operating costs'!$B$54)^-C3787,"n.a."))</f>
        <v>0</v>
      </c>
      <c r="R3787" s="16">
        <f>IF(NOT(Paths!$C$350=1),0,IF(Paths!$P$350="Complete",IF(AND(C3787=0,Paths!$E$350=0),I3787-J3787-K3787+VLOOKUP(A3787,'Fleet register'!$A$7:$S$106,15,FALSE)+VLOOKUP(A3787,'Fleet register'!$A$7:$S$106,16,FALSE),0),"n.a."))</f>
        <v>0</v>
      </c>
      <c r="S3787" s="1">
        <f>IF(NOT(Paths!$C$350=1),0,IF(Paths!$P$350="Complete",IF(C3787=0,0,Paths!$S$350*Paths!$R$350),"n.a."))</f>
        <v>0</v>
      </c>
      <c r="T3787" s="1">
        <f>IF(NOT(Paths!$C$350=1),0,IF(Paths!$P$350="Complete",IF(C3787=0,0,VLOOKUP(A3787,'Fleet register'!$A$7:$S$106,9,FALSE)*Paths!$R$350),"n.a."))</f>
        <v>0</v>
      </c>
    </row>
    <row r="3788" spans="1:20" ht="24" customHeight="1">
      <c r="A3788" s="1" t="str">
        <f>Paths!$A$350</f>
        <v>T086</v>
      </c>
      <c r="B3788" s="1">
        <f>Paths!$B$350</f>
        <v>3</v>
      </c>
      <c r="C3788" s="1">
        <v>8</v>
      </c>
      <c r="D3788" s="1">
        <v>350</v>
      </c>
      <c r="E3788" s="1">
        <f>IF(OR(Paths!$C$350=0,C3788=0),0,MAX(0,MIN(C3788*12,Paths!$E$350)-(C3788-1)*12))</f>
        <v>0</v>
      </c>
      <c r="F3788" s="1">
        <f>IF(OR(Paths!$C$350=0,C3788=0),0,12-E3788)</f>
        <v>0</v>
      </c>
      <c r="G3788" s="16">
        <f>IF(NOT(Paths!$C$350=1),0,IF(Paths!$P$350="Complete",E3788/12*(Paths!$J$350*(1+'Operating costs'!$B$51)^MAX(0,C3788-1)+Paths!$K$350*(1+'Operating costs'!$B$53)^MAX(0,C3788-1)),"n.a."))</f>
        <v>0</v>
      </c>
      <c r="H3788" s="16">
        <f>IF(NOT(Paths!$C$350=1),0,IF(Paths!$P$350="Complete",F3788/12*(Paths!$L$350*(1+IF(Paths!$D$350="EV",'Operating costs'!$B$52,'Operating costs'!$B$51))^MAX(0,C3788-1)+Paths!$M$350*(1+'Operating costs'!$B$53)^MAX(0,C3788-1)),"n.a."))</f>
        <v>0</v>
      </c>
      <c r="I3788" s="16">
        <f>IF(NOT(Paths!$C$350=1),0,IF(Paths!$P$350="Complete",IF(IF(Paths!$E$350=0,C3788=0,AND(C3788&gt;0,Paths!$E$350&gt;(C3788-1)*12,Paths!$E$350&lt;=C3788*12)),Paths!$G$350,0),"n.a."))</f>
        <v>0</v>
      </c>
      <c r="J3788" s="16">
        <f>IF(NOT(Paths!$C$350=1),0,IF(Paths!$P$350="Complete",IF(IF(Paths!$E$350=0,C3788=0,AND(C3788&gt;0,Paths!$E$350&gt;(C3788-1)*12,Paths!$E$350&lt;=C3788*12)),Paths!$H$350,0),"n.a."))</f>
        <v>0</v>
      </c>
      <c r="K3788" s="16">
        <f>IF(NOT(Paths!$C$350=1),0,IF(Paths!$P$350="Complete",IF(IF(Paths!$O$350=0,C3788=0,AND(C3788&gt;0,Paths!$O$350&gt;(C3788-1)*12,Paths!$O$350&lt;=C3788*12)),Paths!$N$350,0),"n.a."))</f>
        <v>0</v>
      </c>
      <c r="L3788" s="16">
        <f>IF(NOT(Paths!$C$350=1),0,IF(Paths!$P$350="Complete",IF(C3788=10,Paths!$I$350,0),"n.a."))</f>
        <v>0</v>
      </c>
      <c r="M3788" s="16">
        <f>IF(NOT(Paths!$C$350=1),0,IF(Paths!$P$350="Complete",IF(AND(Paths!$D$350="EV",Paths!$E$350&lt;120,Paths!$E$350+'Operating costs'!$B$65&gt;Paths!$E$350,Paths!$E$350+'Operating costs'!$B$65&lt;=120,IF(Paths!$E$350+'Operating costs'!$B$65=0,C3788=0,AND(C3788&gt;0,Paths!$E$350+'Operating costs'!$B$65&gt;(C3788-1)*12,Paths!$E$350+'Operating costs'!$B$65&lt;=C3788*12))),'Operating costs'!$B$64,0)+IF(AND('Operating costs'!$B$67&gt;0,'Operating costs'!$B$67&lt;=120,OR(Paths!$D$350="ICE",'Operating costs'!$B$67&lt;=Paths!$E$350),IF('Operating costs'!$B$67=0,C3788=0,AND(C3788&gt;0,'Operating costs'!$B$67&gt;(C3788-1)*12,'Operating costs'!$B$67&lt;=C3788*12))),'Operating costs'!$B$66,0),"n.a."))</f>
        <v>0</v>
      </c>
      <c r="N3788" s="16">
        <f>IF(NOT(Paths!$C$350=1),0,IF(Paths!$P$350="Complete",SUM(G3788:I3788)-J3788-K3788-L3788+M3788+IF(C3788=0,Paths!$F$350,0)+IF(IF(Paths!$E$350=0,C3788=0,AND(C3788&gt;0,Paths!$E$350&gt;(C3788-1)*12,Paths!$E$350&lt;=C3788*12)),VLOOKUP(A3788,'Fleet register'!$A$7:$S$106,16,FALSE),0),"n.a."))</f>
        <v>0</v>
      </c>
      <c r="O3788" s="16">
        <f>IF(NOT(Paths!$C$350=1),0,IF(Paths!$P$350="Complete",N3788-IF(C3788=0,Paths!$F$350,0),"n.a."))</f>
        <v>0</v>
      </c>
      <c r="P3788" s="16">
        <f>IF(NOT(Paths!$C$350=1),0,IF(Paths!$P$350="Complete",O3788+L3788,"n.a."))</f>
        <v>0</v>
      </c>
      <c r="Q3788" s="16">
        <f>IF(NOT(Paths!$C$350=1),0,IF(Paths!$P$350="Complete",N3788*(1+'Operating costs'!$B$54)^-C3788,"n.a."))</f>
        <v>0</v>
      </c>
      <c r="R3788" s="16">
        <f>IF(NOT(Paths!$C$350=1),0,IF(Paths!$P$350="Complete",IF(AND(C3788=0,Paths!$E$350=0),I3788-J3788-K3788+VLOOKUP(A3788,'Fleet register'!$A$7:$S$106,15,FALSE)+VLOOKUP(A3788,'Fleet register'!$A$7:$S$106,16,FALSE),0),"n.a."))</f>
        <v>0</v>
      </c>
      <c r="S3788" s="1">
        <f>IF(NOT(Paths!$C$350=1),0,IF(Paths!$P$350="Complete",IF(C3788=0,0,Paths!$S$350*Paths!$R$350),"n.a."))</f>
        <v>0</v>
      </c>
      <c r="T3788" s="1">
        <f>IF(NOT(Paths!$C$350=1),0,IF(Paths!$P$350="Complete",IF(C3788=0,0,VLOOKUP(A3788,'Fleet register'!$A$7:$S$106,9,FALSE)*Paths!$R$350),"n.a."))</f>
        <v>0</v>
      </c>
    </row>
    <row r="3789" spans="1:20" ht="24" customHeight="1">
      <c r="A3789" s="1" t="str">
        <f>Paths!$A$350</f>
        <v>T086</v>
      </c>
      <c r="B3789" s="1">
        <f>Paths!$B$350</f>
        <v>3</v>
      </c>
      <c r="C3789" s="1">
        <v>9</v>
      </c>
      <c r="D3789" s="1">
        <v>350</v>
      </c>
      <c r="E3789" s="1">
        <f>IF(OR(Paths!$C$350=0,C3789=0),0,MAX(0,MIN(C3789*12,Paths!$E$350)-(C3789-1)*12))</f>
        <v>0</v>
      </c>
      <c r="F3789" s="1">
        <f>IF(OR(Paths!$C$350=0,C3789=0),0,12-E3789)</f>
        <v>0</v>
      </c>
      <c r="G3789" s="16">
        <f>IF(NOT(Paths!$C$350=1),0,IF(Paths!$P$350="Complete",E3789/12*(Paths!$J$350*(1+'Operating costs'!$B$51)^MAX(0,C3789-1)+Paths!$K$350*(1+'Operating costs'!$B$53)^MAX(0,C3789-1)),"n.a."))</f>
        <v>0</v>
      </c>
      <c r="H3789" s="16">
        <f>IF(NOT(Paths!$C$350=1),0,IF(Paths!$P$350="Complete",F3789/12*(Paths!$L$350*(1+IF(Paths!$D$350="EV",'Operating costs'!$B$52,'Operating costs'!$B$51))^MAX(0,C3789-1)+Paths!$M$350*(1+'Operating costs'!$B$53)^MAX(0,C3789-1)),"n.a."))</f>
        <v>0</v>
      </c>
      <c r="I3789" s="16">
        <f>IF(NOT(Paths!$C$350=1),0,IF(Paths!$P$350="Complete",IF(IF(Paths!$E$350=0,C3789=0,AND(C3789&gt;0,Paths!$E$350&gt;(C3789-1)*12,Paths!$E$350&lt;=C3789*12)),Paths!$G$350,0),"n.a."))</f>
        <v>0</v>
      </c>
      <c r="J3789" s="16">
        <f>IF(NOT(Paths!$C$350=1),0,IF(Paths!$P$350="Complete",IF(IF(Paths!$E$350=0,C3789=0,AND(C3789&gt;0,Paths!$E$350&gt;(C3789-1)*12,Paths!$E$350&lt;=C3789*12)),Paths!$H$350,0),"n.a."))</f>
        <v>0</v>
      </c>
      <c r="K3789" s="16">
        <f>IF(NOT(Paths!$C$350=1),0,IF(Paths!$P$350="Complete",IF(IF(Paths!$O$350=0,C3789=0,AND(C3789&gt;0,Paths!$O$350&gt;(C3789-1)*12,Paths!$O$350&lt;=C3789*12)),Paths!$N$350,0),"n.a."))</f>
        <v>0</v>
      </c>
      <c r="L3789" s="16">
        <f>IF(NOT(Paths!$C$350=1),0,IF(Paths!$P$350="Complete",IF(C3789=10,Paths!$I$350,0),"n.a."))</f>
        <v>0</v>
      </c>
      <c r="M3789" s="16">
        <f>IF(NOT(Paths!$C$350=1),0,IF(Paths!$P$350="Complete",IF(AND(Paths!$D$350="EV",Paths!$E$350&lt;120,Paths!$E$350+'Operating costs'!$B$65&gt;Paths!$E$350,Paths!$E$350+'Operating costs'!$B$65&lt;=120,IF(Paths!$E$350+'Operating costs'!$B$65=0,C3789=0,AND(C3789&gt;0,Paths!$E$350+'Operating costs'!$B$65&gt;(C3789-1)*12,Paths!$E$350+'Operating costs'!$B$65&lt;=C3789*12))),'Operating costs'!$B$64,0)+IF(AND('Operating costs'!$B$67&gt;0,'Operating costs'!$B$67&lt;=120,OR(Paths!$D$350="ICE",'Operating costs'!$B$67&lt;=Paths!$E$350),IF('Operating costs'!$B$67=0,C3789=0,AND(C3789&gt;0,'Operating costs'!$B$67&gt;(C3789-1)*12,'Operating costs'!$B$67&lt;=C3789*12))),'Operating costs'!$B$66,0),"n.a."))</f>
        <v>0</v>
      </c>
      <c r="N3789" s="16">
        <f>IF(NOT(Paths!$C$350=1),0,IF(Paths!$P$350="Complete",SUM(G3789:I3789)-J3789-K3789-L3789+M3789+IF(C3789=0,Paths!$F$350,0)+IF(IF(Paths!$E$350=0,C3789=0,AND(C3789&gt;0,Paths!$E$350&gt;(C3789-1)*12,Paths!$E$350&lt;=C3789*12)),VLOOKUP(A3789,'Fleet register'!$A$7:$S$106,16,FALSE),0),"n.a."))</f>
        <v>0</v>
      </c>
      <c r="O3789" s="16">
        <f>IF(NOT(Paths!$C$350=1),0,IF(Paths!$P$350="Complete",N3789-IF(C3789=0,Paths!$F$350,0),"n.a."))</f>
        <v>0</v>
      </c>
      <c r="P3789" s="16">
        <f>IF(NOT(Paths!$C$350=1),0,IF(Paths!$P$350="Complete",O3789+L3789,"n.a."))</f>
        <v>0</v>
      </c>
      <c r="Q3789" s="16">
        <f>IF(NOT(Paths!$C$350=1),0,IF(Paths!$P$350="Complete",N3789*(1+'Operating costs'!$B$54)^-C3789,"n.a."))</f>
        <v>0</v>
      </c>
      <c r="R3789" s="16">
        <f>IF(NOT(Paths!$C$350=1),0,IF(Paths!$P$350="Complete",IF(AND(C3789=0,Paths!$E$350=0),I3789-J3789-K3789+VLOOKUP(A3789,'Fleet register'!$A$7:$S$106,15,FALSE)+VLOOKUP(A3789,'Fleet register'!$A$7:$S$106,16,FALSE),0),"n.a."))</f>
        <v>0</v>
      </c>
      <c r="S3789" s="1">
        <f>IF(NOT(Paths!$C$350=1),0,IF(Paths!$P$350="Complete",IF(C3789=0,0,Paths!$S$350*Paths!$R$350),"n.a."))</f>
        <v>0</v>
      </c>
      <c r="T3789" s="1">
        <f>IF(NOT(Paths!$C$350=1),0,IF(Paths!$P$350="Complete",IF(C3789=0,0,VLOOKUP(A3789,'Fleet register'!$A$7:$S$106,9,FALSE)*Paths!$R$350),"n.a."))</f>
        <v>0</v>
      </c>
    </row>
    <row r="3790" spans="1:20" ht="24" customHeight="1">
      <c r="A3790" s="1" t="str">
        <f>Paths!$A$350</f>
        <v>T086</v>
      </c>
      <c r="B3790" s="1">
        <f>Paths!$B$350</f>
        <v>3</v>
      </c>
      <c r="C3790" s="1">
        <v>10</v>
      </c>
      <c r="D3790" s="1">
        <v>350</v>
      </c>
      <c r="E3790" s="1">
        <f>IF(OR(Paths!$C$350=0,C3790=0),0,MAX(0,MIN(C3790*12,Paths!$E$350)-(C3790-1)*12))</f>
        <v>0</v>
      </c>
      <c r="F3790" s="1">
        <f>IF(OR(Paths!$C$350=0,C3790=0),0,12-E3790)</f>
        <v>0</v>
      </c>
      <c r="G3790" s="16">
        <f>IF(NOT(Paths!$C$350=1),0,IF(Paths!$P$350="Complete",E3790/12*(Paths!$J$350*(1+'Operating costs'!$B$51)^MAX(0,C3790-1)+Paths!$K$350*(1+'Operating costs'!$B$53)^MAX(0,C3790-1)),"n.a."))</f>
        <v>0</v>
      </c>
      <c r="H3790" s="16">
        <f>IF(NOT(Paths!$C$350=1),0,IF(Paths!$P$350="Complete",F3790/12*(Paths!$L$350*(1+IF(Paths!$D$350="EV",'Operating costs'!$B$52,'Operating costs'!$B$51))^MAX(0,C3790-1)+Paths!$M$350*(1+'Operating costs'!$B$53)^MAX(0,C3790-1)),"n.a."))</f>
        <v>0</v>
      </c>
      <c r="I3790" s="16">
        <f>IF(NOT(Paths!$C$350=1),0,IF(Paths!$P$350="Complete",IF(IF(Paths!$E$350=0,C3790=0,AND(C3790&gt;0,Paths!$E$350&gt;(C3790-1)*12,Paths!$E$350&lt;=C3790*12)),Paths!$G$350,0),"n.a."))</f>
        <v>0</v>
      </c>
      <c r="J3790" s="16">
        <f>IF(NOT(Paths!$C$350=1),0,IF(Paths!$P$350="Complete",IF(IF(Paths!$E$350=0,C3790=0,AND(C3790&gt;0,Paths!$E$350&gt;(C3790-1)*12,Paths!$E$350&lt;=C3790*12)),Paths!$H$350,0),"n.a."))</f>
        <v>0</v>
      </c>
      <c r="K3790" s="16">
        <f>IF(NOT(Paths!$C$350=1),0,IF(Paths!$P$350="Complete",IF(IF(Paths!$O$350=0,C3790=0,AND(C3790&gt;0,Paths!$O$350&gt;(C3790-1)*12,Paths!$O$350&lt;=C3790*12)),Paths!$N$350,0),"n.a."))</f>
        <v>0</v>
      </c>
      <c r="L3790" s="16">
        <f>IF(NOT(Paths!$C$350=1),0,IF(Paths!$P$350="Complete",IF(C3790=10,Paths!$I$350,0),"n.a."))</f>
        <v>0</v>
      </c>
      <c r="M3790" s="16">
        <f>IF(NOT(Paths!$C$350=1),0,IF(Paths!$P$350="Complete",IF(AND(Paths!$D$350="EV",Paths!$E$350&lt;120,Paths!$E$350+'Operating costs'!$B$65&gt;Paths!$E$350,Paths!$E$350+'Operating costs'!$B$65&lt;=120,IF(Paths!$E$350+'Operating costs'!$B$65=0,C3790=0,AND(C3790&gt;0,Paths!$E$350+'Operating costs'!$B$65&gt;(C3790-1)*12,Paths!$E$350+'Operating costs'!$B$65&lt;=C3790*12))),'Operating costs'!$B$64,0)+IF(AND('Operating costs'!$B$67&gt;0,'Operating costs'!$B$67&lt;=120,OR(Paths!$D$350="ICE",'Operating costs'!$B$67&lt;=Paths!$E$350),IF('Operating costs'!$B$67=0,C3790=0,AND(C3790&gt;0,'Operating costs'!$B$67&gt;(C3790-1)*12,'Operating costs'!$B$67&lt;=C3790*12))),'Operating costs'!$B$66,0),"n.a."))</f>
        <v>0</v>
      </c>
      <c r="N3790" s="16">
        <f>IF(NOT(Paths!$C$350=1),0,IF(Paths!$P$350="Complete",SUM(G3790:I3790)-J3790-K3790-L3790+M3790+IF(C3790=0,Paths!$F$350,0)+IF(IF(Paths!$E$350=0,C3790=0,AND(C3790&gt;0,Paths!$E$350&gt;(C3790-1)*12,Paths!$E$350&lt;=C3790*12)),VLOOKUP(A3790,'Fleet register'!$A$7:$S$106,16,FALSE),0),"n.a."))</f>
        <v>0</v>
      </c>
      <c r="O3790" s="16">
        <f>IF(NOT(Paths!$C$350=1),0,IF(Paths!$P$350="Complete",N3790-IF(C3790=0,Paths!$F$350,0),"n.a."))</f>
        <v>0</v>
      </c>
      <c r="P3790" s="16">
        <f>IF(NOT(Paths!$C$350=1),0,IF(Paths!$P$350="Complete",O3790+L3790,"n.a."))</f>
        <v>0</v>
      </c>
      <c r="Q3790" s="16">
        <f>IF(NOT(Paths!$C$350=1),0,IF(Paths!$P$350="Complete",N3790*(1+'Operating costs'!$B$54)^-C3790,"n.a."))</f>
        <v>0</v>
      </c>
      <c r="R3790" s="16">
        <f>IF(NOT(Paths!$C$350=1),0,IF(Paths!$P$350="Complete",IF(AND(C3790=0,Paths!$E$350=0),I3790-J3790-K3790+VLOOKUP(A3790,'Fleet register'!$A$7:$S$106,15,FALSE)+VLOOKUP(A3790,'Fleet register'!$A$7:$S$106,16,FALSE),0),"n.a."))</f>
        <v>0</v>
      </c>
      <c r="S3790" s="1">
        <f>IF(NOT(Paths!$C$350=1),0,IF(Paths!$P$350="Complete",IF(C3790=0,0,Paths!$S$350*Paths!$R$350),"n.a."))</f>
        <v>0</v>
      </c>
      <c r="T3790" s="1">
        <f>IF(NOT(Paths!$C$350=1),0,IF(Paths!$P$350="Complete",IF(C3790=0,0,VLOOKUP(A3790,'Fleet register'!$A$7:$S$106,9,FALSE)*Paths!$R$350),"n.a."))</f>
        <v>0</v>
      </c>
    </row>
    <row r="3791" spans="1:20" ht="24" customHeight="1">
      <c r="A3791" s="1" t="str">
        <f>Paths!$A$351</f>
        <v>T087</v>
      </c>
      <c r="B3791" s="1">
        <f>Paths!$B$351</f>
        <v>0</v>
      </c>
      <c r="C3791" s="1">
        <v>0</v>
      </c>
      <c r="D3791" s="1">
        <v>351</v>
      </c>
      <c r="E3791" s="1">
        <f>IF(OR(Paths!$C$351=0,C3791=0),0,MAX(0,MIN(C3791*12,Paths!$E$351)-(C3791-1)*12))</f>
        <v>0</v>
      </c>
      <c r="F3791" s="1">
        <f>IF(OR(Paths!$C$351=0,C3791=0),0,12-E3791)</f>
        <v>0</v>
      </c>
      <c r="G3791" s="16">
        <f>IF(NOT(Paths!$C$351=1),0,IF(Paths!$P$351="Complete",E3791/12*(Paths!$J$351*(1+'Operating costs'!$B$51)^MAX(0,C3791-1)+Paths!$K$351*(1+'Operating costs'!$B$53)^MAX(0,C3791-1)),"n.a."))</f>
        <v>0</v>
      </c>
      <c r="H3791" s="16">
        <f>IF(NOT(Paths!$C$351=1),0,IF(Paths!$P$351="Complete",F3791/12*(Paths!$L$351*(1+IF(Paths!$D$351="EV",'Operating costs'!$B$52,'Operating costs'!$B$51))^MAX(0,C3791-1)+Paths!$M$351*(1+'Operating costs'!$B$53)^MAX(0,C3791-1)),"n.a."))</f>
        <v>0</v>
      </c>
      <c r="I3791" s="16">
        <f>IF(NOT(Paths!$C$351=1),0,IF(Paths!$P$351="Complete",IF(IF(Paths!$E$351=0,C3791=0,AND(C3791&gt;0,Paths!$E$351&gt;(C3791-1)*12,Paths!$E$351&lt;=C3791*12)),Paths!$G$351,0),"n.a."))</f>
        <v>0</v>
      </c>
      <c r="J3791" s="16">
        <f>IF(NOT(Paths!$C$351=1),0,IF(Paths!$P$351="Complete",IF(IF(Paths!$E$351=0,C3791=0,AND(C3791&gt;0,Paths!$E$351&gt;(C3791-1)*12,Paths!$E$351&lt;=C3791*12)),Paths!$H$351,0),"n.a."))</f>
        <v>0</v>
      </c>
      <c r="K3791" s="16">
        <f>IF(NOT(Paths!$C$351=1),0,IF(Paths!$P$351="Complete",IF(IF(Paths!$O$351=0,C3791=0,AND(C3791&gt;0,Paths!$O$351&gt;(C3791-1)*12,Paths!$O$351&lt;=C3791*12)),Paths!$N$351,0),"n.a."))</f>
        <v>0</v>
      </c>
      <c r="L3791" s="16">
        <f>IF(NOT(Paths!$C$351=1),0,IF(Paths!$P$351="Complete",IF(C3791=10,Paths!$I$351,0),"n.a."))</f>
        <v>0</v>
      </c>
      <c r="M3791" s="16">
        <f>IF(NOT(Paths!$C$351=1),0,IF(Paths!$P$351="Complete",IF(AND(Paths!$D$351="EV",Paths!$E$351&lt;120,Paths!$E$351+'Operating costs'!$B$65&gt;Paths!$E$351,Paths!$E$351+'Operating costs'!$B$65&lt;=120,IF(Paths!$E$351+'Operating costs'!$B$65=0,C3791=0,AND(C3791&gt;0,Paths!$E$351+'Operating costs'!$B$65&gt;(C3791-1)*12,Paths!$E$351+'Operating costs'!$B$65&lt;=C3791*12))),'Operating costs'!$B$64,0)+IF(AND('Operating costs'!$B$67&gt;0,'Operating costs'!$B$67&lt;=120,OR(Paths!$D$351="ICE",'Operating costs'!$B$67&lt;=Paths!$E$351),IF('Operating costs'!$B$67=0,C3791=0,AND(C3791&gt;0,'Operating costs'!$B$67&gt;(C3791-1)*12,'Operating costs'!$B$67&lt;=C3791*12))),'Operating costs'!$B$66,0),"n.a."))</f>
        <v>0</v>
      </c>
      <c r="N3791" s="16">
        <f>IF(NOT(Paths!$C$351=1),0,IF(Paths!$P$351="Complete",SUM(G3791:I3791)-J3791-K3791-L3791+M3791+IF(C3791=0,Paths!$F$351,0)+IF(IF(Paths!$E$351=0,C3791=0,AND(C3791&gt;0,Paths!$E$351&gt;(C3791-1)*12,Paths!$E$351&lt;=C3791*12)),VLOOKUP(A3791,'Fleet register'!$A$7:$S$106,16,FALSE),0),"n.a."))</f>
        <v>0</v>
      </c>
      <c r="O3791" s="16">
        <f>IF(NOT(Paths!$C$351=1),0,IF(Paths!$P$351="Complete",N3791-IF(C3791=0,Paths!$F$351,0),"n.a."))</f>
        <v>0</v>
      </c>
      <c r="P3791" s="16">
        <f>IF(NOT(Paths!$C$351=1),0,IF(Paths!$P$351="Complete",O3791+L3791,"n.a."))</f>
        <v>0</v>
      </c>
      <c r="Q3791" s="16">
        <f>IF(NOT(Paths!$C$351=1),0,IF(Paths!$P$351="Complete",N3791*(1+'Operating costs'!$B$54)^-C3791,"n.a."))</f>
        <v>0</v>
      </c>
      <c r="R3791" s="16">
        <f>IF(NOT(Paths!$C$351=1),0,IF(Paths!$P$351="Complete",IF(AND(C3791=0,Paths!$E$351=0),I3791-J3791-K3791+VLOOKUP(A3791,'Fleet register'!$A$7:$S$106,15,FALSE)+VLOOKUP(A3791,'Fleet register'!$A$7:$S$106,16,FALSE),0),"n.a."))</f>
        <v>0</v>
      </c>
      <c r="S3791" s="1">
        <f>IF(NOT(Paths!$C$351=1),0,IF(Paths!$P$351="Complete",IF(C3791=0,0,Paths!$S$351*Paths!$R$351),"n.a."))</f>
        <v>0</v>
      </c>
      <c r="T3791" s="1">
        <f>IF(NOT(Paths!$C$351=1),0,IF(Paths!$P$351="Complete",IF(C3791=0,0,VLOOKUP(A3791,'Fleet register'!$A$7:$S$106,9,FALSE)*Paths!$R$351),"n.a."))</f>
        <v>0</v>
      </c>
    </row>
    <row r="3792" spans="1:20" ht="24" customHeight="1">
      <c r="A3792" s="1" t="str">
        <f>Paths!$A$351</f>
        <v>T087</v>
      </c>
      <c r="B3792" s="1">
        <f>Paths!$B$351</f>
        <v>0</v>
      </c>
      <c r="C3792" s="1">
        <v>1</v>
      </c>
      <c r="D3792" s="1">
        <v>351</v>
      </c>
      <c r="E3792" s="1">
        <f>IF(OR(Paths!$C$351=0,C3792=0),0,MAX(0,MIN(C3792*12,Paths!$E$351)-(C3792-1)*12))</f>
        <v>0</v>
      </c>
      <c r="F3792" s="1">
        <f>IF(OR(Paths!$C$351=0,C3792=0),0,12-E3792)</f>
        <v>0</v>
      </c>
      <c r="G3792" s="16">
        <f>IF(NOT(Paths!$C$351=1),0,IF(Paths!$P$351="Complete",E3792/12*(Paths!$J$351*(1+'Operating costs'!$B$51)^MAX(0,C3792-1)+Paths!$K$351*(1+'Operating costs'!$B$53)^MAX(0,C3792-1)),"n.a."))</f>
        <v>0</v>
      </c>
      <c r="H3792" s="16">
        <f>IF(NOT(Paths!$C$351=1),0,IF(Paths!$P$351="Complete",F3792/12*(Paths!$L$351*(1+IF(Paths!$D$351="EV",'Operating costs'!$B$52,'Operating costs'!$B$51))^MAX(0,C3792-1)+Paths!$M$351*(1+'Operating costs'!$B$53)^MAX(0,C3792-1)),"n.a."))</f>
        <v>0</v>
      </c>
      <c r="I3792" s="16">
        <f>IF(NOT(Paths!$C$351=1),0,IF(Paths!$P$351="Complete",IF(IF(Paths!$E$351=0,C3792=0,AND(C3792&gt;0,Paths!$E$351&gt;(C3792-1)*12,Paths!$E$351&lt;=C3792*12)),Paths!$G$351,0),"n.a."))</f>
        <v>0</v>
      </c>
      <c r="J3792" s="16">
        <f>IF(NOT(Paths!$C$351=1),0,IF(Paths!$P$351="Complete",IF(IF(Paths!$E$351=0,C3792=0,AND(C3792&gt;0,Paths!$E$351&gt;(C3792-1)*12,Paths!$E$351&lt;=C3792*12)),Paths!$H$351,0),"n.a."))</f>
        <v>0</v>
      </c>
      <c r="K3792" s="16">
        <f>IF(NOT(Paths!$C$351=1),0,IF(Paths!$P$351="Complete",IF(IF(Paths!$O$351=0,C3792=0,AND(C3792&gt;0,Paths!$O$351&gt;(C3792-1)*12,Paths!$O$351&lt;=C3792*12)),Paths!$N$351,0),"n.a."))</f>
        <v>0</v>
      </c>
      <c r="L3792" s="16">
        <f>IF(NOT(Paths!$C$351=1),0,IF(Paths!$P$351="Complete",IF(C3792=10,Paths!$I$351,0),"n.a."))</f>
        <v>0</v>
      </c>
      <c r="M3792" s="16">
        <f>IF(NOT(Paths!$C$351=1),0,IF(Paths!$P$351="Complete",IF(AND(Paths!$D$351="EV",Paths!$E$351&lt;120,Paths!$E$351+'Operating costs'!$B$65&gt;Paths!$E$351,Paths!$E$351+'Operating costs'!$B$65&lt;=120,IF(Paths!$E$351+'Operating costs'!$B$65=0,C3792=0,AND(C3792&gt;0,Paths!$E$351+'Operating costs'!$B$65&gt;(C3792-1)*12,Paths!$E$351+'Operating costs'!$B$65&lt;=C3792*12))),'Operating costs'!$B$64,0)+IF(AND('Operating costs'!$B$67&gt;0,'Operating costs'!$B$67&lt;=120,OR(Paths!$D$351="ICE",'Operating costs'!$B$67&lt;=Paths!$E$351),IF('Operating costs'!$B$67=0,C3792=0,AND(C3792&gt;0,'Operating costs'!$B$67&gt;(C3792-1)*12,'Operating costs'!$B$67&lt;=C3792*12))),'Operating costs'!$B$66,0),"n.a."))</f>
        <v>0</v>
      </c>
      <c r="N3792" s="16">
        <f>IF(NOT(Paths!$C$351=1),0,IF(Paths!$P$351="Complete",SUM(G3792:I3792)-J3792-K3792-L3792+M3792+IF(C3792=0,Paths!$F$351,0)+IF(IF(Paths!$E$351=0,C3792=0,AND(C3792&gt;0,Paths!$E$351&gt;(C3792-1)*12,Paths!$E$351&lt;=C3792*12)),VLOOKUP(A3792,'Fleet register'!$A$7:$S$106,16,FALSE),0),"n.a."))</f>
        <v>0</v>
      </c>
      <c r="O3792" s="16">
        <f>IF(NOT(Paths!$C$351=1),0,IF(Paths!$P$351="Complete",N3792-IF(C3792=0,Paths!$F$351,0),"n.a."))</f>
        <v>0</v>
      </c>
      <c r="P3792" s="16">
        <f>IF(NOT(Paths!$C$351=1),0,IF(Paths!$P$351="Complete",O3792+L3792,"n.a."))</f>
        <v>0</v>
      </c>
      <c r="Q3792" s="16">
        <f>IF(NOT(Paths!$C$351=1),0,IF(Paths!$P$351="Complete",N3792*(1+'Operating costs'!$B$54)^-C3792,"n.a."))</f>
        <v>0</v>
      </c>
      <c r="R3792" s="16">
        <f>IF(NOT(Paths!$C$351=1),0,IF(Paths!$P$351="Complete",IF(AND(C3792=0,Paths!$E$351=0),I3792-J3792-K3792+VLOOKUP(A3792,'Fleet register'!$A$7:$S$106,15,FALSE)+VLOOKUP(A3792,'Fleet register'!$A$7:$S$106,16,FALSE),0),"n.a."))</f>
        <v>0</v>
      </c>
      <c r="S3792" s="1">
        <f>IF(NOT(Paths!$C$351=1),0,IF(Paths!$P$351="Complete",IF(C3792=0,0,Paths!$S$351*Paths!$R$351),"n.a."))</f>
        <v>0</v>
      </c>
      <c r="T3792" s="1">
        <f>IF(NOT(Paths!$C$351=1),0,IF(Paths!$P$351="Complete",IF(C3792=0,0,VLOOKUP(A3792,'Fleet register'!$A$7:$S$106,9,FALSE)*Paths!$R$351),"n.a."))</f>
        <v>0</v>
      </c>
    </row>
    <row r="3793" spans="1:20" ht="24" customHeight="1">
      <c r="A3793" s="1" t="str">
        <f>Paths!$A$351</f>
        <v>T087</v>
      </c>
      <c r="B3793" s="1">
        <f>Paths!$B$351</f>
        <v>0</v>
      </c>
      <c r="C3793" s="1">
        <v>2</v>
      </c>
      <c r="D3793" s="1">
        <v>351</v>
      </c>
      <c r="E3793" s="1">
        <f>IF(OR(Paths!$C$351=0,C3793=0),0,MAX(0,MIN(C3793*12,Paths!$E$351)-(C3793-1)*12))</f>
        <v>0</v>
      </c>
      <c r="F3793" s="1">
        <f>IF(OR(Paths!$C$351=0,C3793=0),0,12-E3793)</f>
        <v>0</v>
      </c>
      <c r="G3793" s="16">
        <f>IF(NOT(Paths!$C$351=1),0,IF(Paths!$P$351="Complete",E3793/12*(Paths!$J$351*(1+'Operating costs'!$B$51)^MAX(0,C3793-1)+Paths!$K$351*(1+'Operating costs'!$B$53)^MAX(0,C3793-1)),"n.a."))</f>
        <v>0</v>
      </c>
      <c r="H3793" s="16">
        <f>IF(NOT(Paths!$C$351=1),0,IF(Paths!$P$351="Complete",F3793/12*(Paths!$L$351*(1+IF(Paths!$D$351="EV",'Operating costs'!$B$52,'Operating costs'!$B$51))^MAX(0,C3793-1)+Paths!$M$351*(1+'Operating costs'!$B$53)^MAX(0,C3793-1)),"n.a."))</f>
        <v>0</v>
      </c>
      <c r="I3793" s="16">
        <f>IF(NOT(Paths!$C$351=1),0,IF(Paths!$P$351="Complete",IF(IF(Paths!$E$351=0,C3793=0,AND(C3793&gt;0,Paths!$E$351&gt;(C3793-1)*12,Paths!$E$351&lt;=C3793*12)),Paths!$G$351,0),"n.a."))</f>
        <v>0</v>
      </c>
      <c r="J3793" s="16">
        <f>IF(NOT(Paths!$C$351=1),0,IF(Paths!$P$351="Complete",IF(IF(Paths!$E$351=0,C3793=0,AND(C3793&gt;0,Paths!$E$351&gt;(C3793-1)*12,Paths!$E$351&lt;=C3793*12)),Paths!$H$351,0),"n.a."))</f>
        <v>0</v>
      </c>
      <c r="K3793" s="16">
        <f>IF(NOT(Paths!$C$351=1),0,IF(Paths!$P$351="Complete",IF(IF(Paths!$O$351=0,C3793=0,AND(C3793&gt;0,Paths!$O$351&gt;(C3793-1)*12,Paths!$O$351&lt;=C3793*12)),Paths!$N$351,0),"n.a."))</f>
        <v>0</v>
      </c>
      <c r="L3793" s="16">
        <f>IF(NOT(Paths!$C$351=1),0,IF(Paths!$P$351="Complete",IF(C3793=10,Paths!$I$351,0),"n.a."))</f>
        <v>0</v>
      </c>
      <c r="M3793" s="16">
        <f>IF(NOT(Paths!$C$351=1),0,IF(Paths!$P$351="Complete",IF(AND(Paths!$D$351="EV",Paths!$E$351&lt;120,Paths!$E$351+'Operating costs'!$B$65&gt;Paths!$E$351,Paths!$E$351+'Operating costs'!$B$65&lt;=120,IF(Paths!$E$351+'Operating costs'!$B$65=0,C3793=0,AND(C3793&gt;0,Paths!$E$351+'Operating costs'!$B$65&gt;(C3793-1)*12,Paths!$E$351+'Operating costs'!$B$65&lt;=C3793*12))),'Operating costs'!$B$64,0)+IF(AND('Operating costs'!$B$67&gt;0,'Operating costs'!$B$67&lt;=120,OR(Paths!$D$351="ICE",'Operating costs'!$B$67&lt;=Paths!$E$351),IF('Operating costs'!$B$67=0,C3793=0,AND(C3793&gt;0,'Operating costs'!$B$67&gt;(C3793-1)*12,'Operating costs'!$B$67&lt;=C3793*12))),'Operating costs'!$B$66,0),"n.a."))</f>
        <v>0</v>
      </c>
      <c r="N3793" s="16">
        <f>IF(NOT(Paths!$C$351=1),0,IF(Paths!$P$351="Complete",SUM(G3793:I3793)-J3793-K3793-L3793+M3793+IF(C3793=0,Paths!$F$351,0)+IF(IF(Paths!$E$351=0,C3793=0,AND(C3793&gt;0,Paths!$E$351&gt;(C3793-1)*12,Paths!$E$351&lt;=C3793*12)),VLOOKUP(A3793,'Fleet register'!$A$7:$S$106,16,FALSE),0),"n.a."))</f>
        <v>0</v>
      </c>
      <c r="O3793" s="16">
        <f>IF(NOT(Paths!$C$351=1),0,IF(Paths!$P$351="Complete",N3793-IF(C3793=0,Paths!$F$351,0),"n.a."))</f>
        <v>0</v>
      </c>
      <c r="P3793" s="16">
        <f>IF(NOT(Paths!$C$351=1),0,IF(Paths!$P$351="Complete",O3793+L3793,"n.a."))</f>
        <v>0</v>
      </c>
      <c r="Q3793" s="16">
        <f>IF(NOT(Paths!$C$351=1),0,IF(Paths!$P$351="Complete",N3793*(1+'Operating costs'!$B$54)^-C3793,"n.a."))</f>
        <v>0</v>
      </c>
      <c r="R3793" s="16">
        <f>IF(NOT(Paths!$C$351=1),0,IF(Paths!$P$351="Complete",IF(AND(C3793=0,Paths!$E$351=0),I3793-J3793-K3793+VLOOKUP(A3793,'Fleet register'!$A$7:$S$106,15,FALSE)+VLOOKUP(A3793,'Fleet register'!$A$7:$S$106,16,FALSE),0),"n.a."))</f>
        <v>0</v>
      </c>
      <c r="S3793" s="1">
        <f>IF(NOT(Paths!$C$351=1),0,IF(Paths!$P$351="Complete",IF(C3793=0,0,Paths!$S$351*Paths!$R$351),"n.a."))</f>
        <v>0</v>
      </c>
      <c r="T3793" s="1">
        <f>IF(NOT(Paths!$C$351=1),0,IF(Paths!$P$351="Complete",IF(C3793=0,0,VLOOKUP(A3793,'Fleet register'!$A$7:$S$106,9,FALSE)*Paths!$R$351),"n.a."))</f>
        <v>0</v>
      </c>
    </row>
    <row r="3794" spans="1:20" ht="24" customHeight="1">
      <c r="A3794" s="1" t="str">
        <f>Paths!$A$351</f>
        <v>T087</v>
      </c>
      <c r="B3794" s="1">
        <f>Paths!$B$351</f>
        <v>0</v>
      </c>
      <c r="C3794" s="1">
        <v>3</v>
      </c>
      <c r="D3794" s="1">
        <v>351</v>
      </c>
      <c r="E3794" s="1">
        <f>IF(OR(Paths!$C$351=0,C3794=0),0,MAX(0,MIN(C3794*12,Paths!$E$351)-(C3794-1)*12))</f>
        <v>0</v>
      </c>
      <c r="F3794" s="1">
        <f>IF(OR(Paths!$C$351=0,C3794=0),0,12-E3794)</f>
        <v>0</v>
      </c>
      <c r="G3794" s="16">
        <f>IF(NOT(Paths!$C$351=1),0,IF(Paths!$P$351="Complete",E3794/12*(Paths!$J$351*(1+'Operating costs'!$B$51)^MAX(0,C3794-1)+Paths!$K$351*(1+'Operating costs'!$B$53)^MAX(0,C3794-1)),"n.a."))</f>
        <v>0</v>
      </c>
      <c r="H3794" s="16">
        <f>IF(NOT(Paths!$C$351=1),0,IF(Paths!$P$351="Complete",F3794/12*(Paths!$L$351*(1+IF(Paths!$D$351="EV",'Operating costs'!$B$52,'Operating costs'!$B$51))^MAX(0,C3794-1)+Paths!$M$351*(1+'Operating costs'!$B$53)^MAX(0,C3794-1)),"n.a."))</f>
        <v>0</v>
      </c>
      <c r="I3794" s="16">
        <f>IF(NOT(Paths!$C$351=1),0,IF(Paths!$P$351="Complete",IF(IF(Paths!$E$351=0,C3794=0,AND(C3794&gt;0,Paths!$E$351&gt;(C3794-1)*12,Paths!$E$351&lt;=C3794*12)),Paths!$G$351,0),"n.a."))</f>
        <v>0</v>
      </c>
      <c r="J3794" s="16">
        <f>IF(NOT(Paths!$C$351=1),0,IF(Paths!$P$351="Complete",IF(IF(Paths!$E$351=0,C3794=0,AND(C3794&gt;0,Paths!$E$351&gt;(C3794-1)*12,Paths!$E$351&lt;=C3794*12)),Paths!$H$351,0),"n.a."))</f>
        <v>0</v>
      </c>
      <c r="K3794" s="16">
        <f>IF(NOT(Paths!$C$351=1),0,IF(Paths!$P$351="Complete",IF(IF(Paths!$O$351=0,C3794=0,AND(C3794&gt;0,Paths!$O$351&gt;(C3794-1)*12,Paths!$O$351&lt;=C3794*12)),Paths!$N$351,0),"n.a."))</f>
        <v>0</v>
      </c>
      <c r="L3794" s="16">
        <f>IF(NOT(Paths!$C$351=1),0,IF(Paths!$P$351="Complete",IF(C3794=10,Paths!$I$351,0),"n.a."))</f>
        <v>0</v>
      </c>
      <c r="M3794" s="16">
        <f>IF(NOT(Paths!$C$351=1),0,IF(Paths!$P$351="Complete",IF(AND(Paths!$D$351="EV",Paths!$E$351&lt;120,Paths!$E$351+'Operating costs'!$B$65&gt;Paths!$E$351,Paths!$E$351+'Operating costs'!$B$65&lt;=120,IF(Paths!$E$351+'Operating costs'!$B$65=0,C3794=0,AND(C3794&gt;0,Paths!$E$351+'Operating costs'!$B$65&gt;(C3794-1)*12,Paths!$E$351+'Operating costs'!$B$65&lt;=C3794*12))),'Operating costs'!$B$64,0)+IF(AND('Operating costs'!$B$67&gt;0,'Operating costs'!$B$67&lt;=120,OR(Paths!$D$351="ICE",'Operating costs'!$B$67&lt;=Paths!$E$351),IF('Operating costs'!$B$67=0,C3794=0,AND(C3794&gt;0,'Operating costs'!$B$67&gt;(C3794-1)*12,'Operating costs'!$B$67&lt;=C3794*12))),'Operating costs'!$B$66,0),"n.a."))</f>
        <v>0</v>
      </c>
      <c r="N3794" s="16">
        <f>IF(NOT(Paths!$C$351=1),0,IF(Paths!$P$351="Complete",SUM(G3794:I3794)-J3794-K3794-L3794+M3794+IF(C3794=0,Paths!$F$351,0)+IF(IF(Paths!$E$351=0,C3794=0,AND(C3794&gt;0,Paths!$E$351&gt;(C3794-1)*12,Paths!$E$351&lt;=C3794*12)),VLOOKUP(A3794,'Fleet register'!$A$7:$S$106,16,FALSE),0),"n.a."))</f>
        <v>0</v>
      </c>
      <c r="O3794" s="16">
        <f>IF(NOT(Paths!$C$351=1),0,IF(Paths!$P$351="Complete",N3794-IF(C3794=0,Paths!$F$351,0),"n.a."))</f>
        <v>0</v>
      </c>
      <c r="P3794" s="16">
        <f>IF(NOT(Paths!$C$351=1),0,IF(Paths!$P$351="Complete",O3794+L3794,"n.a."))</f>
        <v>0</v>
      </c>
      <c r="Q3794" s="16">
        <f>IF(NOT(Paths!$C$351=1),0,IF(Paths!$P$351="Complete",N3794*(1+'Operating costs'!$B$54)^-C3794,"n.a."))</f>
        <v>0</v>
      </c>
      <c r="R3794" s="16">
        <f>IF(NOT(Paths!$C$351=1),0,IF(Paths!$P$351="Complete",IF(AND(C3794=0,Paths!$E$351=0),I3794-J3794-K3794+VLOOKUP(A3794,'Fleet register'!$A$7:$S$106,15,FALSE)+VLOOKUP(A3794,'Fleet register'!$A$7:$S$106,16,FALSE),0),"n.a."))</f>
        <v>0</v>
      </c>
      <c r="S3794" s="1">
        <f>IF(NOT(Paths!$C$351=1),0,IF(Paths!$P$351="Complete",IF(C3794=0,0,Paths!$S$351*Paths!$R$351),"n.a."))</f>
        <v>0</v>
      </c>
      <c r="T3794" s="1">
        <f>IF(NOT(Paths!$C$351=1),0,IF(Paths!$P$351="Complete",IF(C3794=0,0,VLOOKUP(A3794,'Fleet register'!$A$7:$S$106,9,FALSE)*Paths!$R$351),"n.a."))</f>
        <v>0</v>
      </c>
    </row>
    <row r="3795" spans="1:20" ht="24" customHeight="1">
      <c r="A3795" s="1" t="str">
        <f>Paths!$A$351</f>
        <v>T087</v>
      </c>
      <c r="B3795" s="1">
        <f>Paths!$B$351</f>
        <v>0</v>
      </c>
      <c r="C3795" s="1">
        <v>4</v>
      </c>
      <c r="D3795" s="1">
        <v>351</v>
      </c>
      <c r="E3795" s="1">
        <f>IF(OR(Paths!$C$351=0,C3795=0),0,MAX(0,MIN(C3795*12,Paths!$E$351)-(C3795-1)*12))</f>
        <v>0</v>
      </c>
      <c r="F3795" s="1">
        <f>IF(OR(Paths!$C$351=0,C3795=0),0,12-E3795)</f>
        <v>0</v>
      </c>
      <c r="G3795" s="16">
        <f>IF(NOT(Paths!$C$351=1),0,IF(Paths!$P$351="Complete",E3795/12*(Paths!$J$351*(1+'Operating costs'!$B$51)^MAX(0,C3795-1)+Paths!$K$351*(1+'Operating costs'!$B$53)^MAX(0,C3795-1)),"n.a."))</f>
        <v>0</v>
      </c>
      <c r="H3795" s="16">
        <f>IF(NOT(Paths!$C$351=1),0,IF(Paths!$P$351="Complete",F3795/12*(Paths!$L$351*(1+IF(Paths!$D$351="EV",'Operating costs'!$B$52,'Operating costs'!$B$51))^MAX(0,C3795-1)+Paths!$M$351*(1+'Operating costs'!$B$53)^MAX(0,C3795-1)),"n.a."))</f>
        <v>0</v>
      </c>
      <c r="I3795" s="16">
        <f>IF(NOT(Paths!$C$351=1),0,IF(Paths!$P$351="Complete",IF(IF(Paths!$E$351=0,C3795=0,AND(C3795&gt;0,Paths!$E$351&gt;(C3795-1)*12,Paths!$E$351&lt;=C3795*12)),Paths!$G$351,0),"n.a."))</f>
        <v>0</v>
      </c>
      <c r="J3795" s="16">
        <f>IF(NOT(Paths!$C$351=1),0,IF(Paths!$P$351="Complete",IF(IF(Paths!$E$351=0,C3795=0,AND(C3795&gt;0,Paths!$E$351&gt;(C3795-1)*12,Paths!$E$351&lt;=C3795*12)),Paths!$H$351,0),"n.a."))</f>
        <v>0</v>
      </c>
      <c r="K3795" s="16">
        <f>IF(NOT(Paths!$C$351=1),0,IF(Paths!$P$351="Complete",IF(IF(Paths!$O$351=0,C3795=0,AND(C3795&gt;0,Paths!$O$351&gt;(C3795-1)*12,Paths!$O$351&lt;=C3795*12)),Paths!$N$351,0),"n.a."))</f>
        <v>0</v>
      </c>
      <c r="L3795" s="16">
        <f>IF(NOT(Paths!$C$351=1),0,IF(Paths!$P$351="Complete",IF(C3795=10,Paths!$I$351,0),"n.a."))</f>
        <v>0</v>
      </c>
      <c r="M3795" s="16">
        <f>IF(NOT(Paths!$C$351=1),0,IF(Paths!$P$351="Complete",IF(AND(Paths!$D$351="EV",Paths!$E$351&lt;120,Paths!$E$351+'Operating costs'!$B$65&gt;Paths!$E$351,Paths!$E$351+'Operating costs'!$B$65&lt;=120,IF(Paths!$E$351+'Operating costs'!$B$65=0,C3795=0,AND(C3795&gt;0,Paths!$E$351+'Operating costs'!$B$65&gt;(C3795-1)*12,Paths!$E$351+'Operating costs'!$B$65&lt;=C3795*12))),'Operating costs'!$B$64,0)+IF(AND('Operating costs'!$B$67&gt;0,'Operating costs'!$B$67&lt;=120,OR(Paths!$D$351="ICE",'Operating costs'!$B$67&lt;=Paths!$E$351),IF('Operating costs'!$B$67=0,C3795=0,AND(C3795&gt;0,'Operating costs'!$B$67&gt;(C3795-1)*12,'Operating costs'!$B$67&lt;=C3795*12))),'Operating costs'!$B$66,0),"n.a."))</f>
        <v>0</v>
      </c>
      <c r="N3795" s="16">
        <f>IF(NOT(Paths!$C$351=1),0,IF(Paths!$P$351="Complete",SUM(G3795:I3795)-J3795-K3795-L3795+M3795+IF(C3795=0,Paths!$F$351,0)+IF(IF(Paths!$E$351=0,C3795=0,AND(C3795&gt;0,Paths!$E$351&gt;(C3795-1)*12,Paths!$E$351&lt;=C3795*12)),VLOOKUP(A3795,'Fleet register'!$A$7:$S$106,16,FALSE),0),"n.a."))</f>
        <v>0</v>
      </c>
      <c r="O3795" s="16">
        <f>IF(NOT(Paths!$C$351=1),0,IF(Paths!$P$351="Complete",N3795-IF(C3795=0,Paths!$F$351,0),"n.a."))</f>
        <v>0</v>
      </c>
      <c r="P3795" s="16">
        <f>IF(NOT(Paths!$C$351=1),0,IF(Paths!$P$351="Complete",O3795+L3795,"n.a."))</f>
        <v>0</v>
      </c>
      <c r="Q3795" s="16">
        <f>IF(NOT(Paths!$C$351=1),0,IF(Paths!$P$351="Complete",N3795*(1+'Operating costs'!$B$54)^-C3795,"n.a."))</f>
        <v>0</v>
      </c>
      <c r="R3795" s="16">
        <f>IF(NOT(Paths!$C$351=1),0,IF(Paths!$P$351="Complete",IF(AND(C3795=0,Paths!$E$351=0),I3795-J3795-K3795+VLOOKUP(A3795,'Fleet register'!$A$7:$S$106,15,FALSE)+VLOOKUP(A3795,'Fleet register'!$A$7:$S$106,16,FALSE),0),"n.a."))</f>
        <v>0</v>
      </c>
      <c r="S3795" s="1">
        <f>IF(NOT(Paths!$C$351=1),0,IF(Paths!$P$351="Complete",IF(C3795=0,0,Paths!$S$351*Paths!$R$351),"n.a."))</f>
        <v>0</v>
      </c>
      <c r="T3795" s="1">
        <f>IF(NOT(Paths!$C$351=1),0,IF(Paths!$P$351="Complete",IF(C3795=0,0,VLOOKUP(A3795,'Fleet register'!$A$7:$S$106,9,FALSE)*Paths!$R$351),"n.a."))</f>
        <v>0</v>
      </c>
    </row>
    <row r="3796" spans="1:20" ht="24" customHeight="1">
      <c r="A3796" s="1" t="str">
        <f>Paths!$A$351</f>
        <v>T087</v>
      </c>
      <c r="B3796" s="1">
        <f>Paths!$B$351</f>
        <v>0</v>
      </c>
      <c r="C3796" s="1">
        <v>5</v>
      </c>
      <c r="D3796" s="1">
        <v>351</v>
      </c>
      <c r="E3796" s="1">
        <f>IF(OR(Paths!$C$351=0,C3796=0),0,MAX(0,MIN(C3796*12,Paths!$E$351)-(C3796-1)*12))</f>
        <v>0</v>
      </c>
      <c r="F3796" s="1">
        <f>IF(OR(Paths!$C$351=0,C3796=0),0,12-E3796)</f>
        <v>0</v>
      </c>
      <c r="G3796" s="16">
        <f>IF(NOT(Paths!$C$351=1),0,IF(Paths!$P$351="Complete",E3796/12*(Paths!$J$351*(1+'Operating costs'!$B$51)^MAX(0,C3796-1)+Paths!$K$351*(1+'Operating costs'!$B$53)^MAX(0,C3796-1)),"n.a."))</f>
        <v>0</v>
      </c>
      <c r="H3796" s="16">
        <f>IF(NOT(Paths!$C$351=1),0,IF(Paths!$P$351="Complete",F3796/12*(Paths!$L$351*(1+IF(Paths!$D$351="EV",'Operating costs'!$B$52,'Operating costs'!$B$51))^MAX(0,C3796-1)+Paths!$M$351*(1+'Operating costs'!$B$53)^MAX(0,C3796-1)),"n.a."))</f>
        <v>0</v>
      </c>
      <c r="I3796" s="16">
        <f>IF(NOT(Paths!$C$351=1),0,IF(Paths!$P$351="Complete",IF(IF(Paths!$E$351=0,C3796=0,AND(C3796&gt;0,Paths!$E$351&gt;(C3796-1)*12,Paths!$E$351&lt;=C3796*12)),Paths!$G$351,0),"n.a."))</f>
        <v>0</v>
      </c>
      <c r="J3796" s="16">
        <f>IF(NOT(Paths!$C$351=1),0,IF(Paths!$P$351="Complete",IF(IF(Paths!$E$351=0,C3796=0,AND(C3796&gt;0,Paths!$E$351&gt;(C3796-1)*12,Paths!$E$351&lt;=C3796*12)),Paths!$H$351,0),"n.a."))</f>
        <v>0</v>
      </c>
      <c r="K3796" s="16">
        <f>IF(NOT(Paths!$C$351=1),0,IF(Paths!$P$351="Complete",IF(IF(Paths!$O$351=0,C3796=0,AND(C3796&gt;0,Paths!$O$351&gt;(C3796-1)*12,Paths!$O$351&lt;=C3796*12)),Paths!$N$351,0),"n.a."))</f>
        <v>0</v>
      </c>
      <c r="L3796" s="16">
        <f>IF(NOT(Paths!$C$351=1),0,IF(Paths!$P$351="Complete",IF(C3796=10,Paths!$I$351,0),"n.a."))</f>
        <v>0</v>
      </c>
      <c r="M3796" s="16">
        <f>IF(NOT(Paths!$C$351=1),0,IF(Paths!$P$351="Complete",IF(AND(Paths!$D$351="EV",Paths!$E$351&lt;120,Paths!$E$351+'Operating costs'!$B$65&gt;Paths!$E$351,Paths!$E$351+'Operating costs'!$B$65&lt;=120,IF(Paths!$E$351+'Operating costs'!$B$65=0,C3796=0,AND(C3796&gt;0,Paths!$E$351+'Operating costs'!$B$65&gt;(C3796-1)*12,Paths!$E$351+'Operating costs'!$B$65&lt;=C3796*12))),'Operating costs'!$B$64,0)+IF(AND('Operating costs'!$B$67&gt;0,'Operating costs'!$B$67&lt;=120,OR(Paths!$D$351="ICE",'Operating costs'!$B$67&lt;=Paths!$E$351),IF('Operating costs'!$B$67=0,C3796=0,AND(C3796&gt;0,'Operating costs'!$B$67&gt;(C3796-1)*12,'Operating costs'!$B$67&lt;=C3796*12))),'Operating costs'!$B$66,0),"n.a."))</f>
        <v>0</v>
      </c>
      <c r="N3796" s="16">
        <f>IF(NOT(Paths!$C$351=1),0,IF(Paths!$P$351="Complete",SUM(G3796:I3796)-J3796-K3796-L3796+M3796+IF(C3796=0,Paths!$F$351,0)+IF(IF(Paths!$E$351=0,C3796=0,AND(C3796&gt;0,Paths!$E$351&gt;(C3796-1)*12,Paths!$E$351&lt;=C3796*12)),VLOOKUP(A3796,'Fleet register'!$A$7:$S$106,16,FALSE),0),"n.a."))</f>
        <v>0</v>
      </c>
      <c r="O3796" s="16">
        <f>IF(NOT(Paths!$C$351=1),0,IF(Paths!$P$351="Complete",N3796-IF(C3796=0,Paths!$F$351,0),"n.a."))</f>
        <v>0</v>
      </c>
      <c r="P3796" s="16">
        <f>IF(NOT(Paths!$C$351=1),0,IF(Paths!$P$351="Complete",O3796+L3796,"n.a."))</f>
        <v>0</v>
      </c>
      <c r="Q3796" s="16">
        <f>IF(NOT(Paths!$C$351=1),0,IF(Paths!$P$351="Complete",N3796*(1+'Operating costs'!$B$54)^-C3796,"n.a."))</f>
        <v>0</v>
      </c>
      <c r="R3796" s="16">
        <f>IF(NOT(Paths!$C$351=1),0,IF(Paths!$P$351="Complete",IF(AND(C3796=0,Paths!$E$351=0),I3796-J3796-K3796+VLOOKUP(A3796,'Fleet register'!$A$7:$S$106,15,FALSE)+VLOOKUP(A3796,'Fleet register'!$A$7:$S$106,16,FALSE),0),"n.a."))</f>
        <v>0</v>
      </c>
      <c r="S3796" s="1">
        <f>IF(NOT(Paths!$C$351=1),0,IF(Paths!$P$351="Complete",IF(C3796=0,0,Paths!$S$351*Paths!$R$351),"n.a."))</f>
        <v>0</v>
      </c>
      <c r="T3796" s="1">
        <f>IF(NOT(Paths!$C$351=1),0,IF(Paths!$P$351="Complete",IF(C3796=0,0,VLOOKUP(A3796,'Fleet register'!$A$7:$S$106,9,FALSE)*Paths!$R$351),"n.a."))</f>
        <v>0</v>
      </c>
    </row>
    <row r="3797" spans="1:20" ht="24" customHeight="1">
      <c r="A3797" s="1" t="str">
        <f>Paths!$A$351</f>
        <v>T087</v>
      </c>
      <c r="B3797" s="1">
        <f>Paths!$B$351</f>
        <v>0</v>
      </c>
      <c r="C3797" s="1">
        <v>6</v>
      </c>
      <c r="D3797" s="1">
        <v>351</v>
      </c>
      <c r="E3797" s="1">
        <f>IF(OR(Paths!$C$351=0,C3797=0),0,MAX(0,MIN(C3797*12,Paths!$E$351)-(C3797-1)*12))</f>
        <v>0</v>
      </c>
      <c r="F3797" s="1">
        <f>IF(OR(Paths!$C$351=0,C3797=0),0,12-E3797)</f>
        <v>0</v>
      </c>
      <c r="G3797" s="16">
        <f>IF(NOT(Paths!$C$351=1),0,IF(Paths!$P$351="Complete",E3797/12*(Paths!$J$351*(1+'Operating costs'!$B$51)^MAX(0,C3797-1)+Paths!$K$351*(1+'Operating costs'!$B$53)^MAX(0,C3797-1)),"n.a."))</f>
        <v>0</v>
      </c>
      <c r="H3797" s="16">
        <f>IF(NOT(Paths!$C$351=1),0,IF(Paths!$P$351="Complete",F3797/12*(Paths!$L$351*(1+IF(Paths!$D$351="EV",'Operating costs'!$B$52,'Operating costs'!$B$51))^MAX(0,C3797-1)+Paths!$M$351*(1+'Operating costs'!$B$53)^MAX(0,C3797-1)),"n.a."))</f>
        <v>0</v>
      </c>
      <c r="I3797" s="16">
        <f>IF(NOT(Paths!$C$351=1),0,IF(Paths!$P$351="Complete",IF(IF(Paths!$E$351=0,C3797=0,AND(C3797&gt;0,Paths!$E$351&gt;(C3797-1)*12,Paths!$E$351&lt;=C3797*12)),Paths!$G$351,0),"n.a."))</f>
        <v>0</v>
      </c>
      <c r="J3797" s="16">
        <f>IF(NOT(Paths!$C$351=1),0,IF(Paths!$P$351="Complete",IF(IF(Paths!$E$351=0,C3797=0,AND(C3797&gt;0,Paths!$E$351&gt;(C3797-1)*12,Paths!$E$351&lt;=C3797*12)),Paths!$H$351,0),"n.a."))</f>
        <v>0</v>
      </c>
      <c r="K3797" s="16">
        <f>IF(NOT(Paths!$C$351=1),0,IF(Paths!$P$351="Complete",IF(IF(Paths!$O$351=0,C3797=0,AND(C3797&gt;0,Paths!$O$351&gt;(C3797-1)*12,Paths!$O$351&lt;=C3797*12)),Paths!$N$351,0),"n.a."))</f>
        <v>0</v>
      </c>
      <c r="L3797" s="16">
        <f>IF(NOT(Paths!$C$351=1),0,IF(Paths!$P$351="Complete",IF(C3797=10,Paths!$I$351,0),"n.a."))</f>
        <v>0</v>
      </c>
      <c r="M3797" s="16">
        <f>IF(NOT(Paths!$C$351=1),0,IF(Paths!$P$351="Complete",IF(AND(Paths!$D$351="EV",Paths!$E$351&lt;120,Paths!$E$351+'Operating costs'!$B$65&gt;Paths!$E$351,Paths!$E$351+'Operating costs'!$B$65&lt;=120,IF(Paths!$E$351+'Operating costs'!$B$65=0,C3797=0,AND(C3797&gt;0,Paths!$E$351+'Operating costs'!$B$65&gt;(C3797-1)*12,Paths!$E$351+'Operating costs'!$B$65&lt;=C3797*12))),'Operating costs'!$B$64,0)+IF(AND('Operating costs'!$B$67&gt;0,'Operating costs'!$B$67&lt;=120,OR(Paths!$D$351="ICE",'Operating costs'!$B$67&lt;=Paths!$E$351),IF('Operating costs'!$B$67=0,C3797=0,AND(C3797&gt;0,'Operating costs'!$B$67&gt;(C3797-1)*12,'Operating costs'!$B$67&lt;=C3797*12))),'Operating costs'!$B$66,0),"n.a."))</f>
        <v>0</v>
      </c>
      <c r="N3797" s="16">
        <f>IF(NOT(Paths!$C$351=1),0,IF(Paths!$P$351="Complete",SUM(G3797:I3797)-J3797-K3797-L3797+M3797+IF(C3797=0,Paths!$F$351,0)+IF(IF(Paths!$E$351=0,C3797=0,AND(C3797&gt;0,Paths!$E$351&gt;(C3797-1)*12,Paths!$E$351&lt;=C3797*12)),VLOOKUP(A3797,'Fleet register'!$A$7:$S$106,16,FALSE),0),"n.a."))</f>
        <v>0</v>
      </c>
      <c r="O3797" s="16">
        <f>IF(NOT(Paths!$C$351=1),0,IF(Paths!$P$351="Complete",N3797-IF(C3797=0,Paths!$F$351,0),"n.a."))</f>
        <v>0</v>
      </c>
      <c r="P3797" s="16">
        <f>IF(NOT(Paths!$C$351=1),0,IF(Paths!$P$351="Complete",O3797+L3797,"n.a."))</f>
        <v>0</v>
      </c>
      <c r="Q3797" s="16">
        <f>IF(NOT(Paths!$C$351=1),0,IF(Paths!$P$351="Complete",N3797*(1+'Operating costs'!$B$54)^-C3797,"n.a."))</f>
        <v>0</v>
      </c>
      <c r="R3797" s="16">
        <f>IF(NOT(Paths!$C$351=1),0,IF(Paths!$P$351="Complete",IF(AND(C3797=0,Paths!$E$351=0),I3797-J3797-K3797+VLOOKUP(A3797,'Fleet register'!$A$7:$S$106,15,FALSE)+VLOOKUP(A3797,'Fleet register'!$A$7:$S$106,16,FALSE),0),"n.a."))</f>
        <v>0</v>
      </c>
      <c r="S3797" s="1">
        <f>IF(NOT(Paths!$C$351=1),0,IF(Paths!$P$351="Complete",IF(C3797=0,0,Paths!$S$351*Paths!$R$351),"n.a."))</f>
        <v>0</v>
      </c>
      <c r="T3797" s="1">
        <f>IF(NOT(Paths!$C$351=1),0,IF(Paths!$P$351="Complete",IF(C3797=0,0,VLOOKUP(A3797,'Fleet register'!$A$7:$S$106,9,FALSE)*Paths!$R$351),"n.a."))</f>
        <v>0</v>
      </c>
    </row>
    <row r="3798" spans="1:20" ht="24" customHeight="1">
      <c r="A3798" s="1" t="str">
        <f>Paths!$A$351</f>
        <v>T087</v>
      </c>
      <c r="B3798" s="1">
        <f>Paths!$B$351</f>
        <v>0</v>
      </c>
      <c r="C3798" s="1">
        <v>7</v>
      </c>
      <c r="D3798" s="1">
        <v>351</v>
      </c>
      <c r="E3798" s="1">
        <f>IF(OR(Paths!$C$351=0,C3798=0),0,MAX(0,MIN(C3798*12,Paths!$E$351)-(C3798-1)*12))</f>
        <v>0</v>
      </c>
      <c r="F3798" s="1">
        <f>IF(OR(Paths!$C$351=0,C3798=0),0,12-E3798)</f>
        <v>0</v>
      </c>
      <c r="G3798" s="16">
        <f>IF(NOT(Paths!$C$351=1),0,IF(Paths!$P$351="Complete",E3798/12*(Paths!$J$351*(1+'Operating costs'!$B$51)^MAX(0,C3798-1)+Paths!$K$351*(1+'Operating costs'!$B$53)^MAX(0,C3798-1)),"n.a."))</f>
        <v>0</v>
      </c>
      <c r="H3798" s="16">
        <f>IF(NOT(Paths!$C$351=1),0,IF(Paths!$P$351="Complete",F3798/12*(Paths!$L$351*(1+IF(Paths!$D$351="EV",'Operating costs'!$B$52,'Operating costs'!$B$51))^MAX(0,C3798-1)+Paths!$M$351*(1+'Operating costs'!$B$53)^MAX(0,C3798-1)),"n.a."))</f>
        <v>0</v>
      </c>
      <c r="I3798" s="16">
        <f>IF(NOT(Paths!$C$351=1),0,IF(Paths!$P$351="Complete",IF(IF(Paths!$E$351=0,C3798=0,AND(C3798&gt;0,Paths!$E$351&gt;(C3798-1)*12,Paths!$E$351&lt;=C3798*12)),Paths!$G$351,0),"n.a."))</f>
        <v>0</v>
      </c>
      <c r="J3798" s="16">
        <f>IF(NOT(Paths!$C$351=1),0,IF(Paths!$P$351="Complete",IF(IF(Paths!$E$351=0,C3798=0,AND(C3798&gt;0,Paths!$E$351&gt;(C3798-1)*12,Paths!$E$351&lt;=C3798*12)),Paths!$H$351,0),"n.a."))</f>
        <v>0</v>
      </c>
      <c r="K3798" s="16">
        <f>IF(NOT(Paths!$C$351=1),0,IF(Paths!$P$351="Complete",IF(IF(Paths!$O$351=0,C3798=0,AND(C3798&gt;0,Paths!$O$351&gt;(C3798-1)*12,Paths!$O$351&lt;=C3798*12)),Paths!$N$351,0),"n.a."))</f>
        <v>0</v>
      </c>
      <c r="L3798" s="16">
        <f>IF(NOT(Paths!$C$351=1),0,IF(Paths!$P$351="Complete",IF(C3798=10,Paths!$I$351,0),"n.a."))</f>
        <v>0</v>
      </c>
      <c r="M3798" s="16">
        <f>IF(NOT(Paths!$C$351=1),0,IF(Paths!$P$351="Complete",IF(AND(Paths!$D$351="EV",Paths!$E$351&lt;120,Paths!$E$351+'Operating costs'!$B$65&gt;Paths!$E$351,Paths!$E$351+'Operating costs'!$B$65&lt;=120,IF(Paths!$E$351+'Operating costs'!$B$65=0,C3798=0,AND(C3798&gt;0,Paths!$E$351+'Operating costs'!$B$65&gt;(C3798-1)*12,Paths!$E$351+'Operating costs'!$B$65&lt;=C3798*12))),'Operating costs'!$B$64,0)+IF(AND('Operating costs'!$B$67&gt;0,'Operating costs'!$B$67&lt;=120,OR(Paths!$D$351="ICE",'Operating costs'!$B$67&lt;=Paths!$E$351),IF('Operating costs'!$B$67=0,C3798=0,AND(C3798&gt;0,'Operating costs'!$B$67&gt;(C3798-1)*12,'Operating costs'!$B$67&lt;=C3798*12))),'Operating costs'!$B$66,0),"n.a."))</f>
        <v>0</v>
      </c>
      <c r="N3798" s="16">
        <f>IF(NOT(Paths!$C$351=1),0,IF(Paths!$P$351="Complete",SUM(G3798:I3798)-J3798-K3798-L3798+M3798+IF(C3798=0,Paths!$F$351,0)+IF(IF(Paths!$E$351=0,C3798=0,AND(C3798&gt;0,Paths!$E$351&gt;(C3798-1)*12,Paths!$E$351&lt;=C3798*12)),VLOOKUP(A3798,'Fleet register'!$A$7:$S$106,16,FALSE),0),"n.a."))</f>
        <v>0</v>
      </c>
      <c r="O3798" s="16">
        <f>IF(NOT(Paths!$C$351=1),0,IF(Paths!$P$351="Complete",N3798-IF(C3798=0,Paths!$F$351,0),"n.a."))</f>
        <v>0</v>
      </c>
      <c r="P3798" s="16">
        <f>IF(NOT(Paths!$C$351=1),0,IF(Paths!$P$351="Complete",O3798+L3798,"n.a."))</f>
        <v>0</v>
      </c>
      <c r="Q3798" s="16">
        <f>IF(NOT(Paths!$C$351=1),0,IF(Paths!$P$351="Complete",N3798*(1+'Operating costs'!$B$54)^-C3798,"n.a."))</f>
        <v>0</v>
      </c>
      <c r="R3798" s="16">
        <f>IF(NOT(Paths!$C$351=1),0,IF(Paths!$P$351="Complete",IF(AND(C3798=0,Paths!$E$351=0),I3798-J3798-K3798+VLOOKUP(A3798,'Fleet register'!$A$7:$S$106,15,FALSE)+VLOOKUP(A3798,'Fleet register'!$A$7:$S$106,16,FALSE),0),"n.a."))</f>
        <v>0</v>
      </c>
      <c r="S3798" s="1">
        <f>IF(NOT(Paths!$C$351=1),0,IF(Paths!$P$351="Complete",IF(C3798=0,0,Paths!$S$351*Paths!$R$351),"n.a."))</f>
        <v>0</v>
      </c>
      <c r="T3798" s="1">
        <f>IF(NOT(Paths!$C$351=1),0,IF(Paths!$P$351="Complete",IF(C3798=0,0,VLOOKUP(A3798,'Fleet register'!$A$7:$S$106,9,FALSE)*Paths!$R$351),"n.a."))</f>
        <v>0</v>
      </c>
    </row>
    <row r="3799" spans="1:20" ht="24" customHeight="1">
      <c r="A3799" s="1" t="str">
        <f>Paths!$A$351</f>
        <v>T087</v>
      </c>
      <c r="B3799" s="1">
        <f>Paths!$B$351</f>
        <v>0</v>
      </c>
      <c r="C3799" s="1">
        <v>8</v>
      </c>
      <c r="D3799" s="1">
        <v>351</v>
      </c>
      <c r="E3799" s="1">
        <f>IF(OR(Paths!$C$351=0,C3799=0),0,MAX(0,MIN(C3799*12,Paths!$E$351)-(C3799-1)*12))</f>
        <v>0</v>
      </c>
      <c r="F3799" s="1">
        <f>IF(OR(Paths!$C$351=0,C3799=0),0,12-E3799)</f>
        <v>0</v>
      </c>
      <c r="G3799" s="16">
        <f>IF(NOT(Paths!$C$351=1),0,IF(Paths!$P$351="Complete",E3799/12*(Paths!$J$351*(1+'Operating costs'!$B$51)^MAX(0,C3799-1)+Paths!$K$351*(1+'Operating costs'!$B$53)^MAX(0,C3799-1)),"n.a."))</f>
        <v>0</v>
      </c>
      <c r="H3799" s="16">
        <f>IF(NOT(Paths!$C$351=1),0,IF(Paths!$P$351="Complete",F3799/12*(Paths!$L$351*(1+IF(Paths!$D$351="EV",'Operating costs'!$B$52,'Operating costs'!$B$51))^MAX(0,C3799-1)+Paths!$M$351*(1+'Operating costs'!$B$53)^MAX(0,C3799-1)),"n.a."))</f>
        <v>0</v>
      </c>
      <c r="I3799" s="16">
        <f>IF(NOT(Paths!$C$351=1),0,IF(Paths!$P$351="Complete",IF(IF(Paths!$E$351=0,C3799=0,AND(C3799&gt;0,Paths!$E$351&gt;(C3799-1)*12,Paths!$E$351&lt;=C3799*12)),Paths!$G$351,0),"n.a."))</f>
        <v>0</v>
      </c>
      <c r="J3799" s="16">
        <f>IF(NOT(Paths!$C$351=1),0,IF(Paths!$P$351="Complete",IF(IF(Paths!$E$351=0,C3799=0,AND(C3799&gt;0,Paths!$E$351&gt;(C3799-1)*12,Paths!$E$351&lt;=C3799*12)),Paths!$H$351,0),"n.a."))</f>
        <v>0</v>
      </c>
      <c r="K3799" s="16">
        <f>IF(NOT(Paths!$C$351=1),0,IF(Paths!$P$351="Complete",IF(IF(Paths!$O$351=0,C3799=0,AND(C3799&gt;0,Paths!$O$351&gt;(C3799-1)*12,Paths!$O$351&lt;=C3799*12)),Paths!$N$351,0),"n.a."))</f>
        <v>0</v>
      </c>
      <c r="L3799" s="16">
        <f>IF(NOT(Paths!$C$351=1),0,IF(Paths!$P$351="Complete",IF(C3799=10,Paths!$I$351,0),"n.a."))</f>
        <v>0</v>
      </c>
      <c r="M3799" s="16">
        <f>IF(NOT(Paths!$C$351=1),0,IF(Paths!$P$351="Complete",IF(AND(Paths!$D$351="EV",Paths!$E$351&lt;120,Paths!$E$351+'Operating costs'!$B$65&gt;Paths!$E$351,Paths!$E$351+'Operating costs'!$B$65&lt;=120,IF(Paths!$E$351+'Operating costs'!$B$65=0,C3799=0,AND(C3799&gt;0,Paths!$E$351+'Operating costs'!$B$65&gt;(C3799-1)*12,Paths!$E$351+'Operating costs'!$B$65&lt;=C3799*12))),'Operating costs'!$B$64,0)+IF(AND('Operating costs'!$B$67&gt;0,'Operating costs'!$B$67&lt;=120,OR(Paths!$D$351="ICE",'Operating costs'!$B$67&lt;=Paths!$E$351),IF('Operating costs'!$B$67=0,C3799=0,AND(C3799&gt;0,'Operating costs'!$B$67&gt;(C3799-1)*12,'Operating costs'!$B$67&lt;=C3799*12))),'Operating costs'!$B$66,0),"n.a."))</f>
        <v>0</v>
      </c>
      <c r="N3799" s="16">
        <f>IF(NOT(Paths!$C$351=1),0,IF(Paths!$P$351="Complete",SUM(G3799:I3799)-J3799-K3799-L3799+M3799+IF(C3799=0,Paths!$F$351,0)+IF(IF(Paths!$E$351=0,C3799=0,AND(C3799&gt;0,Paths!$E$351&gt;(C3799-1)*12,Paths!$E$351&lt;=C3799*12)),VLOOKUP(A3799,'Fleet register'!$A$7:$S$106,16,FALSE),0),"n.a."))</f>
        <v>0</v>
      </c>
      <c r="O3799" s="16">
        <f>IF(NOT(Paths!$C$351=1),0,IF(Paths!$P$351="Complete",N3799-IF(C3799=0,Paths!$F$351,0),"n.a."))</f>
        <v>0</v>
      </c>
      <c r="P3799" s="16">
        <f>IF(NOT(Paths!$C$351=1),0,IF(Paths!$P$351="Complete",O3799+L3799,"n.a."))</f>
        <v>0</v>
      </c>
      <c r="Q3799" s="16">
        <f>IF(NOT(Paths!$C$351=1),0,IF(Paths!$P$351="Complete",N3799*(1+'Operating costs'!$B$54)^-C3799,"n.a."))</f>
        <v>0</v>
      </c>
      <c r="R3799" s="16">
        <f>IF(NOT(Paths!$C$351=1),0,IF(Paths!$P$351="Complete",IF(AND(C3799=0,Paths!$E$351=0),I3799-J3799-K3799+VLOOKUP(A3799,'Fleet register'!$A$7:$S$106,15,FALSE)+VLOOKUP(A3799,'Fleet register'!$A$7:$S$106,16,FALSE),0),"n.a."))</f>
        <v>0</v>
      </c>
      <c r="S3799" s="1">
        <f>IF(NOT(Paths!$C$351=1),0,IF(Paths!$P$351="Complete",IF(C3799=0,0,Paths!$S$351*Paths!$R$351),"n.a."))</f>
        <v>0</v>
      </c>
      <c r="T3799" s="1">
        <f>IF(NOT(Paths!$C$351=1),0,IF(Paths!$P$351="Complete",IF(C3799=0,0,VLOOKUP(A3799,'Fleet register'!$A$7:$S$106,9,FALSE)*Paths!$R$351),"n.a."))</f>
        <v>0</v>
      </c>
    </row>
    <row r="3800" spans="1:20" ht="24" customHeight="1">
      <c r="A3800" s="1" t="str">
        <f>Paths!$A$351</f>
        <v>T087</v>
      </c>
      <c r="B3800" s="1">
        <f>Paths!$B$351</f>
        <v>0</v>
      </c>
      <c r="C3800" s="1">
        <v>9</v>
      </c>
      <c r="D3800" s="1">
        <v>351</v>
      </c>
      <c r="E3800" s="1">
        <f>IF(OR(Paths!$C$351=0,C3800=0),0,MAX(0,MIN(C3800*12,Paths!$E$351)-(C3800-1)*12))</f>
        <v>0</v>
      </c>
      <c r="F3800" s="1">
        <f>IF(OR(Paths!$C$351=0,C3800=0),0,12-E3800)</f>
        <v>0</v>
      </c>
      <c r="G3800" s="16">
        <f>IF(NOT(Paths!$C$351=1),0,IF(Paths!$P$351="Complete",E3800/12*(Paths!$J$351*(1+'Operating costs'!$B$51)^MAX(0,C3800-1)+Paths!$K$351*(1+'Operating costs'!$B$53)^MAX(0,C3800-1)),"n.a."))</f>
        <v>0</v>
      </c>
      <c r="H3800" s="16">
        <f>IF(NOT(Paths!$C$351=1),0,IF(Paths!$P$351="Complete",F3800/12*(Paths!$L$351*(1+IF(Paths!$D$351="EV",'Operating costs'!$B$52,'Operating costs'!$B$51))^MAX(0,C3800-1)+Paths!$M$351*(1+'Operating costs'!$B$53)^MAX(0,C3800-1)),"n.a."))</f>
        <v>0</v>
      </c>
      <c r="I3800" s="16">
        <f>IF(NOT(Paths!$C$351=1),0,IF(Paths!$P$351="Complete",IF(IF(Paths!$E$351=0,C3800=0,AND(C3800&gt;0,Paths!$E$351&gt;(C3800-1)*12,Paths!$E$351&lt;=C3800*12)),Paths!$G$351,0),"n.a."))</f>
        <v>0</v>
      </c>
      <c r="J3800" s="16">
        <f>IF(NOT(Paths!$C$351=1),0,IF(Paths!$P$351="Complete",IF(IF(Paths!$E$351=0,C3800=0,AND(C3800&gt;0,Paths!$E$351&gt;(C3800-1)*12,Paths!$E$351&lt;=C3800*12)),Paths!$H$351,0),"n.a."))</f>
        <v>0</v>
      </c>
      <c r="K3800" s="16">
        <f>IF(NOT(Paths!$C$351=1),0,IF(Paths!$P$351="Complete",IF(IF(Paths!$O$351=0,C3800=0,AND(C3800&gt;0,Paths!$O$351&gt;(C3800-1)*12,Paths!$O$351&lt;=C3800*12)),Paths!$N$351,0),"n.a."))</f>
        <v>0</v>
      </c>
      <c r="L3800" s="16">
        <f>IF(NOT(Paths!$C$351=1),0,IF(Paths!$P$351="Complete",IF(C3800=10,Paths!$I$351,0),"n.a."))</f>
        <v>0</v>
      </c>
      <c r="M3800" s="16">
        <f>IF(NOT(Paths!$C$351=1),0,IF(Paths!$P$351="Complete",IF(AND(Paths!$D$351="EV",Paths!$E$351&lt;120,Paths!$E$351+'Operating costs'!$B$65&gt;Paths!$E$351,Paths!$E$351+'Operating costs'!$B$65&lt;=120,IF(Paths!$E$351+'Operating costs'!$B$65=0,C3800=0,AND(C3800&gt;0,Paths!$E$351+'Operating costs'!$B$65&gt;(C3800-1)*12,Paths!$E$351+'Operating costs'!$B$65&lt;=C3800*12))),'Operating costs'!$B$64,0)+IF(AND('Operating costs'!$B$67&gt;0,'Operating costs'!$B$67&lt;=120,OR(Paths!$D$351="ICE",'Operating costs'!$B$67&lt;=Paths!$E$351),IF('Operating costs'!$B$67=0,C3800=0,AND(C3800&gt;0,'Operating costs'!$B$67&gt;(C3800-1)*12,'Operating costs'!$B$67&lt;=C3800*12))),'Operating costs'!$B$66,0),"n.a."))</f>
        <v>0</v>
      </c>
      <c r="N3800" s="16">
        <f>IF(NOT(Paths!$C$351=1),0,IF(Paths!$P$351="Complete",SUM(G3800:I3800)-J3800-K3800-L3800+M3800+IF(C3800=0,Paths!$F$351,0)+IF(IF(Paths!$E$351=0,C3800=0,AND(C3800&gt;0,Paths!$E$351&gt;(C3800-1)*12,Paths!$E$351&lt;=C3800*12)),VLOOKUP(A3800,'Fleet register'!$A$7:$S$106,16,FALSE),0),"n.a."))</f>
        <v>0</v>
      </c>
      <c r="O3800" s="16">
        <f>IF(NOT(Paths!$C$351=1),0,IF(Paths!$P$351="Complete",N3800-IF(C3800=0,Paths!$F$351,0),"n.a."))</f>
        <v>0</v>
      </c>
      <c r="P3800" s="16">
        <f>IF(NOT(Paths!$C$351=1),0,IF(Paths!$P$351="Complete",O3800+L3800,"n.a."))</f>
        <v>0</v>
      </c>
      <c r="Q3800" s="16">
        <f>IF(NOT(Paths!$C$351=1),0,IF(Paths!$P$351="Complete",N3800*(1+'Operating costs'!$B$54)^-C3800,"n.a."))</f>
        <v>0</v>
      </c>
      <c r="R3800" s="16">
        <f>IF(NOT(Paths!$C$351=1),0,IF(Paths!$P$351="Complete",IF(AND(C3800=0,Paths!$E$351=0),I3800-J3800-K3800+VLOOKUP(A3800,'Fleet register'!$A$7:$S$106,15,FALSE)+VLOOKUP(A3800,'Fleet register'!$A$7:$S$106,16,FALSE),0),"n.a."))</f>
        <v>0</v>
      </c>
      <c r="S3800" s="1">
        <f>IF(NOT(Paths!$C$351=1),0,IF(Paths!$P$351="Complete",IF(C3800=0,0,Paths!$S$351*Paths!$R$351),"n.a."))</f>
        <v>0</v>
      </c>
      <c r="T3800" s="1">
        <f>IF(NOT(Paths!$C$351=1),0,IF(Paths!$P$351="Complete",IF(C3800=0,0,VLOOKUP(A3800,'Fleet register'!$A$7:$S$106,9,FALSE)*Paths!$R$351),"n.a."))</f>
        <v>0</v>
      </c>
    </row>
    <row r="3801" spans="1:20" ht="24" customHeight="1">
      <c r="A3801" s="1" t="str">
        <f>Paths!$A$351</f>
        <v>T087</v>
      </c>
      <c r="B3801" s="1">
        <f>Paths!$B$351</f>
        <v>0</v>
      </c>
      <c r="C3801" s="1">
        <v>10</v>
      </c>
      <c r="D3801" s="1">
        <v>351</v>
      </c>
      <c r="E3801" s="1">
        <f>IF(OR(Paths!$C$351=0,C3801=0),0,MAX(0,MIN(C3801*12,Paths!$E$351)-(C3801-1)*12))</f>
        <v>0</v>
      </c>
      <c r="F3801" s="1">
        <f>IF(OR(Paths!$C$351=0,C3801=0),0,12-E3801)</f>
        <v>0</v>
      </c>
      <c r="G3801" s="16">
        <f>IF(NOT(Paths!$C$351=1),0,IF(Paths!$P$351="Complete",E3801/12*(Paths!$J$351*(1+'Operating costs'!$B$51)^MAX(0,C3801-1)+Paths!$K$351*(1+'Operating costs'!$B$53)^MAX(0,C3801-1)),"n.a."))</f>
        <v>0</v>
      </c>
      <c r="H3801" s="16">
        <f>IF(NOT(Paths!$C$351=1),0,IF(Paths!$P$351="Complete",F3801/12*(Paths!$L$351*(1+IF(Paths!$D$351="EV",'Operating costs'!$B$52,'Operating costs'!$B$51))^MAX(0,C3801-1)+Paths!$M$351*(1+'Operating costs'!$B$53)^MAX(0,C3801-1)),"n.a."))</f>
        <v>0</v>
      </c>
      <c r="I3801" s="16">
        <f>IF(NOT(Paths!$C$351=1),0,IF(Paths!$P$351="Complete",IF(IF(Paths!$E$351=0,C3801=0,AND(C3801&gt;0,Paths!$E$351&gt;(C3801-1)*12,Paths!$E$351&lt;=C3801*12)),Paths!$G$351,0),"n.a."))</f>
        <v>0</v>
      </c>
      <c r="J3801" s="16">
        <f>IF(NOT(Paths!$C$351=1),0,IF(Paths!$P$351="Complete",IF(IF(Paths!$E$351=0,C3801=0,AND(C3801&gt;0,Paths!$E$351&gt;(C3801-1)*12,Paths!$E$351&lt;=C3801*12)),Paths!$H$351,0),"n.a."))</f>
        <v>0</v>
      </c>
      <c r="K3801" s="16">
        <f>IF(NOT(Paths!$C$351=1),0,IF(Paths!$P$351="Complete",IF(IF(Paths!$O$351=0,C3801=0,AND(C3801&gt;0,Paths!$O$351&gt;(C3801-1)*12,Paths!$O$351&lt;=C3801*12)),Paths!$N$351,0),"n.a."))</f>
        <v>0</v>
      </c>
      <c r="L3801" s="16">
        <f>IF(NOT(Paths!$C$351=1),0,IF(Paths!$P$351="Complete",IF(C3801=10,Paths!$I$351,0),"n.a."))</f>
        <v>0</v>
      </c>
      <c r="M3801" s="16">
        <f>IF(NOT(Paths!$C$351=1),0,IF(Paths!$P$351="Complete",IF(AND(Paths!$D$351="EV",Paths!$E$351&lt;120,Paths!$E$351+'Operating costs'!$B$65&gt;Paths!$E$351,Paths!$E$351+'Operating costs'!$B$65&lt;=120,IF(Paths!$E$351+'Operating costs'!$B$65=0,C3801=0,AND(C3801&gt;0,Paths!$E$351+'Operating costs'!$B$65&gt;(C3801-1)*12,Paths!$E$351+'Operating costs'!$B$65&lt;=C3801*12))),'Operating costs'!$B$64,0)+IF(AND('Operating costs'!$B$67&gt;0,'Operating costs'!$B$67&lt;=120,OR(Paths!$D$351="ICE",'Operating costs'!$B$67&lt;=Paths!$E$351),IF('Operating costs'!$B$67=0,C3801=0,AND(C3801&gt;0,'Operating costs'!$B$67&gt;(C3801-1)*12,'Operating costs'!$B$67&lt;=C3801*12))),'Operating costs'!$B$66,0),"n.a."))</f>
        <v>0</v>
      </c>
      <c r="N3801" s="16">
        <f>IF(NOT(Paths!$C$351=1),0,IF(Paths!$P$351="Complete",SUM(G3801:I3801)-J3801-K3801-L3801+M3801+IF(C3801=0,Paths!$F$351,0)+IF(IF(Paths!$E$351=0,C3801=0,AND(C3801&gt;0,Paths!$E$351&gt;(C3801-1)*12,Paths!$E$351&lt;=C3801*12)),VLOOKUP(A3801,'Fleet register'!$A$7:$S$106,16,FALSE),0),"n.a."))</f>
        <v>0</v>
      </c>
      <c r="O3801" s="16">
        <f>IF(NOT(Paths!$C$351=1),0,IF(Paths!$P$351="Complete",N3801-IF(C3801=0,Paths!$F$351,0),"n.a."))</f>
        <v>0</v>
      </c>
      <c r="P3801" s="16">
        <f>IF(NOT(Paths!$C$351=1),0,IF(Paths!$P$351="Complete",O3801+L3801,"n.a."))</f>
        <v>0</v>
      </c>
      <c r="Q3801" s="16">
        <f>IF(NOT(Paths!$C$351=1),0,IF(Paths!$P$351="Complete",N3801*(1+'Operating costs'!$B$54)^-C3801,"n.a."))</f>
        <v>0</v>
      </c>
      <c r="R3801" s="16">
        <f>IF(NOT(Paths!$C$351=1),0,IF(Paths!$P$351="Complete",IF(AND(C3801=0,Paths!$E$351=0),I3801-J3801-K3801+VLOOKUP(A3801,'Fleet register'!$A$7:$S$106,15,FALSE)+VLOOKUP(A3801,'Fleet register'!$A$7:$S$106,16,FALSE),0),"n.a."))</f>
        <v>0</v>
      </c>
      <c r="S3801" s="1">
        <f>IF(NOT(Paths!$C$351=1),0,IF(Paths!$P$351="Complete",IF(C3801=0,0,Paths!$S$351*Paths!$R$351),"n.a."))</f>
        <v>0</v>
      </c>
      <c r="T3801" s="1">
        <f>IF(NOT(Paths!$C$351=1),0,IF(Paths!$P$351="Complete",IF(C3801=0,0,VLOOKUP(A3801,'Fleet register'!$A$7:$S$106,9,FALSE)*Paths!$R$351),"n.a."))</f>
        <v>0</v>
      </c>
    </row>
    <row r="3802" spans="1:20" ht="24" customHeight="1">
      <c r="A3802" s="1" t="str">
        <f>Paths!$A$352</f>
        <v>T087</v>
      </c>
      <c r="B3802" s="1">
        <f>Paths!$B$352</f>
        <v>1</v>
      </c>
      <c r="C3802" s="1">
        <v>0</v>
      </c>
      <c r="D3802" s="1">
        <v>352</v>
      </c>
      <c r="E3802" s="1">
        <f>IF(OR(Paths!$C$352=0,C3802=0),0,MAX(0,MIN(C3802*12,Paths!$E$352)-(C3802-1)*12))</f>
        <v>0</v>
      </c>
      <c r="F3802" s="1">
        <f>IF(OR(Paths!$C$352=0,C3802=0),0,12-E3802)</f>
        <v>0</v>
      </c>
      <c r="G3802" s="16">
        <f>IF(NOT(Paths!$C$352=1),0,IF(Paths!$P$352="Complete",E3802/12*(Paths!$J$352*(1+'Operating costs'!$B$51)^MAX(0,C3802-1)+Paths!$K$352*(1+'Operating costs'!$B$53)^MAX(0,C3802-1)),"n.a."))</f>
        <v>0</v>
      </c>
      <c r="H3802" s="16">
        <f>IF(NOT(Paths!$C$352=1),0,IF(Paths!$P$352="Complete",F3802/12*(Paths!$L$352*(1+IF(Paths!$D$352="EV",'Operating costs'!$B$52,'Operating costs'!$B$51))^MAX(0,C3802-1)+Paths!$M$352*(1+'Operating costs'!$B$53)^MAX(0,C3802-1)),"n.a."))</f>
        <v>0</v>
      </c>
      <c r="I3802" s="16">
        <f>IF(NOT(Paths!$C$352=1),0,IF(Paths!$P$352="Complete",IF(IF(Paths!$E$352=0,C3802=0,AND(C3802&gt;0,Paths!$E$352&gt;(C3802-1)*12,Paths!$E$352&lt;=C3802*12)),Paths!$G$352,0),"n.a."))</f>
        <v>0</v>
      </c>
      <c r="J3802" s="16">
        <f>IF(NOT(Paths!$C$352=1),0,IF(Paths!$P$352="Complete",IF(IF(Paths!$E$352=0,C3802=0,AND(C3802&gt;0,Paths!$E$352&gt;(C3802-1)*12,Paths!$E$352&lt;=C3802*12)),Paths!$H$352,0),"n.a."))</f>
        <v>0</v>
      </c>
      <c r="K3802" s="16">
        <f>IF(NOT(Paths!$C$352=1),0,IF(Paths!$P$352="Complete",IF(IF(Paths!$O$352=0,C3802=0,AND(C3802&gt;0,Paths!$O$352&gt;(C3802-1)*12,Paths!$O$352&lt;=C3802*12)),Paths!$N$352,0),"n.a."))</f>
        <v>0</v>
      </c>
      <c r="L3802" s="16">
        <f>IF(NOT(Paths!$C$352=1),0,IF(Paths!$P$352="Complete",IF(C3802=10,Paths!$I$352,0),"n.a."))</f>
        <v>0</v>
      </c>
      <c r="M3802" s="16">
        <f>IF(NOT(Paths!$C$352=1),0,IF(Paths!$P$352="Complete",IF(AND(Paths!$D$352="EV",Paths!$E$352&lt;120,Paths!$E$352+'Operating costs'!$B$65&gt;Paths!$E$352,Paths!$E$352+'Operating costs'!$B$65&lt;=120,IF(Paths!$E$352+'Operating costs'!$B$65=0,C3802=0,AND(C3802&gt;0,Paths!$E$352+'Operating costs'!$B$65&gt;(C3802-1)*12,Paths!$E$352+'Operating costs'!$B$65&lt;=C3802*12))),'Operating costs'!$B$64,0)+IF(AND('Operating costs'!$B$67&gt;0,'Operating costs'!$B$67&lt;=120,OR(Paths!$D$352="ICE",'Operating costs'!$B$67&lt;=Paths!$E$352),IF('Operating costs'!$B$67=0,C3802=0,AND(C3802&gt;0,'Operating costs'!$B$67&gt;(C3802-1)*12,'Operating costs'!$B$67&lt;=C3802*12))),'Operating costs'!$B$66,0),"n.a."))</f>
        <v>0</v>
      </c>
      <c r="N3802" s="16">
        <f>IF(NOT(Paths!$C$352=1),0,IF(Paths!$P$352="Complete",SUM(G3802:I3802)-J3802-K3802-L3802+M3802+IF(C3802=0,Paths!$F$352,0)+IF(IF(Paths!$E$352=0,C3802=0,AND(C3802&gt;0,Paths!$E$352&gt;(C3802-1)*12,Paths!$E$352&lt;=C3802*12)),VLOOKUP(A3802,'Fleet register'!$A$7:$S$106,16,FALSE),0),"n.a."))</f>
        <v>0</v>
      </c>
      <c r="O3802" s="16">
        <f>IF(NOT(Paths!$C$352=1),0,IF(Paths!$P$352="Complete",N3802-IF(C3802=0,Paths!$F$352,0),"n.a."))</f>
        <v>0</v>
      </c>
      <c r="P3802" s="16">
        <f>IF(NOT(Paths!$C$352=1),0,IF(Paths!$P$352="Complete",O3802+L3802,"n.a."))</f>
        <v>0</v>
      </c>
      <c r="Q3802" s="16">
        <f>IF(NOT(Paths!$C$352=1),0,IF(Paths!$P$352="Complete",N3802*(1+'Operating costs'!$B$54)^-C3802,"n.a."))</f>
        <v>0</v>
      </c>
      <c r="R3802" s="16">
        <f>IF(NOT(Paths!$C$352=1),0,IF(Paths!$P$352="Complete",IF(AND(C3802=0,Paths!$E$352=0),I3802-J3802-K3802+VLOOKUP(A3802,'Fleet register'!$A$7:$S$106,15,FALSE)+VLOOKUP(A3802,'Fleet register'!$A$7:$S$106,16,FALSE),0),"n.a."))</f>
        <v>0</v>
      </c>
      <c r="S3802" s="1">
        <f>IF(NOT(Paths!$C$352=1),0,IF(Paths!$P$352="Complete",IF(C3802=0,0,Paths!$S$352*Paths!$R$352),"n.a."))</f>
        <v>0</v>
      </c>
      <c r="T3802" s="1">
        <f>IF(NOT(Paths!$C$352=1),0,IF(Paths!$P$352="Complete",IF(C3802=0,0,VLOOKUP(A3802,'Fleet register'!$A$7:$S$106,9,FALSE)*Paths!$R$352),"n.a."))</f>
        <v>0</v>
      </c>
    </row>
    <row r="3803" spans="1:20" ht="24" customHeight="1">
      <c r="A3803" s="1" t="str">
        <f>Paths!$A$352</f>
        <v>T087</v>
      </c>
      <c r="B3803" s="1">
        <f>Paths!$B$352</f>
        <v>1</v>
      </c>
      <c r="C3803" s="1">
        <v>1</v>
      </c>
      <c r="D3803" s="1">
        <v>352</v>
      </c>
      <c r="E3803" s="1">
        <f>IF(OR(Paths!$C$352=0,C3803=0),0,MAX(0,MIN(C3803*12,Paths!$E$352)-(C3803-1)*12))</f>
        <v>0</v>
      </c>
      <c r="F3803" s="1">
        <f>IF(OR(Paths!$C$352=0,C3803=0),0,12-E3803)</f>
        <v>0</v>
      </c>
      <c r="G3803" s="16">
        <f>IF(NOT(Paths!$C$352=1),0,IF(Paths!$P$352="Complete",E3803/12*(Paths!$J$352*(1+'Operating costs'!$B$51)^MAX(0,C3803-1)+Paths!$K$352*(1+'Operating costs'!$B$53)^MAX(0,C3803-1)),"n.a."))</f>
        <v>0</v>
      </c>
      <c r="H3803" s="16">
        <f>IF(NOT(Paths!$C$352=1),0,IF(Paths!$P$352="Complete",F3803/12*(Paths!$L$352*(1+IF(Paths!$D$352="EV",'Operating costs'!$B$52,'Operating costs'!$B$51))^MAX(0,C3803-1)+Paths!$M$352*(1+'Operating costs'!$B$53)^MAX(0,C3803-1)),"n.a."))</f>
        <v>0</v>
      </c>
      <c r="I3803" s="16">
        <f>IF(NOT(Paths!$C$352=1),0,IF(Paths!$P$352="Complete",IF(IF(Paths!$E$352=0,C3803=0,AND(C3803&gt;0,Paths!$E$352&gt;(C3803-1)*12,Paths!$E$352&lt;=C3803*12)),Paths!$G$352,0),"n.a."))</f>
        <v>0</v>
      </c>
      <c r="J3803" s="16">
        <f>IF(NOT(Paths!$C$352=1),0,IF(Paths!$P$352="Complete",IF(IF(Paths!$E$352=0,C3803=0,AND(C3803&gt;0,Paths!$E$352&gt;(C3803-1)*12,Paths!$E$352&lt;=C3803*12)),Paths!$H$352,0),"n.a."))</f>
        <v>0</v>
      </c>
      <c r="K3803" s="16">
        <f>IF(NOT(Paths!$C$352=1),0,IF(Paths!$P$352="Complete",IF(IF(Paths!$O$352=0,C3803=0,AND(C3803&gt;0,Paths!$O$352&gt;(C3803-1)*12,Paths!$O$352&lt;=C3803*12)),Paths!$N$352,0),"n.a."))</f>
        <v>0</v>
      </c>
      <c r="L3803" s="16">
        <f>IF(NOT(Paths!$C$352=1),0,IF(Paths!$P$352="Complete",IF(C3803=10,Paths!$I$352,0),"n.a."))</f>
        <v>0</v>
      </c>
      <c r="M3803" s="16">
        <f>IF(NOT(Paths!$C$352=1),0,IF(Paths!$P$352="Complete",IF(AND(Paths!$D$352="EV",Paths!$E$352&lt;120,Paths!$E$352+'Operating costs'!$B$65&gt;Paths!$E$352,Paths!$E$352+'Operating costs'!$B$65&lt;=120,IF(Paths!$E$352+'Operating costs'!$B$65=0,C3803=0,AND(C3803&gt;0,Paths!$E$352+'Operating costs'!$B$65&gt;(C3803-1)*12,Paths!$E$352+'Operating costs'!$B$65&lt;=C3803*12))),'Operating costs'!$B$64,0)+IF(AND('Operating costs'!$B$67&gt;0,'Operating costs'!$B$67&lt;=120,OR(Paths!$D$352="ICE",'Operating costs'!$B$67&lt;=Paths!$E$352),IF('Operating costs'!$B$67=0,C3803=0,AND(C3803&gt;0,'Operating costs'!$B$67&gt;(C3803-1)*12,'Operating costs'!$B$67&lt;=C3803*12))),'Operating costs'!$B$66,0),"n.a."))</f>
        <v>0</v>
      </c>
      <c r="N3803" s="16">
        <f>IF(NOT(Paths!$C$352=1),0,IF(Paths!$P$352="Complete",SUM(G3803:I3803)-J3803-K3803-L3803+M3803+IF(C3803=0,Paths!$F$352,0)+IF(IF(Paths!$E$352=0,C3803=0,AND(C3803&gt;0,Paths!$E$352&gt;(C3803-1)*12,Paths!$E$352&lt;=C3803*12)),VLOOKUP(A3803,'Fleet register'!$A$7:$S$106,16,FALSE),0),"n.a."))</f>
        <v>0</v>
      </c>
      <c r="O3803" s="16">
        <f>IF(NOT(Paths!$C$352=1),0,IF(Paths!$P$352="Complete",N3803-IF(C3803=0,Paths!$F$352,0),"n.a."))</f>
        <v>0</v>
      </c>
      <c r="P3803" s="16">
        <f>IF(NOT(Paths!$C$352=1),0,IF(Paths!$P$352="Complete",O3803+L3803,"n.a."))</f>
        <v>0</v>
      </c>
      <c r="Q3803" s="16">
        <f>IF(NOT(Paths!$C$352=1),0,IF(Paths!$P$352="Complete",N3803*(1+'Operating costs'!$B$54)^-C3803,"n.a."))</f>
        <v>0</v>
      </c>
      <c r="R3803" s="16">
        <f>IF(NOT(Paths!$C$352=1),0,IF(Paths!$P$352="Complete",IF(AND(C3803=0,Paths!$E$352=0),I3803-J3803-K3803+VLOOKUP(A3803,'Fleet register'!$A$7:$S$106,15,FALSE)+VLOOKUP(A3803,'Fleet register'!$A$7:$S$106,16,FALSE),0),"n.a."))</f>
        <v>0</v>
      </c>
      <c r="S3803" s="1">
        <f>IF(NOT(Paths!$C$352=1),0,IF(Paths!$P$352="Complete",IF(C3803=0,0,Paths!$S$352*Paths!$R$352),"n.a."))</f>
        <v>0</v>
      </c>
      <c r="T3803" s="1">
        <f>IF(NOT(Paths!$C$352=1),0,IF(Paths!$P$352="Complete",IF(C3803=0,0,VLOOKUP(A3803,'Fleet register'!$A$7:$S$106,9,FALSE)*Paths!$R$352),"n.a."))</f>
        <v>0</v>
      </c>
    </row>
    <row r="3804" spans="1:20" ht="24" customHeight="1">
      <c r="A3804" s="1" t="str">
        <f>Paths!$A$352</f>
        <v>T087</v>
      </c>
      <c r="B3804" s="1">
        <f>Paths!$B$352</f>
        <v>1</v>
      </c>
      <c r="C3804" s="1">
        <v>2</v>
      </c>
      <c r="D3804" s="1">
        <v>352</v>
      </c>
      <c r="E3804" s="1">
        <f>IF(OR(Paths!$C$352=0,C3804=0),0,MAX(0,MIN(C3804*12,Paths!$E$352)-(C3804-1)*12))</f>
        <v>0</v>
      </c>
      <c r="F3804" s="1">
        <f>IF(OR(Paths!$C$352=0,C3804=0),0,12-E3804)</f>
        <v>0</v>
      </c>
      <c r="G3804" s="16">
        <f>IF(NOT(Paths!$C$352=1),0,IF(Paths!$P$352="Complete",E3804/12*(Paths!$J$352*(1+'Operating costs'!$B$51)^MAX(0,C3804-1)+Paths!$K$352*(1+'Operating costs'!$B$53)^MAX(0,C3804-1)),"n.a."))</f>
        <v>0</v>
      </c>
      <c r="H3804" s="16">
        <f>IF(NOT(Paths!$C$352=1),0,IF(Paths!$P$352="Complete",F3804/12*(Paths!$L$352*(1+IF(Paths!$D$352="EV",'Operating costs'!$B$52,'Operating costs'!$B$51))^MAX(0,C3804-1)+Paths!$M$352*(1+'Operating costs'!$B$53)^MAX(0,C3804-1)),"n.a."))</f>
        <v>0</v>
      </c>
      <c r="I3804" s="16">
        <f>IF(NOT(Paths!$C$352=1),0,IF(Paths!$P$352="Complete",IF(IF(Paths!$E$352=0,C3804=0,AND(C3804&gt;0,Paths!$E$352&gt;(C3804-1)*12,Paths!$E$352&lt;=C3804*12)),Paths!$G$352,0),"n.a."))</f>
        <v>0</v>
      </c>
      <c r="J3804" s="16">
        <f>IF(NOT(Paths!$C$352=1),0,IF(Paths!$P$352="Complete",IF(IF(Paths!$E$352=0,C3804=0,AND(C3804&gt;0,Paths!$E$352&gt;(C3804-1)*12,Paths!$E$352&lt;=C3804*12)),Paths!$H$352,0),"n.a."))</f>
        <v>0</v>
      </c>
      <c r="K3804" s="16">
        <f>IF(NOT(Paths!$C$352=1),0,IF(Paths!$P$352="Complete",IF(IF(Paths!$O$352=0,C3804=0,AND(C3804&gt;0,Paths!$O$352&gt;(C3804-1)*12,Paths!$O$352&lt;=C3804*12)),Paths!$N$352,0),"n.a."))</f>
        <v>0</v>
      </c>
      <c r="L3804" s="16">
        <f>IF(NOT(Paths!$C$352=1),0,IF(Paths!$P$352="Complete",IF(C3804=10,Paths!$I$352,0),"n.a."))</f>
        <v>0</v>
      </c>
      <c r="M3804" s="16">
        <f>IF(NOT(Paths!$C$352=1),0,IF(Paths!$P$352="Complete",IF(AND(Paths!$D$352="EV",Paths!$E$352&lt;120,Paths!$E$352+'Operating costs'!$B$65&gt;Paths!$E$352,Paths!$E$352+'Operating costs'!$B$65&lt;=120,IF(Paths!$E$352+'Operating costs'!$B$65=0,C3804=0,AND(C3804&gt;0,Paths!$E$352+'Operating costs'!$B$65&gt;(C3804-1)*12,Paths!$E$352+'Operating costs'!$B$65&lt;=C3804*12))),'Operating costs'!$B$64,0)+IF(AND('Operating costs'!$B$67&gt;0,'Operating costs'!$B$67&lt;=120,OR(Paths!$D$352="ICE",'Operating costs'!$B$67&lt;=Paths!$E$352),IF('Operating costs'!$B$67=0,C3804=0,AND(C3804&gt;0,'Operating costs'!$B$67&gt;(C3804-1)*12,'Operating costs'!$B$67&lt;=C3804*12))),'Operating costs'!$B$66,0),"n.a."))</f>
        <v>0</v>
      </c>
      <c r="N3804" s="16">
        <f>IF(NOT(Paths!$C$352=1),0,IF(Paths!$P$352="Complete",SUM(G3804:I3804)-J3804-K3804-L3804+M3804+IF(C3804=0,Paths!$F$352,0)+IF(IF(Paths!$E$352=0,C3804=0,AND(C3804&gt;0,Paths!$E$352&gt;(C3804-1)*12,Paths!$E$352&lt;=C3804*12)),VLOOKUP(A3804,'Fleet register'!$A$7:$S$106,16,FALSE),0),"n.a."))</f>
        <v>0</v>
      </c>
      <c r="O3804" s="16">
        <f>IF(NOT(Paths!$C$352=1),0,IF(Paths!$P$352="Complete",N3804-IF(C3804=0,Paths!$F$352,0),"n.a."))</f>
        <v>0</v>
      </c>
      <c r="P3804" s="16">
        <f>IF(NOT(Paths!$C$352=1),0,IF(Paths!$P$352="Complete",O3804+L3804,"n.a."))</f>
        <v>0</v>
      </c>
      <c r="Q3804" s="16">
        <f>IF(NOT(Paths!$C$352=1),0,IF(Paths!$P$352="Complete",N3804*(1+'Operating costs'!$B$54)^-C3804,"n.a."))</f>
        <v>0</v>
      </c>
      <c r="R3804" s="16">
        <f>IF(NOT(Paths!$C$352=1),0,IF(Paths!$P$352="Complete",IF(AND(C3804=0,Paths!$E$352=0),I3804-J3804-K3804+VLOOKUP(A3804,'Fleet register'!$A$7:$S$106,15,FALSE)+VLOOKUP(A3804,'Fleet register'!$A$7:$S$106,16,FALSE),0),"n.a."))</f>
        <v>0</v>
      </c>
      <c r="S3804" s="1">
        <f>IF(NOT(Paths!$C$352=1),0,IF(Paths!$P$352="Complete",IF(C3804=0,0,Paths!$S$352*Paths!$R$352),"n.a."))</f>
        <v>0</v>
      </c>
      <c r="T3804" s="1">
        <f>IF(NOT(Paths!$C$352=1),0,IF(Paths!$P$352="Complete",IF(C3804=0,0,VLOOKUP(A3804,'Fleet register'!$A$7:$S$106,9,FALSE)*Paths!$R$352),"n.a."))</f>
        <v>0</v>
      </c>
    </row>
    <row r="3805" spans="1:20" ht="24" customHeight="1">
      <c r="A3805" s="1" t="str">
        <f>Paths!$A$352</f>
        <v>T087</v>
      </c>
      <c r="B3805" s="1">
        <f>Paths!$B$352</f>
        <v>1</v>
      </c>
      <c r="C3805" s="1">
        <v>3</v>
      </c>
      <c r="D3805" s="1">
        <v>352</v>
      </c>
      <c r="E3805" s="1">
        <f>IF(OR(Paths!$C$352=0,C3805=0),0,MAX(0,MIN(C3805*12,Paths!$E$352)-(C3805-1)*12))</f>
        <v>0</v>
      </c>
      <c r="F3805" s="1">
        <f>IF(OR(Paths!$C$352=0,C3805=0),0,12-E3805)</f>
        <v>0</v>
      </c>
      <c r="G3805" s="16">
        <f>IF(NOT(Paths!$C$352=1),0,IF(Paths!$P$352="Complete",E3805/12*(Paths!$J$352*(1+'Operating costs'!$B$51)^MAX(0,C3805-1)+Paths!$K$352*(1+'Operating costs'!$B$53)^MAX(0,C3805-1)),"n.a."))</f>
        <v>0</v>
      </c>
      <c r="H3805" s="16">
        <f>IF(NOT(Paths!$C$352=1),0,IF(Paths!$P$352="Complete",F3805/12*(Paths!$L$352*(1+IF(Paths!$D$352="EV",'Operating costs'!$B$52,'Operating costs'!$B$51))^MAX(0,C3805-1)+Paths!$M$352*(1+'Operating costs'!$B$53)^MAX(0,C3805-1)),"n.a."))</f>
        <v>0</v>
      </c>
      <c r="I3805" s="16">
        <f>IF(NOT(Paths!$C$352=1),0,IF(Paths!$P$352="Complete",IF(IF(Paths!$E$352=0,C3805=0,AND(C3805&gt;0,Paths!$E$352&gt;(C3805-1)*12,Paths!$E$352&lt;=C3805*12)),Paths!$G$352,0),"n.a."))</f>
        <v>0</v>
      </c>
      <c r="J3805" s="16">
        <f>IF(NOT(Paths!$C$352=1),0,IF(Paths!$P$352="Complete",IF(IF(Paths!$E$352=0,C3805=0,AND(C3805&gt;0,Paths!$E$352&gt;(C3805-1)*12,Paths!$E$352&lt;=C3805*12)),Paths!$H$352,0),"n.a."))</f>
        <v>0</v>
      </c>
      <c r="K3805" s="16">
        <f>IF(NOT(Paths!$C$352=1),0,IF(Paths!$P$352="Complete",IF(IF(Paths!$O$352=0,C3805=0,AND(C3805&gt;0,Paths!$O$352&gt;(C3805-1)*12,Paths!$O$352&lt;=C3805*12)),Paths!$N$352,0),"n.a."))</f>
        <v>0</v>
      </c>
      <c r="L3805" s="16">
        <f>IF(NOT(Paths!$C$352=1),0,IF(Paths!$P$352="Complete",IF(C3805=10,Paths!$I$352,0),"n.a."))</f>
        <v>0</v>
      </c>
      <c r="M3805" s="16">
        <f>IF(NOT(Paths!$C$352=1),0,IF(Paths!$P$352="Complete",IF(AND(Paths!$D$352="EV",Paths!$E$352&lt;120,Paths!$E$352+'Operating costs'!$B$65&gt;Paths!$E$352,Paths!$E$352+'Operating costs'!$B$65&lt;=120,IF(Paths!$E$352+'Operating costs'!$B$65=0,C3805=0,AND(C3805&gt;0,Paths!$E$352+'Operating costs'!$B$65&gt;(C3805-1)*12,Paths!$E$352+'Operating costs'!$B$65&lt;=C3805*12))),'Operating costs'!$B$64,0)+IF(AND('Operating costs'!$B$67&gt;0,'Operating costs'!$B$67&lt;=120,OR(Paths!$D$352="ICE",'Operating costs'!$B$67&lt;=Paths!$E$352),IF('Operating costs'!$B$67=0,C3805=0,AND(C3805&gt;0,'Operating costs'!$B$67&gt;(C3805-1)*12,'Operating costs'!$B$67&lt;=C3805*12))),'Operating costs'!$B$66,0),"n.a."))</f>
        <v>0</v>
      </c>
      <c r="N3805" s="16">
        <f>IF(NOT(Paths!$C$352=1),0,IF(Paths!$P$352="Complete",SUM(G3805:I3805)-J3805-K3805-L3805+M3805+IF(C3805=0,Paths!$F$352,0)+IF(IF(Paths!$E$352=0,C3805=0,AND(C3805&gt;0,Paths!$E$352&gt;(C3805-1)*12,Paths!$E$352&lt;=C3805*12)),VLOOKUP(A3805,'Fleet register'!$A$7:$S$106,16,FALSE),0),"n.a."))</f>
        <v>0</v>
      </c>
      <c r="O3805" s="16">
        <f>IF(NOT(Paths!$C$352=1),0,IF(Paths!$P$352="Complete",N3805-IF(C3805=0,Paths!$F$352,0),"n.a."))</f>
        <v>0</v>
      </c>
      <c r="P3805" s="16">
        <f>IF(NOT(Paths!$C$352=1),0,IF(Paths!$P$352="Complete",O3805+L3805,"n.a."))</f>
        <v>0</v>
      </c>
      <c r="Q3805" s="16">
        <f>IF(NOT(Paths!$C$352=1),0,IF(Paths!$P$352="Complete",N3805*(1+'Operating costs'!$B$54)^-C3805,"n.a."))</f>
        <v>0</v>
      </c>
      <c r="R3805" s="16">
        <f>IF(NOT(Paths!$C$352=1),0,IF(Paths!$P$352="Complete",IF(AND(C3805=0,Paths!$E$352=0),I3805-J3805-K3805+VLOOKUP(A3805,'Fleet register'!$A$7:$S$106,15,FALSE)+VLOOKUP(A3805,'Fleet register'!$A$7:$S$106,16,FALSE),0),"n.a."))</f>
        <v>0</v>
      </c>
      <c r="S3805" s="1">
        <f>IF(NOT(Paths!$C$352=1),0,IF(Paths!$P$352="Complete",IF(C3805=0,0,Paths!$S$352*Paths!$R$352),"n.a."))</f>
        <v>0</v>
      </c>
      <c r="T3805" s="1">
        <f>IF(NOT(Paths!$C$352=1),0,IF(Paths!$P$352="Complete",IF(C3805=0,0,VLOOKUP(A3805,'Fleet register'!$A$7:$S$106,9,FALSE)*Paths!$R$352),"n.a."))</f>
        <v>0</v>
      </c>
    </row>
    <row r="3806" spans="1:20" ht="24" customHeight="1">
      <c r="A3806" s="1" t="str">
        <f>Paths!$A$352</f>
        <v>T087</v>
      </c>
      <c r="B3806" s="1">
        <f>Paths!$B$352</f>
        <v>1</v>
      </c>
      <c r="C3806" s="1">
        <v>4</v>
      </c>
      <c r="D3806" s="1">
        <v>352</v>
      </c>
      <c r="E3806" s="1">
        <f>IF(OR(Paths!$C$352=0,C3806=0),0,MAX(0,MIN(C3806*12,Paths!$E$352)-(C3806-1)*12))</f>
        <v>0</v>
      </c>
      <c r="F3806" s="1">
        <f>IF(OR(Paths!$C$352=0,C3806=0),0,12-E3806)</f>
        <v>0</v>
      </c>
      <c r="G3806" s="16">
        <f>IF(NOT(Paths!$C$352=1),0,IF(Paths!$P$352="Complete",E3806/12*(Paths!$J$352*(1+'Operating costs'!$B$51)^MAX(0,C3806-1)+Paths!$K$352*(1+'Operating costs'!$B$53)^MAX(0,C3806-1)),"n.a."))</f>
        <v>0</v>
      </c>
      <c r="H3806" s="16">
        <f>IF(NOT(Paths!$C$352=1),0,IF(Paths!$P$352="Complete",F3806/12*(Paths!$L$352*(1+IF(Paths!$D$352="EV",'Operating costs'!$B$52,'Operating costs'!$B$51))^MAX(0,C3806-1)+Paths!$M$352*(1+'Operating costs'!$B$53)^MAX(0,C3806-1)),"n.a."))</f>
        <v>0</v>
      </c>
      <c r="I3806" s="16">
        <f>IF(NOT(Paths!$C$352=1),0,IF(Paths!$P$352="Complete",IF(IF(Paths!$E$352=0,C3806=0,AND(C3806&gt;0,Paths!$E$352&gt;(C3806-1)*12,Paths!$E$352&lt;=C3806*12)),Paths!$G$352,0),"n.a."))</f>
        <v>0</v>
      </c>
      <c r="J3806" s="16">
        <f>IF(NOT(Paths!$C$352=1),0,IF(Paths!$P$352="Complete",IF(IF(Paths!$E$352=0,C3806=0,AND(C3806&gt;0,Paths!$E$352&gt;(C3806-1)*12,Paths!$E$352&lt;=C3806*12)),Paths!$H$352,0),"n.a."))</f>
        <v>0</v>
      </c>
      <c r="K3806" s="16">
        <f>IF(NOT(Paths!$C$352=1),0,IF(Paths!$P$352="Complete",IF(IF(Paths!$O$352=0,C3806=0,AND(C3806&gt;0,Paths!$O$352&gt;(C3806-1)*12,Paths!$O$352&lt;=C3806*12)),Paths!$N$352,0),"n.a."))</f>
        <v>0</v>
      </c>
      <c r="L3806" s="16">
        <f>IF(NOT(Paths!$C$352=1),0,IF(Paths!$P$352="Complete",IF(C3806=10,Paths!$I$352,0),"n.a."))</f>
        <v>0</v>
      </c>
      <c r="M3806" s="16">
        <f>IF(NOT(Paths!$C$352=1),0,IF(Paths!$P$352="Complete",IF(AND(Paths!$D$352="EV",Paths!$E$352&lt;120,Paths!$E$352+'Operating costs'!$B$65&gt;Paths!$E$352,Paths!$E$352+'Operating costs'!$B$65&lt;=120,IF(Paths!$E$352+'Operating costs'!$B$65=0,C3806=0,AND(C3806&gt;0,Paths!$E$352+'Operating costs'!$B$65&gt;(C3806-1)*12,Paths!$E$352+'Operating costs'!$B$65&lt;=C3806*12))),'Operating costs'!$B$64,0)+IF(AND('Operating costs'!$B$67&gt;0,'Operating costs'!$B$67&lt;=120,OR(Paths!$D$352="ICE",'Operating costs'!$B$67&lt;=Paths!$E$352),IF('Operating costs'!$B$67=0,C3806=0,AND(C3806&gt;0,'Operating costs'!$B$67&gt;(C3806-1)*12,'Operating costs'!$B$67&lt;=C3806*12))),'Operating costs'!$B$66,0),"n.a."))</f>
        <v>0</v>
      </c>
      <c r="N3806" s="16">
        <f>IF(NOT(Paths!$C$352=1),0,IF(Paths!$P$352="Complete",SUM(G3806:I3806)-J3806-K3806-L3806+M3806+IF(C3806=0,Paths!$F$352,0)+IF(IF(Paths!$E$352=0,C3806=0,AND(C3806&gt;0,Paths!$E$352&gt;(C3806-1)*12,Paths!$E$352&lt;=C3806*12)),VLOOKUP(A3806,'Fleet register'!$A$7:$S$106,16,FALSE),0),"n.a."))</f>
        <v>0</v>
      </c>
      <c r="O3806" s="16">
        <f>IF(NOT(Paths!$C$352=1),0,IF(Paths!$P$352="Complete",N3806-IF(C3806=0,Paths!$F$352,0),"n.a."))</f>
        <v>0</v>
      </c>
      <c r="P3806" s="16">
        <f>IF(NOT(Paths!$C$352=1),0,IF(Paths!$P$352="Complete",O3806+L3806,"n.a."))</f>
        <v>0</v>
      </c>
      <c r="Q3806" s="16">
        <f>IF(NOT(Paths!$C$352=1),0,IF(Paths!$P$352="Complete",N3806*(1+'Operating costs'!$B$54)^-C3806,"n.a."))</f>
        <v>0</v>
      </c>
      <c r="R3806" s="16">
        <f>IF(NOT(Paths!$C$352=1),0,IF(Paths!$P$352="Complete",IF(AND(C3806=0,Paths!$E$352=0),I3806-J3806-K3806+VLOOKUP(A3806,'Fleet register'!$A$7:$S$106,15,FALSE)+VLOOKUP(A3806,'Fleet register'!$A$7:$S$106,16,FALSE),0),"n.a."))</f>
        <v>0</v>
      </c>
      <c r="S3806" s="1">
        <f>IF(NOT(Paths!$C$352=1),0,IF(Paths!$P$352="Complete",IF(C3806=0,0,Paths!$S$352*Paths!$R$352),"n.a."))</f>
        <v>0</v>
      </c>
      <c r="T3806" s="1">
        <f>IF(NOT(Paths!$C$352=1),0,IF(Paths!$P$352="Complete",IF(C3806=0,0,VLOOKUP(A3806,'Fleet register'!$A$7:$S$106,9,FALSE)*Paths!$R$352),"n.a."))</f>
        <v>0</v>
      </c>
    </row>
    <row r="3807" spans="1:20" ht="24" customHeight="1">
      <c r="A3807" s="1" t="str">
        <f>Paths!$A$352</f>
        <v>T087</v>
      </c>
      <c r="B3807" s="1">
        <f>Paths!$B$352</f>
        <v>1</v>
      </c>
      <c r="C3807" s="1">
        <v>5</v>
      </c>
      <c r="D3807" s="1">
        <v>352</v>
      </c>
      <c r="E3807" s="1">
        <f>IF(OR(Paths!$C$352=0,C3807=0),0,MAX(0,MIN(C3807*12,Paths!$E$352)-(C3807-1)*12))</f>
        <v>0</v>
      </c>
      <c r="F3807" s="1">
        <f>IF(OR(Paths!$C$352=0,C3807=0),0,12-E3807)</f>
        <v>0</v>
      </c>
      <c r="G3807" s="16">
        <f>IF(NOT(Paths!$C$352=1),0,IF(Paths!$P$352="Complete",E3807/12*(Paths!$J$352*(1+'Operating costs'!$B$51)^MAX(0,C3807-1)+Paths!$K$352*(1+'Operating costs'!$B$53)^MAX(0,C3807-1)),"n.a."))</f>
        <v>0</v>
      </c>
      <c r="H3807" s="16">
        <f>IF(NOT(Paths!$C$352=1),0,IF(Paths!$P$352="Complete",F3807/12*(Paths!$L$352*(1+IF(Paths!$D$352="EV",'Operating costs'!$B$52,'Operating costs'!$B$51))^MAX(0,C3807-1)+Paths!$M$352*(1+'Operating costs'!$B$53)^MAX(0,C3807-1)),"n.a."))</f>
        <v>0</v>
      </c>
      <c r="I3807" s="16">
        <f>IF(NOT(Paths!$C$352=1),0,IF(Paths!$P$352="Complete",IF(IF(Paths!$E$352=0,C3807=0,AND(C3807&gt;0,Paths!$E$352&gt;(C3807-1)*12,Paths!$E$352&lt;=C3807*12)),Paths!$G$352,0),"n.a."))</f>
        <v>0</v>
      </c>
      <c r="J3807" s="16">
        <f>IF(NOT(Paths!$C$352=1),0,IF(Paths!$P$352="Complete",IF(IF(Paths!$E$352=0,C3807=0,AND(C3807&gt;0,Paths!$E$352&gt;(C3807-1)*12,Paths!$E$352&lt;=C3807*12)),Paths!$H$352,0),"n.a."))</f>
        <v>0</v>
      </c>
      <c r="K3807" s="16">
        <f>IF(NOT(Paths!$C$352=1),0,IF(Paths!$P$352="Complete",IF(IF(Paths!$O$352=0,C3807=0,AND(C3807&gt;0,Paths!$O$352&gt;(C3807-1)*12,Paths!$O$352&lt;=C3807*12)),Paths!$N$352,0),"n.a."))</f>
        <v>0</v>
      </c>
      <c r="L3807" s="16">
        <f>IF(NOT(Paths!$C$352=1),0,IF(Paths!$P$352="Complete",IF(C3807=10,Paths!$I$352,0),"n.a."))</f>
        <v>0</v>
      </c>
      <c r="M3807" s="16">
        <f>IF(NOT(Paths!$C$352=1),0,IF(Paths!$P$352="Complete",IF(AND(Paths!$D$352="EV",Paths!$E$352&lt;120,Paths!$E$352+'Operating costs'!$B$65&gt;Paths!$E$352,Paths!$E$352+'Operating costs'!$B$65&lt;=120,IF(Paths!$E$352+'Operating costs'!$B$65=0,C3807=0,AND(C3807&gt;0,Paths!$E$352+'Operating costs'!$B$65&gt;(C3807-1)*12,Paths!$E$352+'Operating costs'!$B$65&lt;=C3807*12))),'Operating costs'!$B$64,0)+IF(AND('Operating costs'!$B$67&gt;0,'Operating costs'!$B$67&lt;=120,OR(Paths!$D$352="ICE",'Operating costs'!$B$67&lt;=Paths!$E$352),IF('Operating costs'!$B$67=0,C3807=0,AND(C3807&gt;0,'Operating costs'!$B$67&gt;(C3807-1)*12,'Operating costs'!$B$67&lt;=C3807*12))),'Operating costs'!$B$66,0),"n.a."))</f>
        <v>0</v>
      </c>
      <c r="N3807" s="16">
        <f>IF(NOT(Paths!$C$352=1),0,IF(Paths!$P$352="Complete",SUM(G3807:I3807)-J3807-K3807-L3807+M3807+IF(C3807=0,Paths!$F$352,0)+IF(IF(Paths!$E$352=0,C3807=0,AND(C3807&gt;0,Paths!$E$352&gt;(C3807-1)*12,Paths!$E$352&lt;=C3807*12)),VLOOKUP(A3807,'Fleet register'!$A$7:$S$106,16,FALSE),0),"n.a."))</f>
        <v>0</v>
      </c>
      <c r="O3807" s="16">
        <f>IF(NOT(Paths!$C$352=1),0,IF(Paths!$P$352="Complete",N3807-IF(C3807=0,Paths!$F$352,0),"n.a."))</f>
        <v>0</v>
      </c>
      <c r="P3807" s="16">
        <f>IF(NOT(Paths!$C$352=1),0,IF(Paths!$P$352="Complete",O3807+L3807,"n.a."))</f>
        <v>0</v>
      </c>
      <c r="Q3807" s="16">
        <f>IF(NOT(Paths!$C$352=1),0,IF(Paths!$P$352="Complete",N3807*(1+'Operating costs'!$B$54)^-C3807,"n.a."))</f>
        <v>0</v>
      </c>
      <c r="R3807" s="16">
        <f>IF(NOT(Paths!$C$352=1),0,IF(Paths!$P$352="Complete",IF(AND(C3807=0,Paths!$E$352=0),I3807-J3807-K3807+VLOOKUP(A3807,'Fleet register'!$A$7:$S$106,15,FALSE)+VLOOKUP(A3807,'Fleet register'!$A$7:$S$106,16,FALSE),0),"n.a."))</f>
        <v>0</v>
      </c>
      <c r="S3807" s="1">
        <f>IF(NOT(Paths!$C$352=1),0,IF(Paths!$P$352="Complete",IF(C3807=0,0,Paths!$S$352*Paths!$R$352),"n.a."))</f>
        <v>0</v>
      </c>
      <c r="T3807" s="1">
        <f>IF(NOT(Paths!$C$352=1),0,IF(Paths!$P$352="Complete",IF(C3807=0,0,VLOOKUP(A3807,'Fleet register'!$A$7:$S$106,9,FALSE)*Paths!$R$352),"n.a."))</f>
        <v>0</v>
      </c>
    </row>
    <row r="3808" spans="1:20" ht="24" customHeight="1">
      <c r="A3808" s="1" t="str">
        <f>Paths!$A$352</f>
        <v>T087</v>
      </c>
      <c r="B3808" s="1">
        <f>Paths!$B$352</f>
        <v>1</v>
      </c>
      <c r="C3808" s="1">
        <v>6</v>
      </c>
      <c r="D3808" s="1">
        <v>352</v>
      </c>
      <c r="E3808" s="1">
        <f>IF(OR(Paths!$C$352=0,C3808=0),0,MAX(0,MIN(C3808*12,Paths!$E$352)-(C3808-1)*12))</f>
        <v>0</v>
      </c>
      <c r="F3808" s="1">
        <f>IF(OR(Paths!$C$352=0,C3808=0),0,12-E3808)</f>
        <v>0</v>
      </c>
      <c r="G3808" s="16">
        <f>IF(NOT(Paths!$C$352=1),0,IF(Paths!$P$352="Complete",E3808/12*(Paths!$J$352*(1+'Operating costs'!$B$51)^MAX(0,C3808-1)+Paths!$K$352*(1+'Operating costs'!$B$53)^MAX(0,C3808-1)),"n.a."))</f>
        <v>0</v>
      </c>
      <c r="H3808" s="16">
        <f>IF(NOT(Paths!$C$352=1),0,IF(Paths!$P$352="Complete",F3808/12*(Paths!$L$352*(1+IF(Paths!$D$352="EV",'Operating costs'!$B$52,'Operating costs'!$B$51))^MAX(0,C3808-1)+Paths!$M$352*(1+'Operating costs'!$B$53)^MAX(0,C3808-1)),"n.a."))</f>
        <v>0</v>
      </c>
      <c r="I3808" s="16">
        <f>IF(NOT(Paths!$C$352=1),0,IF(Paths!$P$352="Complete",IF(IF(Paths!$E$352=0,C3808=0,AND(C3808&gt;0,Paths!$E$352&gt;(C3808-1)*12,Paths!$E$352&lt;=C3808*12)),Paths!$G$352,0),"n.a."))</f>
        <v>0</v>
      </c>
      <c r="J3808" s="16">
        <f>IF(NOT(Paths!$C$352=1),0,IF(Paths!$P$352="Complete",IF(IF(Paths!$E$352=0,C3808=0,AND(C3808&gt;0,Paths!$E$352&gt;(C3808-1)*12,Paths!$E$352&lt;=C3808*12)),Paths!$H$352,0),"n.a."))</f>
        <v>0</v>
      </c>
      <c r="K3808" s="16">
        <f>IF(NOT(Paths!$C$352=1),0,IF(Paths!$P$352="Complete",IF(IF(Paths!$O$352=0,C3808=0,AND(C3808&gt;0,Paths!$O$352&gt;(C3808-1)*12,Paths!$O$352&lt;=C3808*12)),Paths!$N$352,0),"n.a."))</f>
        <v>0</v>
      </c>
      <c r="L3808" s="16">
        <f>IF(NOT(Paths!$C$352=1),0,IF(Paths!$P$352="Complete",IF(C3808=10,Paths!$I$352,0),"n.a."))</f>
        <v>0</v>
      </c>
      <c r="M3808" s="16">
        <f>IF(NOT(Paths!$C$352=1),0,IF(Paths!$P$352="Complete",IF(AND(Paths!$D$352="EV",Paths!$E$352&lt;120,Paths!$E$352+'Operating costs'!$B$65&gt;Paths!$E$352,Paths!$E$352+'Operating costs'!$B$65&lt;=120,IF(Paths!$E$352+'Operating costs'!$B$65=0,C3808=0,AND(C3808&gt;0,Paths!$E$352+'Operating costs'!$B$65&gt;(C3808-1)*12,Paths!$E$352+'Operating costs'!$B$65&lt;=C3808*12))),'Operating costs'!$B$64,0)+IF(AND('Operating costs'!$B$67&gt;0,'Operating costs'!$B$67&lt;=120,OR(Paths!$D$352="ICE",'Operating costs'!$B$67&lt;=Paths!$E$352),IF('Operating costs'!$B$67=0,C3808=0,AND(C3808&gt;0,'Operating costs'!$B$67&gt;(C3808-1)*12,'Operating costs'!$B$67&lt;=C3808*12))),'Operating costs'!$B$66,0),"n.a."))</f>
        <v>0</v>
      </c>
      <c r="N3808" s="16">
        <f>IF(NOT(Paths!$C$352=1),0,IF(Paths!$P$352="Complete",SUM(G3808:I3808)-J3808-K3808-L3808+M3808+IF(C3808=0,Paths!$F$352,0)+IF(IF(Paths!$E$352=0,C3808=0,AND(C3808&gt;0,Paths!$E$352&gt;(C3808-1)*12,Paths!$E$352&lt;=C3808*12)),VLOOKUP(A3808,'Fleet register'!$A$7:$S$106,16,FALSE),0),"n.a."))</f>
        <v>0</v>
      </c>
      <c r="O3808" s="16">
        <f>IF(NOT(Paths!$C$352=1),0,IF(Paths!$P$352="Complete",N3808-IF(C3808=0,Paths!$F$352,0),"n.a."))</f>
        <v>0</v>
      </c>
      <c r="P3808" s="16">
        <f>IF(NOT(Paths!$C$352=1),0,IF(Paths!$P$352="Complete",O3808+L3808,"n.a."))</f>
        <v>0</v>
      </c>
      <c r="Q3808" s="16">
        <f>IF(NOT(Paths!$C$352=1),0,IF(Paths!$P$352="Complete",N3808*(1+'Operating costs'!$B$54)^-C3808,"n.a."))</f>
        <v>0</v>
      </c>
      <c r="R3808" s="16">
        <f>IF(NOT(Paths!$C$352=1),0,IF(Paths!$P$352="Complete",IF(AND(C3808=0,Paths!$E$352=0),I3808-J3808-K3808+VLOOKUP(A3808,'Fleet register'!$A$7:$S$106,15,FALSE)+VLOOKUP(A3808,'Fleet register'!$A$7:$S$106,16,FALSE),0),"n.a."))</f>
        <v>0</v>
      </c>
      <c r="S3808" s="1">
        <f>IF(NOT(Paths!$C$352=1),0,IF(Paths!$P$352="Complete",IF(C3808=0,0,Paths!$S$352*Paths!$R$352),"n.a."))</f>
        <v>0</v>
      </c>
      <c r="T3808" s="1">
        <f>IF(NOT(Paths!$C$352=1),0,IF(Paths!$P$352="Complete",IF(C3808=0,0,VLOOKUP(A3808,'Fleet register'!$A$7:$S$106,9,FALSE)*Paths!$R$352),"n.a."))</f>
        <v>0</v>
      </c>
    </row>
    <row r="3809" spans="1:20" ht="24" customHeight="1">
      <c r="A3809" s="1" t="str">
        <f>Paths!$A$352</f>
        <v>T087</v>
      </c>
      <c r="B3809" s="1">
        <f>Paths!$B$352</f>
        <v>1</v>
      </c>
      <c r="C3809" s="1">
        <v>7</v>
      </c>
      <c r="D3809" s="1">
        <v>352</v>
      </c>
      <c r="E3809" s="1">
        <f>IF(OR(Paths!$C$352=0,C3809=0),0,MAX(0,MIN(C3809*12,Paths!$E$352)-(C3809-1)*12))</f>
        <v>0</v>
      </c>
      <c r="F3809" s="1">
        <f>IF(OR(Paths!$C$352=0,C3809=0),0,12-E3809)</f>
        <v>0</v>
      </c>
      <c r="G3809" s="16">
        <f>IF(NOT(Paths!$C$352=1),0,IF(Paths!$P$352="Complete",E3809/12*(Paths!$J$352*(1+'Operating costs'!$B$51)^MAX(0,C3809-1)+Paths!$K$352*(1+'Operating costs'!$B$53)^MAX(0,C3809-1)),"n.a."))</f>
        <v>0</v>
      </c>
      <c r="H3809" s="16">
        <f>IF(NOT(Paths!$C$352=1),0,IF(Paths!$P$352="Complete",F3809/12*(Paths!$L$352*(1+IF(Paths!$D$352="EV",'Operating costs'!$B$52,'Operating costs'!$B$51))^MAX(0,C3809-1)+Paths!$M$352*(1+'Operating costs'!$B$53)^MAX(0,C3809-1)),"n.a."))</f>
        <v>0</v>
      </c>
      <c r="I3809" s="16">
        <f>IF(NOT(Paths!$C$352=1),0,IF(Paths!$P$352="Complete",IF(IF(Paths!$E$352=0,C3809=0,AND(C3809&gt;0,Paths!$E$352&gt;(C3809-1)*12,Paths!$E$352&lt;=C3809*12)),Paths!$G$352,0),"n.a."))</f>
        <v>0</v>
      </c>
      <c r="J3809" s="16">
        <f>IF(NOT(Paths!$C$352=1),0,IF(Paths!$P$352="Complete",IF(IF(Paths!$E$352=0,C3809=0,AND(C3809&gt;0,Paths!$E$352&gt;(C3809-1)*12,Paths!$E$352&lt;=C3809*12)),Paths!$H$352,0),"n.a."))</f>
        <v>0</v>
      </c>
      <c r="K3809" s="16">
        <f>IF(NOT(Paths!$C$352=1),0,IF(Paths!$P$352="Complete",IF(IF(Paths!$O$352=0,C3809=0,AND(C3809&gt;0,Paths!$O$352&gt;(C3809-1)*12,Paths!$O$352&lt;=C3809*12)),Paths!$N$352,0),"n.a."))</f>
        <v>0</v>
      </c>
      <c r="L3809" s="16">
        <f>IF(NOT(Paths!$C$352=1),0,IF(Paths!$P$352="Complete",IF(C3809=10,Paths!$I$352,0),"n.a."))</f>
        <v>0</v>
      </c>
      <c r="M3809" s="16">
        <f>IF(NOT(Paths!$C$352=1),0,IF(Paths!$P$352="Complete",IF(AND(Paths!$D$352="EV",Paths!$E$352&lt;120,Paths!$E$352+'Operating costs'!$B$65&gt;Paths!$E$352,Paths!$E$352+'Operating costs'!$B$65&lt;=120,IF(Paths!$E$352+'Operating costs'!$B$65=0,C3809=0,AND(C3809&gt;0,Paths!$E$352+'Operating costs'!$B$65&gt;(C3809-1)*12,Paths!$E$352+'Operating costs'!$B$65&lt;=C3809*12))),'Operating costs'!$B$64,0)+IF(AND('Operating costs'!$B$67&gt;0,'Operating costs'!$B$67&lt;=120,OR(Paths!$D$352="ICE",'Operating costs'!$B$67&lt;=Paths!$E$352),IF('Operating costs'!$B$67=0,C3809=0,AND(C3809&gt;0,'Operating costs'!$B$67&gt;(C3809-1)*12,'Operating costs'!$B$67&lt;=C3809*12))),'Operating costs'!$B$66,0),"n.a."))</f>
        <v>0</v>
      </c>
      <c r="N3809" s="16">
        <f>IF(NOT(Paths!$C$352=1),0,IF(Paths!$P$352="Complete",SUM(G3809:I3809)-J3809-K3809-L3809+M3809+IF(C3809=0,Paths!$F$352,0)+IF(IF(Paths!$E$352=0,C3809=0,AND(C3809&gt;0,Paths!$E$352&gt;(C3809-1)*12,Paths!$E$352&lt;=C3809*12)),VLOOKUP(A3809,'Fleet register'!$A$7:$S$106,16,FALSE),0),"n.a."))</f>
        <v>0</v>
      </c>
      <c r="O3809" s="16">
        <f>IF(NOT(Paths!$C$352=1),0,IF(Paths!$P$352="Complete",N3809-IF(C3809=0,Paths!$F$352,0),"n.a."))</f>
        <v>0</v>
      </c>
      <c r="P3809" s="16">
        <f>IF(NOT(Paths!$C$352=1),0,IF(Paths!$P$352="Complete",O3809+L3809,"n.a."))</f>
        <v>0</v>
      </c>
      <c r="Q3809" s="16">
        <f>IF(NOT(Paths!$C$352=1),0,IF(Paths!$P$352="Complete",N3809*(1+'Operating costs'!$B$54)^-C3809,"n.a."))</f>
        <v>0</v>
      </c>
      <c r="R3809" s="16">
        <f>IF(NOT(Paths!$C$352=1),0,IF(Paths!$P$352="Complete",IF(AND(C3809=0,Paths!$E$352=0),I3809-J3809-K3809+VLOOKUP(A3809,'Fleet register'!$A$7:$S$106,15,FALSE)+VLOOKUP(A3809,'Fleet register'!$A$7:$S$106,16,FALSE),0),"n.a."))</f>
        <v>0</v>
      </c>
      <c r="S3809" s="1">
        <f>IF(NOT(Paths!$C$352=1),0,IF(Paths!$P$352="Complete",IF(C3809=0,0,Paths!$S$352*Paths!$R$352),"n.a."))</f>
        <v>0</v>
      </c>
      <c r="T3809" s="1">
        <f>IF(NOT(Paths!$C$352=1),0,IF(Paths!$P$352="Complete",IF(C3809=0,0,VLOOKUP(A3809,'Fleet register'!$A$7:$S$106,9,FALSE)*Paths!$R$352),"n.a."))</f>
        <v>0</v>
      </c>
    </row>
    <row r="3810" spans="1:20" ht="24" customHeight="1">
      <c r="A3810" s="1" t="str">
        <f>Paths!$A$352</f>
        <v>T087</v>
      </c>
      <c r="B3810" s="1">
        <f>Paths!$B$352</f>
        <v>1</v>
      </c>
      <c r="C3810" s="1">
        <v>8</v>
      </c>
      <c r="D3810" s="1">
        <v>352</v>
      </c>
      <c r="E3810" s="1">
        <f>IF(OR(Paths!$C$352=0,C3810=0),0,MAX(0,MIN(C3810*12,Paths!$E$352)-(C3810-1)*12))</f>
        <v>0</v>
      </c>
      <c r="F3810" s="1">
        <f>IF(OR(Paths!$C$352=0,C3810=0),0,12-E3810)</f>
        <v>0</v>
      </c>
      <c r="G3810" s="16">
        <f>IF(NOT(Paths!$C$352=1),0,IF(Paths!$P$352="Complete",E3810/12*(Paths!$J$352*(1+'Operating costs'!$B$51)^MAX(0,C3810-1)+Paths!$K$352*(1+'Operating costs'!$B$53)^MAX(0,C3810-1)),"n.a."))</f>
        <v>0</v>
      </c>
      <c r="H3810" s="16">
        <f>IF(NOT(Paths!$C$352=1),0,IF(Paths!$P$352="Complete",F3810/12*(Paths!$L$352*(1+IF(Paths!$D$352="EV",'Operating costs'!$B$52,'Operating costs'!$B$51))^MAX(0,C3810-1)+Paths!$M$352*(1+'Operating costs'!$B$53)^MAX(0,C3810-1)),"n.a."))</f>
        <v>0</v>
      </c>
      <c r="I3810" s="16">
        <f>IF(NOT(Paths!$C$352=1),0,IF(Paths!$P$352="Complete",IF(IF(Paths!$E$352=0,C3810=0,AND(C3810&gt;0,Paths!$E$352&gt;(C3810-1)*12,Paths!$E$352&lt;=C3810*12)),Paths!$G$352,0),"n.a."))</f>
        <v>0</v>
      </c>
      <c r="J3810" s="16">
        <f>IF(NOT(Paths!$C$352=1),0,IF(Paths!$P$352="Complete",IF(IF(Paths!$E$352=0,C3810=0,AND(C3810&gt;0,Paths!$E$352&gt;(C3810-1)*12,Paths!$E$352&lt;=C3810*12)),Paths!$H$352,0),"n.a."))</f>
        <v>0</v>
      </c>
      <c r="K3810" s="16">
        <f>IF(NOT(Paths!$C$352=1),0,IF(Paths!$P$352="Complete",IF(IF(Paths!$O$352=0,C3810=0,AND(C3810&gt;0,Paths!$O$352&gt;(C3810-1)*12,Paths!$O$352&lt;=C3810*12)),Paths!$N$352,0),"n.a."))</f>
        <v>0</v>
      </c>
      <c r="L3810" s="16">
        <f>IF(NOT(Paths!$C$352=1),0,IF(Paths!$P$352="Complete",IF(C3810=10,Paths!$I$352,0),"n.a."))</f>
        <v>0</v>
      </c>
      <c r="M3810" s="16">
        <f>IF(NOT(Paths!$C$352=1),0,IF(Paths!$P$352="Complete",IF(AND(Paths!$D$352="EV",Paths!$E$352&lt;120,Paths!$E$352+'Operating costs'!$B$65&gt;Paths!$E$352,Paths!$E$352+'Operating costs'!$B$65&lt;=120,IF(Paths!$E$352+'Operating costs'!$B$65=0,C3810=0,AND(C3810&gt;0,Paths!$E$352+'Operating costs'!$B$65&gt;(C3810-1)*12,Paths!$E$352+'Operating costs'!$B$65&lt;=C3810*12))),'Operating costs'!$B$64,0)+IF(AND('Operating costs'!$B$67&gt;0,'Operating costs'!$B$67&lt;=120,OR(Paths!$D$352="ICE",'Operating costs'!$B$67&lt;=Paths!$E$352),IF('Operating costs'!$B$67=0,C3810=0,AND(C3810&gt;0,'Operating costs'!$B$67&gt;(C3810-1)*12,'Operating costs'!$B$67&lt;=C3810*12))),'Operating costs'!$B$66,0),"n.a."))</f>
        <v>0</v>
      </c>
      <c r="N3810" s="16">
        <f>IF(NOT(Paths!$C$352=1),0,IF(Paths!$P$352="Complete",SUM(G3810:I3810)-J3810-K3810-L3810+M3810+IF(C3810=0,Paths!$F$352,0)+IF(IF(Paths!$E$352=0,C3810=0,AND(C3810&gt;0,Paths!$E$352&gt;(C3810-1)*12,Paths!$E$352&lt;=C3810*12)),VLOOKUP(A3810,'Fleet register'!$A$7:$S$106,16,FALSE),0),"n.a."))</f>
        <v>0</v>
      </c>
      <c r="O3810" s="16">
        <f>IF(NOT(Paths!$C$352=1),0,IF(Paths!$P$352="Complete",N3810-IF(C3810=0,Paths!$F$352,0),"n.a."))</f>
        <v>0</v>
      </c>
      <c r="P3810" s="16">
        <f>IF(NOT(Paths!$C$352=1),0,IF(Paths!$P$352="Complete",O3810+L3810,"n.a."))</f>
        <v>0</v>
      </c>
      <c r="Q3810" s="16">
        <f>IF(NOT(Paths!$C$352=1),0,IF(Paths!$P$352="Complete",N3810*(1+'Operating costs'!$B$54)^-C3810,"n.a."))</f>
        <v>0</v>
      </c>
      <c r="R3810" s="16">
        <f>IF(NOT(Paths!$C$352=1),0,IF(Paths!$P$352="Complete",IF(AND(C3810=0,Paths!$E$352=0),I3810-J3810-K3810+VLOOKUP(A3810,'Fleet register'!$A$7:$S$106,15,FALSE)+VLOOKUP(A3810,'Fleet register'!$A$7:$S$106,16,FALSE),0),"n.a."))</f>
        <v>0</v>
      </c>
      <c r="S3810" s="1">
        <f>IF(NOT(Paths!$C$352=1),0,IF(Paths!$P$352="Complete",IF(C3810=0,0,Paths!$S$352*Paths!$R$352),"n.a."))</f>
        <v>0</v>
      </c>
      <c r="T3810" s="1">
        <f>IF(NOT(Paths!$C$352=1),0,IF(Paths!$P$352="Complete",IF(C3810=0,0,VLOOKUP(A3810,'Fleet register'!$A$7:$S$106,9,FALSE)*Paths!$R$352),"n.a."))</f>
        <v>0</v>
      </c>
    </row>
    <row r="3811" spans="1:20" ht="24" customHeight="1">
      <c r="A3811" s="1" t="str">
        <f>Paths!$A$352</f>
        <v>T087</v>
      </c>
      <c r="B3811" s="1">
        <f>Paths!$B$352</f>
        <v>1</v>
      </c>
      <c r="C3811" s="1">
        <v>9</v>
      </c>
      <c r="D3811" s="1">
        <v>352</v>
      </c>
      <c r="E3811" s="1">
        <f>IF(OR(Paths!$C$352=0,C3811=0),0,MAX(0,MIN(C3811*12,Paths!$E$352)-(C3811-1)*12))</f>
        <v>0</v>
      </c>
      <c r="F3811" s="1">
        <f>IF(OR(Paths!$C$352=0,C3811=0),0,12-E3811)</f>
        <v>0</v>
      </c>
      <c r="G3811" s="16">
        <f>IF(NOT(Paths!$C$352=1),0,IF(Paths!$P$352="Complete",E3811/12*(Paths!$J$352*(1+'Operating costs'!$B$51)^MAX(0,C3811-1)+Paths!$K$352*(1+'Operating costs'!$B$53)^MAX(0,C3811-1)),"n.a."))</f>
        <v>0</v>
      </c>
      <c r="H3811" s="16">
        <f>IF(NOT(Paths!$C$352=1),0,IF(Paths!$P$352="Complete",F3811/12*(Paths!$L$352*(1+IF(Paths!$D$352="EV",'Operating costs'!$B$52,'Operating costs'!$B$51))^MAX(0,C3811-1)+Paths!$M$352*(1+'Operating costs'!$B$53)^MAX(0,C3811-1)),"n.a."))</f>
        <v>0</v>
      </c>
      <c r="I3811" s="16">
        <f>IF(NOT(Paths!$C$352=1),0,IF(Paths!$P$352="Complete",IF(IF(Paths!$E$352=0,C3811=0,AND(C3811&gt;0,Paths!$E$352&gt;(C3811-1)*12,Paths!$E$352&lt;=C3811*12)),Paths!$G$352,0),"n.a."))</f>
        <v>0</v>
      </c>
      <c r="J3811" s="16">
        <f>IF(NOT(Paths!$C$352=1),0,IF(Paths!$P$352="Complete",IF(IF(Paths!$E$352=0,C3811=0,AND(C3811&gt;0,Paths!$E$352&gt;(C3811-1)*12,Paths!$E$352&lt;=C3811*12)),Paths!$H$352,0),"n.a."))</f>
        <v>0</v>
      </c>
      <c r="K3811" s="16">
        <f>IF(NOT(Paths!$C$352=1),0,IF(Paths!$P$352="Complete",IF(IF(Paths!$O$352=0,C3811=0,AND(C3811&gt;0,Paths!$O$352&gt;(C3811-1)*12,Paths!$O$352&lt;=C3811*12)),Paths!$N$352,0),"n.a."))</f>
        <v>0</v>
      </c>
      <c r="L3811" s="16">
        <f>IF(NOT(Paths!$C$352=1),0,IF(Paths!$P$352="Complete",IF(C3811=10,Paths!$I$352,0),"n.a."))</f>
        <v>0</v>
      </c>
      <c r="M3811" s="16">
        <f>IF(NOT(Paths!$C$352=1),0,IF(Paths!$P$352="Complete",IF(AND(Paths!$D$352="EV",Paths!$E$352&lt;120,Paths!$E$352+'Operating costs'!$B$65&gt;Paths!$E$352,Paths!$E$352+'Operating costs'!$B$65&lt;=120,IF(Paths!$E$352+'Operating costs'!$B$65=0,C3811=0,AND(C3811&gt;0,Paths!$E$352+'Operating costs'!$B$65&gt;(C3811-1)*12,Paths!$E$352+'Operating costs'!$B$65&lt;=C3811*12))),'Operating costs'!$B$64,0)+IF(AND('Operating costs'!$B$67&gt;0,'Operating costs'!$B$67&lt;=120,OR(Paths!$D$352="ICE",'Operating costs'!$B$67&lt;=Paths!$E$352),IF('Operating costs'!$B$67=0,C3811=0,AND(C3811&gt;0,'Operating costs'!$B$67&gt;(C3811-1)*12,'Operating costs'!$B$67&lt;=C3811*12))),'Operating costs'!$B$66,0),"n.a."))</f>
        <v>0</v>
      </c>
      <c r="N3811" s="16">
        <f>IF(NOT(Paths!$C$352=1),0,IF(Paths!$P$352="Complete",SUM(G3811:I3811)-J3811-K3811-L3811+M3811+IF(C3811=0,Paths!$F$352,0)+IF(IF(Paths!$E$352=0,C3811=0,AND(C3811&gt;0,Paths!$E$352&gt;(C3811-1)*12,Paths!$E$352&lt;=C3811*12)),VLOOKUP(A3811,'Fleet register'!$A$7:$S$106,16,FALSE),0),"n.a."))</f>
        <v>0</v>
      </c>
      <c r="O3811" s="16">
        <f>IF(NOT(Paths!$C$352=1),0,IF(Paths!$P$352="Complete",N3811-IF(C3811=0,Paths!$F$352,0),"n.a."))</f>
        <v>0</v>
      </c>
      <c r="P3811" s="16">
        <f>IF(NOT(Paths!$C$352=1),0,IF(Paths!$P$352="Complete",O3811+L3811,"n.a."))</f>
        <v>0</v>
      </c>
      <c r="Q3811" s="16">
        <f>IF(NOT(Paths!$C$352=1),0,IF(Paths!$P$352="Complete",N3811*(1+'Operating costs'!$B$54)^-C3811,"n.a."))</f>
        <v>0</v>
      </c>
      <c r="R3811" s="16">
        <f>IF(NOT(Paths!$C$352=1),0,IF(Paths!$P$352="Complete",IF(AND(C3811=0,Paths!$E$352=0),I3811-J3811-K3811+VLOOKUP(A3811,'Fleet register'!$A$7:$S$106,15,FALSE)+VLOOKUP(A3811,'Fleet register'!$A$7:$S$106,16,FALSE),0),"n.a."))</f>
        <v>0</v>
      </c>
      <c r="S3811" s="1">
        <f>IF(NOT(Paths!$C$352=1),0,IF(Paths!$P$352="Complete",IF(C3811=0,0,Paths!$S$352*Paths!$R$352),"n.a."))</f>
        <v>0</v>
      </c>
      <c r="T3811" s="1">
        <f>IF(NOT(Paths!$C$352=1),0,IF(Paths!$P$352="Complete",IF(C3811=0,0,VLOOKUP(A3811,'Fleet register'!$A$7:$S$106,9,FALSE)*Paths!$R$352),"n.a."))</f>
        <v>0</v>
      </c>
    </row>
    <row r="3812" spans="1:20" ht="24" customHeight="1">
      <c r="A3812" s="1" t="str">
        <f>Paths!$A$352</f>
        <v>T087</v>
      </c>
      <c r="B3812" s="1">
        <f>Paths!$B$352</f>
        <v>1</v>
      </c>
      <c r="C3812" s="1">
        <v>10</v>
      </c>
      <c r="D3812" s="1">
        <v>352</v>
      </c>
      <c r="E3812" s="1">
        <f>IF(OR(Paths!$C$352=0,C3812=0),0,MAX(0,MIN(C3812*12,Paths!$E$352)-(C3812-1)*12))</f>
        <v>0</v>
      </c>
      <c r="F3812" s="1">
        <f>IF(OR(Paths!$C$352=0,C3812=0),0,12-E3812)</f>
        <v>0</v>
      </c>
      <c r="G3812" s="16">
        <f>IF(NOT(Paths!$C$352=1),0,IF(Paths!$P$352="Complete",E3812/12*(Paths!$J$352*(1+'Operating costs'!$B$51)^MAX(0,C3812-1)+Paths!$K$352*(1+'Operating costs'!$B$53)^MAX(0,C3812-1)),"n.a."))</f>
        <v>0</v>
      </c>
      <c r="H3812" s="16">
        <f>IF(NOT(Paths!$C$352=1),0,IF(Paths!$P$352="Complete",F3812/12*(Paths!$L$352*(1+IF(Paths!$D$352="EV",'Operating costs'!$B$52,'Operating costs'!$B$51))^MAX(0,C3812-1)+Paths!$M$352*(1+'Operating costs'!$B$53)^MAX(0,C3812-1)),"n.a."))</f>
        <v>0</v>
      </c>
      <c r="I3812" s="16">
        <f>IF(NOT(Paths!$C$352=1),0,IF(Paths!$P$352="Complete",IF(IF(Paths!$E$352=0,C3812=0,AND(C3812&gt;0,Paths!$E$352&gt;(C3812-1)*12,Paths!$E$352&lt;=C3812*12)),Paths!$G$352,0),"n.a."))</f>
        <v>0</v>
      </c>
      <c r="J3812" s="16">
        <f>IF(NOT(Paths!$C$352=1),0,IF(Paths!$P$352="Complete",IF(IF(Paths!$E$352=0,C3812=0,AND(C3812&gt;0,Paths!$E$352&gt;(C3812-1)*12,Paths!$E$352&lt;=C3812*12)),Paths!$H$352,0),"n.a."))</f>
        <v>0</v>
      </c>
      <c r="K3812" s="16">
        <f>IF(NOT(Paths!$C$352=1),0,IF(Paths!$P$352="Complete",IF(IF(Paths!$O$352=0,C3812=0,AND(C3812&gt;0,Paths!$O$352&gt;(C3812-1)*12,Paths!$O$352&lt;=C3812*12)),Paths!$N$352,0),"n.a."))</f>
        <v>0</v>
      </c>
      <c r="L3812" s="16">
        <f>IF(NOT(Paths!$C$352=1),0,IF(Paths!$P$352="Complete",IF(C3812=10,Paths!$I$352,0),"n.a."))</f>
        <v>0</v>
      </c>
      <c r="M3812" s="16">
        <f>IF(NOT(Paths!$C$352=1),0,IF(Paths!$P$352="Complete",IF(AND(Paths!$D$352="EV",Paths!$E$352&lt;120,Paths!$E$352+'Operating costs'!$B$65&gt;Paths!$E$352,Paths!$E$352+'Operating costs'!$B$65&lt;=120,IF(Paths!$E$352+'Operating costs'!$B$65=0,C3812=0,AND(C3812&gt;0,Paths!$E$352+'Operating costs'!$B$65&gt;(C3812-1)*12,Paths!$E$352+'Operating costs'!$B$65&lt;=C3812*12))),'Operating costs'!$B$64,0)+IF(AND('Operating costs'!$B$67&gt;0,'Operating costs'!$B$67&lt;=120,OR(Paths!$D$352="ICE",'Operating costs'!$B$67&lt;=Paths!$E$352),IF('Operating costs'!$B$67=0,C3812=0,AND(C3812&gt;0,'Operating costs'!$B$67&gt;(C3812-1)*12,'Operating costs'!$B$67&lt;=C3812*12))),'Operating costs'!$B$66,0),"n.a."))</f>
        <v>0</v>
      </c>
      <c r="N3812" s="16">
        <f>IF(NOT(Paths!$C$352=1),0,IF(Paths!$P$352="Complete",SUM(G3812:I3812)-J3812-K3812-L3812+M3812+IF(C3812=0,Paths!$F$352,0)+IF(IF(Paths!$E$352=0,C3812=0,AND(C3812&gt;0,Paths!$E$352&gt;(C3812-1)*12,Paths!$E$352&lt;=C3812*12)),VLOOKUP(A3812,'Fleet register'!$A$7:$S$106,16,FALSE),0),"n.a."))</f>
        <v>0</v>
      </c>
      <c r="O3812" s="16">
        <f>IF(NOT(Paths!$C$352=1),0,IF(Paths!$P$352="Complete",N3812-IF(C3812=0,Paths!$F$352,0),"n.a."))</f>
        <v>0</v>
      </c>
      <c r="P3812" s="16">
        <f>IF(NOT(Paths!$C$352=1),0,IF(Paths!$P$352="Complete",O3812+L3812,"n.a."))</f>
        <v>0</v>
      </c>
      <c r="Q3812" s="16">
        <f>IF(NOT(Paths!$C$352=1),0,IF(Paths!$P$352="Complete",N3812*(1+'Operating costs'!$B$54)^-C3812,"n.a."))</f>
        <v>0</v>
      </c>
      <c r="R3812" s="16">
        <f>IF(NOT(Paths!$C$352=1),0,IF(Paths!$P$352="Complete",IF(AND(C3812=0,Paths!$E$352=0),I3812-J3812-K3812+VLOOKUP(A3812,'Fleet register'!$A$7:$S$106,15,FALSE)+VLOOKUP(A3812,'Fleet register'!$A$7:$S$106,16,FALSE),0),"n.a."))</f>
        <v>0</v>
      </c>
      <c r="S3812" s="1">
        <f>IF(NOT(Paths!$C$352=1),0,IF(Paths!$P$352="Complete",IF(C3812=0,0,Paths!$S$352*Paths!$R$352),"n.a."))</f>
        <v>0</v>
      </c>
      <c r="T3812" s="1">
        <f>IF(NOT(Paths!$C$352=1),0,IF(Paths!$P$352="Complete",IF(C3812=0,0,VLOOKUP(A3812,'Fleet register'!$A$7:$S$106,9,FALSE)*Paths!$R$352),"n.a."))</f>
        <v>0</v>
      </c>
    </row>
    <row r="3813" spans="1:20" ht="24" customHeight="1">
      <c r="A3813" s="1" t="str">
        <f>Paths!$A$353</f>
        <v>T087</v>
      </c>
      <c r="B3813" s="1">
        <f>Paths!$B$353</f>
        <v>2</v>
      </c>
      <c r="C3813" s="1">
        <v>0</v>
      </c>
      <c r="D3813" s="1">
        <v>353</v>
      </c>
      <c r="E3813" s="1">
        <f>IF(OR(Paths!$C$353=0,C3813=0),0,MAX(0,MIN(C3813*12,Paths!$E$353)-(C3813-1)*12))</f>
        <v>0</v>
      </c>
      <c r="F3813" s="1">
        <f>IF(OR(Paths!$C$353=0,C3813=0),0,12-E3813)</f>
        <v>0</v>
      </c>
      <c r="G3813" s="16">
        <f>IF(NOT(Paths!$C$353=1),0,IF(Paths!$P$353="Complete",E3813/12*(Paths!$J$353*(1+'Operating costs'!$B$51)^MAX(0,C3813-1)+Paths!$K$353*(1+'Operating costs'!$B$53)^MAX(0,C3813-1)),"n.a."))</f>
        <v>0</v>
      </c>
      <c r="H3813" s="16">
        <f>IF(NOT(Paths!$C$353=1),0,IF(Paths!$P$353="Complete",F3813/12*(Paths!$L$353*(1+IF(Paths!$D$353="EV",'Operating costs'!$B$52,'Operating costs'!$B$51))^MAX(0,C3813-1)+Paths!$M$353*(1+'Operating costs'!$B$53)^MAX(0,C3813-1)),"n.a."))</f>
        <v>0</v>
      </c>
      <c r="I3813" s="16">
        <f>IF(NOT(Paths!$C$353=1),0,IF(Paths!$P$353="Complete",IF(IF(Paths!$E$353=0,C3813=0,AND(C3813&gt;0,Paths!$E$353&gt;(C3813-1)*12,Paths!$E$353&lt;=C3813*12)),Paths!$G$353,0),"n.a."))</f>
        <v>0</v>
      </c>
      <c r="J3813" s="16">
        <f>IF(NOT(Paths!$C$353=1),0,IF(Paths!$P$353="Complete",IF(IF(Paths!$E$353=0,C3813=0,AND(C3813&gt;0,Paths!$E$353&gt;(C3813-1)*12,Paths!$E$353&lt;=C3813*12)),Paths!$H$353,0),"n.a."))</f>
        <v>0</v>
      </c>
      <c r="K3813" s="16">
        <f>IF(NOT(Paths!$C$353=1),0,IF(Paths!$P$353="Complete",IF(IF(Paths!$O$353=0,C3813=0,AND(C3813&gt;0,Paths!$O$353&gt;(C3813-1)*12,Paths!$O$353&lt;=C3813*12)),Paths!$N$353,0),"n.a."))</f>
        <v>0</v>
      </c>
      <c r="L3813" s="16">
        <f>IF(NOT(Paths!$C$353=1),0,IF(Paths!$P$353="Complete",IF(C3813=10,Paths!$I$353,0),"n.a."))</f>
        <v>0</v>
      </c>
      <c r="M3813" s="16">
        <f>IF(NOT(Paths!$C$353=1),0,IF(Paths!$P$353="Complete",IF(AND(Paths!$D$353="EV",Paths!$E$353&lt;120,Paths!$E$353+'Operating costs'!$B$65&gt;Paths!$E$353,Paths!$E$353+'Operating costs'!$B$65&lt;=120,IF(Paths!$E$353+'Operating costs'!$B$65=0,C3813=0,AND(C3813&gt;0,Paths!$E$353+'Operating costs'!$B$65&gt;(C3813-1)*12,Paths!$E$353+'Operating costs'!$B$65&lt;=C3813*12))),'Operating costs'!$B$64,0)+IF(AND('Operating costs'!$B$67&gt;0,'Operating costs'!$B$67&lt;=120,OR(Paths!$D$353="ICE",'Operating costs'!$B$67&lt;=Paths!$E$353),IF('Operating costs'!$B$67=0,C3813=0,AND(C3813&gt;0,'Operating costs'!$B$67&gt;(C3813-1)*12,'Operating costs'!$B$67&lt;=C3813*12))),'Operating costs'!$B$66,0),"n.a."))</f>
        <v>0</v>
      </c>
      <c r="N3813" s="16">
        <f>IF(NOT(Paths!$C$353=1),0,IF(Paths!$P$353="Complete",SUM(G3813:I3813)-J3813-K3813-L3813+M3813+IF(C3813=0,Paths!$F$353,0)+IF(IF(Paths!$E$353=0,C3813=0,AND(C3813&gt;0,Paths!$E$353&gt;(C3813-1)*12,Paths!$E$353&lt;=C3813*12)),VLOOKUP(A3813,'Fleet register'!$A$7:$S$106,16,FALSE),0),"n.a."))</f>
        <v>0</v>
      </c>
      <c r="O3813" s="16">
        <f>IF(NOT(Paths!$C$353=1),0,IF(Paths!$P$353="Complete",N3813-IF(C3813=0,Paths!$F$353,0),"n.a."))</f>
        <v>0</v>
      </c>
      <c r="P3813" s="16">
        <f>IF(NOT(Paths!$C$353=1),0,IF(Paths!$P$353="Complete",O3813+L3813,"n.a."))</f>
        <v>0</v>
      </c>
      <c r="Q3813" s="16">
        <f>IF(NOT(Paths!$C$353=1),0,IF(Paths!$P$353="Complete",N3813*(1+'Operating costs'!$B$54)^-C3813,"n.a."))</f>
        <v>0</v>
      </c>
      <c r="R3813" s="16">
        <f>IF(NOT(Paths!$C$353=1),0,IF(Paths!$P$353="Complete",IF(AND(C3813=0,Paths!$E$353=0),I3813-J3813-K3813+VLOOKUP(A3813,'Fleet register'!$A$7:$S$106,15,FALSE)+VLOOKUP(A3813,'Fleet register'!$A$7:$S$106,16,FALSE),0),"n.a."))</f>
        <v>0</v>
      </c>
      <c r="S3813" s="1">
        <f>IF(NOT(Paths!$C$353=1),0,IF(Paths!$P$353="Complete",IF(C3813=0,0,Paths!$S$353*Paths!$R$353),"n.a."))</f>
        <v>0</v>
      </c>
      <c r="T3813" s="1">
        <f>IF(NOT(Paths!$C$353=1),0,IF(Paths!$P$353="Complete",IF(C3813=0,0,VLOOKUP(A3813,'Fleet register'!$A$7:$S$106,9,FALSE)*Paths!$R$353),"n.a."))</f>
        <v>0</v>
      </c>
    </row>
    <row r="3814" spans="1:20" ht="24" customHeight="1">
      <c r="A3814" s="1" t="str">
        <f>Paths!$A$353</f>
        <v>T087</v>
      </c>
      <c r="B3814" s="1">
        <f>Paths!$B$353</f>
        <v>2</v>
      </c>
      <c r="C3814" s="1">
        <v>1</v>
      </c>
      <c r="D3814" s="1">
        <v>353</v>
      </c>
      <c r="E3814" s="1">
        <f>IF(OR(Paths!$C$353=0,C3814=0),0,MAX(0,MIN(C3814*12,Paths!$E$353)-(C3814-1)*12))</f>
        <v>0</v>
      </c>
      <c r="F3814" s="1">
        <f>IF(OR(Paths!$C$353=0,C3814=0),0,12-E3814)</f>
        <v>0</v>
      </c>
      <c r="G3814" s="16">
        <f>IF(NOT(Paths!$C$353=1),0,IF(Paths!$P$353="Complete",E3814/12*(Paths!$J$353*(1+'Operating costs'!$B$51)^MAX(0,C3814-1)+Paths!$K$353*(1+'Operating costs'!$B$53)^MAX(0,C3814-1)),"n.a."))</f>
        <v>0</v>
      </c>
      <c r="H3814" s="16">
        <f>IF(NOT(Paths!$C$353=1),0,IF(Paths!$P$353="Complete",F3814/12*(Paths!$L$353*(1+IF(Paths!$D$353="EV",'Operating costs'!$B$52,'Operating costs'!$B$51))^MAX(0,C3814-1)+Paths!$M$353*(1+'Operating costs'!$B$53)^MAX(0,C3814-1)),"n.a."))</f>
        <v>0</v>
      </c>
      <c r="I3814" s="16">
        <f>IF(NOT(Paths!$C$353=1),0,IF(Paths!$P$353="Complete",IF(IF(Paths!$E$353=0,C3814=0,AND(C3814&gt;0,Paths!$E$353&gt;(C3814-1)*12,Paths!$E$353&lt;=C3814*12)),Paths!$G$353,0),"n.a."))</f>
        <v>0</v>
      </c>
      <c r="J3814" s="16">
        <f>IF(NOT(Paths!$C$353=1),0,IF(Paths!$P$353="Complete",IF(IF(Paths!$E$353=0,C3814=0,AND(C3814&gt;0,Paths!$E$353&gt;(C3814-1)*12,Paths!$E$353&lt;=C3814*12)),Paths!$H$353,0),"n.a."))</f>
        <v>0</v>
      </c>
      <c r="K3814" s="16">
        <f>IF(NOT(Paths!$C$353=1),0,IF(Paths!$P$353="Complete",IF(IF(Paths!$O$353=0,C3814=0,AND(C3814&gt;0,Paths!$O$353&gt;(C3814-1)*12,Paths!$O$353&lt;=C3814*12)),Paths!$N$353,0),"n.a."))</f>
        <v>0</v>
      </c>
      <c r="L3814" s="16">
        <f>IF(NOT(Paths!$C$353=1),0,IF(Paths!$P$353="Complete",IF(C3814=10,Paths!$I$353,0),"n.a."))</f>
        <v>0</v>
      </c>
      <c r="M3814" s="16">
        <f>IF(NOT(Paths!$C$353=1),0,IF(Paths!$P$353="Complete",IF(AND(Paths!$D$353="EV",Paths!$E$353&lt;120,Paths!$E$353+'Operating costs'!$B$65&gt;Paths!$E$353,Paths!$E$353+'Operating costs'!$B$65&lt;=120,IF(Paths!$E$353+'Operating costs'!$B$65=0,C3814=0,AND(C3814&gt;0,Paths!$E$353+'Operating costs'!$B$65&gt;(C3814-1)*12,Paths!$E$353+'Operating costs'!$B$65&lt;=C3814*12))),'Operating costs'!$B$64,0)+IF(AND('Operating costs'!$B$67&gt;0,'Operating costs'!$B$67&lt;=120,OR(Paths!$D$353="ICE",'Operating costs'!$B$67&lt;=Paths!$E$353),IF('Operating costs'!$B$67=0,C3814=0,AND(C3814&gt;0,'Operating costs'!$B$67&gt;(C3814-1)*12,'Operating costs'!$B$67&lt;=C3814*12))),'Operating costs'!$B$66,0),"n.a."))</f>
        <v>0</v>
      </c>
      <c r="N3814" s="16">
        <f>IF(NOT(Paths!$C$353=1),0,IF(Paths!$P$353="Complete",SUM(G3814:I3814)-J3814-K3814-L3814+M3814+IF(C3814=0,Paths!$F$353,0)+IF(IF(Paths!$E$353=0,C3814=0,AND(C3814&gt;0,Paths!$E$353&gt;(C3814-1)*12,Paths!$E$353&lt;=C3814*12)),VLOOKUP(A3814,'Fleet register'!$A$7:$S$106,16,FALSE),0),"n.a."))</f>
        <v>0</v>
      </c>
      <c r="O3814" s="16">
        <f>IF(NOT(Paths!$C$353=1),0,IF(Paths!$P$353="Complete",N3814-IF(C3814=0,Paths!$F$353,0),"n.a."))</f>
        <v>0</v>
      </c>
      <c r="P3814" s="16">
        <f>IF(NOT(Paths!$C$353=1),0,IF(Paths!$P$353="Complete",O3814+L3814,"n.a."))</f>
        <v>0</v>
      </c>
      <c r="Q3814" s="16">
        <f>IF(NOT(Paths!$C$353=1),0,IF(Paths!$P$353="Complete",N3814*(1+'Operating costs'!$B$54)^-C3814,"n.a."))</f>
        <v>0</v>
      </c>
      <c r="R3814" s="16">
        <f>IF(NOT(Paths!$C$353=1),0,IF(Paths!$P$353="Complete",IF(AND(C3814=0,Paths!$E$353=0),I3814-J3814-K3814+VLOOKUP(A3814,'Fleet register'!$A$7:$S$106,15,FALSE)+VLOOKUP(A3814,'Fleet register'!$A$7:$S$106,16,FALSE),0),"n.a."))</f>
        <v>0</v>
      </c>
      <c r="S3814" s="1">
        <f>IF(NOT(Paths!$C$353=1),0,IF(Paths!$P$353="Complete",IF(C3814=0,0,Paths!$S$353*Paths!$R$353),"n.a."))</f>
        <v>0</v>
      </c>
      <c r="T3814" s="1">
        <f>IF(NOT(Paths!$C$353=1),0,IF(Paths!$P$353="Complete",IF(C3814=0,0,VLOOKUP(A3814,'Fleet register'!$A$7:$S$106,9,FALSE)*Paths!$R$353),"n.a."))</f>
        <v>0</v>
      </c>
    </row>
    <row r="3815" spans="1:20" ht="24" customHeight="1">
      <c r="A3815" s="1" t="str">
        <f>Paths!$A$353</f>
        <v>T087</v>
      </c>
      <c r="B3815" s="1">
        <f>Paths!$B$353</f>
        <v>2</v>
      </c>
      <c r="C3815" s="1">
        <v>2</v>
      </c>
      <c r="D3815" s="1">
        <v>353</v>
      </c>
      <c r="E3815" s="1">
        <f>IF(OR(Paths!$C$353=0,C3815=0),0,MAX(0,MIN(C3815*12,Paths!$E$353)-(C3815-1)*12))</f>
        <v>0</v>
      </c>
      <c r="F3815" s="1">
        <f>IF(OR(Paths!$C$353=0,C3815=0),0,12-E3815)</f>
        <v>0</v>
      </c>
      <c r="G3815" s="16">
        <f>IF(NOT(Paths!$C$353=1),0,IF(Paths!$P$353="Complete",E3815/12*(Paths!$J$353*(1+'Operating costs'!$B$51)^MAX(0,C3815-1)+Paths!$K$353*(1+'Operating costs'!$B$53)^MAX(0,C3815-1)),"n.a."))</f>
        <v>0</v>
      </c>
      <c r="H3815" s="16">
        <f>IF(NOT(Paths!$C$353=1),0,IF(Paths!$P$353="Complete",F3815/12*(Paths!$L$353*(1+IF(Paths!$D$353="EV",'Operating costs'!$B$52,'Operating costs'!$B$51))^MAX(0,C3815-1)+Paths!$M$353*(1+'Operating costs'!$B$53)^MAX(0,C3815-1)),"n.a."))</f>
        <v>0</v>
      </c>
      <c r="I3815" s="16">
        <f>IF(NOT(Paths!$C$353=1),0,IF(Paths!$P$353="Complete",IF(IF(Paths!$E$353=0,C3815=0,AND(C3815&gt;0,Paths!$E$353&gt;(C3815-1)*12,Paths!$E$353&lt;=C3815*12)),Paths!$G$353,0),"n.a."))</f>
        <v>0</v>
      </c>
      <c r="J3815" s="16">
        <f>IF(NOT(Paths!$C$353=1),0,IF(Paths!$P$353="Complete",IF(IF(Paths!$E$353=0,C3815=0,AND(C3815&gt;0,Paths!$E$353&gt;(C3815-1)*12,Paths!$E$353&lt;=C3815*12)),Paths!$H$353,0),"n.a."))</f>
        <v>0</v>
      </c>
      <c r="K3815" s="16">
        <f>IF(NOT(Paths!$C$353=1),0,IF(Paths!$P$353="Complete",IF(IF(Paths!$O$353=0,C3815=0,AND(C3815&gt;0,Paths!$O$353&gt;(C3815-1)*12,Paths!$O$353&lt;=C3815*12)),Paths!$N$353,0),"n.a."))</f>
        <v>0</v>
      </c>
      <c r="L3815" s="16">
        <f>IF(NOT(Paths!$C$353=1),0,IF(Paths!$P$353="Complete",IF(C3815=10,Paths!$I$353,0),"n.a."))</f>
        <v>0</v>
      </c>
      <c r="M3815" s="16">
        <f>IF(NOT(Paths!$C$353=1),0,IF(Paths!$P$353="Complete",IF(AND(Paths!$D$353="EV",Paths!$E$353&lt;120,Paths!$E$353+'Operating costs'!$B$65&gt;Paths!$E$353,Paths!$E$353+'Operating costs'!$B$65&lt;=120,IF(Paths!$E$353+'Operating costs'!$B$65=0,C3815=0,AND(C3815&gt;0,Paths!$E$353+'Operating costs'!$B$65&gt;(C3815-1)*12,Paths!$E$353+'Operating costs'!$B$65&lt;=C3815*12))),'Operating costs'!$B$64,0)+IF(AND('Operating costs'!$B$67&gt;0,'Operating costs'!$B$67&lt;=120,OR(Paths!$D$353="ICE",'Operating costs'!$B$67&lt;=Paths!$E$353),IF('Operating costs'!$B$67=0,C3815=0,AND(C3815&gt;0,'Operating costs'!$B$67&gt;(C3815-1)*12,'Operating costs'!$B$67&lt;=C3815*12))),'Operating costs'!$B$66,0),"n.a."))</f>
        <v>0</v>
      </c>
      <c r="N3815" s="16">
        <f>IF(NOT(Paths!$C$353=1),0,IF(Paths!$P$353="Complete",SUM(G3815:I3815)-J3815-K3815-L3815+M3815+IF(C3815=0,Paths!$F$353,0)+IF(IF(Paths!$E$353=0,C3815=0,AND(C3815&gt;0,Paths!$E$353&gt;(C3815-1)*12,Paths!$E$353&lt;=C3815*12)),VLOOKUP(A3815,'Fleet register'!$A$7:$S$106,16,FALSE),0),"n.a."))</f>
        <v>0</v>
      </c>
      <c r="O3815" s="16">
        <f>IF(NOT(Paths!$C$353=1),0,IF(Paths!$P$353="Complete",N3815-IF(C3815=0,Paths!$F$353,0),"n.a."))</f>
        <v>0</v>
      </c>
      <c r="P3815" s="16">
        <f>IF(NOT(Paths!$C$353=1),0,IF(Paths!$P$353="Complete",O3815+L3815,"n.a."))</f>
        <v>0</v>
      </c>
      <c r="Q3815" s="16">
        <f>IF(NOT(Paths!$C$353=1),0,IF(Paths!$P$353="Complete",N3815*(1+'Operating costs'!$B$54)^-C3815,"n.a."))</f>
        <v>0</v>
      </c>
      <c r="R3815" s="16">
        <f>IF(NOT(Paths!$C$353=1),0,IF(Paths!$P$353="Complete",IF(AND(C3815=0,Paths!$E$353=0),I3815-J3815-K3815+VLOOKUP(A3815,'Fleet register'!$A$7:$S$106,15,FALSE)+VLOOKUP(A3815,'Fleet register'!$A$7:$S$106,16,FALSE),0),"n.a."))</f>
        <v>0</v>
      </c>
      <c r="S3815" s="1">
        <f>IF(NOT(Paths!$C$353=1),0,IF(Paths!$P$353="Complete",IF(C3815=0,0,Paths!$S$353*Paths!$R$353),"n.a."))</f>
        <v>0</v>
      </c>
      <c r="T3815" s="1">
        <f>IF(NOT(Paths!$C$353=1),0,IF(Paths!$P$353="Complete",IF(C3815=0,0,VLOOKUP(A3815,'Fleet register'!$A$7:$S$106,9,FALSE)*Paths!$R$353),"n.a."))</f>
        <v>0</v>
      </c>
    </row>
    <row r="3816" spans="1:20" ht="24" customHeight="1">
      <c r="A3816" s="1" t="str">
        <f>Paths!$A$353</f>
        <v>T087</v>
      </c>
      <c r="B3816" s="1">
        <f>Paths!$B$353</f>
        <v>2</v>
      </c>
      <c r="C3816" s="1">
        <v>3</v>
      </c>
      <c r="D3816" s="1">
        <v>353</v>
      </c>
      <c r="E3816" s="1">
        <f>IF(OR(Paths!$C$353=0,C3816=0),0,MAX(0,MIN(C3816*12,Paths!$E$353)-(C3816-1)*12))</f>
        <v>0</v>
      </c>
      <c r="F3816" s="1">
        <f>IF(OR(Paths!$C$353=0,C3816=0),0,12-E3816)</f>
        <v>0</v>
      </c>
      <c r="G3816" s="16">
        <f>IF(NOT(Paths!$C$353=1),0,IF(Paths!$P$353="Complete",E3816/12*(Paths!$J$353*(1+'Operating costs'!$B$51)^MAX(0,C3816-1)+Paths!$K$353*(1+'Operating costs'!$B$53)^MAX(0,C3816-1)),"n.a."))</f>
        <v>0</v>
      </c>
      <c r="H3816" s="16">
        <f>IF(NOT(Paths!$C$353=1),0,IF(Paths!$P$353="Complete",F3816/12*(Paths!$L$353*(1+IF(Paths!$D$353="EV",'Operating costs'!$B$52,'Operating costs'!$B$51))^MAX(0,C3816-1)+Paths!$M$353*(1+'Operating costs'!$B$53)^MAX(0,C3816-1)),"n.a."))</f>
        <v>0</v>
      </c>
      <c r="I3816" s="16">
        <f>IF(NOT(Paths!$C$353=1),0,IF(Paths!$P$353="Complete",IF(IF(Paths!$E$353=0,C3816=0,AND(C3816&gt;0,Paths!$E$353&gt;(C3816-1)*12,Paths!$E$353&lt;=C3816*12)),Paths!$G$353,0),"n.a."))</f>
        <v>0</v>
      </c>
      <c r="J3816" s="16">
        <f>IF(NOT(Paths!$C$353=1),0,IF(Paths!$P$353="Complete",IF(IF(Paths!$E$353=0,C3816=0,AND(C3816&gt;0,Paths!$E$353&gt;(C3816-1)*12,Paths!$E$353&lt;=C3816*12)),Paths!$H$353,0),"n.a."))</f>
        <v>0</v>
      </c>
      <c r="K3816" s="16">
        <f>IF(NOT(Paths!$C$353=1),0,IF(Paths!$P$353="Complete",IF(IF(Paths!$O$353=0,C3816=0,AND(C3816&gt;0,Paths!$O$353&gt;(C3816-1)*12,Paths!$O$353&lt;=C3816*12)),Paths!$N$353,0),"n.a."))</f>
        <v>0</v>
      </c>
      <c r="L3816" s="16">
        <f>IF(NOT(Paths!$C$353=1),0,IF(Paths!$P$353="Complete",IF(C3816=10,Paths!$I$353,0),"n.a."))</f>
        <v>0</v>
      </c>
      <c r="M3816" s="16">
        <f>IF(NOT(Paths!$C$353=1),0,IF(Paths!$P$353="Complete",IF(AND(Paths!$D$353="EV",Paths!$E$353&lt;120,Paths!$E$353+'Operating costs'!$B$65&gt;Paths!$E$353,Paths!$E$353+'Operating costs'!$B$65&lt;=120,IF(Paths!$E$353+'Operating costs'!$B$65=0,C3816=0,AND(C3816&gt;0,Paths!$E$353+'Operating costs'!$B$65&gt;(C3816-1)*12,Paths!$E$353+'Operating costs'!$B$65&lt;=C3816*12))),'Operating costs'!$B$64,0)+IF(AND('Operating costs'!$B$67&gt;0,'Operating costs'!$B$67&lt;=120,OR(Paths!$D$353="ICE",'Operating costs'!$B$67&lt;=Paths!$E$353),IF('Operating costs'!$B$67=0,C3816=0,AND(C3816&gt;0,'Operating costs'!$B$67&gt;(C3816-1)*12,'Operating costs'!$B$67&lt;=C3816*12))),'Operating costs'!$B$66,0),"n.a."))</f>
        <v>0</v>
      </c>
      <c r="N3816" s="16">
        <f>IF(NOT(Paths!$C$353=1),0,IF(Paths!$P$353="Complete",SUM(G3816:I3816)-J3816-K3816-L3816+M3816+IF(C3816=0,Paths!$F$353,0)+IF(IF(Paths!$E$353=0,C3816=0,AND(C3816&gt;0,Paths!$E$353&gt;(C3816-1)*12,Paths!$E$353&lt;=C3816*12)),VLOOKUP(A3816,'Fleet register'!$A$7:$S$106,16,FALSE),0),"n.a."))</f>
        <v>0</v>
      </c>
      <c r="O3816" s="16">
        <f>IF(NOT(Paths!$C$353=1),0,IF(Paths!$P$353="Complete",N3816-IF(C3816=0,Paths!$F$353,0),"n.a."))</f>
        <v>0</v>
      </c>
      <c r="P3816" s="16">
        <f>IF(NOT(Paths!$C$353=1),0,IF(Paths!$P$353="Complete",O3816+L3816,"n.a."))</f>
        <v>0</v>
      </c>
      <c r="Q3816" s="16">
        <f>IF(NOT(Paths!$C$353=1),0,IF(Paths!$P$353="Complete",N3816*(1+'Operating costs'!$B$54)^-C3816,"n.a."))</f>
        <v>0</v>
      </c>
      <c r="R3816" s="16">
        <f>IF(NOT(Paths!$C$353=1),0,IF(Paths!$P$353="Complete",IF(AND(C3816=0,Paths!$E$353=0),I3816-J3816-K3816+VLOOKUP(A3816,'Fleet register'!$A$7:$S$106,15,FALSE)+VLOOKUP(A3816,'Fleet register'!$A$7:$S$106,16,FALSE),0),"n.a."))</f>
        <v>0</v>
      </c>
      <c r="S3816" s="1">
        <f>IF(NOT(Paths!$C$353=1),0,IF(Paths!$P$353="Complete",IF(C3816=0,0,Paths!$S$353*Paths!$R$353),"n.a."))</f>
        <v>0</v>
      </c>
      <c r="T3816" s="1">
        <f>IF(NOT(Paths!$C$353=1),0,IF(Paths!$P$353="Complete",IF(C3816=0,0,VLOOKUP(A3816,'Fleet register'!$A$7:$S$106,9,FALSE)*Paths!$R$353),"n.a."))</f>
        <v>0</v>
      </c>
    </row>
    <row r="3817" spans="1:20" ht="24" customHeight="1">
      <c r="A3817" s="1" t="str">
        <f>Paths!$A$353</f>
        <v>T087</v>
      </c>
      <c r="B3817" s="1">
        <f>Paths!$B$353</f>
        <v>2</v>
      </c>
      <c r="C3817" s="1">
        <v>4</v>
      </c>
      <c r="D3817" s="1">
        <v>353</v>
      </c>
      <c r="E3817" s="1">
        <f>IF(OR(Paths!$C$353=0,C3817=0),0,MAX(0,MIN(C3817*12,Paths!$E$353)-(C3817-1)*12))</f>
        <v>0</v>
      </c>
      <c r="F3817" s="1">
        <f>IF(OR(Paths!$C$353=0,C3817=0),0,12-E3817)</f>
        <v>0</v>
      </c>
      <c r="G3817" s="16">
        <f>IF(NOT(Paths!$C$353=1),0,IF(Paths!$P$353="Complete",E3817/12*(Paths!$J$353*(1+'Operating costs'!$B$51)^MAX(0,C3817-1)+Paths!$K$353*(1+'Operating costs'!$B$53)^MAX(0,C3817-1)),"n.a."))</f>
        <v>0</v>
      </c>
      <c r="H3817" s="16">
        <f>IF(NOT(Paths!$C$353=1),0,IF(Paths!$P$353="Complete",F3817/12*(Paths!$L$353*(1+IF(Paths!$D$353="EV",'Operating costs'!$B$52,'Operating costs'!$B$51))^MAX(0,C3817-1)+Paths!$M$353*(1+'Operating costs'!$B$53)^MAX(0,C3817-1)),"n.a."))</f>
        <v>0</v>
      </c>
      <c r="I3817" s="16">
        <f>IF(NOT(Paths!$C$353=1),0,IF(Paths!$P$353="Complete",IF(IF(Paths!$E$353=0,C3817=0,AND(C3817&gt;0,Paths!$E$353&gt;(C3817-1)*12,Paths!$E$353&lt;=C3817*12)),Paths!$G$353,0),"n.a."))</f>
        <v>0</v>
      </c>
      <c r="J3817" s="16">
        <f>IF(NOT(Paths!$C$353=1),0,IF(Paths!$P$353="Complete",IF(IF(Paths!$E$353=0,C3817=0,AND(C3817&gt;0,Paths!$E$353&gt;(C3817-1)*12,Paths!$E$353&lt;=C3817*12)),Paths!$H$353,0),"n.a."))</f>
        <v>0</v>
      </c>
      <c r="K3817" s="16">
        <f>IF(NOT(Paths!$C$353=1),0,IF(Paths!$P$353="Complete",IF(IF(Paths!$O$353=0,C3817=0,AND(C3817&gt;0,Paths!$O$353&gt;(C3817-1)*12,Paths!$O$353&lt;=C3817*12)),Paths!$N$353,0),"n.a."))</f>
        <v>0</v>
      </c>
      <c r="L3817" s="16">
        <f>IF(NOT(Paths!$C$353=1),0,IF(Paths!$P$353="Complete",IF(C3817=10,Paths!$I$353,0),"n.a."))</f>
        <v>0</v>
      </c>
      <c r="M3817" s="16">
        <f>IF(NOT(Paths!$C$353=1),0,IF(Paths!$P$353="Complete",IF(AND(Paths!$D$353="EV",Paths!$E$353&lt;120,Paths!$E$353+'Operating costs'!$B$65&gt;Paths!$E$353,Paths!$E$353+'Operating costs'!$B$65&lt;=120,IF(Paths!$E$353+'Operating costs'!$B$65=0,C3817=0,AND(C3817&gt;0,Paths!$E$353+'Operating costs'!$B$65&gt;(C3817-1)*12,Paths!$E$353+'Operating costs'!$B$65&lt;=C3817*12))),'Operating costs'!$B$64,0)+IF(AND('Operating costs'!$B$67&gt;0,'Operating costs'!$B$67&lt;=120,OR(Paths!$D$353="ICE",'Operating costs'!$B$67&lt;=Paths!$E$353),IF('Operating costs'!$B$67=0,C3817=0,AND(C3817&gt;0,'Operating costs'!$B$67&gt;(C3817-1)*12,'Operating costs'!$B$67&lt;=C3817*12))),'Operating costs'!$B$66,0),"n.a."))</f>
        <v>0</v>
      </c>
      <c r="N3817" s="16">
        <f>IF(NOT(Paths!$C$353=1),0,IF(Paths!$P$353="Complete",SUM(G3817:I3817)-J3817-K3817-L3817+M3817+IF(C3817=0,Paths!$F$353,0)+IF(IF(Paths!$E$353=0,C3817=0,AND(C3817&gt;0,Paths!$E$353&gt;(C3817-1)*12,Paths!$E$353&lt;=C3817*12)),VLOOKUP(A3817,'Fleet register'!$A$7:$S$106,16,FALSE),0),"n.a."))</f>
        <v>0</v>
      </c>
      <c r="O3817" s="16">
        <f>IF(NOT(Paths!$C$353=1),0,IF(Paths!$P$353="Complete",N3817-IF(C3817=0,Paths!$F$353,0),"n.a."))</f>
        <v>0</v>
      </c>
      <c r="P3817" s="16">
        <f>IF(NOT(Paths!$C$353=1),0,IF(Paths!$P$353="Complete",O3817+L3817,"n.a."))</f>
        <v>0</v>
      </c>
      <c r="Q3817" s="16">
        <f>IF(NOT(Paths!$C$353=1),0,IF(Paths!$P$353="Complete",N3817*(1+'Operating costs'!$B$54)^-C3817,"n.a."))</f>
        <v>0</v>
      </c>
      <c r="R3817" s="16">
        <f>IF(NOT(Paths!$C$353=1),0,IF(Paths!$P$353="Complete",IF(AND(C3817=0,Paths!$E$353=0),I3817-J3817-K3817+VLOOKUP(A3817,'Fleet register'!$A$7:$S$106,15,FALSE)+VLOOKUP(A3817,'Fleet register'!$A$7:$S$106,16,FALSE),0),"n.a."))</f>
        <v>0</v>
      </c>
      <c r="S3817" s="1">
        <f>IF(NOT(Paths!$C$353=1),0,IF(Paths!$P$353="Complete",IF(C3817=0,0,Paths!$S$353*Paths!$R$353),"n.a."))</f>
        <v>0</v>
      </c>
      <c r="T3817" s="1">
        <f>IF(NOT(Paths!$C$353=1),0,IF(Paths!$P$353="Complete",IF(C3817=0,0,VLOOKUP(A3817,'Fleet register'!$A$7:$S$106,9,FALSE)*Paths!$R$353),"n.a."))</f>
        <v>0</v>
      </c>
    </row>
    <row r="3818" spans="1:20" ht="24" customHeight="1">
      <c r="A3818" s="1" t="str">
        <f>Paths!$A$353</f>
        <v>T087</v>
      </c>
      <c r="B3818" s="1">
        <f>Paths!$B$353</f>
        <v>2</v>
      </c>
      <c r="C3818" s="1">
        <v>5</v>
      </c>
      <c r="D3818" s="1">
        <v>353</v>
      </c>
      <c r="E3818" s="1">
        <f>IF(OR(Paths!$C$353=0,C3818=0),0,MAX(0,MIN(C3818*12,Paths!$E$353)-(C3818-1)*12))</f>
        <v>0</v>
      </c>
      <c r="F3818" s="1">
        <f>IF(OR(Paths!$C$353=0,C3818=0),0,12-E3818)</f>
        <v>0</v>
      </c>
      <c r="G3818" s="16">
        <f>IF(NOT(Paths!$C$353=1),0,IF(Paths!$P$353="Complete",E3818/12*(Paths!$J$353*(1+'Operating costs'!$B$51)^MAX(0,C3818-1)+Paths!$K$353*(1+'Operating costs'!$B$53)^MAX(0,C3818-1)),"n.a."))</f>
        <v>0</v>
      </c>
      <c r="H3818" s="16">
        <f>IF(NOT(Paths!$C$353=1),0,IF(Paths!$P$353="Complete",F3818/12*(Paths!$L$353*(1+IF(Paths!$D$353="EV",'Operating costs'!$B$52,'Operating costs'!$B$51))^MAX(0,C3818-1)+Paths!$M$353*(1+'Operating costs'!$B$53)^MAX(0,C3818-1)),"n.a."))</f>
        <v>0</v>
      </c>
      <c r="I3818" s="16">
        <f>IF(NOT(Paths!$C$353=1),0,IF(Paths!$P$353="Complete",IF(IF(Paths!$E$353=0,C3818=0,AND(C3818&gt;0,Paths!$E$353&gt;(C3818-1)*12,Paths!$E$353&lt;=C3818*12)),Paths!$G$353,0),"n.a."))</f>
        <v>0</v>
      </c>
      <c r="J3818" s="16">
        <f>IF(NOT(Paths!$C$353=1),0,IF(Paths!$P$353="Complete",IF(IF(Paths!$E$353=0,C3818=0,AND(C3818&gt;0,Paths!$E$353&gt;(C3818-1)*12,Paths!$E$353&lt;=C3818*12)),Paths!$H$353,0),"n.a."))</f>
        <v>0</v>
      </c>
      <c r="K3818" s="16">
        <f>IF(NOT(Paths!$C$353=1),0,IF(Paths!$P$353="Complete",IF(IF(Paths!$O$353=0,C3818=0,AND(C3818&gt;0,Paths!$O$353&gt;(C3818-1)*12,Paths!$O$353&lt;=C3818*12)),Paths!$N$353,0),"n.a."))</f>
        <v>0</v>
      </c>
      <c r="L3818" s="16">
        <f>IF(NOT(Paths!$C$353=1),0,IF(Paths!$P$353="Complete",IF(C3818=10,Paths!$I$353,0),"n.a."))</f>
        <v>0</v>
      </c>
      <c r="M3818" s="16">
        <f>IF(NOT(Paths!$C$353=1),0,IF(Paths!$P$353="Complete",IF(AND(Paths!$D$353="EV",Paths!$E$353&lt;120,Paths!$E$353+'Operating costs'!$B$65&gt;Paths!$E$353,Paths!$E$353+'Operating costs'!$B$65&lt;=120,IF(Paths!$E$353+'Operating costs'!$B$65=0,C3818=0,AND(C3818&gt;0,Paths!$E$353+'Operating costs'!$B$65&gt;(C3818-1)*12,Paths!$E$353+'Operating costs'!$B$65&lt;=C3818*12))),'Operating costs'!$B$64,0)+IF(AND('Operating costs'!$B$67&gt;0,'Operating costs'!$B$67&lt;=120,OR(Paths!$D$353="ICE",'Operating costs'!$B$67&lt;=Paths!$E$353),IF('Operating costs'!$B$67=0,C3818=0,AND(C3818&gt;0,'Operating costs'!$B$67&gt;(C3818-1)*12,'Operating costs'!$B$67&lt;=C3818*12))),'Operating costs'!$B$66,0),"n.a."))</f>
        <v>0</v>
      </c>
      <c r="N3818" s="16">
        <f>IF(NOT(Paths!$C$353=1),0,IF(Paths!$P$353="Complete",SUM(G3818:I3818)-J3818-K3818-L3818+M3818+IF(C3818=0,Paths!$F$353,0)+IF(IF(Paths!$E$353=0,C3818=0,AND(C3818&gt;0,Paths!$E$353&gt;(C3818-1)*12,Paths!$E$353&lt;=C3818*12)),VLOOKUP(A3818,'Fleet register'!$A$7:$S$106,16,FALSE),0),"n.a."))</f>
        <v>0</v>
      </c>
      <c r="O3818" s="16">
        <f>IF(NOT(Paths!$C$353=1),0,IF(Paths!$P$353="Complete",N3818-IF(C3818=0,Paths!$F$353,0),"n.a."))</f>
        <v>0</v>
      </c>
      <c r="P3818" s="16">
        <f>IF(NOT(Paths!$C$353=1),0,IF(Paths!$P$353="Complete",O3818+L3818,"n.a."))</f>
        <v>0</v>
      </c>
      <c r="Q3818" s="16">
        <f>IF(NOT(Paths!$C$353=1),0,IF(Paths!$P$353="Complete",N3818*(1+'Operating costs'!$B$54)^-C3818,"n.a."))</f>
        <v>0</v>
      </c>
      <c r="R3818" s="16">
        <f>IF(NOT(Paths!$C$353=1),0,IF(Paths!$P$353="Complete",IF(AND(C3818=0,Paths!$E$353=0),I3818-J3818-K3818+VLOOKUP(A3818,'Fleet register'!$A$7:$S$106,15,FALSE)+VLOOKUP(A3818,'Fleet register'!$A$7:$S$106,16,FALSE),0),"n.a."))</f>
        <v>0</v>
      </c>
      <c r="S3818" s="1">
        <f>IF(NOT(Paths!$C$353=1),0,IF(Paths!$P$353="Complete",IF(C3818=0,0,Paths!$S$353*Paths!$R$353),"n.a."))</f>
        <v>0</v>
      </c>
      <c r="T3818" s="1">
        <f>IF(NOT(Paths!$C$353=1),0,IF(Paths!$P$353="Complete",IF(C3818=0,0,VLOOKUP(A3818,'Fleet register'!$A$7:$S$106,9,FALSE)*Paths!$R$353),"n.a."))</f>
        <v>0</v>
      </c>
    </row>
    <row r="3819" spans="1:20" ht="24" customHeight="1">
      <c r="A3819" s="1" t="str">
        <f>Paths!$A$353</f>
        <v>T087</v>
      </c>
      <c r="B3819" s="1">
        <f>Paths!$B$353</f>
        <v>2</v>
      </c>
      <c r="C3819" s="1">
        <v>6</v>
      </c>
      <c r="D3819" s="1">
        <v>353</v>
      </c>
      <c r="E3819" s="1">
        <f>IF(OR(Paths!$C$353=0,C3819=0),0,MAX(0,MIN(C3819*12,Paths!$E$353)-(C3819-1)*12))</f>
        <v>0</v>
      </c>
      <c r="F3819" s="1">
        <f>IF(OR(Paths!$C$353=0,C3819=0),0,12-E3819)</f>
        <v>0</v>
      </c>
      <c r="G3819" s="16">
        <f>IF(NOT(Paths!$C$353=1),0,IF(Paths!$P$353="Complete",E3819/12*(Paths!$J$353*(1+'Operating costs'!$B$51)^MAX(0,C3819-1)+Paths!$K$353*(1+'Operating costs'!$B$53)^MAX(0,C3819-1)),"n.a."))</f>
        <v>0</v>
      </c>
      <c r="H3819" s="16">
        <f>IF(NOT(Paths!$C$353=1),0,IF(Paths!$P$353="Complete",F3819/12*(Paths!$L$353*(1+IF(Paths!$D$353="EV",'Operating costs'!$B$52,'Operating costs'!$B$51))^MAX(0,C3819-1)+Paths!$M$353*(1+'Operating costs'!$B$53)^MAX(0,C3819-1)),"n.a."))</f>
        <v>0</v>
      </c>
      <c r="I3819" s="16">
        <f>IF(NOT(Paths!$C$353=1),0,IF(Paths!$P$353="Complete",IF(IF(Paths!$E$353=0,C3819=0,AND(C3819&gt;0,Paths!$E$353&gt;(C3819-1)*12,Paths!$E$353&lt;=C3819*12)),Paths!$G$353,0),"n.a."))</f>
        <v>0</v>
      </c>
      <c r="J3819" s="16">
        <f>IF(NOT(Paths!$C$353=1),0,IF(Paths!$P$353="Complete",IF(IF(Paths!$E$353=0,C3819=0,AND(C3819&gt;0,Paths!$E$353&gt;(C3819-1)*12,Paths!$E$353&lt;=C3819*12)),Paths!$H$353,0),"n.a."))</f>
        <v>0</v>
      </c>
      <c r="K3819" s="16">
        <f>IF(NOT(Paths!$C$353=1),0,IF(Paths!$P$353="Complete",IF(IF(Paths!$O$353=0,C3819=0,AND(C3819&gt;0,Paths!$O$353&gt;(C3819-1)*12,Paths!$O$353&lt;=C3819*12)),Paths!$N$353,0),"n.a."))</f>
        <v>0</v>
      </c>
      <c r="L3819" s="16">
        <f>IF(NOT(Paths!$C$353=1),0,IF(Paths!$P$353="Complete",IF(C3819=10,Paths!$I$353,0),"n.a."))</f>
        <v>0</v>
      </c>
      <c r="M3819" s="16">
        <f>IF(NOT(Paths!$C$353=1),0,IF(Paths!$P$353="Complete",IF(AND(Paths!$D$353="EV",Paths!$E$353&lt;120,Paths!$E$353+'Operating costs'!$B$65&gt;Paths!$E$353,Paths!$E$353+'Operating costs'!$B$65&lt;=120,IF(Paths!$E$353+'Operating costs'!$B$65=0,C3819=0,AND(C3819&gt;0,Paths!$E$353+'Operating costs'!$B$65&gt;(C3819-1)*12,Paths!$E$353+'Operating costs'!$B$65&lt;=C3819*12))),'Operating costs'!$B$64,0)+IF(AND('Operating costs'!$B$67&gt;0,'Operating costs'!$B$67&lt;=120,OR(Paths!$D$353="ICE",'Operating costs'!$B$67&lt;=Paths!$E$353),IF('Operating costs'!$B$67=0,C3819=0,AND(C3819&gt;0,'Operating costs'!$B$67&gt;(C3819-1)*12,'Operating costs'!$B$67&lt;=C3819*12))),'Operating costs'!$B$66,0),"n.a."))</f>
        <v>0</v>
      </c>
      <c r="N3819" s="16">
        <f>IF(NOT(Paths!$C$353=1),0,IF(Paths!$P$353="Complete",SUM(G3819:I3819)-J3819-K3819-L3819+M3819+IF(C3819=0,Paths!$F$353,0)+IF(IF(Paths!$E$353=0,C3819=0,AND(C3819&gt;0,Paths!$E$353&gt;(C3819-1)*12,Paths!$E$353&lt;=C3819*12)),VLOOKUP(A3819,'Fleet register'!$A$7:$S$106,16,FALSE),0),"n.a."))</f>
        <v>0</v>
      </c>
      <c r="O3819" s="16">
        <f>IF(NOT(Paths!$C$353=1),0,IF(Paths!$P$353="Complete",N3819-IF(C3819=0,Paths!$F$353,0),"n.a."))</f>
        <v>0</v>
      </c>
      <c r="P3819" s="16">
        <f>IF(NOT(Paths!$C$353=1),0,IF(Paths!$P$353="Complete",O3819+L3819,"n.a."))</f>
        <v>0</v>
      </c>
      <c r="Q3819" s="16">
        <f>IF(NOT(Paths!$C$353=1),0,IF(Paths!$P$353="Complete",N3819*(1+'Operating costs'!$B$54)^-C3819,"n.a."))</f>
        <v>0</v>
      </c>
      <c r="R3819" s="16">
        <f>IF(NOT(Paths!$C$353=1),0,IF(Paths!$P$353="Complete",IF(AND(C3819=0,Paths!$E$353=0),I3819-J3819-K3819+VLOOKUP(A3819,'Fleet register'!$A$7:$S$106,15,FALSE)+VLOOKUP(A3819,'Fleet register'!$A$7:$S$106,16,FALSE),0),"n.a."))</f>
        <v>0</v>
      </c>
      <c r="S3819" s="1">
        <f>IF(NOT(Paths!$C$353=1),0,IF(Paths!$P$353="Complete",IF(C3819=0,0,Paths!$S$353*Paths!$R$353),"n.a."))</f>
        <v>0</v>
      </c>
      <c r="T3819" s="1">
        <f>IF(NOT(Paths!$C$353=1),0,IF(Paths!$P$353="Complete",IF(C3819=0,0,VLOOKUP(A3819,'Fleet register'!$A$7:$S$106,9,FALSE)*Paths!$R$353),"n.a."))</f>
        <v>0</v>
      </c>
    </row>
    <row r="3820" spans="1:20" ht="24" customHeight="1">
      <c r="A3820" s="1" t="str">
        <f>Paths!$A$353</f>
        <v>T087</v>
      </c>
      <c r="B3820" s="1">
        <f>Paths!$B$353</f>
        <v>2</v>
      </c>
      <c r="C3820" s="1">
        <v>7</v>
      </c>
      <c r="D3820" s="1">
        <v>353</v>
      </c>
      <c r="E3820" s="1">
        <f>IF(OR(Paths!$C$353=0,C3820=0),0,MAX(0,MIN(C3820*12,Paths!$E$353)-(C3820-1)*12))</f>
        <v>0</v>
      </c>
      <c r="F3820" s="1">
        <f>IF(OR(Paths!$C$353=0,C3820=0),0,12-E3820)</f>
        <v>0</v>
      </c>
      <c r="G3820" s="16">
        <f>IF(NOT(Paths!$C$353=1),0,IF(Paths!$P$353="Complete",E3820/12*(Paths!$J$353*(1+'Operating costs'!$B$51)^MAX(0,C3820-1)+Paths!$K$353*(1+'Operating costs'!$B$53)^MAX(0,C3820-1)),"n.a."))</f>
        <v>0</v>
      </c>
      <c r="H3820" s="16">
        <f>IF(NOT(Paths!$C$353=1),0,IF(Paths!$P$353="Complete",F3820/12*(Paths!$L$353*(1+IF(Paths!$D$353="EV",'Operating costs'!$B$52,'Operating costs'!$B$51))^MAX(0,C3820-1)+Paths!$M$353*(1+'Operating costs'!$B$53)^MAX(0,C3820-1)),"n.a."))</f>
        <v>0</v>
      </c>
      <c r="I3820" s="16">
        <f>IF(NOT(Paths!$C$353=1),0,IF(Paths!$P$353="Complete",IF(IF(Paths!$E$353=0,C3820=0,AND(C3820&gt;0,Paths!$E$353&gt;(C3820-1)*12,Paths!$E$353&lt;=C3820*12)),Paths!$G$353,0),"n.a."))</f>
        <v>0</v>
      </c>
      <c r="J3820" s="16">
        <f>IF(NOT(Paths!$C$353=1),0,IF(Paths!$P$353="Complete",IF(IF(Paths!$E$353=0,C3820=0,AND(C3820&gt;0,Paths!$E$353&gt;(C3820-1)*12,Paths!$E$353&lt;=C3820*12)),Paths!$H$353,0),"n.a."))</f>
        <v>0</v>
      </c>
      <c r="K3820" s="16">
        <f>IF(NOT(Paths!$C$353=1),0,IF(Paths!$P$353="Complete",IF(IF(Paths!$O$353=0,C3820=0,AND(C3820&gt;0,Paths!$O$353&gt;(C3820-1)*12,Paths!$O$353&lt;=C3820*12)),Paths!$N$353,0),"n.a."))</f>
        <v>0</v>
      </c>
      <c r="L3820" s="16">
        <f>IF(NOT(Paths!$C$353=1),0,IF(Paths!$P$353="Complete",IF(C3820=10,Paths!$I$353,0),"n.a."))</f>
        <v>0</v>
      </c>
      <c r="M3820" s="16">
        <f>IF(NOT(Paths!$C$353=1),0,IF(Paths!$P$353="Complete",IF(AND(Paths!$D$353="EV",Paths!$E$353&lt;120,Paths!$E$353+'Operating costs'!$B$65&gt;Paths!$E$353,Paths!$E$353+'Operating costs'!$B$65&lt;=120,IF(Paths!$E$353+'Operating costs'!$B$65=0,C3820=0,AND(C3820&gt;0,Paths!$E$353+'Operating costs'!$B$65&gt;(C3820-1)*12,Paths!$E$353+'Operating costs'!$B$65&lt;=C3820*12))),'Operating costs'!$B$64,0)+IF(AND('Operating costs'!$B$67&gt;0,'Operating costs'!$B$67&lt;=120,OR(Paths!$D$353="ICE",'Operating costs'!$B$67&lt;=Paths!$E$353),IF('Operating costs'!$B$67=0,C3820=0,AND(C3820&gt;0,'Operating costs'!$B$67&gt;(C3820-1)*12,'Operating costs'!$B$67&lt;=C3820*12))),'Operating costs'!$B$66,0),"n.a."))</f>
        <v>0</v>
      </c>
      <c r="N3820" s="16">
        <f>IF(NOT(Paths!$C$353=1),0,IF(Paths!$P$353="Complete",SUM(G3820:I3820)-J3820-K3820-L3820+M3820+IF(C3820=0,Paths!$F$353,0)+IF(IF(Paths!$E$353=0,C3820=0,AND(C3820&gt;0,Paths!$E$353&gt;(C3820-1)*12,Paths!$E$353&lt;=C3820*12)),VLOOKUP(A3820,'Fleet register'!$A$7:$S$106,16,FALSE),0),"n.a."))</f>
        <v>0</v>
      </c>
      <c r="O3820" s="16">
        <f>IF(NOT(Paths!$C$353=1),0,IF(Paths!$P$353="Complete",N3820-IF(C3820=0,Paths!$F$353,0),"n.a."))</f>
        <v>0</v>
      </c>
      <c r="P3820" s="16">
        <f>IF(NOT(Paths!$C$353=1),0,IF(Paths!$P$353="Complete",O3820+L3820,"n.a."))</f>
        <v>0</v>
      </c>
      <c r="Q3820" s="16">
        <f>IF(NOT(Paths!$C$353=1),0,IF(Paths!$P$353="Complete",N3820*(1+'Operating costs'!$B$54)^-C3820,"n.a."))</f>
        <v>0</v>
      </c>
      <c r="R3820" s="16">
        <f>IF(NOT(Paths!$C$353=1),0,IF(Paths!$P$353="Complete",IF(AND(C3820=0,Paths!$E$353=0),I3820-J3820-K3820+VLOOKUP(A3820,'Fleet register'!$A$7:$S$106,15,FALSE)+VLOOKUP(A3820,'Fleet register'!$A$7:$S$106,16,FALSE),0),"n.a."))</f>
        <v>0</v>
      </c>
      <c r="S3820" s="1">
        <f>IF(NOT(Paths!$C$353=1),0,IF(Paths!$P$353="Complete",IF(C3820=0,0,Paths!$S$353*Paths!$R$353),"n.a."))</f>
        <v>0</v>
      </c>
      <c r="T3820" s="1">
        <f>IF(NOT(Paths!$C$353=1),0,IF(Paths!$P$353="Complete",IF(C3820=0,0,VLOOKUP(A3820,'Fleet register'!$A$7:$S$106,9,FALSE)*Paths!$R$353),"n.a."))</f>
        <v>0</v>
      </c>
    </row>
    <row r="3821" spans="1:20" ht="24" customHeight="1">
      <c r="A3821" s="1" t="str">
        <f>Paths!$A$353</f>
        <v>T087</v>
      </c>
      <c r="B3821" s="1">
        <f>Paths!$B$353</f>
        <v>2</v>
      </c>
      <c r="C3821" s="1">
        <v>8</v>
      </c>
      <c r="D3821" s="1">
        <v>353</v>
      </c>
      <c r="E3821" s="1">
        <f>IF(OR(Paths!$C$353=0,C3821=0),0,MAX(0,MIN(C3821*12,Paths!$E$353)-(C3821-1)*12))</f>
        <v>0</v>
      </c>
      <c r="F3821" s="1">
        <f>IF(OR(Paths!$C$353=0,C3821=0),0,12-E3821)</f>
        <v>0</v>
      </c>
      <c r="G3821" s="16">
        <f>IF(NOT(Paths!$C$353=1),0,IF(Paths!$P$353="Complete",E3821/12*(Paths!$J$353*(1+'Operating costs'!$B$51)^MAX(0,C3821-1)+Paths!$K$353*(1+'Operating costs'!$B$53)^MAX(0,C3821-1)),"n.a."))</f>
        <v>0</v>
      </c>
      <c r="H3821" s="16">
        <f>IF(NOT(Paths!$C$353=1),0,IF(Paths!$P$353="Complete",F3821/12*(Paths!$L$353*(1+IF(Paths!$D$353="EV",'Operating costs'!$B$52,'Operating costs'!$B$51))^MAX(0,C3821-1)+Paths!$M$353*(1+'Operating costs'!$B$53)^MAX(0,C3821-1)),"n.a."))</f>
        <v>0</v>
      </c>
      <c r="I3821" s="16">
        <f>IF(NOT(Paths!$C$353=1),0,IF(Paths!$P$353="Complete",IF(IF(Paths!$E$353=0,C3821=0,AND(C3821&gt;0,Paths!$E$353&gt;(C3821-1)*12,Paths!$E$353&lt;=C3821*12)),Paths!$G$353,0),"n.a."))</f>
        <v>0</v>
      </c>
      <c r="J3821" s="16">
        <f>IF(NOT(Paths!$C$353=1),0,IF(Paths!$P$353="Complete",IF(IF(Paths!$E$353=0,C3821=0,AND(C3821&gt;0,Paths!$E$353&gt;(C3821-1)*12,Paths!$E$353&lt;=C3821*12)),Paths!$H$353,0),"n.a."))</f>
        <v>0</v>
      </c>
      <c r="K3821" s="16">
        <f>IF(NOT(Paths!$C$353=1),0,IF(Paths!$P$353="Complete",IF(IF(Paths!$O$353=0,C3821=0,AND(C3821&gt;0,Paths!$O$353&gt;(C3821-1)*12,Paths!$O$353&lt;=C3821*12)),Paths!$N$353,0),"n.a."))</f>
        <v>0</v>
      </c>
      <c r="L3821" s="16">
        <f>IF(NOT(Paths!$C$353=1),0,IF(Paths!$P$353="Complete",IF(C3821=10,Paths!$I$353,0),"n.a."))</f>
        <v>0</v>
      </c>
      <c r="M3821" s="16">
        <f>IF(NOT(Paths!$C$353=1),0,IF(Paths!$P$353="Complete",IF(AND(Paths!$D$353="EV",Paths!$E$353&lt;120,Paths!$E$353+'Operating costs'!$B$65&gt;Paths!$E$353,Paths!$E$353+'Operating costs'!$B$65&lt;=120,IF(Paths!$E$353+'Operating costs'!$B$65=0,C3821=0,AND(C3821&gt;0,Paths!$E$353+'Operating costs'!$B$65&gt;(C3821-1)*12,Paths!$E$353+'Operating costs'!$B$65&lt;=C3821*12))),'Operating costs'!$B$64,0)+IF(AND('Operating costs'!$B$67&gt;0,'Operating costs'!$B$67&lt;=120,OR(Paths!$D$353="ICE",'Operating costs'!$B$67&lt;=Paths!$E$353),IF('Operating costs'!$B$67=0,C3821=0,AND(C3821&gt;0,'Operating costs'!$B$67&gt;(C3821-1)*12,'Operating costs'!$B$67&lt;=C3821*12))),'Operating costs'!$B$66,0),"n.a."))</f>
        <v>0</v>
      </c>
      <c r="N3821" s="16">
        <f>IF(NOT(Paths!$C$353=1),0,IF(Paths!$P$353="Complete",SUM(G3821:I3821)-J3821-K3821-L3821+M3821+IF(C3821=0,Paths!$F$353,0)+IF(IF(Paths!$E$353=0,C3821=0,AND(C3821&gt;0,Paths!$E$353&gt;(C3821-1)*12,Paths!$E$353&lt;=C3821*12)),VLOOKUP(A3821,'Fleet register'!$A$7:$S$106,16,FALSE),0),"n.a."))</f>
        <v>0</v>
      </c>
      <c r="O3821" s="16">
        <f>IF(NOT(Paths!$C$353=1),0,IF(Paths!$P$353="Complete",N3821-IF(C3821=0,Paths!$F$353,0),"n.a."))</f>
        <v>0</v>
      </c>
      <c r="P3821" s="16">
        <f>IF(NOT(Paths!$C$353=1),0,IF(Paths!$P$353="Complete",O3821+L3821,"n.a."))</f>
        <v>0</v>
      </c>
      <c r="Q3821" s="16">
        <f>IF(NOT(Paths!$C$353=1),0,IF(Paths!$P$353="Complete",N3821*(1+'Operating costs'!$B$54)^-C3821,"n.a."))</f>
        <v>0</v>
      </c>
      <c r="R3821" s="16">
        <f>IF(NOT(Paths!$C$353=1),0,IF(Paths!$P$353="Complete",IF(AND(C3821=0,Paths!$E$353=0),I3821-J3821-K3821+VLOOKUP(A3821,'Fleet register'!$A$7:$S$106,15,FALSE)+VLOOKUP(A3821,'Fleet register'!$A$7:$S$106,16,FALSE),0),"n.a."))</f>
        <v>0</v>
      </c>
      <c r="S3821" s="1">
        <f>IF(NOT(Paths!$C$353=1),0,IF(Paths!$P$353="Complete",IF(C3821=0,0,Paths!$S$353*Paths!$R$353),"n.a."))</f>
        <v>0</v>
      </c>
      <c r="T3821" s="1">
        <f>IF(NOT(Paths!$C$353=1),0,IF(Paths!$P$353="Complete",IF(C3821=0,0,VLOOKUP(A3821,'Fleet register'!$A$7:$S$106,9,FALSE)*Paths!$R$353),"n.a."))</f>
        <v>0</v>
      </c>
    </row>
    <row r="3822" spans="1:20" ht="24" customHeight="1">
      <c r="A3822" s="1" t="str">
        <f>Paths!$A$353</f>
        <v>T087</v>
      </c>
      <c r="B3822" s="1">
        <f>Paths!$B$353</f>
        <v>2</v>
      </c>
      <c r="C3822" s="1">
        <v>9</v>
      </c>
      <c r="D3822" s="1">
        <v>353</v>
      </c>
      <c r="E3822" s="1">
        <f>IF(OR(Paths!$C$353=0,C3822=0),0,MAX(0,MIN(C3822*12,Paths!$E$353)-(C3822-1)*12))</f>
        <v>0</v>
      </c>
      <c r="F3822" s="1">
        <f>IF(OR(Paths!$C$353=0,C3822=0),0,12-E3822)</f>
        <v>0</v>
      </c>
      <c r="G3822" s="16">
        <f>IF(NOT(Paths!$C$353=1),0,IF(Paths!$P$353="Complete",E3822/12*(Paths!$J$353*(1+'Operating costs'!$B$51)^MAX(0,C3822-1)+Paths!$K$353*(1+'Operating costs'!$B$53)^MAX(0,C3822-1)),"n.a."))</f>
        <v>0</v>
      </c>
      <c r="H3822" s="16">
        <f>IF(NOT(Paths!$C$353=1),0,IF(Paths!$P$353="Complete",F3822/12*(Paths!$L$353*(1+IF(Paths!$D$353="EV",'Operating costs'!$B$52,'Operating costs'!$B$51))^MAX(0,C3822-1)+Paths!$M$353*(1+'Operating costs'!$B$53)^MAX(0,C3822-1)),"n.a."))</f>
        <v>0</v>
      </c>
      <c r="I3822" s="16">
        <f>IF(NOT(Paths!$C$353=1),0,IF(Paths!$P$353="Complete",IF(IF(Paths!$E$353=0,C3822=0,AND(C3822&gt;0,Paths!$E$353&gt;(C3822-1)*12,Paths!$E$353&lt;=C3822*12)),Paths!$G$353,0),"n.a."))</f>
        <v>0</v>
      </c>
      <c r="J3822" s="16">
        <f>IF(NOT(Paths!$C$353=1),0,IF(Paths!$P$353="Complete",IF(IF(Paths!$E$353=0,C3822=0,AND(C3822&gt;0,Paths!$E$353&gt;(C3822-1)*12,Paths!$E$353&lt;=C3822*12)),Paths!$H$353,0),"n.a."))</f>
        <v>0</v>
      </c>
      <c r="K3822" s="16">
        <f>IF(NOT(Paths!$C$353=1),0,IF(Paths!$P$353="Complete",IF(IF(Paths!$O$353=0,C3822=0,AND(C3822&gt;0,Paths!$O$353&gt;(C3822-1)*12,Paths!$O$353&lt;=C3822*12)),Paths!$N$353,0),"n.a."))</f>
        <v>0</v>
      </c>
      <c r="L3822" s="16">
        <f>IF(NOT(Paths!$C$353=1),0,IF(Paths!$P$353="Complete",IF(C3822=10,Paths!$I$353,0),"n.a."))</f>
        <v>0</v>
      </c>
      <c r="M3822" s="16">
        <f>IF(NOT(Paths!$C$353=1),0,IF(Paths!$P$353="Complete",IF(AND(Paths!$D$353="EV",Paths!$E$353&lt;120,Paths!$E$353+'Operating costs'!$B$65&gt;Paths!$E$353,Paths!$E$353+'Operating costs'!$B$65&lt;=120,IF(Paths!$E$353+'Operating costs'!$B$65=0,C3822=0,AND(C3822&gt;0,Paths!$E$353+'Operating costs'!$B$65&gt;(C3822-1)*12,Paths!$E$353+'Operating costs'!$B$65&lt;=C3822*12))),'Operating costs'!$B$64,0)+IF(AND('Operating costs'!$B$67&gt;0,'Operating costs'!$B$67&lt;=120,OR(Paths!$D$353="ICE",'Operating costs'!$B$67&lt;=Paths!$E$353),IF('Operating costs'!$B$67=0,C3822=0,AND(C3822&gt;0,'Operating costs'!$B$67&gt;(C3822-1)*12,'Operating costs'!$B$67&lt;=C3822*12))),'Operating costs'!$B$66,0),"n.a."))</f>
        <v>0</v>
      </c>
      <c r="N3822" s="16">
        <f>IF(NOT(Paths!$C$353=1),0,IF(Paths!$P$353="Complete",SUM(G3822:I3822)-J3822-K3822-L3822+M3822+IF(C3822=0,Paths!$F$353,0)+IF(IF(Paths!$E$353=0,C3822=0,AND(C3822&gt;0,Paths!$E$353&gt;(C3822-1)*12,Paths!$E$353&lt;=C3822*12)),VLOOKUP(A3822,'Fleet register'!$A$7:$S$106,16,FALSE),0),"n.a."))</f>
        <v>0</v>
      </c>
      <c r="O3822" s="16">
        <f>IF(NOT(Paths!$C$353=1),0,IF(Paths!$P$353="Complete",N3822-IF(C3822=0,Paths!$F$353,0),"n.a."))</f>
        <v>0</v>
      </c>
      <c r="P3822" s="16">
        <f>IF(NOT(Paths!$C$353=1),0,IF(Paths!$P$353="Complete",O3822+L3822,"n.a."))</f>
        <v>0</v>
      </c>
      <c r="Q3822" s="16">
        <f>IF(NOT(Paths!$C$353=1),0,IF(Paths!$P$353="Complete",N3822*(1+'Operating costs'!$B$54)^-C3822,"n.a."))</f>
        <v>0</v>
      </c>
      <c r="R3822" s="16">
        <f>IF(NOT(Paths!$C$353=1),0,IF(Paths!$P$353="Complete",IF(AND(C3822=0,Paths!$E$353=0),I3822-J3822-K3822+VLOOKUP(A3822,'Fleet register'!$A$7:$S$106,15,FALSE)+VLOOKUP(A3822,'Fleet register'!$A$7:$S$106,16,FALSE),0),"n.a."))</f>
        <v>0</v>
      </c>
      <c r="S3822" s="1">
        <f>IF(NOT(Paths!$C$353=1),0,IF(Paths!$P$353="Complete",IF(C3822=0,0,Paths!$S$353*Paths!$R$353),"n.a."))</f>
        <v>0</v>
      </c>
      <c r="T3822" s="1">
        <f>IF(NOT(Paths!$C$353=1),0,IF(Paths!$P$353="Complete",IF(C3822=0,0,VLOOKUP(A3822,'Fleet register'!$A$7:$S$106,9,FALSE)*Paths!$R$353),"n.a."))</f>
        <v>0</v>
      </c>
    </row>
    <row r="3823" spans="1:20" ht="24" customHeight="1">
      <c r="A3823" s="1" t="str">
        <f>Paths!$A$353</f>
        <v>T087</v>
      </c>
      <c r="B3823" s="1">
        <f>Paths!$B$353</f>
        <v>2</v>
      </c>
      <c r="C3823" s="1">
        <v>10</v>
      </c>
      <c r="D3823" s="1">
        <v>353</v>
      </c>
      <c r="E3823" s="1">
        <f>IF(OR(Paths!$C$353=0,C3823=0),0,MAX(0,MIN(C3823*12,Paths!$E$353)-(C3823-1)*12))</f>
        <v>0</v>
      </c>
      <c r="F3823" s="1">
        <f>IF(OR(Paths!$C$353=0,C3823=0),0,12-E3823)</f>
        <v>0</v>
      </c>
      <c r="G3823" s="16">
        <f>IF(NOT(Paths!$C$353=1),0,IF(Paths!$P$353="Complete",E3823/12*(Paths!$J$353*(1+'Operating costs'!$B$51)^MAX(0,C3823-1)+Paths!$K$353*(1+'Operating costs'!$B$53)^MAX(0,C3823-1)),"n.a."))</f>
        <v>0</v>
      </c>
      <c r="H3823" s="16">
        <f>IF(NOT(Paths!$C$353=1),0,IF(Paths!$P$353="Complete",F3823/12*(Paths!$L$353*(1+IF(Paths!$D$353="EV",'Operating costs'!$B$52,'Operating costs'!$B$51))^MAX(0,C3823-1)+Paths!$M$353*(1+'Operating costs'!$B$53)^MAX(0,C3823-1)),"n.a."))</f>
        <v>0</v>
      </c>
      <c r="I3823" s="16">
        <f>IF(NOT(Paths!$C$353=1),0,IF(Paths!$P$353="Complete",IF(IF(Paths!$E$353=0,C3823=0,AND(C3823&gt;0,Paths!$E$353&gt;(C3823-1)*12,Paths!$E$353&lt;=C3823*12)),Paths!$G$353,0),"n.a."))</f>
        <v>0</v>
      </c>
      <c r="J3823" s="16">
        <f>IF(NOT(Paths!$C$353=1),0,IF(Paths!$P$353="Complete",IF(IF(Paths!$E$353=0,C3823=0,AND(C3823&gt;0,Paths!$E$353&gt;(C3823-1)*12,Paths!$E$353&lt;=C3823*12)),Paths!$H$353,0),"n.a."))</f>
        <v>0</v>
      </c>
      <c r="K3823" s="16">
        <f>IF(NOT(Paths!$C$353=1),0,IF(Paths!$P$353="Complete",IF(IF(Paths!$O$353=0,C3823=0,AND(C3823&gt;0,Paths!$O$353&gt;(C3823-1)*12,Paths!$O$353&lt;=C3823*12)),Paths!$N$353,0),"n.a."))</f>
        <v>0</v>
      </c>
      <c r="L3823" s="16">
        <f>IF(NOT(Paths!$C$353=1),0,IF(Paths!$P$353="Complete",IF(C3823=10,Paths!$I$353,0),"n.a."))</f>
        <v>0</v>
      </c>
      <c r="M3823" s="16">
        <f>IF(NOT(Paths!$C$353=1),0,IF(Paths!$P$353="Complete",IF(AND(Paths!$D$353="EV",Paths!$E$353&lt;120,Paths!$E$353+'Operating costs'!$B$65&gt;Paths!$E$353,Paths!$E$353+'Operating costs'!$B$65&lt;=120,IF(Paths!$E$353+'Operating costs'!$B$65=0,C3823=0,AND(C3823&gt;0,Paths!$E$353+'Operating costs'!$B$65&gt;(C3823-1)*12,Paths!$E$353+'Operating costs'!$B$65&lt;=C3823*12))),'Operating costs'!$B$64,0)+IF(AND('Operating costs'!$B$67&gt;0,'Operating costs'!$B$67&lt;=120,OR(Paths!$D$353="ICE",'Operating costs'!$B$67&lt;=Paths!$E$353),IF('Operating costs'!$B$67=0,C3823=0,AND(C3823&gt;0,'Operating costs'!$B$67&gt;(C3823-1)*12,'Operating costs'!$B$67&lt;=C3823*12))),'Operating costs'!$B$66,0),"n.a."))</f>
        <v>0</v>
      </c>
      <c r="N3823" s="16">
        <f>IF(NOT(Paths!$C$353=1),0,IF(Paths!$P$353="Complete",SUM(G3823:I3823)-J3823-K3823-L3823+M3823+IF(C3823=0,Paths!$F$353,0)+IF(IF(Paths!$E$353=0,C3823=0,AND(C3823&gt;0,Paths!$E$353&gt;(C3823-1)*12,Paths!$E$353&lt;=C3823*12)),VLOOKUP(A3823,'Fleet register'!$A$7:$S$106,16,FALSE),0),"n.a."))</f>
        <v>0</v>
      </c>
      <c r="O3823" s="16">
        <f>IF(NOT(Paths!$C$353=1),0,IF(Paths!$P$353="Complete",N3823-IF(C3823=0,Paths!$F$353,0),"n.a."))</f>
        <v>0</v>
      </c>
      <c r="P3823" s="16">
        <f>IF(NOT(Paths!$C$353=1),0,IF(Paths!$P$353="Complete",O3823+L3823,"n.a."))</f>
        <v>0</v>
      </c>
      <c r="Q3823" s="16">
        <f>IF(NOT(Paths!$C$353=1),0,IF(Paths!$P$353="Complete",N3823*(1+'Operating costs'!$B$54)^-C3823,"n.a."))</f>
        <v>0</v>
      </c>
      <c r="R3823" s="16">
        <f>IF(NOT(Paths!$C$353=1),0,IF(Paths!$P$353="Complete",IF(AND(C3823=0,Paths!$E$353=0),I3823-J3823-K3823+VLOOKUP(A3823,'Fleet register'!$A$7:$S$106,15,FALSE)+VLOOKUP(A3823,'Fleet register'!$A$7:$S$106,16,FALSE),0),"n.a."))</f>
        <v>0</v>
      </c>
      <c r="S3823" s="1">
        <f>IF(NOT(Paths!$C$353=1),0,IF(Paths!$P$353="Complete",IF(C3823=0,0,Paths!$S$353*Paths!$R$353),"n.a."))</f>
        <v>0</v>
      </c>
      <c r="T3823" s="1">
        <f>IF(NOT(Paths!$C$353=1),0,IF(Paths!$P$353="Complete",IF(C3823=0,0,VLOOKUP(A3823,'Fleet register'!$A$7:$S$106,9,FALSE)*Paths!$R$353),"n.a."))</f>
        <v>0</v>
      </c>
    </row>
    <row r="3824" spans="1:20" ht="24" customHeight="1">
      <c r="A3824" s="1" t="str">
        <f>Paths!$A$354</f>
        <v>T087</v>
      </c>
      <c r="B3824" s="1">
        <f>Paths!$B$354</f>
        <v>3</v>
      </c>
      <c r="C3824" s="1">
        <v>0</v>
      </c>
      <c r="D3824" s="1">
        <v>354</v>
      </c>
      <c r="E3824" s="1">
        <f>IF(OR(Paths!$C$354=0,C3824=0),0,MAX(0,MIN(C3824*12,Paths!$E$354)-(C3824-1)*12))</f>
        <v>0</v>
      </c>
      <c r="F3824" s="1">
        <f>IF(OR(Paths!$C$354=0,C3824=0),0,12-E3824)</f>
        <v>0</v>
      </c>
      <c r="G3824" s="16">
        <f>IF(NOT(Paths!$C$354=1),0,IF(Paths!$P$354="Complete",E3824/12*(Paths!$J$354*(1+'Operating costs'!$B$51)^MAX(0,C3824-1)+Paths!$K$354*(1+'Operating costs'!$B$53)^MAX(0,C3824-1)),"n.a."))</f>
        <v>0</v>
      </c>
      <c r="H3824" s="16">
        <f>IF(NOT(Paths!$C$354=1),0,IF(Paths!$P$354="Complete",F3824/12*(Paths!$L$354*(1+IF(Paths!$D$354="EV",'Operating costs'!$B$52,'Operating costs'!$B$51))^MAX(0,C3824-1)+Paths!$M$354*(1+'Operating costs'!$B$53)^MAX(0,C3824-1)),"n.a."))</f>
        <v>0</v>
      </c>
      <c r="I3824" s="16">
        <f>IF(NOT(Paths!$C$354=1),0,IF(Paths!$P$354="Complete",IF(IF(Paths!$E$354=0,C3824=0,AND(C3824&gt;0,Paths!$E$354&gt;(C3824-1)*12,Paths!$E$354&lt;=C3824*12)),Paths!$G$354,0),"n.a."))</f>
        <v>0</v>
      </c>
      <c r="J3824" s="16">
        <f>IF(NOT(Paths!$C$354=1),0,IF(Paths!$P$354="Complete",IF(IF(Paths!$E$354=0,C3824=0,AND(C3824&gt;0,Paths!$E$354&gt;(C3824-1)*12,Paths!$E$354&lt;=C3824*12)),Paths!$H$354,0),"n.a."))</f>
        <v>0</v>
      </c>
      <c r="K3824" s="16">
        <f>IF(NOT(Paths!$C$354=1),0,IF(Paths!$P$354="Complete",IF(IF(Paths!$O$354=0,C3824=0,AND(C3824&gt;0,Paths!$O$354&gt;(C3824-1)*12,Paths!$O$354&lt;=C3824*12)),Paths!$N$354,0),"n.a."))</f>
        <v>0</v>
      </c>
      <c r="L3824" s="16">
        <f>IF(NOT(Paths!$C$354=1),0,IF(Paths!$P$354="Complete",IF(C3824=10,Paths!$I$354,0),"n.a."))</f>
        <v>0</v>
      </c>
      <c r="M3824" s="16">
        <f>IF(NOT(Paths!$C$354=1),0,IF(Paths!$P$354="Complete",IF(AND(Paths!$D$354="EV",Paths!$E$354&lt;120,Paths!$E$354+'Operating costs'!$B$65&gt;Paths!$E$354,Paths!$E$354+'Operating costs'!$B$65&lt;=120,IF(Paths!$E$354+'Operating costs'!$B$65=0,C3824=0,AND(C3824&gt;0,Paths!$E$354+'Operating costs'!$B$65&gt;(C3824-1)*12,Paths!$E$354+'Operating costs'!$B$65&lt;=C3824*12))),'Operating costs'!$B$64,0)+IF(AND('Operating costs'!$B$67&gt;0,'Operating costs'!$B$67&lt;=120,OR(Paths!$D$354="ICE",'Operating costs'!$B$67&lt;=Paths!$E$354),IF('Operating costs'!$B$67=0,C3824=0,AND(C3824&gt;0,'Operating costs'!$B$67&gt;(C3824-1)*12,'Operating costs'!$B$67&lt;=C3824*12))),'Operating costs'!$B$66,0),"n.a."))</f>
        <v>0</v>
      </c>
      <c r="N3824" s="16">
        <f>IF(NOT(Paths!$C$354=1),0,IF(Paths!$P$354="Complete",SUM(G3824:I3824)-J3824-K3824-L3824+M3824+IF(C3824=0,Paths!$F$354,0)+IF(IF(Paths!$E$354=0,C3824=0,AND(C3824&gt;0,Paths!$E$354&gt;(C3824-1)*12,Paths!$E$354&lt;=C3824*12)),VLOOKUP(A3824,'Fleet register'!$A$7:$S$106,16,FALSE),0),"n.a."))</f>
        <v>0</v>
      </c>
      <c r="O3824" s="16">
        <f>IF(NOT(Paths!$C$354=1),0,IF(Paths!$P$354="Complete",N3824-IF(C3824=0,Paths!$F$354,0),"n.a."))</f>
        <v>0</v>
      </c>
      <c r="P3824" s="16">
        <f>IF(NOT(Paths!$C$354=1),0,IF(Paths!$P$354="Complete",O3824+L3824,"n.a."))</f>
        <v>0</v>
      </c>
      <c r="Q3824" s="16">
        <f>IF(NOT(Paths!$C$354=1),0,IF(Paths!$P$354="Complete",N3824*(1+'Operating costs'!$B$54)^-C3824,"n.a."))</f>
        <v>0</v>
      </c>
      <c r="R3824" s="16">
        <f>IF(NOT(Paths!$C$354=1),0,IF(Paths!$P$354="Complete",IF(AND(C3824=0,Paths!$E$354=0),I3824-J3824-K3824+VLOOKUP(A3824,'Fleet register'!$A$7:$S$106,15,FALSE)+VLOOKUP(A3824,'Fleet register'!$A$7:$S$106,16,FALSE),0),"n.a."))</f>
        <v>0</v>
      </c>
      <c r="S3824" s="1">
        <f>IF(NOT(Paths!$C$354=1),0,IF(Paths!$P$354="Complete",IF(C3824=0,0,Paths!$S$354*Paths!$R$354),"n.a."))</f>
        <v>0</v>
      </c>
      <c r="T3824" s="1">
        <f>IF(NOT(Paths!$C$354=1),0,IF(Paths!$P$354="Complete",IF(C3824=0,0,VLOOKUP(A3824,'Fleet register'!$A$7:$S$106,9,FALSE)*Paths!$R$354),"n.a."))</f>
        <v>0</v>
      </c>
    </row>
    <row r="3825" spans="1:20" ht="24" customHeight="1">
      <c r="A3825" s="1" t="str">
        <f>Paths!$A$354</f>
        <v>T087</v>
      </c>
      <c r="B3825" s="1">
        <f>Paths!$B$354</f>
        <v>3</v>
      </c>
      <c r="C3825" s="1">
        <v>1</v>
      </c>
      <c r="D3825" s="1">
        <v>354</v>
      </c>
      <c r="E3825" s="1">
        <f>IF(OR(Paths!$C$354=0,C3825=0),0,MAX(0,MIN(C3825*12,Paths!$E$354)-(C3825-1)*12))</f>
        <v>0</v>
      </c>
      <c r="F3825" s="1">
        <f>IF(OR(Paths!$C$354=0,C3825=0),0,12-E3825)</f>
        <v>0</v>
      </c>
      <c r="G3825" s="16">
        <f>IF(NOT(Paths!$C$354=1),0,IF(Paths!$P$354="Complete",E3825/12*(Paths!$J$354*(1+'Operating costs'!$B$51)^MAX(0,C3825-1)+Paths!$K$354*(1+'Operating costs'!$B$53)^MAX(0,C3825-1)),"n.a."))</f>
        <v>0</v>
      </c>
      <c r="H3825" s="16">
        <f>IF(NOT(Paths!$C$354=1),0,IF(Paths!$P$354="Complete",F3825/12*(Paths!$L$354*(1+IF(Paths!$D$354="EV",'Operating costs'!$B$52,'Operating costs'!$B$51))^MAX(0,C3825-1)+Paths!$M$354*(1+'Operating costs'!$B$53)^MAX(0,C3825-1)),"n.a."))</f>
        <v>0</v>
      </c>
      <c r="I3825" s="16">
        <f>IF(NOT(Paths!$C$354=1),0,IF(Paths!$P$354="Complete",IF(IF(Paths!$E$354=0,C3825=0,AND(C3825&gt;0,Paths!$E$354&gt;(C3825-1)*12,Paths!$E$354&lt;=C3825*12)),Paths!$G$354,0),"n.a."))</f>
        <v>0</v>
      </c>
      <c r="J3825" s="16">
        <f>IF(NOT(Paths!$C$354=1),0,IF(Paths!$P$354="Complete",IF(IF(Paths!$E$354=0,C3825=0,AND(C3825&gt;0,Paths!$E$354&gt;(C3825-1)*12,Paths!$E$354&lt;=C3825*12)),Paths!$H$354,0),"n.a."))</f>
        <v>0</v>
      </c>
      <c r="K3825" s="16">
        <f>IF(NOT(Paths!$C$354=1),0,IF(Paths!$P$354="Complete",IF(IF(Paths!$O$354=0,C3825=0,AND(C3825&gt;0,Paths!$O$354&gt;(C3825-1)*12,Paths!$O$354&lt;=C3825*12)),Paths!$N$354,0),"n.a."))</f>
        <v>0</v>
      </c>
      <c r="L3825" s="16">
        <f>IF(NOT(Paths!$C$354=1),0,IF(Paths!$P$354="Complete",IF(C3825=10,Paths!$I$354,0),"n.a."))</f>
        <v>0</v>
      </c>
      <c r="M3825" s="16">
        <f>IF(NOT(Paths!$C$354=1),0,IF(Paths!$P$354="Complete",IF(AND(Paths!$D$354="EV",Paths!$E$354&lt;120,Paths!$E$354+'Operating costs'!$B$65&gt;Paths!$E$354,Paths!$E$354+'Operating costs'!$B$65&lt;=120,IF(Paths!$E$354+'Operating costs'!$B$65=0,C3825=0,AND(C3825&gt;0,Paths!$E$354+'Operating costs'!$B$65&gt;(C3825-1)*12,Paths!$E$354+'Operating costs'!$B$65&lt;=C3825*12))),'Operating costs'!$B$64,0)+IF(AND('Operating costs'!$B$67&gt;0,'Operating costs'!$B$67&lt;=120,OR(Paths!$D$354="ICE",'Operating costs'!$B$67&lt;=Paths!$E$354),IF('Operating costs'!$B$67=0,C3825=0,AND(C3825&gt;0,'Operating costs'!$B$67&gt;(C3825-1)*12,'Operating costs'!$B$67&lt;=C3825*12))),'Operating costs'!$B$66,0),"n.a."))</f>
        <v>0</v>
      </c>
      <c r="N3825" s="16">
        <f>IF(NOT(Paths!$C$354=1),0,IF(Paths!$P$354="Complete",SUM(G3825:I3825)-J3825-K3825-L3825+M3825+IF(C3825=0,Paths!$F$354,0)+IF(IF(Paths!$E$354=0,C3825=0,AND(C3825&gt;0,Paths!$E$354&gt;(C3825-1)*12,Paths!$E$354&lt;=C3825*12)),VLOOKUP(A3825,'Fleet register'!$A$7:$S$106,16,FALSE),0),"n.a."))</f>
        <v>0</v>
      </c>
      <c r="O3825" s="16">
        <f>IF(NOT(Paths!$C$354=1),0,IF(Paths!$P$354="Complete",N3825-IF(C3825=0,Paths!$F$354,0),"n.a."))</f>
        <v>0</v>
      </c>
      <c r="P3825" s="16">
        <f>IF(NOT(Paths!$C$354=1),0,IF(Paths!$P$354="Complete",O3825+L3825,"n.a."))</f>
        <v>0</v>
      </c>
      <c r="Q3825" s="16">
        <f>IF(NOT(Paths!$C$354=1),0,IF(Paths!$P$354="Complete",N3825*(1+'Operating costs'!$B$54)^-C3825,"n.a."))</f>
        <v>0</v>
      </c>
      <c r="R3825" s="16">
        <f>IF(NOT(Paths!$C$354=1),0,IF(Paths!$P$354="Complete",IF(AND(C3825=0,Paths!$E$354=0),I3825-J3825-K3825+VLOOKUP(A3825,'Fleet register'!$A$7:$S$106,15,FALSE)+VLOOKUP(A3825,'Fleet register'!$A$7:$S$106,16,FALSE),0),"n.a."))</f>
        <v>0</v>
      </c>
      <c r="S3825" s="1">
        <f>IF(NOT(Paths!$C$354=1),0,IF(Paths!$P$354="Complete",IF(C3825=0,0,Paths!$S$354*Paths!$R$354),"n.a."))</f>
        <v>0</v>
      </c>
      <c r="T3825" s="1">
        <f>IF(NOT(Paths!$C$354=1),0,IF(Paths!$P$354="Complete",IF(C3825=0,0,VLOOKUP(A3825,'Fleet register'!$A$7:$S$106,9,FALSE)*Paths!$R$354),"n.a."))</f>
        <v>0</v>
      </c>
    </row>
    <row r="3826" spans="1:20" ht="24" customHeight="1">
      <c r="A3826" s="1" t="str">
        <f>Paths!$A$354</f>
        <v>T087</v>
      </c>
      <c r="B3826" s="1">
        <f>Paths!$B$354</f>
        <v>3</v>
      </c>
      <c r="C3826" s="1">
        <v>2</v>
      </c>
      <c r="D3826" s="1">
        <v>354</v>
      </c>
      <c r="E3826" s="1">
        <f>IF(OR(Paths!$C$354=0,C3826=0),0,MAX(0,MIN(C3826*12,Paths!$E$354)-(C3826-1)*12))</f>
        <v>0</v>
      </c>
      <c r="F3826" s="1">
        <f>IF(OR(Paths!$C$354=0,C3826=0),0,12-E3826)</f>
        <v>0</v>
      </c>
      <c r="G3826" s="16">
        <f>IF(NOT(Paths!$C$354=1),0,IF(Paths!$P$354="Complete",E3826/12*(Paths!$J$354*(1+'Operating costs'!$B$51)^MAX(0,C3826-1)+Paths!$K$354*(1+'Operating costs'!$B$53)^MAX(0,C3826-1)),"n.a."))</f>
        <v>0</v>
      </c>
      <c r="H3826" s="16">
        <f>IF(NOT(Paths!$C$354=1),0,IF(Paths!$P$354="Complete",F3826/12*(Paths!$L$354*(1+IF(Paths!$D$354="EV",'Operating costs'!$B$52,'Operating costs'!$B$51))^MAX(0,C3826-1)+Paths!$M$354*(1+'Operating costs'!$B$53)^MAX(0,C3826-1)),"n.a."))</f>
        <v>0</v>
      </c>
      <c r="I3826" s="16">
        <f>IF(NOT(Paths!$C$354=1),0,IF(Paths!$P$354="Complete",IF(IF(Paths!$E$354=0,C3826=0,AND(C3826&gt;0,Paths!$E$354&gt;(C3826-1)*12,Paths!$E$354&lt;=C3826*12)),Paths!$G$354,0),"n.a."))</f>
        <v>0</v>
      </c>
      <c r="J3826" s="16">
        <f>IF(NOT(Paths!$C$354=1),0,IF(Paths!$P$354="Complete",IF(IF(Paths!$E$354=0,C3826=0,AND(C3826&gt;0,Paths!$E$354&gt;(C3826-1)*12,Paths!$E$354&lt;=C3826*12)),Paths!$H$354,0),"n.a."))</f>
        <v>0</v>
      </c>
      <c r="K3826" s="16">
        <f>IF(NOT(Paths!$C$354=1),0,IF(Paths!$P$354="Complete",IF(IF(Paths!$O$354=0,C3826=0,AND(C3826&gt;0,Paths!$O$354&gt;(C3826-1)*12,Paths!$O$354&lt;=C3826*12)),Paths!$N$354,0),"n.a."))</f>
        <v>0</v>
      </c>
      <c r="L3826" s="16">
        <f>IF(NOT(Paths!$C$354=1),0,IF(Paths!$P$354="Complete",IF(C3826=10,Paths!$I$354,0),"n.a."))</f>
        <v>0</v>
      </c>
      <c r="M3826" s="16">
        <f>IF(NOT(Paths!$C$354=1),0,IF(Paths!$P$354="Complete",IF(AND(Paths!$D$354="EV",Paths!$E$354&lt;120,Paths!$E$354+'Operating costs'!$B$65&gt;Paths!$E$354,Paths!$E$354+'Operating costs'!$B$65&lt;=120,IF(Paths!$E$354+'Operating costs'!$B$65=0,C3826=0,AND(C3826&gt;0,Paths!$E$354+'Operating costs'!$B$65&gt;(C3826-1)*12,Paths!$E$354+'Operating costs'!$B$65&lt;=C3826*12))),'Operating costs'!$B$64,0)+IF(AND('Operating costs'!$B$67&gt;0,'Operating costs'!$B$67&lt;=120,OR(Paths!$D$354="ICE",'Operating costs'!$B$67&lt;=Paths!$E$354),IF('Operating costs'!$B$67=0,C3826=0,AND(C3826&gt;0,'Operating costs'!$B$67&gt;(C3826-1)*12,'Operating costs'!$B$67&lt;=C3826*12))),'Operating costs'!$B$66,0),"n.a."))</f>
        <v>0</v>
      </c>
      <c r="N3826" s="16">
        <f>IF(NOT(Paths!$C$354=1),0,IF(Paths!$P$354="Complete",SUM(G3826:I3826)-J3826-K3826-L3826+M3826+IF(C3826=0,Paths!$F$354,0)+IF(IF(Paths!$E$354=0,C3826=0,AND(C3826&gt;0,Paths!$E$354&gt;(C3826-1)*12,Paths!$E$354&lt;=C3826*12)),VLOOKUP(A3826,'Fleet register'!$A$7:$S$106,16,FALSE),0),"n.a."))</f>
        <v>0</v>
      </c>
      <c r="O3826" s="16">
        <f>IF(NOT(Paths!$C$354=1),0,IF(Paths!$P$354="Complete",N3826-IF(C3826=0,Paths!$F$354,0),"n.a."))</f>
        <v>0</v>
      </c>
      <c r="P3826" s="16">
        <f>IF(NOT(Paths!$C$354=1),0,IF(Paths!$P$354="Complete",O3826+L3826,"n.a."))</f>
        <v>0</v>
      </c>
      <c r="Q3826" s="16">
        <f>IF(NOT(Paths!$C$354=1),0,IF(Paths!$P$354="Complete",N3826*(1+'Operating costs'!$B$54)^-C3826,"n.a."))</f>
        <v>0</v>
      </c>
      <c r="R3826" s="16">
        <f>IF(NOT(Paths!$C$354=1),0,IF(Paths!$P$354="Complete",IF(AND(C3826=0,Paths!$E$354=0),I3826-J3826-K3826+VLOOKUP(A3826,'Fleet register'!$A$7:$S$106,15,FALSE)+VLOOKUP(A3826,'Fleet register'!$A$7:$S$106,16,FALSE),0),"n.a."))</f>
        <v>0</v>
      </c>
      <c r="S3826" s="1">
        <f>IF(NOT(Paths!$C$354=1),0,IF(Paths!$P$354="Complete",IF(C3826=0,0,Paths!$S$354*Paths!$R$354),"n.a."))</f>
        <v>0</v>
      </c>
      <c r="T3826" s="1">
        <f>IF(NOT(Paths!$C$354=1),0,IF(Paths!$P$354="Complete",IF(C3826=0,0,VLOOKUP(A3826,'Fleet register'!$A$7:$S$106,9,FALSE)*Paths!$R$354),"n.a."))</f>
        <v>0</v>
      </c>
    </row>
    <row r="3827" spans="1:20" ht="24" customHeight="1">
      <c r="A3827" s="1" t="str">
        <f>Paths!$A$354</f>
        <v>T087</v>
      </c>
      <c r="B3827" s="1">
        <f>Paths!$B$354</f>
        <v>3</v>
      </c>
      <c r="C3827" s="1">
        <v>3</v>
      </c>
      <c r="D3827" s="1">
        <v>354</v>
      </c>
      <c r="E3827" s="1">
        <f>IF(OR(Paths!$C$354=0,C3827=0),0,MAX(0,MIN(C3827*12,Paths!$E$354)-(C3827-1)*12))</f>
        <v>0</v>
      </c>
      <c r="F3827" s="1">
        <f>IF(OR(Paths!$C$354=0,C3827=0),0,12-E3827)</f>
        <v>0</v>
      </c>
      <c r="G3827" s="16">
        <f>IF(NOT(Paths!$C$354=1),0,IF(Paths!$P$354="Complete",E3827/12*(Paths!$J$354*(1+'Operating costs'!$B$51)^MAX(0,C3827-1)+Paths!$K$354*(1+'Operating costs'!$B$53)^MAX(0,C3827-1)),"n.a."))</f>
        <v>0</v>
      </c>
      <c r="H3827" s="16">
        <f>IF(NOT(Paths!$C$354=1),0,IF(Paths!$P$354="Complete",F3827/12*(Paths!$L$354*(1+IF(Paths!$D$354="EV",'Operating costs'!$B$52,'Operating costs'!$B$51))^MAX(0,C3827-1)+Paths!$M$354*(1+'Operating costs'!$B$53)^MAX(0,C3827-1)),"n.a."))</f>
        <v>0</v>
      </c>
      <c r="I3827" s="16">
        <f>IF(NOT(Paths!$C$354=1),0,IF(Paths!$P$354="Complete",IF(IF(Paths!$E$354=0,C3827=0,AND(C3827&gt;0,Paths!$E$354&gt;(C3827-1)*12,Paths!$E$354&lt;=C3827*12)),Paths!$G$354,0),"n.a."))</f>
        <v>0</v>
      </c>
      <c r="J3827" s="16">
        <f>IF(NOT(Paths!$C$354=1),0,IF(Paths!$P$354="Complete",IF(IF(Paths!$E$354=0,C3827=0,AND(C3827&gt;0,Paths!$E$354&gt;(C3827-1)*12,Paths!$E$354&lt;=C3827*12)),Paths!$H$354,0),"n.a."))</f>
        <v>0</v>
      </c>
      <c r="K3827" s="16">
        <f>IF(NOT(Paths!$C$354=1),0,IF(Paths!$P$354="Complete",IF(IF(Paths!$O$354=0,C3827=0,AND(C3827&gt;0,Paths!$O$354&gt;(C3827-1)*12,Paths!$O$354&lt;=C3827*12)),Paths!$N$354,0),"n.a."))</f>
        <v>0</v>
      </c>
      <c r="L3827" s="16">
        <f>IF(NOT(Paths!$C$354=1),0,IF(Paths!$P$354="Complete",IF(C3827=10,Paths!$I$354,0),"n.a."))</f>
        <v>0</v>
      </c>
      <c r="M3827" s="16">
        <f>IF(NOT(Paths!$C$354=1),0,IF(Paths!$P$354="Complete",IF(AND(Paths!$D$354="EV",Paths!$E$354&lt;120,Paths!$E$354+'Operating costs'!$B$65&gt;Paths!$E$354,Paths!$E$354+'Operating costs'!$B$65&lt;=120,IF(Paths!$E$354+'Operating costs'!$B$65=0,C3827=0,AND(C3827&gt;0,Paths!$E$354+'Operating costs'!$B$65&gt;(C3827-1)*12,Paths!$E$354+'Operating costs'!$B$65&lt;=C3827*12))),'Operating costs'!$B$64,0)+IF(AND('Operating costs'!$B$67&gt;0,'Operating costs'!$B$67&lt;=120,OR(Paths!$D$354="ICE",'Operating costs'!$B$67&lt;=Paths!$E$354),IF('Operating costs'!$B$67=0,C3827=0,AND(C3827&gt;0,'Operating costs'!$B$67&gt;(C3827-1)*12,'Operating costs'!$B$67&lt;=C3827*12))),'Operating costs'!$B$66,0),"n.a."))</f>
        <v>0</v>
      </c>
      <c r="N3827" s="16">
        <f>IF(NOT(Paths!$C$354=1),0,IF(Paths!$P$354="Complete",SUM(G3827:I3827)-J3827-K3827-L3827+M3827+IF(C3827=0,Paths!$F$354,0)+IF(IF(Paths!$E$354=0,C3827=0,AND(C3827&gt;0,Paths!$E$354&gt;(C3827-1)*12,Paths!$E$354&lt;=C3827*12)),VLOOKUP(A3827,'Fleet register'!$A$7:$S$106,16,FALSE),0),"n.a."))</f>
        <v>0</v>
      </c>
      <c r="O3827" s="16">
        <f>IF(NOT(Paths!$C$354=1),0,IF(Paths!$P$354="Complete",N3827-IF(C3827=0,Paths!$F$354,0),"n.a."))</f>
        <v>0</v>
      </c>
      <c r="P3827" s="16">
        <f>IF(NOT(Paths!$C$354=1),0,IF(Paths!$P$354="Complete",O3827+L3827,"n.a."))</f>
        <v>0</v>
      </c>
      <c r="Q3827" s="16">
        <f>IF(NOT(Paths!$C$354=1),0,IF(Paths!$P$354="Complete",N3827*(1+'Operating costs'!$B$54)^-C3827,"n.a."))</f>
        <v>0</v>
      </c>
      <c r="R3827" s="16">
        <f>IF(NOT(Paths!$C$354=1),0,IF(Paths!$P$354="Complete",IF(AND(C3827=0,Paths!$E$354=0),I3827-J3827-K3827+VLOOKUP(A3827,'Fleet register'!$A$7:$S$106,15,FALSE)+VLOOKUP(A3827,'Fleet register'!$A$7:$S$106,16,FALSE),0),"n.a."))</f>
        <v>0</v>
      </c>
      <c r="S3827" s="1">
        <f>IF(NOT(Paths!$C$354=1),0,IF(Paths!$P$354="Complete",IF(C3827=0,0,Paths!$S$354*Paths!$R$354),"n.a."))</f>
        <v>0</v>
      </c>
      <c r="T3827" s="1">
        <f>IF(NOT(Paths!$C$354=1),0,IF(Paths!$P$354="Complete",IF(C3827=0,0,VLOOKUP(A3827,'Fleet register'!$A$7:$S$106,9,FALSE)*Paths!$R$354),"n.a."))</f>
        <v>0</v>
      </c>
    </row>
    <row r="3828" spans="1:20" ht="24" customHeight="1">
      <c r="A3828" s="1" t="str">
        <f>Paths!$A$354</f>
        <v>T087</v>
      </c>
      <c r="B3828" s="1">
        <f>Paths!$B$354</f>
        <v>3</v>
      </c>
      <c r="C3828" s="1">
        <v>4</v>
      </c>
      <c r="D3828" s="1">
        <v>354</v>
      </c>
      <c r="E3828" s="1">
        <f>IF(OR(Paths!$C$354=0,C3828=0),0,MAX(0,MIN(C3828*12,Paths!$E$354)-(C3828-1)*12))</f>
        <v>0</v>
      </c>
      <c r="F3828" s="1">
        <f>IF(OR(Paths!$C$354=0,C3828=0),0,12-E3828)</f>
        <v>0</v>
      </c>
      <c r="G3828" s="16">
        <f>IF(NOT(Paths!$C$354=1),0,IF(Paths!$P$354="Complete",E3828/12*(Paths!$J$354*(1+'Operating costs'!$B$51)^MAX(0,C3828-1)+Paths!$K$354*(1+'Operating costs'!$B$53)^MAX(0,C3828-1)),"n.a."))</f>
        <v>0</v>
      </c>
      <c r="H3828" s="16">
        <f>IF(NOT(Paths!$C$354=1),0,IF(Paths!$P$354="Complete",F3828/12*(Paths!$L$354*(1+IF(Paths!$D$354="EV",'Operating costs'!$B$52,'Operating costs'!$B$51))^MAX(0,C3828-1)+Paths!$M$354*(1+'Operating costs'!$B$53)^MAX(0,C3828-1)),"n.a."))</f>
        <v>0</v>
      </c>
      <c r="I3828" s="16">
        <f>IF(NOT(Paths!$C$354=1),0,IF(Paths!$P$354="Complete",IF(IF(Paths!$E$354=0,C3828=0,AND(C3828&gt;0,Paths!$E$354&gt;(C3828-1)*12,Paths!$E$354&lt;=C3828*12)),Paths!$G$354,0),"n.a."))</f>
        <v>0</v>
      </c>
      <c r="J3828" s="16">
        <f>IF(NOT(Paths!$C$354=1),0,IF(Paths!$P$354="Complete",IF(IF(Paths!$E$354=0,C3828=0,AND(C3828&gt;0,Paths!$E$354&gt;(C3828-1)*12,Paths!$E$354&lt;=C3828*12)),Paths!$H$354,0),"n.a."))</f>
        <v>0</v>
      </c>
      <c r="K3828" s="16">
        <f>IF(NOT(Paths!$C$354=1),0,IF(Paths!$P$354="Complete",IF(IF(Paths!$O$354=0,C3828=0,AND(C3828&gt;0,Paths!$O$354&gt;(C3828-1)*12,Paths!$O$354&lt;=C3828*12)),Paths!$N$354,0),"n.a."))</f>
        <v>0</v>
      </c>
      <c r="L3828" s="16">
        <f>IF(NOT(Paths!$C$354=1),0,IF(Paths!$P$354="Complete",IF(C3828=10,Paths!$I$354,0),"n.a."))</f>
        <v>0</v>
      </c>
      <c r="M3828" s="16">
        <f>IF(NOT(Paths!$C$354=1),0,IF(Paths!$P$354="Complete",IF(AND(Paths!$D$354="EV",Paths!$E$354&lt;120,Paths!$E$354+'Operating costs'!$B$65&gt;Paths!$E$354,Paths!$E$354+'Operating costs'!$B$65&lt;=120,IF(Paths!$E$354+'Operating costs'!$B$65=0,C3828=0,AND(C3828&gt;0,Paths!$E$354+'Operating costs'!$B$65&gt;(C3828-1)*12,Paths!$E$354+'Operating costs'!$B$65&lt;=C3828*12))),'Operating costs'!$B$64,0)+IF(AND('Operating costs'!$B$67&gt;0,'Operating costs'!$B$67&lt;=120,OR(Paths!$D$354="ICE",'Operating costs'!$B$67&lt;=Paths!$E$354),IF('Operating costs'!$B$67=0,C3828=0,AND(C3828&gt;0,'Operating costs'!$B$67&gt;(C3828-1)*12,'Operating costs'!$B$67&lt;=C3828*12))),'Operating costs'!$B$66,0),"n.a."))</f>
        <v>0</v>
      </c>
      <c r="N3828" s="16">
        <f>IF(NOT(Paths!$C$354=1),0,IF(Paths!$P$354="Complete",SUM(G3828:I3828)-J3828-K3828-L3828+M3828+IF(C3828=0,Paths!$F$354,0)+IF(IF(Paths!$E$354=0,C3828=0,AND(C3828&gt;0,Paths!$E$354&gt;(C3828-1)*12,Paths!$E$354&lt;=C3828*12)),VLOOKUP(A3828,'Fleet register'!$A$7:$S$106,16,FALSE),0),"n.a."))</f>
        <v>0</v>
      </c>
      <c r="O3828" s="16">
        <f>IF(NOT(Paths!$C$354=1),0,IF(Paths!$P$354="Complete",N3828-IF(C3828=0,Paths!$F$354,0),"n.a."))</f>
        <v>0</v>
      </c>
      <c r="P3828" s="16">
        <f>IF(NOT(Paths!$C$354=1),0,IF(Paths!$P$354="Complete",O3828+L3828,"n.a."))</f>
        <v>0</v>
      </c>
      <c r="Q3828" s="16">
        <f>IF(NOT(Paths!$C$354=1),0,IF(Paths!$P$354="Complete",N3828*(1+'Operating costs'!$B$54)^-C3828,"n.a."))</f>
        <v>0</v>
      </c>
      <c r="R3828" s="16">
        <f>IF(NOT(Paths!$C$354=1),0,IF(Paths!$P$354="Complete",IF(AND(C3828=0,Paths!$E$354=0),I3828-J3828-K3828+VLOOKUP(A3828,'Fleet register'!$A$7:$S$106,15,FALSE)+VLOOKUP(A3828,'Fleet register'!$A$7:$S$106,16,FALSE),0),"n.a."))</f>
        <v>0</v>
      </c>
      <c r="S3828" s="1">
        <f>IF(NOT(Paths!$C$354=1),0,IF(Paths!$P$354="Complete",IF(C3828=0,0,Paths!$S$354*Paths!$R$354),"n.a."))</f>
        <v>0</v>
      </c>
      <c r="T3828" s="1">
        <f>IF(NOT(Paths!$C$354=1),0,IF(Paths!$P$354="Complete",IF(C3828=0,0,VLOOKUP(A3828,'Fleet register'!$A$7:$S$106,9,FALSE)*Paths!$R$354),"n.a."))</f>
        <v>0</v>
      </c>
    </row>
    <row r="3829" spans="1:20" ht="24" customHeight="1">
      <c r="A3829" s="1" t="str">
        <f>Paths!$A$354</f>
        <v>T087</v>
      </c>
      <c r="B3829" s="1">
        <f>Paths!$B$354</f>
        <v>3</v>
      </c>
      <c r="C3829" s="1">
        <v>5</v>
      </c>
      <c r="D3829" s="1">
        <v>354</v>
      </c>
      <c r="E3829" s="1">
        <f>IF(OR(Paths!$C$354=0,C3829=0),0,MAX(0,MIN(C3829*12,Paths!$E$354)-(C3829-1)*12))</f>
        <v>0</v>
      </c>
      <c r="F3829" s="1">
        <f>IF(OR(Paths!$C$354=0,C3829=0),0,12-E3829)</f>
        <v>0</v>
      </c>
      <c r="G3829" s="16">
        <f>IF(NOT(Paths!$C$354=1),0,IF(Paths!$P$354="Complete",E3829/12*(Paths!$J$354*(1+'Operating costs'!$B$51)^MAX(0,C3829-1)+Paths!$K$354*(1+'Operating costs'!$B$53)^MAX(0,C3829-1)),"n.a."))</f>
        <v>0</v>
      </c>
      <c r="H3829" s="16">
        <f>IF(NOT(Paths!$C$354=1),0,IF(Paths!$P$354="Complete",F3829/12*(Paths!$L$354*(1+IF(Paths!$D$354="EV",'Operating costs'!$B$52,'Operating costs'!$B$51))^MAX(0,C3829-1)+Paths!$M$354*(1+'Operating costs'!$B$53)^MAX(0,C3829-1)),"n.a."))</f>
        <v>0</v>
      </c>
      <c r="I3829" s="16">
        <f>IF(NOT(Paths!$C$354=1),0,IF(Paths!$P$354="Complete",IF(IF(Paths!$E$354=0,C3829=0,AND(C3829&gt;0,Paths!$E$354&gt;(C3829-1)*12,Paths!$E$354&lt;=C3829*12)),Paths!$G$354,0),"n.a."))</f>
        <v>0</v>
      </c>
      <c r="J3829" s="16">
        <f>IF(NOT(Paths!$C$354=1),0,IF(Paths!$P$354="Complete",IF(IF(Paths!$E$354=0,C3829=0,AND(C3829&gt;0,Paths!$E$354&gt;(C3829-1)*12,Paths!$E$354&lt;=C3829*12)),Paths!$H$354,0),"n.a."))</f>
        <v>0</v>
      </c>
      <c r="K3829" s="16">
        <f>IF(NOT(Paths!$C$354=1),0,IF(Paths!$P$354="Complete",IF(IF(Paths!$O$354=0,C3829=0,AND(C3829&gt;0,Paths!$O$354&gt;(C3829-1)*12,Paths!$O$354&lt;=C3829*12)),Paths!$N$354,0),"n.a."))</f>
        <v>0</v>
      </c>
      <c r="L3829" s="16">
        <f>IF(NOT(Paths!$C$354=1),0,IF(Paths!$P$354="Complete",IF(C3829=10,Paths!$I$354,0),"n.a."))</f>
        <v>0</v>
      </c>
      <c r="M3829" s="16">
        <f>IF(NOT(Paths!$C$354=1),0,IF(Paths!$P$354="Complete",IF(AND(Paths!$D$354="EV",Paths!$E$354&lt;120,Paths!$E$354+'Operating costs'!$B$65&gt;Paths!$E$354,Paths!$E$354+'Operating costs'!$B$65&lt;=120,IF(Paths!$E$354+'Operating costs'!$B$65=0,C3829=0,AND(C3829&gt;0,Paths!$E$354+'Operating costs'!$B$65&gt;(C3829-1)*12,Paths!$E$354+'Operating costs'!$B$65&lt;=C3829*12))),'Operating costs'!$B$64,0)+IF(AND('Operating costs'!$B$67&gt;0,'Operating costs'!$B$67&lt;=120,OR(Paths!$D$354="ICE",'Operating costs'!$B$67&lt;=Paths!$E$354),IF('Operating costs'!$B$67=0,C3829=0,AND(C3829&gt;0,'Operating costs'!$B$67&gt;(C3829-1)*12,'Operating costs'!$B$67&lt;=C3829*12))),'Operating costs'!$B$66,0),"n.a."))</f>
        <v>0</v>
      </c>
      <c r="N3829" s="16">
        <f>IF(NOT(Paths!$C$354=1),0,IF(Paths!$P$354="Complete",SUM(G3829:I3829)-J3829-K3829-L3829+M3829+IF(C3829=0,Paths!$F$354,0)+IF(IF(Paths!$E$354=0,C3829=0,AND(C3829&gt;0,Paths!$E$354&gt;(C3829-1)*12,Paths!$E$354&lt;=C3829*12)),VLOOKUP(A3829,'Fleet register'!$A$7:$S$106,16,FALSE),0),"n.a."))</f>
        <v>0</v>
      </c>
      <c r="O3829" s="16">
        <f>IF(NOT(Paths!$C$354=1),0,IF(Paths!$P$354="Complete",N3829-IF(C3829=0,Paths!$F$354,0),"n.a."))</f>
        <v>0</v>
      </c>
      <c r="P3829" s="16">
        <f>IF(NOT(Paths!$C$354=1),0,IF(Paths!$P$354="Complete",O3829+L3829,"n.a."))</f>
        <v>0</v>
      </c>
      <c r="Q3829" s="16">
        <f>IF(NOT(Paths!$C$354=1),0,IF(Paths!$P$354="Complete",N3829*(1+'Operating costs'!$B$54)^-C3829,"n.a."))</f>
        <v>0</v>
      </c>
      <c r="R3829" s="16">
        <f>IF(NOT(Paths!$C$354=1),0,IF(Paths!$P$354="Complete",IF(AND(C3829=0,Paths!$E$354=0),I3829-J3829-K3829+VLOOKUP(A3829,'Fleet register'!$A$7:$S$106,15,FALSE)+VLOOKUP(A3829,'Fleet register'!$A$7:$S$106,16,FALSE),0),"n.a."))</f>
        <v>0</v>
      </c>
      <c r="S3829" s="1">
        <f>IF(NOT(Paths!$C$354=1),0,IF(Paths!$P$354="Complete",IF(C3829=0,0,Paths!$S$354*Paths!$R$354),"n.a."))</f>
        <v>0</v>
      </c>
      <c r="T3829" s="1">
        <f>IF(NOT(Paths!$C$354=1),0,IF(Paths!$P$354="Complete",IF(C3829=0,0,VLOOKUP(A3829,'Fleet register'!$A$7:$S$106,9,FALSE)*Paths!$R$354),"n.a."))</f>
        <v>0</v>
      </c>
    </row>
    <row r="3830" spans="1:20" ht="24" customHeight="1">
      <c r="A3830" s="1" t="str">
        <f>Paths!$A$354</f>
        <v>T087</v>
      </c>
      <c r="B3830" s="1">
        <f>Paths!$B$354</f>
        <v>3</v>
      </c>
      <c r="C3830" s="1">
        <v>6</v>
      </c>
      <c r="D3830" s="1">
        <v>354</v>
      </c>
      <c r="E3830" s="1">
        <f>IF(OR(Paths!$C$354=0,C3830=0),0,MAX(0,MIN(C3830*12,Paths!$E$354)-(C3830-1)*12))</f>
        <v>0</v>
      </c>
      <c r="F3830" s="1">
        <f>IF(OR(Paths!$C$354=0,C3830=0),0,12-E3830)</f>
        <v>0</v>
      </c>
      <c r="G3830" s="16">
        <f>IF(NOT(Paths!$C$354=1),0,IF(Paths!$P$354="Complete",E3830/12*(Paths!$J$354*(1+'Operating costs'!$B$51)^MAX(0,C3830-1)+Paths!$K$354*(1+'Operating costs'!$B$53)^MAX(0,C3830-1)),"n.a."))</f>
        <v>0</v>
      </c>
      <c r="H3830" s="16">
        <f>IF(NOT(Paths!$C$354=1),0,IF(Paths!$P$354="Complete",F3830/12*(Paths!$L$354*(1+IF(Paths!$D$354="EV",'Operating costs'!$B$52,'Operating costs'!$B$51))^MAX(0,C3830-1)+Paths!$M$354*(1+'Operating costs'!$B$53)^MAX(0,C3830-1)),"n.a."))</f>
        <v>0</v>
      </c>
      <c r="I3830" s="16">
        <f>IF(NOT(Paths!$C$354=1),0,IF(Paths!$P$354="Complete",IF(IF(Paths!$E$354=0,C3830=0,AND(C3830&gt;0,Paths!$E$354&gt;(C3830-1)*12,Paths!$E$354&lt;=C3830*12)),Paths!$G$354,0),"n.a."))</f>
        <v>0</v>
      </c>
      <c r="J3830" s="16">
        <f>IF(NOT(Paths!$C$354=1),0,IF(Paths!$P$354="Complete",IF(IF(Paths!$E$354=0,C3830=0,AND(C3830&gt;0,Paths!$E$354&gt;(C3830-1)*12,Paths!$E$354&lt;=C3830*12)),Paths!$H$354,0),"n.a."))</f>
        <v>0</v>
      </c>
      <c r="K3830" s="16">
        <f>IF(NOT(Paths!$C$354=1),0,IF(Paths!$P$354="Complete",IF(IF(Paths!$O$354=0,C3830=0,AND(C3830&gt;0,Paths!$O$354&gt;(C3830-1)*12,Paths!$O$354&lt;=C3830*12)),Paths!$N$354,0),"n.a."))</f>
        <v>0</v>
      </c>
      <c r="L3830" s="16">
        <f>IF(NOT(Paths!$C$354=1),0,IF(Paths!$P$354="Complete",IF(C3830=10,Paths!$I$354,0),"n.a."))</f>
        <v>0</v>
      </c>
      <c r="M3830" s="16">
        <f>IF(NOT(Paths!$C$354=1),0,IF(Paths!$P$354="Complete",IF(AND(Paths!$D$354="EV",Paths!$E$354&lt;120,Paths!$E$354+'Operating costs'!$B$65&gt;Paths!$E$354,Paths!$E$354+'Operating costs'!$B$65&lt;=120,IF(Paths!$E$354+'Operating costs'!$B$65=0,C3830=0,AND(C3830&gt;0,Paths!$E$354+'Operating costs'!$B$65&gt;(C3830-1)*12,Paths!$E$354+'Operating costs'!$B$65&lt;=C3830*12))),'Operating costs'!$B$64,0)+IF(AND('Operating costs'!$B$67&gt;0,'Operating costs'!$B$67&lt;=120,OR(Paths!$D$354="ICE",'Operating costs'!$B$67&lt;=Paths!$E$354),IF('Operating costs'!$B$67=0,C3830=0,AND(C3830&gt;0,'Operating costs'!$B$67&gt;(C3830-1)*12,'Operating costs'!$B$67&lt;=C3830*12))),'Operating costs'!$B$66,0),"n.a."))</f>
        <v>0</v>
      </c>
      <c r="N3830" s="16">
        <f>IF(NOT(Paths!$C$354=1),0,IF(Paths!$P$354="Complete",SUM(G3830:I3830)-J3830-K3830-L3830+M3830+IF(C3830=0,Paths!$F$354,0)+IF(IF(Paths!$E$354=0,C3830=0,AND(C3830&gt;0,Paths!$E$354&gt;(C3830-1)*12,Paths!$E$354&lt;=C3830*12)),VLOOKUP(A3830,'Fleet register'!$A$7:$S$106,16,FALSE),0),"n.a."))</f>
        <v>0</v>
      </c>
      <c r="O3830" s="16">
        <f>IF(NOT(Paths!$C$354=1),0,IF(Paths!$P$354="Complete",N3830-IF(C3830=0,Paths!$F$354,0),"n.a."))</f>
        <v>0</v>
      </c>
      <c r="P3830" s="16">
        <f>IF(NOT(Paths!$C$354=1),0,IF(Paths!$P$354="Complete",O3830+L3830,"n.a."))</f>
        <v>0</v>
      </c>
      <c r="Q3830" s="16">
        <f>IF(NOT(Paths!$C$354=1),0,IF(Paths!$P$354="Complete",N3830*(1+'Operating costs'!$B$54)^-C3830,"n.a."))</f>
        <v>0</v>
      </c>
      <c r="R3830" s="16">
        <f>IF(NOT(Paths!$C$354=1),0,IF(Paths!$P$354="Complete",IF(AND(C3830=0,Paths!$E$354=0),I3830-J3830-K3830+VLOOKUP(A3830,'Fleet register'!$A$7:$S$106,15,FALSE)+VLOOKUP(A3830,'Fleet register'!$A$7:$S$106,16,FALSE),0),"n.a."))</f>
        <v>0</v>
      </c>
      <c r="S3830" s="1">
        <f>IF(NOT(Paths!$C$354=1),0,IF(Paths!$P$354="Complete",IF(C3830=0,0,Paths!$S$354*Paths!$R$354),"n.a."))</f>
        <v>0</v>
      </c>
      <c r="T3830" s="1">
        <f>IF(NOT(Paths!$C$354=1),0,IF(Paths!$P$354="Complete",IF(C3830=0,0,VLOOKUP(A3830,'Fleet register'!$A$7:$S$106,9,FALSE)*Paths!$R$354),"n.a."))</f>
        <v>0</v>
      </c>
    </row>
    <row r="3831" spans="1:20" ht="24" customHeight="1">
      <c r="A3831" s="1" t="str">
        <f>Paths!$A$354</f>
        <v>T087</v>
      </c>
      <c r="B3831" s="1">
        <f>Paths!$B$354</f>
        <v>3</v>
      </c>
      <c r="C3831" s="1">
        <v>7</v>
      </c>
      <c r="D3831" s="1">
        <v>354</v>
      </c>
      <c r="E3831" s="1">
        <f>IF(OR(Paths!$C$354=0,C3831=0),0,MAX(0,MIN(C3831*12,Paths!$E$354)-(C3831-1)*12))</f>
        <v>0</v>
      </c>
      <c r="F3831" s="1">
        <f>IF(OR(Paths!$C$354=0,C3831=0),0,12-E3831)</f>
        <v>0</v>
      </c>
      <c r="G3831" s="16">
        <f>IF(NOT(Paths!$C$354=1),0,IF(Paths!$P$354="Complete",E3831/12*(Paths!$J$354*(1+'Operating costs'!$B$51)^MAX(0,C3831-1)+Paths!$K$354*(1+'Operating costs'!$B$53)^MAX(0,C3831-1)),"n.a."))</f>
        <v>0</v>
      </c>
      <c r="H3831" s="16">
        <f>IF(NOT(Paths!$C$354=1),0,IF(Paths!$P$354="Complete",F3831/12*(Paths!$L$354*(1+IF(Paths!$D$354="EV",'Operating costs'!$B$52,'Operating costs'!$B$51))^MAX(0,C3831-1)+Paths!$M$354*(1+'Operating costs'!$B$53)^MAX(0,C3831-1)),"n.a."))</f>
        <v>0</v>
      </c>
      <c r="I3831" s="16">
        <f>IF(NOT(Paths!$C$354=1),0,IF(Paths!$P$354="Complete",IF(IF(Paths!$E$354=0,C3831=0,AND(C3831&gt;0,Paths!$E$354&gt;(C3831-1)*12,Paths!$E$354&lt;=C3831*12)),Paths!$G$354,0),"n.a."))</f>
        <v>0</v>
      </c>
      <c r="J3831" s="16">
        <f>IF(NOT(Paths!$C$354=1),0,IF(Paths!$P$354="Complete",IF(IF(Paths!$E$354=0,C3831=0,AND(C3831&gt;0,Paths!$E$354&gt;(C3831-1)*12,Paths!$E$354&lt;=C3831*12)),Paths!$H$354,0),"n.a."))</f>
        <v>0</v>
      </c>
      <c r="K3831" s="16">
        <f>IF(NOT(Paths!$C$354=1),0,IF(Paths!$P$354="Complete",IF(IF(Paths!$O$354=0,C3831=0,AND(C3831&gt;0,Paths!$O$354&gt;(C3831-1)*12,Paths!$O$354&lt;=C3831*12)),Paths!$N$354,0),"n.a."))</f>
        <v>0</v>
      </c>
      <c r="L3831" s="16">
        <f>IF(NOT(Paths!$C$354=1),0,IF(Paths!$P$354="Complete",IF(C3831=10,Paths!$I$354,0),"n.a."))</f>
        <v>0</v>
      </c>
      <c r="M3831" s="16">
        <f>IF(NOT(Paths!$C$354=1),0,IF(Paths!$P$354="Complete",IF(AND(Paths!$D$354="EV",Paths!$E$354&lt;120,Paths!$E$354+'Operating costs'!$B$65&gt;Paths!$E$354,Paths!$E$354+'Operating costs'!$B$65&lt;=120,IF(Paths!$E$354+'Operating costs'!$B$65=0,C3831=0,AND(C3831&gt;0,Paths!$E$354+'Operating costs'!$B$65&gt;(C3831-1)*12,Paths!$E$354+'Operating costs'!$B$65&lt;=C3831*12))),'Operating costs'!$B$64,0)+IF(AND('Operating costs'!$B$67&gt;0,'Operating costs'!$B$67&lt;=120,OR(Paths!$D$354="ICE",'Operating costs'!$B$67&lt;=Paths!$E$354),IF('Operating costs'!$B$67=0,C3831=0,AND(C3831&gt;0,'Operating costs'!$B$67&gt;(C3831-1)*12,'Operating costs'!$B$67&lt;=C3831*12))),'Operating costs'!$B$66,0),"n.a."))</f>
        <v>0</v>
      </c>
      <c r="N3831" s="16">
        <f>IF(NOT(Paths!$C$354=1),0,IF(Paths!$P$354="Complete",SUM(G3831:I3831)-J3831-K3831-L3831+M3831+IF(C3831=0,Paths!$F$354,0)+IF(IF(Paths!$E$354=0,C3831=0,AND(C3831&gt;0,Paths!$E$354&gt;(C3831-1)*12,Paths!$E$354&lt;=C3831*12)),VLOOKUP(A3831,'Fleet register'!$A$7:$S$106,16,FALSE),0),"n.a."))</f>
        <v>0</v>
      </c>
      <c r="O3831" s="16">
        <f>IF(NOT(Paths!$C$354=1),0,IF(Paths!$P$354="Complete",N3831-IF(C3831=0,Paths!$F$354,0),"n.a."))</f>
        <v>0</v>
      </c>
      <c r="P3831" s="16">
        <f>IF(NOT(Paths!$C$354=1),0,IF(Paths!$P$354="Complete",O3831+L3831,"n.a."))</f>
        <v>0</v>
      </c>
      <c r="Q3831" s="16">
        <f>IF(NOT(Paths!$C$354=1),0,IF(Paths!$P$354="Complete",N3831*(1+'Operating costs'!$B$54)^-C3831,"n.a."))</f>
        <v>0</v>
      </c>
      <c r="R3831" s="16">
        <f>IF(NOT(Paths!$C$354=1),0,IF(Paths!$P$354="Complete",IF(AND(C3831=0,Paths!$E$354=0),I3831-J3831-K3831+VLOOKUP(A3831,'Fleet register'!$A$7:$S$106,15,FALSE)+VLOOKUP(A3831,'Fleet register'!$A$7:$S$106,16,FALSE),0),"n.a."))</f>
        <v>0</v>
      </c>
      <c r="S3831" s="1">
        <f>IF(NOT(Paths!$C$354=1),0,IF(Paths!$P$354="Complete",IF(C3831=0,0,Paths!$S$354*Paths!$R$354),"n.a."))</f>
        <v>0</v>
      </c>
      <c r="T3831" s="1">
        <f>IF(NOT(Paths!$C$354=1),0,IF(Paths!$P$354="Complete",IF(C3831=0,0,VLOOKUP(A3831,'Fleet register'!$A$7:$S$106,9,FALSE)*Paths!$R$354),"n.a."))</f>
        <v>0</v>
      </c>
    </row>
    <row r="3832" spans="1:20" ht="24" customHeight="1">
      <c r="A3832" s="1" t="str">
        <f>Paths!$A$354</f>
        <v>T087</v>
      </c>
      <c r="B3832" s="1">
        <f>Paths!$B$354</f>
        <v>3</v>
      </c>
      <c r="C3832" s="1">
        <v>8</v>
      </c>
      <c r="D3832" s="1">
        <v>354</v>
      </c>
      <c r="E3832" s="1">
        <f>IF(OR(Paths!$C$354=0,C3832=0),0,MAX(0,MIN(C3832*12,Paths!$E$354)-(C3832-1)*12))</f>
        <v>0</v>
      </c>
      <c r="F3832" s="1">
        <f>IF(OR(Paths!$C$354=0,C3832=0),0,12-E3832)</f>
        <v>0</v>
      </c>
      <c r="G3832" s="16">
        <f>IF(NOT(Paths!$C$354=1),0,IF(Paths!$P$354="Complete",E3832/12*(Paths!$J$354*(1+'Operating costs'!$B$51)^MAX(0,C3832-1)+Paths!$K$354*(1+'Operating costs'!$B$53)^MAX(0,C3832-1)),"n.a."))</f>
        <v>0</v>
      </c>
      <c r="H3832" s="16">
        <f>IF(NOT(Paths!$C$354=1),0,IF(Paths!$P$354="Complete",F3832/12*(Paths!$L$354*(1+IF(Paths!$D$354="EV",'Operating costs'!$B$52,'Operating costs'!$B$51))^MAX(0,C3832-1)+Paths!$M$354*(1+'Operating costs'!$B$53)^MAX(0,C3832-1)),"n.a."))</f>
        <v>0</v>
      </c>
      <c r="I3832" s="16">
        <f>IF(NOT(Paths!$C$354=1),0,IF(Paths!$P$354="Complete",IF(IF(Paths!$E$354=0,C3832=0,AND(C3832&gt;0,Paths!$E$354&gt;(C3832-1)*12,Paths!$E$354&lt;=C3832*12)),Paths!$G$354,0),"n.a."))</f>
        <v>0</v>
      </c>
      <c r="J3832" s="16">
        <f>IF(NOT(Paths!$C$354=1),0,IF(Paths!$P$354="Complete",IF(IF(Paths!$E$354=0,C3832=0,AND(C3832&gt;0,Paths!$E$354&gt;(C3832-1)*12,Paths!$E$354&lt;=C3832*12)),Paths!$H$354,0),"n.a."))</f>
        <v>0</v>
      </c>
      <c r="K3832" s="16">
        <f>IF(NOT(Paths!$C$354=1),0,IF(Paths!$P$354="Complete",IF(IF(Paths!$O$354=0,C3832=0,AND(C3832&gt;0,Paths!$O$354&gt;(C3832-1)*12,Paths!$O$354&lt;=C3832*12)),Paths!$N$354,0),"n.a."))</f>
        <v>0</v>
      </c>
      <c r="L3832" s="16">
        <f>IF(NOT(Paths!$C$354=1),0,IF(Paths!$P$354="Complete",IF(C3832=10,Paths!$I$354,0),"n.a."))</f>
        <v>0</v>
      </c>
      <c r="M3832" s="16">
        <f>IF(NOT(Paths!$C$354=1),0,IF(Paths!$P$354="Complete",IF(AND(Paths!$D$354="EV",Paths!$E$354&lt;120,Paths!$E$354+'Operating costs'!$B$65&gt;Paths!$E$354,Paths!$E$354+'Operating costs'!$B$65&lt;=120,IF(Paths!$E$354+'Operating costs'!$B$65=0,C3832=0,AND(C3832&gt;0,Paths!$E$354+'Operating costs'!$B$65&gt;(C3832-1)*12,Paths!$E$354+'Operating costs'!$B$65&lt;=C3832*12))),'Operating costs'!$B$64,0)+IF(AND('Operating costs'!$B$67&gt;0,'Operating costs'!$B$67&lt;=120,OR(Paths!$D$354="ICE",'Operating costs'!$B$67&lt;=Paths!$E$354),IF('Operating costs'!$B$67=0,C3832=0,AND(C3832&gt;0,'Operating costs'!$B$67&gt;(C3832-1)*12,'Operating costs'!$B$67&lt;=C3832*12))),'Operating costs'!$B$66,0),"n.a."))</f>
        <v>0</v>
      </c>
      <c r="N3832" s="16">
        <f>IF(NOT(Paths!$C$354=1),0,IF(Paths!$P$354="Complete",SUM(G3832:I3832)-J3832-K3832-L3832+M3832+IF(C3832=0,Paths!$F$354,0)+IF(IF(Paths!$E$354=0,C3832=0,AND(C3832&gt;0,Paths!$E$354&gt;(C3832-1)*12,Paths!$E$354&lt;=C3832*12)),VLOOKUP(A3832,'Fleet register'!$A$7:$S$106,16,FALSE),0),"n.a."))</f>
        <v>0</v>
      </c>
      <c r="O3832" s="16">
        <f>IF(NOT(Paths!$C$354=1),0,IF(Paths!$P$354="Complete",N3832-IF(C3832=0,Paths!$F$354,0),"n.a."))</f>
        <v>0</v>
      </c>
      <c r="P3832" s="16">
        <f>IF(NOT(Paths!$C$354=1),0,IF(Paths!$P$354="Complete",O3832+L3832,"n.a."))</f>
        <v>0</v>
      </c>
      <c r="Q3832" s="16">
        <f>IF(NOT(Paths!$C$354=1),0,IF(Paths!$P$354="Complete",N3832*(1+'Operating costs'!$B$54)^-C3832,"n.a."))</f>
        <v>0</v>
      </c>
      <c r="R3832" s="16">
        <f>IF(NOT(Paths!$C$354=1),0,IF(Paths!$P$354="Complete",IF(AND(C3832=0,Paths!$E$354=0),I3832-J3832-K3832+VLOOKUP(A3832,'Fleet register'!$A$7:$S$106,15,FALSE)+VLOOKUP(A3832,'Fleet register'!$A$7:$S$106,16,FALSE),0),"n.a."))</f>
        <v>0</v>
      </c>
      <c r="S3832" s="1">
        <f>IF(NOT(Paths!$C$354=1),0,IF(Paths!$P$354="Complete",IF(C3832=0,0,Paths!$S$354*Paths!$R$354),"n.a."))</f>
        <v>0</v>
      </c>
      <c r="T3832" s="1">
        <f>IF(NOT(Paths!$C$354=1),0,IF(Paths!$P$354="Complete",IF(C3832=0,0,VLOOKUP(A3832,'Fleet register'!$A$7:$S$106,9,FALSE)*Paths!$R$354),"n.a."))</f>
        <v>0</v>
      </c>
    </row>
    <row r="3833" spans="1:20" ht="24" customHeight="1">
      <c r="A3833" s="1" t="str">
        <f>Paths!$A$354</f>
        <v>T087</v>
      </c>
      <c r="B3833" s="1">
        <f>Paths!$B$354</f>
        <v>3</v>
      </c>
      <c r="C3833" s="1">
        <v>9</v>
      </c>
      <c r="D3833" s="1">
        <v>354</v>
      </c>
      <c r="E3833" s="1">
        <f>IF(OR(Paths!$C$354=0,C3833=0),0,MAX(0,MIN(C3833*12,Paths!$E$354)-(C3833-1)*12))</f>
        <v>0</v>
      </c>
      <c r="F3833" s="1">
        <f>IF(OR(Paths!$C$354=0,C3833=0),0,12-E3833)</f>
        <v>0</v>
      </c>
      <c r="G3833" s="16">
        <f>IF(NOT(Paths!$C$354=1),0,IF(Paths!$P$354="Complete",E3833/12*(Paths!$J$354*(1+'Operating costs'!$B$51)^MAX(0,C3833-1)+Paths!$K$354*(1+'Operating costs'!$B$53)^MAX(0,C3833-1)),"n.a."))</f>
        <v>0</v>
      </c>
      <c r="H3833" s="16">
        <f>IF(NOT(Paths!$C$354=1),0,IF(Paths!$P$354="Complete",F3833/12*(Paths!$L$354*(1+IF(Paths!$D$354="EV",'Operating costs'!$B$52,'Operating costs'!$B$51))^MAX(0,C3833-1)+Paths!$M$354*(1+'Operating costs'!$B$53)^MAX(0,C3833-1)),"n.a."))</f>
        <v>0</v>
      </c>
      <c r="I3833" s="16">
        <f>IF(NOT(Paths!$C$354=1),0,IF(Paths!$P$354="Complete",IF(IF(Paths!$E$354=0,C3833=0,AND(C3833&gt;0,Paths!$E$354&gt;(C3833-1)*12,Paths!$E$354&lt;=C3833*12)),Paths!$G$354,0),"n.a."))</f>
        <v>0</v>
      </c>
      <c r="J3833" s="16">
        <f>IF(NOT(Paths!$C$354=1),0,IF(Paths!$P$354="Complete",IF(IF(Paths!$E$354=0,C3833=0,AND(C3833&gt;0,Paths!$E$354&gt;(C3833-1)*12,Paths!$E$354&lt;=C3833*12)),Paths!$H$354,0),"n.a."))</f>
        <v>0</v>
      </c>
      <c r="K3833" s="16">
        <f>IF(NOT(Paths!$C$354=1),0,IF(Paths!$P$354="Complete",IF(IF(Paths!$O$354=0,C3833=0,AND(C3833&gt;0,Paths!$O$354&gt;(C3833-1)*12,Paths!$O$354&lt;=C3833*12)),Paths!$N$354,0),"n.a."))</f>
        <v>0</v>
      </c>
      <c r="L3833" s="16">
        <f>IF(NOT(Paths!$C$354=1),0,IF(Paths!$P$354="Complete",IF(C3833=10,Paths!$I$354,0),"n.a."))</f>
        <v>0</v>
      </c>
      <c r="M3833" s="16">
        <f>IF(NOT(Paths!$C$354=1),0,IF(Paths!$P$354="Complete",IF(AND(Paths!$D$354="EV",Paths!$E$354&lt;120,Paths!$E$354+'Operating costs'!$B$65&gt;Paths!$E$354,Paths!$E$354+'Operating costs'!$B$65&lt;=120,IF(Paths!$E$354+'Operating costs'!$B$65=0,C3833=0,AND(C3833&gt;0,Paths!$E$354+'Operating costs'!$B$65&gt;(C3833-1)*12,Paths!$E$354+'Operating costs'!$B$65&lt;=C3833*12))),'Operating costs'!$B$64,0)+IF(AND('Operating costs'!$B$67&gt;0,'Operating costs'!$B$67&lt;=120,OR(Paths!$D$354="ICE",'Operating costs'!$B$67&lt;=Paths!$E$354),IF('Operating costs'!$B$67=0,C3833=0,AND(C3833&gt;0,'Operating costs'!$B$67&gt;(C3833-1)*12,'Operating costs'!$B$67&lt;=C3833*12))),'Operating costs'!$B$66,0),"n.a."))</f>
        <v>0</v>
      </c>
      <c r="N3833" s="16">
        <f>IF(NOT(Paths!$C$354=1),0,IF(Paths!$P$354="Complete",SUM(G3833:I3833)-J3833-K3833-L3833+M3833+IF(C3833=0,Paths!$F$354,0)+IF(IF(Paths!$E$354=0,C3833=0,AND(C3833&gt;0,Paths!$E$354&gt;(C3833-1)*12,Paths!$E$354&lt;=C3833*12)),VLOOKUP(A3833,'Fleet register'!$A$7:$S$106,16,FALSE),0),"n.a."))</f>
        <v>0</v>
      </c>
      <c r="O3833" s="16">
        <f>IF(NOT(Paths!$C$354=1),0,IF(Paths!$P$354="Complete",N3833-IF(C3833=0,Paths!$F$354,0),"n.a."))</f>
        <v>0</v>
      </c>
      <c r="P3833" s="16">
        <f>IF(NOT(Paths!$C$354=1),0,IF(Paths!$P$354="Complete",O3833+L3833,"n.a."))</f>
        <v>0</v>
      </c>
      <c r="Q3833" s="16">
        <f>IF(NOT(Paths!$C$354=1),0,IF(Paths!$P$354="Complete",N3833*(1+'Operating costs'!$B$54)^-C3833,"n.a."))</f>
        <v>0</v>
      </c>
      <c r="R3833" s="16">
        <f>IF(NOT(Paths!$C$354=1),0,IF(Paths!$P$354="Complete",IF(AND(C3833=0,Paths!$E$354=0),I3833-J3833-K3833+VLOOKUP(A3833,'Fleet register'!$A$7:$S$106,15,FALSE)+VLOOKUP(A3833,'Fleet register'!$A$7:$S$106,16,FALSE),0),"n.a."))</f>
        <v>0</v>
      </c>
      <c r="S3833" s="1">
        <f>IF(NOT(Paths!$C$354=1),0,IF(Paths!$P$354="Complete",IF(C3833=0,0,Paths!$S$354*Paths!$R$354),"n.a."))</f>
        <v>0</v>
      </c>
      <c r="T3833" s="1">
        <f>IF(NOT(Paths!$C$354=1),0,IF(Paths!$P$354="Complete",IF(C3833=0,0,VLOOKUP(A3833,'Fleet register'!$A$7:$S$106,9,FALSE)*Paths!$R$354),"n.a."))</f>
        <v>0</v>
      </c>
    </row>
    <row r="3834" spans="1:20" ht="24" customHeight="1">
      <c r="A3834" s="1" t="str">
        <f>Paths!$A$354</f>
        <v>T087</v>
      </c>
      <c r="B3834" s="1">
        <f>Paths!$B$354</f>
        <v>3</v>
      </c>
      <c r="C3834" s="1">
        <v>10</v>
      </c>
      <c r="D3834" s="1">
        <v>354</v>
      </c>
      <c r="E3834" s="1">
        <f>IF(OR(Paths!$C$354=0,C3834=0),0,MAX(0,MIN(C3834*12,Paths!$E$354)-(C3834-1)*12))</f>
        <v>0</v>
      </c>
      <c r="F3834" s="1">
        <f>IF(OR(Paths!$C$354=0,C3834=0),0,12-E3834)</f>
        <v>0</v>
      </c>
      <c r="G3834" s="16">
        <f>IF(NOT(Paths!$C$354=1),0,IF(Paths!$P$354="Complete",E3834/12*(Paths!$J$354*(1+'Operating costs'!$B$51)^MAX(0,C3834-1)+Paths!$K$354*(1+'Operating costs'!$B$53)^MAX(0,C3834-1)),"n.a."))</f>
        <v>0</v>
      </c>
      <c r="H3834" s="16">
        <f>IF(NOT(Paths!$C$354=1),0,IF(Paths!$P$354="Complete",F3834/12*(Paths!$L$354*(1+IF(Paths!$D$354="EV",'Operating costs'!$B$52,'Operating costs'!$B$51))^MAX(0,C3834-1)+Paths!$M$354*(1+'Operating costs'!$B$53)^MAX(0,C3834-1)),"n.a."))</f>
        <v>0</v>
      </c>
      <c r="I3834" s="16">
        <f>IF(NOT(Paths!$C$354=1),0,IF(Paths!$P$354="Complete",IF(IF(Paths!$E$354=0,C3834=0,AND(C3834&gt;0,Paths!$E$354&gt;(C3834-1)*12,Paths!$E$354&lt;=C3834*12)),Paths!$G$354,0),"n.a."))</f>
        <v>0</v>
      </c>
      <c r="J3834" s="16">
        <f>IF(NOT(Paths!$C$354=1),0,IF(Paths!$P$354="Complete",IF(IF(Paths!$E$354=0,C3834=0,AND(C3834&gt;0,Paths!$E$354&gt;(C3834-1)*12,Paths!$E$354&lt;=C3834*12)),Paths!$H$354,0),"n.a."))</f>
        <v>0</v>
      </c>
      <c r="K3834" s="16">
        <f>IF(NOT(Paths!$C$354=1),0,IF(Paths!$P$354="Complete",IF(IF(Paths!$O$354=0,C3834=0,AND(C3834&gt;0,Paths!$O$354&gt;(C3834-1)*12,Paths!$O$354&lt;=C3834*12)),Paths!$N$354,0),"n.a."))</f>
        <v>0</v>
      </c>
      <c r="L3834" s="16">
        <f>IF(NOT(Paths!$C$354=1),0,IF(Paths!$P$354="Complete",IF(C3834=10,Paths!$I$354,0),"n.a."))</f>
        <v>0</v>
      </c>
      <c r="M3834" s="16">
        <f>IF(NOT(Paths!$C$354=1),0,IF(Paths!$P$354="Complete",IF(AND(Paths!$D$354="EV",Paths!$E$354&lt;120,Paths!$E$354+'Operating costs'!$B$65&gt;Paths!$E$354,Paths!$E$354+'Operating costs'!$B$65&lt;=120,IF(Paths!$E$354+'Operating costs'!$B$65=0,C3834=0,AND(C3834&gt;0,Paths!$E$354+'Operating costs'!$B$65&gt;(C3834-1)*12,Paths!$E$354+'Operating costs'!$B$65&lt;=C3834*12))),'Operating costs'!$B$64,0)+IF(AND('Operating costs'!$B$67&gt;0,'Operating costs'!$B$67&lt;=120,OR(Paths!$D$354="ICE",'Operating costs'!$B$67&lt;=Paths!$E$354),IF('Operating costs'!$B$67=0,C3834=0,AND(C3834&gt;0,'Operating costs'!$B$67&gt;(C3834-1)*12,'Operating costs'!$B$67&lt;=C3834*12))),'Operating costs'!$B$66,0),"n.a."))</f>
        <v>0</v>
      </c>
      <c r="N3834" s="16">
        <f>IF(NOT(Paths!$C$354=1),0,IF(Paths!$P$354="Complete",SUM(G3834:I3834)-J3834-K3834-L3834+M3834+IF(C3834=0,Paths!$F$354,0)+IF(IF(Paths!$E$354=0,C3834=0,AND(C3834&gt;0,Paths!$E$354&gt;(C3834-1)*12,Paths!$E$354&lt;=C3834*12)),VLOOKUP(A3834,'Fleet register'!$A$7:$S$106,16,FALSE),0),"n.a."))</f>
        <v>0</v>
      </c>
      <c r="O3834" s="16">
        <f>IF(NOT(Paths!$C$354=1),0,IF(Paths!$P$354="Complete",N3834-IF(C3834=0,Paths!$F$354,0),"n.a."))</f>
        <v>0</v>
      </c>
      <c r="P3834" s="16">
        <f>IF(NOT(Paths!$C$354=1),0,IF(Paths!$P$354="Complete",O3834+L3834,"n.a."))</f>
        <v>0</v>
      </c>
      <c r="Q3834" s="16">
        <f>IF(NOT(Paths!$C$354=1),0,IF(Paths!$P$354="Complete",N3834*(1+'Operating costs'!$B$54)^-C3834,"n.a."))</f>
        <v>0</v>
      </c>
      <c r="R3834" s="16">
        <f>IF(NOT(Paths!$C$354=1),0,IF(Paths!$P$354="Complete",IF(AND(C3834=0,Paths!$E$354=0),I3834-J3834-K3834+VLOOKUP(A3834,'Fleet register'!$A$7:$S$106,15,FALSE)+VLOOKUP(A3834,'Fleet register'!$A$7:$S$106,16,FALSE),0),"n.a."))</f>
        <v>0</v>
      </c>
      <c r="S3834" s="1">
        <f>IF(NOT(Paths!$C$354=1),0,IF(Paths!$P$354="Complete",IF(C3834=0,0,Paths!$S$354*Paths!$R$354),"n.a."))</f>
        <v>0</v>
      </c>
      <c r="T3834" s="1">
        <f>IF(NOT(Paths!$C$354=1),0,IF(Paths!$P$354="Complete",IF(C3834=0,0,VLOOKUP(A3834,'Fleet register'!$A$7:$S$106,9,FALSE)*Paths!$R$354),"n.a."))</f>
        <v>0</v>
      </c>
    </row>
    <row r="3835" spans="1:20" ht="24" customHeight="1">
      <c r="A3835" s="1" t="str">
        <f>Paths!$A$355</f>
        <v>T088</v>
      </c>
      <c r="B3835" s="1">
        <f>Paths!$B$355</f>
        <v>0</v>
      </c>
      <c r="C3835" s="1">
        <v>0</v>
      </c>
      <c r="D3835" s="1">
        <v>355</v>
      </c>
      <c r="E3835" s="1">
        <f>IF(OR(Paths!$C$355=0,C3835=0),0,MAX(0,MIN(C3835*12,Paths!$E$355)-(C3835-1)*12))</f>
        <v>0</v>
      </c>
      <c r="F3835" s="1">
        <f>IF(OR(Paths!$C$355=0,C3835=0),0,12-E3835)</f>
        <v>0</v>
      </c>
      <c r="G3835" s="16">
        <f>IF(NOT(Paths!$C$355=1),0,IF(Paths!$P$355="Complete",E3835/12*(Paths!$J$355*(1+'Operating costs'!$B$51)^MAX(0,C3835-1)+Paths!$K$355*(1+'Operating costs'!$B$53)^MAX(0,C3835-1)),"n.a."))</f>
        <v>0</v>
      </c>
      <c r="H3835" s="16">
        <f>IF(NOT(Paths!$C$355=1),0,IF(Paths!$P$355="Complete",F3835/12*(Paths!$L$355*(1+IF(Paths!$D$355="EV",'Operating costs'!$B$52,'Operating costs'!$B$51))^MAX(0,C3835-1)+Paths!$M$355*(1+'Operating costs'!$B$53)^MAX(0,C3835-1)),"n.a."))</f>
        <v>0</v>
      </c>
      <c r="I3835" s="16">
        <f>IF(NOT(Paths!$C$355=1),0,IF(Paths!$P$355="Complete",IF(IF(Paths!$E$355=0,C3835=0,AND(C3835&gt;0,Paths!$E$355&gt;(C3835-1)*12,Paths!$E$355&lt;=C3835*12)),Paths!$G$355,0),"n.a."))</f>
        <v>0</v>
      </c>
      <c r="J3835" s="16">
        <f>IF(NOT(Paths!$C$355=1),0,IF(Paths!$P$355="Complete",IF(IF(Paths!$E$355=0,C3835=0,AND(C3835&gt;0,Paths!$E$355&gt;(C3835-1)*12,Paths!$E$355&lt;=C3835*12)),Paths!$H$355,0),"n.a."))</f>
        <v>0</v>
      </c>
      <c r="K3835" s="16">
        <f>IF(NOT(Paths!$C$355=1),0,IF(Paths!$P$355="Complete",IF(IF(Paths!$O$355=0,C3835=0,AND(C3835&gt;0,Paths!$O$355&gt;(C3835-1)*12,Paths!$O$355&lt;=C3835*12)),Paths!$N$355,0),"n.a."))</f>
        <v>0</v>
      </c>
      <c r="L3835" s="16">
        <f>IF(NOT(Paths!$C$355=1),0,IF(Paths!$P$355="Complete",IF(C3835=10,Paths!$I$355,0),"n.a."))</f>
        <v>0</v>
      </c>
      <c r="M3835" s="16">
        <f>IF(NOT(Paths!$C$355=1),0,IF(Paths!$P$355="Complete",IF(AND(Paths!$D$355="EV",Paths!$E$355&lt;120,Paths!$E$355+'Operating costs'!$B$65&gt;Paths!$E$355,Paths!$E$355+'Operating costs'!$B$65&lt;=120,IF(Paths!$E$355+'Operating costs'!$B$65=0,C3835=0,AND(C3835&gt;0,Paths!$E$355+'Operating costs'!$B$65&gt;(C3835-1)*12,Paths!$E$355+'Operating costs'!$B$65&lt;=C3835*12))),'Operating costs'!$B$64,0)+IF(AND('Operating costs'!$B$67&gt;0,'Operating costs'!$B$67&lt;=120,OR(Paths!$D$355="ICE",'Operating costs'!$B$67&lt;=Paths!$E$355),IF('Operating costs'!$B$67=0,C3835=0,AND(C3835&gt;0,'Operating costs'!$B$67&gt;(C3835-1)*12,'Operating costs'!$B$67&lt;=C3835*12))),'Operating costs'!$B$66,0),"n.a."))</f>
        <v>0</v>
      </c>
      <c r="N3835" s="16">
        <f>IF(NOT(Paths!$C$355=1),0,IF(Paths!$P$355="Complete",SUM(G3835:I3835)-J3835-K3835-L3835+M3835+IF(C3835=0,Paths!$F$355,0)+IF(IF(Paths!$E$355=0,C3835=0,AND(C3835&gt;0,Paths!$E$355&gt;(C3835-1)*12,Paths!$E$355&lt;=C3835*12)),VLOOKUP(A3835,'Fleet register'!$A$7:$S$106,16,FALSE),0),"n.a."))</f>
        <v>0</v>
      </c>
      <c r="O3835" s="16">
        <f>IF(NOT(Paths!$C$355=1),0,IF(Paths!$P$355="Complete",N3835-IF(C3835=0,Paths!$F$355,0),"n.a."))</f>
        <v>0</v>
      </c>
      <c r="P3835" s="16">
        <f>IF(NOT(Paths!$C$355=1),0,IF(Paths!$P$355="Complete",O3835+L3835,"n.a."))</f>
        <v>0</v>
      </c>
      <c r="Q3835" s="16">
        <f>IF(NOT(Paths!$C$355=1),0,IF(Paths!$P$355="Complete",N3835*(1+'Operating costs'!$B$54)^-C3835,"n.a."))</f>
        <v>0</v>
      </c>
      <c r="R3835" s="16">
        <f>IF(NOT(Paths!$C$355=1),0,IF(Paths!$P$355="Complete",IF(AND(C3835=0,Paths!$E$355=0),I3835-J3835-K3835+VLOOKUP(A3835,'Fleet register'!$A$7:$S$106,15,FALSE)+VLOOKUP(A3835,'Fleet register'!$A$7:$S$106,16,FALSE),0),"n.a."))</f>
        <v>0</v>
      </c>
      <c r="S3835" s="1">
        <f>IF(NOT(Paths!$C$355=1),0,IF(Paths!$P$355="Complete",IF(C3835=0,0,Paths!$S$355*Paths!$R$355),"n.a."))</f>
        <v>0</v>
      </c>
      <c r="T3835" s="1">
        <f>IF(NOT(Paths!$C$355=1),0,IF(Paths!$P$355="Complete",IF(C3835=0,0,VLOOKUP(A3835,'Fleet register'!$A$7:$S$106,9,FALSE)*Paths!$R$355),"n.a."))</f>
        <v>0</v>
      </c>
    </row>
    <row r="3836" spans="1:20" ht="24" customHeight="1">
      <c r="A3836" s="1" t="str">
        <f>Paths!$A$355</f>
        <v>T088</v>
      </c>
      <c r="B3836" s="1">
        <f>Paths!$B$355</f>
        <v>0</v>
      </c>
      <c r="C3836" s="1">
        <v>1</v>
      </c>
      <c r="D3836" s="1">
        <v>355</v>
      </c>
      <c r="E3836" s="1">
        <f>IF(OR(Paths!$C$355=0,C3836=0),0,MAX(0,MIN(C3836*12,Paths!$E$355)-(C3836-1)*12))</f>
        <v>0</v>
      </c>
      <c r="F3836" s="1">
        <f>IF(OR(Paths!$C$355=0,C3836=0),0,12-E3836)</f>
        <v>0</v>
      </c>
      <c r="G3836" s="16">
        <f>IF(NOT(Paths!$C$355=1),0,IF(Paths!$P$355="Complete",E3836/12*(Paths!$J$355*(1+'Operating costs'!$B$51)^MAX(0,C3836-1)+Paths!$K$355*(1+'Operating costs'!$B$53)^MAX(0,C3836-1)),"n.a."))</f>
        <v>0</v>
      </c>
      <c r="H3836" s="16">
        <f>IF(NOT(Paths!$C$355=1),0,IF(Paths!$P$355="Complete",F3836/12*(Paths!$L$355*(1+IF(Paths!$D$355="EV",'Operating costs'!$B$52,'Operating costs'!$B$51))^MAX(0,C3836-1)+Paths!$M$355*(1+'Operating costs'!$B$53)^MAX(0,C3836-1)),"n.a."))</f>
        <v>0</v>
      </c>
      <c r="I3836" s="16">
        <f>IF(NOT(Paths!$C$355=1),0,IF(Paths!$P$355="Complete",IF(IF(Paths!$E$355=0,C3836=0,AND(C3836&gt;0,Paths!$E$355&gt;(C3836-1)*12,Paths!$E$355&lt;=C3836*12)),Paths!$G$355,0),"n.a."))</f>
        <v>0</v>
      </c>
      <c r="J3836" s="16">
        <f>IF(NOT(Paths!$C$355=1),0,IF(Paths!$P$355="Complete",IF(IF(Paths!$E$355=0,C3836=0,AND(C3836&gt;0,Paths!$E$355&gt;(C3836-1)*12,Paths!$E$355&lt;=C3836*12)),Paths!$H$355,0),"n.a."))</f>
        <v>0</v>
      </c>
      <c r="K3836" s="16">
        <f>IF(NOT(Paths!$C$355=1),0,IF(Paths!$P$355="Complete",IF(IF(Paths!$O$355=0,C3836=0,AND(C3836&gt;0,Paths!$O$355&gt;(C3836-1)*12,Paths!$O$355&lt;=C3836*12)),Paths!$N$355,0),"n.a."))</f>
        <v>0</v>
      </c>
      <c r="L3836" s="16">
        <f>IF(NOT(Paths!$C$355=1),0,IF(Paths!$P$355="Complete",IF(C3836=10,Paths!$I$355,0),"n.a."))</f>
        <v>0</v>
      </c>
      <c r="M3836" s="16">
        <f>IF(NOT(Paths!$C$355=1),0,IF(Paths!$P$355="Complete",IF(AND(Paths!$D$355="EV",Paths!$E$355&lt;120,Paths!$E$355+'Operating costs'!$B$65&gt;Paths!$E$355,Paths!$E$355+'Operating costs'!$B$65&lt;=120,IF(Paths!$E$355+'Operating costs'!$B$65=0,C3836=0,AND(C3836&gt;0,Paths!$E$355+'Operating costs'!$B$65&gt;(C3836-1)*12,Paths!$E$355+'Operating costs'!$B$65&lt;=C3836*12))),'Operating costs'!$B$64,0)+IF(AND('Operating costs'!$B$67&gt;0,'Operating costs'!$B$67&lt;=120,OR(Paths!$D$355="ICE",'Operating costs'!$B$67&lt;=Paths!$E$355),IF('Operating costs'!$B$67=0,C3836=0,AND(C3836&gt;0,'Operating costs'!$B$67&gt;(C3836-1)*12,'Operating costs'!$B$67&lt;=C3836*12))),'Operating costs'!$B$66,0),"n.a."))</f>
        <v>0</v>
      </c>
      <c r="N3836" s="16">
        <f>IF(NOT(Paths!$C$355=1),0,IF(Paths!$P$355="Complete",SUM(G3836:I3836)-J3836-K3836-L3836+M3836+IF(C3836=0,Paths!$F$355,0)+IF(IF(Paths!$E$355=0,C3836=0,AND(C3836&gt;0,Paths!$E$355&gt;(C3836-1)*12,Paths!$E$355&lt;=C3836*12)),VLOOKUP(A3836,'Fleet register'!$A$7:$S$106,16,FALSE),0),"n.a."))</f>
        <v>0</v>
      </c>
      <c r="O3836" s="16">
        <f>IF(NOT(Paths!$C$355=1),0,IF(Paths!$P$355="Complete",N3836-IF(C3836=0,Paths!$F$355,0),"n.a."))</f>
        <v>0</v>
      </c>
      <c r="P3836" s="16">
        <f>IF(NOT(Paths!$C$355=1),0,IF(Paths!$P$355="Complete",O3836+L3836,"n.a."))</f>
        <v>0</v>
      </c>
      <c r="Q3836" s="16">
        <f>IF(NOT(Paths!$C$355=1),0,IF(Paths!$P$355="Complete",N3836*(1+'Operating costs'!$B$54)^-C3836,"n.a."))</f>
        <v>0</v>
      </c>
      <c r="R3836" s="16">
        <f>IF(NOT(Paths!$C$355=1),0,IF(Paths!$P$355="Complete",IF(AND(C3836=0,Paths!$E$355=0),I3836-J3836-K3836+VLOOKUP(A3836,'Fleet register'!$A$7:$S$106,15,FALSE)+VLOOKUP(A3836,'Fleet register'!$A$7:$S$106,16,FALSE),0),"n.a."))</f>
        <v>0</v>
      </c>
      <c r="S3836" s="1">
        <f>IF(NOT(Paths!$C$355=1),0,IF(Paths!$P$355="Complete",IF(C3836=0,0,Paths!$S$355*Paths!$R$355),"n.a."))</f>
        <v>0</v>
      </c>
      <c r="T3836" s="1">
        <f>IF(NOT(Paths!$C$355=1),0,IF(Paths!$P$355="Complete",IF(C3836=0,0,VLOOKUP(A3836,'Fleet register'!$A$7:$S$106,9,FALSE)*Paths!$R$355),"n.a."))</f>
        <v>0</v>
      </c>
    </row>
    <row r="3837" spans="1:20" ht="24" customHeight="1">
      <c r="A3837" s="1" t="str">
        <f>Paths!$A$355</f>
        <v>T088</v>
      </c>
      <c r="B3837" s="1">
        <f>Paths!$B$355</f>
        <v>0</v>
      </c>
      <c r="C3837" s="1">
        <v>2</v>
      </c>
      <c r="D3837" s="1">
        <v>355</v>
      </c>
      <c r="E3837" s="1">
        <f>IF(OR(Paths!$C$355=0,C3837=0),0,MAX(0,MIN(C3837*12,Paths!$E$355)-(C3837-1)*12))</f>
        <v>0</v>
      </c>
      <c r="F3837" s="1">
        <f>IF(OR(Paths!$C$355=0,C3837=0),0,12-E3837)</f>
        <v>0</v>
      </c>
      <c r="G3837" s="16">
        <f>IF(NOT(Paths!$C$355=1),0,IF(Paths!$P$355="Complete",E3837/12*(Paths!$J$355*(1+'Operating costs'!$B$51)^MAX(0,C3837-1)+Paths!$K$355*(1+'Operating costs'!$B$53)^MAX(0,C3837-1)),"n.a."))</f>
        <v>0</v>
      </c>
      <c r="H3837" s="16">
        <f>IF(NOT(Paths!$C$355=1),0,IF(Paths!$P$355="Complete",F3837/12*(Paths!$L$355*(1+IF(Paths!$D$355="EV",'Operating costs'!$B$52,'Operating costs'!$B$51))^MAX(0,C3837-1)+Paths!$M$355*(1+'Operating costs'!$B$53)^MAX(0,C3837-1)),"n.a."))</f>
        <v>0</v>
      </c>
      <c r="I3837" s="16">
        <f>IF(NOT(Paths!$C$355=1),0,IF(Paths!$P$355="Complete",IF(IF(Paths!$E$355=0,C3837=0,AND(C3837&gt;0,Paths!$E$355&gt;(C3837-1)*12,Paths!$E$355&lt;=C3837*12)),Paths!$G$355,0),"n.a."))</f>
        <v>0</v>
      </c>
      <c r="J3837" s="16">
        <f>IF(NOT(Paths!$C$355=1),0,IF(Paths!$P$355="Complete",IF(IF(Paths!$E$355=0,C3837=0,AND(C3837&gt;0,Paths!$E$355&gt;(C3837-1)*12,Paths!$E$355&lt;=C3837*12)),Paths!$H$355,0),"n.a."))</f>
        <v>0</v>
      </c>
      <c r="K3837" s="16">
        <f>IF(NOT(Paths!$C$355=1),0,IF(Paths!$P$355="Complete",IF(IF(Paths!$O$355=0,C3837=0,AND(C3837&gt;0,Paths!$O$355&gt;(C3837-1)*12,Paths!$O$355&lt;=C3837*12)),Paths!$N$355,0),"n.a."))</f>
        <v>0</v>
      </c>
      <c r="L3837" s="16">
        <f>IF(NOT(Paths!$C$355=1),0,IF(Paths!$P$355="Complete",IF(C3837=10,Paths!$I$355,0),"n.a."))</f>
        <v>0</v>
      </c>
      <c r="M3837" s="16">
        <f>IF(NOT(Paths!$C$355=1),0,IF(Paths!$P$355="Complete",IF(AND(Paths!$D$355="EV",Paths!$E$355&lt;120,Paths!$E$355+'Operating costs'!$B$65&gt;Paths!$E$355,Paths!$E$355+'Operating costs'!$B$65&lt;=120,IF(Paths!$E$355+'Operating costs'!$B$65=0,C3837=0,AND(C3837&gt;0,Paths!$E$355+'Operating costs'!$B$65&gt;(C3837-1)*12,Paths!$E$355+'Operating costs'!$B$65&lt;=C3837*12))),'Operating costs'!$B$64,0)+IF(AND('Operating costs'!$B$67&gt;0,'Operating costs'!$B$67&lt;=120,OR(Paths!$D$355="ICE",'Operating costs'!$B$67&lt;=Paths!$E$355),IF('Operating costs'!$B$67=0,C3837=0,AND(C3837&gt;0,'Operating costs'!$B$67&gt;(C3837-1)*12,'Operating costs'!$B$67&lt;=C3837*12))),'Operating costs'!$B$66,0),"n.a."))</f>
        <v>0</v>
      </c>
      <c r="N3837" s="16">
        <f>IF(NOT(Paths!$C$355=1),0,IF(Paths!$P$355="Complete",SUM(G3837:I3837)-J3837-K3837-L3837+M3837+IF(C3837=0,Paths!$F$355,0)+IF(IF(Paths!$E$355=0,C3837=0,AND(C3837&gt;0,Paths!$E$355&gt;(C3837-1)*12,Paths!$E$355&lt;=C3837*12)),VLOOKUP(A3837,'Fleet register'!$A$7:$S$106,16,FALSE),0),"n.a."))</f>
        <v>0</v>
      </c>
      <c r="O3837" s="16">
        <f>IF(NOT(Paths!$C$355=1),0,IF(Paths!$P$355="Complete",N3837-IF(C3837=0,Paths!$F$355,0),"n.a."))</f>
        <v>0</v>
      </c>
      <c r="P3837" s="16">
        <f>IF(NOT(Paths!$C$355=1),0,IF(Paths!$P$355="Complete",O3837+L3837,"n.a."))</f>
        <v>0</v>
      </c>
      <c r="Q3837" s="16">
        <f>IF(NOT(Paths!$C$355=1),0,IF(Paths!$P$355="Complete",N3837*(1+'Operating costs'!$B$54)^-C3837,"n.a."))</f>
        <v>0</v>
      </c>
      <c r="R3837" s="16">
        <f>IF(NOT(Paths!$C$355=1),0,IF(Paths!$P$355="Complete",IF(AND(C3837=0,Paths!$E$355=0),I3837-J3837-K3837+VLOOKUP(A3837,'Fleet register'!$A$7:$S$106,15,FALSE)+VLOOKUP(A3837,'Fleet register'!$A$7:$S$106,16,FALSE),0),"n.a."))</f>
        <v>0</v>
      </c>
      <c r="S3837" s="1">
        <f>IF(NOT(Paths!$C$355=1),0,IF(Paths!$P$355="Complete",IF(C3837=0,0,Paths!$S$355*Paths!$R$355),"n.a."))</f>
        <v>0</v>
      </c>
      <c r="T3837" s="1">
        <f>IF(NOT(Paths!$C$355=1),0,IF(Paths!$P$355="Complete",IF(C3837=0,0,VLOOKUP(A3837,'Fleet register'!$A$7:$S$106,9,FALSE)*Paths!$R$355),"n.a."))</f>
        <v>0</v>
      </c>
    </row>
    <row r="3838" spans="1:20" ht="24" customHeight="1">
      <c r="A3838" s="1" t="str">
        <f>Paths!$A$355</f>
        <v>T088</v>
      </c>
      <c r="B3838" s="1">
        <f>Paths!$B$355</f>
        <v>0</v>
      </c>
      <c r="C3838" s="1">
        <v>3</v>
      </c>
      <c r="D3838" s="1">
        <v>355</v>
      </c>
      <c r="E3838" s="1">
        <f>IF(OR(Paths!$C$355=0,C3838=0),0,MAX(0,MIN(C3838*12,Paths!$E$355)-(C3838-1)*12))</f>
        <v>0</v>
      </c>
      <c r="F3838" s="1">
        <f>IF(OR(Paths!$C$355=0,C3838=0),0,12-E3838)</f>
        <v>0</v>
      </c>
      <c r="G3838" s="16">
        <f>IF(NOT(Paths!$C$355=1),0,IF(Paths!$P$355="Complete",E3838/12*(Paths!$J$355*(1+'Operating costs'!$B$51)^MAX(0,C3838-1)+Paths!$K$355*(1+'Operating costs'!$B$53)^MAX(0,C3838-1)),"n.a."))</f>
        <v>0</v>
      </c>
      <c r="H3838" s="16">
        <f>IF(NOT(Paths!$C$355=1),0,IF(Paths!$P$355="Complete",F3838/12*(Paths!$L$355*(1+IF(Paths!$D$355="EV",'Operating costs'!$B$52,'Operating costs'!$B$51))^MAX(0,C3838-1)+Paths!$M$355*(1+'Operating costs'!$B$53)^MAX(0,C3838-1)),"n.a."))</f>
        <v>0</v>
      </c>
      <c r="I3838" s="16">
        <f>IF(NOT(Paths!$C$355=1),0,IF(Paths!$P$355="Complete",IF(IF(Paths!$E$355=0,C3838=0,AND(C3838&gt;0,Paths!$E$355&gt;(C3838-1)*12,Paths!$E$355&lt;=C3838*12)),Paths!$G$355,0),"n.a."))</f>
        <v>0</v>
      </c>
      <c r="J3838" s="16">
        <f>IF(NOT(Paths!$C$355=1),0,IF(Paths!$P$355="Complete",IF(IF(Paths!$E$355=0,C3838=0,AND(C3838&gt;0,Paths!$E$355&gt;(C3838-1)*12,Paths!$E$355&lt;=C3838*12)),Paths!$H$355,0),"n.a."))</f>
        <v>0</v>
      </c>
      <c r="K3838" s="16">
        <f>IF(NOT(Paths!$C$355=1),0,IF(Paths!$P$355="Complete",IF(IF(Paths!$O$355=0,C3838=0,AND(C3838&gt;0,Paths!$O$355&gt;(C3838-1)*12,Paths!$O$355&lt;=C3838*12)),Paths!$N$355,0),"n.a."))</f>
        <v>0</v>
      </c>
      <c r="L3838" s="16">
        <f>IF(NOT(Paths!$C$355=1),0,IF(Paths!$P$355="Complete",IF(C3838=10,Paths!$I$355,0),"n.a."))</f>
        <v>0</v>
      </c>
      <c r="M3838" s="16">
        <f>IF(NOT(Paths!$C$355=1),0,IF(Paths!$P$355="Complete",IF(AND(Paths!$D$355="EV",Paths!$E$355&lt;120,Paths!$E$355+'Operating costs'!$B$65&gt;Paths!$E$355,Paths!$E$355+'Operating costs'!$B$65&lt;=120,IF(Paths!$E$355+'Operating costs'!$B$65=0,C3838=0,AND(C3838&gt;0,Paths!$E$355+'Operating costs'!$B$65&gt;(C3838-1)*12,Paths!$E$355+'Operating costs'!$B$65&lt;=C3838*12))),'Operating costs'!$B$64,0)+IF(AND('Operating costs'!$B$67&gt;0,'Operating costs'!$B$67&lt;=120,OR(Paths!$D$355="ICE",'Operating costs'!$B$67&lt;=Paths!$E$355),IF('Operating costs'!$B$67=0,C3838=0,AND(C3838&gt;0,'Operating costs'!$B$67&gt;(C3838-1)*12,'Operating costs'!$B$67&lt;=C3838*12))),'Operating costs'!$B$66,0),"n.a."))</f>
        <v>0</v>
      </c>
      <c r="N3838" s="16">
        <f>IF(NOT(Paths!$C$355=1),0,IF(Paths!$P$355="Complete",SUM(G3838:I3838)-J3838-K3838-L3838+M3838+IF(C3838=0,Paths!$F$355,0)+IF(IF(Paths!$E$355=0,C3838=0,AND(C3838&gt;0,Paths!$E$355&gt;(C3838-1)*12,Paths!$E$355&lt;=C3838*12)),VLOOKUP(A3838,'Fleet register'!$A$7:$S$106,16,FALSE),0),"n.a."))</f>
        <v>0</v>
      </c>
      <c r="O3838" s="16">
        <f>IF(NOT(Paths!$C$355=1),0,IF(Paths!$P$355="Complete",N3838-IF(C3838=0,Paths!$F$355,0),"n.a."))</f>
        <v>0</v>
      </c>
      <c r="P3838" s="16">
        <f>IF(NOT(Paths!$C$355=1),0,IF(Paths!$P$355="Complete",O3838+L3838,"n.a."))</f>
        <v>0</v>
      </c>
      <c r="Q3838" s="16">
        <f>IF(NOT(Paths!$C$355=1),0,IF(Paths!$P$355="Complete",N3838*(1+'Operating costs'!$B$54)^-C3838,"n.a."))</f>
        <v>0</v>
      </c>
      <c r="R3838" s="16">
        <f>IF(NOT(Paths!$C$355=1),0,IF(Paths!$P$355="Complete",IF(AND(C3838=0,Paths!$E$355=0),I3838-J3838-K3838+VLOOKUP(A3838,'Fleet register'!$A$7:$S$106,15,FALSE)+VLOOKUP(A3838,'Fleet register'!$A$7:$S$106,16,FALSE),0),"n.a."))</f>
        <v>0</v>
      </c>
      <c r="S3838" s="1">
        <f>IF(NOT(Paths!$C$355=1),0,IF(Paths!$P$355="Complete",IF(C3838=0,0,Paths!$S$355*Paths!$R$355),"n.a."))</f>
        <v>0</v>
      </c>
      <c r="T3838" s="1">
        <f>IF(NOT(Paths!$C$355=1),0,IF(Paths!$P$355="Complete",IF(C3838=0,0,VLOOKUP(A3838,'Fleet register'!$A$7:$S$106,9,FALSE)*Paths!$R$355),"n.a."))</f>
        <v>0</v>
      </c>
    </row>
    <row r="3839" spans="1:20" ht="24" customHeight="1">
      <c r="A3839" s="1" t="str">
        <f>Paths!$A$355</f>
        <v>T088</v>
      </c>
      <c r="B3839" s="1">
        <f>Paths!$B$355</f>
        <v>0</v>
      </c>
      <c r="C3839" s="1">
        <v>4</v>
      </c>
      <c r="D3839" s="1">
        <v>355</v>
      </c>
      <c r="E3839" s="1">
        <f>IF(OR(Paths!$C$355=0,C3839=0),0,MAX(0,MIN(C3839*12,Paths!$E$355)-(C3839-1)*12))</f>
        <v>0</v>
      </c>
      <c r="F3839" s="1">
        <f>IF(OR(Paths!$C$355=0,C3839=0),0,12-E3839)</f>
        <v>0</v>
      </c>
      <c r="G3839" s="16">
        <f>IF(NOT(Paths!$C$355=1),0,IF(Paths!$P$355="Complete",E3839/12*(Paths!$J$355*(1+'Operating costs'!$B$51)^MAX(0,C3839-1)+Paths!$K$355*(1+'Operating costs'!$B$53)^MAX(0,C3839-1)),"n.a."))</f>
        <v>0</v>
      </c>
      <c r="H3839" s="16">
        <f>IF(NOT(Paths!$C$355=1),0,IF(Paths!$P$355="Complete",F3839/12*(Paths!$L$355*(1+IF(Paths!$D$355="EV",'Operating costs'!$B$52,'Operating costs'!$B$51))^MAX(0,C3839-1)+Paths!$M$355*(1+'Operating costs'!$B$53)^MAX(0,C3839-1)),"n.a."))</f>
        <v>0</v>
      </c>
      <c r="I3839" s="16">
        <f>IF(NOT(Paths!$C$355=1),0,IF(Paths!$P$355="Complete",IF(IF(Paths!$E$355=0,C3839=0,AND(C3839&gt;0,Paths!$E$355&gt;(C3839-1)*12,Paths!$E$355&lt;=C3839*12)),Paths!$G$355,0),"n.a."))</f>
        <v>0</v>
      </c>
      <c r="J3839" s="16">
        <f>IF(NOT(Paths!$C$355=1),0,IF(Paths!$P$355="Complete",IF(IF(Paths!$E$355=0,C3839=0,AND(C3839&gt;0,Paths!$E$355&gt;(C3839-1)*12,Paths!$E$355&lt;=C3839*12)),Paths!$H$355,0),"n.a."))</f>
        <v>0</v>
      </c>
      <c r="K3839" s="16">
        <f>IF(NOT(Paths!$C$355=1),0,IF(Paths!$P$355="Complete",IF(IF(Paths!$O$355=0,C3839=0,AND(C3839&gt;0,Paths!$O$355&gt;(C3839-1)*12,Paths!$O$355&lt;=C3839*12)),Paths!$N$355,0),"n.a."))</f>
        <v>0</v>
      </c>
      <c r="L3839" s="16">
        <f>IF(NOT(Paths!$C$355=1),0,IF(Paths!$P$355="Complete",IF(C3839=10,Paths!$I$355,0),"n.a."))</f>
        <v>0</v>
      </c>
      <c r="M3839" s="16">
        <f>IF(NOT(Paths!$C$355=1),0,IF(Paths!$P$355="Complete",IF(AND(Paths!$D$355="EV",Paths!$E$355&lt;120,Paths!$E$355+'Operating costs'!$B$65&gt;Paths!$E$355,Paths!$E$355+'Operating costs'!$B$65&lt;=120,IF(Paths!$E$355+'Operating costs'!$B$65=0,C3839=0,AND(C3839&gt;0,Paths!$E$355+'Operating costs'!$B$65&gt;(C3839-1)*12,Paths!$E$355+'Operating costs'!$B$65&lt;=C3839*12))),'Operating costs'!$B$64,0)+IF(AND('Operating costs'!$B$67&gt;0,'Operating costs'!$B$67&lt;=120,OR(Paths!$D$355="ICE",'Operating costs'!$B$67&lt;=Paths!$E$355),IF('Operating costs'!$B$67=0,C3839=0,AND(C3839&gt;0,'Operating costs'!$B$67&gt;(C3839-1)*12,'Operating costs'!$B$67&lt;=C3839*12))),'Operating costs'!$B$66,0),"n.a."))</f>
        <v>0</v>
      </c>
      <c r="N3839" s="16">
        <f>IF(NOT(Paths!$C$355=1),0,IF(Paths!$P$355="Complete",SUM(G3839:I3839)-J3839-K3839-L3839+M3839+IF(C3839=0,Paths!$F$355,0)+IF(IF(Paths!$E$355=0,C3839=0,AND(C3839&gt;0,Paths!$E$355&gt;(C3839-1)*12,Paths!$E$355&lt;=C3839*12)),VLOOKUP(A3839,'Fleet register'!$A$7:$S$106,16,FALSE),0),"n.a."))</f>
        <v>0</v>
      </c>
      <c r="O3839" s="16">
        <f>IF(NOT(Paths!$C$355=1),0,IF(Paths!$P$355="Complete",N3839-IF(C3839=0,Paths!$F$355,0),"n.a."))</f>
        <v>0</v>
      </c>
      <c r="P3839" s="16">
        <f>IF(NOT(Paths!$C$355=1),0,IF(Paths!$P$355="Complete",O3839+L3839,"n.a."))</f>
        <v>0</v>
      </c>
      <c r="Q3839" s="16">
        <f>IF(NOT(Paths!$C$355=1),0,IF(Paths!$P$355="Complete",N3839*(1+'Operating costs'!$B$54)^-C3839,"n.a."))</f>
        <v>0</v>
      </c>
      <c r="R3839" s="16">
        <f>IF(NOT(Paths!$C$355=1),0,IF(Paths!$P$355="Complete",IF(AND(C3839=0,Paths!$E$355=0),I3839-J3839-K3839+VLOOKUP(A3839,'Fleet register'!$A$7:$S$106,15,FALSE)+VLOOKUP(A3839,'Fleet register'!$A$7:$S$106,16,FALSE),0),"n.a."))</f>
        <v>0</v>
      </c>
      <c r="S3839" s="1">
        <f>IF(NOT(Paths!$C$355=1),0,IF(Paths!$P$355="Complete",IF(C3839=0,0,Paths!$S$355*Paths!$R$355),"n.a."))</f>
        <v>0</v>
      </c>
      <c r="T3839" s="1">
        <f>IF(NOT(Paths!$C$355=1),0,IF(Paths!$P$355="Complete",IF(C3839=0,0,VLOOKUP(A3839,'Fleet register'!$A$7:$S$106,9,FALSE)*Paths!$R$355),"n.a."))</f>
        <v>0</v>
      </c>
    </row>
    <row r="3840" spans="1:20" ht="24" customHeight="1">
      <c r="A3840" s="1" t="str">
        <f>Paths!$A$355</f>
        <v>T088</v>
      </c>
      <c r="B3840" s="1">
        <f>Paths!$B$355</f>
        <v>0</v>
      </c>
      <c r="C3840" s="1">
        <v>5</v>
      </c>
      <c r="D3840" s="1">
        <v>355</v>
      </c>
      <c r="E3840" s="1">
        <f>IF(OR(Paths!$C$355=0,C3840=0),0,MAX(0,MIN(C3840*12,Paths!$E$355)-(C3840-1)*12))</f>
        <v>0</v>
      </c>
      <c r="F3840" s="1">
        <f>IF(OR(Paths!$C$355=0,C3840=0),0,12-E3840)</f>
        <v>0</v>
      </c>
      <c r="G3840" s="16">
        <f>IF(NOT(Paths!$C$355=1),0,IF(Paths!$P$355="Complete",E3840/12*(Paths!$J$355*(1+'Operating costs'!$B$51)^MAX(0,C3840-1)+Paths!$K$355*(1+'Operating costs'!$B$53)^MAX(0,C3840-1)),"n.a."))</f>
        <v>0</v>
      </c>
      <c r="H3840" s="16">
        <f>IF(NOT(Paths!$C$355=1),0,IF(Paths!$P$355="Complete",F3840/12*(Paths!$L$355*(1+IF(Paths!$D$355="EV",'Operating costs'!$B$52,'Operating costs'!$B$51))^MAX(0,C3840-1)+Paths!$M$355*(1+'Operating costs'!$B$53)^MAX(0,C3840-1)),"n.a."))</f>
        <v>0</v>
      </c>
      <c r="I3840" s="16">
        <f>IF(NOT(Paths!$C$355=1),0,IF(Paths!$P$355="Complete",IF(IF(Paths!$E$355=0,C3840=0,AND(C3840&gt;0,Paths!$E$355&gt;(C3840-1)*12,Paths!$E$355&lt;=C3840*12)),Paths!$G$355,0),"n.a."))</f>
        <v>0</v>
      </c>
      <c r="J3840" s="16">
        <f>IF(NOT(Paths!$C$355=1),0,IF(Paths!$P$355="Complete",IF(IF(Paths!$E$355=0,C3840=0,AND(C3840&gt;0,Paths!$E$355&gt;(C3840-1)*12,Paths!$E$355&lt;=C3840*12)),Paths!$H$355,0),"n.a."))</f>
        <v>0</v>
      </c>
      <c r="K3840" s="16">
        <f>IF(NOT(Paths!$C$355=1),0,IF(Paths!$P$355="Complete",IF(IF(Paths!$O$355=0,C3840=0,AND(C3840&gt;0,Paths!$O$355&gt;(C3840-1)*12,Paths!$O$355&lt;=C3840*12)),Paths!$N$355,0),"n.a."))</f>
        <v>0</v>
      </c>
      <c r="L3840" s="16">
        <f>IF(NOT(Paths!$C$355=1),0,IF(Paths!$P$355="Complete",IF(C3840=10,Paths!$I$355,0),"n.a."))</f>
        <v>0</v>
      </c>
      <c r="M3840" s="16">
        <f>IF(NOT(Paths!$C$355=1),0,IF(Paths!$P$355="Complete",IF(AND(Paths!$D$355="EV",Paths!$E$355&lt;120,Paths!$E$355+'Operating costs'!$B$65&gt;Paths!$E$355,Paths!$E$355+'Operating costs'!$B$65&lt;=120,IF(Paths!$E$355+'Operating costs'!$B$65=0,C3840=0,AND(C3840&gt;0,Paths!$E$355+'Operating costs'!$B$65&gt;(C3840-1)*12,Paths!$E$355+'Operating costs'!$B$65&lt;=C3840*12))),'Operating costs'!$B$64,0)+IF(AND('Operating costs'!$B$67&gt;0,'Operating costs'!$B$67&lt;=120,OR(Paths!$D$355="ICE",'Operating costs'!$B$67&lt;=Paths!$E$355),IF('Operating costs'!$B$67=0,C3840=0,AND(C3840&gt;0,'Operating costs'!$B$67&gt;(C3840-1)*12,'Operating costs'!$B$67&lt;=C3840*12))),'Operating costs'!$B$66,0),"n.a."))</f>
        <v>0</v>
      </c>
      <c r="N3840" s="16">
        <f>IF(NOT(Paths!$C$355=1),0,IF(Paths!$P$355="Complete",SUM(G3840:I3840)-J3840-K3840-L3840+M3840+IF(C3840=0,Paths!$F$355,0)+IF(IF(Paths!$E$355=0,C3840=0,AND(C3840&gt;0,Paths!$E$355&gt;(C3840-1)*12,Paths!$E$355&lt;=C3840*12)),VLOOKUP(A3840,'Fleet register'!$A$7:$S$106,16,FALSE),0),"n.a."))</f>
        <v>0</v>
      </c>
      <c r="O3840" s="16">
        <f>IF(NOT(Paths!$C$355=1),0,IF(Paths!$P$355="Complete",N3840-IF(C3840=0,Paths!$F$355,0),"n.a."))</f>
        <v>0</v>
      </c>
      <c r="P3840" s="16">
        <f>IF(NOT(Paths!$C$355=1),0,IF(Paths!$P$355="Complete",O3840+L3840,"n.a."))</f>
        <v>0</v>
      </c>
      <c r="Q3840" s="16">
        <f>IF(NOT(Paths!$C$355=1),0,IF(Paths!$P$355="Complete",N3840*(1+'Operating costs'!$B$54)^-C3840,"n.a."))</f>
        <v>0</v>
      </c>
      <c r="R3840" s="16">
        <f>IF(NOT(Paths!$C$355=1),0,IF(Paths!$P$355="Complete",IF(AND(C3840=0,Paths!$E$355=0),I3840-J3840-K3840+VLOOKUP(A3840,'Fleet register'!$A$7:$S$106,15,FALSE)+VLOOKUP(A3840,'Fleet register'!$A$7:$S$106,16,FALSE),0),"n.a."))</f>
        <v>0</v>
      </c>
      <c r="S3840" s="1">
        <f>IF(NOT(Paths!$C$355=1),0,IF(Paths!$P$355="Complete",IF(C3840=0,0,Paths!$S$355*Paths!$R$355),"n.a."))</f>
        <v>0</v>
      </c>
      <c r="T3840" s="1">
        <f>IF(NOT(Paths!$C$355=1),0,IF(Paths!$P$355="Complete",IF(C3840=0,0,VLOOKUP(A3840,'Fleet register'!$A$7:$S$106,9,FALSE)*Paths!$R$355),"n.a."))</f>
        <v>0</v>
      </c>
    </row>
    <row r="3841" spans="1:20" ht="24" customHeight="1">
      <c r="A3841" s="1" t="str">
        <f>Paths!$A$355</f>
        <v>T088</v>
      </c>
      <c r="B3841" s="1">
        <f>Paths!$B$355</f>
        <v>0</v>
      </c>
      <c r="C3841" s="1">
        <v>6</v>
      </c>
      <c r="D3841" s="1">
        <v>355</v>
      </c>
      <c r="E3841" s="1">
        <f>IF(OR(Paths!$C$355=0,C3841=0),0,MAX(0,MIN(C3841*12,Paths!$E$355)-(C3841-1)*12))</f>
        <v>0</v>
      </c>
      <c r="F3841" s="1">
        <f>IF(OR(Paths!$C$355=0,C3841=0),0,12-E3841)</f>
        <v>0</v>
      </c>
      <c r="G3841" s="16">
        <f>IF(NOT(Paths!$C$355=1),0,IF(Paths!$P$355="Complete",E3841/12*(Paths!$J$355*(1+'Operating costs'!$B$51)^MAX(0,C3841-1)+Paths!$K$355*(1+'Operating costs'!$B$53)^MAX(0,C3841-1)),"n.a."))</f>
        <v>0</v>
      </c>
      <c r="H3841" s="16">
        <f>IF(NOT(Paths!$C$355=1),0,IF(Paths!$P$355="Complete",F3841/12*(Paths!$L$355*(1+IF(Paths!$D$355="EV",'Operating costs'!$B$52,'Operating costs'!$B$51))^MAX(0,C3841-1)+Paths!$M$355*(1+'Operating costs'!$B$53)^MAX(0,C3841-1)),"n.a."))</f>
        <v>0</v>
      </c>
      <c r="I3841" s="16">
        <f>IF(NOT(Paths!$C$355=1),0,IF(Paths!$P$355="Complete",IF(IF(Paths!$E$355=0,C3841=0,AND(C3841&gt;0,Paths!$E$355&gt;(C3841-1)*12,Paths!$E$355&lt;=C3841*12)),Paths!$G$355,0),"n.a."))</f>
        <v>0</v>
      </c>
      <c r="J3841" s="16">
        <f>IF(NOT(Paths!$C$355=1),0,IF(Paths!$P$355="Complete",IF(IF(Paths!$E$355=0,C3841=0,AND(C3841&gt;0,Paths!$E$355&gt;(C3841-1)*12,Paths!$E$355&lt;=C3841*12)),Paths!$H$355,0),"n.a."))</f>
        <v>0</v>
      </c>
      <c r="K3841" s="16">
        <f>IF(NOT(Paths!$C$355=1),0,IF(Paths!$P$355="Complete",IF(IF(Paths!$O$355=0,C3841=0,AND(C3841&gt;0,Paths!$O$355&gt;(C3841-1)*12,Paths!$O$355&lt;=C3841*12)),Paths!$N$355,0),"n.a."))</f>
        <v>0</v>
      </c>
      <c r="L3841" s="16">
        <f>IF(NOT(Paths!$C$355=1),0,IF(Paths!$P$355="Complete",IF(C3841=10,Paths!$I$355,0),"n.a."))</f>
        <v>0</v>
      </c>
      <c r="M3841" s="16">
        <f>IF(NOT(Paths!$C$355=1),0,IF(Paths!$P$355="Complete",IF(AND(Paths!$D$355="EV",Paths!$E$355&lt;120,Paths!$E$355+'Operating costs'!$B$65&gt;Paths!$E$355,Paths!$E$355+'Operating costs'!$B$65&lt;=120,IF(Paths!$E$355+'Operating costs'!$B$65=0,C3841=0,AND(C3841&gt;0,Paths!$E$355+'Operating costs'!$B$65&gt;(C3841-1)*12,Paths!$E$355+'Operating costs'!$B$65&lt;=C3841*12))),'Operating costs'!$B$64,0)+IF(AND('Operating costs'!$B$67&gt;0,'Operating costs'!$B$67&lt;=120,OR(Paths!$D$355="ICE",'Operating costs'!$B$67&lt;=Paths!$E$355),IF('Operating costs'!$B$67=0,C3841=0,AND(C3841&gt;0,'Operating costs'!$B$67&gt;(C3841-1)*12,'Operating costs'!$B$67&lt;=C3841*12))),'Operating costs'!$B$66,0),"n.a."))</f>
        <v>0</v>
      </c>
      <c r="N3841" s="16">
        <f>IF(NOT(Paths!$C$355=1),0,IF(Paths!$P$355="Complete",SUM(G3841:I3841)-J3841-K3841-L3841+M3841+IF(C3841=0,Paths!$F$355,0)+IF(IF(Paths!$E$355=0,C3841=0,AND(C3841&gt;0,Paths!$E$355&gt;(C3841-1)*12,Paths!$E$355&lt;=C3841*12)),VLOOKUP(A3841,'Fleet register'!$A$7:$S$106,16,FALSE),0),"n.a."))</f>
        <v>0</v>
      </c>
      <c r="O3841" s="16">
        <f>IF(NOT(Paths!$C$355=1),0,IF(Paths!$P$355="Complete",N3841-IF(C3841=0,Paths!$F$355,0),"n.a."))</f>
        <v>0</v>
      </c>
      <c r="P3841" s="16">
        <f>IF(NOT(Paths!$C$355=1),0,IF(Paths!$P$355="Complete",O3841+L3841,"n.a."))</f>
        <v>0</v>
      </c>
      <c r="Q3841" s="16">
        <f>IF(NOT(Paths!$C$355=1),0,IF(Paths!$P$355="Complete",N3841*(1+'Operating costs'!$B$54)^-C3841,"n.a."))</f>
        <v>0</v>
      </c>
      <c r="R3841" s="16">
        <f>IF(NOT(Paths!$C$355=1),0,IF(Paths!$P$355="Complete",IF(AND(C3841=0,Paths!$E$355=0),I3841-J3841-K3841+VLOOKUP(A3841,'Fleet register'!$A$7:$S$106,15,FALSE)+VLOOKUP(A3841,'Fleet register'!$A$7:$S$106,16,FALSE),0),"n.a."))</f>
        <v>0</v>
      </c>
      <c r="S3841" s="1">
        <f>IF(NOT(Paths!$C$355=1),0,IF(Paths!$P$355="Complete",IF(C3841=0,0,Paths!$S$355*Paths!$R$355),"n.a."))</f>
        <v>0</v>
      </c>
      <c r="T3841" s="1">
        <f>IF(NOT(Paths!$C$355=1),0,IF(Paths!$P$355="Complete",IF(C3841=0,0,VLOOKUP(A3841,'Fleet register'!$A$7:$S$106,9,FALSE)*Paths!$R$355),"n.a."))</f>
        <v>0</v>
      </c>
    </row>
    <row r="3842" spans="1:20" ht="24" customHeight="1">
      <c r="A3842" s="1" t="str">
        <f>Paths!$A$355</f>
        <v>T088</v>
      </c>
      <c r="B3842" s="1">
        <f>Paths!$B$355</f>
        <v>0</v>
      </c>
      <c r="C3842" s="1">
        <v>7</v>
      </c>
      <c r="D3842" s="1">
        <v>355</v>
      </c>
      <c r="E3842" s="1">
        <f>IF(OR(Paths!$C$355=0,C3842=0),0,MAX(0,MIN(C3842*12,Paths!$E$355)-(C3842-1)*12))</f>
        <v>0</v>
      </c>
      <c r="F3842" s="1">
        <f>IF(OR(Paths!$C$355=0,C3842=0),0,12-E3842)</f>
        <v>0</v>
      </c>
      <c r="G3842" s="16">
        <f>IF(NOT(Paths!$C$355=1),0,IF(Paths!$P$355="Complete",E3842/12*(Paths!$J$355*(1+'Operating costs'!$B$51)^MAX(0,C3842-1)+Paths!$K$355*(1+'Operating costs'!$B$53)^MAX(0,C3842-1)),"n.a."))</f>
        <v>0</v>
      </c>
      <c r="H3842" s="16">
        <f>IF(NOT(Paths!$C$355=1),0,IF(Paths!$P$355="Complete",F3842/12*(Paths!$L$355*(1+IF(Paths!$D$355="EV",'Operating costs'!$B$52,'Operating costs'!$B$51))^MAX(0,C3842-1)+Paths!$M$355*(1+'Operating costs'!$B$53)^MAX(0,C3842-1)),"n.a."))</f>
        <v>0</v>
      </c>
      <c r="I3842" s="16">
        <f>IF(NOT(Paths!$C$355=1),0,IF(Paths!$P$355="Complete",IF(IF(Paths!$E$355=0,C3842=0,AND(C3842&gt;0,Paths!$E$355&gt;(C3842-1)*12,Paths!$E$355&lt;=C3842*12)),Paths!$G$355,0),"n.a."))</f>
        <v>0</v>
      </c>
      <c r="J3842" s="16">
        <f>IF(NOT(Paths!$C$355=1),0,IF(Paths!$P$355="Complete",IF(IF(Paths!$E$355=0,C3842=0,AND(C3842&gt;0,Paths!$E$355&gt;(C3842-1)*12,Paths!$E$355&lt;=C3842*12)),Paths!$H$355,0),"n.a."))</f>
        <v>0</v>
      </c>
      <c r="K3842" s="16">
        <f>IF(NOT(Paths!$C$355=1),0,IF(Paths!$P$355="Complete",IF(IF(Paths!$O$355=0,C3842=0,AND(C3842&gt;0,Paths!$O$355&gt;(C3842-1)*12,Paths!$O$355&lt;=C3842*12)),Paths!$N$355,0),"n.a."))</f>
        <v>0</v>
      </c>
      <c r="L3842" s="16">
        <f>IF(NOT(Paths!$C$355=1),0,IF(Paths!$P$355="Complete",IF(C3842=10,Paths!$I$355,0),"n.a."))</f>
        <v>0</v>
      </c>
      <c r="M3842" s="16">
        <f>IF(NOT(Paths!$C$355=1),0,IF(Paths!$P$355="Complete",IF(AND(Paths!$D$355="EV",Paths!$E$355&lt;120,Paths!$E$355+'Operating costs'!$B$65&gt;Paths!$E$355,Paths!$E$355+'Operating costs'!$B$65&lt;=120,IF(Paths!$E$355+'Operating costs'!$B$65=0,C3842=0,AND(C3842&gt;0,Paths!$E$355+'Operating costs'!$B$65&gt;(C3842-1)*12,Paths!$E$355+'Operating costs'!$B$65&lt;=C3842*12))),'Operating costs'!$B$64,0)+IF(AND('Operating costs'!$B$67&gt;0,'Operating costs'!$B$67&lt;=120,OR(Paths!$D$355="ICE",'Operating costs'!$B$67&lt;=Paths!$E$355),IF('Operating costs'!$B$67=0,C3842=0,AND(C3842&gt;0,'Operating costs'!$B$67&gt;(C3842-1)*12,'Operating costs'!$B$67&lt;=C3842*12))),'Operating costs'!$B$66,0),"n.a."))</f>
        <v>0</v>
      </c>
      <c r="N3842" s="16">
        <f>IF(NOT(Paths!$C$355=1),0,IF(Paths!$P$355="Complete",SUM(G3842:I3842)-J3842-K3842-L3842+M3842+IF(C3842=0,Paths!$F$355,0)+IF(IF(Paths!$E$355=0,C3842=0,AND(C3842&gt;0,Paths!$E$355&gt;(C3842-1)*12,Paths!$E$355&lt;=C3842*12)),VLOOKUP(A3842,'Fleet register'!$A$7:$S$106,16,FALSE),0),"n.a."))</f>
        <v>0</v>
      </c>
      <c r="O3842" s="16">
        <f>IF(NOT(Paths!$C$355=1),0,IF(Paths!$P$355="Complete",N3842-IF(C3842=0,Paths!$F$355,0),"n.a."))</f>
        <v>0</v>
      </c>
      <c r="P3842" s="16">
        <f>IF(NOT(Paths!$C$355=1),0,IF(Paths!$P$355="Complete",O3842+L3842,"n.a."))</f>
        <v>0</v>
      </c>
      <c r="Q3842" s="16">
        <f>IF(NOT(Paths!$C$355=1),0,IF(Paths!$P$355="Complete",N3842*(1+'Operating costs'!$B$54)^-C3842,"n.a."))</f>
        <v>0</v>
      </c>
      <c r="R3842" s="16">
        <f>IF(NOT(Paths!$C$355=1),0,IF(Paths!$P$355="Complete",IF(AND(C3842=0,Paths!$E$355=0),I3842-J3842-K3842+VLOOKUP(A3842,'Fleet register'!$A$7:$S$106,15,FALSE)+VLOOKUP(A3842,'Fleet register'!$A$7:$S$106,16,FALSE),0),"n.a."))</f>
        <v>0</v>
      </c>
      <c r="S3842" s="1">
        <f>IF(NOT(Paths!$C$355=1),0,IF(Paths!$P$355="Complete",IF(C3842=0,0,Paths!$S$355*Paths!$R$355),"n.a."))</f>
        <v>0</v>
      </c>
      <c r="T3842" s="1">
        <f>IF(NOT(Paths!$C$355=1),0,IF(Paths!$P$355="Complete",IF(C3842=0,0,VLOOKUP(A3842,'Fleet register'!$A$7:$S$106,9,FALSE)*Paths!$R$355),"n.a."))</f>
        <v>0</v>
      </c>
    </row>
    <row r="3843" spans="1:20" ht="24" customHeight="1">
      <c r="A3843" s="1" t="str">
        <f>Paths!$A$355</f>
        <v>T088</v>
      </c>
      <c r="B3843" s="1">
        <f>Paths!$B$355</f>
        <v>0</v>
      </c>
      <c r="C3843" s="1">
        <v>8</v>
      </c>
      <c r="D3843" s="1">
        <v>355</v>
      </c>
      <c r="E3843" s="1">
        <f>IF(OR(Paths!$C$355=0,C3843=0),0,MAX(0,MIN(C3843*12,Paths!$E$355)-(C3843-1)*12))</f>
        <v>0</v>
      </c>
      <c r="F3843" s="1">
        <f>IF(OR(Paths!$C$355=0,C3843=0),0,12-E3843)</f>
        <v>0</v>
      </c>
      <c r="G3843" s="16">
        <f>IF(NOT(Paths!$C$355=1),0,IF(Paths!$P$355="Complete",E3843/12*(Paths!$J$355*(1+'Operating costs'!$B$51)^MAX(0,C3843-1)+Paths!$K$355*(1+'Operating costs'!$B$53)^MAX(0,C3843-1)),"n.a."))</f>
        <v>0</v>
      </c>
      <c r="H3843" s="16">
        <f>IF(NOT(Paths!$C$355=1),0,IF(Paths!$P$355="Complete",F3843/12*(Paths!$L$355*(1+IF(Paths!$D$355="EV",'Operating costs'!$B$52,'Operating costs'!$B$51))^MAX(0,C3843-1)+Paths!$M$355*(1+'Operating costs'!$B$53)^MAX(0,C3843-1)),"n.a."))</f>
        <v>0</v>
      </c>
      <c r="I3843" s="16">
        <f>IF(NOT(Paths!$C$355=1),0,IF(Paths!$P$355="Complete",IF(IF(Paths!$E$355=0,C3843=0,AND(C3843&gt;0,Paths!$E$355&gt;(C3843-1)*12,Paths!$E$355&lt;=C3843*12)),Paths!$G$355,0),"n.a."))</f>
        <v>0</v>
      </c>
      <c r="J3843" s="16">
        <f>IF(NOT(Paths!$C$355=1),0,IF(Paths!$P$355="Complete",IF(IF(Paths!$E$355=0,C3843=0,AND(C3843&gt;0,Paths!$E$355&gt;(C3843-1)*12,Paths!$E$355&lt;=C3843*12)),Paths!$H$355,0),"n.a."))</f>
        <v>0</v>
      </c>
      <c r="K3843" s="16">
        <f>IF(NOT(Paths!$C$355=1),0,IF(Paths!$P$355="Complete",IF(IF(Paths!$O$355=0,C3843=0,AND(C3843&gt;0,Paths!$O$355&gt;(C3843-1)*12,Paths!$O$355&lt;=C3843*12)),Paths!$N$355,0),"n.a."))</f>
        <v>0</v>
      </c>
      <c r="L3843" s="16">
        <f>IF(NOT(Paths!$C$355=1),0,IF(Paths!$P$355="Complete",IF(C3843=10,Paths!$I$355,0),"n.a."))</f>
        <v>0</v>
      </c>
      <c r="M3843" s="16">
        <f>IF(NOT(Paths!$C$355=1),0,IF(Paths!$P$355="Complete",IF(AND(Paths!$D$355="EV",Paths!$E$355&lt;120,Paths!$E$355+'Operating costs'!$B$65&gt;Paths!$E$355,Paths!$E$355+'Operating costs'!$B$65&lt;=120,IF(Paths!$E$355+'Operating costs'!$B$65=0,C3843=0,AND(C3843&gt;0,Paths!$E$355+'Operating costs'!$B$65&gt;(C3843-1)*12,Paths!$E$355+'Operating costs'!$B$65&lt;=C3843*12))),'Operating costs'!$B$64,0)+IF(AND('Operating costs'!$B$67&gt;0,'Operating costs'!$B$67&lt;=120,OR(Paths!$D$355="ICE",'Operating costs'!$B$67&lt;=Paths!$E$355),IF('Operating costs'!$B$67=0,C3843=0,AND(C3843&gt;0,'Operating costs'!$B$67&gt;(C3843-1)*12,'Operating costs'!$B$67&lt;=C3843*12))),'Operating costs'!$B$66,0),"n.a."))</f>
        <v>0</v>
      </c>
      <c r="N3843" s="16">
        <f>IF(NOT(Paths!$C$355=1),0,IF(Paths!$P$355="Complete",SUM(G3843:I3843)-J3843-K3843-L3843+M3843+IF(C3843=0,Paths!$F$355,0)+IF(IF(Paths!$E$355=0,C3843=0,AND(C3843&gt;0,Paths!$E$355&gt;(C3843-1)*12,Paths!$E$355&lt;=C3843*12)),VLOOKUP(A3843,'Fleet register'!$A$7:$S$106,16,FALSE),0),"n.a."))</f>
        <v>0</v>
      </c>
      <c r="O3843" s="16">
        <f>IF(NOT(Paths!$C$355=1),0,IF(Paths!$P$355="Complete",N3843-IF(C3843=0,Paths!$F$355,0),"n.a."))</f>
        <v>0</v>
      </c>
      <c r="P3843" s="16">
        <f>IF(NOT(Paths!$C$355=1),0,IF(Paths!$P$355="Complete",O3843+L3843,"n.a."))</f>
        <v>0</v>
      </c>
      <c r="Q3843" s="16">
        <f>IF(NOT(Paths!$C$355=1),0,IF(Paths!$P$355="Complete",N3843*(1+'Operating costs'!$B$54)^-C3843,"n.a."))</f>
        <v>0</v>
      </c>
      <c r="R3843" s="16">
        <f>IF(NOT(Paths!$C$355=1),0,IF(Paths!$P$355="Complete",IF(AND(C3843=0,Paths!$E$355=0),I3843-J3843-K3843+VLOOKUP(A3843,'Fleet register'!$A$7:$S$106,15,FALSE)+VLOOKUP(A3843,'Fleet register'!$A$7:$S$106,16,FALSE),0),"n.a."))</f>
        <v>0</v>
      </c>
      <c r="S3843" s="1">
        <f>IF(NOT(Paths!$C$355=1),0,IF(Paths!$P$355="Complete",IF(C3843=0,0,Paths!$S$355*Paths!$R$355),"n.a."))</f>
        <v>0</v>
      </c>
      <c r="T3843" s="1">
        <f>IF(NOT(Paths!$C$355=1),0,IF(Paths!$P$355="Complete",IF(C3843=0,0,VLOOKUP(A3843,'Fleet register'!$A$7:$S$106,9,FALSE)*Paths!$R$355),"n.a."))</f>
        <v>0</v>
      </c>
    </row>
    <row r="3844" spans="1:20" ht="24" customHeight="1">
      <c r="A3844" s="1" t="str">
        <f>Paths!$A$355</f>
        <v>T088</v>
      </c>
      <c r="B3844" s="1">
        <f>Paths!$B$355</f>
        <v>0</v>
      </c>
      <c r="C3844" s="1">
        <v>9</v>
      </c>
      <c r="D3844" s="1">
        <v>355</v>
      </c>
      <c r="E3844" s="1">
        <f>IF(OR(Paths!$C$355=0,C3844=0),0,MAX(0,MIN(C3844*12,Paths!$E$355)-(C3844-1)*12))</f>
        <v>0</v>
      </c>
      <c r="F3844" s="1">
        <f>IF(OR(Paths!$C$355=0,C3844=0),0,12-E3844)</f>
        <v>0</v>
      </c>
      <c r="G3844" s="16">
        <f>IF(NOT(Paths!$C$355=1),0,IF(Paths!$P$355="Complete",E3844/12*(Paths!$J$355*(1+'Operating costs'!$B$51)^MAX(0,C3844-1)+Paths!$K$355*(1+'Operating costs'!$B$53)^MAX(0,C3844-1)),"n.a."))</f>
        <v>0</v>
      </c>
      <c r="H3844" s="16">
        <f>IF(NOT(Paths!$C$355=1),0,IF(Paths!$P$355="Complete",F3844/12*(Paths!$L$355*(1+IF(Paths!$D$355="EV",'Operating costs'!$B$52,'Operating costs'!$B$51))^MAX(0,C3844-1)+Paths!$M$355*(1+'Operating costs'!$B$53)^MAX(0,C3844-1)),"n.a."))</f>
        <v>0</v>
      </c>
      <c r="I3844" s="16">
        <f>IF(NOT(Paths!$C$355=1),0,IF(Paths!$P$355="Complete",IF(IF(Paths!$E$355=0,C3844=0,AND(C3844&gt;0,Paths!$E$355&gt;(C3844-1)*12,Paths!$E$355&lt;=C3844*12)),Paths!$G$355,0),"n.a."))</f>
        <v>0</v>
      </c>
      <c r="J3844" s="16">
        <f>IF(NOT(Paths!$C$355=1),0,IF(Paths!$P$355="Complete",IF(IF(Paths!$E$355=0,C3844=0,AND(C3844&gt;0,Paths!$E$355&gt;(C3844-1)*12,Paths!$E$355&lt;=C3844*12)),Paths!$H$355,0),"n.a."))</f>
        <v>0</v>
      </c>
      <c r="K3844" s="16">
        <f>IF(NOT(Paths!$C$355=1),0,IF(Paths!$P$355="Complete",IF(IF(Paths!$O$355=0,C3844=0,AND(C3844&gt;0,Paths!$O$355&gt;(C3844-1)*12,Paths!$O$355&lt;=C3844*12)),Paths!$N$355,0),"n.a."))</f>
        <v>0</v>
      </c>
      <c r="L3844" s="16">
        <f>IF(NOT(Paths!$C$355=1),0,IF(Paths!$P$355="Complete",IF(C3844=10,Paths!$I$355,0),"n.a."))</f>
        <v>0</v>
      </c>
      <c r="M3844" s="16">
        <f>IF(NOT(Paths!$C$355=1),0,IF(Paths!$P$355="Complete",IF(AND(Paths!$D$355="EV",Paths!$E$355&lt;120,Paths!$E$355+'Operating costs'!$B$65&gt;Paths!$E$355,Paths!$E$355+'Operating costs'!$B$65&lt;=120,IF(Paths!$E$355+'Operating costs'!$B$65=0,C3844=0,AND(C3844&gt;0,Paths!$E$355+'Operating costs'!$B$65&gt;(C3844-1)*12,Paths!$E$355+'Operating costs'!$B$65&lt;=C3844*12))),'Operating costs'!$B$64,0)+IF(AND('Operating costs'!$B$67&gt;0,'Operating costs'!$B$67&lt;=120,OR(Paths!$D$355="ICE",'Operating costs'!$B$67&lt;=Paths!$E$355),IF('Operating costs'!$B$67=0,C3844=0,AND(C3844&gt;0,'Operating costs'!$B$67&gt;(C3844-1)*12,'Operating costs'!$B$67&lt;=C3844*12))),'Operating costs'!$B$66,0),"n.a."))</f>
        <v>0</v>
      </c>
      <c r="N3844" s="16">
        <f>IF(NOT(Paths!$C$355=1),0,IF(Paths!$P$355="Complete",SUM(G3844:I3844)-J3844-K3844-L3844+M3844+IF(C3844=0,Paths!$F$355,0)+IF(IF(Paths!$E$355=0,C3844=0,AND(C3844&gt;0,Paths!$E$355&gt;(C3844-1)*12,Paths!$E$355&lt;=C3844*12)),VLOOKUP(A3844,'Fleet register'!$A$7:$S$106,16,FALSE),0),"n.a."))</f>
        <v>0</v>
      </c>
      <c r="O3844" s="16">
        <f>IF(NOT(Paths!$C$355=1),0,IF(Paths!$P$355="Complete",N3844-IF(C3844=0,Paths!$F$355,0),"n.a."))</f>
        <v>0</v>
      </c>
      <c r="P3844" s="16">
        <f>IF(NOT(Paths!$C$355=1),0,IF(Paths!$P$355="Complete",O3844+L3844,"n.a."))</f>
        <v>0</v>
      </c>
      <c r="Q3844" s="16">
        <f>IF(NOT(Paths!$C$355=1),0,IF(Paths!$P$355="Complete",N3844*(1+'Operating costs'!$B$54)^-C3844,"n.a."))</f>
        <v>0</v>
      </c>
      <c r="R3844" s="16">
        <f>IF(NOT(Paths!$C$355=1),0,IF(Paths!$P$355="Complete",IF(AND(C3844=0,Paths!$E$355=0),I3844-J3844-K3844+VLOOKUP(A3844,'Fleet register'!$A$7:$S$106,15,FALSE)+VLOOKUP(A3844,'Fleet register'!$A$7:$S$106,16,FALSE),0),"n.a."))</f>
        <v>0</v>
      </c>
      <c r="S3844" s="1">
        <f>IF(NOT(Paths!$C$355=1),0,IF(Paths!$P$355="Complete",IF(C3844=0,0,Paths!$S$355*Paths!$R$355),"n.a."))</f>
        <v>0</v>
      </c>
      <c r="T3844" s="1">
        <f>IF(NOT(Paths!$C$355=1),0,IF(Paths!$P$355="Complete",IF(C3844=0,0,VLOOKUP(A3844,'Fleet register'!$A$7:$S$106,9,FALSE)*Paths!$R$355),"n.a."))</f>
        <v>0</v>
      </c>
    </row>
    <row r="3845" spans="1:20" ht="24" customHeight="1">
      <c r="A3845" s="1" t="str">
        <f>Paths!$A$355</f>
        <v>T088</v>
      </c>
      <c r="B3845" s="1">
        <f>Paths!$B$355</f>
        <v>0</v>
      </c>
      <c r="C3845" s="1">
        <v>10</v>
      </c>
      <c r="D3845" s="1">
        <v>355</v>
      </c>
      <c r="E3845" s="1">
        <f>IF(OR(Paths!$C$355=0,C3845=0),0,MAX(0,MIN(C3845*12,Paths!$E$355)-(C3845-1)*12))</f>
        <v>0</v>
      </c>
      <c r="F3845" s="1">
        <f>IF(OR(Paths!$C$355=0,C3845=0),0,12-E3845)</f>
        <v>0</v>
      </c>
      <c r="G3845" s="16">
        <f>IF(NOT(Paths!$C$355=1),0,IF(Paths!$P$355="Complete",E3845/12*(Paths!$J$355*(1+'Operating costs'!$B$51)^MAX(0,C3845-1)+Paths!$K$355*(1+'Operating costs'!$B$53)^MAX(0,C3845-1)),"n.a."))</f>
        <v>0</v>
      </c>
      <c r="H3845" s="16">
        <f>IF(NOT(Paths!$C$355=1),0,IF(Paths!$P$355="Complete",F3845/12*(Paths!$L$355*(1+IF(Paths!$D$355="EV",'Operating costs'!$B$52,'Operating costs'!$B$51))^MAX(0,C3845-1)+Paths!$M$355*(1+'Operating costs'!$B$53)^MAX(0,C3845-1)),"n.a."))</f>
        <v>0</v>
      </c>
      <c r="I3845" s="16">
        <f>IF(NOT(Paths!$C$355=1),0,IF(Paths!$P$355="Complete",IF(IF(Paths!$E$355=0,C3845=0,AND(C3845&gt;0,Paths!$E$355&gt;(C3845-1)*12,Paths!$E$355&lt;=C3845*12)),Paths!$G$355,0),"n.a."))</f>
        <v>0</v>
      </c>
      <c r="J3845" s="16">
        <f>IF(NOT(Paths!$C$355=1),0,IF(Paths!$P$355="Complete",IF(IF(Paths!$E$355=0,C3845=0,AND(C3845&gt;0,Paths!$E$355&gt;(C3845-1)*12,Paths!$E$355&lt;=C3845*12)),Paths!$H$355,0),"n.a."))</f>
        <v>0</v>
      </c>
      <c r="K3845" s="16">
        <f>IF(NOT(Paths!$C$355=1),0,IF(Paths!$P$355="Complete",IF(IF(Paths!$O$355=0,C3845=0,AND(C3845&gt;0,Paths!$O$355&gt;(C3845-1)*12,Paths!$O$355&lt;=C3845*12)),Paths!$N$355,0),"n.a."))</f>
        <v>0</v>
      </c>
      <c r="L3845" s="16">
        <f>IF(NOT(Paths!$C$355=1),0,IF(Paths!$P$355="Complete",IF(C3845=10,Paths!$I$355,0),"n.a."))</f>
        <v>0</v>
      </c>
      <c r="M3845" s="16">
        <f>IF(NOT(Paths!$C$355=1),0,IF(Paths!$P$355="Complete",IF(AND(Paths!$D$355="EV",Paths!$E$355&lt;120,Paths!$E$355+'Operating costs'!$B$65&gt;Paths!$E$355,Paths!$E$355+'Operating costs'!$B$65&lt;=120,IF(Paths!$E$355+'Operating costs'!$B$65=0,C3845=0,AND(C3845&gt;0,Paths!$E$355+'Operating costs'!$B$65&gt;(C3845-1)*12,Paths!$E$355+'Operating costs'!$B$65&lt;=C3845*12))),'Operating costs'!$B$64,0)+IF(AND('Operating costs'!$B$67&gt;0,'Operating costs'!$B$67&lt;=120,OR(Paths!$D$355="ICE",'Operating costs'!$B$67&lt;=Paths!$E$355),IF('Operating costs'!$B$67=0,C3845=0,AND(C3845&gt;0,'Operating costs'!$B$67&gt;(C3845-1)*12,'Operating costs'!$B$67&lt;=C3845*12))),'Operating costs'!$B$66,0),"n.a."))</f>
        <v>0</v>
      </c>
      <c r="N3845" s="16">
        <f>IF(NOT(Paths!$C$355=1),0,IF(Paths!$P$355="Complete",SUM(G3845:I3845)-J3845-K3845-L3845+M3845+IF(C3845=0,Paths!$F$355,0)+IF(IF(Paths!$E$355=0,C3845=0,AND(C3845&gt;0,Paths!$E$355&gt;(C3845-1)*12,Paths!$E$355&lt;=C3845*12)),VLOOKUP(A3845,'Fleet register'!$A$7:$S$106,16,FALSE),0),"n.a."))</f>
        <v>0</v>
      </c>
      <c r="O3845" s="16">
        <f>IF(NOT(Paths!$C$355=1),0,IF(Paths!$P$355="Complete",N3845-IF(C3845=0,Paths!$F$355,0),"n.a."))</f>
        <v>0</v>
      </c>
      <c r="P3845" s="16">
        <f>IF(NOT(Paths!$C$355=1),0,IF(Paths!$P$355="Complete",O3845+L3845,"n.a."))</f>
        <v>0</v>
      </c>
      <c r="Q3845" s="16">
        <f>IF(NOT(Paths!$C$355=1),0,IF(Paths!$P$355="Complete",N3845*(1+'Operating costs'!$B$54)^-C3845,"n.a."))</f>
        <v>0</v>
      </c>
      <c r="R3845" s="16">
        <f>IF(NOT(Paths!$C$355=1),0,IF(Paths!$P$355="Complete",IF(AND(C3845=0,Paths!$E$355=0),I3845-J3845-K3845+VLOOKUP(A3845,'Fleet register'!$A$7:$S$106,15,FALSE)+VLOOKUP(A3845,'Fleet register'!$A$7:$S$106,16,FALSE),0),"n.a."))</f>
        <v>0</v>
      </c>
      <c r="S3845" s="1">
        <f>IF(NOT(Paths!$C$355=1),0,IF(Paths!$P$355="Complete",IF(C3845=0,0,Paths!$S$355*Paths!$R$355),"n.a."))</f>
        <v>0</v>
      </c>
      <c r="T3845" s="1">
        <f>IF(NOT(Paths!$C$355=1),0,IF(Paths!$P$355="Complete",IF(C3845=0,0,VLOOKUP(A3845,'Fleet register'!$A$7:$S$106,9,FALSE)*Paths!$R$355),"n.a."))</f>
        <v>0</v>
      </c>
    </row>
    <row r="3846" spans="1:20" ht="24" customHeight="1">
      <c r="A3846" s="1" t="str">
        <f>Paths!$A$356</f>
        <v>T088</v>
      </c>
      <c r="B3846" s="1">
        <f>Paths!$B$356</f>
        <v>1</v>
      </c>
      <c r="C3846" s="1">
        <v>0</v>
      </c>
      <c r="D3846" s="1">
        <v>356</v>
      </c>
      <c r="E3846" s="1">
        <f>IF(OR(Paths!$C$356=0,C3846=0),0,MAX(0,MIN(C3846*12,Paths!$E$356)-(C3846-1)*12))</f>
        <v>0</v>
      </c>
      <c r="F3846" s="1">
        <f>IF(OR(Paths!$C$356=0,C3846=0),0,12-E3846)</f>
        <v>0</v>
      </c>
      <c r="G3846" s="16">
        <f>IF(NOT(Paths!$C$356=1),0,IF(Paths!$P$356="Complete",E3846/12*(Paths!$J$356*(1+'Operating costs'!$B$51)^MAX(0,C3846-1)+Paths!$K$356*(1+'Operating costs'!$B$53)^MAX(0,C3846-1)),"n.a."))</f>
        <v>0</v>
      </c>
      <c r="H3846" s="16">
        <f>IF(NOT(Paths!$C$356=1),0,IF(Paths!$P$356="Complete",F3846/12*(Paths!$L$356*(1+IF(Paths!$D$356="EV",'Operating costs'!$B$52,'Operating costs'!$B$51))^MAX(0,C3846-1)+Paths!$M$356*(1+'Operating costs'!$B$53)^MAX(0,C3846-1)),"n.a."))</f>
        <v>0</v>
      </c>
      <c r="I3846" s="16">
        <f>IF(NOT(Paths!$C$356=1),0,IF(Paths!$P$356="Complete",IF(IF(Paths!$E$356=0,C3846=0,AND(C3846&gt;0,Paths!$E$356&gt;(C3846-1)*12,Paths!$E$356&lt;=C3846*12)),Paths!$G$356,0),"n.a."))</f>
        <v>0</v>
      </c>
      <c r="J3846" s="16">
        <f>IF(NOT(Paths!$C$356=1),0,IF(Paths!$P$356="Complete",IF(IF(Paths!$E$356=0,C3846=0,AND(C3846&gt;0,Paths!$E$356&gt;(C3846-1)*12,Paths!$E$356&lt;=C3846*12)),Paths!$H$356,0),"n.a."))</f>
        <v>0</v>
      </c>
      <c r="K3846" s="16">
        <f>IF(NOT(Paths!$C$356=1),0,IF(Paths!$P$356="Complete",IF(IF(Paths!$O$356=0,C3846=0,AND(C3846&gt;0,Paths!$O$356&gt;(C3846-1)*12,Paths!$O$356&lt;=C3846*12)),Paths!$N$356,0),"n.a."))</f>
        <v>0</v>
      </c>
      <c r="L3846" s="16">
        <f>IF(NOT(Paths!$C$356=1),0,IF(Paths!$P$356="Complete",IF(C3846=10,Paths!$I$356,0),"n.a."))</f>
        <v>0</v>
      </c>
      <c r="M3846" s="16">
        <f>IF(NOT(Paths!$C$356=1),0,IF(Paths!$P$356="Complete",IF(AND(Paths!$D$356="EV",Paths!$E$356&lt;120,Paths!$E$356+'Operating costs'!$B$65&gt;Paths!$E$356,Paths!$E$356+'Operating costs'!$B$65&lt;=120,IF(Paths!$E$356+'Operating costs'!$B$65=0,C3846=0,AND(C3846&gt;0,Paths!$E$356+'Operating costs'!$B$65&gt;(C3846-1)*12,Paths!$E$356+'Operating costs'!$B$65&lt;=C3846*12))),'Operating costs'!$B$64,0)+IF(AND('Operating costs'!$B$67&gt;0,'Operating costs'!$B$67&lt;=120,OR(Paths!$D$356="ICE",'Operating costs'!$B$67&lt;=Paths!$E$356),IF('Operating costs'!$B$67=0,C3846=0,AND(C3846&gt;0,'Operating costs'!$B$67&gt;(C3846-1)*12,'Operating costs'!$B$67&lt;=C3846*12))),'Operating costs'!$B$66,0),"n.a."))</f>
        <v>0</v>
      </c>
      <c r="N3846" s="16">
        <f>IF(NOT(Paths!$C$356=1),0,IF(Paths!$P$356="Complete",SUM(G3846:I3846)-J3846-K3846-L3846+M3846+IF(C3846=0,Paths!$F$356,0)+IF(IF(Paths!$E$356=0,C3846=0,AND(C3846&gt;0,Paths!$E$356&gt;(C3846-1)*12,Paths!$E$356&lt;=C3846*12)),VLOOKUP(A3846,'Fleet register'!$A$7:$S$106,16,FALSE),0),"n.a."))</f>
        <v>0</v>
      </c>
      <c r="O3846" s="16">
        <f>IF(NOT(Paths!$C$356=1),0,IF(Paths!$P$356="Complete",N3846-IF(C3846=0,Paths!$F$356,0),"n.a."))</f>
        <v>0</v>
      </c>
      <c r="P3846" s="16">
        <f>IF(NOT(Paths!$C$356=1),0,IF(Paths!$P$356="Complete",O3846+L3846,"n.a."))</f>
        <v>0</v>
      </c>
      <c r="Q3846" s="16">
        <f>IF(NOT(Paths!$C$356=1),0,IF(Paths!$P$356="Complete",N3846*(1+'Operating costs'!$B$54)^-C3846,"n.a."))</f>
        <v>0</v>
      </c>
      <c r="R3846" s="16">
        <f>IF(NOT(Paths!$C$356=1),0,IF(Paths!$P$356="Complete",IF(AND(C3846=0,Paths!$E$356=0),I3846-J3846-K3846+VLOOKUP(A3846,'Fleet register'!$A$7:$S$106,15,FALSE)+VLOOKUP(A3846,'Fleet register'!$A$7:$S$106,16,FALSE),0),"n.a."))</f>
        <v>0</v>
      </c>
      <c r="S3846" s="1">
        <f>IF(NOT(Paths!$C$356=1),0,IF(Paths!$P$356="Complete",IF(C3846=0,0,Paths!$S$356*Paths!$R$356),"n.a."))</f>
        <v>0</v>
      </c>
      <c r="T3846" s="1">
        <f>IF(NOT(Paths!$C$356=1),0,IF(Paths!$P$356="Complete",IF(C3846=0,0,VLOOKUP(A3846,'Fleet register'!$A$7:$S$106,9,FALSE)*Paths!$R$356),"n.a."))</f>
        <v>0</v>
      </c>
    </row>
    <row r="3847" spans="1:20" ht="24" customHeight="1">
      <c r="A3847" s="1" t="str">
        <f>Paths!$A$356</f>
        <v>T088</v>
      </c>
      <c r="B3847" s="1">
        <f>Paths!$B$356</f>
        <v>1</v>
      </c>
      <c r="C3847" s="1">
        <v>1</v>
      </c>
      <c r="D3847" s="1">
        <v>356</v>
      </c>
      <c r="E3847" s="1">
        <f>IF(OR(Paths!$C$356=0,C3847=0),0,MAX(0,MIN(C3847*12,Paths!$E$356)-(C3847-1)*12))</f>
        <v>0</v>
      </c>
      <c r="F3847" s="1">
        <f>IF(OR(Paths!$C$356=0,C3847=0),0,12-E3847)</f>
        <v>0</v>
      </c>
      <c r="G3847" s="16">
        <f>IF(NOT(Paths!$C$356=1),0,IF(Paths!$P$356="Complete",E3847/12*(Paths!$J$356*(1+'Operating costs'!$B$51)^MAX(0,C3847-1)+Paths!$K$356*(1+'Operating costs'!$B$53)^MAX(0,C3847-1)),"n.a."))</f>
        <v>0</v>
      </c>
      <c r="H3847" s="16">
        <f>IF(NOT(Paths!$C$356=1),0,IF(Paths!$P$356="Complete",F3847/12*(Paths!$L$356*(1+IF(Paths!$D$356="EV",'Operating costs'!$B$52,'Operating costs'!$B$51))^MAX(0,C3847-1)+Paths!$M$356*(1+'Operating costs'!$B$53)^MAX(0,C3847-1)),"n.a."))</f>
        <v>0</v>
      </c>
      <c r="I3847" s="16">
        <f>IF(NOT(Paths!$C$356=1),0,IF(Paths!$P$356="Complete",IF(IF(Paths!$E$356=0,C3847=0,AND(C3847&gt;0,Paths!$E$356&gt;(C3847-1)*12,Paths!$E$356&lt;=C3847*12)),Paths!$G$356,0),"n.a."))</f>
        <v>0</v>
      </c>
      <c r="J3847" s="16">
        <f>IF(NOT(Paths!$C$356=1),0,IF(Paths!$P$356="Complete",IF(IF(Paths!$E$356=0,C3847=0,AND(C3847&gt;0,Paths!$E$356&gt;(C3847-1)*12,Paths!$E$356&lt;=C3847*12)),Paths!$H$356,0),"n.a."))</f>
        <v>0</v>
      </c>
      <c r="K3847" s="16">
        <f>IF(NOT(Paths!$C$356=1),0,IF(Paths!$P$356="Complete",IF(IF(Paths!$O$356=0,C3847=0,AND(C3847&gt;0,Paths!$O$356&gt;(C3847-1)*12,Paths!$O$356&lt;=C3847*12)),Paths!$N$356,0),"n.a."))</f>
        <v>0</v>
      </c>
      <c r="L3847" s="16">
        <f>IF(NOT(Paths!$C$356=1),0,IF(Paths!$P$356="Complete",IF(C3847=10,Paths!$I$356,0),"n.a."))</f>
        <v>0</v>
      </c>
      <c r="M3847" s="16">
        <f>IF(NOT(Paths!$C$356=1),0,IF(Paths!$P$356="Complete",IF(AND(Paths!$D$356="EV",Paths!$E$356&lt;120,Paths!$E$356+'Operating costs'!$B$65&gt;Paths!$E$356,Paths!$E$356+'Operating costs'!$B$65&lt;=120,IF(Paths!$E$356+'Operating costs'!$B$65=0,C3847=0,AND(C3847&gt;0,Paths!$E$356+'Operating costs'!$B$65&gt;(C3847-1)*12,Paths!$E$356+'Operating costs'!$B$65&lt;=C3847*12))),'Operating costs'!$B$64,0)+IF(AND('Operating costs'!$B$67&gt;0,'Operating costs'!$B$67&lt;=120,OR(Paths!$D$356="ICE",'Operating costs'!$B$67&lt;=Paths!$E$356),IF('Operating costs'!$B$67=0,C3847=0,AND(C3847&gt;0,'Operating costs'!$B$67&gt;(C3847-1)*12,'Operating costs'!$B$67&lt;=C3847*12))),'Operating costs'!$B$66,0),"n.a."))</f>
        <v>0</v>
      </c>
      <c r="N3847" s="16">
        <f>IF(NOT(Paths!$C$356=1),0,IF(Paths!$P$356="Complete",SUM(G3847:I3847)-J3847-K3847-L3847+M3847+IF(C3847=0,Paths!$F$356,0)+IF(IF(Paths!$E$356=0,C3847=0,AND(C3847&gt;0,Paths!$E$356&gt;(C3847-1)*12,Paths!$E$356&lt;=C3847*12)),VLOOKUP(A3847,'Fleet register'!$A$7:$S$106,16,FALSE),0),"n.a."))</f>
        <v>0</v>
      </c>
      <c r="O3847" s="16">
        <f>IF(NOT(Paths!$C$356=1),0,IF(Paths!$P$356="Complete",N3847-IF(C3847=0,Paths!$F$356,0),"n.a."))</f>
        <v>0</v>
      </c>
      <c r="P3847" s="16">
        <f>IF(NOT(Paths!$C$356=1),0,IF(Paths!$P$356="Complete",O3847+L3847,"n.a."))</f>
        <v>0</v>
      </c>
      <c r="Q3847" s="16">
        <f>IF(NOT(Paths!$C$356=1),0,IF(Paths!$P$356="Complete",N3847*(1+'Operating costs'!$B$54)^-C3847,"n.a."))</f>
        <v>0</v>
      </c>
      <c r="R3847" s="16">
        <f>IF(NOT(Paths!$C$356=1),0,IF(Paths!$P$356="Complete",IF(AND(C3847=0,Paths!$E$356=0),I3847-J3847-K3847+VLOOKUP(A3847,'Fleet register'!$A$7:$S$106,15,FALSE)+VLOOKUP(A3847,'Fleet register'!$A$7:$S$106,16,FALSE),0),"n.a."))</f>
        <v>0</v>
      </c>
      <c r="S3847" s="1">
        <f>IF(NOT(Paths!$C$356=1),0,IF(Paths!$P$356="Complete",IF(C3847=0,0,Paths!$S$356*Paths!$R$356),"n.a."))</f>
        <v>0</v>
      </c>
      <c r="T3847" s="1">
        <f>IF(NOT(Paths!$C$356=1),0,IF(Paths!$P$356="Complete",IF(C3847=0,0,VLOOKUP(A3847,'Fleet register'!$A$7:$S$106,9,FALSE)*Paths!$R$356),"n.a."))</f>
        <v>0</v>
      </c>
    </row>
    <row r="3848" spans="1:20" ht="24" customHeight="1">
      <c r="A3848" s="1" t="str">
        <f>Paths!$A$356</f>
        <v>T088</v>
      </c>
      <c r="B3848" s="1">
        <f>Paths!$B$356</f>
        <v>1</v>
      </c>
      <c r="C3848" s="1">
        <v>2</v>
      </c>
      <c r="D3848" s="1">
        <v>356</v>
      </c>
      <c r="E3848" s="1">
        <f>IF(OR(Paths!$C$356=0,C3848=0),0,MAX(0,MIN(C3848*12,Paths!$E$356)-(C3848-1)*12))</f>
        <v>0</v>
      </c>
      <c r="F3848" s="1">
        <f>IF(OR(Paths!$C$356=0,C3848=0),0,12-E3848)</f>
        <v>0</v>
      </c>
      <c r="G3848" s="16">
        <f>IF(NOT(Paths!$C$356=1),0,IF(Paths!$P$356="Complete",E3848/12*(Paths!$J$356*(1+'Operating costs'!$B$51)^MAX(0,C3848-1)+Paths!$K$356*(1+'Operating costs'!$B$53)^MAX(0,C3848-1)),"n.a."))</f>
        <v>0</v>
      </c>
      <c r="H3848" s="16">
        <f>IF(NOT(Paths!$C$356=1),0,IF(Paths!$P$356="Complete",F3848/12*(Paths!$L$356*(1+IF(Paths!$D$356="EV",'Operating costs'!$B$52,'Operating costs'!$B$51))^MAX(0,C3848-1)+Paths!$M$356*(1+'Operating costs'!$B$53)^MAX(0,C3848-1)),"n.a."))</f>
        <v>0</v>
      </c>
      <c r="I3848" s="16">
        <f>IF(NOT(Paths!$C$356=1),0,IF(Paths!$P$356="Complete",IF(IF(Paths!$E$356=0,C3848=0,AND(C3848&gt;0,Paths!$E$356&gt;(C3848-1)*12,Paths!$E$356&lt;=C3848*12)),Paths!$G$356,0),"n.a."))</f>
        <v>0</v>
      </c>
      <c r="J3848" s="16">
        <f>IF(NOT(Paths!$C$356=1),0,IF(Paths!$P$356="Complete",IF(IF(Paths!$E$356=0,C3848=0,AND(C3848&gt;0,Paths!$E$356&gt;(C3848-1)*12,Paths!$E$356&lt;=C3848*12)),Paths!$H$356,0),"n.a."))</f>
        <v>0</v>
      </c>
      <c r="K3848" s="16">
        <f>IF(NOT(Paths!$C$356=1),0,IF(Paths!$P$356="Complete",IF(IF(Paths!$O$356=0,C3848=0,AND(C3848&gt;0,Paths!$O$356&gt;(C3848-1)*12,Paths!$O$356&lt;=C3848*12)),Paths!$N$356,0),"n.a."))</f>
        <v>0</v>
      </c>
      <c r="L3848" s="16">
        <f>IF(NOT(Paths!$C$356=1),0,IF(Paths!$P$356="Complete",IF(C3848=10,Paths!$I$356,0),"n.a."))</f>
        <v>0</v>
      </c>
      <c r="M3848" s="16">
        <f>IF(NOT(Paths!$C$356=1),0,IF(Paths!$P$356="Complete",IF(AND(Paths!$D$356="EV",Paths!$E$356&lt;120,Paths!$E$356+'Operating costs'!$B$65&gt;Paths!$E$356,Paths!$E$356+'Operating costs'!$B$65&lt;=120,IF(Paths!$E$356+'Operating costs'!$B$65=0,C3848=0,AND(C3848&gt;0,Paths!$E$356+'Operating costs'!$B$65&gt;(C3848-1)*12,Paths!$E$356+'Operating costs'!$B$65&lt;=C3848*12))),'Operating costs'!$B$64,0)+IF(AND('Operating costs'!$B$67&gt;0,'Operating costs'!$B$67&lt;=120,OR(Paths!$D$356="ICE",'Operating costs'!$B$67&lt;=Paths!$E$356),IF('Operating costs'!$B$67=0,C3848=0,AND(C3848&gt;0,'Operating costs'!$B$67&gt;(C3848-1)*12,'Operating costs'!$B$67&lt;=C3848*12))),'Operating costs'!$B$66,0),"n.a."))</f>
        <v>0</v>
      </c>
      <c r="N3848" s="16">
        <f>IF(NOT(Paths!$C$356=1),0,IF(Paths!$P$356="Complete",SUM(G3848:I3848)-J3848-K3848-L3848+M3848+IF(C3848=0,Paths!$F$356,0)+IF(IF(Paths!$E$356=0,C3848=0,AND(C3848&gt;0,Paths!$E$356&gt;(C3848-1)*12,Paths!$E$356&lt;=C3848*12)),VLOOKUP(A3848,'Fleet register'!$A$7:$S$106,16,FALSE),0),"n.a."))</f>
        <v>0</v>
      </c>
      <c r="O3848" s="16">
        <f>IF(NOT(Paths!$C$356=1),0,IF(Paths!$P$356="Complete",N3848-IF(C3848=0,Paths!$F$356,0),"n.a."))</f>
        <v>0</v>
      </c>
      <c r="P3848" s="16">
        <f>IF(NOT(Paths!$C$356=1),0,IF(Paths!$P$356="Complete",O3848+L3848,"n.a."))</f>
        <v>0</v>
      </c>
      <c r="Q3848" s="16">
        <f>IF(NOT(Paths!$C$356=1),0,IF(Paths!$P$356="Complete",N3848*(1+'Operating costs'!$B$54)^-C3848,"n.a."))</f>
        <v>0</v>
      </c>
      <c r="R3848" s="16">
        <f>IF(NOT(Paths!$C$356=1),0,IF(Paths!$P$356="Complete",IF(AND(C3848=0,Paths!$E$356=0),I3848-J3848-K3848+VLOOKUP(A3848,'Fleet register'!$A$7:$S$106,15,FALSE)+VLOOKUP(A3848,'Fleet register'!$A$7:$S$106,16,FALSE),0),"n.a."))</f>
        <v>0</v>
      </c>
      <c r="S3848" s="1">
        <f>IF(NOT(Paths!$C$356=1),0,IF(Paths!$P$356="Complete",IF(C3848=0,0,Paths!$S$356*Paths!$R$356),"n.a."))</f>
        <v>0</v>
      </c>
      <c r="T3848" s="1">
        <f>IF(NOT(Paths!$C$356=1),0,IF(Paths!$P$356="Complete",IF(C3848=0,0,VLOOKUP(A3848,'Fleet register'!$A$7:$S$106,9,FALSE)*Paths!$R$356),"n.a."))</f>
        <v>0</v>
      </c>
    </row>
    <row r="3849" spans="1:20" ht="24" customHeight="1">
      <c r="A3849" s="1" t="str">
        <f>Paths!$A$356</f>
        <v>T088</v>
      </c>
      <c r="B3849" s="1">
        <f>Paths!$B$356</f>
        <v>1</v>
      </c>
      <c r="C3849" s="1">
        <v>3</v>
      </c>
      <c r="D3849" s="1">
        <v>356</v>
      </c>
      <c r="E3849" s="1">
        <f>IF(OR(Paths!$C$356=0,C3849=0),0,MAX(0,MIN(C3849*12,Paths!$E$356)-(C3849-1)*12))</f>
        <v>0</v>
      </c>
      <c r="F3849" s="1">
        <f>IF(OR(Paths!$C$356=0,C3849=0),0,12-E3849)</f>
        <v>0</v>
      </c>
      <c r="G3849" s="16">
        <f>IF(NOT(Paths!$C$356=1),0,IF(Paths!$P$356="Complete",E3849/12*(Paths!$J$356*(1+'Operating costs'!$B$51)^MAX(0,C3849-1)+Paths!$K$356*(1+'Operating costs'!$B$53)^MAX(0,C3849-1)),"n.a."))</f>
        <v>0</v>
      </c>
      <c r="H3849" s="16">
        <f>IF(NOT(Paths!$C$356=1),0,IF(Paths!$P$356="Complete",F3849/12*(Paths!$L$356*(1+IF(Paths!$D$356="EV",'Operating costs'!$B$52,'Operating costs'!$B$51))^MAX(0,C3849-1)+Paths!$M$356*(1+'Operating costs'!$B$53)^MAX(0,C3849-1)),"n.a."))</f>
        <v>0</v>
      </c>
      <c r="I3849" s="16">
        <f>IF(NOT(Paths!$C$356=1),0,IF(Paths!$P$356="Complete",IF(IF(Paths!$E$356=0,C3849=0,AND(C3849&gt;0,Paths!$E$356&gt;(C3849-1)*12,Paths!$E$356&lt;=C3849*12)),Paths!$G$356,0),"n.a."))</f>
        <v>0</v>
      </c>
      <c r="J3849" s="16">
        <f>IF(NOT(Paths!$C$356=1),0,IF(Paths!$P$356="Complete",IF(IF(Paths!$E$356=0,C3849=0,AND(C3849&gt;0,Paths!$E$356&gt;(C3849-1)*12,Paths!$E$356&lt;=C3849*12)),Paths!$H$356,0),"n.a."))</f>
        <v>0</v>
      </c>
      <c r="K3849" s="16">
        <f>IF(NOT(Paths!$C$356=1),0,IF(Paths!$P$356="Complete",IF(IF(Paths!$O$356=0,C3849=0,AND(C3849&gt;0,Paths!$O$356&gt;(C3849-1)*12,Paths!$O$356&lt;=C3849*12)),Paths!$N$356,0),"n.a."))</f>
        <v>0</v>
      </c>
      <c r="L3849" s="16">
        <f>IF(NOT(Paths!$C$356=1),0,IF(Paths!$P$356="Complete",IF(C3849=10,Paths!$I$356,0),"n.a."))</f>
        <v>0</v>
      </c>
      <c r="M3849" s="16">
        <f>IF(NOT(Paths!$C$356=1),0,IF(Paths!$P$356="Complete",IF(AND(Paths!$D$356="EV",Paths!$E$356&lt;120,Paths!$E$356+'Operating costs'!$B$65&gt;Paths!$E$356,Paths!$E$356+'Operating costs'!$B$65&lt;=120,IF(Paths!$E$356+'Operating costs'!$B$65=0,C3849=0,AND(C3849&gt;0,Paths!$E$356+'Operating costs'!$B$65&gt;(C3849-1)*12,Paths!$E$356+'Operating costs'!$B$65&lt;=C3849*12))),'Operating costs'!$B$64,0)+IF(AND('Operating costs'!$B$67&gt;0,'Operating costs'!$B$67&lt;=120,OR(Paths!$D$356="ICE",'Operating costs'!$B$67&lt;=Paths!$E$356),IF('Operating costs'!$B$67=0,C3849=0,AND(C3849&gt;0,'Operating costs'!$B$67&gt;(C3849-1)*12,'Operating costs'!$B$67&lt;=C3849*12))),'Operating costs'!$B$66,0),"n.a."))</f>
        <v>0</v>
      </c>
      <c r="N3849" s="16">
        <f>IF(NOT(Paths!$C$356=1),0,IF(Paths!$P$356="Complete",SUM(G3849:I3849)-J3849-K3849-L3849+M3849+IF(C3849=0,Paths!$F$356,0)+IF(IF(Paths!$E$356=0,C3849=0,AND(C3849&gt;0,Paths!$E$356&gt;(C3849-1)*12,Paths!$E$356&lt;=C3849*12)),VLOOKUP(A3849,'Fleet register'!$A$7:$S$106,16,FALSE),0),"n.a."))</f>
        <v>0</v>
      </c>
      <c r="O3849" s="16">
        <f>IF(NOT(Paths!$C$356=1),0,IF(Paths!$P$356="Complete",N3849-IF(C3849=0,Paths!$F$356,0),"n.a."))</f>
        <v>0</v>
      </c>
      <c r="P3849" s="16">
        <f>IF(NOT(Paths!$C$356=1),0,IF(Paths!$P$356="Complete",O3849+L3849,"n.a."))</f>
        <v>0</v>
      </c>
      <c r="Q3849" s="16">
        <f>IF(NOT(Paths!$C$356=1),0,IF(Paths!$P$356="Complete",N3849*(1+'Operating costs'!$B$54)^-C3849,"n.a."))</f>
        <v>0</v>
      </c>
      <c r="R3849" s="16">
        <f>IF(NOT(Paths!$C$356=1),0,IF(Paths!$P$356="Complete",IF(AND(C3849=0,Paths!$E$356=0),I3849-J3849-K3849+VLOOKUP(A3849,'Fleet register'!$A$7:$S$106,15,FALSE)+VLOOKUP(A3849,'Fleet register'!$A$7:$S$106,16,FALSE),0),"n.a."))</f>
        <v>0</v>
      </c>
      <c r="S3849" s="1">
        <f>IF(NOT(Paths!$C$356=1),0,IF(Paths!$P$356="Complete",IF(C3849=0,0,Paths!$S$356*Paths!$R$356),"n.a."))</f>
        <v>0</v>
      </c>
      <c r="T3849" s="1">
        <f>IF(NOT(Paths!$C$356=1),0,IF(Paths!$P$356="Complete",IF(C3849=0,0,VLOOKUP(A3849,'Fleet register'!$A$7:$S$106,9,FALSE)*Paths!$R$356),"n.a."))</f>
        <v>0</v>
      </c>
    </row>
    <row r="3850" spans="1:20" ht="24" customHeight="1">
      <c r="A3850" s="1" t="str">
        <f>Paths!$A$356</f>
        <v>T088</v>
      </c>
      <c r="B3850" s="1">
        <f>Paths!$B$356</f>
        <v>1</v>
      </c>
      <c r="C3850" s="1">
        <v>4</v>
      </c>
      <c r="D3850" s="1">
        <v>356</v>
      </c>
      <c r="E3850" s="1">
        <f>IF(OR(Paths!$C$356=0,C3850=0),0,MAX(0,MIN(C3850*12,Paths!$E$356)-(C3850-1)*12))</f>
        <v>0</v>
      </c>
      <c r="F3850" s="1">
        <f>IF(OR(Paths!$C$356=0,C3850=0),0,12-E3850)</f>
        <v>0</v>
      </c>
      <c r="G3850" s="16">
        <f>IF(NOT(Paths!$C$356=1),0,IF(Paths!$P$356="Complete",E3850/12*(Paths!$J$356*(1+'Operating costs'!$B$51)^MAX(0,C3850-1)+Paths!$K$356*(1+'Operating costs'!$B$53)^MAX(0,C3850-1)),"n.a."))</f>
        <v>0</v>
      </c>
      <c r="H3850" s="16">
        <f>IF(NOT(Paths!$C$356=1),0,IF(Paths!$P$356="Complete",F3850/12*(Paths!$L$356*(1+IF(Paths!$D$356="EV",'Operating costs'!$B$52,'Operating costs'!$B$51))^MAX(0,C3850-1)+Paths!$M$356*(1+'Operating costs'!$B$53)^MAX(0,C3850-1)),"n.a."))</f>
        <v>0</v>
      </c>
      <c r="I3850" s="16">
        <f>IF(NOT(Paths!$C$356=1),0,IF(Paths!$P$356="Complete",IF(IF(Paths!$E$356=0,C3850=0,AND(C3850&gt;0,Paths!$E$356&gt;(C3850-1)*12,Paths!$E$356&lt;=C3850*12)),Paths!$G$356,0),"n.a."))</f>
        <v>0</v>
      </c>
      <c r="J3850" s="16">
        <f>IF(NOT(Paths!$C$356=1),0,IF(Paths!$P$356="Complete",IF(IF(Paths!$E$356=0,C3850=0,AND(C3850&gt;0,Paths!$E$356&gt;(C3850-1)*12,Paths!$E$356&lt;=C3850*12)),Paths!$H$356,0),"n.a."))</f>
        <v>0</v>
      </c>
      <c r="K3850" s="16">
        <f>IF(NOT(Paths!$C$356=1),0,IF(Paths!$P$356="Complete",IF(IF(Paths!$O$356=0,C3850=0,AND(C3850&gt;0,Paths!$O$356&gt;(C3850-1)*12,Paths!$O$356&lt;=C3850*12)),Paths!$N$356,0),"n.a."))</f>
        <v>0</v>
      </c>
      <c r="L3850" s="16">
        <f>IF(NOT(Paths!$C$356=1),0,IF(Paths!$P$356="Complete",IF(C3850=10,Paths!$I$356,0),"n.a."))</f>
        <v>0</v>
      </c>
      <c r="M3850" s="16">
        <f>IF(NOT(Paths!$C$356=1),0,IF(Paths!$P$356="Complete",IF(AND(Paths!$D$356="EV",Paths!$E$356&lt;120,Paths!$E$356+'Operating costs'!$B$65&gt;Paths!$E$356,Paths!$E$356+'Operating costs'!$B$65&lt;=120,IF(Paths!$E$356+'Operating costs'!$B$65=0,C3850=0,AND(C3850&gt;0,Paths!$E$356+'Operating costs'!$B$65&gt;(C3850-1)*12,Paths!$E$356+'Operating costs'!$B$65&lt;=C3850*12))),'Operating costs'!$B$64,0)+IF(AND('Operating costs'!$B$67&gt;0,'Operating costs'!$B$67&lt;=120,OR(Paths!$D$356="ICE",'Operating costs'!$B$67&lt;=Paths!$E$356),IF('Operating costs'!$B$67=0,C3850=0,AND(C3850&gt;0,'Operating costs'!$B$67&gt;(C3850-1)*12,'Operating costs'!$B$67&lt;=C3850*12))),'Operating costs'!$B$66,0),"n.a."))</f>
        <v>0</v>
      </c>
      <c r="N3850" s="16">
        <f>IF(NOT(Paths!$C$356=1),0,IF(Paths!$P$356="Complete",SUM(G3850:I3850)-J3850-K3850-L3850+M3850+IF(C3850=0,Paths!$F$356,0)+IF(IF(Paths!$E$356=0,C3850=0,AND(C3850&gt;0,Paths!$E$356&gt;(C3850-1)*12,Paths!$E$356&lt;=C3850*12)),VLOOKUP(A3850,'Fleet register'!$A$7:$S$106,16,FALSE),0),"n.a."))</f>
        <v>0</v>
      </c>
      <c r="O3850" s="16">
        <f>IF(NOT(Paths!$C$356=1),0,IF(Paths!$P$356="Complete",N3850-IF(C3850=0,Paths!$F$356,0),"n.a."))</f>
        <v>0</v>
      </c>
      <c r="P3850" s="16">
        <f>IF(NOT(Paths!$C$356=1),0,IF(Paths!$P$356="Complete",O3850+L3850,"n.a."))</f>
        <v>0</v>
      </c>
      <c r="Q3850" s="16">
        <f>IF(NOT(Paths!$C$356=1),0,IF(Paths!$P$356="Complete",N3850*(1+'Operating costs'!$B$54)^-C3850,"n.a."))</f>
        <v>0</v>
      </c>
      <c r="R3850" s="16">
        <f>IF(NOT(Paths!$C$356=1),0,IF(Paths!$P$356="Complete",IF(AND(C3850=0,Paths!$E$356=0),I3850-J3850-K3850+VLOOKUP(A3850,'Fleet register'!$A$7:$S$106,15,FALSE)+VLOOKUP(A3850,'Fleet register'!$A$7:$S$106,16,FALSE),0),"n.a."))</f>
        <v>0</v>
      </c>
      <c r="S3850" s="1">
        <f>IF(NOT(Paths!$C$356=1),0,IF(Paths!$P$356="Complete",IF(C3850=0,0,Paths!$S$356*Paths!$R$356),"n.a."))</f>
        <v>0</v>
      </c>
      <c r="T3850" s="1">
        <f>IF(NOT(Paths!$C$356=1),0,IF(Paths!$P$356="Complete",IF(C3850=0,0,VLOOKUP(A3850,'Fleet register'!$A$7:$S$106,9,FALSE)*Paths!$R$356),"n.a."))</f>
        <v>0</v>
      </c>
    </row>
    <row r="3851" spans="1:20" ht="24" customHeight="1">
      <c r="A3851" s="1" t="str">
        <f>Paths!$A$356</f>
        <v>T088</v>
      </c>
      <c r="B3851" s="1">
        <f>Paths!$B$356</f>
        <v>1</v>
      </c>
      <c r="C3851" s="1">
        <v>5</v>
      </c>
      <c r="D3851" s="1">
        <v>356</v>
      </c>
      <c r="E3851" s="1">
        <f>IF(OR(Paths!$C$356=0,C3851=0),0,MAX(0,MIN(C3851*12,Paths!$E$356)-(C3851-1)*12))</f>
        <v>0</v>
      </c>
      <c r="F3851" s="1">
        <f>IF(OR(Paths!$C$356=0,C3851=0),0,12-E3851)</f>
        <v>0</v>
      </c>
      <c r="G3851" s="16">
        <f>IF(NOT(Paths!$C$356=1),0,IF(Paths!$P$356="Complete",E3851/12*(Paths!$J$356*(1+'Operating costs'!$B$51)^MAX(0,C3851-1)+Paths!$K$356*(1+'Operating costs'!$B$53)^MAX(0,C3851-1)),"n.a."))</f>
        <v>0</v>
      </c>
      <c r="H3851" s="16">
        <f>IF(NOT(Paths!$C$356=1),0,IF(Paths!$P$356="Complete",F3851/12*(Paths!$L$356*(1+IF(Paths!$D$356="EV",'Operating costs'!$B$52,'Operating costs'!$B$51))^MAX(0,C3851-1)+Paths!$M$356*(1+'Operating costs'!$B$53)^MAX(0,C3851-1)),"n.a."))</f>
        <v>0</v>
      </c>
      <c r="I3851" s="16">
        <f>IF(NOT(Paths!$C$356=1),0,IF(Paths!$P$356="Complete",IF(IF(Paths!$E$356=0,C3851=0,AND(C3851&gt;0,Paths!$E$356&gt;(C3851-1)*12,Paths!$E$356&lt;=C3851*12)),Paths!$G$356,0),"n.a."))</f>
        <v>0</v>
      </c>
      <c r="J3851" s="16">
        <f>IF(NOT(Paths!$C$356=1),0,IF(Paths!$P$356="Complete",IF(IF(Paths!$E$356=0,C3851=0,AND(C3851&gt;0,Paths!$E$356&gt;(C3851-1)*12,Paths!$E$356&lt;=C3851*12)),Paths!$H$356,0),"n.a."))</f>
        <v>0</v>
      </c>
      <c r="K3851" s="16">
        <f>IF(NOT(Paths!$C$356=1),0,IF(Paths!$P$356="Complete",IF(IF(Paths!$O$356=0,C3851=0,AND(C3851&gt;0,Paths!$O$356&gt;(C3851-1)*12,Paths!$O$356&lt;=C3851*12)),Paths!$N$356,0),"n.a."))</f>
        <v>0</v>
      </c>
      <c r="L3851" s="16">
        <f>IF(NOT(Paths!$C$356=1),0,IF(Paths!$P$356="Complete",IF(C3851=10,Paths!$I$356,0),"n.a."))</f>
        <v>0</v>
      </c>
      <c r="M3851" s="16">
        <f>IF(NOT(Paths!$C$356=1),0,IF(Paths!$P$356="Complete",IF(AND(Paths!$D$356="EV",Paths!$E$356&lt;120,Paths!$E$356+'Operating costs'!$B$65&gt;Paths!$E$356,Paths!$E$356+'Operating costs'!$B$65&lt;=120,IF(Paths!$E$356+'Operating costs'!$B$65=0,C3851=0,AND(C3851&gt;0,Paths!$E$356+'Operating costs'!$B$65&gt;(C3851-1)*12,Paths!$E$356+'Operating costs'!$B$65&lt;=C3851*12))),'Operating costs'!$B$64,0)+IF(AND('Operating costs'!$B$67&gt;0,'Operating costs'!$B$67&lt;=120,OR(Paths!$D$356="ICE",'Operating costs'!$B$67&lt;=Paths!$E$356),IF('Operating costs'!$B$67=0,C3851=0,AND(C3851&gt;0,'Operating costs'!$B$67&gt;(C3851-1)*12,'Operating costs'!$B$67&lt;=C3851*12))),'Operating costs'!$B$66,0),"n.a."))</f>
        <v>0</v>
      </c>
      <c r="N3851" s="16">
        <f>IF(NOT(Paths!$C$356=1),0,IF(Paths!$P$356="Complete",SUM(G3851:I3851)-J3851-K3851-L3851+M3851+IF(C3851=0,Paths!$F$356,0)+IF(IF(Paths!$E$356=0,C3851=0,AND(C3851&gt;0,Paths!$E$356&gt;(C3851-1)*12,Paths!$E$356&lt;=C3851*12)),VLOOKUP(A3851,'Fleet register'!$A$7:$S$106,16,FALSE),0),"n.a."))</f>
        <v>0</v>
      </c>
      <c r="O3851" s="16">
        <f>IF(NOT(Paths!$C$356=1),0,IF(Paths!$P$356="Complete",N3851-IF(C3851=0,Paths!$F$356,0),"n.a."))</f>
        <v>0</v>
      </c>
      <c r="P3851" s="16">
        <f>IF(NOT(Paths!$C$356=1),0,IF(Paths!$P$356="Complete",O3851+L3851,"n.a."))</f>
        <v>0</v>
      </c>
      <c r="Q3851" s="16">
        <f>IF(NOT(Paths!$C$356=1),0,IF(Paths!$P$356="Complete",N3851*(1+'Operating costs'!$B$54)^-C3851,"n.a."))</f>
        <v>0</v>
      </c>
      <c r="R3851" s="16">
        <f>IF(NOT(Paths!$C$356=1),0,IF(Paths!$P$356="Complete",IF(AND(C3851=0,Paths!$E$356=0),I3851-J3851-K3851+VLOOKUP(A3851,'Fleet register'!$A$7:$S$106,15,FALSE)+VLOOKUP(A3851,'Fleet register'!$A$7:$S$106,16,FALSE),0),"n.a."))</f>
        <v>0</v>
      </c>
      <c r="S3851" s="1">
        <f>IF(NOT(Paths!$C$356=1),0,IF(Paths!$P$356="Complete",IF(C3851=0,0,Paths!$S$356*Paths!$R$356),"n.a."))</f>
        <v>0</v>
      </c>
      <c r="T3851" s="1">
        <f>IF(NOT(Paths!$C$356=1),0,IF(Paths!$P$356="Complete",IF(C3851=0,0,VLOOKUP(A3851,'Fleet register'!$A$7:$S$106,9,FALSE)*Paths!$R$356),"n.a."))</f>
        <v>0</v>
      </c>
    </row>
    <row r="3852" spans="1:20" ht="24" customHeight="1">
      <c r="A3852" s="1" t="str">
        <f>Paths!$A$356</f>
        <v>T088</v>
      </c>
      <c r="B3852" s="1">
        <f>Paths!$B$356</f>
        <v>1</v>
      </c>
      <c r="C3852" s="1">
        <v>6</v>
      </c>
      <c r="D3852" s="1">
        <v>356</v>
      </c>
      <c r="E3852" s="1">
        <f>IF(OR(Paths!$C$356=0,C3852=0),0,MAX(0,MIN(C3852*12,Paths!$E$356)-(C3852-1)*12))</f>
        <v>0</v>
      </c>
      <c r="F3852" s="1">
        <f>IF(OR(Paths!$C$356=0,C3852=0),0,12-E3852)</f>
        <v>0</v>
      </c>
      <c r="G3852" s="16">
        <f>IF(NOT(Paths!$C$356=1),0,IF(Paths!$P$356="Complete",E3852/12*(Paths!$J$356*(1+'Operating costs'!$B$51)^MAX(0,C3852-1)+Paths!$K$356*(1+'Operating costs'!$B$53)^MAX(0,C3852-1)),"n.a."))</f>
        <v>0</v>
      </c>
      <c r="H3852" s="16">
        <f>IF(NOT(Paths!$C$356=1),0,IF(Paths!$P$356="Complete",F3852/12*(Paths!$L$356*(1+IF(Paths!$D$356="EV",'Operating costs'!$B$52,'Operating costs'!$B$51))^MAX(0,C3852-1)+Paths!$M$356*(1+'Operating costs'!$B$53)^MAX(0,C3852-1)),"n.a."))</f>
        <v>0</v>
      </c>
      <c r="I3852" s="16">
        <f>IF(NOT(Paths!$C$356=1),0,IF(Paths!$P$356="Complete",IF(IF(Paths!$E$356=0,C3852=0,AND(C3852&gt;0,Paths!$E$356&gt;(C3852-1)*12,Paths!$E$356&lt;=C3852*12)),Paths!$G$356,0),"n.a."))</f>
        <v>0</v>
      </c>
      <c r="J3852" s="16">
        <f>IF(NOT(Paths!$C$356=1),0,IF(Paths!$P$356="Complete",IF(IF(Paths!$E$356=0,C3852=0,AND(C3852&gt;0,Paths!$E$356&gt;(C3852-1)*12,Paths!$E$356&lt;=C3852*12)),Paths!$H$356,0),"n.a."))</f>
        <v>0</v>
      </c>
      <c r="K3852" s="16">
        <f>IF(NOT(Paths!$C$356=1),0,IF(Paths!$P$356="Complete",IF(IF(Paths!$O$356=0,C3852=0,AND(C3852&gt;0,Paths!$O$356&gt;(C3852-1)*12,Paths!$O$356&lt;=C3852*12)),Paths!$N$356,0),"n.a."))</f>
        <v>0</v>
      </c>
      <c r="L3852" s="16">
        <f>IF(NOT(Paths!$C$356=1),0,IF(Paths!$P$356="Complete",IF(C3852=10,Paths!$I$356,0),"n.a."))</f>
        <v>0</v>
      </c>
      <c r="M3852" s="16">
        <f>IF(NOT(Paths!$C$356=1),0,IF(Paths!$P$356="Complete",IF(AND(Paths!$D$356="EV",Paths!$E$356&lt;120,Paths!$E$356+'Operating costs'!$B$65&gt;Paths!$E$356,Paths!$E$356+'Operating costs'!$B$65&lt;=120,IF(Paths!$E$356+'Operating costs'!$B$65=0,C3852=0,AND(C3852&gt;0,Paths!$E$356+'Operating costs'!$B$65&gt;(C3852-1)*12,Paths!$E$356+'Operating costs'!$B$65&lt;=C3852*12))),'Operating costs'!$B$64,0)+IF(AND('Operating costs'!$B$67&gt;0,'Operating costs'!$B$67&lt;=120,OR(Paths!$D$356="ICE",'Operating costs'!$B$67&lt;=Paths!$E$356),IF('Operating costs'!$B$67=0,C3852=0,AND(C3852&gt;0,'Operating costs'!$B$67&gt;(C3852-1)*12,'Operating costs'!$B$67&lt;=C3852*12))),'Operating costs'!$B$66,0),"n.a."))</f>
        <v>0</v>
      </c>
      <c r="N3852" s="16">
        <f>IF(NOT(Paths!$C$356=1),0,IF(Paths!$P$356="Complete",SUM(G3852:I3852)-J3852-K3852-L3852+M3852+IF(C3852=0,Paths!$F$356,0)+IF(IF(Paths!$E$356=0,C3852=0,AND(C3852&gt;0,Paths!$E$356&gt;(C3852-1)*12,Paths!$E$356&lt;=C3852*12)),VLOOKUP(A3852,'Fleet register'!$A$7:$S$106,16,FALSE),0),"n.a."))</f>
        <v>0</v>
      </c>
      <c r="O3852" s="16">
        <f>IF(NOT(Paths!$C$356=1),0,IF(Paths!$P$356="Complete",N3852-IF(C3852=0,Paths!$F$356,0),"n.a."))</f>
        <v>0</v>
      </c>
      <c r="P3852" s="16">
        <f>IF(NOT(Paths!$C$356=1),0,IF(Paths!$P$356="Complete",O3852+L3852,"n.a."))</f>
        <v>0</v>
      </c>
      <c r="Q3852" s="16">
        <f>IF(NOT(Paths!$C$356=1),0,IF(Paths!$P$356="Complete",N3852*(1+'Operating costs'!$B$54)^-C3852,"n.a."))</f>
        <v>0</v>
      </c>
      <c r="R3852" s="16">
        <f>IF(NOT(Paths!$C$356=1),0,IF(Paths!$P$356="Complete",IF(AND(C3852=0,Paths!$E$356=0),I3852-J3852-K3852+VLOOKUP(A3852,'Fleet register'!$A$7:$S$106,15,FALSE)+VLOOKUP(A3852,'Fleet register'!$A$7:$S$106,16,FALSE),0),"n.a."))</f>
        <v>0</v>
      </c>
      <c r="S3852" s="1">
        <f>IF(NOT(Paths!$C$356=1),0,IF(Paths!$P$356="Complete",IF(C3852=0,0,Paths!$S$356*Paths!$R$356),"n.a."))</f>
        <v>0</v>
      </c>
      <c r="T3852" s="1">
        <f>IF(NOT(Paths!$C$356=1),0,IF(Paths!$P$356="Complete",IF(C3852=0,0,VLOOKUP(A3852,'Fleet register'!$A$7:$S$106,9,FALSE)*Paths!$R$356),"n.a."))</f>
        <v>0</v>
      </c>
    </row>
    <row r="3853" spans="1:20" ht="24" customHeight="1">
      <c r="A3853" s="1" t="str">
        <f>Paths!$A$356</f>
        <v>T088</v>
      </c>
      <c r="B3853" s="1">
        <f>Paths!$B$356</f>
        <v>1</v>
      </c>
      <c r="C3853" s="1">
        <v>7</v>
      </c>
      <c r="D3853" s="1">
        <v>356</v>
      </c>
      <c r="E3853" s="1">
        <f>IF(OR(Paths!$C$356=0,C3853=0),0,MAX(0,MIN(C3853*12,Paths!$E$356)-(C3853-1)*12))</f>
        <v>0</v>
      </c>
      <c r="F3853" s="1">
        <f>IF(OR(Paths!$C$356=0,C3853=0),0,12-E3853)</f>
        <v>0</v>
      </c>
      <c r="G3853" s="16">
        <f>IF(NOT(Paths!$C$356=1),0,IF(Paths!$P$356="Complete",E3853/12*(Paths!$J$356*(1+'Operating costs'!$B$51)^MAX(0,C3853-1)+Paths!$K$356*(1+'Operating costs'!$B$53)^MAX(0,C3853-1)),"n.a."))</f>
        <v>0</v>
      </c>
      <c r="H3853" s="16">
        <f>IF(NOT(Paths!$C$356=1),0,IF(Paths!$P$356="Complete",F3853/12*(Paths!$L$356*(1+IF(Paths!$D$356="EV",'Operating costs'!$B$52,'Operating costs'!$B$51))^MAX(0,C3853-1)+Paths!$M$356*(1+'Operating costs'!$B$53)^MAX(0,C3853-1)),"n.a."))</f>
        <v>0</v>
      </c>
      <c r="I3853" s="16">
        <f>IF(NOT(Paths!$C$356=1),0,IF(Paths!$P$356="Complete",IF(IF(Paths!$E$356=0,C3853=0,AND(C3853&gt;0,Paths!$E$356&gt;(C3853-1)*12,Paths!$E$356&lt;=C3853*12)),Paths!$G$356,0),"n.a."))</f>
        <v>0</v>
      </c>
      <c r="J3853" s="16">
        <f>IF(NOT(Paths!$C$356=1),0,IF(Paths!$P$356="Complete",IF(IF(Paths!$E$356=0,C3853=0,AND(C3853&gt;0,Paths!$E$356&gt;(C3853-1)*12,Paths!$E$356&lt;=C3853*12)),Paths!$H$356,0),"n.a."))</f>
        <v>0</v>
      </c>
      <c r="K3853" s="16">
        <f>IF(NOT(Paths!$C$356=1),0,IF(Paths!$P$356="Complete",IF(IF(Paths!$O$356=0,C3853=0,AND(C3853&gt;0,Paths!$O$356&gt;(C3853-1)*12,Paths!$O$356&lt;=C3853*12)),Paths!$N$356,0),"n.a."))</f>
        <v>0</v>
      </c>
      <c r="L3853" s="16">
        <f>IF(NOT(Paths!$C$356=1),0,IF(Paths!$P$356="Complete",IF(C3853=10,Paths!$I$356,0),"n.a."))</f>
        <v>0</v>
      </c>
      <c r="M3853" s="16">
        <f>IF(NOT(Paths!$C$356=1),0,IF(Paths!$P$356="Complete",IF(AND(Paths!$D$356="EV",Paths!$E$356&lt;120,Paths!$E$356+'Operating costs'!$B$65&gt;Paths!$E$356,Paths!$E$356+'Operating costs'!$B$65&lt;=120,IF(Paths!$E$356+'Operating costs'!$B$65=0,C3853=0,AND(C3853&gt;0,Paths!$E$356+'Operating costs'!$B$65&gt;(C3853-1)*12,Paths!$E$356+'Operating costs'!$B$65&lt;=C3853*12))),'Operating costs'!$B$64,0)+IF(AND('Operating costs'!$B$67&gt;0,'Operating costs'!$B$67&lt;=120,OR(Paths!$D$356="ICE",'Operating costs'!$B$67&lt;=Paths!$E$356),IF('Operating costs'!$B$67=0,C3853=0,AND(C3853&gt;0,'Operating costs'!$B$67&gt;(C3853-1)*12,'Operating costs'!$B$67&lt;=C3853*12))),'Operating costs'!$B$66,0),"n.a."))</f>
        <v>0</v>
      </c>
      <c r="N3853" s="16">
        <f>IF(NOT(Paths!$C$356=1),0,IF(Paths!$P$356="Complete",SUM(G3853:I3853)-J3853-K3853-L3853+M3853+IF(C3853=0,Paths!$F$356,0)+IF(IF(Paths!$E$356=0,C3853=0,AND(C3853&gt;0,Paths!$E$356&gt;(C3853-1)*12,Paths!$E$356&lt;=C3853*12)),VLOOKUP(A3853,'Fleet register'!$A$7:$S$106,16,FALSE),0),"n.a."))</f>
        <v>0</v>
      </c>
      <c r="O3853" s="16">
        <f>IF(NOT(Paths!$C$356=1),0,IF(Paths!$P$356="Complete",N3853-IF(C3853=0,Paths!$F$356,0),"n.a."))</f>
        <v>0</v>
      </c>
      <c r="P3853" s="16">
        <f>IF(NOT(Paths!$C$356=1),0,IF(Paths!$P$356="Complete",O3853+L3853,"n.a."))</f>
        <v>0</v>
      </c>
      <c r="Q3853" s="16">
        <f>IF(NOT(Paths!$C$356=1),0,IF(Paths!$P$356="Complete",N3853*(1+'Operating costs'!$B$54)^-C3853,"n.a."))</f>
        <v>0</v>
      </c>
      <c r="R3853" s="16">
        <f>IF(NOT(Paths!$C$356=1),0,IF(Paths!$P$356="Complete",IF(AND(C3853=0,Paths!$E$356=0),I3853-J3853-K3853+VLOOKUP(A3853,'Fleet register'!$A$7:$S$106,15,FALSE)+VLOOKUP(A3853,'Fleet register'!$A$7:$S$106,16,FALSE),0),"n.a."))</f>
        <v>0</v>
      </c>
      <c r="S3853" s="1">
        <f>IF(NOT(Paths!$C$356=1),0,IF(Paths!$P$356="Complete",IF(C3853=0,0,Paths!$S$356*Paths!$R$356),"n.a."))</f>
        <v>0</v>
      </c>
      <c r="T3853" s="1">
        <f>IF(NOT(Paths!$C$356=1),0,IF(Paths!$P$356="Complete",IF(C3853=0,0,VLOOKUP(A3853,'Fleet register'!$A$7:$S$106,9,FALSE)*Paths!$R$356),"n.a."))</f>
        <v>0</v>
      </c>
    </row>
    <row r="3854" spans="1:20" ht="24" customHeight="1">
      <c r="A3854" s="1" t="str">
        <f>Paths!$A$356</f>
        <v>T088</v>
      </c>
      <c r="B3854" s="1">
        <f>Paths!$B$356</f>
        <v>1</v>
      </c>
      <c r="C3854" s="1">
        <v>8</v>
      </c>
      <c r="D3854" s="1">
        <v>356</v>
      </c>
      <c r="E3854" s="1">
        <f>IF(OR(Paths!$C$356=0,C3854=0),0,MAX(0,MIN(C3854*12,Paths!$E$356)-(C3854-1)*12))</f>
        <v>0</v>
      </c>
      <c r="F3854" s="1">
        <f>IF(OR(Paths!$C$356=0,C3854=0),0,12-E3854)</f>
        <v>0</v>
      </c>
      <c r="G3854" s="16">
        <f>IF(NOT(Paths!$C$356=1),0,IF(Paths!$P$356="Complete",E3854/12*(Paths!$J$356*(1+'Operating costs'!$B$51)^MAX(0,C3854-1)+Paths!$K$356*(1+'Operating costs'!$B$53)^MAX(0,C3854-1)),"n.a."))</f>
        <v>0</v>
      </c>
      <c r="H3854" s="16">
        <f>IF(NOT(Paths!$C$356=1),0,IF(Paths!$P$356="Complete",F3854/12*(Paths!$L$356*(1+IF(Paths!$D$356="EV",'Operating costs'!$B$52,'Operating costs'!$B$51))^MAX(0,C3854-1)+Paths!$M$356*(1+'Operating costs'!$B$53)^MAX(0,C3854-1)),"n.a."))</f>
        <v>0</v>
      </c>
      <c r="I3854" s="16">
        <f>IF(NOT(Paths!$C$356=1),0,IF(Paths!$P$356="Complete",IF(IF(Paths!$E$356=0,C3854=0,AND(C3854&gt;0,Paths!$E$356&gt;(C3854-1)*12,Paths!$E$356&lt;=C3854*12)),Paths!$G$356,0),"n.a."))</f>
        <v>0</v>
      </c>
      <c r="J3854" s="16">
        <f>IF(NOT(Paths!$C$356=1),0,IF(Paths!$P$356="Complete",IF(IF(Paths!$E$356=0,C3854=0,AND(C3854&gt;0,Paths!$E$356&gt;(C3854-1)*12,Paths!$E$356&lt;=C3854*12)),Paths!$H$356,0),"n.a."))</f>
        <v>0</v>
      </c>
      <c r="K3854" s="16">
        <f>IF(NOT(Paths!$C$356=1),0,IF(Paths!$P$356="Complete",IF(IF(Paths!$O$356=0,C3854=0,AND(C3854&gt;0,Paths!$O$356&gt;(C3854-1)*12,Paths!$O$356&lt;=C3854*12)),Paths!$N$356,0),"n.a."))</f>
        <v>0</v>
      </c>
      <c r="L3854" s="16">
        <f>IF(NOT(Paths!$C$356=1),0,IF(Paths!$P$356="Complete",IF(C3854=10,Paths!$I$356,0),"n.a."))</f>
        <v>0</v>
      </c>
      <c r="M3854" s="16">
        <f>IF(NOT(Paths!$C$356=1),0,IF(Paths!$P$356="Complete",IF(AND(Paths!$D$356="EV",Paths!$E$356&lt;120,Paths!$E$356+'Operating costs'!$B$65&gt;Paths!$E$356,Paths!$E$356+'Operating costs'!$B$65&lt;=120,IF(Paths!$E$356+'Operating costs'!$B$65=0,C3854=0,AND(C3854&gt;0,Paths!$E$356+'Operating costs'!$B$65&gt;(C3854-1)*12,Paths!$E$356+'Operating costs'!$B$65&lt;=C3854*12))),'Operating costs'!$B$64,0)+IF(AND('Operating costs'!$B$67&gt;0,'Operating costs'!$B$67&lt;=120,OR(Paths!$D$356="ICE",'Operating costs'!$B$67&lt;=Paths!$E$356),IF('Operating costs'!$B$67=0,C3854=0,AND(C3854&gt;0,'Operating costs'!$B$67&gt;(C3854-1)*12,'Operating costs'!$B$67&lt;=C3854*12))),'Operating costs'!$B$66,0),"n.a."))</f>
        <v>0</v>
      </c>
      <c r="N3854" s="16">
        <f>IF(NOT(Paths!$C$356=1),0,IF(Paths!$P$356="Complete",SUM(G3854:I3854)-J3854-K3854-L3854+M3854+IF(C3854=0,Paths!$F$356,0)+IF(IF(Paths!$E$356=0,C3854=0,AND(C3854&gt;0,Paths!$E$356&gt;(C3854-1)*12,Paths!$E$356&lt;=C3854*12)),VLOOKUP(A3854,'Fleet register'!$A$7:$S$106,16,FALSE),0),"n.a."))</f>
        <v>0</v>
      </c>
      <c r="O3854" s="16">
        <f>IF(NOT(Paths!$C$356=1),0,IF(Paths!$P$356="Complete",N3854-IF(C3854=0,Paths!$F$356,0),"n.a."))</f>
        <v>0</v>
      </c>
      <c r="P3854" s="16">
        <f>IF(NOT(Paths!$C$356=1),0,IF(Paths!$P$356="Complete",O3854+L3854,"n.a."))</f>
        <v>0</v>
      </c>
      <c r="Q3854" s="16">
        <f>IF(NOT(Paths!$C$356=1),0,IF(Paths!$P$356="Complete",N3854*(1+'Operating costs'!$B$54)^-C3854,"n.a."))</f>
        <v>0</v>
      </c>
      <c r="R3854" s="16">
        <f>IF(NOT(Paths!$C$356=1),0,IF(Paths!$P$356="Complete",IF(AND(C3854=0,Paths!$E$356=0),I3854-J3854-K3854+VLOOKUP(A3854,'Fleet register'!$A$7:$S$106,15,FALSE)+VLOOKUP(A3854,'Fleet register'!$A$7:$S$106,16,FALSE),0),"n.a."))</f>
        <v>0</v>
      </c>
      <c r="S3854" s="1">
        <f>IF(NOT(Paths!$C$356=1),0,IF(Paths!$P$356="Complete",IF(C3854=0,0,Paths!$S$356*Paths!$R$356),"n.a."))</f>
        <v>0</v>
      </c>
      <c r="T3854" s="1">
        <f>IF(NOT(Paths!$C$356=1),0,IF(Paths!$P$356="Complete",IF(C3854=0,0,VLOOKUP(A3854,'Fleet register'!$A$7:$S$106,9,FALSE)*Paths!$R$356),"n.a."))</f>
        <v>0</v>
      </c>
    </row>
    <row r="3855" spans="1:20" ht="24" customHeight="1">
      <c r="A3855" s="1" t="str">
        <f>Paths!$A$356</f>
        <v>T088</v>
      </c>
      <c r="B3855" s="1">
        <f>Paths!$B$356</f>
        <v>1</v>
      </c>
      <c r="C3855" s="1">
        <v>9</v>
      </c>
      <c r="D3855" s="1">
        <v>356</v>
      </c>
      <c r="E3855" s="1">
        <f>IF(OR(Paths!$C$356=0,C3855=0),0,MAX(0,MIN(C3855*12,Paths!$E$356)-(C3855-1)*12))</f>
        <v>0</v>
      </c>
      <c r="F3855" s="1">
        <f>IF(OR(Paths!$C$356=0,C3855=0),0,12-E3855)</f>
        <v>0</v>
      </c>
      <c r="G3855" s="16">
        <f>IF(NOT(Paths!$C$356=1),0,IF(Paths!$P$356="Complete",E3855/12*(Paths!$J$356*(1+'Operating costs'!$B$51)^MAX(0,C3855-1)+Paths!$K$356*(1+'Operating costs'!$B$53)^MAX(0,C3855-1)),"n.a."))</f>
        <v>0</v>
      </c>
      <c r="H3855" s="16">
        <f>IF(NOT(Paths!$C$356=1),0,IF(Paths!$P$356="Complete",F3855/12*(Paths!$L$356*(1+IF(Paths!$D$356="EV",'Operating costs'!$B$52,'Operating costs'!$B$51))^MAX(0,C3855-1)+Paths!$M$356*(1+'Operating costs'!$B$53)^MAX(0,C3855-1)),"n.a."))</f>
        <v>0</v>
      </c>
      <c r="I3855" s="16">
        <f>IF(NOT(Paths!$C$356=1),0,IF(Paths!$P$356="Complete",IF(IF(Paths!$E$356=0,C3855=0,AND(C3855&gt;0,Paths!$E$356&gt;(C3855-1)*12,Paths!$E$356&lt;=C3855*12)),Paths!$G$356,0),"n.a."))</f>
        <v>0</v>
      </c>
      <c r="J3855" s="16">
        <f>IF(NOT(Paths!$C$356=1),0,IF(Paths!$P$356="Complete",IF(IF(Paths!$E$356=0,C3855=0,AND(C3855&gt;0,Paths!$E$356&gt;(C3855-1)*12,Paths!$E$356&lt;=C3855*12)),Paths!$H$356,0),"n.a."))</f>
        <v>0</v>
      </c>
      <c r="K3855" s="16">
        <f>IF(NOT(Paths!$C$356=1),0,IF(Paths!$P$356="Complete",IF(IF(Paths!$O$356=0,C3855=0,AND(C3855&gt;0,Paths!$O$356&gt;(C3855-1)*12,Paths!$O$356&lt;=C3855*12)),Paths!$N$356,0),"n.a."))</f>
        <v>0</v>
      </c>
      <c r="L3855" s="16">
        <f>IF(NOT(Paths!$C$356=1),0,IF(Paths!$P$356="Complete",IF(C3855=10,Paths!$I$356,0),"n.a."))</f>
        <v>0</v>
      </c>
      <c r="M3855" s="16">
        <f>IF(NOT(Paths!$C$356=1),0,IF(Paths!$P$356="Complete",IF(AND(Paths!$D$356="EV",Paths!$E$356&lt;120,Paths!$E$356+'Operating costs'!$B$65&gt;Paths!$E$356,Paths!$E$356+'Operating costs'!$B$65&lt;=120,IF(Paths!$E$356+'Operating costs'!$B$65=0,C3855=0,AND(C3855&gt;0,Paths!$E$356+'Operating costs'!$B$65&gt;(C3855-1)*12,Paths!$E$356+'Operating costs'!$B$65&lt;=C3855*12))),'Operating costs'!$B$64,0)+IF(AND('Operating costs'!$B$67&gt;0,'Operating costs'!$B$67&lt;=120,OR(Paths!$D$356="ICE",'Operating costs'!$B$67&lt;=Paths!$E$356),IF('Operating costs'!$B$67=0,C3855=0,AND(C3855&gt;0,'Operating costs'!$B$67&gt;(C3855-1)*12,'Operating costs'!$B$67&lt;=C3855*12))),'Operating costs'!$B$66,0),"n.a."))</f>
        <v>0</v>
      </c>
      <c r="N3855" s="16">
        <f>IF(NOT(Paths!$C$356=1),0,IF(Paths!$P$356="Complete",SUM(G3855:I3855)-J3855-K3855-L3855+M3855+IF(C3855=0,Paths!$F$356,0)+IF(IF(Paths!$E$356=0,C3855=0,AND(C3855&gt;0,Paths!$E$356&gt;(C3855-1)*12,Paths!$E$356&lt;=C3855*12)),VLOOKUP(A3855,'Fleet register'!$A$7:$S$106,16,FALSE),0),"n.a."))</f>
        <v>0</v>
      </c>
      <c r="O3855" s="16">
        <f>IF(NOT(Paths!$C$356=1),0,IF(Paths!$P$356="Complete",N3855-IF(C3855=0,Paths!$F$356,0),"n.a."))</f>
        <v>0</v>
      </c>
      <c r="P3855" s="16">
        <f>IF(NOT(Paths!$C$356=1),0,IF(Paths!$P$356="Complete",O3855+L3855,"n.a."))</f>
        <v>0</v>
      </c>
      <c r="Q3855" s="16">
        <f>IF(NOT(Paths!$C$356=1),0,IF(Paths!$P$356="Complete",N3855*(1+'Operating costs'!$B$54)^-C3855,"n.a."))</f>
        <v>0</v>
      </c>
      <c r="R3855" s="16">
        <f>IF(NOT(Paths!$C$356=1),0,IF(Paths!$P$356="Complete",IF(AND(C3855=0,Paths!$E$356=0),I3855-J3855-K3855+VLOOKUP(A3855,'Fleet register'!$A$7:$S$106,15,FALSE)+VLOOKUP(A3855,'Fleet register'!$A$7:$S$106,16,FALSE),0),"n.a."))</f>
        <v>0</v>
      </c>
      <c r="S3855" s="1">
        <f>IF(NOT(Paths!$C$356=1),0,IF(Paths!$P$356="Complete",IF(C3855=0,0,Paths!$S$356*Paths!$R$356),"n.a."))</f>
        <v>0</v>
      </c>
      <c r="T3855" s="1">
        <f>IF(NOT(Paths!$C$356=1),0,IF(Paths!$P$356="Complete",IF(C3855=0,0,VLOOKUP(A3855,'Fleet register'!$A$7:$S$106,9,FALSE)*Paths!$R$356),"n.a."))</f>
        <v>0</v>
      </c>
    </row>
    <row r="3856" spans="1:20" ht="24" customHeight="1">
      <c r="A3856" s="1" t="str">
        <f>Paths!$A$356</f>
        <v>T088</v>
      </c>
      <c r="B3856" s="1">
        <f>Paths!$B$356</f>
        <v>1</v>
      </c>
      <c r="C3856" s="1">
        <v>10</v>
      </c>
      <c r="D3856" s="1">
        <v>356</v>
      </c>
      <c r="E3856" s="1">
        <f>IF(OR(Paths!$C$356=0,C3856=0),0,MAX(0,MIN(C3856*12,Paths!$E$356)-(C3856-1)*12))</f>
        <v>0</v>
      </c>
      <c r="F3856" s="1">
        <f>IF(OR(Paths!$C$356=0,C3856=0),0,12-E3856)</f>
        <v>0</v>
      </c>
      <c r="G3856" s="16">
        <f>IF(NOT(Paths!$C$356=1),0,IF(Paths!$P$356="Complete",E3856/12*(Paths!$J$356*(1+'Operating costs'!$B$51)^MAX(0,C3856-1)+Paths!$K$356*(1+'Operating costs'!$B$53)^MAX(0,C3856-1)),"n.a."))</f>
        <v>0</v>
      </c>
      <c r="H3856" s="16">
        <f>IF(NOT(Paths!$C$356=1),0,IF(Paths!$P$356="Complete",F3856/12*(Paths!$L$356*(1+IF(Paths!$D$356="EV",'Operating costs'!$B$52,'Operating costs'!$B$51))^MAX(0,C3856-1)+Paths!$M$356*(1+'Operating costs'!$B$53)^MAX(0,C3856-1)),"n.a."))</f>
        <v>0</v>
      </c>
      <c r="I3856" s="16">
        <f>IF(NOT(Paths!$C$356=1),0,IF(Paths!$P$356="Complete",IF(IF(Paths!$E$356=0,C3856=0,AND(C3856&gt;0,Paths!$E$356&gt;(C3856-1)*12,Paths!$E$356&lt;=C3856*12)),Paths!$G$356,0),"n.a."))</f>
        <v>0</v>
      </c>
      <c r="J3856" s="16">
        <f>IF(NOT(Paths!$C$356=1),0,IF(Paths!$P$356="Complete",IF(IF(Paths!$E$356=0,C3856=0,AND(C3856&gt;0,Paths!$E$356&gt;(C3856-1)*12,Paths!$E$356&lt;=C3856*12)),Paths!$H$356,0),"n.a."))</f>
        <v>0</v>
      </c>
      <c r="K3856" s="16">
        <f>IF(NOT(Paths!$C$356=1),0,IF(Paths!$P$356="Complete",IF(IF(Paths!$O$356=0,C3856=0,AND(C3856&gt;0,Paths!$O$356&gt;(C3856-1)*12,Paths!$O$356&lt;=C3856*12)),Paths!$N$356,0),"n.a."))</f>
        <v>0</v>
      </c>
      <c r="L3856" s="16">
        <f>IF(NOT(Paths!$C$356=1),0,IF(Paths!$P$356="Complete",IF(C3856=10,Paths!$I$356,0),"n.a."))</f>
        <v>0</v>
      </c>
      <c r="M3856" s="16">
        <f>IF(NOT(Paths!$C$356=1),0,IF(Paths!$P$356="Complete",IF(AND(Paths!$D$356="EV",Paths!$E$356&lt;120,Paths!$E$356+'Operating costs'!$B$65&gt;Paths!$E$356,Paths!$E$356+'Operating costs'!$B$65&lt;=120,IF(Paths!$E$356+'Operating costs'!$B$65=0,C3856=0,AND(C3856&gt;0,Paths!$E$356+'Operating costs'!$B$65&gt;(C3856-1)*12,Paths!$E$356+'Operating costs'!$B$65&lt;=C3856*12))),'Operating costs'!$B$64,0)+IF(AND('Operating costs'!$B$67&gt;0,'Operating costs'!$B$67&lt;=120,OR(Paths!$D$356="ICE",'Operating costs'!$B$67&lt;=Paths!$E$356),IF('Operating costs'!$B$67=0,C3856=0,AND(C3856&gt;0,'Operating costs'!$B$67&gt;(C3856-1)*12,'Operating costs'!$B$67&lt;=C3856*12))),'Operating costs'!$B$66,0),"n.a."))</f>
        <v>0</v>
      </c>
      <c r="N3856" s="16">
        <f>IF(NOT(Paths!$C$356=1),0,IF(Paths!$P$356="Complete",SUM(G3856:I3856)-J3856-K3856-L3856+M3856+IF(C3856=0,Paths!$F$356,0)+IF(IF(Paths!$E$356=0,C3856=0,AND(C3856&gt;0,Paths!$E$356&gt;(C3856-1)*12,Paths!$E$356&lt;=C3856*12)),VLOOKUP(A3856,'Fleet register'!$A$7:$S$106,16,FALSE),0),"n.a."))</f>
        <v>0</v>
      </c>
      <c r="O3856" s="16">
        <f>IF(NOT(Paths!$C$356=1),0,IF(Paths!$P$356="Complete",N3856-IF(C3856=0,Paths!$F$356,0),"n.a."))</f>
        <v>0</v>
      </c>
      <c r="P3856" s="16">
        <f>IF(NOT(Paths!$C$356=1),0,IF(Paths!$P$356="Complete",O3856+L3856,"n.a."))</f>
        <v>0</v>
      </c>
      <c r="Q3856" s="16">
        <f>IF(NOT(Paths!$C$356=1),0,IF(Paths!$P$356="Complete",N3856*(1+'Operating costs'!$B$54)^-C3856,"n.a."))</f>
        <v>0</v>
      </c>
      <c r="R3856" s="16">
        <f>IF(NOT(Paths!$C$356=1),0,IF(Paths!$P$356="Complete",IF(AND(C3856=0,Paths!$E$356=0),I3856-J3856-K3856+VLOOKUP(A3856,'Fleet register'!$A$7:$S$106,15,FALSE)+VLOOKUP(A3856,'Fleet register'!$A$7:$S$106,16,FALSE),0),"n.a."))</f>
        <v>0</v>
      </c>
      <c r="S3856" s="1">
        <f>IF(NOT(Paths!$C$356=1),0,IF(Paths!$P$356="Complete",IF(C3856=0,0,Paths!$S$356*Paths!$R$356),"n.a."))</f>
        <v>0</v>
      </c>
      <c r="T3856" s="1">
        <f>IF(NOT(Paths!$C$356=1),0,IF(Paths!$P$356="Complete",IF(C3856=0,0,VLOOKUP(A3856,'Fleet register'!$A$7:$S$106,9,FALSE)*Paths!$R$356),"n.a."))</f>
        <v>0</v>
      </c>
    </row>
    <row r="3857" spans="1:20" ht="24" customHeight="1">
      <c r="A3857" s="1" t="str">
        <f>Paths!$A$357</f>
        <v>T088</v>
      </c>
      <c r="B3857" s="1">
        <f>Paths!$B$357</f>
        <v>2</v>
      </c>
      <c r="C3857" s="1">
        <v>0</v>
      </c>
      <c r="D3857" s="1">
        <v>357</v>
      </c>
      <c r="E3857" s="1">
        <f>IF(OR(Paths!$C$357=0,C3857=0),0,MAX(0,MIN(C3857*12,Paths!$E$357)-(C3857-1)*12))</f>
        <v>0</v>
      </c>
      <c r="F3857" s="1">
        <f>IF(OR(Paths!$C$357=0,C3857=0),0,12-E3857)</f>
        <v>0</v>
      </c>
      <c r="G3857" s="16">
        <f>IF(NOT(Paths!$C$357=1),0,IF(Paths!$P$357="Complete",E3857/12*(Paths!$J$357*(1+'Operating costs'!$B$51)^MAX(0,C3857-1)+Paths!$K$357*(1+'Operating costs'!$B$53)^MAX(0,C3857-1)),"n.a."))</f>
        <v>0</v>
      </c>
      <c r="H3857" s="16">
        <f>IF(NOT(Paths!$C$357=1),0,IF(Paths!$P$357="Complete",F3857/12*(Paths!$L$357*(1+IF(Paths!$D$357="EV",'Operating costs'!$B$52,'Operating costs'!$B$51))^MAX(0,C3857-1)+Paths!$M$357*(1+'Operating costs'!$B$53)^MAX(0,C3857-1)),"n.a."))</f>
        <v>0</v>
      </c>
      <c r="I3857" s="16">
        <f>IF(NOT(Paths!$C$357=1),0,IF(Paths!$P$357="Complete",IF(IF(Paths!$E$357=0,C3857=0,AND(C3857&gt;0,Paths!$E$357&gt;(C3857-1)*12,Paths!$E$357&lt;=C3857*12)),Paths!$G$357,0),"n.a."))</f>
        <v>0</v>
      </c>
      <c r="J3857" s="16">
        <f>IF(NOT(Paths!$C$357=1),0,IF(Paths!$P$357="Complete",IF(IF(Paths!$E$357=0,C3857=0,AND(C3857&gt;0,Paths!$E$357&gt;(C3857-1)*12,Paths!$E$357&lt;=C3857*12)),Paths!$H$357,0),"n.a."))</f>
        <v>0</v>
      </c>
      <c r="K3857" s="16">
        <f>IF(NOT(Paths!$C$357=1),0,IF(Paths!$P$357="Complete",IF(IF(Paths!$O$357=0,C3857=0,AND(C3857&gt;0,Paths!$O$357&gt;(C3857-1)*12,Paths!$O$357&lt;=C3857*12)),Paths!$N$357,0),"n.a."))</f>
        <v>0</v>
      </c>
      <c r="L3857" s="16">
        <f>IF(NOT(Paths!$C$357=1),0,IF(Paths!$P$357="Complete",IF(C3857=10,Paths!$I$357,0),"n.a."))</f>
        <v>0</v>
      </c>
      <c r="M3857" s="16">
        <f>IF(NOT(Paths!$C$357=1),0,IF(Paths!$P$357="Complete",IF(AND(Paths!$D$357="EV",Paths!$E$357&lt;120,Paths!$E$357+'Operating costs'!$B$65&gt;Paths!$E$357,Paths!$E$357+'Operating costs'!$B$65&lt;=120,IF(Paths!$E$357+'Operating costs'!$B$65=0,C3857=0,AND(C3857&gt;0,Paths!$E$357+'Operating costs'!$B$65&gt;(C3857-1)*12,Paths!$E$357+'Operating costs'!$B$65&lt;=C3857*12))),'Operating costs'!$B$64,0)+IF(AND('Operating costs'!$B$67&gt;0,'Operating costs'!$B$67&lt;=120,OR(Paths!$D$357="ICE",'Operating costs'!$B$67&lt;=Paths!$E$357),IF('Operating costs'!$B$67=0,C3857=0,AND(C3857&gt;0,'Operating costs'!$B$67&gt;(C3857-1)*12,'Operating costs'!$B$67&lt;=C3857*12))),'Operating costs'!$B$66,0),"n.a."))</f>
        <v>0</v>
      </c>
      <c r="N3857" s="16">
        <f>IF(NOT(Paths!$C$357=1),0,IF(Paths!$P$357="Complete",SUM(G3857:I3857)-J3857-K3857-L3857+M3857+IF(C3857=0,Paths!$F$357,0)+IF(IF(Paths!$E$357=0,C3857=0,AND(C3857&gt;0,Paths!$E$357&gt;(C3857-1)*12,Paths!$E$357&lt;=C3857*12)),VLOOKUP(A3857,'Fleet register'!$A$7:$S$106,16,FALSE),0),"n.a."))</f>
        <v>0</v>
      </c>
      <c r="O3857" s="16">
        <f>IF(NOT(Paths!$C$357=1),0,IF(Paths!$P$357="Complete",N3857-IF(C3857=0,Paths!$F$357,0),"n.a."))</f>
        <v>0</v>
      </c>
      <c r="P3857" s="16">
        <f>IF(NOT(Paths!$C$357=1),0,IF(Paths!$P$357="Complete",O3857+L3857,"n.a."))</f>
        <v>0</v>
      </c>
      <c r="Q3857" s="16">
        <f>IF(NOT(Paths!$C$357=1),0,IF(Paths!$P$357="Complete",N3857*(1+'Operating costs'!$B$54)^-C3857,"n.a."))</f>
        <v>0</v>
      </c>
      <c r="R3857" s="16">
        <f>IF(NOT(Paths!$C$357=1),0,IF(Paths!$P$357="Complete",IF(AND(C3857=0,Paths!$E$357=0),I3857-J3857-K3857+VLOOKUP(A3857,'Fleet register'!$A$7:$S$106,15,FALSE)+VLOOKUP(A3857,'Fleet register'!$A$7:$S$106,16,FALSE),0),"n.a."))</f>
        <v>0</v>
      </c>
      <c r="S3857" s="1">
        <f>IF(NOT(Paths!$C$357=1),0,IF(Paths!$P$357="Complete",IF(C3857=0,0,Paths!$S$357*Paths!$R$357),"n.a."))</f>
        <v>0</v>
      </c>
      <c r="T3857" s="1">
        <f>IF(NOT(Paths!$C$357=1),0,IF(Paths!$P$357="Complete",IF(C3857=0,0,VLOOKUP(A3857,'Fleet register'!$A$7:$S$106,9,FALSE)*Paths!$R$357),"n.a."))</f>
        <v>0</v>
      </c>
    </row>
    <row r="3858" spans="1:20" ht="24" customHeight="1">
      <c r="A3858" s="1" t="str">
        <f>Paths!$A$357</f>
        <v>T088</v>
      </c>
      <c r="B3858" s="1">
        <f>Paths!$B$357</f>
        <v>2</v>
      </c>
      <c r="C3858" s="1">
        <v>1</v>
      </c>
      <c r="D3858" s="1">
        <v>357</v>
      </c>
      <c r="E3858" s="1">
        <f>IF(OR(Paths!$C$357=0,C3858=0),0,MAX(0,MIN(C3858*12,Paths!$E$357)-(C3858-1)*12))</f>
        <v>0</v>
      </c>
      <c r="F3858" s="1">
        <f>IF(OR(Paths!$C$357=0,C3858=0),0,12-E3858)</f>
        <v>0</v>
      </c>
      <c r="G3858" s="16">
        <f>IF(NOT(Paths!$C$357=1),0,IF(Paths!$P$357="Complete",E3858/12*(Paths!$J$357*(1+'Operating costs'!$B$51)^MAX(0,C3858-1)+Paths!$K$357*(1+'Operating costs'!$B$53)^MAX(0,C3858-1)),"n.a."))</f>
        <v>0</v>
      </c>
      <c r="H3858" s="16">
        <f>IF(NOT(Paths!$C$357=1),0,IF(Paths!$P$357="Complete",F3858/12*(Paths!$L$357*(1+IF(Paths!$D$357="EV",'Operating costs'!$B$52,'Operating costs'!$B$51))^MAX(0,C3858-1)+Paths!$M$357*(1+'Operating costs'!$B$53)^MAX(0,C3858-1)),"n.a."))</f>
        <v>0</v>
      </c>
      <c r="I3858" s="16">
        <f>IF(NOT(Paths!$C$357=1),0,IF(Paths!$P$357="Complete",IF(IF(Paths!$E$357=0,C3858=0,AND(C3858&gt;0,Paths!$E$357&gt;(C3858-1)*12,Paths!$E$357&lt;=C3858*12)),Paths!$G$357,0),"n.a."))</f>
        <v>0</v>
      </c>
      <c r="J3858" s="16">
        <f>IF(NOT(Paths!$C$357=1),0,IF(Paths!$P$357="Complete",IF(IF(Paths!$E$357=0,C3858=0,AND(C3858&gt;0,Paths!$E$357&gt;(C3858-1)*12,Paths!$E$357&lt;=C3858*12)),Paths!$H$357,0),"n.a."))</f>
        <v>0</v>
      </c>
      <c r="K3858" s="16">
        <f>IF(NOT(Paths!$C$357=1),0,IF(Paths!$P$357="Complete",IF(IF(Paths!$O$357=0,C3858=0,AND(C3858&gt;0,Paths!$O$357&gt;(C3858-1)*12,Paths!$O$357&lt;=C3858*12)),Paths!$N$357,0),"n.a."))</f>
        <v>0</v>
      </c>
      <c r="L3858" s="16">
        <f>IF(NOT(Paths!$C$357=1),0,IF(Paths!$P$357="Complete",IF(C3858=10,Paths!$I$357,0),"n.a."))</f>
        <v>0</v>
      </c>
      <c r="M3858" s="16">
        <f>IF(NOT(Paths!$C$357=1),0,IF(Paths!$P$357="Complete",IF(AND(Paths!$D$357="EV",Paths!$E$357&lt;120,Paths!$E$357+'Operating costs'!$B$65&gt;Paths!$E$357,Paths!$E$357+'Operating costs'!$B$65&lt;=120,IF(Paths!$E$357+'Operating costs'!$B$65=0,C3858=0,AND(C3858&gt;0,Paths!$E$357+'Operating costs'!$B$65&gt;(C3858-1)*12,Paths!$E$357+'Operating costs'!$B$65&lt;=C3858*12))),'Operating costs'!$B$64,0)+IF(AND('Operating costs'!$B$67&gt;0,'Operating costs'!$B$67&lt;=120,OR(Paths!$D$357="ICE",'Operating costs'!$B$67&lt;=Paths!$E$357),IF('Operating costs'!$B$67=0,C3858=0,AND(C3858&gt;0,'Operating costs'!$B$67&gt;(C3858-1)*12,'Operating costs'!$B$67&lt;=C3858*12))),'Operating costs'!$B$66,0),"n.a."))</f>
        <v>0</v>
      </c>
      <c r="N3858" s="16">
        <f>IF(NOT(Paths!$C$357=1),0,IF(Paths!$P$357="Complete",SUM(G3858:I3858)-J3858-K3858-L3858+M3858+IF(C3858=0,Paths!$F$357,0)+IF(IF(Paths!$E$357=0,C3858=0,AND(C3858&gt;0,Paths!$E$357&gt;(C3858-1)*12,Paths!$E$357&lt;=C3858*12)),VLOOKUP(A3858,'Fleet register'!$A$7:$S$106,16,FALSE),0),"n.a."))</f>
        <v>0</v>
      </c>
      <c r="O3858" s="16">
        <f>IF(NOT(Paths!$C$357=1),0,IF(Paths!$P$357="Complete",N3858-IF(C3858=0,Paths!$F$357,0),"n.a."))</f>
        <v>0</v>
      </c>
      <c r="P3858" s="16">
        <f>IF(NOT(Paths!$C$357=1),0,IF(Paths!$P$357="Complete",O3858+L3858,"n.a."))</f>
        <v>0</v>
      </c>
      <c r="Q3858" s="16">
        <f>IF(NOT(Paths!$C$357=1),0,IF(Paths!$P$357="Complete",N3858*(1+'Operating costs'!$B$54)^-C3858,"n.a."))</f>
        <v>0</v>
      </c>
      <c r="R3858" s="16">
        <f>IF(NOT(Paths!$C$357=1),0,IF(Paths!$P$357="Complete",IF(AND(C3858=0,Paths!$E$357=0),I3858-J3858-K3858+VLOOKUP(A3858,'Fleet register'!$A$7:$S$106,15,FALSE)+VLOOKUP(A3858,'Fleet register'!$A$7:$S$106,16,FALSE),0),"n.a."))</f>
        <v>0</v>
      </c>
      <c r="S3858" s="1">
        <f>IF(NOT(Paths!$C$357=1),0,IF(Paths!$P$357="Complete",IF(C3858=0,0,Paths!$S$357*Paths!$R$357),"n.a."))</f>
        <v>0</v>
      </c>
      <c r="T3858" s="1">
        <f>IF(NOT(Paths!$C$357=1),0,IF(Paths!$P$357="Complete",IF(C3858=0,0,VLOOKUP(A3858,'Fleet register'!$A$7:$S$106,9,FALSE)*Paths!$R$357),"n.a."))</f>
        <v>0</v>
      </c>
    </row>
    <row r="3859" spans="1:20" ht="24" customHeight="1">
      <c r="A3859" s="1" t="str">
        <f>Paths!$A$357</f>
        <v>T088</v>
      </c>
      <c r="B3859" s="1">
        <f>Paths!$B$357</f>
        <v>2</v>
      </c>
      <c r="C3859" s="1">
        <v>2</v>
      </c>
      <c r="D3859" s="1">
        <v>357</v>
      </c>
      <c r="E3859" s="1">
        <f>IF(OR(Paths!$C$357=0,C3859=0),0,MAX(0,MIN(C3859*12,Paths!$E$357)-(C3859-1)*12))</f>
        <v>0</v>
      </c>
      <c r="F3859" s="1">
        <f>IF(OR(Paths!$C$357=0,C3859=0),0,12-E3859)</f>
        <v>0</v>
      </c>
      <c r="G3859" s="16">
        <f>IF(NOT(Paths!$C$357=1),0,IF(Paths!$P$357="Complete",E3859/12*(Paths!$J$357*(1+'Operating costs'!$B$51)^MAX(0,C3859-1)+Paths!$K$357*(1+'Operating costs'!$B$53)^MAX(0,C3859-1)),"n.a."))</f>
        <v>0</v>
      </c>
      <c r="H3859" s="16">
        <f>IF(NOT(Paths!$C$357=1),0,IF(Paths!$P$357="Complete",F3859/12*(Paths!$L$357*(1+IF(Paths!$D$357="EV",'Operating costs'!$B$52,'Operating costs'!$B$51))^MAX(0,C3859-1)+Paths!$M$357*(1+'Operating costs'!$B$53)^MAX(0,C3859-1)),"n.a."))</f>
        <v>0</v>
      </c>
      <c r="I3859" s="16">
        <f>IF(NOT(Paths!$C$357=1),0,IF(Paths!$P$357="Complete",IF(IF(Paths!$E$357=0,C3859=0,AND(C3859&gt;0,Paths!$E$357&gt;(C3859-1)*12,Paths!$E$357&lt;=C3859*12)),Paths!$G$357,0),"n.a."))</f>
        <v>0</v>
      </c>
      <c r="J3859" s="16">
        <f>IF(NOT(Paths!$C$357=1),0,IF(Paths!$P$357="Complete",IF(IF(Paths!$E$357=0,C3859=0,AND(C3859&gt;0,Paths!$E$357&gt;(C3859-1)*12,Paths!$E$357&lt;=C3859*12)),Paths!$H$357,0),"n.a."))</f>
        <v>0</v>
      </c>
      <c r="K3859" s="16">
        <f>IF(NOT(Paths!$C$357=1),0,IF(Paths!$P$357="Complete",IF(IF(Paths!$O$357=0,C3859=0,AND(C3859&gt;0,Paths!$O$357&gt;(C3859-1)*12,Paths!$O$357&lt;=C3859*12)),Paths!$N$357,0),"n.a."))</f>
        <v>0</v>
      </c>
      <c r="L3859" s="16">
        <f>IF(NOT(Paths!$C$357=1),0,IF(Paths!$P$357="Complete",IF(C3859=10,Paths!$I$357,0),"n.a."))</f>
        <v>0</v>
      </c>
      <c r="M3859" s="16">
        <f>IF(NOT(Paths!$C$357=1),0,IF(Paths!$P$357="Complete",IF(AND(Paths!$D$357="EV",Paths!$E$357&lt;120,Paths!$E$357+'Operating costs'!$B$65&gt;Paths!$E$357,Paths!$E$357+'Operating costs'!$B$65&lt;=120,IF(Paths!$E$357+'Operating costs'!$B$65=0,C3859=0,AND(C3859&gt;0,Paths!$E$357+'Operating costs'!$B$65&gt;(C3859-1)*12,Paths!$E$357+'Operating costs'!$B$65&lt;=C3859*12))),'Operating costs'!$B$64,0)+IF(AND('Operating costs'!$B$67&gt;0,'Operating costs'!$B$67&lt;=120,OR(Paths!$D$357="ICE",'Operating costs'!$B$67&lt;=Paths!$E$357),IF('Operating costs'!$B$67=0,C3859=0,AND(C3859&gt;0,'Operating costs'!$B$67&gt;(C3859-1)*12,'Operating costs'!$B$67&lt;=C3859*12))),'Operating costs'!$B$66,0),"n.a."))</f>
        <v>0</v>
      </c>
      <c r="N3859" s="16">
        <f>IF(NOT(Paths!$C$357=1),0,IF(Paths!$P$357="Complete",SUM(G3859:I3859)-J3859-K3859-L3859+M3859+IF(C3859=0,Paths!$F$357,0)+IF(IF(Paths!$E$357=0,C3859=0,AND(C3859&gt;0,Paths!$E$357&gt;(C3859-1)*12,Paths!$E$357&lt;=C3859*12)),VLOOKUP(A3859,'Fleet register'!$A$7:$S$106,16,FALSE),0),"n.a."))</f>
        <v>0</v>
      </c>
      <c r="O3859" s="16">
        <f>IF(NOT(Paths!$C$357=1),0,IF(Paths!$P$357="Complete",N3859-IF(C3859=0,Paths!$F$357,0),"n.a."))</f>
        <v>0</v>
      </c>
      <c r="P3859" s="16">
        <f>IF(NOT(Paths!$C$357=1),0,IF(Paths!$P$357="Complete",O3859+L3859,"n.a."))</f>
        <v>0</v>
      </c>
      <c r="Q3859" s="16">
        <f>IF(NOT(Paths!$C$357=1),0,IF(Paths!$P$357="Complete",N3859*(1+'Operating costs'!$B$54)^-C3859,"n.a."))</f>
        <v>0</v>
      </c>
      <c r="R3859" s="16">
        <f>IF(NOT(Paths!$C$357=1),0,IF(Paths!$P$357="Complete",IF(AND(C3859=0,Paths!$E$357=0),I3859-J3859-K3859+VLOOKUP(A3859,'Fleet register'!$A$7:$S$106,15,FALSE)+VLOOKUP(A3859,'Fleet register'!$A$7:$S$106,16,FALSE),0),"n.a."))</f>
        <v>0</v>
      </c>
      <c r="S3859" s="1">
        <f>IF(NOT(Paths!$C$357=1),0,IF(Paths!$P$357="Complete",IF(C3859=0,0,Paths!$S$357*Paths!$R$357),"n.a."))</f>
        <v>0</v>
      </c>
      <c r="T3859" s="1">
        <f>IF(NOT(Paths!$C$357=1),0,IF(Paths!$P$357="Complete",IF(C3859=0,0,VLOOKUP(A3859,'Fleet register'!$A$7:$S$106,9,FALSE)*Paths!$R$357),"n.a."))</f>
        <v>0</v>
      </c>
    </row>
    <row r="3860" spans="1:20" ht="24" customHeight="1">
      <c r="A3860" s="1" t="str">
        <f>Paths!$A$357</f>
        <v>T088</v>
      </c>
      <c r="B3860" s="1">
        <f>Paths!$B$357</f>
        <v>2</v>
      </c>
      <c r="C3860" s="1">
        <v>3</v>
      </c>
      <c r="D3860" s="1">
        <v>357</v>
      </c>
      <c r="E3860" s="1">
        <f>IF(OR(Paths!$C$357=0,C3860=0),0,MAX(0,MIN(C3860*12,Paths!$E$357)-(C3860-1)*12))</f>
        <v>0</v>
      </c>
      <c r="F3860" s="1">
        <f>IF(OR(Paths!$C$357=0,C3860=0),0,12-E3860)</f>
        <v>0</v>
      </c>
      <c r="G3860" s="16">
        <f>IF(NOT(Paths!$C$357=1),0,IF(Paths!$P$357="Complete",E3860/12*(Paths!$J$357*(1+'Operating costs'!$B$51)^MAX(0,C3860-1)+Paths!$K$357*(1+'Operating costs'!$B$53)^MAX(0,C3860-1)),"n.a."))</f>
        <v>0</v>
      </c>
      <c r="H3860" s="16">
        <f>IF(NOT(Paths!$C$357=1),0,IF(Paths!$P$357="Complete",F3860/12*(Paths!$L$357*(1+IF(Paths!$D$357="EV",'Operating costs'!$B$52,'Operating costs'!$B$51))^MAX(0,C3860-1)+Paths!$M$357*(1+'Operating costs'!$B$53)^MAX(0,C3860-1)),"n.a."))</f>
        <v>0</v>
      </c>
      <c r="I3860" s="16">
        <f>IF(NOT(Paths!$C$357=1),0,IF(Paths!$P$357="Complete",IF(IF(Paths!$E$357=0,C3860=0,AND(C3860&gt;0,Paths!$E$357&gt;(C3860-1)*12,Paths!$E$357&lt;=C3860*12)),Paths!$G$357,0),"n.a."))</f>
        <v>0</v>
      </c>
      <c r="J3860" s="16">
        <f>IF(NOT(Paths!$C$357=1),0,IF(Paths!$P$357="Complete",IF(IF(Paths!$E$357=0,C3860=0,AND(C3860&gt;0,Paths!$E$357&gt;(C3860-1)*12,Paths!$E$357&lt;=C3860*12)),Paths!$H$357,0),"n.a."))</f>
        <v>0</v>
      </c>
      <c r="K3860" s="16">
        <f>IF(NOT(Paths!$C$357=1),0,IF(Paths!$P$357="Complete",IF(IF(Paths!$O$357=0,C3860=0,AND(C3860&gt;0,Paths!$O$357&gt;(C3860-1)*12,Paths!$O$357&lt;=C3860*12)),Paths!$N$357,0),"n.a."))</f>
        <v>0</v>
      </c>
      <c r="L3860" s="16">
        <f>IF(NOT(Paths!$C$357=1),0,IF(Paths!$P$357="Complete",IF(C3860=10,Paths!$I$357,0),"n.a."))</f>
        <v>0</v>
      </c>
      <c r="M3860" s="16">
        <f>IF(NOT(Paths!$C$357=1),0,IF(Paths!$P$357="Complete",IF(AND(Paths!$D$357="EV",Paths!$E$357&lt;120,Paths!$E$357+'Operating costs'!$B$65&gt;Paths!$E$357,Paths!$E$357+'Operating costs'!$B$65&lt;=120,IF(Paths!$E$357+'Operating costs'!$B$65=0,C3860=0,AND(C3860&gt;0,Paths!$E$357+'Operating costs'!$B$65&gt;(C3860-1)*12,Paths!$E$357+'Operating costs'!$B$65&lt;=C3860*12))),'Operating costs'!$B$64,0)+IF(AND('Operating costs'!$B$67&gt;0,'Operating costs'!$B$67&lt;=120,OR(Paths!$D$357="ICE",'Operating costs'!$B$67&lt;=Paths!$E$357),IF('Operating costs'!$B$67=0,C3860=0,AND(C3860&gt;0,'Operating costs'!$B$67&gt;(C3860-1)*12,'Operating costs'!$B$67&lt;=C3860*12))),'Operating costs'!$B$66,0),"n.a."))</f>
        <v>0</v>
      </c>
      <c r="N3860" s="16">
        <f>IF(NOT(Paths!$C$357=1),0,IF(Paths!$P$357="Complete",SUM(G3860:I3860)-J3860-K3860-L3860+M3860+IF(C3860=0,Paths!$F$357,0)+IF(IF(Paths!$E$357=0,C3860=0,AND(C3860&gt;0,Paths!$E$357&gt;(C3860-1)*12,Paths!$E$357&lt;=C3860*12)),VLOOKUP(A3860,'Fleet register'!$A$7:$S$106,16,FALSE),0),"n.a."))</f>
        <v>0</v>
      </c>
      <c r="O3860" s="16">
        <f>IF(NOT(Paths!$C$357=1),0,IF(Paths!$P$357="Complete",N3860-IF(C3860=0,Paths!$F$357,0),"n.a."))</f>
        <v>0</v>
      </c>
      <c r="P3860" s="16">
        <f>IF(NOT(Paths!$C$357=1),0,IF(Paths!$P$357="Complete",O3860+L3860,"n.a."))</f>
        <v>0</v>
      </c>
      <c r="Q3860" s="16">
        <f>IF(NOT(Paths!$C$357=1),0,IF(Paths!$P$357="Complete",N3860*(1+'Operating costs'!$B$54)^-C3860,"n.a."))</f>
        <v>0</v>
      </c>
      <c r="R3860" s="16">
        <f>IF(NOT(Paths!$C$357=1),0,IF(Paths!$P$357="Complete",IF(AND(C3860=0,Paths!$E$357=0),I3860-J3860-K3860+VLOOKUP(A3860,'Fleet register'!$A$7:$S$106,15,FALSE)+VLOOKUP(A3860,'Fleet register'!$A$7:$S$106,16,FALSE),0),"n.a."))</f>
        <v>0</v>
      </c>
      <c r="S3860" s="1">
        <f>IF(NOT(Paths!$C$357=1),0,IF(Paths!$P$357="Complete",IF(C3860=0,0,Paths!$S$357*Paths!$R$357),"n.a."))</f>
        <v>0</v>
      </c>
      <c r="T3860" s="1">
        <f>IF(NOT(Paths!$C$357=1),0,IF(Paths!$P$357="Complete",IF(C3860=0,0,VLOOKUP(A3860,'Fleet register'!$A$7:$S$106,9,FALSE)*Paths!$R$357),"n.a."))</f>
        <v>0</v>
      </c>
    </row>
    <row r="3861" spans="1:20" ht="24" customHeight="1">
      <c r="A3861" s="1" t="str">
        <f>Paths!$A$357</f>
        <v>T088</v>
      </c>
      <c r="B3861" s="1">
        <f>Paths!$B$357</f>
        <v>2</v>
      </c>
      <c r="C3861" s="1">
        <v>4</v>
      </c>
      <c r="D3861" s="1">
        <v>357</v>
      </c>
      <c r="E3861" s="1">
        <f>IF(OR(Paths!$C$357=0,C3861=0),0,MAX(0,MIN(C3861*12,Paths!$E$357)-(C3861-1)*12))</f>
        <v>0</v>
      </c>
      <c r="F3861" s="1">
        <f>IF(OR(Paths!$C$357=0,C3861=0),0,12-E3861)</f>
        <v>0</v>
      </c>
      <c r="G3861" s="16">
        <f>IF(NOT(Paths!$C$357=1),0,IF(Paths!$P$357="Complete",E3861/12*(Paths!$J$357*(1+'Operating costs'!$B$51)^MAX(0,C3861-1)+Paths!$K$357*(1+'Operating costs'!$B$53)^MAX(0,C3861-1)),"n.a."))</f>
        <v>0</v>
      </c>
      <c r="H3861" s="16">
        <f>IF(NOT(Paths!$C$357=1),0,IF(Paths!$P$357="Complete",F3861/12*(Paths!$L$357*(1+IF(Paths!$D$357="EV",'Operating costs'!$B$52,'Operating costs'!$B$51))^MAX(0,C3861-1)+Paths!$M$357*(1+'Operating costs'!$B$53)^MAX(0,C3861-1)),"n.a."))</f>
        <v>0</v>
      </c>
      <c r="I3861" s="16">
        <f>IF(NOT(Paths!$C$357=1),0,IF(Paths!$P$357="Complete",IF(IF(Paths!$E$357=0,C3861=0,AND(C3861&gt;0,Paths!$E$357&gt;(C3861-1)*12,Paths!$E$357&lt;=C3861*12)),Paths!$G$357,0),"n.a."))</f>
        <v>0</v>
      </c>
      <c r="J3861" s="16">
        <f>IF(NOT(Paths!$C$357=1),0,IF(Paths!$P$357="Complete",IF(IF(Paths!$E$357=0,C3861=0,AND(C3861&gt;0,Paths!$E$357&gt;(C3861-1)*12,Paths!$E$357&lt;=C3861*12)),Paths!$H$357,0),"n.a."))</f>
        <v>0</v>
      </c>
      <c r="K3861" s="16">
        <f>IF(NOT(Paths!$C$357=1),0,IF(Paths!$P$357="Complete",IF(IF(Paths!$O$357=0,C3861=0,AND(C3861&gt;0,Paths!$O$357&gt;(C3861-1)*12,Paths!$O$357&lt;=C3861*12)),Paths!$N$357,0),"n.a."))</f>
        <v>0</v>
      </c>
      <c r="L3861" s="16">
        <f>IF(NOT(Paths!$C$357=1),0,IF(Paths!$P$357="Complete",IF(C3861=10,Paths!$I$357,0),"n.a."))</f>
        <v>0</v>
      </c>
      <c r="M3861" s="16">
        <f>IF(NOT(Paths!$C$357=1),0,IF(Paths!$P$357="Complete",IF(AND(Paths!$D$357="EV",Paths!$E$357&lt;120,Paths!$E$357+'Operating costs'!$B$65&gt;Paths!$E$357,Paths!$E$357+'Operating costs'!$B$65&lt;=120,IF(Paths!$E$357+'Operating costs'!$B$65=0,C3861=0,AND(C3861&gt;0,Paths!$E$357+'Operating costs'!$B$65&gt;(C3861-1)*12,Paths!$E$357+'Operating costs'!$B$65&lt;=C3861*12))),'Operating costs'!$B$64,0)+IF(AND('Operating costs'!$B$67&gt;0,'Operating costs'!$B$67&lt;=120,OR(Paths!$D$357="ICE",'Operating costs'!$B$67&lt;=Paths!$E$357),IF('Operating costs'!$B$67=0,C3861=0,AND(C3861&gt;0,'Operating costs'!$B$67&gt;(C3861-1)*12,'Operating costs'!$B$67&lt;=C3861*12))),'Operating costs'!$B$66,0),"n.a."))</f>
        <v>0</v>
      </c>
      <c r="N3861" s="16">
        <f>IF(NOT(Paths!$C$357=1),0,IF(Paths!$P$357="Complete",SUM(G3861:I3861)-J3861-K3861-L3861+M3861+IF(C3861=0,Paths!$F$357,0)+IF(IF(Paths!$E$357=0,C3861=0,AND(C3861&gt;0,Paths!$E$357&gt;(C3861-1)*12,Paths!$E$357&lt;=C3861*12)),VLOOKUP(A3861,'Fleet register'!$A$7:$S$106,16,FALSE),0),"n.a."))</f>
        <v>0</v>
      </c>
      <c r="O3861" s="16">
        <f>IF(NOT(Paths!$C$357=1),0,IF(Paths!$P$357="Complete",N3861-IF(C3861=0,Paths!$F$357,0),"n.a."))</f>
        <v>0</v>
      </c>
      <c r="P3861" s="16">
        <f>IF(NOT(Paths!$C$357=1),0,IF(Paths!$P$357="Complete",O3861+L3861,"n.a."))</f>
        <v>0</v>
      </c>
      <c r="Q3861" s="16">
        <f>IF(NOT(Paths!$C$357=1),0,IF(Paths!$P$357="Complete",N3861*(1+'Operating costs'!$B$54)^-C3861,"n.a."))</f>
        <v>0</v>
      </c>
      <c r="R3861" s="16">
        <f>IF(NOT(Paths!$C$357=1),0,IF(Paths!$P$357="Complete",IF(AND(C3861=0,Paths!$E$357=0),I3861-J3861-K3861+VLOOKUP(A3861,'Fleet register'!$A$7:$S$106,15,FALSE)+VLOOKUP(A3861,'Fleet register'!$A$7:$S$106,16,FALSE),0),"n.a."))</f>
        <v>0</v>
      </c>
      <c r="S3861" s="1">
        <f>IF(NOT(Paths!$C$357=1),0,IF(Paths!$P$357="Complete",IF(C3861=0,0,Paths!$S$357*Paths!$R$357),"n.a."))</f>
        <v>0</v>
      </c>
      <c r="T3861" s="1">
        <f>IF(NOT(Paths!$C$357=1),0,IF(Paths!$P$357="Complete",IF(C3861=0,0,VLOOKUP(A3861,'Fleet register'!$A$7:$S$106,9,FALSE)*Paths!$R$357),"n.a."))</f>
        <v>0</v>
      </c>
    </row>
    <row r="3862" spans="1:20" ht="24" customHeight="1">
      <c r="A3862" s="1" t="str">
        <f>Paths!$A$357</f>
        <v>T088</v>
      </c>
      <c r="B3862" s="1">
        <f>Paths!$B$357</f>
        <v>2</v>
      </c>
      <c r="C3862" s="1">
        <v>5</v>
      </c>
      <c r="D3862" s="1">
        <v>357</v>
      </c>
      <c r="E3862" s="1">
        <f>IF(OR(Paths!$C$357=0,C3862=0),0,MAX(0,MIN(C3862*12,Paths!$E$357)-(C3862-1)*12))</f>
        <v>0</v>
      </c>
      <c r="F3862" s="1">
        <f>IF(OR(Paths!$C$357=0,C3862=0),0,12-E3862)</f>
        <v>0</v>
      </c>
      <c r="G3862" s="16">
        <f>IF(NOT(Paths!$C$357=1),0,IF(Paths!$P$357="Complete",E3862/12*(Paths!$J$357*(1+'Operating costs'!$B$51)^MAX(0,C3862-1)+Paths!$K$357*(1+'Operating costs'!$B$53)^MAX(0,C3862-1)),"n.a."))</f>
        <v>0</v>
      </c>
      <c r="H3862" s="16">
        <f>IF(NOT(Paths!$C$357=1),0,IF(Paths!$P$357="Complete",F3862/12*(Paths!$L$357*(1+IF(Paths!$D$357="EV",'Operating costs'!$B$52,'Operating costs'!$B$51))^MAX(0,C3862-1)+Paths!$M$357*(1+'Operating costs'!$B$53)^MAX(0,C3862-1)),"n.a."))</f>
        <v>0</v>
      </c>
      <c r="I3862" s="16">
        <f>IF(NOT(Paths!$C$357=1),0,IF(Paths!$P$357="Complete",IF(IF(Paths!$E$357=0,C3862=0,AND(C3862&gt;0,Paths!$E$357&gt;(C3862-1)*12,Paths!$E$357&lt;=C3862*12)),Paths!$G$357,0),"n.a."))</f>
        <v>0</v>
      </c>
      <c r="J3862" s="16">
        <f>IF(NOT(Paths!$C$357=1),0,IF(Paths!$P$357="Complete",IF(IF(Paths!$E$357=0,C3862=0,AND(C3862&gt;0,Paths!$E$357&gt;(C3862-1)*12,Paths!$E$357&lt;=C3862*12)),Paths!$H$357,0),"n.a."))</f>
        <v>0</v>
      </c>
      <c r="K3862" s="16">
        <f>IF(NOT(Paths!$C$357=1),0,IF(Paths!$P$357="Complete",IF(IF(Paths!$O$357=0,C3862=0,AND(C3862&gt;0,Paths!$O$357&gt;(C3862-1)*12,Paths!$O$357&lt;=C3862*12)),Paths!$N$357,0),"n.a."))</f>
        <v>0</v>
      </c>
      <c r="L3862" s="16">
        <f>IF(NOT(Paths!$C$357=1),0,IF(Paths!$P$357="Complete",IF(C3862=10,Paths!$I$357,0),"n.a."))</f>
        <v>0</v>
      </c>
      <c r="M3862" s="16">
        <f>IF(NOT(Paths!$C$357=1),0,IF(Paths!$P$357="Complete",IF(AND(Paths!$D$357="EV",Paths!$E$357&lt;120,Paths!$E$357+'Operating costs'!$B$65&gt;Paths!$E$357,Paths!$E$357+'Operating costs'!$B$65&lt;=120,IF(Paths!$E$357+'Operating costs'!$B$65=0,C3862=0,AND(C3862&gt;0,Paths!$E$357+'Operating costs'!$B$65&gt;(C3862-1)*12,Paths!$E$357+'Operating costs'!$B$65&lt;=C3862*12))),'Operating costs'!$B$64,0)+IF(AND('Operating costs'!$B$67&gt;0,'Operating costs'!$B$67&lt;=120,OR(Paths!$D$357="ICE",'Operating costs'!$B$67&lt;=Paths!$E$357),IF('Operating costs'!$B$67=0,C3862=0,AND(C3862&gt;0,'Operating costs'!$B$67&gt;(C3862-1)*12,'Operating costs'!$B$67&lt;=C3862*12))),'Operating costs'!$B$66,0),"n.a."))</f>
        <v>0</v>
      </c>
      <c r="N3862" s="16">
        <f>IF(NOT(Paths!$C$357=1),0,IF(Paths!$P$357="Complete",SUM(G3862:I3862)-J3862-K3862-L3862+M3862+IF(C3862=0,Paths!$F$357,0)+IF(IF(Paths!$E$357=0,C3862=0,AND(C3862&gt;0,Paths!$E$357&gt;(C3862-1)*12,Paths!$E$357&lt;=C3862*12)),VLOOKUP(A3862,'Fleet register'!$A$7:$S$106,16,FALSE),0),"n.a."))</f>
        <v>0</v>
      </c>
      <c r="O3862" s="16">
        <f>IF(NOT(Paths!$C$357=1),0,IF(Paths!$P$357="Complete",N3862-IF(C3862=0,Paths!$F$357,0),"n.a."))</f>
        <v>0</v>
      </c>
      <c r="P3862" s="16">
        <f>IF(NOT(Paths!$C$357=1),0,IF(Paths!$P$357="Complete",O3862+L3862,"n.a."))</f>
        <v>0</v>
      </c>
      <c r="Q3862" s="16">
        <f>IF(NOT(Paths!$C$357=1),0,IF(Paths!$P$357="Complete",N3862*(1+'Operating costs'!$B$54)^-C3862,"n.a."))</f>
        <v>0</v>
      </c>
      <c r="R3862" s="16">
        <f>IF(NOT(Paths!$C$357=1),0,IF(Paths!$P$357="Complete",IF(AND(C3862=0,Paths!$E$357=0),I3862-J3862-K3862+VLOOKUP(A3862,'Fleet register'!$A$7:$S$106,15,FALSE)+VLOOKUP(A3862,'Fleet register'!$A$7:$S$106,16,FALSE),0),"n.a."))</f>
        <v>0</v>
      </c>
      <c r="S3862" s="1">
        <f>IF(NOT(Paths!$C$357=1),0,IF(Paths!$P$357="Complete",IF(C3862=0,0,Paths!$S$357*Paths!$R$357),"n.a."))</f>
        <v>0</v>
      </c>
      <c r="T3862" s="1">
        <f>IF(NOT(Paths!$C$357=1),0,IF(Paths!$P$357="Complete",IF(C3862=0,0,VLOOKUP(A3862,'Fleet register'!$A$7:$S$106,9,FALSE)*Paths!$R$357),"n.a."))</f>
        <v>0</v>
      </c>
    </row>
    <row r="3863" spans="1:20" ht="24" customHeight="1">
      <c r="A3863" s="1" t="str">
        <f>Paths!$A$357</f>
        <v>T088</v>
      </c>
      <c r="B3863" s="1">
        <f>Paths!$B$357</f>
        <v>2</v>
      </c>
      <c r="C3863" s="1">
        <v>6</v>
      </c>
      <c r="D3863" s="1">
        <v>357</v>
      </c>
      <c r="E3863" s="1">
        <f>IF(OR(Paths!$C$357=0,C3863=0),0,MAX(0,MIN(C3863*12,Paths!$E$357)-(C3863-1)*12))</f>
        <v>0</v>
      </c>
      <c r="F3863" s="1">
        <f>IF(OR(Paths!$C$357=0,C3863=0),0,12-E3863)</f>
        <v>0</v>
      </c>
      <c r="G3863" s="16">
        <f>IF(NOT(Paths!$C$357=1),0,IF(Paths!$P$357="Complete",E3863/12*(Paths!$J$357*(1+'Operating costs'!$B$51)^MAX(0,C3863-1)+Paths!$K$357*(1+'Operating costs'!$B$53)^MAX(0,C3863-1)),"n.a."))</f>
        <v>0</v>
      </c>
      <c r="H3863" s="16">
        <f>IF(NOT(Paths!$C$357=1),0,IF(Paths!$P$357="Complete",F3863/12*(Paths!$L$357*(1+IF(Paths!$D$357="EV",'Operating costs'!$B$52,'Operating costs'!$B$51))^MAX(0,C3863-1)+Paths!$M$357*(1+'Operating costs'!$B$53)^MAX(0,C3863-1)),"n.a."))</f>
        <v>0</v>
      </c>
      <c r="I3863" s="16">
        <f>IF(NOT(Paths!$C$357=1),0,IF(Paths!$P$357="Complete",IF(IF(Paths!$E$357=0,C3863=0,AND(C3863&gt;0,Paths!$E$357&gt;(C3863-1)*12,Paths!$E$357&lt;=C3863*12)),Paths!$G$357,0),"n.a."))</f>
        <v>0</v>
      </c>
      <c r="J3863" s="16">
        <f>IF(NOT(Paths!$C$357=1),0,IF(Paths!$P$357="Complete",IF(IF(Paths!$E$357=0,C3863=0,AND(C3863&gt;0,Paths!$E$357&gt;(C3863-1)*12,Paths!$E$357&lt;=C3863*12)),Paths!$H$357,0),"n.a."))</f>
        <v>0</v>
      </c>
      <c r="K3863" s="16">
        <f>IF(NOT(Paths!$C$357=1),0,IF(Paths!$P$357="Complete",IF(IF(Paths!$O$357=0,C3863=0,AND(C3863&gt;0,Paths!$O$357&gt;(C3863-1)*12,Paths!$O$357&lt;=C3863*12)),Paths!$N$357,0),"n.a."))</f>
        <v>0</v>
      </c>
      <c r="L3863" s="16">
        <f>IF(NOT(Paths!$C$357=1),0,IF(Paths!$P$357="Complete",IF(C3863=10,Paths!$I$357,0),"n.a."))</f>
        <v>0</v>
      </c>
      <c r="M3863" s="16">
        <f>IF(NOT(Paths!$C$357=1),0,IF(Paths!$P$357="Complete",IF(AND(Paths!$D$357="EV",Paths!$E$357&lt;120,Paths!$E$357+'Operating costs'!$B$65&gt;Paths!$E$357,Paths!$E$357+'Operating costs'!$B$65&lt;=120,IF(Paths!$E$357+'Operating costs'!$B$65=0,C3863=0,AND(C3863&gt;0,Paths!$E$357+'Operating costs'!$B$65&gt;(C3863-1)*12,Paths!$E$357+'Operating costs'!$B$65&lt;=C3863*12))),'Operating costs'!$B$64,0)+IF(AND('Operating costs'!$B$67&gt;0,'Operating costs'!$B$67&lt;=120,OR(Paths!$D$357="ICE",'Operating costs'!$B$67&lt;=Paths!$E$357),IF('Operating costs'!$B$67=0,C3863=0,AND(C3863&gt;0,'Operating costs'!$B$67&gt;(C3863-1)*12,'Operating costs'!$B$67&lt;=C3863*12))),'Operating costs'!$B$66,0),"n.a."))</f>
        <v>0</v>
      </c>
      <c r="N3863" s="16">
        <f>IF(NOT(Paths!$C$357=1),0,IF(Paths!$P$357="Complete",SUM(G3863:I3863)-J3863-K3863-L3863+M3863+IF(C3863=0,Paths!$F$357,0)+IF(IF(Paths!$E$357=0,C3863=0,AND(C3863&gt;0,Paths!$E$357&gt;(C3863-1)*12,Paths!$E$357&lt;=C3863*12)),VLOOKUP(A3863,'Fleet register'!$A$7:$S$106,16,FALSE),0),"n.a."))</f>
        <v>0</v>
      </c>
      <c r="O3863" s="16">
        <f>IF(NOT(Paths!$C$357=1),0,IF(Paths!$P$357="Complete",N3863-IF(C3863=0,Paths!$F$357,0),"n.a."))</f>
        <v>0</v>
      </c>
      <c r="P3863" s="16">
        <f>IF(NOT(Paths!$C$357=1),0,IF(Paths!$P$357="Complete",O3863+L3863,"n.a."))</f>
        <v>0</v>
      </c>
      <c r="Q3863" s="16">
        <f>IF(NOT(Paths!$C$357=1),0,IF(Paths!$P$357="Complete",N3863*(1+'Operating costs'!$B$54)^-C3863,"n.a."))</f>
        <v>0</v>
      </c>
      <c r="R3863" s="16">
        <f>IF(NOT(Paths!$C$357=1),0,IF(Paths!$P$357="Complete",IF(AND(C3863=0,Paths!$E$357=0),I3863-J3863-K3863+VLOOKUP(A3863,'Fleet register'!$A$7:$S$106,15,FALSE)+VLOOKUP(A3863,'Fleet register'!$A$7:$S$106,16,FALSE),0),"n.a."))</f>
        <v>0</v>
      </c>
      <c r="S3863" s="1">
        <f>IF(NOT(Paths!$C$357=1),0,IF(Paths!$P$357="Complete",IF(C3863=0,0,Paths!$S$357*Paths!$R$357),"n.a."))</f>
        <v>0</v>
      </c>
      <c r="T3863" s="1">
        <f>IF(NOT(Paths!$C$357=1),0,IF(Paths!$P$357="Complete",IF(C3863=0,0,VLOOKUP(A3863,'Fleet register'!$A$7:$S$106,9,FALSE)*Paths!$R$357),"n.a."))</f>
        <v>0</v>
      </c>
    </row>
    <row r="3864" spans="1:20" ht="24" customHeight="1">
      <c r="A3864" s="1" t="str">
        <f>Paths!$A$357</f>
        <v>T088</v>
      </c>
      <c r="B3864" s="1">
        <f>Paths!$B$357</f>
        <v>2</v>
      </c>
      <c r="C3864" s="1">
        <v>7</v>
      </c>
      <c r="D3864" s="1">
        <v>357</v>
      </c>
      <c r="E3864" s="1">
        <f>IF(OR(Paths!$C$357=0,C3864=0),0,MAX(0,MIN(C3864*12,Paths!$E$357)-(C3864-1)*12))</f>
        <v>0</v>
      </c>
      <c r="F3864" s="1">
        <f>IF(OR(Paths!$C$357=0,C3864=0),0,12-E3864)</f>
        <v>0</v>
      </c>
      <c r="G3864" s="16">
        <f>IF(NOT(Paths!$C$357=1),0,IF(Paths!$P$357="Complete",E3864/12*(Paths!$J$357*(1+'Operating costs'!$B$51)^MAX(0,C3864-1)+Paths!$K$357*(1+'Operating costs'!$B$53)^MAX(0,C3864-1)),"n.a."))</f>
        <v>0</v>
      </c>
      <c r="H3864" s="16">
        <f>IF(NOT(Paths!$C$357=1),0,IF(Paths!$P$357="Complete",F3864/12*(Paths!$L$357*(1+IF(Paths!$D$357="EV",'Operating costs'!$B$52,'Operating costs'!$B$51))^MAX(0,C3864-1)+Paths!$M$357*(1+'Operating costs'!$B$53)^MAX(0,C3864-1)),"n.a."))</f>
        <v>0</v>
      </c>
      <c r="I3864" s="16">
        <f>IF(NOT(Paths!$C$357=1),0,IF(Paths!$P$357="Complete",IF(IF(Paths!$E$357=0,C3864=0,AND(C3864&gt;0,Paths!$E$357&gt;(C3864-1)*12,Paths!$E$357&lt;=C3864*12)),Paths!$G$357,0),"n.a."))</f>
        <v>0</v>
      </c>
      <c r="J3864" s="16">
        <f>IF(NOT(Paths!$C$357=1),0,IF(Paths!$P$357="Complete",IF(IF(Paths!$E$357=0,C3864=0,AND(C3864&gt;0,Paths!$E$357&gt;(C3864-1)*12,Paths!$E$357&lt;=C3864*12)),Paths!$H$357,0),"n.a."))</f>
        <v>0</v>
      </c>
      <c r="K3864" s="16">
        <f>IF(NOT(Paths!$C$357=1),0,IF(Paths!$P$357="Complete",IF(IF(Paths!$O$357=0,C3864=0,AND(C3864&gt;0,Paths!$O$357&gt;(C3864-1)*12,Paths!$O$357&lt;=C3864*12)),Paths!$N$357,0),"n.a."))</f>
        <v>0</v>
      </c>
      <c r="L3864" s="16">
        <f>IF(NOT(Paths!$C$357=1),0,IF(Paths!$P$357="Complete",IF(C3864=10,Paths!$I$357,0),"n.a."))</f>
        <v>0</v>
      </c>
      <c r="M3864" s="16">
        <f>IF(NOT(Paths!$C$357=1),0,IF(Paths!$P$357="Complete",IF(AND(Paths!$D$357="EV",Paths!$E$357&lt;120,Paths!$E$357+'Operating costs'!$B$65&gt;Paths!$E$357,Paths!$E$357+'Operating costs'!$B$65&lt;=120,IF(Paths!$E$357+'Operating costs'!$B$65=0,C3864=0,AND(C3864&gt;0,Paths!$E$357+'Operating costs'!$B$65&gt;(C3864-1)*12,Paths!$E$357+'Operating costs'!$B$65&lt;=C3864*12))),'Operating costs'!$B$64,0)+IF(AND('Operating costs'!$B$67&gt;0,'Operating costs'!$B$67&lt;=120,OR(Paths!$D$357="ICE",'Operating costs'!$B$67&lt;=Paths!$E$357),IF('Operating costs'!$B$67=0,C3864=0,AND(C3864&gt;0,'Operating costs'!$B$67&gt;(C3864-1)*12,'Operating costs'!$B$67&lt;=C3864*12))),'Operating costs'!$B$66,0),"n.a."))</f>
        <v>0</v>
      </c>
      <c r="N3864" s="16">
        <f>IF(NOT(Paths!$C$357=1),0,IF(Paths!$P$357="Complete",SUM(G3864:I3864)-J3864-K3864-L3864+M3864+IF(C3864=0,Paths!$F$357,0)+IF(IF(Paths!$E$357=0,C3864=0,AND(C3864&gt;0,Paths!$E$357&gt;(C3864-1)*12,Paths!$E$357&lt;=C3864*12)),VLOOKUP(A3864,'Fleet register'!$A$7:$S$106,16,FALSE),0),"n.a."))</f>
        <v>0</v>
      </c>
      <c r="O3864" s="16">
        <f>IF(NOT(Paths!$C$357=1),0,IF(Paths!$P$357="Complete",N3864-IF(C3864=0,Paths!$F$357,0),"n.a."))</f>
        <v>0</v>
      </c>
      <c r="P3864" s="16">
        <f>IF(NOT(Paths!$C$357=1),0,IF(Paths!$P$357="Complete",O3864+L3864,"n.a."))</f>
        <v>0</v>
      </c>
      <c r="Q3864" s="16">
        <f>IF(NOT(Paths!$C$357=1),0,IF(Paths!$P$357="Complete",N3864*(1+'Operating costs'!$B$54)^-C3864,"n.a."))</f>
        <v>0</v>
      </c>
      <c r="R3864" s="16">
        <f>IF(NOT(Paths!$C$357=1),0,IF(Paths!$P$357="Complete",IF(AND(C3864=0,Paths!$E$357=0),I3864-J3864-K3864+VLOOKUP(A3864,'Fleet register'!$A$7:$S$106,15,FALSE)+VLOOKUP(A3864,'Fleet register'!$A$7:$S$106,16,FALSE),0),"n.a."))</f>
        <v>0</v>
      </c>
      <c r="S3864" s="1">
        <f>IF(NOT(Paths!$C$357=1),0,IF(Paths!$P$357="Complete",IF(C3864=0,0,Paths!$S$357*Paths!$R$357),"n.a."))</f>
        <v>0</v>
      </c>
      <c r="T3864" s="1">
        <f>IF(NOT(Paths!$C$357=1),0,IF(Paths!$P$357="Complete",IF(C3864=0,0,VLOOKUP(A3864,'Fleet register'!$A$7:$S$106,9,FALSE)*Paths!$R$357),"n.a."))</f>
        <v>0</v>
      </c>
    </row>
    <row r="3865" spans="1:20" ht="24" customHeight="1">
      <c r="A3865" s="1" t="str">
        <f>Paths!$A$357</f>
        <v>T088</v>
      </c>
      <c r="B3865" s="1">
        <f>Paths!$B$357</f>
        <v>2</v>
      </c>
      <c r="C3865" s="1">
        <v>8</v>
      </c>
      <c r="D3865" s="1">
        <v>357</v>
      </c>
      <c r="E3865" s="1">
        <f>IF(OR(Paths!$C$357=0,C3865=0),0,MAX(0,MIN(C3865*12,Paths!$E$357)-(C3865-1)*12))</f>
        <v>0</v>
      </c>
      <c r="F3865" s="1">
        <f>IF(OR(Paths!$C$357=0,C3865=0),0,12-E3865)</f>
        <v>0</v>
      </c>
      <c r="G3865" s="16">
        <f>IF(NOT(Paths!$C$357=1),0,IF(Paths!$P$357="Complete",E3865/12*(Paths!$J$357*(1+'Operating costs'!$B$51)^MAX(0,C3865-1)+Paths!$K$357*(1+'Operating costs'!$B$53)^MAX(0,C3865-1)),"n.a."))</f>
        <v>0</v>
      </c>
      <c r="H3865" s="16">
        <f>IF(NOT(Paths!$C$357=1),0,IF(Paths!$P$357="Complete",F3865/12*(Paths!$L$357*(1+IF(Paths!$D$357="EV",'Operating costs'!$B$52,'Operating costs'!$B$51))^MAX(0,C3865-1)+Paths!$M$357*(1+'Operating costs'!$B$53)^MAX(0,C3865-1)),"n.a."))</f>
        <v>0</v>
      </c>
      <c r="I3865" s="16">
        <f>IF(NOT(Paths!$C$357=1),0,IF(Paths!$P$357="Complete",IF(IF(Paths!$E$357=0,C3865=0,AND(C3865&gt;0,Paths!$E$357&gt;(C3865-1)*12,Paths!$E$357&lt;=C3865*12)),Paths!$G$357,0),"n.a."))</f>
        <v>0</v>
      </c>
      <c r="J3865" s="16">
        <f>IF(NOT(Paths!$C$357=1),0,IF(Paths!$P$357="Complete",IF(IF(Paths!$E$357=0,C3865=0,AND(C3865&gt;0,Paths!$E$357&gt;(C3865-1)*12,Paths!$E$357&lt;=C3865*12)),Paths!$H$357,0),"n.a."))</f>
        <v>0</v>
      </c>
      <c r="K3865" s="16">
        <f>IF(NOT(Paths!$C$357=1),0,IF(Paths!$P$357="Complete",IF(IF(Paths!$O$357=0,C3865=0,AND(C3865&gt;0,Paths!$O$357&gt;(C3865-1)*12,Paths!$O$357&lt;=C3865*12)),Paths!$N$357,0),"n.a."))</f>
        <v>0</v>
      </c>
      <c r="L3865" s="16">
        <f>IF(NOT(Paths!$C$357=1),0,IF(Paths!$P$357="Complete",IF(C3865=10,Paths!$I$357,0),"n.a."))</f>
        <v>0</v>
      </c>
      <c r="M3865" s="16">
        <f>IF(NOT(Paths!$C$357=1),0,IF(Paths!$P$357="Complete",IF(AND(Paths!$D$357="EV",Paths!$E$357&lt;120,Paths!$E$357+'Operating costs'!$B$65&gt;Paths!$E$357,Paths!$E$357+'Operating costs'!$B$65&lt;=120,IF(Paths!$E$357+'Operating costs'!$B$65=0,C3865=0,AND(C3865&gt;0,Paths!$E$357+'Operating costs'!$B$65&gt;(C3865-1)*12,Paths!$E$357+'Operating costs'!$B$65&lt;=C3865*12))),'Operating costs'!$B$64,0)+IF(AND('Operating costs'!$B$67&gt;0,'Operating costs'!$B$67&lt;=120,OR(Paths!$D$357="ICE",'Operating costs'!$B$67&lt;=Paths!$E$357),IF('Operating costs'!$B$67=0,C3865=0,AND(C3865&gt;0,'Operating costs'!$B$67&gt;(C3865-1)*12,'Operating costs'!$B$67&lt;=C3865*12))),'Operating costs'!$B$66,0),"n.a."))</f>
        <v>0</v>
      </c>
      <c r="N3865" s="16">
        <f>IF(NOT(Paths!$C$357=1),0,IF(Paths!$P$357="Complete",SUM(G3865:I3865)-J3865-K3865-L3865+M3865+IF(C3865=0,Paths!$F$357,0)+IF(IF(Paths!$E$357=0,C3865=0,AND(C3865&gt;0,Paths!$E$357&gt;(C3865-1)*12,Paths!$E$357&lt;=C3865*12)),VLOOKUP(A3865,'Fleet register'!$A$7:$S$106,16,FALSE),0),"n.a."))</f>
        <v>0</v>
      </c>
      <c r="O3865" s="16">
        <f>IF(NOT(Paths!$C$357=1),0,IF(Paths!$P$357="Complete",N3865-IF(C3865=0,Paths!$F$357,0),"n.a."))</f>
        <v>0</v>
      </c>
      <c r="P3865" s="16">
        <f>IF(NOT(Paths!$C$357=1),0,IF(Paths!$P$357="Complete",O3865+L3865,"n.a."))</f>
        <v>0</v>
      </c>
      <c r="Q3865" s="16">
        <f>IF(NOT(Paths!$C$357=1),0,IF(Paths!$P$357="Complete",N3865*(1+'Operating costs'!$B$54)^-C3865,"n.a."))</f>
        <v>0</v>
      </c>
      <c r="R3865" s="16">
        <f>IF(NOT(Paths!$C$357=1),0,IF(Paths!$P$357="Complete",IF(AND(C3865=0,Paths!$E$357=0),I3865-J3865-K3865+VLOOKUP(A3865,'Fleet register'!$A$7:$S$106,15,FALSE)+VLOOKUP(A3865,'Fleet register'!$A$7:$S$106,16,FALSE),0),"n.a."))</f>
        <v>0</v>
      </c>
      <c r="S3865" s="1">
        <f>IF(NOT(Paths!$C$357=1),0,IF(Paths!$P$357="Complete",IF(C3865=0,0,Paths!$S$357*Paths!$R$357),"n.a."))</f>
        <v>0</v>
      </c>
      <c r="T3865" s="1">
        <f>IF(NOT(Paths!$C$357=1),0,IF(Paths!$P$357="Complete",IF(C3865=0,0,VLOOKUP(A3865,'Fleet register'!$A$7:$S$106,9,FALSE)*Paths!$R$357),"n.a."))</f>
        <v>0</v>
      </c>
    </row>
    <row r="3866" spans="1:20" ht="24" customHeight="1">
      <c r="A3866" s="1" t="str">
        <f>Paths!$A$357</f>
        <v>T088</v>
      </c>
      <c r="B3866" s="1">
        <f>Paths!$B$357</f>
        <v>2</v>
      </c>
      <c r="C3866" s="1">
        <v>9</v>
      </c>
      <c r="D3866" s="1">
        <v>357</v>
      </c>
      <c r="E3866" s="1">
        <f>IF(OR(Paths!$C$357=0,C3866=0),0,MAX(0,MIN(C3866*12,Paths!$E$357)-(C3866-1)*12))</f>
        <v>0</v>
      </c>
      <c r="F3866" s="1">
        <f>IF(OR(Paths!$C$357=0,C3866=0),0,12-E3866)</f>
        <v>0</v>
      </c>
      <c r="G3866" s="16">
        <f>IF(NOT(Paths!$C$357=1),0,IF(Paths!$P$357="Complete",E3866/12*(Paths!$J$357*(1+'Operating costs'!$B$51)^MAX(0,C3866-1)+Paths!$K$357*(1+'Operating costs'!$B$53)^MAX(0,C3866-1)),"n.a."))</f>
        <v>0</v>
      </c>
      <c r="H3866" s="16">
        <f>IF(NOT(Paths!$C$357=1),0,IF(Paths!$P$357="Complete",F3866/12*(Paths!$L$357*(1+IF(Paths!$D$357="EV",'Operating costs'!$B$52,'Operating costs'!$B$51))^MAX(0,C3866-1)+Paths!$M$357*(1+'Operating costs'!$B$53)^MAX(0,C3866-1)),"n.a."))</f>
        <v>0</v>
      </c>
      <c r="I3866" s="16">
        <f>IF(NOT(Paths!$C$357=1),0,IF(Paths!$P$357="Complete",IF(IF(Paths!$E$357=0,C3866=0,AND(C3866&gt;0,Paths!$E$357&gt;(C3866-1)*12,Paths!$E$357&lt;=C3866*12)),Paths!$G$357,0),"n.a."))</f>
        <v>0</v>
      </c>
      <c r="J3866" s="16">
        <f>IF(NOT(Paths!$C$357=1),0,IF(Paths!$P$357="Complete",IF(IF(Paths!$E$357=0,C3866=0,AND(C3866&gt;0,Paths!$E$357&gt;(C3866-1)*12,Paths!$E$357&lt;=C3866*12)),Paths!$H$357,0),"n.a."))</f>
        <v>0</v>
      </c>
      <c r="K3866" s="16">
        <f>IF(NOT(Paths!$C$357=1),0,IF(Paths!$P$357="Complete",IF(IF(Paths!$O$357=0,C3866=0,AND(C3866&gt;0,Paths!$O$357&gt;(C3866-1)*12,Paths!$O$357&lt;=C3866*12)),Paths!$N$357,0),"n.a."))</f>
        <v>0</v>
      </c>
      <c r="L3866" s="16">
        <f>IF(NOT(Paths!$C$357=1),0,IF(Paths!$P$357="Complete",IF(C3866=10,Paths!$I$357,0),"n.a."))</f>
        <v>0</v>
      </c>
      <c r="M3866" s="16">
        <f>IF(NOT(Paths!$C$357=1),0,IF(Paths!$P$357="Complete",IF(AND(Paths!$D$357="EV",Paths!$E$357&lt;120,Paths!$E$357+'Operating costs'!$B$65&gt;Paths!$E$357,Paths!$E$357+'Operating costs'!$B$65&lt;=120,IF(Paths!$E$357+'Operating costs'!$B$65=0,C3866=0,AND(C3866&gt;0,Paths!$E$357+'Operating costs'!$B$65&gt;(C3866-1)*12,Paths!$E$357+'Operating costs'!$B$65&lt;=C3866*12))),'Operating costs'!$B$64,0)+IF(AND('Operating costs'!$B$67&gt;0,'Operating costs'!$B$67&lt;=120,OR(Paths!$D$357="ICE",'Operating costs'!$B$67&lt;=Paths!$E$357),IF('Operating costs'!$B$67=0,C3866=0,AND(C3866&gt;0,'Operating costs'!$B$67&gt;(C3866-1)*12,'Operating costs'!$B$67&lt;=C3866*12))),'Operating costs'!$B$66,0),"n.a."))</f>
        <v>0</v>
      </c>
      <c r="N3866" s="16">
        <f>IF(NOT(Paths!$C$357=1),0,IF(Paths!$P$357="Complete",SUM(G3866:I3866)-J3866-K3866-L3866+M3866+IF(C3866=0,Paths!$F$357,0)+IF(IF(Paths!$E$357=0,C3866=0,AND(C3866&gt;0,Paths!$E$357&gt;(C3866-1)*12,Paths!$E$357&lt;=C3866*12)),VLOOKUP(A3866,'Fleet register'!$A$7:$S$106,16,FALSE),0),"n.a."))</f>
        <v>0</v>
      </c>
      <c r="O3866" s="16">
        <f>IF(NOT(Paths!$C$357=1),0,IF(Paths!$P$357="Complete",N3866-IF(C3866=0,Paths!$F$357,0),"n.a."))</f>
        <v>0</v>
      </c>
      <c r="P3866" s="16">
        <f>IF(NOT(Paths!$C$357=1),0,IF(Paths!$P$357="Complete",O3866+L3866,"n.a."))</f>
        <v>0</v>
      </c>
      <c r="Q3866" s="16">
        <f>IF(NOT(Paths!$C$357=1),0,IF(Paths!$P$357="Complete",N3866*(1+'Operating costs'!$B$54)^-C3866,"n.a."))</f>
        <v>0</v>
      </c>
      <c r="R3866" s="16">
        <f>IF(NOT(Paths!$C$357=1),0,IF(Paths!$P$357="Complete",IF(AND(C3866=0,Paths!$E$357=0),I3866-J3866-K3866+VLOOKUP(A3866,'Fleet register'!$A$7:$S$106,15,FALSE)+VLOOKUP(A3866,'Fleet register'!$A$7:$S$106,16,FALSE),0),"n.a."))</f>
        <v>0</v>
      </c>
      <c r="S3866" s="1">
        <f>IF(NOT(Paths!$C$357=1),0,IF(Paths!$P$357="Complete",IF(C3866=0,0,Paths!$S$357*Paths!$R$357),"n.a."))</f>
        <v>0</v>
      </c>
      <c r="T3866" s="1">
        <f>IF(NOT(Paths!$C$357=1),0,IF(Paths!$P$357="Complete",IF(C3866=0,0,VLOOKUP(A3866,'Fleet register'!$A$7:$S$106,9,FALSE)*Paths!$R$357),"n.a."))</f>
        <v>0</v>
      </c>
    </row>
    <row r="3867" spans="1:20" ht="24" customHeight="1">
      <c r="A3867" s="1" t="str">
        <f>Paths!$A$357</f>
        <v>T088</v>
      </c>
      <c r="B3867" s="1">
        <f>Paths!$B$357</f>
        <v>2</v>
      </c>
      <c r="C3867" s="1">
        <v>10</v>
      </c>
      <c r="D3867" s="1">
        <v>357</v>
      </c>
      <c r="E3867" s="1">
        <f>IF(OR(Paths!$C$357=0,C3867=0),0,MAX(0,MIN(C3867*12,Paths!$E$357)-(C3867-1)*12))</f>
        <v>0</v>
      </c>
      <c r="F3867" s="1">
        <f>IF(OR(Paths!$C$357=0,C3867=0),0,12-E3867)</f>
        <v>0</v>
      </c>
      <c r="G3867" s="16">
        <f>IF(NOT(Paths!$C$357=1),0,IF(Paths!$P$357="Complete",E3867/12*(Paths!$J$357*(1+'Operating costs'!$B$51)^MAX(0,C3867-1)+Paths!$K$357*(1+'Operating costs'!$B$53)^MAX(0,C3867-1)),"n.a."))</f>
        <v>0</v>
      </c>
      <c r="H3867" s="16">
        <f>IF(NOT(Paths!$C$357=1),0,IF(Paths!$P$357="Complete",F3867/12*(Paths!$L$357*(1+IF(Paths!$D$357="EV",'Operating costs'!$B$52,'Operating costs'!$B$51))^MAX(0,C3867-1)+Paths!$M$357*(1+'Operating costs'!$B$53)^MAX(0,C3867-1)),"n.a."))</f>
        <v>0</v>
      </c>
      <c r="I3867" s="16">
        <f>IF(NOT(Paths!$C$357=1),0,IF(Paths!$P$357="Complete",IF(IF(Paths!$E$357=0,C3867=0,AND(C3867&gt;0,Paths!$E$357&gt;(C3867-1)*12,Paths!$E$357&lt;=C3867*12)),Paths!$G$357,0),"n.a."))</f>
        <v>0</v>
      </c>
      <c r="J3867" s="16">
        <f>IF(NOT(Paths!$C$357=1),0,IF(Paths!$P$357="Complete",IF(IF(Paths!$E$357=0,C3867=0,AND(C3867&gt;0,Paths!$E$357&gt;(C3867-1)*12,Paths!$E$357&lt;=C3867*12)),Paths!$H$357,0),"n.a."))</f>
        <v>0</v>
      </c>
      <c r="K3867" s="16">
        <f>IF(NOT(Paths!$C$357=1),0,IF(Paths!$P$357="Complete",IF(IF(Paths!$O$357=0,C3867=0,AND(C3867&gt;0,Paths!$O$357&gt;(C3867-1)*12,Paths!$O$357&lt;=C3867*12)),Paths!$N$357,0),"n.a."))</f>
        <v>0</v>
      </c>
      <c r="L3867" s="16">
        <f>IF(NOT(Paths!$C$357=1),0,IF(Paths!$P$357="Complete",IF(C3867=10,Paths!$I$357,0),"n.a."))</f>
        <v>0</v>
      </c>
      <c r="M3867" s="16">
        <f>IF(NOT(Paths!$C$357=1),0,IF(Paths!$P$357="Complete",IF(AND(Paths!$D$357="EV",Paths!$E$357&lt;120,Paths!$E$357+'Operating costs'!$B$65&gt;Paths!$E$357,Paths!$E$357+'Operating costs'!$B$65&lt;=120,IF(Paths!$E$357+'Operating costs'!$B$65=0,C3867=0,AND(C3867&gt;0,Paths!$E$357+'Operating costs'!$B$65&gt;(C3867-1)*12,Paths!$E$357+'Operating costs'!$B$65&lt;=C3867*12))),'Operating costs'!$B$64,0)+IF(AND('Operating costs'!$B$67&gt;0,'Operating costs'!$B$67&lt;=120,OR(Paths!$D$357="ICE",'Operating costs'!$B$67&lt;=Paths!$E$357),IF('Operating costs'!$B$67=0,C3867=0,AND(C3867&gt;0,'Operating costs'!$B$67&gt;(C3867-1)*12,'Operating costs'!$B$67&lt;=C3867*12))),'Operating costs'!$B$66,0),"n.a."))</f>
        <v>0</v>
      </c>
      <c r="N3867" s="16">
        <f>IF(NOT(Paths!$C$357=1),0,IF(Paths!$P$357="Complete",SUM(G3867:I3867)-J3867-K3867-L3867+M3867+IF(C3867=0,Paths!$F$357,0)+IF(IF(Paths!$E$357=0,C3867=0,AND(C3867&gt;0,Paths!$E$357&gt;(C3867-1)*12,Paths!$E$357&lt;=C3867*12)),VLOOKUP(A3867,'Fleet register'!$A$7:$S$106,16,FALSE),0),"n.a."))</f>
        <v>0</v>
      </c>
      <c r="O3867" s="16">
        <f>IF(NOT(Paths!$C$357=1),0,IF(Paths!$P$357="Complete",N3867-IF(C3867=0,Paths!$F$357,0),"n.a."))</f>
        <v>0</v>
      </c>
      <c r="P3867" s="16">
        <f>IF(NOT(Paths!$C$357=1),0,IF(Paths!$P$357="Complete",O3867+L3867,"n.a."))</f>
        <v>0</v>
      </c>
      <c r="Q3867" s="16">
        <f>IF(NOT(Paths!$C$357=1),0,IF(Paths!$P$357="Complete",N3867*(1+'Operating costs'!$B$54)^-C3867,"n.a."))</f>
        <v>0</v>
      </c>
      <c r="R3867" s="16">
        <f>IF(NOT(Paths!$C$357=1),0,IF(Paths!$P$357="Complete",IF(AND(C3867=0,Paths!$E$357=0),I3867-J3867-K3867+VLOOKUP(A3867,'Fleet register'!$A$7:$S$106,15,FALSE)+VLOOKUP(A3867,'Fleet register'!$A$7:$S$106,16,FALSE),0),"n.a."))</f>
        <v>0</v>
      </c>
      <c r="S3867" s="1">
        <f>IF(NOT(Paths!$C$357=1),0,IF(Paths!$P$357="Complete",IF(C3867=0,0,Paths!$S$357*Paths!$R$357),"n.a."))</f>
        <v>0</v>
      </c>
      <c r="T3867" s="1">
        <f>IF(NOT(Paths!$C$357=1),0,IF(Paths!$P$357="Complete",IF(C3867=0,0,VLOOKUP(A3867,'Fleet register'!$A$7:$S$106,9,FALSE)*Paths!$R$357),"n.a."))</f>
        <v>0</v>
      </c>
    </row>
    <row r="3868" spans="1:20" ht="24" customHeight="1">
      <c r="A3868" s="1" t="str">
        <f>Paths!$A$358</f>
        <v>T088</v>
      </c>
      <c r="B3868" s="1">
        <f>Paths!$B$358</f>
        <v>3</v>
      </c>
      <c r="C3868" s="1">
        <v>0</v>
      </c>
      <c r="D3868" s="1">
        <v>358</v>
      </c>
      <c r="E3868" s="1">
        <f>IF(OR(Paths!$C$358=0,C3868=0),0,MAX(0,MIN(C3868*12,Paths!$E$358)-(C3868-1)*12))</f>
        <v>0</v>
      </c>
      <c r="F3868" s="1">
        <f>IF(OR(Paths!$C$358=0,C3868=0),0,12-E3868)</f>
        <v>0</v>
      </c>
      <c r="G3868" s="16">
        <f>IF(NOT(Paths!$C$358=1),0,IF(Paths!$P$358="Complete",E3868/12*(Paths!$J$358*(1+'Operating costs'!$B$51)^MAX(0,C3868-1)+Paths!$K$358*(1+'Operating costs'!$B$53)^MAX(0,C3868-1)),"n.a."))</f>
        <v>0</v>
      </c>
      <c r="H3868" s="16">
        <f>IF(NOT(Paths!$C$358=1),0,IF(Paths!$P$358="Complete",F3868/12*(Paths!$L$358*(1+IF(Paths!$D$358="EV",'Operating costs'!$B$52,'Operating costs'!$B$51))^MAX(0,C3868-1)+Paths!$M$358*(1+'Operating costs'!$B$53)^MAX(0,C3868-1)),"n.a."))</f>
        <v>0</v>
      </c>
      <c r="I3868" s="16">
        <f>IF(NOT(Paths!$C$358=1),0,IF(Paths!$P$358="Complete",IF(IF(Paths!$E$358=0,C3868=0,AND(C3868&gt;0,Paths!$E$358&gt;(C3868-1)*12,Paths!$E$358&lt;=C3868*12)),Paths!$G$358,0),"n.a."))</f>
        <v>0</v>
      </c>
      <c r="J3868" s="16">
        <f>IF(NOT(Paths!$C$358=1),0,IF(Paths!$P$358="Complete",IF(IF(Paths!$E$358=0,C3868=0,AND(C3868&gt;0,Paths!$E$358&gt;(C3868-1)*12,Paths!$E$358&lt;=C3868*12)),Paths!$H$358,0),"n.a."))</f>
        <v>0</v>
      </c>
      <c r="K3868" s="16">
        <f>IF(NOT(Paths!$C$358=1),0,IF(Paths!$P$358="Complete",IF(IF(Paths!$O$358=0,C3868=0,AND(C3868&gt;0,Paths!$O$358&gt;(C3868-1)*12,Paths!$O$358&lt;=C3868*12)),Paths!$N$358,0),"n.a."))</f>
        <v>0</v>
      </c>
      <c r="L3868" s="16">
        <f>IF(NOT(Paths!$C$358=1),0,IF(Paths!$P$358="Complete",IF(C3868=10,Paths!$I$358,0),"n.a."))</f>
        <v>0</v>
      </c>
      <c r="M3868" s="16">
        <f>IF(NOT(Paths!$C$358=1),0,IF(Paths!$P$358="Complete",IF(AND(Paths!$D$358="EV",Paths!$E$358&lt;120,Paths!$E$358+'Operating costs'!$B$65&gt;Paths!$E$358,Paths!$E$358+'Operating costs'!$B$65&lt;=120,IF(Paths!$E$358+'Operating costs'!$B$65=0,C3868=0,AND(C3868&gt;0,Paths!$E$358+'Operating costs'!$B$65&gt;(C3868-1)*12,Paths!$E$358+'Operating costs'!$B$65&lt;=C3868*12))),'Operating costs'!$B$64,0)+IF(AND('Operating costs'!$B$67&gt;0,'Operating costs'!$B$67&lt;=120,OR(Paths!$D$358="ICE",'Operating costs'!$B$67&lt;=Paths!$E$358),IF('Operating costs'!$B$67=0,C3868=0,AND(C3868&gt;0,'Operating costs'!$B$67&gt;(C3868-1)*12,'Operating costs'!$B$67&lt;=C3868*12))),'Operating costs'!$B$66,0),"n.a."))</f>
        <v>0</v>
      </c>
      <c r="N3868" s="16">
        <f>IF(NOT(Paths!$C$358=1),0,IF(Paths!$P$358="Complete",SUM(G3868:I3868)-J3868-K3868-L3868+M3868+IF(C3868=0,Paths!$F$358,0)+IF(IF(Paths!$E$358=0,C3868=0,AND(C3868&gt;0,Paths!$E$358&gt;(C3868-1)*12,Paths!$E$358&lt;=C3868*12)),VLOOKUP(A3868,'Fleet register'!$A$7:$S$106,16,FALSE),0),"n.a."))</f>
        <v>0</v>
      </c>
      <c r="O3868" s="16">
        <f>IF(NOT(Paths!$C$358=1),0,IF(Paths!$P$358="Complete",N3868-IF(C3868=0,Paths!$F$358,0),"n.a."))</f>
        <v>0</v>
      </c>
      <c r="P3868" s="16">
        <f>IF(NOT(Paths!$C$358=1),0,IF(Paths!$P$358="Complete",O3868+L3868,"n.a."))</f>
        <v>0</v>
      </c>
      <c r="Q3868" s="16">
        <f>IF(NOT(Paths!$C$358=1),0,IF(Paths!$P$358="Complete",N3868*(1+'Operating costs'!$B$54)^-C3868,"n.a."))</f>
        <v>0</v>
      </c>
      <c r="R3868" s="16">
        <f>IF(NOT(Paths!$C$358=1),0,IF(Paths!$P$358="Complete",IF(AND(C3868=0,Paths!$E$358=0),I3868-J3868-K3868+VLOOKUP(A3868,'Fleet register'!$A$7:$S$106,15,FALSE)+VLOOKUP(A3868,'Fleet register'!$A$7:$S$106,16,FALSE),0),"n.a."))</f>
        <v>0</v>
      </c>
      <c r="S3868" s="1">
        <f>IF(NOT(Paths!$C$358=1),0,IF(Paths!$P$358="Complete",IF(C3868=0,0,Paths!$S$358*Paths!$R$358),"n.a."))</f>
        <v>0</v>
      </c>
      <c r="T3868" s="1">
        <f>IF(NOT(Paths!$C$358=1),0,IF(Paths!$P$358="Complete",IF(C3868=0,0,VLOOKUP(A3868,'Fleet register'!$A$7:$S$106,9,FALSE)*Paths!$R$358),"n.a."))</f>
        <v>0</v>
      </c>
    </row>
    <row r="3869" spans="1:20" ht="24" customHeight="1">
      <c r="A3869" s="1" t="str">
        <f>Paths!$A$358</f>
        <v>T088</v>
      </c>
      <c r="B3869" s="1">
        <f>Paths!$B$358</f>
        <v>3</v>
      </c>
      <c r="C3869" s="1">
        <v>1</v>
      </c>
      <c r="D3869" s="1">
        <v>358</v>
      </c>
      <c r="E3869" s="1">
        <f>IF(OR(Paths!$C$358=0,C3869=0),0,MAX(0,MIN(C3869*12,Paths!$E$358)-(C3869-1)*12))</f>
        <v>0</v>
      </c>
      <c r="F3869" s="1">
        <f>IF(OR(Paths!$C$358=0,C3869=0),0,12-E3869)</f>
        <v>0</v>
      </c>
      <c r="G3869" s="16">
        <f>IF(NOT(Paths!$C$358=1),0,IF(Paths!$P$358="Complete",E3869/12*(Paths!$J$358*(1+'Operating costs'!$B$51)^MAX(0,C3869-1)+Paths!$K$358*(1+'Operating costs'!$B$53)^MAX(0,C3869-1)),"n.a."))</f>
        <v>0</v>
      </c>
      <c r="H3869" s="16">
        <f>IF(NOT(Paths!$C$358=1),0,IF(Paths!$P$358="Complete",F3869/12*(Paths!$L$358*(1+IF(Paths!$D$358="EV",'Operating costs'!$B$52,'Operating costs'!$B$51))^MAX(0,C3869-1)+Paths!$M$358*(1+'Operating costs'!$B$53)^MAX(0,C3869-1)),"n.a."))</f>
        <v>0</v>
      </c>
      <c r="I3869" s="16">
        <f>IF(NOT(Paths!$C$358=1),0,IF(Paths!$P$358="Complete",IF(IF(Paths!$E$358=0,C3869=0,AND(C3869&gt;0,Paths!$E$358&gt;(C3869-1)*12,Paths!$E$358&lt;=C3869*12)),Paths!$G$358,0),"n.a."))</f>
        <v>0</v>
      </c>
      <c r="J3869" s="16">
        <f>IF(NOT(Paths!$C$358=1),0,IF(Paths!$P$358="Complete",IF(IF(Paths!$E$358=0,C3869=0,AND(C3869&gt;0,Paths!$E$358&gt;(C3869-1)*12,Paths!$E$358&lt;=C3869*12)),Paths!$H$358,0),"n.a."))</f>
        <v>0</v>
      </c>
      <c r="K3869" s="16">
        <f>IF(NOT(Paths!$C$358=1),0,IF(Paths!$P$358="Complete",IF(IF(Paths!$O$358=0,C3869=0,AND(C3869&gt;0,Paths!$O$358&gt;(C3869-1)*12,Paths!$O$358&lt;=C3869*12)),Paths!$N$358,0),"n.a."))</f>
        <v>0</v>
      </c>
      <c r="L3869" s="16">
        <f>IF(NOT(Paths!$C$358=1),0,IF(Paths!$P$358="Complete",IF(C3869=10,Paths!$I$358,0),"n.a."))</f>
        <v>0</v>
      </c>
      <c r="M3869" s="16">
        <f>IF(NOT(Paths!$C$358=1),0,IF(Paths!$P$358="Complete",IF(AND(Paths!$D$358="EV",Paths!$E$358&lt;120,Paths!$E$358+'Operating costs'!$B$65&gt;Paths!$E$358,Paths!$E$358+'Operating costs'!$B$65&lt;=120,IF(Paths!$E$358+'Operating costs'!$B$65=0,C3869=0,AND(C3869&gt;0,Paths!$E$358+'Operating costs'!$B$65&gt;(C3869-1)*12,Paths!$E$358+'Operating costs'!$B$65&lt;=C3869*12))),'Operating costs'!$B$64,0)+IF(AND('Operating costs'!$B$67&gt;0,'Operating costs'!$B$67&lt;=120,OR(Paths!$D$358="ICE",'Operating costs'!$B$67&lt;=Paths!$E$358),IF('Operating costs'!$B$67=0,C3869=0,AND(C3869&gt;0,'Operating costs'!$B$67&gt;(C3869-1)*12,'Operating costs'!$B$67&lt;=C3869*12))),'Operating costs'!$B$66,0),"n.a."))</f>
        <v>0</v>
      </c>
      <c r="N3869" s="16">
        <f>IF(NOT(Paths!$C$358=1),0,IF(Paths!$P$358="Complete",SUM(G3869:I3869)-J3869-K3869-L3869+M3869+IF(C3869=0,Paths!$F$358,0)+IF(IF(Paths!$E$358=0,C3869=0,AND(C3869&gt;0,Paths!$E$358&gt;(C3869-1)*12,Paths!$E$358&lt;=C3869*12)),VLOOKUP(A3869,'Fleet register'!$A$7:$S$106,16,FALSE),0),"n.a."))</f>
        <v>0</v>
      </c>
      <c r="O3869" s="16">
        <f>IF(NOT(Paths!$C$358=1),0,IF(Paths!$P$358="Complete",N3869-IF(C3869=0,Paths!$F$358,0),"n.a."))</f>
        <v>0</v>
      </c>
      <c r="P3869" s="16">
        <f>IF(NOT(Paths!$C$358=1),0,IF(Paths!$P$358="Complete",O3869+L3869,"n.a."))</f>
        <v>0</v>
      </c>
      <c r="Q3869" s="16">
        <f>IF(NOT(Paths!$C$358=1),0,IF(Paths!$P$358="Complete",N3869*(1+'Operating costs'!$B$54)^-C3869,"n.a."))</f>
        <v>0</v>
      </c>
      <c r="R3869" s="16">
        <f>IF(NOT(Paths!$C$358=1),0,IF(Paths!$P$358="Complete",IF(AND(C3869=0,Paths!$E$358=0),I3869-J3869-K3869+VLOOKUP(A3869,'Fleet register'!$A$7:$S$106,15,FALSE)+VLOOKUP(A3869,'Fleet register'!$A$7:$S$106,16,FALSE),0),"n.a."))</f>
        <v>0</v>
      </c>
      <c r="S3869" s="1">
        <f>IF(NOT(Paths!$C$358=1),0,IF(Paths!$P$358="Complete",IF(C3869=0,0,Paths!$S$358*Paths!$R$358),"n.a."))</f>
        <v>0</v>
      </c>
      <c r="T3869" s="1">
        <f>IF(NOT(Paths!$C$358=1),0,IF(Paths!$P$358="Complete",IF(C3869=0,0,VLOOKUP(A3869,'Fleet register'!$A$7:$S$106,9,FALSE)*Paths!$R$358),"n.a."))</f>
        <v>0</v>
      </c>
    </row>
    <row r="3870" spans="1:20" ht="24" customHeight="1">
      <c r="A3870" s="1" t="str">
        <f>Paths!$A$358</f>
        <v>T088</v>
      </c>
      <c r="B3870" s="1">
        <f>Paths!$B$358</f>
        <v>3</v>
      </c>
      <c r="C3870" s="1">
        <v>2</v>
      </c>
      <c r="D3870" s="1">
        <v>358</v>
      </c>
      <c r="E3870" s="1">
        <f>IF(OR(Paths!$C$358=0,C3870=0),0,MAX(0,MIN(C3870*12,Paths!$E$358)-(C3870-1)*12))</f>
        <v>0</v>
      </c>
      <c r="F3870" s="1">
        <f>IF(OR(Paths!$C$358=0,C3870=0),0,12-E3870)</f>
        <v>0</v>
      </c>
      <c r="G3870" s="16">
        <f>IF(NOT(Paths!$C$358=1),0,IF(Paths!$P$358="Complete",E3870/12*(Paths!$J$358*(1+'Operating costs'!$B$51)^MAX(0,C3870-1)+Paths!$K$358*(1+'Operating costs'!$B$53)^MAX(0,C3870-1)),"n.a."))</f>
        <v>0</v>
      </c>
      <c r="H3870" s="16">
        <f>IF(NOT(Paths!$C$358=1),0,IF(Paths!$P$358="Complete",F3870/12*(Paths!$L$358*(1+IF(Paths!$D$358="EV",'Operating costs'!$B$52,'Operating costs'!$B$51))^MAX(0,C3870-1)+Paths!$M$358*(1+'Operating costs'!$B$53)^MAX(0,C3870-1)),"n.a."))</f>
        <v>0</v>
      </c>
      <c r="I3870" s="16">
        <f>IF(NOT(Paths!$C$358=1),0,IF(Paths!$P$358="Complete",IF(IF(Paths!$E$358=0,C3870=0,AND(C3870&gt;0,Paths!$E$358&gt;(C3870-1)*12,Paths!$E$358&lt;=C3870*12)),Paths!$G$358,0),"n.a."))</f>
        <v>0</v>
      </c>
      <c r="J3870" s="16">
        <f>IF(NOT(Paths!$C$358=1),0,IF(Paths!$P$358="Complete",IF(IF(Paths!$E$358=0,C3870=0,AND(C3870&gt;0,Paths!$E$358&gt;(C3870-1)*12,Paths!$E$358&lt;=C3870*12)),Paths!$H$358,0),"n.a."))</f>
        <v>0</v>
      </c>
      <c r="K3870" s="16">
        <f>IF(NOT(Paths!$C$358=1),0,IF(Paths!$P$358="Complete",IF(IF(Paths!$O$358=0,C3870=0,AND(C3870&gt;0,Paths!$O$358&gt;(C3870-1)*12,Paths!$O$358&lt;=C3870*12)),Paths!$N$358,0),"n.a."))</f>
        <v>0</v>
      </c>
      <c r="L3870" s="16">
        <f>IF(NOT(Paths!$C$358=1),0,IF(Paths!$P$358="Complete",IF(C3870=10,Paths!$I$358,0),"n.a."))</f>
        <v>0</v>
      </c>
      <c r="M3870" s="16">
        <f>IF(NOT(Paths!$C$358=1),0,IF(Paths!$P$358="Complete",IF(AND(Paths!$D$358="EV",Paths!$E$358&lt;120,Paths!$E$358+'Operating costs'!$B$65&gt;Paths!$E$358,Paths!$E$358+'Operating costs'!$B$65&lt;=120,IF(Paths!$E$358+'Operating costs'!$B$65=0,C3870=0,AND(C3870&gt;0,Paths!$E$358+'Operating costs'!$B$65&gt;(C3870-1)*12,Paths!$E$358+'Operating costs'!$B$65&lt;=C3870*12))),'Operating costs'!$B$64,0)+IF(AND('Operating costs'!$B$67&gt;0,'Operating costs'!$B$67&lt;=120,OR(Paths!$D$358="ICE",'Operating costs'!$B$67&lt;=Paths!$E$358),IF('Operating costs'!$B$67=0,C3870=0,AND(C3870&gt;0,'Operating costs'!$B$67&gt;(C3870-1)*12,'Operating costs'!$B$67&lt;=C3870*12))),'Operating costs'!$B$66,0),"n.a."))</f>
        <v>0</v>
      </c>
      <c r="N3870" s="16">
        <f>IF(NOT(Paths!$C$358=1),0,IF(Paths!$P$358="Complete",SUM(G3870:I3870)-J3870-K3870-L3870+M3870+IF(C3870=0,Paths!$F$358,0)+IF(IF(Paths!$E$358=0,C3870=0,AND(C3870&gt;0,Paths!$E$358&gt;(C3870-1)*12,Paths!$E$358&lt;=C3870*12)),VLOOKUP(A3870,'Fleet register'!$A$7:$S$106,16,FALSE),0),"n.a."))</f>
        <v>0</v>
      </c>
      <c r="O3870" s="16">
        <f>IF(NOT(Paths!$C$358=1),0,IF(Paths!$P$358="Complete",N3870-IF(C3870=0,Paths!$F$358,0),"n.a."))</f>
        <v>0</v>
      </c>
      <c r="P3870" s="16">
        <f>IF(NOT(Paths!$C$358=1),0,IF(Paths!$P$358="Complete",O3870+L3870,"n.a."))</f>
        <v>0</v>
      </c>
      <c r="Q3870" s="16">
        <f>IF(NOT(Paths!$C$358=1),0,IF(Paths!$P$358="Complete",N3870*(1+'Operating costs'!$B$54)^-C3870,"n.a."))</f>
        <v>0</v>
      </c>
      <c r="R3870" s="16">
        <f>IF(NOT(Paths!$C$358=1),0,IF(Paths!$P$358="Complete",IF(AND(C3870=0,Paths!$E$358=0),I3870-J3870-K3870+VLOOKUP(A3870,'Fleet register'!$A$7:$S$106,15,FALSE)+VLOOKUP(A3870,'Fleet register'!$A$7:$S$106,16,FALSE),0),"n.a."))</f>
        <v>0</v>
      </c>
      <c r="S3870" s="1">
        <f>IF(NOT(Paths!$C$358=1),0,IF(Paths!$P$358="Complete",IF(C3870=0,0,Paths!$S$358*Paths!$R$358),"n.a."))</f>
        <v>0</v>
      </c>
      <c r="T3870" s="1">
        <f>IF(NOT(Paths!$C$358=1),0,IF(Paths!$P$358="Complete",IF(C3870=0,0,VLOOKUP(A3870,'Fleet register'!$A$7:$S$106,9,FALSE)*Paths!$R$358),"n.a."))</f>
        <v>0</v>
      </c>
    </row>
    <row r="3871" spans="1:20" ht="24" customHeight="1">
      <c r="A3871" s="1" t="str">
        <f>Paths!$A$358</f>
        <v>T088</v>
      </c>
      <c r="B3871" s="1">
        <f>Paths!$B$358</f>
        <v>3</v>
      </c>
      <c r="C3871" s="1">
        <v>3</v>
      </c>
      <c r="D3871" s="1">
        <v>358</v>
      </c>
      <c r="E3871" s="1">
        <f>IF(OR(Paths!$C$358=0,C3871=0),0,MAX(0,MIN(C3871*12,Paths!$E$358)-(C3871-1)*12))</f>
        <v>0</v>
      </c>
      <c r="F3871" s="1">
        <f>IF(OR(Paths!$C$358=0,C3871=0),0,12-E3871)</f>
        <v>0</v>
      </c>
      <c r="G3871" s="16">
        <f>IF(NOT(Paths!$C$358=1),0,IF(Paths!$P$358="Complete",E3871/12*(Paths!$J$358*(1+'Operating costs'!$B$51)^MAX(0,C3871-1)+Paths!$K$358*(1+'Operating costs'!$B$53)^MAX(0,C3871-1)),"n.a."))</f>
        <v>0</v>
      </c>
      <c r="H3871" s="16">
        <f>IF(NOT(Paths!$C$358=1),0,IF(Paths!$P$358="Complete",F3871/12*(Paths!$L$358*(1+IF(Paths!$D$358="EV",'Operating costs'!$B$52,'Operating costs'!$B$51))^MAX(0,C3871-1)+Paths!$M$358*(1+'Operating costs'!$B$53)^MAX(0,C3871-1)),"n.a."))</f>
        <v>0</v>
      </c>
      <c r="I3871" s="16">
        <f>IF(NOT(Paths!$C$358=1),0,IF(Paths!$P$358="Complete",IF(IF(Paths!$E$358=0,C3871=0,AND(C3871&gt;0,Paths!$E$358&gt;(C3871-1)*12,Paths!$E$358&lt;=C3871*12)),Paths!$G$358,0),"n.a."))</f>
        <v>0</v>
      </c>
      <c r="J3871" s="16">
        <f>IF(NOT(Paths!$C$358=1),0,IF(Paths!$P$358="Complete",IF(IF(Paths!$E$358=0,C3871=0,AND(C3871&gt;0,Paths!$E$358&gt;(C3871-1)*12,Paths!$E$358&lt;=C3871*12)),Paths!$H$358,0),"n.a."))</f>
        <v>0</v>
      </c>
      <c r="K3871" s="16">
        <f>IF(NOT(Paths!$C$358=1),0,IF(Paths!$P$358="Complete",IF(IF(Paths!$O$358=0,C3871=0,AND(C3871&gt;0,Paths!$O$358&gt;(C3871-1)*12,Paths!$O$358&lt;=C3871*12)),Paths!$N$358,0),"n.a."))</f>
        <v>0</v>
      </c>
      <c r="L3871" s="16">
        <f>IF(NOT(Paths!$C$358=1),0,IF(Paths!$P$358="Complete",IF(C3871=10,Paths!$I$358,0),"n.a."))</f>
        <v>0</v>
      </c>
      <c r="M3871" s="16">
        <f>IF(NOT(Paths!$C$358=1),0,IF(Paths!$P$358="Complete",IF(AND(Paths!$D$358="EV",Paths!$E$358&lt;120,Paths!$E$358+'Operating costs'!$B$65&gt;Paths!$E$358,Paths!$E$358+'Operating costs'!$B$65&lt;=120,IF(Paths!$E$358+'Operating costs'!$B$65=0,C3871=0,AND(C3871&gt;0,Paths!$E$358+'Operating costs'!$B$65&gt;(C3871-1)*12,Paths!$E$358+'Operating costs'!$B$65&lt;=C3871*12))),'Operating costs'!$B$64,0)+IF(AND('Operating costs'!$B$67&gt;0,'Operating costs'!$B$67&lt;=120,OR(Paths!$D$358="ICE",'Operating costs'!$B$67&lt;=Paths!$E$358),IF('Operating costs'!$B$67=0,C3871=0,AND(C3871&gt;0,'Operating costs'!$B$67&gt;(C3871-1)*12,'Operating costs'!$B$67&lt;=C3871*12))),'Operating costs'!$B$66,0),"n.a."))</f>
        <v>0</v>
      </c>
      <c r="N3871" s="16">
        <f>IF(NOT(Paths!$C$358=1),0,IF(Paths!$P$358="Complete",SUM(G3871:I3871)-J3871-K3871-L3871+M3871+IF(C3871=0,Paths!$F$358,0)+IF(IF(Paths!$E$358=0,C3871=0,AND(C3871&gt;0,Paths!$E$358&gt;(C3871-1)*12,Paths!$E$358&lt;=C3871*12)),VLOOKUP(A3871,'Fleet register'!$A$7:$S$106,16,FALSE),0),"n.a."))</f>
        <v>0</v>
      </c>
      <c r="O3871" s="16">
        <f>IF(NOT(Paths!$C$358=1),0,IF(Paths!$P$358="Complete",N3871-IF(C3871=0,Paths!$F$358,0),"n.a."))</f>
        <v>0</v>
      </c>
      <c r="P3871" s="16">
        <f>IF(NOT(Paths!$C$358=1),0,IF(Paths!$P$358="Complete",O3871+L3871,"n.a."))</f>
        <v>0</v>
      </c>
      <c r="Q3871" s="16">
        <f>IF(NOT(Paths!$C$358=1),0,IF(Paths!$P$358="Complete",N3871*(1+'Operating costs'!$B$54)^-C3871,"n.a."))</f>
        <v>0</v>
      </c>
      <c r="R3871" s="16">
        <f>IF(NOT(Paths!$C$358=1),0,IF(Paths!$P$358="Complete",IF(AND(C3871=0,Paths!$E$358=0),I3871-J3871-K3871+VLOOKUP(A3871,'Fleet register'!$A$7:$S$106,15,FALSE)+VLOOKUP(A3871,'Fleet register'!$A$7:$S$106,16,FALSE),0),"n.a."))</f>
        <v>0</v>
      </c>
      <c r="S3871" s="1">
        <f>IF(NOT(Paths!$C$358=1),0,IF(Paths!$P$358="Complete",IF(C3871=0,0,Paths!$S$358*Paths!$R$358),"n.a."))</f>
        <v>0</v>
      </c>
      <c r="T3871" s="1">
        <f>IF(NOT(Paths!$C$358=1),0,IF(Paths!$P$358="Complete",IF(C3871=0,0,VLOOKUP(A3871,'Fleet register'!$A$7:$S$106,9,FALSE)*Paths!$R$358),"n.a."))</f>
        <v>0</v>
      </c>
    </row>
    <row r="3872" spans="1:20" ht="24" customHeight="1">
      <c r="A3872" s="1" t="str">
        <f>Paths!$A$358</f>
        <v>T088</v>
      </c>
      <c r="B3872" s="1">
        <f>Paths!$B$358</f>
        <v>3</v>
      </c>
      <c r="C3872" s="1">
        <v>4</v>
      </c>
      <c r="D3872" s="1">
        <v>358</v>
      </c>
      <c r="E3872" s="1">
        <f>IF(OR(Paths!$C$358=0,C3872=0),0,MAX(0,MIN(C3872*12,Paths!$E$358)-(C3872-1)*12))</f>
        <v>0</v>
      </c>
      <c r="F3872" s="1">
        <f>IF(OR(Paths!$C$358=0,C3872=0),0,12-E3872)</f>
        <v>0</v>
      </c>
      <c r="G3872" s="16">
        <f>IF(NOT(Paths!$C$358=1),0,IF(Paths!$P$358="Complete",E3872/12*(Paths!$J$358*(1+'Operating costs'!$B$51)^MAX(0,C3872-1)+Paths!$K$358*(1+'Operating costs'!$B$53)^MAX(0,C3872-1)),"n.a."))</f>
        <v>0</v>
      </c>
      <c r="H3872" s="16">
        <f>IF(NOT(Paths!$C$358=1),0,IF(Paths!$P$358="Complete",F3872/12*(Paths!$L$358*(1+IF(Paths!$D$358="EV",'Operating costs'!$B$52,'Operating costs'!$B$51))^MAX(0,C3872-1)+Paths!$M$358*(1+'Operating costs'!$B$53)^MAX(0,C3872-1)),"n.a."))</f>
        <v>0</v>
      </c>
      <c r="I3872" s="16">
        <f>IF(NOT(Paths!$C$358=1),0,IF(Paths!$P$358="Complete",IF(IF(Paths!$E$358=0,C3872=0,AND(C3872&gt;0,Paths!$E$358&gt;(C3872-1)*12,Paths!$E$358&lt;=C3872*12)),Paths!$G$358,0),"n.a."))</f>
        <v>0</v>
      </c>
      <c r="J3872" s="16">
        <f>IF(NOT(Paths!$C$358=1),0,IF(Paths!$P$358="Complete",IF(IF(Paths!$E$358=0,C3872=0,AND(C3872&gt;0,Paths!$E$358&gt;(C3872-1)*12,Paths!$E$358&lt;=C3872*12)),Paths!$H$358,0),"n.a."))</f>
        <v>0</v>
      </c>
      <c r="K3872" s="16">
        <f>IF(NOT(Paths!$C$358=1),0,IF(Paths!$P$358="Complete",IF(IF(Paths!$O$358=0,C3872=0,AND(C3872&gt;0,Paths!$O$358&gt;(C3872-1)*12,Paths!$O$358&lt;=C3872*12)),Paths!$N$358,0),"n.a."))</f>
        <v>0</v>
      </c>
      <c r="L3872" s="16">
        <f>IF(NOT(Paths!$C$358=1),0,IF(Paths!$P$358="Complete",IF(C3872=10,Paths!$I$358,0),"n.a."))</f>
        <v>0</v>
      </c>
      <c r="M3872" s="16">
        <f>IF(NOT(Paths!$C$358=1),0,IF(Paths!$P$358="Complete",IF(AND(Paths!$D$358="EV",Paths!$E$358&lt;120,Paths!$E$358+'Operating costs'!$B$65&gt;Paths!$E$358,Paths!$E$358+'Operating costs'!$B$65&lt;=120,IF(Paths!$E$358+'Operating costs'!$B$65=0,C3872=0,AND(C3872&gt;0,Paths!$E$358+'Operating costs'!$B$65&gt;(C3872-1)*12,Paths!$E$358+'Operating costs'!$B$65&lt;=C3872*12))),'Operating costs'!$B$64,0)+IF(AND('Operating costs'!$B$67&gt;0,'Operating costs'!$B$67&lt;=120,OR(Paths!$D$358="ICE",'Operating costs'!$B$67&lt;=Paths!$E$358),IF('Operating costs'!$B$67=0,C3872=0,AND(C3872&gt;0,'Operating costs'!$B$67&gt;(C3872-1)*12,'Operating costs'!$B$67&lt;=C3872*12))),'Operating costs'!$B$66,0),"n.a."))</f>
        <v>0</v>
      </c>
      <c r="N3872" s="16">
        <f>IF(NOT(Paths!$C$358=1),0,IF(Paths!$P$358="Complete",SUM(G3872:I3872)-J3872-K3872-L3872+M3872+IF(C3872=0,Paths!$F$358,0)+IF(IF(Paths!$E$358=0,C3872=0,AND(C3872&gt;0,Paths!$E$358&gt;(C3872-1)*12,Paths!$E$358&lt;=C3872*12)),VLOOKUP(A3872,'Fleet register'!$A$7:$S$106,16,FALSE),0),"n.a."))</f>
        <v>0</v>
      </c>
      <c r="O3872" s="16">
        <f>IF(NOT(Paths!$C$358=1),0,IF(Paths!$P$358="Complete",N3872-IF(C3872=0,Paths!$F$358,0),"n.a."))</f>
        <v>0</v>
      </c>
      <c r="P3872" s="16">
        <f>IF(NOT(Paths!$C$358=1),0,IF(Paths!$P$358="Complete",O3872+L3872,"n.a."))</f>
        <v>0</v>
      </c>
      <c r="Q3872" s="16">
        <f>IF(NOT(Paths!$C$358=1),0,IF(Paths!$P$358="Complete",N3872*(1+'Operating costs'!$B$54)^-C3872,"n.a."))</f>
        <v>0</v>
      </c>
      <c r="R3872" s="16">
        <f>IF(NOT(Paths!$C$358=1),0,IF(Paths!$P$358="Complete",IF(AND(C3872=0,Paths!$E$358=0),I3872-J3872-K3872+VLOOKUP(A3872,'Fleet register'!$A$7:$S$106,15,FALSE)+VLOOKUP(A3872,'Fleet register'!$A$7:$S$106,16,FALSE),0),"n.a."))</f>
        <v>0</v>
      </c>
      <c r="S3872" s="1">
        <f>IF(NOT(Paths!$C$358=1),0,IF(Paths!$P$358="Complete",IF(C3872=0,0,Paths!$S$358*Paths!$R$358),"n.a."))</f>
        <v>0</v>
      </c>
      <c r="T3872" s="1">
        <f>IF(NOT(Paths!$C$358=1),0,IF(Paths!$P$358="Complete",IF(C3872=0,0,VLOOKUP(A3872,'Fleet register'!$A$7:$S$106,9,FALSE)*Paths!$R$358),"n.a."))</f>
        <v>0</v>
      </c>
    </row>
    <row r="3873" spans="1:20" ht="24" customHeight="1">
      <c r="A3873" s="1" t="str">
        <f>Paths!$A$358</f>
        <v>T088</v>
      </c>
      <c r="B3873" s="1">
        <f>Paths!$B$358</f>
        <v>3</v>
      </c>
      <c r="C3873" s="1">
        <v>5</v>
      </c>
      <c r="D3873" s="1">
        <v>358</v>
      </c>
      <c r="E3873" s="1">
        <f>IF(OR(Paths!$C$358=0,C3873=0),0,MAX(0,MIN(C3873*12,Paths!$E$358)-(C3873-1)*12))</f>
        <v>0</v>
      </c>
      <c r="F3873" s="1">
        <f>IF(OR(Paths!$C$358=0,C3873=0),0,12-E3873)</f>
        <v>0</v>
      </c>
      <c r="G3873" s="16">
        <f>IF(NOT(Paths!$C$358=1),0,IF(Paths!$P$358="Complete",E3873/12*(Paths!$J$358*(1+'Operating costs'!$B$51)^MAX(0,C3873-1)+Paths!$K$358*(1+'Operating costs'!$B$53)^MAX(0,C3873-1)),"n.a."))</f>
        <v>0</v>
      </c>
      <c r="H3873" s="16">
        <f>IF(NOT(Paths!$C$358=1),0,IF(Paths!$P$358="Complete",F3873/12*(Paths!$L$358*(1+IF(Paths!$D$358="EV",'Operating costs'!$B$52,'Operating costs'!$B$51))^MAX(0,C3873-1)+Paths!$M$358*(1+'Operating costs'!$B$53)^MAX(0,C3873-1)),"n.a."))</f>
        <v>0</v>
      </c>
      <c r="I3873" s="16">
        <f>IF(NOT(Paths!$C$358=1),0,IF(Paths!$P$358="Complete",IF(IF(Paths!$E$358=0,C3873=0,AND(C3873&gt;0,Paths!$E$358&gt;(C3873-1)*12,Paths!$E$358&lt;=C3873*12)),Paths!$G$358,0),"n.a."))</f>
        <v>0</v>
      </c>
      <c r="J3873" s="16">
        <f>IF(NOT(Paths!$C$358=1),0,IF(Paths!$P$358="Complete",IF(IF(Paths!$E$358=0,C3873=0,AND(C3873&gt;0,Paths!$E$358&gt;(C3873-1)*12,Paths!$E$358&lt;=C3873*12)),Paths!$H$358,0),"n.a."))</f>
        <v>0</v>
      </c>
      <c r="K3873" s="16">
        <f>IF(NOT(Paths!$C$358=1),0,IF(Paths!$P$358="Complete",IF(IF(Paths!$O$358=0,C3873=0,AND(C3873&gt;0,Paths!$O$358&gt;(C3873-1)*12,Paths!$O$358&lt;=C3873*12)),Paths!$N$358,0),"n.a."))</f>
        <v>0</v>
      </c>
      <c r="L3873" s="16">
        <f>IF(NOT(Paths!$C$358=1),0,IF(Paths!$P$358="Complete",IF(C3873=10,Paths!$I$358,0),"n.a."))</f>
        <v>0</v>
      </c>
      <c r="M3873" s="16">
        <f>IF(NOT(Paths!$C$358=1),0,IF(Paths!$P$358="Complete",IF(AND(Paths!$D$358="EV",Paths!$E$358&lt;120,Paths!$E$358+'Operating costs'!$B$65&gt;Paths!$E$358,Paths!$E$358+'Operating costs'!$B$65&lt;=120,IF(Paths!$E$358+'Operating costs'!$B$65=0,C3873=0,AND(C3873&gt;0,Paths!$E$358+'Operating costs'!$B$65&gt;(C3873-1)*12,Paths!$E$358+'Operating costs'!$B$65&lt;=C3873*12))),'Operating costs'!$B$64,0)+IF(AND('Operating costs'!$B$67&gt;0,'Operating costs'!$B$67&lt;=120,OR(Paths!$D$358="ICE",'Operating costs'!$B$67&lt;=Paths!$E$358),IF('Operating costs'!$B$67=0,C3873=0,AND(C3873&gt;0,'Operating costs'!$B$67&gt;(C3873-1)*12,'Operating costs'!$B$67&lt;=C3873*12))),'Operating costs'!$B$66,0),"n.a."))</f>
        <v>0</v>
      </c>
      <c r="N3873" s="16">
        <f>IF(NOT(Paths!$C$358=1),0,IF(Paths!$P$358="Complete",SUM(G3873:I3873)-J3873-K3873-L3873+M3873+IF(C3873=0,Paths!$F$358,0)+IF(IF(Paths!$E$358=0,C3873=0,AND(C3873&gt;0,Paths!$E$358&gt;(C3873-1)*12,Paths!$E$358&lt;=C3873*12)),VLOOKUP(A3873,'Fleet register'!$A$7:$S$106,16,FALSE),0),"n.a."))</f>
        <v>0</v>
      </c>
      <c r="O3873" s="16">
        <f>IF(NOT(Paths!$C$358=1),0,IF(Paths!$P$358="Complete",N3873-IF(C3873=0,Paths!$F$358,0),"n.a."))</f>
        <v>0</v>
      </c>
      <c r="P3873" s="16">
        <f>IF(NOT(Paths!$C$358=1),0,IF(Paths!$P$358="Complete",O3873+L3873,"n.a."))</f>
        <v>0</v>
      </c>
      <c r="Q3873" s="16">
        <f>IF(NOT(Paths!$C$358=1),0,IF(Paths!$P$358="Complete",N3873*(1+'Operating costs'!$B$54)^-C3873,"n.a."))</f>
        <v>0</v>
      </c>
      <c r="R3873" s="16">
        <f>IF(NOT(Paths!$C$358=1),0,IF(Paths!$P$358="Complete",IF(AND(C3873=0,Paths!$E$358=0),I3873-J3873-K3873+VLOOKUP(A3873,'Fleet register'!$A$7:$S$106,15,FALSE)+VLOOKUP(A3873,'Fleet register'!$A$7:$S$106,16,FALSE),0),"n.a."))</f>
        <v>0</v>
      </c>
      <c r="S3873" s="1">
        <f>IF(NOT(Paths!$C$358=1),0,IF(Paths!$P$358="Complete",IF(C3873=0,0,Paths!$S$358*Paths!$R$358),"n.a."))</f>
        <v>0</v>
      </c>
      <c r="T3873" s="1">
        <f>IF(NOT(Paths!$C$358=1),0,IF(Paths!$P$358="Complete",IF(C3873=0,0,VLOOKUP(A3873,'Fleet register'!$A$7:$S$106,9,FALSE)*Paths!$R$358),"n.a."))</f>
        <v>0</v>
      </c>
    </row>
    <row r="3874" spans="1:20" ht="24" customHeight="1">
      <c r="A3874" s="1" t="str">
        <f>Paths!$A$358</f>
        <v>T088</v>
      </c>
      <c r="B3874" s="1">
        <f>Paths!$B$358</f>
        <v>3</v>
      </c>
      <c r="C3874" s="1">
        <v>6</v>
      </c>
      <c r="D3874" s="1">
        <v>358</v>
      </c>
      <c r="E3874" s="1">
        <f>IF(OR(Paths!$C$358=0,C3874=0),0,MAX(0,MIN(C3874*12,Paths!$E$358)-(C3874-1)*12))</f>
        <v>0</v>
      </c>
      <c r="F3874" s="1">
        <f>IF(OR(Paths!$C$358=0,C3874=0),0,12-E3874)</f>
        <v>0</v>
      </c>
      <c r="G3874" s="16">
        <f>IF(NOT(Paths!$C$358=1),0,IF(Paths!$P$358="Complete",E3874/12*(Paths!$J$358*(1+'Operating costs'!$B$51)^MAX(0,C3874-1)+Paths!$K$358*(1+'Operating costs'!$B$53)^MAX(0,C3874-1)),"n.a."))</f>
        <v>0</v>
      </c>
      <c r="H3874" s="16">
        <f>IF(NOT(Paths!$C$358=1),0,IF(Paths!$P$358="Complete",F3874/12*(Paths!$L$358*(1+IF(Paths!$D$358="EV",'Operating costs'!$B$52,'Operating costs'!$B$51))^MAX(0,C3874-1)+Paths!$M$358*(1+'Operating costs'!$B$53)^MAX(0,C3874-1)),"n.a."))</f>
        <v>0</v>
      </c>
      <c r="I3874" s="16">
        <f>IF(NOT(Paths!$C$358=1),0,IF(Paths!$P$358="Complete",IF(IF(Paths!$E$358=0,C3874=0,AND(C3874&gt;0,Paths!$E$358&gt;(C3874-1)*12,Paths!$E$358&lt;=C3874*12)),Paths!$G$358,0),"n.a."))</f>
        <v>0</v>
      </c>
      <c r="J3874" s="16">
        <f>IF(NOT(Paths!$C$358=1),0,IF(Paths!$P$358="Complete",IF(IF(Paths!$E$358=0,C3874=0,AND(C3874&gt;0,Paths!$E$358&gt;(C3874-1)*12,Paths!$E$358&lt;=C3874*12)),Paths!$H$358,0),"n.a."))</f>
        <v>0</v>
      </c>
      <c r="K3874" s="16">
        <f>IF(NOT(Paths!$C$358=1),0,IF(Paths!$P$358="Complete",IF(IF(Paths!$O$358=0,C3874=0,AND(C3874&gt;0,Paths!$O$358&gt;(C3874-1)*12,Paths!$O$358&lt;=C3874*12)),Paths!$N$358,0),"n.a."))</f>
        <v>0</v>
      </c>
      <c r="L3874" s="16">
        <f>IF(NOT(Paths!$C$358=1),0,IF(Paths!$P$358="Complete",IF(C3874=10,Paths!$I$358,0),"n.a."))</f>
        <v>0</v>
      </c>
      <c r="M3874" s="16">
        <f>IF(NOT(Paths!$C$358=1),0,IF(Paths!$P$358="Complete",IF(AND(Paths!$D$358="EV",Paths!$E$358&lt;120,Paths!$E$358+'Operating costs'!$B$65&gt;Paths!$E$358,Paths!$E$358+'Operating costs'!$B$65&lt;=120,IF(Paths!$E$358+'Operating costs'!$B$65=0,C3874=0,AND(C3874&gt;0,Paths!$E$358+'Operating costs'!$B$65&gt;(C3874-1)*12,Paths!$E$358+'Operating costs'!$B$65&lt;=C3874*12))),'Operating costs'!$B$64,0)+IF(AND('Operating costs'!$B$67&gt;0,'Operating costs'!$B$67&lt;=120,OR(Paths!$D$358="ICE",'Operating costs'!$B$67&lt;=Paths!$E$358),IF('Operating costs'!$B$67=0,C3874=0,AND(C3874&gt;0,'Operating costs'!$B$67&gt;(C3874-1)*12,'Operating costs'!$B$67&lt;=C3874*12))),'Operating costs'!$B$66,0),"n.a."))</f>
        <v>0</v>
      </c>
      <c r="N3874" s="16">
        <f>IF(NOT(Paths!$C$358=1),0,IF(Paths!$P$358="Complete",SUM(G3874:I3874)-J3874-K3874-L3874+M3874+IF(C3874=0,Paths!$F$358,0)+IF(IF(Paths!$E$358=0,C3874=0,AND(C3874&gt;0,Paths!$E$358&gt;(C3874-1)*12,Paths!$E$358&lt;=C3874*12)),VLOOKUP(A3874,'Fleet register'!$A$7:$S$106,16,FALSE),0),"n.a."))</f>
        <v>0</v>
      </c>
      <c r="O3874" s="16">
        <f>IF(NOT(Paths!$C$358=1),0,IF(Paths!$P$358="Complete",N3874-IF(C3874=0,Paths!$F$358,0),"n.a."))</f>
        <v>0</v>
      </c>
      <c r="P3874" s="16">
        <f>IF(NOT(Paths!$C$358=1),0,IF(Paths!$P$358="Complete",O3874+L3874,"n.a."))</f>
        <v>0</v>
      </c>
      <c r="Q3874" s="16">
        <f>IF(NOT(Paths!$C$358=1),0,IF(Paths!$P$358="Complete",N3874*(1+'Operating costs'!$B$54)^-C3874,"n.a."))</f>
        <v>0</v>
      </c>
      <c r="R3874" s="16">
        <f>IF(NOT(Paths!$C$358=1),0,IF(Paths!$P$358="Complete",IF(AND(C3874=0,Paths!$E$358=0),I3874-J3874-K3874+VLOOKUP(A3874,'Fleet register'!$A$7:$S$106,15,FALSE)+VLOOKUP(A3874,'Fleet register'!$A$7:$S$106,16,FALSE),0),"n.a."))</f>
        <v>0</v>
      </c>
      <c r="S3874" s="1">
        <f>IF(NOT(Paths!$C$358=1),0,IF(Paths!$P$358="Complete",IF(C3874=0,0,Paths!$S$358*Paths!$R$358),"n.a."))</f>
        <v>0</v>
      </c>
      <c r="T3874" s="1">
        <f>IF(NOT(Paths!$C$358=1),0,IF(Paths!$P$358="Complete",IF(C3874=0,0,VLOOKUP(A3874,'Fleet register'!$A$7:$S$106,9,FALSE)*Paths!$R$358),"n.a."))</f>
        <v>0</v>
      </c>
    </row>
    <row r="3875" spans="1:20" ht="24" customHeight="1">
      <c r="A3875" s="1" t="str">
        <f>Paths!$A$358</f>
        <v>T088</v>
      </c>
      <c r="B3875" s="1">
        <f>Paths!$B$358</f>
        <v>3</v>
      </c>
      <c r="C3875" s="1">
        <v>7</v>
      </c>
      <c r="D3875" s="1">
        <v>358</v>
      </c>
      <c r="E3875" s="1">
        <f>IF(OR(Paths!$C$358=0,C3875=0),0,MAX(0,MIN(C3875*12,Paths!$E$358)-(C3875-1)*12))</f>
        <v>0</v>
      </c>
      <c r="F3875" s="1">
        <f>IF(OR(Paths!$C$358=0,C3875=0),0,12-E3875)</f>
        <v>0</v>
      </c>
      <c r="G3875" s="16">
        <f>IF(NOT(Paths!$C$358=1),0,IF(Paths!$P$358="Complete",E3875/12*(Paths!$J$358*(1+'Operating costs'!$B$51)^MAX(0,C3875-1)+Paths!$K$358*(1+'Operating costs'!$B$53)^MAX(0,C3875-1)),"n.a."))</f>
        <v>0</v>
      </c>
      <c r="H3875" s="16">
        <f>IF(NOT(Paths!$C$358=1),0,IF(Paths!$P$358="Complete",F3875/12*(Paths!$L$358*(1+IF(Paths!$D$358="EV",'Operating costs'!$B$52,'Operating costs'!$B$51))^MAX(0,C3875-1)+Paths!$M$358*(1+'Operating costs'!$B$53)^MAX(0,C3875-1)),"n.a."))</f>
        <v>0</v>
      </c>
      <c r="I3875" s="16">
        <f>IF(NOT(Paths!$C$358=1),0,IF(Paths!$P$358="Complete",IF(IF(Paths!$E$358=0,C3875=0,AND(C3875&gt;0,Paths!$E$358&gt;(C3875-1)*12,Paths!$E$358&lt;=C3875*12)),Paths!$G$358,0),"n.a."))</f>
        <v>0</v>
      </c>
      <c r="J3875" s="16">
        <f>IF(NOT(Paths!$C$358=1),0,IF(Paths!$P$358="Complete",IF(IF(Paths!$E$358=0,C3875=0,AND(C3875&gt;0,Paths!$E$358&gt;(C3875-1)*12,Paths!$E$358&lt;=C3875*12)),Paths!$H$358,0),"n.a."))</f>
        <v>0</v>
      </c>
      <c r="K3875" s="16">
        <f>IF(NOT(Paths!$C$358=1),0,IF(Paths!$P$358="Complete",IF(IF(Paths!$O$358=0,C3875=0,AND(C3875&gt;0,Paths!$O$358&gt;(C3875-1)*12,Paths!$O$358&lt;=C3875*12)),Paths!$N$358,0),"n.a."))</f>
        <v>0</v>
      </c>
      <c r="L3875" s="16">
        <f>IF(NOT(Paths!$C$358=1),0,IF(Paths!$P$358="Complete",IF(C3875=10,Paths!$I$358,0),"n.a."))</f>
        <v>0</v>
      </c>
      <c r="M3875" s="16">
        <f>IF(NOT(Paths!$C$358=1),0,IF(Paths!$P$358="Complete",IF(AND(Paths!$D$358="EV",Paths!$E$358&lt;120,Paths!$E$358+'Operating costs'!$B$65&gt;Paths!$E$358,Paths!$E$358+'Operating costs'!$B$65&lt;=120,IF(Paths!$E$358+'Operating costs'!$B$65=0,C3875=0,AND(C3875&gt;0,Paths!$E$358+'Operating costs'!$B$65&gt;(C3875-1)*12,Paths!$E$358+'Operating costs'!$B$65&lt;=C3875*12))),'Operating costs'!$B$64,0)+IF(AND('Operating costs'!$B$67&gt;0,'Operating costs'!$B$67&lt;=120,OR(Paths!$D$358="ICE",'Operating costs'!$B$67&lt;=Paths!$E$358),IF('Operating costs'!$B$67=0,C3875=0,AND(C3875&gt;0,'Operating costs'!$B$67&gt;(C3875-1)*12,'Operating costs'!$B$67&lt;=C3875*12))),'Operating costs'!$B$66,0),"n.a."))</f>
        <v>0</v>
      </c>
      <c r="N3875" s="16">
        <f>IF(NOT(Paths!$C$358=1),0,IF(Paths!$P$358="Complete",SUM(G3875:I3875)-J3875-K3875-L3875+M3875+IF(C3875=0,Paths!$F$358,0)+IF(IF(Paths!$E$358=0,C3875=0,AND(C3875&gt;0,Paths!$E$358&gt;(C3875-1)*12,Paths!$E$358&lt;=C3875*12)),VLOOKUP(A3875,'Fleet register'!$A$7:$S$106,16,FALSE),0),"n.a."))</f>
        <v>0</v>
      </c>
      <c r="O3875" s="16">
        <f>IF(NOT(Paths!$C$358=1),0,IF(Paths!$P$358="Complete",N3875-IF(C3875=0,Paths!$F$358,0),"n.a."))</f>
        <v>0</v>
      </c>
      <c r="P3875" s="16">
        <f>IF(NOT(Paths!$C$358=1),0,IF(Paths!$P$358="Complete",O3875+L3875,"n.a."))</f>
        <v>0</v>
      </c>
      <c r="Q3875" s="16">
        <f>IF(NOT(Paths!$C$358=1),0,IF(Paths!$P$358="Complete",N3875*(1+'Operating costs'!$B$54)^-C3875,"n.a."))</f>
        <v>0</v>
      </c>
      <c r="R3875" s="16">
        <f>IF(NOT(Paths!$C$358=1),0,IF(Paths!$P$358="Complete",IF(AND(C3875=0,Paths!$E$358=0),I3875-J3875-K3875+VLOOKUP(A3875,'Fleet register'!$A$7:$S$106,15,FALSE)+VLOOKUP(A3875,'Fleet register'!$A$7:$S$106,16,FALSE),0),"n.a."))</f>
        <v>0</v>
      </c>
      <c r="S3875" s="1">
        <f>IF(NOT(Paths!$C$358=1),0,IF(Paths!$P$358="Complete",IF(C3875=0,0,Paths!$S$358*Paths!$R$358),"n.a."))</f>
        <v>0</v>
      </c>
      <c r="T3875" s="1">
        <f>IF(NOT(Paths!$C$358=1),0,IF(Paths!$P$358="Complete",IF(C3875=0,0,VLOOKUP(A3875,'Fleet register'!$A$7:$S$106,9,FALSE)*Paths!$R$358),"n.a."))</f>
        <v>0</v>
      </c>
    </row>
    <row r="3876" spans="1:20" ht="24" customHeight="1">
      <c r="A3876" s="1" t="str">
        <f>Paths!$A$358</f>
        <v>T088</v>
      </c>
      <c r="B3876" s="1">
        <f>Paths!$B$358</f>
        <v>3</v>
      </c>
      <c r="C3876" s="1">
        <v>8</v>
      </c>
      <c r="D3876" s="1">
        <v>358</v>
      </c>
      <c r="E3876" s="1">
        <f>IF(OR(Paths!$C$358=0,C3876=0),0,MAX(0,MIN(C3876*12,Paths!$E$358)-(C3876-1)*12))</f>
        <v>0</v>
      </c>
      <c r="F3876" s="1">
        <f>IF(OR(Paths!$C$358=0,C3876=0),0,12-E3876)</f>
        <v>0</v>
      </c>
      <c r="G3876" s="16">
        <f>IF(NOT(Paths!$C$358=1),0,IF(Paths!$P$358="Complete",E3876/12*(Paths!$J$358*(1+'Operating costs'!$B$51)^MAX(0,C3876-1)+Paths!$K$358*(1+'Operating costs'!$B$53)^MAX(0,C3876-1)),"n.a."))</f>
        <v>0</v>
      </c>
      <c r="H3876" s="16">
        <f>IF(NOT(Paths!$C$358=1),0,IF(Paths!$P$358="Complete",F3876/12*(Paths!$L$358*(1+IF(Paths!$D$358="EV",'Operating costs'!$B$52,'Operating costs'!$B$51))^MAX(0,C3876-1)+Paths!$M$358*(1+'Operating costs'!$B$53)^MAX(0,C3876-1)),"n.a."))</f>
        <v>0</v>
      </c>
      <c r="I3876" s="16">
        <f>IF(NOT(Paths!$C$358=1),0,IF(Paths!$P$358="Complete",IF(IF(Paths!$E$358=0,C3876=0,AND(C3876&gt;0,Paths!$E$358&gt;(C3876-1)*12,Paths!$E$358&lt;=C3876*12)),Paths!$G$358,0),"n.a."))</f>
        <v>0</v>
      </c>
      <c r="J3876" s="16">
        <f>IF(NOT(Paths!$C$358=1),0,IF(Paths!$P$358="Complete",IF(IF(Paths!$E$358=0,C3876=0,AND(C3876&gt;0,Paths!$E$358&gt;(C3876-1)*12,Paths!$E$358&lt;=C3876*12)),Paths!$H$358,0),"n.a."))</f>
        <v>0</v>
      </c>
      <c r="K3876" s="16">
        <f>IF(NOT(Paths!$C$358=1),0,IF(Paths!$P$358="Complete",IF(IF(Paths!$O$358=0,C3876=0,AND(C3876&gt;0,Paths!$O$358&gt;(C3876-1)*12,Paths!$O$358&lt;=C3876*12)),Paths!$N$358,0),"n.a."))</f>
        <v>0</v>
      </c>
      <c r="L3876" s="16">
        <f>IF(NOT(Paths!$C$358=1),0,IF(Paths!$P$358="Complete",IF(C3876=10,Paths!$I$358,0),"n.a."))</f>
        <v>0</v>
      </c>
      <c r="M3876" s="16">
        <f>IF(NOT(Paths!$C$358=1),0,IF(Paths!$P$358="Complete",IF(AND(Paths!$D$358="EV",Paths!$E$358&lt;120,Paths!$E$358+'Operating costs'!$B$65&gt;Paths!$E$358,Paths!$E$358+'Operating costs'!$B$65&lt;=120,IF(Paths!$E$358+'Operating costs'!$B$65=0,C3876=0,AND(C3876&gt;0,Paths!$E$358+'Operating costs'!$B$65&gt;(C3876-1)*12,Paths!$E$358+'Operating costs'!$B$65&lt;=C3876*12))),'Operating costs'!$B$64,0)+IF(AND('Operating costs'!$B$67&gt;0,'Operating costs'!$B$67&lt;=120,OR(Paths!$D$358="ICE",'Operating costs'!$B$67&lt;=Paths!$E$358),IF('Operating costs'!$B$67=0,C3876=0,AND(C3876&gt;0,'Operating costs'!$B$67&gt;(C3876-1)*12,'Operating costs'!$B$67&lt;=C3876*12))),'Operating costs'!$B$66,0),"n.a."))</f>
        <v>0</v>
      </c>
      <c r="N3876" s="16">
        <f>IF(NOT(Paths!$C$358=1),0,IF(Paths!$P$358="Complete",SUM(G3876:I3876)-J3876-K3876-L3876+M3876+IF(C3876=0,Paths!$F$358,0)+IF(IF(Paths!$E$358=0,C3876=0,AND(C3876&gt;0,Paths!$E$358&gt;(C3876-1)*12,Paths!$E$358&lt;=C3876*12)),VLOOKUP(A3876,'Fleet register'!$A$7:$S$106,16,FALSE),0),"n.a."))</f>
        <v>0</v>
      </c>
      <c r="O3876" s="16">
        <f>IF(NOT(Paths!$C$358=1),0,IF(Paths!$P$358="Complete",N3876-IF(C3876=0,Paths!$F$358,0),"n.a."))</f>
        <v>0</v>
      </c>
      <c r="P3876" s="16">
        <f>IF(NOT(Paths!$C$358=1),0,IF(Paths!$P$358="Complete",O3876+L3876,"n.a."))</f>
        <v>0</v>
      </c>
      <c r="Q3876" s="16">
        <f>IF(NOT(Paths!$C$358=1),0,IF(Paths!$P$358="Complete",N3876*(1+'Operating costs'!$B$54)^-C3876,"n.a."))</f>
        <v>0</v>
      </c>
      <c r="R3876" s="16">
        <f>IF(NOT(Paths!$C$358=1),0,IF(Paths!$P$358="Complete",IF(AND(C3876=0,Paths!$E$358=0),I3876-J3876-K3876+VLOOKUP(A3876,'Fleet register'!$A$7:$S$106,15,FALSE)+VLOOKUP(A3876,'Fleet register'!$A$7:$S$106,16,FALSE),0),"n.a."))</f>
        <v>0</v>
      </c>
      <c r="S3876" s="1">
        <f>IF(NOT(Paths!$C$358=1),0,IF(Paths!$P$358="Complete",IF(C3876=0,0,Paths!$S$358*Paths!$R$358),"n.a."))</f>
        <v>0</v>
      </c>
      <c r="T3876" s="1">
        <f>IF(NOT(Paths!$C$358=1),0,IF(Paths!$P$358="Complete",IF(C3876=0,0,VLOOKUP(A3876,'Fleet register'!$A$7:$S$106,9,FALSE)*Paths!$R$358),"n.a."))</f>
        <v>0</v>
      </c>
    </row>
    <row r="3877" spans="1:20" ht="24" customHeight="1">
      <c r="A3877" s="1" t="str">
        <f>Paths!$A$358</f>
        <v>T088</v>
      </c>
      <c r="B3877" s="1">
        <f>Paths!$B$358</f>
        <v>3</v>
      </c>
      <c r="C3877" s="1">
        <v>9</v>
      </c>
      <c r="D3877" s="1">
        <v>358</v>
      </c>
      <c r="E3877" s="1">
        <f>IF(OR(Paths!$C$358=0,C3877=0),0,MAX(0,MIN(C3877*12,Paths!$E$358)-(C3877-1)*12))</f>
        <v>0</v>
      </c>
      <c r="F3877" s="1">
        <f>IF(OR(Paths!$C$358=0,C3877=0),0,12-E3877)</f>
        <v>0</v>
      </c>
      <c r="G3877" s="16">
        <f>IF(NOT(Paths!$C$358=1),0,IF(Paths!$P$358="Complete",E3877/12*(Paths!$J$358*(1+'Operating costs'!$B$51)^MAX(0,C3877-1)+Paths!$K$358*(1+'Operating costs'!$B$53)^MAX(0,C3877-1)),"n.a."))</f>
        <v>0</v>
      </c>
      <c r="H3877" s="16">
        <f>IF(NOT(Paths!$C$358=1),0,IF(Paths!$P$358="Complete",F3877/12*(Paths!$L$358*(1+IF(Paths!$D$358="EV",'Operating costs'!$B$52,'Operating costs'!$B$51))^MAX(0,C3877-1)+Paths!$M$358*(1+'Operating costs'!$B$53)^MAX(0,C3877-1)),"n.a."))</f>
        <v>0</v>
      </c>
      <c r="I3877" s="16">
        <f>IF(NOT(Paths!$C$358=1),0,IF(Paths!$P$358="Complete",IF(IF(Paths!$E$358=0,C3877=0,AND(C3877&gt;0,Paths!$E$358&gt;(C3877-1)*12,Paths!$E$358&lt;=C3877*12)),Paths!$G$358,0),"n.a."))</f>
        <v>0</v>
      </c>
      <c r="J3877" s="16">
        <f>IF(NOT(Paths!$C$358=1),0,IF(Paths!$P$358="Complete",IF(IF(Paths!$E$358=0,C3877=0,AND(C3877&gt;0,Paths!$E$358&gt;(C3877-1)*12,Paths!$E$358&lt;=C3877*12)),Paths!$H$358,0),"n.a."))</f>
        <v>0</v>
      </c>
      <c r="K3877" s="16">
        <f>IF(NOT(Paths!$C$358=1),0,IF(Paths!$P$358="Complete",IF(IF(Paths!$O$358=0,C3877=0,AND(C3877&gt;0,Paths!$O$358&gt;(C3877-1)*12,Paths!$O$358&lt;=C3877*12)),Paths!$N$358,0),"n.a."))</f>
        <v>0</v>
      </c>
      <c r="L3877" s="16">
        <f>IF(NOT(Paths!$C$358=1),0,IF(Paths!$P$358="Complete",IF(C3877=10,Paths!$I$358,0),"n.a."))</f>
        <v>0</v>
      </c>
      <c r="M3877" s="16">
        <f>IF(NOT(Paths!$C$358=1),0,IF(Paths!$P$358="Complete",IF(AND(Paths!$D$358="EV",Paths!$E$358&lt;120,Paths!$E$358+'Operating costs'!$B$65&gt;Paths!$E$358,Paths!$E$358+'Operating costs'!$B$65&lt;=120,IF(Paths!$E$358+'Operating costs'!$B$65=0,C3877=0,AND(C3877&gt;0,Paths!$E$358+'Operating costs'!$B$65&gt;(C3877-1)*12,Paths!$E$358+'Operating costs'!$B$65&lt;=C3877*12))),'Operating costs'!$B$64,0)+IF(AND('Operating costs'!$B$67&gt;0,'Operating costs'!$B$67&lt;=120,OR(Paths!$D$358="ICE",'Operating costs'!$B$67&lt;=Paths!$E$358),IF('Operating costs'!$B$67=0,C3877=0,AND(C3877&gt;0,'Operating costs'!$B$67&gt;(C3877-1)*12,'Operating costs'!$B$67&lt;=C3877*12))),'Operating costs'!$B$66,0),"n.a."))</f>
        <v>0</v>
      </c>
      <c r="N3877" s="16">
        <f>IF(NOT(Paths!$C$358=1),0,IF(Paths!$P$358="Complete",SUM(G3877:I3877)-J3877-K3877-L3877+M3877+IF(C3877=0,Paths!$F$358,0)+IF(IF(Paths!$E$358=0,C3877=0,AND(C3877&gt;0,Paths!$E$358&gt;(C3877-1)*12,Paths!$E$358&lt;=C3877*12)),VLOOKUP(A3877,'Fleet register'!$A$7:$S$106,16,FALSE),0),"n.a."))</f>
        <v>0</v>
      </c>
      <c r="O3877" s="16">
        <f>IF(NOT(Paths!$C$358=1),0,IF(Paths!$P$358="Complete",N3877-IF(C3877=0,Paths!$F$358,0),"n.a."))</f>
        <v>0</v>
      </c>
      <c r="P3877" s="16">
        <f>IF(NOT(Paths!$C$358=1),0,IF(Paths!$P$358="Complete",O3877+L3877,"n.a."))</f>
        <v>0</v>
      </c>
      <c r="Q3877" s="16">
        <f>IF(NOT(Paths!$C$358=1),0,IF(Paths!$P$358="Complete",N3877*(1+'Operating costs'!$B$54)^-C3877,"n.a."))</f>
        <v>0</v>
      </c>
      <c r="R3877" s="16">
        <f>IF(NOT(Paths!$C$358=1),0,IF(Paths!$P$358="Complete",IF(AND(C3877=0,Paths!$E$358=0),I3877-J3877-K3877+VLOOKUP(A3877,'Fleet register'!$A$7:$S$106,15,FALSE)+VLOOKUP(A3877,'Fleet register'!$A$7:$S$106,16,FALSE),0),"n.a."))</f>
        <v>0</v>
      </c>
      <c r="S3877" s="1">
        <f>IF(NOT(Paths!$C$358=1),0,IF(Paths!$P$358="Complete",IF(C3877=0,0,Paths!$S$358*Paths!$R$358),"n.a."))</f>
        <v>0</v>
      </c>
      <c r="T3877" s="1">
        <f>IF(NOT(Paths!$C$358=1),0,IF(Paths!$P$358="Complete",IF(C3877=0,0,VLOOKUP(A3877,'Fleet register'!$A$7:$S$106,9,FALSE)*Paths!$R$358),"n.a."))</f>
        <v>0</v>
      </c>
    </row>
    <row r="3878" spans="1:20" ht="24" customHeight="1">
      <c r="A3878" s="1" t="str">
        <f>Paths!$A$358</f>
        <v>T088</v>
      </c>
      <c r="B3878" s="1">
        <f>Paths!$B$358</f>
        <v>3</v>
      </c>
      <c r="C3878" s="1">
        <v>10</v>
      </c>
      <c r="D3878" s="1">
        <v>358</v>
      </c>
      <c r="E3878" s="1">
        <f>IF(OR(Paths!$C$358=0,C3878=0),0,MAX(0,MIN(C3878*12,Paths!$E$358)-(C3878-1)*12))</f>
        <v>0</v>
      </c>
      <c r="F3878" s="1">
        <f>IF(OR(Paths!$C$358=0,C3878=0),0,12-E3878)</f>
        <v>0</v>
      </c>
      <c r="G3878" s="16">
        <f>IF(NOT(Paths!$C$358=1),0,IF(Paths!$P$358="Complete",E3878/12*(Paths!$J$358*(1+'Operating costs'!$B$51)^MAX(0,C3878-1)+Paths!$K$358*(1+'Operating costs'!$B$53)^MAX(0,C3878-1)),"n.a."))</f>
        <v>0</v>
      </c>
      <c r="H3878" s="16">
        <f>IF(NOT(Paths!$C$358=1),0,IF(Paths!$P$358="Complete",F3878/12*(Paths!$L$358*(1+IF(Paths!$D$358="EV",'Operating costs'!$B$52,'Operating costs'!$B$51))^MAX(0,C3878-1)+Paths!$M$358*(1+'Operating costs'!$B$53)^MAX(0,C3878-1)),"n.a."))</f>
        <v>0</v>
      </c>
      <c r="I3878" s="16">
        <f>IF(NOT(Paths!$C$358=1),0,IF(Paths!$P$358="Complete",IF(IF(Paths!$E$358=0,C3878=0,AND(C3878&gt;0,Paths!$E$358&gt;(C3878-1)*12,Paths!$E$358&lt;=C3878*12)),Paths!$G$358,0),"n.a."))</f>
        <v>0</v>
      </c>
      <c r="J3878" s="16">
        <f>IF(NOT(Paths!$C$358=1),0,IF(Paths!$P$358="Complete",IF(IF(Paths!$E$358=0,C3878=0,AND(C3878&gt;0,Paths!$E$358&gt;(C3878-1)*12,Paths!$E$358&lt;=C3878*12)),Paths!$H$358,0),"n.a."))</f>
        <v>0</v>
      </c>
      <c r="K3878" s="16">
        <f>IF(NOT(Paths!$C$358=1),0,IF(Paths!$P$358="Complete",IF(IF(Paths!$O$358=0,C3878=0,AND(C3878&gt;0,Paths!$O$358&gt;(C3878-1)*12,Paths!$O$358&lt;=C3878*12)),Paths!$N$358,0),"n.a."))</f>
        <v>0</v>
      </c>
      <c r="L3878" s="16">
        <f>IF(NOT(Paths!$C$358=1),0,IF(Paths!$P$358="Complete",IF(C3878=10,Paths!$I$358,0),"n.a."))</f>
        <v>0</v>
      </c>
      <c r="M3878" s="16">
        <f>IF(NOT(Paths!$C$358=1),0,IF(Paths!$P$358="Complete",IF(AND(Paths!$D$358="EV",Paths!$E$358&lt;120,Paths!$E$358+'Operating costs'!$B$65&gt;Paths!$E$358,Paths!$E$358+'Operating costs'!$B$65&lt;=120,IF(Paths!$E$358+'Operating costs'!$B$65=0,C3878=0,AND(C3878&gt;0,Paths!$E$358+'Operating costs'!$B$65&gt;(C3878-1)*12,Paths!$E$358+'Operating costs'!$B$65&lt;=C3878*12))),'Operating costs'!$B$64,0)+IF(AND('Operating costs'!$B$67&gt;0,'Operating costs'!$B$67&lt;=120,OR(Paths!$D$358="ICE",'Operating costs'!$B$67&lt;=Paths!$E$358),IF('Operating costs'!$B$67=0,C3878=0,AND(C3878&gt;0,'Operating costs'!$B$67&gt;(C3878-1)*12,'Operating costs'!$B$67&lt;=C3878*12))),'Operating costs'!$B$66,0),"n.a."))</f>
        <v>0</v>
      </c>
      <c r="N3878" s="16">
        <f>IF(NOT(Paths!$C$358=1),0,IF(Paths!$P$358="Complete",SUM(G3878:I3878)-J3878-K3878-L3878+M3878+IF(C3878=0,Paths!$F$358,0)+IF(IF(Paths!$E$358=0,C3878=0,AND(C3878&gt;0,Paths!$E$358&gt;(C3878-1)*12,Paths!$E$358&lt;=C3878*12)),VLOOKUP(A3878,'Fleet register'!$A$7:$S$106,16,FALSE),0),"n.a."))</f>
        <v>0</v>
      </c>
      <c r="O3878" s="16">
        <f>IF(NOT(Paths!$C$358=1),0,IF(Paths!$P$358="Complete",N3878-IF(C3878=0,Paths!$F$358,0),"n.a."))</f>
        <v>0</v>
      </c>
      <c r="P3878" s="16">
        <f>IF(NOT(Paths!$C$358=1),0,IF(Paths!$P$358="Complete",O3878+L3878,"n.a."))</f>
        <v>0</v>
      </c>
      <c r="Q3878" s="16">
        <f>IF(NOT(Paths!$C$358=1),0,IF(Paths!$P$358="Complete",N3878*(1+'Operating costs'!$B$54)^-C3878,"n.a."))</f>
        <v>0</v>
      </c>
      <c r="R3878" s="16">
        <f>IF(NOT(Paths!$C$358=1),0,IF(Paths!$P$358="Complete",IF(AND(C3878=0,Paths!$E$358=0),I3878-J3878-K3878+VLOOKUP(A3878,'Fleet register'!$A$7:$S$106,15,FALSE)+VLOOKUP(A3878,'Fleet register'!$A$7:$S$106,16,FALSE),0),"n.a."))</f>
        <v>0</v>
      </c>
      <c r="S3878" s="1">
        <f>IF(NOT(Paths!$C$358=1),0,IF(Paths!$P$358="Complete",IF(C3878=0,0,Paths!$S$358*Paths!$R$358),"n.a."))</f>
        <v>0</v>
      </c>
      <c r="T3878" s="1">
        <f>IF(NOT(Paths!$C$358=1),0,IF(Paths!$P$358="Complete",IF(C3878=0,0,VLOOKUP(A3878,'Fleet register'!$A$7:$S$106,9,FALSE)*Paths!$R$358),"n.a."))</f>
        <v>0</v>
      </c>
    </row>
    <row r="3879" spans="1:20" ht="24" customHeight="1">
      <c r="A3879" s="1" t="str">
        <f>Paths!$A$359</f>
        <v>T089</v>
      </c>
      <c r="B3879" s="1">
        <f>Paths!$B$359</f>
        <v>0</v>
      </c>
      <c r="C3879" s="1">
        <v>0</v>
      </c>
      <c r="D3879" s="1">
        <v>359</v>
      </c>
      <c r="E3879" s="1">
        <f>IF(OR(Paths!$C$359=0,C3879=0),0,MAX(0,MIN(C3879*12,Paths!$E$359)-(C3879-1)*12))</f>
        <v>0</v>
      </c>
      <c r="F3879" s="1">
        <f>IF(OR(Paths!$C$359=0,C3879=0),0,12-E3879)</f>
        <v>0</v>
      </c>
      <c r="G3879" s="16">
        <f>IF(NOT(Paths!$C$359=1),0,IF(Paths!$P$359="Complete",E3879/12*(Paths!$J$359*(1+'Operating costs'!$B$51)^MAX(0,C3879-1)+Paths!$K$359*(1+'Operating costs'!$B$53)^MAX(0,C3879-1)),"n.a."))</f>
        <v>0</v>
      </c>
      <c r="H3879" s="16">
        <f>IF(NOT(Paths!$C$359=1),0,IF(Paths!$P$359="Complete",F3879/12*(Paths!$L$359*(1+IF(Paths!$D$359="EV",'Operating costs'!$B$52,'Operating costs'!$B$51))^MAX(0,C3879-1)+Paths!$M$359*(1+'Operating costs'!$B$53)^MAX(0,C3879-1)),"n.a."))</f>
        <v>0</v>
      </c>
      <c r="I3879" s="16">
        <f>IF(NOT(Paths!$C$359=1),0,IF(Paths!$P$359="Complete",IF(IF(Paths!$E$359=0,C3879=0,AND(C3879&gt;0,Paths!$E$359&gt;(C3879-1)*12,Paths!$E$359&lt;=C3879*12)),Paths!$G$359,0),"n.a."))</f>
        <v>0</v>
      </c>
      <c r="J3879" s="16">
        <f>IF(NOT(Paths!$C$359=1),0,IF(Paths!$P$359="Complete",IF(IF(Paths!$E$359=0,C3879=0,AND(C3879&gt;0,Paths!$E$359&gt;(C3879-1)*12,Paths!$E$359&lt;=C3879*12)),Paths!$H$359,0),"n.a."))</f>
        <v>0</v>
      </c>
      <c r="K3879" s="16">
        <f>IF(NOT(Paths!$C$359=1),0,IF(Paths!$P$359="Complete",IF(IF(Paths!$O$359=0,C3879=0,AND(C3879&gt;0,Paths!$O$359&gt;(C3879-1)*12,Paths!$O$359&lt;=C3879*12)),Paths!$N$359,0),"n.a."))</f>
        <v>0</v>
      </c>
      <c r="L3879" s="16">
        <f>IF(NOT(Paths!$C$359=1),0,IF(Paths!$P$359="Complete",IF(C3879=10,Paths!$I$359,0),"n.a."))</f>
        <v>0</v>
      </c>
      <c r="M3879" s="16">
        <f>IF(NOT(Paths!$C$359=1),0,IF(Paths!$P$359="Complete",IF(AND(Paths!$D$359="EV",Paths!$E$359&lt;120,Paths!$E$359+'Operating costs'!$B$65&gt;Paths!$E$359,Paths!$E$359+'Operating costs'!$B$65&lt;=120,IF(Paths!$E$359+'Operating costs'!$B$65=0,C3879=0,AND(C3879&gt;0,Paths!$E$359+'Operating costs'!$B$65&gt;(C3879-1)*12,Paths!$E$359+'Operating costs'!$B$65&lt;=C3879*12))),'Operating costs'!$B$64,0)+IF(AND('Operating costs'!$B$67&gt;0,'Operating costs'!$B$67&lt;=120,OR(Paths!$D$359="ICE",'Operating costs'!$B$67&lt;=Paths!$E$359),IF('Operating costs'!$B$67=0,C3879=0,AND(C3879&gt;0,'Operating costs'!$B$67&gt;(C3879-1)*12,'Operating costs'!$B$67&lt;=C3879*12))),'Operating costs'!$B$66,0),"n.a."))</f>
        <v>0</v>
      </c>
      <c r="N3879" s="16">
        <f>IF(NOT(Paths!$C$359=1),0,IF(Paths!$P$359="Complete",SUM(G3879:I3879)-J3879-K3879-L3879+M3879+IF(C3879=0,Paths!$F$359,0)+IF(IF(Paths!$E$359=0,C3879=0,AND(C3879&gt;0,Paths!$E$359&gt;(C3879-1)*12,Paths!$E$359&lt;=C3879*12)),VLOOKUP(A3879,'Fleet register'!$A$7:$S$106,16,FALSE),0),"n.a."))</f>
        <v>0</v>
      </c>
      <c r="O3879" s="16">
        <f>IF(NOT(Paths!$C$359=1),0,IF(Paths!$P$359="Complete",N3879-IF(C3879=0,Paths!$F$359,0),"n.a."))</f>
        <v>0</v>
      </c>
      <c r="P3879" s="16">
        <f>IF(NOT(Paths!$C$359=1),0,IF(Paths!$P$359="Complete",O3879+L3879,"n.a."))</f>
        <v>0</v>
      </c>
      <c r="Q3879" s="16">
        <f>IF(NOT(Paths!$C$359=1),0,IF(Paths!$P$359="Complete",N3879*(1+'Operating costs'!$B$54)^-C3879,"n.a."))</f>
        <v>0</v>
      </c>
      <c r="R3879" s="16">
        <f>IF(NOT(Paths!$C$359=1),0,IF(Paths!$P$359="Complete",IF(AND(C3879=0,Paths!$E$359=0),I3879-J3879-K3879+VLOOKUP(A3879,'Fleet register'!$A$7:$S$106,15,FALSE)+VLOOKUP(A3879,'Fleet register'!$A$7:$S$106,16,FALSE),0),"n.a."))</f>
        <v>0</v>
      </c>
      <c r="S3879" s="1">
        <f>IF(NOT(Paths!$C$359=1),0,IF(Paths!$P$359="Complete",IF(C3879=0,0,Paths!$S$359*Paths!$R$359),"n.a."))</f>
        <v>0</v>
      </c>
      <c r="T3879" s="1">
        <f>IF(NOT(Paths!$C$359=1),0,IF(Paths!$P$359="Complete",IF(C3879=0,0,VLOOKUP(A3879,'Fleet register'!$A$7:$S$106,9,FALSE)*Paths!$R$359),"n.a."))</f>
        <v>0</v>
      </c>
    </row>
    <row r="3880" spans="1:20" ht="24" customHeight="1">
      <c r="A3880" s="1" t="str">
        <f>Paths!$A$359</f>
        <v>T089</v>
      </c>
      <c r="B3880" s="1">
        <f>Paths!$B$359</f>
        <v>0</v>
      </c>
      <c r="C3880" s="1">
        <v>1</v>
      </c>
      <c r="D3880" s="1">
        <v>359</v>
      </c>
      <c r="E3880" s="1">
        <f>IF(OR(Paths!$C$359=0,C3880=0),0,MAX(0,MIN(C3880*12,Paths!$E$359)-(C3880-1)*12))</f>
        <v>0</v>
      </c>
      <c r="F3880" s="1">
        <f>IF(OR(Paths!$C$359=0,C3880=0),0,12-E3880)</f>
        <v>0</v>
      </c>
      <c r="G3880" s="16">
        <f>IF(NOT(Paths!$C$359=1),0,IF(Paths!$P$359="Complete",E3880/12*(Paths!$J$359*(1+'Operating costs'!$B$51)^MAX(0,C3880-1)+Paths!$K$359*(1+'Operating costs'!$B$53)^MAX(0,C3880-1)),"n.a."))</f>
        <v>0</v>
      </c>
      <c r="H3880" s="16">
        <f>IF(NOT(Paths!$C$359=1),0,IF(Paths!$P$359="Complete",F3880/12*(Paths!$L$359*(1+IF(Paths!$D$359="EV",'Operating costs'!$B$52,'Operating costs'!$B$51))^MAX(0,C3880-1)+Paths!$M$359*(1+'Operating costs'!$B$53)^MAX(0,C3880-1)),"n.a."))</f>
        <v>0</v>
      </c>
      <c r="I3880" s="16">
        <f>IF(NOT(Paths!$C$359=1),0,IF(Paths!$P$359="Complete",IF(IF(Paths!$E$359=0,C3880=0,AND(C3880&gt;0,Paths!$E$359&gt;(C3880-1)*12,Paths!$E$359&lt;=C3880*12)),Paths!$G$359,0),"n.a."))</f>
        <v>0</v>
      </c>
      <c r="J3880" s="16">
        <f>IF(NOT(Paths!$C$359=1),0,IF(Paths!$P$359="Complete",IF(IF(Paths!$E$359=0,C3880=0,AND(C3880&gt;0,Paths!$E$359&gt;(C3880-1)*12,Paths!$E$359&lt;=C3880*12)),Paths!$H$359,0),"n.a."))</f>
        <v>0</v>
      </c>
      <c r="K3880" s="16">
        <f>IF(NOT(Paths!$C$359=1),0,IF(Paths!$P$359="Complete",IF(IF(Paths!$O$359=0,C3880=0,AND(C3880&gt;0,Paths!$O$359&gt;(C3880-1)*12,Paths!$O$359&lt;=C3880*12)),Paths!$N$359,0),"n.a."))</f>
        <v>0</v>
      </c>
      <c r="L3880" s="16">
        <f>IF(NOT(Paths!$C$359=1),0,IF(Paths!$P$359="Complete",IF(C3880=10,Paths!$I$359,0),"n.a."))</f>
        <v>0</v>
      </c>
      <c r="M3880" s="16">
        <f>IF(NOT(Paths!$C$359=1),0,IF(Paths!$P$359="Complete",IF(AND(Paths!$D$359="EV",Paths!$E$359&lt;120,Paths!$E$359+'Operating costs'!$B$65&gt;Paths!$E$359,Paths!$E$359+'Operating costs'!$B$65&lt;=120,IF(Paths!$E$359+'Operating costs'!$B$65=0,C3880=0,AND(C3880&gt;0,Paths!$E$359+'Operating costs'!$B$65&gt;(C3880-1)*12,Paths!$E$359+'Operating costs'!$B$65&lt;=C3880*12))),'Operating costs'!$B$64,0)+IF(AND('Operating costs'!$B$67&gt;0,'Operating costs'!$B$67&lt;=120,OR(Paths!$D$359="ICE",'Operating costs'!$B$67&lt;=Paths!$E$359),IF('Operating costs'!$B$67=0,C3880=0,AND(C3880&gt;0,'Operating costs'!$B$67&gt;(C3880-1)*12,'Operating costs'!$B$67&lt;=C3880*12))),'Operating costs'!$B$66,0),"n.a."))</f>
        <v>0</v>
      </c>
      <c r="N3880" s="16">
        <f>IF(NOT(Paths!$C$359=1),0,IF(Paths!$P$359="Complete",SUM(G3880:I3880)-J3880-K3880-L3880+M3880+IF(C3880=0,Paths!$F$359,0)+IF(IF(Paths!$E$359=0,C3880=0,AND(C3880&gt;0,Paths!$E$359&gt;(C3880-1)*12,Paths!$E$359&lt;=C3880*12)),VLOOKUP(A3880,'Fleet register'!$A$7:$S$106,16,FALSE),0),"n.a."))</f>
        <v>0</v>
      </c>
      <c r="O3880" s="16">
        <f>IF(NOT(Paths!$C$359=1),0,IF(Paths!$P$359="Complete",N3880-IF(C3880=0,Paths!$F$359,0),"n.a."))</f>
        <v>0</v>
      </c>
      <c r="P3880" s="16">
        <f>IF(NOT(Paths!$C$359=1),0,IF(Paths!$P$359="Complete",O3880+L3880,"n.a."))</f>
        <v>0</v>
      </c>
      <c r="Q3880" s="16">
        <f>IF(NOT(Paths!$C$359=1),0,IF(Paths!$P$359="Complete",N3880*(1+'Operating costs'!$B$54)^-C3880,"n.a."))</f>
        <v>0</v>
      </c>
      <c r="R3880" s="16">
        <f>IF(NOT(Paths!$C$359=1),0,IF(Paths!$P$359="Complete",IF(AND(C3880=0,Paths!$E$359=0),I3880-J3880-K3880+VLOOKUP(A3880,'Fleet register'!$A$7:$S$106,15,FALSE)+VLOOKUP(A3880,'Fleet register'!$A$7:$S$106,16,FALSE),0),"n.a."))</f>
        <v>0</v>
      </c>
      <c r="S3880" s="1">
        <f>IF(NOT(Paths!$C$359=1),0,IF(Paths!$P$359="Complete",IF(C3880=0,0,Paths!$S$359*Paths!$R$359),"n.a."))</f>
        <v>0</v>
      </c>
      <c r="T3880" s="1">
        <f>IF(NOT(Paths!$C$359=1),0,IF(Paths!$P$359="Complete",IF(C3880=0,0,VLOOKUP(A3880,'Fleet register'!$A$7:$S$106,9,FALSE)*Paths!$R$359),"n.a."))</f>
        <v>0</v>
      </c>
    </row>
    <row r="3881" spans="1:20" ht="24" customHeight="1">
      <c r="A3881" s="1" t="str">
        <f>Paths!$A$359</f>
        <v>T089</v>
      </c>
      <c r="B3881" s="1">
        <f>Paths!$B$359</f>
        <v>0</v>
      </c>
      <c r="C3881" s="1">
        <v>2</v>
      </c>
      <c r="D3881" s="1">
        <v>359</v>
      </c>
      <c r="E3881" s="1">
        <f>IF(OR(Paths!$C$359=0,C3881=0),0,MAX(0,MIN(C3881*12,Paths!$E$359)-(C3881-1)*12))</f>
        <v>0</v>
      </c>
      <c r="F3881" s="1">
        <f>IF(OR(Paths!$C$359=0,C3881=0),0,12-E3881)</f>
        <v>0</v>
      </c>
      <c r="G3881" s="16">
        <f>IF(NOT(Paths!$C$359=1),0,IF(Paths!$P$359="Complete",E3881/12*(Paths!$J$359*(1+'Operating costs'!$B$51)^MAX(0,C3881-1)+Paths!$K$359*(1+'Operating costs'!$B$53)^MAX(0,C3881-1)),"n.a."))</f>
        <v>0</v>
      </c>
      <c r="H3881" s="16">
        <f>IF(NOT(Paths!$C$359=1),0,IF(Paths!$P$359="Complete",F3881/12*(Paths!$L$359*(1+IF(Paths!$D$359="EV",'Operating costs'!$B$52,'Operating costs'!$B$51))^MAX(0,C3881-1)+Paths!$M$359*(1+'Operating costs'!$B$53)^MAX(0,C3881-1)),"n.a."))</f>
        <v>0</v>
      </c>
      <c r="I3881" s="16">
        <f>IF(NOT(Paths!$C$359=1),0,IF(Paths!$P$359="Complete",IF(IF(Paths!$E$359=0,C3881=0,AND(C3881&gt;0,Paths!$E$359&gt;(C3881-1)*12,Paths!$E$359&lt;=C3881*12)),Paths!$G$359,0),"n.a."))</f>
        <v>0</v>
      </c>
      <c r="J3881" s="16">
        <f>IF(NOT(Paths!$C$359=1),0,IF(Paths!$P$359="Complete",IF(IF(Paths!$E$359=0,C3881=0,AND(C3881&gt;0,Paths!$E$359&gt;(C3881-1)*12,Paths!$E$359&lt;=C3881*12)),Paths!$H$359,0),"n.a."))</f>
        <v>0</v>
      </c>
      <c r="K3881" s="16">
        <f>IF(NOT(Paths!$C$359=1),0,IF(Paths!$P$359="Complete",IF(IF(Paths!$O$359=0,C3881=0,AND(C3881&gt;0,Paths!$O$359&gt;(C3881-1)*12,Paths!$O$359&lt;=C3881*12)),Paths!$N$359,0),"n.a."))</f>
        <v>0</v>
      </c>
      <c r="L3881" s="16">
        <f>IF(NOT(Paths!$C$359=1),0,IF(Paths!$P$359="Complete",IF(C3881=10,Paths!$I$359,0),"n.a."))</f>
        <v>0</v>
      </c>
      <c r="M3881" s="16">
        <f>IF(NOT(Paths!$C$359=1),0,IF(Paths!$P$359="Complete",IF(AND(Paths!$D$359="EV",Paths!$E$359&lt;120,Paths!$E$359+'Operating costs'!$B$65&gt;Paths!$E$359,Paths!$E$359+'Operating costs'!$B$65&lt;=120,IF(Paths!$E$359+'Operating costs'!$B$65=0,C3881=0,AND(C3881&gt;0,Paths!$E$359+'Operating costs'!$B$65&gt;(C3881-1)*12,Paths!$E$359+'Operating costs'!$B$65&lt;=C3881*12))),'Operating costs'!$B$64,0)+IF(AND('Operating costs'!$B$67&gt;0,'Operating costs'!$B$67&lt;=120,OR(Paths!$D$359="ICE",'Operating costs'!$B$67&lt;=Paths!$E$359),IF('Operating costs'!$B$67=0,C3881=0,AND(C3881&gt;0,'Operating costs'!$B$67&gt;(C3881-1)*12,'Operating costs'!$B$67&lt;=C3881*12))),'Operating costs'!$B$66,0),"n.a."))</f>
        <v>0</v>
      </c>
      <c r="N3881" s="16">
        <f>IF(NOT(Paths!$C$359=1),0,IF(Paths!$P$359="Complete",SUM(G3881:I3881)-J3881-K3881-L3881+M3881+IF(C3881=0,Paths!$F$359,0)+IF(IF(Paths!$E$359=0,C3881=0,AND(C3881&gt;0,Paths!$E$359&gt;(C3881-1)*12,Paths!$E$359&lt;=C3881*12)),VLOOKUP(A3881,'Fleet register'!$A$7:$S$106,16,FALSE),0),"n.a."))</f>
        <v>0</v>
      </c>
      <c r="O3881" s="16">
        <f>IF(NOT(Paths!$C$359=1),0,IF(Paths!$P$359="Complete",N3881-IF(C3881=0,Paths!$F$359,0),"n.a."))</f>
        <v>0</v>
      </c>
      <c r="P3881" s="16">
        <f>IF(NOT(Paths!$C$359=1),0,IF(Paths!$P$359="Complete",O3881+L3881,"n.a."))</f>
        <v>0</v>
      </c>
      <c r="Q3881" s="16">
        <f>IF(NOT(Paths!$C$359=1),0,IF(Paths!$P$359="Complete",N3881*(1+'Operating costs'!$B$54)^-C3881,"n.a."))</f>
        <v>0</v>
      </c>
      <c r="R3881" s="16">
        <f>IF(NOT(Paths!$C$359=1),0,IF(Paths!$P$359="Complete",IF(AND(C3881=0,Paths!$E$359=0),I3881-J3881-K3881+VLOOKUP(A3881,'Fleet register'!$A$7:$S$106,15,FALSE)+VLOOKUP(A3881,'Fleet register'!$A$7:$S$106,16,FALSE),0),"n.a."))</f>
        <v>0</v>
      </c>
      <c r="S3881" s="1">
        <f>IF(NOT(Paths!$C$359=1),0,IF(Paths!$P$359="Complete",IF(C3881=0,0,Paths!$S$359*Paths!$R$359),"n.a."))</f>
        <v>0</v>
      </c>
      <c r="T3881" s="1">
        <f>IF(NOT(Paths!$C$359=1),0,IF(Paths!$P$359="Complete",IF(C3881=0,0,VLOOKUP(A3881,'Fleet register'!$A$7:$S$106,9,FALSE)*Paths!$R$359),"n.a."))</f>
        <v>0</v>
      </c>
    </row>
    <row r="3882" spans="1:20" ht="24" customHeight="1">
      <c r="A3882" s="1" t="str">
        <f>Paths!$A$359</f>
        <v>T089</v>
      </c>
      <c r="B3882" s="1">
        <f>Paths!$B$359</f>
        <v>0</v>
      </c>
      <c r="C3882" s="1">
        <v>3</v>
      </c>
      <c r="D3882" s="1">
        <v>359</v>
      </c>
      <c r="E3882" s="1">
        <f>IF(OR(Paths!$C$359=0,C3882=0),0,MAX(0,MIN(C3882*12,Paths!$E$359)-(C3882-1)*12))</f>
        <v>0</v>
      </c>
      <c r="F3882" s="1">
        <f>IF(OR(Paths!$C$359=0,C3882=0),0,12-E3882)</f>
        <v>0</v>
      </c>
      <c r="G3882" s="16">
        <f>IF(NOT(Paths!$C$359=1),0,IF(Paths!$P$359="Complete",E3882/12*(Paths!$J$359*(1+'Operating costs'!$B$51)^MAX(0,C3882-1)+Paths!$K$359*(1+'Operating costs'!$B$53)^MAX(0,C3882-1)),"n.a."))</f>
        <v>0</v>
      </c>
      <c r="H3882" s="16">
        <f>IF(NOT(Paths!$C$359=1),0,IF(Paths!$P$359="Complete",F3882/12*(Paths!$L$359*(1+IF(Paths!$D$359="EV",'Operating costs'!$B$52,'Operating costs'!$B$51))^MAX(0,C3882-1)+Paths!$M$359*(1+'Operating costs'!$B$53)^MAX(0,C3882-1)),"n.a."))</f>
        <v>0</v>
      </c>
      <c r="I3882" s="16">
        <f>IF(NOT(Paths!$C$359=1),0,IF(Paths!$P$359="Complete",IF(IF(Paths!$E$359=0,C3882=0,AND(C3882&gt;0,Paths!$E$359&gt;(C3882-1)*12,Paths!$E$359&lt;=C3882*12)),Paths!$G$359,0),"n.a."))</f>
        <v>0</v>
      </c>
      <c r="J3882" s="16">
        <f>IF(NOT(Paths!$C$359=1),0,IF(Paths!$P$359="Complete",IF(IF(Paths!$E$359=0,C3882=0,AND(C3882&gt;0,Paths!$E$359&gt;(C3882-1)*12,Paths!$E$359&lt;=C3882*12)),Paths!$H$359,0),"n.a."))</f>
        <v>0</v>
      </c>
      <c r="K3882" s="16">
        <f>IF(NOT(Paths!$C$359=1),0,IF(Paths!$P$359="Complete",IF(IF(Paths!$O$359=0,C3882=0,AND(C3882&gt;0,Paths!$O$359&gt;(C3882-1)*12,Paths!$O$359&lt;=C3882*12)),Paths!$N$359,0),"n.a."))</f>
        <v>0</v>
      </c>
      <c r="L3882" s="16">
        <f>IF(NOT(Paths!$C$359=1),0,IF(Paths!$P$359="Complete",IF(C3882=10,Paths!$I$359,0),"n.a."))</f>
        <v>0</v>
      </c>
      <c r="M3882" s="16">
        <f>IF(NOT(Paths!$C$359=1),0,IF(Paths!$P$359="Complete",IF(AND(Paths!$D$359="EV",Paths!$E$359&lt;120,Paths!$E$359+'Operating costs'!$B$65&gt;Paths!$E$359,Paths!$E$359+'Operating costs'!$B$65&lt;=120,IF(Paths!$E$359+'Operating costs'!$B$65=0,C3882=0,AND(C3882&gt;0,Paths!$E$359+'Operating costs'!$B$65&gt;(C3882-1)*12,Paths!$E$359+'Operating costs'!$B$65&lt;=C3882*12))),'Operating costs'!$B$64,0)+IF(AND('Operating costs'!$B$67&gt;0,'Operating costs'!$B$67&lt;=120,OR(Paths!$D$359="ICE",'Operating costs'!$B$67&lt;=Paths!$E$359),IF('Operating costs'!$B$67=0,C3882=0,AND(C3882&gt;0,'Operating costs'!$B$67&gt;(C3882-1)*12,'Operating costs'!$B$67&lt;=C3882*12))),'Operating costs'!$B$66,0),"n.a."))</f>
        <v>0</v>
      </c>
      <c r="N3882" s="16">
        <f>IF(NOT(Paths!$C$359=1),0,IF(Paths!$P$359="Complete",SUM(G3882:I3882)-J3882-K3882-L3882+M3882+IF(C3882=0,Paths!$F$359,0)+IF(IF(Paths!$E$359=0,C3882=0,AND(C3882&gt;0,Paths!$E$359&gt;(C3882-1)*12,Paths!$E$359&lt;=C3882*12)),VLOOKUP(A3882,'Fleet register'!$A$7:$S$106,16,FALSE),0),"n.a."))</f>
        <v>0</v>
      </c>
      <c r="O3882" s="16">
        <f>IF(NOT(Paths!$C$359=1),0,IF(Paths!$P$359="Complete",N3882-IF(C3882=0,Paths!$F$359,0),"n.a."))</f>
        <v>0</v>
      </c>
      <c r="P3882" s="16">
        <f>IF(NOT(Paths!$C$359=1),0,IF(Paths!$P$359="Complete",O3882+L3882,"n.a."))</f>
        <v>0</v>
      </c>
      <c r="Q3882" s="16">
        <f>IF(NOT(Paths!$C$359=1),0,IF(Paths!$P$359="Complete",N3882*(1+'Operating costs'!$B$54)^-C3882,"n.a."))</f>
        <v>0</v>
      </c>
      <c r="R3882" s="16">
        <f>IF(NOT(Paths!$C$359=1),0,IF(Paths!$P$359="Complete",IF(AND(C3882=0,Paths!$E$359=0),I3882-J3882-K3882+VLOOKUP(A3882,'Fleet register'!$A$7:$S$106,15,FALSE)+VLOOKUP(A3882,'Fleet register'!$A$7:$S$106,16,FALSE),0),"n.a."))</f>
        <v>0</v>
      </c>
      <c r="S3882" s="1">
        <f>IF(NOT(Paths!$C$359=1),0,IF(Paths!$P$359="Complete",IF(C3882=0,0,Paths!$S$359*Paths!$R$359),"n.a."))</f>
        <v>0</v>
      </c>
      <c r="T3882" s="1">
        <f>IF(NOT(Paths!$C$359=1),0,IF(Paths!$P$359="Complete",IF(C3882=0,0,VLOOKUP(A3882,'Fleet register'!$A$7:$S$106,9,FALSE)*Paths!$R$359),"n.a."))</f>
        <v>0</v>
      </c>
    </row>
    <row r="3883" spans="1:20" ht="24" customHeight="1">
      <c r="A3883" s="1" t="str">
        <f>Paths!$A$359</f>
        <v>T089</v>
      </c>
      <c r="B3883" s="1">
        <f>Paths!$B$359</f>
        <v>0</v>
      </c>
      <c r="C3883" s="1">
        <v>4</v>
      </c>
      <c r="D3883" s="1">
        <v>359</v>
      </c>
      <c r="E3883" s="1">
        <f>IF(OR(Paths!$C$359=0,C3883=0),0,MAX(0,MIN(C3883*12,Paths!$E$359)-(C3883-1)*12))</f>
        <v>0</v>
      </c>
      <c r="F3883" s="1">
        <f>IF(OR(Paths!$C$359=0,C3883=0),0,12-E3883)</f>
        <v>0</v>
      </c>
      <c r="G3883" s="16">
        <f>IF(NOT(Paths!$C$359=1),0,IF(Paths!$P$359="Complete",E3883/12*(Paths!$J$359*(1+'Operating costs'!$B$51)^MAX(0,C3883-1)+Paths!$K$359*(1+'Operating costs'!$B$53)^MAX(0,C3883-1)),"n.a."))</f>
        <v>0</v>
      </c>
      <c r="H3883" s="16">
        <f>IF(NOT(Paths!$C$359=1),0,IF(Paths!$P$359="Complete",F3883/12*(Paths!$L$359*(1+IF(Paths!$D$359="EV",'Operating costs'!$B$52,'Operating costs'!$B$51))^MAX(0,C3883-1)+Paths!$M$359*(1+'Operating costs'!$B$53)^MAX(0,C3883-1)),"n.a."))</f>
        <v>0</v>
      </c>
      <c r="I3883" s="16">
        <f>IF(NOT(Paths!$C$359=1),0,IF(Paths!$P$359="Complete",IF(IF(Paths!$E$359=0,C3883=0,AND(C3883&gt;0,Paths!$E$359&gt;(C3883-1)*12,Paths!$E$359&lt;=C3883*12)),Paths!$G$359,0),"n.a."))</f>
        <v>0</v>
      </c>
      <c r="J3883" s="16">
        <f>IF(NOT(Paths!$C$359=1),0,IF(Paths!$P$359="Complete",IF(IF(Paths!$E$359=0,C3883=0,AND(C3883&gt;0,Paths!$E$359&gt;(C3883-1)*12,Paths!$E$359&lt;=C3883*12)),Paths!$H$359,0),"n.a."))</f>
        <v>0</v>
      </c>
      <c r="K3883" s="16">
        <f>IF(NOT(Paths!$C$359=1),0,IF(Paths!$P$359="Complete",IF(IF(Paths!$O$359=0,C3883=0,AND(C3883&gt;0,Paths!$O$359&gt;(C3883-1)*12,Paths!$O$359&lt;=C3883*12)),Paths!$N$359,0),"n.a."))</f>
        <v>0</v>
      </c>
      <c r="L3883" s="16">
        <f>IF(NOT(Paths!$C$359=1),0,IF(Paths!$P$359="Complete",IF(C3883=10,Paths!$I$359,0),"n.a."))</f>
        <v>0</v>
      </c>
      <c r="M3883" s="16">
        <f>IF(NOT(Paths!$C$359=1),0,IF(Paths!$P$359="Complete",IF(AND(Paths!$D$359="EV",Paths!$E$359&lt;120,Paths!$E$359+'Operating costs'!$B$65&gt;Paths!$E$359,Paths!$E$359+'Operating costs'!$B$65&lt;=120,IF(Paths!$E$359+'Operating costs'!$B$65=0,C3883=0,AND(C3883&gt;0,Paths!$E$359+'Operating costs'!$B$65&gt;(C3883-1)*12,Paths!$E$359+'Operating costs'!$B$65&lt;=C3883*12))),'Operating costs'!$B$64,0)+IF(AND('Operating costs'!$B$67&gt;0,'Operating costs'!$B$67&lt;=120,OR(Paths!$D$359="ICE",'Operating costs'!$B$67&lt;=Paths!$E$359),IF('Operating costs'!$B$67=0,C3883=0,AND(C3883&gt;0,'Operating costs'!$B$67&gt;(C3883-1)*12,'Operating costs'!$B$67&lt;=C3883*12))),'Operating costs'!$B$66,0),"n.a."))</f>
        <v>0</v>
      </c>
      <c r="N3883" s="16">
        <f>IF(NOT(Paths!$C$359=1),0,IF(Paths!$P$359="Complete",SUM(G3883:I3883)-J3883-K3883-L3883+M3883+IF(C3883=0,Paths!$F$359,0)+IF(IF(Paths!$E$359=0,C3883=0,AND(C3883&gt;0,Paths!$E$359&gt;(C3883-1)*12,Paths!$E$359&lt;=C3883*12)),VLOOKUP(A3883,'Fleet register'!$A$7:$S$106,16,FALSE),0),"n.a."))</f>
        <v>0</v>
      </c>
      <c r="O3883" s="16">
        <f>IF(NOT(Paths!$C$359=1),0,IF(Paths!$P$359="Complete",N3883-IF(C3883=0,Paths!$F$359,0),"n.a."))</f>
        <v>0</v>
      </c>
      <c r="P3883" s="16">
        <f>IF(NOT(Paths!$C$359=1),0,IF(Paths!$P$359="Complete",O3883+L3883,"n.a."))</f>
        <v>0</v>
      </c>
      <c r="Q3883" s="16">
        <f>IF(NOT(Paths!$C$359=1),0,IF(Paths!$P$359="Complete",N3883*(1+'Operating costs'!$B$54)^-C3883,"n.a."))</f>
        <v>0</v>
      </c>
      <c r="R3883" s="16">
        <f>IF(NOT(Paths!$C$359=1),0,IF(Paths!$P$359="Complete",IF(AND(C3883=0,Paths!$E$359=0),I3883-J3883-K3883+VLOOKUP(A3883,'Fleet register'!$A$7:$S$106,15,FALSE)+VLOOKUP(A3883,'Fleet register'!$A$7:$S$106,16,FALSE),0),"n.a."))</f>
        <v>0</v>
      </c>
      <c r="S3883" s="1">
        <f>IF(NOT(Paths!$C$359=1),0,IF(Paths!$P$359="Complete",IF(C3883=0,0,Paths!$S$359*Paths!$R$359),"n.a."))</f>
        <v>0</v>
      </c>
      <c r="T3883" s="1">
        <f>IF(NOT(Paths!$C$359=1),0,IF(Paths!$P$359="Complete",IF(C3883=0,0,VLOOKUP(A3883,'Fleet register'!$A$7:$S$106,9,FALSE)*Paths!$R$359),"n.a."))</f>
        <v>0</v>
      </c>
    </row>
    <row r="3884" spans="1:20" ht="24" customHeight="1">
      <c r="A3884" s="1" t="str">
        <f>Paths!$A$359</f>
        <v>T089</v>
      </c>
      <c r="B3884" s="1">
        <f>Paths!$B$359</f>
        <v>0</v>
      </c>
      <c r="C3884" s="1">
        <v>5</v>
      </c>
      <c r="D3884" s="1">
        <v>359</v>
      </c>
      <c r="E3884" s="1">
        <f>IF(OR(Paths!$C$359=0,C3884=0),0,MAX(0,MIN(C3884*12,Paths!$E$359)-(C3884-1)*12))</f>
        <v>0</v>
      </c>
      <c r="F3884" s="1">
        <f>IF(OR(Paths!$C$359=0,C3884=0),0,12-E3884)</f>
        <v>0</v>
      </c>
      <c r="G3884" s="16">
        <f>IF(NOT(Paths!$C$359=1),0,IF(Paths!$P$359="Complete",E3884/12*(Paths!$J$359*(1+'Operating costs'!$B$51)^MAX(0,C3884-1)+Paths!$K$359*(1+'Operating costs'!$B$53)^MAX(0,C3884-1)),"n.a."))</f>
        <v>0</v>
      </c>
      <c r="H3884" s="16">
        <f>IF(NOT(Paths!$C$359=1),0,IF(Paths!$P$359="Complete",F3884/12*(Paths!$L$359*(1+IF(Paths!$D$359="EV",'Operating costs'!$B$52,'Operating costs'!$B$51))^MAX(0,C3884-1)+Paths!$M$359*(1+'Operating costs'!$B$53)^MAX(0,C3884-1)),"n.a."))</f>
        <v>0</v>
      </c>
      <c r="I3884" s="16">
        <f>IF(NOT(Paths!$C$359=1),0,IF(Paths!$P$359="Complete",IF(IF(Paths!$E$359=0,C3884=0,AND(C3884&gt;0,Paths!$E$359&gt;(C3884-1)*12,Paths!$E$359&lt;=C3884*12)),Paths!$G$359,0),"n.a."))</f>
        <v>0</v>
      </c>
      <c r="J3884" s="16">
        <f>IF(NOT(Paths!$C$359=1),0,IF(Paths!$P$359="Complete",IF(IF(Paths!$E$359=0,C3884=0,AND(C3884&gt;0,Paths!$E$359&gt;(C3884-1)*12,Paths!$E$359&lt;=C3884*12)),Paths!$H$359,0),"n.a."))</f>
        <v>0</v>
      </c>
      <c r="K3884" s="16">
        <f>IF(NOT(Paths!$C$359=1),0,IF(Paths!$P$359="Complete",IF(IF(Paths!$O$359=0,C3884=0,AND(C3884&gt;0,Paths!$O$359&gt;(C3884-1)*12,Paths!$O$359&lt;=C3884*12)),Paths!$N$359,0),"n.a."))</f>
        <v>0</v>
      </c>
      <c r="L3884" s="16">
        <f>IF(NOT(Paths!$C$359=1),0,IF(Paths!$P$359="Complete",IF(C3884=10,Paths!$I$359,0),"n.a."))</f>
        <v>0</v>
      </c>
      <c r="M3884" s="16">
        <f>IF(NOT(Paths!$C$359=1),0,IF(Paths!$P$359="Complete",IF(AND(Paths!$D$359="EV",Paths!$E$359&lt;120,Paths!$E$359+'Operating costs'!$B$65&gt;Paths!$E$359,Paths!$E$359+'Operating costs'!$B$65&lt;=120,IF(Paths!$E$359+'Operating costs'!$B$65=0,C3884=0,AND(C3884&gt;0,Paths!$E$359+'Operating costs'!$B$65&gt;(C3884-1)*12,Paths!$E$359+'Operating costs'!$B$65&lt;=C3884*12))),'Operating costs'!$B$64,0)+IF(AND('Operating costs'!$B$67&gt;0,'Operating costs'!$B$67&lt;=120,OR(Paths!$D$359="ICE",'Operating costs'!$B$67&lt;=Paths!$E$359),IF('Operating costs'!$B$67=0,C3884=0,AND(C3884&gt;0,'Operating costs'!$B$67&gt;(C3884-1)*12,'Operating costs'!$B$67&lt;=C3884*12))),'Operating costs'!$B$66,0),"n.a."))</f>
        <v>0</v>
      </c>
      <c r="N3884" s="16">
        <f>IF(NOT(Paths!$C$359=1),0,IF(Paths!$P$359="Complete",SUM(G3884:I3884)-J3884-K3884-L3884+M3884+IF(C3884=0,Paths!$F$359,0)+IF(IF(Paths!$E$359=0,C3884=0,AND(C3884&gt;0,Paths!$E$359&gt;(C3884-1)*12,Paths!$E$359&lt;=C3884*12)),VLOOKUP(A3884,'Fleet register'!$A$7:$S$106,16,FALSE),0),"n.a."))</f>
        <v>0</v>
      </c>
      <c r="O3884" s="16">
        <f>IF(NOT(Paths!$C$359=1),0,IF(Paths!$P$359="Complete",N3884-IF(C3884=0,Paths!$F$359,0),"n.a."))</f>
        <v>0</v>
      </c>
      <c r="P3884" s="16">
        <f>IF(NOT(Paths!$C$359=1),0,IF(Paths!$P$359="Complete",O3884+L3884,"n.a."))</f>
        <v>0</v>
      </c>
      <c r="Q3884" s="16">
        <f>IF(NOT(Paths!$C$359=1),0,IF(Paths!$P$359="Complete",N3884*(1+'Operating costs'!$B$54)^-C3884,"n.a."))</f>
        <v>0</v>
      </c>
      <c r="R3884" s="16">
        <f>IF(NOT(Paths!$C$359=1),0,IF(Paths!$P$359="Complete",IF(AND(C3884=0,Paths!$E$359=0),I3884-J3884-K3884+VLOOKUP(A3884,'Fleet register'!$A$7:$S$106,15,FALSE)+VLOOKUP(A3884,'Fleet register'!$A$7:$S$106,16,FALSE),0),"n.a."))</f>
        <v>0</v>
      </c>
      <c r="S3884" s="1">
        <f>IF(NOT(Paths!$C$359=1),0,IF(Paths!$P$359="Complete",IF(C3884=0,0,Paths!$S$359*Paths!$R$359),"n.a."))</f>
        <v>0</v>
      </c>
      <c r="T3884" s="1">
        <f>IF(NOT(Paths!$C$359=1),0,IF(Paths!$P$359="Complete",IF(C3884=0,0,VLOOKUP(A3884,'Fleet register'!$A$7:$S$106,9,FALSE)*Paths!$R$359),"n.a."))</f>
        <v>0</v>
      </c>
    </row>
    <row r="3885" spans="1:20" ht="24" customHeight="1">
      <c r="A3885" s="1" t="str">
        <f>Paths!$A$359</f>
        <v>T089</v>
      </c>
      <c r="B3885" s="1">
        <f>Paths!$B$359</f>
        <v>0</v>
      </c>
      <c r="C3885" s="1">
        <v>6</v>
      </c>
      <c r="D3885" s="1">
        <v>359</v>
      </c>
      <c r="E3885" s="1">
        <f>IF(OR(Paths!$C$359=0,C3885=0),0,MAX(0,MIN(C3885*12,Paths!$E$359)-(C3885-1)*12))</f>
        <v>0</v>
      </c>
      <c r="F3885" s="1">
        <f>IF(OR(Paths!$C$359=0,C3885=0),0,12-E3885)</f>
        <v>0</v>
      </c>
      <c r="G3885" s="16">
        <f>IF(NOT(Paths!$C$359=1),0,IF(Paths!$P$359="Complete",E3885/12*(Paths!$J$359*(1+'Operating costs'!$B$51)^MAX(0,C3885-1)+Paths!$K$359*(1+'Operating costs'!$B$53)^MAX(0,C3885-1)),"n.a."))</f>
        <v>0</v>
      </c>
      <c r="H3885" s="16">
        <f>IF(NOT(Paths!$C$359=1),0,IF(Paths!$P$359="Complete",F3885/12*(Paths!$L$359*(1+IF(Paths!$D$359="EV",'Operating costs'!$B$52,'Operating costs'!$B$51))^MAX(0,C3885-1)+Paths!$M$359*(1+'Operating costs'!$B$53)^MAX(0,C3885-1)),"n.a."))</f>
        <v>0</v>
      </c>
      <c r="I3885" s="16">
        <f>IF(NOT(Paths!$C$359=1),0,IF(Paths!$P$359="Complete",IF(IF(Paths!$E$359=0,C3885=0,AND(C3885&gt;0,Paths!$E$359&gt;(C3885-1)*12,Paths!$E$359&lt;=C3885*12)),Paths!$G$359,0),"n.a."))</f>
        <v>0</v>
      </c>
      <c r="J3885" s="16">
        <f>IF(NOT(Paths!$C$359=1),0,IF(Paths!$P$359="Complete",IF(IF(Paths!$E$359=0,C3885=0,AND(C3885&gt;0,Paths!$E$359&gt;(C3885-1)*12,Paths!$E$359&lt;=C3885*12)),Paths!$H$359,0),"n.a."))</f>
        <v>0</v>
      </c>
      <c r="K3885" s="16">
        <f>IF(NOT(Paths!$C$359=1),0,IF(Paths!$P$359="Complete",IF(IF(Paths!$O$359=0,C3885=0,AND(C3885&gt;0,Paths!$O$359&gt;(C3885-1)*12,Paths!$O$359&lt;=C3885*12)),Paths!$N$359,0),"n.a."))</f>
        <v>0</v>
      </c>
      <c r="L3885" s="16">
        <f>IF(NOT(Paths!$C$359=1),0,IF(Paths!$P$359="Complete",IF(C3885=10,Paths!$I$359,0),"n.a."))</f>
        <v>0</v>
      </c>
      <c r="M3885" s="16">
        <f>IF(NOT(Paths!$C$359=1),0,IF(Paths!$P$359="Complete",IF(AND(Paths!$D$359="EV",Paths!$E$359&lt;120,Paths!$E$359+'Operating costs'!$B$65&gt;Paths!$E$359,Paths!$E$359+'Operating costs'!$B$65&lt;=120,IF(Paths!$E$359+'Operating costs'!$B$65=0,C3885=0,AND(C3885&gt;0,Paths!$E$359+'Operating costs'!$B$65&gt;(C3885-1)*12,Paths!$E$359+'Operating costs'!$B$65&lt;=C3885*12))),'Operating costs'!$B$64,0)+IF(AND('Operating costs'!$B$67&gt;0,'Operating costs'!$B$67&lt;=120,OR(Paths!$D$359="ICE",'Operating costs'!$B$67&lt;=Paths!$E$359),IF('Operating costs'!$B$67=0,C3885=0,AND(C3885&gt;0,'Operating costs'!$B$67&gt;(C3885-1)*12,'Operating costs'!$B$67&lt;=C3885*12))),'Operating costs'!$B$66,0),"n.a."))</f>
        <v>0</v>
      </c>
      <c r="N3885" s="16">
        <f>IF(NOT(Paths!$C$359=1),0,IF(Paths!$P$359="Complete",SUM(G3885:I3885)-J3885-K3885-L3885+M3885+IF(C3885=0,Paths!$F$359,0)+IF(IF(Paths!$E$359=0,C3885=0,AND(C3885&gt;0,Paths!$E$359&gt;(C3885-1)*12,Paths!$E$359&lt;=C3885*12)),VLOOKUP(A3885,'Fleet register'!$A$7:$S$106,16,FALSE),0),"n.a."))</f>
        <v>0</v>
      </c>
      <c r="O3885" s="16">
        <f>IF(NOT(Paths!$C$359=1),0,IF(Paths!$P$359="Complete",N3885-IF(C3885=0,Paths!$F$359,0),"n.a."))</f>
        <v>0</v>
      </c>
      <c r="P3885" s="16">
        <f>IF(NOT(Paths!$C$359=1),0,IF(Paths!$P$359="Complete",O3885+L3885,"n.a."))</f>
        <v>0</v>
      </c>
      <c r="Q3885" s="16">
        <f>IF(NOT(Paths!$C$359=1),0,IF(Paths!$P$359="Complete",N3885*(1+'Operating costs'!$B$54)^-C3885,"n.a."))</f>
        <v>0</v>
      </c>
      <c r="R3885" s="16">
        <f>IF(NOT(Paths!$C$359=1),0,IF(Paths!$P$359="Complete",IF(AND(C3885=0,Paths!$E$359=0),I3885-J3885-K3885+VLOOKUP(A3885,'Fleet register'!$A$7:$S$106,15,FALSE)+VLOOKUP(A3885,'Fleet register'!$A$7:$S$106,16,FALSE),0),"n.a."))</f>
        <v>0</v>
      </c>
      <c r="S3885" s="1">
        <f>IF(NOT(Paths!$C$359=1),0,IF(Paths!$P$359="Complete",IF(C3885=0,0,Paths!$S$359*Paths!$R$359),"n.a."))</f>
        <v>0</v>
      </c>
      <c r="T3885" s="1">
        <f>IF(NOT(Paths!$C$359=1),0,IF(Paths!$P$359="Complete",IF(C3885=0,0,VLOOKUP(A3885,'Fleet register'!$A$7:$S$106,9,FALSE)*Paths!$R$359),"n.a."))</f>
        <v>0</v>
      </c>
    </row>
    <row r="3886" spans="1:20" ht="24" customHeight="1">
      <c r="A3886" s="1" t="str">
        <f>Paths!$A$359</f>
        <v>T089</v>
      </c>
      <c r="B3886" s="1">
        <f>Paths!$B$359</f>
        <v>0</v>
      </c>
      <c r="C3886" s="1">
        <v>7</v>
      </c>
      <c r="D3886" s="1">
        <v>359</v>
      </c>
      <c r="E3886" s="1">
        <f>IF(OR(Paths!$C$359=0,C3886=0),0,MAX(0,MIN(C3886*12,Paths!$E$359)-(C3886-1)*12))</f>
        <v>0</v>
      </c>
      <c r="F3886" s="1">
        <f>IF(OR(Paths!$C$359=0,C3886=0),0,12-E3886)</f>
        <v>0</v>
      </c>
      <c r="G3886" s="16">
        <f>IF(NOT(Paths!$C$359=1),0,IF(Paths!$P$359="Complete",E3886/12*(Paths!$J$359*(1+'Operating costs'!$B$51)^MAX(0,C3886-1)+Paths!$K$359*(1+'Operating costs'!$B$53)^MAX(0,C3886-1)),"n.a."))</f>
        <v>0</v>
      </c>
      <c r="H3886" s="16">
        <f>IF(NOT(Paths!$C$359=1),0,IF(Paths!$P$359="Complete",F3886/12*(Paths!$L$359*(1+IF(Paths!$D$359="EV",'Operating costs'!$B$52,'Operating costs'!$B$51))^MAX(0,C3886-1)+Paths!$M$359*(1+'Operating costs'!$B$53)^MAX(0,C3886-1)),"n.a."))</f>
        <v>0</v>
      </c>
      <c r="I3886" s="16">
        <f>IF(NOT(Paths!$C$359=1),0,IF(Paths!$P$359="Complete",IF(IF(Paths!$E$359=0,C3886=0,AND(C3886&gt;0,Paths!$E$359&gt;(C3886-1)*12,Paths!$E$359&lt;=C3886*12)),Paths!$G$359,0),"n.a."))</f>
        <v>0</v>
      </c>
      <c r="J3886" s="16">
        <f>IF(NOT(Paths!$C$359=1),0,IF(Paths!$P$359="Complete",IF(IF(Paths!$E$359=0,C3886=0,AND(C3886&gt;0,Paths!$E$359&gt;(C3886-1)*12,Paths!$E$359&lt;=C3886*12)),Paths!$H$359,0),"n.a."))</f>
        <v>0</v>
      </c>
      <c r="K3886" s="16">
        <f>IF(NOT(Paths!$C$359=1),0,IF(Paths!$P$359="Complete",IF(IF(Paths!$O$359=0,C3886=0,AND(C3886&gt;0,Paths!$O$359&gt;(C3886-1)*12,Paths!$O$359&lt;=C3886*12)),Paths!$N$359,0),"n.a."))</f>
        <v>0</v>
      </c>
      <c r="L3886" s="16">
        <f>IF(NOT(Paths!$C$359=1),0,IF(Paths!$P$359="Complete",IF(C3886=10,Paths!$I$359,0),"n.a."))</f>
        <v>0</v>
      </c>
      <c r="M3886" s="16">
        <f>IF(NOT(Paths!$C$359=1),0,IF(Paths!$P$359="Complete",IF(AND(Paths!$D$359="EV",Paths!$E$359&lt;120,Paths!$E$359+'Operating costs'!$B$65&gt;Paths!$E$359,Paths!$E$359+'Operating costs'!$B$65&lt;=120,IF(Paths!$E$359+'Operating costs'!$B$65=0,C3886=0,AND(C3886&gt;0,Paths!$E$359+'Operating costs'!$B$65&gt;(C3886-1)*12,Paths!$E$359+'Operating costs'!$B$65&lt;=C3886*12))),'Operating costs'!$B$64,0)+IF(AND('Operating costs'!$B$67&gt;0,'Operating costs'!$B$67&lt;=120,OR(Paths!$D$359="ICE",'Operating costs'!$B$67&lt;=Paths!$E$359),IF('Operating costs'!$B$67=0,C3886=0,AND(C3886&gt;0,'Operating costs'!$B$67&gt;(C3886-1)*12,'Operating costs'!$B$67&lt;=C3886*12))),'Operating costs'!$B$66,0),"n.a."))</f>
        <v>0</v>
      </c>
      <c r="N3886" s="16">
        <f>IF(NOT(Paths!$C$359=1),0,IF(Paths!$P$359="Complete",SUM(G3886:I3886)-J3886-K3886-L3886+M3886+IF(C3886=0,Paths!$F$359,0)+IF(IF(Paths!$E$359=0,C3886=0,AND(C3886&gt;0,Paths!$E$359&gt;(C3886-1)*12,Paths!$E$359&lt;=C3886*12)),VLOOKUP(A3886,'Fleet register'!$A$7:$S$106,16,FALSE),0),"n.a."))</f>
        <v>0</v>
      </c>
      <c r="O3886" s="16">
        <f>IF(NOT(Paths!$C$359=1),0,IF(Paths!$P$359="Complete",N3886-IF(C3886=0,Paths!$F$359,0),"n.a."))</f>
        <v>0</v>
      </c>
      <c r="P3886" s="16">
        <f>IF(NOT(Paths!$C$359=1),0,IF(Paths!$P$359="Complete",O3886+L3886,"n.a."))</f>
        <v>0</v>
      </c>
      <c r="Q3886" s="16">
        <f>IF(NOT(Paths!$C$359=1),0,IF(Paths!$P$359="Complete",N3886*(1+'Operating costs'!$B$54)^-C3886,"n.a."))</f>
        <v>0</v>
      </c>
      <c r="R3886" s="16">
        <f>IF(NOT(Paths!$C$359=1),0,IF(Paths!$P$359="Complete",IF(AND(C3886=0,Paths!$E$359=0),I3886-J3886-K3886+VLOOKUP(A3886,'Fleet register'!$A$7:$S$106,15,FALSE)+VLOOKUP(A3886,'Fleet register'!$A$7:$S$106,16,FALSE),0),"n.a."))</f>
        <v>0</v>
      </c>
      <c r="S3886" s="1">
        <f>IF(NOT(Paths!$C$359=1),0,IF(Paths!$P$359="Complete",IF(C3886=0,0,Paths!$S$359*Paths!$R$359),"n.a."))</f>
        <v>0</v>
      </c>
      <c r="T3886" s="1">
        <f>IF(NOT(Paths!$C$359=1),0,IF(Paths!$P$359="Complete",IF(C3886=0,0,VLOOKUP(A3886,'Fleet register'!$A$7:$S$106,9,FALSE)*Paths!$R$359),"n.a."))</f>
        <v>0</v>
      </c>
    </row>
    <row r="3887" spans="1:20" ht="24" customHeight="1">
      <c r="A3887" s="1" t="str">
        <f>Paths!$A$359</f>
        <v>T089</v>
      </c>
      <c r="B3887" s="1">
        <f>Paths!$B$359</f>
        <v>0</v>
      </c>
      <c r="C3887" s="1">
        <v>8</v>
      </c>
      <c r="D3887" s="1">
        <v>359</v>
      </c>
      <c r="E3887" s="1">
        <f>IF(OR(Paths!$C$359=0,C3887=0),0,MAX(0,MIN(C3887*12,Paths!$E$359)-(C3887-1)*12))</f>
        <v>0</v>
      </c>
      <c r="F3887" s="1">
        <f>IF(OR(Paths!$C$359=0,C3887=0),0,12-E3887)</f>
        <v>0</v>
      </c>
      <c r="G3887" s="16">
        <f>IF(NOT(Paths!$C$359=1),0,IF(Paths!$P$359="Complete",E3887/12*(Paths!$J$359*(1+'Operating costs'!$B$51)^MAX(0,C3887-1)+Paths!$K$359*(1+'Operating costs'!$B$53)^MAX(0,C3887-1)),"n.a."))</f>
        <v>0</v>
      </c>
      <c r="H3887" s="16">
        <f>IF(NOT(Paths!$C$359=1),0,IF(Paths!$P$359="Complete",F3887/12*(Paths!$L$359*(1+IF(Paths!$D$359="EV",'Operating costs'!$B$52,'Operating costs'!$B$51))^MAX(0,C3887-1)+Paths!$M$359*(1+'Operating costs'!$B$53)^MAX(0,C3887-1)),"n.a."))</f>
        <v>0</v>
      </c>
      <c r="I3887" s="16">
        <f>IF(NOT(Paths!$C$359=1),0,IF(Paths!$P$359="Complete",IF(IF(Paths!$E$359=0,C3887=0,AND(C3887&gt;0,Paths!$E$359&gt;(C3887-1)*12,Paths!$E$359&lt;=C3887*12)),Paths!$G$359,0),"n.a."))</f>
        <v>0</v>
      </c>
      <c r="J3887" s="16">
        <f>IF(NOT(Paths!$C$359=1),0,IF(Paths!$P$359="Complete",IF(IF(Paths!$E$359=0,C3887=0,AND(C3887&gt;0,Paths!$E$359&gt;(C3887-1)*12,Paths!$E$359&lt;=C3887*12)),Paths!$H$359,0),"n.a."))</f>
        <v>0</v>
      </c>
      <c r="K3887" s="16">
        <f>IF(NOT(Paths!$C$359=1),0,IF(Paths!$P$359="Complete",IF(IF(Paths!$O$359=0,C3887=0,AND(C3887&gt;0,Paths!$O$359&gt;(C3887-1)*12,Paths!$O$359&lt;=C3887*12)),Paths!$N$359,0),"n.a."))</f>
        <v>0</v>
      </c>
      <c r="L3887" s="16">
        <f>IF(NOT(Paths!$C$359=1),0,IF(Paths!$P$359="Complete",IF(C3887=10,Paths!$I$359,0),"n.a."))</f>
        <v>0</v>
      </c>
      <c r="M3887" s="16">
        <f>IF(NOT(Paths!$C$359=1),0,IF(Paths!$P$359="Complete",IF(AND(Paths!$D$359="EV",Paths!$E$359&lt;120,Paths!$E$359+'Operating costs'!$B$65&gt;Paths!$E$359,Paths!$E$359+'Operating costs'!$B$65&lt;=120,IF(Paths!$E$359+'Operating costs'!$B$65=0,C3887=0,AND(C3887&gt;0,Paths!$E$359+'Operating costs'!$B$65&gt;(C3887-1)*12,Paths!$E$359+'Operating costs'!$B$65&lt;=C3887*12))),'Operating costs'!$B$64,0)+IF(AND('Operating costs'!$B$67&gt;0,'Operating costs'!$B$67&lt;=120,OR(Paths!$D$359="ICE",'Operating costs'!$B$67&lt;=Paths!$E$359),IF('Operating costs'!$B$67=0,C3887=0,AND(C3887&gt;0,'Operating costs'!$B$67&gt;(C3887-1)*12,'Operating costs'!$B$67&lt;=C3887*12))),'Operating costs'!$B$66,0),"n.a."))</f>
        <v>0</v>
      </c>
      <c r="N3887" s="16">
        <f>IF(NOT(Paths!$C$359=1),0,IF(Paths!$P$359="Complete",SUM(G3887:I3887)-J3887-K3887-L3887+M3887+IF(C3887=0,Paths!$F$359,0)+IF(IF(Paths!$E$359=0,C3887=0,AND(C3887&gt;0,Paths!$E$359&gt;(C3887-1)*12,Paths!$E$359&lt;=C3887*12)),VLOOKUP(A3887,'Fleet register'!$A$7:$S$106,16,FALSE),0),"n.a."))</f>
        <v>0</v>
      </c>
      <c r="O3887" s="16">
        <f>IF(NOT(Paths!$C$359=1),0,IF(Paths!$P$359="Complete",N3887-IF(C3887=0,Paths!$F$359,0),"n.a."))</f>
        <v>0</v>
      </c>
      <c r="P3887" s="16">
        <f>IF(NOT(Paths!$C$359=1),0,IF(Paths!$P$359="Complete",O3887+L3887,"n.a."))</f>
        <v>0</v>
      </c>
      <c r="Q3887" s="16">
        <f>IF(NOT(Paths!$C$359=1),0,IF(Paths!$P$359="Complete",N3887*(1+'Operating costs'!$B$54)^-C3887,"n.a."))</f>
        <v>0</v>
      </c>
      <c r="R3887" s="16">
        <f>IF(NOT(Paths!$C$359=1),0,IF(Paths!$P$359="Complete",IF(AND(C3887=0,Paths!$E$359=0),I3887-J3887-K3887+VLOOKUP(A3887,'Fleet register'!$A$7:$S$106,15,FALSE)+VLOOKUP(A3887,'Fleet register'!$A$7:$S$106,16,FALSE),0),"n.a."))</f>
        <v>0</v>
      </c>
      <c r="S3887" s="1">
        <f>IF(NOT(Paths!$C$359=1),0,IF(Paths!$P$359="Complete",IF(C3887=0,0,Paths!$S$359*Paths!$R$359),"n.a."))</f>
        <v>0</v>
      </c>
      <c r="T3887" s="1">
        <f>IF(NOT(Paths!$C$359=1),0,IF(Paths!$P$359="Complete",IF(C3887=0,0,VLOOKUP(A3887,'Fleet register'!$A$7:$S$106,9,FALSE)*Paths!$R$359),"n.a."))</f>
        <v>0</v>
      </c>
    </row>
    <row r="3888" spans="1:20" ht="24" customHeight="1">
      <c r="A3888" s="1" t="str">
        <f>Paths!$A$359</f>
        <v>T089</v>
      </c>
      <c r="B3888" s="1">
        <f>Paths!$B$359</f>
        <v>0</v>
      </c>
      <c r="C3888" s="1">
        <v>9</v>
      </c>
      <c r="D3888" s="1">
        <v>359</v>
      </c>
      <c r="E3888" s="1">
        <f>IF(OR(Paths!$C$359=0,C3888=0),0,MAX(0,MIN(C3888*12,Paths!$E$359)-(C3888-1)*12))</f>
        <v>0</v>
      </c>
      <c r="F3888" s="1">
        <f>IF(OR(Paths!$C$359=0,C3888=0),0,12-E3888)</f>
        <v>0</v>
      </c>
      <c r="G3888" s="16">
        <f>IF(NOT(Paths!$C$359=1),0,IF(Paths!$P$359="Complete",E3888/12*(Paths!$J$359*(1+'Operating costs'!$B$51)^MAX(0,C3888-1)+Paths!$K$359*(1+'Operating costs'!$B$53)^MAX(0,C3888-1)),"n.a."))</f>
        <v>0</v>
      </c>
      <c r="H3888" s="16">
        <f>IF(NOT(Paths!$C$359=1),0,IF(Paths!$P$359="Complete",F3888/12*(Paths!$L$359*(1+IF(Paths!$D$359="EV",'Operating costs'!$B$52,'Operating costs'!$B$51))^MAX(0,C3888-1)+Paths!$M$359*(1+'Operating costs'!$B$53)^MAX(0,C3888-1)),"n.a."))</f>
        <v>0</v>
      </c>
      <c r="I3888" s="16">
        <f>IF(NOT(Paths!$C$359=1),0,IF(Paths!$P$359="Complete",IF(IF(Paths!$E$359=0,C3888=0,AND(C3888&gt;0,Paths!$E$359&gt;(C3888-1)*12,Paths!$E$359&lt;=C3888*12)),Paths!$G$359,0),"n.a."))</f>
        <v>0</v>
      </c>
      <c r="J3888" s="16">
        <f>IF(NOT(Paths!$C$359=1),0,IF(Paths!$P$359="Complete",IF(IF(Paths!$E$359=0,C3888=0,AND(C3888&gt;0,Paths!$E$359&gt;(C3888-1)*12,Paths!$E$359&lt;=C3888*12)),Paths!$H$359,0),"n.a."))</f>
        <v>0</v>
      </c>
      <c r="K3888" s="16">
        <f>IF(NOT(Paths!$C$359=1),0,IF(Paths!$P$359="Complete",IF(IF(Paths!$O$359=0,C3888=0,AND(C3888&gt;0,Paths!$O$359&gt;(C3888-1)*12,Paths!$O$359&lt;=C3888*12)),Paths!$N$359,0),"n.a."))</f>
        <v>0</v>
      </c>
      <c r="L3888" s="16">
        <f>IF(NOT(Paths!$C$359=1),0,IF(Paths!$P$359="Complete",IF(C3888=10,Paths!$I$359,0),"n.a."))</f>
        <v>0</v>
      </c>
      <c r="M3888" s="16">
        <f>IF(NOT(Paths!$C$359=1),0,IF(Paths!$P$359="Complete",IF(AND(Paths!$D$359="EV",Paths!$E$359&lt;120,Paths!$E$359+'Operating costs'!$B$65&gt;Paths!$E$359,Paths!$E$359+'Operating costs'!$B$65&lt;=120,IF(Paths!$E$359+'Operating costs'!$B$65=0,C3888=0,AND(C3888&gt;0,Paths!$E$359+'Operating costs'!$B$65&gt;(C3888-1)*12,Paths!$E$359+'Operating costs'!$B$65&lt;=C3888*12))),'Operating costs'!$B$64,0)+IF(AND('Operating costs'!$B$67&gt;0,'Operating costs'!$B$67&lt;=120,OR(Paths!$D$359="ICE",'Operating costs'!$B$67&lt;=Paths!$E$359),IF('Operating costs'!$B$67=0,C3888=0,AND(C3888&gt;0,'Operating costs'!$B$67&gt;(C3888-1)*12,'Operating costs'!$B$67&lt;=C3888*12))),'Operating costs'!$B$66,0),"n.a."))</f>
        <v>0</v>
      </c>
      <c r="N3888" s="16">
        <f>IF(NOT(Paths!$C$359=1),0,IF(Paths!$P$359="Complete",SUM(G3888:I3888)-J3888-K3888-L3888+M3888+IF(C3888=0,Paths!$F$359,0)+IF(IF(Paths!$E$359=0,C3888=0,AND(C3888&gt;0,Paths!$E$359&gt;(C3888-1)*12,Paths!$E$359&lt;=C3888*12)),VLOOKUP(A3888,'Fleet register'!$A$7:$S$106,16,FALSE),0),"n.a."))</f>
        <v>0</v>
      </c>
      <c r="O3888" s="16">
        <f>IF(NOT(Paths!$C$359=1),0,IF(Paths!$P$359="Complete",N3888-IF(C3888=0,Paths!$F$359,0),"n.a."))</f>
        <v>0</v>
      </c>
      <c r="P3888" s="16">
        <f>IF(NOT(Paths!$C$359=1),0,IF(Paths!$P$359="Complete",O3888+L3888,"n.a."))</f>
        <v>0</v>
      </c>
      <c r="Q3888" s="16">
        <f>IF(NOT(Paths!$C$359=1),0,IF(Paths!$P$359="Complete",N3888*(1+'Operating costs'!$B$54)^-C3888,"n.a."))</f>
        <v>0</v>
      </c>
      <c r="R3888" s="16">
        <f>IF(NOT(Paths!$C$359=1),0,IF(Paths!$P$359="Complete",IF(AND(C3888=0,Paths!$E$359=0),I3888-J3888-K3888+VLOOKUP(A3888,'Fleet register'!$A$7:$S$106,15,FALSE)+VLOOKUP(A3888,'Fleet register'!$A$7:$S$106,16,FALSE),0),"n.a."))</f>
        <v>0</v>
      </c>
      <c r="S3888" s="1">
        <f>IF(NOT(Paths!$C$359=1),0,IF(Paths!$P$359="Complete",IF(C3888=0,0,Paths!$S$359*Paths!$R$359),"n.a."))</f>
        <v>0</v>
      </c>
      <c r="T3888" s="1">
        <f>IF(NOT(Paths!$C$359=1),0,IF(Paths!$P$359="Complete",IF(C3888=0,0,VLOOKUP(A3888,'Fleet register'!$A$7:$S$106,9,FALSE)*Paths!$R$359),"n.a."))</f>
        <v>0</v>
      </c>
    </row>
    <row r="3889" spans="1:20" ht="24" customHeight="1">
      <c r="A3889" s="1" t="str">
        <f>Paths!$A$359</f>
        <v>T089</v>
      </c>
      <c r="B3889" s="1">
        <f>Paths!$B$359</f>
        <v>0</v>
      </c>
      <c r="C3889" s="1">
        <v>10</v>
      </c>
      <c r="D3889" s="1">
        <v>359</v>
      </c>
      <c r="E3889" s="1">
        <f>IF(OR(Paths!$C$359=0,C3889=0),0,MAX(0,MIN(C3889*12,Paths!$E$359)-(C3889-1)*12))</f>
        <v>0</v>
      </c>
      <c r="F3889" s="1">
        <f>IF(OR(Paths!$C$359=0,C3889=0),0,12-E3889)</f>
        <v>0</v>
      </c>
      <c r="G3889" s="16">
        <f>IF(NOT(Paths!$C$359=1),0,IF(Paths!$P$359="Complete",E3889/12*(Paths!$J$359*(1+'Operating costs'!$B$51)^MAX(0,C3889-1)+Paths!$K$359*(1+'Operating costs'!$B$53)^MAX(0,C3889-1)),"n.a."))</f>
        <v>0</v>
      </c>
      <c r="H3889" s="16">
        <f>IF(NOT(Paths!$C$359=1),0,IF(Paths!$P$359="Complete",F3889/12*(Paths!$L$359*(1+IF(Paths!$D$359="EV",'Operating costs'!$B$52,'Operating costs'!$B$51))^MAX(0,C3889-1)+Paths!$M$359*(1+'Operating costs'!$B$53)^MAX(0,C3889-1)),"n.a."))</f>
        <v>0</v>
      </c>
      <c r="I3889" s="16">
        <f>IF(NOT(Paths!$C$359=1),0,IF(Paths!$P$359="Complete",IF(IF(Paths!$E$359=0,C3889=0,AND(C3889&gt;0,Paths!$E$359&gt;(C3889-1)*12,Paths!$E$359&lt;=C3889*12)),Paths!$G$359,0),"n.a."))</f>
        <v>0</v>
      </c>
      <c r="J3889" s="16">
        <f>IF(NOT(Paths!$C$359=1),0,IF(Paths!$P$359="Complete",IF(IF(Paths!$E$359=0,C3889=0,AND(C3889&gt;0,Paths!$E$359&gt;(C3889-1)*12,Paths!$E$359&lt;=C3889*12)),Paths!$H$359,0),"n.a."))</f>
        <v>0</v>
      </c>
      <c r="K3889" s="16">
        <f>IF(NOT(Paths!$C$359=1),0,IF(Paths!$P$359="Complete",IF(IF(Paths!$O$359=0,C3889=0,AND(C3889&gt;0,Paths!$O$359&gt;(C3889-1)*12,Paths!$O$359&lt;=C3889*12)),Paths!$N$359,0),"n.a."))</f>
        <v>0</v>
      </c>
      <c r="L3889" s="16">
        <f>IF(NOT(Paths!$C$359=1),0,IF(Paths!$P$359="Complete",IF(C3889=10,Paths!$I$359,0),"n.a."))</f>
        <v>0</v>
      </c>
      <c r="M3889" s="16">
        <f>IF(NOT(Paths!$C$359=1),0,IF(Paths!$P$359="Complete",IF(AND(Paths!$D$359="EV",Paths!$E$359&lt;120,Paths!$E$359+'Operating costs'!$B$65&gt;Paths!$E$359,Paths!$E$359+'Operating costs'!$B$65&lt;=120,IF(Paths!$E$359+'Operating costs'!$B$65=0,C3889=0,AND(C3889&gt;0,Paths!$E$359+'Operating costs'!$B$65&gt;(C3889-1)*12,Paths!$E$359+'Operating costs'!$B$65&lt;=C3889*12))),'Operating costs'!$B$64,0)+IF(AND('Operating costs'!$B$67&gt;0,'Operating costs'!$B$67&lt;=120,OR(Paths!$D$359="ICE",'Operating costs'!$B$67&lt;=Paths!$E$359),IF('Operating costs'!$B$67=0,C3889=0,AND(C3889&gt;0,'Operating costs'!$B$67&gt;(C3889-1)*12,'Operating costs'!$B$67&lt;=C3889*12))),'Operating costs'!$B$66,0),"n.a."))</f>
        <v>0</v>
      </c>
      <c r="N3889" s="16">
        <f>IF(NOT(Paths!$C$359=1),0,IF(Paths!$P$359="Complete",SUM(G3889:I3889)-J3889-K3889-L3889+M3889+IF(C3889=0,Paths!$F$359,0)+IF(IF(Paths!$E$359=0,C3889=0,AND(C3889&gt;0,Paths!$E$359&gt;(C3889-1)*12,Paths!$E$359&lt;=C3889*12)),VLOOKUP(A3889,'Fleet register'!$A$7:$S$106,16,FALSE),0),"n.a."))</f>
        <v>0</v>
      </c>
      <c r="O3889" s="16">
        <f>IF(NOT(Paths!$C$359=1),0,IF(Paths!$P$359="Complete",N3889-IF(C3889=0,Paths!$F$359,0),"n.a."))</f>
        <v>0</v>
      </c>
      <c r="P3889" s="16">
        <f>IF(NOT(Paths!$C$359=1),0,IF(Paths!$P$359="Complete",O3889+L3889,"n.a."))</f>
        <v>0</v>
      </c>
      <c r="Q3889" s="16">
        <f>IF(NOT(Paths!$C$359=1),0,IF(Paths!$P$359="Complete",N3889*(1+'Operating costs'!$B$54)^-C3889,"n.a."))</f>
        <v>0</v>
      </c>
      <c r="R3889" s="16">
        <f>IF(NOT(Paths!$C$359=1),0,IF(Paths!$P$359="Complete",IF(AND(C3889=0,Paths!$E$359=0),I3889-J3889-K3889+VLOOKUP(A3889,'Fleet register'!$A$7:$S$106,15,FALSE)+VLOOKUP(A3889,'Fleet register'!$A$7:$S$106,16,FALSE),0),"n.a."))</f>
        <v>0</v>
      </c>
      <c r="S3889" s="1">
        <f>IF(NOT(Paths!$C$359=1),0,IF(Paths!$P$359="Complete",IF(C3889=0,0,Paths!$S$359*Paths!$R$359),"n.a."))</f>
        <v>0</v>
      </c>
      <c r="T3889" s="1">
        <f>IF(NOT(Paths!$C$359=1),0,IF(Paths!$P$359="Complete",IF(C3889=0,0,VLOOKUP(A3889,'Fleet register'!$A$7:$S$106,9,FALSE)*Paths!$R$359),"n.a."))</f>
        <v>0</v>
      </c>
    </row>
    <row r="3890" spans="1:20" ht="24" customHeight="1">
      <c r="A3890" s="1" t="str">
        <f>Paths!$A$360</f>
        <v>T089</v>
      </c>
      <c r="B3890" s="1">
        <f>Paths!$B$360</f>
        <v>1</v>
      </c>
      <c r="C3890" s="1">
        <v>0</v>
      </c>
      <c r="D3890" s="1">
        <v>360</v>
      </c>
      <c r="E3890" s="1">
        <f>IF(OR(Paths!$C$360=0,C3890=0),0,MAX(0,MIN(C3890*12,Paths!$E$360)-(C3890-1)*12))</f>
        <v>0</v>
      </c>
      <c r="F3890" s="1">
        <f>IF(OR(Paths!$C$360=0,C3890=0),0,12-E3890)</f>
        <v>0</v>
      </c>
      <c r="G3890" s="16">
        <f>IF(NOT(Paths!$C$360=1),0,IF(Paths!$P$360="Complete",E3890/12*(Paths!$J$360*(1+'Operating costs'!$B$51)^MAX(0,C3890-1)+Paths!$K$360*(1+'Operating costs'!$B$53)^MAX(0,C3890-1)),"n.a."))</f>
        <v>0</v>
      </c>
      <c r="H3890" s="16">
        <f>IF(NOT(Paths!$C$360=1),0,IF(Paths!$P$360="Complete",F3890/12*(Paths!$L$360*(1+IF(Paths!$D$360="EV",'Operating costs'!$B$52,'Operating costs'!$B$51))^MAX(0,C3890-1)+Paths!$M$360*(1+'Operating costs'!$B$53)^MAX(0,C3890-1)),"n.a."))</f>
        <v>0</v>
      </c>
      <c r="I3890" s="16">
        <f>IF(NOT(Paths!$C$360=1),0,IF(Paths!$P$360="Complete",IF(IF(Paths!$E$360=0,C3890=0,AND(C3890&gt;0,Paths!$E$360&gt;(C3890-1)*12,Paths!$E$360&lt;=C3890*12)),Paths!$G$360,0),"n.a."))</f>
        <v>0</v>
      </c>
      <c r="J3890" s="16">
        <f>IF(NOT(Paths!$C$360=1),0,IF(Paths!$P$360="Complete",IF(IF(Paths!$E$360=0,C3890=0,AND(C3890&gt;0,Paths!$E$360&gt;(C3890-1)*12,Paths!$E$360&lt;=C3890*12)),Paths!$H$360,0),"n.a."))</f>
        <v>0</v>
      </c>
      <c r="K3890" s="16">
        <f>IF(NOT(Paths!$C$360=1),0,IF(Paths!$P$360="Complete",IF(IF(Paths!$O$360=0,C3890=0,AND(C3890&gt;0,Paths!$O$360&gt;(C3890-1)*12,Paths!$O$360&lt;=C3890*12)),Paths!$N$360,0),"n.a."))</f>
        <v>0</v>
      </c>
      <c r="L3890" s="16">
        <f>IF(NOT(Paths!$C$360=1),0,IF(Paths!$P$360="Complete",IF(C3890=10,Paths!$I$360,0),"n.a."))</f>
        <v>0</v>
      </c>
      <c r="M3890" s="16">
        <f>IF(NOT(Paths!$C$360=1),0,IF(Paths!$P$360="Complete",IF(AND(Paths!$D$360="EV",Paths!$E$360&lt;120,Paths!$E$360+'Operating costs'!$B$65&gt;Paths!$E$360,Paths!$E$360+'Operating costs'!$B$65&lt;=120,IF(Paths!$E$360+'Operating costs'!$B$65=0,C3890=0,AND(C3890&gt;0,Paths!$E$360+'Operating costs'!$B$65&gt;(C3890-1)*12,Paths!$E$360+'Operating costs'!$B$65&lt;=C3890*12))),'Operating costs'!$B$64,0)+IF(AND('Operating costs'!$B$67&gt;0,'Operating costs'!$B$67&lt;=120,OR(Paths!$D$360="ICE",'Operating costs'!$B$67&lt;=Paths!$E$360),IF('Operating costs'!$B$67=0,C3890=0,AND(C3890&gt;0,'Operating costs'!$B$67&gt;(C3890-1)*12,'Operating costs'!$B$67&lt;=C3890*12))),'Operating costs'!$B$66,0),"n.a."))</f>
        <v>0</v>
      </c>
      <c r="N3890" s="16">
        <f>IF(NOT(Paths!$C$360=1),0,IF(Paths!$P$360="Complete",SUM(G3890:I3890)-J3890-K3890-L3890+M3890+IF(C3890=0,Paths!$F$360,0)+IF(IF(Paths!$E$360=0,C3890=0,AND(C3890&gt;0,Paths!$E$360&gt;(C3890-1)*12,Paths!$E$360&lt;=C3890*12)),VLOOKUP(A3890,'Fleet register'!$A$7:$S$106,16,FALSE),0),"n.a."))</f>
        <v>0</v>
      </c>
      <c r="O3890" s="16">
        <f>IF(NOT(Paths!$C$360=1),0,IF(Paths!$P$360="Complete",N3890-IF(C3890=0,Paths!$F$360,0),"n.a."))</f>
        <v>0</v>
      </c>
      <c r="P3890" s="16">
        <f>IF(NOT(Paths!$C$360=1),0,IF(Paths!$P$360="Complete",O3890+L3890,"n.a."))</f>
        <v>0</v>
      </c>
      <c r="Q3890" s="16">
        <f>IF(NOT(Paths!$C$360=1),0,IF(Paths!$P$360="Complete",N3890*(1+'Operating costs'!$B$54)^-C3890,"n.a."))</f>
        <v>0</v>
      </c>
      <c r="R3890" s="16">
        <f>IF(NOT(Paths!$C$360=1),0,IF(Paths!$P$360="Complete",IF(AND(C3890=0,Paths!$E$360=0),I3890-J3890-K3890+VLOOKUP(A3890,'Fleet register'!$A$7:$S$106,15,FALSE)+VLOOKUP(A3890,'Fleet register'!$A$7:$S$106,16,FALSE),0),"n.a."))</f>
        <v>0</v>
      </c>
      <c r="S3890" s="1">
        <f>IF(NOT(Paths!$C$360=1),0,IF(Paths!$P$360="Complete",IF(C3890=0,0,Paths!$S$360*Paths!$R$360),"n.a."))</f>
        <v>0</v>
      </c>
      <c r="T3890" s="1">
        <f>IF(NOT(Paths!$C$360=1),0,IF(Paths!$P$360="Complete",IF(C3890=0,0,VLOOKUP(A3890,'Fleet register'!$A$7:$S$106,9,FALSE)*Paths!$R$360),"n.a."))</f>
        <v>0</v>
      </c>
    </row>
    <row r="3891" spans="1:20" ht="24" customHeight="1">
      <c r="A3891" s="1" t="str">
        <f>Paths!$A$360</f>
        <v>T089</v>
      </c>
      <c r="B3891" s="1">
        <f>Paths!$B$360</f>
        <v>1</v>
      </c>
      <c r="C3891" s="1">
        <v>1</v>
      </c>
      <c r="D3891" s="1">
        <v>360</v>
      </c>
      <c r="E3891" s="1">
        <f>IF(OR(Paths!$C$360=0,C3891=0),0,MAX(0,MIN(C3891*12,Paths!$E$360)-(C3891-1)*12))</f>
        <v>0</v>
      </c>
      <c r="F3891" s="1">
        <f>IF(OR(Paths!$C$360=0,C3891=0),0,12-E3891)</f>
        <v>0</v>
      </c>
      <c r="G3891" s="16">
        <f>IF(NOT(Paths!$C$360=1),0,IF(Paths!$P$360="Complete",E3891/12*(Paths!$J$360*(1+'Operating costs'!$B$51)^MAX(0,C3891-1)+Paths!$K$360*(1+'Operating costs'!$B$53)^MAX(0,C3891-1)),"n.a."))</f>
        <v>0</v>
      </c>
      <c r="H3891" s="16">
        <f>IF(NOT(Paths!$C$360=1),0,IF(Paths!$P$360="Complete",F3891/12*(Paths!$L$360*(1+IF(Paths!$D$360="EV",'Operating costs'!$B$52,'Operating costs'!$B$51))^MAX(0,C3891-1)+Paths!$M$360*(1+'Operating costs'!$B$53)^MAX(0,C3891-1)),"n.a."))</f>
        <v>0</v>
      </c>
      <c r="I3891" s="16">
        <f>IF(NOT(Paths!$C$360=1),0,IF(Paths!$P$360="Complete",IF(IF(Paths!$E$360=0,C3891=0,AND(C3891&gt;0,Paths!$E$360&gt;(C3891-1)*12,Paths!$E$360&lt;=C3891*12)),Paths!$G$360,0),"n.a."))</f>
        <v>0</v>
      </c>
      <c r="J3891" s="16">
        <f>IF(NOT(Paths!$C$360=1),0,IF(Paths!$P$360="Complete",IF(IF(Paths!$E$360=0,C3891=0,AND(C3891&gt;0,Paths!$E$360&gt;(C3891-1)*12,Paths!$E$360&lt;=C3891*12)),Paths!$H$360,0),"n.a."))</f>
        <v>0</v>
      </c>
      <c r="K3891" s="16">
        <f>IF(NOT(Paths!$C$360=1),0,IF(Paths!$P$360="Complete",IF(IF(Paths!$O$360=0,C3891=0,AND(C3891&gt;0,Paths!$O$360&gt;(C3891-1)*12,Paths!$O$360&lt;=C3891*12)),Paths!$N$360,0),"n.a."))</f>
        <v>0</v>
      </c>
      <c r="L3891" s="16">
        <f>IF(NOT(Paths!$C$360=1),0,IF(Paths!$P$360="Complete",IF(C3891=10,Paths!$I$360,0),"n.a."))</f>
        <v>0</v>
      </c>
      <c r="M3891" s="16">
        <f>IF(NOT(Paths!$C$360=1),0,IF(Paths!$P$360="Complete",IF(AND(Paths!$D$360="EV",Paths!$E$360&lt;120,Paths!$E$360+'Operating costs'!$B$65&gt;Paths!$E$360,Paths!$E$360+'Operating costs'!$B$65&lt;=120,IF(Paths!$E$360+'Operating costs'!$B$65=0,C3891=0,AND(C3891&gt;0,Paths!$E$360+'Operating costs'!$B$65&gt;(C3891-1)*12,Paths!$E$360+'Operating costs'!$B$65&lt;=C3891*12))),'Operating costs'!$B$64,0)+IF(AND('Operating costs'!$B$67&gt;0,'Operating costs'!$B$67&lt;=120,OR(Paths!$D$360="ICE",'Operating costs'!$B$67&lt;=Paths!$E$360),IF('Operating costs'!$B$67=0,C3891=0,AND(C3891&gt;0,'Operating costs'!$B$67&gt;(C3891-1)*12,'Operating costs'!$B$67&lt;=C3891*12))),'Operating costs'!$B$66,0),"n.a."))</f>
        <v>0</v>
      </c>
      <c r="N3891" s="16">
        <f>IF(NOT(Paths!$C$360=1),0,IF(Paths!$P$360="Complete",SUM(G3891:I3891)-J3891-K3891-L3891+M3891+IF(C3891=0,Paths!$F$360,0)+IF(IF(Paths!$E$360=0,C3891=0,AND(C3891&gt;0,Paths!$E$360&gt;(C3891-1)*12,Paths!$E$360&lt;=C3891*12)),VLOOKUP(A3891,'Fleet register'!$A$7:$S$106,16,FALSE),0),"n.a."))</f>
        <v>0</v>
      </c>
      <c r="O3891" s="16">
        <f>IF(NOT(Paths!$C$360=1),0,IF(Paths!$P$360="Complete",N3891-IF(C3891=0,Paths!$F$360,0),"n.a."))</f>
        <v>0</v>
      </c>
      <c r="P3891" s="16">
        <f>IF(NOT(Paths!$C$360=1),0,IF(Paths!$P$360="Complete",O3891+L3891,"n.a."))</f>
        <v>0</v>
      </c>
      <c r="Q3891" s="16">
        <f>IF(NOT(Paths!$C$360=1),0,IF(Paths!$P$360="Complete",N3891*(1+'Operating costs'!$B$54)^-C3891,"n.a."))</f>
        <v>0</v>
      </c>
      <c r="R3891" s="16">
        <f>IF(NOT(Paths!$C$360=1),0,IF(Paths!$P$360="Complete",IF(AND(C3891=0,Paths!$E$360=0),I3891-J3891-K3891+VLOOKUP(A3891,'Fleet register'!$A$7:$S$106,15,FALSE)+VLOOKUP(A3891,'Fleet register'!$A$7:$S$106,16,FALSE),0),"n.a."))</f>
        <v>0</v>
      </c>
      <c r="S3891" s="1">
        <f>IF(NOT(Paths!$C$360=1),0,IF(Paths!$P$360="Complete",IF(C3891=0,0,Paths!$S$360*Paths!$R$360),"n.a."))</f>
        <v>0</v>
      </c>
      <c r="T3891" s="1">
        <f>IF(NOT(Paths!$C$360=1),0,IF(Paths!$P$360="Complete",IF(C3891=0,0,VLOOKUP(A3891,'Fleet register'!$A$7:$S$106,9,FALSE)*Paths!$R$360),"n.a."))</f>
        <v>0</v>
      </c>
    </row>
    <row r="3892" spans="1:20" ht="24" customHeight="1">
      <c r="A3892" s="1" t="str">
        <f>Paths!$A$360</f>
        <v>T089</v>
      </c>
      <c r="B3892" s="1">
        <f>Paths!$B$360</f>
        <v>1</v>
      </c>
      <c r="C3892" s="1">
        <v>2</v>
      </c>
      <c r="D3892" s="1">
        <v>360</v>
      </c>
      <c r="E3892" s="1">
        <f>IF(OR(Paths!$C$360=0,C3892=0),0,MAX(0,MIN(C3892*12,Paths!$E$360)-(C3892-1)*12))</f>
        <v>0</v>
      </c>
      <c r="F3892" s="1">
        <f>IF(OR(Paths!$C$360=0,C3892=0),0,12-E3892)</f>
        <v>0</v>
      </c>
      <c r="G3892" s="16">
        <f>IF(NOT(Paths!$C$360=1),0,IF(Paths!$P$360="Complete",E3892/12*(Paths!$J$360*(1+'Operating costs'!$B$51)^MAX(0,C3892-1)+Paths!$K$360*(1+'Operating costs'!$B$53)^MAX(0,C3892-1)),"n.a."))</f>
        <v>0</v>
      </c>
      <c r="H3892" s="16">
        <f>IF(NOT(Paths!$C$360=1),0,IF(Paths!$P$360="Complete",F3892/12*(Paths!$L$360*(1+IF(Paths!$D$360="EV",'Operating costs'!$B$52,'Operating costs'!$B$51))^MAX(0,C3892-1)+Paths!$M$360*(1+'Operating costs'!$B$53)^MAX(0,C3892-1)),"n.a."))</f>
        <v>0</v>
      </c>
      <c r="I3892" s="16">
        <f>IF(NOT(Paths!$C$360=1),0,IF(Paths!$P$360="Complete",IF(IF(Paths!$E$360=0,C3892=0,AND(C3892&gt;0,Paths!$E$360&gt;(C3892-1)*12,Paths!$E$360&lt;=C3892*12)),Paths!$G$360,0),"n.a."))</f>
        <v>0</v>
      </c>
      <c r="J3892" s="16">
        <f>IF(NOT(Paths!$C$360=1),0,IF(Paths!$P$360="Complete",IF(IF(Paths!$E$360=0,C3892=0,AND(C3892&gt;0,Paths!$E$360&gt;(C3892-1)*12,Paths!$E$360&lt;=C3892*12)),Paths!$H$360,0),"n.a."))</f>
        <v>0</v>
      </c>
      <c r="K3892" s="16">
        <f>IF(NOT(Paths!$C$360=1),0,IF(Paths!$P$360="Complete",IF(IF(Paths!$O$360=0,C3892=0,AND(C3892&gt;0,Paths!$O$360&gt;(C3892-1)*12,Paths!$O$360&lt;=C3892*12)),Paths!$N$360,0),"n.a."))</f>
        <v>0</v>
      </c>
      <c r="L3892" s="16">
        <f>IF(NOT(Paths!$C$360=1),0,IF(Paths!$P$360="Complete",IF(C3892=10,Paths!$I$360,0),"n.a."))</f>
        <v>0</v>
      </c>
      <c r="M3892" s="16">
        <f>IF(NOT(Paths!$C$360=1),0,IF(Paths!$P$360="Complete",IF(AND(Paths!$D$360="EV",Paths!$E$360&lt;120,Paths!$E$360+'Operating costs'!$B$65&gt;Paths!$E$360,Paths!$E$360+'Operating costs'!$B$65&lt;=120,IF(Paths!$E$360+'Operating costs'!$B$65=0,C3892=0,AND(C3892&gt;0,Paths!$E$360+'Operating costs'!$B$65&gt;(C3892-1)*12,Paths!$E$360+'Operating costs'!$B$65&lt;=C3892*12))),'Operating costs'!$B$64,0)+IF(AND('Operating costs'!$B$67&gt;0,'Operating costs'!$B$67&lt;=120,OR(Paths!$D$360="ICE",'Operating costs'!$B$67&lt;=Paths!$E$360),IF('Operating costs'!$B$67=0,C3892=0,AND(C3892&gt;0,'Operating costs'!$B$67&gt;(C3892-1)*12,'Operating costs'!$B$67&lt;=C3892*12))),'Operating costs'!$B$66,0),"n.a."))</f>
        <v>0</v>
      </c>
      <c r="N3892" s="16">
        <f>IF(NOT(Paths!$C$360=1),0,IF(Paths!$P$360="Complete",SUM(G3892:I3892)-J3892-K3892-L3892+M3892+IF(C3892=0,Paths!$F$360,0)+IF(IF(Paths!$E$360=0,C3892=0,AND(C3892&gt;0,Paths!$E$360&gt;(C3892-1)*12,Paths!$E$360&lt;=C3892*12)),VLOOKUP(A3892,'Fleet register'!$A$7:$S$106,16,FALSE),0),"n.a."))</f>
        <v>0</v>
      </c>
      <c r="O3892" s="16">
        <f>IF(NOT(Paths!$C$360=1),0,IF(Paths!$P$360="Complete",N3892-IF(C3892=0,Paths!$F$360,0),"n.a."))</f>
        <v>0</v>
      </c>
      <c r="P3892" s="16">
        <f>IF(NOT(Paths!$C$360=1),0,IF(Paths!$P$360="Complete",O3892+L3892,"n.a."))</f>
        <v>0</v>
      </c>
      <c r="Q3892" s="16">
        <f>IF(NOT(Paths!$C$360=1),0,IF(Paths!$P$360="Complete",N3892*(1+'Operating costs'!$B$54)^-C3892,"n.a."))</f>
        <v>0</v>
      </c>
      <c r="R3892" s="16">
        <f>IF(NOT(Paths!$C$360=1),0,IF(Paths!$P$360="Complete",IF(AND(C3892=0,Paths!$E$360=0),I3892-J3892-K3892+VLOOKUP(A3892,'Fleet register'!$A$7:$S$106,15,FALSE)+VLOOKUP(A3892,'Fleet register'!$A$7:$S$106,16,FALSE),0),"n.a."))</f>
        <v>0</v>
      </c>
      <c r="S3892" s="1">
        <f>IF(NOT(Paths!$C$360=1),0,IF(Paths!$P$360="Complete",IF(C3892=0,0,Paths!$S$360*Paths!$R$360),"n.a."))</f>
        <v>0</v>
      </c>
      <c r="T3892" s="1">
        <f>IF(NOT(Paths!$C$360=1),0,IF(Paths!$P$360="Complete",IF(C3892=0,0,VLOOKUP(A3892,'Fleet register'!$A$7:$S$106,9,FALSE)*Paths!$R$360),"n.a."))</f>
        <v>0</v>
      </c>
    </row>
    <row r="3893" spans="1:20" ht="24" customHeight="1">
      <c r="A3893" s="1" t="str">
        <f>Paths!$A$360</f>
        <v>T089</v>
      </c>
      <c r="B3893" s="1">
        <f>Paths!$B$360</f>
        <v>1</v>
      </c>
      <c r="C3893" s="1">
        <v>3</v>
      </c>
      <c r="D3893" s="1">
        <v>360</v>
      </c>
      <c r="E3893" s="1">
        <f>IF(OR(Paths!$C$360=0,C3893=0),0,MAX(0,MIN(C3893*12,Paths!$E$360)-(C3893-1)*12))</f>
        <v>0</v>
      </c>
      <c r="F3893" s="1">
        <f>IF(OR(Paths!$C$360=0,C3893=0),0,12-E3893)</f>
        <v>0</v>
      </c>
      <c r="G3893" s="16">
        <f>IF(NOT(Paths!$C$360=1),0,IF(Paths!$P$360="Complete",E3893/12*(Paths!$J$360*(1+'Operating costs'!$B$51)^MAX(0,C3893-1)+Paths!$K$360*(1+'Operating costs'!$B$53)^MAX(0,C3893-1)),"n.a."))</f>
        <v>0</v>
      </c>
      <c r="H3893" s="16">
        <f>IF(NOT(Paths!$C$360=1),0,IF(Paths!$P$360="Complete",F3893/12*(Paths!$L$360*(1+IF(Paths!$D$360="EV",'Operating costs'!$B$52,'Operating costs'!$B$51))^MAX(0,C3893-1)+Paths!$M$360*(1+'Operating costs'!$B$53)^MAX(0,C3893-1)),"n.a."))</f>
        <v>0</v>
      </c>
      <c r="I3893" s="16">
        <f>IF(NOT(Paths!$C$360=1),0,IF(Paths!$P$360="Complete",IF(IF(Paths!$E$360=0,C3893=0,AND(C3893&gt;0,Paths!$E$360&gt;(C3893-1)*12,Paths!$E$360&lt;=C3893*12)),Paths!$G$360,0),"n.a."))</f>
        <v>0</v>
      </c>
      <c r="J3893" s="16">
        <f>IF(NOT(Paths!$C$360=1),0,IF(Paths!$P$360="Complete",IF(IF(Paths!$E$360=0,C3893=0,AND(C3893&gt;0,Paths!$E$360&gt;(C3893-1)*12,Paths!$E$360&lt;=C3893*12)),Paths!$H$360,0),"n.a."))</f>
        <v>0</v>
      </c>
      <c r="K3893" s="16">
        <f>IF(NOT(Paths!$C$360=1),0,IF(Paths!$P$360="Complete",IF(IF(Paths!$O$360=0,C3893=0,AND(C3893&gt;0,Paths!$O$360&gt;(C3893-1)*12,Paths!$O$360&lt;=C3893*12)),Paths!$N$360,0),"n.a."))</f>
        <v>0</v>
      </c>
      <c r="L3893" s="16">
        <f>IF(NOT(Paths!$C$360=1),0,IF(Paths!$P$360="Complete",IF(C3893=10,Paths!$I$360,0),"n.a."))</f>
        <v>0</v>
      </c>
      <c r="M3893" s="16">
        <f>IF(NOT(Paths!$C$360=1),0,IF(Paths!$P$360="Complete",IF(AND(Paths!$D$360="EV",Paths!$E$360&lt;120,Paths!$E$360+'Operating costs'!$B$65&gt;Paths!$E$360,Paths!$E$360+'Operating costs'!$B$65&lt;=120,IF(Paths!$E$360+'Operating costs'!$B$65=0,C3893=0,AND(C3893&gt;0,Paths!$E$360+'Operating costs'!$B$65&gt;(C3893-1)*12,Paths!$E$360+'Operating costs'!$B$65&lt;=C3893*12))),'Operating costs'!$B$64,0)+IF(AND('Operating costs'!$B$67&gt;0,'Operating costs'!$B$67&lt;=120,OR(Paths!$D$360="ICE",'Operating costs'!$B$67&lt;=Paths!$E$360),IF('Operating costs'!$B$67=0,C3893=0,AND(C3893&gt;0,'Operating costs'!$B$67&gt;(C3893-1)*12,'Operating costs'!$B$67&lt;=C3893*12))),'Operating costs'!$B$66,0),"n.a."))</f>
        <v>0</v>
      </c>
      <c r="N3893" s="16">
        <f>IF(NOT(Paths!$C$360=1),0,IF(Paths!$P$360="Complete",SUM(G3893:I3893)-J3893-K3893-L3893+M3893+IF(C3893=0,Paths!$F$360,0)+IF(IF(Paths!$E$360=0,C3893=0,AND(C3893&gt;0,Paths!$E$360&gt;(C3893-1)*12,Paths!$E$360&lt;=C3893*12)),VLOOKUP(A3893,'Fleet register'!$A$7:$S$106,16,FALSE),0),"n.a."))</f>
        <v>0</v>
      </c>
      <c r="O3893" s="16">
        <f>IF(NOT(Paths!$C$360=1),0,IF(Paths!$P$360="Complete",N3893-IF(C3893=0,Paths!$F$360,0),"n.a."))</f>
        <v>0</v>
      </c>
      <c r="P3893" s="16">
        <f>IF(NOT(Paths!$C$360=1),0,IF(Paths!$P$360="Complete",O3893+L3893,"n.a."))</f>
        <v>0</v>
      </c>
      <c r="Q3893" s="16">
        <f>IF(NOT(Paths!$C$360=1),0,IF(Paths!$P$360="Complete",N3893*(1+'Operating costs'!$B$54)^-C3893,"n.a."))</f>
        <v>0</v>
      </c>
      <c r="R3893" s="16">
        <f>IF(NOT(Paths!$C$360=1),0,IF(Paths!$P$360="Complete",IF(AND(C3893=0,Paths!$E$360=0),I3893-J3893-K3893+VLOOKUP(A3893,'Fleet register'!$A$7:$S$106,15,FALSE)+VLOOKUP(A3893,'Fleet register'!$A$7:$S$106,16,FALSE),0),"n.a."))</f>
        <v>0</v>
      </c>
      <c r="S3893" s="1">
        <f>IF(NOT(Paths!$C$360=1),0,IF(Paths!$P$360="Complete",IF(C3893=0,0,Paths!$S$360*Paths!$R$360),"n.a."))</f>
        <v>0</v>
      </c>
      <c r="T3893" s="1">
        <f>IF(NOT(Paths!$C$360=1),0,IF(Paths!$P$360="Complete",IF(C3893=0,0,VLOOKUP(A3893,'Fleet register'!$A$7:$S$106,9,FALSE)*Paths!$R$360),"n.a."))</f>
        <v>0</v>
      </c>
    </row>
    <row r="3894" spans="1:20" ht="24" customHeight="1">
      <c r="A3894" s="1" t="str">
        <f>Paths!$A$360</f>
        <v>T089</v>
      </c>
      <c r="B3894" s="1">
        <f>Paths!$B$360</f>
        <v>1</v>
      </c>
      <c r="C3894" s="1">
        <v>4</v>
      </c>
      <c r="D3894" s="1">
        <v>360</v>
      </c>
      <c r="E3894" s="1">
        <f>IF(OR(Paths!$C$360=0,C3894=0),0,MAX(0,MIN(C3894*12,Paths!$E$360)-(C3894-1)*12))</f>
        <v>0</v>
      </c>
      <c r="F3894" s="1">
        <f>IF(OR(Paths!$C$360=0,C3894=0),0,12-E3894)</f>
        <v>0</v>
      </c>
      <c r="G3894" s="16">
        <f>IF(NOT(Paths!$C$360=1),0,IF(Paths!$P$360="Complete",E3894/12*(Paths!$J$360*(1+'Operating costs'!$B$51)^MAX(0,C3894-1)+Paths!$K$360*(1+'Operating costs'!$B$53)^MAX(0,C3894-1)),"n.a."))</f>
        <v>0</v>
      </c>
      <c r="H3894" s="16">
        <f>IF(NOT(Paths!$C$360=1),0,IF(Paths!$P$360="Complete",F3894/12*(Paths!$L$360*(1+IF(Paths!$D$360="EV",'Operating costs'!$B$52,'Operating costs'!$B$51))^MAX(0,C3894-1)+Paths!$M$360*(1+'Operating costs'!$B$53)^MAX(0,C3894-1)),"n.a."))</f>
        <v>0</v>
      </c>
      <c r="I3894" s="16">
        <f>IF(NOT(Paths!$C$360=1),0,IF(Paths!$P$360="Complete",IF(IF(Paths!$E$360=0,C3894=0,AND(C3894&gt;0,Paths!$E$360&gt;(C3894-1)*12,Paths!$E$360&lt;=C3894*12)),Paths!$G$360,0),"n.a."))</f>
        <v>0</v>
      </c>
      <c r="J3894" s="16">
        <f>IF(NOT(Paths!$C$360=1),0,IF(Paths!$P$360="Complete",IF(IF(Paths!$E$360=0,C3894=0,AND(C3894&gt;0,Paths!$E$360&gt;(C3894-1)*12,Paths!$E$360&lt;=C3894*12)),Paths!$H$360,0),"n.a."))</f>
        <v>0</v>
      </c>
      <c r="K3894" s="16">
        <f>IF(NOT(Paths!$C$360=1),0,IF(Paths!$P$360="Complete",IF(IF(Paths!$O$360=0,C3894=0,AND(C3894&gt;0,Paths!$O$360&gt;(C3894-1)*12,Paths!$O$360&lt;=C3894*12)),Paths!$N$360,0),"n.a."))</f>
        <v>0</v>
      </c>
      <c r="L3894" s="16">
        <f>IF(NOT(Paths!$C$360=1),0,IF(Paths!$P$360="Complete",IF(C3894=10,Paths!$I$360,0),"n.a."))</f>
        <v>0</v>
      </c>
      <c r="M3894" s="16">
        <f>IF(NOT(Paths!$C$360=1),0,IF(Paths!$P$360="Complete",IF(AND(Paths!$D$360="EV",Paths!$E$360&lt;120,Paths!$E$360+'Operating costs'!$B$65&gt;Paths!$E$360,Paths!$E$360+'Operating costs'!$B$65&lt;=120,IF(Paths!$E$360+'Operating costs'!$B$65=0,C3894=0,AND(C3894&gt;0,Paths!$E$360+'Operating costs'!$B$65&gt;(C3894-1)*12,Paths!$E$360+'Operating costs'!$B$65&lt;=C3894*12))),'Operating costs'!$B$64,0)+IF(AND('Operating costs'!$B$67&gt;0,'Operating costs'!$B$67&lt;=120,OR(Paths!$D$360="ICE",'Operating costs'!$B$67&lt;=Paths!$E$360),IF('Operating costs'!$B$67=0,C3894=0,AND(C3894&gt;0,'Operating costs'!$B$67&gt;(C3894-1)*12,'Operating costs'!$B$67&lt;=C3894*12))),'Operating costs'!$B$66,0),"n.a."))</f>
        <v>0</v>
      </c>
      <c r="N3894" s="16">
        <f>IF(NOT(Paths!$C$360=1),0,IF(Paths!$P$360="Complete",SUM(G3894:I3894)-J3894-K3894-L3894+M3894+IF(C3894=0,Paths!$F$360,0)+IF(IF(Paths!$E$360=0,C3894=0,AND(C3894&gt;0,Paths!$E$360&gt;(C3894-1)*12,Paths!$E$360&lt;=C3894*12)),VLOOKUP(A3894,'Fleet register'!$A$7:$S$106,16,FALSE),0),"n.a."))</f>
        <v>0</v>
      </c>
      <c r="O3894" s="16">
        <f>IF(NOT(Paths!$C$360=1),0,IF(Paths!$P$360="Complete",N3894-IF(C3894=0,Paths!$F$360,0),"n.a."))</f>
        <v>0</v>
      </c>
      <c r="P3894" s="16">
        <f>IF(NOT(Paths!$C$360=1),0,IF(Paths!$P$360="Complete",O3894+L3894,"n.a."))</f>
        <v>0</v>
      </c>
      <c r="Q3894" s="16">
        <f>IF(NOT(Paths!$C$360=1),0,IF(Paths!$P$360="Complete",N3894*(1+'Operating costs'!$B$54)^-C3894,"n.a."))</f>
        <v>0</v>
      </c>
      <c r="R3894" s="16">
        <f>IF(NOT(Paths!$C$360=1),0,IF(Paths!$P$360="Complete",IF(AND(C3894=0,Paths!$E$360=0),I3894-J3894-K3894+VLOOKUP(A3894,'Fleet register'!$A$7:$S$106,15,FALSE)+VLOOKUP(A3894,'Fleet register'!$A$7:$S$106,16,FALSE),0),"n.a."))</f>
        <v>0</v>
      </c>
      <c r="S3894" s="1">
        <f>IF(NOT(Paths!$C$360=1),0,IF(Paths!$P$360="Complete",IF(C3894=0,0,Paths!$S$360*Paths!$R$360),"n.a."))</f>
        <v>0</v>
      </c>
      <c r="T3894" s="1">
        <f>IF(NOT(Paths!$C$360=1),0,IF(Paths!$P$360="Complete",IF(C3894=0,0,VLOOKUP(A3894,'Fleet register'!$A$7:$S$106,9,FALSE)*Paths!$R$360),"n.a."))</f>
        <v>0</v>
      </c>
    </row>
    <row r="3895" spans="1:20" ht="24" customHeight="1">
      <c r="A3895" s="1" t="str">
        <f>Paths!$A$360</f>
        <v>T089</v>
      </c>
      <c r="B3895" s="1">
        <f>Paths!$B$360</f>
        <v>1</v>
      </c>
      <c r="C3895" s="1">
        <v>5</v>
      </c>
      <c r="D3895" s="1">
        <v>360</v>
      </c>
      <c r="E3895" s="1">
        <f>IF(OR(Paths!$C$360=0,C3895=0),0,MAX(0,MIN(C3895*12,Paths!$E$360)-(C3895-1)*12))</f>
        <v>0</v>
      </c>
      <c r="F3895" s="1">
        <f>IF(OR(Paths!$C$360=0,C3895=0),0,12-E3895)</f>
        <v>0</v>
      </c>
      <c r="G3895" s="16">
        <f>IF(NOT(Paths!$C$360=1),0,IF(Paths!$P$360="Complete",E3895/12*(Paths!$J$360*(1+'Operating costs'!$B$51)^MAX(0,C3895-1)+Paths!$K$360*(1+'Operating costs'!$B$53)^MAX(0,C3895-1)),"n.a."))</f>
        <v>0</v>
      </c>
      <c r="H3895" s="16">
        <f>IF(NOT(Paths!$C$360=1),0,IF(Paths!$P$360="Complete",F3895/12*(Paths!$L$360*(1+IF(Paths!$D$360="EV",'Operating costs'!$B$52,'Operating costs'!$B$51))^MAX(0,C3895-1)+Paths!$M$360*(1+'Operating costs'!$B$53)^MAX(0,C3895-1)),"n.a."))</f>
        <v>0</v>
      </c>
      <c r="I3895" s="16">
        <f>IF(NOT(Paths!$C$360=1),0,IF(Paths!$P$360="Complete",IF(IF(Paths!$E$360=0,C3895=0,AND(C3895&gt;0,Paths!$E$360&gt;(C3895-1)*12,Paths!$E$360&lt;=C3895*12)),Paths!$G$360,0),"n.a."))</f>
        <v>0</v>
      </c>
      <c r="J3895" s="16">
        <f>IF(NOT(Paths!$C$360=1),0,IF(Paths!$P$360="Complete",IF(IF(Paths!$E$360=0,C3895=0,AND(C3895&gt;0,Paths!$E$360&gt;(C3895-1)*12,Paths!$E$360&lt;=C3895*12)),Paths!$H$360,0),"n.a."))</f>
        <v>0</v>
      </c>
      <c r="K3895" s="16">
        <f>IF(NOT(Paths!$C$360=1),0,IF(Paths!$P$360="Complete",IF(IF(Paths!$O$360=0,C3895=0,AND(C3895&gt;0,Paths!$O$360&gt;(C3895-1)*12,Paths!$O$360&lt;=C3895*12)),Paths!$N$360,0),"n.a."))</f>
        <v>0</v>
      </c>
      <c r="L3895" s="16">
        <f>IF(NOT(Paths!$C$360=1),0,IF(Paths!$P$360="Complete",IF(C3895=10,Paths!$I$360,0),"n.a."))</f>
        <v>0</v>
      </c>
      <c r="M3895" s="16">
        <f>IF(NOT(Paths!$C$360=1),0,IF(Paths!$P$360="Complete",IF(AND(Paths!$D$360="EV",Paths!$E$360&lt;120,Paths!$E$360+'Operating costs'!$B$65&gt;Paths!$E$360,Paths!$E$360+'Operating costs'!$B$65&lt;=120,IF(Paths!$E$360+'Operating costs'!$B$65=0,C3895=0,AND(C3895&gt;0,Paths!$E$360+'Operating costs'!$B$65&gt;(C3895-1)*12,Paths!$E$360+'Operating costs'!$B$65&lt;=C3895*12))),'Operating costs'!$B$64,0)+IF(AND('Operating costs'!$B$67&gt;0,'Operating costs'!$B$67&lt;=120,OR(Paths!$D$360="ICE",'Operating costs'!$B$67&lt;=Paths!$E$360),IF('Operating costs'!$B$67=0,C3895=0,AND(C3895&gt;0,'Operating costs'!$B$67&gt;(C3895-1)*12,'Operating costs'!$B$67&lt;=C3895*12))),'Operating costs'!$B$66,0),"n.a."))</f>
        <v>0</v>
      </c>
      <c r="N3895" s="16">
        <f>IF(NOT(Paths!$C$360=1),0,IF(Paths!$P$360="Complete",SUM(G3895:I3895)-J3895-K3895-L3895+M3895+IF(C3895=0,Paths!$F$360,0)+IF(IF(Paths!$E$360=0,C3895=0,AND(C3895&gt;0,Paths!$E$360&gt;(C3895-1)*12,Paths!$E$360&lt;=C3895*12)),VLOOKUP(A3895,'Fleet register'!$A$7:$S$106,16,FALSE),0),"n.a."))</f>
        <v>0</v>
      </c>
      <c r="O3895" s="16">
        <f>IF(NOT(Paths!$C$360=1),0,IF(Paths!$P$360="Complete",N3895-IF(C3895=0,Paths!$F$360,0),"n.a."))</f>
        <v>0</v>
      </c>
      <c r="P3895" s="16">
        <f>IF(NOT(Paths!$C$360=1),0,IF(Paths!$P$360="Complete",O3895+L3895,"n.a."))</f>
        <v>0</v>
      </c>
      <c r="Q3895" s="16">
        <f>IF(NOT(Paths!$C$360=1),0,IF(Paths!$P$360="Complete",N3895*(1+'Operating costs'!$B$54)^-C3895,"n.a."))</f>
        <v>0</v>
      </c>
      <c r="R3895" s="16">
        <f>IF(NOT(Paths!$C$360=1),0,IF(Paths!$P$360="Complete",IF(AND(C3895=0,Paths!$E$360=0),I3895-J3895-K3895+VLOOKUP(A3895,'Fleet register'!$A$7:$S$106,15,FALSE)+VLOOKUP(A3895,'Fleet register'!$A$7:$S$106,16,FALSE),0),"n.a."))</f>
        <v>0</v>
      </c>
      <c r="S3895" s="1">
        <f>IF(NOT(Paths!$C$360=1),0,IF(Paths!$P$360="Complete",IF(C3895=0,0,Paths!$S$360*Paths!$R$360),"n.a."))</f>
        <v>0</v>
      </c>
      <c r="T3895" s="1">
        <f>IF(NOT(Paths!$C$360=1),0,IF(Paths!$P$360="Complete",IF(C3895=0,0,VLOOKUP(A3895,'Fleet register'!$A$7:$S$106,9,FALSE)*Paths!$R$360),"n.a."))</f>
        <v>0</v>
      </c>
    </row>
    <row r="3896" spans="1:20" ht="24" customHeight="1">
      <c r="A3896" s="1" t="str">
        <f>Paths!$A$360</f>
        <v>T089</v>
      </c>
      <c r="B3896" s="1">
        <f>Paths!$B$360</f>
        <v>1</v>
      </c>
      <c r="C3896" s="1">
        <v>6</v>
      </c>
      <c r="D3896" s="1">
        <v>360</v>
      </c>
      <c r="E3896" s="1">
        <f>IF(OR(Paths!$C$360=0,C3896=0),0,MAX(0,MIN(C3896*12,Paths!$E$360)-(C3896-1)*12))</f>
        <v>0</v>
      </c>
      <c r="F3896" s="1">
        <f>IF(OR(Paths!$C$360=0,C3896=0),0,12-E3896)</f>
        <v>0</v>
      </c>
      <c r="G3896" s="16">
        <f>IF(NOT(Paths!$C$360=1),0,IF(Paths!$P$360="Complete",E3896/12*(Paths!$J$360*(1+'Operating costs'!$B$51)^MAX(0,C3896-1)+Paths!$K$360*(1+'Operating costs'!$B$53)^MAX(0,C3896-1)),"n.a."))</f>
        <v>0</v>
      </c>
      <c r="H3896" s="16">
        <f>IF(NOT(Paths!$C$360=1),0,IF(Paths!$P$360="Complete",F3896/12*(Paths!$L$360*(1+IF(Paths!$D$360="EV",'Operating costs'!$B$52,'Operating costs'!$B$51))^MAX(0,C3896-1)+Paths!$M$360*(1+'Operating costs'!$B$53)^MAX(0,C3896-1)),"n.a."))</f>
        <v>0</v>
      </c>
      <c r="I3896" s="16">
        <f>IF(NOT(Paths!$C$360=1),0,IF(Paths!$P$360="Complete",IF(IF(Paths!$E$360=0,C3896=0,AND(C3896&gt;0,Paths!$E$360&gt;(C3896-1)*12,Paths!$E$360&lt;=C3896*12)),Paths!$G$360,0),"n.a."))</f>
        <v>0</v>
      </c>
      <c r="J3896" s="16">
        <f>IF(NOT(Paths!$C$360=1),0,IF(Paths!$P$360="Complete",IF(IF(Paths!$E$360=0,C3896=0,AND(C3896&gt;0,Paths!$E$360&gt;(C3896-1)*12,Paths!$E$360&lt;=C3896*12)),Paths!$H$360,0),"n.a."))</f>
        <v>0</v>
      </c>
      <c r="K3896" s="16">
        <f>IF(NOT(Paths!$C$360=1),0,IF(Paths!$P$360="Complete",IF(IF(Paths!$O$360=0,C3896=0,AND(C3896&gt;0,Paths!$O$360&gt;(C3896-1)*12,Paths!$O$360&lt;=C3896*12)),Paths!$N$360,0),"n.a."))</f>
        <v>0</v>
      </c>
      <c r="L3896" s="16">
        <f>IF(NOT(Paths!$C$360=1),0,IF(Paths!$P$360="Complete",IF(C3896=10,Paths!$I$360,0),"n.a."))</f>
        <v>0</v>
      </c>
      <c r="M3896" s="16">
        <f>IF(NOT(Paths!$C$360=1),0,IF(Paths!$P$360="Complete",IF(AND(Paths!$D$360="EV",Paths!$E$360&lt;120,Paths!$E$360+'Operating costs'!$B$65&gt;Paths!$E$360,Paths!$E$360+'Operating costs'!$B$65&lt;=120,IF(Paths!$E$360+'Operating costs'!$B$65=0,C3896=0,AND(C3896&gt;0,Paths!$E$360+'Operating costs'!$B$65&gt;(C3896-1)*12,Paths!$E$360+'Operating costs'!$B$65&lt;=C3896*12))),'Operating costs'!$B$64,0)+IF(AND('Operating costs'!$B$67&gt;0,'Operating costs'!$B$67&lt;=120,OR(Paths!$D$360="ICE",'Operating costs'!$B$67&lt;=Paths!$E$360),IF('Operating costs'!$B$67=0,C3896=0,AND(C3896&gt;0,'Operating costs'!$B$67&gt;(C3896-1)*12,'Operating costs'!$B$67&lt;=C3896*12))),'Operating costs'!$B$66,0),"n.a."))</f>
        <v>0</v>
      </c>
      <c r="N3896" s="16">
        <f>IF(NOT(Paths!$C$360=1),0,IF(Paths!$P$360="Complete",SUM(G3896:I3896)-J3896-K3896-L3896+M3896+IF(C3896=0,Paths!$F$360,0)+IF(IF(Paths!$E$360=0,C3896=0,AND(C3896&gt;0,Paths!$E$360&gt;(C3896-1)*12,Paths!$E$360&lt;=C3896*12)),VLOOKUP(A3896,'Fleet register'!$A$7:$S$106,16,FALSE),0),"n.a."))</f>
        <v>0</v>
      </c>
      <c r="O3896" s="16">
        <f>IF(NOT(Paths!$C$360=1),0,IF(Paths!$P$360="Complete",N3896-IF(C3896=0,Paths!$F$360,0),"n.a."))</f>
        <v>0</v>
      </c>
      <c r="P3896" s="16">
        <f>IF(NOT(Paths!$C$360=1),0,IF(Paths!$P$360="Complete",O3896+L3896,"n.a."))</f>
        <v>0</v>
      </c>
      <c r="Q3896" s="16">
        <f>IF(NOT(Paths!$C$360=1),0,IF(Paths!$P$360="Complete",N3896*(1+'Operating costs'!$B$54)^-C3896,"n.a."))</f>
        <v>0</v>
      </c>
      <c r="R3896" s="16">
        <f>IF(NOT(Paths!$C$360=1),0,IF(Paths!$P$360="Complete",IF(AND(C3896=0,Paths!$E$360=0),I3896-J3896-K3896+VLOOKUP(A3896,'Fleet register'!$A$7:$S$106,15,FALSE)+VLOOKUP(A3896,'Fleet register'!$A$7:$S$106,16,FALSE),0),"n.a."))</f>
        <v>0</v>
      </c>
      <c r="S3896" s="1">
        <f>IF(NOT(Paths!$C$360=1),0,IF(Paths!$P$360="Complete",IF(C3896=0,0,Paths!$S$360*Paths!$R$360),"n.a."))</f>
        <v>0</v>
      </c>
      <c r="T3896" s="1">
        <f>IF(NOT(Paths!$C$360=1),0,IF(Paths!$P$360="Complete",IF(C3896=0,0,VLOOKUP(A3896,'Fleet register'!$A$7:$S$106,9,FALSE)*Paths!$R$360),"n.a."))</f>
        <v>0</v>
      </c>
    </row>
    <row r="3897" spans="1:20" ht="24" customHeight="1">
      <c r="A3897" s="1" t="str">
        <f>Paths!$A$360</f>
        <v>T089</v>
      </c>
      <c r="B3897" s="1">
        <f>Paths!$B$360</f>
        <v>1</v>
      </c>
      <c r="C3897" s="1">
        <v>7</v>
      </c>
      <c r="D3897" s="1">
        <v>360</v>
      </c>
      <c r="E3897" s="1">
        <f>IF(OR(Paths!$C$360=0,C3897=0),0,MAX(0,MIN(C3897*12,Paths!$E$360)-(C3897-1)*12))</f>
        <v>0</v>
      </c>
      <c r="F3897" s="1">
        <f>IF(OR(Paths!$C$360=0,C3897=0),0,12-E3897)</f>
        <v>0</v>
      </c>
      <c r="G3897" s="16">
        <f>IF(NOT(Paths!$C$360=1),0,IF(Paths!$P$360="Complete",E3897/12*(Paths!$J$360*(1+'Operating costs'!$B$51)^MAX(0,C3897-1)+Paths!$K$360*(1+'Operating costs'!$B$53)^MAX(0,C3897-1)),"n.a."))</f>
        <v>0</v>
      </c>
      <c r="H3897" s="16">
        <f>IF(NOT(Paths!$C$360=1),0,IF(Paths!$P$360="Complete",F3897/12*(Paths!$L$360*(1+IF(Paths!$D$360="EV",'Operating costs'!$B$52,'Operating costs'!$B$51))^MAX(0,C3897-1)+Paths!$M$360*(1+'Operating costs'!$B$53)^MAX(0,C3897-1)),"n.a."))</f>
        <v>0</v>
      </c>
      <c r="I3897" s="16">
        <f>IF(NOT(Paths!$C$360=1),0,IF(Paths!$P$360="Complete",IF(IF(Paths!$E$360=0,C3897=0,AND(C3897&gt;0,Paths!$E$360&gt;(C3897-1)*12,Paths!$E$360&lt;=C3897*12)),Paths!$G$360,0),"n.a."))</f>
        <v>0</v>
      </c>
      <c r="J3897" s="16">
        <f>IF(NOT(Paths!$C$360=1),0,IF(Paths!$P$360="Complete",IF(IF(Paths!$E$360=0,C3897=0,AND(C3897&gt;0,Paths!$E$360&gt;(C3897-1)*12,Paths!$E$360&lt;=C3897*12)),Paths!$H$360,0),"n.a."))</f>
        <v>0</v>
      </c>
      <c r="K3897" s="16">
        <f>IF(NOT(Paths!$C$360=1),0,IF(Paths!$P$360="Complete",IF(IF(Paths!$O$360=0,C3897=0,AND(C3897&gt;0,Paths!$O$360&gt;(C3897-1)*12,Paths!$O$360&lt;=C3897*12)),Paths!$N$360,0),"n.a."))</f>
        <v>0</v>
      </c>
      <c r="L3897" s="16">
        <f>IF(NOT(Paths!$C$360=1),0,IF(Paths!$P$360="Complete",IF(C3897=10,Paths!$I$360,0),"n.a."))</f>
        <v>0</v>
      </c>
      <c r="M3897" s="16">
        <f>IF(NOT(Paths!$C$360=1),0,IF(Paths!$P$360="Complete",IF(AND(Paths!$D$360="EV",Paths!$E$360&lt;120,Paths!$E$360+'Operating costs'!$B$65&gt;Paths!$E$360,Paths!$E$360+'Operating costs'!$B$65&lt;=120,IF(Paths!$E$360+'Operating costs'!$B$65=0,C3897=0,AND(C3897&gt;0,Paths!$E$360+'Operating costs'!$B$65&gt;(C3897-1)*12,Paths!$E$360+'Operating costs'!$B$65&lt;=C3897*12))),'Operating costs'!$B$64,0)+IF(AND('Operating costs'!$B$67&gt;0,'Operating costs'!$B$67&lt;=120,OR(Paths!$D$360="ICE",'Operating costs'!$B$67&lt;=Paths!$E$360),IF('Operating costs'!$B$67=0,C3897=0,AND(C3897&gt;0,'Operating costs'!$B$67&gt;(C3897-1)*12,'Operating costs'!$B$67&lt;=C3897*12))),'Operating costs'!$B$66,0),"n.a."))</f>
        <v>0</v>
      </c>
      <c r="N3897" s="16">
        <f>IF(NOT(Paths!$C$360=1),0,IF(Paths!$P$360="Complete",SUM(G3897:I3897)-J3897-K3897-L3897+M3897+IF(C3897=0,Paths!$F$360,0)+IF(IF(Paths!$E$360=0,C3897=0,AND(C3897&gt;0,Paths!$E$360&gt;(C3897-1)*12,Paths!$E$360&lt;=C3897*12)),VLOOKUP(A3897,'Fleet register'!$A$7:$S$106,16,FALSE),0),"n.a."))</f>
        <v>0</v>
      </c>
      <c r="O3897" s="16">
        <f>IF(NOT(Paths!$C$360=1),0,IF(Paths!$P$360="Complete",N3897-IF(C3897=0,Paths!$F$360,0),"n.a."))</f>
        <v>0</v>
      </c>
      <c r="P3897" s="16">
        <f>IF(NOT(Paths!$C$360=1),0,IF(Paths!$P$360="Complete",O3897+L3897,"n.a."))</f>
        <v>0</v>
      </c>
      <c r="Q3897" s="16">
        <f>IF(NOT(Paths!$C$360=1),0,IF(Paths!$P$360="Complete",N3897*(1+'Operating costs'!$B$54)^-C3897,"n.a."))</f>
        <v>0</v>
      </c>
      <c r="R3897" s="16">
        <f>IF(NOT(Paths!$C$360=1),0,IF(Paths!$P$360="Complete",IF(AND(C3897=0,Paths!$E$360=0),I3897-J3897-K3897+VLOOKUP(A3897,'Fleet register'!$A$7:$S$106,15,FALSE)+VLOOKUP(A3897,'Fleet register'!$A$7:$S$106,16,FALSE),0),"n.a."))</f>
        <v>0</v>
      </c>
      <c r="S3897" s="1">
        <f>IF(NOT(Paths!$C$360=1),0,IF(Paths!$P$360="Complete",IF(C3897=0,0,Paths!$S$360*Paths!$R$360),"n.a."))</f>
        <v>0</v>
      </c>
      <c r="T3897" s="1">
        <f>IF(NOT(Paths!$C$360=1),0,IF(Paths!$P$360="Complete",IF(C3897=0,0,VLOOKUP(A3897,'Fleet register'!$A$7:$S$106,9,FALSE)*Paths!$R$360),"n.a."))</f>
        <v>0</v>
      </c>
    </row>
    <row r="3898" spans="1:20" ht="24" customHeight="1">
      <c r="A3898" s="1" t="str">
        <f>Paths!$A$360</f>
        <v>T089</v>
      </c>
      <c r="B3898" s="1">
        <f>Paths!$B$360</f>
        <v>1</v>
      </c>
      <c r="C3898" s="1">
        <v>8</v>
      </c>
      <c r="D3898" s="1">
        <v>360</v>
      </c>
      <c r="E3898" s="1">
        <f>IF(OR(Paths!$C$360=0,C3898=0),0,MAX(0,MIN(C3898*12,Paths!$E$360)-(C3898-1)*12))</f>
        <v>0</v>
      </c>
      <c r="F3898" s="1">
        <f>IF(OR(Paths!$C$360=0,C3898=0),0,12-E3898)</f>
        <v>0</v>
      </c>
      <c r="G3898" s="16">
        <f>IF(NOT(Paths!$C$360=1),0,IF(Paths!$P$360="Complete",E3898/12*(Paths!$J$360*(1+'Operating costs'!$B$51)^MAX(0,C3898-1)+Paths!$K$360*(1+'Operating costs'!$B$53)^MAX(0,C3898-1)),"n.a."))</f>
        <v>0</v>
      </c>
      <c r="H3898" s="16">
        <f>IF(NOT(Paths!$C$360=1),0,IF(Paths!$P$360="Complete",F3898/12*(Paths!$L$360*(1+IF(Paths!$D$360="EV",'Operating costs'!$B$52,'Operating costs'!$B$51))^MAX(0,C3898-1)+Paths!$M$360*(1+'Operating costs'!$B$53)^MAX(0,C3898-1)),"n.a."))</f>
        <v>0</v>
      </c>
      <c r="I3898" s="16">
        <f>IF(NOT(Paths!$C$360=1),0,IF(Paths!$P$360="Complete",IF(IF(Paths!$E$360=0,C3898=0,AND(C3898&gt;0,Paths!$E$360&gt;(C3898-1)*12,Paths!$E$360&lt;=C3898*12)),Paths!$G$360,0),"n.a."))</f>
        <v>0</v>
      </c>
      <c r="J3898" s="16">
        <f>IF(NOT(Paths!$C$360=1),0,IF(Paths!$P$360="Complete",IF(IF(Paths!$E$360=0,C3898=0,AND(C3898&gt;0,Paths!$E$360&gt;(C3898-1)*12,Paths!$E$360&lt;=C3898*12)),Paths!$H$360,0),"n.a."))</f>
        <v>0</v>
      </c>
      <c r="K3898" s="16">
        <f>IF(NOT(Paths!$C$360=1),0,IF(Paths!$P$360="Complete",IF(IF(Paths!$O$360=0,C3898=0,AND(C3898&gt;0,Paths!$O$360&gt;(C3898-1)*12,Paths!$O$360&lt;=C3898*12)),Paths!$N$360,0),"n.a."))</f>
        <v>0</v>
      </c>
      <c r="L3898" s="16">
        <f>IF(NOT(Paths!$C$360=1),0,IF(Paths!$P$360="Complete",IF(C3898=10,Paths!$I$360,0),"n.a."))</f>
        <v>0</v>
      </c>
      <c r="M3898" s="16">
        <f>IF(NOT(Paths!$C$360=1),0,IF(Paths!$P$360="Complete",IF(AND(Paths!$D$360="EV",Paths!$E$360&lt;120,Paths!$E$360+'Operating costs'!$B$65&gt;Paths!$E$360,Paths!$E$360+'Operating costs'!$B$65&lt;=120,IF(Paths!$E$360+'Operating costs'!$B$65=0,C3898=0,AND(C3898&gt;0,Paths!$E$360+'Operating costs'!$B$65&gt;(C3898-1)*12,Paths!$E$360+'Operating costs'!$B$65&lt;=C3898*12))),'Operating costs'!$B$64,0)+IF(AND('Operating costs'!$B$67&gt;0,'Operating costs'!$B$67&lt;=120,OR(Paths!$D$360="ICE",'Operating costs'!$B$67&lt;=Paths!$E$360),IF('Operating costs'!$B$67=0,C3898=0,AND(C3898&gt;0,'Operating costs'!$B$67&gt;(C3898-1)*12,'Operating costs'!$B$67&lt;=C3898*12))),'Operating costs'!$B$66,0),"n.a."))</f>
        <v>0</v>
      </c>
      <c r="N3898" s="16">
        <f>IF(NOT(Paths!$C$360=1),0,IF(Paths!$P$360="Complete",SUM(G3898:I3898)-J3898-K3898-L3898+M3898+IF(C3898=0,Paths!$F$360,0)+IF(IF(Paths!$E$360=0,C3898=0,AND(C3898&gt;0,Paths!$E$360&gt;(C3898-1)*12,Paths!$E$360&lt;=C3898*12)),VLOOKUP(A3898,'Fleet register'!$A$7:$S$106,16,FALSE),0),"n.a."))</f>
        <v>0</v>
      </c>
      <c r="O3898" s="16">
        <f>IF(NOT(Paths!$C$360=1),0,IF(Paths!$P$360="Complete",N3898-IF(C3898=0,Paths!$F$360,0),"n.a."))</f>
        <v>0</v>
      </c>
      <c r="P3898" s="16">
        <f>IF(NOT(Paths!$C$360=1),0,IF(Paths!$P$360="Complete",O3898+L3898,"n.a."))</f>
        <v>0</v>
      </c>
      <c r="Q3898" s="16">
        <f>IF(NOT(Paths!$C$360=1),0,IF(Paths!$P$360="Complete",N3898*(1+'Operating costs'!$B$54)^-C3898,"n.a."))</f>
        <v>0</v>
      </c>
      <c r="R3898" s="16">
        <f>IF(NOT(Paths!$C$360=1),0,IF(Paths!$P$360="Complete",IF(AND(C3898=0,Paths!$E$360=0),I3898-J3898-K3898+VLOOKUP(A3898,'Fleet register'!$A$7:$S$106,15,FALSE)+VLOOKUP(A3898,'Fleet register'!$A$7:$S$106,16,FALSE),0),"n.a."))</f>
        <v>0</v>
      </c>
      <c r="S3898" s="1">
        <f>IF(NOT(Paths!$C$360=1),0,IF(Paths!$P$360="Complete",IF(C3898=0,0,Paths!$S$360*Paths!$R$360),"n.a."))</f>
        <v>0</v>
      </c>
      <c r="T3898" s="1">
        <f>IF(NOT(Paths!$C$360=1),0,IF(Paths!$P$360="Complete",IF(C3898=0,0,VLOOKUP(A3898,'Fleet register'!$A$7:$S$106,9,FALSE)*Paths!$R$360),"n.a."))</f>
        <v>0</v>
      </c>
    </row>
    <row r="3899" spans="1:20" ht="24" customHeight="1">
      <c r="A3899" s="1" t="str">
        <f>Paths!$A$360</f>
        <v>T089</v>
      </c>
      <c r="B3899" s="1">
        <f>Paths!$B$360</f>
        <v>1</v>
      </c>
      <c r="C3899" s="1">
        <v>9</v>
      </c>
      <c r="D3899" s="1">
        <v>360</v>
      </c>
      <c r="E3899" s="1">
        <f>IF(OR(Paths!$C$360=0,C3899=0),0,MAX(0,MIN(C3899*12,Paths!$E$360)-(C3899-1)*12))</f>
        <v>0</v>
      </c>
      <c r="F3899" s="1">
        <f>IF(OR(Paths!$C$360=0,C3899=0),0,12-E3899)</f>
        <v>0</v>
      </c>
      <c r="G3899" s="16">
        <f>IF(NOT(Paths!$C$360=1),0,IF(Paths!$P$360="Complete",E3899/12*(Paths!$J$360*(1+'Operating costs'!$B$51)^MAX(0,C3899-1)+Paths!$K$360*(1+'Operating costs'!$B$53)^MAX(0,C3899-1)),"n.a."))</f>
        <v>0</v>
      </c>
      <c r="H3899" s="16">
        <f>IF(NOT(Paths!$C$360=1),0,IF(Paths!$P$360="Complete",F3899/12*(Paths!$L$360*(1+IF(Paths!$D$360="EV",'Operating costs'!$B$52,'Operating costs'!$B$51))^MAX(0,C3899-1)+Paths!$M$360*(1+'Operating costs'!$B$53)^MAX(0,C3899-1)),"n.a."))</f>
        <v>0</v>
      </c>
      <c r="I3899" s="16">
        <f>IF(NOT(Paths!$C$360=1),0,IF(Paths!$P$360="Complete",IF(IF(Paths!$E$360=0,C3899=0,AND(C3899&gt;0,Paths!$E$360&gt;(C3899-1)*12,Paths!$E$360&lt;=C3899*12)),Paths!$G$360,0),"n.a."))</f>
        <v>0</v>
      </c>
      <c r="J3899" s="16">
        <f>IF(NOT(Paths!$C$360=1),0,IF(Paths!$P$360="Complete",IF(IF(Paths!$E$360=0,C3899=0,AND(C3899&gt;0,Paths!$E$360&gt;(C3899-1)*12,Paths!$E$360&lt;=C3899*12)),Paths!$H$360,0),"n.a."))</f>
        <v>0</v>
      </c>
      <c r="K3899" s="16">
        <f>IF(NOT(Paths!$C$360=1),0,IF(Paths!$P$360="Complete",IF(IF(Paths!$O$360=0,C3899=0,AND(C3899&gt;0,Paths!$O$360&gt;(C3899-1)*12,Paths!$O$360&lt;=C3899*12)),Paths!$N$360,0),"n.a."))</f>
        <v>0</v>
      </c>
      <c r="L3899" s="16">
        <f>IF(NOT(Paths!$C$360=1),0,IF(Paths!$P$360="Complete",IF(C3899=10,Paths!$I$360,0),"n.a."))</f>
        <v>0</v>
      </c>
      <c r="M3899" s="16">
        <f>IF(NOT(Paths!$C$360=1),0,IF(Paths!$P$360="Complete",IF(AND(Paths!$D$360="EV",Paths!$E$360&lt;120,Paths!$E$360+'Operating costs'!$B$65&gt;Paths!$E$360,Paths!$E$360+'Operating costs'!$B$65&lt;=120,IF(Paths!$E$360+'Operating costs'!$B$65=0,C3899=0,AND(C3899&gt;0,Paths!$E$360+'Operating costs'!$B$65&gt;(C3899-1)*12,Paths!$E$360+'Operating costs'!$B$65&lt;=C3899*12))),'Operating costs'!$B$64,0)+IF(AND('Operating costs'!$B$67&gt;0,'Operating costs'!$B$67&lt;=120,OR(Paths!$D$360="ICE",'Operating costs'!$B$67&lt;=Paths!$E$360),IF('Operating costs'!$B$67=0,C3899=0,AND(C3899&gt;0,'Operating costs'!$B$67&gt;(C3899-1)*12,'Operating costs'!$B$67&lt;=C3899*12))),'Operating costs'!$B$66,0),"n.a."))</f>
        <v>0</v>
      </c>
      <c r="N3899" s="16">
        <f>IF(NOT(Paths!$C$360=1),0,IF(Paths!$P$360="Complete",SUM(G3899:I3899)-J3899-K3899-L3899+M3899+IF(C3899=0,Paths!$F$360,0)+IF(IF(Paths!$E$360=0,C3899=0,AND(C3899&gt;0,Paths!$E$360&gt;(C3899-1)*12,Paths!$E$360&lt;=C3899*12)),VLOOKUP(A3899,'Fleet register'!$A$7:$S$106,16,FALSE),0),"n.a."))</f>
        <v>0</v>
      </c>
      <c r="O3899" s="16">
        <f>IF(NOT(Paths!$C$360=1),0,IF(Paths!$P$360="Complete",N3899-IF(C3899=0,Paths!$F$360,0),"n.a."))</f>
        <v>0</v>
      </c>
      <c r="P3899" s="16">
        <f>IF(NOT(Paths!$C$360=1),0,IF(Paths!$P$360="Complete",O3899+L3899,"n.a."))</f>
        <v>0</v>
      </c>
      <c r="Q3899" s="16">
        <f>IF(NOT(Paths!$C$360=1),0,IF(Paths!$P$360="Complete",N3899*(1+'Operating costs'!$B$54)^-C3899,"n.a."))</f>
        <v>0</v>
      </c>
      <c r="R3899" s="16">
        <f>IF(NOT(Paths!$C$360=1),0,IF(Paths!$P$360="Complete",IF(AND(C3899=0,Paths!$E$360=0),I3899-J3899-K3899+VLOOKUP(A3899,'Fleet register'!$A$7:$S$106,15,FALSE)+VLOOKUP(A3899,'Fleet register'!$A$7:$S$106,16,FALSE),0),"n.a."))</f>
        <v>0</v>
      </c>
      <c r="S3899" s="1">
        <f>IF(NOT(Paths!$C$360=1),0,IF(Paths!$P$360="Complete",IF(C3899=0,0,Paths!$S$360*Paths!$R$360),"n.a."))</f>
        <v>0</v>
      </c>
      <c r="T3899" s="1">
        <f>IF(NOT(Paths!$C$360=1),0,IF(Paths!$P$360="Complete",IF(C3899=0,0,VLOOKUP(A3899,'Fleet register'!$A$7:$S$106,9,FALSE)*Paths!$R$360),"n.a."))</f>
        <v>0</v>
      </c>
    </row>
    <row r="3900" spans="1:20" ht="24" customHeight="1">
      <c r="A3900" s="1" t="str">
        <f>Paths!$A$360</f>
        <v>T089</v>
      </c>
      <c r="B3900" s="1">
        <f>Paths!$B$360</f>
        <v>1</v>
      </c>
      <c r="C3900" s="1">
        <v>10</v>
      </c>
      <c r="D3900" s="1">
        <v>360</v>
      </c>
      <c r="E3900" s="1">
        <f>IF(OR(Paths!$C$360=0,C3900=0),0,MAX(0,MIN(C3900*12,Paths!$E$360)-(C3900-1)*12))</f>
        <v>0</v>
      </c>
      <c r="F3900" s="1">
        <f>IF(OR(Paths!$C$360=0,C3900=0),0,12-E3900)</f>
        <v>0</v>
      </c>
      <c r="G3900" s="16">
        <f>IF(NOT(Paths!$C$360=1),0,IF(Paths!$P$360="Complete",E3900/12*(Paths!$J$360*(1+'Operating costs'!$B$51)^MAX(0,C3900-1)+Paths!$K$360*(1+'Operating costs'!$B$53)^MAX(0,C3900-1)),"n.a."))</f>
        <v>0</v>
      </c>
      <c r="H3900" s="16">
        <f>IF(NOT(Paths!$C$360=1),0,IF(Paths!$P$360="Complete",F3900/12*(Paths!$L$360*(1+IF(Paths!$D$360="EV",'Operating costs'!$B$52,'Operating costs'!$B$51))^MAX(0,C3900-1)+Paths!$M$360*(1+'Operating costs'!$B$53)^MAX(0,C3900-1)),"n.a."))</f>
        <v>0</v>
      </c>
      <c r="I3900" s="16">
        <f>IF(NOT(Paths!$C$360=1),0,IF(Paths!$P$360="Complete",IF(IF(Paths!$E$360=0,C3900=0,AND(C3900&gt;0,Paths!$E$360&gt;(C3900-1)*12,Paths!$E$360&lt;=C3900*12)),Paths!$G$360,0),"n.a."))</f>
        <v>0</v>
      </c>
      <c r="J3900" s="16">
        <f>IF(NOT(Paths!$C$360=1),0,IF(Paths!$P$360="Complete",IF(IF(Paths!$E$360=0,C3900=0,AND(C3900&gt;0,Paths!$E$360&gt;(C3900-1)*12,Paths!$E$360&lt;=C3900*12)),Paths!$H$360,0),"n.a."))</f>
        <v>0</v>
      </c>
      <c r="K3900" s="16">
        <f>IF(NOT(Paths!$C$360=1),0,IF(Paths!$P$360="Complete",IF(IF(Paths!$O$360=0,C3900=0,AND(C3900&gt;0,Paths!$O$360&gt;(C3900-1)*12,Paths!$O$360&lt;=C3900*12)),Paths!$N$360,0),"n.a."))</f>
        <v>0</v>
      </c>
      <c r="L3900" s="16">
        <f>IF(NOT(Paths!$C$360=1),0,IF(Paths!$P$360="Complete",IF(C3900=10,Paths!$I$360,0),"n.a."))</f>
        <v>0</v>
      </c>
      <c r="M3900" s="16">
        <f>IF(NOT(Paths!$C$360=1),0,IF(Paths!$P$360="Complete",IF(AND(Paths!$D$360="EV",Paths!$E$360&lt;120,Paths!$E$360+'Operating costs'!$B$65&gt;Paths!$E$360,Paths!$E$360+'Operating costs'!$B$65&lt;=120,IF(Paths!$E$360+'Operating costs'!$B$65=0,C3900=0,AND(C3900&gt;0,Paths!$E$360+'Operating costs'!$B$65&gt;(C3900-1)*12,Paths!$E$360+'Operating costs'!$B$65&lt;=C3900*12))),'Operating costs'!$B$64,0)+IF(AND('Operating costs'!$B$67&gt;0,'Operating costs'!$B$67&lt;=120,OR(Paths!$D$360="ICE",'Operating costs'!$B$67&lt;=Paths!$E$360),IF('Operating costs'!$B$67=0,C3900=0,AND(C3900&gt;0,'Operating costs'!$B$67&gt;(C3900-1)*12,'Operating costs'!$B$67&lt;=C3900*12))),'Operating costs'!$B$66,0),"n.a."))</f>
        <v>0</v>
      </c>
      <c r="N3900" s="16">
        <f>IF(NOT(Paths!$C$360=1),0,IF(Paths!$P$360="Complete",SUM(G3900:I3900)-J3900-K3900-L3900+M3900+IF(C3900=0,Paths!$F$360,0)+IF(IF(Paths!$E$360=0,C3900=0,AND(C3900&gt;0,Paths!$E$360&gt;(C3900-1)*12,Paths!$E$360&lt;=C3900*12)),VLOOKUP(A3900,'Fleet register'!$A$7:$S$106,16,FALSE),0),"n.a."))</f>
        <v>0</v>
      </c>
      <c r="O3900" s="16">
        <f>IF(NOT(Paths!$C$360=1),0,IF(Paths!$P$360="Complete",N3900-IF(C3900=0,Paths!$F$360,0),"n.a."))</f>
        <v>0</v>
      </c>
      <c r="P3900" s="16">
        <f>IF(NOT(Paths!$C$360=1),0,IF(Paths!$P$360="Complete",O3900+L3900,"n.a."))</f>
        <v>0</v>
      </c>
      <c r="Q3900" s="16">
        <f>IF(NOT(Paths!$C$360=1),0,IF(Paths!$P$360="Complete",N3900*(1+'Operating costs'!$B$54)^-C3900,"n.a."))</f>
        <v>0</v>
      </c>
      <c r="R3900" s="16">
        <f>IF(NOT(Paths!$C$360=1),0,IF(Paths!$P$360="Complete",IF(AND(C3900=0,Paths!$E$360=0),I3900-J3900-K3900+VLOOKUP(A3900,'Fleet register'!$A$7:$S$106,15,FALSE)+VLOOKUP(A3900,'Fleet register'!$A$7:$S$106,16,FALSE),0),"n.a."))</f>
        <v>0</v>
      </c>
      <c r="S3900" s="1">
        <f>IF(NOT(Paths!$C$360=1),0,IF(Paths!$P$360="Complete",IF(C3900=0,0,Paths!$S$360*Paths!$R$360),"n.a."))</f>
        <v>0</v>
      </c>
      <c r="T3900" s="1">
        <f>IF(NOT(Paths!$C$360=1),0,IF(Paths!$P$360="Complete",IF(C3900=0,0,VLOOKUP(A3900,'Fleet register'!$A$7:$S$106,9,FALSE)*Paths!$R$360),"n.a."))</f>
        <v>0</v>
      </c>
    </row>
    <row r="3901" spans="1:20" ht="24" customHeight="1">
      <c r="A3901" s="1" t="str">
        <f>Paths!$A$361</f>
        <v>T089</v>
      </c>
      <c r="B3901" s="1">
        <f>Paths!$B$361</f>
        <v>2</v>
      </c>
      <c r="C3901" s="1">
        <v>0</v>
      </c>
      <c r="D3901" s="1">
        <v>361</v>
      </c>
      <c r="E3901" s="1">
        <f>IF(OR(Paths!$C$361=0,C3901=0),0,MAX(0,MIN(C3901*12,Paths!$E$361)-(C3901-1)*12))</f>
        <v>0</v>
      </c>
      <c r="F3901" s="1">
        <f>IF(OR(Paths!$C$361=0,C3901=0),0,12-E3901)</f>
        <v>0</v>
      </c>
      <c r="G3901" s="16">
        <f>IF(NOT(Paths!$C$361=1),0,IF(Paths!$P$361="Complete",E3901/12*(Paths!$J$361*(1+'Operating costs'!$B$51)^MAX(0,C3901-1)+Paths!$K$361*(1+'Operating costs'!$B$53)^MAX(0,C3901-1)),"n.a."))</f>
        <v>0</v>
      </c>
      <c r="H3901" s="16">
        <f>IF(NOT(Paths!$C$361=1),0,IF(Paths!$P$361="Complete",F3901/12*(Paths!$L$361*(1+IF(Paths!$D$361="EV",'Operating costs'!$B$52,'Operating costs'!$B$51))^MAX(0,C3901-1)+Paths!$M$361*(1+'Operating costs'!$B$53)^MAX(0,C3901-1)),"n.a."))</f>
        <v>0</v>
      </c>
      <c r="I3901" s="16">
        <f>IF(NOT(Paths!$C$361=1),0,IF(Paths!$P$361="Complete",IF(IF(Paths!$E$361=0,C3901=0,AND(C3901&gt;0,Paths!$E$361&gt;(C3901-1)*12,Paths!$E$361&lt;=C3901*12)),Paths!$G$361,0),"n.a."))</f>
        <v>0</v>
      </c>
      <c r="J3901" s="16">
        <f>IF(NOT(Paths!$C$361=1),0,IF(Paths!$P$361="Complete",IF(IF(Paths!$E$361=0,C3901=0,AND(C3901&gt;0,Paths!$E$361&gt;(C3901-1)*12,Paths!$E$361&lt;=C3901*12)),Paths!$H$361,0),"n.a."))</f>
        <v>0</v>
      </c>
      <c r="K3901" s="16">
        <f>IF(NOT(Paths!$C$361=1),0,IF(Paths!$P$361="Complete",IF(IF(Paths!$O$361=0,C3901=0,AND(C3901&gt;0,Paths!$O$361&gt;(C3901-1)*12,Paths!$O$361&lt;=C3901*12)),Paths!$N$361,0),"n.a."))</f>
        <v>0</v>
      </c>
      <c r="L3901" s="16">
        <f>IF(NOT(Paths!$C$361=1),0,IF(Paths!$P$361="Complete",IF(C3901=10,Paths!$I$361,0),"n.a."))</f>
        <v>0</v>
      </c>
      <c r="M3901" s="16">
        <f>IF(NOT(Paths!$C$361=1),0,IF(Paths!$P$361="Complete",IF(AND(Paths!$D$361="EV",Paths!$E$361&lt;120,Paths!$E$361+'Operating costs'!$B$65&gt;Paths!$E$361,Paths!$E$361+'Operating costs'!$B$65&lt;=120,IF(Paths!$E$361+'Operating costs'!$B$65=0,C3901=0,AND(C3901&gt;0,Paths!$E$361+'Operating costs'!$B$65&gt;(C3901-1)*12,Paths!$E$361+'Operating costs'!$B$65&lt;=C3901*12))),'Operating costs'!$B$64,0)+IF(AND('Operating costs'!$B$67&gt;0,'Operating costs'!$B$67&lt;=120,OR(Paths!$D$361="ICE",'Operating costs'!$B$67&lt;=Paths!$E$361),IF('Operating costs'!$B$67=0,C3901=0,AND(C3901&gt;0,'Operating costs'!$B$67&gt;(C3901-1)*12,'Operating costs'!$B$67&lt;=C3901*12))),'Operating costs'!$B$66,0),"n.a."))</f>
        <v>0</v>
      </c>
      <c r="N3901" s="16">
        <f>IF(NOT(Paths!$C$361=1),0,IF(Paths!$P$361="Complete",SUM(G3901:I3901)-J3901-K3901-L3901+M3901+IF(C3901=0,Paths!$F$361,0)+IF(IF(Paths!$E$361=0,C3901=0,AND(C3901&gt;0,Paths!$E$361&gt;(C3901-1)*12,Paths!$E$361&lt;=C3901*12)),VLOOKUP(A3901,'Fleet register'!$A$7:$S$106,16,FALSE),0),"n.a."))</f>
        <v>0</v>
      </c>
      <c r="O3901" s="16">
        <f>IF(NOT(Paths!$C$361=1),0,IF(Paths!$P$361="Complete",N3901-IF(C3901=0,Paths!$F$361,0),"n.a."))</f>
        <v>0</v>
      </c>
      <c r="P3901" s="16">
        <f>IF(NOT(Paths!$C$361=1),0,IF(Paths!$P$361="Complete",O3901+L3901,"n.a."))</f>
        <v>0</v>
      </c>
      <c r="Q3901" s="16">
        <f>IF(NOT(Paths!$C$361=1),0,IF(Paths!$P$361="Complete",N3901*(1+'Operating costs'!$B$54)^-C3901,"n.a."))</f>
        <v>0</v>
      </c>
      <c r="R3901" s="16">
        <f>IF(NOT(Paths!$C$361=1),0,IF(Paths!$P$361="Complete",IF(AND(C3901=0,Paths!$E$361=0),I3901-J3901-K3901+VLOOKUP(A3901,'Fleet register'!$A$7:$S$106,15,FALSE)+VLOOKUP(A3901,'Fleet register'!$A$7:$S$106,16,FALSE),0),"n.a."))</f>
        <v>0</v>
      </c>
      <c r="S3901" s="1">
        <f>IF(NOT(Paths!$C$361=1),0,IF(Paths!$P$361="Complete",IF(C3901=0,0,Paths!$S$361*Paths!$R$361),"n.a."))</f>
        <v>0</v>
      </c>
      <c r="T3901" s="1">
        <f>IF(NOT(Paths!$C$361=1),0,IF(Paths!$P$361="Complete",IF(C3901=0,0,VLOOKUP(A3901,'Fleet register'!$A$7:$S$106,9,FALSE)*Paths!$R$361),"n.a."))</f>
        <v>0</v>
      </c>
    </row>
    <row r="3902" spans="1:20" ht="24" customHeight="1">
      <c r="A3902" s="1" t="str">
        <f>Paths!$A$361</f>
        <v>T089</v>
      </c>
      <c r="B3902" s="1">
        <f>Paths!$B$361</f>
        <v>2</v>
      </c>
      <c r="C3902" s="1">
        <v>1</v>
      </c>
      <c r="D3902" s="1">
        <v>361</v>
      </c>
      <c r="E3902" s="1">
        <f>IF(OR(Paths!$C$361=0,C3902=0),0,MAX(0,MIN(C3902*12,Paths!$E$361)-(C3902-1)*12))</f>
        <v>0</v>
      </c>
      <c r="F3902" s="1">
        <f>IF(OR(Paths!$C$361=0,C3902=0),0,12-E3902)</f>
        <v>0</v>
      </c>
      <c r="G3902" s="16">
        <f>IF(NOT(Paths!$C$361=1),0,IF(Paths!$P$361="Complete",E3902/12*(Paths!$J$361*(1+'Operating costs'!$B$51)^MAX(0,C3902-1)+Paths!$K$361*(1+'Operating costs'!$B$53)^MAX(0,C3902-1)),"n.a."))</f>
        <v>0</v>
      </c>
      <c r="H3902" s="16">
        <f>IF(NOT(Paths!$C$361=1),0,IF(Paths!$P$361="Complete",F3902/12*(Paths!$L$361*(1+IF(Paths!$D$361="EV",'Operating costs'!$B$52,'Operating costs'!$B$51))^MAX(0,C3902-1)+Paths!$M$361*(1+'Operating costs'!$B$53)^MAX(0,C3902-1)),"n.a."))</f>
        <v>0</v>
      </c>
      <c r="I3902" s="16">
        <f>IF(NOT(Paths!$C$361=1),0,IF(Paths!$P$361="Complete",IF(IF(Paths!$E$361=0,C3902=0,AND(C3902&gt;0,Paths!$E$361&gt;(C3902-1)*12,Paths!$E$361&lt;=C3902*12)),Paths!$G$361,0),"n.a."))</f>
        <v>0</v>
      </c>
      <c r="J3902" s="16">
        <f>IF(NOT(Paths!$C$361=1),0,IF(Paths!$P$361="Complete",IF(IF(Paths!$E$361=0,C3902=0,AND(C3902&gt;0,Paths!$E$361&gt;(C3902-1)*12,Paths!$E$361&lt;=C3902*12)),Paths!$H$361,0),"n.a."))</f>
        <v>0</v>
      </c>
      <c r="K3902" s="16">
        <f>IF(NOT(Paths!$C$361=1),0,IF(Paths!$P$361="Complete",IF(IF(Paths!$O$361=0,C3902=0,AND(C3902&gt;0,Paths!$O$361&gt;(C3902-1)*12,Paths!$O$361&lt;=C3902*12)),Paths!$N$361,0),"n.a."))</f>
        <v>0</v>
      </c>
      <c r="L3902" s="16">
        <f>IF(NOT(Paths!$C$361=1),0,IF(Paths!$P$361="Complete",IF(C3902=10,Paths!$I$361,0),"n.a."))</f>
        <v>0</v>
      </c>
      <c r="M3902" s="16">
        <f>IF(NOT(Paths!$C$361=1),0,IF(Paths!$P$361="Complete",IF(AND(Paths!$D$361="EV",Paths!$E$361&lt;120,Paths!$E$361+'Operating costs'!$B$65&gt;Paths!$E$361,Paths!$E$361+'Operating costs'!$B$65&lt;=120,IF(Paths!$E$361+'Operating costs'!$B$65=0,C3902=0,AND(C3902&gt;0,Paths!$E$361+'Operating costs'!$B$65&gt;(C3902-1)*12,Paths!$E$361+'Operating costs'!$B$65&lt;=C3902*12))),'Operating costs'!$B$64,0)+IF(AND('Operating costs'!$B$67&gt;0,'Operating costs'!$B$67&lt;=120,OR(Paths!$D$361="ICE",'Operating costs'!$B$67&lt;=Paths!$E$361),IF('Operating costs'!$B$67=0,C3902=0,AND(C3902&gt;0,'Operating costs'!$B$67&gt;(C3902-1)*12,'Operating costs'!$B$67&lt;=C3902*12))),'Operating costs'!$B$66,0),"n.a."))</f>
        <v>0</v>
      </c>
      <c r="N3902" s="16">
        <f>IF(NOT(Paths!$C$361=1),0,IF(Paths!$P$361="Complete",SUM(G3902:I3902)-J3902-K3902-L3902+M3902+IF(C3902=0,Paths!$F$361,0)+IF(IF(Paths!$E$361=0,C3902=0,AND(C3902&gt;0,Paths!$E$361&gt;(C3902-1)*12,Paths!$E$361&lt;=C3902*12)),VLOOKUP(A3902,'Fleet register'!$A$7:$S$106,16,FALSE),0),"n.a."))</f>
        <v>0</v>
      </c>
      <c r="O3902" s="16">
        <f>IF(NOT(Paths!$C$361=1),0,IF(Paths!$P$361="Complete",N3902-IF(C3902=0,Paths!$F$361,0),"n.a."))</f>
        <v>0</v>
      </c>
      <c r="P3902" s="16">
        <f>IF(NOT(Paths!$C$361=1),0,IF(Paths!$P$361="Complete",O3902+L3902,"n.a."))</f>
        <v>0</v>
      </c>
      <c r="Q3902" s="16">
        <f>IF(NOT(Paths!$C$361=1),0,IF(Paths!$P$361="Complete",N3902*(1+'Operating costs'!$B$54)^-C3902,"n.a."))</f>
        <v>0</v>
      </c>
      <c r="R3902" s="16">
        <f>IF(NOT(Paths!$C$361=1),0,IF(Paths!$P$361="Complete",IF(AND(C3902=0,Paths!$E$361=0),I3902-J3902-K3902+VLOOKUP(A3902,'Fleet register'!$A$7:$S$106,15,FALSE)+VLOOKUP(A3902,'Fleet register'!$A$7:$S$106,16,FALSE),0),"n.a."))</f>
        <v>0</v>
      </c>
      <c r="S3902" s="1">
        <f>IF(NOT(Paths!$C$361=1),0,IF(Paths!$P$361="Complete",IF(C3902=0,0,Paths!$S$361*Paths!$R$361),"n.a."))</f>
        <v>0</v>
      </c>
      <c r="T3902" s="1">
        <f>IF(NOT(Paths!$C$361=1),0,IF(Paths!$P$361="Complete",IF(C3902=0,0,VLOOKUP(A3902,'Fleet register'!$A$7:$S$106,9,FALSE)*Paths!$R$361),"n.a."))</f>
        <v>0</v>
      </c>
    </row>
    <row r="3903" spans="1:20" ht="24" customHeight="1">
      <c r="A3903" s="1" t="str">
        <f>Paths!$A$361</f>
        <v>T089</v>
      </c>
      <c r="B3903" s="1">
        <f>Paths!$B$361</f>
        <v>2</v>
      </c>
      <c r="C3903" s="1">
        <v>2</v>
      </c>
      <c r="D3903" s="1">
        <v>361</v>
      </c>
      <c r="E3903" s="1">
        <f>IF(OR(Paths!$C$361=0,C3903=0),0,MAX(0,MIN(C3903*12,Paths!$E$361)-(C3903-1)*12))</f>
        <v>0</v>
      </c>
      <c r="F3903" s="1">
        <f>IF(OR(Paths!$C$361=0,C3903=0),0,12-E3903)</f>
        <v>0</v>
      </c>
      <c r="G3903" s="16">
        <f>IF(NOT(Paths!$C$361=1),0,IF(Paths!$P$361="Complete",E3903/12*(Paths!$J$361*(1+'Operating costs'!$B$51)^MAX(0,C3903-1)+Paths!$K$361*(1+'Operating costs'!$B$53)^MAX(0,C3903-1)),"n.a."))</f>
        <v>0</v>
      </c>
      <c r="H3903" s="16">
        <f>IF(NOT(Paths!$C$361=1),0,IF(Paths!$P$361="Complete",F3903/12*(Paths!$L$361*(1+IF(Paths!$D$361="EV",'Operating costs'!$B$52,'Operating costs'!$B$51))^MAX(0,C3903-1)+Paths!$M$361*(1+'Operating costs'!$B$53)^MAX(0,C3903-1)),"n.a."))</f>
        <v>0</v>
      </c>
      <c r="I3903" s="16">
        <f>IF(NOT(Paths!$C$361=1),0,IF(Paths!$P$361="Complete",IF(IF(Paths!$E$361=0,C3903=0,AND(C3903&gt;0,Paths!$E$361&gt;(C3903-1)*12,Paths!$E$361&lt;=C3903*12)),Paths!$G$361,0),"n.a."))</f>
        <v>0</v>
      </c>
      <c r="J3903" s="16">
        <f>IF(NOT(Paths!$C$361=1),0,IF(Paths!$P$361="Complete",IF(IF(Paths!$E$361=0,C3903=0,AND(C3903&gt;0,Paths!$E$361&gt;(C3903-1)*12,Paths!$E$361&lt;=C3903*12)),Paths!$H$361,0),"n.a."))</f>
        <v>0</v>
      </c>
      <c r="K3903" s="16">
        <f>IF(NOT(Paths!$C$361=1),0,IF(Paths!$P$361="Complete",IF(IF(Paths!$O$361=0,C3903=0,AND(C3903&gt;0,Paths!$O$361&gt;(C3903-1)*12,Paths!$O$361&lt;=C3903*12)),Paths!$N$361,0),"n.a."))</f>
        <v>0</v>
      </c>
      <c r="L3903" s="16">
        <f>IF(NOT(Paths!$C$361=1),0,IF(Paths!$P$361="Complete",IF(C3903=10,Paths!$I$361,0),"n.a."))</f>
        <v>0</v>
      </c>
      <c r="M3903" s="16">
        <f>IF(NOT(Paths!$C$361=1),0,IF(Paths!$P$361="Complete",IF(AND(Paths!$D$361="EV",Paths!$E$361&lt;120,Paths!$E$361+'Operating costs'!$B$65&gt;Paths!$E$361,Paths!$E$361+'Operating costs'!$B$65&lt;=120,IF(Paths!$E$361+'Operating costs'!$B$65=0,C3903=0,AND(C3903&gt;0,Paths!$E$361+'Operating costs'!$B$65&gt;(C3903-1)*12,Paths!$E$361+'Operating costs'!$B$65&lt;=C3903*12))),'Operating costs'!$B$64,0)+IF(AND('Operating costs'!$B$67&gt;0,'Operating costs'!$B$67&lt;=120,OR(Paths!$D$361="ICE",'Operating costs'!$B$67&lt;=Paths!$E$361),IF('Operating costs'!$B$67=0,C3903=0,AND(C3903&gt;0,'Operating costs'!$B$67&gt;(C3903-1)*12,'Operating costs'!$B$67&lt;=C3903*12))),'Operating costs'!$B$66,0),"n.a."))</f>
        <v>0</v>
      </c>
      <c r="N3903" s="16">
        <f>IF(NOT(Paths!$C$361=1),0,IF(Paths!$P$361="Complete",SUM(G3903:I3903)-J3903-K3903-L3903+M3903+IF(C3903=0,Paths!$F$361,0)+IF(IF(Paths!$E$361=0,C3903=0,AND(C3903&gt;0,Paths!$E$361&gt;(C3903-1)*12,Paths!$E$361&lt;=C3903*12)),VLOOKUP(A3903,'Fleet register'!$A$7:$S$106,16,FALSE),0),"n.a."))</f>
        <v>0</v>
      </c>
      <c r="O3903" s="16">
        <f>IF(NOT(Paths!$C$361=1),0,IF(Paths!$P$361="Complete",N3903-IF(C3903=0,Paths!$F$361,0),"n.a."))</f>
        <v>0</v>
      </c>
      <c r="P3903" s="16">
        <f>IF(NOT(Paths!$C$361=1),0,IF(Paths!$P$361="Complete",O3903+L3903,"n.a."))</f>
        <v>0</v>
      </c>
      <c r="Q3903" s="16">
        <f>IF(NOT(Paths!$C$361=1),0,IF(Paths!$P$361="Complete",N3903*(1+'Operating costs'!$B$54)^-C3903,"n.a."))</f>
        <v>0</v>
      </c>
      <c r="R3903" s="16">
        <f>IF(NOT(Paths!$C$361=1),0,IF(Paths!$P$361="Complete",IF(AND(C3903=0,Paths!$E$361=0),I3903-J3903-K3903+VLOOKUP(A3903,'Fleet register'!$A$7:$S$106,15,FALSE)+VLOOKUP(A3903,'Fleet register'!$A$7:$S$106,16,FALSE),0),"n.a."))</f>
        <v>0</v>
      </c>
      <c r="S3903" s="1">
        <f>IF(NOT(Paths!$C$361=1),0,IF(Paths!$P$361="Complete",IF(C3903=0,0,Paths!$S$361*Paths!$R$361),"n.a."))</f>
        <v>0</v>
      </c>
      <c r="T3903" s="1">
        <f>IF(NOT(Paths!$C$361=1),0,IF(Paths!$P$361="Complete",IF(C3903=0,0,VLOOKUP(A3903,'Fleet register'!$A$7:$S$106,9,FALSE)*Paths!$R$361),"n.a."))</f>
        <v>0</v>
      </c>
    </row>
    <row r="3904" spans="1:20" ht="24" customHeight="1">
      <c r="A3904" s="1" t="str">
        <f>Paths!$A$361</f>
        <v>T089</v>
      </c>
      <c r="B3904" s="1">
        <f>Paths!$B$361</f>
        <v>2</v>
      </c>
      <c r="C3904" s="1">
        <v>3</v>
      </c>
      <c r="D3904" s="1">
        <v>361</v>
      </c>
      <c r="E3904" s="1">
        <f>IF(OR(Paths!$C$361=0,C3904=0),0,MAX(0,MIN(C3904*12,Paths!$E$361)-(C3904-1)*12))</f>
        <v>0</v>
      </c>
      <c r="F3904" s="1">
        <f>IF(OR(Paths!$C$361=0,C3904=0),0,12-E3904)</f>
        <v>0</v>
      </c>
      <c r="G3904" s="16">
        <f>IF(NOT(Paths!$C$361=1),0,IF(Paths!$P$361="Complete",E3904/12*(Paths!$J$361*(1+'Operating costs'!$B$51)^MAX(0,C3904-1)+Paths!$K$361*(1+'Operating costs'!$B$53)^MAX(0,C3904-1)),"n.a."))</f>
        <v>0</v>
      </c>
      <c r="H3904" s="16">
        <f>IF(NOT(Paths!$C$361=1),0,IF(Paths!$P$361="Complete",F3904/12*(Paths!$L$361*(1+IF(Paths!$D$361="EV",'Operating costs'!$B$52,'Operating costs'!$B$51))^MAX(0,C3904-1)+Paths!$M$361*(1+'Operating costs'!$B$53)^MAX(0,C3904-1)),"n.a."))</f>
        <v>0</v>
      </c>
      <c r="I3904" s="16">
        <f>IF(NOT(Paths!$C$361=1),0,IF(Paths!$P$361="Complete",IF(IF(Paths!$E$361=0,C3904=0,AND(C3904&gt;0,Paths!$E$361&gt;(C3904-1)*12,Paths!$E$361&lt;=C3904*12)),Paths!$G$361,0),"n.a."))</f>
        <v>0</v>
      </c>
      <c r="J3904" s="16">
        <f>IF(NOT(Paths!$C$361=1),0,IF(Paths!$P$361="Complete",IF(IF(Paths!$E$361=0,C3904=0,AND(C3904&gt;0,Paths!$E$361&gt;(C3904-1)*12,Paths!$E$361&lt;=C3904*12)),Paths!$H$361,0),"n.a."))</f>
        <v>0</v>
      </c>
      <c r="K3904" s="16">
        <f>IF(NOT(Paths!$C$361=1),0,IF(Paths!$P$361="Complete",IF(IF(Paths!$O$361=0,C3904=0,AND(C3904&gt;0,Paths!$O$361&gt;(C3904-1)*12,Paths!$O$361&lt;=C3904*12)),Paths!$N$361,0),"n.a."))</f>
        <v>0</v>
      </c>
      <c r="L3904" s="16">
        <f>IF(NOT(Paths!$C$361=1),0,IF(Paths!$P$361="Complete",IF(C3904=10,Paths!$I$361,0),"n.a."))</f>
        <v>0</v>
      </c>
      <c r="M3904" s="16">
        <f>IF(NOT(Paths!$C$361=1),0,IF(Paths!$P$361="Complete",IF(AND(Paths!$D$361="EV",Paths!$E$361&lt;120,Paths!$E$361+'Operating costs'!$B$65&gt;Paths!$E$361,Paths!$E$361+'Operating costs'!$B$65&lt;=120,IF(Paths!$E$361+'Operating costs'!$B$65=0,C3904=0,AND(C3904&gt;0,Paths!$E$361+'Operating costs'!$B$65&gt;(C3904-1)*12,Paths!$E$361+'Operating costs'!$B$65&lt;=C3904*12))),'Operating costs'!$B$64,0)+IF(AND('Operating costs'!$B$67&gt;0,'Operating costs'!$B$67&lt;=120,OR(Paths!$D$361="ICE",'Operating costs'!$B$67&lt;=Paths!$E$361),IF('Operating costs'!$B$67=0,C3904=0,AND(C3904&gt;0,'Operating costs'!$B$67&gt;(C3904-1)*12,'Operating costs'!$B$67&lt;=C3904*12))),'Operating costs'!$B$66,0),"n.a."))</f>
        <v>0</v>
      </c>
      <c r="N3904" s="16">
        <f>IF(NOT(Paths!$C$361=1),0,IF(Paths!$P$361="Complete",SUM(G3904:I3904)-J3904-K3904-L3904+M3904+IF(C3904=0,Paths!$F$361,0)+IF(IF(Paths!$E$361=0,C3904=0,AND(C3904&gt;0,Paths!$E$361&gt;(C3904-1)*12,Paths!$E$361&lt;=C3904*12)),VLOOKUP(A3904,'Fleet register'!$A$7:$S$106,16,FALSE),0),"n.a."))</f>
        <v>0</v>
      </c>
      <c r="O3904" s="16">
        <f>IF(NOT(Paths!$C$361=1),0,IF(Paths!$P$361="Complete",N3904-IF(C3904=0,Paths!$F$361,0),"n.a."))</f>
        <v>0</v>
      </c>
      <c r="P3904" s="16">
        <f>IF(NOT(Paths!$C$361=1),0,IF(Paths!$P$361="Complete",O3904+L3904,"n.a."))</f>
        <v>0</v>
      </c>
      <c r="Q3904" s="16">
        <f>IF(NOT(Paths!$C$361=1),0,IF(Paths!$P$361="Complete",N3904*(1+'Operating costs'!$B$54)^-C3904,"n.a."))</f>
        <v>0</v>
      </c>
      <c r="R3904" s="16">
        <f>IF(NOT(Paths!$C$361=1),0,IF(Paths!$P$361="Complete",IF(AND(C3904=0,Paths!$E$361=0),I3904-J3904-K3904+VLOOKUP(A3904,'Fleet register'!$A$7:$S$106,15,FALSE)+VLOOKUP(A3904,'Fleet register'!$A$7:$S$106,16,FALSE),0),"n.a."))</f>
        <v>0</v>
      </c>
      <c r="S3904" s="1">
        <f>IF(NOT(Paths!$C$361=1),0,IF(Paths!$P$361="Complete",IF(C3904=0,0,Paths!$S$361*Paths!$R$361),"n.a."))</f>
        <v>0</v>
      </c>
      <c r="T3904" s="1">
        <f>IF(NOT(Paths!$C$361=1),0,IF(Paths!$P$361="Complete",IF(C3904=0,0,VLOOKUP(A3904,'Fleet register'!$A$7:$S$106,9,FALSE)*Paths!$R$361),"n.a."))</f>
        <v>0</v>
      </c>
    </row>
    <row r="3905" spans="1:20" ht="24" customHeight="1">
      <c r="A3905" s="1" t="str">
        <f>Paths!$A$361</f>
        <v>T089</v>
      </c>
      <c r="B3905" s="1">
        <f>Paths!$B$361</f>
        <v>2</v>
      </c>
      <c r="C3905" s="1">
        <v>4</v>
      </c>
      <c r="D3905" s="1">
        <v>361</v>
      </c>
      <c r="E3905" s="1">
        <f>IF(OR(Paths!$C$361=0,C3905=0),0,MAX(0,MIN(C3905*12,Paths!$E$361)-(C3905-1)*12))</f>
        <v>0</v>
      </c>
      <c r="F3905" s="1">
        <f>IF(OR(Paths!$C$361=0,C3905=0),0,12-E3905)</f>
        <v>0</v>
      </c>
      <c r="G3905" s="16">
        <f>IF(NOT(Paths!$C$361=1),0,IF(Paths!$P$361="Complete",E3905/12*(Paths!$J$361*(1+'Operating costs'!$B$51)^MAX(0,C3905-1)+Paths!$K$361*(1+'Operating costs'!$B$53)^MAX(0,C3905-1)),"n.a."))</f>
        <v>0</v>
      </c>
      <c r="H3905" s="16">
        <f>IF(NOT(Paths!$C$361=1),0,IF(Paths!$P$361="Complete",F3905/12*(Paths!$L$361*(1+IF(Paths!$D$361="EV",'Operating costs'!$B$52,'Operating costs'!$B$51))^MAX(0,C3905-1)+Paths!$M$361*(1+'Operating costs'!$B$53)^MAX(0,C3905-1)),"n.a."))</f>
        <v>0</v>
      </c>
      <c r="I3905" s="16">
        <f>IF(NOT(Paths!$C$361=1),0,IF(Paths!$P$361="Complete",IF(IF(Paths!$E$361=0,C3905=0,AND(C3905&gt;0,Paths!$E$361&gt;(C3905-1)*12,Paths!$E$361&lt;=C3905*12)),Paths!$G$361,0),"n.a."))</f>
        <v>0</v>
      </c>
      <c r="J3905" s="16">
        <f>IF(NOT(Paths!$C$361=1),0,IF(Paths!$P$361="Complete",IF(IF(Paths!$E$361=0,C3905=0,AND(C3905&gt;0,Paths!$E$361&gt;(C3905-1)*12,Paths!$E$361&lt;=C3905*12)),Paths!$H$361,0),"n.a."))</f>
        <v>0</v>
      </c>
      <c r="K3905" s="16">
        <f>IF(NOT(Paths!$C$361=1),0,IF(Paths!$P$361="Complete",IF(IF(Paths!$O$361=0,C3905=0,AND(C3905&gt;0,Paths!$O$361&gt;(C3905-1)*12,Paths!$O$361&lt;=C3905*12)),Paths!$N$361,0),"n.a."))</f>
        <v>0</v>
      </c>
      <c r="L3905" s="16">
        <f>IF(NOT(Paths!$C$361=1),0,IF(Paths!$P$361="Complete",IF(C3905=10,Paths!$I$361,0),"n.a."))</f>
        <v>0</v>
      </c>
      <c r="M3905" s="16">
        <f>IF(NOT(Paths!$C$361=1),0,IF(Paths!$P$361="Complete",IF(AND(Paths!$D$361="EV",Paths!$E$361&lt;120,Paths!$E$361+'Operating costs'!$B$65&gt;Paths!$E$361,Paths!$E$361+'Operating costs'!$B$65&lt;=120,IF(Paths!$E$361+'Operating costs'!$B$65=0,C3905=0,AND(C3905&gt;0,Paths!$E$361+'Operating costs'!$B$65&gt;(C3905-1)*12,Paths!$E$361+'Operating costs'!$B$65&lt;=C3905*12))),'Operating costs'!$B$64,0)+IF(AND('Operating costs'!$B$67&gt;0,'Operating costs'!$B$67&lt;=120,OR(Paths!$D$361="ICE",'Operating costs'!$B$67&lt;=Paths!$E$361),IF('Operating costs'!$B$67=0,C3905=0,AND(C3905&gt;0,'Operating costs'!$B$67&gt;(C3905-1)*12,'Operating costs'!$B$67&lt;=C3905*12))),'Operating costs'!$B$66,0),"n.a."))</f>
        <v>0</v>
      </c>
      <c r="N3905" s="16">
        <f>IF(NOT(Paths!$C$361=1),0,IF(Paths!$P$361="Complete",SUM(G3905:I3905)-J3905-K3905-L3905+M3905+IF(C3905=0,Paths!$F$361,0)+IF(IF(Paths!$E$361=0,C3905=0,AND(C3905&gt;0,Paths!$E$361&gt;(C3905-1)*12,Paths!$E$361&lt;=C3905*12)),VLOOKUP(A3905,'Fleet register'!$A$7:$S$106,16,FALSE),0),"n.a."))</f>
        <v>0</v>
      </c>
      <c r="O3905" s="16">
        <f>IF(NOT(Paths!$C$361=1),0,IF(Paths!$P$361="Complete",N3905-IF(C3905=0,Paths!$F$361,0),"n.a."))</f>
        <v>0</v>
      </c>
      <c r="P3905" s="16">
        <f>IF(NOT(Paths!$C$361=1),0,IF(Paths!$P$361="Complete",O3905+L3905,"n.a."))</f>
        <v>0</v>
      </c>
      <c r="Q3905" s="16">
        <f>IF(NOT(Paths!$C$361=1),0,IF(Paths!$P$361="Complete",N3905*(1+'Operating costs'!$B$54)^-C3905,"n.a."))</f>
        <v>0</v>
      </c>
      <c r="R3905" s="16">
        <f>IF(NOT(Paths!$C$361=1),0,IF(Paths!$P$361="Complete",IF(AND(C3905=0,Paths!$E$361=0),I3905-J3905-K3905+VLOOKUP(A3905,'Fleet register'!$A$7:$S$106,15,FALSE)+VLOOKUP(A3905,'Fleet register'!$A$7:$S$106,16,FALSE),0),"n.a."))</f>
        <v>0</v>
      </c>
      <c r="S3905" s="1">
        <f>IF(NOT(Paths!$C$361=1),0,IF(Paths!$P$361="Complete",IF(C3905=0,0,Paths!$S$361*Paths!$R$361),"n.a."))</f>
        <v>0</v>
      </c>
      <c r="T3905" s="1">
        <f>IF(NOT(Paths!$C$361=1),0,IF(Paths!$P$361="Complete",IF(C3905=0,0,VLOOKUP(A3905,'Fleet register'!$A$7:$S$106,9,FALSE)*Paths!$R$361),"n.a."))</f>
        <v>0</v>
      </c>
    </row>
    <row r="3906" spans="1:20" ht="24" customHeight="1">
      <c r="A3906" s="1" t="str">
        <f>Paths!$A$361</f>
        <v>T089</v>
      </c>
      <c r="B3906" s="1">
        <f>Paths!$B$361</f>
        <v>2</v>
      </c>
      <c r="C3906" s="1">
        <v>5</v>
      </c>
      <c r="D3906" s="1">
        <v>361</v>
      </c>
      <c r="E3906" s="1">
        <f>IF(OR(Paths!$C$361=0,C3906=0),0,MAX(0,MIN(C3906*12,Paths!$E$361)-(C3906-1)*12))</f>
        <v>0</v>
      </c>
      <c r="F3906" s="1">
        <f>IF(OR(Paths!$C$361=0,C3906=0),0,12-E3906)</f>
        <v>0</v>
      </c>
      <c r="G3906" s="16">
        <f>IF(NOT(Paths!$C$361=1),0,IF(Paths!$P$361="Complete",E3906/12*(Paths!$J$361*(1+'Operating costs'!$B$51)^MAX(0,C3906-1)+Paths!$K$361*(1+'Operating costs'!$B$53)^MAX(0,C3906-1)),"n.a."))</f>
        <v>0</v>
      </c>
      <c r="H3906" s="16">
        <f>IF(NOT(Paths!$C$361=1),0,IF(Paths!$P$361="Complete",F3906/12*(Paths!$L$361*(1+IF(Paths!$D$361="EV",'Operating costs'!$B$52,'Operating costs'!$B$51))^MAX(0,C3906-1)+Paths!$M$361*(1+'Operating costs'!$B$53)^MAX(0,C3906-1)),"n.a."))</f>
        <v>0</v>
      </c>
      <c r="I3906" s="16">
        <f>IF(NOT(Paths!$C$361=1),0,IF(Paths!$P$361="Complete",IF(IF(Paths!$E$361=0,C3906=0,AND(C3906&gt;0,Paths!$E$361&gt;(C3906-1)*12,Paths!$E$361&lt;=C3906*12)),Paths!$G$361,0),"n.a."))</f>
        <v>0</v>
      </c>
      <c r="J3906" s="16">
        <f>IF(NOT(Paths!$C$361=1),0,IF(Paths!$P$361="Complete",IF(IF(Paths!$E$361=0,C3906=0,AND(C3906&gt;0,Paths!$E$361&gt;(C3906-1)*12,Paths!$E$361&lt;=C3906*12)),Paths!$H$361,0),"n.a."))</f>
        <v>0</v>
      </c>
      <c r="K3906" s="16">
        <f>IF(NOT(Paths!$C$361=1),0,IF(Paths!$P$361="Complete",IF(IF(Paths!$O$361=0,C3906=0,AND(C3906&gt;0,Paths!$O$361&gt;(C3906-1)*12,Paths!$O$361&lt;=C3906*12)),Paths!$N$361,0),"n.a."))</f>
        <v>0</v>
      </c>
      <c r="L3906" s="16">
        <f>IF(NOT(Paths!$C$361=1),0,IF(Paths!$P$361="Complete",IF(C3906=10,Paths!$I$361,0),"n.a."))</f>
        <v>0</v>
      </c>
      <c r="M3906" s="16">
        <f>IF(NOT(Paths!$C$361=1),0,IF(Paths!$P$361="Complete",IF(AND(Paths!$D$361="EV",Paths!$E$361&lt;120,Paths!$E$361+'Operating costs'!$B$65&gt;Paths!$E$361,Paths!$E$361+'Operating costs'!$B$65&lt;=120,IF(Paths!$E$361+'Operating costs'!$B$65=0,C3906=0,AND(C3906&gt;0,Paths!$E$361+'Operating costs'!$B$65&gt;(C3906-1)*12,Paths!$E$361+'Operating costs'!$B$65&lt;=C3906*12))),'Operating costs'!$B$64,0)+IF(AND('Operating costs'!$B$67&gt;0,'Operating costs'!$B$67&lt;=120,OR(Paths!$D$361="ICE",'Operating costs'!$B$67&lt;=Paths!$E$361),IF('Operating costs'!$B$67=0,C3906=0,AND(C3906&gt;0,'Operating costs'!$B$67&gt;(C3906-1)*12,'Operating costs'!$B$67&lt;=C3906*12))),'Operating costs'!$B$66,0),"n.a."))</f>
        <v>0</v>
      </c>
      <c r="N3906" s="16">
        <f>IF(NOT(Paths!$C$361=1),0,IF(Paths!$P$361="Complete",SUM(G3906:I3906)-J3906-K3906-L3906+M3906+IF(C3906=0,Paths!$F$361,0)+IF(IF(Paths!$E$361=0,C3906=0,AND(C3906&gt;0,Paths!$E$361&gt;(C3906-1)*12,Paths!$E$361&lt;=C3906*12)),VLOOKUP(A3906,'Fleet register'!$A$7:$S$106,16,FALSE),0),"n.a."))</f>
        <v>0</v>
      </c>
      <c r="O3906" s="16">
        <f>IF(NOT(Paths!$C$361=1),0,IF(Paths!$P$361="Complete",N3906-IF(C3906=0,Paths!$F$361,0),"n.a."))</f>
        <v>0</v>
      </c>
      <c r="P3906" s="16">
        <f>IF(NOT(Paths!$C$361=1),0,IF(Paths!$P$361="Complete",O3906+L3906,"n.a."))</f>
        <v>0</v>
      </c>
      <c r="Q3906" s="16">
        <f>IF(NOT(Paths!$C$361=1),0,IF(Paths!$P$361="Complete",N3906*(1+'Operating costs'!$B$54)^-C3906,"n.a."))</f>
        <v>0</v>
      </c>
      <c r="R3906" s="16">
        <f>IF(NOT(Paths!$C$361=1),0,IF(Paths!$P$361="Complete",IF(AND(C3906=0,Paths!$E$361=0),I3906-J3906-K3906+VLOOKUP(A3906,'Fleet register'!$A$7:$S$106,15,FALSE)+VLOOKUP(A3906,'Fleet register'!$A$7:$S$106,16,FALSE),0),"n.a."))</f>
        <v>0</v>
      </c>
      <c r="S3906" s="1">
        <f>IF(NOT(Paths!$C$361=1),0,IF(Paths!$P$361="Complete",IF(C3906=0,0,Paths!$S$361*Paths!$R$361),"n.a."))</f>
        <v>0</v>
      </c>
      <c r="T3906" s="1">
        <f>IF(NOT(Paths!$C$361=1),0,IF(Paths!$P$361="Complete",IF(C3906=0,0,VLOOKUP(A3906,'Fleet register'!$A$7:$S$106,9,FALSE)*Paths!$R$361),"n.a."))</f>
        <v>0</v>
      </c>
    </row>
    <row r="3907" spans="1:20" ht="24" customHeight="1">
      <c r="A3907" s="1" t="str">
        <f>Paths!$A$361</f>
        <v>T089</v>
      </c>
      <c r="B3907" s="1">
        <f>Paths!$B$361</f>
        <v>2</v>
      </c>
      <c r="C3907" s="1">
        <v>6</v>
      </c>
      <c r="D3907" s="1">
        <v>361</v>
      </c>
      <c r="E3907" s="1">
        <f>IF(OR(Paths!$C$361=0,C3907=0),0,MAX(0,MIN(C3907*12,Paths!$E$361)-(C3907-1)*12))</f>
        <v>0</v>
      </c>
      <c r="F3907" s="1">
        <f>IF(OR(Paths!$C$361=0,C3907=0),0,12-E3907)</f>
        <v>0</v>
      </c>
      <c r="G3907" s="16">
        <f>IF(NOT(Paths!$C$361=1),0,IF(Paths!$P$361="Complete",E3907/12*(Paths!$J$361*(1+'Operating costs'!$B$51)^MAX(0,C3907-1)+Paths!$K$361*(1+'Operating costs'!$B$53)^MAX(0,C3907-1)),"n.a."))</f>
        <v>0</v>
      </c>
      <c r="H3907" s="16">
        <f>IF(NOT(Paths!$C$361=1),0,IF(Paths!$P$361="Complete",F3907/12*(Paths!$L$361*(1+IF(Paths!$D$361="EV",'Operating costs'!$B$52,'Operating costs'!$B$51))^MAX(0,C3907-1)+Paths!$M$361*(1+'Operating costs'!$B$53)^MAX(0,C3907-1)),"n.a."))</f>
        <v>0</v>
      </c>
      <c r="I3907" s="16">
        <f>IF(NOT(Paths!$C$361=1),0,IF(Paths!$P$361="Complete",IF(IF(Paths!$E$361=0,C3907=0,AND(C3907&gt;0,Paths!$E$361&gt;(C3907-1)*12,Paths!$E$361&lt;=C3907*12)),Paths!$G$361,0),"n.a."))</f>
        <v>0</v>
      </c>
      <c r="J3907" s="16">
        <f>IF(NOT(Paths!$C$361=1),0,IF(Paths!$P$361="Complete",IF(IF(Paths!$E$361=0,C3907=0,AND(C3907&gt;0,Paths!$E$361&gt;(C3907-1)*12,Paths!$E$361&lt;=C3907*12)),Paths!$H$361,0),"n.a."))</f>
        <v>0</v>
      </c>
      <c r="K3907" s="16">
        <f>IF(NOT(Paths!$C$361=1),0,IF(Paths!$P$361="Complete",IF(IF(Paths!$O$361=0,C3907=0,AND(C3907&gt;0,Paths!$O$361&gt;(C3907-1)*12,Paths!$O$361&lt;=C3907*12)),Paths!$N$361,0),"n.a."))</f>
        <v>0</v>
      </c>
      <c r="L3907" s="16">
        <f>IF(NOT(Paths!$C$361=1),0,IF(Paths!$P$361="Complete",IF(C3907=10,Paths!$I$361,0),"n.a."))</f>
        <v>0</v>
      </c>
      <c r="M3907" s="16">
        <f>IF(NOT(Paths!$C$361=1),0,IF(Paths!$P$361="Complete",IF(AND(Paths!$D$361="EV",Paths!$E$361&lt;120,Paths!$E$361+'Operating costs'!$B$65&gt;Paths!$E$361,Paths!$E$361+'Operating costs'!$B$65&lt;=120,IF(Paths!$E$361+'Operating costs'!$B$65=0,C3907=0,AND(C3907&gt;0,Paths!$E$361+'Operating costs'!$B$65&gt;(C3907-1)*12,Paths!$E$361+'Operating costs'!$B$65&lt;=C3907*12))),'Operating costs'!$B$64,0)+IF(AND('Operating costs'!$B$67&gt;0,'Operating costs'!$B$67&lt;=120,OR(Paths!$D$361="ICE",'Operating costs'!$B$67&lt;=Paths!$E$361),IF('Operating costs'!$B$67=0,C3907=0,AND(C3907&gt;0,'Operating costs'!$B$67&gt;(C3907-1)*12,'Operating costs'!$B$67&lt;=C3907*12))),'Operating costs'!$B$66,0),"n.a."))</f>
        <v>0</v>
      </c>
      <c r="N3907" s="16">
        <f>IF(NOT(Paths!$C$361=1),0,IF(Paths!$P$361="Complete",SUM(G3907:I3907)-J3907-K3907-L3907+M3907+IF(C3907=0,Paths!$F$361,0)+IF(IF(Paths!$E$361=0,C3907=0,AND(C3907&gt;0,Paths!$E$361&gt;(C3907-1)*12,Paths!$E$361&lt;=C3907*12)),VLOOKUP(A3907,'Fleet register'!$A$7:$S$106,16,FALSE),0),"n.a."))</f>
        <v>0</v>
      </c>
      <c r="O3907" s="16">
        <f>IF(NOT(Paths!$C$361=1),0,IF(Paths!$P$361="Complete",N3907-IF(C3907=0,Paths!$F$361,0),"n.a."))</f>
        <v>0</v>
      </c>
      <c r="P3907" s="16">
        <f>IF(NOT(Paths!$C$361=1),0,IF(Paths!$P$361="Complete",O3907+L3907,"n.a."))</f>
        <v>0</v>
      </c>
      <c r="Q3907" s="16">
        <f>IF(NOT(Paths!$C$361=1),0,IF(Paths!$P$361="Complete",N3907*(1+'Operating costs'!$B$54)^-C3907,"n.a."))</f>
        <v>0</v>
      </c>
      <c r="R3907" s="16">
        <f>IF(NOT(Paths!$C$361=1),0,IF(Paths!$P$361="Complete",IF(AND(C3907=0,Paths!$E$361=0),I3907-J3907-K3907+VLOOKUP(A3907,'Fleet register'!$A$7:$S$106,15,FALSE)+VLOOKUP(A3907,'Fleet register'!$A$7:$S$106,16,FALSE),0),"n.a."))</f>
        <v>0</v>
      </c>
      <c r="S3907" s="1">
        <f>IF(NOT(Paths!$C$361=1),0,IF(Paths!$P$361="Complete",IF(C3907=0,0,Paths!$S$361*Paths!$R$361),"n.a."))</f>
        <v>0</v>
      </c>
      <c r="T3907" s="1">
        <f>IF(NOT(Paths!$C$361=1),0,IF(Paths!$P$361="Complete",IF(C3907=0,0,VLOOKUP(A3907,'Fleet register'!$A$7:$S$106,9,FALSE)*Paths!$R$361),"n.a."))</f>
        <v>0</v>
      </c>
    </row>
    <row r="3908" spans="1:20" ht="24" customHeight="1">
      <c r="A3908" s="1" t="str">
        <f>Paths!$A$361</f>
        <v>T089</v>
      </c>
      <c r="B3908" s="1">
        <f>Paths!$B$361</f>
        <v>2</v>
      </c>
      <c r="C3908" s="1">
        <v>7</v>
      </c>
      <c r="D3908" s="1">
        <v>361</v>
      </c>
      <c r="E3908" s="1">
        <f>IF(OR(Paths!$C$361=0,C3908=0),0,MAX(0,MIN(C3908*12,Paths!$E$361)-(C3908-1)*12))</f>
        <v>0</v>
      </c>
      <c r="F3908" s="1">
        <f>IF(OR(Paths!$C$361=0,C3908=0),0,12-E3908)</f>
        <v>0</v>
      </c>
      <c r="G3908" s="16">
        <f>IF(NOT(Paths!$C$361=1),0,IF(Paths!$P$361="Complete",E3908/12*(Paths!$J$361*(1+'Operating costs'!$B$51)^MAX(0,C3908-1)+Paths!$K$361*(1+'Operating costs'!$B$53)^MAX(0,C3908-1)),"n.a."))</f>
        <v>0</v>
      </c>
      <c r="H3908" s="16">
        <f>IF(NOT(Paths!$C$361=1),0,IF(Paths!$P$361="Complete",F3908/12*(Paths!$L$361*(1+IF(Paths!$D$361="EV",'Operating costs'!$B$52,'Operating costs'!$B$51))^MAX(0,C3908-1)+Paths!$M$361*(1+'Operating costs'!$B$53)^MAX(0,C3908-1)),"n.a."))</f>
        <v>0</v>
      </c>
      <c r="I3908" s="16">
        <f>IF(NOT(Paths!$C$361=1),0,IF(Paths!$P$361="Complete",IF(IF(Paths!$E$361=0,C3908=0,AND(C3908&gt;0,Paths!$E$361&gt;(C3908-1)*12,Paths!$E$361&lt;=C3908*12)),Paths!$G$361,0),"n.a."))</f>
        <v>0</v>
      </c>
      <c r="J3908" s="16">
        <f>IF(NOT(Paths!$C$361=1),0,IF(Paths!$P$361="Complete",IF(IF(Paths!$E$361=0,C3908=0,AND(C3908&gt;0,Paths!$E$361&gt;(C3908-1)*12,Paths!$E$361&lt;=C3908*12)),Paths!$H$361,0),"n.a."))</f>
        <v>0</v>
      </c>
      <c r="K3908" s="16">
        <f>IF(NOT(Paths!$C$361=1),0,IF(Paths!$P$361="Complete",IF(IF(Paths!$O$361=0,C3908=0,AND(C3908&gt;0,Paths!$O$361&gt;(C3908-1)*12,Paths!$O$361&lt;=C3908*12)),Paths!$N$361,0),"n.a."))</f>
        <v>0</v>
      </c>
      <c r="L3908" s="16">
        <f>IF(NOT(Paths!$C$361=1),0,IF(Paths!$P$361="Complete",IF(C3908=10,Paths!$I$361,0),"n.a."))</f>
        <v>0</v>
      </c>
      <c r="M3908" s="16">
        <f>IF(NOT(Paths!$C$361=1),0,IF(Paths!$P$361="Complete",IF(AND(Paths!$D$361="EV",Paths!$E$361&lt;120,Paths!$E$361+'Operating costs'!$B$65&gt;Paths!$E$361,Paths!$E$361+'Operating costs'!$B$65&lt;=120,IF(Paths!$E$361+'Operating costs'!$B$65=0,C3908=0,AND(C3908&gt;0,Paths!$E$361+'Operating costs'!$B$65&gt;(C3908-1)*12,Paths!$E$361+'Operating costs'!$B$65&lt;=C3908*12))),'Operating costs'!$B$64,0)+IF(AND('Operating costs'!$B$67&gt;0,'Operating costs'!$B$67&lt;=120,OR(Paths!$D$361="ICE",'Operating costs'!$B$67&lt;=Paths!$E$361),IF('Operating costs'!$B$67=0,C3908=0,AND(C3908&gt;0,'Operating costs'!$B$67&gt;(C3908-1)*12,'Operating costs'!$B$67&lt;=C3908*12))),'Operating costs'!$B$66,0),"n.a."))</f>
        <v>0</v>
      </c>
      <c r="N3908" s="16">
        <f>IF(NOT(Paths!$C$361=1),0,IF(Paths!$P$361="Complete",SUM(G3908:I3908)-J3908-K3908-L3908+M3908+IF(C3908=0,Paths!$F$361,0)+IF(IF(Paths!$E$361=0,C3908=0,AND(C3908&gt;0,Paths!$E$361&gt;(C3908-1)*12,Paths!$E$361&lt;=C3908*12)),VLOOKUP(A3908,'Fleet register'!$A$7:$S$106,16,FALSE),0),"n.a."))</f>
        <v>0</v>
      </c>
      <c r="O3908" s="16">
        <f>IF(NOT(Paths!$C$361=1),0,IF(Paths!$P$361="Complete",N3908-IF(C3908=0,Paths!$F$361,0),"n.a."))</f>
        <v>0</v>
      </c>
      <c r="P3908" s="16">
        <f>IF(NOT(Paths!$C$361=1),0,IF(Paths!$P$361="Complete",O3908+L3908,"n.a."))</f>
        <v>0</v>
      </c>
      <c r="Q3908" s="16">
        <f>IF(NOT(Paths!$C$361=1),0,IF(Paths!$P$361="Complete",N3908*(1+'Operating costs'!$B$54)^-C3908,"n.a."))</f>
        <v>0</v>
      </c>
      <c r="R3908" s="16">
        <f>IF(NOT(Paths!$C$361=1),0,IF(Paths!$P$361="Complete",IF(AND(C3908=0,Paths!$E$361=0),I3908-J3908-K3908+VLOOKUP(A3908,'Fleet register'!$A$7:$S$106,15,FALSE)+VLOOKUP(A3908,'Fleet register'!$A$7:$S$106,16,FALSE),0),"n.a."))</f>
        <v>0</v>
      </c>
      <c r="S3908" s="1">
        <f>IF(NOT(Paths!$C$361=1),0,IF(Paths!$P$361="Complete",IF(C3908=0,0,Paths!$S$361*Paths!$R$361),"n.a."))</f>
        <v>0</v>
      </c>
      <c r="T3908" s="1">
        <f>IF(NOT(Paths!$C$361=1),0,IF(Paths!$P$361="Complete",IF(C3908=0,0,VLOOKUP(A3908,'Fleet register'!$A$7:$S$106,9,FALSE)*Paths!$R$361),"n.a."))</f>
        <v>0</v>
      </c>
    </row>
    <row r="3909" spans="1:20" ht="24" customHeight="1">
      <c r="A3909" s="1" t="str">
        <f>Paths!$A$361</f>
        <v>T089</v>
      </c>
      <c r="B3909" s="1">
        <f>Paths!$B$361</f>
        <v>2</v>
      </c>
      <c r="C3909" s="1">
        <v>8</v>
      </c>
      <c r="D3909" s="1">
        <v>361</v>
      </c>
      <c r="E3909" s="1">
        <f>IF(OR(Paths!$C$361=0,C3909=0),0,MAX(0,MIN(C3909*12,Paths!$E$361)-(C3909-1)*12))</f>
        <v>0</v>
      </c>
      <c r="F3909" s="1">
        <f>IF(OR(Paths!$C$361=0,C3909=0),0,12-E3909)</f>
        <v>0</v>
      </c>
      <c r="G3909" s="16">
        <f>IF(NOT(Paths!$C$361=1),0,IF(Paths!$P$361="Complete",E3909/12*(Paths!$J$361*(1+'Operating costs'!$B$51)^MAX(0,C3909-1)+Paths!$K$361*(1+'Operating costs'!$B$53)^MAX(0,C3909-1)),"n.a."))</f>
        <v>0</v>
      </c>
      <c r="H3909" s="16">
        <f>IF(NOT(Paths!$C$361=1),0,IF(Paths!$P$361="Complete",F3909/12*(Paths!$L$361*(1+IF(Paths!$D$361="EV",'Operating costs'!$B$52,'Operating costs'!$B$51))^MAX(0,C3909-1)+Paths!$M$361*(1+'Operating costs'!$B$53)^MAX(0,C3909-1)),"n.a."))</f>
        <v>0</v>
      </c>
      <c r="I3909" s="16">
        <f>IF(NOT(Paths!$C$361=1),0,IF(Paths!$P$361="Complete",IF(IF(Paths!$E$361=0,C3909=0,AND(C3909&gt;0,Paths!$E$361&gt;(C3909-1)*12,Paths!$E$361&lt;=C3909*12)),Paths!$G$361,0),"n.a."))</f>
        <v>0</v>
      </c>
      <c r="J3909" s="16">
        <f>IF(NOT(Paths!$C$361=1),0,IF(Paths!$P$361="Complete",IF(IF(Paths!$E$361=0,C3909=0,AND(C3909&gt;0,Paths!$E$361&gt;(C3909-1)*12,Paths!$E$361&lt;=C3909*12)),Paths!$H$361,0),"n.a."))</f>
        <v>0</v>
      </c>
      <c r="K3909" s="16">
        <f>IF(NOT(Paths!$C$361=1),0,IF(Paths!$P$361="Complete",IF(IF(Paths!$O$361=0,C3909=0,AND(C3909&gt;0,Paths!$O$361&gt;(C3909-1)*12,Paths!$O$361&lt;=C3909*12)),Paths!$N$361,0),"n.a."))</f>
        <v>0</v>
      </c>
      <c r="L3909" s="16">
        <f>IF(NOT(Paths!$C$361=1),0,IF(Paths!$P$361="Complete",IF(C3909=10,Paths!$I$361,0),"n.a."))</f>
        <v>0</v>
      </c>
      <c r="M3909" s="16">
        <f>IF(NOT(Paths!$C$361=1),0,IF(Paths!$P$361="Complete",IF(AND(Paths!$D$361="EV",Paths!$E$361&lt;120,Paths!$E$361+'Operating costs'!$B$65&gt;Paths!$E$361,Paths!$E$361+'Operating costs'!$B$65&lt;=120,IF(Paths!$E$361+'Operating costs'!$B$65=0,C3909=0,AND(C3909&gt;0,Paths!$E$361+'Operating costs'!$B$65&gt;(C3909-1)*12,Paths!$E$361+'Operating costs'!$B$65&lt;=C3909*12))),'Operating costs'!$B$64,0)+IF(AND('Operating costs'!$B$67&gt;0,'Operating costs'!$B$67&lt;=120,OR(Paths!$D$361="ICE",'Operating costs'!$B$67&lt;=Paths!$E$361),IF('Operating costs'!$B$67=0,C3909=0,AND(C3909&gt;0,'Operating costs'!$B$67&gt;(C3909-1)*12,'Operating costs'!$B$67&lt;=C3909*12))),'Operating costs'!$B$66,0),"n.a."))</f>
        <v>0</v>
      </c>
      <c r="N3909" s="16">
        <f>IF(NOT(Paths!$C$361=1),0,IF(Paths!$P$361="Complete",SUM(G3909:I3909)-J3909-K3909-L3909+M3909+IF(C3909=0,Paths!$F$361,0)+IF(IF(Paths!$E$361=0,C3909=0,AND(C3909&gt;0,Paths!$E$361&gt;(C3909-1)*12,Paths!$E$361&lt;=C3909*12)),VLOOKUP(A3909,'Fleet register'!$A$7:$S$106,16,FALSE),0),"n.a."))</f>
        <v>0</v>
      </c>
      <c r="O3909" s="16">
        <f>IF(NOT(Paths!$C$361=1),0,IF(Paths!$P$361="Complete",N3909-IF(C3909=0,Paths!$F$361,0),"n.a."))</f>
        <v>0</v>
      </c>
      <c r="P3909" s="16">
        <f>IF(NOT(Paths!$C$361=1),0,IF(Paths!$P$361="Complete",O3909+L3909,"n.a."))</f>
        <v>0</v>
      </c>
      <c r="Q3909" s="16">
        <f>IF(NOT(Paths!$C$361=1),0,IF(Paths!$P$361="Complete",N3909*(1+'Operating costs'!$B$54)^-C3909,"n.a."))</f>
        <v>0</v>
      </c>
      <c r="R3909" s="16">
        <f>IF(NOT(Paths!$C$361=1),0,IF(Paths!$P$361="Complete",IF(AND(C3909=0,Paths!$E$361=0),I3909-J3909-K3909+VLOOKUP(A3909,'Fleet register'!$A$7:$S$106,15,FALSE)+VLOOKUP(A3909,'Fleet register'!$A$7:$S$106,16,FALSE),0),"n.a."))</f>
        <v>0</v>
      </c>
      <c r="S3909" s="1">
        <f>IF(NOT(Paths!$C$361=1),0,IF(Paths!$P$361="Complete",IF(C3909=0,0,Paths!$S$361*Paths!$R$361),"n.a."))</f>
        <v>0</v>
      </c>
      <c r="T3909" s="1">
        <f>IF(NOT(Paths!$C$361=1),0,IF(Paths!$P$361="Complete",IF(C3909=0,0,VLOOKUP(A3909,'Fleet register'!$A$7:$S$106,9,FALSE)*Paths!$R$361),"n.a."))</f>
        <v>0</v>
      </c>
    </row>
    <row r="3910" spans="1:20" ht="24" customHeight="1">
      <c r="A3910" s="1" t="str">
        <f>Paths!$A$361</f>
        <v>T089</v>
      </c>
      <c r="B3910" s="1">
        <f>Paths!$B$361</f>
        <v>2</v>
      </c>
      <c r="C3910" s="1">
        <v>9</v>
      </c>
      <c r="D3910" s="1">
        <v>361</v>
      </c>
      <c r="E3910" s="1">
        <f>IF(OR(Paths!$C$361=0,C3910=0),0,MAX(0,MIN(C3910*12,Paths!$E$361)-(C3910-1)*12))</f>
        <v>0</v>
      </c>
      <c r="F3910" s="1">
        <f>IF(OR(Paths!$C$361=0,C3910=0),0,12-E3910)</f>
        <v>0</v>
      </c>
      <c r="G3910" s="16">
        <f>IF(NOT(Paths!$C$361=1),0,IF(Paths!$P$361="Complete",E3910/12*(Paths!$J$361*(1+'Operating costs'!$B$51)^MAX(0,C3910-1)+Paths!$K$361*(1+'Operating costs'!$B$53)^MAX(0,C3910-1)),"n.a."))</f>
        <v>0</v>
      </c>
      <c r="H3910" s="16">
        <f>IF(NOT(Paths!$C$361=1),0,IF(Paths!$P$361="Complete",F3910/12*(Paths!$L$361*(1+IF(Paths!$D$361="EV",'Operating costs'!$B$52,'Operating costs'!$B$51))^MAX(0,C3910-1)+Paths!$M$361*(1+'Operating costs'!$B$53)^MAX(0,C3910-1)),"n.a."))</f>
        <v>0</v>
      </c>
      <c r="I3910" s="16">
        <f>IF(NOT(Paths!$C$361=1),0,IF(Paths!$P$361="Complete",IF(IF(Paths!$E$361=0,C3910=0,AND(C3910&gt;0,Paths!$E$361&gt;(C3910-1)*12,Paths!$E$361&lt;=C3910*12)),Paths!$G$361,0),"n.a."))</f>
        <v>0</v>
      </c>
      <c r="J3910" s="16">
        <f>IF(NOT(Paths!$C$361=1),0,IF(Paths!$P$361="Complete",IF(IF(Paths!$E$361=0,C3910=0,AND(C3910&gt;0,Paths!$E$361&gt;(C3910-1)*12,Paths!$E$361&lt;=C3910*12)),Paths!$H$361,0),"n.a."))</f>
        <v>0</v>
      </c>
      <c r="K3910" s="16">
        <f>IF(NOT(Paths!$C$361=1),0,IF(Paths!$P$361="Complete",IF(IF(Paths!$O$361=0,C3910=0,AND(C3910&gt;0,Paths!$O$361&gt;(C3910-1)*12,Paths!$O$361&lt;=C3910*12)),Paths!$N$361,0),"n.a."))</f>
        <v>0</v>
      </c>
      <c r="L3910" s="16">
        <f>IF(NOT(Paths!$C$361=1),0,IF(Paths!$P$361="Complete",IF(C3910=10,Paths!$I$361,0),"n.a."))</f>
        <v>0</v>
      </c>
      <c r="M3910" s="16">
        <f>IF(NOT(Paths!$C$361=1),0,IF(Paths!$P$361="Complete",IF(AND(Paths!$D$361="EV",Paths!$E$361&lt;120,Paths!$E$361+'Operating costs'!$B$65&gt;Paths!$E$361,Paths!$E$361+'Operating costs'!$B$65&lt;=120,IF(Paths!$E$361+'Operating costs'!$B$65=0,C3910=0,AND(C3910&gt;0,Paths!$E$361+'Operating costs'!$B$65&gt;(C3910-1)*12,Paths!$E$361+'Operating costs'!$B$65&lt;=C3910*12))),'Operating costs'!$B$64,0)+IF(AND('Operating costs'!$B$67&gt;0,'Operating costs'!$B$67&lt;=120,OR(Paths!$D$361="ICE",'Operating costs'!$B$67&lt;=Paths!$E$361),IF('Operating costs'!$B$67=0,C3910=0,AND(C3910&gt;0,'Operating costs'!$B$67&gt;(C3910-1)*12,'Operating costs'!$B$67&lt;=C3910*12))),'Operating costs'!$B$66,0),"n.a."))</f>
        <v>0</v>
      </c>
      <c r="N3910" s="16">
        <f>IF(NOT(Paths!$C$361=1),0,IF(Paths!$P$361="Complete",SUM(G3910:I3910)-J3910-K3910-L3910+M3910+IF(C3910=0,Paths!$F$361,0)+IF(IF(Paths!$E$361=0,C3910=0,AND(C3910&gt;0,Paths!$E$361&gt;(C3910-1)*12,Paths!$E$361&lt;=C3910*12)),VLOOKUP(A3910,'Fleet register'!$A$7:$S$106,16,FALSE),0),"n.a."))</f>
        <v>0</v>
      </c>
      <c r="O3910" s="16">
        <f>IF(NOT(Paths!$C$361=1),0,IF(Paths!$P$361="Complete",N3910-IF(C3910=0,Paths!$F$361,0),"n.a."))</f>
        <v>0</v>
      </c>
      <c r="P3910" s="16">
        <f>IF(NOT(Paths!$C$361=1),0,IF(Paths!$P$361="Complete",O3910+L3910,"n.a."))</f>
        <v>0</v>
      </c>
      <c r="Q3910" s="16">
        <f>IF(NOT(Paths!$C$361=1),0,IF(Paths!$P$361="Complete",N3910*(1+'Operating costs'!$B$54)^-C3910,"n.a."))</f>
        <v>0</v>
      </c>
      <c r="R3910" s="16">
        <f>IF(NOT(Paths!$C$361=1),0,IF(Paths!$P$361="Complete",IF(AND(C3910=0,Paths!$E$361=0),I3910-J3910-K3910+VLOOKUP(A3910,'Fleet register'!$A$7:$S$106,15,FALSE)+VLOOKUP(A3910,'Fleet register'!$A$7:$S$106,16,FALSE),0),"n.a."))</f>
        <v>0</v>
      </c>
      <c r="S3910" s="1">
        <f>IF(NOT(Paths!$C$361=1),0,IF(Paths!$P$361="Complete",IF(C3910=0,0,Paths!$S$361*Paths!$R$361),"n.a."))</f>
        <v>0</v>
      </c>
      <c r="T3910" s="1">
        <f>IF(NOT(Paths!$C$361=1),0,IF(Paths!$P$361="Complete",IF(C3910=0,0,VLOOKUP(A3910,'Fleet register'!$A$7:$S$106,9,FALSE)*Paths!$R$361),"n.a."))</f>
        <v>0</v>
      </c>
    </row>
    <row r="3911" spans="1:20" ht="24" customHeight="1">
      <c r="A3911" s="1" t="str">
        <f>Paths!$A$361</f>
        <v>T089</v>
      </c>
      <c r="B3911" s="1">
        <f>Paths!$B$361</f>
        <v>2</v>
      </c>
      <c r="C3911" s="1">
        <v>10</v>
      </c>
      <c r="D3911" s="1">
        <v>361</v>
      </c>
      <c r="E3911" s="1">
        <f>IF(OR(Paths!$C$361=0,C3911=0),0,MAX(0,MIN(C3911*12,Paths!$E$361)-(C3911-1)*12))</f>
        <v>0</v>
      </c>
      <c r="F3911" s="1">
        <f>IF(OR(Paths!$C$361=0,C3911=0),0,12-E3911)</f>
        <v>0</v>
      </c>
      <c r="G3911" s="16">
        <f>IF(NOT(Paths!$C$361=1),0,IF(Paths!$P$361="Complete",E3911/12*(Paths!$J$361*(1+'Operating costs'!$B$51)^MAX(0,C3911-1)+Paths!$K$361*(1+'Operating costs'!$B$53)^MAX(0,C3911-1)),"n.a."))</f>
        <v>0</v>
      </c>
      <c r="H3911" s="16">
        <f>IF(NOT(Paths!$C$361=1),0,IF(Paths!$P$361="Complete",F3911/12*(Paths!$L$361*(1+IF(Paths!$D$361="EV",'Operating costs'!$B$52,'Operating costs'!$B$51))^MAX(0,C3911-1)+Paths!$M$361*(1+'Operating costs'!$B$53)^MAX(0,C3911-1)),"n.a."))</f>
        <v>0</v>
      </c>
      <c r="I3911" s="16">
        <f>IF(NOT(Paths!$C$361=1),0,IF(Paths!$P$361="Complete",IF(IF(Paths!$E$361=0,C3911=0,AND(C3911&gt;0,Paths!$E$361&gt;(C3911-1)*12,Paths!$E$361&lt;=C3911*12)),Paths!$G$361,0),"n.a."))</f>
        <v>0</v>
      </c>
      <c r="J3911" s="16">
        <f>IF(NOT(Paths!$C$361=1),0,IF(Paths!$P$361="Complete",IF(IF(Paths!$E$361=0,C3911=0,AND(C3911&gt;0,Paths!$E$361&gt;(C3911-1)*12,Paths!$E$361&lt;=C3911*12)),Paths!$H$361,0),"n.a."))</f>
        <v>0</v>
      </c>
      <c r="K3911" s="16">
        <f>IF(NOT(Paths!$C$361=1),0,IF(Paths!$P$361="Complete",IF(IF(Paths!$O$361=0,C3911=0,AND(C3911&gt;0,Paths!$O$361&gt;(C3911-1)*12,Paths!$O$361&lt;=C3911*12)),Paths!$N$361,0),"n.a."))</f>
        <v>0</v>
      </c>
      <c r="L3911" s="16">
        <f>IF(NOT(Paths!$C$361=1),0,IF(Paths!$P$361="Complete",IF(C3911=10,Paths!$I$361,0),"n.a."))</f>
        <v>0</v>
      </c>
      <c r="M3911" s="16">
        <f>IF(NOT(Paths!$C$361=1),0,IF(Paths!$P$361="Complete",IF(AND(Paths!$D$361="EV",Paths!$E$361&lt;120,Paths!$E$361+'Operating costs'!$B$65&gt;Paths!$E$361,Paths!$E$361+'Operating costs'!$B$65&lt;=120,IF(Paths!$E$361+'Operating costs'!$B$65=0,C3911=0,AND(C3911&gt;0,Paths!$E$361+'Operating costs'!$B$65&gt;(C3911-1)*12,Paths!$E$361+'Operating costs'!$B$65&lt;=C3911*12))),'Operating costs'!$B$64,0)+IF(AND('Operating costs'!$B$67&gt;0,'Operating costs'!$B$67&lt;=120,OR(Paths!$D$361="ICE",'Operating costs'!$B$67&lt;=Paths!$E$361),IF('Operating costs'!$B$67=0,C3911=0,AND(C3911&gt;0,'Operating costs'!$B$67&gt;(C3911-1)*12,'Operating costs'!$B$67&lt;=C3911*12))),'Operating costs'!$B$66,0),"n.a."))</f>
        <v>0</v>
      </c>
      <c r="N3911" s="16">
        <f>IF(NOT(Paths!$C$361=1),0,IF(Paths!$P$361="Complete",SUM(G3911:I3911)-J3911-K3911-L3911+M3911+IF(C3911=0,Paths!$F$361,0)+IF(IF(Paths!$E$361=0,C3911=0,AND(C3911&gt;0,Paths!$E$361&gt;(C3911-1)*12,Paths!$E$361&lt;=C3911*12)),VLOOKUP(A3911,'Fleet register'!$A$7:$S$106,16,FALSE),0),"n.a."))</f>
        <v>0</v>
      </c>
      <c r="O3911" s="16">
        <f>IF(NOT(Paths!$C$361=1),0,IF(Paths!$P$361="Complete",N3911-IF(C3911=0,Paths!$F$361,0),"n.a."))</f>
        <v>0</v>
      </c>
      <c r="P3911" s="16">
        <f>IF(NOT(Paths!$C$361=1),0,IF(Paths!$P$361="Complete",O3911+L3911,"n.a."))</f>
        <v>0</v>
      </c>
      <c r="Q3911" s="16">
        <f>IF(NOT(Paths!$C$361=1),0,IF(Paths!$P$361="Complete",N3911*(1+'Operating costs'!$B$54)^-C3911,"n.a."))</f>
        <v>0</v>
      </c>
      <c r="R3911" s="16">
        <f>IF(NOT(Paths!$C$361=1),0,IF(Paths!$P$361="Complete",IF(AND(C3911=0,Paths!$E$361=0),I3911-J3911-K3911+VLOOKUP(A3911,'Fleet register'!$A$7:$S$106,15,FALSE)+VLOOKUP(A3911,'Fleet register'!$A$7:$S$106,16,FALSE),0),"n.a."))</f>
        <v>0</v>
      </c>
      <c r="S3911" s="1">
        <f>IF(NOT(Paths!$C$361=1),0,IF(Paths!$P$361="Complete",IF(C3911=0,0,Paths!$S$361*Paths!$R$361),"n.a."))</f>
        <v>0</v>
      </c>
      <c r="T3911" s="1">
        <f>IF(NOT(Paths!$C$361=1),0,IF(Paths!$P$361="Complete",IF(C3911=0,0,VLOOKUP(A3911,'Fleet register'!$A$7:$S$106,9,FALSE)*Paths!$R$361),"n.a."))</f>
        <v>0</v>
      </c>
    </row>
    <row r="3912" spans="1:20" ht="24" customHeight="1">
      <c r="A3912" s="1" t="str">
        <f>Paths!$A$362</f>
        <v>T089</v>
      </c>
      <c r="B3912" s="1">
        <f>Paths!$B$362</f>
        <v>3</v>
      </c>
      <c r="C3912" s="1">
        <v>0</v>
      </c>
      <c r="D3912" s="1">
        <v>362</v>
      </c>
      <c r="E3912" s="1">
        <f>IF(OR(Paths!$C$362=0,C3912=0),0,MAX(0,MIN(C3912*12,Paths!$E$362)-(C3912-1)*12))</f>
        <v>0</v>
      </c>
      <c r="F3912" s="1">
        <f>IF(OR(Paths!$C$362=0,C3912=0),0,12-E3912)</f>
        <v>0</v>
      </c>
      <c r="G3912" s="16">
        <f>IF(NOT(Paths!$C$362=1),0,IF(Paths!$P$362="Complete",E3912/12*(Paths!$J$362*(1+'Operating costs'!$B$51)^MAX(0,C3912-1)+Paths!$K$362*(1+'Operating costs'!$B$53)^MAX(0,C3912-1)),"n.a."))</f>
        <v>0</v>
      </c>
      <c r="H3912" s="16">
        <f>IF(NOT(Paths!$C$362=1),0,IF(Paths!$P$362="Complete",F3912/12*(Paths!$L$362*(1+IF(Paths!$D$362="EV",'Operating costs'!$B$52,'Operating costs'!$B$51))^MAX(0,C3912-1)+Paths!$M$362*(1+'Operating costs'!$B$53)^MAX(0,C3912-1)),"n.a."))</f>
        <v>0</v>
      </c>
      <c r="I3912" s="16">
        <f>IF(NOT(Paths!$C$362=1),0,IF(Paths!$P$362="Complete",IF(IF(Paths!$E$362=0,C3912=0,AND(C3912&gt;0,Paths!$E$362&gt;(C3912-1)*12,Paths!$E$362&lt;=C3912*12)),Paths!$G$362,0),"n.a."))</f>
        <v>0</v>
      </c>
      <c r="J3912" s="16">
        <f>IF(NOT(Paths!$C$362=1),0,IF(Paths!$P$362="Complete",IF(IF(Paths!$E$362=0,C3912=0,AND(C3912&gt;0,Paths!$E$362&gt;(C3912-1)*12,Paths!$E$362&lt;=C3912*12)),Paths!$H$362,0),"n.a."))</f>
        <v>0</v>
      </c>
      <c r="K3912" s="16">
        <f>IF(NOT(Paths!$C$362=1),0,IF(Paths!$P$362="Complete",IF(IF(Paths!$O$362=0,C3912=0,AND(C3912&gt;0,Paths!$O$362&gt;(C3912-1)*12,Paths!$O$362&lt;=C3912*12)),Paths!$N$362,0),"n.a."))</f>
        <v>0</v>
      </c>
      <c r="L3912" s="16">
        <f>IF(NOT(Paths!$C$362=1),0,IF(Paths!$P$362="Complete",IF(C3912=10,Paths!$I$362,0),"n.a."))</f>
        <v>0</v>
      </c>
      <c r="M3912" s="16">
        <f>IF(NOT(Paths!$C$362=1),0,IF(Paths!$P$362="Complete",IF(AND(Paths!$D$362="EV",Paths!$E$362&lt;120,Paths!$E$362+'Operating costs'!$B$65&gt;Paths!$E$362,Paths!$E$362+'Operating costs'!$B$65&lt;=120,IF(Paths!$E$362+'Operating costs'!$B$65=0,C3912=0,AND(C3912&gt;0,Paths!$E$362+'Operating costs'!$B$65&gt;(C3912-1)*12,Paths!$E$362+'Operating costs'!$B$65&lt;=C3912*12))),'Operating costs'!$B$64,0)+IF(AND('Operating costs'!$B$67&gt;0,'Operating costs'!$B$67&lt;=120,OR(Paths!$D$362="ICE",'Operating costs'!$B$67&lt;=Paths!$E$362),IF('Operating costs'!$B$67=0,C3912=0,AND(C3912&gt;0,'Operating costs'!$B$67&gt;(C3912-1)*12,'Operating costs'!$B$67&lt;=C3912*12))),'Operating costs'!$B$66,0),"n.a."))</f>
        <v>0</v>
      </c>
      <c r="N3912" s="16">
        <f>IF(NOT(Paths!$C$362=1),0,IF(Paths!$P$362="Complete",SUM(G3912:I3912)-J3912-K3912-L3912+M3912+IF(C3912=0,Paths!$F$362,0)+IF(IF(Paths!$E$362=0,C3912=0,AND(C3912&gt;0,Paths!$E$362&gt;(C3912-1)*12,Paths!$E$362&lt;=C3912*12)),VLOOKUP(A3912,'Fleet register'!$A$7:$S$106,16,FALSE),0),"n.a."))</f>
        <v>0</v>
      </c>
      <c r="O3912" s="16">
        <f>IF(NOT(Paths!$C$362=1),0,IF(Paths!$P$362="Complete",N3912-IF(C3912=0,Paths!$F$362,0),"n.a."))</f>
        <v>0</v>
      </c>
      <c r="P3912" s="16">
        <f>IF(NOT(Paths!$C$362=1),0,IF(Paths!$P$362="Complete",O3912+L3912,"n.a."))</f>
        <v>0</v>
      </c>
      <c r="Q3912" s="16">
        <f>IF(NOT(Paths!$C$362=1),0,IF(Paths!$P$362="Complete",N3912*(1+'Operating costs'!$B$54)^-C3912,"n.a."))</f>
        <v>0</v>
      </c>
      <c r="R3912" s="16">
        <f>IF(NOT(Paths!$C$362=1),0,IF(Paths!$P$362="Complete",IF(AND(C3912=0,Paths!$E$362=0),I3912-J3912-K3912+VLOOKUP(A3912,'Fleet register'!$A$7:$S$106,15,FALSE)+VLOOKUP(A3912,'Fleet register'!$A$7:$S$106,16,FALSE),0),"n.a."))</f>
        <v>0</v>
      </c>
      <c r="S3912" s="1">
        <f>IF(NOT(Paths!$C$362=1),0,IF(Paths!$P$362="Complete",IF(C3912=0,0,Paths!$S$362*Paths!$R$362),"n.a."))</f>
        <v>0</v>
      </c>
      <c r="T3912" s="1">
        <f>IF(NOT(Paths!$C$362=1),0,IF(Paths!$P$362="Complete",IF(C3912=0,0,VLOOKUP(A3912,'Fleet register'!$A$7:$S$106,9,FALSE)*Paths!$R$362),"n.a."))</f>
        <v>0</v>
      </c>
    </row>
    <row r="3913" spans="1:20" ht="24" customHeight="1">
      <c r="A3913" s="1" t="str">
        <f>Paths!$A$362</f>
        <v>T089</v>
      </c>
      <c r="B3913" s="1">
        <f>Paths!$B$362</f>
        <v>3</v>
      </c>
      <c r="C3913" s="1">
        <v>1</v>
      </c>
      <c r="D3913" s="1">
        <v>362</v>
      </c>
      <c r="E3913" s="1">
        <f>IF(OR(Paths!$C$362=0,C3913=0),0,MAX(0,MIN(C3913*12,Paths!$E$362)-(C3913-1)*12))</f>
        <v>0</v>
      </c>
      <c r="F3913" s="1">
        <f>IF(OR(Paths!$C$362=0,C3913=0),0,12-E3913)</f>
        <v>0</v>
      </c>
      <c r="G3913" s="16">
        <f>IF(NOT(Paths!$C$362=1),0,IF(Paths!$P$362="Complete",E3913/12*(Paths!$J$362*(1+'Operating costs'!$B$51)^MAX(0,C3913-1)+Paths!$K$362*(1+'Operating costs'!$B$53)^MAX(0,C3913-1)),"n.a."))</f>
        <v>0</v>
      </c>
      <c r="H3913" s="16">
        <f>IF(NOT(Paths!$C$362=1),0,IF(Paths!$P$362="Complete",F3913/12*(Paths!$L$362*(1+IF(Paths!$D$362="EV",'Operating costs'!$B$52,'Operating costs'!$B$51))^MAX(0,C3913-1)+Paths!$M$362*(1+'Operating costs'!$B$53)^MAX(0,C3913-1)),"n.a."))</f>
        <v>0</v>
      </c>
      <c r="I3913" s="16">
        <f>IF(NOT(Paths!$C$362=1),0,IF(Paths!$P$362="Complete",IF(IF(Paths!$E$362=0,C3913=0,AND(C3913&gt;0,Paths!$E$362&gt;(C3913-1)*12,Paths!$E$362&lt;=C3913*12)),Paths!$G$362,0),"n.a."))</f>
        <v>0</v>
      </c>
      <c r="J3913" s="16">
        <f>IF(NOT(Paths!$C$362=1),0,IF(Paths!$P$362="Complete",IF(IF(Paths!$E$362=0,C3913=0,AND(C3913&gt;0,Paths!$E$362&gt;(C3913-1)*12,Paths!$E$362&lt;=C3913*12)),Paths!$H$362,0),"n.a."))</f>
        <v>0</v>
      </c>
      <c r="K3913" s="16">
        <f>IF(NOT(Paths!$C$362=1),0,IF(Paths!$P$362="Complete",IF(IF(Paths!$O$362=0,C3913=0,AND(C3913&gt;0,Paths!$O$362&gt;(C3913-1)*12,Paths!$O$362&lt;=C3913*12)),Paths!$N$362,0),"n.a."))</f>
        <v>0</v>
      </c>
      <c r="L3913" s="16">
        <f>IF(NOT(Paths!$C$362=1),0,IF(Paths!$P$362="Complete",IF(C3913=10,Paths!$I$362,0),"n.a."))</f>
        <v>0</v>
      </c>
      <c r="M3913" s="16">
        <f>IF(NOT(Paths!$C$362=1),0,IF(Paths!$P$362="Complete",IF(AND(Paths!$D$362="EV",Paths!$E$362&lt;120,Paths!$E$362+'Operating costs'!$B$65&gt;Paths!$E$362,Paths!$E$362+'Operating costs'!$B$65&lt;=120,IF(Paths!$E$362+'Operating costs'!$B$65=0,C3913=0,AND(C3913&gt;0,Paths!$E$362+'Operating costs'!$B$65&gt;(C3913-1)*12,Paths!$E$362+'Operating costs'!$B$65&lt;=C3913*12))),'Operating costs'!$B$64,0)+IF(AND('Operating costs'!$B$67&gt;0,'Operating costs'!$B$67&lt;=120,OR(Paths!$D$362="ICE",'Operating costs'!$B$67&lt;=Paths!$E$362),IF('Operating costs'!$B$67=0,C3913=0,AND(C3913&gt;0,'Operating costs'!$B$67&gt;(C3913-1)*12,'Operating costs'!$B$67&lt;=C3913*12))),'Operating costs'!$B$66,0),"n.a."))</f>
        <v>0</v>
      </c>
      <c r="N3913" s="16">
        <f>IF(NOT(Paths!$C$362=1),0,IF(Paths!$P$362="Complete",SUM(G3913:I3913)-J3913-K3913-L3913+M3913+IF(C3913=0,Paths!$F$362,0)+IF(IF(Paths!$E$362=0,C3913=0,AND(C3913&gt;0,Paths!$E$362&gt;(C3913-1)*12,Paths!$E$362&lt;=C3913*12)),VLOOKUP(A3913,'Fleet register'!$A$7:$S$106,16,FALSE),0),"n.a."))</f>
        <v>0</v>
      </c>
      <c r="O3913" s="16">
        <f>IF(NOT(Paths!$C$362=1),0,IF(Paths!$P$362="Complete",N3913-IF(C3913=0,Paths!$F$362,0),"n.a."))</f>
        <v>0</v>
      </c>
      <c r="P3913" s="16">
        <f>IF(NOT(Paths!$C$362=1),0,IF(Paths!$P$362="Complete",O3913+L3913,"n.a."))</f>
        <v>0</v>
      </c>
      <c r="Q3913" s="16">
        <f>IF(NOT(Paths!$C$362=1),0,IF(Paths!$P$362="Complete",N3913*(1+'Operating costs'!$B$54)^-C3913,"n.a."))</f>
        <v>0</v>
      </c>
      <c r="R3913" s="16">
        <f>IF(NOT(Paths!$C$362=1),0,IF(Paths!$P$362="Complete",IF(AND(C3913=0,Paths!$E$362=0),I3913-J3913-K3913+VLOOKUP(A3913,'Fleet register'!$A$7:$S$106,15,FALSE)+VLOOKUP(A3913,'Fleet register'!$A$7:$S$106,16,FALSE),0),"n.a."))</f>
        <v>0</v>
      </c>
      <c r="S3913" s="1">
        <f>IF(NOT(Paths!$C$362=1),0,IF(Paths!$P$362="Complete",IF(C3913=0,0,Paths!$S$362*Paths!$R$362),"n.a."))</f>
        <v>0</v>
      </c>
      <c r="T3913" s="1">
        <f>IF(NOT(Paths!$C$362=1),0,IF(Paths!$P$362="Complete",IF(C3913=0,0,VLOOKUP(A3913,'Fleet register'!$A$7:$S$106,9,FALSE)*Paths!$R$362),"n.a."))</f>
        <v>0</v>
      </c>
    </row>
    <row r="3914" spans="1:20" ht="24" customHeight="1">
      <c r="A3914" s="1" t="str">
        <f>Paths!$A$362</f>
        <v>T089</v>
      </c>
      <c r="B3914" s="1">
        <f>Paths!$B$362</f>
        <v>3</v>
      </c>
      <c r="C3914" s="1">
        <v>2</v>
      </c>
      <c r="D3914" s="1">
        <v>362</v>
      </c>
      <c r="E3914" s="1">
        <f>IF(OR(Paths!$C$362=0,C3914=0),0,MAX(0,MIN(C3914*12,Paths!$E$362)-(C3914-1)*12))</f>
        <v>0</v>
      </c>
      <c r="F3914" s="1">
        <f>IF(OR(Paths!$C$362=0,C3914=0),0,12-E3914)</f>
        <v>0</v>
      </c>
      <c r="G3914" s="16">
        <f>IF(NOT(Paths!$C$362=1),0,IF(Paths!$P$362="Complete",E3914/12*(Paths!$J$362*(1+'Operating costs'!$B$51)^MAX(0,C3914-1)+Paths!$K$362*(1+'Operating costs'!$B$53)^MAX(0,C3914-1)),"n.a."))</f>
        <v>0</v>
      </c>
      <c r="H3914" s="16">
        <f>IF(NOT(Paths!$C$362=1),0,IF(Paths!$P$362="Complete",F3914/12*(Paths!$L$362*(1+IF(Paths!$D$362="EV",'Operating costs'!$B$52,'Operating costs'!$B$51))^MAX(0,C3914-1)+Paths!$M$362*(1+'Operating costs'!$B$53)^MAX(0,C3914-1)),"n.a."))</f>
        <v>0</v>
      </c>
      <c r="I3914" s="16">
        <f>IF(NOT(Paths!$C$362=1),0,IF(Paths!$P$362="Complete",IF(IF(Paths!$E$362=0,C3914=0,AND(C3914&gt;0,Paths!$E$362&gt;(C3914-1)*12,Paths!$E$362&lt;=C3914*12)),Paths!$G$362,0),"n.a."))</f>
        <v>0</v>
      </c>
      <c r="J3914" s="16">
        <f>IF(NOT(Paths!$C$362=1),0,IF(Paths!$P$362="Complete",IF(IF(Paths!$E$362=0,C3914=0,AND(C3914&gt;0,Paths!$E$362&gt;(C3914-1)*12,Paths!$E$362&lt;=C3914*12)),Paths!$H$362,0),"n.a."))</f>
        <v>0</v>
      </c>
      <c r="K3914" s="16">
        <f>IF(NOT(Paths!$C$362=1),0,IF(Paths!$P$362="Complete",IF(IF(Paths!$O$362=0,C3914=0,AND(C3914&gt;0,Paths!$O$362&gt;(C3914-1)*12,Paths!$O$362&lt;=C3914*12)),Paths!$N$362,0),"n.a."))</f>
        <v>0</v>
      </c>
      <c r="L3914" s="16">
        <f>IF(NOT(Paths!$C$362=1),0,IF(Paths!$P$362="Complete",IF(C3914=10,Paths!$I$362,0),"n.a."))</f>
        <v>0</v>
      </c>
      <c r="M3914" s="16">
        <f>IF(NOT(Paths!$C$362=1),0,IF(Paths!$P$362="Complete",IF(AND(Paths!$D$362="EV",Paths!$E$362&lt;120,Paths!$E$362+'Operating costs'!$B$65&gt;Paths!$E$362,Paths!$E$362+'Operating costs'!$B$65&lt;=120,IF(Paths!$E$362+'Operating costs'!$B$65=0,C3914=0,AND(C3914&gt;0,Paths!$E$362+'Operating costs'!$B$65&gt;(C3914-1)*12,Paths!$E$362+'Operating costs'!$B$65&lt;=C3914*12))),'Operating costs'!$B$64,0)+IF(AND('Operating costs'!$B$67&gt;0,'Operating costs'!$B$67&lt;=120,OR(Paths!$D$362="ICE",'Operating costs'!$B$67&lt;=Paths!$E$362),IF('Operating costs'!$B$67=0,C3914=0,AND(C3914&gt;0,'Operating costs'!$B$67&gt;(C3914-1)*12,'Operating costs'!$B$67&lt;=C3914*12))),'Operating costs'!$B$66,0),"n.a."))</f>
        <v>0</v>
      </c>
      <c r="N3914" s="16">
        <f>IF(NOT(Paths!$C$362=1),0,IF(Paths!$P$362="Complete",SUM(G3914:I3914)-J3914-K3914-L3914+M3914+IF(C3914=0,Paths!$F$362,0)+IF(IF(Paths!$E$362=0,C3914=0,AND(C3914&gt;0,Paths!$E$362&gt;(C3914-1)*12,Paths!$E$362&lt;=C3914*12)),VLOOKUP(A3914,'Fleet register'!$A$7:$S$106,16,FALSE),0),"n.a."))</f>
        <v>0</v>
      </c>
      <c r="O3914" s="16">
        <f>IF(NOT(Paths!$C$362=1),0,IF(Paths!$P$362="Complete",N3914-IF(C3914=0,Paths!$F$362,0),"n.a."))</f>
        <v>0</v>
      </c>
      <c r="P3914" s="16">
        <f>IF(NOT(Paths!$C$362=1),0,IF(Paths!$P$362="Complete",O3914+L3914,"n.a."))</f>
        <v>0</v>
      </c>
      <c r="Q3914" s="16">
        <f>IF(NOT(Paths!$C$362=1),0,IF(Paths!$P$362="Complete",N3914*(1+'Operating costs'!$B$54)^-C3914,"n.a."))</f>
        <v>0</v>
      </c>
      <c r="R3914" s="16">
        <f>IF(NOT(Paths!$C$362=1),0,IF(Paths!$P$362="Complete",IF(AND(C3914=0,Paths!$E$362=0),I3914-J3914-K3914+VLOOKUP(A3914,'Fleet register'!$A$7:$S$106,15,FALSE)+VLOOKUP(A3914,'Fleet register'!$A$7:$S$106,16,FALSE),0),"n.a."))</f>
        <v>0</v>
      </c>
      <c r="S3914" s="1">
        <f>IF(NOT(Paths!$C$362=1),0,IF(Paths!$P$362="Complete",IF(C3914=0,0,Paths!$S$362*Paths!$R$362),"n.a."))</f>
        <v>0</v>
      </c>
      <c r="T3914" s="1">
        <f>IF(NOT(Paths!$C$362=1),0,IF(Paths!$P$362="Complete",IF(C3914=0,0,VLOOKUP(A3914,'Fleet register'!$A$7:$S$106,9,FALSE)*Paths!$R$362),"n.a."))</f>
        <v>0</v>
      </c>
    </row>
    <row r="3915" spans="1:20" ht="24" customHeight="1">
      <c r="A3915" s="1" t="str">
        <f>Paths!$A$362</f>
        <v>T089</v>
      </c>
      <c r="B3915" s="1">
        <f>Paths!$B$362</f>
        <v>3</v>
      </c>
      <c r="C3915" s="1">
        <v>3</v>
      </c>
      <c r="D3915" s="1">
        <v>362</v>
      </c>
      <c r="E3915" s="1">
        <f>IF(OR(Paths!$C$362=0,C3915=0),0,MAX(0,MIN(C3915*12,Paths!$E$362)-(C3915-1)*12))</f>
        <v>0</v>
      </c>
      <c r="F3915" s="1">
        <f>IF(OR(Paths!$C$362=0,C3915=0),0,12-E3915)</f>
        <v>0</v>
      </c>
      <c r="G3915" s="16">
        <f>IF(NOT(Paths!$C$362=1),0,IF(Paths!$P$362="Complete",E3915/12*(Paths!$J$362*(1+'Operating costs'!$B$51)^MAX(0,C3915-1)+Paths!$K$362*(1+'Operating costs'!$B$53)^MAX(0,C3915-1)),"n.a."))</f>
        <v>0</v>
      </c>
      <c r="H3915" s="16">
        <f>IF(NOT(Paths!$C$362=1),0,IF(Paths!$P$362="Complete",F3915/12*(Paths!$L$362*(1+IF(Paths!$D$362="EV",'Operating costs'!$B$52,'Operating costs'!$B$51))^MAX(0,C3915-1)+Paths!$M$362*(1+'Operating costs'!$B$53)^MAX(0,C3915-1)),"n.a."))</f>
        <v>0</v>
      </c>
      <c r="I3915" s="16">
        <f>IF(NOT(Paths!$C$362=1),0,IF(Paths!$P$362="Complete",IF(IF(Paths!$E$362=0,C3915=0,AND(C3915&gt;0,Paths!$E$362&gt;(C3915-1)*12,Paths!$E$362&lt;=C3915*12)),Paths!$G$362,0),"n.a."))</f>
        <v>0</v>
      </c>
      <c r="J3915" s="16">
        <f>IF(NOT(Paths!$C$362=1),0,IF(Paths!$P$362="Complete",IF(IF(Paths!$E$362=0,C3915=0,AND(C3915&gt;0,Paths!$E$362&gt;(C3915-1)*12,Paths!$E$362&lt;=C3915*12)),Paths!$H$362,0),"n.a."))</f>
        <v>0</v>
      </c>
      <c r="K3915" s="16">
        <f>IF(NOT(Paths!$C$362=1),0,IF(Paths!$P$362="Complete",IF(IF(Paths!$O$362=0,C3915=0,AND(C3915&gt;0,Paths!$O$362&gt;(C3915-1)*12,Paths!$O$362&lt;=C3915*12)),Paths!$N$362,0),"n.a."))</f>
        <v>0</v>
      </c>
      <c r="L3915" s="16">
        <f>IF(NOT(Paths!$C$362=1),0,IF(Paths!$P$362="Complete",IF(C3915=10,Paths!$I$362,0),"n.a."))</f>
        <v>0</v>
      </c>
      <c r="M3915" s="16">
        <f>IF(NOT(Paths!$C$362=1),0,IF(Paths!$P$362="Complete",IF(AND(Paths!$D$362="EV",Paths!$E$362&lt;120,Paths!$E$362+'Operating costs'!$B$65&gt;Paths!$E$362,Paths!$E$362+'Operating costs'!$B$65&lt;=120,IF(Paths!$E$362+'Operating costs'!$B$65=0,C3915=0,AND(C3915&gt;0,Paths!$E$362+'Operating costs'!$B$65&gt;(C3915-1)*12,Paths!$E$362+'Operating costs'!$B$65&lt;=C3915*12))),'Operating costs'!$B$64,0)+IF(AND('Operating costs'!$B$67&gt;0,'Operating costs'!$B$67&lt;=120,OR(Paths!$D$362="ICE",'Operating costs'!$B$67&lt;=Paths!$E$362),IF('Operating costs'!$B$67=0,C3915=0,AND(C3915&gt;0,'Operating costs'!$B$67&gt;(C3915-1)*12,'Operating costs'!$B$67&lt;=C3915*12))),'Operating costs'!$B$66,0),"n.a."))</f>
        <v>0</v>
      </c>
      <c r="N3915" s="16">
        <f>IF(NOT(Paths!$C$362=1),0,IF(Paths!$P$362="Complete",SUM(G3915:I3915)-J3915-K3915-L3915+M3915+IF(C3915=0,Paths!$F$362,0)+IF(IF(Paths!$E$362=0,C3915=0,AND(C3915&gt;0,Paths!$E$362&gt;(C3915-1)*12,Paths!$E$362&lt;=C3915*12)),VLOOKUP(A3915,'Fleet register'!$A$7:$S$106,16,FALSE),0),"n.a."))</f>
        <v>0</v>
      </c>
      <c r="O3915" s="16">
        <f>IF(NOT(Paths!$C$362=1),0,IF(Paths!$P$362="Complete",N3915-IF(C3915=0,Paths!$F$362,0),"n.a."))</f>
        <v>0</v>
      </c>
      <c r="P3915" s="16">
        <f>IF(NOT(Paths!$C$362=1),0,IF(Paths!$P$362="Complete",O3915+L3915,"n.a."))</f>
        <v>0</v>
      </c>
      <c r="Q3915" s="16">
        <f>IF(NOT(Paths!$C$362=1),0,IF(Paths!$P$362="Complete",N3915*(1+'Operating costs'!$B$54)^-C3915,"n.a."))</f>
        <v>0</v>
      </c>
      <c r="R3915" s="16">
        <f>IF(NOT(Paths!$C$362=1),0,IF(Paths!$P$362="Complete",IF(AND(C3915=0,Paths!$E$362=0),I3915-J3915-K3915+VLOOKUP(A3915,'Fleet register'!$A$7:$S$106,15,FALSE)+VLOOKUP(A3915,'Fleet register'!$A$7:$S$106,16,FALSE),0),"n.a."))</f>
        <v>0</v>
      </c>
      <c r="S3915" s="1">
        <f>IF(NOT(Paths!$C$362=1),0,IF(Paths!$P$362="Complete",IF(C3915=0,0,Paths!$S$362*Paths!$R$362),"n.a."))</f>
        <v>0</v>
      </c>
      <c r="T3915" s="1">
        <f>IF(NOT(Paths!$C$362=1),0,IF(Paths!$P$362="Complete",IF(C3915=0,0,VLOOKUP(A3915,'Fleet register'!$A$7:$S$106,9,FALSE)*Paths!$R$362),"n.a."))</f>
        <v>0</v>
      </c>
    </row>
    <row r="3916" spans="1:20" ht="24" customHeight="1">
      <c r="A3916" s="1" t="str">
        <f>Paths!$A$362</f>
        <v>T089</v>
      </c>
      <c r="B3916" s="1">
        <f>Paths!$B$362</f>
        <v>3</v>
      </c>
      <c r="C3916" s="1">
        <v>4</v>
      </c>
      <c r="D3916" s="1">
        <v>362</v>
      </c>
      <c r="E3916" s="1">
        <f>IF(OR(Paths!$C$362=0,C3916=0),0,MAX(0,MIN(C3916*12,Paths!$E$362)-(C3916-1)*12))</f>
        <v>0</v>
      </c>
      <c r="F3916" s="1">
        <f>IF(OR(Paths!$C$362=0,C3916=0),0,12-E3916)</f>
        <v>0</v>
      </c>
      <c r="G3916" s="16">
        <f>IF(NOT(Paths!$C$362=1),0,IF(Paths!$P$362="Complete",E3916/12*(Paths!$J$362*(1+'Operating costs'!$B$51)^MAX(0,C3916-1)+Paths!$K$362*(1+'Operating costs'!$B$53)^MAX(0,C3916-1)),"n.a."))</f>
        <v>0</v>
      </c>
      <c r="H3916" s="16">
        <f>IF(NOT(Paths!$C$362=1),0,IF(Paths!$P$362="Complete",F3916/12*(Paths!$L$362*(1+IF(Paths!$D$362="EV",'Operating costs'!$B$52,'Operating costs'!$B$51))^MAX(0,C3916-1)+Paths!$M$362*(1+'Operating costs'!$B$53)^MAX(0,C3916-1)),"n.a."))</f>
        <v>0</v>
      </c>
      <c r="I3916" s="16">
        <f>IF(NOT(Paths!$C$362=1),0,IF(Paths!$P$362="Complete",IF(IF(Paths!$E$362=0,C3916=0,AND(C3916&gt;0,Paths!$E$362&gt;(C3916-1)*12,Paths!$E$362&lt;=C3916*12)),Paths!$G$362,0),"n.a."))</f>
        <v>0</v>
      </c>
      <c r="J3916" s="16">
        <f>IF(NOT(Paths!$C$362=1),0,IF(Paths!$P$362="Complete",IF(IF(Paths!$E$362=0,C3916=0,AND(C3916&gt;0,Paths!$E$362&gt;(C3916-1)*12,Paths!$E$362&lt;=C3916*12)),Paths!$H$362,0),"n.a."))</f>
        <v>0</v>
      </c>
      <c r="K3916" s="16">
        <f>IF(NOT(Paths!$C$362=1),0,IF(Paths!$P$362="Complete",IF(IF(Paths!$O$362=0,C3916=0,AND(C3916&gt;0,Paths!$O$362&gt;(C3916-1)*12,Paths!$O$362&lt;=C3916*12)),Paths!$N$362,0),"n.a."))</f>
        <v>0</v>
      </c>
      <c r="L3916" s="16">
        <f>IF(NOT(Paths!$C$362=1),0,IF(Paths!$P$362="Complete",IF(C3916=10,Paths!$I$362,0),"n.a."))</f>
        <v>0</v>
      </c>
      <c r="M3916" s="16">
        <f>IF(NOT(Paths!$C$362=1),0,IF(Paths!$P$362="Complete",IF(AND(Paths!$D$362="EV",Paths!$E$362&lt;120,Paths!$E$362+'Operating costs'!$B$65&gt;Paths!$E$362,Paths!$E$362+'Operating costs'!$B$65&lt;=120,IF(Paths!$E$362+'Operating costs'!$B$65=0,C3916=0,AND(C3916&gt;0,Paths!$E$362+'Operating costs'!$B$65&gt;(C3916-1)*12,Paths!$E$362+'Operating costs'!$B$65&lt;=C3916*12))),'Operating costs'!$B$64,0)+IF(AND('Operating costs'!$B$67&gt;0,'Operating costs'!$B$67&lt;=120,OR(Paths!$D$362="ICE",'Operating costs'!$B$67&lt;=Paths!$E$362),IF('Operating costs'!$B$67=0,C3916=0,AND(C3916&gt;0,'Operating costs'!$B$67&gt;(C3916-1)*12,'Operating costs'!$B$67&lt;=C3916*12))),'Operating costs'!$B$66,0),"n.a."))</f>
        <v>0</v>
      </c>
      <c r="N3916" s="16">
        <f>IF(NOT(Paths!$C$362=1),0,IF(Paths!$P$362="Complete",SUM(G3916:I3916)-J3916-K3916-L3916+M3916+IF(C3916=0,Paths!$F$362,0)+IF(IF(Paths!$E$362=0,C3916=0,AND(C3916&gt;0,Paths!$E$362&gt;(C3916-1)*12,Paths!$E$362&lt;=C3916*12)),VLOOKUP(A3916,'Fleet register'!$A$7:$S$106,16,FALSE),0),"n.a."))</f>
        <v>0</v>
      </c>
      <c r="O3916" s="16">
        <f>IF(NOT(Paths!$C$362=1),0,IF(Paths!$P$362="Complete",N3916-IF(C3916=0,Paths!$F$362,0),"n.a."))</f>
        <v>0</v>
      </c>
      <c r="P3916" s="16">
        <f>IF(NOT(Paths!$C$362=1),0,IF(Paths!$P$362="Complete",O3916+L3916,"n.a."))</f>
        <v>0</v>
      </c>
      <c r="Q3916" s="16">
        <f>IF(NOT(Paths!$C$362=1),0,IF(Paths!$P$362="Complete",N3916*(1+'Operating costs'!$B$54)^-C3916,"n.a."))</f>
        <v>0</v>
      </c>
      <c r="R3916" s="16">
        <f>IF(NOT(Paths!$C$362=1),0,IF(Paths!$P$362="Complete",IF(AND(C3916=0,Paths!$E$362=0),I3916-J3916-K3916+VLOOKUP(A3916,'Fleet register'!$A$7:$S$106,15,FALSE)+VLOOKUP(A3916,'Fleet register'!$A$7:$S$106,16,FALSE),0),"n.a."))</f>
        <v>0</v>
      </c>
      <c r="S3916" s="1">
        <f>IF(NOT(Paths!$C$362=1),0,IF(Paths!$P$362="Complete",IF(C3916=0,0,Paths!$S$362*Paths!$R$362),"n.a."))</f>
        <v>0</v>
      </c>
      <c r="T3916" s="1">
        <f>IF(NOT(Paths!$C$362=1),0,IF(Paths!$P$362="Complete",IF(C3916=0,0,VLOOKUP(A3916,'Fleet register'!$A$7:$S$106,9,FALSE)*Paths!$R$362),"n.a."))</f>
        <v>0</v>
      </c>
    </row>
    <row r="3917" spans="1:20" ht="24" customHeight="1">
      <c r="A3917" s="1" t="str">
        <f>Paths!$A$362</f>
        <v>T089</v>
      </c>
      <c r="B3917" s="1">
        <f>Paths!$B$362</f>
        <v>3</v>
      </c>
      <c r="C3917" s="1">
        <v>5</v>
      </c>
      <c r="D3917" s="1">
        <v>362</v>
      </c>
      <c r="E3917" s="1">
        <f>IF(OR(Paths!$C$362=0,C3917=0),0,MAX(0,MIN(C3917*12,Paths!$E$362)-(C3917-1)*12))</f>
        <v>0</v>
      </c>
      <c r="F3917" s="1">
        <f>IF(OR(Paths!$C$362=0,C3917=0),0,12-E3917)</f>
        <v>0</v>
      </c>
      <c r="G3917" s="16">
        <f>IF(NOT(Paths!$C$362=1),0,IF(Paths!$P$362="Complete",E3917/12*(Paths!$J$362*(1+'Operating costs'!$B$51)^MAX(0,C3917-1)+Paths!$K$362*(1+'Operating costs'!$B$53)^MAX(0,C3917-1)),"n.a."))</f>
        <v>0</v>
      </c>
      <c r="H3917" s="16">
        <f>IF(NOT(Paths!$C$362=1),0,IF(Paths!$P$362="Complete",F3917/12*(Paths!$L$362*(1+IF(Paths!$D$362="EV",'Operating costs'!$B$52,'Operating costs'!$B$51))^MAX(0,C3917-1)+Paths!$M$362*(1+'Operating costs'!$B$53)^MAX(0,C3917-1)),"n.a."))</f>
        <v>0</v>
      </c>
      <c r="I3917" s="16">
        <f>IF(NOT(Paths!$C$362=1),0,IF(Paths!$P$362="Complete",IF(IF(Paths!$E$362=0,C3917=0,AND(C3917&gt;0,Paths!$E$362&gt;(C3917-1)*12,Paths!$E$362&lt;=C3917*12)),Paths!$G$362,0),"n.a."))</f>
        <v>0</v>
      </c>
      <c r="J3917" s="16">
        <f>IF(NOT(Paths!$C$362=1),0,IF(Paths!$P$362="Complete",IF(IF(Paths!$E$362=0,C3917=0,AND(C3917&gt;0,Paths!$E$362&gt;(C3917-1)*12,Paths!$E$362&lt;=C3917*12)),Paths!$H$362,0),"n.a."))</f>
        <v>0</v>
      </c>
      <c r="K3917" s="16">
        <f>IF(NOT(Paths!$C$362=1),0,IF(Paths!$P$362="Complete",IF(IF(Paths!$O$362=0,C3917=0,AND(C3917&gt;0,Paths!$O$362&gt;(C3917-1)*12,Paths!$O$362&lt;=C3917*12)),Paths!$N$362,0),"n.a."))</f>
        <v>0</v>
      </c>
      <c r="L3917" s="16">
        <f>IF(NOT(Paths!$C$362=1),0,IF(Paths!$P$362="Complete",IF(C3917=10,Paths!$I$362,0),"n.a."))</f>
        <v>0</v>
      </c>
      <c r="M3917" s="16">
        <f>IF(NOT(Paths!$C$362=1),0,IF(Paths!$P$362="Complete",IF(AND(Paths!$D$362="EV",Paths!$E$362&lt;120,Paths!$E$362+'Operating costs'!$B$65&gt;Paths!$E$362,Paths!$E$362+'Operating costs'!$B$65&lt;=120,IF(Paths!$E$362+'Operating costs'!$B$65=0,C3917=0,AND(C3917&gt;0,Paths!$E$362+'Operating costs'!$B$65&gt;(C3917-1)*12,Paths!$E$362+'Operating costs'!$B$65&lt;=C3917*12))),'Operating costs'!$B$64,0)+IF(AND('Operating costs'!$B$67&gt;0,'Operating costs'!$B$67&lt;=120,OR(Paths!$D$362="ICE",'Operating costs'!$B$67&lt;=Paths!$E$362),IF('Operating costs'!$B$67=0,C3917=0,AND(C3917&gt;0,'Operating costs'!$B$67&gt;(C3917-1)*12,'Operating costs'!$B$67&lt;=C3917*12))),'Operating costs'!$B$66,0),"n.a."))</f>
        <v>0</v>
      </c>
      <c r="N3917" s="16">
        <f>IF(NOT(Paths!$C$362=1),0,IF(Paths!$P$362="Complete",SUM(G3917:I3917)-J3917-K3917-L3917+M3917+IF(C3917=0,Paths!$F$362,0)+IF(IF(Paths!$E$362=0,C3917=0,AND(C3917&gt;0,Paths!$E$362&gt;(C3917-1)*12,Paths!$E$362&lt;=C3917*12)),VLOOKUP(A3917,'Fleet register'!$A$7:$S$106,16,FALSE),0),"n.a."))</f>
        <v>0</v>
      </c>
      <c r="O3917" s="16">
        <f>IF(NOT(Paths!$C$362=1),0,IF(Paths!$P$362="Complete",N3917-IF(C3917=0,Paths!$F$362,0),"n.a."))</f>
        <v>0</v>
      </c>
      <c r="P3917" s="16">
        <f>IF(NOT(Paths!$C$362=1),0,IF(Paths!$P$362="Complete",O3917+L3917,"n.a."))</f>
        <v>0</v>
      </c>
      <c r="Q3917" s="16">
        <f>IF(NOT(Paths!$C$362=1),0,IF(Paths!$P$362="Complete",N3917*(1+'Operating costs'!$B$54)^-C3917,"n.a."))</f>
        <v>0</v>
      </c>
      <c r="R3917" s="16">
        <f>IF(NOT(Paths!$C$362=1),0,IF(Paths!$P$362="Complete",IF(AND(C3917=0,Paths!$E$362=0),I3917-J3917-K3917+VLOOKUP(A3917,'Fleet register'!$A$7:$S$106,15,FALSE)+VLOOKUP(A3917,'Fleet register'!$A$7:$S$106,16,FALSE),0),"n.a."))</f>
        <v>0</v>
      </c>
      <c r="S3917" s="1">
        <f>IF(NOT(Paths!$C$362=1),0,IF(Paths!$P$362="Complete",IF(C3917=0,0,Paths!$S$362*Paths!$R$362),"n.a."))</f>
        <v>0</v>
      </c>
      <c r="T3917" s="1">
        <f>IF(NOT(Paths!$C$362=1),0,IF(Paths!$P$362="Complete",IF(C3917=0,0,VLOOKUP(A3917,'Fleet register'!$A$7:$S$106,9,FALSE)*Paths!$R$362),"n.a."))</f>
        <v>0</v>
      </c>
    </row>
    <row r="3918" spans="1:20" ht="24" customHeight="1">
      <c r="A3918" s="1" t="str">
        <f>Paths!$A$362</f>
        <v>T089</v>
      </c>
      <c r="B3918" s="1">
        <f>Paths!$B$362</f>
        <v>3</v>
      </c>
      <c r="C3918" s="1">
        <v>6</v>
      </c>
      <c r="D3918" s="1">
        <v>362</v>
      </c>
      <c r="E3918" s="1">
        <f>IF(OR(Paths!$C$362=0,C3918=0),0,MAX(0,MIN(C3918*12,Paths!$E$362)-(C3918-1)*12))</f>
        <v>0</v>
      </c>
      <c r="F3918" s="1">
        <f>IF(OR(Paths!$C$362=0,C3918=0),0,12-E3918)</f>
        <v>0</v>
      </c>
      <c r="G3918" s="16">
        <f>IF(NOT(Paths!$C$362=1),0,IF(Paths!$P$362="Complete",E3918/12*(Paths!$J$362*(1+'Operating costs'!$B$51)^MAX(0,C3918-1)+Paths!$K$362*(1+'Operating costs'!$B$53)^MAX(0,C3918-1)),"n.a."))</f>
        <v>0</v>
      </c>
      <c r="H3918" s="16">
        <f>IF(NOT(Paths!$C$362=1),0,IF(Paths!$P$362="Complete",F3918/12*(Paths!$L$362*(1+IF(Paths!$D$362="EV",'Operating costs'!$B$52,'Operating costs'!$B$51))^MAX(0,C3918-1)+Paths!$M$362*(1+'Operating costs'!$B$53)^MAX(0,C3918-1)),"n.a."))</f>
        <v>0</v>
      </c>
      <c r="I3918" s="16">
        <f>IF(NOT(Paths!$C$362=1),0,IF(Paths!$P$362="Complete",IF(IF(Paths!$E$362=0,C3918=0,AND(C3918&gt;0,Paths!$E$362&gt;(C3918-1)*12,Paths!$E$362&lt;=C3918*12)),Paths!$G$362,0),"n.a."))</f>
        <v>0</v>
      </c>
      <c r="J3918" s="16">
        <f>IF(NOT(Paths!$C$362=1),0,IF(Paths!$P$362="Complete",IF(IF(Paths!$E$362=0,C3918=0,AND(C3918&gt;0,Paths!$E$362&gt;(C3918-1)*12,Paths!$E$362&lt;=C3918*12)),Paths!$H$362,0),"n.a."))</f>
        <v>0</v>
      </c>
      <c r="K3918" s="16">
        <f>IF(NOT(Paths!$C$362=1),0,IF(Paths!$P$362="Complete",IF(IF(Paths!$O$362=0,C3918=0,AND(C3918&gt;0,Paths!$O$362&gt;(C3918-1)*12,Paths!$O$362&lt;=C3918*12)),Paths!$N$362,0),"n.a."))</f>
        <v>0</v>
      </c>
      <c r="L3918" s="16">
        <f>IF(NOT(Paths!$C$362=1),0,IF(Paths!$P$362="Complete",IF(C3918=10,Paths!$I$362,0),"n.a."))</f>
        <v>0</v>
      </c>
      <c r="M3918" s="16">
        <f>IF(NOT(Paths!$C$362=1),0,IF(Paths!$P$362="Complete",IF(AND(Paths!$D$362="EV",Paths!$E$362&lt;120,Paths!$E$362+'Operating costs'!$B$65&gt;Paths!$E$362,Paths!$E$362+'Operating costs'!$B$65&lt;=120,IF(Paths!$E$362+'Operating costs'!$B$65=0,C3918=0,AND(C3918&gt;0,Paths!$E$362+'Operating costs'!$B$65&gt;(C3918-1)*12,Paths!$E$362+'Operating costs'!$B$65&lt;=C3918*12))),'Operating costs'!$B$64,0)+IF(AND('Operating costs'!$B$67&gt;0,'Operating costs'!$B$67&lt;=120,OR(Paths!$D$362="ICE",'Operating costs'!$B$67&lt;=Paths!$E$362),IF('Operating costs'!$B$67=0,C3918=0,AND(C3918&gt;0,'Operating costs'!$B$67&gt;(C3918-1)*12,'Operating costs'!$B$67&lt;=C3918*12))),'Operating costs'!$B$66,0),"n.a."))</f>
        <v>0</v>
      </c>
      <c r="N3918" s="16">
        <f>IF(NOT(Paths!$C$362=1),0,IF(Paths!$P$362="Complete",SUM(G3918:I3918)-J3918-K3918-L3918+M3918+IF(C3918=0,Paths!$F$362,0)+IF(IF(Paths!$E$362=0,C3918=0,AND(C3918&gt;0,Paths!$E$362&gt;(C3918-1)*12,Paths!$E$362&lt;=C3918*12)),VLOOKUP(A3918,'Fleet register'!$A$7:$S$106,16,FALSE),0),"n.a."))</f>
        <v>0</v>
      </c>
      <c r="O3918" s="16">
        <f>IF(NOT(Paths!$C$362=1),0,IF(Paths!$P$362="Complete",N3918-IF(C3918=0,Paths!$F$362,0),"n.a."))</f>
        <v>0</v>
      </c>
      <c r="P3918" s="16">
        <f>IF(NOT(Paths!$C$362=1),0,IF(Paths!$P$362="Complete",O3918+L3918,"n.a."))</f>
        <v>0</v>
      </c>
      <c r="Q3918" s="16">
        <f>IF(NOT(Paths!$C$362=1),0,IF(Paths!$P$362="Complete",N3918*(1+'Operating costs'!$B$54)^-C3918,"n.a."))</f>
        <v>0</v>
      </c>
      <c r="R3918" s="16">
        <f>IF(NOT(Paths!$C$362=1),0,IF(Paths!$P$362="Complete",IF(AND(C3918=0,Paths!$E$362=0),I3918-J3918-K3918+VLOOKUP(A3918,'Fleet register'!$A$7:$S$106,15,FALSE)+VLOOKUP(A3918,'Fleet register'!$A$7:$S$106,16,FALSE),0),"n.a."))</f>
        <v>0</v>
      </c>
      <c r="S3918" s="1">
        <f>IF(NOT(Paths!$C$362=1),0,IF(Paths!$P$362="Complete",IF(C3918=0,0,Paths!$S$362*Paths!$R$362),"n.a."))</f>
        <v>0</v>
      </c>
      <c r="T3918" s="1">
        <f>IF(NOT(Paths!$C$362=1),0,IF(Paths!$P$362="Complete",IF(C3918=0,0,VLOOKUP(A3918,'Fleet register'!$A$7:$S$106,9,FALSE)*Paths!$R$362),"n.a."))</f>
        <v>0</v>
      </c>
    </row>
    <row r="3919" spans="1:20" ht="24" customHeight="1">
      <c r="A3919" s="1" t="str">
        <f>Paths!$A$362</f>
        <v>T089</v>
      </c>
      <c r="B3919" s="1">
        <f>Paths!$B$362</f>
        <v>3</v>
      </c>
      <c r="C3919" s="1">
        <v>7</v>
      </c>
      <c r="D3919" s="1">
        <v>362</v>
      </c>
      <c r="E3919" s="1">
        <f>IF(OR(Paths!$C$362=0,C3919=0),0,MAX(0,MIN(C3919*12,Paths!$E$362)-(C3919-1)*12))</f>
        <v>0</v>
      </c>
      <c r="F3919" s="1">
        <f>IF(OR(Paths!$C$362=0,C3919=0),0,12-E3919)</f>
        <v>0</v>
      </c>
      <c r="G3919" s="16">
        <f>IF(NOT(Paths!$C$362=1),0,IF(Paths!$P$362="Complete",E3919/12*(Paths!$J$362*(1+'Operating costs'!$B$51)^MAX(0,C3919-1)+Paths!$K$362*(1+'Operating costs'!$B$53)^MAX(0,C3919-1)),"n.a."))</f>
        <v>0</v>
      </c>
      <c r="H3919" s="16">
        <f>IF(NOT(Paths!$C$362=1),0,IF(Paths!$P$362="Complete",F3919/12*(Paths!$L$362*(1+IF(Paths!$D$362="EV",'Operating costs'!$B$52,'Operating costs'!$B$51))^MAX(0,C3919-1)+Paths!$M$362*(1+'Operating costs'!$B$53)^MAX(0,C3919-1)),"n.a."))</f>
        <v>0</v>
      </c>
      <c r="I3919" s="16">
        <f>IF(NOT(Paths!$C$362=1),0,IF(Paths!$P$362="Complete",IF(IF(Paths!$E$362=0,C3919=0,AND(C3919&gt;0,Paths!$E$362&gt;(C3919-1)*12,Paths!$E$362&lt;=C3919*12)),Paths!$G$362,0),"n.a."))</f>
        <v>0</v>
      </c>
      <c r="J3919" s="16">
        <f>IF(NOT(Paths!$C$362=1),0,IF(Paths!$P$362="Complete",IF(IF(Paths!$E$362=0,C3919=0,AND(C3919&gt;0,Paths!$E$362&gt;(C3919-1)*12,Paths!$E$362&lt;=C3919*12)),Paths!$H$362,0),"n.a."))</f>
        <v>0</v>
      </c>
      <c r="K3919" s="16">
        <f>IF(NOT(Paths!$C$362=1),0,IF(Paths!$P$362="Complete",IF(IF(Paths!$O$362=0,C3919=0,AND(C3919&gt;0,Paths!$O$362&gt;(C3919-1)*12,Paths!$O$362&lt;=C3919*12)),Paths!$N$362,0),"n.a."))</f>
        <v>0</v>
      </c>
      <c r="L3919" s="16">
        <f>IF(NOT(Paths!$C$362=1),0,IF(Paths!$P$362="Complete",IF(C3919=10,Paths!$I$362,0),"n.a."))</f>
        <v>0</v>
      </c>
      <c r="M3919" s="16">
        <f>IF(NOT(Paths!$C$362=1),0,IF(Paths!$P$362="Complete",IF(AND(Paths!$D$362="EV",Paths!$E$362&lt;120,Paths!$E$362+'Operating costs'!$B$65&gt;Paths!$E$362,Paths!$E$362+'Operating costs'!$B$65&lt;=120,IF(Paths!$E$362+'Operating costs'!$B$65=0,C3919=0,AND(C3919&gt;0,Paths!$E$362+'Operating costs'!$B$65&gt;(C3919-1)*12,Paths!$E$362+'Operating costs'!$B$65&lt;=C3919*12))),'Operating costs'!$B$64,0)+IF(AND('Operating costs'!$B$67&gt;0,'Operating costs'!$B$67&lt;=120,OR(Paths!$D$362="ICE",'Operating costs'!$B$67&lt;=Paths!$E$362),IF('Operating costs'!$B$67=0,C3919=0,AND(C3919&gt;0,'Operating costs'!$B$67&gt;(C3919-1)*12,'Operating costs'!$B$67&lt;=C3919*12))),'Operating costs'!$B$66,0),"n.a."))</f>
        <v>0</v>
      </c>
      <c r="N3919" s="16">
        <f>IF(NOT(Paths!$C$362=1),0,IF(Paths!$P$362="Complete",SUM(G3919:I3919)-J3919-K3919-L3919+M3919+IF(C3919=0,Paths!$F$362,0)+IF(IF(Paths!$E$362=0,C3919=0,AND(C3919&gt;0,Paths!$E$362&gt;(C3919-1)*12,Paths!$E$362&lt;=C3919*12)),VLOOKUP(A3919,'Fleet register'!$A$7:$S$106,16,FALSE),0),"n.a."))</f>
        <v>0</v>
      </c>
      <c r="O3919" s="16">
        <f>IF(NOT(Paths!$C$362=1),0,IF(Paths!$P$362="Complete",N3919-IF(C3919=0,Paths!$F$362,0),"n.a."))</f>
        <v>0</v>
      </c>
      <c r="P3919" s="16">
        <f>IF(NOT(Paths!$C$362=1),0,IF(Paths!$P$362="Complete",O3919+L3919,"n.a."))</f>
        <v>0</v>
      </c>
      <c r="Q3919" s="16">
        <f>IF(NOT(Paths!$C$362=1),0,IF(Paths!$P$362="Complete",N3919*(1+'Operating costs'!$B$54)^-C3919,"n.a."))</f>
        <v>0</v>
      </c>
      <c r="R3919" s="16">
        <f>IF(NOT(Paths!$C$362=1),0,IF(Paths!$P$362="Complete",IF(AND(C3919=0,Paths!$E$362=0),I3919-J3919-K3919+VLOOKUP(A3919,'Fleet register'!$A$7:$S$106,15,FALSE)+VLOOKUP(A3919,'Fleet register'!$A$7:$S$106,16,FALSE),0),"n.a."))</f>
        <v>0</v>
      </c>
      <c r="S3919" s="1">
        <f>IF(NOT(Paths!$C$362=1),0,IF(Paths!$P$362="Complete",IF(C3919=0,0,Paths!$S$362*Paths!$R$362),"n.a."))</f>
        <v>0</v>
      </c>
      <c r="T3919" s="1">
        <f>IF(NOT(Paths!$C$362=1),0,IF(Paths!$P$362="Complete",IF(C3919=0,0,VLOOKUP(A3919,'Fleet register'!$A$7:$S$106,9,FALSE)*Paths!$R$362),"n.a."))</f>
        <v>0</v>
      </c>
    </row>
    <row r="3920" spans="1:20" ht="24" customHeight="1">
      <c r="A3920" s="1" t="str">
        <f>Paths!$A$362</f>
        <v>T089</v>
      </c>
      <c r="B3920" s="1">
        <f>Paths!$B$362</f>
        <v>3</v>
      </c>
      <c r="C3920" s="1">
        <v>8</v>
      </c>
      <c r="D3920" s="1">
        <v>362</v>
      </c>
      <c r="E3920" s="1">
        <f>IF(OR(Paths!$C$362=0,C3920=0),0,MAX(0,MIN(C3920*12,Paths!$E$362)-(C3920-1)*12))</f>
        <v>0</v>
      </c>
      <c r="F3920" s="1">
        <f>IF(OR(Paths!$C$362=0,C3920=0),0,12-E3920)</f>
        <v>0</v>
      </c>
      <c r="G3920" s="16">
        <f>IF(NOT(Paths!$C$362=1),0,IF(Paths!$P$362="Complete",E3920/12*(Paths!$J$362*(1+'Operating costs'!$B$51)^MAX(0,C3920-1)+Paths!$K$362*(1+'Operating costs'!$B$53)^MAX(0,C3920-1)),"n.a."))</f>
        <v>0</v>
      </c>
      <c r="H3920" s="16">
        <f>IF(NOT(Paths!$C$362=1),0,IF(Paths!$P$362="Complete",F3920/12*(Paths!$L$362*(1+IF(Paths!$D$362="EV",'Operating costs'!$B$52,'Operating costs'!$B$51))^MAX(0,C3920-1)+Paths!$M$362*(1+'Operating costs'!$B$53)^MAX(0,C3920-1)),"n.a."))</f>
        <v>0</v>
      </c>
      <c r="I3920" s="16">
        <f>IF(NOT(Paths!$C$362=1),0,IF(Paths!$P$362="Complete",IF(IF(Paths!$E$362=0,C3920=0,AND(C3920&gt;0,Paths!$E$362&gt;(C3920-1)*12,Paths!$E$362&lt;=C3920*12)),Paths!$G$362,0),"n.a."))</f>
        <v>0</v>
      </c>
      <c r="J3920" s="16">
        <f>IF(NOT(Paths!$C$362=1),0,IF(Paths!$P$362="Complete",IF(IF(Paths!$E$362=0,C3920=0,AND(C3920&gt;0,Paths!$E$362&gt;(C3920-1)*12,Paths!$E$362&lt;=C3920*12)),Paths!$H$362,0),"n.a."))</f>
        <v>0</v>
      </c>
      <c r="K3920" s="16">
        <f>IF(NOT(Paths!$C$362=1),0,IF(Paths!$P$362="Complete",IF(IF(Paths!$O$362=0,C3920=0,AND(C3920&gt;0,Paths!$O$362&gt;(C3920-1)*12,Paths!$O$362&lt;=C3920*12)),Paths!$N$362,0),"n.a."))</f>
        <v>0</v>
      </c>
      <c r="L3920" s="16">
        <f>IF(NOT(Paths!$C$362=1),0,IF(Paths!$P$362="Complete",IF(C3920=10,Paths!$I$362,0),"n.a."))</f>
        <v>0</v>
      </c>
      <c r="M3920" s="16">
        <f>IF(NOT(Paths!$C$362=1),0,IF(Paths!$P$362="Complete",IF(AND(Paths!$D$362="EV",Paths!$E$362&lt;120,Paths!$E$362+'Operating costs'!$B$65&gt;Paths!$E$362,Paths!$E$362+'Operating costs'!$B$65&lt;=120,IF(Paths!$E$362+'Operating costs'!$B$65=0,C3920=0,AND(C3920&gt;0,Paths!$E$362+'Operating costs'!$B$65&gt;(C3920-1)*12,Paths!$E$362+'Operating costs'!$B$65&lt;=C3920*12))),'Operating costs'!$B$64,0)+IF(AND('Operating costs'!$B$67&gt;0,'Operating costs'!$B$67&lt;=120,OR(Paths!$D$362="ICE",'Operating costs'!$B$67&lt;=Paths!$E$362),IF('Operating costs'!$B$67=0,C3920=0,AND(C3920&gt;0,'Operating costs'!$B$67&gt;(C3920-1)*12,'Operating costs'!$B$67&lt;=C3920*12))),'Operating costs'!$B$66,0),"n.a."))</f>
        <v>0</v>
      </c>
      <c r="N3920" s="16">
        <f>IF(NOT(Paths!$C$362=1),0,IF(Paths!$P$362="Complete",SUM(G3920:I3920)-J3920-K3920-L3920+M3920+IF(C3920=0,Paths!$F$362,0)+IF(IF(Paths!$E$362=0,C3920=0,AND(C3920&gt;0,Paths!$E$362&gt;(C3920-1)*12,Paths!$E$362&lt;=C3920*12)),VLOOKUP(A3920,'Fleet register'!$A$7:$S$106,16,FALSE),0),"n.a."))</f>
        <v>0</v>
      </c>
      <c r="O3920" s="16">
        <f>IF(NOT(Paths!$C$362=1),0,IF(Paths!$P$362="Complete",N3920-IF(C3920=0,Paths!$F$362,0),"n.a."))</f>
        <v>0</v>
      </c>
      <c r="P3920" s="16">
        <f>IF(NOT(Paths!$C$362=1),0,IF(Paths!$P$362="Complete",O3920+L3920,"n.a."))</f>
        <v>0</v>
      </c>
      <c r="Q3920" s="16">
        <f>IF(NOT(Paths!$C$362=1),0,IF(Paths!$P$362="Complete",N3920*(1+'Operating costs'!$B$54)^-C3920,"n.a."))</f>
        <v>0</v>
      </c>
      <c r="R3920" s="16">
        <f>IF(NOT(Paths!$C$362=1),0,IF(Paths!$P$362="Complete",IF(AND(C3920=0,Paths!$E$362=0),I3920-J3920-K3920+VLOOKUP(A3920,'Fleet register'!$A$7:$S$106,15,FALSE)+VLOOKUP(A3920,'Fleet register'!$A$7:$S$106,16,FALSE),0),"n.a."))</f>
        <v>0</v>
      </c>
      <c r="S3920" s="1">
        <f>IF(NOT(Paths!$C$362=1),0,IF(Paths!$P$362="Complete",IF(C3920=0,0,Paths!$S$362*Paths!$R$362),"n.a."))</f>
        <v>0</v>
      </c>
      <c r="T3920" s="1">
        <f>IF(NOT(Paths!$C$362=1),0,IF(Paths!$P$362="Complete",IF(C3920=0,0,VLOOKUP(A3920,'Fleet register'!$A$7:$S$106,9,FALSE)*Paths!$R$362),"n.a."))</f>
        <v>0</v>
      </c>
    </row>
    <row r="3921" spans="1:20" ht="24" customHeight="1">
      <c r="A3921" s="1" t="str">
        <f>Paths!$A$362</f>
        <v>T089</v>
      </c>
      <c r="B3921" s="1">
        <f>Paths!$B$362</f>
        <v>3</v>
      </c>
      <c r="C3921" s="1">
        <v>9</v>
      </c>
      <c r="D3921" s="1">
        <v>362</v>
      </c>
      <c r="E3921" s="1">
        <f>IF(OR(Paths!$C$362=0,C3921=0),0,MAX(0,MIN(C3921*12,Paths!$E$362)-(C3921-1)*12))</f>
        <v>0</v>
      </c>
      <c r="F3921" s="1">
        <f>IF(OR(Paths!$C$362=0,C3921=0),0,12-E3921)</f>
        <v>0</v>
      </c>
      <c r="G3921" s="16">
        <f>IF(NOT(Paths!$C$362=1),0,IF(Paths!$P$362="Complete",E3921/12*(Paths!$J$362*(1+'Operating costs'!$B$51)^MAX(0,C3921-1)+Paths!$K$362*(1+'Operating costs'!$B$53)^MAX(0,C3921-1)),"n.a."))</f>
        <v>0</v>
      </c>
      <c r="H3921" s="16">
        <f>IF(NOT(Paths!$C$362=1),0,IF(Paths!$P$362="Complete",F3921/12*(Paths!$L$362*(1+IF(Paths!$D$362="EV",'Operating costs'!$B$52,'Operating costs'!$B$51))^MAX(0,C3921-1)+Paths!$M$362*(1+'Operating costs'!$B$53)^MAX(0,C3921-1)),"n.a."))</f>
        <v>0</v>
      </c>
      <c r="I3921" s="16">
        <f>IF(NOT(Paths!$C$362=1),0,IF(Paths!$P$362="Complete",IF(IF(Paths!$E$362=0,C3921=0,AND(C3921&gt;0,Paths!$E$362&gt;(C3921-1)*12,Paths!$E$362&lt;=C3921*12)),Paths!$G$362,0),"n.a."))</f>
        <v>0</v>
      </c>
      <c r="J3921" s="16">
        <f>IF(NOT(Paths!$C$362=1),0,IF(Paths!$P$362="Complete",IF(IF(Paths!$E$362=0,C3921=0,AND(C3921&gt;0,Paths!$E$362&gt;(C3921-1)*12,Paths!$E$362&lt;=C3921*12)),Paths!$H$362,0),"n.a."))</f>
        <v>0</v>
      </c>
      <c r="K3921" s="16">
        <f>IF(NOT(Paths!$C$362=1),0,IF(Paths!$P$362="Complete",IF(IF(Paths!$O$362=0,C3921=0,AND(C3921&gt;0,Paths!$O$362&gt;(C3921-1)*12,Paths!$O$362&lt;=C3921*12)),Paths!$N$362,0),"n.a."))</f>
        <v>0</v>
      </c>
      <c r="L3921" s="16">
        <f>IF(NOT(Paths!$C$362=1),0,IF(Paths!$P$362="Complete",IF(C3921=10,Paths!$I$362,0),"n.a."))</f>
        <v>0</v>
      </c>
      <c r="M3921" s="16">
        <f>IF(NOT(Paths!$C$362=1),0,IF(Paths!$P$362="Complete",IF(AND(Paths!$D$362="EV",Paths!$E$362&lt;120,Paths!$E$362+'Operating costs'!$B$65&gt;Paths!$E$362,Paths!$E$362+'Operating costs'!$B$65&lt;=120,IF(Paths!$E$362+'Operating costs'!$B$65=0,C3921=0,AND(C3921&gt;0,Paths!$E$362+'Operating costs'!$B$65&gt;(C3921-1)*12,Paths!$E$362+'Operating costs'!$B$65&lt;=C3921*12))),'Operating costs'!$B$64,0)+IF(AND('Operating costs'!$B$67&gt;0,'Operating costs'!$B$67&lt;=120,OR(Paths!$D$362="ICE",'Operating costs'!$B$67&lt;=Paths!$E$362),IF('Operating costs'!$B$67=0,C3921=0,AND(C3921&gt;0,'Operating costs'!$B$67&gt;(C3921-1)*12,'Operating costs'!$B$67&lt;=C3921*12))),'Operating costs'!$B$66,0),"n.a."))</f>
        <v>0</v>
      </c>
      <c r="N3921" s="16">
        <f>IF(NOT(Paths!$C$362=1),0,IF(Paths!$P$362="Complete",SUM(G3921:I3921)-J3921-K3921-L3921+M3921+IF(C3921=0,Paths!$F$362,0)+IF(IF(Paths!$E$362=0,C3921=0,AND(C3921&gt;0,Paths!$E$362&gt;(C3921-1)*12,Paths!$E$362&lt;=C3921*12)),VLOOKUP(A3921,'Fleet register'!$A$7:$S$106,16,FALSE),0),"n.a."))</f>
        <v>0</v>
      </c>
      <c r="O3921" s="16">
        <f>IF(NOT(Paths!$C$362=1),0,IF(Paths!$P$362="Complete",N3921-IF(C3921=0,Paths!$F$362,0),"n.a."))</f>
        <v>0</v>
      </c>
      <c r="P3921" s="16">
        <f>IF(NOT(Paths!$C$362=1),0,IF(Paths!$P$362="Complete",O3921+L3921,"n.a."))</f>
        <v>0</v>
      </c>
      <c r="Q3921" s="16">
        <f>IF(NOT(Paths!$C$362=1),0,IF(Paths!$P$362="Complete",N3921*(1+'Operating costs'!$B$54)^-C3921,"n.a."))</f>
        <v>0</v>
      </c>
      <c r="R3921" s="16">
        <f>IF(NOT(Paths!$C$362=1),0,IF(Paths!$P$362="Complete",IF(AND(C3921=0,Paths!$E$362=0),I3921-J3921-K3921+VLOOKUP(A3921,'Fleet register'!$A$7:$S$106,15,FALSE)+VLOOKUP(A3921,'Fleet register'!$A$7:$S$106,16,FALSE),0),"n.a."))</f>
        <v>0</v>
      </c>
      <c r="S3921" s="1">
        <f>IF(NOT(Paths!$C$362=1),0,IF(Paths!$P$362="Complete",IF(C3921=0,0,Paths!$S$362*Paths!$R$362),"n.a."))</f>
        <v>0</v>
      </c>
      <c r="T3921" s="1">
        <f>IF(NOT(Paths!$C$362=1),0,IF(Paths!$P$362="Complete",IF(C3921=0,0,VLOOKUP(A3921,'Fleet register'!$A$7:$S$106,9,FALSE)*Paths!$R$362),"n.a."))</f>
        <v>0</v>
      </c>
    </row>
    <row r="3922" spans="1:20" ht="24" customHeight="1">
      <c r="A3922" s="1" t="str">
        <f>Paths!$A$362</f>
        <v>T089</v>
      </c>
      <c r="B3922" s="1">
        <f>Paths!$B$362</f>
        <v>3</v>
      </c>
      <c r="C3922" s="1">
        <v>10</v>
      </c>
      <c r="D3922" s="1">
        <v>362</v>
      </c>
      <c r="E3922" s="1">
        <f>IF(OR(Paths!$C$362=0,C3922=0),0,MAX(0,MIN(C3922*12,Paths!$E$362)-(C3922-1)*12))</f>
        <v>0</v>
      </c>
      <c r="F3922" s="1">
        <f>IF(OR(Paths!$C$362=0,C3922=0),0,12-E3922)</f>
        <v>0</v>
      </c>
      <c r="G3922" s="16">
        <f>IF(NOT(Paths!$C$362=1),0,IF(Paths!$P$362="Complete",E3922/12*(Paths!$J$362*(1+'Operating costs'!$B$51)^MAX(0,C3922-1)+Paths!$K$362*(1+'Operating costs'!$B$53)^MAX(0,C3922-1)),"n.a."))</f>
        <v>0</v>
      </c>
      <c r="H3922" s="16">
        <f>IF(NOT(Paths!$C$362=1),0,IF(Paths!$P$362="Complete",F3922/12*(Paths!$L$362*(1+IF(Paths!$D$362="EV",'Operating costs'!$B$52,'Operating costs'!$B$51))^MAX(0,C3922-1)+Paths!$M$362*(1+'Operating costs'!$B$53)^MAX(0,C3922-1)),"n.a."))</f>
        <v>0</v>
      </c>
      <c r="I3922" s="16">
        <f>IF(NOT(Paths!$C$362=1),0,IF(Paths!$P$362="Complete",IF(IF(Paths!$E$362=0,C3922=0,AND(C3922&gt;0,Paths!$E$362&gt;(C3922-1)*12,Paths!$E$362&lt;=C3922*12)),Paths!$G$362,0),"n.a."))</f>
        <v>0</v>
      </c>
      <c r="J3922" s="16">
        <f>IF(NOT(Paths!$C$362=1),0,IF(Paths!$P$362="Complete",IF(IF(Paths!$E$362=0,C3922=0,AND(C3922&gt;0,Paths!$E$362&gt;(C3922-1)*12,Paths!$E$362&lt;=C3922*12)),Paths!$H$362,0),"n.a."))</f>
        <v>0</v>
      </c>
      <c r="K3922" s="16">
        <f>IF(NOT(Paths!$C$362=1),0,IF(Paths!$P$362="Complete",IF(IF(Paths!$O$362=0,C3922=0,AND(C3922&gt;0,Paths!$O$362&gt;(C3922-1)*12,Paths!$O$362&lt;=C3922*12)),Paths!$N$362,0),"n.a."))</f>
        <v>0</v>
      </c>
      <c r="L3922" s="16">
        <f>IF(NOT(Paths!$C$362=1),0,IF(Paths!$P$362="Complete",IF(C3922=10,Paths!$I$362,0),"n.a."))</f>
        <v>0</v>
      </c>
      <c r="M3922" s="16">
        <f>IF(NOT(Paths!$C$362=1),0,IF(Paths!$P$362="Complete",IF(AND(Paths!$D$362="EV",Paths!$E$362&lt;120,Paths!$E$362+'Operating costs'!$B$65&gt;Paths!$E$362,Paths!$E$362+'Operating costs'!$B$65&lt;=120,IF(Paths!$E$362+'Operating costs'!$B$65=0,C3922=0,AND(C3922&gt;0,Paths!$E$362+'Operating costs'!$B$65&gt;(C3922-1)*12,Paths!$E$362+'Operating costs'!$B$65&lt;=C3922*12))),'Operating costs'!$B$64,0)+IF(AND('Operating costs'!$B$67&gt;0,'Operating costs'!$B$67&lt;=120,OR(Paths!$D$362="ICE",'Operating costs'!$B$67&lt;=Paths!$E$362),IF('Operating costs'!$B$67=0,C3922=0,AND(C3922&gt;0,'Operating costs'!$B$67&gt;(C3922-1)*12,'Operating costs'!$B$67&lt;=C3922*12))),'Operating costs'!$B$66,0),"n.a."))</f>
        <v>0</v>
      </c>
      <c r="N3922" s="16">
        <f>IF(NOT(Paths!$C$362=1),0,IF(Paths!$P$362="Complete",SUM(G3922:I3922)-J3922-K3922-L3922+M3922+IF(C3922=0,Paths!$F$362,0)+IF(IF(Paths!$E$362=0,C3922=0,AND(C3922&gt;0,Paths!$E$362&gt;(C3922-1)*12,Paths!$E$362&lt;=C3922*12)),VLOOKUP(A3922,'Fleet register'!$A$7:$S$106,16,FALSE),0),"n.a."))</f>
        <v>0</v>
      </c>
      <c r="O3922" s="16">
        <f>IF(NOT(Paths!$C$362=1),0,IF(Paths!$P$362="Complete",N3922-IF(C3922=0,Paths!$F$362,0),"n.a."))</f>
        <v>0</v>
      </c>
      <c r="P3922" s="16">
        <f>IF(NOT(Paths!$C$362=1),0,IF(Paths!$P$362="Complete",O3922+L3922,"n.a."))</f>
        <v>0</v>
      </c>
      <c r="Q3922" s="16">
        <f>IF(NOT(Paths!$C$362=1),0,IF(Paths!$P$362="Complete",N3922*(1+'Operating costs'!$B$54)^-C3922,"n.a."))</f>
        <v>0</v>
      </c>
      <c r="R3922" s="16">
        <f>IF(NOT(Paths!$C$362=1),0,IF(Paths!$P$362="Complete",IF(AND(C3922=0,Paths!$E$362=0),I3922-J3922-K3922+VLOOKUP(A3922,'Fleet register'!$A$7:$S$106,15,FALSE)+VLOOKUP(A3922,'Fleet register'!$A$7:$S$106,16,FALSE),0),"n.a."))</f>
        <v>0</v>
      </c>
      <c r="S3922" s="1">
        <f>IF(NOT(Paths!$C$362=1),0,IF(Paths!$P$362="Complete",IF(C3922=0,0,Paths!$S$362*Paths!$R$362),"n.a."))</f>
        <v>0</v>
      </c>
      <c r="T3922" s="1">
        <f>IF(NOT(Paths!$C$362=1),0,IF(Paths!$P$362="Complete",IF(C3922=0,0,VLOOKUP(A3922,'Fleet register'!$A$7:$S$106,9,FALSE)*Paths!$R$362),"n.a."))</f>
        <v>0</v>
      </c>
    </row>
    <row r="3923" spans="1:20" ht="24" customHeight="1">
      <c r="A3923" s="1" t="str">
        <f>Paths!$A$363</f>
        <v>T090</v>
      </c>
      <c r="B3923" s="1">
        <f>Paths!$B$363</f>
        <v>0</v>
      </c>
      <c r="C3923" s="1">
        <v>0</v>
      </c>
      <c r="D3923" s="1">
        <v>363</v>
      </c>
      <c r="E3923" s="1">
        <f>IF(OR(Paths!$C$363=0,C3923=0),0,MAX(0,MIN(C3923*12,Paths!$E$363)-(C3923-1)*12))</f>
        <v>0</v>
      </c>
      <c r="F3923" s="1">
        <f>IF(OR(Paths!$C$363=0,C3923=0),0,12-E3923)</f>
        <v>0</v>
      </c>
      <c r="G3923" s="16">
        <f>IF(NOT(Paths!$C$363=1),0,IF(Paths!$P$363="Complete",E3923/12*(Paths!$J$363*(1+'Operating costs'!$B$51)^MAX(0,C3923-1)+Paths!$K$363*(1+'Operating costs'!$B$53)^MAX(0,C3923-1)),"n.a."))</f>
        <v>0</v>
      </c>
      <c r="H3923" s="16">
        <f>IF(NOT(Paths!$C$363=1),0,IF(Paths!$P$363="Complete",F3923/12*(Paths!$L$363*(1+IF(Paths!$D$363="EV",'Operating costs'!$B$52,'Operating costs'!$B$51))^MAX(0,C3923-1)+Paths!$M$363*(1+'Operating costs'!$B$53)^MAX(0,C3923-1)),"n.a."))</f>
        <v>0</v>
      </c>
      <c r="I3923" s="16">
        <f>IF(NOT(Paths!$C$363=1),0,IF(Paths!$P$363="Complete",IF(IF(Paths!$E$363=0,C3923=0,AND(C3923&gt;0,Paths!$E$363&gt;(C3923-1)*12,Paths!$E$363&lt;=C3923*12)),Paths!$G$363,0),"n.a."))</f>
        <v>0</v>
      </c>
      <c r="J3923" s="16">
        <f>IF(NOT(Paths!$C$363=1),0,IF(Paths!$P$363="Complete",IF(IF(Paths!$E$363=0,C3923=0,AND(C3923&gt;0,Paths!$E$363&gt;(C3923-1)*12,Paths!$E$363&lt;=C3923*12)),Paths!$H$363,0),"n.a."))</f>
        <v>0</v>
      </c>
      <c r="K3923" s="16">
        <f>IF(NOT(Paths!$C$363=1),0,IF(Paths!$P$363="Complete",IF(IF(Paths!$O$363=0,C3923=0,AND(C3923&gt;0,Paths!$O$363&gt;(C3923-1)*12,Paths!$O$363&lt;=C3923*12)),Paths!$N$363,0),"n.a."))</f>
        <v>0</v>
      </c>
      <c r="L3923" s="16">
        <f>IF(NOT(Paths!$C$363=1),0,IF(Paths!$P$363="Complete",IF(C3923=10,Paths!$I$363,0),"n.a."))</f>
        <v>0</v>
      </c>
      <c r="M3923" s="16">
        <f>IF(NOT(Paths!$C$363=1),0,IF(Paths!$P$363="Complete",IF(AND(Paths!$D$363="EV",Paths!$E$363&lt;120,Paths!$E$363+'Operating costs'!$B$65&gt;Paths!$E$363,Paths!$E$363+'Operating costs'!$B$65&lt;=120,IF(Paths!$E$363+'Operating costs'!$B$65=0,C3923=0,AND(C3923&gt;0,Paths!$E$363+'Operating costs'!$B$65&gt;(C3923-1)*12,Paths!$E$363+'Operating costs'!$B$65&lt;=C3923*12))),'Operating costs'!$B$64,0)+IF(AND('Operating costs'!$B$67&gt;0,'Operating costs'!$B$67&lt;=120,OR(Paths!$D$363="ICE",'Operating costs'!$B$67&lt;=Paths!$E$363),IF('Operating costs'!$B$67=0,C3923=0,AND(C3923&gt;0,'Operating costs'!$B$67&gt;(C3923-1)*12,'Operating costs'!$B$67&lt;=C3923*12))),'Operating costs'!$B$66,0),"n.a."))</f>
        <v>0</v>
      </c>
      <c r="N3923" s="16">
        <f>IF(NOT(Paths!$C$363=1),0,IF(Paths!$P$363="Complete",SUM(G3923:I3923)-J3923-K3923-L3923+M3923+IF(C3923=0,Paths!$F$363,0)+IF(IF(Paths!$E$363=0,C3923=0,AND(C3923&gt;0,Paths!$E$363&gt;(C3923-1)*12,Paths!$E$363&lt;=C3923*12)),VLOOKUP(A3923,'Fleet register'!$A$7:$S$106,16,FALSE),0),"n.a."))</f>
        <v>0</v>
      </c>
      <c r="O3923" s="16">
        <f>IF(NOT(Paths!$C$363=1),0,IF(Paths!$P$363="Complete",N3923-IF(C3923=0,Paths!$F$363,0),"n.a."))</f>
        <v>0</v>
      </c>
      <c r="P3923" s="16">
        <f>IF(NOT(Paths!$C$363=1),0,IF(Paths!$P$363="Complete",O3923+L3923,"n.a."))</f>
        <v>0</v>
      </c>
      <c r="Q3923" s="16">
        <f>IF(NOT(Paths!$C$363=1),0,IF(Paths!$P$363="Complete",N3923*(1+'Operating costs'!$B$54)^-C3923,"n.a."))</f>
        <v>0</v>
      </c>
      <c r="R3923" s="16">
        <f>IF(NOT(Paths!$C$363=1),0,IF(Paths!$P$363="Complete",IF(AND(C3923=0,Paths!$E$363=0),I3923-J3923-K3923+VLOOKUP(A3923,'Fleet register'!$A$7:$S$106,15,FALSE)+VLOOKUP(A3923,'Fleet register'!$A$7:$S$106,16,FALSE),0),"n.a."))</f>
        <v>0</v>
      </c>
      <c r="S3923" s="1">
        <f>IF(NOT(Paths!$C$363=1),0,IF(Paths!$P$363="Complete",IF(C3923=0,0,Paths!$S$363*Paths!$R$363),"n.a."))</f>
        <v>0</v>
      </c>
      <c r="T3923" s="1">
        <f>IF(NOT(Paths!$C$363=1),0,IF(Paths!$P$363="Complete",IF(C3923=0,0,VLOOKUP(A3923,'Fleet register'!$A$7:$S$106,9,FALSE)*Paths!$R$363),"n.a."))</f>
        <v>0</v>
      </c>
    </row>
    <row r="3924" spans="1:20" ht="24" customHeight="1">
      <c r="A3924" s="1" t="str">
        <f>Paths!$A$363</f>
        <v>T090</v>
      </c>
      <c r="B3924" s="1">
        <f>Paths!$B$363</f>
        <v>0</v>
      </c>
      <c r="C3924" s="1">
        <v>1</v>
      </c>
      <c r="D3924" s="1">
        <v>363</v>
      </c>
      <c r="E3924" s="1">
        <f>IF(OR(Paths!$C$363=0,C3924=0),0,MAX(0,MIN(C3924*12,Paths!$E$363)-(C3924-1)*12))</f>
        <v>0</v>
      </c>
      <c r="F3924" s="1">
        <f>IF(OR(Paths!$C$363=0,C3924=0),0,12-E3924)</f>
        <v>0</v>
      </c>
      <c r="G3924" s="16">
        <f>IF(NOT(Paths!$C$363=1),0,IF(Paths!$P$363="Complete",E3924/12*(Paths!$J$363*(1+'Operating costs'!$B$51)^MAX(0,C3924-1)+Paths!$K$363*(1+'Operating costs'!$B$53)^MAX(0,C3924-1)),"n.a."))</f>
        <v>0</v>
      </c>
      <c r="H3924" s="16">
        <f>IF(NOT(Paths!$C$363=1),0,IF(Paths!$P$363="Complete",F3924/12*(Paths!$L$363*(1+IF(Paths!$D$363="EV",'Operating costs'!$B$52,'Operating costs'!$B$51))^MAX(0,C3924-1)+Paths!$M$363*(1+'Operating costs'!$B$53)^MAX(0,C3924-1)),"n.a."))</f>
        <v>0</v>
      </c>
      <c r="I3924" s="16">
        <f>IF(NOT(Paths!$C$363=1),0,IF(Paths!$P$363="Complete",IF(IF(Paths!$E$363=0,C3924=0,AND(C3924&gt;0,Paths!$E$363&gt;(C3924-1)*12,Paths!$E$363&lt;=C3924*12)),Paths!$G$363,0),"n.a."))</f>
        <v>0</v>
      </c>
      <c r="J3924" s="16">
        <f>IF(NOT(Paths!$C$363=1),0,IF(Paths!$P$363="Complete",IF(IF(Paths!$E$363=0,C3924=0,AND(C3924&gt;0,Paths!$E$363&gt;(C3924-1)*12,Paths!$E$363&lt;=C3924*12)),Paths!$H$363,0),"n.a."))</f>
        <v>0</v>
      </c>
      <c r="K3924" s="16">
        <f>IF(NOT(Paths!$C$363=1),0,IF(Paths!$P$363="Complete",IF(IF(Paths!$O$363=0,C3924=0,AND(C3924&gt;0,Paths!$O$363&gt;(C3924-1)*12,Paths!$O$363&lt;=C3924*12)),Paths!$N$363,0),"n.a."))</f>
        <v>0</v>
      </c>
      <c r="L3924" s="16">
        <f>IF(NOT(Paths!$C$363=1),0,IF(Paths!$P$363="Complete",IF(C3924=10,Paths!$I$363,0),"n.a."))</f>
        <v>0</v>
      </c>
      <c r="M3924" s="16">
        <f>IF(NOT(Paths!$C$363=1),0,IF(Paths!$P$363="Complete",IF(AND(Paths!$D$363="EV",Paths!$E$363&lt;120,Paths!$E$363+'Operating costs'!$B$65&gt;Paths!$E$363,Paths!$E$363+'Operating costs'!$B$65&lt;=120,IF(Paths!$E$363+'Operating costs'!$B$65=0,C3924=0,AND(C3924&gt;0,Paths!$E$363+'Operating costs'!$B$65&gt;(C3924-1)*12,Paths!$E$363+'Operating costs'!$B$65&lt;=C3924*12))),'Operating costs'!$B$64,0)+IF(AND('Operating costs'!$B$67&gt;0,'Operating costs'!$B$67&lt;=120,OR(Paths!$D$363="ICE",'Operating costs'!$B$67&lt;=Paths!$E$363),IF('Operating costs'!$B$67=0,C3924=0,AND(C3924&gt;0,'Operating costs'!$B$67&gt;(C3924-1)*12,'Operating costs'!$B$67&lt;=C3924*12))),'Operating costs'!$B$66,0),"n.a."))</f>
        <v>0</v>
      </c>
      <c r="N3924" s="16">
        <f>IF(NOT(Paths!$C$363=1),0,IF(Paths!$P$363="Complete",SUM(G3924:I3924)-J3924-K3924-L3924+M3924+IF(C3924=0,Paths!$F$363,0)+IF(IF(Paths!$E$363=0,C3924=0,AND(C3924&gt;0,Paths!$E$363&gt;(C3924-1)*12,Paths!$E$363&lt;=C3924*12)),VLOOKUP(A3924,'Fleet register'!$A$7:$S$106,16,FALSE),0),"n.a."))</f>
        <v>0</v>
      </c>
      <c r="O3924" s="16">
        <f>IF(NOT(Paths!$C$363=1),0,IF(Paths!$P$363="Complete",N3924-IF(C3924=0,Paths!$F$363,0),"n.a."))</f>
        <v>0</v>
      </c>
      <c r="P3924" s="16">
        <f>IF(NOT(Paths!$C$363=1),0,IF(Paths!$P$363="Complete",O3924+L3924,"n.a."))</f>
        <v>0</v>
      </c>
      <c r="Q3924" s="16">
        <f>IF(NOT(Paths!$C$363=1),0,IF(Paths!$P$363="Complete",N3924*(1+'Operating costs'!$B$54)^-C3924,"n.a."))</f>
        <v>0</v>
      </c>
      <c r="R3924" s="16">
        <f>IF(NOT(Paths!$C$363=1),0,IF(Paths!$P$363="Complete",IF(AND(C3924=0,Paths!$E$363=0),I3924-J3924-K3924+VLOOKUP(A3924,'Fleet register'!$A$7:$S$106,15,FALSE)+VLOOKUP(A3924,'Fleet register'!$A$7:$S$106,16,FALSE),0),"n.a."))</f>
        <v>0</v>
      </c>
      <c r="S3924" s="1">
        <f>IF(NOT(Paths!$C$363=1),0,IF(Paths!$P$363="Complete",IF(C3924=0,0,Paths!$S$363*Paths!$R$363),"n.a."))</f>
        <v>0</v>
      </c>
      <c r="T3924" s="1">
        <f>IF(NOT(Paths!$C$363=1),0,IF(Paths!$P$363="Complete",IF(C3924=0,0,VLOOKUP(A3924,'Fleet register'!$A$7:$S$106,9,FALSE)*Paths!$R$363),"n.a."))</f>
        <v>0</v>
      </c>
    </row>
    <row r="3925" spans="1:20" ht="24" customHeight="1">
      <c r="A3925" s="1" t="str">
        <f>Paths!$A$363</f>
        <v>T090</v>
      </c>
      <c r="B3925" s="1">
        <f>Paths!$B$363</f>
        <v>0</v>
      </c>
      <c r="C3925" s="1">
        <v>2</v>
      </c>
      <c r="D3925" s="1">
        <v>363</v>
      </c>
      <c r="E3925" s="1">
        <f>IF(OR(Paths!$C$363=0,C3925=0),0,MAX(0,MIN(C3925*12,Paths!$E$363)-(C3925-1)*12))</f>
        <v>0</v>
      </c>
      <c r="F3925" s="1">
        <f>IF(OR(Paths!$C$363=0,C3925=0),0,12-E3925)</f>
        <v>0</v>
      </c>
      <c r="G3925" s="16">
        <f>IF(NOT(Paths!$C$363=1),0,IF(Paths!$P$363="Complete",E3925/12*(Paths!$J$363*(1+'Operating costs'!$B$51)^MAX(0,C3925-1)+Paths!$K$363*(1+'Operating costs'!$B$53)^MAX(0,C3925-1)),"n.a."))</f>
        <v>0</v>
      </c>
      <c r="H3925" s="16">
        <f>IF(NOT(Paths!$C$363=1),0,IF(Paths!$P$363="Complete",F3925/12*(Paths!$L$363*(1+IF(Paths!$D$363="EV",'Operating costs'!$B$52,'Operating costs'!$B$51))^MAX(0,C3925-1)+Paths!$M$363*(1+'Operating costs'!$B$53)^MAX(0,C3925-1)),"n.a."))</f>
        <v>0</v>
      </c>
      <c r="I3925" s="16">
        <f>IF(NOT(Paths!$C$363=1),0,IF(Paths!$P$363="Complete",IF(IF(Paths!$E$363=0,C3925=0,AND(C3925&gt;0,Paths!$E$363&gt;(C3925-1)*12,Paths!$E$363&lt;=C3925*12)),Paths!$G$363,0),"n.a."))</f>
        <v>0</v>
      </c>
      <c r="J3925" s="16">
        <f>IF(NOT(Paths!$C$363=1),0,IF(Paths!$P$363="Complete",IF(IF(Paths!$E$363=0,C3925=0,AND(C3925&gt;0,Paths!$E$363&gt;(C3925-1)*12,Paths!$E$363&lt;=C3925*12)),Paths!$H$363,0),"n.a."))</f>
        <v>0</v>
      </c>
      <c r="K3925" s="16">
        <f>IF(NOT(Paths!$C$363=1),0,IF(Paths!$P$363="Complete",IF(IF(Paths!$O$363=0,C3925=0,AND(C3925&gt;0,Paths!$O$363&gt;(C3925-1)*12,Paths!$O$363&lt;=C3925*12)),Paths!$N$363,0),"n.a."))</f>
        <v>0</v>
      </c>
      <c r="L3925" s="16">
        <f>IF(NOT(Paths!$C$363=1),0,IF(Paths!$P$363="Complete",IF(C3925=10,Paths!$I$363,0),"n.a."))</f>
        <v>0</v>
      </c>
      <c r="M3925" s="16">
        <f>IF(NOT(Paths!$C$363=1),0,IF(Paths!$P$363="Complete",IF(AND(Paths!$D$363="EV",Paths!$E$363&lt;120,Paths!$E$363+'Operating costs'!$B$65&gt;Paths!$E$363,Paths!$E$363+'Operating costs'!$B$65&lt;=120,IF(Paths!$E$363+'Operating costs'!$B$65=0,C3925=0,AND(C3925&gt;0,Paths!$E$363+'Operating costs'!$B$65&gt;(C3925-1)*12,Paths!$E$363+'Operating costs'!$B$65&lt;=C3925*12))),'Operating costs'!$B$64,0)+IF(AND('Operating costs'!$B$67&gt;0,'Operating costs'!$B$67&lt;=120,OR(Paths!$D$363="ICE",'Operating costs'!$B$67&lt;=Paths!$E$363),IF('Operating costs'!$B$67=0,C3925=0,AND(C3925&gt;0,'Operating costs'!$B$67&gt;(C3925-1)*12,'Operating costs'!$B$67&lt;=C3925*12))),'Operating costs'!$B$66,0),"n.a."))</f>
        <v>0</v>
      </c>
      <c r="N3925" s="16">
        <f>IF(NOT(Paths!$C$363=1),0,IF(Paths!$P$363="Complete",SUM(G3925:I3925)-J3925-K3925-L3925+M3925+IF(C3925=0,Paths!$F$363,0)+IF(IF(Paths!$E$363=0,C3925=0,AND(C3925&gt;0,Paths!$E$363&gt;(C3925-1)*12,Paths!$E$363&lt;=C3925*12)),VLOOKUP(A3925,'Fleet register'!$A$7:$S$106,16,FALSE),0),"n.a."))</f>
        <v>0</v>
      </c>
      <c r="O3925" s="16">
        <f>IF(NOT(Paths!$C$363=1),0,IF(Paths!$P$363="Complete",N3925-IF(C3925=0,Paths!$F$363,0),"n.a."))</f>
        <v>0</v>
      </c>
      <c r="P3925" s="16">
        <f>IF(NOT(Paths!$C$363=1),0,IF(Paths!$P$363="Complete",O3925+L3925,"n.a."))</f>
        <v>0</v>
      </c>
      <c r="Q3925" s="16">
        <f>IF(NOT(Paths!$C$363=1),0,IF(Paths!$P$363="Complete",N3925*(1+'Operating costs'!$B$54)^-C3925,"n.a."))</f>
        <v>0</v>
      </c>
      <c r="R3925" s="16">
        <f>IF(NOT(Paths!$C$363=1),0,IF(Paths!$P$363="Complete",IF(AND(C3925=0,Paths!$E$363=0),I3925-J3925-K3925+VLOOKUP(A3925,'Fleet register'!$A$7:$S$106,15,FALSE)+VLOOKUP(A3925,'Fleet register'!$A$7:$S$106,16,FALSE),0),"n.a."))</f>
        <v>0</v>
      </c>
      <c r="S3925" s="1">
        <f>IF(NOT(Paths!$C$363=1),0,IF(Paths!$P$363="Complete",IF(C3925=0,0,Paths!$S$363*Paths!$R$363),"n.a."))</f>
        <v>0</v>
      </c>
      <c r="T3925" s="1">
        <f>IF(NOT(Paths!$C$363=1),0,IF(Paths!$P$363="Complete",IF(C3925=0,0,VLOOKUP(A3925,'Fleet register'!$A$7:$S$106,9,FALSE)*Paths!$R$363),"n.a."))</f>
        <v>0</v>
      </c>
    </row>
    <row r="3926" spans="1:20" ht="24" customHeight="1">
      <c r="A3926" s="1" t="str">
        <f>Paths!$A$363</f>
        <v>T090</v>
      </c>
      <c r="B3926" s="1">
        <f>Paths!$B$363</f>
        <v>0</v>
      </c>
      <c r="C3926" s="1">
        <v>3</v>
      </c>
      <c r="D3926" s="1">
        <v>363</v>
      </c>
      <c r="E3926" s="1">
        <f>IF(OR(Paths!$C$363=0,C3926=0),0,MAX(0,MIN(C3926*12,Paths!$E$363)-(C3926-1)*12))</f>
        <v>0</v>
      </c>
      <c r="F3926" s="1">
        <f>IF(OR(Paths!$C$363=0,C3926=0),0,12-E3926)</f>
        <v>0</v>
      </c>
      <c r="G3926" s="16">
        <f>IF(NOT(Paths!$C$363=1),0,IF(Paths!$P$363="Complete",E3926/12*(Paths!$J$363*(1+'Operating costs'!$B$51)^MAX(0,C3926-1)+Paths!$K$363*(1+'Operating costs'!$B$53)^MAX(0,C3926-1)),"n.a."))</f>
        <v>0</v>
      </c>
      <c r="H3926" s="16">
        <f>IF(NOT(Paths!$C$363=1),0,IF(Paths!$P$363="Complete",F3926/12*(Paths!$L$363*(1+IF(Paths!$D$363="EV",'Operating costs'!$B$52,'Operating costs'!$B$51))^MAX(0,C3926-1)+Paths!$M$363*(1+'Operating costs'!$B$53)^MAX(0,C3926-1)),"n.a."))</f>
        <v>0</v>
      </c>
      <c r="I3926" s="16">
        <f>IF(NOT(Paths!$C$363=1),0,IF(Paths!$P$363="Complete",IF(IF(Paths!$E$363=0,C3926=0,AND(C3926&gt;0,Paths!$E$363&gt;(C3926-1)*12,Paths!$E$363&lt;=C3926*12)),Paths!$G$363,0),"n.a."))</f>
        <v>0</v>
      </c>
      <c r="J3926" s="16">
        <f>IF(NOT(Paths!$C$363=1),0,IF(Paths!$P$363="Complete",IF(IF(Paths!$E$363=0,C3926=0,AND(C3926&gt;0,Paths!$E$363&gt;(C3926-1)*12,Paths!$E$363&lt;=C3926*12)),Paths!$H$363,0),"n.a."))</f>
        <v>0</v>
      </c>
      <c r="K3926" s="16">
        <f>IF(NOT(Paths!$C$363=1),0,IF(Paths!$P$363="Complete",IF(IF(Paths!$O$363=0,C3926=0,AND(C3926&gt;0,Paths!$O$363&gt;(C3926-1)*12,Paths!$O$363&lt;=C3926*12)),Paths!$N$363,0),"n.a."))</f>
        <v>0</v>
      </c>
      <c r="L3926" s="16">
        <f>IF(NOT(Paths!$C$363=1),0,IF(Paths!$P$363="Complete",IF(C3926=10,Paths!$I$363,0),"n.a."))</f>
        <v>0</v>
      </c>
      <c r="M3926" s="16">
        <f>IF(NOT(Paths!$C$363=1),0,IF(Paths!$P$363="Complete",IF(AND(Paths!$D$363="EV",Paths!$E$363&lt;120,Paths!$E$363+'Operating costs'!$B$65&gt;Paths!$E$363,Paths!$E$363+'Operating costs'!$B$65&lt;=120,IF(Paths!$E$363+'Operating costs'!$B$65=0,C3926=0,AND(C3926&gt;0,Paths!$E$363+'Operating costs'!$B$65&gt;(C3926-1)*12,Paths!$E$363+'Operating costs'!$B$65&lt;=C3926*12))),'Operating costs'!$B$64,0)+IF(AND('Operating costs'!$B$67&gt;0,'Operating costs'!$B$67&lt;=120,OR(Paths!$D$363="ICE",'Operating costs'!$B$67&lt;=Paths!$E$363),IF('Operating costs'!$B$67=0,C3926=0,AND(C3926&gt;0,'Operating costs'!$B$67&gt;(C3926-1)*12,'Operating costs'!$B$67&lt;=C3926*12))),'Operating costs'!$B$66,0),"n.a."))</f>
        <v>0</v>
      </c>
      <c r="N3926" s="16">
        <f>IF(NOT(Paths!$C$363=1),0,IF(Paths!$P$363="Complete",SUM(G3926:I3926)-J3926-K3926-L3926+M3926+IF(C3926=0,Paths!$F$363,0)+IF(IF(Paths!$E$363=0,C3926=0,AND(C3926&gt;0,Paths!$E$363&gt;(C3926-1)*12,Paths!$E$363&lt;=C3926*12)),VLOOKUP(A3926,'Fleet register'!$A$7:$S$106,16,FALSE),0),"n.a."))</f>
        <v>0</v>
      </c>
      <c r="O3926" s="16">
        <f>IF(NOT(Paths!$C$363=1),0,IF(Paths!$P$363="Complete",N3926-IF(C3926=0,Paths!$F$363,0),"n.a."))</f>
        <v>0</v>
      </c>
      <c r="P3926" s="16">
        <f>IF(NOT(Paths!$C$363=1),0,IF(Paths!$P$363="Complete",O3926+L3926,"n.a."))</f>
        <v>0</v>
      </c>
      <c r="Q3926" s="16">
        <f>IF(NOT(Paths!$C$363=1),0,IF(Paths!$P$363="Complete",N3926*(1+'Operating costs'!$B$54)^-C3926,"n.a."))</f>
        <v>0</v>
      </c>
      <c r="R3926" s="16">
        <f>IF(NOT(Paths!$C$363=1),0,IF(Paths!$P$363="Complete",IF(AND(C3926=0,Paths!$E$363=0),I3926-J3926-K3926+VLOOKUP(A3926,'Fleet register'!$A$7:$S$106,15,FALSE)+VLOOKUP(A3926,'Fleet register'!$A$7:$S$106,16,FALSE),0),"n.a."))</f>
        <v>0</v>
      </c>
      <c r="S3926" s="1">
        <f>IF(NOT(Paths!$C$363=1),0,IF(Paths!$P$363="Complete",IF(C3926=0,0,Paths!$S$363*Paths!$R$363),"n.a."))</f>
        <v>0</v>
      </c>
      <c r="T3926" s="1">
        <f>IF(NOT(Paths!$C$363=1),0,IF(Paths!$P$363="Complete",IF(C3926=0,0,VLOOKUP(A3926,'Fleet register'!$A$7:$S$106,9,FALSE)*Paths!$R$363),"n.a."))</f>
        <v>0</v>
      </c>
    </row>
    <row r="3927" spans="1:20" ht="24" customHeight="1">
      <c r="A3927" s="1" t="str">
        <f>Paths!$A$363</f>
        <v>T090</v>
      </c>
      <c r="B3927" s="1">
        <f>Paths!$B$363</f>
        <v>0</v>
      </c>
      <c r="C3927" s="1">
        <v>4</v>
      </c>
      <c r="D3927" s="1">
        <v>363</v>
      </c>
      <c r="E3927" s="1">
        <f>IF(OR(Paths!$C$363=0,C3927=0),0,MAX(0,MIN(C3927*12,Paths!$E$363)-(C3927-1)*12))</f>
        <v>0</v>
      </c>
      <c r="F3927" s="1">
        <f>IF(OR(Paths!$C$363=0,C3927=0),0,12-E3927)</f>
        <v>0</v>
      </c>
      <c r="G3927" s="16">
        <f>IF(NOT(Paths!$C$363=1),0,IF(Paths!$P$363="Complete",E3927/12*(Paths!$J$363*(1+'Operating costs'!$B$51)^MAX(0,C3927-1)+Paths!$K$363*(1+'Operating costs'!$B$53)^MAX(0,C3927-1)),"n.a."))</f>
        <v>0</v>
      </c>
      <c r="H3927" s="16">
        <f>IF(NOT(Paths!$C$363=1),0,IF(Paths!$P$363="Complete",F3927/12*(Paths!$L$363*(1+IF(Paths!$D$363="EV",'Operating costs'!$B$52,'Operating costs'!$B$51))^MAX(0,C3927-1)+Paths!$M$363*(1+'Operating costs'!$B$53)^MAX(0,C3927-1)),"n.a."))</f>
        <v>0</v>
      </c>
      <c r="I3927" s="16">
        <f>IF(NOT(Paths!$C$363=1),0,IF(Paths!$P$363="Complete",IF(IF(Paths!$E$363=0,C3927=0,AND(C3927&gt;0,Paths!$E$363&gt;(C3927-1)*12,Paths!$E$363&lt;=C3927*12)),Paths!$G$363,0),"n.a."))</f>
        <v>0</v>
      </c>
      <c r="J3927" s="16">
        <f>IF(NOT(Paths!$C$363=1),0,IF(Paths!$P$363="Complete",IF(IF(Paths!$E$363=0,C3927=0,AND(C3927&gt;0,Paths!$E$363&gt;(C3927-1)*12,Paths!$E$363&lt;=C3927*12)),Paths!$H$363,0),"n.a."))</f>
        <v>0</v>
      </c>
      <c r="K3927" s="16">
        <f>IF(NOT(Paths!$C$363=1),0,IF(Paths!$P$363="Complete",IF(IF(Paths!$O$363=0,C3927=0,AND(C3927&gt;0,Paths!$O$363&gt;(C3927-1)*12,Paths!$O$363&lt;=C3927*12)),Paths!$N$363,0),"n.a."))</f>
        <v>0</v>
      </c>
      <c r="L3927" s="16">
        <f>IF(NOT(Paths!$C$363=1),0,IF(Paths!$P$363="Complete",IF(C3927=10,Paths!$I$363,0),"n.a."))</f>
        <v>0</v>
      </c>
      <c r="M3927" s="16">
        <f>IF(NOT(Paths!$C$363=1),0,IF(Paths!$P$363="Complete",IF(AND(Paths!$D$363="EV",Paths!$E$363&lt;120,Paths!$E$363+'Operating costs'!$B$65&gt;Paths!$E$363,Paths!$E$363+'Operating costs'!$B$65&lt;=120,IF(Paths!$E$363+'Operating costs'!$B$65=0,C3927=0,AND(C3927&gt;0,Paths!$E$363+'Operating costs'!$B$65&gt;(C3927-1)*12,Paths!$E$363+'Operating costs'!$B$65&lt;=C3927*12))),'Operating costs'!$B$64,0)+IF(AND('Operating costs'!$B$67&gt;0,'Operating costs'!$B$67&lt;=120,OR(Paths!$D$363="ICE",'Operating costs'!$B$67&lt;=Paths!$E$363),IF('Operating costs'!$B$67=0,C3927=0,AND(C3927&gt;0,'Operating costs'!$B$67&gt;(C3927-1)*12,'Operating costs'!$B$67&lt;=C3927*12))),'Operating costs'!$B$66,0),"n.a."))</f>
        <v>0</v>
      </c>
      <c r="N3927" s="16">
        <f>IF(NOT(Paths!$C$363=1),0,IF(Paths!$P$363="Complete",SUM(G3927:I3927)-J3927-K3927-L3927+M3927+IF(C3927=0,Paths!$F$363,0)+IF(IF(Paths!$E$363=0,C3927=0,AND(C3927&gt;0,Paths!$E$363&gt;(C3927-1)*12,Paths!$E$363&lt;=C3927*12)),VLOOKUP(A3927,'Fleet register'!$A$7:$S$106,16,FALSE),0),"n.a."))</f>
        <v>0</v>
      </c>
      <c r="O3927" s="16">
        <f>IF(NOT(Paths!$C$363=1),0,IF(Paths!$P$363="Complete",N3927-IF(C3927=0,Paths!$F$363,0),"n.a."))</f>
        <v>0</v>
      </c>
      <c r="P3927" s="16">
        <f>IF(NOT(Paths!$C$363=1),0,IF(Paths!$P$363="Complete",O3927+L3927,"n.a."))</f>
        <v>0</v>
      </c>
      <c r="Q3927" s="16">
        <f>IF(NOT(Paths!$C$363=1),0,IF(Paths!$P$363="Complete",N3927*(1+'Operating costs'!$B$54)^-C3927,"n.a."))</f>
        <v>0</v>
      </c>
      <c r="R3927" s="16">
        <f>IF(NOT(Paths!$C$363=1),0,IF(Paths!$P$363="Complete",IF(AND(C3927=0,Paths!$E$363=0),I3927-J3927-K3927+VLOOKUP(A3927,'Fleet register'!$A$7:$S$106,15,FALSE)+VLOOKUP(A3927,'Fleet register'!$A$7:$S$106,16,FALSE),0),"n.a."))</f>
        <v>0</v>
      </c>
      <c r="S3927" s="1">
        <f>IF(NOT(Paths!$C$363=1),0,IF(Paths!$P$363="Complete",IF(C3927=0,0,Paths!$S$363*Paths!$R$363),"n.a."))</f>
        <v>0</v>
      </c>
      <c r="T3927" s="1">
        <f>IF(NOT(Paths!$C$363=1),0,IF(Paths!$P$363="Complete",IF(C3927=0,0,VLOOKUP(A3927,'Fleet register'!$A$7:$S$106,9,FALSE)*Paths!$R$363),"n.a."))</f>
        <v>0</v>
      </c>
    </row>
    <row r="3928" spans="1:20" ht="24" customHeight="1">
      <c r="A3928" s="1" t="str">
        <f>Paths!$A$363</f>
        <v>T090</v>
      </c>
      <c r="B3928" s="1">
        <f>Paths!$B$363</f>
        <v>0</v>
      </c>
      <c r="C3928" s="1">
        <v>5</v>
      </c>
      <c r="D3928" s="1">
        <v>363</v>
      </c>
      <c r="E3928" s="1">
        <f>IF(OR(Paths!$C$363=0,C3928=0),0,MAX(0,MIN(C3928*12,Paths!$E$363)-(C3928-1)*12))</f>
        <v>0</v>
      </c>
      <c r="F3928" s="1">
        <f>IF(OR(Paths!$C$363=0,C3928=0),0,12-E3928)</f>
        <v>0</v>
      </c>
      <c r="G3928" s="16">
        <f>IF(NOT(Paths!$C$363=1),0,IF(Paths!$P$363="Complete",E3928/12*(Paths!$J$363*(1+'Operating costs'!$B$51)^MAX(0,C3928-1)+Paths!$K$363*(1+'Operating costs'!$B$53)^MAX(0,C3928-1)),"n.a."))</f>
        <v>0</v>
      </c>
      <c r="H3928" s="16">
        <f>IF(NOT(Paths!$C$363=1),0,IF(Paths!$P$363="Complete",F3928/12*(Paths!$L$363*(1+IF(Paths!$D$363="EV",'Operating costs'!$B$52,'Operating costs'!$B$51))^MAX(0,C3928-1)+Paths!$M$363*(1+'Operating costs'!$B$53)^MAX(0,C3928-1)),"n.a."))</f>
        <v>0</v>
      </c>
      <c r="I3928" s="16">
        <f>IF(NOT(Paths!$C$363=1),0,IF(Paths!$P$363="Complete",IF(IF(Paths!$E$363=0,C3928=0,AND(C3928&gt;0,Paths!$E$363&gt;(C3928-1)*12,Paths!$E$363&lt;=C3928*12)),Paths!$G$363,0),"n.a."))</f>
        <v>0</v>
      </c>
      <c r="J3928" s="16">
        <f>IF(NOT(Paths!$C$363=1),0,IF(Paths!$P$363="Complete",IF(IF(Paths!$E$363=0,C3928=0,AND(C3928&gt;0,Paths!$E$363&gt;(C3928-1)*12,Paths!$E$363&lt;=C3928*12)),Paths!$H$363,0),"n.a."))</f>
        <v>0</v>
      </c>
      <c r="K3928" s="16">
        <f>IF(NOT(Paths!$C$363=1),0,IF(Paths!$P$363="Complete",IF(IF(Paths!$O$363=0,C3928=0,AND(C3928&gt;0,Paths!$O$363&gt;(C3928-1)*12,Paths!$O$363&lt;=C3928*12)),Paths!$N$363,0),"n.a."))</f>
        <v>0</v>
      </c>
      <c r="L3928" s="16">
        <f>IF(NOT(Paths!$C$363=1),0,IF(Paths!$P$363="Complete",IF(C3928=10,Paths!$I$363,0),"n.a."))</f>
        <v>0</v>
      </c>
      <c r="M3928" s="16">
        <f>IF(NOT(Paths!$C$363=1),0,IF(Paths!$P$363="Complete",IF(AND(Paths!$D$363="EV",Paths!$E$363&lt;120,Paths!$E$363+'Operating costs'!$B$65&gt;Paths!$E$363,Paths!$E$363+'Operating costs'!$B$65&lt;=120,IF(Paths!$E$363+'Operating costs'!$B$65=0,C3928=0,AND(C3928&gt;0,Paths!$E$363+'Operating costs'!$B$65&gt;(C3928-1)*12,Paths!$E$363+'Operating costs'!$B$65&lt;=C3928*12))),'Operating costs'!$B$64,0)+IF(AND('Operating costs'!$B$67&gt;0,'Operating costs'!$B$67&lt;=120,OR(Paths!$D$363="ICE",'Operating costs'!$B$67&lt;=Paths!$E$363),IF('Operating costs'!$B$67=0,C3928=0,AND(C3928&gt;0,'Operating costs'!$B$67&gt;(C3928-1)*12,'Operating costs'!$B$67&lt;=C3928*12))),'Operating costs'!$B$66,0),"n.a."))</f>
        <v>0</v>
      </c>
      <c r="N3928" s="16">
        <f>IF(NOT(Paths!$C$363=1),0,IF(Paths!$P$363="Complete",SUM(G3928:I3928)-J3928-K3928-L3928+M3928+IF(C3928=0,Paths!$F$363,0)+IF(IF(Paths!$E$363=0,C3928=0,AND(C3928&gt;0,Paths!$E$363&gt;(C3928-1)*12,Paths!$E$363&lt;=C3928*12)),VLOOKUP(A3928,'Fleet register'!$A$7:$S$106,16,FALSE),0),"n.a."))</f>
        <v>0</v>
      </c>
      <c r="O3928" s="16">
        <f>IF(NOT(Paths!$C$363=1),0,IF(Paths!$P$363="Complete",N3928-IF(C3928=0,Paths!$F$363,0),"n.a."))</f>
        <v>0</v>
      </c>
      <c r="P3928" s="16">
        <f>IF(NOT(Paths!$C$363=1),0,IF(Paths!$P$363="Complete",O3928+L3928,"n.a."))</f>
        <v>0</v>
      </c>
      <c r="Q3928" s="16">
        <f>IF(NOT(Paths!$C$363=1),0,IF(Paths!$P$363="Complete",N3928*(1+'Operating costs'!$B$54)^-C3928,"n.a."))</f>
        <v>0</v>
      </c>
      <c r="R3928" s="16">
        <f>IF(NOT(Paths!$C$363=1),0,IF(Paths!$P$363="Complete",IF(AND(C3928=0,Paths!$E$363=0),I3928-J3928-K3928+VLOOKUP(A3928,'Fleet register'!$A$7:$S$106,15,FALSE)+VLOOKUP(A3928,'Fleet register'!$A$7:$S$106,16,FALSE),0),"n.a."))</f>
        <v>0</v>
      </c>
      <c r="S3928" s="1">
        <f>IF(NOT(Paths!$C$363=1),0,IF(Paths!$P$363="Complete",IF(C3928=0,0,Paths!$S$363*Paths!$R$363),"n.a."))</f>
        <v>0</v>
      </c>
      <c r="T3928" s="1">
        <f>IF(NOT(Paths!$C$363=1),0,IF(Paths!$P$363="Complete",IF(C3928=0,0,VLOOKUP(A3928,'Fleet register'!$A$7:$S$106,9,FALSE)*Paths!$R$363),"n.a."))</f>
        <v>0</v>
      </c>
    </row>
    <row r="3929" spans="1:20" ht="24" customHeight="1">
      <c r="A3929" s="1" t="str">
        <f>Paths!$A$363</f>
        <v>T090</v>
      </c>
      <c r="B3929" s="1">
        <f>Paths!$B$363</f>
        <v>0</v>
      </c>
      <c r="C3929" s="1">
        <v>6</v>
      </c>
      <c r="D3929" s="1">
        <v>363</v>
      </c>
      <c r="E3929" s="1">
        <f>IF(OR(Paths!$C$363=0,C3929=0),0,MAX(0,MIN(C3929*12,Paths!$E$363)-(C3929-1)*12))</f>
        <v>0</v>
      </c>
      <c r="F3929" s="1">
        <f>IF(OR(Paths!$C$363=0,C3929=0),0,12-E3929)</f>
        <v>0</v>
      </c>
      <c r="G3929" s="16">
        <f>IF(NOT(Paths!$C$363=1),0,IF(Paths!$P$363="Complete",E3929/12*(Paths!$J$363*(1+'Operating costs'!$B$51)^MAX(0,C3929-1)+Paths!$K$363*(1+'Operating costs'!$B$53)^MAX(0,C3929-1)),"n.a."))</f>
        <v>0</v>
      </c>
      <c r="H3929" s="16">
        <f>IF(NOT(Paths!$C$363=1),0,IF(Paths!$P$363="Complete",F3929/12*(Paths!$L$363*(1+IF(Paths!$D$363="EV",'Operating costs'!$B$52,'Operating costs'!$B$51))^MAX(0,C3929-1)+Paths!$M$363*(1+'Operating costs'!$B$53)^MAX(0,C3929-1)),"n.a."))</f>
        <v>0</v>
      </c>
      <c r="I3929" s="16">
        <f>IF(NOT(Paths!$C$363=1),0,IF(Paths!$P$363="Complete",IF(IF(Paths!$E$363=0,C3929=0,AND(C3929&gt;0,Paths!$E$363&gt;(C3929-1)*12,Paths!$E$363&lt;=C3929*12)),Paths!$G$363,0),"n.a."))</f>
        <v>0</v>
      </c>
      <c r="J3929" s="16">
        <f>IF(NOT(Paths!$C$363=1),0,IF(Paths!$P$363="Complete",IF(IF(Paths!$E$363=0,C3929=0,AND(C3929&gt;0,Paths!$E$363&gt;(C3929-1)*12,Paths!$E$363&lt;=C3929*12)),Paths!$H$363,0),"n.a."))</f>
        <v>0</v>
      </c>
      <c r="K3929" s="16">
        <f>IF(NOT(Paths!$C$363=1),0,IF(Paths!$P$363="Complete",IF(IF(Paths!$O$363=0,C3929=0,AND(C3929&gt;0,Paths!$O$363&gt;(C3929-1)*12,Paths!$O$363&lt;=C3929*12)),Paths!$N$363,0),"n.a."))</f>
        <v>0</v>
      </c>
      <c r="L3929" s="16">
        <f>IF(NOT(Paths!$C$363=1),0,IF(Paths!$P$363="Complete",IF(C3929=10,Paths!$I$363,0),"n.a."))</f>
        <v>0</v>
      </c>
      <c r="M3929" s="16">
        <f>IF(NOT(Paths!$C$363=1),0,IF(Paths!$P$363="Complete",IF(AND(Paths!$D$363="EV",Paths!$E$363&lt;120,Paths!$E$363+'Operating costs'!$B$65&gt;Paths!$E$363,Paths!$E$363+'Operating costs'!$B$65&lt;=120,IF(Paths!$E$363+'Operating costs'!$B$65=0,C3929=0,AND(C3929&gt;0,Paths!$E$363+'Operating costs'!$B$65&gt;(C3929-1)*12,Paths!$E$363+'Operating costs'!$B$65&lt;=C3929*12))),'Operating costs'!$B$64,0)+IF(AND('Operating costs'!$B$67&gt;0,'Operating costs'!$B$67&lt;=120,OR(Paths!$D$363="ICE",'Operating costs'!$B$67&lt;=Paths!$E$363),IF('Operating costs'!$B$67=0,C3929=0,AND(C3929&gt;0,'Operating costs'!$B$67&gt;(C3929-1)*12,'Operating costs'!$B$67&lt;=C3929*12))),'Operating costs'!$B$66,0),"n.a."))</f>
        <v>0</v>
      </c>
      <c r="N3929" s="16">
        <f>IF(NOT(Paths!$C$363=1),0,IF(Paths!$P$363="Complete",SUM(G3929:I3929)-J3929-K3929-L3929+M3929+IF(C3929=0,Paths!$F$363,0)+IF(IF(Paths!$E$363=0,C3929=0,AND(C3929&gt;0,Paths!$E$363&gt;(C3929-1)*12,Paths!$E$363&lt;=C3929*12)),VLOOKUP(A3929,'Fleet register'!$A$7:$S$106,16,FALSE),0),"n.a."))</f>
        <v>0</v>
      </c>
      <c r="O3929" s="16">
        <f>IF(NOT(Paths!$C$363=1),0,IF(Paths!$P$363="Complete",N3929-IF(C3929=0,Paths!$F$363,0),"n.a."))</f>
        <v>0</v>
      </c>
      <c r="P3929" s="16">
        <f>IF(NOT(Paths!$C$363=1),0,IF(Paths!$P$363="Complete",O3929+L3929,"n.a."))</f>
        <v>0</v>
      </c>
      <c r="Q3929" s="16">
        <f>IF(NOT(Paths!$C$363=1),0,IF(Paths!$P$363="Complete",N3929*(1+'Operating costs'!$B$54)^-C3929,"n.a."))</f>
        <v>0</v>
      </c>
      <c r="R3929" s="16">
        <f>IF(NOT(Paths!$C$363=1),0,IF(Paths!$P$363="Complete",IF(AND(C3929=0,Paths!$E$363=0),I3929-J3929-K3929+VLOOKUP(A3929,'Fleet register'!$A$7:$S$106,15,FALSE)+VLOOKUP(A3929,'Fleet register'!$A$7:$S$106,16,FALSE),0),"n.a."))</f>
        <v>0</v>
      </c>
      <c r="S3929" s="1">
        <f>IF(NOT(Paths!$C$363=1),0,IF(Paths!$P$363="Complete",IF(C3929=0,0,Paths!$S$363*Paths!$R$363),"n.a."))</f>
        <v>0</v>
      </c>
      <c r="T3929" s="1">
        <f>IF(NOT(Paths!$C$363=1),0,IF(Paths!$P$363="Complete",IF(C3929=0,0,VLOOKUP(A3929,'Fleet register'!$A$7:$S$106,9,FALSE)*Paths!$R$363),"n.a."))</f>
        <v>0</v>
      </c>
    </row>
    <row r="3930" spans="1:20" ht="24" customHeight="1">
      <c r="A3930" s="1" t="str">
        <f>Paths!$A$363</f>
        <v>T090</v>
      </c>
      <c r="B3930" s="1">
        <f>Paths!$B$363</f>
        <v>0</v>
      </c>
      <c r="C3930" s="1">
        <v>7</v>
      </c>
      <c r="D3930" s="1">
        <v>363</v>
      </c>
      <c r="E3930" s="1">
        <f>IF(OR(Paths!$C$363=0,C3930=0),0,MAX(0,MIN(C3930*12,Paths!$E$363)-(C3930-1)*12))</f>
        <v>0</v>
      </c>
      <c r="F3930" s="1">
        <f>IF(OR(Paths!$C$363=0,C3930=0),0,12-E3930)</f>
        <v>0</v>
      </c>
      <c r="G3930" s="16">
        <f>IF(NOT(Paths!$C$363=1),0,IF(Paths!$P$363="Complete",E3930/12*(Paths!$J$363*(1+'Operating costs'!$B$51)^MAX(0,C3930-1)+Paths!$K$363*(1+'Operating costs'!$B$53)^MAX(0,C3930-1)),"n.a."))</f>
        <v>0</v>
      </c>
      <c r="H3930" s="16">
        <f>IF(NOT(Paths!$C$363=1),0,IF(Paths!$P$363="Complete",F3930/12*(Paths!$L$363*(1+IF(Paths!$D$363="EV",'Operating costs'!$B$52,'Operating costs'!$B$51))^MAX(0,C3930-1)+Paths!$M$363*(1+'Operating costs'!$B$53)^MAX(0,C3930-1)),"n.a."))</f>
        <v>0</v>
      </c>
      <c r="I3930" s="16">
        <f>IF(NOT(Paths!$C$363=1),0,IF(Paths!$P$363="Complete",IF(IF(Paths!$E$363=0,C3930=0,AND(C3930&gt;0,Paths!$E$363&gt;(C3930-1)*12,Paths!$E$363&lt;=C3930*12)),Paths!$G$363,0),"n.a."))</f>
        <v>0</v>
      </c>
      <c r="J3930" s="16">
        <f>IF(NOT(Paths!$C$363=1),0,IF(Paths!$P$363="Complete",IF(IF(Paths!$E$363=0,C3930=0,AND(C3930&gt;0,Paths!$E$363&gt;(C3930-1)*12,Paths!$E$363&lt;=C3930*12)),Paths!$H$363,0),"n.a."))</f>
        <v>0</v>
      </c>
      <c r="K3930" s="16">
        <f>IF(NOT(Paths!$C$363=1),0,IF(Paths!$P$363="Complete",IF(IF(Paths!$O$363=0,C3930=0,AND(C3930&gt;0,Paths!$O$363&gt;(C3930-1)*12,Paths!$O$363&lt;=C3930*12)),Paths!$N$363,0),"n.a."))</f>
        <v>0</v>
      </c>
      <c r="L3930" s="16">
        <f>IF(NOT(Paths!$C$363=1),0,IF(Paths!$P$363="Complete",IF(C3930=10,Paths!$I$363,0),"n.a."))</f>
        <v>0</v>
      </c>
      <c r="M3930" s="16">
        <f>IF(NOT(Paths!$C$363=1),0,IF(Paths!$P$363="Complete",IF(AND(Paths!$D$363="EV",Paths!$E$363&lt;120,Paths!$E$363+'Operating costs'!$B$65&gt;Paths!$E$363,Paths!$E$363+'Operating costs'!$B$65&lt;=120,IF(Paths!$E$363+'Operating costs'!$B$65=0,C3930=0,AND(C3930&gt;0,Paths!$E$363+'Operating costs'!$B$65&gt;(C3930-1)*12,Paths!$E$363+'Operating costs'!$B$65&lt;=C3930*12))),'Operating costs'!$B$64,0)+IF(AND('Operating costs'!$B$67&gt;0,'Operating costs'!$B$67&lt;=120,OR(Paths!$D$363="ICE",'Operating costs'!$B$67&lt;=Paths!$E$363),IF('Operating costs'!$B$67=0,C3930=0,AND(C3930&gt;0,'Operating costs'!$B$67&gt;(C3930-1)*12,'Operating costs'!$B$67&lt;=C3930*12))),'Operating costs'!$B$66,0),"n.a."))</f>
        <v>0</v>
      </c>
      <c r="N3930" s="16">
        <f>IF(NOT(Paths!$C$363=1),0,IF(Paths!$P$363="Complete",SUM(G3930:I3930)-J3930-K3930-L3930+M3930+IF(C3930=0,Paths!$F$363,0)+IF(IF(Paths!$E$363=0,C3930=0,AND(C3930&gt;0,Paths!$E$363&gt;(C3930-1)*12,Paths!$E$363&lt;=C3930*12)),VLOOKUP(A3930,'Fleet register'!$A$7:$S$106,16,FALSE),0),"n.a."))</f>
        <v>0</v>
      </c>
      <c r="O3930" s="16">
        <f>IF(NOT(Paths!$C$363=1),0,IF(Paths!$P$363="Complete",N3930-IF(C3930=0,Paths!$F$363,0),"n.a."))</f>
        <v>0</v>
      </c>
      <c r="P3930" s="16">
        <f>IF(NOT(Paths!$C$363=1),0,IF(Paths!$P$363="Complete",O3930+L3930,"n.a."))</f>
        <v>0</v>
      </c>
      <c r="Q3930" s="16">
        <f>IF(NOT(Paths!$C$363=1),0,IF(Paths!$P$363="Complete",N3930*(1+'Operating costs'!$B$54)^-C3930,"n.a."))</f>
        <v>0</v>
      </c>
      <c r="R3930" s="16">
        <f>IF(NOT(Paths!$C$363=1),0,IF(Paths!$P$363="Complete",IF(AND(C3930=0,Paths!$E$363=0),I3930-J3930-K3930+VLOOKUP(A3930,'Fleet register'!$A$7:$S$106,15,FALSE)+VLOOKUP(A3930,'Fleet register'!$A$7:$S$106,16,FALSE),0),"n.a."))</f>
        <v>0</v>
      </c>
      <c r="S3930" s="1">
        <f>IF(NOT(Paths!$C$363=1),0,IF(Paths!$P$363="Complete",IF(C3930=0,0,Paths!$S$363*Paths!$R$363),"n.a."))</f>
        <v>0</v>
      </c>
      <c r="T3930" s="1">
        <f>IF(NOT(Paths!$C$363=1),0,IF(Paths!$P$363="Complete",IF(C3930=0,0,VLOOKUP(A3930,'Fleet register'!$A$7:$S$106,9,FALSE)*Paths!$R$363),"n.a."))</f>
        <v>0</v>
      </c>
    </row>
    <row r="3931" spans="1:20" ht="24" customHeight="1">
      <c r="A3931" s="1" t="str">
        <f>Paths!$A$363</f>
        <v>T090</v>
      </c>
      <c r="B3931" s="1">
        <f>Paths!$B$363</f>
        <v>0</v>
      </c>
      <c r="C3931" s="1">
        <v>8</v>
      </c>
      <c r="D3931" s="1">
        <v>363</v>
      </c>
      <c r="E3931" s="1">
        <f>IF(OR(Paths!$C$363=0,C3931=0),0,MAX(0,MIN(C3931*12,Paths!$E$363)-(C3931-1)*12))</f>
        <v>0</v>
      </c>
      <c r="F3931" s="1">
        <f>IF(OR(Paths!$C$363=0,C3931=0),0,12-E3931)</f>
        <v>0</v>
      </c>
      <c r="G3931" s="16">
        <f>IF(NOT(Paths!$C$363=1),0,IF(Paths!$P$363="Complete",E3931/12*(Paths!$J$363*(1+'Operating costs'!$B$51)^MAX(0,C3931-1)+Paths!$K$363*(1+'Operating costs'!$B$53)^MAX(0,C3931-1)),"n.a."))</f>
        <v>0</v>
      </c>
      <c r="H3931" s="16">
        <f>IF(NOT(Paths!$C$363=1),0,IF(Paths!$P$363="Complete",F3931/12*(Paths!$L$363*(1+IF(Paths!$D$363="EV",'Operating costs'!$B$52,'Operating costs'!$B$51))^MAX(0,C3931-1)+Paths!$M$363*(1+'Operating costs'!$B$53)^MAX(0,C3931-1)),"n.a."))</f>
        <v>0</v>
      </c>
      <c r="I3931" s="16">
        <f>IF(NOT(Paths!$C$363=1),0,IF(Paths!$P$363="Complete",IF(IF(Paths!$E$363=0,C3931=0,AND(C3931&gt;0,Paths!$E$363&gt;(C3931-1)*12,Paths!$E$363&lt;=C3931*12)),Paths!$G$363,0),"n.a."))</f>
        <v>0</v>
      </c>
      <c r="J3931" s="16">
        <f>IF(NOT(Paths!$C$363=1),0,IF(Paths!$P$363="Complete",IF(IF(Paths!$E$363=0,C3931=0,AND(C3931&gt;0,Paths!$E$363&gt;(C3931-1)*12,Paths!$E$363&lt;=C3931*12)),Paths!$H$363,0),"n.a."))</f>
        <v>0</v>
      </c>
      <c r="K3931" s="16">
        <f>IF(NOT(Paths!$C$363=1),0,IF(Paths!$P$363="Complete",IF(IF(Paths!$O$363=0,C3931=0,AND(C3931&gt;0,Paths!$O$363&gt;(C3931-1)*12,Paths!$O$363&lt;=C3931*12)),Paths!$N$363,0),"n.a."))</f>
        <v>0</v>
      </c>
      <c r="L3931" s="16">
        <f>IF(NOT(Paths!$C$363=1),0,IF(Paths!$P$363="Complete",IF(C3931=10,Paths!$I$363,0),"n.a."))</f>
        <v>0</v>
      </c>
      <c r="M3931" s="16">
        <f>IF(NOT(Paths!$C$363=1),0,IF(Paths!$P$363="Complete",IF(AND(Paths!$D$363="EV",Paths!$E$363&lt;120,Paths!$E$363+'Operating costs'!$B$65&gt;Paths!$E$363,Paths!$E$363+'Operating costs'!$B$65&lt;=120,IF(Paths!$E$363+'Operating costs'!$B$65=0,C3931=0,AND(C3931&gt;0,Paths!$E$363+'Operating costs'!$B$65&gt;(C3931-1)*12,Paths!$E$363+'Operating costs'!$B$65&lt;=C3931*12))),'Operating costs'!$B$64,0)+IF(AND('Operating costs'!$B$67&gt;0,'Operating costs'!$B$67&lt;=120,OR(Paths!$D$363="ICE",'Operating costs'!$B$67&lt;=Paths!$E$363),IF('Operating costs'!$B$67=0,C3931=0,AND(C3931&gt;0,'Operating costs'!$B$67&gt;(C3931-1)*12,'Operating costs'!$B$67&lt;=C3931*12))),'Operating costs'!$B$66,0),"n.a."))</f>
        <v>0</v>
      </c>
      <c r="N3931" s="16">
        <f>IF(NOT(Paths!$C$363=1),0,IF(Paths!$P$363="Complete",SUM(G3931:I3931)-J3931-K3931-L3931+M3931+IF(C3931=0,Paths!$F$363,0)+IF(IF(Paths!$E$363=0,C3931=0,AND(C3931&gt;0,Paths!$E$363&gt;(C3931-1)*12,Paths!$E$363&lt;=C3931*12)),VLOOKUP(A3931,'Fleet register'!$A$7:$S$106,16,FALSE),0),"n.a."))</f>
        <v>0</v>
      </c>
      <c r="O3931" s="16">
        <f>IF(NOT(Paths!$C$363=1),0,IF(Paths!$P$363="Complete",N3931-IF(C3931=0,Paths!$F$363,0),"n.a."))</f>
        <v>0</v>
      </c>
      <c r="P3931" s="16">
        <f>IF(NOT(Paths!$C$363=1),0,IF(Paths!$P$363="Complete",O3931+L3931,"n.a."))</f>
        <v>0</v>
      </c>
      <c r="Q3931" s="16">
        <f>IF(NOT(Paths!$C$363=1),0,IF(Paths!$P$363="Complete",N3931*(1+'Operating costs'!$B$54)^-C3931,"n.a."))</f>
        <v>0</v>
      </c>
      <c r="R3931" s="16">
        <f>IF(NOT(Paths!$C$363=1),0,IF(Paths!$P$363="Complete",IF(AND(C3931=0,Paths!$E$363=0),I3931-J3931-K3931+VLOOKUP(A3931,'Fleet register'!$A$7:$S$106,15,FALSE)+VLOOKUP(A3931,'Fleet register'!$A$7:$S$106,16,FALSE),0),"n.a."))</f>
        <v>0</v>
      </c>
      <c r="S3931" s="1">
        <f>IF(NOT(Paths!$C$363=1),0,IF(Paths!$P$363="Complete",IF(C3931=0,0,Paths!$S$363*Paths!$R$363),"n.a."))</f>
        <v>0</v>
      </c>
      <c r="T3931" s="1">
        <f>IF(NOT(Paths!$C$363=1),0,IF(Paths!$P$363="Complete",IF(C3931=0,0,VLOOKUP(A3931,'Fleet register'!$A$7:$S$106,9,FALSE)*Paths!$R$363),"n.a."))</f>
        <v>0</v>
      </c>
    </row>
    <row r="3932" spans="1:20" ht="24" customHeight="1">
      <c r="A3932" s="1" t="str">
        <f>Paths!$A$363</f>
        <v>T090</v>
      </c>
      <c r="B3932" s="1">
        <f>Paths!$B$363</f>
        <v>0</v>
      </c>
      <c r="C3932" s="1">
        <v>9</v>
      </c>
      <c r="D3932" s="1">
        <v>363</v>
      </c>
      <c r="E3932" s="1">
        <f>IF(OR(Paths!$C$363=0,C3932=0),0,MAX(0,MIN(C3932*12,Paths!$E$363)-(C3932-1)*12))</f>
        <v>0</v>
      </c>
      <c r="F3932" s="1">
        <f>IF(OR(Paths!$C$363=0,C3932=0),0,12-E3932)</f>
        <v>0</v>
      </c>
      <c r="G3932" s="16">
        <f>IF(NOT(Paths!$C$363=1),0,IF(Paths!$P$363="Complete",E3932/12*(Paths!$J$363*(1+'Operating costs'!$B$51)^MAX(0,C3932-1)+Paths!$K$363*(1+'Operating costs'!$B$53)^MAX(0,C3932-1)),"n.a."))</f>
        <v>0</v>
      </c>
      <c r="H3932" s="16">
        <f>IF(NOT(Paths!$C$363=1),0,IF(Paths!$P$363="Complete",F3932/12*(Paths!$L$363*(1+IF(Paths!$D$363="EV",'Operating costs'!$B$52,'Operating costs'!$B$51))^MAX(0,C3932-1)+Paths!$M$363*(1+'Operating costs'!$B$53)^MAX(0,C3932-1)),"n.a."))</f>
        <v>0</v>
      </c>
      <c r="I3932" s="16">
        <f>IF(NOT(Paths!$C$363=1),0,IF(Paths!$P$363="Complete",IF(IF(Paths!$E$363=0,C3932=0,AND(C3932&gt;0,Paths!$E$363&gt;(C3932-1)*12,Paths!$E$363&lt;=C3932*12)),Paths!$G$363,0),"n.a."))</f>
        <v>0</v>
      </c>
      <c r="J3932" s="16">
        <f>IF(NOT(Paths!$C$363=1),0,IF(Paths!$P$363="Complete",IF(IF(Paths!$E$363=0,C3932=0,AND(C3932&gt;0,Paths!$E$363&gt;(C3932-1)*12,Paths!$E$363&lt;=C3932*12)),Paths!$H$363,0),"n.a."))</f>
        <v>0</v>
      </c>
      <c r="K3932" s="16">
        <f>IF(NOT(Paths!$C$363=1),0,IF(Paths!$P$363="Complete",IF(IF(Paths!$O$363=0,C3932=0,AND(C3932&gt;0,Paths!$O$363&gt;(C3932-1)*12,Paths!$O$363&lt;=C3932*12)),Paths!$N$363,0),"n.a."))</f>
        <v>0</v>
      </c>
      <c r="L3932" s="16">
        <f>IF(NOT(Paths!$C$363=1),0,IF(Paths!$P$363="Complete",IF(C3932=10,Paths!$I$363,0),"n.a."))</f>
        <v>0</v>
      </c>
      <c r="M3932" s="16">
        <f>IF(NOT(Paths!$C$363=1),0,IF(Paths!$P$363="Complete",IF(AND(Paths!$D$363="EV",Paths!$E$363&lt;120,Paths!$E$363+'Operating costs'!$B$65&gt;Paths!$E$363,Paths!$E$363+'Operating costs'!$B$65&lt;=120,IF(Paths!$E$363+'Operating costs'!$B$65=0,C3932=0,AND(C3932&gt;0,Paths!$E$363+'Operating costs'!$B$65&gt;(C3932-1)*12,Paths!$E$363+'Operating costs'!$B$65&lt;=C3932*12))),'Operating costs'!$B$64,0)+IF(AND('Operating costs'!$B$67&gt;0,'Operating costs'!$B$67&lt;=120,OR(Paths!$D$363="ICE",'Operating costs'!$B$67&lt;=Paths!$E$363),IF('Operating costs'!$B$67=0,C3932=0,AND(C3932&gt;0,'Operating costs'!$B$67&gt;(C3932-1)*12,'Operating costs'!$B$67&lt;=C3932*12))),'Operating costs'!$B$66,0),"n.a."))</f>
        <v>0</v>
      </c>
      <c r="N3932" s="16">
        <f>IF(NOT(Paths!$C$363=1),0,IF(Paths!$P$363="Complete",SUM(G3932:I3932)-J3932-K3932-L3932+M3932+IF(C3932=0,Paths!$F$363,0)+IF(IF(Paths!$E$363=0,C3932=0,AND(C3932&gt;0,Paths!$E$363&gt;(C3932-1)*12,Paths!$E$363&lt;=C3932*12)),VLOOKUP(A3932,'Fleet register'!$A$7:$S$106,16,FALSE),0),"n.a."))</f>
        <v>0</v>
      </c>
      <c r="O3932" s="16">
        <f>IF(NOT(Paths!$C$363=1),0,IF(Paths!$P$363="Complete",N3932-IF(C3932=0,Paths!$F$363,0),"n.a."))</f>
        <v>0</v>
      </c>
      <c r="P3932" s="16">
        <f>IF(NOT(Paths!$C$363=1),0,IF(Paths!$P$363="Complete",O3932+L3932,"n.a."))</f>
        <v>0</v>
      </c>
      <c r="Q3932" s="16">
        <f>IF(NOT(Paths!$C$363=1),0,IF(Paths!$P$363="Complete",N3932*(1+'Operating costs'!$B$54)^-C3932,"n.a."))</f>
        <v>0</v>
      </c>
      <c r="R3932" s="16">
        <f>IF(NOT(Paths!$C$363=1),0,IF(Paths!$P$363="Complete",IF(AND(C3932=0,Paths!$E$363=0),I3932-J3932-K3932+VLOOKUP(A3932,'Fleet register'!$A$7:$S$106,15,FALSE)+VLOOKUP(A3932,'Fleet register'!$A$7:$S$106,16,FALSE),0),"n.a."))</f>
        <v>0</v>
      </c>
      <c r="S3932" s="1">
        <f>IF(NOT(Paths!$C$363=1),0,IF(Paths!$P$363="Complete",IF(C3932=0,0,Paths!$S$363*Paths!$R$363),"n.a."))</f>
        <v>0</v>
      </c>
      <c r="T3932" s="1">
        <f>IF(NOT(Paths!$C$363=1),0,IF(Paths!$P$363="Complete",IF(C3932=0,0,VLOOKUP(A3932,'Fleet register'!$A$7:$S$106,9,FALSE)*Paths!$R$363),"n.a."))</f>
        <v>0</v>
      </c>
    </row>
    <row r="3933" spans="1:20" ht="24" customHeight="1">
      <c r="A3933" s="1" t="str">
        <f>Paths!$A$363</f>
        <v>T090</v>
      </c>
      <c r="B3933" s="1">
        <f>Paths!$B$363</f>
        <v>0</v>
      </c>
      <c r="C3933" s="1">
        <v>10</v>
      </c>
      <c r="D3933" s="1">
        <v>363</v>
      </c>
      <c r="E3933" s="1">
        <f>IF(OR(Paths!$C$363=0,C3933=0),0,MAX(0,MIN(C3933*12,Paths!$E$363)-(C3933-1)*12))</f>
        <v>0</v>
      </c>
      <c r="F3933" s="1">
        <f>IF(OR(Paths!$C$363=0,C3933=0),0,12-E3933)</f>
        <v>0</v>
      </c>
      <c r="G3933" s="16">
        <f>IF(NOT(Paths!$C$363=1),0,IF(Paths!$P$363="Complete",E3933/12*(Paths!$J$363*(1+'Operating costs'!$B$51)^MAX(0,C3933-1)+Paths!$K$363*(1+'Operating costs'!$B$53)^MAX(0,C3933-1)),"n.a."))</f>
        <v>0</v>
      </c>
      <c r="H3933" s="16">
        <f>IF(NOT(Paths!$C$363=1),0,IF(Paths!$P$363="Complete",F3933/12*(Paths!$L$363*(1+IF(Paths!$D$363="EV",'Operating costs'!$B$52,'Operating costs'!$B$51))^MAX(0,C3933-1)+Paths!$M$363*(1+'Operating costs'!$B$53)^MAX(0,C3933-1)),"n.a."))</f>
        <v>0</v>
      </c>
      <c r="I3933" s="16">
        <f>IF(NOT(Paths!$C$363=1),0,IF(Paths!$P$363="Complete",IF(IF(Paths!$E$363=0,C3933=0,AND(C3933&gt;0,Paths!$E$363&gt;(C3933-1)*12,Paths!$E$363&lt;=C3933*12)),Paths!$G$363,0),"n.a."))</f>
        <v>0</v>
      </c>
      <c r="J3933" s="16">
        <f>IF(NOT(Paths!$C$363=1),0,IF(Paths!$P$363="Complete",IF(IF(Paths!$E$363=0,C3933=0,AND(C3933&gt;0,Paths!$E$363&gt;(C3933-1)*12,Paths!$E$363&lt;=C3933*12)),Paths!$H$363,0),"n.a."))</f>
        <v>0</v>
      </c>
      <c r="K3933" s="16">
        <f>IF(NOT(Paths!$C$363=1),0,IF(Paths!$P$363="Complete",IF(IF(Paths!$O$363=0,C3933=0,AND(C3933&gt;0,Paths!$O$363&gt;(C3933-1)*12,Paths!$O$363&lt;=C3933*12)),Paths!$N$363,0),"n.a."))</f>
        <v>0</v>
      </c>
      <c r="L3933" s="16">
        <f>IF(NOT(Paths!$C$363=1),0,IF(Paths!$P$363="Complete",IF(C3933=10,Paths!$I$363,0),"n.a."))</f>
        <v>0</v>
      </c>
      <c r="M3933" s="16">
        <f>IF(NOT(Paths!$C$363=1),0,IF(Paths!$P$363="Complete",IF(AND(Paths!$D$363="EV",Paths!$E$363&lt;120,Paths!$E$363+'Operating costs'!$B$65&gt;Paths!$E$363,Paths!$E$363+'Operating costs'!$B$65&lt;=120,IF(Paths!$E$363+'Operating costs'!$B$65=0,C3933=0,AND(C3933&gt;0,Paths!$E$363+'Operating costs'!$B$65&gt;(C3933-1)*12,Paths!$E$363+'Operating costs'!$B$65&lt;=C3933*12))),'Operating costs'!$B$64,0)+IF(AND('Operating costs'!$B$67&gt;0,'Operating costs'!$B$67&lt;=120,OR(Paths!$D$363="ICE",'Operating costs'!$B$67&lt;=Paths!$E$363),IF('Operating costs'!$B$67=0,C3933=0,AND(C3933&gt;0,'Operating costs'!$B$67&gt;(C3933-1)*12,'Operating costs'!$B$67&lt;=C3933*12))),'Operating costs'!$B$66,0),"n.a."))</f>
        <v>0</v>
      </c>
      <c r="N3933" s="16">
        <f>IF(NOT(Paths!$C$363=1),0,IF(Paths!$P$363="Complete",SUM(G3933:I3933)-J3933-K3933-L3933+M3933+IF(C3933=0,Paths!$F$363,0)+IF(IF(Paths!$E$363=0,C3933=0,AND(C3933&gt;0,Paths!$E$363&gt;(C3933-1)*12,Paths!$E$363&lt;=C3933*12)),VLOOKUP(A3933,'Fleet register'!$A$7:$S$106,16,FALSE),0),"n.a."))</f>
        <v>0</v>
      </c>
      <c r="O3933" s="16">
        <f>IF(NOT(Paths!$C$363=1),0,IF(Paths!$P$363="Complete",N3933-IF(C3933=0,Paths!$F$363,0),"n.a."))</f>
        <v>0</v>
      </c>
      <c r="P3933" s="16">
        <f>IF(NOT(Paths!$C$363=1),0,IF(Paths!$P$363="Complete",O3933+L3933,"n.a."))</f>
        <v>0</v>
      </c>
      <c r="Q3933" s="16">
        <f>IF(NOT(Paths!$C$363=1),0,IF(Paths!$P$363="Complete",N3933*(1+'Operating costs'!$B$54)^-C3933,"n.a."))</f>
        <v>0</v>
      </c>
      <c r="R3933" s="16">
        <f>IF(NOT(Paths!$C$363=1),0,IF(Paths!$P$363="Complete",IF(AND(C3933=0,Paths!$E$363=0),I3933-J3933-K3933+VLOOKUP(A3933,'Fleet register'!$A$7:$S$106,15,FALSE)+VLOOKUP(A3933,'Fleet register'!$A$7:$S$106,16,FALSE),0),"n.a."))</f>
        <v>0</v>
      </c>
      <c r="S3933" s="1">
        <f>IF(NOT(Paths!$C$363=1),0,IF(Paths!$P$363="Complete",IF(C3933=0,0,Paths!$S$363*Paths!$R$363),"n.a."))</f>
        <v>0</v>
      </c>
      <c r="T3933" s="1">
        <f>IF(NOT(Paths!$C$363=1),0,IF(Paths!$P$363="Complete",IF(C3933=0,0,VLOOKUP(A3933,'Fleet register'!$A$7:$S$106,9,FALSE)*Paths!$R$363),"n.a."))</f>
        <v>0</v>
      </c>
    </row>
    <row r="3934" spans="1:20" ht="24" customHeight="1">
      <c r="A3934" s="1" t="str">
        <f>Paths!$A$364</f>
        <v>T090</v>
      </c>
      <c r="B3934" s="1">
        <f>Paths!$B$364</f>
        <v>1</v>
      </c>
      <c r="C3934" s="1">
        <v>0</v>
      </c>
      <c r="D3934" s="1">
        <v>364</v>
      </c>
      <c r="E3934" s="1">
        <f>IF(OR(Paths!$C$364=0,C3934=0),0,MAX(0,MIN(C3934*12,Paths!$E$364)-(C3934-1)*12))</f>
        <v>0</v>
      </c>
      <c r="F3934" s="1">
        <f>IF(OR(Paths!$C$364=0,C3934=0),0,12-E3934)</f>
        <v>0</v>
      </c>
      <c r="G3934" s="16">
        <f>IF(NOT(Paths!$C$364=1),0,IF(Paths!$P$364="Complete",E3934/12*(Paths!$J$364*(1+'Operating costs'!$B$51)^MAX(0,C3934-1)+Paths!$K$364*(1+'Operating costs'!$B$53)^MAX(0,C3934-1)),"n.a."))</f>
        <v>0</v>
      </c>
      <c r="H3934" s="16">
        <f>IF(NOT(Paths!$C$364=1),0,IF(Paths!$P$364="Complete",F3934/12*(Paths!$L$364*(1+IF(Paths!$D$364="EV",'Operating costs'!$B$52,'Operating costs'!$B$51))^MAX(0,C3934-1)+Paths!$M$364*(1+'Operating costs'!$B$53)^MAX(0,C3934-1)),"n.a."))</f>
        <v>0</v>
      </c>
      <c r="I3934" s="16">
        <f>IF(NOT(Paths!$C$364=1),0,IF(Paths!$P$364="Complete",IF(IF(Paths!$E$364=0,C3934=0,AND(C3934&gt;0,Paths!$E$364&gt;(C3934-1)*12,Paths!$E$364&lt;=C3934*12)),Paths!$G$364,0),"n.a."))</f>
        <v>0</v>
      </c>
      <c r="J3934" s="16">
        <f>IF(NOT(Paths!$C$364=1),0,IF(Paths!$P$364="Complete",IF(IF(Paths!$E$364=0,C3934=0,AND(C3934&gt;0,Paths!$E$364&gt;(C3934-1)*12,Paths!$E$364&lt;=C3934*12)),Paths!$H$364,0),"n.a."))</f>
        <v>0</v>
      </c>
      <c r="K3934" s="16">
        <f>IF(NOT(Paths!$C$364=1),0,IF(Paths!$P$364="Complete",IF(IF(Paths!$O$364=0,C3934=0,AND(C3934&gt;0,Paths!$O$364&gt;(C3934-1)*12,Paths!$O$364&lt;=C3934*12)),Paths!$N$364,0),"n.a."))</f>
        <v>0</v>
      </c>
      <c r="L3934" s="16">
        <f>IF(NOT(Paths!$C$364=1),0,IF(Paths!$P$364="Complete",IF(C3934=10,Paths!$I$364,0),"n.a."))</f>
        <v>0</v>
      </c>
      <c r="M3934" s="16">
        <f>IF(NOT(Paths!$C$364=1),0,IF(Paths!$P$364="Complete",IF(AND(Paths!$D$364="EV",Paths!$E$364&lt;120,Paths!$E$364+'Operating costs'!$B$65&gt;Paths!$E$364,Paths!$E$364+'Operating costs'!$B$65&lt;=120,IF(Paths!$E$364+'Operating costs'!$B$65=0,C3934=0,AND(C3934&gt;0,Paths!$E$364+'Operating costs'!$B$65&gt;(C3934-1)*12,Paths!$E$364+'Operating costs'!$B$65&lt;=C3934*12))),'Operating costs'!$B$64,0)+IF(AND('Operating costs'!$B$67&gt;0,'Operating costs'!$B$67&lt;=120,OR(Paths!$D$364="ICE",'Operating costs'!$B$67&lt;=Paths!$E$364),IF('Operating costs'!$B$67=0,C3934=0,AND(C3934&gt;0,'Operating costs'!$B$67&gt;(C3934-1)*12,'Operating costs'!$B$67&lt;=C3934*12))),'Operating costs'!$B$66,0),"n.a."))</f>
        <v>0</v>
      </c>
      <c r="N3934" s="16">
        <f>IF(NOT(Paths!$C$364=1),0,IF(Paths!$P$364="Complete",SUM(G3934:I3934)-J3934-K3934-L3934+M3934+IF(C3934=0,Paths!$F$364,0)+IF(IF(Paths!$E$364=0,C3934=0,AND(C3934&gt;0,Paths!$E$364&gt;(C3934-1)*12,Paths!$E$364&lt;=C3934*12)),VLOOKUP(A3934,'Fleet register'!$A$7:$S$106,16,FALSE),0),"n.a."))</f>
        <v>0</v>
      </c>
      <c r="O3934" s="16">
        <f>IF(NOT(Paths!$C$364=1),0,IF(Paths!$P$364="Complete",N3934-IF(C3934=0,Paths!$F$364,0),"n.a."))</f>
        <v>0</v>
      </c>
      <c r="P3934" s="16">
        <f>IF(NOT(Paths!$C$364=1),0,IF(Paths!$P$364="Complete",O3934+L3934,"n.a."))</f>
        <v>0</v>
      </c>
      <c r="Q3934" s="16">
        <f>IF(NOT(Paths!$C$364=1),0,IF(Paths!$P$364="Complete",N3934*(1+'Operating costs'!$B$54)^-C3934,"n.a."))</f>
        <v>0</v>
      </c>
      <c r="R3934" s="16">
        <f>IF(NOT(Paths!$C$364=1),0,IF(Paths!$P$364="Complete",IF(AND(C3934=0,Paths!$E$364=0),I3934-J3934-K3934+VLOOKUP(A3934,'Fleet register'!$A$7:$S$106,15,FALSE)+VLOOKUP(A3934,'Fleet register'!$A$7:$S$106,16,FALSE),0),"n.a."))</f>
        <v>0</v>
      </c>
      <c r="S3934" s="1">
        <f>IF(NOT(Paths!$C$364=1),0,IF(Paths!$P$364="Complete",IF(C3934=0,0,Paths!$S$364*Paths!$R$364),"n.a."))</f>
        <v>0</v>
      </c>
      <c r="T3934" s="1">
        <f>IF(NOT(Paths!$C$364=1),0,IF(Paths!$P$364="Complete",IF(C3934=0,0,VLOOKUP(A3934,'Fleet register'!$A$7:$S$106,9,FALSE)*Paths!$R$364),"n.a."))</f>
        <v>0</v>
      </c>
    </row>
    <row r="3935" spans="1:20" ht="24" customHeight="1">
      <c r="A3935" s="1" t="str">
        <f>Paths!$A$364</f>
        <v>T090</v>
      </c>
      <c r="B3935" s="1">
        <f>Paths!$B$364</f>
        <v>1</v>
      </c>
      <c r="C3935" s="1">
        <v>1</v>
      </c>
      <c r="D3935" s="1">
        <v>364</v>
      </c>
      <c r="E3935" s="1">
        <f>IF(OR(Paths!$C$364=0,C3935=0),0,MAX(0,MIN(C3935*12,Paths!$E$364)-(C3935-1)*12))</f>
        <v>0</v>
      </c>
      <c r="F3935" s="1">
        <f>IF(OR(Paths!$C$364=0,C3935=0),0,12-E3935)</f>
        <v>0</v>
      </c>
      <c r="G3935" s="16">
        <f>IF(NOT(Paths!$C$364=1),0,IF(Paths!$P$364="Complete",E3935/12*(Paths!$J$364*(1+'Operating costs'!$B$51)^MAX(0,C3935-1)+Paths!$K$364*(1+'Operating costs'!$B$53)^MAX(0,C3935-1)),"n.a."))</f>
        <v>0</v>
      </c>
      <c r="H3935" s="16">
        <f>IF(NOT(Paths!$C$364=1),0,IF(Paths!$P$364="Complete",F3935/12*(Paths!$L$364*(1+IF(Paths!$D$364="EV",'Operating costs'!$B$52,'Operating costs'!$B$51))^MAX(0,C3935-1)+Paths!$M$364*(1+'Operating costs'!$B$53)^MAX(0,C3935-1)),"n.a."))</f>
        <v>0</v>
      </c>
      <c r="I3935" s="16">
        <f>IF(NOT(Paths!$C$364=1),0,IF(Paths!$P$364="Complete",IF(IF(Paths!$E$364=0,C3935=0,AND(C3935&gt;0,Paths!$E$364&gt;(C3935-1)*12,Paths!$E$364&lt;=C3935*12)),Paths!$G$364,0),"n.a."))</f>
        <v>0</v>
      </c>
      <c r="J3935" s="16">
        <f>IF(NOT(Paths!$C$364=1),0,IF(Paths!$P$364="Complete",IF(IF(Paths!$E$364=0,C3935=0,AND(C3935&gt;0,Paths!$E$364&gt;(C3935-1)*12,Paths!$E$364&lt;=C3935*12)),Paths!$H$364,0),"n.a."))</f>
        <v>0</v>
      </c>
      <c r="K3935" s="16">
        <f>IF(NOT(Paths!$C$364=1),0,IF(Paths!$P$364="Complete",IF(IF(Paths!$O$364=0,C3935=0,AND(C3935&gt;0,Paths!$O$364&gt;(C3935-1)*12,Paths!$O$364&lt;=C3935*12)),Paths!$N$364,0),"n.a."))</f>
        <v>0</v>
      </c>
      <c r="L3935" s="16">
        <f>IF(NOT(Paths!$C$364=1),0,IF(Paths!$P$364="Complete",IF(C3935=10,Paths!$I$364,0),"n.a."))</f>
        <v>0</v>
      </c>
      <c r="M3935" s="16">
        <f>IF(NOT(Paths!$C$364=1),0,IF(Paths!$P$364="Complete",IF(AND(Paths!$D$364="EV",Paths!$E$364&lt;120,Paths!$E$364+'Operating costs'!$B$65&gt;Paths!$E$364,Paths!$E$364+'Operating costs'!$B$65&lt;=120,IF(Paths!$E$364+'Operating costs'!$B$65=0,C3935=0,AND(C3935&gt;0,Paths!$E$364+'Operating costs'!$B$65&gt;(C3935-1)*12,Paths!$E$364+'Operating costs'!$B$65&lt;=C3935*12))),'Operating costs'!$B$64,0)+IF(AND('Operating costs'!$B$67&gt;0,'Operating costs'!$B$67&lt;=120,OR(Paths!$D$364="ICE",'Operating costs'!$B$67&lt;=Paths!$E$364),IF('Operating costs'!$B$67=0,C3935=0,AND(C3935&gt;0,'Operating costs'!$B$67&gt;(C3935-1)*12,'Operating costs'!$B$67&lt;=C3935*12))),'Operating costs'!$B$66,0),"n.a."))</f>
        <v>0</v>
      </c>
      <c r="N3935" s="16">
        <f>IF(NOT(Paths!$C$364=1),0,IF(Paths!$P$364="Complete",SUM(G3935:I3935)-J3935-K3935-L3935+M3935+IF(C3935=0,Paths!$F$364,0)+IF(IF(Paths!$E$364=0,C3935=0,AND(C3935&gt;0,Paths!$E$364&gt;(C3935-1)*12,Paths!$E$364&lt;=C3935*12)),VLOOKUP(A3935,'Fleet register'!$A$7:$S$106,16,FALSE),0),"n.a."))</f>
        <v>0</v>
      </c>
      <c r="O3935" s="16">
        <f>IF(NOT(Paths!$C$364=1),0,IF(Paths!$P$364="Complete",N3935-IF(C3935=0,Paths!$F$364,0),"n.a."))</f>
        <v>0</v>
      </c>
      <c r="P3935" s="16">
        <f>IF(NOT(Paths!$C$364=1),0,IF(Paths!$P$364="Complete",O3935+L3935,"n.a."))</f>
        <v>0</v>
      </c>
      <c r="Q3935" s="16">
        <f>IF(NOT(Paths!$C$364=1),0,IF(Paths!$P$364="Complete",N3935*(1+'Operating costs'!$B$54)^-C3935,"n.a."))</f>
        <v>0</v>
      </c>
      <c r="R3935" s="16">
        <f>IF(NOT(Paths!$C$364=1),0,IF(Paths!$P$364="Complete",IF(AND(C3935=0,Paths!$E$364=0),I3935-J3935-K3935+VLOOKUP(A3935,'Fleet register'!$A$7:$S$106,15,FALSE)+VLOOKUP(A3935,'Fleet register'!$A$7:$S$106,16,FALSE),0),"n.a."))</f>
        <v>0</v>
      </c>
      <c r="S3935" s="1">
        <f>IF(NOT(Paths!$C$364=1),0,IF(Paths!$P$364="Complete",IF(C3935=0,0,Paths!$S$364*Paths!$R$364),"n.a."))</f>
        <v>0</v>
      </c>
      <c r="T3935" s="1">
        <f>IF(NOT(Paths!$C$364=1),0,IF(Paths!$P$364="Complete",IF(C3935=0,0,VLOOKUP(A3935,'Fleet register'!$A$7:$S$106,9,FALSE)*Paths!$R$364),"n.a."))</f>
        <v>0</v>
      </c>
    </row>
    <row r="3936" spans="1:20" ht="24" customHeight="1">
      <c r="A3936" s="1" t="str">
        <f>Paths!$A$364</f>
        <v>T090</v>
      </c>
      <c r="B3936" s="1">
        <f>Paths!$B$364</f>
        <v>1</v>
      </c>
      <c r="C3936" s="1">
        <v>2</v>
      </c>
      <c r="D3936" s="1">
        <v>364</v>
      </c>
      <c r="E3936" s="1">
        <f>IF(OR(Paths!$C$364=0,C3936=0),0,MAX(0,MIN(C3936*12,Paths!$E$364)-(C3936-1)*12))</f>
        <v>0</v>
      </c>
      <c r="F3936" s="1">
        <f>IF(OR(Paths!$C$364=0,C3936=0),0,12-E3936)</f>
        <v>0</v>
      </c>
      <c r="G3936" s="16">
        <f>IF(NOT(Paths!$C$364=1),0,IF(Paths!$P$364="Complete",E3936/12*(Paths!$J$364*(1+'Operating costs'!$B$51)^MAX(0,C3936-1)+Paths!$K$364*(1+'Operating costs'!$B$53)^MAX(0,C3936-1)),"n.a."))</f>
        <v>0</v>
      </c>
      <c r="H3936" s="16">
        <f>IF(NOT(Paths!$C$364=1),0,IF(Paths!$P$364="Complete",F3936/12*(Paths!$L$364*(1+IF(Paths!$D$364="EV",'Operating costs'!$B$52,'Operating costs'!$B$51))^MAX(0,C3936-1)+Paths!$M$364*(1+'Operating costs'!$B$53)^MAX(0,C3936-1)),"n.a."))</f>
        <v>0</v>
      </c>
      <c r="I3936" s="16">
        <f>IF(NOT(Paths!$C$364=1),0,IF(Paths!$P$364="Complete",IF(IF(Paths!$E$364=0,C3936=0,AND(C3936&gt;0,Paths!$E$364&gt;(C3936-1)*12,Paths!$E$364&lt;=C3936*12)),Paths!$G$364,0),"n.a."))</f>
        <v>0</v>
      </c>
      <c r="J3936" s="16">
        <f>IF(NOT(Paths!$C$364=1),0,IF(Paths!$P$364="Complete",IF(IF(Paths!$E$364=0,C3936=0,AND(C3936&gt;0,Paths!$E$364&gt;(C3936-1)*12,Paths!$E$364&lt;=C3936*12)),Paths!$H$364,0),"n.a."))</f>
        <v>0</v>
      </c>
      <c r="K3936" s="16">
        <f>IF(NOT(Paths!$C$364=1),0,IF(Paths!$P$364="Complete",IF(IF(Paths!$O$364=0,C3936=0,AND(C3936&gt;0,Paths!$O$364&gt;(C3936-1)*12,Paths!$O$364&lt;=C3936*12)),Paths!$N$364,0),"n.a."))</f>
        <v>0</v>
      </c>
      <c r="L3936" s="16">
        <f>IF(NOT(Paths!$C$364=1),0,IF(Paths!$P$364="Complete",IF(C3936=10,Paths!$I$364,0),"n.a."))</f>
        <v>0</v>
      </c>
      <c r="M3936" s="16">
        <f>IF(NOT(Paths!$C$364=1),0,IF(Paths!$P$364="Complete",IF(AND(Paths!$D$364="EV",Paths!$E$364&lt;120,Paths!$E$364+'Operating costs'!$B$65&gt;Paths!$E$364,Paths!$E$364+'Operating costs'!$B$65&lt;=120,IF(Paths!$E$364+'Operating costs'!$B$65=0,C3936=0,AND(C3936&gt;0,Paths!$E$364+'Operating costs'!$B$65&gt;(C3936-1)*12,Paths!$E$364+'Operating costs'!$B$65&lt;=C3936*12))),'Operating costs'!$B$64,0)+IF(AND('Operating costs'!$B$67&gt;0,'Operating costs'!$B$67&lt;=120,OR(Paths!$D$364="ICE",'Operating costs'!$B$67&lt;=Paths!$E$364),IF('Operating costs'!$B$67=0,C3936=0,AND(C3936&gt;0,'Operating costs'!$B$67&gt;(C3936-1)*12,'Operating costs'!$B$67&lt;=C3936*12))),'Operating costs'!$B$66,0),"n.a."))</f>
        <v>0</v>
      </c>
      <c r="N3936" s="16">
        <f>IF(NOT(Paths!$C$364=1),0,IF(Paths!$P$364="Complete",SUM(G3936:I3936)-J3936-K3936-L3936+M3936+IF(C3936=0,Paths!$F$364,0)+IF(IF(Paths!$E$364=0,C3936=0,AND(C3936&gt;0,Paths!$E$364&gt;(C3936-1)*12,Paths!$E$364&lt;=C3936*12)),VLOOKUP(A3936,'Fleet register'!$A$7:$S$106,16,FALSE),0),"n.a."))</f>
        <v>0</v>
      </c>
      <c r="O3936" s="16">
        <f>IF(NOT(Paths!$C$364=1),0,IF(Paths!$P$364="Complete",N3936-IF(C3936=0,Paths!$F$364,0),"n.a."))</f>
        <v>0</v>
      </c>
      <c r="P3936" s="16">
        <f>IF(NOT(Paths!$C$364=1),0,IF(Paths!$P$364="Complete",O3936+L3936,"n.a."))</f>
        <v>0</v>
      </c>
      <c r="Q3936" s="16">
        <f>IF(NOT(Paths!$C$364=1),0,IF(Paths!$P$364="Complete",N3936*(1+'Operating costs'!$B$54)^-C3936,"n.a."))</f>
        <v>0</v>
      </c>
      <c r="R3936" s="16">
        <f>IF(NOT(Paths!$C$364=1),0,IF(Paths!$P$364="Complete",IF(AND(C3936=0,Paths!$E$364=0),I3936-J3936-K3936+VLOOKUP(A3936,'Fleet register'!$A$7:$S$106,15,FALSE)+VLOOKUP(A3936,'Fleet register'!$A$7:$S$106,16,FALSE),0),"n.a."))</f>
        <v>0</v>
      </c>
      <c r="S3936" s="1">
        <f>IF(NOT(Paths!$C$364=1),0,IF(Paths!$P$364="Complete",IF(C3936=0,0,Paths!$S$364*Paths!$R$364),"n.a."))</f>
        <v>0</v>
      </c>
      <c r="T3936" s="1">
        <f>IF(NOT(Paths!$C$364=1),0,IF(Paths!$P$364="Complete",IF(C3936=0,0,VLOOKUP(A3936,'Fleet register'!$A$7:$S$106,9,FALSE)*Paths!$R$364),"n.a."))</f>
        <v>0</v>
      </c>
    </row>
    <row r="3937" spans="1:20" ht="24" customHeight="1">
      <c r="A3937" s="1" t="str">
        <f>Paths!$A$364</f>
        <v>T090</v>
      </c>
      <c r="B3937" s="1">
        <f>Paths!$B$364</f>
        <v>1</v>
      </c>
      <c r="C3937" s="1">
        <v>3</v>
      </c>
      <c r="D3937" s="1">
        <v>364</v>
      </c>
      <c r="E3937" s="1">
        <f>IF(OR(Paths!$C$364=0,C3937=0),0,MAX(0,MIN(C3937*12,Paths!$E$364)-(C3937-1)*12))</f>
        <v>0</v>
      </c>
      <c r="F3937" s="1">
        <f>IF(OR(Paths!$C$364=0,C3937=0),0,12-E3937)</f>
        <v>0</v>
      </c>
      <c r="G3937" s="16">
        <f>IF(NOT(Paths!$C$364=1),0,IF(Paths!$P$364="Complete",E3937/12*(Paths!$J$364*(1+'Operating costs'!$B$51)^MAX(0,C3937-1)+Paths!$K$364*(1+'Operating costs'!$B$53)^MAX(0,C3937-1)),"n.a."))</f>
        <v>0</v>
      </c>
      <c r="H3937" s="16">
        <f>IF(NOT(Paths!$C$364=1),0,IF(Paths!$P$364="Complete",F3937/12*(Paths!$L$364*(1+IF(Paths!$D$364="EV",'Operating costs'!$B$52,'Operating costs'!$B$51))^MAX(0,C3937-1)+Paths!$M$364*(1+'Operating costs'!$B$53)^MAX(0,C3937-1)),"n.a."))</f>
        <v>0</v>
      </c>
      <c r="I3937" s="16">
        <f>IF(NOT(Paths!$C$364=1),0,IF(Paths!$P$364="Complete",IF(IF(Paths!$E$364=0,C3937=0,AND(C3937&gt;0,Paths!$E$364&gt;(C3937-1)*12,Paths!$E$364&lt;=C3937*12)),Paths!$G$364,0),"n.a."))</f>
        <v>0</v>
      </c>
      <c r="J3937" s="16">
        <f>IF(NOT(Paths!$C$364=1),0,IF(Paths!$P$364="Complete",IF(IF(Paths!$E$364=0,C3937=0,AND(C3937&gt;0,Paths!$E$364&gt;(C3937-1)*12,Paths!$E$364&lt;=C3937*12)),Paths!$H$364,0),"n.a."))</f>
        <v>0</v>
      </c>
      <c r="K3937" s="16">
        <f>IF(NOT(Paths!$C$364=1),0,IF(Paths!$P$364="Complete",IF(IF(Paths!$O$364=0,C3937=0,AND(C3937&gt;0,Paths!$O$364&gt;(C3937-1)*12,Paths!$O$364&lt;=C3937*12)),Paths!$N$364,0),"n.a."))</f>
        <v>0</v>
      </c>
      <c r="L3937" s="16">
        <f>IF(NOT(Paths!$C$364=1),0,IF(Paths!$P$364="Complete",IF(C3937=10,Paths!$I$364,0),"n.a."))</f>
        <v>0</v>
      </c>
      <c r="M3937" s="16">
        <f>IF(NOT(Paths!$C$364=1),0,IF(Paths!$P$364="Complete",IF(AND(Paths!$D$364="EV",Paths!$E$364&lt;120,Paths!$E$364+'Operating costs'!$B$65&gt;Paths!$E$364,Paths!$E$364+'Operating costs'!$B$65&lt;=120,IF(Paths!$E$364+'Operating costs'!$B$65=0,C3937=0,AND(C3937&gt;0,Paths!$E$364+'Operating costs'!$B$65&gt;(C3937-1)*12,Paths!$E$364+'Operating costs'!$B$65&lt;=C3937*12))),'Operating costs'!$B$64,0)+IF(AND('Operating costs'!$B$67&gt;0,'Operating costs'!$B$67&lt;=120,OR(Paths!$D$364="ICE",'Operating costs'!$B$67&lt;=Paths!$E$364),IF('Operating costs'!$B$67=0,C3937=0,AND(C3937&gt;0,'Operating costs'!$B$67&gt;(C3937-1)*12,'Operating costs'!$B$67&lt;=C3937*12))),'Operating costs'!$B$66,0),"n.a."))</f>
        <v>0</v>
      </c>
      <c r="N3937" s="16">
        <f>IF(NOT(Paths!$C$364=1),0,IF(Paths!$P$364="Complete",SUM(G3937:I3937)-J3937-K3937-L3937+M3937+IF(C3937=0,Paths!$F$364,0)+IF(IF(Paths!$E$364=0,C3937=0,AND(C3937&gt;0,Paths!$E$364&gt;(C3937-1)*12,Paths!$E$364&lt;=C3937*12)),VLOOKUP(A3937,'Fleet register'!$A$7:$S$106,16,FALSE),0),"n.a."))</f>
        <v>0</v>
      </c>
      <c r="O3937" s="16">
        <f>IF(NOT(Paths!$C$364=1),0,IF(Paths!$P$364="Complete",N3937-IF(C3937=0,Paths!$F$364,0),"n.a."))</f>
        <v>0</v>
      </c>
      <c r="P3937" s="16">
        <f>IF(NOT(Paths!$C$364=1),0,IF(Paths!$P$364="Complete",O3937+L3937,"n.a."))</f>
        <v>0</v>
      </c>
      <c r="Q3937" s="16">
        <f>IF(NOT(Paths!$C$364=1),0,IF(Paths!$P$364="Complete",N3937*(1+'Operating costs'!$B$54)^-C3937,"n.a."))</f>
        <v>0</v>
      </c>
      <c r="R3937" s="16">
        <f>IF(NOT(Paths!$C$364=1),0,IF(Paths!$P$364="Complete",IF(AND(C3937=0,Paths!$E$364=0),I3937-J3937-K3937+VLOOKUP(A3937,'Fleet register'!$A$7:$S$106,15,FALSE)+VLOOKUP(A3937,'Fleet register'!$A$7:$S$106,16,FALSE),0),"n.a."))</f>
        <v>0</v>
      </c>
      <c r="S3937" s="1">
        <f>IF(NOT(Paths!$C$364=1),0,IF(Paths!$P$364="Complete",IF(C3937=0,0,Paths!$S$364*Paths!$R$364),"n.a."))</f>
        <v>0</v>
      </c>
      <c r="T3937" s="1">
        <f>IF(NOT(Paths!$C$364=1),0,IF(Paths!$P$364="Complete",IF(C3937=0,0,VLOOKUP(A3937,'Fleet register'!$A$7:$S$106,9,FALSE)*Paths!$R$364),"n.a."))</f>
        <v>0</v>
      </c>
    </row>
    <row r="3938" spans="1:20" ht="24" customHeight="1">
      <c r="A3938" s="1" t="str">
        <f>Paths!$A$364</f>
        <v>T090</v>
      </c>
      <c r="B3938" s="1">
        <f>Paths!$B$364</f>
        <v>1</v>
      </c>
      <c r="C3938" s="1">
        <v>4</v>
      </c>
      <c r="D3938" s="1">
        <v>364</v>
      </c>
      <c r="E3938" s="1">
        <f>IF(OR(Paths!$C$364=0,C3938=0),0,MAX(0,MIN(C3938*12,Paths!$E$364)-(C3938-1)*12))</f>
        <v>0</v>
      </c>
      <c r="F3938" s="1">
        <f>IF(OR(Paths!$C$364=0,C3938=0),0,12-E3938)</f>
        <v>0</v>
      </c>
      <c r="G3938" s="16">
        <f>IF(NOT(Paths!$C$364=1),0,IF(Paths!$P$364="Complete",E3938/12*(Paths!$J$364*(1+'Operating costs'!$B$51)^MAX(0,C3938-1)+Paths!$K$364*(1+'Operating costs'!$B$53)^MAX(0,C3938-1)),"n.a."))</f>
        <v>0</v>
      </c>
      <c r="H3938" s="16">
        <f>IF(NOT(Paths!$C$364=1),0,IF(Paths!$P$364="Complete",F3938/12*(Paths!$L$364*(1+IF(Paths!$D$364="EV",'Operating costs'!$B$52,'Operating costs'!$B$51))^MAX(0,C3938-1)+Paths!$M$364*(1+'Operating costs'!$B$53)^MAX(0,C3938-1)),"n.a."))</f>
        <v>0</v>
      </c>
      <c r="I3938" s="16">
        <f>IF(NOT(Paths!$C$364=1),0,IF(Paths!$P$364="Complete",IF(IF(Paths!$E$364=0,C3938=0,AND(C3938&gt;0,Paths!$E$364&gt;(C3938-1)*12,Paths!$E$364&lt;=C3938*12)),Paths!$G$364,0),"n.a."))</f>
        <v>0</v>
      </c>
      <c r="J3938" s="16">
        <f>IF(NOT(Paths!$C$364=1),0,IF(Paths!$P$364="Complete",IF(IF(Paths!$E$364=0,C3938=0,AND(C3938&gt;0,Paths!$E$364&gt;(C3938-1)*12,Paths!$E$364&lt;=C3938*12)),Paths!$H$364,0),"n.a."))</f>
        <v>0</v>
      </c>
      <c r="K3938" s="16">
        <f>IF(NOT(Paths!$C$364=1),0,IF(Paths!$P$364="Complete",IF(IF(Paths!$O$364=0,C3938=0,AND(C3938&gt;0,Paths!$O$364&gt;(C3938-1)*12,Paths!$O$364&lt;=C3938*12)),Paths!$N$364,0),"n.a."))</f>
        <v>0</v>
      </c>
      <c r="L3938" s="16">
        <f>IF(NOT(Paths!$C$364=1),0,IF(Paths!$P$364="Complete",IF(C3938=10,Paths!$I$364,0),"n.a."))</f>
        <v>0</v>
      </c>
      <c r="M3938" s="16">
        <f>IF(NOT(Paths!$C$364=1),0,IF(Paths!$P$364="Complete",IF(AND(Paths!$D$364="EV",Paths!$E$364&lt;120,Paths!$E$364+'Operating costs'!$B$65&gt;Paths!$E$364,Paths!$E$364+'Operating costs'!$B$65&lt;=120,IF(Paths!$E$364+'Operating costs'!$B$65=0,C3938=0,AND(C3938&gt;0,Paths!$E$364+'Operating costs'!$B$65&gt;(C3938-1)*12,Paths!$E$364+'Operating costs'!$B$65&lt;=C3938*12))),'Operating costs'!$B$64,0)+IF(AND('Operating costs'!$B$67&gt;0,'Operating costs'!$B$67&lt;=120,OR(Paths!$D$364="ICE",'Operating costs'!$B$67&lt;=Paths!$E$364),IF('Operating costs'!$B$67=0,C3938=0,AND(C3938&gt;0,'Operating costs'!$B$67&gt;(C3938-1)*12,'Operating costs'!$B$67&lt;=C3938*12))),'Operating costs'!$B$66,0),"n.a."))</f>
        <v>0</v>
      </c>
      <c r="N3938" s="16">
        <f>IF(NOT(Paths!$C$364=1),0,IF(Paths!$P$364="Complete",SUM(G3938:I3938)-J3938-K3938-L3938+M3938+IF(C3938=0,Paths!$F$364,0)+IF(IF(Paths!$E$364=0,C3938=0,AND(C3938&gt;0,Paths!$E$364&gt;(C3938-1)*12,Paths!$E$364&lt;=C3938*12)),VLOOKUP(A3938,'Fleet register'!$A$7:$S$106,16,FALSE),0),"n.a."))</f>
        <v>0</v>
      </c>
      <c r="O3938" s="16">
        <f>IF(NOT(Paths!$C$364=1),0,IF(Paths!$P$364="Complete",N3938-IF(C3938=0,Paths!$F$364,0),"n.a."))</f>
        <v>0</v>
      </c>
      <c r="P3938" s="16">
        <f>IF(NOT(Paths!$C$364=1),0,IF(Paths!$P$364="Complete",O3938+L3938,"n.a."))</f>
        <v>0</v>
      </c>
      <c r="Q3938" s="16">
        <f>IF(NOT(Paths!$C$364=1),0,IF(Paths!$P$364="Complete",N3938*(1+'Operating costs'!$B$54)^-C3938,"n.a."))</f>
        <v>0</v>
      </c>
      <c r="R3938" s="16">
        <f>IF(NOT(Paths!$C$364=1),0,IF(Paths!$P$364="Complete",IF(AND(C3938=0,Paths!$E$364=0),I3938-J3938-K3938+VLOOKUP(A3938,'Fleet register'!$A$7:$S$106,15,FALSE)+VLOOKUP(A3938,'Fleet register'!$A$7:$S$106,16,FALSE),0),"n.a."))</f>
        <v>0</v>
      </c>
      <c r="S3938" s="1">
        <f>IF(NOT(Paths!$C$364=1),0,IF(Paths!$P$364="Complete",IF(C3938=0,0,Paths!$S$364*Paths!$R$364),"n.a."))</f>
        <v>0</v>
      </c>
      <c r="T3938" s="1">
        <f>IF(NOT(Paths!$C$364=1),0,IF(Paths!$P$364="Complete",IF(C3938=0,0,VLOOKUP(A3938,'Fleet register'!$A$7:$S$106,9,FALSE)*Paths!$R$364),"n.a."))</f>
        <v>0</v>
      </c>
    </row>
    <row r="3939" spans="1:20" ht="24" customHeight="1">
      <c r="A3939" s="1" t="str">
        <f>Paths!$A$364</f>
        <v>T090</v>
      </c>
      <c r="B3939" s="1">
        <f>Paths!$B$364</f>
        <v>1</v>
      </c>
      <c r="C3939" s="1">
        <v>5</v>
      </c>
      <c r="D3939" s="1">
        <v>364</v>
      </c>
      <c r="E3939" s="1">
        <f>IF(OR(Paths!$C$364=0,C3939=0),0,MAX(0,MIN(C3939*12,Paths!$E$364)-(C3939-1)*12))</f>
        <v>0</v>
      </c>
      <c r="F3939" s="1">
        <f>IF(OR(Paths!$C$364=0,C3939=0),0,12-E3939)</f>
        <v>0</v>
      </c>
      <c r="G3939" s="16">
        <f>IF(NOT(Paths!$C$364=1),0,IF(Paths!$P$364="Complete",E3939/12*(Paths!$J$364*(1+'Operating costs'!$B$51)^MAX(0,C3939-1)+Paths!$K$364*(1+'Operating costs'!$B$53)^MAX(0,C3939-1)),"n.a."))</f>
        <v>0</v>
      </c>
      <c r="H3939" s="16">
        <f>IF(NOT(Paths!$C$364=1),0,IF(Paths!$P$364="Complete",F3939/12*(Paths!$L$364*(1+IF(Paths!$D$364="EV",'Operating costs'!$B$52,'Operating costs'!$B$51))^MAX(0,C3939-1)+Paths!$M$364*(1+'Operating costs'!$B$53)^MAX(0,C3939-1)),"n.a."))</f>
        <v>0</v>
      </c>
      <c r="I3939" s="16">
        <f>IF(NOT(Paths!$C$364=1),0,IF(Paths!$P$364="Complete",IF(IF(Paths!$E$364=0,C3939=0,AND(C3939&gt;0,Paths!$E$364&gt;(C3939-1)*12,Paths!$E$364&lt;=C3939*12)),Paths!$G$364,0),"n.a."))</f>
        <v>0</v>
      </c>
      <c r="J3939" s="16">
        <f>IF(NOT(Paths!$C$364=1),0,IF(Paths!$P$364="Complete",IF(IF(Paths!$E$364=0,C3939=0,AND(C3939&gt;0,Paths!$E$364&gt;(C3939-1)*12,Paths!$E$364&lt;=C3939*12)),Paths!$H$364,0),"n.a."))</f>
        <v>0</v>
      </c>
      <c r="K3939" s="16">
        <f>IF(NOT(Paths!$C$364=1),0,IF(Paths!$P$364="Complete",IF(IF(Paths!$O$364=0,C3939=0,AND(C3939&gt;0,Paths!$O$364&gt;(C3939-1)*12,Paths!$O$364&lt;=C3939*12)),Paths!$N$364,0),"n.a."))</f>
        <v>0</v>
      </c>
      <c r="L3939" s="16">
        <f>IF(NOT(Paths!$C$364=1),0,IF(Paths!$P$364="Complete",IF(C3939=10,Paths!$I$364,0),"n.a."))</f>
        <v>0</v>
      </c>
      <c r="M3939" s="16">
        <f>IF(NOT(Paths!$C$364=1),0,IF(Paths!$P$364="Complete",IF(AND(Paths!$D$364="EV",Paths!$E$364&lt;120,Paths!$E$364+'Operating costs'!$B$65&gt;Paths!$E$364,Paths!$E$364+'Operating costs'!$B$65&lt;=120,IF(Paths!$E$364+'Operating costs'!$B$65=0,C3939=0,AND(C3939&gt;0,Paths!$E$364+'Operating costs'!$B$65&gt;(C3939-1)*12,Paths!$E$364+'Operating costs'!$B$65&lt;=C3939*12))),'Operating costs'!$B$64,0)+IF(AND('Operating costs'!$B$67&gt;0,'Operating costs'!$B$67&lt;=120,OR(Paths!$D$364="ICE",'Operating costs'!$B$67&lt;=Paths!$E$364),IF('Operating costs'!$B$67=0,C3939=0,AND(C3939&gt;0,'Operating costs'!$B$67&gt;(C3939-1)*12,'Operating costs'!$B$67&lt;=C3939*12))),'Operating costs'!$B$66,0),"n.a."))</f>
        <v>0</v>
      </c>
      <c r="N3939" s="16">
        <f>IF(NOT(Paths!$C$364=1),0,IF(Paths!$P$364="Complete",SUM(G3939:I3939)-J3939-K3939-L3939+M3939+IF(C3939=0,Paths!$F$364,0)+IF(IF(Paths!$E$364=0,C3939=0,AND(C3939&gt;0,Paths!$E$364&gt;(C3939-1)*12,Paths!$E$364&lt;=C3939*12)),VLOOKUP(A3939,'Fleet register'!$A$7:$S$106,16,FALSE),0),"n.a."))</f>
        <v>0</v>
      </c>
      <c r="O3939" s="16">
        <f>IF(NOT(Paths!$C$364=1),0,IF(Paths!$P$364="Complete",N3939-IF(C3939=0,Paths!$F$364,0),"n.a."))</f>
        <v>0</v>
      </c>
      <c r="P3939" s="16">
        <f>IF(NOT(Paths!$C$364=1),0,IF(Paths!$P$364="Complete",O3939+L3939,"n.a."))</f>
        <v>0</v>
      </c>
      <c r="Q3939" s="16">
        <f>IF(NOT(Paths!$C$364=1),0,IF(Paths!$P$364="Complete",N3939*(1+'Operating costs'!$B$54)^-C3939,"n.a."))</f>
        <v>0</v>
      </c>
      <c r="R3939" s="16">
        <f>IF(NOT(Paths!$C$364=1),0,IF(Paths!$P$364="Complete",IF(AND(C3939=0,Paths!$E$364=0),I3939-J3939-K3939+VLOOKUP(A3939,'Fleet register'!$A$7:$S$106,15,FALSE)+VLOOKUP(A3939,'Fleet register'!$A$7:$S$106,16,FALSE),0),"n.a."))</f>
        <v>0</v>
      </c>
      <c r="S3939" s="1">
        <f>IF(NOT(Paths!$C$364=1),0,IF(Paths!$P$364="Complete",IF(C3939=0,0,Paths!$S$364*Paths!$R$364),"n.a."))</f>
        <v>0</v>
      </c>
      <c r="T3939" s="1">
        <f>IF(NOT(Paths!$C$364=1),0,IF(Paths!$P$364="Complete",IF(C3939=0,0,VLOOKUP(A3939,'Fleet register'!$A$7:$S$106,9,FALSE)*Paths!$R$364),"n.a."))</f>
        <v>0</v>
      </c>
    </row>
    <row r="3940" spans="1:20" ht="24" customHeight="1">
      <c r="A3940" s="1" t="str">
        <f>Paths!$A$364</f>
        <v>T090</v>
      </c>
      <c r="B3940" s="1">
        <f>Paths!$B$364</f>
        <v>1</v>
      </c>
      <c r="C3940" s="1">
        <v>6</v>
      </c>
      <c r="D3940" s="1">
        <v>364</v>
      </c>
      <c r="E3940" s="1">
        <f>IF(OR(Paths!$C$364=0,C3940=0),0,MAX(0,MIN(C3940*12,Paths!$E$364)-(C3940-1)*12))</f>
        <v>0</v>
      </c>
      <c r="F3940" s="1">
        <f>IF(OR(Paths!$C$364=0,C3940=0),0,12-E3940)</f>
        <v>0</v>
      </c>
      <c r="G3940" s="16">
        <f>IF(NOT(Paths!$C$364=1),0,IF(Paths!$P$364="Complete",E3940/12*(Paths!$J$364*(1+'Operating costs'!$B$51)^MAX(0,C3940-1)+Paths!$K$364*(1+'Operating costs'!$B$53)^MAX(0,C3940-1)),"n.a."))</f>
        <v>0</v>
      </c>
      <c r="H3940" s="16">
        <f>IF(NOT(Paths!$C$364=1),0,IF(Paths!$P$364="Complete",F3940/12*(Paths!$L$364*(1+IF(Paths!$D$364="EV",'Operating costs'!$B$52,'Operating costs'!$B$51))^MAX(0,C3940-1)+Paths!$M$364*(1+'Operating costs'!$B$53)^MAX(0,C3940-1)),"n.a."))</f>
        <v>0</v>
      </c>
      <c r="I3940" s="16">
        <f>IF(NOT(Paths!$C$364=1),0,IF(Paths!$P$364="Complete",IF(IF(Paths!$E$364=0,C3940=0,AND(C3940&gt;0,Paths!$E$364&gt;(C3940-1)*12,Paths!$E$364&lt;=C3940*12)),Paths!$G$364,0),"n.a."))</f>
        <v>0</v>
      </c>
      <c r="J3940" s="16">
        <f>IF(NOT(Paths!$C$364=1),0,IF(Paths!$P$364="Complete",IF(IF(Paths!$E$364=0,C3940=0,AND(C3940&gt;0,Paths!$E$364&gt;(C3940-1)*12,Paths!$E$364&lt;=C3940*12)),Paths!$H$364,0),"n.a."))</f>
        <v>0</v>
      </c>
      <c r="K3940" s="16">
        <f>IF(NOT(Paths!$C$364=1),0,IF(Paths!$P$364="Complete",IF(IF(Paths!$O$364=0,C3940=0,AND(C3940&gt;0,Paths!$O$364&gt;(C3940-1)*12,Paths!$O$364&lt;=C3940*12)),Paths!$N$364,0),"n.a."))</f>
        <v>0</v>
      </c>
      <c r="L3940" s="16">
        <f>IF(NOT(Paths!$C$364=1),0,IF(Paths!$P$364="Complete",IF(C3940=10,Paths!$I$364,0),"n.a."))</f>
        <v>0</v>
      </c>
      <c r="M3940" s="16">
        <f>IF(NOT(Paths!$C$364=1),0,IF(Paths!$P$364="Complete",IF(AND(Paths!$D$364="EV",Paths!$E$364&lt;120,Paths!$E$364+'Operating costs'!$B$65&gt;Paths!$E$364,Paths!$E$364+'Operating costs'!$B$65&lt;=120,IF(Paths!$E$364+'Operating costs'!$B$65=0,C3940=0,AND(C3940&gt;0,Paths!$E$364+'Operating costs'!$B$65&gt;(C3940-1)*12,Paths!$E$364+'Operating costs'!$B$65&lt;=C3940*12))),'Operating costs'!$B$64,0)+IF(AND('Operating costs'!$B$67&gt;0,'Operating costs'!$B$67&lt;=120,OR(Paths!$D$364="ICE",'Operating costs'!$B$67&lt;=Paths!$E$364),IF('Operating costs'!$B$67=0,C3940=0,AND(C3940&gt;0,'Operating costs'!$B$67&gt;(C3940-1)*12,'Operating costs'!$B$67&lt;=C3940*12))),'Operating costs'!$B$66,0),"n.a."))</f>
        <v>0</v>
      </c>
      <c r="N3940" s="16">
        <f>IF(NOT(Paths!$C$364=1),0,IF(Paths!$P$364="Complete",SUM(G3940:I3940)-J3940-K3940-L3940+M3940+IF(C3940=0,Paths!$F$364,0)+IF(IF(Paths!$E$364=0,C3940=0,AND(C3940&gt;0,Paths!$E$364&gt;(C3940-1)*12,Paths!$E$364&lt;=C3940*12)),VLOOKUP(A3940,'Fleet register'!$A$7:$S$106,16,FALSE),0),"n.a."))</f>
        <v>0</v>
      </c>
      <c r="O3940" s="16">
        <f>IF(NOT(Paths!$C$364=1),0,IF(Paths!$P$364="Complete",N3940-IF(C3940=0,Paths!$F$364,0),"n.a."))</f>
        <v>0</v>
      </c>
      <c r="P3940" s="16">
        <f>IF(NOT(Paths!$C$364=1),0,IF(Paths!$P$364="Complete",O3940+L3940,"n.a."))</f>
        <v>0</v>
      </c>
      <c r="Q3940" s="16">
        <f>IF(NOT(Paths!$C$364=1),0,IF(Paths!$P$364="Complete",N3940*(1+'Operating costs'!$B$54)^-C3940,"n.a."))</f>
        <v>0</v>
      </c>
      <c r="R3940" s="16">
        <f>IF(NOT(Paths!$C$364=1),0,IF(Paths!$P$364="Complete",IF(AND(C3940=0,Paths!$E$364=0),I3940-J3940-K3940+VLOOKUP(A3940,'Fleet register'!$A$7:$S$106,15,FALSE)+VLOOKUP(A3940,'Fleet register'!$A$7:$S$106,16,FALSE),0),"n.a."))</f>
        <v>0</v>
      </c>
      <c r="S3940" s="1">
        <f>IF(NOT(Paths!$C$364=1),0,IF(Paths!$P$364="Complete",IF(C3940=0,0,Paths!$S$364*Paths!$R$364),"n.a."))</f>
        <v>0</v>
      </c>
      <c r="T3940" s="1">
        <f>IF(NOT(Paths!$C$364=1),0,IF(Paths!$P$364="Complete",IF(C3940=0,0,VLOOKUP(A3940,'Fleet register'!$A$7:$S$106,9,FALSE)*Paths!$R$364),"n.a."))</f>
        <v>0</v>
      </c>
    </row>
    <row r="3941" spans="1:20" ht="24" customHeight="1">
      <c r="A3941" s="1" t="str">
        <f>Paths!$A$364</f>
        <v>T090</v>
      </c>
      <c r="B3941" s="1">
        <f>Paths!$B$364</f>
        <v>1</v>
      </c>
      <c r="C3941" s="1">
        <v>7</v>
      </c>
      <c r="D3941" s="1">
        <v>364</v>
      </c>
      <c r="E3941" s="1">
        <f>IF(OR(Paths!$C$364=0,C3941=0),0,MAX(0,MIN(C3941*12,Paths!$E$364)-(C3941-1)*12))</f>
        <v>0</v>
      </c>
      <c r="F3941" s="1">
        <f>IF(OR(Paths!$C$364=0,C3941=0),0,12-E3941)</f>
        <v>0</v>
      </c>
      <c r="G3941" s="16">
        <f>IF(NOT(Paths!$C$364=1),0,IF(Paths!$P$364="Complete",E3941/12*(Paths!$J$364*(1+'Operating costs'!$B$51)^MAX(0,C3941-1)+Paths!$K$364*(1+'Operating costs'!$B$53)^MAX(0,C3941-1)),"n.a."))</f>
        <v>0</v>
      </c>
      <c r="H3941" s="16">
        <f>IF(NOT(Paths!$C$364=1),0,IF(Paths!$P$364="Complete",F3941/12*(Paths!$L$364*(1+IF(Paths!$D$364="EV",'Operating costs'!$B$52,'Operating costs'!$B$51))^MAX(0,C3941-1)+Paths!$M$364*(1+'Operating costs'!$B$53)^MAX(0,C3941-1)),"n.a."))</f>
        <v>0</v>
      </c>
      <c r="I3941" s="16">
        <f>IF(NOT(Paths!$C$364=1),0,IF(Paths!$P$364="Complete",IF(IF(Paths!$E$364=0,C3941=0,AND(C3941&gt;0,Paths!$E$364&gt;(C3941-1)*12,Paths!$E$364&lt;=C3941*12)),Paths!$G$364,0),"n.a."))</f>
        <v>0</v>
      </c>
      <c r="J3941" s="16">
        <f>IF(NOT(Paths!$C$364=1),0,IF(Paths!$P$364="Complete",IF(IF(Paths!$E$364=0,C3941=0,AND(C3941&gt;0,Paths!$E$364&gt;(C3941-1)*12,Paths!$E$364&lt;=C3941*12)),Paths!$H$364,0),"n.a."))</f>
        <v>0</v>
      </c>
      <c r="K3941" s="16">
        <f>IF(NOT(Paths!$C$364=1),0,IF(Paths!$P$364="Complete",IF(IF(Paths!$O$364=0,C3941=0,AND(C3941&gt;0,Paths!$O$364&gt;(C3941-1)*12,Paths!$O$364&lt;=C3941*12)),Paths!$N$364,0),"n.a."))</f>
        <v>0</v>
      </c>
      <c r="L3941" s="16">
        <f>IF(NOT(Paths!$C$364=1),0,IF(Paths!$P$364="Complete",IF(C3941=10,Paths!$I$364,0),"n.a."))</f>
        <v>0</v>
      </c>
      <c r="M3941" s="16">
        <f>IF(NOT(Paths!$C$364=1),0,IF(Paths!$P$364="Complete",IF(AND(Paths!$D$364="EV",Paths!$E$364&lt;120,Paths!$E$364+'Operating costs'!$B$65&gt;Paths!$E$364,Paths!$E$364+'Operating costs'!$B$65&lt;=120,IF(Paths!$E$364+'Operating costs'!$B$65=0,C3941=0,AND(C3941&gt;0,Paths!$E$364+'Operating costs'!$B$65&gt;(C3941-1)*12,Paths!$E$364+'Operating costs'!$B$65&lt;=C3941*12))),'Operating costs'!$B$64,0)+IF(AND('Operating costs'!$B$67&gt;0,'Operating costs'!$B$67&lt;=120,OR(Paths!$D$364="ICE",'Operating costs'!$B$67&lt;=Paths!$E$364),IF('Operating costs'!$B$67=0,C3941=0,AND(C3941&gt;0,'Operating costs'!$B$67&gt;(C3941-1)*12,'Operating costs'!$B$67&lt;=C3941*12))),'Operating costs'!$B$66,0),"n.a."))</f>
        <v>0</v>
      </c>
      <c r="N3941" s="16">
        <f>IF(NOT(Paths!$C$364=1),0,IF(Paths!$P$364="Complete",SUM(G3941:I3941)-J3941-K3941-L3941+M3941+IF(C3941=0,Paths!$F$364,0)+IF(IF(Paths!$E$364=0,C3941=0,AND(C3941&gt;0,Paths!$E$364&gt;(C3941-1)*12,Paths!$E$364&lt;=C3941*12)),VLOOKUP(A3941,'Fleet register'!$A$7:$S$106,16,FALSE),0),"n.a."))</f>
        <v>0</v>
      </c>
      <c r="O3941" s="16">
        <f>IF(NOT(Paths!$C$364=1),0,IF(Paths!$P$364="Complete",N3941-IF(C3941=0,Paths!$F$364,0),"n.a."))</f>
        <v>0</v>
      </c>
      <c r="P3941" s="16">
        <f>IF(NOT(Paths!$C$364=1),0,IF(Paths!$P$364="Complete",O3941+L3941,"n.a."))</f>
        <v>0</v>
      </c>
      <c r="Q3941" s="16">
        <f>IF(NOT(Paths!$C$364=1),0,IF(Paths!$P$364="Complete",N3941*(1+'Operating costs'!$B$54)^-C3941,"n.a."))</f>
        <v>0</v>
      </c>
      <c r="R3941" s="16">
        <f>IF(NOT(Paths!$C$364=1),0,IF(Paths!$P$364="Complete",IF(AND(C3941=0,Paths!$E$364=0),I3941-J3941-K3941+VLOOKUP(A3941,'Fleet register'!$A$7:$S$106,15,FALSE)+VLOOKUP(A3941,'Fleet register'!$A$7:$S$106,16,FALSE),0),"n.a."))</f>
        <v>0</v>
      </c>
      <c r="S3941" s="1">
        <f>IF(NOT(Paths!$C$364=1),0,IF(Paths!$P$364="Complete",IF(C3941=0,0,Paths!$S$364*Paths!$R$364),"n.a."))</f>
        <v>0</v>
      </c>
      <c r="T3941" s="1">
        <f>IF(NOT(Paths!$C$364=1),0,IF(Paths!$P$364="Complete",IF(C3941=0,0,VLOOKUP(A3941,'Fleet register'!$A$7:$S$106,9,FALSE)*Paths!$R$364),"n.a."))</f>
        <v>0</v>
      </c>
    </row>
    <row r="3942" spans="1:20" ht="24" customHeight="1">
      <c r="A3942" s="1" t="str">
        <f>Paths!$A$364</f>
        <v>T090</v>
      </c>
      <c r="B3942" s="1">
        <f>Paths!$B$364</f>
        <v>1</v>
      </c>
      <c r="C3942" s="1">
        <v>8</v>
      </c>
      <c r="D3942" s="1">
        <v>364</v>
      </c>
      <c r="E3942" s="1">
        <f>IF(OR(Paths!$C$364=0,C3942=0),0,MAX(0,MIN(C3942*12,Paths!$E$364)-(C3942-1)*12))</f>
        <v>0</v>
      </c>
      <c r="F3942" s="1">
        <f>IF(OR(Paths!$C$364=0,C3942=0),0,12-E3942)</f>
        <v>0</v>
      </c>
      <c r="G3942" s="16">
        <f>IF(NOT(Paths!$C$364=1),0,IF(Paths!$P$364="Complete",E3942/12*(Paths!$J$364*(1+'Operating costs'!$B$51)^MAX(0,C3942-1)+Paths!$K$364*(1+'Operating costs'!$B$53)^MAX(0,C3942-1)),"n.a."))</f>
        <v>0</v>
      </c>
      <c r="H3942" s="16">
        <f>IF(NOT(Paths!$C$364=1),0,IF(Paths!$P$364="Complete",F3942/12*(Paths!$L$364*(1+IF(Paths!$D$364="EV",'Operating costs'!$B$52,'Operating costs'!$B$51))^MAX(0,C3942-1)+Paths!$M$364*(1+'Operating costs'!$B$53)^MAX(0,C3942-1)),"n.a."))</f>
        <v>0</v>
      </c>
      <c r="I3942" s="16">
        <f>IF(NOT(Paths!$C$364=1),0,IF(Paths!$P$364="Complete",IF(IF(Paths!$E$364=0,C3942=0,AND(C3942&gt;0,Paths!$E$364&gt;(C3942-1)*12,Paths!$E$364&lt;=C3942*12)),Paths!$G$364,0),"n.a."))</f>
        <v>0</v>
      </c>
      <c r="J3942" s="16">
        <f>IF(NOT(Paths!$C$364=1),0,IF(Paths!$P$364="Complete",IF(IF(Paths!$E$364=0,C3942=0,AND(C3942&gt;0,Paths!$E$364&gt;(C3942-1)*12,Paths!$E$364&lt;=C3942*12)),Paths!$H$364,0),"n.a."))</f>
        <v>0</v>
      </c>
      <c r="K3942" s="16">
        <f>IF(NOT(Paths!$C$364=1),0,IF(Paths!$P$364="Complete",IF(IF(Paths!$O$364=0,C3942=0,AND(C3942&gt;0,Paths!$O$364&gt;(C3942-1)*12,Paths!$O$364&lt;=C3942*12)),Paths!$N$364,0),"n.a."))</f>
        <v>0</v>
      </c>
      <c r="L3942" s="16">
        <f>IF(NOT(Paths!$C$364=1),0,IF(Paths!$P$364="Complete",IF(C3942=10,Paths!$I$364,0),"n.a."))</f>
        <v>0</v>
      </c>
      <c r="M3942" s="16">
        <f>IF(NOT(Paths!$C$364=1),0,IF(Paths!$P$364="Complete",IF(AND(Paths!$D$364="EV",Paths!$E$364&lt;120,Paths!$E$364+'Operating costs'!$B$65&gt;Paths!$E$364,Paths!$E$364+'Operating costs'!$B$65&lt;=120,IF(Paths!$E$364+'Operating costs'!$B$65=0,C3942=0,AND(C3942&gt;0,Paths!$E$364+'Operating costs'!$B$65&gt;(C3942-1)*12,Paths!$E$364+'Operating costs'!$B$65&lt;=C3942*12))),'Operating costs'!$B$64,0)+IF(AND('Operating costs'!$B$67&gt;0,'Operating costs'!$B$67&lt;=120,OR(Paths!$D$364="ICE",'Operating costs'!$B$67&lt;=Paths!$E$364),IF('Operating costs'!$B$67=0,C3942=0,AND(C3942&gt;0,'Operating costs'!$B$67&gt;(C3942-1)*12,'Operating costs'!$B$67&lt;=C3942*12))),'Operating costs'!$B$66,0),"n.a."))</f>
        <v>0</v>
      </c>
      <c r="N3942" s="16">
        <f>IF(NOT(Paths!$C$364=1),0,IF(Paths!$P$364="Complete",SUM(G3942:I3942)-J3942-K3942-L3942+M3942+IF(C3942=0,Paths!$F$364,0)+IF(IF(Paths!$E$364=0,C3942=0,AND(C3942&gt;0,Paths!$E$364&gt;(C3942-1)*12,Paths!$E$364&lt;=C3942*12)),VLOOKUP(A3942,'Fleet register'!$A$7:$S$106,16,FALSE),0),"n.a."))</f>
        <v>0</v>
      </c>
      <c r="O3942" s="16">
        <f>IF(NOT(Paths!$C$364=1),0,IF(Paths!$P$364="Complete",N3942-IF(C3942=0,Paths!$F$364,0),"n.a."))</f>
        <v>0</v>
      </c>
      <c r="P3942" s="16">
        <f>IF(NOT(Paths!$C$364=1),0,IF(Paths!$P$364="Complete",O3942+L3942,"n.a."))</f>
        <v>0</v>
      </c>
      <c r="Q3942" s="16">
        <f>IF(NOT(Paths!$C$364=1),0,IF(Paths!$P$364="Complete",N3942*(1+'Operating costs'!$B$54)^-C3942,"n.a."))</f>
        <v>0</v>
      </c>
      <c r="R3942" s="16">
        <f>IF(NOT(Paths!$C$364=1),0,IF(Paths!$P$364="Complete",IF(AND(C3942=0,Paths!$E$364=0),I3942-J3942-K3942+VLOOKUP(A3942,'Fleet register'!$A$7:$S$106,15,FALSE)+VLOOKUP(A3942,'Fleet register'!$A$7:$S$106,16,FALSE),0),"n.a."))</f>
        <v>0</v>
      </c>
      <c r="S3942" s="1">
        <f>IF(NOT(Paths!$C$364=1),0,IF(Paths!$P$364="Complete",IF(C3942=0,0,Paths!$S$364*Paths!$R$364),"n.a."))</f>
        <v>0</v>
      </c>
      <c r="T3942" s="1">
        <f>IF(NOT(Paths!$C$364=1),0,IF(Paths!$P$364="Complete",IF(C3942=0,0,VLOOKUP(A3942,'Fleet register'!$A$7:$S$106,9,FALSE)*Paths!$R$364),"n.a."))</f>
        <v>0</v>
      </c>
    </row>
    <row r="3943" spans="1:20" ht="24" customHeight="1">
      <c r="A3943" s="1" t="str">
        <f>Paths!$A$364</f>
        <v>T090</v>
      </c>
      <c r="B3943" s="1">
        <f>Paths!$B$364</f>
        <v>1</v>
      </c>
      <c r="C3943" s="1">
        <v>9</v>
      </c>
      <c r="D3943" s="1">
        <v>364</v>
      </c>
      <c r="E3943" s="1">
        <f>IF(OR(Paths!$C$364=0,C3943=0),0,MAX(0,MIN(C3943*12,Paths!$E$364)-(C3943-1)*12))</f>
        <v>0</v>
      </c>
      <c r="F3943" s="1">
        <f>IF(OR(Paths!$C$364=0,C3943=0),0,12-E3943)</f>
        <v>0</v>
      </c>
      <c r="G3943" s="16">
        <f>IF(NOT(Paths!$C$364=1),0,IF(Paths!$P$364="Complete",E3943/12*(Paths!$J$364*(1+'Operating costs'!$B$51)^MAX(0,C3943-1)+Paths!$K$364*(1+'Operating costs'!$B$53)^MAX(0,C3943-1)),"n.a."))</f>
        <v>0</v>
      </c>
      <c r="H3943" s="16">
        <f>IF(NOT(Paths!$C$364=1),0,IF(Paths!$P$364="Complete",F3943/12*(Paths!$L$364*(1+IF(Paths!$D$364="EV",'Operating costs'!$B$52,'Operating costs'!$B$51))^MAX(0,C3943-1)+Paths!$M$364*(1+'Operating costs'!$B$53)^MAX(0,C3943-1)),"n.a."))</f>
        <v>0</v>
      </c>
      <c r="I3943" s="16">
        <f>IF(NOT(Paths!$C$364=1),0,IF(Paths!$P$364="Complete",IF(IF(Paths!$E$364=0,C3943=0,AND(C3943&gt;0,Paths!$E$364&gt;(C3943-1)*12,Paths!$E$364&lt;=C3943*12)),Paths!$G$364,0),"n.a."))</f>
        <v>0</v>
      </c>
      <c r="J3943" s="16">
        <f>IF(NOT(Paths!$C$364=1),0,IF(Paths!$P$364="Complete",IF(IF(Paths!$E$364=0,C3943=0,AND(C3943&gt;0,Paths!$E$364&gt;(C3943-1)*12,Paths!$E$364&lt;=C3943*12)),Paths!$H$364,0),"n.a."))</f>
        <v>0</v>
      </c>
      <c r="K3943" s="16">
        <f>IF(NOT(Paths!$C$364=1),0,IF(Paths!$P$364="Complete",IF(IF(Paths!$O$364=0,C3943=0,AND(C3943&gt;0,Paths!$O$364&gt;(C3943-1)*12,Paths!$O$364&lt;=C3943*12)),Paths!$N$364,0),"n.a."))</f>
        <v>0</v>
      </c>
      <c r="L3943" s="16">
        <f>IF(NOT(Paths!$C$364=1),0,IF(Paths!$P$364="Complete",IF(C3943=10,Paths!$I$364,0),"n.a."))</f>
        <v>0</v>
      </c>
      <c r="M3943" s="16">
        <f>IF(NOT(Paths!$C$364=1),0,IF(Paths!$P$364="Complete",IF(AND(Paths!$D$364="EV",Paths!$E$364&lt;120,Paths!$E$364+'Operating costs'!$B$65&gt;Paths!$E$364,Paths!$E$364+'Operating costs'!$B$65&lt;=120,IF(Paths!$E$364+'Operating costs'!$B$65=0,C3943=0,AND(C3943&gt;0,Paths!$E$364+'Operating costs'!$B$65&gt;(C3943-1)*12,Paths!$E$364+'Operating costs'!$B$65&lt;=C3943*12))),'Operating costs'!$B$64,0)+IF(AND('Operating costs'!$B$67&gt;0,'Operating costs'!$B$67&lt;=120,OR(Paths!$D$364="ICE",'Operating costs'!$B$67&lt;=Paths!$E$364),IF('Operating costs'!$B$67=0,C3943=0,AND(C3943&gt;0,'Operating costs'!$B$67&gt;(C3943-1)*12,'Operating costs'!$B$67&lt;=C3943*12))),'Operating costs'!$B$66,0),"n.a."))</f>
        <v>0</v>
      </c>
      <c r="N3943" s="16">
        <f>IF(NOT(Paths!$C$364=1),0,IF(Paths!$P$364="Complete",SUM(G3943:I3943)-J3943-K3943-L3943+M3943+IF(C3943=0,Paths!$F$364,0)+IF(IF(Paths!$E$364=0,C3943=0,AND(C3943&gt;0,Paths!$E$364&gt;(C3943-1)*12,Paths!$E$364&lt;=C3943*12)),VLOOKUP(A3943,'Fleet register'!$A$7:$S$106,16,FALSE),0),"n.a."))</f>
        <v>0</v>
      </c>
      <c r="O3943" s="16">
        <f>IF(NOT(Paths!$C$364=1),0,IF(Paths!$P$364="Complete",N3943-IF(C3943=0,Paths!$F$364,0),"n.a."))</f>
        <v>0</v>
      </c>
      <c r="P3943" s="16">
        <f>IF(NOT(Paths!$C$364=1),0,IF(Paths!$P$364="Complete",O3943+L3943,"n.a."))</f>
        <v>0</v>
      </c>
      <c r="Q3943" s="16">
        <f>IF(NOT(Paths!$C$364=1),0,IF(Paths!$P$364="Complete",N3943*(1+'Operating costs'!$B$54)^-C3943,"n.a."))</f>
        <v>0</v>
      </c>
      <c r="R3943" s="16">
        <f>IF(NOT(Paths!$C$364=1),0,IF(Paths!$P$364="Complete",IF(AND(C3943=0,Paths!$E$364=0),I3943-J3943-K3943+VLOOKUP(A3943,'Fleet register'!$A$7:$S$106,15,FALSE)+VLOOKUP(A3943,'Fleet register'!$A$7:$S$106,16,FALSE),0),"n.a."))</f>
        <v>0</v>
      </c>
      <c r="S3943" s="1">
        <f>IF(NOT(Paths!$C$364=1),0,IF(Paths!$P$364="Complete",IF(C3943=0,0,Paths!$S$364*Paths!$R$364),"n.a."))</f>
        <v>0</v>
      </c>
      <c r="T3943" s="1">
        <f>IF(NOT(Paths!$C$364=1),0,IF(Paths!$P$364="Complete",IF(C3943=0,0,VLOOKUP(A3943,'Fleet register'!$A$7:$S$106,9,FALSE)*Paths!$R$364),"n.a."))</f>
        <v>0</v>
      </c>
    </row>
    <row r="3944" spans="1:20" ht="24" customHeight="1">
      <c r="A3944" s="1" t="str">
        <f>Paths!$A$364</f>
        <v>T090</v>
      </c>
      <c r="B3944" s="1">
        <f>Paths!$B$364</f>
        <v>1</v>
      </c>
      <c r="C3944" s="1">
        <v>10</v>
      </c>
      <c r="D3944" s="1">
        <v>364</v>
      </c>
      <c r="E3944" s="1">
        <f>IF(OR(Paths!$C$364=0,C3944=0),0,MAX(0,MIN(C3944*12,Paths!$E$364)-(C3944-1)*12))</f>
        <v>0</v>
      </c>
      <c r="F3944" s="1">
        <f>IF(OR(Paths!$C$364=0,C3944=0),0,12-E3944)</f>
        <v>0</v>
      </c>
      <c r="G3944" s="16">
        <f>IF(NOT(Paths!$C$364=1),0,IF(Paths!$P$364="Complete",E3944/12*(Paths!$J$364*(1+'Operating costs'!$B$51)^MAX(0,C3944-1)+Paths!$K$364*(1+'Operating costs'!$B$53)^MAX(0,C3944-1)),"n.a."))</f>
        <v>0</v>
      </c>
      <c r="H3944" s="16">
        <f>IF(NOT(Paths!$C$364=1),0,IF(Paths!$P$364="Complete",F3944/12*(Paths!$L$364*(1+IF(Paths!$D$364="EV",'Operating costs'!$B$52,'Operating costs'!$B$51))^MAX(0,C3944-1)+Paths!$M$364*(1+'Operating costs'!$B$53)^MAX(0,C3944-1)),"n.a."))</f>
        <v>0</v>
      </c>
      <c r="I3944" s="16">
        <f>IF(NOT(Paths!$C$364=1),0,IF(Paths!$P$364="Complete",IF(IF(Paths!$E$364=0,C3944=0,AND(C3944&gt;0,Paths!$E$364&gt;(C3944-1)*12,Paths!$E$364&lt;=C3944*12)),Paths!$G$364,0),"n.a."))</f>
        <v>0</v>
      </c>
      <c r="J3944" s="16">
        <f>IF(NOT(Paths!$C$364=1),0,IF(Paths!$P$364="Complete",IF(IF(Paths!$E$364=0,C3944=0,AND(C3944&gt;0,Paths!$E$364&gt;(C3944-1)*12,Paths!$E$364&lt;=C3944*12)),Paths!$H$364,0),"n.a."))</f>
        <v>0</v>
      </c>
      <c r="K3944" s="16">
        <f>IF(NOT(Paths!$C$364=1),0,IF(Paths!$P$364="Complete",IF(IF(Paths!$O$364=0,C3944=0,AND(C3944&gt;0,Paths!$O$364&gt;(C3944-1)*12,Paths!$O$364&lt;=C3944*12)),Paths!$N$364,0),"n.a."))</f>
        <v>0</v>
      </c>
      <c r="L3944" s="16">
        <f>IF(NOT(Paths!$C$364=1),0,IF(Paths!$P$364="Complete",IF(C3944=10,Paths!$I$364,0),"n.a."))</f>
        <v>0</v>
      </c>
      <c r="M3944" s="16">
        <f>IF(NOT(Paths!$C$364=1),0,IF(Paths!$P$364="Complete",IF(AND(Paths!$D$364="EV",Paths!$E$364&lt;120,Paths!$E$364+'Operating costs'!$B$65&gt;Paths!$E$364,Paths!$E$364+'Operating costs'!$B$65&lt;=120,IF(Paths!$E$364+'Operating costs'!$B$65=0,C3944=0,AND(C3944&gt;0,Paths!$E$364+'Operating costs'!$B$65&gt;(C3944-1)*12,Paths!$E$364+'Operating costs'!$B$65&lt;=C3944*12))),'Operating costs'!$B$64,0)+IF(AND('Operating costs'!$B$67&gt;0,'Operating costs'!$B$67&lt;=120,OR(Paths!$D$364="ICE",'Operating costs'!$B$67&lt;=Paths!$E$364),IF('Operating costs'!$B$67=0,C3944=0,AND(C3944&gt;0,'Operating costs'!$B$67&gt;(C3944-1)*12,'Operating costs'!$B$67&lt;=C3944*12))),'Operating costs'!$B$66,0),"n.a."))</f>
        <v>0</v>
      </c>
      <c r="N3944" s="16">
        <f>IF(NOT(Paths!$C$364=1),0,IF(Paths!$P$364="Complete",SUM(G3944:I3944)-J3944-K3944-L3944+M3944+IF(C3944=0,Paths!$F$364,0)+IF(IF(Paths!$E$364=0,C3944=0,AND(C3944&gt;0,Paths!$E$364&gt;(C3944-1)*12,Paths!$E$364&lt;=C3944*12)),VLOOKUP(A3944,'Fleet register'!$A$7:$S$106,16,FALSE),0),"n.a."))</f>
        <v>0</v>
      </c>
      <c r="O3944" s="16">
        <f>IF(NOT(Paths!$C$364=1),0,IF(Paths!$P$364="Complete",N3944-IF(C3944=0,Paths!$F$364,0),"n.a."))</f>
        <v>0</v>
      </c>
      <c r="P3944" s="16">
        <f>IF(NOT(Paths!$C$364=1),0,IF(Paths!$P$364="Complete",O3944+L3944,"n.a."))</f>
        <v>0</v>
      </c>
      <c r="Q3944" s="16">
        <f>IF(NOT(Paths!$C$364=1),0,IF(Paths!$P$364="Complete",N3944*(1+'Operating costs'!$B$54)^-C3944,"n.a."))</f>
        <v>0</v>
      </c>
      <c r="R3944" s="16">
        <f>IF(NOT(Paths!$C$364=1),0,IF(Paths!$P$364="Complete",IF(AND(C3944=0,Paths!$E$364=0),I3944-J3944-K3944+VLOOKUP(A3944,'Fleet register'!$A$7:$S$106,15,FALSE)+VLOOKUP(A3944,'Fleet register'!$A$7:$S$106,16,FALSE),0),"n.a."))</f>
        <v>0</v>
      </c>
      <c r="S3944" s="1">
        <f>IF(NOT(Paths!$C$364=1),0,IF(Paths!$P$364="Complete",IF(C3944=0,0,Paths!$S$364*Paths!$R$364),"n.a."))</f>
        <v>0</v>
      </c>
      <c r="T3944" s="1">
        <f>IF(NOT(Paths!$C$364=1),0,IF(Paths!$P$364="Complete",IF(C3944=0,0,VLOOKUP(A3944,'Fleet register'!$A$7:$S$106,9,FALSE)*Paths!$R$364),"n.a."))</f>
        <v>0</v>
      </c>
    </row>
    <row r="3945" spans="1:20" ht="24" customHeight="1">
      <c r="A3945" s="1" t="str">
        <f>Paths!$A$365</f>
        <v>T090</v>
      </c>
      <c r="B3945" s="1">
        <f>Paths!$B$365</f>
        <v>2</v>
      </c>
      <c r="C3945" s="1">
        <v>0</v>
      </c>
      <c r="D3945" s="1">
        <v>365</v>
      </c>
      <c r="E3945" s="1">
        <f>IF(OR(Paths!$C$365=0,C3945=0),0,MAX(0,MIN(C3945*12,Paths!$E$365)-(C3945-1)*12))</f>
        <v>0</v>
      </c>
      <c r="F3945" s="1">
        <f>IF(OR(Paths!$C$365=0,C3945=0),0,12-E3945)</f>
        <v>0</v>
      </c>
      <c r="G3945" s="16">
        <f>IF(NOT(Paths!$C$365=1),0,IF(Paths!$P$365="Complete",E3945/12*(Paths!$J$365*(1+'Operating costs'!$B$51)^MAX(0,C3945-1)+Paths!$K$365*(1+'Operating costs'!$B$53)^MAX(0,C3945-1)),"n.a."))</f>
        <v>0</v>
      </c>
      <c r="H3945" s="16">
        <f>IF(NOT(Paths!$C$365=1),0,IF(Paths!$P$365="Complete",F3945/12*(Paths!$L$365*(1+IF(Paths!$D$365="EV",'Operating costs'!$B$52,'Operating costs'!$B$51))^MAX(0,C3945-1)+Paths!$M$365*(1+'Operating costs'!$B$53)^MAX(0,C3945-1)),"n.a."))</f>
        <v>0</v>
      </c>
      <c r="I3945" s="16">
        <f>IF(NOT(Paths!$C$365=1),0,IF(Paths!$P$365="Complete",IF(IF(Paths!$E$365=0,C3945=0,AND(C3945&gt;0,Paths!$E$365&gt;(C3945-1)*12,Paths!$E$365&lt;=C3945*12)),Paths!$G$365,0),"n.a."))</f>
        <v>0</v>
      </c>
      <c r="J3945" s="16">
        <f>IF(NOT(Paths!$C$365=1),0,IF(Paths!$P$365="Complete",IF(IF(Paths!$E$365=0,C3945=0,AND(C3945&gt;0,Paths!$E$365&gt;(C3945-1)*12,Paths!$E$365&lt;=C3945*12)),Paths!$H$365,0),"n.a."))</f>
        <v>0</v>
      </c>
      <c r="K3945" s="16">
        <f>IF(NOT(Paths!$C$365=1),0,IF(Paths!$P$365="Complete",IF(IF(Paths!$O$365=0,C3945=0,AND(C3945&gt;0,Paths!$O$365&gt;(C3945-1)*12,Paths!$O$365&lt;=C3945*12)),Paths!$N$365,0),"n.a."))</f>
        <v>0</v>
      </c>
      <c r="L3945" s="16">
        <f>IF(NOT(Paths!$C$365=1),0,IF(Paths!$P$365="Complete",IF(C3945=10,Paths!$I$365,0),"n.a."))</f>
        <v>0</v>
      </c>
      <c r="M3945" s="16">
        <f>IF(NOT(Paths!$C$365=1),0,IF(Paths!$P$365="Complete",IF(AND(Paths!$D$365="EV",Paths!$E$365&lt;120,Paths!$E$365+'Operating costs'!$B$65&gt;Paths!$E$365,Paths!$E$365+'Operating costs'!$B$65&lt;=120,IF(Paths!$E$365+'Operating costs'!$B$65=0,C3945=0,AND(C3945&gt;0,Paths!$E$365+'Operating costs'!$B$65&gt;(C3945-1)*12,Paths!$E$365+'Operating costs'!$B$65&lt;=C3945*12))),'Operating costs'!$B$64,0)+IF(AND('Operating costs'!$B$67&gt;0,'Operating costs'!$B$67&lt;=120,OR(Paths!$D$365="ICE",'Operating costs'!$B$67&lt;=Paths!$E$365),IF('Operating costs'!$B$67=0,C3945=0,AND(C3945&gt;0,'Operating costs'!$B$67&gt;(C3945-1)*12,'Operating costs'!$B$67&lt;=C3945*12))),'Operating costs'!$B$66,0),"n.a."))</f>
        <v>0</v>
      </c>
      <c r="N3945" s="16">
        <f>IF(NOT(Paths!$C$365=1),0,IF(Paths!$P$365="Complete",SUM(G3945:I3945)-J3945-K3945-L3945+M3945+IF(C3945=0,Paths!$F$365,0)+IF(IF(Paths!$E$365=0,C3945=0,AND(C3945&gt;0,Paths!$E$365&gt;(C3945-1)*12,Paths!$E$365&lt;=C3945*12)),VLOOKUP(A3945,'Fleet register'!$A$7:$S$106,16,FALSE),0),"n.a."))</f>
        <v>0</v>
      </c>
      <c r="O3945" s="16">
        <f>IF(NOT(Paths!$C$365=1),0,IF(Paths!$P$365="Complete",N3945-IF(C3945=0,Paths!$F$365,0),"n.a."))</f>
        <v>0</v>
      </c>
      <c r="P3945" s="16">
        <f>IF(NOT(Paths!$C$365=1),0,IF(Paths!$P$365="Complete",O3945+L3945,"n.a."))</f>
        <v>0</v>
      </c>
      <c r="Q3945" s="16">
        <f>IF(NOT(Paths!$C$365=1),0,IF(Paths!$P$365="Complete",N3945*(1+'Operating costs'!$B$54)^-C3945,"n.a."))</f>
        <v>0</v>
      </c>
      <c r="R3945" s="16">
        <f>IF(NOT(Paths!$C$365=1),0,IF(Paths!$P$365="Complete",IF(AND(C3945=0,Paths!$E$365=0),I3945-J3945-K3945+VLOOKUP(A3945,'Fleet register'!$A$7:$S$106,15,FALSE)+VLOOKUP(A3945,'Fleet register'!$A$7:$S$106,16,FALSE),0),"n.a."))</f>
        <v>0</v>
      </c>
      <c r="S3945" s="1">
        <f>IF(NOT(Paths!$C$365=1),0,IF(Paths!$P$365="Complete",IF(C3945=0,0,Paths!$S$365*Paths!$R$365),"n.a."))</f>
        <v>0</v>
      </c>
      <c r="T3945" s="1">
        <f>IF(NOT(Paths!$C$365=1),0,IF(Paths!$P$365="Complete",IF(C3945=0,0,VLOOKUP(A3945,'Fleet register'!$A$7:$S$106,9,FALSE)*Paths!$R$365),"n.a."))</f>
        <v>0</v>
      </c>
    </row>
    <row r="3946" spans="1:20" ht="24" customHeight="1">
      <c r="A3946" s="1" t="str">
        <f>Paths!$A$365</f>
        <v>T090</v>
      </c>
      <c r="B3946" s="1">
        <f>Paths!$B$365</f>
        <v>2</v>
      </c>
      <c r="C3946" s="1">
        <v>1</v>
      </c>
      <c r="D3946" s="1">
        <v>365</v>
      </c>
      <c r="E3946" s="1">
        <f>IF(OR(Paths!$C$365=0,C3946=0),0,MAX(0,MIN(C3946*12,Paths!$E$365)-(C3946-1)*12))</f>
        <v>0</v>
      </c>
      <c r="F3946" s="1">
        <f>IF(OR(Paths!$C$365=0,C3946=0),0,12-E3946)</f>
        <v>0</v>
      </c>
      <c r="G3946" s="16">
        <f>IF(NOT(Paths!$C$365=1),0,IF(Paths!$P$365="Complete",E3946/12*(Paths!$J$365*(1+'Operating costs'!$B$51)^MAX(0,C3946-1)+Paths!$K$365*(1+'Operating costs'!$B$53)^MAX(0,C3946-1)),"n.a."))</f>
        <v>0</v>
      </c>
      <c r="H3946" s="16">
        <f>IF(NOT(Paths!$C$365=1),0,IF(Paths!$P$365="Complete",F3946/12*(Paths!$L$365*(1+IF(Paths!$D$365="EV",'Operating costs'!$B$52,'Operating costs'!$B$51))^MAX(0,C3946-1)+Paths!$M$365*(1+'Operating costs'!$B$53)^MAX(0,C3946-1)),"n.a."))</f>
        <v>0</v>
      </c>
      <c r="I3946" s="16">
        <f>IF(NOT(Paths!$C$365=1),0,IF(Paths!$P$365="Complete",IF(IF(Paths!$E$365=0,C3946=0,AND(C3946&gt;0,Paths!$E$365&gt;(C3946-1)*12,Paths!$E$365&lt;=C3946*12)),Paths!$G$365,0),"n.a."))</f>
        <v>0</v>
      </c>
      <c r="J3946" s="16">
        <f>IF(NOT(Paths!$C$365=1),0,IF(Paths!$P$365="Complete",IF(IF(Paths!$E$365=0,C3946=0,AND(C3946&gt;0,Paths!$E$365&gt;(C3946-1)*12,Paths!$E$365&lt;=C3946*12)),Paths!$H$365,0),"n.a."))</f>
        <v>0</v>
      </c>
      <c r="K3946" s="16">
        <f>IF(NOT(Paths!$C$365=1),0,IF(Paths!$P$365="Complete",IF(IF(Paths!$O$365=0,C3946=0,AND(C3946&gt;0,Paths!$O$365&gt;(C3946-1)*12,Paths!$O$365&lt;=C3946*12)),Paths!$N$365,0),"n.a."))</f>
        <v>0</v>
      </c>
      <c r="L3946" s="16">
        <f>IF(NOT(Paths!$C$365=1),0,IF(Paths!$P$365="Complete",IF(C3946=10,Paths!$I$365,0),"n.a."))</f>
        <v>0</v>
      </c>
      <c r="M3946" s="16">
        <f>IF(NOT(Paths!$C$365=1),0,IF(Paths!$P$365="Complete",IF(AND(Paths!$D$365="EV",Paths!$E$365&lt;120,Paths!$E$365+'Operating costs'!$B$65&gt;Paths!$E$365,Paths!$E$365+'Operating costs'!$B$65&lt;=120,IF(Paths!$E$365+'Operating costs'!$B$65=0,C3946=0,AND(C3946&gt;0,Paths!$E$365+'Operating costs'!$B$65&gt;(C3946-1)*12,Paths!$E$365+'Operating costs'!$B$65&lt;=C3946*12))),'Operating costs'!$B$64,0)+IF(AND('Operating costs'!$B$67&gt;0,'Operating costs'!$B$67&lt;=120,OR(Paths!$D$365="ICE",'Operating costs'!$B$67&lt;=Paths!$E$365),IF('Operating costs'!$B$67=0,C3946=0,AND(C3946&gt;0,'Operating costs'!$B$67&gt;(C3946-1)*12,'Operating costs'!$B$67&lt;=C3946*12))),'Operating costs'!$B$66,0),"n.a."))</f>
        <v>0</v>
      </c>
      <c r="N3946" s="16">
        <f>IF(NOT(Paths!$C$365=1),0,IF(Paths!$P$365="Complete",SUM(G3946:I3946)-J3946-K3946-L3946+M3946+IF(C3946=0,Paths!$F$365,0)+IF(IF(Paths!$E$365=0,C3946=0,AND(C3946&gt;0,Paths!$E$365&gt;(C3946-1)*12,Paths!$E$365&lt;=C3946*12)),VLOOKUP(A3946,'Fleet register'!$A$7:$S$106,16,FALSE),0),"n.a."))</f>
        <v>0</v>
      </c>
      <c r="O3946" s="16">
        <f>IF(NOT(Paths!$C$365=1),0,IF(Paths!$P$365="Complete",N3946-IF(C3946=0,Paths!$F$365,0),"n.a."))</f>
        <v>0</v>
      </c>
      <c r="P3946" s="16">
        <f>IF(NOT(Paths!$C$365=1),0,IF(Paths!$P$365="Complete",O3946+L3946,"n.a."))</f>
        <v>0</v>
      </c>
      <c r="Q3946" s="16">
        <f>IF(NOT(Paths!$C$365=1),0,IF(Paths!$P$365="Complete",N3946*(1+'Operating costs'!$B$54)^-C3946,"n.a."))</f>
        <v>0</v>
      </c>
      <c r="R3946" s="16">
        <f>IF(NOT(Paths!$C$365=1),0,IF(Paths!$P$365="Complete",IF(AND(C3946=0,Paths!$E$365=0),I3946-J3946-K3946+VLOOKUP(A3946,'Fleet register'!$A$7:$S$106,15,FALSE)+VLOOKUP(A3946,'Fleet register'!$A$7:$S$106,16,FALSE),0),"n.a."))</f>
        <v>0</v>
      </c>
      <c r="S3946" s="1">
        <f>IF(NOT(Paths!$C$365=1),0,IF(Paths!$P$365="Complete",IF(C3946=0,0,Paths!$S$365*Paths!$R$365),"n.a."))</f>
        <v>0</v>
      </c>
      <c r="T3946" s="1">
        <f>IF(NOT(Paths!$C$365=1),0,IF(Paths!$P$365="Complete",IF(C3946=0,0,VLOOKUP(A3946,'Fleet register'!$A$7:$S$106,9,FALSE)*Paths!$R$365),"n.a."))</f>
        <v>0</v>
      </c>
    </row>
    <row r="3947" spans="1:20" ht="24" customHeight="1">
      <c r="A3947" s="1" t="str">
        <f>Paths!$A$365</f>
        <v>T090</v>
      </c>
      <c r="B3947" s="1">
        <f>Paths!$B$365</f>
        <v>2</v>
      </c>
      <c r="C3947" s="1">
        <v>2</v>
      </c>
      <c r="D3947" s="1">
        <v>365</v>
      </c>
      <c r="E3947" s="1">
        <f>IF(OR(Paths!$C$365=0,C3947=0),0,MAX(0,MIN(C3947*12,Paths!$E$365)-(C3947-1)*12))</f>
        <v>0</v>
      </c>
      <c r="F3947" s="1">
        <f>IF(OR(Paths!$C$365=0,C3947=0),0,12-E3947)</f>
        <v>0</v>
      </c>
      <c r="G3947" s="16">
        <f>IF(NOT(Paths!$C$365=1),0,IF(Paths!$P$365="Complete",E3947/12*(Paths!$J$365*(1+'Operating costs'!$B$51)^MAX(0,C3947-1)+Paths!$K$365*(1+'Operating costs'!$B$53)^MAX(0,C3947-1)),"n.a."))</f>
        <v>0</v>
      </c>
      <c r="H3947" s="16">
        <f>IF(NOT(Paths!$C$365=1),0,IF(Paths!$P$365="Complete",F3947/12*(Paths!$L$365*(1+IF(Paths!$D$365="EV",'Operating costs'!$B$52,'Operating costs'!$B$51))^MAX(0,C3947-1)+Paths!$M$365*(1+'Operating costs'!$B$53)^MAX(0,C3947-1)),"n.a."))</f>
        <v>0</v>
      </c>
      <c r="I3947" s="16">
        <f>IF(NOT(Paths!$C$365=1),0,IF(Paths!$P$365="Complete",IF(IF(Paths!$E$365=0,C3947=0,AND(C3947&gt;0,Paths!$E$365&gt;(C3947-1)*12,Paths!$E$365&lt;=C3947*12)),Paths!$G$365,0),"n.a."))</f>
        <v>0</v>
      </c>
      <c r="J3947" s="16">
        <f>IF(NOT(Paths!$C$365=1),0,IF(Paths!$P$365="Complete",IF(IF(Paths!$E$365=0,C3947=0,AND(C3947&gt;0,Paths!$E$365&gt;(C3947-1)*12,Paths!$E$365&lt;=C3947*12)),Paths!$H$365,0),"n.a."))</f>
        <v>0</v>
      </c>
      <c r="K3947" s="16">
        <f>IF(NOT(Paths!$C$365=1),0,IF(Paths!$P$365="Complete",IF(IF(Paths!$O$365=0,C3947=0,AND(C3947&gt;0,Paths!$O$365&gt;(C3947-1)*12,Paths!$O$365&lt;=C3947*12)),Paths!$N$365,0),"n.a."))</f>
        <v>0</v>
      </c>
      <c r="L3947" s="16">
        <f>IF(NOT(Paths!$C$365=1),0,IF(Paths!$P$365="Complete",IF(C3947=10,Paths!$I$365,0),"n.a."))</f>
        <v>0</v>
      </c>
      <c r="M3947" s="16">
        <f>IF(NOT(Paths!$C$365=1),0,IF(Paths!$P$365="Complete",IF(AND(Paths!$D$365="EV",Paths!$E$365&lt;120,Paths!$E$365+'Operating costs'!$B$65&gt;Paths!$E$365,Paths!$E$365+'Operating costs'!$B$65&lt;=120,IF(Paths!$E$365+'Operating costs'!$B$65=0,C3947=0,AND(C3947&gt;0,Paths!$E$365+'Operating costs'!$B$65&gt;(C3947-1)*12,Paths!$E$365+'Operating costs'!$B$65&lt;=C3947*12))),'Operating costs'!$B$64,0)+IF(AND('Operating costs'!$B$67&gt;0,'Operating costs'!$B$67&lt;=120,OR(Paths!$D$365="ICE",'Operating costs'!$B$67&lt;=Paths!$E$365),IF('Operating costs'!$B$67=0,C3947=0,AND(C3947&gt;0,'Operating costs'!$B$67&gt;(C3947-1)*12,'Operating costs'!$B$67&lt;=C3947*12))),'Operating costs'!$B$66,0),"n.a."))</f>
        <v>0</v>
      </c>
      <c r="N3947" s="16">
        <f>IF(NOT(Paths!$C$365=1),0,IF(Paths!$P$365="Complete",SUM(G3947:I3947)-J3947-K3947-L3947+M3947+IF(C3947=0,Paths!$F$365,0)+IF(IF(Paths!$E$365=0,C3947=0,AND(C3947&gt;0,Paths!$E$365&gt;(C3947-1)*12,Paths!$E$365&lt;=C3947*12)),VLOOKUP(A3947,'Fleet register'!$A$7:$S$106,16,FALSE),0),"n.a."))</f>
        <v>0</v>
      </c>
      <c r="O3947" s="16">
        <f>IF(NOT(Paths!$C$365=1),0,IF(Paths!$P$365="Complete",N3947-IF(C3947=0,Paths!$F$365,0),"n.a."))</f>
        <v>0</v>
      </c>
      <c r="P3947" s="16">
        <f>IF(NOT(Paths!$C$365=1),0,IF(Paths!$P$365="Complete",O3947+L3947,"n.a."))</f>
        <v>0</v>
      </c>
      <c r="Q3947" s="16">
        <f>IF(NOT(Paths!$C$365=1),0,IF(Paths!$P$365="Complete",N3947*(1+'Operating costs'!$B$54)^-C3947,"n.a."))</f>
        <v>0</v>
      </c>
      <c r="R3947" s="16">
        <f>IF(NOT(Paths!$C$365=1),0,IF(Paths!$P$365="Complete",IF(AND(C3947=0,Paths!$E$365=0),I3947-J3947-K3947+VLOOKUP(A3947,'Fleet register'!$A$7:$S$106,15,FALSE)+VLOOKUP(A3947,'Fleet register'!$A$7:$S$106,16,FALSE),0),"n.a."))</f>
        <v>0</v>
      </c>
      <c r="S3947" s="1">
        <f>IF(NOT(Paths!$C$365=1),0,IF(Paths!$P$365="Complete",IF(C3947=0,0,Paths!$S$365*Paths!$R$365),"n.a."))</f>
        <v>0</v>
      </c>
      <c r="T3947" s="1">
        <f>IF(NOT(Paths!$C$365=1),0,IF(Paths!$P$365="Complete",IF(C3947=0,0,VLOOKUP(A3947,'Fleet register'!$A$7:$S$106,9,FALSE)*Paths!$R$365),"n.a."))</f>
        <v>0</v>
      </c>
    </row>
    <row r="3948" spans="1:20" ht="24" customHeight="1">
      <c r="A3948" s="1" t="str">
        <f>Paths!$A$365</f>
        <v>T090</v>
      </c>
      <c r="B3948" s="1">
        <f>Paths!$B$365</f>
        <v>2</v>
      </c>
      <c r="C3948" s="1">
        <v>3</v>
      </c>
      <c r="D3948" s="1">
        <v>365</v>
      </c>
      <c r="E3948" s="1">
        <f>IF(OR(Paths!$C$365=0,C3948=0),0,MAX(0,MIN(C3948*12,Paths!$E$365)-(C3948-1)*12))</f>
        <v>0</v>
      </c>
      <c r="F3948" s="1">
        <f>IF(OR(Paths!$C$365=0,C3948=0),0,12-E3948)</f>
        <v>0</v>
      </c>
      <c r="G3948" s="16">
        <f>IF(NOT(Paths!$C$365=1),0,IF(Paths!$P$365="Complete",E3948/12*(Paths!$J$365*(1+'Operating costs'!$B$51)^MAX(0,C3948-1)+Paths!$K$365*(1+'Operating costs'!$B$53)^MAX(0,C3948-1)),"n.a."))</f>
        <v>0</v>
      </c>
      <c r="H3948" s="16">
        <f>IF(NOT(Paths!$C$365=1),0,IF(Paths!$P$365="Complete",F3948/12*(Paths!$L$365*(1+IF(Paths!$D$365="EV",'Operating costs'!$B$52,'Operating costs'!$B$51))^MAX(0,C3948-1)+Paths!$M$365*(1+'Operating costs'!$B$53)^MAX(0,C3948-1)),"n.a."))</f>
        <v>0</v>
      </c>
      <c r="I3948" s="16">
        <f>IF(NOT(Paths!$C$365=1),0,IF(Paths!$P$365="Complete",IF(IF(Paths!$E$365=0,C3948=0,AND(C3948&gt;0,Paths!$E$365&gt;(C3948-1)*12,Paths!$E$365&lt;=C3948*12)),Paths!$G$365,0),"n.a."))</f>
        <v>0</v>
      </c>
      <c r="J3948" s="16">
        <f>IF(NOT(Paths!$C$365=1),0,IF(Paths!$P$365="Complete",IF(IF(Paths!$E$365=0,C3948=0,AND(C3948&gt;0,Paths!$E$365&gt;(C3948-1)*12,Paths!$E$365&lt;=C3948*12)),Paths!$H$365,0),"n.a."))</f>
        <v>0</v>
      </c>
      <c r="K3948" s="16">
        <f>IF(NOT(Paths!$C$365=1),0,IF(Paths!$P$365="Complete",IF(IF(Paths!$O$365=0,C3948=0,AND(C3948&gt;0,Paths!$O$365&gt;(C3948-1)*12,Paths!$O$365&lt;=C3948*12)),Paths!$N$365,0),"n.a."))</f>
        <v>0</v>
      </c>
      <c r="L3948" s="16">
        <f>IF(NOT(Paths!$C$365=1),0,IF(Paths!$P$365="Complete",IF(C3948=10,Paths!$I$365,0),"n.a."))</f>
        <v>0</v>
      </c>
      <c r="M3948" s="16">
        <f>IF(NOT(Paths!$C$365=1),0,IF(Paths!$P$365="Complete",IF(AND(Paths!$D$365="EV",Paths!$E$365&lt;120,Paths!$E$365+'Operating costs'!$B$65&gt;Paths!$E$365,Paths!$E$365+'Operating costs'!$B$65&lt;=120,IF(Paths!$E$365+'Operating costs'!$B$65=0,C3948=0,AND(C3948&gt;0,Paths!$E$365+'Operating costs'!$B$65&gt;(C3948-1)*12,Paths!$E$365+'Operating costs'!$B$65&lt;=C3948*12))),'Operating costs'!$B$64,0)+IF(AND('Operating costs'!$B$67&gt;0,'Operating costs'!$B$67&lt;=120,OR(Paths!$D$365="ICE",'Operating costs'!$B$67&lt;=Paths!$E$365),IF('Operating costs'!$B$67=0,C3948=0,AND(C3948&gt;0,'Operating costs'!$B$67&gt;(C3948-1)*12,'Operating costs'!$B$67&lt;=C3948*12))),'Operating costs'!$B$66,0),"n.a."))</f>
        <v>0</v>
      </c>
      <c r="N3948" s="16">
        <f>IF(NOT(Paths!$C$365=1),0,IF(Paths!$P$365="Complete",SUM(G3948:I3948)-J3948-K3948-L3948+M3948+IF(C3948=0,Paths!$F$365,0)+IF(IF(Paths!$E$365=0,C3948=0,AND(C3948&gt;0,Paths!$E$365&gt;(C3948-1)*12,Paths!$E$365&lt;=C3948*12)),VLOOKUP(A3948,'Fleet register'!$A$7:$S$106,16,FALSE),0),"n.a."))</f>
        <v>0</v>
      </c>
      <c r="O3948" s="16">
        <f>IF(NOT(Paths!$C$365=1),0,IF(Paths!$P$365="Complete",N3948-IF(C3948=0,Paths!$F$365,0),"n.a."))</f>
        <v>0</v>
      </c>
      <c r="P3948" s="16">
        <f>IF(NOT(Paths!$C$365=1),0,IF(Paths!$P$365="Complete",O3948+L3948,"n.a."))</f>
        <v>0</v>
      </c>
      <c r="Q3948" s="16">
        <f>IF(NOT(Paths!$C$365=1),0,IF(Paths!$P$365="Complete",N3948*(1+'Operating costs'!$B$54)^-C3948,"n.a."))</f>
        <v>0</v>
      </c>
      <c r="R3948" s="16">
        <f>IF(NOT(Paths!$C$365=1),0,IF(Paths!$P$365="Complete",IF(AND(C3948=0,Paths!$E$365=0),I3948-J3948-K3948+VLOOKUP(A3948,'Fleet register'!$A$7:$S$106,15,FALSE)+VLOOKUP(A3948,'Fleet register'!$A$7:$S$106,16,FALSE),0),"n.a."))</f>
        <v>0</v>
      </c>
      <c r="S3948" s="1">
        <f>IF(NOT(Paths!$C$365=1),0,IF(Paths!$P$365="Complete",IF(C3948=0,0,Paths!$S$365*Paths!$R$365),"n.a."))</f>
        <v>0</v>
      </c>
      <c r="T3948" s="1">
        <f>IF(NOT(Paths!$C$365=1),0,IF(Paths!$P$365="Complete",IF(C3948=0,0,VLOOKUP(A3948,'Fleet register'!$A$7:$S$106,9,FALSE)*Paths!$R$365),"n.a."))</f>
        <v>0</v>
      </c>
    </row>
    <row r="3949" spans="1:20" ht="24" customHeight="1">
      <c r="A3949" s="1" t="str">
        <f>Paths!$A$365</f>
        <v>T090</v>
      </c>
      <c r="B3949" s="1">
        <f>Paths!$B$365</f>
        <v>2</v>
      </c>
      <c r="C3949" s="1">
        <v>4</v>
      </c>
      <c r="D3949" s="1">
        <v>365</v>
      </c>
      <c r="E3949" s="1">
        <f>IF(OR(Paths!$C$365=0,C3949=0),0,MAX(0,MIN(C3949*12,Paths!$E$365)-(C3949-1)*12))</f>
        <v>0</v>
      </c>
      <c r="F3949" s="1">
        <f>IF(OR(Paths!$C$365=0,C3949=0),0,12-E3949)</f>
        <v>0</v>
      </c>
      <c r="G3949" s="16">
        <f>IF(NOT(Paths!$C$365=1),0,IF(Paths!$P$365="Complete",E3949/12*(Paths!$J$365*(1+'Operating costs'!$B$51)^MAX(0,C3949-1)+Paths!$K$365*(1+'Operating costs'!$B$53)^MAX(0,C3949-1)),"n.a."))</f>
        <v>0</v>
      </c>
      <c r="H3949" s="16">
        <f>IF(NOT(Paths!$C$365=1),0,IF(Paths!$P$365="Complete",F3949/12*(Paths!$L$365*(1+IF(Paths!$D$365="EV",'Operating costs'!$B$52,'Operating costs'!$B$51))^MAX(0,C3949-1)+Paths!$M$365*(1+'Operating costs'!$B$53)^MAX(0,C3949-1)),"n.a."))</f>
        <v>0</v>
      </c>
      <c r="I3949" s="16">
        <f>IF(NOT(Paths!$C$365=1),0,IF(Paths!$P$365="Complete",IF(IF(Paths!$E$365=0,C3949=0,AND(C3949&gt;0,Paths!$E$365&gt;(C3949-1)*12,Paths!$E$365&lt;=C3949*12)),Paths!$G$365,0),"n.a."))</f>
        <v>0</v>
      </c>
      <c r="J3949" s="16">
        <f>IF(NOT(Paths!$C$365=1),0,IF(Paths!$P$365="Complete",IF(IF(Paths!$E$365=0,C3949=0,AND(C3949&gt;0,Paths!$E$365&gt;(C3949-1)*12,Paths!$E$365&lt;=C3949*12)),Paths!$H$365,0),"n.a."))</f>
        <v>0</v>
      </c>
      <c r="K3949" s="16">
        <f>IF(NOT(Paths!$C$365=1),0,IF(Paths!$P$365="Complete",IF(IF(Paths!$O$365=0,C3949=0,AND(C3949&gt;0,Paths!$O$365&gt;(C3949-1)*12,Paths!$O$365&lt;=C3949*12)),Paths!$N$365,0),"n.a."))</f>
        <v>0</v>
      </c>
      <c r="L3949" s="16">
        <f>IF(NOT(Paths!$C$365=1),0,IF(Paths!$P$365="Complete",IF(C3949=10,Paths!$I$365,0),"n.a."))</f>
        <v>0</v>
      </c>
      <c r="M3949" s="16">
        <f>IF(NOT(Paths!$C$365=1),0,IF(Paths!$P$365="Complete",IF(AND(Paths!$D$365="EV",Paths!$E$365&lt;120,Paths!$E$365+'Operating costs'!$B$65&gt;Paths!$E$365,Paths!$E$365+'Operating costs'!$B$65&lt;=120,IF(Paths!$E$365+'Operating costs'!$B$65=0,C3949=0,AND(C3949&gt;0,Paths!$E$365+'Operating costs'!$B$65&gt;(C3949-1)*12,Paths!$E$365+'Operating costs'!$B$65&lt;=C3949*12))),'Operating costs'!$B$64,0)+IF(AND('Operating costs'!$B$67&gt;0,'Operating costs'!$B$67&lt;=120,OR(Paths!$D$365="ICE",'Operating costs'!$B$67&lt;=Paths!$E$365),IF('Operating costs'!$B$67=0,C3949=0,AND(C3949&gt;0,'Operating costs'!$B$67&gt;(C3949-1)*12,'Operating costs'!$B$67&lt;=C3949*12))),'Operating costs'!$B$66,0),"n.a."))</f>
        <v>0</v>
      </c>
      <c r="N3949" s="16">
        <f>IF(NOT(Paths!$C$365=1),0,IF(Paths!$P$365="Complete",SUM(G3949:I3949)-J3949-K3949-L3949+M3949+IF(C3949=0,Paths!$F$365,0)+IF(IF(Paths!$E$365=0,C3949=0,AND(C3949&gt;0,Paths!$E$365&gt;(C3949-1)*12,Paths!$E$365&lt;=C3949*12)),VLOOKUP(A3949,'Fleet register'!$A$7:$S$106,16,FALSE),0),"n.a."))</f>
        <v>0</v>
      </c>
      <c r="O3949" s="16">
        <f>IF(NOT(Paths!$C$365=1),0,IF(Paths!$P$365="Complete",N3949-IF(C3949=0,Paths!$F$365,0),"n.a."))</f>
        <v>0</v>
      </c>
      <c r="P3949" s="16">
        <f>IF(NOT(Paths!$C$365=1),0,IF(Paths!$P$365="Complete",O3949+L3949,"n.a."))</f>
        <v>0</v>
      </c>
      <c r="Q3949" s="16">
        <f>IF(NOT(Paths!$C$365=1),0,IF(Paths!$P$365="Complete",N3949*(1+'Operating costs'!$B$54)^-C3949,"n.a."))</f>
        <v>0</v>
      </c>
      <c r="R3949" s="16">
        <f>IF(NOT(Paths!$C$365=1),0,IF(Paths!$P$365="Complete",IF(AND(C3949=0,Paths!$E$365=0),I3949-J3949-K3949+VLOOKUP(A3949,'Fleet register'!$A$7:$S$106,15,FALSE)+VLOOKUP(A3949,'Fleet register'!$A$7:$S$106,16,FALSE),0),"n.a."))</f>
        <v>0</v>
      </c>
      <c r="S3949" s="1">
        <f>IF(NOT(Paths!$C$365=1),0,IF(Paths!$P$365="Complete",IF(C3949=0,0,Paths!$S$365*Paths!$R$365),"n.a."))</f>
        <v>0</v>
      </c>
      <c r="T3949" s="1">
        <f>IF(NOT(Paths!$C$365=1),0,IF(Paths!$P$365="Complete",IF(C3949=0,0,VLOOKUP(A3949,'Fleet register'!$A$7:$S$106,9,FALSE)*Paths!$R$365),"n.a."))</f>
        <v>0</v>
      </c>
    </row>
    <row r="3950" spans="1:20" ht="24" customHeight="1">
      <c r="A3950" s="1" t="str">
        <f>Paths!$A$365</f>
        <v>T090</v>
      </c>
      <c r="B3950" s="1">
        <f>Paths!$B$365</f>
        <v>2</v>
      </c>
      <c r="C3950" s="1">
        <v>5</v>
      </c>
      <c r="D3950" s="1">
        <v>365</v>
      </c>
      <c r="E3950" s="1">
        <f>IF(OR(Paths!$C$365=0,C3950=0),0,MAX(0,MIN(C3950*12,Paths!$E$365)-(C3950-1)*12))</f>
        <v>0</v>
      </c>
      <c r="F3950" s="1">
        <f>IF(OR(Paths!$C$365=0,C3950=0),0,12-E3950)</f>
        <v>0</v>
      </c>
      <c r="G3950" s="16">
        <f>IF(NOT(Paths!$C$365=1),0,IF(Paths!$P$365="Complete",E3950/12*(Paths!$J$365*(1+'Operating costs'!$B$51)^MAX(0,C3950-1)+Paths!$K$365*(1+'Operating costs'!$B$53)^MAX(0,C3950-1)),"n.a."))</f>
        <v>0</v>
      </c>
      <c r="H3950" s="16">
        <f>IF(NOT(Paths!$C$365=1),0,IF(Paths!$P$365="Complete",F3950/12*(Paths!$L$365*(1+IF(Paths!$D$365="EV",'Operating costs'!$B$52,'Operating costs'!$B$51))^MAX(0,C3950-1)+Paths!$M$365*(1+'Operating costs'!$B$53)^MAX(0,C3950-1)),"n.a."))</f>
        <v>0</v>
      </c>
      <c r="I3950" s="16">
        <f>IF(NOT(Paths!$C$365=1),0,IF(Paths!$P$365="Complete",IF(IF(Paths!$E$365=0,C3950=0,AND(C3950&gt;0,Paths!$E$365&gt;(C3950-1)*12,Paths!$E$365&lt;=C3950*12)),Paths!$G$365,0),"n.a."))</f>
        <v>0</v>
      </c>
      <c r="J3950" s="16">
        <f>IF(NOT(Paths!$C$365=1),0,IF(Paths!$P$365="Complete",IF(IF(Paths!$E$365=0,C3950=0,AND(C3950&gt;0,Paths!$E$365&gt;(C3950-1)*12,Paths!$E$365&lt;=C3950*12)),Paths!$H$365,0),"n.a."))</f>
        <v>0</v>
      </c>
      <c r="K3950" s="16">
        <f>IF(NOT(Paths!$C$365=1),0,IF(Paths!$P$365="Complete",IF(IF(Paths!$O$365=0,C3950=0,AND(C3950&gt;0,Paths!$O$365&gt;(C3950-1)*12,Paths!$O$365&lt;=C3950*12)),Paths!$N$365,0),"n.a."))</f>
        <v>0</v>
      </c>
      <c r="L3950" s="16">
        <f>IF(NOT(Paths!$C$365=1),0,IF(Paths!$P$365="Complete",IF(C3950=10,Paths!$I$365,0),"n.a."))</f>
        <v>0</v>
      </c>
      <c r="M3950" s="16">
        <f>IF(NOT(Paths!$C$365=1),0,IF(Paths!$P$365="Complete",IF(AND(Paths!$D$365="EV",Paths!$E$365&lt;120,Paths!$E$365+'Operating costs'!$B$65&gt;Paths!$E$365,Paths!$E$365+'Operating costs'!$B$65&lt;=120,IF(Paths!$E$365+'Operating costs'!$B$65=0,C3950=0,AND(C3950&gt;0,Paths!$E$365+'Operating costs'!$B$65&gt;(C3950-1)*12,Paths!$E$365+'Operating costs'!$B$65&lt;=C3950*12))),'Operating costs'!$B$64,0)+IF(AND('Operating costs'!$B$67&gt;0,'Operating costs'!$B$67&lt;=120,OR(Paths!$D$365="ICE",'Operating costs'!$B$67&lt;=Paths!$E$365),IF('Operating costs'!$B$67=0,C3950=0,AND(C3950&gt;0,'Operating costs'!$B$67&gt;(C3950-1)*12,'Operating costs'!$B$67&lt;=C3950*12))),'Operating costs'!$B$66,0),"n.a."))</f>
        <v>0</v>
      </c>
      <c r="N3950" s="16">
        <f>IF(NOT(Paths!$C$365=1),0,IF(Paths!$P$365="Complete",SUM(G3950:I3950)-J3950-K3950-L3950+M3950+IF(C3950=0,Paths!$F$365,0)+IF(IF(Paths!$E$365=0,C3950=0,AND(C3950&gt;0,Paths!$E$365&gt;(C3950-1)*12,Paths!$E$365&lt;=C3950*12)),VLOOKUP(A3950,'Fleet register'!$A$7:$S$106,16,FALSE),0),"n.a."))</f>
        <v>0</v>
      </c>
      <c r="O3950" s="16">
        <f>IF(NOT(Paths!$C$365=1),0,IF(Paths!$P$365="Complete",N3950-IF(C3950=0,Paths!$F$365,0),"n.a."))</f>
        <v>0</v>
      </c>
      <c r="P3950" s="16">
        <f>IF(NOT(Paths!$C$365=1),0,IF(Paths!$P$365="Complete",O3950+L3950,"n.a."))</f>
        <v>0</v>
      </c>
      <c r="Q3950" s="16">
        <f>IF(NOT(Paths!$C$365=1),0,IF(Paths!$P$365="Complete",N3950*(1+'Operating costs'!$B$54)^-C3950,"n.a."))</f>
        <v>0</v>
      </c>
      <c r="R3950" s="16">
        <f>IF(NOT(Paths!$C$365=1),0,IF(Paths!$P$365="Complete",IF(AND(C3950=0,Paths!$E$365=0),I3950-J3950-K3950+VLOOKUP(A3950,'Fleet register'!$A$7:$S$106,15,FALSE)+VLOOKUP(A3950,'Fleet register'!$A$7:$S$106,16,FALSE),0),"n.a."))</f>
        <v>0</v>
      </c>
      <c r="S3950" s="1">
        <f>IF(NOT(Paths!$C$365=1),0,IF(Paths!$P$365="Complete",IF(C3950=0,0,Paths!$S$365*Paths!$R$365),"n.a."))</f>
        <v>0</v>
      </c>
      <c r="T3950" s="1">
        <f>IF(NOT(Paths!$C$365=1),0,IF(Paths!$P$365="Complete",IF(C3950=0,0,VLOOKUP(A3950,'Fleet register'!$A$7:$S$106,9,FALSE)*Paths!$R$365),"n.a."))</f>
        <v>0</v>
      </c>
    </row>
    <row r="3951" spans="1:20" ht="24" customHeight="1">
      <c r="A3951" s="1" t="str">
        <f>Paths!$A$365</f>
        <v>T090</v>
      </c>
      <c r="B3951" s="1">
        <f>Paths!$B$365</f>
        <v>2</v>
      </c>
      <c r="C3951" s="1">
        <v>6</v>
      </c>
      <c r="D3951" s="1">
        <v>365</v>
      </c>
      <c r="E3951" s="1">
        <f>IF(OR(Paths!$C$365=0,C3951=0),0,MAX(0,MIN(C3951*12,Paths!$E$365)-(C3951-1)*12))</f>
        <v>0</v>
      </c>
      <c r="F3951" s="1">
        <f>IF(OR(Paths!$C$365=0,C3951=0),0,12-E3951)</f>
        <v>0</v>
      </c>
      <c r="G3951" s="16">
        <f>IF(NOT(Paths!$C$365=1),0,IF(Paths!$P$365="Complete",E3951/12*(Paths!$J$365*(1+'Operating costs'!$B$51)^MAX(0,C3951-1)+Paths!$K$365*(1+'Operating costs'!$B$53)^MAX(0,C3951-1)),"n.a."))</f>
        <v>0</v>
      </c>
      <c r="H3951" s="16">
        <f>IF(NOT(Paths!$C$365=1),0,IF(Paths!$P$365="Complete",F3951/12*(Paths!$L$365*(1+IF(Paths!$D$365="EV",'Operating costs'!$B$52,'Operating costs'!$B$51))^MAX(0,C3951-1)+Paths!$M$365*(1+'Operating costs'!$B$53)^MAX(0,C3951-1)),"n.a."))</f>
        <v>0</v>
      </c>
      <c r="I3951" s="16">
        <f>IF(NOT(Paths!$C$365=1),0,IF(Paths!$P$365="Complete",IF(IF(Paths!$E$365=0,C3951=0,AND(C3951&gt;0,Paths!$E$365&gt;(C3951-1)*12,Paths!$E$365&lt;=C3951*12)),Paths!$G$365,0),"n.a."))</f>
        <v>0</v>
      </c>
      <c r="J3951" s="16">
        <f>IF(NOT(Paths!$C$365=1),0,IF(Paths!$P$365="Complete",IF(IF(Paths!$E$365=0,C3951=0,AND(C3951&gt;0,Paths!$E$365&gt;(C3951-1)*12,Paths!$E$365&lt;=C3951*12)),Paths!$H$365,0),"n.a."))</f>
        <v>0</v>
      </c>
      <c r="K3951" s="16">
        <f>IF(NOT(Paths!$C$365=1),0,IF(Paths!$P$365="Complete",IF(IF(Paths!$O$365=0,C3951=0,AND(C3951&gt;0,Paths!$O$365&gt;(C3951-1)*12,Paths!$O$365&lt;=C3951*12)),Paths!$N$365,0),"n.a."))</f>
        <v>0</v>
      </c>
      <c r="L3951" s="16">
        <f>IF(NOT(Paths!$C$365=1),0,IF(Paths!$P$365="Complete",IF(C3951=10,Paths!$I$365,0),"n.a."))</f>
        <v>0</v>
      </c>
      <c r="M3951" s="16">
        <f>IF(NOT(Paths!$C$365=1),0,IF(Paths!$P$365="Complete",IF(AND(Paths!$D$365="EV",Paths!$E$365&lt;120,Paths!$E$365+'Operating costs'!$B$65&gt;Paths!$E$365,Paths!$E$365+'Operating costs'!$B$65&lt;=120,IF(Paths!$E$365+'Operating costs'!$B$65=0,C3951=0,AND(C3951&gt;0,Paths!$E$365+'Operating costs'!$B$65&gt;(C3951-1)*12,Paths!$E$365+'Operating costs'!$B$65&lt;=C3951*12))),'Operating costs'!$B$64,0)+IF(AND('Operating costs'!$B$67&gt;0,'Operating costs'!$B$67&lt;=120,OR(Paths!$D$365="ICE",'Operating costs'!$B$67&lt;=Paths!$E$365),IF('Operating costs'!$B$67=0,C3951=0,AND(C3951&gt;0,'Operating costs'!$B$67&gt;(C3951-1)*12,'Operating costs'!$B$67&lt;=C3951*12))),'Operating costs'!$B$66,0),"n.a."))</f>
        <v>0</v>
      </c>
      <c r="N3951" s="16">
        <f>IF(NOT(Paths!$C$365=1),0,IF(Paths!$P$365="Complete",SUM(G3951:I3951)-J3951-K3951-L3951+M3951+IF(C3951=0,Paths!$F$365,0)+IF(IF(Paths!$E$365=0,C3951=0,AND(C3951&gt;0,Paths!$E$365&gt;(C3951-1)*12,Paths!$E$365&lt;=C3951*12)),VLOOKUP(A3951,'Fleet register'!$A$7:$S$106,16,FALSE),0),"n.a."))</f>
        <v>0</v>
      </c>
      <c r="O3951" s="16">
        <f>IF(NOT(Paths!$C$365=1),0,IF(Paths!$P$365="Complete",N3951-IF(C3951=0,Paths!$F$365,0),"n.a."))</f>
        <v>0</v>
      </c>
      <c r="P3951" s="16">
        <f>IF(NOT(Paths!$C$365=1),0,IF(Paths!$P$365="Complete",O3951+L3951,"n.a."))</f>
        <v>0</v>
      </c>
      <c r="Q3951" s="16">
        <f>IF(NOT(Paths!$C$365=1),0,IF(Paths!$P$365="Complete",N3951*(1+'Operating costs'!$B$54)^-C3951,"n.a."))</f>
        <v>0</v>
      </c>
      <c r="R3951" s="16">
        <f>IF(NOT(Paths!$C$365=1),0,IF(Paths!$P$365="Complete",IF(AND(C3951=0,Paths!$E$365=0),I3951-J3951-K3951+VLOOKUP(A3951,'Fleet register'!$A$7:$S$106,15,FALSE)+VLOOKUP(A3951,'Fleet register'!$A$7:$S$106,16,FALSE),0),"n.a."))</f>
        <v>0</v>
      </c>
      <c r="S3951" s="1">
        <f>IF(NOT(Paths!$C$365=1),0,IF(Paths!$P$365="Complete",IF(C3951=0,0,Paths!$S$365*Paths!$R$365),"n.a."))</f>
        <v>0</v>
      </c>
      <c r="T3951" s="1">
        <f>IF(NOT(Paths!$C$365=1),0,IF(Paths!$P$365="Complete",IF(C3951=0,0,VLOOKUP(A3951,'Fleet register'!$A$7:$S$106,9,FALSE)*Paths!$R$365),"n.a."))</f>
        <v>0</v>
      </c>
    </row>
    <row r="3952" spans="1:20" ht="24" customHeight="1">
      <c r="A3952" s="1" t="str">
        <f>Paths!$A$365</f>
        <v>T090</v>
      </c>
      <c r="B3952" s="1">
        <f>Paths!$B$365</f>
        <v>2</v>
      </c>
      <c r="C3952" s="1">
        <v>7</v>
      </c>
      <c r="D3952" s="1">
        <v>365</v>
      </c>
      <c r="E3952" s="1">
        <f>IF(OR(Paths!$C$365=0,C3952=0),0,MAX(0,MIN(C3952*12,Paths!$E$365)-(C3952-1)*12))</f>
        <v>0</v>
      </c>
      <c r="F3952" s="1">
        <f>IF(OR(Paths!$C$365=0,C3952=0),0,12-E3952)</f>
        <v>0</v>
      </c>
      <c r="G3952" s="16">
        <f>IF(NOT(Paths!$C$365=1),0,IF(Paths!$P$365="Complete",E3952/12*(Paths!$J$365*(1+'Operating costs'!$B$51)^MAX(0,C3952-1)+Paths!$K$365*(1+'Operating costs'!$B$53)^MAX(0,C3952-1)),"n.a."))</f>
        <v>0</v>
      </c>
      <c r="H3952" s="16">
        <f>IF(NOT(Paths!$C$365=1),0,IF(Paths!$P$365="Complete",F3952/12*(Paths!$L$365*(1+IF(Paths!$D$365="EV",'Operating costs'!$B$52,'Operating costs'!$B$51))^MAX(0,C3952-1)+Paths!$M$365*(1+'Operating costs'!$B$53)^MAX(0,C3952-1)),"n.a."))</f>
        <v>0</v>
      </c>
      <c r="I3952" s="16">
        <f>IF(NOT(Paths!$C$365=1),0,IF(Paths!$P$365="Complete",IF(IF(Paths!$E$365=0,C3952=0,AND(C3952&gt;0,Paths!$E$365&gt;(C3952-1)*12,Paths!$E$365&lt;=C3952*12)),Paths!$G$365,0),"n.a."))</f>
        <v>0</v>
      </c>
      <c r="J3952" s="16">
        <f>IF(NOT(Paths!$C$365=1),0,IF(Paths!$P$365="Complete",IF(IF(Paths!$E$365=0,C3952=0,AND(C3952&gt;0,Paths!$E$365&gt;(C3952-1)*12,Paths!$E$365&lt;=C3952*12)),Paths!$H$365,0),"n.a."))</f>
        <v>0</v>
      </c>
      <c r="K3952" s="16">
        <f>IF(NOT(Paths!$C$365=1),0,IF(Paths!$P$365="Complete",IF(IF(Paths!$O$365=0,C3952=0,AND(C3952&gt;0,Paths!$O$365&gt;(C3952-1)*12,Paths!$O$365&lt;=C3952*12)),Paths!$N$365,0),"n.a."))</f>
        <v>0</v>
      </c>
      <c r="L3952" s="16">
        <f>IF(NOT(Paths!$C$365=1),0,IF(Paths!$P$365="Complete",IF(C3952=10,Paths!$I$365,0),"n.a."))</f>
        <v>0</v>
      </c>
      <c r="M3952" s="16">
        <f>IF(NOT(Paths!$C$365=1),0,IF(Paths!$P$365="Complete",IF(AND(Paths!$D$365="EV",Paths!$E$365&lt;120,Paths!$E$365+'Operating costs'!$B$65&gt;Paths!$E$365,Paths!$E$365+'Operating costs'!$B$65&lt;=120,IF(Paths!$E$365+'Operating costs'!$B$65=0,C3952=0,AND(C3952&gt;0,Paths!$E$365+'Operating costs'!$B$65&gt;(C3952-1)*12,Paths!$E$365+'Operating costs'!$B$65&lt;=C3952*12))),'Operating costs'!$B$64,0)+IF(AND('Operating costs'!$B$67&gt;0,'Operating costs'!$B$67&lt;=120,OR(Paths!$D$365="ICE",'Operating costs'!$B$67&lt;=Paths!$E$365),IF('Operating costs'!$B$67=0,C3952=0,AND(C3952&gt;0,'Operating costs'!$B$67&gt;(C3952-1)*12,'Operating costs'!$B$67&lt;=C3952*12))),'Operating costs'!$B$66,0),"n.a."))</f>
        <v>0</v>
      </c>
      <c r="N3952" s="16">
        <f>IF(NOT(Paths!$C$365=1),0,IF(Paths!$P$365="Complete",SUM(G3952:I3952)-J3952-K3952-L3952+M3952+IF(C3952=0,Paths!$F$365,0)+IF(IF(Paths!$E$365=0,C3952=0,AND(C3952&gt;0,Paths!$E$365&gt;(C3952-1)*12,Paths!$E$365&lt;=C3952*12)),VLOOKUP(A3952,'Fleet register'!$A$7:$S$106,16,FALSE),0),"n.a."))</f>
        <v>0</v>
      </c>
      <c r="O3952" s="16">
        <f>IF(NOT(Paths!$C$365=1),0,IF(Paths!$P$365="Complete",N3952-IF(C3952=0,Paths!$F$365,0),"n.a."))</f>
        <v>0</v>
      </c>
      <c r="P3952" s="16">
        <f>IF(NOT(Paths!$C$365=1),0,IF(Paths!$P$365="Complete",O3952+L3952,"n.a."))</f>
        <v>0</v>
      </c>
      <c r="Q3952" s="16">
        <f>IF(NOT(Paths!$C$365=1),0,IF(Paths!$P$365="Complete",N3952*(1+'Operating costs'!$B$54)^-C3952,"n.a."))</f>
        <v>0</v>
      </c>
      <c r="R3952" s="16">
        <f>IF(NOT(Paths!$C$365=1),0,IF(Paths!$P$365="Complete",IF(AND(C3952=0,Paths!$E$365=0),I3952-J3952-K3952+VLOOKUP(A3952,'Fleet register'!$A$7:$S$106,15,FALSE)+VLOOKUP(A3952,'Fleet register'!$A$7:$S$106,16,FALSE),0),"n.a."))</f>
        <v>0</v>
      </c>
      <c r="S3952" s="1">
        <f>IF(NOT(Paths!$C$365=1),0,IF(Paths!$P$365="Complete",IF(C3952=0,0,Paths!$S$365*Paths!$R$365),"n.a."))</f>
        <v>0</v>
      </c>
      <c r="T3952" s="1">
        <f>IF(NOT(Paths!$C$365=1),0,IF(Paths!$P$365="Complete",IF(C3952=0,0,VLOOKUP(A3952,'Fleet register'!$A$7:$S$106,9,FALSE)*Paths!$R$365),"n.a."))</f>
        <v>0</v>
      </c>
    </row>
    <row r="3953" spans="1:20" ht="24" customHeight="1">
      <c r="A3953" s="1" t="str">
        <f>Paths!$A$365</f>
        <v>T090</v>
      </c>
      <c r="B3953" s="1">
        <f>Paths!$B$365</f>
        <v>2</v>
      </c>
      <c r="C3953" s="1">
        <v>8</v>
      </c>
      <c r="D3953" s="1">
        <v>365</v>
      </c>
      <c r="E3953" s="1">
        <f>IF(OR(Paths!$C$365=0,C3953=0),0,MAX(0,MIN(C3953*12,Paths!$E$365)-(C3953-1)*12))</f>
        <v>0</v>
      </c>
      <c r="F3953" s="1">
        <f>IF(OR(Paths!$C$365=0,C3953=0),0,12-E3953)</f>
        <v>0</v>
      </c>
      <c r="G3953" s="16">
        <f>IF(NOT(Paths!$C$365=1),0,IF(Paths!$P$365="Complete",E3953/12*(Paths!$J$365*(1+'Operating costs'!$B$51)^MAX(0,C3953-1)+Paths!$K$365*(1+'Operating costs'!$B$53)^MAX(0,C3953-1)),"n.a."))</f>
        <v>0</v>
      </c>
      <c r="H3953" s="16">
        <f>IF(NOT(Paths!$C$365=1),0,IF(Paths!$P$365="Complete",F3953/12*(Paths!$L$365*(1+IF(Paths!$D$365="EV",'Operating costs'!$B$52,'Operating costs'!$B$51))^MAX(0,C3953-1)+Paths!$M$365*(1+'Operating costs'!$B$53)^MAX(0,C3953-1)),"n.a."))</f>
        <v>0</v>
      </c>
      <c r="I3953" s="16">
        <f>IF(NOT(Paths!$C$365=1),0,IF(Paths!$P$365="Complete",IF(IF(Paths!$E$365=0,C3953=0,AND(C3953&gt;0,Paths!$E$365&gt;(C3953-1)*12,Paths!$E$365&lt;=C3953*12)),Paths!$G$365,0),"n.a."))</f>
        <v>0</v>
      </c>
      <c r="J3953" s="16">
        <f>IF(NOT(Paths!$C$365=1),0,IF(Paths!$P$365="Complete",IF(IF(Paths!$E$365=0,C3953=0,AND(C3953&gt;0,Paths!$E$365&gt;(C3953-1)*12,Paths!$E$365&lt;=C3953*12)),Paths!$H$365,0),"n.a."))</f>
        <v>0</v>
      </c>
      <c r="K3953" s="16">
        <f>IF(NOT(Paths!$C$365=1),0,IF(Paths!$P$365="Complete",IF(IF(Paths!$O$365=0,C3953=0,AND(C3953&gt;0,Paths!$O$365&gt;(C3953-1)*12,Paths!$O$365&lt;=C3953*12)),Paths!$N$365,0),"n.a."))</f>
        <v>0</v>
      </c>
      <c r="L3953" s="16">
        <f>IF(NOT(Paths!$C$365=1),0,IF(Paths!$P$365="Complete",IF(C3953=10,Paths!$I$365,0),"n.a."))</f>
        <v>0</v>
      </c>
      <c r="M3953" s="16">
        <f>IF(NOT(Paths!$C$365=1),0,IF(Paths!$P$365="Complete",IF(AND(Paths!$D$365="EV",Paths!$E$365&lt;120,Paths!$E$365+'Operating costs'!$B$65&gt;Paths!$E$365,Paths!$E$365+'Operating costs'!$B$65&lt;=120,IF(Paths!$E$365+'Operating costs'!$B$65=0,C3953=0,AND(C3953&gt;0,Paths!$E$365+'Operating costs'!$B$65&gt;(C3953-1)*12,Paths!$E$365+'Operating costs'!$B$65&lt;=C3953*12))),'Operating costs'!$B$64,0)+IF(AND('Operating costs'!$B$67&gt;0,'Operating costs'!$B$67&lt;=120,OR(Paths!$D$365="ICE",'Operating costs'!$B$67&lt;=Paths!$E$365),IF('Operating costs'!$B$67=0,C3953=0,AND(C3953&gt;0,'Operating costs'!$B$67&gt;(C3953-1)*12,'Operating costs'!$B$67&lt;=C3953*12))),'Operating costs'!$B$66,0),"n.a."))</f>
        <v>0</v>
      </c>
      <c r="N3953" s="16">
        <f>IF(NOT(Paths!$C$365=1),0,IF(Paths!$P$365="Complete",SUM(G3953:I3953)-J3953-K3953-L3953+M3953+IF(C3953=0,Paths!$F$365,0)+IF(IF(Paths!$E$365=0,C3953=0,AND(C3953&gt;0,Paths!$E$365&gt;(C3953-1)*12,Paths!$E$365&lt;=C3953*12)),VLOOKUP(A3953,'Fleet register'!$A$7:$S$106,16,FALSE),0),"n.a."))</f>
        <v>0</v>
      </c>
      <c r="O3953" s="16">
        <f>IF(NOT(Paths!$C$365=1),0,IF(Paths!$P$365="Complete",N3953-IF(C3953=0,Paths!$F$365,0),"n.a."))</f>
        <v>0</v>
      </c>
      <c r="P3953" s="16">
        <f>IF(NOT(Paths!$C$365=1),0,IF(Paths!$P$365="Complete",O3953+L3953,"n.a."))</f>
        <v>0</v>
      </c>
      <c r="Q3953" s="16">
        <f>IF(NOT(Paths!$C$365=1),0,IF(Paths!$P$365="Complete",N3953*(1+'Operating costs'!$B$54)^-C3953,"n.a."))</f>
        <v>0</v>
      </c>
      <c r="R3953" s="16">
        <f>IF(NOT(Paths!$C$365=1),0,IF(Paths!$P$365="Complete",IF(AND(C3953=0,Paths!$E$365=0),I3953-J3953-K3953+VLOOKUP(A3953,'Fleet register'!$A$7:$S$106,15,FALSE)+VLOOKUP(A3953,'Fleet register'!$A$7:$S$106,16,FALSE),0),"n.a."))</f>
        <v>0</v>
      </c>
      <c r="S3953" s="1">
        <f>IF(NOT(Paths!$C$365=1),0,IF(Paths!$P$365="Complete",IF(C3953=0,0,Paths!$S$365*Paths!$R$365),"n.a."))</f>
        <v>0</v>
      </c>
      <c r="T3953" s="1">
        <f>IF(NOT(Paths!$C$365=1),0,IF(Paths!$P$365="Complete",IF(C3953=0,0,VLOOKUP(A3953,'Fleet register'!$A$7:$S$106,9,FALSE)*Paths!$R$365),"n.a."))</f>
        <v>0</v>
      </c>
    </row>
    <row r="3954" spans="1:20" ht="24" customHeight="1">
      <c r="A3954" s="1" t="str">
        <f>Paths!$A$365</f>
        <v>T090</v>
      </c>
      <c r="B3954" s="1">
        <f>Paths!$B$365</f>
        <v>2</v>
      </c>
      <c r="C3954" s="1">
        <v>9</v>
      </c>
      <c r="D3954" s="1">
        <v>365</v>
      </c>
      <c r="E3954" s="1">
        <f>IF(OR(Paths!$C$365=0,C3954=0),0,MAX(0,MIN(C3954*12,Paths!$E$365)-(C3954-1)*12))</f>
        <v>0</v>
      </c>
      <c r="F3954" s="1">
        <f>IF(OR(Paths!$C$365=0,C3954=0),0,12-E3954)</f>
        <v>0</v>
      </c>
      <c r="G3954" s="16">
        <f>IF(NOT(Paths!$C$365=1),0,IF(Paths!$P$365="Complete",E3954/12*(Paths!$J$365*(1+'Operating costs'!$B$51)^MAX(0,C3954-1)+Paths!$K$365*(1+'Operating costs'!$B$53)^MAX(0,C3954-1)),"n.a."))</f>
        <v>0</v>
      </c>
      <c r="H3954" s="16">
        <f>IF(NOT(Paths!$C$365=1),0,IF(Paths!$P$365="Complete",F3954/12*(Paths!$L$365*(1+IF(Paths!$D$365="EV",'Operating costs'!$B$52,'Operating costs'!$B$51))^MAX(0,C3954-1)+Paths!$M$365*(1+'Operating costs'!$B$53)^MAX(0,C3954-1)),"n.a."))</f>
        <v>0</v>
      </c>
      <c r="I3954" s="16">
        <f>IF(NOT(Paths!$C$365=1),0,IF(Paths!$P$365="Complete",IF(IF(Paths!$E$365=0,C3954=0,AND(C3954&gt;0,Paths!$E$365&gt;(C3954-1)*12,Paths!$E$365&lt;=C3954*12)),Paths!$G$365,0),"n.a."))</f>
        <v>0</v>
      </c>
      <c r="J3954" s="16">
        <f>IF(NOT(Paths!$C$365=1),0,IF(Paths!$P$365="Complete",IF(IF(Paths!$E$365=0,C3954=0,AND(C3954&gt;0,Paths!$E$365&gt;(C3954-1)*12,Paths!$E$365&lt;=C3954*12)),Paths!$H$365,0),"n.a."))</f>
        <v>0</v>
      </c>
      <c r="K3954" s="16">
        <f>IF(NOT(Paths!$C$365=1),0,IF(Paths!$P$365="Complete",IF(IF(Paths!$O$365=0,C3954=0,AND(C3954&gt;0,Paths!$O$365&gt;(C3954-1)*12,Paths!$O$365&lt;=C3954*12)),Paths!$N$365,0),"n.a."))</f>
        <v>0</v>
      </c>
      <c r="L3954" s="16">
        <f>IF(NOT(Paths!$C$365=1),0,IF(Paths!$P$365="Complete",IF(C3954=10,Paths!$I$365,0),"n.a."))</f>
        <v>0</v>
      </c>
      <c r="M3954" s="16">
        <f>IF(NOT(Paths!$C$365=1),0,IF(Paths!$P$365="Complete",IF(AND(Paths!$D$365="EV",Paths!$E$365&lt;120,Paths!$E$365+'Operating costs'!$B$65&gt;Paths!$E$365,Paths!$E$365+'Operating costs'!$B$65&lt;=120,IF(Paths!$E$365+'Operating costs'!$B$65=0,C3954=0,AND(C3954&gt;0,Paths!$E$365+'Operating costs'!$B$65&gt;(C3954-1)*12,Paths!$E$365+'Operating costs'!$B$65&lt;=C3954*12))),'Operating costs'!$B$64,0)+IF(AND('Operating costs'!$B$67&gt;0,'Operating costs'!$B$67&lt;=120,OR(Paths!$D$365="ICE",'Operating costs'!$B$67&lt;=Paths!$E$365),IF('Operating costs'!$B$67=0,C3954=0,AND(C3954&gt;0,'Operating costs'!$B$67&gt;(C3954-1)*12,'Operating costs'!$B$67&lt;=C3954*12))),'Operating costs'!$B$66,0),"n.a."))</f>
        <v>0</v>
      </c>
      <c r="N3954" s="16">
        <f>IF(NOT(Paths!$C$365=1),0,IF(Paths!$P$365="Complete",SUM(G3954:I3954)-J3954-K3954-L3954+M3954+IF(C3954=0,Paths!$F$365,0)+IF(IF(Paths!$E$365=0,C3954=0,AND(C3954&gt;0,Paths!$E$365&gt;(C3954-1)*12,Paths!$E$365&lt;=C3954*12)),VLOOKUP(A3954,'Fleet register'!$A$7:$S$106,16,FALSE),0),"n.a."))</f>
        <v>0</v>
      </c>
      <c r="O3954" s="16">
        <f>IF(NOT(Paths!$C$365=1),0,IF(Paths!$P$365="Complete",N3954-IF(C3954=0,Paths!$F$365,0),"n.a."))</f>
        <v>0</v>
      </c>
      <c r="P3954" s="16">
        <f>IF(NOT(Paths!$C$365=1),0,IF(Paths!$P$365="Complete",O3954+L3954,"n.a."))</f>
        <v>0</v>
      </c>
      <c r="Q3954" s="16">
        <f>IF(NOT(Paths!$C$365=1),0,IF(Paths!$P$365="Complete",N3954*(1+'Operating costs'!$B$54)^-C3954,"n.a."))</f>
        <v>0</v>
      </c>
      <c r="R3954" s="16">
        <f>IF(NOT(Paths!$C$365=1),0,IF(Paths!$P$365="Complete",IF(AND(C3954=0,Paths!$E$365=0),I3954-J3954-K3954+VLOOKUP(A3954,'Fleet register'!$A$7:$S$106,15,FALSE)+VLOOKUP(A3954,'Fleet register'!$A$7:$S$106,16,FALSE),0),"n.a."))</f>
        <v>0</v>
      </c>
      <c r="S3954" s="1">
        <f>IF(NOT(Paths!$C$365=1),0,IF(Paths!$P$365="Complete",IF(C3954=0,0,Paths!$S$365*Paths!$R$365),"n.a."))</f>
        <v>0</v>
      </c>
      <c r="T3954" s="1">
        <f>IF(NOT(Paths!$C$365=1),0,IF(Paths!$P$365="Complete",IF(C3954=0,0,VLOOKUP(A3954,'Fleet register'!$A$7:$S$106,9,FALSE)*Paths!$R$365),"n.a."))</f>
        <v>0</v>
      </c>
    </row>
    <row r="3955" spans="1:20" ht="24" customHeight="1">
      <c r="A3955" s="1" t="str">
        <f>Paths!$A$365</f>
        <v>T090</v>
      </c>
      <c r="B3955" s="1">
        <f>Paths!$B$365</f>
        <v>2</v>
      </c>
      <c r="C3955" s="1">
        <v>10</v>
      </c>
      <c r="D3955" s="1">
        <v>365</v>
      </c>
      <c r="E3955" s="1">
        <f>IF(OR(Paths!$C$365=0,C3955=0),0,MAX(0,MIN(C3955*12,Paths!$E$365)-(C3955-1)*12))</f>
        <v>0</v>
      </c>
      <c r="F3955" s="1">
        <f>IF(OR(Paths!$C$365=0,C3955=0),0,12-E3955)</f>
        <v>0</v>
      </c>
      <c r="G3955" s="16">
        <f>IF(NOT(Paths!$C$365=1),0,IF(Paths!$P$365="Complete",E3955/12*(Paths!$J$365*(1+'Operating costs'!$B$51)^MAX(0,C3955-1)+Paths!$K$365*(1+'Operating costs'!$B$53)^MAX(0,C3955-1)),"n.a."))</f>
        <v>0</v>
      </c>
      <c r="H3955" s="16">
        <f>IF(NOT(Paths!$C$365=1),0,IF(Paths!$P$365="Complete",F3955/12*(Paths!$L$365*(1+IF(Paths!$D$365="EV",'Operating costs'!$B$52,'Operating costs'!$B$51))^MAX(0,C3955-1)+Paths!$M$365*(1+'Operating costs'!$B$53)^MAX(0,C3955-1)),"n.a."))</f>
        <v>0</v>
      </c>
      <c r="I3955" s="16">
        <f>IF(NOT(Paths!$C$365=1),0,IF(Paths!$P$365="Complete",IF(IF(Paths!$E$365=0,C3955=0,AND(C3955&gt;0,Paths!$E$365&gt;(C3955-1)*12,Paths!$E$365&lt;=C3955*12)),Paths!$G$365,0),"n.a."))</f>
        <v>0</v>
      </c>
      <c r="J3955" s="16">
        <f>IF(NOT(Paths!$C$365=1),0,IF(Paths!$P$365="Complete",IF(IF(Paths!$E$365=0,C3955=0,AND(C3955&gt;0,Paths!$E$365&gt;(C3955-1)*12,Paths!$E$365&lt;=C3955*12)),Paths!$H$365,0),"n.a."))</f>
        <v>0</v>
      </c>
      <c r="K3955" s="16">
        <f>IF(NOT(Paths!$C$365=1),0,IF(Paths!$P$365="Complete",IF(IF(Paths!$O$365=0,C3955=0,AND(C3955&gt;0,Paths!$O$365&gt;(C3955-1)*12,Paths!$O$365&lt;=C3955*12)),Paths!$N$365,0),"n.a."))</f>
        <v>0</v>
      </c>
      <c r="L3955" s="16">
        <f>IF(NOT(Paths!$C$365=1),0,IF(Paths!$P$365="Complete",IF(C3955=10,Paths!$I$365,0),"n.a."))</f>
        <v>0</v>
      </c>
      <c r="M3955" s="16">
        <f>IF(NOT(Paths!$C$365=1),0,IF(Paths!$P$365="Complete",IF(AND(Paths!$D$365="EV",Paths!$E$365&lt;120,Paths!$E$365+'Operating costs'!$B$65&gt;Paths!$E$365,Paths!$E$365+'Operating costs'!$B$65&lt;=120,IF(Paths!$E$365+'Operating costs'!$B$65=0,C3955=0,AND(C3955&gt;0,Paths!$E$365+'Operating costs'!$B$65&gt;(C3955-1)*12,Paths!$E$365+'Operating costs'!$B$65&lt;=C3955*12))),'Operating costs'!$B$64,0)+IF(AND('Operating costs'!$B$67&gt;0,'Operating costs'!$B$67&lt;=120,OR(Paths!$D$365="ICE",'Operating costs'!$B$67&lt;=Paths!$E$365),IF('Operating costs'!$B$67=0,C3955=0,AND(C3955&gt;0,'Operating costs'!$B$67&gt;(C3955-1)*12,'Operating costs'!$B$67&lt;=C3955*12))),'Operating costs'!$B$66,0),"n.a."))</f>
        <v>0</v>
      </c>
      <c r="N3955" s="16">
        <f>IF(NOT(Paths!$C$365=1),0,IF(Paths!$P$365="Complete",SUM(G3955:I3955)-J3955-K3955-L3955+M3955+IF(C3955=0,Paths!$F$365,0)+IF(IF(Paths!$E$365=0,C3955=0,AND(C3955&gt;0,Paths!$E$365&gt;(C3955-1)*12,Paths!$E$365&lt;=C3955*12)),VLOOKUP(A3955,'Fleet register'!$A$7:$S$106,16,FALSE),0),"n.a."))</f>
        <v>0</v>
      </c>
      <c r="O3955" s="16">
        <f>IF(NOT(Paths!$C$365=1),0,IF(Paths!$P$365="Complete",N3955-IF(C3955=0,Paths!$F$365,0),"n.a."))</f>
        <v>0</v>
      </c>
      <c r="P3955" s="16">
        <f>IF(NOT(Paths!$C$365=1),0,IF(Paths!$P$365="Complete",O3955+L3955,"n.a."))</f>
        <v>0</v>
      </c>
      <c r="Q3955" s="16">
        <f>IF(NOT(Paths!$C$365=1),0,IF(Paths!$P$365="Complete",N3955*(1+'Operating costs'!$B$54)^-C3955,"n.a."))</f>
        <v>0</v>
      </c>
      <c r="R3955" s="16">
        <f>IF(NOT(Paths!$C$365=1),0,IF(Paths!$P$365="Complete",IF(AND(C3955=0,Paths!$E$365=0),I3955-J3955-K3955+VLOOKUP(A3955,'Fleet register'!$A$7:$S$106,15,FALSE)+VLOOKUP(A3955,'Fleet register'!$A$7:$S$106,16,FALSE),0),"n.a."))</f>
        <v>0</v>
      </c>
      <c r="S3955" s="1">
        <f>IF(NOT(Paths!$C$365=1),0,IF(Paths!$P$365="Complete",IF(C3955=0,0,Paths!$S$365*Paths!$R$365),"n.a."))</f>
        <v>0</v>
      </c>
      <c r="T3955" s="1">
        <f>IF(NOT(Paths!$C$365=1),0,IF(Paths!$P$365="Complete",IF(C3955=0,0,VLOOKUP(A3955,'Fleet register'!$A$7:$S$106,9,FALSE)*Paths!$R$365),"n.a."))</f>
        <v>0</v>
      </c>
    </row>
    <row r="3956" spans="1:20" ht="24" customHeight="1">
      <c r="A3956" s="1" t="str">
        <f>Paths!$A$366</f>
        <v>T090</v>
      </c>
      <c r="B3956" s="1">
        <f>Paths!$B$366</f>
        <v>3</v>
      </c>
      <c r="C3956" s="1">
        <v>0</v>
      </c>
      <c r="D3956" s="1">
        <v>366</v>
      </c>
      <c r="E3956" s="1">
        <f>IF(OR(Paths!$C$366=0,C3956=0),0,MAX(0,MIN(C3956*12,Paths!$E$366)-(C3956-1)*12))</f>
        <v>0</v>
      </c>
      <c r="F3956" s="1">
        <f>IF(OR(Paths!$C$366=0,C3956=0),0,12-E3956)</f>
        <v>0</v>
      </c>
      <c r="G3956" s="16">
        <f>IF(NOT(Paths!$C$366=1),0,IF(Paths!$P$366="Complete",E3956/12*(Paths!$J$366*(1+'Operating costs'!$B$51)^MAX(0,C3956-1)+Paths!$K$366*(1+'Operating costs'!$B$53)^MAX(0,C3956-1)),"n.a."))</f>
        <v>0</v>
      </c>
      <c r="H3956" s="16">
        <f>IF(NOT(Paths!$C$366=1),0,IF(Paths!$P$366="Complete",F3956/12*(Paths!$L$366*(1+IF(Paths!$D$366="EV",'Operating costs'!$B$52,'Operating costs'!$B$51))^MAX(0,C3956-1)+Paths!$M$366*(1+'Operating costs'!$B$53)^MAX(0,C3956-1)),"n.a."))</f>
        <v>0</v>
      </c>
      <c r="I3956" s="16">
        <f>IF(NOT(Paths!$C$366=1),0,IF(Paths!$P$366="Complete",IF(IF(Paths!$E$366=0,C3956=0,AND(C3956&gt;0,Paths!$E$366&gt;(C3956-1)*12,Paths!$E$366&lt;=C3956*12)),Paths!$G$366,0),"n.a."))</f>
        <v>0</v>
      </c>
      <c r="J3956" s="16">
        <f>IF(NOT(Paths!$C$366=1),0,IF(Paths!$P$366="Complete",IF(IF(Paths!$E$366=0,C3956=0,AND(C3956&gt;0,Paths!$E$366&gt;(C3956-1)*12,Paths!$E$366&lt;=C3956*12)),Paths!$H$366,0),"n.a."))</f>
        <v>0</v>
      </c>
      <c r="K3956" s="16">
        <f>IF(NOT(Paths!$C$366=1),0,IF(Paths!$P$366="Complete",IF(IF(Paths!$O$366=0,C3956=0,AND(C3956&gt;0,Paths!$O$366&gt;(C3956-1)*12,Paths!$O$366&lt;=C3956*12)),Paths!$N$366,0),"n.a."))</f>
        <v>0</v>
      </c>
      <c r="L3956" s="16">
        <f>IF(NOT(Paths!$C$366=1),0,IF(Paths!$P$366="Complete",IF(C3956=10,Paths!$I$366,0),"n.a."))</f>
        <v>0</v>
      </c>
      <c r="M3956" s="16">
        <f>IF(NOT(Paths!$C$366=1),0,IF(Paths!$P$366="Complete",IF(AND(Paths!$D$366="EV",Paths!$E$366&lt;120,Paths!$E$366+'Operating costs'!$B$65&gt;Paths!$E$366,Paths!$E$366+'Operating costs'!$B$65&lt;=120,IF(Paths!$E$366+'Operating costs'!$B$65=0,C3956=0,AND(C3956&gt;0,Paths!$E$366+'Operating costs'!$B$65&gt;(C3956-1)*12,Paths!$E$366+'Operating costs'!$B$65&lt;=C3956*12))),'Operating costs'!$B$64,0)+IF(AND('Operating costs'!$B$67&gt;0,'Operating costs'!$B$67&lt;=120,OR(Paths!$D$366="ICE",'Operating costs'!$B$67&lt;=Paths!$E$366),IF('Operating costs'!$B$67=0,C3956=0,AND(C3956&gt;0,'Operating costs'!$B$67&gt;(C3956-1)*12,'Operating costs'!$B$67&lt;=C3956*12))),'Operating costs'!$B$66,0),"n.a."))</f>
        <v>0</v>
      </c>
      <c r="N3956" s="16">
        <f>IF(NOT(Paths!$C$366=1),0,IF(Paths!$P$366="Complete",SUM(G3956:I3956)-J3956-K3956-L3956+M3956+IF(C3956=0,Paths!$F$366,0)+IF(IF(Paths!$E$366=0,C3956=0,AND(C3956&gt;0,Paths!$E$366&gt;(C3956-1)*12,Paths!$E$366&lt;=C3956*12)),VLOOKUP(A3956,'Fleet register'!$A$7:$S$106,16,FALSE),0),"n.a."))</f>
        <v>0</v>
      </c>
      <c r="O3956" s="16">
        <f>IF(NOT(Paths!$C$366=1),0,IF(Paths!$P$366="Complete",N3956-IF(C3956=0,Paths!$F$366,0),"n.a."))</f>
        <v>0</v>
      </c>
      <c r="P3956" s="16">
        <f>IF(NOT(Paths!$C$366=1),0,IF(Paths!$P$366="Complete",O3956+L3956,"n.a."))</f>
        <v>0</v>
      </c>
      <c r="Q3956" s="16">
        <f>IF(NOT(Paths!$C$366=1),0,IF(Paths!$P$366="Complete",N3956*(1+'Operating costs'!$B$54)^-C3956,"n.a."))</f>
        <v>0</v>
      </c>
      <c r="R3956" s="16">
        <f>IF(NOT(Paths!$C$366=1),0,IF(Paths!$P$366="Complete",IF(AND(C3956=0,Paths!$E$366=0),I3956-J3956-K3956+VLOOKUP(A3956,'Fleet register'!$A$7:$S$106,15,FALSE)+VLOOKUP(A3956,'Fleet register'!$A$7:$S$106,16,FALSE),0),"n.a."))</f>
        <v>0</v>
      </c>
      <c r="S3956" s="1">
        <f>IF(NOT(Paths!$C$366=1),0,IF(Paths!$P$366="Complete",IF(C3956=0,0,Paths!$S$366*Paths!$R$366),"n.a."))</f>
        <v>0</v>
      </c>
      <c r="T3956" s="1">
        <f>IF(NOT(Paths!$C$366=1),0,IF(Paths!$P$366="Complete",IF(C3956=0,0,VLOOKUP(A3956,'Fleet register'!$A$7:$S$106,9,FALSE)*Paths!$R$366),"n.a."))</f>
        <v>0</v>
      </c>
    </row>
    <row r="3957" spans="1:20" ht="24" customHeight="1">
      <c r="A3957" s="1" t="str">
        <f>Paths!$A$366</f>
        <v>T090</v>
      </c>
      <c r="B3957" s="1">
        <f>Paths!$B$366</f>
        <v>3</v>
      </c>
      <c r="C3957" s="1">
        <v>1</v>
      </c>
      <c r="D3957" s="1">
        <v>366</v>
      </c>
      <c r="E3957" s="1">
        <f>IF(OR(Paths!$C$366=0,C3957=0),0,MAX(0,MIN(C3957*12,Paths!$E$366)-(C3957-1)*12))</f>
        <v>0</v>
      </c>
      <c r="F3957" s="1">
        <f>IF(OR(Paths!$C$366=0,C3957=0),0,12-E3957)</f>
        <v>0</v>
      </c>
      <c r="G3957" s="16">
        <f>IF(NOT(Paths!$C$366=1),0,IF(Paths!$P$366="Complete",E3957/12*(Paths!$J$366*(1+'Operating costs'!$B$51)^MAX(0,C3957-1)+Paths!$K$366*(1+'Operating costs'!$B$53)^MAX(0,C3957-1)),"n.a."))</f>
        <v>0</v>
      </c>
      <c r="H3957" s="16">
        <f>IF(NOT(Paths!$C$366=1),0,IF(Paths!$P$366="Complete",F3957/12*(Paths!$L$366*(1+IF(Paths!$D$366="EV",'Operating costs'!$B$52,'Operating costs'!$B$51))^MAX(0,C3957-1)+Paths!$M$366*(1+'Operating costs'!$B$53)^MAX(0,C3957-1)),"n.a."))</f>
        <v>0</v>
      </c>
      <c r="I3957" s="16">
        <f>IF(NOT(Paths!$C$366=1),0,IF(Paths!$P$366="Complete",IF(IF(Paths!$E$366=0,C3957=0,AND(C3957&gt;0,Paths!$E$366&gt;(C3957-1)*12,Paths!$E$366&lt;=C3957*12)),Paths!$G$366,0),"n.a."))</f>
        <v>0</v>
      </c>
      <c r="J3957" s="16">
        <f>IF(NOT(Paths!$C$366=1),0,IF(Paths!$P$366="Complete",IF(IF(Paths!$E$366=0,C3957=0,AND(C3957&gt;0,Paths!$E$366&gt;(C3957-1)*12,Paths!$E$366&lt;=C3957*12)),Paths!$H$366,0),"n.a."))</f>
        <v>0</v>
      </c>
      <c r="K3957" s="16">
        <f>IF(NOT(Paths!$C$366=1),0,IF(Paths!$P$366="Complete",IF(IF(Paths!$O$366=0,C3957=0,AND(C3957&gt;0,Paths!$O$366&gt;(C3957-1)*12,Paths!$O$366&lt;=C3957*12)),Paths!$N$366,0),"n.a."))</f>
        <v>0</v>
      </c>
      <c r="L3957" s="16">
        <f>IF(NOT(Paths!$C$366=1),0,IF(Paths!$P$366="Complete",IF(C3957=10,Paths!$I$366,0),"n.a."))</f>
        <v>0</v>
      </c>
      <c r="M3957" s="16">
        <f>IF(NOT(Paths!$C$366=1),0,IF(Paths!$P$366="Complete",IF(AND(Paths!$D$366="EV",Paths!$E$366&lt;120,Paths!$E$366+'Operating costs'!$B$65&gt;Paths!$E$366,Paths!$E$366+'Operating costs'!$B$65&lt;=120,IF(Paths!$E$366+'Operating costs'!$B$65=0,C3957=0,AND(C3957&gt;0,Paths!$E$366+'Operating costs'!$B$65&gt;(C3957-1)*12,Paths!$E$366+'Operating costs'!$B$65&lt;=C3957*12))),'Operating costs'!$B$64,0)+IF(AND('Operating costs'!$B$67&gt;0,'Operating costs'!$B$67&lt;=120,OR(Paths!$D$366="ICE",'Operating costs'!$B$67&lt;=Paths!$E$366),IF('Operating costs'!$B$67=0,C3957=0,AND(C3957&gt;0,'Operating costs'!$B$67&gt;(C3957-1)*12,'Operating costs'!$B$67&lt;=C3957*12))),'Operating costs'!$B$66,0),"n.a."))</f>
        <v>0</v>
      </c>
      <c r="N3957" s="16">
        <f>IF(NOT(Paths!$C$366=1),0,IF(Paths!$P$366="Complete",SUM(G3957:I3957)-J3957-K3957-L3957+M3957+IF(C3957=0,Paths!$F$366,0)+IF(IF(Paths!$E$366=0,C3957=0,AND(C3957&gt;0,Paths!$E$366&gt;(C3957-1)*12,Paths!$E$366&lt;=C3957*12)),VLOOKUP(A3957,'Fleet register'!$A$7:$S$106,16,FALSE),0),"n.a."))</f>
        <v>0</v>
      </c>
      <c r="O3957" s="16">
        <f>IF(NOT(Paths!$C$366=1),0,IF(Paths!$P$366="Complete",N3957-IF(C3957=0,Paths!$F$366,0),"n.a."))</f>
        <v>0</v>
      </c>
      <c r="P3957" s="16">
        <f>IF(NOT(Paths!$C$366=1),0,IF(Paths!$P$366="Complete",O3957+L3957,"n.a."))</f>
        <v>0</v>
      </c>
      <c r="Q3957" s="16">
        <f>IF(NOT(Paths!$C$366=1),0,IF(Paths!$P$366="Complete",N3957*(1+'Operating costs'!$B$54)^-C3957,"n.a."))</f>
        <v>0</v>
      </c>
      <c r="R3957" s="16">
        <f>IF(NOT(Paths!$C$366=1),0,IF(Paths!$P$366="Complete",IF(AND(C3957=0,Paths!$E$366=0),I3957-J3957-K3957+VLOOKUP(A3957,'Fleet register'!$A$7:$S$106,15,FALSE)+VLOOKUP(A3957,'Fleet register'!$A$7:$S$106,16,FALSE),0),"n.a."))</f>
        <v>0</v>
      </c>
      <c r="S3957" s="1">
        <f>IF(NOT(Paths!$C$366=1),0,IF(Paths!$P$366="Complete",IF(C3957=0,0,Paths!$S$366*Paths!$R$366),"n.a."))</f>
        <v>0</v>
      </c>
      <c r="T3957" s="1">
        <f>IF(NOT(Paths!$C$366=1),0,IF(Paths!$P$366="Complete",IF(C3957=0,0,VLOOKUP(A3957,'Fleet register'!$A$7:$S$106,9,FALSE)*Paths!$R$366),"n.a."))</f>
        <v>0</v>
      </c>
    </row>
    <row r="3958" spans="1:20" ht="24" customHeight="1">
      <c r="A3958" s="1" t="str">
        <f>Paths!$A$366</f>
        <v>T090</v>
      </c>
      <c r="B3958" s="1">
        <f>Paths!$B$366</f>
        <v>3</v>
      </c>
      <c r="C3958" s="1">
        <v>2</v>
      </c>
      <c r="D3958" s="1">
        <v>366</v>
      </c>
      <c r="E3958" s="1">
        <f>IF(OR(Paths!$C$366=0,C3958=0),0,MAX(0,MIN(C3958*12,Paths!$E$366)-(C3958-1)*12))</f>
        <v>0</v>
      </c>
      <c r="F3958" s="1">
        <f>IF(OR(Paths!$C$366=0,C3958=0),0,12-E3958)</f>
        <v>0</v>
      </c>
      <c r="G3958" s="16">
        <f>IF(NOT(Paths!$C$366=1),0,IF(Paths!$P$366="Complete",E3958/12*(Paths!$J$366*(1+'Operating costs'!$B$51)^MAX(0,C3958-1)+Paths!$K$366*(1+'Operating costs'!$B$53)^MAX(0,C3958-1)),"n.a."))</f>
        <v>0</v>
      </c>
      <c r="H3958" s="16">
        <f>IF(NOT(Paths!$C$366=1),0,IF(Paths!$P$366="Complete",F3958/12*(Paths!$L$366*(1+IF(Paths!$D$366="EV",'Operating costs'!$B$52,'Operating costs'!$B$51))^MAX(0,C3958-1)+Paths!$M$366*(1+'Operating costs'!$B$53)^MAX(0,C3958-1)),"n.a."))</f>
        <v>0</v>
      </c>
      <c r="I3958" s="16">
        <f>IF(NOT(Paths!$C$366=1),0,IF(Paths!$P$366="Complete",IF(IF(Paths!$E$366=0,C3958=0,AND(C3958&gt;0,Paths!$E$366&gt;(C3958-1)*12,Paths!$E$366&lt;=C3958*12)),Paths!$G$366,0),"n.a."))</f>
        <v>0</v>
      </c>
      <c r="J3958" s="16">
        <f>IF(NOT(Paths!$C$366=1),0,IF(Paths!$P$366="Complete",IF(IF(Paths!$E$366=0,C3958=0,AND(C3958&gt;0,Paths!$E$366&gt;(C3958-1)*12,Paths!$E$366&lt;=C3958*12)),Paths!$H$366,0),"n.a."))</f>
        <v>0</v>
      </c>
      <c r="K3958" s="16">
        <f>IF(NOT(Paths!$C$366=1),0,IF(Paths!$P$366="Complete",IF(IF(Paths!$O$366=0,C3958=0,AND(C3958&gt;0,Paths!$O$366&gt;(C3958-1)*12,Paths!$O$366&lt;=C3958*12)),Paths!$N$366,0),"n.a."))</f>
        <v>0</v>
      </c>
      <c r="L3958" s="16">
        <f>IF(NOT(Paths!$C$366=1),0,IF(Paths!$P$366="Complete",IF(C3958=10,Paths!$I$366,0),"n.a."))</f>
        <v>0</v>
      </c>
      <c r="M3958" s="16">
        <f>IF(NOT(Paths!$C$366=1),0,IF(Paths!$P$366="Complete",IF(AND(Paths!$D$366="EV",Paths!$E$366&lt;120,Paths!$E$366+'Operating costs'!$B$65&gt;Paths!$E$366,Paths!$E$366+'Operating costs'!$B$65&lt;=120,IF(Paths!$E$366+'Operating costs'!$B$65=0,C3958=0,AND(C3958&gt;0,Paths!$E$366+'Operating costs'!$B$65&gt;(C3958-1)*12,Paths!$E$366+'Operating costs'!$B$65&lt;=C3958*12))),'Operating costs'!$B$64,0)+IF(AND('Operating costs'!$B$67&gt;0,'Operating costs'!$B$67&lt;=120,OR(Paths!$D$366="ICE",'Operating costs'!$B$67&lt;=Paths!$E$366),IF('Operating costs'!$B$67=0,C3958=0,AND(C3958&gt;0,'Operating costs'!$B$67&gt;(C3958-1)*12,'Operating costs'!$B$67&lt;=C3958*12))),'Operating costs'!$B$66,0),"n.a."))</f>
        <v>0</v>
      </c>
      <c r="N3958" s="16">
        <f>IF(NOT(Paths!$C$366=1),0,IF(Paths!$P$366="Complete",SUM(G3958:I3958)-J3958-K3958-L3958+M3958+IF(C3958=0,Paths!$F$366,0)+IF(IF(Paths!$E$366=0,C3958=0,AND(C3958&gt;0,Paths!$E$366&gt;(C3958-1)*12,Paths!$E$366&lt;=C3958*12)),VLOOKUP(A3958,'Fleet register'!$A$7:$S$106,16,FALSE),0),"n.a."))</f>
        <v>0</v>
      </c>
      <c r="O3958" s="16">
        <f>IF(NOT(Paths!$C$366=1),0,IF(Paths!$P$366="Complete",N3958-IF(C3958=0,Paths!$F$366,0),"n.a."))</f>
        <v>0</v>
      </c>
      <c r="P3958" s="16">
        <f>IF(NOT(Paths!$C$366=1),0,IF(Paths!$P$366="Complete",O3958+L3958,"n.a."))</f>
        <v>0</v>
      </c>
      <c r="Q3958" s="16">
        <f>IF(NOT(Paths!$C$366=1),0,IF(Paths!$P$366="Complete",N3958*(1+'Operating costs'!$B$54)^-C3958,"n.a."))</f>
        <v>0</v>
      </c>
      <c r="R3958" s="16">
        <f>IF(NOT(Paths!$C$366=1),0,IF(Paths!$P$366="Complete",IF(AND(C3958=0,Paths!$E$366=0),I3958-J3958-K3958+VLOOKUP(A3958,'Fleet register'!$A$7:$S$106,15,FALSE)+VLOOKUP(A3958,'Fleet register'!$A$7:$S$106,16,FALSE),0),"n.a."))</f>
        <v>0</v>
      </c>
      <c r="S3958" s="1">
        <f>IF(NOT(Paths!$C$366=1),0,IF(Paths!$P$366="Complete",IF(C3958=0,0,Paths!$S$366*Paths!$R$366),"n.a."))</f>
        <v>0</v>
      </c>
      <c r="T3958" s="1">
        <f>IF(NOT(Paths!$C$366=1),0,IF(Paths!$P$366="Complete",IF(C3958=0,0,VLOOKUP(A3958,'Fleet register'!$A$7:$S$106,9,FALSE)*Paths!$R$366),"n.a."))</f>
        <v>0</v>
      </c>
    </row>
    <row r="3959" spans="1:20" ht="24" customHeight="1">
      <c r="A3959" s="1" t="str">
        <f>Paths!$A$366</f>
        <v>T090</v>
      </c>
      <c r="B3959" s="1">
        <f>Paths!$B$366</f>
        <v>3</v>
      </c>
      <c r="C3959" s="1">
        <v>3</v>
      </c>
      <c r="D3959" s="1">
        <v>366</v>
      </c>
      <c r="E3959" s="1">
        <f>IF(OR(Paths!$C$366=0,C3959=0),0,MAX(0,MIN(C3959*12,Paths!$E$366)-(C3959-1)*12))</f>
        <v>0</v>
      </c>
      <c r="F3959" s="1">
        <f>IF(OR(Paths!$C$366=0,C3959=0),0,12-E3959)</f>
        <v>0</v>
      </c>
      <c r="G3959" s="16">
        <f>IF(NOT(Paths!$C$366=1),0,IF(Paths!$P$366="Complete",E3959/12*(Paths!$J$366*(1+'Operating costs'!$B$51)^MAX(0,C3959-1)+Paths!$K$366*(1+'Operating costs'!$B$53)^MAX(0,C3959-1)),"n.a."))</f>
        <v>0</v>
      </c>
      <c r="H3959" s="16">
        <f>IF(NOT(Paths!$C$366=1),0,IF(Paths!$P$366="Complete",F3959/12*(Paths!$L$366*(1+IF(Paths!$D$366="EV",'Operating costs'!$B$52,'Operating costs'!$B$51))^MAX(0,C3959-1)+Paths!$M$366*(1+'Operating costs'!$B$53)^MAX(0,C3959-1)),"n.a."))</f>
        <v>0</v>
      </c>
      <c r="I3959" s="16">
        <f>IF(NOT(Paths!$C$366=1),0,IF(Paths!$P$366="Complete",IF(IF(Paths!$E$366=0,C3959=0,AND(C3959&gt;0,Paths!$E$366&gt;(C3959-1)*12,Paths!$E$366&lt;=C3959*12)),Paths!$G$366,0),"n.a."))</f>
        <v>0</v>
      </c>
      <c r="J3959" s="16">
        <f>IF(NOT(Paths!$C$366=1),0,IF(Paths!$P$366="Complete",IF(IF(Paths!$E$366=0,C3959=0,AND(C3959&gt;0,Paths!$E$366&gt;(C3959-1)*12,Paths!$E$366&lt;=C3959*12)),Paths!$H$366,0),"n.a."))</f>
        <v>0</v>
      </c>
      <c r="K3959" s="16">
        <f>IF(NOT(Paths!$C$366=1),0,IF(Paths!$P$366="Complete",IF(IF(Paths!$O$366=0,C3959=0,AND(C3959&gt;0,Paths!$O$366&gt;(C3959-1)*12,Paths!$O$366&lt;=C3959*12)),Paths!$N$366,0),"n.a."))</f>
        <v>0</v>
      </c>
      <c r="L3959" s="16">
        <f>IF(NOT(Paths!$C$366=1),0,IF(Paths!$P$366="Complete",IF(C3959=10,Paths!$I$366,0),"n.a."))</f>
        <v>0</v>
      </c>
      <c r="M3959" s="16">
        <f>IF(NOT(Paths!$C$366=1),0,IF(Paths!$P$366="Complete",IF(AND(Paths!$D$366="EV",Paths!$E$366&lt;120,Paths!$E$366+'Operating costs'!$B$65&gt;Paths!$E$366,Paths!$E$366+'Operating costs'!$B$65&lt;=120,IF(Paths!$E$366+'Operating costs'!$B$65=0,C3959=0,AND(C3959&gt;0,Paths!$E$366+'Operating costs'!$B$65&gt;(C3959-1)*12,Paths!$E$366+'Operating costs'!$B$65&lt;=C3959*12))),'Operating costs'!$B$64,0)+IF(AND('Operating costs'!$B$67&gt;0,'Operating costs'!$B$67&lt;=120,OR(Paths!$D$366="ICE",'Operating costs'!$B$67&lt;=Paths!$E$366),IF('Operating costs'!$B$67=0,C3959=0,AND(C3959&gt;0,'Operating costs'!$B$67&gt;(C3959-1)*12,'Operating costs'!$B$67&lt;=C3959*12))),'Operating costs'!$B$66,0),"n.a."))</f>
        <v>0</v>
      </c>
      <c r="N3959" s="16">
        <f>IF(NOT(Paths!$C$366=1),0,IF(Paths!$P$366="Complete",SUM(G3959:I3959)-J3959-K3959-L3959+M3959+IF(C3959=0,Paths!$F$366,0)+IF(IF(Paths!$E$366=0,C3959=0,AND(C3959&gt;0,Paths!$E$366&gt;(C3959-1)*12,Paths!$E$366&lt;=C3959*12)),VLOOKUP(A3959,'Fleet register'!$A$7:$S$106,16,FALSE),0),"n.a."))</f>
        <v>0</v>
      </c>
      <c r="O3959" s="16">
        <f>IF(NOT(Paths!$C$366=1),0,IF(Paths!$P$366="Complete",N3959-IF(C3959=0,Paths!$F$366,0),"n.a."))</f>
        <v>0</v>
      </c>
      <c r="P3959" s="16">
        <f>IF(NOT(Paths!$C$366=1),0,IF(Paths!$P$366="Complete",O3959+L3959,"n.a."))</f>
        <v>0</v>
      </c>
      <c r="Q3959" s="16">
        <f>IF(NOT(Paths!$C$366=1),0,IF(Paths!$P$366="Complete",N3959*(1+'Operating costs'!$B$54)^-C3959,"n.a."))</f>
        <v>0</v>
      </c>
      <c r="R3959" s="16">
        <f>IF(NOT(Paths!$C$366=1),0,IF(Paths!$P$366="Complete",IF(AND(C3959=0,Paths!$E$366=0),I3959-J3959-K3959+VLOOKUP(A3959,'Fleet register'!$A$7:$S$106,15,FALSE)+VLOOKUP(A3959,'Fleet register'!$A$7:$S$106,16,FALSE),0),"n.a."))</f>
        <v>0</v>
      </c>
      <c r="S3959" s="1">
        <f>IF(NOT(Paths!$C$366=1),0,IF(Paths!$P$366="Complete",IF(C3959=0,0,Paths!$S$366*Paths!$R$366),"n.a."))</f>
        <v>0</v>
      </c>
      <c r="T3959" s="1">
        <f>IF(NOT(Paths!$C$366=1),0,IF(Paths!$P$366="Complete",IF(C3959=0,0,VLOOKUP(A3959,'Fleet register'!$A$7:$S$106,9,FALSE)*Paths!$R$366),"n.a."))</f>
        <v>0</v>
      </c>
    </row>
    <row r="3960" spans="1:20" ht="24" customHeight="1">
      <c r="A3960" s="1" t="str">
        <f>Paths!$A$366</f>
        <v>T090</v>
      </c>
      <c r="B3960" s="1">
        <f>Paths!$B$366</f>
        <v>3</v>
      </c>
      <c r="C3960" s="1">
        <v>4</v>
      </c>
      <c r="D3960" s="1">
        <v>366</v>
      </c>
      <c r="E3960" s="1">
        <f>IF(OR(Paths!$C$366=0,C3960=0),0,MAX(0,MIN(C3960*12,Paths!$E$366)-(C3960-1)*12))</f>
        <v>0</v>
      </c>
      <c r="F3960" s="1">
        <f>IF(OR(Paths!$C$366=0,C3960=0),0,12-E3960)</f>
        <v>0</v>
      </c>
      <c r="G3960" s="16">
        <f>IF(NOT(Paths!$C$366=1),0,IF(Paths!$P$366="Complete",E3960/12*(Paths!$J$366*(1+'Operating costs'!$B$51)^MAX(0,C3960-1)+Paths!$K$366*(1+'Operating costs'!$B$53)^MAX(0,C3960-1)),"n.a."))</f>
        <v>0</v>
      </c>
      <c r="H3960" s="16">
        <f>IF(NOT(Paths!$C$366=1),0,IF(Paths!$P$366="Complete",F3960/12*(Paths!$L$366*(1+IF(Paths!$D$366="EV",'Operating costs'!$B$52,'Operating costs'!$B$51))^MAX(0,C3960-1)+Paths!$M$366*(1+'Operating costs'!$B$53)^MAX(0,C3960-1)),"n.a."))</f>
        <v>0</v>
      </c>
      <c r="I3960" s="16">
        <f>IF(NOT(Paths!$C$366=1),0,IF(Paths!$P$366="Complete",IF(IF(Paths!$E$366=0,C3960=0,AND(C3960&gt;0,Paths!$E$366&gt;(C3960-1)*12,Paths!$E$366&lt;=C3960*12)),Paths!$G$366,0),"n.a."))</f>
        <v>0</v>
      </c>
      <c r="J3960" s="16">
        <f>IF(NOT(Paths!$C$366=1),0,IF(Paths!$P$366="Complete",IF(IF(Paths!$E$366=0,C3960=0,AND(C3960&gt;0,Paths!$E$366&gt;(C3960-1)*12,Paths!$E$366&lt;=C3960*12)),Paths!$H$366,0),"n.a."))</f>
        <v>0</v>
      </c>
      <c r="K3960" s="16">
        <f>IF(NOT(Paths!$C$366=1),0,IF(Paths!$P$366="Complete",IF(IF(Paths!$O$366=0,C3960=0,AND(C3960&gt;0,Paths!$O$366&gt;(C3960-1)*12,Paths!$O$366&lt;=C3960*12)),Paths!$N$366,0),"n.a."))</f>
        <v>0</v>
      </c>
      <c r="L3960" s="16">
        <f>IF(NOT(Paths!$C$366=1),0,IF(Paths!$P$366="Complete",IF(C3960=10,Paths!$I$366,0),"n.a."))</f>
        <v>0</v>
      </c>
      <c r="M3960" s="16">
        <f>IF(NOT(Paths!$C$366=1),0,IF(Paths!$P$366="Complete",IF(AND(Paths!$D$366="EV",Paths!$E$366&lt;120,Paths!$E$366+'Operating costs'!$B$65&gt;Paths!$E$366,Paths!$E$366+'Operating costs'!$B$65&lt;=120,IF(Paths!$E$366+'Operating costs'!$B$65=0,C3960=0,AND(C3960&gt;0,Paths!$E$366+'Operating costs'!$B$65&gt;(C3960-1)*12,Paths!$E$366+'Operating costs'!$B$65&lt;=C3960*12))),'Operating costs'!$B$64,0)+IF(AND('Operating costs'!$B$67&gt;0,'Operating costs'!$B$67&lt;=120,OR(Paths!$D$366="ICE",'Operating costs'!$B$67&lt;=Paths!$E$366),IF('Operating costs'!$B$67=0,C3960=0,AND(C3960&gt;0,'Operating costs'!$B$67&gt;(C3960-1)*12,'Operating costs'!$B$67&lt;=C3960*12))),'Operating costs'!$B$66,0),"n.a."))</f>
        <v>0</v>
      </c>
      <c r="N3960" s="16">
        <f>IF(NOT(Paths!$C$366=1),0,IF(Paths!$P$366="Complete",SUM(G3960:I3960)-J3960-K3960-L3960+M3960+IF(C3960=0,Paths!$F$366,0)+IF(IF(Paths!$E$366=0,C3960=0,AND(C3960&gt;0,Paths!$E$366&gt;(C3960-1)*12,Paths!$E$366&lt;=C3960*12)),VLOOKUP(A3960,'Fleet register'!$A$7:$S$106,16,FALSE),0),"n.a."))</f>
        <v>0</v>
      </c>
      <c r="O3960" s="16">
        <f>IF(NOT(Paths!$C$366=1),0,IF(Paths!$P$366="Complete",N3960-IF(C3960=0,Paths!$F$366,0),"n.a."))</f>
        <v>0</v>
      </c>
      <c r="P3960" s="16">
        <f>IF(NOT(Paths!$C$366=1),0,IF(Paths!$P$366="Complete",O3960+L3960,"n.a."))</f>
        <v>0</v>
      </c>
      <c r="Q3960" s="16">
        <f>IF(NOT(Paths!$C$366=1),0,IF(Paths!$P$366="Complete",N3960*(1+'Operating costs'!$B$54)^-C3960,"n.a."))</f>
        <v>0</v>
      </c>
      <c r="R3960" s="16">
        <f>IF(NOT(Paths!$C$366=1),0,IF(Paths!$P$366="Complete",IF(AND(C3960=0,Paths!$E$366=0),I3960-J3960-K3960+VLOOKUP(A3960,'Fleet register'!$A$7:$S$106,15,FALSE)+VLOOKUP(A3960,'Fleet register'!$A$7:$S$106,16,FALSE),0),"n.a."))</f>
        <v>0</v>
      </c>
      <c r="S3960" s="1">
        <f>IF(NOT(Paths!$C$366=1),0,IF(Paths!$P$366="Complete",IF(C3960=0,0,Paths!$S$366*Paths!$R$366),"n.a."))</f>
        <v>0</v>
      </c>
      <c r="T3960" s="1">
        <f>IF(NOT(Paths!$C$366=1),0,IF(Paths!$P$366="Complete",IF(C3960=0,0,VLOOKUP(A3960,'Fleet register'!$A$7:$S$106,9,FALSE)*Paths!$R$366),"n.a."))</f>
        <v>0</v>
      </c>
    </row>
    <row r="3961" spans="1:20" ht="24" customHeight="1">
      <c r="A3961" s="1" t="str">
        <f>Paths!$A$366</f>
        <v>T090</v>
      </c>
      <c r="B3961" s="1">
        <f>Paths!$B$366</f>
        <v>3</v>
      </c>
      <c r="C3961" s="1">
        <v>5</v>
      </c>
      <c r="D3961" s="1">
        <v>366</v>
      </c>
      <c r="E3961" s="1">
        <f>IF(OR(Paths!$C$366=0,C3961=0),0,MAX(0,MIN(C3961*12,Paths!$E$366)-(C3961-1)*12))</f>
        <v>0</v>
      </c>
      <c r="F3961" s="1">
        <f>IF(OR(Paths!$C$366=0,C3961=0),0,12-E3961)</f>
        <v>0</v>
      </c>
      <c r="G3961" s="16">
        <f>IF(NOT(Paths!$C$366=1),0,IF(Paths!$P$366="Complete",E3961/12*(Paths!$J$366*(1+'Operating costs'!$B$51)^MAX(0,C3961-1)+Paths!$K$366*(1+'Operating costs'!$B$53)^MAX(0,C3961-1)),"n.a."))</f>
        <v>0</v>
      </c>
      <c r="H3961" s="16">
        <f>IF(NOT(Paths!$C$366=1),0,IF(Paths!$P$366="Complete",F3961/12*(Paths!$L$366*(1+IF(Paths!$D$366="EV",'Operating costs'!$B$52,'Operating costs'!$B$51))^MAX(0,C3961-1)+Paths!$M$366*(1+'Operating costs'!$B$53)^MAX(0,C3961-1)),"n.a."))</f>
        <v>0</v>
      </c>
      <c r="I3961" s="16">
        <f>IF(NOT(Paths!$C$366=1),0,IF(Paths!$P$366="Complete",IF(IF(Paths!$E$366=0,C3961=0,AND(C3961&gt;0,Paths!$E$366&gt;(C3961-1)*12,Paths!$E$366&lt;=C3961*12)),Paths!$G$366,0),"n.a."))</f>
        <v>0</v>
      </c>
      <c r="J3961" s="16">
        <f>IF(NOT(Paths!$C$366=1),0,IF(Paths!$P$366="Complete",IF(IF(Paths!$E$366=0,C3961=0,AND(C3961&gt;0,Paths!$E$366&gt;(C3961-1)*12,Paths!$E$366&lt;=C3961*12)),Paths!$H$366,0),"n.a."))</f>
        <v>0</v>
      </c>
      <c r="K3961" s="16">
        <f>IF(NOT(Paths!$C$366=1),0,IF(Paths!$P$366="Complete",IF(IF(Paths!$O$366=0,C3961=0,AND(C3961&gt;0,Paths!$O$366&gt;(C3961-1)*12,Paths!$O$366&lt;=C3961*12)),Paths!$N$366,0),"n.a."))</f>
        <v>0</v>
      </c>
      <c r="L3961" s="16">
        <f>IF(NOT(Paths!$C$366=1),0,IF(Paths!$P$366="Complete",IF(C3961=10,Paths!$I$366,0),"n.a."))</f>
        <v>0</v>
      </c>
      <c r="M3961" s="16">
        <f>IF(NOT(Paths!$C$366=1),0,IF(Paths!$P$366="Complete",IF(AND(Paths!$D$366="EV",Paths!$E$366&lt;120,Paths!$E$366+'Operating costs'!$B$65&gt;Paths!$E$366,Paths!$E$366+'Operating costs'!$B$65&lt;=120,IF(Paths!$E$366+'Operating costs'!$B$65=0,C3961=0,AND(C3961&gt;0,Paths!$E$366+'Operating costs'!$B$65&gt;(C3961-1)*12,Paths!$E$366+'Operating costs'!$B$65&lt;=C3961*12))),'Operating costs'!$B$64,0)+IF(AND('Operating costs'!$B$67&gt;0,'Operating costs'!$B$67&lt;=120,OR(Paths!$D$366="ICE",'Operating costs'!$B$67&lt;=Paths!$E$366),IF('Operating costs'!$B$67=0,C3961=0,AND(C3961&gt;0,'Operating costs'!$B$67&gt;(C3961-1)*12,'Operating costs'!$B$67&lt;=C3961*12))),'Operating costs'!$B$66,0),"n.a."))</f>
        <v>0</v>
      </c>
      <c r="N3961" s="16">
        <f>IF(NOT(Paths!$C$366=1),0,IF(Paths!$P$366="Complete",SUM(G3961:I3961)-J3961-K3961-L3961+M3961+IF(C3961=0,Paths!$F$366,0)+IF(IF(Paths!$E$366=0,C3961=0,AND(C3961&gt;0,Paths!$E$366&gt;(C3961-1)*12,Paths!$E$366&lt;=C3961*12)),VLOOKUP(A3961,'Fleet register'!$A$7:$S$106,16,FALSE),0),"n.a."))</f>
        <v>0</v>
      </c>
      <c r="O3961" s="16">
        <f>IF(NOT(Paths!$C$366=1),0,IF(Paths!$P$366="Complete",N3961-IF(C3961=0,Paths!$F$366,0),"n.a."))</f>
        <v>0</v>
      </c>
      <c r="P3961" s="16">
        <f>IF(NOT(Paths!$C$366=1),0,IF(Paths!$P$366="Complete",O3961+L3961,"n.a."))</f>
        <v>0</v>
      </c>
      <c r="Q3961" s="16">
        <f>IF(NOT(Paths!$C$366=1),0,IF(Paths!$P$366="Complete",N3961*(1+'Operating costs'!$B$54)^-C3961,"n.a."))</f>
        <v>0</v>
      </c>
      <c r="R3961" s="16">
        <f>IF(NOT(Paths!$C$366=1),0,IF(Paths!$P$366="Complete",IF(AND(C3961=0,Paths!$E$366=0),I3961-J3961-K3961+VLOOKUP(A3961,'Fleet register'!$A$7:$S$106,15,FALSE)+VLOOKUP(A3961,'Fleet register'!$A$7:$S$106,16,FALSE),0),"n.a."))</f>
        <v>0</v>
      </c>
      <c r="S3961" s="1">
        <f>IF(NOT(Paths!$C$366=1),0,IF(Paths!$P$366="Complete",IF(C3961=0,0,Paths!$S$366*Paths!$R$366),"n.a."))</f>
        <v>0</v>
      </c>
      <c r="T3961" s="1">
        <f>IF(NOT(Paths!$C$366=1),0,IF(Paths!$P$366="Complete",IF(C3961=0,0,VLOOKUP(A3961,'Fleet register'!$A$7:$S$106,9,FALSE)*Paths!$R$366),"n.a."))</f>
        <v>0</v>
      </c>
    </row>
    <row r="3962" spans="1:20" ht="24" customHeight="1">
      <c r="A3962" s="1" t="str">
        <f>Paths!$A$366</f>
        <v>T090</v>
      </c>
      <c r="B3962" s="1">
        <f>Paths!$B$366</f>
        <v>3</v>
      </c>
      <c r="C3962" s="1">
        <v>6</v>
      </c>
      <c r="D3962" s="1">
        <v>366</v>
      </c>
      <c r="E3962" s="1">
        <f>IF(OR(Paths!$C$366=0,C3962=0),0,MAX(0,MIN(C3962*12,Paths!$E$366)-(C3962-1)*12))</f>
        <v>0</v>
      </c>
      <c r="F3962" s="1">
        <f>IF(OR(Paths!$C$366=0,C3962=0),0,12-E3962)</f>
        <v>0</v>
      </c>
      <c r="G3962" s="16">
        <f>IF(NOT(Paths!$C$366=1),0,IF(Paths!$P$366="Complete",E3962/12*(Paths!$J$366*(1+'Operating costs'!$B$51)^MAX(0,C3962-1)+Paths!$K$366*(1+'Operating costs'!$B$53)^MAX(0,C3962-1)),"n.a."))</f>
        <v>0</v>
      </c>
      <c r="H3962" s="16">
        <f>IF(NOT(Paths!$C$366=1),0,IF(Paths!$P$366="Complete",F3962/12*(Paths!$L$366*(1+IF(Paths!$D$366="EV",'Operating costs'!$B$52,'Operating costs'!$B$51))^MAX(0,C3962-1)+Paths!$M$366*(1+'Operating costs'!$B$53)^MAX(0,C3962-1)),"n.a."))</f>
        <v>0</v>
      </c>
      <c r="I3962" s="16">
        <f>IF(NOT(Paths!$C$366=1),0,IF(Paths!$P$366="Complete",IF(IF(Paths!$E$366=0,C3962=0,AND(C3962&gt;0,Paths!$E$366&gt;(C3962-1)*12,Paths!$E$366&lt;=C3962*12)),Paths!$G$366,0),"n.a."))</f>
        <v>0</v>
      </c>
      <c r="J3962" s="16">
        <f>IF(NOT(Paths!$C$366=1),0,IF(Paths!$P$366="Complete",IF(IF(Paths!$E$366=0,C3962=0,AND(C3962&gt;0,Paths!$E$366&gt;(C3962-1)*12,Paths!$E$366&lt;=C3962*12)),Paths!$H$366,0),"n.a."))</f>
        <v>0</v>
      </c>
      <c r="K3962" s="16">
        <f>IF(NOT(Paths!$C$366=1),0,IF(Paths!$P$366="Complete",IF(IF(Paths!$O$366=0,C3962=0,AND(C3962&gt;0,Paths!$O$366&gt;(C3962-1)*12,Paths!$O$366&lt;=C3962*12)),Paths!$N$366,0),"n.a."))</f>
        <v>0</v>
      </c>
      <c r="L3962" s="16">
        <f>IF(NOT(Paths!$C$366=1),0,IF(Paths!$P$366="Complete",IF(C3962=10,Paths!$I$366,0),"n.a."))</f>
        <v>0</v>
      </c>
      <c r="M3962" s="16">
        <f>IF(NOT(Paths!$C$366=1),0,IF(Paths!$P$366="Complete",IF(AND(Paths!$D$366="EV",Paths!$E$366&lt;120,Paths!$E$366+'Operating costs'!$B$65&gt;Paths!$E$366,Paths!$E$366+'Operating costs'!$B$65&lt;=120,IF(Paths!$E$366+'Operating costs'!$B$65=0,C3962=0,AND(C3962&gt;0,Paths!$E$366+'Operating costs'!$B$65&gt;(C3962-1)*12,Paths!$E$366+'Operating costs'!$B$65&lt;=C3962*12))),'Operating costs'!$B$64,0)+IF(AND('Operating costs'!$B$67&gt;0,'Operating costs'!$B$67&lt;=120,OR(Paths!$D$366="ICE",'Operating costs'!$B$67&lt;=Paths!$E$366),IF('Operating costs'!$B$67=0,C3962=0,AND(C3962&gt;0,'Operating costs'!$B$67&gt;(C3962-1)*12,'Operating costs'!$B$67&lt;=C3962*12))),'Operating costs'!$B$66,0),"n.a."))</f>
        <v>0</v>
      </c>
      <c r="N3962" s="16">
        <f>IF(NOT(Paths!$C$366=1),0,IF(Paths!$P$366="Complete",SUM(G3962:I3962)-J3962-K3962-L3962+M3962+IF(C3962=0,Paths!$F$366,0)+IF(IF(Paths!$E$366=0,C3962=0,AND(C3962&gt;0,Paths!$E$366&gt;(C3962-1)*12,Paths!$E$366&lt;=C3962*12)),VLOOKUP(A3962,'Fleet register'!$A$7:$S$106,16,FALSE),0),"n.a."))</f>
        <v>0</v>
      </c>
      <c r="O3962" s="16">
        <f>IF(NOT(Paths!$C$366=1),0,IF(Paths!$P$366="Complete",N3962-IF(C3962=0,Paths!$F$366,0),"n.a."))</f>
        <v>0</v>
      </c>
      <c r="P3962" s="16">
        <f>IF(NOT(Paths!$C$366=1),0,IF(Paths!$P$366="Complete",O3962+L3962,"n.a."))</f>
        <v>0</v>
      </c>
      <c r="Q3962" s="16">
        <f>IF(NOT(Paths!$C$366=1),0,IF(Paths!$P$366="Complete",N3962*(1+'Operating costs'!$B$54)^-C3962,"n.a."))</f>
        <v>0</v>
      </c>
      <c r="R3962" s="16">
        <f>IF(NOT(Paths!$C$366=1),0,IF(Paths!$P$366="Complete",IF(AND(C3962=0,Paths!$E$366=0),I3962-J3962-K3962+VLOOKUP(A3962,'Fleet register'!$A$7:$S$106,15,FALSE)+VLOOKUP(A3962,'Fleet register'!$A$7:$S$106,16,FALSE),0),"n.a."))</f>
        <v>0</v>
      </c>
      <c r="S3962" s="1">
        <f>IF(NOT(Paths!$C$366=1),0,IF(Paths!$P$366="Complete",IF(C3962=0,0,Paths!$S$366*Paths!$R$366),"n.a."))</f>
        <v>0</v>
      </c>
      <c r="T3962" s="1">
        <f>IF(NOT(Paths!$C$366=1),0,IF(Paths!$P$366="Complete",IF(C3962=0,0,VLOOKUP(A3962,'Fleet register'!$A$7:$S$106,9,FALSE)*Paths!$R$366),"n.a."))</f>
        <v>0</v>
      </c>
    </row>
    <row r="3963" spans="1:20" ht="24" customHeight="1">
      <c r="A3963" s="1" t="str">
        <f>Paths!$A$366</f>
        <v>T090</v>
      </c>
      <c r="B3963" s="1">
        <f>Paths!$B$366</f>
        <v>3</v>
      </c>
      <c r="C3963" s="1">
        <v>7</v>
      </c>
      <c r="D3963" s="1">
        <v>366</v>
      </c>
      <c r="E3963" s="1">
        <f>IF(OR(Paths!$C$366=0,C3963=0),0,MAX(0,MIN(C3963*12,Paths!$E$366)-(C3963-1)*12))</f>
        <v>0</v>
      </c>
      <c r="F3963" s="1">
        <f>IF(OR(Paths!$C$366=0,C3963=0),0,12-E3963)</f>
        <v>0</v>
      </c>
      <c r="G3963" s="16">
        <f>IF(NOT(Paths!$C$366=1),0,IF(Paths!$P$366="Complete",E3963/12*(Paths!$J$366*(1+'Operating costs'!$B$51)^MAX(0,C3963-1)+Paths!$K$366*(1+'Operating costs'!$B$53)^MAX(0,C3963-1)),"n.a."))</f>
        <v>0</v>
      </c>
      <c r="H3963" s="16">
        <f>IF(NOT(Paths!$C$366=1),0,IF(Paths!$P$366="Complete",F3963/12*(Paths!$L$366*(1+IF(Paths!$D$366="EV",'Operating costs'!$B$52,'Operating costs'!$B$51))^MAX(0,C3963-1)+Paths!$M$366*(1+'Operating costs'!$B$53)^MAX(0,C3963-1)),"n.a."))</f>
        <v>0</v>
      </c>
      <c r="I3963" s="16">
        <f>IF(NOT(Paths!$C$366=1),0,IF(Paths!$P$366="Complete",IF(IF(Paths!$E$366=0,C3963=0,AND(C3963&gt;0,Paths!$E$366&gt;(C3963-1)*12,Paths!$E$366&lt;=C3963*12)),Paths!$G$366,0),"n.a."))</f>
        <v>0</v>
      </c>
      <c r="J3963" s="16">
        <f>IF(NOT(Paths!$C$366=1),0,IF(Paths!$P$366="Complete",IF(IF(Paths!$E$366=0,C3963=0,AND(C3963&gt;0,Paths!$E$366&gt;(C3963-1)*12,Paths!$E$366&lt;=C3963*12)),Paths!$H$366,0),"n.a."))</f>
        <v>0</v>
      </c>
      <c r="K3963" s="16">
        <f>IF(NOT(Paths!$C$366=1),0,IF(Paths!$P$366="Complete",IF(IF(Paths!$O$366=0,C3963=0,AND(C3963&gt;0,Paths!$O$366&gt;(C3963-1)*12,Paths!$O$366&lt;=C3963*12)),Paths!$N$366,0),"n.a."))</f>
        <v>0</v>
      </c>
      <c r="L3963" s="16">
        <f>IF(NOT(Paths!$C$366=1),0,IF(Paths!$P$366="Complete",IF(C3963=10,Paths!$I$366,0),"n.a."))</f>
        <v>0</v>
      </c>
      <c r="M3963" s="16">
        <f>IF(NOT(Paths!$C$366=1),0,IF(Paths!$P$366="Complete",IF(AND(Paths!$D$366="EV",Paths!$E$366&lt;120,Paths!$E$366+'Operating costs'!$B$65&gt;Paths!$E$366,Paths!$E$366+'Operating costs'!$B$65&lt;=120,IF(Paths!$E$366+'Operating costs'!$B$65=0,C3963=0,AND(C3963&gt;0,Paths!$E$366+'Operating costs'!$B$65&gt;(C3963-1)*12,Paths!$E$366+'Operating costs'!$B$65&lt;=C3963*12))),'Operating costs'!$B$64,0)+IF(AND('Operating costs'!$B$67&gt;0,'Operating costs'!$B$67&lt;=120,OR(Paths!$D$366="ICE",'Operating costs'!$B$67&lt;=Paths!$E$366),IF('Operating costs'!$B$67=0,C3963=0,AND(C3963&gt;0,'Operating costs'!$B$67&gt;(C3963-1)*12,'Operating costs'!$B$67&lt;=C3963*12))),'Operating costs'!$B$66,0),"n.a."))</f>
        <v>0</v>
      </c>
      <c r="N3963" s="16">
        <f>IF(NOT(Paths!$C$366=1),0,IF(Paths!$P$366="Complete",SUM(G3963:I3963)-J3963-K3963-L3963+M3963+IF(C3963=0,Paths!$F$366,0)+IF(IF(Paths!$E$366=0,C3963=0,AND(C3963&gt;0,Paths!$E$366&gt;(C3963-1)*12,Paths!$E$366&lt;=C3963*12)),VLOOKUP(A3963,'Fleet register'!$A$7:$S$106,16,FALSE),0),"n.a."))</f>
        <v>0</v>
      </c>
      <c r="O3963" s="16">
        <f>IF(NOT(Paths!$C$366=1),0,IF(Paths!$P$366="Complete",N3963-IF(C3963=0,Paths!$F$366,0),"n.a."))</f>
        <v>0</v>
      </c>
      <c r="P3963" s="16">
        <f>IF(NOT(Paths!$C$366=1),0,IF(Paths!$P$366="Complete",O3963+L3963,"n.a."))</f>
        <v>0</v>
      </c>
      <c r="Q3963" s="16">
        <f>IF(NOT(Paths!$C$366=1),0,IF(Paths!$P$366="Complete",N3963*(1+'Operating costs'!$B$54)^-C3963,"n.a."))</f>
        <v>0</v>
      </c>
      <c r="R3963" s="16">
        <f>IF(NOT(Paths!$C$366=1),0,IF(Paths!$P$366="Complete",IF(AND(C3963=0,Paths!$E$366=0),I3963-J3963-K3963+VLOOKUP(A3963,'Fleet register'!$A$7:$S$106,15,FALSE)+VLOOKUP(A3963,'Fleet register'!$A$7:$S$106,16,FALSE),0),"n.a."))</f>
        <v>0</v>
      </c>
      <c r="S3963" s="1">
        <f>IF(NOT(Paths!$C$366=1),0,IF(Paths!$P$366="Complete",IF(C3963=0,0,Paths!$S$366*Paths!$R$366),"n.a."))</f>
        <v>0</v>
      </c>
      <c r="T3963" s="1">
        <f>IF(NOT(Paths!$C$366=1),0,IF(Paths!$P$366="Complete",IF(C3963=0,0,VLOOKUP(A3963,'Fleet register'!$A$7:$S$106,9,FALSE)*Paths!$R$366),"n.a."))</f>
        <v>0</v>
      </c>
    </row>
    <row r="3964" spans="1:20" ht="24" customHeight="1">
      <c r="A3964" s="1" t="str">
        <f>Paths!$A$366</f>
        <v>T090</v>
      </c>
      <c r="B3964" s="1">
        <f>Paths!$B$366</f>
        <v>3</v>
      </c>
      <c r="C3964" s="1">
        <v>8</v>
      </c>
      <c r="D3964" s="1">
        <v>366</v>
      </c>
      <c r="E3964" s="1">
        <f>IF(OR(Paths!$C$366=0,C3964=0),0,MAX(0,MIN(C3964*12,Paths!$E$366)-(C3964-1)*12))</f>
        <v>0</v>
      </c>
      <c r="F3964" s="1">
        <f>IF(OR(Paths!$C$366=0,C3964=0),0,12-E3964)</f>
        <v>0</v>
      </c>
      <c r="G3964" s="16">
        <f>IF(NOT(Paths!$C$366=1),0,IF(Paths!$P$366="Complete",E3964/12*(Paths!$J$366*(1+'Operating costs'!$B$51)^MAX(0,C3964-1)+Paths!$K$366*(1+'Operating costs'!$B$53)^MAX(0,C3964-1)),"n.a."))</f>
        <v>0</v>
      </c>
      <c r="H3964" s="16">
        <f>IF(NOT(Paths!$C$366=1),0,IF(Paths!$P$366="Complete",F3964/12*(Paths!$L$366*(1+IF(Paths!$D$366="EV",'Operating costs'!$B$52,'Operating costs'!$B$51))^MAX(0,C3964-1)+Paths!$M$366*(1+'Operating costs'!$B$53)^MAX(0,C3964-1)),"n.a."))</f>
        <v>0</v>
      </c>
      <c r="I3964" s="16">
        <f>IF(NOT(Paths!$C$366=1),0,IF(Paths!$P$366="Complete",IF(IF(Paths!$E$366=0,C3964=0,AND(C3964&gt;0,Paths!$E$366&gt;(C3964-1)*12,Paths!$E$366&lt;=C3964*12)),Paths!$G$366,0),"n.a."))</f>
        <v>0</v>
      </c>
      <c r="J3964" s="16">
        <f>IF(NOT(Paths!$C$366=1),0,IF(Paths!$P$366="Complete",IF(IF(Paths!$E$366=0,C3964=0,AND(C3964&gt;0,Paths!$E$366&gt;(C3964-1)*12,Paths!$E$366&lt;=C3964*12)),Paths!$H$366,0),"n.a."))</f>
        <v>0</v>
      </c>
      <c r="K3964" s="16">
        <f>IF(NOT(Paths!$C$366=1),0,IF(Paths!$P$366="Complete",IF(IF(Paths!$O$366=0,C3964=0,AND(C3964&gt;0,Paths!$O$366&gt;(C3964-1)*12,Paths!$O$366&lt;=C3964*12)),Paths!$N$366,0),"n.a."))</f>
        <v>0</v>
      </c>
      <c r="L3964" s="16">
        <f>IF(NOT(Paths!$C$366=1),0,IF(Paths!$P$366="Complete",IF(C3964=10,Paths!$I$366,0),"n.a."))</f>
        <v>0</v>
      </c>
      <c r="M3964" s="16">
        <f>IF(NOT(Paths!$C$366=1),0,IF(Paths!$P$366="Complete",IF(AND(Paths!$D$366="EV",Paths!$E$366&lt;120,Paths!$E$366+'Operating costs'!$B$65&gt;Paths!$E$366,Paths!$E$366+'Operating costs'!$B$65&lt;=120,IF(Paths!$E$366+'Operating costs'!$B$65=0,C3964=0,AND(C3964&gt;0,Paths!$E$366+'Operating costs'!$B$65&gt;(C3964-1)*12,Paths!$E$366+'Operating costs'!$B$65&lt;=C3964*12))),'Operating costs'!$B$64,0)+IF(AND('Operating costs'!$B$67&gt;0,'Operating costs'!$B$67&lt;=120,OR(Paths!$D$366="ICE",'Operating costs'!$B$67&lt;=Paths!$E$366),IF('Operating costs'!$B$67=0,C3964=0,AND(C3964&gt;0,'Operating costs'!$B$67&gt;(C3964-1)*12,'Operating costs'!$B$67&lt;=C3964*12))),'Operating costs'!$B$66,0),"n.a."))</f>
        <v>0</v>
      </c>
      <c r="N3964" s="16">
        <f>IF(NOT(Paths!$C$366=1),0,IF(Paths!$P$366="Complete",SUM(G3964:I3964)-J3964-K3964-L3964+M3964+IF(C3964=0,Paths!$F$366,0)+IF(IF(Paths!$E$366=0,C3964=0,AND(C3964&gt;0,Paths!$E$366&gt;(C3964-1)*12,Paths!$E$366&lt;=C3964*12)),VLOOKUP(A3964,'Fleet register'!$A$7:$S$106,16,FALSE),0),"n.a."))</f>
        <v>0</v>
      </c>
      <c r="O3964" s="16">
        <f>IF(NOT(Paths!$C$366=1),0,IF(Paths!$P$366="Complete",N3964-IF(C3964=0,Paths!$F$366,0),"n.a."))</f>
        <v>0</v>
      </c>
      <c r="P3964" s="16">
        <f>IF(NOT(Paths!$C$366=1),0,IF(Paths!$P$366="Complete",O3964+L3964,"n.a."))</f>
        <v>0</v>
      </c>
      <c r="Q3964" s="16">
        <f>IF(NOT(Paths!$C$366=1),0,IF(Paths!$P$366="Complete",N3964*(1+'Operating costs'!$B$54)^-C3964,"n.a."))</f>
        <v>0</v>
      </c>
      <c r="R3964" s="16">
        <f>IF(NOT(Paths!$C$366=1),0,IF(Paths!$P$366="Complete",IF(AND(C3964=0,Paths!$E$366=0),I3964-J3964-K3964+VLOOKUP(A3964,'Fleet register'!$A$7:$S$106,15,FALSE)+VLOOKUP(A3964,'Fleet register'!$A$7:$S$106,16,FALSE),0),"n.a."))</f>
        <v>0</v>
      </c>
      <c r="S3964" s="1">
        <f>IF(NOT(Paths!$C$366=1),0,IF(Paths!$P$366="Complete",IF(C3964=0,0,Paths!$S$366*Paths!$R$366),"n.a."))</f>
        <v>0</v>
      </c>
      <c r="T3964" s="1">
        <f>IF(NOT(Paths!$C$366=1),0,IF(Paths!$P$366="Complete",IF(C3964=0,0,VLOOKUP(A3964,'Fleet register'!$A$7:$S$106,9,FALSE)*Paths!$R$366),"n.a."))</f>
        <v>0</v>
      </c>
    </row>
    <row r="3965" spans="1:20" ht="24" customHeight="1">
      <c r="A3965" s="1" t="str">
        <f>Paths!$A$366</f>
        <v>T090</v>
      </c>
      <c r="B3965" s="1">
        <f>Paths!$B$366</f>
        <v>3</v>
      </c>
      <c r="C3965" s="1">
        <v>9</v>
      </c>
      <c r="D3965" s="1">
        <v>366</v>
      </c>
      <c r="E3965" s="1">
        <f>IF(OR(Paths!$C$366=0,C3965=0),0,MAX(0,MIN(C3965*12,Paths!$E$366)-(C3965-1)*12))</f>
        <v>0</v>
      </c>
      <c r="F3965" s="1">
        <f>IF(OR(Paths!$C$366=0,C3965=0),0,12-E3965)</f>
        <v>0</v>
      </c>
      <c r="G3965" s="16">
        <f>IF(NOT(Paths!$C$366=1),0,IF(Paths!$P$366="Complete",E3965/12*(Paths!$J$366*(1+'Operating costs'!$B$51)^MAX(0,C3965-1)+Paths!$K$366*(1+'Operating costs'!$B$53)^MAX(0,C3965-1)),"n.a."))</f>
        <v>0</v>
      </c>
      <c r="H3965" s="16">
        <f>IF(NOT(Paths!$C$366=1),0,IF(Paths!$P$366="Complete",F3965/12*(Paths!$L$366*(1+IF(Paths!$D$366="EV",'Operating costs'!$B$52,'Operating costs'!$B$51))^MAX(0,C3965-1)+Paths!$M$366*(1+'Operating costs'!$B$53)^MAX(0,C3965-1)),"n.a."))</f>
        <v>0</v>
      </c>
      <c r="I3965" s="16">
        <f>IF(NOT(Paths!$C$366=1),0,IF(Paths!$P$366="Complete",IF(IF(Paths!$E$366=0,C3965=0,AND(C3965&gt;0,Paths!$E$366&gt;(C3965-1)*12,Paths!$E$366&lt;=C3965*12)),Paths!$G$366,0),"n.a."))</f>
        <v>0</v>
      </c>
      <c r="J3965" s="16">
        <f>IF(NOT(Paths!$C$366=1),0,IF(Paths!$P$366="Complete",IF(IF(Paths!$E$366=0,C3965=0,AND(C3965&gt;0,Paths!$E$366&gt;(C3965-1)*12,Paths!$E$366&lt;=C3965*12)),Paths!$H$366,0),"n.a."))</f>
        <v>0</v>
      </c>
      <c r="K3965" s="16">
        <f>IF(NOT(Paths!$C$366=1),0,IF(Paths!$P$366="Complete",IF(IF(Paths!$O$366=0,C3965=0,AND(C3965&gt;0,Paths!$O$366&gt;(C3965-1)*12,Paths!$O$366&lt;=C3965*12)),Paths!$N$366,0),"n.a."))</f>
        <v>0</v>
      </c>
      <c r="L3965" s="16">
        <f>IF(NOT(Paths!$C$366=1),0,IF(Paths!$P$366="Complete",IF(C3965=10,Paths!$I$366,0),"n.a."))</f>
        <v>0</v>
      </c>
      <c r="M3965" s="16">
        <f>IF(NOT(Paths!$C$366=1),0,IF(Paths!$P$366="Complete",IF(AND(Paths!$D$366="EV",Paths!$E$366&lt;120,Paths!$E$366+'Operating costs'!$B$65&gt;Paths!$E$366,Paths!$E$366+'Operating costs'!$B$65&lt;=120,IF(Paths!$E$366+'Operating costs'!$B$65=0,C3965=0,AND(C3965&gt;0,Paths!$E$366+'Operating costs'!$B$65&gt;(C3965-1)*12,Paths!$E$366+'Operating costs'!$B$65&lt;=C3965*12))),'Operating costs'!$B$64,0)+IF(AND('Operating costs'!$B$67&gt;0,'Operating costs'!$B$67&lt;=120,OR(Paths!$D$366="ICE",'Operating costs'!$B$67&lt;=Paths!$E$366),IF('Operating costs'!$B$67=0,C3965=0,AND(C3965&gt;0,'Operating costs'!$B$67&gt;(C3965-1)*12,'Operating costs'!$B$67&lt;=C3965*12))),'Operating costs'!$B$66,0),"n.a."))</f>
        <v>0</v>
      </c>
      <c r="N3965" s="16">
        <f>IF(NOT(Paths!$C$366=1),0,IF(Paths!$P$366="Complete",SUM(G3965:I3965)-J3965-K3965-L3965+M3965+IF(C3965=0,Paths!$F$366,0)+IF(IF(Paths!$E$366=0,C3965=0,AND(C3965&gt;0,Paths!$E$366&gt;(C3965-1)*12,Paths!$E$366&lt;=C3965*12)),VLOOKUP(A3965,'Fleet register'!$A$7:$S$106,16,FALSE),0),"n.a."))</f>
        <v>0</v>
      </c>
      <c r="O3965" s="16">
        <f>IF(NOT(Paths!$C$366=1),0,IF(Paths!$P$366="Complete",N3965-IF(C3965=0,Paths!$F$366,0),"n.a."))</f>
        <v>0</v>
      </c>
      <c r="P3965" s="16">
        <f>IF(NOT(Paths!$C$366=1),0,IF(Paths!$P$366="Complete",O3965+L3965,"n.a."))</f>
        <v>0</v>
      </c>
      <c r="Q3965" s="16">
        <f>IF(NOT(Paths!$C$366=1),0,IF(Paths!$P$366="Complete",N3965*(1+'Operating costs'!$B$54)^-C3965,"n.a."))</f>
        <v>0</v>
      </c>
      <c r="R3965" s="16">
        <f>IF(NOT(Paths!$C$366=1),0,IF(Paths!$P$366="Complete",IF(AND(C3965=0,Paths!$E$366=0),I3965-J3965-K3965+VLOOKUP(A3965,'Fleet register'!$A$7:$S$106,15,FALSE)+VLOOKUP(A3965,'Fleet register'!$A$7:$S$106,16,FALSE),0),"n.a."))</f>
        <v>0</v>
      </c>
      <c r="S3965" s="1">
        <f>IF(NOT(Paths!$C$366=1),0,IF(Paths!$P$366="Complete",IF(C3965=0,0,Paths!$S$366*Paths!$R$366),"n.a."))</f>
        <v>0</v>
      </c>
      <c r="T3965" s="1">
        <f>IF(NOT(Paths!$C$366=1),0,IF(Paths!$P$366="Complete",IF(C3965=0,0,VLOOKUP(A3965,'Fleet register'!$A$7:$S$106,9,FALSE)*Paths!$R$366),"n.a."))</f>
        <v>0</v>
      </c>
    </row>
    <row r="3966" spans="1:20" ht="24" customHeight="1">
      <c r="A3966" s="1" t="str">
        <f>Paths!$A$366</f>
        <v>T090</v>
      </c>
      <c r="B3966" s="1">
        <f>Paths!$B$366</f>
        <v>3</v>
      </c>
      <c r="C3966" s="1">
        <v>10</v>
      </c>
      <c r="D3966" s="1">
        <v>366</v>
      </c>
      <c r="E3966" s="1">
        <f>IF(OR(Paths!$C$366=0,C3966=0),0,MAX(0,MIN(C3966*12,Paths!$E$366)-(C3966-1)*12))</f>
        <v>0</v>
      </c>
      <c r="F3966" s="1">
        <f>IF(OR(Paths!$C$366=0,C3966=0),0,12-E3966)</f>
        <v>0</v>
      </c>
      <c r="G3966" s="16">
        <f>IF(NOT(Paths!$C$366=1),0,IF(Paths!$P$366="Complete",E3966/12*(Paths!$J$366*(1+'Operating costs'!$B$51)^MAX(0,C3966-1)+Paths!$K$366*(1+'Operating costs'!$B$53)^MAX(0,C3966-1)),"n.a."))</f>
        <v>0</v>
      </c>
      <c r="H3966" s="16">
        <f>IF(NOT(Paths!$C$366=1),0,IF(Paths!$P$366="Complete",F3966/12*(Paths!$L$366*(1+IF(Paths!$D$366="EV",'Operating costs'!$B$52,'Operating costs'!$B$51))^MAX(0,C3966-1)+Paths!$M$366*(1+'Operating costs'!$B$53)^MAX(0,C3966-1)),"n.a."))</f>
        <v>0</v>
      </c>
      <c r="I3966" s="16">
        <f>IF(NOT(Paths!$C$366=1),0,IF(Paths!$P$366="Complete",IF(IF(Paths!$E$366=0,C3966=0,AND(C3966&gt;0,Paths!$E$366&gt;(C3966-1)*12,Paths!$E$366&lt;=C3966*12)),Paths!$G$366,0),"n.a."))</f>
        <v>0</v>
      </c>
      <c r="J3966" s="16">
        <f>IF(NOT(Paths!$C$366=1),0,IF(Paths!$P$366="Complete",IF(IF(Paths!$E$366=0,C3966=0,AND(C3966&gt;0,Paths!$E$366&gt;(C3966-1)*12,Paths!$E$366&lt;=C3966*12)),Paths!$H$366,0),"n.a."))</f>
        <v>0</v>
      </c>
      <c r="K3966" s="16">
        <f>IF(NOT(Paths!$C$366=1),0,IF(Paths!$P$366="Complete",IF(IF(Paths!$O$366=0,C3966=0,AND(C3966&gt;0,Paths!$O$366&gt;(C3966-1)*12,Paths!$O$366&lt;=C3966*12)),Paths!$N$366,0),"n.a."))</f>
        <v>0</v>
      </c>
      <c r="L3966" s="16">
        <f>IF(NOT(Paths!$C$366=1),0,IF(Paths!$P$366="Complete",IF(C3966=10,Paths!$I$366,0),"n.a."))</f>
        <v>0</v>
      </c>
      <c r="M3966" s="16">
        <f>IF(NOT(Paths!$C$366=1),0,IF(Paths!$P$366="Complete",IF(AND(Paths!$D$366="EV",Paths!$E$366&lt;120,Paths!$E$366+'Operating costs'!$B$65&gt;Paths!$E$366,Paths!$E$366+'Operating costs'!$B$65&lt;=120,IF(Paths!$E$366+'Operating costs'!$B$65=0,C3966=0,AND(C3966&gt;0,Paths!$E$366+'Operating costs'!$B$65&gt;(C3966-1)*12,Paths!$E$366+'Operating costs'!$B$65&lt;=C3966*12))),'Operating costs'!$B$64,0)+IF(AND('Operating costs'!$B$67&gt;0,'Operating costs'!$B$67&lt;=120,OR(Paths!$D$366="ICE",'Operating costs'!$B$67&lt;=Paths!$E$366),IF('Operating costs'!$B$67=0,C3966=0,AND(C3966&gt;0,'Operating costs'!$B$67&gt;(C3966-1)*12,'Operating costs'!$B$67&lt;=C3966*12))),'Operating costs'!$B$66,0),"n.a."))</f>
        <v>0</v>
      </c>
      <c r="N3966" s="16">
        <f>IF(NOT(Paths!$C$366=1),0,IF(Paths!$P$366="Complete",SUM(G3966:I3966)-J3966-K3966-L3966+M3966+IF(C3966=0,Paths!$F$366,0)+IF(IF(Paths!$E$366=0,C3966=0,AND(C3966&gt;0,Paths!$E$366&gt;(C3966-1)*12,Paths!$E$366&lt;=C3966*12)),VLOOKUP(A3966,'Fleet register'!$A$7:$S$106,16,FALSE),0),"n.a."))</f>
        <v>0</v>
      </c>
      <c r="O3966" s="16">
        <f>IF(NOT(Paths!$C$366=1),0,IF(Paths!$P$366="Complete",N3966-IF(C3966=0,Paths!$F$366,0),"n.a."))</f>
        <v>0</v>
      </c>
      <c r="P3966" s="16">
        <f>IF(NOT(Paths!$C$366=1),0,IF(Paths!$P$366="Complete",O3966+L3966,"n.a."))</f>
        <v>0</v>
      </c>
      <c r="Q3966" s="16">
        <f>IF(NOT(Paths!$C$366=1),0,IF(Paths!$P$366="Complete",N3966*(1+'Operating costs'!$B$54)^-C3966,"n.a."))</f>
        <v>0</v>
      </c>
      <c r="R3966" s="16">
        <f>IF(NOT(Paths!$C$366=1),0,IF(Paths!$P$366="Complete",IF(AND(C3966=0,Paths!$E$366=0),I3966-J3966-K3966+VLOOKUP(A3966,'Fleet register'!$A$7:$S$106,15,FALSE)+VLOOKUP(A3966,'Fleet register'!$A$7:$S$106,16,FALSE),0),"n.a."))</f>
        <v>0</v>
      </c>
      <c r="S3966" s="1">
        <f>IF(NOT(Paths!$C$366=1),0,IF(Paths!$P$366="Complete",IF(C3966=0,0,Paths!$S$366*Paths!$R$366),"n.a."))</f>
        <v>0</v>
      </c>
      <c r="T3966" s="1">
        <f>IF(NOT(Paths!$C$366=1),0,IF(Paths!$P$366="Complete",IF(C3966=0,0,VLOOKUP(A3966,'Fleet register'!$A$7:$S$106,9,FALSE)*Paths!$R$366),"n.a."))</f>
        <v>0</v>
      </c>
    </row>
    <row r="3967" spans="1:20" ht="24" customHeight="1">
      <c r="A3967" s="1" t="str">
        <f>Paths!$A$367</f>
        <v>T091</v>
      </c>
      <c r="B3967" s="1">
        <f>Paths!$B$367</f>
        <v>0</v>
      </c>
      <c r="C3967" s="1">
        <v>0</v>
      </c>
      <c r="D3967" s="1">
        <v>367</v>
      </c>
      <c r="E3967" s="1">
        <f>IF(OR(Paths!$C$367=0,C3967=0),0,MAX(0,MIN(C3967*12,Paths!$E$367)-(C3967-1)*12))</f>
        <v>0</v>
      </c>
      <c r="F3967" s="1">
        <f>IF(OR(Paths!$C$367=0,C3967=0),0,12-E3967)</f>
        <v>0</v>
      </c>
      <c r="G3967" s="16">
        <f>IF(NOT(Paths!$C$367=1),0,IF(Paths!$P$367="Complete",E3967/12*(Paths!$J$367*(1+'Operating costs'!$B$51)^MAX(0,C3967-1)+Paths!$K$367*(1+'Operating costs'!$B$53)^MAX(0,C3967-1)),"n.a."))</f>
        <v>0</v>
      </c>
      <c r="H3967" s="16">
        <f>IF(NOT(Paths!$C$367=1),0,IF(Paths!$P$367="Complete",F3967/12*(Paths!$L$367*(1+IF(Paths!$D$367="EV",'Operating costs'!$B$52,'Operating costs'!$B$51))^MAX(0,C3967-1)+Paths!$M$367*(1+'Operating costs'!$B$53)^MAX(0,C3967-1)),"n.a."))</f>
        <v>0</v>
      </c>
      <c r="I3967" s="16">
        <f>IF(NOT(Paths!$C$367=1),0,IF(Paths!$P$367="Complete",IF(IF(Paths!$E$367=0,C3967=0,AND(C3967&gt;0,Paths!$E$367&gt;(C3967-1)*12,Paths!$E$367&lt;=C3967*12)),Paths!$G$367,0),"n.a."))</f>
        <v>0</v>
      </c>
      <c r="J3967" s="16">
        <f>IF(NOT(Paths!$C$367=1),0,IF(Paths!$P$367="Complete",IF(IF(Paths!$E$367=0,C3967=0,AND(C3967&gt;0,Paths!$E$367&gt;(C3967-1)*12,Paths!$E$367&lt;=C3967*12)),Paths!$H$367,0),"n.a."))</f>
        <v>0</v>
      </c>
      <c r="K3967" s="16">
        <f>IF(NOT(Paths!$C$367=1),0,IF(Paths!$P$367="Complete",IF(IF(Paths!$O$367=0,C3967=0,AND(C3967&gt;0,Paths!$O$367&gt;(C3967-1)*12,Paths!$O$367&lt;=C3967*12)),Paths!$N$367,0),"n.a."))</f>
        <v>0</v>
      </c>
      <c r="L3967" s="16">
        <f>IF(NOT(Paths!$C$367=1),0,IF(Paths!$P$367="Complete",IF(C3967=10,Paths!$I$367,0),"n.a."))</f>
        <v>0</v>
      </c>
      <c r="M3967" s="16">
        <f>IF(NOT(Paths!$C$367=1),0,IF(Paths!$P$367="Complete",IF(AND(Paths!$D$367="EV",Paths!$E$367&lt;120,Paths!$E$367+'Operating costs'!$B$65&gt;Paths!$E$367,Paths!$E$367+'Operating costs'!$B$65&lt;=120,IF(Paths!$E$367+'Operating costs'!$B$65=0,C3967=0,AND(C3967&gt;0,Paths!$E$367+'Operating costs'!$B$65&gt;(C3967-1)*12,Paths!$E$367+'Operating costs'!$B$65&lt;=C3967*12))),'Operating costs'!$B$64,0)+IF(AND('Operating costs'!$B$67&gt;0,'Operating costs'!$B$67&lt;=120,OR(Paths!$D$367="ICE",'Operating costs'!$B$67&lt;=Paths!$E$367),IF('Operating costs'!$B$67=0,C3967=0,AND(C3967&gt;0,'Operating costs'!$B$67&gt;(C3967-1)*12,'Operating costs'!$B$67&lt;=C3967*12))),'Operating costs'!$B$66,0),"n.a."))</f>
        <v>0</v>
      </c>
      <c r="N3967" s="16">
        <f>IF(NOT(Paths!$C$367=1),0,IF(Paths!$P$367="Complete",SUM(G3967:I3967)-J3967-K3967-L3967+M3967+IF(C3967=0,Paths!$F$367,0)+IF(IF(Paths!$E$367=0,C3967=0,AND(C3967&gt;0,Paths!$E$367&gt;(C3967-1)*12,Paths!$E$367&lt;=C3967*12)),VLOOKUP(A3967,'Fleet register'!$A$7:$S$106,16,FALSE),0),"n.a."))</f>
        <v>0</v>
      </c>
      <c r="O3967" s="16">
        <f>IF(NOT(Paths!$C$367=1),0,IF(Paths!$P$367="Complete",N3967-IF(C3967=0,Paths!$F$367,0),"n.a."))</f>
        <v>0</v>
      </c>
      <c r="P3967" s="16">
        <f>IF(NOT(Paths!$C$367=1),0,IF(Paths!$P$367="Complete",O3967+L3967,"n.a."))</f>
        <v>0</v>
      </c>
      <c r="Q3967" s="16">
        <f>IF(NOT(Paths!$C$367=1),0,IF(Paths!$P$367="Complete",N3967*(1+'Operating costs'!$B$54)^-C3967,"n.a."))</f>
        <v>0</v>
      </c>
      <c r="R3967" s="16">
        <f>IF(NOT(Paths!$C$367=1),0,IF(Paths!$P$367="Complete",IF(AND(C3967=0,Paths!$E$367=0),I3967-J3967-K3967+VLOOKUP(A3967,'Fleet register'!$A$7:$S$106,15,FALSE)+VLOOKUP(A3967,'Fleet register'!$A$7:$S$106,16,FALSE),0),"n.a."))</f>
        <v>0</v>
      </c>
      <c r="S3967" s="1">
        <f>IF(NOT(Paths!$C$367=1),0,IF(Paths!$P$367="Complete",IF(C3967=0,0,Paths!$S$367*Paths!$R$367),"n.a."))</f>
        <v>0</v>
      </c>
      <c r="T3967" s="1">
        <f>IF(NOT(Paths!$C$367=1),0,IF(Paths!$P$367="Complete",IF(C3967=0,0,VLOOKUP(A3967,'Fleet register'!$A$7:$S$106,9,FALSE)*Paths!$R$367),"n.a."))</f>
        <v>0</v>
      </c>
    </row>
    <row r="3968" spans="1:20" ht="24" customHeight="1">
      <c r="A3968" s="1" t="str">
        <f>Paths!$A$367</f>
        <v>T091</v>
      </c>
      <c r="B3968" s="1">
        <f>Paths!$B$367</f>
        <v>0</v>
      </c>
      <c r="C3968" s="1">
        <v>1</v>
      </c>
      <c r="D3968" s="1">
        <v>367</v>
      </c>
      <c r="E3968" s="1">
        <f>IF(OR(Paths!$C$367=0,C3968=0),0,MAX(0,MIN(C3968*12,Paths!$E$367)-(C3968-1)*12))</f>
        <v>0</v>
      </c>
      <c r="F3968" s="1">
        <f>IF(OR(Paths!$C$367=0,C3968=0),0,12-E3968)</f>
        <v>0</v>
      </c>
      <c r="G3968" s="16">
        <f>IF(NOT(Paths!$C$367=1),0,IF(Paths!$P$367="Complete",E3968/12*(Paths!$J$367*(1+'Operating costs'!$B$51)^MAX(0,C3968-1)+Paths!$K$367*(1+'Operating costs'!$B$53)^MAX(0,C3968-1)),"n.a."))</f>
        <v>0</v>
      </c>
      <c r="H3968" s="16">
        <f>IF(NOT(Paths!$C$367=1),0,IF(Paths!$P$367="Complete",F3968/12*(Paths!$L$367*(1+IF(Paths!$D$367="EV",'Operating costs'!$B$52,'Operating costs'!$B$51))^MAX(0,C3968-1)+Paths!$M$367*(1+'Operating costs'!$B$53)^MAX(0,C3968-1)),"n.a."))</f>
        <v>0</v>
      </c>
      <c r="I3968" s="16">
        <f>IF(NOT(Paths!$C$367=1),0,IF(Paths!$P$367="Complete",IF(IF(Paths!$E$367=0,C3968=0,AND(C3968&gt;0,Paths!$E$367&gt;(C3968-1)*12,Paths!$E$367&lt;=C3968*12)),Paths!$G$367,0),"n.a."))</f>
        <v>0</v>
      </c>
      <c r="J3968" s="16">
        <f>IF(NOT(Paths!$C$367=1),0,IF(Paths!$P$367="Complete",IF(IF(Paths!$E$367=0,C3968=0,AND(C3968&gt;0,Paths!$E$367&gt;(C3968-1)*12,Paths!$E$367&lt;=C3968*12)),Paths!$H$367,0),"n.a."))</f>
        <v>0</v>
      </c>
      <c r="K3968" s="16">
        <f>IF(NOT(Paths!$C$367=1),0,IF(Paths!$P$367="Complete",IF(IF(Paths!$O$367=0,C3968=0,AND(C3968&gt;0,Paths!$O$367&gt;(C3968-1)*12,Paths!$O$367&lt;=C3968*12)),Paths!$N$367,0),"n.a."))</f>
        <v>0</v>
      </c>
      <c r="L3968" s="16">
        <f>IF(NOT(Paths!$C$367=1),0,IF(Paths!$P$367="Complete",IF(C3968=10,Paths!$I$367,0),"n.a."))</f>
        <v>0</v>
      </c>
      <c r="M3968" s="16">
        <f>IF(NOT(Paths!$C$367=1),0,IF(Paths!$P$367="Complete",IF(AND(Paths!$D$367="EV",Paths!$E$367&lt;120,Paths!$E$367+'Operating costs'!$B$65&gt;Paths!$E$367,Paths!$E$367+'Operating costs'!$B$65&lt;=120,IF(Paths!$E$367+'Operating costs'!$B$65=0,C3968=0,AND(C3968&gt;0,Paths!$E$367+'Operating costs'!$B$65&gt;(C3968-1)*12,Paths!$E$367+'Operating costs'!$B$65&lt;=C3968*12))),'Operating costs'!$B$64,0)+IF(AND('Operating costs'!$B$67&gt;0,'Operating costs'!$B$67&lt;=120,OR(Paths!$D$367="ICE",'Operating costs'!$B$67&lt;=Paths!$E$367),IF('Operating costs'!$B$67=0,C3968=0,AND(C3968&gt;0,'Operating costs'!$B$67&gt;(C3968-1)*12,'Operating costs'!$B$67&lt;=C3968*12))),'Operating costs'!$B$66,0),"n.a."))</f>
        <v>0</v>
      </c>
      <c r="N3968" s="16">
        <f>IF(NOT(Paths!$C$367=1),0,IF(Paths!$P$367="Complete",SUM(G3968:I3968)-J3968-K3968-L3968+M3968+IF(C3968=0,Paths!$F$367,0)+IF(IF(Paths!$E$367=0,C3968=0,AND(C3968&gt;0,Paths!$E$367&gt;(C3968-1)*12,Paths!$E$367&lt;=C3968*12)),VLOOKUP(A3968,'Fleet register'!$A$7:$S$106,16,FALSE),0),"n.a."))</f>
        <v>0</v>
      </c>
      <c r="O3968" s="16">
        <f>IF(NOT(Paths!$C$367=1),0,IF(Paths!$P$367="Complete",N3968-IF(C3968=0,Paths!$F$367,0),"n.a."))</f>
        <v>0</v>
      </c>
      <c r="P3968" s="16">
        <f>IF(NOT(Paths!$C$367=1),0,IF(Paths!$P$367="Complete",O3968+L3968,"n.a."))</f>
        <v>0</v>
      </c>
      <c r="Q3968" s="16">
        <f>IF(NOT(Paths!$C$367=1),0,IF(Paths!$P$367="Complete",N3968*(1+'Operating costs'!$B$54)^-C3968,"n.a."))</f>
        <v>0</v>
      </c>
      <c r="R3968" s="16">
        <f>IF(NOT(Paths!$C$367=1),0,IF(Paths!$P$367="Complete",IF(AND(C3968=0,Paths!$E$367=0),I3968-J3968-K3968+VLOOKUP(A3968,'Fleet register'!$A$7:$S$106,15,FALSE)+VLOOKUP(A3968,'Fleet register'!$A$7:$S$106,16,FALSE),0),"n.a."))</f>
        <v>0</v>
      </c>
      <c r="S3968" s="1">
        <f>IF(NOT(Paths!$C$367=1),0,IF(Paths!$P$367="Complete",IF(C3968=0,0,Paths!$S$367*Paths!$R$367),"n.a."))</f>
        <v>0</v>
      </c>
      <c r="T3968" s="1">
        <f>IF(NOT(Paths!$C$367=1),0,IF(Paths!$P$367="Complete",IF(C3968=0,0,VLOOKUP(A3968,'Fleet register'!$A$7:$S$106,9,FALSE)*Paths!$R$367),"n.a."))</f>
        <v>0</v>
      </c>
    </row>
    <row r="3969" spans="1:20" ht="24" customHeight="1">
      <c r="A3969" s="1" t="str">
        <f>Paths!$A$367</f>
        <v>T091</v>
      </c>
      <c r="B3969" s="1">
        <f>Paths!$B$367</f>
        <v>0</v>
      </c>
      <c r="C3969" s="1">
        <v>2</v>
      </c>
      <c r="D3969" s="1">
        <v>367</v>
      </c>
      <c r="E3969" s="1">
        <f>IF(OR(Paths!$C$367=0,C3969=0),0,MAX(0,MIN(C3969*12,Paths!$E$367)-(C3969-1)*12))</f>
        <v>0</v>
      </c>
      <c r="F3969" s="1">
        <f>IF(OR(Paths!$C$367=0,C3969=0),0,12-E3969)</f>
        <v>0</v>
      </c>
      <c r="G3969" s="16">
        <f>IF(NOT(Paths!$C$367=1),0,IF(Paths!$P$367="Complete",E3969/12*(Paths!$J$367*(1+'Operating costs'!$B$51)^MAX(0,C3969-1)+Paths!$K$367*(1+'Operating costs'!$B$53)^MAX(0,C3969-1)),"n.a."))</f>
        <v>0</v>
      </c>
      <c r="H3969" s="16">
        <f>IF(NOT(Paths!$C$367=1),0,IF(Paths!$P$367="Complete",F3969/12*(Paths!$L$367*(1+IF(Paths!$D$367="EV",'Operating costs'!$B$52,'Operating costs'!$B$51))^MAX(0,C3969-1)+Paths!$M$367*(1+'Operating costs'!$B$53)^MAX(0,C3969-1)),"n.a."))</f>
        <v>0</v>
      </c>
      <c r="I3969" s="16">
        <f>IF(NOT(Paths!$C$367=1),0,IF(Paths!$P$367="Complete",IF(IF(Paths!$E$367=0,C3969=0,AND(C3969&gt;0,Paths!$E$367&gt;(C3969-1)*12,Paths!$E$367&lt;=C3969*12)),Paths!$G$367,0),"n.a."))</f>
        <v>0</v>
      </c>
      <c r="J3969" s="16">
        <f>IF(NOT(Paths!$C$367=1),0,IF(Paths!$P$367="Complete",IF(IF(Paths!$E$367=0,C3969=0,AND(C3969&gt;0,Paths!$E$367&gt;(C3969-1)*12,Paths!$E$367&lt;=C3969*12)),Paths!$H$367,0),"n.a."))</f>
        <v>0</v>
      </c>
      <c r="K3969" s="16">
        <f>IF(NOT(Paths!$C$367=1),0,IF(Paths!$P$367="Complete",IF(IF(Paths!$O$367=0,C3969=0,AND(C3969&gt;0,Paths!$O$367&gt;(C3969-1)*12,Paths!$O$367&lt;=C3969*12)),Paths!$N$367,0),"n.a."))</f>
        <v>0</v>
      </c>
      <c r="L3969" s="16">
        <f>IF(NOT(Paths!$C$367=1),0,IF(Paths!$P$367="Complete",IF(C3969=10,Paths!$I$367,0),"n.a."))</f>
        <v>0</v>
      </c>
      <c r="M3969" s="16">
        <f>IF(NOT(Paths!$C$367=1),0,IF(Paths!$P$367="Complete",IF(AND(Paths!$D$367="EV",Paths!$E$367&lt;120,Paths!$E$367+'Operating costs'!$B$65&gt;Paths!$E$367,Paths!$E$367+'Operating costs'!$B$65&lt;=120,IF(Paths!$E$367+'Operating costs'!$B$65=0,C3969=0,AND(C3969&gt;0,Paths!$E$367+'Operating costs'!$B$65&gt;(C3969-1)*12,Paths!$E$367+'Operating costs'!$B$65&lt;=C3969*12))),'Operating costs'!$B$64,0)+IF(AND('Operating costs'!$B$67&gt;0,'Operating costs'!$B$67&lt;=120,OR(Paths!$D$367="ICE",'Operating costs'!$B$67&lt;=Paths!$E$367),IF('Operating costs'!$B$67=0,C3969=0,AND(C3969&gt;0,'Operating costs'!$B$67&gt;(C3969-1)*12,'Operating costs'!$B$67&lt;=C3969*12))),'Operating costs'!$B$66,0),"n.a."))</f>
        <v>0</v>
      </c>
      <c r="N3969" s="16">
        <f>IF(NOT(Paths!$C$367=1),0,IF(Paths!$P$367="Complete",SUM(G3969:I3969)-J3969-K3969-L3969+M3969+IF(C3969=0,Paths!$F$367,0)+IF(IF(Paths!$E$367=0,C3969=0,AND(C3969&gt;0,Paths!$E$367&gt;(C3969-1)*12,Paths!$E$367&lt;=C3969*12)),VLOOKUP(A3969,'Fleet register'!$A$7:$S$106,16,FALSE),0),"n.a."))</f>
        <v>0</v>
      </c>
      <c r="O3969" s="16">
        <f>IF(NOT(Paths!$C$367=1),0,IF(Paths!$P$367="Complete",N3969-IF(C3969=0,Paths!$F$367,0),"n.a."))</f>
        <v>0</v>
      </c>
      <c r="P3969" s="16">
        <f>IF(NOT(Paths!$C$367=1),0,IF(Paths!$P$367="Complete",O3969+L3969,"n.a."))</f>
        <v>0</v>
      </c>
      <c r="Q3969" s="16">
        <f>IF(NOT(Paths!$C$367=1),0,IF(Paths!$P$367="Complete",N3969*(1+'Operating costs'!$B$54)^-C3969,"n.a."))</f>
        <v>0</v>
      </c>
      <c r="R3969" s="16">
        <f>IF(NOT(Paths!$C$367=1),0,IF(Paths!$P$367="Complete",IF(AND(C3969=0,Paths!$E$367=0),I3969-J3969-K3969+VLOOKUP(A3969,'Fleet register'!$A$7:$S$106,15,FALSE)+VLOOKUP(A3969,'Fleet register'!$A$7:$S$106,16,FALSE),0),"n.a."))</f>
        <v>0</v>
      </c>
      <c r="S3969" s="1">
        <f>IF(NOT(Paths!$C$367=1),0,IF(Paths!$P$367="Complete",IF(C3969=0,0,Paths!$S$367*Paths!$R$367),"n.a."))</f>
        <v>0</v>
      </c>
      <c r="T3969" s="1">
        <f>IF(NOT(Paths!$C$367=1),0,IF(Paths!$P$367="Complete",IF(C3969=0,0,VLOOKUP(A3969,'Fleet register'!$A$7:$S$106,9,FALSE)*Paths!$R$367),"n.a."))</f>
        <v>0</v>
      </c>
    </row>
    <row r="3970" spans="1:20" ht="24" customHeight="1">
      <c r="A3970" s="1" t="str">
        <f>Paths!$A$367</f>
        <v>T091</v>
      </c>
      <c r="B3970" s="1">
        <f>Paths!$B$367</f>
        <v>0</v>
      </c>
      <c r="C3970" s="1">
        <v>3</v>
      </c>
      <c r="D3970" s="1">
        <v>367</v>
      </c>
      <c r="E3970" s="1">
        <f>IF(OR(Paths!$C$367=0,C3970=0),0,MAX(0,MIN(C3970*12,Paths!$E$367)-(C3970-1)*12))</f>
        <v>0</v>
      </c>
      <c r="F3970" s="1">
        <f>IF(OR(Paths!$C$367=0,C3970=0),0,12-E3970)</f>
        <v>0</v>
      </c>
      <c r="G3970" s="16">
        <f>IF(NOT(Paths!$C$367=1),0,IF(Paths!$P$367="Complete",E3970/12*(Paths!$J$367*(1+'Operating costs'!$B$51)^MAX(0,C3970-1)+Paths!$K$367*(1+'Operating costs'!$B$53)^MAX(0,C3970-1)),"n.a."))</f>
        <v>0</v>
      </c>
      <c r="H3970" s="16">
        <f>IF(NOT(Paths!$C$367=1),0,IF(Paths!$P$367="Complete",F3970/12*(Paths!$L$367*(1+IF(Paths!$D$367="EV",'Operating costs'!$B$52,'Operating costs'!$B$51))^MAX(0,C3970-1)+Paths!$M$367*(1+'Operating costs'!$B$53)^MAX(0,C3970-1)),"n.a."))</f>
        <v>0</v>
      </c>
      <c r="I3970" s="16">
        <f>IF(NOT(Paths!$C$367=1),0,IF(Paths!$P$367="Complete",IF(IF(Paths!$E$367=0,C3970=0,AND(C3970&gt;0,Paths!$E$367&gt;(C3970-1)*12,Paths!$E$367&lt;=C3970*12)),Paths!$G$367,0),"n.a."))</f>
        <v>0</v>
      </c>
      <c r="J3970" s="16">
        <f>IF(NOT(Paths!$C$367=1),0,IF(Paths!$P$367="Complete",IF(IF(Paths!$E$367=0,C3970=0,AND(C3970&gt;0,Paths!$E$367&gt;(C3970-1)*12,Paths!$E$367&lt;=C3970*12)),Paths!$H$367,0),"n.a."))</f>
        <v>0</v>
      </c>
      <c r="K3970" s="16">
        <f>IF(NOT(Paths!$C$367=1),0,IF(Paths!$P$367="Complete",IF(IF(Paths!$O$367=0,C3970=0,AND(C3970&gt;0,Paths!$O$367&gt;(C3970-1)*12,Paths!$O$367&lt;=C3970*12)),Paths!$N$367,0),"n.a."))</f>
        <v>0</v>
      </c>
      <c r="L3970" s="16">
        <f>IF(NOT(Paths!$C$367=1),0,IF(Paths!$P$367="Complete",IF(C3970=10,Paths!$I$367,0),"n.a."))</f>
        <v>0</v>
      </c>
      <c r="M3970" s="16">
        <f>IF(NOT(Paths!$C$367=1),0,IF(Paths!$P$367="Complete",IF(AND(Paths!$D$367="EV",Paths!$E$367&lt;120,Paths!$E$367+'Operating costs'!$B$65&gt;Paths!$E$367,Paths!$E$367+'Operating costs'!$B$65&lt;=120,IF(Paths!$E$367+'Operating costs'!$B$65=0,C3970=0,AND(C3970&gt;0,Paths!$E$367+'Operating costs'!$B$65&gt;(C3970-1)*12,Paths!$E$367+'Operating costs'!$B$65&lt;=C3970*12))),'Operating costs'!$B$64,0)+IF(AND('Operating costs'!$B$67&gt;0,'Operating costs'!$B$67&lt;=120,OR(Paths!$D$367="ICE",'Operating costs'!$B$67&lt;=Paths!$E$367),IF('Operating costs'!$B$67=0,C3970=0,AND(C3970&gt;0,'Operating costs'!$B$67&gt;(C3970-1)*12,'Operating costs'!$B$67&lt;=C3970*12))),'Operating costs'!$B$66,0),"n.a."))</f>
        <v>0</v>
      </c>
      <c r="N3970" s="16">
        <f>IF(NOT(Paths!$C$367=1),0,IF(Paths!$P$367="Complete",SUM(G3970:I3970)-J3970-K3970-L3970+M3970+IF(C3970=0,Paths!$F$367,0)+IF(IF(Paths!$E$367=0,C3970=0,AND(C3970&gt;0,Paths!$E$367&gt;(C3970-1)*12,Paths!$E$367&lt;=C3970*12)),VLOOKUP(A3970,'Fleet register'!$A$7:$S$106,16,FALSE),0),"n.a."))</f>
        <v>0</v>
      </c>
      <c r="O3970" s="16">
        <f>IF(NOT(Paths!$C$367=1),0,IF(Paths!$P$367="Complete",N3970-IF(C3970=0,Paths!$F$367,0),"n.a."))</f>
        <v>0</v>
      </c>
      <c r="P3970" s="16">
        <f>IF(NOT(Paths!$C$367=1),0,IF(Paths!$P$367="Complete",O3970+L3970,"n.a."))</f>
        <v>0</v>
      </c>
      <c r="Q3970" s="16">
        <f>IF(NOT(Paths!$C$367=1),0,IF(Paths!$P$367="Complete",N3970*(1+'Operating costs'!$B$54)^-C3970,"n.a."))</f>
        <v>0</v>
      </c>
      <c r="R3970" s="16">
        <f>IF(NOT(Paths!$C$367=1),0,IF(Paths!$P$367="Complete",IF(AND(C3970=0,Paths!$E$367=0),I3970-J3970-K3970+VLOOKUP(A3970,'Fleet register'!$A$7:$S$106,15,FALSE)+VLOOKUP(A3970,'Fleet register'!$A$7:$S$106,16,FALSE),0),"n.a."))</f>
        <v>0</v>
      </c>
      <c r="S3970" s="1">
        <f>IF(NOT(Paths!$C$367=1),0,IF(Paths!$P$367="Complete",IF(C3970=0,0,Paths!$S$367*Paths!$R$367),"n.a."))</f>
        <v>0</v>
      </c>
      <c r="T3970" s="1">
        <f>IF(NOT(Paths!$C$367=1),0,IF(Paths!$P$367="Complete",IF(C3970=0,0,VLOOKUP(A3970,'Fleet register'!$A$7:$S$106,9,FALSE)*Paths!$R$367),"n.a."))</f>
        <v>0</v>
      </c>
    </row>
    <row r="3971" spans="1:20" ht="24" customHeight="1">
      <c r="A3971" s="1" t="str">
        <f>Paths!$A$367</f>
        <v>T091</v>
      </c>
      <c r="B3971" s="1">
        <f>Paths!$B$367</f>
        <v>0</v>
      </c>
      <c r="C3971" s="1">
        <v>4</v>
      </c>
      <c r="D3971" s="1">
        <v>367</v>
      </c>
      <c r="E3971" s="1">
        <f>IF(OR(Paths!$C$367=0,C3971=0),0,MAX(0,MIN(C3971*12,Paths!$E$367)-(C3971-1)*12))</f>
        <v>0</v>
      </c>
      <c r="F3971" s="1">
        <f>IF(OR(Paths!$C$367=0,C3971=0),0,12-E3971)</f>
        <v>0</v>
      </c>
      <c r="G3971" s="16">
        <f>IF(NOT(Paths!$C$367=1),0,IF(Paths!$P$367="Complete",E3971/12*(Paths!$J$367*(1+'Operating costs'!$B$51)^MAX(0,C3971-1)+Paths!$K$367*(1+'Operating costs'!$B$53)^MAX(0,C3971-1)),"n.a."))</f>
        <v>0</v>
      </c>
      <c r="H3971" s="16">
        <f>IF(NOT(Paths!$C$367=1),0,IF(Paths!$P$367="Complete",F3971/12*(Paths!$L$367*(1+IF(Paths!$D$367="EV",'Operating costs'!$B$52,'Operating costs'!$B$51))^MAX(0,C3971-1)+Paths!$M$367*(1+'Operating costs'!$B$53)^MAX(0,C3971-1)),"n.a."))</f>
        <v>0</v>
      </c>
      <c r="I3971" s="16">
        <f>IF(NOT(Paths!$C$367=1),0,IF(Paths!$P$367="Complete",IF(IF(Paths!$E$367=0,C3971=0,AND(C3971&gt;0,Paths!$E$367&gt;(C3971-1)*12,Paths!$E$367&lt;=C3971*12)),Paths!$G$367,0),"n.a."))</f>
        <v>0</v>
      </c>
      <c r="J3971" s="16">
        <f>IF(NOT(Paths!$C$367=1),0,IF(Paths!$P$367="Complete",IF(IF(Paths!$E$367=0,C3971=0,AND(C3971&gt;0,Paths!$E$367&gt;(C3971-1)*12,Paths!$E$367&lt;=C3971*12)),Paths!$H$367,0),"n.a."))</f>
        <v>0</v>
      </c>
      <c r="K3971" s="16">
        <f>IF(NOT(Paths!$C$367=1),0,IF(Paths!$P$367="Complete",IF(IF(Paths!$O$367=0,C3971=0,AND(C3971&gt;0,Paths!$O$367&gt;(C3971-1)*12,Paths!$O$367&lt;=C3971*12)),Paths!$N$367,0),"n.a."))</f>
        <v>0</v>
      </c>
      <c r="L3971" s="16">
        <f>IF(NOT(Paths!$C$367=1),0,IF(Paths!$P$367="Complete",IF(C3971=10,Paths!$I$367,0),"n.a."))</f>
        <v>0</v>
      </c>
      <c r="M3971" s="16">
        <f>IF(NOT(Paths!$C$367=1),0,IF(Paths!$P$367="Complete",IF(AND(Paths!$D$367="EV",Paths!$E$367&lt;120,Paths!$E$367+'Operating costs'!$B$65&gt;Paths!$E$367,Paths!$E$367+'Operating costs'!$B$65&lt;=120,IF(Paths!$E$367+'Operating costs'!$B$65=0,C3971=0,AND(C3971&gt;0,Paths!$E$367+'Operating costs'!$B$65&gt;(C3971-1)*12,Paths!$E$367+'Operating costs'!$B$65&lt;=C3971*12))),'Operating costs'!$B$64,0)+IF(AND('Operating costs'!$B$67&gt;0,'Operating costs'!$B$67&lt;=120,OR(Paths!$D$367="ICE",'Operating costs'!$B$67&lt;=Paths!$E$367),IF('Operating costs'!$B$67=0,C3971=0,AND(C3971&gt;0,'Operating costs'!$B$67&gt;(C3971-1)*12,'Operating costs'!$B$67&lt;=C3971*12))),'Operating costs'!$B$66,0),"n.a."))</f>
        <v>0</v>
      </c>
      <c r="N3971" s="16">
        <f>IF(NOT(Paths!$C$367=1),0,IF(Paths!$P$367="Complete",SUM(G3971:I3971)-J3971-K3971-L3971+M3971+IF(C3971=0,Paths!$F$367,0)+IF(IF(Paths!$E$367=0,C3971=0,AND(C3971&gt;0,Paths!$E$367&gt;(C3971-1)*12,Paths!$E$367&lt;=C3971*12)),VLOOKUP(A3971,'Fleet register'!$A$7:$S$106,16,FALSE),0),"n.a."))</f>
        <v>0</v>
      </c>
      <c r="O3971" s="16">
        <f>IF(NOT(Paths!$C$367=1),0,IF(Paths!$P$367="Complete",N3971-IF(C3971=0,Paths!$F$367,0),"n.a."))</f>
        <v>0</v>
      </c>
      <c r="P3971" s="16">
        <f>IF(NOT(Paths!$C$367=1),0,IF(Paths!$P$367="Complete",O3971+L3971,"n.a."))</f>
        <v>0</v>
      </c>
      <c r="Q3971" s="16">
        <f>IF(NOT(Paths!$C$367=1),0,IF(Paths!$P$367="Complete",N3971*(1+'Operating costs'!$B$54)^-C3971,"n.a."))</f>
        <v>0</v>
      </c>
      <c r="R3971" s="16">
        <f>IF(NOT(Paths!$C$367=1),0,IF(Paths!$P$367="Complete",IF(AND(C3971=0,Paths!$E$367=0),I3971-J3971-K3971+VLOOKUP(A3971,'Fleet register'!$A$7:$S$106,15,FALSE)+VLOOKUP(A3971,'Fleet register'!$A$7:$S$106,16,FALSE),0),"n.a."))</f>
        <v>0</v>
      </c>
      <c r="S3971" s="1">
        <f>IF(NOT(Paths!$C$367=1),0,IF(Paths!$P$367="Complete",IF(C3971=0,0,Paths!$S$367*Paths!$R$367),"n.a."))</f>
        <v>0</v>
      </c>
      <c r="T3971" s="1">
        <f>IF(NOT(Paths!$C$367=1),0,IF(Paths!$P$367="Complete",IF(C3971=0,0,VLOOKUP(A3971,'Fleet register'!$A$7:$S$106,9,FALSE)*Paths!$R$367),"n.a."))</f>
        <v>0</v>
      </c>
    </row>
    <row r="3972" spans="1:20" ht="24" customHeight="1">
      <c r="A3972" s="1" t="str">
        <f>Paths!$A$367</f>
        <v>T091</v>
      </c>
      <c r="B3972" s="1">
        <f>Paths!$B$367</f>
        <v>0</v>
      </c>
      <c r="C3972" s="1">
        <v>5</v>
      </c>
      <c r="D3972" s="1">
        <v>367</v>
      </c>
      <c r="E3972" s="1">
        <f>IF(OR(Paths!$C$367=0,C3972=0),0,MAX(0,MIN(C3972*12,Paths!$E$367)-(C3972-1)*12))</f>
        <v>0</v>
      </c>
      <c r="F3972" s="1">
        <f>IF(OR(Paths!$C$367=0,C3972=0),0,12-E3972)</f>
        <v>0</v>
      </c>
      <c r="G3972" s="16">
        <f>IF(NOT(Paths!$C$367=1),0,IF(Paths!$P$367="Complete",E3972/12*(Paths!$J$367*(1+'Operating costs'!$B$51)^MAX(0,C3972-1)+Paths!$K$367*(1+'Operating costs'!$B$53)^MAX(0,C3972-1)),"n.a."))</f>
        <v>0</v>
      </c>
      <c r="H3972" s="16">
        <f>IF(NOT(Paths!$C$367=1),0,IF(Paths!$P$367="Complete",F3972/12*(Paths!$L$367*(1+IF(Paths!$D$367="EV",'Operating costs'!$B$52,'Operating costs'!$B$51))^MAX(0,C3972-1)+Paths!$M$367*(1+'Operating costs'!$B$53)^MAX(0,C3972-1)),"n.a."))</f>
        <v>0</v>
      </c>
      <c r="I3972" s="16">
        <f>IF(NOT(Paths!$C$367=1),0,IF(Paths!$P$367="Complete",IF(IF(Paths!$E$367=0,C3972=0,AND(C3972&gt;0,Paths!$E$367&gt;(C3972-1)*12,Paths!$E$367&lt;=C3972*12)),Paths!$G$367,0),"n.a."))</f>
        <v>0</v>
      </c>
      <c r="J3972" s="16">
        <f>IF(NOT(Paths!$C$367=1),0,IF(Paths!$P$367="Complete",IF(IF(Paths!$E$367=0,C3972=0,AND(C3972&gt;0,Paths!$E$367&gt;(C3972-1)*12,Paths!$E$367&lt;=C3972*12)),Paths!$H$367,0),"n.a."))</f>
        <v>0</v>
      </c>
      <c r="K3972" s="16">
        <f>IF(NOT(Paths!$C$367=1),0,IF(Paths!$P$367="Complete",IF(IF(Paths!$O$367=0,C3972=0,AND(C3972&gt;0,Paths!$O$367&gt;(C3972-1)*12,Paths!$O$367&lt;=C3972*12)),Paths!$N$367,0),"n.a."))</f>
        <v>0</v>
      </c>
      <c r="L3972" s="16">
        <f>IF(NOT(Paths!$C$367=1),0,IF(Paths!$P$367="Complete",IF(C3972=10,Paths!$I$367,0),"n.a."))</f>
        <v>0</v>
      </c>
      <c r="M3972" s="16">
        <f>IF(NOT(Paths!$C$367=1),0,IF(Paths!$P$367="Complete",IF(AND(Paths!$D$367="EV",Paths!$E$367&lt;120,Paths!$E$367+'Operating costs'!$B$65&gt;Paths!$E$367,Paths!$E$367+'Operating costs'!$B$65&lt;=120,IF(Paths!$E$367+'Operating costs'!$B$65=0,C3972=0,AND(C3972&gt;0,Paths!$E$367+'Operating costs'!$B$65&gt;(C3972-1)*12,Paths!$E$367+'Operating costs'!$B$65&lt;=C3972*12))),'Operating costs'!$B$64,0)+IF(AND('Operating costs'!$B$67&gt;0,'Operating costs'!$B$67&lt;=120,OR(Paths!$D$367="ICE",'Operating costs'!$B$67&lt;=Paths!$E$367),IF('Operating costs'!$B$67=0,C3972=0,AND(C3972&gt;0,'Operating costs'!$B$67&gt;(C3972-1)*12,'Operating costs'!$B$67&lt;=C3972*12))),'Operating costs'!$B$66,0),"n.a."))</f>
        <v>0</v>
      </c>
      <c r="N3972" s="16">
        <f>IF(NOT(Paths!$C$367=1),0,IF(Paths!$P$367="Complete",SUM(G3972:I3972)-J3972-K3972-L3972+M3972+IF(C3972=0,Paths!$F$367,0)+IF(IF(Paths!$E$367=0,C3972=0,AND(C3972&gt;0,Paths!$E$367&gt;(C3972-1)*12,Paths!$E$367&lt;=C3972*12)),VLOOKUP(A3972,'Fleet register'!$A$7:$S$106,16,FALSE),0),"n.a."))</f>
        <v>0</v>
      </c>
      <c r="O3972" s="16">
        <f>IF(NOT(Paths!$C$367=1),0,IF(Paths!$P$367="Complete",N3972-IF(C3972=0,Paths!$F$367,0),"n.a."))</f>
        <v>0</v>
      </c>
      <c r="P3972" s="16">
        <f>IF(NOT(Paths!$C$367=1),0,IF(Paths!$P$367="Complete",O3972+L3972,"n.a."))</f>
        <v>0</v>
      </c>
      <c r="Q3972" s="16">
        <f>IF(NOT(Paths!$C$367=1),0,IF(Paths!$P$367="Complete",N3972*(1+'Operating costs'!$B$54)^-C3972,"n.a."))</f>
        <v>0</v>
      </c>
      <c r="R3972" s="16">
        <f>IF(NOT(Paths!$C$367=1),0,IF(Paths!$P$367="Complete",IF(AND(C3972=0,Paths!$E$367=0),I3972-J3972-K3972+VLOOKUP(A3972,'Fleet register'!$A$7:$S$106,15,FALSE)+VLOOKUP(A3972,'Fleet register'!$A$7:$S$106,16,FALSE),0),"n.a."))</f>
        <v>0</v>
      </c>
      <c r="S3972" s="1">
        <f>IF(NOT(Paths!$C$367=1),0,IF(Paths!$P$367="Complete",IF(C3972=0,0,Paths!$S$367*Paths!$R$367),"n.a."))</f>
        <v>0</v>
      </c>
      <c r="T3972" s="1">
        <f>IF(NOT(Paths!$C$367=1),0,IF(Paths!$P$367="Complete",IF(C3972=0,0,VLOOKUP(A3972,'Fleet register'!$A$7:$S$106,9,FALSE)*Paths!$R$367),"n.a."))</f>
        <v>0</v>
      </c>
    </row>
    <row r="3973" spans="1:20" ht="24" customHeight="1">
      <c r="A3973" s="1" t="str">
        <f>Paths!$A$367</f>
        <v>T091</v>
      </c>
      <c r="B3973" s="1">
        <f>Paths!$B$367</f>
        <v>0</v>
      </c>
      <c r="C3973" s="1">
        <v>6</v>
      </c>
      <c r="D3973" s="1">
        <v>367</v>
      </c>
      <c r="E3973" s="1">
        <f>IF(OR(Paths!$C$367=0,C3973=0),0,MAX(0,MIN(C3973*12,Paths!$E$367)-(C3973-1)*12))</f>
        <v>0</v>
      </c>
      <c r="F3973" s="1">
        <f>IF(OR(Paths!$C$367=0,C3973=0),0,12-E3973)</f>
        <v>0</v>
      </c>
      <c r="G3973" s="16">
        <f>IF(NOT(Paths!$C$367=1),0,IF(Paths!$P$367="Complete",E3973/12*(Paths!$J$367*(1+'Operating costs'!$B$51)^MAX(0,C3973-1)+Paths!$K$367*(1+'Operating costs'!$B$53)^MAX(0,C3973-1)),"n.a."))</f>
        <v>0</v>
      </c>
      <c r="H3973" s="16">
        <f>IF(NOT(Paths!$C$367=1),0,IF(Paths!$P$367="Complete",F3973/12*(Paths!$L$367*(1+IF(Paths!$D$367="EV",'Operating costs'!$B$52,'Operating costs'!$B$51))^MAX(0,C3973-1)+Paths!$M$367*(1+'Operating costs'!$B$53)^MAX(0,C3973-1)),"n.a."))</f>
        <v>0</v>
      </c>
      <c r="I3973" s="16">
        <f>IF(NOT(Paths!$C$367=1),0,IF(Paths!$P$367="Complete",IF(IF(Paths!$E$367=0,C3973=0,AND(C3973&gt;0,Paths!$E$367&gt;(C3973-1)*12,Paths!$E$367&lt;=C3973*12)),Paths!$G$367,0),"n.a."))</f>
        <v>0</v>
      </c>
      <c r="J3973" s="16">
        <f>IF(NOT(Paths!$C$367=1),0,IF(Paths!$P$367="Complete",IF(IF(Paths!$E$367=0,C3973=0,AND(C3973&gt;0,Paths!$E$367&gt;(C3973-1)*12,Paths!$E$367&lt;=C3973*12)),Paths!$H$367,0),"n.a."))</f>
        <v>0</v>
      </c>
      <c r="K3973" s="16">
        <f>IF(NOT(Paths!$C$367=1),0,IF(Paths!$P$367="Complete",IF(IF(Paths!$O$367=0,C3973=0,AND(C3973&gt;0,Paths!$O$367&gt;(C3973-1)*12,Paths!$O$367&lt;=C3973*12)),Paths!$N$367,0),"n.a."))</f>
        <v>0</v>
      </c>
      <c r="L3973" s="16">
        <f>IF(NOT(Paths!$C$367=1),0,IF(Paths!$P$367="Complete",IF(C3973=10,Paths!$I$367,0),"n.a."))</f>
        <v>0</v>
      </c>
      <c r="M3973" s="16">
        <f>IF(NOT(Paths!$C$367=1),0,IF(Paths!$P$367="Complete",IF(AND(Paths!$D$367="EV",Paths!$E$367&lt;120,Paths!$E$367+'Operating costs'!$B$65&gt;Paths!$E$367,Paths!$E$367+'Operating costs'!$B$65&lt;=120,IF(Paths!$E$367+'Operating costs'!$B$65=0,C3973=0,AND(C3973&gt;0,Paths!$E$367+'Operating costs'!$B$65&gt;(C3973-1)*12,Paths!$E$367+'Operating costs'!$B$65&lt;=C3973*12))),'Operating costs'!$B$64,0)+IF(AND('Operating costs'!$B$67&gt;0,'Operating costs'!$B$67&lt;=120,OR(Paths!$D$367="ICE",'Operating costs'!$B$67&lt;=Paths!$E$367),IF('Operating costs'!$B$67=0,C3973=0,AND(C3973&gt;0,'Operating costs'!$B$67&gt;(C3973-1)*12,'Operating costs'!$B$67&lt;=C3973*12))),'Operating costs'!$B$66,0),"n.a."))</f>
        <v>0</v>
      </c>
      <c r="N3973" s="16">
        <f>IF(NOT(Paths!$C$367=1),0,IF(Paths!$P$367="Complete",SUM(G3973:I3973)-J3973-K3973-L3973+M3973+IF(C3973=0,Paths!$F$367,0)+IF(IF(Paths!$E$367=0,C3973=0,AND(C3973&gt;0,Paths!$E$367&gt;(C3973-1)*12,Paths!$E$367&lt;=C3973*12)),VLOOKUP(A3973,'Fleet register'!$A$7:$S$106,16,FALSE),0),"n.a."))</f>
        <v>0</v>
      </c>
      <c r="O3973" s="16">
        <f>IF(NOT(Paths!$C$367=1),0,IF(Paths!$P$367="Complete",N3973-IF(C3973=0,Paths!$F$367,0),"n.a."))</f>
        <v>0</v>
      </c>
      <c r="P3973" s="16">
        <f>IF(NOT(Paths!$C$367=1),0,IF(Paths!$P$367="Complete",O3973+L3973,"n.a."))</f>
        <v>0</v>
      </c>
      <c r="Q3973" s="16">
        <f>IF(NOT(Paths!$C$367=1),0,IF(Paths!$P$367="Complete",N3973*(1+'Operating costs'!$B$54)^-C3973,"n.a."))</f>
        <v>0</v>
      </c>
      <c r="R3973" s="16">
        <f>IF(NOT(Paths!$C$367=1),0,IF(Paths!$P$367="Complete",IF(AND(C3973=0,Paths!$E$367=0),I3973-J3973-K3973+VLOOKUP(A3973,'Fleet register'!$A$7:$S$106,15,FALSE)+VLOOKUP(A3973,'Fleet register'!$A$7:$S$106,16,FALSE),0),"n.a."))</f>
        <v>0</v>
      </c>
      <c r="S3973" s="1">
        <f>IF(NOT(Paths!$C$367=1),0,IF(Paths!$P$367="Complete",IF(C3973=0,0,Paths!$S$367*Paths!$R$367),"n.a."))</f>
        <v>0</v>
      </c>
      <c r="T3973" s="1">
        <f>IF(NOT(Paths!$C$367=1),0,IF(Paths!$P$367="Complete",IF(C3973=0,0,VLOOKUP(A3973,'Fleet register'!$A$7:$S$106,9,FALSE)*Paths!$R$367),"n.a."))</f>
        <v>0</v>
      </c>
    </row>
    <row r="3974" spans="1:20" ht="24" customHeight="1">
      <c r="A3974" s="1" t="str">
        <f>Paths!$A$367</f>
        <v>T091</v>
      </c>
      <c r="B3974" s="1">
        <f>Paths!$B$367</f>
        <v>0</v>
      </c>
      <c r="C3974" s="1">
        <v>7</v>
      </c>
      <c r="D3974" s="1">
        <v>367</v>
      </c>
      <c r="E3974" s="1">
        <f>IF(OR(Paths!$C$367=0,C3974=0),0,MAX(0,MIN(C3974*12,Paths!$E$367)-(C3974-1)*12))</f>
        <v>0</v>
      </c>
      <c r="F3974" s="1">
        <f>IF(OR(Paths!$C$367=0,C3974=0),0,12-E3974)</f>
        <v>0</v>
      </c>
      <c r="G3974" s="16">
        <f>IF(NOT(Paths!$C$367=1),0,IF(Paths!$P$367="Complete",E3974/12*(Paths!$J$367*(1+'Operating costs'!$B$51)^MAX(0,C3974-1)+Paths!$K$367*(1+'Operating costs'!$B$53)^MAX(0,C3974-1)),"n.a."))</f>
        <v>0</v>
      </c>
      <c r="H3974" s="16">
        <f>IF(NOT(Paths!$C$367=1),0,IF(Paths!$P$367="Complete",F3974/12*(Paths!$L$367*(1+IF(Paths!$D$367="EV",'Operating costs'!$B$52,'Operating costs'!$B$51))^MAX(0,C3974-1)+Paths!$M$367*(1+'Operating costs'!$B$53)^MAX(0,C3974-1)),"n.a."))</f>
        <v>0</v>
      </c>
      <c r="I3974" s="16">
        <f>IF(NOT(Paths!$C$367=1),0,IF(Paths!$P$367="Complete",IF(IF(Paths!$E$367=0,C3974=0,AND(C3974&gt;0,Paths!$E$367&gt;(C3974-1)*12,Paths!$E$367&lt;=C3974*12)),Paths!$G$367,0),"n.a."))</f>
        <v>0</v>
      </c>
      <c r="J3974" s="16">
        <f>IF(NOT(Paths!$C$367=1),0,IF(Paths!$P$367="Complete",IF(IF(Paths!$E$367=0,C3974=0,AND(C3974&gt;0,Paths!$E$367&gt;(C3974-1)*12,Paths!$E$367&lt;=C3974*12)),Paths!$H$367,0),"n.a."))</f>
        <v>0</v>
      </c>
      <c r="K3974" s="16">
        <f>IF(NOT(Paths!$C$367=1),0,IF(Paths!$P$367="Complete",IF(IF(Paths!$O$367=0,C3974=0,AND(C3974&gt;0,Paths!$O$367&gt;(C3974-1)*12,Paths!$O$367&lt;=C3974*12)),Paths!$N$367,0),"n.a."))</f>
        <v>0</v>
      </c>
      <c r="L3974" s="16">
        <f>IF(NOT(Paths!$C$367=1),0,IF(Paths!$P$367="Complete",IF(C3974=10,Paths!$I$367,0),"n.a."))</f>
        <v>0</v>
      </c>
      <c r="M3974" s="16">
        <f>IF(NOT(Paths!$C$367=1),0,IF(Paths!$P$367="Complete",IF(AND(Paths!$D$367="EV",Paths!$E$367&lt;120,Paths!$E$367+'Operating costs'!$B$65&gt;Paths!$E$367,Paths!$E$367+'Operating costs'!$B$65&lt;=120,IF(Paths!$E$367+'Operating costs'!$B$65=0,C3974=0,AND(C3974&gt;0,Paths!$E$367+'Operating costs'!$B$65&gt;(C3974-1)*12,Paths!$E$367+'Operating costs'!$B$65&lt;=C3974*12))),'Operating costs'!$B$64,0)+IF(AND('Operating costs'!$B$67&gt;0,'Operating costs'!$B$67&lt;=120,OR(Paths!$D$367="ICE",'Operating costs'!$B$67&lt;=Paths!$E$367),IF('Operating costs'!$B$67=0,C3974=0,AND(C3974&gt;0,'Operating costs'!$B$67&gt;(C3974-1)*12,'Operating costs'!$B$67&lt;=C3974*12))),'Operating costs'!$B$66,0),"n.a."))</f>
        <v>0</v>
      </c>
      <c r="N3974" s="16">
        <f>IF(NOT(Paths!$C$367=1),0,IF(Paths!$P$367="Complete",SUM(G3974:I3974)-J3974-K3974-L3974+M3974+IF(C3974=0,Paths!$F$367,0)+IF(IF(Paths!$E$367=0,C3974=0,AND(C3974&gt;0,Paths!$E$367&gt;(C3974-1)*12,Paths!$E$367&lt;=C3974*12)),VLOOKUP(A3974,'Fleet register'!$A$7:$S$106,16,FALSE),0),"n.a."))</f>
        <v>0</v>
      </c>
      <c r="O3974" s="16">
        <f>IF(NOT(Paths!$C$367=1),0,IF(Paths!$P$367="Complete",N3974-IF(C3974=0,Paths!$F$367,0),"n.a."))</f>
        <v>0</v>
      </c>
      <c r="P3974" s="16">
        <f>IF(NOT(Paths!$C$367=1),0,IF(Paths!$P$367="Complete",O3974+L3974,"n.a."))</f>
        <v>0</v>
      </c>
      <c r="Q3974" s="16">
        <f>IF(NOT(Paths!$C$367=1),0,IF(Paths!$P$367="Complete",N3974*(1+'Operating costs'!$B$54)^-C3974,"n.a."))</f>
        <v>0</v>
      </c>
      <c r="R3974" s="16">
        <f>IF(NOT(Paths!$C$367=1),0,IF(Paths!$P$367="Complete",IF(AND(C3974=0,Paths!$E$367=0),I3974-J3974-K3974+VLOOKUP(A3974,'Fleet register'!$A$7:$S$106,15,FALSE)+VLOOKUP(A3974,'Fleet register'!$A$7:$S$106,16,FALSE),0),"n.a."))</f>
        <v>0</v>
      </c>
      <c r="S3974" s="1">
        <f>IF(NOT(Paths!$C$367=1),0,IF(Paths!$P$367="Complete",IF(C3974=0,0,Paths!$S$367*Paths!$R$367),"n.a."))</f>
        <v>0</v>
      </c>
      <c r="T3974" s="1">
        <f>IF(NOT(Paths!$C$367=1),0,IF(Paths!$P$367="Complete",IF(C3974=0,0,VLOOKUP(A3974,'Fleet register'!$A$7:$S$106,9,FALSE)*Paths!$R$367),"n.a."))</f>
        <v>0</v>
      </c>
    </row>
    <row r="3975" spans="1:20" ht="24" customHeight="1">
      <c r="A3975" s="1" t="str">
        <f>Paths!$A$367</f>
        <v>T091</v>
      </c>
      <c r="B3975" s="1">
        <f>Paths!$B$367</f>
        <v>0</v>
      </c>
      <c r="C3975" s="1">
        <v>8</v>
      </c>
      <c r="D3975" s="1">
        <v>367</v>
      </c>
      <c r="E3975" s="1">
        <f>IF(OR(Paths!$C$367=0,C3975=0),0,MAX(0,MIN(C3975*12,Paths!$E$367)-(C3975-1)*12))</f>
        <v>0</v>
      </c>
      <c r="F3975" s="1">
        <f>IF(OR(Paths!$C$367=0,C3975=0),0,12-E3975)</f>
        <v>0</v>
      </c>
      <c r="G3975" s="16">
        <f>IF(NOT(Paths!$C$367=1),0,IF(Paths!$P$367="Complete",E3975/12*(Paths!$J$367*(1+'Operating costs'!$B$51)^MAX(0,C3975-1)+Paths!$K$367*(1+'Operating costs'!$B$53)^MAX(0,C3975-1)),"n.a."))</f>
        <v>0</v>
      </c>
      <c r="H3975" s="16">
        <f>IF(NOT(Paths!$C$367=1),0,IF(Paths!$P$367="Complete",F3975/12*(Paths!$L$367*(1+IF(Paths!$D$367="EV",'Operating costs'!$B$52,'Operating costs'!$B$51))^MAX(0,C3975-1)+Paths!$M$367*(1+'Operating costs'!$B$53)^MAX(0,C3975-1)),"n.a."))</f>
        <v>0</v>
      </c>
      <c r="I3975" s="16">
        <f>IF(NOT(Paths!$C$367=1),0,IF(Paths!$P$367="Complete",IF(IF(Paths!$E$367=0,C3975=0,AND(C3975&gt;0,Paths!$E$367&gt;(C3975-1)*12,Paths!$E$367&lt;=C3975*12)),Paths!$G$367,0),"n.a."))</f>
        <v>0</v>
      </c>
      <c r="J3975" s="16">
        <f>IF(NOT(Paths!$C$367=1),0,IF(Paths!$P$367="Complete",IF(IF(Paths!$E$367=0,C3975=0,AND(C3975&gt;0,Paths!$E$367&gt;(C3975-1)*12,Paths!$E$367&lt;=C3975*12)),Paths!$H$367,0),"n.a."))</f>
        <v>0</v>
      </c>
      <c r="K3975" s="16">
        <f>IF(NOT(Paths!$C$367=1),0,IF(Paths!$P$367="Complete",IF(IF(Paths!$O$367=0,C3975=0,AND(C3975&gt;0,Paths!$O$367&gt;(C3975-1)*12,Paths!$O$367&lt;=C3975*12)),Paths!$N$367,0),"n.a."))</f>
        <v>0</v>
      </c>
      <c r="L3975" s="16">
        <f>IF(NOT(Paths!$C$367=1),0,IF(Paths!$P$367="Complete",IF(C3975=10,Paths!$I$367,0),"n.a."))</f>
        <v>0</v>
      </c>
      <c r="M3975" s="16">
        <f>IF(NOT(Paths!$C$367=1),0,IF(Paths!$P$367="Complete",IF(AND(Paths!$D$367="EV",Paths!$E$367&lt;120,Paths!$E$367+'Operating costs'!$B$65&gt;Paths!$E$367,Paths!$E$367+'Operating costs'!$B$65&lt;=120,IF(Paths!$E$367+'Operating costs'!$B$65=0,C3975=0,AND(C3975&gt;0,Paths!$E$367+'Operating costs'!$B$65&gt;(C3975-1)*12,Paths!$E$367+'Operating costs'!$B$65&lt;=C3975*12))),'Operating costs'!$B$64,0)+IF(AND('Operating costs'!$B$67&gt;0,'Operating costs'!$B$67&lt;=120,OR(Paths!$D$367="ICE",'Operating costs'!$B$67&lt;=Paths!$E$367),IF('Operating costs'!$B$67=0,C3975=0,AND(C3975&gt;0,'Operating costs'!$B$67&gt;(C3975-1)*12,'Operating costs'!$B$67&lt;=C3975*12))),'Operating costs'!$B$66,0),"n.a."))</f>
        <v>0</v>
      </c>
      <c r="N3975" s="16">
        <f>IF(NOT(Paths!$C$367=1),0,IF(Paths!$P$367="Complete",SUM(G3975:I3975)-J3975-K3975-L3975+M3975+IF(C3975=0,Paths!$F$367,0)+IF(IF(Paths!$E$367=0,C3975=0,AND(C3975&gt;0,Paths!$E$367&gt;(C3975-1)*12,Paths!$E$367&lt;=C3975*12)),VLOOKUP(A3975,'Fleet register'!$A$7:$S$106,16,FALSE),0),"n.a."))</f>
        <v>0</v>
      </c>
      <c r="O3975" s="16">
        <f>IF(NOT(Paths!$C$367=1),0,IF(Paths!$P$367="Complete",N3975-IF(C3975=0,Paths!$F$367,0),"n.a."))</f>
        <v>0</v>
      </c>
      <c r="P3975" s="16">
        <f>IF(NOT(Paths!$C$367=1),0,IF(Paths!$P$367="Complete",O3975+L3975,"n.a."))</f>
        <v>0</v>
      </c>
      <c r="Q3975" s="16">
        <f>IF(NOT(Paths!$C$367=1),0,IF(Paths!$P$367="Complete",N3975*(1+'Operating costs'!$B$54)^-C3975,"n.a."))</f>
        <v>0</v>
      </c>
      <c r="R3975" s="16">
        <f>IF(NOT(Paths!$C$367=1),0,IF(Paths!$P$367="Complete",IF(AND(C3975=0,Paths!$E$367=0),I3975-J3975-K3975+VLOOKUP(A3975,'Fleet register'!$A$7:$S$106,15,FALSE)+VLOOKUP(A3975,'Fleet register'!$A$7:$S$106,16,FALSE),0),"n.a."))</f>
        <v>0</v>
      </c>
      <c r="S3975" s="1">
        <f>IF(NOT(Paths!$C$367=1),0,IF(Paths!$P$367="Complete",IF(C3975=0,0,Paths!$S$367*Paths!$R$367),"n.a."))</f>
        <v>0</v>
      </c>
      <c r="T3975" s="1">
        <f>IF(NOT(Paths!$C$367=1),0,IF(Paths!$P$367="Complete",IF(C3975=0,0,VLOOKUP(A3975,'Fleet register'!$A$7:$S$106,9,FALSE)*Paths!$R$367),"n.a."))</f>
        <v>0</v>
      </c>
    </row>
    <row r="3976" spans="1:20" ht="24" customHeight="1">
      <c r="A3976" s="1" t="str">
        <f>Paths!$A$367</f>
        <v>T091</v>
      </c>
      <c r="B3976" s="1">
        <f>Paths!$B$367</f>
        <v>0</v>
      </c>
      <c r="C3976" s="1">
        <v>9</v>
      </c>
      <c r="D3976" s="1">
        <v>367</v>
      </c>
      <c r="E3976" s="1">
        <f>IF(OR(Paths!$C$367=0,C3976=0),0,MAX(0,MIN(C3976*12,Paths!$E$367)-(C3976-1)*12))</f>
        <v>0</v>
      </c>
      <c r="F3976" s="1">
        <f>IF(OR(Paths!$C$367=0,C3976=0),0,12-E3976)</f>
        <v>0</v>
      </c>
      <c r="G3976" s="16">
        <f>IF(NOT(Paths!$C$367=1),0,IF(Paths!$P$367="Complete",E3976/12*(Paths!$J$367*(1+'Operating costs'!$B$51)^MAX(0,C3976-1)+Paths!$K$367*(1+'Operating costs'!$B$53)^MAX(0,C3976-1)),"n.a."))</f>
        <v>0</v>
      </c>
      <c r="H3976" s="16">
        <f>IF(NOT(Paths!$C$367=1),0,IF(Paths!$P$367="Complete",F3976/12*(Paths!$L$367*(1+IF(Paths!$D$367="EV",'Operating costs'!$B$52,'Operating costs'!$B$51))^MAX(0,C3976-1)+Paths!$M$367*(1+'Operating costs'!$B$53)^MAX(0,C3976-1)),"n.a."))</f>
        <v>0</v>
      </c>
      <c r="I3976" s="16">
        <f>IF(NOT(Paths!$C$367=1),0,IF(Paths!$P$367="Complete",IF(IF(Paths!$E$367=0,C3976=0,AND(C3976&gt;0,Paths!$E$367&gt;(C3976-1)*12,Paths!$E$367&lt;=C3976*12)),Paths!$G$367,0),"n.a."))</f>
        <v>0</v>
      </c>
      <c r="J3976" s="16">
        <f>IF(NOT(Paths!$C$367=1),0,IF(Paths!$P$367="Complete",IF(IF(Paths!$E$367=0,C3976=0,AND(C3976&gt;0,Paths!$E$367&gt;(C3976-1)*12,Paths!$E$367&lt;=C3976*12)),Paths!$H$367,0),"n.a."))</f>
        <v>0</v>
      </c>
      <c r="K3976" s="16">
        <f>IF(NOT(Paths!$C$367=1),0,IF(Paths!$P$367="Complete",IF(IF(Paths!$O$367=0,C3976=0,AND(C3976&gt;0,Paths!$O$367&gt;(C3976-1)*12,Paths!$O$367&lt;=C3976*12)),Paths!$N$367,0),"n.a."))</f>
        <v>0</v>
      </c>
      <c r="L3976" s="16">
        <f>IF(NOT(Paths!$C$367=1),0,IF(Paths!$P$367="Complete",IF(C3976=10,Paths!$I$367,0),"n.a."))</f>
        <v>0</v>
      </c>
      <c r="M3976" s="16">
        <f>IF(NOT(Paths!$C$367=1),0,IF(Paths!$P$367="Complete",IF(AND(Paths!$D$367="EV",Paths!$E$367&lt;120,Paths!$E$367+'Operating costs'!$B$65&gt;Paths!$E$367,Paths!$E$367+'Operating costs'!$B$65&lt;=120,IF(Paths!$E$367+'Operating costs'!$B$65=0,C3976=0,AND(C3976&gt;0,Paths!$E$367+'Operating costs'!$B$65&gt;(C3976-1)*12,Paths!$E$367+'Operating costs'!$B$65&lt;=C3976*12))),'Operating costs'!$B$64,0)+IF(AND('Operating costs'!$B$67&gt;0,'Operating costs'!$B$67&lt;=120,OR(Paths!$D$367="ICE",'Operating costs'!$B$67&lt;=Paths!$E$367),IF('Operating costs'!$B$67=0,C3976=0,AND(C3976&gt;0,'Operating costs'!$B$67&gt;(C3976-1)*12,'Operating costs'!$B$67&lt;=C3976*12))),'Operating costs'!$B$66,0),"n.a."))</f>
        <v>0</v>
      </c>
      <c r="N3976" s="16">
        <f>IF(NOT(Paths!$C$367=1),0,IF(Paths!$P$367="Complete",SUM(G3976:I3976)-J3976-K3976-L3976+M3976+IF(C3976=0,Paths!$F$367,0)+IF(IF(Paths!$E$367=0,C3976=0,AND(C3976&gt;0,Paths!$E$367&gt;(C3976-1)*12,Paths!$E$367&lt;=C3976*12)),VLOOKUP(A3976,'Fleet register'!$A$7:$S$106,16,FALSE),0),"n.a."))</f>
        <v>0</v>
      </c>
      <c r="O3976" s="16">
        <f>IF(NOT(Paths!$C$367=1),0,IF(Paths!$P$367="Complete",N3976-IF(C3976=0,Paths!$F$367,0),"n.a."))</f>
        <v>0</v>
      </c>
      <c r="P3976" s="16">
        <f>IF(NOT(Paths!$C$367=1),0,IF(Paths!$P$367="Complete",O3976+L3976,"n.a."))</f>
        <v>0</v>
      </c>
      <c r="Q3976" s="16">
        <f>IF(NOT(Paths!$C$367=1),0,IF(Paths!$P$367="Complete",N3976*(1+'Operating costs'!$B$54)^-C3976,"n.a."))</f>
        <v>0</v>
      </c>
      <c r="R3976" s="16">
        <f>IF(NOT(Paths!$C$367=1),0,IF(Paths!$P$367="Complete",IF(AND(C3976=0,Paths!$E$367=0),I3976-J3976-K3976+VLOOKUP(A3976,'Fleet register'!$A$7:$S$106,15,FALSE)+VLOOKUP(A3976,'Fleet register'!$A$7:$S$106,16,FALSE),0),"n.a."))</f>
        <v>0</v>
      </c>
      <c r="S3976" s="1">
        <f>IF(NOT(Paths!$C$367=1),0,IF(Paths!$P$367="Complete",IF(C3976=0,0,Paths!$S$367*Paths!$R$367),"n.a."))</f>
        <v>0</v>
      </c>
      <c r="T3976" s="1">
        <f>IF(NOT(Paths!$C$367=1),0,IF(Paths!$P$367="Complete",IF(C3976=0,0,VLOOKUP(A3976,'Fleet register'!$A$7:$S$106,9,FALSE)*Paths!$R$367),"n.a."))</f>
        <v>0</v>
      </c>
    </row>
    <row r="3977" spans="1:20" ht="24" customHeight="1">
      <c r="A3977" s="1" t="str">
        <f>Paths!$A$367</f>
        <v>T091</v>
      </c>
      <c r="B3977" s="1">
        <f>Paths!$B$367</f>
        <v>0</v>
      </c>
      <c r="C3977" s="1">
        <v>10</v>
      </c>
      <c r="D3977" s="1">
        <v>367</v>
      </c>
      <c r="E3977" s="1">
        <f>IF(OR(Paths!$C$367=0,C3977=0),0,MAX(0,MIN(C3977*12,Paths!$E$367)-(C3977-1)*12))</f>
        <v>0</v>
      </c>
      <c r="F3977" s="1">
        <f>IF(OR(Paths!$C$367=0,C3977=0),0,12-E3977)</f>
        <v>0</v>
      </c>
      <c r="G3977" s="16">
        <f>IF(NOT(Paths!$C$367=1),0,IF(Paths!$P$367="Complete",E3977/12*(Paths!$J$367*(1+'Operating costs'!$B$51)^MAX(0,C3977-1)+Paths!$K$367*(1+'Operating costs'!$B$53)^MAX(0,C3977-1)),"n.a."))</f>
        <v>0</v>
      </c>
      <c r="H3977" s="16">
        <f>IF(NOT(Paths!$C$367=1),0,IF(Paths!$P$367="Complete",F3977/12*(Paths!$L$367*(1+IF(Paths!$D$367="EV",'Operating costs'!$B$52,'Operating costs'!$B$51))^MAX(0,C3977-1)+Paths!$M$367*(1+'Operating costs'!$B$53)^MAX(0,C3977-1)),"n.a."))</f>
        <v>0</v>
      </c>
      <c r="I3977" s="16">
        <f>IF(NOT(Paths!$C$367=1),0,IF(Paths!$P$367="Complete",IF(IF(Paths!$E$367=0,C3977=0,AND(C3977&gt;0,Paths!$E$367&gt;(C3977-1)*12,Paths!$E$367&lt;=C3977*12)),Paths!$G$367,0),"n.a."))</f>
        <v>0</v>
      </c>
      <c r="J3977" s="16">
        <f>IF(NOT(Paths!$C$367=1),0,IF(Paths!$P$367="Complete",IF(IF(Paths!$E$367=0,C3977=0,AND(C3977&gt;0,Paths!$E$367&gt;(C3977-1)*12,Paths!$E$367&lt;=C3977*12)),Paths!$H$367,0),"n.a."))</f>
        <v>0</v>
      </c>
      <c r="K3977" s="16">
        <f>IF(NOT(Paths!$C$367=1),0,IF(Paths!$P$367="Complete",IF(IF(Paths!$O$367=0,C3977=0,AND(C3977&gt;0,Paths!$O$367&gt;(C3977-1)*12,Paths!$O$367&lt;=C3977*12)),Paths!$N$367,0),"n.a."))</f>
        <v>0</v>
      </c>
      <c r="L3977" s="16">
        <f>IF(NOT(Paths!$C$367=1),0,IF(Paths!$P$367="Complete",IF(C3977=10,Paths!$I$367,0),"n.a."))</f>
        <v>0</v>
      </c>
      <c r="M3977" s="16">
        <f>IF(NOT(Paths!$C$367=1),0,IF(Paths!$P$367="Complete",IF(AND(Paths!$D$367="EV",Paths!$E$367&lt;120,Paths!$E$367+'Operating costs'!$B$65&gt;Paths!$E$367,Paths!$E$367+'Operating costs'!$B$65&lt;=120,IF(Paths!$E$367+'Operating costs'!$B$65=0,C3977=0,AND(C3977&gt;0,Paths!$E$367+'Operating costs'!$B$65&gt;(C3977-1)*12,Paths!$E$367+'Operating costs'!$B$65&lt;=C3977*12))),'Operating costs'!$B$64,0)+IF(AND('Operating costs'!$B$67&gt;0,'Operating costs'!$B$67&lt;=120,OR(Paths!$D$367="ICE",'Operating costs'!$B$67&lt;=Paths!$E$367),IF('Operating costs'!$B$67=0,C3977=0,AND(C3977&gt;0,'Operating costs'!$B$67&gt;(C3977-1)*12,'Operating costs'!$B$67&lt;=C3977*12))),'Operating costs'!$B$66,0),"n.a."))</f>
        <v>0</v>
      </c>
      <c r="N3977" s="16">
        <f>IF(NOT(Paths!$C$367=1),0,IF(Paths!$P$367="Complete",SUM(G3977:I3977)-J3977-K3977-L3977+M3977+IF(C3977=0,Paths!$F$367,0)+IF(IF(Paths!$E$367=0,C3977=0,AND(C3977&gt;0,Paths!$E$367&gt;(C3977-1)*12,Paths!$E$367&lt;=C3977*12)),VLOOKUP(A3977,'Fleet register'!$A$7:$S$106,16,FALSE),0),"n.a."))</f>
        <v>0</v>
      </c>
      <c r="O3977" s="16">
        <f>IF(NOT(Paths!$C$367=1),0,IF(Paths!$P$367="Complete",N3977-IF(C3977=0,Paths!$F$367,0),"n.a."))</f>
        <v>0</v>
      </c>
      <c r="P3977" s="16">
        <f>IF(NOT(Paths!$C$367=1),0,IF(Paths!$P$367="Complete",O3977+L3977,"n.a."))</f>
        <v>0</v>
      </c>
      <c r="Q3977" s="16">
        <f>IF(NOT(Paths!$C$367=1),0,IF(Paths!$P$367="Complete",N3977*(1+'Operating costs'!$B$54)^-C3977,"n.a."))</f>
        <v>0</v>
      </c>
      <c r="R3977" s="16">
        <f>IF(NOT(Paths!$C$367=1),0,IF(Paths!$P$367="Complete",IF(AND(C3977=0,Paths!$E$367=0),I3977-J3977-K3977+VLOOKUP(A3977,'Fleet register'!$A$7:$S$106,15,FALSE)+VLOOKUP(A3977,'Fleet register'!$A$7:$S$106,16,FALSE),0),"n.a."))</f>
        <v>0</v>
      </c>
      <c r="S3977" s="1">
        <f>IF(NOT(Paths!$C$367=1),0,IF(Paths!$P$367="Complete",IF(C3977=0,0,Paths!$S$367*Paths!$R$367),"n.a."))</f>
        <v>0</v>
      </c>
      <c r="T3977" s="1">
        <f>IF(NOT(Paths!$C$367=1),0,IF(Paths!$P$367="Complete",IF(C3977=0,0,VLOOKUP(A3977,'Fleet register'!$A$7:$S$106,9,FALSE)*Paths!$R$367),"n.a."))</f>
        <v>0</v>
      </c>
    </row>
    <row r="3978" spans="1:20" ht="24" customHeight="1">
      <c r="A3978" s="1" t="str">
        <f>Paths!$A$368</f>
        <v>T091</v>
      </c>
      <c r="B3978" s="1">
        <f>Paths!$B$368</f>
        <v>1</v>
      </c>
      <c r="C3978" s="1">
        <v>0</v>
      </c>
      <c r="D3978" s="1">
        <v>368</v>
      </c>
      <c r="E3978" s="1">
        <f>IF(OR(Paths!$C$368=0,C3978=0),0,MAX(0,MIN(C3978*12,Paths!$E$368)-(C3978-1)*12))</f>
        <v>0</v>
      </c>
      <c r="F3978" s="1">
        <f>IF(OR(Paths!$C$368=0,C3978=0),0,12-E3978)</f>
        <v>0</v>
      </c>
      <c r="G3978" s="16">
        <f>IF(NOT(Paths!$C$368=1),0,IF(Paths!$P$368="Complete",E3978/12*(Paths!$J$368*(1+'Operating costs'!$B$51)^MAX(0,C3978-1)+Paths!$K$368*(1+'Operating costs'!$B$53)^MAX(0,C3978-1)),"n.a."))</f>
        <v>0</v>
      </c>
      <c r="H3978" s="16">
        <f>IF(NOT(Paths!$C$368=1),0,IF(Paths!$P$368="Complete",F3978/12*(Paths!$L$368*(1+IF(Paths!$D$368="EV",'Operating costs'!$B$52,'Operating costs'!$B$51))^MAX(0,C3978-1)+Paths!$M$368*(1+'Operating costs'!$B$53)^MAX(0,C3978-1)),"n.a."))</f>
        <v>0</v>
      </c>
      <c r="I3978" s="16">
        <f>IF(NOT(Paths!$C$368=1),0,IF(Paths!$P$368="Complete",IF(IF(Paths!$E$368=0,C3978=0,AND(C3978&gt;0,Paths!$E$368&gt;(C3978-1)*12,Paths!$E$368&lt;=C3978*12)),Paths!$G$368,0),"n.a."))</f>
        <v>0</v>
      </c>
      <c r="J3978" s="16">
        <f>IF(NOT(Paths!$C$368=1),0,IF(Paths!$P$368="Complete",IF(IF(Paths!$E$368=0,C3978=0,AND(C3978&gt;0,Paths!$E$368&gt;(C3978-1)*12,Paths!$E$368&lt;=C3978*12)),Paths!$H$368,0),"n.a."))</f>
        <v>0</v>
      </c>
      <c r="K3978" s="16">
        <f>IF(NOT(Paths!$C$368=1),0,IF(Paths!$P$368="Complete",IF(IF(Paths!$O$368=0,C3978=0,AND(C3978&gt;0,Paths!$O$368&gt;(C3978-1)*12,Paths!$O$368&lt;=C3978*12)),Paths!$N$368,0),"n.a."))</f>
        <v>0</v>
      </c>
      <c r="L3978" s="16">
        <f>IF(NOT(Paths!$C$368=1),0,IF(Paths!$P$368="Complete",IF(C3978=10,Paths!$I$368,0),"n.a."))</f>
        <v>0</v>
      </c>
      <c r="M3978" s="16">
        <f>IF(NOT(Paths!$C$368=1),0,IF(Paths!$P$368="Complete",IF(AND(Paths!$D$368="EV",Paths!$E$368&lt;120,Paths!$E$368+'Operating costs'!$B$65&gt;Paths!$E$368,Paths!$E$368+'Operating costs'!$B$65&lt;=120,IF(Paths!$E$368+'Operating costs'!$B$65=0,C3978=0,AND(C3978&gt;0,Paths!$E$368+'Operating costs'!$B$65&gt;(C3978-1)*12,Paths!$E$368+'Operating costs'!$B$65&lt;=C3978*12))),'Operating costs'!$B$64,0)+IF(AND('Operating costs'!$B$67&gt;0,'Operating costs'!$B$67&lt;=120,OR(Paths!$D$368="ICE",'Operating costs'!$B$67&lt;=Paths!$E$368),IF('Operating costs'!$B$67=0,C3978=0,AND(C3978&gt;0,'Operating costs'!$B$67&gt;(C3978-1)*12,'Operating costs'!$B$67&lt;=C3978*12))),'Operating costs'!$B$66,0),"n.a."))</f>
        <v>0</v>
      </c>
      <c r="N3978" s="16">
        <f>IF(NOT(Paths!$C$368=1),0,IF(Paths!$P$368="Complete",SUM(G3978:I3978)-J3978-K3978-L3978+M3978+IF(C3978=0,Paths!$F$368,0)+IF(IF(Paths!$E$368=0,C3978=0,AND(C3978&gt;0,Paths!$E$368&gt;(C3978-1)*12,Paths!$E$368&lt;=C3978*12)),VLOOKUP(A3978,'Fleet register'!$A$7:$S$106,16,FALSE),0),"n.a."))</f>
        <v>0</v>
      </c>
      <c r="O3978" s="16">
        <f>IF(NOT(Paths!$C$368=1),0,IF(Paths!$P$368="Complete",N3978-IF(C3978=0,Paths!$F$368,0),"n.a."))</f>
        <v>0</v>
      </c>
      <c r="P3978" s="16">
        <f>IF(NOT(Paths!$C$368=1),0,IF(Paths!$P$368="Complete",O3978+L3978,"n.a."))</f>
        <v>0</v>
      </c>
      <c r="Q3978" s="16">
        <f>IF(NOT(Paths!$C$368=1),0,IF(Paths!$P$368="Complete",N3978*(1+'Operating costs'!$B$54)^-C3978,"n.a."))</f>
        <v>0</v>
      </c>
      <c r="R3978" s="16">
        <f>IF(NOT(Paths!$C$368=1),0,IF(Paths!$P$368="Complete",IF(AND(C3978=0,Paths!$E$368=0),I3978-J3978-K3978+VLOOKUP(A3978,'Fleet register'!$A$7:$S$106,15,FALSE)+VLOOKUP(A3978,'Fleet register'!$A$7:$S$106,16,FALSE),0),"n.a."))</f>
        <v>0</v>
      </c>
      <c r="S3978" s="1">
        <f>IF(NOT(Paths!$C$368=1),0,IF(Paths!$P$368="Complete",IF(C3978=0,0,Paths!$S$368*Paths!$R$368),"n.a."))</f>
        <v>0</v>
      </c>
      <c r="T3978" s="1">
        <f>IF(NOT(Paths!$C$368=1),0,IF(Paths!$P$368="Complete",IF(C3978=0,0,VLOOKUP(A3978,'Fleet register'!$A$7:$S$106,9,FALSE)*Paths!$R$368),"n.a."))</f>
        <v>0</v>
      </c>
    </row>
    <row r="3979" spans="1:20" ht="24" customHeight="1">
      <c r="A3979" s="1" t="str">
        <f>Paths!$A$368</f>
        <v>T091</v>
      </c>
      <c r="B3979" s="1">
        <f>Paths!$B$368</f>
        <v>1</v>
      </c>
      <c r="C3979" s="1">
        <v>1</v>
      </c>
      <c r="D3979" s="1">
        <v>368</v>
      </c>
      <c r="E3979" s="1">
        <f>IF(OR(Paths!$C$368=0,C3979=0),0,MAX(0,MIN(C3979*12,Paths!$E$368)-(C3979-1)*12))</f>
        <v>0</v>
      </c>
      <c r="F3979" s="1">
        <f>IF(OR(Paths!$C$368=0,C3979=0),0,12-E3979)</f>
        <v>0</v>
      </c>
      <c r="G3979" s="16">
        <f>IF(NOT(Paths!$C$368=1),0,IF(Paths!$P$368="Complete",E3979/12*(Paths!$J$368*(1+'Operating costs'!$B$51)^MAX(0,C3979-1)+Paths!$K$368*(1+'Operating costs'!$B$53)^MAX(0,C3979-1)),"n.a."))</f>
        <v>0</v>
      </c>
      <c r="H3979" s="16">
        <f>IF(NOT(Paths!$C$368=1),0,IF(Paths!$P$368="Complete",F3979/12*(Paths!$L$368*(1+IF(Paths!$D$368="EV",'Operating costs'!$B$52,'Operating costs'!$B$51))^MAX(0,C3979-1)+Paths!$M$368*(1+'Operating costs'!$B$53)^MAX(0,C3979-1)),"n.a."))</f>
        <v>0</v>
      </c>
      <c r="I3979" s="16">
        <f>IF(NOT(Paths!$C$368=1),0,IF(Paths!$P$368="Complete",IF(IF(Paths!$E$368=0,C3979=0,AND(C3979&gt;0,Paths!$E$368&gt;(C3979-1)*12,Paths!$E$368&lt;=C3979*12)),Paths!$G$368,0),"n.a."))</f>
        <v>0</v>
      </c>
      <c r="J3979" s="16">
        <f>IF(NOT(Paths!$C$368=1),0,IF(Paths!$P$368="Complete",IF(IF(Paths!$E$368=0,C3979=0,AND(C3979&gt;0,Paths!$E$368&gt;(C3979-1)*12,Paths!$E$368&lt;=C3979*12)),Paths!$H$368,0),"n.a."))</f>
        <v>0</v>
      </c>
      <c r="K3979" s="16">
        <f>IF(NOT(Paths!$C$368=1),0,IF(Paths!$P$368="Complete",IF(IF(Paths!$O$368=0,C3979=0,AND(C3979&gt;0,Paths!$O$368&gt;(C3979-1)*12,Paths!$O$368&lt;=C3979*12)),Paths!$N$368,0),"n.a."))</f>
        <v>0</v>
      </c>
      <c r="L3979" s="16">
        <f>IF(NOT(Paths!$C$368=1),0,IF(Paths!$P$368="Complete",IF(C3979=10,Paths!$I$368,0),"n.a."))</f>
        <v>0</v>
      </c>
      <c r="M3979" s="16">
        <f>IF(NOT(Paths!$C$368=1),0,IF(Paths!$P$368="Complete",IF(AND(Paths!$D$368="EV",Paths!$E$368&lt;120,Paths!$E$368+'Operating costs'!$B$65&gt;Paths!$E$368,Paths!$E$368+'Operating costs'!$B$65&lt;=120,IF(Paths!$E$368+'Operating costs'!$B$65=0,C3979=0,AND(C3979&gt;0,Paths!$E$368+'Operating costs'!$B$65&gt;(C3979-1)*12,Paths!$E$368+'Operating costs'!$B$65&lt;=C3979*12))),'Operating costs'!$B$64,0)+IF(AND('Operating costs'!$B$67&gt;0,'Operating costs'!$B$67&lt;=120,OR(Paths!$D$368="ICE",'Operating costs'!$B$67&lt;=Paths!$E$368),IF('Operating costs'!$B$67=0,C3979=0,AND(C3979&gt;0,'Operating costs'!$B$67&gt;(C3979-1)*12,'Operating costs'!$B$67&lt;=C3979*12))),'Operating costs'!$B$66,0),"n.a."))</f>
        <v>0</v>
      </c>
      <c r="N3979" s="16">
        <f>IF(NOT(Paths!$C$368=1),0,IF(Paths!$P$368="Complete",SUM(G3979:I3979)-J3979-K3979-L3979+M3979+IF(C3979=0,Paths!$F$368,0)+IF(IF(Paths!$E$368=0,C3979=0,AND(C3979&gt;0,Paths!$E$368&gt;(C3979-1)*12,Paths!$E$368&lt;=C3979*12)),VLOOKUP(A3979,'Fleet register'!$A$7:$S$106,16,FALSE),0),"n.a."))</f>
        <v>0</v>
      </c>
      <c r="O3979" s="16">
        <f>IF(NOT(Paths!$C$368=1),0,IF(Paths!$P$368="Complete",N3979-IF(C3979=0,Paths!$F$368,0),"n.a."))</f>
        <v>0</v>
      </c>
      <c r="P3979" s="16">
        <f>IF(NOT(Paths!$C$368=1),0,IF(Paths!$P$368="Complete",O3979+L3979,"n.a."))</f>
        <v>0</v>
      </c>
      <c r="Q3979" s="16">
        <f>IF(NOT(Paths!$C$368=1),0,IF(Paths!$P$368="Complete",N3979*(1+'Operating costs'!$B$54)^-C3979,"n.a."))</f>
        <v>0</v>
      </c>
      <c r="R3979" s="16">
        <f>IF(NOT(Paths!$C$368=1),0,IF(Paths!$P$368="Complete",IF(AND(C3979=0,Paths!$E$368=0),I3979-J3979-K3979+VLOOKUP(A3979,'Fleet register'!$A$7:$S$106,15,FALSE)+VLOOKUP(A3979,'Fleet register'!$A$7:$S$106,16,FALSE),0),"n.a."))</f>
        <v>0</v>
      </c>
      <c r="S3979" s="1">
        <f>IF(NOT(Paths!$C$368=1),0,IF(Paths!$P$368="Complete",IF(C3979=0,0,Paths!$S$368*Paths!$R$368),"n.a."))</f>
        <v>0</v>
      </c>
      <c r="T3979" s="1">
        <f>IF(NOT(Paths!$C$368=1),0,IF(Paths!$P$368="Complete",IF(C3979=0,0,VLOOKUP(A3979,'Fleet register'!$A$7:$S$106,9,FALSE)*Paths!$R$368),"n.a."))</f>
        <v>0</v>
      </c>
    </row>
    <row r="3980" spans="1:20" ht="24" customHeight="1">
      <c r="A3980" s="1" t="str">
        <f>Paths!$A$368</f>
        <v>T091</v>
      </c>
      <c r="B3980" s="1">
        <f>Paths!$B$368</f>
        <v>1</v>
      </c>
      <c r="C3980" s="1">
        <v>2</v>
      </c>
      <c r="D3980" s="1">
        <v>368</v>
      </c>
      <c r="E3980" s="1">
        <f>IF(OR(Paths!$C$368=0,C3980=0),0,MAX(0,MIN(C3980*12,Paths!$E$368)-(C3980-1)*12))</f>
        <v>0</v>
      </c>
      <c r="F3980" s="1">
        <f>IF(OR(Paths!$C$368=0,C3980=0),0,12-E3980)</f>
        <v>0</v>
      </c>
      <c r="G3980" s="16">
        <f>IF(NOT(Paths!$C$368=1),0,IF(Paths!$P$368="Complete",E3980/12*(Paths!$J$368*(1+'Operating costs'!$B$51)^MAX(0,C3980-1)+Paths!$K$368*(1+'Operating costs'!$B$53)^MAX(0,C3980-1)),"n.a."))</f>
        <v>0</v>
      </c>
      <c r="H3980" s="16">
        <f>IF(NOT(Paths!$C$368=1),0,IF(Paths!$P$368="Complete",F3980/12*(Paths!$L$368*(1+IF(Paths!$D$368="EV",'Operating costs'!$B$52,'Operating costs'!$B$51))^MAX(0,C3980-1)+Paths!$M$368*(1+'Operating costs'!$B$53)^MAX(0,C3980-1)),"n.a."))</f>
        <v>0</v>
      </c>
      <c r="I3980" s="16">
        <f>IF(NOT(Paths!$C$368=1),0,IF(Paths!$P$368="Complete",IF(IF(Paths!$E$368=0,C3980=0,AND(C3980&gt;0,Paths!$E$368&gt;(C3980-1)*12,Paths!$E$368&lt;=C3980*12)),Paths!$G$368,0),"n.a."))</f>
        <v>0</v>
      </c>
      <c r="J3980" s="16">
        <f>IF(NOT(Paths!$C$368=1),0,IF(Paths!$P$368="Complete",IF(IF(Paths!$E$368=0,C3980=0,AND(C3980&gt;0,Paths!$E$368&gt;(C3980-1)*12,Paths!$E$368&lt;=C3980*12)),Paths!$H$368,0),"n.a."))</f>
        <v>0</v>
      </c>
      <c r="K3980" s="16">
        <f>IF(NOT(Paths!$C$368=1),0,IF(Paths!$P$368="Complete",IF(IF(Paths!$O$368=0,C3980=0,AND(C3980&gt;0,Paths!$O$368&gt;(C3980-1)*12,Paths!$O$368&lt;=C3980*12)),Paths!$N$368,0),"n.a."))</f>
        <v>0</v>
      </c>
      <c r="L3980" s="16">
        <f>IF(NOT(Paths!$C$368=1),0,IF(Paths!$P$368="Complete",IF(C3980=10,Paths!$I$368,0),"n.a."))</f>
        <v>0</v>
      </c>
      <c r="M3980" s="16">
        <f>IF(NOT(Paths!$C$368=1),0,IF(Paths!$P$368="Complete",IF(AND(Paths!$D$368="EV",Paths!$E$368&lt;120,Paths!$E$368+'Operating costs'!$B$65&gt;Paths!$E$368,Paths!$E$368+'Operating costs'!$B$65&lt;=120,IF(Paths!$E$368+'Operating costs'!$B$65=0,C3980=0,AND(C3980&gt;0,Paths!$E$368+'Operating costs'!$B$65&gt;(C3980-1)*12,Paths!$E$368+'Operating costs'!$B$65&lt;=C3980*12))),'Operating costs'!$B$64,0)+IF(AND('Operating costs'!$B$67&gt;0,'Operating costs'!$B$67&lt;=120,OR(Paths!$D$368="ICE",'Operating costs'!$B$67&lt;=Paths!$E$368),IF('Operating costs'!$B$67=0,C3980=0,AND(C3980&gt;0,'Operating costs'!$B$67&gt;(C3980-1)*12,'Operating costs'!$B$67&lt;=C3980*12))),'Operating costs'!$B$66,0),"n.a."))</f>
        <v>0</v>
      </c>
      <c r="N3980" s="16">
        <f>IF(NOT(Paths!$C$368=1),0,IF(Paths!$P$368="Complete",SUM(G3980:I3980)-J3980-K3980-L3980+M3980+IF(C3980=0,Paths!$F$368,0)+IF(IF(Paths!$E$368=0,C3980=0,AND(C3980&gt;0,Paths!$E$368&gt;(C3980-1)*12,Paths!$E$368&lt;=C3980*12)),VLOOKUP(A3980,'Fleet register'!$A$7:$S$106,16,FALSE),0),"n.a."))</f>
        <v>0</v>
      </c>
      <c r="O3980" s="16">
        <f>IF(NOT(Paths!$C$368=1),0,IF(Paths!$P$368="Complete",N3980-IF(C3980=0,Paths!$F$368,0),"n.a."))</f>
        <v>0</v>
      </c>
      <c r="P3980" s="16">
        <f>IF(NOT(Paths!$C$368=1),0,IF(Paths!$P$368="Complete",O3980+L3980,"n.a."))</f>
        <v>0</v>
      </c>
      <c r="Q3980" s="16">
        <f>IF(NOT(Paths!$C$368=1),0,IF(Paths!$P$368="Complete",N3980*(1+'Operating costs'!$B$54)^-C3980,"n.a."))</f>
        <v>0</v>
      </c>
      <c r="R3980" s="16">
        <f>IF(NOT(Paths!$C$368=1),0,IF(Paths!$P$368="Complete",IF(AND(C3980=0,Paths!$E$368=0),I3980-J3980-K3980+VLOOKUP(A3980,'Fleet register'!$A$7:$S$106,15,FALSE)+VLOOKUP(A3980,'Fleet register'!$A$7:$S$106,16,FALSE),0),"n.a."))</f>
        <v>0</v>
      </c>
      <c r="S3980" s="1">
        <f>IF(NOT(Paths!$C$368=1),0,IF(Paths!$P$368="Complete",IF(C3980=0,0,Paths!$S$368*Paths!$R$368),"n.a."))</f>
        <v>0</v>
      </c>
      <c r="T3980" s="1">
        <f>IF(NOT(Paths!$C$368=1),0,IF(Paths!$P$368="Complete",IF(C3980=0,0,VLOOKUP(A3980,'Fleet register'!$A$7:$S$106,9,FALSE)*Paths!$R$368),"n.a."))</f>
        <v>0</v>
      </c>
    </row>
    <row r="3981" spans="1:20" ht="24" customHeight="1">
      <c r="A3981" s="1" t="str">
        <f>Paths!$A$368</f>
        <v>T091</v>
      </c>
      <c r="B3981" s="1">
        <f>Paths!$B$368</f>
        <v>1</v>
      </c>
      <c r="C3981" s="1">
        <v>3</v>
      </c>
      <c r="D3981" s="1">
        <v>368</v>
      </c>
      <c r="E3981" s="1">
        <f>IF(OR(Paths!$C$368=0,C3981=0),0,MAX(0,MIN(C3981*12,Paths!$E$368)-(C3981-1)*12))</f>
        <v>0</v>
      </c>
      <c r="F3981" s="1">
        <f>IF(OR(Paths!$C$368=0,C3981=0),0,12-E3981)</f>
        <v>0</v>
      </c>
      <c r="G3981" s="16">
        <f>IF(NOT(Paths!$C$368=1),0,IF(Paths!$P$368="Complete",E3981/12*(Paths!$J$368*(1+'Operating costs'!$B$51)^MAX(0,C3981-1)+Paths!$K$368*(1+'Operating costs'!$B$53)^MAX(0,C3981-1)),"n.a."))</f>
        <v>0</v>
      </c>
      <c r="H3981" s="16">
        <f>IF(NOT(Paths!$C$368=1),0,IF(Paths!$P$368="Complete",F3981/12*(Paths!$L$368*(1+IF(Paths!$D$368="EV",'Operating costs'!$B$52,'Operating costs'!$B$51))^MAX(0,C3981-1)+Paths!$M$368*(1+'Operating costs'!$B$53)^MAX(0,C3981-1)),"n.a."))</f>
        <v>0</v>
      </c>
      <c r="I3981" s="16">
        <f>IF(NOT(Paths!$C$368=1),0,IF(Paths!$P$368="Complete",IF(IF(Paths!$E$368=0,C3981=0,AND(C3981&gt;0,Paths!$E$368&gt;(C3981-1)*12,Paths!$E$368&lt;=C3981*12)),Paths!$G$368,0),"n.a."))</f>
        <v>0</v>
      </c>
      <c r="J3981" s="16">
        <f>IF(NOT(Paths!$C$368=1),0,IF(Paths!$P$368="Complete",IF(IF(Paths!$E$368=0,C3981=0,AND(C3981&gt;0,Paths!$E$368&gt;(C3981-1)*12,Paths!$E$368&lt;=C3981*12)),Paths!$H$368,0),"n.a."))</f>
        <v>0</v>
      </c>
      <c r="K3981" s="16">
        <f>IF(NOT(Paths!$C$368=1),0,IF(Paths!$P$368="Complete",IF(IF(Paths!$O$368=0,C3981=0,AND(C3981&gt;0,Paths!$O$368&gt;(C3981-1)*12,Paths!$O$368&lt;=C3981*12)),Paths!$N$368,0),"n.a."))</f>
        <v>0</v>
      </c>
      <c r="L3981" s="16">
        <f>IF(NOT(Paths!$C$368=1),0,IF(Paths!$P$368="Complete",IF(C3981=10,Paths!$I$368,0),"n.a."))</f>
        <v>0</v>
      </c>
      <c r="M3981" s="16">
        <f>IF(NOT(Paths!$C$368=1),0,IF(Paths!$P$368="Complete",IF(AND(Paths!$D$368="EV",Paths!$E$368&lt;120,Paths!$E$368+'Operating costs'!$B$65&gt;Paths!$E$368,Paths!$E$368+'Operating costs'!$B$65&lt;=120,IF(Paths!$E$368+'Operating costs'!$B$65=0,C3981=0,AND(C3981&gt;0,Paths!$E$368+'Operating costs'!$B$65&gt;(C3981-1)*12,Paths!$E$368+'Operating costs'!$B$65&lt;=C3981*12))),'Operating costs'!$B$64,0)+IF(AND('Operating costs'!$B$67&gt;0,'Operating costs'!$B$67&lt;=120,OR(Paths!$D$368="ICE",'Operating costs'!$B$67&lt;=Paths!$E$368),IF('Operating costs'!$B$67=0,C3981=0,AND(C3981&gt;0,'Operating costs'!$B$67&gt;(C3981-1)*12,'Operating costs'!$B$67&lt;=C3981*12))),'Operating costs'!$B$66,0),"n.a."))</f>
        <v>0</v>
      </c>
      <c r="N3981" s="16">
        <f>IF(NOT(Paths!$C$368=1),0,IF(Paths!$P$368="Complete",SUM(G3981:I3981)-J3981-K3981-L3981+M3981+IF(C3981=0,Paths!$F$368,0)+IF(IF(Paths!$E$368=0,C3981=0,AND(C3981&gt;0,Paths!$E$368&gt;(C3981-1)*12,Paths!$E$368&lt;=C3981*12)),VLOOKUP(A3981,'Fleet register'!$A$7:$S$106,16,FALSE),0),"n.a."))</f>
        <v>0</v>
      </c>
      <c r="O3981" s="16">
        <f>IF(NOT(Paths!$C$368=1),0,IF(Paths!$P$368="Complete",N3981-IF(C3981=0,Paths!$F$368,0),"n.a."))</f>
        <v>0</v>
      </c>
      <c r="P3981" s="16">
        <f>IF(NOT(Paths!$C$368=1),0,IF(Paths!$P$368="Complete",O3981+L3981,"n.a."))</f>
        <v>0</v>
      </c>
      <c r="Q3981" s="16">
        <f>IF(NOT(Paths!$C$368=1),0,IF(Paths!$P$368="Complete",N3981*(1+'Operating costs'!$B$54)^-C3981,"n.a."))</f>
        <v>0</v>
      </c>
      <c r="R3981" s="16">
        <f>IF(NOT(Paths!$C$368=1),0,IF(Paths!$P$368="Complete",IF(AND(C3981=0,Paths!$E$368=0),I3981-J3981-K3981+VLOOKUP(A3981,'Fleet register'!$A$7:$S$106,15,FALSE)+VLOOKUP(A3981,'Fleet register'!$A$7:$S$106,16,FALSE),0),"n.a."))</f>
        <v>0</v>
      </c>
      <c r="S3981" s="1">
        <f>IF(NOT(Paths!$C$368=1),0,IF(Paths!$P$368="Complete",IF(C3981=0,0,Paths!$S$368*Paths!$R$368),"n.a."))</f>
        <v>0</v>
      </c>
      <c r="T3981" s="1">
        <f>IF(NOT(Paths!$C$368=1),0,IF(Paths!$P$368="Complete",IF(C3981=0,0,VLOOKUP(A3981,'Fleet register'!$A$7:$S$106,9,FALSE)*Paths!$R$368),"n.a."))</f>
        <v>0</v>
      </c>
    </row>
    <row r="3982" spans="1:20" ht="24" customHeight="1">
      <c r="A3982" s="1" t="str">
        <f>Paths!$A$368</f>
        <v>T091</v>
      </c>
      <c r="B3982" s="1">
        <f>Paths!$B$368</f>
        <v>1</v>
      </c>
      <c r="C3982" s="1">
        <v>4</v>
      </c>
      <c r="D3982" s="1">
        <v>368</v>
      </c>
      <c r="E3982" s="1">
        <f>IF(OR(Paths!$C$368=0,C3982=0),0,MAX(0,MIN(C3982*12,Paths!$E$368)-(C3982-1)*12))</f>
        <v>0</v>
      </c>
      <c r="F3982" s="1">
        <f>IF(OR(Paths!$C$368=0,C3982=0),0,12-E3982)</f>
        <v>0</v>
      </c>
      <c r="G3982" s="16">
        <f>IF(NOT(Paths!$C$368=1),0,IF(Paths!$P$368="Complete",E3982/12*(Paths!$J$368*(1+'Operating costs'!$B$51)^MAX(0,C3982-1)+Paths!$K$368*(1+'Operating costs'!$B$53)^MAX(0,C3982-1)),"n.a."))</f>
        <v>0</v>
      </c>
      <c r="H3982" s="16">
        <f>IF(NOT(Paths!$C$368=1),0,IF(Paths!$P$368="Complete",F3982/12*(Paths!$L$368*(1+IF(Paths!$D$368="EV",'Operating costs'!$B$52,'Operating costs'!$B$51))^MAX(0,C3982-1)+Paths!$M$368*(1+'Operating costs'!$B$53)^MAX(0,C3982-1)),"n.a."))</f>
        <v>0</v>
      </c>
      <c r="I3982" s="16">
        <f>IF(NOT(Paths!$C$368=1),0,IF(Paths!$P$368="Complete",IF(IF(Paths!$E$368=0,C3982=0,AND(C3982&gt;0,Paths!$E$368&gt;(C3982-1)*12,Paths!$E$368&lt;=C3982*12)),Paths!$G$368,0),"n.a."))</f>
        <v>0</v>
      </c>
      <c r="J3982" s="16">
        <f>IF(NOT(Paths!$C$368=1),0,IF(Paths!$P$368="Complete",IF(IF(Paths!$E$368=0,C3982=0,AND(C3982&gt;0,Paths!$E$368&gt;(C3982-1)*12,Paths!$E$368&lt;=C3982*12)),Paths!$H$368,0),"n.a."))</f>
        <v>0</v>
      </c>
      <c r="K3982" s="16">
        <f>IF(NOT(Paths!$C$368=1),0,IF(Paths!$P$368="Complete",IF(IF(Paths!$O$368=0,C3982=0,AND(C3982&gt;0,Paths!$O$368&gt;(C3982-1)*12,Paths!$O$368&lt;=C3982*12)),Paths!$N$368,0),"n.a."))</f>
        <v>0</v>
      </c>
      <c r="L3982" s="16">
        <f>IF(NOT(Paths!$C$368=1),0,IF(Paths!$P$368="Complete",IF(C3982=10,Paths!$I$368,0),"n.a."))</f>
        <v>0</v>
      </c>
      <c r="M3982" s="16">
        <f>IF(NOT(Paths!$C$368=1),0,IF(Paths!$P$368="Complete",IF(AND(Paths!$D$368="EV",Paths!$E$368&lt;120,Paths!$E$368+'Operating costs'!$B$65&gt;Paths!$E$368,Paths!$E$368+'Operating costs'!$B$65&lt;=120,IF(Paths!$E$368+'Operating costs'!$B$65=0,C3982=0,AND(C3982&gt;0,Paths!$E$368+'Operating costs'!$B$65&gt;(C3982-1)*12,Paths!$E$368+'Operating costs'!$B$65&lt;=C3982*12))),'Operating costs'!$B$64,0)+IF(AND('Operating costs'!$B$67&gt;0,'Operating costs'!$B$67&lt;=120,OR(Paths!$D$368="ICE",'Operating costs'!$B$67&lt;=Paths!$E$368),IF('Operating costs'!$B$67=0,C3982=0,AND(C3982&gt;0,'Operating costs'!$B$67&gt;(C3982-1)*12,'Operating costs'!$B$67&lt;=C3982*12))),'Operating costs'!$B$66,0),"n.a."))</f>
        <v>0</v>
      </c>
      <c r="N3982" s="16">
        <f>IF(NOT(Paths!$C$368=1),0,IF(Paths!$P$368="Complete",SUM(G3982:I3982)-J3982-K3982-L3982+M3982+IF(C3982=0,Paths!$F$368,0)+IF(IF(Paths!$E$368=0,C3982=0,AND(C3982&gt;0,Paths!$E$368&gt;(C3982-1)*12,Paths!$E$368&lt;=C3982*12)),VLOOKUP(A3982,'Fleet register'!$A$7:$S$106,16,FALSE),0),"n.a."))</f>
        <v>0</v>
      </c>
      <c r="O3982" s="16">
        <f>IF(NOT(Paths!$C$368=1),0,IF(Paths!$P$368="Complete",N3982-IF(C3982=0,Paths!$F$368,0),"n.a."))</f>
        <v>0</v>
      </c>
      <c r="P3982" s="16">
        <f>IF(NOT(Paths!$C$368=1),0,IF(Paths!$P$368="Complete",O3982+L3982,"n.a."))</f>
        <v>0</v>
      </c>
      <c r="Q3982" s="16">
        <f>IF(NOT(Paths!$C$368=1),0,IF(Paths!$P$368="Complete",N3982*(1+'Operating costs'!$B$54)^-C3982,"n.a."))</f>
        <v>0</v>
      </c>
      <c r="R3982" s="16">
        <f>IF(NOT(Paths!$C$368=1),0,IF(Paths!$P$368="Complete",IF(AND(C3982=0,Paths!$E$368=0),I3982-J3982-K3982+VLOOKUP(A3982,'Fleet register'!$A$7:$S$106,15,FALSE)+VLOOKUP(A3982,'Fleet register'!$A$7:$S$106,16,FALSE),0),"n.a."))</f>
        <v>0</v>
      </c>
      <c r="S3982" s="1">
        <f>IF(NOT(Paths!$C$368=1),0,IF(Paths!$P$368="Complete",IF(C3982=0,0,Paths!$S$368*Paths!$R$368),"n.a."))</f>
        <v>0</v>
      </c>
      <c r="T3982" s="1">
        <f>IF(NOT(Paths!$C$368=1),0,IF(Paths!$P$368="Complete",IF(C3982=0,0,VLOOKUP(A3982,'Fleet register'!$A$7:$S$106,9,FALSE)*Paths!$R$368),"n.a."))</f>
        <v>0</v>
      </c>
    </row>
    <row r="3983" spans="1:20" ht="24" customHeight="1">
      <c r="A3983" s="1" t="str">
        <f>Paths!$A$368</f>
        <v>T091</v>
      </c>
      <c r="B3983" s="1">
        <f>Paths!$B$368</f>
        <v>1</v>
      </c>
      <c r="C3983" s="1">
        <v>5</v>
      </c>
      <c r="D3983" s="1">
        <v>368</v>
      </c>
      <c r="E3983" s="1">
        <f>IF(OR(Paths!$C$368=0,C3983=0),0,MAX(0,MIN(C3983*12,Paths!$E$368)-(C3983-1)*12))</f>
        <v>0</v>
      </c>
      <c r="F3983" s="1">
        <f>IF(OR(Paths!$C$368=0,C3983=0),0,12-E3983)</f>
        <v>0</v>
      </c>
      <c r="G3983" s="16">
        <f>IF(NOT(Paths!$C$368=1),0,IF(Paths!$P$368="Complete",E3983/12*(Paths!$J$368*(1+'Operating costs'!$B$51)^MAX(0,C3983-1)+Paths!$K$368*(1+'Operating costs'!$B$53)^MAX(0,C3983-1)),"n.a."))</f>
        <v>0</v>
      </c>
      <c r="H3983" s="16">
        <f>IF(NOT(Paths!$C$368=1),0,IF(Paths!$P$368="Complete",F3983/12*(Paths!$L$368*(1+IF(Paths!$D$368="EV",'Operating costs'!$B$52,'Operating costs'!$B$51))^MAX(0,C3983-1)+Paths!$M$368*(1+'Operating costs'!$B$53)^MAX(0,C3983-1)),"n.a."))</f>
        <v>0</v>
      </c>
      <c r="I3983" s="16">
        <f>IF(NOT(Paths!$C$368=1),0,IF(Paths!$P$368="Complete",IF(IF(Paths!$E$368=0,C3983=0,AND(C3983&gt;0,Paths!$E$368&gt;(C3983-1)*12,Paths!$E$368&lt;=C3983*12)),Paths!$G$368,0),"n.a."))</f>
        <v>0</v>
      </c>
      <c r="J3983" s="16">
        <f>IF(NOT(Paths!$C$368=1),0,IF(Paths!$P$368="Complete",IF(IF(Paths!$E$368=0,C3983=0,AND(C3983&gt;0,Paths!$E$368&gt;(C3983-1)*12,Paths!$E$368&lt;=C3983*12)),Paths!$H$368,0),"n.a."))</f>
        <v>0</v>
      </c>
      <c r="K3983" s="16">
        <f>IF(NOT(Paths!$C$368=1),0,IF(Paths!$P$368="Complete",IF(IF(Paths!$O$368=0,C3983=0,AND(C3983&gt;0,Paths!$O$368&gt;(C3983-1)*12,Paths!$O$368&lt;=C3983*12)),Paths!$N$368,0),"n.a."))</f>
        <v>0</v>
      </c>
      <c r="L3983" s="16">
        <f>IF(NOT(Paths!$C$368=1),0,IF(Paths!$P$368="Complete",IF(C3983=10,Paths!$I$368,0),"n.a."))</f>
        <v>0</v>
      </c>
      <c r="M3983" s="16">
        <f>IF(NOT(Paths!$C$368=1),0,IF(Paths!$P$368="Complete",IF(AND(Paths!$D$368="EV",Paths!$E$368&lt;120,Paths!$E$368+'Operating costs'!$B$65&gt;Paths!$E$368,Paths!$E$368+'Operating costs'!$B$65&lt;=120,IF(Paths!$E$368+'Operating costs'!$B$65=0,C3983=0,AND(C3983&gt;0,Paths!$E$368+'Operating costs'!$B$65&gt;(C3983-1)*12,Paths!$E$368+'Operating costs'!$B$65&lt;=C3983*12))),'Operating costs'!$B$64,0)+IF(AND('Operating costs'!$B$67&gt;0,'Operating costs'!$B$67&lt;=120,OR(Paths!$D$368="ICE",'Operating costs'!$B$67&lt;=Paths!$E$368),IF('Operating costs'!$B$67=0,C3983=0,AND(C3983&gt;0,'Operating costs'!$B$67&gt;(C3983-1)*12,'Operating costs'!$B$67&lt;=C3983*12))),'Operating costs'!$B$66,0),"n.a."))</f>
        <v>0</v>
      </c>
      <c r="N3983" s="16">
        <f>IF(NOT(Paths!$C$368=1),0,IF(Paths!$P$368="Complete",SUM(G3983:I3983)-J3983-K3983-L3983+M3983+IF(C3983=0,Paths!$F$368,0)+IF(IF(Paths!$E$368=0,C3983=0,AND(C3983&gt;0,Paths!$E$368&gt;(C3983-1)*12,Paths!$E$368&lt;=C3983*12)),VLOOKUP(A3983,'Fleet register'!$A$7:$S$106,16,FALSE),0),"n.a."))</f>
        <v>0</v>
      </c>
      <c r="O3983" s="16">
        <f>IF(NOT(Paths!$C$368=1),0,IF(Paths!$P$368="Complete",N3983-IF(C3983=0,Paths!$F$368,0),"n.a."))</f>
        <v>0</v>
      </c>
      <c r="P3983" s="16">
        <f>IF(NOT(Paths!$C$368=1),0,IF(Paths!$P$368="Complete",O3983+L3983,"n.a."))</f>
        <v>0</v>
      </c>
      <c r="Q3983" s="16">
        <f>IF(NOT(Paths!$C$368=1),0,IF(Paths!$P$368="Complete",N3983*(1+'Operating costs'!$B$54)^-C3983,"n.a."))</f>
        <v>0</v>
      </c>
      <c r="R3983" s="16">
        <f>IF(NOT(Paths!$C$368=1),0,IF(Paths!$P$368="Complete",IF(AND(C3983=0,Paths!$E$368=0),I3983-J3983-K3983+VLOOKUP(A3983,'Fleet register'!$A$7:$S$106,15,FALSE)+VLOOKUP(A3983,'Fleet register'!$A$7:$S$106,16,FALSE),0),"n.a."))</f>
        <v>0</v>
      </c>
      <c r="S3983" s="1">
        <f>IF(NOT(Paths!$C$368=1),0,IF(Paths!$P$368="Complete",IF(C3983=0,0,Paths!$S$368*Paths!$R$368),"n.a."))</f>
        <v>0</v>
      </c>
      <c r="T3983" s="1">
        <f>IF(NOT(Paths!$C$368=1),0,IF(Paths!$P$368="Complete",IF(C3983=0,0,VLOOKUP(A3983,'Fleet register'!$A$7:$S$106,9,FALSE)*Paths!$R$368),"n.a."))</f>
        <v>0</v>
      </c>
    </row>
    <row r="3984" spans="1:20" ht="24" customHeight="1">
      <c r="A3984" s="1" t="str">
        <f>Paths!$A$368</f>
        <v>T091</v>
      </c>
      <c r="B3984" s="1">
        <f>Paths!$B$368</f>
        <v>1</v>
      </c>
      <c r="C3984" s="1">
        <v>6</v>
      </c>
      <c r="D3984" s="1">
        <v>368</v>
      </c>
      <c r="E3984" s="1">
        <f>IF(OR(Paths!$C$368=0,C3984=0),0,MAX(0,MIN(C3984*12,Paths!$E$368)-(C3984-1)*12))</f>
        <v>0</v>
      </c>
      <c r="F3984" s="1">
        <f>IF(OR(Paths!$C$368=0,C3984=0),0,12-E3984)</f>
        <v>0</v>
      </c>
      <c r="G3984" s="16">
        <f>IF(NOT(Paths!$C$368=1),0,IF(Paths!$P$368="Complete",E3984/12*(Paths!$J$368*(1+'Operating costs'!$B$51)^MAX(0,C3984-1)+Paths!$K$368*(1+'Operating costs'!$B$53)^MAX(0,C3984-1)),"n.a."))</f>
        <v>0</v>
      </c>
      <c r="H3984" s="16">
        <f>IF(NOT(Paths!$C$368=1),0,IF(Paths!$P$368="Complete",F3984/12*(Paths!$L$368*(1+IF(Paths!$D$368="EV",'Operating costs'!$B$52,'Operating costs'!$B$51))^MAX(0,C3984-1)+Paths!$M$368*(1+'Operating costs'!$B$53)^MAX(0,C3984-1)),"n.a."))</f>
        <v>0</v>
      </c>
      <c r="I3984" s="16">
        <f>IF(NOT(Paths!$C$368=1),0,IF(Paths!$P$368="Complete",IF(IF(Paths!$E$368=0,C3984=0,AND(C3984&gt;0,Paths!$E$368&gt;(C3984-1)*12,Paths!$E$368&lt;=C3984*12)),Paths!$G$368,0),"n.a."))</f>
        <v>0</v>
      </c>
      <c r="J3984" s="16">
        <f>IF(NOT(Paths!$C$368=1),0,IF(Paths!$P$368="Complete",IF(IF(Paths!$E$368=0,C3984=0,AND(C3984&gt;0,Paths!$E$368&gt;(C3984-1)*12,Paths!$E$368&lt;=C3984*12)),Paths!$H$368,0),"n.a."))</f>
        <v>0</v>
      </c>
      <c r="K3984" s="16">
        <f>IF(NOT(Paths!$C$368=1),0,IF(Paths!$P$368="Complete",IF(IF(Paths!$O$368=0,C3984=0,AND(C3984&gt;0,Paths!$O$368&gt;(C3984-1)*12,Paths!$O$368&lt;=C3984*12)),Paths!$N$368,0),"n.a."))</f>
        <v>0</v>
      </c>
      <c r="L3984" s="16">
        <f>IF(NOT(Paths!$C$368=1),0,IF(Paths!$P$368="Complete",IF(C3984=10,Paths!$I$368,0),"n.a."))</f>
        <v>0</v>
      </c>
      <c r="M3984" s="16">
        <f>IF(NOT(Paths!$C$368=1),0,IF(Paths!$P$368="Complete",IF(AND(Paths!$D$368="EV",Paths!$E$368&lt;120,Paths!$E$368+'Operating costs'!$B$65&gt;Paths!$E$368,Paths!$E$368+'Operating costs'!$B$65&lt;=120,IF(Paths!$E$368+'Operating costs'!$B$65=0,C3984=0,AND(C3984&gt;0,Paths!$E$368+'Operating costs'!$B$65&gt;(C3984-1)*12,Paths!$E$368+'Operating costs'!$B$65&lt;=C3984*12))),'Operating costs'!$B$64,0)+IF(AND('Operating costs'!$B$67&gt;0,'Operating costs'!$B$67&lt;=120,OR(Paths!$D$368="ICE",'Operating costs'!$B$67&lt;=Paths!$E$368),IF('Operating costs'!$B$67=0,C3984=0,AND(C3984&gt;0,'Operating costs'!$B$67&gt;(C3984-1)*12,'Operating costs'!$B$67&lt;=C3984*12))),'Operating costs'!$B$66,0),"n.a."))</f>
        <v>0</v>
      </c>
      <c r="N3984" s="16">
        <f>IF(NOT(Paths!$C$368=1),0,IF(Paths!$P$368="Complete",SUM(G3984:I3984)-J3984-K3984-L3984+M3984+IF(C3984=0,Paths!$F$368,0)+IF(IF(Paths!$E$368=0,C3984=0,AND(C3984&gt;0,Paths!$E$368&gt;(C3984-1)*12,Paths!$E$368&lt;=C3984*12)),VLOOKUP(A3984,'Fleet register'!$A$7:$S$106,16,FALSE),0),"n.a."))</f>
        <v>0</v>
      </c>
      <c r="O3984" s="16">
        <f>IF(NOT(Paths!$C$368=1),0,IF(Paths!$P$368="Complete",N3984-IF(C3984=0,Paths!$F$368,0),"n.a."))</f>
        <v>0</v>
      </c>
      <c r="P3984" s="16">
        <f>IF(NOT(Paths!$C$368=1),0,IF(Paths!$P$368="Complete",O3984+L3984,"n.a."))</f>
        <v>0</v>
      </c>
      <c r="Q3984" s="16">
        <f>IF(NOT(Paths!$C$368=1),0,IF(Paths!$P$368="Complete",N3984*(1+'Operating costs'!$B$54)^-C3984,"n.a."))</f>
        <v>0</v>
      </c>
      <c r="R3984" s="16">
        <f>IF(NOT(Paths!$C$368=1),0,IF(Paths!$P$368="Complete",IF(AND(C3984=0,Paths!$E$368=0),I3984-J3984-K3984+VLOOKUP(A3984,'Fleet register'!$A$7:$S$106,15,FALSE)+VLOOKUP(A3984,'Fleet register'!$A$7:$S$106,16,FALSE),0),"n.a."))</f>
        <v>0</v>
      </c>
      <c r="S3984" s="1">
        <f>IF(NOT(Paths!$C$368=1),0,IF(Paths!$P$368="Complete",IF(C3984=0,0,Paths!$S$368*Paths!$R$368),"n.a."))</f>
        <v>0</v>
      </c>
      <c r="T3984" s="1">
        <f>IF(NOT(Paths!$C$368=1),0,IF(Paths!$P$368="Complete",IF(C3984=0,0,VLOOKUP(A3984,'Fleet register'!$A$7:$S$106,9,FALSE)*Paths!$R$368),"n.a."))</f>
        <v>0</v>
      </c>
    </row>
    <row r="3985" spans="1:20" ht="24" customHeight="1">
      <c r="A3985" s="1" t="str">
        <f>Paths!$A$368</f>
        <v>T091</v>
      </c>
      <c r="B3985" s="1">
        <f>Paths!$B$368</f>
        <v>1</v>
      </c>
      <c r="C3985" s="1">
        <v>7</v>
      </c>
      <c r="D3985" s="1">
        <v>368</v>
      </c>
      <c r="E3985" s="1">
        <f>IF(OR(Paths!$C$368=0,C3985=0),0,MAX(0,MIN(C3985*12,Paths!$E$368)-(C3985-1)*12))</f>
        <v>0</v>
      </c>
      <c r="F3985" s="1">
        <f>IF(OR(Paths!$C$368=0,C3985=0),0,12-E3985)</f>
        <v>0</v>
      </c>
      <c r="G3985" s="16">
        <f>IF(NOT(Paths!$C$368=1),0,IF(Paths!$P$368="Complete",E3985/12*(Paths!$J$368*(1+'Operating costs'!$B$51)^MAX(0,C3985-1)+Paths!$K$368*(1+'Operating costs'!$B$53)^MAX(0,C3985-1)),"n.a."))</f>
        <v>0</v>
      </c>
      <c r="H3985" s="16">
        <f>IF(NOT(Paths!$C$368=1),0,IF(Paths!$P$368="Complete",F3985/12*(Paths!$L$368*(1+IF(Paths!$D$368="EV",'Operating costs'!$B$52,'Operating costs'!$B$51))^MAX(0,C3985-1)+Paths!$M$368*(1+'Operating costs'!$B$53)^MAX(0,C3985-1)),"n.a."))</f>
        <v>0</v>
      </c>
      <c r="I3985" s="16">
        <f>IF(NOT(Paths!$C$368=1),0,IF(Paths!$P$368="Complete",IF(IF(Paths!$E$368=0,C3985=0,AND(C3985&gt;0,Paths!$E$368&gt;(C3985-1)*12,Paths!$E$368&lt;=C3985*12)),Paths!$G$368,0),"n.a."))</f>
        <v>0</v>
      </c>
      <c r="J3985" s="16">
        <f>IF(NOT(Paths!$C$368=1),0,IF(Paths!$P$368="Complete",IF(IF(Paths!$E$368=0,C3985=0,AND(C3985&gt;0,Paths!$E$368&gt;(C3985-1)*12,Paths!$E$368&lt;=C3985*12)),Paths!$H$368,0),"n.a."))</f>
        <v>0</v>
      </c>
      <c r="K3985" s="16">
        <f>IF(NOT(Paths!$C$368=1),0,IF(Paths!$P$368="Complete",IF(IF(Paths!$O$368=0,C3985=0,AND(C3985&gt;0,Paths!$O$368&gt;(C3985-1)*12,Paths!$O$368&lt;=C3985*12)),Paths!$N$368,0),"n.a."))</f>
        <v>0</v>
      </c>
      <c r="L3985" s="16">
        <f>IF(NOT(Paths!$C$368=1),0,IF(Paths!$P$368="Complete",IF(C3985=10,Paths!$I$368,0),"n.a."))</f>
        <v>0</v>
      </c>
      <c r="M3985" s="16">
        <f>IF(NOT(Paths!$C$368=1),0,IF(Paths!$P$368="Complete",IF(AND(Paths!$D$368="EV",Paths!$E$368&lt;120,Paths!$E$368+'Operating costs'!$B$65&gt;Paths!$E$368,Paths!$E$368+'Operating costs'!$B$65&lt;=120,IF(Paths!$E$368+'Operating costs'!$B$65=0,C3985=0,AND(C3985&gt;0,Paths!$E$368+'Operating costs'!$B$65&gt;(C3985-1)*12,Paths!$E$368+'Operating costs'!$B$65&lt;=C3985*12))),'Operating costs'!$B$64,0)+IF(AND('Operating costs'!$B$67&gt;0,'Operating costs'!$B$67&lt;=120,OR(Paths!$D$368="ICE",'Operating costs'!$B$67&lt;=Paths!$E$368),IF('Operating costs'!$B$67=0,C3985=0,AND(C3985&gt;0,'Operating costs'!$B$67&gt;(C3985-1)*12,'Operating costs'!$B$67&lt;=C3985*12))),'Operating costs'!$B$66,0),"n.a."))</f>
        <v>0</v>
      </c>
      <c r="N3985" s="16">
        <f>IF(NOT(Paths!$C$368=1),0,IF(Paths!$P$368="Complete",SUM(G3985:I3985)-J3985-K3985-L3985+M3985+IF(C3985=0,Paths!$F$368,0)+IF(IF(Paths!$E$368=0,C3985=0,AND(C3985&gt;0,Paths!$E$368&gt;(C3985-1)*12,Paths!$E$368&lt;=C3985*12)),VLOOKUP(A3985,'Fleet register'!$A$7:$S$106,16,FALSE),0),"n.a."))</f>
        <v>0</v>
      </c>
      <c r="O3985" s="16">
        <f>IF(NOT(Paths!$C$368=1),0,IF(Paths!$P$368="Complete",N3985-IF(C3985=0,Paths!$F$368,0),"n.a."))</f>
        <v>0</v>
      </c>
      <c r="P3985" s="16">
        <f>IF(NOT(Paths!$C$368=1),0,IF(Paths!$P$368="Complete",O3985+L3985,"n.a."))</f>
        <v>0</v>
      </c>
      <c r="Q3985" s="16">
        <f>IF(NOT(Paths!$C$368=1),0,IF(Paths!$P$368="Complete",N3985*(1+'Operating costs'!$B$54)^-C3985,"n.a."))</f>
        <v>0</v>
      </c>
      <c r="R3985" s="16">
        <f>IF(NOT(Paths!$C$368=1),0,IF(Paths!$P$368="Complete",IF(AND(C3985=0,Paths!$E$368=0),I3985-J3985-K3985+VLOOKUP(A3985,'Fleet register'!$A$7:$S$106,15,FALSE)+VLOOKUP(A3985,'Fleet register'!$A$7:$S$106,16,FALSE),0),"n.a."))</f>
        <v>0</v>
      </c>
      <c r="S3985" s="1">
        <f>IF(NOT(Paths!$C$368=1),0,IF(Paths!$P$368="Complete",IF(C3985=0,0,Paths!$S$368*Paths!$R$368),"n.a."))</f>
        <v>0</v>
      </c>
      <c r="T3985" s="1">
        <f>IF(NOT(Paths!$C$368=1),0,IF(Paths!$P$368="Complete",IF(C3985=0,0,VLOOKUP(A3985,'Fleet register'!$A$7:$S$106,9,FALSE)*Paths!$R$368),"n.a."))</f>
        <v>0</v>
      </c>
    </row>
    <row r="3986" spans="1:20" ht="24" customHeight="1">
      <c r="A3986" s="1" t="str">
        <f>Paths!$A$368</f>
        <v>T091</v>
      </c>
      <c r="B3986" s="1">
        <f>Paths!$B$368</f>
        <v>1</v>
      </c>
      <c r="C3986" s="1">
        <v>8</v>
      </c>
      <c r="D3986" s="1">
        <v>368</v>
      </c>
      <c r="E3986" s="1">
        <f>IF(OR(Paths!$C$368=0,C3986=0),0,MAX(0,MIN(C3986*12,Paths!$E$368)-(C3986-1)*12))</f>
        <v>0</v>
      </c>
      <c r="F3986" s="1">
        <f>IF(OR(Paths!$C$368=0,C3986=0),0,12-E3986)</f>
        <v>0</v>
      </c>
      <c r="G3986" s="16">
        <f>IF(NOT(Paths!$C$368=1),0,IF(Paths!$P$368="Complete",E3986/12*(Paths!$J$368*(1+'Operating costs'!$B$51)^MAX(0,C3986-1)+Paths!$K$368*(1+'Operating costs'!$B$53)^MAX(0,C3986-1)),"n.a."))</f>
        <v>0</v>
      </c>
      <c r="H3986" s="16">
        <f>IF(NOT(Paths!$C$368=1),0,IF(Paths!$P$368="Complete",F3986/12*(Paths!$L$368*(1+IF(Paths!$D$368="EV",'Operating costs'!$B$52,'Operating costs'!$B$51))^MAX(0,C3986-1)+Paths!$M$368*(1+'Operating costs'!$B$53)^MAX(0,C3986-1)),"n.a."))</f>
        <v>0</v>
      </c>
      <c r="I3986" s="16">
        <f>IF(NOT(Paths!$C$368=1),0,IF(Paths!$P$368="Complete",IF(IF(Paths!$E$368=0,C3986=0,AND(C3986&gt;0,Paths!$E$368&gt;(C3986-1)*12,Paths!$E$368&lt;=C3986*12)),Paths!$G$368,0),"n.a."))</f>
        <v>0</v>
      </c>
      <c r="J3986" s="16">
        <f>IF(NOT(Paths!$C$368=1),0,IF(Paths!$P$368="Complete",IF(IF(Paths!$E$368=0,C3986=0,AND(C3986&gt;0,Paths!$E$368&gt;(C3986-1)*12,Paths!$E$368&lt;=C3986*12)),Paths!$H$368,0),"n.a."))</f>
        <v>0</v>
      </c>
      <c r="K3986" s="16">
        <f>IF(NOT(Paths!$C$368=1),0,IF(Paths!$P$368="Complete",IF(IF(Paths!$O$368=0,C3986=0,AND(C3986&gt;0,Paths!$O$368&gt;(C3986-1)*12,Paths!$O$368&lt;=C3986*12)),Paths!$N$368,0),"n.a."))</f>
        <v>0</v>
      </c>
      <c r="L3986" s="16">
        <f>IF(NOT(Paths!$C$368=1),0,IF(Paths!$P$368="Complete",IF(C3986=10,Paths!$I$368,0),"n.a."))</f>
        <v>0</v>
      </c>
      <c r="M3986" s="16">
        <f>IF(NOT(Paths!$C$368=1),0,IF(Paths!$P$368="Complete",IF(AND(Paths!$D$368="EV",Paths!$E$368&lt;120,Paths!$E$368+'Operating costs'!$B$65&gt;Paths!$E$368,Paths!$E$368+'Operating costs'!$B$65&lt;=120,IF(Paths!$E$368+'Operating costs'!$B$65=0,C3986=0,AND(C3986&gt;0,Paths!$E$368+'Operating costs'!$B$65&gt;(C3986-1)*12,Paths!$E$368+'Operating costs'!$B$65&lt;=C3986*12))),'Operating costs'!$B$64,0)+IF(AND('Operating costs'!$B$67&gt;0,'Operating costs'!$B$67&lt;=120,OR(Paths!$D$368="ICE",'Operating costs'!$B$67&lt;=Paths!$E$368),IF('Operating costs'!$B$67=0,C3986=0,AND(C3986&gt;0,'Operating costs'!$B$67&gt;(C3986-1)*12,'Operating costs'!$B$67&lt;=C3986*12))),'Operating costs'!$B$66,0),"n.a."))</f>
        <v>0</v>
      </c>
      <c r="N3986" s="16">
        <f>IF(NOT(Paths!$C$368=1),0,IF(Paths!$P$368="Complete",SUM(G3986:I3986)-J3986-K3986-L3986+M3986+IF(C3986=0,Paths!$F$368,0)+IF(IF(Paths!$E$368=0,C3986=0,AND(C3986&gt;0,Paths!$E$368&gt;(C3986-1)*12,Paths!$E$368&lt;=C3986*12)),VLOOKUP(A3986,'Fleet register'!$A$7:$S$106,16,FALSE),0),"n.a."))</f>
        <v>0</v>
      </c>
      <c r="O3986" s="16">
        <f>IF(NOT(Paths!$C$368=1),0,IF(Paths!$P$368="Complete",N3986-IF(C3986=0,Paths!$F$368,0),"n.a."))</f>
        <v>0</v>
      </c>
      <c r="P3986" s="16">
        <f>IF(NOT(Paths!$C$368=1),0,IF(Paths!$P$368="Complete",O3986+L3986,"n.a."))</f>
        <v>0</v>
      </c>
      <c r="Q3986" s="16">
        <f>IF(NOT(Paths!$C$368=1),0,IF(Paths!$P$368="Complete",N3986*(1+'Operating costs'!$B$54)^-C3986,"n.a."))</f>
        <v>0</v>
      </c>
      <c r="R3986" s="16">
        <f>IF(NOT(Paths!$C$368=1),0,IF(Paths!$P$368="Complete",IF(AND(C3986=0,Paths!$E$368=0),I3986-J3986-K3986+VLOOKUP(A3986,'Fleet register'!$A$7:$S$106,15,FALSE)+VLOOKUP(A3986,'Fleet register'!$A$7:$S$106,16,FALSE),0),"n.a."))</f>
        <v>0</v>
      </c>
      <c r="S3986" s="1">
        <f>IF(NOT(Paths!$C$368=1),0,IF(Paths!$P$368="Complete",IF(C3986=0,0,Paths!$S$368*Paths!$R$368),"n.a."))</f>
        <v>0</v>
      </c>
      <c r="T3986" s="1">
        <f>IF(NOT(Paths!$C$368=1),0,IF(Paths!$P$368="Complete",IF(C3986=0,0,VLOOKUP(A3986,'Fleet register'!$A$7:$S$106,9,FALSE)*Paths!$R$368),"n.a."))</f>
        <v>0</v>
      </c>
    </row>
    <row r="3987" spans="1:20" ht="24" customHeight="1">
      <c r="A3987" s="1" t="str">
        <f>Paths!$A$368</f>
        <v>T091</v>
      </c>
      <c r="B3987" s="1">
        <f>Paths!$B$368</f>
        <v>1</v>
      </c>
      <c r="C3987" s="1">
        <v>9</v>
      </c>
      <c r="D3987" s="1">
        <v>368</v>
      </c>
      <c r="E3987" s="1">
        <f>IF(OR(Paths!$C$368=0,C3987=0),0,MAX(0,MIN(C3987*12,Paths!$E$368)-(C3987-1)*12))</f>
        <v>0</v>
      </c>
      <c r="F3987" s="1">
        <f>IF(OR(Paths!$C$368=0,C3987=0),0,12-E3987)</f>
        <v>0</v>
      </c>
      <c r="G3987" s="16">
        <f>IF(NOT(Paths!$C$368=1),0,IF(Paths!$P$368="Complete",E3987/12*(Paths!$J$368*(1+'Operating costs'!$B$51)^MAX(0,C3987-1)+Paths!$K$368*(1+'Operating costs'!$B$53)^MAX(0,C3987-1)),"n.a."))</f>
        <v>0</v>
      </c>
      <c r="H3987" s="16">
        <f>IF(NOT(Paths!$C$368=1),0,IF(Paths!$P$368="Complete",F3987/12*(Paths!$L$368*(1+IF(Paths!$D$368="EV",'Operating costs'!$B$52,'Operating costs'!$B$51))^MAX(0,C3987-1)+Paths!$M$368*(1+'Operating costs'!$B$53)^MAX(0,C3987-1)),"n.a."))</f>
        <v>0</v>
      </c>
      <c r="I3987" s="16">
        <f>IF(NOT(Paths!$C$368=1),0,IF(Paths!$P$368="Complete",IF(IF(Paths!$E$368=0,C3987=0,AND(C3987&gt;0,Paths!$E$368&gt;(C3987-1)*12,Paths!$E$368&lt;=C3987*12)),Paths!$G$368,0),"n.a."))</f>
        <v>0</v>
      </c>
      <c r="J3987" s="16">
        <f>IF(NOT(Paths!$C$368=1),0,IF(Paths!$P$368="Complete",IF(IF(Paths!$E$368=0,C3987=0,AND(C3987&gt;0,Paths!$E$368&gt;(C3987-1)*12,Paths!$E$368&lt;=C3987*12)),Paths!$H$368,0),"n.a."))</f>
        <v>0</v>
      </c>
      <c r="K3987" s="16">
        <f>IF(NOT(Paths!$C$368=1),0,IF(Paths!$P$368="Complete",IF(IF(Paths!$O$368=0,C3987=0,AND(C3987&gt;0,Paths!$O$368&gt;(C3987-1)*12,Paths!$O$368&lt;=C3987*12)),Paths!$N$368,0),"n.a."))</f>
        <v>0</v>
      </c>
      <c r="L3987" s="16">
        <f>IF(NOT(Paths!$C$368=1),0,IF(Paths!$P$368="Complete",IF(C3987=10,Paths!$I$368,0),"n.a."))</f>
        <v>0</v>
      </c>
      <c r="M3987" s="16">
        <f>IF(NOT(Paths!$C$368=1),0,IF(Paths!$P$368="Complete",IF(AND(Paths!$D$368="EV",Paths!$E$368&lt;120,Paths!$E$368+'Operating costs'!$B$65&gt;Paths!$E$368,Paths!$E$368+'Operating costs'!$B$65&lt;=120,IF(Paths!$E$368+'Operating costs'!$B$65=0,C3987=0,AND(C3987&gt;0,Paths!$E$368+'Operating costs'!$B$65&gt;(C3987-1)*12,Paths!$E$368+'Operating costs'!$B$65&lt;=C3987*12))),'Operating costs'!$B$64,0)+IF(AND('Operating costs'!$B$67&gt;0,'Operating costs'!$B$67&lt;=120,OR(Paths!$D$368="ICE",'Operating costs'!$B$67&lt;=Paths!$E$368),IF('Operating costs'!$B$67=0,C3987=0,AND(C3987&gt;0,'Operating costs'!$B$67&gt;(C3987-1)*12,'Operating costs'!$B$67&lt;=C3987*12))),'Operating costs'!$B$66,0),"n.a."))</f>
        <v>0</v>
      </c>
      <c r="N3987" s="16">
        <f>IF(NOT(Paths!$C$368=1),0,IF(Paths!$P$368="Complete",SUM(G3987:I3987)-J3987-K3987-L3987+M3987+IF(C3987=0,Paths!$F$368,0)+IF(IF(Paths!$E$368=0,C3987=0,AND(C3987&gt;0,Paths!$E$368&gt;(C3987-1)*12,Paths!$E$368&lt;=C3987*12)),VLOOKUP(A3987,'Fleet register'!$A$7:$S$106,16,FALSE),0),"n.a."))</f>
        <v>0</v>
      </c>
      <c r="O3987" s="16">
        <f>IF(NOT(Paths!$C$368=1),0,IF(Paths!$P$368="Complete",N3987-IF(C3987=0,Paths!$F$368,0),"n.a."))</f>
        <v>0</v>
      </c>
      <c r="P3987" s="16">
        <f>IF(NOT(Paths!$C$368=1),0,IF(Paths!$P$368="Complete",O3987+L3987,"n.a."))</f>
        <v>0</v>
      </c>
      <c r="Q3987" s="16">
        <f>IF(NOT(Paths!$C$368=1),0,IF(Paths!$P$368="Complete",N3987*(1+'Operating costs'!$B$54)^-C3987,"n.a."))</f>
        <v>0</v>
      </c>
      <c r="R3987" s="16">
        <f>IF(NOT(Paths!$C$368=1),0,IF(Paths!$P$368="Complete",IF(AND(C3987=0,Paths!$E$368=0),I3987-J3987-K3987+VLOOKUP(A3987,'Fleet register'!$A$7:$S$106,15,FALSE)+VLOOKUP(A3987,'Fleet register'!$A$7:$S$106,16,FALSE),0),"n.a."))</f>
        <v>0</v>
      </c>
      <c r="S3987" s="1">
        <f>IF(NOT(Paths!$C$368=1),0,IF(Paths!$P$368="Complete",IF(C3987=0,0,Paths!$S$368*Paths!$R$368),"n.a."))</f>
        <v>0</v>
      </c>
      <c r="T3987" s="1">
        <f>IF(NOT(Paths!$C$368=1),0,IF(Paths!$P$368="Complete",IF(C3987=0,0,VLOOKUP(A3987,'Fleet register'!$A$7:$S$106,9,FALSE)*Paths!$R$368),"n.a."))</f>
        <v>0</v>
      </c>
    </row>
    <row r="3988" spans="1:20" ht="24" customHeight="1">
      <c r="A3988" s="1" t="str">
        <f>Paths!$A$368</f>
        <v>T091</v>
      </c>
      <c r="B3988" s="1">
        <f>Paths!$B$368</f>
        <v>1</v>
      </c>
      <c r="C3988" s="1">
        <v>10</v>
      </c>
      <c r="D3988" s="1">
        <v>368</v>
      </c>
      <c r="E3988" s="1">
        <f>IF(OR(Paths!$C$368=0,C3988=0),0,MAX(0,MIN(C3988*12,Paths!$E$368)-(C3988-1)*12))</f>
        <v>0</v>
      </c>
      <c r="F3988" s="1">
        <f>IF(OR(Paths!$C$368=0,C3988=0),0,12-E3988)</f>
        <v>0</v>
      </c>
      <c r="G3988" s="16">
        <f>IF(NOT(Paths!$C$368=1),0,IF(Paths!$P$368="Complete",E3988/12*(Paths!$J$368*(1+'Operating costs'!$B$51)^MAX(0,C3988-1)+Paths!$K$368*(1+'Operating costs'!$B$53)^MAX(0,C3988-1)),"n.a."))</f>
        <v>0</v>
      </c>
      <c r="H3988" s="16">
        <f>IF(NOT(Paths!$C$368=1),0,IF(Paths!$P$368="Complete",F3988/12*(Paths!$L$368*(1+IF(Paths!$D$368="EV",'Operating costs'!$B$52,'Operating costs'!$B$51))^MAX(0,C3988-1)+Paths!$M$368*(1+'Operating costs'!$B$53)^MAX(0,C3988-1)),"n.a."))</f>
        <v>0</v>
      </c>
      <c r="I3988" s="16">
        <f>IF(NOT(Paths!$C$368=1),0,IF(Paths!$P$368="Complete",IF(IF(Paths!$E$368=0,C3988=0,AND(C3988&gt;0,Paths!$E$368&gt;(C3988-1)*12,Paths!$E$368&lt;=C3988*12)),Paths!$G$368,0),"n.a."))</f>
        <v>0</v>
      </c>
      <c r="J3988" s="16">
        <f>IF(NOT(Paths!$C$368=1),0,IF(Paths!$P$368="Complete",IF(IF(Paths!$E$368=0,C3988=0,AND(C3988&gt;0,Paths!$E$368&gt;(C3988-1)*12,Paths!$E$368&lt;=C3988*12)),Paths!$H$368,0),"n.a."))</f>
        <v>0</v>
      </c>
      <c r="K3988" s="16">
        <f>IF(NOT(Paths!$C$368=1),0,IF(Paths!$P$368="Complete",IF(IF(Paths!$O$368=0,C3988=0,AND(C3988&gt;0,Paths!$O$368&gt;(C3988-1)*12,Paths!$O$368&lt;=C3988*12)),Paths!$N$368,0),"n.a."))</f>
        <v>0</v>
      </c>
      <c r="L3988" s="16">
        <f>IF(NOT(Paths!$C$368=1),0,IF(Paths!$P$368="Complete",IF(C3988=10,Paths!$I$368,0),"n.a."))</f>
        <v>0</v>
      </c>
      <c r="M3988" s="16">
        <f>IF(NOT(Paths!$C$368=1),0,IF(Paths!$P$368="Complete",IF(AND(Paths!$D$368="EV",Paths!$E$368&lt;120,Paths!$E$368+'Operating costs'!$B$65&gt;Paths!$E$368,Paths!$E$368+'Operating costs'!$B$65&lt;=120,IF(Paths!$E$368+'Operating costs'!$B$65=0,C3988=0,AND(C3988&gt;0,Paths!$E$368+'Operating costs'!$B$65&gt;(C3988-1)*12,Paths!$E$368+'Operating costs'!$B$65&lt;=C3988*12))),'Operating costs'!$B$64,0)+IF(AND('Operating costs'!$B$67&gt;0,'Operating costs'!$B$67&lt;=120,OR(Paths!$D$368="ICE",'Operating costs'!$B$67&lt;=Paths!$E$368),IF('Operating costs'!$B$67=0,C3988=0,AND(C3988&gt;0,'Operating costs'!$B$67&gt;(C3988-1)*12,'Operating costs'!$B$67&lt;=C3988*12))),'Operating costs'!$B$66,0),"n.a."))</f>
        <v>0</v>
      </c>
      <c r="N3988" s="16">
        <f>IF(NOT(Paths!$C$368=1),0,IF(Paths!$P$368="Complete",SUM(G3988:I3988)-J3988-K3988-L3988+M3988+IF(C3988=0,Paths!$F$368,0)+IF(IF(Paths!$E$368=0,C3988=0,AND(C3988&gt;0,Paths!$E$368&gt;(C3988-1)*12,Paths!$E$368&lt;=C3988*12)),VLOOKUP(A3988,'Fleet register'!$A$7:$S$106,16,FALSE),0),"n.a."))</f>
        <v>0</v>
      </c>
      <c r="O3988" s="16">
        <f>IF(NOT(Paths!$C$368=1),0,IF(Paths!$P$368="Complete",N3988-IF(C3988=0,Paths!$F$368,0),"n.a."))</f>
        <v>0</v>
      </c>
      <c r="P3988" s="16">
        <f>IF(NOT(Paths!$C$368=1),0,IF(Paths!$P$368="Complete",O3988+L3988,"n.a."))</f>
        <v>0</v>
      </c>
      <c r="Q3988" s="16">
        <f>IF(NOT(Paths!$C$368=1),0,IF(Paths!$P$368="Complete",N3988*(1+'Operating costs'!$B$54)^-C3988,"n.a."))</f>
        <v>0</v>
      </c>
      <c r="R3988" s="16">
        <f>IF(NOT(Paths!$C$368=1),0,IF(Paths!$P$368="Complete",IF(AND(C3988=0,Paths!$E$368=0),I3988-J3988-K3988+VLOOKUP(A3988,'Fleet register'!$A$7:$S$106,15,FALSE)+VLOOKUP(A3988,'Fleet register'!$A$7:$S$106,16,FALSE),0),"n.a."))</f>
        <v>0</v>
      </c>
      <c r="S3988" s="1">
        <f>IF(NOT(Paths!$C$368=1),0,IF(Paths!$P$368="Complete",IF(C3988=0,0,Paths!$S$368*Paths!$R$368),"n.a."))</f>
        <v>0</v>
      </c>
      <c r="T3988" s="1">
        <f>IF(NOT(Paths!$C$368=1),0,IF(Paths!$P$368="Complete",IF(C3988=0,0,VLOOKUP(A3988,'Fleet register'!$A$7:$S$106,9,FALSE)*Paths!$R$368),"n.a."))</f>
        <v>0</v>
      </c>
    </row>
    <row r="3989" spans="1:20" ht="24" customHeight="1">
      <c r="A3989" s="1" t="str">
        <f>Paths!$A$369</f>
        <v>T091</v>
      </c>
      <c r="B3989" s="1">
        <f>Paths!$B$369</f>
        <v>2</v>
      </c>
      <c r="C3989" s="1">
        <v>0</v>
      </c>
      <c r="D3989" s="1">
        <v>369</v>
      </c>
      <c r="E3989" s="1">
        <f>IF(OR(Paths!$C$369=0,C3989=0),0,MAX(0,MIN(C3989*12,Paths!$E$369)-(C3989-1)*12))</f>
        <v>0</v>
      </c>
      <c r="F3989" s="1">
        <f>IF(OR(Paths!$C$369=0,C3989=0),0,12-E3989)</f>
        <v>0</v>
      </c>
      <c r="G3989" s="16">
        <f>IF(NOT(Paths!$C$369=1),0,IF(Paths!$P$369="Complete",E3989/12*(Paths!$J$369*(1+'Operating costs'!$B$51)^MAX(0,C3989-1)+Paths!$K$369*(1+'Operating costs'!$B$53)^MAX(0,C3989-1)),"n.a."))</f>
        <v>0</v>
      </c>
      <c r="H3989" s="16">
        <f>IF(NOT(Paths!$C$369=1),0,IF(Paths!$P$369="Complete",F3989/12*(Paths!$L$369*(1+IF(Paths!$D$369="EV",'Operating costs'!$B$52,'Operating costs'!$B$51))^MAX(0,C3989-1)+Paths!$M$369*(1+'Operating costs'!$B$53)^MAX(0,C3989-1)),"n.a."))</f>
        <v>0</v>
      </c>
      <c r="I3989" s="16">
        <f>IF(NOT(Paths!$C$369=1),0,IF(Paths!$P$369="Complete",IF(IF(Paths!$E$369=0,C3989=0,AND(C3989&gt;0,Paths!$E$369&gt;(C3989-1)*12,Paths!$E$369&lt;=C3989*12)),Paths!$G$369,0),"n.a."))</f>
        <v>0</v>
      </c>
      <c r="J3989" s="16">
        <f>IF(NOT(Paths!$C$369=1),0,IF(Paths!$P$369="Complete",IF(IF(Paths!$E$369=0,C3989=0,AND(C3989&gt;0,Paths!$E$369&gt;(C3989-1)*12,Paths!$E$369&lt;=C3989*12)),Paths!$H$369,0),"n.a."))</f>
        <v>0</v>
      </c>
      <c r="K3989" s="16">
        <f>IF(NOT(Paths!$C$369=1),0,IF(Paths!$P$369="Complete",IF(IF(Paths!$O$369=0,C3989=0,AND(C3989&gt;0,Paths!$O$369&gt;(C3989-1)*12,Paths!$O$369&lt;=C3989*12)),Paths!$N$369,0),"n.a."))</f>
        <v>0</v>
      </c>
      <c r="L3989" s="16">
        <f>IF(NOT(Paths!$C$369=1),0,IF(Paths!$P$369="Complete",IF(C3989=10,Paths!$I$369,0),"n.a."))</f>
        <v>0</v>
      </c>
      <c r="M3989" s="16">
        <f>IF(NOT(Paths!$C$369=1),0,IF(Paths!$P$369="Complete",IF(AND(Paths!$D$369="EV",Paths!$E$369&lt;120,Paths!$E$369+'Operating costs'!$B$65&gt;Paths!$E$369,Paths!$E$369+'Operating costs'!$B$65&lt;=120,IF(Paths!$E$369+'Operating costs'!$B$65=0,C3989=0,AND(C3989&gt;0,Paths!$E$369+'Operating costs'!$B$65&gt;(C3989-1)*12,Paths!$E$369+'Operating costs'!$B$65&lt;=C3989*12))),'Operating costs'!$B$64,0)+IF(AND('Operating costs'!$B$67&gt;0,'Operating costs'!$B$67&lt;=120,OR(Paths!$D$369="ICE",'Operating costs'!$B$67&lt;=Paths!$E$369),IF('Operating costs'!$B$67=0,C3989=0,AND(C3989&gt;0,'Operating costs'!$B$67&gt;(C3989-1)*12,'Operating costs'!$B$67&lt;=C3989*12))),'Operating costs'!$B$66,0),"n.a."))</f>
        <v>0</v>
      </c>
      <c r="N3989" s="16">
        <f>IF(NOT(Paths!$C$369=1),0,IF(Paths!$P$369="Complete",SUM(G3989:I3989)-J3989-K3989-L3989+M3989+IF(C3989=0,Paths!$F$369,0)+IF(IF(Paths!$E$369=0,C3989=0,AND(C3989&gt;0,Paths!$E$369&gt;(C3989-1)*12,Paths!$E$369&lt;=C3989*12)),VLOOKUP(A3989,'Fleet register'!$A$7:$S$106,16,FALSE),0),"n.a."))</f>
        <v>0</v>
      </c>
      <c r="O3989" s="16">
        <f>IF(NOT(Paths!$C$369=1),0,IF(Paths!$P$369="Complete",N3989-IF(C3989=0,Paths!$F$369,0),"n.a."))</f>
        <v>0</v>
      </c>
      <c r="P3989" s="16">
        <f>IF(NOT(Paths!$C$369=1),0,IF(Paths!$P$369="Complete",O3989+L3989,"n.a."))</f>
        <v>0</v>
      </c>
      <c r="Q3989" s="16">
        <f>IF(NOT(Paths!$C$369=1),0,IF(Paths!$P$369="Complete",N3989*(1+'Operating costs'!$B$54)^-C3989,"n.a."))</f>
        <v>0</v>
      </c>
      <c r="R3989" s="16">
        <f>IF(NOT(Paths!$C$369=1),0,IF(Paths!$P$369="Complete",IF(AND(C3989=0,Paths!$E$369=0),I3989-J3989-K3989+VLOOKUP(A3989,'Fleet register'!$A$7:$S$106,15,FALSE)+VLOOKUP(A3989,'Fleet register'!$A$7:$S$106,16,FALSE),0),"n.a."))</f>
        <v>0</v>
      </c>
      <c r="S3989" s="1">
        <f>IF(NOT(Paths!$C$369=1),0,IF(Paths!$P$369="Complete",IF(C3989=0,0,Paths!$S$369*Paths!$R$369),"n.a."))</f>
        <v>0</v>
      </c>
      <c r="T3989" s="1">
        <f>IF(NOT(Paths!$C$369=1),0,IF(Paths!$P$369="Complete",IF(C3989=0,0,VLOOKUP(A3989,'Fleet register'!$A$7:$S$106,9,FALSE)*Paths!$R$369),"n.a."))</f>
        <v>0</v>
      </c>
    </row>
    <row r="3990" spans="1:20" ht="24" customHeight="1">
      <c r="A3990" s="1" t="str">
        <f>Paths!$A$369</f>
        <v>T091</v>
      </c>
      <c r="B3990" s="1">
        <f>Paths!$B$369</f>
        <v>2</v>
      </c>
      <c r="C3990" s="1">
        <v>1</v>
      </c>
      <c r="D3990" s="1">
        <v>369</v>
      </c>
      <c r="E3990" s="1">
        <f>IF(OR(Paths!$C$369=0,C3990=0),0,MAX(0,MIN(C3990*12,Paths!$E$369)-(C3990-1)*12))</f>
        <v>0</v>
      </c>
      <c r="F3990" s="1">
        <f>IF(OR(Paths!$C$369=0,C3990=0),0,12-E3990)</f>
        <v>0</v>
      </c>
      <c r="G3990" s="16">
        <f>IF(NOT(Paths!$C$369=1),0,IF(Paths!$P$369="Complete",E3990/12*(Paths!$J$369*(1+'Operating costs'!$B$51)^MAX(0,C3990-1)+Paths!$K$369*(1+'Operating costs'!$B$53)^MAX(0,C3990-1)),"n.a."))</f>
        <v>0</v>
      </c>
      <c r="H3990" s="16">
        <f>IF(NOT(Paths!$C$369=1),0,IF(Paths!$P$369="Complete",F3990/12*(Paths!$L$369*(1+IF(Paths!$D$369="EV",'Operating costs'!$B$52,'Operating costs'!$B$51))^MAX(0,C3990-1)+Paths!$M$369*(1+'Operating costs'!$B$53)^MAX(0,C3990-1)),"n.a."))</f>
        <v>0</v>
      </c>
      <c r="I3990" s="16">
        <f>IF(NOT(Paths!$C$369=1),0,IF(Paths!$P$369="Complete",IF(IF(Paths!$E$369=0,C3990=0,AND(C3990&gt;0,Paths!$E$369&gt;(C3990-1)*12,Paths!$E$369&lt;=C3990*12)),Paths!$G$369,0),"n.a."))</f>
        <v>0</v>
      </c>
      <c r="J3990" s="16">
        <f>IF(NOT(Paths!$C$369=1),0,IF(Paths!$P$369="Complete",IF(IF(Paths!$E$369=0,C3990=0,AND(C3990&gt;0,Paths!$E$369&gt;(C3990-1)*12,Paths!$E$369&lt;=C3990*12)),Paths!$H$369,0),"n.a."))</f>
        <v>0</v>
      </c>
      <c r="K3990" s="16">
        <f>IF(NOT(Paths!$C$369=1),0,IF(Paths!$P$369="Complete",IF(IF(Paths!$O$369=0,C3990=0,AND(C3990&gt;0,Paths!$O$369&gt;(C3990-1)*12,Paths!$O$369&lt;=C3990*12)),Paths!$N$369,0),"n.a."))</f>
        <v>0</v>
      </c>
      <c r="L3990" s="16">
        <f>IF(NOT(Paths!$C$369=1),0,IF(Paths!$P$369="Complete",IF(C3990=10,Paths!$I$369,0),"n.a."))</f>
        <v>0</v>
      </c>
      <c r="M3990" s="16">
        <f>IF(NOT(Paths!$C$369=1),0,IF(Paths!$P$369="Complete",IF(AND(Paths!$D$369="EV",Paths!$E$369&lt;120,Paths!$E$369+'Operating costs'!$B$65&gt;Paths!$E$369,Paths!$E$369+'Operating costs'!$B$65&lt;=120,IF(Paths!$E$369+'Operating costs'!$B$65=0,C3990=0,AND(C3990&gt;0,Paths!$E$369+'Operating costs'!$B$65&gt;(C3990-1)*12,Paths!$E$369+'Operating costs'!$B$65&lt;=C3990*12))),'Operating costs'!$B$64,0)+IF(AND('Operating costs'!$B$67&gt;0,'Operating costs'!$B$67&lt;=120,OR(Paths!$D$369="ICE",'Operating costs'!$B$67&lt;=Paths!$E$369),IF('Operating costs'!$B$67=0,C3990=0,AND(C3990&gt;0,'Operating costs'!$B$67&gt;(C3990-1)*12,'Operating costs'!$B$67&lt;=C3990*12))),'Operating costs'!$B$66,0),"n.a."))</f>
        <v>0</v>
      </c>
      <c r="N3990" s="16">
        <f>IF(NOT(Paths!$C$369=1),0,IF(Paths!$P$369="Complete",SUM(G3990:I3990)-J3990-K3990-L3990+M3990+IF(C3990=0,Paths!$F$369,0)+IF(IF(Paths!$E$369=0,C3990=0,AND(C3990&gt;0,Paths!$E$369&gt;(C3990-1)*12,Paths!$E$369&lt;=C3990*12)),VLOOKUP(A3990,'Fleet register'!$A$7:$S$106,16,FALSE),0),"n.a."))</f>
        <v>0</v>
      </c>
      <c r="O3990" s="16">
        <f>IF(NOT(Paths!$C$369=1),0,IF(Paths!$P$369="Complete",N3990-IF(C3990=0,Paths!$F$369,0),"n.a."))</f>
        <v>0</v>
      </c>
      <c r="P3990" s="16">
        <f>IF(NOT(Paths!$C$369=1),0,IF(Paths!$P$369="Complete",O3990+L3990,"n.a."))</f>
        <v>0</v>
      </c>
      <c r="Q3990" s="16">
        <f>IF(NOT(Paths!$C$369=1),0,IF(Paths!$P$369="Complete",N3990*(1+'Operating costs'!$B$54)^-C3990,"n.a."))</f>
        <v>0</v>
      </c>
      <c r="R3990" s="16">
        <f>IF(NOT(Paths!$C$369=1),0,IF(Paths!$P$369="Complete",IF(AND(C3990=0,Paths!$E$369=0),I3990-J3990-K3990+VLOOKUP(A3990,'Fleet register'!$A$7:$S$106,15,FALSE)+VLOOKUP(A3990,'Fleet register'!$A$7:$S$106,16,FALSE),0),"n.a."))</f>
        <v>0</v>
      </c>
      <c r="S3990" s="1">
        <f>IF(NOT(Paths!$C$369=1),0,IF(Paths!$P$369="Complete",IF(C3990=0,0,Paths!$S$369*Paths!$R$369),"n.a."))</f>
        <v>0</v>
      </c>
      <c r="T3990" s="1">
        <f>IF(NOT(Paths!$C$369=1),0,IF(Paths!$P$369="Complete",IF(C3990=0,0,VLOOKUP(A3990,'Fleet register'!$A$7:$S$106,9,FALSE)*Paths!$R$369),"n.a."))</f>
        <v>0</v>
      </c>
    </row>
    <row r="3991" spans="1:20" ht="24" customHeight="1">
      <c r="A3991" s="1" t="str">
        <f>Paths!$A$369</f>
        <v>T091</v>
      </c>
      <c r="B3991" s="1">
        <f>Paths!$B$369</f>
        <v>2</v>
      </c>
      <c r="C3991" s="1">
        <v>2</v>
      </c>
      <c r="D3991" s="1">
        <v>369</v>
      </c>
      <c r="E3991" s="1">
        <f>IF(OR(Paths!$C$369=0,C3991=0),0,MAX(0,MIN(C3991*12,Paths!$E$369)-(C3991-1)*12))</f>
        <v>0</v>
      </c>
      <c r="F3991" s="1">
        <f>IF(OR(Paths!$C$369=0,C3991=0),0,12-E3991)</f>
        <v>0</v>
      </c>
      <c r="G3991" s="16">
        <f>IF(NOT(Paths!$C$369=1),0,IF(Paths!$P$369="Complete",E3991/12*(Paths!$J$369*(1+'Operating costs'!$B$51)^MAX(0,C3991-1)+Paths!$K$369*(1+'Operating costs'!$B$53)^MAX(0,C3991-1)),"n.a."))</f>
        <v>0</v>
      </c>
      <c r="H3991" s="16">
        <f>IF(NOT(Paths!$C$369=1),0,IF(Paths!$P$369="Complete",F3991/12*(Paths!$L$369*(1+IF(Paths!$D$369="EV",'Operating costs'!$B$52,'Operating costs'!$B$51))^MAX(0,C3991-1)+Paths!$M$369*(1+'Operating costs'!$B$53)^MAX(0,C3991-1)),"n.a."))</f>
        <v>0</v>
      </c>
      <c r="I3991" s="16">
        <f>IF(NOT(Paths!$C$369=1),0,IF(Paths!$P$369="Complete",IF(IF(Paths!$E$369=0,C3991=0,AND(C3991&gt;0,Paths!$E$369&gt;(C3991-1)*12,Paths!$E$369&lt;=C3991*12)),Paths!$G$369,0),"n.a."))</f>
        <v>0</v>
      </c>
      <c r="J3991" s="16">
        <f>IF(NOT(Paths!$C$369=1),0,IF(Paths!$P$369="Complete",IF(IF(Paths!$E$369=0,C3991=0,AND(C3991&gt;0,Paths!$E$369&gt;(C3991-1)*12,Paths!$E$369&lt;=C3991*12)),Paths!$H$369,0),"n.a."))</f>
        <v>0</v>
      </c>
      <c r="K3991" s="16">
        <f>IF(NOT(Paths!$C$369=1),0,IF(Paths!$P$369="Complete",IF(IF(Paths!$O$369=0,C3991=0,AND(C3991&gt;0,Paths!$O$369&gt;(C3991-1)*12,Paths!$O$369&lt;=C3991*12)),Paths!$N$369,0),"n.a."))</f>
        <v>0</v>
      </c>
      <c r="L3991" s="16">
        <f>IF(NOT(Paths!$C$369=1),0,IF(Paths!$P$369="Complete",IF(C3991=10,Paths!$I$369,0),"n.a."))</f>
        <v>0</v>
      </c>
      <c r="M3991" s="16">
        <f>IF(NOT(Paths!$C$369=1),0,IF(Paths!$P$369="Complete",IF(AND(Paths!$D$369="EV",Paths!$E$369&lt;120,Paths!$E$369+'Operating costs'!$B$65&gt;Paths!$E$369,Paths!$E$369+'Operating costs'!$B$65&lt;=120,IF(Paths!$E$369+'Operating costs'!$B$65=0,C3991=0,AND(C3991&gt;0,Paths!$E$369+'Operating costs'!$B$65&gt;(C3991-1)*12,Paths!$E$369+'Operating costs'!$B$65&lt;=C3991*12))),'Operating costs'!$B$64,0)+IF(AND('Operating costs'!$B$67&gt;0,'Operating costs'!$B$67&lt;=120,OR(Paths!$D$369="ICE",'Operating costs'!$B$67&lt;=Paths!$E$369),IF('Operating costs'!$B$67=0,C3991=0,AND(C3991&gt;0,'Operating costs'!$B$67&gt;(C3991-1)*12,'Operating costs'!$B$67&lt;=C3991*12))),'Operating costs'!$B$66,0),"n.a."))</f>
        <v>0</v>
      </c>
      <c r="N3991" s="16">
        <f>IF(NOT(Paths!$C$369=1),0,IF(Paths!$P$369="Complete",SUM(G3991:I3991)-J3991-K3991-L3991+M3991+IF(C3991=0,Paths!$F$369,0)+IF(IF(Paths!$E$369=0,C3991=0,AND(C3991&gt;0,Paths!$E$369&gt;(C3991-1)*12,Paths!$E$369&lt;=C3991*12)),VLOOKUP(A3991,'Fleet register'!$A$7:$S$106,16,FALSE),0),"n.a."))</f>
        <v>0</v>
      </c>
      <c r="O3991" s="16">
        <f>IF(NOT(Paths!$C$369=1),0,IF(Paths!$P$369="Complete",N3991-IF(C3991=0,Paths!$F$369,0),"n.a."))</f>
        <v>0</v>
      </c>
      <c r="P3991" s="16">
        <f>IF(NOT(Paths!$C$369=1),0,IF(Paths!$P$369="Complete",O3991+L3991,"n.a."))</f>
        <v>0</v>
      </c>
      <c r="Q3991" s="16">
        <f>IF(NOT(Paths!$C$369=1),0,IF(Paths!$P$369="Complete",N3991*(1+'Operating costs'!$B$54)^-C3991,"n.a."))</f>
        <v>0</v>
      </c>
      <c r="R3991" s="16">
        <f>IF(NOT(Paths!$C$369=1),0,IF(Paths!$P$369="Complete",IF(AND(C3991=0,Paths!$E$369=0),I3991-J3991-K3991+VLOOKUP(A3991,'Fleet register'!$A$7:$S$106,15,FALSE)+VLOOKUP(A3991,'Fleet register'!$A$7:$S$106,16,FALSE),0),"n.a."))</f>
        <v>0</v>
      </c>
      <c r="S3991" s="1">
        <f>IF(NOT(Paths!$C$369=1),0,IF(Paths!$P$369="Complete",IF(C3991=0,0,Paths!$S$369*Paths!$R$369),"n.a."))</f>
        <v>0</v>
      </c>
      <c r="T3991" s="1">
        <f>IF(NOT(Paths!$C$369=1),0,IF(Paths!$P$369="Complete",IF(C3991=0,0,VLOOKUP(A3991,'Fleet register'!$A$7:$S$106,9,FALSE)*Paths!$R$369),"n.a."))</f>
        <v>0</v>
      </c>
    </row>
    <row r="3992" spans="1:20" ht="24" customHeight="1">
      <c r="A3992" s="1" t="str">
        <f>Paths!$A$369</f>
        <v>T091</v>
      </c>
      <c r="B3992" s="1">
        <f>Paths!$B$369</f>
        <v>2</v>
      </c>
      <c r="C3992" s="1">
        <v>3</v>
      </c>
      <c r="D3992" s="1">
        <v>369</v>
      </c>
      <c r="E3992" s="1">
        <f>IF(OR(Paths!$C$369=0,C3992=0),0,MAX(0,MIN(C3992*12,Paths!$E$369)-(C3992-1)*12))</f>
        <v>0</v>
      </c>
      <c r="F3992" s="1">
        <f>IF(OR(Paths!$C$369=0,C3992=0),0,12-E3992)</f>
        <v>0</v>
      </c>
      <c r="G3992" s="16">
        <f>IF(NOT(Paths!$C$369=1),0,IF(Paths!$P$369="Complete",E3992/12*(Paths!$J$369*(1+'Operating costs'!$B$51)^MAX(0,C3992-1)+Paths!$K$369*(1+'Operating costs'!$B$53)^MAX(0,C3992-1)),"n.a."))</f>
        <v>0</v>
      </c>
      <c r="H3992" s="16">
        <f>IF(NOT(Paths!$C$369=1),0,IF(Paths!$P$369="Complete",F3992/12*(Paths!$L$369*(1+IF(Paths!$D$369="EV",'Operating costs'!$B$52,'Operating costs'!$B$51))^MAX(0,C3992-1)+Paths!$M$369*(1+'Operating costs'!$B$53)^MAX(0,C3992-1)),"n.a."))</f>
        <v>0</v>
      </c>
      <c r="I3992" s="16">
        <f>IF(NOT(Paths!$C$369=1),0,IF(Paths!$P$369="Complete",IF(IF(Paths!$E$369=0,C3992=0,AND(C3992&gt;0,Paths!$E$369&gt;(C3992-1)*12,Paths!$E$369&lt;=C3992*12)),Paths!$G$369,0),"n.a."))</f>
        <v>0</v>
      </c>
      <c r="J3992" s="16">
        <f>IF(NOT(Paths!$C$369=1),0,IF(Paths!$P$369="Complete",IF(IF(Paths!$E$369=0,C3992=0,AND(C3992&gt;0,Paths!$E$369&gt;(C3992-1)*12,Paths!$E$369&lt;=C3992*12)),Paths!$H$369,0),"n.a."))</f>
        <v>0</v>
      </c>
      <c r="K3992" s="16">
        <f>IF(NOT(Paths!$C$369=1),0,IF(Paths!$P$369="Complete",IF(IF(Paths!$O$369=0,C3992=0,AND(C3992&gt;0,Paths!$O$369&gt;(C3992-1)*12,Paths!$O$369&lt;=C3992*12)),Paths!$N$369,0),"n.a."))</f>
        <v>0</v>
      </c>
      <c r="L3992" s="16">
        <f>IF(NOT(Paths!$C$369=1),0,IF(Paths!$P$369="Complete",IF(C3992=10,Paths!$I$369,0),"n.a."))</f>
        <v>0</v>
      </c>
      <c r="M3992" s="16">
        <f>IF(NOT(Paths!$C$369=1),0,IF(Paths!$P$369="Complete",IF(AND(Paths!$D$369="EV",Paths!$E$369&lt;120,Paths!$E$369+'Operating costs'!$B$65&gt;Paths!$E$369,Paths!$E$369+'Operating costs'!$B$65&lt;=120,IF(Paths!$E$369+'Operating costs'!$B$65=0,C3992=0,AND(C3992&gt;0,Paths!$E$369+'Operating costs'!$B$65&gt;(C3992-1)*12,Paths!$E$369+'Operating costs'!$B$65&lt;=C3992*12))),'Operating costs'!$B$64,0)+IF(AND('Operating costs'!$B$67&gt;0,'Operating costs'!$B$67&lt;=120,OR(Paths!$D$369="ICE",'Operating costs'!$B$67&lt;=Paths!$E$369),IF('Operating costs'!$B$67=0,C3992=0,AND(C3992&gt;0,'Operating costs'!$B$67&gt;(C3992-1)*12,'Operating costs'!$B$67&lt;=C3992*12))),'Operating costs'!$B$66,0),"n.a."))</f>
        <v>0</v>
      </c>
      <c r="N3992" s="16">
        <f>IF(NOT(Paths!$C$369=1),0,IF(Paths!$P$369="Complete",SUM(G3992:I3992)-J3992-K3992-L3992+M3992+IF(C3992=0,Paths!$F$369,0)+IF(IF(Paths!$E$369=0,C3992=0,AND(C3992&gt;0,Paths!$E$369&gt;(C3992-1)*12,Paths!$E$369&lt;=C3992*12)),VLOOKUP(A3992,'Fleet register'!$A$7:$S$106,16,FALSE),0),"n.a."))</f>
        <v>0</v>
      </c>
      <c r="O3992" s="16">
        <f>IF(NOT(Paths!$C$369=1),0,IF(Paths!$P$369="Complete",N3992-IF(C3992=0,Paths!$F$369,0),"n.a."))</f>
        <v>0</v>
      </c>
      <c r="P3992" s="16">
        <f>IF(NOT(Paths!$C$369=1),0,IF(Paths!$P$369="Complete",O3992+L3992,"n.a."))</f>
        <v>0</v>
      </c>
      <c r="Q3992" s="16">
        <f>IF(NOT(Paths!$C$369=1),0,IF(Paths!$P$369="Complete",N3992*(1+'Operating costs'!$B$54)^-C3992,"n.a."))</f>
        <v>0</v>
      </c>
      <c r="R3992" s="16">
        <f>IF(NOT(Paths!$C$369=1),0,IF(Paths!$P$369="Complete",IF(AND(C3992=0,Paths!$E$369=0),I3992-J3992-K3992+VLOOKUP(A3992,'Fleet register'!$A$7:$S$106,15,FALSE)+VLOOKUP(A3992,'Fleet register'!$A$7:$S$106,16,FALSE),0),"n.a."))</f>
        <v>0</v>
      </c>
      <c r="S3992" s="1">
        <f>IF(NOT(Paths!$C$369=1),0,IF(Paths!$P$369="Complete",IF(C3992=0,0,Paths!$S$369*Paths!$R$369),"n.a."))</f>
        <v>0</v>
      </c>
      <c r="T3992" s="1">
        <f>IF(NOT(Paths!$C$369=1),0,IF(Paths!$P$369="Complete",IF(C3992=0,0,VLOOKUP(A3992,'Fleet register'!$A$7:$S$106,9,FALSE)*Paths!$R$369),"n.a."))</f>
        <v>0</v>
      </c>
    </row>
    <row r="3993" spans="1:20" ht="24" customHeight="1">
      <c r="A3993" s="1" t="str">
        <f>Paths!$A$369</f>
        <v>T091</v>
      </c>
      <c r="B3993" s="1">
        <f>Paths!$B$369</f>
        <v>2</v>
      </c>
      <c r="C3993" s="1">
        <v>4</v>
      </c>
      <c r="D3993" s="1">
        <v>369</v>
      </c>
      <c r="E3993" s="1">
        <f>IF(OR(Paths!$C$369=0,C3993=0),0,MAX(0,MIN(C3993*12,Paths!$E$369)-(C3993-1)*12))</f>
        <v>0</v>
      </c>
      <c r="F3993" s="1">
        <f>IF(OR(Paths!$C$369=0,C3993=0),0,12-E3993)</f>
        <v>0</v>
      </c>
      <c r="G3993" s="16">
        <f>IF(NOT(Paths!$C$369=1),0,IF(Paths!$P$369="Complete",E3993/12*(Paths!$J$369*(1+'Operating costs'!$B$51)^MAX(0,C3993-1)+Paths!$K$369*(1+'Operating costs'!$B$53)^MAX(0,C3993-1)),"n.a."))</f>
        <v>0</v>
      </c>
      <c r="H3993" s="16">
        <f>IF(NOT(Paths!$C$369=1),0,IF(Paths!$P$369="Complete",F3993/12*(Paths!$L$369*(1+IF(Paths!$D$369="EV",'Operating costs'!$B$52,'Operating costs'!$B$51))^MAX(0,C3993-1)+Paths!$M$369*(1+'Operating costs'!$B$53)^MAX(0,C3993-1)),"n.a."))</f>
        <v>0</v>
      </c>
      <c r="I3993" s="16">
        <f>IF(NOT(Paths!$C$369=1),0,IF(Paths!$P$369="Complete",IF(IF(Paths!$E$369=0,C3993=0,AND(C3993&gt;0,Paths!$E$369&gt;(C3993-1)*12,Paths!$E$369&lt;=C3993*12)),Paths!$G$369,0),"n.a."))</f>
        <v>0</v>
      </c>
      <c r="J3993" s="16">
        <f>IF(NOT(Paths!$C$369=1),0,IF(Paths!$P$369="Complete",IF(IF(Paths!$E$369=0,C3993=0,AND(C3993&gt;0,Paths!$E$369&gt;(C3993-1)*12,Paths!$E$369&lt;=C3993*12)),Paths!$H$369,0),"n.a."))</f>
        <v>0</v>
      </c>
      <c r="K3993" s="16">
        <f>IF(NOT(Paths!$C$369=1),0,IF(Paths!$P$369="Complete",IF(IF(Paths!$O$369=0,C3993=0,AND(C3993&gt;0,Paths!$O$369&gt;(C3993-1)*12,Paths!$O$369&lt;=C3993*12)),Paths!$N$369,0),"n.a."))</f>
        <v>0</v>
      </c>
      <c r="L3993" s="16">
        <f>IF(NOT(Paths!$C$369=1),0,IF(Paths!$P$369="Complete",IF(C3993=10,Paths!$I$369,0),"n.a."))</f>
        <v>0</v>
      </c>
      <c r="M3993" s="16">
        <f>IF(NOT(Paths!$C$369=1),0,IF(Paths!$P$369="Complete",IF(AND(Paths!$D$369="EV",Paths!$E$369&lt;120,Paths!$E$369+'Operating costs'!$B$65&gt;Paths!$E$369,Paths!$E$369+'Operating costs'!$B$65&lt;=120,IF(Paths!$E$369+'Operating costs'!$B$65=0,C3993=0,AND(C3993&gt;0,Paths!$E$369+'Operating costs'!$B$65&gt;(C3993-1)*12,Paths!$E$369+'Operating costs'!$B$65&lt;=C3993*12))),'Operating costs'!$B$64,0)+IF(AND('Operating costs'!$B$67&gt;0,'Operating costs'!$B$67&lt;=120,OR(Paths!$D$369="ICE",'Operating costs'!$B$67&lt;=Paths!$E$369),IF('Operating costs'!$B$67=0,C3993=0,AND(C3993&gt;0,'Operating costs'!$B$67&gt;(C3993-1)*12,'Operating costs'!$B$67&lt;=C3993*12))),'Operating costs'!$B$66,0),"n.a."))</f>
        <v>0</v>
      </c>
      <c r="N3993" s="16">
        <f>IF(NOT(Paths!$C$369=1),0,IF(Paths!$P$369="Complete",SUM(G3993:I3993)-J3993-K3993-L3993+M3993+IF(C3993=0,Paths!$F$369,0)+IF(IF(Paths!$E$369=0,C3993=0,AND(C3993&gt;0,Paths!$E$369&gt;(C3993-1)*12,Paths!$E$369&lt;=C3993*12)),VLOOKUP(A3993,'Fleet register'!$A$7:$S$106,16,FALSE),0),"n.a."))</f>
        <v>0</v>
      </c>
      <c r="O3993" s="16">
        <f>IF(NOT(Paths!$C$369=1),0,IF(Paths!$P$369="Complete",N3993-IF(C3993=0,Paths!$F$369,0),"n.a."))</f>
        <v>0</v>
      </c>
      <c r="P3993" s="16">
        <f>IF(NOT(Paths!$C$369=1),0,IF(Paths!$P$369="Complete",O3993+L3993,"n.a."))</f>
        <v>0</v>
      </c>
      <c r="Q3993" s="16">
        <f>IF(NOT(Paths!$C$369=1),0,IF(Paths!$P$369="Complete",N3993*(1+'Operating costs'!$B$54)^-C3993,"n.a."))</f>
        <v>0</v>
      </c>
      <c r="R3993" s="16">
        <f>IF(NOT(Paths!$C$369=1),0,IF(Paths!$P$369="Complete",IF(AND(C3993=0,Paths!$E$369=0),I3993-J3993-K3993+VLOOKUP(A3993,'Fleet register'!$A$7:$S$106,15,FALSE)+VLOOKUP(A3993,'Fleet register'!$A$7:$S$106,16,FALSE),0),"n.a."))</f>
        <v>0</v>
      </c>
      <c r="S3993" s="1">
        <f>IF(NOT(Paths!$C$369=1),0,IF(Paths!$P$369="Complete",IF(C3993=0,0,Paths!$S$369*Paths!$R$369),"n.a."))</f>
        <v>0</v>
      </c>
      <c r="T3993" s="1">
        <f>IF(NOT(Paths!$C$369=1),0,IF(Paths!$P$369="Complete",IF(C3993=0,0,VLOOKUP(A3993,'Fleet register'!$A$7:$S$106,9,FALSE)*Paths!$R$369),"n.a."))</f>
        <v>0</v>
      </c>
    </row>
    <row r="3994" spans="1:20" ht="24" customHeight="1">
      <c r="A3994" s="1" t="str">
        <f>Paths!$A$369</f>
        <v>T091</v>
      </c>
      <c r="B3994" s="1">
        <f>Paths!$B$369</f>
        <v>2</v>
      </c>
      <c r="C3994" s="1">
        <v>5</v>
      </c>
      <c r="D3994" s="1">
        <v>369</v>
      </c>
      <c r="E3994" s="1">
        <f>IF(OR(Paths!$C$369=0,C3994=0),0,MAX(0,MIN(C3994*12,Paths!$E$369)-(C3994-1)*12))</f>
        <v>0</v>
      </c>
      <c r="F3994" s="1">
        <f>IF(OR(Paths!$C$369=0,C3994=0),0,12-E3994)</f>
        <v>0</v>
      </c>
      <c r="G3994" s="16">
        <f>IF(NOT(Paths!$C$369=1),0,IF(Paths!$P$369="Complete",E3994/12*(Paths!$J$369*(1+'Operating costs'!$B$51)^MAX(0,C3994-1)+Paths!$K$369*(1+'Operating costs'!$B$53)^MAX(0,C3994-1)),"n.a."))</f>
        <v>0</v>
      </c>
      <c r="H3994" s="16">
        <f>IF(NOT(Paths!$C$369=1),0,IF(Paths!$P$369="Complete",F3994/12*(Paths!$L$369*(1+IF(Paths!$D$369="EV",'Operating costs'!$B$52,'Operating costs'!$B$51))^MAX(0,C3994-1)+Paths!$M$369*(1+'Operating costs'!$B$53)^MAX(0,C3994-1)),"n.a."))</f>
        <v>0</v>
      </c>
      <c r="I3994" s="16">
        <f>IF(NOT(Paths!$C$369=1),0,IF(Paths!$P$369="Complete",IF(IF(Paths!$E$369=0,C3994=0,AND(C3994&gt;0,Paths!$E$369&gt;(C3994-1)*12,Paths!$E$369&lt;=C3994*12)),Paths!$G$369,0),"n.a."))</f>
        <v>0</v>
      </c>
      <c r="J3994" s="16">
        <f>IF(NOT(Paths!$C$369=1),0,IF(Paths!$P$369="Complete",IF(IF(Paths!$E$369=0,C3994=0,AND(C3994&gt;0,Paths!$E$369&gt;(C3994-1)*12,Paths!$E$369&lt;=C3994*12)),Paths!$H$369,0),"n.a."))</f>
        <v>0</v>
      </c>
      <c r="K3994" s="16">
        <f>IF(NOT(Paths!$C$369=1),0,IF(Paths!$P$369="Complete",IF(IF(Paths!$O$369=0,C3994=0,AND(C3994&gt;0,Paths!$O$369&gt;(C3994-1)*12,Paths!$O$369&lt;=C3994*12)),Paths!$N$369,0),"n.a."))</f>
        <v>0</v>
      </c>
      <c r="L3994" s="16">
        <f>IF(NOT(Paths!$C$369=1),0,IF(Paths!$P$369="Complete",IF(C3994=10,Paths!$I$369,0),"n.a."))</f>
        <v>0</v>
      </c>
      <c r="M3994" s="16">
        <f>IF(NOT(Paths!$C$369=1),0,IF(Paths!$P$369="Complete",IF(AND(Paths!$D$369="EV",Paths!$E$369&lt;120,Paths!$E$369+'Operating costs'!$B$65&gt;Paths!$E$369,Paths!$E$369+'Operating costs'!$B$65&lt;=120,IF(Paths!$E$369+'Operating costs'!$B$65=0,C3994=0,AND(C3994&gt;0,Paths!$E$369+'Operating costs'!$B$65&gt;(C3994-1)*12,Paths!$E$369+'Operating costs'!$B$65&lt;=C3994*12))),'Operating costs'!$B$64,0)+IF(AND('Operating costs'!$B$67&gt;0,'Operating costs'!$B$67&lt;=120,OR(Paths!$D$369="ICE",'Operating costs'!$B$67&lt;=Paths!$E$369),IF('Operating costs'!$B$67=0,C3994=0,AND(C3994&gt;0,'Operating costs'!$B$67&gt;(C3994-1)*12,'Operating costs'!$B$67&lt;=C3994*12))),'Operating costs'!$B$66,0),"n.a."))</f>
        <v>0</v>
      </c>
      <c r="N3994" s="16">
        <f>IF(NOT(Paths!$C$369=1),0,IF(Paths!$P$369="Complete",SUM(G3994:I3994)-J3994-K3994-L3994+M3994+IF(C3994=0,Paths!$F$369,0)+IF(IF(Paths!$E$369=0,C3994=0,AND(C3994&gt;0,Paths!$E$369&gt;(C3994-1)*12,Paths!$E$369&lt;=C3994*12)),VLOOKUP(A3994,'Fleet register'!$A$7:$S$106,16,FALSE),0),"n.a."))</f>
        <v>0</v>
      </c>
      <c r="O3994" s="16">
        <f>IF(NOT(Paths!$C$369=1),0,IF(Paths!$P$369="Complete",N3994-IF(C3994=0,Paths!$F$369,0),"n.a."))</f>
        <v>0</v>
      </c>
      <c r="P3994" s="16">
        <f>IF(NOT(Paths!$C$369=1),0,IF(Paths!$P$369="Complete",O3994+L3994,"n.a."))</f>
        <v>0</v>
      </c>
      <c r="Q3994" s="16">
        <f>IF(NOT(Paths!$C$369=1),0,IF(Paths!$P$369="Complete",N3994*(1+'Operating costs'!$B$54)^-C3994,"n.a."))</f>
        <v>0</v>
      </c>
      <c r="R3994" s="16">
        <f>IF(NOT(Paths!$C$369=1),0,IF(Paths!$P$369="Complete",IF(AND(C3994=0,Paths!$E$369=0),I3994-J3994-K3994+VLOOKUP(A3994,'Fleet register'!$A$7:$S$106,15,FALSE)+VLOOKUP(A3994,'Fleet register'!$A$7:$S$106,16,FALSE),0),"n.a."))</f>
        <v>0</v>
      </c>
      <c r="S3994" s="1">
        <f>IF(NOT(Paths!$C$369=1),0,IF(Paths!$P$369="Complete",IF(C3994=0,0,Paths!$S$369*Paths!$R$369),"n.a."))</f>
        <v>0</v>
      </c>
      <c r="T3994" s="1">
        <f>IF(NOT(Paths!$C$369=1),0,IF(Paths!$P$369="Complete",IF(C3994=0,0,VLOOKUP(A3994,'Fleet register'!$A$7:$S$106,9,FALSE)*Paths!$R$369),"n.a."))</f>
        <v>0</v>
      </c>
    </row>
    <row r="3995" spans="1:20" ht="24" customHeight="1">
      <c r="A3995" s="1" t="str">
        <f>Paths!$A$369</f>
        <v>T091</v>
      </c>
      <c r="B3995" s="1">
        <f>Paths!$B$369</f>
        <v>2</v>
      </c>
      <c r="C3995" s="1">
        <v>6</v>
      </c>
      <c r="D3995" s="1">
        <v>369</v>
      </c>
      <c r="E3995" s="1">
        <f>IF(OR(Paths!$C$369=0,C3995=0),0,MAX(0,MIN(C3995*12,Paths!$E$369)-(C3995-1)*12))</f>
        <v>0</v>
      </c>
      <c r="F3995" s="1">
        <f>IF(OR(Paths!$C$369=0,C3995=0),0,12-E3995)</f>
        <v>0</v>
      </c>
      <c r="G3995" s="16">
        <f>IF(NOT(Paths!$C$369=1),0,IF(Paths!$P$369="Complete",E3995/12*(Paths!$J$369*(1+'Operating costs'!$B$51)^MAX(0,C3995-1)+Paths!$K$369*(1+'Operating costs'!$B$53)^MAX(0,C3995-1)),"n.a."))</f>
        <v>0</v>
      </c>
      <c r="H3995" s="16">
        <f>IF(NOT(Paths!$C$369=1),0,IF(Paths!$P$369="Complete",F3995/12*(Paths!$L$369*(1+IF(Paths!$D$369="EV",'Operating costs'!$B$52,'Operating costs'!$B$51))^MAX(0,C3995-1)+Paths!$M$369*(1+'Operating costs'!$B$53)^MAX(0,C3995-1)),"n.a."))</f>
        <v>0</v>
      </c>
      <c r="I3995" s="16">
        <f>IF(NOT(Paths!$C$369=1),0,IF(Paths!$P$369="Complete",IF(IF(Paths!$E$369=0,C3995=0,AND(C3995&gt;0,Paths!$E$369&gt;(C3995-1)*12,Paths!$E$369&lt;=C3995*12)),Paths!$G$369,0),"n.a."))</f>
        <v>0</v>
      </c>
      <c r="J3995" s="16">
        <f>IF(NOT(Paths!$C$369=1),0,IF(Paths!$P$369="Complete",IF(IF(Paths!$E$369=0,C3995=0,AND(C3995&gt;0,Paths!$E$369&gt;(C3995-1)*12,Paths!$E$369&lt;=C3995*12)),Paths!$H$369,0),"n.a."))</f>
        <v>0</v>
      </c>
      <c r="K3995" s="16">
        <f>IF(NOT(Paths!$C$369=1),0,IF(Paths!$P$369="Complete",IF(IF(Paths!$O$369=0,C3995=0,AND(C3995&gt;0,Paths!$O$369&gt;(C3995-1)*12,Paths!$O$369&lt;=C3995*12)),Paths!$N$369,0),"n.a."))</f>
        <v>0</v>
      </c>
      <c r="L3995" s="16">
        <f>IF(NOT(Paths!$C$369=1),0,IF(Paths!$P$369="Complete",IF(C3995=10,Paths!$I$369,0),"n.a."))</f>
        <v>0</v>
      </c>
      <c r="M3995" s="16">
        <f>IF(NOT(Paths!$C$369=1),0,IF(Paths!$P$369="Complete",IF(AND(Paths!$D$369="EV",Paths!$E$369&lt;120,Paths!$E$369+'Operating costs'!$B$65&gt;Paths!$E$369,Paths!$E$369+'Operating costs'!$B$65&lt;=120,IF(Paths!$E$369+'Operating costs'!$B$65=0,C3995=0,AND(C3995&gt;0,Paths!$E$369+'Operating costs'!$B$65&gt;(C3995-1)*12,Paths!$E$369+'Operating costs'!$B$65&lt;=C3995*12))),'Operating costs'!$B$64,0)+IF(AND('Operating costs'!$B$67&gt;0,'Operating costs'!$B$67&lt;=120,OR(Paths!$D$369="ICE",'Operating costs'!$B$67&lt;=Paths!$E$369),IF('Operating costs'!$B$67=0,C3995=0,AND(C3995&gt;0,'Operating costs'!$B$67&gt;(C3995-1)*12,'Operating costs'!$B$67&lt;=C3995*12))),'Operating costs'!$B$66,0),"n.a."))</f>
        <v>0</v>
      </c>
      <c r="N3995" s="16">
        <f>IF(NOT(Paths!$C$369=1),0,IF(Paths!$P$369="Complete",SUM(G3995:I3995)-J3995-K3995-L3995+M3995+IF(C3995=0,Paths!$F$369,0)+IF(IF(Paths!$E$369=0,C3995=0,AND(C3995&gt;0,Paths!$E$369&gt;(C3995-1)*12,Paths!$E$369&lt;=C3995*12)),VLOOKUP(A3995,'Fleet register'!$A$7:$S$106,16,FALSE),0),"n.a."))</f>
        <v>0</v>
      </c>
      <c r="O3995" s="16">
        <f>IF(NOT(Paths!$C$369=1),0,IF(Paths!$P$369="Complete",N3995-IF(C3995=0,Paths!$F$369,0),"n.a."))</f>
        <v>0</v>
      </c>
      <c r="P3995" s="16">
        <f>IF(NOT(Paths!$C$369=1),0,IF(Paths!$P$369="Complete",O3995+L3995,"n.a."))</f>
        <v>0</v>
      </c>
      <c r="Q3995" s="16">
        <f>IF(NOT(Paths!$C$369=1),0,IF(Paths!$P$369="Complete",N3995*(1+'Operating costs'!$B$54)^-C3995,"n.a."))</f>
        <v>0</v>
      </c>
      <c r="R3995" s="16">
        <f>IF(NOT(Paths!$C$369=1),0,IF(Paths!$P$369="Complete",IF(AND(C3995=0,Paths!$E$369=0),I3995-J3995-K3995+VLOOKUP(A3995,'Fleet register'!$A$7:$S$106,15,FALSE)+VLOOKUP(A3995,'Fleet register'!$A$7:$S$106,16,FALSE),0),"n.a."))</f>
        <v>0</v>
      </c>
      <c r="S3995" s="1">
        <f>IF(NOT(Paths!$C$369=1),0,IF(Paths!$P$369="Complete",IF(C3995=0,0,Paths!$S$369*Paths!$R$369),"n.a."))</f>
        <v>0</v>
      </c>
      <c r="T3995" s="1">
        <f>IF(NOT(Paths!$C$369=1),0,IF(Paths!$P$369="Complete",IF(C3995=0,0,VLOOKUP(A3995,'Fleet register'!$A$7:$S$106,9,FALSE)*Paths!$R$369),"n.a."))</f>
        <v>0</v>
      </c>
    </row>
    <row r="3996" spans="1:20" ht="24" customHeight="1">
      <c r="A3996" s="1" t="str">
        <f>Paths!$A$369</f>
        <v>T091</v>
      </c>
      <c r="B3996" s="1">
        <f>Paths!$B$369</f>
        <v>2</v>
      </c>
      <c r="C3996" s="1">
        <v>7</v>
      </c>
      <c r="D3996" s="1">
        <v>369</v>
      </c>
      <c r="E3996" s="1">
        <f>IF(OR(Paths!$C$369=0,C3996=0),0,MAX(0,MIN(C3996*12,Paths!$E$369)-(C3996-1)*12))</f>
        <v>0</v>
      </c>
      <c r="F3996" s="1">
        <f>IF(OR(Paths!$C$369=0,C3996=0),0,12-E3996)</f>
        <v>0</v>
      </c>
      <c r="G3996" s="16">
        <f>IF(NOT(Paths!$C$369=1),0,IF(Paths!$P$369="Complete",E3996/12*(Paths!$J$369*(1+'Operating costs'!$B$51)^MAX(0,C3996-1)+Paths!$K$369*(1+'Operating costs'!$B$53)^MAX(0,C3996-1)),"n.a."))</f>
        <v>0</v>
      </c>
      <c r="H3996" s="16">
        <f>IF(NOT(Paths!$C$369=1),0,IF(Paths!$P$369="Complete",F3996/12*(Paths!$L$369*(1+IF(Paths!$D$369="EV",'Operating costs'!$B$52,'Operating costs'!$B$51))^MAX(0,C3996-1)+Paths!$M$369*(1+'Operating costs'!$B$53)^MAX(0,C3996-1)),"n.a."))</f>
        <v>0</v>
      </c>
      <c r="I3996" s="16">
        <f>IF(NOT(Paths!$C$369=1),0,IF(Paths!$P$369="Complete",IF(IF(Paths!$E$369=0,C3996=0,AND(C3996&gt;0,Paths!$E$369&gt;(C3996-1)*12,Paths!$E$369&lt;=C3996*12)),Paths!$G$369,0),"n.a."))</f>
        <v>0</v>
      </c>
      <c r="J3996" s="16">
        <f>IF(NOT(Paths!$C$369=1),0,IF(Paths!$P$369="Complete",IF(IF(Paths!$E$369=0,C3996=0,AND(C3996&gt;0,Paths!$E$369&gt;(C3996-1)*12,Paths!$E$369&lt;=C3996*12)),Paths!$H$369,0),"n.a."))</f>
        <v>0</v>
      </c>
      <c r="K3996" s="16">
        <f>IF(NOT(Paths!$C$369=1),0,IF(Paths!$P$369="Complete",IF(IF(Paths!$O$369=0,C3996=0,AND(C3996&gt;0,Paths!$O$369&gt;(C3996-1)*12,Paths!$O$369&lt;=C3996*12)),Paths!$N$369,0),"n.a."))</f>
        <v>0</v>
      </c>
      <c r="L3996" s="16">
        <f>IF(NOT(Paths!$C$369=1),0,IF(Paths!$P$369="Complete",IF(C3996=10,Paths!$I$369,0),"n.a."))</f>
        <v>0</v>
      </c>
      <c r="M3996" s="16">
        <f>IF(NOT(Paths!$C$369=1),0,IF(Paths!$P$369="Complete",IF(AND(Paths!$D$369="EV",Paths!$E$369&lt;120,Paths!$E$369+'Operating costs'!$B$65&gt;Paths!$E$369,Paths!$E$369+'Operating costs'!$B$65&lt;=120,IF(Paths!$E$369+'Operating costs'!$B$65=0,C3996=0,AND(C3996&gt;0,Paths!$E$369+'Operating costs'!$B$65&gt;(C3996-1)*12,Paths!$E$369+'Operating costs'!$B$65&lt;=C3996*12))),'Operating costs'!$B$64,0)+IF(AND('Operating costs'!$B$67&gt;0,'Operating costs'!$B$67&lt;=120,OR(Paths!$D$369="ICE",'Operating costs'!$B$67&lt;=Paths!$E$369),IF('Operating costs'!$B$67=0,C3996=0,AND(C3996&gt;0,'Operating costs'!$B$67&gt;(C3996-1)*12,'Operating costs'!$B$67&lt;=C3996*12))),'Operating costs'!$B$66,0),"n.a."))</f>
        <v>0</v>
      </c>
      <c r="N3996" s="16">
        <f>IF(NOT(Paths!$C$369=1),0,IF(Paths!$P$369="Complete",SUM(G3996:I3996)-J3996-K3996-L3996+M3996+IF(C3996=0,Paths!$F$369,0)+IF(IF(Paths!$E$369=0,C3996=0,AND(C3996&gt;0,Paths!$E$369&gt;(C3996-1)*12,Paths!$E$369&lt;=C3996*12)),VLOOKUP(A3996,'Fleet register'!$A$7:$S$106,16,FALSE),0),"n.a."))</f>
        <v>0</v>
      </c>
      <c r="O3996" s="16">
        <f>IF(NOT(Paths!$C$369=1),0,IF(Paths!$P$369="Complete",N3996-IF(C3996=0,Paths!$F$369,0),"n.a."))</f>
        <v>0</v>
      </c>
      <c r="P3996" s="16">
        <f>IF(NOT(Paths!$C$369=1),0,IF(Paths!$P$369="Complete",O3996+L3996,"n.a."))</f>
        <v>0</v>
      </c>
      <c r="Q3996" s="16">
        <f>IF(NOT(Paths!$C$369=1),0,IF(Paths!$P$369="Complete",N3996*(1+'Operating costs'!$B$54)^-C3996,"n.a."))</f>
        <v>0</v>
      </c>
      <c r="R3996" s="16">
        <f>IF(NOT(Paths!$C$369=1),0,IF(Paths!$P$369="Complete",IF(AND(C3996=0,Paths!$E$369=0),I3996-J3996-K3996+VLOOKUP(A3996,'Fleet register'!$A$7:$S$106,15,FALSE)+VLOOKUP(A3996,'Fleet register'!$A$7:$S$106,16,FALSE),0),"n.a."))</f>
        <v>0</v>
      </c>
      <c r="S3996" s="1">
        <f>IF(NOT(Paths!$C$369=1),0,IF(Paths!$P$369="Complete",IF(C3996=0,0,Paths!$S$369*Paths!$R$369),"n.a."))</f>
        <v>0</v>
      </c>
      <c r="T3996" s="1">
        <f>IF(NOT(Paths!$C$369=1),0,IF(Paths!$P$369="Complete",IF(C3996=0,0,VLOOKUP(A3996,'Fleet register'!$A$7:$S$106,9,FALSE)*Paths!$R$369),"n.a."))</f>
        <v>0</v>
      </c>
    </row>
    <row r="3997" spans="1:20" ht="24" customHeight="1">
      <c r="A3997" s="1" t="str">
        <f>Paths!$A$369</f>
        <v>T091</v>
      </c>
      <c r="B3997" s="1">
        <f>Paths!$B$369</f>
        <v>2</v>
      </c>
      <c r="C3997" s="1">
        <v>8</v>
      </c>
      <c r="D3997" s="1">
        <v>369</v>
      </c>
      <c r="E3997" s="1">
        <f>IF(OR(Paths!$C$369=0,C3997=0),0,MAX(0,MIN(C3997*12,Paths!$E$369)-(C3997-1)*12))</f>
        <v>0</v>
      </c>
      <c r="F3997" s="1">
        <f>IF(OR(Paths!$C$369=0,C3997=0),0,12-E3997)</f>
        <v>0</v>
      </c>
      <c r="G3997" s="16">
        <f>IF(NOT(Paths!$C$369=1),0,IF(Paths!$P$369="Complete",E3997/12*(Paths!$J$369*(1+'Operating costs'!$B$51)^MAX(0,C3997-1)+Paths!$K$369*(1+'Operating costs'!$B$53)^MAX(0,C3997-1)),"n.a."))</f>
        <v>0</v>
      </c>
      <c r="H3997" s="16">
        <f>IF(NOT(Paths!$C$369=1),0,IF(Paths!$P$369="Complete",F3997/12*(Paths!$L$369*(1+IF(Paths!$D$369="EV",'Operating costs'!$B$52,'Operating costs'!$B$51))^MAX(0,C3997-1)+Paths!$M$369*(1+'Operating costs'!$B$53)^MAX(0,C3997-1)),"n.a."))</f>
        <v>0</v>
      </c>
      <c r="I3997" s="16">
        <f>IF(NOT(Paths!$C$369=1),0,IF(Paths!$P$369="Complete",IF(IF(Paths!$E$369=0,C3997=0,AND(C3997&gt;0,Paths!$E$369&gt;(C3997-1)*12,Paths!$E$369&lt;=C3997*12)),Paths!$G$369,0),"n.a."))</f>
        <v>0</v>
      </c>
      <c r="J3997" s="16">
        <f>IF(NOT(Paths!$C$369=1),0,IF(Paths!$P$369="Complete",IF(IF(Paths!$E$369=0,C3997=0,AND(C3997&gt;0,Paths!$E$369&gt;(C3997-1)*12,Paths!$E$369&lt;=C3997*12)),Paths!$H$369,0),"n.a."))</f>
        <v>0</v>
      </c>
      <c r="K3997" s="16">
        <f>IF(NOT(Paths!$C$369=1),0,IF(Paths!$P$369="Complete",IF(IF(Paths!$O$369=0,C3997=0,AND(C3997&gt;0,Paths!$O$369&gt;(C3997-1)*12,Paths!$O$369&lt;=C3997*12)),Paths!$N$369,0),"n.a."))</f>
        <v>0</v>
      </c>
      <c r="L3997" s="16">
        <f>IF(NOT(Paths!$C$369=1),0,IF(Paths!$P$369="Complete",IF(C3997=10,Paths!$I$369,0),"n.a."))</f>
        <v>0</v>
      </c>
      <c r="M3997" s="16">
        <f>IF(NOT(Paths!$C$369=1),0,IF(Paths!$P$369="Complete",IF(AND(Paths!$D$369="EV",Paths!$E$369&lt;120,Paths!$E$369+'Operating costs'!$B$65&gt;Paths!$E$369,Paths!$E$369+'Operating costs'!$B$65&lt;=120,IF(Paths!$E$369+'Operating costs'!$B$65=0,C3997=0,AND(C3997&gt;0,Paths!$E$369+'Operating costs'!$B$65&gt;(C3997-1)*12,Paths!$E$369+'Operating costs'!$B$65&lt;=C3997*12))),'Operating costs'!$B$64,0)+IF(AND('Operating costs'!$B$67&gt;0,'Operating costs'!$B$67&lt;=120,OR(Paths!$D$369="ICE",'Operating costs'!$B$67&lt;=Paths!$E$369),IF('Operating costs'!$B$67=0,C3997=0,AND(C3997&gt;0,'Operating costs'!$B$67&gt;(C3997-1)*12,'Operating costs'!$B$67&lt;=C3997*12))),'Operating costs'!$B$66,0),"n.a."))</f>
        <v>0</v>
      </c>
      <c r="N3997" s="16">
        <f>IF(NOT(Paths!$C$369=1),0,IF(Paths!$P$369="Complete",SUM(G3997:I3997)-J3997-K3997-L3997+M3997+IF(C3997=0,Paths!$F$369,0)+IF(IF(Paths!$E$369=0,C3997=0,AND(C3997&gt;0,Paths!$E$369&gt;(C3997-1)*12,Paths!$E$369&lt;=C3997*12)),VLOOKUP(A3997,'Fleet register'!$A$7:$S$106,16,FALSE),0),"n.a."))</f>
        <v>0</v>
      </c>
      <c r="O3997" s="16">
        <f>IF(NOT(Paths!$C$369=1),0,IF(Paths!$P$369="Complete",N3997-IF(C3997=0,Paths!$F$369,0),"n.a."))</f>
        <v>0</v>
      </c>
      <c r="P3997" s="16">
        <f>IF(NOT(Paths!$C$369=1),0,IF(Paths!$P$369="Complete",O3997+L3997,"n.a."))</f>
        <v>0</v>
      </c>
      <c r="Q3997" s="16">
        <f>IF(NOT(Paths!$C$369=1),0,IF(Paths!$P$369="Complete",N3997*(1+'Operating costs'!$B$54)^-C3997,"n.a."))</f>
        <v>0</v>
      </c>
      <c r="R3997" s="16">
        <f>IF(NOT(Paths!$C$369=1),0,IF(Paths!$P$369="Complete",IF(AND(C3997=0,Paths!$E$369=0),I3997-J3997-K3997+VLOOKUP(A3997,'Fleet register'!$A$7:$S$106,15,FALSE)+VLOOKUP(A3997,'Fleet register'!$A$7:$S$106,16,FALSE),0),"n.a."))</f>
        <v>0</v>
      </c>
      <c r="S3997" s="1">
        <f>IF(NOT(Paths!$C$369=1),0,IF(Paths!$P$369="Complete",IF(C3997=0,0,Paths!$S$369*Paths!$R$369),"n.a."))</f>
        <v>0</v>
      </c>
      <c r="T3997" s="1">
        <f>IF(NOT(Paths!$C$369=1),0,IF(Paths!$P$369="Complete",IF(C3997=0,0,VLOOKUP(A3997,'Fleet register'!$A$7:$S$106,9,FALSE)*Paths!$R$369),"n.a."))</f>
        <v>0</v>
      </c>
    </row>
    <row r="3998" spans="1:20" ht="24" customHeight="1">
      <c r="A3998" s="1" t="str">
        <f>Paths!$A$369</f>
        <v>T091</v>
      </c>
      <c r="B3998" s="1">
        <f>Paths!$B$369</f>
        <v>2</v>
      </c>
      <c r="C3998" s="1">
        <v>9</v>
      </c>
      <c r="D3998" s="1">
        <v>369</v>
      </c>
      <c r="E3998" s="1">
        <f>IF(OR(Paths!$C$369=0,C3998=0),0,MAX(0,MIN(C3998*12,Paths!$E$369)-(C3998-1)*12))</f>
        <v>0</v>
      </c>
      <c r="F3998" s="1">
        <f>IF(OR(Paths!$C$369=0,C3998=0),0,12-E3998)</f>
        <v>0</v>
      </c>
      <c r="G3998" s="16">
        <f>IF(NOT(Paths!$C$369=1),0,IF(Paths!$P$369="Complete",E3998/12*(Paths!$J$369*(1+'Operating costs'!$B$51)^MAX(0,C3998-1)+Paths!$K$369*(1+'Operating costs'!$B$53)^MAX(0,C3998-1)),"n.a."))</f>
        <v>0</v>
      </c>
      <c r="H3998" s="16">
        <f>IF(NOT(Paths!$C$369=1),0,IF(Paths!$P$369="Complete",F3998/12*(Paths!$L$369*(1+IF(Paths!$D$369="EV",'Operating costs'!$B$52,'Operating costs'!$B$51))^MAX(0,C3998-1)+Paths!$M$369*(1+'Operating costs'!$B$53)^MAX(0,C3998-1)),"n.a."))</f>
        <v>0</v>
      </c>
      <c r="I3998" s="16">
        <f>IF(NOT(Paths!$C$369=1),0,IF(Paths!$P$369="Complete",IF(IF(Paths!$E$369=0,C3998=0,AND(C3998&gt;0,Paths!$E$369&gt;(C3998-1)*12,Paths!$E$369&lt;=C3998*12)),Paths!$G$369,0),"n.a."))</f>
        <v>0</v>
      </c>
      <c r="J3998" s="16">
        <f>IF(NOT(Paths!$C$369=1),0,IF(Paths!$P$369="Complete",IF(IF(Paths!$E$369=0,C3998=0,AND(C3998&gt;0,Paths!$E$369&gt;(C3998-1)*12,Paths!$E$369&lt;=C3998*12)),Paths!$H$369,0),"n.a."))</f>
        <v>0</v>
      </c>
      <c r="K3998" s="16">
        <f>IF(NOT(Paths!$C$369=1),0,IF(Paths!$P$369="Complete",IF(IF(Paths!$O$369=0,C3998=0,AND(C3998&gt;0,Paths!$O$369&gt;(C3998-1)*12,Paths!$O$369&lt;=C3998*12)),Paths!$N$369,0),"n.a."))</f>
        <v>0</v>
      </c>
      <c r="L3998" s="16">
        <f>IF(NOT(Paths!$C$369=1),0,IF(Paths!$P$369="Complete",IF(C3998=10,Paths!$I$369,0),"n.a."))</f>
        <v>0</v>
      </c>
      <c r="M3998" s="16">
        <f>IF(NOT(Paths!$C$369=1),0,IF(Paths!$P$369="Complete",IF(AND(Paths!$D$369="EV",Paths!$E$369&lt;120,Paths!$E$369+'Operating costs'!$B$65&gt;Paths!$E$369,Paths!$E$369+'Operating costs'!$B$65&lt;=120,IF(Paths!$E$369+'Operating costs'!$B$65=0,C3998=0,AND(C3998&gt;0,Paths!$E$369+'Operating costs'!$B$65&gt;(C3998-1)*12,Paths!$E$369+'Operating costs'!$B$65&lt;=C3998*12))),'Operating costs'!$B$64,0)+IF(AND('Operating costs'!$B$67&gt;0,'Operating costs'!$B$67&lt;=120,OR(Paths!$D$369="ICE",'Operating costs'!$B$67&lt;=Paths!$E$369),IF('Operating costs'!$B$67=0,C3998=0,AND(C3998&gt;0,'Operating costs'!$B$67&gt;(C3998-1)*12,'Operating costs'!$B$67&lt;=C3998*12))),'Operating costs'!$B$66,0),"n.a."))</f>
        <v>0</v>
      </c>
      <c r="N3998" s="16">
        <f>IF(NOT(Paths!$C$369=1),0,IF(Paths!$P$369="Complete",SUM(G3998:I3998)-J3998-K3998-L3998+M3998+IF(C3998=0,Paths!$F$369,0)+IF(IF(Paths!$E$369=0,C3998=0,AND(C3998&gt;0,Paths!$E$369&gt;(C3998-1)*12,Paths!$E$369&lt;=C3998*12)),VLOOKUP(A3998,'Fleet register'!$A$7:$S$106,16,FALSE),0),"n.a."))</f>
        <v>0</v>
      </c>
      <c r="O3998" s="16">
        <f>IF(NOT(Paths!$C$369=1),0,IF(Paths!$P$369="Complete",N3998-IF(C3998=0,Paths!$F$369,0),"n.a."))</f>
        <v>0</v>
      </c>
      <c r="P3998" s="16">
        <f>IF(NOT(Paths!$C$369=1),0,IF(Paths!$P$369="Complete",O3998+L3998,"n.a."))</f>
        <v>0</v>
      </c>
      <c r="Q3998" s="16">
        <f>IF(NOT(Paths!$C$369=1),0,IF(Paths!$P$369="Complete",N3998*(1+'Operating costs'!$B$54)^-C3998,"n.a."))</f>
        <v>0</v>
      </c>
      <c r="R3998" s="16">
        <f>IF(NOT(Paths!$C$369=1),0,IF(Paths!$P$369="Complete",IF(AND(C3998=0,Paths!$E$369=0),I3998-J3998-K3998+VLOOKUP(A3998,'Fleet register'!$A$7:$S$106,15,FALSE)+VLOOKUP(A3998,'Fleet register'!$A$7:$S$106,16,FALSE),0),"n.a."))</f>
        <v>0</v>
      </c>
      <c r="S3998" s="1">
        <f>IF(NOT(Paths!$C$369=1),0,IF(Paths!$P$369="Complete",IF(C3998=0,0,Paths!$S$369*Paths!$R$369),"n.a."))</f>
        <v>0</v>
      </c>
      <c r="T3998" s="1">
        <f>IF(NOT(Paths!$C$369=1),0,IF(Paths!$P$369="Complete",IF(C3998=0,0,VLOOKUP(A3998,'Fleet register'!$A$7:$S$106,9,FALSE)*Paths!$R$369),"n.a."))</f>
        <v>0</v>
      </c>
    </row>
    <row r="3999" spans="1:20" ht="24" customHeight="1">
      <c r="A3999" s="1" t="str">
        <f>Paths!$A$369</f>
        <v>T091</v>
      </c>
      <c r="B3999" s="1">
        <f>Paths!$B$369</f>
        <v>2</v>
      </c>
      <c r="C3999" s="1">
        <v>10</v>
      </c>
      <c r="D3999" s="1">
        <v>369</v>
      </c>
      <c r="E3999" s="1">
        <f>IF(OR(Paths!$C$369=0,C3999=0),0,MAX(0,MIN(C3999*12,Paths!$E$369)-(C3999-1)*12))</f>
        <v>0</v>
      </c>
      <c r="F3999" s="1">
        <f>IF(OR(Paths!$C$369=0,C3999=0),0,12-E3999)</f>
        <v>0</v>
      </c>
      <c r="G3999" s="16">
        <f>IF(NOT(Paths!$C$369=1),0,IF(Paths!$P$369="Complete",E3999/12*(Paths!$J$369*(1+'Operating costs'!$B$51)^MAX(0,C3999-1)+Paths!$K$369*(1+'Operating costs'!$B$53)^MAX(0,C3999-1)),"n.a."))</f>
        <v>0</v>
      </c>
      <c r="H3999" s="16">
        <f>IF(NOT(Paths!$C$369=1),0,IF(Paths!$P$369="Complete",F3999/12*(Paths!$L$369*(1+IF(Paths!$D$369="EV",'Operating costs'!$B$52,'Operating costs'!$B$51))^MAX(0,C3999-1)+Paths!$M$369*(1+'Operating costs'!$B$53)^MAX(0,C3999-1)),"n.a."))</f>
        <v>0</v>
      </c>
      <c r="I3999" s="16">
        <f>IF(NOT(Paths!$C$369=1),0,IF(Paths!$P$369="Complete",IF(IF(Paths!$E$369=0,C3999=0,AND(C3999&gt;0,Paths!$E$369&gt;(C3999-1)*12,Paths!$E$369&lt;=C3999*12)),Paths!$G$369,0),"n.a."))</f>
        <v>0</v>
      </c>
      <c r="J3999" s="16">
        <f>IF(NOT(Paths!$C$369=1),0,IF(Paths!$P$369="Complete",IF(IF(Paths!$E$369=0,C3999=0,AND(C3999&gt;0,Paths!$E$369&gt;(C3999-1)*12,Paths!$E$369&lt;=C3999*12)),Paths!$H$369,0),"n.a."))</f>
        <v>0</v>
      </c>
      <c r="K3999" s="16">
        <f>IF(NOT(Paths!$C$369=1),0,IF(Paths!$P$369="Complete",IF(IF(Paths!$O$369=0,C3999=0,AND(C3999&gt;0,Paths!$O$369&gt;(C3999-1)*12,Paths!$O$369&lt;=C3999*12)),Paths!$N$369,0),"n.a."))</f>
        <v>0</v>
      </c>
      <c r="L3999" s="16">
        <f>IF(NOT(Paths!$C$369=1),0,IF(Paths!$P$369="Complete",IF(C3999=10,Paths!$I$369,0),"n.a."))</f>
        <v>0</v>
      </c>
      <c r="M3999" s="16">
        <f>IF(NOT(Paths!$C$369=1),0,IF(Paths!$P$369="Complete",IF(AND(Paths!$D$369="EV",Paths!$E$369&lt;120,Paths!$E$369+'Operating costs'!$B$65&gt;Paths!$E$369,Paths!$E$369+'Operating costs'!$B$65&lt;=120,IF(Paths!$E$369+'Operating costs'!$B$65=0,C3999=0,AND(C3999&gt;0,Paths!$E$369+'Operating costs'!$B$65&gt;(C3999-1)*12,Paths!$E$369+'Operating costs'!$B$65&lt;=C3999*12))),'Operating costs'!$B$64,0)+IF(AND('Operating costs'!$B$67&gt;0,'Operating costs'!$B$67&lt;=120,OR(Paths!$D$369="ICE",'Operating costs'!$B$67&lt;=Paths!$E$369),IF('Operating costs'!$B$67=0,C3999=0,AND(C3999&gt;0,'Operating costs'!$B$67&gt;(C3999-1)*12,'Operating costs'!$B$67&lt;=C3999*12))),'Operating costs'!$B$66,0),"n.a."))</f>
        <v>0</v>
      </c>
      <c r="N3999" s="16">
        <f>IF(NOT(Paths!$C$369=1),0,IF(Paths!$P$369="Complete",SUM(G3999:I3999)-J3999-K3999-L3999+M3999+IF(C3999=0,Paths!$F$369,0)+IF(IF(Paths!$E$369=0,C3999=0,AND(C3999&gt;0,Paths!$E$369&gt;(C3999-1)*12,Paths!$E$369&lt;=C3999*12)),VLOOKUP(A3999,'Fleet register'!$A$7:$S$106,16,FALSE),0),"n.a."))</f>
        <v>0</v>
      </c>
      <c r="O3999" s="16">
        <f>IF(NOT(Paths!$C$369=1),0,IF(Paths!$P$369="Complete",N3999-IF(C3999=0,Paths!$F$369,0),"n.a."))</f>
        <v>0</v>
      </c>
      <c r="P3999" s="16">
        <f>IF(NOT(Paths!$C$369=1),0,IF(Paths!$P$369="Complete",O3999+L3999,"n.a."))</f>
        <v>0</v>
      </c>
      <c r="Q3999" s="16">
        <f>IF(NOT(Paths!$C$369=1),0,IF(Paths!$P$369="Complete",N3999*(1+'Operating costs'!$B$54)^-C3999,"n.a."))</f>
        <v>0</v>
      </c>
      <c r="R3999" s="16">
        <f>IF(NOT(Paths!$C$369=1),0,IF(Paths!$P$369="Complete",IF(AND(C3999=0,Paths!$E$369=0),I3999-J3999-K3999+VLOOKUP(A3999,'Fleet register'!$A$7:$S$106,15,FALSE)+VLOOKUP(A3999,'Fleet register'!$A$7:$S$106,16,FALSE),0),"n.a."))</f>
        <v>0</v>
      </c>
      <c r="S3999" s="1">
        <f>IF(NOT(Paths!$C$369=1),0,IF(Paths!$P$369="Complete",IF(C3999=0,0,Paths!$S$369*Paths!$R$369),"n.a."))</f>
        <v>0</v>
      </c>
      <c r="T3999" s="1">
        <f>IF(NOT(Paths!$C$369=1),0,IF(Paths!$P$369="Complete",IF(C3999=0,0,VLOOKUP(A3999,'Fleet register'!$A$7:$S$106,9,FALSE)*Paths!$R$369),"n.a."))</f>
        <v>0</v>
      </c>
    </row>
    <row r="4000" spans="1:20" ht="24" customHeight="1">
      <c r="A4000" s="1" t="str">
        <f>Paths!$A$370</f>
        <v>T091</v>
      </c>
      <c r="B4000" s="1">
        <f>Paths!$B$370</f>
        <v>3</v>
      </c>
      <c r="C4000" s="1">
        <v>0</v>
      </c>
      <c r="D4000" s="1">
        <v>370</v>
      </c>
      <c r="E4000" s="1">
        <f>IF(OR(Paths!$C$370=0,C4000=0),0,MAX(0,MIN(C4000*12,Paths!$E$370)-(C4000-1)*12))</f>
        <v>0</v>
      </c>
      <c r="F4000" s="1">
        <f>IF(OR(Paths!$C$370=0,C4000=0),0,12-E4000)</f>
        <v>0</v>
      </c>
      <c r="G4000" s="16">
        <f>IF(NOT(Paths!$C$370=1),0,IF(Paths!$P$370="Complete",E4000/12*(Paths!$J$370*(1+'Operating costs'!$B$51)^MAX(0,C4000-1)+Paths!$K$370*(1+'Operating costs'!$B$53)^MAX(0,C4000-1)),"n.a."))</f>
        <v>0</v>
      </c>
      <c r="H4000" s="16">
        <f>IF(NOT(Paths!$C$370=1),0,IF(Paths!$P$370="Complete",F4000/12*(Paths!$L$370*(1+IF(Paths!$D$370="EV",'Operating costs'!$B$52,'Operating costs'!$B$51))^MAX(0,C4000-1)+Paths!$M$370*(1+'Operating costs'!$B$53)^MAX(0,C4000-1)),"n.a."))</f>
        <v>0</v>
      </c>
      <c r="I4000" s="16">
        <f>IF(NOT(Paths!$C$370=1),0,IF(Paths!$P$370="Complete",IF(IF(Paths!$E$370=0,C4000=0,AND(C4000&gt;0,Paths!$E$370&gt;(C4000-1)*12,Paths!$E$370&lt;=C4000*12)),Paths!$G$370,0),"n.a."))</f>
        <v>0</v>
      </c>
      <c r="J4000" s="16">
        <f>IF(NOT(Paths!$C$370=1),0,IF(Paths!$P$370="Complete",IF(IF(Paths!$E$370=0,C4000=0,AND(C4000&gt;0,Paths!$E$370&gt;(C4000-1)*12,Paths!$E$370&lt;=C4000*12)),Paths!$H$370,0),"n.a."))</f>
        <v>0</v>
      </c>
      <c r="K4000" s="16">
        <f>IF(NOT(Paths!$C$370=1),0,IF(Paths!$P$370="Complete",IF(IF(Paths!$O$370=0,C4000=0,AND(C4000&gt;0,Paths!$O$370&gt;(C4000-1)*12,Paths!$O$370&lt;=C4000*12)),Paths!$N$370,0),"n.a."))</f>
        <v>0</v>
      </c>
      <c r="L4000" s="16">
        <f>IF(NOT(Paths!$C$370=1),0,IF(Paths!$P$370="Complete",IF(C4000=10,Paths!$I$370,0),"n.a."))</f>
        <v>0</v>
      </c>
      <c r="M4000" s="16">
        <f>IF(NOT(Paths!$C$370=1),0,IF(Paths!$P$370="Complete",IF(AND(Paths!$D$370="EV",Paths!$E$370&lt;120,Paths!$E$370+'Operating costs'!$B$65&gt;Paths!$E$370,Paths!$E$370+'Operating costs'!$B$65&lt;=120,IF(Paths!$E$370+'Operating costs'!$B$65=0,C4000=0,AND(C4000&gt;0,Paths!$E$370+'Operating costs'!$B$65&gt;(C4000-1)*12,Paths!$E$370+'Operating costs'!$B$65&lt;=C4000*12))),'Operating costs'!$B$64,0)+IF(AND('Operating costs'!$B$67&gt;0,'Operating costs'!$B$67&lt;=120,OR(Paths!$D$370="ICE",'Operating costs'!$B$67&lt;=Paths!$E$370),IF('Operating costs'!$B$67=0,C4000=0,AND(C4000&gt;0,'Operating costs'!$B$67&gt;(C4000-1)*12,'Operating costs'!$B$67&lt;=C4000*12))),'Operating costs'!$B$66,0),"n.a."))</f>
        <v>0</v>
      </c>
      <c r="N4000" s="16">
        <f>IF(NOT(Paths!$C$370=1),0,IF(Paths!$P$370="Complete",SUM(G4000:I4000)-J4000-K4000-L4000+M4000+IF(C4000=0,Paths!$F$370,0)+IF(IF(Paths!$E$370=0,C4000=0,AND(C4000&gt;0,Paths!$E$370&gt;(C4000-1)*12,Paths!$E$370&lt;=C4000*12)),VLOOKUP(A4000,'Fleet register'!$A$7:$S$106,16,FALSE),0),"n.a."))</f>
        <v>0</v>
      </c>
      <c r="O4000" s="16">
        <f>IF(NOT(Paths!$C$370=1),0,IF(Paths!$P$370="Complete",N4000-IF(C4000=0,Paths!$F$370,0),"n.a."))</f>
        <v>0</v>
      </c>
      <c r="P4000" s="16">
        <f>IF(NOT(Paths!$C$370=1),0,IF(Paths!$P$370="Complete",O4000+L4000,"n.a."))</f>
        <v>0</v>
      </c>
      <c r="Q4000" s="16">
        <f>IF(NOT(Paths!$C$370=1),0,IF(Paths!$P$370="Complete",N4000*(1+'Operating costs'!$B$54)^-C4000,"n.a."))</f>
        <v>0</v>
      </c>
      <c r="R4000" s="16">
        <f>IF(NOT(Paths!$C$370=1),0,IF(Paths!$P$370="Complete",IF(AND(C4000=0,Paths!$E$370=0),I4000-J4000-K4000+VLOOKUP(A4000,'Fleet register'!$A$7:$S$106,15,FALSE)+VLOOKUP(A4000,'Fleet register'!$A$7:$S$106,16,FALSE),0),"n.a."))</f>
        <v>0</v>
      </c>
      <c r="S4000" s="1">
        <f>IF(NOT(Paths!$C$370=1),0,IF(Paths!$P$370="Complete",IF(C4000=0,0,Paths!$S$370*Paths!$R$370),"n.a."))</f>
        <v>0</v>
      </c>
      <c r="T4000" s="1">
        <f>IF(NOT(Paths!$C$370=1),0,IF(Paths!$P$370="Complete",IF(C4000=0,0,VLOOKUP(A4000,'Fleet register'!$A$7:$S$106,9,FALSE)*Paths!$R$370),"n.a."))</f>
        <v>0</v>
      </c>
    </row>
    <row r="4001" spans="1:20" ht="24" customHeight="1">
      <c r="A4001" s="1" t="str">
        <f>Paths!$A$370</f>
        <v>T091</v>
      </c>
      <c r="B4001" s="1">
        <f>Paths!$B$370</f>
        <v>3</v>
      </c>
      <c r="C4001" s="1">
        <v>1</v>
      </c>
      <c r="D4001" s="1">
        <v>370</v>
      </c>
      <c r="E4001" s="1">
        <f>IF(OR(Paths!$C$370=0,C4001=0),0,MAX(0,MIN(C4001*12,Paths!$E$370)-(C4001-1)*12))</f>
        <v>0</v>
      </c>
      <c r="F4001" s="1">
        <f>IF(OR(Paths!$C$370=0,C4001=0),0,12-E4001)</f>
        <v>0</v>
      </c>
      <c r="G4001" s="16">
        <f>IF(NOT(Paths!$C$370=1),0,IF(Paths!$P$370="Complete",E4001/12*(Paths!$J$370*(1+'Operating costs'!$B$51)^MAX(0,C4001-1)+Paths!$K$370*(1+'Operating costs'!$B$53)^MAX(0,C4001-1)),"n.a."))</f>
        <v>0</v>
      </c>
      <c r="H4001" s="16">
        <f>IF(NOT(Paths!$C$370=1),0,IF(Paths!$P$370="Complete",F4001/12*(Paths!$L$370*(1+IF(Paths!$D$370="EV",'Operating costs'!$B$52,'Operating costs'!$B$51))^MAX(0,C4001-1)+Paths!$M$370*(1+'Operating costs'!$B$53)^MAX(0,C4001-1)),"n.a."))</f>
        <v>0</v>
      </c>
      <c r="I4001" s="16">
        <f>IF(NOT(Paths!$C$370=1),0,IF(Paths!$P$370="Complete",IF(IF(Paths!$E$370=0,C4001=0,AND(C4001&gt;0,Paths!$E$370&gt;(C4001-1)*12,Paths!$E$370&lt;=C4001*12)),Paths!$G$370,0),"n.a."))</f>
        <v>0</v>
      </c>
      <c r="J4001" s="16">
        <f>IF(NOT(Paths!$C$370=1),0,IF(Paths!$P$370="Complete",IF(IF(Paths!$E$370=0,C4001=0,AND(C4001&gt;0,Paths!$E$370&gt;(C4001-1)*12,Paths!$E$370&lt;=C4001*12)),Paths!$H$370,0),"n.a."))</f>
        <v>0</v>
      </c>
      <c r="K4001" s="16">
        <f>IF(NOT(Paths!$C$370=1),0,IF(Paths!$P$370="Complete",IF(IF(Paths!$O$370=0,C4001=0,AND(C4001&gt;0,Paths!$O$370&gt;(C4001-1)*12,Paths!$O$370&lt;=C4001*12)),Paths!$N$370,0),"n.a."))</f>
        <v>0</v>
      </c>
      <c r="L4001" s="16">
        <f>IF(NOT(Paths!$C$370=1),0,IF(Paths!$P$370="Complete",IF(C4001=10,Paths!$I$370,0),"n.a."))</f>
        <v>0</v>
      </c>
      <c r="M4001" s="16">
        <f>IF(NOT(Paths!$C$370=1),0,IF(Paths!$P$370="Complete",IF(AND(Paths!$D$370="EV",Paths!$E$370&lt;120,Paths!$E$370+'Operating costs'!$B$65&gt;Paths!$E$370,Paths!$E$370+'Operating costs'!$B$65&lt;=120,IF(Paths!$E$370+'Operating costs'!$B$65=0,C4001=0,AND(C4001&gt;0,Paths!$E$370+'Operating costs'!$B$65&gt;(C4001-1)*12,Paths!$E$370+'Operating costs'!$B$65&lt;=C4001*12))),'Operating costs'!$B$64,0)+IF(AND('Operating costs'!$B$67&gt;0,'Operating costs'!$B$67&lt;=120,OR(Paths!$D$370="ICE",'Operating costs'!$B$67&lt;=Paths!$E$370),IF('Operating costs'!$B$67=0,C4001=0,AND(C4001&gt;0,'Operating costs'!$B$67&gt;(C4001-1)*12,'Operating costs'!$B$67&lt;=C4001*12))),'Operating costs'!$B$66,0),"n.a."))</f>
        <v>0</v>
      </c>
      <c r="N4001" s="16">
        <f>IF(NOT(Paths!$C$370=1),0,IF(Paths!$P$370="Complete",SUM(G4001:I4001)-J4001-K4001-L4001+M4001+IF(C4001=0,Paths!$F$370,0)+IF(IF(Paths!$E$370=0,C4001=0,AND(C4001&gt;0,Paths!$E$370&gt;(C4001-1)*12,Paths!$E$370&lt;=C4001*12)),VLOOKUP(A4001,'Fleet register'!$A$7:$S$106,16,FALSE),0),"n.a."))</f>
        <v>0</v>
      </c>
      <c r="O4001" s="16">
        <f>IF(NOT(Paths!$C$370=1),0,IF(Paths!$P$370="Complete",N4001-IF(C4001=0,Paths!$F$370,0),"n.a."))</f>
        <v>0</v>
      </c>
      <c r="P4001" s="16">
        <f>IF(NOT(Paths!$C$370=1),0,IF(Paths!$P$370="Complete",O4001+L4001,"n.a."))</f>
        <v>0</v>
      </c>
      <c r="Q4001" s="16">
        <f>IF(NOT(Paths!$C$370=1),0,IF(Paths!$P$370="Complete",N4001*(1+'Operating costs'!$B$54)^-C4001,"n.a."))</f>
        <v>0</v>
      </c>
      <c r="R4001" s="16">
        <f>IF(NOT(Paths!$C$370=1),0,IF(Paths!$P$370="Complete",IF(AND(C4001=0,Paths!$E$370=0),I4001-J4001-K4001+VLOOKUP(A4001,'Fleet register'!$A$7:$S$106,15,FALSE)+VLOOKUP(A4001,'Fleet register'!$A$7:$S$106,16,FALSE),0),"n.a."))</f>
        <v>0</v>
      </c>
      <c r="S4001" s="1">
        <f>IF(NOT(Paths!$C$370=1),0,IF(Paths!$P$370="Complete",IF(C4001=0,0,Paths!$S$370*Paths!$R$370),"n.a."))</f>
        <v>0</v>
      </c>
      <c r="T4001" s="1">
        <f>IF(NOT(Paths!$C$370=1),0,IF(Paths!$P$370="Complete",IF(C4001=0,0,VLOOKUP(A4001,'Fleet register'!$A$7:$S$106,9,FALSE)*Paths!$R$370),"n.a."))</f>
        <v>0</v>
      </c>
    </row>
    <row r="4002" spans="1:20" ht="24" customHeight="1">
      <c r="A4002" s="1" t="str">
        <f>Paths!$A$370</f>
        <v>T091</v>
      </c>
      <c r="B4002" s="1">
        <f>Paths!$B$370</f>
        <v>3</v>
      </c>
      <c r="C4002" s="1">
        <v>2</v>
      </c>
      <c r="D4002" s="1">
        <v>370</v>
      </c>
      <c r="E4002" s="1">
        <f>IF(OR(Paths!$C$370=0,C4002=0),0,MAX(0,MIN(C4002*12,Paths!$E$370)-(C4002-1)*12))</f>
        <v>0</v>
      </c>
      <c r="F4002" s="1">
        <f>IF(OR(Paths!$C$370=0,C4002=0),0,12-E4002)</f>
        <v>0</v>
      </c>
      <c r="G4002" s="16">
        <f>IF(NOT(Paths!$C$370=1),0,IF(Paths!$P$370="Complete",E4002/12*(Paths!$J$370*(1+'Operating costs'!$B$51)^MAX(0,C4002-1)+Paths!$K$370*(1+'Operating costs'!$B$53)^MAX(0,C4002-1)),"n.a."))</f>
        <v>0</v>
      </c>
      <c r="H4002" s="16">
        <f>IF(NOT(Paths!$C$370=1),0,IF(Paths!$P$370="Complete",F4002/12*(Paths!$L$370*(1+IF(Paths!$D$370="EV",'Operating costs'!$B$52,'Operating costs'!$B$51))^MAX(0,C4002-1)+Paths!$M$370*(1+'Operating costs'!$B$53)^MAX(0,C4002-1)),"n.a."))</f>
        <v>0</v>
      </c>
      <c r="I4002" s="16">
        <f>IF(NOT(Paths!$C$370=1),0,IF(Paths!$P$370="Complete",IF(IF(Paths!$E$370=0,C4002=0,AND(C4002&gt;0,Paths!$E$370&gt;(C4002-1)*12,Paths!$E$370&lt;=C4002*12)),Paths!$G$370,0),"n.a."))</f>
        <v>0</v>
      </c>
      <c r="J4002" s="16">
        <f>IF(NOT(Paths!$C$370=1),0,IF(Paths!$P$370="Complete",IF(IF(Paths!$E$370=0,C4002=0,AND(C4002&gt;0,Paths!$E$370&gt;(C4002-1)*12,Paths!$E$370&lt;=C4002*12)),Paths!$H$370,0),"n.a."))</f>
        <v>0</v>
      </c>
      <c r="K4002" s="16">
        <f>IF(NOT(Paths!$C$370=1),0,IF(Paths!$P$370="Complete",IF(IF(Paths!$O$370=0,C4002=0,AND(C4002&gt;0,Paths!$O$370&gt;(C4002-1)*12,Paths!$O$370&lt;=C4002*12)),Paths!$N$370,0),"n.a."))</f>
        <v>0</v>
      </c>
      <c r="L4002" s="16">
        <f>IF(NOT(Paths!$C$370=1),0,IF(Paths!$P$370="Complete",IF(C4002=10,Paths!$I$370,0),"n.a."))</f>
        <v>0</v>
      </c>
      <c r="M4002" s="16">
        <f>IF(NOT(Paths!$C$370=1),0,IF(Paths!$P$370="Complete",IF(AND(Paths!$D$370="EV",Paths!$E$370&lt;120,Paths!$E$370+'Operating costs'!$B$65&gt;Paths!$E$370,Paths!$E$370+'Operating costs'!$B$65&lt;=120,IF(Paths!$E$370+'Operating costs'!$B$65=0,C4002=0,AND(C4002&gt;0,Paths!$E$370+'Operating costs'!$B$65&gt;(C4002-1)*12,Paths!$E$370+'Operating costs'!$B$65&lt;=C4002*12))),'Operating costs'!$B$64,0)+IF(AND('Operating costs'!$B$67&gt;0,'Operating costs'!$B$67&lt;=120,OR(Paths!$D$370="ICE",'Operating costs'!$B$67&lt;=Paths!$E$370),IF('Operating costs'!$B$67=0,C4002=0,AND(C4002&gt;0,'Operating costs'!$B$67&gt;(C4002-1)*12,'Operating costs'!$B$67&lt;=C4002*12))),'Operating costs'!$B$66,0),"n.a."))</f>
        <v>0</v>
      </c>
      <c r="N4002" s="16">
        <f>IF(NOT(Paths!$C$370=1),0,IF(Paths!$P$370="Complete",SUM(G4002:I4002)-J4002-K4002-L4002+M4002+IF(C4002=0,Paths!$F$370,0)+IF(IF(Paths!$E$370=0,C4002=0,AND(C4002&gt;0,Paths!$E$370&gt;(C4002-1)*12,Paths!$E$370&lt;=C4002*12)),VLOOKUP(A4002,'Fleet register'!$A$7:$S$106,16,FALSE),0),"n.a."))</f>
        <v>0</v>
      </c>
      <c r="O4002" s="16">
        <f>IF(NOT(Paths!$C$370=1),0,IF(Paths!$P$370="Complete",N4002-IF(C4002=0,Paths!$F$370,0),"n.a."))</f>
        <v>0</v>
      </c>
      <c r="P4002" s="16">
        <f>IF(NOT(Paths!$C$370=1),0,IF(Paths!$P$370="Complete",O4002+L4002,"n.a."))</f>
        <v>0</v>
      </c>
      <c r="Q4002" s="16">
        <f>IF(NOT(Paths!$C$370=1),0,IF(Paths!$P$370="Complete",N4002*(1+'Operating costs'!$B$54)^-C4002,"n.a."))</f>
        <v>0</v>
      </c>
      <c r="R4002" s="16">
        <f>IF(NOT(Paths!$C$370=1),0,IF(Paths!$P$370="Complete",IF(AND(C4002=0,Paths!$E$370=0),I4002-J4002-K4002+VLOOKUP(A4002,'Fleet register'!$A$7:$S$106,15,FALSE)+VLOOKUP(A4002,'Fleet register'!$A$7:$S$106,16,FALSE),0),"n.a."))</f>
        <v>0</v>
      </c>
      <c r="S4002" s="1">
        <f>IF(NOT(Paths!$C$370=1),0,IF(Paths!$P$370="Complete",IF(C4002=0,0,Paths!$S$370*Paths!$R$370),"n.a."))</f>
        <v>0</v>
      </c>
      <c r="T4002" s="1">
        <f>IF(NOT(Paths!$C$370=1),0,IF(Paths!$P$370="Complete",IF(C4002=0,0,VLOOKUP(A4002,'Fleet register'!$A$7:$S$106,9,FALSE)*Paths!$R$370),"n.a."))</f>
        <v>0</v>
      </c>
    </row>
    <row r="4003" spans="1:20" ht="24" customHeight="1">
      <c r="A4003" s="1" t="str">
        <f>Paths!$A$370</f>
        <v>T091</v>
      </c>
      <c r="B4003" s="1">
        <f>Paths!$B$370</f>
        <v>3</v>
      </c>
      <c r="C4003" s="1">
        <v>3</v>
      </c>
      <c r="D4003" s="1">
        <v>370</v>
      </c>
      <c r="E4003" s="1">
        <f>IF(OR(Paths!$C$370=0,C4003=0),0,MAX(0,MIN(C4003*12,Paths!$E$370)-(C4003-1)*12))</f>
        <v>0</v>
      </c>
      <c r="F4003" s="1">
        <f>IF(OR(Paths!$C$370=0,C4003=0),0,12-E4003)</f>
        <v>0</v>
      </c>
      <c r="G4003" s="16">
        <f>IF(NOT(Paths!$C$370=1),0,IF(Paths!$P$370="Complete",E4003/12*(Paths!$J$370*(1+'Operating costs'!$B$51)^MAX(0,C4003-1)+Paths!$K$370*(1+'Operating costs'!$B$53)^MAX(0,C4003-1)),"n.a."))</f>
        <v>0</v>
      </c>
      <c r="H4003" s="16">
        <f>IF(NOT(Paths!$C$370=1),0,IF(Paths!$P$370="Complete",F4003/12*(Paths!$L$370*(1+IF(Paths!$D$370="EV",'Operating costs'!$B$52,'Operating costs'!$B$51))^MAX(0,C4003-1)+Paths!$M$370*(1+'Operating costs'!$B$53)^MAX(0,C4003-1)),"n.a."))</f>
        <v>0</v>
      </c>
      <c r="I4003" s="16">
        <f>IF(NOT(Paths!$C$370=1),0,IF(Paths!$P$370="Complete",IF(IF(Paths!$E$370=0,C4003=0,AND(C4003&gt;0,Paths!$E$370&gt;(C4003-1)*12,Paths!$E$370&lt;=C4003*12)),Paths!$G$370,0),"n.a."))</f>
        <v>0</v>
      </c>
      <c r="J4003" s="16">
        <f>IF(NOT(Paths!$C$370=1),0,IF(Paths!$P$370="Complete",IF(IF(Paths!$E$370=0,C4003=0,AND(C4003&gt;0,Paths!$E$370&gt;(C4003-1)*12,Paths!$E$370&lt;=C4003*12)),Paths!$H$370,0),"n.a."))</f>
        <v>0</v>
      </c>
      <c r="K4003" s="16">
        <f>IF(NOT(Paths!$C$370=1),0,IF(Paths!$P$370="Complete",IF(IF(Paths!$O$370=0,C4003=0,AND(C4003&gt;0,Paths!$O$370&gt;(C4003-1)*12,Paths!$O$370&lt;=C4003*12)),Paths!$N$370,0),"n.a."))</f>
        <v>0</v>
      </c>
      <c r="L4003" s="16">
        <f>IF(NOT(Paths!$C$370=1),0,IF(Paths!$P$370="Complete",IF(C4003=10,Paths!$I$370,0),"n.a."))</f>
        <v>0</v>
      </c>
      <c r="M4003" s="16">
        <f>IF(NOT(Paths!$C$370=1),0,IF(Paths!$P$370="Complete",IF(AND(Paths!$D$370="EV",Paths!$E$370&lt;120,Paths!$E$370+'Operating costs'!$B$65&gt;Paths!$E$370,Paths!$E$370+'Operating costs'!$B$65&lt;=120,IF(Paths!$E$370+'Operating costs'!$B$65=0,C4003=0,AND(C4003&gt;0,Paths!$E$370+'Operating costs'!$B$65&gt;(C4003-1)*12,Paths!$E$370+'Operating costs'!$B$65&lt;=C4003*12))),'Operating costs'!$B$64,0)+IF(AND('Operating costs'!$B$67&gt;0,'Operating costs'!$B$67&lt;=120,OR(Paths!$D$370="ICE",'Operating costs'!$B$67&lt;=Paths!$E$370),IF('Operating costs'!$B$67=0,C4003=0,AND(C4003&gt;0,'Operating costs'!$B$67&gt;(C4003-1)*12,'Operating costs'!$B$67&lt;=C4003*12))),'Operating costs'!$B$66,0),"n.a."))</f>
        <v>0</v>
      </c>
      <c r="N4003" s="16">
        <f>IF(NOT(Paths!$C$370=1),0,IF(Paths!$P$370="Complete",SUM(G4003:I4003)-J4003-K4003-L4003+M4003+IF(C4003=0,Paths!$F$370,0)+IF(IF(Paths!$E$370=0,C4003=0,AND(C4003&gt;0,Paths!$E$370&gt;(C4003-1)*12,Paths!$E$370&lt;=C4003*12)),VLOOKUP(A4003,'Fleet register'!$A$7:$S$106,16,FALSE),0),"n.a."))</f>
        <v>0</v>
      </c>
      <c r="O4003" s="16">
        <f>IF(NOT(Paths!$C$370=1),0,IF(Paths!$P$370="Complete",N4003-IF(C4003=0,Paths!$F$370,0),"n.a."))</f>
        <v>0</v>
      </c>
      <c r="P4003" s="16">
        <f>IF(NOT(Paths!$C$370=1),0,IF(Paths!$P$370="Complete",O4003+L4003,"n.a."))</f>
        <v>0</v>
      </c>
      <c r="Q4003" s="16">
        <f>IF(NOT(Paths!$C$370=1),0,IF(Paths!$P$370="Complete",N4003*(1+'Operating costs'!$B$54)^-C4003,"n.a."))</f>
        <v>0</v>
      </c>
      <c r="R4003" s="16">
        <f>IF(NOT(Paths!$C$370=1),0,IF(Paths!$P$370="Complete",IF(AND(C4003=0,Paths!$E$370=0),I4003-J4003-K4003+VLOOKUP(A4003,'Fleet register'!$A$7:$S$106,15,FALSE)+VLOOKUP(A4003,'Fleet register'!$A$7:$S$106,16,FALSE),0),"n.a."))</f>
        <v>0</v>
      </c>
      <c r="S4003" s="1">
        <f>IF(NOT(Paths!$C$370=1),0,IF(Paths!$P$370="Complete",IF(C4003=0,0,Paths!$S$370*Paths!$R$370),"n.a."))</f>
        <v>0</v>
      </c>
      <c r="T4003" s="1">
        <f>IF(NOT(Paths!$C$370=1),0,IF(Paths!$P$370="Complete",IF(C4003=0,0,VLOOKUP(A4003,'Fleet register'!$A$7:$S$106,9,FALSE)*Paths!$R$370),"n.a."))</f>
        <v>0</v>
      </c>
    </row>
    <row r="4004" spans="1:20" ht="24" customHeight="1">
      <c r="A4004" s="1" t="str">
        <f>Paths!$A$370</f>
        <v>T091</v>
      </c>
      <c r="B4004" s="1">
        <f>Paths!$B$370</f>
        <v>3</v>
      </c>
      <c r="C4004" s="1">
        <v>4</v>
      </c>
      <c r="D4004" s="1">
        <v>370</v>
      </c>
      <c r="E4004" s="1">
        <f>IF(OR(Paths!$C$370=0,C4004=0),0,MAX(0,MIN(C4004*12,Paths!$E$370)-(C4004-1)*12))</f>
        <v>0</v>
      </c>
      <c r="F4004" s="1">
        <f>IF(OR(Paths!$C$370=0,C4004=0),0,12-E4004)</f>
        <v>0</v>
      </c>
      <c r="G4004" s="16">
        <f>IF(NOT(Paths!$C$370=1),0,IF(Paths!$P$370="Complete",E4004/12*(Paths!$J$370*(1+'Operating costs'!$B$51)^MAX(0,C4004-1)+Paths!$K$370*(1+'Operating costs'!$B$53)^MAX(0,C4004-1)),"n.a."))</f>
        <v>0</v>
      </c>
      <c r="H4004" s="16">
        <f>IF(NOT(Paths!$C$370=1),0,IF(Paths!$P$370="Complete",F4004/12*(Paths!$L$370*(1+IF(Paths!$D$370="EV",'Operating costs'!$B$52,'Operating costs'!$B$51))^MAX(0,C4004-1)+Paths!$M$370*(1+'Operating costs'!$B$53)^MAX(0,C4004-1)),"n.a."))</f>
        <v>0</v>
      </c>
      <c r="I4004" s="16">
        <f>IF(NOT(Paths!$C$370=1),0,IF(Paths!$P$370="Complete",IF(IF(Paths!$E$370=0,C4004=0,AND(C4004&gt;0,Paths!$E$370&gt;(C4004-1)*12,Paths!$E$370&lt;=C4004*12)),Paths!$G$370,0),"n.a."))</f>
        <v>0</v>
      </c>
      <c r="J4004" s="16">
        <f>IF(NOT(Paths!$C$370=1),0,IF(Paths!$P$370="Complete",IF(IF(Paths!$E$370=0,C4004=0,AND(C4004&gt;0,Paths!$E$370&gt;(C4004-1)*12,Paths!$E$370&lt;=C4004*12)),Paths!$H$370,0),"n.a."))</f>
        <v>0</v>
      </c>
      <c r="K4004" s="16">
        <f>IF(NOT(Paths!$C$370=1),0,IF(Paths!$P$370="Complete",IF(IF(Paths!$O$370=0,C4004=0,AND(C4004&gt;0,Paths!$O$370&gt;(C4004-1)*12,Paths!$O$370&lt;=C4004*12)),Paths!$N$370,0),"n.a."))</f>
        <v>0</v>
      </c>
      <c r="L4004" s="16">
        <f>IF(NOT(Paths!$C$370=1),0,IF(Paths!$P$370="Complete",IF(C4004=10,Paths!$I$370,0),"n.a."))</f>
        <v>0</v>
      </c>
      <c r="M4004" s="16">
        <f>IF(NOT(Paths!$C$370=1),0,IF(Paths!$P$370="Complete",IF(AND(Paths!$D$370="EV",Paths!$E$370&lt;120,Paths!$E$370+'Operating costs'!$B$65&gt;Paths!$E$370,Paths!$E$370+'Operating costs'!$B$65&lt;=120,IF(Paths!$E$370+'Operating costs'!$B$65=0,C4004=0,AND(C4004&gt;0,Paths!$E$370+'Operating costs'!$B$65&gt;(C4004-1)*12,Paths!$E$370+'Operating costs'!$B$65&lt;=C4004*12))),'Operating costs'!$B$64,0)+IF(AND('Operating costs'!$B$67&gt;0,'Operating costs'!$B$67&lt;=120,OR(Paths!$D$370="ICE",'Operating costs'!$B$67&lt;=Paths!$E$370),IF('Operating costs'!$B$67=0,C4004=0,AND(C4004&gt;0,'Operating costs'!$B$67&gt;(C4004-1)*12,'Operating costs'!$B$67&lt;=C4004*12))),'Operating costs'!$B$66,0),"n.a."))</f>
        <v>0</v>
      </c>
      <c r="N4004" s="16">
        <f>IF(NOT(Paths!$C$370=1),0,IF(Paths!$P$370="Complete",SUM(G4004:I4004)-J4004-K4004-L4004+M4004+IF(C4004=0,Paths!$F$370,0)+IF(IF(Paths!$E$370=0,C4004=0,AND(C4004&gt;0,Paths!$E$370&gt;(C4004-1)*12,Paths!$E$370&lt;=C4004*12)),VLOOKUP(A4004,'Fleet register'!$A$7:$S$106,16,FALSE),0),"n.a."))</f>
        <v>0</v>
      </c>
      <c r="O4004" s="16">
        <f>IF(NOT(Paths!$C$370=1),0,IF(Paths!$P$370="Complete",N4004-IF(C4004=0,Paths!$F$370,0),"n.a."))</f>
        <v>0</v>
      </c>
      <c r="P4004" s="16">
        <f>IF(NOT(Paths!$C$370=1),0,IF(Paths!$P$370="Complete",O4004+L4004,"n.a."))</f>
        <v>0</v>
      </c>
      <c r="Q4004" s="16">
        <f>IF(NOT(Paths!$C$370=1),0,IF(Paths!$P$370="Complete",N4004*(1+'Operating costs'!$B$54)^-C4004,"n.a."))</f>
        <v>0</v>
      </c>
      <c r="R4004" s="16">
        <f>IF(NOT(Paths!$C$370=1),0,IF(Paths!$P$370="Complete",IF(AND(C4004=0,Paths!$E$370=0),I4004-J4004-K4004+VLOOKUP(A4004,'Fleet register'!$A$7:$S$106,15,FALSE)+VLOOKUP(A4004,'Fleet register'!$A$7:$S$106,16,FALSE),0),"n.a."))</f>
        <v>0</v>
      </c>
      <c r="S4004" s="1">
        <f>IF(NOT(Paths!$C$370=1),0,IF(Paths!$P$370="Complete",IF(C4004=0,0,Paths!$S$370*Paths!$R$370),"n.a."))</f>
        <v>0</v>
      </c>
      <c r="T4004" s="1">
        <f>IF(NOT(Paths!$C$370=1),0,IF(Paths!$P$370="Complete",IF(C4004=0,0,VLOOKUP(A4004,'Fleet register'!$A$7:$S$106,9,FALSE)*Paths!$R$370),"n.a."))</f>
        <v>0</v>
      </c>
    </row>
    <row r="4005" spans="1:20" ht="24" customHeight="1">
      <c r="A4005" s="1" t="str">
        <f>Paths!$A$370</f>
        <v>T091</v>
      </c>
      <c r="B4005" s="1">
        <f>Paths!$B$370</f>
        <v>3</v>
      </c>
      <c r="C4005" s="1">
        <v>5</v>
      </c>
      <c r="D4005" s="1">
        <v>370</v>
      </c>
      <c r="E4005" s="1">
        <f>IF(OR(Paths!$C$370=0,C4005=0),0,MAX(0,MIN(C4005*12,Paths!$E$370)-(C4005-1)*12))</f>
        <v>0</v>
      </c>
      <c r="F4005" s="1">
        <f>IF(OR(Paths!$C$370=0,C4005=0),0,12-E4005)</f>
        <v>0</v>
      </c>
      <c r="G4005" s="16">
        <f>IF(NOT(Paths!$C$370=1),0,IF(Paths!$P$370="Complete",E4005/12*(Paths!$J$370*(1+'Operating costs'!$B$51)^MAX(0,C4005-1)+Paths!$K$370*(1+'Operating costs'!$B$53)^MAX(0,C4005-1)),"n.a."))</f>
        <v>0</v>
      </c>
      <c r="H4005" s="16">
        <f>IF(NOT(Paths!$C$370=1),0,IF(Paths!$P$370="Complete",F4005/12*(Paths!$L$370*(1+IF(Paths!$D$370="EV",'Operating costs'!$B$52,'Operating costs'!$B$51))^MAX(0,C4005-1)+Paths!$M$370*(1+'Operating costs'!$B$53)^MAX(0,C4005-1)),"n.a."))</f>
        <v>0</v>
      </c>
      <c r="I4005" s="16">
        <f>IF(NOT(Paths!$C$370=1),0,IF(Paths!$P$370="Complete",IF(IF(Paths!$E$370=0,C4005=0,AND(C4005&gt;0,Paths!$E$370&gt;(C4005-1)*12,Paths!$E$370&lt;=C4005*12)),Paths!$G$370,0),"n.a."))</f>
        <v>0</v>
      </c>
      <c r="J4005" s="16">
        <f>IF(NOT(Paths!$C$370=1),0,IF(Paths!$P$370="Complete",IF(IF(Paths!$E$370=0,C4005=0,AND(C4005&gt;0,Paths!$E$370&gt;(C4005-1)*12,Paths!$E$370&lt;=C4005*12)),Paths!$H$370,0),"n.a."))</f>
        <v>0</v>
      </c>
      <c r="K4005" s="16">
        <f>IF(NOT(Paths!$C$370=1),0,IF(Paths!$P$370="Complete",IF(IF(Paths!$O$370=0,C4005=0,AND(C4005&gt;0,Paths!$O$370&gt;(C4005-1)*12,Paths!$O$370&lt;=C4005*12)),Paths!$N$370,0),"n.a."))</f>
        <v>0</v>
      </c>
      <c r="L4005" s="16">
        <f>IF(NOT(Paths!$C$370=1),0,IF(Paths!$P$370="Complete",IF(C4005=10,Paths!$I$370,0),"n.a."))</f>
        <v>0</v>
      </c>
      <c r="M4005" s="16">
        <f>IF(NOT(Paths!$C$370=1),0,IF(Paths!$P$370="Complete",IF(AND(Paths!$D$370="EV",Paths!$E$370&lt;120,Paths!$E$370+'Operating costs'!$B$65&gt;Paths!$E$370,Paths!$E$370+'Operating costs'!$B$65&lt;=120,IF(Paths!$E$370+'Operating costs'!$B$65=0,C4005=0,AND(C4005&gt;0,Paths!$E$370+'Operating costs'!$B$65&gt;(C4005-1)*12,Paths!$E$370+'Operating costs'!$B$65&lt;=C4005*12))),'Operating costs'!$B$64,0)+IF(AND('Operating costs'!$B$67&gt;0,'Operating costs'!$B$67&lt;=120,OR(Paths!$D$370="ICE",'Operating costs'!$B$67&lt;=Paths!$E$370),IF('Operating costs'!$B$67=0,C4005=0,AND(C4005&gt;0,'Operating costs'!$B$67&gt;(C4005-1)*12,'Operating costs'!$B$67&lt;=C4005*12))),'Operating costs'!$B$66,0),"n.a."))</f>
        <v>0</v>
      </c>
      <c r="N4005" s="16">
        <f>IF(NOT(Paths!$C$370=1),0,IF(Paths!$P$370="Complete",SUM(G4005:I4005)-J4005-K4005-L4005+M4005+IF(C4005=0,Paths!$F$370,0)+IF(IF(Paths!$E$370=0,C4005=0,AND(C4005&gt;0,Paths!$E$370&gt;(C4005-1)*12,Paths!$E$370&lt;=C4005*12)),VLOOKUP(A4005,'Fleet register'!$A$7:$S$106,16,FALSE),0),"n.a."))</f>
        <v>0</v>
      </c>
      <c r="O4005" s="16">
        <f>IF(NOT(Paths!$C$370=1),0,IF(Paths!$P$370="Complete",N4005-IF(C4005=0,Paths!$F$370,0),"n.a."))</f>
        <v>0</v>
      </c>
      <c r="P4005" s="16">
        <f>IF(NOT(Paths!$C$370=1),0,IF(Paths!$P$370="Complete",O4005+L4005,"n.a."))</f>
        <v>0</v>
      </c>
      <c r="Q4005" s="16">
        <f>IF(NOT(Paths!$C$370=1),0,IF(Paths!$P$370="Complete",N4005*(1+'Operating costs'!$B$54)^-C4005,"n.a."))</f>
        <v>0</v>
      </c>
      <c r="R4005" s="16">
        <f>IF(NOT(Paths!$C$370=1),0,IF(Paths!$P$370="Complete",IF(AND(C4005=0,Paths!$E$370=0),I4005-J4005-K4005+VLOOKUP(A4005,'Fleet register'!$A$7:$S$106,15,FALSE)+VLOOKUP(A4005,'Fleet register'!$A$7:$S$106,16,FALSE),0),"n.a."))</f>
        <v>0</v>
      </c>
      <c r="S4005" s="1">
        <f>IF(NOT(Paths!$C$370=1),0,IF(Paths!$P$370="Complete",IF(C4005=0,0,Paths!$S$370*Paths!$R$370),"n.a."))</f>
        <v>0</v>
      </c>
      <c r="T4005" s="1">
        <f>IF(NOT(Paths!$C$370=1),0,IF(Paths!$P$370="Complete",IF(C4005=0,0,VLOOKUP(A4005,'Fleet register'!$A$7:$S$106,9,FALSE)*Paths!$R$370),"n.a."))</f>
        <v>0</v>
      </c>
    </row>
    <row r="4006" spans="1:20" ht="24" customHeight="1">
      <c r="A4006" s="1" t="str">
        <f>Paths!$A$370</f>
        <v>T091</v>
      </c>
      <c r="B4006" s="1">
        <f>Paths!$B$370</f>
        <v>3</v>
      </c>
      <c r="C4006" s="1">
        <v>6</v>
      </c>
      <c r="D4006" s="1">
        <v>370</v>
      </c>
      <c r="E4006" s="1">
        <f>IF(OR(Paths!$C$370=0,C4006=0),0,MAX(0,MIN(C4006*12,Paths!$E$370)-(C4006-1)*12))</f>
        <v>0</v>
      </c>
      <c r="F4006" s="1">
        <f>IF(OR(Paths!$C$370=0,C4006=0),0,12-E4006)</f>
        <v>0</v>
      </c>
      <c r="G4006" s="16">
        <f>IF(NOT(Paths!$C$370=1),0,IF(Paths!$P$370="Complete",E4006/12*(Paths!$J$370*(1+'Operating costs'!$B$51)^MAX(0,C4006-1)+Paths!$K$370*(1+'Operating costs'!$B$53)^MAX(0,C4006-1)),"n.a."))</f>
        <v>0</v>
      </c>
      <c r="H4006" s="16">
        <f>IF(NOT(Paths!$C$370=1),0,IF(Paths!$P$370="Complete",F4006/12*(Paths!$L$370*(1+IF(Paths!$D$370="EV",'Operating costs'!$B$52,'Operating costs'!$B$51))^MAX(0,C4006-1)+Paths!$M$370*(1+'Operating costs'!$B$53)^MAX(0,C4006-1)),"n.a."))</f>
        <v>0</v>
      </c>
      <c r="I4006" s="16">
        <f>IF(NOT(Paths!$C$370=1),0,IF(Paths!$P$370="Complete",IF(IF(Paths!$E$370=0,C4006=0,AND(C4006&gt;0,Paths!$E$370&gt;(C4006-1)*12,Paths!$E$370&lt;=C4006*12)),Paths!$G$370,0),"n.a."))</f>
        <v>0</v>
      </c>
      <c r="J4006" s="16">
        <f>IF(NOT(Paths!$C$370=1),0,IF(Paths!$P$370="Complete",IF(IF(Paths!$E$370=0,C4006=0,AND(C4006&gt;0,Paths!$E$370&gt;(C4006-1)*12,Paths!$E$370&lt;=C4006*12)),Paths!$H$370,0),"n.a."))</f>
        <v>0</v>
      </c>
      <c r="K4006" s="16">
        <f>IF(NOT(Paths!$C$370=1),0,IF(Paths!$P$370="Complete",IF(IF(Paths!$O$370=0,C4006=0,AND(C4006&gt;0,Paths!$O$370&gt;(C4006-1)*12,Paths!$O$370&lt;=C4006*12)),Paths!$N$370,0),"n.a."))</f>
        <v>0</v>
      </c>
      <c r="L4006" s="16">
        <f>IF(NOT(Paths!$C$370=1),0,IF(Paths!$P$370="Complete",IF(C4006=10,Paths!$I$370,0),"n.a."))</f>
        <v>0</v>
      </c>
      <c r="M4006" s="16">
        <f>IF(NOT(Paths!$C$370=1),0,IF(Paths!$P$370="Complete",IF(AND(Paths!$D$370="EV",Paths!$E$370&lt;120,Paths!$E$370+'Operating costs'!$B$65&gt;Paths!$E$370,Paths!$E$370+'Operating costs'!$B$65&lt;=120,IF(Paths!$E$370+'Operating costs'!$B$65=0,C4006=0,AND(C4006&gt;0,Paths!$E$370+'Operating costs'!$B$65&gt;(C4006-1)*12,Paths!$E$370+'Operating costs'!$B$65&lt;=C4006*12))),'Operating costs'!$B$64,0)+IF(AND('Operating costs'!$B$67&gt;0,'Operating costs'!$B$67&lt;=120,OR(Paths!$D$370="ICE",'Operating costs'!$B$67&lt;=Paths!$E$370),IF('Operating costs'!$B$67=0,C4006=0,AND(C4006&gt;0,'Operating costs'!$B$67&gt;(C4006-1)*12,'Operating costs'!$B$67&lt;=C4006*12))),'Operating costs'!$B$66,0),"n.a."))</f>
        <v>0</v>
      </c>
      <c r="N4006" s="16">
        <f>IF(NOT(Paths!$C$370=1),0,IF(Paths!$P$370="Complete",SUM(G4006:I4006)-J4006-K4006-L4006+M4006+IF(C4006=0,Paths!$F$370,0)+IF(IF(Paths!$E$370=0,C4006=0,AND(C4006&gt;0,Paths!$E$370&gt;(C4006-1)*12,Paths!$E$370&lt;=C4006*12)),VLOOKUP(A4006,'Fleet register'!$A$7:$S$106,16,FALSE),0),"n.a."))</f>
        <v>0</v>
      </c>
      <c r="O4006" s="16">
        <f>IF(NOT(Paths!$C$370=1),0,IF(Paths!$P$370="Complete",N4006-IF(C4006=0,Paths!$F$370,0),"n.a."))</f>
        <v>0</v>
      </c>
      <c r="P4006" s="16">
        <f>IF(NOT(Paths!$C$370=1),0,IF(Paths!$P$370="Complete",O4006+L4006,"n.a."))</f>
        <v>0</v>
      </c>
      <c r="Q4006" s="16">
        <f>IF(NOT(Paths!$C$370=1),0,IF(Paths!$P$370="Complete",N4006*(1+'Operating costs'!$B$54)^-C4006,"n.a."))</f>
        <v>0</v>
      </c>
      <c r="R4006" s="16">
        <f>IF(NOT(Paths!$C$370=1),0,IF(Paths!$P$370="Complete",IF(AND(C4006=0,Paths!$E$370=0),I4006-J4006-K4006+VLOOKUP(A4006,'Fleet register'!$A$7:$S$106,15,FALSE)+VLOOKUP(A4006,'Fleet register'!$A$7:$S$106,16,FALSE),0),"n.a."))</f>
        <v>0</v>
      </c>
      <c r="S4006" s="1">
        <f>IF(NOT(Paths!$C$370=1),0,IF(Paths!$P$370="Complete",IF(C4006=0,0,Paths!$S$370*Paths!$R$370),"n.a."))</f>
        <v>0</v>
      </c>
      <c r="T4006" s="1">
        <f>IF(NOT(Paths!$C$370=1),0,IF(Paths!$P$370="Complete",IF(C4006=0,0,VLOOKUP(A4006,'Fleet register'!$A$7:$S$106,9,FALSE)*Paths!$R$370),"n.a."))</f>
        <v>0</v>
      </c>
    </row>
    <row r="4007" spans="1:20" ht="24" customHeight="1">
      <c r="A4007" s="1" t="str">
        <f>Paths!$A$370</f>
        <v>T091</v>
      </c>
      <c r="B4007" s="1">
        <f>Paths!$B$370</f>
        <v>3</v>
      </c>
      <c r="C4007" s="1">
        <v>7</v>
      </c>
      <c r="D4007" s="1">
        <v>370</v>
      </c>
      <c r="E4007" s="1">
        <f>IF(OR(Paths!$C$370=0,C4007=0),0,MAX(0,MIN(C4007*12,Paths!$E$370)-(C4007-1)*12))</f>
        <v>0</v>
      </c>
      <c r="F4007" s="1">
        <f>IF(OR(Paths!$C$370=0,C4007=0),0,12-E4007)</f>
        <v>0</v>
      </c>
      <c r="G4007" s="16">
        <f>IF(NOT(Paths!$C$370=1),0,IF(Paths!$P$370="Complete",E4007/12*(Paths!$J$370*(1+'Operating costs'!$B$51)^MAX(0,C4007-1)+Paths!$K$370*(1+'Operating costs'!$B$53)^MAX(0,C4007-1)),"n.a."))</f>
        <v>0</v>
      </c>
      <c r="H4007" s="16">
        <f>IF(NOT(Paths!$C$370=1),0,IF(Paths!$P$370="Complete",F4007/12*(Paths!$L$370*(1+IF(Paths!$D$370="EV",'Operating costs'!$B$52,'Operating costs'!$B$51))^MAX(0,C4007-1)+Paths!$M$370*(1+'Operating costs'!$B$53)^MAX(0,C4007-1)),"n.a."))</f>
        <v>0</v>
      </c>
      <c r="I4007" s="16">
        <f>IF(NOT(Paths!$C$370=1),0,IF(Paths!$P$370="Complete",IF(IF(Paths!$E$370=0,C4007=0,AND(C4007&gt;0,Paths!$E$370&gt;(C4007-1)*12,Paths!$E$370&lt;=C4007*12)),Paths!$G$370,0),"n.a."))</f>
        <v>0</v>
      </c>
      <c r="J4007" s="16">
        <f>IF(NOT(Paths!$C$370=1),0,IF(Paths!$P$370="Complete",IF(IF(Paths!$E$370=0,C4007=0,AND(C4007&gt;0,Paths!$E$370&gt;(C4007-1)*12,Paths!$E$370&lt;=C4007*12)),Paths!$H$370,0),"n.a."))</f>
        <v>0</v>
      </c>
      <c r="K4007" s="16">
        <f>IF(NOT(Paths!$C$370=1),0,IF(Paths!$P$370="Complete",IF(IF(Paths!$O$370=0,C4007=0,AND(C4007&gt;0,Paths!$O$370&gt;(C4007-1)*12,Paths!$O$370&lt;=C4007*12)),Paths!$N$370,0),"n.a."))</f>
        <v>0</v>
      </c>
      <c r="L4007" s="16">
        <f>IF(NOT(Paths!$C$370=1),0,IF(Paths!$P$370="Complete",IF(C4007=10,Paths!$I$370,0),"n.a."))</f>
        <v>0</v>
      </c>
      <c r="M4007" s="16">
        <f>IF(NOT(Paths!$C$370=1),0,IF(Paths!$P$370="Complete",IF(AND(Paths!$D$370="EV",Paths!$E$370&lt;120,Paths!$E$370+'Operating costs'!$B$65&gt;Paths!$E$370,Paths!$E$370+'Operating costs'!$B$65&lt;=120,IF(Paths!$E$370+'Operating costs'!$B$65=0,C4007=0,AND(C4007&gt;0,Paths!$E$370+'Operating costs'!$B$65&gt;(C4007-1)*12,Paths!$E$370+'Operating costs'!$B$65&lt;=C4007*12))),'Operating costs'!$B$64,0)+IF(AND('Operating costs'!$B$67&gt;0,'Operating costs'!$B$67&lt;=120,OR(Paths!$D$370="ICE",'Operating costs'!$B$67&lt;=Paths!$E$370),IF('Operating costs'!$B$67=0,C4007=0,AND(C4007&gt;0,'Operating costs'!$B$67&gt;(C4007-1)*12,'Operating costs'!$B$67&lt;=C4007*12))),'Operating costs'!$B$66,0),"n.a."))</f>
        <v>0</v>
      </c>
      <c r="N4007" s="16">
        <f>IF(NOT(Paths!$C$370=1),0,IF(Paths!$P$370="Complete",SUM(G4007:I4007)-J4007-K4007-L4007+M4007+IF(C4007=0,Paths!$F$370,0)+IF(IF(Paths!$E$370=0,C4007=0,AND(C4007&gt;0,Paths!$E$370&gt;(C4007-1)*12,Paths!$E$370&lt;=C4007*12)),VLOOKUP(A4007,'Fleet register'!$A$7:$S$106,16,FALSE),0),"n.a."))</f>
        <v>0</v>
      </c>
      <c r="O4007" s="16">
        <f>IF(NOT(Paths!$C$370=1),0,IF(Paths!$P$370="Complete",N4007-IF(C4007=0,Paths!$F$370,0),"n.a."))</f>
        <v>0</v>
      </c>
      <c r="P4007" s="16">
        <f>IF(NOT(Paths!$C$370=1),0,IF(Paths!$P$370="Complete",O4007+L4007,"n.a."))</f>
        <v>0</v>
      </c>
      <c r="Q4007" s="16">
        <f>IF(NOT(Paths!$C$370=1),0,IF(Paths!$P$370="Complete",N4007*(1+'Operating costs'!$B$54)^-C4007,"n.a."))</f>
        <v>0</v>
      </c>
      <c r="R4007" s="16">
        <f>IF(NOT(Paths!$C$370=1),0,IF(Paths!$P$370="Complete",IF(AND(C4007=0,Paths!$E$370=0),I4007-J4007-K4007+VLOOKUP(A4007,'Fleet register'!$A$7:$S$106,15,FALSE)+VLOOKUP(A4007,'Fleet register'!$A$7:$S$106,16,FALSE),0),"n.a."))</f>
        <v>0</v>
      </c>
      <c r="S4007" s="1">
        <f>IF(NOT(Paths!$C$370=1),0,IF(Paths!$P$370="Complete",IF(C4007=0,0,Paths!$S$370*Paths!$R$370),"n.a."))</f>
        <v>0</v>
      </c>
      <c r="T4007" s="1">
        <f>IF(NOT(Paths!$C$370=1),0,IF(Paths!$P$370="Complete",IF(C4007=0,0,VLOOKUP(A4007,'Fleet register'!$A$7:$S$106,9,FALSE)*Paths!$R$370),"n.a."))</f>
        <v>0</v>
      </c>
    </row>
    <row r="4008" spans="1:20" ht="24" customHeight="1">
      <c r="A4008" s="1" t="str">
        <f>Paths!$A$370</f>
        <v>T091</v>
      </c>
      <c r="B4008" s="1">
        <f>Paths!$B$370</f>
        <v>3</v>
      </c>
      <c r="C4008" s="1">
        <v>8</v>
      </c>
      <c r="D4008" s="1">
        <v>370</v>
      </c>
      <c r="E4008" s="1">
        <f>IF(OR(Paths!$C$370=0,C4008=0),0,MAX(0,MIN(C4008*12,Paths!$E$370)-(C4008-1)*12))</f>
        <v>0</v>
      </c>
      <c r="F4008" s="1">
        <f>IF(OR(Paths!$C$370=0,C4008=0),0,12-E4008)</f>
        <v>0</v>
      </c>
      <c r="G4008" s="16">
        <f>IF(NOT(Paths!$C$370=1),0,IF(Paths!$P$370="Complete",E4008/12*(Paths!$J$370*(1+'Operating costs'!$B$51)^MAX(0,C4008-1)+Paths!$K$370*(1+'Operating costs'!$B$53)^MAX(0,C4008-1)),"n.a."))</f>
        <v>0</v>
      </c>
      <c r="H4008" s="16">
        <f>IF(NOT(Paths!$C$370=1),0,IF(Paths!$P$370="Complete",F4008/12*(Paths!$L$370*(1+IF(Paths!$D$370="EV",'Operating costs'!$B$52,'Operating costs'!$B$51))^MAX(0,C4008-1)+Paths!$M$370*(1+'Operating costs'!$B$53)^MAX(0,C4008-1)),"n.a."))</f>
        <v>0</v>
      </c>
      <c r="I4008" s="16">
        <f>IF(NOT(Paths!$C$370=1),0,IF(Paths!$P$370="Complete",IF(IF(Paths!$E$370=0,C4008=0,AND(C4008&gt;0,Paths!$E$370&gt;(C4008-1)*12,Paths!$E$370&lt;=C4008*12)),Paths!$G$370,0),"n.a."))</f>
        <v>0</v>
      </c>
      <c r="J4008" s="16">
        <f>IF(NOT(Paths!$C$370=1),0,IF(Paths!$P$370="Complete",IF(IF(Paths!$E$370=0,C4008=0,AND(C4008&gt;0,Paths!$E$370&gt;(C4008-1)*12,Paths!$E$370&lt;=C4008*12)),Paths!$H$370,0),"n.a."))</f>
        <v>0</v>
      </c>
      <c r="K4008" s="16">
        <f>IF(NOT(Paths!$C$370=1),0,IF(Paths!$P$370="Complete",IF(IF(Paths!$O$370=0,C4008=0,AND(C4008&gt;0,Paths!$O$370&gt;(C4008-1)*12,Paths!$O$370&lt;=C4008*12)),Paths!$N$370,0),"n.a."))</f>
        <v>0</v>
      </c>
      <c r="L4008" s="16">
        <f>IF(NOT(Paths!$C$370=1),0,IF(Paths!$P$370="Complete",IF(C4008=10,Paths!$I$370,0),"n.a."))</f>
        <v>0</v>
      </c>
      <c r="M4008" s="16">
        <f>IF(NOT(Paths!$C$370=1),0,IF(Paths!$P$370="Complete",IF(AND(Paths!$D$370="EV",Paths!$E$370&lt;120,Paths!$E$370+'Operating costs'!$B$65&gt;Paths!$E$370,Paths!$E$370+'Operating costs'!$B$65&lt;=120,IF(Paths!$E$370+'Operating costs'!$B$65=0,C4008=0,AND(C4008&gt;0,Paths!$E$370+'Operating costs'!$B$65&gt;(C4008-1)*12,Paths!$E$370+'Operating costs'!$B$65&lt;=C4008*12))),'Operating costs'!$B$64,0)+IF(AND('Operating costs'!$B$67&gt;0,'Operating costs'!$B$67&lt;=120,OR(Paths!$D$370="ICE",'Operating costs'!$B$67&lt;=Paths!$E$370),IF('Operating costs'!$B$67=0,C4008=0,AND(C4008&gt;0,'Operating costs'!$B$67&gt;(C4008-1)*12,'Operating costs'!$B$67&lt;=C4008*12))),'Operating costs'!$B$66,0),"n.a."))</f>
        <v>0</v>
      </c>
      <c r="N4008" s="16">
        <f>IF(NOT(Paths!$C$370=1),0,IF(Paths!$P$370="Complete",SUM(G4008:I4008)-J4008-K4008-L4008+M4008+IF(C4008=0,Paths!$F$370,0)+IF(IF(Paths!$E$370=0,C4008=0,AND(C4008&gt;0,Paths!$E$370&gt;(C4008-1)*12,Paths!$E$370&lt;=C4008*12)),VLOOKUP(A4008,'Fleet register'!$A$7:$S$106,16,FALSE),0),"n.a."))</f>
        <v>0</v>
      </c>
      <c r="O4008" s="16">
        <f>IF(NOT(Paths!$C$370=1),0,IF(Paths!$P$370="Complete",N4008-IF(C4008=0,Paths!$F$370,0),"n.a."))</f>
        <v>0</v>
      </c>
      <c r="P4008" s="16">
        <f>IF(NOT(Paths!$C$370=1),0,IF(Paths!$P$370="Complete",O4008+L4008,"n.a."))</f>
        <v>0</v>
      </c>
      <c r="Q4008" s="16">
        <f>IF(NOT(Paths!$C$370=1),0,IF(Paths!$P$370="Complete",N4008*(1+'Operating costs'!$B$54)^-C4008,"n.a."))</f>
        <v>0</v>
      </c>
      <c r="R4008" s="16">
        <f>IF(NOT(Paths!$C$370=1),0,IF(Paths!$P$370="Complete",IF(AND(C4008=0,Paths!$E$370=0),I4008-J4008-K4008+VLOOKUP(A4008,'Fleet register'!$A$7:$S$106,15,FALSE)+VLOOKUP(A4008,'Fleet register'!$A$7:$S$106,16,FALSE),0),"n.a."))</f>
        <v>0</v>
      </c>
      <c r="S4008" s="1">
        <f>IF(NOT(Paths!$C$370=1),0,IF(Paths!$P$370="Complete",IF(C4008=0,0,Paths!$S$370*Paths!$R$370),"n.a."))</f>
        <v>0</v>
      </c>
      <c r="T4008" s="1">
        <f>IF(NOT(Paths!$C$370=1),0,IF(Paths!$P$370="Complete",IF(C4008=0,0,VLOOKUP(A4008,'Fleet register'!$A$7:$S$106,9,FALSE)*Paths!$R$370),"n.a."))</f>
        <v>0</v>
      </c>
    </row>
    <row r="4009" spans="1:20" ht="24" customHeight="1">
      <c r="A4009" s="1" t="str">
        <f>Paths!$A$370</f>
        <v>T091</v>
      </c>
      <c r="B4009" s="1">
        <f>Paths!$B$370</f>
        <v>3</v>
      </c>
      <c r="C4009" s="1">
        <v>9</v>
      </c>
      <c r="D4009" s="1">
        <v>370</v>
      </c>
      <c r="E4009" s="1">
        <f>IF(OR(Paths!$C$370=0,C4009=0),0,MAX(0,MIN(C4009*12,Paths!$E$370)-(C4009-1)*12))</f>
        <v>0</v>
      </c>
      <c r="F4009" s="1">
        <f>IF(OR(Paths!$C$370=0,C4009=0),0,12-E4009)</f>
        <v>0</v>
      </c>
      <c r="G4009" s="16">
        <f>IF(NOT(Paths!$C$370=1),0,IF(Paths!$P$370="Complete",E4009/12*(Paths!$J$370*(1+'Operating costs'!$B$51)^MAX(0,C4009-1)+Paths!$K$370*(1+'Operating costs'!$B$53)^MAX(0,C4009-1)),"n.a."))</f>
        <v>0</v>
      </c>
      <c r="H4009" s="16">
        <f>IF(NOT(Paths!$C$370=1),0,IF(Paths!$P$370="Complete",F4009/12*(Paths!$L$370*(1+IF(Paths!$D$370="EV",'Operating costs'!$B$52,'Operating costs'!$B$51))^MAX(0,C4009-1)+Paths!$M$370*(1+'Operating costs'!$B$53)^MAX(0,C4009-1)),"n.a."))</f>
        <v>0</v>
      </c>
      <c r="I4009" s="16">
        <f>IF(NOT(Paths!$C$370=1),0,IF(Paths!$P$370="Complete",IF(IF(Paths!$E$370=0,C4009=0,AND(C4009&gt;0,Paths!$E$370&gt;(C4009-1)*12,Paths!$E$370&lt;=C4009*12)),Paths!$G$370,0),"n.a."))</f>
        <v>0</v>
      </c>
      <c r="J4009" s="16">
        <f>IF(NOT(Paths!$C$370=1),0,IF(Paths!$P$370="Complete",IF(IF(Paths!$E$370=0,C4009=0,AND(C4009&gt;0,Paths!$E$370&gt;(C4009-1)*12,Paths!$E$370&lt;=C4009*12)),Paths!$H$370,0),"n.a."))</f>
        <v>0</v>
      </c>
      <c r="K4009" s="16">
        <f>IF(NOT(Paths!$C$370=1),0,IF(Paths!$P$370="Complete",IF(IF(Paths!$O$370=0,C4009=0,AND(C4009&gt;0,Paths!$O$370&gt;(C4009-1)*12,Paths!$O$370&lt;=C4009*12)),Paths!$N$370,0),"n.a."))</f>
        <v>0</v>
      </c>
      <c r="L4009" s="16">
        <f>IF(NOT(Paths!$C$370=1),0,IF(Paths!$P$370="Complete",IF(C4009=10,Paths!$I$370,0),"n.a."))</f>
        <v>0</v>
      </c>
      <c r="M4009" s="16">
        <f>IF(NOT(Paths!$C$370=1),0,IF(Paths!$P$370="Complete",IF(AND(Paths!$D$370="EV",Paths!$E$370&lt;120,Paths!$E$370+'Operating costs'!$B$65&gt;Paths!$E$370,Paths!$E$370+'Operating costs'!$B$65&lt;=120,IF(Paths!$E$370+'Operating costs'!$B$65=0,C4009=0,AND(C4009&gt;0,Paths!$E$370+'Operating costs'!$B$65&gt;(C4009-1)*12,Paths!$E$370+'Operating costs'!$B$65&lt;=C4009*12))),'Operating costs'!$B$64,0)+IF(AND('Operating costs'!$B$67&gt;0,'Operating costs'!$B$67&lt;=120,OR(Paths!$D$370="ICE",'Operating costs'!$B$67&lt;=Paths!$E$370),IF('Operating costs'!$B$67=0,C4009=0,AND(C4009&gt;0,'Operating costs'!$B$67&gt;(C4009-1)*12,'Operating costs'!$B$67&lt;=C4009*12))),'Operating costs'!$B$66,0),"n.a."))</f>
        <v>0</v>
      </c>
      <c r="N4009" s="16">
        <f>IF(NOT(Paths!$C$370=1),0,IF(Paths!$P$370="Complete",SUM(G4009:I4009)-J4009-K4009-L4009+M4009+IF(C4009=0,Paths!$F$370,0)+IF(IF(Paths!$E$370=0,C4009=0,AND(C4009&gt;0,Paths!$E$370&gt;(C4009-1)*12,Paths!$E$370&lt;=C4009*12)),VLOOKUP(A4009,'Fleet register'!$A$7:$S$106,16,FALSE),0),"n.a."))</f>
        <v>0</v>
      </c>
      <c r="O4009" s="16">
        <f>IF(NOT(Paths!$C$370=1),0,IF(Paths!$P$370="Complete",N4009-IF(C4009=0,Paths!$F$370,0),"n.a."))</f>
        <v>0</v>
      </c>
      <c r="P4009" s="16">
        <f>IF(NOT(Paths!$C$370=1),0,IF(Paths!$P$370="Complete",O4009+L4009,"n.a."))</f>
        <v>0</v>
      </c>
      <c r="Q4009" s="16">
        <f>IF(NOT(Paths!$C$370=1),0,IF(Paths!$P$370="Complete",N4009*(1+'Operating costs'!$B$54)^-C4009,"n.a."))</f>
        <v>0</v>
      </c>
      <c r="R4009" s="16">
        <f>IF(NOT(Paths!$C$370=1),0,IF(Paths!$P$370="Complete",IF(AND(C4009=0,Paths!$E$370=0),I4009-J4009-K4009+VLOOKUP(A4009,'Fleet register'!$A$7:$S$106,15,FALSE)+VLOOKUP(A4009,'Fleet register'!$A$7:$S$106,16,FALSE),0),"n.a."))</f>
        <v>0</v>
      </c>
      <c r="S4009" s="1">
        <f>IF(NOT(Paths!$C$370=1),0,IF(Paths!$P$370="Complete",IF(C4009=0,0,Paths!$S$370*Paths!$R$370),"n.a."))</f>
        <v>0</v>
      </c>
      <c r="T4009" s="1">
        <f>IF(NOT(Paths!$C$370=1),0,IF(Paths!$P$370="Complete",IF(C4009=0,0,VLOOKUP(A4009,'Fleet register'!$A$7:$S$106,9,FALSE)*Paths!$R$370),"n.a."))</f>
        <v>0</v>
      </c>
    </row>
    <row r="4010" spans="1:20" ht="24" customHeight="1">
      <c r="A4010" s="1" t="str">
        <f>Paths!$A$370</f>
        <v>T091</v>
      </c>
      <c r="B4010" s="1">
        <f>Paths!$B$370</f>
        <v>3</v>
      </c>
      <c r="C4010" s="1">
        <v>10</v>
      </c>
      <c r="D4010" s="1">
        <v>370</v>
      </c>
      <c r="E4010" s="1">
        <f>IF(OR(Paths!$C$370=0,C4010=0),0,MAX(0,MIN(C4010*12,Paths!$E$370)-(C4010-1)*12))</f>
        <v>0</v>
      </c>
      <c r="F4010" s="1">
        <f>IF(OR(Paths!$C$370=0,C4010=0),0,12-E4010)</f>
        <v>0</v>
      </c>
      <c r="G4010" s="16">
        <f>IF(NOT(Paths!$C$370=1),0,IF(Paths!$P$370="Complete",E4010/12*(Paths!$J$370*(1+'Operating costs'!$B$51)^MAX(0,C4010-1)+Paths!$K$370*(1+'Operating costs'!$B$53)^MAX(0,C4010-1)),"n.a."))</f>
        <v>0</v>
      </c>
      <c r="H4010" s="16">
        <f>IF(NOT(Paths!$C$370=1),0,IF(Paths!$P$370="Complete",F4010/12*(Paths!$L$370*(1+IF(Paths!$D$370="EV",'Operating costs'!$B$52,'Operating costs'!$B$51))^MAX(0,C4010-1)+Paths!$M$370*(1+'Operating costs'!$B$53)^MAX(0,C4010-1)),"n.a."))</f>
        <v>0</v>
      </c>
      <c r="I4010" s="16">
        <f>IF(NOT(Paths!$C$370=1),0,IF(Paths!$P$370="Complete",IF(IF(Paths!$E$370=0,C4010=0,AND(C4010&gt;0,Paths!$E$370&gt;(C4010-1)*12,Paths!$E$370&lt;=C4010*12)),Paths!$G$370,0),"n.a."))</f>
        <v>0</v>
      </c>
      <c r="J4010" s="16">
        <f>IF(NOT(Paths!$C$370=1),0,IF(Paths!$P$370="Complete",IF(IF(Paths!$E$370=0,C4010=0,AND(C4010&gt;0,Paths!$E$370&gt;(C4010-1)*12,Paths!$E$370&lt;=C4010*12)),Paths!$H$370,0),"n.a."))</f>
        <v>0</v>
      </c>
      <c r="K4010" s="16">
        <f>IF(NOT(Paths!$C$370=1),0,IF(Paths!$P$370="Complete",IF(IF(Paths!$O$370=0,C4010=0,AND(C4010&gt;0,Paths!$O$370&gt;(C4010-1)*12,Paths!$O$370&lt;=C4010*12)),Paths!$N$370,0),"n.a."))</f>
        <v>0</v>
      </c>
      <c r="L4010" s="16">
        <f>IF(NOT(Paths!$C$370=1),0,IF(Paths!$P$370="Complete",IF(C4010=10,Paths!$I$370,0),"n.a."))</f>
        <v>0</v>
      </c>
      <c r="M4010" s="16">
        <f>IF(NOT(Paths!$C$370=1),0,IF(Paths!$P$370="Complete",IF(AND(Paths!$D$370="EV",Paths!$E$370&lt;120,Paths!$E$370+'Operating costs'!$B$65&gt;Paths!$E$370,Paths!$E$370+'Operating costs'!$B$65&lt;=120,IF(Paths!$E$370+'Operating costs'!$B$65=0,C4010=0,AND(C4010&gt;0,Paths!$E$370+'Operating costs'!$B$65&gt;(C4010-1)*12,Paths!$E$370+'Operating costs'!$B$65&lt;=C4010*12))),'Operating costs'!$B$64,0)+IF(AND('Operating costs'!$B$67&gt;0,'Operating costs'!$B$67&lt;=120,OR(Paths!$D$370="ICE",'Operating costs'!$B$67&lt;=Paths!$E$370),IF('Operating costs'!$B$67=0,C4010=0,AND(C4010&gt;0,'Operating costs'!$B$67&gt;(C4010-1)*12,'Operating costs'!$B$67&lt;=C4010*12))),'Operating costs'!$B$66,0),"n.a."))</f>
        <v>0</v>
      </c>
      <c r="N4010" s="16">
        <f>IF(NOT(Paths!$C$370=1),0,IF(Paths!$P$370="Complete",SUM(G4010:I4010)-J4010-K4010-L4010+M4010+IF(C4010=0,Paths!$F$370,0)+IF(IF(Paths!$E$370=0,C4010=0,AND(C4010&gt;0,Paths!$E$370&gt;(C4010-1)*12,Paths!$E$370&lt;=C4010*12)),VLOOKUP(A4010,'Fleet register'!$A$7:$S$106,16,FALSE),0),"n.a."))</f>
        <v>0</v>
      </c>
      <c r="O4010" s="16">
        <f>IF(NOT(Paths!$C$370=1),0,IF(Paths!$P$370="Complete",N4010-IF(C4010=0,Paths!$F$370,0),"n.a."))</f>
        <v>0</v>
      </c>
      <c r="P4010" s="16">
        <f>IF(NOT(Paths!$C$370=1),0,IF(Paths!$P$370="Complete",O4010+L4010,"n.a."))</f>
        <v>0</v>
      </c>
      <c r="Q4010" s="16">
        <f>IF(NOT(Paths!$C$370=1),0,IF(Paths!$P$370="Complete",N4010*(1+'Operating costs'!$B$54)^-C4010,"n.a."))</f>
        <v>0</v>
      </c>
      <c r="R4010" s="16">
        <f>IF(NOT(Paths!$C$370=1),0,IF(Paths!$P$370="Complete",IF(AND(C4010=0,Paths!$E$370=0),I4010-J4010-K4010+VLOOKUP(A4010,'Fleet register'!$A$7:$S$106,15,FALSE)+VLOOKUP(A4010,'Fleet register'!$A$7:$S$106,16,FALSE),0),"n.a."))</f>
        <v>0</v>
      </c>
      <c r="S4010" s="1">
        <f>IF(NOT(Paths!$C$370=1),0,IF(Paths!$P$370="Complete",IF(C4010=0,0,Paths!$S$370*Paths!$R$370),"n.a."))</f>
        <v>0</v>
      </c>
      <c r="T4010" s="1">
        <f>IF(NOT(Paths!$C$370=1),0,IF(Paths!$P$370="Complete",IF(C4010=0,0,VLOOKUP(A4010,'Fleet register'!$A$7:$S$106,9,FALSE)*Paths!$R$370),"n.a."))</f>
        <v>0</v>
      </c>
    </row>
    <row r="4011" spans="1:20" ht="24" customHeight="1">
      <c r="A4011" s="1" t="str">
        <f>Paths!$A$371</f>
        <v>T092</v>
      </c>
      <c r="B4011" s="1">
        <f>Paths!$B$371</f>
        <v>0</v>
      </c>
      <c r="C4011" s="1">
        <v>0</v>
      </c>
      <c r="D4011" s="1">
        <v>371</v>
      </c>
      <c r="E4011" s="1">
        <f>IF(OR(Paths!$C$371=0,C4011=0),0,MAX(0,MIN(C4011*12,Paths!$E$371)-(C4011-1)*12))</f>
        <v>0</v>
      </c>
      <c r="F4011" s="1">
        <f>IF(OR(Paths!$C$371=0,C4011=0),0,12-E4011)</f>
        <v>0</v>
      </c>
      <c r="G4011" s="16">
        <f>IF(NOT(Paths!$C$371=1),0,IF(Paths!$P$371="Complete",E4011/12*(Paths!$J$371*(1+'Operating costs'!$B$51)^MAX(0,C4011-1)+Paths!$K$371*(1+'Operating costs'!$B$53)^MAX(0,C4011-1)),"n.a."))</f>
        <v>0</v>
      </c>
      <c r="H4011" s="16">
        <f>IF(NOT(Paths!$C$371=1),0,IF(Paths!$P$371="Complete",F4011/12*(Paths!$L$371*(1+IF(Paths!$D$371="EV",'Operating costs'!$B$52,'Operating costs'!$B$51))^MAX(0,C4011-1)+Paths!$M$371*(1+'Operating costs'!$B$53)^MAX(0,C4011-1)),"n.a."))</f>
        <v>0</v>
      </c>
      <c r="I4011" s="16">
        <f>IF(NOT(Paths!$C$371=1),0,IF(Paths!$P$371="Complete",IF(IF(Paths!$E$371=0,C4011=0,AND(C4011&gt;0,Paths!$E$371&gt;(C4011-1)*12,Paths!$E$371&lt;=C4011*12)),Paths!$G$371,0),"n.a."))</f>
        <v>0</v>
      </c>
      <c r="J4011" s="16">
        <f>IF(NOT(Paths!$C$371=1),0,IF(Paths!$P$371="Complete",IF(IF(Paths!$E$371=0,C4011=0,AND(C4011&gt;0,Paths!$E$371&gt;(C4011-1)*12,Paths!$E$371&lt;=C4011*12)),Paths!$H$371,0),"n.a."))</f>
        <v>0</v>
      </c>
      <c r="K4011" s="16">
        <f>IF(NOT(Paths!$C$371=1),0,IF(Paths!$P$371="Complete",IF(IF(Paths!$O$371=0,C4011=0,AND(C4011&gt;0,Paths!$O$371&gt;(C4011-1)*12,Paths!$O$371&lt;=C4011*12)),Paths!$N$371,0),"n.a."))</f>
        <v>0</v>
      </c>
      <c r="L4011" s="16">
        <f>IF(NOT(Paths!$C$371=1),0,IF(Paths!$P$371="Complete",IF(C4011=10,Paths!$I$371,0),"n.a."))</f>
        <v>0</v>
      </c>
      <c r="M4011" s="16">
        <f>IF(NOT(Paths!$C$371=1),0,IF(Paths!$P$371="Complete",IF(AND(Paths!$D$371="EV",Paths!$E$371&lt;120,Paths!$E$371+'Operating costs'!$B$65&gt;Paths!$E$371,Paths!$E$371+'Operating costs'!$B$65&lt;=120,IF(Paths!$E$371+'Operating costs'!$B$65=0,C4011=0,AND(C4011&gt;0,Paths!$E$371+'Operating costs'!$B$65&gt;(C4011-1)*12,Paths!$E$371+'Operating costs'!$B$65&lt;=C4011*12))),'Operating costs'!$B$64,0)+IF(AND('Operating costs'!$B$67&gt;0,'Operating costs'!$B$67&lt;=120,OR(Paths!$D$371="ICE",'Operating costs'!$B$67&lt;=Paths!$E$371),IF('Operating costs'!$B$67=0,C4011=0,AND(C4011&gt;0,'Operating costs'!$B$67&gt;(C4011-1)*12,'Operating costs'!$B$67&lt;=C4011*12))),'Operating costs'!$B$66,0),"n.a."))</f>
        <v>0</v>
      </c>
      <c r="N4011" s="16">
        <f>IF(NOT(Paths!$C$371=1),0,IF(Paths!$P$371="Complete",SUM(G4011:I4011)-J4011-K4011-L4011+M4011+IF(C4011=0,Paths!$F$371,0)+IF(IF(Paths!$E$371=0,C4011=0,AND(C4011&gt;0,Paths!$E$371&gt;(C4011-1)*12,Paths!$E$371&lt;=C4011*12)),VLOOKUP(A4011,'Fleet register'!$A$7:$S$106,16,FALSE),0),"n.a."))</f>
        <v>0</v>
      </c>
      <c r="O4011" s="16">
        <f>IF(NOT(Paths!$C$371=1),0,IF(Paths!$P$371="Complete",N4011-IF(C4011=0,Paths!$F$371,0),"n.a."))</f>
        <v>0</v>
      </c>
      <c r="P4011" s="16">
        <f>IF(NOT(Paths!$C$371=1),0,IF(Paths!$P$371="Complete",O4011+L4011,"n.a."))</f>
        <v>0</v>
      </c>
      <c r="Q4011" s="16">
        <f>IF(NOT(Paths!$C$371=1),0,IF(Paths!$P$371="Complete",N4011*(1+'Operating costs'!$B$54)^-C4011,"n.a."))</f>
        <v>0</v>
      </c>
      <c r="R4011" s="16">
        <f>IF(NOT(Paths!$C$371=1),0,IF(Paths!$P$371="Complete",IF(AND(C4011=0,Paths!$E$371=0),I4011-J4011-K4011+VLOOKUP(A4011,'Fleet register'!$A$7:$S$106,15,FALSE)+VLOOKUP(A4011,'Fleet register'!$A$7:$S$106,16,FALSE),0),"n.a."))</f>
        <v>0</v>
      </c>
      <c r="S4011" s="1">
        <f>IF(NOT(Paths!$C$371=1),0,IF(Paths!$P$371="Complete",IF(C4011=0,0,Paths!$S$371*Paths!$R$371),"n.a."))</f>
        <v>0</v>
      </c>
      <c r="T4011" s="1">
        <f>IF(NOT(Paths!$C$371=1),0,IF(Paths!$P$371="Complete",IF(C4011=0,0,VLOOKUP(A4011,'Fleet register'!$A$7:$S$106,9,FALSE)*Paths!$R$371),"n.a."))</f>
        <v>0</v>
      </c>
    </row>
    <row r="4012" spans="1:20" ht="24" customHeight="1">
      <c r="A4012" s="1" t="str">
        <f>Paths!$A$371</f>
        <v>T092</v>
      </c>
      <c r="B4012" s="1">
        <f>Paths!$B$371</f>
        <v>0</v>
      </c>
      <c r="C4012" s="1">
        <v>1</v>
      </c>
      <c r="D4012" s="1">
        <v>371</v>
      </c>
      <c r="E4012" s="1">
        <f>IF(OR(Paths!$C$371=0,C4012=0),0,MAX(0,MIN(C4012*12,Paths!$E$371)-(C4012-1)*12))</f>
        <v>0</v>
      </c>
      <c r="F4012" s="1">
        <f>IF(OR(Paths!$C$371=0,C4012=0),0,12-E4012)</f>
        <v>0</v>
      </c>
      <c r="G4012" s="16">
        <f>IF(NOT(Paths!$C$371=1),0,IF(Paths!$P$371="Complete",E4012/12*(Paths!$J$371*(1+'Operating costs'!$B$51)^MAX(0,C4012-1)+Paths!$K$371*(1+'Operating costs'!$B$53)^MAX(0,C4012-1)),"n.a."))</f>
        <v>0</v>
      </c>
      <c r="H4012" s="16">
        <f>IF(NOT(Paths!$C$371=1),0,IF(Paths!$P$371="Complete",F4012/12*(Paths!$L$371*(1+IF(Paths!$D$371="EV",'Operating costs'!$B$52,'Operating costs'!$B$51))^MAX(0,C4012-1)+Paths!$M$371*(1+'Operating costs'!$B$53)^MAX(0,C4012-1)),"n.a."))</f>
        <v>0</v>
      </c>
      <c r="I4012" s="16">
        <f>IF(NOT(Paths!$C$371=1),0,IF(Paths!$P$371="Complete",IF(IF(Paths!$E$371=0,C4012=0,AND(C4012&gt;0,Paths!$E$371&gt;(C4012-1)*12,Paths!$E$371&lt;=C4012*12)),Paths!$G$371,0),"n.a."))</f>
        <v>0</v>
      </c>
      <c r="J4012" s="16">
        <f>IF(NOT(Paths!$C$371=1),0,IF(Paths!$P$371="Complete",IF(IF(Paths!$E$371=0,C4012=0,AND(C4012&gt;0,Paths!$E$371&gt;(C4012-1)*12,Paths!$E$371&lt;=C4012*12)),Paths!$H$371,0),"n.a."))</f>
        <v>0</v>
      </c>
      <c r="K4012" s="16">
        <f>IF(NOT(Paths!$C$371=1),0,IF(Paths!$P$371="Complete",IF(IF(Paths!$O$371=0,C4012=0,AND(C4012&gt;0,Paths!$O$371&gt;(C4012-1)*12,Paths!$O$371&lt;=C4012*12)),Paths!$N$371,0),"n.a."))</f>
        <v>0</v>
      </c>
      <c r="L4012" s="16">
        <f>IF(NOT(Paths!$C$371=1),0,IF(Paths!$P$371="Complete",IF(C4012=10,Paths!$I$371,0),"n.a."))</f>
        <v>0</v>
      </c>
      <c r="M4012" s="16">
        <f>IF(NOT(Paths!$C$371=1),0,IF(Paths!$P$371="Complete",IF(AND(Paths!$D$371="EV",Paths!$E$371&lt;120,Paths!$E$371+'Operating costs'!$B$65&gt;Paths!$E$371,Paths!$E$371+'Operating costs'!$B$65&lt;=120,IF(Paths!$E$371+'Operating costs'!$B$65=0,C4012=0,AND(C4012&gt;0,Paths!$E$371+'Operating costs'!$B$65&gt;(C4012-1)*12,Paths!$E$371+'Operating costs'!$B$65&lt;=C4012*12))),'Operating costs'!$B$64,0)+IF(AND('Operating costs'!$B$67&gt;0,'Operating costs'!$B$67&lt;=120,OR(Paths!$D$371="ICE",'Operating costs'!$B$67&lt;=Paths!$E$371),IF('Operating costs'!$B$67=0,C4012=0,AND(C4012&gt;0,'Operating costs'!$B$67&gt;(C4012-1)*12,'Operating costs'!$B$67&lt;=C4012*12))),'Operating costs'!$B$66,0),"n.a."))</f>
        <v>0</v>
      </c>
      <c r="N4012" s="16">
        <f>IF(NOT(Paths!$C$371=1),0,IF(Paths!$P$371="Complete",SUM(G4012:I4012)-J4012-K4012-L4012+M4012+IF(C4012=0,Paths!$F$371,0)+IF(IF(Paths!$E$371=0,C4012=0,AND(C4012&gt;0,Paths!$E$371&gt;(C4012-1)*12,Paths!$E$371&lt;=C4012*12)),VLOOKUP(A4012,'Fleet register'!$A$7:$S$106,16,FALSE),0),"n.a."))</f>
        <v>0</v>
      </c>
      <c r="O4012" s="16">
        <f>IF(NOT(Paths!$C$371=1),0,IF(Paths!$P$371="Complete",N4012-IF(C4012=0,Paths!$F$371,0),"n.a."))</f>
        <v>0</v>
      </c>
      <c r="P4012" s="16">
        <f>IF(NOT(Paths!$C$371=1),0,IF(Paths!$P$371="Complete",O4012+L4012,"n.a."))</f>
        <v>0</v>
      </c>
      <c r="Q4012" s="16">
        <f>IF(NOT(Paths!$C$371=1),0,IF(Paths!$P$371="Complete",N4012*(1+'Operating costs'!$B$54)^-C4012,"n.a."))</f>
        <v>0</v>
      </c>
      <c r="R4012" s="16">
        <f>IF(NOT(Paths!$C$371=1),0,IF(Paths!$P$371="Complete",IF(AND(C4012=0,Paths!$E$371=0),I4012-J4012-K4012+VLOOKUP(A4012,'Fleet register'!$A$7:$S$106,15,FALSE)+VLOOKUP(A4012,'Fleet register'!$A$7:$S$106,16,FALSE),0),"n.a."))</f>
        <v>0</v>
      </c>
      <c r="S4012" s="1">
        <f>IF(NOT(Paths!$C$371=1),0,IF(Paths!$P$371="Complete",IF(C4012=0,0,Paths!$S$371*Paths!$R$371),"n.a."))</f>
        <v>0</v>
      </c>
      <c r="T4012" s="1">
        <f>IF(NOT(Paths!$C$371=1),0,IF(Paths!$P$371="Complete",IF(C4012=0,0,VLOOKUP(A4012,'Fleet register'!$A$7:$S$106,9,FALSE)*Paths!$R$371),"n.a."))</f>
        <v>0</v>
      </c>
    </row>
    <row r="4013" spans="1:20" ht="24" customHeight="1">
      <c r="A4013" s="1" t="str">
        <f>Paths!$A$371</f>
        <v>T092</v>
      </c>
      <c r="B4013" s="1">
        <f>Paths!$B$371</f>
        <v>0</v>
      </c>
      <c r="C4013" s="1">
        <v>2</v>
      </c>
      <c r="D4013" s="1">
        <v>371</v>
      </c>
      <c r="E4013" s="1">
        <f>IF(OR(Paths!$C$371=0,C4013=0),0,MAX(0,MIN(C4013*12,Paths!$E$371)-(C4013-1)*12))</f>
        <v>0</v>
      </c>
      <c r="F4013" s="1">
        <f>IF(OR(Paths!$C$371=0,C4013=0),0,12-E4013)</f>
        <v>0</v>
      </c>
      <c r="G4013" s="16">
        <f>IF(NOT(Paths!$C$371=1),0,IF(Paths!$P$371="Complete",E4013/12*(Paths!$J$371*(1+'Operating costs'!$B$51)^MAX(0,C4013-1)+Paths!$K$371*(1+'Operating costs'!$B$53)^MAX(0,C4013-1)),"n.a."))</f>
        <v>0</v>
      </c>
      <c r="H4013" s="16">
        <f>IF(NOT(Paths!$C$371=1),0,IF(Paths!$P$371="Complete",F4013/12*(Paths!$L$371*(1+IF(Paths!$D$371="EV",'Operating costs'!$B$52,'Operating costs'!$B$51))^MAX(0,C4013-1)+Paths!$M$371*(1+'Operating costs'!$B$53)^MAX(0,C4013-1)),"n.a."))</f>
        <v>0</v>
      </c>
      <c r="I4013" s="16">
        <f>IF(NOT(Paths!$C$371=1),0,IF(Paths!$P$371="Complete",IF(IF(Paths!$E$371=0,C4013=0,AND(C4013&gt;0,Paths!$E$371&gt;(C4013-1)*12,Paths!$E$371&lt;=C4013*12)),Paths!$G$371,0),"n.a."))</f>
        <v>0</v>
      </c>
      <c r="J4013" s="16">
        <f>IF(NOT(Paths!$C$371=1),0,IF(Paths!$P$371="Complete",IF(IF(Paths!$E$371=0,C4013=0,AND(C4013&gt;0,Paths!$E$371&gt;(C4013-1)*12,Paths!$E$371&lt;=C4013*12)),Paths!$H$371,0),"n.a."))</f>
        <v>0</v>
      </c>
      <c r="K4013" s="16">
        <f>IF(NOT(Paths!$C$371=1),0,IF(Paths!$P$371="Complete",IF(IF(Paths!$O$371=0,C4013=0,AND(C4013&gt;0,Paths!$O$371&gt;(C4013-1)*12,Paths!$O$371&lt;=C4013*12)),Paths!$N$371,0),"n.a."))</f>
        <v>0</v>
      </c>
      <c r="L4013" s="16">
        <f>IF(NOT(Paths!$C$371=1),0,IF(Paths!$P$371="Complete",IF(C4013=10,Paths!$I$371,0),"n.a."))</f>
        <v>0</v>
      </c>
      <c r="M4013" s="16">
        <f>IF(NOT(Paths!$C$371=1),0,IF(Paths!$P$371="Complete",IF(AND(Paths!$D$371="EV",Paths!$E$371&lt;120,Paths!$E$371+'Operating costs'!$B$65&gt;Paths!$E$371,Paths!$E$371+'Operating costs'!$B$65&lt;=120,IF(Paths!$E$371+'Operating costs'!$B$65=0,C4013=0,AND(C4013&gt;0,Paths!$E$371+'Operating costs'!$B$65&gt;(C4013-1)*12,Paths!$E$371+'Operating costs'!$B$65&lt;=C4013*12))),'Operating costs'!$B$64,0)+IF(AND('Operating costs'!$B$67&gt;0,'Operating costs'!$B$67&lt;=120,OR(Paths!$D$371="ICE",'Operating costs'!$B$67&lt;=Paths!$E$371),IF('Operating costs'!$B$67=0,C4013=0,AND(C4013&gt;0,'Operating costs'!$B$67&gt;(C4013-1)*12,'Operating costs'!$B$67&lt;=C4013*12))),'Operating costs'!$B$66,0),"n.a."))</f>
        <v>0</v>
      </c>
      <c r="N4013" s="16">
        <f>IF(NOT(Paths!$C$371=1),0,IF(Paths!$P$371="Complete",SUM(G4013:I4013)-J4013-K4013-L4013+M4013+IF(C4013=0,Paths!$F$371,0)+IF(IF(Paths!$E$371=0,C4013=0,AND(C4013&gt;0,Paths!$E$371&gt;(C4013-1)*12,Paths!$E$371&lt;=C4013*12)),VLOOKUP(A4013,'Fleet register'!$A$7:$S$106,16,FALSE),0),"n.a."))</f>
        <v>0</v>
      </c>
      <c r="O4013" s="16">
        <f>IF(NOT(Paths!$C$371=1),0,IF(Paths!$P$371="Complete",N4013-IF(C4013=0,Paths!$F$371,0),"n.a."))</f>
        <v>0</v>
      </c>
      <c r="P4013" s="16">
        <f>IF(NOT(Paths!$C$371=1),0,IF(Paths!$P$371="Complete",O4013+L4013,"n.a."))</f>
        <v>0</v>
      </c>
      <c r="Q4013" s="16">
        <f>IF(NOT(Paths!$C$371=1),0,IF(Paths!$P$371="Complete",N4013*(1+'Operating costs'!$B$54)^-C4013,"n.a."))</f>
        <v>0</v>
      </c>
      <c r="R4013" s="16">
        <f>IF(NOT(Paths!$C$371=1),0,IF(Paths!$P$371="Complete",IF(AND(C4013=0,Paths!$E$371=0),I4013-J4013-K4013+VLOOKUP(A4013,'Fleet register'!$A$7:$S$106,15,FALSE)+VLOOKUP(A4013,'Fleet register'!$A$7:$S$106,16,FALSE),0),"n.a."))</f>
        <v>0</v>
      </c>
      <c r="S4013" s="1">
        <f>IF(NOT(Paths!$C$371=1),0,IF(Paths!$P$371="Complete",IF(C4013=0,0,Paths!$S$371*Paths!$R$371),"n.a."))</f>
        <v>0</v>
      </c>
      <c r="T4013" s="1">
        <f>IF(NOT(Paths!$C$371=1),0,IF(Paths!$P$371="Complete",IF(C4013=0,0,VLOOKUP(A4013,'Fleet register'!$A$7:$S$106,9,FALSE)*Paths!$R$371),"n.a."))</f>
        <v>0</v>
      </c>
    </row>
    <row r="4014" spans="1:20" ht="24" customHeight="1">
      <c r="A4014" s="1" t="str">
        <f>Paths!$A$371</f>
        <v>T092</v>
      </c>
      <c r="B4014" s="1">
        <f>Paths!$B$371</f>
        <v>0</v>
      </c>
      <c r="C4014" s="1">
        <v>3</v>
      </c>
      <c r="D4014" s="1">
        <v>371</v>
      </c>
      <c r="E4014" s="1">
        <f>IF(OR(Paths!$C$371=0,C4014=0),0,MAX(0,MIN(C4014*12,Paths!$E$371)-(C4014-1)*12))</f>
        <v>0</v>
      </c>
      <c r="F4014" s="1">
        <f>IF(OR(Paths!$C$371=0,C4014=0),0,12-E4014)</f>
        <v>0</v>
      </c>
      <c r="G4014" s="16">
        <f>IF(NOT(Paths!$C$371=1),0,IF(Paths!$P$371="Complete",E4014/12*(Paths!$J$371*(1+'Operating costs'!$B$51)^MAX(0,C4014-1)+Paths!$K$371*(1+'Operating costs'!$B$53)^MAX(0,C4014-1)),"n.a."))</f>
        <v>0</v>
      </c>
      <c r="H4014" s="16">
        <f>IF(NOT(Paths!$C$371=1),0,IF(Paths!$P$371="Complete",F4014/12*(Paths!$L$371*(1+IF(Paths!$D$371="EV",'Operating costs'!$B$52,'Operating costs'!$B$51))^MAX(0,C4014-1)+Paths!$M$371*(1+'Operating costs'!$B$53)^MAX(0,C4014-1)),"n.a."))</f>
        <v>0</v>
      </c>
      <c r="I4014" s="16">
        <f>IF(NOT(Paths!$C$371=1),0,IF(Paths!$P$371="Complete",IF(IF(Paths!$E$371=0,C4014=0,AND(C4014&gt;0,Paths!$E$371&gt;(C4014-1)*12,Paths!$E$371&lt;=C4014*12)),Paths!$G$371,0),"n.a."))</f>
        <v>0</v>
      </c>
      <c r="J4014" s="16">
        <f>IF(NOT(Paths!$C$371=1),0,IF(Paths!$P$371="Complete",IF(IF(Paths!$E$371=0,C4014=0,AND(C4014&gt;0,Paths!$E$371&gt;(C4014-1)*12,Paths!$E$371&lt;=C4014*12)),Paths!$H$371,0),"n.a."))</f>
        <v>0</v>
      </c>
      <c r="K4014" s="16">
        <f>IF(NOT(Paths!$C$371=1),0,IF(Paths!$P$371="Complete",IF(IF(Paths!$O$371=0,C4014=0,AND(C4014&gt;0,Paths!$O$371&gt;(C4014-1)*12,Paths!$O$371&lt;=C4014*12)),Paths!$N$371,0),"n.a."))</f>
        <v>0</v>
      </c>
      <c r="L4014" s="16">
        <f>IF(NOT(Paths!$C$371=1),0,IF(Paths!$P$371="Complete",IF(C4014=10,Paths!$I$371,0),"n.a."))</f>
        <v>0</v>
      </c>
      <c r="M4014" s="16">
        <f>IF(NOT(Paths!$C$371=1),0,IF(Paths!$P$371="Complete",IF(AND(Paths!$D$371="EV",Paths!$E$371&lt;120,Paths!$E$371+'Operating costs'!$B$65&gt;Paths!$E$371,Paths!$E$371+'Operating costs'!$B$65&lt;=120,IF(Paths!$E$371+'Operating costs'!$B$65=0,C4014=0,AND(C4014&gt;0,Paths!$E$371+'Operating costs'!$B$65&gt;(C4014-1)*12,Paths!$E$371+'Operating costs'!$B$65&lt;=C4014*12))),'Operating costs'!$B$64,0)+IF(AND('Operating costs'!$B$67&gt;0,'Operating costs'!$B$67&lt;=120,OR(Paths!$D$371="ICE",'Operating costs'!$B$67&lt;=Paths!$E$371),IF('Operating costs'!$B$67=0,C4014=0,AND(C4014&gt;0,'Operating costs'!$B$67&gt;(C4014-1)*12,'Operating costs'!$B$67&lt;=C4014*12))),'Operating costs'!$B$66,0),"n.a."))</f>
        <v>0</v>
      </c>
      <c r="N4014" s="16">
        <f>IF(NOT(Paths!$C$371=1),0,IF(Paths!$P$371="Complete",SUM(G4014:I4014)-J4014-K4014-L4014+M4014+IF(C4014=0,Paths!$F$371,0)+IF(IF(Paths!$E$371=0,C4014=0,AND(C4014&gt;0,Paths!$E$371&gt;(C4014-1)*12,Paths!$E$371&lt;=C4014*12)),VLOOKUP(A4014,'Fleet register'!$A$7:$S$106,16,FALSE),0),"n.a."))</f>
        <v>0</v>
      </c>
      <c r="O4014" s="16">
        <f>IF(NOT(Paths!$C$371=1),0,IF(Paths!$P$371="Complete",N4014-IF(C4014=0,Paths!$F$371,0),"n.a."))</f>
        <v>0</v>
      </c>
      <c r="P4014" s="16">
        <f>IF(NOT(Paths!$C$371=1),0,IF(Paths!$P$371="Complete",O4014+L4014,"n.a."))</f>
        <v>0</v>
      </c>
      <c r="Q4014" s="16">
        <f>IF(NOT(Paths!$C$371=1),0,IF(Paths!$P$371="Complete",N4014*(1+'Operating costs'!$B$54)^-C4014,"n.a."))</f>
        <v>0</v>
      </c>
      <c r="R4014" s="16">
        <f>IF(NOT(Paths!$C$371=1),0,IF(Paths!$P$371="Complete",IF(AND(C4014=0,Paths!$E$371=0),I4014-J4014-K4014+VLOOKUP(A4014,'Fleet register'!$A$7:$S$106,15,FALSE)+VLOOKUP(A4014,'Fleet register'!$A$7:$S$106,16,FALSE),0),"n.a."))</f>
        <v>0</v>
      </c>
      <c r="S4014" s="1">
        <f>IF(NOT(Paths!$C$371=1),0,IF(Paths!$P$371="Complete",IF(C4014=0,0,Paths!$S$371*Paths!$R$371),"n.a."))</f>
        <v>0</v>
      </c>
      <c r="T4014" s="1">
        <f>IF(NOT(Paths!$C$371=1),0,IF(Paths!$P$371="Complete",IF(C4014=0,0,VLOOKUP(A4014,'Fleet register'!$A$7:$S$106,9,FALSE)*Paths!$R$371),"n.a."))</f>
        <v>0</v>
      </c>
    </row>
    <row r="4015" spans="1:20" ht="24" customHeight="1">
      <c r="A4015" s="1" t="str">
        <f>Paths!$A$371</f>
        <v>T092</v>
      </c>
      <c r="B4015" s="1">
        <f>Paths!$B$371</f>
        <v>0</v>
      </c>
      <c r="C4015" s="1">
        <v>4</v>
      </c>
      <c r="D4015" s="1">
        <v>371</v>
      </c>
      <c r="E4015" s="1">
        <f>IF(OR(Paths!$C$371=0,C4015=0),0,MAX(0,MIN(C4015*12,Paths!$E$371)-(C4015-1)*12))</f>
        <v>0</v>
      </c>
      <c r="F4015" s="1">
        <f>IF(OR(Paths!$C$371=0,C4015=0),0,12-E4015)</f>
        <v>0</v>
      </c>
      <c r="G4015" s="16">
        <f>IF(NOT(Paths!$C$371=1),0,IF(Paths!$P$371="Complete",E4015/12*(Paths!$J$371*(1+'Operating costs'!$B$51)^MAX(0,C4015-1)+Paths!$K$371*(1+'Operating costs'!$B$53)^MAX(0,C4015-1)),"n.a."))</f>
        <v>0</v>
      </c>
      <c r="H4015" s="16">
        <f>IF(NOT(Paths!$C$371=1),0,IF(Paths!$P$371="Complete",F4015/12*(Paths!$L$371*(1+IF(Paths!$D$371="EV",'Operating costs'!$B$52,'Operating costs'!$B$51))^MAX(0,C4015-1)+Paths!$M$371*(1+'Operating costs'!$B$53)^MAX(0,C4015-1)),"n.a."))</f>
        <v>0</v>
      </c>
      <c r="I4015" s="16">
        <f>IF(NOT(Paths!$C$371=1),0,IF(Paths!$P$371="Complete",IF(IF(Paths!$E$371=0,C4015=0,AND(C4015&gt;0,Paths!$E$371&gt;(C4015-1)*12,Paths!$E$371&lt;=C4015*12)),Paths!$G$371,0),"n.a."))</f>
        <v>0</v>
      </c>
      <c r="J4015" s="16">
        <f>IF(NOT(Paths!$C$371=1),0,IF(Paths!$P$371="Complete",IF(IF(Paths!$E$371=0,C4015=0,AND(C4015&gt;0,Paths!$E$371&gt;(C4015-1)*12,Paths!$E$371&lt;=C4015*12)),Paths!$H$371,0),"n.a."))</f>
        <v>0</v>
      </c>
      <c r="K4015" s="16">
        <f>IF(NOT(Paths!$C$371=1),0,IF(Paths!$P$371="Complete",IF(IF(Paths!$O$371=0,C4015=0,AND(C4015&gt;0,Paths!$O$371&gt;(C4015-1)*12,Paths!$O$371&lt;=C4015*12)),Paths!$N$371,0),"n.a."))</f>
        <v>0</v>
      </c>
      <c r="L4015" s="16">
        <f>IF(NOT(Paths!$C$371=1),0,IF(Paths!$P$371="Complete",IF(C4015=10,Paths!$I$371,0),"n.a."))</f>
        <v>0</v>
      </c>
      <c r="M4015" s="16">
        <f>IF(NOT(Paths!$C$371=1),0,IF(Paths!$P$371="Complete",IF(AND(Paths!$D$371="EV",Paths!$E$371&lt;120,Paths!$E$371+'Operating costs'!$B$65&gt;Paths!$E$371,Paths!$E$371+'Operating costs'!$B$65&lt;=120,IF(Paths!$E$371+'Operating costs'!$B$65=0,C4015=0,AND(C4015&gt;0,Paths!$E$371+'Operating costs'!$B$65&gt;(C4015-1)*12,Paths!$E$371+'Operating costs'!$B$65&lt;=C4015*12))),'Operating costs'!$B$64,0)+IF(AND('Operating costs'!$B$67&gt;0,'Operating costs'!$B$67&lt;=120,OR(Paths!$D$371="ICE",'Operating costs'!$B$67&lt;=Paths!$E$371),IF('Operating costs'!$B$67=0,C4015=0,AND(C4015&gt;0,'Operating costs'!$B$67&gt;(C4015-1)*12,'Operating costs'!$B$67&lt;=C4015*12))),'Operating costs'!$B$66,0),"n.a."))</f>
        <v>0</v>
      </c>
      <c r="N4015" s="16">
        <f>IF(NOT(Paths!$C$371=1),0,IF(Paths!$P$371="Complete",SUM(G4015:I4015)-J4015-K4015-L4015+M4015+IF(C4015=0,Paths!$F$371,0)+IF(IF(Paths!$E$371=0,C4015=0,AND(C4015&gt;0,Paths!$E$371&gt;(C4015-1)*12,Paths!$E$371&lt;=C4015*12)),VLOOKUP(A4015,'Fleet register'!$A$7:$S$106,16,FALSE),0),"n.a."))</f>
        <v>0</v>
      </c>
      <c r="O4015" s="16">
        <f>IF(NOT(Paths!$C$371=1),0,IF(Paths!$P$371="Complete",N4015-IF(C4015=0,Paths!$F$371,0),"n.a."))</f>
        <v>0</v>
      </c>
      <c r="P4015" s="16">
        <f>IF(NOT(Paths!$C$371=1),0,IF(Paths!$P$371="Complete",O4015+L4015,"n.a."))</f>
        <v>0</v>
      </c>
      <c r="Q4015" s="16">
        <f>IF(NOT(Paths!$C$371=1),0,IF(Paths!$P$371="Complete",N4015*(1+'Operating costs'!$B$54)^-C4015,"n.a."))</f>
        <v>0</v>
      </c>
      <c r="R4015" s="16">
        <f>IF(NOT(Paths!$C$371=1),0,IF(Paths!$P$371="Complete",IF(AND(C4015=0,Paths!$E$371=0),I4015-J4015-K4015+VLOOKUP(A4015,'Fleet register'!$A$7:$S$106,15,FALSE)+VLOOKUP(A4015,'Fleet register'!$A$7:$S$106,16,FALSE),0),"n.a."))</f>
        <v>0</v>
      </c>
      <c r="S4015" s="1">
        <f>IF(NOT(Paths!$C$371=1),0,IF(Paths!$P$371="Complete",IF(C4015=0,0,Paths!$S$371*Paths!$R$371),"n.a."))</f>
        <v>0</v>
      </c>
      <c r="T4015" s="1">
        <f>IF(NOT(Paths!$C$371=1),0,IF(Paths!$P$371="Complete",IF(C4015=0,0,VLOOKUP(A4015,'Fleet register'!$A$7:$S$106,9,FALSE)*Paths!$R$371),"n.a."))</f>
        <v>0</v>
      </c>
    </row>
    <row r="4016" spans="1:20" ht="24" customHeight="1">
      <c r="A4016" s="1" t="str">
        <f>Paths!$A$371</f>
        <v>T092</v>
      </c>
      <c r="B4016" s="1">
        <f>Paths!$B$371</f>
        <v>0</v>
      </c>
      <c r="C4016" s="1">
        <v>5</v>
      </c>
      <c r="D4016" s="1">
        <v>371</v>
      </c>
      <c r="E4016" s="1">
        <f>IF(OR(Paths!$C$371=0,C4016=0),0,MAX(0,MIN(C4016*12,Paths!$E$371)-(C4016-1)*12))</f>
        <v>0</v>
      </c>
      <c r="F4016" s="1">
        <f>IF(OR(Paths!$C$371=0,C4016=0),0,12-E4016)</f>
        <v>0</v>
      </c>
      <c r="G4016" s="16">
        <f>IF(NOT(Paths!$C$371=1),0,IF(Paths!$P$371="Complete",E4016/12*(Paths!$J$371*(1+'Operating costs'!$B$51)^MAX(0,C4016-1)+Paths!$K$371*(1+'Operating costs'!$B$53)^MAX(0,C4016-1)),"n.a."))</f>
        <v>0</v>
      </c>
      <c r="H4016" s="16">
        <f>IF(NOT(Paths!$C$371=1),0,IF(Paths!$P$371="Complete",F4016/12*(Paths!$L$371*(1+IF(Paths!$D$371="EV",'Operating costs'!$B$52,'Operating costs'!$B$51))^MAX(0,C4016-1)+Paths!$M$371*(1+'Operating costs'!$B$53)^MAX(0,C4016-1)),"n.a."))</f>
        <v>0</v>
      </c>
      <c r="I4016" s="16">
        <f>IF(NOT(Paths!$C$371=1),0,IF(Paths!$P$371="Complete",IF(IF(Paths!$E$371=0,C4016=0,AND(C4016&gt;0,Paths!$E$371&gt;(C4016-1)*12,Paths!$E$371&lt;=C4016*12)),Paths!$G$371,0),"n.a."))</f>
        <v>0</v>
      </c>
      <c r="J4016" s="16">
        <f>IF(NOT(Paths!$C$371=1),0,IF(Paths!$P$371="Complete",IF(IF(Paths!$E$371=0,C4016=0,AND(C4016&gt;0,Paths!$E$371&gt;(C4016-1)*12,Paths!$E$371&lt;=C4016*12)),Paths!$H$371,0),"n.a."))</f>
        <v>0</v>
      </c>
      <c r="K4016" s="16">
        <f>IF(NOT(Paths!$C$371=1),0,IF(Paths!$P$371="Complete",IF(IF(Paths!$O$371=0,C4016=0,AND(C4016&gt;0,Paths!$O$371&gt;(C4016-1)*12,Paths!$O$371&lt;=C4016*12)),Paths!$N$371,0),"n.a."))</f>
        <v>0</v>
      </c>
      <c r="L4016" s="16">
        <f>IF(NOT(Paths!$C$371=1),0,IF(Paths!$P$371="Complete",IF(C4016=10,Paths!$I$371,0),"n.a."))</f>
        <v>0</v>
      </c>
      <c r="M4016" s="16">
        <f>IF(NOT(Paths!$C$371=1),0,IF(Paths!$P$371="Complete",IF(AND(Paths!$D$371="EV",Paths!$E$371&lt;120,Paths!$E$371+'Operating costs'!$B$65&gt;Paths!$E$371,Paths!$E$371+'Operating costs'!$B$65&lt;=120,IF(Paths!$E$371+'Operating costs'!$B$65=0,C4016=0,AND(C4016&gt;0,Paths!$E$371+'Operating costs'!$B$65&gt;(C4016-1)*12,Paths!$E$371+'Operating costs'!$B$65&lt;=C4016*12))),'Operating costs'!$B$64,0)+IF(AND('Operating costs'!$B$67&gt;0,'Operating costs'!$B$67&lt;=120,OR(Paths!$D$371="ICE",'Operating costs'!$B$67&lt;=Paths!$E$371),IF('Operating costs'!$B$67=0,C4016=0,AND(C4016&gt;0,'Operating costs'!$B$67&gt;(C4016-1)*12,'Operating costs'!$B$67&lt;=C4016*12))),'Operating costs'!$B$66,0),"n.a."))</f>
        <v>0</v>
      </c>
      <c r="N4016" s="16">
        <f>IF(NOT(Paths!$C$371=1),0,IF(Paths!$P$371="Complete",SUM(G4016:I4016)-J4016-K4016-L4016+M4016+IF(C4016=0,Paths!$F$371,0)+IF(IF(Paths!$E$371=0,C4016=0,AND(C4016&gt;0,Paths!$E$371&gt;(C4016-1)*12,Paths!$E$371&lt;=C4016*12)),VLOOKUP(A4016,'Fleet register'!$A$7:$S$106,16,FALSE),0),"n.a."))</f>
        <v>0</v>
      </c>
      <c r="O4016" s="16">
        <f>IF(NOT(Paths!$C$371=1),0,IF(Paths!$P$371="Complete",N4016-IF(C4016=0,Paths!$F$371,0),"n.a."))</f>
        <v>0</v>
      </c>
      <c r="P4016" s="16">
        <f>IF(NOT(Paths!$C$371=1),0,IF(Paths!$P$371="Complete",O4016+L4016,"n.a."))</f>
        <v>0</v>
      </c>
      <c r="Q4016" s="16">
        <f>IF(NOT(Paths!$C$371=1),0,IF(Paths!$P$371="Complete",N4016*(1+'Operating costs'!$B$54)^-C4016,"n.a."))</f>
        <v>0</v>
      </c>
      <c r="R4016" s="16">
        <f>IF(NOT(Paths!$C$371=1),0,IF(Paths!$P$371="Complete",IF(AND(C4016=0,Paths!$E$371=0),I4016-J4016-K4016+VLOOKUP(A4016,'Fleet register'!$A$7:$S$106,15,FALSE)+VLOOKUP(A4016,'Fleet register'!$A$7:$S$106,16,FALSE),0),"n.a."))</f>
        <v>0</v>
      </c>
      <c r="S4016" s="1">
        <f>IF(NOT(Paths!$C$371=1),0,IF(Paths!$P$371="Complete",IF(C4016=0,0,Paths!$S$371*Paths!$R$371),"n.a."))</f>
        <v>0</v>
      </c>
      <c r="T4016" s="1">
        <f>IF(NOT(Paths!$C$371=1),0,IF(Paths!$P$371="Complete",IF(C4016=0,0,VLOOKUP(A4016,'Fleet register'!$A$7:$S$106,9,FALSE)*Paths!$R$371),"n.a."))</f>
        <v>0</v>
      </c>
    </row>
    <row r="4017" spans="1:20" ht="24" customHeight="1">
      <c r="A4017" s="1" t="str">
        <f>Paths!$A$371</f>
        <v>T092</v>
      </c>
      <c r="B4017" s="1">
        <f>Paths!$B$371</f>
        <v>0</v>
      </c>
      <c r="C4017" s="1">
        <v>6</v>
      </c>
      <c r="D4017" s="1">
        <v>371</v>
      </c>
      <c r="E4017" s="1">
        <f>IF(OR(Paths!$C$371=0,C4017=0),0,MAX(0,MIN(C4017*12,Paths!$E$371)-(C4017-1)*12))</f>
        <v>0</v>
      </c>
      <c r="F4017" s="1">
        <f>IF(OR(Paths!$C$371=0,C4017=0),0,12-E4017)</f>
        <v>0</v>
      </c>
      <c r="G4017" s="16">
        <f>IF(NOT(Paths!$C$371=1),0,IF(Paths!$P$371="Complete",E4017/12*(Paths!$J$371*(1+'Operating costs'!$B$51)^MAX(0,C4017-1)+Paths!$K$371*(1+'Operating costs'!$B$53)^MAX(0,C4017-1)),"n.a."))</f>
        <v>0</v>
      </c>
      <c r="H4017" s="16">
        <f>IF(NOT(Paths!$C$371=1),0,IF(Paths!$P$371="Complete",F4017/12*(Paths!$L$371*(1+IF(Paths!$D$371="EV",'Operating costs'!$B$52,'Operating costs'!$B$51))^MAX(0,C4017-1)+Paths!$M$371*(1+'Operating costs'!$B$53)^MAX(0,C4017-1)),"n.a."))</f>
        <v>0</v>
      </c>
      <c r="I4017" s="16">
        <f>IF(NOT(Paths!$C$371=1),0,IF(Paths!$P$371="Complete",IF(IF(Paths!$E$371=0,C4017=0,AND(C4017&gt;0,Paths!$E$371&gt;(C4017-1)*12,Paths!$E$371&lt;=C4017*12)),Paths!$G$371,0),"n.a."))</f>
        <v>0</v>
      </c>
      <c r="J4017" s="16">
        <f>IF(NOT(Paths!$C$371=1),0,IF(Paths!$P$371="Complete",IF(IF(Paths!$E$371=0,C4017=0,AND(C4017&gt;0,Paths!$E$371&gt;(C4017-1)*12,Paths!$E$371&lt;=C4017*12)),Paths!$H$371,0),"n.a."))</f>
        <v>0</v>
      </c>
      <c r="K4017" s="16">
        <f>IF(NOT(Paths!$C$371=1),0,IF(Paths!$P$371="Complete",IF(IF(Paths!$O$371=0,C4017=0,AND(C4017&gt;0,Paths!$O$371&gt;(C4017-1)*12,Paths!$O$371&lt;=C4017*12)),Paths!$N$371,0),"n.a."))</f>
        <v>0</v>
      </c>
      <c r="L4017" s="16">
        <f>IF(NOT(Paths!$C$371=1),0,IF(Paths!$P$371="Complete",IF(C4017=10,Paths!$I$371,0),"n.a."))</f>
        <v>0</v>
      </c>
      <c r="M4017" s="16">
        <f>IF(NOT(Paths!$C$371=1),0,IF(Paths!$P$371="Complete",IF(AND(Paths!$D$371="EV",Paths!$E$371&lt;120,Paths!$E$371+'Operating costs'!$B$65&gt;Paths!$E$371,Paths!$E$371+'Operating costs'!$B$65&lt;=120,IF(Paths!$E$371+'Operating costs'!$B$65=0,C4017=0,AND(C4017&gt;0,Paths!$E$371+'Operating costs'!$B$65&gt;(C4017-1)*12,Paths!$E$371+'Operating costs'!$B$65&lt;=C4017*12))),'Operating costs'!$B$64,0)+IF(AND('Operating costs'!$B$67&gt;0,'Operating costs'!$B$67&lt;=120,OR(Paths!$D$371="ICE",'Operating costs'!$B$67&lt;=Paths!$E$371),IF('Operating costs'!$B$67=0,C4017=0,AND(C4017&gt;0,'Operating costs'!$B$67&gt;(C4017-1)*12,'Operating costs'!$B$67&lt;=C4017*12))),'Operating costs'!$B$66,0),"n.a."))</f>
        <v>0</v>
      </c>
      <c r="N4017" s="16">
        <f>IF(NOT(Paths!$C$371=1),0,IF(Paths!$P$371="Complete",SUM(G4017:I4017)-J4017-K4017-L4017+M4017+IF(C4017=0,Paths!$F$371,0)+IF(IF(Paths!$E$371=0,C4017=0,AND(C4017&gt;0,Paths!$E$371&gt;(C4017-1)*12,Paths!$E$371&lt;=C4017*12)),VLOOKUP(A4017,'Fleet register'!$A$7:$S$106,16,FALSE),0),"n.a."))</f>
        <v>0</v>
      </c>
      <c r="O4017" s="16">
        <f>IF(NOT(Paths!$C$371=1),0,IF(Paths!$P$371="Complete",N4017-IF(C4017=0,Paths!$F$371,0),"n.a."))</f>
        <v>0</v>
      </c>
      <c r="P4017" s="16">
        <f>IF(NOT(Paths!$C$371=1),0,IF(Paths!$P$371="Complete",O4017+L4017,"n.a."))</f>
        <v>0</v>
      </c>
      <c r="Q4017" s="16">
        <f>IF(NOT(Paths!$C$371=1),0,IF(Paths!$P$371="Complete",N4017*(1+'Operating costs'!$B$54)^-C4017,"n.a."))</f>
        <v>0</v>
      </c>
      <c r="R4017" s="16">
        <f>IF(NOT(Paths!$C$371=1),0,IF(Paths!$P$371="Complete",IF(AND(C4017=0,Paths!$E$371=0),I4017-J4017-K4017+VLOOKUP(A4017,'Fleet register'!$A$7:$S$106,15,FALSE)+VLOOKUP(A4017,'Fleet register'!$A$7:$S$106,16,FALSE),0),"n.a."))</f>
        <v>0</v>
      </c>
      <c r="S4017" s="1">
        <f>IF(NOT(Paths!$C$371=1),0,IF(Paths!$P$371="Complete",IF(C4017=0,0,Paths!$S$371*Paths!$R$371),"n.a."))</f>
        <v>0</v>
      </c>
      <c r="T4017" s="1">
        <f>IF(NOT(Paths!$C$371=1),0,IF(Paths!$P$371="Complete",IF(C4017=0,0,VLOOKUP(A4017,'Fleet register'!$A$7:$S$106,9,FALSE)*Paths!$R$371),"n.a."))</f>
        <v>0</v>
      </c>
    </row>
    <row r="4018" spans="1:20" ht="24" customHeight="1">
      <c r="A4018" s="1" t="str">
        <f>Paths!$A$371</f>
        <v>T092</v>
      </c>
      <c r="B4018" s="1">
        <f>Paths!$B$371</f>
        <v>0</v>
      </c>
      <c r="C4018" s="1">
        <v>7</v>
      </c>
      <c r="D4018" s="1">
        <v>371</v>
      </c>
      <c r="E4018" s="1">
        <f>IF(OR(Paths!$C$371=0,C4018=0),0,MAX(0,MIN(C4018*12,Paths!$E$371)-(C4018-1)*12))</f>
        <v>0</v>
      </c>
      <c r="F4018" s="1">
        <f>IF(OR(Paths!$C$371=0,C4018=0),0,12-E4018)</f>
        <v>0</v>
      </c>
      <c r="G4018" s="16">
        <f>IF(NOT(Paths!$C$371=1),0,IF(Paths!$P$371="Complete",E4018/12*(Paths!$J$371*(1+'Operating costs'!$B$51)^MAX(0,C4018-1)+Paths!$K$371*(1+'Operating costs'!$B$53)^MAX(0,C4018-1)),"n.a."))</f>
        <v>0</v>
      </c>
      <c r="H4018" s="16">
        <f>IF(NOT(Paths!$C$371=1),0,IF(Paths!$P$371="Complete",F4018/12*(Paths!$L$371*(1+IF(Paths!$D$371="EV",'Operating costs'!$B$52,'Operating costs'!$B$51))^MAX(0,C4018-1)+Paths!$M$371*(1+'Operating costs'!$B$53)^MAX(0,C4018-1)),"n.a."))</f>
        <v>0</v>
      </c>
      <c r="I4018" s="16">
        <f>IF(NOT(Paths!$C$371=1),0,IF(Paths!$P$371="Complete",IF(IF(Paths!$E$371=0,C4018=0,AND(C4018&gt;0,Paths!$E$371&gt;(C4018-1)*12,Paths!$E$371&lt;=C4018*12)),Paths!$G$371,0),"n.a."))</f>
        <v>0</v>
      </c>
      <c r="J4018" s="16">
        <f>IF(NOT(Paths!$C$371=1),0,IF(Paths!$P$371="Complete",IF(IF(Paths!$E$371=0,C4018=0,AND(C4018&gt;0,Paths!$E$371&gt;(C4018-1)*12,Paths!$E$371&lt;=C4018*12)),Paths!$H$371,0),"n.a."))</f>
        <v>0</v>
      </c>
      <c r="K4018" s="16">
        <f>IF(NOT(Paths!$C$371=1),0,IF(Paths!$P$371="Complete",IF(IF(Paths!$O$371=0,C4018=0,AND(C4018&gt;0,Paths!$O$371&gt;(C4018-1)*12,Paths!$O$371&lt;=C4018*12)),Paths!$N$371,0),"n.a."))</f>
        <v>0</v>
      </c>
      <c r="L4018" s="16">
        <f>IF(NOT(Paths!$C$371=1),0,IF(Paths!$P$371="Complete",IF(C4018=10,Paths!$I$371,0),"n.a."))</f>
        <v>0</v>
      </c>
      <c r="M4018" s="16">
        <f>IF(NOT(Paths!$C$371=1),0,IF(Paths!$P$371="Complete",IF(AND(Paths!$D$371="EV",Paths!$E$371&lt;120,Paths!$E$371+'Operating costs'!$B$65&gt;Paths!$E$371,Paths!$E$371+'Operating costs'!$B$65&lt;=120,IF(Paths!$E$371+'Operating costs'!$B$65=0,C4018=0,AND(C4018&gt;0,Paths!$E$371+'Operating costs'!$B$65&gt;(C4018-1)*12,Paths!$E$371+'Operating costs'!$B$65&lt;=C4018*12))),'Operating costs'!$B$64,0)+IF(AND('Operating costs'!$B$67&gt;0,'Operating costs'!$B$67&lt;=120,OR(Paths!$D$371="ICE",'Operating costs'!$B$67&lt;=Paths!$E$371),IF('Operating costs'!$B$67=0,C4018=0,AND(C4018&gt;0,'Operating costs'!$B$67&gt;(C4018-1)*12,'Operating costs'!$B$67&lt;=C4018*12))),'Operating costs'!$B$66,0),"n.a."))</f>
        <v>0</v>
      </c>
      <c r="N4018" s="16">
        <f>IF(NOT(Paths!$C$371=1),0,IF(Paths!$P$371="Complete",SUM(G4018:I4018)-J4018-K4018-L4018+M4018+IF(C4018=0,Paths!$F$371,0)+IF(IF(Paths!$E$371=0,C4018=0,AND(C4018&gt;0,Paths!$E$371&gt;(C4018-1)*12,Paths!$E$371&lt;=C4018*12)),VLOOKUP(A4018,'Fleet register'!$A$7:$S$106,16,FALSE),0),"n.a."))</f>
        <v>0</v>
      </c>
      <c r="O4018" s="16">
        <f>IF(NOT(Paths!$C$371=1),0,IF(Paths!$P$371="Complete",N4018-IF(C4018=0,Paths!$F$371,0),"n.a."))</f>
        <v>0</v>
      </c>
      <c r="P4018" s="16">
        <f>IF(NOT(Paths!$C$371=1),0,IF(Paths!$P$371="Complete",O4018+L4018,"n.a."))</f>
        <v>0</v>
      </c>
      <c r="Q4018" s="16">
        <f>IF(NOT(Paths!$C$371=1),0,IF(Paths!$P$371="Complete",N4018*(1+'Operating costs'!$B$54)^-C4018,"n.a."))</f>
        <v>0</v>
      </c>
      <c r="R4018" s="16">
        <f>IF(NOT(Paths!$C$371=1),0,IF(Paths!$P$371="Complete",IF(AND(C4018=0,Paths!$E$371=0),I4018-J4018-K4018+VLOOKUP(A4018,'Fleet register'!$A$7:$S$106,15,FALSE)+VLOOKUP(A4018,'Fleet register'!$A$7:$S$106,16,FALSE),0),"n.a."))</f>
        <v>0</v>
      </c>
      <c r="S4018" s="1">
        <f>IF(NOT(Paths!$C$371=1),0,IF(Paths!$P$371="Complete",IF(C4018=0,0,Paths!$S$371*Paths!$R$371),"n.a."))</f>
        <v>0</v>
      </c>
      <c r="T4018" s="1">
        <f>IF(NOT(Paths!$C$371=1),0,IF(Paths!$P$371="Complete",IF(C4018=0,0,VLOOKUP(A4018,'Fleet register'!$A$7:$S$106,9,FALSE)*Paths!$R$371),"n.a."))</f>
        <v>0</v>
      </c>
    </row>
    <row r="4019" spans="1:20" ht="24" customHeight="1">
      <c r="A4019" s="1" t="str">
        <f>Paths!$A$371</f>
        <v>T092</v>
      </c>
      <c r="B4019" s="1">
        <f>Paths!$B$371</f>
        <v>0</v>
      </c>
      <c r="C4019" s="1">
        <v>8</v>
      </c>
      <c r="D4019" s="1">
        <v>371</v>
      </c>
      <c r="E4019" s="1">
        <f>IF(OR(Paths!$C$371=0,C4019=0),0,MAX(0,MIN(C4019*12,Paths!$E$371)-(C4019-1)*12))</f>
        <v>0</v>
      </c>
      <c r="F4019" s="1">
        <f>IF(OR(Paths!$C$371=0,C4019=0),0,12-E4019)</f>
        <v>0</v>
      </c>
      <c r="G4019" s="16">
        <f>IF(NOT(Paths!$C$371=1),0,IF(Paths!$P$371="Complete",E4019/12*(Paths!$J$371*(1+'Operating costs'!$B$51)^MAX(0,C4019-1)+Paths!$K$371*(1+'Operating costs'!$B$53)^MAX(0,C4019-1)),"n.a."))</f>
        <v>0</v>
      </c>
      <c r="H4019" s="16">
        <f>IF(NOT(Paths!$C$371=1),0,IF(Paths!$P$371="Complete",F4019/12*(Paths!$L$371*(1+IF(Paths!$D$371="EV",'Operating costs'!$B$52,'Operating costs'!$B$51))^MAX(0,C4019-1)+Paths!$M$371*(1+'Operating costs'!$B$53)^MAX(0,C4019-1)),"n.a."))</f>
        <v>0</v>
      </c>
      <c r="I4019" s="16">
        <f>IF(NOT(Paths!$C$371=1),0,IF(Paths!$P$371="Complete",IF(IF(Paths!$E$371=0,C4019=0,AND(C4019&gt;0,Paths!$E$371&gt;(C4019-1)*12,Paths!$E$371&lt;=C4019*12)),Paths!$G$371,0),"n.a."))</f>
        <v>0</v>
      </c>
      <c r="J4019" s="16">
        <f>IF(NOT(Paths!$C$371=1),0,IF(Paths!$P$371="Complete",IF(IF(Paths!$E$371=0,C4019=0,AND(C4019&gt;0,Paths!$E$371&gt;(C4019-1)*12,Paths!$E$371&lt;=C4019*12)),Paths!$H$371,0),"n.a."))</f>
        <v>0</v>
      </c>
      <c r="K4019" s="16">
        <f>IF(NOT(Paths!$C$371=1),0,IF(Paths!$P$371="Complete",IF(IF(Paths!$O$371=0,C4019=0,AND(C4019&gt;0,Paths!$O$371&gt;(C4019-1)*12,Paths!$O$371&lt;=C4019*12)),Paths!$N$371,0),"n.a."))</f>
        <v>0</v>
      </c>
      <c r="L4019" s="16">
        <f>IF(NOT(Paths!$C$371=1),0,IF(Paths!$P$371="Complete",IF(C4019=10,Paths!$I$371,0),"n.a."))</f>
        <v>0</v>
      </c>
      <c r="M4019" s="16">
        <f>IF(NOT(Paths!$C$371=1),0,IF(Paths!$P$371="Complete",IF(AND(Paths!$D$371="EV",Paths!$E$371&lt;120,Paths!$E$371+'Operating costs'!$B$65&gt;Paths!$E$371,Paths!$E$371+'Operating costs'!$B$65&lt;=120,IF(Paths!$E$371+'Operating costs'!$B$65=0,C4019=0,AND(C4019&gt;0,Paths!$E$371+'Operating costs'!$B$65&gt;(C4019-1)*12,Paths!$E$371+'Operating costs'!$B$65&lt;=C4019*12))),'Operating costs'!$B$64,0)+IF(AND('Operating costs'!$B$67&gt;0,'Operating costs'!$B$67&lt;=120,OR(Paths!$D$371="ICE",'Operating costs'!$B$67&lt;=Paths!$E$371),IF('Operating costs'!$B$67=0,C4019=0,AND(C4019&gt;0,'Operating costs'!$B$67&gt;(C4019-1)*12,'Operating costs'!$B$67&lt;=C4019*12))),'Operating costs'!$B$66,0),"n.a."))</f>
        <v>0</v>
      </c>
      <c r="N4019" s="16">
        <f>IF(NOT(Paths!$C$371=1),0,IF(Paths!$P$371="Complete",SUM(G4019:I4019)-J4019-K4019-L4019+M4019+IF(C4019=0,Paths!$F$371,0)+IF(IF(Paths!$E$371=0,C4019=0,AND(C4019&gt;0,Paths!$E$371&gt;(C4019-1)*12,Paths!$E$371&lt;=C4019*12)),VLOOKUP(A4019,'Fleet register'!$A$7:$S$106,16,FALSE),0),"n.a."))</f>
        <v>0</v>
      </c>
      <c r="O4019" s="16">
        <f>IF(NOT(Paths!$C$371=1),0,IF(Paths!$P$371="Complete",N4019-IF(C4019=0,Paths!$F$371,0),"n.a."))</f>
        <v>0</v>
      </c>
      <c r="P4019" s="16">
        <f>IF(NOT(Paths!$C$371=1),0,IF(Paths!$P$371="Complete",O4019+L4019,"n.a."))</f>
        <v>0</v>
      </c>
      <c r="Q4019" s="16">
        <f>IF(NOT(Paths!$C$371=1),0,IF(Paths!$P$371="Complete",N4019*(1+'Operating costs'!$B$54)^-C4019,"n.a."))</f>
        <v>0</v>
      </c>
      <c r="R4019" s="16">
        <f>IF(NOT(Paths!$C$371=1),0,IF(Paths!$P$371="Complete",IF(AND(C4019=0,Paths!$E$371=0),I4019-J4019-K4019+VLOOKUP(A4019,'Fleet register'!$A$7:$S$106,15,FALSE)+VLOOKUP(A4019,'Fleet register'!$A$7:$S$106,16,FALSE),0),"n.a."))</f>
        <v>0</v>
      </c>
      <c r="S4019" s="1">
        <f>IF(NOT(Paths!$C$371=1),0,IF(Paths!$P$371="Complete",IF(C4019=0,0,Paths!$S$371*Paths!$R$371),"n.a."))</f>
        <v>0</v>
      </c>
      <c r="T4019" s="1">
        <f>IF(NOT(Paths!$C$371=1),0,IF(Paths!$P$371="Complete",IF(C4019=0,0,VLOOKUP(A4019,'Fleet register'!$A$7:$S$106,9,FALSE)*Paths!$R$371),"n.a."))</f>
        <v>0</v>
      </c>
    </row>
    <row r="4020" spans="1:20" ht="24" customHeight="1">
      <c r="A4020" s="1" t="str">
        <f>Paths!$A$371</f>
        <v>T092</v>
      </c>
      <c r="B4020" s="1">
        <f>Paths!$B$371</f>
        <v>0</v>
      </c>
      <c r="C4020" s="1">
        <v>9</v>
      </c>
      <c r="D4020" s="1">
        <v>371</v>
      </c>
      <c r="E4020" s="1">
        <f>IF(OR(Paths!$C$371=0,C4020=0),0,MAX(0,MIN(C4020*12,Paths!$E$371)-(C4020-1)*12))</f>
        <v>0</v>
      </c>
      <c r="F4020" s="1">
        <f>IF(OR(Paths!$C$371=0,C4020=0),0,12-E4020)</f>
        <v>0</v>
      </c>
      <c r="G4020" s="16">
        <f>IF(NOT(Paths!$C$371=1),0,IF(Paths!$P$371="Complete",E4020/12*(Paths!$J$371*(1+'Operating costs'!$B$51)^MAX(0,C4020-1)+Paths!$K$371*(1+'Operating costs'!$B$53)^MAX(0,C4020-1)),"n.a."))</f>
        <v>0</v>
      </c>
      <c r="H4020" s="16">
        <f>IF(NOT(Paths!$C$371=1),0,IF(Paths!$P$371="Complete",F4020/12*(Paths!$L$371*(1+IF(Paths!$D$371="EV",'Operating costs'!$B$52,'Operating costs'!$B$51))^MAX(0,C4020-1)+Paths!$M$371*(1+'Operating costs'!$B$53)^MAX(0,C4020-1)),"n.a."))</f>
        <v>0</v>
      </c>
      <c r="I4020" s="16">
        <f>IF(NOT(Paths!$C$371=1),0,IF(Paths!$P$371="Complete",IF(IF(Paths!$E$371=0,C4020=0,AND(C4020&gt;0,Paths!$E$371&gt;(C4020-1)*12,Paths!$E$371&lt;=C4020*12)),Paths!$G$371,0),"n.a."))</f>
        <v>0</v>
      </c>
      <c r="J4020" s="16">
        <f>IF(NOT(Paths!$C$371=1),0,IF(Paths!$P$371="Complete",IF(IF(Paths!$E$371=0,C4020=0,AND(C4020&gt;0,Paths!$E$371&gt;(C4020-1)*12,Paths!$E$371&lt;=C4020*12)),Paths!$H$371,0),"n.a."))</f>
        <v>0</v>
      </c>
      <c r="K4020" s="16">
        <f>IF(NOT(Paths!$C$371=1),0,IF(Paths!$P$371="Complete",IF(IF(Paths!$O$371=0,C4020=0,AND(C4020&gt;0,Paths!$O$371&gt;(C4020-1)*12,Paths!$O$371&lt;=C4020*12)),Paths!$N$371,0),"n.a."))</f>
        <v>0</v>
      </c>
      <c r="L4020" s="16">
        <f>IF(NOT(Paths!$C$371=1),0,IF(Paths!$P$371="Complete",IF(C4020=10,Paths!$I$371,0),"n.a."))</f>
        <v>0</v>
      </c>
      <c r="M4020" s="16">
        <f>IF(NOT(Paths!$C$371=1),0,IF(Paths!$P$371="Complete",IF(AND(Paths!$D$371="EV",Paths!$E$371&lt;120,Paths!$E$371+'Operating costs'!$B$65&gt;Paths!$E$371,Paths!$E$371+'Operating costs'!$B$65&lt;=120,IF(Paths!$E$371+'Operating costs'!$B$65=0,C4020=0,AND(C4020&gt;0,Paths!$E$371+'Operating costs'!$B$65&gt;(C4020-1)*12,Paths!$E$371+'Operating costs'!$B$65&lt;=C4020*12))),'Operating costs'!$B$64,0)+IF(AND('Operating costs'!$B$67&gt;0,'Operating costs'!$B$67&lt;=120,OR(Paths!$D$371="ICE",'Operating costs'!$B$67&lt;=Paths!$E$371),IF('Operating costs'!$B$67=0,C4020=0,AND(C4020&gt;0,'Operating costs'!$B$67&gt;(C4020-1)*12,'Operating costs'!$B$67&lt;=C4020*12))),'Operating costs'!$B$66,0),"n.a."))</f>
        <v>0</v>
      </c>
      <c r="N4020" s="16">
        <f>IF(NOT(Paths!$C$371=1),0,IF(Paths!$P$371="Complete",SUM(G4020:I4020)-J4020-K4020-L4020+M4020+IF(C4020=0,Paths!$F$371,0)+IF(IF(Paths!$E$371=0,C4020=0,AND(C4020&gt;0,Paths!$E$371&gt;(C4020-1)*12,Paths!$E$371&lt;=C4020*12)),VLOOKUP(A4020,'Fleet register'!$A$7:$S$106,16,FALSE),0),"n.a."))</f>
        <v>0</v>
      </c>
      <c r="O4020" s="16">
        <f>IF(NOT(Paths!$C$371=1),0,IF(Paths!$P$371="Complete",N4020-IF(C4020=0,Paths!$F$371,0),"n.a."))</f>
        <v>0</v>
      </c>
      <c r="P4020" s="16">
        <f>IF(NOT(Paths!$C$371=1),0,IF(Paths!$P$371="Complete",O4020+L4020,"n.a."))</f>
        <v>0</v>
      </c>
      <c r="Q4020" s="16">
        <f>IF(NOT(Paths!$C$371=1),0,IF(Paths!$P$371="Complete",N4020*(1+'Operating costs'!$B$54)^-C4020,"n.a."))</f>
        <v>0</v>
      </c>
      <c r="R4020" s="16">
        <f>IF(NOT(Paths!$C$371=1),0,IF(Paths!$P$371="Complete",IF(AND(C4020=0,Paths!$E$371=0),I4020-J4020-K4020+VLOOKUP(A4020,'Fleet register'!$A$7:$S$106,15,FALSE)+VLOOKUP(A4020,'Fleet register'!$A$7:$S$106,16,FALSE),0),"n.a."))</f>
        <v>0</v>
      </c>
      <c r="S4020" s="1">
        <f>IF(NOT(Paths!$C$371=1),0,IF(Paths!$P$371="Complete",IF(C4020=0,0,Paths!$S$371*Paths!$R$371),"n.a."))</f>
        <v>0</v>
      </c>
      <c r="T4020" s="1">
        <f>IF(NOT(Paths!$C$371=1),0,IF(Paths!$P$371="Complete",IF(C4020=0,0,VLOOKUP(A4020,'Fleet register'!$A$7:$S$106,9,FALSE)*Paths!$R$371),"n.a."))</f>
        <v>0</v>
      </c>
    </row>
    <row r="4021" spans="1:20" ht="24" customHeight="1">
      <c r="A4021" s="1" t="str">
        <f>Paths!$A$371</f>
        <v>T092</v>
      </c>
      <c r="B4021" s="1">
        <f>Paths!$B$371</f>
        <v>0</v>
      </c>
      <c r="C4021" s="1">
        <v>10</v>
      </c>
      <c r="D4021" s="1">
        <v>371</v>
      </c>
      <c r="E4021" s="1">
        <f>IF(OR(Paths!$C$371=0,C4021=0),0,MAX(0,MIN(C4021*12,Paths!$E$371)-(C4021-1)*12))</f>
        <v>0</v>
      </c>
      <c r="F4021" s="1">
        <f>IF(OR(Paths!$C$371=0,C4021=0),0,12-E4021)</f>
        <v>0</v>
      </c>
      <c r="G4021" s="16">
        <f>IF(NOT(Paths!$C$371=1),0,IF(Paths!$P$371="Complete",E4021/12*(Paths!$J$371*(1+'Operating costs'!$B$51)^MAX(0,C4021-1)+Paths!$K$371*(1+'Operating costs'!$B$53)^MAX(0,C4021-1)),"n.a."))</f>
        <v>0</v>
      </c>
      <c r="H4021" s="16">
        <f>IF(NOT(Paths!$C$371=1),0,IF(Paths!$P$371="Complete",F4021/12*(Paths!$L$371*(1+IF(Paths!$D$371="EV",'Operating costs'!$B$52,'Operating costs'!$B$51))^MAX(0,C4021-1)+Paths!$M$371*(1+'Operating costs'!$B$53)^MAX(0,C4021-1)),"n.a."))</f>
        <v>0</v>
      </c>
      <c r="I4021" s="16">
        <f>IF(NOT(Paths!$C$371=1),0,IF(Paths!$P$371="Complete",IF(IF(Paths!$E$371=0,C4021=0,AND(C4021&gt;0,Paths!$E$371&gt;(C4021-1)*12,Paths!$E$371&lt;=C4021*12)),Paths!$G$371,0),"n.a."))</f>
        <v>0</v>
      </c>
      <c r="J4021" s="16">
        <f>IF(NOT(Paths!$C$371=1),0,IF(Paths!$P$371="Complete",IF(IF(Paths!$E$371=0,C4021=0,AND(C4021&gt;0,Paths!$E$371&gt;(C4021-1)*12,Paths!$E$371&lt;=C4021*12)),Paths!$H$371,0),"n.a."))</f>
        <v>0</v>
      </c>
      <c r="K4021" s="16">
        <f>IF(NOT(Paths!$C$371=1),0,IF(Paths!$P$371="Complete",IF(IF(Paths!$O$371=0,C4021=0,AND(C4021&gt;0,Paths!$O$371&gt;(C4021-1)*12,Paths!$O$371&lt;=C4021*12)),Paths!$N$371,0),"n.a."))</f>
        <v>0</v>
      </c>
      <c r="L4021" s="16">
        <f>IF(NOT(Paths!$C$371=1),0,IF(Paths!$P$371="Complete",IF(C4021=10,Paths!$I$371,0),"n.a."))</f>
        <v>0</v>
      </c>
      <c r="M4021" s="16">
        <f>IF(NOT(Paths!$C$371=1),0,IF(Paths!$P$371="Complete",IF(AND(Paths!$D$371="EV",Paths!$E$371&lt;120,Paths!$E$371+'Operating costs'!$B$65&gt;Paths!$E$371,Paths!$E$371+'Operating costs'!$B$65&lt;=120,IF(Paths!$E$371+'Operating costs'!$B$65=0,C4021=0,AND(C4021&gt;0,Paths!$E$371+'Operating costs'!$B$65&gt;(C4021-1)*12,Paths!$E$371+'Operating costs'!$B$65&lt;=C4021*12))),'Operating costs'!$B$64,0)+IF(AND('Operating costs'!$B$67&gt;0,'Operating costs'!$B$67&lt;=120,OR(Paths!$D$371="ICE",'Operating costs'!$B$67&lt;=Paths!$E$371),IF('Operating costs'!$B$67=0,C4021=0,AND(C4021&gt;0,'Operating costs'!$B$67&gt;(C4021-1)*12,'Operating costs'!$B$67&lt;=C4021*12))),'Operating costs'!$B$66,0),"n.a."))</f>
        <v>0</v>
      </c>
      <c r="N4021" s="16">
        <f>IF(NOT(Paths!$C$371=1),0,IF(Paths!$P$371="Complete",SUM(G4021:I4021)-J4021-K4021-L4021+M4021+IF(C4021=0,Paths!$F$371,0)+IF(IF(Paths!$E$371=0,C4021=0,AND(C4021&gt;0,Paths!$E$371&gt;(C4021-1)*12,Paths!$E$371&lt;=C4021*12)),VLOOKUP(A4021,'Fleet register'!$A$7:$S$106,16,FALSE),0),"n.a."))</f>
        <v>0</v>
      </c>
      <c r="O4021" s="16">
        <f>IF(NOT(Paths!$C$371=1),0,IF(Paths!$P$371="Complete",N4021-IF(C4021=0,Paths!$F$371,0),"n.a."))</f>
        <v>0</v>
      </c>
      <c r="P4021" s="16">
        <f>IF(NOT(Paths!$C$371=1),0,IF(Paths!$P$371="Complete",O4021+L4021,"n.a."))</f>
        <v>0</v>
      </c>
      <c r="Q4021" s="16">
        <f>IF(NOT(Paths!$C$371=1),0,IF(Paths!$P$371="Complete",N4021*(1+'Operating costs'!$B$54)^-C4021,"n.a."))</f>
        <v>0</v>
      </c>
      <c r="R4021" s="16">
        <f>IF(NOT(Paths!$C$371=1),0,IF(Paths!$P$371="Complete",IF(AND(C4021=0,Paths!$E$371=0),I4021-J4021-K4021+VLOOKUP(A4021,'Fleet register'!$A$7:$S$106,15,FALSE)+VLOOKUP(A4021,'Fleet register'!$A$7:$S$106,16,FALSE),0),"n.a."))</f>
        <v>0</v>
      </c>
      <c r="S4021" s="1">
        <f>IF(NOT(Paths!$C$371=1),0,IF(Paths!$P$371="Complete",IF(C4021=0,0,Paths!$S$371*Paths!$R$371),"n.a."))</f>
        <v>0</v>
      </c>
      <c r="T4021" s="1">
        <f>IF(NOT(Paths!$C$371=1),0,IF(Paths!$P$371="Complete",IF(C4021=0,0,VLOOKUP(A4021,'Fleet register'!$A$7:$S$106,9,FALSE)*Paths!$R$371),"n.a."))</f>
        <v>0</v>
      </c>
    </row>
    <row r="4022" spans="1:20" ht="24" customHeight="1">
      <c r="A4022" s="1" t="str">
        <f>Paths!$A$372</f>
        <v>T092</v>
      </c>
      <c r="B4022" s="1">
        <f>Paths!$B$372</f>
        <v>1</v>
      </c>
      <c r="C4022" s="1">
        <v>0</v>
      </c>
      <c r="D4022" s="1">
        <v>372</v>
      </c>
      <c r="E4022" s="1">
        <f>IF(OR(Paths!$C$372=0,C4022=0),0,MAX(0,MIN(C4022*12,Paths!$E$372)-(C4022-1)*12))</f>
        <v>0</v>
      </c>
      <c r="F4022" s="1">
        <f>IF(OR(Paths!$C$372=0,C4022=0),0,12-E4022)</f>
        <v>0</v>
      </c>
      <c r="G4022" s="16">
        <f>IF(NOT(Paths!$C$372=1),0,IF(Paths!$P$372="Complete",E4022/12*(Paths!$J$372*(1+'Operating costs'!$B$51)^MAX(0,C4022-1)+Paths!$K$372*(1+'Operating costs'!$B$53)^MAX(0,C4022-1)),"n.a."))</f>
        <v>0</v>
      </c>
      <c r="H4022" s="16">
        <f>IF(NOT(Paths!$C$372=1),0,IF(Paths!$P$372="Complete",F4022/12*(Paths!$L$372*(1+IF(Paths!$D$372="EV",'Operating costs'!$B$52,'Operating costs'!$B$51))^MAX(0,C4022-1)+Paths!$M$372*(1+'Operating costs'!$B$53)^MAX(0,C4022-1)),"n.a."))</f>
        <v>0</v>
      </c>
      <c r="I4022" s="16">
        <f>IF(NOT(Paths!$C$372=1),0,IF(Paths!$P$372="Complete",IF(IF(Paths!$E$372=0,C4022=0,AND(C4022&gt;0,Paths!$E$372&gt;(C4022-1)*12,Paths!$E$372&lt;=C4022*12)),Paths!$G$372,0),"n.a."))</f>
        <v>0</v>
      </c>
      <c r="J4022" s="16">
        <f>IF(NOT(Paths!$C$372=1),0,IF(Paths!$P$372="Complete",IF(IF(Paths!$E$372=0,C4022=0,AND(C4022&gt;0,Paths!$E$372&gt;(C4022-1)*12,Paths!$E$372&lt;=C4022*12)),Paths!$H$372,0),"n.a."))</f>
        <v>0</v>
      </c>
      <c r="K4022" s="16">
        <f>IF(NOT(Paths!$C$372=1),0,IF(Paths!$P$372="Complete",IF(IF(Paths!$O$372=0,C4022=0,AND(C4022&gt;0,Paths!$O$372&gt;(C4022-1)*12,Paths!$O$372&lt;=C4022*12)),Paths!$N$372,0),"n.a."))</f>
        <v>0</v>
      </c>
      <c r="L4022" s="16">
        <f>IF(NOT(Paths!$C$372=1),0,IF(Paths!$P$372="Complete",IF(C4022=10,Paths!$I$372,0),"n.a."))</f>
        <v>0</v>
      </c>
      <c r="M4022" s="16">
        <f>IF(NOT(Paths!$C$372=1),0,IF(Paths!$P$372="Complete",IF(AND(Paths!$D$372="EV",Paths!$E$372&lt;120,Paths!$E$372+'Operating costs'!$B$65&gt;Paths!$E$372,Paths!$E$372+'Operating costs'!$B$65&lt;=120,IF(Paths!$E$372+'Operating costs'!$B$65=0,C4022=0,AND(C4022&gt;0,Paths!$E$372+'Operating costs'!$B$65&gt;(C4022-1)*12,Paths!$E$372+'Operating costs'!$B$65&lt;=C4022*12))),'Operating costs'!$B$64,0)+IF(AND('Operating costs'!$B$67&gt;0,'Operating costs'!$B$67&lt;=120,OR(Paths!$D$372="ICE",'Operating costs'!$B$67&lt;=Paths!$E$372),IF('Operating costs'!$B$67=0,C4022=0,AND(C4022&gt;0,'Operating costs'!$B$67&gt;(C4022-1)*12,'Operating costs'!$B$67&lt;=C4022*12))),'Operating costs'!$B$66,0),"n.a."))</f>
        <v>0</v>
      </c>
      <c r="N4022" s="16">
        <f>IF(NOT(Paths!$C$372=1),0,IF(Paths!$P$372="Complete",SUM(G4022:I4022)-J4022-K4022-L4022+M4022+IF(C4022=0,Paths!$F$372,0)+IF(IF(Paths!$E$372=0,C4022=0,AND(C4022&gt;0,Paths!$E$372&gt;(C4022-1)*12,Paths!$E$372&lt;=C4022*12)),VLOOKUP(A4022,'Fleet register'!$A$7:$S$106,16,FALSE),0),"n.a."))</f>
        <v>0</v>
      </c>
      <c r="O4022" s="16">
        <f>IF(NOT(Paths!$C$372=1),0,IF(Paths!$P$372="Complete",N4022-IF(C4022=0,Paths!$F$372,0),"n.a."))</f>
        <v>0</v>
      </c>
      <c r="P4022" s="16">
        <f>IF(NOT(Paths!$C$372=1),0,IF(Paths!$P$372="Complete",O4022+L4022,"n.a."))</f>
        <v>0</v>
      </c>
      <c r="Q4022" s="16">
        <f>IF(NOT(Paths!$C$372=1),0,IF(Paths!$P$372="Complete",N4022*(1+'Operating costs'!$B$54)^-C4022,"n.a."))</f>
        <v>0</v>
      </c>
      <c r="R4022" s="16">
        <f>IF(NOT(Paths!$C$372=1),0,IF(Paths!$P$372="Complete",IF(AND(C4022=0,Paths!$E$372=0),I4022-J4022-K4022+VLOOKUP(A4022,'Fleet register'!$A$7:$S$106,15,FALSE)+VLOOKUP(A4022,'Fleet register'!$A$7:$S$106,16,FALSE),0),"n.a."))</f>
        <v>0</v>
      </c>
      <c r="S4022" s="1">
        <f>IF(NOT(Paths!$C$372=1),0,IF(Paths!$P$372="Complete",IF(C4022=0,0,Paths!$S$372*Paths!$R$372),"n.a."))</f>
        <v>0</v>
      </c>
      <c r="T4022" s="1">
        <f>IF(NOT(Paths!$C$372=1),0,IF(Paths!$P$372="Complete",IF(C4022=0,0,VLOOKUP(A4022,'Fleet register'!$A$7:$S$106,9,FALSE)*Paths!$R$372),"n.a."))</f>
        <v>0</v>
      </c>
    </row>
    <row r="4023" spans="1:20" ht="24" customHeight="1">
      <c r="A4023" s="1" t="str">
        <f>Paths!$A$372</f>
        <v>T092</v>
      </c>
      <c r="B4023" s="1">
        <f>Paths!$B$372</f>
        <v>1</v>
      </c>
      <c r="C4023" s="1">
        <v>1</v>
      </c>
      <c r="D4023" s="1">
        <v>372</v>
      </c>
      <c r="E4023" s="1">
        <f>IF(OR(Paths!$C$372=0,C4023=0),0,MAX(0,MIN(C4023*12,Paths!$E$372)-(C4023-1)*12))</f>
        <v>0</v>
      </c>
      <c r="F4023" s="1">
        <f>IF(OR(Paths!$C$372=0,C4023=0),0,12-E4023)</f>
        <v>0</v>
      </c>
      <c r="G4023" s="16">
        <f>IF(NOT(Paths!$C$372=1),0,IF(Paths!$P$372="Complete",E4023/12*(Paths!$J$372*(1+'Operating costs'!$B$51)^MAX(0,C4023-1)+Paths!$K$372*(1+'Operating costs'!$B$53)^MAX(0,C4023-1)),"n.a."))</f>
        <v>0</v>
      </c>
      <c r="H4023" s="16">
        <f>IF(NOT(Paths!$C$372=1),0,IF(Paths!$P$372="Complete",F4023/12*(Paths!$L$372*(1+IF(Paths!$D$372="EV",'Operating costs'!$B$52,'Operating costs'!$B$51))^MAX(0,C4023-1)+Paths!$M$372*(1+'Operating costs'!$B$53)^MAX(0,C4023-1)),"n.a."))</f>
        <v>0</v>
      </c>
      <c r="I4023" s="16">
        <f>IF(NOT(Paths!$C$372=1),0,IF(Paths!$P$372="Complete",IF(IF(Paths!$E$372=0,C4023=0,AND(C4023&gt;0,Paths!$E$372&gt;(C4023-1)*12,Paths!$E$372&lt;=C4023*12)),Paths!$G$372,0),"n.a."))</f>
        <v>0</v>
      </c>
      <c r="J4023" s="16">
        <f>IF(NOT(Paths!$C$372=1),0,IF(Paths!$P$372="Complete",IF(IF(Paths!$E$372=0,C4023=0,AND(C4023&gt;0,Paths!$E$372&gt;(C4023-1)*12,Paths!$E$372&lt;=C4023*12)),Paths!$H$372,0),"n.a."))</f>
        <v>0</v>
      </c>
      <c r="K4023" s="16">
        <f>IF(NOT(Paths!$C$372=1),0,IF(Paths!$P$372="Complete",IF(IF(Paths!$O$372=0,C4023=0,AND(C4023&gt;0,Paths!$O$372&gt;(C4023-1)*12,Paths!$O$372&lt;=C4023*12)),Paths!$N$372,0),"n.a."))</f>
        <v>0</v>
      </c>
      <c r="L4023" s="16">
        <f>IF(NOT(Paths!$C$372=1),0,IF(Paths!$P$372="Complete",IF(C4023=10,Paths!$I$372,0),"n.a."))</f>
        <v>0</v>
      </c>
      <c r="M4023" s="16">
        <f>IF(NOT(Paths!$C$372=1),0,IF(Paths!$P$372="Complete",IF(AND(Paths!$D$372="EV",Paths!$E$372&lt;120,Paths!$E$372+'Operating costs'!$B$65&gt;Paths!$E$372,Paths!$E$372+'Operating costs'!$B$65&lt;=120,IF(Paths!$E$372+'Operating costs'!$B$65=0,C4023=0,AND(C4023&gt;0,Paths!$E$372+'Operating costs'!$B$65&gt;(C4023-1)*12,Paths!$E$372+'Operating costs'!$B$65&lt;=C4023*12))),'Operating costs'!$B$64,0)+IF(AND('Operating costs'!$B$67&gt;0,'Operating costs'!$B$67&lt;=120,OR(Paths!$D$372="ICE",'Operating costs'!$B$67&lt;=Paths!$E$372),IF('Operating costs'!$B$67=0,C4023=0,AND(C4023&gt;0,'Operating costs'!$B$67&gt;(C4023-1)*12,'Operating costs'!$B$67&lt;=C4023*12))),'Operating costs'!$B$66,0),"n.a."))</f>
        <v>0</v>
      </c>
      <c r="N4023" s="16">
        <f>IF(NOT(Paths!$C$372=1),0,IF(Paths!$P$372="Complete",SUM(G4023:I4023)-J4023-K4023-L4023+M4023+IF(C4023=0,Paths!$F$372,0)+IF(IF(Paths!$E$372=0,C4023=0,AND(C4023&gt;0,Paths!$E$372&gt;(C4023-1)*12,Paths!$E$372&lt;=C4023*12)),VLOOKUP(A4023,'Fleet register'!$A$7:$S$106,16,FALSE),0),"n.a."))</f>
        <v>0</v>
      </c>
      <c r="O4023" s="16">
        <f>IF(NOT(Paths!$C$372=1),0,IF(Paths!$P$372="Complete",N4023-IF(C4023=0,Paths!$F$372,0),"n.a."))</f>
        <v>0</v>
      </c>
      <c r="P4023" s="16">
        <f>IF(NOT(Paths!$C$372=1),0,IF(Paths!$P$372="Complete",O4023+L4023,"n.a."))</f>
        <v>0</v>
      </c>
      <c r="Q4023" s="16">
        <f>IF(NOT(Paths!$C$372=1),0,IF(Paths!$P$372="Complete",N4023*(1+'Operating costs'!$B$54)^-C4023,"n.a."))</f>
        <v>0</v>
      </c>
      <c r="R4023" s="16">
        <f>IF(NOT(Paths!$C$372=1),0,IF(Paths!$P$372="Complete",IF(AND(C4023=0,Paths!$E$372=0),I4023-J4023-K4023+VLOOKUP(A4023,'Fleet register'!$A$7:$S$106,15,FALSE)+VLOOKUP(A4023,'Fleet register'!$A$7:$S$106,16,FALSE),0),"n.a."))</f>
        <v>0</v>
      </c>
      <c r="S4023" s="1">
        <f>IF(NOT(Paths!$C$372=1),0,IF(Paths!$P$372="Complete",IF(C4023=0,0,Paths!$S$372*Paths!$R$372),"n.a."))</f>
        <v>0</v>
      </c>
      <c r="T4023" s="1">
        <f>IF(NOT(Paths!$C$372=1),0,IF(Paths!$P$372="Complete",IF(C4023=0,0,VLOOKUP(A4023,'Fleet register'!$A$7:$S$106,9,FALSE)*Paths!$R$372),"n.a."))</f>
        <v>0</v>
      </c>
    </row>
    <row r="4024" spans="1:20" ht="24" customHeight="1">
      <c r="A4024" s="1" t="str">
        <f>Paths!$A$372</f>
        <v>T092</v>
      </c>
      <c r="B4024" s="1">
        <f>Paths!$B$372</f>
        <v>1</v>
      </c>
      <c r="C4024" s="1">
        <v>2</v>
      </c>
      <c r="D4024" s="1">
        <v>372</v>
      </c>
      <c r="E4024" s="1">
        <f>IF(OR(Paths!$C$372=0,C4024=0),0,MAX(0,MIN(C4024*12,Paths!$E$372)-(C4024-1)*12))</f>
        <v>0</v>
      </c>
      <c r="F4024" s="1">
        <f>IF(OR(Paths!$C$372=0,C4024=0),0,12-E4024)</f>
        <v>0</v>
      </c>
      <c r="G4024" s="16">
        <f>IF(NOT(Paths!$C$372=1),0,IF(Paths!$P$372="Complete",E4024/12*(Paths!$J$372*(1+'Operating costs'!$B$51)^MAX(0,C4024-1)+Paths!$K$372*(1+'Operating costs'!$B$53)^MAX(0,C4024-1)),"n.a."))</f>
        <v>0</v>
      </c>
      <c r="H4024" s="16">
        <f>IF(NOT(Paths!$C$372=1),0,IF(Paths!$P$372="Complete",F4024/12*(Paths!$L$372*(1+IF(Paths!$D$372="EV",'Operating costs'!$B$52,'Operating costs'!$B$51))^MAX(0,C4024-1)+Paths!$M$372*(1+'Operating costs'!$B$53)^MAX(0,C4024-1)),"n.a."))</f>
        <v>0</v>
      </c>
      <c r="I4024" s="16">
        <f>IF(NOT(Paths!$C$372=1),0,IF(Paths!$P$372="Complete",IF(IF(Paths!$E$372=0,C4024=0,AND(C4024&gt;0,Paths!$E$372&gt;(C4024-1)*12,Paths!$E$372&lt;=C4024*12)),Paths!$G$372,0),"n.a."))</f>
        <v>0</v>
      </c>
      <c r="J4024" s="16">
        <f>IF(NOT(Paths!$C$372=1),0,IF(Paths!$P$372="Complete",IF(IF(Paths!$E$372=0,C4024=0,AND(C4024&gt;0,Paths!$E$372&gt;(C4024-1)*12,Paths!$E$372&lt;=C4024*12)),Paths!$H$372,0),"n.a."))</f>
        <v>0</v>
      </c>
      <c r="K4024" s="16">
        <f>IF(NOT(Paths!$C$372=1),0,IF(Paths!$P$372="Complete",IF(IF(Paths!$O$372=0,C4024=0,AND(C4024&gt;0,Paths!$O$372&gt;(C4024-1)*12,Paths!$O$372&lt;=C4024*12)),Paths!$N$372,0),"n.a."))</f>
        <v>0</v>
      </c>
      <c r="L4024" s="16">
        <f>IF(NOT(Paths!$C$372=1),0,IF(Paths!$P$372="Complete",IF(C4024=10,Paths!$I$372,0),"n.a."))</f>
        <v>0</v>
      </c>
      <c r="M4024" s="16">
        <f>IF(NOT(Paths!$C$372=1),0,IF(Paths!$P$372="Complete",IF(AND(Paths!$D$372="EV",Paths!$E$372&lt;120,Paths!$E$372+'Operating costs'!$B$65&gt;Paths!$E$372,Paths!$E$372+'Operating costs'!$B$65&lt;=120,IF(Paths!$E$372+'Operating costs'!$B$65=0,C4024=0,AND(C4024&gt;0,Paths!$E$372+'Operating costs'!$B$65&gt;(C4024-1)*12,Paths!$E$372+'Operating costs'!$B$65&lt;=C4024*12))),'Operating costs'!$B$64,0)+IF(AND('Operating costs'!$B$67&gt;0,'Operating costs'!$B$67&lt;=120,OR(Paths!$D$372="ICE",'Operating costs'!$B$67&lt;=Paths!$E$372),IF('Operating costs'!$B$67=0,C4024=0,AND(C4024&gt;0,'Operating costs'!$B$67&gt;(C4024-1)*12,'Operating costs'!$B$67&lt;=C4024*12))),'Operating costs'!$B$66,0),"n.a."))</f>
        <v>0</v>
      </c>
      <c r="N4024" s="16">
        <f>IF(NOT(Paths!$C$372=1),0,IF(Paths!$P$372="Complete",SUM(G4024:I4024)-J4024-K4024-L4024+M4024+IF(C4024=0,Paths!$F$372,0)+IF(IF(Paths!$E$372=0,C4024=0,AND(C4024&gt;0,Paths!$E$372&gt;(C4024-1)*12,Paths!$E$372&lt;=C4024*12)),VLOOKUP(A4024,'Fleet register'!$A$7:$S$106,16,FALSE),0),"n.a."))</f>
        <v>0</v>
      </c>
      <c r="O4024" s="16">
        <f>IF(NOT(Paths!$C$372=1),0,IF(Paths!$P$372="Complete",N4024-IF(C4024=0,Paths!$F$372,0),"n.a."))</f>
        <v>0</v>
      </c>
      <c r="P4024" s="16">
        <f>IF(NOT(Paths!$C$372=1),0,IF(Paths!$P$372="Complete",O4024+L4024,"n.a."))</f>
        <v>0</v>
      </c>
      <c r="Q4024" s="16">
        <f>IF(NOT(Paths!$C$372=1),0,IF(Paths!$P$372="Complete",N4024*(1+'Operating costs'!$B$54)^-C4024,"n.a."))</f>
        <v>0</v>
      </c>
      <c r="R4024" s="16">
        <f>IF(NOT(Paths!$C$372=1),0,IF(Paths!$P$372="Complete",IF(AND(C4024=0,Paths!$E$372=0),I4024-J4024-K4024+VLOOKUP(A4024,'Fleet register'!$A$7:$S$106,15,FALSE)+VLOOKUP(A4024,'Fleet register'!$A$7:$S$106,16,FALSE),0),"n.a."))</f>
        <v>0</v>
      </c>
      <c r="S4024" s="1">
        <f>IF(NOT(Paths!$C$372=1),0,IF(Paths!$P$372="Complete",IF(C4024=0,0,Paths!$S$372*Paths!$R$372),"n.a."))</f>
        <v>0</v>
      </c>
      <c r="T4024" s="1">
        <f>IF(NOT(Paths!$C$372=1),0,IF(Paths!$P$372="Complete",IF(C4024=0,0,VLOOKUP(A4024,'Fleet register'!$A$7:$S$106,9,FALSE)*Paths!$R$372),"n.a."))</f>
        <v>0</v>
      </c>
    </row>
    <row r="4025" spans="1:20" ht="24" customHeight="1">
      <c r="A4025" s="1" t="str">
        <f>Paths!$A$372</f>
        <v>T092</v>
      </c>
      <c r="B4025" s="1">
        <f>Paths!$B$372</f>
        <v>1</v>
      </c>
      <c r="C4025" s="1">
        <v>3</v>
      </c>
      <c r="D4025" s="1">
        <v>372</v>
      </c>
      <c r="E4025" s="1">
        <f>IF(OR(Paths!$C$372=0,C4025=0),0,MAX(0,MIN(C4025*12,Paths!$E$372)-(C4025-1)*12))</f>
        <v>0</v>
      </c>
      <c r="F4025" s="1">
        <f>IF(OR(Paths!$C$372=0,C4025=0),0,12-E4025)</f>
        <v>0</v>
      </c>
      <c r="G4025" s="16">
        <f>IF(NOT(Paths!$C$372=1),0,IF(Paths!$P$372="Complete",E4025/12*(Paths!$J$372*(1+'Operating costs'!$B$51)^MAX(0,C4025-1)+Paths!$K$372*(1+'Operating costs'!$B$53)^MAX(0,C4025-1)),"n.a."))</f>
        <v>0</v>
      </c>
      <c r="H4025" s="16">
        <f>IF(NOT(Paths!$C$372=1),0,IF(Paths!$P$372="Complete",F4025/12*(Paths!$L$372*(1+IF(Paths!$D$372="EV",'Operating costs'!$B$52,'Operating costs'!$B$51))^MAX(0,C4025-1)+Paths!$M$372*(1+'Operating costs'!$B$53)^MAX(0,C4025-1)),"n.a."))</f>
        <v>0</v>
      </c>
      <c r="I4025" s="16">
        <f>IF(NOT(Paths!$C$372=1),0,IF(Paths!$P$372="Complete",IF(IF(Paths!$E$372=0,C4025=0,AND(C4025&gt;0,Paths!$E$372&gt;(C4025-1)*12,Paths!$E$372&lt;=C4025*12)),Paths!$G$372,0),"n.a."))</f>
        <v>0</v>
      </c>
      <c r="J4025" s="16">
        <f>IF(NOT(Paths!$C$372=1),0,IF(Paths!$P$372="Complete",IF(IF(Paths!$E$372=0,C4025=0,AND(C4025&gt;0,Paths!$E$372&gt;(C4025-1)*12,Paths!$E$372&lt;=C4025*12)),Paths!$H$372,0),"n.a."))</f>
        <v>0</v>
      </c>
      <c r="K4025" s="16">
        <f>IF(NOT(Paths!$C$372=1),0,IF(Paths!$P$372="Complete",IF(IF(Paths!$O$372=0,C4025=0,AND(C4025&gt;0,Paths!$O$372&gt;(C4025-1)*12,Paths!$O$372&lt;=C4025*12)),Paths!$N$372,0),"n.a."))</f>
        <v>0</v>
      </c>
      <c r="L4025" s="16">
        <f>IF(NOT(Paths!$C$372=1),0,IF(Paths!$P$372="Complete",IF(C4025=10,Paths!$I$372,0),"n.a."))</f>
        <v>0</v>
      </c>
      <c r="M4025" s="16">
        <f>IF(NOT(Paths!$C$372=1),0,IF(Paths!$P$372="Complete",IF(AND(Paths!$D$372="EV",Paths!$E$372&lt;120,Paths!$E$372+'Operating costs'!$B$65&gt;Paths!$E$372,Paths!$E$372+'Operating costs'!$B$65&lt;=120,IF(Paths!$E$372+'Operating costs'!$B$65=0,C4025=0,AND(C4025&gt;0,Paths!$E$372+'Operating costs'!$B$65&gt;(C4025-1)*12,Paths!$E$372+'Operating costs'!$B$65&lt;=C4025*12))),'Operating costs'!$B$64,0)+IF(AND('Operating costs'!$B$67&gt;0,'Operating costs'!$B$67&lt;=120,OR(Paths!$D$372="ICE",'Operating costs'!$B$67&lt;=Paths!$E$372),IF('Operating costs'!$B$67=0,C4025=0,AND(C4025&gt;0,'Operating costs'!$B$67&gt;(C4025-1)*12,'Operating costs'!$B$67&lt;=C4025*12))),'Operating costs'!$B$66,0),"n.a."))</f>
        <v>0</v>
      </c>
      <c r="N4025" s="16">
        <f>IF(NOT(Paths!$C$372=1),0,IF(Paths!$P$372="Complete",SUM(G4025:I4025)-J4025-K4025-L4025+M4025+IF(C4025=0,Paths!$F$372,0)+IF(IF(Paths!$E$372=0,C4025=0,AND(C4025&gt;0,Paths!$E$372&gt;(C4025-1)*12,Paths!$E$372&lt;=C4025*12)),VLOOKUP(A4025,'Fleet register'!$A$7:$S$106,16,FALSE),0),"n.a."))</f>
        <v>0</v>
      </c>
      <c r="O4025" s="16">
        <f>IF(NOT(Paths!$C$372=1),0,IF(Paths!$P$372="Complete",N4025-IF(C4025=0,Paths!$F$372,0),"n.a."))</f>
        <v>0</v>
      </c>
      <c r="P4025" s="16">
        <f>IF(NOT(Paths!$C$372=1),0,IF(Paths!$P$372="Complete",O4025+L4025,"n.a."))</f>
        <v>0</v>
      </c>
      <c r="Q4025" s="16">
        <f>IF(NOT(Paths!$C$372=1),0,IF(Paths!$P$372="Complete",N4025*(1+'Operating costs'!$B$54)^-C4025,"n.a."))</f>
        <v>0</v>
      </c>
      <c r="R4025" s="16">
        <f>IF(NOT(Paths!$C$372=1),0,IF(Paths!$P$372="Complete",IF(AND(C4025=0,Paths!$E$372=0),I4025-J4025-K4025+VLOOKUP(A4025,'Fleet register'!$A$7:$S$106,15,FALSE)+VLOOKUP(A4025,'Fleet register'!$A$7:$S$106,16,FALSE),0),"n.a."))</f>
        <v>0</v>
      </c>
      <c r="S4025" s="1">
        <f>IF(NOT(Paths!$C$372=1),0,IF(Paths!$P$372="Complete",IF(C4025=0,0,Paths!$S$372*Paths!$R$372),"n.a."))</f>
        <v>0</v>
      </c>
      <c r="T4025" s="1">
        <f>IF(NOT(Paths!$C$372=1),0,IF(Paths!$P$372="Complete",IF(C4025=0,0,VLOOKUP(A4025,'Fleet register'!$A$7:$S$106,9,FALSE)*Paths!$R$372),"n.a."))</f>
        <v>0</v>
      </c>
    </row>
    <row r="4026" spans="1:20" ht="24" customHeight="1">
      <c r="A4026" s="1" t="str">
        <f>Paths!$A$372</f>
        <v>T092</v>
      </c>
      <c r="B4026" s="1">
        <f>Paths!$B$372</f>
        <v>1</v>
      </c>
      <c r="C4026" s="1">
        <v>4</v>
      </c>
      <c r="D4026" s="1">
        <v>372</v>
      </c>
      <c r="E4026" s="1">
        <f>IF(OR(Paths!$C$372=0,C4026=0),0,MAX(0,MIN(C4026*12,Paths!$E$372)-(C4026-1)*12))</f>
        <v>0</v>
      </c>
      <c r="F4026" s="1">
        <f>IF(OR(Paths!$C$372=0,C4026=0),0,12-E4026)</f>
        <v>0</v>
      </c>
      <c r="G4026" s="16">
        <f>IF(NOT(Paths!$C$372=1),0,IF(Paths!$P$372="Complete",E4026/12*(Paths!$J$372*(1+'Operating costs'!$B$51)^MAX(0,C4026-1)+Paths!$K$372*(1+'Operating costs'!$B$53)^MAX(0,C4026-1)),"n.a."))</f>
        <v>0</v>
      </c>
      <c r="H4026" s="16">
        <f>IF(NOT(Paths!$C$372=1),0,IF(Paths!$P$372="Complete",F4026/12*(Paths!$L$372*(1+IF(Paths!$D$372="EV",'Operating costs'!$B$52,'Operating costs'!$B$51))^MAX(0,C4026-1)+Paths!$M$372*(1+'Operating costs'!$B$53)^MAX(0,C4026-1)),"n.a."))</f>
        <v>0</v>
      </c>
      <c r="I4026" s="16">
        <f>IF(NOT(Paths!$C$372=1),0,IF(Paths!$P$372="Complete",IF(IF(Paths!$E$372=0,C4026=0,AND(C4026&gt;0,Paths!$E$372&gt;(C4026-1)*12,Paths!$E$372&lt;=C4026*12)),Paths!$G$372,0),"n.a."))</f>
        <v>0</v>
      </c>
      <c r="J4026" s="16">
        <f>IF(NOT(Paths!$C$372=1),0,IF(Paths!$P$372="Complete",IF(IF(Paths!$E$372=0,C4026=0,AND(C4026&gt;0,Paths!$E$372&gt;(C4026-1)*12,Paths!$E$372&lt;=C4026*12)),Paths!$H$372,0),"n.a."))</f>
        <v>0</v>
      </c>
      <c r="K4026" s="16">
        <f>IF(NOT(Paths!$C$372=1),0,IF(Paths!$P$372="Complete",IF(IF(Paths!$O$372=0,C4026=0,AND(C4026&gt;0,Paths!$O$372&gt;(C4026-1)*12,Paths!$O$372&lt;=C4026*12)),Paths!$N$372,0),"n.a."))</f>
        <v>0</v>
      </c>
      <c r="L4026" s="16">
        <f>IF(NOT(Paths!$C$372=1),0,IF(Paths!$P$372="Complete",IF(C4026=10,Paths!$I$372,0),"n.a."))</f>
        <v>0</v>
      </c>
      <c r="M4026" s="16">
        <f>IF(NOT(Paths!$C$372=1),0,IF(Paths!$P$372="Complete",IF(AND(Paths!$D$372="EV",Paths!$E$372&lt;120,Paths!$E$372+'Operating costs'!$B$65&gt;Paths!$E$372,Paths!$E$372+'Operating costs'!$B$65&lt;=120,IF(Paths!$E$372+'Operating costs'!$B$65=0,C4026=0,AND(C4026&gt;0,Paths!$E$372+'Operating costs'!$B$65&gt;(C4026-1)*12,Paths!$E$372+'Operating costs'!$B$65&lt;=C4026*12))),'Operating costs'!$B$64,0)+IF(AND('Operating costs'!$B$67&gt;0,'Operating costs'!$B$67&lt;=120,OR(Paths!$D$372="ICE",'Operating costs'!$B$67&lt;=Paths!$E$372),IF('Operating costs'!$B$67=0,C4026=0,AND(C4026&gt;0,'Operating costs'!$B$67&gt;(C4026-1)*12,'Operating costs'!$B$67&lt;=C4026*12))),'Operating costs'!$B$66,0),"n.a."))</f>
        <v>0</v>
      </c>
      <c r="N4026" s="16">
        <f>IF(NOT(Paths!$C$372=1),0,IF(Paths!$P$372="Complete",SUM(G4026:I4026)-J4026-K4026-L4026+M4026+IF(C4026=0,Paths!$F$372,0)+IF(IF(Paths!$E$372=0,C4026=0,AND(C4026&gt;0,Paths!$E$372&gt;(C4026-1)*12,Paths!$E$372&lt;=C4026*12)),VLOOKUP(A4026,'Fleet register'!$A$7:$S$106,16,FALSE),0),"n.a."))</f>
        <v>0</v>
      </c>
      <c r="O4026" s="16">
        <f>IF(NOT(Paths!$C$372=1),0,IF(Paths!$P$372="Complete",N4026-IF(C4026=0,Paths!$F$372,0),"n.a."))</f>
        <v>0</v>
      </c>
      <c r="P4026" s="16">
        <f>IF(NOT(Paths!$C$372=1),0,IF(Paths!$P$372="Complete",O4026+L4026,"n.a."))</f>
        <v>0</v>
      </c>
      <c r="Q4026" s="16">
        <f>IF(NOT(Paths!$C$372=1),0,IF(Paths!$P$372="Complete",N4026*(1+'Operating costs'!$B$54)^-C4026,"n.a."))</f>
        <v>0</v>
      </c>
      <c r="R4026" s="16">
        <f>IF(NOT(Paths!$C$372=1),0,IF(Paths!$P$372="Complete",IF(AND(C4026=0,Paths!$E$372=0),I4026-J4026-K4026+VLOOKUP(A4026,'Fleet register'!$A$7:$S$106,15,FALSE)+VLOOKUP(A4026,'Fleet register'!$A$7:$S$106,16,FALSE),0),"n.a."))</f>
        <v>0</v>
      </c>
      <c r="S4026" s="1">
        <f>IF(NOT(Paths!$C$372=1),0,IF(Paths!$P$372="Complete",IF(C4026=0,0,Paths!$S$372*Paths!$R$372),"n.a."))</f>
        <v>0</v>
      </c>
      <c r="T4026" s="1">
        <f>IF(NOT(Paths!$C$372=1),0,IF(Paths!$P$372="Complete",IF(C4026=0,0,VLOOKUP(A4026,'Fleet register'!$A$7:$S$106,9,FALSE)*Paths!$R$372),"n.a."))</f>
        <v>0</v>
      </c>
    </row>
    <row r="4027" spans="1:20" ht="24" customHeight="1">
      <c r="A4027" s="1" t="str">
        <f>Paths!$A$372</f>
        <v>T092</v>
      </c>
      <c r="B4027" s="1">
        <f>Paths!$B$372</f>
        <v>1</v>
      </c>
      <c r="C4027" s="1">
        <v>5</v>
      </c>
      <c r="D4027" s="1">
        <v>372</v>
      </c>
      <c r="E4027" s="1">
        <f>IF(OR(Paths!$C$372=0,C4027=0),0,MAX(0,MIN(C4027*12,Paths!$E$372)-(C4027-1)*12))</f>
        <v>0</v>
      </c>
      <c r="F4027" s="1">
        <f>IF(OR(Paths!$C$372=0,C4027=0),0,12-E4027)</f>
        <v>0</v>
      </c>
      <c r="G4027" s="16">
        <f>IF(NOT(Paths!$C$372=1),0,IF(Paths!$P$372="Complete",E4027/12*(Paths!$J$372*(1+'Operating costs'!$B$51)^MAX(0,C4027-1)+Paths!$K$372*(1+'Operating costs'!$B$53)^MAX(0,C4027-1)),"n.a."))</f>
        <v>0</v>
      </c>
      <c r="H4027" s="16">
        <f>IF(NOT(Paths!$C$372=1),0,IF(Paths!$P$372="Complete",F4027/12*(Paths!$L$372*(1+IF(Paths!$D$372="EV",'Operating costs'!$B$52,'Operating costs'!$B$51))^MAX(0,C4027-1)+Paths!$M$372*(1+'Operating costs'!$B$53)^MAX(0,C4027-1)),"n.a."))</f>
        <v>0</v>
      </c>
      <c r="I4027" s="16">
        <f>IF(NOT(Paths!$C$372=1),0,IF(Paths!$P$372="Complete",IF(IF(Paths!$E$372=0,C4027=0,AND(C4027&gt;0,Paths!$E$372&gt;(C4027-1)*12,Paths!$E$372&lt;=C4027*12)),Paths!$G$372,0),"n.a."))</f>
        <v>0</v>
      </c>
      <c r="J4027" s="16">
        <f>IF(NOT(Paths!$C$372=1),0,IF(Paths!$P$372="Complete",IF(IF(Paths!$E$372=0,C4027=0,AND(C4027&gt;0,Paths!$E$372&gt;(C4027-1)*12,Paths!$E$372&lt;=C4027*12)),Paths!$H$372,0),"n.a."))</f>
        <v>0</v>
      </c>
      <c r="K4027" s="16">
        <f>IF(NOT(Paths!$C$372=1),0,IF(Paths!$P$372="Complete",IF(IF(Paths!$O$372=0,C4027=0,AND(C4027&gt;0,Paths!$O$372&gt;(C4027-1)*12,Paths!$O$372&lt;=C4027*12)),Paths!$N$372,0),"n.a."))</f>
        <v>0</v>
      </c>
      <c r="L4027" s="16">
        <f>IF(NOT(Paths!$C$372=1),0,IF(Paths!$P$372="Complete",IF(C4027=10,Paths!$I$372,0),"n.a."))</f>
        <v>0</v>
      </c>
      <c r="M4027" s="16">
        <f>IF(NOT(Paths!$C$372=1),0,IF(Paths!$P$372="Complete",IF(AND(Paths!$D$372="EV",Paths!$E$372&lt;120,Paths!$E$372+'Operating costs'!$B$65&gt;Paths!$E$372,Paths!$E$372+'Operating costs'!$B$65&lt;=120,IF(Paths!$E$372+'Operating costs'!$B$65=0,C4027=0,AND(C4027&gt;0,Paths!$E$372+'Operating costs'!$B$65&gt;(C4027-1)*12,Paths!$E$372+'Operating costs'!$B$65&lt;=C4027*12))),'Operating costs'!$B$64,0)+IF(AND('Operating costs'!$B$67&gt;0,'Operating costs'!$B$67&lt;=120,OR(Paths!$D$372="ICE",'Operating costs'!$B$67&lt;=Paths!$E$372),IF('Operating costs'!$B$67=0,C4027=0,AND(C4027&gt;0,'Operating costs'!$B$67&gt;(C4027-1)*12,'Operating costs'!$B$67&lt;=C4027*12))),'Operating costs'!$B$66,0),"n.a."))</f>
        <v>0</v>
      </c>
      <c r="N4027" s="16">
        <f>IF(NOT(Paths!$C$372=1),0,IF(Paths!$P$372="Complete",SUM(G4027:I4027)-J4027-K4027-L4027+M4027+IF(C4027=0,Paths!$F$372,0)+IF(IF(Paths!$E$372=0,C4027=0,AND(C4027&gt;0,Paths!$E$372&gt;(C4027-1)*12,Paths!$E$372&lt;=C4027*12)),VLOOKUP(A4027,'Fleet register'!$A$7:$S$106,16,FALSE),0),"n.a."))</f>
        <v>0</v>
      </c>
      <c r="O4027" s="16">
        <f>IF(NOT(Paths!$C$372=1),0,IF(Paths!$P$372="Complete",N4027-IF(C4027=0,Paths!$F$372,0),"n.a."))</f>
        <v>0</v>
      </c>
      <c r="P4027" s="16">
        <f>IF(NOT(Paths!$C$372=1),0,IF(Paths!$P$372="Complete",O4027+L4027,"n.a."))</f>
        <v>0</v>
      </c>
      <c r="Q4027" s="16">
        <f>IF(NOT(Paths!$C$372=1),0,IF(Paths!$P$372="Complete",N4027*(1+'Operating costs'!$B$54)^-C4027,"n.a."))</f>
        <v>0</v>
      </c>
      <c r="R4027" s="16">
        <f>IF(NOT(Paths!$C$372=1),0,IF(Paths!$P$372="Complete",IF(AND(C4027=0,Paths!$E$372=0),I4027-J4027-K4027+VLOOKUP(A4027,'Fleet register'!$A$7:$S$106,15,FALSE)+VLOOKUP(A4027,'Fleet register'!$A$7:$S$106,16,FALSE),0),"n.a."))</f>
        <v>0</v>
      </c>
      <c r="S4027" s="1">
        <f>IF(NOT(Paths!$C$372=1),0,IF(Paths!$P$372="Complete",IF(C4027=0,0,Paths!$S$372*Paths!$R$372),"n.a."))</f>
        <v>0</v>
      </c>
      <c r="T4027" s="1">
        <f>IF(NOT(Paths!$C$372=1),0,IF(Paths!$P$372="Complete",IF(C4027=0,0,VLOOKUP(A4027,'Fleet register'!$A$7:$S$106,9,FALSE)*Paths!$R$372),"n.a."))</f>
        <v>0</v>
      </c>
    </row>
    <row r="4028" spans="1:20" ht="24" customHeight="1">
      <c r="A4028" s="1" t="str">
        <f>Paths!$A$372</f>
        <v>T092</v>
      </c>
      <c r="B4028" s="1">
        <f>Paths!$B$372</f>
        <v>1</v>
      </c>
      <c r="C4028" s="1">
        <v>6</v>
      </c>
      <c r="D4028" s="1">
        <v>372</v>
      </c>
      <c r="E4028" s="1">
        <f>IF(OR(Paths!$C$372=0,C4028=0),0,MAX(0,MIN(C4028*12,Paths!$E$372)-(C4028-1)*12))</f>
        <v>0</v>
      </c>
      <c r="F4028" s="1">
        <f>IF(OR(Paths!$C$372=0,C4028=0),0,12-E4028)</f>
        <v>0</v>
      </c>
      <c r="G4028" s="16">
        <f>IF(NOT(Paths!$C$372=1),0,IF(Paths!$P$372="Complete",E4028/12*(Paths!$J$372*(1+'Operating costs'!$B$51)^MAX(0,C4028-1)+Paths!$K$372*(1+'Operating costs'!$B$53)^MAX(0,C4028-1)),"n.a."))</f>
        <v>0</v>
      </c>
      <c r="H4028" s="16">
        <f>IF(NOT(Paths!$C$372=1),0,IF(Paths!$P$372="Complete",F4028/12*(Paths!$L$372*(1+IF(Paths!$D$372="EV",'Operating costs'!$B$52,'Operating costs'!$B$51))^MAX(0,C4028-1)+Paths!$M$372*(1+'Operating costs'!$B$53)^MAX(0,C4028-1)),"n.a."))</f>
        <v>0</v>
      </c>
      <c r="I4028" s="16">
        <f>IF(NOT(Paths!$C$372=1),0,IF(Paths!$P$372="Complete",IF(IF(Paths!$E$372=0,C4028=0,AND(C4028&gt;0,Paths!$E$372&gt;(C4028-1)*12,Paths!$E$372&lt;=C4028*12)),Paths!$G$372,0),"n.a."))</f>
        <v>0</v>
      </c>
      <c r="J4028" s="16">
        <f>IF(NOT(Paths!$C$372=1),0,IF(Paths!$P$372="Complete",IF(IF(Paths!$E$372=0,C4028=0,AND(C4028&gt;0,Paths!$E$372&gt;(C4028-1)*12,Paths!$E$372&lt;=C4028*12)),Paths!$H$372,0),"n.a."))</f>
        <v>0</v>
      </c>
      <c r="K4028" s="16">
        <f>IF(NOT(Paths!$C$372=1),0,IF(Paths!$P$372="Complete",IF(IF(Paths!$O$372=0,C4028=0,AND(C4028&gt;0,Paths!$O$372&gt;(C4028-1)*12,Paths!$O$372&lt;=C4028*12)),Paths!$N$372,0),"n.a."))</f>
        <v>0</v>
      </c>
      <c r="L4028" s="16">
        <f>IF(NOT(Paths!$C$372=1),0,IF(Paths!$P$372="Complete",IF(C4028=10,Paths!$I$372,0),"n.a."))</f>
        <v>0</v>
      </c>
      <c r="M4028" s="16">
        <f>IF(NOT(Paths!$C$372=1),0,IF(Paths!$P$372="Complete",IF(AND(Paths!$D$372="EV",Paths!$E$372&lt;120,Paths!$E$372+'Operating costs'!$B$65&gt;Paths!$E$372,Paths!$E$372+'Operating costs'!$B$65&lt;=120,IF(Paths!$E$372+'Operating costs'!$B$65=0,C4028=0,AND(C4028&gt;0,Paths!$E$372+'Operating costs'!$B$65&gt;(C4028-1)*12,Paths!$E$372+'Operating costs'!$B$65&lt;=C4028*12))),'Operating costs'!$B$64,0)+IF(AND('Operating costs'!$B$67&gt;0,'Operating costs'!$B$67&lt;=120,OR(Paths!$D$372="ICE",'Operating costs'!$B$67&lt;=Paths!$E$372),IF('Operating costs'!$B$67=0,C4028=0,AND(C4028&gt;0,'Operating costs'!$B$67&gt;(C4028-1)*12,'Operating costs'!$B$67&lt;=C4028*12))),'Operating costs'!$B$66,0),"n.a."))</f>
        <v>0</v>
      </c>
      <c r="N4028" s="16">
        <f>IF(NOT(Paths!$C$372=1),0,IF(Paths!$P$372="Complete",SUM(G4028:I4028)-J4028-K4028-L4028+M4028+IF(C4028=0,Paths!$F$372,0)+IF(IF(Paths!$E$372=0,C4028=0,AND(C4028&gt;0,Paths!$E$372&gt;(C4028-1)*12,Paths!$E$372&lt;=C4028*12)),VLOOKUP(A4028,'Fleet register'!$A$7:$S$106,16,FALSE),0),"n.a."))</f>
        <v>0</v>
      </c>
      <c r="O4028" s="16">
        <f>IF(NOT(Paths!$C$372=1),0,IF(Paths!$P$372="Complete",N4028-IF(C4028=0,Paths!$F$372,0),"n.a."))</f>
        <v>0</v>
      </c>
      <c r="P4028" s="16">
        <f>IF(NOT(Paths!$C$372=1),0,IF(Paths!$P$372="Complete",O4028+L4028,"n.a."))</f>
        <v>0</v>
      </c>
      <c r="Q4028" s="16">
        <f>IF(NOT(Paths!$C$372=1),0,IF(Paths!$P$372="Complete",N4028*(1+'Operating costs'!$B$54)^-C4028,"n.a."))</f>
        <v>0</v>
      </c>
      <c r="R4028" s="16">
        <f>IF(NOT(Paths!$C$372=1),0,IF(Paths!$P$372="Complete",IF(AND(C4028=0,Paths!$E$372=0),I4028-J4028-K4028+VLOOKUP(A4028,'Fleet register'!$A$7:$S$106,15,FALSE)+VLOOKUP(A4028,'Fleet register'!$A$7:$S$106,16,FALSE),0),"n.a."))</f>
        <v>0</v>
      </c>
      <c r="S4028" s="1">
        <f>IF(NOT(Paths!$C$372=1),0,IF(Paths!$P$372="Complete",IF(C4028=0,0,Paths!$S$372*Paths!$R$372),"n.a."))</f>
        <v>0</v>
      </c>
      <c r="T4028" s="1">
        <f>IF(NOT(Paths!$C$372=1),0,IF(Paths!$P$372="Complete",IF(C4028=0,0,VLOOKUP(A4028,'Fleet register'!$A$7:$S$106,9,FALSE)*Paths!$R$372),"n.a."))</f>
        <v>0</v>
      </c>
    </row>
    <row r="4029" spans="1:20" ht="24" customHeight="1">
      <c r="A4029" s="1" t="str">
        <f>Paths!$A$372</f>
        <v>T092</v>
      </c>
      <c r="B4029" s="1">
        <f>Paths!$B$372</f>
        <v>1</v>
      </c>
      <c r="C4029" s="1">
        <v>7</v>
      </c>
      <c r="D4029" s="1">
        <v>372</v>
      </c>
      <c r="E4029" s="1">
        <f>IF(OR(Paths!$C$372=0,C4029=0),0,MAX(0,MIN(C4029*12,Paths!$E$372)-(C4029-1)*12))</f>
        <v>0</v>
      </c>
      <c r="F4029" s="1">
        <f>IF(OR(Paths!$C$372=0,C4029=0),0,12-E4029)</f>
        <v>0</v>
      </c>
      <c r="G4029" s="16">
        <f>IF(NOT(Paths!$C$372=1),0,IF(Paths!$P$372="Complete",E4029/12*(Paths!$J$372*(1+'Operating costs'!$B$51)^MAX(0,C4029-1)+Paths!$K$372*(1+'Operating costs'!$B$53)^MAX(0,C4029-1)),"n.a."))</f>
        <v>0</v>
      </c>
      <c r="H4029" s="16">
        <f>IF(NOT(Paths!$C$372=1),0,IF(Paths!$P$372="Complete",F4029/12*(Paths!$L$372*(1+IF(Paths!$D$372="EV",'Operating costs'!$B$52,'Operating costs'!$B$51))^MAX(0,C4029-1)+Paths!$M$372*(1+'Operating costs'!$B$53)^MAX(0,C4029-1)),"n.a."))</f>
        <v>0</v>
      </c>
      <c r="I4029" s="16">
        <f>IF(NOT(Paths!$C$372=1),0,IF(Paths!$P$372="Complete",IF(IF(Paths!$E$372=0,C4029=0,AND(C4029&gt;0,Paths!$E$372&gt;(C4029-1)*12,Paths!$E$372&lt;=C4029*12)),Paths!$G$372,0),"n.a."))</f>
        <v>0</v>
      </c>
      <c r="J4029" s="16">
        <f>IF(NOT(Paths!$C$372=1),0,IF(Paths!$P$372="Complete",IF(IF(Paths!$E$372=0,C4029=0,AND(C4029&gt;0,Paths!$E$372&gt;(C4029-1)*12,Paths!$E$372&lt;=C4029*12)),Paths!$H$372,0),"n.a."))</f>
        <v>0</v>
      </c>
      <c r="K4029" s="16">
        <f>IF(NOT(Paths!$C$372=1),0,IF(Paths!$P$372="Complete",IF(IF(Paths!$O$372=0,C4029=0,AND(C4029&gt;0,Paths!$O$372&gt;(C4029-1)*12,Paths!$O$372&lt;=C4029*12)),Paths!$N$372,0),"n.a."))</f>
        <v>0</v>
      </c>
      <c r="L4029" s="16">
        <f>IF(NOT(Paths!$C$372=1),0,IF(Paths!$P$372="Complete",IF(C4029=10,Paths!$I$372,0),"n.a."))</f>
        <v>0</v>
      </c>
      <c r="M4029" s="16">
        <f>IF(NOT(Paths!$C$372=1),0,IF(Paths!$P$372="Complete",IF(AND(Paths!$D$372="EV",Paths!$E$372&lt;120,Paths!$E$372+'Operating costs'!$B$65&gt;Paths!$E$372,Paths!$E$372+'Operating costs'!$B$65&lt;=120,IF(Paths!$E$372+'Operating costs'!$B$65=0,C4029=0,AND(C4029&gt;0,Paths!$E$372+'Operating costs'!$B$65&gt;(C4029-1)*12,Paths!$E$372+'Operating costs'!$B$65&lt;=C4029*12))),'Operating costs'!$B$64,0)+IF(AND('Operating costs'!$B$67&gt;0,'Operating costs'!$B$67&lt;=120,OR(Paths!$D$372="ICE",'Operating costs'!$B$67&lt;=Paths!$E$372),IF('Operating costs'!$B$67=0,C4029=0,AND(C4029&gt;0,'Operating costs'!$B$67&gt;(C4029-1)*12,'Operating costs'!$B$67&lt;=C4029*12))),'Operating costs'!$B$66,0),"n.a."))</f>
        <v>0</v>
      </c>
      <c r="N4029" s="16">
        <f>IF(NOT(Paths!$C$372=1),0,IF(Paths!$P$372="Complete",SUM(G4029:I4029)-J4029-K4029-L4029+M4029+IF(C4029=0,Paths!$F$372,0)+IF(IF(Paths!$E$372=0,C4029=0,AND(C4029&gt;0,Paths!$E$372&gt;(C4029-1)*12,Paths!$E$372&lt;=C4029*12)),VLOOKUP(A4029,'Fleet register'!$A$7:$S$106,16,FALSE),0),"n.a."))</f>
        <v>0</v>
      </c>
      <c r="O4029" s="16">
        <f>IF(NOT(Paths!$C$372=1),0,IF(Paths!$P$372="Complete",N4029-IF(C4029=0,Paths!$F$372,0),"n.a."))</f>
        <v>0</v>
      </c>
      <c r="P4029" s="16">
        <f>IF(NOT(Paths!$C$372=1),0,IF(Paths!$P$372="Complete",O4029+L4029,"n.a."))</f>
        <v>0</v>
      </c>
      <c r="Q4029" s="16">
        <f>IF(NOT(Paths!$C$372=1),0,IF(Paths!$P$372="Complete",N4029*(1+'Operating costs'!$B$54)^-C4029,"n.a."))</f>
        <v>0</v>
      </c>
      <c r="R4029" s="16">
        <f>IF(NOT(Paths!$C$372=1),0,IF(Paths!$P$372="Complete",IF(AND(C4029=0,Paths!$E$372=0),I4029-J4029-K4029+VLOOKUP(A4029,'Fleet register'!$A$7:$S$106,15,FALSE)+VLOOKUP(A4029,'Fleet register'!$A$7:$S$106,16,FALSE),0),"n.a."))</f>
        <v>0</v>
      </c>
      <c r="S4029" s="1">
        <f>IF(NOT(Paths!$C$372=1),0,IF(Paths!$P$372="Complete",IF(C4029=0,0,Paths!$S$372*Paths!$R$372),"n.a."))</f>
        <v>0</v>
      </c>
      <c r="T4029" s="1">
        <f>IF(NOT(Paths!$C$372=1),0,IF(Paths!$P$372="Complete",IF(C4029=0,0,VLOOKUP(A4029,'Fleet register'!$A$7:$S$106,9,FALSE)*Paths!$R$372),"n.a."))</f>
        <v>0</v>
      </c>
    </row>
    <row r="4030" spans="1:20" ht="24" customHeight="1">
      <c r="A4030" s="1" t="str">
        <f>Paths!$A$372</f>
        <v>T092</v>
      </c>
      <c r="B4030" s="1">
        <f>Paths!$B$372</f>
        <v>1</v>
      </c>
      <c r="C4030" s="1">
        <v>8</v>
      </c>
      <c r="D4030" s="1">
        <v>372</v>
      </c>
      <c r="E4030" s="1">
        <f>IF(OR(Paths!$C$372=0,C4030=0),0,MAX(0,MIN(C4030*12,Paths!$E$372)-(C4030-1)*12))</f>
        <v>0</v>
      </c>
      <c r="F4030" s="1">
        <f>IF(OR(Paths!$C$372=0,C4030=0),0,12-E4030)</f>
        <v>0</v>
      </c>
      <c r="G4030" s="16">
        <f>IF(NOT(Paths!$C$372=1),0,IF(Paths!$P$372="Complete",E4030/12*(Paths!$J$372*(1+'Operating costs'!$B$51)^MAX(0,C4030-1)+Paths!$K$372*(1+'Operating costs'!$B$53)^MAX(0,C4030-1)),"n.a."))</f>
        <v>0</v>
      </c>
      <c r="H4030" s="16">
        <f>IF(NOT(Paths!$C$372=1),0,IF(Paths!$P$372="Complete",F4030/12*(Paths!$L$372*(1+IF(Paths!$D$372="EV",'Operating costs'!$B$52,'Operating costs'!$B$51))^MAX(0,C4030-1)+Paths!$M$372*(1+'Operating costs'!$B$53)^MAX(0,C4030-1)),"n.a."))</f>
        <v>0</v>
      </c>
      <c r="I4030" s="16">
        <f>IF(NOT(Paths!$C$372=1),0,IF(Paths!$P$372="Complete",IF(IF(Paths!$E$372=0,C4030=0,AND(C4030&gt;0,Paths!$E$372&gt;(C4030-1)*12,Paths!$E$372&lt;=C4030*12)),Paths!$G$372,0),"n.a."))</f>
        <v>0</v>
      </c>
      <c r="J4030" s="16">
        <f>IF(NOT(Paths!$C$372=1),0,IF(Paths!$P$372="Complete",IF(IF(Paths!$E$372=0,C4030=0,AND(C4030&gt;0,Paths!$E$372&gt;(C4030-1)*12,Paths!$E$372&lt;=C4030*12)),Paths!$H$372,0),"n.a."))</f>
        <v>0</v>
      </c>
      <c r="K4030" s="16">
        <f>IF(NOT(Paths!$C$372=1),0,IF(Paths!$P$372="Complete",IF(IF(Paths!$O$372=0,C4030=0,AND(C4030&gt;0,Paths!$O$372&gt;(C4030-1)*12,Paths!$O$372&lt;=C4030*12)),Paths!$N$372,0),"n.a."))</f>
        <v>0</v>
      </c>
      <c r="L4030" s="16">
        <f>IF(NOT(Paths!$C$372=1),0,IF(Paths!$P$372="Complete",IF(C4030=10,Paths!$I$372,0),"n.a."))</f>
        <v>0</v>
      </c>
      <c r="M4030" s="16">
        <f>IF(NOT(Paths!$C$372=1),0,IF(Paths!$P$372="Complete",IF(AND(Paths!$D$372="EV",Paths!$E$372&lt;120,Paths!$E$372+'Operating costs'!$B$65&gt;Paths!$E$372,Paths!$E$372+'Operating costs'!$B$65&lt;=120,IF(Paths!$E$372+'Operating costs'!$B$65=0,C4030=0,AND(C4030&gt;0,Paths!$E$372+'Operating costs'!$B$65&gt;(C4030-1)*12,Paths!$E$372+'Operating costs'!$B$65&lt;=C4030*12))),'Operating costs'!$B$64,0)+IF(AND('Operating costs'!$B$67&gt;0,'Operating costs'!$B$67&lt;=120,OR(Paths!$D$372="ICE",'Operating costs'!$B$67&lt;=Paths!$E$372),IF('Operating costs'!$B$67=0,C4030=0,AND(C4030&gt;0,'Operating costs'!$B$67&gt;(C4030-1)*12,'Operating costs'!$B$67&lt;=C4030*12))),'Operating costs'!$B$66,0),"n.a."))</f>
        <v>0</v>
      </c>
      <c r="N4030" s="16">
        <f>IF(NOT(Paths!$C$372=1),0,IF(Paths!$P$372="Complete",SUM(G4030:I4030)-J4030-K4030-L4030+M4030+IF(C4030=0,Paths!$F$372,0)+IF(IF(Paths!$E$372=0,C4030=0,AND(C4030&gt;0,Paths!$E$372&gt;(C4030-1)*12,Paths!$E$372&lt;=C4030*12)),VLOOKUP(A4030,'Fleet register'!$A$7:$S$106,16,FALSE),0),"n.a."))</f>
        <v>0</v>
      </c>
      <c r="O4030" s="16">
        <f>IF(NOT(Paths!$C$372=1),0,IF(Paths!$P$372="Complete",N4030-IF(C4030=0,Paths!$F$372,0),"n.a."))</f>
        <v>0</v>
      </c>
      <c r="P4030" s="16">
        <f>IF(NOT(Paths!$C$372=1),0,IF(Paths!$P$372="Complete",O4030+L4030,"n.a."))</f>
        <v>0</v>
      </c>
      <c r="Q4030" s="16">
        <f>IF(NOT(Paths!$C$372=1),0,IF(Paths!$P$372="Complete",N4030*(1+'Operating costs'!$B$54)^-C4030,"n.a."))</f>
        <v>0</v>
      </c>
      <c r="R4030" s="16">
        <f>IF(NOT(Paths!$C$372=1),0,IF(Paths!$P$372="Complete",IF(AND(C4030=0,Paths!$E$372=0),I4030-J4030-K4030+VLOOKUP(A4030,'Fleet register'!$A$7:$S$106,15,FALSE)+VLOOKUP(A4030,'Fleet register'!$A$7:$S$106,16,FALSE),0),"n.a."))</f>
        <v>0</v>
      </c>
      <c r="S4030" s="1">
        <f>IF(NOT(Paths!$C$372=1),0,IF(Paths!$P$372="Complete",IF(C4030=0,0,Paths!$S$372*Paths!$R$372),"n.a."))</f>
        <v>0</v>
      </c>
      <c r="T4030" s="1">
        <f>IF(NOT(Paths!$C$372=1),0,IF(Paths!$P$372="Complete",IF(C4030=0,0,VLOOKUP(A4030,'Fleet register'!$A$7:$S$106,9,FALSE)*Paths!$R$372),"n.a."))</f>
        <v>0</v>
      </c>
    </row>
    <row r="4031" spans="1:20" ht="24" customHeight="1">
      <c r="A4031" s="1" t="str">
        <f>Paths!$A$372</f>
        <v>T092</v>
      </c>
      <c r="B4031" s="1">
        <f>Paths!$B$372</f>
        <v>1</v>
      </c>
      <c r="C4031" s="1">
        <v>9</v>
      </c>
      <c r="D4031" s="1">
        <v>372</v>
      </c>
      <c r="E4031" s="1">
        <f>IF(OR(Paths!$C$372=0,C4031=0),0,MAX(0,MIN(C4031*12,Paths!$E$372)-(C4031-1)*12))</f>
        <v>0</v>
      </c>
      <c r="F4031" s="1">
        <f>IF(OR(Paths!$C$372=0,C4031=0),0,12-E4031)</f>
        <v>0</v>
      </c>
      <c r="G4031" s="16">
        <f>IF(NOT(Paths!$C$372=1),0,IF(Paths!$P$372="Complete",E4031/12*(Paths!$J$372*(1+'Operating costs'!$B$51)^MAX(0,C4031-1)+Paths!$K$372*(1+'Operating costs'!$B$53)^MAX(0,C4031-1)),"n.a."))</f>
        <v>0</v>
      </c>
      <c r="H4031" s="16">
        <f>IF(NOT(Paths!$C$372=1),0,IF(Paths!$P$372="Complete",F4031/12*(Paths!$L$372*(1+IF(Paths!$D$372="EV",'Operating costs'!$B$52,'Operating costs'!$B$51))^MAX(0,C4031-1)+Paths!$M$372*(1+'Operating costs'!$B$53)^MAX(0,C4031-1)),"n.a."))</f>
        <v>0</v>
      </c>
      <c r="I4031" s="16">
        <f>IF(NOT(Paths!$C$372=1),0,IF(Paths!$P$372="Complete",IF(IF(Paths!$E$372=0,C4031=0,AND(C4031&gt;0,Paths!$E$372&gt;(C4031-1)*12,Paths!$E$372&lt;=C4031*12)),Paths!$G$372,0),"n.a."))</f>
        <v>0</v>
      </c>
      <c r="J4031" s="16">
        <f>IF(NOT(Paths!$C$372=1),0,IF(Paths!$P$372="Complete",IF(IF(Paths!$E$372=0,C4031=0,AND(C4031&gt;0,Paths!$E$372&gt;(C4031-1)*12,Paths!$E$372&lt;=C4031*12)),Paths!$H$372,0),"n.a."))</f>
        <v>0</v>
      </c>
      <c r="K4031" s="16">
        <f>IF(NOT(Paths!$C$372=1),0,IF(Paths!$P$372="Complete",IF(IF(Paths!$O$372=0,C4031=0,AND(C4031&gt;0,Paths!$O$372&gt;(C4031-1)*12,Paths!$O$372&lt;=C4031*12)),Paths!$N$372,0),"n.a."))</f>
        <v>0</v>
      </c>
      <c r="L4031" s="16">
        <f>IF(NOT(Paths!$C$372=1),0,IF(Paths!$P$372="Complete",IF(C4031=10,Paths!$I$372,0),"n.a."))</f>
        <v>0</v>
      </c>
      <c r="M4031" s="16">
        <f>IF(NOT(Paths!$C$372=1),0,IF(Paths!$P$372="Complete",IF(AND(Paths!$D$372="EV",Paths!$E$372&lt;120,Paths!$E$372+'Operating costs'!$B$65&gt;Paths!$E$372,Paths!$E$372+'Operating costs'!$B$65&lt;=120,IF(Paths!$E$372+'Operating costs'!$B$65=0,C4031=0,AND(C4031&gt;0,Paths!$E$372+'Operating costs'!$B$65&gt;(C4031-1)*12,Paths!$E$372+'Operating costs'!$B$65&lt;=C4031*12))),'Operating costs'!$B$64,0)+IF(AND('Operating costs'!$B$67&gt;0,'Operating costs'!$B$67&lt;=120,OR(Paths!$D$372="ICE",'Operating costs'!$B$67&lt;=Paths!$E$372),IF('Operating costs'!$B$67=0,C4031=0,AND(C4031&gt;0,'Operating costs'!$B$67&gt;(C4031-1)*12,'Operating costs'!$B$67&lt;=C4031*12))),'Operating costs'!$B$66,0),"n.a."))</f>
        <v>0</v>
      </c>
      <c r="N4031" s="16">
        <f>IF(NOT(Paths!$C$372=1),0,IF(Paths!$P$372="Complete",SUM(G4031:I4031)-J4031-K4031-L4031+M4031+IF(C4031=0,Paths!$F$372,0)+IF(IF(Paths!$E$372=0,C4031=0,AND(C4031&gt;0,Paths!$E$372&gt;(C4031-1)*12,Paths!$E$372&lt;=C4031*12)),VLOOKUP(A4031,'Fleet register'!$A$7:$S$106,16,FALSE),0),"n.a."))</f>
        <v>0</v>
      </c>
      <c r="O4031" s="16">
        <f>IF(NOT(Paths!$C$372=1),0,IF(Paths!$P$372="Complete",N4031-IF(C4031=0,Paths!$F$372,0),"n.a."))</f>
        <v>0</v>
      </c>
      <c r="P4031" s="16">
        <f>IF(NOT(Paths!$C$372=1),0,IF(Paths!$P$372="Complete",O4031+L4031,"n.a."))</f>
        <v>0</v>
      </c>
      <c r="Q4031" s="16">
        <f>IF(NOT(Paths!$C$372=1),0,IF(Paths!$P$372="Complete",N4031*(1+'Operating costs'!$B$54)^-C4031,"n.a."))</f>
        <v>0</v>
      </c>
      <c r="R4031" s="16">
        <f>IF(NOT(Paths!$C$372=1),0,IF(Paths!$P$372="Complete",IF(AND(C4031=0,Paths!$E$372=0),I4031-J4031-K4031+VLOOKUP(A4031,'Fleet register'!$A$7:$S$106,15,FALSE)+VLOOKUP(A4031,'Fleet register'!$A$7:$S$106,16,FALSE),0),"n.a."))</f>
        <v>0</v>
      </c>
      <c r="S4031" s="1">
        <f>IF(NOT(Paths!$C$372=1),0,IF(Paths!$P$372="Complete",IF(C4031=0,0,Paths!$S$372*Paths!$R$372),"n.a."))</f>
        <v>0</v>
      </c>
      <c r="T4031" s="1">
        <f>IF(NOT(Paths!$C$372=1),0,IF(Paths!$P$372="Complete",IF(C4031=0,0,VLOOKUP(A4031,'Fleet register'!$A$7:$S$106,9,FALSE)*Paths!$R$372),"n.a."))</f>
        <v>0</v>
      </c>
    </row>
    <row r="4032" spans="1:20" ht="24" customHeight="1">
      <c r="A4032" s="1" t="str">
        <f>Paths!$A$372</f>
        <v>T092</v>
      </c>
      <c r="B4032" s="1">
        <f>Paths!$B$372</f>
        <v>1</v>
      </c>
      <c r="C4032" s="1">
        <v>10</v>
      </c>
      <c r="D4032" s="1">
        <v>372</v>
      </c>
      <c r="E4032" s="1">
        <f>IF(OR(Paths!$C$372=0,C4032=0),0,MAX(0,MIN(C4032*12,Paths!$E$372)-(C4032-1)*12))</f>
        <v>0</v>
      </c>
      <c r="F4032" s="1">
        <f>IF(OR(Paths!$C$372=0,C4032=0),0,12-E4032)</f>
        <v>0</v>
      </c>
      <c r="G4032" s="16">
        <f>IF(NOT(Paths!$C$372=1),0,IF(Paths!$P$372="Complete",E4032/12*(Paths!$J$372*(1+'Operating costs'!$B$51)^MAX(0,C4032-1)+Paths!$K$372*(1+'Operating costs'!$B$53)^MAX(0,C4032-1)),"n.a."))</f>
        <v>0</v>
      </c>
      <c r="H4032" s="16">
        <f>IF(NOT(Paths!$C$372=1),0,IF(Paths!$P$372="Complete",F4032/12*(Paths!$L$372*(1+IF(Paths!$D$372="EV",'Operating costs'!$B$52,'Operating costs'!$B$51))^MAX(0,C4032-1)+Paths!$M$372*(1+'Operating costs'!$B$53)^MAX(0,C4032-1)),"n.a."))</f>
        <v>0</v>
      </c>
      <c r="I4032" s="16">
        <f>IF(NOT(Paths!$C$372=1),0,IF(Paths!$P$372="Complete",IF(IF(Paths!$E$372=0,C4032=0,AND(C4032&gt;0,Paths!$E$372&gt;(C4032-1)*12,Paths!$E$372&lt;=C4032*12)),Paths!$G$372,0),"n.a."))</f>
        <v>0</v>
      </c>
      <c r="J4032" s="16">
        <f>IF(NOT(Paths!$C$372=1),0,IF(Paths!$P$372="Complete",IF(IF(Paths!$E$372=0,C4032=0,AND(C4032&gt;0,Paths!$E$372&gt;(C4032-1)*12,Paths!$E$372&lt;=C4032*12)),Paths!$H$372,0),"n.a."))</f>
        <v>0</v>
      </c>
      <c r="K4032" s="16">
        <f>IF(NOT(Paths!$C$372=1),0,IF(Paths!$P$372="Complete",IF(IF(Paths!$O$372=0,C4032=0,AND(C4032&gt;0,Paths!$O$372&gt;(C4032-1)*12,Paths!$O$372&lt;=C4032*12)),Paths!$N$372,0),"n.a."))</f>
        <v>0</v>
      </c>
      <c r="L4032" s="16">
        <f>IF(NOT(Paths!$C$372=1),0,IF(Paths!$P$372="Complete",IF(C4032=10,Paths!$I$372,0),"n.a."))</f>
        <v>0</v>
      </c>
      <c r="M4032" s="16">
        <f>IF(NOT(Paths!$C$372=1),0,IF(Paths!$P$372="Complete",IF(AND(Paths!$D$372="EV",Paths!$E$372&lt;120,Paths!$E$372+'Operating costs'!$B$65&gt;Paths!$E$372,Paths!$E$372+'Operating costs'!$B$65&lt;=120,IF(Paths!$E$372+'Operating costs'!$B$65=0,C4032=0,AND(C4032&gt;0,Paths!$E$372+'Operating costs'!$B$65&gt;(C4032-1)*12,Paths!$E$372+'Operating costs'!$B$65&lt;=C4032*12))),'Operating costs'!$B$64,0)+IF(AND('Operating costs'!$B$67&gt;0,'Operating costs'!$B$67&lt;=120,OR(Paths!$D$372="ICE",'Operating costs'!$B$67&lt;=Paths!$E$372),IF('Operating costs'!$B$67=0,C4032=0,AND(C4032&gt;0,'Operating costs'!$B$67&gt;(C4032-1)*12,'Operating costs'!$B$67&lt;=C4032*12))),'Operating costs'!$B$66,0),"n.a."))</f>
        <v>0</v>
      </c>
      <c r="N4032" s="16">
        <f>IF(NOT(Paths!$C$372=1),0,IF(Paths!$P$372="Complete",SUM(G4032:I4032)-J4032-K4032-L4032+M4032+IF(C4032=0,Paths!$F$372,0)+IF(IF(Paths!$E$372=0,C4032=0,AND(C4032&gt;0,Paths!$E$372&gt;(C4032-1)*12,Paths!$E$372&lt;=C4032*12)),VLOOKUP(A4032,'Fleet register'!$A$7:$S$106,16,FALSE),0),"n.a."))</f>
        <v>0</v>
      </c>
      <c r="O4032" s="16">
        <f>IF(NOT(Paths!$C$372=1),0,IF(Paths!$P$372="Complete",N4032-IF(C4032=0,Paths!$F$372,0),"n.a."))</f>
        <v>0</v>
      </c>
      <c r="P4032" s="16">
        <f>IF(NOT(Paths!$C$372=1),0,IF(Paths!$P$372="Complete",O4032+L4032,"n.a."))</f>
        <v>0</v>
      </c>
      <c r="Q4032" s="16">
        <f>IF(NOT(Paths!$C$372=1),0,IF(Paths!$P$372="Complete",N4032*(1+'Operating costs'!$B$54)^-C4032,"n.a."))</f>
        <v>0</v>
      </c>
      <c r="R4032" s="16">
        <f>IF(NOT(Paths!$C$372=1),0,IF(Paths!$P$372="Complete",IF(AND(C4032=0,Paths!$E$372=0),I4032-J4032-K4032+VLOOKUP(A4032,'Fleet register'!$A$7:$S$106,15,FALSE)+VLOOKUP(A4032,'Fleet register'!$A$7:$S$106,16,FALSE),0),"n.a."))</f>
        <v>0</v>
      </c>
      <c r="S4032" s="1">
        <f>IF(NOT(Paths!$C$372=1),0,IF(Paths!$P$372="Complete",IF(C4032=0,0,Paths!$S$372*Paths!$R$372),"n.a."))</f>
        <v>0</v>
      </c>
      <c r="T4032" s="1">
        <f>IF(NOT(Paths!$C$372=1),0,IF(Paths!$P$372="Complete",IF(C4032=0,0,VLOOKUP(A4032,'Fleet register'!$A$7:$S$106,9,FALSE)*Paths!$R$372),"n.a."))</f>
        <v>0</v>
      </c>
    </row>
    <row r="4033" spans="1:20" ht="24" customHeight="1">
      <c r="A4033" s="1" t="str">
        <f>Paths!$A$373</f>
        <v>T092</v>
      </c>
      <c r="B4033" s="1">
        <f>Paths!$B$373</f>
        <v>2</v>
      </c>
      <c r="C4033" s="1">
        <v>0</v>
      </c>
      <c r="D4033" s="1">
        <v>373</v>
      </c>
      <c r="E4033" s="1">
        <f>IF(OR(Paths!$C$373=0,C4033=0),0,MAX(0,MIN(C4033*12,Paths!$E$373)-(C4033-1)*12))</f>
        <v>0</v>
      </c>
      <c r="F4033" s="1">
        <f>IF(OR(Paths!$C$373=0,C4033=0),0,12-E4033)</f>
        <v>0</v>
      </c>
      <c r="G4033" s="16">
        <f>IF(NOT(Paths!$C$373=1),0,IF(Paths!$P$373="Complete",E4033/12*(Paths!$J$373*(1+'Operating costs'!$B$51)^MAX(0,C4033-1)+Paths!$K$373*(1+'Operating costs'!$B$53)^MAX(0,C4033-1)),"n.a."))</f>
        <v>0</v>
      </c>
      <c r="H4033" s="16">
        <f>IF(NOT(Paths!$C$373=1),0,IF(Paths!$P$373="Complete",F4033/12*(Paths!$L$373*(1+IF(Paths!$D$373="EV",'Operating costs'!$B$52,'Operating costs'!$B$51))^MAX(0,C4033-1)+Paths!$M$373*(1+'Operating costs'!$B$53)^MAX(0,C4033-1)),"n.a."))</f>
        <v>0</v>
      </c>
      <c r="I4033" s="16">
        <f>IF(NOT(Paths!$C$373=1),0,IF(Paths!$P$373="Complete",IF(IF(Paths!$E$373=0,C4033=0,AND(C4033&gt;0,Paths!$E$373&gt;(C4033-1)*12,Paths!$E$373&lt;=C4033*12)),Paths!$G$373,0),"n.a."))</f>
        <v>0</v>
      </c>
      <c r="J4033" s="16">
        <f>IF(NOT(Paths!$C$373=1),0,IF(Paths!$P$373="Complete",IF(IF(Paths!$E$373=0,C4033=0,AND(C4033&gt;0,Paths!$E$373&gt;(C4033-1)*12,Paths!$E$373&lt;=C4033*12)),Paths!$H$373,0),"n.a."))</f>
        <v>0</v>
      </c>
      <c r="K4033" s="16">
        <f>IF(NOT(Paths!$C$373=1),0,IF(Paths!$P$373="Complete",IF(IF(Paths!$O$373=0,C4033=0,AND(C4033&gt;0,Paths!$O$373&gt;(C4033-1)*12,Paths!$O$373&lt;=C4033*12)),Paths!$N$373,0),"n.a."))</f>
        <v>0</v>
      </c>
      <c r="L4033" s="16">
        <f>IF(NOT(Paths!$C$373=1),0,IF(Paths!$P$373="Complete",IF(C4033=10,Paths!$I$373,0),"n.a."))</f>
        <v>0</v>
      </c>
      <c r="M4033" s="16">
        <f>IF(NOT(Paths!$C$373=1),0,IF(Paths!$P$373="Complete",IF(AND(Paths!$D$373="EV",Paths!$E$373&lt;120,Paths!$E$373+'Operating costs'!$B$65&gt;Paths!$E$373,Paths!$E$373+'Operating costs'!$B$65&lt;=120,IF(Paths!$E$373+'Operating costs'!$B$65=0,C4033=0,AND(C4033&gt;0,Paths!$E$373+'Operating costs'!$B$65&gt;(C4033-1)*12,Paths!$E$373+'Operating costs'!$B$65&lt;=C4033*12))),'Operating costs'!$B$64,0)+IF(AND('Operating costs'!$B$67&gt;0,'Operating costs'!$B$67&lt;=120,OR(Paths!$D$373="ICE",'Operating costs'!$B$67&lt;=Paths!$E$373),IF('Operating costs'!$B$67=0,C4033=0,AND(C4033&gt;0,'Operating costs'!$B$67&gt;(C4033-1)*12,'Operating costs'!$B$67&lt;=C4033*12))),'Operating costs'!$B$66,0),"n.a."))</f>
        <v>0</v>
      </c>
      <c r="N4033" s="16">
        <f>IF(NOT(Paths!$C$373=1),0,IF(Paths!$P$373="Complete",SUM(G4033:I4033)-J4033-K4033-L4033+M4033+IF(C4033=0,Paths!$F$373,0)+IF(IF(Paths!$E$373=0,C4033=0,AND(C4033&gt;0,Paths!$E$373&gt;(C4033-1)*12,Paths!$E$373&lt;=C4033*12)),VLOOKUP(A4033,'Fleet register'!$A$7:$S$106,16,FALSE),0),"n.a."))</f>
        <v>0</v>
      </c>
      <c r="O4033" s="16">
        <f>IF(NOT(Paths!$C$373=1),0,IF(Paths!$P$373="Complete",N4033-IF(C4033=0,Paths!$F$373,0),"n.a."))</f>
        <v>0</v>
      </c>
      <c r="P4033" s="16">
        <f>IF(NOT(Paths!$C$373=1),0,IF(Paths!$P$373="Complete",O4033+L4033,"n.a."))</f>
        <v>0</v>
      </c>
      <c r="Q4033" s="16">
        <f>IF(NOT(Paths!$C$373=1),0,IF(Paths!$P$373="Complete",N4033*(1+'Operating costs'!$B$54)^-C4033,"n.a."))</f>
        <v>0</v>
      </c>
      <c r="R4033" s="16">
        <f>IF(NOT(Paths!$C$373=1),0,IF(Paths!$P$373="Complete",IF(AND(C4033=0,Paths!$E$373=0),I4033-J4033-K4033+VLOOKUP(A4033,'Fleet register'!$A$7:$S$106,15,FALSE)+VLOOKUP(A4033,'Fleet register'!$A$7:$S$106,16,FALSE),0),"n.a."))</f>
        <v>0</v>
      </c>
      <c r="S4033" s="1">
        <f>IF(NOT(Paths!$C$373=1),0,IF(Paths!$P$373="Complete",IF(C4033=0,0,Paths!$S$373*Paths!$R$373),"n.a."))</f>
        <v>0</v>
      </c>
      <c r="T4033" s="1">
        <f>IF(NOT(Paths!$C$373=1),0,IF(Paths!$P$373="Complete",IF(C4033=0,0,VLOOKUP(A4033,'Fleet register'!$A$7:$S$106,9,FALSE)*Paths!$R$373),"n.a."))</f>
        <v>0</v>
      </c>
    </row>
    <row r="4034" spans="1:20" ht="24" customHeight="1">
      <c r="A4034" s="1" t="str">
        <f>Paths!$A$373</f>
        <v>T092</v>
      </c>
      <c r="B4034" s="1">
        <f>Paths!$B$373</f>
        <v>2</v>
      </c>
      <c r="C4034" s="1">
        <v>1</v>
      </c>
      <c r="D4034" s="1">
        <v>373</v>
      </c>
      <c r="E4034" s="1">
        <f>IF(OR(Paths!$C$373=0,C4034=0),0,MAX(0,MIN(C4034*12,Paths!$E$373)-(C4034-1)*12))</f>
        <v>0</v>
      </c>
      <c r="F4034" s="1">
        <f>IF(OR(Paths!$C$373=0,C4034=0),0,12-E4034)</f>
        <v>0</v>
      </c>
      <c r="G4034" s="16">
        <f>IF(NOT(Paths!$C$373=1),0,IF(Paths!$P$373="Complete",E4034/12*(Paths!$J$373*(1+'Operating costs'!$B$51)^MAX(0,C4034-1)+Paths!$K$373*(1+'Operating costs'!$B$53)^MAX(0,C4034-1)),"n.a."))</f>
        <v>0</v>
      </c>
      <c r="H4034" s="16">
        <f>IF(NOT(Paths!$C$373=1),0,IF(Paths!$P$373="Complete",F4034/12*(Paths!$L$373*(1+IF(Paths!$D$373="EV",'Operating costs'!$B$52,'Operating costs'!$B$51))^MAX(0,C4034-1)+Paths!$M$373*(1+'Operating costs'!$B$53)^MAX(0,C4034-1)),"n.a."))</f>
        <v>0</v>
      </c>
      <c r="I4034" s="16">
        <f>IF(NOT(Paths!$C$373=1),0,IF(Paths!$P$373="Complete",IF(IF(Paths!$E$373=0,C4034=0,AND(C4034&gt;0,Paths!$E$373&gt;(C4034-1)*12,Paths!$E$373&lt;=C4034*12)),Paths!$G$373,0),"n.a."))</f>
        <v>0</v>
      </c>
      <c r="J4034" s="16">
        <f>IF(NOT(Paths!$C$373=1),0,IF(Paths!$P$373="Complete",IF(IF(Paths!$E$373=0,C4034=0,AND(C4034&gt;0,Paths!$E$373&gt;(C4034-1)*12,Paths!$E$373&lt;=C4034*12)),Paths!$H$373,0),"n.a."))</f>
        <v>0</v>
      </c>
      <c r="K4034" s="16">
        <f>IF(NOT(Paths!$C$373=1),0,IF(Paths!$P$373="Complete",IF(IF(Paths!$O$373=0,C4034=0,AND(C4034&gt;0,Paths!$O$373&gt;(C4034-1)*12,Paths!$O$373&lt;=C4034*12)),Paths!$N$373,0),"n.a."))</f>
        <v>0</v>
      </c>
      <c r="L4034" s="16">
        <f>IF(NOT(Paths!$C$373=1),0,IF(Paths!$P$373="Complete",IF(C4034=10,Paths!$I$373,0),"n.a."))</f>
        <v>0</v>
      </c>
      <c r="M4034" s="16">
        <f>IF(NOT(Paths!$C$373=1),0,IF(Paths!$P$373="Complete",IF(AND(Paths!$D$373="EV",Paths!$E$373&lt;120,Paths!$E$373+'Operating costs'!$B$65&gt;Paths!$E$373,Paths!$E$373+'Operating costs'!$B$65&lt;=120,IF(Paths!$E$373+'Operating costs'!$B$65=0,C4034=0,AND(C4034&gt;0,Paths!$E$373+'Operating costs'!$B$65&gt;(C4034-1)*12,Paths!$E$373+'Operating costs'!$B$65&lt;=C4034*12))),'Operating costs'!$B$64,0)+IF(AND('Operating costs'!$B$67&gt;0,'Operating costs'!$B$67&lt;=120,OR(Paths!$D$373="ICE",'Operating costs'!$B$67&lt;=Paths!$E$373),IF('Operating costs'!$B$67=0,C4034=0,AND(C4034&gt;0,'Operating costs'!$B$67&gt;(C4034-1)*12,'Operating costs'!$B$67&lt;=C4034*12))),'Operating costs'!$B$66,0),"n.a."))</f>
        <v>0</v>
      </c>
      <c r="N4034" s="16">
        <f>IF(NOT(Paths!$C$373=1),0,IF(Paths!$P$373="Complete",SUM(G4034:I4034)-J4034-K4034-L4034+M4034+IF(C4034=0,Paths!$F$373,0)+IF(IF(Paths!$E$373=0,C4034=0,AND(C4034&gt;0,Paths!$E$373&gt;(C4034-1)*12,Paths!$E$373&lt;=C4034*12)),VLOOKUP(A4034,'Fleet register'!$A$7:$S$106,16,FALSE),0),"n.a."))</f>
        <v>0</v>
      </c>
      <c r="O4034" s="16">
        <f>IF(NOT(Paths!$C$373=1),0,IF(Paths!$P$373="Complete",N4034-IF(C4034=0,Paths!$F$373,0),"n.a."))</f>
        <v>0</v>
      </c>
      <c r="P4034" s="16">
        <f>IF(NOT(Paths!$C$373=1),0,IF(Paths!$P$373="Complete",O4034+L4034,"n.a."))</f>
        <v>0</v>
      </c>
      <c r="Q4034" s="16">
        <f>IF(NOT(Paths!$C$373=1),0,IF(Paths!$P$373="Complete",N4034*(1+'Operating costs'!$B$54)^-C4034,"n.a."))</f>
        <v>0</v>
      </c>
      <c r="R4034" s="16">
        <f>IF(NOT(Paths!$C$373=1),0,IF(Paths!$P$373="Complete",IF(AND(C4034=0,Paths!$E$373=0),I4034-J4034-K4034+VLOOKUP(A4034,'Fleet register'!$A$7:$S$106,15,FALSE)+VLOOKUP(A4034,'Fleet register'!$A$7:$S$106,16,FALSE),0),"n.a."))</f>
        <v>0</v>
      </c>
      <c r="S4034" s="1">
        <f>IF(NOT(Paths!$C$373=1),0,IF(Paths!$P$373="Complete",IF(C4034=0,0,Paths!$S$373*Paths!$R$373),"n.a."))</f>
        <v>0</v>
      </c>
      <c r="T4034" s="1">
        <f>IF(NOT(Paths!$C$373=1),0,IF(Paths!$P$373="Complete",IF(C4034=0,0,VLOOKUP(A4034,'Fleet register'!$A$7:$S$106,9,FALSE)*Paths!$R$373),"n.a."))</f>
        <v>0</v>
      </c>
    </row>
    <row r="4035" spans="1:20" ht="24" customHeight="1">
      <c r="A4035" s="1" t="str">
        <f>Paths!$A$373</f>
        <v>T092</v>
      </c>
      <c r="B4035" s="1">
        <f>Paths!$B$373</f>
        <v>2</v>
      </c>
      <c r="C4035" s="1">
        <v>2</v>
      </c>
      <c r="D4035" s="1">
        <v>373</v>
      </c>
      <c r="E4035" s="1">
        <f>IF(OR(Paths!$C$373=0,C4035=0),0,MAX(0,MIN(C4035*12,Paths!$E$373)-(C4035-1)*12))</f>
        <v>0</v>
      </c>
      <c r="F4035" s="1">
        <f>IF(OR(Paths!$C$373=0,C4035=0),0,12-E4035)</f>
        <v>0</v>
      </c>
      <c r="G4035" s="16">
        <f>IF(NOT(Paths!$C$373=1),0,IF(Paths!$P$373="Complete",E4035/12*(Paths!$J$373*(1+'Operating costs'!$B$51)^MAX(0,C4035-1)+Paths!$K$373*(1+'Operating costs'!$B$53)^MAX(0,C4035-1)),"n.a."))</f>
        <v>0</v>
      </c>
      <c r="H4035" s="16">
        <f>IF(NOT(Paths!$C$373=1),0,IF(Paths!$P$373="Complete",F4035/12*(Paths!$L$373*(1+IF(Paths!$D$373="EV",'Operating costs'!$B$52,'Operating costs'!$B$51))^MAX(0,C4035-1)+Paths!$M$373*(1+'Operating costs'!$B$53)^MAX(0,C4035-1)),"n.a."))</f>
        <v>0</v>
      </c>
      <c r="I4035" s="16">
        <f>IF(NOT(Paths!$C$373=1),0,IF(Paths!$P$373="Complete",IF(IF(Paths!$E$373=0,C4035=0,AND(C4035&gt;0,Paths!$E$373&gt;(C4035-1)*12,Paths!$E$373&lt;=C4035*12)),Paths!$G$373,0),"n.a."))</f>
        <v>0</v>
      </c>
      <c r="J4035" s="16">
        <f>IF(NOT(Paths!$C$373=1),0,IF(Paths!$P$373="Complete",IF(IF(Paths!$E$373=0,C4035=0,AND(C4035&gt;0,Paths!$E$373&gt;(C4035-1)*12,Paths!$E$373&lt;=C4035*12)),Paths!$H$373,0),"n.a."))</f>
        <v>0</v>
      </c>
      <c r="K4035" s="16">
        <f>IF(NOT(Paths!$C$373=1),0,IF(Paths!$P$373="Complete",IF(IF(Paths!$O$373=0,C4035=0,AND(C4035&gt;0,Paths!$O$373&gt;(C4035-1)*12,Paths!$O$373&lt;=C4035*12)),Paths!$N$373,0),"n.a."))</f>
        <v>0</v>
      </c>
      <c r="L4035" s="16">
        <f>IF(NOT(Paths!$C$373=1),0,IF(Paths!$P$373="Complete",IF(C4035=10,Paths!$I$373,0),"n.a."))</f>
        <v>0</v>
      </c>
      <c r="M4035" s="16">
        <f>IF(NOT(Paths!$C$373=1),0,IF(Paths!$P$373="Complete",IF(AND(Paths!$D$373="EV",Paths!$E$373&lt;120,Paths!$E$373+'Operating costs'!$B$65&gt;Paths!$E$373,Paths!$E$373+'Operating costs'!$B$65&lt;=120,IF(Paths!$E$373+'Operating costs'!$B$65=0,C4035=0,AND(C4035&gt;0,Paths!$E$373+'Operating costs'!$B$65&gt;(C4035-1)*12,Paths!$E$373+'Operating costs'!$B$65&lt;=C4035*12))),'Operating costs'!$B$64,0)+IF(AND('Operating costs'!$B$67&gt;0,'Operating costs'!$B$67&lt;=120,OR(Paths!$D$373="ICE",'Operating costs'!$B$67&lt;=Paths!$E$373),IF('Operating costs'!$B$67=0,C4035=0,AND(C4035&gt;0,'Operating costs'!$B$67&gt;(C4035-1)*12,'Operating costs'!$B$67&lt;=C4035*12))),'Operating costs'!$B$66,0),"n.a."))</f>
        <v>0</v>
      </c>
      <c r="N4035" s="16">
        <f>IF(NOT(Paths!$C$373=1),0,IF(Paths!$P$373="Complete",SUM(G4035:I4035)-J4035-K4035-L4035+M4035+IF(C4035=0,Paths!$F$373,0)+IF(IF(Paths!$E$373=0,C4035=0,AND(C4035&gt;0,Paths!$E$373&gt;(C4035-1)*12,Paths!$E$373&lt;=C4035*12)),VLOOKUP(A4035,'Fleet register'!$A$7:$S$106,16,FALSE),0),"n.a."))</f>
        <v>0</v>
      </c>
      <c r="O4035" s="16">
        <f>IF(NOT(Paths!$C$373=1),0,IF(Paths!$P$373="Complete",N4035-IF(C4035=0,Paths!$F$373,0),"n.a."))</f>
        <v>0</v>
      </c>
      <c r="P4035" s="16">
        <f>IF(NOT(Paths!$C$373=1),0,IF(Paths!$P$373="Complete",O4035+L4035,"n.a."))</f>
        <v>0</v>
      </c>
      <c r="Q4035" s="16">
        <f>IF(NOT(Paths!$C$373=1),0,IF(Paths!$P$373="Complete",N4035*(1+'Operating costs'!$B$54)^-C4035,"n.a."))</f>
        <v>0</v>
      </c>
      <c r="R4035" s="16">
        <f>IF(NOT(Paths!$C$373=1),0,IF(Paths!$P$373="Complete",IF(AND(C4035=0,Paths!$E$373=0),I4035-J4035-K4035+VLOOKUP(A4035,'Fleet register'!$A$7:$S$106,15,FALSE)+VLOOKUP(A4035,'Fleet register'!$A$7:$S$106,16,FALSE),0),"n.a."))</f>
        <v>0</v>
      </c>
      <c r="S4035" s="1">
        <f>IF(NOT(Paths!$C$373=1),0,IF(Paths!$P$373="Complete",IF(C4035=0,0,Paths!$S$373*Paths!$R$373),"n.a."))</f>
        <v>0</v>
      </c>
      <c r="T4035" s="1">
        <f>IF(NOT(Paths!$C$373=1),0,IF(Paths!$P$373="Complete",IF(C4035=0,0,VLOOKUP(A4035,'Fleet register'!$A$7:$S$106,9,FALSE)*Paths!$R$373),"n.a."))</f>
        <v>0</v>
      </c>
    </row>
    <row r="4036" spans="1:20" ht="24" customHeight="1">
      <c r="A4036" s="1" t="str">
        <f>Paths!$A$373</f>
        <v>T092</v>
      </c>
      <c r="B4036" s="1">
        <f>Paths!$B$373</f>
        <v>2</v>
      </c>
      <c r="C4036" s="1">
        <v>3</v>
      </c>
      <c r="D4036" s="1">
        <v>373</v>
      </c>
      <c r="E4036" s="1">
        <f>IF(OR(Paths!$C$373=0,C4036=0),0,MAX(0,MIN(C4036*12,Paths!$E$373)-(C4036-1)*12))</f>
        <v>0</v>
      </c>
      <c r="F4036" s="1">
        <f>IF(OR(Paths!$C$373=0,C4036=0),0,12-E4036)</f>
        <v>0</v>
      </c>
      <c r="G4036" s="16">
        <f>IF(NOT(Paths!$C$373=1),0,IF(Paths!$P$373="Complete",E4036/12*(Paths!$J$373*(1+'Operating costs'!$B$51)^MAX(0,C4036-1)+Paths!$K$373*(1+'Operating costs'!$B$53)^MAX(0,C4036-1)),"n.a."))</f>
        <v>0</v>
      </c>
      <c r="H4036" s="16">
        <f>IF(NOT(Paths!$C$373=1),0,IF(Paths!$P$373="Complete",F4036/12*(Paths!$L$373*(1+IF(Paths!$D$373="EV",'Operating costs'!$B$52,'Operating costs'!$B$51))^MAX(0,C4036-1)+Paths!$M$373*(1+'Operating costs'!$B$53)^MAX(0,C4036-1)),"n.a."))</f>
        <v>0</v>
      </c>
      <c r="I4036" s="16">
        <f>IF(NOT(Paths!$C$373=1),0,IF(Paths!$P$373="Complete",IF(IF(Paths!$E$373=0,C4036=0,AND(C4036&gt;0,Paths!$E$373&gt;(C4036-1)*12,Paths!$E$373&lt;=C4036*12)),Paths!$G$373,0),"n.a."))</f>
        <v>0</v>
      </c>
      <c r="J4036" s="16">
        <f>IF(NOT(Paths!$C$373=1),0,IF(Paths!$P$373="Complete",IF(IF(Paths!$E$373=0,C4036=0,AND(C4036&gt;0,Paths!$E$373&gt;(C4036-1)*12,Paths!$E$373&lt;=C4036*12)),Paths!$H$373,0),"n.a."))</f>
        <v>0</v>
      </c>
      <c r="K4036" s="16">
        <f>IF(NOT(Paths!$C$373=1),0,IF(Paths!$P$373="Complete",IF(IF(Paths!$O$373=0,C4036=0,AND(C4036&gt;0,Paths!$O$373&gt;(C4036-1)*12,Paths!$O$373&lt;=C4036*12)),Paths!$N$373,0),"n.a."))</f>
        <v>0</v>
      </c>
      <c r="L4036" s="16">
        <f>IF(NOT(Paths!$C$373=1),0,IF(Paths!$P$373="Complete",IF(C4036=10,Paths!$I$373,0),"n.a."))</f>
        <v>0</v>
      </c>
      <c r="M4036" s="16">
        <f>IF(NOT(Paths!$C$373=1),0,IF(Paths!$P$373="Complete",IF(AND(Paths!$D$373="EV",Paths!$E$373&lt;120,Paths!$E$373+'Operating costs'!$B$65&gt;Paths!$E$373,Paths!$E$373+'Operating costs'!$B$65&lt;=120,IF(Paths!$E$373+'Operating costs'!$B$65=0,C4036=0,AND(C4036&gt;0,Paths!$E$373+'Operating costs'!$B$65&gt;(C4036-1)*12,Paths!$E$373+'Operating costs'!$B$65&lt;=C4036*12))),'Operating costs'!$B$64,0)+IF(AND('Operating costs'!$B$67&gt;0,'Operating costs'!$B$67&lt;=120,OR(Paths!$D$373="ICE",'Operating costs'!$B$67&lt;=Paths!$E$373),IF('Operating costs'!$B$67=0,C4036=0,AND(C4036&gt;0,'Operating costs'!$B$67&gt;(C4036-1)*12,'Operating costs'!$B$67&lt;=C4036*12))),'Operating costs'!$B$66,0),"n.a."))</f>
        <v>0</v>
      </c>
      <c r="N4036" s="16">
        <f>IF(NOT(Paths!$C$373=1),0,IF(Paths!$P$373="Complete",SUM(G4036:I4036)-J4036-K4036-L4036+M4036+IF(C4036=0,Paths!$F$373,0)+IF(IF(Paths!$E$373=0,C4036=0,AND(C4036&gt;0,Paths!$E$373&gt;(C4036-1)*12,Paths!$E$373&lt;=C4036*12)),VLOOKUP(A4036,'Fleet register'!$A$7:$S$106,16,FALSE),0),"n.a."))</f>
        <v>0</v>
      </c>
      <c r="O4036" s="16">
        <f>IF(NOT(Paths!$C$373=1),0,IF(Paths!$P$373="Complete",N4036-IF(C4036=0,Paths!$F$373,0),"n.a."))</f>
        <v>0</v>
      </c>
      <c r="P4036" s="16">
        <f>IF(NOT(Paths!$C$373=1),0,IF(Paths!$P$373="Complete",O4036+L4036,"n.a."))</f>
        <v>0</v>
      </c>
      <c r="Q4036" s="16">
        <f>IF(NOT(Paths!$C$373=1),0,IF(Paths!$P$373="Complete",N4036*(1+'Operating costs'!$B$54)^-C4036,"n.a."))</f>
        <v>0</v>
      </c>
      <c r="R4036" s="16">
        <f>IF(NOT(Paths!$C$373=1),0,IF(Paths!$P$373="Complete",IF(AND(C4036=0,Paths!$E$373=0),I4036-J4036-K4036+VLOOKUP(A4036,'Fleet register'!$A$7:$S$106,15,FALSE)+VLOOKUP(A4036,'Fleet register'!$A$7:$S$106,16,FALSE),0),"n.a."))</f>
        <v>0</v>
      </c>
      <c r="S4036" s="1">
        <f>IF(NOT(Paths!$C$373=1),0,IF(Paths!$P$373="Complete",IF(C4036=0,0,Paths!$S$373*Paths!$R$373),"n.a."))</f>
        <v>0</v>
      </c>
      <c r="T4036" s="1">
        <f>IF(NOT(Paths!$C$373=1),0,IF(Paths!$P$373="Complete",IF(C4036=0,0,VLOOKUP(A4036,'Fleet register'!$A$7:$S$106,9,FALSE)*Paths!$R$373),"n.a."))</f>
        <v>0</v>
      </c>
    </row>
    <row r="4037" spans="1:20" ht="24" customHeight="1">
      <c r="A4037" s="1" t="str">
        <f>Paths!$A$373</f>
        <v>T092</v>
      </c>
      <c r="B4037" s="1">
        <f>Paths!$B$373</f>
        <v>2</v>
      </c>
      <c r="C4037" s="1">
        <v>4</v>
      </c>
      <c r="D4037" s="1">
        <v>373</v>
      </c>
      <c r="E4037" s="1">
        <f>IF(OR(Paths!$C$373=0,C4037=0),0,MAX(0,MIN(C4037*12,Paths!$E$373)-(C4037-1)*12))</f>
        <v>0</v>
      </c>
      <c r="F4037" s="1">
        <f>IF(OR(Paths!$C$373=0,C4037=0),0,12-E4037)</f>
        <v>0</v>
      </c>
      <c r="G4037" s="16">
        <f>IF(NOT(Paths!$C$373=1),0,IF(Paths!$P$373="Complete",E4037/12*(Paths!$J$373*(1+'Operating costs'!$B$51)^MAX(0,C4037-1)+Paths!$K$373*(1+'Operating costs'!$B$53)^MAX(0,C4037-1)),"n.a."))</f>
        <v>0</v>
      </c>
      <c r="H4037" s="16">
        <f>IF(NOT(Paths!$C$373=1),0,IF(Paths!$P$373="Complete",F4037/12*(Paths!$L$373*(1+IF(Paths!$D$373="EV",'Operating costs'!$B$52,'Operating costs'!$B$51))^MAX(0,C4037-1)+Paths!$M$373*(1+'Operating costs'!$B$53)^MAX(0,C4037-1)),"n.a."))</f>
        <v>0</v>
      </c>
      <c r="I4037" s="16">
        <f>IF(NOT(Paths!$C$373=1),0,IF(Paths!$P$373="Complete",IF(IF(Paths!$E$373=0,C4037=0,AND(C4037&gt;0,Paths!$E$373&gt;(C4037-1)*12,Paths!$E$373&lt;=C4037*12)),Paths!$G$373,0),"n.a."))</f>
        <v>0</v>
      </c>
      <c r="J4037" s="16">
        <f>IF(NOT(Paths!$C$373=1),0,IF(Paths!$P$373="Complete",IF(IF(Paths!$E$373=0,C4037=0,AND(C4037&gt;0,Paths!$E$373&gt;(C4037-1)*12,Paths!$E$373&lt;=C4037*12)),Paths!$H$373,0),"n.a."))</f>
        <v>0</v>
      </c>
      <c r="K4037" s="16">
        <f>IF(NOT(Paths!$C$373=1),0,IF(Paths!$P$373="Complete",IF(IF(Paths!$O$373=0,C4037=0,AND(C4037&gt;0,Paths!$O$373&gt;(C4037-1)*12,Paths!$O$373&lt;=C4037*12)),Paths!$N$373,0),"n.a."))</f>
        <v>0</v>
      </c>
      <c r="L4037" s="16">
        <f>IF(NOT(Paths!$C$373=1),0,IF(Paths!$P$373="Complete",IF(C4037=10,Paths!$I$373,0),"n.a."))</f>
        <v>0</v>
      </c>
      <c r="M4037" s="16">
        <f>IF(NOT(Paths!$C$373=1),0,IF(Paths!$P$373="Complete",IF(AND(Paths!$D$373="EV",Paths!$E$373&lt;120,Paths!$E$373+'Operating costs'!$B$65&gt;Paths!$E$373,Paths!$E$373+'Operating costs'!$B$65&lt;=120,IF(Paths!$E$373+'Operating costs'!$B$65=0,C4037=0,AND(C4037&gt;0,Paths!$E$373+'Operating costs'!$B$65&gt;(C4037-1)*12,Paths!$E$373+'Operating costs'!$B$65&lt;=C4037*12))),'Operating costs'!$B$64,0)+IF(AND('Operating costs'!$B$67&gt;0,'Operating costs'!$B$67&lt;=120,OR(Paths!$D$373="ICE",'Operating costs'!$B$67&lt;=Paths!$E$373),IF('Operating costs'!$B$67=0,C4037=0,AND(C4037&gt;0,'Operating costs'!$B$67&gt;(C4037-1)*12,'Operating costs'!$B$67&lt;=C4037*12))),'Operating costs'!$B$66,0),"n.a."))</f>
        <v>0</v>
      </c>
      <c r="N4037" s="16">
        <f>IF(NOT(Paths!$C$373=1),0,IF(Paths!$P$373="Complete",SUM(G4037:I4037)-J4037-K4037-L4037+M4037+IF(C4037=0,Paths!$F$373,0)+IF(IF(Paths!$E$373=0,C4037=0,AND(C4037&gt;0,Paths!$E$373&gt;(C4037-1)*12,Paths!$E$373&lt;=C4037*12)),VLOOKUP(A4037,'Fleet register'!$A$7:$S$106,16,FALSE),0),"n.a."))</f>
        <v>0</v>
      </c>
      <c r="O4037" s="16">
        <f>IF(NOT(Paths!$C$373=1),0,IF(Paths!$P$373="Complete",N4037-IF(C4037=0,Paths!$F$373,0),"n.a."))</f>
        <v>0</v>
      </c>
      <c r="P4037" s="16">
        <f>IF(NOT(Paths!$C$373=1),0,IF(Paths!$P$373="Complete",O4037+L4037,"n.a."))</f>
        <v>0</v>
      </c>
      <c r="Q4037" s="16">
        <f>IF(NOT(Paths!$C$373=1),0,IF(Paths!$P$373="Complete",N4037*(1+'Operating costs'!$B$54)^-C4037,"n.a."))</f>
        <v>0</v>
      </c>
      <c r="R4037" s="16">
        <f>IF(NOT(Paths!$C$373=1),0,IF(Paths!$P$373="Complete",IF(AND(C4037=0,Paths!$E$373=0),I4037-J4037-K4037+VLOOKUP(A4037,'Fleet register'!$A$7:$S$106,15,FALSE)+VLOOKUP(A4037,'Fleet register'!$A$7:$S$106,16,FALSE),0),"n.a."))</f>
        <v>0</v>
      </c>
      <c r="S4037" s="1">
        <f>IF(NOT(Paths!$C$373=1),0,IF(Paths!$P$373="Complete",IF(C4037=0,0,Paths!$S$373*Paths!$R$373),"n.a."))</f>
        <v>0</v>
      </c>
      <c r="T4037" s="1">
        <f>IF(NOT(Paths!$C$373=1),0,IF(Paths!$P$373="Complete",IF(C4037=0,0,VLOOKUP(A4037,'Fleet register'!$A$7:$S$106,9,FALSE)*Paths!$R$373),"n.a."))</f>
        <v>0</v>
      </c>
    </row>
    <row r="4038" spans="1:20" ht="24" customHeight="1">
      <c r="A4038" s="1" t="str">
        <f>Paths!$A$373</f>
        <v>T092</v>
      </c>
      <c r="B4038" s="1">
        <f>Paths!$B$373</f>
        <v>2</v>
      </c>
      <c r="C4038" s="1">
        <v>5</v>
      </c>
      <c r="D4038" s="1">
        <v>373</v>
      </c>
      <c r="E4038" s="1">
        <f>IF(OR(Paths!$C$373=0,C4038=0),0,MAX(0,MIN(C4038*12,Paths!$E$373)-(C4038-1)*12))</f>
        <v>0</v>
      </c>
      <c r="F4038" s="1">
        <f>IF(OR(Paths!$C$373=0,C4038=0),0,12-E4038)</f>
        <v>0</v>
      </c>
      <c r="G4038" s="16">
        <f>IF(NOT(Paths!$C$373=1),0,IF(Paths!$P$373="Complete",E4038/12*(Paths!$J$373*(1+'Operating costs'!$B$51)^MAX(0,C4038-1)+Paths!$K$373*(1+'Operating costs'!$B$53)^MAX(0,C4038-1)),"n.a."))</f>
        <v>0</v>
      </c>
      <c r="H4038" s="16">
        <f>IF(NOT(Paths!$C$373=1),0,IF(Paths!$P$373="Complete",F4038/12*(Paths!$L$373*(1+IF(Paths!$D$373="EV",'Operating costs'!$B$52,'Operating costs'!$B$51))^MAX(0,C4038-1)+Paths!$M$373*(1+'Operating costs'!$B$53)^MAX(0,C4038-1)),"n.a."))</f>
        <v>0</v>
      </c>
      <c r="I4038" s="16">
        <f>IF(NOT(Paths!$C$373=1),0,IF(Paths!$P$373="Complete",IF(IF(Paths!$E$373=0,C4038=0,AND(C4038&gt;0,Paths!$E$373&gt;(C4038-1)*12,Paths!$E$373&lt;=C4038*12)),Paths!$G$373,0),"n.a."))</f>
        <v>0</v>
      </c>
      <c r="J4038" s="16">
        <f>IF(NOT(Paths!$C$373=1),0,IF(Paths!$P$373="Complete",IF(IF(Paths!$E$373=0,C4038=0,AND(C4038&gt;0,Paths!$E$373&gt;(C4038-1)*12,Paths!$E$373&lt;=C4038*12)),Paths!$H$373,0),"n.a."))</f>
        <v>0</v>
      </c>
      <c r="K4038" s="16">
        <f>IF(NOT(Paths!$C$373=1),0,IF(Paths!$P$373="Complete",IF(IF(Paths!$O$373=0,C4038=0,AND(C4038&gt;0,Paths!$O$373&gt;(C4038-1)*12,Paths!$O$373&lt;=C4038*12)),Paths!$N$373,0),"n.a."))</f>
        <v>0</v>
      </c>
      <c r="L4038" s="16">
        <f>IF(NOT(Paths!$C$373=1),0,IF(Paths!$P$373="Complete",IF(C4038=10,Paths!$I$373,0),"n.a."))</f>
        <v>0</v>
      </c>
      <c r="M4038" s="16">
        <f>IF(NOT(Paths!$C$373=1),0,IF(Paths!$P$373="Complete",IF(AND(Paths!$D$373="EV",Paths!$E$373&lt;120,Paths!$E$373+'Operating costs'!$B$65&gt;Paths!$E$373,Paths!$E$373+'Operating costs'!$B$65&lt;=120,IF(Paths!$E$373+'Operating costs'!$B$65=0,C4038=0,AND(C4038&gt;0,Paths!$E$373+'Operating costs'!$B$65&gt;(C4038-1)*12,Paths!$E$373+'Operating costs'!$B$65&lt;=C4038*12))),'Operating costs'!$B$64,0)+IF(AND('Operating costs'!$B$67&gt;0,'Operating costs'!$B$67&lt;=120,OR(Paths!$D$373="ICE",'Operating costs'!$B$67&lt;=Paths!$E$373),IF('Operating costs'!$B$67=0,C4038=0,AND(C4038&gt;0,'Operating costs'!$B$67&gt;(C4038-1)*12,'Operating costs'!$B$67&lt;=C4038*12))),'Operating costs'!$B$66,0),"n.a."))</f>
        <v>0</v>
      </c>
      <c r="N4038" s="16">
        <f>IF(NOT(Paths!$C$373=1),0,IF(Paths!$P$373="Complete",SUM(G4038:I4038)-J4038-K4038-L4038+M4038+IF(C4038=0,Paths!$F$373,0)+IF(IF(Paths!$E$373=0,C4038=0,AND(C4038&gt;0,Paths!$E$373&gt;(C4038-1)*12,Paths!$E$373&lt;=C4038*12)),VLOOKUP(A4038,'Fleet register'!$A$7:$S$106,16,FALSE),0),"n.a."))</f>
        <v>0</v>
      </c>
      <c r="O4038" s="16">
        <f>IF(NOT(Paths!$C$373=1),0,IF(Paths!$P$373="Complete",N4038-IF(C4038=0,Paths!$F$373,0),"n.a."))</f>
        <v>0</v>
      </c>
      <c r="P4038" s="16">
        <f>IF(NOT(Paths!$C$373=1),0,IF(Paths!$P$373="Complete",O4038+L4038,"n.a."))</f>
        <v>0</v>
      </c>
      <c r="Q4038" s="16">
        <f>IF(NOT(Paths!$C$373=1),0,IF(Paths!$P$373="Complete",N4038*(1+'Operating costs'!$B$54)^-C4038,"n.a."))</f>
        <v>0</v>
      </c>
      <c r="R4038" s="16">
        <f>IF(NOT(Paths!$C$373=1),0,IF(Paths!$P$373="Complete",IF(AND(C4038=0,Paths!$E$373=0),I4038-J4038-K4038+VLOOKUP(A4038,'Fleet register'!$A$7:$S$106,15,FALSE)+VLOOKUP(A4038,'Fleet register'!$A$7:$S$106,16,FALSE),0),"n.a."))</f>
        <v>0</v>
      </c>
      <c r="S4038" s="1">
        <f>IF(NOT(Paths!$C$373=1),0,IF(Paths!$P$373="Complete",IF(C4038=0,0,Paths!$S$373*Paths!$R$373),"n.a."))</f>
        <v>0</v>
      </c>
      <c r="T4038" s="1">
        <f>IF(NOT(Paths!$C$373=1),0,IF(Paths!$P$373="Complete",IF(C4038=0,0,VLOOKUP(A4038,'Fleet register'!$A$7:$S$106,9,FALSE)*Paths!$R$373),"n.a."))</f>
        <v>0</v>
      </c>
    </row>
    <row r="4039" spans="1:20" ht="24" customHeight="1">
      <c r="A4039" s="1" t="str">
        <f>Paths!$A$373</f>
        <v>T092</v>
      </c>
      <c r="B4039" s="1">
        <f>Paths!$B$373</f>
        <v>2</v>
      </c>
      <c r="C4039" s="1">
        <v>6</v>
      </c>
      <c r="D4039" s="1">
        <v>373</v>
      </c>
      <c r="E4039" s="1">
        <f>IF(OR(Paths!$C$373=0,C4039=0),0,MAX(0,MIN(C4039*12,Paths!$E$373)-(C4039-1)*12))</f>
        <v>0</v>
      </c>
      <c r="F4039" s="1">
        <f>IF(OR(Paths!$C$373=0,C4039=0),0,12-E4039)</f>
        <v>0</v>
      </c>
      <c r="G4039" s="16">
        <f>IF(NOT(Paths!$C$373=1),0,IF(Paths!$P$373="Complete",E4039/12*(Paths!$J$373*(1+'Operating costs'!$B$51)^MAX(0,C4039-1)+Paths!$K$373*(1+'Operating costs'!$B$53)^MAX(0,C4039-1)),"n.a."))</f>
        <v>0</v>
      </c>
      <c r="H4039" s="16">
        <f>IF(NOT(Paths!$C$373=1),0,IF(Paths!$P$373="Complete",F4039/12*(Paths!$L$373*(1+IF(Paths!$D$373="EV",'Operating costs'!$B$52,'Operating costs'!$B$51))^MAX(0,C4039-1)+Paths!$M$373*(1+'Operating costs'!$B$53)^MAX(0,C4039-1)),"n.a."))</f>
        <v>0</v>
      </c>
      <c r="I4039" s="16">
        <f>IF(NOT(Paths!$C$373=1),0,IF(Paths!$P$373="Complete",IF(IF(Paths!$E$373=0,C4039=0,AND(C4039&gt;0,Paths!$E$373&gt;(C4039-1)*12,Paths!$E$373&lt;=C4039*12)),Paths!$G$373,0),"n.a."))</f>
        <v>0</v>
      </c>
      <c r="J4039" s="16">
        <f>IF(NOT(Paths!$C$373=1),0,IF(Paths!$P$373="Complete",IF(IF(Paths!$E$373=0,C4039=0,AND(C4039&gt;0,Paths!$E$373&gt;(C4039-1)*12,Paths!$E$373&lt;=C4039*12)),Paths!$H$373,0),"n.a."))</f>
        <v>0</v>
      </c>
      <c r="K4039" s="16">
        <f>IF(NOT(Paths!$C$373=1),0,IF(Paths!$P$373="Complete",IF(IF(Paths!$O$373=0,C4039=0,AND(C4039&gt;0,Paths!$O$373&gt;(C4039-1)*12,Paths!$O$373&lt;=C4039*12)),Paths!$N$373,0),"n.a."))</f>
        <v>0</v>
      </c>
      <c r="L4039" s="16">
        <f>IF(NOT(Paths!$C$373=1),0,IF(Paths!$P$373="Complete",IF(C4039=10,Paths!$I$373,0),"n.a."))</f>
        <v>0</v>
      </c>
      <c r="M4039" s="16">
        <f>IF(NOT(Paths!$C$373=1),0,IF(Paths!$P$373="Complete",IF(AND(Paths!$D$373="EV",Paths!$E$373&lt;120,Paths!$E$373+'Operating costs'!$B$65&gt;Paths!$E$373,Paths!$E$373+'Operating costs'!$B$65&lt;=120,IF(Paths!$E$373+'Operating costs'!$B$65=0,C4039=0,AND(C4039&gt;0,Paths!$E$373+'Operating costs'!$B$65&gt;(C4039-1)*12,Paths!$E$373+'Operating costs'!$B$65&lt;=C4039*12))),'Operating costs'!$B$64,0)+IF(AND('Operating costs'!$B$67&gt;0,'Operating costs'!$B$67&lt;=120,OR(Paths!$D$373="ICE",'Operating costs'!$B$67&lt;=Paths!$E$373),IF('Operating costs'!$B$67=0,C4039=0,AND(C4039&gt;0,'Operating costs'!$B$67&gt;(C4039-1)*12,'Operating costs'!$B$67&lt;=C4039*12))),'Operating costs'!$B$66,0),"n.a."))</f>
        <v>0</v>
      </c>
      <c r="N4039" s="16">
        <f>IF(NOT(Paths!$C$373=1),0,IF(Paths!$P$373="Complete",SUM(G4039:I4039)-J4039-K4039-L4039+M4039+IF(C4039=0,Paths!$F$373,0)+IF(IF(Paths!$E$373=0,C4039=0,AND(C4039&gt;0,Paths!$E$373&gt;(C4039-1)*12,Paths!$E$373&lt;=C4039*12)),VLOOKUP(A4039,'Fleet register'!$A$7:$S$106,16,FALSE),0),"n.a."))</f>
        <v>0</v>
      </c>
      <c r="O4039" s="16">
        <f>IF(NOT(Paths!$C$373=1),0,IF(Paths!$P$373="Complete",N4039-IF(C4039=0,Paths!$F$373,0),"n.a."))</f>
        <v>0</v>
      </c>
      <c r="P4039" s="16">
        <f>IF(NOT(Paths!$C$373=1),0,IF(Paths!$P$373="Complete",O4039+L4039,"n.a."))</f>
        <v>0</v>
      </c>
      <c r="Q4039" s="16">
        <f>IF(NOT(Paths!$C$373=1),0,IF(Paths!$P$373="Complete",N4039*(1+'Operating costs'!$B$54)^-C4039,"n.a."))</f>
        <v>0</v>
      </c>
      <c r="R4039" s="16">
        <f>IF(NOT(Paths!$C$373=1),0,IF(Paths!$P$373="Complete",IF(AND(C4039=0,Paths!$E$373=0),I4039-J4039-K4039+VLOOKUP(A4039,'Fleet register'!$A$7:$S$106,15,FALSE)+VLOOKUP(A4039,'Fleet register'!$A$7:$S$106,16,FALSE),0),"n.a."))</f>
        <v>0</v>
      </c>
      <c r="S4039" s="1">
        <f>IF(NOT(Paths!$C$373=1),0,IF(Paths!$P$373="Complete",IF(C4039=0,0,Paths!$S$373*Paths!$R$373),"n.a."))</f>
        <v>0</v>
      </c>
      <c r="T4039" s="1">
        <f>IF(NOT(Paths!$C$373=1),0,IF(Paths!$P$373="Complete",IF(C4039=0,0,VLOOKUP(A4039,'Fleet register'!$A$7:$S$106,9,FALSE)*Paths!$R$373),"n.a."))</f>
        <v>0</v>
      </c>
    </row>
    <row r="4040" spans="1:20" ht="24" customHeight="1">
      <c r="A4040" s="1" t="str">
        <f>Paths!$A$373</f>
        <v>T092</v>
      </c>
      <c r="B4040" s="1">
        <f>Paths!$B$373</f>
        <v>2</v>
      </c>
      <c r="C4040" s="1">
        <v>7</v>
      </c>
      <c r="D4040" s="1">
        <v>373</v>
      </c>
      <c r="E4040" s="1">
        <f>IF(OR(Paths!$C$373=0,C4040=0),0,MAX(0,MIN(C4040*12,Paths!$E$373)-(C4040-1)*12))</f>
        <v>0</v>
      </c>
      <c r="F4040" s="1">
        <f>IF(OR(Paths!$C$373=0,C4040=0),0,12-E4040)</f>
        <v>0</v>
      </c>
      <c r="G4040" s="16">
        <f>IF(NOT(Paths!$C$373=1),0,IF(Paths!$P$373="Complete",E4040/12*(Paths!$J$373*(1+'Operating costs'!$B$51)^MAX(0,C4040-1)+Paths!$K$373*(1+'Operating costs'!$B$53)^MAX(0,C4040-1)),"n.a."))</f>
        <v>0</v>
      </c>
      <c r="H4040" s="16">
        <f>IF(NOT(Paths!$C$373=1),0,IF(Paths!$P$373="Complete",F4040/12*(Paths!$L$373*(1+IF(Paths!$D$373="EV",'Operating costs'!$B$52,'Operating costs'!$B$51))^MAX(0,C4040-1)+Paths!$M$373*(1+'Operating costs'!$B$53)^MAX(0,C4040-1)),"n.a."))</f>
        <v>0</v>
      </c>
      <c r="I4040" s="16">
        <f>IF(NOT(Paths!$C$373=1),0,IF(Paths!$P$373="Complete",IF(IF(Paths!$E$373=0,C4040=0,AND(C4040&gt;0,Paths!$E$373&gt;(C4040-1)*12,Paths!$E$373&lt;=C4040*12)),Paths!$G$373,0),"n.a."))</f>
        <v>0</v>
      </c>
      <c r="J4040" s="16">
        <f>IF(NOT(Paths!$C$373=1),0,IF(Paths!$P$373="Complete",IF(IF(Paths!$E$373=0,C4040=0,AND(C4040&gt;0,Paths!$E$373&gt;(C4040-1)*12,Paths!$E$373&lt;=C4040*12)),Paths!$H$373,0),"n.a."))</f>
        <v>0</v>
      </c>
      <c r="K4040" s="16">
        <f>IF(NOT(Paths!$C$373=1),0,IF(Paths!$P$373="Complete",IF(IF(Paths!$O$373=0,C4040=0,AND(C4040&gt;0,Paths!$O$373&gt;(C4040-1)*12,Paths!$O$373&lt;=C4040*12)),Paths!$N$373,0),"n.a."))</f>
        <v>0</v>
      </c>
      <c r="L4040" s="16">
        <f>IF(NOT(Paths!$C$373=1),0,IF(Paths!$P$373="Complete",IF(C4040=10,Paths!$I$373,0),"n.a."))</f>
        <v>0</v>
      </c>
      <c r="M4040" s="16">
        <f>IF(NOT(Paths!$C$373=1),0,IF(Paths!$P$373="Complete",IF(AND(Paths!$D$373="EV",Paths!$E$373&lt;120,Paths!$E$373+'Operating costs'!$B$65&gt;Paths!$E$373,Paths!$E$373+'Operating costs'!$B$65&lt;=120,IF(Paths!$E$373+'Operating costs'!$B$65=0,C4040=0,AND(C4040&gt;0,Paths!$E$373+'Operating costs'!$B$65&gt;(C4040-1)*12,Paths!$E$373+'Operating costs'!$B$65&lt;=C4040*12))),'Operating costs'!$B$64,0)+IF(AND('Operating costs'!$B$67&gt;0,'Operating costs'!$B$67&lt;=120,OR(Paths!$D$373="ICE",'Operating costs'!$B$67&lt;=Paths!$E$373),IF('Operating costs'!$B$67=0,C4040=0,AND(C4040&gt;0,'Operating costs'!$B$67&gt;(C4040-1)*12,'Operating costs'!$B$67&lt;=C4040*12))),'Operating costs'!$B$66,0),"n.a."))</f>
        <v>0</v>
      </c>
      <c r="N4040" s="16">
        <f>IF(NOT(Paths!$C$373=1),0,IF(Paths!$P$373="Complete",SUM(G4040:I4040)-J4040-K4040-L4040+M4040+IF(C4040=0,Paths!$F$373,0)+IF(IF(Paths!$E$373=0,C4040=0,AND(C4040&gt;0,Paths!$E$373&gt;(C4040-1)*12,Paths!$E$373&lt;=C4040*12)),VLOOKUP(A4040,'Fleet register'!$A$7:$S$106,16,FALSE),0),"n.a."))</f>
        <v>0</v>
      </c>
      <c r="O4040" s="16">
        <f>IF(NOT(Paths!$C$373=1),0,IF(Paths!$P$373="Complete",N4040-IF(C4040=0,Paths!$F$373,0),"n.a."))</f>
        <v>0</v>
      </c>
      <c r="P4040" s="16">
        <f>IF(NOT(Paths!$C$373=1),0,IF(Paths!$P$373="Complete",O4040+L4040,"n.a."))</f>
        <v>0</v>
      </c>
      <c r="Q4040" s="16">
        <f>IF(NOT(Paths!$C$373=1),0,IF(Paths!$P$373="Complete",N4040*(1+'Operating costs'!$B$54)^-C4040,"n.a."))</f>
        <v>0</v>
      </c>
      <c r="R4040" s="16">
        <f>IF(NOT(Paths!$C$373=1),0,IF(Paths!$P$373="Complete",IF(AND(C4040=0,Paths!$E$373=0),I4040-J4040-K4040+VLOOKUP(A4040,'Fleet register'!$A$7:$S$106,15,FALSE)+VLOOKUP(A4040,'Fleet register'!$A$7:$S$106,16,FALSE),0),"n.a."))</f>
        <v>0</v>
      </c>
      <c r="S4040" s="1">
        <f>IF(NOT(Paths!$C$373=1),0,IF(Paths!$P$373="Complete",IF(C4040=0,0,Paths!$S$373*Paths!$R$373),"n.a."))</f>
        <v>0</v>
      </c>
      <c r="T4040" s="1">
        <f>IF(NOT(Paths!$C$373=1),0,IF(Paths!$P$373="Complete",IF(C4040=0,0,VLOOKUP(A4040,'Fleet register'!$A$7:$S$106,9,FALSE)*Paths!$R$373),"n.a."))</f>
        <v>0</v>
      </c>
    </row>
    <row r="4041" spans="1:20" ht="24" customHeight="1">
      <c r="A4041" s="1" t="str">
        <f>Paths!$A$373</f>
        <v>T092</v>
      </c>
      <c r="B4041" s="1">
        <f>Paths!$B$373</f>
        <v>2</v>
      </c>
      <c r="C4041" s="1">
        <v>8</v>
      </c>
      <c r="D4041" s="1">
        <v>373</v>
      </c>
      <c r="E4041" s="1">
        <f>IF(OR(Paths!$C$373=0,C4041=0),0,MAX(0,MIN(C4041*12,Paths!$E$373)-(C4041-1)*12))</f>
        <v>0</v>
      </c>
      <c r="F4041" s="1">
        <f>IF(OR(Paths!$C$373=0,C4041=0),0,12-E4041)</f>
        <v>0</v>
      </c>
      <c r="G4041" s="16">
        <f>IF(NOT(Paths!$C$373=1),0,IF(Paths!$P$373="Complete",E4041/12*(Paths!$J$373*(1+'Operating costs'!$B$51)^MAX(0,C4041-1)+Paths!$K$373*(1+'Operating costs'!$B$53)^MAX(0,C4041-1)),"n.a."))</f>
        <v>0</v>
      </c>
      <c r="H4041" s="16">
        <f>IF(NOT(Paths!$C$373=1),0,IF(Paths!$P$373="Complete",F4041/12*(Paths!$L$373*(1+IF(Paths!$D$373="EV",'Operating costs'!$B$52,'Operating costs'!$B$51))^MAX(0,C4041-1)+Paths!$M$373*(1+'Operating costs'!$B$53)^MAX(0,C4041-1)),"n.a."))</f>
        <v>0</v>
      </c>
      <c r="I4041" s="16">
        <f>IF(NOT(Paths!$C$373=1),0,IF(Paths!$P$373="Complete",IF(IF(Paths!$E$373=0,C4041=0,AND(C4041&gt;0,Paths!$E$373&gt;(C4041-1)*12,Paths!$E$373&lt;=C4041*12)),Paths!$G$373,0),"n.a."))</f>
        <v>0</v>
      </c>
      <c r="J4041" s="16">
        <f>IF(NOT(Paths!$C$373=1),0,IF(Paths!$P$373="Complete",IF(IF(Paths!$E$373=0,C4041=0,AND(C4041&gt;0,Paths!$E$373&gt;(C4041-1)*12,Paths!$E$373&lt;=C4041*12)),Paths!$H$373,0),"n.a."))</f>
        <v>0</v>
      </c>
      <c r="K4041" s="16">
        <f>IF(NOT(Paths!$C$373=1),0,IF(Paths!$P$373="Complete",IF(IF(Paths!$O$373=0,C4041=0,AND(C4041&gt;0,Paths!$O$373&gt;(C4041-1)*12,Paths!$O$373&lt;=C4041*12)),Paths!$N$373,0),"n.a."))</f>
        <v>0</v>
      </c>
      <c r="L4041" s="16">
        <f>IF(NOT(Paths!$C$373=1),0,IF(Paths!$P$373="Complete",IF(C4041=10,Paths!$I$373,0),"n.a."))</f>
        <v>0</v>
      </c>
      <c r="M4041" s="16">
        <f>IF(NOT(Paths!$C$373=1),0,IF(Paths!$P$373="Complete",IF(AND(Paths!$D$373="EV",Paths!$E$373&lt;120,Paths!$E$373+'Operating costs'!$B$65&gt;Paths!$E$373,Paths!$E$373+'Operating costs'!$B$65&lt;=120,IF(Paths!$E$373+'Operating costs'!$B$65=0,C4041=0,AND(C4041&gt;0,Paths!$E$373+'Operating costs'!$B$65&gt;(C4041-1)*12,Paths!$E$373+'Operating costs'!$B$65&lt;=C4041*12))),'Operating costs'!$B$64,0)+IF(AND('Operating costs'!$B$67&gt;0,'Operating costs'!$B$67&lt;=120,OR(Paths!$D$373="ICE",'Operating costs'!$B$67&lt;=Paths!$E$373),IF('Operating costs'!$B$67=0,C4041=0,AND(C4041&gt;0,'Operating costs'!$B$67&gt;(C4041-1)*12,'Operating costs'!$B$67&lt;=C4041*12))),'Operating costs'!$B$66,0),"n.a."))</f>
        <v>0</v>
      </c>
      <c r="N4041" s="16">
        <f>IF(NOT(Paths!$C$373=1),0,IF(Paths!$P$373="Complete",SUM(G4041:I4041)-J4041-K4041-L4041+M4041+IF(C4041=0,Paths!$F$373,0)+IF(IF(Paths!$E$373=0,C4041=0,AND(C4041&gt;0,Paths!$E$373&gt;(C4041-1)*12,Paths!$E$373&lt;=C4041*12)),VLOOKUP(A4041,'Fleet register'!$A$7:$S$106,16,FALSE),0),"n.a."))</f>
        <v>0</v>
      </c>
      <c r="O4041" s="16">
        <f>IF(NOT(Paths!$C$373=1),0,IF(Paths!$P$373="Complete",N4041-IF(C4041=0,Paths!$F$373,0),"n.a."))</f>
        <v>0</v>
      </c>
      <c r="P4041" s="16">
        <f>IF(NOT(Paths!$C$373=1),0,IF(Paths!$P$373="Complete",O4041+L4041,"n.a."))</f>
        <v>0</v>
      </c>
      <c r="Q4041" s="16">
        <f>IF(NOT(Paths!$C$373=1),0,IF(Paths!$P$373="Complete",N4041*(1+'Operating costs'!$B$54)^-C4041,"n.a."))</f>
        <v>0</v>
      </c>
      <c r="R4041" s="16">
        <f>IF(NOT(Paths!$C$373=1),0,IF(Paths!$P$373="Complete",IF(AND(C4041=0,Paths!$E$373=0),I4041-J4041-K4041+VLOOKUP(A4041,'Fleet register'!$A$7:$S$106,15,FALSE)+VLOOKUP(A4041,'Fleet register'!$A$7:$S$106,16,FALSE),0),"n.a."))</f>
        <v>0</v>
      </c>
      <c r="S4041" s="1">
        <f>IF(NOT(Paths!$C$373=1),0,IF(Paths!$P$373="Complete",IF(C4041=0,0,Paths!$S$373*Paths!$R$373),"n.a."))</f>
        <v>0</v>
      </c>
      <c r="T4041" s="1">
        <f>IF(NOT(Paths!$C$373=1),0,IF(Paths!$P$373="Complete",IF(C4041=0,0,VLOOKUP(A4041,'Fleet register'!$A$7:$S$106,9,FALSE)*Paths!$R$373),"n.a."))</f>
        <v>0</v>
      </c>
    </row>
    <row r="4042" spans="1:20" ht="24" customHeight="1">
      <c r="A4042" s="1" t="str">
        <f>Paths!$A$373</f>
        <v>T092</v>
      </c>
      <c r="B4042" s="1">
        <f>Paths!$B$373</f>
        <v>2</v>
      </c>
      <c r="C4042" s="1">
        <v>9</v>
      </c>
      <c r="D4042" s="1">
        <v>373</v>
      </c>
      <c r="E4042" s="1">
        <f>IF(OR(Paths!$C$373=0,C4042=0),0,MAX(0,MIN(C4042*12,Paths!$E$373)-(C4042-1)*12))</f>
        <v>0</v>
      </c>
      <c r="F4042" s="1">
        <f>IF(OR(Paths!$C$373=0,C4042=0),0,12-E4042)</f>
        <v>0</v>
      </c>
      <c r="G4042" s="16">
        <f>IF(NOT(Paths!$C$373=1),0,IF(Paths!$P$373="Complete",E4042/12*(Paths!$J$373*(1+'Operating costs'!$B$51)^MAX(0,C4042-1)+Paths!$K$373*(1+'Operating costs'!$B$53)^MAX(0,C4042-1)),"n.a."))</f>
        <v>0</v>
      </c>
      <c r="H4042" s="16">
        <f>IF(NOT(Paths!$C$373=1),0,IF(Paths!$P$373="Complete",F4042/12*(Paths!$L$373*(1+IF(Paths!$D$373="EV",'Operating costs'!$B$52,'Operating costs'!$B$51))^MAX(0,C4042-1)+Paths!$M$373*(1+'Operating costs'!$B$53)^MAX(0,C4042-1)),"n.a."))</f>
        <v>0</v>
      </c>
      <c r="I4042" s="16">
        <f>IF(NOT(Paths!$C$373=1),0,IF(Paths!$P$373="Complete",IF(IF(Paths!$E$373=0,C4042=0,AND(C4042&gt;0,Paths!$E$373&gt;(C4042-1)*12,Paths!$E$373&lt;=C4042*12)),Paths!$G$373,0),"n.a."))</f>
        <v>0</v>
      </c>
      <c r="J4042" s="16">
        <f>IF(NOT(Paths!$C$373=1),0,IF(Paths!$P$373="Complete",IF(IF(Paths!$E$373=0,C4042=0,AND(C4042&gt;0,Paths!$E$373&gt;(C4042-1)*12,Paths!$E$373&lt;=C4042*12)),Paths!$H$373,0),"n.a."))</f>
        <v>0</v>
      </c>
      <c r="K4042" s="16">
        <f>IF(NOT(Paths!$C$373=1),0,IF(Paths!$P$373="Complete",IF(IF(Paths!$O$373=0,C4042=0,AND(C4042&gt;0,Paths!$O$373&gt;(C4042-1)*12,Paths!$O$373&lt;=C4042*12)),Paths!$N$373,0),"n.a."))</f>
        <v>0</v>
      </c>
      <c r="L4042" s="16">
        <f>IF(NOT(Paths!$C$373=1),0,IF(Paths!$P$373="Complete",IF(C4042=10,Paths!$I$373,0),"n.a."))</f>
        <v>0</v>
      </c>
      <c r="M4042" s="16">
        <f>IF(NOT(Paths!$C$373=1),0,IF(Paths!$P$373="Complete",IF(AND(Paths!$D$373="EV",Paths!$E$373&lt;120,Paths!$E$373+'Operating costs'!$B$65&gt;Paths!$E$373,Paths!$E$373+'Operating costs'!$B$65&lt;=120,IF(Paths!$E$373+'Operating costs'!$B$65=0,C4042=0,AND(C4042&gt;0,Paths!$E$373+'Operating costs'!$B$65&gt;(C4042-1)*12,Paths!$E$373+'Operating costs'!$B$65&lt;=C4042*12))),'Operating costs'!$B$64,0)+IF(AND('Operating costs'!$B$67&gt;0,'Operating costs'!$B$67&lt;=120,OR(Paths!$D$373="ICE",'Operating costs'!$B$67&lt;=Paths!$E$373),IF('Operating costs'!$B$67=0,C4042=0,AND(C4042&gt;0,'Operating costs'!$B$67&gt;(C4042-1)*12,'Operating costs'!$B$67&lt;=C4042*12))),'Operating costs'!$B$66,0),"n.a."))</f>
        <v>0</v>
      </c>
      <c r="N4042" s="16">
        <f>IF(NOT(Paths!$C$373=1),0,IF(Paths!$P$373="Complete",SUM(G4042:I4042)-J4042-K4042-L4042+M4042+IF(C4042=0,Paths!$F$373,0)+IF(IF(Paths!$E$373=0,C4042=0,AND(C4042&gt;0,Paths!$E$373&gt;(C4042-1)*12,Paths!$E$373&lt;=C4042*12)),VLOOKUP(A4042,'Fleet register'!$A$7:$S$106,16,FALSE),0),"n.a."))</f>
        <v>0</v>
      </c>
      <c r="O4042" s="16">
        <f>IF(NOT(Paths!$C$373=1),0,IF(Paths!$P$373="Complete",N4042-IF(C4042=0,Paths!$F$373,0),"n.a."))</f>
        <v>0</v>
      </c>
      <c r="P4042" s="16">
        <f>IF(NOT(Paths!$C$373=1),0,IF(Paths!$P$373="Complete",O4042+L4042,"n.a."))</f>
        <v>0</v>
      </c>
      <c r="Q4042" s="16">
        <f>IF(NOT(Paths!$C$373=1),0,IF(Paths!$P$373="Complete",N4042*(1+'Operating costs'!$B$54)^-C4042,"n.a."))</f>
        <v>0</v>
      </c>
      <c r="R4042" s="16">
        <f>IF(NOT(Paths!$C$373=1),0,IF(Paths!$P$373="Complete",IF(AND(C4042=0,Paths!$E$373=0),I4042-J4042-K4042+VLOOKUP(A4042,'Fleet register'!$A$7:$S$106,15,FALSE)+VLOOKUP(A4042,'Fleet register'!$A$7:$S$106,16,FALSE),0),"n.a."))</f>
        <v>0</v>
      </c>
      <c r="S4042" s="1">
        <f>IF(NOT(Paths!$C$373=1),0,IF(Paths!$P$373="Complete",IF(C4042=0,0,Paths!$S$373*Paths!$R$373),"n.a."))</f>
        <v>0</v>
      </c>
      <c r="T4042" s="1">
        <f>IF(NOT(Paths!$C$373=1),0,IF(Paths!$P$373="Complete",IF(C4042=0,0,VLOOKUP(A4042,'Fleet register'!$A$7:$S$106,9,FALSE)*Paths!$R$373),"n.a."))</f>
        <v>0</v>
      </c>
    </row>
    <row r="4043" spans="1:20" ht="24" customHeight="1">
      <c r="A4043" s="1" t="str">
        <f>Paths!$A$373</f>
        <v>T092</v>
      </c>
      <c r="B4043" s="1">
        <f>Paths!$B$373</f>
        <v>2</v>
      </c>
      <c r="C4043" s="1">
        <v>10</v>
      </c>
      <c r="D4043" s="1">
        <v>373</v>
      </c>
      <c r="E4043" s="1">
        <f>IF(OR(Paths!$C$373=0,C4043=0),0,MAX(0,MIN(C4043*12,Paths!$E$373)-(C4043-1)*12))</f>
        <v>0</v>
      </c>
      <c r="F4043" s="1">
        <f>IF(OR(Paths!$C$373=0,C4043=0),0,12-E4043)</f>
        <v>0</v>
      </c>
      <c r="G4043" s="16">
        <f>IF(NOT(Paths!$C$373=1),0,IF(Paths!$P$373="Complete",E4043/12*(Paths!$J$373*(1+'Operating costs'!$B$51)^MAX(0,C4043-1)+Paths!$K$373*(1+'Operating costs'!$B$53)^MAX(0,C4043-1)),"n.a."))</f>
        <v>0</v>
      </c>
      <c r="H4043" s="16">
        <f>IF(NOT(Paths!$C$373=1),0,IF(Paths!$P$373="Complete",F4043/12*(Paths!$L$373*(1+IF(Paths!$D$373="EV",'Operating costs'!$B$52,'Operating costs'!$B$51))^MAX(0,C4043-1)+Paths!$M$373*(1+'Operating costs'!$B$53)^MAX(0,C4043-1)),"n.a."))</f>
        <v>0</v>
      </c>
      <c r="I4043" s="16">
        <f>IF(NOT(Paths!$C$373=1),0,IF(Paths!$P$373="Complete",IF(IF(Paths!$E$373=0,C4043=0,AND(C4043&gt;0,Paths!$E$373&gt;(C4043-1)*12,Paths!$E$373&lt;=C4043*12)),Paths!$G$373,0),"n.a."))</f>
        <v>0</v>
      </c>
      <c r="J4043" s="16">
        <f>IF(NOT(Paths!$C$373=1),0,IF(Paths!$P$373="Complete",IF(IF(Paths!$E$373=0,C4043=0,AND(C4043&gt;0,Paths!$E$373&gt;(C4043-1)*12,Paths!$E$373&lt;=C4043*12)),Paths!$H$373,0),"n.a."))</f>
        <v>0</v>
      </c>
      <c r="K4043" s="16">
        <f>IF(NOT(Paths!$C$373=1),0,IF(Paths!$P$373="Complete",IF(IF(Paths!$O$373=0,C4043=0,AND(C4043&gt;0,Paths!$O$373&gt;(C4043-1)*12,Paths!$O$373&lt;=C4043*12)),Paths!$N$373,0),"n.a."))</f>
        <v>0</v>
      </c>
      <c r="L4043" s="16">
        <f>IF(NOT(Paths!$C$373=1),0,IF(Paths!$P$373="Complete",IF(C4043=10,Paths!$I$373,0),"n.a."))</f>
        <v>0</v>
      </c>
      <c r="M4043" s="16">
        <f>IF(NOT(Paths!$C$373=1),0,IF(Paths!$P$373="Complete",IF(AND(Paths!$D$373="EV",Paths!$E$373&lt;120,Paths!$E$373+'Operating costs'!$B$65&gt;Paths!$E$373,Paths!$E$373+'Operating costs'!$B$65&lt;=120,IF(Paths!$E$373+'Operating costs'!$B$65=0,C4043=0,AND(C4043&gt;0,Paths!$E$373+'Operating costs'!$B$65&gt;(C4043-1)*12,Paths!$E$373+'Operating costs'!$B$65&lt;=C4043*12))),'Operating costs'!$B$64,0)+IF(AND('Operating costs'!$B$67&gt;0,'Operating costs'!$B$67&lt;=120,OR(Paths!$D$373="ICE",'Operating costs'!$B$67&lt;=Paths!$E$373),IF('Operating costs'!$B$67=0,C4043=0,AND(C4043&gt;0,'Operating costs'!$B$67&gt;(C4043-1)*12,'Operating costs'!$B$67&lt;=C4043*12))),'Operating costs'!$B$66,0),"n.a."))</f>
        <v>0</v>
      </c>
      <c r="N4043" s="16">
        <f>IF(NOT(Paths!$C$373=1),0,IF(Paths!$P$373="Complete",SUM(G4043:I4043)-J4043-K4043-L4043+M4043+IF(C4043=0,Paths!$F$373,0)+IF(IF(Paths!$E$373=0,C4043=0,AND(C4043&gt;0,Paths!$E$373&gt;(C4043-1)*12,Paths!$E$373&lt;=C4043*12)),VLOOKUP(A4043,'Fleet register'!$A$7:$S$106,16,FALSE),0),"n.a."))</f>
        <v>0</v>
      </c>
      <c r="O4043" s="16">
        <f>IF(NOT(Paths!$C$373=1),0,IF(Paths!$P$373="Complete",N4043-IF(C4043=0,Paths!$F$373,0),"n.a."))</f>
        <v>0</v>
      </c>
      <c r="P4043" s="16">
        <f>IF(NOT(Paths!$C$373=1),0,IF(Paths!$P$373="Complete",O4043+L4043,"n.a."))</f>
        <v>0</v>
      </c>
      <c r="Q4043" s="16">
        <f>IF(NOT(Paths!$C$373=1),0,IF(Paths!$P$373="Complete",N4043*(1+'Operating costs'!$B$54)^-C4043,"n.a."))</f>
        <v>0</v>
      </c>
      <c r="R4043" s="16">
        <f>IF(NOT(Paths!$C$373=1),0,IF(Paths!$P$373="Complete",IF(AND(C4043=0,Paths!$E$373=0),I4043-J4043-K4043+VLOOKUP(A4043,'Fleet register'!$A$7:$S$106,15,FALSE)+VLOOKUP(A4043,'Fleet register'!$A$7:$S$106,16,FALSE),0),"n.a."))</f>
        <v>0</v>
      </c>
      <c r="S4043" s="1">
        <f>IF(NOT(Paths!$C$373=1),0,IF(Paths!$P$373="Complete",IF(C4043=0,0,Paths!$S$373*Paths!$R$373),"n.a."))</f>
        <v>0</v>
      </c>
      <c r="T4043" s="1">
        <f>IF(NOT(Paths!$C$373=1),0,IF(Paths!$P$373="Complete",IF(C4043=0,0,VLOOKUP(A4043,'Fleet register'!$A$7:$S$106,9,FALSE)*Paths!$R$373),"n.a."))</f>
        <v>0</v>
      </c>
    </row>
    <row r="4044" spans="1:20" ht="24" customHeight="1">
      <c r="A4044" s="1" t="str">
        <f>Paths!$A$374</f>
        <v>T092</v>
      </c>
      <c r="B4044" s="1">
        <f>Paths!$B$374</f>
        <v>3</v>
      </c>
      <c r="C4044" s="1">
        <v>0</v>
      </c>
      <c r="D4044" s="1">
        <v>374</v>
      </c>
      <c r="E4044" s="1">
        <f>IF(OR(Paths!$C$374=0,C4044=0),0,MAX(0,MIN(C4044*12,Paths!$E$374)-(C4044-1)*12))</f>
        <v>0</v>
      </c>
      <c r="F4044" s="1">
        <f>IF(OR(Paths!$C$374=0,C4044=0),0,12-E4044)</f>
        <v>0</v>
      </c>
      <c r="G4044" s="16">
        <f>IF(NOT(Paths!$C$374=1),0,IF(Paths!$P$374="Complete",E4044/12*(Paths!$J$374*(1+'Operating costs'!$B$51)^MAX(0,C4044-1)+Paths!$K$374*(1+'Operating costs'!$B$53)^MAX(0,C4044-1)),"n.a."))</f>
        <v>0</v>
      </c>
      <c r="H4044" s="16">
        <f>IF(NOT(Paths!$C$374=1),0,IF(Paths!$P$374="Complete",F4044/12*(Paths!$L$374*(1+IF(Paths!$D$374="EV",'Operating costs'!$B$52,'Operating costs'!$B$51))^MAX(0,C4044-1)+Paths!$M$374*(1+'Operating costs'!$B$53)^MAX(0,C4044-1)),"n.a."))</f>
        <v>0</v>
      </c>
      <c r="I4044" s="16">
        <f>IF(NOT(Paths!$C$374=1),0,IF(Paths!$P$374="Complete",IF(IF(Paths!$E$374=0,C4044=0,AND(C4044&gt;0,Paths!$E$374&gt;(C4044-1)*12,Paths!$E$374&lt;=C4044*12)),Paths!$G$374,0),"n.a."))</f>
        <v>0</v>
      </c>
      <c r="J4044" s="16">
        <f>IF(NOT(Paths!$C$374=1),0,IF(Paths!$P$374="Complete",IF(IF(Paths!$E$374=0,C4044=0,AND(C4044&gt;0,Paths!$E$374&gt;(C4044-1)*12,Paths!$E$374&lt;=C4044*12)),Paths!$H$374,0),"n.a."))</f>
        <v>0</v>
      </c>
      <c r="K4044" s="16">
        <f>IF(NOT(Paths!$C$374=1),0,IF(Paths!$P$374="Complete",IF(IF(Paths!$O$374=0,C4044=0,AND(C4044&gt;0,Paths!$O$374&gt;(C4044-1)*12,Paths!$O$374&lt;=C4044*12)),Paths!$N$374,0),"n.a."))</f>
        <v>0</v>
      </c>
      <c r="L4044" s="16">
        <f>IF(NOT(Paths!$C$374=1),0,IF(Paths!$P$374="Complete",IF(C4044=10,Paths!$I$374,0),"n.a."))</f>
        <v>0</v>
      </c>
      <c r="M4044" s="16">
        <f>IF(NOT(Paths!$C$374=1),0,IF(Paths!$P$374="Complete",IF(AND(Paths!$D$374="EV",Paths!$E$374&lt;120,Paths!$E$374+'Operating costs'!$B$65&gt;Paths!$E$374,Paths!$E$374+'Operating costs'!$B$65&lt;=120,IF(Paths!$E$374+'Operating costs'!$B$65=0,C4044=0,AND(C4044&gt;0,Paths!$E$374+'Operating costs'!$B$65&gt;(C4044-1)*12,Paths!$E$374+'Operating costs'!$B$65&lt;=C4044*12))),'Operating costs'!$B$64,0)+IF(AND('Operating costs'!$B$67&gt;0,'Operating costs'!$B$67&lt;=120,OR(Paths!$D$374="ICE",'Operating costs'!$B$67&lt;=Paths!$E$374),IF('Operating costs'!$B$67=0,C4044=0,AND(C4044&gt;0,'Operating costs'!$B$67&gt;(C4044-1)*12,'Operating costs'!$B$67&lt;=C4044*12))),'Operating costs'!$B$66,0),"n.a."))</f>
        <v>0</v>
      </c>
      <c r="N4044" s="16">
        <f>IF(NOT(Paths!$C$374=1),0,IF(Paths!$P$374="Complete",SUM(G4044:I4044)-J4044-K4044-L4044+M4044+IF(C4044=0,Paths!$F$374,0)+IF(IF(Paths!$E$374=0,C4044=0,AND(C4044&gt;0,Paths!$E$374&gt;(C4044-1)*12,Paths!$E$374&lt;=C4044*12)),VLOOKUP(A4044,'Fleet register'!$A$7:$S$106,16,FALSE),0),"n.a."))</f>
        <v>0</v>
      </c>
      <c r="O4044" s="16">
        <f>IF(NOT(Paths!$C$374=1),0,IF(Paths!$P$374="Complete",N4044-IF(C4044=0,Paths!$F$374,0),"n.a."))</f>
        <v>0</v>
      </c>
      <c r="P4044" s="16">
        <f>IF(NOT(Paths!$C$374=1),0,IF(Paths!$P$374="Complete",O4044+L4044,"n.a."))</f>
        <v>0</v>
      </c>
      <c r="Q4044" s="16">
        <f>IF(NOT(Paths!$C$374=1),0,IF(Paths!$P$374="Complete",N4044*(1+'Operating costs'!$B$54)^-C4044,"n.a."))</f>
        <v>0</v>
      </c>
      <c r="R4044" s="16">
        <f>IF(NOT(Paths!$C$374=1),0,IF(Paths!$P$374="Complete",IF(AND(C4044=0,Paths!$E$374=0),I4044-J4044-K4044+VLOOKUP(A4044,'Fleet register'!$A$7:$S$106,15,FALSE)+VLOOKUP(A4044,'Fleet register'!$A$7:$S$106,16,FALSE),0),"n.a."))</f>
        <v>0</v>
      </c>
      <c r="S4044" s="1">
        <f>IF(NOT(Paths!$C$374=1),0,IF(Paths!$P$374="Complete",IF(C4044=0,0,Paths!$S$374*Paths!$R$374),"n.a."))</f>
        <v>0</v>
      </c>
      <c r="T4044" s="1">
        <f>IF(NOT(Paths!$C$374=1),0,IF(Paths!$P$374="Complete",IF(C4044=0,0,VLOOKUP(A4044,'Fleet register'!$A$7:$S$106,9,FALSE)*Paths!$R$374),"n.a."))</f>
        <v>0</v>
      </c>
    </row>
    <row r="4045" spans="1:20" ht="24" customHeight="1">
      <c r="A4045" s="1" t="str">
        <f>Paths!$A$374</f>
        <v>T092</v>
      </c>
      <c r="B4045" s="1">
        <f>Paths!$B$374</f>
        <v>3</v>
      </c>
      <c r="C4045" s="1">
        <v>1</v>
      </c>
      <c r="D4045" s="1">
        <v>374</v>
      </c>
      <c r="E4045" s="1">
        <f>IF(OR(Paths!$C$374=0,C4045=0),0,MAX(0,MIN(C4045*12,Paths!$E$374)-(C4045-1)*12))</f>
        <v>0</v>
      </c>
      <c r="F4045" s="1">
        <f>IF(OR(Paths!$C$374=0,C4045=0),0,12-E4045)</f>
        <v>0</v>
      </c>
      <c r="G4045" s="16">
        <f>IF(NOT(Paths!$C$374=1),0,IF(Paths!$P$374="Complete",E4045/12*(Paths!$J$374*(1+'Operating costs'!$B$51)^MAX(0,C4045-1)+Paths!$K$374*(1+'Operating costs'!$B$53)^MAX(0,C4045-1)),"n.a."))</f>
        <v>0</v>
      </c>
      <c r="H4045" s="16">
        <f>IF(NOT(Paths!$C$374=1),0,IF(Paths!$P$374="Complete",F4045/12*(Paths!$L$374*(1+IF(Paths!$D$374="EV",'Operating costs'!$B$52,'Operating costs'!$B$51))^MAX(0,C4045-1)+Paths!$M$374*(1+'Operating costs'!$B$53)^MAX(0,C4045-1)),"n.a."))</f>
        <v>0</v>
      </c>
      <c r="I4045" s="16">
        <f>IF(NOT(Paths!$C$374=1),0,IF(Paths!$P$374="Complete",IF(IF(Paths!$E$374=0,C4045=0,AND(C4045&gt;0,Paths!$E$374&gt;(C4045-1)*12,Paths!$E$374&lt;=C4045*12)),Paths!$G$374,0),"n.a."))</f>
        <v>0</v>
      </c>
      <c r="J4045" s="16">
        <f>IF(NOT(Paths!$C$374=1),0,IF(Paths!$P$374="Complete",IF(IF(Paths!$E$374=0,C4045=0,AND(C4045&gt;0,Paths!$E$374&gt;(C4045-1)*12,Paths!$E$374&lt;=C4045*12)),Paths!$H$374,0),"n.a."))</f>
        <v>0</v>
      </c>
      <c r="K4045" s="16">
        <f>IF(NOT(Paths!$C$374=1),0,IF(Paths!$P$374="Complete",IF(IF(Paths!$O$374=0,C4045=0,AND(C4045&gt;0,Paths!$O$374&gt;(C4045-1)*12,Paths!$O$374&lt;=C4045*12)),Paths!$N$374,0),"n.a."))</f>
        <v>0</v>
      </c>
      <c r="L4045" s="16">
        <f>IF(NOT(Paths!$C$374=1),0,IF(Paths!$P$374="Complete",IF(C4045=10,Paths!$I$374,0),"n.a."))</f>
        <v>0</v>
      </c>
      <c r="M4045" s="16">
        <f>IF(NOT(Paths!$C$374=1),0,IF(Paths!$P$374="Complete",IF(AND(Paths!$D$374="EV",Paths!$E$374&lt;120,Paths!$E$374+'Operating costs'!$B$65&gt;Paths!$E$374,Paths!$E$374+'Operating costs'!$B$65&lt;=120,IF(Paths!$E$374+'Operating costs'!$B$65=0,C4045=0,AND(C4045&gt;0,Paths!$E$374+'Operating costs'!$B$65&gt;(C4045-1)*12,Paths!$E$374+'Operating costs'!$B$65&lt;=C4045*12))),'Operating costs'!$B$64,0)+IF(AND('Operating costs'!$B$67&gt;0,'Operating costs'!$B$67&lt;=120,OR(Paths!$D$374="ICE",'Operating costs'!$B$67&lt;=Paths!$E$374),IF('Operating costs'!$B$67=0,C4045=0,AND(C4045&gt;0,'Operating costs'!$B$67&gt;(C4045-1)*12,'Operating costs'!$B$67&lt;=C4045*12))),'Operating costs'!$B$66,0),"n.a."))</f>
        <v>0</v>
      </c>
      <c r="N4045" s="16">
        <f>IF(NOT(Paths!$C$374=1),0,IF(Paths!$P$374="Complete",SUM(G4045:I4045)-J4045-K4045-L4045+M4045+IF(C4045=0,Paths!$F$374,0)+IF(IF(Paths!$E$374=0,C4045=0,AND(C4045&gt;0,Paths!$E$374&gt;(C4045-1)*12,Paths!$E$374&lt;=C4045*12)),VLOOKUP(A4045,'Fleet register'!$A$7:$S$106,16,FALSE),0),"n.a."))</f>
        <v>0</v>
      </c>
      <c r="O4045" s="16">
        <f>IF(NOT(Paths!$C$374=1),0,IF(Paths!$P$374="Complete",N4045-IF(C4045=0,Paths!$F$374,0),"n.a."))</f>
        <v>0</v>
      </c>
      <c r="P4045" s="16">
        <f>IF(NOT(Paths!$C$374=1),0,IF(Paths!$P$374="Complete",O4045+L4045,"n.a."))</f>
        <v>0</v>
      </c>
      <c r="Q4045" s="16">
        <f>IF(NOT(Paths!$C$374=1),0,IF(Paths!$P$374="Complete",N4045*(1+'Operating costs'!$B$54)^-C4045,"n.a."))</f>
        <v>0</v>
      </c>
      <c r="R4045" s="16">
        <f>IF(NOT(Paths!$C$374=1),0,IF(Paths!$P$374="Complete",IF(AND(C4045=0,Paths!$E$374=0),I4045-J4045-K4045+VLOOKUP(A4045,'Fleet register'!$A$7:$S$106,15,FALSE)+VLOOKUP(A4045,'Fleet register'!$A$7:$S$106,16,FALSE),0),"n.a."))</f>
        <v>0</v>
      </c>
      <c r="S4045" s="1">
        <f>IF(NOT(Paths!$C$374=1),0,IF(Paths!$P$374="Complete",IF(C4045=0,0,Paths!$S$374*Paths!$R$374),"n.a."))</f>
        <v>0</v>
      </c>
      <c r="T4045" s="1">
        <f>IF(NOT(Paths!$C$374=1),0,IF(Paths!$P$374="Complete",IF(C4045=0,0,VLOOKUP(A4045,'Fleet register'!$A$7:$S$106,9,FALSE)*Paths!$R$374),"n.a."))</f>
        <v>0</v>
      </c>
    </row>
    <row r="4046" spans="1:20" ht="24" customHeight="1">
      <c r="A4046" s="1" t="str">
        <f>Paths!$A$374</f>
        <v>T092</v>
      </c>
      <c r="B4046" s="1">
        <f>Paths!$B$374</f>
        <v>3</v>
      </c>
      <c r="C4046" s="1">
        <v>2</v>
      </c>
      <c r="D4046" s="1">
        <v>374</v>
      </c>
      <c r="E4046" s="1">
        <f>IF(OR(Paths!$C$374=0,C4046=0),0,MAX(0,MIN(C4046*12,Paths!$E$374)-(C4046-1)*12))</f>
        <v>0</v>
      </c>
      <c r="F4046" s="1">
        <f>IF(OR(Paths!$C$374=0,C4046=0),0,12-E4046)</f>
        <v>0</v>
      </c>
      <c r="G4046" s="16">
        <f>IF(NOT(Paths!$C$374=1),0,IF(Paths!$P$374="Complete",E4046/12*(Paths!$J$374*(1+'Operating costs'!$B$51)^MAX(0,C4046-1)+Paths!$K$374*(1+'Operating costs'!$B$53)^MAX(0,C4046-1)),"n.a."))</f>
        <v>0</v>
      </c>
      <c r="H4046" s="16">
        <f>IF(NOT(Paths!$C$374=1),0,IF(Paths!$P$374="Complete",F4046/12*(Paths!$L$374*(1+IF(Paths!$D$374="EV",'Operating costs'!$B$52,'Operating costs'!$B$51))^MAX(0,C4046-1)+Paths!$M$374*(1+'Operating costs'!$B$53)^MAX(0,C4046-1)),"n.a."))</f>
        <v>0</v>
      </c>
      <c r="I4046" s="16">
        <f>IF(NOT(Paths!$C$374=1),0,IF(Paths!$P$374="Complete",IF(IF(Paths!$E$374=0,C4046=0,AND(C4046&gt;0,Paths!$E$374&gt;(C4046-1)*12,Paths!$E$374&lt;=C4046*12)),Paths!$G$374,0),"n.a."))</f>
        <v>0</v>
      </c>
      <c r="J4046" s="16">
        <f>IF(NOT(Paths!$C$374=1),0,IF(Paths!$P$374="Complete",IF(IF(Paths!$E$374=0,C4046=0,AND(C4046&gt;0,Paths!$E$374&gt;(C4046-1)*12,Paths!$E$374&lt;=C4046*12)),Paths!$H$374,0),"n.a."))</f>
        <v>0</v>
      </c>
      <c r="K4046" s="16">
        <f>IF(NOT(Paths!$C$374=1),0,IF(Paths!$P$374="Complete",IF(IF(Paths!$O$374=0,C4046=0,AND(C4046&gt;0,Paths!$O$374&gt;(C4046-1)*12,Paths!$O$374&lt;=C4046*12)),Paths!$N$374,0),"n.a."))</f>
        <v>0</v>
      </c>
      <c r="L4046" s="16">
        <f>IF(NOT(Paths!$C$374=1),0,IF(Paths!$P$374="Complete",IF(C4046=10,Paths!$I$374,0),"n.a."))</f>
        <v>0</v>
      </c>
      <c r="M4046" s="16">
        <f>IF(NOT(Paths!$C$374=1),0,IF(Paths!$P$374="Complete",IF(AND(Paths!$D$374="EV",Paths!$E$374&lt;120,Paths!$E$374+'Operating costs'!$B$65&gt;Paths!$E$374,Paths!$E$374+'Operating costs'!$B$65&lt;=120,IF(Paths!$E$374+'Operating costs'!$B$65=0,C4046=0,AND(C4046&gt;0,Paths!$E$374+'Operating costs'!$B$65&gt;(C4046-1)*12,Paths!$E$374+'Operating costs'!$B$65&lt;=C4046*12))),'Operating costs'!$B$64,0)+IF(AND('Operating costs'!$B$67&gt;0,'Operating costs'!$B$67&lt;=120,OR(Paths!$D$374="ICE",'Operating costs'!$B$67&lt;=Paths!$E$374),IF('Operating costs'!$B$67=0,C4046=0,AND(C4046&gt;0,'Operating costs'!$B$67&gt;(C4046-1)*12,'Operating costs'!$B$67&lt;=C4046*12))),'Operating costs'!$B$66,0),"n.a."))</f>
        <v>0</v>
      </c>
      <c r="N4046" s="16">
        <f>IF(NOT(Paths!$C$374=1),0,IF(Paths!$P$374="Complete",SUM(G4046:I4046)-J4046-K4046-L4046+M4046+IF(C4046=0,Paths!$F$374,0)+IF(IF(Paths!$E$374=0,C4046=0,AND(C4046&gt;0,Paths!$E$374&gt;(C4046-1)*12,Paths!$E$374&lt;=C4046*12)),VLOOKUP(A4046,'Fleet register'!$A$7:$S$106,16,FALSE),0),"n.a."))</f>
        <v>0</v>
      </c>
      <c r="O4046" s="16">
        <f>IF(NOT(Paths!$C$374=1),0,IF(Paths!$P$374="Complete",N4046-IF(C4046=0,Paths!$F$374,0),"n.a."))</f>
        <v>0</v>
      </c>
      <c r="P4046" s="16">
        <f>IF(NOT(Paths!$C$374=1),0,IF(Paths!$P$374="Complete",O4046+L4046,"n.a."))</f>
        <v>0</v>
      </c>
      <c r="Q4046" s="16">
        <f>IF(NOT(Paths!$C$374=1),0,IF(Paths!$P$374="Complete",N4046*(1+'Operating costs'!$B$54)^-C4046,"n.a."))</f>
        <v>0</v>
      </c>
      <c r="R4046" s="16">
        <f>IF(NOT(Paths!$C$374=1),0,IF(Paths!$P$374="Complete",IF(AND(C4046=0,Paths!$E$374=0),I4046-J4046-K4046+VLOOKUP(A4046,'Fleet register'!$A$7:$S$106,15,FALSE)+VLOOKUP(A4046,'Fleet register'!$A$7:$S$106,16,FALSE),0),"n.a."))</f>
        <v>0</v>
      </c>
      <c r="S4046" s="1">
        <f>IF(NOT(Paths!$C$374=1),0,IF(Paths!$P$374="Complete",IF(C4046=0,0,Paths!$S$374*Paths!$R$374),"n.a."))</f>
        <v>0</v>
      </c>
      <c r="T4046" s="1">
        <f>IF(NOT(Paths!$C$374=1),0,IF(Paths!$P$374="Complete",IF(C4046=0,0,VLOOKUP(A4046,'Fleet register'!$A$7:$S$106,9,FALSE)*Paths!$R$374),"n.a."))</f>
        <v>0</v>
      </c>
    </row>
    <row r="4047" spans="1:20" ht="24" customHeight="1">
      <c r="A4047" s="1" t="str">
        <f>Paths!$A$374</f>
        <v>T092</v>
      </c>
      <c r="B4047" s="1">
        <f>Paths!$B$374</f>
        <v>3</v>
      </c>
      <c r="C4047" s="1">
        <v>3</v>
      </c>
      <c r="D4047" s="1">
        <v>374</v>
      </c>
      <c r="E4047" s="1">
        <f>IF(OR(Paths!$C$374=0,C4047=0),0,MAX(0,MIN(C4047*12,Paths!$E$374)-(C4047-1)*12))</f>
        <v>0</v>
      </c>
      <c r="F4047" s="1">
        <f>IF(OR(Paths!$C$374=0,C4047=0),0,12-E4047)</f>
        <v>0</v>
      </c>
      <c r="G4047" s="16">
        <f>IF(NOT(Paths!$C$374=1),0,IF(Paths!$P$374="Complete",E4047/12*(Paths!$J$374*(1+'Operating costs'!$B$51)^MAX(0,C4047-1)+Paths!$K$374*(1+'Operating costs'!$B$53)^MAX(0,C4047-1)),"n.a."))</f>
        <v>0</v>
      </c>
      <c r="H4047" s="16">
        <f>IF(NOT(Paths!$C$374=1),0,IF(Paths!$P$374="Complete",F4047/12*(Paths!$L$374*(1+IF(Paths!$D$374="EV",'Operating costs'!$B$52,'Operating costs'!$B$51))^MAX(0,C4047-1)+Paths!$M$374*(1+'Operating costs'!$B$53)^MAX(0,C4047-1)),"n.a."))</f>
        <v>0</v>
      </c>
      <c r="I4047" s="16">
        <f>IF(NOT(Paths!$C$374=1),0,IF(Paths!$P$374="Complete",IF(IF(Paths!$E$374=0,C4047=0,AND(C4047&gt;0,Paths!$E$374&gt;(C4047-1)*12,Paths!$E$374&lt;=C4047*12)),Paths!$G$374,0),"n.a."))</f>
        <v>0</v>
      </c>
      <c r="J4047" s="16">
        <f>IF(NOT(Paths!$C$374=1),0,IF(Paths!$P$374="Complete",IF(IF(Paths!$E$374=0,C4047=0,AND(C4047&gt;0,Paths!$E$374&gt;(C4047-1)*12,Paths!$E$374&lt;=C4047*12)),Paths!$H$374,0),"n.a."))</f>
        <v>0</v>
      </c>
      <c r="K4047" s="16">
        <f>IF(NOT(Paths!$C$374=1),0,IF(Paths!$P$374="Complete",IF(IF(Paths!$O$374=0,C4047=0,AND(C4047&gt;0,Paths!$O$374&gt;(C4047-1)*12,Paths!$O$374&lt;=C4047*12)),Paths!$N$374,0),"n.a."))</f>
        <v>0</v>
      </c>
      <c r="L4047" s="16">
        <f>IF(NOT(Paths!$C$374=1),0,IF(Paths!$P$374="Complete",IF(C4047=10,Paths!$I$374,0),"n.a."))</f>
        <v>0</v>
      </c>
      <c r="M4047" s="16">
        <f>IF(NOT(Paths!$C$374=1),0,IF(Paths!$P$374="Complete",IF(AND(Paths!$D$374="EV",Paths!$E$374&lt;120,Paths!$E$374+'Operating costs'!$B$65&gt;Paths!$E$374,Paths!$E$374+'Operating costs'!$B$65&lt;=120,IF(Paths!$E$374+'Operating costs'!$B$65=0,C4047=0,AND(C4047&gt;0,Paths!$E$374+'Operating costs'!$B$65&gt;(C4047-1)*12,Paths!$E$374+'Operating costs'!$B$65&lt;=C4047*12))),'Operating costs'!$B$64,0)+IF(AND('Operating costs'!$B$67&gt;0,'Operating costs'!$B$67&lt;=120,OR(Paths!$D$374="ICE",'Operating costs'!$B$67&lt;=Paths!$E$374),IF('Operating costs'!$B$67=0,C4047=0,AND(C4047&gt;0,'Operating costs'!$B$67&gt;(C4047-1)*12,'Operating costs'!$B$67&lt;=C4047*12))),'Operating costs'!$B$66,0),"n.a."))</f>
        <v>0</v>
      </c>
      <c r="N4047" s="16">
        <f>IF(NOT(Paths!$C$374=1),0,IF(Paths!$P$374="Complete",SUM(G4047:I4047)-J4047-K4047-L4047+M4047+IF(C4047=0,Paths!$F$374,0)+IF(IF(Paths!$E$374=0,C4047=0,AND(C4047&gt;0,Paths!$E$374&gt;(C4047-1)*12,Paths!$E$374&lt;=C4047*12)),VLOOKUP(A4047,'Fleet register'!$A$7:$S$106,16,FALSE),0),"n.a."))</f>
        <v>0</v>
      </c>
      <c r="O4047" s="16">
        <f>IF(NOT(Paths!$C$374=1),0,IF(Paths!$P$374="Complete",N4047-IF(C4047=0,Paths!$F$374,0),"n.a."))</f>
        <v>0</v>
      </c>
      <c r="P4047" s="16">
        <f>IF(NOT(Paths!$C$374=1),0,IF(Paths!$P$374="Complete",O4047+L4047,"n.a."))</f>
        <v>0</v>
      </c>
      <c r="Q4047" s="16">
        <f>IF(NOT(Paths!$C$374=1),0,IF(Paths!$P$374="Complete",N4047*(1+'Operating costs'!$B$54)^-C4047,"n.a."))</f>
        <v>0</v>
      </c>
      <c r="R4047" s="16">
        <f>IF(NOT(Paths!$C$374=1),0,IF(Paths!$P$374="Complete",IF(AND(C4047=0,Paths!$E$374=0),I4047-J4047-K4047+VLOOKUP(A4047,'Fleet register'!$A$7:$S$106,15,FALSE)+VLOOKUP(A4047,'Fleet register'!$A$7:$S$106,16,FALSE),0),"n.a."))</f>
        <v>0</v>
      </c>
      <c r="S4047" s="1">
        <f>IF(NOT(Paths!$C$374=1),0,IF(Paths!$P$374="Complete",IF(C4047=0,0,Paths!$S$374*Paths!$R$374),"n.a."))</f>
        <v>0</v>
      </c>
      <c r="T4047" s="1">
        <f>IF(NOT(Paths!$C$374=1),0,IF(Paths!$P$374="Complete",IF(C4047=0,0,VLOOKUP(A4047,'Fleet register'!$A$7:$S$106,9,FALSE)*Paths!$R$374),"n.a."))</f>
        <v>0</v>
      </c>
    </row>
    <row r="4048" spans="1:20" ht="24" customHeight="1">
      <c r="A4048" s="1" t="str">
        <f>Paths!$A$374</f>
        <v>T092</v>
      </c>
      <c r="B4048" s="1">
        <f>Paths!$B$374</f>
        <v>3</v>
      </c>
      <c r="C4048" s="1">
        <v>4</v>
      </c>
      <c r="D4048" s="1">
        <v>374</v>
      </c>
      <c r="E4048" s="1">
        <f>IF(OR(Paths!$C$374=0,C4048=0),0,MAX(0,MIN(C4048*12,Paths!$E$374)-(C4048-1)*12))</f>
        <v>0</v>
      </c>
      <c r="F4048" s="1">
        <f>IF(OR(Paths!$C$374=0,C4048=0),0,12-E4048)</f>
        <v>0</v>
      </c>
      <c r="G4048" s="16">
        <f>IF(NOT(Paths!$C$374=1),0,IF(Paths!$P$374="Complete",E4048/12*(Paths!$J$374*(1+'Operating costs'!$B$51)^MAX(0,C4048-1)+Paths!$K$374*(1+'Operating costs'!$B$53)^MAX(0,C4048-1)),"n.a."))</f>
        <v>0</v>
      </c>
      <c r="H4048" s="16">
        <f>IF(NOT(Paths!$C$374=1),0,IF(Paths!$P$374="Complete",F4048/12*(Paths!$L$374*(1+IF(Paths!$D$374="EV",'Operating costs'!$B$52,'Operating costs'!$B$51))^MAX(0,C4048-1)+Paths!$M$374*(1+'Operating costs'!$B$53)^MAX(0,C4048-1)),"n.a."))</f>
        <v>0</v>
      </c>
      <c r="I4048" s="16">
        <f>IF(NOT(Paths!$C$374=1),0,IF(Paths!$P$374="Complete",IF(IF(Paths!$E$374=0,C4048=0,AND(C4048&gt;0,Paths!$E$374&gt;(C4048-1)*12,Paths!$E$374&lt;=C4048*12)),Paths!$G$374,0),"n.a."))</f>
        <v>0</v>
      </c>
      <c r="J4048" s="16">
        <f>IF(NOT(Paths!$C$374=1),0,IF(Paths!$P$374="Complete",IF(IF(Paths!$E$374=0,C4048=0,AND(C4048&gt;0,Paths!$E$374&gt;(C4048-1)*12,Paths!$E$374&lt;=C4048*12)),Paths!$H$374,0),"n.a."))</f>
        <v>0</v>
      </c>
      <c r="K4048" s="16">
        <f>IF(NOT(Paths!$C$374=1),0,IF(Paths!$P$374="Complete",IF(IF(Paths!$O$374=0,C4048=0,AND(C4048&gt;0,Paths!$O$374&gt;(C4048-1)*12,Paths!$O$374&lt;=C4048*12)),Paths!$N$374,0),"n.a."))</f>
        <v>0</v>
      </c>
      <c r="L4048" s="16">
        <f>IF(NOT(Paths!$C$374=1),0,IF(Paths!$P$374="Complete",IF(C4048=10,Paths!$I$374,0),"n.a."))</f>
        <v>0</v>
      </c>
      <c r="M4048" s="16">
        <f>IF(NOT(Paths!$C$374=1),0,IF(Paths!$P$374="Complete",IF(AND(Paths!$D$374="EV",Paths!$E$374&lt;120,Paths!$E$374+'Operating costs'!$B$65&gt;Paths!$E$374,Paths!$E$374+'Operating costs'!$B$65&lt;=120,IF(Paths!$E$374+'Operating costs'!$B$65=0,C4048=0,AND(C4048&gt;0,Paths!$E$374+'Operating costs'!$B$65&gt;(C4048-1)*12,Paths!$E$374+'Operating costs'!$B$65&lt;=C4048*12))),'Operating costs'!$B$64,0)+IF(AND('Operating costs'!$B$67&gt;0,'Operating costs'!$B$67&lt;=120,OR(Paths!$D$374="ICE",'Operating costs'!$B$67&lt;=Paths!$E$374),IF('Operating costs'!$B$67=0,C4048=0,AND(C4048&gt;0,'Operating costs'!$B$67&gt;(C4048-1)*12,'Operating costs'!$B$67&lt;=C4048*12))),'Operating costs'!$B$66,0),"n.a."))</f>
        <v>0</v>
      </c>
      <c r="N4048" s="16">
        <f>IF(NOT(Paths!$C$374=1),0,IF(Paths!$P$374="Complete",SUM(G4048:I4048)-J4048-K4048-L4048+M4048+IF(C4048=0,Paths!$F$374,0)+IF(IF(Paths!$E$374=0,C4048=0,AND(C4048&gt;0,Paths!$E$374&gt;(C4048-1)*12,Paths!$E$374&lt;=C4048*12)),VLOOKUP(A4048,'Fleet register'!$A$7:$S$106,16,FALSE),0),"n.a."))</f>
        <v>0</v>
      </c>
      <c r="O4048" s="16">
        <f>IF(NOT(Paths!$C$374=1),0,IF(Paths!$P$374="Complete",N4048-IF(C4048=0,Paths!$F$374,0),"n.a."))</f>
        <v>0</v>
      </c>
      <c r="P4048" s="16">
        <f>IF(NOT(Paths!$C$374=1),0,IF(Paths!$P$374="Complete",O4048+L4048,"n.a."))</f>
        <v>0</v>
      </c>
      <c r="Q4048" s="16">
        <f>IF(NOT(Paths!$C$374=1),0,IF(Paths!$P$374="Complete",N4048*(1+'Operating costs'!$B$54)^-C4048,"n.a."))</f>
        <v>0</v>
      </c>
      <c r="R4048" s="16">
        <f>IF(NOT(Paths!$C$374=1),0,IF(Paths!$P$374="Complete",IF(AND(C4048=0,Paths!$E$374=0),I4048-J4048-K4048+VLOOKUP(A4048,'Fleet register'!$A$7:$S$106,15,FALSE)+VLOOKUP(A4048,'Fleet register'!$A$7:$S$106,16,FALSE),0),"n.a."))</f>
        <v>0</v>
      </c>
      <c r="S4048" s="1">
        <f>IF(NOT(Paths!$C$374=1),0,IF(Paths!$P$374="Complete",IF(C4048=0,0,Paths!$S$374*Paths!$R$374),"n.a."))</f>
        <v>0</v>
      </c>
      <c r="T4048" s="1">
        <f>IF(NOT(Paths!$C$374=1),0,IF(Paths!$P$374="Complete",IF(C4048=0,0,VLOOKUP(A4048,'Fleet register'!$A$7:$S$106,9,FALSE)*Paths!$R$374),"n.a."))</f>
        <v>0</v>
      </c>
    </row>
    <row r="4049" spans="1:20" ht="24" customHeight="1">
      <c r="A4049" s="1" t="str">
        <f>Paths!$A$374</f>
        <v>T092</v>
      </c>
      <c r="B4049" s="1">
        <f>Paths!$B$374</f>
        <v>3</v>
      </c>
      <c r="C4049" s="1">
        <v>5</v>
      </c>
      <c r="D4049" s="1">
        <v>374</v>
      </c>
      <c r="E4049" s="1">
        <f>IF(OR(Paths!$C$374=0,C4049=0),0,MAX(0,MIN(C4049*12,Paths!$E$374)-(C4049-1)*12))</f>
        <v>0</v>
      </c>
      <c r="F4049" s="1">
        <f>IF(OR(Paths!$C$374=0,C4049=0),0,12-E4049)</f>
        <v>0</v>
      </c>
      <c r="G4049" s="16">
        <f>IF(NOT(Paths!$C$374=1),0,IF(Paths!$P$374="Complete",E4049/12*(Paths!$J$374*(1+'Operating costs'!$B$51)^MAX(0,C4049-1)+Paths!$K$374*(1+'Operating costs'!$B$53)^MAX(0,C4049-1)),"n.a."))</f>
        <v>0</v>
      </c>
      <c r="H4049" s="16">
        <f>IF(NOT(Paths!$C$374=1),0,IF(Paths!$P$374="Complete",F4049/12*(Paths!$L$374*(1+IF(Paths!$D$374="EV",'Operating costs'!$B$52,'Operating costs'!$B$51))^MAX(0,C4049-1)+Paths!$M$374*(1+'Operating costs'!$B$53)^MAX(0,C4049-1)),"n.a."))</f>
        <v>0</v>
      </c>
      <c r="I4049" s="16">
        <f>IF(NOT(Paths!$C$374=1),0,IF(Paths!$P$374="Complete",IF(IF(Paths!$E$374=0,C4049=0,AND(C4049&gt;0,Paths!$E$374&gt;(C4049-1)*12,Paths!$E$374&lt;=C4049*12)),Paths!$G$374,0),"n.a."))</f>
        <v>0</v>
      </c>
      <c r="J4049" s="16">
        <f>IF(NOT(Paths!$C$374=1),0,IF(Paths!$P$374="Complete",IF(IF(Paths!$E$374=0,C4049=0,AND(C4049&gt;0,Paths!$E$374&gt;(C4049-1)*12,Paths!$E$374&lt;=C4049*12)),Paths!$H$374,0),"n.a."))</f>
        <v>0</v>
      </c>
      <c r="K4049" s="16">
        <f>IF(NOT(Paths!$C$374=1),0,IF(Paths!$P$374="Complete",IF(IF(Paths!$O$374=0,C4049=0,AND(C4049&gt;0,Paths!$O$374&gt;(C4049-1)*12,Paths!$O$374&lt;=C4049*12)),Paths!$N$374,0),"n.a."))</f>
        <v>0</v>
      </c>
      <c r="L4049" s="16">
        <f>IF(NOT(Paths!$C$374=1),0,IF(Paths!$P$374="Complete",IF(C4049=10,Paths!$I$374,0),"n.a."))</f>
        <v>0</v>
      </c>
      <c r="M4049" s="16">
        <f>IF(NOT(Paths!$C$374=1),0,IF(Paths!$P$374="Complete",IF(AND(Paths!$D$374="EV",Paths!$E$374&lt;120,Paths!$E$374+'Operating costs'!$B$65&gt;Paths!$E$374,Paths!$E$374+'Operating costs'!$B$65&lt;=120,IF(Paths!$E$374+'Operating costs'!$B$65=0,C4049=0,AND(C4049&gt;0,Paths!$E$374+'Operating costs'!$B$65&gt;(C4049-1)*12,Paths!$E$374+'Operating costs'!$B$65&lt;=C4049*12))),'Operating costs'!$B$64,0)+IF(AND('Operating costs'!$B$67&gt;0,'Operating costs'!$B$67&lt;=120,OR(Paths!$D$374="ICE",'Operating costs'!$B$67&lt;=Paths!$E$374),IF('Operating costs'!$B$67=0,C4049=0,AND(C4049&gt;0,'Operating costs'!$B$67&gt;(C4049-1)*12,'Operating costs'!$B$67&lt;=C4049*12))),'Operating costs'!$B$66,0),"n.a."))</f>
        <v>0</v>
      </c>
      <c r="N4049" s="16">
        <f>IF(NOT(Paths!$C$374=1),0,IF(Paths!$P$374="Complete",SUM(G4049:I4049)-J4049-K4049-L4049+M4049+IF(C4049=0,Paths!$F$374,0)+IF(IF(Paths!$E$374=0,C4049=0,AND(C4049&gt;0,Paths!$E$374&gt;(C4049-1)*12,Paths!$E$374&lt;=C4049*12)),VLOOKUP(A4049,'Fleet register'!$A$7:$S$106,16,FALSE),0),"n.a."))</f>
        <v>0</v>
      </c>
      <c r="O4049" s="16">
        <f>IF(NOT(Paths!$C$374=1),0,IF(Paths!$P$374="Complete",N4049-IF(C4049=0,Paths!$F$374,0),"n.a."))</f>
        <v>0</v>
      </c>
      <c r="P4049" s="16">
        <f>IF(NOT(Paths!$C$374=1),0,IF(Paths!$P$374="Complete",O4049+L4049,"n.a."))</f>
        <v>0</v>
      </c>
      <c r="Q4049" s="16">
        <f>IF(NOT(Paths!$C$374=1),0,IF(Paths!$P$374="Complete",N4049*(1+'Operating costs'!$B$54)^-C4049,"n.a."))</f>
        <v>0</v>
      </c>
      <c r="R4049" s="16">
        <f>IF(NOT(Paths!$C$374=1),0,IF(Paths!$P$374="Complete",IF(AND(C4049=0,Paths!$E$374=0),I4049-J4049-K4049+VLOOKUP(A4049,'Fleet register'!$A$7:$S$106,15,FALSE)+VLOOKUP(A4049,'Fleet register'!$A$7:$S$106,16,FALSE),0),"n.a."))</f>
        <v>0</v>
      </c>
      <c r="S4049" s="1">
        <f>IF(NOT(Paths!$C$374=1),0,IF(Paths!$P$374="Complete",IF(C4049=0,0,Paths!$S$374*Paths!$R$374),"n.a."))</f>
        <v>0</v>
      </c>
      <c r="T4049" s="1">
        <f>IF(NOT(Paths!$C$374=1),0,IF(Paths!$P$374="Complete",IF(C4049=0,0,VLOOKUP(A4049,'Fleet register'!$A$7:$S$106,9,FALSE)*Paths!$R$374),"n.a."))</f>
        <v>0</v>
      </c>
    </row>
    <row r="4050" spans="1:20" ht="24" customHeight="1">
      <c r="A4050" s="1" t="str">
        <f>Paths!$A$374</f>
        <v>T092</v>
      </c>
      <c r="B4050" s="1">
        <f>Paths!$B$374</f>
        <v>3</v>
      </c>
      <c r="C4050" s="1">
        <v>6</v>
      </c>
      <c r="D4050" s="1">
        <v>374</v>
      </c>
      <c r="E4050" s="1">
        <f>IF(OR(Paths!$C$374=0,C4050=0),0,MAX(0,MIN(C4050*12,Paths!$E$374)-(C4050-1)*12))</f>
        <v>0</v>
      </c>
      <c r="F4050" s="1">
        <f>IF(OR(Paths!$C$374=0,C4050=0),0,12-E4050)</f>
        <v>0</v>
      </c>
      <c r="G4050" s="16">
        <f>IF(NOT(Paths!$C$374=1),0,IF(Paths!$P$374="Complete",E4050/12*(Paths!$J$374*(1+'Operating costs'!$B$51)^MAX(0,C4050-1)+Paths!$K$374*(1+'Operating costs'!$B$53)^MAX(0,C4050-1)),"n.a."))</f>
        <v>0</v>
      </c>
      <c r="H4050" s="16">
        <f>IF(NOT(Paths!$C$374=1),0,IF(Paths!$P$374="Complete",F4050/12*(Paths!$L$374*(1+IF(Paths!$D$374="EV",'Operating costs'!$B$52,'Operating costs'!$B$51))^MAX(0,C4050-1)+Paths!$M$374*(1+'Operating costs'!$B$53)^MAX(0,C4050-1)),"n.a."))</f>
        <v>0</v>
      </c>
      <c r="I4050" s="16">
        <f>IF(NOT(Paths!$C$374=1),0,IF(Paths!$P$374="Complete",IF(IF(Paths!$E$374=0,C4050=0,AND(C4050&gt;0,Paths!$E$374&gt;(C4050-1)*12,Paths!$E$374&lt;=C4050*12)),Paths!$G$374,0),"n.a."))</f>
        <v>0</v>
      </c>
      <c r="J4050" s="16">
        <f>IF(NOT(Paths!$C$374=1),0,IF(Paths!$P$374="Complete",IF(IF(Paths!$E$374=0,C4050=0,AND(C4050&gt;0,Paths!$E$374&gt;(C4050-1)*12,Paths!$E$374&lt;=C4050*12)),Paths!$H$374,0),"n.a."))</f>
        <v>0</v>
      </c>
      <c r="K4050" s="16">
        <f>IF(NOT(Paths!$C$374=1),0,IF(Paths!$P$374="Complete",IF(IF(Paths!$O$374=0,C4050=0,AND(C4050&gt;0,Paths!$O$374&gt;(C4050-1)*12,Paths!$O$374&lt;=C4050*12)),Paths!$N$374,0),"n.a."))</f>
        <v>0</v>
      </c>
      <c r="L4050" s="16">
        <f>IF(NOT(Paths!$C$374=1),0,IF(Paths!$P$374="Complete",IF(C4050=10,Paths!$I$374,0),"n.a."))</f>
        <v>0</v>
      </c>
      <c r="M4050" s="16">
        <f>IF(NOT(Paths!$C$374=1),0,IF(Paths!$P$374="Complete",IF(AND(Paths!$D$374="EV",Paths!$E$374&lt;120,Paths!$E$374+'Operating costs'!$B$65&gt;Paths!$E$374,Paths!$E$374+'Operating costs'!$B$65&lt;=120,IF(Paths!$E$374+'Operating costs'!$B$65=0,C4050=0,AND(C4050&gt;0,Paths!$E$374+'Operating costs'!$B$65&gt;(C4050-1)*12,Paths!$E$374+'Operating costs'!$B$65&lt;=C4050*12))),'Operating costs'!$B$64,0)+IF(AND('Operating costs'!$B$67&gt;0,'Operating costs'!$B$67&lt;=120,OR(Paths!$D$374="ICE",'Operating costs'!$B$67&lt;=Paths!$E$374),IF('Operating costs'!$B$67=0,C4050=0,AND(C4050&gt;0,'Operating costs'!$B$67&gt;(C4050-1)*12,'Operating costs'!$B$67&lt;=C4050*12))),'Operating costs'!$B$66,0),"n.a."))</f>
        <v>0</v>
      </c>
      <c r="N4050" s="16">
        <f>IF(NOT(Paths!$C$374=1),0,IF(Paths!$P$374="Complete",SUM(G4050:I4050)-J4050-K4050-L4050+M4050+IF(C4050=0,Paths!$F$374,0)+IF(IF(Paths!$E$374=0,C4050=0,AND(C4050&gt;0,Paths!$E$374&gt;(C4050-1)*12,Paths!$E$374&lt;=C4050*12)),VLOOKUP(A4050,'Fleet register'!$A$7:$S$106,16,FALSE),0),"n.a."))</f>
        <v>0</v>
      </c>
      <c r="O4050" s="16">
        <f>IF(NOT(Paths!$C$374=1),0,IF(Paths!$P$374="Complete",N4050-IF(C4050=0,Paths!$F$374,0),"n.a."))</f>
        <v>0</v>
      </c>
      <c r="P4050" s="16">
        <f>IF(NOT(Paths!$C$374=1),0,IF(Paths!$P$374="Complete",O4050+L4050,"n.a."))</f>
        <v>0</v>
      </c>
      <c r="Q4050" s="16">
        <f>IF(NOT(Paths!$C$374=1),0,IF(Paths!$P$374="Complete",N4050*(1+'Operating costs'!$B$54)^-C4050,"n.a."))</f>
        <v>0</v>
      </c>
      <c r="R4050" s="16">
        <f>IF(NOT(Paths!$C$374=1),0,IF(Paths!$P$374="Complete",IF(AND(C4050=0,Paths!$E$374=0),I4050-J4050-K4050+VLOOKUP(A4050,'Fleet register'!$A$7:$S$106,15,FALSE)+VLOOKUP(A4050,'Fleet register'!$A$7:$S$106,16,FALSE),0),"n.a."))</f>
        <v>0</v>
      </c>
      <c r="S4050" s="1">
        <f>IF(NOT(Paths!$C$374=1),0,IF(Paths!$P$374="Complete",IF(C4050=0,0,Paths!$S$374*Paths!$R$374),"n.a."))</f>
        <v>0</v>
      </c>
      <c r="T4050" s="1">
        <f>IF(NOT(Paths!$C$374=1),0,IF(Paths!$P$374="Complete",IF(C4050=0,0,VLOOKUP(A4050,'Fleet register'!$A$7:$S$106,9,FALSE)*Paths!$R$374),"n.a."))</f>
        <v>0</v>
      </c>
    </row>
    <row r="4051" spans="1:20" ht="24" customHeight="1">
      <c r="A4051" s="1" t="str">
        <f>Paths!$A$374</f>
        <v>T092</v>
      </c>
      <c r="B4051" s="1">
        <f>Paths!$B$374</f>
        <v>3</v>
      </c>
      <c r="C4051" s="1">
        <v>7</v>
      </c>
      <c r="D4051" s="1">
        <v>374</v>
      </c>
      <c r="E4051" s="1">
        <f>IF(OR(Paths!$C$374=0,C4051=0),0,MAX(0,MIN(C4051*12,Paths!$E$374)-(C4051-1)*12))</f>
        <v>0</v>
      </c>
      <c r="F4051" s="1">
        <f>IF(OR(Paths!$C$374=0,C4051=0),0,12-E4051)</f>
        <v>0</v>
      </c>
      <c r="G4051" s="16">
        <f>IF(NOT(Paths!$C$374=1),0,IF(Paths!$P$374="Complete",E4051/12*(Paths!$J$374*(1+'Operating costs'!$B$51)^MAX(0,C4051-1)+Paths!$K$374*(1+'Operating costs'!$B$53)^MAX(0,C4051-1)),"n.a."))</f>
        <v>0</v>
      </c>
      <c r="H4051" s="16">
        <f>IF(NOT(Paths!$C$374=1),0,IF(Paths!$P$374="Complete",F4051/12*(Paths!$L$374*(1+IF(Paths!$D$374="EV",'Operating costs'!$B$52,'Operating costs'!$B$51))^MAX(0,C4051-1)+Paths!$M$374*(1+'Operating costs'!$B$53)^MAX(0,C4051-1)),"n.a."))</f>
        <v>0</v>
      </c>
      <c r="I4051" s="16">
        <f>IF(NOT(Paths!$C$374=1),0,IF(Paths!$P$374="Complete",IF(IF(Paths!$E$374=0,C4051=0,AND(C4051&gt;0,Paths!$E$374&gt;(C4051-1)*12,Paths!$E$374&lt;=C4051*12)),Paths!$G$374,0),"n.a."))</f>
        <v>0</v>
      </c>
      <c r="J4051" s="16">
        <f>IF(NOT(Paths!$C$374=1),0,IF(Paths!$P$374="Complete",IF(IF(Paths!$E$374=0,C4051=0,AND(C4051&gt;0,Paths!$E$374&gt;(C4051-1)*12,Paths!$E$374&lt;=C4051*12)),Paths!$H$374,0),"n.a."))</f>
        <v>0</v>
      </c>
      <c r="K4051" s="16">
        <f>IF(NOT(Paths!$C$374=1),0,IF(Paths!$P$374="Complete",IF(IF(Paths!$O$374=0,C4051=0,AND(C4051&gt;0,Paths!$O$374&gt;(C4051-1)*12,Paths!$O$374&lt;=C4051*12)),Paths!$N$374,0),"n.a."))</f>
        <v>0</v>
      </c>
      <c r="L4051" s="16">
        <f>IF(NOT(Paths!$C$374=1),0,IF(Paths!$P$374="Complete",IF(C4051=10,Paths!$I$374,0),"n.a."))</f>
        <v>0</v>
      </c>
      <c r="M4051" s="16">
        <f>IF(NOT(Paths!$C$374=1),0,IF(Paths!$P$374="Complete",IF(AND(Paths!$D$374="EV",Paths!$E$374&lt;120,Paths!$E$374+'Operating costs'!$B$65&gt;Paths!$E$374,Paths!$E$374+'Operating costs'!$B$65&lt;=120,IF(Paths!$E$374+'Operating costs'!$B$65=0,C4051=0,AND(C4051&gt;0,Paths!$E$374+'Operating costs'!$B$65&gt;(C4051-1)*12,Paths!$E$374+'Operating costs'!$B$65&lt;=C4051*12))),'Operating costs'!$B$64,0)+IF(AND('Operating costs'!$B$67&gt;0,'Operating costs'!$B$67&lt;=120,OR(Paths!$D$374="ICE",'Operating costs'!$B$67&lt;=Paths!$E$374),IF('Operating costs'!$B$67=0,C4051=0,AND(C4051&gt;0,'Operating costs'!$B$67&gt;(C4051-1)*12,'Operating costs'!$B$67&lt;=C4051*12))),'Operating costs'!$B$66,0),"n.a."))</f>
        <v>0</v>
      </c>
      <c r="N4051" s="16">
        <f>IF(NOT(Paths!$C$374=1),0,IF(Paths!$P$374="Complete",SUM(G4051:I4051)-J4051-K4051-L4051+M4051+IF(C4051=0,Paths!$F$374,0)+IF(IF(Paths!$E$374=0,C4051=0,AND(C4051&gt;0,Paths!$E$374&gt;(C4051-1)*12,Paths!$E$374&lt;=C4051*12)),VLOOKUP(A4051,'Fleet register'!$A$7:$S$106,16,FALSE),0),"n.a."))</f>
        <v>0</v>
      </c>
      <c r="O4051" s="16">
        <f>IF(NOT(Paths!$C$374=1),0,IF(Paths!$P$374="Complete",N4051-IF(C4051=0,Paths!$F$374,0),"n.a."))</f>
        <v>0</v>
      </c>
      <c r="P4051" s="16">
        <f>IF(NOT(Paths!$C$374=1),0,IF(Paths!$P$374="Complete",O4051+L4051,"n.a."))</f>
        <v>0</v>
      </c>
      <c r="Q4051" s="16">
        <f>IF(NOT(Paths!$C$374=1),0,IF(Paths!$P$374="Complete",N4051*(1+'Operating costs'!$B$54)^-C4051,"n.a."))</f>
        <v>0</v>
      </c>
      <c r="R4051" s="16">
        <f>IF(NOT(Paths!$C$374=1),0,IF(Paths!$P$374="Complete",IF(AND(C4051=0,Paths!$E$374=0),I4051-J4051-K4051+VLOOKUP(A4051,'Fleet register'!$A$7:$S$106,15,FALSE)+VLOOKUP(A4051,'Fleet register'!$A$7:$S$106,16,FALSE),0),"n.a."))</f>
        <v>0</v>
      </c>
      <c r="S4051" s="1">
        <f>IF(NOT(Paths!$C$374=1),0,IF(Paths!$P$374="Complete",IF(C4051=0,0,Paths!$S$374*Paths!$R$374),"n.a."))</f>
        <v>0</v>
      </c>
      <c r="T4051" s="1">
        <f>IF(NOT(Paths!$C$374=1),0,IF(Paths!$P$374="Complete",IF(C4051=0,0,VLOOKUP(A4051,'Fleet register'!$A$7:$S$106,9,FALSE)*Paths!$R$374),"n.a."))</f>
        <v>0</v>
      </c>
    </row>
    <row r="4052" spans="1:20" ht="24" customHeight="1">
      <c r="A4052" s="1" t="str">
        <f>Paths!$A$374</f>
        <v>T092</v>
      </c>
      <c r="B4052" s="1">
        <f>Paths!$B$374</f>
        <v>3</v>
      </c>
      <c r="C4052" s="1">
        <v>8</v>
      </c>
      <c r="D4052" s="1">
        <v>374</v>
      </c>
      <c r="E4052" s="1">
        <f>IF(OR(Paths!$C$374=0,C4052=0),0,MAX(0,MIN(C4052*12,Paths!$E$374)-(C4052-1)*12))</f>
        <v>0</v>
      </c>
      <c r="F4052" s="1">
        <f>IF(OR(Paths!$C$374=0,C4052=0),0,12-E4052)</f>
        <v>0</v>
      </c>
      <c r="G4052" s="16">
        <f>IF(NOT(Paths!$C$374=1),0,IF(Paths!$P$374="Complete",E4052/12*(Paths!$J$374*(1+'Operating costs'!$B$51)^MAX(0,C4052-1)+Paths!$K$374*(1+'Operating costs'!$B$53)^MAX(0,C4052-1)),"n.a."))</f>
        <v>0</v>
      </c>
      <c r="H4052" s="16">
        <f>IF(NOT(Paths!$C$374=1),0,IF(Paths!$P$374="Complete",F4052/12*(Paths!$L$374*(1+IF(Paths!$D$374="EV",'Operating costs'!$B$52,'Operating costs'!$B$51))^MAX(0,C4052-1)+Paths!$M$374*(1+'Operating costs'!$B$53)^MAX(0,C4052-1)),"n.a."))</f>
        <v>0</v>
      </c>
      <c r="I4052" s="16">
        <f>IF(NOT(Paths!$C$374=1),0,IF(Paths!$P$374="Complete",IF(IF(Paths!$E$374=0,C4052=0,AND(C4052&gt;0,Paths!$E$374&gt;(C4052-1)*12,Paths!$E$374&lt;=C4052*12)),Paths!$G$374,0),"n.a."))</f>
        <v>0</v>
      </c>
      <c r="J4052" s="16">
        <f>IF(NOT(Paths!$C$374=1),0,IF(Paths!$P$374="Complete",IF(IF(Paths!$E$374=0,C4052=0,AND(C4052&gt;0,Paths!$E$374&gt;(C4052-1)*12,Paths!$E$374&lt;=C4052*12)),Paths!$H$374,0),"n.a."))</f>
        <v>0</v>
      </c>
      <c r="K4052" s="16">
        <f>IF(NOT(Paths!$C$374=1),0,IF(Paths!$P$374="Complete",IF(IF(Paths!$O$374=0,C4052=0,AND(C4052&gt;0,Paths!$O$374&gt;(C4052-1)*12,Paths!$O$374&lt;=C4052*12)),Paths!$N$374,0),"n.a."))</f>
        <v>0</v>
      </c>
      <c r="L4052" s="16">
        <f>IF(NOT(Paths!$C$374=1),0,IF(Paths!$P$374="Complete",IF(C4052=10,Paths!$I$374,0),"n.a."))</f>
        <v>0</v>
      </c>
      <c r="M4052" s="16">
        <f>IF(NOT(Paths!$C$374=1),0,IF(Paths!$P$374="Complete",IF(AND(Paths!$D$374="EV",Paths!$E$374&lt;120,Paths!$E$374+'Operating costs'!$B$65&gt;Paths!$E$374,Paths!$E$374+'Operating costs'!$B$65&lt;=120,IF(Paths!$E$374+'Operating costs'!$B$65=0,C4052=0,AND(C4052&gt;0,Paths!$E$374+'Operating costs'!$B$65&gt;(C4052-1)*12,Paths!$E$374+'Operating costs'!$B$65&lt;=C4052*12))),'Operating costs'!$B$64,0)+IF(AND('Operating costs'!$B$67&gt;0,'Operating costs'!$B$67&lt;=120,OR(Paths!$D$374="ICE",'Operating costs'!$B$67&lt;=Paths!$E$374),IF('Operating costs'!$B$67=0,C4052=0,AND(C4052&gt;0,'Operating costs'!$B$67&gt;(C4052-1)*12,'Operating costs'!$B$67&lt;=C4052*12))),'Operating costs'!$B$66,0),"n.a."))</f>
        <v>0</v>
      </c>
      <c r="N4052" s="16">
        <f>IF(NOT(Paths!$C$374=1),0,IF(Paths!$P$374="Complete",SUM(G4052:I4052)-J4052-K4052-L4052+M4052+IF(C4052=0,Paths!$F$374,0)+IF(IF(Paths!$E$374=0,C4052=0,AND(C4052&gt;0,Paths!$E$374&gt;(C4052-1)*12,Paths!$E$374&lt;=C4052*12)),VLOOKUP(A4052,'Fleet register'!$A$7:$S$106,16,FALSE),0),"n.a."))</f>
        <v>0</v>
      </c>
      <c r="O4052" s="16">
        <f>IF(NOT(Paths!$C$374=1),0,IF(Paths!$P$374="Complete",N4052-IF(C4052=0,Paths!$F$374,0),"n.a."))</f>
        <v>0</v>
      </c>
      <c r="P4052" s="16">
        <f>IF(NOT(Paths!$C$374=1),0,IF(Paths!$P$374="Complete",O4052+L4052,"n.a."))</f>
        <v>0</v>
      </c>
      <c r="Q4052" s="16">
        <f>IF(NOT(Paths!$C$374=1),0,IF(Paths!$P$374="Complete",N4052*(1+'Operating costs'!$B$54)^-C4052,"n.a."))</f>
        <v>0</v>
      </c>
      <c r="R4052" s="16">
        <f>IF(NOT(Paths!$C$374=1),0,IF(Paths!$P$374="Complete",IF(AND(C4052=0,Paths!$E$374=0),I4052-J4052-K4052+VLOOKUP(A4052,'Fleet register'!$A$7:$S$106,15,FALSE)+VLOOKUP(A4052,'Fleet register'!$A$7:$S$106,16,FALSE),0),"n.a."))</f>
        <v>0</v>
      </c>
      <c r="S4052" s="1">
        <f>IF(NOT(Paths!$C$374=1),0,IF(Paths!$P$374="Complete",IF(C4052=0,0,Paths!$S$374*Paths!$R$374),"n.a."))</f>
        <v>0</v>
      </c>
      <c r="T4052" s="1">
        <f>IF(NOT(Paths!$C$374=1),0,IF(Paths!$P$374="Complete",IF(C4052=0,0,VLOOKUP(A4052,'Fleet register'!$A$7:$S$106,9,FALSE)*Paths!$R$374),"n.a."))</f>
        <v>0</v>
      </c>
    </row>
    <row r="4053" spans="1:20" ht="24" customHeight="1">
      <c r="A4053" s="1" t="str">
        <f>Paths!$A$374</f>
        <v>T092</v>
      </c>
      <c r="B4053" s="1">
        <f>Paths!$B$374</f>
        <v>3</v>
      </c>
      <c r="C4053" s="1">
        <v>9</v>
      </c>
      <c r="D4053" s="1">
        <v>374</v>
      </c>
      <c r="E4053" s="1">
        <f>IF(OR(Paths!$C$374=0,C4053=0),0,MAX(0,MIN(C4053*12,Paths!$E$374)-(C4053-1)*12))</f>
        <v>0</v>
      </c>
      <c r="F4053" s="1">
        <f>IF(OR(Paths!$C$374=0,C4053=0),0,12-E4053)</f>
        <v>0</v>
      </c>
      <c r="G4053" s="16">
        <f>IF(NOT(Paths!$C$374=1),0,IF(Paths!$P$374="Complete",E4053/12*(Paths!$J$374*(1+'Operating costs'!$B$51)^MAX(0,C4053-1)+Paths!$K$374*(1+'Operating costs'!$B$53)^MAX(0,C4053-1)),"n.a."))</f>
        <v>0</v>
      </c>
      <c r="H4053" s="16">
        <f>IF(NOT(Paths!$C$374=1),0,IF(Paths!$P$374="Complete",F4053/12*(Paths!$L$374*(1+IF(Paths!$D$374="EV",'Operating costs'!$B$52,'Operating costs'!$B$51))^MAX(0,C4053-1)+Paths!$M$374*(1+'Operating costs'!$B$53)^MAX(0,C4053-1)),"n.a."))</f>
        <v>0</v>
      </c>
      <c r="I4053" s="16">
        <f>IF(NOT(Paths!$C$374=1),0,IF(Paths!$P$374="Complete",IF(IF(Paths!$E$374=0,C4053=0,AND(C4053&gt;0,Paths!$E$374&gt;(C4053-1)*12,Paths!$E$374&lt;=C4053*12)),Paths!$G$374,0),"n.a."))</f>
        <v>0</v>
      </c>
      <c r="J4053" s="16">
        <f>IF(NOT(Paths!$C$374=1),0,IF(Paths!$P$374="Complete",IF(IF(Paths!$E$374=0,C4053=0,AND(C4053&gt;0,Paths!$E$374&gt;(C4053-1)*12,Paths!$E$374&lt;=C4053*12)),Paths!$H$374,0),"n.a."))</f>
        <v>0</v>
      </c>
      <c r="K4053" s="16">
        <f>IF(NOT(Paths!$C$374=1),0,IF(Paths!$P$374="Complete",IF(IF(Paths!$O$374=0,C4053=0,AND(C4053&gt;0,Paths!$O$374&gt;(C4053-1)*12,Paths!$O$374&lt;=C4053*12)),Paths!$N$374,0),"n.a."))</f>
        <v>0</v>
      </c>
      <c r="L4053" s="16">
        <f>IF(NOT(Paths!$C$374=1),0,IF(Paths!$P$374="Complete",IF(C4053=10,Paths!$I$374,0),"n.a."))</f>
        <v>0</v>
      </c>
      <c r="M4053" s="16">
        <f>IF(NOT(Paths!$C$374=1),0,IF(Paths!$P$374="Complete",IF(AND(Paths!$D$374="EV",Paths!$E$374&lt;120,Paths!$E$374+'Operating costs'!$B$65&gt;Paths!$E$374,Paths!$E$374+'Operating costs'!$B$65&lt;=120,IF(Paths!$E$374+'Operating costs'!$B$65=0,C4053=0,AND(C4053&gt;0,Paths!$E$374+'Operating costs'!$B$65&gt;(C4053-1)*12,Paths!$E$374+'Operating costs'!$B$65&lt;=C4053*12))),'Operating costs'!$B$64,0)+IF(AND('Operating costs'!$B$67&gt;0,'Operating costs'!$B$67&lt;=120,OR(Paths!$D$374="ICE",'Operating costs'!$B$67&lt;=Paths!$E$374),IF('Operating costs'!$B$67=0,C4053=0,AND(C4053&gt;0,'Operating costs'!$B$67&gt;(C4053-1)*12,'Operating costs'!$B$67&lt;=C4053*12))),'Operating costs'!$B$66,0),"n.a."))</f>
        <v>0</v>
      </c>
      <c r="N4053" s="16">
        <f>IF(NOT(Paths!$C$374=1),0,IF(Paths!$P$374="Complete",SUM(G4053:I4053)-J4053-K4053-L4053+M4053+IF(C4053=0,Paths!$F$374,0)+IF(IF(Paths!$E$374=0,C4053=0,AND(C4053&gt;0,Paths!$E$374&gt;(C4053-1)*12,Paths!$E$374&lt;=C4053*12)),VLOOKUP(A4053,'Fleet register'!$A$7:$S$106,16,FALSE),0),"n.a."))</f>
        <v>0</v>
      </c>
      <c r="O4053" s="16">
        <f>IF(NOT(Paths!$C$374=1),0,IF(Paths!$P$374="Complete",N4053-IF(C4053=0,Paths!$F$374,0),"n.a."))</f>
        <v>0</v>
      </c>
      <c r="P4053" s="16">
        <f>IF(NOT(Paths!$C$374=1),0,IF(Paths!$P$374="Complete",O4053+L4053,"n.a."))</f>
        <v>0</v>
      </c>
      <c r="Q4053" s="16">
        <f>IF(NOT(Paths!$C$374=1),0,IF(Paths!$P$374="Complete",N4053*(1+'Operating costs'!$B$54)^-C4053,"n.a."))</f>
        <v>0</v>
      </c>
      <c r="R4053" s="16">
        <f>IF(NOT(Paths!$C$374=1),0,IF(Paths!$P$374="Complete",IF(AND(C4053=0,Paths!$E$374=0),I4053-J4053-K4053+VLOOKUP(A4053,'Fleet register'!$A$7:$S$106,15,FALSE)+VLOOKUP(A4053,'Fleet register'!$A$7:$S$106,16,FALSE),0),"n.a."))</f>
        <v>0</v>
      </c>
      <c r="S4053" s="1">
        <f>IF(NOT(Paths!$C$374=1),0,IF(Paths!$P$374="Complete",IF(C4053=0,0,Paths!$S$374*Paths!$R$374),"n.a."))</f>
        <v>0</v>
      </c>
      <c r="T4053" s="1">
        <f>IF(NOT(Paths!$C$374=1),0,IF(Paths!$P$374="Complete",IF(C4053=0,0,VLOOKUP(A4053,'Fleet register'!$A$7:$S$106,9,FALSE)*Paths!$R$374),"n.a."))</f>
        <v>0</v>
      </c>
    </row>
    <row r="4054" spans="1:20" ht="24" customHeight="1">
      <c r="A4054" s="1" t="str">
        <f>Paths!$A$374</f>
        <v>T092</v>
      </c>
      <c r="B4054" s="1">
        <f>Paths!$B$374</f>
        <v>3</v>
      </c>
      <c r="C4054" s="1">
        <v>10</v>
      </c>
      <c r="D4054" s="1">
        <v>374</v>
      </c>
      <c r="E4054" s="1">
        <f>IF(OR(Paths!$C$374=0,C4054=0),0,MAX(0,MIN(C4054*12,Paths!$E$374)-(C4054-1)*12))</f>
        <v>0</v>
      </c>
      <c r="F4054" s="1">
        <f>IF(OR(Paths!$C$374=0,C4054=0),0,12-E4054)</f>
        <v>0</v>
      </c>
      <c r="G4054" s="16">
        <f>IF(NOT(Paths!$C$374=1),0,IF(Paths!$P$374="Complete",E4054/12*(Paths!$J$374*(1+'Operating costs'!$B$51)^MAX(0,C4054-1)+Paths!$K$374*(1+'Operating costs'!$B$53)^MAX(0,C4054-1)),"n.a."))</f>
        <v>0</v>
      </c>
      <c r="H4054" s="16">
        <f>IF(NOT(Paths!$C$374=1),0,IF(Paths!$P$374="Complete",F4054/12*(Paths!$L$374*(1+IF(Paths!$D$374="EV",'Operating costs'!$B$52,'Operating costs'!$B$51))^MAX(0,C4054-1)+Paths!$M$374*(1+'Operating costs'!$B$53)^MAX(0,C4054-1)),"n.a."))</f>
        <v>0</v>
      </c>
      <c r="I4054" s="16">
        <f>IF(NOT(Paths!$C$374=1),0,IF(Paths!$P$374="Complete",IF(IF(Paths!$E$374=0,C4054=0,AND(C4054&gt;0,Paths!$E$374&gt;(C4054-1)*12,Paths!$E$374&lt;=C4054*12)),Paths!$G$374,0),"n.a."))</f>
        <v>0</v>
      </c>
      <c r="J4054" s="16">
        <f>IF(NOT(Paths!$C$374=1),0,IF(Paths!$P$374="Complete",IF(IF(Paths!$E$374=0,C4054=0,AND(C4054&gt;0,Paths!$E$374&gt;(C4054-1)*12,Paths!$E$374&lt;=C4054*12)),Paths!$H$374,0),"n.a."))</f>
        <v>0</v>
      </c>
      <c r="K4054" s="16">
        <f>IF(NOT(Paths!$C$374=1),0,IF(Paths!$P$374="Complete",IF(IF(Paths!$O$374=0,C4054=0,AND(C4054&gt;0,Paths!$O$374&gt;(C4054-1)*12,Paths!$O$374&lt;=C4054*12)),Paths!$N$374,0),"n.a."))</f>
        <v>0</v>
      </c>
      <c r="L4054" s="16">
        <f>IF(NOT(Paths!$C$374=1),0,IF(Paths!$P$374="Complete",IF(C4054=10,Paths!$I$374,0),"n.a."))</f>
        <v>0</v>
      </c>
      <c r="M4054" s="16">
        <f>IF(NOT(Paths!$C$374=1),0,IF(Paths!$P$374="Complete",IF(AND(Paths!$D$374="EV",Paths!$E$374&lt;120,Paths!$E$374+'Operating costs'!$B$65&gt;Paths!$E$374,Paths!$E$374+'Operating costs'!$B$65&lt;=120,IF(Paths!$E$374+'Operating costs'!$B$65=0,C4054=0,AND(C4054&gt;0,Paths!$E$374+'Operating costs'!$B$65&gt;(C4054-1)*12,Paths!$E$374+'Operating costs'!$B$65&lt;=C4054*12))),'Operating costs'!$B$64,0)+IF(AND('Operating costs'!$B$67&gt;0,'Operating costs'!$B$67&lt;=120,OR(Paths!$D$374="ICE",'Operating costs'!$B$67&lt;=Paths!$E$374),IF('Operating costs'!$B$67=0,C4054=0,AND(C4054&gt;0,'Operating costs'!$B$67&gt;(C4054-1)*12,'Operating costs'!$B$67&lt;=C4054*12))),'Operating costs'!$B$66,0),"n.a."))</f>
        <v>0</v>
      </c>
      <c r="N4054" s="16">
        <f>IF(NOT(Paths!$C$374=1),0,IF(Paths!$P$374="Complete",SUM(G4054:I4054)-J4054-K4054-L4054+M4054+IF(C4054=0,Paths!$F$374,0)+IF(IF(Paths!$E$374=0,C4054=0,AND(C4054&gt;0,Paths!$E$374&gt;(C4054-1)*12,Paths!$E$374&lt;=C4054*12)),VLOOKUP(A4054,'Fleet register'!$A$7:$S$106,16,FALSE),0),"n.a."))</f>
        <v>0</v>
      </c>
      <c r="O4054" s="16">
        <f>IF(NOT(Paths!$C$374=1),0,IF(Paths!$P$374="Complete",N4054-IF(C4054=0,Paths!$F$374,0),"n.a."))</f>
        <v>0</v>
      </c>
      <c r="P4054" s="16">
        <f>IF(NOT(Paths!$C$374=1),0,IF(Paths!$P$374="Complete",O4054+L4054,"n.a."))</f>
        <v>0</v>
      </c>
      <c r="Q4054" s="16">
        <f>IF(NOT(Paths!$C$374=1),0,IF(Paths!$P$374="Complete",N4054*(1+'Operating costs'!$B$54)^-C4054,"n.a."))</f>
        <v>0</v>
      </c>
      <c r="R4054" s="16">
        <f>IF(NOT(Paths!$C$374=1),0,IF(Paths!$P$374="Complete",IF(AND(C4054=0,Paths!$E$374=0),I4054-J4054-K4054+VLOOKUP(A4054,'Fleet register'!$A$7:$S$106,15,FALSE)+VLOOKUP(A4054,'Fleet register'!$A$7:$S$106,16,FALSE),0),"n.a."))</f>
        <v>0</v>
      </c>
      <c r="S4054" s="1">
        <f>IF(NOT(Paths!$C$374=1),0,IF(Paths!$P$374="Complete",IF(C4054=0,0,Paths!$S$374*Paths!$R$374),"n.a."))</f>
        <v>0</v>
      </c>
      <c r="T4054" s="1">
        <f>IF(NOT(Paths!$C$374=1),0,IF(Paths!$P$374="Complete",IF(C4054=0,0,VLOOKUP(A4054,'Fleet register'!$A$7:$S$106,9,FALSE)*Paths!$R$374),"n.a."))</f>
        <v>0</v>
      </c>
    </row>
    <row r="4055" spans="1:20" ht="24" customHeight="1">
      <c r="A4055" s="1" t="str">
        <f>Paths!$A$375</f>
        <v>T093</v>
      </c>
      <c r="B4055" s="1">
        <f>Paths!$B$375</f>
        <v>0</v>
      </c>
      <c r="C4055" s="1">
        <v>0</v>
      </c>
      <c r="D4055" s="1">
        <v>375</v>
      </c>
      <c r="E4055" s="1">
        <f>IF(OR(Paths!$C$375=0,C4055=0),0,MAX(0,MIN(C4055*12,Paths!$E$375)-(C4055-1)*12))</f>
        <v>0</v>
      </c>
      <c r="F4055" s="1">
        <f>IF(OR(Paths!$C$375=0,C4055=0),0,12-E4055)</f>
        <v>0</v>
      </c>
      <c r="G4055" s="16">
        <f>IF(NOT(Paths!$C$375=1),0,IF(Paths!$P$375="Complete",E4055/12*(Paths!$J$375*(1+'Operating costs'!$B$51)^MAX(0,C4055-1)+Paths!$K$375*(1+'Operating costs'!$B$53)^MAX(0,C4055-1)),"n.a."))</f>
        <v>0</v>
      </c>
      <c r="H4055" s="16">
        <f>IF(NOT(Paths!$C$375=1),0,IF(Paths!$P$375="Complete",F4055/12*(Paths!$L$375*(1+IF(Paths!$D$375="EV",'Operating costs'!$B$52,'Operating costs'!$B$51))^MAX(0,C4055-1)+Paths!$M$375*(1+'Operating costs'!$B$53)^MAX(0,C4055-1)),"n.a."))</f>
        <v>0</v>
      </c>
      <c r="I4055" s="16">
        <f>IF(NOT(Paths!$C$375=1),0,IF(Paths!$P$375="Complete",IF(IF(Paths!$E$375=0,C4055=0,AND(C4055&gt;0,Paths!$E$375&gt;(C4055-1)*12,Paths!$E$375&lt;=C4055*12)),Paths!$G$375,0),"n.a."))</f>
        <v>0</v>
      </c>
      <c r="J4055" s="16">
        <f>IF(NOT(Paths!$C$375=1),0,IF(Paths!$P$375="Complete",IF(IF(Paths!$E$375=0,C4055=0,AND(C4055&gt;0,Paths!$E$375&gt;(C4055-1)*12,Paths!$E$375&lt;=C4055*12)),Paths!$H$375,0),"n.a."))</f>
        <v>0</v>
      </c>
      <c r="K4055" s="16">
        <f>IF(NOT(Paths!$C$375=1),0,IF(Paths!$P$375="Complete",IF(IF(Paths!$O$375=0,C4055=0,AND(C4055&gt;0,Paths!$O$375&gt;(C4055-1)*12,Paths!$O$375&lt;=C4055*12)),Paths!$N$375,0),"n.a."))</f>
        <v>0</v>
      </c>
      <c r="L4055" s="16">
        <f>IF(NOT(Paths!$C$375=1),0,IF(Paths!$P$375="Complete",IF(C4055=10,Paths!$I$375,0),"n.a."))</f>
        <v>0</v>
      </c>
      <c r="M4055" s="16">
        <f>IF(NOT(Paths!$C$375=1),0,IF(Paths!$P$375="Complete",IF(AND(Paths!$D$375="EV",Paths!$E$375&lt;120,Paths!$E$375+'Operating costs'!$B$65&gt;Paths!$E$375,Paths!$E$375+'Operating costs'!$B$65&lt;=120,IF(Paths!$E$375+'Operating costs'!$B$65=0,C4055=0,AND(C4055&gt;0,Paths!$E$375+'Operating costs'!$B$65&gt;(C4055-1)*12,Paths!$E$375+'Operating costs'!$B$65&lt;=C4055*12))),'Operating costs'!$B$64,0)+IF(AND('Operating costs'!$B$67&gt;0,'Operating costs'!$B$67&lt;=120,OR(Paths!$D$375="ICE",'Operating costs'!$B$67&lt;=Paths!$E$375),IF('Operating costs'!$B$67=0,C4055=0,AND(C4055&gt;0,'Operating costs'!$B$67&gt;(C4055-1)*12,'Operating costs'!$B$67&lt;=C4055*12))),'Operating costs'!$B$66,0),"n.a."))</f>
        <v>0</v>
      </c>
      <c r="N4055" s="16">
        <f>IF(NOT(Paths!$C$375=1),0,IF(Paths!$P$375="Complete",SUM(G4055:I4055)-J4055-K4055-L4055+M4055+IF(C4055=0,Paths!$F$375,0)+IF(IF(Paths!$E$375=0,C4055=0,AND(C4055&gt;0,Paths!$E$375&gt;(C4055-1)*12,Paths!$E$375&lt;=C4055*12)),VLOOKUP(A4055,'Fleet register'!$A$7:$S$106,16,FALSE),0),"n.a."))</f>
        <v>0</v>
      </c>
      <c r="O4055" s="16">
        <f>IF(NOT(Paths!$C$375=1),0,IF(Paths!$P$375="Complete",N4055-IF(C4055=0,Paths!$F$375,0),"n.a."))</f>
        <v>0</v>
      </c>
      <c r="P4055" s="16">
        <f>IF(NOT(Paths!$C$375=1),0,IF(Paths!$P$375="Complete",O4055+L4055,"n.a."))</f>
        <v>0</v>
      </c>
      <c r="Q4055" s="16">
        <f>IF(NOT(Paths!$C$375=1),0,IF(Paths!$P$375="Complete",N4055*(1+'Operating costs'!$B$54)^-C4055,"n.a."))</f>
        <v>0</v>
      </c>
      <c r="R4055" s="16">
        <f>IF(NOT(Paths!$C$375=1),0,IF(Paths!$P$375="Complete",IF(AND(C4055=0,Paths!$E$375=0),I4055-J4055-K4055+VLOOKUP(A4055,'Fleet register'!$A$7:$S$106,15,FALSE)+VLOOKUP(A4055,'Fleet register'!$A$7:$S$106,16,FALSE),0),"n.a."))</f>
        <v>0</v>
      </c>
      <c r="S4055" s="1">
        <f>IF(NOT(Paths!$C$375=1),0,IF(Paths!$P$375="Complete",IF(C4055=0,0,Paths!$S$375*Paths!$R$375),"n.a."))</f>
        <v>0</v>
      </c>
      <c r="T4055" s="1">
        <f>IF(NOT(Paths!$C$375=1),0,IF(Paths!$P$375="Complete",IF(C4055=0,0,VLOOKUP(A4055,'Fleet register'!$A$7:$S$106,9,FALSE)*Paths!$R$375),"n.a."))</f>
        <v>0</v>
      </c>
    </row>
    <row r="4056" spans="1:20" ht="24" customHeight="1">
      <c r="A4056" s="1" t="str">
        <f>Paths!$A$375</f>
        <v>T093</v>
      </c>
      <c r="B4056" s="1">
        <f>Paths!$B$375</f>
        <v>0</v>
      </c>
      <c r="C4056" s="1">
        <v>1</v>
      </c>
      <c r="D4056" s="1">
        <v>375</v>
      </c>
      <c r="E4056" s="1">
        <f>IF(OR(Paths!$C$375=0,C4056=0),0,MAX(0,MIN(C4056*12,Paths!$E$375)-(C4056-1)*12))</f>
        <v>0</v>
      </c>
      <c r="F4056" s="1">
        <f>IF(OR(Paths!$C$375=0,C4056=0),0,12-E4056)</f>
        <v>0</v>
      </c>
      <c r="G4056" s="16">
        <f>IF(NOT(Paths!$C$375=1),0,IF(Paths!$P$375="Complete",E4056/12*(Paths!$J$375*(1+'Operating costs'!$B$51)^MAX(0,C4056-1)+Paths!$K$375*(1+'Operating costs'!$B$53)^MAX(0,C4056-1)),"n.a."))</f>
        <v>0</v>
      </c>
      <c r="H4056" s="16">
        <f>IF(NOT(Paths!$C$375=1),0,IF(Paths!$P$375="Complete",F4056/12*(Paths!$L$375*(1+IF(Paths!$D$375="EV",'Operating costs'!$B$52,'Operating costs'!$B$51))^MAX(0,C4056-1)+Paths!$M$375*(1+'Operating costs'!$B$53)^MAX(0,C4056-1)),"n.a."))</f>
        <v>0</v>
      </c>
      <c r="I4056" s="16">
        <f>IF(NOT(Paths!$C$375=1),0,IF(Paths!$P$375="Complete",IF(IF(Paths!$E$375=0,C4056=0,AND(C4056&gt;0,Paths!$E$375&gt;(C4056-1)*12,Paths!$E$375&lt;=C4056*12)),Paths!$G$375,0),"n.a."))</f>
        <v>0</v>
      </c>
      <c r="J4056" s="16">
        <f>IF(NOT(Paths!$C$375=1),0,IF(Paths!$P$375="Complete",IF(IF(Paths!$E$375=0,C4056=0,AND(C4056&gt;0,Paths!$E$375&gt;(C4056-1)*12,Paths!$E$375&lt;=C4056*12)),Paths!$H$375,0),"n.a."))</f>
        <v>0</v>
      </c>
      <c r="K4056" s="16">
        <f>IF(NOT(Paths!$C$375=1),0,IF(Paths!$P$375="Complete",IF(IF(Paths!$O$375=0,C4056=0,AND(C4056&gt;0,Paths!$O$375&gt;(C4056-1)*12,Paths!$O$375&lt;=C4056*12)),Paths!$N$375,0),"n.a."))</f>
        <v>0</v>
      </c>
      <c r="L4056" s="16">
        <f>IF(NOT(Paths!$C$375=1),0,IF(Paths!$P$375="Complete",IF(C4056=10,Paths!$I$375,0),"n.a."))</f>
        <v>0</v>
      </c>
      <c r="M4056" s="16">
        <f>IF(NOT(Paths!$C$375=1),0,IF(Paths!$P$375="Complete",IF(AND(Paths!$D$375="EV",Paths!$E$375&lt;120,Paths!$E$375+'Operating costs'!$B$65&gt;Paths!$E$375,Paths!$E$375+'Operating costs'!$B$65&lt;=120,IF(Paths!$E$375+'Operating costs'!$B$65=0,C4056=0,AND(C4056&gt;0,Paths!$E$375+'Operating costs'!$B$65&gt;(C4056-1)*12,Paths!$E$375+'Operating costs'!$B$65&lt;=C4056*12))),'Operating costs'!$B$64,0)+IF(AND('Operating costs'!$B$67&gt;0,'Operating costs'!$B$67&lt;=120,OR(Paths!$D$375="ICE",'Operating costs'!$B$67&lt;=Paths!$E$375),IF('Operating costs'!$B$67=0,C4056=0,AND(C4056&gt;0,'Operating costs'!$B$67&gt;(C4056-1)*12,'Operating costs'!$B$67&lt;=C4056*12))),'Operating costs'!$B$66,0),"n.a."))</f>
        <v>0</v>
      </c>
      <c r="N4056" s="16">
        <f>IF(NOT(Paths!$C$375=1),0,IF(Paths!$P$375="Complete",SUM(G4056:I4056)-J4056-K4056-L4056+M4056+IF(C4056=0,Paths!$F$375,0)+IF(IF(Paths!$E$375=0,C4056=0,AND(C4056&gt;0,Paths!$E$375&gt;(C4056-1)*12,Paths!$E$375&lt;=C4056*12)),VLOOKUP(A4056,'Fleet register'!$A$7:$S$106,16,FALSE),0),"n.a."))</f>
        <v>0</v>
      </c>
      <c r="O4056" s="16">
        <f>IF(NOT(Paths!$C$375=1),0,IF(Paths!$P$375="Complete",N4056-IF(C4056=0,Paths!$F$375,0),"n.a."))</f>
        <v>0</v>
      </c>
      <c r="P4056" s="16">
        <f>IF(NOT(Paths!$C$375=1),0,IF(Paths!$P$375="Complete",O4056+L4056,"n.a."))</f>
        <v>0</v>
      </c>
      <c r="Q4056" s="16">
        <f>IF(NOT(Paths!$C$375=1),0,IF(Paths!$P$375="Complete",N4056*(1+'Operating costs'!$B$54)^-C4056,"n.a."))</f>
        <v>0</v>
      </c>
      <c r="R4056" s="16">
        <f>IF(NOT(Paths!$C$375=1),0,IF(Paths!$P$375="Complete",IF(AND(C4056=0,Paths!$E$375=0),I4056-J4056-K4056+VLOOKUP(A4056,'Fleet register'!$A$7:$S$106,15,FALSE)+VLOOKUP(A4056,'Fleet register'!$A$7:$S$106,16,FALSE),0),"n.a."))</f>
        <v>0</v>
      </c>
      <c r="S4056" s="1">
        <f>IF(NOT(Paths!$C$375=1),0,IF(Paths!$P$375="Complete",IF(C4056=0,0,Paths!$S$375*Paths!$R$375),"n.a."))</f>
        <v>0</v>
      </c>
      <c r="T4056" s="1">
        <f>IF(NOT(Paths!$C$375=1),0,IF(Paths!$P$375="Complete",IF(C4056=0,0,VLOOKUP(A4056,'Fleet register'!$A$7:$S$106,9,FALSE)*Paths!$R$375),"n.a."))</f>
        <v>0</v>
      </c>
    </row>
    <row r="4057" spans="1:20" ht="24" customHeight="1">
      <c r="A4057" s="1" t="str">
        <f>Paths!$A$375</f>
        <v>T093</v>
      </c>
      <c r="B4057" s="1">
        <f>Paths!$B$375</f>
        <v>0</v>
      </c>
      <c r="C4057" s="1">
        <v>2</v>
      </c>
      <c r="D4057" s="1">
        <v>375</v>
      </c>
      <c r="E4057" s="1">
        <f>IF(OR(Paths!$C$375=0,C4057=0),0,MAX(0,MIN(C4057*12,Paths!$E$375)-(C4057-1)*12))</f>
        <v>0</v>
      </c>
      <c r="F4057" s="1">
        <f>IF(OR(Paths!$C$375=0,C4057=0),0,12-E4057)</f>
        <v>0</v>
      </c>
      <c r="G4057" s="16">
        <f>IF(NOT(Paths!$C$375=1),0,IF(Paths!$P$375="Complete",E4057/12*(Paths!$J$375*(1+'Operating costs'!$B$51)^MAX(0,C4057-1)+Paths!$K$375*(1+'Operating costs'!$B$53)^MAX(0,C4057-1)),"n.a."))</f>
        <v>0</v>
      </c>
      <c r="H4057" s="16">
        <f>IF(NOT(Paths!$C$375=1),0,IF(Paths!$P$375="Complete",F4057/12*(Paths!$L$375*(1+IF(Paths!$D$375="EV",'Operating costs'!$B$52,'Operating costs'!$B$51))^MAX(0,C4057-1)+Paths!$M$375*(1+'Operating costs'!$B$53)^MAX(0,C4057-1)),"n.a."))</f>
        <v>0</v>
      </c>
      <c r="I4057" s="16">
        <f>IF(NOT(Paths!$C$375=1),0,IF(Paths!$P$375="Complete",IF(IF(Paths!$E$375=0,C4057=0,AND(C4057&gt;0,Paths!$E$375&gt;(C4057-1)*12,Paths!$E$375&lt;=C4057*12)),Paths!$G$375,0),"n.a."))</f>
        <v>0</v>
      </c>
      <c r="J4057" s="16">
        <f>IF(NOT(Paths!$C$375=1),0,IF(Paths!$P$375="Complete",IF(IF(Paths!$E$375=0,C4057=0,AND(C4057&gt;0,Paths!$E$375&gt;(C4057-1)*12,Paths!$E$375&lt;=C4057*12)),Paths!$H$375,0),"n.a."))</f>
        <v>0</v>
      </c>
      <c r="K4057" s="16">
        <f>IF(NOT(Paths!$C$375=1),0,IF(Paths!$P$375="Complete",IF(IF(Paths!$O$375=0,C4057=0,AND(C4057&gt;0,Paths!$O$375&gt;(C4057-1)*12,Paths!$O$375&lt;=C4057*12)),Paths!$N$375,0),"n.a."))</f>
        <v>0</v>
      </c>
      <c r="L4057" s="16">
        <f>IF(NOT(Paths!$C$375=1),0,IF(Paths!$P$375="Complete",IF(C4057=10,Paths!$I$375,0),"n.a."))</f>
        <v>0</v>
      </c>
      <c r="M4057" s="16">
        <f>IF(NOT(Paths!$C$375=1),0,IF(Paths!$P$375="Complete",IF(AND(Paths!$D$375="EV",Paths!$E$375&lt;120,Paths!$E$375+'Operating costs'!$B$65&gt;Paths!$E$375,Paths!$E$375+'Operating costs'!$B$65&lt;=120,IF(Paths!$E$375+'Operating costs'!$B$65=0,C4057=0,AND(C4057&gt;0,Paths!$E$375+'Operating costs'!$B$65&gt;(C4057-1)*12,Paths!$E$375+'Operating costs'!$B$65&lt;=C4057*12))),'Operating costs'!$B$64,0)+IF(AND('Operating costs'!$B$67&gt;0,'Operating costs'!$B$67&lt;=120,OR(Paths!$D$375="ICE",'Operating costs'!$B$67&lt;=Paths!$E$375),IF('Operating costs'!$B$67=0,C4057=0,AND(C4057&gt;0,'Operating costs'!$B$67&gt;(C4057-1)*12,'Operating costs'!$B$67&lt;=C4057*12))),'Operating costs'!$B$66,0),"n.a."))</f>
        <v>0</v>
      </c>
      <c r="N4057" s="16">
        <f>IF(NOT(Paths!$C$375=1),0,IF(Paths!$P$375="Complete",SUM(G4057:I4057)-J4057-K4057-L4057+M4057+IF(C4057=0,Paths!$F$375,0)+IF(IF(Paths!$E$375=0,C4057=0,AND(C4057&gt;0,Paths!$E$375&gt;(C4057-1)*12,Paths!$E$375&lt;=C4057*12)),VLOOKUP(A4057,'Fleet register'!$A$7:$S$106,16,FALSE),0),"n.a."))</f>
        <v>0</v>
      </c>
      <c r="O4057" s="16">
        <f>IF(NOT(Paths!$C$375=1),0,IF(Paths!$P$375="Complete",N4057-IF(C4057=0,Paths!$F$375,0),"n.a."))</f>
        <v>0</v>
      </c>
      <c r="P4057" s="16">
        <f>IF(NOT(Paths!$C$375=1),0,IF(Paths!$P$375="Complete",O4057+L4057,"n.a."))</f>
        <v>0</v>
      </c>
      <c r="Q4057" s="16">
        <f>IF(NOT(Paths!$C$375=1),0,IF(Paths!$P$375="Complete",N4057*(1+'Operating costs'!$B$54)^-C4057,"n.a."))</f>
        <v>0</v>
      </c>
      <c r="R4057" s="16">
        <f>IF(NOT(Paths!$C$375=1),0,IF(Paths!$P$375="Complete",IF(AND(C4057=0,Paths!$E$375=0),I4057-J4057-K4057+VLOOKUP(A4057,'Fleet register'!$A$7:$S$106,15,FALSE)+VLOOKUP(A4057,'Fleet register'!$A$7:$S$106,16,FALSE),0),"n.a."))</f>
        <v>0</v>
      </c>
      <c r="S4057" s="1">
        <f>IF(NOT(Paths!$C$375=1),0,IF(Paths!$P$375="Complete",IF(C4057=0,0,Paths!$S$375*Paths!$R$375),"n.a."))</f>
        <v>0</v>
      </c>
      <c r="T4057" s="1">
        <f>IF(NOT(Paths!$C$375=1),0,IF(Paths!$P$375="Complete",IF(C4057=0,0,VLOOKUP(A4057,'Fleet register'!$A$7:$S$106,9,FALSE)*Paths!$R$375),"n.a."))</f>
        <v>0</v>
      </c>
    </row>
    <row r="4058" spans="1:20" ht="24" customHeight="1">
      <c r="A4058" s="1" t="str">
        <f>Paths!$A$375</f>
        <v>T093</v>
      </c>
      <c r="B4058" s="1">
        <f>Paths!$B$375</f>
        <v>0</v>
      </c>
      <c r="C4058" s="1">
        <v>3</v>
      </c>
      <c r="D4058" s="1">
        <v>375</v>
      </c>
      <c r="E4058" s="1">
        <f>IF(OR(Paths!$C$375=0,C4058=0),0,MAX(0,MIN(C4058*12,Paths!$E$375)-(C4058-1)*12))</f>
        <v>0</v>
      </c>
      <c r="F4058" s="1">
        <f>IF(OR(Paths!$C$375=0,C4058=0),0,12-E4058)</f>
        <v>0</v>
      </c>
      <c r="G4058" s="16">
        <f>IF(NOT(Paths!$C$375=1),0,IF(Paths!$P$375="Complete",E4058/12*(Paths!$J$375*(1+'Operating costs'!$B$51)^MAX(0,C4058-1)+Paths!$K$375*(1+'Operating costs'!$B$53)^MAX(0,C4058-1)),"n.a."))</f>
        <v>0</v>
      </c>
      <c r="H4058" s="16">
        <f>IF(NOT(Paths!$C$375=1),0,IF(Paths!$P$375="Complete",F4058/12*(Paths!$L$375*(1+IF(Paths!$D$375="EV",'Operating costs'!$B$52,'Operating costs'!$B$51))^MAX(0,C4058-1)+Paths!$M$375*(1+'Operating costs'!$B$53)^MAX(0,C4058-1)),"n.a."))</f>
        <v>0</v>
      </c>
      <c r="I4058" s="16">
        <f>IF(NOT(Paths!$C$375=1),0,IF(Paths!$P$375="Complete",IF(IF(Paths!$E$375=0,C4058=0,AND(C4058&gt;0,Paths!$E$375&gt;(C4058-1)*12,Paths!$E$375&lt;=C4058*12)),Paths!$G$375,0),"n.a."))</f>
        <v>0</v>
      </c>
      <c r="J4058" s="16">
        <f>IF(NOT(Paths!$C$375=1),0,IF(Paths!$P$375="Complete",IF(IF(Paths!$E$375=0,C4058=0,AND(C4058&gt;0,Paths!$E$375&gt;(C4058-1)*12,Paths!$E$375&lt;=C4058*12)),Paths!$H$375,0),"n.a."))</f>
        <v>0</v>
      </c>
      <c r="K4058" s="16">
        <f>IF(NOT(Paths!$C$375=1),0,IF(Paths!$P$375="Complete",IF(IF(Paths!$O$375=0,C4058=0,AND(C4058&gt;0,Paths!$O$375&gt;(C4058-1)*12,Paths!$O$375&lt;=C4058*12)),Paths!$N$375,0),"n.a."))</f>
        <v>0</v>
      </c>
      <c r="L4058" s="16">
        <f>IF(NOT(Paths!$C$375=1),0,IF(Paths!$P$375="Complete",IF(C4058=10,Paths!$I$375,0),"n.a."))</f>
        <v>0</v>
      </c>
      <c r="M4058" s="16">
        <f>IF(NOT(Paths!$C$375=1),0,IF(Paths!$P$375="Complete",IF(AND(Paths!$D$375="EV",Paths!$E$375&lt;120,Paths!$E$375+'Operating costs'!$B$65&gt;Paths!$E$375,Paths!$E$375+'Operating costs'!$B$65&lt;=120,IF(Paths!$E$375+'Operating costs'!$B$65=0,C4058=0,AND(C4058&gt;0,Paths!$E$375+'Operating costs'!$B$65&gt;(C4058-1)*12,Paths!$E$375+'Operating costs'!$B$65&lt;=C4058*12))),'Operating costs'!$B$64,0)+IF(AND('Operating costs'!$B$67&gt;0,'Operating costs'!$B$67&lt;=120,OR(Paths!$D$375="ICE",'Operating costs'!$B$67&lt;=Paths!$E$375),IF('Operating costs'!$B$67=0,C4058=0,AND(C4058&gt;0,'Operating costs'!$B$67&gt;(C4058-1)*12,'Operating costs'!$B$67&lt;=C4058*12))),'Operating costs'!$B$66,0),"n.a."))</f>
        <v>0</v>
      </c>
      <c r="N4058" s="16">
        <f>IF(NOT(Paths!$C$375=1),0,IF(Paths!$P$375="Complete",SUM(G4058:I4058)-J4058-K4058-L4058+M4058+IF(C4058=0,Paths!$F$375,0)+IF(IF(Paths!$E$375=0,C4058=0,AND(C4058&gt;0,Paths!$E$375&gt;(C4058-1)*12,Paths!$E$375&lt;=C4058*12)),VLOOKUP(A4058,'Fleet register'!$A$7:$S$106,16,FALSE),0),"n.a."))</f>
        <v>0</v>
      </c>
      <c r="O4058" s="16">
        <f>IF(NOT(Paths!$C$375=1),0,IF(Paths!$P$375="Complete",N4058-IF(C4058=0,Paths!$F$375,0),"n.a."))</f>
        <v>0</v>
      </c>
      <c r="P4058" s="16">
        <f>IF(NOT(Paths!$C$375=1),0,IF(Paths!$P$375="Complete",O4058+L4058,"n.a."))</f>
        <v>0</v>
      </c>
      <c r="Q4058" s="16">
        <f>IF(NOT(Paths!$C$375=1),0,IF(Paths!$P$375="Complete",N4058*(1+'Operating costs'!$B$54)^-C4058,"n.a."))</f>
        <v>0</v>
      </c>
      <c r="R4058" s="16">
        <f>IF(NOT(Paths!$C$375=1),0,IF(Paths!$P$375="Complete",IF(AND(C4058=0,Paths!$E$375=0),I4058-J4058-K4058+VLOOKUP(A4058,'Fleet register'!$A$7:$S$106,15,FALSE)+VLOOKUP(A4058,'Fleet register'!$A$7:$S$106,16,FALSE),0),"n.a."))</f>
        <v>0</v>
      </c>
      <c r="S4058" s="1">
        <f>IF(NOT(Paths!$C$375=1),0,IF(Paths!$P$375="Complete",IF(C4058=0,0,Paths!$S$375*Paths!$R$375),"n.a."))</f>
        <v>0</v>
      </c>
      <c r="T4058" s="1">
        <f>IF(NOT(Paths!$C$375=1),0,IF(Paths!$P$375="Complete",IF(C4058=0,0,VLOOKUP(A4058,'Fleet register'!$A$7:$S$106,9,FALSE)*Paths!$R$375),"n.a."))</f>
        <v>0</v>
      </c>
    </row>
    <row r="4059" spans="1:20" ht="24" customHeight="1">
      <c r="A4059" s="1" t="str">
        <f>Paths!$A$375</f>
        <v>T093</v>
      </c>
      <c r="B4059" s="1">
        <f>Paths!$B$375</f>
        <v>0</v>
      </c>
      <c r="C4059" s="1">
        <v>4</v>
      </c>
      <c r="D4059" s="1">
        <v>375</v>
      </c>
      <c r="E4059" s="1">
        <f>IF(OR(Paths!$C$375=0,C4059=0),0,MAX(0,MIN(C4059*12,Paths!$E$375)-(C4059-1)*12))</f>
        <v>0</v>
      </c>
      <c r="F4059" s="1">
        <f>IF(OR(Paths!$C$375=0,C4059=0),0,12-E4059)</f>
        <v>0</v>
      </c>
      <c r="G4059" s="16">
        <f>IF(NOT(Paths!$C$375=1),0,IF(Paths!$P$375="Complete",E4059/12*(Paths!$J$375*(1+'Operating costs'!$B$51)^MAX(0,C4059-1)+Paths!$K$375*(1+'Operating costs'!$B$53)^MAX(0,C4059-1)),"n.a."))</f>
        <v>0</v>
      </c>
      <c r="H4059" s="16">
        <f>IF(NOT(Paths!$C$375=1),0,IF(Paths!$P$375="Complete",F4059/12*(Paths!$L$375*(1+IF(Paths!$D$375="EV",'Operating costs'!$B$52,'Operating costs'!$B$51))^MAX(0,C4059-1)+Paths!$M$375*(1+'Operating costs'!$B$53)^MAX(0,C4059-1)),"n.a."))</f>
        <v>0</v>
      </c>
      <c r="I4059" s="16">
        <f>IF(NOT(Paths!$C$375=1),0,IF(Paths!$P$375="Complete",IF(IF(Paths!$E$375=0,C4059=0,AND(C4059&gt;0,Paths!$E$375&gt;(C4059-1)*12,Paths!$E$375&lt;=C4059*12)),Paths!$G$375,0),"n.a."))</f>
        <v>0</v>
      </c>
      <c r="J4059" s="16">
        <f>IF(NOT(Paths!$C$375=1),0,IF(Paths!$P$375="Complete",IF(IF(Paths!$E$375=0,C4059=0,AND(C4059&gt;0,Paths!$E$375&gt;(C4059-1)*12,Paths!$E$375&lt;=C4059*12)),Paths!$H$375,0),"n.a."))</f>
        <v>0</v>
      </c>
      <c r="K4059" s="16">
        <f>IF(NOT(Paths!$C$375=1),0,IF(Paths!$P$375="Complete",IF(IF(Paths!$O$375=0,C4059=0,AND(C4059&gt;0,Paths!$O$375&gt;(C4059-1)*12,Paths!$O$375&lt;=C4059*12)),Paths!$N$375,0),"n.a."))</f>
        <v>0</v>
      </c>
      <c r="L4059" s="16">
        <f>IF(NOT(Paths!$C$375=1),0,IF(Paths!$P$375="Complete",IF(C4059=10,Paths!$I$375,0),"n.a."))</f>
        <v>0</v>
      </c>
      <c r="M4059" s="16">
        <f>IF(NOT(Paths!$C$375=1),0,IF(Paths!$P$375="Complete",IF(AND(Paths!$D$375="EV",Paths!$E$375&lt;120,Paths!$E$375+'Operating costs'!$B$65&gt;Paths!$E$375,Paths!$E$375+'Operating costs'!$B$65&lt;=120,IF(Paths!$E$375+'Operating costs'!$B$65=0,C4059=0,AND(C4059&gt;0,Paths!$E$375+'Operating costs'!$B$65&gt;(C4059-1)*12,Paths!$E$375+'Operating costs'!$B$65&lt;=C4059*12))),'Operating costs'!$B$64,0)+IF(AND('Operating costs'!$B$67&gt;0,'Operating costs'!$B$67&lt;=120,OR(Paths!$D$375="ICE",'Operating costs'!$B$67&lt;=Paths!$E$375),IF('Operating costs'!$B$67=0,C4059=0,AND(C4059&gt;0,'Operating costs'!$B$67&gt;(C4059-1)*12,'Operating costs'!$B$67&lt;=C4059*12))),'Operating costs'!$B$66,0),"n.a."))</f>
        <v>0</v>
      </c>
      <c r="N4059" s="16">
        <f>IF(NOT(Paths!$C$375=1),0,IF(Paths!$P$375="Complete",SUM(G4059:I4059)-J4059-K4059-L4059+M4059+IF(C4059=0,Paths!$F$375,0)+IF(IF(Paths!$E$375=0,C4059=0,AND(C4059&gt;0,Paths!$E$375&gt;(C4059-1)*12,Paths!$E$375&lt;=C4059*12)),VLOOKUP(A4059,'Fleet register'!$A$7:$S$106,16,FALSE),0),"n.a."))</f>
        <v>0</v>
      </c>
      <c r="O4059" s="16">
        <f>IF(NOT(Paths!$C$375=1),0,IF(Paths!$P$375="Complete",N4059-IF(C4059=0,Paths!$F$375,0),"n.a."))</f>
        <v>0</v>
      </c>
      <c r="P4059" s="16">
        <f>IF(NOT(Paths!$C$375=1),0,IF(Paths!$P$375="Complete",O4059+L4059,"n.a."))</f>
        <v>0</v>
      </c>
      <c r="Q4059" s="16">
        <f>IF(NOT(Paths!$C$375=1),0,IF(Paths!$P$375="Complete",N4059*(1+'Operating costs'!$B$54)^-C4059,"n.a."))</f>
        <v>0</v>
      </c>
      <c r="R4059" s="16">
        <f>IF(NOT(Paths!$C$375=1),0,IF(Paths!$P$375="Complete",IF(AND(C4059=0,Paths!$E$375=0),I4059-J4059-K4059+VLOOKUP(A4059,'Fleet register'!$A$7:$S$106,15,FALSE)+VLOOKUP(A4059,'Fleet register'!$A$7:$S$106,16,FALSE),0),"n.a."))</f>
        <v>0</v>
      </c>
      <c r="S4059" s="1">
        <f>IF(NOT(Paths!$C$375=1),0,IF(Paths!$P$375="Complete",IF(C4059=0,0,Paths!$S$375*Paths!$R$375),"n.a."))</f>
        <v>0</v>
      </c>
      <c r="T4059" s="1">
        <f>IF(NOT(Paths!$C$375=1),0,IF(Paths!$P$375="Complete",IF(C4059=0,0,VLOOKUP(A4059,'Fleet register'!$A$7:$S$106,9,FALSE)*Paths!$R$375),"n.a."))</f>
        <v>0</v>
      </c>
    </row>
    <row r="4060" spans="1:20" ht="24" customHeight="1">
      <c r="A4060" s="1" t="str">
        <f>Paths!$A$375</f>
        <v>T093</v>
      </c>
      <c r="B4060" s="1">
        <f>Paths!$B$375</f>
        <v>0</v>
      </c>
      <c r="C4060" s="1">
        <v>5</v>
      </c>
      <c r="D4060" s="1">
        <v>375</v>
      </c>
      <c r="E4060" s="1">
        <f>IF(OR(Paths!$C$375=0,C4060=0),0,MAX(0,MIN(C4060*12,Paths!$E$375)-(C4060-1)*12))</f>
        <v>0</v>
      </c>
      <c r="F4060" s="1">
        <f>IF(OR(Paths!$C$375=0,C4060=0),0,12-E4060)</f>
        <v>0</v>
      </c>
      <c r="G4060" s="16">
        <f>IF(NOT(Paths!$C$375=1),0,IF(Paths!$P$375="Complete",E4060/12*(Paths!$J$375*(1+'Operating costs'!$B$51)^MAX(0,C4060-1)+Paths!$K$375*(1+'Operating costs'!$B$53)^MAX(0,C4060-1)),"n.a."))</f>
        <v>0</v>
      </c>
      <c r="H4060" s="16">
        <f>IF(NOT(Paths!$C$375=1),0,IF(Paths!$P$375="Complete",F4060/12*(Paths!$L$375*(1+IF(Paths!$D$375="EV",'Operating costs'!$B$52,'Operating costs'!$B$51))^MAX(0,C4060-1)+Paths!$M$375*(1+'Operating costs'!$B$53)^MAX(0,C4060-1)),"n.a."))</f>
        <v>0</v>
      </c>
      <c r="I4060" s="16">
        <f>IF(NOT(Paths!$C$375=1),0,IF(Paths!$P$375="Complete",IF(IF(Paths!$E$375=0,C4060=0,AND(C4060&gt;0,Paths!$E$375&gt;(C4060-1)*12,Paths!$E$375&lt;=C4060*12)),Paths!$G$375,0),"n.a."))</f>
        <v>0</v>
      </c>
      <c r="J4060" s="16">
        <f>IF(NOT(Paths!$C$375=1),0,IF(Paths!$P$375="Complete",IF(IF(Paths!$E$375=0,C4060=0,AND(C4060&gt;0,Paths!$E$375&gt;(C4060-1)*12,Paths!$E$375&lt;=C4060*12)),Paths!$H$375,0),"n.a."))</f>
        <v>0</v>
      </c>
      <c r="K4060" s="16">
        <f>IF(NOT(Paths!$C$375=1),0,IF(Paths!$P$375="Complete",IF(IF(Paths!$O$375=0,C4060=0,AND(C4060&gt;0,Paths!$O$375&gt;(C4060-1)*12,Paths!$O$375&lt;=C4060*12)),Paths!$N$375,0),"n.a."))</f>
        <v>0</v>
      </c>
      <c r="L4060" s="16">
        <f>IF(NOT(Paths!$C$375=1),0,IF(Paths!$P$375="Complete",IF(C4060=10,Paths!$I$375,0),"n.a."))</f>
        <v>0</v>
      </c>
      <c r="M4060" s="16">
        <f>IF(NOT(Paths!$C$375=1),0,IF(Paths!$P$375="Complete",IF(AND(Paths!$D$375="EV",Paths!$E$375&lt;120,Paths!$E$375+'Operating costs'!$B$65&gt;Paths!$E$375,Paths!$E$375+'Operating costs'!$B$65&lt;=120,IF(Paths!$E$375+'Operating costs'!$B$65=0,C4060=0,AND(C4060&gt;0,Paths!$E$375+'Operating costs'!$B$65&gt;(C4060-1)*12,Paths!$E$375+'Operating costs'!$B$65&lt;=C4060*12))),'Operating costs'!$B$64,0)+IF(AND('Operating costs'!$B$67&gt;0,'Operating costs'!$B$67&lt;=120,OR(Paths!$D$375="ICE",'Operating costs'!$B$67&lt;=Paths!$E$375),IF('Operating costs'!$B$67=0,C4060=0,AND(C4060&gt;0,'Operating costs'!$B$67&gt;(C4060-1)*12,'Operating costs'!$B$67&lt;=C4060*12))),'Operating costs'!$B$66,0),"n.a."))</f>
        <v>0</v>
      </c>
      <c r="N4060" s="16">
        <f>IF(NOT(Paths!$C$375=1),0,IF(Paths!$P$375="Complete",SUM(G4060:I4060)-J4060-K4060-L4060+M4060+IF(C4060=0,Paths!$F$375,0)+IF(IF(Paths!$E$375=0,C4060=0,AND(C4060&gt;0,Paths!$E$375&gt;(C4060-1)*12,Paths!$E$375&lt;=C4060*12)),VLOOKUP(A4060,'Fleet register'!$A$7:$S$106,16,FALSE),0),"n.a."))</f>
        <v>0</v>
      </c>
      <c r="O4060" s="16">
        <f>IF(NOT(Paths!$C$375=1),0,IF(Paths!$P$375="Complete",N4060-IF(C4060=0,Paths!$F$375,0),"n.a."))</f>
        <v>0</v>
      </c>
      <c r="P4060" s="16">
        <f>IF(NOT(Paths!$C$375=1),0,IF(Paths!$P$375="Complete",O4060+L4060,"n.a."))</f>
        <v>0</v>
      </c>
      <c r="Q4060" s="16">
        <f>IF(NOT(Paths!$C$375=1),0,IF(Paths!$P$375="Complete",N4060*(1+'Operating costs'!$B$54)^-C4060,"n.a."))</f>
        <v>0</v>
      </c>
      <c r="R4060" s="16">
        <f>IF(NOT(Paths!$C$375=1),0,IF(Paths!$P$375="Complete",IF(AND(C4060=0,Paths!$E$375=0),I4060-J4060-K4060+VLOOKUP(A4060,'Fleet register'!$A$7:$S$106,15,FALSE)+VLOOKUP(A4060,'Fleet register'!$A$7:$S$106,16,FALSE),0),"n.a."))</f>
        <v>0</v>
      </c>
      <c r="S4060" s="1">
        <f>IF(NOT(Paths!$C$375=1),0,IF(Paths!$P$375="Complete",IF(C4060=0,0,Paths!$S$375*Paths!$R$375),"n.a."))</f>
        <v>0</v>
      </c>
      <c r="T4060" s="1">
        <f>IF(NOT(Paths!$C$375=1),0,IF(Paths!$P$375="Complete",IF(C4060=0,0,VLOOKUP(A4060,'Fleet register'!$A$7:$S$106,9,FALSE)*Paths!$R$375),"n.a."))</f>
        <v>0</v>
      </c>
    </row>
    <row r="4061" spans="1:20" ht="24" customHeight="1">
      <c r="A4061" s="1" t="str">
        <f>Paths!$A$375</f>
        <v>T093</v>
      </c>
      <c r="B4061" s="1">
        <f>Paths!$B$375</f>
        <v>0</v>
      </c>
      <c r="C4061" s="1">
        <v>6</v>
      </c>
      <c r="D4061" s="1">
        <v>375</v>
      </c>
      <c r="E4061" s="1">
        <f>IF(OR(Paths!$C$375=0,C4061=0),0,MAX(0,MIN(C4061*12,Paths!$E$375)-(C4061-1)*12))</f>
        <v>0</v>
      </c>
      <c r="F4061" s="1">
        <f>IF(OR(Paths!$C$375=0,C4061=0),0,12-E4061)</f>
        <v>0</v>
      </c>
      <c r="G4061" s="16">
        <f>IF(NOT(Paths!$C$375=1),0,IF(Paths!$P$375="Complete",E4061/12*(Paths!$J$375*(1+'Operating costs'!$B$51)^MAX(0,C4061-1)+Paths!$K$375*(1+'Operating costs'!$B$53)^MAX(0,C4061-1)),"n.a."))</f>
        <v>0</v>
      </c>
      <c r="H4061" s="16">
        <f>IF(NOT(Paths!$C$375=1),0,IF(Paths!$P$375="Complete",F4061/12*(Paths!$L$375*(1+IF(Paths!$D$375="EV",'Operating costs'!$B$52,'Operating costs'!$B$51))^MAX(0,C4061-1)+Paths!$M$375*(1+'Operating costs'!$B$53)^MAX(0,C4061-1)),"n.a."))</f>
        <v>0</v>
      </c>
      <c r="I4061" s="16">
        <f>IF(NOT(Paths!$C$375=1),0,IF(Paths!$P$375="Complete",IF(IF(Paths!$E$375=0,C4061=0,AND(C4061&gt;0,Paths!$E$375&gt;(C4061-1)*12,Paths!$E$375&lt;=C4061*12)),Paths!$G$375,0),"n.a."))</f>
        <v>0</v>
      </c>
      <c r="J4061" s="16">
        <f>IF(NOT(Paths!$C$375=1),0,IF(Paths!$P$375="Complete",IF(IF(Paths!$E$375=0,C4061=0,AND(C4061&gt;0,Paths!$E$375&gt;(C4061-1)*12,Paths!$E$375&lt;=C4061*12)),Paths!$H$375,0),"n.a."))</f>
        <v>0</v>
      </c>
      <c r="K4061" s="16">
        <f>IF(NOT(Paths!$C$375=1),0,IF(Paths!$P$375="Complete",IF(IF(Paths!$O$375=0,C4061=0,AND(C4061&gt;0,Paths!$O$375&gt;(C4061-1)*12,Paths!$O$375&lt;=C4061*12)),Paths!$N$375,0),"n.a."))</f>
        <v>0</v>
      </c>
      <c r="L4061" s="16">
        <f>IF(NOT(Paths!$C$375=1),0,IF(Paths!$P$375="Complete",IF(C4061=10,Paths!$I$375,0),"n.a."))</f>
        <v>0</v>
      </c>
      <c r="M4061" s="16">
        <f>IF(NOT(Paths!$C$375=1),0,IF(Paths!$P$375="Complete",IF(AND(Paths!$D$375="EV",Paths!$E$375&lt;120,Paths!$E$375+'Operating costs'!$B$65&gt;Paths!$E$375,Paths!$E$375+'Operating costs'!$B$65&lt;=120,IF(Paths!$E$375+'Operating costs'!$B$65=0,C4061=0,AND(C4061&gt;0,Paths!$E$375+'Operating costs'!$B$65&gt;(C4061-1)*12,Paths!$E$375+'Operating costs'!$B$65&lt;=C4061*12))),'Operating costs'!$B$64,0)+IF(AND('Operating costs'!$B$67&gt;0,'Operating costs'!$B$67&lt;=120,OR(Paths!$D$375="ICE",'Operating costs'!$B$67&lt;=Paths!$E$375),IF('Operating costs'!$B$67=0,C4061=0,AND(C4061&gt;0,'Operating costs'!$B$67&gt;(C4061-1)*12,'Operating costs'!$B$67&lt;=C4061*12))),'Operating costs'!$B$66,0),"n.a."))</f>
        <v>0</v>
      </c>
      <c r="N4061" s="16">
        <f>IF(NOT(Paths!$C$375=1),0,IF(Paths!$P$375="Complete",SUM(G4061:I4061)-J4061-K4061-L4061+M4061+IF(C4061=0,Paths!$F$375,0)+IF(IF(Paths!$E$375=0,C4061=0,AND(C4061&gt;0,Paths!$E$375&gt;(C4061-1)*12,Paths!$E$375&lt;=C4061*12)),VLOOKUP(A4061,'Fleet register'!$A$7:$S$106,16,FALSE),0),"n.a."))</f>
        <v>0</v>
      </c>
      <c r="O4061" s="16">
        <f>IF(NOT(Paths!$C$375=1),0,IF(Paths!$P$375="Complete",N4061-IF(C4061=0,Paths!$F$375,0),"n.a."))</f>
        <v>0</v>
      </c>
      <c r="P4061" s="16">
        <f>IF(NOT(Paths!$C$375=1),0,IF(Paths!$P$375="Complete",O4061+L4061,"n.a."))</f>
        <v>0</v>
      </c>
      <c r="Q4061" s="16">
        <f>IF(NOT(Paths!$C$375=1),0,IF(Paths!$P$375="Complete",N4061*(1+'Operating costs'!$B$54)^-C4061,"n.a."))</f>
        <v>0</v>
      </c>
      <c r="R4061" s="16">
        <f>IF(NOT(Paths!$C$375=1),0,IF(Paths!$P$375="Complete",IF(AND(C4061=0,Paths!$E$375=0),I4061-J4061-K4061+VLOOKUP(A4061,'Fleet register'!$A$7:$S$106,15,FALSE)+VLOOKUP(A4061,'Fleet register'!$A$7:$S$106,16,FALSE),0),"n.a."))</f>
        <v>0</v>
      </c>
      <c r="S4061" s="1">
        <f>IF(NOT(Paths!$C$375=1),0,IF(Paths!$P$375="Complete",IF(C4061=0,0,Paths!$S$375*Paths!$R$375),"n.a."))</f>
        <v>0</v>
      </c>
      <c r="T4061" s="1">
        <f>IF(NOT(Paths!$C$375=1),0,IF(Paths!$P$375="Complete",IF(C4061=0,0,VLOOKUP(A4061,'Fleet register'!$A$7:$S$106,9,FALSE)*Paths!$R$375),"n.a."))</f>
        <v>0</v>
      </c>
    </row>
    <row r="4062" spans="1:20" ht="24" customHeight="1">
      <c r="A4062" s="1" t="str">
        <f>Paths!$A$375</f>
        <v>T093</v>
      </c>
      <c r="B4062" s="1">
        <f>Paths!$B$375</f>
        <v>0</v>
      </c>
      <c r="C4062" s="1">
        <v>7</v>
      </c>
      <c r="D4062" s="1">
        <v>375</v>
      </c>
      <c r="E4062" s="1">
        <f>IF(OR(Paths!$C$375=0,C4062=0),0,MAX(0,MIN(C4062*12,Paths!$E$375)-(C4062-1)*12))</f>
        <v>0</v>
      </c>
      <c r="F4062" s="1">
        <f>IF(OR(Paths!$C$375=0,C4062=0),0,12-E4062)</f>
        <v>0</v>
      </c>
      <c r="G4062" s="16">
        <f>IF(NOT(Paths!$C$375=1),0,IF(Paths!$P$375="Complete",E4062/12*(Paths!$J$375*(1+'Operating costs'!$B$51)^MAX(0,C4062-1)+Paths!$K$375*(1+'Operating costs'!$B$53)^MAX(0,C4062-1)),"n.a."))</f>
        <v>0</v>
      </c>
      <c r="H4062" s="16">
        <f>IF(NOT(Paths!$C$375=1),0,IF(Paths!$P$375="Complete",F4062/12*(Paths!$L$375*(1+IF(Paths!$D$375="EV",'Operating costs'!$B$52,'Operating costs'!$B$51))^MAX(0,C4062-1)+Paths!$M$375*(1+'Operating costs'!$B$53)^MAX(0,C4062-1)),"n.a."))</f>
        <v>0</v>
      </c>
      <c r="I4062" s="16">
        <f>IF(NOT(Paths!$C$375=1),0,IF(Paths!$P$375="Complete",IF(IF(Paths!$E$375=0,C4062=0,AND(C4062&gt;0,Paths!$E$375&gt;(C4062-1)*12,Paths!$E$375&lt;=C4062*12)),Paths!$G$375,0),"n.a."))</f>
        <v>0</v>
      </c>
      <c r="J4062" s="16">
        <f>IF(NOT(Paths!$C$375=1),0,IF(Paths!$P$375="Complete",IF(IF(Paths!$E$375=0,C4062=0,AND(C4062&gt;0,Paths!$E$375&gt;(C4062-1)*12,Paths!$E$375&lt;=C4062*12)),Paths!$H$375,0),"n.a."))</f>
        <v>0</v>
      </c>
      <c r="K4062" s="16">
        <f>IF(NOT(Paths!$C$375=1),0,IF(Paths!$P$375="Complete",IF(IF(Paths!$O$375=0,C4062=0,AND(C4062&gt;0,Paths!$O$375&gt;(C4062-1)*12,Paths!$O$375&lt;=C4062*12)),Paths!$N$375,0),"n.a."))</f>
        <v>0</v>
      </c>
      <c r="L4062" s="16">
        <f>IF(NOT(Paths!$C$375=1),0,IF(Paths!$P$375="Complete",IF(C4062=10,Paths!$I$375,0),"n.a."))</f>
        <v>0</v>
      </c>
      <c r="M4062" s="16">
        <f>IF(NOT(Paths!$C$375=1),0,IF(Paths!$P$375="Complete",IF(AND(Paths!$D$375="EV",Paths!$E$375&lt;120,Paths!$E$375+'Operating costs'!$B$65&gt;Paths!$E$375,Paths!$E$375+'Operating costs'!$B$65&lt;=120,IF(Paths!$E$375+'Operating costs'!$B$65=0,C4062=0,AND(C4062&gt;0,Paths!$E$375+'Operating costs'!$B$65&gt;(C4062-1)*12,Paths!$E$375+'Operating costs'!$B$65&lt;=C4062*12))),'Operating costs'!$B$64,0)+IF(AND('Operating costs'!$B$67&gt;0,'Operating costs'!$B$67&lt;=120,OR(Paths!$D$375="ICE",'Operating costs'!$B$67&lt;=Paths!$E$375),IF('Operating costs'!$B$67=0,C4062=0,AND(C4062&gt;0,'Operating costs'!$B$67&gt;(C4062-1)*12,'Operating costs'!$B$67&lt;=C4062*12))),'Operating costs'!$B$66,0),"n.a."))</f>
        <v>0</v>
      </c>
      <c r="N4062" s="16">
        <f>IF(NOT(Paths!$C$375=1),0,IF(Paths!$P$375="Complete",SUM(G4062:I4062)-J4062-K4062-L4062+M4062+IF(C4062=0,Paths!$F$375,0)+IF(IF(Paths!$E$375=0,C4062=0,AND(C4062&gt;0,Paths!$E$375&gt;(C4062-1)*12,Paths!$E$375&lt;=C4062*12)),VLOOKUP(A4062,'Fleet register'!$A$7:$S$106,16,FALSE),0),"n.a."))</f>
        <v>0</v>
      </c>
      <c r="O4062" s="16">
        <f>IF(NOT(Paths!$C$375=1),0,IF(Paths!$P$375="Complete",N4062-IF(C4062=0,Paths!$F$375,0),"n.a."))</f>
        <v>0</v>
      </c>
      <c r="P4062" s="16">
        <f>IF(NOT(Paths!$C$375=1),0,IF(Paths!$P$375="Complete",O4062+L4062,"n.a."))</f>
        <v>0</v>
      </c>
      <c r="Q4062" s="16">
        <f>IF(NOT(Paths!$C$375=1),0,IF(Paths!$P$375="Complete",N4062*(1+'Operating costs'!$B$54)^-C4062,"n.a."))</f>
        <v>0</v>
      </c>
      <c r="R4062" s="16">
        <f>IF(NOT(Paths!$C$375=1),0,IF(Paths!$P$375="Complete",IF(AND(C4062=0,Paths!$E$375=0),I4062-J4062-K4062+VLOOKUP(A4062,'Fleet register'!$A$7:$S$106,15,FALSE)+VLOOKUP(A4062,'Fleet register'!$A$7:$S$106,16,FALSE),0),"n.a."))</f>
        <v>0</v>
      </c>
      <c r="S4062" s="1">
        <f>IF(NOT(Paths!$C$375=1),0,IF(Paths!$P$375="Complete",IF(C4062=0,0,Paths!$S$375*Paths!$R$375),"n.a."))</f>
        <v>0</v>
      </c>
      <c r="T4062" s="1">
        <f>IF(NOT(Paths!$C$375=1),0,IF(Paths!$P$375="Complete",IF(C4062=0,0,VLOOKUP(A4062,'Fleet register'!$A$7:$S$106,9,FALSE)*Paths!$R$375),"n.a."))</f>
        <v>0</v>
      </c>
    </row>
    <row r="4063" spans="1:20" ht="24" customHeight="1">
      <c r="A4063" s="1" t="str">
        <f>Paths!$A$375</f>
        <v>T093</v>
      </c>
      <c r="B4063" s="1">
        <f>Paths!$B$375</f>
        <v>0</v>
      </c>
      <c r="C4063" s="1">
        <v>8</v>
      </c>
      <c r="D4063" s="1">
        <v>375</v>
      </c>
      <c r="E4063" s="1">
        <f>IF(OR(Paths!$C$375=0,C4063=0),0,MAX(0,MIN(C4063*12,Paths!$E$375)-(C4063-1)*12))</f>
        <v>0</v>
      </c>
      <c r="F4063" s="1">
        <f>IF(OR(Paths!$C$375=0,C4063=0),0,12-E4063)</f>
        <v>0</v>
      </c>
      <c r="G4063" s="16">
        <f>IF(NOT(Paths!$C$375=1),0,IF(Paths!$P$375="Complete",E4063/12*(Paths!$J$375*(1+'Operating costs'!$B$51)^MAX(0,C4063-1)+Paths!$K$375*(1+'Operating costs'!$B$53)^MAX(0,C4063-1)),"n.a."))</f>
        <v>0</v>
      </c>
      <c r="H4063" s="16">
        <f>IF(NOT(Paths!$C$375=1),0,IF(Paths!$P$375="Complete",F4063/12*(Paths!$L$375*(1+IF(Paths!$D$375="EV",'Operating costs'!$B$52,'Operating costs'!$B$51))^MAX(0,C4063-1)+Paths!$M$375*(1+'Operating costs'!$B$53)^MAX(0,C4063-1)),"n.a."))</f>
        <v>0</v>
      </c>
      <c r="I4063" s="16">
        <f>IF(NOT(Paths!$C$375=1),0,IF(Paths!$P$375="Complete",IF(IF(Paths!$E$375=0,C4063=0,AND(C4063&gt;0,Paths!$E$375&gt;(C4063-1)*12,Paths!$E$375&lt;=C4063*12)),Paths!$G$375,0),"n.a."))</f>
        <v>0</v>
      </c>
      <c r="J4063" s="16">
        <f>IF(NOT(Paths!$C$375=1),0,IF(Paths!$P$375="Complete",IF(IF(Paths!$E$375=0,C4063=0,AND(C4063&gt;0,Paths!$E$375&gt;(C4063-1)*12,Paths!$E$375&lt;=C4063*12)),Paths!$H$375,0),"n.a."))</f>
        <v>0</v>
      </c>
      <c r="K4063" s="16">
        <f>IF(NOT(Paths!$C$375=1),0,IF(Paths!$P$375="Complete",IF(IF(Paths!$O$375=0,C4063=0,AND(C4063&gt;0,Paths!$O$375&gt;(C4063-1)*12,Paths!$O$375&lt;=C4063*12)),Paths!$N$375,0),"n.a."))</f>
        <v>0</v>
      </c>
      <c r="L4063" s="16">
        <f>IF(NOT(Paths!$C$375=1),0,IF(Paths!$P$375="Complete",IF(C4063=10,Paths!$I$375,0),"n.a."))</f>
        <v>0</v>
      </c>
      <c r="M4063" s="16">
        <f>IF(NOT(Paths!$C$375=1),0,IF(Paths!$P$375="Complete",IF(AND(Paths!$D$375="EV",Paths!$E$375&lt;120,Paths!$E$375+'Operating costs'!$B$65&gt;Paths!$E$375,Paths!$E$375+'Operating costs'!$B$65&lt;=120,IF(Paths!$E$375+'Operating costs'!$B$65=0,C4063=0,AND(C4063&gt;0,Paths!$E$375+'Operating costs'!$B$65&gt;(C4063-1)*12,Paths!$E$375+'Operating costs'!$B$65&lt;=C4063*12))),'Operating costs'!$B$64,0)+IF(AND('Operating costs'!$B$67&gt;0,'Operating costs'!$B$67&lt;=120,OR(Paths!$D$375="ICE",'Operating costs'!$B$67&lt;=Paths!$E$375),IF('Operating costs'!$B$67=0,C4063=0,AND(C4063&gt;0,'Operating costs'!$B$67&gt;(C4063-1)*12,'Operating costs'!$B$67&lt;=C4063*12))),'Operating costs'!$B$66,0),"n.a."))</f>
        <v>0</v>
      </c>
      <c r="N4063" s="16">
        <f>IF(NOT(Paths!$C$375=1),0,IF(Paths!$P$375="Complete",SUM(G4063:I4063)-J4063-K4063-L4063+M4063+IF(C4063=0,Paths!$F$375,0)+IF(IF(Paths!$E$375=0,C4063=0,AND(C4063&gt;0,Paths!$E$375&gt;(C4063-1)*12,Paths!$E$375&lt;=C4063*12)),VLOOKUP(A4063,'Fleet register'!$A$7:$S$106,16,FALSE),0),"n.a."))</f>
        <v>0</v>
      </c>
      <c r="O4063" s="16">
        <f>IF(NOT(Paths!$C$375=1),0,IF(Paths!$P$375="Complete",N4063-IF(C4063=0,Paths!$F$375,0),"n.a."))</f>
        <v>0</v>
      </c>
      <c r="P4063" s="16">
        <f>IF(NOT(Paths!$C$375=1),0,IF(Paths!$P$375="Complete",O4063+L4063,"n.a."))</f>
        <v>0</v>
      </c>
      <c r="Q4063" s="16">
        <f>IF(NOT(Paths!$C$375=1),0,IF(Paths!$P$375="Complete",N4063*(1+'Operating costs'!$B$54)^-C4063,"n.a."))</f>
        <v>0</v>
      </c>
      <c r="R4063" s="16">
        <f>IF(NOT(Paths!$C$375=1),0,IF(Paths!$P$375="Complete",IF(AND(C4063=0,Paths!$E$375=0),I4063-J4063-K4063+VLOOKUP(A4063,'Fleet register'!$A$7:$S$106,15,FALSE)+VLOOKUP(A4063,'Fleet register'!$A$7:$S$106,16,FALSE),0),"n.a."))</f>
        <v>0</v>
      </c>
      <c r="S4063" s="1">
        <f>IF(NOT(Paths!$C$375=1),0,IF(Paths!$P$375="Complete",IF(C4063=0,0,Paths!$S$375*Paths!$R$375),"n.a."))</f>
        <v>0</v>
      </c>
      <c r="T4063" s="1">
        <f>IF(NOT(Paths!$C$375=1),0,IF(Paths!$P$375="Complete",IF(C4063=0,0,VLOOKUP(A4063,'Fleet register'!$A$7:$S$106,9,FALSE)*Paths!$R$375),"n.a."))</f>
        <v>0</v>
      </c>
    </row>
    <row r="4064" spans="1:20" ht="24" customHeight="1">
      <c r="A4064" s="1" t="str">
        <f>Paths!$A$375</f>
        <v>T093</v>
      </c>
      <c r="B4064" s="1">
        <f>Paths!$B$375</f>
        <v>0</v>
      </c>
      <c r="C4064" s="1">
        <v>9</v>
      </c>
      <c r="D4064" s="1">
        <v>375</v>
      </c>
      <c r="E4064" s="1">
        <f>IF(OR(Paths!$C$375=0,C4064=0),0,MAX(0,MIN(C4064*12,Paths!$E$375)-(C4064-1)*12))</f>
        <v>0</v>
      </c>
      <c r="F4064" s="1">
        <f>IF(OR(Paths!$C$375=0,C4064=0),0,12-E4064)</f>
        <v>0</v>
      </c>
      <c r="G4064" s="16">
        <f>IF(NOT(Paths!$C$375=1),0,IF(Paths!$P$375="Complete",E4064/12*(Paths!$J$375*(1+'Operating costs'!$B$51)^MAX(0,C4064-1)+Paths!$K$375*(1+'Operating costs'!$B$53)^MAX(0,C4064-1)),"n.a."))</f>
        <v>0</v>
      </c>
      <c r="H4064" s="16">
        <f>IF(NOT(Paths!$C$375=1),0,IF(Paths!$P$375="Complete",F4064/12*(Paths!$L$375*(1+IF(Paths!$D$375="EV",'Operating costs'!$B$52,'Operating costs'!$B$51))^MAX(0,C4064-1)+Paths!$M$375*(1+'Operating costs'!$B$53)^MAX(0,C4064-1)),"n.a."))</f>
        <v>0</v>
      </c>
      <c r="I4064" s="16">
        <f>IF(NOT(Paths!$C$375=1),0,IF(Paths!$P$375="Complete",IF(IF(Paths!$E$375=0,C4064=0,AND(C4064&gt;0,Paths!$E$375&gt;(C4064-1)*12,Paths!$E$375&lt;=C4064*12)),Paths!$G$375,0),"n.a."))</f>
        <v>0</v>
      </c>
      <c r="J4064" s="16">
        <f>IF(NOT(Paths!$C$375=1),0,IF(Paths!$P$375="Complete",IF(IF(Paths!$E$375=0,C4064=0,AND(C4064&gt;0,Paths!$E$375&gt;(C4064-1)*12,Paths!$E$375&lt;=C4064*12)),Paths!$H$375,0),"n.a."))</f>
        <v>0</v>
      </c>
      <c r="K4064" s="16">
        <f>IF(NOT(Paths!$C$375=1),0,IF(Paths!$P$375="Complete",IF(IF(Paths!$O$375=0,C4064=0,AND(C4064&gt;0,Paths!$O$375&gt;(C4064-1)*12,Paths!$O$375&lt;=C4064*12)),Paths!$N$375,0),"n.a."))</f>
        <v>0</v>
      </c>
      <c r="L4064" s="16">
        <f>IF(NOT(Paths!$C$375=1),0,IF(Paths!$P$375="Complete",IF(C4064=10,Paths!$I$375,0),"n.a."))</f>
        <v>0</v>
      </c>
      <c r="M4064" s="16">
        <f>IF(NOT(Paths!$C$375=1),0,IF(Paths!$P$375="Complete",IF(AND(Paths!$D$375="EV",Paths!$E$375&lt;120,Paths!$E$375+'Operating costs'!$B$65&gt;Paths!$E$375,Paths!$E$375+'Operating costs'!$B$65&lt;=120,IF(Paths!$E$375+'Operating costs'!$B$65=0,C4064=0,AND(C4064&gt;0,Paths!$E$375+'Operating costs'!$B$65&gt;(C4064-1)*12,Paths!$E$375+'Operating costs'!$B$65&lt;=C4064*12))),'Operating costs'!$B$64,0)+IF(AND('Operating costs'!$B$67&gt;0,'Operating costs'!$B$67&lt;=120,OR(Paths!$D$375="ICE",'Operating costs'!$B$67&lt;=Paths!$E$375),IF('Operating costs'!$B$67=0,C4064=0,AND(C4064&gt;0,'Operating costs'!$B$67&gt;(C4064-1)*12,'Operating costs'!$B$67&lt;=C4064*12))),'Operating costs'!$B$66,0),"n.a."))</f>
        <v>0</v>
      </c>
      <c r="N4064" s="16">
        <f>IF(NOT(Paths!$C$375=1),0,IF(Paths!$P$375="Complete",SUM(G4064:I4064)-J4064-K4064-L4064+M4064+IF(C4064=0,Paths!$F$375,0)+IF(IF(Paths!$E$375=0,C4064=0,AND(C4064&gt;0,Paths!$E$375&gt;(C4064-1)*12,Paths!$E$375&lt;=C4064*12)),VLOOKUP(A4064,'Fleet register'!$A$7:$S$106,16,FALSE),0),"n.a."))</f>
        <v>0</v>
      </c>
      <c r="O4064" s="16">
        <f>IF(NOT(Paths!$C$375=1),0,IF(Paths!$P$375="Complete",N4064-IF(C4064=0,Paths!$F$375,0),"n.a."))</f>
        <v>0</v>
      </c>
      <c r="P4064" s="16">
        <f>IF(NOT(Paths!$C$375=1),0,IF(Paths!$P$375="Complete",O4064+L4064,"n.a."))</f>
        <v>0</v>
      </c>
      <c r="Q4064" s="16">
        <f>IF(NOT(Paths!$C$375=1),0,IF(Paths!$P$375="Complete",N4064*(1+'Operating costs'!$B$54)^-C4064,"n.a."))</f>
        <v>0</v>
      </c>
      <c r="R4064" s="16">
        <f>IF(NOT(Paths!$C$375=1),0,IF(Paths!$P$375="Complete",IF(AND(C4064=0,Paths!$E$375=0),I4064-J4064-K4064+VLOOKUP(A4064,'Fleet register'!$A$7:$S$106,15,FALSE)+VLOOKUP(A4064,'Fleet register'!$A$7:$S$106,16,FALSE),0),"n.a."))</f>
        <v>0</v>
      </c>
      <c r="S4064" s="1">
        <f>IF(NOT(Paths!$C$375=1),0,IF(Paths!$P$375="Complete",IF(C4064=0,0,Paths!$S$375*Paths!$R$375),"n.a."))</f>
        <v>0</v>
      </c>
      <c r="T4064" s="1">
        <f>IF(NOT(Paths!$C$375=1),0,IF(Paths!$P$375="Complete",IF(C4064=0,0,VLOOKUP(A4064,'Fleet register'!$A$7:$S$106,9,FALSE)*Paths!$R$375),"n.a."))</f>
        <v>0</v>
      </c>
    </row>
    <row r="4065" spans="1:20" ht="24" customHeight="1">
      <c r="A4065" s="1" t="str">
        <f>Paths!$A$375</f>
        <v>T093</v>
      </c>
      <c r="B4065" s="1">
        <f>Paths!$B$375</f>
        <v>0</v>
      </c>
      <c r="C4065" s="1">
        <v>10</v>
      </c>
      <c r="D4065" s="1">
        <v>375</v>
      </c>
      <c r="E4065" s="1">
        <f>IF(OR(Paths!$C$375=0,C4065=0),0,MAX(0,MIN(C4065*12,Paths!$E$375)-(C4065-1)*12))</f>
        <v>0</v>
      </c>
      <c r="F4065" s="1">
        <f>IF(OR(Paths!$C$375=0,C4065=0),0,12-E4065)</f>
        <v>0</v>
      </c>
      <c r="G4065" s="16">
        <f>IF(NOT(Paths!$C$375=1),0,IF(Paths!$P$375="Complete",E4065/12*(Paths!$J$375*(1+'Operating costs'!$B$51)^MAX(0,C4065-1)+Paths!$K$375*(1+'Operating costs'!$B$53)^MAX(0,C4065-1)),"n.a."))</f>
        <v>0</v>
      </c>
      <c r="H4065" s="16">
        <f>IF(NOT(Paths!$C$375=1),0,IF(Paths!$P$375="Complete",F4065/12*(Paths!$L$375*(1+IF(Paths!$D$375="EV",'Operating costs'!$B$52,'Operating costs'!$B$51))^MAX(0,C4065-1)+Paths!$M$375*(1+'Operating costs'!$B$53)^MAX(0,C4065-1)),"n.a."))</f>
        <v>0</v>
      </c>
      <c r="I4065" s="16">
        <f>IF(NOT(Paths!$C$375=1),0,IF(Paths!$P$375="Complete",IF(IF(Paths!$E$375=0,C4065=0,AND(C4065&gt;0,Paths!$E$375&gt;(C4065-1)*12,Paths!$E$375&lt;=C4065*12)),Paths!$G$375,0),"n.a."))</f>
        <v>0</v>
      </c>
      <c r="J4065" s="16">
        <f>IF(NOT(Paths!$C$375=1),0,IF(Paths!$P$375="Complete",IF(IF(Paths!$E$375=0,C4065=0,AND(C4065&gt;0,Paths!$E$375&gt;(C4065-1)*12,Paths!$E$375&lt;=C4065*12)),Paths!$H$375,0),"n.a."))</f>
        <v>0</v>
      </c>
      <c r="K4065" s="16">
        <f>IF(NOT(Paths!$C$375=1),0,IF(Paths!$P$375="Complete",IF(IF(Paths!$O$375=0,C4065=0,AND(C4065&gt;0,Paths!$O$375&gt;(C4065-1)*12,Paths!$O$375&lt;=C4065*12)),Paths!$N$375,0),"n.a."))</f>
        <v>0</v>
      </c>
      <c r="L4065" s="16">
        <f>IF(NOT(Paths!$C$375=1),0,IF(Paths!$P$375="Complete",IF(C4065=10,Paths!$I$375,0),"n.a."))</f>
        <v>0</v>
      </c>
      <c r="M4065" s="16">
        <f>IF(NOT(Paths!$C$375=1),0,IF(Paths!$P$375="Complete",IF(AND(Paths!$D$375="EV",Paths!$E$375&lt;120,Paths!$E$375+'Operating costs'!$B$65&gt;Paths!$E$375,Paths!$E$375+'Operating costs'!$B$65&lt;=120,IF(Paths!$E$375+'Operating costs'!$B$65=0,C4065=0,AND(C4065&gt;0,Paths!$E$375+'Operating costs'!$B$65&gt;(C4065-1)*12,Paths!$E$375+'Operating costs'!$B$65&lt;=C4065*12))),'Operating costs'!$B$64,0)+IF(AND('Operating costs'!$B$67&gt;0,'Operating costs'!$B$67&lt;=120,OR(Paths!$D$375="ICE",'Operating costs'!$B$67&lt;=Paths!$E$375),IF('Operating costs'!$B$67=0,C4065=0,AND(C4065&gt;0,'Operating costs'!$B$67&gt;(C4065-1)*12,'Operating costs'!$B$67&lt;=C4065*12))),'Operating costs'!$B$66,0),"n.a."))</f>
        <v>0</v>
      </c>
      <c r="N4065" s="16">
        <f>IF(NOT(Paths!$C$375=1),0,IF(Paths!$P$375="Complete",SUM(G4065:I4065)-J4065-K4065-L4065+M4065+IF(C4065=0,Paths!$F$375,0)+IF(IF(Paths!$E$375=0,C4065=0,AND(C4065&gt;0,Paths!$E$375&gt;(C4065-1)*12,Paths!$E$375&lt;=C4065*12)),VLOOKUP(A4065,'Fleet register'!$A$7:$S$106,16,FALSE),0),"n.a."))</f>
        <v>0</v>
      </c>
      <c r="O4065" s="16">
        <f>IF(NOT(Paths!$C$375=1),0,IF(Paths!$P$375="Complete",N4065-IF(C4065=0,Paths!$F$375,0),"n.a."))</f>
        <v>0</v>
      </c>
      <c r="P4065" s="16">
        <f>IF(NOT(Paths!$C$375=1),0,IF(Paths!$P$375="Complete",O4065+L4065,"n.a."))</f>
        <v>0</v>
      </c>
      <c r="Q4065" s="16">
        <f>IF(NOT(Paths!$C$375=1),0,IF(Paths!$P$375="Complete",N4065*(1+'Operating costs'!$B$54)^-C4065,"n.a."))</f>
        <v>0</v>
      </c>
      <c r="R4065" s="16">
        <f>IF(NOT(Paths!$C$375=1),0,IF(Paths!$P$375="Complete",IF(AND(C4065=0,Paths!$E$375=0),I4065-J4065-K4065+VLOOKUP(A4065,'Fleet register'!$A$7:$S$106,15,FALSE)+VLOOKUP(A4065,'Fleet register'!$A$7:$S$106,16,FALSE),0),"n.a."))</f>
        <v>0</v>
      </c>
      <c r="S4065" s="1">
        <f>IF(NOT(Paths!$C$375=1),0,IF(Paths!$P$375="Complete",IF(C4065=0,0,Paths!$S$375*Paths!$R$375),"n.a."))</f>
        <v>0</v>
      </c>
      <c r="T4065" s="1">
        <f>IF(NOT(Paths!$C$375=1),0,IF(Paths!$P$375="Complete",IF(C4065=0,0,VLOOKUP(A4065,'Fleet register'!$A$7:$S$106,9,FALSE)*Paths!$R$375),"n.a."))</f>
        <v>0</v>
      </c>
    </row>
    <row r="4066" spans="1:20" ht="24" customHeight="1">
      <c r="A4066" s="1" t="str">
        <f>Paths!$A$376</f>
        <v>T093</v>
      </c>
      <c r="B4066" s="1">
        <f>Paths!$B$376</f>
        <v>1</v>
      </c>
      <c r="C4066" s="1">
        <v>0</v>
      </c>
      <c r="D4066" s="1">
        <v>376</v>
      </c>
      <c r="E4066" s="1">
        <f>IF(OR(Paths!$C$376=0,C4066=0),0,MAX(0,MIN(C4066*12,Paths!$E$376)-(C4066-1)*12))</f>
        <v>0</v>
      </c>
      <c r="F4066" s="1">
        <f>IF(OR(Paths!$C$376=0,C4066=0),0,12-E4066)</f>
        <v>0</v>
      </c>
      <c r="G4066" s="16">
        <f>IF(NOT(Paths!$C$376=1),0,IF(Paths!$P$376="Complete",E4066/12*(Paths!$J$376*(1+'Operating costs'!$B$51)^MAX(0,C4066-1)+Paths!$K$376*(1+'Operating costs'!$B$53)^MAX(0,C4066-1)),"n.a."))</f>
        <v>0</v>
      </c>
      <c r="H4066" s="16">
        <f>IF(NOT(Paths!$C$376=1),0,IF(Paths!$P$376="Complete",F4066/12*(Paths!$L$376*(1+IF(Paths!$D$376="EV",'Operating costs'!$B$52,'Operating costs'!$B$51))^MAX(0,C4066-1)+Paths!$M$376*(1+'Operating costs'!$B$53)^MAX(0,C4066-1)),"n.a."))</f>
        <v>0</v>
      </c>
      <c r="I4066" s="16">
        <f>IF(NOT(Paths!$C$376=1),0,IF(Paths!$P$376="Complete",IF(IF(Paths!$E$376=0,C4066=0,AND(C4066&gt;0,Paths!$E$376&gt;(C4066-1)*12,Paths!$E$376&lt;=C4066*12)),Paths!$G$376,0),"n.a."))</f>
        <v>0</v>
      </c>
      <c r="J4066" s="16">
        <f>IF(NOT(Paths!$C$376=1),0,IF(Paths!$P$376="Complete",IF(IF(Paths!$E$376=0,C4066=0,AND(C4066&gt;0,Paths!$E$376&gt;(C4066-1)*12,Paths!$E$376&lt;=C4066*12)),Paths!$H$376,0),"n.a."))</f>
        <v>0</v>
      </c>
      <c r="K4066" s="16">
        <f>IF(NOT(Paths!$C$376=1),0,IF(Paths!$P$376="Complete",IF(IF(Paths!$O$376=0,C4066=0,AND(C4066&gt;0,Paths!$O$376&gt;(C4066-1)*12,Paths!$O$376&lt;=C4066*12)),Paths!$N$376,0),"n.a."))</f>
        <v>0</v>
      </c>
      <c r="L4066" s="16">
        <f>IF(NOT(Paths!$C$376=1),0,IF(Paths!$P$376="Complete",IF(C4066=10,Paths!$I$376,0),"n.a."))</f>
        <v>0</v>
      </c>
      <c r="M4066" s="16">
        <f>IF(NOT(Paths!$C$376=1),0,IF(Paths!$P$376="Complete",IF(AND(Paths!$D$376="EV",Paths!$E$376&lt;120,Paths!$E$376+'Operating costs'!$B$65&gt;Paths!$E$376,Paths!$E$376+'Operating costs'!$B$65&lt;=120,IF(Paths!$E$376+'Operating costs'!$B$65=0,C4066=0,AND(C4066&gt;0,Paths!$E$376+'Operating costs'!$B$65&gt;(C4066-1)*12,Paths!$E$376+'Operating costs'!$B$65&lt;=C4066*12))),'Operating costs'!$B$64,0)+IF(AND('Operating costs'!$B$67&gt;0,'Operating costs'!$B$67&lt;=120,OR(Paths!$D$376="ICE",'Operating costs'!$B$67&lt;=Paths!$E$376),IF('Operating costs'!$B$67=0,C4066=0,AND(C4066&gt;0,'Operating costs'!$B$67&gt;(C4066-1)*12,'Operating costs'!$B$67&lt;=C4066*12))),'Operating costs'!$B$66,0),"n.a."))</f>
        <v>0</v>
      </c>
      <c r="N4066" s="16">
        <f>IF(NOT(Paths!$C$376=1),0,IF(Paths!$P$376="Complete",SUM(G4066:I4066)-J4066-K4066-L4066+M4066+IF(C4066=0,Paths!$F$376,0)+IF(IF(Paths!$E$376=0,C4066=0,AND(C4066&gt;0,Paths!$E$376&gt;(C4066-1)*12,Paths!$E$376&lt;=C4066*12)),VLOOKUP(A4066,'Fleet register'!$A$7:$S$106,16,FALSE),0),"n.a."))</f>
        <v>0</v>
      </c>
      <c r="O4066" s="16">
        <f>IF(NOT(Paths!$C$376=1),0,IF(Paths!$P$376="Complete",N4066-IF(C4066=0,Paths!$F$376,0),"n.a."))</f>
        <v>0</v>
      </c>
      <c r="P4066" s="16">
        <f>IF(NOT(Paths!$C$376=1),0,IF(Paths!$P$376="Complete",O4066+L4066,"n.a."))</f>
        <v>0</v>
      </c>
      <c r="Q4066" s="16">
        <f>IF(NOT(Paths!$C$376=1),0,IF(Paths!$P$376="Complete",N4066*(1+'Operating costs'!$B$54)^-C4066,"n.a."))</f>
        <v>0</v>
      </c>
      <c r="R4066" s="16">
        <f>IF(NOT(Paths!$C$376=1),0,IF(Paths!$P$376="Complete",IF(AND(C4066=0,Paths!$E$376=0),I4066-J4066-K4066+VLOOKUP(A4066,'Fleet register'!$A$7:$S$106,15,FALSE)+VLOOKUP(A4066,'Fleet register'!$A$7:$S$106,16,FALSE),0),"n.a."))</f>
        <v>0</v>
      </c>
      <c r="S4066" s="1">
        <f>IF(NOT(Paths!$C$376=1),0,IF(Paths!$P$376="Complete",IF(C4066=0,0,Paths!$S$376*Paths!$R$376),"n.a."))</f>
        <v>0</v>
      </c>
      <c r="T4066" s="1">
        <f>IF(NOT(Paths!$C$376=1),0,IF(Paths!$P$376="Complete",IF(C4066=0,0,VLOOKUP(A4066,'Fleet register'!$A$7:$S$106,9,FALSE)*Paths!$R$376),"n.a."))</f>
        <v>0</v>
      </c>
    </row>
    <row r="4067" spans="1:20" ht="24" customHeight="1">
      <c r="A4067" s="1" t="str">
        <f>Paths!$A$376</f>
        <v>T093</v>
      </c>
      <c r="B4067" s="1">
        <f>Paths!$B$376</f>
        <v>1</v>
      </c>
      <c r="C4067" s="1">
        <v>1</v>
      </c>
      <c r="D4067" s="1">
        <v>376</v>
      </c>
      <c r="E4067" s="1">
        <f>IF(OR(Paths!$C$376=0,C4067=0),0,MAX(0,MIN(C4067*12,Paths!$E$376)-(C4067-1)*12))</f>
        <v>0</v>
      </c>
      <c r="F4067" s="1">
        <f>IF(OR(Paths!$C$376=0,C4067=0),0,12-E4067)</f>
        <v>0</v>
      </c>
      <c r="G4067" s="16">
        <f>IF(NOT(Paths!$C$376=1),0,IF(Paths!$P$376="Complete",E4067/12*(Paths!$J$376*(1+'Operating costs'!$B$51)^MAX(0,C4067-1)+Paths!$K$376*(1+'Operating costs'!$B$53)^MAX(0,C4067-1)),"n.a."))</f>
        <v>0</v>
      </c>
      <c r="H4067" s="16">
        <f>IF(NOT(Paths!$C$376=1),0,IF(Paths!$P$376="Complete",F4067/12*(Paths!$L$376*(1+IF(Paths!$D$376="EV",'Operating costs'!$B$52,'Operating costs'!$B$51))^MAX(0,C4067-1)+Paths!$M$376*(1+'Operating costs'!$B$53)^MAX(0,C4067-1)),"n.a."))</f>
        <v>0</v>
      </c>
      <c r="I4067" s="16">
        <f>IF(NOT(Paths!$C$376=1),0,IF(Paths!$P$376="Complete",IF(IF(Paths!$E$376=0,C4067=0,AND(C4067&gt;0,Paths!$E$376&gt;(C4067-1)*12,Paths!$E$376&lt;=C4067*12)),Paths!$G$376,0),"n.a."))</f>
        <v>0</v>
      </c>
      <c r="J4067" s="16">
        <f>IF(NOT(Paths!$C$376=1),0,IF(Paths!$P$376="Complete",IF(IF(Paths!$E$376=0,C4067=0,AND(C4067&gt;0,Paths!$E$376&gt;(C4067-1)*12,Paths!$E$376&lt;=C4067*12)),Paths!$H$376,0),"n.a."))</f>
        <v>0</v>
      </c>
      <c r="K4067" s="16">
        <f>IF(NOT(Paths!$C$376=1),0,IF(Paths!$P$376="Complete",IF(IF(Paths!$O$376=0,C4067=0,AND(C4067&gt;0,Paths!$O$376&gt;(C4067-1)*12,Paths!$O$376&lt;=C4067*12)),Paths!$N$376,0),"n.a."))</f>
        <v>0</v>
      </c>
      <c r="L4067" s="16">
        <f>IF(NOT(Paths!$C$376=1),0,IF(Paths!$P$376="Complete",IF(C4067=10,Paths!$I$376,0),"n.a."))</f>
        <v>0</v>
      </c>
      <c r="M4067" s="16">
        <f>IF(NOT(Paths!$C$376=1),0,IF(Paths!$P$376="Complete",IF(AND(Paths!$D$376="EV",Paths!$E$376&lt;120,Paths!$E$376+'Operating costs'!$B$65&gt;Paths!$E$376,Paths!$E$376+'Operating costs'!$B$65&lt;=120,IF(Paths!$E$376+'Operating costs'!$B$65=0,C4067=0,AND(C4067&gt;0,Paths!$E$376+'Operating costs'!$B$65&gt;(C4067-1)*12,Paths!$E$376+'Operating costs'!$B$65&lt;=C4067*12))),'Operating costs'!$B$64,0)+IF(AND('Operating costs'!$B$67&gt;0,'Operating costs'!$B$67&lt;=120,OR(Paths!$D$376="ICE",'Operating costs'!$B$67&lt;=Paths!$E$376),IF('Operating costs'!$B$67=0,C4067=0,AND(C4067&gt;0,'Operating costs'!$B$67&gt;(C4067-1)*12,'Operating costs'!$B$67&lt;=C4067*12))),'Operating costs'!$B$66,0),"n.a."))</f>
        <v>0</v>
      </c>
      <c r="N4067" s="16">
        <f>IF(NOT(Paths!$C$376=1),0,IF(Paths!$P$376="Complete",SUM(G4067:I4067)-J4067-K4067-L4067+M4067+IF(C4067=0,Paths!$F$376,0)+IF(IF(Paths!$E$376=0,C4067=0,AND(C4067&gt;0,Paths!$E$376&gt;(C4067-1)*12,Paths!$E$376&lt;=C4067*12)),VLOOKUP(A4067,'Fleet register'!$A$7:$S$106,16,FALSE),0),"n.a."))</f>
        <v>0</v>
      </c>
      <c r="O4067" s="16">
        <f>IF(NOT(Paths!$C$376=1),0,IF(Paths!$P$376="Complete",N4067-IF(C4067=0,Paths!$F$376,0),"n.a."))</f>
        <v>0</v>
      </c>
      <c r="P4067" s="16">
        <f>IF(NOT(Paths!$C$376=1),0,IF(Paths!$P$376="Complete",O4067+L4067,"n.a."))</f>
        <v>0</v>
      </c>
      <c r="Q4067" s="16">
        <f>IF(NOT(Paths!$C$376=1),0,IF(Paths!$P$376="Complete",N4067*(1+'Operating costs'!$B$54)^-C4067,"n.a."))</f>
        <v>0</v>
      </c>
      <c r="R4067" s="16">
        <f>IF(NOT(Paths!$C$376=1),0,IF(Paths!$P$376="Complete",IF(AND(C4067=0,Paths!$E$376=0),I4067-J4067-K4067+VLOOKUP(A4067,'Fleet register'!$A$7:$S$106,15,FALSE)+VLOOKUP(A4067,'Fleet register'!$A$7:$S$106,16,FALSE),0),"n.a."))</f>
        <v>0</v>
      </c>
      <c r="S4067" s="1">
        <f>IF(NOT(Paths!$C$376=1),0,IF(Paths!$P$376="Complete",IF(C4067=0,0,Paths!$S$376*Paths!$R$376),"n.a."))</f>
        <v>0</v>
      </c>
      <c r="T4067" s="1">
        <f>IF(NOT(Paths!$C$376=1),0,IF(Paths!$P$376="Complete",IF(C4067=0,0,VLOOKUP(A4067,'Fleet register'!$A$7:$S$106,9,FALSE)*Paths!$R$376),"n.a."))</f>
        <v>0</v>
      </c>
    </row>
    <row r="4068" spans="1:20" ht="24" customHeight="1">
      <c r="A4068" s="1" t="str">
        <f>Paths!$A$376</f>
        <v>T093</v>
      </c>
      <c r="B4068" s="1">
        <f>Paths!$B$376</f>
        <v>1</v>
      </c>
      <c r="C4068" s="1">
        <v>2</v>
      </c>
      <c r="D4068" s="1">
        <v>376</v>
      </c>
      <c r="E4068" s="1">
        <f>IF(OR(Paths!$C$376=0,C4068=0),0,MAX(0,MIN(C4068*12,Paths!$E$376)-(C4068-1)*12))</f>
        <v>0</v>
      </c>
      <c r="F4068" s="1">
        <f>IF(OR(Paths!$C$376=0,C4068=0),0,12-E4068)</f>
        <v>0</v>
      </c>
      <c r="G4068" s="16">
        <f>IF(NOT(Paths!$C$376=1),0,IF(Paths!$P$376="Complete",E4068/12*(Paths!$J$376*(1+'Operating costs'!$B$51)^MAX(0,C4068-1)+Paths!$K$376*(1+'Operating costs'!$B$53)^MAX(0,C4068-1)),"n.a."))</f>
        <v>0</v>
      </c>
      <c r="H4068" s="16">
        <f>IF(NOT(Paths!$C$376=1),0,IF(Paths!$P$376="Complete",F4068/12*(Paths!$L$376*(1+IF(Paths!$D$376="EV",'Operating costs'!$B$52,'Operating costs'!$B$51))^MAX(0,C4068-1)+Paths!$M$376*(1+'Operating costs'!$B$53)^MAX(0,C4068-1)),"n.a."))</f>
        <v>0</v>
      </c>
      <c r="I4068" s="16">
        <f>IF(NOT(Paths!$C$376=1),0,IF(Paths!$P$376="Complete",IF(IF(Paths!$E$376=0,C4068=0,AND(C4068&gt;0,Paths!$E$376&gt;(C4068-1)*12,Paths!$E$376&lt;=C4068*12)),Paths!$G$376,0),"n.a."))</f>
        <v>0</v>
      </c>
      <c r="J4068" s="16">
        <f>IF(NOT(Paths!$C$376=1),0,IF(Paths!$P$376="Complete",IF(IF(Paths!$E$376=0,C4068=0,AND(C4068&gt;0,Paths!$E$376&gt;(C4068-1)*12,Paths!$E$376&lt;=C4068*12)),Paths!$H$376,0),"n.a."))</f>
        <v>0</v>
      </c>
      <c r="K4068" s="16">
        <f>IF(NOT(Paths!$C$376=1),0,IF(Paths!$P$376="Complete",IF(IF(Paths!$O$376=0,C4068=0,AND(C4068&gt;0,Paths!$O$376&gt;(C4068-1)*12,Paths!$O$376&lt;=C4068*12)),Paths!$N$376,0),"n.a."))</f>
        <v>0</v>
      </c>
      <c r="L4068" s="16">
        <f>IF(NOT(Paths!$C$376=1),0,IF(Paths!$P$376="Complete",IF(C4068=10,Paths!$I$376,0),"n.a."))</f>
        <v>0</v>
      </c>
      <c r="M4068" s="16">
        <f>IF(NOT(Paths!$C$376=1),0,IF(Paths!$P$376="Complete",IF(AND(Paths!$D$376="EV",Paths!$E$376&lt;120,Paths!$E$376+'Operating costs'!$B$65&gt;Paths!$E$376,Paths!$E$376+'Operating costs'!$B$65&lt;=120,IF(Paths!$E$376+'Operating costs'!$B$65=0,C4068=0,AND(C4068&gt;0,Paths!$E$376+'Operating costs'!$B$65&gt;(C4068-1)*12,Paths!$E$376+'Operating costs'!$B$65&lt;=C4068*12))),'Operating costs'!$B$64,0)+IF(AND('Operating costs'!$B$67&gt;0,'Operating costs'!$B$67&lt;=120,OR(Paths!$D$376="ICE",'Operating costs'!$B$67&lt;=Paths!$E$376),IF('Operating costs'!$B$67=0,C4068=0,AND(C4068&gt;0,'Operating costs'!$B$67&gt;(C4068-1)*12,'Operating costs'!$B$67&lt;=C4068*12))),'Operating costs'!$B$66,0),"n.a."))</f>
        <v>0</v>
      </c>
      <c r="N4068" s="16">
        <f>IF(NOT(Paths!$C$376=1),0,IF(Paths!$P$376="Complete",SUM(G4068:I4068)-J4068-K4068-L4068+M4068+IF(C4068=0,Paths!$F$376,0)+IF(IF(Paths!$E$376=0,C4068=0,AND(C4068&gt;0,Paths!$E$376&gt;(C4068-1)*12,Paths!$E$376&lt;=C4068*12)),VLOOKUP(A4068,'Fleet register'!$A$7:$S$106,16,FALSE),0),"n.a."))</f>
        <v>0</v>
      </c>
      <c r="O4068" s="16">
        <f>IF(NOT(Paths!$C$376=1),0,IF(Paths!$P$376="Complete",N4068-IF(C4068=0,Paths!$F$376,0),"n.a."))</f>
        <v>0</v>
      </c>
      <c r="P4068" s="16">
        <f>IF(NOT(Paths!$C$376=1),0,IF(Paths!$P$376="Complete",O4068+L4068,"n.a."))</f>
        <v>0</v>
      </c>
      <c r="Q4068" s="16">
        <f>IF(NOT(Paths!$C$376=1),0,IF(Paths!$P$376="Complete",N4068*(1+'Operating costs'!$B$54)^-C4068,"n.a."))</f>
        <v>0</v>
      </c>
      <c r="R4068" s="16">
        <f>IF(NOT(Paths!$C$376=1),0,IF(Paths!$P$376="Complete",IF(AND(C4068=0,Paths!$E$376=0),I4068-J4068-K4068+VLOOKUP(A4068,'Fleet register'!$A$7:$S$106,15,FALSE)+VLOOKUP(A4068,'Fleet register'!$A$7:$S$106,16,FALSE),0),"n.a."))</f>
        <v>0</v>
      </c>
      <c r="S4068" s="1">
        <f>IF(NOT(Paths!$C$376=1),0,IF(Paths!$P$376="Complete",IF(C4068=0,0,Paths!$S$376*Paths!$R$376),"n.a."))</f>
        <v>0</v>
      </c>
      <c r="T4068" s="1">
        <f>IF(NOT(Paths!$C$376=1),0,IF(Paths!$P$376="Complete",IF(C4068=0,0,VLOOKUP(A4068,'Fleet register'!$A$7:$S$106,9,FALSE)*Paths!$R$376),"n.a."))</f>
        <v>0</v>
      </c>
    </row>
    <row r="4069" spans="1:20" ht="24" customHeight="1">
      <c r="A4069" s="1" t="str">
        <f>Paths!$A$376</f>
        <v>T093</v>
      </c>
      <c r="B4069" s="1">
        <f>Paths!$B$376</f>
        <v>1</v>
      </c>
      <c r="C4069" s="1">
        <v>3</v>
      </c>
      <c r="D4069" s="1">
        <v>376</v>
      </c>
      <c r="E4069" s="1">
        <f>IF(OR(Paths!$C$376=0,C4069=0),0,MAX(0,MIN(C4069*12,Paths!$E$376)-(C4069-1)*12))</f>
        <v>0</v>
      </c>
      <c r="F4069" s="1">
        <f>IF(OR(Paths!$C$376=0,C4069=0),0,12-E4069)</f>
        <v>0</v>
      </c>
      <c r="G4069" s="16">
        <f>IF(NOT(Paths!$C$376=1),0,IF(Paths!$P$376="Complete",E4069/12*(Paths!$J$376*(1+'Operating costs'!$B$51)^MAX(0,C4069-1)+Paths!$K$376*(1+'Operating costs'!$B$53)^MAX(0,C4069-1)),"n.a."))</f>
        <v>0</v>
      </c>
      <c r="H4069" s="16">
        <f>IF(NOT(Paths!$C$376=1),0,IF(Paths!$P$376="Complete",F4069/12*(Paths!$L$376*(1+IF(Paths!$D$376="EV",'Operating costs'!$B$52,'Operating costs'!$B$51))^MAX(0,C4069-1)+Paths!$M$376*(1+'Operating costs'!$B$53)^MAX(0,C4069-1)),"n.a."))</f>
        <v>0</v>
      </c>
      <c r="I4069" s="16">
        <f>IF(NOT(Paths!$C$376=1),0,IF(Paths!$P$376="Complete",IF(IF(Paths!$E$376=0,C4069=0,AND(C4069&gt;0,Paths!$E$376&gt;(C4069-1)*12,Paths!$E$376&lt;=C4069*12)),Paths!$G$376,0),"n.a."))</f>
        <v>0</v>
      </c>
      <c r="J4069" s="16">
        <f>IF(NOT(Paths!$C$376=1),0,IF(Paths!$P$376="Complete",IF(IF(Paths!$E$376=0,C4069=0,AND(C4069&gt;0,Paths!$E$376&gt;(C4069-1)*12,Paths!$E$376&lt;=C4069*12)),Paths!$H$376,0),"n.a."))</f>
        <v>0</v>
      </c>
      <c r="K4069" s="16">
        <f>IF(NOT(Paths!$C$376=1),0,IF(Paths!$P$376="Complete",IF(IF(Paths!$O$376=0,C4069=0,AND(C4069&gt;0,Paths!$O$376&gt;(C4069-1)*12,Paths!$O$376&lt;=C4069*12)),Paths!$N$376,0),"n.a."))</f>
        <v>0</v>
      </c>
      <c r="L4069" s="16">
        <f>IF(NOT(Paths!$C$376=1),0,IF(Paths!$P$376="Complete",IF(C4069=10,Paths!$I$376,0),"n.a."))</f>
        <v>0</v>
      </c>
      <c r="M4069" s="16">
        <f>IF(NOT(Paths!$C$376=1),0,IF(Paths!$P$376="Complete",IF(AND(Paths!$D$376="EV",Paths!$E$376&lt;120,Paths!$E$376+'Operating costs'!$B$65&gt;Paths!$E$376,Paths!$E$376+'Operating costs'!$B$65&lt;=120,IF(Paths!$E$376+'Operating costs'!$B$65=0,C4069=0,AND(C4069&gt;0,Paths!$E$376+'Operating costs'!$B$65&gt;(C4069-1)*12,Paths!$E$376+'Operating costs'!$B$65&lt;=C4069*12))),'Operating costs'!$B$64,0)+IF(AND('Operating costs'!$B$67&gt;0,'Operating costs'!$B$67&lt;=120,OR(Paths!$D$376="ICE",'Operating costs'!$B$67&lt;=Paths!$E$376),IF('Operating costs'!$B$67=0,C4069=0,AND(C4069&gt;0,'Operating costs'!$B$67&gt;(C4069-1)*12,'Operating costs'!$B$67&lt;=C4069*12))),'Operating costs'!$B$66,0),"n.a."))</f>
        <v>0</v>
      </c>
      <c r="N4069" s="16">
        <f>IF(NOT(Paths!$C$376=1),0,IF(Paths!$P$376="Complete",SUM(G4069:I4069)-J4069-K4069-L4069+M4069+IF(C4069=0,Paths!$F$376,0)+IF(IF(Paths!$E$376=0,C4069=0,AND(C4069&gt;0,Paths!$E$376&gt;(C4069-1)*12,Paths!$E$376&lt;=C4069*12)),VLOOKUP(A4069,'Fleet register'!$A$7:$S$106,16,FALSE),0),"n.a."))</f>
        <v>0</v>
      </c>
      <c r="O4069" s="16">
        <f>IF(NOT(Paths!$C$376=1),0,IF(Paths!$P$376="Complete",N4069-IF(C4069=0,Paths!$F$376,0),"n.a."))</f>
        <v>0</v>
      </c>
      <c r="P4069" s="16">
        <f>IF(NOT(Paths!$C$376=1),0,IF(Paths!$P$376="Complete",O4069+L4069,"n.a."))</f>
        <v>0</v>
      </c>
      <c r="Q4069" s="16">
        <f>IF(NOT(Paths!$C$376=1),0,IF(Paths!$P$376="Complete",N4069*(1+'Operating costs'!$B$54)^-C4069,"n.a."))</f>
        <v>0</v>
      </c>
      <c r="R4069" s="16">
        <f>IF(NOT(Paths!$C$376=1),0,IF(Paths!$P$376="Complete",IF(AND(C4069=0,Paths!$E$376=0),I4069-J4069-K4069+VLOOKUP(A4069,'Fleet register'!$A$7:$S$106,15,FALSE)+VLOOKUP(A4069,'Fleet register'!$A$7:$S$106,16,FALSE),0),"n.a."))</f>
        <v>0</v>
      </c>
      <c r="S4069" s="1">
        <f>IF(NOT(Paths!$C$376=1),0,IF(Paths!$P$376="Complete",IF(C4069=0,0,Paths!$S$376*Paths!$R$376),"n.a."))</f>
        <v>0</v>
      </c>
      <c r="T4069" s="1">
        <f>IF(NOT(Paths!$C$376=1),0,IF(Paths!$P$376="Complete",IF(C4069=0,0,VLOOKUP(A4069,'Fleet register'!$A$7:$S$106,9,FALSE)*Paths!$R$376),"n.a."))</f>
        <v>0</v>
      </c>
    </row>
    <row r="4070" spans="1:20" ht="24" customHeight="1">
      <c r="A4070" s="1" t="str">
        <f>Paths!$A$376</f>
        <v>T093</v>
      </c>
      <c r="B4070" s="1">
        <f>Paths!$B$376</f>
        <v>1</v>
      </c>
      <c r="C4070" s="1">
        <v>4</v>
      </c>
      <c r="D4070" s="1">
        <v>376</v>
      </c>
      <c r="E4070" s="1">
        <f>IF(OR(Paths!$C$376=0,C4070=0),0,MAX(0,MIN(C4070*12,Paths!$E$376)-(C4070-1)*12))</f>
        <v>0</v>
      </c>
      <c r="F4070" s="1">
        <f>IF(OR(Paths!$C$376=0,C4070=0),0,12-E4070)</f>
        <v>0</v>
      </c>
      <c r="G4070" s="16">
        <f>IF(NOT(Paths!$C$376=1),0,IF(Paths!$P$376="Complete",E4070/12*(Paths!$J$376*(1+'Operating costs'!$B$51)^MAX(0,C4070-1)+Paths!$K$376*(1+'Operating costs'!$B$53)^MAX(0,C4070-1)),"n.a."))</f>
        <v>0</v>
      </c>
      <c r="H4070" s="16">
        <f>IF(NOT(Paths!$C$376=1),0,IF(Paths!$P$376="Complete",F4070/12*(Paths!$L$376*(1+IF(Paths!$D$376="EV",'Operating costs'!$B$52,'Operating costs'!$B$51))^MAX(0,C4070-1)+Paths!$M$376*(1+'Operating costs'!$B$53)^MAX(0,C4070-1)),"n.a."))</f>
        <v>0</v>
      </c>
      <c r="I4070" s="16">
        <f>IF(NOT(Paths!$C$376=1),0,IF(Paths!$P$376="Complete",IF(IF(Paths!$E$376=0,C4070=0,AND(C4070&gt;0,Paths!$E$376&gt;(C4070-1)*12,Paths!$E$376&lt;=C4070*12)),Paths!$G$376,0),"n.a."))</f>
        <v>0</v>
      </c>
      <c r="J4070" s="16">
        <f>IF(NOT(Paths!$C$376=1),0,IF(Paths!$P$376="Complete",IF(IF(Paths!$E$376=0,C4070=0,AND(C4070&gt;0,Paths!$E$376&gt;(C4070-1)*12,Paths!$E$376&lt;=C4070*12)),Paths!$H$376,0),"n.a."))</f>
        <v>0</v>
      </c>
      <c r="K4070" s="16">
        <f>IF(NOT(Paths!$C$376=1),0,IF(Paths!$P$376="Complete",IF(IF(Paths!$O$376=0,C4070=0,AND(C4070&gt;0,Paths!$O$376&gt;(C4070-1)*12,Paths!$O$376&lt;=C4070*12)),Paths!$N$376,0),"n.a."))</f>
        <v>0</v>
      </c>
      <c r="L4070" s="16">
        <f>IF(NOT(Paths!$C$376=1),0,IF(Paths!$P$376="Complete",IF(C4070=10,Paths!$I$376,0),"n.a."))</f>
        <v>0</v>
      </c>
      <c r="M4070" s="16">
        <f>IF(NOT(Paths!$C$376=1),0,IF(Paths!$P$376="Complete",IF(AND(Paths!$D$376="EV",Paths!$E$376&lt;120,Paths!$E$376+'Operating costs'!$B$65&gt;Paths!$E$376,Paths!$E$376+'Operating costs'!$B$65&lt;=120,IF(Paths!$E$376+'Operating costs'!$B$65=0,C4070=0,AND(C4070&gt;0,Paths!$E$376+'Operating costs'!$B$65&gt;(C4070-1)*12,Paths!$E$376+'Operating costs'!$B$65&lt;=C4070*12))),'Operating costs'!$B$64,0)+IF(AND('Operating costs'!$B$67&gt;0,'Operating costs'!$B$67&lt;=120,OR(Paths!$D$376="ICE",'Operating costs'!$B$67&lt;=Paths!$E$376),IF('Operating costs'!$B$67=0,C4070=0,AND(C4070&gt;0,'Operating costs'!$B$67&gt;(C4070-1)*12,'Operating costs'!$B$67&lt;=C4070*12))),'Operating costs'!$B$66,0),"n.a."))</f>
        <v>0</v>
      </c>
      <c r="N4070" s="16">
        <f>IF(NOT(Paths!$C$376=1),0,IF(Paths!$P$376="Complete",SUM(G4070:I4070)-J4070-K4070-L4070+M4070+IF(C4070=0,Paths!$F$376,0)+IF(IF(Paths!$E$376=0,C4070=0,AND(C4070&gt;0,Paths!$E$376&gt;(C4070-1)*12,Paths!$E$376&lt;=C4070*12)),VLOOKUP(A4070,'Fleet register'!$A$7:$S$106,16,FALSE),0),"n.a."))</f>
        <v>0</v>
      </c>
      <c r="O4070" s="16">
        <f>IF(NOT(Paths!$C$376=1),0,IF(Paths!$P$376="Complete",N4070-IF(C4070=0,Paths!$F$376,0),"n.a."))</f>
        <v>0</v>
      </c>
      <c r="P4070" s="16">
        <f>IF(NOT(Paths!$C$376=1),0,IF(Paths!$P$376="Complete",O4070+L4070,"n.a."))</f>
        <v>0</v>
      </c>
      <c r="Q4070" s="16">
        <f>IF(NOT(Paths!$C$376=1),0,IF(Paths!$P$376="Complete",N4070*(1+'Operating costs'!$B$54)^-C4070,"n.a."))</f>
        <v>0</v>
      </c>
      <c r="R4070" s="16">
        <f>IF(NOT(Paths!$C$376=1),0,IF(Paths!$P$376="Complete",IF(AND(C4070=0,Paths!$E$376=0),I4070-J4070-K4070+VLOOKUP(A4070,'Fleet register'!$A$7:$S$106,15,FALSE)+VLOOKUP(A4070,'Fleet register'!$A$7:$S$106,16,FALSE),0),"n.a."))</f>
        <v>0</v>
      </c>
      <c r="S4070" s="1">
        <f>IF(NOT(Paths!$C$376=1),0,IF(Paths!$P$376="Complete",IF(C4070=0,0,Paths!$S$376*Paths!$R$376),"n.a."))</f>
        <v>0</v>
      </c>
      <c r="T4070" s="1">
        <f>IF(NOT(Paths!$C$376=1),0,IF(Paths!$P$376="Complete",IF(C4070=0,0,VLOOKUP(A4070,'Fleet register'!$A$7:$S$106,9,FALSE)*Paths!$R$376),"n.a."))</f>
        <v>0</v>
      </c>
    </row>
    <row r="4071" spans="1:20" ht="24" customHeight="1">
      <c r="A4071" s="1" t="str">
        <f>Paths!$A$376</f>
        <v>T093</v>
      </c>
      <c r="B4071" s="1">
        <f>Paths!$B$376</f>
        <v>1</v>
      </c>
      <c r="C4071" s="1">
        <v>5</v>
      </c>
      <c r="D4071" s="1">
        <v>376</v>
      </c>
      <c r="E4071" s="1">
        <f>IF(OR(Paths!$C$376=0,C4071=0),0,MAX(0,MIN(C4071*12,Paths!$E$376)-(C4071-1)*12))</f>
        <v>0</v>
      </c>
      <c r="F4071" s="1">
        <f>IF(OR(Paths!$C$376=0,C4071=0),0,12-E4071)</f>
        <v>0</v>
      </c>
      <c r="G4071" s="16">
        <f>IF(NOT(Paths!$C$376=1),0,IF(Paths!$P$376="Complete",E4071/12*(Paths!$J$376*(1+'Operating costs'!$B$51)^MAX(0,C4071-1)+Paths!$K$376*(1+'Operating costs'!$B$53)^MAX(0,C4071-1)),"n.a."))</f>
        <v>0</v>
      </c>
      <c r="H4071" s="16">
        <f>IF(NOT(Paths!$C$376=1),0,IF(Paths!$P$376="Complete",F4071/12*(Paths!$L$376*(1+IF(Paths!$D$376="EV",'Operating costs'!$B$52,'Operating costs'!$B$51))^MAX(0,C4071-1)+Paths!$M$376*(1+'Operating costs'!$B$53)^MAX(0,C4071-1)),"n.a."))</f>
        <v>0</v>
      </c>
      <c r="I4071" s="16">
        <f>IF(NOT(Paths!$C$376=1),0,IF(Paths!$P$376="Complete",IF(IF(Paths!$E$376=0,C4071=0,AND(C4071&gt;0,Paths!$E$376&gt;(C4071-1)*12,Paths!$E$376&lt;=C4071*12)),Paths!$G$376,0),"n.a."))</f>
        <v>0</v>
      </c>
      <c r="J4071" s="16">
        <f>IF(NOT(Paths!$C$376=1),0,IF(Paths!$P$376="Complete",IF(IF(Paths!$E$376=0,C4071=0,AND(C4071&gt;0,Paths!$E$376&gt;(C4071-1)*12,Paths!$E$376&lt;=C4071*12)),Paths!$H$376,0),"n.a."))</f>
        <v>0</v>
      </c>
      <c r="K4071" s="16">
        <f>IF(NOT(Paths!$C$376=1),0,IF(Paths!$P$376="Complete",IF(IF(Paths!$O$376=0,C4071=0,AND(C4071&gt;0,Paths!$O$376&gt;(C4071-1)*12,Paths!$O$376&lt;=C4071*12)),Paths!$N$376,0),"n.a."))</f>
        <v>0</v>
      </c>
      <c r="L4071" s="16">
        <f>IF(NOT(Paths!$C$376=1),0,IF(Paths!$P$376="Complete",IF(C4071=10,Paths!$I$376,0),"n.a."))</f>
        <v>0</v>
      </c>
      <c r="M4071" s="16">
        <f>IF(NOT(Paths!$C$376=1),0,IF(Paths!$P$376="Complete",IF(AND(Paths!$D$376="EV",Paths!$E$376&lt;120,Paths!$E$376+'Operating costs'!$B$65&gt;Paths!$E$376,Paths!$E$376+'Operating costs'!$B$65&lt;=120,IF(Paths!$E$376+'Operating costs'!$B$65=0,C4071=0,AND(C4071&gt;0,Paths!$E$376+'Operating costs'!$B$65&gt;(C4071-1)*12,Paths!$E$376+'Operating costs'!$B$65&lt;=C4071*12))),'Operating costs'!$B$64,0)+IF(AND('Operating costs'!$B$67&gt;0,'Operating costs'!$B$67&lt;=120,OR(Paths!$D$376="ICE",'Operating costs'!$B$67&lt;=Paths!$E$376),IF('Operating costs'!$B$67=0,C4071=0,AND(C4071&gt;0,'Operating costs'!$B$67&gt;(C4071-1)*12,'Operating costs'!$B$67&lt;=C4071*12))),'Operating costs'!$B$66,0),"n.a."))</f>
        <v>0</v>
      </c>
      <c r="N4071" s="16">
        <f>IF(NOT(Paths!$C$376=1),0,IF(Paths!$P$376="Complete",SUM(G4071:I4071)-J4071-K4071-L4071+M4071+IF(C4071=0,Paths!$F$376,0)+IF(IF(Paths!$E$376=0,C4071=0,AND(C4071&gt;0,Paths!$E$376&gt;(C4071-1)*12,Paths!$E$376&lt;=C4071*12)),VLOOKUP(A4071,'Fleet register'!$A$7:$S$106,16,FALSE),0),"n.a."))</f>
        <v>0</v>
      </c>
      <c r="O4071" s="16">
        <f>IF(NOT(Paths!$C$376=1),0,IF(Paths!$P$376="Complete",N4071-IF(C4071=0,Paths!$F$376,0),"n.a."))</f>
        <v>0</v>
      </c>
      <c r="P4071" s="16">
        <f>IF(NOT(Paths!$C$376=1),0,IF(Paths!$P$376="Complete",O4071+L4071,"n.a."))</f>
        <v>0</v>
      </c>
      <c r="Q4071" s="16">
        <f>IF(NOT(Paths!$C$376=1),0,IF(Paths!$P$376="Complete",N4071*(1+'Operating costs'!$B$54)^-C4071,"n.a."))</f>
        <v>0</v>
      </c>
      <c r="R4071" s="16">
        <f>IF(NOT(Paths!$C$376=1),0,IF(Paths!$P$376="Complete",IF(AND(C4071=0,Paths!$E$376=0),I4071-J4071-K4071+VLOOKUP(A4071,'Fleet register'!$A$7:$S$106,15,FALSE)+VLOOKUP(A4071,'Fleet register'!$A$7:$S$106,16,FALSE),0),"n.a."))</f>
        <v>0</v>
      </c>
      <c r="S4071" s="1">
        <f>IF(NOT(Paths!$C$376=1),0,IF(Paths!$P$376="Complete",IF(C4071=0,0,Paths!$S$376*Paths!$R$376),"n.a."))</f>
        <v>0</v>
      </c>
      <c r="T4071" s="1">
        <f>IF(NOT(Paths!$C$376=1),0,IF(Paths!$P$376="Complete",IF(C4071=0,0,VLOOKUP(A4071,'Fleet register'!$A$7:$S$106,9,FALSE)*Paths!$R$376),"n.a."))</f>
        <v>0</v>
      </c>
    </row>
    <row r="4072" spans="1:20" ht="24" customHeight="1">
      <c r="A4072" s="1" t="str">
        <f>Paths!$A$376</f>
        <v>T093</v>
      </c>
      <c r="B4072" s="1">
        <f>Paths!$B$376</f>
        <v>1</v>
      </c>
      <c r="C4072" s="1">
        <v>6</v>
      </c>
      <c r="D4072" s="1">
        <v>376</v>
      </c>
      <c r="E4072" s="1">
        <f>IF(OR(Paths!$C$376=0,C4072=0),0,MAX(0,MIN(C4072*12,Paths!$E$376)-(C4072-1)*12))</f>
        <v>0</v>
      </c>
      <c r="F4072" s="1">
        <f>IF(OR(Paths!$C$376=0,C4072=0),0,12-E4072)</f>
        <v>0</v>
      </c>
      <c r="G4072" s="16">
        <f>IF(NOT(Paths!$C$376=1),0,IF(Paths!$P$376="Complete",E4072/12*(Paths!$J$376*(1+'Operating costs'!$B$51)^MAX(0,C4072-1)+Paths!$K$376*(1+'Operating costs'!$B$53)^MAX(0,C4072-1)),"n.a."))</f>
        <v>0</v>
      </c>
      <c r="H4072" s="16">
        <f>IF(NOT(Paths!$C$376=1),0,IF(Paths!$P$376="Complete",F4072/12*(Paths!$L$376*(1+IF(Paths!$D$376="EV",'Operating costs'!$B$52,'Operating costs'!$B$51))^MAX(0,C4072-1)+Paths!$M$376*(1+'Operating costs'!$B$53)^MAX(0,C4072-1)),"n.a."))</f>
        <v>0</v>
      </c>
      <c r="I4072" s="16">
        <f>IF(NOT(Paths!$C$376=1),0,IF(Paths!$P$376="Complete",IF(IF(Paths!$E$376=0,C4072=0,AND(C4072&gt;0,Paths!$E$376&gt;(C4072-1)*12,Paths!$E$376&lt;=C4072*12)),Paths!$G$376,0),"n.a."))</f>
        <v>0</v>
      </c>
      <c r="J4072" s="16">
        <f>IF(NOT(Paths!$C$376=1),0,IF(Paths!$P$376="Complete",IF(IF(Paths!$E$376=0,C4072=0,AND(C4072&gt;0,Paths!$E$376&gt;(C4072-1)*12,Paths!$E$376&lt;=C4072*12)),Paths!$H$376,0),"n.a."))</f>
        <v>0</v>
      </c>
      <c r="K4072" s="16">
        <f>IF(NOT(Paths!$C$376=1),0,IF(Paths!$P$376="Complete",IF(IF(Paths!$O$376=0,C4072=0,AND(C4072&gt;0,Paths!$O$376&gt;(C4072-1)*12,Paths!$O$376&lt;=C4072*12)),Paths!$N$376,0),"n.a."))</f>
        <v>0</v>
      </c>
      <c r="L4072" s="16">
        <f>IF(NOT(Paths!$C$376=1),0,IF(Paths!$P$376="Complete",IF(C4072=10,Paths!$I$376,0),"n.a."))</f>
        <v>0</v>
      </c>
      <c r="M4072" s="16">
        <f>IF(NOT(Paths!$C$376=1),0,IF(Paths!$P$376="Complete",IF(AND(Paths!$D$376="EV",Paths!$E$376&lt;120,Paths!$E$376+'Operating costs'!$B$65&gt;Paths!$E$376,Paths!$E$376+'Operating costs'!$B$65&lt;=120,IF(Paths!$E$376+'Operating costs'!$B$65=0,C4072=0,AND(C4072&gt;0,Paths!$E$376+'Operating costs'!$B$65&gt;(C4072-1)*12,Paths!$E$376+'Operating costs'!$B$65&lt;=C4072*12))),'Operating costs'!$B$64,0)+IF(AND('Operating costs'!$B$67&gt;0,'Operating costs'!$B$67&lt;=120,OR(Paths!$D$376="ICE",'Operating costs'!$B$67&lt;=Paths!$E$376),IF('Operating costs'!$B$67=0,C4072=0,AND(C4072&gt;0,'Operating costs'!$B$67&gt;(C4072-1)*12,'Operating costs'!$B$67&lt;=C4072*12))),'Operating costs'!$B$66,0),"n.a."))</f>
        <v>0</v>
      </c>
      <c r="N4072" s="16">
        <f>IF(NOT(Paths!$C$376=1),0,IF(Paths!$P$376="Complete",SUM(G4072:I4072)-J4072-K4072-L4072+M4072+IF(C4072=0,Paths!$F$376,0)+IF(IF(Paths!$E$376=0,C4072=0,AND(C4072&gt;0,Paths!$E$376&gt;(C4072-1)*12,Paths!$E$376&lt;=C4072*12)),VLOOKUP(A4072,'Fleet register'!$A$7:$S$106,16,FALSE),0),"n.a."))</f>
        <v>0</v>
      </c>
      <c r="O4072" s="16">
        <f>IF(NOT(Paths!$C$376=1),0,IF(Paths!$P$376="Complete",N4072-IF(C4072=0,Paths!$F$376,0),"n.a."))</f>
        <v>0</v>
      </c>
      <c r="P4072" s="16">
        <f>IF(NOT(Paths!$C$376=1),0,IF(Paths!$P$376="Complete",O4072+L4072,"n.a."))</f>
        <v>0</v>
      </c>
      <c r="Q4072" s="16">
        <f>IF(NOT(Paths!$C$376=1),0,IF(Paths!$P$376="Complete",N4072*(1+'Operating costs'!$B$54)^-C4072,"n.a."))</f>
        <v>0</v>
      </c>
      <c r="R4072" s="16">
        <f>IF(NOT(Paths!$C$376=1),0,IF(Paths!$P$376="Complete",IF(AND(C4072=0,Paths!$E$376=0),I4072-J4072-K4072+VLOOKUP(A4072,'Fleet register'!$A$7:$S$106,15,FALSE)+VLOOKUP(A4072,'Fleet register'!$A$7:$S$106,16,FALSE),0),"n.a."))</f>
        <v>0</v>
      </c>
      <c r="S4072" s="1">
        <f>IF(NOT(Paths!$C$376=1),0,IF(Paths!$P$376="Complete",IF(C4072=0,0,Paths!$S$376*Paths!$R$376),"n.a."))</f>
        <v>0</v>
      </c>
      <c r="T4072" s="1">
        <f>IF(NOT(Paths!$C$376=1),0,IF(Paths!$P$376="Complete",IF(C4072=0,0,VLOOKUP(A4072,'Fleet register'!$A$7:$S$106,9,FALSE)*Paths!$R$376),"n.a."))</f>
        <v>0</v>
      </c>
    </row>
    <row r="4073" spans="1:20" ht="24" customHeight="1">
      <c r="A4073" s="1" t="str">
        <f>Paths!$A$376</f>
        <v>T093</v>
      </c>
      <c r="B4073" s="1">
        <f>Paths!$B$376</f>
        <v>1</v>
      </c>
      <c r="C4073" s="1">
        <v>7</v>
      </c>
      <c r="D4073" s="1">
        <v>376</v>
      </c>
      <c r="E4073" s="1">
        <f>IF(OR(Paths!$C$376=0,C4073=0),0,MAX(0,MIN(C4073*12,Paths!$E$376)-(C4073-1)*12))</f>
        <v>0</v>
      </c>
      <c r="F4073" s="1">
        <f>IF(OR(Paths!$C$376=0,C4073=0),0,12-E4073)</f>
        <v>0</v>
      </c>
      <c r="G4073" s="16">
        <f>IF(NOT(Paths!$C$376=1),0,IF(Paths!$P$376="Complete",E4073/12*(Paths!$J$376*(1+'Operating costs'!$B$51)^MAX(0,C4073-1)+Paths!$K$376*(1+'Operating costs'!$B$53)^MAX(0,C4073-1)),"n.a."))</f>
        <v>0</v>
      </c>
      <c r="H4073" s="16">
        <f>IF(NOT(Paths!$C$376=1),0,IF(Paths!$P$376="Complete",F4073/12*(Paths!$L$376*(1+IF(Paths!$D$376="EV",'Operating costs'!$B$52,'Operating costs'!$B$51))^MAX(0,C4073-1)+Paths!$M$376*(1+'Operating costs'!$B$53)^MAX(0,C4073-1)),"n.a."))</f>
        <v>0</v>
      </c>
      <c r="I4073" s="16">
        <f>IF(NOT(Paths!$C$376=1),0,IF(Paths!$P$376="Complete",IF(IF(Paths!$E$376=0,C4073=0,AND(C4073&gt;0,Paths!$E$376&gt;(C4073-1)*12,Paths!$E$376&lt;=C4073*12)),Paths!$G$376,0),"n.a."))</f>
        <v>0</v>
      </c>
      <c r="J4073" s="16">
        <f>IF(NOT(Paths!$C$376=1),0,IF(Paths!$P$376="Complete",IF(IF(Paths!$E$376=0,C4073=0,AND(C4073&gt;0,Paths!$E$376&gt;(C4073-1)*12,Paths!$E$376&lt;=C4073*12)),Paths!$H$376,0),"n.a."))</f>
        <v>0</v>
      </c>
      <c r="K4073" s="16">
        <f>IF(NOT(Paths!$C$376=1),0,IF(Paths!$P$376="Complete",IF(IF(Paths!$O$376=0,C4073=0,AND(C4073&gt;0,Paths!$O$376&gt;(C4073-1)*12,Paths!$O$376&lt;=C4073*12)),Paths!$N$376,0),"n.a."))</f>
        <v>0</v>
      </c>
      <c r="L4073" s="16">
        <f>IF(NOT(Paths!$C$376=1),0,IF(Paths!$P$376="Complete",IF(C4073=10,Paths!$I$376,0),"n.a."))</f>
        <v>0</v>
      </c>
      <c r="M4073" s="16">
        <f>IF(NOT(Paths!$C$376=1),0,IF(Paths!$P$376="Complete",IF(AND(Paths!$D$376="EV",Paths!$E$376&lt;120,Paths!$E$376+'Operating costs'!$B$65&gt;Paths!$E$376,Paths!$E$376+'Operating costs'!$B$65&lt;=120,IF(Paths!$E$376+'Operating costs'!$B$65=0,C4073=0,AND(C4073&gt;0,Paths!$E$376+'Operating costs'!$B$65&gt;(C4073-1)*12,Paths!$E$376+'Operating costs'!$B$65&lt;=C4073*12))),'Operating costs'!$B$64,0)+IF(AND('Operating costs'!$B$67&gt;0,'Operating costs'!$B$67&lt;=120,OR(Paths!$D$376="ICE",'Operating costs'!$B$67&lt;=Paths!$E$376),IF('Operating costs'!$B$67=0,C4073=0,AND(C4073&gt;0,'Operating costs'!$B$67&gt;(C4073-1)*12,'Operating costs'!$B$67&lt;=C4073*12))),'Operating costs'!$B$66,0),"n.a."))</f>
        <v>0</v>
      </c>
      <c r="N4073" s="16">
        <f>IF(NOT(Paths!$C$376=1),0,IF(Paths!$P$376="Complete",SUM(G4073:I4073)-J4073-K4073-L4073+M4073+IF(C4073=0,Paths!$F$376,0)+IF(IF(Paths!$E$376=0,C4073=0,AND(C4073&gt;0,Paths!$E$376&gt;(C4073-1)*12,Paths!$E$376&lt;=C4073*12)),VLOOKUP(A4073,'Fleet register'!$A$7:$S$106,16,FALSE),0),"n.a."))</f>
        <v>0</v>
      </c>
      <c r="O4073" s="16">
        <f>IF(NOT(Paths!$C$376=1),0,IF(Paths!$P$376="Complete",N4073-IF(C4073=0,Paths!$F$376,0),"n.a."))</f>
        <v>0</v>
      </c>
      <c r="P4073" s="16">
        <f>IF(NOT(Paths!$C$376=1),0,IF(Paths!$P$376="Complete",O4073+L4073,"n.a."))</f>
        <v>0</v>
      </c>
      <c r="Q4073" s="16">
        <f>IF(NOT(Paths!$C$376=1),0,IF(Paths!$P$376="Complete",N4073*(1+'Operating costs'!$B$54)^-C4073,"n.a."))</f>
        <v>0</v>
      </c>
      <c r="R4073" s="16">
        <f>IF(NOT(Paths!$C$376=1),0,IF(Paths!$P$376="Complete",IF(AND(C4073=0,Paths!$E$376=0),I4073-J4073-K4073+VLOOKUP(A4073,'Fleet register'!$A$7:$S$106,15,FALSE)+VLOOKUP(A4073,'Fleet register'!$A$7:$S$106,16,FALSE),0),"n.a."))</f>
        <v>0</v>
      </c>
      <c r="S4073" s="1">
        <f>IF(NOT(Paths!$C$376=1),0,IF(Paths!$P$376="Complete",IF(C4073=0,0,Paths!$S$376*Paths!$R$376),"n.a."))</f>
        <v>0</v>
      </c>
      <c r="T4073" s="1">
        <f>IF(NOT(Paths!$C$376=1),0,IF(Paths!$P$376="Complete",IF(C4073=0,0,VLOOKUP(A4073,'Fleet register'!$A$7:$S$106,9,FALSE)*Paths!$R$376),"n.a."))</f>
        <v>0</v>
      </c>
    </row>
    <row r="4074" spans="1:20" ht="24" customHeight="1">
      <c r="A4074" s="1" t="str">
        <f>Paths!$A$376</f>
        <v>T093</v>
      </c>
      <c r="B4074" s="1">
        <f>Paths!$B$376</f>
        <v>1</v>
      </c>
      <c r="C4074" s="1">
        <v>8</v>
      </c>
      <c r="D4074" s="1">
        <v>376</v>
      </c>
      <c r="E4074" s="1">
        <f>IF(OR(Paths!$C$376=0,C4074=0),0,MAX(0,MIN(C4074*12,Paths!$E$376)-(C4074-1)*12))</f>
        <v>0</v>
      </c>
      <c r="F4074" s="1">
        <f>IF(OR(Paths!$C$376=0,C4074=0),0,12-E4074)</f>
        <v>0</v>
      </c>
      <c r="G4074" s="16">
        <f>IF(NOT(Paths!$C$376=1),0,IF(Paths!$P$376="Complete",E4074/12*(Paths!$J$376*(1+'Operating costs'!$B$51)^MAX(0,C4074-1)+Paths!$K$376*(1+'Operating costs'!$B$53)^MAX(0,C4074-1)),"n.a."))</f>
        <v>0</v>
      </c>
      <c r="H4074" s="16">
        <f>IF(NOT(Paths!$C$376=1),0,IF(Paths!$P$376="Complete",F4074/12*(Paths!$L$376*(1+IF(Paths!$D$376="EV",'Operating costs'!$B$52,'Operating costs'!$B$51))^MAX(0,C4074-1)+Paths!$M$376*(1+'Operating costs'!$B$53)^MAX(0,C4074-1)),"n.a."))</f>
        <v>0</v>
      </c>
      <c r="I4074" s="16">
        <f>IF(NOT(Paths!$C$376=1),0,IF(Paths!$P$376="Complete",IF(IF(Paths!$E$376=0,C4074=0,AND(C4074&gt;0,Paths!$E$376&gt;(C4074-1)*12,Paths!$E$376&lt;=C4074*12)),Paths!$G$376,0),"n.a."))</f>
        <v>0</v>
      </c>
      <c r="J4074" s="16">
        <f>IF(NOT(Paths!$C$376=1),0,IF(Paths!$P$376="Complete",IF(IF(Paths!$E$376=0,C4074=0,AND(C4074&gt;0,Paths!$E$376&gt;(C4074-1)*12,Paths!$E$376&lt;=C4074*12)),Paths!$H$376,0),"n.a."))</f>
        <v>0</v>
      </c>
      <c r="K4074" s="16">
        <f>IF(NOT(Paths!$C$376=1),0,IF(Paths!$P$376="Complete",IF(IF(Paths!$O$376=0,C4074=0,AND(C4074&gt;0,Paths!$O$376&gt;(C4074-1)*12,Paths!$O$376&lt;=C4074*12)),Paths!$N$376,0),"n.a."))</f>
        <v>0</v>
      </c>
      <c r="L4074" s="16">
        <f>IF(NOT(Paths!$C$376=1),0,IF(Paths!$P$376="Complete",IF(C4074=10,Paths!$I$376,0),"n.a."))</f>
        <v>0</v>
      </c>
      <c r="M4074" s="16">
        <f>IF(NOT(Paths!$C$376=1),0,IF(Paths!$P$376="Complete",IF(AND(Paths!$D$376="EV",Paths!$E$376&lt;120,Paths!$E$376+'Operating costs'!$B$65&gt;Paths!$E$376,Paths!$E$376+'Operating costs'!$B$65&lt;=120,IF(Paths!$E$376+'Operating costs'!$B$65=0,C4074=0,AND(C4074&gt;0,Paths!$E$376+'Operating costs'!$B$65&gt;(C4074-1)*12,Paths!$E$376+'Operating costs'!$B$65&lt;=C4074*12))),'Operating costs'!$B$64,0)+IF(AND('Operating costs'!$B$67&gt;0,'Operating costs'!$B$67&lt;=120,OR(Paths!$D$376="ICE",'Operating costs'!$B$67&lt;=Paths!$E$376),IF('Operating costs'!$B$67=0,C4074=0,AND(C4074&gt;0,'Operating costs'!$B$67&gt;(C4074-1)*12,'Operating costs'!$B$67&lt;=C4074*12))),'Operating costs'!$B$66,0),"n.a."))</f>
        <v>0</v>
      </c>
      <c r="N4074" s="16">
        <f>IF(NOT(Paths!$C$376=1),0,IF(Paths!$P$376="Complete",SUM(G4074:I4074)-J4074-K4074-L4074+M4074+IF(C4074=0,Paths!$F$376,0)+IF(IF(Paths!$E$376=0,C4074=0,AND(C4074&gt;0,Paths!$E$376&gt;(C4074-1)*12,Paths!$E$376&lt;=C4074*12)),VLOOKUP(A4074,'Fleet register'!$A$7:$S$106,16,FALSE),0),"n.a."))</f>
        <v>0</v>
      </c>
      <c r="O4074" s="16">
        <f>IF(NOT(Paths!$C$376=1),0,IF(Paths!$P$376="Complete",N4074-IF(C4074=0,Paths!$F$376,0),"n.a."))</f>
        <v>0</v>
      </c>
      <c r="P4074" s="16">
        <f>IF(NOT(Paths!$C$376=1),0,IF(Paths!$P$376="Complete",O4074+L4074,"n.a."))</f>
        <v>0</v>
      </c>
      <c r="Q4074" s="16">
        <f>IF(NOT(Paths!$C$376=1),0,IF(Paths!$P$376="Complete",N4074*(1+'Operating costs'!$B$54)^-C4074,"n.a."))</f>
        <v>0</v>
      </c>
      <c r="R4074" s="16">
        <f>IF(NOT(Paths!$C$376=1),0,IF(Paths!$P$376="Complete",IF(AND(C4074=0,Paths!$E$376=0),I4074-J4074-K4074+VLOOKUP(A4074,'Fleet register'!$A$7:$S$106,15,FALSE)+VLOOKUP(A4074,'Fleet register'!$A$7:$S$106,16,FALSE),0),"n.a."))</f>
        <v>0</v>
      </c>
      <c r="S4074" s="1">
        <f>IF(NOT(Paths!$C$376=1),0,IF(Paths!$P$376="Complete",IF(C4074=0,0,Paths!$S$376*Paths!$R$376),"n.a."))</f>
        <v>0</v>
      </c>
      <c r="T4074" s="1">
        <f>IF(NOT(Paths!$C$376=1),0,IF(Paths!$P$376="Complete",IF(C4074=0,0,VLOOKUP(A4074,'Fleet register'!$A$7:$S$106,9,FALSE)*Paths!$R$376),"n.a."))</f>
        <v>0</v>
      </c>
    </row>
    <row r="4075" spans="1:20" ht="24" customHeight="1">
      <c r="A4075" s="1" t="str">
        <f>Paths!$A$376</f>
        <v>T093</v>
      </c>
      <c r="B4075" s="1">
        <f>Paths!$B$376</f>
        <v>1</v>
      </c>
      <c r="C4075" s="1">
        <v>9</v>
      </c>
      <c r="D4075" s="1">
        <v>376</v>
      </c>
      <c r="E4075" s="1">
        <f>IF(OR(Paths!$C$376=0,C4075=0),0,MAX(0,MIN(C4075*12,Paths!$E$376)-(C4075-1)*12))</f>
        <v>0</v>
      </c>
      <c r="F4075" s="1">
        <f>IF(OR(Paths!$C$376=0,C4075=0),0,12-E4075)</f>
        <v>0</v>
      </c>
      <c r="G4075" s="16">
        <f>IF(NOT(Paths!$C$376=1),0,IF(Paths!$P$376="Complete",E4075/12*(Paths!$J$376*(1+'Operating costs'!$B$51)^MAX(0,C4075-1)+Paths!$K$376*(1+'Operating costs'!$B$53)^MAX(0,C4075-1)),"n.a."))</f>
        <v>0</v>
      </c>
      <c r="H4075" s="16">
        <f>IF(NOT(Paths!$C$376=1),0,IF(Paths!$P$376="Complete",F4075/12*(Paths!$L$376*(1+IF(Paths!$D$376="EV",'Operating costs'!$B$52,'Operating costs'!$B$51))^MAX(0,C4075-1)+Paths!$M$376*(1+'Operating costs'!$B$53)^MAX(0,C4075-1)),"n.a."))</f>
        <v>0</v>
      </c>
      <c r="I4075" s="16">
        <f>IF(NOT(Paths!$C$376=1),0,IF(Paths!$P$376="Complete",IF(IF(Paths!$E$376=0,C4075=0,AND(C4075&gt;0,Paths!$E$376&gt;(C4075-1)*12,Paths!$E$376&lt;=C4075*12)),Paths!$G$376,0),"n.a."))</f>
        <v>0</v>
      </c>
      <c r="J4075" s="16">
        <f>IF(NOT(Paths!$C$376=1),0,IF(Paths!$P$376="Complete",IF(IF(Paths!$E$376=0,C4075=0,AND(C4075&gt;0,Paths!$E$376&gt;(C4075-1)*12,Paths!$E$376&lt;=C4075*12)),Paths!$H$376,0),"n.a."))</f>
        <v>0</v>
      </c>
      <c r="K4075" s="16">
        <f>IF(NOT(Paths!$C$376=1),0,IF(Paths!$P$376="Complete",IF(IF(Paths!$O$376=0,C4075=0,AND(C4075&gt;0,Paths!$O$376&gt;(C4075-1)*12,Paths!$O$376&lt;=C4075*12)),Paths!$N$376,0),"n.a."))</f>
        <v>0</v>
      </c>
      <c r="L4075" s="16">
        <f>IF(NOT(Paths!$C$376=1),0,IF(Paths!$P$376="Complete",IF(C4075=10,Paths!$I$376,0),"n.a."))</f>
        <v>0</v>
      </c>
      <c r="M4075" s="16">
        <f>IF(NOT(Paths!$C$376=1),0,IF(Paths!$P$376="Complete",IF(AND(Paths!$D$376="EV",Paths!$E$376&lt;120,Paths!$E$376+'Operating costs'!$B$65&gt;Paths!$E$376,Paths!$E$376+'Operating costs'!$B$65&lt;=120,IF(Paths!$E$376+'Operating costs'!$B$65=0,C4075=0,AND(C4075&gt;0,Paths!$E$376+'Operating costs'!$B$65&gt;(C4075-1)*12,Paths!$E$376+'Operating costs'!$B$65&lt;=C4075*12))),'Operating costs'!$B$64,0)+IF(AND('Operating costs'!$B$67&gt;0,'Operating costs'!$B$67&lt;=120,OR(Paths!$D$376="ICE",'Operating costs'!$B$67&lt;=Paths!$E$376),IF('Operating costs'!$B$67=0,C4075=0,AND(C4075&gt;0,'Operating costs'!$B$67&gt;(C4075-1)*12,'Operating costs'!$B$67&lt;=C4075*12))),'Operating costs'!$B$66,0),"n.a."))</f>
        <v>0</v>
      </c>
      <c r="N4075" s="16">
        <f>IF(NOT(Paths!$C$376=1),0,IF(Paths!$P$376="Complete",SUM(G4075:I4075)-J4075-K4075-L4075+M4075+IF(C4075=0,Paths!$F$376,0)+IF(IF(Paths!$E$376=0,C4075=0,AND(C4075&gt;0,Paths!$E$376&gt;(C4075-1)*12,Paths!$E$376&lt;=C4075*12)),VLOOKUP(A4075,'Fleet register'!$A$7:$S$106,16,FALSE),0),"n.a."))</f>
        <v>0</v>
      </c>
      <c r="O4075" s="16">
        <f>IF(NOT(Paths!$C$376=1),0,IF(Paths!$P$376="Complete",N4075-IF(C4075=0,Paths!$F$376,0),"n.a."))</f>
        <v>0</v>
      </c>
      <c r="P4075" s="16">
        <f>IF(NOT(Paths!$C$376=1),0,IF(Paths!$P$376="Complete",O4075+L4075,"n.a."))</f>
        <v>0</v>
      </c>
      <c r="Q4075" s="16">
        <f>IF(NOT(Paths!$C$376=1),0,IF(Paths!$P$376="Complete",N4075*(1+'Operating costs'!$B$54)^-C4075,"n.a."))</f>
        <v>0</v>
      </c>
      <c r="R4075" s="16">
        <f>IF(NOT(Paths!$C$376=1),0,IF(Paths!$P$376="Complete",IF(AND(C4075=0,Paths!$E$376=0),I4075-J4075-K4075+VLOOKUP(A4075,'Fleet register'!$A$7:$S$106,15,FALSE)+VLOOKUP(A4075,'Fleet register'!$A$7:$S$106,16,FALSE),0),"n.a."))</f>
        <v>0</v>
      </c>
      <c r="S4075" s="1">
        <f>IF(NOT(Paths!$C$376=1),0,IF(Paths!$P$376="Complete",IF(C4075=0,0,Paths!$S$376*Paths!$R$376),"n.a."))</f>
        <v>0</v>
      </c>
      <c r="T4075" s="1">
        <f>IF(NOT(Paths!$C$376=1),0,IF(Paths!$P$376="Complete",IF(C4075=0,0,VLOOKUP(A4075,'Fleet register'!$A$7:$S$106,9,FALSE)*Paths!$R$376),"n.a."))</f>
        <v>0</v>
      </c>
    </row>
    <row r="4076" spans="1:20" ht="24" customHeight="1">
      <c r="A4076" s="1" t="str">
        <f>Paths!$A$376</f>
        <v>T093</v>
      </c>
      <c r="B4076" s="1">
        <f>Paths!$B$376</f>
        <v>1</v>
      </c>
      <c r="C4076" s="1">
        <v>10</v>
      </c>
      <c r="D4076" s="1">
        <v>376</v>
      </c>
      <c r="E4076" s="1">
        <f>IF(OR(Paths!$C$376=0,C4076=0),0,MAX(0,MIN(C4076*12,Paths!$E$376)-(C4076-1)*12))</f>
        <v>0</v>
      </c>
      <c r="F4076" s="1">
        <f>IF(OR(Paths!$C$376=0,C4076=0),0,12-E4076)</f>
        <v>0</v>
      </c>
      <c r="G4076" s="16">
        <f>IF(NOT(Paths!$C$376=1),0,IF(Paths!$P$376="Complete",E4076/12*(Paths!$J$376*(1+'Operating costs'!$B$51)^MAX(0,C4076-1)+Paths!$K$376*(1+'Operating costs'!$B$53)^MAX(0,C4076-1)),"n.a."))</f>
        <v>0</v>
      </c>
      <c r="H4076" s="16">
        <f>IF(NOT(Paths!$C$376=1),0,IF(Paths!$P$376="Complete",F4076/12*(Paths!$L$376*(1+IF(Paths!$D$376="EV",'Operating costs'!$B$52,'Operating costs'!$B$51))^MAX(0,C4076-1)+Paths!$M$376*(1+'Operating costs'!$B$53)^MAX(0,C4076-1)),"n.a."))</f>
        <v>0</v>
      </c>
      <c r="I4076" s="16">
        <f>IF(NOT(Paths!$C$376=1),0,IF(Paths!$P$376="Complete",IF(IF(Paths!$E$376=0,C4076=0,AND(C4076&gt;0,Paths!$E$376&gt;(C4076-1)*12,Paths!$E$376&lt;=C4076*12)),Paths!$G$376,0),"n.a."))</f>
        <v>0</v>
      </c>
      <c r="J4076" s="16">
        <f>IF(NOT(Paths!$C$376=1),0,IF(Paths!$P$376="Complete",IF(IF(Paths!$E$376=0,C4076=0,AND(C4076&gt;0,Paths!$E$376&gt;(C4076-1)*12,Paths!$E$376&lt;=C4076*12)),Paths!$H$376,0),"n.a."))</f>
        <v>0</v>
      </c>
      <c r="K4076" s="16">
        <f>IF(NOT(Paths!$C$376=1),0,IF(Paths!$P$376="Complete",IF(IF(Paths!$O$376=0,C4076=0,AND(C4076&gt;0,Paths!$O$376&gt;(C4076-1)*12,Paths!$O$376&lt;=C4076*12)),Paths!$N$376,0),"n.a."))</f>
        <v>0</v>
      </c>
      <c r="L4076" s="16">
        <f>IF(NOT(Paths!$C$376=1),0,IF(Paths!$P$376="Complete",IF(C4076=10,Paths!$I$376,0),"n.a."))</f>
        <v>0</v>
      </c>
      <c r="M4076" s="16">
        <f>IF(NOT(Paths!$C$376=1),0,IF(Paths!$P$376="Complete",IF(AND(Paths!$D$376="EV",Paths!$E$376&lt;120,Paths!$E$376+'Operating costs'!$B$65&gt;Paths!$E$376,Paths!$E$376+'Operating costs'!$B$65&lt;=120,IF(Paths!$E$376+'Operating costs'!$B$65=0,C4076=0,AND(C4076&gt;0,Paths!$E$376+'Operating costs'!$B$65&gt;(C4076-1)*12,Paths!$E$376+'Operating costs'!$B$65&lt;=C4076*12))),'Operating costs'!$B$64,0)+IF(AND('Operating costs'!$B$67&gt;0,'Operating costs'!$B$67&lt;=120,OR(Paths!$D$376="ICE",'Operating costs'!$B$67&lt;=Paths!$E$376),IF('Operating costs'!$B$67=0,C4076=0,AND(C4076&gt;0,'Operating costs'!$B$67&gt;(C4076-1)*12,'Operating costs'!$B$67&lt;=C4076*12))),'Operating costs'!$B$66,0),"n.a."))</f>
        <v>0</v>
      </c>
      <c r="N4076" s="16">
        <f>IF(NOT(Paths!$C$376=1),0,IF(Paths!$P$376="Complete",SUM(G4076:I4076)-J4076-K4076-L4076+M4076+IF(C4076=0,Paths!$F$376,0)+IF(IF(Paths!$E$376=0,C4076=0,AND(C4076&gt;0,Paths!$E$376&gt;(C4076-1)*12,Paths!$E$376&lt;=C4076*12)),VLOOKUP(A4076,'Fleet register'!$A$7:$S$106,16,FALSE),0),"n.a."))</f>
        <v>0</v>
      </c>
      <c r="O4076" s="16">
        <f>IF(NOT(Paths!$C$376=1),0,IF(Paths!$P$376="Complete",N4076-IF(C4076=0,Paths!$F$376,0),"n.a."))</f>
        <v>0</v>
      </c>
      <c r="P4076" s="16">
        <f>IF(NOT(Paths!$C$376=1),0,IF(Paths!$P$376="Complete",O4076+L4076,"n.a."))</f>
        <v>0</v>
      </c>
      <c r="Q4076" s="16">
        <f>IF(NOT(Paths!$C$376=1),0,IF(Paths!$P$376="Complete",N4076*(1+'Operating costs'!$B$54)^-C4076,"n.a."))</f>
        <v>0</v>
      </c>
      <c r="R4076" s="16">
        <f>IF(NOT(Paths!$C$376=1),0,IF(Paths!$P$376="Complete",IF(AND(C4076=0,Paths!$E$376=0),I4076-J4076-K4076+VLOOKUP(A4076,'Fleet register'!$A$7:$S$106,15,FALSE)+VLOOKUP(A4076,'Fleet register'!$A$7:$S$106,16,FALSE),0),"n.a."))</f>
        <v>0</v>
      </c>
      <c r="S4076" s="1">
        <f>IF(NOT(Paths!$C$376=1),0,IF(Paths!$P$376="Complete",IF(C4076=0,0,Paths!$S$376*Paths!$R$376),"n.a."))</f>
        <v>0</v>
      </c>
      <c r="T4076" s="1">
        <f>IF(NOT(Paths!$C$376=1),0,IF(Paths!$P$376="Complete",IF(C4076=0,0,VLOOKUP(A4076,'Fleet register'!$A$7:$S$106,9,FALSE)*Paths!$R$376),"n.a."))</f>
        <v>0</v>
      </c>
    </row>
    <row r="4077" spans="1:20" ht="24" customHeight="1">
      <c r="A4077" s="1" t="str">
        <f>Paths!$A$377</f>
        <v>T093</v>
      </c>
      <c r="B4077" s="1">
        <f>Paths!$B$377</f>
        <v>2</v>
      </c>
      <c r="C4077" s="1">
        <v>0</v>
      </c>
      <c r="D4077" s="1">
        <v>377</v>
      </c>
      <c r="E4077" s="1">
        <f>IF(OR(Paths!$C$377=0,C4077=0),0,MAX(0,MIN(C4077*12,Paths!$E$377)-(C4077-1)*12))</f>
        <v>0</v>
      </c>
      <c r="F4077" s="1">
        <f>IF(OR(Paths!$C$377=0,C4077=0),0,12-E4077)</f>
        <v>0</v>
      </c>
      <c r="G4077" s="16">
        <f>IF(NOT(Paths!$C$377=1),0,IF(Paths!$P$377="Complete",E4077/12*(Paths!$J$377*(1+'Operating costs'!$B$51)^MAX(0,C4077-1)+Paths!$K$377*(1+'Operating costs'!$B$53)^MAX(0,C4077-1)),"n.a."))</f>
        <v>0</v>
      </c>
      <c r="H4077" s="16">
        <f>IF(NOT(Paths!$C$377=1),0,IF(Paths!$P$377="Complete",F4077/12*(Paths!$L$377*(1+IF(Paths!$D$377="EV",'Operating costs'!$B$52,'Operating costs'!$B$51))^MAX(0,C4077-1)+Paths!$M$377*(1+'Operating costs'!$B$53)^MAX(0,C4077-1)),"n.a."))</f>
        <v>0</v>
      </c>
      <c r="I4077" s="16">
        <f>IF(NOT(Paths!$C$377=1),0,IF(Paths!$P$377="Complete",IF(IF(Paths!$E$377=0,C4077=0,AND(C4077&gt;0,Paths!$E$377&gt;(C4077-1)*12,Paths!$E$377&lt;=C4077*12)),Paths!$G$377,0),"n.a."))</f>
        <v>0</v>
      </c>
      <c r="J4077" s="16">
        <f>IF(NOT(Paths!$C$377=1),0,IF(Paths!$P$377="Complete",IF(IF(Paths!$E$377=0,C4077=0,AND(C4077&gt;0,Paths!$E$377&gt;(C4077-1)*12,Paths!$E$377&lt;=C4077*12)),Paths!$H$377,0),"n.a."))</f>
        <v>0</v>
      </c>
      <c r="K4077" s="16">
        <f>IF(NOT(Paths!$C$377=1),0,IF(Paths!$P$377="Complete",IF(IF(Paths!$O$377=0,C4077=0,AND(C4077&gt;0,Paths!$O$377&gt;(C4077-1)*12,Paths!$O$377&lt;=C4077*12)),Paths!$N$377,0),"n.a."))</f>
        <v>0</v>
      </c>
      <c r="L4077" s="16">
        <f>IF(NOT(Paths!$C$377=1),0,IF(Paths!$P$377="Complete",IF(C4077=10,Paths!$I$377,0),"n.a."))</f>
        <v>0</v>
      </c>
      <c r="M4077" s="16">
        <f>IF(NOT(Paths!$C$377=1),0,IF(Paths!$P$377="Complete",IF(AND(Paths!$D$377="EV",Paths!$E$377&lt;120,Paths!$E$377+'Operating costs'!$B$65&gt;Paths!$E$377,Paths!$E$377+'Operating costs'!$B$65&lt;=120,IF(Paths!$E$377+'Operating costs'!$B$65=0,C4077=0,AND(C4077&gt;0,Paths!$E$377+'Operating costs'!$B$65&gt;(C4077-1)*12,Paths!$E$377+'Operating costs'!$B$65&lt;=C4077*12))),'Operating costs'!$B$64,0)+IF(AND('Operating costs'!$B$67&gt;0,'Operating costs'!$B$67&lt;=120,OR(Paths!$D$377="ICE",'Operating costs'!$B$67&lt;=Paths!$E$377),IF('Operating costs'!$B$67=0,C4077=0,AND(C4077&gt;0,'Operating costs'!$B$67&gt;(C4077-1)*12,'Operating costs'!$B$67&lt;=C4077*12))),'Operating costs'!$B$66,0),"n.a."))</f>
        <v>0</v>
      </c>
      <c r="N4077" s="16">
        <f>IF(NOT(Paths!$C$377=1),0,IF(Paths!$P$377="Complete",SUM(G4077:I4077)-J4077-K4077-L4077+M4077+IF(C4077=0,Paths!$F$377,0)+IF(IF(Paths!$E$377=0,C4077=0,AND(C4077&gt;0,Paths!$E$377&gt;(C4077-1)*12,Paths!$E$377&lt;=C4077*12)),VLOOKUP(A4077,'Fleet register'!$A$7:$S$106,16,FALSE),0),"n.a."))</f>
        <v>0</v>
      </c>
      <c r="O4077" s="16">
        <f>IF(NOT(Paths!$C$377=1),0,IF(Paths!$P$377="Complete",N4077-IF(C4077=0,Paths!$F$377,0),"n.a."))</f>
        <v>0</v>
      </c>
      <c r="P4077" s="16">
        <f>IF(NOT(Paths!$C$377=1),0,IF(Paths!$P$377="Complete",O4077+L4077,"n.a."))</f>
        <v>0</v>
      </c>
      <c r="Q4077" s="16">
        <f>IF(NOT(Paths!$C$377=1),0,IF(Paths!$P$377="Complete",N4077*(1+'Operating costs'!$B$54)^-C4077,"n.a."))</f>
        <v>0</v>
      </c>
      <c r="R4077" s="16">
        <f>IF(NOT(Paths!$C$377=1),0,IF(Paths!$P$377="Complete",IF(AND(C4077=0,Paths!$E$377=0),I4077-J4077-K4077+VLOOKUP(A4077,'Fleet register'!$A$7:$S$106,15,FALSE)+VLOOKUP(A4077,'Fleet register'!$A$7:$S$106,16,FALSE),0),"n.a."))</f>
        <v>0</v>
      </c>
      <c r="S4077" s="1">
        <f>IF(NOT(Paths!$C$377=1),0,IF(Paths!$P$377="Complete",IF(C4077=0,0,Paths!$S$377*Paths!$R$377),"n.a."))</f>
        <v>0</v>
      </c>
      <c r="T4077" s="1">
        <f>IF(NOT(Paths!$C$377=1),0,IF(Paths!$P$377="Complete",IF(C4077=0,0,VLOOKUP(A4077,'Fleet register'!$A$7:$S$106,9,FALSE)*Paths!$R$377),"n.a."))</f>
        <v>0</v>
      </c>
    </row>
    <row r="4078" spans="1:20" ht="24" customHeight="1">
      <c r="A4078" s="1" t="str">
        <f>Paths!$A$377</f>
        <v>T093</v>
      </c>
      <c r="B4078" s="1">
        <f>Paths!$B$377</f>
        <v>2</v>
      </c>
      <c r="C4078" s="1">
        <v>1</v>
      </c>
      <c r="D4078" s="1">
        <v>377</v>
      </c>
      <c r="E4078" s="1">
        <f>IF(OR(Paths!$C$377=0,C4078=0),0,MAX(0,MIN(C4078*12,Paths!$E$377)-(C4078-1)*12))</f>
        <v>0</v>
      </c>
      <c r="F4078" s="1">
        <f>IF(OR(Paths!$C$377=0,C4078=0),0,12-E4078)</f>
        <v>0</v>
      </c>
      <c r="G4078" s="16">
        <f>IF(NOT(Paths!$C$377=1),0,IF(Paths!$P$377="Complete",E4078/12*(Paths!$J$377*(1+'Operating costs'!$B$51)^MAX(0,C4078-1)+Paths!$K$377*(1+'Operating costs'!$B$53)^MAX(0,C4078-1)),"n.a."))</f>
        <v>0</v>
      </c>
      <c r="H4078" s="16">
        <f>IF(NOT(Paths!$C$377=1),0,IF(Paths!$P$377="Complete",F4078/12*(Paths!$L$377*(1+IF(Paths!$D$377="EV",'Operating costs'!$B$52,'Operating costs'!$B$51))^MAX(0,C4078-1)+Paths!$M$377*(1+'Operating costs'!$B$53)^MAX(0,C4078-1)),"n.a."))</f>
        <v>0</v>
      </c>
      <c r="I4078" s="16">
        <f>IF(NOT(Paths!$C$377=1),0,IF(Paths!$P$377="Complete",IF(IF(Paths!$E$377=0,C4078=0,AND(C4078&gt;0,Paths!$E$377&gt;(C4078-1)*12,Paths!$E$377&lt;=C4078*12)),Paths!$G$377,0),"n.a."))</f>
        <v>0</v>
      </c>
      <c r="J4078" s="16">
        <f>IF(NOT(Paths!$C$377=1),0,IF(Paths!$P$377="Complete",IF(IF(Paths!$E$377=0,C4078=0,AND(C4078&gt;0,Paths!$E$377&gt;(C4078-1)*12,Paths!$E$377&lt;=C4078*12)),Paths!$H$377,0),"n.a."))</f>
        <v>0</v>
      </c>
      <c r="K4078" s="16">
        <f>IF(NOT(Paths!$C$377=1),0,IF(Paths!$P$377="Complete",IF(IF(Paths!$O$377=0,C4078=0,AND(C4078&gt;0,Paths!$O$377&gt;(C4078-1)*12,Paths!$O$377&lt;=C4078*12)),Paths!$N$377,0),"n.a."))</f>
        <v>0</v>
      </c>
      <c r="L4078" s="16">
        <f>IF(NOT(Paths!$C$377=1),0,IF(Paths!$P$377="Complete",IF(C4078=10,Paths!$I$377,0),"n.a."))</f>
        <v>0</v>
      </c>
      <c r="M4078" s="16">
        <f>IF(NOT(Paths!$C$377=1),0,IF(Paths!$P$377="Complete",IF(AND(Paths!$D$377="EV",Paths!$E$377&lt;120,Paths!$E$377+'Operating costs'!$B$65&gt;Paths!$E$377,Paths!$E$377+'Operating costs'!$B$65&lt;=120,IF(Paths!$E$377+'Operating costs'!$B$65=0,C4078=0,AND(C4078&gt;0,Paths!$E$377+'Operating costs'!$B$65&gt;(C4078-1)*12,Paths!$E$377+'Operating costs'!$B$65&lt;=C4078*12))),'Operating costs'!$B$64,0)+IF(AND('Operating costs'!$B$67&gt;0,'Operating costs'!$B$67&lt;=120,OR(Paths!$D$377="ICE",'Operating costs'!$B$67&lt;=Paths!$E$377),IF('Operating costs'!$B$67=0,C4078=0,AND(C4078&gt;0,'Operating costs'!$B$67&gt;(C4078-1)*12,'Operating costs'!$B$67&lt;=C4078*12))),'Operating costs'!$B$66,0),"n.a."))</f>
        <v>0</v>
      </c>
      <c r="N4078" s="16">
        <f>IF(NOT(Paths!$C$377=1),0,IF(Paths!$P$377="Complete",SUM(G4078:I4078)-J4078-K4078-L4078+M4078+IF(C4078=0,Paths!$F$377,0)+IF(IF(Paths!$E$377=0,C4078=0,AND(C4078&gt;0,Paths!$E$377&gt;(C4078-1)*12,Paths!$E$377&lt;=C4078*12)),VLOOKUP(A4078,'Fleet register'!$A$7:$S$106,16,FALSE),0),"n.a."))</f>
        <v>0</v>
      </c>
      <c r="O4078" s="16">
        <f>IF(NOT(Paths!$C$377=1),0,IF(Paths!$P$377="Complete",N4078-IF(C4078=0,Paths!$F$377,0),"n.a."))</f>
        <v>0</v>
      </c>
      <c r="P4078" s="16">
        <f>IF(NOT(Paths!$C$377=1),0,IF(Paths!$P$377="Complete",O4078+L4078,"n.a."))</f>
        <v>0</v>
      </c>
      <c r="Q4078" s="16">
        <f>IF(NOT(Paths!$C$377=1),0,IF(Paths!$P$377="Complete",N4078*(1+'Operating costs'!$B$54)^-C4078,"n.a."))</f>
        <v>0</v>
      </c>
      <c r="R4078" s="16">
        <f>IF(NOT(Paths!$C$377=1),0,IF(Paths!$P$377="Complete",IF(AND(C4078=0,Paths!$E$377=0),I4078-J4078-K4078+VLOOKUP(A4078,'Fleet register'!$A$7:$S$106,15,FALSE)+VLOOKUP(A4078,'Fleet register'!$A$7:$S$106,16,FALSE),0),"n.a."))</f>
        <v>0</v>
      </c>
      <c r="S4078" s="1">
        <f>IF(NOT(Paths!$C$377=1),0,IF(Paths!$P$377="Complete",IF(C4078=0,0,Paths!$S$377*Paths!$R$377),"n.a."))</f>
        <v>0</v>
      </c>
      <c r="T4078" s="1">
        <f>IF(NOT(Paths!$C$377=1),0,IF(Paths!$P$377="Complete",IF(C4078=0,0,VLOOKUP(A4078,'Fleet register'!$A$7:$S$106,9,FALSE)*Paths!$R$377),"n.a."))</f>
        <v>0</v>
      </c>
    </row>
    <row r="4079" spans="1:20" ht="24" customHeight="1">
      <c r="A4079" s="1" t="str">
        <f>Paths!$A$377</f>
        <v>T093</v>
      </c>
      <c r="B4079" s="1">
        <f>Paths!$B$377</f>
        <v>2</v>
      </c>
      <c r="C4079" s="1">
        <v>2</v>
      </c>
      <c r="D4079" s="1">
        <v>377</v>
      </c>
      <c r="E4079" s="1">
        <f>IF(OR(Paths!$C$377=0,C4079=0),0,MAX(0,MIN(C4079*12,Paths!$E$377)-(C4079-1)*12))</f>
        <v>0</v>
      </c>
      <c r="F4079" s="1">
        <f>IF(OR(Paths!$C$377=0,C4079=0),0,12-E4079)</f>
        <v>0</v>
      </c>
      <c r="G4079" s="16">
        <f>IF(NOT(Paths!$C$377=1),0,IF(Paths!$P$377="Complete",E4079/12*(Paths!$J$377*(1+'Operating costs'!$B$51)^MAX(0,C4079-1)+Paths!$K$377*(1+'Operating costs'!$B$53)^MAX(0,C4079-1)),"n.a."))</f>
        <v>0</v>
      </c>
      <c r="H4079" s="16">
        <f>IF(NOT(Paths!$C$377=1),0,IF(Paths!$P$377="Complete",F4079/12*(Paths!$L$377*(1+IF(Paths!$D$377="EV",'Operating costs'!$B$52,'Operating costs'!$B$51))^MAX(0,C4079-1)+Paths!$M$377*(1+'Operating costs'!$B$53)^MAX(0,C4079-1)),"n.a."))</f>
        <v>0</v>
      </c>
      <c r="I4079" s="16">
        <f>IF(NOT(Paths!$C$377=1),0,IF(Paths!$P$377="Complete",IF(IF(Paths!$E$377=0,C4079=0,AND(C4079&gt;0,Paths!$E$377&gt;(C4079-1)*12,Paths!$E$377&lt;=C4079*12)),Paths!$G$377,0),"n.a."))</f>
        <v>0</v>
      </c>
      <c r="J4079" s="16">
        <f>IF(NOT(Paths!$C$377=1),0,IF(Paths!$P$377="Complete",IF(IF(Paths!$E$377=0,C4079=0,AND(C4079&gt;0,Paths!$E$377&gt;(C4079-1)*12,Paths!$E$377&lt;=C4079*12)),Paths!$H$377,0),"n.a."))</f>
        <v>0</v>
      </c>
      <c r="K4079" s="16">
        <f>IF(NOT(Paths!$C$377=1),0,IF(Paths!$P$377="Complete",IF(IF(Paths!$O$377=0,C4079=0,AND(C4079&gt;0,Paths!$O$377&gt;(C4079-1)*12,Paths!$O$377&lt;=C4079*12)),Paths!$N$377,0),"n.a."))</f>
        <v>0</v>
      </c>
      <c r="L4079" s="16">
        <f>IF(NOT(Paths!$C$377=1),0,IF(Paths!$P$377="Complete",IF(C4079=10,Paths!$I$377,0),"n.a."))</f>
        <v>0</v>
      </c>
      <c r="M4079" s="16">
        <f>IF(NOT(Paths!$C$377=1),0,IF(Paths!$P$377="Complete",IF(AND(Paths!$D$377="EV",Paths!$E$377&lt;120,Paths!$E$377+'Operating costs'!$B$65&gt;Paths!$E$377,Paths!$E$377+'Operating costs'!$B$65&lt;=120,IF(Paths!$E$377+'Operating costs'!$B$65=0,C4079=0,AND(C4079&gt;0,Paths!$E$377+'Operating costs'!$B$65&gt;(C4079-1)*12,Paths!$E$377+'Operating costs'!$B$65&lt;=C4079*12))),'Operating costs'!$B$64,0)+IF(AND('Operating costs'!$B$67&gt;0,'Operating costs'!$B$67&lt;=120,OR(Paths!$D$377="ICE",'Operating costs'!$B$67&lt;=Paths!$E$377),IF('Operating costs'!$B$67=0,C4079=0,AND(C4079&gt;0,'Operating costs'!$B$67&gt;(C4079-1)*12,'Operating costs'!$B$67&lt;=C4079*12))),'Operating costs'!$B$66,0),"n.a."))</f>
        <v>0</v>
      </c>
      <c r="N4079" s="16">
        <f>IF(NOT(Paths!$C$377=1),0,IF(Paths!$P$377="Complete",SUM(G4079:I4079)-J4079-K4079-L4079+M4079+IF(C4079=0,Paths!$F$377,0)+IF(IF(Paths!$E$377=0,C4079=0,AND(C4079&gt;0,Paths!$E$377&gt;(C4079-1)*12,Paths!$E$377&lt;=C4079*12)),VLOOKUP(A4079,'Fleet register'!$A$7:$S$106,16,FALSE),0),"n.a."))</f>
        <v>0</v>
      </c>
      <c r="O4079" s="16">
        <f>IF(NOT(Paths!$C$377=1),0,IF(Paths!$P$377="Complete",N4079-IF(C4079=0,Paths!$F$377,0),"n.a."))</f>
        <v>0</v>
      </c>
      <c r="P4079" s="16">
        <f>IF(NOT(Paths!$C$377=1),0,IF(Paths!$P$377="Complete",O4079+L4079,"n.a."))</f>
        <v>0</v>
      </c>
      <c r="Q4079" s="16">
        <f>IF(NOT(Paths!$C$377=1),0,IF(Paths!$P$377="Complete",N4079*(1+'Operating costs'!$B$54)^-C4079,"n.a."))</f>
        <v>0</v>
      </c>
      <c r="R4079" s="16">
        <f>IF(NOT(Paths!$C$377=1),0,IF(Paths!$P$377="Complete",IF(AND(C4079=0,Paths!$E$377=0),I4079-J4079-K4079+VLOOKUP(A4079,'Fleet register'!$A$7:$S$106,15,FALSE)+VLOOKUP(A4079,'Fleet register'!$A$7:$S$106,16,FALSE),0),"n.a."))</f>
        <v>0</v>
      </c>
      <c r="S4079" s="1">
        <f>IF(NOT(Paths!$C$377=1),0,IF(Paths!$P$377="Complete",IF(C4079=0,0,Paths!$S$377*Paths!$R$377),"n.a."))</f>
        <v>0</v>
      </c>
      <c r="T4079" s="1">
        <f>IF(NOT(Paths!$C$377=1),0,IF(Paths!$P$377="Complete",IF(C4079=0,0,VLOOKUP(A4079,'Fleet register'!$A$7:$S$106,9,FALSE)*Paths!$R$377),"n.a."))</f>
        <v>0</v>
      </c>
    </row>
    <row r="4080" spans="1:20" ht="24" customHeight="1">
      <c r="A4080" s="1" t="str">
        <f>Paths!$A$377</f>
        <v>T093</v>
      </c>
      <c r="B4080" s="1">
        <f>Paths!$B$377</f>
        <v>2</v>
      </c>
      <c r="C4080" s="1">
        <v>3</v>
      </c>
      <c r="D4080" s="1">
        <v>377</v>
      </c>
      <c r="E4080" s="1">
        <f>IF(OR(Paths!$C$377=0,C4080=0),0,MAX(0,MIN(C4080*12,Paths!$E$377)-(C4080-1)*12))</f>
        <v>0</v>
      </c>
      <c r="F4080" s="1">
        <f>IF(OR(Paths!$C$377=0,C4080=0),0,12-E4080)</f>
        <v>0</v>
      </c>
      <c r="G4080" s="16">
        <f>IF(NOT(Paths!$C$377=1),0,IF(Paths!$P$377="Complete",E4080/12*(Paths!$J$377*(1+'Operating costs'!$B$51)^MAX(0,C4080-1)+Paths!$K$377*(1+'Operating costs'!$B$53)^MAX(0,C4080-1)),"n.a."))</f>
        <v>0</v>
      </c>
      <c r="H4080" s="16">
        <f>IF(NOT(Paths!$C$377=1),0,IF(Paths!$P$377="Complete",F4080/12*(Paths!$L$377*(1+IF(Paths!$D$377="EV",'Operating costs'!$B$52,'Operating costs'!$B$51))^MAX(0,C4080-1)+Paths!$M$377*(1+'Operating costs'!$B$53)^MAX(0,C4080-1)),"n.a."))</f>
        <v>0</v>
      </c>
      <c r="I4080" s="16">
        <f>IF(NOT(Paths!$C$377=1),0,IF(Paths!$P$377="Complete",IF(IF(Paths!$E$377=0,C4080=0,AND(C4080&gt;0,Paths!$E$377&gt;(C4080-1)*12,Paths!$E$377&lt;=C4080*12)),Paths!$G$377,0),"n.a."))</f>
        <v>0</v>
      </c>
      <c r="J4080" s="16">
        <f>IF(NOT(Paths!$C$377=1),0,IF(Paths!$P$377="Complete",IF(IF(Paths!$E$377=0,C4080=0,AND(C4080&gt;0,Paths!$E$377&gt;(C4080-1)*12,Paths!$E$377&lt;=C4080*12)),Paths!$H$377,0),"n.a."))</f>
        <v>0</v>
      </c>
      <c r="K4080" s="16">
        <f>IF(NOT(Paths!$C$377=1),0,IF(Paths!$P$377="Complete",IF(IF(Paths!$O$377=0,C4080=0,AND(C4080&gt;0,Paths!$O$377&gt;(C4080-1)*12,Paths!$O$377&lt;=C4080*12)),Paths!$N$377,0),"n.a."))</f>
        <v>0</v>
      </c>
      <c r="L4080" s="16">
        <f>IF(NOT(Paths!$C$377=1),0,IF(Paths!$P$377="Complete",IF(C4080=10,Paths!$I$377,0),"n.a."))</f>
        <v>0</v>
      </c>
      <c r="M4080" s="16">
        <f>IF(NOT(Paths!$C$377=1),0,IF(Paths!$P$377="Complete",IF(AND(Paths!$D$377="EV",Paths!$E$377&lt;120,Paths!$E$377+'Operating costs'!$B$65&gt;Paths!$E$377,Paths!$E$377+'Operating costs'!$B$65&lt;=120,IF(Paths!$E$377+'Operating costs'!$B$65=0,C4080=0,AND(C4080&gt;0,Paths!$E$377+'Operating costs'!$B$65&gt;(C4080-1)*12,Paths!$E$377+'Operating costs'!$B$65&lt;=C4080*12))),'Operating costs'!$B$64,0)+IF(AND('Operating costs'!$B$67&gt;0,'Operating costs'!$B$67&lt;=120,OR(Paths!$D$377="ICE",'Operating costs'!$B$67&lt;=Paths!$E$377),IF('Operating costs'!$B$67=0,C4080=0,AND(C4080&gt;0,'Operating costs'!$B$67&gt;(C4080-1)*12,'Operating costs'!$B$67&lt;=C4080*12))),'Operating costs'!$B$66,0),"n.a."))</f>
        <v>0</v>
      </c>
      <c r="N4080" s="16">
        <f>IF(NOT(Paths!$C$377=1),0,IF(Paths!$P$377="Complete",SUM(G4080:I4080)-J4080-K4080-L4080+M4080+IF(C4080=0,Paths!$F$377,0)+IF(IF(Paths!$E$377=0,C4080=0,AND(C4080&gt;0,Paths!$E$377&gt;(C4080-1)*12,Paths!$E$377&lt;=C4080*12)),VLOOKUP(A4080,'Fleet register'!$A$7:$S$106,16,FALSE),0),"n.a."))</f>
        <v>0</v>
      </c>
      <c r="O4080" s="16">
        <f>IF(NOT(Paths!$C$377=1),0,IF(Paths!$P$377="Complete",N4080-IF(C4080=0,Paths!$F$377,0),"n.a."))</f>
        <v>0</v>
      </c>
      <c r="P4080" s="16">
        <f>IF(NOT(Paths!$C$377=1),0,IF(Paths!$P$377="Complete",O4080+L4080,"n.a."))</f>
        <v>0</v>
      </c>
      <c r="Q4080" s="16">
        <f>IF(NOT(Paths!$C$377=1),0,IF(Paths!$P$377="Complete",N4080*(1+'Operating costs'!$B$54)^-C4080,"n.a."))</f>
        <v>0</v>
      </c>
      <c r="R4080" s="16">
        <f>IF(NOT(Paths!$C$377=1),0,IF(Paths!$P$377="Complete",IF(AND(C4080=0,Paths!$E$377=0),I4080-J4080-K4080+VLOOKUP(A4080,'Fleet register'!$A$7:$S$106,15,FALSE)+VLOOKUP(A4080,'Fleet register'!$A$7:$S$106,16,FALSE),0),"n.a."))</f>
        <v>0</v>
      </c>
      <c r="S4080" s="1">
        <f>IF(NOT(Paths!$C$377=1),0,IF(Paths!$P$377="Complete",IF(C4080=0,0,Paths!$S$377*Paths!$R$377),"n.a."))</f>
        <v>0</v>
      </c>
      <c r="T4080" s="1">
        <f>IF(NOT(Paths!$C$377=1),0,IF(Paths!$P$377="Complete",IF(C4080=0,0,VLOOKUP(A4080,'Fleet register'!$A$7:$S$106,9,FALSE)*Paths!$R$377),"n.a."))</f>
        <v>0</v>
      </c>
    </row>
    <row r="4081" spans="1:20" ht="24" customHeight="1">
      <c r="A4081" s="1" t="str">
        <f>Paths!$A$377</f>
        <v>T093</v>
      </c>
      <c r="B4081" s="1">
        <f>Paths!$B$377</f>
        <v>2</v>
      </c>
      <c r="C4081" s="1">
        <v>4</v>
      </c>
      <c r="D4081" s="1">
        <v>377</v>
      </c>
      <c r="E4081" s="1">
        <f>IF(OR(Paths!$C$377=0,C4081=0),0,MAX(0,MIN(C4081*12,Paths!$E$377)-(C4081-1)*12))</f>
        <v>0</v>
      </c>
      <c r="F4081" s="1">
        <f>IF(OR(Paths!$C$377=0,C4081=0),0,12-E4081)</f>
        <v>0</v>
      </c>
      <c r="G4081" s="16">
        <f>IF(NOT(Paths!$C$377=1),0,IF(Paths!$P$377="Complete",E4081/12*(Paths!$J$377*(1+'Operating costs'!$B$51)^MAX(0,C4081-1)+Paths!$K$377*(1+'Operating costs'!$B$53)^MAX(0,C4081-1)),"n.a."))</f>
        <v>0</v>
      </c>
      <c r="H4081" s="16">
        <f>IF(NOT(Paths!$C$377=1),0,IF(Paths!$P$377="Complete",F4081/12*(Paths!$L$377*(1+IF(Paths!$D$377="EV",'Operating costs'!$B$52,'Operating costs'!$B$51))^MAX(0,C4081-1)+Paths!$M$377*(1+'Operating costs'!$B$53)^MAX(0,C4081-1)),"n.a."))</f>
        <v>0</v>
      </c>
      <c r="I4081" s="16">
        <f>IF(NOT(Paths!$C$377=1),0,IF(Paths!$P$377="Complete",IF(IF(Paths!$E$377=0,C4081=0,AND(C4081&gt;0,Paths!$E$377&gt;(C4081-1)*12,Paths!$E$377&lt;=C4081*12)),Paths!$G$377,0),"n.a."))</f>
        <v>0</v>
      </c>
      <c r="J4081" s="16">
        <f>IF(NOT(Paths!$C$377=1),0,IF(Paths!$P$377="Complete",IF(IF(Paths!$E$377=0,C4081=0,AND(C4081&gt;0,Paths!$E$377&gt;(C4081-1)*12,Paths!$E$377&lt;=C4081*12)),Paths!$H$377,0),"n.a."))</f>
        <v>0</v>
      </c>
      <c r="K4081" s="16">
        <f>IF(NOT(Paths!$C$377=1),0,IF(Paths!$P$377="Complete",IF(IF(Paths!$O$377=0,C4081=0,AND(C4081&gt;0,Paths!$O$377&gt;(C4081-1)*12,Paths!$O$377&lt;=C4081*12)),Paths!$N$377,0),"n.a."))</f>
        <v>0</v>
      </c>
      <c r="L4081" s="16">
        <f>IF(NOT(Paths!$C$377=1),0,IF(Paths!$P$377="Complete",IF(C4081=10,Paths!$I$377,0),"n.a."))</f>
        <v>0</v>
      </c>
      <c r="M4081" s="16">
        <f>IF(NOT(Paths!$C$377=1),0,IF(Paths!$P$377="Complete",IF(AND(Paths!$D$377="EV",Paths!$E$377&lt;120,Paths!$E$377+'Operating costs'!$B$65&gt;Paths!$E$377,Paths!$E$377+'Operating costs'!$B$65&lt;=120,IF(Paths!$E$377+'Operating costs'!$B$65=0,C4081=0,AND(C4081&gt;0,Paths!$E$377+'Operating costs'!$B$65&gt;(C4081-1)*12,Paths!$E$377+'Operating costs'!$B$65&lt;=C4081*12))),'Operating costs'!$B$64,0)+IF(AND('Operating costs'!$B$67&gt;0,'Operating costs'!$B$67&lt;=120,OR(Paths!$D$377="ICE",'Operating costs'!$B$67&lt;=Paths!$E$377),IF('Operating costs'!$B$67=0,C4081=0,AND(C4081&gt;0,'Operating costs'!$B$67&gt;(C4081-1)*12,'Operating costs'!$B$67&lt;=C4081*12))),'Operating costs'!$B$66,0),"n.a."))</f>
        <v>0</v>
      </c>
      <c r="N4081" s="16">
        <f>IF(NOT(Paths!$C$377=1),0,IF(Paths!$P$377="Complete",SUM(G4081:I4081)-J4081-K4081-L4081+M4081+IF(C4081=0,Paths!$F$377,0)+IF(IF(Paths!$E$377=0,C4081=0,AND(C4081&gt;0,Paths!$E$377&gt;(C4081-1)*12,Paths!$E$377&lt;=C4081*12)),VLOOKUP(A4081,'Fleet register'!$A$7:$S$106,16,FALSE),0),"n.a."))</f>
        <v>0</v>
      </c>
      <c r="O4081" s="16">
        <f>IF(NOT(Paths!$C$377=1),0,IF(Paths!$P$377="Complete",N4081-IF(C4081=0,Paths!$F$377,0),"n.a."))</f>
        <v>0</v>
      </c>
      <c r="P4081" s="16">
        <f>IF(NOT(Paths!$C$377=1),0,IF(Paths!$P$377="Complete",O4081+L4081,"n.a."))</f>
        <v>0</v>
      </c>
      <c r="Q4081" s="16">
        <f>IF(NOT(Paths!$C$377=1),0,IF(Paths!$P$377="Complete",N4081*(1+'Operating costs'!$B$54)^-C4081,"n.a."))</f>
        <v>0</v>
      </c>
      <c r="R4081" s="16">
        <f>IF(NOT(Paths!$C$377=1),0,IF(Paths!$P$377="Complete",IF(AND(C4081=0,Paths!$E$377=0),I4081-J4081-K4081+VLOOKUP(A4081,'Fleet register'!$A$7:$S$106,15,FALSE)+VLOOKUP(A4081,'Fleet register'!$A$7:$S$106,16,FALSE),0),"n.a."))</f>
        <v>0</v>
      </c>
      <c r="S4081" s="1">
        <f>IF(NOT(Paths!$C$377=1),0,IF(Paths!$P$377="Complete",IF(C4081=0,0,Paths!$S$377*Paths!$R$377),"n.a."))</f>
        <v>0</v>
      </c>
      <c r="T4081" s="1">
        <f>IF(NOT(Paths!$C$377=1),0,IF(Paths!$P$377="Complete",IF(C4081=0,0,VLOOKUP(A4081,'Fleet register'!$A$7:$S$106,9,FALSE)*Paths!$R$377),"n.a."))</f>
        <v>0</v>
      </c>
    </row>
    <row r="4082" spans="1:20" ht="24" customHeight="1">
      <c r="A4082" s="1" t="str">
        <f>Paths!$A$377</f>
        <v>T093</v>
      </c>
      <c r="B4082" s="1">
        <f>Paths!$B$377</f>
        <v>2</v>
      </c>
      <c r="C4082" s="1">
        <v>5</v>
      </c>
      <c r="D4082" s="1">
        <v>377</v>
      </c>
      <c r="E4082" s="1">
        <f>IF(OR(Paths!$C$377=0,C4082=0),0,MAX(0,MIN(C4082*12,Paths!$E$377)-(C4082-1)*12))</f>
        <v>0</v>
      </c>
      <c r="F4082" s="1">
        <f>IF(OR(Paths!$C$377=0,C4082=0),0,12-E4082)</f>
        <v>0</v>
      </c>
      <c r="G4082" s="16">
        <f>IF(NOT(Paths!$C$377=1),0,IF(Paths!$P$377="Complete",E4082/12*(Paths!$J$377*(1+'Operating costs'!$B$51)^MAX(0,C4082-1)+Paths!$K$377*(1+'Operating costs'!$B$53)^MAX(0,C4082-1)),"n.a."))</f>
        <v>0</v>
      </c>
      <c r="H4082" s="16">
        <f>IF(NOT(Paths!$C$377=1),0,IF(Paths!$P$377="Complete",F4082/12*(Paths!$L$377*(1+IF(Paths!$D$377="EV",'Operating costs'!$B$52,'Operating costs'!$B$51))^MAX(0,C4082-1)+Paths!$M$377*(1+'Operating costs'!$B$53)^MAX(0,C4082-1)),"n.a."))</f>
        <v>0</v>
      </c>
      <c r="I4082" s="16">
        <f>IF(NOT(Paths!$C$377=1),0,IF(Paths!$P$377="Complete",IF(IF(Paths!$E$377=0,C4082=0,AND(C4082&gt;0,Paths!$E$377&gt;(C4082-1)*12,Paths!$E$377&lt;=C4082*12)),Paths!$G$377,0),"n.a."))</f>
        <v>0</v>
      </c>
      <c r="J4082" s="16">
        <f>IF(NOT(Paths!$C$377=1),0,IF(Paths!$P$377="Complete",IF(IF(Paths!$E$377=0,C4082=0,AND(C4082&gt;0,Paths!$E$377&gt;(C4082-1)*12,Paths!$E$377&lt;=C4082*12)),Paths!$H$377,0),"n.a."))</f>
        <v>0</v>
      </c>
      <c r="K4082" s="16">
        <f>IF(NOT(Paths!$C$377=1),0,IF(Paths!$P$377="Complete",IF(IF(Paths!$O$377=0,C4082=0,AND(C4082&gt;0,Paths!$O$377&gt;(C4082-1)*12,Paths!$O$377&lt;=C4082*12)),Paths!$N$377,0),"n.a."))</f>
        <v>0</v>
      </c>
      <c r="L4082" s="16">
        <f>IF(NOT(Paths!$C$377=1),0,IF(Paths!$P$377="Complete",IF(C4082=10,Paths!$I$377,0),"n.a."))</f>
        <v>0</v>
      </c>
      <c r="M4082" s="16">
        <f>IF(NOT(Paths!$C$377=1),0,IF(Paths!$P$377="Complete",IF(AND(Paths!$D$377="EV",Paths!$E$377&lt;120,Paths!$E$377+'Operating costs'!$B$65&gt;Paths!$E$377,Paths!$E$377+'Operating costs'!$B$65&lt;=120,IF(Paths!$E$377+'Operating costs'!$B$65=0,C4082=0,AND(C4082&gt;0,Paths!$E$377+'Operating costs'!$B$65&gt;(C4082-1)*12,Paths!$E$377+'Operating costs'!$B$65&lt;=C4082*12))),'Operating costs'!$B$64,0)+IF(AND('Operating costs'!$B$67&gt;0,'Operating costs'!$B$67&lt;=120,OR(Paths!$D$377="ICE",'Operating costs'!$B$67&lt;=Paths!$E$377),IF('Operating costs'!$B$67=0,C4082=0,AND(C4082&gt;0,'Operating costs'!$B$67&gt;(C4082-1)*12,'Operating costs'!$B$67&lt;=C4082*12))),'Operating costs'!$B$66,0),"n.a."))</f>
        <v>0</v>
      </c>
      <c r="N4082" s="16">
        <f>IF(NOT(Paths!$C$377=1),0,IF(Paths!$P$377="Complete",SUM(G4082:I4082)-J4082-K4082-L4082+M4082+IF(C4082=0,Paths!$F$377,0)+IF(IF(Paths!$E$377=0,C4082=0,AND(C4082&gt;0,Paths!$E$377&gt;(C4082-1)*12,Paths!$E$377&lt;=C4082*12)),VLOOKUP(A4082,'Fleet register'!$A$7:$S$106,16,FALSE),0),"n.a."))</f>
        <v>0</v>
      </c>
      <c r="O4082" s="16">
        <f>IF(NOT(Paths!$C$377=1),0,IF(Paths!$P$377="Complete",N4082-IF(C4082=0,Paths!$F$377,0),"n.a."))</f>
        <v>0</v>
      </c>
      <c r="P4082" s="16">
        <f>IF(NOT(Paths!$C$377=1),0,IF(Paths!$P$377="Complete",O4082+L4082,"n.a."))</f>
        <v>0</v>
      </c>
      <c r="Q4082" s="16">
        <f>IF(NOT(Paths!$C$377=1),0,IF(Paths!$P$377="Complete",N4082*(1+'Operating costs'!$B$54)^-C4082,"n.a."))</f>
        <v>0</v>
      </c>
      <c r="R4082" s="16">
        <f>IF(NOT(Paths!$C$377=1),0,IF(Paths!$P$377="Complete",IF(AND(C4082=0,Paths!$E$377=0),I4082-J4082-K4082+VLOOKUP(A4082,'Fleet register'!$A$7:$S$106,15,FALSE)+VLOOKUP(A4082,'Fleet register'!$A$7:$S$106,16,FALSE),0),"n.a."))</f>
        <v>0</v>
      </c>
      <c r="S4082" s="1">
        <f>IF(NOT(Paths!$C$377=1),0,IF(Paths!$P$377="Complete",IF(C4082=0,0,Paths!$S$377*Paths!$R$377),"n.a."))</f>
        <v>0</v>
      </c>
      <c r="T4082" s="1">
        <f>IF(NOT(Paths!$C$377=1),0,IF(Paths!$P$377="Complete",IF(C4082=0,0,VLOOKUP(A4082,'Fleet register'!$A$7:$S$106,9,FALSE)*Paths!$R$377),"n.a."))</f>
        <v>0</v>
      </c>
    </row>
    <row r="4083" spans="1:20" ht="24" customHeight="1">
      <c r="A4083" s="1" t="str">
        <f>Paths!$A$377</f>
        <v>T093</v>
      </c>
      <c r="B4083" s="1">
        <f>Paths!$B$377</f>
        <v>2</v>
      </c>
      <c r="C4083" s="1">
        <v>6</v>
      </c>
      <c r="D4083" s="1">
        <v>377</v>
      </c>
      <c r="E4083" s="1">
        <f>IF(OR(Paths!$C$377=0,C4083=0),0,MAX(0,MIN(C4083*12,Paths!$E$377)-(C4083-1)*12))</f>
        <v>0</v>
      </c>
      <c r="F4083" s="1">
        <f>IF(OR(Paths!$C$377=0,C4083=0),0,12-E4083)</f>
        <v>0</v>
      </c>
      <c r="G4083" s="16">
        <f>IF(NOT(Paths!$C$377=1),0,IF(Paths!$P$377="Complete",E4083/12*(Paths!$J$377*(1+'Operating costs'!$B$51)^MAX(0,C4083-1)+Paths!$K$377*(1+'Operating costs'!$B$53)^MAX(0,C4083-1)),"n.a."))</f>
        <v>0</v>
      </c>
      <c r="H4083" s="16">
        <f>IF(NOT(Paths!$C$377=1),0,IF(Paths!$P$377="Complete",F4083/12*(Paths!$L$377*(1+IF(Paths!$D$377="EV",'Operating costs'!$B$52,'Operating costs'!$B$51))^MAX(0,C4083-1)+Paths!$M$377*(1+'Operating costs'!$B$53)^MAX(0,C4083-1)),"n.a."))</f>
        <v>0</v>
      </c>
      <c r="I4083" s="16">
        <f>IF(NOT(Paths!$C$377=1),0,IF(Paths!$P$377="Complete",IF(IF(Paths!$E$377=0,C4083=0,AND(C4083&gt;0,Paths!$E$377&gt;(C4083-1)*12,Paths!$E$377&lt;=C4083*12)),Paths!$G$377,0),"n.a."))</f>
        <v>0</v>
      </c>
      <c r="J4083" s="16">
        <f>IF(NOT(Paths!$C$377=1),0,IF(Paths!$P$377="Complete",IF(IF(Paths!$E$377=0,C4083=0,AND(C4083&gt;0,Paths!$E$377&gt;(C4083-1)*12,Paths!$E$377&lt;=C4083*12)),Paths!$H$377,0),"n.a."))</f>
        <v>0</v>
      </c>
      <c r="K4083" s="16">
        <f>IF(NOT(Paths!$C$377=1),0,IF(Paths!$P$377="Complete",IF(IF(Paths!$O$377=0,C4083=0,AND(C4083&gt;0,Paths!$O$377&gt;(C4083-1)*12,Paths!$O$377&lt;=C4083*12)),Paths!$N$377,0),"n.a."))</f>
        <v>0</v>
      </c>
      <c r="L4083" s="16">
        <f>IF(NOT(Paths!$C$377=1),0,IF(Paths!$P$377="Complete",IF(C4083=10,Paths!$I$377,0),"n.a."))</f>
        <v>0</v>
      </c>
      <c r="M4083" s="16">
        <f>IF(NOT(Paths!$C$377=1),0,IF(Paths!$P$377="Complete",IF(AND(Paths!$D$377="EV",Paths!$E$377&lt;120,Paths!$E$377+'Operating costs'!$B$65&gt;Paths!$E$377,Paths!$E$377+'Operating costs'!$B$65&lt;=120,IF(Paths!$E$377+'Operating costs'!$B$65=0,C4083=0,AND(C4083&gt;0,Paths!$E$377+'Operating costs'!$B$65&gt;(C4083-1)*12,Paths!$E$377+'Operating costs'!$B$65&lt;=C4083*12))),'Operating costs'!$B$64,0)+IF(AND('Operating costs'!$B$67&gt;0,'Operating costs'!$B$67&lt;=120,OR(Paths!$D$377="ICE",'Operating costs'!$B$67&lt;=Paths!$E$377),IF('Operating costs'!$B$67=0,C4083=0,AND(C4083&gt;0,'Operating costs'!$B$67&gt;(C4083-1)*12,'Operating costs'!$B$67&lt;=C4083*12))),'Operating costs'!$B$66,0),"n.a."))</f>
        <v>0</v>
      </c>
      <c r="N4083" s="16">
        <f>IF(NOT(Paths!$C$377=1),0,IF(Paths!$P$377="Complete",SUM(G4083:I4083)-J4083-K4083-L4083+M4083+IF(C4083=0,Paths!$F$377,0)+IF(IF(Paths!$E$377=0,C4083=0,AND(C4083&gt;0,Paths!$E$377&gt;(C4083-1)*12,Paths!$E$377&lt;=C4083*12)),VLOOKUP(A4083,'Fleet register'!$A$7:$S$106,16,FALSE),0),"n.a."))</f>
        <v>0</v>
      </c>
      <c r="O4083" s="16">
        <f>IF(NOT(Paths!$C$377=1),0,IF(Paths!$P$377="Complete",N4083-IF(C4083=0,Paths!$F$377,0),"n.a."))</f>
        <v>0</v>
      </c>
      <c r="P4083" s="16">
        <f>IF(NOT(Paths!$C$377=1),0,IF(Paths!$P$377="Complete",O4083+L4083,"n.a."))</f>
        <v>0</v>
      </c>
      <c r="Q4083" s="16">
        <f>IF(NOT(Paths!$C$377=1),0,IF(Paths!$P$377="Complete",N4083*(1+'Operating costs'!$B$54)^-C4083,"n.a."))</f>
        <v>0</v>
      </c>
      <c r="R4083" s="16">
        <f>IF(NOT(Paths!$C$377=1),0,IF(Paths!$P$377="Complete",IF(AND(C4083=0,Paths!$E$377=0),I4083-J4083-K4083+VLOOKUP(A4083,'Fleet register'!$A$7:$S$106,15,FALSE)+VLOOKUP(A4083,'Fleet register'!$A$7:$S$106,16,FALSE),0),"n.a."))</f>
        <v>0</v>
      </c>
      <c r="S4083" s="1">
        <f>IF(NOT(Paths!$C$377=1),0,IF(Paths!$P$377="Complete",IF(C4083=0,0,Paths!$S$377*Paths!$R$377),"n.a."))</f>
        <v>0</v>
      </c>
      <c r="T4083" s="1">
        <f>IF(NOT(Paths!$C$377=1),0,IF(Paths!$P$377="Complete",IF(C4083=0,0,VLOOKUP(A4083,'Fleet register'!$A$7:$S$106,9,FALSE)*Paths!$R$377),"n.a."))</f>
        <v>0</v>
      </c>
    </row>
    <row r="4084" spans="1:20" ht="24" customHeight="1">
      <c r="A4084" s="1" t="str">
        <f>Paths!$A$377</f>
        <v>T093</v>
      </c>
      <c r="B4084" s="1">
        <f>Paths!$B$377</f>
        <v>2</v>
      </c>
      <c r="C4084" s="1">
        <v>7</v>
      </c>
      <c r="D4084" s="1">
        <v>377</v>
      </c>
      <c r="E4084" s="1">
        <f>IF(OR(Paths!$C$377=0,C4084=0),0,MAX(0,MIN(C4084*12,Paths!$E$377)-(C4084-1)*12))</f>
        <v>0</v>
      </c>
      <c r="F4084" s="1">
        <f>IF(OR(Paths!$C$377=0,C4084=0),0,12-E4084)</f>
        <v>0</v>
      </c>
      <c r="G4084" s="16">
        <f>IF(NOT(Paths!$C$377=1),0,IF(Paths!$P$377="Complete",E4084/12*(Paths!$J$377*(1+'Operating costs'!$B$51)^MAX(0,C4084-1)+Paths!$K$377*(1+'Operating costs'!$B$53)^MAX(0,C4084-1)),"n.a."))</f>
        <v>0</v>
      </c>
      <c r="H4084" s="16">
        <f>IF(NOT(Paths!$C$377=1),0,IF(Paths!$P$377="Complete",F4084/12*(Paths!$L$377*(1+IF(Paths!$D$377="EV",'Operating costs'!$B$52,'Operating costs'!$B$51))^MAX(0,C4084-1)+Paths!$M$377*(1+'Operating costs'!$B$53)^MAX(0,C4084-1)),"n.a."))</f>
        <v>0</v>
      </c>
      <c r="I4084" s="16">
        <f>IF(NOT(Paths!$C$377=1),0,IF(Paths!$P$377="Complete",IF(IF(Paths!$E$377=0,C4084=0,AND(C4084&gt;0,Paths!$E$377&gt;(C4084-1)*12,Paths!$E$377&lt;=C4084*12)),Paths!$G$377,0),"n.a."))</f>
        <v>0</v>
      </c>
      <c r="J4084" s="16">
        <f>IF(NOT(Paths!$C$377=1),0,IF(Paths!$P$377="Complete",IF(IF(Paths!$E$377=0,C4084=0,AND(C4084&gt;0,Paths!$E$377&gt;(C4084-1)*12,Paths!$E$377&lt;=C4084*12)),Paths!$H$377,0),"n.a."))</f>
        <v>0</v>
      </c>
      <c r="K4084" s="16">
        <f>IF(NOT(Paths!$C$377=1),0,IF(Paths!$P$377="Complete",IF(IF(Paths!$O$377=0,C4084=0,AND(C4084&gt;0,Paths!$O$377&gt;(C4084-1)*12,Paths!$O$377&lt;=C4084*12)),Paths!$N$377,0),"n.a."))</f>
        <v>0</v>
      </c>
      <c r="L4084" s="16">
        <f>IF(NOT(Paths!$C$377=1),0,IF(Paths!$P$377="Complete",IF(C4084=10,Paths!$I$377,0),"n.a."))</f>
        <v>0</v>
      </c>
      <c r="M4084" s="16">
        <f>IF(NOT(Paths!$C$377=1),0,IF(Paths!$P$377="Complete",IF(AND(Paths!$D$377="EV",Paths!$E$377&lt;120,Paths!$E$377+'Operating costs'!$B$65&gt;Paths!$E$377,Paths!$E$377+'Operating costs'!$B$65&lt;=120,IF(Paths!$E$377+'Operating costs'!$B$65=0,C4084=0,AND(C4084&gt;0,Paths!$E$377+'Operating costs'!$B$65&gt;(C4084-1)*12,Paths!$E$377+'Operating costs'!$B$65&lt;=C4084*12))),'Operating costs'!$B$64,0)+IF(AND('Operating costs'!$B$67&gt;0,'Operating costs'!$B$67&lt;=120,OR(Paths!$D$377="ICE",'Operating costs'!$B$67&lt;=Paths!$E$377),IF('Operating costs'!$B$67=0,C4084=0,AND(C4084&gt;0,'Operating costs'!$B$67&gt;(C4084-1)*12,'Operating costs'!$B$67&lt;=C4084*12))),'Operating costs'!$B$66,0),"n.a."))</f>
        <v>0</v>
      </c>
      <c r="N4084" s="16">
        <f>IF(NOT(Paths!$C$377=1),0,IF(Paths!$P$377="Complete",SUM(G4084:I4084)-J4084-K4084-L4084+M4084+IF(C4084=0,Paths!$F$377,0)+IF(IF(Paths!$E$377=0,C4084=0,AND(C4084&gt;0,Paths!$E$377&gt;(C4084-1)*12,Paths!$E$377&lt;=C4084*12)),VLOOKUP(A4084,'Fleet register'!$A$7:$S$106,16,FALSE),0),"n.a."))</f>
        <v>0</v>
      </c>
      <c r="O4084" s="16">
        <f>IF(NOT(Paths!$C$377=1),0,IF(Paths!$P$377="Complete",N4084-IF(C4084=0,Paths!$F$377,0),"n.a."))</f>
        <v>0</v>
      </c>
      <c r="P4084" s="16">
        <f>IF(NOT(Paths!$C$377=1),0,IF(Paths!$P$377="Complete",O4084+L4084,"n.a."))</f>
        <v>0</v>
      </c>
      <c r="Q4084" s="16">
        <f>IF(NOT(Paths!$C$377=1),0,IF(Paths!$P$377="Complete",N4084*(1+'Operating costs'!$B$54)^-C4084,"n.a."))</f>
        <v>0</v>
      </c>
      <c r="R4084" s="16">
        <f>IF(NOT(Paths!$C$377=1),0,IF(Paths!$P$377="Complete",IF(AND(C4084=0,Paths!$E$377=0),I4084-J4084-K4084+VLOOKUP(A4084,'Fleet register'!$A$7:$S$106,15,FALSE)+VLOOKUP(A4084,'Fleet register'!$A$7:$S$106,16,FALSE),0),"n.a."))</f>
        <v>0</v>
      </c>
      <c r="S4084" s="1">
        <f>IF(NOT(Paths!$C$377=1),0,IF(Paths!$P$377="Complete",IF(C4084=0,0,Paths!$S$377*Paths!$R$377),"n.a."))</f>
        <v>0</v>
      </c>
      <c r="T4084" s="1">
        <f>IF(NOT(Paths!$C$377=1),0,IF(Paths!$P$377="Complete",IF(C4084=0,0,VLOOKUP(A4084,'Fleet register'!$A$7:$S$106,9,FALSE)*Paths!$R$377),"n.a."))</f>
        <v>0</v>
      </c>
    </row>
    <row r="4085" spans="1:20" ht="24" customHeight="1">
      <c r="A4085" s="1" t="str">
        <f>Paths!$A$377</f>
        <v>T093</v>
      </c>
      <c r="B4085" s="1">
        <f>Paths!$B$377</f>
        <v>2</v>
      </c>
      <c r="C4085" s="1">
        <v>8</v>
      </c>
      <c r="D4085" s="1">
        <v>377</v>
      </c>
      <c r="E4085" s="1">
        <f>IF(OR(Paths!$C$377=0,C4085=0),0,MAX(0,MIN(C4085*12,Paths!$E$377)-(C4085-1)*12))</f>
        <v>0</v>
      </c>
      <c r="F4085" s="1">
        <f>IF(OR(Paths!$C$377=0,C4085=0),0,12-E4085)</f>
        <v>0</v>
      </c>
      <c r="G4085" s="16">
        <f>IF(NOT(Paths!$C$377=1),0,IF(Paths!$P$377="Complete",E4085/12*(Paths!$J$377*(1+'Operating costs'!$B$51)^MAX(0,C4085-1)+Paths!$K$377*(1+'Operating costs'!$B$53)^MAX(0,C4085-1)),"n.a."))</f>
        <v>0</v>
      </c>
      <c r="H4085" s="16">
        <f>IF(NOT(Paths!$C$377=1),0,IF(Paths!$P$377="Complete",F4085/12*(Paths!$L$377*(1+IF(Paths!$D$377="EV",'Operating costs'!$B$52,'Operating costs'!$B$51))^MAX(0,C4085-1)+Paths!$M$377*(1+'Operating costs'!$B$53)^MAX(0,C4085-1)),"n.a."))</f>
        <v>0</v>
      </c>
      <c r="I4085" s="16">
        <f>IF(NOT(Paths!$C$377=1),0,IF(Paths!$P$377="Complete",IF(IF(Paths!$E$377=0,C4085=0,AND(C4085&gt;0,Paths!$E$377&gt;(C4085-1)*12,Paths!$E$377&lt;=C4085*12)),Paths!$G$377,0),"n.a."))</f>
        <v>0</v>
      </c>
      <c r="J4085" s="16">
        <f>IF(NOT(Paths!$C$377=1),0,IF(Paths!$P$377="Complete",IF(IF(Paths!$E$377=0,C4085=0,AND(C4085&gt;0,Paths!$E$377&gt;(C4085-1)*12,Paths!$E$377&lt;=C4085*12)),Paths!$H$377,0),"n.a."))</f>
        <v>0</v>
      </c>
      <c r="K4085" s="16">
        <f>IF(NOT(Paths!$C$377=1),0,IF(Paths!$P$377="Complete",IF(IF(Paths!$O$377=0,C4085=0,AND(C4085&gt;0,Paths!$O$377&gt;(C4085-1)*12,Paths!$O$377&lt;=C4085*12)),Paths!$N$377,0),"n.a."))</f>
        <v>0</v>
      </c>
      <c r="L4085" s="16">
        <f>IF(NOT(Paths!$C$377=1),0,IF(Paths!$P$377="Complete",IF(C4085=10,Paths!$I$377,0),"n.a."))</f>
        <v>0</v>
      </c>
      <c r="M4085" s="16">
        <f>IF(NOT(Paths!$C$377=1),0,IF(Paths!$P$377="Complete",IF(AND(Paths!$D$377="EV",Paths!$E$377&lt;120,Paths!$E$377+'Operating costs'!$B$65&gt;Paths!$E$377,Paths!$E$377+'Operating costs'!$B$65&lt;=120,IF(Paths!$E$377+'Operating costs'!$B$65=0,C4085=0,AND(C4085&gt;0,Paths!$E$377+'Operating costs'!$B$65&gt;(C4085-1)*12,Paths!$E$377+'Operating costs'!$B$65&lt;=C4085*12))),'Operating costs'!$B$64,0)+IF(AND('Operating costs'!$B$67&gt;0,'Operating costs'!$B$67&lt;=120,OR(Paths!$D$377="ICE",'Operating costs'!$B$67&lt;=Paths!$E$377),IF('Operating costs'!$B$67=0,C4085=0,AND(C4085&gt;0,'Operating costs'!$B$67&gt;(C4085-1)*12,'Operating costs'!$B$67&lt;=C4085*12))),'Operating costs'!$B$66,0),"n.a."))</f>
        <v>0</v>
      </c>
      <c r="N4085" s="16">
        <f>IF(NOT(Paths!$C$377=1),0,IF(Paths!$P$377="Complete",SUM(G4085:I4085)-J4085-K4085-L4085+M4085+IF(C4085=0,Paths!$F$377,0)+IF(IF(Paths!$E$377=0,C4085=0,AND(C4085&gt;0,Paths!$E$377&gt;(C4085-1)*12,Paths!$E$377&lt;=C4085*12)),VLOOKUP(A4085,'Fleet register'!$A$7:$S$106,16,FALSE),0),"n.a."))</f>
        <v>0</v>
      </c>
      <c r="O4085" s="16">
        <f>IF(NOT(Paths!$C$377=1),0,IF(Paths!$P$377="Complete",N4085-IF(C4085=0,Paths!$F$377,0),"n.a."))</f>
        <v>0</v>
      </c>
      <c r="P4085" s="16">
        <f>IF(NOT(Paths!$C$377=1),0,IF(Paths!$P$377="Complete",O4085+L4085,"n.a."))</f>
        <v>0</v>
      </c>
      <c r="Q4085" s="16">
        <f>IF(NOT(Paths!$C$377=1),0,IF(Paths!$P$377="Complete",N4085*(1+'Operating costs'!$B$54)^-C4085,"n.a."))</f>
        <v>0</v>
      </c>
      <c r="R4085" s="16">
        <f>IF(NOT(Paths!$C$377=1),0,IF(Paths!$P$377="Complete",IF(AND(C4085=0,Paths!$E$377=0),I4085-J4085-K4085+VLOOKUP(A4085,'Fleet register'!$A$7:$S$106,15,FALSE)+VLOOKUP(A4085,'Fleet register'!$A$7:$S$106,16,FALSE),0),"n.a."))</f>
        <v>0</v>
      </c>
      <c r="S4085" s="1">
        <f>IF(NOT(Paths!$C$377=1),0,IF(Paths!$P$377="Complete",IF(C4085=0,0,Paths!$S$377*Paths!$R$377),"n.a."))</f>
        <v>0</v>
      </c>
      <c r="T4085" s="1">
        <f>IF(NOT(Paths!$C$377=1),0,IF(Paths!$P$377="Complete",IF(C4085=0,0,VLOOKUP(A4085,'Fleet register'!$A$7:$S$106,9,FALSE)*Paths!$R$377),"n.a."))</f>
        <v>0</v>
      </c>
    </row>
    <row r="4086" spans="1:20" ht="24" customHeight="1">
      <c r="A4086" s="1" t="str">
        <f>Paths!$A$377</f>
        <v>T093</v>
      </c>
      <c r="B4086" s="1">
        <f>Paths!$B$377</f>
        <v>2</v>
      </c>
      <c r="C4086" s="1">
        <v>9</v>
      </c>
      <c r="D4086" s="1">
        <v>377</v>
      </c>
      <c r="E4086" s="1">
        <f>IF(OR(Paths!$C$377=0,C4086=0),0,MAX(0,MIN(C4086*12,Paths!$E$377)-(C4086-1)*12))</f>
        <v>0</v>
      </c>
      <c r="F4086" s="1">
        <f>IF(OR(Paths!$C$377=0,C4086=0),0,12-E4086)</f>
        <v>0</v>
      </c>
      <c r="G4086" s="16">
        <f>IF(NOT(Paths!$C$377=1),0,IF(Paths!$P$377="Complete",E4086/12*(Paths!$J$377*(1+'Operating costs'!$B$51)^MAX(0,C4086-1)+Paths!$K$377*(1+'Operating costs'!$B$53)^MAX(0,C4086-1)),"n.a."))</f>
        <v>0</v>
      </c>
      <c r="H4086" s="16">
        <f>IF(NOT(Paths!$C$377=1),0,IF(Paths!$P$377="Complete",F4086/12*(Paths!$L$377*(1+IF(Paths!$D$377="EV",'Operating costs'!$B$52,'Operating costs'!$B$51))^MAX(0,C4086-1)+Paths!$M$377*(1+'Operating costs'!$B$53)^MAX(0,C4086-1)),"n.a."))</f>
        <v>0</v>
      </c>
      <c r="I4086" s="16">
        <f>IF(NOT(Paths!$C$377=1),0,IF(Paths!$P$377="Complete",IF(IF(Paths!$E$377=0,C4086=0,AND(C4086&gt;0,Paths!$E$377&gt;(C4086-1)*12,Paths!$E$377&lt;=C4086*12)),Paths!$G$377,0),"n.a."))</f>
        <v>0</v>
      </c>
      <c r="J4086" s="16">
        <f>IF(NOT(Paths!$C$377=1),0,IF(Paths!$P$377="Complete",IF(IF(Paths!$E$377=0,C4086=0,AND(C4086&gt;0,Paths!$E$377&gt;(C4086-1)*12,Paths!$E$377&lt;=C4086*12)),Paths!$H$377,0),"n.a."))</f>
        <v>0</v>
      </c>
      <c r="K4086" s="16">
        <f>IF(NOT(Paths!$C$377=1),0,IF(Paths!$P$377="Complete",IF(IF(Paths!$O$377=0,C4086=0,AND(C4086&gt;0,Paths!$O$377&gt;(C4086-1)*12,Paths!$O$377&lt;=C4086*12)),Paths!$N$377,0),"n.a."))</f>
        <v>0</v>
      </c>
      <c r="L4086" s="16">
        <f>IF(NOT(Paths!$C$377=1),0,IF(Paths!$P$377="Complete",IF(C4086=10,Paths!$I$377,0),"n.a."))</f>
        <v>0</v>
      </c>
      <c r="M4086" s="16">
        <f>IF(NOT(Paths!$C$377=1),0,IF(Paths!$P$377="Complete",IF(AND(Paths!$D$377="EV",Paths!$E$377&lt;120,Paths!$E$377+'Operating costs'!$B$65&gt;Paths!$E$377,Paths!$E$377+'Operating costs'!$B$65&lt;=120,IF(Paths!$E$377+'Operating costs'!$B$65=0,C4086=0,AND(C4086&gt;0,Paths!$E$377+'Operating costs'!$B$65&gt;(C4086-1)*12,Paths!$E$377+'Operating costs'!$B$65&lt;=C4086*12))),'Operating costs'!$B$64,0)+IF(AND('Operating costs'!$B$67&gt;0,'Operating costs'!$B$67&lt;=120,OR(Paths!$D$377="ICE",'Operating costs'!$B$67&lt;=Paths!$E$377),IF('Operating costs'!$B$67=0,C4086=0,AND(C4086&gt;0,'Operating costs'!$B$67&gt;(C4086-1)*12,'Operating costs'!$B$67&lt;=C4086*12))),'Operating costs'!$B$66,0),"n.a."))</f>
        <v>0</v>
      </c>
      <c r="N4086" s="16">
        <f>IF(NOT(Paths!$C$377=1),0,IF(Paths!$P$377="Complete",SUM(G4086:I4086)-J4086-K4086-L4086+M4086+IF(C4086=0,Paths!$F$377,0)+IF(IF(Paths!$E$377=0,C4086=0,AND(C4086&gt;0,Paths!$E$377&gt;(C4086-1)*12,Paths!$E$377&lt;=C4086*12)),VLOOKUP(A4086,'Fleet register'!$A$7:$S$106,16,FALSE),0),"n.a."))</f>
        <v>0</v>
      </c>
      <c r="O4086" s="16">
        <f>IF(NOT(Paths!$C$377=1),0,IF(Paths!$P$377="Complete",N4086-IF(C4086=0,Paths!$F$377,0),"n.a."))</f>
        <v>0</v>
      </c>
      <c r="P4086" s="16">
        <f>IF(NOT(Paths!$C$377=1),0,IF(Paths!$P$377="Complete",O4086+L4086,"n.a."))</f>
        <v>0</v>
      </c>
      <c r="Q4086" s="16">
        <f>IF(NOT(Paths!$C$377=1),0,IF(Paths!$P$377="Complete",N4086*(1+'Operating costs'!$B$54)^-C4086,"n.a."))</f>
        <v>0</v>
      </c>
      <c r="R4086" s="16">
        <f>IF(NOT(Paths!$C$377=1),0,IF(Paths!$P$377="Complete",IF(AND(C4086=0,Paths!$E$377=0),I4086-J4086-K4086+VLOOKUP(A4086,'Fleet register'!$A$7:$S$106,15,FALSE)+VLOOKUP(A4086,'Fleet register'!$A$7:$S$106,16,FALSE),0),"n.a."))</f>
        <v>0</v>
      </c>
      <c r="S4086" s="1">
        <f>IF(NOT(Paths!$C$377=1),0,IF(Paths!$P$377="Complete",IF(C4086=0,0,Paths!$S$377*Paths!$R$377),"n.a."))</f>
        <v>0</v>
      </c>
      <c r="T4086" s="1">
        <f>IF(NOT(Paths!$C$377=1),0,IF(Paths!$P$377="Complete",IF(C4086=0,0,VLOOKUP(A4086,'Fleet register'!$A$7:$S$106,9,FALSE)*Paths!$R$377),"n.a."))</f>
        <v>0</v>
      </c>
    </row>
    <row r="4087" spans="1:20" ht="24" customHeight="1">
      <c r="A4087" s="1" t="str">
        <f>Paths!$A$377</f>
        <v>T093</v>
      </c>
      <c r="B4087" s="1">
        <f>Paths!$B$377</f>
        <v>2</v>
      </c>
      <c r="C4087" s="1">
        <v>10</v>
      </c>
      <c r="D4087" s="1">
        <v>377</v>
      </c>
      <c r="E4087" s="1">
        <f>IF(OR(Paths!$C$377=0,C4087=0),0,MAX(0,MIN(C4087*12,Paths!$E$377)-(C4087-1)*12))</f>
        <v>0</v>
      </c>
      <c r="F4087" s="1">
        <f>IF(OR(Paths!$C$377=0,C4087=0),0,12-E4087)</f>
        <v>0</v>
      </c>
      <c r="G4087" s="16">
        <f>IF(NOT(Paths!$C$377=1),0,IF(Paths!$P$377="Complete",E4087/12*(Paths!$J$377*(1+'Operating costs'!$B$51)^MAX(0,C4087-1)+Paths!$K$377*(1+'Operating costs'!$B$53)^MAX(0,C4087-1)),"n.a."))</f>
        <v>0</v>
      </c>
      <c r="H4087" s="16">
        <f>IF(NOT(Paths!$C$377=1),0,IF(Paths!$P$377="Complete",F4087/12*(Paths!$L$377*(1+IF(Paths!$D$377="EV",'Operating costs'!$B$52,'Operating costs'!$B$51))^MAX(0,C4087-1)+Paths!$M$377*(1+'Operating costs'!$B$53)^MAX(0,C4087-1)),"n.a."))</f>
        <v>0</v>
      </c>
      <c r="I4087" s="16">
        <f>IF(NOT(Paths!$C$377=1),0,IF(Paths!$P$377="Complete",IF(IF(Paths!$E$377=0,C4087=0,AND(C4087&gt;0,Paths!$E$377&gt;(C4087-1)*12,Paths!$E$377&lt;=C4087*12)),Paths!$G$377,0),"n.a."))</f>
        <v>0</v>
      </c>
      <c r="J4087" s="16">
        <f>IF(NOT(Paths!$C$377=1),0,IF(Paths!$P$377="Complete",IF(IF(Paths!$E$377=0,C4087=0,AND(C4087&gt;0,Paths!$E$377&gt;(C4087-1)*12,Paths!$E$377&lt;=C4087*12)),Paths!$H$377,0),"n.a."))</f>
        <v>0</v>
      </c>
      <c r="K4087" s="16">
        <f>IF(NOT(Paths!$C$377=1),0,IF(Paths!$P$377="Complete",IF(IF(Paths!$O$377=0,C4087=0,AND(C4087&gt;0,Paths!$O$377&gt;(C4087-1)*12,Paths!$O$377&lt;=C4087*12)),Paths!$N$377,0),"n.a."))</f>
        <v>0</v>
      </c>
      <c r="L4087" s="16">
        <f>IF(NOT(Paths!$C$377=1),0,IF(Paths!$P$377="Complete",IF(C4087=10,Paths!$I$377,0),"n.a."))</f>
        <v>0</v>
      </c>
      <c r="M4087" s="16">
        <f>IF(NOT(Paths!$C$377=1),0,IF(Paths!$P$377="Complete",IF(AND(Paths!$D$377="EV",Paths!$E$377&lt;120,Paths!$E$377+'Operating costs'!$B$65&gt;Paths!$E$377,Paths!$E$377+'Operating costs'!$B$65&lt;=120,IF(Paths!$E$377+'Operating costs'!$B$65=0,C4087=0,AND(C4087&gt;0,Paths!$E$377+'Operating costs'!$B$65&gt;(C4087-1)*12,Paths!$E$377+'Operating costs'!$B$65&lt;=C4087*12))),'Operating costs'!$B$64,0)+IF(AND('Operating costs'!$B$67&gt;0,'Operating costs'!$B$67&lt;=120,OR(Paths!$D$377="ICE",'Operating costs'!$B$67&lt;=Paths!$E$377),IF('Operating costs'!$B$67=0,C4087=0,AND(C4087&gt;0,'Operating costs'!$B$67&gt;(C4087-1)*12,'Operating costs'!$B$67&lt;=C4087*12))),'Operating costs'!$B$66,0),"n.a."))</f>
        <v>0</v>
      </c>
      <c r="N4087" s="16">
        <f>IF(NOT(Paths!$C$377=1),0,IF(Paths!$P$377="Complete",SUM(G4087:I4087)-J4087-K4087-L4087+M4087+IF(C4087=0,Paths!$F$377,0)+IF(IF(Paths!$E$377=0,C4087=0,AND(C4087&gt;0,Paths!$E$377&gt;(C4087-1)*12,Paths!$E$377&lt;=C4087*12)),VLOOKUP(A4087,'Fleet register'!$A$7:$S$106,16,FALSE),0),"n.a."))</f>
        <v>0</v>
      </c>
      <c r="O4087" s="16">
        <f>IF(NOT(Paths!$C$377=1),0,IF(Paths!$P$377="Complete",N4087-IF(C4087=0,Paths!$F$377,0),"n.a."))</f>
        <v>0</v>
      </c>
      <c r="P4087" s="16">
        <f>IF(NOT(Paths!$C$377=1),0,IF(Paths!$P$377="Complete",O4087+L4087,"n.a."))</f>
        <v>0</v>
      </c>
      <c r="Q4087" s="16">
        <f>IF(NOT(Paths!$C$377=1),0,IF(Paths!$P$377="Complete",N4087*(1+'Operating costs'!$B$54)^-C4087,"n.a."))</f>
        <v>0</v>
      </c>
      <c r="R4087" s="16">
        <f>IF(NOT(Paths!$C$377=1),0,IF(Paths!$P$377="Complete",IF(AND(C4087=0,Paths!$E$377=0),I4087-J4087-K4087+VLOOKUP(A4087,'Fleet register'!$A$7:$S$106,15,FALSE)+VLOOKUP(A4087,'Fleet register'!$A$7:$S$106,16,FALSE),0),"n.a."))</f>
        <v>0</v>
      </c>
      <c r="S4087" s="1">
        <f>IF(NOT(Paths!$C$377=1),0,IF(Paths!$P$377="Complete",IF(C4087=0,0,Paths!$S$377*Paths!$R$377),"n.a."))</f>
        <v>0</v>
      </c>
      <c r="T4087" s="1">
        <f>IF(NOT(Paths!$C$377=1),0,IF(Paths!$P$377="Complete",IF(C4087=0,0,VLOOKUP(A4087,'Fleet register'!$A$7:$S$106,9,FALSE)*Paths!$R$377),"n.a."))</f>
        <v>0</v>
      </c>
    </row>
    <row r="4088" spans="1:20" ht="24" customHeight="1">
      <c r="A4088" s="1" t="str">
        <f>Paths!$A$378</f>
        <v>T093</v>
      </c>
      <c r="B4088" s="1">
        <f>Paths!$B$378</f>
        <v>3</v>
      </c>
      <c r="C4088" s="1">
        <v>0</v>
      </c>
      <c r="D4088" s="1">
        <v>378</v>
      </c>
      <c r="E4088" s="1">
        <f>IF(OR(Paths!$C$378=0,C4088=0),0,MAX(0,MIN(C4088*12,Paths!$E$378)-(C4088-1)*12))</f>
        <v>0</v>
      </c>
      <c r="F4088" s="1">
        <f>IF(OR(Paths!$C$378=0,C4088=0),0,12-E4088)</f>
        <v>0</v>
      </c>
      <c r="G4088" s="16">
        <f>IF(NOT(Paths!$C$378=1),0,IF(Paths!$P$378="Complete",E4088/12*(Paths!$J$378*(1+'Operating costs'!$B$51)^MAX(0,C4088-1)+Paths!$K$378*(1+'Operating costs'!$B$53)^MAX(0,C4088-1)),"n.a."))</f>
        <v>0</v>
      </c>
      <c r="H4088" s="16">
        <f>IF(NOT(Paths!$C$378=1),0,IF(Paths!$P$378="Complete",F4088/12*(Paths!$L$378*(1+IF(Paths!$D$378="EV",'Operating costs'!$B$52,'Operating costs'!$B$51))^MAX(0,C4088-1)+Paths!$M$378*(1+'Operating costs'!$B$53)^MAX(0,C4088-1)),"n.a."))</f>
        <v>0</v>
      </c>
      <c r="I4088" s="16">
        <f>IF(NOT(Paths!$C$378=1),0,IF(Paths!$P$378="Complete",IF(IF(Paths!$E$378=0,C4088=0,AND(C4088&gt;0,Paths!$E$378&gt;(C4088-1)*12,Paths!$E$378&lt;=C4088*12)),Paths!$G$378,0),"n.a."))</f>
        <v>0</v>
      </c>
      <c r="J4088" s="16">
        <f>IF(NOT(Paths!$C$378=1),0,IF(Paths!$P$378="Complete",IF(IF(Paths!$E$378=0,C4088=0,AND(C4088&gt;0,Paths!$E$378&gt;(C4088-1)*12,Paths!$E$378&lt;=C4088*12)),Paths!$H$378,0),"n.a."))</f>
        <v>0</v>
      </c>
      <c r="K4088" s="16">
        <f>IF(NOT(Paths!$C$378=1),0,IF(Paths!$P$378="Complete",IF(IF(Paths!$O$378=0,C4088=0,AND(C4088&gt;0,Paths!$O$378&gt;(C4088-1)*12,Paths!$O$378&lt;=C4088*12)),Paths!$N$378,0),"n.a."))</f>
        <v>0</v>
      </c>
      <c r="L4088" s="16">
        <f>IF(NOT(Paths!$C$378=1),0,IF(Paths!$P$378="Complete",IF(C4088=10,Paths!$I$378,0),"n.a."))</f>
        <v>0</v>
      </c>
      <c r="M4088" s="16">
        <f>IF(NOT(Paths!$C$378=1),0,IF(Paths!$P$378="Complete",IF(AND(Paths!$D$378="EV",Paths!$E$378&lt;120,Paths!$E$378+'Operating costs'!$B$65&gt;Paths!$E$378,Paths!$E$378+'Operating costs'!$B$65&lt;=120,IF(Paths!$E$378+'Operating costs'!$B$65=0,C4088=0,AND(C4088&gt;0,Paths!$E$378+'Operating costs'!$B$65&gt;(C4088-1)*12,Paths!$E$378+'Operating costs'!$B$65&lt;=C4088*12))),'Operating costs'!$B$64,0)+IF(AND('Operating costs'!$B$67&gt;0,'Operating costs'!$B$67&lt;=120,OR(Paths!$D$378="ICE",'Operating costs'!$B$67&lt;=Paths!$E$378),IF('Operating costs'!$B$67=0,C4088=0,AND(C4088&gt;0,'Operating costs'!$B$67&gt;(C4088-1)*12,'Operating costs'!$B$67&lt;=C4088*12))),'Operating costs'!$B$66,0),"n.a."))</f>
        <v>0</v>
      </c>
      <c r="N4088" s="16">
        <f>IF(NOT(Paths!$C$378=1),0,IF(Paths!$P$378="Complete",SUM(G4088:I4088)-J4088-K4088-L4088+M4088+IF(C4088=0,Paths!$F$378,0)+IF(IF(Paths!$E$378=0,C4088=0,AND(C4088&gt;0,Paths!$E$378&gt;(C4088-1)*12,Paths!$E$378&lt;=C4088*12)),VLOOKUP(A4088,'Fleet register'!$A$7:$S$106,16,FALSE),0),"n.a."))</f>
        <v>0</v>
      </c>
      <c r="O4088" s="16">
        <f>IF(NOT(Paths!$C$378=1),0,IF(Paths!$P$378="Complete",N4088-IF(C4088=0,Paths!$F$378,0),"n.a."))</f>
        <v>0</v>
      </c>
      <c r="P4088" s="16">
        <f>IF(NOT(Paths!$C$378=1),0,IF(Paths!$P$378="Complete",O4088+L4088,"n.a."))</f>
        <v>0</v>
      </c>
      <c r="Q4088" s="16">
        <f>IF(NOT(Paths!$C$378=1),0,IF(Paths!$P$378="Complete",N4088*(1+'Operating costs'!$B$54)^-C4088,"n.a."))</f>
        <v>0</v>
      </c>
      <c r="R4088" s="16">
        <f>IF(NOT(Paths!$C$378=1),0,IF(Paths!$P$378="Complete",IF(AND(C4088=0,Paths!$E$378=0),I4088-J4088-K4088+VLOOKUP(A4088,'Fleet register'!$A$7:$S$106,15,FALSE)+VLOOKUP(A4088,'Fleet register'!$A$7:$S$106,16,FALSE),0),"n.a."))</f>
        <v>0</v>
      </c>
      <c r="S4088" s="1">
        <f>IF(NOT(Paths!$C$378=1),0,IF(Paths!$P$378="Complete",IF(C4088=0,0,Paths!$S$378*Paths!$R$378),"n.a."))</f>
        <v>0</v>
      </c>
      <c r="T4088" s="1">
        <f>IF(NOT(Paths!$C$378=1),0,IF(Paths!$P$378="Complete",IF(C4088=0,0,VLOOKUP(A4088,'Fleet register'!$A$7:$S$106,9,FALSE)*Paths!$R$378),"n.a."))</f>
        <v>0</v>
      </c>
    </row>
    <row r="4089" spans="1:20" ht="24" customHeight="1">
      <c r="A4089" s="1" t="str">
        <f>Paths!$A$378</f>
        <v>T093</v>
      </c>
      <c r="B4089" s="1">
        <f>Paths!$B$378</f>
        <v>3</v>
      </c>
      <c r="C4089" s="1">
        <v>1</v>
      </c>
      <c r="D4089" s="1">
        <v>378</v>
      </c>
      <c r="E4089" s="1">
        <f>IF(OR(Paths!$C$378=0,C4089=0),0,MAX(0,MIN(C4089*12,Paths!$E$378)-(C4089-1)*12))</f>
        <v>0</v>
      </c>
      <c r="F4089" s="1">
        <f>IF(OR(Paths!$C$378=0,C4089=0),0,12-E4089)</f>
        <v>0</v>
      </c>
      <c r="G4089" s="16">
        <f>IF(NOT(Paths!$C$378=1),0,IF(Paths!$P$378="Complete",E4089/12*(Paths!$J$378*(1+'Operating costs'!$B$51)^MAX(0,C4089-1)+Paths!$K$378*(1+'Operating costs'!$B$53)^MAX(0,C4089-1)),"n.a."))</f>
        <v>0</v>
      </c>
      <c r="H4089" s="16">
        <f>IF(NOT(Paths!$C$378=1),0,IF(Paths!$P$378="Complete",F4089/12*(Paths!$L$378*(1+IF(Paths!$D$378="EV",'Operating costs'!$B$52,'Operating costs'!$B$51))^MAX(0,C4089-1)+Paths!$M$378*(1+'Operating costs'!$B$53)^MAX(0,C4089-1)),"n.a."))</f>
        <v>0</v>
      </c>
      <c r="I4089" s="16">
        <f>IF(NOT(Paths!$C$378=1),0,IF(Paths!$P$378="Complete",IF(IF(Paths!$E$378=0,C4089=0,AND(C4089&gt;0,Paths!$E$378&gt;(C4089-1)*12,Paths!$E$378&lt;=C4089*12)),Paths!$G$378,0),"n.a."))</f>
        <v>0</v>
      </c>
      <c r="J4089" s="16">
        <f>IF(NOT(Paths!$C$378=1),0,IF(Paths!$P$378="Complete",IF(IF(Paths!$E$378=0,C4089=0,AND(C4089&gt;0,Paths!$E$378&gt;(C4089-1)*12,Paths!$E$378&lt;=C4089*12)),Paths!$H$378,0),"n.a."))</f>
        <v>0</v>
      </c>
      <c r="K4089" s="16">
        <f>IF(NOT(Paths!$C$378=1),0,IF(Paths!$P$378="Complete",IF(IF(Paths!$O$378=0,C4089=0,AND(C4089&gt;0,Paths!$O$378&gt;(C4089-1)*12,Paths!$O$378&lt;=C4089*12)),Paths!$N$378,0),"n.a."))</f>
        <v>0</v>
      </c>
      <c r="L4089" s="16">
        <f>IF(NOT(Paths!$C$378=1),0,IF(Paths!$P$378="Complete",IF(C4089=10,Paths!$I$378,0),"n.a."))</f>
        <v>0</v>
      </c>
      <c r="M4089" s="16">
        <f>IF(NOT(Paths!$C$378=1),0,IF(Paths!$P$378="Complete",IF(AND(Paths!$D$378="EV",Paths!$E$378&lt;120,Paths!$E$378+'Operating costs'!$B$65&gt;Paths!$E$378,Paths!$E$378+'Operating costs'!$B$65&lt;=120,IF(Paths!$E$378+'Operating costs'!$B$65=0,C4089=0,AND(C4089&gt;0,Paths!$E$378+'Operating costs'!$B$65&gt;(C4089-1)*12,Paths!$E$378+'Operating costs'!$B$65&lt;=C4089*12))),'Operating costs'!$B$64,0)+IF(AND('Operating costs'!$B$67&gt;0,'Operating costs'!$B$67&lt;=120,OR(Paths!$D$378="ICE",'Operating costs'!$B$67&lt;=Paths!$E$378),IF('Operating costs'!$B$67=0,C4089=0,AND(C4089&gt;0,'Operating costs'!$B$67&gt;(C4089-1)*12,'Operating costs'!$B$67&lt;=C4089*12))),'Operating costs'!$B$66,0),"n.a."))</f>
        <v>0</v>
      </c>
      <c r="N4089" s="16">
        <f>IF(NOT(Paths!$C$378=1),0,IF(Paths!$P$378="Complete",SUM(G4089:I4089)-J4089-K4089-L4089+M4089+IF(C4089=0,Paths!$F$378,0)+IF(IF(Paths!$E$378=0,C4089=0,AND(C4089&gt;0,Paths!$E$378&gt;(C4089-1)*12,Paths!$E$378&lt;=C4089*12)),VLOOKUP(A4089,'Fleet register'!$A$7:$S$106,16,FALSE),0),"n.a."))</f>
        <v>0</v>
      </c>
      <c r="O4089" s="16">
        <f>IF(NOT(Paths!$C$378=1),0,IF(Paths!$P$378="Complete",N4089-IF(C4089=0,Paths!$F$378,0),"n.a."))</f>
        <v>0</v>
      </c>
      <c r="P4089" s="16">
        <f>IF(NOT(Paths!$C$378=1),0,IF(Paths!$P$378="Complete",O4089+L4089,"n.a."))</f>
        <v>0</v>
      </c>
      <c r="Q4089" s="16">
        <f>IF(NOT(Paths!$C$378=1),0,IF(Paths!$P$378="Complete",N4089*(1+'Operating costs'!$B$54)^-C4089,"n.a."))</f>
        <v>0</v>
      </c>
      <c r="R4089" s="16">
        <f>IF(NOT(Paths!$C$378=1),0,IF(Paths!$P$378="Complete",IF(AND(C4089=0,Paths!$E$378=0),I4089-J4089-K4089+VLOOKUP(A4089,'Fleet register'!$A$7:$S$106,15,FALSE)+VLOOKUP(A4089,'Fleet register'!$A$7:$S$106,16,FALSE),0),"n.a."))</f>
        <v>0</v>
      </c>
      <c r="S4089" s="1">
        <f>IF(NOT(Paths!$C$378=1),0,IF(Paths!$P$378="Complete",IF(C4089=0,0,Paths!$S$378*Paths!$R$378),"n.a."))</f>
        <v>0</v>
      </c>
      <c r="T4089" s="1">
        <f>IF(NOT(Paths!$C$378=1),0,IF(Paths!$P$378="Complete",IF(C4089=0,0,VLOOKUP(A4089,'Fleet register'!$A$7:$S$106,9,FALSE)*Paths!$R$378),"n.a."))</f>
        <v>0</v>
      </c>
    </row>
    <row r="4090" spans="1:20" ht="24" customHeight="1">
      <c r="A4090" s="1" t="str">
        <f>Paths!$A$378</f>
        <v>T093</v>
      </c>
      <c r="B4090" s="1">
        <f>Paths!$B$378</f>
        <v>3</v>
      </c>
      <c r="C4090" s="1">
        <v>2</v>
      </c>
      <c r="D4090" s="1">
        <v>378</v>
      </c>
      <c r="E4090" s="1">
        <f>IF(OR(Paths!$C$378=0,C4090=0),0,MAX(0,MIN(C4090*12,Paths!$E$378)-(C4090-1)*12))</f>
        <v>0</v>
      </c>
      <c r="F4090" s="1">
        <f>IF(OR(Paths!$C$378=0,C4090=0),0,12-E4090)</f>
        <v>0</v>
      </c>
      <c r="G4090" s="16">
        <f>IF(NOT(Paths!$C$378=1),0,IF(Paths!$P$378="Complete",E4090/12*(Paths!$J$378*(1+'Operating costs'!$B$51)^MAX(0,C4090-1)+Paths!$K$378*(1+'Operating costs'!$B$53)^MAX(0,C4090-1)),"n.a."))</f>
        <v>0</v>
      </c>
      <c r="H4090" s="16">
        <f>IF(NOT(Paths!$C$378=1),0,IF(Paths!$P$378="Complete",F4090/12*(Paths!$L$378*(1+IF(Paths!$D$378="EV",'Operating costs'!$B$52,'Operating costs'!$B$51))^MAX(0,C4090-1)+Paths!$M$378*(1+'Operating costs'!$B$53)^MAX(0,C4090-1)),"n.a."))</f>
        <v>0</v>
      </c>
      <c r="I4090" s="16">
        <f>IF(NOT(Paths!$C$378=1),0,IF(Paths!$P$378="Complete",IF(IF(Paths!$E$378=0,C4090=0,AND(C4090&gt;0,Paths!$E$378&gt;(C4090-1)*12,Paths!$E$378&lt;=C4090*12)),Paths!$G$378,0),"n.a."))</f>
        <v>0</v>
      </c>
      <c r="J4090" s="16">
        <f>IF(NOT(Paths!$C$378=1),0,IF(Paths!$P$378="Complete",IF(IF(Paths!$E$378=0,C4090=0,AND(C4090&gt;0,Paths!$E$378&gt;(C4090-1)*12,Paths!$E$378&lt;=C4090*12)),Paths!$H$378,0),"n.a."))</f>
        <v>0</v>
      </c>
      <c r="K4090" s="16">
        <f>IF(NOT(Paths!$C$378=1),0,IF(Paths!$P$378="Complete",IF(IF(Paths!$O$378=0,C4090=0,AND(C4090&gt;0,Paths!$O$378&gt;(C4090-1)*12,Paths!$O$378&lt;=C4090*12)),Paths!$N$378,0),"n.a."))</f>
        <v>0</v>
      </c>
      <c r="L4090" s="16">
        <f>IF(NOT(Paths!$C$378=1),0,IF(Paths!$P$378="Complete",IF(C4090=10,Paths!$I$378,0),"n.a."))</f>
        <v>0</v>
      </c>
      <c r="M4090" s="16">
        <f>IF(NOT(Paths!$C$378=1),0,IF(Paths!$P$378="Complete",IF(AND(Paths!$D$378="EV",Paths!$E$378&lt;120,Paths!$E$378+'Operating costs'!$B$65&gt;Paths!$E$378,Paths!$E$378+'Operating costs'!$B$65&lt;=120,IF(Paths!$E$378+'Operating costs'!$B$65=0,C4090=0,AND(C4090&gt;0,Paths!$E$378+'Operating costs'!$B$65&gt;(C4090-1)*12,Paths!$E$378+'Operating costs'!$B$65&lt;=C4090*12))),'Operating costs'!$B$64,0)+IF(AND('Operating costs'!$B$67&gt;0,'Operating costs'!$B$67&lt;=120,OR(Paths!$D$378="ICE",'Operating costs'!$B$67&lt;=Paths!$E$378),IF('Operating costs'!$B$67=0,C4090=0,AND(C4090&gt;0,'Operating costs'!$B$67&gt;(C4090-1)*12,'Operating costs'!$B$67&lt;=C4090*12))),'Operating costs'!$B$66,0),"n.a."))</f>
        <v>0</v>
      </c>
      <c r="N4090" s="16">
        <f>IF(NOT(Paths!$C$378=1),0,IF(Paths!$P$378="Complete",SUM(G4090:I4090)-J4090-K4090-L4090+M4090+IF(C4090=0,Paths!$F$378,0)+IF(IF(Paths!$E$378=0,C4090=0,AND(C4090&gt;0,Paths!$E$378&gt;(C4090-1)*12,Paths!$E$378&lt;=C4090*12)),VLOOKUP(A4090,'Fleet register'!$A$7:$S$106,16,FALSE),0),"n.a."))</f>
        <v>0</v>
      </c>
      <c r="O4090" s="16">
        <f>IF(NOT(Paths!$C$378=1),0,IF(Paths!$P$378="Complete",N4090-IF(C4090=0,Paths!$F$378,0),"n.a."))</f>
        <v>0</v>
      </c>
      <c r="P4090" s="16">
        <f>IF(NOT(Paths!$C$378=1),0,IF(Paths!$P$378="Complete",O4090+L4090,"n.a."))</f>
        <v>0</v>
      </c>
      <c r="Q4090" s="16">
        <f>IF(NOT(Paths!$C$378=1),0,IF(Paths!$P$378="Complete",N4090*(1+'Operating costs'!$B$54)^-C4090,"n.a."))</f>
        <v>0</v>
      </c>
      <c r="R4090" s="16">
        <f>IF(NOT(Paths!$C$378=1),0,IF(Paths!$P$378="Complete",IF(AND(C4090=0,Paths!$E$378=0),I4090-J4090-K4090+VLOOKUP(A4090,'Fleet register'!$A$7:$S$106,15,FALSE)+VLOOKUP(A4090,'Fleet register'!$A$7:$S$106,16,FALSE),0),"n.a."))</f>
        <v>0</v>
      </c>
      <c r="S4090" s="1">
        <f>IF(NOT(Paths!$C$378=1),0,IF(Paths!$P$378="Complete",IF(C4090=0,0,Paths!$S$378*Paths!$R$378),"n.a."))</f>
        <v>0</v>
      </c>
      <c r="T4090" s="1">
        <f>IF(NOT(Paths!$C$378=1),0,IF(Paths!$P$378="Complete",IF(C4090=0,0,VLOOKUP(A4090,'Fleet register'!$A$7:$S$106,9,FALSE)*Paths!$R$378),"n.a."))</f>
        <v>0</v>
      </c>
    </row>
    <row r="4091" spans="1:20" ht="24" customHeight="1">
      <c r="A4091" s="1" t="str">
        <f>Paths!$A$378</f>
        <v>T093</v>
      </c>
      <c r="B4091" s="1">
        <f>Paths!$B$378</f>
        <v>3</v>
      </c>
      <c r="C4091" s="1">
        <v>3</v>
      </c>
      <c r="D4091" s="1">
        <v>378</v>
      </c>
      <c r="E4091" s="1">
        <f>IF(OR(Paths!$C$378=0,C4091=0),0,MAX(0,MIN(C4091*12,Paths!$E$378)-(C4091-1)*12))</f>
        <v>0</v>
      </c>
      <c r="F4091" s="1">
        <f>IF(OR(Paths!$C$378=0,C4091=0),0,12-E4091)</f>
        <v>0</v>
      </c>
      <c r="G4091" s="16">
        <f>IF(NOT(Paths!$C$378=1),0,IF(Paths!$P$378="Complete",E4091/12*(Paths!$J$378*(1+'Operating costs'!$B$51)^MAX(0,C4091-1)+Paths!$K$378*(1+'Operating costs'!$B$53)^MAX(0,C4091-1)),"n.a."))</f>
        <v>0</v>
      </c>
      <c r="H4091" s="16">
        <f>IF(NOT(Paths!$C$378=1),0,IF(Paths!$P$378="Complete",F4091/12*(Paths!$L$378*(1+IF(Paths!$D$378="EV",'Operating costs'!$B$52,'Operating costs'!$B$51))^MAX(0,C4091-1)+Paths!$M$378*(1+'Operating costs'!$B$53)^MAX(0,C4091-1)),"n.a."))</f>
        <v>0</v>
      </c>
      <c r="I4091" s="16">
        <f>IF(NOT(Paths!$C$378=1),0,IF(Paths!$P$378="Complete",IF(IF(Paths!$E$378=0,C4091=0,AND(C4091&gt;0,Paths!$E$378&gt;(C4091-1)*12,Paths!$E$378&lt;=C4091*12)),Paths!$G$378,0),"n.a."))</f>
        <v>0</v>
      </c>
      <c r="J4091" s="16">
        <f>IF(NOT(Paths!$C$378=1),0,IF(Paths!$P$378="Complete",IF(IF(Paths!$E$378=0,C4091=0,AND(C4091&gt;0,Paths!$E$378&gt;(C4091-1)*12,Paths!$E$378&lt;=C4091*12)),Paths!$H$378,0),"n.a."))</f>
        <v>0</v>
      </c>
      <c r="K4091" s="16">
        <f>IF(NOT(Paths!$C$378=1),0,IF(Paths!$P$378="Complete",IF(IF(Paths!$O$378=0,C4091=0,AND(C4091&gt;0,Paths!$O$378&gt;(C4091-1)*12,Paths!$O$378&lt;=C4091*12)),Paths!$N$378,0),"n.a."))</f>
        <v>0</v>
      </c>
      <c r="L4091" s="16">
        <f>IF(NOT(Paths!$C$378=1),0,IF(Paths!$P$378="Complete",IF(C4091=10,Paths!$I$378,0),"n.a."))</f>
        <v>0</v>
      </c>
      <c r="M4091" s="16">
        <f>IF(NOT(Paths!$C$378=1),0,IF(Paths!$P$378="Complete",IF(AND(Paths!$D$378="EV",Paths!$E$378&lt;120,Paths!$E$378+'Operating costs'!$B$65&gt;Paths!$E$378,Paths!$E$378+'Operating costs'!$B$65&lt;=120,IF(Paths!$E$378+'Operating costs'!$B$65=0,C4091=0,AND(C4091&gt;0,Paths!$E$378+'Operating costs'!$B$65&gt;(C4091-1)*12,Paths!$E$378+'Operating costs'!$B$65&lt;=C4091*12))),'Operating costs'!$B$64,0)+IF(AND('Operating costs'!$B$67&gt;0,'Operating costs'!$B$67&lt;=120,OR(Paths!$D$378="ICE",'Operating costs'!$B$67&lt;=Paths!$E$378),IF('Operating costs'!$B$67=0,C4091=0,AND(C4091&gt;0,'Operating costs'!$B$67&gt;(C4091-1)*12,'Operating costs'!$B$67&lt;=C4091*12))),'Operating costs'!$B$66,0),"n.a."))</f>
        <v>0</v>
      </c>
      <c r="N4091" s="16">
        <f>IF(NOT(Paths!$C$378=1),0,IF(Paths!$P$378="Complete",SUM(G4091:I4091)-J4091-K4091-L4091+M4091+IF(C4091=0,Paths!$F$378,0)+IF(IF(Paths!$E$378=0,C4091=0,AND(C4091&gt;0,Paths!$E$378&gt;(C4091-1)*12,Paths!$E$378&lt;=C4091*12)),VLOOKUP(A4091,'Fleet register'!$A$7:$S$106,16,FALSE),0),"n.a."))</f>
        <v>0</v>
      </c>
      <c r="O4091" s="16">
        <f>IF(NOT(Paths!$C$378=1),0,IF(Paths!$P$378="Complete",N4091-IF(C4091=0,Paths!$F$378,0),"n.a."))</f>
        <v>0</v>
      </c>
      <c r="P4091" s="16">
        <f>IF(NOT(Paths!$C$378=1),0,IF(Paths!$P$378="Complete",O4091+L4091,"n.a."))</f>
        <v>0</v>
      </c>
      <c r="Q4091" s="16">
        <f>IF(NOT(Paths!$C$378=1),0,IF(Paths!$P$378="Complete",N4091*(1+'Operating costs'!$B$54)^-C4091,"n.a."))</f>
        <v>0</v>
      </c>
      <c r="R4091" s="16">
        <f>IF(NOT(Paths!$C$378=1),0,IF(Paths!$P$378="Complete",IF(AND(C4091=0,Paths!$E$378=0),I4091-J4091-K4091+VLOOKUP(A4091,'Fleet register'!$A$7:$S$106,15,FALSE)+VLOOKUP(A4091,'Fleet register'!$A$7:$S$106,16,FALSE),0),"n.a."))</f>
        <v>0</v>
      </c>
      <c r="S4091" s="1">
        <f>IF(NOT(Paths!$C$378=1),0,IF(Paths!$P$378="Complete",IF(C4091=0,0,Paths!$S$378*Paths!$R$378),"n.a."))</f>
        <v>0</v>
      </c>
      <c r="T4091" s="1">
        <f>IF(NOT(Paths!$C$378=1),0,IF(Paths!$P$378="Complete",IF(C4091=0,0,VLOOKUP(A4091,'Fleet register'!$A$7:$S$106,9,FALSE)*Paths!$R$378),"n.a."))</f>
        <v>0</v>
      </c>
    </row>
    <row r="4092" spans="1:20" ht="24" customHeight="1">
      <c r="A4092" s="1" t="str">
        <f>Paths!$A$378</f>
        <v>T093</v>
      </c>
      <c r="B4092" s="1">
        <f>Paths!$B$378</f>
        <v>3</v>
      </c>
      <c r="C4092" s="1">
        <v>4</v>
      </c>
      <c r="D4092" s="1">
        <v>378</v>
      </c>
      <c r="E4092" s="1">
        <f>IF(OR(Paths!$C$378=0,C4092=0),0,MAX(0,MIN(C4092*12,Paths!$E$378)-(C4092-1)*12))</f>
        <v>0</v>
      </c>
      <c r="F4092" s="1">
        <f>IF(OR(Paths!$C$378=0,C4092=0),0,12-E4092)</f>
        <v>0</v>
      </c>
      <c r="G4092" s="16">
        <f>IF(NOT(Paths!$C$378=1),0,IF(Paths!$P$378="Complete",E4092/12*(Paths!$J$378*(1+'Operating costs'!$B$51)^MAX(0,C4092-1)+Paths!$K$378*(1+'Operating costs'!$B$53)^MAX(0,C4092-1)),"n.a."))</f>
        <v>0</v>
      </c>
      <c r="H4092" s="16">
        <f>IF(NOT(Paths!$C$378=1),0,IF(Paths!$P$378="Complete",F4092/12*(Paths!$L$378*(1+IF(Paths!$D$378="EV",'Operating costs'!$B$52,'Operating costs'!$B$51))^MAX(0,C4092-1)+Paths!$M$378*(1+'Operating costs'!$B$53)^MAX(0,C4092-1)),"n.a."))</f>
        <v>0</v>
      </c>
      <c r="I4092" s="16">
        <f>IF(NOT(Paths!$C$378=1),0,IF(Paths!$P$378="Complete",IF(IF(Paths!$E$378=0,C4092=0,AND(C4092&gt;0,Paths!$E$378&gt;(C4092-1)*12,Paths!$E$378&lt;=C4092*12)),Paths!$G$378,0),"n.a."))</f>
        <v>0</v>
      </c>
      <c r="J4092" s="16">
        <f>IF(NOT(Paths!$C$378=1),0,IF(Paths!$P$378="Complete",IF(IF(Paths!$E$378=0,C4092=0,AND(C4092&gt;0,Paths!$E$378&gt;(C4092-1)*12,Paths!$E$378&lt;=C4092*12)),Paths!$H$378,0),"n.a."))</f>
        <v>0</v>
      </c>
      <c r="K4092" s="16">
        <f>IF(NOT(Paths!$C$378=1),0,IF(Paths!$P$378="Complete",IF(IF(Paths!$O$378=0,C4092=0,AND(C4092&gt;0,Paths!$O$378&gt;(C4092-1)*12,Paths!$O$378&lt;=C4092*12)),Paths!$N$378,0),"n.a."))</f>
        <v>0</v>
      </c>
      <c r="L4092" s="16">
        <f>IF(NOT(Paths!$C$378=1),0,IF(Paths!$P$378="Complete",IF(C4092=10,Paths!$I$378,0),"n.a."))</f>
        <v>0</v>
      </c>
      <c r="M4092" s="16">
        <f>IF(NOT(Paths!$C$378=1),0,IF(Paths!$P$378="Complete",IF(AND(Paths!$D$378="EV",Paths!$E$378&lt;120,Paths!$E$378+'Operating costs'!$B$65&gt;Paths!$E$378,Paths!$E$378+'Operating costs'!$B$65&lt;=120,IF(Paths!$E$378+'Operating costs'!$B$65=0,C4092=0,AND(C4092&gt;0,Paths!$E$378+'Operating costs'!$B$65&gt;(C4092-1)*12,Paths!$E$378+'Operating costs'!$B$65&lt;=C4092*12))),'Operating costs'!$B$64,0)+IF(AND('Operating costs'!$B$67&gt;0,'Operating costs'!$B$67&lt;=120,OR(Paths!$D$378="ICE",'Operating costs'!$B$67&lt;=Paths!$E$378),IF('Operating costs'!$B$67=0,C4092=0,AND(C4092&gt;0,'Operating costs'!$B$67&gt;(C4092-1)*12,'Operating costs'!$B$67&lt;=C4092*12))),'Operating costs'!$B$66,0),"n.a."))</f>
        <v>0</v>
      </c>
      <c r="N4092" s="16">
        <f>IF(NOT(Paths!$C$378=1),0,IF(Paths!$P$378="Complete",SUM(G4092:I4092)-J4092-K4092-L4092+M4092+IF(C4092=0,Paths!$F$378,0)+IF(IF(Paths!$E$378=0,C4092=0,AND(C4092&gt;0,Paths!$E$378&gt;(C4092-1)*12,Paths!$E$378&lt;=C4092*12)),VLOOKUP(A4092,'Fleet register'!$A$7:$S$106,16,FALSE),0),"n.a."))</f>
        <v>0</v>
      </c>
      <c r="O4092" s="16">
        <f>IF(NOT(Paths!$C$378=1),0,IF(Paths!$P$378="Complete",N4092-IF(C4092=0,Paths!$F$378,0),"n.a."))</f>
        <v>0</v>
      </c>
      <c r="P4092" s="16">
        <f>IF(NOT(Paths!$C$378=1),0,IF(Paths!$P$378="Complete",O4092+L4092,"n.a."))</f>
        <v>0</v>
      </c>
      <c r="Q4092" s="16">
        <f>IF(NOT(Paths!$C$378=1),0,IF(Paths!$P$378="Complete",N4092*(1+'Operating costs'!$B$54)^-C4092,"n.a."))</f>
        <v>0</v>
      </c>
      <c r="R4092" s="16">
        <f>IF(NOT(Paths!$C$378=1),0,IF(Paths!$P$378="Complete",IF(AND(C4092=0,Paths!$E$378=0),I4092-J4092-K4092+VLOOKUP(A4092,'Fleet register'!$A$7:$S$106,15,FALSE)+VLOOKUP(A4092,'Fleet register'!$A$7:$S$106,16,FALSE),0),"n.a."))</f>
        <v>0</v>
      </c>
      <c r="S4092" s="1">
        <f>IF(NOT(Paths!$C$378=1),0,IF(Paths!$P$378="Complete",IF(C4092=0,0,Paths!$S$378*Paths!$R$378),"n.a."))</f>
        <v>0</v>
      </c>
      <c r="T4092" s="1">
        <f>IF(NOT(Paths!$C$378=1),0,IF(Paths!$P$378="Complete",IF(C4092=0,0,VLOOKUP(A4092,'Fleet register'!$A$7:$S$106,9,FALSE)*Paths!$R$378),"n.a."))</f>
        <v>0</v>
      </c>
    </row>
    <row r="4093" spans="1:20" ht="24" customHeight="1">
      <c r="A4093" s="1" t="str">
        <f>Paths!$A$378</f>
        <v>T093</v>
      </c>
      <c r="B4093" s="1">
        <f>Paths!$B$378</f>
        <v>3</v>
      </c>
      <c r="C4093" s="1">
        <v>5</v>
      </c>
      <c r="D4093" s="1">
        <v>378</v>
      </c>
      <c r="E4093" s="1">
        <f>IF(OR(Paths!$C$378=0,C4093=0),0,MAX(0,MIN(C4093*12,Paths!$E$378)-(C4093-1)*12))</f>
        <v>0</v>
      </c>
      <c r="F4093" s="1">
        <f>IF(OR(Paths!$C$378=0,C4093=0),0,12-E4093)</f>
        <v>0</v>
      </c>
      <c r="G4093" s="16">
        <f>IF(NOT(Paths!$C$378=1),0,IF(Paths!$P$378="Complete",E4093/12*(Paths!$J$378*(1+'Operating costs'!$B$51)^MAX(0,C4093-1)+Paths!$K$378*(1+'Operating costs'!$B$53)^MAX(0,C4093-1)),"n.a."))</f>
        <v>0</v>
      </c>
      <c r="H4093" s="16">
        <f>IF(NOT(Paths!$C$378=1),0,IF(Paths!$P$378="Complete",F4093/12*(Paths!$L$378*(1+IF(Paths!$D$378="EV",'Operating costs'!$B$52,'Operating costs'!$B$51))^MAX(0,C4093-1)+Paths!$M$378*(1+'Operating costs'!$B$53)^MAX(0,C4093-1)),"n.a."))</f>
        <v>0</v>
      </c>
      <c r="I4093" s="16">
        <f>IF(NOT(Paths!$C$378=1),0,IF(Paths!$P$378="Complete",IF(IF(Paths!$E$378=0,C4093=0,AND(C4093&gt;0,Paths!$E$378&gt;(C4093-1)*12,Paths!$E$378&lt;=C4093*12)),Paths!$G$378,0),"n.a."))</f>
        <v>0</v>
      </c>
      <c r="J4093" s="16">
        <f>IF(NOT(Paths!$C$378=1),0,IF(Paths!$P$378="Complete",IF(IF(Paths!$E$378=0,C4093=0,AND(C4093&gt;0,Paths!$E$378&gt;(C4093-1)*12,Paths!$E$378&lt;=C4093*12)),Paths!$H$378,0),"n.a."))</f>
        <v>0</v>
      </c>
      <c r="K4093" s="16">
        <f>IF(NOT(Paths!$C$378=1),0,IF(Paths!$P$378="Complete",IF(IF(Paths!$O$378=0,C4093=0,AND(C4093&gt;0,Paths!$O$378&gt;(C4093-1)*12,Paths!$O$378&lt;=C4093*12)),Paths!$N$378,0),"n.a."))</f>
        <v>0</v>
      </c>
      <c r="L4093" s="16">
        <f>IF(NOT(Paths!$C$378=1),0,IF(Paths!$P$378="Complete",IF(C4093=10,Paths!$I$378,0),"n.a."))</f>
        <v>0</v>
      </c>
      <c r="M4093" s="16">
        <f>IF(NOT(Paths!$C$378=1),0,IF(Paths!$P$378="Complete",IF(AND(Paths!$D$378="EV",Paths!$E$378&lt;120,Paths!$E$378+'Operating costs'!$B$65&gt;Paths!$E$378,Paths!$E$378+'Operating costs'!$B$65&lt;=120,IF(Paths!$E$378+'Operating costs'!$B$65=0,C4093=0,AND(C4093&gt;0,Paths!$E$378+'Operating costs'!$B$65&gt;(C4093-1)*12,Paths!$E$378+'Operating costs'!$B$65&lt;=C4093*12))),'Operating costs'!$B$64,0)+IF(AND('Operating costs'!$B$67&gt;0,'Operating costs'!$B$67&lt;=120,OR(Paths!$D$378="ICE",'Operating costs'!$B$67&lt;=Paths!$E$378),IF('Operating costs'!$B$67=0,C4093=0,AND(C4093&gt;0,'Operating costs'!$B$67&gt;(C4093-1)*12,'Operating costs'!$B$67&lt;=C4093*12))),'Operating costs'!$B$66,0),"n.a."))</f>
        <v>0</v>
      </c>
      <c r="N4093" s="16">
        <f>IF(NOT(Paths!$C$378=1),0,IF(Paths!$P$378="Complete",SUM(G4093:I4093)-J4093-K4093-L4093+M4093+IF(C4093=0,Paths!$F$378,0)+IF(IF(Paths!$E$378=0,C4093=0,AND(C4093&gt;0,Paths!$E$378&gt;(C4093-1)*12,Paths!$E$378&lt;=C4093*12)),VLOOKUP(A4093,'Fleet register'!$A$7:$S$106,16,FALSE),0),"n.a."))</f>
        <v>0</v>
      </c>
      <c r="O4093" s="16">
        <f>IF(NOT(Paths!$C$378=1),0,IF(Paths!$P$378="Complete",N4093-IF(C4093=0,Paths!$F$378,0),"n.a."))</f>
        <v>0</v>
      </c>
      <c r="P4093" s="16">
        <f>IF(NOT(Paths!$C$378=1),0,IF(Paths!$P$378="Complete",O4093+L4093,"n.a."))</f>
        <v>0</v>
      </c>
      <c r="Q4093" s="16">
        <f>IF(NOT(Paths!$C$378=1),0,IF(Paths!$P$378="Complete",N4093*(1+'Operating costs'!$B$54)^-C4093,"n.a."))</f>
        <v>0</v>
      </c>
      <c r="R4093" s="16">
        <f>IF(NOT(Paths!$C$378=1),0,IF(Paths!$P$378="Complete",IF(AND(C4093=0,Paths!$E$378=0),I4093-J4093-K4093+VLOOKUP(A4093,'Fleet register'!$A$7:$S$106,15,FALSE)+VLOOKUP(A4093,'Fleet register'!$A$7:$S$106,16,FALSE),0),"n.a."))</f>
        <v>0</v>
      </c>
      <c r="S4093" s="1">
        <f>IF(NOT(Paths!$C$378=1),0,IF(Paths!$P$378="Complete",IF(C4093=0,0,Paths!$S$378*Paths!$R$378),"n.a."))</f>
        <v>0</v>
      </c>
      <c r="T4093" s="1">
        <f>IF(NOT(Paths!$C$378=1),0,IF(Paths!$P$378="Complete",IF(C4093=0,0,VLOOKUP(A4093,'Fleet register'!$A$7:$S$106,9,FALSE)*Paths!$R$378),"n.a."))</f>
        <v>0</v>
      </c>
    </row>
    <row r="4094" spans="1:20" ht="24" customHeight="1">
      <c r="A4094" s="1" t="str">
        <f>Paths!$A$378</f>
        <v>T093</v>
      </c>
      <c r="B4094" s="1">
        <f>Paths!$B$378</f>
        <v>3</v>
      </c>
      <c r="C4094" s="1">
        <v>6</v>
      </c>
      <c r="D4094" s="1">
        <v>378</v>
      </c>
      <c r="E4094" s="1">
        <f>IF(OR(Paths!$C$378=0,C4094=0),0,MAX(0,MIN(C4094*12,Paths!$E$378)-(C4094-1)*12))</f>
        <v>0</v>
      </c>
      <c r="F4094" s="1">
        <f>IF(OR(Paths!$C$378=0,C4094=0),0,12-E4094)</f>
        <v>0</v>
      </c>
      <c r="G4094" s="16">
        <f>IF(NOT(Paths!$C$378=1),0,IF(Paths!$P$378="Complete",E4094/12*(Paths!$J$378*(1+'Operating costs'!$B$51)^MAX(0,C4094-1)+Paths!$K$378*(1+'Operating costs'!$B$53)^MAX(0,C4094-1)),"n.a."))</f>
        <v>0</v>
      </c>
      <c r="H4094" s="16">
        <f>IF(NOT(Paths!$C$378=1),0,IF(Paths!$P$378="Complete",F4094/12*(Paths!$L$378*(1+IF(Paths!$D$378="EV",'Operating costs'!$B$52,'Operating costs'!$B$51))^MAX(0,C4094-1)+Paths!$M$378*(1+'Operating costs'!$B$53)^MAX(0,C4094-1)),"n.a."))</f>
        <v>0</v>
      </c>
      <c r="I4094" s="16">
        <f>IF(NOT(Paths!$C$378=1),0,IF(Paths!$P$378="Complete",IF(IF(Paths!$E$378=0,C4094=0,AND(C4094&gt;0,Paths!$E$378&gt;(C4094-1)*12,Paths!$E$378&lt;=C4094*12)),Paths!$G$378,0),"n.a."))</f>
        <v>0</v>
      </c>
      <c r="J4094" s="16">
        <f>IF(NOT(Paths!$C$378=1),0,IF(Paths!$P$378="Complete",IF(IF(Paths!$E$378=0,C4094=0,AND(C4094&gt;0,Paths!$E$378&gt;(C4094-1)*12,Paths!$E$378&lt;=C4094*12)),Paths!$H$378,0),"n.a."))</f>
        <v>0</v>
      </c>
      <c r="K4094" s="16">
        <f>IF(NOT(Paths!$C$378=1),0,IF(Paths!$P$378="Complete",IF(IF(Paths!$O$378=0,C4094=0,AND(C4094&gt;0,Paths!$O$378&gt;(C4094-1)*12,Paths!$O$378&lt;=C4094*12)),Paths!$N$378,0),"n.a."))</f>
        <v>0</v>
      </c>
      <c r="L4094" s="16">
        <f>IF(NOT(Paths!$C$378=1),0,IF(Paths!$P$378="Complete",IF(C4094=10,Paths!$I$378,0),"n.a."))</f>
        <v>0</v>
      </c>
      <c r="M4094" s="16">
        <f>IF(NOT(Paths!$C$378=1),0,IF(Paths!$P$378="Complete",IF(AND(Paths!$D$378="EV",Paths!$E$378&lt;120,Paths!$E$378+'Operating costs'!$B$65&gt;Paths!$E$378,Paths!$E$378+'Operating costs'!$B$65&lt;=120,IF(Paths!$E$378+'Operating costs'!$B$65=0,C4094=0,AND(C4094&gt;0,Paths!$E$378+'Operating costs'!$B$65&gt;(C4094-1)*12,Paths!$E$378+'Operating costs'!$B$65&lt;=C4094*12))),'Operating costs'!$B$64,0)+IF(AND('Operating costs'!$B$67&gt;0,'Operating costs'!$B$67&lt;=120,OR(Paths!$D$378="ICE",'Operating costs'!$B$67&lt;=Paths!$E$378),IF('Operating costs'!$B$67=0,C4094=0,AND(C4094&gt;0,'Operating costs'!$B$67&gt;(C4094-1)*12,'Operating costs'!$B$67&lt;=C4094*12))),'Operating costs'!$B$66,0),"n.a."))</f>
        <v>0</v>
      </c>
      <c r="N4094" s="16">
        <f>IF(NOT(Paths!$C$378=1),0,IF(Paths!$P$378="Complete",SUM(G4094:I4094)-J4094-K4094-L4094+M4094+IF(C4094=0,Paths!$F$378,0)+IF(IF(Paths!$E$378=0,C4094=0,AND(C4094&gt;0,Paths!$E$378&gt;(C4094-1)*12,Paths!$E$378&lt;=C4094*12)),VLOOKUP(A4094,'Fleet register'!$A$7:$S$106,16,FALSE),0),"n.a."))</f>
        <v>0</v>
      </c>
      <c r="O4094" s="16">
        <f>IF(NOT(Paths!$C$378=1),0,IF(Paths!$P$378="Complete",N4094-IF(C4094=0,Paths!$F$378,0),"n.a."))</f>
        <v>0</v>
      </c>
      <c r="P4094" s="16">
        <f>IF(NOT(Paths!$C$378=1),0,IF(Paths!$P$378="Complete",O4094+L4094,"n.a."))</f>
        <v>0</v>
      </c>
      <c r="Q4094" s="16">
        <f>IF(NOT(Paths!$C$378=1),0,IF(Paths!$P$378="Complete",N4094*(1+'Operating costs'!$B$54)^-C4094,"n.a."))</f>
        <v>0</v>
      </c>
      <c r="R4094" s="16">
        <f>IF(NOT(Paths!$C$378=1),0,IF(Paths!$P$378="Complete",IF(AND(C4094=0,Paths!$E$378=0),I4094-J4094-K4094+VLOOKUP(A4094,'Fleet register'!$A$7:$S$106,15,FALSE)+VLOOKUP(A4094,'Fleet register'!$A$7:$S$106,16,FALSE),0),"n.a."))</f>
        <v>0</v>
      </c>
      <c r="S4094" s="1">
        <f>IF(NOT(Paths!$C$378=1),0,IF(Paths!$P$378="Complete",IF(C4094=0,0,Paths!$S$378*Paths!$R$378),"n.a."))</f>
        <v>0</v>
      </c>
      <c r="T4094" s="1">
        <f>IF(NOT(Paths!$C$378=1),0,IF(Paths!$P$378="Complete",IF(C4094=0,0,VLOOKUP(A4094,'Fleet register'!$A$7:$S$106,9,FALSE)*Paths!$R$378),"n.a."))</f>
        <v>0</v>
      </c>
    </row>
    <row r="4095" spans="1:20" ht="24" customHeight="1">
      <c r="A4095" s="1" t="str">
        <f>Paths!$A$378</f>
        <v>T093</v>
      </c>
      <c r="B4095" s="1">
        <f>Paths!$B$378</f>
        <v>3</v>
      </c>
      <c r="C4095" s="1">
        <v>7</v>
      </c>
      <c r="D4095" s="1">
        <v>378</v>
      </c>
      <c r="E4095" s="1">
        <f>IF(OR(Paths!$C$378=0,C4095=0),0,MAX(0,MIN(C4095*12,Paths!$E$378)-(C4095-1)*12))</f>
        <v>0</v>
      </c>
      <c r="F4095" s="1">
        <f>IF(OR(Paths!$C$378=0,C4095=0),0,12-E4095)</f>
        <v>0</v>
      </c>
      <c r="G4095" s="16">
        <f>IF(NOT(Paths!$C$378=1),0,IF(Paths!$P$378="Complete",E4095/12*(Paths!$J$378*(1+'Operating costs'!$B$51)^MAX(0,C4095-1)+Paths!$K$378*(1+'Operating costs'!$B$53)^MAX(0,C4095-1)),"n.a."))</f>
        <v>0</v>
      </c>
      <c r="H4095" s="16">
        <f>IF(NOT(Paths!$C$378=1),0,IF(Paths!$P$378="Complete",F4095/12*(Paths!$L$378*(1+IF(Paths!$D$378="EV",'Operating costs'!$B$52,'Operating costs'!$B$51))^MAX(0,C4095-1)+Paths!$M$378*(1+'Operating costs'!$B$53)^MAX(0,C4095-1)),"n.a."))</f>
        <v>0</v>
      </c>
      <c r="I4095" s="16">
        <f>IF(NOT(Paths!$C$378=1),0,IF(Paths!$P$378="Complete",IF(IF(Paths!$E$378=0,C4095=0,AND(C4095&gt;0,Paths!$E$378&gt;(C4095-1)*12,Paths!$E$378&lt;=C4095*12)),Paths!$G$378,0),"n.a."))</f>
        <v>0</v>
      </c>
      <c r="J4095" s="16">
        <f>IF(NOT(Paths!$C$378=1),0,IF(Paths!$P$378="Complete",IF(IF(Paths!$E$378=0,C4095=0,AND(C4095&gt;0,Paths!$E$378&gt;(C4095-1)*12,Paths!$E$378&lt;=C4095*12)),Paths!$H$378,0),"n.a."))</f>
        <v>0</v>
      </c>
      <c r="K4095" s="16">
        <f>IF(NOT(Paths!$C$378=1),0,IF(Paths!$P$378="Complete",IF(IF(Paths!$O$378=0,C4095=0,AND(C4095&gt;0,Paths!$O$378&gt;(C4095-1)*12,Paths!$O$378&lt;=C4095*12)),Paths!$N$378,0),"n.a."))</f>
        <v>0</v>
      </c>
      <c r="L4095" s="16">
        <f>IF(NOT(Paths!$C$378=1),0,IF(Paths!$P$378="Complete",IF(C4095=10,Paths!$I$378,0),"n.a."))</f>
        <v>0</v>
      </c>
      <c r="M4095" s="16">
        <f>IF(NOT(Paths!$C$378=1),0,IF(Paths!$P$378="Complete",IF(AND(Paths!$D$378="EV",Paths!$E$378&lt;120,Paths!$E$378+'Operating costs'!$B$65&gt;Paths!$E$378,Paths!$E$378+'Operating costs'!$B$65&lt;=120,IF(Paths!$E$378+'Operating costs'!$B$65=0,C4095=0,AND(C4095&gt;0,Paths!$E$378+'Operating costs'!$B$65&gt;(C4095-1)*12,Paths!$E$378+'Operating costs'!$B$65&lt;=C4095*12))),'Operating costs'!$B$64,0)+IF(AND('Operating costs'!$B$67&gt;0,'Operating costs'!$B$67&lt;=120,OR(Paths!$D$378="ICE",'Operating costs'!$B$67&lt;=Paths!$E$378),IF('Operating costs'!$B$67=0,C4095=0,AND(C4095&gt;0,'Operating costs'!$B$67&gt;(C4095-1)*12,'Operating costs'!$B$67&lt;=C4095*12))),'Operating costs'!$B$66,0),"n.a."))</f>
        <v>0</v>
      </c>
      <c r="N4095" s="16">
        <f>IF(NOT(Paths!$C$378=1),0,IF(Paths!$P$378="Complete",SUM(G4095:I4095)-J4095-K4095-L4095+M4095+IF(C4095=0,Paths!$F$378,0)+IF(IF(Paths!$E$378=0,C4095=0,AND(C4095&gt;0,Paths!$E$378&gt;(C4095-1)*12,Paths!$E$378&lt;=C4095*12)),VLOOKUP(A4095,'Fleet register'!$A$7:$S$106,16,FALSE),0),"n.a."))</f>
        <v>0</v>
      </c>
      <c r="O4095" s="16">
        <f>IF(NOT(Paths!$C$378=1),0,IF(Paths!$P$378="Complete",N4095-IF(C4095=0,Paths!$F$378,0),"n.a."))</f>
        <v>0</v>
      </c>
      <c r="P4095" s="16">
        <f>IF(NOT(Paths!$C$378=1),0,IF(Paths!$P$378="Complete",O4095+L4095,"n.a."))</f>
        <v>0</v>
      </c>
      <c r="Q4095" s="16">
        <f>IF(NOT(Paths!$C$378=1),0,IF(Paths!$P$378="Complete",N4095*(1+'Operating costs'!$B$54)^-C4095,"n.a."))</f>
        <v>0</v>
      </c>
      <c r="R4095" s="16">
        <f>IF(NOT(Paths!$C$378=1),0,IF(Paths!$P$378="Complete",IF(AND(C4095=0,Paths!$E$378=0),I4095-J4095-K4095+VLOOKUP(A4095,'Fleet register'!$A$7:$S$106,15,FALSE)+VLOOKUP(A4095,'Fleet register'!$A$7:$S$106,16,FALSE),0),"n.a."))</f>
        <v>0</v>
      </c>
      <c r="S4095" s="1">
        <f>IF(NOT(Paths!$C$378=1),0,IF(Paths!$P$378="Complete",IF(C4095=0,0,Paths!$S$378*Paths!$R$378),"n.a."))</f>
        <v>0</v>
      </c>
      <c r="T4095" s="1">
        <f>IF(NOT(Paths!$C$378=1),0,IF(Paths!$P$378="Complete",IF(C4095=0,0,VLOOKUP(A4095,'Fleet register'!$A$7:$S$106,9,FALSE)*Paths!$R$378),"n.a."))</f>
        <v>0</v>
      </c>
    </row>
    <row r="4096" spans="1:20" ht="24" customHeight="1">
      <c r="A4096" s="1" t="str">
        <f>Paths!$A$378</f>
        <v>T093</v>
      </c>
      <c r="B4096" s="1">
        <f>Paths!$B$378</f>
        <v>3</v>
      </c>
      <c r="C4096" s="1">
        <v>8</v>
      </c>
      <c r="D4096" s="1">
        <v>378</v>
      </c>
      <c r="E4096" s="1">
        <f>IF(OR(Paths!$C$378=0,C4096=0),0,MAX(0,MIN(C4096*12,Paths!$E$378)-(C4096-1)*12))</f>
        <v>0</v>
      </c>
      <c r="F4096" s="1">
        <f>IF(OR(Paths!$C$378=0,C4096=0),0,12-E4096)</f>
        <v>0</v>
      </c>
      <c r="G4096" s="16">
        <f>IF(NOT(Paths!$C$378=1),0,IF(Paths!$P$378="Complete",E4096/12*(Paths!$J$378*(1+'Operating costs'!$B$51)^MAX(0,C4096-1)+Paths!$K$378*(1+'Operating costs'!$B$53)^MAX(0,C4096-1)),"n.a."))</f>
        <v>0</v>
      </c>
      <c r="H4096" s="16">
        <f>IF(NOT(Paths!$C$378=1),0,IF(Paths!$P$378="Complete",F4096/12*(Paths!$L$378*(1+IF(Paths!$D$378="EV",'Operating costs'!$B$52,'Operating costs'!$B$51))^MAX(0,C4096-1)+Paths!$M$378*(1+'Operating costs'!$B$53)^MAX(0,C4096-1)),"n.a."))</f>
        <v>0</v>
      </c>
      <c r="I4096" s="16">
        <f>IF(NOT(Paths!$C$378=1),0,IF(Paths!$P$378="Complete",IF(IF(Paths!$E$378=0,C4096=0,AND(C4096&gt;0,Paths!$E$378&gt;(C4096-1)*12,Paths!$E$378&lt;=C4096*12)),Paths!$G$378,0),"n.a."))</f>
        <v>0</v>
      </c>
      <c r="J4096" s="16">
        <f>IF(NOT(Paths!$C$378=1),0,IF(Paths!$P$378="Complete",IF(IF(Paths!$E$378=0,C4096=0,AND(C4096&gt;0,Paths!$E$378&gt;(C4096-1)*12,Paths!$E$378&lt;=C4096*12)),Paths!$H$378,0),"n.a."))</f>
        <v>0</v>
      </c>
      <c r="K4096" s="16">
        <f>IF(NOT(Paths!$C$378=1),0,IF(Paths!$P$378="Complete",IF(IF(Paths!$O$378=0,C4096=0,AND(C4096&gt;0,Paths!$O$378&gt;(C4096-1)*12,Paths!$O$378&lt;=C4096*12)),Paths!$N$378,0),"n.a."))</f>
        <v>0</v>
      </c>
      <c r="L4096" s="16">
        <f>IF(NOT(Paths!$C$378=1),0,IF(Paths!$P$378="Complete",IF(C4096=10,Paths!$I$378,0),"n.a."))</f>
        <v>0</v>
      </c>
      <c r="M4096" s="16">
        <f>IF(NOT(Paths!$C$378=1),0,IF(Paths!$P$378="Complete",IF(AND(Paths!$D$378="EV",Paths!$E$378&lt;120,Paths!$E$378+'Operating costs'!$B$65&gt;Paths!$E$378,Paths!$E$378+'Operating costs'!$B$65&lt;=120,IF(Paths!$E$378+'Operating costs'!$B$65=0,C4096=0,AND(C4096&gt;0,Paths!$E$378+'Operating costs'!$B$65&gt;(C4096-1)*12,Paths!$E$378+'Operating costs'!$B$65&lt;=C4096*12))),'Operating costs'!$B$64,0)+IF(AND('Operating costs'!$B$67&gt;0,'Operating costs'!$B$67&lt;=120,OR(Paths!$D$378="ICE",'Operating costs'!$B$67&lt;=Paths!$E$378),IF('Operating costs'!$B$67=0,C4096=0,AND(C4096&gt;0,'Operating costs'!$B$67&gt;(C4096-1)*12,'Operating costs'!$B$67&lt;=C4096*12))),'Operating costs'!$B$66,0),"n.a."))</f>
        <v>0</v>
      </c>
      <c r="N4096" s="16">
        <f>IF(NOT(Paths!$C$378=1),0,IF(Paths!$P$378="Complete",SUM(G4096:I4096)-J4096-K4096-L4096+M4096+IF(C4096=0,Paths!$F$378,0)+IF(IF(Paths!$E$378=0,C4096=0,AND(C4096&gt;0,Paths!$E$378&gt;(C4096-1)*12,Paths!$E$378&lt;=C4096*12)),VLOOKUP(A4096,'Fleet register'!$A$7:$S$106,16,FALSE),0),"n.a."))</f>
        <v>0</v>
      </c>
      <c r="O4096" s="16">
        <f>IF(NOT(Paths!$C$378=1),0,IF(Paths!$P$378="Complete",N4096-IF(C4096=0,Paths!$F$378,0),"n.a."))</f>
        <v>0</v>
      </c>
      <c r="P4096" s="16">
        <f>IF(NOT(Paths!$C$378=1),0,IF(Paths!$P$378="Complete",O4096+L4096,"n.a."))</f>
        <v>0</v>
      </c>
      <c r="Q4096" s="16">
        <f>IF(NOT(Paths!$C$378=1),0,IF(Paths!$P$378="Complete",N4096*(1+'Operating costs'!$B$54)^-C4096,"n.a."))</f>
        <v>0</v>
      </c>
      <c r="R4096" s="16">
        <f>IF(NOT(Paths!$C$378=1),0,IF(Paths!$P$378="Complete",IF(AND(C4096=0,Paths!$E$378=0),I4096-J4096-K4096+VLOOKUP(A4096,'Fleet register'!$A$7:$S$106,15,FALSE)+VLOOKUP(A4096,'Fleet register'!$A$7:$S$106,16,FALSE),0),"n.a."))</f>
        <v>0</v>
      </c>
      <c r="S4096" s="1">
        <f>IF(NOT(Paths!$C$378=1),0,IF(Paths!$P$378="Complete",IF(C4096=0,0,Paths!$S$378*Paths!$R$378),"n.a."))</f>
        <v>0</v>
      </c>
      <c r="T4096" s="1">
        <f>IF(NOT(Paths!$C$378=1),0,IF(Paths!$P$378="Complete",IF(C4096=0,0,VLOOKUP(A4096,'Fleet register'!$A$7:$S$106,9,FALSE)*Paths!$R$378),"n.a."))</f>
        <v>0</v>
      </c>
    </row>
    <row r="4097" spans="1:20" ht="24" customHeight="1">
      <c r="A4097" s="1" t="str">
        <f>Paths!$A$378</f>
        <v>T093</v>
      </c>
      <c r="B4097" s="1">
        <f>Paths!$B$378</f>
        <v>3</v>
      </c>
      <c r="C4097" s="1">
        <v>9</v>
      </c>
      <c r="D4097" s="1">
        <v>378</v>
      </c>
      <c r="E4097" s="1">
        <f>IF(OR(Paths!$C$378=0,C4097=0),0,MAX(0,MIN(C4097*12,Paths!$E$378)-(C4097-1)*12))</f>
        <v>0</v>
      </c>
      <c r="F4097" s="1">
        <f>IF(OR(Paths!$C$378=0,C4097=0),0,12-E4097)</f>
        <v>0</v>
      </c>
      <c r="G4097" s="16">
        <f>IF(NOT(Paths!$C$378=1),0,IF(Paths!$P$378="Complete",E4097/12*(Paths!$J$378*(1+'Operating costs'!$B$51)^MAX(0,C4097-1)+Paths!$K$378*(1+'Operating costs'!$B$53)^MAX(0,C4097-1)),"n.a."))</f>
        <v>0</v>
      </c>
      <c r="H4097" s="16">
        <f>IF(NOT(Paths!$C$378=1),0,IF(Paths!$P$378="Complete",F4097/12*(Paths!$L$378*(1+IF(Paths!$D$378="EV",'Operating costs'!$B$52,'Operating costs'!$B$51))^MAX(0,C4097-1)+Paths!$M$378*(1+'Operating costs'!$B$53)^MAX(0,C4097-1)),"n.a."))</f>
        <v>0</v>
      </c>
      <c r="I4097" s="16">
        <f>IF(NOT(Paths!$C$378=1),0,IF(Paths!$P$378="Complete",IF(IF(Paths!$E$378=0,C4097=0,AND(C4097&gt;0,Paths!$E$378&gt;(C4097-1)*12,Paths!$E$378&lt;=C4097*12)),Paths!$G$378,0),"n.a."))</f>
        <v>0</v>
      </c>
      <c r="J4097" s="16">
        <f>IF(NOT(Paths!$C$378=1),0,IF(Paths!$P$378="Complete",IF(IF(Paths!$E$378=0,C4097=0,AND(C4097&gt;0,Paths!$E$378&gt;(C4097-1)*12,Paths!$E$378&lt;=C4097*12)),Paths!$H$378,0),"n.a."))</f>
        <v>0</v>
      </c>
      <c r="K4097" s="16">
        <f>IF(NOT(Paths!$C$378=1),0,IF(Paths!$P$378="Complete",IF(IF(Paths!$O$378=0,C4097=0,AND(C4097&gt;0,Paths!$O$378&gt;(C4097-1)*12,Paths!$O$378&lt;=C4097*12)),Paths!$N$378,0),"n.a."))</f>
        <v>0</v>
      </c>
      <c r="L4097" s="16">
        <f>IF(NOT(Paths!$C$378=1),0,IF(Paths!$P$378="Complete",IF(C4097=10,Paths!$I$378,0),"n.a."))</f>
        <v>0</v>
      </c>
      <c r="M4097" s="16">
        <f>IF(NOT(Paths!$C$378=1),0,IF(Paths!$P$378="Complete",IF(AND(Paths!$D$378="EV",Paths!$E$378&lt;120,Paths!$E$378+'Operating costs'!$B$65&gt;Paths!$E$378,Paths!$E$378+'Operating costs'!$B$65&lt;=120,IF(Paths!$E$378+'Operating costs'!$B$65=0,C4097=0,AND(C4097&gt;0,Paths!$E$378+'Operating costs'!$B$65&gt;(C4097-1)*12,Paths!$E$378+'Operating costs'!$B$65&lt;=C4097*12))),'Operating costs'!$B$64,0)+IF(AND('Operating costs'!$B$67&gt;0,'Operating costs'!$B$67&lt;=120,OR(Paths!$D$378="ICE",'Operating costs'!$B$67&lt;=Paths!$E$378),IF('Operating costs'!$B$67=0,C4097=0,AND(C4097&gt;0,'Operating costs'!$B$67&gt;(C4097-1)*12,'Operating costs'!$B$67&lt;=C4097*12))),'Operating costs'!$B$66,0),"n.a."))</f>
        <v>0</v>
      </c>
      <c r="N4097" s="16">
        <f>IF(NOT(Paths!$C$378=1),0,IF(Paths!$P$378="Complete",SUM(G4097:I4097)-J4097-K4097-L4097+M4097+IF(C4097=0,Paths!$F$378,0)+IF(IF(Paths!$E$378=0,C4097=0,AND(C4097&gt;0,Paths!$E$378&gt;(C4097-1)*12,Paths!$E$378&lt;=C4097*12)),VLOOKUP(A4097,'Fleet register'!$A$7:$S$106,16,FALSE),0),"n.a."))</f>
        <v>0</v>
      </c>
      <c r="O4097" s="16">
        <f>IF(NOT(Paths!$C$378=1),0,IF(Paths!$P$378="Complete",N4097-IF(C4097=0,Paths!$F$378,0),"n.a."))</f>
        <v>0</v>
      </c>
      <c r="P4097" s="16">
        <f>IF(NOT(Paths!$C$378=1),0,IF(Paths!$P$378="Complete",O4097+L4097,"n.a."))</f>
        <v>0</v>
      </c>
      <c r="Q4097" s="16">
        <f>IF(NOT(Paths!$C$378=1),0,IF(Paths!$P$378="Complete",N4097*(1+'Operating costs'!$B$54)^-C4097,"n.a."))</f>
        <v>0</v>
      </c>
      <c r="R4097" s="16">
        <f>IF(NOT(Paths!$C$378=1),0,IF(Paths!$P$378="Complete",IF(AND(C4097=0,Paths!$E$378=0),I4097-J4097-K4097+VLOOKUP(A4097,'Fleet register'!$A$7:$S$106,15,FALSE)+VLOOKUP(A4097,'Fleet register'!$A$7:$S$106,16,FALSE),0),"n.a."))</f>
        <v>0</v>
      </c>
      <c r="S4097" s="1">
        <f>IF(NOT(Paths!$C$378=1),0,IF(Paths!$P$378="Complete",IF(C4097=0,0,Paths!$S$378*Paths!$R$378),"n.a."))</f>
        <v>0</v>
      </c>
      <c r="T4097" s="1">
        <f>IF(NOT(Paths!$C$378=1),0,IF(Paths!$P$378="Complete",IF(C4097=0,0,VLOOKUP(A4097,'Fleet register'!$A$7:$S$106,9,FALSE)*Paths!$R$378),"n.a."))</f>
        <v>0</v>
      </c>
    </row>
    <row r="4098" spans="1:20" ht="24" customHeight="1">
      <c r="A4098" s="1" t="str">
        <f>Paths!$A$378</f>
        <v>T093</v>
      </c>
      <c r="B4098" s="1">
        <f>Paths!$B$378</f>
        <v>3</v>
      </c>
      <c r="C4098" s="1">
        <v>10</v>
      </c>
      <c r="D4098" s="1">
        <v>378</v>
      </c>
      <c r="E4098" s="1">
        <f>IF(OR(Paths!$C$378=0,C4098=0),0,MAX(0,MIN(C4098*12,Paths!$E$378)-(C4098-1)*12))</f>
        <v>0</v>
      </c>
      <c r="F4098" s="1">
        <f>IF(OR(Paths!$C$378=0,C4098=0),0,12-E4098)</f>
        <v>0</v>
      </c>
      <c r="G4098" s="16">
        <f>IF(NOT(Paths!$C$378=1),0,IF(Paths!$P$378="Complete",E4098/12*(Paths!$J$378*(1+'Operating costs'!$B$51)^MAX(0,C4098-1)+Paths!$K$378*(1+'Operating costs'!$B$53)^MAX(0,C4098-1)),"n.a."))</f>
        <v>0</v>
      </c>
      <c r="H4098" s="16">
        <f>IF(NOT(Paths!$C$378=1),0,IF(Paths!$P$378="Complete",F4098/12*(Paths!$L$378*(1+IF(Paths!$D$378="EV",'Operating costs'!$B$52,'Operating costs'!$B$51))^MAX(0,C4098-1)+Paths!$M$378*(1+'Operating costs'!$B$53)^MAX(0,C4098-1)),"n.a."))</f>
        <v>0</v>
      </c>
      <c r="I4098" s="16">
        <f>IF(NOT(Paths!$C$378=1),0,IF(Paths!$P$378="Complete",IF(IF(Paths!$E$378=0,C4098=0,AND(C4098&gt;0,Paths!$E$378&gt;(C4098-1)*12,Paths!$E$378&lt;=C4098*12)),Paths!$G$378,0),"n.a."))</f>
        <v>0</v>
      </c>
      <c r="J4098" s="16">
        <f>IF(NOT(Paths!$C$378=1),0,IF(Paths!$P$378="Complete",IF(IF(Paths!$E$378=0,C4098=0,AND(C4098&gt;0,Paths!$E$378&gt;(C4098-1)*12,Paths!$E$378&lt;=C4098*12)),Paths!$H$378,0),"n.a."))</f>
        <v>0</v>
      </c>
      <c r="K4098" s="16">
        <f>IF(NOT(Paths!$C$378=1),0,IF(Paths!$P$378="Complete",IF(IF(Paths!$O$378=0,C4098=0,AND(C4098&gt;0,Paths!$O$378&gt;(C4098-1)*12,Paths!$O$378&lt;=C4098*12)),Paths!$N$378,0),"n.a."))</f>
        <v>0</v>
      </c>
      <c r="L4098" s="16">
        <f>IF(NOT(Paths!$C$378=1),0,IF(Paths!$P$378="Complete",IF(C4098=10,Paths!$I$378,0),"n.a."))</f>
        <v>0</v>
      </c>
      <c r="M4098" s="16">
        <f>IF(NOT(Paths!$C$378=1),0,IF(Paths!$P$378="Complete",IF(AND(Paths!$D$378="EV",Paths!$E$378&lt;120,Paths!$E$378+'Operating costs'!$B$65&gt;Paths!$E$378,Paths!$E$378+'Operating costs'!$B$65&lt;=120,IF(Paths!$E$378+'Operating costs'!$B$65=0,C4098=0,AND(C4098&gt;0,Paths!$E$378+'Operating costs'!$B$65&gt;(C4098-1)*12,Paths!$E$378+'Operating costs'!$B$65&lt;=C4098*12))),'Operating costs'!$B$64,0)+IF(AND('Operating costs'!$B$67&gt;0,'Operating costs'!$B$67&lt;=120,OR(Paths!$D$378="ICE",'Operating costs'!$B$67&lt;=Paths!$E$378),IF('Operating costs'!$B$67=0,C4098=0,AND(C4098&gt;0,'Operating costs'!$B$67&gt;(C4098-1)*12,'Operating costs'!$B$67&lt;=C4098*12))),'Operating costs'!$B$66,0),"n.a."))</f>
        <v>0</v>
      </c>
      <c r="N4098" s="16">
        <f>IF(NOT(Paths!$C$378=1),0,IF(Paths!$P$378="Complete",SUM(G4098:I4098)-J4098-K4098-L4098+M4098+IF(C4098=0,Paths!$F$378,0)+IF(IF(Paths!$E$378=0,C4098=0,AND(C4098&gt;0,Paths!$E$378&gt;(C4098-1)*12,Paths!$E$378&lt;=C4098*12)),VLOOKUP(A4098,'Fleet register'!$A$7:$S$106,16,FALSE),0),"n.a."))</f>
        <v>0</v>
      </c>
      <c r="O4098" s="16">
        <f>IF(NOT(Paths!$C$378=1),0,IF(Paths!$P$378="Complete",N4098-IF(C4098=0,Paths!$F$378,0),"n.a."))</f>
        <v>0</v>
      </c>
      <c r="P4098" s="16">
        <f>IF(NOT(Paths!$C$378=1),0,IF(Paths!$P$378="Complete",O4098+L4098,"n.a."))</f>
        <v>0</v>
      </c>
      <c r="Q4098" s="16">
        <f>IF(NOT(Paths!$C$378=1),0,IF(Paths!$P$378="Complete",N4098*(1+'Operating costs'!$B$54)^-C4098,"n.a."))</f>
        <v>0</v>
      </c>
      <c r="R4098" s="16">
        <f>IF(NOT(Paths!$C$378=1),0,IF(Paths!$P$378="Complete",IF(AND(C4098=0,Paths!$E$378=0),I4098-J4098-K4098+VLOOKUP(A4098,'Fleet register'!$A$7:$S$106,15,FALSE)+VLOOKUP(A4098,'Fleet register'!$A$7:$S$106,16,FALSE),0),"n.a."))</f>
        <v>0</v>
      </c>
      <c r="S4098" s="1">
        <f>IF(NOT(Paths!$C$378=1),0,IF(Paths!$P$378="Complete",IF(C4098=0,0,Paths!$S$378*Paths!$R$378),"n.a."))</f>
        <v>0</v>
      </c>
      <c r="T4098" s="1">
        <f>IF(NOT(Paths!$C$378=1),0,IF(Paths!$P$378="Complete",IF(C4098=0,0,VLOOKUP(A4098,'Fleet register'!$A$7:$S$106,9,FALSE)*Paths!$R$378),"n.a."))</f>
        <v>0</v>
      </c>
    </row>
    <row r="4099" spans="1:20" ht="24" customHeight="1">
      <c r="A4099" s="1" t="str">
        <f>Paths!$A$379</f>
        <v>T094</v>
      </c>
      <c r="B4099" s="1">
        <f>Paths!$B$379</f>
        <v>0</v>
      </c>
      <c r="C4099" s="1">
        <v>0</v>
      </c>
      <c r="D4099" s="1">
        <v>379</v>
      </c>
      <c r="E4099" s="1">
        <f>IF(OR(Paths!$C$379=0,C4099=0),0,MAX(0,MIN(C4099*12,Paths!$E$379)-(C4099-1)*12))</f>
        <v>0</v>
      </c>
      <c r="F4099" s="1">
        <f>IF(OR(Paths!$C$379=0,C4099=0),0,12-E4099)</f>
        <v>0</v>
      </c>
      <c r="G4099" s="16">
        <f>IF(NOT(Paths!$C$379=1),0,IF(Paths!$P$379="Complete",E4099/12*(Paths!$J$379*(1+'Operating costs'!$B$51)^MAX(0,C4099-1)+Paths!$K$379*(1+'Operating costs'!$B$53)^MAX(0,C4099-1)),"n.a."))</f>
        <v>0</v>
      </c>
      <c r="H4099" s="16">
        <f>IF(NOT(Paths!$C$379=1),0,IF(Paths!$P$379="Complete",F4099/12*(Paths!$L$379*(1+IF(Paths!$D$379="EV",'Operating costs'!$B$52,'Operating costs'!$B$51))^MAX(0,C4099-1)+Paths!$M$379*(1+'Operating costs'!$B$53)^MAX(0,C4099-1)),"n.a."))</f>
        <v>0</v>
      </c>
      <c r="I4099" s="16">
        <f>IF(NOT(Paths!$C$379=1),0,IF(Paths!$P$379="Complete",IF(IF(Paths!$E$379=0,C4099=0,AND(C4099&gt;0,Paths!$E$379&gt;(C4099-1)*12,Paths!$E$379&lt;=C4099*12)),Paths!$G$379,0),"n.a."))</f>
        <v>0</v>
      </c>
      <c r="J4099" s="16">
        <f>IF(NOT(Paths!$C$379=1),0,IF(Paths!$P$379="Complete",IF(IF(Paths!$E$379=0,C4099=0,AND(C4099&gt;0,Paths!$E$379&gt;(C4099-1)*12,Paths!$E$379&lt;=C4099*12)),Paths!$H$379,0),"n.a."))</f>
        <v>0</v>
      </c>
      <c r="K4099" s="16">
        <f>IF(NOT(Paths!$C$379=1),0,IF(Paths!$P$379="Complete",IF(IF(Paths!$O$379=0,C4099=0,AND(C4099&gt;0,Paths!$O$379&gt;(C4099-1)*12,Paths!$O$379&lt;=C4099*12)),Paths!$N$379,0),"n.a."))</f>
        <v>0</v>
      </c>
      <c r="L4099" s="16">
        <f>IF(NOT(Paths!$C$379=1),0,IF(Paths!$P$379="Complete",IF(C4099=10,Paths!$I$379,0),"n.a."))</f>
        <v>0</v>
      </c>
      <c r="M4099" s="16">
        <f>IF(NOT(Paths!$C$379=1),0,IF(Paths!$P$379="Complete",IF(AND(Paths!$D$379="EV",Paths!$E$379&lt;120,Paths!$E$379+'Operating costs'!$B$65&gt;Paths!$E$379,Paths!$E$379+'Operating costs'!$B$65&lt;=120,IF(Paths!$E$379+'Operating costs'!$B$65=0,C4099=0,AND(C4099&gt;0,Paths!$E$379+'Operating costs'!$B$65&gt;(C4099-1)*12,Paths!$E$379+'Operating costs'!$B$65&lt;=C4099*12))),'Operating costs'!$B$64,0)+IF(AND('Operating costs'!$B$67&gt;0,'Operating costs'!$B$67&lt;=120,OR(Paths!$D$379="ICE",'Operating costs'!$B$67&lt;=Paths!$E$379),IF('Operating costs'!$B$67=0,C4099=0,AND(C4099&gt;0,'Operating costs'!$B$67&gt;(C4099-1)*12,'Operating costs'!$B$67&lt;=C4099*12))),'Operating costs'!$B$66,0),"n.a."))</f>
        <v>0</v>
      </c>
      <c r="N4099" s="16">
        <f>IF(NOT(Paths!$C$379=1),0,IF(Paths!$P$379="Complete",SUM(G4099:I4099)-J4099-K4099-L4099+M4099+IF(C4099=0,Paths!$F$379,0)+IF(IF(Paths!$E$379=0,C4099=0,AND(C4099&gt;0,Paths!$E$379&gt;(C4099-1)*12,Paths!$E$379&lt;=C4099*12)),VLOOKUP(A4099,'Fleet register'!$A$7:$S$106,16,FALSE),0),"n.a."))</f>
        <v>0</v>
      </c>
      <c r="O4099" s="16">
        <f>IF(NOT(Paths!$C$379=1),0,IF(Paths!$P$379="Complete",N4099-IF(C4099=0,Paths!$F$379,0),"n.a."))</f>
        <v>0</v>
      </c>
      <c r="P4099" s="16">
        <f>IF(NOT(Paths!$C$379=1),0,IF(Paths!$P$379="Complete",O4099+L4099,"n.a."))</f>
        <v>0</v>
      </c>
      <c r="Q4099" s="16">
        <f>IF(NOT(Paths!$C$379=1),0,IF(Paths!$P$379="Complete",N4099*(1+'Operating costs'!$B$54)^-C4099,"n.a."))</f>
        <v>0</v>
      </c>
      <c r="R4099" s="16">
        <f>IF(NOT(Paths!$C$379=1),0,IF(Paths!$P$379="Complete",IF(AND(C4099=0,Paths!$E$379=0),I4099-J4099-K4099+VLOOKUP(A4099,'Fleet register'!$A$7:$S$106,15,FALSE)+VLOOKUP(A4099,'Fleet register'!$A$7:$S$106,16,FALSE),0),"n.a."))</f>
        <v>0</v>
      </c>
      <c r="S4099" s="1">
        <f>IF(NOT(Paths!$C$379=1),0,IF(Paths!$P$379="Complete",IF(C4099=0,0,Paths!$S$379*Paths!$R$379),"n.a."))</f>
        <v>0</v>
      </c>
      <c r="T4099" s="1">
        <f>IF(NOT(Paths!$C$379=1),0,IF(Paths!$P$379="Complete",IF(C4099=0,0,VLOOKUP(A4099,'Fleet register'!$A$7:$S$106,9,FALSE)*Paths!$R$379),"n.a."))</f>
        <v>0</v>
      </c>
    </row>
    <row r="4100" spans="1:20" ht="24" customHeight="1">
      <c r="A4100" s="1" t="str">
        <f>Paths!$A$379</f>
        <v>T094</v>
      </c>
      <c r="B4100" s="1">
        <f>Paths!$B$379</f>
        <v>0</v>
      </c>
      <c r="C4100" s="1">
        <v>1</v>
      </c>
      <c r="D4100" s="1">
        <v>379</v>
      </c>
      <c r="E4100" s="1">
        <f>IF(OR(Paths!$C$379=0,C4100=0),0,MAX(0,MIN(C4100*12,Paths!$E$379)-(C4100-1)*12))</f>
        <v>0</v>
      </c>
      <c r="F4100" s="1">
        <f>IF(OR(Paths!$C$379=0,C4100=0),0,12-E4100)</f>
        <v>0</v>
      </c>
      <c r="G4100" s="16">
        <f>IF(NOT(Paths!$C$379=1),0,IF(Paths!$P$379="Complete",E4100/12*(Paths!$J$379*(1+'Operating costs'!$B$51)^MAX(0,C4100-1)+Paths!$K$379*(1+'Operating costs'!$B$53)^MAX(0,C4100-1)),"n.a."))</f>
        <v>0</v>
      </c>
      <c r="H4100" s="16">
        <f>IF(NOT(Paths!$C$379=1),0,IF(Paths!$P$379="Complete",F4100/12*(Paths!$L$379*(1+IF(Paths!$D$379="EV",'Operating costs'!$B$52,'Operating costs'!$B$51))^MAX(0,C4100-1)+Paths!$M$379*(1+'Operating costs'!$B$53)^MAX(0,C4100-1)),"n.a."))</f>
        <v>0</v>
      </c>
      <c r="I4100" s="16">
        <f>IF(NOT(Paths!$C$379=1),0,IF(Paths!$P$379="Complete",IF(IF(Paths!$E$379=0,C4100=0,AND(C4100&gt;0,Paths!$E$379&gt;(C4100-1)*12,Paths!$E$379&lt;=C4100*12)),Paths!$G$379,0),"n.a."))</f>
        <v>0</v>
      </c>
      <c r="J4100" s="16">
        <f>IF(NOT(Paths!$C$379=1),0,IF(Paths!$P$379="Complete",IF(IF(Paths!$E$379=0,C4100=0,AND(C4100&gt;0,Paths!$E$379&gt;(C4100-1)*12,Paths!$E$379&lt;=C4100*12)),Paths!$H$379,0),"n.a."))</f>
        <v>0</v>
      </c>
      <c r="K4100" s="16">
        <f>IF(NOT(Paths!$C$379=1),0,IF(Paths!$P$379="Complete",IF(IF(Paths!$O$379=0,C4100=0,AND(C4100&gt;0,Paths!$O$379&gt;(C4100-1)*12,Paths!$O$379&lt;=C4100*12)),Paths!$N$379,0),"n.a."))</f>
        <v>0</v>
      </c>
      <c r="L4100" s="16">
        <f>IF(NOT(Paths!$C$379=1),0,IF(Paths!$P$379="Complete",IF(C4100=10,Paths!$I$379,0),"n.a."))</f>
        <v>0</v>
      </c>
      <c r="M4100" s="16">
        <f>IF(NOT(Paths!$C$379=1),0,IF(Paths!$P$379="Complete",IF(AND(Paths!$D$379="EV",Paths!$E$379&lt;120,Paths!$E$379+'Operating costs'!$B$65&gt;Paths!$E$379,Paths!$E$379+'Operating costs'!$B$65&lt;=120,IF(Paths!$E$379+'Operating costs'!$B$65=0,C4100=0,AND(C4100&gt;0,Paths!$E$379+'Operating costs'!$B$65&gt;(C4100-1)*12,Paths!$E$379+'Operating costs'!$B$65&lt;=C4100*12))),'Operating costs'!$B$64,0)+IF(AND('Operating costs'!$B$67&gt;0,'Operating costs'!$B$67&lt;=120,OR(Paths!$D$379="ICE",'Operating costs'!$B$67&lt;=Paths!$E$379),IF('Operating costs'!$B$67=0,C4100=0,AND(C4100&gt;0,'Operating costs'!$B$67&gt;(C4100-1)*12,'Operating costs'!$B$67&lt;=C4100*12))),'Operating costs'!$B$66,0),"n.a."))</f>
        <v>0</v>
      </c>
      <c r="N4100" s="16">
        <f>IF(NOT(Paths!$C$379=1),0,IF(Paths!$P$379="Complete",SUM(G4100:I4100)-J4100-K4100-L4100+M4100+IF(C4100=0,Paths!$F$379,0)+IF(IF(Paths!$E$379=0,C4100=0,AND(C4100&gt;0,Paths!$E$379&gt;(C4100-1)*12,Paths!$E$379&lt;=C4100*12)),VLOOKUP(A4100,'Fleet register'!$A$7:$S$106,16,FALSE),0),"n.a."))</f>
        <v>0</v>
      </c>
      <c r="O4100" s="16">
        <f>IF(NOT(Paths!$C$379=1),0,IF(Paths!$P$379="Complete",N4100-IF(C4100=0,Paths!$F$379,0),"n.a."))</f>
        <v>0</v>
      </c>
      <c r="P4100" s="16">
        <f>IF(NOT(Paths!$C$379=1),0,IF(Paths!$P$379="Complete",O4100+L4100,"n.a."))</f>
        <v>0</v>
      </c>
      <c r="Q4100" s="16">
        <f>IF(NOT(Paths!$C$379=1),0,IF(Paths!$P$379="Complete",N4100*(1+'Operating costs'!$B$54)^-C4100,"n.a."))</f>
        <v>0</v>
      </c>
      <c r="R4100" s="16">
        <f>IF(NOT(Paths!$C$379=1),0,IF(Paths!$P$379="Complete",IF(AND(C4100=0,Paths!$E$379=0),I4100-J4100-K4100+VLOOKUP(A4100,'Fleet register'!$A$7:$S$106,15,FALSE)+VLOOKUP(A4100,'Fleet register'!$A$7:$S$106,16,FALSE),0),"n.a."))</f>
        <v>0</v>
      </c>
      <c r="S4100" s="1">
        <f>IF(NOT(Paths!$C$379=1),0,IF(Paths!$P$379="Complete",IF(C4100=0,0,Paths!$S$379*Paths!$R$379),"n.a."))</f>
        <v>0</v>
      </c>
      <c r="T4100" s="1">
        <f>IF(NOT(Paths!$C$379=1),0,IF(Paths!$P$379="Complete",IF(C4100=0,0,VLOOKUP(A4100,'Fleet register'!$A$7:$S$106,9,FALSE)*Paths!$R$379),"n.a."))</f>
        <v>0</v>
      </c>
    </row>
    <row r="4101" spans="1:20" ht="24" customHeight="1">
      <c r="A4101" s="1" t="str">
        <f>Paths!$A$379</f>
        <v>T094</v>
      </c>
      <c r="B4101" s="1">
        <f>Paths!$B$379</f>
        <v>0</v>
      </c>
      <c r="C4101" s="1">
        <v>2</v>
      </c>
      <c r="D4101" s="1">
        <v>379</v>
      </c>
      <c r="E4101" s="1">
        <f>IF(OR(Paths!$C$379=0,C4101=0),0,MAX(0,MIN(C4101*12,Paths!$E$379)-(C4101-1)*12))</f>
        <v>0</v>
      </c>
      <c r="F4101" s="1">
        <f>IF(OR(Paths!$C$379=0,C4101=0),0,12-E4101)</f>
        <v>0</v>
      </c>
      <c r="G4101" s="16">
        <f>IF(NOT(Paths!$C$379=1),0,IF(Paths!$P$379="Complete",E4101/12*(Paths!$J$379*(1+'Operating costs'!$B$51)^MAX(0,C4101-1)+Paths!$K$379*(1+'Operating costs'!$B$53)^MAX(0,C4101-1)),"n.a."))</f>
        <v>0</v>
      </c>
      <c r="H4101" s="16">
        <f>IF(NOT(Paths!$C$379=1),0,IF(Paths!$P$379="Complete",F4101/12*(Paths!$L$379*(1+IF(Paths!$D$379="EV",'Operating costs'!$B$52,'Operating costs'!$B$51))^MAX(0,C4101-1)+Paths!$M$379*(1+'Operating costs'!$B$53)^MAX(0,C4101-1)),"n.a."))</f>
        <v>0</v>
      </c>
      <c r="I4101" s="16">
        <f>IF(NOT(Paths!$C$379=1),0,IF(Paths!$P$379="Complete",IF(IF(Paths!$E$379=0,C4101=0,AND(C4101&gt;0,Paths!$E$379&gt;(C4101-1)*12,Paths!$E$379&lt;=C4101*12)),Paths!$G$379,0),"n.a."))</f>
        <v>0</v>
      </c>
      <c r="J4101" s="16">
        <f>IF(NOT(Paths!$C$379=1),0,IF(Paths!$P$379="Complete",IF(IF(Paths!$E$379=0,C4101=0,AND(C4101&gt;0,Paths!$E$379&gt;(C4101-1)*12,Paths!$E$379&lt;=C4101*12)),Paths!$H$379,0),"n.a."))</f>
        <v>0</v>
      </c>
      <c r="K4101" s="16">
        <f>IF(NOT(Paths!$C$379=1),0,IF(Paths!$P$379="Complete",IF(IF(Paths!$O$379=0,C4101=0,AND(C4101&gt;0,Paths!$O$379&gt;(C4101-1)*12,Paths!$O$379&lt;=C4101*12)),Paths!$N$379,0),"n.a."))</f>
        <v>0</v>
      </c>
      <c r="L4101" s="16">
        <f>IF(NOT(Paths!$C$379=1),0,IF(Paths!$P$379="Complete",IF(C4101=10,Paths!$I$379,0),"n.a."))</f>
        <v>0</v>
      </c>
      <c r="M4101" s="16">
        <f>IF(NOT(Paths!$C$379=1),0,IF(Paths!$P$379="Complete",IF(AND(Paths!$D$379="EV",Paths!$E$379&lt;120,Paths!$E$379+'Operating costs'!$B$65&gt;Paths!$E$379,Paths!$E$379+'Operating costs'!$B$65&lt;=120,IF(Paths!$E$379+'Operating costs'!$B$65=0,C4101=0,AND(C4101&gt;0,Paths!$E$379+'Operating costs'!$B$65&gt;(C4101-1)*12,Paths!$E$379+'Operating costs'!$B$65&lt;=C4101*12))),'Operating costs'!$B$64,0)+IF(AND('Operating costs'!$B$67&gt;0,'Operating costs'!$B$67&lt;=120,OR(Paths!$D$379="ICE",'Operating costs'!$B$67&lt;=Paths!$E$379),IF('Operating costs'!$B$67=0,C4101=0,AND(C4101&gt;0,'Operating costs'!$B$67&gt;(C4101-1)*12,'Operating costs'!$B$67&lt;=C4101*12))),'Operating costs'!$B$66,0),"n.a."))</f>
        <v>0</v>
      </c>
      <c r="N4101" s="16">
        <f>IF(NOT(Paths!$C$379=1),0,IF(Paths!$P$379="Complete",SUM(G4101:I4101)-J4101-K4101-L4101+M4101+IF(C4101=0,Paths!$F$379,0)+IF(IF(Paths!$E$379=0,C4101=0,AND(C4101&gt;0,Paths!$E$379&gt;(C4101-1)*12,Paths!$E$379&lt;=C4101*12)),VLOOKUP(A4101,'Fleet register'!$A$7:$S$106,16,FALSE),0),"n.a."))</f>
        <v>0</v>
      </c>
      <c r="O4101" s="16">
        <f>IF(NOT(Paths!$C$379=1),0,IF(Paths!$P$379="Complete",N4101-IF(C4101=0,Paths!$F$379,0),"n.a."))</f>
        <v>0</v>
      </c>
      <c r="P4101" s="16">
        <f>IF(NOT(Paths!$C$379=1),0,IF(Paths!$P$379="Complete",O4101+L4101,"n.a."))</f>
        <v>0</v>
      </c>
      <c r="Q4101" s="16">
        <f>IF(NOT(Paths!$C$379=1),0,IF(Paths!$P$379="Complete",N4101*(1+'Operating costs'!$B$54)^-C4101,"n.a."))</f>
        <v>0</v>
      </c>
      <c r="R4101" s="16">
        <f>IF(NOT(Paths!$C$379=1),0,IF(Paths!$P$379="Complete",IF(AND(C4101=0,Paths!$E$379=0),I4101-J4101-K4101+VLOOKUP(A4101,'Fleet register'!$A$7:$S$106,15,FALSE)+VLOOKUP(A4101,'Fleet register'!$A$7:$S$106,16,FALSE),0),"n.a."))</f>
        <v>0</v>
      </c>
      <c r="S4101" s="1">
        <f>IF(NOT(Paths!$C$379=1),0,IF(Paths!$P$379="Complete",IF(C4101=0,0,Paths!$S$379*Paths!$R$379),"n.a."))</f>
        <v>0</v>
      </c>
      <c r="T4101" s="1">
        <f>IF(NOT(Paths!$C$379=1),0,IF(Paths!$P$379="Complete",IF(C4101=0,0,VLOOKUP(A4101,'Fleet register'!$A$7:$S$106,9,FALSE)*Paths!$R$379),"n.a."))</f>
        <v>0</v>
      </c>
    </row>
    <row r="4102" spans="1:20" ht="24" customHeight="1">
      <c r="A4102" s="1" t="str">
        <f>Paths!$A$379</f>
        <v>T094</v>
      </c>
      <c r="B4102" s="1">
        <f>Paths!$B$379</f>
        <v>0</v>
      </c>
      <c r="C4102" s="1">
        <v>3</v>
      </c>
      <c r="D4102" s="1">
        <v>379</v>
      </c>
      <c r="E4102" s="1">
        <f>IF(OR(Paths!$C$379=0,C4102=0),0,MAX(0,MIN(C4102*12,Paths!$E$379)-(C4102-1)*12))</f>
        <v>0</v>
      </c>
      <c r="F4102" s="1">
        <f>IF(OR(Paths!$C$379=0,C4102=0),0,12-E4102)</f>
        <v>0</v>
      </c>
      <c r="G4102" s="16">
        <f>IF(NOT(Paths!$C$379=1),0,IF(Paths!$P$379="Complete",E4102/12*(Paths!$J$379*(1+'Operating costs'!$B$51)^MAX(0,C4102-1)+Paths!$K$379*(1+'Operating costs'!$B$53)^MAX(0,C4102-1)),"n.a."))</f>
        <v>0</v>
      </c>
      <c r="H4102" s="16">
        <f>IF(NOT(Paths!$C$379=1),0,IF(Paths!$P$379="Complete",F4102/12*(Paths!$L$379*(1+IF(Paths!$D$379="EV",'Operating costs'!$B$52,'Operating costs'!$B$51))^MAX(0,C4102-1)+Paths!$M$379*(1+'Operating costs'!$B$53)^MAX(0,C4102-1)),"n.a."))</f>
        <v>0</v>
      </c>
      <c r="I4102" s="16">
        <f>IF(NOT(Paths!$C$379=1),0,IF(Paths!$P$379="Complete",IF(IF(Paths!$E$379=0,C4102=0,AND(C4102&gt;0,Paths!$E$379&gt;(C4102-1)*12,Paths!$E$379&lt;=C4102*12)),Paths!$G$379,0),"n.a."))</f>
        <v>0</v>
      </c>
      <c r="J4102" s="16">
        <f>IF(NOT(Paths!$C$379=1),0,IF(Paths!$P$379="Complete",IF(IF(Paths!$E$379=0,C4102=0,AND(C4102&gt;0,Paths!$E$379&gt;(C4102-1)*12,Paths!$E$379&lt;=C4102*12)),Paths!$H$379,0),"n.a."))</f>
        <v>0</v>
      </c>
      <c r="K4102" s="16">
        <f>IF(NOT(Paths!$C$379=1),0,IF(Paths!$P$379="Complete",IF(IF(Paths!$O$379=0,C4102=0,AND(C4102&gt;0,Paths!$O$379&gt;(C4102-1)*12,Paths!$O$379&lt;=C4102*12)),Paths!$N$379,0),"n.a."))</f>
        <v>0</v>
      </c>
      <c r="L4102" s="16">
        <f>IF(NOT(Paths!$C$379=1),0,IF(Paths!$P$379="Complete",IF(C4102=10,Paths!$I$379,0),"n.a."))</f>
        <v>0</v>
      </c>
      <c r="M4102" s="16">
        <f>IF(NOT(Paths!$C$379=1),0,IF(Paths!$P$379="Complete",IF(AND(Paths!$D$379="EV",Paths!$E$379&lt;120,Paths!$E$379+'Operating costs'!$B$65&gt;Paths!$E$379,Paths!$E$379+'Operating costs'!$B$65&lt;=120,IF(Paths!$E$379+'Operating costs'!$B$65=0,C4102=0,AND(C4102&gt;0,Paths!$E$379+'Operating costs'!$B$65&gt;(C4102-1)*12,Paths!$E$379+'Operating costs'!$B$65&lt;=C4102*12))),'Operating costs'!$B$64,0)+IF(AND('Operating costs'!$B$67&gt;0,'Operating costs'!$B$67&lt;=120,OR(Paths!$D$379="ICE",'Operating costs'!$B$67&lt;=Paths!$E$379),IF('Operating costs'!$B$67=0,C4102=0,AND(C4102&gt;0,'Operating costs'!$B$67&gt;(C4102-1)*12,'Operating costs'!$B$67&lt;=C4102*12))),'Operating costs'!$B$66,0),"n.a."))</f>
        <v>0</v>
      </c>
      <c r="N4102" s="16">
        <f>IF(NOT(Paths!$C$379=1),0,IF(Paths!$P$379="Complete",SUM(G4102:I4102)-J4102-K4102-L4102+M4102+IF(C4102=0,Paths!$F$379,0)+IF(IF(Paths!$E$379=0,C4102=0,AND(C4102&gt;0,Paths!$E$379&gt;(C4102-1)*12,Paths!$E$379&lt;=C4102*12)),VLOOKUP(A4102,'Fleet register'!$A$7:$S$106,16,FALSE),0),"n.a."))</f>
        <v>0</v>
      </c>
      <c r="O4102" s="16">
        <f>IF(NOT(Paths!$C$379=1),0,IF(Paths!$P$379="Complete",N4102-IF(C4102=0,Paths!$F$379,0),"n.a."))</f>
        <v>0</v>
      </c>
      <c r="P4102" s="16">
        <f>IF(NOT(Paths!$C$379=1),0,IF(Paths!$P$379="Complete",O4102+L4102,"n.a."))</f>
        <v>0</v>
      </c>
      <c r="Q4102" s="16">
        <f>IF(NOT(Paths!$C$379=1),0,IF(Paths!$P$379="Complete",N4102*(1+'Operating costs'!$B$54)^-C4102,"n.a."))</f>
        <v>0</v>
      </c>
      <c r="R4102" s="16">
        <f>IF(NOT(Paths!$C$379=1),0,IF(Paths!$P$379="Complete",IF(AND(C4102=0,Paths!$E$379=0),I4102-J4102-K4102+VLOOKUP(A4102,'Fleet register'!$A$7:$S$106,15,FALSE)+VLOOKUP(A4102,'Fleet register'!$A$7:$S$106,16,FALSE),0),"n.a."))</f>
        <v>0</v>
      </c>
      <c r="S4102" s="1">
        <f>IF(NOT(Paths!$C$379=1),0,IF(Paths!$P$379="Complete",IF(C4102=0,0,Paths!$S$379*Paths!$R$379),"n.a."))</f>
        <v>0</v>
      </c>
      <c r="T4102" s="1">
        <f>IF(NOT(Paths!$C$379=1),0,IF(Paths!$P$379="Complete",IF(C4102=0,0,VLOOKUP(A4102,'Fleet register'!$A$7:$S$106,9,FALSE)*Paths!$R$379),"n.a."))</f>
        <v>0</v>
      </c>
    </row>
    <row r="4103" spans="1:20" ht="24" customHeight="1">
      <c r="A4103" s="1" t="str">
        <f>Paths!$A$379</f>
        <v>T094</v>
      </c>
      <c r="B4103" s="1">
        <f>Paths!$B$379</f>
        <v>0</v>
      </c>
      <c r="C4103" s="1">
        <v>4</v>
      </c>
      <c r="D4103" s="1">
        <v>379</v>
      </c>
      <c r="E4103" s="1">
        <f>IF(OR(Paths!$C$379=0,C4103=0),0,MAX(0,MIN(C4103*12,Paths!$E$379)-(C4103-1)*12))</f>
        <v>0</v>
      </c>
      <c r="F4103" s="1">
        <f>IF(OR(Paths!$C$379=0,C4103=0),0,12-E4103)</f>
        <v>0</v>
      </c>
      <c r="G4103" s="16">
        <f>IF(NOT(Paths!$C$379=1),0,IF(Paths!$P$379="Complete",E4103/12*(Paths!$J$379*(1+'Operating costs'!$B$51)^MAX(0,C4103-1)+Paths!$K$379*(1+'Operating costs'!$B$53)^MAX(0,C4103-1)),"n.a."))</f>
        <v>0</v>
      </c>
      <c r="H4103" s="16">
        <f>IF(NOT(Paths!$C$379=1),0,IF(Paths!$P$379="Complete",F4103/12*(Paths!$L$379*(1+IF(Paths!$D$379="EV",'Operating costs'!$B$52,'Operating costs'!$B$51))^MAX(0,C4103-1)+Paths!$M$379*(1+'Operating costs'!$B$53)^MAX(0,C4103-1)),"n.a."))</f>
        <v>0</v>
      </c>
      <c r="I4103" s="16">
        <f>IF(NOT(Paths!$C$379=1),0,IF(Paths!$P$379="Complete",IF(IF(Paths!$E$379=0,C4103=0,AND(C4103&gt;0,Paths!$E$379&gt;(C4103-1)*12,Paths!$E$379&lt;=C4103*12)),Paths!$G$379,0),"n.a."))</f>
        <v>0</v>
      </c>
      <c r="J4103" s="16">
        <f>IF(NOT(Paths!$C$379=1),0,IF(Paths!$P$379="Complete",IF(IF(Paths!$E$379=0,C4103=0,AND(C4103&gt;0,Paths!$E$379&gt;(C4103-1)*12,Paths!$E$379&lt;=C4103*12)),Paths!$H$379,0),"n.a."))</f>
        <v>0</v>
      </c>
      <c r="K4103" s="16">
        <f>IF(NOT(Paths!$C$379=1),0,IF(Paths!$P$379="Complete",IF(IF(Paths!$O$379=0,C4103=0,AND(C4103&gt;0,Paths!$O$379&gt;(C4103-1)*12,Paths!$O$379&lt;=C4103*12)),Paths!$N$379,0),"n.a."))</f>
        <v>0</v>
      </c>
      <c r="L4103" s="16">
        <f>IF(NOT(Paths!$C$379=1),0,IF(Paths!$P$379="Complete",IF(C4103=10,Paths!$I$379,0),"n.a."))</f>
        <v>0</v>
      </c>
      <c r="M4103" s="16">
        <f>IF(NOT(Paths!$C$379=1),0,IF(Paths!$P$379="Complete",IF(AND(Paths!$D$379="EV",Paths!$E$379&lt;120,Paths!$E$379+'Operating costs'!$B$65&gt;Paths!$E$379,Paths!$E$379+'Operating costs'!$B$65&lt;=120,IF(Paths!$E$379+'Operating costs'!$B$65=0,C4103=0,AND(C4103&gt;0,Paths!$E$379+'Operating costs'!$B$65&gt;(C4103-1)*12,Paths!$E$379+'Operating costs'!$B$65&lt;=C4103*12))),'Operating costs'!$B$64,0)+IF(AND('Operating costs'!$B$67&gt;0,'Operating costs'!$B$67&lt;=120,OR(Paths!$D$379="ICE",'Operating costs'!$B$67&lt;=Paths!$E$379),IF('Operating costs'!$B$67=0,C4103=0,AND(C4103&gt;0,'Operating costs'!$B$67&gt;(C4103-1)*12,'Operating costs'!$B$67&lt;=C4103*12))),'Operating costs'!$B$66,0),"n.a."))</f>
        <v>0</v>
      </c>
      <c r="N4103" s="16">
        <f>IF(NOT(Paths!$C$379=1),0,IF(Paths!$P$379="Complete",SUM(G4103:I4103)-J4103-K4103-L4103+M4103+IF(C4103=0,Paths!$F$379,0)+IF(IF(Paths!$E$379=0,C4103=0,AND(C4103&gt;0,Paths!$E$379&gt;(C4103-1)*12,Paths!$E$379&lt;=C4103*12)),VLOOKUP(A4103,'Fleet register'!$A$7:$S$106,16,FALSE),0),"n.a."))</f>
        <v>0</v>
      </c>
      <c r="O4103" s="16">
        <f>IF(NOT(Paths!$C$379=1),0,IF(Paths!$P$379="Complete",N4103-IF(C4103=0,Paths!$F$379,0),"n.a."))</f>
        <v>0</v>
      </c>
      <c r="P4103" s="16">
        <f>IF(NOT(Paths!$C$379=1),0,IF(Paths!$P$379="Complete",O4103+L4103,"n.a."))</f>
        <v>0</v>
      </c>
      <c r="Q4103" s="16">
        <f>IF(NOT(Paths!$C$379=1),0,IF(Paths!$P$379="Complete",N4103*(1+'Operating costs'!$B$54)^-C4103,"n.a."))</f>
        <v>0</v>
      </c>
      <c r="R4103" s="16">
        <f>IF(NOT(Paths!$C$379=1),0,IF(Paths!$P$379="Complete",IF(AND(C4103=0,Paths!$E$379=0),I4103-J4103-K4103+VLOOKUP(A4103,'Fleet register'!$A$7:$S$106,15,FALSE)+VLOOKUP(A4103,'Fleet register'!$A$7:$S$106,16,FALSE),0),"n.a."))</f>
        <v>0</v>
      </c>
      <c r="S4103" s="1">
        <f>IF(NOT(Paths!$C$379=1),0,IF(Paths!$P$379="Complete",IF(C4103=0,0,Paths!$S$379*Paths!$R$379),"n.a."))</f>
        <v>0</v>
      </c>
      <c r="T4103" s="1">
        <f>IF(NOT(Paths!$C$379=1),0,IF(Paths!$P$379="Complete",IF(C4103=0,0,VLOOKUP(A4103,'Fleet register'!$A$7:$S$106,9,FALSE)*Paths!$R$379),"n.a."))</f>
        <v>0</v>
      </c>
    </row>
    <row r="4104" spans="1:20" ht="24" customHeight="1">
      <c r="A4104" s="1" t="str">
        <f>Paths!$A$379</f>
        <v>T094</v>
      </c>
      <c r="B4104" s="1">
        <f>Paths!$B$379</f>
        <v>0</v>
      </c>
      <c r="C4104" s="1">
        <v>5</v>
      </c>
      <c r="D4104" s="1">
        <v>379</v>
      </c>
      <c r="E4104" s="1">
        <f>IF(OR(Paths!$C$379=0,C4104=0),0,MAX(0,MIN(C4104*12,Paths!$E$379)-(C4104-1)*12))</f>
        <v>0</v>
      </c>
      <c r="F4104" s="1">
        <f>IF(OR(Paths!$C$379=0,C4104=0),0,12-E4104)</f>
        <v>0</v>
      </c>
      <c r="G4104" s="16">
        <f>IF(NOT(Paths!$C$379=1),0,IF(Paths!$P$379="Complete",E4104/12*(Paths!$J$379*(1+'Operating costs'!$B$51)^MAX(0,C4104-1)+Paths!$K$379*(1+'Operating costs'!$B$53)^MAX(0,C4104-1)),"n.a."))</f>
        <v>0</v>
      </c>
      <c r="H4104" s="16">
        <f>IF(NOT(Paths!$C$379=1),0,IF(Paths!$P$379="Complete",F4104/12*(Paths!$L$379*(1+IF(Paths!$D$379="EV",'Operating costs'!$B$52,'Operating costs'!$B$51))^MAX(0,C4104-1)+Paths!$M$379*(1+'Operating costs'!$B$53)^MAX(0,C4104-1)),"n.a."))</f>
        <v>0</v>
      </c>
      <c r="I4104" s="16">
        <f>IF(NOT(Paths!$C$379=1),0,IF(Paths!$P$379="Complete",IF(IF(Paths!$E$379=0,C4104=0,AND(C4104&gt;0,Paths!$E$379&gt;(C4104-1)*12,Paths!$E$379&lt;=C4104*12)),Paths!$G$379,0),"n.a."))</f>
        <v>0</v>
      </c>
      <c r="J4104" s="16">
        <f>IF(NOT(Paths!$C$379=1),0,IF(Paths!$P$379="Complete",IF(IF(Paths!$E$379=0,C4104=0,AND(C4104&gt;0,Paths!$E$379&gt;(C4104-1)*12,Paths!$E$379&lt;=C4104*12)),Paths!$H$379,0),"n.a."))</f>
        <v>0</v>
      </c>
      <c r="K4104" s="16">
        <f>IF(NOT(Paths!$C$379=1),0,IF(Paths!$P$379="Complete",IF(IF(Paths!$O$379=0,C4104=0,AND(C4104&gt;0,Paths!$O$379&gt;(C4104-1)*12,Paths!$O$379&lt;=C4104*12)),Paths!$N$379,0),"n.a."))</f>
        <v>0</v>
      </c>
      <c r="L4104" s="16">
        <f>IF(NOT(Paths!$C$379=1),0,IF(Paths!$P$379="Complete",IF(C4104=10,Paths!$I$379,0),"n.a."))</f>
        <v>0</v>
      </c>
      <c r="M4104" s="16">
        <f>IF(NOT(Paths!$C$379=1),0,IF(Paths!$P$379="Complete",IF(AND(Paths!$D$379="EV",Paths!$E$379&lt;120,Paths!$E$379+'Operating costs'!$B$65&gt;Paths!$E$379,Paths!$E$379+'Operating costs'!$B$65&lt;=120,IF(Paths!$E$379+'Operating costs'!$B$65=0,C4104=0,AND(C4104&gt;0,Paths!$E$379+'Operating costs'!$B$65&gt;(C4104-1)*12,Paths!$E$379+'Operating costs'!$B$65&lt;=C4104*12))),'Operating costs'!$B$64,0)+IF(AND('Operating costs'!$B$67&gt;0,'Operating costs'!$B$67&lt;=120,OR(Paths!$D$379="ICE",'Operating costs'!$B$67&lt;=Paths!$E$379),IF('Operating costs'!$B$67=0,C4104=0,AND(C4104&gt;0,'Operating costs'!$B$67&gt;(C4104-1)*12,'Operating costs'!$B$67&lt;=C4104*12))),'Operating costs'!$B$66,0),"n.a."))</f>
        <v>0</v>
      </c>
      <c r="N4104" s="16">
        <f>IF(NOT(Paths!$C$379=1),0,IF(Paths!$P$379="Complete",SUM(G4104:I4104)-J4104-K4104-L4104+M4104+IF(C4104=0,Paths!$F$379,0)+IF(IF(Paths!$E$379=0,C4104=0,AND(C4104&gt;0,Paths!$E$379&gt;(C4104-1)*12,Paths!$E$379&lt;=C4104*12)),VLOOKUP(A4104,'Fleet register'!$A$7:$S$106,16,FALSE),0),"n.a."))</f>
        <v>0</v>
      </c>
      <c r="O4104" s="16">
        <f>IF(NOT(Paths!$C$379=1),0,IF(Paths!$P$379="Complete",N4104-IF(C4104=0,Paths!$F$379,0),"n.a."))</f>
        <v>0</v>
      </c>
      <c r="P4104" s="16">
        <f>IF(NOT(Paths!$C$379=1),0,IF(Paths!$P$379="Complete",O4104+L4104,"n.a."))</f>
        <v>0</v>
      </c>
      <c r="Q4104" s="16">
        <f>IF(NOT(Paths!$C$379=1),0,IF(Paths!$P$379="Complete",N4104*(1+'Operating costs'!$B$54)^-C4104,"n.a."))</f>
        <v>0</v>
      </c>
      <c r="R4104" s="16">
        <f>IF(NOT(Paths!$C$379=1),0,IF(Paths!$P$379="Complete",IF(AND(C4104=0,Paths!$E$379=0),I4104-J4104-K4104+VLOOKUP(A4104,'Fleet register'!$A$7:$S$106,15,FALSE)+VLOOKUP(A4104,'Fleet register'!$A$7:$S$106,16,FALSE),0),"n.a."))</f>
        <v>0</v>
      </c>
      <c r="S4104" s="1">
        <f>IF(NOT(Paths!$C$379=1),0,IF(Paths!$P$379="Complete",IF(C4104=0,0,Paths!$S$379*Paths!$R$379),"n.a."))</f>
        <v>0</v>
      </c>
      <c r="T4104" s="1">
        <f>IF(NOT(Paths!$C$379=1),0,IF(Paths!$P$379="Complete",IF(C4104=0,0,VLOOKUP(A4104,'Fleet register'!$A$7:$S$106,9,FALSE)*Paths!$R$379),"n.a."))</f>
        <v>0</v>
      </c>
    </row>
    <row r="4105" spans="1:20" ht="24" customHeight="1">
      <c r="A4105" s="1" t="str">
        <f>Paths!$A$379</f>
        <v>T094</v>
      </c>
      <c r="B4105" s="1">
        <f>Paths!$B$379</f>
        <v>0</v>
      </c>
      <c r="C4105" s="1">
        <v>6</v>
      </c>
      <c r="D4105" s="1">
        <v>379</v>
      </c>
      <c r="E4105" s="1">
        <f>IF(OR(Paths!$C$379=0,C4105=0),0,MAX(0,MIN(C4105*12,Paths!$E$379)-(C4105-1)*12))</f>
        <v>0</v>
      </c>
      <c r="F4105" s="1">
        <f>IF(OR(Paths!$C$379=0,C4105=0),0,12-E4105)</f>
        <v>0</v>
      </c>
      <c r="G4105" s="16">
        <f>IF(NOT(Paths!$C$379=1),0,IF(Paths!$P$379="Complete",E4105/12*(Paths!$J$379*(1+'Operating costs'!$B$51)^MAX(0,C4105-1)+Paths!$K$379*(1+'Operating costs'!$B$53)^MAX(0,C4105-1)),"n.a."))</f>
        <v>0</v>
      </c>
      <c r="H4105" s="16">
        <f>IF(NOT(Paths!$C$379=1),0,IF(Paths!$P$379="Complete",F4105/12*(Paths!$L$379*(1+IF(Paths!$D$379="EV",'Operating costs'!$B$52,'Operating costs'!$B$51))^MAX(0,C4105-1)+Paths!$M$379*(1+'Operating costs'!$B$53)^MAX(0,C4105-1)),"n.a."))</f>
        <v>0</v>
      </c>
      <c r="I4105" s="16">
        <f>IF(NOT(Paths!$C$379=1),0,IF(Paths!$P$379="Complete",IF(IF(Paths!$E$379=0,C4105=0,AND(C4105&gt;0,Paths!$E$379&gt;(C4105-1)*12,Paths!$E$379&lt;=C4105*12)),Paths!$G$379,0),"n.a."))</f>
        <v>0</v>
      </c>
      <c r="J4105" s="16">
        <f>IF(NOT(Paths!$C$379=1),0,IF(Paths!$P$379="Complete",IF(IF(Paths!$E$379=0,C4105=0,AND(C4105&gt;0,Paths!$E$379&gt;(C4105-1)*12,Paths!$E$379&lt;=C4105*12)),Paths!$H$379,0),"n.a."))</f>
        <v>0</v>
      </c>
      <c r="K4105" s="16">
        <f>IF(NOT(Paths!$C$379=1),0,IF(Paths!$P$379="Complete",IF(IF(Paths!$O$379=0,C4105=0,AND(C4105&gt;0,Paths!$O$379&gt;(C4105-1)*12,Paths!$O$379&lt;=C4105*12)),Paths!$N$379,0),"n.a."))</f>
        <v>0</v>
      </c>
      <c r="L4105" s="16">
        <f>IF(NOT(Paths!$C$379=1),0,IF(Paths!$P$379="Complete",IF(C4105=10,Paths!$I$379,0),"n.a."))</f>
        <v>0</v>
      </c>
      <c r="M4105" s="16">
        <f>IF(NOT(Paths!$C$379=1),0,IF(Paths!$P$379="Complete",IF(AND(Paths!$D$379="EV",Paths!$E$379&lt;120,Paths!$E$379+'Operating costs'!$B$65&gt;Paths!$E$379,Paths!$E$379+'Operating costs'!$B$65&lt;=120,IF(Paths!$E$379+'Operating costs'!$B$65=0,C4105=0,AND(C4105&gt;0,Paths!$E$379+'Operating costs'!$B$65&gt;(C4105-1)*12,Paths!$E$379+'Operating costs'!$B$65&lt;=C4105*12))),'Operating costs'!$B$64,0)+IF(AND('Operating costs'!$B$67&gt;0,'Operating costs'!$B$67&lt;=120,OR(Paths!$D$379="ICE",'Operating costs'!$B$67&lt;=Paths!$E$379),IF('Operating costs'!$B$67=0,C4105=0,AND(C4105&gt;0,'Operating costs'!$B$67&gt;(C4105-1)*12,'Operating costs'!$B$67&lt;=C4105*12))),'Operating costs'!$B$66,0),"n.a."))</f>
        <v>0</v>
      </c>
      <c r="N4105" s="16">
        <f>IF(NOT(Paths!$C$379=1),0,IF(Paths!$P$379="Complete",SUM(G4105:I4105)-J4105-K4105-L4105+M4105+IF(C4105=0,Paths!$F$379,0)+IF(IF(Paths!$E$379=0,C4105=0,AND(C4105&gt;0,Paths!$E$379&gt;(C4105-1)*12,Paths!$E$379&lt;=C4105*12)),VLOOKUP(A4105,'Fleet register'!$A$7:$S$106,16,FALSE),0),"n.a."))</f>
        <v>0</v>
      </c>
      <c r="O4105" s="16">
        <f>IF(NOT(Paths!$C$379=1),0,IF(Paths!$P$379="Complete",N4105-IF(C4105=0,Paths!$F$379,0),"n.a."))</f>
        <v>0</v>
      </c>
      <c r="P4105" s="16">
        <f>IF(NOT(Paths!$C$379=1),0,IF(Paths!$P$379="Complete",O4105+L4105,"n.a."))</f>
        <v>0</v>
      </c>
      <c r="Q4105" s="16">
        <f>IF(NOT(Paths!$C$379=1),0,IF(Paths!$P$379="Complete",N4105*(1+'Operating costs'!$B$54)^-C4105,"n.a."))</f>
        <v>0</v>
      </c>
      <c r="R4105" s="16">
        <f>IF(NOT(Paths!$C$379=1),0,IF(Paths!$P$379="Complete",IF(AND(C4105=0,Paths!$E$379=0),I4105-J4105-K4105+VLOOKUP(A4105,'Fleet register'!$A$7:$S$106,15,FALSE)+VLOOKUP(A4105,'Fleet register'!$A$7:$S$106,16,FALSE),0),"n.a."))</f>
        <v>0</v>
      </c>
      <c r="S4105" s="1">
        <f>IF(NOT(Paths!$C$379=1),0,IF(Paths!$P$379="Complete",IF(C4105=0,0,Paths!$S$379*Paths!$R$379),"n.a."))</f>
        <v>0</v>
      </c>
      <c r="T4105" s="1">
        <f>IF(NOT(Paths!$C$379=1),0,IF(Paths!$P$379="Complete",IF(C4105=0,0,VLOOKUP(A4105,'Fleet register'!$A$7:$S$106,9,FALSE)*Paths!$R$379),"n.a."))</f>
        <v>0</v>
      </c>
    </row>
    <row r="4106" spans="1:20" ht="24" customHeight="1">
      <c r="A4106" s="1" t="str">
        <f>Paths!$A$379</f>
        <v>T094</v>
      </c>
      <c r="B4106" s="1">
        <f>Paths!$B$379</f>
        <v>0</v>
      </c>
      <c r="C4106" s="1">
        <v>7</v>
      </c>
      <c r="D4106" s="1">
        <v>379</v>
      </c>
      <c r="E4106" s="1">
        <f>IF(OR(Paths!$C$379=0,C4106=0),0,MAX(0,MIN(C4106*12,Paths!$E$379)-(C4106-1)*12))</f>
        <v>0</v>
      </c>
      <c r="F4106" s="1">
        <f>IF(OR(Paths!$C$379=0,C4106=0),0,12-E4106)</f>
        <v>0</v>
      </c>
      <c r="G4106" s="16">
        <f>IF(NOT(Paths!$C$379=1),0,IF(Paths!$P$379="Complete",E4106/12*(Paths!$J$379*(1+'Operating costs'!$B$51)^MAX(0,C4106-1)+Paths!$K$379*(1+'Operating costs'!$B$53)^MAX(0,C4106-1)),"n.a."))</f>
        <v>0</v>
      </c>
      <c r="H4106" s="16">
        <f>IF(NOT(Paths!$C$379=1),0,IF(Paths!$P$379="Complete",F4106/12*(Paths!$L$379*(1+IF(Paths!$D$379="EV",'Operating costs'!$B$52,'Operating costs'!$B$51))^MAX(0,C4106-1)+Paths!$M$379*(1+'Operating costs'!$B$53)^MAX(0,C4106-1)),"n.a."))</f>
        <v>0</v>
      </c>
      <c r="I4106" s="16">
        <f>IF(NOT(Paths!$C$379=1),0,IF(Paths!$P$379="Complete",IF(IF(Paths!$E$379=0,C4106=0,AND(C4106&gt;0,Paths!$E$379&gt;(C4106-1)*12,Paths!$E$379&lt;=C4106*12)),Paths!$G$379,0),"n.a."))</f>
        <v>0</v>
      </c>
      <c r="J4106" s="16">
        <f>IF(NOT(Paths!$C$379=1),0,IF(Paths!$P$379="Complete",IF(IF(Paths!$E$379=0,C4106=0,AND(C4106&gt;0,Paths!$E$379&gt;(C4106-1)*12,Paths!$E$379&lt;=C4106*12)),Paths!$H$379,0),"n.a."))</f>
        <v>0</v>
      </c>
      <c r="K4106" s="16">
        <f>IF(NOT(Paths!$C$379=1),0,IF(Paths!$P$379="Complete",IF(IF(Paths!$O$379=0,C4106=0,AND(C4106&gt;0,Paths!$O$379&gt;(C4106-1)*12,Paths!$O$379&lt;=C4106*12)),Paths!$N$379,0),"n.a."))</f>
        <v>0</v>
      </c>
      <c r="L4106" s="16">
        <f>IF(NOT(Paths!$C$379=1),0,IF(Paths!$P$379="Complete",IF(C4106=10,Paths!$I$379,0),"n.a."))</f>
        <v>0</v>
      </c>
      <c r="M4106" s="16">
        <f>IF(NOT(Paths!$C$379=1),0,IF(Paths!$P$379="Complete",IF(AND(Paths!$D$379="EV",Paths!$E$379&lt;120,Paths!$E$379+'Operating costs'!$B$65&gt;Paths!$E$379,Paths!$E$379+'Operating costs'!$B$65&lt;=120,IF(Paths!$E$379+'Operating costs'!$B$65=0,C4106=0,AND(C4106&gt;0,Paths!$E$379+'Operating costs'!$B$65&gt;(C4106-1)*12,Paths!$E$379+'Operating costs'!$B$65&lt;=C4106*12))),'Operating costs'!$B$64,0)+IF(AND('Operating costs'!$B$67&gt;0,'Operating costs'!$B$67&lt;=120,OR(Paths!$D$379="ICE",'Operating costs'!$B$67&lt;=Paths!$E$379),IF('Operating costs'!$B$67=0,C4106=0,AND(C4106&gt;0,'Operating costs'!$B$67&gt;(C4106-1)*12,'Operating costs'!$B$67&lt;=C4106*12))),'Operating costs'!$B$66,0),"n.a."))</f>
        <v>0</v>
      </c>
      <c r="N4106" s="16">
        <f>IF(NOT(Paths!$C$379=1),0,IF(Paths!$P$379="Complete",SUM(G4106:I4106)-J4106-K4106-L4106+M4106+IF(C4106=0,Paths!$F$379,0)+IF(IF(Paths!$E$379=0,C4106=0,AND(C4106&gt;0,Paths!$E$379&gt;(C4106-1)*12,Paths!$E$379&lt;=C4106*12)),VLOOKUP(A4106,'Fleet register'!$A$7:$S$106,16,FALSE),0),"n.a."))</f>
        <v>0</v>
      </c>
      <c r="O4106" s="16">
        <f>IF(NOT(Paths!$C$379=1),0,IF(Paths!$P$379="Complete",N4106-IF(C4106=0,Paths!$F$379,0),"n.a."))</f>
        <v>0</v>
      </c>
      <c r="P4106" s="16">
        <f>IF(NOT(Paths!$C$379=1),0,IF(Paths!$P$379="Complete",O4106+L4106,"n.a."))</f>
        <v>0</v>
      </c>
      <c r="Q4106" s="16">
        <f>IF(NOT(Paths!$C$379=1),0,IF(Paths!$P$379="Complete",N4106*(1+'Operating costs'!$B$54)^-C4106,"n.a."))</f>
        <v>0</v>
      </c>
      <c r="R4106" s="16">
        <f>IF(NOT(Paths!$C$379=1),0,IF(Paths!$P$379="Complete",IF(AND(C4106=0,Paths!$E$379=0),I4106-J4106-K4106+VLOOKUP(A4106,'Fleet register'!$A$7:$S$106,15,FALSE)+VLOOKUP(A4106,'Fleet register'!$A$7:$S$106,16,FALSE),0),"n.a."))</f>
        <v>0</v>
      </c>
      <c r="S4106" s="1">
        <f>IF(NOT(Paths!$C$379=1),0,IF(Paths!$P$379="Complete",IF(C4106=0,0,Paths!$S$379*Paths!$R$379),"n.a."))</f>
        <v>0</v>
      </c>
      <c r="T4106" s="1">
        <f>IF(NOT(Paths!$C$379=1),0,IF(Paths!$P$379="Complete",IF(C4106=0,0,VLOOKUP(A4106,'Fleet register'!$A$7:$S$106,9,FALSE)*Paths!$R$379),"n.a."))</f>
        <v>0</v>
      </c>
    </row>
    <row r="4107" spans="1:20" ht="24" customHeight="1">
      <c r="A4107" s="1" t="str">
        <f>Paths!$A$379</f>
        <v>T094</v>
      </c>
      <c r="B4107" s="1">
        <f>Paths!$B$379</f>
        <v>0</v>
      </c>
      <c r="C4107" s="1">
        <v>8</v>
      </c>
      <c r="D4107" s="1">
        <v>379</v>
      </c>
      <c r="E4107" s="1">
        <f>IF(OR(Paths!$C$379=0,C4107=0),0,MAX(0,MIN(C4107*12,Paths!$E$379)-(C4107-1)*12))</f>
        <v>0</v>
      </c>
      <c r="F4107" s="1">
        <f>IF(OR(Paths!$C$379=0,C4107=0),0,12-E4107)</f>
        <v>0</v>
      </c>
      <c r="G4107" s="16">
        <f>IF(NOT(Paths!$C$379=1),0,IF(Paths!$P$379="Complete",E4107/12*(Paths!$J$379*(1+'Operating costs'!$B$51)^MAX(0,C4107-1)+Paths!$K$379*(1+'Operating costs'!$B$53)^MAX(0,C4107-1)),"n.a."))</f>
        <v>0</v>
      </c>
      <c r="H4107" s="16">
        <f>IF(NOT(Paths!$C$379=1),0,IF(Paths!$P$379="Complete",F4107/12*(Paths!$L$379*(1+IF(Paths!$D$379="EV",'Operating costs'!$B$52,'Operating costs'!$B$51))^MAX(0,C4107-1)+Paths!$M$379*(1+'Operating costs'!$B$53)^MAX(0,C4107-1)),"n.a."))</f>
        <v>0</v>
      </c>
      <c r="I4107" s="16">
        <f>IF(NOT(Paths!$C$379=1),0,IF(Paths!$P$379="Complete",IF(IF(Paths!$E$379=0,C4107=0,AND(C4107&gt;0,Paths!$E$379&gt;(C4107-1)*12,Paths!$E$379&lt;=C4107*12)),Paths!$G$379,0),"n.a."))</f>
        <v>0</v>
      </c>
      <c r="J4107" s="16">
        <f>IF(NOT(Paths!$C$379=1),0,IF(Paths!$P$379="Complete",IF(IF(Paths!$E$379=0,C4107=0,AND(C4107&gt;0,Paths!$E$379&gt;(C4107-1)*12,Paths!$E$379&lt;=C4107*12)),Paths!$H$379,0),"n.a."))</f>
        <v>0</v>
      </c>
      <c r="K4107" s="16">
        <f>IF(NOT(Paths!$C$379=1),0,IF(Paths!$P$379="Complete",IF(IF(Paths!$O$379=0,C4107=0,AND(C4107&gt;0,Paths!$O$379&gt;(C4107-1)*12,Paths!$O$379&lt;=C4107*12)),Paths!$N$379,0),"n.a."))</f>
        <v>0</v>
      </c>
      <c r="L4107" s="16">
        <f>IF(NOT(Paths!$C$379=1),0,IF(Paths!$P$379="Complete",IF(C4107=10,Paths!$I$379,0),"n.a."))</f>
        <v>0</v>
      </c>
      <c r="M4107" s="16">
        <f>IF(NOT(Paths!$C$379=1),0,IF(Paths!$P$379="Complete",IF(AND(Paths!$D$379="EV",Paths!$E$379&lt;120,Paths!$E$379+'Operating costs'!$B$65&gt;Paths!$E$379,Paths!$E$379+'Operating costs'!$B$65&lt;=120,IF(Paths!$E$379+'Operating costs'!$B$65=0,C4107=0,AND(C4107&gt;0,Paths!$E$379+'Operating costs'!$B$65&gt;(C4107-1)*12,Paths!$E$379+'Operating costs'!$B$65&lt;=C4107*12))),'Operating costs'!$B$64,0)+IF(AND('Operating costs'!$B$67&gt;0,'Operating costs'!$B$67&lt;=120,OR(Paths!$D$379="ICE",'Operating costs'!$B$67&lt;=Paths!$E$379),IF('Operating costs'!$B$67=0,C4107=0,AND(C4107&gt;0,'Operating costs'!$B$67&gt;(C4107-1)*12,'Operating costs'!$B$67&lt;=C4107*12))),'Operating costs'!$B$66,0),"n.a."))</f>
        <v>0</v>
      </c>
      <c r="N4107" s="16">
        <f>IF(NOT(Paths!$C$379=1),0,IF(Paths!$P$379="Complete",SUM(G4107:I4107)-J4107-K4107-L4107+M4107+IF(C4107=0,Paths!$F$379,0)+IF(IF(Paths!$E$379=0,C4107=0,AND(C4107&gt;0,Paths!$E$379&gt;(C4107-1)*12,Paths!$E$379&lt;=C4107*12)),VLOOKUP(A4107,'Fleet register'!$A$7:$S$106,16,FALSE),0),"n.a."))</f>
        <v>0</v>
      </c>
      <c r="O4107" s="16">
        <f>IF(NOT(Paths!$C$379=1),0,IF(Paths!$P$379="Complete",N4107-IF(C4107=0,Paths!$F$379,0),"n.a."))</f>
        <v>0</v>
      </c>
      <c r="P4107" s="16">
        <f>IF(NOT(Paths!$C$379=1),0,IF(Paths!$P$379="Complete",O4107+L4107,"n.a."))</f>
        <v>0</v>
      </c>
      <c r="Q4107" s="16">
        <f>IF(NOT(Paths!$C$379=1),0,IF(Paths!$P$379="Complete",N4107*(1+'Operating costs'!$B$54)^-C4107,"n.a."))</f>
        <v>0</v>
      </c>
      <c r="R4107" s="16">
        <f>IF(NOT(Paths!$C$379=1),0,IF(Paths!$P$379="Complete",IF(AND(C4107=0,Paths!$E$379=0),I4107-J4107-K4107+VLOOKUP(A4107,'Fleet register'!$A$7:$S$106,15,FALSE)+VLOOKUP(A4107,'Fleet register'!$A$7:$S$106,16,FALSE),0),"n.a."))</f>
        <v>0</v>
      </c>
      <c r="S4107" s="1">
        <f>IF(NOT(Paths!$C$379=1),0,IF(Paths!$P$379="Complete",IF(C4107=0,0,Paths!$S$379*Paths!$R$379),"n.a."))</f>
        <v>0</v>
      </c>
      <c r="T4107" s="1">
        <f>IF(NOT(Paths!$C$379=1),0,IF(Paths!$P$379="Complete",IF(C4107=0,0,VLOOKUP(A4107,'Fleet register'!$A$7:$S$106,9,FALSE)*Paths!$R$379),"n.a."))</f>
        <v>0</v>
      </c>
    </row>
    <row r="4108" spans="1:20" ht="24" customHeight="1">
      <c r="A4108" s="1" t="str">
        <f>Paths!$A$379</f>
        <v>T094</v>
      </c>
      <c r="B4108" s="1">
        <f>Paths!$B$379</f>
        <v>0</v>
      </c>
      <c r="C4108" s="1">
        <v>9</v>
      </c>
      <c r="D4108" s="1">
        <v>379</v>
      </c>
      <c r="E4108" s="1">
        <f>IF(OR(Paths!$C$379=0,C4108=0),0,MAX(0,MIN(C4108*12,Paths!$E$379)-(C4108-1)*12))</f>
        <v>0</v>
      </c>
      <c r="F4108" s="1">
        <f>IF(OR(Paths!$C$379=0,C4108=0),0,12-E4108)</f>
        <v>0</v>
      </c>
      <c r="G4108" s="16">
        <f>IF(NOT(Paths!$C$379=1),0,IF(Paths!$P$379="Complete",E4108/12*(Paths!$J$379*(1+'Operating costs'!$B$51)^MAX(0,C4108-1)+Paths!$K$379*(1+'Operating costs'!$B$53)^MAX(0,C4108-1)),"n.a."))</f>
        <v>0</v>
      </c>
      <c r="H4108" s="16">
        <f>IF(NOT(Paths!$C$379=1),0,IF(Paths!$P$379="Complete",F4108/12*(Paths!$L$379*(1+IF(Paths!$D$379="EV",'Operating costs'!$B$52,'Operating costs'!$B$51))^MAX(0,C4108-1)+Paths!$M$379*(1+'Operating costs'!$B$53)^MAX(0,C4108-1)),"n.a."))</f>
        <v>0</v>
      </c>
      <c r="I4108" s="16">
        <f>IF(NOT(Paths!$C$379=1),0,IF(Paths!$P$379="Complete",IF(IF(Paths!$E$379=0,C4108=0,AND(C4108&gt;0,Paths!$E$379&gt;(C4108-1)*12,Paths!$E$379&lt;=C4108*12)),Paths!$G$379,0),"n.a."))</f>
        <v>0</v>
      </c>
      <c r="J4108" s="16">
        <f>IF(NOT(Paths!$C$379=1),0,IF(Paths!$P$379="Complete",IF(IF(Paths!$E$379=0,C4108=0,AND(C4108&gt;0,Paths!$E$379&gt;(C4108-1)*12,Paths!$E$379&lt;=C4108*12)),Paths!$H$379,0),"n.a."))</f>
        <v>0</v>
      </c>
      <c r="K4108" s="16">
        <f>IF(NOT(Paths!$C$379=1),0,IF(Paths!$P$379="Complete",IF(IF(Paths!$O$379=0,C4108=0,AND(C4108&gt;0,Paths!$O$379&gt;(C4108-1)*12,Paths!$O$379&lt;=C4108*12)),Paths!$N$379,0),"n.a."))</f>
        <v>0</v>
      </c>
      <c r="L4108" s="16">
        <f>IF(NOT(Paths!$C$379=1),0,IF(Paths!$P$379="Complete",IF(C4108=10,Paths!$I$379,0),"n.a."))</f>
        <v>0</v>
      </c>
      <c r="M4108" s="16">
        <f>IF(NOT(Paths!$C$379=1),0,IF(Paths!$P$379="Complete",IF(AND(Paths!$D$379="EV",Paths!$E$379&lt;120,Paths!$E$379+'Operating costs'!$B$65&gt;Paths!$E$379,Paths!$E$379+'Operating costs'!$B$65&lt;=120,IF(Paths!$E$379+'Operating costs'!$B$65=0,C4108=0,AND(C4108&gt;0,Paths!$E$379+'Operating costs'!$B$65&gt;(C4108-1)*12,Paths!$E$379+'Operating costs'!$B$65&lt;=C4108*12))),'Operating costs'!$B$64,0)+IF(AND('Operating costs'!$B$67&gt;0,'Operating costs'!$B$67&lt;=120,OR(Paths!$D$379="ICE",'Operating costs'!$B$67&lt;=Paths!$E$379),IF('Operating costs'!$B$67=0,C4108=0,AND(C4108&gt;0,'Operating costs'!$B$67&gt;(C4108-1)*12,'Operating costs'!$B$67&lt;=C4108*12))),'Operating costs'!$B$66,0),"n.a."))</f>
        <v>0</v>
      </c>
      <c r="N4108" s="16">
        <f>IF(NOT(Paths!$C$379=1),0,IF(Paths!$P$379="Complete",SUM(G4108:I4108)-J4108-K4108-L4108+M4108+IF(C4108=0,Paths!$F$379,0)+IF(IF(Paths!$E$379=0,C4108=0,AND(C4108&gt;0,Paths!$E$379&gt;(C4108-1)*12,Paths!$E$379&lt;=C4108*12)),VLOOKUP(A4108,'Fleet register'!$A$7:$S$106,16,FALSE),0),"n.a."))</f>
        <v>0</v>
      </c>
      <c r="O4108" s="16">
        <f>IF(NOT(Paths!$C$379=1),0,IF(Paths!$P$379="Complete",N4108-IF(C4108=0,Paths!$F$379,0),"n.a."))</f>
        <v>0</v>
      </c>
      <c r="P4108" s="16">
        <f>IF(NOT(Paths!$C$379=1),0,IF(Paths!$P$379="Complete",O4108+L4108,"n.a."))</f>
        <v>0</v>
      </c>
      <c r="Q4108" s="16">
        <f>IF(NOT(Paths!$C$379=1),0,IF(Paths!$P$379="Complete",N4108*(1+'Operating costs'!$B$54)^-C4108,"n.a."))</f>
        <v>0</v>
      </c>
      <c r="R4108" s="16">
        <f>IF(NOT(Paths!$C$379=1),0,IF(Paths!$P$379="Complete",IF(AND(C4108=0,Paths!$E$379=0),I4108-J4108-K4108+VLOOKUP(A4108,'Fleet register'!$A$7:$S$106,15,FALSE)+VLOOKUP(A4108,'Fleet register'!$A$7:$S$106,16,FALSE),0),"n.a."))</f>
        <v>0</v>
      </c>
      <c r="S4108" s="1">
        <f>IF(NOT(Paths!$C$379=1),0,IF(Paths!$P$379="Complete",IF(C4108=0,0,Paths!$S$379*Paths!$R$379),"n.a."))</f>
        <v>0</v>
      </c>
      <c r="T4108" s="1">
        <f>IF(NOT(Paths!$C$379=1),0,IF(Paths!$P$379="Complete",IF(C4108=0,0,VLOOKUP(A4108,'Fleet register'!$A$7:$S$106,9,FALSE)*Paths!$R$379),"n.a."))</f>
        <v>0</v>
      </c>
    </row>
    <row r="4109" spans="1:20" ht="24" customHeight="1">
      <c r="A4109" s="1" t="str">
        <f>Paths!$A$379</f>
        <v>T094</v>
      </c>
      <c r="B4109" s="1">
        <f>Paths!$B$379</f>
        <v>0</v>
      </c>
      <c r="C4109" s="1">
        <v>10</v>
      </c>
      <c r="D4109" s="1">
        <v>379</v>
      </c>
      <c r="E4109" s="1">
        <f>IF(OR(Paths!$C$379=0,C4109=0),0,MAX(0,MIN(C4109*12,Paths!$E$379)-(C4109-1)*12))</f>
        <v>0</v>
      </c>
      <c r="F4109" s="1">
        <f>IF(OR(Paths!$C$379=0,C4109=0),0,12-E4109)</f>
        <v>0</v>
      </c>
      <c r="G4109" s="16">
        <f>IF(NOT(Paths!$C$379=1),0,IF(Paths!$P$379="Complete",E4109/12*(Paths!$J$379*(1+'Operating costs'!$B$51)^MAX(0,C4109-1)+Paths!$K$379*(1+'Operating costs'!$B$53)^MAX(0,C4109-1)),"n.a."))</f>
        <v>0</v>
      </c>
      <c r="H4109" s="16">
        <f>IF(NOT(Paths!$C$379=1),0,IF(Paths!$P$379="Complete",F4109/12*(Paths!$L$379*(1+IF(Paths!$D$379="EV",'Operating costs'!$B$52,'Operating costs'!$B$51))^MAX(0,C4109-1)+Paths!$M$379*(1+'Operating costs'!$B$53)^MAX(0,C4109-1)),"n.a."))</f>
        <v>0</v>
      </c>
      <c r="I4109" s="16">
        <f>IF(NOT(Paths!$C$379=1),0,IF(Paths!$P$379="Complete",IF(IF(Paths!$E$379=0,C4109=0,AND(C4109&gt;0,Paths!$E$379&gt;(C4109-1)*12,Paths!$E$379&lt;=C4109*12)),Paths!$G$379,0),"n.a."))</f>
        <v>0</v>
      </c>
      <c r="J4109" s="16">
        <f>IF(NOT(Paths!$C$379=1),0,IF(Paths!$P$379="Complete",IF(IF(Paths!$E$379=0,C4109=0,AND(C4109&gt;0,Paths!$E$379&gt;(C4109-1)*12,Paths!$E$379&lt;=C4109*12)),Paths!$H$379,0),"n.a."))</f>
        <v>0</v>
      </c>
      <c r="K4109" s="16">
        <f>IF(NOT(Paths!$C$379=1),0,IF(Paths!$P$379="Complete",IF(IF(Paths!$O$379=0,C4109=0,AND(C4109&gt;0,Paths!$O$379&gt;(C4109-1)*12,Paths!$O$379&lt;=C4109*12)),Paths!$N$379,0),"n.a."))</f>
        <v>0</v>
      </c>
      <c r="L4109" s="16">
        <f>IF(NOT(Paths!$C$379=1),0,IF(Paths!$P$379="Complete",IF(C4109=10,Paths!$I$379,0),"n.a."))</f>
        <v>0</v>
      </c>
      <c r="M4109" s="16">
        <f>IF(NOT(Paths!$C$379=1),0,IF(Paths!$P$379="Complete",IF(AND(Paths!$D$379="EV",Paths!$E$379&lt;120,Paths!$E$379+'Operating costs'!$B$65&gt;Paths!$E$379,Paths!$E$379+'Operating costs'!$B$65&lt;=120,IF(Paths!$E$379+'Operating costs'!$B$65=0,C4109=0,AND(C4109&gt;0,Paths!$E$379+'Operating costs'!$B$65&gt;(C4109-1)*12,Paths!$E$379+'Operating costs'!$B$65&lt;=C4109*12))),'Operating costs'!$B$64,0)+IF(AND('Operating costs'!$B$67&gt;0,'Operating costs'!$B$67&lt;=120,OR(Paths!$D$379="ICE",'Operating costs'!$B$67&lt;=Paths!$E$379),IF('Operating costs'!$B$67=0,C4109=0,AND(C4109&gt;0,'Operating costs'!$B$67&gt;(C4109-1)*12,'Operating costs'!$B$67&lt;=C4109*12))),'Operating costs'!$B$66,0),"n.a."))</f>
        <v>0</v>
      </c>
      <c r="N4109" s="16">
        <f>IF(NOT(Paths!$C$379=1),0,IF(Paths!$P$379="Complete",SUM(G4109:I4109)-J4109-K4109-L4109+M4109+IF(C4109=0,Paths!$F$379,0)+IF(IF(Paths!$E$379=0,C4109=0,AND(C4109&gt;0,Paths!$E$379&gt;(C4109-1)*12,Paths!$E$379&lt;=C4109*12)),VLOOKUP(A4109,'Fleet register'!$A$7:$S$106,16,FALSE),0),"n.a."))</f>
        <v>0</v>
      </c>
      <c r="O4109" s="16">
        <f>IF(NOT(Paths!$C$379=1),0,IF(Paths!$P$379="Complete",N4109-IF(C4109=0,Paths!$F$379,0),"n.a."))</f>
        <v>0</v>
      </c>
      <c r="P4109" s="16">
        <f>IF(NOT(Paths!$C$379=1),0,IF(Paths!$P$379="Complete",O4109+L4109,"n.a."))</f>
        <v>0</v>
      </c>
      <c r="Q4109" s="16">
        <f>IF(NOT(Paths!$C$379=1),0,IF(Paths!$P$379="Complete",N4109*(1+'Operating costs'!$B$54)^-C4109,"n.a."))</f>
        <v>0</v>
      </c>
      <c r="R4109" s="16">
        <f>IF(NOT(Paths!$C$379=1),0,IF(Paths!$P$379="Complete",IF(AND(C4109=0,Paths!$E$379=0),I4109-J4109-K4109+VLOOKUP(A4109,'Fleet register'!$A$7:$S$106,15,FALSE)+VLOOKUP(A4109,'Fleet register'!$A$7:$S$106,16,FALSE),0),"n.a."))</f>
        <v>0</v>
      </c>
      <c r="S4109" s="1">
        <f>IF(NOT(Paths!$C$379=1),0,IF(Paths!$P$379="Complete",IF(C4109=0,0,Paths!$S$379*Paths!$R$379),"n.a."))</f>
        <v>0</v>
      </c>
      <c r="T4109" s="1">
        <f>IF(NOT(Paths!$C$379=1),0,IF(Paths!$P$379="Complete",IF(C4109=0,0,VLOOKUP(A4109,'Fleet register'!$A$7:$S$106,9,FALSE)*Paths!$R$379),"n.a."))</f>
        <v>0</v>
      </c>
    </row>
    <row r="4110" spans="1:20" ht="24" customHeight="1">
      <c r="A4110" s="1" t="str">
        <f>Paths!$A$380</f>
        <v>T094</v>
      </c>
      <c r="B4110" s="1">
        <f>Paths!$B$380</f>
        <v>1</v>
      </c>
      <c r="C4110" s="1">
        <v>0</v>
      </c>
      <c r="D4110" s="1">
        <v>380</v>
      </c>
      <c r="E4110" s="1">
        <f>IF(OR(Paths!$C$380=0,C4110=0),0,MAX(0,MIN(C4110*12,Paths!$E$380)-(C4110-1)*12))</f>
        <v>0</v>
      </c>
      <c r="F4110" s="1">
        <f>IF(OR(Paths!$C$380=0,C4110=0),0,12-E4110)</f>
        <v>0</v>
      </c>
      <c r="G4110" s="16">
        <f>IF(NOT(Paths!$C$380=1),0,IF(Paths!$P$380="Complete",E4110/12*(Paths!$J$380*(1+'Operating costs'!$B$51)^MAX(0,C4110-1)+Paths!$K$380*(1+'Operating costs'!$B$53)^MAX(0,C4110-1)),"n.a."))</f>
        <v>0</v>
      </c>
      <c r="H4110" s="16">
        <f>IF(NOT(Paths!$C$380=1),0,IF(Paths!$P$380="Complete",F4110/12*(Paths!$L$380*(1+IF(Paths!$D$380="EV",'Operating costs'!$B$52,'Operating costs'!$B$51))^MAX(0,C4110-1)+Paths!$M$380*(1+'Operating costs'!$B$53)^MAX(0,C4110-1)),"n.a."))</f>
        <v>0</v>
      </c>
      <c r="I4110" s="16">
        <f>IF(NOT(Paths!$C$380=1),0,IF(Paths!$P$380="Complete",IF(IF(Paths!$E$380=0,C4110=0,AND(C4110&gt;0,Paths!$E$380&gt;(C4110-1)*12,Paths!$E$380&lt;=C4110*12)),Paths!$G$380,0),"n.a."))</f>
        <v>0</v>
      </c>
      <c r="J4110" s="16">
        <f>IF(NOT(Paths!$C$380=1),0,IF(Paths!$P$380="Complete",IF(IF(Paths!$E$380=0,C4110=0,AND(C4110&gt;0,Paths!$E$380&gt;(C4110-1)*12,Paths!$E$380&lt;=C4110*12)),Paths!$H$380,0),"n.a."))</f>
        <v>0</v>
      </c>
      <c r="K4110" s="16">
        <f>IF(NOT(Paths!$C$380=1),0,IF(Paths!$P$380="Complete",IF(IF(Paths!$O$380=0,C4110=0,AND(C4110&gt;0,Paths!$O$380&gt;(C4110-1)*12,Paths!$O$380&lt;=C4110*12)),Paths!$N$380,0),"n.a."))</f>
        <v>0</v>
      </c>
      <c r="L4110" s="16">
        <f>IF(NOT(Paths!$C$380=1),0,IF(Paths!$P$380="Complete",IF(C4110=10,Paths!$I$380,0),"n.a."))</f>
        <v>0</v>
      </c>
      <c r="M4110" s="16">
        <f>IF(NOT(Paths!$C$380=1),0,IF(Paths!$P$380="Complete",IF(AND(Paths!$D$380="EV",Paths!$E$380&lt;120,Paths!$E$380+'Operating costs'!$B$65&gt;Paths!$E$380,Paths!$E$380+'Operating costs'!$B$65&lt;=120,IF(Paths!$E$380+'Operating costs'!$B$65=0,C4110=0,AND(C4110&gt;0,Paths!$E$380+'Operating costs'!$B$65&gt;(C4110-1)*12,Paths!$E$380+'Operating costs'!$B$65&lt;=C4110*12))),'Operating costs'!$B$64,0)+IF(AND('Operating costs'!$B$67&gt;0,'Operating costs'!$B$67&lt;=120,OR(Paths!$D$380="ICE",'Operating costs'!$B$67&lt;=Paths!$E$380),IF('Operating costs'!$B$67=0,C4110=0,AND(C4110&gt;0,'Operating costs'!$B$67&gt;(C4110-1)*12,'Operating costs'!$B$67&lt;=C4110*12))),'Operating costs'!$B$66,0),"n.a."))</f>
        <v>0</v>
      </c>
      <c r="N4110" s="16">
        <f>IF(NOT(Paths!$C$380=1),0,IF(Paths!$P$380="Complete",SUM(G4110:I4110)-J4110-K4110-L4110+M4110+IF(C4110=0,Paths!$F$380,0)+IF(IF(Paths!$E$380=0,C4110=0,AND(C4110&gt;0,Paths!$E$380&gt;(C4110-1)*12,Paths!$E$380&lt;=C4110*12)),VLOOKUP(A4110,'Fleet register'!$A$7:$S$106,16,FALSE),0),"n.a."))</f>
        <v>0</v>
      </c>
      <c r="O4110" s="16">
        <f>IF(NOT(Paths!$C$380=1),0,IF(Paths!$P$380="Complete",N4110-IF(C4110=0,Paths!$F$380,0),"n.a."))</f>
        <v>0</v>
      </c>
      <c r="P4110" s="16">
        <f>IF(NOT(Paths!$C$380=1),0,IF(Paths!$P$380="Complete",O4110+L4110,"n.a."))</f>
        <v>0</v>
      </c>
      <c r="Q4110" s="16">
        <f>IF(NOT(Paths!$C$380=1),0,IF(Paths!$P$380="Complete",N4110*(1+'Operating costs'!$B$54)^-C4110,"n.a."))</f>
        <v>0</v>
      </c>
      <c r="R4110" s="16">
        <f>IF(NOT(Paths!$C$380=1),0,IF(Paths!$P$380="Complete",IF(AND(C4110=0,Paths!$E$380=0),I4110-J4110-K4110+VLOOKUP(A4110,'Fleet register'!$A$7:$S$106,15,FALSE)+VLOOKUP(A4110,'Fleet register'!$A$7:$S$106,16,FALSE),0),"n.a."))</f>
        <v>0</v>
      </c>
      <c r="S4110" s="1">
        <f>IF(NOT(Paths!$C$380=1),0,IF(Paths!$P$380="Complete",IF(C4110=0,0,Paths!$S$380*Paths!$R$380),"n.a."))</f>
        <v>0</v>
      </c>
      <c r="T4110" s="1">
        <f>IF(NOT(Paths!$C$380=1),0,IF(Paths!$P$380="Complete",IF(C4110=0,0,VLOOKUP(A4110,'Fleet register'!$A$7:$S$106,9,FALSE)*Paths!$R$380),"n.a."))</f>
        <v>0</v>
      </c>
    </row>
    <row r="4111" spans="1:20" ht="24" customHeight="1">
      <c r="A4111" s="1" t="str">
        <f>Paths!$A$380</f>
        <v>T094</v>
      </c>
      <c r="B4111" s="1">
        <f>Paths!$B$380</f>
        <v>1</v>
      </c>
      <c r="C4111" s="1">
        <v>1</v>
      </c>
      <c r="D4111" s="1">
        <v>380</v>
      </c>
      <c r="E4111" s="1">
        <f>IF(OR(Paths!$C$380=0,C4111=0),0,MAX(0,MIN(C4111*12,Paths!$E$380)-(C4111-1)*12))</f>
        <v>0</v>
      </c>
      <c r="F4111" s="1">
        <f>IF(OR(Paths!$C$380=0,C4111=0),0,12-E4111)</f>
        <v>0</v>
      </c>
      <c r="G4111" s="16">
        <f>IF(NOT(Paths!$C$380=1),0,IF(Paths!$P$380="Complete",E4111/12*(Paths!$J$380*(1+'Operating costs'!$B$51)^MAX(0,C4111-1)+Paths!$K$380*(1+'Operating costs'!$B$53)^MAX(0,C4111-1)),"n.a."))</f>
        <v>0</v>
      </c>
      <c r="H4111" s="16">
        <f>IF(NOT(Paths!$C$380=1),0,IF(Paths!$P$380="Complete",F4111/12*(Paths!$L$380*(1+IF(Paths!$D$380="EV",'Operating costs'!$B$52,'Operating costs'!$B$51))^MAX(0,C4111-1)+Paths!$M$380*(1+'Operating costs'!$B$53)^MAX(0,C4111-1)),"n.a."))</f>
        <v>0</v>
      </c>
      <c r="I4111" s="16">
        <f>IF(NOT(Paths!$C$380=1),0,IF(Paths!$P$380="Complete",IF(IF(Paths!$E$380=0,C4111=0,AND(C4111&gt;0,Paths!$E$380&gt;(C4111-1)*12,Paths!$E$380&lt;=C4111*12)),Paths!$G$380,0),"n.a."))</f>
        <v>0</v>
      </c>
      <c r="J4111" s="16">
        <f>IF(NOT(Paths!$C$380=1),0,IF(Paths!$P$380="Complete",IF(IF(Paths!$E$380=0,C4111=0,AND(C4111&gt;0,Paths!$E$380&gt;(C4111-1)*12,Paths!$E$380&lt;=C4111*12)),Paths!$H$380,0),"n.a."))</f>
        <v>0</v>
      </c>
      <c r="K4111" s="16">
        <f>IF(NOT(Paths!$C$380=1),0,IF(Paths!$P$380="Complete",IF(IF(Paths!$O$380=0,C4111=0,AND(C4111&gt;0,Paths!$O$380&gt;(C4111-1)*12,Paths!$O$380&lt;=C4111*12)),Paths!$N$380,0),"n.a."))</f>
        <v>0</v>
      </c>
      <c r="L4111" s="16">
        <f>IF(NOT(Paths!$C$380=1),0,IF(Paths!$P$380="Complete",IF(C4111=10,Paths!$I$380,0),"n.a."))</f>
        <v>0</v>
      </c>
      <c r="M4111" s="16">
        <f>IF(NOT(Paths!$C$380=1),0,IF(Paths!$P$380="Complete",IF(AND(Paths!$D$380="EV",Paths!$E$380&lt;120,Paths!$E$380+'Operating costs'!$B$65&gt;Paths!$E$380,Paths!$E$380+'Operating costs'!$B$65&lt;=120,IF(Paths!$E$380+'Operating costs'!$B$65=0,C4111=0,AND(C4111&gt;0,Paths!$E$380+'Operating costs'!$B$65&gt;(C4111-1)*12,Paths!$E$380+'Operating costs'!$B$65&lt;=C4111*12))),'Operating costs'!$B$64,0)+IF(AND('Operating costs'!$B$67&gt;0,'Operating costs'!$B$67&lt;=120,OR(Paths!$D$380="ICE",'Operating costs'!$B$67&lt;=Paths!$E$380),IF('Operating costs'!$B$67=0,C4111=0,AND(C4111&gt;0,'Operating costs'!$B$67&gt;(C4111-1)*12,'Operating costs'!$B$67&lt;=C4111*12))),'Operating costs'!$B$66,0),"n.a."))</f>
        <v>0</v>
      </c>
      <c r="N4111" s="16">
        <f>IF(NOT(Paths!$C$380=1),0,IF(Paths!$P$380="Complete",SUM(G4111:I4111)-J4111-K4111-L4111+M4111+IF(C4111=0,Paths!$F$380,0)+IF(IF(Paths!$E$380=0,C4111=0,AND(C4111&gt;0,Paths!$E$380&gt;(C4111-1)*12,Paths!$E$380&lt;=C4111*12)),VLOOKUP(A4111,'Fleet register'!$A$7:$S$106,16,FALSE),0),"n.a."))</f>
        <v>0</v>
      </c>
      <c r="O4111" s="16">
        <f>IF(NOT(Paths!$C$380=1),0,IF(Paths!$P$380="Complete",N4111-IF(C4111=0,Paths!$F$380,0),"n.a."))</f>
        <v>0</v>
      </c>
      <c r="P4111" s="16">
        <f>IF(NOT(Paths!$C$380=1),0,IF(Paths!$P$380="Complete",O4111+L4111,"n.a."))</f>
        <v>0</v>
      </c>
      <c r="Q4111" s="16">
        <f>IF(NOT(Paths!$C$380=1),0,IF(Paths!$P$380="Complete",N4111*(1+'Operating costs'!$B$54)^-C4111,"n.a."))</f>
        <v>0</v>
      </c>
      <c r="R4111" s="16">
        <f>IF(NOT(Paths!$C$380=1),0,IF(Paths!$P$380="Complete",IF(AND(C4111=0,Paths!$E$380=0),I4111-J4111-K4111+VLOOKUP(A4111,'Fleet register'!$A$7:$S$106,15,FALSE)+VLOOKUP(A4111,'Fleet register'!$A$7:$S$106,16,FALSE),0),"n.a."))</f>
        <v>0</v>
      </c>
      <c r="S4111" s="1">
        <f>IF(NOT(Paths!$C$380=1),0,IF(Paths!$P$380="Complete",IF(C4111=0,0,Paths!$S$380*Paths!$R$380),"n.a."))</f>
        <v>0</v>
      </c>
      <c r="T4111" s="1">
        <f>IF(NOT(Paths!$C$380=1),0,IF(Paths!$P$380="Complete",IF(C4111=0,0,VLOOKUP(A4111,'Fleet register'!$A$7:$S$106,9,FALSE)*Paths!$R$380),"n.a."))</f>
        <v>0</v>
      </c>
    </row>
    <row r="4112" spans="1:20" ht="24" customHeight="1">
      <c r="A4112" s="1" t="str">
        <f>Paths!$A$380</f>
        <v>T094</v>
      </c>
      <c r="B4112" s="1">
        <f>Paths!$B$380</f>
        <v>1</v>
      </c>
      <c r="C4112" s="1">
        <v>2</v>
      </c>
      <c r="D4112" s="1">
        <v>380</v>
      </c>
      <c r="E4112" s="1">
        <f>IF(OR(Paths!$C$380=0,C4112=0),0,MAX(0,MIN(C4112*12,Paths!$E$380)-(C4112-1)*12))</f>
        <v>0</v>
      </c>
      <c r="F4112" s="1">
        <f>IF(OR(Paths!$C$380=0,C4112=0),0,12-E4112)</f>
        <v>0</v>
      </c>
      <c r="G4112" s="16">
        <f>IF(NOT(Paths!$C$380=1),0,IF(Paths!$P$380="Complete",E4112/12*(Paths!$J$380*(1+'Operating costs'!$B$51)^MAX(0,C4112-1)+Paths!$K$380*(1+'Operating costs'!$B$53)^MAX(0,C4112-1)),"n.a."))</f>
        <v>0</v>
      </c>
      <c r="H4112" s="16">
        <f>IF(NOT(Paths!$C$380=1),0,IF(Paths!$P$380="Complete",F4112/12*(Paths!$L$380*(1+IF(Paths!$D$380="EV",'Operating costs'!$B$52,'Operating costs'!$B$51))^MAX(0,C4112-1)+Paths!$M$380*(1+'Operating costs'!$B$53)^MAX(0,C4112-1)),"n.a."))</f>
        <v>0</v>
      </c>
      <c r="I4112" s="16">
        <f>IF(NOT(Paths!$C$380=1),0,IF(Paths!$P$380="Complete",IF(IF(Paths!$E$380=0,C4112=0,AND(C4112&gt;0,Paths!$E$380&gt;(C4112-1)*12,Paths!$E$380&lt;=C4112*12)),Paths!$G$380,0),"n.a."))</f>
        <v>0</v>
      </c>
      <c r="J4112" s="16">
        <f>IF(NOT(Paths!$C$380=1),0,IF(Paths!$P$380="Complete",IF(IF(Paths!$E$380=0,C4112=0,AND(C4112&gt;0,Paths!$E$380&gt;(C4112-1)*12,Paths!$E$380&lt;=C4112*12)),Paths!$H$380,0),"n.a."))</f>
        <v>0</v>
      </c>
      <c r="K4112" s="16">
        <f>IF(NOT(Paths!$C$380=1),0,IF(Paths!$P$380="Complete",IF(IF(Paths!$O$380=0,C4112=0,AND(C4112&gt;0,Paths!$O$380&gt;(C4112-1)*12,Paths!$O$380&lt;=C4112*12)),Paths!$N$380,0),"n.a."))</f>
        <v>0</v>
      </c>
      <c r="L4112" s="16">
        <f>IF(NOT(Paths!$C$380=1),0,IF(Paths!$P$380="Complete",IF(C4112=10,Paths!$I$380,0),"n.a."))</f>
        <v>0</v>
      </c>
      <c r="M4112" s="16">
        <f>IF(NOT(Paths!$C$380=1),0,IF(Paths!$P$380="Complete",IF(AND(Paths!$D$380="EV",Paths!$E$380&lt;120,Paths!$E$380+'Operating costs'!$B$65&gt;Paths!$E$380,Paths!$E$380+'Operating costs'!$B$65&lt;=120,IF(Paths!$E$380+'Operating costs'!$B$65=0,C4112=0,AND(C4112&gt;0,Paths!$E$380+'Operating costs'!$B$65&gt;(C4112-1)*12,Paths!$E$380+'Operating costs'!$B$65&lt;=C4112*12))),'Operating costs'!$B$64,0)+IF(AND('Operating costs'!$B$67&gt;0,'Operating costs'!$B$67&lt;=120,OR(Paths!$D$380="ICE",'Operating costs'!$B$67&lt;=Paths!$E$380),IF('Operating costs'!$B$67=0,C4112=0,AND(C4112&gt;0,'Operating costs'!$B$67&gt;(C4112-1)*12,'Operating costs'!$B$67&lt;=C4112*12))),'Operating costs'!$B$66,0),"n.a."))</f>
        <v>0</v>
      </c>
      <c r="N4112" s="16">
        <f>IF(NOT(Paths!$C$380=1),0,IF(Paths!$P$380="Complete",SUM(G4112:I4112)-J4112-K4112-L4112+M4112+IF(C4112=0,Paths!$F$380,0)+IF(IF(Paths!$E$380=0,C4112=0,AND(C4112&gt;0,Paths!$E$380&gt;(C4112-1)*12,Paths!$E$380&lt;=C4112*12)),VLOOKUP(A4112,'Fleet register'!$A$7:$S$106,16,FALSE),0),"n.a."))</f>
        <v>0</v>
      </c>
      <c r="O4112" s="16">
        <f>IF(NOT(Paths!$C$380=1),0,IF(Paths!$P$380="Complete",N4112-IF(C4112=0,Paths!$F$380,0),"n.a."))</f>
        <v>0</v>
      </c>
      <c r="P4112" s="16">
        <f>IF(NOT(Paths!$C$380=1),0,IF(Paths!$P$380="Complete",O4112+L4112,"n.a."))</f>
        <v>0</v>
      </c>
      <c r="Q4112" s="16">
        <f>IF(NOT(Paths!$C$380=1),0,IF(Paths!$P$380="Complete",N4112*(1+'Operating costs'!$B$54)^-C4112,"n.a."))</f>
        <v>0</v>
      </c>
      <c r="R4112" s="16">
        <f>IF(NOT(Paths!$C$380=1),0,IF(Paths!$P$380="Complete",IF(AND(C4112=0,Paths!$E$380=0),I4112-J4112-K4112+VLOOKUP(A4112,'Fleet register'!$A$7:$S$106,15,FALSE)+VLOOKUP(A4112,'Fleet register'!$A$7:$S$106,16,FALSE),0),"n.a."))</f>
        <v>0</v>
      </c>
      <c r="S4112" s="1">
        <f>IF(NOT(Paths!$C$380=1),0,IF(Paths!$P$380="Complete",IF(C4112=0,0,Paths!$S$380*Paths!$R$380),"n.a."))</f>
        <v>0</v>
      </c>
      <c r="T4112" s="1">
        <f>IF(NOT(Paths!$C$380=1),0,IF(Paths!$P$380="Complete",IF(C4112=0,0,VLOOKUP(A4112,'Fleet register'!$A$7:$S$106,9,FALSE)*Paths!$R$380),"n.a."))</f>
        <v>0</v>
      </c>
    </row>
    <row r="4113" spans="1:20" ht="24" customHeight="1">
      <c r="A4113" s="1" t="str">
        <f>Paths!$A$380</f>
        <v>T094</v>
      </c>
      <c r="B4113" s="1">
        <f>Paths!$B$380</f>
        <v>1</v>
      </c>
      <c r="C4113" s="1">
        <v>3</v>
      </c>
      <c r="D4113" s="1">
        <v>380</v>
      </c>
      <c r="E4113" s="1">
        <f>IF(OR(Paths!$C$380=0,C4113=0),0,MAX(0,MIN(C4113*12,Paths!$E$380)-(C4113-1)*12))</f>
        <v>0</v>
      </c>
      <c r="F4113" s="1">
        <f>IF(OR(Paths!$C$380=0,C4113=0),0,12-E4113)</f>
        <v>0</v>
      </c>
      <c r="G4113" s="16">
        <f>IF(NOT(Paths!$C$380=1),0,IF(Paths!$P$380="Complete",E4113/12*(Paths!$J$380*(1+'Operating costs'!$B$51)^MAX(0,C4113-1)+Paths!$K$380*(1+'Operating costs'!$B$53)^MAX(0,C4113-1)),"n.a."))</f>
        <v>0</v>
      </c>
      <c r="H4113" s="16">
        <f>IF(NOT(Paths!$C$380=1),0,IF(Paths!$P$380="Complete",F4113/12*(Paths!$L$380*(1+IF(Paths!$D$380="EV",'Operating costs'!$B$52,'Operating costs'!$B$51))^MAX(0,C4113-1)+Paths!$M$380*(1+'Operating costs'!$B$53)^MAX(0,C4113-1)),"n.a."))</f>
        <v>0</v>
      </c>
      <c r="I4113" s="16">
        <f>IF(NOT(Paths!$C$380=1),0,IF(Paths!$P$380="Complete",IF(IF(Paths!$E$380=0,C4113=0,AND(C4113&gt;0,Paths!$E$380&gt;(C4113-1)*12,Paths!$E$380&lt;=C4113*12)),Paths!$G$380,0),"n.a."))</f>
        <v>0</v>
      </c>
      <c r="J4113" s="16">
        <f>IF(NOT(Paths!$C$380=1),0,IF(Paths!$P$380="Complete",IF(IF(Paths!$E$380=0,C4113=0,AND(C4113&gt;0,Paths!$E$380&gt;(C4113-1)*12,Paths!$E$380&lt;=C4113*12)),Paths!$H$380,0),"n.a."))</f>
        <v>0</v>
      </c>
      <c r="K4113" s="16">
        <f>IF(NOT(Paths!$C$380=1),0,IF(Paths!$P$380="Complete",IF(IF(Paths!$O$380=0,C4113=0,AND(C4113&gt;0,Paths!$O$380&gt;(C4113-1)*12,Paths!$O$380&lt;=C4113*12)),Paths!$N$380,0),"n.a."))</f>
        <v>0</v>
      </c>
      <c r="L4113" s="16">
        <f>IF(NOT(Paths!$C$380=1),0,IF(Paths!$P$380="Complete",IF(C4113=10,Paths!$I$380,0),"n.a."))</f>
        <v>0</v>
      </c>
      <c r="M4113" s="16">
        <f>IF(NOT(Paths!$C$380=1),0,IF(Paths!$P$380="Complete",IF(AND(Paths!$D$380="EV",Paths!$E$380&lt;120,Paths!$E$380+'Operating costs'!$B$65&gt;Paths!$E$380,Paths!$E$380+'Operating costs'!$B$65&lt;=120,IF(Paths!$E$380+'Operating costs'!$B$65=0,C4113=0,AND(C4113&gt;0,Paths!$E$380+'Operating costs'!$B$65&gt;(C4113-1)*12,Paths!$E$380+'Operating costs'!$B$65&lt;=C4113*12))),'Operating costs'!$B$64,0)+IF(AND('Operating costs'!$B$67&gt;0,'Operating costs'!$B$67&lt;=120,OR(Paths!$D$380="ICE",'Operating costs'!$B$67&lt;=Paths!$E$380),IF('Operating costs'!$B$67=0,C4113=0,AND(C4113&gt;0,'Operating costs'!$B$67&gt;(C4113-1)*12,'Operating costs'!$B$67&lt;=C4113*12))),'Operating costs'!$B$66,0),"n.a."))</f>
        <v>0</v>
      </c>
      <c r="N4113" s="16">
        <f>IF(NOT(Paths!$C$380=1),0,IF(Paths!$P$380="Complete",SUM(G4113:I4113)-J4113-K4113-L4113+M4113+IF(C4113=0,Paths!$F$380,0)+IF(IF(Paths!$E$380=0,C4113=0,AND(C4113&gt;0,Paths!$E$380&gt;(C4113-1)*12,Paths!$E$380&lt;=C4113*12)),VLOOKUP(A4113,'Fleet register'!$A$7:$S$106,16,FALSE),0),"n.a."))</f>
        <v>0</v>
      </c>
      <c r="O4113" s="16">
        <f>IF(NOT(Paths!$C$380=1),0,IF(Paths!$P$380="Complete",N4113-IF(C4113=0,Paths!$F$380,0),"n.a."))</f>
        <v>0</v>
      </c>
      <c r="P4113" s="16">
        <f>IF(NOT(Paths!$C$380=1),0,IF(Paths!$P$380="Complete",O4113+L4113,"n.a."))</f>
        <v>0</v>
      </c>
      <c r="Q4113" s="16">
        <f>IF(NOT(Paths!$C$380=1),0,IF(Paths!$P$380="Complete",N4113*(1+'Operating costs'!$B$54)^-C4113,"n.a."))</f>
        <v>0</v>
      </c>
      <c r="R4113" s="16">
        <f>IF(NOT(Paths!$C$380=1),0,IF(Paths!$P$380="Complete",IF(AND(C4113=0,Paths!$E$380=0),I4113-J4113-K4113+VLOOKUP(A4113,'Fleet register'!$A$7:$S$106,15,FALSE)+VLOOKUP(A4113,'Fleet register'!$A$7:$S$106,16,FALSE),0),"n.a."))</f>
        <v>0</v>
      </c>
      <c r="S4113" s="1">
        <f>IF(NOT(Paths!$C$380=1),0,IF(Paths!$P$380="Complete",IF(C4113=0,0,Paths!$S$380*Paths!$R$380),"n.a."))</f>
        <v>0</v>
      </c>
      <c r="T4113" s="1">
        <f>IF(NOT(Paths!$C$380=1),0,IF(Paths!$P$380="Complete",IF(C4113=0,0,VLOOKUP(A4113,'Fleet register'!$A$7:$S$106,9,FALSE)*Paths!$R$380),"n.a."))</f>
        <v>0</v>
      </c>
    </row>
    <row r="4114" spans="1:20" ht="24" customHeight="1">
      <c r="A4114" s="1" t="str">
        <f>Paths!$A$380</f>
        <v>T094</v>
      </c>
      <c r="B4114" s="1">
        <f>Paths!$B$380</f>
        <v>1</v>
      </c>
      <c r="C4114" s="1">
        <v>4</v>
      </c>
      <c r="D4114" s="1">
        <v>380</v>
      </c>
      <c r="E4114" s="1">
        <f>IF(OR(Paths!$C$380=0,C4114=0),0,MAX(0,MIN(C4114*12,Paths!$E$380)-(C4114-1)*12))</f>
        <v>0</v>
      </c>
      <c r="F4114" s="1">
        <f>IF(OR(Paths!$C$380=0,C4114=0),0,12-E4114)</f>
        <v>0</v>
      </c>
      <c r="G4114" s="16">
        <f>IF(NOT(Paths!$C$380=1),0,IF(Paths!$P$380="Complete",E4114/12*(Paths!$J$380*(1+'Operating costs'!$B$51)^MAX(0,C4114-1)+Paths!$K$380*(1+'Operating costs'!$B$53)^MAX(0,C4114-1)),"n.a."))</f>
        <v>0</v>
      </c>
      <c r="H4114" s="16">
        <f>IF(NOT(Paths!$C$380=1),0,IF(Paths!$P$380="Complete",F4114/12*(Paths!$L$380*(1+IF(Paths!$D$380="EV",'Operating costs'!$B$52,'Operating costs'!$B$51))^MAX(0,C4114-1)+Paths!$M$380*(1+'Operating costs'!$B$53)^MAX(0,C4114-1)),"n.a."))</f>
        <v>0</v>
      </c>
      <c r="I4114" s="16">
        <f>IF(NOT(Paths!$C$380=1),0,IF(Paths!$P$380="Complete",IF(IF(Paths!$E$380=0,C4114=0,AND(C4114&gt;0,Paths!$E$380&gt;(C4114-1)*12,Paths!$E$380&lt;=C4114*12)),Paths!$G$380,0),"n.a."))</f>
        <v>0</v>
      </c>
      <c r="J4114" s="16">
        <f>IF(NOT(Paths!$C$380=1),0,IF(Paths!$P$380="Complete",IF(IF(Paths!$E$380=0,C4114=0,AND(C4114&gt;0,Paths!$E$380&gt;(C4114-1)*12,Paths!$E$380&lt;=C4114*12)),Paths!$H$380,0),"n.a."))</f>
        <v>0</v>
      </c>
      <c r="K4114" s="16">
        <f>IF(NOT(Paths!$C$380=1),0,IF(Paths!$P$380="Complete",IF(IF(Paths!$O$380=0,C4114=0,AND(C4114&gt;0,Paths!$O$380&gt;(C4114-1)*12,Paths!$O$380&lt;=C4114*12)),Paths!$N$380,0),"n.a."))</f>
        <v>0</v>
      </c>
      <c r="L4114" s="16">
        <f>IF(NOT(Paths!$C$380=1),0,IF(Paths!$P$380="Complete",IF(C4114=10,Paths!$I$380,0),"n.a."))</f>
        <v>0</v>
      </c>
      <c r="M4114" s="16">
        <f>IF(NOT(Paths!$C$380=1),0,IF(Paths!$P$380="Complete",IF(AND(Paths!$D$380="EV",Paths!$E$380&lt;120,Paths!$E$380+'Operating costs'!$B$65&gt;Paths!$E$380,Paths!$E$380+'Operating costs'!$B$65&lt;=120,IF(Paths!$E$380+'Operating costs'!$B$65=0,C4114=0,AND(C4114&gt;0,Paths!$E$380+'Operating costs'!$B$65&gt;(C4114-1)*12,Paths!$E$380+'Operating costs'!$B$65&lt;=C4114*12))),'Operating costs'!$B$64,0)+IF(AND('Operating costs'!$B$67&gt;0,'Operating costs'!$B$67&lt;=120,OR(Paths!$D$380="ICE",'Operating costs'!$B$67&lt;=Paths!$E$380),IF('Operating costs'!$B$67=0,C4114=0,AND(C4114&gt;0,'Operating costs'!$B$67&gt;(C4114-1)*12,'Operating costs'!$B$67&lt;=C4114*12))),'Operating costs'!$B$66,0),"n.a."))</f>
        <v>0</v>
      </c>
      <c r="N4114" s="16">
        <f>IF(NOT(Paths!$C$380=1),0,IF(Paths!$P$380="Complete",SUM(G4114:I4114)-J4114-K4114-L4114+M4114+IF(C4114=0,Paths!$F$380,0)+IF(IF(Paths!$E$380=0,C4114=0,AND(C4114&gt;0,Paths!$E$380&gt;(C4114-1)*12,Paths!$E$380&lt;=C4114*12)),VLOOKUP(A4114,'Fleet register'!$A$7:$S$106,16,FALSE),0),"n.a."))</f>
        <v>0</v>
      </c>
      <c r="O4114" s="16">
        <f>IF(NOT(Paths!$C$380=1),0,IF(Paths!$P$380="Complete",N4114-IF(C4114=0,Paths!$F$380,0),"n.a."))</f>
        <v>0</v>
      </c>
      <c r="P4114" s="16">
        <f>IF(NOT(Paths!$C$380=1),0,IF(Paths!$P$380="Complete",O4114+L4114,"n.a."))</f>
        <v>0</v>
      </c>
      <c r="Q4114" s="16">
        <f>IF(NOT(Paths!$C$380=1),0,IF(Paths!$P$380="Complete",N4114*(1+'Operating costs'!$B$54)^-C4114,"n.a."))</f>
        <v>0</v>
      </c>
      <c r="R4114" s="16">
        <f>IF(NOT(Paths!$C$380=1),0,IF(Paths!$P$380="Complete",IF(AND(C4114=0,Paths!$E$380=0),I4114-J4114-K4114+VLOOKUP(A4114,'Fleet register'!$A$7:$S$106,15,FALSE)+VLOOKUP(A4114,'Fleet register'!$A$7:$S$106,16,FALSE),0),"n.a."))</f>
        <v>0</v>
      </c>
      <c r="S4114" s="1">
        <f>IF(NOT(Paths!$C$380=1),0,IF(Paths!$P$380="Complete",IF(C4114=0,0,Paths!$S$380*Paths!$R$380),"n.a."))</f>
        <v>0</v>
      </c>
      <c r="T4114" s="1">
        <f>IF(NOT(Paths!$C$380=1),0,IF(Paths!$P$380="Complete",IF(C4114=0,0,VLOOKUP(A4114,'Fleet register'!$A$7:$S$106,9,FALSE)*Paths!$R$380),"n.a."))</f>
        <v>0</v>
      </c>
    </row>
    <row r="4115" spans="1:20" ht="24" customHeight="1">
      <c r="A4115" s="1" t="str">
        <f>Paths!$A$380</f>
        <v>T094</v>
      </c>
      <c r="B4115" s="1">
        <f>Paths!$B$380</f>
        <v>1</v>
      </c>
      <c r="C4115" s="1">
        <v>5</v>
      </c>
      <c r="D4115" s="1">
        <v>380</v>
      </c>
      <c r="E4115" s="1">
        <f>IF(OR(Paths!$C$380=0,C4115=0),0,MAX(0,MIN(C4115*12,Paths!$E$380)-(C4115-1)*12))</f>
        <v>0</v>
      </c>
      <c r="F4115" s="1">
        <f>IF(OR(Paths!$C$380=0,C4115=0),0,12-E4115)</f>
        <v>0</v>
      </c>
      <c r="G4115" s="16">
        <f>IF(NOT(Paths!$C$380=1),0,IF(Paths!$P$380="Complete",E4115/12*(Paths!$J$380*(1+'Operating costs'!$B$51)^MAX(0,C4115-1)+Paths!$K$380*(1+'Operating costs'!$B$53)^MAX(0,C4115-1)),"n.a."))</f>
        <v>0</v>
      </c>
      <c r="H4115" s="16">
        <f>IF(NOT(Paths!$C$380=1),0,IF(Paths!$P$380="Complete",F4115/12*(Paths!$L$380*(1+IF(Paths!$D$380="EV",'Operating costs'!$B$52,'Operating costs'!$B$51))^MAX(0,C4115-1)+Paths!$M$380*(1+'Operating costs'!$B$53)^MAX(0,C4115-1)),"n.a."))</f>
        <v>0</v>
      </c>
      <c r="I4115" s="16">
        <f>IF(NOT(Paths!$C$380=1),0,IF(Paths!$P$380="Complete",IF(IF(Paths!$E$380=0,C4115=0,AND(C4115&gt;0,Paths!$E$380&gt;(C4115-1)*12,Paths!$E$380&lt;=C4115*12)),Paths!$G$380,0),"n.a."))</f>
        <v>0</v>
      </c>
      <c r="J4115" s="16">
        <f>IF(NOT(Paths!$C$380=1),0,IF(Paths!$P$380="Complete",IF(IF(Paths!$E$380=0,C4115=0,AND(C4115&gt;0,Paths!$E$380&gt;(C4115-1)*12,Paths!$E$380&lt;=C4115*12)),Paths!$H$380,0),"n.a."))</f>
        <v>0</v>
      </c>
      <c r="K4115" s="16">
        <f>IF(NOT(Paths!$C$380=1),0,IF(Paths!$P$380="Complete",IF(IF(Paths!$O$380=0,C4115=0,AND(C4115&gt;0,Paths!$O$380&gt;(C4115-1)*12,Paths!$O$380&lt;=C4115*12)),Paths!$N$380,0),"n.a."))</f>
        <v>0</v>
      </c>
      <c r="L4115" s="16">
        <f>IF(NOT(Paths!$C$380=1),0,IF(Paths!$P$380="Complete",IF(C4115=10,Paths!$I$380,0),"n.a."))</f>
        <v>0</v>
      </c>
      <c r="M4115" s="16">
        <f>IF(NOT(Paths!$C$380=1),0,IF(Paths!$P$380="Complete",IF(AND(Paths!$D$380="EV",Paths!$E$380&lt;120,Paths!$E$380+'Operating costs'!$B$65&gt;Paths!$E$380,Paths!$E$380+'Operating costs'!$B$65&lt;=120,IF(Paths!$E$380+'Operating costs'!$B$65=0,C4115=0,AND(C4115&gt;0,Paths!$E$380+'Operating costs'!$B$65&gt;(C4115-1)*12,Paths!$E$380+'Operating costs'!$B$65&lt;=C4115*12))),'Operating costs'!$B$64,0)+IF(AND('Operating costs'!$B$67&gt;0,'Operating costs'!$B$67&lt;=120,OR(Paths!$D$380="ICE",'Operating costs'!$B$67&lt;=Paths!$E$380),IF('Operating costs'!$B$67=0,C4115=0,AND(C4115&gt;0,'Operating costs'!$B$67&gt;(C4115-1)*12,'Operating costs'!$B$67&lt;=C4115*12))),'Operating costs'!$B$66,0),"n.a."))</f>
        <v>0</v>
      </c>
      <c r="N4115" s="16">
        <f>IF(NOT(Paths!$C$380=1),0,IF(Paths!$P$380="Complete",SUM(G4115:I4115)-J4115-K4115-L4115+M4115+IF(C4115=0,Paths!$F$380,0)+IF(IF(Paths!$E$380=0,C4115=0,AND(C4115&gt;0,Paths!$E$380&gt;(C4115-1)*12,Paths!$E$380&lt;=C4115*12)),VLOOKUP(A4115,'Fleet register'!$A$7:$S$106,16,FALSE),0),"n.a."))</f>
        <v>0</v>
      </c>
      <c r="O4115" s="16">
        <f>IF(NOT(Paths!$C$380=1),0,IF(Paths!$P$380="Complete",N4115-IF(C4115=0,Paths!$F$380,0),"n.a."))</f>
        <v>0</v>
      </c>
      <c r="P4115" s="16">
        <f>IF(NOT(Paths!$C$380=1),0,IF(Paths!$P$380="Complete",O4115+L4115,"n.a."))</f>
        <v>0</v>
      </c>
      <c r="Q4115" s="16">
        <f>IF(NOT(Paths!$C$380=1),0,IF(Paths!$P$380="Complete",N4115*(1+'Operating costs'!$B$54)^-C4115,"n.a."))</f>
        <v>0</v>
      </c>
      <c r="R4115" s="16">
        <f>IF(NOT(Paths!$C$380=1),0,IF(Paths!$P$380="Complete",IF(AND(C4115=0,Paths!$E$380=0),I4115-J4115-K4115+VLOOKUP(A4115,'Fleet register'!$A$7:$S$106,15,FALSE)+VLOOKUP(A4115,'Fleet register'!$A$7:$S$106,16,FALSE),0),"n.a."))</f>
        <v>0</v>
      </c>
      <c r="S4115" s="1">
        <f>IF(NOT(Paths!$C$380=1),0,IF(Paths!$P$380="Complete",IF(C4115=0,0,Paths!$S$380*Paths!$R$380),"n.a."))</f>
        <v>0</v>
      </c>
      <c r="T4115" s="1">
        <f>IF(NOT(Paths!$C$380=1),0,IF(Paths!$P$380="Complete",IF(C4115=0,0,VLOOKUP(A4115,'Fleet register'!$A$7:$S$106,9,FALSE)*Paths!$R$380),"n.a."))</f>
        <v>0</v>
      </c>
    </row>
    <row r="4116" spans="1:20" ht="24" customHeight="1">
      <c r="A4116" s="1" t="str">
        <f>Paths!$A$380</f>
        <v>T094</v>
      </c>
      <c r="B4116" s="1">
        <f>Paths!$B$380</f>
        <v>1</v>
      </c>
      <c r="C4116" s="1">
        <v>6</v>
      </c>
      <c r="D4116" s="1">
        <v>380</v>
      </c>
      <c r="E4116" s="1">
        <f>IF(OR(Paths!$C$380=0,C4116=0),0,MAX(0,MIN(C4116*12,Paths!$E$380)-(C4116-1)*12))</f>
        <v>0</v>
      </c>
      <c r="F4116" s="1">
        <f>IF(OR(Paths!$C$380=0,C4116=0),0,12-E4116)</f>
        <v>0</v>
      </c>
      <c r="G4116" s="16">
        <f>IF(NOT(Paths!$C$380=1),0,IF(Paths!$P$380="Complete",E4116/12*(Paths!$J$380*(1+'Operating costs'!$B$51)^MAX(0,C4116-1)+Paths!$K$380*(1+'Operating costs'!$B$53)^MAX(0,C4116-1)),"n.a."))</f>
        <v>0</v>
      </c>
      <c r="H4116" s="16">
        <f>IF(NOT(Paths!$C$380=1),0,IF(Paths!$P$380="Complete",F4116/12*(Paths!$L$380*(1+IF(Paths!$D$380="EV",'Operating costs'!$B$52,'Operating costs'!$B$51))^MAX(0,C4116-1)+Paths!$M$380*(1+'Operating costs'!$B$53)^MAX(0,C4116-1)),"n.a."))</f>
        <v>0</v>
      </c>
      <c r="I4116" s="16">
        <f>IF(NOT(Paths!$C$380=1),0,IF(Paths!$P$380="Complete",IF(IF(Paths!$E$380=0,C4116=0,AND(C4116&gt;0,Paths!$E$380&gt;(C4116-1)*12,Paths!$E$380&lt;=C4116*12)),Paths!$G$380,0),"n.a."))</f>
        <v>0</v>
      </c>
      <c r="J4116" s="16">
        <f>IF(NOT(Paths!$C$380=1),0,IF(Paths!$P$380="Complete",IF(IF(Paths!$E$380=0,C4116=0,AND(C4116&gt;0,Paths!$E$380&gt;(C4116-1)*12,Paths!$E$380&lt;=C4116*12)),Paths!$H$380,0),"n.a."))</f>
        <v>0</v>
      </c>
      <c r="K4116" s="16">
        <f>IF(NOT(Paths!$C$380=1),0,IF(Paths!$P$380="Complete",IF(IF(Paths!$O$380=0,C4116=0,AND(C4116&gt;0,Paths!$O$380&gt;(C4116-1)*12,Paths!$O$380&lt;=C4116*12)),Paths!$N$380,0),"n.a."))</f>
        <v>0</v>
      </c>
      <c r="L4116" s="16">
        <f>IF(NOT(Paths!$C$380=1),0,IF(Paths!$P$380="Complete",IF(C4116=10,Paths!$I$380,0),"n.a."))</f>
        <v>0</v>
      </c>
      <c r="M4116" s="16">
        <f>IF(NOT(Paths!$C$380=1),0,IF(Paths!$P$380="Complete",IF(AND(Paths!$D$380="EV",Paths!$E$380&lt;120,Paths!$E$380+'Operating costs'!$B$65&gt;Paths!$E$380,Paths!$E$380+'Operating costs'!$B$65&lt;=120,IF(Paths!$E$380+'Operating costs'!$B$65=0,C4116=0,AND(C4116&gt;0,Paths!$E$380+'Operating costs'!$B$65&gt;(C4116-1)*12,Paths!$E$380+'Operating costs'!$B$65&lt;=C4116*12))),'Operating costs'!$B$64,0)+IF(AND('Operating costs'!$B$67&gt;0,'Operating costs'!$B$67&lt;=120,OR(Paths!$D$380="ICE",'Operating costs'!$B$67&lt;=Paths!$E$380),IF('Operating costs'!$B$67=0,C4116=0,AND(C4116&gt;0,'Operating costs'!$B$67&gt;(C4116-1)*12,'Operating costs'!$B$67&lt;=C4116*12))),'Operating costs'!$B$66,0),"n.a."))</f>
        <v>0</v>
      </c>
      <c r="N4116" s="16">
        <f>IF(NOT(Paths!$C$380=1),0,IF(Paths!$P$380="Complete",SUM(G4116:I4116)-J4116-K4116-L4116+M4116+IF(C4116=0,Paths!$F$380,0)+IF(IF(Paths!$E$380=0,C4116=0,AND(C4116&gt;0,Paths!$E$380&gt;(C4116-1)*12,Paths!$E$380&lt;=C4116*12)),VLOOKUP(A4116,'Fleet register'!$A$7:$S$106,16,FALSE),0),"n.a."))</f>
        <v>0</v>
      </c>
      <c r="O4116" s="16">
        <f>IF(NOT(Paths!$C$380=1),0,IF(Paths!$P$380="Complete",N4116-IF(C4116=0,Paths!$F$380,0),"n.a."))</f>
        <v>0</v>
      </c>
      <c r="P4116" s="16">
        <f>IF(NOT(Paths!$C$380=1),0,IF(Paths!$P$380="Complete",O4116+L4116,"n.a."))</f>
        <v>0</v>
      </c>
      <c r="Q4116" s="16">
        <f>IF(NOT(Paths!$C$380=1),0,IF(Paths!$P$380="Complete",N4116*(1+'Operating costs'!$B$54)^-C4116,"n.a."))</f>
        <v>0</v>
      </c>
      <c r="R4116" s="16">
        <f>IF(NOT(Paths!$C$380=1),0,IF(Paths!$P$380="Complete",IF(AND(C4116=0,Paths!$E$380=0),I4116-J4116-K4116+VLOOKUP(A4116,'Fleet register'!$A$7:$S$106,15,FALSE)+VLOOKUP(A4116,'Fleet register'!$A$7:$S$106,16,FALSE),0),"n.a."))</f>
        <v>0</v>
      </c>
      <c r="S4116" s="1">
        <f>IF(NOT(Paths!$C$380=1),0,IF(Paths!$P$380="Complete",IF(C4116=0,0,Paths!$S$380*Paths!$R$380),"n.a."))</f>
        <v>0</v>
      </c>
      <c r="T4116" s="1">
        <f>IF(NOT(Paths!$C$380=1),0,IF(Paths!$P$380="Complete",IF(C4116=0,0,VLOOKUP(A4116,'Fleet register'!$A$7:$S$106,9,FALSE)*Paths!$R$380),"n.a."))</f>
        <v>0</v>
      </c>
    </row>
    <row r="4117" spans="1:20" ht="24" customHeight="1">
      <c r="A4117" s="1" t="str">
        <f>Paths!$A$380</f>
        <v>T094</v>
      </c>
      <c r="B4117" s="1">
        <f>Paths!$B$380</f>
        <v>1</v>
      </c>
      <c r="C4117" s="1">
        <v>7</v>
      </c>
      <c r="D4117" s="1">
        <v>380</v>
      </c>
      <c r="E4117" s="1">
        <f>IF(OR(Paths!$C$380=0,C4117=0),0,MAX(0,MIN(C4117*12,Paths!$E$380)-(C4117-1)*12))</f>
        <v>0</v>
      </c>
      <c r="F4117" s="1">
        <f>IF(OR(Paths!$C$380=0,C4117=0),0,12-E4117)</f>
        <v>0</v>
      </c>
      <c r="G4117" s="16">
        <f>IF(NOT(Paths!$C$380=1),0,IF(Paths!$P$380="Complete",E4117/12*(Paths!$J$380*(1+'Operating costs'!$B$51)^MAX(0,C4117-1)+Paths!$K$380*(1+'Operating costs'!$B$53)^MAX(0,C4117-1)),"n.a."))</f>
        <v>0</v>
      </c>
      <c r="H4117" s="16">
        <f>IF(NOT(Paths!$C$380=1),0,IF(Paths!$P$380="Complete",F4117/12*(Paths!$L$380*(1+IF(Paths!$D$380="EV",'Operating costs'!$B$52,'Operating costs'!$B$51))^MAX(0,C4117-1)+Paths!$M$380*(1+'Operating costs'!$B$53)^MAX(0,C4117-1)),"n.a."))</f>
        <v>0</v>
      </c>
      <c r="I4117" s="16">
        <f>IF(NOT(Paths!$C$380=1),0,IF(Paths!$P$380="Complete",IF(IF(Paths!$E$380=0,C4117=0,AND(C4117&gt;0,Paths!$E$380&gt;(C4117-1)*12,Paths!$E$380&lt;=C4117*12)),Paths!$G$380,0),"n.a."))</f>
        <v>0</v>
      </c>
      <c r="J4117" s="16">
        <f>IF(NOT(Paths!$C$380=1),0,IF(Paths!$P$380="Complete",IF(IF(Paths!$E$380=0,C4117=0,AND(C4117&gt;0,Paths!$E$380&gt;(C4117-1)*12,Paths!$E$380&lt;=C4117*12)),Paths!$H$380,0),"n.a."))</f>
        <v>0</v>
      </c>
      <c r="K4117" s="16">
        <f>IF(NOT(Paths!$C$380=1),0,IF(Paths!$P$380="Complete",IF(IF(Paths!$O$380=0,C4117=0,AND(C4117&gt;0,Paths!$O$380&gt;(C4117-1)*12,Paths!$O$380&lt;=C4117*12)),Paths!$N$380,0),"n.a."))</f>
        <v>0</v>
      </c>
      <c r="L4117" s="16">
        <f>IF(NOT(Paths!$C$380=1),0,IF(Paths!$P$380="Complete",IF(C4117=10,Paths!$I$380,0),"n.a."))</f>
        <v>0</v>
      </c>
      <c r="M4117" s="16">
        <f>IF(NOT(Paths!$C$380=1),0,IF(Paths!$P$380="Complete",IF(AND(Paths!$D$380="EV",Paths!$E$380&lt;120,Paths!$E$380+'Operating costs'!$B$65&gt;Paths!$E$380,Paths!$E$380+'Operating costs'!$B$65&lt;=120,IF(Paths!$E$380+'Operating costs'!$B$65=0,C4117=0,AND(C4117&gt;0,Paths!$E$380+'Operating costs'!$B$65&gt;(C4117-1)*12,Paths!$E$380+'Operating costs'!$B$65&lt;=C4117*12))),'Operating costs'!$B$64,0)+IF(AND('Operating costs'!$B$67&gt;0,'Operating costs'!$B$67&lt;=120,OR(Paths!$D$380="ICE",'Operating costs'!$B$67&lt;=Paths!$E$380),IF('Operating costs'!$B$67=0,C4117=0,AND(C4117&gt;0,'Operating costs'!$B$67&gt;(C4117-1)*12,'Operating costs'!$B$67&lt;=C4117*12))),'Operating costs'!$B$66,0),"n.a."))</f>
        <v>0</v>
      </c>
      <c r="N4117" s="16">
        <f>IF(NOT(Paths!$C$380=1),0,IF(Paths!$P$380="Complete",SUM(G4117:I4117)-J4117-K4117-L4117+M4117+IF(C4117=0,Paths!$F$380,0)+IF(IF(Paths!$E$380=0,C4117=0,AND(C4117&gt;0,Paths!$E$380&gt;(C4117-1)*12,Paths!$E$380&lt;=C4117*12)),VLOOKUP(A4117,'Fleet register'!$A$7:$S$106,16,FALSE),0),"n.a."))</f>
        <v>0</v>
      </c>
      <c r="O4117" s="16">
        <f>IF(NOT(Paths!$C$380=1),0,IF(Paths!$P$380="Complete",N4117-IF(C4117=0,Paths!$F$380,0),"n.a."))</f>
        <v>0</v>
      </c>
      <c r="P4117" s="16">
        <f>IF(NOT(Paths!$C$380=1),0,IF(Paths!$P$380="Complete",O4117+L4117,"n.a."))</f>
        <v>0</v>
      </c>
      <c r="Q4117" s="16">
        <f>IF(NOT(Paths!$C$380=1),0,IF(Paths!$P$380="Complete",N4117*(1+'Operating costs'!$B$54)^-C4117,"n.a."))</f>
        <v>0</v>
      </c>
      <c r="R4117" s="16">
        <f>IF(NOT(Paths!$C$380=1),0,IF(Paths!$P$380="Complete",IF(AND(C4117=0,Paths!$E$380=0),I4117-J4117-K4117+VLOOKUP(A4117,'Fleet register'!$A$7:$S$106,15,FALSE)+VLOOKUP(A4117,'Fleet register'!$A$7:$S$106,16,FALSE),0),"n.a."))</f>
        <v>0</v>
      </c>
      <c r="S4117" s="1">
        <f>IF(NOT(Paths!$C$380=1),0,IF(Paths!$P$380="Complete",IF(C4117=0,0,Paths!$S$380*Paths!$R$380),"n.a."))</f>
        <v>0</v>
      </c>
      <c r="T4117" s="1">
        <f>IF(NOT(Paths!$C$380=1),0,IF(Paths!$P$380="Complete",IF(C4117=0,0,VLOOKUP(A4117,'Fleet register'!$A$7:$S$106,9,FALSE)*Paths!$R$380),"n.a."))</f>
        <v>0</v>
      </c>
    </row>
    <row r="4118" spans="1:20" ht="24" customHeight="1">
      <c r="A4118" s="1" t="str">
        <f>Paths!$A$380</f>
        <v>T094</v>
      </c>
      <c r="B4118" s="1">
        <f>Paths!$B$380</f>
        <v>1</v>
      </c>
      <c r="C4118" s="1">
        <v>8</v>
      </c>
      <c r="D4118" s="1">
        <v>380</v>
      </c>
      <c r="E4118" s="1">
        <f>IF(OR(Paths!$C$380=0,C4118=0),0,MAX(0,MIN(C4118*12,Paths!$E$380)-(C4118-1)*12))</f>
        <v>0</v>
      </c>
      <c r="F4118" s="1">
        <f>IF(OR(Paths!$C$380=0,C4118=0),0,12-E4118)</f>
        <v>0</v>
      </c>
      <c r="G4118" s="16">
        <f>IF(NOT(Paths!$C$380=1),0,IF(Paths!$P$380="Complete",E4118/12*(Paths!$J$380*(1+'Operating costs'!$B$51)^MAX(0,C4118-1)+Paths!$K$380*(1+'Operating costs'!$B$53)^MAX(0,C4118-1)),"n.a."))</f>
        <v>0</v>
      </c>
      <c r="H4118" s="16">
        <f>IF(NOT(Paths!$C$380=1),0,IF(Paths!$P$380="Complete",F4118/12*(Paths!$L$380*(1+IF(Paths!$D$380="EV",'Operating costs'!$B$52,'Operating costs'!$B$51))^MAX(0,C4118-1)+Paths!$M$380*(1+'Operating costs'!$B$53)^MAX(0,C4118-1)),"n.a."))</f>
        <v>0</v>
      </c>
      <c r="I4118" s="16">
        <f>IF(NOT(Paths!$C$380=1),0,IF(Paths!$P$380="Complete",IF(IF(Paths!$E$380=0,C4118=0,AND(C4118&gt;0,Paths!$E$380&gt;(C4118-1)*12,Paths!$E$380&lt;=C4118*12)),Paths!$G$380,0),"n.a."))</f>
        <v>0</v>
      </c>
      <c r="J4118" s="16">
        <f>IF(NOT(Paths!$C$380=1),0,IF(Paths!$P$380="Complete",IF(IF(Paths!$E$380=0,C4118=0,AND(C4118&gt;0,Paths!$E$380&gt;(C4118-1)*12,Paths!$E$380&lt;=C4118*12)),Paths!$H$380,0),"n.a."))</f>
        <v>0</v>
      </c>
      <c r="K4118" s="16">
        <f>IF(NOT(Paths!$C$380=1),0,IF(Paths!$P$380="Complete",IF(IF(Paths!$O$380=0,C4118=0,AND(C4118&gt;0,Paths!$O$380&gt;(C4118-1)*12,Paths!$O$380&lt;=C4118*12)),Paths!$N$380,0),"n.a."))</f>
        <v>0</v>
      </c>
      <c r="L4118" s="16">
        <f>IF(NOT(Paths!$C$380=1),0,IF(Paths!$P$380="Complete",IF(C4118=10,Paths!$I$380,0),"n.a."))</f>
        <v>0</v>
      </c>
      <c r="M4118" s="16">
        <f>IF(NOT(Paths!$C$380=1),0,IF(Paths!$P$380="Complete",IF(AND(Paths!$D$380="EV",Paths!$E$380&lt;120,Paths!$E$380+'Operating costs'!$B$65&gt;Paths!$E$380,Paths!$E$380+'Operating costs'!$B$65&lt;=120,IF(Paths!$E$380+'Operating costs'!$B$65=0,C4118=0,AND(C4118&gt;0,Paths!$E$380+'Operating costs'!$B$65&gt;(C4118-1)*12,Paths!$E$380+'Operating costs'!$B$65&lt;=C4118*12))),'Operating costs'!$B$64,0)+IF(AND('Operating costs'!$B$67&gt;0,'Operating costs'!$B$67&lt;=120,OR(Paths!$D$380="ICE",'Operating costs'!$B$67&lt;=Paths!$E$380),IF('Operating costs'!$B$67=0,C4118=0,AND(C4118&gt;0,'Operating costs'!$B$67&gt;(C4118-1)*12,'Operating costs'!$B$67&lt;=C4118*12))),'Operating costs'!$B$66,0),"n.a."))</f>
        <v>0</v>
      </c>
      <c r="N4118" s="16">
        <f>IF(NOT(Paths!$C$380=1),0,IF(Paths!$P$380="Complete",SUM(G4118:I4118)-J4118-K4118-L4118+M4118+IF(C4118=0,Paths!$F$380,0)+IF(IF(Paths!$E$380=0,C4118=0,AND(C4118&gt;0,Paths!$E$380&gt;(C4118-1)*12,Paths!$E$380&lt;=C4118*12)),VLOOKUP(A4118,'Fleet register'!$A$7:$S$106,16,FALSE),0),"n.a."))</f>
        <v>0</v>
      </c>
      <c r="O4118" s="16">
        <f>IF(NOT(Paths!$C$380=1),0,IF(Paths!$P$380="Complete",N4118-IF(C4118=0,Paths!$F$380,0),"n.a."))</f>
        <v>0</v>
      </c>
      <c r="P4118" s="16">
        <f>IF(NOT(Paths!$C$380=1),0,IF(Paths!$P$380="Complete",O4118+L4118,"n.a."))</f>
        <v>0</v>
      </c>
      <c r="Q4118" s="16">
        <f>IF(NOT(Paths!$C$380=1),0,IF(Paths!$P$380="Complete",N4118*(1+'Operating costs'!$B$54)^-C4118,"n.a."))</f>
        <v>0</v>
      </c>
      <c r="R4118" s="16">
        <f>IF(NOT(Paths!$C$380=1),0,IF(Paths!$P$380="Complete",IF(AND(C4118=0,Paths!$E$380=0),I4118-J4118-K4118+VLOOKUP(A4118,'Fleet register'!$A$7:$S$106,15,FALSE)+VLOOKUP(A4118,'Fleet register'!$A$7:$S$106,16,FALSE),0),"n.a."))</f>
        <v>0</v>
      </c>
      <c r="S4118" s="1">
        <f>IF(NOT(Paths!$C$380=1),0,IF(Paths!$P$380="Complete",IF(C4118=0,0,Paths!$S$380*Paths!$R$380),"n.a."))</f>
        <v>0</v>
      </c>
      <c r="T4118" s="1">
        <f>IF(NOT(Paths!$C$380=1),0,IF(Paths!$P$380="Complete",IF(C4118=0,0,VLOOKUP(A4118,'Fleet register'!$A$7:$S$106,9,FALSE)*Paths!$R$380),"n.a."))</f>
        <v>0</v>
      </c>
    </row>
    <row r="4119" spans="1:20" ht="24" customHeight="1">
      <c r="A4119" s="1" t="str">
        <f>Paths!$A$380</f>
        <v>T094</v>
      </c>
      <c r="B4119" s="1">
        <f>Paths!$B$380</f>
        <v>1</v>
      </c>
      <c r="C4119" s="1">
        <v>9</v>
      </c>
      <c r="D4119" s="1">
        <v>380</v>
      </c>
      <c r="E4119" s="1">
        <f>IF(OR(Paths!$C$380=0,C4119=0),0,MAX(0,MIN(C4119*12,Paths!$E$380)-(C4119-1)*12))</f>
        <v>0</v>
      </c>
      <c r="F4119" s="1">
        <f>IF(OR(Paths!$C$380=0,C4119=0),0,12-E4119)</f>
        <v>0</v>
      </c>
      <c r="G4119" s="16">
        <f>IF(NOT(Paths!$C$380=1),0,IF(Paths!$P$380="Complete",E4119/12*(Paths!$J$380*(1+'Operating costs'!$B$51)^MAX(0,C4119-1)+Paths!$K$380*(1+'Operating costs'!$B$53)^MAX(0,C4119-1)),"n.a."))</f>
        <v>0</v>
      </c>
      <c r="H4119" s="16">
        <f>IF(NOT(Paths!$C$380=1),0,IF(Paths!$P$380="Complete",F4119/12*(Paths!$L$380*(1+IF(Paths!$D$380="EV",'Operating costs'!$B$52,'Operating costs'!$B$51))^MAX(0,C4119-1)+Paths!$M$380*(1+'Operating costs'!$B$53)^MAX(0,C4119-1)),"n.a."))</f>
        <v>0</v>
      </c>
      <c r="I4119" s="16">
        <f>IF(NOT(Paths!$C$380=1),0,IF(Paths!$P$380="Complete",IF(IF(Paths!$E$380=0,C4119=0,AND(C4119&gt;0,Paths!$E$380&gt;(C4119-1)*12,Paths!$E$380&lt;=C4119*12)),Paths!$G$380,0),"n.a."))</f>
        <v>0</v>
      </c>
      <c r="J4119" s="16">
        <f>IF(NOT(Paths!$C$380=1),0,IF(Paths!$P$380="Complete",IF(IF(Paths!$E$380=0,C4119=0,AND(C4119&gt;0,Paths!$E$380&gt;(C4119-1)*12,Paths!$E$380&lt;=C4119*12)),Paths!$H$380,0),"n.a."))</f>
        <v>0</v>
      </c>
      <c r="K4119" s="16">
        <f>IF(NOT(Paths!$C$380=1),0,IF(Paths!$P$380="Complete",IF(IF(Paths!$O$380=0,C4119=0,AND(C4119&gt;0,Paths!$O$380&gt;(C4119-1)*12,Paths!$O$380&lt;=C4119*12)),Paths!$N$380,0),"n.a."))</f>
        <v>0</v>
      </c>
      <c r="L4119" s="16">
        <f>IF(NOT(Paths!$C$380=1),0,IF(Paths!$P$380="Complete",IF(C4119=10,Paths!$I$380,0),"n.a."))</f>
        <v>0</v>
      </c>
      <c r="M4119" s="16">
        <f>IF(NOT(Paths!$C$380=1),0,IF(Paths!$P$380="Complete",IF(AND(Paths!$D$380="EV",Paths!$E$380&lt;120,Paths!$E$380+'Operating costs'!$B$65&gt;Paths!$E$380,Paths!$E$380+'Operating costs'!$B$65&lt;=120,IF(Paths!$E$380+'Operating costs'!$B$65=0,C4119=0,AND(C4119&gt;0,Paths!$E$380+'Operating costs'!$B$65&gt;(C4119-1)*12,Paths!$E$380+'Operating costs'!$B$65&lt;=C4119*12))),'Operating costs'!$B$64,0)+IF(AND('Operating costs'!$B$67&gt;0,'Operating costs'!$B$67&lt;=120,OR(Paths!$D$380="ICE",'Operating costs'!$B$67&lt;=Paths!$E$380),IF('Operating costs'!$B$67=0,C4119=0,AND(C4119&gt;0,'Operating costs'!$B$67&gt;(C4119-1)*12,'Operating costs'!$B$67&lt;=C4119*12))),'Operating costs'!$B$66,0),"n.a."))</f>
        <v>0</v>
      </c>
      <c r="N4119" s="16">
        <f>IF(NOT(Paths!$C$380=1),0,IF(Paths!$P$380="Complete",SUM(G4119:I4119)-J4119-K4119-L4119+M4119+IF(C4119=0,Paths!$F$380,0)+IF(IF(Paths!$E$380=0,C4119=0,AND(C4119&gt;0,Paths!$E$380&gt;(C4119-1)*12,Paths!$E$380&lt;=C4119*12)),VLOOKUP(A4119,'Fleet register'!$A$7:$S$106,16,FALSE),0),"n.a."))</f>
        <v>0</v>
      </c>
      <c r="O4119" s="16">
        <f>IF(NOT(Paths!$C$380=1),0,IF(Paths!$P$380="Complete",N4119-IF(C4119=0,Paths!$F$380,0),"n.a."))</f>
        <v>0</v>
      </c>
      <c r="P4119" s="16">
        <f>IF(NOT(Paths!$C$380=1),0,IF(Paths!$P$380="Complete",O4119+L4119,"n.a."))</f>
        <v>0</v>
      </c>
      <c r="Q4119" s="16">
        <f>IF(NOT(Paths!$C$380=1),0,IF(Paths!$P$380="Complete",N4119*(1+'Operating costs'!$B$54)^-C4119,"n.a."))</f>
        <v>0</v>
      </c>
      <c r="R4119" s="16">
        <f>IF(NOT(Paths!$C$380=1),0,IF(Paths!$P$380="Complete",IF(AND(C4119=0,Paths!$E$380=0),I4119-J4119-K4119+VLOOKUP(A4119,'Fleet register'!$A$7:$S$106,15,FALSE)+VLOOKUP(A4119,'Fleet register'!$A$7:$S$106,16,FALSE),0),"n.a."))</f>
        <v>0</v>
      </c>
      <c r="S4119" s="1">
        <f>IF(NOT(Paths!$C$380=1),0,IF(Paths!$P$380="Complete",IF(C4119=0,0,Paths!$S$380*Paths!$R$380),"n.a."))</f>
        <v>0</v>
      </c>
      <c r="T4119" s="1">
        <f>IF(NOT(Paths!$C$380=1),0,IF(Paths!$P$380="Complete",IF(C4119=0,0,VLOOKUP(A4119,'Fleet register'!$A$7:$S$106,9,FALSE)*Paths!$R$380),"n.a."))</f>
        <v>0</v>
      </c>
    </row>
    <row r="4120" spans="1:20" ht="24" customHeight="1">
      <c r="A4120" s="1" t="str">
        <f>Paths!$A$380</f>
        <v>T094</v>
      </c>
      <c r="B4120" s="1">
        <f>Paths!$B$380</f>
        <v>1</v>
      </c>
      <c r="C4120" s="1">
        <v>10</v>
      </c>
      <c r="D4120" s="1">
        <v>380</v>
      </c>
      <c r="E4120" s="1">
        <f>IF(OR(Paths!$C$380=0,C4120=0),0,MAX(0,MIN(C4120*12,Paths!$E$380)-(C4120-1)*12))</f>
        <v>0</v>
      </c>
      <c r="F4120" s="1">
        <f>IF(OR(Paths!$C$380=0,C4120=0),0,12-E4120)</f>
        <v>0</v>
      </c>
      <c r="G4120" s="16">
        <f>IF(NOT(Paths!$C$380=1),0,IF(Paths!$P$380="Complete",E4120/12*(Paths!$J$380*(1+'Operating costs'!$B$51)^MAX(0,C4120-1)+Paths!$K$380*(1+'Operating costs'!$B$53)^MAX(0,C4120-1)),"n.a."))</f>
        <v>0</v>
      </c>
      <c r="H4120" s="16">
        <f>IF(NOT(Paths!$C$380=1),0,IF(Paths!$P$380="Complete",F4120/12*(Paths!$L$380*(1+IF(Paths!$D$380="EV",'Operating costs'!$B$52,'Operating costs'!$B$51))^MAX(0,C4120-1)+Paths!$M$380*(1+'Operating costs'!$B$53)^MAX(0,C4120-1)),"n.a."))</f>
        <v>0</v>
      </c>
      <c r="I4120" s="16">
        <f>IF(NOT(Paths!$C$380=1),0,IF(Paths!$P$380="Complete",IF(IF(Paths!$E$380=0,C4120=0,AND(C4120&gt;0,Paths!$E$380&gt;(C4120-1)*12,Paths!$E$380&lt;=C4120*12)),Paths!$G$380,0),"n.a."))</f>
        <v>0</v>
      </c>
      <c r="J4120" s="16">
        <f>IF(NOT(Paths!$C$380=1),0,IF(Paths!$P$380="Complete",IF(IF(Paths!$E$380=0,C4120=0,AND(C4120&gt;0,Paths!$E$380&gt;(C4120-1)*12,Paths!$E$380&lt;=C4120*12)),Paths!$H$380,0),"n.a."))</f>
        <v>0</v>
      </c>
      <c r="K4120" s="16">
        <f>IF(NOT(Paths!$C$380=1),0,IF(Paths!$P$380="Complete",IF(IF(Paths!$O$380=0,C4120=0,AND(C4120&gt;0,Paths!$O$380&gt;(C4120-1)*12,Paths!$O$380&lt;=C4120*12)),Paths!$N$380,0),"n.a."))</f>
        <v>0</v>
      </c>
      <c r="L4120" s="16">
        <f>IF(NOT(Paths!$C$380=1),0,IF(Paths!$P$380="Complete",IF(C4120=10,Paths!$I$380,0),"n.a."))</f>
        <v>0</v>
      </c>
      <c r="M4120" s="16">
        <f>IF(NOT(Paths!$C$380=1),0,IF(Paths!$P$380="Complete",IF(AND(Paths!$D$380="EV",Paths!$E$380&lt;120,Paths!$E$380+'Operating costs'!$B$65&gt;Paths!$E$380,Paths!$E$380+'Operating costs'!$B$65&lt;=120,IF(Paths!$E$380+'Operating costs'!$B$65=0,C4120=0,AND(C4120&gt;0,Paths!$E$380+'Operating costs'!$B$65&gt;(C4120-1)*12,Paths!$E$380+'Operating costs'!$B$65&lt;=C4120*12))),'Operating costs'!$B$64,0)+IF(AND('Operating costs'!$B$67&gt;0,'Operating costs'!$B$67&lt;=120,OR(Paths!$D$380="ICE",'Operating costs'!$B$67&lt;=Paths!$E$380),IF('Operating costs'!$B$67=0,C4120=0,AND(C4120&gt;0,'Operating costs'!$B$67&gt;(C4120-1)*12,'Operating costs'!$B$67&lt;=C4120*12))),'Operating costs'!$B$66,0),"n.a."))</f>
        <v>0</v>
      </c>
      <c r="N4120" s="16">
        <f>IF(NOT(Paths!$C$380=1),0,IF(Paths!$P$380="Complete",SUM(G4120:I4120)-J4120-K4120-L4120+M4120+IF(C4120=0,Paths!$F$380,0)+IF(IF(Paths!$E$380=0,C4120=0,AND(C4120&gt;0,Paths!$E$380&gt;(C4120-1)*12,Paths!$E$380&lt;=C4120*12)),VLOOKUP(A4120,'Fleet register'!$A$7:$S$106,16,FALSE),0),"n.a."))</f>
        <v>0</v>
      </c>
      <c r="O4120" s="16">
        <f>IF(NOT(Paths!$C$380=1),0,IF(Paths!$P$380="Complete",N4120-IF(C4120=0,Paths!$F$380,0),"n.a."))</f>
        <v>0</v>
      </c>
      <c r="P4120" s="16">
        <f>IF(NOT(Paths!$C$380=1),0,IF(Paths!$P$380="Complete",O4120+L4120,"n.a."))</f>
        <v>0</v>
      </c>
      <c r="Q4120" s="16">
        <f>IF(NOT(Paths!$C$380=1),0,IF(Paths!$P$380="Complete",N4120*(1+'Operating costs'!$B$54)^-C4120,"n.a."))</f>
        <v>0</v>
      </c>
      <c r="R4120" s="16">
        <f>IF(NOT(Paths!$C$380=1),0,IF(Paths!$P$380="Complete",IF(AND(C4120=0,Paths!$E$380=0),I4120-J4120-K4120+VLOOKUP(A4120,'Fleet register'!$A$7:$S$106,15,FALSE)+VLOOKUP(A4120,'Fleet register'!$A$7:$S$106,16,FALSE),0),"n.a."))</f>
        <v>0</v>
      </c>
      <c r="S4120" s="1">
        <f>IF(NOT(Paths!$C$380=1),0,IF(Paths!$P$380="Complete",IF(C4120=0,0,Paths!$S$380*Paths!$R$380),"n.a."))</f>
        <v>0</v>
      </c>
      <c r="T4120" s="1">
        <f>IF(NOT(Paths!$C$380=1),0,IF(Paths!$P$380="Complete",IF(C4120=0,0,VLOOKUP(A4120,'Fleet register'!$A$7:$S$106,9,FALSE)*Paths!$R$380),"n.a."))</f>
        <v>0</v>
      </c>
    </row>
    <row r="4121" spans="1:20" ht="24" customHeight="1">
      <c r="A4121" s="1" t="str">
        <f>Paths!$A$381</f>
        <v>T094</v>
      </c>
      <c r="B4121" s="1">
        <f>Paths!$B$381</f>
        <v>2</v>
      </c>
      <c r="C4121" s="1">
        <v>0</v>
      </c>
      <c r="D4121" s="1">
        <v>381</v>
      </c>
      <c r="E4121" s="1">
        <f>IF(OR(Paths!$C$381=0,C4121=0),0,MAX(0,MIN(C4121*12,Paths!$E$381)-(C4121-1)*12))</f>
        <v>0</v>
      </c>
      <c r="F4121" s="1">
        <f>IF(OR(Paths!$C$381=0,C4121=0),0,12-E4121)</f>
        <v>0</v>
      </c>
      <c r="G4121" s="16">
        <f>IF(NOT(Paths!$C$381=1),0,IF(Paths!$P$381="Complete",E4121/12*(Paths!$J$381*(1+'Operating costs'!$B$51)^MAX(0,C4121-1)+Paths!$K$381*(1+'Operating costs'!$B$53)^MAX(0,C4121-1)),"n.a."))</f>
        <v>0</v>
      </c>
      <c r="H4121" s="16">
        <f>IF(NOT(Paths!$C$381=1),0,IF(Paths!$P$381="Complete",F4121/12*(Paths!$L$381*(1+IF(Paths!$D$381="EV",'Operating costs'!$B$52,'Operating costs'!$B$51))^MAX(0,C4121-1)+Paths!$M$381*(1+'Operating costs'!$B$53)^MAX(0,C4121-1)),"n.a."))</f>
        <v>0</v>
      </c>
      <c r="I4121" s="16">
        <f>IF(NOT(Paths!$C$381=1),0,IF(Paths!$P$381="Complete",IF(IF(Paths!$E$381=0,C4121=0,AND(C4121&gt;0,Paths!$E$381&gt;(C4121-1)*12,Paths!$E$381&lt;=C4121*12)),Paths!$G$381,0),"n.a."))</f>
        <v>0</v>
      </c>
      <c r="J4121" s="16">
        <f>IF(NOT(Paths!$C$381=1),0,IF(Paths!$P$381="Complete",IF(IF(Paths!$E$381=0,C4121=0,AND(C4121&gt;0,Paths!$E$381&gt;(C4121-1)*12,Paths!$E$381&lt;=C4121*12)),Paths!$H$381,0),"n.a."))</f>
        <v>0</v>
      </c>
      <c r="K4121" s="16">
        <f>IF(NOT(Paths!$C$381=1),0,IF(Paths!$P$381="Complete",IF(IF(Paths!$O$381=0,C4121=0,AND(C4121&gt;0,Paths!$O$381&gt;(C4121-1)*12,Paths!$O$381&lt;=C4121*12)),Paths!$N$381,0),"n.a."))</f>
        <v>0</v>
      </c>
      <c r="L4121" s="16">
        <f>IF(NOT(Paths!$C$381=1),0,IF(Paths!$P$381="Complete",IF(C4121=10,Paths!$I$381,0),"n.a."))</f>
        <v>0</v>
      </c>
      <c r="M4121" s="16">
        <f>IF(NOT(Paths!$C$381=1),0,IF(Paths!$P$381="Complete",IF(AND(Paths!$D$381="EV",Paths!$E$381&lt;120,Paths!$E$381+'Operating costs'!$B$65&gt;Paths!$E$381,Paths!$E$381+'Operating costs'!$B$65&lt;=120,IF(Paths!$E$381+'Operating costs'!$B$65=0,C4121=0,AND(C4121&gt;0,Paths!$E$381+'Operating costs'!$B$65&gt;(C4121-1)*12,Paths!$E$381+'Operating costs'!$B$65&lt;=C4121*12))),'Operating costs'!$B$64,0)+IF(AND('Operating costs'!$B$67&gt;0,'Operating costs'!$B$67&lt;=120,OR(Paths!$D$381="ICE",'Operating costs'!$B$67&lt;=Paths!$E$381),IF('Operating costs'!$B$67=0,C4121=0,AND(C4121&gt;0,'Operating costs'!$B$67&gt;(C4121-1)*12,'Operating costs'!$B$67&lt;=C4121*12))),'Operating costs'!$B$66,0),"n.a."))</f>
        <v>0</v>
      </c>
      <c r="N4121" s="16">
        <f>IF(NOT(Paths!$C$381=1),0,IF(Paths!$P$381="Complete",SUM(G4121:I4121)-J4121-K4121-L4121+M4121+IF(C4121=0,Paths!$F$381,0)+IF(IF(Paths!$E$381=0,C4121=0,AND(C4121&gt;0,Paths!$E$381&gt;(C4121-1)*12,Paths!$E$381&lt;=C4121*12)),VLOOKUP(A4121,'Fleet register'!$A$7:$S$106,16,FALSE),0),"n.a."))</f>
        <v>0</v>
      </c>
      <c r="O4121" s="16">
        <f>IF(NOT(Paths!$C$381=1),0,IF(Paths!$P$381="Complete",N4121-IF(C4121=0,Paths!$F$381,0),"n.a."))</f>
        <v>0</v>
      </c>
      <c r="P4121" s="16">
        <f>IF(NOT(Paths!$C$381=1),0,IF(Paths!$P$381="Complete",O4121+L4121,"n.a."))</f>
        <v>0</v>
      </c>
      <c r="Q4121" s="16">
        <f>IF(NOT(Paths!$C$381=1),0,IF(Paths!$P$381="Complete",N4121*(1+'Operating costs'!$B$54)^-C4121,"n.a."))</f>
        <v>0</v>
      </c>
      <c r="R4121" s="16">
        <f>IF(NOT(Paths!$C$381=1),0,IF(Paths!$P$381="Complete",IF(AND(C4121=0,Paths!$E$381=0),I4121-J4121-K4121+VLOOKUP(A4121,'Fleet register'!$A$7:$S$106,15,FALSE)+VLOOKUP(A4121,'Fleet register'!$A$7:$S$106,16,FALSE),0),"n.a."))</f>
        <v>0</v>
      </c>
      <c r="S4121" s="1">
        <f>IF(NOT(Paths!$C$381=1),0,IF(Paths!$P$381="Complete",IF(C4121=0,0,Paths!$S$381*Paths!$R$381),"n.a."))</f>
        <v>0</v>
      </c>
      <c r="T4121" s="1">
        <f>IF(NOT(Paths!$C$381=1),0,IF(Paths!$P$381="Complete",IF(C4121=0,0,VLOOKUP(A4121,'Fleet register'!$A$7:$S$106,9,FALSE)*Paths!$R$381),"n.a."))</f>
        <v>0</v>
      </c>
    </row>
    <row r="4122" spans="1:20" ht="24" customHeight="1">
      <c r="A4122" s="1" t="str">
        <f>Paths!$A$381</f>
        <v>T094</v>
      </c>
      <c r="B4122" s="1">
        <f>Paths!$B$381</f>
        <v>2</v>
      </c>
      <c r="C4122" s="1">
        <v>1</v>
      </c>
      <c r="D4122" s="1">
        <v>381</v>
      </c>
      <c r="E4122" s="1">
        <f>IF(OR(Paths!$C$381=0,C4122=0),0,MAX(0,MIN(C4122*12,Paths!$E$381)-(C4122-1)*12))</f>
        <v>0</v>
      </c>
      <c r="F4122" s="1">
        <f>IF(OR(Paths!$C$381=0,C4122=0),0,12-E4122)</f>
        <v>0</v>
      </c>
      <c r="G4122" s="16">
        <f>IF(NOT(Paths!$C$381=1),0,IF(Paths!$P$381="Complete",E4122/12*(Paths!$J$381*(1+'Operating costs'!$B$51)^MAX(0,C4122-1)+Paths!$K$381*(1+'Operating costs'!$B$53)^MAX(0,C4122-1)),"n.a."))</f>
        <v>0</v>
      </c>
      <c r="H4122" s="16">
        <f>IF(NOT(Paths!$C$381=1),0,IF(Paths!$P$381="Complete",F4122/12*(Paths!$L$381*(1+IF(Paths!$D$381="EV",'Operating costs'!$B$52,'Operating costs'!$B$51))^MAX(0,C4122-1)+Paths!$M$381*(1+'Operating costs'!$B$53)^MAX(0,C4122-1)),"n.a."))</f>
        <v>0</v>
      </c>
      <c r="I4122" s="16">
        <f>IF(NOT(Paths!$C$381=1),0,IF(Paths!$P$381="Complete",IF(IF(Paths!$E$381=0,C4122=0,AND(C4122&gt;0,Paths!$E$381&gt;(C4122-1)*12,Paths!$E$381&lt;=C4122*12)),Paths!$G$381,0),"n.a."))</f>
        <v>0</v>
      </c>
      <c r="J4122" s="16">
        <f>IF(NOT(Paths!$C$381=1),0,IF(Paths!$P$381="Complete",IF(IF(Paths!$E$381=0,C4122=0,AND(C4122&gt;0,Paths!$E$381&gt;(C4122-1)*12,Paths!$E$381&lt;=C4122*12)),Paths!$H$381,0),"n.a."))</f>
        <v>0</v>
      </c>
      <c r="K4122" s="16">
        <f>IF(NOT(Paths!$C$381=1),0,IF(Paths!$P$381="Complete",IF(IF(Paths!$O$381=0,C4122=0,AND(C4122&gt;0,Paths!$O$381&gt;(C4122-1)*12,Paths!$O$381&lt;=C4122*12)),Paths!$N$381,0),"n.a."))</f>
        <v>0</v>
      </c>
      <c r="L4122" s="16">
        <f>IF(NOT(Paths!$C$381=1),0,IF(Paths!$P$381="Complete",IF(C4122=10,Paths!$I$381,0),"n.a."))</f>
        <v>0</v>
      </c>
      <c r="M4122" s="16">
        <f>IF(NOT(Paths!$C$381=1),0,IF(Paths!$P$381="Complete",IF(AND(Paths!$D$381="EV",Paths!$E$381&lt;120,Paths!$E$381+'Operating costs'!$B$65&gt;Paths!$E$381,Paths!$E$381+'Operating costs'!$B$65&lt;=120,IF(Paths!$E$381+'Operating costs'!$B$65=0,C4122=0,AND(C4122&gt;0,Paths!$E$381+'Operating costs'!$B$65&gt;(C4122-1)*12,Paths!$E$381+'Operating costs'!$B$65&lt;=C4122*12))),'Operating costs'!$B$64,0)+IF(AND('Operating costs'!$B$67&gt;0,'Operating costs'!$B$67&lt;=120,OR(Paths!$D$381="ICE",'Operating costs'!$B$67&lt;=Paths!$E$381),IF('Operating costs'!$B$67=0,C4122=0,AND(C4122&gt;0,'Operating costs'!$B$67&gt;(C4122-1)*12,'Operating costs'!$B$67&lt;=C4122*12))),'Operating costs'!$B$66,0),"n.a."))</f>
        <v>0</v>
      </c>
      <c r="N4122" s="16">
        <f>IF(NOT(Paths!$C$381=1),0,IF(Paths!$P$381="Complete",SUM(G4122:I4122)-J4122-K4122-L4122+M4122+IF(C4122=0,Paths!$F$381,0)+IF(IF(Paths!$E$381=0,C4122=0,AND(C4122&gt;0,Paths!$E$381&gt;(C4122-1)*12,Paths!$E$381&lt;=C4122*12)),VLOOKUP(A4122,'Fleet register'!$A$7:$S$106,16,FALSE),0),"n.a."))</f>
        <v>0</v>
      </c>
      <c r="O4122" s="16">
        <f>IF(NOT(Paths!$C$381=1),0,IF(Paths!$P$381="Complete",N4122-IF(C4122=0,Paths!$F$381,0),"n.a."))</f>
        <v>0</v>
      </c>
      <c r="P4122" s="16">
        <f>IF(NOT(Paths!$C$381=1),0,IF(Paths!$P$381="Complete",O4122+L4122,"n.a."))</f>
        <v>0</v>
      </c>
      <c r="Q4122" s="16">
        <f>IF(NOT(Paths!$C$381=1),0,IF(Paths!$P$381="Complete",N4122*(1+'Operating costs'!$B$54)^-C4122,"n.a."))</f>
        <v>0</v>
      </c>
      <c r="R4122" s="16">
        <f>IF(NOT(Paths!$C$381=1),0,IF(Paths!$P$381="Complete",IF(AND(C4122=0,Paths!$E$381=0),I4122-J4122-K4122+VLOOKUP(A4122,'Fleet register'!$A$7:$S$106,15,FALSE)+VLOOKUP(A4122,'Fleet register'!$A$7:$S$106,16,FALSE),0),"n.a."))</f>
        <v>0</v>
      </c>
      <c r="S4122" s="1">
        <f>IF(NOT(Paths!$C$381=1),0,IF(Paths!$P$381="Complete",IF(C4122=0,0,Paths!$S$381*Paths!$R$381),"n.a."))</f>
        <v>0</v>
      </c>
      <c r="T4122" s="1">
        <f>IF(NOT(Paths!$C$381=1),0,IF(Paths!$P$381="Complete",IF(C4122=0,0,VLOOKUP(A4122,'Fleet register'!$A$7:$S$106,9,FALSE)*Paths!$R$381),"n.a."))</f>
        <v>0</v>
      </c>
    </row>
    <row r="4123" spans="1:20" ht="24" customHeight="1">
      <c r="A4123" s="1" t="str">
        <f>Paths!$A$381</f>
        <v>T094</v>
      </c>
      <c r="B4123" s="1">
        <f>Paths!$B$381</f>
        <v>2</v>
      </c>
      <c r="C4123" s="1">
        <v>2</v>
      </c>
      <c r="D4123" s="1">
        <v>381</v>
      </c>
      <c r="E4123" s="1">
        <f>IF(OR(Paths!$C$381=0,C4123=0),0,MAX(0,MIN(C4123*12,Paths!$E$381)-(C4123-1)*12))</f>
        <v>0</v>
      </c>
      <c r="F4123" s="1">
        <f>IF(OR(Paths!$C$381=0,C4123=0),0,12-E4123)</f>
        <v>0</v>
      </c>
      <c r="G4123" s="16">
        <f>IF(NOT(Paths!$C$381=1),0,IF(Paths!$P$381="Complete",E4123/12*(Paths!$J$381*(1+'Operating costs'!$B$51)^MAX(0,C4123-1)+Paths!$K$381*(1+'Operating costs'!$B$53)^MAX(0,C4123-1)),"n.a."))</f>
        <v>0</v>
      </c>
      <c r="H4123" s="16">
        <f>IF(NOT(Paths!$C$381=1),0,IF(Paths!$P$381="Complete",F4123/12*(Paths!$L$381*(1+IF(Paths!$D$381="EV",'Operating costs'!$B$52,'Operating costs'!$B$51))^MAX(0,C4123-1)+Paths!$M$381*(1+'Operating costs'!$B$53)^MAX(0,C4123-1)),"n.a."))</f>
        <v>0</v>
      </c>
      <c r="I4123" s="16">
        <f>IF(NOT(Paths!$C$381=1),0,IF(Paths!$P$381="Complete",IF(IF(Paths!$E$381=0,C4123=0,AND(C4123&gt;0,Paths!$E$381&gt;(C4123-1)*12,Paths!$E$381&lt;=C4123*12)),Paths!$G$381,0),"n.a."))</f>
        <v>0</v>
      </c>
      <c r="J4123" s="16">
        <f>IF(NOT(Paths!$C$381=1),0,IF(Paths!$P$381="Complete",IF(IF(Paths!$E$381=0,C4123=0,AND(C4123&gt;0,Paths!$E$381&gt;(C4123-1)*12,Paths!$E$381&lt;=C4123*12)),Paths!$H$381,0),"n.a."))</f>
        <v>0</v>
      </c>
      <c r="K4123" s="16">
        <f>IF(NOT(Paths!$C$381=1),0,IF(Paths!$P$381="Complete",IF(IF(Paths!$O$381=0,C4123=0,AND(C4123&gt;0,Paths!$O$381&gt;(C4123-1)*12,Paths!$O$381&lt;=C4123*12)),Paths!$N$381,0),"n.a."))</f>
        <v>0</v>
      </c>
      <c r="L4123" s="16">
        <f>IF(NOT(Paths!$C$381=1),0,IF(Paths!$P$381="Complete",IF(C4123=10,Paths!$I$381,0),"n.a."))</f>
        <v>0</v>
      </c>
      <c r="M4123" s="16">
        <f>IF(NOT(Paths!$C$381=1),0,IF(Paths!$P$381="Complete",IF(AND(Paths!$D$381="EV",Paths!$E$381&lt;120,Paths!$E$381+'Operating costs'!$B$65&gt;Paths!$E$381,Paths!$E$381+'Operating costs'!$B$65&lt;=120,IF(Paths!$E$381+'Operating costs'!$B$65=0,C4123=0,AND(C4123&gt;0,Paths!$E$381+'Operating costs'!$B$65&gt;(C4123-1)*12,Paths!$E$381+'Operating costs'!$B$65&lt;=C4123*12))),'Operating costs'!$B$64,0)+IF(AND('Operating costs'!$B$67&gt;0,'Operating costs'!$B$67&lt;=120,OR(Paths!$D$381="ICE",'Operating costs'!$B$67&lt;=Paths!$E$381),IF('Operating costs'!$B$67=0,C4123=0,AND(C4123&gt;0,'Operating costs'!$B$67&gt;(C4123-1)*12,'Operating costs'!$B$67&lt;=C4123*12))),'Operating costs'!$B$66,0),"n.a."))</f>
        <v>0</v>
      </c>
      <c r="N4123" s="16">
        <f>IF(NOT(Paths!$C$381=1),0,IF(Paths!$P$381="Complete",SUM(G4123:I4123)-J4123-K4123-L4123+M4123+IF(C4123=0,Paths!$F$381,0)+IF(IF(Paths!$E$381=0,C4123=0,AND(C4123&gt;0,Paths!$E$381&gt;(C4123-1)*12,Paths!$E$381&lt;=C4123*12)),VLOOKUP(A4123,'Fleet register'!$A$7:$S$106,16,FALSE),0),"n.a."))</f>
        <v>0</v>
      </c>
      <c r="O4123" s="16">
        <f>IF(NOT(Paths!$C$381=1),0,IF(Paths!$P$381="Complete",N4123-IF(C4123=0,Paths!$F$381,0),"n.a."))</f>
        <v>0</v>
      </c>
      <c r="P4123" s="16">
        <f>IF(NOT(Paths!$C$381=1),0,IF(Paths!$P$381="Complete",O4123+L4123,"n.a."))</f>
        <v>0</v>
      </c>
      <c r="Q4123" s="16">
        <f>IF(NOT(Paths!$C$381=1),0,IF(Paths!$P$381="Complete",N4123*(1+'Operating costs'!$B$54)^-C4123,"n.a."))</f>
        <v>0</v>
      </c>
      <c r="R4123" s="16">
        <f>IF(NOT(Paths!$C$381=1),0,IF(Paths!$P$381="Complete",IF(AND(C4123=0,Paths!$E$381=0),I4123-J4123-K4123+VLOOKUP(A4123,'Fleet register'!$A$7:$S$106,15,FALSE)+VLOOKUP(A4123,'Fleet register'!$A$7:$S$106,16,FALSE),0),"n.a."))</f>
        <v>0</v>
      </c>
      <c r="S4123" s="1">
        <f>IF(NOT(Paths!$C$381=1),0,IF(Paths!$P$381="Complete",IF(C4123=0,0,Paths!$S$381*Paths!$R$381),"n.a."))</f>
        <v>0</v>
      </c>
      <c r="T4123" s="1">
        <f>IF(NOT(Paths!$C$381=1),0,IF(Paths!$P$381="Complete",IF(C4123=0,0,VLOOKUP(A4123,'Fleet register'!$A$7:$S$106,9,FALSE)*Paths!$R$381),"n.a."))</f>
        <v>0</v>
      </c>
    </row>
    <row r="4124" spans="1:20" ht="24" customHeight="1">
      <c r="A4124" s="1" t="str">
        <f>Paths!$A$381</f>
        <v>T094</v>
      </c>
      <c r="B4124" s="1">
        <f>Paths!$B$381</f>
        <v>2</v>
      </c>
      <c r="C4124" s="1">
        <v>3</v>
      </c>
      <c r="D4124" s="1">
        <v>381</v>
      </c>
      <c r="E4124" s="1">
        <f>IF(OR(Paths!$C$381=0,C4124=0),0,MAX(0,MIN(C4124*12,Paths!$E$381)-(C4124-1)*12))</f>
        <v>0</v>
      </c>
      <c r="F4124" s="1">
        <f>IF(OR(Paths!$C$381=0,C4124=0),0,12-E4124)</f>
        <v>0</v>
      </c>
      <c r="G4124" s="16">
        <f>IF(NOT(Paths!$C$381=1),0,IF(Paths!$P$381="Complete",E4124/12*(Paths!$J$381*(1+'Operating costs'!$B$51)^MAX(0,C4124-1)+Paths!$K$381*(1+'Operating costs'!$B$53)^MAX(0,C4124-1)),"n.a."))</f>
        <v>0</v>
      </c>
      <c r="H4124" s="16">
        <f>IF(NOT(Paths!$C$381=1),0,IF(Paths!$P$381="Complete",F4124/12*(Paths!$L$381*(1+IF(Paths!$D$381="EV",'Operating costs'!$B$52,'Operating costs'!$B$51))^MAX(0,C4124-1)+Paths!$M$381*(1+'Operating costs'!$B$53)^MAX(0,C4124-1)),"n.a."))</f>
        <v>0</v>
      </c>
      <c r="I4124" s="16">
        <f>IF(NOT(Paths!$C$381=1),0,IF(Paths!$P$381="Complete",IF(IF(Paths!$E$381=0,C4124=0,AND(C4124&gt;0,Paths!$E$381&gt;(C4124-1)*12,Paths!$E$381&lt;=C4124*12)),Paths!$G$381,0),"n.a."))</f>
        <v>0</v>
      </c>
      <c r="J4124" s="16">
        <f>IF(NOT(Paths!$C$381=1),0,IF(Paths!$P$381="Complete",IF(IF(Paths!$E$381=0,C4124=0,AND(C4124&gt;0,Paths!$E$381&gt;(C4124-1)*12,Paths!$E$381&lt;=C4124*12)),Paths!$H$381,0),"n.a."))</f>
        <v>0</v>
      </c>
      <c r="K4124" s="16">
        <f>IF(NOT(Paths!$C$381=1),0,IF(Paths!$P$381="Complete",IF(IF(Paths!$O$381=0,C4124=0,AND(C4124&gt;0,Paths!$O$381&gt;(C4124-1)*12,Paths!$O$381&lt;=C4124*12)),Paths!$N$381,0),"n.a."))</f>
        <v>0</v>
      </c>
      <c r="L4124" s="16">
        <f>IF(NOT(Paths!$C$381=1),0,IF(Paths!$P$381="Complete",IF(C4124=10,Paths!$I$381,0),"n.a."))</f>
        <v>0</v>
      </c>
      <c r="M4124" s="16">
        <f>IF(NOT(Paths!$C$381=1),0,IF(Paths!$P$381="Complete",IF(AND(Paths!$D$381="EV",Paths!$E$381&lt;120,Paths!$E$381+'Operating costs'!$B$65&gt;Paths!$E$381,Paths!$E$381+'Operating costs'!$B$65&lt;=120,IF(Paths!$E$381+'Operating costs'!$B$65=0,C4124=0,AND(C4124&gt;0,Paths!$E$381+'Operating costs'!$B$65&gt;(C4124-1)*12,Paths!$E$381+'Operating costs'!$B$65&lt;=C4124*12))),'Operating costs'!$B$64,0)+IF(AND('Operating costs'!$B$67&gt;0,'Operating costs'!$B$67&lt;=120,OR(Paths!$D$381="ICE",'Operating costs'!$B$67&lt;=Paths!$E$381),IF('Operating costs'!$B$67=0,C4124=0,AND(C4124&gt;0,'Operating costs'!$B$67&gt;(C4124-1)*12,'Operating costs'!$B$67&lt;=C4124*12))),'Operating costs'!$B$66,0),"n.a."))</f>
        <v>0</v>
      </c>
      <c r="N4124" s="16">
        <f>IF(NOT(Paths!$C$381=1),0,IF(Paths!$P$381="Complete",SUM(G4124:I4124)-J4124-K4124-L4124+M4124+IF(C4124=0,Paths!$F$381,0)+IF(IF(Paths!$E$381=0,C4124=0,AND(C4124&gt;0,Paths!$E$381&gt;(C4124-1)*12,Paths!$E$381&lt;=C4124*12)),VLOOKUP(A4124,'Fleet register'!$A$7:$S$106,16,FALSE),0),"n.a."))</f>
        <v>0</v>
      </c>
      <c r="O4124" s="16">
        <f>IF(NOT(Paths!$C$381=1),0,IF(Paths!$P$381="Complete",N4124-IF(C4124=0,Paths!$F$381,0),"n.a."))</f>
        <v>0</v>
      </c>
      <c r="P4124" s="16">
        <f>IF(NOT(Paths!$C$381=1),0,IF(Paths!$P$381="Complete",O4124+L4124,"n.a."))</f>
        <v>0</v>
      </c>
      <c r="Q4124" s="16">
        <f>IF(NOT(Paths!$C$381=1),0,IF(Paths!$P$381="Complete",N4124*(1+'Operating costs'!$B$54)^-C4124,"n.a."))</f>
        <v>0</v>
      </c>
      <c r="R4124" s="16">
        <f>IF(NOT(Paths!$C$381=1),0,IF(Paths!$P$381="Complete",IF(AND(C4124=0,Paths!$E$381=0),I4124-J4124-K4124+VLOOKUP(A4124,'Fleet register'!$A$7:$S$106,15,FALSE)+VLOOKUP(A4124,'Fleet register'!$A$7:$S$106,16,FALSE),0),"n.a."))</f>
        <v>0</v>
      </c>
      <c r="S4124" s="1">
        <f>IF(NOT(Paths!$C$381=1),0,IF(Paths!$P$381="Complete",IF(C4124=0,0,Paths!$S$381*Paths!$R$381),"n.a."))</f>
        <v>0</v>
      </c>
      <c r="T4124" s="1">
        <f>IF(NOT(Paths!$C$381=1),0,IF(Paths!$P$381="Complete",IF(C4124=0,0,VLOOKUP(A4124,'Fleet register'!$A$7:$S$106,9,FALSE)*Paths!$R$381),"n.a."))</f>
        <v>0</v>
      </c>
    </row>
    <row r="4125" spans="1:20" ht="24" customHeight="1">
      <c r="A4125" s="1" t="str">
        <f>Paths!$A$381</f>
        <v>T094</v>
      </c>
      <c r="B4125" s="1">
        <f>Paths!$B$381</f>
        <v>2</v>
      </c>
      <c r="C4125" s="1">
        <v>4</v>
      </c>
      <c r="D4125" s="1">
        <v>381</v>
      </c>
      <c r="E4125" s="1">
        <f>IF(OR(Paths!$C$381=0,C4125=0),0,MAX(0,MIN(C4125*12,Paths!$E$381)-(C4125-1)*12))</f>
        <v>0</v>
      </c>
      <c r="F4125" s="1">
        <f>IF(OR(Paths!$C$381=0,C4125=0),0,12-E4125)</f>
        <v>0</v>
      </c>
      <c r="G4125" s="16">
        <f>IF(NOT(Paths!$C$381=1),0,IF(Paths!$P$381="Complete",E4125/12*(Paths!$J$381*(1+'Operating costs'!$B$51)^MAX(0,C4125-1)+Paths!$K$381*(1+'Operating costs'!$B$53)^MAX(0,C4125-1)),"n.a."))</f>
        <v>0</v>
      </c>
      <c r="H4125" s="16">
        <f>IF(NOT(Paths!$C$381=1),0,IF(Paths!$P$381="Complete",F4125/12*(Paths!$L$381*(1+IF(Paths!$D$381="EV",'Operating costs'!$B$52,'Operating costs'!$B$51))^MAX(0,C4125-1)+Paths!$M$381*(1+'Operating costs'!$B$53)^MAX(0,C4125-1)),"n.a."))</f>
        <v>0</v>
      </c>
      <c r="I4125" s="16">
        <f>IF(NOT(Paths!$C$381=1),0,IF(Paths!$P$381="Complete",IF(IF(Paths!$E$381=0,C4125=0,AND(C4125&gt;0,Paths!$E$381&gt;(C4125-1)*12,Paths!$E$381&lt;=C4125*12)),Paths!$G$381,0),"n.a."))</f>
        <v>0</v>
      </c>
      <c r="J4125" s="16">
        <f>IF(NOT(Paths!$C$381=1),0,IF(Paths!$P$381="Complete",IF(IF(Paths!$E$381=0,C4125=0,AND(C4125&gt;0,Paths!$E$381&gt;(C4125-1)*12,Paths!$E$381&lt;=C4125*12)),Paths!$H$381,0),"n.a."))</f>
        <v>0</v>
      </c>
      <c r="K4125" s="16">
        <f>IF(NOT(Paths!$C$381=1),0,IF(Paths!$P$381="Complete",IF(IF(Paths!$O$381=0,C4125=0,AND(C4125&gt;0,Paths!$O$381&gt;(C4125-1)*12,Paths!$O$381&lt;=C4125*12)),Paths!$N$381,0),"n.a."))</f>
        <v>0</v>
      </c>
      <c r="L4125" s="16">
        <f>IF(NOT(Paths!$C$381=1),0,IF(Paths!$P$381="Complete",IF(C4125=10,Paths!$I$381,0),"n.a."))</f>
        <v>0</v>
      </c>
      <c r="M4125" s="16">
        <f>IF(NOT(Paths!$C$381=1),0,IF(Paths!$P$381="Complete",IF(AND(Paths!$D$381="EV",Paths!$E$381&lt;120,Paths!$E$381+'Operating costs'!$B$65&gt;Paths!$E$381,Paths!$E$381+'Operating costs'!$B$65&lt;=120,IF(Paths!$E$381+'Operating costs'!$B$65=0,C4125=0,AND(C4125&gt;0,Paths!$E$381+'Operating costs'!$B$65&gt;(C4125-1)*12,Paths!$E$381+'Operating costs'!$B$65&lt;=C4125*12))),'Operating costs'!$B$64,0)+IF(AND('Operating costs'!$B$67&gt;0,'Operating costs'!$B$67&lt;=120,OR(Paths!$D$381="ICE",'Operating costs'!$B$67&lt;=Paths!$E$381),IF('Operating costs'!$B$67=0,C4125=0,AND(C4125&gt;0,'Operating costs'!$B$67&gt;(C4125-1)*12,'Operating costs'!$B$67&lt;=C4125*12))),'Operating costs'!$B$66,0),"n.a."))</f>
        <v>0</v>
      </c>
      <c r="N4125" s="16">
        <f>IF(NOT(Paths!$C$381=1),0,IF(Paths!$P$381="Complete",SUM(G4125:I4125)-J4125-K4125-L4125+M4125+IF(C4125=0,Paths!$F$381,0)+IF(IF(Paths!$E$381=0,C4125=0,AND(C4125&gt;0,Paths!$E$381&gt;(C4125-1)*12,Paths!$E$381&lt;=C4125*12)),VLOOKUP(A4125,'Fleet register'!$A$7:$S$106,16,FALSE),0),"n.a."))</f>
        <v>0</v>
      </c>
      <c r="O4125" s="16">
        <f>IF(NOT(Paths!$C$381=1),0,IF(Paths!$P$381="Complete",N4125-IF(C4125=0,Paths!$F$381,0),"n.a."))</f>
        <v>0</v>
      </c>
      <c r="P4125" s="16">
        <f>IF(NOT(Paths!$C$381=1),0,IF(Paths!$P$381="Complete",O4125+L4125,"n.a."))</f>
        <v>0</v>
      </c>
      <c r="Q4125" s="16">
        <f>IF(NOT(Paths!$C$381=1),0,IF(Paths!$P$381="Complete",N4125*(1+'Operating costs'!$B$54)^-C4125,"n.a."))</f>
        <v>0</v>
      </c>
      <c r="R4125" s="16">
        <f>IF(NOT(Paths!$C$381=1),0,IF(Paths!$P$381="Complete",IF(AND(C4125=0,Paths!$E$381=0),I4125-J4125-K4125+VLOOKUP(A4125,'Fleet register'!$A$7:$S$106,15,FALSE)+VLOOKUP(A4125,'Fleet register'!$A$7:$S$106,16,FALSE),0),"n.a."))</f>
        <v>0</v>
      </c>
      <c r="S4125" s="1">
        <f>IF(NOT(Paths!$C$381=1),0,IF(Paths!$P$381="Complete",IF(C4125=0,0,Paths!$S$381*Paths!$R$381),"n.a."))</f>
        <v>0</v>
      </c>
      <c r="T4125" s="1">
        <f>IF(NOT(Paths!$C$381=1),0,IF(Paths!$P$381="Complete",IF(C4125=0,0,VLOOKUP(A4125,'Fleet register'!$A$7:$S$106,9,FALSE)*Paths!$R$381),"n.a."))</f>
        <v>0</v>
      </c>
    </row>
    <row r="4126" spans="1:20" ht="24" customHeight="1">
      <c r="A4126" s="1" t="str">
        <f>Paths!$A$381</f>
        <v>T094</v>
      </c>
      <c r="B4126" s="1">
        <f>Paths!$B$381</f>
        <v>2</v>
      </c>
      <c r="C4126" s="1">
        <v>5</v>
      </c>
      <c r="D4126" s="1">
        <v>381</v>
      </c>
      <c r="E4126" s="1">
        <f>IF(OR(Paths!$C$381=0,C4126=0),0,MAX(0,MIN(C4126*12,Paths!$E$381)-(C4126-1)*12))</f>
        <v>0</v>
      </c>
      <c r="F4126" s="1">
        <f>IF(OR(Paths!$C$381=0,C4126=0),0,12-E4126)</f>
        <v>0</v>
      </c>
      <c r="G4126" s="16">
        <f>IF(NOT(Paths!$C$381=1),0,IF(Paths!$P$381="Complete",E4126/12*(Paths!$J$381*(1+'Operating costs'!$B$51)^MAX(0,C4126-1)+Paths!$K$381*(1+'Operating costs'!$B$53)^MAX(0,C4126-1)),"n.a."))</f>
        <v>0</v>
      </c>
      <c r="H4126" s="16">
        <f>IF(NOT(Paths!$C$381=1),0,IF(Paths!$P$381="Complete",F4126/12*(Paths!$L$381*(1+IF(Paths!$D$381="EV",'Operating costs'!$B$52,'Operating costs'!$B$51))^MAX(0,C4126-1)+Paths!$M$381*(1+'Operating costs'!$B$53)^MAX(0,C4126-1)),"n.a."))</f>
        <v>0</v>
      </c>
      <c r="I4126" s="16">
        <f>IF(NOT(Paths!$C$381=1),0,IF(Paths!$P$381="Complete",IF(IF(Paths!$E$381=0,C4126=0,AND(C4126&gt;0,Paths!$E$381&gt;(C4126-1)*12,Paths!$E$381&lt;=C4126*12)),Paths!$G$381,0),"n.a."))</f>
        <v>0</v>
      </c>
      <c r="J4126" s="16">
        <f>IF(NOT(Paths!$C$381=1),0,IF(Paths!$P$381="Complete",IF(IF(Paths!$E$381=0,C4126=0,AND(C4126&gt;0,Paths!$E$381&gt;(C4126-1)*12,Paths!$E$381&lt;=C4126*12)),Paths!$H$381,0),"n.a."))</f>
        <v>0</v>
      </c>
      <c r="K4126" s="16">
        <f>IF(NOT(Paths!$C$381=1),0,IF(Paths!$P$381="Complete",IF(IF(Paths!$O$381=0,C4126=0,AND(C4126&gt;0,Paths!$O$381&gt;(C4126-1)*12,Paths!$O$381&lt;=C4126*12)),Paths!$N$381,0),"n.a."))</f>
        <v>0</v>
      </c>
      <c r="L4126" s="16">
        <f>IF(NOT(Paths!$C$381=1),0,IF(Paths!$P$381="Complete",IF(C4126=10,Paths!$I$381,0),"n.a."))</f>
        <v>0</v>
      </c>
      <c r="M4126" s="16">
        <f>IF(NOT(Paths!$C$381=1),0,IF(Paths!$P$381="Complete",IF(AND(Paths!$D$381="EV",Paths!$E$381&lt;120,Paths!$E$381+'Operating costs'!$B$65&gt;Paths!$E$381,Paths!$E$381+'Operating costs'!$B$65&lt;=120,IF(Paths!$E$381+'Operating costs'!$B$65=0,C4126=0,AND(C4126&gt;0,Paths!$E$381+'Operating costs'!$B$65&gt;(C4126-1)*12,Paths!$E$381+'Operating costs'!$B$65&lt;=C4126*12))),'Operating costs'!$B$64,0)+IF(AND('Operating costs'!$B$67&gt;0,'Operating costs'!$B$67&lt;=120,OR(Paths!$D$381="ICE",'Operating costs'!$B$67&lt;=Paths!$E$381),IF('Operating costs'!$B$67=0,C4126=0,AND(C4126&gt;0,'Operating costs'!$B$67&gt;(C4126-1)*12,'Operating costs'!$B$67&lt;=C4126*12))),'Operating costs'!$B$66,0),"n.a."))</f>
        <v>0</v>
      </c>
      <c r="N4126" s="16">
        <f>IF(NOT(Paths!$C$381=1),0,IF(Paths!$P$381="Complete",SUM(G4126:I4126)-J4126-K4126-L4126+M4126+IF(C4126=0,Paths!$F$381,0)+IF(IF(Paths!$E$381=0,C4126=0,AND(C4126&gt;0,Paths!$E$381&gt;(C4126-1)*12,Paths!$E$381&lt;=C4126*12)),VLOOKUP(A4126,'Fleet register'!$A$7:$S$106,16,FALSE),0),"n.a."))</f>
        <v>0</v>
      </c>
      <c r="O4126" s="16">
        <f>IF(NOT(Paths!$C$381=1),0,IF(Paths!$P$381="Complete",N4126-IF(C4126=0,Paths!$F$381,0),"n.a."))</f>
        <v>0</v>
      </c>
      <c r="P4126" s="16">
        <f>IF(NOT(Paths!$C$381=1),0,IF(Paths!$P$381="Complete",O4126+L4126,"n.a."))</f>
        <v>0</v>
      </c>
      <c r="Q4126" s="16">
        <f>IF(NOT(Paths!$C$381=1),0,IF(Paths!$P$381="Complete",N4126*(1+'Operating costs'!$B$54)^-C4126,"n.a."))</f>
        <v>0</v>
      </c>
      <c r="R4126" s="16">
        <f>IF(NOT(Paths!$C$381=1),0,IF(Paths!$P$381="Complete",IF(AND(C4126=0,Paths!$E$381=0),I4126-J4126-K4126+VLOOKUP(A4126,'Fleet register'!$A$7:$S$106,15,FALSE)+VLOOKUP(A4126,'Fleet register'!$A$7:$S$106,16,FALSE),0),"n.a."))</f>
        <v>0</v>
      </c>
      <c r="S4126" s="1">
        <f>IF(NOT(Paths!$C$381=1),0,IF(Paths!$P$381="Complete",IF(C4126=0,0,Paths!$S$381*Paths!$R$381),"n.a."))</f>
        <v>0</v>
      </c>
      <c r="T4126" s="1">
        <f>IF(NOT(Paths!$C$381=1),0,IF(Paths!$P$381="Complete",IF(C4126=0,0,VLOOKUP(A4126,'Fleet register'!$A$7:$S$106,9,FALSE)*Paths!$R$381),"n.a."))</f>
        <v>0</v>
      </c>
    </row>
    <row r="4127" spans="1:20" ht="24" customHeight="1">
      <c r="A4127" s="1" t="str">
        <f>Paths!$A$381</f>
        <v>T094</v>
      </c>
      <c r="B4127" s="1">
        <f>Paths!$B$381</f>
        <v>2</v>
      </c>
      <c r="C4127" s="1">
        <v>6</v>
      </c>
      <c r="D4127" s="1">
        <v>381</v>
      </c>
      <c r="E4127" s="1">
        <f>IF(OR(Paths!$C$381=0,C4127=0),0,MAX(0,MIN(C4127*12,Paths!$E$381)-(C4127-1)*12))</f>
        <v>0</v>
      </c>
      <c r="F4127" s="1">
        <f>IF(OR(Paths!$C$381=0,C4127=0),0,12-E4127)</f>
        <v>0</v>
      </c>
      <c r="G4127" s="16">
        <f>IF(NOT(Paths!$C$381=1),0,IF(Paths!$P$381="Complete",E4127/12*(Paths!$J$381*(1+'Operating costs'!$B$51)^MAX(0,C4127-1)+Paths!$K$381*(1+'Operating costs'!$B$53)^MAX(0,C4127-1)),"n.a."))</f>
        <v>0</v>
      </c>
      <c r="H4127" s="16">
        <f>IF(NOT(Paths!$C$381=1),0,IF(Paths!$P$381="Complete",F4127/12*(Paths!$L$381*(1+IF(Paths!$D$381="EV",'Operating costs'!$B$52,'Operating costs'!$B$51))^MAX(0,C4127-1)+Paths!$M$381*(1+'Operating costs'!$B$53)^MAX(0,C4127-1)),"n.a."))</f>
        <v>0</v>
      </c>
      <c r="I4127" s="16">
        <f>IF(NOT(Paths!$C$381=1),0,IF(Paths!$P$381="Complete",IF(IF(Paths!$E$381=0,C4127=0,AND(C4127&gt;0,Paths!$E$381&gt;(C4127-1)*12,Paths!$E$381&lt;=C4127*12)),Paths!$G$381,0),"n.a."))</f>
        <v>0</v>
      </c>
      <c r="J4127" s="16">
        <f>IF(NOT(Paths!$C$381=1),0,IF(Paths!$P$381="Complete",IF(IF(Paths!$E$381=0,C4127=0,AND(C4127&gt;0,Paths!$E$381&gt;(C4127-1)*12,Paths!$E$381&lt;=C4127*12)),Paths!$H$381,0),"n.a."))</f>
        <v>0</v>
      </c>
      <c r="K4127" s="16">
        <f>IF(NOT(Paths!$C$381=1),0,IF(Paths!$P$381="Complete",IF(IF(Paths!$O$381=0,C4127=0,AND(C4127&gt;0,Paths!$O$381&gt;(C4127-1)*12,Paths!$O$381&lt;=C4127*12)),Paths!$N$381,0),"n.a."))</f>
        <v>0</v>
      </c>
      <c r="L4127" s="16">
        <f>IF(NOT(Paths!$C$381=1),0,IF(Paths!$P$381="Complete",IF(C4127=10,Paths!$I$381,0),"n.a."))</f>
        <v>0</v>
      </c>
      <c r="M4127" s="16">
        <f>IF(NOT(Paths!$C$381=1),0,IF(Paths!$P$381="Complete",IF(AND(Paths!$D$381="EV",Paths!$E$381&lt;120,Paths!$E$381+'Operating costs'!$B$65&gt;Paths!$E$381,Paths!$E$381+'Operating costs'!$B$65&lt;=120,IF(Paths!$E$381+'Operating costs'!$B$65=0,C4127=0,AND(C4127&gt;0,Paths!$E$381+'Operating costs'!$B$65&gt;(C4127-1)*12,Paths!$E$381+'Operating costs'!$B$65&lt;=C4127*12))),'Operating costs'!$B$64,0)+IF(AND('Operating costs'!$B$67&gt;0,'Operating costs'!$B$67&lt;=120,OR(Paths!$D$381="ICE",'Operating costs'!$B$67&lt;=Paths!$E$381),IF('Operating costs'!$B$67=0,C4127=0,AND(C4127&gt;0,'Operating costs'!$B$67&gt;(C4127-1)*12,'Operating costs'!$B$67&lt;=C4127*12))),'Operating costs'!$B$66,0),"n.a."))</f>
        <v>0</v>
      </c>
      <c r="N4127" s="16">
        <f>IF(NOT(Paths!$C$381=1),0,IF(Paths!$P$381="Complete",SUM(G4127:I4127)-J4127-K4127-L4127+M4127+IF(C4127=0,Paths!$F$381,0)+IF(IF(Paths!$E$381=0,C4127=0,AND(C4127&gt;0,Paths!$E$381&gt;(C4127-1)*12,Paths!$E$381&lt;=C4127*12)),VLOOKUP(A4127,'Fleet register'!$A$7:$S$106,16,FALSE),0),"n.a."))</f>
        <v>0</v>
      </c>
      <c r="O4127" s="16">
        <f>IF(NOT(Paths!$C$381=1),0,IF(Paths!$P$381="Complete",N4127-IF(C4127=0,Paths!$F$381,0),"n.a."))</f>
        <v>0</v>
      </c>
      <c r="P4127" s="16">
        <f>IF(NOT(Paths!$C$381=1),0,IF(Paths!$P$381="Complete",O4127+L4127,"n.a."))</f>
        <v>0</v>
      </c>
      <c r="Q4127" s="16">
        <f>IF(NOT(Paths!$C$381=1),0,IF(Paths!$P$381="Complete",N4127*(1+'Operating costs'!$B$54)^-C4127,"n.a."))</f>
        <v>0</v>
      </c>
      <c r="R4127" s="16">
        <f>IF(NOT(Paths!$C$381=1),0,IF(Paths!$P$381="Complete",IF(AND(C4127=0,Paths!$E$381=0),I4127-J4127-K4127+VLOOKUP(A4127,'Fleet register'!$A$7:$S$106,15,FALSE)+VLOOKUP(A4127,'Fleet register'!$A$7:$S$106,16,FALSE),0),"n.a."))</f>
        <v>0</v>
      </c>
      <c r="S4127" s="1">
        <f>IF(NOT(Paths!$C$381=1),0,IF(Paths!$P$381="Complete",IF(C4127=0,0,Paths!$S$381*Paths!$R$381),"n.a."))</f>
        <v>0</v>
      </c>
      <c r="T4127" s="1">
        <f>IF(NOT(Paths!$C$381=1),0,IF(Paths!$P$381="Complete",IF(C4127=0,0,VLOOKUP(A4127,'Fleet register'!$A$7:$S$106,9,FALSE)*Paths!$R$381),"n.a."))</f>
        <v>0</v>
      </c>
    </row>
    <row r="4128" spans="1:20" ht="24" customHeight="1">
      <c r="A4128" s="1" t="str">
        <f>Paths!$A$381</f>
        <v>T094</v>
      </c>
      <c r="B4128" s="1">
        <f>Paths!$B$381</f>
        <v>2</v>
      </c>
      <c r="C4128" s="1">
        <v>7</v>
      </c>
      <c r="D4128" s="1">
        <v>381</v>
      </c>
      <c r="E4128" s="1">
        <f>IF(OR(Paths!$C$381=0,C4128=0),0,MAX(0,MIN(C4128*12,Paths!$E$381)-(C4128-1)*12))</f>
        <v>0</v>
      </c>
      <c r="F4128" s="1">
        <f>IF(OR(Paths!$C$381=0,C4128=0),0,12-E4128)</f>
        <v>0</v>
      </c>
      <c r="G4128" s="16">
        <f>IF(NOT(Paths!$C$381=1),0,IF(Paths!$P$381="Complete",E4128/12*(Paths!$J$381*(1+'Operating costs'!$B$51)^MAX(0,C4128-1)+Paths!$K$381*(1+'Operating costs'!$B$53)^MAX(0,C4128-1)),"n.a."))</f>
        <v>0</v>
      </c>
      <c r="H4128" s="16">
        <f>IF(NOT(Paths!$C$381=1),0,IF(Paths!$P$381="Complete",F4128/12*(Paths!$L$381*(1+IF(Paths!$D$381="EV",'Operating costs'!$B$52,'Operating costs'!$B$51))^MAX(0,C4128-1)+Paths!$M$381*(1+'Operating costs'!$B$53)^MAX(0,C4128-1)),"n.a."))</f>
        <v>0</v>
      </c>
      <c r="I4128" s="16">
        <f>IF(NOT(Paths!$C$381=1),0,IF(Paths!$P$381="Complete",IF(IF(Paths!$E$381=0,C4128=0,AND(C4128&gt;0,Paths!$E$381&gt;(C4128-1)*12,Paths!$E$381&lt;=C4128*12)),Paths!$G$381,0),"n.a."))</f>
        <v>0</v>
      </c>
      <c r="J4128" s="16">
        <f>IF(NOT(Paths!$C$381=1),0,IF(Paths!$P$381="Complete",IF(IF(Paths!$E$381=0,C4128=0,AND(C4128&gt;0,Paths!$E$381&gt;(C4128-1)*12,Paths!$E$381&lt;=C4128*12)),Paths!$H$381,0),"n.a."))</f>
        <v>0</v>
      </c>
      <c r="K4128" s="16">
        <f>IF(NOT(Paths!$C$381=1),0,IF(Paths!$P$381="Complete",IF(IF(Paths!$O$381=0,C4128=0,AND(C4128&gt;0,Paths!$O$381&gt;(C4128-1)*12,Paths!$O$381&lt;=C4128*12)),Paths!$N$381,0),"n.a."))</f>
        <v>0</v>
      </c>
      <c r="L4128" s="16">
        <f>IF(NOT(Paths!$C$381=1),0,IF(Paths!$P$381="Complete",IF(C4128=10,Paths!$I$381,0),"n.a."))</f>
        <v>0</v>
      </c>
      <c r="M4128" s="16">
        <f>IF(NOT(Paths!$C$381=1),0,IF(Paths!$P$381="Complete",IF(AND(Paths!$D$381="EV",Paths!$E$381&lt;120,Paths!$E$381+'Operating costs'!$B$65&gt;Paths!$E$381,Paths!$E$381+'Operating costs'!$B$65&lt;=120,IF(Paths!$E$381+'Operating costs'!$B$65=0,C4128=0,AND(C4128&gt;0,Paths!$E$381+'Operating costs'!$B$65&gt;(C4128-1)*12,Paths!$E$381+'Operating costs'!$B$65&lt;=C4128*12))),'Operating costs'!$B$64,0)+IF(AND('Operating costs'!$B$67&gt;0,'Operating costs'!$B$67&lt;=120,OR(Paths!$D$381="ICE",'Operating costs'!$B$67&lt;=Paths!$E$381),IF('Operating costs'!$B$67=0,C4128=0,AND(C4128&gt;0,'Operating costs'!$B$67&gt;(C4128-1)*12,'Operating costs'!$B$67&lt;=C4128*12))),'Operating costs'!$B$66,0),"n.a."))</f>
        <v>0</v>
      </c>
      <c r="N4128" s="16">
        <f>IF(NOT(Paths!$C$381=1),0,IF(Paths!$P$381="Complete",SUM(G4128:I4128)-J4128-K4128-L4128+M4128+IF(C4128=0,Paths!$F$381,0)+IF(IF(Paths!$E$381=0,C4128=0,AND(C4128&gt;0,Paths!$E$381&gt;(C4128-1)*12,Paths!$E$381&lt;=C4128*12)),VLOOKUP(A4128,'Fleet register'!$A$7:$S$106,16,FALSE),0),"n.a."))</f>
        <v>0</v>
      </c>
      <c r="O4128" s="16">
        <f>IF(NOT(Paths!$C$381=1),0,IF(Paths!$P$381="Complete",N4128-IF(C4128=0,Paths!$F$381,0),"n.a."))</f>
        <v>0</v>
      </c>
      <c r="P4128" s="16">
        <f>IF(NOT(Paths!$C$381=1),0,IF(Paths!$P$381="Complete",O4128+L4128,"n.a."))</f>
        <v>0</v>
      </c>
      <c r="Q4128" s="16">
        <f>IF(NOT(Paths!$C$381=1),0,IF(Paths!$P$381="Complete",N4128*(1+'Operating costs'!$B$54)^-C4128,"n.a."))</f>
        <v>0</v>
      </c>
      <c r="R4128" s="16">
        <f>IF(NOT(Paths!$C$381=1),0,IF(Paths!$P$381="Complete",IF(AND(C4128=0,Paths!$E$381=0),I4128-J4128-K4128+VLOOKUP(A4128,'Fleet register'!$A$7:$S$106,15,FALSE)+VLOOKUP(A4128,'Fleet register'!$A$7:$S$106,16,FALSE),0),"n.a."))</f>
        <v>0</v>
      </c>
      <c r="S4128" s="1">
        <f>IF(NOT(Paths!$C$381=1),0,IF(Paths!$P$381="Complete",IF(C4128=0,0,Paths!$S$381*Paths!$R$381),"n.a."))</f>
        <v>0</v>
      </c>
      <c r="T4128" s="1">
        <f>IF(NOT(Paths!$C$381=1),0,IF(Paths!$P$381="Complete",IF(C4128=0,0,VLOOKUP(A4128,'Fleet register'!$A$7:$S$106,9,FALSE)*Paths!$R$381),"n.a."))</f>
        <v>0</v>
      </c>
    </row>
    <row r="4129" spans="1:20" ht="24" customHeight="1">
      <c r="A4129" s="1" t="str">
        <f>Paths!$A$381</f>
        <v>T094</v>
      </c>
      <c r="B4129" s="1">
        <f>Paths!$B$381</f>
        <v>2</v>
      </c>
      <c r="C4129" s="1">
        <v>8</v>
      </c>
      <c r="D4129" s="1">
        <v>381</v>
      </c>
      <c r="E4129" s="1">
        <f>IF(OR(Paths!$C$381=0,C4129=0),0,MAX(0,MIN(C4129*12,Paths!$E$381)-(C4129-1)*12))</f>
        <v>0</v>
      </c>
      <c r="F4129" s="1">
        <f>IF(OR(Paths!$C$381=0,C4129=0),0,12-E4129)</f>
        <v>0</v>
      </c>
      <c r="G4129" s="16">
        <f>IF(NOT(Paths!$C$381=1),0,IF(Paths!$P$381="Complete",E4129/12*(Paths!$J$381*(1+'Operating costs'!$B$51)^MAX(0,C4129-1)+Paths!$K$381*(1+'Operating costs'!$B$53)^MAX(0,C4129-1)),"n.a."))</f>
        <v>0</v>
      </c>
      <c r="H4129" s="16">
        <f>IF(NOT(Paths!$C$381=1),0,IF(Paths!$P$381="Complete",F4129/12*(Paths!$L$381*(1+IF(Paths!$D$381="EV",'Operating costs'!$B$52,'Operating costs'!$B$51))^MAX(0,C4129-1)+Paths!$M$381*(1+'Operating costs'!$B$53)^MAX(0,C4129-1)),"n.a."))</f>
        <v>0</v>
      </c>
      <c r="I4129" s="16">
        <f>IF(NOT(Paths!$C$381=1),0,IF(Paths!$P$381="Complete",IF(IF(Paths!$E$381=0,C4129=0,AND(C4129&gt;0,Paths!$E$381&gt;(C4129-1)*12,Paths!$E$381&lt;=C4129*12)),Paths!$G$381,0),"n.a."))</f>
        <v>0</v>
      </c>
      <c r="J4129" s="16">
        <f>IF(NOT(Paths!$C$381=1),0,IF(Paths!$P$381="Complete",IF(IF(Paths!$E$381=0,C4129=0,AND(C4129&gt;0,Paths!$E$381&gt;(C4129-1)*12,Paths!$E$381&lt;=C4129*12)),Paths!$H$381,0),"n.a."))</f>
        <v>0</v>
      </c>
      <c r="K4129" s="16">
        <f>IF(NOT(Paths!$C$381=1),0,IF(Paths!$P$381="Complete",IF(IF(Paths!$O$381=0,C4129=0,AND(C4129&gt;0,Paths!$O$381&gt;(C4129-1)*12,Paths!$O$381&lt;=C4129*12)),Paths!$N$381,0),"n.a."))</f>
        <v>0</v>
      </c>
      <c r="L4129" s="16">
        <f>IF(NOT(Paths!$C$381=1),0,IF(Paths!$P$381="Complete",IF(C4129=10,Paths!$I$381,0),"n.a."))</f>
        <v>0</v>
      </c>
      <c r="M4129" s="16">
        <f>IF(NOT(Paths!$C$381=1),0,IF(Paths!$P$381="Complete",IF(AND(Paths!$D$381="EV",Paths!$E$381&lt;120,Paths!$E$381+'Operating costs'!$B$65&gt;Paths!$E$381,Paths!$E$381+'Operating costs'!$B$65&lt;=120,IF(Paths!$E$381+'Operating costs'!$B$65=0,C4129=0,AND(C4129&gt;0,Paths!$E$381+'Operating costs'!$B$65&gt;(C4129-1)*12,Paths!$E$381+'Operating costs'!$B$65&lt;=C4129*12))),'Operating costs'!$B$64,0)+IF(AND('Operating costs'!$B$67&gt;0,'Operating costs'!$B$67&lt;=120,OR(Paths!$D$381="ICE",'Operating costs'!$B$67&lt;=Paths!$E$381),IF('Operating costs'!$B$67=0,C4129=0,AND(C4129&gt;0,'Operating costs'!$B$67&gt;(C4129-1)*12,'Operating costs'!$B$67&lt;=C4129*12))),'Operating costs'!$B$66,0),"n.a."))</f>
        <v>0</v>
      </c>
      <c r="N4129" s="16">
        <f>IF(NOT(Paths!$C$381=1),0,IF(Paths!$P$381="Complete",SUM(G4129:I4129)-J4129-K4129-L4129+M4129+IF(C4129=0,Paths!$F$381,0)+IF(IF(Paths!$E$381=0,C4129=0,AND(C4129&gt;0,Paths!$E$381&gt;(C4129-1)*12,Paths!$E$381&lt;=C4129*12)),VLOOKUP(A4129,'Fleet register'!$A$7:$S$106,16,FALSE),0),"n.a."))</f>
        <v>0</v>
      </c>
      <c r="O4129" s="16">
        <f>IF(NOT(Paths!$C$381=1),0,IF(Paths!$P$381="Complete",N4129-IF(C4129=0,Paths!$F$381,0),"n.a."))</f>
        <v>0</v>
      </c>
      <c r="P4129" s="16">
        <f>IF(NOT(Paths!$C$381=1),0,IF(Paths!$P$381="Complete",O4129+L4129,"n.a."))</f>
        <v>0</v>
      </c>
      <c r="Q4129" s="16">
        <f>IF(NOT(Paths!$C$381=1),0,IF(Paths!$P$381="Complete",N4129*(1+'Operating costs'!$B$54)^-C4129,"n.a."))</f>
        <v>0</v>
      </c>
      <c r="R4129" s="16">
        <f>IF(NOT(Paths!$C$381=1),0,IF(Paths!$P$381="Complete",IF(AND(C4129=0,Paths!$E$381=0),I4129-J4129-K4129+VLOOKUP(A4129,'Fleet register'!$A$7:$S$106,15,FALSE)+VLOOKUP(A4129,'Fleet register'!$A$7:$S$106,16,FALSE),0),"n.a."))</f>
        <v>0</v>
      </c>
      <c r="S4129" s="1">
        <f>IF(NOT(Paths!$C$381=1),0,IF(Paths!$P$381="Complete",IF(C4129=0,0,Paths!$S$381*Paths!$R$381),"n.a."))</f>
        <v>0</v>
      </c>
      <c r="T4129" s="1">
        <f>IF(NOT(Paths!$C$381=1),0,IF(Paths!$P$381="Complete",IF(C4129=0,0,VLOOKUP(A4129,'Fleet register'!$A$7:$S$106,9,FALSE)*Paths!$R$381),"n.a."))</f>
        <v>0</v>
      </c>
    </row>
    <row r="4130" spans="1:20" ht="24" customHeight="1">
      <c r="A4130" s="1" t="str">
        <f>Paths!$A$381</f>
        <v>T094</v>
      </c>
      <c r="B4130" s="1">
        <f>Paths!$B$381</f>
        <v>2</v>
      </c>
      <c r="C4130" s="1">
        <v>9</v>
      </c>
      <c r="D4130" s="1">
        <v>381</v>
      </c>
      <c r="E4130" s="1">
        <f>IF(OR(Paths!$C$381=0,C4130=0),0,MAX(0,MIN(C4130*12,Paths!$E$381)-(C4130-1)*12))</f>
        <v>0</v>
      </c>
      <c r="F4130" s="1">
        <f>IF(OR(Paths!$C$381=0,C4130=0),0,12-E4130)</f>
        <v>0</v>
      </c>
      <c r="G4130" s="16">
        <f>IF(NOT(Paths!$C$381=1),0,IF(Paths!$P$381="Complete",E4130/12*(Paths!$J$381*(1+'Operating costs'!$B$51)^MAX(0,C4130-1)+Paths!$K$381*(1+'Operating costs'!$B$53)^MAX(0,C4130-1)),"n.a."))</f>
        <v>0</v>
      </c>
      <c r="H4130" s="16">
        <f>IF(NOT(Paths!$C$381=1),0,IF(Paths!$P$381="Complete",F4130/12*(Paths!$L$381*(1+IF(Paths!$D$381="EV",'Operating costs'!$B$52,'Operating costs'!$B$51))^MAX(0,C4130-1)+Paths!$M$381*(1+'Operating costs'!$B$53)^MAX(0,C4130-1)),"n.a."))</f>
        <v>0</v>
      </c>
      <c r="I4130" s="16">
        <f>IF(NOT(Paths!$C$381=1),0,IF(Paths!$P$381="Complete",IF(IF(Paths!$E$381=0,C4130=0,AND(C4130&gt;0,Paths!$E$381&gt;(C4130-1)*12,Paths!$E$381&lt;=C4130*12)),Paths!$G$381,0),"n.a."))</f>
        <v>0</v>
      </c>
      <c r="J4130" s="16">
        <f>IF(NOT(Paths!$C$381=1),0,IF(Paths!$P$381="Complete",IF(IF(Paths!$E$381=0,C4130=0,AND(C4130&gt;0,Paths!$E$381&gt;(C4130-1)*12,Paths!$E$381&lt;=C4130*12)),Paths!$H$381,0),"n.a."))</f>
        <v>0</v>
      </c>
      <c r="K4130" s="16">
        <f>IF(NOT(Paths!$C$381=1),0,IF(Paths!$P$381="Complete",IF(IF(Paths!$O$381=0,C4130=0,AND(C4130&gt;0,Paths!$O$381&gt;(C4130-1)*12,Paths!$O$381&lt;=C4130*12)),Paths!$N$381,0),"n.a."))</f>
        <v>0</v>
      </c>
      <c r="L4130" s="16">
        <f>IF(NOT(Paths!$C$381=1),0,IF(Paths!$P$381="Complete",IF(C4130=10,Paths!$I$381,0),"n.a."))</f>
        <v>0</v>
      </c>
      <c r="M4130" s="16">
        <f>IF(NOT(Paths!$C$381=1),0,IF(Paths!$P$381="Complete",IF(AND(Paths!$D$381="EV",Paths!$E$381&lt;120,Paths!$E$381+'Operating costs'!$B$65&gt;Paths!$E$381,Paths!$E$381+'Operating costs'!$B$65&lt;=120,IF(Paths!$E$381+'Operating costs'!$B$65=0,C4130=0,AND(C4130&gt;0,Paths!$E$381+'Operating costs'!$B$65&gt;(C4130-1)*12,Paths!$E$381+'Operating costs'!$B$65&lt;=C4130*12))),'Operating costs'!$B$64,0)+IF(AND('Operating costs'!$B$67&gt;0,'Operating costs'!$B$67&lt;=120,OR(Paths!$D$381="ICE",'Operating costs'!$B$67&lt;=Paths!$E$381),IF('Operating costs'!$B$67=0,C4130=0,AND(C4130&gt;0,'Operating costs'!$B$67&gt;(C4130-1)*12,'Operating costs'!$B$67&lt;=C4130*12))),'Operating costs'!$B$66,0),"n.a."))</f>
        <v>0</v>
      </c>
      <c r="N4130" s="16">
        <f>IF(NOT(Paths!$C$381=1),0,IF(Paths!$P$381="Complete",SUM(G4130:I4130)-J4130-K4130-L4130+M4130+IF(C4130=0,Paths!$F$381,0)+IF(IF(Paths!$E$381=0,C4130=0,AND(C4130&gt;0,Paths!$E$381&gt;(C4130-1)*12,Paths!$E$381&lt;=C4130*12)),VLOOKUP(A4130,'Fleet register'!$A$7:$S$106,16,FALSE),0),"n.a."))</f>
        <v>0</v>
      </c>
      <c r="O4130" s="16">
        <f>IF(NOT(Paths!$C$381=1),0,IF(Paths!$P$381="Complete",N4130-IF(C4130=0,Paths!$F$381,0),"n.a."))</f>
        <v>0</v>
      </c>
      <c r="P4130" s="16">
        <f>IF(NOT(Paths!$C$381=1),0,IF(Paths!$P$381="Complete",O4130+L4130,"n.a."))</f>
        <v>0</v>
      </c>
      <c r="Q4130" s="16">
        <f>IF(NOT(Paths!$C$381=1),0,IF(Paths!$P$381="Complete",N4130*(1+'Operating costs'!$B$54)^-C4130,"n.a."))</f>
        <v>0</v>
      </c>
      <c r="R4130" s="16">
        <f>IF(NOT(Paths!$C$381=1),0,IF(Paths!$P$381="Complete",IF(AND(C4130=0,Paths!$E$381=0),I4130-J4130-K4130+VLOOKUP(A4130,'Fleet register'!$A$7:$S$106,15,FALSE)+VLOOKUP(A4130,'Fleet register'!$A$7:$S$106,16,FALSE),0),"n.a."))</f>
        <v>0</v>
      </c>
      <c r="S4130" s="1">
        <f>IF(NOT(Paths!$C$381=1),0,IF(Paths!$P$381="Complete",IF(C4130=0,0,Paths!$S$381*Paths!$R$381),"n.a."))</f>
        <v>0</v>
      </c>
      <c r="T4130" s="1">
        <f>IF(NOT(Paths!$C$381=1),0,IF(Paths!$P$381="Complete",IF(C4130=0,0,VLOOKUP(A4130,'Fleet register'!$A$7:$S$106,9,FALSE)*Paths!$R$381),"n.a."))</f>
        <v>0</v>
      </c>
    </row>
    <row r="4131" spans="1:20" ht="24" customHeight="1">
      <c r="A4131" s="1" t="str">
        <f>Paths!$A$381</f>
        <v>T094</v>
      </c>
      <c r="B4131" s="1">
        <f>Paths!$B$381</f>
        <v>2</v>
      </c>
      <c r="C4131" s="1">
        <v>10</v>
      </c>
      <c r="D4131" s="1">
        <v>381</v>
      </c>
      <c r="E4131" s="1">
        <f>IF(OR(Paths!$C$381=0,C4131=0),0,MAX(0,MIN(C4131*12,Paths!$E$381)-(C4131-1)*12))</f>
        <v>0</v>
      </c>
      <c r="F4131" s="1">
        <f>IF(OR(Paths!$C$381=0,C4131=0),0,12-E4131)</f>
        <v>0</v>
      </c>
      <c r="G4131" s="16">
        <f>IF(NOT(Paths!$C$381=1),0,IF(Paths!$P$381="Complete",E4131/12*(Paths!$J$381*(1+'Operating costs'!$B$51)^MAX(0,C4131-1)+Paths!$K$381*(1+'Operating costs'!$B$53)^MAX(0,C4131-1)),"n.a."))</f>
        <v>0</v>
      </c>
      <c r="H4131" s="16">
        <f>IF(NOT(Paths!$C$381=1),0,IF(Paths!$P$381="Complete",F4131/12*(Paths!$L$381*(1+IF(Paths!$D$381="EV",'Operating costs'!$B$52,'Operating costs'!$B$51))^MAX(0,C4131-1)+Paths!$M$381*(1+'Operating costs'!$B$53)^MAX(0,C4131-1)),"n.a."))</f>
        <v>0</v>
      </c>
      <c r="I4131" s="16">
        <f>IF(NOT(Paths!$C$381=1),0,IF(Paths!$P$381="Complete",IF(IF(Paths!$E$381=0,C4131=0,AND(C4131&gt;0,Paths!$E$381&gt;(C4131-1)*12,Paths!$E$381&lt;=C4131*12)),Paths!$G$381,0),"n.a."))</f>
        <v>0</v>
      </c>
      <c r="J4131" s="16">
        <f>IF(NOT(Paths!$C$381=1),0,IF(Paths!$P$381="Complete",IF(IF(Paths!$E$381=0,C4131=0,AND(C4131&gt;0,Paths!$E$381&gt;(C4131-1)*12,Paths!$E$381&lt;=C4131*12)),Paths!$H$381,0),"n.a."))</f>
        <v>0</v>
      </c>
      <c r="K4131" s="16">
        <f>IF(NOT(Paths!$C$381=1),0,IF(Paths!$P$381="Complete",IF(IF(Paths!$O$381=0,C4131=0,AND(C4131&gt;0,Paths!$O$381&gt;(C4131-1)*12,Paths!$O$381&lt;=C4131*12)),Paths!$N$381,0),"n.a."))</f>
        <v>0</v>
      </c>
      <c r="L4131" s="16">
        <f>IF(NOT(Paths!$C$381=1),0,IF(Paths!$P$381="Complete",IF(C4131=10,Paths!$I$381,0),"n.a."))</f>
        <v>0</v>
      </c>
      <c r="M4131" s="16">
        <f>IF(NOT(Paths!$C$381=1),0,IF(Paths!$P$381="Complete",IF(AND(Paths!$D$381="EV",Paths!$E$381&lt;120,Paths!$E$381+'Operating costs'!$B$65&gt;Paths!$E$381,Paths!$E$381+'Operating costs'!$B$65&lt;=120,IF(Paths!$E$381+'Operating costs'!$B$65=0,C4131=0,AND(C4131&gt;0,Paths!$E$381+'Operating costs'!$B$65&gt;(C4131-1)*12,Paths!$E$381+'Operating costs'!$B$65&lt;=C4131*12))),'Operating costs'!$B$64,0)+IF(AND('Operating costs'!$B$67&gt;0,'Operating costs'!$B$67&lt;=120,OR(Paths!$D$381="ICE",'Operating costs'!$B$67&lt;=Paths!$E$381),IF('Operating costs'!$B$67=0,C4131=0,AND(C4131&gt;0,'Operating costs'!$B$67&gt;(C4131-1)*12,'Operating costs'!$B$67&lt;=C4131*12))),'Operating costs'!$B$66,0),"n.a."))</f>
        <v>0</v>
      </c>
      <c r="N4131" s="16">
        <f>IF(NOT(Paths!$C$381=1),0,IF(Paths!$P$381="Complete",SUM(G4131:I4131)-J4131-K4131-L4131+M4131+IF(C4131=0,Paths!$F$381,0)+IF(IF(Paths!$E$381=0,C4131=0,AND(C4131&gt;0,Paths!$E$381&gt;(C4131-1)*12,Paths!$E$381&lt;=C4131*12)),VLOOKUP(A4131,'Fleet register'!$A$7:$S$106,16,FALSE),0),"n.a."))</f>
        <v>0</v>
      </c>
      <c r="O4131" s="16">
        <f>IF(NOT(Paths!$C$381=1),0,IF(Paths!$P$381="Complete",N4131-IF(C4131=0,Paths!$F$381,0),"n.a."))</f>
        <v>0</v>
      </c>
      <c r="P4131" s="16">
        <f>IF(NOT(Paths!$C$381=1),0,IF(Paths!$P$381="Complete",O4131+L4131,"n.a."))</f>
        <v>0</v>
      </c>
      <c r="Q4131" s="16">
        <f>IF(NOT(Paths!$C$381=1),0,IF(Paths!$P$381="Complete",N4131*(1+'Operating costs'!$B$54)^-C4131,"n.a."))</f>
        <v>0</v>
      </c>
      <c r="R4131" s="16">
        <f>IF(NOT(Paths!$C$381=1),0,IF(Paths!$P$381="Complete",IF(AND(C4131=0,Paths!$E$381=0),I4131-J4131-K4131+VLOOKUP(A4131,'Fleet register'!$A$7:$S$106,15,FALSE)+VLOOKUP(A4131,'Fleet register'!$A$7:$S$106,16,FALSE),0),"n.a."))</f>
        <v>0</v>
      </c>
      <c r="S4131" s="1">
        <f>IF(NOT(Paths!$C$381=1),0,IF(Paths!$P$381="Complete",IF(C4131=0,0,Paths!$S$381*Paths!$R$381),"n.a."))</f>
        <v>0</v>
      </c>
      <c r="T4131" s="1">
        <f>IF(NOT(Paths!$C$381=1),0,IF(Paths!$P$381="Complete",IF(C4131=0,0,VLOOKUP(A4131,'Fleet register'!$A$7:$S$106,9,FALSE)*Paths!$R$381),"n.a."))</f>
        <v>0</v>
      </c>
    </row>
    <row r="4132" spans="1:20" ht="24" customHeight="1">
      <c r="A4132" s="1" t="str">
        <f>Paths!$A$382</f>
        <v>T094</v>
      </c>
      <c r="B4132" s="1">
        <f>Paths!$B$382</f>
        <v>3</v>
      </c>
      <c r="C4132" s="1">
        <v>0</v>
      </c>
      <c r="D4132" s="1">
        <v>382</v>
      </c>
      <c r="E4132" s="1">
        <f>IF(OR(Paths!$C$382=0,C4132=0),0,MAX(0,MIN(C4132*12,Paths!$E$382)-(C4132-1)*12))</f>
        <v>0</v>
      </c>
      <c r="F4132" s="1">
        <f>IF(OR(Paths!$C$382=0,C4132=0),0,12-E4132)</f>
        <v>0</v>
      </c>
      <c r="G4132" s="16">
        <f>IF(NOT(Paths!$C$382=1),0,IF(Paths!$P$382="Complete",E4132/12*(Paths!$J$382*(1+'Operating costs'!$B$51)^MAX(0,C4132-1)+Paths!$K$382*(1+'Operating costs'!$B$53)^MAX(0,C4132-1)),"n.a."))</f>
        <v>0</v>
      </c>
      <c r="H4132" s="16">
        <f>IF(NOT(Paths!$C$382=1),0,IF(Paths!$P$382="Complete",F4132/12*(Paths!$L$382*(1+IF(Paths!$D$382="EV",'Operating costs'!$B$52,'Operating costs'!$B$51))^MAX(0,C4132-1)+Paths!$M$382*(1+'Operating costs'!$B$53)^MAX(0,C4132-1)),"n.a."))</f>
        <v>0</v>
      </c>
      <c r="I4132" s="16">
        <f>IF(NOT(Paths!$C$382=1),0,IF(Paths!$P$382="Complete",IF(IF(Paths!$E$382=0,C4132=0,AND(C4132&gt;0,Paths!$E$382&gt;(C4132-1)*12,Paths!$E$382&lt;=C4132*12)),Paths!$G$382,0),"n.a."))</f>
        <v>0</v>
      </c>
      <c r="J4132" s="16">
        <f>IF(NOT(Paths!$C$382=1),0,IF(Paths!$P$382="Complete",IF(IF(Paths!$E$382=0,C4132=0,AND(C4132&gt;0,Paths!$E$382&gt;(C4132-1)*12,Paths!$E$382&lt;=C4132*12)),Paths!$H$382,0),"n.a."))</f>
        <v>0</v>
      </c>
      <c r="K4132" s="16">
        <f>IF(NOT(Paths!$C$382=1),0,IF(Paths!$P$382="Complete",IF(IF(Paths!$O$382=0,C4132=0,AND(C4132&gt;0,Paths!$O$382&gt;(C4132-1)*12,Paths!$O$382&lt;=C4132*12)),Paths!$N$382,0),"n.a."))</f>
        <v>0</v>
      </c>
      <c r="L4132" s="16">
        <f>IF(NOT(Paths!$C$382=1),0,IF(Paths!$P$382="Complete",IF(C4132=10,Paths!$I$382,0),"n.a."))</f>
        <v>0</v>
      </c>
      <c r="M4132" s="16">
        <f>IF(NOT(Paths!$C$382=1),0,IF(Paths!$P$382="Complete",IF(AND(Paths!$D$382="EV",Paths!$E$382&lt;120,Paths!$E$382+'Operating costs'!$B$65&gt;Paths!$E$382,Paths!$E$382+'Operating costs'!$B$65&lt;=120,IF(Paths!$E$382+'Operating costs'!$B$65=0,C4132=0,AND(C4132&gt;0,Paths!$E$382+'Operating costs'!$B$65&gt;(C4132-1)*12,Paths!$E$382+'Operating costs'!$B$65&lt;=C4132*12))),'Operating costs'!$B$64,0)+IF(AND('Operating costs'!$B$67&gt;0,'Operating costs'!$B$67&lt;=120,OR(Paths!$D$382="ICE",'Operating costs'!$B$67&lt;=Paths!$E$382),IF('Operating costs'!$B$67=0,C4132=0,AND(C4132&gt;0,'Operating costs'!$B$67&gt;(C4132-1)*12,'Operating costs'!$B$67&lt;=C4132*12))),'Operating costs'!$B$66,0),"n.a."))</f>
        <v>0</v>
      </c>
      <c r="N4132" s="16">
        <f>IF(NOT(Paths!$C$382=1),0,IF(Paths!$P$382="Complete",SUM(G4132:I4132)-J4132-K4132-L4132+M4132+IF(C4132=0,Paths!$F$382,0)+IF(IF(Paths!$E$382=0,C4132=0,AND(C4132&gt;0,Paths!$E$382&gt;(C4132-1)*12,Paths!$E$382&lt;=C4132*12)),VLOOKUP(A4132,'Fleet register'!$A$7:$S$106,16,FALSE),0),"n.a."))</f>
        <v>0</v>
      </c>
      <c r="O4132" s="16">
        <f>IF(NOT(Paths!$C$382=1),0,IF(Paths!$P$382="Complete",N4132-IF(C4132=0,Paths!$F$382,0),"n.a."))</f>
        <v>0</v>
      </c>
      <c r="P4132" s="16">
        <f>IF(NOT(Paths!$C$382=1),0,IF(Paths!$P$382="Complete",O4132+L4132,"n.a."))</f>
        <v>0</v>
      </c>
      <c r="Q4132" s="16">
        <f>IF(NOT(Paths!$C$382=1),0,IF(Paths!$P$382="Complete",N4132*(1+'Operating costs'!$B$54)^-C4132,"n.a."))</f>
        <v>0</v>
      </c>
      <c r="R4132" s="16">
        <f>IF(NOT(Paths!$C$382=1),0,IF(Paths!$P$382="Complete",IF(AND(C4132=0,Paths!$E$382=0),I4132-J4132-K4132+VLOOKUP(A4132,'Fleet register'!$A$7:$S$106,15,FALSE)+VLOOKUP(A4132,'Fleet register'!$A$7:$S$106,16,FALSE),0),"n.a."))</f>
        <v>0</v>
      </c>
      <c r="S4132" s="1">
        <f>IF(NOT(Paths!$C$382=1),0,IF(Paths!$P$382="Complete",IF(C4132=0,0,Paths!$S$382*Paths!$R$382),"n.a."))</f>
        <v>0</v>
      </c>
      <c r="T4132" s="1">
        <f>IF(NOT(Paths!$C$382=1),0,IF(Paths!$P$382="Complete",IF(C4132=0,0,VLOOKUP(A4132,'Fleet register'!$A$7:$S$106,9,FALSE)*Paths!$R$382),"n.a."))</f>
        <v>0</v>
      </c>
    </row>
    <row r="4133" spans="1:20" ht="24" customHeight="1">
      <c r="A4133" s="1" t="str">
        <f>Paths!$A$382</f>
        <v>T094</v>
      </c>
      <c r="B4133" s="1">
        <f>Paths!$B$382</f>
        <v>3</v>
      </c>
      <c r="C4133" s="1">
        <v>1</v>
      </c>
      <c r="D4133" s="1">
        <v>382</v>
      </c>
      <c r="E4133" s="1">
        <f>IF(OR(Paths!$C$382=0,C4133=0),0,MAX(0,MIN(C4133*12,Paths!$E$382)-(C4133-1)*12))</f>
        <v>0</v>
      </c>
      <c r="F4133" s="1">
        <f>IF(OR(Paths!$C$382=0,C4133=0),0,12-E4133)</f>
        <v>0</v>
      </c>
      <c r="G4133" s="16">
        <f>IF(NOT(Paths!$C$382=1),0,IF(Paths!$P$382="Complete",E4133/12*(Paths!$J$382*(1+'Operating costs'!$B$51)^MAX(0,C4133-1)+Paths!$K$382*(1+'Operating costs'!$B$53)^MAX(0,C4133-1)),"n.a."))</f>
        <v>0</v>
      </c>
      <c r="H4133" s="16">
        <f>IF(NOT(Paths!$C$382=1),0,IF(Paths!$P$382="Complete",F4133/12*(Paths!$L$382*(1+IF(Paths!$D$382="EV",'Operating costs'!$B$52,'Operating costs'!$B$51))^MAX(0,C4133-1)+Paths!$M$382*(1+'Operating costs'!$B$53)^MAX(0,C4133-1)),"n.a."))</f>
        <v>0</v>
      </c>
      <c r="I4133" s="16">
        <f>IF(NOT(Paths!$C$382=1),0,IF(Paths!$P$382="Complete",IF(IF(Paths!$E$382=0,C4133=0,AND(C4133&gt;0,Paths!$E$382&gt;(C4133-1)*12,Paths!$E$382&lt;=C4133*12)),Paths!$G$382,0),"n.a."))</f>
        <v>0</v>
      </c>
      <c r="J4133" s="16">
        <f>IF(NOT(Paths!$C$382=1),0,IF(Paths!$P$382="Complete",IF(IF(Paths!$E$382=0,C4133=0,AND(C4133&gt;0,Paths!$E$382&gt;(C4133-1)*12,Paths!$E$382&lt;=C4133*12)),Paths!$H$382,0),"n.a."))</f>
        <v>0</v>
      </c>
      <c r="K4133" s="16">
        <f>IF(NOT(Paths!$C$382=1),0,IF(Paths!$P$382="Complete",IF(IF(Paths!$O$382=0,C4133=0,AND(C4133&gt;0,Paths!$O$382&gt;(C4133-1)*12,Paths!$O$382&lt;=C4133*12)),Paths!$N$382,0),"n.a."))</f>
        <v>0</v>
      </c>
      <c r="L4133" s="16">
        <f>IF(NOT(Paths!$C$382=1),0,IF(Paths!$P$382="Complete",IF(C4133=10,Paths!$I$382,0),"n.a."))</f>
        <v>0</v>
      </c>
      <c r="M4133" s="16">
        <f>IF(NOT(Paths!$C$382=1),0,IF(Paths!$P$382="Complete",IF(AND(Paths!$D$382="EV",Paths!$E$382&lt;120,Paths!$E$382+'Operating costs'!$B$65&gt;Paths!$E$382,Paths!$E$382+'Operating costs'!$B$65&lt;=120,IF(Paths!$E$382+'Operating costs'!$B$65=0,C4133=0,AND(C4133&gt;0,Paths!$E$382+'Operating costs'!$B$65&gt;(C4133-1)*12,Paths!$E$382+'Operating costs'!$B$65&lt;=C4133*12))),'Operating costs'!$B$64,0)+IF(AND('Operating costs'!$B$67&gt;0,'Operating costs'!$B$67&lt;=120,OR(Paths!$D$382="ICE",'Operating costs'!$B$67&lt;=Paths!$E$382),IF('Operating costs'!$B$67=0,C4133=0,AND(C4133&gt;0,'Operating costs'!$B$67&gt;(C4133-1)*12,'Operating costs'!$B$67&lt;=C4133*12))),'Operating costs'!$B$66,0),"n.a."))</f>
        <v>0</v>
      </c>
      <c r="N4133" s="16">
        <f>IF(NOT(Paths!$C$382=1),0,IF(Paths!$P$382="Complete",SUM(G4133:I4133)-J4133-K4133-L4133+M4133+IF(C4133=0,Paths!$F$382,0)+IF(IF(Paths!$E$382=0,C4133=0,AND(C4133&gt;0,Paths!$E$382&gt;(C4133-1)*12,Paths!$E$382&lt;=C4133*12)),VLOOKUP(A4133,'Fleet register'!$A$7:$S$106,16,FALSE),0),"n.a."))</f>
        <v>0</v>
      </c>
      <c r="O4133" s="16">
        <f>IF(NOT(Paths!$C$382=1),0,IF(Paths!$P$382="Complete",N4133-IF(C4133=0,Paths!$F$382,0),"n.a."))</f>
        <v>0</v>
      </c>
      <c r="P4133" s="16">
        <f>IF(NOT(Paths!$C$382=1),0,IF(Paths!$P$382="Complete",O4133+L4133,"n.a."))</f>
        <v>0</v>
      </c>
      <c r="Q4133" s="16">
        <f>IF(NOT(Paths!$C$382=1),0,IF(Paths!$P$382="Complete",N4133*(1+'Operating costs'!$B$54)^-C4133,"n.a."))</f>
        <v>0</v>
      </c>
      <c r="R4133" s="16">
        <f>IF(NOT(Paths!$C$382=1),0,IF(Paths!$P$382="Complete",IF(AND(C4133=0,Paths!$E$382=0),I4133-J4133-K4133+VLOOKUP(A4133,'Fleet register'!$A$7:$S$106,15,FALSE)+VLOOKUP(A4133,'Fleet register'!$A$7:$S$106,16,FALSE),0),"n.a."))</f>
        <v>0</v>
      </c>
      <c r="S4133" s="1">
        <f>IF(NOT(Paths!$C$382=1),0,IF(Paths!$P$382="Complete",IF(C4133=0,0,Paths!$S$382*Paths!$R$382),"n.a."))</f>
        <v>0</v>
      </c>
      <c r="T4133" s="1">
        <f>IF(NOT(Paths!$C$382=1),0,IF(Paths!$P$382="Complete",IF(C4133=0,0,VLOOKUP(A4133,'Fleet register'!$A$7:$S$106,9,FALSE)*Paths!$R$382),"n.a."))</f>
        <v>0</v>
      </c>
    </row>
    <row r="4134" spans="1:20" ht="24" customHeight="1">
      <c r="A4134" s="1" t="str">
        <f>Paths!$A$382</f>
        <v>T094</v>
      </c>
      <c r="B4134" s="1">
        <f>Paths!$B$382</f>
        <v>3</v>
      </c>
      <c r="C4134" s="1">
        <v>2</v>
      </c>
      <c r="D4134" s="1">
        <v>382</v>
      </c>
      <c r="E4134" s="1">
        <f>IF(OR(Paths!$C$382=0,C4134=0),0,MAX(0,MIN(C4134*12,Paths!$E$382)-(C4134-1)*12))</f>
        <v>0</v>
      </c>
      <c r="F4134" s="1">
        <f>IF(OR(Paths!$C$382=0,C4134=0),0,12-E4134)</f>
        <v>0</v>
      </c>
      <c r="G4134" s="16">
        <f>IF(NOT(Paths!$C$382=1),0,IF(Paths!$P$382="Complete",E4134/12*(Paths!$J$382*(1+'Operating costs'!$B$51)^MAX(0,C4134-1)+Paths!$K$382*(1+'Operating costs'!$B$53)^MAX(0,C4134-1)),"n.a."))</f>
        <v>0</v>
      </c>
      <c r="H4134" s="16">
        <f>IF(NOT(Paths!$C$382=1),0,IF(Paths!$P$382="Complete",F4134/12*(Paths!$L$382*(1+IF(Paths!$D$382="EV",'Operating costs'!$B$52,'Operating costs'!$B$51))^MAX(0,C4134-1)+Paths!$M$382*(1+'Operating costs'!$B$53)^MAX(0,C4134-1)),"n.a."))</f>
        <v>0</v>
      </c>
      <c r="I4134" s="16">
        <f>IF(NOT(Paths!$C$382=1),0,IF(Paths!$P$382="Complete",IF(IF(Paths!$E$382=0,C4134=0,AND(C4134&gt;0,Paths!$E$382&gt;(C4134-1)*12,Paths!$E$382&lt;=C4134*12)),Paths!$G$382,0),"n.a."))</f>
        <v>0</v>
      </c>
      <c r="J4134" s="16">
        <f>IF(NOT(Paths!$C$382=1),0,IF(Paths!$P$382="Complete",IF(IF(Paths!$E$382=0,C4134=0,AND(C4134&gt;0,Paths!$E$382&gt;(C4134-1)*12,Paths!$E$382&lt;=C4134*12)),Paths!$H$382,0),"n.a."))</f>
        <v>0</v>
      </c>
      <c r="K4134" s="16">
        <f>IF(NOT(Paths!$C$382=1),0,IF(Paths!$P$382="Complete",IF(IF(Paths!$O$382=0,C4134=0,AND(C4134&gt;0,Paths!$O$382&gt;(C4134-1)*12,Paths!$O$382&lt;=C4134*12)),Paths!$N$382,0),"n.a."))</f>
        <v>0</v>
      </c>
      <c r="L4134" s="16">
        <f>IF(NOT(Paths!$C$382=1),0,IF(Paths!$P$382="Complete",IF(C4134=10,Paths!$I$382,0),"n.a."))</f>
        <v>0</v>
      </c>
      <c r="M4134" s="16">
        <f>IF(NOT(Paths!$C$382=1),0,IF(Paths!$P$382="Complete",IF(AND(Paths!$D$382="EV",Paths!$E$382&lt;120,Paths!$E$382+'Operating costs'!$B$65&gt;Paths!$E$382,Paths!$E$382+'Operating costs'!$B$65&lt;=120,IF(Paths!$E$382+'Operating costs'!$B$65=0,C4134=0,AND(C4134&gt;0,Paths!$E$382+'Operating costs'!$B$65&gt;(C4134-1)*12,Paths!$E$382+'Operating costs'!$B$65&lt;=C4134*12))),'Operating costs'!$B$64,0)+IF(AND('Operating costs'!$B$67&gt;0,'Operating costs'!$B$67&lt;=120,OR(Paths!$D$382="ICE",'Operating costs'!$B$67&lt;=Paths!$E$382),IF('Operating costs'!$B$67=0,C4134=0,AND(C4134&gt;0,'Operating costs'!$B$67&gt;(C4134-1)*12,'Operating costs'!$B$67&lt;=C4134*12))),'Operating costs'!$B$66,0),"n.a."))</f>
        <v>0</v>
      </c>
      <c r="N4134" s="16">
        <f>IF(NOT(Paths!$C$382=1),0,IF(Paths!$P$382="Complete",SUM(G4134:I4134)-J4134-K4134-L4134+M4134+IF(C4134=0,Paths!$F$382,0)+IF(IF(Paths!$E$382=0,C4134=0,AND(C4134&gt;0,Paths!$E$382&gt;(C4134-1)*12,Paths!$E$382&lt;=C4134*12)),VLOOKUP(A4134,'Fleet register'!$A$7:$S$106,16,FALSE),0),"n.a."))</f>
        <v>0</v>
      </c>
      <c r="O4134" s="16">
        <f>IF(NOT(Paths!$C$382=1),0,IF(Paths!$P$382="Complete",N4134-IF(C4134=0,Paths!$F$382,0),"n.a."))</f>
        <v>0</v>
      </c>
      <c r="P4134" s="16">
        <f>IF(NOT(Paths!$C$382=1),0,IF(Paths!$P$382="Complete",O4134+L4134,"n.a."))</f>
        <v>0</v>
      </c>
      <c r="Q4134" s="16">
        <f>IF(NOT(Paths!$C$382=1),0,IF(Paths!$P$382="Complete",N4134*(1+'Operating costs'!$B$54)^-C4134,"n.a."))</f>
        <v>0</v>
      </c>
      <c r="R4134" s="16">
        <f>IF(NOT(Paths!$C$382=1),0,IF(Paths!$P$382="Complete",IF(AND(C4134=0,Paths!$E$382=0),I4134-J4134-K4134+VLOOKUP(A4134,'Fleet register'!$A$7:$S$106,15,FALSE)+VLOOKUP(A4134,'Fleet register'!$A$7:$S$106,16,FALSE),0),"n.a."))</f>
        <v>0</v>
      </c>
      <c r="S4134" s="1">
        <f>IF(NOT(Paths!$C$382=1),0,IF(Paths!$P$382="Complete",IF(C4134=0,0,Paths!$S$382*Paths!$R$382),"n.a."))</f>
        <v>0</v>
      </c>
      <c r="T4134" s="1">
        <f>IF(NOT(Paths!$C$382=1),0,IF(Paths!$P$382="Complete",IF(C4134=0,0,VLOOKUP(A4134,'Fleet register'!$A$7:$S$106,9,FALSE)*Paths!$R$382),"n.a."))</f>
        <v>0</v>
      </c>
    </row>
    <row r="4135" spans="1:20" ht="24" customHeight="1">
      <c r="A4135" s="1" t="str">
        <f>Paths!$A$382</f>
        <v>T094</v>
      </c>
      <c r="B4135" s="1">
        <f>Paths!$B$382</f>
        <v>3</v>
      </c>
      <c r="C4135" s="1">
        <v>3</v>
      </c>
      <c r="D4135" s="1">
        <v>382</v>
      </c>
      <c r="E4135" s="1">
        <f>IF(OR(Paths!$C$382=0,C4135=0),0,MAX(0,MIN(C4135*12,Paths!$E$382)-(C4135-1)*12))</f>
        <v>0</v>
      </c>
      <c r="F4135" s="1">
        <f>IF(OR(Paths!$C$382=0,C4135=0),0,12-E4135)</f>
        <v>0</v>
      </c>
      <c r="G4135" s="16">
        <f>IF(NOT(Paths!$C$382=1),0,IF(Paths!$P$382="Complete",E4135/12*(Paths!$J$382*(1+'Operating costs'!$B$51)^MAX(0,C4135-1)+Paths!$K$382*(1+'Operating costs'!$B$53)^MAX(0,C4135-1)),"n.a."))</f>
        <v>0</v>
      </c>
      <c r="H4135" s="16">
        <f>IF(NOT(Paths!$C$382=1),0,IF(Paths!$P$382="Complete",F4135/12*(Paths!$L$382*(1+IF(Paths!$D$382="EV",'Operating costs'!$B$52,'Operating costs'!$B$51))^MAX(0,C4135-1)+Paths!$M$382*(1+'Operating costs'!$B$53)^MAX(0,C4135-1)),"n.a."))</f>
        <v>0</v>
      </c>
      <c r="I4135" s="16">
        <f>IF(NOT(Paths!$C$382=1),0,IF(Paths!$P$382="Complete",IF(IF(Paths!$E$382=0,C4135=0,AND(C4135&gt;0,Paths!$E$382&gt;(C4135-1)*12,Paths!$E$382&lt;=C4135*12)),Paths!$G$382,0),"n.a."))</f>
        <v>0</v>
      </c>
      <c r="J4135" s="16">
        <f>IF(NOT(Paths!$C$382=1),0,IF(Paths!$P$382="Complete",IF(IF(Paths!$E$382=0,C4135=0,AND(C4135&gt;0,Paths!$E$382&gt;(C4135-1)*12,Paths!$E$382&lt;=C4135*12)),Paths!$H$382,0),"n.a."))</f>
        <v>0</v>
      </c>
      <c r="K4135" s="16">
        <f>IF(NOT(Paths!$C$382=1),0,IF(Paths!$P$382="Complete",IF(IF(Paths!$O$382=0,C4135=0,AND(C4135&gt;0,Paths!$O$382&gt;(C4135-1)*12,Paths!$O$382&lt;=C4135*12)),Paths!$N$382,0),"n.a."))</f>
        <v>0</v>
      </c>
      <c r="L4135" s="16">
        <f>IF(NOT(Paths!$C$382=1),0,IF(Paths!$P$382="Complete",IF(C4135=10,Paths!$I$382,0),"n.a."))</f>
        <v>0</v>
      </c>
      <c r="M4135" s="16">
        <f>IF(NOT(Paths!$C$382=1),0,IF(Paths!$P$382="Complete",IF(AND(Paths!$D$382="EV",Paths!$E$382&lt;120,Paths!$E$382+'Operating costs'!$B$65&gt;Paths!$E$382,Paths!$E$382+'Operating costs'!$B$65&lt;=120,IF(Paths!$E$382+'Operating costs'!$B$65=0,C4135=0,AND(C4135&gt;0,Paths!$E$382+'Operating costs'!$B$65&gt;(C4135-1)*12,Paths!$E$382+'Operating costs'!$B$65&lt;=C4135*12))),'Operating costs'!$B$64,0)+IF(AND('Operating costs'!$B$67&gt;0,'Operating costs'!$B$67&lt;=120,OR(Paths!$D$382="ICE",'Operating costs'!$B$67&lt;=Paths!$E$382),IF('Operating costs'!$B$67=0,C4135=0,AND(C4135&gt;0,'Operating costs'!$B$67&gt;(C4135-1)*12,'Operating costs'!$B$67&lt;=C4135*12))),'Operating costs'!$B$66,0),"n.a."))</f>
        <v>0</v>
      </c>
      <c r="N4135" s="16">
        <f>IF(NOT(Paths!$C$382=1),0,IF(Paths!$P$382="Complete",SUM(G4135:I4135)-J4135-K4135-L4135+M4135+IF(C4135=0,Paths!$F$382,0)+IF(IF(Paths!$E$382=0,C4135=0,AND(C4135&gt;0,Paths!$E$382&gt;(C4135-1)*12,Paths!$E$382&lt;=C4135*12)),VLOOKUP(A4135,'Fleet register'!$A$7:$S$106,16,FALSE),0),"n.a."))</f>
        <v>0</v>
      </c>
      <c r="O4135" s="16">
        <f>IF(NOT(Paths!$C$382=1),0,IF(Paths!$P$382="Complete",N4135-IF(C4135=0,Paths!$F$382,0),"n.a."))</f>
        <v>0</v>
      </c>
      <c r="P4135" s="16">
        <f>IF(NOT(Paths!$C$382=1),0,IF(Paths!$P$382="Complete",O4135+L4135,"n.a."))</f>
        <v>0</v>
      </c>
      <c r="Q4135" s="16">
        <f>IF(NOT(Paths!$C$382=1),0,IF(Paths!$P$382="Complete",N4135*(1+'Operating costs'!$B$54)^-C4135,"n.a."))</f>
        <v>0</v>
      </c>
      <c r="R4135" s="16">
        <f>IF(NOT(Paths!$C$382=1),0,IF(Paths!$P$382="Complete",IF(AND(C4135=0,Paths!$E$382=0),I4135-J4135-K4135+VLOOKUP(A4135,'Fleet register'!$A$7:$S$106,15,FALSE)+VLOOKUP(A4135,'Fleet register'!$A$7:$S$106,16,FALSE),0),"n.a."))</f>
        <v>0</v>
      </c>
      <c r="S4135" s="1">
        <f>IF(NOT(Paths!$C$382=1),0,IF(Paths!$P$382="Complete",IF(C4135=0,0,Paths!$S$382*Paths!$R$382),"n.a."))</f>
        <v>0</v>
      </c>
      <c r="T4135" s="1">
        <f>IF(NOT(Paths!$C$382=1),0,IF(Paths!$P$382="Complete",IF(C4135=0,0,VLOOKUP(A4135,'Fleet register'!$A$7:$S$106,9,FALSE)*Paths!$R$382),"n.a."))</f>
        <v>0</v>
      </c>
    </row>
    <row r="4136" spans="1:20" ht="24" customHeight="1">
      <c r="A4136" s="1" t="str">
        <f>Paths!$A$382</f>
        <v>T094</v>
      </c>
      <c r="B4136" s="1">
        <f>Paths!$B$382</f>
        <v>3</v>
      </c>
      <c r="C4136" s="1">
        <v>4</v>
      </c>
      <c r="D4136" s="1">
        <v>382</v>
      </c>
      <c r="E4136" s="1">
        <f>IF(OR(Paths!$C$382=0,C4136=0),0,MAX(0,MIN(C4136*12,Paths!$E$382)-(C4136-1)*12))</f>
        <v>0</v>
      </c>
      <c r="F4136" s="1">
        <f>IF(OR(Paths!$C$382=0,C4136=0),0,12-E4136)</f>
        <v>0</v>
      </c>
      <c r="G4136" s="16">
        <f>IF(NOT(Paths!$C$382=1),0,IF(Paths!$P$382="Complete",E4136/12*(Paths!$J$382*(1+'Operating costs'!$B$51)^MAX(0,C4136-1)+Paths!$K$382*(1+'Operating costs'!$B$53)^MAX(0,C4136-1)),"n.a."))</f>
        <v>0</v>
      </c>
      <c r="H4136" s="16">
        <f>IF(NOT(Paths!$C$382=1),0,IF(Paths!$P$382="Complete",F4136/12*(Paths!$L$382*(1+IF(Paths!$D$382="EV",'Operating costs'!$B$52,'Operating costs'!$B$51))^MAX(0,C4136-1)+Paths!$M$382*(1+'Operating costs'!$B$53)^MAX(0,C4136-1)),"n.a."))</f>
        <v>0</v>
      </c>
      <c r="I4136" s="16">
        <f>IF(NOT(Paths!$C$382=1),0,IF(Paths!$P$382="Complete",IF(IF(Paths!$E$382=0,C4136=0,AND(C4136&gt;0,Paths!$E$382&gt;(C4136-1)*12,Paths!$E$382&lt;=C4136*12)),Paths!$G$382,0),"n.a."))</f>
        <v>0</v>
      </c>
      <c r="J4136" s="16">
        <f>IF(NOT(Paths!$C$382=1),0,IF(Paths!$P$382="Complete",IF(IF(Paths!$E$382=0,C4136=0,AND(C4136&gt;0,Paths!$E$382&gt;(C4136-1)*12,Paths!$E$382&lt;=C4136*12)),Paths!$H$382,0),"n.a."))</f>
        <v>0</v>
      </c>
      <c r="K4136" s="16">
        <f>IF(NOT(Paths!$C$382=1),0,IF(Paths!$P$382="Complete",IF(IF(Paths!$O$382=0,C4136=0,AND(C4136&gt;0,Paths!$O$382&gt;(C4136-1)*12,Paths!$O$382&lt;=C4136*12)),Paths!$N$382,0),"n.a."))</f>
        <v>0</v>
      </c>
      <c r="L4136" s="16">
        <f>IF(NOT(Paths!$C$382=1),0,IF(Paths!$P$382="Complete",IF(C4136=10,Paths!$I$382,0),"n.a."))</f>
        <v>0</v>
      </c>
      <c r="M4136" s="16">
        <f>IF(NOT(Paths!$C$382=1),0,IF(Paths!$P$382="Complete",IF(AND(Paths!$D$382="EV",Paths!$E$382&lt;120,Paths!$E$382+'Operating costs'!$B$65&gt;Paths!$E$382,Paths!$E$382+'Operating costs'!$B$65&lt;=120,IF(Paths!$E$382+'Operating costs'!$B$65=0,C4136=0,AND(C4136&gt;0,Paths!$E$382+'Operating costs'!$B$65&gt;(C4136-1)*12,Paths!$E$382+'Operating costs'!$B$65&lt;=C4136*12))),'Operating costs'!$B$64,0)+IF(AND('Operating costs'!$B$67&gt;0,'Operating costs'!$B$67&lt;=120,OR(Paths!$D$382="ICE",'Operating costs'!$B$67&lt;=Paths!$E$382),IF('Operating costs'!$B$67=0,C4136=0,AND(C4136&gt;0,'Operating costs'!$B$67&gt;(C4136-1)*12,'Operating costs'!$B$67&lt;=C4136*12))),'Operating costs'!$B$66,0),"n.a."))</f>
        <v>0</v>
      </c>
      <c r="N4136" s="16">
        <f>IF(NOT(Paths!$C$382=1),0,IF(Paths!$P$382="Complete",SUM(G4136:I4136)-J4136-K4136-L4136+M4136+IF(C4136=0,Paths!$F$382,0)+IF(IF(Paths!$E$382=0,C4136=0,AND(C4136&gt;0,Paths!$E$382&gt;(C4136-1)*12,Paths!$E$382&lt;=C4136*12)),VLOOKUP(A4136,'Fleet register'!$A$7:$S$106,16,FALSE),0),"n.a."))</f>
        <v>0</v>
      </c>
      <c r="O4136" s="16">
        <f>IF(NOT(Paths!$C$382=1),0,IF(Paths!$P$382="Complete",N4136-IF(C4136=0,Paths!$F$382,0),"n.a."))</f>
        <v>0</v>
      </c>
      <c r="P4136" s="16">
        <f>IF(NOT(Paths!$C$382=1),0,IF(Paths!$P$382="Complete",O4136+L4136,"n.a."))</f>
        <v>0</v>
      </c>
      <c r="Q4136" s="16">
        <f>IF(NOT(Paths!$C$382=1),0,IF(Paths!$P$382="Complete",N4136*(1+'Operating costs'!$B$54)^-C4136,"n.a."))</f>
        <v>0</v>
      </c>
      <c r="R4136" s="16">
        <f>IF(NOT(Paths!$C$382=1),0,IF(Paths!$P$382="Complete",IF(AND(C4136=0,Paths!$E$382=0),I4136-J4136-K4136+VLOOKUP(A4136,'Fleet register'!$A$7:$S$106,15,FALSE)+VLOOKUP(A4136,'Fleet register'!$A$7:$S$106,16,FALSE),0),"n.a."))</f>
        <v>0</v>
      </c>
      <c r="S4136" s="1">
        <f>IF(NOT(Paths!$C$382=1),0,IF(Paths!$P$382="Complete",IF(C4136=0,0,Paths!$S$382*Paths!$R$382),"n.a."))</f>
        <v>0</v>
      </c>
      <c r="T4136" s="1">
        <f>IF(NOT(Paths!$C$382=1),0,IF(Paths!$P$382="Complete",IF(C4136=0,0,VLOOKUP(A4136,'Fleet register'!$A$7:$S$106,9,FALSE)*Paths!$R$382),"n.a."))</f>
        <v>0</v>
      </c>
    </row>
    <row r="4137" spans="1:20" ht="24" customHeight="1">
      <c r="A4137" s="1" t="str">
        <f>Paths!$A$382</f>
        <v>T094</v>
      </c>
      <c r="B4137" s="1">
        <f>Paths!$B$382</f>
        <v>3</v>
      </c>
      <c r="C4137" s="1">
        <v>5</v>
      </c>
      <c r="D4137" s="1">
        <v>382</v>
      </c>
      <c r="E4137" s="1">
        <f>IF(OR(Paths!$C$382=0,C4137=0),0,MAX(0,MIN(C4137*12,Paths!$E$382)-(C4137-1)*12))</f>
        <v>0</v>
      </c>
      <c r="F4137" s="1">
        <f>IF(OR(Paths!$C$382=0,C4137=0),0,12-E4137)</f>
        <v>0</v>
      </c>
      <c r="G4137" s="16">
        <f>IF(NOT(Paths!$C$382=1),0,IF(Paths!$P$382="Complete",E4137/12*(Paths!$J$382*(1+'Operating costs'!$B$51)^MAX(0,C4137-1)+Paths!$K$382*(1+'Operating costs'!$B$53)^MAX(0,C4137-1)),"n.a."))</f>
        <v>0</v>
      </c>
      <c r="H4137" s="16">
        <f>IF(NOT(Paths!$C$382=1),0,IF(Paths!$P$382="Complete",F4137/12*(Paths!$L$382*(1+IF(Paths!$D$382="EV",'Operating costs'!$B$52,'Operating costs'!$B$51))^MAX(0,C4137-1)+Paths!$M$382*(1+'Operating costs'!$B$53)^MAX(0,C4137-1)),"n.a."))</f>
        <v>0</v>
      </c>
      <c r="I4137" s="16">
        <f>IF(NOT(Paths!$C$382=1),0,IF(Paths!$P$382="Complete",IF(IF(Paths!$E$382=0,C4137=0,AND(C4137&gt;0,Paths!$E$382&gt;(C4137-1)*12,Paths!$E$382&lt;=C4137*12)),Paths!$G$382,0),"n.a."))</f>
        <v>0</v>
      </c>
      <c r="J4137" s="16">
        <f>IF(NOT(Paths!$C$382=1),0,IF(Paths!$P$382="Complete",IF(IF(Paths!$E$382=0,C4137=0,AND(C4137&gt;0,Paths!$E$382&gt;(C4137-1)*12,Paths!$E$382&lt;=C4137*12)),Paths!$H$382,0),"n.a."))</f>
        <v>0</v>
      </c>
      <c r="K4137" s="16">
        <f>IF(NOT(Paths!$C$382=1),0,IF(Paths!$P$382="Complete",IF(IF(Paths!$O$382=0,C4137=0,AND(C4137&gt;0,Paths!$O$382&gt;(C4137-1)*12,Paths!$O$382&lt;=C4137*12)),Paths!$N$382,0),"n.a."))</f>
        <v>0</v>
      </c>
      <c r="L4137" s="16">
        <f>IF(NOT(Paths!$C$382=1),0,IF(Paths!$P$382="Complete",IF(C4137=10,Paths!$I$382,0),"n.a."))</f>
        <v>0</v>
      </c>
      <c r="M4137" s="16">
        <f>IF(NOT(Paths!$C$382=1),0,IF(Paths!$P$382="Complete",IF(AND(Paths!$D$382="EV",Paths!$E$382&lt;120,Paths!$E$382+'Operating costs'!$B$65&gt;Paths!$E$382,Paths!$E$382+'Operating costs'!$B$65&lt;=120,IF(Paths!$E$382+'Operating costs'!$B$65=0,C4137=0,AND(C4137&gt;0,Paths!$E$382+'Operating costs'!$B$65&gt;(C4137-1)*12,Paths!$E$382+'Operating costs'!$B$65&lt;=C4137*12))),'Operating costs'!$B$64,0)+IF(AND('Operating costs'!$B$67&gt;0,'Operating costs'!$B$67&lt;=120,OR(Paths!$D$382="ICE",'Operating costs'!$B$67&lt;=Paths!$E$382),IF('Operating costs'!$B$67=0,C4137=0,AND(C4137&gt;0,'Operating costs'!$B$67&gt;(C4137-1)*12,'Operating costs'!$B$67&lt;=C4137*12))),'Operating costs'!$B$66,0),"n.a."))</f>
        <v>0</v>
      </c>
      <c r="N4137" s="16">
        <f>IF(NOT(Paths!$C$382=1),0,IF(Paths!$P$382="Complete",SUM(G4137:I4137)-J4137-K4137-L4137+M4137+IF(C4137=0,Paths!$F$382,0)+IF(IF(Paths!$E$382=0,C4137=0,AND(C4137&gt;0,Paths!$E$382&gt;(C4137-1)*12,Paths!$E$382&lt;=C4137*12)),VLOOKUP(A4137,'Fleet register'!$A$7:$S$106,16,FALSE),0),"n.a."))</f>
        <v>0</v>
      </c>
      <c r="O4137" s="16">
        <f>IF(NOT(Paths!$C$382=1),0,IF(Paths!$P$382="Complete",N4137-IF(C4137=0,Paths!$F$382,0),"n.a."))</f>
        <v>0</v>
      </c>
      <c r="P4137" s="16">
        <f>IF(NOT(Paths!$C$382=1),0,IF(Paths!$P$382="Complete",O4137+L4137,"n.a."))</f>
        <v>0</v>
      </c>
      <c r="Q4137" s="16">
        <f>IF(NOT(Paths!$C$382=1),0,IF(Paths!$P$382="Complete",N4137*(1+'Operating costs'!$B$54)^-C4137,"n.a."))</f>
        <v>0</v>
      </c>
      <c r="R4137" s="16">
        <f>IF(NOT(Paths!$C$382=1),0,IF(Paths!$P$382="Complete",IF(AND(C4137=0,Paths!$E$382=0),I4137-J4137-K4137+VLOOKUP(A4137,'Fleet register'!$A$7:$S$106,15,FALSE)+VLOOKUP(A4137,'Fleet register'!$A$7:$S$106,16,FALSE),0),"n.a."))</f>
        <v>0</v>
      </c>
      <c r="S4137" s="1">
        <f>IF(NOT(Paths!$C$382=1),0,IF(Paths!$P$382="Complete",IF(C4137=0,0,Paths!$S$382*Paths!$R$382),"n.a."))</f>
        <v>0</v>
      </c>
      <c r="T4137" s="1">
        <f>IF(NOT(Paths!$C$382=1),0,IF(Paths!$P$382="Complete",IF(C4137=0,0,VLOOKUP(A4137,'Fleet register'!$A$7:$S$106,9,FALSE)*Paths!$R$382),"n.a."))</f>
        <v>0</v>
      </c>
    </row>
    <row r="4138" spans="1:20" ht="24" customHeight="1">
      <c r="A4138" s="1" t="str">
        <f>Paths!$A$382</f>
        <v>T094</v>
      </c>
      <c r="B4138" s="1">
        <f>Paths!$B$382</f>
        <v>3</v>
      </c>
      <c r="C4138" s="1">
        <v>6</v>
      </c>
      <c r="D4138" s="1">
        <v>382</v>
      </c>
      <c r="E4138" s="1">
        <f>IF(OR(Paths!$C$382=0,C4138=0),0,MAX(0,MIN(C4138*12,Paths!$E$382)-(C4138-1)*12))</f>
        <v>0</v>
      </c>
      <c r="F4138" s="1">
        <f>IF(OR(Paths!$C$382=0,C4138=0),0,12-E4138)</f>
        <v>0</v>
      </c>
      <c r="G4138" s="16">
        <f>IF(NOT(Paths!$C$382=1),0,IF(Paths!$P$382="Complete",E4138/12*(Paths!$J$382*(1+'Operating costs'!$B$51)^MAX(0,C4138-1)+Paths!$K$382*(1+'Operating costs'!$B$53)^MAX(0,C4138-1)),"n.a."))</f>
        <v>0</v>
      </c>
      <c r="H4138" s="16">
        <f>IF(NOT(Paths!$C$382=1),0,IF(Paths!$P$382="Complete",F4138/12*(Paths!$L$382*(1+IF(Paths!$D$382="EV",'Operating costs'!$B$52,'Operating costs'!$B$51))^MAX(0,C4138-1)+Paths!$M$382*(1+'Operating costs'!$B$53)^MAX(0,C4138-1)),"n.a."))</f>
        <v>0</v>
      </c>
      <c r="I4138" s="16">
        <f>IF(NOT(Paths!$C$382=1),0,IF(Paths!$P$382="Complete",IF(IF(Paths!$E$382=0,C4138=0,AND(C4138&gt;0,Paths!$E$382&gt;(C4138-1)*12,Paths!$E$382&lt;=C4138*12)),Paths!$G$382,0),"n.a."))</f>
        <v>0</v>
      </c>
      <c r="J4138" s="16">
        <f>IF(NOT(Paths!$C$382=1),0,IF(Paths!$P$382="Complete",IF(IF(Paths!$E$382=0,C4138=0,AND(C4138&gt;0,Paths!$E$382&gt;(C4138-1)*12,Paths!$E$382&lt;=C4138*12)),Paths!$H$382,0),"n.a."))</f>
        <v>0</v>
      </c>
      <c r="K4138" s="16">
        <f>IF(NOT(Paths!$C$382=1),0,IF(Paths!$P$382="Complete",IF(IF(Paths!$O$382=0,C4138=0,AND(C4138&gt;0,Paths!$O$382&gt;(C4138-1)*12,Paths!$O$382&lt;=C4138*12)),Paths!$N$382,0),"n.a."))</f>
        <v>0</v>
      </c>
      <c r="L4138" s="16">
        <f>IF(NOT(Paths!$C$382=1),0,IF(Paths!$P$382="Complete",IF(C4138=10,Paths!$I$382,0),"n.a."))</f>
        <v>0</v>
      </c>
      <c r="M4138" s="16">
        <f>IF(NOT(Paths!$C$382=1),0,IF(Paths!$P$382="Complete",IF(AND(Paths!$D$382="EV",Paths!$E$382&lt;120,Paths!$E$382+'Operating costs'!$B$65&gt;Paths!$E$382,Paths!$E$382+'Operating costs'!$B$65&lt;=120,IF(Paths!$E$382+'Operating costs'!$B$65=0,C4138=0,AND(C4138&gt;0,Paths!$E$382+'Operating costs'!$B$65&gt;(C4138-1)*12,Paths!$E$382+'Operating costs'!$B$65&lt;=C4138*12))),'Operating costs'!$B$64,0)+IF(AND('Operating costs'!$B$67&gt;0,'Operating costs'!$B$67&lt;=120,OR(Paths!$D$382="ICE",'Operating costs'!$B$67&lt;=Paths!$E$382),IF('Operating costs'!$B$67=0,C4138=0,AND(C4138&gt;0,'Operating costs'!$B$67&gt;(C4138-1)*12,'Operating costs'!$B$67&lt;=C4138*12))),'Operating costs'!$B$66,0),"n.a."))</f>
        <v>0</v>
      </c>
      <c r="N4138" s="16">
        <f>IF(NOT(Paths!$C$382=1),0,IF(Paths!$P$382="Complete",SUM(G4138:I4138)-J4138-K4138-L4138+M4138+IF(C4138=0,Paths!$F$382,0)+IF(IF(Paths!$E$382=0,C4138=0,AND(C4138&gt;0,Paths!$E$382&gt;(C4138-1)*12,Paths!$E$382&lt;=C4138*12)),VLOOKUP(A4138,'Fleet register'!$A$7:$S$106,16,FALSE),0),"n.a."))</f>
        <v>0</v>
      </c>
      <c r="O4138" s="16">
        <f>IF(NOT(Paths!$C$382=1),0,IF(Paths!$P$382="Complete",N4138-IF(C4138=0,Paths!$F$382,0),"n.a."))</f>
        <v>0</v>
      </c>
      <c r="P4138" s="16">
        <f>IF(NOT(Paths!$C$382=1),0,IF(Paths!$P$382="Complete",O4138+L4138,"n.a."))</f>
        <v>0</v>
      </c>
      <c r="Q4138" s="16">
        <f>IF(NOT(Paths!$C$382=1),0,IF(Paths!$P$382="Complete",N4138*(1+'Operating costs'!$B$54)^-C4138,"n.a."))</f>
        <v>0</v>
      </c>
      <c r="R4138" s="16">
        <f>IF(NOT(Paths!$C$382=1),0,IF(Paths!$P$382="Complete",IF(AND(C4138=0,Paths!$E$382=0),I4138-J4138-K4138+VLOOKUP(A4138,'Fleet register'!$A$7:$S$106,15,FALSE)+VLOOKUP(A4138,'Fleet register'!$A$7:$S$106,16,FALSE),0),"n.a."))</f>
        <v>0</v>
      </c>
      <c r="S4138" s="1">
        <f>IF(NOT(Paths!$C$382=1),0,IF(Paths!$P$382="Complete",IF(C4138=0,0,Paths!$S$382*Paths!$R$382),"n.a."))</f>
        <v>0</v>
      </c>
      <c r="T4138" s="1">
        <f>IF(NOT(Paths!$C$382=1),0,IF(Paths!$P$382="Complete",IF(C4138=0,0,VLOOKUP(A4138,'Fleet register'!$A$7:$S$106,9,FALSE)*Paths!$R$382),"n.a."))</f>
        <v>0</v>
      </c>
    </row>
    <row r="4139" spans="1:20" ht="24" customHeight="1">
      <c r="A4139" s="1" t="str">
        <f>Paths!$A$382</f>
        <v>T094</v>
      </c>
      <c r="B4139" s="1">
        <f>Paths!$B$382</f>
        <v>3</v>
      </c>
      <c r="C4139" s="1">
        <v>7</v>
      </c>
      <c r="D4139" s="1">
        <v>382</v>
      </c>
      <c r="E4139" s="1">
        <f>IF(OR(Paths!$C$382=0,C4139=0),0,MAX(0,MIN(C4139*12,Paths!$E$382)-(C4139-1)*12))</f>
        <v>0</v>
      </c>
      <c r="F4139" s="1">
        <f>IF(OR(Paths!$C$382=0,C4139=0),0,12-E4139)</f>
        <v>0</v>
      </c>
      <c r="G4139" s="16">
        <f>IF(NOT(Paths!$C$382=1),0,IF(Paths!$P$382="Complete",E4139/12*(Paths!$J$382*(1+'Operating costs'!$B$51)^MAX(0,C4139-1)+Paths!$K$382*(1+'Operating costs'!$B$53)^MAX(0,C4139-1)),"n.a."))</f>
        <v>0</v>
      </c>
      <c r="H4139" s="16">
        <f>IF(NOT(Paths!$C$382=1),0,IF(Paths!$P$382="Complete",F4139/12*(Paths!$L$382*(1+IF(Paths!$D$382="EV",'Operating costs'!$B$52,'Operating costs'!$B$51))^MAX(0,C4139-1)+Paths!$M$382*(1+'Operating costs'!$B$53)^MAX(0,C4139-1)),"n.a."))</f>
        <v>0</v>
      </c>
      <c r="I4139" s="16">
        <f>IF(NOT(Paths!$C$382=1),0,IF(Paths!$P$382="Complete",IF(IF(Paths!$E$382=0,C4139=0,AND(C4139&gt;0,Paths!$E$382&gt;(C4139-1)*12,Paths!$E$382&lt;=C4139*12)),Paths!$G$382,0),"n.a."))</f>
        <v>0</v>
      </c>
      <c r="J4139" s="16">
        <f>IF(NOT(Paths!$C$382=1),0,IF(Paths!$P$382="Complete",IF(IF(Paths!$E$382=0,C4139=0,AND(C4139&gt;0,Paths!$E$382&gt;(C4139-1)*12,Paths!$E$382&lt;=C4139*12)),Paths!$H$382,0),"n.a."))</f>
        <v>0</v>
      </c>
      <c r="K4139" s="16">
        <f>IF(NOT(Paths!$C$382=1),0,IF(Paths!$P$382="Complete",IF(IF(Paths!$O$382=0,C4139=0,AND(C4139&gt;0,Paths!$O$382&gt;(C4139-1)*12,Paths!$O$382&lt;=C4139*12)),Paths!$N$382,0),"n.a."))</f>
        <v>0</v>
      </c>
      <c r="L4139" s="16">
        <f>IF(NOT(Paths!$C$382=1),0,IF(Paths!$P$382="Complete",IF(C4139=10,Paths!$I$382,0),"n.a."))</f>
        <v>0</v>
      </c>
      <c r="M4139" s="16">
        <f>IF(NOT(Paths!$C$382=1),0,IF(Paths!$P$382="Complete",IF(AND(Paths!$D$382="EV",Paths!$E$382&lt;120,Paths!$E$382+'Operating costs'!$B$65&gt;Paths!$E$382,Paths!$E$382+'Operating costs'!$B$65&lt;=120,IF(Paths!$E$382+'Operating costs'!$B$65=0,C4139=0,AND(C4139&gt;0,Paths!$E$382+'Operating costs'!$B$65&gt;(C4139-1)*12,Paths!$E$382+'Operating costs'!$B$65&lt;=C4139*12))),'Operating costs'!$B$64,0)+IF(AND('Operating costs'!$B$67&gt;0,'Operating costs'!$B$67&lt;=120,OR(Paths!$D$382="ICE",'Operating costs'!$B$67&lt;=Paths!$E$382),IF('Operating costs'!$B$67=0,C4139=0,AND(C4139&gt;0,'Operating costs'!$B$67&gt;(C4139-1)*12,'Operating costs'!$B$67&lt;=C4139*12))),'Operating costs'!$B$66,0),"n.a."))</f>
        <v>0</v>
      </c>
      <c r="N4139" s="16">
        <f>IF(NOT(Paths!$C$382=1),0,IF(Paths!$P$382="Complete",SUM(G4139:I4139)-J4139-K4139-L4139+M4139+IF(C4139=0,Paths!$F$382,0)+IF(IF(Paths!$E$382=0,C4139=0,AND(C4139&gt;0,Paths!$E$382&gt;(C4139-1)*12,Paths!$E$382&lt;=C4139*12)),VLOOKUP(A4139,'Fleet register'!$A$7:$S$106,16,FALSE),0),"n.a."))</f>
        <v>0</v>
      </c>
      <c r="O4139" s="16">
        <f>IF(NOT(Paths!$C$382=1),0,IF(Paths!$P$382="Complete",N4139-IF(C4139=0,Paths!$F$382,0),"n.a."))</f>
        <v>0</v>
      </c>
      <c r="P4139" s="16">
        <f>IF(NOT(Paths!$C$382=1),0,IF(Paths!$P$382="Complete",O4139+L4139,"n.a."))</f>
        <v>0</v>
      </c>
      <c r="Q4139" s="16">
        <f>IF(NOT(Paths!$C$382=1),0,IF(Paths!$P$382="Complete",N4139*(1+'Operating costs'!$B$54)^-C4139,"n.a."))</f>
        <v>0</v>
      </c>
      <c r="R4139" s="16">
        <f>IF(NOT(Paths!$C$382=1),0,IF(Paths!$P$382="Complete",IF(AND(C4139=0,Paths!$E$382=0),I4139-J4139-K4139+VLOOKUP(A4139,'Fleet register'!$A$7:$S$106,15,FALSE)+VLOOKUP(A4139,'Fleet register'!$A$7:$S$106,16,FALSE),0),"n.a."))</f>
        <v>0</v>
      </c>
      <c r="S4139" s="1">
        <f>IF(NOT(Paths!$C$382=1),0,IF(Paths!$P$382="Complete",IF(C4139=0,0,Paths!$S$382*Paths!$R$382),"n.a."))</f>
        <v>0</v>
      </c>
      <c r="T4139" s="1">
        <f>IF(NOT(Paths!$C$382=1),0,IF(Paths!$P$382="Complete",IF(C4139=0,0,VLOOKUP(A4139,'Fleet register'!$A$7:$S$106,9,FALSE)*Paths!$R$382),"n.a."))</f>
        <v>0</v>
      </c>
    </row>
    <row r="4140" spans="1:20" ht="24" customHeight="1">
      <c r="A4140" s="1" t="str">
        <f>Paths!$A$382</f>
        <v>T094</v>
      </c>
      <c r="B4140" s="1">
        <f>Paths!$B$382</f>
        <v>3</v>
      </c>
      <c r="C4140" s="1">
        <v>8</v>
      </c>
      <c r="D4140" s="1">
        <v>382</v>
      </c>
      <c r="E4140" s="1">
        <f>IF(OR(Paths!$C$382=0,C4140=0),0,MAX(0,MIN(C4140*12,Paths!$E$382)-(C4140-1)*12))</f>
        <v>0</v>
      </c>
      <c r="F4140" s="1">
        <f>IF(OR(Paths!$C$382=0,C4140=0),0,12-E4140)</f>
        <v>0</v>
      </c>
      <c r="G4140" s="16">
        <f>IF(NOT(Paths!$C$382=1),0,IF(Paths!$P$382="Complete",E4140/12*(Paths!$J$382*(1+'Operating costs'!$B$51)^MAX(0,C4140-1)+Paths!$K$382*(1+'Operating costs'!$B$53)^MAX(0,C4140-1)),"n.a."))</f>
        <v>0</v>
      </c>
      <c r="H4140" s="16">
        <f>IF(NOT(Paths!$C$382=1),0,IF(Paths!$P$382="Complete",F4140/12*(Paths!$L$382*(1+IF(Paths!$D$382="EV",'Operating costs'!$B$52,'Operating costs'!$B$51))^MAX(0,C4140-1)+Paths!$M$382*(1+'Operating costs'!$B$53)^MAX(0,C4140-1)),"n.a."))</f>
        <v>0</v>
      </c>
      <c r="I4140" s="16">
        <f>IF(NOT(Paths!$C$382=1),0,IF(Paths!$P$382="Complete",IF(IF(Paths!$E$382=0,C4140=0,AND(C4140&gt;0,Paths!$E$382&gt;(C4140-1)*12,Paths!$E$382&lt;=C4140*12)),Paths!$G$382,0),"n.a."))</f>
        <v>0</v>
      </c>
      <c r="J4140" s="16">
        <f>IF(NOT(Paths!$C$382=1),0,IF(Paths!$P$382="Complete",IF(IF(Paths!$E$382=0,C4140=0,AND(C4140&gt;0,Paths!$E$382&gt;(C4140-1)*12,Paths!$E$382&lt;=C4140*12)),Paths!$H$382,0),"n.a."))</f>
        <v>0</v>
      </c>
      <c r="K4140" s="16">
        <f>IF(NOT(Paths!$C$382=1),0,IF(Paths!$P$382="Complete",IF(IF(Paths!$O$382=0,C4140=0,AND(C4140&gt;0,Paths!$O$382&gt;(C4140-1)*12,Paths!$O$382&lt;=C4140*12)),Paths!$N$382,0),"n.a."))</f>
        <v>0</v>
      </c>
      <c r="L4140" s="16">
        <f>IF(NOT(Paths!$C$382=1),0,IF(Paths!$P$382="Complete",IF(C4140=10,Paths!$I$382,0),"n.a."))</f>
        <v>0</v>
      </c>
      <c r="M4140" s="16">
        <f>IF(NOT(Paths!$C$382=1),0,IF(Paths!$P$382="Complete",IF(AND(Paths!$D$382="EV",Paths!$E$382&lt;120,Paths!$E$382+'Operating costs'!$B$65&gt;Paths!$E$382,Paths!$E$382+'Operating costs'!$B$65&lt;=120,IF(Paths!$E$382+'Operating costs'!$B$65=0,C4140=0,AND(C4140&gt;0,Paths!$E$382+'Operating costs'!$B$65&gt;(C4140-1)*12,Paths!$E$382+'Operating costs'!$B$65&lt;=C4140*12))),'Operating costs'!$B$64,0)+IF(AND('Operating costs'!$B$67&gt;0,'Operating costs'!$B$67&lt;=120,OR(Paths!$D$382="ICE",'Operating costs'!$B$67&lt;=Paths!$E$382),IF('Operating costs'!$B$67=0,C4140=0,AND(C4140&gt;0,'Operating costs'!$B$67&gt;(C4140-1)*12,'Operating costs'!$B$67&lt;=C4140*12))),'Operating costs'!$B$66,0),"n.a."))</f>
        <v>0</v>
      </c>
      <c r="N4140" s="16">
        <f>IF(NOT(Paths!$C$382=1),0,IF(Paths!$P$382="Complete",SUM(G4140:I4140)-J4140-K4140-L4140+M4140+IF(C4140=0,Paths!$F$382,0)+IF(IF(Paths!$E$382=0,C4140=0,AND(C4140&gt;0,Paths!$E$382&gt;(C4140-1)*12,Paths!$E$382&lt;=C4140*12)),VLOOKUP(A4140,'Fleet register'!$A$7:$S$106,16,FALSE),0),"n.a."))</f>
        <v>0</v>
      </c>
      <c r="O4140" s="16">
        <f>IF(NOT(Paths!$C$382=1),0,IF(Paths!$P$382="Complete",N4140-IF(C4140=0,Paths!$F$382,0),"n.a."))</f>
        <v>0</v>
      </c>
      <c r="P4140" s="16">
        <f>IF(NOT(Paths!$C$382=1),0,IF(Paths!$P$382="Complete",O4140+L4140,"n.a."))</f>
        <v>0</v>
      </c>
      <c r="Q4140" s="16">
        <f>IF(NOT(Paths!$C$382=1),0,IF(Paths!$P$382="Complete",N4140*(1+'Operating costs'!$B$54)^-C4140,"n.a."))</f>
        <v>0</v>
      </c>
      <c r="R4140" s="16">
        <f>IF(NOT(Paths!$C$382=1),0,IF(Paths!$P$382="Complete",IF(AND(C4140=0,Paths!$E$382=0),I4140-J4140-K4140+VLOOKUP(A4140,'Fleet register'!$A$7:$S$106,15,FALSE)+VLOOKUP(A4140,'Fleet register'!$A$7:$S$106,16,FALSE),0),"n.a."))</f>
        <v>0</v>
      </c>
      <c r="S4140" s="1">
        <f>IF(NOT(Paths!$C$382=1),0,IF(Paths!$P$382="Complete",IF(C4140=0,0,Paths!$S$382*Paths!$R$382),"n.a."))</f>
        <v>0</v>
      </c>
      <c r="T4140" s="1">
        <f>IF(NOT(Paths!$C$382=1),0,IF(Paths!$P$382="Complete",IF(C4140=0,0,VLOOKUP(A4140,'Fleet register'!$A$7:$S$106,9,FALSE)*Paths!$R$382),"n.a."))</f>
        <v>0</v>
      </c>
    </row>
    <row r="4141" spans="1:20" ht="24" customHeight="1">
      <c r="A4141" s="1" t="str">
        <f>Paths!$A$382</f>
        <v>T094</v>
      </c>
      <c r="B4141" s="1">
        <f>Paths!$B$382</f>
        <v>3</v>
      </c>
      <c r="C4141" s="1">
        <v>9</v>
      </c>
      <c r="D4141" s="1">
        <v>382</v>
      </c>
      <c r="E4141" s="1">
        <f>IF(OR(Paths!$C$382=0,C4141=0),0,MAX(0,MIN(C4141*12,Paths!$E$382)-(C4141-1)*12))</f>
        <v>0</v>
      </c>
      <c r="F4141" s="1">
        <f>IF(OR(Paths!$C$382=0,C4141=0),0,12-E4141)</f>
        <v>0</v>
      </c>
      <c r="G4141" s="16">
        <f>IF(NOT(Paths!$C$382=1),0,IF(Paths!$P$382="Complete",E4141/12*(Paths!$J$382*(1+'Operating costs'!$B$51)^MAX(0,C4141-1)+Paths!$K$382*(1+'Operating costs'!$B$53)^MAX(0,C4141-1)),"n.a."))</f>
        <v>0</v>
      </c>
      <c r="H4141" s="16">
        <f>IF(NOT(Paths!$C$382=1),0,IF(Paths!$P$382="Complete",F4141/12*(Paths!$L$382*(1+IF(Paths!$D$382="EV",'Operating costs'!$B$52,'Operating costs'!$B$51))^MAX(0,C4141-1)+Paths!$M$382*(1+'Operating costs'!$B$53)^MAX(0,C4141-1)),"n.a."))</f>
        <v>0</v>
      </c>
      <c r="I4141" s="16">
        <f>IF(NOT(Paths!$C$382=1),0,IF(Paths!$P$382="Complete",IF(IF(Paths!$E$382=0,C4141=0,AND(C4141&gt;0,Paths!$E$382&gt;(C4141-1)*12,Paths!$E$382&lt;=C4141*12)),Paths!$G$382,0),"n.a."))</f>
        <v>0</v>
      </c>
      <c r="J4141" s="16">
        <f>IF(NOT(Paths!$C$382=1),0,IF(Paths!$P$382="Complete",IF(IF(Paths!$E$382=0,C4141=0,AND(C4141&gt;0,Paths!$E$382&gt;(C4141-1)*12,Paths!$E$382&lt;=C4141*12)),Paths!$H$382,0),"n.a."))</f>
        <v>0</v>
      </c>
      <c r="K4141" s="16">
        <f>IF(NOT(Paths!$C$382=1),0,IF(Paths!$P$382="Complete",IF(IF(Paths!$O$382=0,C4141=0,AND(C4141&gt;0,Paths!$O$382&gt;(C4141-1)*12,Paths!$O$382&lt;=C4141*12)),Paths!$N$382,0),"n.a."))</f>
        <v>0</v>
      </c>
      <c r="L4141" s="16">
        <f>IF(NOT(Paths!$C$382=1),0,IF(Paths!$P$382="Complete",IF(C4141=10,Paths!$I$382,0),"n.a."))</f>
        <v>0</v>
      </c>
      <c r="M4141" s="16">
        <f>IF(NOT(Paths!$C$382=1),0,IF(Paths!$P$382="Complete",IF(AND(Paths!$D$382="EV",Paths!$E$382&lt;120,Paths!$E$382+'Operating costs'!$B$65&gt;Paths!$E$382,Paths!$E$382+'Operating costs'!$B$65&lt;=120,IF(Paths!$E$382+'Operating costs'!$B$65=0,C4141=0,AND(C4141&gt;0,Paths!$E$382+'Operating costs'!$B$65&gt;(C4141-1)*12,Paths!$E$382+'Operating costs'!$B$65&lt;=C4141*12))),'Operating costs'!$B$64,0)+IF(AND('Operating costs'!$B$67&gt;0,'Operating costs'!$B$67&lt;=120,OR(Paths!$D$382="ICE",'Operating costs'!$B$67&lt;=Paths!$E$382),IF('Operating costs'!$B$67=0,C4141=0,AND(C4141&gt;0,'Operating costs'!$B$67&gt;(C4141-1)*12,'Operating costs'!$B$67&lt;=C4141*12))),'Operating costs'!$B$66,0),"n.a."))</f>
        <v>0</v>
      </c>
      <c r="N4141" s="16">
        <f>IF(NOT(Paths!$C$382=1),0,IF(Paths!$P$382="Complete",SUM(G4141:I4141)-J4141-K4141-L4141+M4141+IF(C4141=0,Paths!$F$382,0)+IF(IF(Paths!$E$382=0,C4141=0,AND(C4141&gt;0,Paths!$E$382&gt;(C4141-1)*12,Paths!$E$382&lt;=C4141*12)),VLOOKUP(A4141,'Fleet register'!$A$7:$S$106,16,FALSE),0),"n.a."))</f>
        <v>0</v>
      </c>
      <c r="O4141" s="16">
        <f>IF(NOT(Paths!$C$382=1),0,IF(Paths!$P$382="Complete",N4141-IF(C4141=0,Paths!$F$382,0),"n.a."))</f>
        <v>0</v>
      </c>
      <c r="P4141" s="16">
        <f>IF(NOT(Paths!$C$382=1),0,IF(Paths!$P$382="Complete",O4141+L4141,"n.a."))</f>
        <v>0</v>
      </c>
      <c r="Q4141" s="16">
        <f>IF(NOT(Paths!$C$382=1),0,IF(Paths!$P$382="Complete",N4141*(1+'Operating costs'!$B$54)^-C4141,"n.a."))</f>
        <v>0</v>
      </c>
      <c r="R4141" s="16">
        <f>IF(NOT(Paths!$C$382=1),0,IF(Paths!$P$382="Complete",IF(AND(C4141=0,Paths!$E$382=0),I4141-J4141-K4141+VLOOKUP(A4141,'Fleet register'!$A$7:$S$106,15,FALSE)+VLOOKUP(A4141,'Fleet register'!$A$7:$S$106,16,FALSE),0),"n.a."))</f>
        <v>0</v>
      </c>
      <c r="S4141" s="1">
        <f>IF(NOT(Paths!$C$382=1),0,IF(Paths!$P$382="Complete",IF(C4141=0,0,Paths!$S$382*Paths!$R$382),"n.a."))</f>
        <v>0</v>
      </c>
      <c r="T4141" s="1">
        <f>IF(NOT(Paths!$C$382=1),0,IF(Paths!$P$382="Complete",IF(C4141=0,0,VLOOKUP(A4141,'Fleet register'!$A$7:$S$106,9,FALSE)*Paths!$R$382),"n.a."))</f>
        <v>0</v>
      </c>
    </row>
    <row r="4142" spans="1:20" ht="24" customHeight="1">
      <c r="A4142" s="1" t="str">
        <f>Paths!$A$382</f>
        <v>T094</v>
      </c>
      <c r="B4142" s="1">
        <f>Paths!$B$382</f>
        <v>3</v>
      </c>
      <c r="C4142" s="1">
        <v>10</v>
      </c>
      <c r="D4142" s="1">
        <v>382</v>
      </c>
      <c r="E4142" s="1">
        <f>IF(OR(Paths!$C$382=0,C4142=0),0,MAX(0,MIN(C4142*12,Paths!$E$382)-(C4142-1)*12))</f>
        <v>0</v>
      </c>
      <c r="F4142" s="1">
        <f>IF(OR(Paths!$C$382=0,C4142=0),0,12-E4142)</f>
        <v>0</v>
      </c>
      <c r="G4142" s="16">
        <f>IF(NOT(Paths!$C$382=1),0,IF(Paths!$P$382="Complete",E4142/12*(Paths!$J$382*(1+'Operating costs'!$B$51)^MAX(0,C4142-1)+Paths!$K$382*(1+'Operating costs'!$B$53)^MAX(0,C4142-1)),"n.a."))</f>
        <v>0</v>
      </c>
      <c r="H4142" s="16">
        <f>IF(NOT(Paths!$C$382=1),0,IF(Paths!$P$382="Complete",F4142/12*(Paths!$L$382*(1+IF(Paths!$D$382="EV",'Operating costs'!$B$52,'Operating costs'!$B$51))^MAX(0,C4142-1)+Paths!$M$382*(1+'Operating costs'!$B$53)^MAX(0,C4142-1)),"n.a."))</f>
        <v>0</v>
      </c>
      <c r="I4142" s="16">
        <f>IF(NOT(Paths!$C$382=1),0,IF(Paths!$P$382="Complete",IF(IF(Paths!$E$382=0,C4142=0,AND(C4142&gt;0,Paths!$E$382&gt;(C4142-1)*12,Paths!$E$382&lt;=C4142*12)),Paths!$G$382,0),"n.a."))</f>
        <v>0</v>
      </c>
      <c r="J4142" s="16">
        <f>IF(NOT(Paths!$C$382=1),0,IF(Paths!$P$382="Complete",IF(IF(Paths!$E$382=0,C4142=0,AND(C4142&gt;0,Paths!$E$382&gt;(C4142-1)*12,Paths!$E$382&lt;=C4142*12)),Paths!$H$382,0),"n.a."))</f>
        <v>0</v>
      </c>
      <c r="K4142" s="16">
        <f>IF(NOT(Paths!$C$382=1),0,IF(Paths!$P$382="Complete",IF(IF(Paths!$O$382=0,C4142=0,AND(C4142&gt;0,Paths!$O$382&gt;(C4142-1)*12,Paths!$O$382&lt;=C4142*12)),Paths!$N$382,0),"n.a."))</f>
        <v>0</v>
      </c>
      <c r="L4142" s="16">
        <f>IF(NOT(Paths!$C$382=1),0,IF(Paths!$P$382="Complete",IF(C4142=10,Paths!$I$382,0),"n.a."))</f>
        <v>0</v>
      </c>
      <c r="M4142" s="16">
        <f>IF(NOT(Paths!$C$382=1),0,IF(Paths!$P$382="Complete",IF(AND(Paths!$D$382="EV",Paths!$E$382&lt;120,Paths!$E$382+'Operating costs'!$B$65&gt;Paths!$E$382,Paths!$E$382+'Operating costs'!$B$65&lt;=120,IF(Paths!$E$382+'Operating costs'!$B$65=0,C4142=0,AND(C4142&gt;0,Paths!$E$382+'Operating costs'!$B$65&gt;(C4142-1)*12,Paths!$E$382+'Operating costs'!$B$65&lt;=C4142*12))),'Operating costs'!$B$64,0)+IF(AND('Operating costs'!$B$67&gt;0,'Operating costs'!$B$67&lt;=120,OR(Paths!$D$382="ICE",'Operating costs'!$B$67&lt;=Paths!$E$382),IF('Operating costs'!$B$67=0,C4142=0,AND(C4142&gt;0,'Operating costs'!$B$67&gt;(C4142-1)*12,'Operating costs'!$B$67&lt;=C4142*12))),'Operating costs'!$B$66,0),"n.a."))</f>
        <v>0</v>
      </c>
      <c r="N4142" s="16">
        <f>IF(NOT(Paths!$C$382=1),0,IF(Paths!$P$382="Complete",SUM(G4142:I4142)-J4142-K4142-L4142+M4142+IF(C4142=0,Paths!$F$382,0)+IF(IF(Paths!$E$382=0,C4142=0,AND(C4142&gt;0,Paths!$E$382&gt;(C4142-1)*12,Paths!$E$382&lt;=C4142*12)),VLOOKUP(A4142,'Fleet register'!$A$7:$S$106,16,FALSE),0),"n.a."))</f>
        <v>0</v>
      </c>
      <c r="O4142" s="16">
        <f>IF(NOT(Paths!$C$382=1),0,IF(Paths!$P$382="Complete",N4142-IF(C4142=0,Paths!$F$382,0),"n.a."))</f>
        <v>0</v>
      </c>
      <c r="P4142" s="16">
        <f>IF(NOT(Paths!$C$382=1),0,IF(Paths!$P$382="Complete",O4142+L4142,"n.a."))</f>
        <v>0</v>
      </c>
      <c r="Q4142" s="16">
        <f>IF(NOT(Paths!$C$382=1),0,IF(Paths!$P$382="Complete",N4142*(1+'Operating costs'!$B$54)^-C4142,"n.a."))</f>
        <v>0</v>
      </c>
      <c r="R4142" s="16">
        <f>IF(NOT(Paths!$C$382=1),0,IF(Paths!$P$382="Complete",IF(AND(C4142=0,Paths!$E$382=0),I4142-J4142-K4142+VLOOKUP(A4142,'Fleet register'!$A$7:$S$106,15,FALSE)+VLOOKUP(A4142,'Fleet register'!$A$7:$S$106,16,FALSE),0),"n.a."))</f>
        <v>0</v>
      </c>
      <c r="S4142" s="1">
        <f>IF(NOT(Paths!$C$382=1),0,IF(Paths!$P$382="Complete",IF(C4142=0,0,Paths!$S$382*Paths!$R$382),"n.a."))</f>
        <v>0</v>
      </c>
      <c r="T4142" s="1">
        <f>IF(NOT(Paths!$C$382=1),0,IF(Paths!$P$382="Complete",IF(C4142=0,0,VLOOKUP(A4142,'Fleet register'!$A$7:$S$106,9,FALSE)*Paths!$R$382),"n.a."))</f>
        <v>0</v>
      </c>
    </row>
    <row r="4143" spans="1:20" ht="24" customHeight="1">
      <c r="A4143" s="1" t="str">
        <f>Paths!$A$383</f>
        <v>T095</v>
      </c>
      <c r="B4143" s="1">
        <f>Paths!$B$383</f>
        <v>0</v>
      </c>
      <c r="C4143" s="1">
        <v>0</v>
      </c>
      <c r="D4143" s="1">
        <v>383</v>
      </c>
      <c r="E4143" s="1">
        <f>IF(OR(Paths!$C$383=0,C4143=0),0,MAX(0,MIN(C4143*12,Paths!$E$383)-(C4143-1)*12))</f>
        <v>0</v>
      </c>
      <c r="F4143" s="1">
        <f>IF(OR(Paths!$C$383=0,C4143=0),0,12-E4143)</f>
        <v>0</v>
      </c>
      <c r="G4143" s="16">
        <f>IF(NOT(Paths!$C$383=1),0,IF(Paths!$P$383="Complete",E4143/12*(Paths!$J$383*(1+'Operating costs'!$B$51)^MAX(0,C4143-1)+Paths!$K$383*(1+'Operating costs'!$B$53)^MAX(0,C4143-1)),"n.a."))</f>
        <v>0</v>
      </c>
      <c r="H4143" s="16">
        <f>IF(NOT(Paths!$C$383=1),0,IF(Paths!$P$383="Complete",F4143/12*(Paths!$L$383*(1+IF(Paths!$D$383="EV",'Operating costs'!$B$52,'Operating costs'!$B$51))^MAX(0,C4143-1)+Paths!$M$383*(1+'Operating costs'!$B$53)^MAX(0,C4143-1)),"n.a."))</f>
        <v>0</v>
      </c>
      <c r="I4143" s="16">
        <f>IF(NOT(Paths!$C$383=1),0,IF(Paths!$P$383="Complete",IF(IF(Paths!$E$383=0,C4143=0,AND(C4143&gt;0,Paths!$E$383&gt;(C4143-1)*12,Paths!$E$383&lt;=C4143*12)),Paths!$G$383,0),"n.a."))</f>
        <v>0</v>
      </c>
      <c r="J4143" s="16">
        <f>IF(NOT(Paths!$C$383=1),0,IF(Paths!$P$383="Complete",IF(IF(Paths!$E$383=0,C4143=0,AND(C4143&gt;0,Paths!$E$383&gt;(C4143-1)*12,Paths!$E$383&lt;=C4143*12)),Paths!$H$383,0),"n.a."))</f>
        <v>0</v>
      </c>
      <c r="K4143" s="16">
        <f>IF(NOT(Paths!$C$383=1),0,IF(Paths!$P$383="Complete",IF(IF(Paths!$O$383=0,C4143=0,AND(C4143&gt;0,Paths!$O$383&gt;(C4143-1)*12,Paths!$O$383&lt;=C4143*12)),Paths!$N$383,0),"n.a."))</f>
        <v>0</v>
      </c>
      <c r="L4143" s="16">
        <f>IF(NOT(Paths!$C$383=1),0,IF(Paths!$P$383="Complete",IF(C4143=10,Paths!$I$383,0),"n.a."))</f>
        <v>0</v>
      </c>
      <c r="M4143" s="16">
        <f>IF(NOT(Paths!$C$383=1),0,IF(Paths!$P$383="Complete",IF(AND(Paths!$D$383="EV",Paths!$E$383&lt;120,Paths!$E$383+'Operating costs'!$B$65&gt;Paths!$E$383,Paths!$E$383+'Operating costs'!$B$65&lt;=120,IF(Paths!$E$383+'Operating costs'!$B$65=0,C4143=0,AND(C4143&gt;0,Paths!$E$383+'Operating costs'!$B$65&gt;(C4143-1)*12,Paths!$E$383+'Operating costs'!$B$65&lt;=C4143*12))),'Operating costs'!$B$64,0)+IF(AND('Operating costs'!$B$67&gt;0,'Operating costs'!$B$67&lt;=120,OR(Paths!$D$383="ICE",'Operating costs'!$B$67&lt;=Paths!$E$383),IF('Operating costs'!$B$67=0,C4143=0,AND(C4143&gt;0,'Operating costs'!$B$67&gt;(C4143-1)*12,'Operating costs'!$B$67&lt;=C4143*12))),'Operating costs'!$B$66,0),"n.a."))</f>
        <v>0</v>
      </c>
      <c r="N4143" s="16">
        <f>IF(NOT(Paths!$C$383=1),0,IF(Paths!$P$383="Complete",SUM(G4143:I4143)-J4143-K4143-L4143+M4143+IF(C4143=0,Paths!$F$383,0)+IF(IF(Paths!$E$383=0,C4143=0,AND(C4143&gt;0,Paths!$E$383&gt;(C4143-1)*12,Paths!$E$383&lt;=C4143*12)),VLOOKUP(A4143,'Fleet register'!$A$7:$S$106,16,FALSE),0),"n.a."))</f>
        <v>0</v>
      </c>
      <c r="O4143" s="16">
        <f>IF(NOT(Paths!$C$383=1),0,IF(Paths!$P$383="Complete",N4143-IF(C4143=0,Paths!$F$383,0),"n.a."))</f>
        <v>0</v>
      </c>
      <c r="P4143" s="16">
        <f>IF(NOT(Paths!$C$383=1),0,IF(Paths!$P$383="Complete",O4143+L4143,"n.a."))</f>
        <v>0</v>
      </c>
      <c r="Q4143" s="16">
        <f>IF(NOT(Paths!$C$383=1),0,IF(Paths!$P$383="Complete",N4143*(1+'Operating costs'!$B$54)^-C4143,"n.a."))</f>
        <v>0</v>
      </c>
      <c r="R4143" s="16">
        <f>IF(NOT(Paths!$C$383=1),0,IF(Paths!$P$383="Complete",IF(AND(C4143=0,Paths!$E$383=0),I4143-J4143-K4143+VLOOKUP(A4143,'Fleet register'!$A$7:$S$106,15,FALSE)+VLOOKUP(A4143,'Fleet register'!$A$7:$S$106,16,FALSE),0),"n.a."))</f>
        <v>0</v>
      </c>
      <c r="S4143" s="1">
        <f>IF(NOT(Paths!$C$383=1),0,IF(Paths!$P$383="Complete",IF(C4143=0,0,Paths!$S$383*Paths!$R$383),"n.a."))</f>
        <v>0</v>
      </c>
      <c r="T4143" s="1">
        <f>IF(NOT(Paths!$C$383=1),0,IF(Paths!$P$383="Complete",IF(C4143=0,0,VLOOKUP(A4143,'Fleet register'!$A$7:$S$106,9,FALSE)*Paths!$R$383),"n.a."))</f>
        <v>0</v>
      </c>
    </row>
    <row r="4144" spans="1:20" ht="24" customHeight="1">
      <c r="A4144" s="1" t="str">
        <f>Paths!$A$383</f>
        <v>T095</v>
      </c>
      <c r="B4144" s="1">
        <f>Paths!$B$383</f>
        <v>0</v>
      </c>
      <c r="C4144" s="1">
        <v>1</v>
      </c>
      <c r="D4144" s="1">
        <v>383</v>
      </c>
      <c r="E4144" s="1">
        <f>IF(OR(Paths!$C$383=0,C4144=0),0,MAX(0,MIN(C4144*12,Paths!$E$383)-(C4144-1)*12))</f>
        <v>0</v>
      </c>
      <c r="F4144" s="1">
        <f>IF(OR(Paths!$C$383=0,C4144=0),0,12-E4144)</f>
        <v>0</v>
      </c>
      <c r="G4144" s="16">
        <f>IF(NOT(Paths!$C$383=1),0,IF(Paths!$P$383="Complete",E4144/12*(Paths!$J$383*(1+'Operating costs'!$B$51)^MAX(0,C4144-1)+Paths!$K$383*(1+'Operating costs'!$B$53)^MAX(0,C4144-1)),"n.a."))</f>
        <v>0</v>
      </c>
      <c r="H4144" s="16">
        <f>IF(NOT(Paths!$C$383=1),0,IF(Paths!$P$383="Complete",F4144/12*(Paths!$L$383*(1+IF(Paths!$D$383="EV",'Operating costs'!$B$52,'Operating costs'!$B$51))^MAX(0,C4144-1)+Paths!$M$383*(1+'Operating costs'!$B$53)^MAX(0,C4144-1)),"n.a."))</f>
        <v>0</v>
      </c>
      <c r="I4144" s="16">
        <f>IF(NOT(Paths!$C$383=1),0,IF(Paths!$P$383="Complete",IF(IF(Paths!$E$383=0,C4144=0,AND(C4144&gt;0,Paths!$E$383&gt;(C4144-1)*12,Paths!$E$383&lt;=C4144*12)),Paths!$G$383,0),"n.a."))</f>
        <v>0</v>
      </c>
      <c r="J4144" s="16">
        <f>IF(NOT(Paths!$C$383=1),0,IF(Paths!$P$383="Complete",IF(IF(Paths!$E$383=0,C4144=0,AND(C4144&gt;0,Paths!$E$383&gt;(C4144-1)*12,Paths!$E$383&lt;=C4144*12)),Paths!$H$383,0),"n.a."))</f>
        <v>0</v>
      </c>
      <c r="K4144" s="16">
        <f>IF(NOT(Paths!$C$383=1),0,IF(Paths!$P$383="Complete",IF(IF(Paths!$O$383=0,C4144=0,AND(C4144&gt;0,Paths!$O$383&gt;(C4144-1)*12,Paths!$O$383&lt;=C4144*12)),Paths!$N$383,0),"n.a."))</f>
        <v>0</v>
      </c>
      <c r="L4144" s="16">
        <f>IF(NOT(Paths!$C$383=1),0,IF(Paths!$P$383="Complete",IF(C4144=10,Paths!$I$383,0),"n.a."))</f>
        <v>0</v>
      </c>
      <c r="M4144" s="16">
        <f>IF(NOT(Paths!$C$383=1),0,IF(Paths!$P$383="Complete",IF(AND(Paths!$D$383="EV",Paths!$E$383&lt;120,Paths!$E$383+'Operating costs'!$B$65&gt;Paths!$E$383,Paths!$E$383+'Operating costs'!$B$65&lt;=120,IF(Paths!$E$383+'Operating costs'!$B$65=0,C4144=0,AND(C4144&gt;0,Paths!$E$383+'Operating costs'!$B$65&gt;(C4144-1)*12,Paths!$E$383+'Operating costs'!$B$65&lt;=C4144*12))),'Operating costs'!$B$64,0)+IF(AND('Operating costs'!$B$67&gt;0,'Operating costs'!$B$67&lt;=120,OR(Paths!$D$383="ICE",'Operating costs'!$B$67&lt;=Paths!$E$383),IF('Operating costs'!$B$67=0,C4144=0,AND(C4144&gt;0,'Operating costs'!$B$67&gt;(C4144-1)*12,'Operating costs'!$B$67&lt;=C4144*12))),'Operating costs'!$B$66,0),"n.a."))</f>
        <v>0</v>
      </c>
      <c r="N4144" s="16">
        <f>IF(NOT(Paths!$C$383=1),0,IF(Paths!$P$383="Complete",SUM(G4144:I4144)-J4144-K4144-L4144+M4144+IF(C4144=0,Paths!$F$383,0)+IF(IF(Paths!$E$383=0,C4144=0,AND(C4144&gt;0,Paths!$E$383&gt;(C4144-1)*12,Paths!$E$383&lt;=C4144*12)),VLOOKUP(A4144,'Fleet register'!$A$7:$S$106,16,FALSE),0),"n.a."))</f>
        <v>0</v>
      </c>
      <c r="O4144" s="16">
        <f>IF(NOT(Paths!$C$383=1),0,IF(Paths!$P$383="Complete",N4144-IF(C4144=0,Paths!$F$383,0),"n.a."))</f>
        <v>0</v>
      </c>
      <c r="P4144" s="16">
        <f>IF(NOT(Paths!$C$383=1),0,IF(Paths!$P$383="Complete",O4144+L4144,"n.a."))</f>
        <v>0</v>
      </c>
      <c r="Q4144" s="16">
        <f>IF(NOT(Paths!$C$383=1),0,IF(Paths!$P$383="Complete",N4144*(1+'Operating costs'!$B$54)^-C4144,"n.a."))</f>
        <v>0</v>
      </c>
      <c r="R4144" s="16">
        <f>IF(NOT(Paths!$C$383=1),0,IF(Paths!$P$383="Complete",IF(AND(C4144=0,Paths!$E$383=0),I4144-J4144-K4144+VLOOKUP(A4144,'Fleet register'!$A$7:$S$106,15,FALSE)+VLOOKUP(A4144,'Fleet register'!$A$7:$S$106,16,FALSE),0),"n.a."))</f>
        <v>0</v>
      </c>
      <c r="S4144" s="1">
        <f>IF(NOT(Paths!$C$383=1),0,IF(Paths!$P$383="Complete",IF(C4144=0,0,Paths!$S$383*Paths!$R$383),"n.a."))</f>
        <v>0</v>
      </c>
      <c r="T4144" s="1">
        <f>IF(NOT(Paths!$C$383=1),0,IF(Paths!$P$383="Complete",IF(C4144=0,0,VLOOKUP(A4144,'Fleet register'!$A$7:$S$106,9,FALSE)*Paths!$R$383),"n.a."))</f>
        <v>0</v>
      </c>
    </row>
    <row r="4145" spans="1:20" ht="24" customHeight="1">
      <c r="A4145" s="1" t="str">
        <f>Paths!$A$383</f>
        <v>T095</v>
      </c>
      <c r="B4145" s="1">
        <f>Paths!$B$383</f>
        <v>0</v>
      </c>
      <c r="C4145" s="1">
        <v>2</v>
      </c>
      <c r="D4145" s="1">
        <v>383</v>
      </c>
      <c r="E4145" s="1">
        <f>IF(OR(Paths!$C$383=0,C4145=0),0,MAX(0,MIN(C4145*12,Paths!$E$383)-(C4145-1)*12))</f>
        <v>0</v>
      </c>
      <c r="F4145" s="1">
        <f>IF(OR(Paths!$C$383=0,C4145=0),0,12-E4145)</f>
        <v>0</v>
      </c>
      <c r="G4145" s="16">
        <f>IF(NOT(Paths!$C$383=1),0,IF(Paths!$P$383="Complete",E4145/12*(Paths!$J$383*(1+'Operating costs'!$B$51)^MAX(0,C4145-1)+Paths!$K$383*(1+'Operating costs'!$B$53)^MAX(0,C4145-1)),"n.a."))</f>
        <v>0</v>
      </c>
      <c r="H4145" s="16">
        <f>IF(NOT(Paths!$C$383=1),0,IF(Paths!$P$383="Complete",F4145/12*(Paths!$L$383*(1+IF(Paths!$D$383="EV",'Operating costs'!$B$52,'Operating costs'!$B$51))^MAX(0,C4145-1)+Paths!$M$383*(1+'Operating costs'!$B$53)^MAX(0,C4145-1)),"n.a."))</f>
        <v>0</v>
      </c>
      <c r="I4145" s="16">
        <f>IF(NOT(Paths!$C$383=1),0,IF(Paths!$P$383="Complete",IF(IF(Paths!$E$383=0,C4145=0,AND(C4145&gt;0,Paths!$E$383&gt;(C4145-1)*12,Paths!$E$383&lt;=C4145*12)),Paths!$G$383,0),"n.a."))</f>
        <v>0</v>
      </c>
      <c r="J4145" s="16">
        <f>IF(NOT(Paths!$C$383=1),0,IF(Paths!$P$383="Complete",IF(IF(Paths!$E$383=0,C4145=0,AND(C4145&gt;0,Paths!$E$383&gt;(C4145-1)*12,Paths!$E$383&lt;=C4145*12)),Paths!$H$383,0),"n.a."))</f>
        <v>0</v>
      </c>
      <c r="K4145" s="16">
        <f>IF(NOT(Paths!$C$383=1),0,IF(Paths!$P$383="Complete",IF(IF(Paths!$O$383=0,C4145=0,AND(C4145&gt;0,Paths!$O$383&gt;(C4145-1)*12,Paths!$O$383&lt;=C4145*12)),Paths!$N$383,0),"n.a."))</f>
        <v>0</v>
      </c>
      <c r="L4145" s="16">
        <f>IF(NOT(Paths!$C$383=1),0,IF(Paths!$P$383="Complete",IF(C4145=10,Paths!$I$383,0),"n.a."))</f>
        <v>0</v>
      </c>
      <c r="M4145" s="16">
        <f>IF(NOT(Paths!$C$383=1),0,IF(Paths!$P$383="Complete",IF(AND(Paths!$D$383="EV",Paths!$E$383&lt;120,Paths!$E$383+'Operating costs'!$B$65&gt;Paths!$E$383,Paths!$E$383+'Operating costs'!$B$65&lt;=120,IF(Paths!$E$383+'Operating costs'!$B$65=0,C4145=0,AND(C4145&gt;0,Paths!$E$383+'Operating costs'!$B$65&gt;(C4145-1)*12,Paths!$E$383+'Operating costs'!$B$65&lt;=C4145*12))),'Operating costs'!$B$64,0)+IF(AND('Operating costs'!$B$67&gt;0,'Operating costs'!$B$67&lt;=120,OR(Paths!$D$383="ICE",'Operating costs'!$B$67&lt;=Paths!$E$383),IF('Operating costs'!$B$67=0,C4145=0,AND(C4145&gt;0,'Operating costs'!$B$67&gt;(C4145-1)*12,'Operating costs'!$B$67&lt;=C4145*12))),'Operating costs'!$B$66,0),"n.a."))</f>
        <v>0</v>
      </c>
      <c r="N4145" s="16">
        <f>IF(NOT(Paths!$C$383=1),0,IF(Paths!$P$383="Complete",SUM(G4145:I4145)-J4145-K4145-L4145+M4145+IF(C4145=0,Paths!$F$383,0)+IF(IF(Paths!$E$383=0,C4145=0,AND(C4145&gt;0,Paths!$E$383&gt;(C4145-1)*12,Paths!$E$383&lt;=C4145*12)),VLOOKUP(A4145,'Fleet register'!$A$7:$S$106,16,FALSE),0),"n.a."))</f>
        <v>0</v>
      </c>
      <c r="O4145" s="16">
        <f>IF(NOT(Paths!$C$383=1),0,IF(Paths!$P$383="Complete",N4145-IF(C4145=0,Paths!$F$383,0),"n.a."))</f>
        <v>0</v>
      </c>
      <c r="P4145" s="16">
        <f>IF(NOT(Paths!$C$383=1),0,IF(Paths!$P$383="Complete",O4145+L4145,"n.a."))</f>
        <v>0</v>
      </c>
      <c r="Q4145" s="16">
        <f>IF(NOT(Paths!$C$383=1),0,IF(Paths!$P$383="Complete",N4145*(1+'Operating costs'!$B$54)^-C4145,"n.a."))</f>
        <v>0</v>
      </c>
      <c r="R4145" s="16">
        <f>IF(NOT(Paths!$C$383=1),0,IF(Paths!$P$383="Complete",IF(AND(C4145=0,Paths!$E$383=0),I4145-J4145-K4145+VLOOKUP(A4145,'Fleet register'!$A$7:$S$106,15,FALSE)+VLOOKUP(A4145,'Fleet register'!$A$7:$S$106,16,FALSE),0),"n.a."))</f>
        <v>0</v>
      </c>
      <c r="S4145" s="1">
        <f>IF(NOT(Paths!$C$383=1),0,IF(Paths!$P$383="Complete",IF(C4145=0,0,Paths!$S$383*Paths!$R$383),"n.a."))</f>
        <v>0</v>
      </c>
      <c r="T4145" s="1">
        <f>IF(NOT(Paths!$C$383=1),0,IF(Paths!$P$383="Complete",IF(C4145=0,0,VLOOKUP(A4145,'Fleet register'!$A$7:$S$106,9,FALSE)*Paths!$R$383),"n.a."))</f>
        <v>0</v>
      </c>
    </row>
    <row r="4146" spans="1:20" ht="24" customHeight="1">
      <c r="A4146" s="1" t="str">
        <f>Paths!$A$383</f>
        <v>T095</v>
      </c>
      <c r="B4146" s="1">
        <f>Paths!$B$383</f>
        <v>0</v>
      </c>
      <c r="C4146" s="1">
        <v>3</v>
      </c>
      <c r="D4146" s="1">
        <v>383</v>
      </c>
      <c r="E4146" s="1">
        <f>IF(OR(Paths!$C$383=0,C4146=0),0,MAX(0,MIN(C4146*12,Paths!$E$383)-(C4146-1)*12))</f>
        <v>0</v>
      </c>
      <c r="F4146" s="1">
        <f>IF(OR(Paths!$C$383=0,C4146=0),0,12-E4146)</f>
        <v>0</v>
      </c>
      <c r="G4146" s="16">
        <f>IF(NOT(Paths!$C$383=1),0,IF(Paths!$P$383="Complete",E4146/12*(Paths!$J$383*(1+'Operating costs'!$B$51)^MAX(0,C4146-1)+Paths!$K$383*(1+'Operating costs'!$B$53)^MAX(0,C4146-1)),"n.a."))</f>
        <v>0</v>
      </c>
      <c r="H4146" s="16">
        <f>IF(NOT(Paths!$C$383=1),0,IF(Paths!$P$383="Complete",F4146/12*(Paths!$L$383*(1+IF(Paths!$D$383="EV",'Operating costs'!$B$52,'Operating costs'!$B$51))^MAX(0,C4146-1)+Paths!$M$383*(1+'Operating costs'!$B$53)^MAX(0,C4146-1)),"n.a."))</f>
        <v>0</v>
      </c>
      <c r="I4146" s="16">
        <f>IF(NOT(Paths!$C$383=1),0,IF(Paths!$P$383="Complete",IF(IF(Paths!$E$383=0,C4146=0,AND(C4146&gt;0,Paths!$E$383&gt;(C4146-1)*12,Paths!$E$383&lt;=C4146*12)),Paths!$G$383,0),"n.a."))</f>
        <v>0</v>
      </c>
      <c r="J4146" s="16">
        <f>IF(NOT(Paths!$C$383=1),0,IF(Paths!$P$383="Complete",IF(IF(Paths!$E$383=0,C4146=0,AND(C4146&gt;0,Paths!$E$383&gt;(C4146-1)*12,Paths!$E$383&lt;=C4146*12)),Paths!$H$383,0),"n.a."))</f>
        <v>0</v>
      </c>
      <c r="K4146" s="16">
        <f>IF(NOT(Paths!$C$383=1),0,IF(Paths!$P$383="Complete",IF(IF(Paths!$O$383=0,C4146=0,AND(C4146&gt;0,Paths!$O$383&gt;(C4146-1)*12,Paths!$O$383&lt;=C4146*12)),Paths!$N$383,0),"n.a."))</f>
        <v>0</v>
      </c>
      <c r="L4146" s="16">
        <f>IF(NOT(Paths!$C$383=1),0,IF(Paths!$P$383="Complete",IF(C4146=10,Paths!$I$383,0),"n.a."))</f>
        <v>0</v>
      </c>
      <c r="M4146" s="16">
        <f>IF(NOT(Paths!$C$383=1),0,IF(Paths!$P$383="Complete",IF(AND(Paths!$D$383="EV",Paths!$E$383&lt;120,Paths!$E$383+'Operating costs'!$B$65&gt;Paths!$E$383,Paths!$E$383+'Operating costs'!$B$65&lt;=120,IF(Paths!$E$383+'Operating costs'!$B$65=0,C4146=0,AND(C4146&gt;0,Paths!$E$383+'Operating costs'!$B$65&gt;(C4146-1)*12,Paths!$E$383+'Operating costs'!$B$65&lt;=C4146*12))),'Operating costs'!$B$64,0)+IF(AND('Operating costs'!$B$67&gt;0,'Operating costs'!$B$67&lt;=120,OR(Paths!$D$383="ICE",'Operating costs'!$B$67&lt;=Paths!$E$383),IF('Operating costs'!$B$67=0,C4146=0,AND(C4146&gt;0,'Operating costs'!$B$67&gt;(C4146-1)*12,'Operating costs'!$B$67&lt;=C4146*12))),'Operating costs'!$B$66,0),"n.a."))</f>
        <v>0</v>
      </c>
      <c r="N4146" s="16">
        <f>IF(NOT(Paths!$C$383=1),0,IF(Paths!$P$383="Complete",SUM(G4146:I4146)-J4146-K4146-L4146+M4146+IF(C4146=0,Paths!$F$383,0)+IF(IF(Paths!$E$383=0,C4146=0,AND(C4146&gt;0,Paths!$E$383&gt;(C4146-1)*12,Paths!$E$383&lt;=C4146*12)),VLOOKUP(A4146,'Fleet register'!$A$7:$S$106,16,FALSE),0),"n.a."))</f>
        <v>0</v>
      </c>
      <c r="O4146" s="16">
        <f>IF(NOT(Paths!$C$383=1),0,IF(Paths!$P$383="Complete",N4146-IF(C4146=0,Paths!$F$383,0),"n.a."))</f>
        <v>0</v>
      </c>
      <c r="P4146" s="16">
        <f>IF(NOT(Paths!$C$383=1),0,IF(Paths!$P$383="Complete",O4146+L4146,"n.a."))</f>
        <v>0</v>
      </c>
      <c r="Q4146" s="16">
        <f>IF(NOT(Paths!$C$383=1),0,IF(Paths!$P$383="Complete",N4146*(1+'Operating costs'!$B$54)^-C4146,"n.a."))</f>
        <v>0</v>
      </c>
      <c r="R4146" s="16">
        <f>IF(NOT(Paths!$C$383=1),0,IF(Paths!$P$383="Complete",IF(AND(C4146=0,Paths!$E$383=0),I4146-J4146-K4146+VLOOKUP(A4146,'Fleet register'!$A$7:$S$106,15,FALSE)+VLOOKUP(A4146,'Fleet register'!$A$7:$S$106,16,FALSE),0),"n.a."))</f>
        <v>0</v>
      </c>
      <c r="S4146" s="1">
        <f>IF(NOT(Paths!$C$383=1),0,IF(Paths!$P$383="Complete",IF(C4146=0,0,Paths!$S$383*Paths!$R$383),"n.a."))</f>
        <v>0</v>
      </c>
      <c r="T4146" s="1">
        <f>IF(NOT(Paths!$C$383=1),0,IF(Paths!$P$383="Complete",IF(C4146=0,0,VLOOKUP(A4146,'Fleet register'!$A$7:$S$106,9,FALSE)*Paths!$R$383),"n.a."))</f>
        <v>0</v>
      </c>
    </row>
    <row r="4147" spans="1:20" ht="24" customHeight="1">
      <c r="A4147" s="1" t="str">
        <f>Paths!$A$383</f>
        <v>T095</v>
      </c>
      <c r="B4147" s="1">
        <f>Paths!$B$383</f>
        <v>0</v>
      </c>
      <c r="C4147" s="1">
        <v>4</v>
      </c>
      <c r="D4147" s="1">
        <v>383</v>
      </c>
      <c r="E4147" s="1">
        <f>IF(OR(Paths!$C$383=0,C4147=0),0,MAX(0,MIN(C4147*12,Paths!$E$383)-(C4147-1)*12))</f>
        <v>0</v>
      </c>
      <c r="F4147" s="1">
        <f>IF(OR(Paths!$C$383=0,C4147=0),0,12-E4147)</f>
        <v>0</v>
      </c>
      <c r="G4147" s="16">
        <f>IF(NOT(Paths!$C$383=1),0,IF(Paths!$P$383="Complete",E4147/12*(Paths!$J$383*(1+'Operating costs'!$B$51)^MAX(0,C4147-1)+Paths!$K$383*(1+'Operating costs'!$B$53)^MAX(0,C4147-1)),"n.a."))</f>
        <v>0</v>
      </c>
      <c r="H4147" s="16">
        <f>IF(NOT(Paths!$C$383=1),0,IF(Paths!$P$383="Complete",F4147/12*(Paths!$L$383*(1+IF(Paths!$D$383="EV",'Operating costs'!$B$52,'Operating costs'!$B$51))^MAX(0,C4147-1)+Paths!$M$383*(1+'Operating costs'!$B$53)^MAX(0,C4147-1)),"n.a."))</f>
        <v>0</v>
      </c>
      <c r="I4147" s="16">
        <f>IF(NOT(Paths!$C$383=1),0,IF(Paths!$P$383="Complete",IF(IF(Paths!$E$383=0,C4147=0,AND(C4147&gt;0,Paths!$E$383&gt;(C4147-1)*12,Paths!$E$383&lt;=C4147*12)),Paths!$G$383,0),"n.a."))</f>
        <v>0</v>
      </c>
      <c r="J4147" s="16">
        <f>IF(NOT(Paths!$C$383=1),0,IF(Paths!$P$383="Complete",IF(IF(Paths!$E$383=0,C4147=0,AND(C4147&gt;0,Paths!$E$383&gt;(C4147-1)*12,Paths!$E$383&lt;=C4147*12)),Paths!$H$383,0),"n.a."))</f>
        <v>0</v>
      </c>
      <c r="K4147" s="16">
        <f>IF(NOT(Paths!$C$383=1),0,IF(Paths!$P$383="Complete",IF(IF(Paths!$O$383=0,C4147=0,AND(C4147&gt;0,Paths!$O$383&gt;(C4147-1)*12,Paths!$O$383&lt;=C4147*12)),Paths!$N$383,0),"n.a."))</f>
        <v>0</v>
      </c>
      <c r="L4147" s="16">
        <f>IF(NOT(Paths!$C$383=1),0,IF(Paths!$P$383="Complete",IF(C4147=10,Paths!$I$383,0),"n.a."))</f>
        <v>0</v>
      </c>
      <c r="M4147" s="16">
        <f>IF(NOT(Paths!$C$383=1),0,IF(Paths!$P$383="Complete",IF(AND(Paths!$D$383="EV",Paths!$E$383&lt;120,Paths!$E$383+'Operating costs'!$B$65&gt;Paths!$E$383,Paths!$E$383+'Operating costs'!$B$65&lt;=120,IF(Paths!$E$383+'Operating costs'!$B$65=0,C4147=0,AND(C4147&gt;0,Paths!$E$383+'Operating costs'!$B$65&gt;(C4147-1)*12,Paths!$E$383+'Operating costs'!$B$65&lt;=C4147*12))),'Operating costs'!$B$64,0)+IF(AND('Operating costs'!$B$67&gt;0,'Operating costs'!$B$67&lt;=120,OR(Paths!$D$383="ICE",'Operating costs'!$B$67&lt;=Paths!$E$383),IF('Operating costs'!$B$67=0,C4147=0,AND(C4147&gt;0,'Operating costs'!$B$67&gt;(C4147-1)*12,'Operating costs'!$B$67&lt;=C4147*12))),'Operating costs'!$B$66,0),"n.a."))</f>
        <v>0</v>
      </c>
      <c r="N4147" s="16">
        <f>IF(NOT(Paths!$C$383=1),0,IF(Paths!$P$383="Complete",SUM(G4147:I4147)-J4147-K4147-L4147+M4147+IF(C4147=0,Paths!$F$383,0)+IF(IF(Paths!$E$383=0,C4147=0,AND(C4147&gt;0,Paths!$E$383&gt;(C4147-1)*12,Paths!$E$383&lt;=C4147*12)),VLOOKUP(A4147,'Fleet register'!$A$7:$S$106,16,FALSE),0),"n.a."))</f>
        <v>0</v>
      </c>
      <c r="O4147" s="16">
        <f>IF(NOT(Paths!$C$383=1),0,IF(Paths!$P$383="Complete",N4147-IF(C4147=0,Paths!$F$383,0),"n.a."))</f>
        <v>0</v>
      </c>
      <c r="P4147" s="16">
        <f>IF(NOT(Paths!$C$383=1),0,IF(Paths!$P$383="Complete",O4147+L4147,"n.a."))</f>
        <v>0</v>
      </c>
      <c r="Q4147" s="16">
        <f>IF(NOT(Paths!$C$383=1),0,IF(Paths!$P$383="Complete",N4147*(1+'Operating costs'!$B$54)^-C4147,"n.a."))</f>
        <v>0</v>
      </c>
      <c r="R4147" s="16">
        <f>IF(NOT(Paths!$C$383=1),0,IF(Paths!$P$383="Complete",IF(AND(C4147=0,Paths!$E$383=0),I4147-J4147-K4147+VLOOKUP(A4147,'Fleet register'!$A$7:$S$106,15,FALSE)+VLOOKUP(A4147,'Fleet register'!$A$7:$S$106,16,FALSE),0),"n.a."))</f>
        <v>0</v>
      </c>
      <c r="S4147" s="1">
        <f>IF(NOT(Paths!$C$383=1),0,IF(Paths!$P$383="Complete",IF(C4147=0,0,Paths!$S$383*Paths!$R$383),"n.a."))</f>
        <v>0</v>
      </c>
      <c r="T4147" s="1">
        <f>IF(NOT(Paths!$C$383=1),0,IF(Paths!$P$383="Complete",IF(C4147=0,0,VLOOKUP(A4147,'Fleet register'!$A$7:$S$106,9,FALSE)*Paths!$R$383),"n.a."))</f>
        <v>0</v>
      </c>
    </row>
    <row r="4148" spans="1:20" ht="24" customHeight="1">
      <c r="A4148" s="1" t="str">
        <f>Paths!$A$383</f>
        <v>T095</v>
      </c>
      <c r="B4148" s="1">
        <f>Paths!$B$383</f>
        <v>0</v>
      </c>
      <c r="C4148" s="1">
        <v>5</v>
      </c>
      <c r="D4148" s="1">
        <v>383</v>
      </c>
      <c r="E4148" s="1">
        <f>IF(OR(Paths!$C$383=0,C4148=0),0,MAX(0,MIN(C4148*12,Paths!$E$383)-(C4148-1)*12))</f>
        <v>0</v>
      </c>
      <c r="F4148" s="1">
        <f>IF(OR(Paths!$C$383=0,C4148=0),0,12-E4148)</f>
        <v>0</v>
      </c>
      <c r="G4148" s="16">
        <f>IF(NOT(Paths!$C$383=1),0,IF(Paths!$P$383="Complete",E4148/12*(Paths!$J$383*(1+'Operating costs'!$B$51)^MAX(0,C4148-1)+Paths!$K$383*(1+'Operating costs'!$B$53)^MAX(0,C4148-1)),"n.a."))</f>
        <v>0</v>
      </c>
      <c r="H4148" s="16">
        <f>IF(NOT(Paths!$C$383=1),0,IF(Paths!$P$383="Complete",F4148/12*(Paths!$L$383*(1+IF(Paths!$D$383="EV",'Operating costs'!$B$52,'Operating costs'!$B$51))^MAX(0,C4148-1)+Paths!$M$383*(1+'Operating costs'!$B$53)^MAX(0,C4148-1)),"n.a."))</f>
        <v>0</v>
      </c>
      <c r="I4148" s="16">
        <f>IF(NOT(Paths!$C$383=1),0,IF(Paths!$P$383="Complete",IF(IF(Paths!$E$383=0,C4148=0,AND(C4148&gt;0,Paths!$E$383&gt;(C4148-1)*12,Paths!$E$383&lt;=C4148*12)),Paths!$G$383,0),"n.a."))</f>
        <v>0</v>
      </c>
      <c r="J4148" s="16">
        <f>IF(NOT(Paths!$C$383=1),0,IF(Paths!$P$383="Complete",IF(IF(Paths!$E$383=0,C4148=0,AND(C4148&gt;0,Paths!$E$383&gt;(C4148-1)*12,Paths!$E$383&lt;=C4148*12)),Paths!$H$383,0),"n.a."))</f>
        <v>0</v>
      </c>
      <c r="K4148" s="16">
        <f>IF(NOT(Paths!$C$383=1),0,IF(Paths!$P$383="Complete",IF(IF(Paths!$O$383=0,C4148=0,AND(C4148&gt;0,Paths!$O$383&gt;(C4148-1)*12,Paths!$O$383&lt;=C4148*12)),Paths!$N$383,0),"n.a."))</f>
        <v>0</v>
      </c>
      <c r="L4148" s="16">
        <f>IF(NOT(Paths!$C$383=1),0,IF(Paths!$P$383="Complete",IF(C4148=10,Paths!$I$383,0),"n.a."))</f>
        <v>0</v>
      </c>
      <c r="M4148" s="16">
        <f>IF(NOT(Paths!$C$383=1),0,IF(Paths!$P$383="Complete",IF(AND(Paths!$D$383="EV",Paths!$E$383&lt;120,Paths!$E$383+'Operating costs'!$B$65&gt;Paths!$E$383,Paths!$E$383+'Operating costs'!$B$65&lt;=120,IF(Paths!$E$383+'Operating costs'!$B$65=0,C4148=0,AND(C4148&gt;0,Paths!$E$383+'Operating costs'!$B$65&gt;(C4148-1)*12,Paths!$E$383+'Operating costs'!$B$65&lt;=C4148*12))),'Operating costs'!$B$64,0)+IF(AND('Operating costs'!$B$67&gt;0,'Operating costs'!$B$67&lt;=120,OR(Paths!$D$383="ICE",'Operating costs'!$B$67&lt;=Paths!$E$383),IF('Operating costs'!$B$67=0,C4148=0,AND(C4148&gt;0,'Operating costs'!$B$67&gt;(C4148-1)*12,'Operating costs'!$B$67&lt;=C4148*12))),'Operating costs'!$B$66,0),"n.a."))</f>
        <v>0</v>
      </c>
      <c r="N4148" s="16">
        <f>IF(NOT(Paths!$C$383=1),0,IF(Paths!$P$383="Complete",SUM(G4148:I4148)-J4148-K4148-L4148+M4148+IF(C4148=0,Paths!$F$383,0)+IF(IF(Paths!$E$383=0,C4148=0,AND(C4148&gt;0,Paths!$E$383&gt;(C4148-1)*12,Paths!$E$383&lt;=C4148*12)),VLOOKUP(A4148,'Fleet register'!$A$7:$S$106,16,FALSE),0),"n.a."))</f>
        <v>0</v>
      </c>
      <c r="O4148" s="16">
        <f>IF(NOT(Paths!$C$383=1),0,IF(Paths!$P$383="Complete",N4148-IF(C4148=0,Paths!$F$383,0),"n.a."))</f>
        <v>0</v>
      </c>
      <c r="P4148" s="16">
        <f>IF(NOT(Paths!$C$383=1),0,IF(Paths!$P$383="Complete",O4148+L4148,"n.a."))</f>
        <v>0</v>
      </c>
      <c r="Q4148" s="16">
        <f>IF(NOT(Paths!$C$383=1),0,IF(Paths!$P$383="Complete",N4148*(1+'Operating costs'!$B$54)^-C4148,"n.a."))</f>
        <v>0</v>
      </c>
      <c r="R4148" s="16">
        <f>IF(NOT(Paths!$C$383=1),0,IF(Paths!$P$383="Complete",IF(AND(C4148=0,Paths!$E$383=0),I4148-J4148-K4148+VLOOKUP(A4148,'Fleet register'!$A$7:$S$106,15,FALSE)+VLOOKUP(A4148,'Fleet register'!$A$7:$S$106,16,FALSE),0),"n.a."))</f>
        <v>0</v>
      </c>
      <c r="S4148" s="1">
        <f>IF(NOT(Paths!$C$383=1),0,IF(Paths!$P$383="Complete",IF(C4148=0,0,Paths!$S$383*Paths!$R$383),"n.a."))</f>
        <v>0</v>
      </c>
      <c r="T4148" s="1">
        <f>IF(NOT(Paths!$C$383=1),0,IF(Paths!$P$383="Complete",IF(C4148=0,0,VLOOKUP(A4148,'Fleet register'!$A$7:$S$106,9,FALSE)*Paths!$R$383),"n.a."))</f>
        <v>0</v>
      </c>
    </row>
    <row r="4149" spans="1:20" ht="24" customHeight="1">
      <c r="A4149" s="1" t="str">
        <f>Paths!$A$383</f>
        <v>T095</v>
      </c>
      <c r="B4149" s="1">
        <f>Paths!$B$383</f>
        <v>0</v>
      </c>
      <c r="C4149" s="1">
        <v>6</v>
      </c>
      <c r="D4149" s="1">
        <v>383</v>
      </c>
      <c r="E4149" s="1">
        <f>IF(OR(Paths!$C$383=0,C4149=0),0,MAX(0,MIN(C4149*12,Paths!$E$383)-(C4149-1)*12))</f>
        <v>0</v>
      </c>
      <c r="F4149" s="1">
        <f>IF(OR(Paths!$C$383=0,C4149=0),0,12-E4149)</f>
        <v>0</v>
      </c>
      <c r="G4149" s="16">
        <f>IF(NOT(Paths!$C$383=1),0,IF(Paths!$P$383="Complete",E4149/12*(Paths!$J$383*(1+'Operating costs'!$B$51)^MAX(0,C4149-1)+Paths!$K$383*(1+'Operating costs'!$B$53)^MAX(0,C4149-1)),"n.a."))</f>
        <v>0</v>
      </c>
      <c r="H4149" s="16">
        <f>IF(NOT(Paths!$C$383=1),0,IF(Paths!$P$383="Complete",F4149/12*(Paths!$L$383*(1+IF(Paths!$D$383="EV",'Operating costs'!$B$52,'Operating costs'!$B$51))^MAX(0,C4149-1)+Paths!$M$383*(1+'Operating costs'!$B$53)^MAX(0,C4149-1)),"n.a."))</f>
        <v>0</v>
      </c>
      <c r="I4149" s="16">
        <f>IF(NOT(Paths!$C$383=1),0,IF(Paths!$P$383="Complete",IF(IF(Paths!$E$383=0,C4149=0,AND(C4149&gt;0,Paths!$E$383&gt;(C4149-1)*12,Paths!$E$383&lt;=C4149*12)),Paths!$G$383,0),"n.a."))</f>
        <v>0</v>
      </c>
      <c r="J4149" s="16">
        <f>IF(NOT(Paths!$C$383=1),0,IF(Paths!$P$383="Complete",IF(IF(Paths!$E$383=0,C4149=0,AND(C4149&gt;0,Paths!$E$383&gt;(C4149-1)*12,Paths!$E$383&lt;=C4149*12)),Paths!$H$383,0),"n.a."))</f>
        <v>0</v>
      </c>
      <c r="K4149" s="16">
        <f>IF(NOT(Paths!$C$383=1),0,IF(Paths!$P$383="Complete",IF(IF(Paths!$O$383=0,C4149=0,AND(C4149&gt;0,Paths!$O$383&gt;(C4149-1)*12,Paths!$O$383&lt;=C4149*12)),Paths!$N$383,0),"n.a."))</f>
        <v>0</v>
      </c>
      <c r="L4149" s="16">
        <f>IF(NOT(Paths!$C$383=1),0,IF(Paths!$P$383="Complete",IF(C4149=10,Paths!$I$383,0),"n.a."))</f>
        <v>0</v>
      </c>
      <c r="M4149" s="16">
        <f>IF(NOT(Paths!$C$383=1),0,IF(Paths!$P$383="Complete",IF(AND(Paths!$D$383="EV",Paths!$E$383&lt;120,Paths!$E$383+'Operating costs'!$B$65&gt;Paths!$E$383,Paths!$E$383+'Operating costs'!$B$65&lt;=120,IF(Paths!$E$383+'Operating costs'!$B$65=0,C4149=0,AND(C4149&gt;0,Paths!$E$383+'Operating costs'!$B$65&gt;(C4149-1)*12,Paths!$E$383+'Operating costs'!$B$65&lt;=C4149*12))),'Operating costs'!$B$64,0)+IF(AND('Operating costs'!$B$67&gt;0,'Operating costs'!$B$67&lt;=120,OR(Paths!$D$383="ICE",'Operating costs'!$B$67&lt;=Paths!$E$383),IF('Operating costs'!$B$67=0,C4149=0,AND(C4149&gt;0,'Operating costs'!$B$67&gt;(C4149-1)*12,'Operating costs'!$B$67&lt;=C4149*12))),'Operating costs'!$B$66,0),"n.a."))</f>
        <v>0</v>
      </c>
      <c r="N4149" s="16">
        <f>IF(NOT(Paths!$C$383=1),0,IF(Paths!$P$383="Complete",SUM(G4149:I4149)-J4149-K4149-L4149+M4149+IF(C4149=0,Paths!$F$383,0)+IF(IF(Paths!$E$383=0,C4149=0,AND(C4149&gt;0,Paths!$E$383&gt;(C4149-1)*12,Paths!$E$383&lt;=C4149*12)),VLOOKUP(A4149,'Fleet register'!$A$7:$S$106,16,FALSE),0),"n.a."))</f>
        <v>0</v>
      </c>
      <c r="O4149" s="16">
        <f>IF(NOT(Paths!$C$383=1),0,IF(Paths!$P$383="Complete",N4149-IF(C4149=0,Paths!$F$383,0),"n.a."))</f>
        <v>0</v>
      </c>
      <c r="P4149" s="16">
        <f>IF(NOT(Paths!$C$383=1),0,IF(Paths!$P$383="Complete",O4149+L4149,"n.a."))</f>
        <v>0</v>
      </c>
      <c r="Q4149" s="16">
        <f>IF(NOT(Paths!$C$383=1),0,IF(Paths!$P$383="Complete",N4149*(1+'Operating costs'!$B$54)^-C4149,"n.a."))</f>
        <v>0</v>
      </c>
      <c r="R4149" s="16">
        <f>IF(NOT(Paths!$C$383=1),0,IF(Paths!$P$383="Complete",IF(AND(C4149=0,Paths!$E$383=0),I4149-J4149-K4149+VLOOKUP(A4149,'Fleet register'!$A$7:$S$106,15,FALSE)+VLOOKUP(A4149,'Fleet register'!$A$7:$S$106,16,FALSE),0),"n.a."))</f>
        <v>0</v>
      </c>
      <c r="S4149" s="1">
        <f>IF(NOT(Paths!$C$383=1),0,IF(Paths!$P$383="Complete",IF(C4149=0,0,Paths!$S$383*Paths!$R$383),"n.a."))</f>
        <v>0</v>
      </c>
      <c r="T4149" s="1">
        <f>IF(NOT(Paths!$C$383=1),0,IF(Paths!$P$383="Complete",IF(C4149=0,0,VLOOKUP(A4149,'Fleet register'!$A$7:$S$106,9,FALSE)*Paths!$R$383),"n.a."))</f>
        <v>0</v>
      </c>
    </row>
    <row r="4150" spans="1:20" ht="24" customHeight="1">
      <c r="A4150" s="1" t="str">
        <f>Paths!$A$383</f>
        <v>T095</v>
      </c>
      <c r="B4150" s="1">
        <f>Paths!$B$383</f>
        <v>0</v>
      </c>
      <c r="C4150" s="1">
        <v>7</v>
      </c>
      <c r="D4150" s="1">
        <v>383</v>
      </c>
      <c r="E4150" s="1">
        <f>IF(OR(Paths!$C$383=0,C4150=0),0,MAX(0,MIN(C4150*12,Paths!$E$383)-(C4150-1)*12))</f>
        <v>0</v>
      </c>
      <c r="F4150" s="1">
        <f>IF(OR(Paths!$C$383=0,C4150=0),0,12-E4150)</f>
        <v>0</v>
      </c>
      <c r="G4150" s="16">
        <f>IF(NOT(Paths!$C$383=1),0,IF(Paths!$P$383="Complete",E4150/12*(Paths!$J$383*(1+'Operating costs'!$B$51)^MAX(0,C4150-1)+Paths!$K$383*(1+'Operating costs'!$B$53)^MAX(0,C4150-1)),"n.a."))</f>
        <v>0</v>
      </c>
      <c r="H4150" s="16">
        <f>IF(NOT(Paths!$C$383=1),0,IF(Paths!$P$383="Complete",F4150/12*(Paths!$L$383*(1+IF(Paths!$D$383="EV",'Operating costs'!$B$52,'Operating costs'!$B$51))^MAX(0,C4150-1)+Paths!$M$383*(1+'Operating costs'!$B$53)^MAX(0,C4150-1)),"n.a."))</f>
        <v>0</v>
      </c>
      <c r="I4150" s="16">
        <f>IF(NOT(Paths!$C$383=1),0,IF(Paths!$P$383="Complete",IF(IF(Paths!$E$383=0,C4150=0,AND(C4150&gt;0,Paths!$E$383&gt;(C4150-1)*12,Paths!$E$383&lt;=C4150*12)),Paths!$G$383,0),"n.a."))</f>
        <v>0</v>
      </c>
      <c r="J4150" s="16">
        <f>IF(NOT(Paths!$C$383=1),0,IF(Paths!$P$383="Complete",IF(IF(Paths!$E$383=0,C4150=0,AND(C4150&gt;0,Paths!$E$383&gt;(C4150-1)*12,Paths!$E$383&lt;=C4150*12)),Paths!$H$383,0),"n.a."))</f>
        <v>0</v>
      </c>
      <c r="K4150" s="16">
        <f>IF(NOT(Paths!$C$383=1),0,IF(Paths!$P$383="Complete",IF(IF(Paths!$O$383=0,C4150=0,AND(C4150&gt;0,Paths!$O$383&gt;(C4150-1)*12,Paths!$O$383&lt;=C4150*12)),Paths!$N$383,0),"n.a."))</f>
        <v>0</v>
      </c>
      <c r="L4150" s="16">
        <f>IF(NOT(Paths!$C$383=1),0,IF(Paths!$P$383="Complete",IF(C4150=10,Paths!$I$383,0),"n.a."))</f>
        <v>0</v>
      </c>
      <c r="M4150" s="16">
        <f>IF(NOT(Paths!$C$383=1),0,IF(Paths!$P$383="Complete",IF(AND(Paths!$D$383="EV",Paths!$E$383&lt;120,Paths!$E$383+'Operating costs'!$B$65&gt;Paths!$E$383,Paths!$E$383+'Operating costs'!$B$65&lt;=120,IF(Paths!$E$383+'Operating costs'!$B$65=0,C4150=0,AND(C4150&gt;0,Paths!$E$383+'Operating costs'!$B$65&gt;(C4150-1)*12,Paths!$E$383+'Operating costs'!$B$65&lt;=C4150*12))),'Operating costs'!$B$64,0)+IF(AND('Operating costs'!$B$67&gt;0,'Operating costs'!$B$67&lt;=120,OR(Paths!$D$383="ICE",'Operating costs'!$B$67&lt;=Paths!$E$383),IF('Operating costs'!$B$67=0,C4150=0,AND(C4150&gt;0,'Operating costs'!$B$67&gt;(C4150-1)*12,'Operating costs'!$B$67&lt;=C4150*12))),'Operating costs'!$B$66,0),"n.a."))</f>
        <v>0</v>
      </c>
      <c r="N4150" s="16">
        <f>IF(NOT(Paths!$C$383=1),0,IF(Paths!$P$383="Complete",SUM(G4150:I4150)-J4150-K4150-L4150+M4150+IF(C4150=0,Paths!$F$383,0)+IF(IF(Paths!$E$383=0,C4150=0,AND(C4150&gt;0,Paths!$E$383&gt;(C4150-1)*12,Paths!$E$383&lt;=C4150*12)),VLOOKUP(A4150,'Fleet register'!$A$7:$S$106,16,FALSE),0),"n.a."))</f>
        <v>0</v>
      </c>
      <c r="O4150" s="16">
        <f>IF(NOT(Paths!$C$383=1),0,IF(Paths!$P$383="Complete",N4150-IF(C4150=0,Paths!$F$383,0),"n.a."))</f>
        <v>0</v>
      </c>
      <c r="P4150" s="16">
        <f>IF(NOT(Paths!$C$383=1),0,IF(Paths!$P$383="Complete",O4150+L4150,"n.a."))</f>
        <v>0</v>
      </c>
      <c r="Q4150" s="16">
        <f>IF(NOT(Paths!$C$383=1),0,IF(Paths!$P$383="Complete",N4150*(1+'Operating costs'!$B$54)^-C4150,"n.a."))</f>
        <v>0</v>
      </c>
      <c r="R4150" s="16">
        <f>IF(NOT(Paths!$C$383=1),0,IF(Paths!$P$383="Complete",IF(AND(C4150=0,Paths!$E$383=0),I4150-J4150-K4150+VLOOKUP(A4150,'Fleet register'!$A$7:$S$106,15,FALSE)+VLOOKUP(A4150,'Fleet register'!$A$7:$S$106,16,FALSE),0),"n.a."))</f>
        <v>0</v>
      </c>
      <c r="S4150" s="1">
        <f>IF(NOT(Paths!$C$383=1),0,IF(Paths!$P$383="Complete",IF(C4150=0,0,Paths!$S$383*Paths!$R$383),"n.a."))</f>
        <v>0</v>
      </c>
      <c r="T4150" s="1">
        <f>IF(NOT(Paths!$C$383=1),0,IF(Paths!$P$383="Complete",IF(C4150=0,0,VLOOKUP(A4150,'Fleet register'!$A$7:$S$106,9,FALSE)*Paths!$R$383),"n.a."))</f>
        <v>0</v>
      </c>
    </row>
    <row r="4151" spans="1:20" ht="24" customHeight="1">
      <c r="A4151" s="1" t="str">
        <f>Paths!$A$383</f>
        <v>T095</v>
      </c>
      <c r="B4151" s="1">
        <f>Paths!$B$383</f>
        <v>0</v>
      </c>
      <c r="C4151" s="1">
        <v>8</v>
      </c>
      <c r="D4151" s="1">
        <v>383</v>
      </c>
      <c r="E4151" s="1">
        <f>IF(OR(Paths!$C$383=0,C4151=0),0,MAX(0,MIN(C4151*12,Paths!$E$383)-(C4151-1)*12))</f>
        <v>0</v>
      </c>
      <c r="F4151" s="1">
        <f>IF(OR(Paths!$C$383=0,C4151=0),0,12-E4151)</f>
        <v>0</v>
      </c>
      <c r="G4151" s="16">
        <f>IF(NOT(Paths!$C$383=1),0,IF(Paths!$P$383="Complete",E4151/12*(Paths!$J$383*(1+'Operating costs'!$B$51)^MAX(0,C4151-1)+Paths!$K$383*(1+'Operating costs'!$B$53)^MAX(0,C4151-1)),"n.a."))</f>
        <v>0</v>
      </c>
      <c r="H4151" s="16">
        <f>IF(NOT(Paths!$C$383=1),0,IF(Paths!$P$383="Complete",F4151/12*(Paths!$L$383*(1+IF(Paths!$D$383="EV",'Operating costs'!$B$52,'Operating costs'!$B$51))^MAX(0,C4151-1)+Paths!$M$383*(1+'Operating costs'!$B$53)^MAX(0,C4151-1)),"n.a."))</f>
        <v>0</v>
      </c>
      <c r="I4151" s="16">
        <f>IF(NOT(Paths!$C$383=1),0,IF(Paths!$P$383="Complete",IF(IF(Paths!$E$383=0,C4151=0,AND(C4151&gt;0,Paths!$E$383&gt;(C4151-1)*12,Paths!$E$383&lt;=C4151*12)),Paths!$G$383,0),"n.a."))</f>
        <v>0</v>
      </c>
      <c r="J4151" s="16">
        <f>IF(NOT(Paths!$C$383=1),0,IF(Paths!$P$383="Complete",IF(IF(Paths!$E$383=0,C4151=0,AND(C4151&gt;0,Paths!$E$383&gt;(C4151-1)*12,Paths!$E$383&lt;=C4151*12)),Paths!$H$383,0),"n.a."))</f>
        <v>0</v>
      </c>
      <c r="K4151" s="16">
        <f>IF(NOT(Paths!$C$383=1),0,IF(Paths!$P$383="Complete",IF(IF(Paths!$O$383=0,C4151=0,AND(C4151&gt;0,Paths!$O$383&gt;(C4151-1)*12,Paths!$O$383&lt;=C4151*12)),Paths!$N$383,0),"n.a."))</f>
        <v>0</v>
      </c>
      <c r="L4151" s="16">
        <f>IF(NOT(Paths!$C$383=1),0,IF(Paths!$P$383="Complete",IF(C4151=10,Paths!$I$383,0),"n.a."))</f>
        <v>0</v>
      </c>
      <c r="M4151" s="16">
        <f>IF(NOT(Paths!$C$383=1),0,IF(Paths!$P$383="Complete",IF(AND(Paths!$D$383="EV",Paths!$E$383&lt;120,Paths!$E$383+'Operating costs'!$B$65&gt;Paths!$E$383,Paths!$E$383+'Operating costs'!$B$65&lt;=120,IF(Paths!$E$383+'Operating costs'!$B$65=0,C4151=0,AND(C4151&gt;0,Paths!$E$383+'Operating costs'!$B$65&gt;(C4151-1)*12,Paths!$E$383+'Operating costs'!$B$65&lt;=C4151*12))),'Operating costs'!$B$64,0)+IF(AND('Operating costs'!$B$67&gt;0,'Operating costs'!$B$67&lt;=120,OR(Paths!$D$383="ICE",'Operating costs'!$B$67&lt;=Paths!$E$383),IF('Operating costs'!$B$67=0,C4151=0,AND(C4151&gt;0,'Operating costs'!$B$67&gt;(C4151-1)*12,'Operating costs'!$B$67&lt;=C4151*12))),'Operating costs'!$B$66,0),"n.a."))</f>
        <v>0</v>
      </c>
      <c r="N4151" s="16">
        <f>IF(NOT(Paths!$C$383=1),0,IF(Paths!$P$383="Complete",SUM(G4151:I4151)-J4151-K4151-L4151+M4151+IF(C4151=0,Paths!$F$383,0)+IF(IF(Paths!$E$383=0,C4151=0,AND(C4151&gt;0,Paths!$E$383&gt;(C4151-1)*12,Paths!$E$383&lt;=C4151*12)),VLOOKUP(A4151,'Fleet register'!$A$7:$S$106,16,FALSE),0),"n.a."))</f>
        <v>0</v>
      </c>
      <c r="O4151" s="16">
        <f>IF(NOT(Paths!$C$383=1),0,IF(Paths!$P$383="Complete",N4151-IF(C4151=0,Paths!$F$383,0),"n.a."))</f>
        <v>0</v>
      </c>
      <c r="P4151" s="16">
        <f>IF(NOT(Paths!$C$383=1),0,IF(Paths!$P$383="Complete",O4151+L4151,"n.a."))</f>
        <v>0</v>
      </c>
      <c r="Q4151" s="16">
        <f>IF(NOT(Paths!$C$383=1),0,IF(Paths!$P$383="Complete",N4151*(1+'Operating costs'!$B$54)^-C4151,"n.a."))</f>
        <v>0</v>
      </c>
      <c r="R4151" s="16">
        <f>IF(NOT(Paths!$C$383=1),0,IF(Paths!$P$383="Complete",IF(AND(C4151=0,Paths!$E$383=0),I4151-J4151-K4151+VLOOKUP(A4151,'Fleet register'!$A$7:$S$106,15,FALSE)+VLOOKUP(A4151,'Fleet register'!$A$7:$S$106,16,FALSE),0),"n.a."))</f>
        <v>0</v>
      </c>
      <c r="S4151" s="1">
        <f>IF(NOT(Paths!$C$383=1),0,IF(Paths!$P$383="Complete",IF(C4151=0,0,Paths!$S$383*Paths!$R$383),"n.a."))</f>
        <v>0</v>
      </c>
      <c r="T4151" s="1">
        <f>IF(NOT(Paths!$C$383=1),0,IF(Paths!$P$383="Complete",IF(C4151=0,0,VLOOKUP(A4151,'Fleet register'!$A$7:$S$106,9,FALSE)*Paths!$R$383),"n.a."))</f>
        <v>0</v>
      </c>
    </row>
    <row r="4152" spans="1:20" ht="24" customHeight="1">
      <c r="A4152" s="1" t="str">
        <f>Paths!$A$383</f>
        <v>T095</v>
      </c>
      <c r="B4152" s="1">
        <f>Paths!$B$383</f>
        <v>0</v>
      </c>
      <c r="C4152" s="1">
        <v>9</v>
      </c>
      <c r="D4152" s="1">
        <v>383</v>
      </c>
      <c r="E4152" s="1">
        <f>IF(OR(Paths!$C$383=0,C4152=0),0,MAX(0,MIN(C4152*12,Paths!$E$383)-(C4152-1)*12))</f>
        <v>0</v>
      </c>
      <c r="F4152" s="1">
        <f>IF(OR(Paths!$C$383=0,C4152=0),0,12-E4152)</f>
        <v>0</v>
      </c>
      <c r="G4152" s="16">
        <f>IF(NOT(Paths!$C$383=1),0,IF(Paths!$P$383="Complete",E4152/12*(Paths!$J$383*(1+'Operating costs'!$B$51)^MAX(0,C4152-1)+Paths!$K$383*(1+'Operating costs'!$B$53)^MAX(0,C4152-1)),"n.a."))</f>
        <v>0</v>
      </c>
      <c r="H4152" s="16">
        <f>IF(NOT(Paths!$C$383=1),0,IF(Paths!$P$383="Complete",F4152/12*(Paths!$L$383*(1+IF(Paths!$D$383="EV",'Operating costs'!$B$52,'Operating costs'!$B$51))^MAX(0,C4152-1)+Paths!$M$383*(1+'Operating costs'!$B$53)^MAX(0,C4152-1)),"n.a."))</f>
        <v>0</v>
      </c>
      <c r="I4152" s="16">
        <f>IF(NOT(Paths!$C$383=1),0,IF(Paths!$P$383="Complete",IF(IF(Paths!$E$383=0,C4152=0,AND(C4152&gt;0,Paths!$E$383&gt;(C4152-1)*12,Paths!$E$383&lt;=C4152*12)),Paths!$G$383,0),"n.a."))</f>
        <v>0</v>
      </c>
      <c r="J4152" s="16">
        <f>IF(NOT(Paths!$C$383=1),0,IF(Paths!$P$383="Complete",IF(IF(Paths!$E$383=0,C4152=0,AND(C4152&gt;0,Paths!$E$383&gt;(C4152-1)*12,Paths!$E$383&lt;=C4152*12)),Paths!$H$383,0),"n.a."))</f>
        <v>0</v>
      </c>
      <c r="K4152" s="16">
        <f>IF(NOT(Paths!$C$383=1),0,IF(Paths!$P$383="Complete",IF(IF(Paths!$O$383=0,C4152=0,AND(C4152&gt;0,Paths!$O$383&gt;(C4152-1)*12,Paths!$O$383&lt;=C4152*12)),Paths!$N$383,0),"n.a."))</f>
        <v>0</v>
      </c>
      <c r="L4152" s="16">
        <f>IF(NOT(Paths!$C$383=1),0,IF(Paths!$P$383="Complete",IF(C4152=10,Paths!$I$383,0),"n.a."))</f>
        <v>0</v>
      </c>
      <c r="M4152" s="16">
        <f>IF(NOT(Paths!$C$383=1),0,IF(Paths!$P$383="Complete",IF(AND(Paths!$D$383="EV",Paths!$E$383&lt;120,Paths!$E$383+'Operating costs'!$B$65&gt;Paths!$E$383,Paths!$E$383+'Operating costs'!$B$65&lt;=120,IF(Paths!$E$383+'Operating costs'!$B$65=0,C4152=0,AND(C4152&gt;0,Paths!$E$383+'Operating costs'!$B$65&gt;(C4152-1)*12,Paths!$E$383+'Operating costs'!$B$65&lt;=C4152*12))),'Operating costs'!$B$64,0)+IF(AND('Operating costs'!$B$67&gt;0,'Operating costs'!$B$67&lt;=120,OR(Paths!$D$383="ICE",'Operating costs'!$B$67&lt;=Paths!$E$383),IF('Operating costs'!$B$67=0,C4152=0,AND(C4152&gt;0,'Operating costs'!$B$67&gt;(C4152-1)*12,'Operating costs'!$B$67&lt;=C4152*12))),'Operating costs'!$B$66,0),"n.a."))</f>
        <v>0</v>
      </c>
      <c r="N4152" s="16">
        <f>IF(NOT(Paths!$C$383=1),0,IF(Paths!$P$383="Complete",SUM(G4152:I4152)-J4152-K4152-L4152+M4152+IF(C4152=0,Paths!$F$383,0)+IF(IF(Paths!$E$383=0,C4152=0,AND(C4152&gt;0,Paths!$E$383&gt;(C4152-1)*12,Paths!$E$383&lt;=C4152*12)),VLOOKUP(A4152,'Fleet register'!$A$7:$S$106,16,FALSE),0),"n.a."))</f>
        <v>0</v>
      </c>
      <c r="O4152" s="16">
        <f>IF(NOT(Paths!$C$383=1),0,IF(Paths!$P$383="Complete",N4152-IF(C4152=0,Paths!$F$383,0),"n.a."))</f>
        <v>0</v>
      </c>
      <c r="P4152" s="16">
        <f>IF(NOT(Paths!$C$383=1),0,IF(Paths!$P$383="Complete",O4152+L4152,"n.a."))</f>
        <v>0</v>
      </c>
      <c r="Q4152" s="16">
        <f>IF(NOT(Paths!$C$383=1),0,IF(Paths!$P$383="Complete",N4152*(1+'Operating costs'!$B$54)^-C4152,"n.a."))</f>
        <v>0</v>
      </c>
      <c r="R4152" s="16">
        <f>IF(NOT(Paths!$C$383=1),0,IF(Paths!$P$383="Complete",IF(AND(C4152=0,Paths!$E$383=0),I4152-J4152-K4152+VLOOKUP(A4152,'Fleet register'!$A$7:$S$106,15,FALSE)+VLOOKUP(A4152,'Fleet register'!$A$7:$S$106,16,FALSE),0),"n.a."))</f>
        <v>0</v>
      </c>
      <c r="S4152" s="1">
        <f>IF(NOT(Paths!$C$383=1),0,IF(Paths!$P$383="Complete",IF(C4152=0,0,Paths!$S$383*Paths!$R$383),"n.a."))</f>
        <v>0</v>
      </c>
      <c r="T4152" s="1">
        <f>IF(NOT(Paths!$C$383=1),0,IF(Paths!$P$383="Complete",IF(C4152=0,0,VLOOKUP(A4152,'Fleet register'!$A$7:$S$106,9,FALSE)*Paths!$R$383),"n.a."))</f>
        <v>0</v>
      </c>
    </row>
    <row r="4153" spans="1:20" ht="24" customHeight="1">
      <c r="A4153" s="1" t="str">
        <f>Paths!$A$383</f>
        <v>T095</v>
      </c>
      <c r="B4153" s="1">
        <f>Paths!$B$383</f>
        <v>0</v>
      </c>
      <c r="C4153" s="1">
        <v>10</v>
      </c>
      <c r="D4153" s="1">
        <v>383</v>
      </c>
      <c r="E4153" s="1">
        <f>IF(OR(Paths!$C$383=0,C4153=0),0,MAX(0,MIN(C4153*12,Paths!$E$383)-(C4153-1)*12))</f>
        <v>0</v>
      </c>
      <c r="F4153" s="1">
        <f>IF(OR(Paths!$C$383=0,C4153=0),0,12-E4153)</f>
        <v>0</v>
      </c>
      <c r="G4153" s="16">
        <f>IF(NOT(Paths!$C$383=1),0,IF(Paths!$P$383="Complete",E4153/12*(Paths!$J$383*(1+'Operating costs'!$B$51)^MAX(0,C4153-1)+Paths!$K$383*(1+'Operating costs'!$B$53)^MAX(0,C4153-1)),"n.a."))</f>
        <v>0</v>
      </c>
      <c r="H4153" s="16">
        <f>IF(NOT(Paths!$C$383=1),0,IF(Paths!$P$383="Complete",F4153/12*(Paths!$L$383*(1+IF(Paths!$D$383="EV",'Operating costs'!$B$52,'Operating costs'!$B$51))^MAX(0,C4153-1)+Paths!$M$383*(1+'Operating costs'!$B$53)^MAX(0,C4153-1)),"n.a."))</f>
        <v>0</v>
      </c>
      <c r="I4153" s="16">
        <f>IF(NOT(Paths!$C$383=1),0,IF(Paths!$P$383="Complete",IF(IF(Paths!$E$383=0,C4153=0,AND(C4153&gt;0,Paths!$E$383&gt;(C4153-1)*12,Paths!$E$383&lt;=C4153*12)),Paths!$G$383,0),"n.a."))</f>
        <v>0</v>
      </c>
      <c r="J4153" s="16">
        <f>IF(NOT(Paths!$C$383=1),0,IF(Paths!$P$383="Complete",IF(IF(Paths!$E$383=0,C4153=0,AND(C4153&gt;0,Paths!$E$383&gt;(C4153-1)*12,Paths!$E$383&lt;=C4153*12)),Paths!$H$383,0),"n.a."))</f>
        <v>0</v>
      </c>
      <c r="K4153" s="16">
        <f>IF(NOT(Paths!$C$383=1),0,IF(Paths!$P$383="Complete",IF(IF(Paths!$O$383=0,C4153=0,AND(C4153&gt;0,Paths!$O$383&gt;(C4153-1)*12,Paths!$O$383&lt;=C4153*12)),Paths!$N$383,0),"n.a."))</f>
        <v>0</v>
      </c>
      <c r="L4153" s="16">
        <f>IF(NOT(Paths!$C$383=1),0,IF(Paths!$P$383="Complete",IF(C4153=10,Paths!$I$383,0),"n.a."))</f>
        <v>0</v>
      </c>
      <c r="M4153" s="16">
        <f>IF(NOT(Paths!$C$383=1),0,IF(Paths!$P$383="Complete",IF(AND(Paths!$D$383="EV",Paths!$E$383&lt;120,Paths!$E$383+'Operating costs'!$B$65&gt;Paths!$E$383,Paths!$E$383+'Operating costs'!$B$65&lt;=120,IF(Paths!$E$383+'Operating costs'!$B$65=0,C4153=0,AND(C4153&gt;0,Paths!$E$383+'Operating costs'!$B$65&gt;(C4153-1)*12,Paths!$E$383+'Operating costs'!$B$65&lt;=C4153*12))),'Operating costs'!$B$64,0)+IF(AND('Operating costs'!$B$67&gt;0,'Operating costs'!$B$67&lt;=120,OR(Paths!$D$383="ICE",'Operating costs'!$B$67&lt;=Paths!$E$383),IF('Operating costs'!$B$67=0,C4153=0,AND(C4153&gt;0,'Operating costs'!$B$67&gt;(C4153-1)*12,'Operating costs'!$B$67&lt;=C4153*12))),'Operating costs'!$B$66,0),"n.a."))</f>
        <v>0</v>
      </c>
      <c r="N4153" s="16">
        <f>IF(NOT(Paths!$C$383=1),0,IF(Paths!$P$383="Complete",SUM(G4153:I4153)-J4153-K4153-L4153+M4153+IF(C4153=0,Paths!$F$383,0)+IF(IF(Paths!$E$383=0,C4153=0,AND(C4153&gt;0,Paths!$E$383&gt;(C4153-1)*12,Paths!$E$383&lt;=C4153*12)),VLOOKUP(A4153,'Fleet register'!$A$7:$S$106,16,FALSE),0),"n.a."))</f>
        <v>0</v>
      </c>
      <c r="O4153" s="16">
        <f>IF(NOT(Paths!$C$383=1),0,IF(Paths!$P$383="Complete",N4153-IF(C4153=0,Paths!$F$383,0),"n.a."))</f>
        <v>0</v>
      </c>
      <c r="P4153" s="16">
        <f>IF(NOT(Paths!$C$383=1),0,IF(Paths!$P$383="Complete",O4153+L4153,"n.a."))</f>
        <v>0</v>
      </c>
      <c r="Q4153" s="16">
        <f>IF(NOT(Paths!$C$383=1),0,IF(Paths!$P$383="Complete",N4153*(1+'Operating costs'!$B$54)^-C4153,"n.a."))</f>
        <v>0</v>
      </c>
      <c r="R4153" s="16">
        <f>IF(NOT(Paths!$C$383=1),0,IF(Paths!$P$383="Complete",IF(AND(C4153=0,Paths!$E$383=0),I4153-J4153-K4153+VLOOKUP(A4153,'Fleet register'!$A$7:$S$106,15,FALSE)+VLOOKUP(A4153,'Fleet register'!$A$7:$S$106,16,FALSE),0),"n.a."))</f>
        <v>0</v>
      </c>
      <c r="S4153" s="1">
        <f>IF(NOT(Paths!$C$383=1),0,IF(Paths!$P$383="Complete",IF(C4153=0,0,Paths!$S$383*Paths!$R$383),"n.a."))</f>
        <v>0</v>
      </c>
      <c r="T4153" s="1">
        <f>IF(NOT(Paths!$C$383=1),0,IF(Paths!$P$383="Complete",IF(C4153=0,0,VLOOKUP(A4153,'Fleet register'!$A$7:$S$106,9,FALSE)*Paths!$R$383),"n.a."))</f>
        <v>0</v>
      </c>
    </row>
    <row r="4154" spans="1:20" ht="24" customHeight="1">
      <c r="A4154" s="1" t="str">
        <f>Paths!$A$384</f>
        <v>T095</v>
      </c>
      <c r="B4154" s="1">
        <f>Paths!$B$384</f>
        <v>1</v>
      </c>
      <c r="C4154" s="1">
        <v>0</v>
      </c>
      <c r="D4154" s="1">
        <v>384</v>
      </c>
      <c r="E4154" s="1">
        <f>IF(OR(Paths!$C$384=0,C4154=0),0,MAX(0,MIN(C4154*12,Paths!$E$384)-(C4154-1)*12))</f>
        <v>0</v>
      </c>
      <c r="F4154" s="1">
        <f>IF(OR(Paths!$C$384=0,C4154=0),0,12-E4154)</f>
        <v>0</v>
      </c>
      <c r="G4154" s="16">
        <f>IF(NOT(Paths!$C$384=1),0,IF(Paths!$P$384="Complete",E4154/12*(Paths!$J$384*(1+'Operating costs'!$B$51)^MAX(0,C4154-1)+Paths!$K$384*(1+'Operating costs'!$B$53)^MAX(0,C4154-1)),"n.a."))</f>
        <v>0</v>
      </c>
      <c r="H4154" s="16">
        <f>IF(NOT(Paths!$C$384=1),0,IF(Paths!$P$384="Complete",F4154/12*(Paths!$L$384*(1+IF(Paths!$D$384="EV",'Operating costs'!$B$52,'Operating costs'!$B$51))^MAX(0,C4154-1)+Paths!$M$384*(1+'Operating costs'!$B$53)^MAX(0,C4154-1)),"n.a."))</f>
        <v>0</v>
      </c>
      <c r="I4154" s="16">
        <f>IF(NOT(Paths!$C$384=1),0,IF(Paths!$P$384="Complete",IF(IF(Paths!$E$384=0,C4154=0,AND(C4154&gt;0,Paths!$E$384&gt;(C4154-1)*12,Paths!$E$384&lt;=C4154*12)),Paths!$G$384,0),"n.a."))</f>
        <v>0</v>
      </c>
      <c r="J4154" s="16">
        <f>IF(NOT(Paths!$C$384=1),0,IF(Paths!$P$384="Complete",IF(IF(Paths!$E$384=0,C4154=0,AND(C4154&gt;0,Paths!$E$384&gt;(C4154-1)*12,Paths!$E$384&lt;=C4154*12)),Paths!$H$384,0),"n.a."))</f>
        <v>0</v>
      </c>
      <c r="K4154" s="16">
        <f>IF(NOT(Paths!$C$384=1),0,IF(Paths!$P$384="Complete",IF(IF(Paths!$O$384=0,C4154=0,AND(C4154&gt;0,Paths!$O$384&gt;(C4154-1)*12,Paths!$O$384&lt;=C4154*12)),Paths!$N$384,0),"n.a."))</f>
        <v>0</v>
      </c>
      <c r="L4154" s="16">
        <f>IF(NOT(Paths!$C$384=1),0,IF(Paths!$P$384="Complete",IF(C4154=10,Paths!$I$384,0),"n.a."))</f>
        <v>0</v>
      </c>
      <c r="M4154" s="16">
        <f>IF(NOT(Paths!$C$384=1),0,IF(Paths!$P$384="Complete",IF(AND(Paths!$D$384="EV",Paths!$E$384&lt;120,Paths!$E$384+'Operating costs'!$B$65&gt;Paths!$E$384,Paths!$E$384+'Operating costs'!$B$65&lt;=120,IF(Paths!$E$384+'Operating costs'!$B$65=0,C4154=0,AND(C4154&gt;0,Paths!$E$384+'Operating costs'!$B$65&gt;(C4154-1)*12,Paths!$E$384+'Operating costs'!$B$65&lt;=C4154*12))),'Operating costs'!$B$64,0)+IF(AND('Operating costs'!$B$67&gt;0,'Operating costs'!$B$67&lt;=120,OR(Paths!$D$384="ICE",'Operating costs'!$B$67&lt;=Paths!$E$384),IF('Operating costs'!$B$67=0,C4154=0,AND(C4154&gt;0,'Operating costs'!$B$67&gt;(C4154-1)*12,'Operating costs'!$B$67&lt;=C4154*12))),'Operating costs'!$B$66,0),"n.a."))</f>
        <v>0</v>
      </c>
      <c r="N4154" s="16">
        <f>IF(NOT(Paths!$C$384=1),0,IF(Paths!$P$384="Complete",SUM(G4154:I4154)-J4154-K4154-L4154+M4154+IF(C4154=0,Paths!$F$384,0)+IF(IF(Paths!$E$384=0,C4154=0,AND(C4154&gt;0,Paths!$E$384&gt;(C4154-1)*12,Paths!$E$384&lt;=C4154*12)),VLOOKUP(A4154,'Fleet register'!$A$7:$S$106,16,FALSE),0),"n.a."))</f>
        <v>0</v>
      </c>
      <c r="O4154" s="16">
        <f>IF(NOT(Paths!$C$384=1),0,IF(Paths!$P$384="Complete",N4154-IF(C4154=0,Paths!$F$384,0),"n.a."))</f>
        <v>0</v>
      </c>
      <c r="P4154" s="16">
        <f>IF(NOT(Paths!$C$384=1),0,IF(Paths!$P$384="Complete",O4154+L4154,"n.a."))</f>
        <v>0</v>
      </c>
      <c r="Q4154" s="16">
        <f>IF(NOT(Paths!$C$384=1),0,IF(Paths!$P$384="Complete",N4154*(1+'Operating costs'!$B$54)^-C4154,"n.a."))</f>
        <v>0</v>
      </c>
      <c r="R4154" s="16">
        <f>IF(NOT(Paths!$C$384=1),0,IF(Paths!$P$384="Complete",IF(AND(C4154=0,Paths!$E$384=0),I4154-J4154-K4154+VLOOKUP(A4154,'Fleet register'!$A$7:$S$106,15,FALSE)+VLOOKUP(A4154,'Fleet register'!$A$7:$S$106,16,FALSE),0),"n.a."))</f>
        <v>0</v>
      </c>
      <c r="S4154" s="1">
        <f>IF(NOT(Paths!$C$384=1),0,IF(Paths!$P$384="Complete",IF(C4154=0,0,Paths!$S$384*Paths!$R$384),"n.a."))</f>
        <v>0</v>
      </c>
      <c r="T4154" s="1">
        <f>IF(NOT(Paths!$C$384=1),0,IF(Paths!$P$384="Complete",IF(C4154=0,0,VLOOKUP(A4154,'Fleet register'!$A$7:$S$106,9,FALSE)*Paths!$R$384),"n.a."))</f>
        <v>0</v>
      </c>
    </row>
    <row r="4155" spans="1:20" ht="24" customHeight="1">
      <c r="A4155" s="1" t="str">
        <f>Paths!$A$384</f>
        <v>T095</v>
      </c>
      <c r="B4155" s="1">
        <f>Paths!$B$384</f>
        <v>1</v>
      </c>
      <c r="C4155" s="1">
        <v>1</v>
      </c>
      <c r="D4155" s="1">
        <v>384</v>
      </c>
      <c r="E4155" s="1">
        <f>IF(OR(Paths!$C$384=0,C4155=0),0,MAX(0,MIN(C4155*12,Paths!$E$384)-(C4155-1)*12))</f>
        <v>0</v>
      </c>
      <c r="F4155" s="1">
        <f>IF(OR(Paths!$C$384=0,C4155=0),0,12-E4155)</f>
        <v>0</v>
      </c>
      <c r="G4155" s="16">
        <f>IF(NOT(Paths!$C$384=1),0,IF(Paths!$P$384="Complete",E4155/12*(Paths!$J$384*(1+'Operating costs'!$B$51)^MAX(0,C4155-1)+Paths!$K$384*(1+'Operating costs'!$B$53)^MAX(0,C4155-1)),"n.a."))</f>
        <v>0</v>
      </c>
      <c r="H4155" s="16">
        <f>IF(NOT(Paths!$C$384=1),0,IF(Paths!$P$384="Complete",F4155/12*(Paths!$L$384*(1+IF(Paths!$D$384="EV",'Operating costs'!$B$52,'Operating costs'!$B$51))^MAX(0,C4155-1)+Paths!$M$384*(1+'Operating costs'!$B$53)^MAX(0,C4155-1)),"n.a."))</f>
        <v>0</v>
      </c>
      <c r="I4155" s="16">
        <f>IF(NOT(Paths!$C$384=1),0,IF(Paths!$P$384="Complete",IF(IF(Paths!$E$384=0,C4155=0,AND(C4155&gt;0,Paths!$E$384&gt;(C4155-1)*12,Paths!$E$384&lt;=C4155*12)),Paths!$G$384,0),"n.a."))</f>
        <v>0</v>
      </c>
      <c r="J4155" s="16">
        <f>IF(NOT(Paths!$C$384=1),0,IF(Paths!$P$384="Complete",IF(IF(Paths!$E$384=0,C4155=0,AND(C4155&gt;0,Paths!$E$384&gt;(C4155-1)*12,Paths!$E$384&lt;=C4155*12)),Paths!$H$384,0),"n.a."))</f>
        <v>0</v>
      </c>
      <c r="K4155" s="16">
        <f>IF(NOT(Paths!$C$384=1),0,IF(Paths!$P$384="Complete",IF(IF(Paths!$O$384=0,C4155=0,AND(C4155&gt;0,Paths!$O$384&gt;(C4155-1)*12,Paths!$O$384&lt;=C4155*12)),Paths!$N$384,0),"n.a."))</f>
        <v>0</v>
      </c>
      <c r="L4155" s="16">
        <f>IF(NOT(Paths!$C$384=1),0,IF(Paths!$P$384="Complete",IF(C4155=10,Paths!$I$384,0),"n.a."))</f>
        <v>0</v>
      </c>
      <c r="M4155" s="16">
        <f>IF(NOT(Paths!$C$384=1),0,IF(Paths!$P$384="Complete",IF(AND(Paths!$D$384="EV",Paths!$E$384&lt;120,Paths!$E$384+'Operating costs'!$B$65&gt;Paths!$E$384,Paths!$E$384+'Operating costs'!$B$65&lt;=120,IF(Paths!$E$384+'Operating costs'!$B$65=0,C4155=0,AND(C4155&gt;0,Paths!$E$384+'Operating costs'!$B$65&gt;(C4155-1)*12,Paths!$E$384+'Operating costs'!$B$65&lt;=C4155*12))),'Operating costs'!$B$64,0)+IF(AND('Operating costs'!$B$67&gt;0,'Operating costs'!$B$67&lt;=120,OR(Paths!$D$384="ICE",'Operating costs'!$B$67&lt;=Paths!$E$384),IF('Operating costs'!$B$67=0,C4155=0,AND(C4155&gt;0,'Operating costs'!$B$67&gt;(C4155-1)*12,'Operating costs'!$B$67&lt;=C4155*12))),'Operating costs'!$B$66,0),"n.a."))</f>
        <v>0</v>
      </c>
      <c r="N4155" s="16">
        <f>IF(NOT(Paths!$C$384=1),0,IF(Paths!$P$384="Complete",SUM(G4155:I4155)-J4155-K4155-L4155+M4155+IF(C4155=0,Paths!$F$384,0)+IF(IF(Paths!$E$384=0,C4155=0,AND(C4155&gt;0,Paths!$E$384&gt;(C4155-1)*12,Paths!$E$384&lt;=C4155*12)),VLOOKUP(A4155,'Fleet register'!$A$7:$S$106,16,FALSE),0),"n.a."))</f>
        <v>0</v>
      </c>
      <c r="O4155" s="16">
        <f>IF(NOT(Paths!$C$384=1),0,IF(Paths!$P$384="Complete",N4155-IF(C4155=0,Paths!$F$384,0),"n.a."))</f>
        <v>0</v>
      </c>
      <c r="P4155" s="16">
        <f>IF(NOT(Paths!$C$384=1),0,IF(Paths!$P$384="Complete",O4155+L4155,"n.a."))</f>
        <v>0</v>
      </c>
      <c r="Q4155" s="16">
        <f>IF(NOT(Paths!$C$384=1),0,IF(Paths!$P$384="Complete",N4155*(1+'Operating costs'!$B$54)^-C4155,"n.a."))</f>
        <v>0</v>
      </c>
      <c r="R4155" s="16">
        <f>IF(NOT(Paths!$C$384=1),0,IF(Paths!$P$384="Complete",IF(AND(C4155=0,Paths!$E$384=0),I4155-J4155-K4155+VLOOKUP(A4155,'Fleet register'!$A$7:$S$106,15,FALSE)+VLOOKUP(A4155,'Fleet register'!$A$7:$S$106,16,FALSE),0),"n.a."))</f>
        <v>0</v>
      </c>
      <c r="S4155" s="1">
        <f>IF(NOT(Paths!$C$384=1),0,IF(Paths!$P$384="Complete",IF(C4155=0,0,Paths!$S$384*Paths!$R$384),"n.a."))</f>
        <v>0</v>
      </c>
      <c r="T4155" s="1">
        <f>IF(NOT(Paths!$C$384=1),0,IF(Paths!$P$384="Complete",IF(C4155=0,0,VLOOKUP(A4155,'Fleet register'!$A$7:$S$106,9,FALSE)*Paths!$R$384),"n.a."))</f>
        <v>0</v>
      </c>
    </row>
    <row r="4156" spans="1:20" ht="24" customHeight="1">
      <c r="A4156" s="1" t="str">
        <f>Paths!$A$384</f>
        <v>T095</v>
      </c>
      <c r="B4156" s="1">
        <f>Paths!$B$384</f>
        <v>1</v>
      </c>
      <c r="C4156" s="1">
        <v>2</v>
      </c>
      <c r="D4156" s="1">
        <v>384</v>
      </c>
      <c r="E4156" s="1">
        <f>IF(OR(Paths!$C$384=0,C4156=0),0,MAX(0,MIN(C4156*12,Paths!$E$384)-(C4156-1)*12))</f>
        <v>0</v>
      </c>
      <c r="F4156" s="1">
        <f>IF(OR(Paths!$C$384=0,C4156=0),0,12-E4156)</f>
        <v>0</v>
      </c>
      <c r="G4156" s="16">
        <f>IF(NOT(Paths!$C$384=1),0,IF(Paths!$P$384="Complete",E4156/12*(Paths!$J$384*(1+'Operating costs'!$B$51)^MAX(0,C4156-1)+Paths!$K$384*(1+'Operating costs'!$B$53)^MAX(0,C4156-1)),"n.a."))</f>
        <v>0</v>
      </c>
      <c r="H4156" s="16">
        <f>IF(NOT(Paths!$C$384=1),0,IF(Paths!$P$384="Complete",F4156/12*(Paths!$L$384*(1+IF(Paths!$D$384="EV",'Operating costs'!$B$52,'Operating costs'!$B$51))^MAX(0,C4156-1)+Paths!$M$384*(1+'Operating costs'!$B$53)^MAX(0,C4156-1)),"n.a."))</f>
        <v>0</v>
      </c>
      <c r="I4156" s="16">
        <f>IF(NOT(Paths!$C$384=1),0,IF(Paths!$P$384="Complete",IF(IF(Paths!$E$384=0,C4156=0,AND(C4156&gt;0,Paths!$E$384&gt;(C4156-1)*12,Paths!$E$384&lt;=C4156*12)),Paths!$G$384,0),"n.a."))</f>
        <v>0</v>
      </c>
      <c r="J4156" s="16">
        <f>IF(NOT(Paths!$C$384=1),0,IF(Paths!$P$384="Complete",IF(IF(Paths!$E$384=0,C4156=0,AND(C4156&gt;0,Paths!$E$384&gt;(C4156-1)*12,Paths!$E$384&lt;=C4156*12)),Paths!$H$384,0),"n.a."))</f>
        <v>0</v>
      </c>
      <c r="K4156" s="16">
        <f>IF(NOT(Paths!$C$384=1),0,IF(Paths!$P$384="Complete",IF(IF(Paths!$O$384=0,C4156=0,AND(C4156&gt;0,Paths!$O$384&gt;(C4156-1)*12,Paths!$O$384&lt;=C4156*12)),Paths!$N$384,0),"n.a."))</f>
        <v>0</v>
      </c>
      <c r="L4156" s="16">
        <f>IF(NOT(Paths!$C$384=1),0,IF(Paths!$P$384="Complete",IF(C4156=10,Paths!$I$384,0),"n.a."))</f>
        <v>0</v>
      </c>
      <c r="M4156" s="16">
        <f>IF(NOT(Paths!$C$384=1),0,IF(Paths!$P$384="Complete",IF(AND(Paths!$D$384="EV",Paths!$E$384&lt;120,Paths!$E$384+'Operating costs'!$B$65&gt;Paths!$E$384,Paths!$E$384+'Operating costs'!$B$65&lt;=120,IF(Paths!$E$384+'Operating costs'!$B$65=0,C4156=0,AND(C4156&gt;0,Paths!$E$384+'Operating costs'!$B$65&gt;(C4156-1)*12,Paths!$E$384+'Operating costs'!$B$65&lt;=C4156*12))),'Operating costs'!$B$64,0)+IF(AND('Operating costs'!$B$67&gt;0,'Operating costs'!$B$67&lt;=120,OR(Paths!$D$384="ICE",'Operating costs'!$B$67&lt;=Paths!$E$384),IF('Operating costs'!$B$67=0,C4156=0,AND(C4156&gt;0,'Operating costs'!$B$67&gt;(C4156-1)*12,'Operating costs'!$B$67&lt;=C4156*12))),'Operating costs'!$B$66,0),"n.a."))</f>
        <v>0</v>
      </c>
      <c r="N4156" s="16">
        <f>IF(NOT(Paths!$C$384=1),0,IF(Paths!$P$384="Complete",SUM(G4156:I4156)-J4156-K4156-L4156+M4156+IF(C4156=0,Paths!$F$384,0)+IF(IF(Paths!$E$384=0,C4156=0,AND(C4156&gt;0,Paths!$E$384&gt;(C4156-1)*12,Paths!$E$384&lt;=C4156*12)),VLOOKUP(A4156,'Fleet register'!$A$7:$S$106,16,FALSE),0),"n.a."))</f>
        <v>0</v>
      </c>
      <c r="O4156" s="16">
        <f>IF(NOT(Paths!$C$384=1),0,IF(Paths!$P$384="Complete",N4156-IF(C4156=0,Paths!$F$384,0),"n.a."))</f>
        <v>0</v>
      </c>
      <c r="P4156" s="16">
        <f>IF(NOT(Paths!$C$384=1),0,IF(Paths!$P$384="Complete",O4156+L4156,"n.a."))</f>
        <v>0</v>
      </c>
      <c r="Q4156" s="16">
        <f>IF(NOT(Paths!$C$384=1),0,IF(Paths!$P$384="Complete",N4156*(1+'Operating costs'!$B$54)^-C4156,"n.a."))</f>
        <v>0</v>
      </c>
      <c r="R4156" s="16">
        <f>IF(NOT(Paths!$C$384=1),0,IF(Paths!$P$384="Complete",IF(AND(C4156=0,Paths!$E$384=0),I4156-J4156-K4156+VLOOKUP(A4156,'Fleet register'!$A$7:$S$106,15,FALSE)+VLOOKUP(A4156,'Fleet register'!$A$7:$S$106,16,FALSE),0),"n.a."))</f>
        <v>0</v>
      </c>
      <c r="S4156" s="1">
        <f>IF(NOT(Paths!$C$384=1),0,IF(Paths!$P$384="Complete",IF(C4156=0,0,Paths!$S$384*Paths!$R$384),"n.a."))</f>
        <v>0</v>
      </c>
      <c r="T4156" s="1">
        <f>IF(NOT(Paths!$C$384=1),0,IF(Paths!$P$384="Complete",IF(C4156=0,0,VLOOKUP(A4156,'Fleet register'!$A$7:$S$106,9,FALSE)*Paths!$R$384),"n.a."))</f>
        <v>0</v>
      </c>
    </row>
    <row r="4157" spans="1:20" ht="24" customHeight="1">
      <c r="A4157" s="1" t="str">
        <f>Paths!$A$384</f>
        <v>T095</v>
      </c>
      <c r="B4157" s="1">
        <f>Paths!$B$384</f>
        <v>1</v>
      </c>
      <c r="C4157" s="1">
        <v>3</v>
      </c>
      <c r="D4157" s="1">
        <v>384</v>
      </c>
      <c r="E4157" s="1">
        <f>IF(OR(Paths!$C$384=0,C4157=0),0,MAX(0,MIN(C4157*12,Paths!$E$384)-(C4157-1)*12))</f>
        <v>0</v>
      </c>
      <c r="F4157" s="1">
        <f>IF(OR(Paths!$C$384=0,C4157=0),0,12-E4157)</f>
        <v>0</v>
      </c>
      <c r="G4157" s="16">
        <f>IF(NOT(Paths!$C$384=1),0,IF(Paths!$P$384="Complete",E4157/12*(Paths!$J$384*(1+'Operating costs'!$B$51)^MAX(0,C4157-1)+Paths!$K$384*(1+'Operating costs'!$B$53)^MAX(0,C4157-1)),"n.a."))</f>
        <v>0</v>
      </c>
      <c r="H4157" s="16">
        <f>IF(NOT(Paths!$C$384=1),0,IF(Paths!$P$384="Complete",F4157/12*(Paths!$L$384*(1+IF(Paths!$D$384="EV",'Operating costs'!$B$52,'Operating costs'!$B$51))^MAX(0,C4157-1)+Paths!$M$384*(1+'Operating costs'!$B$53)^MAX(0,C4157-1)),"n.a."))</f>
        <v>0</v>
      </c>
      <c r="I4157" s="16">
        <f>IF(NOT(Paths!$C$384=1),0,IF(Paths!$P$384="Complete",IF(IF(Paths!$E$384=0,C4157=0,AND(C4157&gt;0,Paths!$E$384&gt;(C4157-1)*12,Paths!$E$384&lt;=C4157*12)),Paths!$G$384,0),"n.a."))</f>
        <v>0</v>
      </c>
      <c r="J4157" s="16">
        <f>IF(NOT(Paths!$C$384=1),0,IF(Paths!$P$384="Complete",IF(IF(Paths!$E$384=0,C4157=0,AND(C4157&gt;0,Paths!$E$384&gt;(C4157-1)*12,Paths!$E$384&lt;=C4157*12)),Paths!$H$384,0),"n.a."))</f>
        <v>0</v>
      </c>
      <c r="K4157" s="16">
        <f>IF(NOT(Paths!$C$384=1),0,IF(Paths!$P$384="Complete",IF(IF(Paths!$O$384=0,C4157=0,AND(C4157&gt;0,Paths!$O$384&gt;(C4157-1)*12,Paths!$O$384&lt;=C4157*12)),Paths!$N$384,0),"n.a."))</f>
        <v>0</v>
      </c>
      <c r="L4157" s="16">
        <f>IF(NOT(Paths!$C$384=1),0,IF(Paths!$P$384="Complete",IF(C4157=10,Paths!$I$384,0),"n.a."))</f>
        <v>0</v>
      </c>
      <c r="M4157" s="16">
        <f>IF(NOT(Paths!$C$384=1),0,IF(Paths!$P$384="Complete",IF(AND(Paths!$D$384="EV",Paths!$E$384&lt;120,Paths!$E$384+'Operating costs'!$B$65&gt;Paths!$E$384,Paths!$E$384+'Operating costs'!$B$65&lt;=120,IF(Paths!$E$384+'Operating costs'!$B$65=0,C4157=0,AND(C4157&gt;0,Paths!$E$384+'Operating costs'!$B$65&gt;(C4157-1)*12,Paths!$E$384+'Operating costs'!$B$65&lt;=C4157*12))),'Operating costs'!$B$64,0)+IF(AND('Operating costs'!$B$67&gt;0,'Operating costs'!$B$67&lt;=120,OR(Paths!$D$384="ICE",'Operating costs'!$B$67&lt;=Paths!$E$384),IF('Operating costs'!$B$67=0,C4157=0,AND(C4157&gt;0,'Operating costs'!$B$67&gt;(C4157-1)*12,'Operating costs'!$B$67&lt;=C4157*12))),'Operating costs'!$B$66,0),"n.a."))</f>
        <v>0</v>
      </c>
      <c r="N4157" s="16">
        <f>IF(NOT(Paths!$C$384=1),0,IF(Paths!$P$384="Complete",SUM(G4157:I4157)-J4157-K4157-L4157+M4157+IF(C4157=0,Paths!$F$384,0)+IF(IF(Paths!$E$384=0,C4157=0,AND(C4157&gt;0,Paths!$E$384&gt;(C4157-1)*12,Paths!$E$384&lt;=C4157*12)),VLOOKUP(A4157,'Fleet register'!$A$7:$S$106,16,FALSE),0),"n.a."))</f>
        <v>0</v>
      </c>
      <c r="O4157" s="16">
        <f>IF(NOT(Paths!$C$384=1),0,IF(Paths!$P$384="Complete",N4157-IF(C4157=0,Paths!$F$384,0),"n.a."))</f>
        <v>0</v>
      </c>
      <c r="P4157" s="16">
        <f>IF(NOT(Paths!$C$384=1),0,IF(Paths!$P$384="Complete",O4157+L4157,"n.a."))</f>
        <v>0</v>
      </c>
      <c r="Q4157" s="16">
        <f>IF(NOT(Paths!$C$384=1),0,IF(Paths!$P$384="Complete",N4157*(1+'Operating costs'!$B$54)^-C4157,"n.a."))</f>
        <v>0</v>
      </c>
      <c r="R4157" s="16">
        <f>IF(NOT(Paths!$C$384=1),0,IF(Paths!$P$384="Complete",IF(AND(C4157=0,Paths!$E$384=0),I4157-J4157-K4157+VLOOKUP(A4157,'Fleet register'!$A$7:$S$106,15,FALSE)+VLOOKUP(A4157,'Fleet register'!$A$7:$S$106,16,FALSE),0),"n.a."))</f>
        <v>0</v>
      </c>
      <c r="S4157" s="1">
        <f>IF(NOT(Paths!$C$384=1),0,IF(Paths!$P$384="Complete",IF(C4157=0,0,Paths!$S$384*Paths!$R$384),"n.a."))</f>
        <v>0</v>
      </c>
      <c r="T4157" s="1">
        <f>IF(NOT(Paths!$C$384=1),0,IF(Paths!$P$384="Complete",IF(C4157=0,0,VLOOKUP(A4157,'Fleet register'!$A$7:$S$106,9,FALSE)*Paths!$R$384),"n.a."))</f>
        <v>0</v>
      </c>
    </row>
    <row r="4158" spans="1:20" ht="24" customHeight="1">
      <c r="A4158" s="1" t="str">
        <f>Paths!$A$384</f>
        <v>T095</v>
      </c>
      <c r="B4158" s="1">
        <f>Paths!$B$384</f>
        <v>1</v>
      </c>
      <c r="C4158" s="1">
        <v>4</v>
      </c>
      <c r="D4158" s="1">
        <v>384</v>
      </c>
      <c r="E4158" s="1">
        <f>IF(OR(Paths!$C$384=0,C4158=0),0,MAX(0,MIN(C4158*12,Paths!$E$384)-(C4158-1)*12))</f>
        <v>0</v>
      </c>
      <c r="F4158" s="1">
        <f>IF(OR(Paths!$C$384=0,C4158=0),0,12-E4158)</f>
        <v>0</v>
      </c>
      <c r="G4158" s="16">
        <f>IF(NOT(Paths!$C$384=1),0,IF(Paths!$P$384="Complete",E4158/12*(Paths!$J$384*(1+'Operating costs'!$B$51)^MAX(0,C4158-1)+Paths!$K$384*(1+'Operating costs'!$B$53)^MAX(0,C4158-1)),"n.a."))</f>
        <v>0</v>
      </c>
      <c r="H4158" s="16">
        <f>IF(NOT(Paths!$C$384=1),0,IF(Paths!$P$384="Complete",F4158/12*(Paths!$L$384*(1+IF(Paths!$D$384="EV",'Operating costs'!$B$52,'Operating costs'!$B$51))^MAX(0,C4158-1)+Paths!$M$384*(1+'Operating costs'!$B$53)^MAX(0,C4158-1)),"n.a."))</f>
        <v>0</v>
      </c>
      <c r="I4158" s="16">
        <f>IF(NOT(Paths!$C$384=1),0,IF(Paths!$P$384="Complete",IF(IF(Paths!$E$384=0,C4158=0,AND(C4158&gt;0,Paths!$E$384&gt;(C4158-1)*12,Paths!$E$384&lt;=C4158*12)),Paths!$G$384,0),"n.a."))</f>
        <v>0</v>
      </c>
      <c r="J4158" s="16">
        <f>IF(NOT(Paths!$C$384=1),0,IF(Paths!$P$384="Complete",IF(IF(Paths!$E$384=0,C4158=0,AND(C4158&gt;0,Paths!$E$384&gt;(C4158-1)*12,Paths!$E$384&lt;=C4158*12)),Paths!$H$384,0),"n.a."))</f>
        <v>0</v>
      </c>
      <c r="K4158" s="16">
        <f>IF(NOT(Paths!$C$384=1),0,IF(Paths!$P$384="Complete",IF(IF(Paths!$O$384=0,C4158=0,AND(C4158&gt;0,Paths!$O$384&gt;(C4158-1)*12,Paths!$O$384&lt;=C4158*12)),Paths!$N$384,0),"n.a."))</f>
        <v>0</v>
      </c>
      <c r="L4158" s="16">
        <f>IF(NOT(Paths!$C$384=1),0,IF(Paths!$P$384="Complete",IF(C4158=10,Paths!$I$384,0),"n.a."))</f>
        <v>0</v>
      </c>
      <c r="M4158" s="16">
        <f>IF(NOT(Paths!$C$384=1),0,IF(Paths!$P$384="Complete",IF(AND(Paths!$D$384="EV",Paths!$E$384&lt;120,Paths!$E$384+'Operating costs'!$B$65&gt;Paths!$E$384,Paths!$E$384+'Operating costs'!$B$65&lt;=120,IF(Paths!$E$384+'Operating costs'!$B$65=0,C4158=0,AND(C4158&gt;0,Paths!$E$384+'Operating costs'!$B$65&gt;(C4158-1)*12,Paths!$E$384+'Operating costs'!$B$65&lt;=C4158*12))),'Operating costs'!$B$64,0)+IF(AND('Operating costs'!$B$67&gt;0,'Operating costs'!$B$67&lt;=120,OR(Paths!$D$384="ICE",'Operating costs'!$B$67&lt;=Paths!$E$384),IF('Operating costs'!$B$67=0,C4158=0,AND(C4158&gt;0,'Operating costs'!$B$67&gt;(C4158-1)*12,'Operating costs'!$B$67&lt;=C4158*12))),'Operating costs'!$B$66,0),"n.a."))</f>
        <v>0</v>
      </c>
      <c r="N4158" s="16">
        <f>IF(NOT(Paths!$C$384=1),0,IF(Paths!$P$384="Complete",SUM(G4158:I4158)-J4158-K4158-L4158+M4158+IF(C4158=0,Paths!$F$384,0)+IF(IF(Paths!$E$384=0,C4158=0,AND(C4158&gt;0,Paths!$E$384&gt;(C4158-1)*12,Paths!$E$384&lt;=C4158*12)),VLOOKUP(A4158,'Fleet register'!$A$7:$S$106,16,FALSE),0),"n.a."))</f>
        <v>0</v>
      </c>
      <c r="O4158" s="16">
        <f>IF(NOT(Paths!$C$384=1),0,IF(Paths!$P$384="Complete",N4158-IF(C4158=0,Paths!$F$384,0),"n.a."))</f>
        <v>0</v>
      </c>
      <c r="P4158" s="16">
        <f>IF(NOT(Paths!$C$384=1),0,IF(Paths!$P$384="Complete",O4158+L4158,"n.a."))</f>
        <v>0</v>
      </c>
      <c r="Q4158" s="16">
        <f>IF(NOT(Paths!$C$384=1),0,IF(Paths!$P$384="Complete",N4158*(1+'Operating costs'!$B$54)^-C4158,"n.a."))</f>
        <v>0</v>
      </c>
      <c r="R4158" s="16">
        <f>IF(NOT(Paths!$C$384=1),0,IF(Paths!$P$384="Complete",IF(AND(C4158=0,Paths!$E$384=0),I4158-J4158-K4158+VLOOKUP(A4158,'Fleet register'!$A$7:$S$106,15,FALSE)+VLOOKUP(A4158,'Fleet register'!$A$7:$S$106,16,FALSE),0),"n.a."))</f>
        <v>0</v>
      </c>
      <c r="S4158" s="1">
        <f>IF(NOT(Paths!$C$384=1),0,IF(Paths!$P$384="Complete",IF(C4158=0,0,Paths!$S$384*Paths!$R$384),"n.a."))</f>
        <v>0</v>
      </c>
      <c r="T4158" s="1">
        <f>IF(NOT(Paths!$C$384=1),0,IF(Paths!$P$384="Complete",IF(C4158=0,0,VLOOKUP(A4158,'Fleet register'!$A$7:$S$106,9,FALSE)*Paths!$R$384),"n.a."))</f>
        <v>0</v>
      </c>
    </row>
    <row r="4159" spans="1:20" ht="24" customHeight="1">
      <c r="A4159" s="1" t="str">
        <f>Paths!$A$384</f>
        <v>T095</v>
      </c>
      <c r="B4159" s="1">
        <f>Paths!$B$384</f>
        <v>1</v>
      </c>
      <c r="C4159" s="1">
        <v>5</v>
      </c>
      <c r="D4159" s="1">
        <v>384</v>
      </c>
      <c r="E4159" s="1">
        <f>IF(OR(Paths!$C$384=0,C4159=0),0,MAX(0,MIN(C4159*12,Paths!$E$384)-(C4159-1)*12))</f>
        <v>0</v>
      </c>
      <c r="F4159" s="1">
        <f>IF(OR(Paths!$C$384=0,C4159=0),0,12-E4159)</f>
        <v>0</v>
      </c>
      <c r="G4159" s="16">
        <f>IF(NOT(Paths!$C$384=1),0,IF(Paths!$P$384="Complete",E4159/12*(Paths!$J$384*(1+'Operating costs'!$B$51)^MAX(0,C4159-1)+Paths!$K$384*(1+'Operating costs'!$B$53)^MAX(0,C4159-1)),"n.a."))</f>
        <v>0</v>
      </c>
      <c r="H4159" s="16">
        <f>IF(NOT(Paths!$C$384=1),0,IF(Paths!$P$384="Complete",F4159/12*(Paths!$L$384*(1+IF(Paths!$D$384="EV",'Operating costs'!$B$52,'Operating costs'!$B$51))^MAX(0,C4159-1)+Paths!$M$384*(1+'Operating costs'!$B$53)^MAX(0,C4159-1)),"n.a."))</f>
        <v>0</v>
      </c>
      <c r="I4159" s="16">
        <f>IF(NOT(Paths!$C$384=1),0,IF(Paths!$P$384="Complete",IF(IF(Paths!$E$384=0,C4159=0,AND(C4159&gt;0,Paths!$E$384&gt;(C4159-1)*12,Paths!$E$384&lt;=C4159*12)),Paths!$G$384,0),"n.a."))</f>
        <v>0</v>
      </c>
      <c r="J4159" s="16">
        <f>IF(NOT(Paths!$C$384=1),0,IF(Paths!$P$384="Complete",IF(IF(Paths!$E$384=0,C4159=0,AND(C4159&gt;0,Paths!$E$384&gt;(C4159-1)*12,Paths!$E$384&lt;=C4159*12)),Paths!$H$384,0),"n.a."))</f>
        <v>0</v>
      </c>
      <c r="K4159" s="16">
        <f>IF(NOT(Paths!$C$384=1),0,IF(Paths!$P$384="Complete",IF(IF(Paths!$O$384=0,C4159=0,AND(C4159&gt;0,Paths!$O$384&gt;(C4159-1)*12,Paths!$O$384&lt;=C4159*12)),Paths!$N$384,0),"n.a."))</f>
        <v>0</v>
      </c>
      <c r="L4159" s="16">
        <f>IF(NOT(Paths!$C$384=1),0,IF(Paths!$P$384="Complete",IF(C4159=10,Paths!$I$384,0),"n.a."))</f>
        <v>0</v>
      </c>
      <c r="M4159" s="16">
        <f>IF(NOT(Paths!$C$384=1),0,IF(Paths!$P$384="Complete",IF(AND(Paths!$D$384="EV",Paths!$E$384&lt;120,Paths!$E$384+'Operating costs'!$B$65&gt;Paths!$E$384,Paths!$E$384+'Operating costs'!$B$65&lt;=120,IF(Paths!$E$384+'Operating costs'!$B$65=0,C4159=0,AND(C4159&gt;0,Paths!$E$384+'Operating costs'!$B$65&gt;(C4159-1)*12,Paths!$E$384+'Operating costs'!$B$65&lt;=C4159*12))),'Operating costs'!$B$64,0)+IF(AND('Operating costs'!$B$67&gt;0,'Operating costs'!$B$67&lt;=120,OR(Paths!$D$384="ICE",'Operating costs'!$B$67&lt;=Paths!$E$384),IF('Operating costs'!$B$67=0,C4159=0,AND(C4159&gt;0,'Operating costs'!$B$67&gt;(C4159-1)*12,'Operating costs'!$B$67&lt;=C4159*12))),'Operating costs'!$B$66,0),"n.a."))</f>
        <v>0</v>
      </c>
      <c r="N4159" s="16">
        <f>IF(NOT(Paths!$C$384=1),0,IF(Paths!$P$384="Complete",SUM(G4159:I4159)-J4159-K4159-L4159+M4159+IF(C4159=0,Paths!$F$384,0)+IF(IF(Paths!$E$384=0,C4159=0,AND(C4159&gt;0,Paths!$E$384&gt;(C4159-1)*12,Paths!$E$384&lt;=C4159*12)),VLOOKUP(A4159,'Fleet register'!$A$7:$S$106,16,FALSE),0),"n.a."))</f>
        <v>0</v>
      </c>
      <c r="O4159" s="16">
        <f>IF(NOT(Paths!$C$384=1),0,IF(Paths!$P$384="Complete",N4159-IF(C4159=0,Paths!$F$384,0),"n.a."))</f>
        <v>0</v>
      </c>
      <c r="P4159" s="16">
        <f>IF(NOT(Paths!$C$384=1),0,IF(Paths!$P$384="Complete",O4159+L4159,"n.a."))</f>
        <v>0</v>
      </c>
      <c r="Q4159" s="16">
        <f>IF(NOT(Paths!$C$384=1),0,IF(Paths!$P$384="Complete",N4159*(1+'Operating costs'!$B$54)^-C4159,"n.a."))</f>
        <v>0</v>
      </c>
      <c r="R4159" s="16">
        <f>IF(NOT(Paths!$C$384=1),0,IF(Paths!$P$384="Complete",IF(AND(C4159=0,Paths!$E$384=0),I4159-J4159-K4159+VLOOKUP(A4159,'Fleet register'!$A$7:$S$106,15,FALSE)+VLOOKUP(A4159,'Fleet register'!$A$7:$S$106,16,FALSE),0),"n.a."))</f>
        <v>0</v>
      </c>
      <c r="S4159" s="1">
        <f>IF(NOT(Paths!$C$384=1),0,IF(Paths!$P$384="Complete",IF(C4159=0,0,Paths!$S$384*Paths!$R$384),"n.a."))</f>
        <v>0</v>
      </c>
      <c r="T4159" s="1">
        <f>IF(NOT(Paths!$C$384=1),0,IF(Paths!$P$384="Complete",IF(C4159=0,0,VLOOKUP(A4159,'Fleet register'!$A$7:$S$106,9,FALSE)*Paths!$R$384),"n.a."))</f>
        <v>0</v>
      </c>
    </row>
    <row r="4160" spans="1:20" ht="24" customHeight="1">
      <c r="A4160" s="1" t="str">
        <f>Paths!$A$384</f>
        <v>T095</v>
      </c>
      <c r="B4160" s="1">
        <f>Paths!$B$384</f>
        <v>1</v>
      </c>
      <c r="C4160" s="1">
        <v>6</v>
      </c>
      <c r="D4160" s="1">
        <v>384</v>
      </c>
      <c r="E4160" s="1">
        <f>IF(OR(Paths!$C$384=0,C4160=0),0,MAX(0,MIN(C4160*12,Paths!$E$384)-(C4160-1)*12))</f>
        <v>0</v>
      </c>
      <c r="F4160" s="1">
        <f>IF(OR(Paths!$C$384=0,C4160=0),0,12-E4160)</f>
        <v>0</v>
      </c>
      <c r="G4160" s="16">
        <f>IF(NOT(Paths!$C$384=1),0,IF(Paths!$P$384="Complete",E4160/12*(Paths!$J$384*(1+'Operating costs'!$B$51)^MAX(0,C4160-1)+Paths!$K$384*(1+'Operating costs'!$B$53)^MAX(0,C4160-1)),"n.a."))</f>
        <v>0</v>
      </c>
      <c r="H4160" s="16">
        <f>IF(NOT(Paths!$C$384=1),0,IF(Paths!$P$384="Complete",F4160/12*(Paths!$L$384*(1+IF(Paths!$D$384="EV",'Operating costs'!$B$52,'Operating costs'!$B$51))^MAX(0,C4160-1)+Paths!$M$384*(1+'Operating costs'!$B$53)^MAX(0,C4160-1)),"n.a."))</f>
        <v>0</v>
      </c>
      <c r="I4160" s="16">
        <f>IF(NOT(Paths!$C$384=1),0,IF(Paths!$P$384="Complete",IF(IF(Paths!$E$384=0,C4160=0,AND(C4160&gt;0,Paths!$E$384&gt;(C4160-1)*12,Paths!$E$384&lt;=C4160*12)),Paths!$G$384,0),"n.a."))</f>
        <v>0</v>
      </c>
      <c r="J4160" s="16">
        <f>IF(NOT(Paths!$C$384=1),0,IF(Paths!$P$384="Complete",IF(IF(Paths!$E$384=0,C4160=0,AND(C4160&gt;0,Paths!$E$384&gt;(C4160-1)*12,Paths!$E$384&lt;=C4160*12)),Paths!$H$384,0),"n.a."))</f>
        <v>0</v>
      </c>
      <c r="K4160" s="16">
        <f>IF(NOT(Paths!$C$384=1),0,IF(Paths!$P$384="Complete",IF(IF(Paths!$O$384=0,C4160=0,AND(C4160&gt;0,Paths!$O$384&gt;(C4160-1)*12,Paths!$O$384&lt;=C4160*12)),Paths!$N$384,0),"n.a."))</f>
        <v>0</v>
      </c>
      <c r="L4160" s="16">
        <f>IF(NOT(Paths!$C$384=1),0,IF(Paths!$P$384="Complete",IF(C4160=10,Paths!$I$384,0),"n.a."))</f>
        <v>0</v>
      </c>
      <c r="M4160" s="16">
        <f>IF(NOT(Paths!$C$384=1),0,IF(Paths!$P$384="Complete",IF(AND(Paths!$D$384="EV",Paths!$E$384&lt;120,Paths!$E$384+'Operating costs'!$B$65&gt;Paths!$E$384,Paths!$E$384+'Operating costs'!$B$65&lt;=120,IF(Paths!$E$384+'Operating costs'!$B$65=0,C4160=0,AND(C4160&gt;0,Paths!$E$384+'Operating costs'!$B$65&gt;(C4160-1)*12,Paths!$E$384+'Operating costs'!$B$65&lt;=C4160*12))),'Operating costs'!$B$64,0)+IF(AND('Operating costs'!$B$67&gt;0,'Operating costs'!$B$67&lt;=120,OR(Paths!$D$384="ICE",'Operating costs'!$B$67&lt;=Paths!$E$384),IF('Operating costs'!$B$67=0,C4160=0,AND(C4160&gt;0,'Operating costs'!$B$67&gt;(C4160-1)*12,'Operating costs'!$B$67&lt;=C4160*12))),'Operating costs'!$B$66,0),"n.a."))</f>
        <v>0</v>
      </c>
      <c r="N4160" s="16">
        <f>IF(NOT(Paths!$C$384=1),0,IF(Paths!$P$384="Complete",SUM(G4160:I4160)-J4160-K4160-L4160+M4160+IF(C4160=0,Paths!$F$384,0)+IF(IF(Paths!$E$384=0,C4160=0,AND(C4160&gt;0,Paths!$E$384&gt;(C4160-1)*12,Paths!$E$384&lt;=C4160*12)),VLOOKUP(A4160,'Fleet register'!$A$7:$S$106,16,FALSE),0),"n.a."))</f>
        <v>0</v>
      </c>
      <c r="O4160" s="16">
        <f>IF(NOT(Paths!$C$384=1),0,IF(Paths!$P$384="Complete",N4160-IF(C4160=0,Paths!$F$384,0),"n.a."))</f>
        <v>0</v>
      </c>
      <c r="P4160" s="16">
        <f>IF(NOT(Paths!$C$384=1),0,IF(Paths!$P$384="Complete",O4160+L4160,"n.a."))</f>
        <v>0</v>
      </c>
      <c r="Q4160" s="16">
        <f>IF(NOT(Paths!$C$384=1),0,IF(Paths!$P$384="Complete",N4160*(1+'Operating costs'!$B$54)^-C4160,"n.a."))</f>
        <v>0</v>
      </c>
      <c r="R4160" s="16">
        <f>IF(NOT(Paths!$C$384=1),0,IF(Paths!$P$384="Complete",IF(AND(C4160=0,Paths!$E$384=0),I4160-J4160-K4160+VLOOKUP(A4160,'Fleet register'!$A$7:$S$106,15,FALSE)+VLOOKUP(A4160,'Fleet register'!$A$7:$S$106,16,FALSE),0),"n.a."))</f>
        <v>0</v>
      </c>
      <c r="S4160" s="1">
        <f>IF(NOT(Paths!$C$384=1),0,IF(Paths!$P$384="Complete",IF(C4160=0,0,Paths!$S$384*Paths!$R$384),"n.a."))</f>
        <v>0</v>
      </c>
      <c r="T4160" s="1">
        <f>IF(NOT(Paths!$C$384=1),0,IF(Paths!$P$384="Complete",IF(C4160=0,0,VLOOKUP(A4160,'Fleet register'!$A$7:$S$106,9,FALSE)*Paths!$R$384),"n.a."))</f>
        <v>0</v>
      </c>
    </row>
    <row r="4161" spans="1:20" ht="24" customHeight="1">
      <c r="A4161" s="1" t="str">
        <f>Paths!$A$384</f>
        <v>T095</v>
      </c>
      <c r="B4161" s="1">
        <f>Paths!$B$384</f>
        <v>1</v>
      </c>
      <c r="C4161" s="1">
        <v>7</v>
      </c>
      <c r="D4161" s="1">
        <v>384</v>
      </c>
      <c r="E4161" s="1">
        <f>IF(OR(Paths!$C$384=0,C4161=0),0,MAX(0,MIN(C4161*12,Paths!$E$384)-(C4161-1)*12))</f>
        <v>0</v>
      </c>
      <c r="F4161" s="1">
        <f>IF(OR(Paths!$C$384=0,C4161=0),0,12-E4161)</f>
        <v>0</v>
      </c>
      <c r="G4161" s="16">
        <f>IF(NOT(Paths!$C$384=1),0,IF(Paths!$P$384="Complete",E4161/12*(Paths!$J$384*(1+'Operating costs'!$B$51)^MAX(0,C4161-1)+Paths!$K$384*(1+'Operating costs'!$B$53)^MAX(0,C4161-1)),"n.a."))</f>
        <v>0</v>
      </c>
      <c r="H4161" s="16">
        <f>IF(NOT(Paths!$C$384=1),0,IF(Paths!$P$384="Complete",F4161/12*(Paths!$L$384*(1+IF(Paths!$D$384="EV",'Operating costs'!$B$52,'Operating costs'!$B$51))^MAX(0,C4161-1)+Paths!$M$384*(1+'Operating costs'!$B$53)^MAX(0,C4161-1)),"n.a."))</f>
        <v>0</v>
      </c>
      <c r="I4161" s="16">
        <f>IF(NOT(Paths!$C$384=1),0,IF(Paths!$P$384="Complete",IF(IF(Paths!$E$384=0,C4161=0,AND(C4161&gt;0,Paths!$E$384&gt;(C4161-1)*12,Paths!$E$384&lt;=C4161*12)),Paths!$G$384,0),"n.a."))</f>
        <v>0</v>
      </c>
      <c r="J4161" s="16">
        <f>IF(NOT(Paths!$C$384=1),0,IF(Paths!$P$384="Complete",IF(IF(Paths!$E$384=0,C4161=0,AND(C4161&gt;0,Paths!$E$384&gt;(C4161-1)*12,Paths!$E$384&lt;=C4161*12)),Paths!$H$384,0),"n.a."))</f>
        <v>0</v>
      </c>
      <c r="K4161" s="16">
        <f>IF(NOT(Paths!$C$384=1),0,IF(Paths!$P$384="Complete",IF(IF(Paths!$O$384=0,C4161=0,AND(C4161&gt;0,Paths!$O$384&gt;(C4161-1)*12,Paths!$O$384&lt;=C4161*12)),Paths!$N$384,0),"n.a."))</f>
        <v>0</v>
      </c>
      <c r="L4161" s="16">
        <f>IF(NOT(Paths!$C$384=1),0,IF(Paths!$P$384="Complete",IF(C4161=10,Paths!$I$384,0),"n.a."))</f>
        <v>0</v>
      </c>
      <c r="M4161" s="16">
        <f>IF(NOT(Paths!$C$384=1),0,IF(Paths!$P$384="Complete",IF(AND(Paths!$D$384="EV",Paths!$E$384&lt;120,Paths!$E$384+'Operating costs'!$B$65&gt;Paths!$E$384,Paths!$E$384+'Operating costs'!$B$65&lt;=120,IF(Paths!$E$384+'Operating costs'!$B$65=0,C4161=0,AND(C4161&gt;0,Paths!$E$384+'Operating costs'!$B$65&gt;(C4161-1)*12,Paths!$E$384+'Operating costs'!$B$65&lt;=C4161*12))),'Operating costs'!$B$64,0)+IF(AND('Operating costs'!$B$67&gt;0,'Operating costs'!$B$67&lt;=120,OR(Paths!$D$384="ICE",'Operating costs'!$B$67&lt;=Paths!$E$384),IF('Operating costs'!$B$67=0,C4161=0,AND(C4161&gt;0,'Operating costs'!$B$67&gt;(C4161-1)*12,'Operating costs'!$B$67&lt;=C4161*12))),'Operating costs'!$B$66,0),"n.a."))</f>
        <v>0</v>
      </c>
      <c r="N4161" s="16">
        <f>IF(NOT(Paths!$C$384=1),0,IF(Paths!$P$384="Complete",SUM(G4161:I4161)-J4161-K4161-L4161+M4161+IF(C4161=0,Paths!$F$384,0)+IF(IF(Paths!$E$384=0,C4161=0,AND(C4161&gt;0,Paths!$E$384&gt;(C4161-1)*12,Paths!$E$384&lt;=C4161*12)),VLOOKUP(A4161,'Fleet register'!$A$7:$S$106,16,FALSE),0),"n.a."))</f>
        <v>0</v>
      </c>
      <c r="O4161" s="16">
        <f>IF(NOT(Paths!$C$384=1),0,IF(Paths!$P$384="Complete",N4161-IF(C4161=0,Paths!$F$384,0),"n.a."))</f>
        <v>0</v>
      </c>
      <c r="P4161" s="16">
        <f>IF(NOT(Paths!$C$384=1),0,IF(Paths!$P$384="Complete",O4161+L4161,"n.a."))</f>
        <v>0</v>
      </c>
      <c r="Q4161" s="16">
        <f>IF(NOT(Paths!$C$384=1),0,IF(Paths!$P$384="Complete",N4161*(1+'Operating costs'!$B$54)^-C4161,"n.a."))</f>
        <v>0</v>
      </c>
      <c r="R4161" s="16">
        <f>IF(NOT(Paths!$C$384=1),0,IF(Paths!$P$384="Complete",IF(AND(C4161=0,Paths!$E$384=0),I4161-J4161-K4161+VLOOKUP(A4161,'Fleet register'!$A$7:$S$106,15,FALSE)+VLOOKUP(A4161,'Fleet register'!$A$7:$S$106,16,FALSE),0),"n.a."))</f>
        <v>0</v>
      </c>
      <c r="S4161" s="1">
        <f>IF(NOT(Paths!$C$384=1),0,IF(Paths!$P$384="Complete",IF(C4161=0,0,Paths!$S$384*Paths!$R$384),"n.a."))</f>
        <v>0</v>
      </c>
      <c r="T4161" s="1">
        <f>IF(NOT(Paths!$C$384=1),0,IF(Paths!$P$384="Complete",IF(C4161=0,0,VLOOKUP(A4161,'Fleet register'!$A$7:$S$106,9,FALSE)*Paths!$R$384),"n.a."))</f>
        <v>0</v>
      </c>
    </row>
    <row r="4162" spans="1:20" ht="24" customHeight="1">
      <c r="A4162" s="1" t="str">
        <f>Paths!$A$384</f>
        <v>T095</v>
      </c>
      <c r="B4162" s="1">
        <f>Paths!$B$384</f>
        <v>1</v>
      </c>
      <c r="C4162" s="1">
        <v>8</v>
      </c>
      <c r="D4162" s="1">
        <v>384</v>
      </c>
      <c r="E4162" s="1">
        <f>IF(OR(Paths!$C$384=0,C4162=0),0,MAX(0,MIN(C4162*12,Paths!$E$384)-(C4162-1)*12))</f>
        <v>0</v>
      </c>
      <c r="F4162" s="1">
        <f>IF(OR(Paths!$C$384=0,C4162=0),0,12-E4162)</f>
        <v>0</v>
      </c>
      <c r="G4162" s="16">
        <f>IF(NOT(Paths!$C$384=1),0,IF(Paths!$P$384="Complete",E4162/12*(Paths!$J$384*(1+'Operating costs'!$B$51)^MAX(0,C4162-1)+Paths!$K$384*(1+'Operating costs'!$B$53)^MAX(0,C4162-1)),"n.a."))</f>
        <v>0</v>
      </c>
      <c r="H4162" s="16">
        <f>IF(NOT(Paths!$C$384=1),0,IF(Paths!$P$384="Complete",F4162/12*(Paths!$L$384*(1+IF(Paths!$D$384="EV",'Operating costs'!$B$52,'Operating costs'!$B$51))^MAX(0,C4162-1)+Paths!$M$384*(1+'Operating costs'!$B$53)^MAX(0,C4162-1)),"n.a."))</f>
        <v>0</v>
      </c>
      <c r="I4162" s="16">
        <f>IF(NOT(Paths!$C$384=1),0,IF(Paths!$P$384="Complete",IF(IF(Paths!$E$384=0,C4162=0,AND(C4162&gt;0,Paths!$E$384&gt;(C4162-1)*12,Paths!$E$384&lt;=C4162*12)),Paths!$G$384,0),"n.a."))</f>
        <v>0</v>
      </c>
      <c r="J4162" s="16">
        <f>IF(NOT(Paths!$C$384=1),0,IF(Paths!$P$384="Complete",IF(IF(Paths!$E$384=0,C4162=0,AND(C4162&gt;0,Paths!$E$384&gt;(C4162-1)*12,Paths!$E$384&lt;=C4162*12)),Paths!$H$384,0),"n.a."))</f>
        <v>0</v>
      </c>
      <c r="K4162" s="16">
        <f>IF(NOT(Paths!$C$384=1),0,IF(Paths!$P$384="Complete",IF(IF(Paths!$O$384=0,C4162=0,AND(C4162&gt;0,Paths!$O$384&gt;(C4162-1)*12,Paths!$O$384&lt;=C4162*12)),Paths!$N$384,0),"n.a."))</f>
        <v>0</v>
      </c>
      <c r="L4162" s="16">
        <f>IF(NOT(Paths!$C$384=1),0,IF(Paths!$P$384="Complete",IF(C4162=10,Paths!$I$384,0),"n.a."))</f>
        <v>0</v>
      </c>
      <c r="M4162" s="16">
        <f>IF(NOT(Paths!$C$384=1),0,IF(Paths!$P$384="Complete",IF(AND(Paths!$D$384="EV",Paths!$E$384&lt;120,Paths!$E$384+'Operating costs'!$B$65&gt;Paths!$E$384,Paths!$E$384+'Operating costs'!$B$65&lt;=120,IF(Paths!$E$384+'Operating costs'!$B$65=0,C4162=0,AND(C4162&gt;0,Paths!$E$384+'Operating costs'!$B$65&gt;(C4162-1)*12,Paths!$E$384+'Operating costs'!$B$65&lt;=C4162*12))),'Operating costs'!$B$64,0)+IF(AND('Operating costs'!$B$67&gt;0,'Operating costs'!$B$67&lt;=120,OR(Paths!$D$384="ICE",'Operating costs'!$B$67&lt;=Paths!$E$384),IF('Operating costs'!$B$67=0,C4162=0,AND(C4162&gt;0,'Operating costs'!$B$67&gt;(C4162-1)*12,'Operating costs'!$B$67&lt;=C4162*12))),'Operating costs'!$B$66,0),"n.a."))</f>
        <v>0</v>
      </c>
      <c r="N4162" s="16">
        <f>IF(NOT(Paths!$C$384=1),0,IF(Paths!$P$384="Complete",SUM(G4162:I4162)-J4162-K4162-L4162+M4162+IF(C4162=0,Paths!$F$384,0)+IF(IF(Paths!$E$384=0,C4162=0,AND(C4162&gt;0,Paths!$E$384&gt;(C4162-1)*12,Paths!$E$384&lt;=C4162*12)),VLOOKUP(A4162,'Fleet register'!$A$7:$S$106,16,FALSE),0),"n.a."))</f>
        <v>0</v>
      </c>
      <c r="O4162" s="16">
        <f>IF(NOT(Paths!$C$384=1),0,IF(Paths!$P$384="Complete",N4162-IF(C4162=0,Paths!$F$384,0),"n.a."))</f>
        <v>0</v>
      </c>
      <c r="P4162" s="16">
        <f>IF(NOT(Paths!$C$384=1),0,IF(Paths!$P$384="Complete",O4162+L4162,"n.a."))</f>
        <v>0</v>
      </c>
      <c r="Q4162" s="16">
        <f>IF(NOT(Paths!$C$384=1),0,IF(Paths!$P$384="Complete",N4162*(1+'Operating costs'!$B$54)^-C4162,"n.a."))</f>
        <v>0</v>
      </c>
      <c r="R4162" s="16">
        <f>IF(NOT(Paths!$C$384=1),0,IF(Paths!$P$384="Complete",IF(AND(C4162=0,Paths!$E$384=0),I4162-J4162-K4162+VLOOKUP(A4162,'Fleet register'!$A$7:$S$106,15,FALSE)+VLOOKUP(A4162,'Fleet register'!$A$7:$S$106,16,FALSE),0),"n.a."))</f>
        <v>0</v>
      </c>
      <c r="S4162" s="1">
        <f>IF(NOT(Paths!$C$384=1),0,IF(Paths!$P$384="Complete",IF(C4162=0,0,Paths!$S$384*Paths!$R$384),"n.a."))</f>
        <v>0</v>
      </c>
      <c r="T4162" s="1">
        <f>IF(NOT(Paths!$C$384=1),0,IF(Paths!$P$384="Complete",IF(C4162=0,0,VLOOKUP(A4162,'Fleet register'!$A$7:$S$106,9,FALSE)*Paths!$R$384),"n.a."))</f>
        <v>0</v>
      </c>
    </row>
    <row r="4163" spans="1:20" ht="24" customHeight="1">
      <c r="A4163" s="1" t="str">
        <f>Paths!$A$384</f>
        <v>T095</v>
      </c>
      <c r="B4163" s="1">
        <f>Paths!$B$384</f>
        <v>1</v>
      </c>
      <c r="C4163" s="1">
        <v>9</v>
      </c>
      <c r="D4163" s="1">
        <v>384</v>
      </c>
      <c r="E4163" s="1">
        <f>IF(OR(Paths!$C$384=0,C4163=0),0,MAX(0,MIN(C4163*12,Paths!$E$384)-(C4163-1)*12))</f>
        <v>0</v>
      </c>
      <c r="F4163" s="1">
        <f>IF(OR(Paths!$C$384=0,C4163=0),0,12-E4163)</f>
        <v>0</v>
      </c>
      <c r="G4163" s="16">
        <f>IF(NOT(Paths!$C$384=1),0,IF(Paths!$P$384="Complete",E4163/12*(Paths!$J$384*(1+'Operating costs'!$B$51)^MAX(0,C4163-1)+Paths!$K$384*(1+'Operating costs'!$B$53)^MAX(0,C4163-1)),"n.a."))</f>
        <v>0</v>
      </c>
      <c r="H4163" s="16">
        <f>IF(NOT(Paths!$C$384=1),0,IF(Paths!$P$384="Complete",F4163/12*(Paths!$L$384*(1+IF(Paths!$D$384="EV",'Operating costs'!$B$52,'Operating costs'!$B$51))^MAX(0,C4163-1)+Paths!$M$384*(1+'Operating costs'!$B$53)^MAX(0,C4163-1)),"n.a."))</f>
        <v>0</v>
      </c>
      <c r="I4163" s="16">
        <f>IF(NOT(Paths!$C$384=1),0,IF(Paths!$P$384="Complete",IF(IF(Paths!$E$384=0,C4163=0,AND(C4163&gt;0,Paths!$E$384&gt;(C4163-1)*12,Paths!$E$384&lt;=C4163*12)),Paths!$G$384,0),"n.a."))</f>
        <v>0</v>
      </c>
      <c r="J4163" s="16">
        <f>IF(NOT(Paths!$C$384=1),0,IF(Paths!$P$384="Complete",IF(IF(Paths!$E$384=0,C4163=0,AND(C4163&gt;0,Paths!$E$384&gt;(C4163-1)*12,Paths!$E$384&lt;=C4163*12)),Paths!$H$384,0),"n.a."))</f>
        <v>0</v>
      </c>
      <c r="K4163" s="16">
        <f>IF(NOT(Paths!$C$384=1),0,IF(Paths!$P$384="Complete",IF(IF(Paths!$O$384=0,C4163=0,AND(C4163&gt;0,Paths!$O$384&gt;(C4163-1)*12,Paths!$O$384&lt;=C4163*12)),Paths!$N$384,0),"n.a."))</f>
        <v>0</v>
      </c>
      <c r="L4163" s="16">
        <f>IF(NOT(Paths!$C$384=1),0,IF(Paths!$P$384="Complete",IF(C4163=10,Paths!$I$384,0),"n.a."))</f>
        <v>0</v>
      </c>
      <c r="M4163" s="16">
        <f>IF(NOT(Paths!$C$384=1),0,IF(Paths!$P$384="Complete",IF(AND(Paths!$D$384="EV",Paths!$E$384&lt;120,Paths!$E$384+'Operating costs'!$B$65&gt;Paths!$E$384,Paths!$E$384+'Operating costs'!$B$65&lt;=120,IF(Paths!$E$384+'Operating costs'!$B$65=0,C4163=0,AND(C4163&gt;0,Paths!$E$384+'Operating costs'!$B$65&gt;(C4163-1)*12,Paths!$E$384+'Operating costs'!$B$65&lt;=C4163*12))),'Operating costs'!$B$64,0)+IF(AND('Operating costs'!$B$67&gt;0,'Operating costs'!$B$67&lt;=120,OR(Paths!$D$384="ICE",'Operating costs'!$B$67&lt;=Paths!$E$384),IF('Operating costs'!$B$67=0,C4163=0,AND(C4163&gt;0,'Operating costs'!$B$67&gt;(C4163-1)*12,'Operating costs'!$B$67&lt;=C4163*12))),'Operating costs'!$B$66,0),"n.a."))</f>
        <v>0</v>
      </c>
      <c r="N4163" s="16">
        <f>IF(NOT(Paths!$C$384=1),0,IF(Paths!$P$384="Complete",SUM(G4163:I4163)-J4163-K4163-L4163+M4163+IF(C4163=0,Paths!$F$384,0)+IF(IF(Paths!$E$384=0,C4163=0,AND(C4163&gt;0,Paths!$E$384&gt;(C4163-1)*12,Paths!$E$384&lt;=C4163*12)),VLOOKUP(A4163,'Fleet register'!$A$7:$S$106,16,FALSE),0),"n.a."))</f>
        <v>0</v>
      </c>
      <c r="O4163" s="16">
        <f>IF(NOT(Paths!$C$384=1),0,IF(Paths!$P$384="Complete",N4163-IF(C4163=0,Paths!$F$384,0),"n.a."))</f>
        <v>0</v>
      </c>
      <c r="P4163" s="16">
        <f>IF(NOT(Paths!$C$384=1),0,IF(Paths!$P$384="Complete",O4163+L4163,"n.a."))</f>
        <v>0</v>
      </c>
      <c r="Q4163" s="16">
        <f>IF(NOT(Paths!$C$384=1),0,IF(Paths!$P$384="Complete",N4163*(1+'Operating costs'!$B$54)^-C4163,"n.a."))</f>
        <v>0</v>
      </c>
      <c r="R4163" s="16">
        <f>IF(NOT(Paths!$C$384=1),0,IF(Paths!$P$384="Complete",IF(AND(C4163=0,Paths!$E$384=0),I4163-J4163-K4163+VLOOKUP(A4163,'Fleet register'!$A$7:$S$106,15,FALSE)+VLOOKUP(A4163,'Fleet register'!$A$7:$S$106,16,FALSE),0),"n.a."))</f>
        <v>0</v>
      </c>
      <c r="S4163" s="1">
        <f>IF(NOT(Paths!$C$384=1),0,IF(Paths!$P$384="Complete",IF(C4163=0,0,Paths!$S$384*Paths!$R$384),"n.a."))</f>
        <v>0</v>
      </c>
      <c r="T4163" s="1">
        <f>IF(NOT(Paths!$C$384=1),0,IF(Paths!$P$384="Complete",IF(C4163=0,0,VLOOKUP(A4163,'Fleet register'!$A$7:$S$106,9,FALSE)*Paths!$R$384),"n.a."))</f>
        <v>0</v>
      </c>
    </row>
    <row r="4164" spans="1:20" ht="24" customHeight="1">
      <c r="A4164" s="1" t="str">
        <f>Paths!$A$384</f>
        <v>T095</v>
      </c>
      <c r="B4164" s="1">
        <f>Paths!$B$384</f>
        <v>1</v>
      </c>
      <c r="C4164" s="1">
        <v>10</v>
      </c>
      <c r="D4164" s="1">
        <v>384</v>
      </c>
      <c r="E4164" s="1">
        <f>IF(OR(Paths!$C$384=0,C4164=0),0,MAX(0,MIN(C4164*12,Paths!$E$384)-(C4164-1)*12))</f>
        <v>0</v>
      </c>
      <c r="F4164" s="1">
        <f>IF(OR(Paths!$C$384=0,C4164=0),0,12-E4164)</f>
        <v>0</v>
      </c>
      <c r="G4164" s="16">
        <f>IF(NOT(Paths!$C$384=1),0,IF(Paths!$P$384="Complete",E4164/12*(Paths!$J$384*(1+'Operating costs'!$B$51)^MAX(0,C4164-1)+Paths!$K$384*(1+'Operating costs'!$B$53)^MAX(0,C4164-1)),"n.a."))</f>
        <v>0</v>
      </c>
      <c r="H4164" s="16">
        <f>IF(NOT(Paths!$C$384=1),0,IF(Paths!$P$384="Complete",F4164/12*(Paths!$L$384*(1+IF(Paths!$D$384="EV",'Operating costs'!$B$52,'Operating costs'!$B$51))^MAX(0,C4164-1)+Paths!$M$384*(1+'Operating costs'!$B$53)^MAX(0,C4164-1)),"n.a."))</f>
        <v>0</v>
      </c>
      <c r="I4164" s="16">
        <f>IF(NOT(Paths!$C$384=1),0,IF(Paths!$P$384="Complete",IF(IF(Paths!$E$384=0,C4164=0,AND(C4164&gt;0,Paths!$E$384&gt;(C4164-1)*12,Paths!$E$384&lt;=C4164*12)),Paths!$G$384,0),"n.a."))</f>
        <v>0</v>
      </c>
      <c r="J4164" s="16">
        <f>IF(NOT(Paths!$C$384=1),0,IF(Paths!$P$384="Complete",IF(IF(Paths!$E$384=0,C4164=0,AND(C4164&gt;0,Paths!$E$384&gt;(C4164-1)*12,Paths!$E$384&lt;=C4164*12)),Paths!$H$384,0),"n.a."))</f>
        <v>0</v>
      </c>
      <c r="K4164" s="16">
        <f>IF(NOT(Paths!$C$384=1),0,IF(Paths!$P$384="Complete",IF(IF(Paths!$O$384=0,C4164=0,AND(C4164&gt;0,Paths!$O$384&gt;(C4164-1)*12,Paths!$O$384&lt;=C4164*12)),Paths!$N$384,0),"n.a."))</f>
        <v>0</v>
      </c>
      <c r="L4164" s="16">
        <f>IF(NOT(Paths!$C$384=1),0,IF(Paths!$P$384="Complete",IF(C4164=10,Paths!$I$384,0),"n.a."))</f>
        <v>0</v>
      </c>
      <c r="M4164" s="16">
        <f>IF(NOT(Paths!$C$384=1),0,IF(Paths!$P$384="Complete",IF(AND(Paths!$D$384="EV",Paths!$E$384&lt;120,Paths!$E$384+'Operating costs'!$B$65&gt;Paths!$E$384,Paths!$E$384+'Operating costs'!$B$65&lt;=120,IF(Paths!$E$384+'Operating costs'!$B$65=0,C4164=0,AND(C4164&gt;0,Paths!$E$384+'Operating costs'!$B$65&gt;(C4164-1)*12,Paths!$E$384+'Operating costs'!$B$65&lt;=C4164*12))),'Operating costs'!$B$64,0)+IF(AND('Operating costs'!$B$67&gt;0,'Operating costs'!$B$67&lt;=120,OR(Paths!$D$384="ICE",'Operating costs'!$B$67&lt;=Paths!$E$384),IF('Operating costs'!$B$67=0,C4164=0,AND(C4164&gt;0,'Operating costs'!$B$67&gt;(C4164-1)*12,'Operating costs'!$B$67&lt;=C4164*12))),'Operating costs'!$B$66,0),"n.a."))</f>
        <v>0</v>
      </c>
      <c r="N4164" s="16">
        <f>IF(NOT(Paths!$C$384=1),0,IF(Paths!$P$384="Complete",SUM(G4164:I4164)-J4164-K4164-L4164+M4164+IF(C4164=0,Paths!$F$384,0)+IF(IF(Paths!$E$384=0,C4164=0,AND(C4164&gt;0,Paths!$E$384&gt;(C4164-1)*12,Paths!$E$384&lt;=C4164*12)),VLOOKUP(A4164,'Fleet register'!$A$7:$S$106,16,FALSE),0),"n.a."))</f>
        <v>0</v>
      </c>
      <c r="O4164" s="16">
        <f>IF(NOT(Paths!$C$384=1),0,IF(Paths!$P$384="Complete",N4164-IF(C4164=0,Paths!$F$384,0),"n.a."))</f>
        <v>0</v>
      </c>
      <c r="P4164" s="16">
        <f>IF(NOT(Paths!$C$384=1),0,IF(Paths!$P$384="Complete",O4164+L4164,"n.a."))</f>
        <v>0</v>
      </c>
      <c r="Q4164" s="16">
        <f>IF(NOT(Paths!$C$384=1),0,IF(Paths!$P$384="Complete",N4164*(1+'Operating costs'!$B$54)^-C4164,"n.a."))</f>
        <v>0</v>
      </c>
      <c r="R4164" s="16">
        <f>IF(NOT(Paths!$C$384=1),0,IF(Paths!$P$384="Complete",IF(AND(C4164=0,Paths!$E$384=0),I4164-J4164-K4164+VLOOKUP(A4164,'Fleet register'!$A$7:$S$106,15,FALSE)+VLOOKUP(A4164,'Fleet register'!$A$7:$S$106,16,FALSE),0),"n.a."))</f>
        <v>0</v>
      </c>
      <c r="S4164" s="1">
        <f>IF(NOT(Paths!$C$384=1),0,IF(Paths!$P$384="Complete",IF(C4164=0,0,Paths!$S$384*Paths!$R$384),"n.a."))</f>
        <v>0</v>
      </c>
      <c r="T4164" s="1">
        <f>IF(NOT(Paths!$C$384=1),0,IF(Paths!$P$384="Complete",IF(C4164=0,0,VLOOKUP(A4164,'Fleet register'!$A$7:$S$106,9,FALSE)*Paths!$R$384),"n.a."))</f>
        <v>0</v>
      </c>
    </row>
    <row r="4165" spans="1:20" ht="24" customHeight="1">
      <c r="A4165" s="1" t="str">
        <f>Paths!$A$385</f>
        <v>T095</v>
      </c>
      <c r="B4165" s="1">
        <f>Paths!$B$385</f>
        <v>2</v>
      </c>
      <c r="C4165" s="1">
        <v>0</v>
      </c>
      <c r="D4165" s="1">
        <v>385</v>
      </c>
      <c r="E4165" s="1">
        <f>IF(OR(Paths!$C$385=0,C4165=0),0,MAX(0,MIN(C4165*12,Paths!$E$385)-(C4165-1)*12))</f>
        <v>0</v>
      </c>
      <c r="F4165" s="1">
        <f>IF(OR(Paths!$C$385=0,C4165=0),0,12-E4165)</f>
        <v>0</v>
      </c>
      <c r="G4165" s="16">
        <f>IF(NOT(Paths!$C$385=1),0,IF(Paths!$P$385="Complete",E4165/12*(Paths!$J$385*(1+'Operating costs'!$B$51)^MAX(0,C4165-1)+Paths!$K$385*(1+'Operating costs'!$B$53)^MAX(0,C4165-1)),"n.a."))</f>
        <v>0</v>
      </c>
      <c r="H4165" s="16">
        <f>IF(NOT(Paths!$C$385=1),0,IF(Paths!$P$385="Complete",F4165/12*(Paths!$L$385*(1+IF(Paths!$D$385="EV",'Operating costs'!$B$52,'Operating costs'!$B$51))^MAX(0,C4165-1)+Paths!$M$385*(1+'Operating costs'!$B$53)^MAX(0,C4165-1)),"n.a."))</f>
        <v>0</v>
      </c>
      <c r="I4165" s="16">
        <f>IF(NOT(Paths!$C$385=1),0,IF(Paths!$P$385="Complete",IF(IF(Paths!$E$385=0,C4165=0,AND(C4165&gt;0,Paths!$E$385&gt;(C4165-1)*12,Paths!$E$385&lt;=C4165*12)),Paths!$G$385,0),"n.a."))</f>
        <v>0</v>
      </c>
      <c r="J4165" s="16">
        <f>IF(NOT(Paths!$C$385=1),0,IF(Paths!$P$385="Complete",IF(IF(Paths!$E$385=0,C4165=0,AND(C4165&gt;0,Paths!$E$385&gt;(C4165-1)*12,Paths!$E$385&lt;=C4165*12)),Paths!$H$385,0),"n.a."))</f>
        <v>0</v>
      </c>
      <c r="K4165" s="16">
        <f>IF(NOT(Paths!$C$385=1),0,IF(Paths!$P$385="Complete",IF(IF(Paths!$O$385=0,C4165=0,AND(C4165&gt;0,Paths!$O$385&gt;(C4165-1)*12,Paths!$O$385&lt;=C4165*12)),Paths!$N$385,0),"n.a."))</f>
        <v>0</v>
      </c>
      <c r="L4165" s="16">
        <f>IF(NOT(Paths!$C$385=1),0,IF(Paths!$P$385="Complete",IF(C4165=10,Paths!$I$385,0),"n.a."))</f>
        <v>0</v>
      </c>
      <c r="M4165" s="16">
        <f>IF(NOT(Paths!$C$385=1),0,IF(Paths!$P$385="Complete",IF(AND(Paths!$D$385="EV",Paths!$E$385&lt;120,Paths!$E$385+'Operating costs'!$B$65&gt;Paths!$E$385,Paths!$E$385+'Operating costs'!$B$65&lt;=120,IF(Paths!$E$385+'Operating costs'!$B$65=0,C4165=0,AND(C4165&gt;0,Paths!$E$385+'Operating costs'!$B$65&gt;(C4165-1)*12,Paths!$E$385+'Operating costs'!$B$65&lt;=C4165*12))),'Operating costs'!$B$64,0)+IF(AND('Operating costs'!$B$67&gt;0,'Operating costs'!$B$67&lt;=120,OR(Paths!$D$385="ICE",'Operating costs'!$B$67&lt;=Paths!$E$385),IF('Operating costs'!$B$67=0,C4165=0,AND(C4165&gt;0,'Operating costs'!$B$67&gt;(C4165-1)*12,'Operating costs'!$B$67&lt;=C4165*12))),'Operating costs'!$B$66,0),"n.a."))</f>
        <v>0</v>
      </c>
      <c r="N4165" s="16">
        <f>IF(NOT(Paths!$C$385=1),0,IF(Paths!$P$385="Complete",SUM(G4165:I4165)-J4165-K4165-L4165+M4165+IF(C4165=0,Paths!$F$385,0)+IF(IF(Paths!$E$385=0,C4165=0,AND(C4165&gt;0,Paths!$E$385&gt;(C4165-1)*12,Paths!$E$385&lt;=C4165*12)),VLOOKUP(A4165,'Fleet register'!$A$7:$S$106,16,FALSE),0),"n.a."))</f>
        <v>0</v>
      </c>
      <c r="O4165" s="16">
        <f>IF(NOT(Paths!$C$385=1),0,IF(Paths!$P$385="Complete",N4165-IF(C4165=0,Paths!$F$385,0),"n.a."))</f>
        <v>0</v>
      </c>
      <c r="P4165" s="16">
        <f>IF(NOT(Paths!$C$385=1),0,IF(Paths!$P$385="Complete",O4165+L4165,"n.a."))</f>
        <v>0</v>
      </c>
      <c r="Q4165" s="16">
        <f>IF(NOT(Paths!$C$385=1),0,IF(Paths!$P$385="Complete",N4165*(1+'Operating costs'!$B$54)^-C4165,"n.a."))</f>
        <v>0</v>
      </c>
      <c r="R4165" s="16">
        <f>IF(NOT(Paths!$C$385=1),0,IF(Paths!$P$385="Complete",IF(AND(C4165=0,Paths!$E$385=0),I4165-J4165-K4165+VLOOKUP(A4165,'Fleet register'!$A$7:$S$106,15,FALSE)+VLOOKUP(A4165,'Fleet register'!$A$7:$S$106,16,FALSE),0),"n.a."))</f>
        <v>0</v>
      </c>
      <c r="S4165" s="1">
        <f>IF(NOT(Paths!$C$385=1),0,IF(Paths!$P$385="Complete",IF(C4165=0,0,Paths!$S$385*Paths!$R$385),"n.a."))</f>
        <v>0</v>
      </c>
      <c r="T4165" s="1">
        <f>IF(NOT(Paths!$C$385=1),0,IF(Paths!$P$385="Complete",IF(C4165=0,0,VLOOKUP(A4165,'Fleet register'!$A$7:$S$106,9,FALSE)*Paths!$R$385),"n.a."))</f>
        <v>0</v>
      </c>
    </row>
    <row r="4166" spans="1:20" ht="24" customHeight="1">
      <c r="A4166" s="1" t="str">
        <f>Paths!$A$385</f>
        <v>T095</v>
      </c>
      <c r="B4166" s="1">
        <f>Paths!$B$385</f>
        <v>2</v>
      </c>
      <c r="C4166" s="1">
        <v>1</v>
      </c>
      <c r="D4166" s="1">
        <v>385</v>
      </c>
      <c r="E4166" s="1">
        <f>IF(OR(Paths!$C$385=0,C4166=0),0,MAX(0,MIN(C4166*12,Paths!$E$385)-(C4166-1)*12))</f>
        <v>0</v>
      </c>
      <c r="F4166" s="1">
        <f>IF(OR(Paths!$C$385=0,C4166=0),0,12-E4166)</f>
        <v>0</v>
      </c>
      <c r="G4166" s="16">
        <f>IF(NOT(Paths!$C$385=1),0,IF(Paths!$P$385="Complete",E4166/12*(Paths!$J$385*(1+'Operating costs'!$B$51)^MAX(0,C4166-1)+Paths!$K$385*(1+'Operating costs'!$B$53)^MAX(0,C4166-1)),"n.a."))</f>
        <v>0</v>
      </c>
      <c r="H4166" s="16">
        <f>IF(NOT(Paths!$C$385=1),0,IF(Paths!$P$385="Complete",F4166/12*(Paths!$L$385*(1+IF(Paths!$D$385="EV",'Operating costs'!$B$52,'Operating costs'!$B$51))^MAX(0,C4166-1)+Paths!$M$385*(1+'Operating costs'!$B$53)^MAX(0,C4166-1)),"n.a."))</f>
        <v>0</v>
      </c>
      <c r="I4166" s="16">
        <f>IF(NOT(Paths!$C$385=1),0,IF(Paths!$P$385="Complete",IF(IF(Paths!$E$385=0,C4166=0,AND(C4166&gt;0,Paths!$E$385&gt;(C4166-1)*12,Paths!$E$385&lt;=C4166*12)),Paths!$G$385,0),"n.a."))</f>
        <v>0</v>
      </c>
      <c r="J4166" s="16">
        <f>IF(NOT(Paths!$C$385=1),0,IF(Paths!$P$385="Complete",IF(IF(Paths!$E$385=0,C4166=0,AND(C4166&gt;0,Paths!$E$385&gt;(C4166-1)*12,Paths!$E$385&lt;=C4166*12)),Paths!$H$385,0),"n.a."))</f>
        <v>0</v>
      </c>
      <c r="K4166" s="16">
        <f>IF(NOT(Paths!$C$385=1),0,IF(Paths!$P$385="Complete",IF(IF(Paths!$O$385=0,C4166=0,AND(C4166&gt;0,Paths!$O$385&gt;(C4166-1)*12,Paths!$O$385&lt;=C4166*12)),Paths!$N$385,0),"n.a."))</f>
        <v>0</v>
      </c>
      <c r="L4166" s="16">
        <f>IF(NOT(Paths!$C$385=1),0,IF(Paths!$P$385="Complete",IF(C4166=10,Paths!$I$385,0),"n.a."))</f>
        <v>0</v>
      </c>
      <c r="M4166" s="16">
        <f>IF(NOT(Paths!$C$385=1),0,IF(Paths!$P$385="Complete",IF(AND(Paths!$D$385="EV",Paths!$E$385&lt;120,Paths!$E$385+'Operating costs'!$B$65&gt;Paths!$E$385,Paths!$E$385+'Operating costs'!$B$65&lt;=120,IF(Paths!$E$385+'Operating costs'!$B$65=0,C4166=0,AND(C4166&gt;0,Paths!$E$385+'Operating costs'!$B$65&gt;(C4166-1)*12,Paths!$E$385+'Operating costs'!$B$65&lt;=C4166*12))),'Operating costs'!$B$64,0)+IF(AND('Operating costs'!$B$67&gt;0,'Operating costs'!$B$67&lt;=120,OR(Paths!$D$385="ICE",'Operating costs'!$B$67&lt;=Paths!$E$385),IF('Operating costs'!$B$67=0,C4166=0,AND(C4166&gt;0,'Operating costs'!$B$67&gt;(C4166-1)*12,'Operating costs'!$B$67&lt;=C4166*12))),'Operating costs'!$B$66,0),"n.a."))</f>
        <v>0</v>
      </c>
      <c r="N4166" s="16">
        <f>IF(NOT(Paths!$C$385=1),0,IF(Paths!$P$385="Complete",SUM(G4166:I4166)-J4166-K4166-L4166+M4166+IF(C4166=0,Paths!$F$385,0)+IF(IF(Paths!$E$385=0,C4166=0,AND(C4166&gt;0,Paths!$E$385&gt;(C4166-1)*12,Paths!$E$385&lt;=C4166*12)),VLOOKUP(A4166,'Fleet register'!$A$7:$S$106,16,FALSE),0),"n.a."))</f>
        <v>0</v>
      </c>
      <c r="O4166" s="16">
        <f>IF(NOT(Paths!$C$385=1),0,IF(Paths!$P$385="Complete",N4166-IF(C4166=0,Paths!$F$385,0),"n.a."))</f>
        <v>0</v>
      </c>
      <c r="P4166" s="16">
        <f>IF(NOT(Paths!$C$385=1),0,IF(Paths!$P$385="Complete",O4166+L4166,"n.a."))</f>
        <v>0</v>
      </c>
      <c r="Q4166" s="16">
        <f>IF(NOT(Paths!$C$385=1),0,IF(Paths!$P$385="Complete",N4166*(1+'Operating costs'!$B$54)^-C4166,"n.a."))</f>
        <v>0</v>
      </c>
      <c r="R4166" s="16">
        <f>IF(NOT(Paths!$C$385=1),0,IF(Paths!$P$385="Complete",IF(AND(C4166=0,Paths!$E$385=0),I4166-J4166-K4166+VLOOKUP(A4166,'Fleet register'!$A$7:$S$106,15,FALSE)+VLOOKUP(A4166,'Fleet register'!$A$7:$S$106,16,FALSE),0),"n.a."))</f>
        <v>0</v>
      </c>
      <c r="S4166" s="1">
        <f>IF(NOT(Paths!$C$385=1),0,IF(Paths!$P$385="Complete",IF(C4166=0,0,Paths!$S$385*Paths!$R$385),"n.a."))</f>
        <v>0</v>
      </c>
      <c r="T4166" s="1">
        <f>IF(NOT(Paths!$C$385=1),0,IF(Paths!$P$385="Complete",IF(C4166=0,0,VLOOKUP(A4166,'Fleet register'!$A$7:$S$106,9,FALSE)*Paths!$R$385),"n.a."))</f>
        <v>0</v>
      </c>
    </row>
    <row r="4167" spans="1:20" ht="24" customHeight="1">
      <c r="A4167" s="1" t="str">
        <f>Paths!$A$385</f>
        <v>T095</v>
      </c>
      <c r="B4167" s="1">
        <f>Paths!$B$385</f>
        <v>2</v>
      </c>
      <c r="C4167" s="1">
        <v>2</v>
      </c>
      <c r="D4167" s="1">
        <v>385</v>
      </c>
      <c r="E4167" s="1">
        <f>IF(OR(Paths!$C$385=0,C4167=0),0,MAX(0,MIN(C4167*12,Paths!$E$385)-(C4167-1)*12))</f>
        <v>0</v>
      </c>
      <c r="F4167" s="1">
        <f>IF(OR(Paths!$C$385=0,C4167=0),0,12-E4167)</f>
        <v>0</v>
      </c>
      <c r="G4167" s="16">
        <f>IF(NOT(Paths!$C$385=1),0,IF(Paths!$P$385="Complete",E4167/12*(Paths!$J$385*(1+'Operating costs'!$B$51)^MAX(0,C4167-1)+Paths!$K$385*(1+'Operating costs'!$B$53)^MAX(0,C4167-1)),"n.a."))</f>
        <v>0</v>
      </c>
      <c r="H4167" s="16">
        <f>IF(NOT(Paths!$C$385=1),0,IF(Paths!$P$385="Complete",F4167/12*(Paths!$L$385*(1+IF(Paths!$D$385="EV",'Operating costs'!$B$52,'Operating costs'!$B$51))^MAX(0,C4167-1)+Paths!$M$385*(1+'Operating costs'!$B$53)^MAX(0,C4167-1)),"n.a."))</f>
        <v>0</v>
      </c>
      <c r="I4167" s="16">
        <f>IF(NOT(Paths!$C$385=1),0,IF(Paths!$P$385="Complete",IF(IF(Paths!$E$385=0,C4167=0,AND(C4167&gt;0,Paths!$E$385&gt;(C4167-1)*12,Paths!$E$385&lt;=C4167*12)),Paths!$G$385,0),"n.a."))</f>
        <v>0</v>
      </c>
      <c r="J4167" s="16">
        <f>IF(NOT(Paths!$C$385=1),0,IF(Paths!$P$385="Complete",IF(IF(Paths!$E$385=0,C4167=0,AND(C4167&gt;0,Paths!$E$385&gt;(C4167-1)*12,Paths!$E$385&lt;=C4167*12)),Paths!$H$385,0),"n.a."))</f>
        <v>0</v>
      </c>
      <c r="K4167" s="16">
        <f>IF(NOT(Paths!$C$385=1),0,IF(Paths!$P$385="Complete",IF(IF(Paths!$O$385=0,C4167=0,AND(C4167&gt;0,Paths!$O$385&gt;(C4167-1)*12,Paths!$O$385&lt;=C4167*12)),Paths!$N$385,0),"n.a."))</f>
        <v>0</v>
      </c>
      <c r="L4167" s="16">
        <f>IF(NOT(Paths!$C$385=1),0,IF(Paths!$P$385="Complete",IF(C4167=10,Paths!$I$385,0),"n.a."))</f>
        <v>0</v>
      </c>
      <c r="M4167" s="16">
        <f>IF(NOT(Paths!$C$385=1),0,IF(Paths!$P$385="Complete",IF(AND(Paths!$D$385="EV",Paths!$E$385&lt;120,Paths!$E$385+'Operating costs'!$B$65&gt;Paths!$E$385,Paths!$E$385+'Operating costs'!$B$65&lt;=120,IF(Paths!$E$385+'Operating costs'!$B$65=0,C4167=0,AND(C4167&gt;0,Paths!$E$385+'Operating costs'!$B$65&gt;(C4167-1)*12,Paths!$E$385+'Operating costs'!$B$65&lt;=C4167*12))),'Operating costs'!$B$64,0)+IF(AND('Operating costs'!$B$67&gt;0,'Operating costs'!$B$67&lt;=120,OR(Paths!$D$385="ICE",'Operating costs'!$B$67&lt;=Paths!$E$385),IF('Operating costs'!$B$67=0,C4167=0,AND(C4167&gt;0,'Operating costs'!$B$67&gt;(C4167-1)*12,'Operating costs'!$B$67&lt;=C4167*12))),'Operating costs'!$B$66,0),"n.a."))</f>
        <v>0</v>
      </c>
      <c r="N4167" s="16">
        <f>IF(NOT(Paths!$C$385=1),0,IF(Paths!$P$385="Complete",SUM(G4167:I4167)-J4167-K4167-L4167+M4167+IF(C4167=0,Paths!$F$385,0)+IF(IF(Paths!$E$385=0,C4167=0,AND(C4167&gt;0,Paths!$E$385&gt;(C4167-1)*12,Paths!$E$385&lt;=C4167*12)),VLOOKUP(A4167,'Fleet register'!$A$7:$S$106,16,FALSE),0),"n.a."))</f>
        <v>0</v>
      </c>
      <c r="O4167" s="16">
        <f>IF(NOT(Paths!$C$385=1),0,IF(Paths!$P$385="Complete",N4167-IF(C4167=0,Paths!$F$385,0),"n.a."))</f>
        <v>0</v>
      </c>
      <c r="P4167" s="16">
        <f>IF(NOT(Paths!$C$385=1),0,IF(Paths!$P$385="Complete",O4167+L4167,"n.a."))</f>
        <v>0</v>
      </c>
      <c r="Q4167" s="16">
        <f>IF(NOT(Paths!$C$385=1),0,IF(Paths!$P$385="Complete",N4167*(1+'Operating costs'!$B$54)^-C4167,"n.a."))</f>
        <v>0</v>
      </c>
      <c r="R4167" s="16">
        <f>IF(NOT(Paths!$C$385=1),0,IF(Paths!$P$385="Complete",IF(AND(C4167=0,Paths!$E$385=0),I4167-J4167-K4167+VLOOKUP(A4167,'Fleet register'!$A$7:$S$106,15,FALSE)+VLOOKUP(A4167,'Fleet register'!$A$7:$S$106,16,FALSE),0),"n.a."))</f>
        <v>0</v>
      </c>
      <c r="S4167" s="1">
        <f>IF(NOT(Paths!$C$385=1),0,IF(Paths!$P$385="Complete",IF(C4167=0,0,Paths!$S$385*Paths!$R$385),"n.a."))</f>
        <v>0</v>
      </c>
      <c r="T4167" s="1">
        <f>IF(NOT(Paths!$C$385=1),0,IF(Paths!$P$385="Complete",IF(C4167=0,0,VLOOKUP(A4167,'Fleet register'!$A$7:$S$106,9,FALSE)*Paths!$R$385),"n.a."))</f>
        <v>0</v>
      </c>
    </row>
    <row r="4168" spans="1:20" ht="24" customHeight="1">
      <c r="A4168" s="1" t="str">
        <f>Paths!$A$385</f>
        <v>T095</v>
      </c>
      <c r="B4168" s="1">
        <f>Paths!$B$385</f>
        <v>2</v>
      </c>
      <c r="C4168" s="1">
        <v>3</v>
      </c>
      <c r="D4168" s="1">
        <v>385</v>
      </c>
      <c r="E4168" s="1">
        <f>IF(OR(Paths!$C$385=0,C4168=0),0,MAX(0,MIN(C4168*12,Paths!$E$385)-(C4168-1)*12))</f>
        <v>0</v>
      </c>
      <c r="F4168" s="1">
        <f>IF(OR(Paths!$C$385=0,C4168=0),0,12-E4168)</f>
        <v>0</v>
      </c>
      <c r="G4168" s="16">
        <f>IF(NOT(Paths!$C$385=1),0,IF(Paths!$P$385="Complete",E4168/12*(Paths!$J$385*(1+'Operating costs'!$B$51)^MAX(0,C4168-1)+Paths!$K$385*(1+'Operating costs'!$B$53)^MAX(0,C4168-1)),"n.a."))</f>
        <v>0</v>
      </c>
      <c r="H4168" s="16">
        <f>IF(NOT(Paths!$C$385=1),0,IF(Paths!$P$385="Complete",F4168/12*(Paths!$L$385*(1+IF(Paths!$D$385="EV",'Operating costs'!$B$52,'Operating costs'!$B$51))^MAX(0,C4168-1)+Paths!$M$385*(1+'Operating costs'!$B$53)^MAX(0,C4168-1)),"n.a."))</f>
        <v>0</v>
      </c>
      <c r="I4168" s="16">
        <f>IF(NOT(Paths!$C$385=1),0,IF(Paths!$P$385="Complete",IF(IF(Paths!$E$385=0,C4168=0,AND(C4168&gt;0,Paths!$E$385&gt;(C4168-1)*12,Paths!$E$385&lt;=C4168*12)),Paths!$G$385,0),"n.a."))</f>
        <v>0</v>
      </c>
      <c r="J4168" s="16">
        <f>IF(NOT(Paths!$C$385=1),0,IF(Paths!$P$385="Complete",IF(IF(Paths!$E$385=0,C4168=0,AND(C4168&gt;0,Paths!$E$385&gt;(C4168-1)*12,Paths!$E$385&lt;=C4168*12)),Paths!$H$385,0),"n.a."))</f>
        <v>0</v>
      </c>
      <c r="K4168" s="16">
        <f>IF(NOT(Paths!$C$385=1),0,IF(Paths!$P$385="Complete",IF(IF(Paths!$O$385=0,C4168=0,AND(C4168&gt;0,Paths!$O$385&gt;(C4168-1)*12,Paths!$O$385&lt;=C4168*12)),Paths!$N$385,0),"n.a."))</f>
        <v>0</v>
      </c>
      <c r="L4168" s="16">
        <f>IF(NOT(Paths!$C$385=1),0,IF(Paths!$P$385="Complete",IF(C4168=10,Paths!$I$385,0),"n.a."))</f>
        <v>0</v>
      </c>
      <c r="M4168" s="16">
        <f>IF(NOT(Paths!$C$385=1),0,IF(Paths!$P$385="Complete",IF(AND(Paths!$D$385="EV",Paths!$E$385&lt;120,Paths!$E$385+'Operating costs'!$B$65&gt;Paths!$E$385,Paths!$E$385+'Operating costs'!$B$65&lt;=120,IF(Paths!$E$385+'Operating costs'!$B$65=0,C4168=0,AND(C4168&gt;0,Paths!$E$385+'Operating costs'!$B$65&gt;(C4168-1)*12,Paths!$E$385+'Operating costs'!$B$65&lt;=C4168*12))),'Operating costs'!$B$64,0)+IF(AND('Operating costs'!$B$67&gt;0,'Operating costs'!$B$67&lt;=120,OR(Paths!$D$385="ICE",'Operating costs'!$B$67&lt;=Paths!$E$385),IF('Operating costs'!$B$67=0,C4168=0,AND(C4168&gt;0,'Operating costs'!$B$67&gt;(C4168-1)*12,'Operating costs'!$B$67&lt;=C4168*12))),'Operating costs'!$B$66,0),"n.a."))</f>
        <v>0</v>
      </c>
      <c r="N4168" s="16">
        <f>IF(NOT(Paths!$C$385=1),0,IF(Paths!$P$385="Complete",SUM(G4168:I4168)-J4168-K4168-L4168+M4168+IF(C4168=0,Paths!$F$385,0)+IF(IF(Paths!$E$385=0,C4168=0,AND(C4168&gt;0,Paths!$E$385&gt;(C4168-1)*12,Paths!$E$385&lt;=C4168*12)),VLOOKUP(A4168,'Fleet register'!$A$7:$S$106,16,FALSE),0),"n.a."))</f>
        <v>0</v>
      </c>
      <c r="O4168" s="16">
        <f>IF(NOT(Paths!$C$385=1),0,IF(Paths!$P$385="Complete",N4168-IF(C4168=0,Paths!$F$385,0),"n.a."))</f>
        <v>0</v>
      </c>
      <c r="P4168" s="16">
        <f>IF(NOT(Paths!$C$385=1),0,IF(Paths!$P$385="Complete",O4168+L4168,"n.a."))</f>
        <v>0</v>
      </c>
      <c r="Q4168" s="16">
        <f>IF(NOT(Paths!$C$385=1),0,IF(Paths!$P$385="Complete",N4168*(1+'Operating costs'!$B$54)^-C4168,"n.a."))</f>
        <v>0</v>
      </c>
      <c r="R4168" s="16">
        <f>IF(NOT(Paths!$C$385=1),0,IF(Paths!$P$385="Complete",IF(AND(C4168=0,Paths!$E$385=0),I4168-J4168-K4168+VLOOKUP(A4168,'Fleet register'!$A$7:$S$106,15,FALSE)+VLOOKUP(A4168,'Fleet register'!$A$7:$S$106,16,FALSE),0),"n.a."))</f>
        <v>0</v>
      </c>
      <c r="S4168" s="1">
        <f>IF(NOT(Paths!$C$385=1),0,IF(Paths!$P$385="Complete",IF(C4168=0,0,Paths!$S$385*Paths!$R$385),"n.a."))</f>
        <v>0</v>
      </c>
      <c r="T4168" s="1">
        <f>IF(NOT(Paths!$C$385=1),0,IF(Paths!$P$385="Complete",IF(C4168=0,0,VLOOKUP(A4168,'Fleet register'!$A$7:$S$106,9,FALSE)*Paths!$R$385),"n.a."))</f>
        <v>0</v>
      </c>
    </row>
    <row r="4169" spans="1:20" ht="24" customHeight="1">
      <c r="A4169" s="1" t="str">
        <f>Paths!$A$385</f>
        <v>T095</v>
      </c>
      <c r="B4169" s="1">
        <f>Paths!$B$385</f>
        <v>2</v>
      </c>
      <c r="C4169" s="1">
        <v>4</v>
      </c>
      <c r="D4169" s="1">
        <v>385</v>
      </c>
      <c r="E4169" s="1">
        <f>IF(OR(Paths!$C$385=0,C4169=0),0,MAX(0,MIN(C4169*12,Paths!$E$385)-(C4169-1)*12))</f>
        <v>0</v>
      </c>
      <c r="F4169" s="1">
        <f>IF(OR(Paths!$C$385=0,C4169=0),0,12-E4169)</f>
        <v>0</v>
      </c>
      <c r="G4169" s="16">
        <f>IF(NOT(Paths!$C$385=1),0,IF(Paths!$P$385="Complete",E4169/12*(Paths!$J$385*(1+'Operating costs'!$B$51)^MAX(0,C4169-1)+Paths!$K$385*(1+'Operating costs'!$B$53)^MAX(0,C4169-1)),"n.a."))</f>
        <v>0</v>
      </c>
      <c r="H4169" s="16">
        <f>IF(NOT(Paths!$C$385=1),0,IF(Paths!$P$385="Complete",F4169/12*(Paths!$L$385*(1+IF(Paths!$D$385="EV",'Operating costs'!$B$52,'Operating costs'!$B$51))^MAX(0,C4169-1)+Paths!$M$385*(1+'Operating costs'!$B$53)^MAX(0,C4169-1)),"n.a."))</f>
        <v>0</v>
      </c>
      <c r="I4169" s="16">
        <f>IF(NOT(Paths!$C$385=1),0,IF(Paths!$P$385="Complete",IF(IF(Paths!$E$385=0,C4169=0,AND(C4169&gt;0,Paths!$E$385&gt;(C4169-1)*12,Paths!$E$385&lt;=C4169*12)),Paths!$G$385,0),"n.a."))</f>
        <v>0</v>
      </c>
      <c r="J4169" s="16">
        <f>IF(NOT(Paths!$C$385=1),0,IF(Paths!$P$385="Complete",IF(IF(Paths!$E$385=0,C4169=0,AND(C4169&gt;0,Paths!$E$385&gt;(C4169-1)*12,Paths!$E$385&lt;=C4169*12)),Paths!$H$385,0),"n.a."))</f>
        <v>0</v>
      </c>
      <c r="K4169" s="16">
        <f>IF(NOT(Paths!$C$385=1),0,IF(Paths!$P$385="Complete",IF(IF(Paths!$O$385=0,C4169=0,AND(C4169&gt;0,Paths!$O$385&gt;(C4169-1)*12,Paths!$O$385&lt;=C4169*12)),Paths!$N$385,0),"n.a."))</f>
        <v>0</v>
      </c>
      <c r="L4169" s="16">
        <f>IF(NOT(Paths!$C$385=1),0,IF(Paths!$P$385="Complete",IF(C4169=10,Paths!$I$385,0),"n.a."))</f>
        <v>0</v>
      </c>
      <c r="M4169" s="16">
        <f>IF(NOT(Paths!$C$385=1),0,IF(Paths!$P$385="Complete",IF(AND(Paths!$D$385="EV",Paths!$E$385&lt;120,Paths!$E$385+'Operating costs'!$B$65&gt;Paths!$E$385,Paths!$E$385+'Operating costs'!$B$65&lt;=120,IF(Paths!$E$385+'Operating costs'!$B$65=0,C4169=0,AND(C4169&gt;0,Paths!$E$385+'Operating costs'!$B$65&gt;(C4169-1)*12,Paths!$E$385+'Operating costs'!$B$65&lt;=C4169*12))),'Operating costs'!$B$64,0)+IF(AND('Operating costs'!$B$67&gt;0,'Operating costs'!$B$67&lt;=120,OR(Paths!$D$385="ICE",'Operating costs'!$B$67&lt;=Paths!$E$385),IF('Operating costs'!$B$67=0,C4169=0,AND(C4169&gt;0,'Operating costs'!$B$67&gt;(C4169-1)*12,'Operating costs'!$B$67&lt;=C4169*12))),'Operating costs'!$B$66,0),"n.a."))</f>
        <v>0</v>
      </c>
      <c r="N4169" s="16">
        <f>IF(NOT(Paths!$C$385=1),0,IF(Paths!$P$385="Complete",SUM(G4169:I4169)-J4169-K4169-L4169+M4169+IF(C4169=0,Paths!$F$385,0)+IF(IF(Paths!$E$385=0,C4169=0,AND(C4169&gt;0,Paths!$E$385&gt;(C4169-1)*12,Paths!$E$385&lt;=C4169*12)),VLOOKUP(A4169,'Fleet register'!$A$7:$S$106,16,FALSE),0),"n.a."))</f>
        <v>0</v>
      </c>
      <c r="O4169" s="16">
        <f>IF(NOT(Paths!$C$385=1),0,IF(Paths!$P$385="Complete",N4169-IF(C4169=0,Paths!$F$385,0),"n.a."))</f>
        <v>0</v>
      </c>
      <c r="P4169" s="16">
        <f>IF(NOT(Paths!$C$385=1),0,IF(Paths!$P$385="Complete",O4169+L4169,"n.a."))</f>
        <v>0</v>
      </c>
      <c r="Q4169" s="16">
        <f>IF(NOT(Paths!$C$385=1),0,IF(Paths!$P$385="Complete",N4169*(1+'Operating costs'!$B$54)^-C4169,"n.a."))</f>
        <v>0</v>
      </c>
      <c r="R4169" s="16">
        <f>IF(NOT(Paths!$C$385=1),0,IF(Paths!$P$385="Complete",IF(AND(C4169=0,Paths!$E$385=0),I4169-J4169-K4169+VLOOKUP(A4169,'Fleet register'!$A$7:$S$106,15,FALSE)+VLOOKUP(A4169,'Fleet register'!$A$7:$S$106,16,FALSE),0),"n.a."))</f>
        <v>0</v>
      </c>
      <c r="S4169" s="1">
        <f>IF(NOT(Paths!$C$385=1),0,IF(Paths!$P$385="Complete",IF(C4169=0,0,Paths!$S$385*Paths!$R$385),"n.a."))</f>
        <v>0</v>
      </c>
      <c r="T4169" s="1">
        <f>IF(NOT(Paths!$C$385=1),0,IF(Paths!$P$385="Complete",IF(C4169=0,0,VLOOKUP(A4169,'Fleet register'!$A$7:$S$106,9,FALSE)*Paths!$R$385),"n.a."))</f>
        <v>0</v>
      </c>
    </row>
    <row r="4170" spans="1:20" ht="24" customHeight="1">
      <c r="A4170" s="1" t="str">
        <f>Paths!$A$385</f>
        <v>T095</v>
      </c>
      <c r="B4170" s="1">
        <f>Paths!$B$385</f>
        <v>2</v>
      </c>
      <c r="C4170" s="1">
        <v>5</v>
      </c>
      <c r="D4170" s="1">
        <v>385</v>
      </c>
      <c r="E4170" s="1">
        <f>IF(OR(Paths!$C$385=0,C4170=0),0,MAX(0,MIN(C4170*12,Paths!$E$385)-(C4170-1)*12))</f>
        <v>0</v>
      </c>
      <c r="F4170" s="1">
        <f>IF(OR(Paths!$C$385=0,C4170=0),0,12-E4170)</f>
        <v>0</v>
      </c>
      <c r="G4170" s="16">
        <f>IF(NOT(Paths!$C$385=1),0,IF(Paths!$P$385="Complete",E4170/12*(Paths!$J$385*(1+'Operating costs'!$B$51)^MAX(0,C4170-1)+Paths!$K$385*(1+'Operating costs'!$B$53)^MAX(0,C4170-1)),"n.a."))</f>
        <v>0</v>
      </c>
      <c r="H4170" s="16">
        <f>IF(NOT(Paths!$C$385=1),0,IF(Paths!$P$385="Complete",F4170/12*(Paths!$L$385*(1+IF(Paths!$D$385="EV",'Operating costs'!$B$52,'Operating costs'!$B$51))^MAX(0,C4170-1)+Paths!$M$385*(1+'Operating costs'!$B$53)^MAX(0,C4170-1)),"n.a."))</f>
        <v>0</v>
      </c>
      <c r="I4170" s="16">
        <f>IF(NOT(Paths!$C$385=1),0,IF(Paths!$P$385="Complete",IF(IF(Paths!$E$385=0,C4170=0,AND(C4170&gt;0,Paths!$E$385&gt;(C4170-1)*12,Paths!$E$385&lt;=C4170*12)),Paths!$G$385,0),"n.a."))</f>
        <v>0</v>
      </c>
      <c r="J4170" s="16">
        <f>IF(NOT(Paths!$C$385=1),0,IF(Paths!$P$385="Complete",IF(IF(Paths!$E$385=0,C4170=0,AND(C4170&gt;0,Paths!$E$385&gt;(C4170-1)*12,Paths!$E$385&lt;=C4170*12)),Paths!$H$385,0),"n.a."))</f>
        <v>0</v>
      </c>
      <c r="K4170" s="16">
        <f>IF(NOT(Paths!$C$385=1),0,IF(Paths!$P$385="Complete",IF(IF(Paths!$O$385=0,C4170=0,AND(C4170&gt;0,Paths!$O$385&gt;(C4170-1)*12,Paths!$O$385&lt;=C4170*12)),Paths!$N$385,0),"n.a."))</f>
        <v>0</v>
      </c>
      <c r="L4170" s="16">
        <f>IF(NOT(Paths!$C$385=1),0,IF(Paths!$P$385="Complete",IF(C4170=10,Paths!$I$385,0),"n.a."))</f>
        <v>0</v>
      </c>
      <c r="M4170" s="16">
        <f>IF(NOT(Paths!$C$385=1),0,IF(Paths!$P$385="Complete",IF(AND(Paths!$D$385="EV",Paths!$E$385&lt;120,Paths!$E$385+'Operating costs'!$B$65&gt;Paths!$E$385,Paths!$E$385+'Operating costs'!$B$65&lt;=120,IF(Paths!$E$385+'Operating costs'!$B$65=0,C4170=0,AND(C4170&gt;0,Paths!$E$385+'Operating costs'!$B$65&gt;(C4170-1)*12,Paths!$E$385+'Operating costs'!$B$65&lt;=C4170*12))),'Operating costs'!$B$64,0)+IF(AND('Operating costs'!$B$67&gt;0,'Operating costs'!$B$67&lt;=120,OR(Paths!$D$385="ICE",'Operating costs'!$B$67&lt;=Paths!$E$385),IF('Operating costs'!$B$67=0,C4170=0,AND(C4170&gt;0,'Operating costs'!$B$67&gt;(C4170-1)*12,'Operating costs'!$B$67&lt;=C4170*12))),'Operating costs'!$B$66,0),"n.a."))</f>
        <v>0</v>
      </c>
      <c r="N4170" s="16">
        <f>IF(NOT(Paths!$C$385=1),0,IF(Paths!$P$385="Complete",SUM(G4170:I4170)-J4170-K4170-L4170+M4170+IF(C4170=0,Paths!$F$385,0)+IF(IF(Paths!$E$385=0,C4170=0,AND(C4170&gt;0,Paths!$E$385&gt;(C4170-1)*12,Paths!$E$385&lt;=C4170*12)),VLOOKUP(A4170,'Fleet register'!$A$7:$S$106,16,FALSE),0),"n.a."))</f>
        <v>0</v>
      </c>
      <c r="O4170" s="16">
        <f>IF(NOT(Paths!$C$385=1),0,IF(Paths!$P$385="Complete",N4170-IF(C4170=0,Paths!$F$385,0),"n.a."))</f>
        <v>0</v>
      </c>
      <c r="P4170" s="16">
        <f>IF(NOT(Paths!$C$385=1),0,IF(Paths!$P$385="Complete",O4170+L4170,"n.a."))</f>
        <v>0</v>
      </c>
      <c r="Q4170" s="16">
        <f>IF(NOT(Paths!$C$385=1),0,IF(Paths!$P$385="Complete",N4170*(1+'Operating costs'!$B$54)^-C4170,"n.a."))</f>
        <v>0</v>
      </c>
      <c r="R4170" s="16">
        <f>IF(NOT(Paths!$C$385=1),0,IF(Paths!$P$385="Complete",IF(AND(C4170=0,Paths!$E$385=0),I4170-J4170-K4170+VLOOKUP(A4170,'Fleet register'!$A$7:$S$106,15,FALSE)+VLOOKUP(A4170,'Fleet register'!$A$7:$S$106,16,FALSE),0),"n.a."))</f>
        <v>0</v>
      </c>
      <c r="S4170" s="1">
        <f>IF(NOT(Paths!$C$385=1),0,IF(Paths!$P$385="Complete",IF(C4170=0,0,Paths!$S$385*Paths!$R$385),"n.a."))</f>
        <v>0</v>
      </c>
      <c r="T4170" s="1">
        <f>IF(NOT(Paths!$C$385=1),0,IF(Paths!$P$385="Complete",IF(C4170=0,0,VLOOKUP(A4170,'Fleet register'!$A$7:$S$106,9,FALSE)*Paths!$R$385),"n.a."))</f>
        <v>0</v>
      </c>
    </row>
    <row r="4171" spans="1:20" ht="24" customHeight="1">
      <c r="A4171" s="1" t="str">
        <f>Paths!$A$385</f>
        <v>T095</v>
      </c>
      <c r="B4171" s="1">
        <f>Paths!$B$385</f>
        <v>2</v>
      </c>
      <c r="C4171" s="1">
        <v>6</v>
      </c>
      <c r="D4171" s="1">
        <v>385</v>
      </c>
      <c r="E4171" s="1">
        <f>IF(OR(Paths!$C$385=0,C4171=0),0,MAX(0,MIN(C4171*12,Paths!$E$385)-(C4171-1)*12))</f>
        <v>0</v>
      </c>
      <c r="F4171" s="1">
        <f>IF(OR(Paths!$C$385=0,C4171=0),0,12-E4171)</f>
        <v>0</v>
      </c>
      <c r="G4171" s="16">
        <f>IF(NOT(Paths!$C$385=1),0,IF(Paths!$P$385="Complete",E4171/12*(Paths!$J$385*(1+'Operating costs'!$B$51)^MAX(0,C4171-1)+Paths!$K$385*(1+'Operating costs'!$B$53)^MAX(0,C4171-1)),"n.a."))</f>
        <v>0</v>
      </c>
      <c r="H4171" s="16">
        <f>IF(NOT(Paths!$C$385=1),0,IF(Paths!$P$385="Complete",F4171/12*(Paths!$L$385*(1+IF(Paths!$D$385="EV",'Operating costs'!$B$52,'Operating costs'!$B$51))^MAX(0,C4171-1)+Paths!$M$385*(1+'Operating costs'!$B$53)^MAX(0,C4171-1)),"n.a."))</f>
        <v>0</v>
      </c>
      <c r="I4171" s="16">
        <f>IF(NOT(Paths!$C$385=1),0,IF(Paths!$P$385="Complete",IF(IF(Paths!$E$385=0,C4171=0,AND(C4171&gt;0,Paths!$E$385&gt;(C4171-1)*12,Paths!$E$385&lt;=C4171*12)),Paths!$G$385,0),"n.a."))</f>
        <v>0</v>
      </c>
      <c r="J4171" s="16">
        <f>IF(NOT(Paths!$C$385=1),0,IF(Paths!$P$385="Complete",IF(IF(Paths!$E$385=0,C4171=0,AND(C4171&gt;0,Paths!$E$385&gt;(C4171-1)*12,Paths!$E$385&lt;=C4171*12)),Paths!$H$385,0),"n.a."))</f>
        <v>0</v>
      </c>
      <c r="K4171" s="16">
        <f>IF(NOT(Paths!$C$385=1),0,IF(Paths!$P$385="Complete",IF(IF(Paths!$O$385=0,C4171=0,AND(C4171&gt;0,Paths!$O$385&gt;(C4171-1)*12,Paths!$O$385&lt;=C4171*12)),Paths!$N$385,0),"n.a."))</f>
        <v>0</v>
      </c>
      <c r="L4171" s="16">
        <f>IF(NOT(Paths!$C$385=1),0,IF(Paths!$P$385="Complete",IF(C4171=10,Paths!$I$385,0),"n.a."))</f>
        <v>0</v>
      </c>
      <c r="M4171" s="16">
        <f>IF(NOT(Paths!$C$385=1),0,IF(Paths!$P$385="Complete",IF(AND(Paths!$D$385="EV",Paths!$E$385&lt;120,Paths!$E$385+'Operating costs'!$B$65&gt;Paths!$E$385,Paths!$E$385+'Operating costs'!$B$65&lt;=120,IF(Paths!$E$385+'Operating costs'!$B$65=0,C4171=0,AND(C4171&gt;0,Paths!$E$385+'Operating costs'!$B$65&gt;(C4171-1)*12,Paths!$E$385+'Operating costs'!$B$65&lt;=C4171*12))),'Operating costs'!$B$64,0)+IF(AND('Operating costs'!$B$67&gt;0,'Operating costs'!$B$67&lt;=120,OR(Paths!$D$385="ICE",'Operating costs'!$B$67&lt;=Paths!$E$385),IF('Operating costs'!$B$67=0,C4171=0,AND(C4171&gt;0,'Operating costs'!$B$67&gt;(C4171-1)*12,'Operating costs'!$B$67&lt;=C4171*12))),'Operating costs'!$B$66,0),"n.a."))</f>
        <v>0</v>
      </c>
      <c r="N4171" s="16">
        <f>IF(NOT(Paths!$C$385=1),0,IF(Paths!$P$385="Complete",SUM(G4171:I4171)-J4171-K4171-L4171+M4171+IF(C4171=0,Paths!$F$385,0)+IF(IF(Paths!$E$385=0,C4171=0,AND(C4171&gt;0,Paths!$E$385&gt;(C4171-1)*12,Paths!$E$385&lt;=C4171*12)),VLOOKUP(A4171,'Fleet register'!$A$7:$S$106,16,FALSE),0),"n.a."))</f>
        <v>0</v>
      </c>
      <c r="O4171" s="16">
        <f>IF(NOT(Paths!$C$385=1),0,IF(Paths!$P$385="Complete",N4171-IF(C4171=0,Paths!$F$385,0),"n.a."))</f>
        <v>0</v>
      </c>
      <c r="P4171" s="16">
        <f>IF(NOT(Paths!$C$385=1),0,IF(Paths!$P$385="Complete",O4171+L4171,"n.a."))</f>
        <v>0</v>
      </c>
      <c r="Q4171" s="16">
        <f>IF(NOT(Paths!$C$385=1),0,IF(Paths!$P$385="Complete",N4171*(1+'Operating costs'!$B$54)^-C4171,"n.a."))</f>
        <v>0</v>
      </c>
      <c r="R4171" s="16">
        <f>IF(NOT(Paths!$C$385=1),0,IF(Paths!$P$385="Complete",IF(AND(C4171=0,Paths!$E$385=0),I4171-J4171-K4171+VLOOKUP(A4171,'Fleet register'!$A$7:$S$106,15,FALSE)+VLOOKUP(A4171,'Fleet register'!$A$7:$S$106,16,FALSE),0),"n.a."))</f>
        <v>0</v>
      </c>
      <c r="S4171" s="1">
        <f>IF(NOT(Paths!$C$385=1),0,IF(Paths!$P$385="Complete",IF(C4171=0,0,Paths!$S$385*Paths!$R$385),"n.a."))</f>
        <v>0</v>
      </c>
      <c r="T4171" s="1">
        <f>IF(NOT(Paths!$C$385=1),0,IF(Paths!$P$385="Complete",IF(C4171=0,0,VLOOKUP(A4171,'Fleet register'!$A$7:$S$106,9,FALSE)*Paths!$R$385),"n.a."))</f>
        <v>0</v>
      </c>
    </row>
    <row r="4172" spans="1:20" ht="24" customHeight="1">
      <c r="A4172" s="1" t="str">
        <f>Paths!$A$385</f>
        <v>T095</v>
      </c>
      <c r="B4172" s="1">
        <f>Paths!$B$385</f>
        <v>2</v>
      </c>
      <c r="C4172" s="1">
        <v>7</v>
      </c>
      <c r="D4172" s="1">
        <v>385</v>
      </c>
      <c r="E4172" s="1">
        <f>IF(OR(Paths!$C$385=0,C4172=0),0,MAX(0,MIN(C4172*12,Paths!$E$385)-(C4172-1)*12))</f>
        <v>0</v>
      </c>
      <c r="F4172" s="1">
        <f>IF(OR(Paths!$C$385=0,C4172=0),0,12-E4172)</f>
        <v>0</v>
      </c>
      <c r="G4172" s="16">
        <f>IF(NOT(Paths!$C$385=1),0,IF(Paths!$P$385="Complete",E4172/12*(Paths!$J$385*(1+'Operating costs'!$B$51)^MAX(0,C4172-1)+Paths!$K$385*(1+'Operating costs'!$B$53)^MAX(0,C4172-1)),"n.a."))</f>
        <v>0</v>
      </c>
      <c r="H4172" s="16">
        <f>IF(NOT(Paths!$C$385=1),0,IF(Paths!$P$385="Complete",F4172/12*(Paths!$L$385*(1+IF(Paths!$D$385="EV",'Operating costs'!$B$52,'Operating costs'!$B$51))^MAX(0,C4172-1)+Paths!$M$385*(1+'Operating costs'!$B$53)^MAX(0,C4172-1)),"n.a."))</f>
        <v>0</v>
      </c>
      <c r="I4172" s="16">
        <f>IF(NOT(Paths!$C$385=1),0,IF(Paths!$P$385="Complete",IF(IF(Paths!$E$385=0,C4172=0,AND(C4172&gt;0,Paths!$E$385&gt;(C4172-1)*12,Paths!$E$385&lt;=C4172*12)),Paths!$G$385,0),"n.a."))</f>
        <v>0</v>
      </c>
      <c r="J4172" s="16">
        <f>IF(NOT(Paths!$C$385=1),0,IF(Paths!$P$385="Complete",IF(IF(Paths!$E$385=0,C4172=0,AND(C4172&gt;0,Paths!$E$385&gt;(C4172-1)*12,Paths!$E$385&lt;=C4172*12)),Paths!$H$385,0),"n.a."))</f>
        <v>0</v>
      </c>
      <c r="K4172" s="16">
        <f>IF(NOT(Paths!$C$385=1),0,IF(Paths!$P$385="Complete",IF(IF(Paths!$O$385=0,C4172=0,AND(C4172&gt;0,Paths!$O$385&gt;(C4172-1)*12,Paths!$O$385&lt;=C4172*12)),Paths!$N$385,0),"n.a."))</f>
        <v>0</v>
      </c>
      <c r="L4172" s="16">
        <f>IF(NOT(Paths!$C$385=1),0,IF(Paths!$P$385="Complete",IF(C4172=10,Paths!$I$385,0),"n.a."))</f>
        <v>0</v>
      </c>
      <c r="M4172" s="16">
        <f>IF(NOT(Paths!$C$385=1),0,IF(Paths!$P$385="Complete",IF(AND(Paths!$D$385="EV",Paths!$E$385&lt;120,Paths!$E$385+'Operating costs'!$B$65&gt;Paths!$E$385,Paths!$E$385+'Operating costs'!$B$65&lt;=120,IF(Paths!$E$385+'Operating costs'!$B$65=0,C4172=0,AND(C4172&gt;0,Paths!$E$385+'Operating costs'!$B$65&gt;(C4172-1)*12,Paths!$E$385+'Operating costs'!$B$65&lt;=C4172*12))),'Operating costs'!$B$64,0)+IF(AND('Operating costs'!$B$67&gt;0,'Operating costs'!$B$67&lt;=120,OR(Paths!$D$385="ICE",'Operating costs'!$B$67&lt;=Paths!$E$385),IF('Operating costs'!$B$67=0,C4172=0,AND(C4172&gt;0,'Operating costs'!$B$67&gt;(C4172-1)*12,'Operating costs'!$B$67&lt;=C4172*12))),'Operating costs'!$B$66,0),"n.a."))</f>
        <v>0</v>
      </c>
      <c r="N4172" s="16">
        <f>IF(NOT(Paths!$C$385=1),0,IF(Paths!$P$385="Complete",SUM(G4172:I4172)-J4172-K4172-L4172+M4172+IF(C4172=0,Paths!$F$385,0)+IF(IF(Paths!$E$385=0,C4172=0,AND(C4172&gt;0,Paths!$E$385&gt;(C4172-1)*12,Paths!$E$385&lt;=C4172*12)),VLOOKUP(A4172,'Fleet register'!$A$7:$S$106,16,FALSE),0),"n.a."))</f>
        <v>0</v>
      </c>
      <c r="O4172" s="16">
        <f>IF(NOT(Paths!$C$385=1),0,IF(Paths!$P$385="Complete",N4172-IF(C4172=0,Paths!$F$385,0),"n.a."))</f>
        <v>0</v>
      </c>
      <c r="P4172" s="16">
        <f>IF(NOT(Paths!$C$385=1),0,IF(Paths!$P$385="Complete",O4172+L4172,"n.a."))</f>
        <v>0</v>
      </c>
      <c r="Q4172" s="16">
        <f>IF(NOT(Paths!$C$385=1),0,IF(Paths!$P$385="Complete",N4172*(1+'Operating costs'!$B$54)^-C4172,"n.a."))</f>
        <v>0</v>
      </c>
      <c r="R4172" s="16">
        <f>IF(NOT(Paths!$C$385=1),0,IF(Paths!$P$385="Complete",IF(AND(C4172=0,Paths!$E$385=0),I4172-J4172-K4172+VLOOKUP(A4172,'Fleet register'!$A$7:$S$106,15,FALSE)+VLOOKUP(A4172,'Fleet register'!$A$7:$S$106,16,FALSE),0),"n.a."))</f>
        <v>0</v>
      </c>
      <c r="S4172" s="1">
        <f>IF(NOT(Paths!$C$385=1),0,IF(Paths!$P$385="Complete",IF(C4172=0,0,Paths!$S$385*Paths!$R$385),"n.a."))</f>
        <v>0</v>
      </c>
      <c r="T4172" s="1">
        <f>IF(NOT(Paths!$C$385=1),0,IF(Paths!$P$385="Complete",IF(C4172=0,0,VLOOKUP(A4172,'Fleet register'!$A$7:$S$106,9,FALSE)*Paths!$R$385),"n.a."))</f>
        <v>0</v>
      </c>
    </row>
    <row r="4173" spans="1:20" ht="24" customHeight="1">
      <c r="A4173" s="1" t="str">
        <f>Paths!$A$385</f>
        <v>T095</v>
      </c>
      <c r="B4173" s="1">
        <f>Paths!$B$385</f>
        <v>2</v>
      </c>
      <c r="C4173" s="1">
        <v>8</v>
      </c>
      <c r="D4173" s="1">
        <v>385</v>
      </c>
      <c r="E4173" s="1">
        <f>IF(OR(Paths!$C$385=0,C4173=0),0,MAX(0,MIN(C4173*12,Paths!$E$385)-(C4173-1)*12))</f>
        <v>0</v>
      </c>
      <c r="F4173" s="1">
        <f>IF(OR(Paths!$C$385=0,C4173=0),0,12-E4173)</f>
        <v>0</v>
      </c>
      <c r="G4173" s="16">
        <f>IF(NOT(Paths!$C$385=1),0,IF(Paths!$P$385="Complete",E4173/12*(Paths!$J$385*(1+'Operating costs'!$B$51)^MAX(0,C4173-1)+Paths!$K$385*(1+'Operating costs'!$B$53)^MAX(0,C4173-1)),"n.a."))</f>
        <v>0</v>
      </c>
      <c r="H4173" s="16">
        <f>IF(NOT(Paths!$C$385=1),0,IF(Paths!$P$385="Complete",F4173/12*(Paths!$L$385*(1+IF(Paths!$D$385="EV",'Operating costs'!$B$52,'Operating costs'!$B$51))^MAX(0,C4173-1)+Paths!$M$385*(1+'Operating costs'!$B$53)^MAX(0,C4173-1)),"n.a."))</f>
        <v>0</v>
      </c>
      <c r="I4173" s="16">
        <f>IF(NOT(Paths!$C$385=1),0,IF(Paths!$P$385="Complete",IF(IF(Paths!$E$385=0,C4173=0,AND(C4173&gt;0,Paths!$E$385&gt;(C4173-1)*12,Paths!$E$385&lt;=C4173*12)),Paths!$G$385,0),"n.a."))</f>
        <v>0</v>
      </c>
      <c r="J4173" s="16">
        <f>IF(NOT(Paths!$C$385=1),0,IF(Paths!$P$385="Complete",IF(IF(Paths!$E$385=0,C4173=0,AND(C4173&gt;0,Paths!$E$385&gt;(C4173-1)*12,Paths!$E$385&lt;=C4173*12)),Paths!$H$385,0),"n.a."))</f>
        <v>0</v>
      </c>
      <c r="K4173" s="16">
        <f>IF(NOT(Paths!$C$385=1),0,IF(Paths!$P$385="Complete",IF(IF(Paths!$O$385=0,C4173=0,AND(C4173&gt;0,Paths!$O$385&gt;(C4173-1)*12,Paths!$O$385&lt;=C4173*12)),Paths!$N$385,0),"n.a."))</f>
        <v>0</v>
      </c>
      <c r="L4173" s="16">
        <f>IF(NOT(Paths!$C$385=1),0,IF(Paths!$P$385="Complete",IF(C4173=10,Paths!$I$385,0),"n.a."))</f>
        <v>0</v>
      </c>
      <c r="M4173" s="16">
        <f>IF(NOT(Paths!$C$385=1),0,IF(Paths!$P$385="Complete",IF(AND(Paths!$D$385="EV",Paths!$E$385&lt;120,Paths!$E$385+'Operating costs'!$B$65&gt;Paths!$E$385,Paths!$E$385+'Operating costs'!$B$65&lt;=120,IF(Paths!$E$385+'Operating costs'!$B$65=0,C4173=0,AND(C4173&gt;0,Paths!$E$385+'Operating costs'!$B$65&gt;(C4173-1)*12,Paths!$E$385+'Operating costs'!$B$65&lt;=C4173*12))),'Operating costs'!$B$64,0)+IF(AND('Operating costs'!$B$67&gt;0,'Operating costs'!$B$67&lt;=120,OR(Paths!$D$385="ICE",'Operating costs'!$B$67&lt;=Paths!$E$385),IF('Operating costs'!$B$67=0,C4173=0,AND(C4173&gt;0,'Operating costs'!$B$67&gt;(C4173-1)*12,'Operating costs'!$B$67&lt;=C4173*12))),'Operating costs'!$B$66,0),"n.a."))</f>
        <v>0</v>
      </c>
      <c r="N4173" s="16">
        <f>IF(NOT(Paths!$C$385=1),0,IF(Paths!$P$385="Complete",SUM(G4173:I4173)-J4173-K4173-L4173+M4173+IF(C4173=0,Paths!$F$385,0)+IF(IF(Paths!$E$385=0,C4173=0,AND(C4173&gt;0,Paths!$E$385&gt;(C4173-1)*12,Paths!$E$385&lt;=C4173*12)),VLOOKUP(A4173,'Fleet register'!$A$7:$S$106,16,FALSE),0),"n.a."))</f>
        <v>0</v>
      </c>
      <c r="O4173" s="16">
        <f>IF(NOT(Paths!$C$385=1),0,IF(Paths!$P$385="Complete",N4173-IF(C4173=0,Paths!$F$385,0),"n.a."))</f>
        <v>0</v>
      </c>
      <c r="P4173" s="16">
        <f>IF(NOT(Paths!$C$385=1),0,IF(Paths!$P$385="Complete",O4173+L4173,"n.a."))</f>
        <v>0</v>
      </c>
      <c r="Q4173" s="16">
        <f>IF(NOT(Paths!$C$385=1),0,IF(Paths!$P$385="Complete",N4173*(1+'Operating costs'!$B$54)^-C4173,"n.a."))</f>
        <v>0</v>
      </c>
      <c r="R4173" s="16">
        <f>IF(NOT(Paths!$C$385=1),0,IF(Paths!$P$385="Complete",IF(AND(C4173=0,Paths!$E$385=0),I4173-J4173-K4173+VLOOKUP(A4173,'Fleet register'!$A$7:$S$106,15,FALSE)+VLOOKUP(A4173,'Fleet register'!$A$7:$S$106,16,FALSE),0),"n.a."))</f>
        <v>0</v>
      </c>
      <c r="S4173" s="1">
        <f>IF(NOT(Paths!$C$385=1),0,IF(Paths!$P$385="Complete",IF(C4173=0,0,Paths!$S$385*Paths!$R$385),"n.a."))</f>
        <v>0</v>
      </c>
      <c r="T4173" s="1">
        <f>IF(NOT(Paths!$C$385=1),0,IF(Paths!$P$385="Complete",IF(C4173=0,0,VLOOKUP(A4173,'Fleet register'!$A$7:$S$106,9,FALSE)*Paths!$R$385),"n.a."))</f>
        <v>0</v>
      </c>
    </row>
    <row r="4174" spans="1:20" ht="24" customHeight="1">
      <c r="A4174" s="1" t="str">
        <f>Paths!$A$385</f>
        <v>T095</v>
      </c>
      <c r="B4174" s="1">
        <f>Paths!$B$385</f>
        <v>2</v>
      </c>
      <c r="C4174" s="1">
        <v>9</v>
      </c>
      <c r="D4174" s="1">
        <v>385</v>
      </c>
      <c r="E4174" s="1">
        <f>IF(OR(Paths!$C$385=0,C4174=0),0,MAX(0,MIN(C4174*12,Paths!$E$385)-(C4174-1)*12))</f>
        <v>0</v>
      </c>
      <c r="F4174" s="1">
        <f>IF(OR(Paths!$C$385=0,C4174=0),0,12-E4174)</f>
        <v>0</v>
      </c>
      <c r="G4174" s="16">
        <f>IF(NOT(Paths!$C$385=1),0,IF(Paths!$P$385="Complete",E4174/12*(Paths!$J$385*(1+'Operating costs'!$B$51)^MAX(0,C4174-1)+Paths!$K$385*(1+'Operating costs'!$B$53)^MAX(0,C4174-1)),"n.a."))</f>
        <v>0</v>
      </c>
      <c r="H4174" s="16">
        <f>IF(NOT(Paths!$C$385=1),0,IF(Paths!$P$385="Complete",F4174/12*(Paths!$L$385*(1+IF(Paths!$D$385="EV",'Operating costs'!$B$52,'Operating costs'!$B$51))^MAX(0,C4174-1)+Paths!$M$385*(1+'Operating costs'!$B$53)^MAX(0,C4174-1)),"n.a."))</f>
        <v>0</v>
      </c>
      <c r="I4174" s="16">
        <f>IF(NOT(Paths!$C$385=1),0,IF(Paths!$P$385="Complete",IF(IF(Paths!$E$385=0,C4174=0,AND(C4174&gt;0,Paths!$E$385&gt;(C4174-1)*12,Paths!$E$385&lt;=C4174*12)),Paths!$G$385,0),"n.a."))</f>
        <v>0</v>
      </c>
      <c r="J4174" s="16">
        <f>IF(NOT(Paths!$C$385=1),0,IF(Paths!$P$385="Complete",IF(IF(Paths!$E$385=0,C4174=0,AND(C4174&gt;0,Paths!$E$385&gt;(C4174-1)*12,Paths!$E$385&lt;=C4174*12)),Paths!$H$385,0),"n.a."))</f>
        <v>0</v>
      </c>
      <c r="K4174" s="16">
        <f>IF(NOT(Paths!$C$385=1),0,IF(Paths!$P$385="Complete",IF(IF(Paths!$O$385=0,C4174=0,AND(C4174&gt;0,Paths!$O$385&gt;(C4174-1)*12,Paths!$O$385&lt;=C4174*12)),Paths!$N$385,0),"n.a."))</f>
        <v>0</v>
      </c>
      <c r="L4174" s="16">
        <f>IF(NOT(Paths!$C$385=1),0,IF(Paths!$P$385="Complete",IF(C4174=10,Paths!$I$385,0),"n.a."))</f>
        <v>0</v>
      </c>
      <c r="M4174" s="16">
        <f>IF(NOT(Paths!$C$385=1),0,IF(Paths!$P$385="Complete",IF(AND(Paths!$D$385="EV",Paths!$E$385&lt;120,Paths!$E$385+'Operating costs'!$B$65&gt;Paths!$E$385,Paths!$E$385+'Operating costs'!$B$65&lt;=120,IF(Paths!$E$385+'Operating costs'!$B$65=0,C4174=0,AND(C4174&gt;0,Paths!$E$385+'Operating costs'!$B$65&gt;(C4174-1)*12,Paths!$E$385+'Operating costs'!$B$65&lt;=C4174*12))),'Operating costs'!$B$64,0)+IF(AND('Operating costs'!$B$67&gt;0,'Operating costs'!$B$67&lt;=120,OR(Paths!$D$385="ICE",'Operating costs'!$B$67&lt;=Paths!$E$385),IF('Operating costs'!$B$67=0,C4174=0,AND(C4174&gt;0,'Operating costs'!$B$67&gt;(C4174-1)*12,'Operating costs'!$B$67&lt;=C4174*12))),'Operating costs'!$B$66,0),"n.a."))</f>
        <v>0</v>
      </c>
      <c r="N4174" s="16">
        <f>IF(NOT(Paths!$C$385=1),0,IF(Paths!$P$385="Complete",SUM(G4174:I4174)-J4174-K4174-L4174+M4174+IF(C4174=0,Paths!$F$385,0)+IF(IF(Paths!$E$385=0,C4174=0,AND(C4174&gt;0,Paths!$E$385&gt;(C4174-1)*12,Paths!$E$385&lt;=C4174*12)),VLOOKUP(A4174,'Fleet register'!$A$7:$S$106,16,FALSE),0),"n.a."))</f>
        <v>0</v>
      </c>
      <c r="O4174" s="16">
        <f>IF(NOT(Paths!$C$385=1),0,IF(Paths!$P$385="Complete",N4174-IF(C4174=0,Paths!$F$385,0),"n.a."))</f>
        <v>0</v>
      </c>
      <c r="P4174" s="16">
        <f>IF(NOT(Paths!$C$385=1),0,IF(Paths!$P$385="Complete",O4174+L4174,"n.a."))</f>
        <v>0</v>
      </c>
      <c r="Q4174" s="16">
        <f>IF(NOT(Paths!$C$385=1),0,IF(Paths!$P$385="Complete",N4174*(1+'Operating costs'!$B$54)^-C4174,"n.a."))</f>
        <v>0</v>
      </c>
      <c r="R4174" s="16">
        <f>IF(NOT(Paths!$C$385=1),0,IF(Paths!$P$385="Complete",IF(AND(C4174=0,Paths!$E$385=0),I4174-J4174-K4174+VLOOKUP(A4174,'Fleet register'!$A$7:$S$106,15,FALSE)+VLOOKUP(A4174,'Fleet register'!$A$7:$S$106,16,FALSE),0),"n.a."))</f>
        <v>0</v>
      </c>
      <c r="S4174" s="1">
        <f>IF(NOT(Paths!$C$385=1),0,IF(Paths!$P$385="Complete",IF(C4174=0,0,Paths!$S$385*Paths!$R$385),"n.a."))</f>
        <v>0</v>
      </c>
      <c r="T4174" s="1">
        <f>IF(NOT(Paths!$C$385=1),0,IF(Paths!$P$385="Complete",IF(C4174=0,0,VLOOKUP(A4174,'Fleet register'!$A$7:$S$106,9,FALSE)*Paths!$R$385),"n.a."))</f>
        <v>0</v>
      </c>
    </row>
    <row r="4175" spans="1:20" ht="24" customHeight="1">
      <c r="A4175" s="1" t="str">
        <f>Paths!$A$385</f>
        <v>T095</v>
      </c>
      <c r="B4175" s="1">
        <f>Paths!$B$385</f>
        <v>2</v>
      </c>
      <c r="C4175" s="1">
        <v>10</v>
      </c>
      <c r="D4175" s="1">
        <v>385</v>
      </c>
      <c r="E4175" s="1">
        <f>IF(OR(Paths!$C$385=0,C4175=0),0,MAX(0,MIN(C4175*12,Paths!$E$385)-(C4175-1)*12))</f>
        <v>0</v>
      </c>
      <c r="F4175" s="1">
        <f>IF(OR(Paths!$C$385=0,C4175=0),0,12-E4175)</f>
        <v>0</v>
      </c>
      <c r="G4175" s="16">
        <f>IF(NOT(Paths!$C$385=1),0,IF(Paths!$P$385="Complete",E4175/12*(Paths!$J$385*(1+'Operating costs'!$B$51)^MAX(0,C4175-1)+Paths!$K$385*(1+'Operating costs'!$B$53)^MAX(0,C4175-1)),"n.a."))</f>
        <v>0</v>
      </c>
      <c r="H4175" s="16">
        <f>IF(NOT(Paths!$C$385=1),0,IF(Paths!$P$385="Complete",F4175/12*(Paths!$L$385*(1+IF(Paths!$D$385="EV",'Operating costs'!$B$52,'Operating costs'!$B$51))^MAX(0,C4175-1)+Paths!$M$385*(1+'Operating costs'!$B$53)^MAX(0,C4175-1)),"n.a."))</f>
        <v>0</v>
      </c>
      <c r="I4175" s="16">
        <f>IF(NOT(Paths!$C$385=1),0,IF(Paths!$P$385="Complete",IF(IF(Paths!$E$385=0,C4175=0,AND(C4175&gt;0,Paths!$E$385&gt;(C4175-1)*12,Paths!$E$385&lt;=C4175*12)),Paths!$G$385,0),"n.a."))</f>
        <v>0</v>
      </c>
      <c r="J4175" s="16">
        <f>IF(NOT(Paths!$C$385=1),0,IF(Paths!$P$385="Complete",IF(IF(Paths!$E$385=0,C4175=0,AND(C4175&gt;0,Paths!$E$385&gt;(C4175-1)*12,Paths!$E$385&lt;=C4175*12)),Paths!$H$385,0),"n.a."))</f>
        <v>0</v>
      </c>
      <c r="K4175" s="16">
        <f>IF(NOT(Paths!$C$385=1),0,IF(Paths!$P$385="Complete",IF(IF(Paths!$O$385=0,C4175=0,AND(C4175&gt;0,Paths!$O$385&gt;(C4175-1)*12,Paths!$O$385&lt;=C4175*12)),Paths!$N$385,0),"n.a."))</f>
        <v>0</v>
      </c>
      <c r="L4175" s="16">
        <f>IF(NOT(Paths!$C$385=1),0,IF(Paths!$P$385="Complete",IF(C4175=10,Paths!$I$385,0),"n.a."))</f>
        <v>0</v>
      </c>
      <c r="M4175" s="16">
        <f>IF(NOT(Paths!$C$385=1),0,IF(Paths!$P$385="Complete",IF(AND(Paths!$D$385="EV",Paths!$E$385&lt;120,Paths!$E$385+'Operating costs'!$B$65&gt;Paths!$E$385,Paths!$E$385+'Operating costs'!$B$65&lt;=120,IF(Paths!$E$385+'Operating costs'!$B$65=0,C4175=0,AND(C4175&gt;0,Paths!$E$385+'Operating costs'!$B$65&gt;(C4175-1)*12,Paths!$E$385+'Operating costs'!$B$65&lt;=C4175*12))),'Operating costs'!$B$64,0)+IF(AND('Operating costs'!$B$67&gt;0,'Operating costs'!$B$67&lt;=120,OR(Paths!$D$385="ICE",'Operating costs'!$B$67&lt;=Paths!$E$385),IF('Operating costs'!$B$67=0,C4175=0,AND(C4175&gt;0,'Operating costs'!$B$67&gt;(C4175-1)*12,'Operating costs'!$B$67&lt;=C4175*12))),'Operating costs'!$B$66,0),"n.a."))</f>
        <v>0</v>
      </c>
      <c r="N4175" s="16">
        <f>IF(NOT(Paths!$C$385=1),0,IF(Paths!$P$385="Complete",SUM(G4175:I4175)-J4175-K4175-L4175+M4175+IF(C4175=0,Paths!$F$385,0)+IF(IF(Paths!$E$385=0,C4175=0,AND(C4175&gt;0,Paths!$E$385&gt;(C4175-1)*12,Paths!$E$385&lt;=C4175*12)),VLOOKUP(A4175,'Fleet register'!$A$7:$S$106,16,FALSE),0),"n.a."))</f>
        <v>0</v>
      </c>
      <c r="O4175" s="16">
        <f>IF(NOT(Paths!$C$385=1),0,IF(Paths!$P$385="Complete",N4175-IF(C4175=0,Paths!$F$385,0),"n.a."))</f>
        <v>0</v>
      </c>
      <c r="P4175" s="16">
        <f>IF(NOT(Paths!$C$385=1),0,IF(Paths!$P$385="Complete",O4175+L4175,"n.a."))</f>
        <v>0</v>
      </c>
      <c r="Q4175" s="16">
        <f>IF(NOT(Paths!$C$385=1),0,IF(Paths!$P$385="Complete",N4175*(1+'Operating costs'!$B$54)^-C4175,"n.a."))</f>
        <v>0</v>
      </c>
      <c r="R4175" s="16">
        <f>IF(NOT(Paths!$C$385=1),0,IF(Paths!$P$385="Complete",IF(AND(C4175=0,Paths!$E$385=0),I4175-J4175-K4175+VLOOKUP(A4175,'Fleet register'!$A$7:$S$106,15,FALSE)+VLOOKUP(A4175,'Fleet register'!$A$7:$S$106,16,FALSE),0),"n.a."))</f>
        <v>0</v>
      </c>
      <c r="S4175" s="1">
        <f>IF(NOT(Paths!$C$385=1),0,IF(Paths!$P$385="Complete",IF(C4175=0,0,Paths!$S$385*Paths!$R$385),"n.a."))</f>
        <v>0</v>
      </c>
      <c r="T4175" s="1">
        <f>IF(NOT(Paths!$C$385=1),0,IF(Paths!$P$385="Complete",IF(C4175=0,0,VLOOKUP(A4175,'Fleet register'!$A$7:$S$106,9,FALSE)*Paths!$R$385),"n.a."))</f>
        <v>0</v>
      </c>
    </row>
    <row r="4176" spans="1:20" ht="24" customHeight="1">
      <c r="A4176" s="1" t="str">
        <f>Paths!$A$386</f>
        <v>T095</v>
      </c>
      <c r="B4176" s="1">
        <f>Paths!$B$386</f>
        <v>3</v>
      </c>
      <c r="C4176" s="1">
        <v>0</v>
      </c>
      <c r="D4176" s="1">
        <v>386</v>
      </c>
      <c r="E4176" s="1">
        <f>IF(OR(Paths!$C$386=0,C4176=0),0,MAX(0,MIN(C4176*12,Paths!$E$386)-(C4176-1)*12))</f>
        <v>0</v>
      </c>
      <c r="F4176" s="1">
        <f>IF(OR(Paths!$C$386=0,C4176=0),0,12-E4176)</f>
        <v>0</v>
      </c>
      <c r="G4176" s="16">
        <f>IF(NOT(Paths!$C$386=1),0,IF(Paths!$P$386="Complete",E4176/12*(Paths!$J$386*(1+'Operating costs'!$B$51)^MAX(0,C4176-1)+Paths!$K$386*(1+'Operating costs'!$B$53)^MAX(0,C4176-1)),"n.a."))</f>
        <v>0</v>
      </c>
      <c r="H4176" s="16">
        <f>IF(NOT(Paths!$C$386=1),0,IF(Paths!$P$386="Complete",F4176/12*(Paths!$L$386*(1+IF(Paths!$D$386="EV",'Operating costs'!$B$52,'Operating costs'!$B$51))^MAX(0,C4176-1)+Paths!$M$386*(1+'Operating costs'!$B$53)^MAX(0,C4176-1)),"n.a."))</f>
        <v>0</v>
      </c>
      <c r="I4176" s="16">
        <f>IF(NOT(Paths!$C$386=1),0,IF(Paths!$P$386="Complete",IF(IF(Paths!$E$386=0,C4176=0,AND(C4176&gt;0,Paths!$E$386&gt;(C4176-1)*12,Paths!$E$386&lt;=C4176*12)),Paths!$G$386,0),"n.a."))</f>
        <v>0</v>
      </c>
      <c r="J4176" s="16">
        <f>IF(NOT(Paths!$C$386=1),0,IF(Paths!$P$386="Complete",IF(IF(Paths!$E$386=0,C4176=0,AND(C4176&gt;0,Paths!$E$386&gt;(C4176-1)*12,Paths!$E$386&lt;=C4176*12)),Paths!$H$386,0),"n.a."))</f>
        <v>0</v>
      </c>
      <c r="K4176" s="16">
        <f>IF(NOT(Paths!$C$386=1),0,IF(Paths!$P$386="Complete",IF(IF(Paths!$O$386=0,C4176=0,AND(C4176&gt;0,Paths!$O$386&gt;(C4176-1)*12,Paths!$O$386&lt;=C4176*12)),Paths!$N$386,0),"n.a."))</f>
        <v>0</v>
      </c>
      <c r="L4176" s="16">
        <f>IF(NOT(Paths!$C$386=1),0,IF(Paths!$P$386="Complete",IF(C4176=10,Paths!$I$386,0),"n.a."))</f>
        <v>0</v>
      </c>
      <c r="M4176" s="16">
        <f>IF(NOT(Paths!$C$386=1),0,IF(Paths!$P$386="Complete",IF(AND(Paths!$D$386="EV",Paths!$E$386&lt;120,Paths!$E$386+'Operating costs'!$B$65&gt;Paths!$E$386,Paths!$E$386+'Operating costs'!$B$65&lt;=120,IF(Paths!$E$386+'Operating costs'!$B$65=0,C4176=0,AND(C4176&gt;0,Paths!$E$386+'Operating costs'!$B$65&gt;(C4176-1)*12,Paths!$E$386+'Operating costs'!$B$65&lt;=C4176*12))),'Operating costs'!$B$64,0)+IF(AND('Operating costs'!$B$67&gt;0,'Operating costs'!$B$67&lt;=120,OR(Paths!$D$386="ICE",'Operating costs'!$B$67&lt;=Paths!$E$386),IF('Operating costs'!$B$67=0,C4176=0,AND(C4176&gt;0,'Operating costs'!$B$67&gt;(C4176-1)*12,'Operating costs'!$B$67&lt;=C4176*12))),'Operating costs'!$B$66,0),"n.a."))</f>
        <v>0</v>
      </c>
      <c r="N4176" s="16">
        <f>IF(NOT(Paths!$C$386=1),0,IF(Paths!$P$386="Complete",SUM(G4176:I4176)-J4176-K4176-L4176+M4176+IF(C4176=0,Paths!$F$386,0)+IF(IF(Paths!$E$386=0,C4176=0,AND(C4176&gt;0,Paths!$E$386&gt;(C4176-1)*12,Paths!$E$386&lt;=C4176*12)),VLOOKUP(A4176,'Fleet register'!$A$7:$S$106,16,FALSE),0),"n.a."))</f>
        <v>0</v>
      </c>
      <c r="O4176" s="16">
        <f>IF(NOT(Paths!$C$386=1),0,IF(Paths!$P$386="Complete",N4176-IF(C4176=0,Paths!$F$386,0),"n.a."))</f>
        <v>0</v>
      </c>
      <c r="P4176" s="16">
        <f>IF(NOT(Paths!$C$386=1),0,IF(Paths!$P$386="Complete",O4176+L4176,"n.a."))</f>
        <v>0</v>
      </c>
      <c r="Q4176" s="16">
        <f>IF(NOT(Paths!$C$386=1),0,IF(Paths!$P$386="Complete",N4176*(1+'Operating costs'!$B$54)^-C4176,"n.a."))</f>
        <v>0</v>
      </c>
      <c r="R4176" s="16">
        <f>IF(NOT(Paths!$C$386=1),0,IF(Paths!$P$386="Complete",IF(AND(C4176=0,Paths!$E$386=0),I4176-J4176-K4176+VLOOKUP(A4176,'Fleet register'!$A$7:$S$106,15,FALSE)+VLOOKUP(A4176,'Fleet register'!$A$7:$S$106,16,FALSE),0),"n.a."))</f>
        <v>0</v>
      </c>
      <c r="S4176" s="1">
        <f>IF(NOT(Paths!$C$386=1),0,IF(Paths!$P$386="Complete",IF(C4176=0,0,Paths!$S$386*Paths!$R$386),"n.a."))</f>
        <v>0</v>
      </c>
      <c r="T4176" s="1">
        <f>IF(NOT(Paths!$C$386=1),0,IF(Paths!$P$386="Complete",IF(C4176=0,0,VLOOKUP(A4176,'Fleet register'!$A$7:$S$106,9,FALSE)*Paths!$R$386),"n.a."))</f>
        <v>0</v>
      </c>
    </row>
    <row r="4177" spans="1:20" ht="24" customHeight="1">
      <c r="A4177" s="1" t="str">
        <f>Paths!$A$386</f>
        <v>T095</v>
      </c>
      <c r="B4177" s="1">
        <f>Paths!$B$386</f>
        <v>3</v>
      </c>
      <c r="C4177" s="1">
        <v>1</v>
      </c>
      <c r="D4177" s="1">
        <v>386</v>
      </c>
      <c r="E4177" s="1">
        <f>IF(OR(Paths!$C$386=0,C4177=0),0,MAX(0,MIN(C4177*12,Paths!$E$386)-(C4177-1)*12))</f>
        <v>0</v>
      </c>
      <c r="F4177" s="1">
        <f>IF(OR(Paths!$C$386=0,C4177=0),0,12-E4177)</f>
        <v>0</v>
      </c>
      <c r="G4177" s="16">
        <f>IF(NOT(Paths!$C$386=1),0,IF(Paths!$P$386="Complete",E4177/12*(Paths!$J$386*(1+'Operating costs'!$B$51)^MAX(0,C4177-1)+Paths!$K$386*(1+'Operating costs'!$B$53)^MAX(0,C4177-1)),"n.a."))</f>
        <v>0</v>
      </c>
      <c r="H4177" s="16">
        <f>IF(NOT(Paths!$C$386=1),0,IF(Paths!$P$386="Complete",F4177/12*(Paths!$L$386*(1+IF(Paths!$D$386="EV",'Operating costs'!$B$52,'Operating costs'!$B$51))^MAX(0,C4177-1)+Paths!$M$386*(1+'Operating costs'!$B$53)^MAX(0,C4177-1)),"n.a."))</f>
        <v>0</v>
      </c>
      <c r="I4177" s="16">
        <f>IF(NOT(Paths!$C$386=1),0,IF(Paths!$P$386="Complete",IF(IF(Paths!$E$386=0,C4177=0,AND(C4177&gt;0,Paths!$E$386&gt;(C4177-1)*12,Paths!$E$386&lt;=C4177*12)),Paths!$G$386,0),"n.a."))</f>
        <v>0</v>
      </c>
      <c r="J4177" s="16">
        <f>IF(NOT(Paths!$C$386=1),0,IF(Paths!$P$386="Complete",IF(IF(Paths!$E$386=0,C4177=0,AND(C4177&gt;0,Paths!$E$386&gt;(C4177-1)*12,Paths!$E$386&lt;=C4177*12)),Paths!$H$386,0),"n.a."))</f>
        <v>0</v>
      </c>
      <c r="K4177" s="16">
        <f>IF(NOT(Paths!$C$386=1),0,IF(Paths!$P$386="Complete",IF(IF(Paths!$O$386=0,C4177=0,AND(C4177&gt;0,Paths!$O$386&gt;(C4177-1)*12,Paths!$O$386&lt;=C4177*12)),Paths!$N$386,0),"n.a."))</f>
        <v>0</v>
      </c>
      <c r="L4177" s="16">
        <f>IF(NOT(Paths!$C$386=1),0,IF(Paths!$P$386="Complete",IF(C4177=10,Paths!$I$386,0),"n.a."))</f>
        <v>0</v>
      </c>
      <c r="M4177" s="16">
        <f>IF(NOT(Paths!$C$386=1),0,IF(Paths!$P$386="Complete",IF(AND(Paths!$D$386="EV",Paths!$E$386&lt;120,Paths!$E$386+'Operating costs'!$B$65&gt;Paths!$E$386,Paths!$E$386+'Operating costs'!$B$65&lt;=120,IF(Paths!$E$386+'Operating costs'!$B$65=0,C4177=0,AND(C4177&gt;0,Paths!$E$386+'Operating costs'!$B$65&gt;(C4177-1)*12,Paths!$E$386+'Operating costs'!$B$65&lt;=C4177*12))),'Operating costs'!$B$64,0)+IF(AND('Operating costs'!$B$67&gt;0,'Operating costs'!$B$67&lt;=120,OR(Paths!$D$386="ICE",'Operating costs'!$B$67&lt;=Paths!$E$386),IF('Operating costs'!$B$67=0,C4177=0,AND(C4177&gt;0,'Operating costs'!$B$67&gt;(C4177-1)*12,'Operating costs'!$B$67&lt;=C4177*12))),'Operating costs'!$B$66,0),"n.a."))</f>
        <v>0</v>
      </c>
      <c r="N4177" s="16">
        <f>IF(NOT(Paths!$C$386=1),0,IF(Paths!$P$386="Complete",SUM(G4177:I4177)-J4177-K4177-L4177+M4177+IF(C4177=0,Paths!$F$386,0)+IF(IF(Paths!$E$386=0,C4177=0,AND(C4177&gt;0,Paths!$E$386&gt;(C4177-1)*12,Paths!$E$386&lt;=C4177*12)),VLOOKUP(A4177,'Fleet register'!$A$7:$S$106,16,FALSE),0),"n.a."))</f>
        <v>0</v>
      </c>
      <c r="O4177" s="16">
        <f>IF(NOT(Paths!$C$386=1),0,IF(Paths!$P$386="Complete",N4177-IF(C4177=0,Paths!$F$386,0),"n.a."))</f>
        <v>0</v>
      </c>
      <c r="P4177" s="16">
        <f>IF(NOT(Paths!$C$386=1),0,IF(Paths!$P$386="Complete",O4177+L4177,"n.a."))</f>
        <v>0</v>
      </c>
      <c r="Q4177" s="16">
        <f>IF(NOT(Paths!$C$386=1),0,IF(Paths!$P$386="Complete",N4177*(1+'Operating costs'!$B$54)^-C4177,"n.a."))</f>
        <v>0</v>
      </c>
      <c r="R4177" s="16">
        <f>IF(NOT(Paths!$C$386=1),0,IF(Paths!$P$386="Complete",IF(AND(C4177=0,Paths!$E$386=0),I4177-J4177-K4177+VLOOKUP(A4177,'Fleet register'!$A$7:$S$106,15,FALSE)+VLOOKUP(A4177,'Fleet register'!$A$7:$S$106,16,FALSE),0),"n.a."))</f>
        <v>0</v>
      </c>
      <c r="S4177" s="1">
        <f>IF(NOT(Paths!$C$386=1),0,IF(Paths!$P$386="Complete",IF(C4177=0,0,Paths!$S$386*Paths!$R$386),"n.a."))</f>
        <v>0</v>
      </c>
      <c r="T4177" s="1">
        <f>IF(NOT(Paths!$C$386=1),0,IF(Paths!$P$386="Complete",IF(C4177=0,0,VLOOKUP(A4177,'Fleet register'!$A$7:$S$106,9,FALSE)*Paths!$R$386),"n.a."))</f>
        <v>0</v>
      </c>
    </row>
    <row r="4178" spans="1:20" ht="24" customHeight="1">
      <c r="A4178" s="1" t="str">
        <f>Paths!$A$386</f>
        <v>T095</v>
      </c>
      <c r="B4178" s="1">
        <f>Paths!$B$386</f>
        <v>3</v>
      </c>
      <c r="C4178" s="1">
        <v>2</v>
      </c>
      <c r="D4178" s="1">
        <v>386</v>
      </c>
      <c r="E4178" s="1">
        <f>IF(OR(Paths!$C$386=0,C4178=0),0,MAX(0,MIN(C4178*12,Paths!$E$386)-(C4178-1)*12))</f>
        <v>0</v>
      </c>
      <c r="F4178" s="1">
        <f>IF(OR(Paths!$C$386=0,C4178=0),0,12-E4178)</f>
        <v>0</v>
      </c>
      <c r="G4178" s="16">
        <f>IF(NOT(Paths!$C$386=1),0,IF(Paths!$P$386="Complete",E4178/12*(Paths!$J$386*(1+'Operating costs'!$B$51)^MAX(0,C4178-1)+Paths!$K$386*(1+'Operating costs'!$B$53)^MAX(0,C4178-1)),"n.a."))</f>
        <v>0</v>
      </c>
      <c r="H4178" s="16">
        <f>IF(NOT(Paths!$C$386=1),0,IF(Paths!$P$386="Complete",F4178/12*(Paths!$L$386*(1+IF(Paths!$D$386="EV",'Operating costs'!$B$52,'Operating costs'!$B$51))^MAX(0,C4178-1)+Paths!$M$386*(1+'Operating costs'!$B$53)^MAX(0,C4178-1)),"n.a."))</f>
        <v>0</v>
      </c>
      <c r="I4178" s="16">
        <f>IF(NOT(Paths!$C$386=1),0,IF(Paths!$P$386="Complete",IF(IF(Paths!$E$386=0,C4178=0,AND(C4178&gt;0,Paths!$E$386&gt;(C4178-1)*12,Paths!$E$386&lt;=C4178*12)),Paths!$G$386,0),"n.a."))</f>
        <v>0</v>
      </c>
      <c r="J4178" s="16">
        <f>IF(NOT(Paths!$C$386=1),0,IF(Paths!$P$386="Complete",IF(IF(Paths!$E$386=0,C4178=0,AND(C4178&gt;0,Paths!$E$386&gt;(C4178-1)*12,Paths!$E$386&lt;=C4178*12)),Paths!$H$386,0),"n.a."))</f>
        <v>0</v>
      </c>
      <c r="K4178" s="16">
        <f>IF(NOT(Paths!$C$386=1),0,IF(Paths!$P$386="Complete",IF(IF(Paths!$O$386=0,C4178=0,AND(C4178&gt;0,Paths!$O$386&gt;(C4178-1)*12,Paths!$O$386&lt;=C4178*12)),Paths!$N$386,0),"n.a."))</f>
        <v>0</v>
      </c>
      <c r="L4178" s="16">
        <f>IF(NOT(Paths!$C$386=1),0,IF(Paths!$P$386="Complete",IF(C4178=10,Paths!$I$386,0),"n.a."))</f>
        <v>0</v>
      </c>
      <c r="M4178" s="16">
        <f>IF(NOT(Paths!$C$386=1),0,IF(Paths!$P$386="Complete",IF(AND(Paths!$D$386="EV",Paths!$E$386&lt;120,Paths!$E$386+'Operating costs'!$B$65&gt;Paths!$E$386,Paths!$E$386+'Operating costs'!$B$65&lt;=120,IF(Paths!$E$386+'Operating costs'!$B$65=0,C4178=0,AND(C4178&gt;0,Paths!$E$386+'Operating costs'!$B$65&gt;(C4178-1)*12,Paths!$E$386+'Operating costs'!$B$65&lt;=C4178*12))),'Operating costs'!$B$64,0)+IF(AND('Operating costs'!$B$67&gt;0,'Operating costs'!$B$67&lt;=120,OR(Paths!$D$386="ICE",'Operating costs'!$B$67&lt;=Paths!$E$386),IF('Operating costs'!$B$67=0,C4178=0,AND(C4178&gt;0,'Operating costs'!$B$67&gt;(C4178-1)*12,'Operating costs'!$B$67&lt;=C4178*12))),'Operating costs'!$B$66,0),"n.a."))</f>
        <v>0</v>
      </c>
      <c r="N4178" s="16">
        <f>IF(NOT(Paths!$C$386=1),0,IF(Paths!$P$386="Complete",SUM(G4178:I4178)-J4178-K4178-L4178+M4178+IF(C4178=0,Paths!$F$386,0)+IF(IF(Paths!$E$386=0,C4178=0,AND(C4178&gt;0,Paths!$E$386&gt;(C4178-1)*12,Paths!$E$386&lt;=C4178*12)),VLOOKUP(A4178,'Fleet register'!$A$7:$S$106,16,FALSE),0),"n.a."))</f>
        <v>0</v>
      </c>
      <c r="O4178" s="16">
        <f>IF(NOT(Paths!$C$386=1),0,IF(Paths!$P$386="Complete",N4178-IF(C4178=0,Paths!$F$386,0),"n.a."))</f>
        <v>0</v>
      </c>
      <c r="P4178" s="16">
        <f>IF(NOT(Paths!$C$386=1),0,IF(Paths!$P$386="Complete",O4178+L4178,"n.a."))</f>
        <v>0</v>
      </c>
      <c r="Q4178" s="16">
        <f>IF(NOT(Paths!$C$386=1),0,IF(Paths!$P$386="Complete",N4178*(1+'Operating costs'!$B$54)^-C4178,"n.a."))</f>
        <v>0</v>
      </c>
      <c r="R4178" s="16">
        <f>IF(NOT(Paths!$C$386=1),0,IF(Paths!$P$386="Complete",IF(AND(C4178=0,Paths!$E$386=0),I4178-J4178-K4178+VLOOKUP(A4178,'Fleet register'!$A$7:$S$106,15,FALSE)+VLOOKUP(A4178,'Fleet register'!$A$7:$S$106,16,FALSE),0),"n.a."))</f>
        <v>0</v>
      </c>
      <c r="S4178" s="1">
        <f>IF(NOT(Paths!$C$386=1),0,IF(Paths!$P$386="Complete",IF(C4178=0,0,Paths!$S$386*Paths!$R$386),"n.a."))</f>
        <v>0</v>
      </c>
      <c r="T4178" s="1">
        <f>IF(NOT(Paths!$C$386=1),0,IF(Paths!$P$386="Complete",IF(C4178=0,0,VLOOKUP(A4178,'Fleet register'!$A$7:$S$106,9,FALSE)*Paths!$R$386),"n.a."))</f>
        <v>0</v>
      </c>
    </row>
    <row r="4179" spans="1:20" ht="24" customHeight="1">
      <c r="A4179" s="1" t="str">
        <f>Paths!$A$386</f>
        <v>T095</v>
      </c>
      <c r="B4179" s="1">
        <f>Paths!$B$386</f>
        <v>3</v>
      </c>
      <c r="C4179" s="1">
        <v>3</v>
      </c>
      <c r="D4179" s="1">
        <v>386</v>
      </c>
      <c r="E4179" s="1">
        <f>IF(OR(Paths!$C$386=0,C4179=0),0,MAX(0,MIN(C4179*12,Paths!$E$386)-(C4179-1)*12))</f>
        <v>0</v>
      </c>
      <c r="F4179" s="1">
        <f>IF(OR(Paths!$C$386=0,C4179=0),0,12-E4179)</f>
        <v>0</v>
      </c>
      <c r="G4179" s="16">
        <f>IF(NOT(Paths!$C$386=1),0,IF(Paths!$P$386="Complete",E4179/12*(Paths!$J$386*(1+'Operating costs'!$B$51)^MAX(0,C4179-1)+Paths!$K$386*(1+'Operating costs'!$B$53)^MAX(0,C4179-1)),"n.a."))</f>
        <v>0</v>
      </c>
      <c r="H4179" s="16">
        <f>IF(NOT(Paths!$C$386=1),0,IF(Paths!$P$386="Complete",F4179/12*(Paths!$L$386*(1+IF(Paths!$D$386="EV",'Operating costs'!$B$52,'Operating costs'!$B$51))^MAX(0,C4179-1)+Paths!$M$386*(1+'Operating costs'!$B$53)^MAX(0,C4179-1)),"n.a."))</f>
        <v>0</v>
      </c>
      <c r="I4179" s="16">
        <f>IF(NOT(Paths!$C$386=1),0,IF(Paths!$P$386="Complete",IF(IF(Paths!$E$386=0,C4179=0,AND(C4179&gt;0,Paths!$E$386&gt;(C4179-1)*12,Paths!$E$386&lt;=C4179*12)),Paths!$G$386,0),"n.a."))</f>
        <v>0</v>
      </c>
      <c r="J4179" s="16">
        <f>IF(NOT(Paths!$C$386=1),0,IF(Paths!$P$386="Complete",IF(IF(Paths!$E$386=0,C4179=0,AND(C4179&gt;0,Paths!$E$386&gt;(C4179-1)*12,Paths!$E$386&lt;=C4179*12)),Paths!$H$386,0),"n.a."))</f>
        <v>0</v>
      </c>
      <c r="K4179" s="16">
        <f>IF(NOT(Paths!$C$386=1),0,IF(Paths!$P$386="Complete",IF(IF(Paths!$O$386=0,C4179=0,AND(C4179&gt;0,Paths!$O$386&gt;(C4179-1)*12,Paths!$O$386&lt;=C4179*12)),Paths!$N$386,0),"n.a."))</f>
        <v>0</v>
      </c>
      <c r="L4179" s="16">
        <f>IF(NOT(Paths!$C$386=1),0,IF(Paths!$P$386="Complete",IF(C4179=10,Paths!$I$386,0),"n.a."))</f>
        <v>0</v>
      </c>
      <c r="M4179" s="16">
        <f>IF(NOT(Paths!$C$386=1),0,IF(Paths!$P$386="Complete",IF(AND(Paths!$D$386="EV",Paths!$E$386&lt;120,Paths!$E$386+'Operating costs'!$B$65&gt;Paths!$E$386,Paths!$E$386+'Operating costs'!$B$65&lt;=120,IF(Paths!$E$386+'Operating costs'!$B$65=0,C4179=0,AND(C4179&gt;0,Paths!$E$386+'Operating costs'!$B$65&gt;(C4179-1)*12,Paths!$E$386+'Operating costs'!$B$65&lt;=C4179*12))),'Operating costs'!$B$64,0)+IF(AND('Operating costs'!$B$67&gt;0,'Operating costs'!$B$67&lt;=120,OR(Paths!$D$386="ICE",'Operating costs'!$B$67&lt;=Paths!$E$386),IF('Operating costs'!$B$67=0,C4179=0,AND(C4179&gt;0,'Operating costs'!$B$67&gt;(C4179-1)*12,'Operating costs'!$B$67&lt;=C4179*12))),'Operating costs'!$B$66,0),"n.a."))</f>
        <v>0</v>
      </c>
      <c r="N4179" s="16">
        <f>IF(NOT(Paths!$C$386=1),0,IF(Paths!$P$386="Complete",SUM(G4179:I4179)-J4179-K4179-L4179+M4179+IF(C4179=0,Paths!$F$386,0)+IF(IF(Paths!$E$386=0,C4179=0,AND(C4179&gt;0,Paths!$E$386&gt;(C4179-1)*12,Paths!$E$386&lt;=C4179*12)),VLOOKUP(A4179,'Fleet register'!$A$7:$S$106,16,FALSE),0),"n.a."))</f>
        <v>0</v>
      </c>
      <c r="O4179" s="16">
        <f>IF(NOT(Paths!$C$386=1),0,IF(Paths!$P$386="Complete",N4179-IF(C4179=0,Paths!$F$386,0),"n.a."))</f>
        <v>0</v>
      </c>
      <c r="P4179" s="16">
        <f>IF(NOT(Paths!$C$386=1),0,IF(Paths!$P$386="Complete",O4179+L4179,"n.a."))</f>
        <v>0</v>
      </c>
      <c r="Q4179" s="16">
        <f>IF(NOT(Paths!$C$386=1),0,IF(Paths!$P$386="Complete",N4179*(1+'Operating costs'!$B$54)^-C4179,"n.a."))</f>
        <v>0</v>
      </c>
      <c r="R4179" s="16">
        <f>IF(NOT(Paths!$C$386=1),0,IF(Paths!$P$386="Complete",IF(AND(C4179=0,Paths!$E$386=0),I4179-J4179-K4179+VLOOKUP(A4179,'Fleet register'!$A$7:$S$106,15,FALSE)+VLOOKUP(A4179,'Fleet register'!$A$7:$S$106,16,FALSE),0),"n.a."))</f>
        <v>0</v>
      </c>
      <c r="S4179" s="1">
        <f>IF(NOT(Paths!$C$386=1),0,IF(Paths!$P$386="Complete",IF(C4179=0,0,Paths!$S$386*Paths!$R$386),"n.a."))</f>
        <v>0</v>
      </c>
      <c r="T4179" s="1">
        <f>IF(NOT(Paths!$C$386=1),0,IF(Paths!$P$386="Complete",IF(C4179=0,0,VLOOKUP(A4179,'Fleet register'!$A$7:$S$106,9,FALSE)*Paths!$R$386),"n.a."))</f>
        <v>0</v>
      </c>
    </row>
    <row r="4180" spans="1:20" ht="24" customHeight="1">
      <c r="A4180" s="1" t="str">
        <f>Paths!$A$386</f>
        <v>T095</v>
      </c>
      <c r="B4180" s="1">
        <f>Paths!$B$386</f>
        <v>3</v>
      </c>
      <c r="C4180" s="1">
        <v>4</v>
      </c>
      <c r="D4180" s="1">
        <v>386</v>
      </c>
      <c r="E4180" s="1">
        <f>IF(OR(Paths!$C$386=0,C4180=0),0,MAX(0,MIN(C4180*12,Paths!$E$386)-(C4180-1)*12))</f>
        <v>0</v>
      </c>
      <c r="F4180" s="1">
        <f>IF(OR(Paths!$C$386=0,C4180=0),0,12-E4180)</f>
        <v>0</v>
      </c>
      <c r="G4180" s="16">
        <f>IF(NOT(Paths!$C$386=1),0,IF(Paths!$P$386="Complete",E4180/12*(Paths!$J$386*(1+'Operating costs'!$B$51)^MAX(0,C4180-1)+Paths!$K$386*(1+'Operating costs'!$B$53)^MAX(0,C4180-1)),"n.a."))</f>
        <v>0</v>
      </c>
      <c r="H4180" s="16">
        <f>IF(NOT(Paths!$C$386=1),0,IF(Paths!$P$386="Complete",F4180/12*(Paths!$L$386*(1+IF(Paths!$D$386="EV",'Operating costs'!$B$52,'Operating costs'!$B$51))^MAX(0,C4180-1)+Paths!$M$386*(1+'Operating costs'!$B$53)^MAX(0,C4180-1)),"n.a."))</f>
        <v>0</v>
      </c>
      <c r="I4180" s="16">
        <f>IF(NOT(Paths!$C$386=1),0,IF(Paths!$P$386="Complete",IF(IF(Paths!$E$386=0,C4180=0,AND(C4180&gt;0,Paths!$E$386&gt;(C4180-1)*12,Paths!$E$386&lt;=C4180*12)),Paths!$G$386,0),"n.a."))</f>
        <v>0</v>
      </c>
      <c r="J4180" s="16">
        <f>IF(NOT(Paths!$C$386=1),0,IF(Paths!$P$386="Complete",IF(IF(Paths!$E$386=0,C4180=0,AND(C4180&gt;0,Paths!$E$386&gt;(C4180-1)*12,Paths!$E$386&lt;=C4180*12)),Paths!$H$386,0),"n.a."))</f>
        <v>0</v>
      </c>
      <c r="K4180" s="16">
        <f>IF(NOT(Paths!$C$386=1),0,IF(Paths!$P$386="Complete",IF(IF(Paths!$O$386=0,C4180=0,AND(C4180&gt;0,Paths!$O$386&gt;(C4180-1)*12,Paths!$O$386&lt;=C4180*12)),Paths!$N$386,0),"n.a."))</f>
        <v>0</v>
      </c>
      <c r="L4180" s="16">
        <f>IF(NOT(Paths!$C$386=1),0,IF(Paths!$P$386="Complete",IF(C4180=10,Paths!$I$386,0),"n.a."))</f>
        <v>0</v>
      </c>
      <c r="M4180" s="16">
        <f>IF(NOT(Paths!$C$386=1),0,IF(Paths!$P$386="Complete",IF(AND(Paths!$D$386="EV",Paths!$E$386&lt;120,Paths!$E$386+'Operating costs'!$B$65&gt;Paths!$E$386,Paths!$E$386+'Operating costs'!$B$65&lt;=120,IF(Paths!$E$386+'Operating costs'!$B$65=0,C4180=0,AND(C4180&gt;0,Paths!$E$386+'Operating costs'!$B$65&gt;(C4180-1)*12,Paths!$E$386+'Operating costs'!$B$65&lt;=C4180*12))),'Operating costs'!$B$64,0)+IF(AND('Operating costs'!$B$67&gt;0,'Operating costs'!$B$67&lt;=120,OR(Paths!$D$386="ICE",'Operating costs'!$B$67&lt;=Paths!$E$386),IF('Operating costs'!$B$67=0,C4180=0,AND(C4180&gt;0,'Operating costs'!$B$67&gt;(C4180-1)*12,'Operating costs'!$B$67&lt;=C4180*12))),'Operating costs'!$B$66,0),"n.a."))</f>
        <v>0</v>
      </c>
      <c r="N4180" s="16">
        <f>IF(NOT(Paths!$C$386=1),0,IF(Paths!$P$386="Complete",SUM(G4180:I4180)-J4180-K4180-L4180+M4180+IF(C4180=0,Paths!$F$386,0)+IF(IF(Paths!$E$386=0,C4180=0,AND(C4180&gt;0,Paths!$E$386&gt;(C4180-1)*12,Paths!$E$386&lt;=C4180*12)),VLOOKUP(A4180,'Fleet register'!$A$7:$S$106,16,FALSE),0),"n.a."))</f>
        <v>0</v>
      </c>
      <c r="O4180" s="16">
        <f>IF(NOT(Paths!$C$386=1),0,IF(Paths!$P$386="Complete",N4180-IF(C4180=0,Paths!$F$386,0),"n.a."))</f>
        <v>0</v>
      </c>
      <c r="P4180" s="16">
        <f>IF(NOT(Paths!$C$386=1),0,IF(Paths!$P$386="Complete",O4180+L4180,"n.a."))</f>
        <v>0</v>
      </c>
      <c r="Q4180" s="16">
        <f>IF(NOT(Paths!$C$386=1),0,IF(Paths!$P$386="Complete",N4180*(1+'Operating costs'!$B$54)^-C4180,"n.a."))</f>
        <v>0</v>
      </c>
      <c r="R4180" s="16">
        <f>IF(NOT(Paths!$C$386=1),0,IF(Paths!$P$386="Complete",IF(AND(C4180=0,Paths!$E$386=0),I4180-J4180-K4180+VLOOKUP(A4180,'Fleet register'!$A$7:$S$106,15,FALSE)+VLOOKUP(A4180,'Fleet register'!$A$7:$S$106,16,FALSE),0),"n.a."))</f>
        <v>0</v>
      </c>
      <c r="S4180" s="1">
        <f>IF(NOT(Paths!$C$386=1),0,IF(Paths!$P$386="Complete",IF(C4180=0,0,Paths!$S$386*Paths!$R$386),"n.a."))</f>
        <v>0</v>
      </c>
      <c r="T4180" s="1">
        <f>IF(NOT(Paths!$C$386=1),0,IF(Paths!$P$386="Complete",IF(C4180=0,0,VLOOKUP(A4180,'Fleet register'!$A$7:$S$106,9,FALSE)*Paths!$R$386),"n.a."))</f>
        <v>0</v>
      </c>
    </row>
    <row r="4181" spans="1:20" ht="24" customHeight="1">
      <c r="A4181" s="1" t="str">
        <f>Paths!$A$386</f>
        <v>T095</v>
      </c>
      <c r="B4181" s="1">
        <f>Paths!$B$386</f>
        <v>3</v>
      </c>
      <c r="C4181" s="1">
        <v>5</v>
      </c>
      <c r="D4181" s="1">
        <v>386</v>
      </c>
      <c r="E4181" s="1">
        <f>IF(OR(Paths!$C$386=0,C4181=0),0,MAX(0,MIN(C4181*12,Paths!$E$386)-(C4181-1)*12))</f>
        <v>0</v>
      </c>
      <c r="F4181" s="1">
        <f>IF(OR(Paths!$C$386=0,C4181=0),0,12-E4181)</f>
        <v>0</v>
      </c>
      <c r="G4181" s="16">
        <f>IF(NOT(Paths!$C$386=1),0,IF(Paths!$P$386="Complete",E4181/12*(Paths!$J$386*(1+'Operating costs'!$B$51)^MAX(0,C4181-1)+Paths!$K$386*(1+'Operating costs'!$B$53)^MAX(0,C4181-1)),"n.a."))</f>
        <v>0</v>
      </c>
      <c r="H4181" s="16">
        <f>IF(NOT(Paths!$C$386=1),0,IF(Paths!$P$386="Complete",F4181/12*(Paths!$L$386*(1+IF(Paths!$D$386="EV",'Operating costs'!$B$52,'Operating costs'!$B$51))^MAX(0,C4181-1)+Paths!$M$386*(1+'Operating costs'!$B$53)^MAX(0,C4181-1)),"n.a."))</f>
        <v>0</v>
      </c>
      <c r="I4181" s="16">
        <f>IF(NOT(Paths!$C$386=1),0,IF(Paths!$P$386="Complete",IF(IF(Paths!$E$386=0,C4181=0,AND(C4181&gt;0,Paths!$E$386&gt;(C4181-1)*12,Paths!$E$386&lt;=C4181*12)),Paths!$G$386,0),"n.a."))</f>
        <v>0</v>
      </c>
      <c r="J4181" s="16">
        <f>IF(NOT(Paths!$C$386=1),0,IF(Paths!$P$386="Complete",IF(IF(Paths!$E$386=0,C4181=0,AND(C4181&gt;0,Paths!$E$386&gt;(C4181-1)*12,Paths!$E$386&lt;=C4181*12)),Paths!$H$386,0),"n.a."))</f>
        <v>0</v>
      </c>
      <c r="K4181" s="16">
        <f>IF(NOT(Paths!$C$386=1),0,IF(Paths!$P$386="Complete",IF(IF(Paths!$O$386=0,C4181=0,AND(C4181&gt;0,Paths!$O$386&gt;(C4181-1)*12,Paths!$O$386&lt;=C4181*12)),Paths!$N$386,0),"n.a."))</f>
        <v>0</v>
      </c>
      <c r="L4181" s="16">
        <f>IF(NOT(Paths!$C$386=1),0,IF(Paths!$P$386="Complete",IF(C4181=10,Paths!$I$386,0),"n.a."))</f>
        <v>0</v>
      </c>
      <c r="M4181" s="16">
        <f>IF(NOT(Paths!$C$386=1),0,IF(Paths!$P$386="Complete",IF(AND(Paths!$D$386="EV",Paths!$E$386&lt;120,Paths!$E$386+'Operating costs'!$B$65&gt;Paths!$E$386,Paths!$E$386+'Operating costs'!$B$65&lt;=120,IF(Paths!$E$386+'Operating costs'!$B$65=0,C4181=0,AND(C4181&gt;0,Paths!$E$386+'Operating costs'!$B$65&gt;(C4181-1)*12,Paths!$E$386+'Operating costs'!$B$65&lt;=C4181*12))),'Operating costs'!$B$64,0)+IF(AND('Operating costs'!$B$67&gt;0,'Operating costs'!$B$67&lt;=120,OR(Paths!$D$386="ICE",'Operating costs'!$B$67&lt;=Paths!$E$386),IF('Operating costs'!$B$67=0,C4181=0,AND(C4181&gt;0,'Operating costs'!$B$67&gt;(C4181-1)*12,'Operating costs'!$B$67&lt;=C4181*12))),'Operating costs'!$B$66,0),"n.a."))</f>
        <v>0</v>
      </c>
      <c r="N4181" s="16">
        <f>IF(NOT(Paths!$C$386=1),0,IF(Paths!$P$386="Complete",SUM(G4181:I4181)-J4181-K4181-L4181+M4181+IF(C4181=0,Paths!$F$386,0)+IF(IF(Paths!$E$386=0,C4181=0,AND(C4181&gt;0,Paths!$E$386&gt;(C4181-1)*12,Paths!$E$386&lt;=C4181*12)),VLOOKUP(A4181,'Fleet register'!$A$7:$S$106,16,FALSE),0),"n.a."))</f>
        <v>0</v>
      </c>
      <c r="O4181" s="16">
        <f>IF(NOT(Paths!$C$386=1),0,IF(Paths!$P$386="Complete",N4181-IF(C4181=0,Paths!$F$386,0),"n.a."))</f>
        <v>0</v>
      </c>
      <c r="P4181" s="16">
        <f>IF(NOT(Paths!$C$386=1),0,IF(Paths!$P$386="Complete",O4181+L4181,"n.a."))</f>
        <v>0</v>
      </c>
      <c r="Q4181" s="16">
        <f>IF(NOT(Paths!$C$386=1),0,IF(Paths!$P$386="Complete",N4181*(1+'Operating costs'!$B$54)^-C4181,"n.a."))</f>
        <v>0</v>
      </c>
      <c r="R4181" s="16">
        <f>IF(NOT(Paths!$C$386=1),0,IF(Paths!$P$386="Complete",IF(AND(C4181=0,Paths!$E$386=0),I4181-J4181-K4181+VLOOKUP(A4181,'Fleet register'!$A$7:$S$106,15,FALSE)+VLOOKUP(A4181,'Fleet register'!$A$7:$S$106,16,FALSE),0),"n.a."))</f>
        <v>0</v>
      </c>
      <c r="S4181" s="1">
        <f>IF(NOT(Paths!$C$386=1),0,IF(Paths!$P$386="Complete",IF(C4181=0,0,Paths!$S$386*Paths!$R$386),"n.a."))</f>
        <v>0</v>
      </c>
      <c r="T4181" s="1">
        <f>IF(NOT(Paths!$C$386=1),0,IF(Paths!$P$386="Complete",IF(C4181=0,0,VLOOKUP(A4181,'Fleet register'!$A$7:$S$106,9,FALSE)*Paths!$R$386),"n.a."))</f>
        <v>0</v>
      </c>
    </row>
    <row r="4182" spans="1:20" ht="24" customHeight="1">
      <c r="A4182" s="1" t="str">
        <f>Paths!$A$386</f>
        <v>T095</v>
      </c>
      <c r="B4182" s="1">
        <f>Paths!$B$386</f>
        <v>3</v>
      </c>
      <c r="C4182" s="1">
        <v>6</v>
      </c>
      <c r="D4182" s="1">
        <v>386</v>
      </c>
      <c r="E4182" s="1">
        <f>IF(OR(Paths!$C$386=0,C4182=0),0,MAX(0,MIN(C4182*12,Paths!$E$386)-(C4182-1)*12))</f>
        <v>0</v>
      </c>
      <c r="F4182" s="1">
        <f>IF(OR(Paths!$C$386=0,C4182=0),0,12-E4182)</f>
        <v>0</v>
      </c>
      <c r="G4182" s="16">
        <f>IF(NOT(Paths!$C$386=1),0,IF(Paths!$P$386="Complete",E4182/12*(Paths!$J$386*(1+'Operating costs'!$B$51)^MAX(0,C4182-1)+Paths!$K$386*(1+'Operating costs'!$B$53)^MAX(0,C4182-1)),"n.a."))</f>
        <v>0</v>
      </c>
      <c r="H4182" s="16">
        <f>IF(NOT(Paths!$C$386=1),0,IF(Paths!$P$386="Complete",F4182/12*(Paths!$L$386*(1+IF(Paths!$D$386="EV",'Operating costs'!$B$52,'Operating costs'!$B$51))^MAX(0,C4182-1)+Paths!$M$386*(1+'Operating costs'!$B$53)^MAX(0,C4182-1)),"n.a."))</f>
        <v>0</v>
      </c>
      <c r="I4182" s="16">
        <f>IF(NOT(Paths!$C$386=1),0,IF(Paths!$P$386="Complete",IF(IF(Paths!$E$386=0,C4182=0,AND(C4182&gt;0,Paths!$E$386&gt;(C4182-1)*12,Paths!$E$386&lt;=C4182*12)),Paths!$G$386,0),"n.a."))</f>
        <v>0</v>
      </c>
      <c r="J4182" s="16">
        <f>IF(NOT(Paths!$C$386=1),0,IF(Paths!$P$386="Complete",IF(IF(Paths!$E$386=0,C4182=0,AND(C4182&gt;0,Paths!$E$386&gt;(C4182-1)*12,Paths!$E$386&lt;=C4182*12)),Paths!$H$386,0),"n.a."))</f>
        <v>0</v>
      </c>
      <c r="K4182" s="16">
        <f>IF(NOT(Paths!$C$386=1),0,IF(Paths!$P$386="Complete",IF(IF(Paths!$O$386=0,C4182=0,AND(C4182&gt;0,Paths!$O$386&gt;(C4182-1)*12,Paths!$O$386&lt;=C4182*12)),Paths!$N$386,0),"n.a."))</f>
        <v>0</v>
      </c>
      <c r="L4182" s="16">
        <f>IF(NOT(Paths!$C$386=1),0,IF(Paths!$P$386="Complete",IF(C4182=10,Paths!$I$386,0),"n.a."))</f>
        <v>0</v>
      </c>
      <c r="M4182" s="16">
        <f>IF(NOT(Paths!$C$386=1),0,IF(Paths!$P$386="Complete",IF(AND(Paths!$D$386="EV",Paths!$E$386&lt;120,Paths!$E$386+'Operating costs'!$B$65&gt;Paths!$E$386,Paths!$E$386+'Operating costs'!$B$65&lt;=120,IF(Paths!$E$386+'Operating costs'!$B$65=0,C4182=0,AND(C4182&gt;0,Paths!$E$386+'Operating costs'!$B$65&gt;(C4182-1)*12,Paths!$E$386+'Operating costs'!$B$65&lt;=C4182*12))),'Operating costs'!$B$64,0)+IF(AND('Operating costs'!$B$67&gt;0,'Operating costs'!$B$67&lt;=120,OR(Paths!$D$386="ICE",'Operating costs'!$B$67&lt;=Paths!$E$386),IF('Operating costs'!$B$67=0,C4182=0,AND(C4182&gt;0,'Operating costs'!$B$67&gt;(C4182-1)*12,'Operating costs'!$B$67&lt;=C4182*12))),'Operating costs'!$B$66,0),"n.a."))</f>
        <v>0</v>
      </c>
      <c r="N4182" s="16">
        <f>IF(NOT(Paths!$C$386=1),0,IF(Paths!$P$386="Complete",SUM(G4182:I4182)-J4182-K4182-L4182+M4182+IF(C4182=0,Paths!$F$386,0)+IF(IF(Paths!$E$386=0,C4182=0,AND(C4182&gt;0,Paths!$E$386&gt;(C4182-1)*12,Paths!$E$386&lt;=C4182*12)),VLOOKUP(A4182,'Fleet register'!$A$7:$S$106,16,FALSE),0),"n.a."))</f>
        <v>0</v>
      </c>
      <c r="O4182" s="16">
        <f>IF(NOT(Paths!$C$386=1),0,IF(Paths!$P$386="Complete",N4182-IF(C4182=0,Paths!$F$386,0),"n.a."))</f>
        <v>0</v>
      </c>
      <c r="P4182" s="16">
        <f>IF(NOT(Paths!$C$386=1),0,IF(Paths!$P$386="Complete",O4182+L4182,"n.a."))</f>
        <v>0</v>
      </c>
      <c r="Q4182" s="16">
        <f>IF(NOT(Paths!$C$386=1),0,IF(Paths!$P$386="Complete",N4182*(1+'Operating costs'!$B$54)^-C4182,"n.a."))</f>
        <v>0</v>
      </c>
      <c r="R4182" s="16">
        <f>IF(NOT(Paths!$C$386=1),0,IF(Paths!$P$386="Complete",IF(AND(C4182=0,Paths!$E$386=0),I4182-J4182-K4182+VLOOKUP(A4182,'Fleet register'!$A$7:$S$106,15,FALSE)+VLOOKUP(A4182,'Fleet register'!$A$7:$S$106,16,FALSE),0),"n.a."))</f>
        <v>0</v>
      </c>
      <c r="S4182" s="1">
        <f>IF(NOT(Paths!$C$386=1),0,IF(Paths!$P$386="Complete",IF(C4182=0,0,Paths!$S$386*Paths!$R$386),"n.a."))</f>
        <v>0</v>
      </c>
      <c r="T4182" s="1">
        <f>IF(NOT(Paths!$C$386=1),0,IF(Paths!$P$386="Complete",IF(C4182=0,0,VLOOKUP(A4182,'Fleet register'!$A$7:$S$106,9,FALSE)*Paths!$R$386),"n.a."))</f>
        <v>0</v>
      </c>
    </row>
    <row r="4183" spans="1:20" ht="24" customHeight="1">
      <c r="A4183" s="1" t="str">
        <f>Paths!$A$386</f>
        <v>T095</v>
      </c>
      <c r="B4183" s="1">
        <f>Paths!$B$386</f>
        <v>3</v>
      </c>
      <c r="C4183" s="1">
        <v>7</v>
      </c>
      <c r="D4183" s="1">
        <v>386</v>
      </c>
      <c r="E4183" s="1">
        <f>IF(OR(Paths!$C$386=0,C4183=0),0,MAX(0,MIN(C4183*12,Paths!$E$386)-(C4183-1)*12))</f>
        <v>0</v>
      </c>
      <c r="F4183" s="1">
        <f>IF(OR(Paths!$C$386=0,C4183=0),0,12-E4183)</f>
        <v>0</v>
      </c>
      <c r="G4183" s="16">
        <f>IF(NOT(Paths!$C$386=1),0,IF(Paths!$P$386="Complete",E4183/12*(Paths!$J$386*(1+'Operating costs'!$B$51)^MAX(0,C4183-1)+Paths!$K$386*(1+'Operating costs'!$B$53)^MAX(0,C4183-1)),"n.a."))</f>
        <v>0</v>
      </c>
      <c r="H4183" s="16">
        <f>IF(NOT(Paths!$C$386=1),0,IF(Paths!$P$386="Complete",F4183/12*(Paths!$L$386*(1+IF(Paths!$D$386="EV",'Operating costs'!$B$52,'Operating costs'!$B$51))^MAX(0,C4183-1)+Paths!$M$386*(1+'Operating costs'!$B$53)^MAX(0,C4183-1)),"n.a."))</f>
        <v>0</v>
      </c>
      <c r="I4183" s="16">
        <f>IF(NOT(Paths!$C$386=1),0,IF(Paths!$P$386="Complete",IF(IF(Paths!$E$386=0,C4183=0,AND(C4183&gt;0,Paths!$E$386&gt;(C4183-1)*12,Paths!$E$386&lt;=C4183*12)),Paths!$G$386,0),"n.a."))</f>
        <v>0</v>
      </c>
      <c r="J4183" s="16">
        <f>IF(NOT(Paths!$C$386=1),0,IF(Paths!$P$386="Complete",IF(IF(Paths!$E$386=0,C4183=0,AND(C4183&gt;0,Paths!$E$386&gt;(C4183-1)*12,Paths!$E$386&lt;=C4183*12)),Paths!$H$386,0),"n.a."))</f>
        <v>0</v>
      </c>
      <c r="K4183" s="16">
        <f>IF(NOT(Paths!$C$386=1),0,IF(Paths!$P$386="Complete",IF(IF(Paths!$O$386=0,C4183=0,AND(C4183&gt;0,Paths!$O$386&gt;(C4183-1)*12,Paths!$O$386&lt;=C4183*12)),Paths!$N$386,0),"n.a."))</f>
        <v>0</v>
      </c>
      <c r="L4183" s="16">
        <f>IF(NOT(Paths!$C$386=1),0,IF(Paths!$P$386="Complete",IF(C4183=10,Paths!$I$386,0),"n.a."))</f>
        <v>0</v>
      </c>
      <c r="M4183" s="16">
        <f>IF(NOT(Paths!$C$386=1),0,IF(Paths!$P$386="Complete",IF(AND(Paths!$D$386="EV",Paths!$E$386&lt;120,Paths!$E$386+'Operating costs'!$B$65&gt;Paths!$E$386,Paths!$E$386+'Operating costs'!$B$65&lt;=120,IF(Paths!$E$386+'Operating costs'!$B$65=0,C4183=0,AND(C4183&gt;0,Paths!$E$386+'Operating costs'!$B$65&gt;(C4183-1)*12,Paths!$E$386+'Operating costs'!$B$65&lt;=C4183*12))),'Operating costs'!$B$64,0)+IF(AND('Operating costs'!$B$67&gt;0,'Operating costs'!$B$67&lt;=120,OR(Paths!$D$386="ICE",'Operating costs'!$B$67&lt;=Paths!$E$386),IF('Operating costs'!$B$67=0,C4183=0,AND(C4183&gt;0,'Operating costs'!$B$67&gt;(C4183-1)*12,'Operating costs'!$B$67&lt;=C4183*12))),'Operating costs'!$B$66,0),"n.a."))</f>
        <v>0</v>
      </c>
      <c r="N4183" s="16">
        <f>IF(NOT(Paths!$C$386=1),0,IF(Paths!$P$386="Complete",SUM(G4183:I4183)-J4183-K4183-L4183+M4183+IF(C4183=0,Paths!$F$386,0)+IF(IF(Paths!$E$386=0,C4183=0,AND(C4183&gt;0,Paths!$E$386&gt;(C4183-1)*12,Paths!$E$386&lt;=C4183*12)),VLOOKUP(A4183,'Fleet register'!$A$7:$S$106,16,FALSE),0),"n.a."))</f>
        <v>0</v>
      </c>
      <c r="O4183" s="16">
        <f>IF(NOT(Paths!$C$386=1),0,IF(Paths!$P$386="Complete",N4183-IF(C4183=0,Paths!$F$386,0),"n.a."))</f>
        <v>0</v>
      </c>
      <c r="P4183" s="16">
        <f>IF(NOT(Paths!$C$386=1),0,IF(Paths!$P$386="Complete",O4183+L4183,"n.a."))</f>
        <v>0</v>
      </c>
      <c r="Q4183" s="16">
        <f>IF(NOT(Paths!$C$386=1),0,IF(Paths!$P$386="Complete",N4183*(1+'Operating costs'!$B$54)^-C4183,"n.a."))</f>
        <v>0</v>
      </c>
      <c r="R4183" s="16">
        <f>IF(NOT(Paths!$C$386=1),0,IF(Paths!$P$386="Complete",IF(AND(C4183=0,Paths!$E$386=0),I4183-J4183-K4183+VLOOKUP(A4183,'Fleet register'!$A$7:$S$106,15,FALSE)+VLOOKUP(A4183,'Fleet register'!$A$7:$S$106,16,FALSE),0),"n.a."))</f>
        <v>0</v>
      </c>
      <c r="S4183" s="1">
        <f>IF(NOT(Paths!$C$386=1),0,IF(Paths!$P$386="Complete",IF(C4183=0,0,Paths!$S$386*Paths!$R$386),"n.a."))</f>
        <v>0</v>
      </c>
      <c r="T4183" s="1">
        <f>IF(NOT(Paths!$C$386=1),0,IF(Paths!$P$386="Complete",IF(C4183=0,0,VLOOKUP(A4183,'Fleet register'!$A$7:$S$106,9,FALSE)*Paths!$R$386),"n.a."))</f>
        <v>0</v>
      </c>
    </row>
    <row r="4184" spans="1:20" ht="24" customHeight="1">
      <c r="A4184" s="1" t="str">
        <f>Paths!$A$386</f>
        <v>T095</v>
      </c>
      <c r="B4184" s="1">
        <f>Paths!$B$386</f>
        <v>3</v>
      </c>
      <c r="C4184" s="1">
        <v>8</v>
      </c>
      <c r="D4184" s="1">
        <v>386</v>
      </c>
      <c r="E4184" s="1">
        <f>IF(OR(Paths!$C$386=0,C4184=0),0,MAX(0,MIN(C4184*12,Paths!$E$386)-(C4184-1)*12))</f>
        <v>0</v>
      </c>
      <c r="F4184" s="1">
        <f>IF(OR(Paths!$C$386=0,C4184=0),0,12-E4184)</f>
        <v>0</v>
      </c>
      <c r="G4184" s="16">
        <f>IF(NOT(Paths!$C$386=1),0,IF(Paths!$P$386="Complete",E4184/12*(Paths!$J$386*(1+'Operating costs'!$B$51)^MAX(0,C4184-1)+Paths!$K$386*(1+'Operating costs'!$B$53)^MAX(0,C4184-1)),"n.a."))</f>
        <v>0</v>
      </c>
      <c r="H4184" s="16">
        <f>IF(NOT(Paths!$C$386=1),0,IF(Paths!$P$386="Complete",F4184/12*(Paths!$L$386*(1+IF(Paths!$D$386="EV",'Operating costs'!$B$52,'Operating costs'!$B$51))^MAX(0,C4184-1)+Paths!$M$386*(1+'Operating costs'!$B$53)^MAX(0,C4184-1)),"n.a."))</f>
        <v>0</v>
      </c>
      <c r="I4184" s="16">
        <f>IF(NOT(Paths!$C$386=1),0,IF(Paths!$P$386="Complete",IF(IF(Paths!$E$386=0,C4184=0,AND(C4184&gt;0,Paths!$E$386&gt;(C4184-1)*12,Paths!$E$386&lt;=C4184*12)),Paths!$G$386,0),"n.a."))</f>
        <v>0</v>
      </c>
      <c r="J4184" s="16">
        <f>IF(NOT(Paths!$C$386=1),0,IF(Paths!$P$386="Complete",IF(IF(Paths!$E$386=0,C4184=0,AND(C4184&gt;0,Paths!$E$386&gt;(C4184-1)*12,Paths!$E$386&lt;=C4184*12)),Paths!$H$386,0),"n.a."))</f>
        <v>0</v>
      </c>
      <c r="K4184" s="16">
        <f>IF(NOT(Paths!$C$386=1),0,IF(Paths!$P$386="Complete",IF(IF(Paths!$O$386=0,C4184=0,AND(C4184&gt;0,Paths!$O$386&gt;(C4184-1)*12,Paths!$O$386&lt;=C4184*12)),Paths!$N$386,0),"n.a."))</f>
        <v>0</v>
      </c>
      <c r="L4184" s="16">
        <f>IF(NOT(Paths!$C$386=1),0,IF(Paths!$P$386="Complete",IF(C4184=10,Paths!$I$386,0),"n.a."))</f>
        <v>0</v>
      </c>
      <c r="M4184" s="16">
        <f>IF(NOT(Paths!$C$386=1),0,IF(Paths!$P$386="Complete",IF(AND(Paths!$D$386="EV",Paths!$E$386&lt;120,Paths!$E$386+'Operating costs'!$B$65&gt;Paths!$E$386,Paths!$E$386+'Operating costs'!$B$65&lt;=120,IF(Paths!$E$386+'Operating costs'!$B$65=0,C4184=0,AND(C4184&gt;0,Paths!$E$386+'Operating costs'!$B$65&gt;(C4184-1)*12,Paths!$E$386+'Operating costs'!$B$65&lt;=C4184*12))),'Operating costs'!$B$64,0)+IF(AND('Operating costs'!$B$67&gt;0,'Operating costs'!$B$67&lt;=120,OR(Paths!$D$386="ICE",'Operating costs'!$B$67&lt;=Paths!$E$386),IF('Operating costs'!$B$67=0,C4184=0,AND(C4184&gt;0,'Operating costs'!$B$67&gt;(C4184-1)*12,'Operating costs'!$B$67&lt;=C4184*12))),'Operating costs'!$B$66,0),"n.a."))</f>
        <v>0</v>
      </c>
      <c r="N4184" s="16">
        <f>IF(NOT(Paths!$C$386=1),0,IF(Paths!$P$386="Complete",SUM(G4184:I4184)-J4184-K4184-L4184+M4184+IF(C4184=0,Paths!$F$386,0)+IF(IF(Paths!$E$386=0,C4184=0,AND(C4184&gt;0,Paths!$E$386&gt;(C4184-1)*12,Paths!$E$386&lt;=C4184*12)),VLOOKUP(A4184,'Fleet register'!$A$7:$S$106,16,FALSE),0),"n.a."))</f>
        <v>0</v>
      </c>
      <c r="O4184" s="16">
        <f>IF(NOT(Paths!$C$386=1),0,IF(Paths!$P$386="Complete",N4184-IF(C4184=0,Paths!$F$386,0),"n.a."))</f>
        <v>0</v>
      </c>
      <c r="P4184" s="16">
        <f>IF(NOT(Paths!$C$386=1),0,IF(Paths!$P$386="Complete",O4184+L4184,"n.a."))</f>
        <v>0</v>
      </c>
      <c r="Q4184" s="16">
        <f>IF(NOT(Paths!$C$386=1),0,IF(Paths!$P$386="Complete",N4184*(1+'Operating costs'!$B$54)^-C4184,"n.a."))</f>
        <v>0</v>
      </c>
      <c r="R4184" s="16">
        <f>IF(NOT(Paths!$C$386=1),0,IF(Paths!$P$386="Complete",IF(AND(C4184=0,Paths!$E$386=0),I4184-J4184-K4184+VLOOKUP(A4184,'Fleet register'!$A$7:$S$106,15,FALSE)+VLOOKUP(A4184,'Fleet register'!$A$7:$S$106,16,FALSE),0),"n.a."))</f>
        <v>0</v>
      </c>
      <c r="S4184" s="1">
        <f>IF(NOT(Paths!$C$386=1),0,IF(Paths!$P$386="Complete",IF(C4184=0,0,Paths!$S$386*Paths!$R$386),"n.a."))</f>
        <v>0</v>
      </c>
      <c r="T4184" s="1">
        <f>IF(NOT(Paths!$C$386=1),0,IF(Paths!$P$386="Complete",IF(C4184=0,0,VLOOKUP(A4184,'Fleet register'!$A$7:$S$106,9,FALSE)*Paths!$R$386),"n.a."))</f>
        <v>0</v>
      </c>
    </row>
    <row r="4185" spans="1:20" ht="24" customHeight="1">
      <c r="A4185" s="1" t="str">
        <f>Paths!$A$386</f>
        <v>T095</v>
      </c>
      <c r="B4185" s="1">
        <f>Paths!$B$386</f>
        <v>3</v>
      </c>
      <c r="C4185" s="1">
        <v>9</v>
      </c>
      <c r="D4185" s="1">
        <v>386</v>
      </c>
      <c r="E4185" s="1">
        <f>IF(OR(Paths!$C$386=0,C4185=0),0,MAX(0,MIN(C4185*12,Paths!$E$386)-(C4185-1)*12))</f>
        <v>0</v>
      </c>
      <c r="F4185" s="1">
        <f>IF(OR(Paths!$C$386=0,C4185=0),0,12-E4185)</f>
        <v>0</v>
      </c>
      <c r="G4185" s="16">
        <f>IF(NOT(Paths!$C$386=1),0,IF(Paths!$P$386="Complete",E4185/12*(Paths!$J$386*(1+'Operating costs'!$B$51)^MAX(0,C4185-1)+Paths!$K$386*(1+'Operating costs'!$B$53)^MAX(0,C4185-1)),"n.a."))</f>
        <v>0</v>
      </c>
      <c r="H4185" s="16">
        <f>IF(NOT(Paths!$C$386=1),0,IF(Paths!$P$386="Complete",F4185/12*(Paths!$L$386*(1+IF(Paths!$D$386="EV",'Operating costs'!$B$52,'Operating costs'!$B$51))^MAX(0,C4185-1)+Paths!$M$386*(1+'Operating costs'!$B$53)^MAX(0,C4185-1)),"n.a."))</f>
        <v>0</v>
      </c>
      <c r="I4185" s="16">
        <f>IF(NOT(Paths!$C$386=1),0,IF(Paths!$P$386="Complete",IF(IF(Paths!$E$386=0,C4185=0,AND(C4185&gt;0,Paths!$E$386&gt;(C4185-1)*12,Paths!$E$386&lt;=C4185*12)),Paths!$G$386,0),"n.a."))</f>
        <v>0</v>
      </c>
      <c r="J4185" s="16">
        <f>IF(NOT(Paths!$C$386=1),0,IF(Paths!$P$386="Complete",IF(IF(Paths!$E$386=0,C4185=0,AND(C4185&gt;0,Paths!$E$386&gt;(C4185-1)*12,Paths!$E$386&lt;=C4185*12)),Paths!$H$386,0),"n.a."))</f>
        <v>0</v>
      </c>
      <c r="K4185" s="16">
        <f>IF(NOT(Paths!$C$386=1),0,IF(Paths!$P$386="Complete",IF(IF(Paths!$O$386=0,C4185=0,AND(C4185&gt;0,Paths!$O$386&gt;(C4185-1)*12,Paths!$O$386&lt;=C4185*12)),Paths!$N$386,0),"n.a."))</f>
        <v>0</v>
      </c>
      <c r="L4185" s="16">
        <f>IF(NOT(Paths!$C$386=1),0,IF(Paths!$P$386="Complete",IF(C4185=10,Paths!$I$386,0),"n.a."))</f>
        <v>0</v>
      </c>
      <c r="M4185" s="16">
        <f>IF(NOT(Paths!$C$386=1),0,IF(Paths!$P$386="Complete",IF(AND(Paths!$D$386="EV",Paths!$E$386&lt;120,Paths!$E$386+'Operating costs'!$B$65&gt;Paths!$E$386,Paths!$E$386+'Operating costs'!$B$65&lt;=120,IF(Paths!$E$386+'Operating costs'!$B$65=0,C4185=0,AND(C4185&gt;0,Paths!$E$386+'Operating costs'!$B$65&gt;(C4185-1)*12,Paths!$E$386+'Operating costs'!$B$65&lt;=C4185*12))),'Operating costs'!$B$64,0)+IF(AND('Operating costs'!$B$67&gt;0,'Operating costs'!$B$67&lt;=120,OR(Paths!$D$386="ICE",'Operating costs'!$B$67&lt;=Paths!$E$386),IF('Operating costs'!$B$67=0,C4185=0,AND(C4185&gt;0,'Operating costs'!$B$67&gt;(C4185-1)*12,'Operating costs'!$B$67&lt;=C4185*12))),'Operating costs'!$B$66,0),"n.a."))</f>
        <v>0</v>
      </c>
      <c r="N4185" s="16">
        <f>IF(NOT(Paths!$C$386=1),0,IF(Paths!$P$386="Complete",SUM(G4185:I4185)-J4185-K4185-L4185+M4185+IF(C4185=0,Paths!$F$386,0)+IF(IF(Paths!$E$386=0,C4185=0,AND(C4185&gt;0,Paths!$E$386&gt;(C4185-1)*12,Paths!$E$386&lt;=C4185*12)),VLOOKUP(A4185,'Fleet register'!$A$7:$S$106,16,FALSE),0),"n.a."))</f>
        <v>0</v>
      </c>
      <c r="O4185" s="16">
        <f>IF(NOT(Paths!$C$386=1),0,IF(Paths!$P$386="Complete",N4185-IF(C4185=0,Paths!$F$386,0),"n.a."))</f>
        <v>0</v>
      </c>
      <c r="P4185" s="16">
        <f>IF(NOT(Paths!$C$386=1),0,IF(Paths!$P$386="Complete",O4185+L4185,"n.a."))</f>
        <v>0</v>
      </c>
      <c r="Q4185" s="16">
        <f>IF(NOT(Paths!$C$386=1),0,IF(Paths!$P$386="Complete",N4185*(1+'Operating costs'!$B$54)^-C4185,"n.a."))</f>
        <v>0</v>
      </c>
      <c r="R4185" s="16">
        <f>IF(NOT(Paths!$C$386=1),0,IF(Paths!$P$386="Complete",IF(AND(C4185=0,Paths!$E$386=0),I4185-J4185-K4185+VLOOKUP(A4185,'Fleet register'!$A$7:$S$106,15,FALSE)+VLOOKUP(A4185,'Fleet register'!$A$7:$S$106,16,FALSE),0),"n.a."))</f>
        <v>0</v>
      </c>
      <c r="S4185" s="1">
        <f>IF(NOT(Paths!$C$386=1),0,IF(Paths!$P$386="Complete",IF(C4185=0,0,Paths!$S$386*Paths!$R$386),"n.a."))</f>
        <v>0</v>
      </c>
      <c r="T4185" s="1">
        <f>IF(NOT(Paths!$C$386=1),0,IF(Paths!$P$386="Complete",IF(C4185=0,0,VLOOKUP(A4185,'Fleet register'!$A$7:$S$106,9,FALSE)*Paths!$R$386),"n.a."))</f>
        <v>0</v>
      </c>
    </row>
    <row r="4186" spans="1:20" ht="24" customHeight="1">
      <c r="A4186" s="1" t="str">
        <f>Paths!$A$386</f>
        <v>T095</v>
      </c>
      <c r="B4186" s="1">
        <f>Paths!$B$386</f>
        <v>3</v>
      </c>
      <c r="C4186" s="1">
        <v>10</v>
      </c>
      <c r="D4186" s="1">
        <v>386</v>
      </c>
      <c r="E4186" s="1">
        <f>IF(OR(Paths!$C$386=0,C4186=0),0,MAX(0,MIN(C4186*12,Paths!$E$386)-(C4186-1)*12))</f>
        <v>0</v>
      </c>
      <c r="F4186" s="1">
        <f>IF(OR(Paths!$C$386=0,C4186=0),0,12-E4186)</f>
        <v>0</v>
      </c>
      <c r="G4186" s="16">
        <f>IF(NOT(Paths!$C$386=1),0,IF(Paths!$P$386="Complete",E4186/12*(Paths!$J$386*(1+'Operating costs'!$B$51)^MAX(0,C4186-1)+Paths!$K$386*(1+'Operating costs'!$B$53)^MAX(0,C4186-1)),"n.a."))</f>
        <v>0</v>
      </c>
      <c r="H4186" s="16">
        <f>IF(NOT(Paths!$C$386=1),0,IF(Paths!$P$386="Complete",F4186/12*(Paths!$L$386*(1+IF(Paths!$D$386="EV",'Operating costs'!$B$52,'Operating costs'!$B$51))^MAX(0,C4186-1)+Paths!$M$386*(1+'Operating costs'!$B$53)^MAX(0,C4186-1)),"n.a."))</f>
        <v>0</v>
      </c>
      <c r="I4186" s="16">
        <f>IF(NOT(Paths!$C$386=1),0,IF(Paths!$P$386="Complete",IF(IF(Paths!$E$386=0,C4186=0,AND(C4186&gt;0,Paths!$E$386&gt;(C4186-1)*12,Paths!$E$386&lt;=C4186*12)),Paths!$G$386,0),"n.a."))</f>
        <v>0</v>
      </c>
      <c r="J4186" s="16">
        <f>IF(NOT(Paths!$C$386=1),0,IF(Paths!$P$386="Complete",IF(IF(Paths!$E$386=0,C4186=0,AND(C4186&gt;0,Paths!$E$386&gt;(C4186-1)*12,Paths!$E$386&lt;=C4186*12)),Paths!$H$386,0),"n.a."))</f>
        <v>0</v>
      </c>
      <c r="K4186" s="16">
        <f>IF(NOT(Paths!$C$386=1),0,IF(Paths!$P$386="Complete",IF(IF(Paths!$O$386=0,C4186=0,AND(C4186&gt;0,Paths!$O$386&gt;(C4186-1)*12,Paths!$O$386&lt;=C4186*12)),Paths!$N$386,0),"n.a."))</f>
        <v>0</v>
      </c>
      <c r="L4186" s="16">
        <f>IF(NOT(Paths!$C$386=1),0,IF(Paths!$P$386="Complete",IF(C4186=10,Paths!$I$386,0),"n.a."))</f>
        <v>0</v>
      </c>
      <c r="M4186" s="16">
        <f>IF(NOT(Paths!$C$386=1),0,IF(Paths!$P$386="Complete",IF(AND(Paths!$D$386="EV",Paths!$E$386&lt;120,Paths!$E$386+'Operating costs'!$B$65&gt;Paths!$E$386,Paths!$E$386+'Operating costs'!$B$65&lt;=120,IF(Paths!$E$386+'Operating costs'!$B$65=0,C4186=0,AND(C4186&gt;0,Paths!$E$386+'Operating costs'!$B$65&gt;(C4186-1)*12,Paths!$E$386+'Operating costs'!$B$65&lt;=C4186*12))),'Operating costs'!$B$64,0)+IF(AND('Operating costs'!$B$67&gt;0,'Operating costs'!$B$67&lt;=120,OR(Paths!$D$386="ICE",'Operating costs'!$B$67&lt;=Paths!$E$386),IF('Operating costs'!$B$67=0,C4186=0,AND(C4186&gt;0,'Operating costs'!$B$67&gt;(C4186-1)*12,'Operating costs'!$B$67&lt;=C4186*12))),'Operating costs'!$B$66,0),"n.a."))</f>
        <v>0</v>
      </c>
      <c r="N4186" s="16">
        <f>IF(NOT(Paths!$C$386=1),0,IF(Paths!$P$386="Complete",SUM(G4186:I4186)-J4186-K4186-L4186+M4186+IF(C4186=0,Paths!$F$386,0)+IF(IF(Paths!$E$386=0,C4186=0,AND(C4186&gt;0,Paths!$E$386&gt;(C4186-1)*12,Paths!$E$386&lt;=C4186*12)),VLOOKUP(A4186,'Fleet register'!$A$7:$S$106,16,FALSE),0),"n.a."))</f>
        <v>0</v>
      </c>
      <c r="O4186" s="16">
        <f>IF(NOT(Paths!$C$386=1),0,IF(Paths!$P$386="Complete",N4186-IF(C4186=0,Paths!$F$386,0),"n.a."))</f>
        <v>0</v>
      </c>
      <c r="P4186" s="16">
        <f>IF(NOT(Paths!$C$386=1),0,IF(Paths!$P$386="Complete",O4186+L4186,"n.a."))</f>
        <v>0</v>
      </c>
      <c r="Q4186" s="16">
        <f>IF(NOT(Paths!$C$386=1),0,IF(Paths!$P$386="Complete",N4186*(1+'Operating costs'!$B$54)^-C4186,"n.a."))</f>
        <v>0</v>
      </c>
      <c r="R4186" s="16">
        <f>IF(NOT(Paths!$C$386=1),0,IF(Paths!$P$386="Complete",IF(AND(C4186=0,Paths!$E$386=0),I4186-J4186-K4186+VLOOKUP(A4186,'Fleet register'!$A$7:$S$106,15,FALSE)+VLOOKUP(A4186,'Fleet register'!$A$7:$S$106,16,FALSE),0),"n.a."))</f>
        <v>0</v>
      </c>
      <c r="S4186" s="1">
        <f>IF(NOT(Paths!$C$386=1),0,IF(Paths!$P$386="Complete",IF(C4186=0,0,Paths!$S$386*Paths!$R$386),"n.a."))</f>
        <v>0</v>
      </c>
      <c r="T4186" s="1">
        <f>IF(NOT(Paths!$C$386=1),0,IF(Paths!$P$386="Complete",IF(C4186=0,0,VLOOKUP(A4186,'Fleet register'!$A$7:$S$106,9,FALSE)*Paths!$R$386),"n.a."))</f>
        <v>0</v>
      </c>
    </row>
    <row r="4187" spans="1:20" ht="24" customHeight="1">
      <c r="A4187" s="1" t="str">
        <f>Paths!$A$387</f>
        <v>T096</v>
      </c>
      <c r="B4187" s="1">
        <f>Paths!$B$387</f>
        <v>0</v>
      </c>
      <c r="C4187" s="1">
        <v>0</v>
      </c>
      <c r="D4187" s="1">
        <v>387</v>
      </c>
      <c r="E4187" s="1">
        <f>IF(OR(Paths!$C$387=0,C4187=0),0,MAX(0,MIN(C4187*12,Paths!$E$387)-(C4187-1)*12))</f>
        <v>0</v>
      </c>
      <c r="F4187" s="1">
        <f>IF(OR(Paths!$C$387=0,C4187=0),0,12-E4187)</f>
        <v>0</v>
      </c>
      <c r="G4187" s="16">
        <f>IF(NOT(Paths!$C$387=1),0,IF(Paths!$P$387="Complete",E4187/12*(Paths!$J$387*(1+'Operating costs'!$B$51)^MAX(0,C4187-1)+Paths!$K$387*(1+'Operating costs'!$B$53)^MAX(0,C4187-1)),"n.a."))</f>
        <v>0</v>
      </c>
      <c r="H4187" s="16">
        <f>IF(NOT(Paths!$C$387=1),0,IF(Paths!$P$387="Complete",F4187/12*(Paths!$L$387*(1+IF(Paths!$D$387="EV",'Operating costs'!$B$52,'Operating costs'!$B$51))^MAX(0,C4187-1)+Paths!$M$387*(1+'Operating costs'!$B$53)^MAX(0,C4187-1)),"n.a."))</f>
        <v>0</v>
      </c>
      <c r="I4187" s="16">
        <f>IF(NOT(Paths!$C$387=1),0,IF(Paths!$P$387="Complete",IF(IF(Paths!$E$387=0,C4187=0,AND(C4187&gt;0,Paths!$E$387&gt;(C4187-1)*12,Paths!$E$387&lt;=C4187*12)),Paths!$G$387,0),"n.a."))</f>
        <v>0</v>
      </c>
      <c r="J4187" s="16">
        <f>IF(NOT(Paths!$C$387=1),0,IF(Paths!$P$387="Complete",IF(IF(Paths!$E$387=0,C4187=0,AND(C4187&gt;0,Paths!$E$387&gt;(C4187-1)*12,Paths!$E$387&lt;=C4187*12)),Paths!$H$387,0),"n.a."))</f>
        <v>0</v>
      </c>
      <c r="K4187" s="16">
        <f>IF(NOT(Paths!$C$387=1),0,IF(Paths!$P$387="Complete",IF(IF(Paths!$O$387=0,C4187=0,AND(C4187&gt;0,Paths!$O$387&gt;(C4187-1)*12,Paths!$O$387&lt;=C4187*12)),Paths!$N$387,0),"n.a."))</f>
        <v>0</v>
      </c>
      <c r="L4187" s="16">
        <f>IF(NOT(Paths!$C$387=1),0,IF(Paths!$P$387="Complete",IF(C4187=10,Paths!$I$387,0),"n.a."))</f>
        <v>0</v>
      </c>
      <c r="M4187" s="16">
        <f>IF(NOT(Paths!$C$387=1),0,IF(Paths!$P$387="Complete",IF(AND(Paths!$D$387="EV",Paths!$E$387&lt;120,Paths!$E$387+'Operating costs'!$B$65&gt;Paths!$E$387,Paths!$E$387+'Operating costs'!$B$65&lt;=120,IF(Paths!$E$387+'Operating costs'!$B$65=0,C4187=0,AND(C4187&gt;0,Paths!$E$387+'Operating costs'!$B$65&gt;(C4187-1)*12,Paths!$E$387+'Operating costs'!$B$65&lt;=C4187*12))),'Operating costs'!$B$64,0)+IF(AND('Operating costs'!$B$67&gt;0,'Operating costs'!$B$67&lt;=120,OR(Paths!$D$387="ICE",'Operating costs'!$B$67&lt;=Paths!$E$387),IF('Operating costs'!$B$67=0,C4187=0,AND(C4187&gt;0,'Operating costs'!$B$67&gt;(C4187-1)*12,'Operating costs'!$B$67&lt;=C4187*12))),'Operating costs'!$B$66,0),"n.a."))</f>
        <v>0</v>
      </c>
      <c r="N4187" s="16">
        <f>IF(NOT(Paths!$C$387=1),0,IF(Paths!$P$387="Complete",SUM(G4187:I4187)-J4187-K4187-L4187+M4187+IF(C4187=0,Paths!$F$387,0)+IF(IF(Paths!$E$387=0,C4187=0,AND(C4187&gt;0,Paths!$E$387&gt;(C4187-1)*12,Paths!$E$387&lt;=C4187*12)),VLOOKUP(A4187,'Fleet register'!$A$7:$S$106,16,FALSE),0),"n.a."))</f>
        <v>0</v>
      </c>
      <c r="O4187" s="16">
        <f>IF(NOT(Paths!$C$387=1),0,IF(Paths!$P$387="Complete",N4187-IF(C4187=0,Paths!$F$387,0),"n.a."))</f>
        <v>0</v>
      </c>
      <c r="P4187" s="16">
        <f>IF(NOT(Paths!$C$387=1),0,IF(Paths!$P$387="Complete",O4187+L4187,"n.a."))</f>
        <v>0</v>
      </c>
      <c r="Q4187" s="16">
        <f>IF(NOT(Paths!$C$387=1),0,IF(Paths!$P$387="Complete",N4187*(1+'Operating costs'!$B$54)^-C4187,"n.a."))</f>
        <v>0</v>
      </c>
      <c r="R4187" s="16">
        <f>IF(NOT(Paths!$C$387=1),0,IF(Paths!$P$387="Complete",IF(AND(C4187=0,Paths!$E$387=0),I4187-J4187-K4187+VLOOKUP(A4187,'Fleet register'!$A$7:$S$106,15,FALSE)+VLOOKUP(A4187,'Fleet register'!$A$7:$S$106,16,FALSE),0),"n.a."))</f>
        <v>0</v>
      </c>
      <c r="S4187" s="1">
        <f>IF(NOT(Paths!$C$387=1),0,IF(Paths!$P$387="Complete",IF(C4187=0,0,Paths!$S$387*Paths!$R$387),"n.a."))</f>
        <v>0</v>
      </c>
      <c r="T4187" s="1">
        <f>IF(NOT(Paths!$C$387=1),0,IF(Paths!$P$387="Complete",IF(C4187=0,0,VLOOKUP(A4187,'Fleet register'!$A$7:$S$106,9,FALSE)*Paths!$R$387),"n.a."))</f>
        <v>0</v>
      </c>
    </row>
    <row r="4188" spans="1:20" ht="24" customHeight="1">
      <c r="A4188" s="1" t="str">
        <f>Paths!$A$387</f>
        <v>T096</v>
      </c>
      <c r="B4188" s="1">
        <f>Paths!$B$387</f>
        <v>0</v>
      </c>
      <c r="C4188" s="1">
        <v>1</v>
      </c>
      <c r="D4188" s="1">
        <v>387</v>
      </c>
      <c r="E4188" s="1">
        <f>IF(OR(Paths!$C$387=0,C4188=0),0,MAX(0,MIN(C4188*12,Paths!$E$387)-(C4188-1)*12))</f>
        <v>0</v>
      </c>
      <c r="F4188" s="1">
        <f>IF(OR(Paths!$C$387=0,C4188=0),0,12-E4188)</f>
        <v>0</v>
      </c>
      <c r="G4188" s="16">
        <f>IF(NOT(Paths!$C$387=1),0,IF(Paths!$P$387="Complete",E4188/12*(Paths!$J$387*(1+'Operating costs'!$B$51)^MAX(0,C4188-1)+Paths!$K$387*(1+'Operating costs'!$B$53)^MAX(0,C4188-1)),"n.a."))</f>
        <v>0</v>
      </c>
      <c r="H4188" s="16">
        <f>IF(NOT(Paths!$C$387=1),0,IF(Paths!$P$387="Complete",F4188/12*(Paths!$L$387*(1+IF(Paths!$D$387="EV",'Operating costs'!$B$52,'Operating costs'!$B$51))^MAX(0,C4188-1)+Paths!$M$387*(1+'Operating costs'!$B$53)^MAX(0,C4188-1)),"n.a."))</f>
        <v>0</v>
      </c>
      <c r="I4188" s="16">
        <f>IF(NOT(Paths!$C$387=1),0,IF(Paths!$P$387="Complete",IF(IF(Paths!$E$387=0,C4188=0,AND(C4188&gt;0,Paths!$E$387&gt;(C4188-1)*12,Paths!$E$387&lt;=C4188*12)),Paths!$G$387,0),"n.a."))</f>
        <v>0</v>
      </c>
      <c r="J4188" s="16">
        <f>IF(NOT(Paths!$C$387=1),0,IF(Paths!$P$387="Complete",IF(IF(Paths!$E$387=0,C4188=0,AND(C4188&gt;0,Paths!$E$387&gt;(C4188-1)*12,Paths!$E$387&lt;=C4188*12)),Paths!$H$387,0),"n.a."))</f>
        <v>0</v>
      </c>
      <c r="K4188" s="16">
        <f>IF(NOT(Paths!$C$387=1),0,IF(Paths!$P$387="Complete",IF(IF(Paths!$O$387=0,C4188=0,AND(C4188&gt;0,Paths!$O$387&gt;(C4188-1)*12,Paths!$O$387&lt;=C4188*12)),Paths!$N$387,0),"n.a."))</f>
        <v>0</v>
      </c>
      <c r="L4188" s="16">
        <f>IF(NOT(Paths!$C$387=1),0,IF(Paths!$P$387="Complete",IF(C4188=10,Paths!$I$387,0),"n.a."))</f>
        <v>0</v>
      </c>
      <c r="M4188" s="16">
        <f>IF(NOT(Paths!$C$387=1),0,IF(Paths!$P$387="Complete",IF(AND(Paths!$D$387="EV",Paths!$E$387&lt;120,Paths!$E$387+'Operating costs'!$B$65&gt;Paths!$E$387,Paths!$E$387+'Operating costs'!$B$65&lt;=120,IF(Paths!$E$387+'Operating costs'!$B$65=0,C4188=0,AND(C4188&gt;0,Paths!$E$387+'Operating costs'!$B$65&gt;(C4188-1)*12,Paths!$E$387+'Operating costs'!$B$65&lt;=C4188*12))),'Operating costs'!$B$64,0)+IF(AND('Operating costs'!$B$67&gt;0,'Operating costs'!$B$67&lt;=120,OR(Paths!$D$387="ICE",'Operating costs'!$B$67&lt;=Paths!$E$387),IF('Operating costs'!$B$67=0,C4188=0,AND(C4188&gt;0,'Operating costs'!$B$67&gt;(C4188-1)*12,'Operating costs'!$B$67&lt;=C4188*12))),'Operating costs'!$B$66,0),"n.a."))</f>
        <v>0</v>
      </c>
      <c r="N4188" s="16">
        <f>IF(NOT(Paths!$C$387=1),0,IF(Paths!$P$387="Complete",SUM(G4188:I4188)-J4188-K4188-L4188+M4188+IF(C4188=0,Paths!$F$387,0)+IF(IF(Paths!$E$387=0,C4188=0,AND(C4188&gt;0,Paths!$E$387&gt;(C4188-1)*12,Paths!$E$387&lt;=C4188*12)),VLOOKUP(A4188,'Fleet register'!$A$7:$S$106,16,FALSE),0),"n.a."))</f>
        <v>0</v>
      </c>
      <c r="O4188" s="16">
        <f>IF(NOT(Paths!$C$387=1),0,IF(Paths!$P$387="Complete",N4188-IF(C4188=0,Paths!$F$387,0),"n.a."))</f>
        <v>0</v>
      </c>
      <c r="P4188" s="16">
        <f>IF(NOT(Paths!$C$387=1),0,IF(Paths!$P$387="Complete",O4188+L4188,"n.a."))</f>
        <v>0</v>
      </c>
      <c r="Q4188" s="16">
        <f>IF(NOT(Paths!$C$387=1),0,IF(Paths!$P$387="Complete",N4188*(1+'Operating costs'!$B$54)^-C4188,"n.a."))</f>
        <v>0</v>
      </c>
      <c r="R4188" s="16">
        <f>IF(NOT(Paths!$C$387=1),0,IF(Paths!$P$387="Complete",IF(AND(C4188=0,Paths!$E$387=0),I4188-J4188-K4188+VLOOKUP(A4188,'Fleet register'!$A$7:$S$106,15,FALSE)+VLOOKUP(A4188,'Fleet register'!$A$7:$S$106,16,FALSE),0),"n.a."))</f>
        <v>0</v>
      </c>
      <c r="S4188" s="1">
        <f>IF(NOT(Paths!$C$387=1),0,IF(Paths!$P$387="Complete",IF(C4188=0,0,Paths!$S$387*Paths!$R$387),"n.a."))</f>
        <v>0</v>
      </c>
      <c r="T4188" s="1">
        <f>IF(NOT(Paths!$C$387=1),0,IF(Paths!$P$387="Complete",IF(C4188=0,0,VLOOKUP(A4188,'Fleet register'!$A$7:$S$106,9,FALSE)*Paths!$R$387),"n.a."))</f>
        <v>0</v>
      </c>
    </row>
    <row r="4189" spans="1:20" ht="24" customHeight="1">
      <c r="A4189" s="1" t="str">
        <f>Paths!$A$387</f>
        <v>T096</v>
      </c>
      <c r="B4189" s="1">
        <f>Paths!$B$387</f>
        <v>0</v>
      </c>
      <c r="C4189" s="1">
        <v>2</v>
      </c>
      <c r="D4189" s="1">
        <v>387</v>
      </c>
      <c r="E4189" s="1">
        <f>IF(OR(Paths!$C$387=0,C4189=0),0,MAX(0,MIN(C4189*12,Paths!$E$387)-(C4189-1)*12))</f>
        <v>0</v>
      </c>
      <c r="F4189" s="1">
        <f>IF(OR(Paths!$C$387=0,C4189=0),0,12-E4189)</f>
        <v>0</v>
      </c>
      <c r="G4189" s="16">
        <f>IF(NOT(Paths!$C$387=1),0,IF(Paths!$P$387="Complete",E4189/12*(Paths!$J$387*(1+'Operating costs'!$B$51)^MAX(0,C4189-1)+Paths!$K$387*(1+'Operating costs'!$B$53)^MAX(0,C4189-1)),"n.a."))</f>
        <v>0</v>
      </c>
      <c r="H4189" s="16">
        <f>IF(NOT(Paths!$C$387=1),0,IF(Paths!$P$387="Complete",F4189/12*(Paths!$L$387*(1+IF(Paths!$D$387="EV",'Operating costs'!$B$52,'Operating costs'!$B$51))^MAX(0,C4189-1)+Paths!$M$387*(1+'Operating costs'!$B$53)^MAX(0,C4189-1)),"n.a."))</f>
        <v>0</v>
      </c>
      <c r="I4189" s="16">
        <f>IF(NOT(Paths!$C$387=1),0,IF(Paths!$P$387="Complete",IF(IF(Paths!$E$387=0,C4189=0,AND(C4189&gt;0,Paths!$E$387&gt;(C4189-1)*12,Paths!$E$387&lt;=C4189*12)),Paths!$G$387,0),"n.a."))</f>
        <v>0</v>
      </c>
      <c r="J4189" s="16">
        <f>IF(NOT(Paths!$C$387=1),0,IF(Paths!$P$387="Complete",IF(IF(Paths!$E$387=0,C4189=0,AND(C4189&gt;0,Paths!$E$387&gt;(C4189-1)*12,Paths!$E$387&lt;=C4189*12)),Paths!$H$387,0),"n.a."))</f>
        <v>0</v>
      </c>
      <c r="K4189" s="16">
        <f>IF(NOT(Paths!$C$387=1),0,IF(Paths!$P$387="Complete",IF(IF(Paths!$O$387=0,C4189=0,AND(C4189&gt;0,Paths!$O$387&gt;(C4189-1)*12,Paths!$O$387&lt;=C4189*12)),Paths!$N$387,0),"n.a."))</f>
        <v>0</v>
      </c>
      <c r="L4189" s="16">
        <f>IF(NOT(Paths!$C$387=1),0,IF(Paths!$P$387="Complete",IF(C4189=10,Paths!$I$387,0),"n.a."))</f>
        <v>0</v>
      </c>
      <c r="M4189" s="16">
        <f>IF(NOT(Paths!$C$387=1),0,IF(Paths!$P$387="Complete",IF(AND(Paths!$D$387="EV",Paths!$E$387&lt;120,Paths!$E$387+'Operating costs'!$B$65&gt;Paths!$E$387,Paths!$E$387+'Operating costs'!$B$65&lt;=120,IF(Paths!$E$387+'Operating costs'!$B$65=0,C4189=0,AND(C4189&gt;0,Paths!$E$387+'Operating costs'!$B$65&gt;(C4189-1)*12,Paths!$E$387+'Operating costs'!$B$65&lt;=C4189*12))),'Operating costs'!$B$64,0)+IF(AND('Operating costs'!$B$67&gt;0,'Operating costs'!$B$67&lt;=120,OR(Paths!$D$387="ICE",'Operating costs'!$B$67&lt;=Paths!$E$387),IF('Operating costs'!$B$67=0,C4189=0,AND(C4189&gt;0,'Operating costs'!$B$67&gt;(C4189-1)*12,'Operating costs'!$B$67&lt;=C4189*12))),'Operating costs'!$B$66,0),"n.a."))</f>
        <v>0</v>
      </c>
      <c r="N4189" s="16">
        <f>IF(NOT(Paths!$C$387=1),0,IF(Paths!$P$387="Complete",SUM(G4189:I4189)-J4189-K4189-L4189+M4189+IF(C4189=0,Paths!$F$387,0)+IF(IF(Paths!$E$387=0,C4189=0,AND(C4189&gt;0,Paths!$E$387&gt;(C4189-1)*12,Paths!$E$387&lt;=C4189*12)),VLOOKUP(A4189,'Fleet register'!$A$7:$S$106,16,FALSE),0),"n.a."))</f>
        <v>0</v>
      </c>
      <c r="O4189" s="16">
        <f>IF(NOT(Paths!$C$387=1),0,IF(Paths!$P$387="Complete",N4189-IF(C4189=0,Paths!$F$387,0),"n.a."))</f>
        <v>0</v>
      </c>
      <c r="P4189" s="16">
        <f>IF(NOT(Paths!$C$387=1),0,IF(Paths!$P$387="Complete",O4189+L4189,"n.a."))</f>
        <v>0</v>
      </c>
      <c r="Q4189" s="16">
        <f>IF(NOT(Paths!$C$387=1),0,IF(Paths!$P$387="Complete",N4189*(1+'Operating costs'!$B$54)^-C4189,"n.a."))</f>
        <v>0</v>
      </c>
      <c r="R4189" s="16">
        <f>IF(NOT(Paths!$C$387=1),0,IF(Paths!$P$387="Complete",IF(AND(C4189=0,Paths!$E$387=0),I4189-J4189-K4189+VLOOKUP(A4189,'Fleet register'!$A$7:$S$106,15,FALSE)+VLOOKUP(A4189,'Fleet register'!$A$7:$S$106,16,FALSE),0),"n.a."))</f>
        <v>0</v>
      </c>
      <c r="S4189" s="1">
        <f>IF(NOT(Paths!$C$387=1),0,IF(Paths!$P$387="Complete",IF(C4189=0,0,Paths!$S$387*Paths!$R$387),"n.a."))</f>
        <v>0</v>
      </c>
      <c r="T4189" s="1">
        <f>IF(NOT(Paths!$C$387=1),0,IF(Paths!$P$387="Complete",IF(C4189=0,0,VLOOKUP(A4189,'Fleet register'!$A$7:$S$106,9,FALSE)*Paths!$R$387),"n.a."))</f>
        <v>0</v>
      </c>
    </row>
    <row r="4190" spans="1:20" ht="24" customHeight="1">
      <c r="A4190" s="1" t="str">
        <f>Paths!$A$387</f>
        <v>T096</v>
      </c>
      <c r="B4190" s="1">
        <f>Paths!$B$387</f>
        <v>0</v>
      </c>
      <c r="C4190" s="1">
        <v>3</v>
      </c>
      <c r="D4190" s="1">
        <v>387</v>
      </c>
      <c r="E4190" s="1">
        <f>IF(OR(Paths!$C$387=0,C4190=0),0,MAX(0,MIN(C4190*12,Paths!$E$387)-(C4190-1)*12))</f>
        <v>0</v>
      </c>
      <c r="F4190" s="1">
        <f>IF(OR(Paths!$C$387=0,C4190=0),0,12-E4190)</f>
        <v>0</v>
      </c>
      <c r="G4190" s="16">
        <f>IF(NOT(Paths!$C$387=1),0,IF(Paths!$P$387="Complete",E4190/12*(Paths!$J$387*(1+'Operating costs'!$B$51)^MAX(0,C4190-1)+Paths!$K$387*(1+'Operating costs'!$B$53)^MAX(0,C4190-1)),"n.a."))</f>
        <v>0</v>
      </c>
      <c r="H4190" s="16">
        <f>IF(NOT(Paths!$C$387=1),0,IF(Paths!$P$387="Complete",F4190/12*(Paths!$L$387*(1+IF(Paths!$D$387="EV",'Operating costs'!$B$52,'Operating costs'!$B$51))^MAX(0,C4190-1)+Paths!$M$387*(1+'Operating costs'!$B$53)^MAX(0,C4190-1)),"n.a."))</f>
        <v>0</v>
      </c>
      <c r="I4190" s="16">
        <f>IF(NOT(Paths!$C$387=1),0,IF(Paths!$P$387="Complete",IF(IF(Paths!$E$387=0,C4190=0,AND(C4190&gt;0,Paths!$E$387&gt;(C4190-1)*12,Paths!$E$387&lt;=C4190*12)),Paths!$G$387,0),"n.a."))</f>
        <v>0</v>
      </c>
      <c r="J4190" s="16">
        <f>IF(NOT(Paths!$C$387=1),0,IF(Paths!$P$387="Complete",IF(IF(Paths!$E$387=0,C4190=0,AND(C4190&gt;0,Paths!$E$387&gt;(C4190-1)*12,Paths!$E$387&lt;=C4190*12)),Paths!$H$387,0),"n.a."))</f>
        <v>0</v>
      </c>
      <c r="K4190" s="16">
        <f>IF(NOT(Paths!$C$387=1),0,IF(Paths!$P$387="Complete",IF(IF(Paths!$O$387=0,C4190=0,AND(C4190&gt;0,Paths!$O$387&gt;(C4190-1)*12,Paths!$O$387&lt;=C4190*12)),Paths!$N$387,0),"n.a."))</f>
        <v>0</v>
      </c>
      <c r="L4190" s="16">
        <f>IF(NOT(Paths!$C$387=1),0,IF(Paths!$P$387="Complete",IF(C4190=10,Paths!$I$387,0),"n.a."))</f>
        <v>0</v>
      </c>
      <c r="M4190" s="16">
        <f>IF(NOT(Paths!$C$387=1),0,IF(Paths!$P$387="Complete",IF(AND(Paths!$D$387="EV",Paths!$E$387&lt;120,Paths!$E$387+'Operating costs'!$B$65&gt;Paths!$E$387,Paths!$E$387+'Operating costs'!$B$65&lt;=120,IF(Paths!$E$387+'Operating costs'!$B$65=0,C4190=0,AND(C4190&gt;0,Paths!$E$387+'Operating costs'!$B$65&gt;(C4190-1)*12,Paths!$E$387+'Operating costs'!$B$65&lt;=C4190*12))),'Operating costs'!$B$64,0)+IF(AND('Operating costs'!$B$67&gt;0,'Operating costs'!$B$67&lt;=120,OR(Paths!$D$387="ICE",'Operating costs'!$B$67&lt;=Paths!$E$387),IF('Operating costs'!$B$67=0,C4190=0,AND(C4190&gt;0,'Operating costs'!$B$67&gt;(C4190-1)*12,'Operating costs'!$B$67&lt;=C4190*12))),'Operating costs'!$B$66,0),"n.a."))</f>
        <v>0</v>
      </c>
      <c r="N4190" s="16">
        <f>IF(NOT(Paths!$C$387=1),0,IF(Paths!$P$387="Complete",SUM(G4190:I4190)-J4190-K4190-L4190+M4190+IF(C4190=0,Paths!$F$387,0)+IF(IF(Paths!$E$387=0,C4190=0,AND(C4190&gt;0,Paths!$E$387&gt;(C4190-1)*12,Paths!$E$387&lt;=C4190*12)),VLOOKUP(A4190,'Fleet register'!$A$7:$S$106,16,FALSE),0),"n.a."))</f>
        <v>0</v>
      </c>
      <c r="O4190" s="16">
        <f>IF(NOT(Paths!$C$387=1),0,IF(Paths!$P$387="Complete",N4190-IF(C4190=0,Paths!$F$387,0),"n.a."))</f>
        <v>0</v>
      </c>
      <c r="P4190" s="16">
        <f>IF(NOT(Paths!$C$387=1),0,IF(Paths!$P$387="Complete",O4190+L4190,"n.a."))</f>
        <v>0</v>
      </c>
      <c r="Q4190" s="16">
        <f>IF(NOT(Paths!$C$387=1),0,IF(Paths!$P$387="Complete",N4190*(1+'Operating costs'!$B$54)^-C4190,"n.a."))</f>
        <v>0</v>
      </c>
      <c r="R4190" s="16">
        <f>IF(NOT(Paths!$C$387=1),0,IF(Paths!$P$387="Complete",IF(AND(C4190=0,Paths!$E$387=0),I4190-J4190-K4190+VLOOKUP(A4190,'Fleet register'!$A$7:$S$106,15,FALSE)+VLOOKUP(A4190,'Fleet register'!$A$7:$S$106,16,FALSE),0),"n.a."))</f>
        <v>0</v>
      </c>
      <c r="S4190" s="1">
        <f>IF(NOT(Paths!$C$387=1),0,IF(Paths!$P$387="Complete",IF(C4190=0,0,Paths!$S$387*Paths!$R$387),"n.a."))</f>
        <v>0</v>
      </c>
      <c r="T4190" s="1">
        <f>IF(NOT(Paths!$C$387=1),0,IF(Paths!$P$387="Complete",IF(C4190=0,0,VLOOKUP(A4190,'Fleet register'!$A$7:$S$106,9,FALSE)*Paths!$R$387),"n.a."))</f>
        <v>0</v>
      </c>
    </row>
    <row r="4191" spans="1:20" ht="24" customHeight="1">
      <c r="A4191" s="1" t="str">
        <f>Paths!$A$387</f>
        <v>T096</v>
      </c>
      <c r="B4191" s="1">
        <f>Paths!$B$387</f>
        <v>0</v>
      </c>
      <c r="C4191" s="1">
        <v>4</v>
      </c>
      <c r="D4191" s="1">
        <v>387</v>
      </c>
      <c r="E4191" s="1">
        <f>IF(OR(Paths!$C$387=0,C4191=0),0,MAX(0,MIN(C4191*12,Paths!$E$387)-(C4191-1)*12))</f>
        <v>0</v>
      </c>
      <c r="F4191" s="1">
        <f>IF(OR(Paths!$C$387=0,C4191=0),0,12-E4191)</f>
        <v>0</v>
      </c>
      <c r="G4191" s="16">
        <f>IF(NOT(Paths!$C$387=1),0,IF(Paths!$P$387="Complete",E4191/12*(Paths!$J$387*(1+'Operating costs'!$B$51)^MAX(0,C4191-1)+Paths!$K$387*(1+'Operating costs'!$B$53)^MAX(0,C4191-1)),"n.a."))</f>
        <v>0</v>
      </c>
      <c r="H4191" s="16">
        <f>IF(NOT(Paths!$C$387=1),0,IF(Paths!$P$387="Complete",F4191/12*(Paths!$L$387*(1+IF(Paths!$D$387="EV",'Operating costs'!$B$52,'Operating costs'!$B$51))^MAX(0,C4191-1)+Paths!$M$387*(1+'Operating costs'!$B$53)^MAX(0,C4191-1)),"n.a."))</f>
        <v>0</v>
      </c>
      <c r="I4191" s="16">
        <f>IF(NOT(Paths!$C$387=1),0,IF(Paths!$P$387="Complete",IF(IF(Paths!$E$387=0,C4191=0,AND(C4191&gt;0,Paths!$E$387&gt;(C4191-1)*12,Paths!$E$387&lt;=C4191*12)),Paths!$G$387,0),"n.a."))</f>
        <v>0</v>
      </c>
      <c r="J4191" s="16">
        <f>IF(NOT(Paths!$C$387=1),0,IF(Paths!$P$387="Complete",IF(IF(Paths!$E$387=0,C4191=0,AND(C4191&gt;0,Paths!$E$387&gt;(C4191-1)*12,Paths!$E$387&lt;=C4191*12)),Paths!$H$387,0),"n.a."))</f>
        <v>0</v>
      </c>
      <c r="K4191" s="16">
        <f>IF(NOT(Paths!$C$387=1),0,IF(Paths!$P$387="Complete",IF(IF(Paths!$O$387=0,C4191=0,AND(C4191&gt;0,Paths!$O$387&gt;(C4191-1)*12,Paths!$O$387&lt;=C4191*12)),Paths!$N$387,0),"n.a."))</f>
        <v>0</v>
      </c>
      <c r="L4191" s="16">
        <f>IF(NOT(Paths!$C$387=1),0,IF(Paths!$P$387="Complete",IF(C4191=10,Paths!$I$387,0),"n.a."))</f>
        <v>0</v>
      </c>
      <c r="M4191" s="16">
        <f>IF(NOT(Paths!$C$387=1),0,IF(Paths!$P$387="Complete",IF(AND(Paths!$D$387="EV",Paths!$E$387&lt;120,Paths!$E$387+'Operating costs'!$B$65&gt;Paths!$E$387,Paths!$E$387+'Operating costs'!$B$65&lt;=120,IF(Paths!$E$387+'Operating costs'!$B$65=0,C4191=0,AND(C4191&gt;0,Paths!$E$387+'Operating costs'!$B$65&gt;(C4191-1)*12,Paths!$E$387+'Operating costs'!$B$65&lt;=C4191*12))),'Operating costs'!$B$64,0)+IF(AND('Operating costs'!$B$67&gt;0,'Operating costs'!$B$67&lt;=120,OR(Paths!$D$387="ICE",'Operating costs'!$B$67&lt;=Paths!$E$387),IF('Operating costs'!$B$67=0,C4191=0,AND(C4191&gt;0,'Operating costs'!$B$67&gt;(C4191-1)*12,'Operating costs'!$B$67&lt;=C4191*12))),'Operating costs'!$B$66,0),"n.a."))</f>
        <v>0</v>
      </c>
      <c r="N4191" s="16">
        <f>IF(NOT(Paths!$C$387=1),0,IF(Paths!$P$387="Complete",SUM(G4191:I4191)-J4191-K4191-L4191+M4191+IF(C4191=0,Paths!$F$387,0)+IF(IF(Paths!$E$387=0,C4191=0,AND(C4191&gt;0,Paths!$E$387&gt;(C4191-1)*12,Paths!$E$387&lt;=C4191*12)),VLOOKUP(A4191,'Fleet register'!$A$7:$S$106,16,FALSE),0),"n.a."))</f>
        <v>0</v>
      </c>
      <c r="O4191" s="16">
        <f>IF(NOT(Paths!$C$387=1),0,IF(Paths!$P$387="Complete",N4191-IF(C4191=0,Paths!$F$387,0),"n.a."))</f>
        <v>0</v>
      </c>
      <c r="P4191" s="16">
        <f>IF(NOT(Paths!$C$387=1),0,IF(Paths!$P$387="Complete",O4191+L4191,"n.a."))</f>
        <v>0</v>
      </c>
      <c r="Q4191" s="16">
        <f>IF(NOT(Paths!$C$387=1),0,IF(Paths!$P$387="Complete",N4191*(1+'Operating costs'!$B$54)^-C4191,"n.a."))</f>
        <v>0</v>
      </c>
      <c r="R4191" s="16">
        <f>IF(NOT(Paths!$C$387=1),0,IF(Paths!$P$387="Complete",IF(AND(C4191=0,Paths!$E$387=0),I4191-J4191-K4191+VLOOKUP(A4191,'Fleet register'!$A$7:$S$106,15,FALSE)+VLOOKUP(A4191,'Fleet register'!$A$7:$S$106,16,FALSE),0),"n.a."))</f>
        <v>0</v>
      </c>
      <c r="S4191" s="1">
        <f>IF(NOT(Paths!$C$387=1),0,IF(Paths!$P$387="Complete",IF(C4191=0,0,Paths!$S$387*Paths!$R$387),"n.a."))</f>
        <v>0</v>
      </c>
      <c r="T4191" s="1">
        <f>IF(NOT(Paths!$C$387=1),0,IF(Paths!$P$387="Complete",IF(C4191=0,0,VLOOKUP(A4191,'Fleet register'!$A$7:$S$106,9,FALSE)*Paths!$R$387),"n.a."))</f>
        <v>0</v>
      </c>
    </row>
    <row r="4192" spans="1:20" ht="24" customHeight="1">
      <c r="A4192" s="1" t="str">
        <f>Paths!$A$387</f>
        <v>T096</v>
      </c>
      <c r="B4192" s="1">
        <f>Paths!$B$387</f>
        <v>0</v>
      </c>
      <c r="C4192" s="1">
        <v>5</v>
      </c>
      <c r="D4192" s="1">
        <v>387</v>
      </c>
      <c r="E4192" s="1">
        <f>IF(OR(Paths!$C$387=0,C4192=0),0,MAX(0,MIN(C4192*12,Paths!$E$387)-(C4192-1)*12))</f>
        <v>0</v>
      </c>
      <c r="F4192" s="1">
        <f>IF(OR(Paths!$C$387=0,C4192=0),0,12-E4192)</f>
        <v>0</v>
      </c>
      <c r="G4192" s="16">
        <f>IF(NOT(Paths!$C$387=1),0,IF(Paths!$P$387="Complete",E4192/12*(Paths!$J$387*(1+'Operating costs'!$B$51)^MAX(0,C4192-1)+Paths!$K$387*(1+'Operating costs'!$B$53)^MAX(0,C4192-1)),"n.a."))</f>
        <v>0</v>
      </c>
      <c r="H4192" s="16">
        <f>IF(NOT(Paths!$C$387=1),0,IF(Paths!$P$387="Complete",F4192/12*(Paths!$L$387*(1+IF(Paths!$D$387="EV",'Operating costs'!$B$52,'Operating costs'!$B$51))^MAX(0,C4192-1)+Paths!$M$387*(1+'Operating costs'!$B$53)^MAX(0,C4192-1)),"n.a."))</f>
        <v>0</v>
      </c>
      <c r="I4192" s="16">
        <f>IF(NOT(Paths!$C$387=1),0,IF(Paths!$P$387="Complete",IF(IF(Paths!$E$387=0,C4192=0,AND(C4192&gt;0,Paths!$E$387&gt;(C4192-1)*12,Paths!$E$387&lt;=C4192*12)),Paths!$G$387,0),"n.a."))</f>
        <v>0</v>
      </c>
      <c r="J4192" s="16">
        <f>IF(NOT(Paths!$C$387=1),0,IF(Paths!$P$387="Complete",IF(IF(Paths!$E$387=0,C4192=0,AND(C4192&gt;0,Paths!$E$387&gt;(C4192-1)*12,Paths!$E$387&lt;=C4192*12)),Paths!$H$387,0),"n.a."))</f>
        <v>0</v>
      </c>
      <c r="K4192" s="16">
        <f>IF(NOT(Paths!$C$387=1),0,IF(Paths!$P$387="Complete",IF(IF(Paths!$O$387=0,C4192=0,AND(C4192&gt;0,Paths!$O$387&gt;(C4192-1)*12,Paths!$O$387&lt;=C4192*12)),Paths!$N$387,0),"n.a."))</f>
        <v>0</v>
      </c>
      <c r="L4192" s="16">
        <f>IF(NOT(Paths!$C$387=1),0,IF(Paths!$P$387="Complete",IF(C4192=10,Paths!$I$387,0),"n.a."))</f>
        <v>0</v>
      </c>
      <c r="M4192" s="16">
        <f>IF(NOT(Paths!$C$387=1),0,IF(Paths!$P$387="Complete",IF(AND(Paths!$D$387="EV",Paths!$E$387&lt;120,Paths!$E$387+'Operating costs'!$B$65&gt;Paths!$E$387,Paths!$E$387+'Operating costs'!$B$65&lt;=120,IF(Paths!$E$387+'Operating costs'!$B$65=0,C4192=0,AND(C4192&gt;0,Paths!$E$387+'Operating costs'!$B$65&gt;(C4192-1)*12,Paths!$E$387+'Operating costs'!$B$65&lt;=C4192*12))),'Operating costs'!$B$64,0)+IF(AND('Operating costs'!$B$67&gt;0,'Operating costs'!$B$67&lt;=120,OR(Paths!$D$387="ICE",'Operating costs'!$B$67&lt;=Paths!$E$387),IF('Operating costs'!$B$67=0,C4192=0,AND(C4192&gt;0,'Operating costs'!$B$67&gt;(C4192-1)*12,'Operating costs'!$B$67&lt;=C4192*12))),'Operating costs'!$B$66,0),"n.a."))</f>
        <v>0</v>
      </c>
      <c r="N4192" s="16">
        <f>IF(NOT(Paths!$C$387=1),0,IF(Paths!$P$387="Complete",SUM(G4192:I4192)-J4192-K4192-L4192+M4192+IF(C4192=0,Paths!$F$387,0)+IF(IF(Paths!$E$387=0,C4192=0,AND(C4192&gt;0,Paths!$E$387&gt;(C4192-1)*12,Paths!$E$387&lt;=C4192*12)),VLOOKUP(A4192,'Fleet register'!$A$7:$S$106,16,FALSE),0),"n.a."))</f>
        <v>0</v>
      </c>
      <c r="O4192" s="16">
        <f>IF(NOT(Paths!$C$387=1),0,IF(Paths!$P$387="Complete",N4192-IF(C4192=0,Paths!$F$387,0),"n.a."))</f>
        <v>0</v>
      </c>
      <c r="P4192" s="16">
        <f>IF(NOT(Paths!$C$387=1),0,IF(Paths!$P$387="Complete",O4192+L4192,"n.a."))</f>
        <v>0</v>
      </c>
      <c r="Q4192" s="16">
        <f>IF(NOT(Paths!$C$387=1),0,IF(Paths!$P$387="Complete",N4192*(1+'Operating costs'!$B$54)^-C4192,"n.a."))</f>
        <v>0</v>
      </c>
      <c r="R4192" s="16">
        <f>IF(NOT(Paths!$C$387=1),0,IF(Paths!$P$387="Complete",IF(AND(C4192=0,Paths!$E$387=0),I4192-J4192-K4192+VLOOKUP(A4192,'Fleet register'!$A$7:$S$106,15,FALSE)+VLOOKUP(A4192,'Fleet register'!$A$7:$S$106,16,FALSE),0),"n.a."))</f>
        <v>0</v>
      </c>
      <c r="S4192" s="1">
        <f>IF(NOT(Paths!$C$387=1),0,IF(Paths!$P$387="Complete",IF(C4192=0,0,Paths!$S$387*Paths!$R$387),"n.a."))</f>
        <v>0</v>
      </c>
      <c r="T4192" s="1">
        <f>IF(NOT(Paths!$C$387=1),0,IF(Paths!$P$387="Complete",IF(C4192=0,0,VLOOKUP(A4192,'Fleet register'!$A$7:$S$106,9,FALSE)*Paths!$R$387),"n.a."))</f>
        <v>0</v>
      </c>
    </row>
    <row r="4193" spans="1:20" ht="24" customHeight="1">
      <c r="A4193" s="1" t="str">
        <f>Paths!$A$387</f>
        <v>T096</v>
      </c>
      <c r="B4193" s="1">
        <f>Paths!$B$387</f>
        <v>0</v>
      </c>
      <c r="C4193" s="1">
        <v>6</v>
      </c>
      <c r="D4193" s="1">
        <v>387</v>
      </c>
      <c r="E4193" s="1">
        <f>IF(OR(Paths!$C$387=0,C4193=0),0,MAX(0,MIN(C4193*12,Paths!$E$387)-(C4193-1)*12))</f>
        <v>0</v>
      </c>
      <c r="F4193" s="1">
        <f>IF(OR(Paths!$C$387=0,C4193=0),0,12-E4193)</f>
        <v>0</v>
      </c>
      <c r="G4193" s="16">
        <f>IF(NOT(Paths!$C$387=1),0,IF(Paths!$P$387="Complete",E4193/12*(Paths!$J$387*(1+'Operating costs'!$B$51)^MAX(0,C4193-1)+Paths!$K$387*(1+'Operating costs'!$B$53)^MAX(0,C4193-1)),"n.a."))</f>
        <v>0</v>
      </c>
      <c r="H4193" s="16">
        <f>IF(NOT(Paths!$C$387=1),0,IF(Paths!$P$387="Complete",F4193/12*(Paths!$L$387*(1+IF(Paths!$D$387="EV",'Operating costs'!$B$52,'Operating costs'!$B$51))^MAX(0,C4193-1)+Paths!$M$387*(1+'Operating costs'!$B$53)^MAX(0,C4193-1)),"n.a."))</f>
        <v>0</v>
      </c>
      <c r="I4193" s="16">
        <f>IF(NOT(Paths!$C$387=1),0,IF(Paths!$P$387="Complete",IF(IF(Paths!$E$387=0,C4193=0,AND(C4193&gt;0,Paths!$E$387&gt;(C4193-1)*12,Paths!$E$387&lt;=C4193*12)),Paths!$G$387,0),"n.a."))</f>
        <v>0</v>
      </c>
      <c r="J4193" s="16">
        <f>IF(NOT(Paths!$C$387=1),0,IF(Paths!$P$387="Complete",IF(IF(Paths!$E$387=0,C4193=0,AND(C4193&gt;0,Paths!$E$387&gt;(C4193-1)*12,Paths!$E$387&lt;=C4193*12)),Paths!$H$387,0),"n.a."))</f>
        <v>0</v>
      </c>
      <c r="K4193" s="16">
        <f>IF(NOT(Paths!$C$387=1),0,IF(Paths!$P$387="Complete",IF(IF(Paths!$O$387=0,C4193=0,AND(C4193&gt;0,Paths!$O$387&gt;(C4193-1)*12,Paths!$O$387&lt;=C4193*12)),Paths!$N$387,0),"n.a."))</f>
        <v>0</v>
      </c>
      <c r="L4193" s="16">
        <f>IF(NOT(Paths!$C$387=1),0,IF(Paths!$P$387="Complete",IF(C4193=10,Paths!$I$387,0),"n.a."))</f>
        <v>0</v>
      </c>
      <c r="M4193" s="16">
        <f>IF(NOT(Paths!$C$387=1),0,IF(Paths!$P$387="Complete",IF(AND(Paths!$D$387="EV",Paths!$E$387&lt;120,Paths!$E$387+'Operating costs'!$B$65&gt;Paths!$E$387,Paths!$E$387+'Operating costs'!$B$65&lt;=120,IF(Paths!$E$387+'Operating costs'!$B$65=0,C4193=0,AND(C4193&gt;0,Paths!$E$387+'Operating costs'!$B$65&gt;(C4193-1)*12,Paths!$E$387+'Operating costs'!$B$65&lt;=C4193*12))),'Operating costs'!$B$64,0)+IF(AND('Operating costs'!$B$67&gt;0,'Operating costs'!$B$67&lt;=120,OR(Paths!$D$387="ICE",'Operating costs'!$B$67&lt;=Paths!$E$387),IF('Operating costs'!$B$67=0,C4193=0,AND(C4193&gt;0,'Operating costs'!$B$67&gt;(C4193-1)*12,'Operating costs'!$B$67&lt;=C4193*12))),'Operating costs'!$B$66,0),"n.a."))</f>
        <v>0</v>
      </c>
      <c r="N4193" s="16">
        <f>IF(NOT(Paths!$C$387=1),0,IF(Paths!$P$387="Complete",SUM(G4193:I4193)-J4193-K4193-L4193+M4193+IF(C4193=0,Paths!$F$387,0)+IF(IF(Paths!$E$387=0,C4193=0,AND(C4193&gt;0,Paths!$E$387&gt;(C4193-1)*12,Paths!$E$387&lt;=C4193*12)),VLOOKUP(A4193,'Fleet register'!$A$7:$S$106,16,FALSE),0),"n.a."))</f>
        <v>0</v>
      </c>
      <c r="O4193" s="16">
        <f>IF(NOT(Paths!$C$387=1),0,IF(Paths!$P$387="Complete",N4193-IF(C4193=0,Paths!$F$387,0),"n.a."))</f>
        <v>0</v>
      </c>
      <c r="P4193" s="16">
        <f>IF(NOT(Paths!$C$387=1),0,IF(Paths!$P$387="Complete",O4193+L4193,"n.a."))</f>
        <v>0</v>
      </c>
      <c r="Q4193" s="16">
        <f>IF(NOT(Paths!$C$387=1),0,IF(Paths!$P$387="Complete",N4193*(1+'Operating costs'!$B$54)^-C4193,"n.a."))</f>
        <v>0</v>
      </c>
      <c r="R4193" s="16">
        <f>IF(NOT(Paths!$C$387=1),0,IF(Paths!$P$387="Complete",IF(AND(C4193=0,Paths!$E$387=0),I4193-J4193-K4193+VLOOKUP(A4193,'Fleet register'!$A$7:$S$106,15,FALSE)+VLOOKUP(A4193,'Fleet register'!$A$7:$S$106,16,FALSE),0),"n.a."))</f>
        <v>0</v>
      </c>
      <c r="S4193" s="1">
        <f>IF(NOT(Paths!$C$387=1),0,IF(Paths!$P$387="Complete",IF(C4193=0,0,Paths!$S$387*Paths!$R$387),"n.a."))</f>
        <v>0</v>
      </c>
      <c r="T4193" s="1">
        <f>IF(NOT(Paths!$C$387=1),0,IF(Paths!$P$387="Complete",IF(C4193=0,0,VLOOKUP(A4193,'Fleet register'!$A$7:$S$106,9,FALSE)*Paths!$R$387),"n.a."))</f>
        <v>0</v>
      </c>
    </row>
    <row r="4194" spans="1:20" ht="24" customHeight="1">
      <c r="A4194" s="1" t="str">
        <f>Paths!$A$387</f>
        <v>T096</v>
      </c>
      <c r="B4194" s="1">
        <f>Paths!$B$387</f>
        <v>0</v>
      </c>
      <c r="C4194" s="1">
        <v>7</v>
      </c>
      <c r="D4194" s="1">
        <v>387</v>
      </c>
      <c r="E4194" s="1">
        <f>IF(OR(Paths!$C$387=0,C4194=0),0,MAX(0,MIN(C4194*12,Paths!$E$387)-(C4194-1)*12))</f>
        <v>0</v>
      </c>
      <c r="F4194" s="1">
        <f>IF(OR(Paths!$C$387=0,C4194=0),0,12-E4194)</f>
        <v>0</v>
      </c>
      <c r="G4194" s="16">
        <f>IF(NOT(Paths!$C$387=1),0,IF(Paths!$P$387="Complete",E4194/12*(Paths!$J$387*(1+'Operating costs'!$B$51)^MAX(0,C4194-1)+Paths!$K$387*(1+'Operating costs'!$B$53)^MAX(0,C4194-1)),"n.a."))</f>
        <v>0</v>
      </c>
      <c r="H4194" s="16">
        <f>IF(NOT(Paths!$C$387=1),0,IF(Paths!$P$387="Complete",F4194/12*(Paths!$L$387*(1+IF(Paths!$D$387="EV",'Operating costs'!$B$52,'Operating costs'!$B$51))^MAX(0,C4194-1)+Paths!$M$387*(1+'Operating costs'!$B$53)^MAX(0,C4194-1)),"n.a."))</f>
        <v>0</v>
      </c>
      <c r="I4194" s="16">
        <f>IF(NOT(Paths!$C$387=1),0,IF(Paths!$P$387="Complete",IF(IF(Paths!$E$387=0,C4194=0,AND(C4194&gt;0,Paths!$E$387&gt;(C4194-1)*12,Paths!$E$387&lt;=C4194*12)),Paths!$G$387,0),"n.a."))</f>
        <v>0</v>
      </c>
      <c r="J4194" s="16">
        <f>IF(NOT(Paths!$C$387=1),0,IF(Paths!$P$387="Complete",IF(IF(Paths!$E$387=0,C4194=0,AND(C4194&gt;0,Paths!$E$387&gt;(C4194-1)*12,Paths!$E$387&lt;=C4194*12)),Paths!$H$387,0),"n.a."))</f>
        <v>0</v>
      </c>
      <c r="K4194" s="16">
        <f>IF(NOT(Paths!$C$387=1),0,IF(Paths!$P$387="Complete",IF(IF(Paths!$O$387=0,C4194=0,AND(C4194&gt;0,Paths!$O$387&gt;(C4194-1)*12,Paths!$O$387&lt;=C4194*12)),Paths!$N$387,0),"n.a."))</f>
        <v>0</v>
      </c>
      <c r="L4194" s="16">
        <f>IF(NOT(Paths!$C$387=1),0,IF(Paths!$P$387="Complete",IF(C4194=10,Paths!$I$387,0),"n.a."))</f>
        <v>0</v>
      </c>
      <c r="M4194" s="16">
        <f>IF(NOT(Paths!$C$387=1),0,IF(Paths!$P$387="Complete",IF(AND(Paths!$D$387="EV",Paths!$E$387&lt;120,Paths!$E$387+'Operating costs'!$B$65&gt;Paths!$E$387,Paths!$E$387+'Operating costs'!$B$65&lt;=120,IF(Paths!$E$387+'Operating costs'!$B$65=0,C4194=0,AND(C4194&gt;0,Paths!$E$387+'Operating costs'!$B$65&gt;(C4194-1)*12,Paths!$E$387+'Operating costs'!$B$65&lt;=C4194*12))),'Operating costs'!$B$64,0)+IF(AND('Operating costs'!$B$67&gt;0,'Operating costs'!$B$67&lt;=120,OR(Paths!$D$387="ICE",'Operating costs'!$B$67&lt;=Paths!$E$387),IF('Operating costs'!$B$67=0,C4194=0,AND(C4194&gt;0,'Operating costs'!$B$67&gt;(C4194-1)*12,'Operating costs'!$B$67&lt;=C4194*12))),'Operating costs'!$B$66,0),"n.a."))</f>
        <v>0</v>
      </c>
      <c r="N4194" s="16">
        <f>IF(NOT(Paths!$C$387=1),0,IF(Paths!$P$387="Complete",SUM(G4194:I4194)-J4194-K4194-L4194+M4194+IF(C4194=0,Paths!$F$387,0)+IF(IF(Paths!$E$387=0,C4194=0,AND(C4194&gt;0,Paths!$E$387&gt;(C4194-1)*12,Paths!$E$387&lt;=C4194*12)),VLOOKUP(A4194,'Fleet register'!$A$7:$S$106,16,FALSE),0),"n.a."))</f>
        <v>0</v>
      </c>
      <c r="O4194" s="16">
        <f>IF(NOT(Paths!$C$387=1),0,IF(Paths!$P$387="Complete",N4194-IF(C4194=0,Paths!$F$387,0),"n.a."))</f>
        <v>0</v>
      </c>
      <c r="P4194" s="16">
        <f>IF(NOT(Paths!$C$387=1),0,IF(Paths!$P$387="Complete",O4194+L4194,"n.a."))</f>
        <v>0</v>
      </c>
      <c r="Q4194" s="16">
        <f>IF(NOT(Paths!$C$387=1),0,IF(Paths!$P$387="Complete",N4194*(1+'Operating costs'!$B$54)^-C4194,"n.a."))</f>
        <v>0</v>
      </c>
      <c r="R4194" s="16">
        <f>IF(NOT(Paths!$C$387=1),0,IF(Paths!$P$387="Complete",IF(AND(C4194=0,Paths!$E$387=0),I4194-J4194-K4194+VLOOKUP(A4194,'Fleet register'!$A$7:$S$106,15,FALSE)+VLOOKUP(A4194,'Fleet register'!$A$7:$S$106,16,FALSE),0),"n.a."))</f>
        <v>0</v>
      </c>
      <c r="S4194" s="1">
        <f>IF(NOT(Paths!$C$387=1),0,IF(Paths!$P$387="Complete",IF(C4194=0,0,Paths!$S$387*Paths!$R$387),"n.a."))</f>
        <v>0</v>
      </c>
      <c r="T4194" s="1">
        <f>IF(NOT(Paths!$C$387=1),0,IF(Paths!$P$387="Complete",IF(C4194=0,0,VLOOKUP(A4194,'Fleet register'!$A$7:$S$106,9,FALSE)*Paths!$R$387),"n.a."))</f>
        <v>0</v>
      </c>
    </row>
    <row r="4195" spans="1:20" ht="24" customHeight="1">
      <c r="A4195" s="1" t="str">
        <f>Paths!$A$387</f>
        <v>T096</v>
      </c>
      <c r="B4195" s="1">
        <f>Paths!$B$387</f>
        <v>0</v>
      </c>
      <c r="C4195" s="1">
        <v>8</v>
      </c>
      <c r="D4195" s="1">
        <v>387</v>
      </c>
      <c r="E4195" s="1">
        <f>IF(OR(Paths!$C$387=0,C4195=0),0,MAX(0,MIN(C4195*12,Paths!$E$387)-(C4195-1)*12))</f>
        <v>0</v>
      </c>
      <c r="F4195" s="1">
        <f>IF(OR(Paths!$C$387=0,C4195=0),0,12-E4195)</f>
        <v>0</v>
      </c>
      <c r="G4195" s="16">
        <f>IF(NOT(Paths!$C$387=1),0,IF(Paths!$P$387="Complete",E4195/12*(Paths!$J$387*(1+'Operating costs'!$B$51)^MAX(0,C4195-1)+Paths!$K$387*(1+'Operating costs'!$B$53)^MAX(0,C4195-1)),"n.a."))</f>
        <v>0</v>
      </c>
      <c r="H4195" s="16">
        <f>IF(NOT(Paths!$C$387=1),0,IF(Paths!$P$387="Complete",F4195/12*(Paths!$L$387*(1+IF(Paths!$D$387="EV",'Operating costs'!$B$52,'Operating costs'!$B$51))^MAX(0,C4195-1)+Paths!$M$387*(1+'Operating costs'!$B$53)^MAX(0,C4195-1)),"n.a."))</f>
        <v>0</v>
      </c>
      <c r="I4195" s="16">
        <f>IF(NOT(Paths!$C$387=1),0,IF(Paths!$P$387="Complete",IF(IF(Paths!$E$387=0,C4195=0,AND(C4195&gt;0,Paths!$E$387&gt;(C4195-1)*12,Paths!$E$387&lt;=C4195*12)),Paths!$G$387,0),"n.a."))</f>
        <v>0</v>
      </c>
      <c r="J4195" s="16">
        <f>IF(NOT(Paths!$C$387=1),0,IF(Paths!$P$387="Complete",IF(IF(Paths!$E$387=0,C4195=0,AND(C4195&gt;0,Paths!$E$387&gt;(C4195-1)*12,Paths!$E$387&lt;=C4195*12)),Paths!$H$387,0),"n.a."))</f>
        <v>0</v>
      </c>
      <c r="K4195" s="16">
        <f>IF(NOT(Paths!$C$387=1),0,IF(Paths!$P$387="Complete",IF(IF(Paths!$O$387=0,C4195=0,AND(C4195&gt;0,Paths!$O$387&gt;(C4195-1)*12,Paths!$O$387&lt;=C4195*12)),Paths!$N$387,0),"n.a."))</f>
        <v>0</v>
      </c>
      <c r="L4195" s="16">
        <f>IF(NOT(Paths!$C$387=1),0,IF(Paths!$P$387="Complete",IF(C4195=10,Paths!$I$387,0),"n.a."))</f>
        <v>0</v>
      </c>
      <c r="M4195" s="16">
        <f>IF(NOT(Paths!$C$387=1),0,IF(Paths!$P$387="Complete",IF(AND(Paths!$D$387="EV",Paths!$E$387&lt;120,Paths!$E$387+'Operating costs'!$B$65&gt;Paths!$E$387,Paths!$E$387+'Operating costs'!$B$65&lt;=120,IF(Paths!$E$387+'Operating costs'!$B$65=0,C4195=0,AND(C4195&gt;0,Paths!$E$387+'Operating costs'!$B$65&gt;(C4195-1)*12,Paths!$E$387+'Operating costs'!$B$65&lt;=C4195*12))),'Operating costs'!$B$64,0)+IF(AND('Operating costs'!$B$67&gt;0,'Operating costs'!$B$67&lt;=120,OR(Paths!$D$387="ICE",'Operating costs'!$B$67&lt;=Paths!$E$387),IF('Operating costs'!$B$67=0,C4195=0,AND(C4195&gt;0,'Operating costs'!$B$67&gt;(C4195-1)*12,'Operating costs'!$B$67&lt;=C4195*12))),'Operating costs'!$B$66,0),"n.a."))</f>
        <v>0</v>
      </c>
      <c r="N4195" s="16">
        <f>IF(NOT(Paths!$C$387=1),0,IF(Paths!$P$387="Complete",SUM(G4195:I4195)-J4195-K4195-L4195+M4195+IF(C4195=0,Paths!$F$387,0)+IF(IF(Paths!$E$387=0,C4195=0,AND(C4195&gt;0,Paths!$E$387&gt;(C4195-1)*12,Paths!$E$387&lt;=C4195*12)),VLOOKUP(A4195,'Fleet register'!$A$7:$S$106,16,FALSE),0),"n.a."))</f>
        <v>0</v>
      </c>
      <c r="O4195" s="16">
        <f>IF(NOT(Paths!$C$387=1),0,IF(Paths!$P$387="Complete",N4195-IF(C4195=0,Paths!$F$387,0),"n.a."))</f>
        <v>0</v>
      </c>
      <c r="P4195" s="16">
        <f>IF(NOT(Paths!$C$387=1),0,IF(Paths!$P$387="Complete",O4195+L4195,"n.a."))</f>
        <v>0</v>
      </c>
      <c r="Q4195" s="16">
        <f>IF(NOT(Paths!$C$387=1),0,IF(Paths!$P$387="Complete",N4195*(1+'Operating costs'!$B$54)^-C4195,"n.a."))</f>
        <v>0</v>
      </c>
      <c r="R4195" s="16">
        <f>IF(NOT(Paths!$C$387=1),0,IF(Paths!$P$387="Complete",IF(AND(C4195=0,Paths!$E$387=0),I4195-J4195-K4195+VLOOKUP(A4195,'Fleet register'!$A$7:$S$106,15,FALSE)+VLOOKUP(A4195,'Fleet register'!$A$7:$S$106,16,FALSE),0),"n.a."))</f>
        <v>0</v>
      </c>
      <c r="S4195" s="1">
        <f>IF(NOT(Paths!$C$387=1),0,IF(Paths!$P$387="Complete",IF(C4195=0,0,Paths!$S$387*Paths!$R$387),"n.a."))</f>
        <v>0</v>
      </c>
      <c r="T4195" s="1">
        <f>IF(NOT(Paths!$C$387=1),0,IF(Paths!$P$387="Complete",IF(C4195=0,0,VLOOKUP(A4195,'Fleet register'!$A$7:$S$106,9,FALSE)*Paths!$R$387),"n.a."))</f>
        <v>0</v>
      </c>
    </row>
    <row r="4196" spans="1:20" ht="24" customHeight="1">
      <c r="A4196" s="1" t="str">
        <f>Paths!$A$387</f>
        <v>T096</v>
      </c>
      <c r="B4196" s="1">
        <f>Paths!$B$387</f>
        <v>0</v>
      </c>
      <c r="C4196" s="1">
        <v>9</v>
      </c>
      <c r="D4196" s="1">
        <v>387</v>
      </c>
      <c r="E4196" s="1">
        <f>IF(OR(Paths!$C$387=0,C4196=0),0,MAX(0,MIN(C4196*12,Paths!$E$387)-(C4196-1)*12))</f>
        <v>0</v>
      </c>
      <c r="F4196" s="1">
        <f>IF(OR(Paths!$C$387=0,C4196=0),0,12-E4196)</f>
        <v>0</v>
      </c>
      <c r="G4196" s="16">
        <f>IF(NOT(Paths!$C$387=1),0,IF(Paths!$P$387="Complete",E4196/12*(Paths!$J$387*(1+'Operating costs'!$B$51)^MAX(0,C4196-1)+Paths!$K$387*(1+'Operating costs'!$B$53)^MAX(0,C4196-1)),"n.a."))</f>
        <v>0</v>
      </c>
      <c r="H4196" s="16">
        <f>IF(NOT(Paths!$C$387=1),0,IF(Paths!$P$387="Complete",F4196/12*(Paths!$L$387*(1+IF(Paths!$D$387="EV",'Operating costs'!$B$52,'Operating costs'!$B$51))^MAX(0,C4196-1)+Paths!$M$387*(1+'Operating costs'!$B$53)^MAX(0,C4196-1)),"n.a."))</f>
        <v>0</v>
      </c>
      <c r="I4196" s="16">
        <f>IF(NOT(Paths!$C$387=1),0,IF(Paths!$P$387="Complete",IF(IF(Paths!$E$387=0,C4196=0,AND(C4196&gt;0,Paths!$E$387&gt;(C4196-1)*12,Paths!$E$387&lt;=C4196*12)),Paths!$G$387,0),"n.a."))</f>
        <v>0</v>
      </c>
      <c r="J4196" s="16">
        <f>IF(NOT(Paths!$C$387=1),0,IF(Paths!$P$387="Complete",IF(IF(Paths!$E$387=0,C4196=0,AND(C4196&gt;0,Paths!$E$387&gt;(C4196-1)*12,Paths!$E$387&lt;=C4196*12)),Paths!$H$387,0),"n.a."))</f>
        <v>0</v>
      </c>
      <c r="K4196" s="16">
        <f>IF(NOT(Paths!$C$387=1),0,IF(Paths!$P$387="Complete",IF(IF(Paths!$O$387=0,C4196=0,AND(C4196&gt;0,Paths!$O$387&gt;(C4196-1)*12,Paths!$O$387&lt;=C4196*12)),Paths!$N$387,0),"n.a."))</f>
        <v>0</v>
      </c>
      <c r="L4196" s="16">
        <f>IF(NOT(Paths!$C$387=1),0,IF(Paths!$P$387="Complete",IF(C4196=10,Paths!$I$387,0),"n.a."))</f>
        <v>0</v>
      </c>
      <c r="M4196" s="16">
        <f>IF(NOT(Paths!$C$387=1),0,IF(Paths!$P$387="Complete",IF(AND(Paths!$D$387="EV",Paths!$E$387&lt;120,Paths!$E$387+'Operating costs'!$B$65&gt;Paths!$E$387,Paths!$E$387+'Operating costs'!$B$65&lt;=120,IF(Paths!$E$387+'Operating costs'!$B$65=0,C4196=0,AND(C4196&gt;0,Paths!$E$387+'Operating costs'!$B$65&gt;(C4196-1)*12,Paths!$E$387+'Operating costs'!$B$65&lt;=C4196*12))),'Operating costs'!$B$64,0)+IF(AND('Operating costs'!$B$67&gt;0,'Operating costs'!$B$67&lt;=120,OR(Paths!$D$387="ICE",'Operating costs'!$B$67&lt;=Paths!$E$387),IF('Operating costs'!$B$67=0,C4196=0,AND(C4196&gt;0,'Operating costs'!$B$67&gt;(C4196-1)*12,'Operating costs'!$B$67&lt;=C4196*12))),'Operating costs'!$B$66,0),"n.a."))</f>
        <v>0</v>
      </c>
      <c r="N4196" s="16">
        <f>IF(NOT(Paths!$C$387=1),0,IF(Paths!$P$387="Complete",SUM(G4196:I4196)-J4196-K4196-L4196+M4196+IF(C4196=0,Paths!$F$387,0)+IF(IF(Paths!$E$387=0,C4196=0,AND(C4196&gt;0,Paths!$E$387&gt;(C4196-1)*12,Paths!$E$387&lt;=C4196*12)),VLOOKUP(A4196,'Fleet register'!$A$7:$S$106,16,FALSE),0),"n.a."))</f>
        <v>0</v>
      </c>
      <c r="O4196" s="16">
        <f>IF(NOT(Paths!$C$387=1),0,IF(Paths!$P$387="Complete",N4196-IF(C4196=0,Paths!$F$387,0),"n.a."))</f>
        <v>0</v>
      </c>
      <c r="P4196" s="16">
        <f>IF(NOT(Paths!$C$387=1),0,IF(Paths!$P$387="Complete",O4196+L4196,"n.a."))</f>
        <v>0</v>
      </c>
      <c r="Q4196" s="16">
        <f>IF(NOT(Paths!$C$387=1),0,IF(Paths!$P$387="Complete",N4196*(1+'Operating costs'!$B$54)^-C4196,"n.a."))</f>
        <v>0</v>
      </c>
      <c r="R4196" s="16">
        <f>IF(NOT(Paths!$C$387=1),0,IF(Paths!$P$387="Complete",IF(AND(C4196=0,Paths!$E$387=0),I4196-J4196-K4196+VLOOKUP(A4196,'Fleet register'!$A$7:$S$106,15,FALSE)+VLOOKUP(A4196,'Fleet register'!$A$7:$S$106,16,FALSE),0),"n.a."))</f>
        <v>0</v>
      </c>
      <c r="S4196" s="1">
        <f>IF(NOT(Paths!$C$387=1),0,IF(Paths!$P$387="Complete",IF(C4196=0,0,Paths!$S$387*Paths!$R$387),"n.a."))</f>
        <v>0</v>
      </c>
      <c r="T4196" s="1">
        <f>IF(NOT(Paths!$C$387=1),0,IF(Paths!$P$387="Complete",IF(C4196=0,0,VLOOKUP(A4196,'Fleet register'!$A$7:$S$106,9,FALSE)*Paths!$R$387),"n.a."))</f>
        <v>0</v>
      </c>
    </row>
    <row r="4197" spans="1:20" ht="24" customHeight="1">
      <c r="A4197" s="1" t="str">
        <f>Paths!$A$387</f>
        <v>T096</v>
      </c>
      <c r="B4197" s="1">
        <f>Paths!$B$387</f>
        <v>0</v>
      </c>
      <c r="C4197" s="1">
        <v>10</v>
      </c>
      <c r="D4197" s="1">
        <v>387</v>
      </c>
      <c r="E4197" s="1">
        <f>IF(OR(Paths!$C$387=0,C4197=0),0,MAX(0,MIN(C4197*12,Paths!$E$387)-(C4197-1)*12))</f>
        <v>0</v>
      </c>
      <c r="F4197" s="1">
        <f>IF(OR(Paths!$C$387=0,C4197=0),0,12-E4197)</f>
        <v>0</v>
      </c>
      <c r="G4197" s="16">
        <f>IF(NOT(Paths!$C$387=1),0,IF(Paths!$P$387="Complete",E4197/12*(Paths!$J$387*(1+'Operating costs'!$B$51)^MAX(0,C4197-1)+Paths!$K$387*(1+'Operating costs'!$B$53)^MAX(0,C4197-1)),"n.a."))</f>
        <v>0</v>
      </c>
      <c r="H4197" s="16">
        <f>IF(NOT(Paths!$C$387=1),0,IF(Paths!$P$387="Complete",F4197/12*(Paths!$L$387*(1+IF(Paths!$D$387="EV",'Operating costs'!$B$52,'Operating costs'!$B$51))^MAX(0,C4197-1)+Paths!$M$387*(1+'Operating costs'!$B$53)^MAX(0,C4197-1)),"n.a."))</f>
        <v>0</v>
      </c>
      <c r="I4197" s="16">
        <f>IF(NOT(Paths!$C$387=1),0,IF(Paths!$P$387="Complete",IF(IF(Paths!$E$387=0,C4197=0,AND(C4197&gt;0,Paths!$E$387&gt;(C4197-1)*12,Paths!$E$387&lt;=C4197*12)),Paths!$G$387,0),"n.a."))</f>
        <v>0</v>
      </c>
      <c r="J4197" s="16">
        <f>IF(NOT(Paths!$C$387=1),0,IF(Paths!$P$387="Complete",IF(IF(Paths!$E$387=0,C4197=0,AND(C4197&gt;0,Paths!$E$387&gt;(C4197-1)*12,Paths!$E$387&lt;=C4197*12)),Paths!$H$387,0),"n.a."))</f>
        <v>0</v>
      </c>
      <c r="K4197" s="16">
        <f>IF(NOT(Paths!$C$387=1),0,IF(Paths!$P$387="Complete",IF(IF(Paths!$O$387=0,C4197=0,AND(C4197&gt;0,Paths!$O$387&gt;(C4197-1)*12,Paths!$O$387&lt;=C4197*12)),Paths!$N$387,0),"n.a."))</f>
        <v>0</v>
      </c>
      <c r="L4197" s="16">
        <f>IF(NOT(Paths!$C$387=1),0,IF(Paths!$P$387="Complete",IF(C4197=10,Paths!$I$387,0),"n.a."))</f>
        <v>0</v>
      </c>
      <c r="M4197" s="16">
        <f>IF(NOT(Paths!$C$387=1),0,IF(Paths!$P$387="Complete",IF(AND(Paths!$D$387="EV",Paths!$E$387&lt;120,Paths!$E$387+'Operating costs'!$B$65&gt;Paths!$E$387,Paths!$E$387+'Operating costs'!$B$65&lt;=120,IF(Paths!$E$387+'Operating costs'!$B$65=0,C4197=0,AND(C4197&gt;0,Paths!$E$387+'Operating costs'!$B$65&gt;(C4197-1)*12,Paths!$E$387+'Operating costs'!$B$65&lt;=C4197*12))),'Operating costs'!$B$64,0)+IF(AND('Operating costs'!$B$67&gt;0,'Operating costs'!$B$67&lt;=120,OR(Paths!$D$387="ICE",'Operating costs'!$B$67&lt;=Paths!$E$387),IF('Operating costs'!$B$67=0,C4197=0,AND(C4197&gt;0,'Operating costs'!$B$67&gt;(C4197-1)*12,'Operating costs'!$B$67&lt;=C4197*12))),'Operating costs'!$B$66,0),"n.a."))</f>
        <v>0</v>
      </c>
      <c r="N4197" s="16">
        <f>IF(NOT(Paths!$C$387=1),0,IF(Paths!$P$387="Complete",SUM(G4197:I4197)-J4197-K4197-L4197+M4197+IF(C4197=0,Paths!$F$387,0)+IF(IF(Paths!$E$387=0,C4197=0,AND(C4197&gt;0,Paths!$E$387&gt;(C4197-1)*12,Paths!$E$387&lt;=C4197*12)),VLOOKUP(A4197,'Fleet register'!$A$7:$S$106,16,FALSE),0),"n.a."))</f>
        <v>0</v>
      </c>
      <c r="O4197" s="16">
        <f>IF(NOT(Paths!$C$387=1),0,IF(Paths!$P$387="Complete",N4197-IF(C4197=0,Paths!$F$387,0),"n.a."))</f>
        <v>0</v>
      </c>
      <c r="P4197" s="16">
        <f>IF(NOT(Paths!$C$387=1),0,IF(Paths!$P$387="Complete",O4197+L4197,"n.a."))</f>
        <v>0</v>
      </c>
      <c r="Q4197" s="16">
        <f>IF(NOT(Paths!$C$387=1),0,IF(Paths!$P$387="Complete",N4197*(1+'Operating costs'!$B$54)^-C4197,"n.a."))</f>
        <v>0</v>
      </c>
      <c r="R4197" s="16">
        <f>IF(NOT(Paths!$C$387=1),0,IF(Paths!$P$387="Complete",IF(AND(C4197=0,Paths!$E$387=0),I4197-J4197-K4197+VLOOKUP(A4197,'Fleet register'!$A$7:$S$106,15,FALSE)+VLOOKUP(A4197,'Fleet register'!$A$7:$S$106,16,FALSE),0),"n.a."))</f>
        <v>0</v>
      </c>
      <c r="S4197" s="1">
        <f>IF(NOT(Paths!$C$387=1),0,IF(Paths!$P$387="Complete",IF(C4197=0,0,Paths!$S$387*Paths!$R$387),"n.a."))</f>
        <v>0</v>
      </c>
      <c r="T4197" s="1">
        <f>IF(NOT(Paths!$C$387=1),0,IF(Paths!$P$387="Complete",IF(C4197=0,0,VLOOKUP(A4197,'Fleet register'!$A$7:$S$106,9,FALSE)*Paths!$R$387),"n.a."))</f>
        <v>0</v>
      </c>
    </row>
    <row r="4198" spans="1:20" ht="24" customHeight="1">
      <c r="A4198" s="1" t="str">
        <f>Paths!$A$388</f>
        <v>T096</v>
      </c>
      <c r="B4198" s="1">
        <f>Paths!$B$388</f>
        <v>1</v>
      </c>
      <c r="C4198" s="1">
        <v>0</v>
      </c>
      <c r="D4198" s="1">
        <v>388</v>
      </c>
      <c r="E4198" s="1">
        <f>IF(OR(Paths!$C$388=0,C4198=0),0,MAX(0,MIN(C4198*12,Paths!$E$388)-(C4198-1)*12))</f>
        <v>0</v>
      </c>
      <c r="F4198" s="1">
        <f>IF(OR(Paths!$C$388=0,C4198=0),0,12-E4198)</f>
        <v>0</v>
      </c>
      <c r="G4198" s="16">
        <f>IF(NOT(Paths!$C$388=1),0,IF(Paths!$P$388="Complete",E4198/12*(Paths!$J$388*(1+'Operating costs'!$B$51)^MAX(0,C4198-1)+Paths!$K$388*(1+'Operating costs'!$B$53)^MAX(0,C4198-1)),"n.a."))</f>
        <v>0</v>
      </c>
      <c r="H4198" s="16">
        <f>IF(NOT(Paths!$C$388=1),0,IF(Paths!$P$388="Complete",F4198/12*(Paths!$L$388*(1+IF(Paths!$D$388="EV",'Operating costs'!$B$52,'Operating costs'!$B$51))^MAX(0,C4198-1)+Paths!$M$388*(1+'Operating costs'!$B$53)^MAX(0,C4198-1)),"n.a."))</f>
        <v>0</v>
      </c>
      <c r="I4198" s="16">
        <f>IF(NOT(Paths!$C$388=1),0,IF(Paths!$P$388="Complete",IF(IF(Paths!$E$388=0,C4198=0,AND(C4198&gt;0,Paths!$E$388&gt;(C4198-1)*12,Paths!$E$388&lt;=C4198*12)),Paths!$G$388,0),"n.a."))</f>
        <v>0</v>
      </c>
      <c r="J4198" s="16">
        <f>IF(NOT(Paths!$C$388=1),0,IF(Paths!$P$388="Complete",IF(IF(Paths!$E$388=0,C4198=0,AND(C4198&gt;0,Paths!$E$388&gt;(C4198-1)*12,Paths!$E$388&lt;=C4198*12)),Paths!$H$388,0),"n.a."))</f>
        <v>0</v>
      </c>
      <c r="K4198" s="16">
        <f>IF(NOT(Paths!$C$388=1),0,IF(Paths!$P$388="Complete",IF(IF(Paths!$O$388=0,C4198=0,AND(C4198&gt;0,Paths!$O$388&gt;(C4198-1)*12,Paths!$O$388&lt;=C4198*12)),Paths!$N$388,0),"n.a."))</f>
        <v>0</v>
      </c>
      <c r="L4198" s="16">
        <f>IF(NOT(Paths!$C$388=1),0,IF(Paths!$P$388="Complete",IF(C4198=10,Paths!$I$388,0),"n.a."))</f>
        <v>0</v>
      </c>
      <c r="M4198" s="16">
        <f>IF(NOT(Paths!$C$388=1),0,IF(Paths!$P$388="Complete",IF(AND(Paths!$D$388="EV",Paths!$E$388&lt;120,Paths!$E$388+'Operating costs'!$B$65&gt;Paths!$E$388,Paths!$E$388+'Operating costs'!$B$65&lt;=120,IF(Paths!$E$388+'Operating costs'!$B$65=0,C4198=0,AND(C4198&gt;0,Paths!$E$388+'Operating costs'!$B$65&gt;(C4198-1)*12,Paths!$E$388+'Operating costs'!$B$65&lt;=C4198*12))),'Operating costs'!$B$64,0)+IF(AND('Operating costs'!$B$67&gt;0,'Operating costs'!$B$67&lt;=120,OR(Paths!$D$388="ICE",'Operating costs'!$B$67&lt;=Paths!$E$388),IF('Operating costs'!$B$67=0,C4198=0,AND(C4198&gt;0,'Operating costs'!$B$67&gt;(C4198-1)*12,'Operating costs'!$B$67&lt;=C4198*12))),'Operating costs'!$B$66,0),"n.a."))</f>
        <v>0</v>
      </c>
      <c r="N4198" s="16">
        <f>IF(NOT(Paths!$C$388=1),0,IF(Paths!$P$388="Complete",SUM(G4198:I4198)-J4198-K4198-L4198+M4198+IF(C4198=0,Paths!$F$388,0)+IF(IF(Paths!$E$388=0,C4198=0,AND(C4198&gt;0,Paths!$E$388&gt;(C4198-1)*12,Paths!$E$388&lt;=C4198*12)),VLOOKUP(A4198,'Fleet register'!$A$7:$S$106,16,FALSE),0),"n.a."))</f>
        <v>0</v>
      </c>
      <c r="O4198" s="16">
        <f>IF(NOT(Paths!$C$388=1),0,IF(Paths!$P$388="Complete",N4198-IF(C4198=0,Paths!$F$388,0),"n.a."))</f>
        <v>0</v>
      </c>
      <c r="P4198" s="16">
        <f>IF(NOT(Paths!$C$388=1),0,IF(Paths!$P$388="Complete",O4198+L4198,"n.a."))</f>
        <v>0</v>
      </c>
      <c r="Q4198" s="16">
        <f>IF(NOT(Paths!$C$388=1),0,IF(Paths!$P$388="Complete",N4198*(1+'Operating costs'!$B$54)^-C4198,"n.a."))</f>
        <v>0</v>
      </c>
      <c r="R4198" s="16">
        <f>IF(NOT(Paths!$C$388=1),0,IF(Paths!$P$388="Complete",IF(AND(C4198=0,Paths!$E$388=0),I4198-J4198-K4198+VLOOKUP(A4198,'Fleet register'!$A$7:$S$106,15,FALSE)+VLOOKUP(A4198,'Fleet register'!$A$7:$S$106,16,FALSE),0),"n.a."))</f>
        <v>0</v>
      </c>
      <c r="S4198" s="1">
        <f>IF(NOT(Paths!$C$388=1),0,IF(Paths!$P$388="Complete",IF(C4198=0,0,Paths!$S$388*Paths!$R$388),"n.a."))</f>
        <v>0</v>
      </c>
      <c r="T4198" s="1">
        <f>IF(NOT(Paths!$C$388=1),0,IF(Paths!$P$388="Complete",IF(C4198=0,0,VLOOKUP(A4198,'Fleet register'!$A$7:$S$106,9,FALSE)*Paths!$R$388),"n.a."))</f>
        <v>0</v>
      </c>
    </row>
    <row r="4199" spans="1:20" ht="24" customHeight="1">
      <c r="A4199" s="1" t="str">
        <f>Paths!$A$388</f>
        <v>T096</v>
      </c>
      <c r="B4199" s="1">
        <f>Paths!$B$388</f>
        <v>1</v>
      </c>
      <c r="C4199" s="1">
        <v>1</v>
      </c>
      <c r="D4199" s="1">
        <v>388</v>
      </c>
      <c r="E4199" s="1">
        <f>IF(OR(Paths!$C$388=0,C4199=0),0,MAX(0,MIN(C4199*12,Paths!$E$388)-(C4199-1)*12))</f>
        <v>0</v>
      </c>
      <c r="F4199" s="1">
        <f>IF(OR(Paths!$C$388=0,C4199=0),0,12-E4199)</f>
        <v>0</v>
      </c>
      <c r="G4199" s="16">
        <f>IF(NOT(Paths!$C$388=1),0,IF(Paths!$P$388="Complete",E4199/12*(Paths!$J$388*(1+'Operating costs'!$B$51)^MAX(0,C4199-1)+Paths!$K$388*(1+'Operating costs'!$B$53)^MAX(0,C4199-1)),"n.a."))</f>
        <v>0</v>
      </c>
      <c r="H4199" s="16">
        <f>IF(NOT(Paths!$C$388=1),0,IF(Paths!$P$388="Complete",F4199/12*(Paths!$L$388*(1+IF(Paths!$D$388="EV",'Operating costs'!$B$52,'Operating costs'!$B$51))^MAX(0,C4199-1)+Paths!$M$388*(1+'Operating costs'!$B$53)^MAX(0,C4199-1)),"n.a."))</f>
        <v>0</v>
      </c>
      <c r="I4199" s="16">
        <f>IF(NOT(Paths!$C$388=1),0,IF(Paths!$P$388="Complete",IF(IF(Paths!$E$388=0,C4199=0,AND(C4199&gt;0,Paths!$E$388&gt;(C4199-1)*12,Paths!$E$388&lt;=C4199*12)),Paths!$G$388,0),"n.a."))</f>
        <v>0</v>
      </c>
      <c r="J4199" s="16">
        <f>IF(NOT(Paths!$C$388=1),0,IF(Paths!$P$388="Complete",IF(IF(Paths!$E$388=0,C4199=0,AND(C4199&gt;0,Paths!$E$388&gt;(C4199-1)*12,Paths!$E$388&lt;=C4199*12)),Paths!$H$388,0),"n.a."))</f>
        <v>0</v>
      </c>
      <c r="K4199" s="16">
        <f>IF(NOT(Paths!$C$388=1),0,IF(Paths!$P$388="Complete",IF(IF(Paths!$O$388=0,C4199=0,AND(C4199&gt;0,Paths!$O$388&gt;(C4199-1)*12,Paths!$O$388&lt;=C4199*12)),Paths!$N$388,0),"n.a."))</f>
        <v>0</v>
      </c>
      <c r="L4199" s="16">
        <f>IF(NOT(Paths!$C$388=1),0,IF(Paths!$P$388="Complete",IF(C4199=10,Paths!$I$388,0),"n.a."))</f>
        <v>0</v>
      </c>
      <c r="M4199" s="16">
        <f>IF(NOT(Paths!$C$388=1),0,IF(Paths!$P$388="Complete",IF(AND(Paths!$D$388="EV",Paths!$E$388&lt;120,Paths!$E$388+'Operating costs'!$B$65&gt;Paths!$E$388,Paths!$E$388+'Operating costs'!$B$65&lt;=120,IF(Paths!$E$388+'Operating costs'!$B$65=0,C4199=0,AND(C4199&gt;0,Paths!$E$388+'Operating costs'!$B$65&gt;(C4199-1)*12,Paths!$E$388+'Operating costs'!$B$65&lt;=C4199*12))),'Operating costs'!$B$64,0)+IF(AND('Operating costs'!$B$67&gt;0,'Operating costs'!$B$67&lt;=120,OR(Paths!$D$388="ICE",'Operating costs'!$B$67&lt;=Paths!$E$388),IF('Operating costs'!$B$67=0,C4199=0,AND(C4199&gt;0,'Operating costs'!$B$67&gt;(C4199-1)*12,'Operating costs'!$B$67&lt;=C4199*12))),'Operating costs'!$B$66,0),"n.a."))</f>
        <v>0</v>
      </c>
      <c r="N4199" s="16">
        <f>IF(NOT(Paths!$C$388=1),0,IF(Paths!$P$388="Complete",SUM(G4199:I4199)-J4199-K4199-L4199+M4199+IF(C4199=0,Paths!$F$388,0)+IF(IF(Paths!$E$388=0,C4199=0,AND(C4199&gt;0,Paths!$E$388&gt;(C4199-1)*12,Paths!$E$388&lt;=C4199*12)),VLOOKUP(A4199,'Fleet register'!$A$7:$S$106,16,FALSE),0),"n.a."))</f>
        <v>0</v>
      </c>
      <c r="O4199" s="16">
        <f>IF(NOT(Paths!$C$388=1),0,IF(Paths!$P$388="Complete",N4199-IF(C4199=0,Paths!$F$388,0),"n.a."))</f>
        <v>0</v>
      </c>
      <c r="P4199" s="16">
        <f>IF(NOT(Paths!$C$388=1),0,IF(Paths!$P$388="Complete",O4199+L4199,"n.a."))</f>
        <v>0</v>
      </c>
      <c r="Q4199" s="16">
        <f>IF(NOT(Paths!$C$388=1),0,IF(Paths!$P$388="Complete",N4199*(1+'Operating costs'!$B$54)^-C4199,"n.a."))</f>
        <v>0</v>
      </c>
      <c r="R4199" s="16">
        <f>IF(NOT(Paths!$C$388=1),0,IF(Paths!$P$388="Complete",IF(AND(C4199=0,Paths!$E$388=0),I4199-J4199-K4199+VLOOKUP(A4199,'Fleet register'!$A$7:$S$106,15,FALSE)+VLOOKUP(A4199,'Fleet register'!$A$7:$S$106,16,FALSE),0),"n.a."))</f>
        <v>0</v>
      </c>
      <c r="S4199" s="1">
        <f>IF(NOT(Paths!$C$388=1),0,IF(Paths!$P$388="Complete",IF(C4199=0,0,Paths!$S$388*Paths!$R$388),"n.a."))</f>
        <v>0</v>
      </c>
      <c r="T4199" s="1">
        <f>IF(NOT(Paths!$C$388=1),0,IF(Paths!$P$388="Complete",IF(C4199=0,0,VLOOKUP(A4199,'Fleet register'!$A$7:$S$106,9,FALSE)*Paths!$R$388),"n.a."))</f>
        <v>0</v>
      </c>
    </row>
    <row r="4200" spans="1:20" ht="24" customHeight="1">
      <c r="A4200" s="1" t="str">
        <f>Paths!$A$388</f>
        <v>T096</v>
      </c>
      <c r="B4200" s="1">
        <f>Paths!$B$388</f>
        <v>1</v>
      </c>
      <c r="C4200" s="1">
        <v>2</v>
      </c>
      <c r="D4200" s="1">
        <v>388</v>
      </c>
      <c r="E4200" s="1">
        <f>IF(OR(Paths!$C$388=0,C4200=0),0,MAX(0,MIN(C4200*12,Paths!$E$388)-(C4200-1)*12))</f>
        <v>0</v>
      </c>
      <c r="F4200" s="1">
        <f>IF(OR(Paths!$C$388=0,C4200=0),0,12-E4200)</f>
        <v>0</v>
      </c>
      <c r="G4200" s="16">
        <f>IF(NOT(Paths!$C$388=1),0,IF(Paths!$P$388="Complete",E4200/12*(Paths!$J$388*(1+'Operating costs'!$B$51)^MAX(0,C4200-1)+Paths!$K$388*(1+'Operating costs'!$B$53)^MAX(0,C4200-1)),"n.a."))</f>
        <v>0</v>
      </c>
      <c r="H4200" s="16">
        <f>IF(NOT(Paths!$C$388=1),0,IF(Paths!$P$388="Complete",F4200/12*(Paths!$L$388*(1+IF(Paths!$D$388="EV",'Operating costs'!$B$52,'Operating costs'!$B$51))^MAX(0,C4200-1)+Paths!$M$388*(1+'Operating costs'!$B$53)^MAX(0,C4200-1)),"n.a."))</f>
        <v>0</v>
      </c>
      <c r="I4200" s="16">
        <f>IF(NOT(Paths!$C$388=1),0,IF(Paths!$P$388="Complete",IF(IF(Paths!$E$388=0,C4200=0,AND(C4200&gt;0,Paths!$E$388&gt;(C4200-1)*12,Paths!$E$388&lt;=C4200*12)),Paths!$G$388,0),"n.a."))</f>
        <v>0</v>
      </c>
      <c r="J4200" s="16">
        <f>IF(NOT(Paths!$C$388=1),0,IF(Paths!$P$388="Complete",IF(IF(Paths!$E$388=0,C4200=0,AND(C4200&gt;0,Paths!$E$388&gt;(C4200-1)*12,Paths!$E$388&lt;=C4200*12)),Paths!$H$388,0),"n.a."))</f>
        <v>0</v>
      </c>
      <c r="K4200" s="16">
        <f>IF(NOT(Paths!$C$388=1),0,IF(Paths!$P$388="Complete",IF(IF(Paths!$O$388=0,C4200=0,AND(C4200&gt;0,Paths!$O$388&gt;(C4200-1)*12,Paths!$O$388&lt;=C4200*12)),Paths!$N$388,0),"n.a."))</f>
        <v>0</v>
      </c>
      <c r="L4200" s="16">
        <f>IF(NOT(Paths!$C$388=1),0,IF(Paths!$P$388="Complete",IF(C4200=10,Paths!$I$388,0),"n.a."))</f>
        <v>0</v>
      </c>
      <c r="M4200" s="16">
        <f>IF(NOT(Paths!$C$388=1),0,IF(Paths!$P$388="Complete",IF(AND(Paths!$D$388="EV",Paths!$E$388&lt;120,Paths!$E$388+'Operating costs'!$B$65&gt;Paths!$E$388,Paths!$E$388+'Operating costs'!$B$65&lt;=120,IF(Paths!$E$388+'Operating costs'!$B$65=0,C4200=0,AND(C4200&gt;0,Paths!$E$388+'Operating costs'!$B$65&gt;(C4200-1)*12,Paths!$E$388+'Operating costs'!$B$65&lt;=C4200*12))),'Operating costs'!$B$64,0)+IF(AND('Operating costs'!$B$67&gt;0,'Operating costs'!$B$67&lt;=120,OR(Paths!$D$388="ICE",'Operating costs'!$B$67&lt;=Paths!$E$388),IF('Operating costs'!$B$67=0,C4200=0,AND(C4200&gt;0,'Operating costs'!$B$67&gt;(C4200-1)*12,'Operating costs'!$B$67&lt;=C4200*12))),'Operating costs'!$B$66,0),"n.a."))</f>
        <v>0</v>
      </c>
      <c r="N4200" s="16">
        <f>IF(NOT(Paths!$C$388=1),0,IF(Paths!$P$388="Complete",SUM(G4200:I4200)-J4200-K4200-L4200+M4200+IF(C4200=0,Paths!$F$388,0)+IF(IF(Paths!$E$388=0,C4200=0,AND(C4200&gt;0,Paths!$E$388&gt;(C4200-1)*12,Paths!$E$388&lt;=C4200*12)),VLOOKUP(A4200,'Fleet register'!$A$7:$S$106,16,FALSE),0),"n.a."))</f>
        <v>0</v>
      </c>
      <c r="O4200" s="16">
        <f>IF(NOT(Paths!$C$388=1),0,IF(Paths!$P$388="Complete",N4200-IF(C4200=0,Paths!$F$388,0),"n.a."))</f>
        <v>0</v>
      </c>
      <c r="P4200" s="16">
        <f>IF(NOT(Paths!$C$388=1),0,IF(Paths!$P$388="Complete",O4200+L4200,"n.a."))</f>
        <v>0</v>
      </c>
      <c r="Q4200" s="16">
        <f>IF(NOT(Paths!$C$388=1),0,IF(Paths!$P$388="Complete",N4200*(1+'Operating costs'!$B$54)^-C4200,"n.a."))</f>
        <v>0</v>
      </c>
      <c r="R4200" s="16">
        <f>IF(NOT(Paths!$C$388=1),0,IF(Paths!$P$388="Complete",IF(AND(C4200=0,Paths!$E$388=0),I4200-J4200-K4200+VLOOKUP(A4200,'Fleet register'!$A$7:$S$106,15,FALSE)+VLOOKUP(A4200,'Fleet register'!$A$7:$S$106,16,FALSE),0),"n.a."))</f>
        <v>0</v>
      </c>
      <c r="S4200" s="1">
        <f>IF(NOT(Paths!$C$388=1),0,IF(Paths!$P$388="Complete",IF(C4200=0,0,Paths!$S$388*Paths!$R$388),"n.a."))</f>
        <v>0</v>
      </c>
      <c r="T4200" s="1">
        <f>IF(NOT(Paths!$C$388=1),0,IF(Paths!$P$388="Complete",IF(C4200=0,0,VLOOKUP(A4200,'Fleet register'!$A$7:$S$106,9,FALSE)*Paths!$R$388),"n.a."))</f>
        <v>0</v>
      </c>
    </row>
    <row r="4201" spans="1:20" ht="24" customHeight="1">
      <c r="A4201" s="1" t="str">
        <f>Paths!$A$388</f>
        <v>T096</v>
      </c>
      <c r="B4201" s="1">
        <f>Paths!$B$388</f>
        <v>1</v>
      </c>
      <c r="C4201" s="1">
        <v>3</v>
      </c>
      <c r="D4201" s="1">
        <v>388</v>
      </c>
      <c r="E4201" s="1">
        <f>IF(OR(Paths!$C$388=0,C4201=0),0,MAX(0,MIN(C4201*12,Paths!$E$388)-(C4201-1)*12))</f>
        <v>0</v>
      </c>
      <c r="F4201" s="1">
        <f>IF(OR(Paths!$C$388=0,C4201=0),0,12-E4201)</f>
        <v>0</v>
      </c>
      <c r="G4201" s="16">
        <f>IF(NOT(Paths!$C$388=1),0,IF(Paths!$P$388="Complete",E4201/12*(Paths!$J$388*(1+'Operating costs'!$B$51)^MAX(0,C4201-1)+Paths!$K$388*(1+'Operating costs'!$B$53)^MAX(0,C4201-1)),"n.a."))</f>
        <v>0</v>
      </c>
      <c r="H4201" s="16">
        <f>IF(NOT(Paths!$C$388=1),0,IF(Paths!$P$388="Complete",F4201/12*(Paths!$L$388*(1+IF(Paths!$D$388="EV",'Operating costs'!$B$52,'Operating costs'!$B$51))^MAX(0,C4201-1)+Paths!$M$388*(1+'Operating costs'!$B$53)^MAX(0,C4201-1)),"n.a."))</f>
        <v>0</v>
      </c>
      <c r="I4201" s="16">
        <f>IF(NOT(Paths!$C$388=1),0,IF(Paths!$P$388="Complete",IF(IF(Paths!$E$388=0,C4201=0,AND(C4201&gt;0,Paths!$E$388&gt;(C4201-1)*12,Paths!$E$388&lt;=C4201*12)),Paths!$G$388,0),"n.a."))</f>
        <v>0</v>
      </c>
      <c r="J4201" s="16">
        <f>IF(NOT(Paths!$C$388=1),0,IF(Paths!$P$388="Complete",IF(IF(Paths!$E$388=0,C4201=0,AND(C4201&gt;0,Paths!$E$388&gt;(C4201-1)*12,Paths!$E$388&lt;=C4201*12)),Paths!$H$388,0),"n.a."))</f>
        <v>0</v>
      </c>
      <c r="K4201" s="16">
        <f>IF(NOT(Paths!$C$388=1),0,IF(Paths!$P$388="Complete",IF(IF(Paths!$O$388=0,C4201=0,AND(C4201&gt;0,Paths!$O$388&gt;(C4201-1)*12,Paths!$O$388&lt;=C4201*12)),Paths!$N$388,0),"n.a."))</f>
        <v>0</v>
      </c>
      <c r="L4201" s="16">
        <f>IF(NOT(Paths!$C$388=1),0,IF(Paths!$P$388="Complete",IF(C4201=10,Paths!$I$388,0),"n.a."))</f>
        <v>0</v>
      </c>
      <c r="M4201" s="16">
        <f>IF(NOT(Paths!$C$388=1),0,IF(Paths!$P$388="Complete",IF(AND(Paths!$D$388="EV",Paths!$E$388&lt;120,Paths!$E$388+'Operating costs'!$B$65&gt;Paths!$E$388,Paths!$E$388+'Operating costs'!$B$65&lt;=120,IF(Paths!$E$388+'Operating costs'!$B$65=0,C4201=0,AND(C4201&gt;0,Paths!$E$388+'Operating costs'!$B$65&gt;(C4201-1)*12,Paths!$E$388+'Operating costs'!$B$65&lt;=C4201*12))),'Operating costs'!$B$64,0)+IF(AND('Operating costs'!$B$67&gt;0,'Operating costs'!$B$67&lt;=120,OR(Paths!$D$388="ICE",'Operating costs'!$B$67&lt;=Paths!$E$388),IF('Operating costs'!$B$67=0,C4201=0,AND(C4201&gt;0,'Operating costs'!$B$67&gt;(C4201-1)*12,'Operating costs'!$B$67&lt;=C4201*12))),'Operating costs'!$B$66,0),"n.a."))</f>
        <v>0</v>
      </c>
      <c r="N4201" s="16">
        <f>IF(NOT(Paths!$C$388=1),0,IF(Paths!$P$388="Complete",SUM(G4201:I4201)-J4201-K4201-L4201+M4201+IF(C4201=0,Paths!$F$388,0)+IF(IF(Paths!$E$388=0,C4201=0,AND(C4201&gt;0,Paths!$E$388&gt;(C4201-1)*12,Paths!$E$388&lt;=C4201*12)),VLOOKUP(A4201,'Fleet register'!$A$7:$S$106,16,FALSE),0),"n.a."))</f>
        <v>0</v>
      </c>
      <c r="O4201" s="16">
        <f>IF(NOT(Paths!$C$388=1),0,IF(Paths!$P$388="Complete",N4201-IF(C4201=0,Paths!$F$388,0),"n.a."))</f>
        <v>0</v>
      </c>
      <c r="P4201" s="16">
        <f>IF(NOT(Paths!$C$388=1),0,IF(Paths!$P$388="Complete",O4201+L4201,"n.a."))</f>
        <v>0</v>
      </c>
      <c r="Q4201" s="16">
        <f>IF(NOT(Paths!$C$388=1),0,IF(Paths!$P$388="Complete",N4201*(1+'Operating costs'!$B$54)^-C4201,"n.a."))</f>
        <v>0</v>
      </c>
      <c r="R4201" s="16">
        <f>IF(NOT(Paths!$C$388=1),0,IF(Paths!$P$388="Complete",IF(AND(C4201=0,Paths!$E$388=0),I4201-J4201-K4201+VLOOKUP(A4201,'Fleet register'!$A$7:$S$106,15,FALSE)+VLOOKUP(A4201,'Fleet register'!$A$7:$S$106,16,FALSE),0),"n.a."))</f>
        <v>0</v>
      </c>
      <c r="S4201" s="1">
        <f>IF(NOT(Paths!$C$388=1),0,IF(Paths!$P$388="Complete",IF(C4201=0,0,Paths!$S$388*Paths!$R$388),"n.a."))</f>
        <v>0</v>
      </c>
      <c r="T4201" s="1">
        <f>IF(NOT(Paths!$C$388=1),0,IF(Paths!$P$388="Complete",IF(C4201=0,0,VLOOKUP(A4201,'Fleet register'!$A$7:$S$106,9,FALSE)*Paths!$R$388),"n.a."))</f>
        <v>0</v>
      </c>
    </row>
    <row r="4202" spans="1:20" ht="24" customHeight="1">
      <c r="A4202" s="1" t="str">
        <f>Paths!$A$388</f>
        <v>T096</v>
      </c>
      <c r="B4202" s="1">
        <f>Paths!$B$388</f>
        <v>1</v>
      </c>
      <c r="C4202" s="1">
        <v>4</v>
      </c>
      <c r="D4202" s="1">
        <v>388</v>
      </c>
      <c r="E4202" s="1">
        <f>IF(OR(Paths!$C$388=0,C4202=0),0,MAX(0,MIN(C4202*12,Paths!$E$388)-(C4202-1)*12))</f>
        <v>0</v>
      </c>
      <c r="F4202" s="1">
        <f>IF(OR(Paths!$C$388=0,C4202=0),0,12-E4202)</f>
        <v>0</v>
      </c>
      <c r="G4202" s="16">
        <f>IF(NOT(Paths!$C$388=1),0,IF(Paths!$P$388="Complete",E4202/12*(Paths!$J$388*(1+'Operating costs'!$B$51)^MAX(0,C4202-1)+Paths!$K$388*(1+'Operating costs'!$B$53)^MAX(0,C4202-1)),"n.a."))</f>
        <v>0</v>
      </c>
      <c r="H4202" s="16">
        <f>IF(NOT(Paths!$C$388=1),0,IF(Paths!$P$388="Complete",F4202/12*(Paths!$L$388*(1+IF(Paths!$D$388="EV",'Operating costs'!$B$52,'Operating costs'!$B$51))^MAX(0,C4202-1)+Paths!$M$388*(1+'Operating costs'!$B$53)^MAX(0,C4202-1)),"n.a."))</f>
        <v>0</v>
      </c>
      <c r="I4202" s="16">
        <f>IF(NOT(Paths!$C$388=1),0,IF(Paths!$P$388="Complete",IF(IF(Paths!$E$388=0,C4202=0,AND(C4202&gt;0,Paths!$E$388&gt;(C4202-1)*12,Paths!$E$388&lt;=C4202*12)),Paths!$G$388,0),"n.a."))</f>
        <v>0</v>
      </c>
      <c r="J4202" s="16">
        <f>IF(NOT(Paths!$C$388=1),0,IF(Paths!$P$388="Complete",IF(IF(Paths!$E$388=0,C4202=0,AND(C4202&gt;0,Paths!$E$388&gt;(C4202-1)*12,Paths!$E$388&lt;=C4202*12)),Paths!$H$388,0),"n.a."))</f>
        <v>0</v>
      </c>
      <c r="K4202" s="16">
        <f>IF(NOT(Paths!$C$388=1),0,IF(Paths!$P$388="Complete",IF(IF(Paths!$O$388=0,C4202=0,AND(C4202&gt;0,Paths!$O$388&gt;(C4202-1)*12,Paths!$O$388&lt;=C4202*12)),Paths!$N$388,0),"n.a."))</f>
        <v>0</v>
      </c>
      <c r="L4202" s="16">
        <f>IF(NOT(Paths!$C$388=1),0,IF(Paths!$P$388="Complete",IF(C4202=10,Paths!$I$388,0),"n.a."))</f>
        <v>0</v>
      </c>
      <c r="M4202" s="16">
        <f>IF(NOT(Paths!$C$388=1),0,IF(Paths!$P$388="Complete",IF(AND(Paths!$D$388="EV",Paths!$E$388&lt;120,Paths!$E$388+'Operating costs'!$B$65&gt;Paths!$E$388,Paths!$E$388+'Operating costs'!$B$65&lt;=120,IF(Paths!$E$388+'Operating costs'!$B$65=0,C4202=0,AND(C4202&gt;0,Paths!$E$388+'Operating costs'!$B$65&gt;(C4202-1)*12,Paths!$E$388+'Operating costs'!$B$65&lt;=C4202*12))),'Operating costs'!$B$64,0)+IF(AND('Operating costs'!$B$67&gt;0,'Operating costs'!$B$67&lt;=120,OR(Paths!$D$388="ICE",'Operating costs'!$B$67&lt;=Paths!$E$388),IF('Operating costs'!$B$67=0,C4202=0,AND(C4202&gt;0,'Operating costs'!$B$67&gt;(C4202-1)*12,'Operating costs'!$B$67&lt;=C4202*12))),'Operating costs'!$B$66,0),"n.a."))</f>
        <v>0</v>
      </c>
      <c r="N4202" s="16">
        <f>IF(NOT(Paths!$C$388=1),0,IF(Paths!$P$388="Complete",SUM(G4202:I4202)-J4202-K4202-L4202+M4202+IF(C4202=0,Paths!$F$388,0)+IF(IF(Paths!$E$388=0,C4202=0,AND(C4202&gt;0,Paths!$E$388&gt;(C4202-1)*12,Paths!$E$388&lt;=C4202*12)),VLOOKUP(A4202,'Fleet register'!$A$7:$S$106,16,FALSE),0),"n.a."))</f>
        <v>0</v>
      </c>
      <c r="O4202" s="16">
        <f>IF(NOT(Paths!$C$388=1),0,IF(Paths!$P$388="Complete",N4202-IF(C4202=0,Paths!$F$388,0),"n.a."))</f>
        <v>0</v>
      </c>
      <c r="P4202" s="16">
        <f>IF(NOT(Paths!$C$388=1),0,IF(Paths!$P$388="Complete",O4202+L4202,"n.a."))</f>
        <v>0</v>
      </c>
      <c r="Q4202" s="16">
        <f>IF(NOT(Paths!$C$388=1),0,IF(Paths!$P$388="Complete",N4202*(1+'Operating costs'!$B$54)^-C4202,"n.a."))</f>
        <v>0</v>
      </c>
      <c r="R4202" s="16">
        <f>IF(NOT(Paths!$C$388=1),0,IF(Paths!$P$388="Complete",IF(AND(C4202=0,Paths!$E$388=0),I4202-J4202-K4202+VLOOKUP(A4202,'Fleet register'!$A$7:$S$106,15,FALSE)+VLOOKUP(A4202,'Fleet register'!$A$7:$S$106,16,FALSE),0),"n.a."))</f>
        <v>0</v>
      </c>
      <c r="S4202" s="1">
        <f>IF(NOT(Paths!$C$388=1),0,IF(Paths!$P$388="Complete",IF(C4202=0,0,Paths!$S$388*Paths!$R$388),"n.a."))</f>
        <v>0</v>
      </c>
      <c r="T4202" s="1">
        <f>IF(NOT(Paths!$C$388=1),0,IF(Paths!$P$388="Complete",IF(C4202=0,0,VLOOKUP(A4202,'Fleet register'!$A$7:$S$106,9,FALSE)*Paths!$R$388),"n.a."))</f>
        <v>0</v>
      </c>
    </row>
    <row r="4203" spans="1:20" ht="24" customHeight="1">
      <c r="A4203" s="1" t="str">
        <f>Paths!$A$388</f>
        <v>T096</v>
      </c>
      <c r="B4203" s="1">
        <f>Paths!$B$388</f>
        <v>1</v>
      </c>
      <c r="C4203" s="1">
        <v>5</v>
      </c>
      <c r="D4203" s="1">
        <v>388</v>
      </c>
      <c r="E4203" s="1">
        <f>IF(OR(Paths!$C$388=0,C4203=0),0,MAX(0,MIN(C4203*12,Paths!$E$388)-(C4203-1)*12))</f>
        <v>0</v>
      </c>
      <c r="F4203" s="1">
        <f>IF(OR(Paths!$C$388=0,C4203=0),0,12-E4203)</f>
        <v>0</v>
      </c>
      <c r="G4203" s="16">
        <f>IF(NOT(Paths!$C$388=1),0,IF(Paths!$P$388="Complete",E4203/12*(Paths!$J$388*(1+'Operating costs'!$B$51)^MAX(0,C4203-1)+Paths!$K$388*(1+'Operating costs'!$B$53)^MAX(0,C4203-1)),"n.a."))</f>
        <v>0</v>
      </c>
      <c r="H4203" s="16">
        <f>IF(NOT(Paths!$C$388=1),0,IF(Paths!$P$388="Complete",F4203/12*(Paths!$L$388*(1+IF(Paths!$D$388="EV",'Operating costs'!$B$52,'Operating costs'!$B$51))^MAX(0,C4203-1)+Paths!$M$388*(1+'Operating costs'!$B$53)^MAX(0,C4203-1)),"n.a."))</f>
        <v>0</v>
      </c>
      <c r="I4203" s="16">
        <f>IF(NOT(Paths!$C$388=1),0,IF(Paths!$P$388="Complete",IF(IF(Paths!$E$388=0,C4203=0,AND(C4203&gt;0,Paths!$E$388&gt;(C4203-1)*12,Paths!$E$388&lt;=C4203*12)),Paths!$G$388,0),"n.a."))</f>
        <v>0</v>
      </c>
      <c r="J4203" s="16">
        <f>IF(NOT(Paths!$C$388=1),0,IF(Paths!$P$388="Complete",IF(IF(Paths!$E$388=0,C4203=0,AND(C4203&gt;0,Paths!$E$388&gt;(C4203-1)*12,Paths!$E$388&lt;=C4203*12)),Paths!$H$388,0),"n.a."))</f>
        <v>0</v>
      </c>
      <c r="K4203" s="16">
        <f>IF(NOT(Paths!$C$388=1),0,IF(Paths!$P$388="Complete",IF(IF(Paths!$O$388=0,C4203=0,AND(C4203&gt;0,Paths!$O$388&gt;(C4203-1)*12,Paths!$O$388&lt;=C4203*12)),Paths!$N$388,0),"n.a."))</f>
        <v>0</v>
      </c>
      <c r="L4203" s="16">
        <f>IF(NOT(Paths!$C$388=1),0,IF(Paths!$P$388="Complete",IF(C4203=10,Paths!$I$388,0),"n.a."))</f>
        <v>0</v>
      </c>
      <c r="M4203" s="16">
        <f>IF(NOT(Paths!$C$388=1),0,IF(Paths!$P$388="Complete",IF(AND(Paths!$D$388="EV",Paths!$E$388&lt;120,Paths!$E$388+'Operating costs'!$B$65&gt;Paths!$E$388,Paths!$E$388+'Operating costs'!$B$65&lt;=120,IF(Paths!$E$388+'Operating costs'!$B$65=0,C4203=0,AND(C4203&gt;0,Paths!$E$388+'Operating costs'!$B$65&gt;(C4203-1)*12,Paths!$E$388+'Operating costs'!$B$65&lt;=C4203*12))),'Operating costs'!$B$64,0)+IF(AND('Operating costs'!$B$67&gt;0,'Operating costs'!$B$67&lt;=120,OR(Paths!$D$388="ICE",'Operating costs'!$B$67&lt;=Paths!$E$388),IF('Operating costs'!$B$67=0,C4203=0,AND(C4203&gt;0,'Operating costs'!$B$67&gt;(C4203-1)*12,'Operating costs'!$B$67&lt;=C4203*12))),'Operating costs'!$B$66,0),"n.a."))</f>
        <v>0</v>
      </c>
      <c r="N4203" s="16">
        <f>IF(NOT(Paths!$C$388=1),0,IF(Paths!$P$388="Complete",SUM(G4203:I4203)-J4203-K4203-L4203+M4203+IF(C4203=0,Paths!$F$388,0)+IF(IF(Paths!$E$388=0,C4203=0,AND(C4203&gt;0,Paths!$E$388&gt;(C4203-1)*12,Paths!$E$388&lt;=C4203*12)),VLOOKUP(A4203,'Fleet register'!$A$7:$S$106,16,FALSE),0),"n.a."))</f>
        <v>0</v>
      </c>
      <c r="O4203" s="16">
        <f>IF(NOT(Paths!$C$388=1),0,IF(Paths!$P$388="Complete",N4203-IF(C4203=0,Paths!$F$388,0),"n.a."))</f>
        <v>0</v>
      </c>
      <c r="P4203" s="16">
        <f>IF(NOT(Paths!$C$388=1),0,IF(Paths!$P$388="Complete",O4203+L4203,"n.a."))</f>
        <v>0</v>
      </c>
      <c r="Q4203" s="16">
        <f>IF(NOT(Paths!$C$388=1),0,IF(Paths!$P$388="Complete",N4203*(1+'Operating costs'!$B$54)^-C4203,"n.a."))</f>
        <v>0</v>
      </c>
      <c r="R4203" s="16">
        <f>IF(NOT(Paths!$C$388=1),0,IF(Paths!$P$388="Complete",IF(AND(C4203=0,Paths!$E$388=0),I4203-J4203-K4203+VLOOKUP(A4203,'Fleet register'!$A$7:$S$106,15,FALSE)+VLOOKUP(A4203,'Fleet register'!$A$7:$S$106,16,FALSE),0),"n.a."))</f>
        <v>0</v>
      </c>
      <c r="S4203" s="1">
        <f>IF(NOT(Paths!$C$388=1),0,IF(Paths!$P$388="Complete",IF(C4203=0,0,Paths!$S$388*Paths!$R$388),"n.a."))</f>
        <v>0</v>
      </c>
      <c r="T4203" s="1">
        <f>IF(NOT(Paths!$C$388=1),0,IF(Paths!$P$388="Complete",IF(C4203=0,0,VLOOKUP(A4203,'Fleet register'!$A$7:$S$106,9,FALSE)*Paths!$R$388),"n.a."))</f>
        <v>0</v>
      </c>
    </row>
    <row r="4204" spans="1:20" ht="24" customHeight="1">
      <c r="A4204" s="1" t="str">
        <f>Paths!$A$388</f>
        <v>T096</v>
      </c>
      <c r="B4204" s="1">
        <f>Paths!$B$388</f>
        <v>1</v>
      </c>
      <c r="C4204" s="1">
        <v>6</v>
      </c>
      <c r="D4204" s="1">
        <v>388</v>
      </c>
      <c r="E4204" s="1">
        <f>IF(OR(Paths!$C$388=0,C4204=0),0,MAX(0,MIN(C4204*12,Paths!$E$388)-(C4204-1)*12))</f>
        <v>0</v>
      </c>
      <c r="F4204" s="1">
        <f>IF(OR(Paths!$C$388=0,C4204=0),0,12-E4204)</f>
        <v>0</v>
      </c>
      <c r="G4204" s="16">
        <f>IF(NOT(Paths!$C$388=1),0,IF(Paths!$P$388="Complete",E4204/12*(Paths!$J$388*(1+'Operating costs'!$B$51)^MAX(0,C4204-1)+Paths!$K$388*(1+'Operating costs'!$B$53)^MAX(0,C4204-1)),"n.a."))</f>
        <v>0</v>
      </c>
      <c r="H4204" s="16">
        <f>IF(NOT(Paths!$C$388=1),0,IF(Paths!$P$388="Complete",F4204/12*(Paths!$L$388*(1+IF(Paths!$D$388="EV",'Operating costs'!$B$52,'Operating costs'!$B$51))^MAX(0,C4204-1)+Paths!$M$388*(1+'Operating costs'!$B$53)^MAX(0,C4204-1)),"n.a."))</f>
        <v>0</v>
      </c>
      <c r="I4204" s="16">
        <f>IF(NOT(Paths!$C$388=1),0,IF(Paths!$P$388="Complete",IF(IF(Paths!$E$388=0,C4204=0,AND(C4204&gt;0,Paths!$E$388&gt;(C4204-1)*12,Paths!$E$388&lt;=C4204*12)),Paths!$G$388,0),"n.a."))</f>
        <v>0</v>
      </c>
      <c r="J4204" s="16">
        <f>IF(NOT(Paths!$C$388=1),0,IF(Paths!$P$388="Complete",IF(IF(Paths!$E$388=0,C4204=0,AND(C4204&gt;0,Paths!$E$388&gt;(C4204-1)*12,Paths!$E$388&lt;=C4204*12)),Paths!$H$388,0),"n.a."))</f>
        <v>0</v>
      </c>
      <c r="K4204" s="16">
        <f>IF(NOT(Paths!$C$388=1),0,IF(Paths!$P$388="Complete",IF(IF(Paths!$O$388=0,C4204=0,AND(C4204&gt;0,Paths!$O$388&gt;(C4204-1)*12,Paths!$O$388&lt;=C4204*12)),Paths!$N$388,0),"n.a."))</f>
        <v>0</v>
      </c>
      <c r="L4204" s="16">
        <f>IF(NOT(Paths!$C$388=1),0,IF(Paths!$P$388="Complete",IF(C4204=10,Paths!$I$388,0),"n.a."))</f>
        <v>0</v>
      </c>
      <c r="M4204" s="16">
        <f>IF(NOT(Paths!$C$388=1),0,IF(Paths!$P$388="Complete",IF(AND(Paths!$D$388="EV",Paths!$E$388&lt;120,Paths!$E$388+'Operating costs'!$B$65&gt;Paths!$E$388,Paths!$E$388+'Operating costs'!$B$65&lt;=120,IF(Paths!$E$388+'Operating costs'!$B$65=0,C4204=0,AND(C4204&gt;0,Paths!$E$388+'Operating costs'!$B$65&gt;(C4204-1)*12,Paths!$E$388+'Operating costs'!$B$65&lt;=C4204*12))),'Operating costs'!$B$64,0)+IF(AND('Operating costs'!$B$67&gt;0,'Operating costs'!$B$67&lt;=120,OR(Paths!$D$388="ICE",'Operating costs'!$B$67&lt;=Paths!$E$388),IF('Operating costs'!$B$67=0,C4204=0,AND(C4204&gt;0,'Operating costs'!$B$67&gt;(C4204-1)*12,'Operating costs'!$B$67&lt;=C4204*12))),'Operating costs'!$B$66,0),"n.a."))</f>
        <v>0</v>
      </c>
      <c r="N4204" s="16">
        <f>IF(NOT(Paths!$C$388=1),0,IF(Paths!$P$388="Complete",SUM(G4204:I4204)-J4204-K4204-L4204+M4204+IF(C4204=0,Paths!$F$388,0)+IF(IF(Paths!$E$388=0,C4204=0,AND(C4204&gt;0,Paths!$E$388&gt;(C4204-1)*12,Paths!$E$388&lt;=C4204*12)),VLOOKUP(A4204,'Fleet register'!$A$7:$S$106,16,FALSE),0),"n.a."))</f>
        <v>0</v>
      </c>
      <c r="O4204" s="16">
        <f>IF(NOT(Paths!$C$388=1),0,IF(Paths!$P$388="Complete",N4204-IF(C4204=0,Paths!$F$388,0),"n.a."))</f>
        <v>0</v>
      </c>
      <c r="P4204" s="16">
        <f>IF(NOT(Paths!$C$388=1),0,IF(Paths!$P$388="Complete",O4204+L4204,"n.a."))</f>
        <v>0</v>
      </c>
      <c r="Q4204" s="16">
        <f>IF(NOT(Paths!$C$388=1),0,IF(Paths!$P$388="Complete",N4204*(1+'Operating costs'!$B$54)^-C4204,"n.a."))</f>
        <v>0</v>
      </c>
      <c r="R4204" s="16">
        <f>IF(NOT(Paths!$C$388=1),0,IF(Paths!$P$388="Complete",IF(AND(C4204=0,Paths!$E$388=0),I4204-J4204-K4204+VLOOKUP(A4204,'Fleet register'!$A$7:$S$106,15,FALSE)+VLOOKUP(A4204,'Fleet register'!$A$7:$S$106,16,FALSE),0),"n.a."))</f>
        <v>0</v>
      </c>
      <c r="S4204" s="1">
        <f>IF(NOT(Paths!$C$388=1),0,IF(Paths!$P$388="Complete",IF(C4204=0,0,Paths!$S$388*Paths!$R$388),"n.a."))</f>
        <v>0</v>
      </c>
      <c r="T4204" s="1">
        <f>IF(NOT(Paths!$C$388=1),0,IF(Paths!$P$388="Complete",IF(C4204=0,0,VLOOKUP(A4204,'Fleet register'!$A$7:$S$106,9,FALSE)*Paths!$R$388),"n.a."))</f>
        <v>0</v>
      </c>
    </row>
    <row r="4205" spans="1:20" ht="24" customHeight="1">
      <c r="A4205" s="1" t="str">
        <f>Paths!$A$388</f>
        <v>T096</v>
      </c>
      <c r="B4205" s="1">
        <f>Paths!$B$388</f>
        <v>1</v>
      </c>
      <c r="C4205" s="1">
        <v>7</v>
      </c>
      <c r="D4205" s="1">
        <v>388</v>
      </c>
      <c r="E4205" s="1">
        <f>IF(OR(Paths!$C$388=0,C4205=0),0,MAX(0,MIN(C4205*12,Paths!$E$388)-(C4205-1)*12))</f>
        <v>0</v>
      </c>
      <c r="F4205" s="1">
        <f>IF(OR(Paths!$C$388=0,C4205=0),0,12-E4205)</f>
        <v>0</v>
      </c>
      <c r="G4205" s="16">
        <f>IF(NOT(Paths!$C$388=1),0,IF(Paths!$P$388="Complete",E4205/12*(Paths!$J$388*(1+'Operating costs'!$B$51)^MAX(0,C4205-1)+Paths!$K$388*(1+'Operating costs'!$B$53)^MAX(0,C4205-1)),"n.a."))</f>
        <v>0</v>
      </c>
      <c r="H4205" s="16">
        <f>IF(NOT(Paths!$C$388=1),0,IF(Paths!$P$388="Complete",F4205/12*(Paths!$L$388*(1+IF(Paths!$D$388="EV",'Operating costs'!$B$52,'Operating costs'!$B$51))^MAX(0,C4205-1)+Paths!$M$388*(1+'Operating costs'!$B$53)^MAX(0,C4205-1)),"n.a."))</f>
        <v>0</v>
      </c>
      <c r="I4205" s="16">
        <f>IF(NOT(Paths!$C$388=1),0,IF(Paths!$P$388="Complete",IF(IF(Paths!$E$388=0,C4205=0,AND(C4205&gt;0,Paths!$E$388&gt;(C4205-1)*12,Paths!$E$388&lt;=C4205*12)),Paths!$G$388,0),"n.a."))</f>
        <v>0</v>
      </c>
      <c r="J4205" s="16">
        <f>IF(NOT(Paths!$C$388=1),0,IF(Paths!$P$388="Complete",IF(IF(Paths!$E$388=0,C4205=0,AND(C4205&gt;0,Paths!$E$388&gt;(C4205-1)*12,Paths!$E$388&lt;=C4205*12)),Paths!$H$388,0),"n.a."))</f>
        <v>0</v>
      </c>
      <c r="K4205" s="16">
        <f>IF(NOT(Paths!$C$388=1),0,IF(Paths!$P$388="Complete",IF(IF(Paths!$O$388=0,C4205=0,AND(C4205&gt;0,Paths!$O$388&gt;(C4205-1)*12,Paths!$O$388&lt;=C4205*12)),Paths!$N$388,0),"n.a."))</f>
        <v>0</v>
      </c>
      <c r="L4205" s="16">
        <f>IF(NOT(Paths!$C$388=1),0,IF(Paths!$P$388="Complete",IF(C4205=10,Paths!$I$388,0),"n.a."))</f>
        <v>0</v>
      </c>
      <c r="M4205" s="16">
        <f>IF(NOT(Paths!$C$388=1),0,IF(Paths!$P$388="Complete",IF(AND(Paths!$D$388="EV",Paths!$E$388&lt;120,Paths!$E$388+'Operating costs'!$B$65&gt;Paths!$E$388,Paths!$E$388+'Operating costs'!$B$65&lt;=120,IF(Paths!$E$388+'Operating costs'!$B$65=0,C4205=0,AND(C4205&gt;0,Paths!$E$388+'Operating costs'!$B$65&gt;(C4205-1)*12,Paths!$E$388+'Operating costs'!$B$65&lt;=C4205*12))),'Operating costs'!$B$64,0)+IF(AND('Operating costs'!$B$67&gt;0,'Operating costs'!$B$67&lt;=120,OR(Paths!$D$388="ICE",'Operating costs'!$B$67&lt;=Paths!$E$388),IF('Operating costs'!$B$67=0,C4205=0,AND(C4205&gt;0,'Operating costs'!$B$67&gt;(C4205-1)*12,'Operating costs'!$B$67&lt;=C4205*12))),'Operating costs'!$B$66,0),"n.a."))</f>
        <v>0</v>
      </c>
      <c r="N4205" s="16">
        <f>IF(NOT(Paths!$C$388=1),0,IF(Paths!$P$388="Complete",SUM(G4205:I4205)-J4205-K4205-L4205+M4205+IF(C4205=0,Paths!$F$388,0)+IF(IF(Paths!$E$388=0,C4205=0,AND(C4205&gt;0,Paths!$E$388&gt;(C4205-1)*12,Paths!$E$388&lt;=C4205*12)),VLOOKUP(A4205,'Fleet register'!$A$7:$S$106,16,FALSE),0),"n.a."))</f>
        <v>0</v>
      </c>
      <c r="O4205" s="16">
        <f>IF(NOT(Paths!$C$388=1),0,IF(Paths!$P$388="Complete",N4205-IF(C4205=0,Paths!$F$388,0),"n.a."))</f>
        <v>0</v>
      </c>
      <c r="P4205" s="16">
        <f>IF(NOT(Paths!$C$388=1),0,IF(Paths!$P$388="Complete",O4205+L4205,"n.a."))</f>
        <v>0</v>
      </c>
      <c r="Q4205" s="16">
        <f>IF(NOT(Paths!$C$388=1),0,IF(Paths!$P$388="Complete",N4205*(1+'Operating costs'!$B$54)^-C4205,"n.a."))</f>
        <v>0</v>
      </c>
      <c r="R4205" s="16">
        <f>IF(NOT(Paths!$C$388=1),0,IF(Paths!$P$388="Complete",IF(AND(C4205=0,Paths!$E$388=0),I4205-J4205-K4205+VLOOKUP(A4205,'Fleet register'!$A$7:$S$106,15,FALSE)+VLOOKUP(A4205,'Fleet register'!$A$7:$S$106,16,FALSE),0),"n.a."))</f>
        <v>0</v>
      </c>
      <c r="S4205" s="1">
        <f>IF(NOT(Paths!$C$388=1),0,IF(Paths!$P$388="Complete",IF(C4205=0,0,Paths!$S$388*Paths!$R$388),"n.a."))</f>
        <v>0</v>
      </c>
      <c r="T4205" s="1">
        <f>IF(NOT(Paths!$C$388=1),0,IF(Paths!$P$388="Complete",IF(C4205=0,0,VLOOKUP(A4205,'Fleet register'!$A$7:$S$106,9,FALSE)*Paths!$R$388),"n.a."))</f>
        <v>0</v>
      </c>
    </row>
    <row r="4206" spans="1:20" ht="24" customHeight="1">
      <c r="A4206" s="1" t="str">
        <f>Paths!$A$388</f>
        <v>T096</v>
      </c>
      <c r="B4206" s="1">
        <f>Paths!$B$388</f>
        <v>1</v>
      </c>
      <c r="C4206" s="1">
        <v>8</v>
      </c>
      <c r="D4206" s="1">
        <v>388</v>
      </c>
      <c r="E4206" s="1">
        <f>IF(OR(Paths!$C$388=0,C4206=0),0,MAX(0,MIN(C4206*12,Paths!$E$388)-(C4206-1)*12))</f>
        <v>0</v>
      </c>
      <c r="F4206" s="1">
        <f>IF(OR(Paths!$C$388=0,C4206=0),0,12-E4206)</f>
        <v>0</v>
      </c>
      <c r="G4206" s="16">
        <f>IF(NOT(Paths!$C$388=1),0,IF(Paths!$P$388="Complete",E4206/12*(Paths!$J$388*(1+'Operating costs'!$B$51)^MAX(0,C4206-1)+Paths!$K$388*(1+'Operating costs'!$B$53)^MAX(0,C4206-1)),"n.a."))</f>
        <v>0</v>
      </c>
      <c r="H4206" s="16">
        <f>IF(NOT(Paths!$C$388=1),0,IF(Paths!$P$388="Complete",F4206/12*(Paths!$L$388*(1+IF(Paths!$D$388="EV",'Operating costs'!$B$52,'Operating costs'!$B$51))^MAX(0,C4206-1)+Paths!$M$388*(1+'Operating costs'!$B$53)^MAX(0,C4206-1)),"n.a."))</f>
        <v>0</v>
      </c>
      <c r="I4206" s="16">
        <f>IF(NOT(Paths!$C$388=1),0,IF(Paths!$P$388="Complete",IF(IF(Paths!$E$388=0,C4206=0,AND(C4206&gt;0,Paths!$E$388&gt;(C4206-1)*12,Paths!$E$388&lt;=C4206*12)),Paths!$G$388,0),"n.a."))</f>
        <v>0</v>
      </c>
      <c r="J4206" s="16">
        <f>IF(NOT(Paths!$C$388=1),0,IF(Paths!$P$388="Complete",IF(IF(Paths!$E$388=0,C4206=0,AND(C4206&gt;0,Paths!$E$388&gt;(C4206-1)*12,Paths!$E$388&lt;=C4206*12)),Paths!$H$388,0),"n.a."))</f>
        <v>0</v>
      </c>
      <c r="K4206" s="16">
        <f>IF(NOT(Paths!$C$388=1),0,IF(Paths!$P$388="Complete",IF(IF(Paths!$O$388=0,C4206=0,AND(C4206&gt;0,Paths!$O$388&gt;(C4206-1)*12,Paths!$O$388&lt;=C4206*12)),Paths!$N$388,0),"n.a."))</f>
        <v>0</v>
      </c>
      <c r="L4206" s="16">
        <f>IF(NOT(Paths!$C$388=1),0,IF(Paths!$P$388="Complete",IF(C4206=10,Paths!$I$388,0),"n.a."))</f>
        <v>0</v>
      </c>
      <c r="M4206" s="16">
        <f>IF(NOT(Paths!$C$388=1),0,IF(Paths!$P$388="Complete",IF(AND(Paths!$D$388="EV",Paths!$E$388&lt;120,Paths!$E$388+'Operating costs'!$B$65&gt;Paths!$E$388,Paths!$E$388+'Operating costs'!$B$65&lt;=120,IF(Paths!$E$388+'Operating costs'!$B$65=0,C4206=0,AND(C4206&gt;0,Paths!$E$388+'Operating costs'!$B$65&gt;(C4206-1)*12,Paths!$E$388+'Operating costs'!$B$65&lt;=C4206*12))),'Operating costs'!$B$64,0)+IF(AND('Operating costs'!$B$67&gt;0,'Operating costs'!$B$67&lt;=120,OR(Paths!$D$388="ICE",'Operating costs'!$B$67&lt;=Paths!$E$388),IF('Operating costs'!$B$67=0,C4206=0,AND(C4206&gt;0,'Operating costs'!$B$67&gt;(C4206-1)*12,'Operating costs'!$B$67&lt;=C4206*12))),'Operating costs'!$B$66,0),"n.a."))</f>
        <v>0</v>
      </c>
      <c r="N4206" s="16">
        <f>IF(NOT(Paths!$C$388=1),0,IF(Paths!$P$388="Complete",SUM(G4206:I4206)-J4206-K4206-L4206+M4206+IF(C4206=0,Paths!$F$388,0)+IF(IF(Paths!$E$388=0,C4206=0,AND(C4206&gt;0,Paths!$E$388&gt;(C4206-1)*12,Paths!$E$388&lt;=C4206*12)),VLOOKUP(A4206,'Fleet register'!$A$7:$S$106,16,FALSE),0),"n.a."))</f>
        <v>0</v>
      </c>
      <c r="O4206" s="16">
        <f>IF(NOT(Paths!$C$388=1),0,IF(Paths!$P$388="Complete",N4206-IF(C4206=0,Paths!$F$388,0),"n.a."))</f>
        <v>0</v>
      </c>
      <c r="P4206" s="16">
        <f>IF(NOT(Paths!$C$388=1),0,IF(Paths!$P$388="Complete",O4206+L4206,"n.a."))</f>
        <v>0</v>
      </c>
      <c r="Q4206" s="16">
        <f>IF(NOT(Paths!$C$388=1),0,IF(Paths!$P$388="Complete",N4206*(1+'Operating costs'!$B$54)^-C4206,"n.a."))</f>
        <v>0</v>
      </c>
      <c r="R4206" s="16">
        <f>IF(NOT(Paths!$C$388=1),0,IF(Paths!$P$388="Complete",IF(AND(C4206=0,Paths!$E$388=0),I4206-J4206-K4206+VLOOKUP(A4206,'Fleet register'!$A$7:$S$106,15,FALSE)+VLOOKUP(A4206,'Fleet register'!$A$7:$S$106,16,FALSE),0),"n.a."))</f>
        <v>0</v>
      </c>
      <c r="S4206" s="1">
        <f>IF(NOT(Paths!$C$388=1),0,IF(Paths!$P$388="Complete",IF(C4206=0,0,Paths!$S$388*Paths!$R$388),"n.a."))</f>
        <v>0</v>
      </c>
      <c r="T4206" s="1">
        <f>IF(NOT(Paths!$C$388=1),0,IF(Paths!$P$388="Complete",IF(C4206=0,0,VLOOKUP(A4206,'Fleet register'!$A$7:$S$106,9,FALSE)*Paths!$R$388),"n.a."))</f>
        <v>0</v>
      </c>
    </row>
    <row r="4207" spans="1:20" ht="24" customHeight="1">
      <c r="A4207" s="1" t="str">
        <f>Paths!$A$388</f>
        <v>T096</v>
      </c>
      <c r="B4207" s="1">
        <f>Paths!$B$388</f>
        <v>1</v>
      </c>
      <c r="C4207" s="1">
        <v>9</v>
      </c>
      <c r="D4207" s="1">
        <v>388</v>
      </c>
      <c r="E4207" s="1">
        <f>IF(OR(Paths!$C$388=0,C4207=0),0,MAX(0,MIN(C4207*12,Paths!$E$388)-(C4207-1)*12))</f>
        <v>0</v>
      </c>
      <c r="F4207" s="1">
        <f>IF(OR(Paths!$C$388=0,C4207=0),0,12-E4207)</f>
        <v>0</v>
      </c>
      <c r="G4207" s="16">
        <f>IF(NOT(Paths!$C$388=1),0,IF(Paths!$P$388="Complete",E4207/12*(Paths!$J$388*(1+'Operating costs'!$B$51)^MAX(0,C4207-1)+Paths!$K$388*(1+'Operating costs'!$B$53)^MAX(0,C4207-1)),"n.a."))</f>
        <v>0</v>
      </c>
      <c r="H4207" s="16">
        <f>IF(NOT(Paths!$C$388=1),0,IF(Paths!$P$388="Complete",F4207/12*(Paths!$L$388*(1+IF(Paths!$D$388="EV",'Operating costs'!$B$52,'Operating costs'!$B$51))^MAX(0,C4207-1)+Paths!$M$388*(1+'Operating costs'!$B$53)^MAX(0,C4207-1)),"n.a."))</f>
        <v>0</v>
      </c>
      <c r="I4207" s="16">
        <f>IF(NOT(Paths!$C$388=1),0,IF(Paths!$P$388="Complete",IF(IF(Paths!$E$388=0,C4207=0,AND(C4207&gt;0,Paths!$E$388&gt;(C4207-1)*12,Paths!$E$388&lt;=C4207*12)),Paths!$G$388,0),"n.a."))</f>
        <v>0</v>
      </c>
      <c r="J4207" s="16">
        <f>IF(NOT(Paths!$C$388=1),0,IF(Paths!$P$388="Complete",IF(IF(Paths!$E$388=0,C4207=0,AND(C4207&gt;0,Paths!$E$388&gt;(C4207-1)*12,Paths!$E$388&lt;=C4207*12)),Paths!$H$388,0),"n.a."))</f>
        <v>0</v>
      </c>
      <c r="K4207" s="16">
        <f>IF(NOT(Paths!$C$388=1),0,IF(Paths!$P$388="Complete",IF(IF(Paths!$O$388=0,C4207=0,AND(C4207&gt;0,Paths!$O$388&gt;(C4207-1)*12,Paths!$O$388&lt;=C4207*12)),Paths!$N$388,0),"n.a."))</f>
        <v>0</v>
      </c>
      <c r="L4207" s="16">
        <f>IF(NOT(Paths!$C$388=1),0,IF(Paths!$P$388="Complete",IF(C4207=10,Paths!$I$388,0),"n.a."))</f>
        <v>0</v>
      </c>
      <c r="M4207" s="16">
        <f>IF(NOT(Paths!$C$388=1),0,IF(Paths!$P$388="Complete",IF(AND(Paths!$D$388="EV",Paths!$E$388&lt;120,Paths!$E$388+'Operating costs'!$B$65&gt;Paths!$E$388,Paths!$E$388+'Operating costs'!$B$65&lt;=120,IF(Paths!$E$388+'Operating costs'!$B$65=0,C4207=0,AND(C4207&gt;0,Paths!$E$388+'Operating costs'!$B$65&gt;(C4207-1)*12,Paths!$E$388+'Operating costs'!$B$65&lt;=C4207*12))),'Operating costs'!$B$64,0)+IF(AND('Operating costs'!$B$67&gt;0,'Operating costs'!$B$67&lt;=120,OR(Paths!$D$388="ICE",'Operating costs'!$B$67&lt;=Paths!$E$388),IF('Operating costs'!$B$67=0,C4207=0,AND(C4207&gt;0,'Operating costs'!$B$67&gt;(C4207-1)*12,'Operating costs'!$B$67&lt;=C4207*12))),'Operating costs'!$B$66,0),"n.a."))</f>
        <v>0</v>
      </c>
      <c r="N4207" s="16">
        <f>IF(NOT(Paths!$C$388=1),0,IF(Paths!$P$388="Complete",SUM(G4207:I4207)-J4207-K4207-L4207+M4207+IF(C4207=0,Paths!$F$388,0)+IF(IF(Paths!$E$388=0,C4207=0,AND(C4207&gt;0,Paths!$E$388&gt;(C4207-1)*12,Paths!$E$388&lt;=C4207*12)),VLOOKUP(A4207,'Fleet register'!$A$7:$S$106,16,FALSE),0),"n.a."))</f>
        <v>0</v>
      </c>
      <c r="O4207" s="16">
        <f>IF(NOT(Paths!$C$388=1),0,IF(Paths!$P$388="Complete",N4207-IF(C4207=0,Paths!$F$388,0),"n.a."))</f>
        <v>0</v>
      </c>
      <c r="P4207" s="16">
        <f>IF(NOT(Paths!$C$388=1),0,IF(Paths!$P$388="Complete",O4207+L4207,"n.a."))</f>
        <v>0</v>
      </c>
      <c r="Q4207" s="16">
        <f>IF(NOT(Paths!$C$388=1),0,IF(Paths!$P$388="Complete",N4207*(1+'Operating costs'!$B$54)^-C4207,"n.a."))</f>
        <v>0</v>
      </c>
      <c r="R4207" s="16">
        <f>IF(NOT(Paths!$C$388=1),0,IF(Paths!$P$388="Complete",IF(AND(C4207=0,Paths!$E$388=0),I4207-J4207-K4207+VLOOKUP(A4207,'Fleet register'!$A$7:$S$106,15,FALSE)+VLOOKUP(A4207,'Fleet register'!$A$7:$S$106,16,FALSE),0),"n.a."))</f>
        <v>0</v>
      </c>
      <c r="S4207" s="1">
        <f>IF(NOT(Paths!$C$388=1),0,IF(Paths!$P$388="Complete",IF(C4207=0,0,Paths!$S$388*Paths!$R$388),"n.a."))</f>
        <v>0</v>
      </c>
      <c r="T4207" s="1">
        <f>IF(NOT(Paths!$C$388=1),0,IF(Paths!$P$388="Complete",IF(C4207=0,0,VLOOKUP(A4207,'Fleet register'!$A$7:$S$106,9,FALSE)*Paths!$R$388),"n.a."))</f>
        <v>0</v>
      </c>
    </row>
    <row r="4208" spans="1:20" ht="24" customHeight="1">
      <c r="A4208" s="1" t="str">
        <f>Paths!$A$388</f>
        <v>T096</v>
      </c>
      <c r="B4208" s="1">
        <f>Paths!$B$388</f>
        <v>1</v>
      </c>
      <c r="C4208" s="1">
        <v>10</v>
      </c>
      <c r="D4208" s="1">
        <v>388</v>
      </c>
      <c r="E4208" s="1">
        <f>IF(OR(Paths!$C$388=0,C4208=0),0,MAX(0,MIN(C4208*12,Paths!$E$388)-(C4208-1)*12))</f>
        <v>0</v>
      </c>
      <c r="F4208" s="1">
        <f>IF(OR(Paths!$C$388=0,C4208=0),0,12-E4208)</f>
        <v>0</v>
      </c>
      <c r="G4208" s="16">
        <f>IF(NOT(Paths!$C$388=1),0,IF(Paths!$P$388="Complete",E4208/12*(Paths!$J$388*(1+'Operating costs'!$B$51)^MAX(0,C4208-1)+Paths!$K$388*(1+'Operating costs'!$B$53)^MAX(0,C4208-1)),"n.a."))</f>
        <v>0</v>
      </c>
      <c r="H4208" s="16">
        <f>IF(NOT(Paths!$C$388=1),0,IF(Paths!$P$388="Complete",F4208/12*(Paths!$L$388*(1+IF(Paths!$D$388="EV",'Operating costs'!$B$52,'Operating costs'!$B$51))^MAX(0,C4208-1)+Paths!$M$388*(1+'Operating costs'!$B$53)^MAX(0,C4208-1)),"n.a."))</f>
        <v>0</v>
      </c>
      <c r="I4208" s="16">
        <f>IF(NOT(Paths!$C$388=1),0,IF(Paths!$P$388="Complete",IF(IF(Paths!$E$388=0,C4208=0,AND(C4208&gt;0,Paths!$E$388&gt;(C4208-1)*12,Paths!$E$388&lt;=C4208*12)),Paths!$G$388,0),"n.a."))</f>
        <v>0</v>
      </c>
      <c r="J4208" s="16">
        <f>IF(NOT(Paths!$C$388=1),0,IF(Paths!$P$388="Complete",IF(IF(Paths!$E$388=0,C4208=0,AND(C4208&gt;0,Paths!$E$388&gt;(C4208-1)*12,Paths!$E$388&lt;=C4208*12)),Paths!$H$388,0),"n.a."))</f>
        <v>0</v>
      </c>
      <c r="K4208" s="16">
        <f>IF(NOT(Paths!$C$388=1),0,IF(Paths!$P$388="Complete",IF(IF(Paths!$O$388=0,C4208=0,AND(C4208&gt;0,Paths!$O$388&gt;(C4208-1)*12,Paths!$O$388&lt;=C4208*12)),Paths!$N$388,0),"n.a."))</f>
        <v>0</v>
      </c>
      <c r="L4208" s="16">
        <f>IF(NOT(Paths!$C$388=1),0,IF(Paths!$P$388="Complete",IF(C4208=10,Paths!$I$388,0),"n.a."))</f>
        <v>0</v>
      </c>
      <c r="M4208" s="16">
        <f>IF(NOT(Paths!$C$388=1),0,IF(Paths!$P$388="Complete",IF(AND(Paths!$D$388="EV",Paths!$E$388&lt;120,Paths!$E$388+'Operating costs'!$B$65&gt;Paths!$E$388,Paths!$E$388+'Operating costs'!$B$65&lt;=120,IF(Paths!$E$388+'Operating costs'!$B$65=0,C4208=0,AND(C4208&gt;0,Paths!$E$388+'Operating costs'!$B$65&gt;(C4208-1)*12,Paths!$E$388+'Operating costs'!$B$65&lt;=C4208*12))),'Operating costs'!$B$64,0)+IF(AND('Operating costs'!$B$67&gt;0,'Operating costs'!$B$67&lt;=120,OR(Paths!$D$388="ICE",'Operating costs'!$B$67&lt;=Paths!$E$388),IF('Operating costs'!$B$67=0,C4208=0,AND(C4208&gt;0,'Operating costs'!$B$67&gt;(C4208-1)*12,'Operating costs'!$B$67&lt;=C4208*12))),'Operating costs'!$B$66,0),"n.a."))</f>
        <v>0</v>
      </c>
      <c r="N4208" s="16">
        <f>IF(NOT(Paths!$C$388=1),0,IF(Paths!$P$388="Complete",SUM(G4208:I4208)-J4208-K4208-L4208+M4208+IF(C4208=0,Paths!$F$388,0)+IF(IF(Paths!$E$388=0,C4208=0,AND(C4208&gt;0,Paths!$E$388&gt;(C4208-1)*12,Paths!$E$388&lt;=C4208*12)),VLOOKUP(A4208,'Fleet register'!$A$7:$S$106,16,FALSE),0),"n.a."))</f>
        <v>0</v>
      </c>
      <c r="O4208" s="16">
        <f>IF(NOT(Paths!$C$388=1),0,IF(Paths!$P$388="Complete",N4208-IF(C4208=0,Paths!$F$388,0),"n.a."))</f>
        <v>0</v>
      </c>
      <c r="P4208" s="16">
        <f>IF(NOT(Paths!$C$388=1),0,IF(Paths!$P$388="Complete",O4208+L4208,"n.a."))</f>
        <v>0</v>
      </c>
      <c r="Q4208" s="16">
        <f>IF(NOT(Paths!$C$388=1),0,IF(Paths!$P$388="Complete",N4208*(1+'Operating costs'!$B$54)^-C4208,"n.a."))</f>
        <v>0</v>
      </c>
      <c r="R4208" s="16">
        <f>IF(NOT(Paths!$C$388=1),0,IF(Paths!$P$388="Complete",IF(AND(C4208=0,Paths!$E$388=0),I4208-J4208-K4208+VLOOKUP(A4208,'Fleet register'!$A$7:$S$106,15,FALSE)+VLOOKUP(A4208,'Fleet register'!$A$7:$S$106,16,FALSE),0),"n.a."))</f>
        <v>0</v>
      </c>
      <c r="S4208" s="1">
        <f>IF(NOT(Paths!$C$388=1),0,IF(Paths!$P$388="Complete",IF(C4208=0,0,Paths!$S$388*Paths!$R$388),"n.a."))</f>
        <v>0</v>
      </c>
      <c r="T4208" s="1">
        <f>IF(NOT(Paths!$C$388=1),0,IF(Paths!$P$388="Complete",IF(C4208=0,0,VLOOKUP(A4208,'Fleet register'!$A$7:$S$106,9,FALSE)*Paths!$R$388),"n.a."))</f>
        <v>0</v>
      </c>
    </row>
    <row r="4209" spans="1:20" ht="24" customHeight="1">
      <c r="A4209" s="1" t="str">
        <f>Paths!$A$389</f>
        <v>T096</v>
      </c>
      <c r="B4209" s="1">
        <f>Paths!$B$389</f>
        <v>2</v>
      </c>
      <c r="C4209" s="1">
        <v>0</v>
      </c>
      <c r="D4209" s="1">
        <v>389</v>
      </c>
      <c r="E4209" s="1">
        <f>IF(OR(Paths!$C$389=0,C4209=0),0,MAX(0,MIN(C4209*12,Paths!$E$389)-(C4209-1)*12))</f>
        <v>0</v>
      </c>
      <c r="F4209" s="1">
        <f>IF(OR(Paths!$C$389=0,C4209=0),0,12-E4209)</f>
        <v>0</v>
      </c>
      <c r="G4209" s="16">
        <f>IF(NOT(Paths!$C$389=1),0,IF(Paths!$P$389="Complete",E4209/12*(Paths!$J$389*(1+'Operating costs'!$B$51)^MAX(0,C4209-1)+Paths!$K$389*(1+'Operating costs'!$B$53)^MAX(0,C4209-1)),"n.a."))</f>
        <v>0</v>
      </c>
      <c r="H4209" s="16">
        <f>IF(NOT(Paths!$C$389=1),0,IF(Paths!$P$389="Complete",F4209/12*(Paths!$L$389*(1+IF(Paths!$D$389="EV",'Operating costs'!$B$52,'Operating costs'!$B$51))^MAX(0,C4209-1)+Paths!$M$389*(1+'Operating costs'!$B$53)^MAX(0,C4209-1)),"n.a."))</f>
        <v>0</v>
      </c>
      <c r="I4209" s="16">
        <f>IF(NOT(Paths!$C$389=1),0,IF(Paths!$P$389="Complete",IF(IF(Paths!$E$389=0,C4209=0,AND(C4209&gt;0,Paths!$E$389&gt;(C4209-1)*12,Paths!$E$389&lt;=C4209*12)),Paths!$G$389,0),"n.a."))</f>
        <v>0</v>
      </c>
      <c r="J4209" s="16">
        <f>IF(NOT(Paths!$C$389=1),0,IF(Paths!$P$389="Complete",IF(IF(Paths!$E$389=0,C4209=0,AND(C4209&gt;0,Paths!$E$389&gt;(C4209-1)*12,Paths!$E$389&lt;=C4209*12)),Paths!$H$389,0),"n.a."))</f>
        <v>0</v>
      </c>
      <c r="K4209" s="16">
        <f>IF(NOT(Paths!$C$389=1),0,IF(Paths!$P$389="Complete",IF(IF(Paths!$O$389=0,C4209=0,AND(C4209&gt;0,Paths!$O$389&gt;(C4209-1)*12,Paths!$O$389&lt;=C4209*12)),Paths!$N$389,0),"n.a."))</f>
        <v>0</v>
      </c>
      <c r="L4209" s="16">
        <f>IF(NOT(Paths!$C$389=1),0,IF(Paths!$P$389="Complete",IF(C4209=10,Paths!$I$389,0),"n.a."))</f>
        <v>0</v>
      </c>
      <c r="M4209" s="16">
        <f>IF(NOT(Paths!$C$389=1),0,IF(Paths!$P$389="Complete",IF(AND(Paths!$D$389="EV",Paths!$E$389&lt;120,Paths!$E$389+'Operating costs'!$B$65&gt;Paths!$E$389,Paths!$E$389+'Operating costs'!$B$65&lt;=120,IF(Paths!$E$389+'Operating costs'!$B$65=0,C4209=0,AND(C4209&gt;0,Paths!$E$389+'Operating costs'!$B$65&gt;(C4209-1)*12,Paths!$E$389+'Operating costs'!$B$65&lt;=C4209*12))),'Operating costs'!$B$64,0)+IF(AND('Operating costs'!$B$67&gt;0,'Operating costs'!$B$67&lt;=120,OR(Paths!$D$389="ICE",'Operating costs'!$B$67&lt;=Paths!$E$389),IF('Operating costs'!$B$67=0,C4209=0,AND(C4209&gt;0,'Operating costs'!$B$67&gt;(C4209-1)*12,'Operating costs'!$B$67&lt;=C4209*12))),'Operating costs'!$B$66,0),"n.a."))</f>
        <v>0</v>
      </c>
      <c r="N4209" s="16">
        <f>IF(NOT(Paths!$C$389=1),0,IF(Paths!$P$389="Complete",SUM(G4209:I4209)-J4209-K4209-L4209+M4209+IF(C4209=0,Paths!$F$389,0)+IF(IF(Paths!$E$389=0,C4209=0,AND(C4209&gt;0,Paths!$E$389&gt;(C4209-1)*12,Paths!$E$389&lt;=C4209*12)),VLOOKUP(A4209,'Fleet register'!$A$7:$S$106,16,FALSE),0),"n.a."))</f>
        <v>0</v>
      </c>
      <c r="O4209" s="16">
        <f>IF(NOT(Paths!$C$389=1),0,IF(Paths!$P$389="Complete",N4209-IF(C4209=0,Paths!$F$389,0),"n.a."))</f>
        <v>0</v>
      </c>
      <c r="P4209" s="16">
        <f>IF(NOT(Paths!$C$389=1),0,IF(Paths!$P$389="Complete",O4209+L4209,"n.a."))</f>
        <v>0</v>
      </c>
      <c r="Q4209" s="16">
        <f>IF(NOT(Paths!$C$389=1),0,IF(Paths!$P$389="Complete",N4209*(1+'Operating costs'!$B$54)^-C4209,"n.a."))</f>
        <v>0</v>
      </c>
      <c r="R4209" s="16">
        <f>IF(NOT(Paths!$C$389=1),0,IF(Paths!$P$389="Complete",IF(AND(C4209=0,Paths!$E$389=0),I4209-J4209-K4209+VLOOKUP(A4209,'Fleet register'!$A$7:$S$106,15,FALSE)+VLOOKUP(A4209,'Fleet register'!$A$7:$S$106,16,FALSE),0),"n.a."))</f>
        <v>0</v>
      </c>
      <c r="S4209" s="1">
        <f>IF(NOT(Paths!$C$389=1),0,IF(Paths!$P$389="Complete",IF(C4209=0,0,Paths!$S$389*Paths!$R$389),"n.a."))</f>
        <v>0</v>
      </c>
      <c r="T4209" s="1">
        <f>IF(NOT(Paths!$C$389=1),0,IF(Paths!$P$389="Complete",IF(C4209=0,0,VLOOKUP(A4209,'Fleet register'!$A$7:$S$106,9,FALSE)*Paths!$R$389),"n.a."))</f>
        <v>0</v>
      </c>
    </row>
    <row r="4210" spans="1:20" ht="24" customHeight="1">
      <c r="A4210" s="1" t="str">
        <f>Paths!$A$389</f>
        <v>T096</v>
      </c>
      <c r="B4210" s="1">
        <f>Paths!$B$389</f>
        <v>2</v>
      </c>
      <c r="C4210" s="1">
        <v>1</v>
      </c>
      <c r="D4210" s="1">
        <v>389</v>
      </c>
      <c r="E4210" s="1">
        <f>IF(OR(Paths!$C$389=0,C4210=0),0,MAX(0,MIN(C4210*12,Paths!$E$389)-(C4210-1)*12))</f>
        <v>0</v>
      </c>
      <c r="F4210" s="1">
        <f>IF(OR(Paths!$C$389=0,C4210=0),0,12-E4210)</f>
        <v>0</v>
      </c>
      <c r="G4210" s="16">
        <f>IF(NOT(Paths!$C$389=1),0,IF(Paths!$P$389="Complete",E4210/12*(Paths!$J$389*(1+'Operating costs'!$B$51)^MAX(0,C4210-1)+Paths!$K$389*(1+'Operating costs'!$B$53)^MAX(0,C4210-1)),"n.a."))</f>
        <v>0</v>
      </c>
      <c r="H4210" s="16">
        <f>IF(NOT(Paths!$C$389=1),0,IF(Paths!$P$389="Complete",F4210/12*(Paths!$L$389*(1+IF(Paths!$D$389="EV",'Operating costs'!$B$52,'Operating costs'!$B$51))^MAX(0,C4210-1)+Paths!$M$389*(1+'Operating costs'!$B$53)^MAX(0,C4210-1)),"n.a."))</f>
        <v>0</v>
      </c>
      <c r="I4210" s="16">
        <f>IF(NOT(Paths!$C$389=1),0,IF(Paths!$P$389="Complete",IF(IF(Paths!$E$389=0,C4210=0,AND(C4210&gt;0,Paths!$E$389&gt;(C4210-1)*12,Paths!$E$389&lt;=C4210*12)),Paths!$G$389,0),"n.a."))</f>
        <v>0</v>
      </c>
      <c r="J4210" s="16">
        <f>IF(NOT(Paths!$C$389=1),0,IF(Paths!$P$389="Complete",IF(IF(Paths!$E$389=0,C4210=0,AND(C4210&gt;0,Paths!$E$389&gt;(C4210-1)*12,Paths!$E$389&lt;=C4210*12)),Paths!$H$389,0),"n.a."))</f>
        <v>0</v>
      </c>
      <c r="K4210" s="16">
        <f>IF(NOT(Paths!$C$389=1),0,IF(Paths!$P$389="Complete",IF(IF(Paths!$O$389=0,C4210=0,AND(C4210&gt;0,Paths!$O$389&gt;(C4210-1)*12,Paths!$O$389&lt;=C4210*12)),Paths!$N$389,0),"n.a."))</f>
        <v>0</v>
      </c>
      <c r="L4210" s="16">
        <f>IF(NOT(Paths!$C$389=1),0,IF(Paths!$P$389="Complete",IF(C4210=10,Paths!$I$389,0),"n.a."))</f>
        <v>0</v>
      </c>
      <c r="M4210" s="16">
        <f>IF(NOT(Paths!$C$389=1),0,IF(Paths!$P$389="Complete",IF(AND(Paths!$D$389="EV",Paths!$E$389&lt;120,Paths!$E$389+'Operating costs'!$B$65&gt;Paths!$E$389,Paths!$E$389+'Operating costs'!$B$65&lt;=120,IF(Paths!$E$389+'Operating costs'!$B$65=0,C4210=0,AND(C4210&gt;0,Paths!$E$389+'Operating costs'!$B$65&gt;(C4210-1)*12,Paths!$E$389+'Operating costs'!$B$65&lt;=C4210*12))),'Operating costs'!$B$64,0)+IF(AND('Operating costs'!$B$67&gt;0,'Operating costs'!$B$67&lt;=120,OR(Paths!$D$389="ICE",'Operating costs'!$B$67&lt;=Paths!$E$389),IF('Operating costs'!$B$67=0,C4210=0,AND(C4210&gt;0,'Operating costs'!$B$67&gt;(C4210-1)*12,'Operating costs'!$B$67&lt;=C4210*12))),'Operating costs'!$B$66,0),"n.a."))</f>
        <v>0</v>
      </c>
      <c r="N4210" s="16">
        <f>IF(NOT(Paths!$C$389=1),0,IF(Paths!$P$389="Complete",SUM(G4210:I4210)-J4210-K4210-L4210+M4210+IF(C4210=0,Paths!$F$389,0)+IF(IF(Paths!$E$389=0,C4210=0,AND(C4210&gt;0,Paths!$E$389&gt;(C4210-1)*12,Paths!$E$389&lt;=C4210*12)),VLOOKUP(A4210,'Fleet register'!$A$7:$S$106,16,FALSE),0),"n.a."))</f>
        <v>0</v>
      </c>
      <c r="O4210" s="16">
        <f>IF(NOT(Paths!$C$389=1),0,IF(Paths!$P$389="Complete",N4210-IF(C4210=0,Paths!$F$389,0),"n.a."))</f>
        <v>0</v>
      </c>
      <c r="P4210" s="16">
        <f>IF(NOT(Paths!$C$389=1),0,IF(Paths!$P$389="Complete",O4210+L4210,"n.a."))</f>
        <v>0</v>
      </c>
      <c r="Q4210" s="16">
        <f>IF(NOT(Paths!$C$389=1),0,IF(Paths!$P$389="Complete",N4210*(1+'Operating costs'!$B$54)^-C4210,"n.a."))</f>
        <v>0</v>
      </c>
      <c r="R4210" s="16">
        <f>IF(NOT(Paths!$C$389=1),0,IF(Paths!$P$389="Complete",IF(AND(C4210=0,Paths!$E$389=0),I4210-J4210-K4210+VLOOKUP(A4210,'Fleet register'!$A$7:$S$106,15,FALSE)+VLOOKUP(A4210,'Fleet register'!$A$7:$S$106,16,FALSE),0),"n.a."))</f>
        <v>0</v>
      </c>
      <c r="S4210" s="1">
        <f>IF(NOT(Paths!$C$389=1),0,IF(Paths!$P$389="Complete",IF(C4210=0,0,Paths!$S$389*Paths!$R$389),"n.a."))</f>
        <v>0</v>
      </c>
      <c r="T4210" s="1">
        <f>IF(NOT(Paths!$C$389=1),0,IF(Paths!$P$389="Complete",IF(C4210=0,0,VLOOKUP(A4210,'Fleet register'!$A$7:$S$106,9,FALSE)*Paths!$R$389),"n.a."))</f>
        <v>0</v>
      </c>
    </row>
    <row r="4211" spans="1:20" ht="24" customHeight="1">
      <c r="A4211" s="1" t="str">
        <f>Paths!$A$389</f>
        <v>T096</v>
      </c>
      <c r="B4211" s="1">
        <f>Paths!$B$389</f>
        <v>2</v>
      </c>
      <c r="C4211" s="1">
        <v>2</v>
      </c>
      <c r="D4211" s="1">
        <v>389</v>
      </c>
      <c r="E4211" s="1">
        <f>IF(OR(Paths!$C$389=0,C4211=0),0,MAX(0,MIN(C4211*12,Paths!$E$389)-(C4211-1)*12))</f>
        <v>0</v>
      </c>
      <c r="F4211" s="1">
        <f>IF(OR(Paths!$C$389=0,C4211=0),0,12-E4211)</f>
        <v>0</v>
      </c>
      <c r="G4211" s="16">
        <f>IF(NOT(Paths!$C$389=1),0,IF(Paths!$P$389="Complete",E4211/12*(Paths!$J$389*(1+'Operating costs'!$B$51)^MAX(0,C4211-1)+Paths!$K$389*(1+'Operating costs'!$B$53)^MAX(0,C4211-1)),"n.a."))</f>
        <v>0</v>
      </c>
      <c r="H4211" s="16">
        <f>IF(NOT(Paths!$C$389=1),0,IF(Paths!$P$389="Complete",F4211/12*(Paths!$L$389*(1+IF(Paths!$D$389="EV",'Operating costs'!$B$52,'Operating costs'!$B$51))^MAX(0,C4211-1)+Paths!$M$389*(1+'Operating costs'!$B$53)^MAX(0,C4211-1)),"n.a."))</f>
        <v>0</v>
      </c>
      <c r="I4211" s="16">
        <f>IF(NOT(Paths!$C$389=1),0,IF(Paths!$P$389="Complete",IF(IF(Paths!$E$389=0,C4211=0,AND(C4211&gt;0,Paths!$E$389&gt;(C4211-1)*12,Paths!$E$389&lt;=C4211*12)),Paths!$G$389,0),"n.a."))</f>
        <v>0</v>
      </c>
      <c r="J4211" s="16">
        <f>IF(NOT(Paths!$C$389=1),0,IF(Paths!$P$389="Complete",IF(IF(Paths!$E$389=0,C4211=0,AND(C4211&gt;0,Paths!$E$389&gt;(C4211-1)*12,Paths!$E$389&lt;=C4211*12)),Paths!$H$389,0),"n.a."))</f>
        <v>0</v>
      </c>
      <c r="K4211" s="16">
        <f>IF(NOT(Paths!$C$389=1),0,IF(Paths!$P$389="Complete",IF(IF(Paths!$O$389=0,C4211=0,AND(C4211&gt;0,Paths!$O$389&gt;(C4211-1)*12,Paths!$O$389&lt;=C4211*12)),Paths!$N$389,0),"n.a."))</f>
        <v>0</v>
      </c>
      <c r="L4211" s="16">
        <f>IF(NOT(Paths!$C$389=1),0,IF(Paths!$P$389="Complete",IF(C4211=10,Paths!$I$389,0),"n.a."))</f>
        <v>0</v>
      </c>
      <c r="M4211" s="16">
        <f>IF(NOT(Paths!$C$389=1),0,IF(Paths!$P$389="Complete",IF(AND(Paths!$D$389="EV",Paths!$E$389&lt;120,Paths!$E$389+'Operating costs'!$B$65&gt;Paths!$E$389,Paths!$E$389+'Operating costs'!$B$65&lt;=120,IF(Paths!$E$389+'Operating costs'!$B$65=0,C4211=0,AND(C4211&gt;0,Paths!$E$389+'Operating costs'!$B$65&gt;(C4211-1)*12,Paths!$E$389+'Operating costs'!$B$65&lt;=C4211*12))),'Operating costs'!$B$64,0)+IF(AND('Operating costs'!$B$67&gt;0,'Operating costs'!$B$67&lt;=120,OR(Paths!$D$389="ICE",'Operating costs'!$B$67&lt;=Paths!$E$389),IF('Operating costs'!$B$67=0,C4211=0,AND(C4211&gt;0,'Operating costs'!$B$67&gt;(C4211-1)*12,'Operating costs'!$B$67&lt;=C4211*12))),'Operating costs'!$B$66,0),"n.a."))</f>
        <v>0</v>
      </c>
      <c r="N4211" s="16">
        <f>IF(NOT(Paths!$C$389=1),0,IF(Paths!$P$389="Complete",SUM(G4211:I4211)-J4211-K4211-L4211+M4211+IF(C4211=0,Paths!$F$389,0)+IF(IF(Paths!$E$389=0,C4211=0,AND(C4211&gt;0,Paths!$E$389&gt;(C4211-1)*12,Paths!$E$389&lt;=C4211*12)),VLOOKUP(A4211,'Fleet register'!$A$7:$S$106,16,FALSE),0),"n.a."))</f>
        <v>0</v>
      </c>
      <c r="O4211" s="16">
        <f>IF(NOT(Paths!$C$389=1),0,IF(Paths!$P$389="Complete",N4211-IF(C4211=0,Paths!$F$389,0),"n.a."))</f>
        <v>0</v>
      </c>
      <c r="P4211" s="16">
        <f>IF(NOT(Paths!$C$389=1),0,IF(Paths!$P$389="Complete",O4211+L4211,"n.a."))</f>
        <v>0</v>
      </c>
      <c r="Q4211" s="16">
        <f>IF(NOT(Paths!$C$389=1),0,IF(Paths!$P$389="Complete",N4211*(1+'Operating costs'!$B$54)^-C4211,"n.a."))</f>
        <v>0</v>
      </c>
      <c r="R4211" s="16">
        <f>IF(NOT(Paths!$C$389=1),0,IF(Paths!$P$389="Complete",IF(AND(C4211=0,Paths!$E$389=0),I4211-J4211-K4211+VLOOKUP(A4211,'Fleet register'!$A$7:$S$106,15,FALSE)+VLOOKUP(A4211,'Fleet register'!$A$7:$S$106,16,FALSE),0),"n.a."))</f>
        <v>0</v>
      </c>
      <c r="S4211" s="1">
        <f>IF(NOT(Paths!$C$389=1),0,IF(Paths!$P$389="Complete",IF(C4211=0,0,Paths!$S$389*Paths!$R$389),"n.a."))</f>
        <v>0</v>
      </c>
      <c r="T4211" s="1">
        <f>IF(NOT(Paths!$C$389=1),0,IF(Paths!$P$389="Complete",IF(C4211=0,0,VLOOKUP(A4211,'Fleet register'!$A$7:$S$106,9,FALSE)*Paths!$R$389),"n.a."))</f>
        <v>0</v>
      </c>
    </row>
    <row r="4212" spans="1:20" ht="24" customHeight="1">
      <c r="A4212" s="1" t="str">
        <f>Paths!$A$389</f>
        <v>T096</v>
      </c>
      <c r="B4212" s="1">
        <f>Paths!$B$389</f>
        <v>2</v>
      </c>
      <c r="C4212" s="1">
        <v>3</v>
      </c>
      <c r="D4212" s="1">
        <v>389</v>
      </c>
      <c r="E4212" s="1">
        <f>IF(OR(Paths!$C$389=0,C4212=0),0,MAX(0,MIN(C4212*12,Paths!$E$389)-(C4212-1)*12))</f>
        <v>0</v>
      </c>
      <c r="F4212" s="1">
        <f>IF(OR(Paths!$C$389=0,C4212=0),0,12-E4212)</f>
        <v>0</v>
      </c>
      <c r="G4212" s="16">
        <f>IF(NOT(Paths!$C$389=1),0,IF(Paths!$P$389="Complete",E4212/12*(Paths!$J$389*(1+'Operating costs'!$B$51)^MAX(0,C4212-1)+Paths!$K$389*(1+'Operating costs'!$B$53)^MAX(0,C4212-1)),"n.a."))</f>
        <v>0</v>
      </c>
      <c r="H4212" s="16">
        <f>IF(NOT(Paths!$C$389=1),0,IF(Paths!$P$389="Complete",F4212/12*(Paths!$L$389*(1+IF(Paths!$D$389="EV",'Operating costs'!$B$52,'Operating costs'!$B$51))^MAX(0,C4212-1)+Paths!$M$389*(1+'Operating costs'!$B$53)^MAX(0,C4212-1)),"n.a."))</f>
        <v>0</v>
      </c>
      <c r="I4212" s="16">
        <f>IF(NOT(Paths!$C$389=1),0,IF(Paths!$P$389="Complete",IF(IF(Paths!$E$389=0,C4212=0,AND(C4212&gt;0,Paths!$E$389&gt;(C4212-1)*12,Paths!$E$389&lt;=C4212*12)),Paths!$G$389,0),"n.a."))</f>
        <v>0</v>
      </c>
      <c r="J4212" s="16">
        <f>IF(NOT(Paths!$C$389=1),0,IF(Paths!$P$389="Complete",IF(IF(Paths!$E$389=0,C4212=0,AND(C4212&gt;0,Paths!$E$389&gt;(C4212-1)*12,Paths!$E$389&lt;=C4212*12)),Paths!$H$389,0),"n.a."))</f>
        <v>0</v>
      </c>
      <c r="K4212" s="16">
        <f>IF(NOT(Paths!$C$389=1),0,IF(Paths!$P$389="Complete",IF(IF(Paths!$O$389=0,C4212=0,AND(C4212&gt;0,Paths!$O$389&gt;(C4212-1)*12,Paths!$O$389&lt;=C4212*12)),Paths!$N$389,0),"n.a."))</f>
        <v>0</v>
      </c>
      <c r="L4212" s="16">
        <f>IF(NOT(Paths!$C$389=1),0,IF(Paths!$P$389="Complete",IF(C4212=10,Paths!$I$389,0),"n.a."))</f>
        <v>0</v>
      </c>
      <c r="M4212" s="16">
        <f>IF(NOT(Paths!$C$389=1),0,IF(Paths!$P$389="Complete",IF(AND(Paths!$D$389="EV",Paths!$E$389&lt;120,Paths!$E$389+'Operating costs'!$B$65&gt;Paths!$E$389,Paths!$E$389+'Operating costs'!$B$65&lt;=120,IF(Paths!$E$389+'Operating costs'!$B$65=0,C4212=0,AND(C4212&gt;0,Paths!$E$389+'Operating costs'!$B$65&gt;(C4212-1)*12,Paths!$E$389+'Operating costs'!$B$65&lt;=C4212*12))),'Operating costs'!$B$64,0)+IF(AND('Operating costs'!$B$67&gt;0,'Operating costs'!$B$67&lt;=120,OR(Paths!$D$389="ICE",'Operating costs'!$B$67&lt;=Paths!$E$389),IF('Operating costs'!$B$67=0,C4212=0,AND(C4212&gt;0,'Operating costs'!$B$67&gt;(C4212-1)*12,'Operating costs'!$B$67&lt;=C4212*12))),'Operating costs'!$B$66,0),"n.a."))</f>
        <v>0</v>
      </c>
      <c r="N4212" s="16">
        <f>IF(NOT(Paths!$C$389=1),0,IF(Paths!$P$389="Complete",SUM(G4212:I4212)-J4212-K4212-L4212+M4212+IF(C4212=0,Paths!$F$389,0)+IF(IF(Paths!$E$389=0,C4212=0,AND(C4212&gt;0,Paths!$E$389&gt;(C4212-1)*12,Paths!$E$389&lt;=C4212*12)),VLOOKUP(A4212,'Fleet register'!$A$7:$S$106,16,FALSE),0),"n.a."))</f>
        <v>0</v>
      </c>
      <c r="O4212" s="16">
        <f>IF(NOT(Paths!$C$389=1),0,IF(Paths!$P$389="Complete",N4212-IF(C4212=0,Paths!$F$389,0),"n.a."))</f>
        <v>0</v>
      </c>
      <c r="P4212" s="16">
        <f>IF(NOT(Paths!$C$389=1),0,IF(Paths!$P$389="Complete",O4212+L4212,"n.a."))</f>
        <v>0</v>
      </c>
      <c r="Q4212" s="16">
        <f>IF(NOT(Paths!$C$389=1),0,IF(Paths!$P$389="Complete",N4212*(1+'Operating costs'!$B$54)^-C4212,"n.a."))</f>
        <v>0</v>
      </c>
      <c r="R4212" s="16">
        <f>IF(NOT(Paths!$C$389=1),0,IF(Paths!$P$389="Complete",IF(AND(C4212=0,Paths!$E$389=0),I4212-J4212-K4212+VLOOKUP(A4212,'Fleet register'!$A$7:$S$106,15,FALSE)+VLOOKUP(A4212,'Fleet register'!$A$7:$S$106,16,FALSE),0),"n.a."))</f>
        <v>0</v>
      </c>
      <c r="S4212" s="1">
        <f>IF(NOT(Paths!$C$389=1),0,IF(Paths!$P$389="Complete",IF(C4212=0,0,Paths!$S$389*Paths!$R$389),"n.a."))</f>
        <v>0</v>
      </c>
      <c r="T4212" s="1">
        <f>IF(NOT(Paths!$C$389=1),0,IF(Paths!$P$389="Complete",IF(C4212=0,0,VLOOKUP(A4212,'Fleet register'!$A$7:$S$106,9,FALSE)*Paths!$R$389),"n.a."))</f>
        <v>0</v>
      </c>
    </row>
    <row r="4213" spans="1:20" ht="24" customHeight="1">
      <c r="A4213" s="1" t="str">
        <f>Paths!$A$389</f>
        <v>T096</v>
      </c>
      <c r="B4213" s="1">
        <f>Paths!$B$389</f>
        <v>2</v>
      </c>
      <c r="C4213" s="1">
        <v>4</v>
      </c>
      <c r="D4213" s="1">
        <v>389</v>
      </c>
      <c r="E4213" s="1">
        <f>IF(OR(Paths!$C$389=0,C4213=0),0,MAX(0,MIN(C4213*12,Paths!$E$389)-(C4213-1)*12))</f>
        <v>0</v>
      </c>
      <c r="F4213" s="1">
        <f>IF(OR(Paths!$C$389=0,C4213=0),0,12-E4213)</f>
        <v>0</v>
      </c>
      <c r="G4213" s="16">
        <f>IF(NOT(Paths!$C$389=1),0,IF(Paths!$P$389="Complete",E4213/12*(Paths!$J$389*(1+'Operating costs'!$B$51)^MAX(0,C4213-1)+Paths!$K$389*(1+'Operating costs'!$B$53)^MAX(0,C4213-1)),"n.a."))</f>
        <v>0</v>
      </c>
      <c r="H4213" s="16">
        <f>IF(NOT(Paths!$C$389=1),0,IF(Paths!$P$389="Complete",F4213/12*(Paths!$L$389*(1+IF(Paths!$D$389="EV",'Operating costs'!$B$52,'Operating costs'!$B$51))^MAX(0,C4213-1)+Paths!$M$389*(1+'Operating costs'!$B$53)^MAX(0,C4213-1)),"n.a."))</f>
        <v>0</v>
      </c>
      <c r="I4213" s="16">
        <f>IF(NOT(Paths!$C$389=1),0,IF(Paths!$P$389="Complete",IF(IF(Paths!$E$389=0,C4213=0,AND(C4213&gt;0,Paths!$E$389&gt;(C4213-1)*12,Paths!$E$389&lt;=C4213*12)),Paths!$G$389,0),"n.a."))</f>
        <v>0</v>
      </c>
      <c r="J4213" s="16">
        <f>IF(NOT(Paths!$C$389=1),0,IF(Paths!$P$389="Complete",IF(IF(Paths!$E$389=0,C4213=0,AND(C4213&gt;0,Paths!$E$389&gt;(C4213-1)*12,Paths!$E$389&lt;=C4213*12)),Paths!$H$389,0),"n.a."))</f>
        <v>0</v>
      </c>
      <c r="K4213" s="16">
        <f>IF(NOT(Paths!$C$389=1),0,IF(Paths!$P$389="Complete",IF(IF(Paths!$O$389=0,C4213=0,AND(C4213&gt;0,Paths!$O$389&gt;(C4213-1)*12,Paths!$O$389&lt;=C4213*12)),Paths!$N$389,0),"n.a."))</f>
        <v>0</v>
      </c>
      <c r="L4213" s="16">
        <f>IF(NOT(Paths!$C$389=1),0,IF(Paths!$P$389="Complete",IF(C4213=10,Paths!$I$389,0),"n.a."))</f>
        <v>0</v>
      </c>
      <c r="M4213" s="16">
        <f>IF(NOT(Paths!$C$389=1),0,IF(Paths!$P$389="Complete",IF(AND(Paths!$D$389="EV",Paths!$E$389&lt;120,Paths!$E$389+'Operating costs'!$B$65&gt;Paths!$E$389,Paths!$E$389+'Operating costs'!$B$65&lt;=120,IF(Paths!$E$389+'Operating costs'!$B$65=0,C4213=0,AND(C4213&gt;0,Paths!$E$389+'Operating costs'!$B$65&gt;(C4213-1)*12,Paths!$E$389+'Operating costs'!$B$65&lt;=C4213*12))),'Operating costs'!$B$64,0)+IF(AND('Operating costs'!$B$67&gt;0,'Operating costs'!$B$67&lt;=120,OR(Paths!$D$389="ICE",'Operating costs'!$B$67&lt;=Paths!$E$389),IF('Operating costs'!$B$67=0,C4213=0,AND(C4213&gt;0,'Operating costs'!$B$67&gt;(C4213-1)*12,'Operating costs'!$B$67&lt;=C4213*12))),'Operating costs'!$B$66,0),"n.a."))</f>
        <v>0</v>
      </c>
      <c r="N4213" s="16">
        <f>IF(NOT(Paths!$C$389=1),0,IF(Paths!$P$389="Complete",SUM(G4213:I4213)-J4213-K4213-L4213+M4213+IF(C4213=0,Paths!$F$389,0)+IF(IF(Paths!$E$389=0,C4213=0,AND(C4213&gt;0,Paths!$E$389&gt;(C4213-1)*12,Paths!$E$389&lt;=C4213*12)),VLOOKUP(A4213,'Fleet register'!$A$7:$S$106,16,FALSE),0),"n.a."))</f>
        <v>0</v>
      </c>
      <c r="O4213" s="16">
        <f>IF(NOT(Paths!$C$389=1),0,IF(Paths!$P$389="Complete",N4213-IF(C4213=0,Paths!$F$389,0),"n.a."))</f>
        <v>0</v>
      </c>
      <c r="P4213" s="16">
        <f>IF(NOT(Paths!$C$389=1),0,IF(Paths!$P$389="Complete",O4213+L4213,"n.a."))</f>
        <v>0</v>
      </c>
      <c r="Q4213" s="16">
        <f>IF(NOT(Paths!$C$389=1),0,IF(Paths!$P$389="Complete",N4213*(1+'Operating costs'!$B$54)^-C4213,"n.a."))</f>
        <v>0</v>
      </c>
      <c r="R4213" s="16">
        <f>IF(NOT(Paths!$C$389=1),0,IF(Paths!$P$389="Complete",IF(AND(C4213=0,Paths!$E$389=0),I4213-J4213-K4213+VLOOKUP(A4213,'Fleet register'!$A$7:$S$106,15,FALSE)+VLOOKUP(A4213,'Fleet register'!$A$7:$S$106,16,FALSE),0),"n.a."))</f>
        <v>0</v>
      </c>
      <c r="S4213" s="1">
        <f>IF(NOT(Paths!$C$389=1),0,IF(Paths!$P$389="Complete",IF(C4213=0,0,Paths!$S$389*Paths!$R$389),"n.a."))</f>
        <v>0</v>
      </c>
      <c r="T4213" s="1">
        <f>IF(NOT(Paths!$C$389=1),0,IF(Paths!$P$389="Complete",IF(C4213=0,0,VLOOKUP(A4213,'Fleet register'!$A$7:$S$106,9,FALSE)*Paths!$R$389),"n.a."))</f>
        <v>0</v>
      </c>
    </row>
    <row r="4214" spans="1:20" ht="24" customHeight="1">
      <c r="A4214" s="1" t="str">
        <f>Paths!$A$389</f>
        <v>T096</v>
      </c>
      <c r="B4214" s="1">
        <f>Paths!$B$389</f>
        <v>2</v>
      </c>
      <c r="C4214" s="1">
        <v>5</v>
      </c>
      <c r="D4214" s="1">
        <v>389</v>
      </c>
      <c r="E4214" s="1">
        <f>IF(OR(Paths!$C$389=0,C4214=0),0,MAX(0,MIN(C4214*12,Paths!$E$389)-(C4214-1)*12))</f>
        <v>0</v>
      </c>
      <c r="F4214" s="1">
        <f>IF(OR(Paths!$C$389=0,C4214=0),0,12-E4214)</f>
        <v>0</v>
      </c>
      <c r="G4214" s="16">
        <f>IF(NOT(Paths!$C$389=1),0,IF(Paths!$P$389="Complete",E4214/12*(Paths!$J$389*(1+'Operating costs'!$B$51)^MAX(0,C4214-1)+Paths!$K$389*(1+'Operating costs'!$B$53)^MAX(0,C4214-1)),"n.a."))</f>
        <v>0</v>
      </c>
      <c r="H4214" s="16">
        <f>IF(NOT(Paths!$C$389=1),0,IF(Paths!$P$389="Complete",F4214/12*(Paths!$L$389*(1+IF(Paths!$D$389="EV",'Operating costs'!$B$52,'Operating costs'!$B$51))^MAX(0,C4214-1)+Paths!$M$389*(1+'Operating costs'!$B$53)^MAX(0,C4214-1)),"n.a."))</f>
        <v>0</v>
      </c>
      <c r="I4214" s="16">
        <f>IF(NOT(Paths!$C$389=1),0,IF(Paths!$P$389="Complete",IF(IF(Paths!$E$389=0,C4214=0,AND(C4214&gt;0,Paths!$E$389&gt;(C4214-1)*12,Paths!$E$389&lt;=C4214*12)),Paths!$G$389,0),"n.a."))</f>
        <v>0</v>
      </c>
      <c r="J4214" s="16">
        <f>IF(NOT(Paths!$C$389=1),0,IF(Paths!$P$389="Complete",IF(IF(Paths!$E$389=0,C4214=0,AND(C4214&gt;0,Paths!$E$389&gt;(C4214-1)*12,Paths!$E$389&lt;=C4214*12)),Paths!$H$389,0),"n.a."))</f>
        <v>0</v>
      </c>
      <c r="K4214" s="16">
        <f>IF(NOT(Paths!$C$389=1),0,IF(Paths!$P$389="Complete",IF(IF(Paths!$O$389=0,C4214=0,AND(C4214&gt;0,Paths!$O$389&gt;(C4214-1)*12,Paths!$O$389&lt;=C4214*12)),Paths!$N$389,0),"n.a."))</f>
        <v>0</v>
      </c>
      <c r="L4214" s="16">
        <f>IF(NOT(Paths!$C$389=1),0,IF(Paths!$P$389="Complete",IF(C4214=10,Paths!$I$389,0),"n.a."))</f>
        <v>0</v>
      </c>
      <c r="M4214" s="16">
        <f>IF(NOT(Paths!$C$389=1),0,IF(Paths!$P$389="Complete",IF(AND(Paths!$D$389="EV",Paths!$E$389&lt;120,Paths!$E$389+'Operating costs'!$B$65&gt;Paths!$E$389,Paths!$E$389+'Operating costs'!$B$65&lt;=120,IF(Paths!$E$389+'Operating costs'!$B$65=0,C4214=0,AND(C4214&gt;0,Paths!$E$389+'Operating costs'!$B$65&gt;(C4214-1)*12,Paths!$E$389+'Operating costs'!$B$65&lt;=C4214*12))),'Operating costs'!$B$64,0)+IF(AND('Operating costs'!$B$67&gt;0,'Operating costs'!$B$67&lt;=120,OR(Paths!$D$389="ICE",'Operating costs'!$B$67&lt;=Paths!$E$389),IF('Operating costs'!$B$67=0,C4214=0,AND(C4214&gt;0,'Operating costs'!$B$67&gt;(C4214-1)*12,'Operating costs'!$B$67&lt;=C4214*12))),'Operating costs'!$B$66,0),"n.a."))</f>
        <v>0</v>
      </c>
      <c r="N4214" s="16">
        <f>IF(NOT(Paths!$C$389=1),0,IF(Paths!$P$389="Complete",SUM(G4214:I4214)-J4214-K4214-L4214+M4214+IF(C4214=0,Paths!$F$389,0)+IF(IF(Paths!$E$389=0,C4214=0,AND(C4214&gt;0,Paths!$E$389&gt;(C4214-1)*12,Paths!$E$389&lt;=C4214*12)),VLOOKUP(A4214,'Fleet register'!$A$7:$S$106,16,FALSE),0),"n.a."))</f>
        <v>0</v>
      </c>
      <c r="O4214" s="16">
        <f>IF(NOT(Paths!$C$389=1),0,IF(Paths!$P$389="Complete",N4214-IF(C4214=0,Paths!$F$389,0),"n.a."))</f>
        <v>0</v>
      </c>
      <c r="P4214" s="16">
        <f>IF(NOT(Paths!$C$389=1),0,IF(Paths!$P$389="Complete",O4214+L4214,"n.a."))</f>
        <v>0</v>
      </c>
      <c r="Q4214" s="16">
        <f>IF(NOT(Paths!$C$389=1),0,IF(Paths!$P$389="Complete",N4214*(1+'Operating costs'!$B$54)^-C4214,"n.a."))</f>
        <v>0</v>
      </c>
      <c r="R4214" s="16">
        <f>IF(NOT(Paths!$C$389=1),0,IF(Paths!$P$389="Complete",IF(AND(C4214=0,Paths!$E$389=0),I4214-J4214-K4214+VLOOKUP(A4214,'Fleet register'!$A$7:$S$106,15,FALSE)+VLOOKUP(A4214,'Fleet register'!$A$7:$S$106,16,FALSE),0),"n.a."))</f>
        <v>0</v>
      </c>
      <c r="S4214" s="1">
        <f>IF(NOT(Paths!$C$389=1),0,IF(Paths!$P$389="Complete",IF(C4214=0,0,Paths!$S$389*Paths!$R$389),"n.a."))</f>
        <v>0</v>
      </c>
      <c r="T4214" s="1">
        <f>IF(NOT(Paths!$C$389=1),0,IF(Paths!$P$389="Complete",IF(C4214=0,0,VLOOKUP(A4214,'Fleet register'!$A$7:$S$106,9,FALSE)*Paths!$R$389),"n.a."))</f>
        <v>0</v>
      </c>
    </row>
    <row r="4215" spans="1:20" ht="24" customHeight="1">
      <c r="A4215" s="1" t="str">
        <f>Paths!$A$389</f>
        <v>T096</v>
      </c>
      <c r="B4215" s="1">
        <f>Paths!$B$389</f>
        <v>2</v>
      </c>
      <c r="C4215" s="1">
        <v>6</v>
      </c>
      <c r="D4215" s="1">
        <v>389</v>
      </c>
      <c r="E4215" s="1">
        <f>IF(OR(Paths!$C$389=0,C4215=0),0,MAX(0,MIN(C4215*12,Paths!$E$389)-(C4215-1)*12))</f>
        <v>0</v>
      </c>
      <c r="F4215" s="1">
        <f>IF(OR(Paths!$C$389=0,C4215=0),0,12-E4215)</f>
        <v>0</v>
      </c>
      <c r="G4215" s="16">
        <f>IF(NOT(Paths!$C$389=1),0,IF(Paths!$P$389="Complete",E4215/12*(Paths!$J$389*(1+'Operating costs'!$B$51)^MAX(0,C4215-1)+Paths!$K$389*(1+'Operating costs'!$B$53)^MAX(0,C4215-1)),"n.a."))</f>
        <v>0</v>
      </c>
      <c r="H4215" s="16">
        <f>IF(NOT(Paths!$C$389=1),0,IF(Paths!$P$389="Complete",F4215/12*(Paths!$L$389*(1+IF(Paths!$D$389="EV",'Operating costs'!$B$52,'Operating costs'!$B$51))^MAX(0,C4215-1)+Paths!$M$389*(1+'Operating costs'!$B$53)^MAX(0,C4215-1)),"n.a."))</f>
        <v>0</v>
      </c>
      <c r="I4215" s="16">
        <f>IF(NOT(Paths!$C$389=1),0,IF(Paths!$P$389="Complete",IF(IF(Paths!$E$389=0,C4215=0,AND(C4215&gt;0,Paths!$E$389&gt;(C4215-1)*12,Paths!$E$389&lt;=C4215*12)),Paths!$G$389,0),"n.a."))</f>
        <v>0</v>
      </c>
      <c r="J4215" s="16">
        <f>IF(NOT(Paths!$C$389=1),0,IF(Paths!$P$389="Complete",IF(IF(Paths!$E$389=0,C4215=0,AND(C4215&gt;0,Paths!$E$389&gt;(C4215-1)*12,Paths!$E$389&lt;=C4215*12)),Paths!$H$389,0),"n.a."))</f>
        <v>0</v>
      </c>
      <c r="K4215" s="16">
        <f>IF(NOT(Paths!$C$389=1),0,IF(Paths!$P$389="Complete",IF(IF(Paths!$O$389=0,C4215=0,AND(C4215&gt;0,Paths!$O$389&gt;(C4215-1)*12,Paths!$O$389&lt;=C4215*12)),Paths!$N$389,0),"n.a."))</f>
        <v>0</v>
      </c>
      <c r="L4215" s="16">
        <f>IF(NOT(Paths!$C$389=1),0,IF(Paths!$P$389="Complete",IF(C4215=10,Paths!$I$389,0),"n.a."))</f>
        <v>0</v>
      </c>
      <c r="M4215" s="16">
        <f>IF(NOT(Paths!$C$389=1),0,IF(Paths!$P$389="Complete",IF(AND(Paths!$D$389="EV",Paths!$E$389&lt;120,Paths!$E$389+'Operating costs'!$B$65&gt;Paths!$E$389,Paths!$E$389+'Operating costs'!$B$65&lt;=120,IF(Paths!$E$389+'Operating costs'!$B$65=0,C4215=0,AND(C4215&gt;0,Paths!$E$389+'Operating costs'!$B$65&gt;(C4215-1)*12,Paths!$E$389+'Operating costs'!$B$65&lt;=C4215*12))),'Operating costs'!$B$64,0)+IF(AND('Operating costs'!$B$67&gt;0,'Operating costs'!$B$67&lt;=120,OR(Paths!$D$389="ICE",'Operating costs'!$B$67&lt;=Paths!$E$389),IF('Operating costs'!$B$67=0,C4215=0,AND(C4215&gt;0,'Operating costs'!$B$67&gt;(C4215-1)*12,'Operating costs'!$B$67&lt;=C4215*12))),'Operating costs'!$B$66,0),"n.a."))</f>
        <v>0</v>
      </c>
      <c r="N4215" s="16">
        <f>IF(NOT(Paths!$C$389=1),0,IF(Paths!$P$389="Complete",SUM(G4215:I4215)-J4215-K4215-L4215+M4215+IF(C4215=0,Paths!$F$389,0)+IF(IF(Paths!$E$389=0,C4215=0,AND(C4215&gt;0,Paths!$E$389&gt;(C4215-1)*12,Paths!$E$389&lt;=C4215*12)),VLOOKUP(A4215,'Fleet register'!$A$7:$S$106,16,FALSE),0),"n.a."))</f>
        <v>0</v>
      </c>
      <c r="O4215" s="16">
        <f>IF(NOT(Paths!$C$389=1),0,IF(Paths!$P$389="Complete",N4215-IF(C4215=0,Paths!$F$389,0),"n.a."))</f>
        <v>0</v>
      </c>
      <c r="P4215" s="16">
        <f>IF(NOT(Paths!$C$389=1),0,IF(Paths!$P$389="Complete",O4215+L4215,"n.a."))</f>
        <v>0</v>
      </c>
      <c r="Q4215" s="16">
        <f>IF(NOT(Paths!$C$389=1),0,IF(Paths!$P$389="Complete",N4215*(1+'Operating costs'!$B$54)^-C4215,"n.a."))</f>
        <v>0</v>
      </c>
      <c r="R4215" s="16">
        <f>IF(NOT(Paths!$C$389=1),0,IF(Paths!$P$389="Complete",IF(AND(C4215=0,Paths!$E$389=0),I4215-J4215-K4215+VLOOKUP(A4215,'Fleet register'!$A$7:$S$106,15,FALSE)+VLOOKUP(A4215,'Fleet register'!$A$7:$S$106,16,FALSE),0),"n.a."))</f>
        <v>0</v>
      </c>
      <c r="S4215" s="1">
        <f>IF(NOT(Paths!$C$389=1),0,IF(Paths!$P$389="Complete",IF(C4215=0,0,Paths!$S$389*Paths!$R$389),"n.a."))</f>
        <v>0</v>
      </c>
      <c r="T4215" s="1">
        <f>IF(NOT(Paths!$C$389=1),0,IF(Paths!$P$389="Complete",IF(C4215=0,0,VLOOKUP(A4215,'Fleet register'!$A$7:$S$106,9,FALSE)*Paths!$R$389),"n.a."))</f>
        <v>0</v>
      </c>
    </row>
    <row r="4216" spans="1:20" ht="24" customHeight="1">
      <c r="A4216" s="1" t="str">
        <f>Paths!$A$389</f>
        <v>T096</v>
      </c>
      <c r="B4216" s="1">
        <f>Paths!$B$389</f>
        <v>2</v>
      </c>
      <c r="C4216" s="1">
        <v>7</v>
      </c>
      <c r="D4216" s="1">
        <v>389</v>
      </c>
      <c r="E4216" s="1">
        <f>IF(OR(Paths!$C$389=0,C4216=0),0,MAX(0,MIN(C4216*12,Paths!$E$389)-(C4216-1)*12))</f>
        <v>0</v>
      </c>
      <c r="F4216" s="1">
        <f>IF(OR(Paths!$C$389=0,C4216=0),0,12-E4216)</f>
        <v>0</v>
      </c>
      <c r="G4216" s="16">
        <f>IF(NOT(Paths!$C$389=1),0,IF(Paths!$P$389="Complete",E4216/12*(Paths!$J$389*(1+'Operating costs'!$B$51)^MAX(0,C4216-1)+Paths!$K$389*(1+'Operating costs'!$B$53)^MAX(0,C4216-1)),"n.a."))</f>
        <v>0</v>
      </c>
      <c r="H4216" s="16">
        <f>IF(NOT(Paths!$C$389=1),0,IF(Paths!$P$389="Complete",F4216/12*(Paths!$L$389*(1+IF(Paths!$D$389="EV",'Operating costs'!$B$52,'Operating costs'!$B$51))^MAX(0,C4216-1)+Paths!$M$389*(1+'Operating costs'!$B$53)^MAX(0,C4216-1)),"n.a."))</f>
        <v>0</v>
      </c>
      <c r="I4216" s="16">
        <f>IF(NOT(Paths!$C$389=1),0,IF(Paths!$P$389="Complete",IF(IF(Paths!$E$389=0,C4216=0,AND(C4216&gt;0,Paths!$E$389&gt;(C4216-1)*12,Paths!$E$389&lt;=C4216*12)),Paths!$G$389,0),"n.a."))</f>
        <v>0</v>
      </c>
      <c r="J4216" s="16">
        <f>IF(NOT(Paths!$C$389=1),0,IF(Paths!$P$389="Complete",IF(IF(Paths!$E$389=0,C4216=0,AND(C4216&gt;0,Paths!$E$389&gt;(C4216-1)*12,Paths!$E$389&lt;=C4216*12)),Paths!$H$389,0),"n.a."))</f>
        <v>0</v>
      </c>
      <c r="K4216" s="16">
        <f>IF(NOT(Paths!$C$389=1),0,IF(Paths!$P$389="Complete",IF(IF(Paths!$O$389=0,C4216=0,AND(C4216&gt;0,Paths!$O$389&gt;(C4216-1)*12,Paths!$O$389&lt;=C4216*12)),Paths!$N$389,0),"n.a."))</f>
        <v>0</v>
      </c>
      <c r="L4216" s="16">
        <f>IF(NOT(Paths!$C$389=1),0,IF(Paths!$P$389="Complete",IF(C4216=10,Paths!$I$389,0),"n.a."))</f>
        <v>0</v>
      </c>
      <c r="M4216" s="16">
        <f>IF(NOT(Paths!$C$389=1),0,IF(Paths!$P$389="Complete",IF(AND(Paths!$D$389="EV",Paths!$E$389&lt;120,Paths!$E$389+'Operating costs'!$B$65&gt;Paths!$E$389,Paths!$E$389+'Operating costs'!$B$65&lt;=120,IF(Paths!$E$389+'Operating costs'!$B$65=0,C4216=0,AND(C4216&gt;0,Paths!$E$389+'Operating costs'!$B$65&gt;(C4216-1)*12,Paths!$E$389+'Operating costs'!$B$65&lt;=C4216*12))),'Operating costs'!$B$64,0)+IF(AND('Operating costs'!$B$67&gt;0,'Operating costs'!$B$67&lt;=120,OR(Paths!$D$389="ICE",'Operating costs'!$B$67&lt;=Paths!$E$389),IF('Operating costs'!$B$67=0,C4216=0,AND(C4216&gt;0,'Operating costs'!$B$67&gt;(C4216-1)*12,'Operating costs'!$B$67&lt;=C4216*12))),'Operating costs'!$B$66,0),"n.a."))</f>
        <v>0</v>
      </c>
      <c r="N4216" s="16">
        <f>IF(NOT(Paths!$C$389=1),0,IF(Paths!$P$389="Complete",SUM(G4216:I4216)-J4216-K4216-L4216+M4216+IF(C4216=0,Paths!$F$389,0)+IF(IF(Paths!$E$389=0,C4216=0,AND(C4216&gt;0,Paths!$E$389&gt;(C4216-1)*12,Paths!$E$389&lt;=C4216*12)),VLOOKUP(A4216,'Fleet register'!$A$7:$S$106,16,FALSE),0),"n.a."))</f>
        <v>0</v>
      </c>
      <c r="O4216" s="16">
        <f>IF(NOT(Paths!$C$389=1),0,IF(Paths!$P$389="Complete",N4216-IF(C4216=0,Paths!$F$389,0),"n.a."))</f>
        <v>0</v>
      </c>
      <c r="P4216" s="16">
        <f>IF(NOT(Paths!$C$389=1),0,IF(Paths!$P$389="Complete",O4216+L4216,"n.a."))</f>
        <v>0</v>
      </c>
      <c r="Q4216" s="16">
        <f>IF(NOT(Paths!$C$389=1),0,IF(Paths!$P$389="Complete",N4216*(1+'Operating costs'!$B$54)^-C4216,"n.a."))</f>
        <v>0</v>
      </c>
      <c r="R4216" s="16">
        <f>IF(NOT(Paths!$C$389=1),0,IF(Paths!$P$389="Complete",IF(AND(C4216=0,Paths!$E$389=0),I4216-J4216-K4216+VLOOKUP(A4216,'Fleet register'!$A$7:$S$106,15,FALSE)+VLOOKUP(A4216,'Fleet register'!$A$7:$S$106,16,FALSE),0),"n.a."))</f>
        <v>0</v>
      </c>
      <c r="S4216" s="1">
        <f>IF(NOT(Paths!$C$389=1),0,IF(Paths!$P$389="Complete",IF(C4216=0,0,Paths!$S$389*Paths!$R$389),"n.a."))</f>
        <v>0</v>
      </c>
      <c r="T4216" s="1">
        <f>IF(NOT(Paths!$C$389=1),0,IF(Paths!$P$389="Complete",IF(C4216=0,0,VLOOKUP(A4216,'Fleet register'!$A$7:$S$106,9,FALSE)*Paths!$R$389),"n.a."))</f>
        <v>0</v>
      </c>
    </row>
    <row r="4217" spans="1:20" ht="24" customHeight="1">
      <c r="A4217" s="1" t="str">
        <f>Paths!$A$389</f>
        <v>T096</v>
      </c>
      <c r="B4217" s="1">
        <f>Paths!$B$389</f>
        <v>2</v>
      </c>
      <c r="C4217" s="1">
        <v>8</v>
      </c>
      <c r="D4217" s="1">
        <v>389</v>
      </c>
      <c r="E4217" s="1">
        <f>IF(OR(Paths!$C$389=0,C4217=0),0,MAX(0,MIN(C4217*12,Paths!$E$389)-(C4217-1)*12))</f>
        <v>0</v>
      </c>
      <c r="F4217" s="1">
        <f>IF(OR(Paths!$C$389=0,C4217=0),0,12-E4217)</f>
        <v>0</v>
      </c>
      <c r="G4217" s="16">
        <f>IF(NOT(Paths!$C$389=1),0,IF(Paths!$P$389="Complete",E4217/12*(Paths!$J$389*(1+'Operating costs'!$B$51)^MAX(0,C4217-1)+Paths!$K$389*(1+'Operating costs'!$B$53)^MAX(0,C4217-1)),"n.a."))</f>
        <v>0</v>
      </c>
      <c r="H4217" s="16">
        <f>IF(NOT(Paths!$C$389=1),0,IF(Paths!$P$389="Complete",F4217/12*(Paths!$L$389*(1+IF(Paths!$D$389="EV",'Operating costs'!$B$52,'Operating costs'!$B$51))^MAX(0,C4217-1)+Paths!$M$389*(1+'Operating costs'!$B$53)^MAX(0,C4217-1)),"n.a."))</f>
        <v>0</v>
      </c>
      <c r="I4217" s="16">
        <f>IF(NOT(Paths!$C$389=1),0,IF(Paths!$P$389="Complete",IF(IF(Paths!$E$389=0,C4217=0,AND(C4217&gt;0,Paths!$E$389&gt;(C4217-1)*12,Paths!$E$389&lt;=C4217*12)),Paths!$G$389,0),"n.a."))</f>
        <v>0</v>
      </c>
      <c r="J4217" s="16">
        <f>IF(NOT(Paths!$C$389=1),0,IF(Paths!$P$389="Complete",IF(IF(Paths!$E$389=0,C4217=0,AND(C4217&gt;0,Paths!$E$389&gt;(C4217-1)*12,Paths!$E$389&lt;=C4217*12)),Paths!$H$389,0),"n.a."))</f>
        <v>0</v>
      </c>
      <c r="K4217" s="16">
        <f>IF(NOT(Paths!$C$389=1),0,IF(Paths!$P$389="Complete",IF(IF(Paths!$O$389=0,C4217=0,AND(C4217&gt;0,Paths!$O$389&gt;(C4217-1)*12,Paths!$O$389&lt;=C4217*12)),Paths!$N$389,0),"n.a."))</f>
        <v>0</v>
      </c>
      <c r="L4217" s="16">
        <f>IF(NOT(Paths!$C$389=1),0,IF(Paths!$P$389="Complete",IF(C4217=10,Paths!$I$389,0),"n.a."))</f>
        <v>0</v>
      </c>
      <c r="M4217" s="16">
        <f>IF(NOT(Paths!$C$389=1),0,IF(Paths!$P$389="Complete",IF(AND(Paths!$D$389="EV",Paths!$E$389&lt;120,Paths!$E$389+'Operating costs'!$B$65&gt;Paths!$E$389,Paths!$E$389+'Operating costs'!$B$65&lt;=120,IF(Paths!$E$389+'Operating costs'!$B$65=0,C4217=0,AND(C4217&gt;0,Paths!$E$389+'Operating costs'!$B$65&gt;(C4217-1)*12,Paths!$E$389+'Operating costs'!$B$65&lt;=C4217*12))),'Operating costs'!$B$64,0)+IF(AND('Operating costs'!$B$67&gt;0,'Operating costs'!$B$67&lt;=120,OR(Paths!$D$389="ICE",'Operating costs'!$B$67&lt;=Paths!$E$389),IF('Operating costs'!$B$67=0,C4217=0,AND(C4217&gt;0,'Operating costs'!$B$67&gt;(C4217-1)*12,'Operating costs'!$B$67&lt;=C4217*12))),'Operating costs'!$B$66,0),"n.a."))</f>
        <v>0</v>
      </c>
      <c r="N4217" s="16">
        <f>IF(NOT(Paths!$C$389=1),0,IF(Paths!$P$389="Complete",SUM(G4217:I4217)-J4217-K4217-L4217+M4217+IF(C4217=0,Paths!$F$389,0)+IF(IF(Paths!$E$389=0,C4217=0,AND(C4217&gt;0,Paths!$E$389&gt;(C4217-1)*12,Paths!$E$389&lt;=C4217*12)),VLOOKUP(A4217,'Fleet register'!$A$7:$S$106,16,FALSE),0),"n.a."))</f>
        <v>0</v>
      </c>
      <c r="O4217" s="16">
        <f>IF(NOT(Paths!$C$389=1),0,IF(Paths!$P$389="Complete",N4217-IF(C4217=0,Paths!$F$389,0),"n.a."))</f>
        <v>0</v>
      </c>
      <c r="P4217" s="16">
        <f>IF(NOT(Paths!$C$389=1),0,IF(Paths!$P$389="Complete",O4217+L4217,"n.a."))</f>
        <v>0</v>
      </c>
      <c r="Q4217" s="16">
        <f>IF(NOT(Paths!$C$389=1),0,IF(Paths!$P$389="Complete",N4217*(1+'Operating costs'!$B$54)^-C4217,"n.a."))</f>
        <v>0</v>
      </c>
      <c r="R4217" s="16">
        <f>IF(NOT(Paths!$C$389=1),0,IF(Paths!$P$389="Complete",IF(AND(C4217=0,Paths!$E$389=0),I4217-J4217-K4217+VLOOKUP(A4217,'Fleet register'!$A$7:$S$106,15,FALSE)+VLOOKUP(A4217,'Fleet register'!$A$7:$S$106,16,FALSE),0),"n.a."))</f>
        <v>0</v>
      </c>
      <c r="S4217" s="1">
        <f>IF(NOT(Paths!$C$389=1),0,IF(Paths!$P$389="Complete",IF(C4217=0,0,Paths!$S$389*Paths!$R$389),"n.a."))</f>
        <v>0</v>
      </c>
      <c r="T4217" s="1">
        <f>IF(NOT(Paths!$C$389=1),0,IF(Paths!$P$389="Complete",IF(C4217=0,0,VLOOKUP(A4217,'Fleet register'!$A$7:$S$106,9,FALSE)*Paths!$R$389),"n.a."))</f>
        <v>0</v>
      </c>
    </row>
    <row r="4218" spans="1:20" ht="24" customHeight="1">
      <c r="A4218" s="1" t="str">
        <f>Paths!$A$389</f>
        <v>T096</v>
      </c>
      <c r="B4218" s="1">
        <f>Paths!$B$389</f>
        <v>2</v>
      </c>
      <c r="C4218" s="1">
        <v>9</v>
      </c>
      <c r="D4218" s="1">
        <v>389</v>
      </c>
      <c r="E4218" s="1">
        <f>IF(OR(Paths!$C$389=0,C4218=0),0,MAX(0,MIN(C4218*12,Paths!$E$389)-(C4218-1)*12))</f>
        <v>0</v>
      </c>
      <c r="F4218" s="1">
        <f>IF(OR(Paths!$C$389=0,C4218=0),0,12-E4218)</f>
        <v>0</v>
      </c>
      <c r="G4218" s="16">
        <f>IF(NOT(Paths!$C$389=1),0,IF(Paths!$P$389="Complete",E4218/12*(Paths!$J$389*(1+'Operating costs'!$B$51)^MAX(0,C4218-1)+Paths!$K$389*(1+'Operating costs'!$B$53)^MAX(0,C4218-1)),"n.a."))</f>
        <v>0</v>
      </c>
      <c r="H4218" s="16">
        <f>IF(NOT(Paths!$C$389=1),0,IF(Paths!$P$389="Complete",F4218/12*(Paths!$L$389*(1+IF(Paths!$D$389="EV",'Operating costs'!$B$52,'Operating costs'!$B$51))^MAX(0,C4218-1)+Paths!$M$389*(1+'Operating costs'!$B$53)^MAX(0,C4218-1)),"n.a."))</f>
        <v>0</v>
      </c>
      <c r="I4218" s="16">
        <f>IF(NOT(Paths!$C$389=1),0,IF(Paths!$P$389="Complete",IF(IF(Paths!$E$389=0,C4218=0,AND(C4218&gt;0,Paths!$E$389&gt;(C4218-1)*12,Paths!$E$389&lt;=C4218*12)),Paths!$G$389,0),"n.a."))</f>
        <v>0</v>
      </c>
      <c r="J4218" s="16">
        <f>IF(NOT(Paths!$C$389=1),0,IF(Paths!$P$389="Complete",IF(IF(Paths!$E$389=0,C4218=0,AND(C4218&gt;0,Paths!$E$389&gt;(C4218-1)*12,Paths!$E$389&lt;=C4218*12)),Paths!$H$389,0),"n.a."))</f>
        <v>0</v>
      </c>
      <c r="K4218" s="16">
        <f>IF(NOT(Paths!$C$389=1),0,IF(Paths!$P$389="Complete",IF(IF(Paths!$O$389=0,C4218=0,AND(C4218&gt;0,Paths!$O$389&gt;(C4218-1)*12,Paths!$O$389&lt;=C4218*12)),Paths!$N$389,0),"n.a."))</f>
        <v>0</v>
      </c>
      <c r="L4218" s="16">
        <f>IF(NOT(Paths!$C$389=1),0,IF(Paths!$P$389="Complete",IF(C4218=10,Paths!$I$389,0),"n.a."))</f>
        <v>0</v>
      </c>
      <c r="M4218" s="16">
        <f>IF(NOT(Paths!$C$389=1),0,IF(Paths!$P$389="Complete",IF(AND(Paths!$D$389="EV",Paths!$E$389&lt;120,Paths!$E$389+'Operating costs'!$B$65&gt;Paths!$E$389,Paths!$E$389+'Operating costs'!$B$65&lt;=120,IF(Paths!$E$389+'Operating costs'!$B$65=0,C4218=0,AND(C4218&gt;0,Paths!$E$389+'Operating costs'!$B$65&gt;(C4218-1)*12,Paths!$E$389+'Operating costs'!$B$65&lt;=C4218*12))),'Operating costs'!$B$64,0)+IF(AND('Operating costs'!$B$67&gt;0,'Operating costs'!$B$67&lt;=120,OR(Paths!$D$389="ICE",'Operating costs'!$B$67&lt;=Paths!$E$389),IF('Operating costs'!$B$67=0,C4218=0,AND(C4218&gt;0,'Operating costs'!$B$67&gt;(C4218-1)*12,'Operating costs'!$B$67&lt;=C4218*12))),'Operating costs'!$B$66,0),"n.a."))</f>
        <v>0</v>
      </c>
      <c r="N4218" s="16">
        <f>IF(NOT(Paths!$C$389=1),0,IF(Paths!$P$389="Complete",SUM(G4218:I4218)-J4218-K4218-L4218+M4218+IF(C4218=0,Paths!$F$389,0)+IF(IF(Paths!$E$389=0,C4218=0,AND(C4218&gt;0,Paths!$E$389&gt;(C4218-1)*12,Paths!$E$389&lt;=C4218*12)),VLOOKUP(A4218,'Fleet register'!$A$7:$S$106,16,FALSE),0),"n.a."))</f>
        <v>0</v>
      </c>
      <c r="O4218" s="16">
        <f>IF(NOT(Paths!$C$389=1),0,IF(Paths!$P$389="Complete",N4218-IF(C4218=0,Paths!$F$389,0),"n.a."))</f>
        <v>0</v>
      </c>
      <c r="P4218" s="16">
        <f>IF(NOT(Paths!$C$389=1),0,IF(Paths!$P$389="Complete",O4218+L4218,"n.a."))</f>
        <v>0</v>
      </c>
      <c r="Q4218" s="16">
        <f>IF(NOT(Paths!$C$389=1),0,IF(Paths!$P$389="Complete",N4218*(1+'Operating costs'!$B$54)^-C4218,"n.a."))</f>
        <v>0</v>
      </c>
      <c r="R4218" s="16">
        <f>IF(NOT(Paths!$C$389=1),0,IF(Paths!$P$389="Complete",IF(AND(C4218=0,Paths!$E$389=0),I4218-J4218-K4218+VLOOKUP(A4218,'Fleet register'!$A$7:$S$106,15,FALSE)+VLOOKUP(A4218,'Fleet register'!$A$7:$S$106,16,FALSE),0),"n.a."))</f>
        <v>0</v>
      </c>
      <c r="S4218" s="1">
        <f>IF(NOT(Paths!$C$389=1),0,IF(Paths!$P$389="Complete",IF(C4218=0,0,Paths!$S$389*Paths!$R$389),"n.a."))</f>
        <v>0</v>
      </c>
      <c r="T4218" s="1">
        <f>IF(NOT(Paths!$C$389=1),0,IF(Paths!$P$389="Complete",IF(C4218=0,0,VLOOKUP(A4218,'Fleet register'!$A$7:$S$106,9,FALSE)*Paths!$R$389),"n.a."))</f>
        <v>0</v>
      </c>
    </row>
    <row r="4219" spans="1:20" ht="24" customHeight="1">
      <c r="A4219" s="1" t="str">
        <f>Paths!$A$389</f>
        <v>T096</v>
      </c>
      <c r="B4219" s="1">
        <f>Paths!$B$389</f>
        <v>2</v>
      </c>
      <c r="C4219" s="1">
        <v>10</v>
      </c>
      <c r="D4219" s="1">
        <v>389</v>
      </c>
      <c r="E4219" s="1">
        <f>IF(OR(Paths!$C$389=0,C4219=0),0,MAX(0,MIN(C4219*12,Paths!$E$389)-(C4219-1)*12))</f>
        <v>0</v>
      </c>
      <c r="F4219" s="1">
        <f>IF(OR(Paths!$C$389=0,C4219=0),0,12-E4219)</f>
        <v>0</v>
      </c>
      <c r="G4219" s="16">
        <f>IF(NOT(Paths!$C$389=1),0,IF(Paths!$P$389="Complete",E4219/12*(Paths!$J$389*(1+'Operating costs'!$B$51)^MAX(0,C4219-1)+Paths!$K$389*(1+'Operating costs'!$B$53)^MAX(0,C4219-1)),"n.a."))</f>
        <v>0</v>
      </c>
      <c r="H4219" s="16">
        <f>IF(NOT(Paths!$C$389=1),0,IF(Paths!$P$389="Complete",F4219/12*(Paths!$L$389*(1+IF(Paths!$D$389="EV",'Operating costs'!$B$52,'Operating costs'!$B$51))^MAX(0,C4219-1)+Paths!$M$389*(1+'Operating costs'!$B$53)^MAX(0,C4219-1)),"n.a."))</f>
        <v>0</v>
      </c>
      <c r="I4219" s="16">
        <f>IF(NOT(Paths!$C$389=1),0,IF(Paths!$P$389="Complete",IF(IF(Paths!$E$389=0,C4219=0,AND(C4219&gt;0,Paths!$E$389&gt;(C4219-1)*12,Paths!$E$389&lt;=C4219*12)),Paths!$G$389,0),"n.a."))</f>
        <v>0</v>
      </c>
      <c r="J4219" s="16">
        <f>IF(NOT(Paths!$C$389=1),0,IF(Paths!$P$389="Complete",IF(IF(Paths!$E$389=0,C4219=0,AND(C4219&gt;0,Paths!$E$389&gt;(C4219-1)*12,Paths!$E$389&lt;=C4219*12)),Paths!$H$389,0),"n.a."))</f>
        <v>0</v>
      </c>
      <c r="K4219" s="16">
        <f>IF(NOT(Paths!$C$389=1),0,IF(Paths!$P$389="Complete",IF(IF(Paths!$O$389=0,C4219=0,AND(C4219&gt;0,Paths!$O$389&gt;(C4219-1)*12,Paths!$O$389&lt;=C4219*12)),Paths!$N$389,0),"n.a."))</f>
        <v>0</v>
      </c>
      <c r="L4219" s="16">
        <f>IF(NOT(Paths!$C$389=1),0,IF(Paths!$P$389="Complete",IF(C4219=10,Paths!$I$389,0),"n.a."))</f>
        <v>0</v>
      </c>
      <c r="M4219" s="16">
        <f>IF(NOT(Paths!$C$389=1),0,IF(Paths!$P$389="Complete",IF(AND(Paths!$D$389="EV",Paths!$E$389&lt;120,Paths!$E$389+'Operating costs'!$B$65&gt;Paths!$E$389,Paths!$E$389+'Operating costs'!$B$65&lt;=120,IF(Paths!$E$389+'Operating costs'!$B$65=0,C4219=0,AND(C4219&gt;0,Paths!$E$389+'Operating costs'!$B$65&gt;(C4219-1)*12,Paths!$E$389+'Operating costs'!$B$65&lt;=C4219*12))),'Operating costs'!$B$64,0)+IF(AND('Operating costs'!$B$67&gt;0,'Operating costs'!$B$67&lt;=120,OR(Paths!$D$389="ICE",'Operating costs'!$B$67&lt;=Paths!$E$389),IF('Operating costs'!$B$67=0,C4219=0,AND(C4219&gt;0,'Operating costs'!$B$67&gt;(C4219-1)*12,'Operating costs'!$B$67&lt;=C4219*12))),'Operating costs'!$B$66,0),"n.a."))</f>
        <v>0</v>
      </c>
      <c r="N4219" s="16">
        <f>IF(NOT(Paths!$C$389=1),0,IF(Paths!$P$389="Complete",SUM(G4219:I4219)-J4219-K4219-L4219+M4219+IF(C4219=0,Paths!$F$389,0)+IF(IF(Paths!$E$389=0,C4219=0,AND(C4219&gt;0,Paths!$E$389&gt;(C4219-1)*12,Paths!$E$389&lt;=C4219*12)),VLOOKUP(A4219,'Fleet register'!$A$7:$S$106,16,FALSE),0),"n.a."))</f>
        <v>0</v>
      </c>
      <c r="O4219" s="16">
        <f>IF(NOT(Paths!$C$389=1),0,IF(Paths!$P$389="Complete",N4219-IF(C4219=0,Paths!$F$389,0),"n.a."))</f>
        <v>0</v>
      </c>
      <c r="P4219" s="16">
        <f>IF(NOT(Paths!$C$389=1),0,IF(Paths!$P$389="Complete",O4219+L4219,"n.a."))</f>
        <v>0</v>
      </c>
      <c r="Q4219" s="16">
        <f>IF(NOT(Paths!$C$389=1),0,IF(Paths!$P$389="Complete",N4219*(1+'Operating costs'!$B$54)^-C4219,"n.a."))</f>
        <v>0</v>
      </c>
      <c r="R4219" s="16">
        <f>IF(NOT(Paths!$C$389=1),0,IF(Paths!$P$389="Complete",IF(AND(C4219=0,Paths!$E$389=0),I4219-J4219-K4219+VLOOKUP(A4219,'Fleet register'!$A$7:$S$106,15,FALSE)+VLOOKUP(A4219,'Fleet register'!$A$7:$S$106,16,FALSE),0),"n.a."))</f>
        <v>0</v>
      </c>
      <c r="S4219" s="1">
        <f>IF(NOT(Paths!$C$389=1),0,IF(Paths!$P$389="Complete",IF(C4219=0,0,Paths!$S$389*Paths!$R$389),"n.a."))</f>
        <v>0</v>
      </c>
      <c r="T4219" s="1">
        <f>IF(NOT(Paths!$C$389=1),0,IF(Paths!$P$389="Complete",IF(C4219=0,0,VLOOKUP(A4219,'Fleet register'!$A$7:$S$106,9,FALSE)*Paths!$R$389),"n.a."))</f>
        <v>0</v>
      </c>
    </row>
    <row r="4220" spans="1:20" ht="24" customHeight="1">
      <c r="A4220" s="1" t="str">
        <f>Paths!$A$390</f>
        <v>T096</v>
      </c>
      <c r="B4220" s="1">
        <f>Paths!$B$390</f>
        <v>3</v>
      </c>
      <c r="C4220" s="1">
        <v>0</v>
      </c>
      <c r="D4220" s="1">
        <v>390</v>
      </c>
      <c r="E4220" s="1">
        <f>IF(OR(Paths!$C$390=0,C4220=0),0,MAX(0,MIN(C4220*12,Paths!$E$390)-(C4220-1)*12))</f>
        <v>0</v>
      </c>
      <c r="F4220" s="1">
        <f>IF(OR(Paths!$C$390=0,C4220=0),0,12-E4220)</f>
        <v>0</v>
      </c>
      <c r="G4220" s="16">
        <f>IF(NOT(Paths!$C$390=1),0,IF(Paths!$P$390="Complete",E4220/12*(Paths!$J$390*(1+'Operating costs'!$B$51)^MAX(0,C4220-1)+Paths!$K$390*(1+'Operating costs'!$B$53)^MAX(0,C4220-1)),"n.a."))</f>
        <v>0</v>
      </c>
      <c r="H4220" s="16">
        <f>IF(NOT(Paths!$C$390=1),0,IF(Paths!$P$390="Complete",F4220/12*(Paths!$L$390*(1+IF(Paths!$D$390="EV",'Operating costs'!$B$52,'Operating costs'!$B$51))^MAX(0,C4220-1)+Paths!$M$390*(1+'Operating costs'!$B$53)^MAX(0,C4220-1)),"n.a."))</f>
        <v>0</v>
      </c>
      <c r="I4220" s="16">
        <f>IF(NOT(Paths!$C$390=1),0,IF(Paths!$P$390="Complete",IF(IF(Paths!$E$390=0,C4220=0,AND(C4220&gt;0,Paths!$E$390&gt;(C4220-1)*12,Paths!$E$390&lt;=C4220*12)),Paths!$G$390,0),"n.a."))</f>
        <v>0</v>
      </c>
      <c r="J4220" s="16">
        <f>IF(NOT(Paths!$C$390=1),0,IF(Paths!$P$390="Complete",IF(IF(Paths!$E$390=0,C4220=0,AND(C4220&gt;0,Paths!$E$390&gt;(C4220-1)*12,Paths!$E$390&lt;=C4220*12)),Paths!$H$390,0),"n.a."))</f>
        <v>0</v>
      </c>
      <c r="K4220" s="16">
        <f>IF(NOT(Paths!$C$390=1),0,IF(Paths!$P$390="Complete",IF(IF(Paths!$O$390=0,C4220=0,AND(C4220&gt;0,Paths!$O$390&gt;(C4220-1)*12,Paths!$O$390&lt;=C4220*12)),Paths!$N$390,0),"n.a."))</f>
        <v>0</v>
      </c>
      <c r="L4220" s="16">
        <f>IF(NOT(Paths!$C$390=1),0,IF(Paths!$P$390="Complete",IF(C4220=10,Paths!$I$390,0),"n.a."))</f>
        <v>0</v>
      </c>
      <c r="M4220" s="16">
        <f>IF(NOT(Paths!$C$390=1),0,IF(Paths!$P$390="Complete",IF(AND(Paths!$D$390="EV",Paths!$E$390&lt;120,Paths!$E$390+'Operating costs'!$B$65&gt;Paths!$E$390,Paths!$E$390+'Operating costs'!$B$65&lt;=120,IF(Paths!$E$390+'Operating costs'!$B$65=0,C4220=0,AND(C4220&gt;0,Paths!$E$390+'Operating costs'!$B$65&gt;(C4220-1)*12,Paths!$E$390+'Operating costs'!$B$65&lt;=C4220*12))),'Operating costs'!$B$64,0)+IF(AND('Operating costs'!$B$67&gt;0,'Operating costs'!$B$67&lt;=120,OR(Paths!$D$390="ICE",'Operating costs'!$B$67&lt;=Paths!$E$390),IF('Operating costs'!$B$67=0,C4220=0,AND(C4220&gt;0,'Operating costs'!$B$67&gt;(C4220-1)*12,'Operating costs'!$B$67&lt;=C4220*12))),'Operating costs'!$B$66,0),"n.a."))</f>
        <v>0</v>
      </c>
      <c r="N4220" s="16">
        <f>IF(NOT(Paths!$C$390=1),0,IF(Paths!$P$390="Complete",SUM(G4220:I4220)-J4220-K4220-L4220+M4220+IF(C4220=0,Paths!$F$390,0)+IF(IF(Paths!$E$390=0,C4220=0,AND(C4220&gt;0,Paths!$E$390&gt;(C4220-1)*12,Paths!$E$390&lt;=C4220*12)),VLOOKUP(A4220,'Fleet register'!$A$7:$S$106,16,FALSE),0),"n.a."))</f>
        <v>0</v>
      </c>
      <c r="O4220" s="16">
        <f>IF(NOT(Paths!$C$390=1),0,IF(Paths!$P$390="Complete",N4220-IF(C4220=0,Paths!$F$390,0),"n.a."))</f>
        <v>0</v>
      </c>
      <c r="P4220" s="16">
        <f>IF(NOT(Paths!$C$390=1),0,IF(Paths!$P$390="Complete",O4220+L4220,"n.a."))</f>
        <v>0</v>
      </c>
      <c r="Q4220" s="16">
        <f>IF(NOT(Paths!$C$390=1),0,IF(Paths!$P$390="Complete",N4220*(1+'Operating costs'!$B$54)^-C4220,"n.a."))</f>
        <v>0</v>
      </c>
      <c r="R4220" s="16">
        <f>IF(NOT(Paths!$C$390=1),0,IF(Paths!$P$390="Complete",IF(AND(C4220=0,Paths!$E$390=0),I4220-J4220-K4220+VLOOKUP(A4220,'Fleet register'!$A$7:$S$106,15,FALSE)+VLOOKUP(A4220,'Fleet register'!$A$7:$S$106,16,FALSE),0),"n.a."))</f>
        <v>0</v>
      </c>
      <c r="S4220" s="1">
        <f>IF(NOT(Paths!$C$390=1),0,IF(Paths!$P$390="Complete",IF(C4220=0,0,Paths!$S$390*Paths!$R$390),"n.a."))</f>
        <v>0</v>
      </c>
      <c r="T4220" s="1">
        <f>IF(NOT(Paths!$C$390=1),0,IF(Paths!$P$390="Complete",IF(C4220=0,0,VLOOKUP(A4220,'Fleet register'!$A$7:$S$106,9,FALSE)*Paths!$R$390),"n.a."))</f>
        <v>0</v>
      </c>
    </row>
    <row r="4221" spans="1:20" ht="24" customHeight="1">
      <c r="A4221" s="1" t="str">
        <f>Paths!$A$390</f>
        <v>T096</v>
      </c>
      <c r="B4221" s="1">
        <f>Paths!$B$390</f>
        <v>3</v>
      </c>
      <c r="C4221" s="1">
        <v>1</v>
      </c>
      <c r="D4221" s="1">
        <v>390</v>
      </c>
      <c r="E4221" s="1">
        <f>IF(OR(Paths!$C$390=0,C4221=0),0,MAX(0,MIN(C4221*12,Paths!$E$390)-(C4221-1)*12))</f>
        <v>0</v>
      </c>
      <c r="F4221" s="1">
        <f>IF(OR(Paths!$C$390=0,C4221=0),0,12-E4221)</f>
        <v>0</v>
      </c>
      <c r="G4221" s="16">
        <f>IF(NOT(Paths!$C$390=1),0,IF(Paths!$P$390="Complete",E4221/12*(Paths!$J$390*(1+'Operating costs'!$B$51)^MAX(0,C4221-1)+Paths!$K$390*(1+'Operating costs'!$B$53)^MAX(0,C4221-1)),"n.a."))</f>
        <v>0</v>
      </c>
      <c r="H4221" s="16">
        <f>IF(NOT(Paths!$C$390=1),0,IF(Paths!$P$390="Complete",F4221/12*(Paths!$L$390*(1+IF(Paths!$D$390="EV",'Operating costs'!$B$52,'Operating costs'!$B$51))^MAX(0,C4221-1)+Paths!$M$390*(1+'Operating costs'!$B$53)^MAX(0,C4221-1)),"n.a."))</f>
        <v>0</v>
      </c>
      <c r="I4221" s="16">
        <f>IF(NOT(Paths!$C$390=1),0,IF(Paths!$P$390="Complete",IF(IF(Paths!$E$390=0,C4221=0,AND(C4221&gt;0,Paths!$E$390&gt;(C4221-1)*12,Paths!$E$390&lt;=C4221*12)),Paths!$G$390,0),"n.a."))</f>
        <v>0</v>
      </c>
      <c r="J4221" s="16">
        <f>IF(NOT(Paths!$C$390=1),0,IF(Paths!$P$390="Complete",IF(IF(Paths!$E$390=0,C4221=0,AND(C4221&gt;0,Paths!$E$390&gt;(C4221-1)*12,Paths!$E$390&lt;=C4221*12)),Paths!$H$390,0),"n.a."))</f>
        <v>0</v>
      </c>
      <c r="K4221" s="16">
        <f>IF(NOT(Paths!$C$390=1),0,IF(Paths!$P$390="Complete",IF(IF(Paths!$O$390=0,C4221=0,AND(C4221&gt;0,Paths!$O$390&gt;(C4221-1)*12,Paths!$O$390&lt;=C4221*12)),Paths!$N$390,0),"n.a."))</f>
        <v>0</v>
      </c>
      <c r="L4221" s="16">
        <f>IF(NOT(Paths!$C$390=1),0,IF(Paths!$P$390="Complete",IF(C4221=10,Paths!$I$390,0),"n.a."))</f>
        <v>0</v>
      </c>
      <c r="M4221" s="16">
        <f>IF(NOT(Paths!$C$390=1),0,IF(Paths!$P$390="Complete",IF(AND(Paths!$D$390="EV",Paths!$E$390&lt;120,Paths!$E$390+'Operating costs'!$B$65&gt;Paths!$E$390,Paths!$E$390+'Operating costs'!$B$65&lt;=120,IF(Paths!$E$390+'Operating costs'!$B$65=0,C4221=0,AND(C4221&gt;0,Paths!$E$390+'Operating costs'!$B$65&gt;(C4221-1)*12,Paths!$E$390+'Operating costs'!$B$65&lt;=C4221*12))),'Operating costs'!$B$64,0)+IF(AND('Operating costs'!$B$67&gt;0,'Operating costs'!$B$67&lt;=120,OR(Paths!$D$390="ICE",'Operating costs'!$B$67&lt;=Paths!$E$390),IF('Operating costs'!$B$67=0,C4221=0,AND(C4221&gt;0,'Operating costs'!$B$67&gt;(C4221-1)*12,'Operating costs'!$B$67&lt;=C4221*12))),'Operating costs'!$B$66,0),"n.a."))</f>
        <v>0</v>
      </c>
      <c r="N4221" s="16">
        <f>IF(NOT(Paths!$C$390=1),0,IF(Paths!$P$390="Complete",SUM(G4221:I4221)-J4221-K4221-L4221+M4221+IF(C4221=0,Paths!$F$390,0)+IF(IF(Paths!$E$390=0,C4221=0,AND(C4221&gt;0,Paths!$E$390&gt;(C4221-1)*12,Paths!$E$390&lt;=C4221*12)),VLOOKUP(A4221,'Fleet register'!$A$7:$S$106,16,FALSE),0),"n.a."))</f>
        <v>0</v>
      </c>
      <c r="O4221" s="16">
        <f>IF(NOT(Paths!$C$390=1),0,IF(Paths!$P$390="Complete",N4221-IF(C4221=0,Paths!$F$390,0),"n.a."))</f>
        <v>0</v>
      </c>
      <c r="P4221" s="16">
        <f>IF(NOT(Paths!$C$390=1),0,IF(Paths!$P$390="Complete",O4221+L4221,"n.a."))</f>
        <v>0</v>
      </c>
      <c r="Q4221" s="16">
        <f>IF(NOT(Paths!$C$390=1),0,IF(Paths!$P$390="Complete",N4221*(1+'Operating costs'!$B$54)^-C4221,"n.a."))</f>
        <v>0</v>
      </c>
      <c r="R4221" s="16">
        <f>IF(NOT(Paths!$C$390=1),0,IF(Paths!$P$390="Complete",IF(AND(C4221=0,Paths!$E$390=0),I4221-J4221-K4221+VLOOKUP(A4221,'Fleet register'!$A$7:$S$106,15,FALSE)+VLOOKUP(A4221,'Fleet register'!$A$7:$S$106,16,FALSE),0),"n.a."))</f>
        <v>0</v>
      </c>
      <c r="S4221" s="1">
        <f>IF(NOT(Paths!$C$390=1),0,IF(Paths!$P$390="Complete",IF(C4221=0,0,Paths!$S$390*Paths!$R$390),"n.a."))</f>
        <v>0</v>
      </c>
      <c r="T4221" s="1">
        <f>IF(NOT(Paths!$C$390=1),0,IF(Paths!$P$390="Complete",IF(C4221=0,0,VLOOKUP(A4221,'Fleet register'!$A$7:$S$106,9,FALSE)*Paths!$R$390),"n.a."))</f>
        <v>0</v>
      </c>
    </row>
    <row r="4222" spans="1:20" ht="24" customHeight="1">
      <c r="A4222" s="1" t="str">
        <f>Paths!$A$390</f>
        <v>T096</v>
      </c>
      <c r="B4222" s="1">
        <f>Paths!$B$390</f>
        <v>3</v>
      </c>
      <c r="C4222" s="1">
        <v>2</v>
      </c>
      <c r="D4222" s="1">
        <v>390</v>
      </c>
      <c r="E4222" s="1">
        <f>IF(OR(Paths!$C$390=0,C4222=0),0,MAX(0,MIN(C4222*12,Paths!$E$390)-(C4222-1)*12))</f>
        <v>0</v>
      </c>
      <c r="F4222" s="1">
        <f>IF(OR(Paths!$C$390=0,C4222=0),0,12-E4222)</f>
        <v>0</v>
      </c>
      <c r="G4222" s="16">
        <f>IF(NOT(Paths!$C$390=1),0,IF(Paths!$P$390="Complete",E4222/12*(Paths!$J$390*(1+'Operating costs'!$B$51)^MAX(0,C4222-1)+Paths!$K$390*(1+'Operating costs'!$B$53)^MAX(0,C4222-1)),"n.a."))</f>
        <v>0</v>
      </c>
      <c r="H4222" s="16">
        <f>IF(NOT(Paths!$C$390=1),0,IF(Paths!$P$390="Complete",F4222/12*(Paths!$L$390*(1+IF(Paths!$D$390="EV",'Operating costs'!$B$52,'Operating costs'!$B$51))^MAX(0,C4222-1)+Paths!$M$390*(1+'Operating costs'!$B$53)^MAX(0,C4222-1)),"n.a."))</f>
        <v>0</v>
      </c>
      <c r="I4222" s="16">
        <f>IF(NOT(Paths!$C$390=1),0,IF(Paths!$P$390="Complete",IF(IF(Paths!$E$390=0,C4222=0,AND(C4222&gt;0,Paths!$E$390&gt;(C4222-1)*12,Paths!$E$390&lt;=C4222*12)),Paths!$G$390,0),"n.a."))</f>
        <v>0</v>
      </c>
      <c r="J4222" s="16">
        <f>IF(NOT(Paths!$C$390=1),0,IF(Paths!$P$390="Complete",IF(IF(Paths!$E$390=0,C4222=0,AND(C4222&gt;0,Paths!$E$390&gt;(C4222-1)*12,Paths!$E$390&lt;=C4222*12)),Paths!$H$390,0),"n.a."))</f>
        <v>0</v>
      </c>
      <c r="K4222" s="16">
        <f>IF(NOT(Paths!$C$390=1),0,IF(Paths!$P$390="Complete",IF(IF(Paths!$O$390=0,C4222=0,AND(C4222&gt;0,Paths!$O$390&gt;(C4222-1)*12,Paths!$O$390&lt;=C4222*12)),Paths!$N$390,0),"n.a."))</f>
        <v>0</v>
      </c>
      <c r="L4222" s="16">
        <f>IF(NOT(Paths!$C$390=1),0,IF(Paths!$P$390="Complete",IF(C4222=10,Paths!$I$390,0),"n.a."))</f>
        <v>0</v>
      </c>
      <c r="M4222" s="16">
        <f>IF(NOT(Paths!$C$390=1),0,IF(Paths!$P$390="Complete",IF(AND(Paths!$D$390="EV",Paths!$E$390&lt;120,Paths!$E$390+'Operating costs'!$B$65&gt;Paths!$E$390,Paths!$E$390+'Operating costs'!$B$65&lt;=120,IF(Paths!$E$390+'Operating costs'!$B$65=0,C4222=0,AND(C4222&gt;0,Paths!$E$390+'Operating costs'!$B$65&gt;(C4222-1)*12,Paths!$E$390+'Operating costs'!$B$65&lt;=C4222*12))),'Operating costs'!$B$64,0)+IF(AND('Operating costs'!$B$67&gt;0,'Operating costs'!$B$67&lt;=120,OR(Paths!$D$390="ICE",'Operating costs'!$B$67&lt;=Paths!$E$390),IF('Operating costs'!$B$67=0,C4222=0,AND(C4222&gt;0,'Operating costs'!$B$67&gt;(C4222-1)*12,'Operating costs'!$B$67&lt;=C4222*12))),'Operating costs'!$B$66,0),"n.a."))</f>
        <v>0</v>
      </c>
      <c r="N4222" s="16">
        <f>IF(NOT(Paths!$C$390=1),0,IF(Paths!$P$390="Complete",SUM(G4222:I4222)-J4222-K4222-L4222+M4222+IF(C4222=0,Paths!$F$390,0)+IF(IF(Paths!$E$390=0,C4222=0,AND(C4222&gt;0,Paths!$E$390&gt;(C4222-1)*12,Paths!$E$390&lt;=C4222*12)),VLOOKUP(A4222,'Fleet register'!$A$7:$S$106,16,FALSE),0),"n.a."))</f>
        <v>0</v>
      </c>
      <c r="O4222" s="16">
        <f>IF(NOT(Paths!$C$390=1),0,IF(Paths!$P$390="Complete",N4222-IF(C4222=0,Paths!$F$390,0),"n.a."))</f>
        <v>0</v>
      </c>
      <c r="P4222" s="16">
        <f>IF(NOT(Paths!$C$390=1),0,IF(Paths!$P$390="Complete",O4222+L4222,"n.a."))</f>
        <v>0</v>
      </c>
      <c r="Q4222" s="16">
        <f>IF(NOT(Paths!$C$390=1),0,IF(Paths!$P$390="Complete",N4222*(1+'Operating costs'!$B$54)^-C4222,"n.a."))</f>
        <v>0</v>
      </c>
      <c r="R4222" s="16">
        <f>IF(NOT(Paths!$C$390=1),0,IF(Paths!$P$390="Complete",IF(AND(C4222=0,Paths!$E$390=0),I4222-J4222-K4222+VLOOKUP(A4222,'Fleet register'!$A$7:$S$106,15,FALSE)+VLOOKUP(A4222,'Fleet register'!$A$7:$S$106,16,FALSE),0),"n.a."))</f>
        <v>0</v>
      </c>
      <c r="S4222" s="1">
        <f>IF(NOT(Paths!$C$390=1),0,IF(Paths!$P$390="Complete",IF(C4222=0,0,Paths!$S$390*Paths!$R$390),"n.a."))</f>
        <v>0</v>
      </c>
      <c r="T4222" s="1">
        <f>IF(NOT(Paths!$C$390=1),0,IF(Paths!$P$390="Complete",IF(C4222=0,0,VLOOKUP(A4222,'Fleet register'!$A$7:$S$106,9,FALSE)*Paths!$R$390),"n.a."))</f>
        <v>0</v>
      </c>
    </row>
    <row r="4223" spans="1:20" ht="24" customHeight="1">
      <c r="A4223" s="1" t="str">
        <f>Paths!$A$390</f>
        <v>T096</v>
      </c>
      <c r="B4223" s="1">
        <f>Paths!$B$390</f>
        <v>3</v>
      </c>
      <c r="C4223" s="1">
        <v>3</v>
      </c>
      <c r="D4223" s="1">
        <v>390</v>
      </c>
      <c r="E4223" s="1">
        <f>IF(OR(Paths!$C$390=0,C4223=0),0,MAX(0,MIN(C4223*12,Paths!$E$390)-(C4223-1)*12))</f>
        <v>0</v>
      </c>
      <c r="F4223" s="1">
        <f>IF(OR(Paths!$C$390=0,C4223=0),0,12-E4223)</f>
        <v>0</v>
      </c>
      <c r="G4223" s="16">
        <f>IF(NOT(Paths!$C$390=1),0,IF(Paths!$P$390="Complete",E4223/12*(Paths!$J$390*(1+'Operating costs'!$B$51)^MAX(0,C4223-1)+Paths!$K$390*(1+'Operating costs'!$B$53)^MAX(0,C4223-1)),"n.a."))</f>
        <v>0</v>
      </c>
      <c r="H4223" s="16">
        <f>IF(NOT(Paths!$C$390=1),0,IF(Paths!$P$390="Complete",F4223/12*(Paths!$L$390*(1+IF(Paths!$D$390="EV",'Operating costs'!$B$52,'Operating costs'!$B$51))^MAX(0,C4223-1)+Paths!$M$390*(1+'Operating costs'!$B$53)^MAX(0,C4223-1)),"n.a."))</f>
        <v>0</v>
      </c>
      <c r="I4223" s="16">
        <f>IF(NOT(Paths!$C$390=1),0,IF(Paths!$P$390="Complete",IF(IF(Paths!$E$390=0,C4223=0,AND(C4223&gt;0,Paths!$E$390&gt;(C4223-1)*12,Paths!$E$390&lt;=C4223*12)),Paths!$G$390,0),"n.a."))</f>
        <v>0</v>
      </c>
      <c r="J4223" s="16">
        <f>IF(NOT(Paths!$C$390=1),0,IF(Paths!$P$390="Complete",IF(IF(Paths!$E$390=0,C4223=0,AND(C4223&gt;0,Paths!$E$390&gt;(C4223-1)*12,Paths!$E$390&lt;=C4223*12)),Paths!$H$390,0),"n.a."))</f>
        <v>0</v>
      </c>
      <c r="K4223" s="16">
        <f>IF(NOT(Paths!$C$390=1),0,IF(Paths!$P$390="Complete",IF(IF(Paths!$O$390=0,C4223=0,AND(C4223&gt;0,Paths!$O$390&gt;(C4223-1)*12,Paths!$O$390&lt;=C4223*12)),Paths!$N$390,0),"n.a."))</f>
        <v>0</v>
      </c>
      <c r="L4223" s="16">
        <f>IF(NOT(Paths!$C$390=1),0,IF(Paths!$P$390="Complete",IF(C4223=10,Paths!$I$390,0),"n.a."))</f>
        <v>0</v>
      </c>
      <c r="M4223" s="16">
        <f>IF(NOT(Paths!$C$390=1),0,IF(Paths!$P$390="Complete",IF(AND(Paths!$D$390="EV",Paths!$E$390&lt;120,Paths!$E$390+'Operating costs'!$B$65&gt;Paths!$E$390,Paths!$E$390+'Operating costs'!$B$65&lt;=120,IF(Paths!$E$390+'Operating costs'!$B$65=0,C4223=0,AND(C4223&gt;0,Paths!$E$390+'Operating costs'!$B$65&gt;(C4223-1)*12,Paths!$E$390+'Operating costs'!$B$65&lt;=C4223*12))),'Operating costs'!$B$64,0)+IF(AND('Operating costs'!$B$67&gt;0,'Operating costs'!$B$67&lt;=120,OR(Paths!$D$390="ICE",'Operating costs'!$B$67&lt;=Paths!$E$390),IF('Operating costs'!$B$67=0,C4223=0,AND(C4223&gt;0,'Operating costs'!$B$67&gt;(C4223-1)*12,'Operating costs'!$B$67&lt;=C4223*12))),'Operating costs'!$B$66,0),"n.a."))</f>
        <v>0</v>
      </c>
      <c r="N4223" s="16">
        <f>IF(NOT(Paths!$C$390=1),0,IF(Paths!$P$390="Complete",SUM(G4223:I4223)-J4223-K4223-L4223+M4223+IF(C4223=0,Paths!$F$390,0)+IF(IF(Paths!$E$390=0,C4223=0,AND(C4223&gt;0,Paths!$E$390&gt;(C4223-1)*12,Paths!$E$390&lt;=C4223*12)),VLOOKUP(A4223,'Fleet register'!$A$7:$S$106,16,FALSE),0),"n.a."))</f>
        <v>0</v>
      </c>
      <c r="O4223" s="16">
        <f>IF(NOT(Paths!$C$390=1),0,IF(Paths!$P$390="Complete",N4223-IF(C4223=0,Paths!$F$390,0),"n.a."))</f>
        <v>0</v>
      </c>
      <c r="P4223" s="16">
        <f>IF(NOT(Paths!$C$390=1),0,IF(Paths!$P$390="Complete",O4223+L4223,"n.a."))</f>
        <v>0</v>
      </c>
      <c r="Q4223" s="16">
        <f>IF(NOT(Paths!$C$390=1),0,IF(Paths!$P$390="Complete",N4223*(1+'Operating costs'!$B$54)^-C4223,"n.a."))</f>
        <v>0</v>
      </c>
      <c r="R4223" s="16">
        <f>IF(NOT(Paths!$C$390=1),0,IF(Paths!$P$390="Complete",IF(AND(C4223=0,Paths!$E$390=0),I4223-J4223-K4223+VLOOKUP(A4223,'Fleet register'!$A$7:$S$106,15,FALSE)+VLOOKUP(A4223,'Fleet register'!$A$7:$S$106,16,FALSE),0),"n.a."))</f>
        <v>0</v>
      </c>
      <c r="S4223" s="1">
        <f>IF(NOT(Paths!$C$390=1),0,IF(Paths!$P$390="Complete",IF(C4223=0,0,Paths!$S$390*Paths!$R$390),"n.a."))</f>
        <v>0</v>
      </c>
      <c r="T4223" s="1">
        <f>IF(NOT(Paths!$C$390=1),0,IF(Paths!$P$390="Complete",IF(C4223=0,0,VLOOKUP(A4223,'Fleet register'!$A$7:$S$106,9,FALSE)*Paths!$R$390),"n.a."))</f>
        <v>0</v>
      </c>
    </row>
    <row r="4224" spans="1:20" ht="24" customHeight="1">
      <c r="A4224" s="1" t="str">
        <f>Paths!$A$390</f>
        <v>T096</v>
      </c>
      <c r="B4224" s="1">
        <f>Paths!$B$390</f>
        <v>3</v>
      </c>
      <c r="C4224" s="1">
        <v>4</v>
      </c>
      <c r="D4224" s="1">
        <v>390</v>
      </c>
      <c r="E4224" s="1">
        <f>IF(OR(Paths!$C$390=0,C4224=0),0,MAX(0,MIN(C4224*12,Paths!$E$390)-(C4224-1)*12))</f>
        <v>0</v>
      </c>
      <c r="F4224" s="1">
        <f>IF(OR(Paths!$C$390=0,C4224=0),0,12-E4224)</f>
        <v>0</v>
      </c>
      <c r="G4224" s="16">
        <f>IF(NOT(Paths!$C$390=1),0,IF(Paths!$P$390="Complete",E4224/12*(Paths!$J$390*(1+'Operating costs'!$B$51)^MAX(0,C4224-1)+Paths!$K$390*(1+'Operating costs'!$B$53)^MAX(0,C4224-1)),"n.a."))</f>
        <v>0</v>
      </c>
      <c r="H4224" s="16">
        <f>IF(NOT(Paths!$C$390=1),0,IF(Paths!$P$390="Complete",F4224/12*(Paths!$L$390*(1+IF(Paths!$D$390="EV",'Operating costs'!$B$52,'Operating costs'!$B$51))^MAX(0,C4224-1)+Paths!$M$390*(1+'Operating costs'!$B$53)^MAX(0,C4224-1)),"n.a."))</f>
        <v>0</v>
      </c>
      <c r="I4224" s="16">
        <f>IF(NOT(Paths!$C$390=1),0,IF(Paths!$P$390="Complete",IF(IF(Paths!$E$390=0,C4224=0,AND(C4224&gt;0,Paths!$E$390&gt;(C4224-1)*12,Paths!$E$390&lt;=C4224*12)),Paths!$G$390,0),"n.a."))</f>
        <v>0</v>
      </c>
      <c r="J4224" s="16">
        <f>IF(NOT(Paths!$C$390=1),0,IF(Paths!$P$390="Complete",IF(IF(Paths!$E$390=0,C4224=0,AND(C4224&gt;0,Paths!$E$390&gt;(C4224-1)*12,Paths!$E$390&lt;=C4224*12)),Paths!$H$390,0),"n.a."))</f>
        <v>0</v>
      </c>
      <c r="K4224" s="16">
        <f>IF(NOT(Paths!$C$390=1),0,IF(Paths!$P$390="Complete",IF(IF(Paths!$O$390=0,C4224=0,AND(C4224&gt;0,Paths!$O$390&gt;(C4224-1)*12,Paths!$O$390&lt;=C4224*12)),Paths!$N$390,0),"n.a."))</f>
        <v>0</v>
      </c>
      <c r="L4224" s="16">
        <f>IF(NOT(Paths!$C$390=1),0,IF(Paths!$P$390="Complete",IF(C4224=10,Paths!$I$390,0),"n.a."))</f>
        <v>0</v>
      </c>
      <c r="M4224" s="16">
        <f>IF(NOT(Paths!$C$390=1),0,IF(Paths!$P$390="Complete",IF(AND(Paths!$D$390="EV",Paths!$E$390&lt;120,Paths!$E$390+'Operating costs'!$B$65&gt;Paths!$E$390,Paths!$E$390+'Operating costs'!$B$65&lt;=120,IF(Paths!$E$390+'Operating costs'!$B$65=0,C4224=0,AND(C4224&gt;0,Paths!$E$390+'Operating costs'!$B$65&gt;(C4224-1)*12,Paths!$E$390+'Operating costs'!$B$65&lt;=C4224*12))),'Operating costs'!$B$64,0)+IF(AND('Operating costs'!$B$67&gt;0,'Operating costs'!$B$67&lt;=120,OR(Paths!$D$390="ICE",'Operating costs'!$B$67&lt;=Paths!$E$390),IF('Operating costs'!$B$67=0,C4224=0,AND(C4224&gt;0,'Operating costs'!$B$67&gt;(C4224-1)*12,'Operating costs'!$B$67&lt;=C4224*12))),'Operating costs'!$B$66,0),"n.a."))</f>
        <v>0</v>
      </c>
      <c r="N4224" s="16">
        <f>IF(NOT(Paths!$C$390=1),0,IF(Paths!$P$390="Complete",SUM(G4224:I4224)-J4224-K4224-L4224+M4224+IF(C4224=0,Paths!$F$390,0)+IF(IF(Paths!$E$390=0,C4224=0,AND(C4224&gt;0,Paths!$E$390&gt;(C4224-1)*12,Paths!$E$390&lt;=C4224*12)),VLOOKUP(A4224,'Fleet register'!$A$7:$S$106,16,FALSE),0),"n.a."))</f>
        <v>0</v>
      </c>
      <c r="O4224" s="16">
        <f>IF(NOT(Paths!$C$390=1),0,IF(Paths!$P$390="Complete",N4224-IF(C4224=0,Paths!$F$390,0),"n.a."))</f>
        <v>0</v>
      </c>
      <c r="P4224" s="16">
        <f>IF(NOT(Paths!$C$390=1),0,IF(Paths!$P$390="Complete",O4224+L4224,"n.a."))</f>
        <v>0</v>
      </c>
      <c r="Q4224" s="16">
        <f>IF(NOT(Paths!$C$390=1),0,IF(Paths!$P$390="Complete",N4224*(1+'Operating costs'!$B$54)^-C4224,"n.a."))</f>
        <v>0</v>
      </c>
      <c r="R4224" s="16">
        <f>IF(NOT(Paths!$C$390=1),0,IF(Paths!$P$390="Complete",IF(AND(C4224=0,Paths!$E$390=0),I4224-J4224-K4224+VLOOKUP(A4224,'Fleet register'!$A$7:$S$106,15,FALSE)+VLOOKUP(A4224,'Fleet register'!$A$7:$S$106,16,FALSE),0),"n.a."))</f>
        <v>0</v>
      </c>
      <c r="S4224" s="1">
        <f>IF(NOT(Paths!$C$390=1),0,IF(Paths!$P$390="Complete",IF(C4224=0,0,Paths!$S$390*Paths!$R$390),"n.a."))</f>
        <v>0</v>
      </c>
      <c r="T4224" s="1">
        <f>IF(NOT(Paths!$C$390=1),0,IF(Paths!$P$390="Complete",IF(C4224=0,0,VLOOKUP(A4224,'Fleet register'!$A$7:$S$106,9,FALSE)*Paths!$R$390),"n.a."))</f>
        <v>0</v>
      </c>
    </row>
    <row r="4225" spans="1:20" ht="24" customHeight="1">
      <c r="A4225" s="1" t="str">
        <f>Paths!$A$390</f>
        <v>T096</v>
      </c>
      <c r="B4225" s="1">
        <f>Paths!$B$390</f>
        <v>3</v>
      </c>
      <c r="C4225" s="1">
        <v>5</v>
      </c>
      <c r="D4225" s="1">
        <v>390</v>
      </c>
      <c r="E4225" s="1">
        <f>IF(OR(Paths!$C$390=0,C4225=0),0,MAX(0,MIN(C4225*12,Paths!$E$390)-(C4225-1)*12))</f>
        <v>0</v>
      </c>
      <c r="F4225" s="1">
        <f>IF(OR(Paths!$C$390=0,C4225=0),0,12-E4225)</f>
        <v>0</v>
      </c>
      <c r="G4225" s="16">
        <f>IF(NOT(Paths!$C$390=1),0,IF(Paths!$P$390="Complete",E4225/12*(Paths!$J$390*(1+'Operating costs'!$B$51)^MAX(0,C4225-1)+Paths!$K$390*(1+'Operating costs'!$B$53)^MAX(0,C4225-1)),"n.a."))</f>
        <v>0</v>
      </c>
      <c r="H4225" s="16">
        <f>IF(NOT(Paths!$C$390=1),0,IF(Paths!$P$390="Complete",F4225/12*(Paths!$L$390*(1+IF(Paths!$D$390="EV",'Operating costs'!$B$52,'Operating costs'!$B$51))^MAX(0,C4225-1)+Paths!$M$390*(1+'Operating costs'!$B$53)^MAX(0,C4225-1)),"n.a."))</f>
        <v>0</v>
      </c>
      <c r="I4225" s="16">
        <f>IF(NOT(Paths!$C$390=1),0,IF(Paths!$P$390="Complete",IF(IF(Paths!$E$390=0,C4225=0,AND(C4225&gt;0,Paths!$E$390&gt;(C4225-1)*12,Paths!$E$390&lt;=C4225*12)),Paths!$G$390,0),"n.a."))</f>
        <v>0</v>
      </c>
      <c r="J4225" s="16">
        <f>IF(NOT(Paths!$C$390=1),0,IF(Paths!$P$390="Complete",IF(IF(Paths!$E$390=0,C4225=0,AND(C4225&gt;0,Paths!$E$390&gt;(C4225-1)*12,Paths!$E$390&lt;=C4225*12)),Paths!$H$390,0),"n.a."))</f>
        <v>0</v>
      </c>
      <c r="K4225" s="16">
        <f>IF(NOT(Paths!$C$390=1),0,IF(Paths!$P$390="Complete",IF(IF(Paths!$O$390=0,C4225=0,AND(C4225&gt;0,Paths!$O$390&gt;(C4225-1)*12,Paths!$O$390&lt;=C4225*12)),Paths!$N$390,0),"n.a."))</f>
        <v>0</v>
      </c>
      <c r="L4225" s="16">
        <f>IF(NOT(Paths!$C$390=1),0,IF(Paths!$P$390="Complete",IF(C4225=10,Paths!$I$390,0),"n.a."))</f>
        <v>0</v>
      </c>
      <c r="M4225" s="16">
        <f>IF(NOT(Paths!$C$390=1),0,IF(Paths!$P$390="Complete",IF(AND(Paths!$D$390="EV",Paths!$E$390&lt;120,Paths!$E$390+'Operating costs'!$B$65&gt;Paths!$E$390,Paths!$E$390+'Operating costs'!$B$65&lt;=120,IF(Paths!$E$390+'Operating costs'!$B$65=0,C4225=0,AND(C4225&gt;0,Paths!$E$390+'Operating costs'!$B$65&gt;(C4225-1)*12,Paths!$E$390+'Operating costs'!$B$65&lt;=C4225*12))),'Operating costs'!$B$64,0)+IF(AND('Operating costs'!$B$67&gt;0,'Operating costs'!$B$67&lt;=120,OR(Paths!$D$390="ICE",'Operating costs'!$B$67&lt;=Paths!$E$390),IF('Operating costs'!$B$67=0,C4225=0,AND(C4225&gt;0,'Operating costs'!$B$67&gt;(C4225-1)*12,'Operating costs'!$B$67&lt;=C4225*12))),'Operating costs'!$B$66,0),"n.a."))</f>
        <v>0</v>
      </c>
      <c r="N4225" s="16">
        <f>IF(NOT(Paths!$C$390=1),0,IF(Paths!$P$390="Complete",SUM(G4225:I4225)-J4225-K4225-L4225+M4225+IF(C4225=0,Paths!$F$390,0)+IF(IF(Paths!$E$390=0,C4225=0,AND(C4225&gt;0,Paths!$E$390&gt;(C4225-1)*12,Paths!$E$390&lt;=C4225*12)),VLOOKUP(A4225,'Fleet register'!$A$7:$S$106,16,FALSE),0),"n.a."))</f>
        <v>0</v>
      </c>
      <c r="O4225" s="16">
        <f>IF(NOT(Paths!$C$390=1),0,IF(Paths!$P$390="Complete",N4225-IF(C4225=0,Paths!$F$390,0),"n.a."))</f>
        <v>0</v>
      </c>
      <c r="P4225" s="16">
        <f>IF(NOT(Paths!$C$390=1),0,IF(Paths!$P$390="Complete",O4225+L4225,"n.a."))</f>
        <v>0</v>
      </c>
      <c r="Q4225" s="16">
        <f>IF(NOT(Paths!$C$390=1),0,IF(Paths!$P$390="Complete",N4225*(1+'Operating costs'!$B$54)^-C4225,"n.a."))</f>
        <v>0</v>
      </c>
      <c r="R4225" s="16">
        <f>IF(NOT(Paths!$C$390=1),0,IF(Paths!$P$390="Complete",IF(AND(C4225=0,Paths!$E$390=0),I4225-J4225-K4225+VLOOKUP(A4225,'Fleet register'!$A$7:$S$106,15,FALSE)+VLOOKUP(A4225,'Fleet register'!$A$7:$S$106,16,FALSE),0),"n.a."))</f>
        <v>0</v>
      </c>
      <c r="S4225" s="1">
        <f>IF(NOT(Paths!$C$390=1),0,IF(Paths!$P$390="Complete",IF(C4225=0,0,Paths!$S$390*Paths!$R$390),"n.a."))</f>
        <v>0</v>
      </c>
      <c r="T4225" s="1">
        <f>IF(NOT(Paths!$C$390=1),0,IF(Paths!$P$390="Complete",IF(C4225=0,0,VLOOKUP(A4225,'Fleet register'!$A$7:$S$106,9,FALSE)*Paths!$R$390),"n.a."))</f>
        <v>0</v>
      </c>
    </row>
    <row r="4226" spans="1:20" ht="24" customHeight="1">
      <c r="A4226" s="1" t="str">
        <f>Paths!$A$390</f>
        <v>T096</v>
      </c>
      <c r="B4226" s="1">
        <f>Paths!$B$390</f>
        <v>3</v>
      </c>
      <c r="C4226" s="1">
        <v>6</v>
      </c>
      <c r="D4226" s="1">
        <v>390</v>
      </c>
      <c r="E4226" s="1">
        <f>IF(OR(Paths!$C$390=0,C4226=0),0,MAX(0,MIN(C4226*12,Paths!$E$390)-(C4226-1)*12))</f>
        <v>0</v>
      </c>
      <c r="F4226" s="1">
        <f>IF(OR(Paths!$C$390=0,C4226=0),0,12-E4226)</f>
        <v>0</v>
      </c>
      <c r="G4226" s="16">
        <f>IF(NOT(Paths!$C$390=1),0,IF(Paths!$P$390="Complete",E4226/12*(Paths!$J$390*(1+'Operating costs'!$B$51)^MAX(0,C4226-1)+Paths!$K$390*(1+'Operating costs'!$B$53)^MAX(0,C4226-1)),"n.a."))</f>
        <v>0</v>
      </c>
      <c r="H4226" s="16">
        <f>IF(NOT(Paths!$C$390=1),0,IF(Paths!$P$390="Complete",F4226/12*(Paths!$L$390*(1+IF(Paths!$D$390="EV",'Operating costs'!$B$52,'Operating costs'!$B$51))^MAX(0,C4226-1)+Paths!$M$390*(1+'Operating costs'!$B$53)^MAX(0,C4226-1)),"n.a."))</f>
        <v>0</v>
      </c>
      <c r="I4226" s="16">
        <f>IF(NOT(Paths!$C$390=1),0,IF(Paths!$P$390="Complete",IF(IF(Paths!$E$390=0,C4226=0,AND(C4226&gt;0,Paths!$E$390&gt;(C4226-1)*12,Paths!$E$390&lt;=C4226*12)),Paths!$G$390,0),"n.a."))</f>
        <v>0</v>
      </c>
      <c r="J4226" s="16">
        <f>IF(NOT(Paths!$C$390=1),0,IF(Paths!$P$390="Complete",IF(IF(Paths!$E$390=0,C4226=0,AND(C4226&gt;0,Paths!$E$390&gt;(C4226-1)*12,Paths!$E$390&lt;=C4226*12)),Paths!$H$390,0),"n.a."))</f>
        <v>0</v>
      </c>
      <c r="K4226" s="16">
        <f>IF(NOT(Paths!$C$390=1),0,IF(Paths!$P$390="Complete",IF(IF(Paths!$O$390=0,C4226=0,AND(C4226&gt;0,Paths!$O$390&gt;(C4226-1)*12,Paths!$O$390&lt;=C4226*12)),Paths!$N$390,0),"n.a."))</f>
        <v>0</v>
      </c>
      <c r="L4226" s="16">
        <f>IF(NOT(Paths!$C$390=1),0,IF(Paths!$P$390="Complete",IF(C4226=10,Paths!$I$390,0),"n.a."))</f>
        <v>0</v>
      </c>
      <c r="M4226" s="16">
        <f>IF(NOT(Paths!$C$390=1),0,IF(Paths!$P$390="Complete",IF(AND(Paths!$D$390="EV",Paths!$E$390&lt;120,Paths!$E$390+'Operating costs'!$B$65&gt;Paths!$E$390,Paths!$E$390+'Operating costs'!$B$65&lt;=120,IF(Paths!$E$390+'Operating costs'!$B$65=0,C4226=0,AND(C4226&gt;0,Paths!$E$390+'Operating costs'!$B$65&gt;(C4226-1)*12,Paths!$E$390+'Operating costs'!$B$65&lt;=C4226*12))),'Operating costs'!$B$64,0)+IF(AND('Operating costs'!$B$67&gt;0,'Operating costs'!$B$67&lt;=120,OR(Paths!$D$390="ICE",'Operating costs'!$B$67&lt;=Paths!$E$390),IF('Operating costs'!$B$67=0,C4226=0,AND(C4226&gt;0,'Operating costs'!$B$67&gt;(C4226-1)*12,'Operating costs'!$B$67&lt;=C4226*12))),'Operating costs'!$B$66,0),"n.a."))</f>
        <v>0</v>
      </c>
      <c r="N4226" s="16">
        <f>IF(NOT(Paths!$C$390=1),0,IF(Paths!$P$390="Complete",SUM(G4226:I4226)-J4226-K4226-L4226+M4226+IF(C4226=0,Paths!$F$390,0)+IF(IF(Paths!$E$390=0,C4226=0,AND(C4226&gt;0,Paths!$E$390&gt;(C4226-1)*12,Paths!$E$390&lt;=C4226*12)),VLOOKUP(A4226,'Fleet register'!$A$7:$S$106,16,FALSE),0),"n.a."))</f>
        <v>0</v>
      </c>
      <c r="O4226" s="16">
        <f>IF(NOT(Paths!$C$390=1),0,IF(Paths!$P$390="Complete",N4226-IF(C4226=0,Paths!$F$390,0),"n.a."))</f>
        <v>0</v>
      </c>
      <c r="P4226" s="16">
        <f>IF(NOT(Paths!$C$390=1),0,IF(Paths!$P$390="Complete",O4226+L4226,"n.a."))</f>
        <v>0</v>
      </c>
      <c r="Q4226" s="16">
        <f>IF(NOT(Paths!$C$390=1),0,IF(Paths!$P$390="Complete",N4226*(1+'Operating costs'!$B$54)^-C4226,"n.a."))</f>
        <v>0</v>
      </c>
      <c r="R4226" s="16">
        <f>IF(NOT(Paths!$C$390=1),0,IF(Paths!$P$390="Complete",IF(AND(C4226=0,Paths!$E$390=0),I4226-J4226-K4226+VLOOKUP(A4226,'Fleet register'!$A$7:$S$106,15,FALSE)+VLOOKUP(A4226,'Fleet register'!$A$7:$S$106,16,FALSE),0),"n.a."))</f>
        <v>0</v>
      </c>
      <c r="S4226" s="1">
        <f>IF(NOT(Paths!$C$390=1),0,IF(Paths!$P$390="Complete",IF(C4226=0,0,Paths!$S$390*Paths!$R$390),"n.a."))</f>
        <v>0</v>
      </c>
      <c r="T4226" s="1">
        <f>IF(NOT(Paths!$C$390=1),0,IF(Paths!$P$390="Complete",IF(C4226=0,0,VLOOKUP(A4226,'Fleet register'!$A$7:$S$106,9,FALSE)*Paths!$R$390),"n.a."))</f>
        <v>0</v>
      </c>
    </row>
    <row r="4227" spans="1:20" ht="24" customHeight="1">
      <c r="A4227" s="1" t="str">
        <f>Paths!$A$390</f>
        <v>T096</v>
      </c>
      <c r="B4227" s="1">
        <f>Paths!$B$390</f>
        <v>3</v>
      </c>
      <c r="C4227" s="1">
        <v>7</v>
      </c>
      <c r="D4227" s="1">
        <v>390</v>
      </c>
      <c r="E4227" s="1">
        <f>IF(OR(Paths!$C$390=0,C4227=0),0,MAX(0,MIN(C4227*12,Paths!$E$390)-(C4227-1)*12))</f>
        <v>0</v>
      </c>
      <c r="F4227" s="1">
        <f>IF(OR(Paths!$C$390=0,C4227=0),0,12-E4227)</f>
        <v>0</v>
      </c>
      <c r="G4227" s="16">
        <f>IF(NOT(Paths!$C$390=1),0,IF(Paths!$P$390="Complete",E4227/12*(Paths!$J$390*(1+'Operating costs'!$B$51)^MAX(0,C4227-1)+Paths!$K$390*(1+'Operating costs'!$B$53)^MAX(0,C4227-1)),"n.a."))</f>
        <v>0</v>
      </c>
      <c r="H4227" s="16">
        <f>IF(NOT(Paths!$C$390=1),0,IF(Paths!$P$390="Complete",F4227/12*(Paths!$L$390*(1+IF(Paths!$D$390="EV",'Operating costs'!$B$52,'Operating costs'!$B$51))^MAX(0,C4227-1)+Paths!$M$390*(1+'Operating costs'!$B$53)^MAX(0,C4227-1)),"n.a."))</f>
        <v>0</v>
      </c>
      <c r="I4227" s="16">
        <f>IF(NOT(Paths!$C$390=1),0,IF(Paths!$P$390="Complete",IF(IF(Paths!$E$390=0,C4227=0,AND(C4227&gt;0,Paths!$E$390&gt;(C4227-1)*12,Paths!$E$390&lt;=C4227*12)),Paths!$G$390,0),"n.a."))</f>
        <v>0</v>
      </c>
      <c r="J4227" s="16">
        <f>IF(NOT(Paths!$C$390=1),0,IF(Paths!$P$390="Complete",IF(IF(Paths!$E$390=0,C4227=0,AND(C4227&gt;0,Paths!$E$390&gt;(C4227-1)*12,Paths!$E$390&lt;=C4227*12)),Paths!$H$390,0),"n.a."))</f>
        <v>0</v>
      </c>
      <c r="K4227" s="16">
        <f>IF(NOT(Paths!$C$390=1),0,IF(Paths!$P$390="Complete",IF(IF(Paths!$O$390=0,C4227=0,AND(C4227&gt;0,Paths!$O$390&gt;(C4227-1)*12,Paths!$O$390&lt;=C4227*12)),Paths!$N$390,0),"n.a."))</f>
        <v>0</v>
      </c>
      <c r="L4227" s="16">
        <f>IF(NOT(Paths!$C$390=1),0,IF(Paths!$P$390="Complete",IF(C4227=10,Paths!$I$390,0),"n.a."))</f>
        <v>0</v>
      </c>
      <c r="M4227" s="16">
        <f>IF(NOT(Paths!$C$390=1),0,IF(Paths!$P$390="Complete",IF(AND(Paths!$D$390="EV",Paths!$E$390&lt;120,Paths!$E$390+'Operating costs'!$B$65&gt;Paths!$E$390,Paths!$E$390+'Operating costs'!$B$65&lt;=120,IF(Paths!$E$390+'Operating costs'!$B$65=0,C4227=0,AND(C4227&gt;0,Paths!$E$390+'Operating costs'!$B$65&gt;(C4227-1)*12,Paths!$E$390+'Operating costs'!$B$65&lt;=C4227*12))),'Operating costs'!$B$64,0)+IF(AND('Operating costs'!$B$67&gt;0,'Operating costs'!$B$67&lt;=120,OR(Paths!$D$390="ICE",'Operating costs'!$B$67&lt;=Paths!$E$390),IF('Operating costs'!$B$67=0,C4227=0,AND(C4227&gt;0,'Operating costs'!$B$67&gt;(C4227-1)*12,'Operating costs'!$B$67&lt;=C4227*12))),'Operating costs'!$B$66,0),"n.a."))</f>
        <v>0</v>
      </c>
      <c r="N4227" s="16">
        <f>IF(NOT(Paths!$C$390=1),0,IF(Paths!$P$390="Complete",SUM(G4227:I4227)-J4227-K4227-L4227+M4227+IF(C4227=0,Paths!$F$390,0)+IF(IF(Paths!$E$390=0,C4227=0,AND(C4227&gt;0,Paths!$E$390&gt;(C4227-1)*12,Paths!$E$390&lt;=C4227*12)),VLOOKUP(A4227,'Fleet register'!$A$7:$S$106,16,FALSE),0),"n.a."))</f>
        <v>0</v>
      </c>
      <c r="O4227" s="16">
        <f>IF(NOT(Paths!$C$390=1),0,IF(Paths!$P$390="Complete",N4227-IF(C4227=0,Paths!$F$390,0),"n.a."))</f>
        <v>0</v>
      </c>
      <c r="P4227" s="16">
        <f>IF(NOT(Paths!$C$390=1),0,IF(Paths!$P$390="Complete",O4227+L4227,"n.a."))</f>
        <v>0</v>
      </c>
      <c r="Q4227" s="16">
        <f>IF(NOT(Paths!$C$390=1),0,IF(Paths!$P$390="Complete",N4227*(1+'Operating costs'!$B$54)^-C4227,"n.a."))</f>
        <v>0</v>
      </c>
      <c r="R4227" s="16">
        <f>IF(NOT(Paths!$C$390=1),0,IF(Paths!$P$390="Complete",IF(AND(C4227=0,Paths!$E$390=0),I4227-J4227-K4227+VLOOKUP(A4227,'Fleet register'!$A$7:$S$106,15,FALSE)+VLOOKUP(A4227,'Fleet register'!$A$7:$S$106,16,FALSE),0),"n.a."))</f>
        <v>0</v>
      </c>
      <c r="S4227" s="1">
        <f>IF(NOT(Paths!$C$390=1),0,IF(Paths!$P$390="Complete",IF(C4227=0,0,Paths!$S$390*Paths!$R$390),"n.a."))</f>
        <v>0</v>
      </c>
      <c r="T4227" s="1">
        <f>IF(NOT(Paths!$C$390=1),0,IF(Paths!$P$390="Complete",IF(C4227=0,0,VLOOKUP(A4227,'Fleet register'!$A$7:$S$106,9,FALSE)*Paths!$R$390),"n.a."))</f>
        <v>0</v>
      </c>
    </row>
    <row r="4228" spans="1:20" ht="24" customHeight="1">
      <c r="A4228" s="1" t="str">
        <f>Paths!$A$390</f>
        <v>T096</v>
      </c>
      <c r="B4228" s="1">
        <f>Paths!$B$390</f>
        <v>3</v>
      </c>
      <c r="C4228" s="1">
        <v>8</v>
      </c>
      <c r="D4228" s="1">
        <v>390</v>
      </c>
      <c r="E4228" s="1">
        <f>IF(OR(Paths!$C$390=0,C4228=0),0,MAX(0,MIN(C4228*12,Paths!$E$390)-(C4228-1)*12))</f>
        <v>0</v>
      </c>
      <c r="F4228" s="1">
        <f>IF(OR(Paths!$C$390=0,C4228=0),0,12-E4228)</f>
        <v>0</v>
      </c>
      <c r="G4228" s="16">
        <f>IF(NOT(Paths!$C$390=1),0,IF(Paths!$P$390="Complete",E4228/12*(Paths!$J$390*(1+'Operating costs'!$B$51)^MAX(0,C4228-1)+Paths!$K$390*(1+'Operating costs'!$B$53)^MAX(0,C4228-1)),"n.a."))</f>
        <v>0</v>
      </c>
      <c r="H4228" s="16">
        <f>IF(NOT(Paths!$C$390=1),0,IF(Paths!$P$390="Complete",F4228/12*(Paths!$L$390*(1+IF(Paths!$D$390="EV",'Operating costs'!$B$52,'Operating costs'!$B$51))^MAX(0,C4228-1)+Paths!$M$390*(1+'Operating costs'!$B$53)^MAX(0,C4228-1)),"n.a."))</f>
        <v>0</v>
      </c>
      <c r="I4228" s="16">
        <f>IF(NOT(Paths!$C$390=1),0,IF(Paths!$P$390="Complete",IF(IF(Paths!$E$390=0,C4228=0,AND(C4228&gt;0,Paths!$E$390&gt;(C4228-1)*12,Paths!$E$390&lt;=C4228*12)),Paths!$G$390,0),"n.a."))</f>
        <v>0</v>
      </c>
      <c r="J4228" s="16">
        <f>IF(NOT(Paths!$C$390=1),0,IF(Paths!$P$390="Complete",IF(IF(Paths!$E$390=0,C4228=0,AND(C4228&gt;0,Paths!$E$390&gt;(C4228-1)*12,Paths!$E$390&lt;=C4228*12)),Paths!$H$390,0),"n.a."))</f>
        <v>0</v>
      </c>
      <c r="K4228" s="16">
        <f>IF(NOT(Paths!$C$390=1),0,IF(Paths!$P$390="Complete",IF(IF(Paths!$O$390=0,C4228=0,AND(C4228&gt;0,Paths!$O$390&gt;(C4228-1)*12,Paths!$O$390&lt;=C4228*12)),Paths!$N$390,0),"n.a."))</f>
        <v>0</v>
      </c>
      <c r="L4228" s="16">
        <f>IF(NOT(Paths!$C$390=1),0,IF(Paths!$P$390="Complete",IF(C4228=10,Paths!$I$390,0),"n.a."))</f>
        <v>0</v>
      </c>
      <c r="M4228" s="16">
        <f>IF(NOT(Paths!$C$390=1),0,IF(Paths!$P$390="Complete",IF(AND(Paths!$D$390="EV",Paths!$E$390&lt;120,Paths!$E$390+'Operating costs'!$B$65&gt;Paths!$E$390,Paths!$E$390+'Operating costs'!$B$65&lt;=120,IF(Paths!$E$390+'Operating costs'!$B$65=0,C4228=0,AND(C4228&gt;0,Paths!$E$390+'Operating costs'!$B$65&gt;(C4228-1)*12,Paths!$E$390+'Operating costs'!$B$65&lt;=C4228*12))),'Operating costs'!$B$64,0)+IF(AND('Operating costs'!$B$67&gt;0,'Operating costs'!$B$67&lt;=120,OR(Paths!$D$390="ICE",'Operating costs'!$B$67&lt;=Paths!$E$390),IF('Operating costs'!$B$67=0,C4228=0,AND(C4228&gt;0,'Operating costs'!$B$67&gt;(C4228-1)*12,'Operating costs'!$B$67&lt;=C4228*12))),'Operating costs'!$B$66,0),"n.a."))</f>
        <v>0</v>
      </c>
      <c r="N4228" s="16">
        <f>IF(NOT(Paths!$C$390=1),0,IF(Paths!$P$390="Complete",SUM(G4228:I4228)-J4228-K4228-L4228+M4228+IF(C4228=0,Paths!$F$390,0)+IF(IF(Paths!$E$390=0,C4228=0,AND(C4228&gt;0,Paths!$E$390&gt;(C4228-1)*12,Paths!$E$390&lt;=C4228*12)),VLOOKUP(A4228,'Fleet register'!$A$7:$S$106,16,FALSE),0),"n.a."))</f>
        <v>0</v>
      </c>
      <c r="O4228" s="16">
        <f>IF(NOT(Paths!$C$390=1),0,IF(Paths!$P$390="Complete",N4228-IF(C4228=0,Paths!$F$390,0),"n.a."))</f>
        <v>0</v>
      </c>
      <c r="P4228" s="16">
        <f>IF(NOT(Paths!$C$390=1),0,IF(Paths!$P$390="Complete",O4228+L4228,"n.a."))</f>
        <v>0</v>
      </c>
      <c r="Q4228" s="16">
        <f>IF(NOT(Paths!$C$390=1),0,IF(Paths!$P$390="Complete",N4228*(1+'Operating costs'!$B$54)^-C4228,"n.a."))</f>
        <v>0</v>
      </c>
      <c r="R4228" s="16">
        <f>IF(NOT(Paths!$C$390=1),0,IF(Paths!$P$390="Complete",IF(AND(C4228=0,Paths!$E$390=0),I4228-J4228-K4228+VLOOKUP(A4228,'Fleet register'!$A$7:$S$106,15,FALSE)+VLOOKUP(A4228,'Fleet register'!$A$7:$S$106,16,FALSE),0),"n.a."))</f>
        <v>0</v>
      </c>
      <c r="S4228" s="1">
        <f>IF(NOT(Paths!$C$390=1),0,IF(Paths!$P$390="Complete",IF(C4228=0,0,Paths!$S$390*Paths!$R$390),"n.a."))</f>
        <v>0</v>
      </c>
      <c r="T4228" s="1">
        <f>IF(NOT(Paths!$C$390=1),0,IF(Paths!$P$390="Complete",IF(C4228=0,0,VLOOKUP(A4228,'Fleet register'!$A$7:$S$106,9,FALSE)*Paths!$R$390),"n.a."))</f>
        <v>0</v>
      </c>
    </row>
    <row r="4229" spans="1:20" ht="24" customHeight="1">
      <c r="A4229" s="1" t="str">
        <f>Paths!$A$390</f>
        <v>T096</v>
      </c>
      <c r="B4229" s="1">
        <f>Paths!$B$390</f>
        <v>3</v>
      </c>
      <c r="C4229" s="1">
        <v>9</v>
      </c>
      <c r="D4229" s="1">
        <v>390</v>
      </c>
      <c r="E4229" s="1">
        <f>IF(OR(Paths!$C$390=0,C4229=0),0,MAX(0,MIN(C4229*12,Paths!$E$390)-(C4229-1)*12))</f>
        <v>0</v>
      </c>
      <c r="F4229" s="1">
        <f>IF(OR(Paths!$C$390=0,C4229=0),0,12-E4229)</f>
        <v>0</v>
      </c>
      <c r="G4229" s="16">
        <f>IF(NOT(Paths!$C$390=1),0,IF(Paths!$P$390="Complete",E4229/12*(Paths!$J$390*(1+'Operating costs'!$B$51)^MAX(0,C4229-1)+Paths!$K$390*(1+'Operating costs'!$B$53)^MAX(0,C4229-1)),"n.a."))</f>
        <v>0</v>
      </c>
      <c r="H4229" s="16">
        <f>IF(NOT(Paths!$C$390=1),0,IF(Paths!$P$390="Complete",F4229/12*(Paths!$L$390*(1+IF(Paths!$D$390="EV",'Operating costs'!$B$52,'Operating costs'!$B$51))^MAX(0,C4229-1)+Paths!$M$390*(1+'Operating costs'!$B$53)^MAX(0,C4229-1)),"n.a."))</f>
        <v>0</v>
      </c>
      <c r="I4229" s="16">
        <f>IF(NOT(Paths!$C$390=1),0,IF(Paths!$P$390="Complete",IF(IF(Paths!$E$390=0,C4229=0,AND(C4229&gt;0,Paths!$E$390&gt;(C4229-1)*12,Paths!$E$390&lt;=C4229*12)),Paths!$G$390,0),"n.a."))</f>
        <v>0</v>
      </c>
      <c r="J4229" s="16">
        <f>IF(NOT(Paths!$C$390=1),0,IF(Paths!$P$390="Complete",IF(IF(Paths!$E$390=0,C4229=0,AND(C4229&gt;0,Paths!$E$390&gt;(C4229-1)*12,Paths!$E$390&lt;=C4229*12)),Paths!$H$390,0),"n.a."))</f>
        <v>0</v>
      </c>
      <c r="K4229" s="16">
        <f>IF(NOT(Paths!$C$390=1),0,IF(Paths!$P$390="Complete",IF(IF(Paths!$O$390=0,C4229=0,AND(C4229&gt;0,Paths!$O$390&gt;(C4229-1)*12,Paths!$O$390&lt;=C4229*12)),Paths!$N$390,0),"n.a."))</f>
        <v>0</v>
      </c>
      <c r="L4229" s="16">
        <f>IF(NOT(Paths!$C$390=1),0,IF(Paths!$P$390="Complete",IF(C4229=10,Paths!$I$390,0),"n.a."))</f>
        <v>0</v>
      </c>
      <c r="M4229" s="16">
        <f>IF(NOT(Paths!$C$390=1),0,IF(Paths!$P$390="Complete",IF(AND(Paths!$D$390="EV",Paths!$E$390&lt;120,Paths!$E$390+'Operating costs'!$B$65&gt;Paths!$E$390,Paths!$E$390+'Operating costs'!$B$65&lt;=120,IF(Paths!$E$390+'Operating costs'!$B$65=0,C4229=0,AND(C4229&gt;0,Paths!$E$390+'Operating costs'!$B$65&gt;(C4229-1)*12,Paths!$E$390+'Operating costs'!$B$65&lt;=C4229*12))),'Operating costs'!$B$64,0)+IF(AND('Operating costs'!$B$67&gt;0,'Operating costs'!$B$67&lt;=120,OR(Paths!$D$390="ICE",'Operating costs'!$B$67&lt;=Paths!$E$390),IF('Operating costs'!$B$67=0,C4229=0,AND(C4229&gt;0,'Operating costs'!$B$67&gt;(C4229-1)*12,'Operating costs'!$B$67&lt;=C4229*12))),'Operating costs'!$B$66,0),"n.a."))</f>
        <v>0</v>
      </c>
      <c r="N4229" s="16">
        <f>IF(NOT(Paths!$C$390=1),0,IF(Paths!$P$390="Complete",SUM(G4229:I4229)-J4229-K4229-L4229+M4229+IF(C4229=0,Paths!$F$390,0)+IF(IF(Paths!$E$390=0,C4229=0,AND(C4229&gt;0,Paths!$E$390&gt;(C4229-1)*12,Paths!$E$390&lt;=C4229*12)),VLOOKUP(A4229,'Fleet register'!$A$7:$S$106,16,FALSE),0),"n.a."))</f>
        <v>0</v>
      </c>
      <c r="O4229" s="16">
        <f>IF(NOT(Paths!$C$390=1),0,IF(Paths!$P$390="Complete",N4229-IF(C4229=0,Paths!$F$390,0),"n.a."))</f>
        <v>0</v>
      </c>
      <c r="P4229" s="16">
        <f>IF(NOT(Paths!$C$390=1),0,IF(Paths!$P$390="Complete",O4229+L4229,"n.a."))</f>
        <v>0</v>
      </c>
      <c r="Q4229" s="16">
        <f>IF(NOT(Paths!$C$390=1),0,IF(Paths!$P$390="Complete",N4229*(1+'Operating costs'!$B$54)^-C4229,"n.a."))</f>
        <v>0</v>
      </c>
      <c r="R4229" s="16">
        <f>IF(NOT(Paths!$C$390=1),0,IF(Paths!$P$390="Complete",IF(AND(C4229=0,Paths!$E$390=0),I4229-J4229-K4229+VLOOKUP(A4229,'Fleet register'!$A$7:$S$106,15,FALSE)+VLOOKUP(A4229,'Fleet register'!$A$7:$S$106,16,FALSE),0),"n.a."))</f>
        <v>0</v>
      </c>
      <c r="S4229" s="1">
        <f>IF(NOT(Paths!$C$390=1),0,IF(Paths!$P$390="Complete",IF(C4229=0,0,Paths!$S$390*Paths!$R$390),"n.a."))</f>
        <v>0</v>
      </c>
      <c r="T4229" s="1">
        <f>IF(NOT(Paths!$C$390=1),0,IF(Paths!$P$390="Complete",IF(C4229=0,0,VLOOKUP(A4229,'Fleet register'!$A$7:$S$106,9,FALSE)*Paths!$R$390),"n.a."))</f>
        <v>0</v>
      </c>
    </row>
    <row r="4230" spans="1:20" ht="24" customHeight="1">
      <c r="A4230" s="1" t="str">
        <f>Paths!$A$390</f>
        <v>T096</v>
      </c>
      <c r="B4230" s="1">
        <f>Paths!$B$390</f>
        <v>3</v>
      </c>
      <c r="C4230" s="1">
        <v>10</v>
      </c>
      <c r="D4230" s="1">
        <v>390</v>
      </c>
      <c r="E4230" s="1">
        <f>IF(OR(Paths!$C$390=0,C4230=0),0,MAX(0,MIN(C4230*12,Paths!$E$390)-(C4230-1)*12))</f>
        <v>0</v>
      </c>
      <c r="F4230" s="1">
        <f>IF(OR(Paths!$C$390=0,C4230=0),0,12-E4230)</f>
        <v>0</v>
      </c>
      <c r="G4230" s="16">
        <f>IF(NOT(Paths!$C$390=1),0,IF(Paths!$P$390="Complete",E4230/12*(Paths!$J$390*(1+'Operating costs'!$B$51)^MAX(0,C4230-1)+Paths!$K$390*(1+'Operating costs'!$B$53)^MAX(0,C4230-1)),"n.a."))</f>
        <v>0</v>
      </c>
      <c r="H4230" s="16">
        <f>IF(NOT(Paths!$C$390=1),0,IF(Paths!$P$390="Complete",F4230/12*(Paths!$L$390*(1+IF(Paths!$D$390="EV",'Operating costs'!$B$52,'Operating costs'!$B$51))^MAX(0,C4230-1)+Paths!$M$390*(1+'Operating costs'!$B$53)^MAX(0,C4230-1)),"n.a."))</f>
        <v>0</v>
      </c>
      <c r="I4230" s="16">
        <f>IF(NOT(Paths!$C$390=1),0,IF(Paths!$P$390="Complete",IF(IF(Paths!$E$390=0,C4230=0,AND(C4230&gt;0,Paths!$E$390&gt;(C4230-1)*12,Paths!$E$390&lt;=C4230*12)),Paths!$G$390,0),"n.a."))</f>
        <v>0</v>
      </c>
      <c r="J4230" s="16">
        <f>IF(NOT(Paths!$C$390=1),0,IF(Paths!$P$390="Complete",IF(IF(Paths!$E$390=0,C4230=0,AND(C4230&gt;0,Paths!$E$390&gt;(C4230-1)*12,Paths!$E$390&lt;=C4230*12)),Paths!$H$390,0),"n.a."))</f>
        <v>0</v>
      </c>
      <c r="K4230" s="16">
        <f>IF(NOT(Paths!$C$390=1),0,IF(Paths!$P$390="Complete",IF(IF(Paths!$O$390=0,C4230=0,AND(C4230&gt;0,Paths!$O$390&gt;(C4230-1)*12,Paths!$O$390&lt;=C4230*12)),Paths!$N$390,0),"n.a."))</f>
        <v>0</v>
      </c>
      <c r="L4230" s="16">
        <f>IF(NOT(Paths!$C$390=1),0,IF(Paths!$P$390="Complete",IF(C4230=10,Paths!$I$390,0),"n.a."))</f>
        <v>0</v>
      </c>
      <c r="M4230" s="16">
        <f>IF(NOT(Paths!$C$390=1),0,IF(Paths!$P$390="Complete",IF(AND(Paths!$D$390="EV",Paths!$E$390&lt;120,Paths!$E$390+'Operating costs'!$B$65&gt;Paths!$E$390,Paths!$E$390+'Operating costs'!$B$65&lt;=120,IF(Paths!$E$390+'Operating costs'!$B$65=0,C4230=0,AND(C4230&gt;0,Paths!$E$390+'Operating costs'!$B$65&gt;(C4230-1)*12,Paths!$E$390+'Operating costs'!$B$65&lt;=C4230*12))),'Operating costs'!$B$64,0)+IF(AND('Operating costs'!$B$67&gt;0,'Operating costs'!$B$67&lt;=120,OR(Paths!$D$390="ICE",'Operating costs'!$B$67&lt;=Paths!$E$390),IF('Operating costs'!$B$67=0,C4230=0,AND(C4230&gt;0,'Operating costs'!$B$67&gt;(C4230-1)*12,'Operating costs'!$B$67&lt;=C4230*12))),'Operating costs'!$B$66,0),"n.a."))</f>
        <v>0</v>
      </c>
      <c r="N4230" s="16">
        <f>IF(NOT(Paths!$C$390=1),0,IF(Paths!$P$390="Complete",SUM(G4230:I4230)-J4230-K4230-L4230+M4230+IF(C4230=0,Paths!$F$390,0)+IF(IF(Paths!$E$390=0,C4230=0,AND(C4230&gt;0,Paths!$E$390&gt;(C4230-1)*12,Paths!$E$390&lt;=C4230*12)),VLOOKUP(A4230,'Fleet register'!$A$7:$S$106,16,FALSE),0),"n.a."))</f>
        <v>0</v>
      </c>
      <c r="O4230" s="16">
        <f>IF(NOT(Paths!$C$390=1),0,IF(Paths!$P$390="Complete",N4230-IF(C4230=0,Paths!$F$390,0),"n.a."))</f>
        <v>0</v>
      </c>
      <c r="P4230" s="16">
        <f>IF(NOT(Paths!$C$390=1),0,IF(Paths!$P$390="Complete",O4230+L4230,"n.a."))</f>
        <v>0</v>
      </c>
      <c r="Q4230" s="16">
        <f>IF(NOT(Paths!$C$390=1),0,IF(Paths!$P$390="Complete",N4230*(1+'Operating costs'!$B$54)^-C4230,"n.a."))</f>
        <v>0</v>
      </c>
      <c r="R4230" s="16">
        <f>IF(NOT(Paths!$C$390=1),0,IF(Paths!$P$390="Complete",IF(AND(C4230=0,Paths!$E$390=0),I4230-J4230-K4230+VLOOKUP(A4230,'Fleet register'!$A$7:$S$106,15,FALSE)+VLOOKUP(A4230,'Fleet register'!$A$7:$S$106,16,FALSE),0),"n.a."))</f>
        <v>0</v>
      </c>
      <c r="S4230" s="1">
        <f>IF(NOT(Paths!$C$390=1),0,IF(Paths!$P$390="Complete",IF(C4230=0,0,Paths!$S$390*Paths!$R$390),"n.a."))</f>
        <v>0</v>
      </c>
      <c r="T4230" s="1">
        <f>IF(NOT(Paths!$C$390=1),0,IF(Paths!$P$390="Complete",IF(C4230=0,0,VLOOKUP(A4230,'Fleet register'!$A$7:$S$106,9,FALSE)*Paths!$R$390),"n.a."))</f>
        <v>0</v>
      </c>
    </row>
    <row r="4231" spans="1:20" ht="24" customHeight="1">
      <c r="A4231" s="1" t="str">
        <f>Paths!$A$391</f>
        <v>T097</v>
      </c>
      <c r="B4231" s="1">
        <f>Paths!$B$391</f>
        <v>0</v>
      </c>
      <c r="C4231" s="1">
        <v>0</v>
      </c>
      <c r="D4231" s="1">
        <v>391</v>
      </c>
      <c r="E4231" s="1">
        <f>IF(OR(Paths!$C$391=0,C4231=0),0,MAX(0,MIN(C4231*12,Paths!$E$391)-(C4231-1)*12))</f>
        <v>0</v>
      </c>
      <c r="F4231" s="1">
        <f>IF(OR(Paths!$C$391=0,C4231=0),0,12-E4231)</f>
        <v>0</v>
      </c>
      <c r="G4231" s="16">
        <f>IF(NOT(Paths!$C$391=1),0,IF(Paths!$P$391="Complete",E4231/12*(Paths!$J$391*(1+'Operating costs'!$B$51)^MAX(0,C4231-1)+Paths!$K$391*(1+'Operating costs'!$B$53)^MAX(0,C4231-1)),"n.a."))</f>
        <v>0</v>
      </c>
      <c r="H4231" s="16">
        <f>IF(NOT(Paths!$C$391=1),0,IF(Paths!$P$391="Complete",F4231/12*(Paths!$L$391*(1+IF(Paths!$D$391="EV",'Operating costs'!$B$52,'Operating costs'!$B$51))^MAX(0,C4231-1)+Paths!$M$391*(1+'Operating costs'!$B$53)^MAX(0,C4231-1)),"n.a."))</f>
        <v>0</v>
      </c>
      <c r="I4231" s="16">
        <f>IF(NOT(Paths!$C$391=1),0,IF(Paths!$P$391="Complete",IF(IF(Paths!$E$391=0,C4231=0,AND(C4231&gt;0,Paths!$E$391&gt;(C4231-1)*12,Paths!$E$391&lt;=C4231*12)),Paths!$G$391,0),"n.a."))</f>
        <v>0</v>
      </c>
      <c r="J4231" s="16">
        <f>IF(NOT(Paths!$C$391=1),0,IF(Paths!$P$391="Complete",IF(IF(Paths!$E$391=0,C4231=0,AND(C4231&gt;0,Paths!$E$391&gt;(C4231-1)*12,Paths!$E$391&lt;=C4231*12)),Paths!$H$391,0),"n.a."))</f>
        <v>0</v>
      </c>
      <c r="K4231" s="16">
        <f>IF(NOT(Paths!$C$391=1),0,IF(Paths!$P$391="Complete",IF(IF(Paths!$O$391=0,C4231=0,AND(C4231&gt;0,Paths!$O$391&gt;(C4231-1)*12,Paths!$O$391&lt;=C4231*12)),Paths!$N$391,0),"n.a."))</f>
        <v>0</v>
      </c>
      <c r="L4231" s="16">
        <f>IF(NOT(Paths!$C$391=1),0,IF(Paths!$P$391="Complete",IF(C4231=10,Paths!$I$391,0),"n.a."))</f>
        <v>0</v>
      </c>
      <c r="M4231" s="16">
        <f>IF(NOT(Paths!$C$391=1),0,IF(Paths!$P$391="Complete",IF(AND(Paths!$D$391="EV",Paths!$E$391&lt;120,Paths!$E$391+'Operating costs'!$B$65&gt;Paths!$E$391,Paths!$E$391+'Operating costs'!$B$65&lt;=120,IF(Paths!$E$391+'Operating costs'!$B$65=0,C4231=0,AND(C4231&gt;0,Paths!$E$391+'Operating costs'!$B$65&gt;(C4231-1)*12,Paths!$E$391+'Operating costs'!$B$65&lt;=C4231*12))),'Operating costs'!$B$64,0)+IF(AND('Operating costs'!$B$67&gt;0,'Operating costs'!$B$67&lt;=120,OR(Paths!$D$391="ICE",'Operating costs'!$B$67&lt;=Paths!$E$391),IF('Operating costs'!$B$67=0,C4231=0,AND(C4231&gt;0,'Operating costs'!$B$67&gt;(C4231-1)*12,'Operating costs'!$B$67&lt;=C4231*12))),'Operating costs'!$B$66,0),"n.a."))</f>
        <v>0</v>
      </c>
      <c r="N4231" s="16">
        <f>IF(NOT(Paths!$C$391=1),0,IF(Paths!$P$391="Complete",SUM(G4231:I4231)-J4231-K4231-L4231+M4231+IF(C4231=0,Paths!$F$391,0)+IF(IF(Paths!$E$391=0,C4231=0,AND(C4231&gt;0,Paths!$E$391&gt;(C4231-1)*12,Paths!$E$391&lt;=C4231*12)),VLOOKUP(A4231,'Fleet register'!$A$7:$S$106,16,FALSE),0),"n.a."))</f>
        <v>0</v>
      </c>
      <c r="O4231" s="16">
        <f>IF(NOT(Paths!$C$391=1),0,IF(Paths!$P$391="Complete",N4231-IF(C4231=0,Paths!$F$391,0),"n.a."))</f>
        <v>0</v>
      </c>
      <c r="P4231" s="16">
        <f>IF(NOT(Paths!$C$391=1),0,IF(Paths!$P$391="Complete",O4231+L4231,"n.a."))</f>
        <v>0</v>
      </c>
      <c r="Q4231" s="16">
        <f>IF(NOT(Paths!$C$391=1),0,IF(Paths!$P$391="Complete",N4231*(1+'Operating costs'!$B$54)^-C4231,"n.a."))</f>
        <v>0</v>
      </c>
      <c r="R4231" s="16">
        <f>IF(NOT(Paths!$C$391=1),0,IF(Paths!$P$391="Complete",IF(AND(C4231=0,Paths!$E$391=0),I4231-J4231-K4231+VLOOKUP(A4231,'Fleet register'!$A$7:$S$106,15,FALSE)+VLOOKUP(A4231,'Fleet register'!$A$7:$S$106,16,FALSE),0),"n.a."))</f>
        <v>0</v>
      </c>
      <c r="S4231" s="1">
        <f>IF(NOT(Paths!$C$391=1),0,IF(Paths!$P$391="Complete",IF(C4231=0,0,Paths!$S$391*Paths!$R$391),"n.a."))</f>
        <v>0</v>
      </c>
      <c r="T4231" s="1">
        <f>IF(NOT(Paths!$C$391=1),0,IF(Paths!$P$391="Complete",IF(C4231=0,0,VLOOKUP(A4231,'Fleet register'!$A$7:$S$106,9,FALSE)*Paths!$R$391),"n.a."))</f>
        <v>0</v>
      </c>
    </row>
    <row r="4232" spans="1:20" ht="24" customHeight="1">
      <c r="A4232" s="1" t="str">
        <f>Paths!$A$391</f>
        <v>T097</v>
      </c>
      <c r="B4232" s="1">
        <f>Paths!$B$391</f>
        <v>0</v>
      </c>
      <c r="C4232" s="1">
        <v>1</v>
      </c>
      <c r="D4232" s="1">
        <v>391</v>
      </c>
      <c r="E4232" s="1">
        <f>IF(OR(Paths!$C$391=0,C4232=0),0,MAX(0,MIN(C4232*12,Paths!$E$391)-(C4232-1)*12))</f>
        <v>0</v>
      </c>
      <c r="F4232" s="1">
        <f>IF(OR(Paths!$C$391=0,C4232=0),0,12-E4232)</f>
        <v>0</v>
      </c>
      <c r="G4232" s="16">
        <f>IF(NOT(Paths!$C$391=1),0,IF(Paths!$P$391="Complete",E4232/12*(Paths!$J$391*(1+'Operating costs'!$B$51)^MAX(0,C4232-1)+Paths!$K$391*(1+'Operating costs'!$B$53)^MAX(0,C4232-1)),"n.a."))</f>
        <v>0</v>
      </c>
      <c r="H4232" s="16">
        <f>IF(NOT(Paths!$C$391=1),0,IF(Paths!$P$391="Complete",F4232/12*(Paths!$L$391*(1+IF(Paths!$D$391="EV",'Operating costs'!$B$52,'Operating costs'!$B$51))^MAX(0,C4232-1)+Paths!$M$391*(1+'Operating costs'!$B$53)^MAX(0,C4232-1)),"n.a."))</f>
        <v>0</v>
      </c>
      <c r="I4232" s="16">
        <f>IF(NOT(Paths!$C$391=1),0,IF(Paths!$P$391="Complete",IF(IF(Paths!$E$391=0,C4232=0,AND(C4232&gt;0,Paths!$E$391&gt;(C4232-1)*12,Paths!$E$391&lt;=C4232*12)),Paths!$G$391,0),"n.a."))</f>
        <v>0</v>
      </c>
      <c r="J4232" s="16">
        <f>IF(NOT(Paths!$C$391=1),0,IF(Paths!$P$391="Complete",IF(IF(Paths!$E$391=0,C4232=0,AND(C4232&gt;0,Paths!$E$391&gt;(C4232-1)*12,Paths!$E$391&lt;=C4232*12)),Paths!$H$391,0),"n.a."))</f>
        <v>0</v>
      </c>
      <c r="K4232" s="16">
        <f>IF(NOT(Paths!$C$391=1),0,IF(Paths!$P$391="Complete",IF(IF(Paths!$O$391=0,C4232=0,AND(C4232&gt;0,Paths!$O$391&gt;(C4232-1)*12,Paths!$O$391&lt;=C4232*12)),Paths!$N$391,0),"n.a."))</f>
        <v>0</v>
      </c>
      <c r="L4232" s="16">
        <f>IF(NOT(Paths!$C$391=1),0,IF(Paths!$P$391="Complete",IF(C4232=10,Paths!$I$391,0),"n.a."))</f>
        <v>0</v>
      </c>
      <c r="M4232" s="16">
        <f>IF(NOT(Paths!$C$391=1),0,IF(Paths!$P$391="Complete",IF(AND(Paths!$D$391="EV",Paths!$E$391&lt;120,Paths!$E$391+'Operating costs'!$B$65&gt;Paths!$E$391,Paths!$E$391+'Operating costs'!$B$65&lt;=120,IF(Paths!$E$391+'Operating costs'!$B$65=0,C4232=0,AND(C4232&gt;0,Paths!$E$391+'Operating costs'!$B$65&gt;(C4232-1)*12,Paths!$E$391+'Operating costs'!$B$65&lt;=C4232*12))),'Operating costs'!$B$64,0)+IF(AND('Operating costs'!$B$67&gt;0,'Operating costs'!$B$67&lt;=120,OR(Paths!$D$391="ICE",'Operating costs'!$B$67&lt;=Paths!$E$391),IF('Operating costs'!$B$67=0,C4232=0,AND(C4232&gt;0,'Operating costs'!$B$67&gt;(C4232-1)*12,'Operating costs'!$B$67&lt;=C4232*12))),'Operating costs'!$B$66,0),"n.a."))</f>
        <v>0</v>
      </c>
      <c r="N4232" s="16">
        <f>IF(NOT(Paths!$C$391=1),0,IF(Paths!$P$391="Complete",SUM(G4232:I4232)-J4232-K4232-L4232+M4232+IF(C4232=0,Paths!$F$391,0)+IF(IF(Paths!$E$391=0,C4232=0,AND(C4232&gt;0,Paths!$E$391&gt;(C4232-1)*12,Paths!$E$391&lt;=C4232*12)),VLOOKUP(A4232,'Fleet register'!$A$7:$S$106,16,FALSE),0),"n.a."))</f>
        <v>0</v>
      </c>
      <c r="O4232" s="16">
        <f>IF(NOT(Paths!$C$391=1),0,IF(Paths!$P$391="Complete",N4232-IF(C4232=0,Paths!$F$391,0),"n.a."))</f>
        <v>0</v>
      </c>
      <c r="P4232" s="16">
        <f>IF(NOT(Paths!$C$391=1),0,IF(Paths!$P$391="Complete",O4232+L4232,"n.a."))</f>
        <v>0</v>
      </c>
      <c r="Q4232" s="16">
        <f>IF(NOT(Paths!$C$391=1),0,IF(Paths!$P$391="Complete",N4232*(1+'Operating costs'!$B$54)^-C4232,"n.a."))</f>
        <v>0</v>
      </c>
      <c r="R4232" s="16">
        <f>IF(NOT(Paths!$C$391=1),0,IF(Paths!$P$391="Complete",IF(AND(C4232=0,Paths!$E$391=0),I4232-J4232-K4232+VLOOKUP(A4232,'Fleet register'!$A$7:$S$106,15,FALSE)+VLOOKUP(A4232,'Fleet register'!$A$7:$S$106,16,FALSE),0),"n.a."))</f>
        <v>0</v>
      </c>
      <c r="S4232" s="1">
        <f>IF(NOT(Paths!$C$391=1),0,IF(Paths!$P$391="Complete",IF(C4232=0,0,Paths!$S$391*Paths!$R$391),"n.a."))</f>
        <v>0</v>
      </c>
      <c r="T4232" s="1">
        <f>IF(NOT(Paths!$C$391=1),0,IF(Paths!$P$391="Complete",IF(C4232=0,0,VLOOKUP(A4232,'Fleet register'!$A$7:$S$106,9,FALSE)*Paths!$R$391),"n.a."))</f>
        <v>0</v>
      </c>
    </row>
    <row r="4233" spans="1:20" ht="24" customHeight="1">
      <c r="A4233" s="1" t="str">
        <f>Paths!$A$391</f>
        <v>T097</v>
      </c>
      <c r="B4233" s="1">
        <f>Paths!$B$391</f>
        <v>0</v>
      </c>
      <c r="C4233" s="1">
        <v>2</v>
      </c>
      <c r="D4233" s="1">
        <v>391</v>
      </c>
      <c r="E4233" s="1">
        <f>IF(OR(Paths!$C$391=0,C4233=0),0,MAX(0,MIN(C4233*12,Paths!$E$391)-(C4233-1)*12))</f>
        <v>0</v>
      </c>
      <c r="F4233" s="1">
        <f>IF(OR(Paths!$C$391=0,C4233=0),0,12-E4233)</f>
        <v>0</v>
      </c>
      <c r="G4233" s="16">
        <f>IF(NOT(Paths!$C$391=1),0,IF(Paths!$P$391="Complete",E4233/12*(Paths!$J$391*(1+'Operating costs'!$B$51)^MAX(0,C4233-1)+Paths!$K$391*(1+'Operating costs'!$B$53)^MAX(0,C4233-1)),"n.a."))</f>
        <v>0</v>
      </c>
      <c r="H4233" s="16">
        <f>IF(NOT(Paths!$C$391=1),0,IF(Paths!$P$391="Complete",F4233/12*(Paths!$L$391*(1+IF(Paths!$D$391="EV",'Operating costs'!$B$52,'Operating costs'!$B$51))^MAX(0,C4233-1)+Paths!$M$391*(1+'Operating costs'!$B$53)^MAX(0,C4233-1)),"n.a."))</f>
        <v>0</v>
      </c>
      <c r="I4233" s="16">
        <f>IF(NOT(Paths!$C$391=1),0,IF(Paths!$P$391="Complete",IF(IF(Paths!$E$391=0,C4233=0,AND(C4233&gt;0,Paths!$E$391&gt;(C4233-1)*12,Paths!$E$391&lt;=C4233*12)),Paths!$G$391,0),"n.a."))</f>
        <v>0</v>
      </c>
      <c r="J4233" s="16">
        <f>IF(NOT(Paths!$C$391=1),0,IF(Paths!$P$391="Complete",IF(IF(Paths!$E$391=0,C4233=0,AND(C4233&gt;0,Paths!$E$391&gt;(C4233-1)*12,Paths!$E$391&lt;=C4233*12)),Paths!$H$391,0),"n.a."))</f>
        <v>0</v>
      </c>
      <c r="K4233" s="16">
        <f>IF(NOT(Paths!$C$391=1),0,IF(Paths!$P$391="Complete",IF(IF(Paths!$O$391=0,C4233=0,AND(C4233&gt;0,Paths!$O$391&gt;(C4233-1)*12,Paths!$O$391&lt;=C4233*12)),Paths!$N$391,0),"n.a."))</f>
        <v>0</v>
      </c>
      <c r="L4233" s="16">
        <f>IF(NOT(Paths!$C$391=1),0,IF(Paths!$P$391="Complete",IF(C4233=10,Paths!$I$391,0),"n.a."))</f>
        <v>0</v>
      </c>
      <c r="M4233" s="16">
        <f>IF(NOT(Paths!$C$391=1),0,IF(Paths!$P$391="Complete",IF(AND(Paths!$D$391="EV",Paths!$E$391&lt;120,Paths!$E$391+'Operating costs'!$B$65&gt;Paths!$E$391,Paths!$E$391+'Operating costs'!$B$65&lt;=120,IF(Paths!$E$391+'Operating costs'!$B$65=0,C4233=0,AND(C4233&gt;0,Paths!$E$391+'Operating costs'!$B$65&gt;(C4233-1)*12,Paths!$E$391+'Operating costs'!$B$65&lt;=C4233*12))),'Operating costs'!$B$64,0)+IF(AND('Operating costs'!$B$67&gt;0,'Operating costs'!$B$67&lt;=120,OR(Paths!$D$391="ICE",'Operating costs'!$B$67&lt;=Paths!$E$391),IF('Operating costs'!$B$67=0,C4233=0,AND(C4233&gt;0,'Operating costs'!$B$67&gt;(C4233-1)*12,'Operating costs'!$B$67&lt;=C4233*12))),'Operating costs'!$B$66,0),"n.a."))</f>
        <v>0</v>
      </c>
      <c r="N4233" s="16">
        <f>IF(NOT(Paths!$C$391=1),0,IF(Paths!$P$391="Complete",SUM(G4233:I4233)-J4233-K4233-L4233+M4233+IF(C4233=0,Paths!$F$391,0)+IF(IF(Paths!$E$391=0,C4233=0,AND(C4233&gt;0,Paths!$E$391&gt;(C4233-1)*12,Paths!$E$391&lt;=C4233*12)),VLOOKUP(A4233,'Fleet register'!$A$7:$S$106,16,FALSE),0),"n.a."))</f>
        <v>0</v>
      </c>
      <c r="O4233" s="16">
        <f>IF(NOT(Paths!$C$391=1),0,IF(Paths!$P$391="Complete",N4233-IF(C4233=0,Paths!$F$391,0),"n.a."))</f>
        <v>0</v>
      </c>
      <c r="P4233" s="16">
        <f>IF(NOT(Paths!$C$391=1),0,IF(Paths!$P$391="Complete",O4233+L4233,"n.a."))</f>
        <v>0</v>
      </c>
      <c r="Q4233" s="16">
        <f>IF(NOT(Paths!$C$391=1),0,IF(Paths!$P$391="Complete",N4233*(1+'Operating costs'!$B$54)^-C4233,"n.a."))</f>
        <v>0</v>
      </c>
      <c r="R4233" s="16">
        <f>IF(NOT(Paths!$C$391=1),0,IF(Paths!$P$391="Complete",IF(AND(C4233=0,Paths!$E$391=0),I4233-J4233-K4233+VLOOKUP(A4233,'Fleet register'!$A$7:$S$106,15,FALSE)+VLOOKUP(A4233,'Fleet register'!$A$7:$S$106,16,FALSE),0),"n.a."))</f>
        <v>0</v>
      </c>
      <c r="S4233" s="1">
        <f>IF(NOT(Paths!$C$391=1),0,IF(Paths!$P$391="Complete",IF(C4233=0,0,Paths!$S$391*Paths!$R$391),"n.a."))</f>
        <v>0</v>
      </c>
      <c r="T4233" s="1">
        <f>IF(NOT(Paths!$C$391=1),0,IF(Paths!$P$391="Complete",IF(C4233=0,0,VLOOKUP(A4233,'Fleet register'!$A$7:$S$106,9,FALSE)*Paths!$R$391),"n.a."))</f>
        <v>0</v>
      </c>
    </row>
    <row r="4234" spans="1:20" ht="24" customHeight="1">
      <c r="A4234" s="1" t="str">
        <f>Paths!$A$391</f>
        <v>T097</v>
      </c>
      <c r="B4234" s="1">
        <f>Paths!$B$391</f>
        <v>0</v>
      </c>
      <c r="C4234" s="1">
        <v>3</v>
      </c>
      <c r="D4234" s="1">
        <v>391</v>
      </c>
      <c r="E4234" s="1">
        <f>IF(OR(Paths!$C$391=0,C4234=0),0,MAX(0,MIN(C4234*12,Paths!$E$391)-(C4234-1)*12))</f>
        <v>0</v>
      </c>
      <c r="F4234" s="1">
        <f>IF(OR(Paths!$C$391=0,C4234=0),0,12-E4234)</f>
        <v>0</v>
      </c>
      <c r="G4234" s="16">
        <f>IF(NOT(Paths!$C$391=1),0,IF(Paths!$P$391="Complete",E4234/12*(Paths!$J$391*(1+'Operating costs'!$B$51)^MAX(0,C4234-1)+Paths!$K$391*(1+'Operating costs'!$B$53)^MAX(0,C4234-1)),"n.a."))</f>
        <v>0</v>
      </c>
      <c r="H4234" s="16">
        <f>IF(NOT(Paths!$C$391=1),0,IF(Paths!$P$391="Complete",F4234/12*(Paths!$L$391*(1+IF(Paths!$D$391="EV",'Operating costs'!$B$52,'Operating costs'!$B$51))^MAX(0,C4234-1)+Paths!$M$391*(1+'Operating costs'!$B$53)^MAX(0,C4234-1)),"n.a."))</f>
        <v>0</v>
      </c>
      <c r="I4234" s="16">
        <f>IF(NOT(Paths!$C$391=1),0,IF(Paths!$P$391="Complete",IF(IF(Paths!$E$391=0,C4234=0,AND(C4234&gt;0,Paths!$E$391&gt;(C4234-1)*12,Paths!$E$391&lt;=C4234*12)),Paths!$G$391,0),"n.a."))</f>
        <v>0</v>
      </c>
      <c r="J4234" s="16">
        <f>IF(NOT(Paths!$C$391=1),0,IF(Paths!$P$391="Complete",IF(IF(Paths!$E$391=0,C4234=0,AND(C4234&gt;0,Paths!$E$391&gt;(C4234-1)*12,Paths!$E$391&lt;=C4234*12)),Paths!$H$391,0),"n.a."))</f>
        <v>0</v>
      </c>
      <c r="K4234" s="16">
        <f>IF(NOT(Paths!$C$391=1),0,IF(Paths!$P$391="Complete",IF(IF(Paths!$O$391=0,C4234=0,AND(C4234&gt;0,Paths!$O$391&gt;(C4234-1)*12,Paths!$O$391&lt;=C4234*12)),Paths!$N$391,0),"n.a."))</f>
        <v>0</v>
      </c>
      <c r="L4234" s="16">
        <f>IF(NOT(Paths!$C$391=1),0,IF(Paths!$P$391="Complete",IF(C4234=10,Paths!$I$391,0),"n.a."))</f>
        <v>0</v>
      </c>
      <c r="M4234" s="16">
        <f>IF(NOT(Paths!$C$391=1),0,IF(Paths!$P$391="Complete",IF(AND(Paths!$D$391="EV",Paths!$E$391&lt;120,Paths!$E$391+'Operating costs'!$B$65&gt;Paths!$E$391,Paths!$E$391+'Operating costs'!$B$65&lt;=120,IF(Paths!$E$391+'Operating costs'!$B$65=0,C4234=0,AND(C4234&gt;0,Paths!$E$391+'Operating costs'!$B$65&gt;(C4234-1)*12,Paths!$E$391+'Operating costs'!$B$65&lt;=C4234*12))),'Operating costs'!$B$64,0)+IF(AND('Operating costs'!$B$67&gt;0,'Operating costs'!$B$67&lt;=120,OR(Paths!$D$391="ICE",'Operating costs'!$B$67&lt;=Paths!$E$391),IF('Operating costs'!$B$67=0,C4234=0,AND(C4234&gt;0,'Operating costs'!$B$67&gt;(C4234-1)*12,'Operating costs'!$B$67&lt;=C4234*12))),'Operating costs'!$B$66,0),"n.a."))</f>
        <v>0</v>
      </c>
      <c r="N4234" s="16">
        <f>IF(NOT(Paths!$C$391=1),0,IF(Paths!$P$391="Complete",SUM(G4234:I4234)-J4234-K4234-L4234+M4234+IF(C4234=0,Paths!$F$391,0)+IF(IF(Paths!$E$391=0,C4234=0,AND(C4234&gt;0,Paths!$E$391&gt;(C4234-1)*12,Paths!$E$391&lt;=C4234*12)),VLOOKUP(A4234,'Fleet register'!$A$7:$S$106,16,FALSE),0),"n.a."))</f>
        <v>0</v>
      </c>
      <c r="O4234" s="16">
        <f>IF(NOT(Paths!$C$391=1),0,IF(Paths!$P$391="Complete",N4234-IF(C4234=0,Paths!$F$391,0),"n.a."))</f>
        <v>0</v>
      </c>
      <c r="P4234" s="16">
        <f>IF(NOT(Paths!$C$391=1),0,IF(Paths!$P$391="Complete",O4234+L4234,"n.a."))</f>
        <v>0</v>
      </c>
      <c r="Q4234" s="16">
        <f>IF(NOT(Paths!$C$391=1),0,IF(Paths!$P$391="Complete",N4234*(1+'Operating costs'!$B$54)^-C4234,"n.a."))</f>
        <v>0</v>
      </c>
      <c r="R4234" s="16">
        <f>IF(NOT(Paths!$C$391=1),0,IF(Paths!$P$391="Complete",IF(AND(C4234=0,Paths!$E$391=0),I4234-J4234-K4234+VLOOKUP(A4234,'Fleet register'!$A$7:$S$106,15,FALSE)+VLOOKUP(A4234,'Fleet register'!$A$7:$S$106,16,FALSE),0),"n.a."))</f>
        <v>0</v>
      </c>
      <c r="S4234" s="1">
        <f>IF(NOT(Paths!$C$391=1),0,IF(Paths!$P$391="Complete",IF(C4234=0,0,Paths!$S$391*Paths!$R$391),"n.a."))</f>
        <v>0</v>
      </c>
      <c r="T4234" s="1">
        <f>IF(NOT(Paths!$C$391=1),0,IF(Paths!$P$391="Complete",IF(C4234=0,0,VLOOKUP(A4234,'Fleet register'!$A$7:$S$106,9,FALSE)*Paths!$R$391),"n.a."))</f>
        <v>0</v>
      </c>
    </row>
    <row r="4235" spans="1:20" ht="24" customHeight="1">
      <c r="A4235" s="1" t="str">
        <f>Paths!$A$391</f>
        <v>T097</v>
      </c>
      <c r="B4235" s="1">
        <f>Paths!$B$391</f>
        <v>0</v>
      </c>
      <c r="C4235" s="1">
        <v>4</v>
      </c>
      <c r="D4235" s="1">
        <v>391</v>
      </c>
      <c r="E4235" s="1">
        <f>IF(OR(Paths!$C$391=0,C4235=0),0,MAX(0,MIN(C4235*12,Paths!$E$391)-(C4235-1)*12))</f>
        <v>0</v>
      </c>
      <c r="F4235" s="1">
        <f>IF(OR(Paths!$C$391=0,C4235=0),0,12-E4235)</f>
        <v>0</v>
      </c>
      <c r="G4235" s="16">
        <f>IF(NOT(Paths!$C$391=1),0,IF(Paths!$P$391="Complete",E4235/12*(Paths!$J$391*(1+'Operating costs'!$B$51)^MAX(0,C4235-1)+Paths!$K$391*(1+'Operating costs'!$B$53)^MAX(0,C4235-1)),"n.a."))</f>
        <v>0</v>
      </c>
      <c r="H4235" s="16">
        <f>IF(NOT(Paths!$C$391=1),0,IF(Paths!$P$391="Complete",F4235/12*(Paths!$L$391*(1+IF(Paths!$D$391="EV",'Operating costs'!$B$52,'Operating costs'!$B$51))^MAX(0,C4235-1)+Paths!$M$391*(1+'Operating costs'!$B$53)^MAX(0,C4235-1)),"n.a."))</f>
        <v>0</v>
      </c>
      <c r="I4235" s="16">
        <f>IF(NOT(Paths!$C$391=1),0,IF(Paths!$P$391="Complete",IF(IF(Paths!$E$391=0,C4235=0,AND(C4235&gt;0,Paths!$E$391&gt;(C4235-1)*12,Paths!$E$391&lt;=C4235*12)),Paths!$G$391,0),"n.a."))</f>
        <v>0</v>
      </c>
      <c r="J4235" s="16">
        <f>IF(NOT(Paths!$C$391=1),0,IF(Paths!$P$391="Complete",IF(IF(Paths!$E$391=0,C4235=0,AND(C4235&gt;0,Paths!$E$391&gt;(C4235-1)*12,Paths!$E$391&lt;=C4235*12)),Paths!$H$391,0),"n.a."))</f>
        <v>0</v>
      </c>
      <c r="K4235" s="16">
        <f>IF(NOT(Paths!$C$391=1),0,IF(Paths!$P$391="Complete",IF(IF(Paths!$O$391=0,C4235=0,AND(C4235&gt;0,Paths!$O$391&gt;(C4235-1)*12,Paths!$O$391&lt;=C4235*12)),Paths!$N$391,0),"n.a."))</f>
        <v>0</v>
      </c>
      <c r="L4235" s="16">
        <f>IF(NOT(Paths!$C$391=1),0,IF(Paths!$P$391="Complete",IF(C4235=10,Paths!$I$391,0),"n.a."))</f>
        <v>0</v>
      </c>
      <c r="M4235" s="16">
        <f>IF(NOT(Paths!$C$391=1),0,IF(Paths!$P$391="Complete",IF(AND(Paths!$D$391="EV",Paths!$E$391&lt;120,Paths!$E$391+'Operating costs'!$B$65&gt;Paths!$E$391,Paths!$E$391+'Operating costs'!$B$65&lt;=120,IF(Paths!$E$391+'Operating costs'!$B$65=0,C4235=0,AND(C4235&gt;0,Paths!$E$391+'Operating costs'!$B$65&gt;(C4235-1)*12,Paths!$E$391+'Operating costs'!$B$65&lt;=C4235*12))),'Operating costs'!$B$64,0)+IF(AND('Operating costs'!$B$67&gt;0,'Operating costs'!$B$67&lt;=120,OR(Paths!$D$391="ICE",'Operating costs'!$B$67&lt;=Paths!$E$391),IF('Operating costs'!$B$67=0,C4235=0,AND(C4235&gt;0,'Operating costs'!$B$67&gt;(C4235-1)*12,'Operating costs'!$B$67&lt;=C4235*12))),'Operating costs'!$B$66,0),"n.a."))</f>
        <v>0</v>
      </c>
      <c r="N4235" s="16">
        <f>IF(NOT(Paths!$C$391=1),0,IF(Paths!$P$391="Complete",SUM(G4235:I4235)-J4235-K4235-L4235+M4235+IF(C4235=0,Paths!$F$391,0)+IF(IF(Paths!$E$391=0,C4235=0,AND(C4235&gt;0,Paths!$E$391&gt;(C4235-1)*12,Paths!$E$391&lt;=C4235*12)),VLOOKUP(A4235,'Fleet register'!$A$7:$S$106,16,FALSE),0),"n.a."))</f>
        <v>0</v>
      </c>
      <c r="O4235" s="16">
        <f>IF(NOT(Paths!$C$391=1),0,IF(Paths!$P$391="Complete",N4235-IF(C4235=0,Paths!$F$391,0),"n.a."))</f>
        <v>0</v>
      </c>
      <c r="P4235" s="16">
        <f>IF(NOT(Paths!$C$391=1),0,IF(Paths!$P$391="Complete",O4235+L4235,"n.a."))</f>
        <v>0</v>
      </c>
      <c r="Q4235" s="16">
        <f>IF(NOT(Paths!$C$391=1),0,IF(Paths!$P$391="Complete",N4235*(1+'Operating costs'!$B$54)^-C4235,"n.a."))</f>
        <v>0</v>
      </c>
      <c r="R4235" s="16">
        <f>IF(NOT(Paths!$C$391=1),0,IF(Paths!$P$391="Complete",IF(AND(C4235=0,Paths!$E$391=0),I4235-J4235-K4235+VLOOKUP(A4235,'Fleet register'!$A$7:$S$106,15,FALSE)+VLOOKUP(A4235,'Fleet register'!$A$7:$S$106,16,FALSE),0),"n.a."))</f>
        <v>0</v>
      </c>
      <c r="S4235" s="1">
        <f>IF(NOT(Paths!$C$391=1),0,IF(Paths!$P$391="Complete",IF(C4235=0,0,Paths!$S$391*Paths!$R$391),"n.a."))</f>
        <v>0</v>
      </c>
      <c r="T4235" s="1">
        <f>IF(NOT(Paths!$C$391=1),0,IF(Paths!$P$391="Complete",IF(C4235=0,0,VLOOKUP(A4235,'Fleet register'!$A$7:$S$106,9,FALSE)*Paths!$R$391),"n.a."))</f>
        <v>0</v>
      </c>
    </row>
    <row r="4236" spans="1:20" ht="24" customHeight="1">
      <c r="A4236" s="1" t="str">
        <f>Paths!$A$391</f>
        <v>T097</v>
      </c>
      <c r="B4236" s="1">
        <f>Paths!$B$391</f>
        <v>0</v>
      </c>
      <c r="C4236" s="1">
        <v>5</v>
      </c>
      <c r="D4236" s="1">
        <v>391</v>
      </c>
      <c r="E4236" s="1">
        <f>IF(OR(Paths!$C$391=0,C4236=0),0,MAX(0,MIN(C4236*12,Paths!$E$391)-(C4236-1)*12))</f>
        <v>0</v>
      </c>
      <c r="F4236" s="1">
        <f>IF(OR(Paths!$C$391=0,C4236=0),0,12-E4236)</f>
        <v>0</v>
      </c>
      <c r="G4236" s="16">
        <f>IF(NOT(Paths!$C$391=1),0,IF(Paths!$P$391="Complete",E4236/12*(Paths!$J$391*(1+'Operating costs'!$B$51)^MAX(0,C4236-1)+Paths!$K$391*(1+'Operating costs'!$B$53)^MAX(0,C4236-1)),"n.a."))</f>
        <v>0</v>
      </c>
      <c r="H4236" s="16">
        <f>IF(NOT(Paths!$C$391=1),0,IF(Paths!$P$391="Complete",F4236/12*(Paths!$L$391*(1+IF(Paths!$D$391="EV",'Operating costs'!$B$52,'Operating costs'!$B$51))^MAX(0,C4236-1)+Paths!$M$391*(1+'Operating costs'!$B$53)^MAX(0,C4236-1)),"n.a."))</f>
        <v>0</v>
      </c>
      <c r="I4236" s="16">
        <f>IF(NOT(Paths!$C$391=1),0,IF(Paths!$P$391="Complete",IF(IF(Paths!$E$391=0,C4236=0,AND(C4236&gt;0,Paths!$E$391&gt;(C4236-1)*12,Paths!$E$391&lt;=C4236*12)),Paths!$G$391,0),"n.a."))</f>
        <v>0</v>
      </c>
      <c r="J4236" s="16">
        <f>IF(NOT(Paths!$C$391=1),0,IF(Paths!$P$391="Complete",IF(IF(Paths!$E$391=0,C4236=0,AND(C4236&gt;0,Paths!$E$391&gt;(C4236-1)*12,Paths!$E$391&lt;=C4236*12)),Paths!$H$391,0),"n.a."))</f>
        <v>0</v>
      </c>
      <c r="K4236" s="16">
        <f>IF(NOT(Paths!$C$391=1),0,IF(Paths!$P$391="Complete",IF(IF(Paths!$O$391=0,C4236=0,AND(C4236&gt;0,Paths!$O$391&gt;(C4236-1)*12,Paths!$O$391&lt;=C4236*12)),Paths!$N$391,0),"n.a."))</f>
        <v>0</v>
      </c>
      <c r="L4236" s="16">
        <f>IF(NOT(Paths!$C$391=1),0,IF(Paths!$P$391="Complete",IF(C4236=10,Paths!$I$391,0),"n.a."))</f>
        <v>0</v>
      </c>
      <c r="M4236" s="16">
        <f>IF(NOT(Paths!$C$391=1),0,IF(Paths!$P$391="Complete",IF(AND(Paths!$D$391="EV",Paths!$E$391&lt;120,Paths!$E$391+'Operating costs'!$B$65&gt;Paths!$E$391,Paths!$E$391+'Operating costs'!$B$65&lt;=120,IF(Paths!$E$391+'Operating costs'!$B$65=0,C4236=0,AND(C4236&gt;0,Paths!$E$391+'Operating costs'!$B$65&gt;(C4236-1)*12,Paths!$E$391+'Operating costs'!$B$65&lt;=C4236*12))),'Operating costs'!$B$64,0)+IF(AND('Operating costs'!$B$67&gt;0,'Operating costs'!$B$67&lt;=120,OR(Paths!$D$391="ICE",'Operating costs'!$B$67&lt;=Paths!$E$391),IF('Operating costs'!$B$67=0,C4236=0,AND(C4236&gt;0,'Operating costs'!$B$67&gt;(C4236-1)*12,'Operating costs'!$B$67&lt;=C4236*12))),'Operating costs'!$B$66,0),"n.a."))</f>
        <v>0</v>
      </c>
      <c r="N4236" s="16">
        <f>IF(NOT(Paths!$C$391=1),0,IF(Paths!$P$391="Complete",SUM(G4236:I4236)-J4236-K4236-L4236+M4236+IF(C4236=0,Paths!$F$391,0)+IF(IF(Paths!$E$391=0,C4236=0,AND(C4236&gt;0,Paths!$E$391&gt;(C4236-1)*12,Paths!$E$391&lt;=C4236*12)),VLOOKUP(A4236,'Fleet register'!$A$7:$S$106,16,FALSE),0),"n.a."))</f>
        <v>0</v>
      </c>
      <c r="O4236" s="16">
        <f>IF(NOT(Paths!$C$391=1),0,IF(Paths!$P$391="Complete",N4236-IF(C4236=0,Paths!$F$391,0),"n.a."))</f>
        <v>0</v>
      </c>
      <c r="P4236" s="16">
        <f>IF(NOT(Paths!$C$391=1),0,IF(Paths!$P$391="Complete",O4236+L4236,"n.a."))</f>
        <v>0</v>
      </c>
      <c r="Q4236" s="16">
        <f>IF(NOT(Paths!$C$391=1),0,IF(Paths!$P$391="Complete",N4236*(1+'Operating costs'!$B$54)^-C4236,"n.a."))</f>
        <v>0</v>
      </c>
      <c r="R4236" s="16">
        <f>IF(NOT(Paths!$C$391=1),0,IF(Paths!$P$391="Complete",IF(AND(C4236=0,Paths!$E$391=0),I4236-J4236-K4236+VLOOKUP(A4236,'Fleet register'!$A$7:$S$106,15,FALSE)+VLOOKUP(A4236,'Fleet register'!$A$7:$S$106,16,FALSE),0),"n.a."))</f>
        <v>0</v>
      </c>
      <c r="S4236" s="1">
        <f>IF(NOT(Paths!$C$391=1),0,IF(Paths!$P$391="Complete",IF(C4236=0,0,Paths!$S$391*Paths!$R$391),"n.a."))</f>
        <v>0</v>
      </c>
      <c r="T4236" s="1">
        <f>IF(NOT(Paths!$C$391=1),0,IF(Paths!$P$391="Complete",IF(C4236=0,0,VLOOKUP(A4236,'Fleet register'!$A$7:$S$106,9,FALSE)*Paths!$R$391),"n.a."))</f>
        <v>0</v>
      </c>
    </row>
    <row r="4237" spans="1:20" ht="24" customHeight="1">
      <c r="A4237" s="1" t="str">
        <f>Paths!$A$391</f>
        <v>T097</v>
      </c>
      <c r="B4237" s="1">
        <f>Paths!$B$391</f>
        <v>0</v>
      </c>
      <c r="C4237" s="1">
        <v>6</v>
      </c>
      <c r="D4237" s="1">
        <v>391</v>
      </c>
      <c r="E4237" s="1">
        <f>IF(OR(Paths!$C$391=0,C4237=0),0,MAX(0,MIN(C4237*12,Paths!$E$391)-(C4237-1)*12))</f>
        <v>0</v>
      </c>
      <c r="F4237" s="1">
        <f>IF(OR(Paths!$C$391=0,C4237=0),0,12-E4237)</f>
        <v>0</v>
      </c>
      <c r="G4237" s="16">
        <f>IF(NOT(Paths!$C$391=1),0,IF(Paths!$P$391="Complete",E4237/12*(Paths!$J$391*(1+'Operating costs'!$B$51)^MAX(0,C4237-1)+Paths!$K$391*(1+'Operating costs'!$B$53)^MAX(0,C4237-1)),"n.a."))</f>
        <v>0</v>
      </c>
      <c r="H4237" s="16">
        <f>IF(NOT(Paths!$C$391=1),0,IF(Paths!$P$391="Complete",F4237/12*(Paths!$L$391*(1+IF(Paths!$D$391="EV",'Operating costs'!$B$52,'Operating costs'!$B$51))^MAX(0,C4237-1)+Paths!$M$391*(1+'Operating costs'!$B$53)^MAX(0,C4237-1)),"n.a."))</f>
        <v>0</v>
      </c>
      <c r="I4237" s="16">
        <f>IF(NOT(Paths!$C$391=1),0,IF(Paths!$P$391="Complete",IF(IF(Paths!$E$391=0,C4237=0,AND(C4237&gt;0,Paths!$E$391&gt;(C4237-1)*12,Paths!$E$391&lt;=C4237*12)),Paths!$G$391,0),"n.a."))</f>
        <v>0</v>
      </c>
      <c r="J4237" s="16">
        <f>IF(NOT(Paths!$C$391=1),0,IF(Paths!$P$391="Complete",IF(IF(Paths!$E$391=0,C4237=0,AND(C4237&gt;0,Paths!$E$391&gt;(C4237-1)*12,Paths!$E$391&lt;=C4237*12)),Paths!$H$391,0),"n.a."))</f>
        <v>0</v>
      </c>
      <c r="K4237" s="16">
        <f>IF(NOT(Paths!$C$391=1),0,IF(Paths!$P$391="Complete",IF(IF(Paths!$O$391=0,C4237=0,AND(C4237&gt;0,Paths!$O$391&gt;(C4237-1)*12,Paths!$O$391&lt;=C4237*12)),Paths!$N$391,0),"n.a."))</f>
        <v>0</v>
      </c>
      <c r="L4237" s="16">
        <f>IF(NOT(Paths!$C$391=1),0,IF(Paths!$P$391="Complete",IF(C4237=10,Paths!$I$391,0),"n.a."))</f>
        <v>0</v>
      </c>
      <c r="M4237" s="16">
        <f>IF(NOT(Paths!$C$391=1),0,IF(Paths!$P$391="Complete",IF(AND(Paths!$D$391="EV",Paths!$E$391&lt;120,Paths!$E$391+'Operating costs'!$B$65&gt;Paths!$E$391,Paths!$E$391+'Operating costs'!$B$65&lt;=120,IF(Paths!$E$391+'Operating costs'!$B$65=0,C4237=0,AND(C4237&gt;0,Paths!$E$391+'Operating costs'!$B$65&gt;(C4237-1)*12,Paths!$E$391+'Operating costs'!$B$65&lt;=C4237*12))),'Operating costs'!$B$64,0)+IF(AND('Operating costs'!$B$67&gt;0,'Operating costs'!$B$67&lt;=120,OR(Paths!$D$391="ICE",'Operating costs'!$B$67&lt;=Paths!$E$391),IF('Operating costs'!$B$67=0,C4237=0,AND(C4237&gt;0,'Operating costs'!$B$67&gt;(C4237-1)*12,'Operating costs'!$B$67&lt;=C4237*12))),'Operating costs'!$B$66,0),"n.a."))</f>
        <v>0</v>
      </c>
      <c r="N4237" s="16">
        <f>IF(NOT(Paths!$C$391=1),0,IF(Paths!$P$391="Complete",SUM(G4237:I4237)-J4237-K4237-L4237+M4237+IF(C4237=0,Paths!$F$391,0)+IF(IF(Paths!$E$391=0,C4237=0,AND(C4237&gt;0,Paths!$E$391&gt;(C4237-1)*12,Paths!$E$391&lt;=C4237*12)),VLOOKUP(A4237,'Fleet register'!$A$7:$S$106,16,FALSE),0),"n.a."))</f>
        <v>0</v>
      </c>
      <c r="O4237" s="16">
        <f>IF(NOT(Paths!$C$391=1),0,IF(Paths!$P$391="Complete",N4237-IF(C4237=0,Paths!$F$391,0),"n.a."))</f>
        <v>0</v>
      </c>
      <c r="P4237" s="16">
        <f>IF(NOT(Paths!$C$391=1),0,IF(Paths!$P$391="Complete",O4237+L4237,"n.a."))</f>
        <v>0</v>
      </c>
      <c r="Q4237" s="16">
        <f>IF(NOT(Paths!$C$391=1),0,IF(Paths!$P$391="Complete",N4237*(1+'Operating costs'!$B$54)^-C4237,"n.a."))</f>
        <v>0</v>
      </c>
      <c r="R4237" s="16">
        <f>IF(NOT(Paths!$C$391=1),0,IF(Paths!$P$391="Complete",IF(AND(C4237=0,Paths!$E$391=0),I4237-J4237-K4237+VLOOKUP(A4237,'Fleet register'!$A$7:$S$106,15,FALSE)+VLOOKUP(A4237,'Fleet register'!$A$7:$S$106,16,FALSE),0),"n.a."))</f>
        <v>0</v>
      </c>
      <c r="S4237" s="1">
        <f>IF(NOT(Paths!$C$391=1),0,IF(Paths!$P$391="Complete",IF(C4237=0,0,Paths!$S$391*Paths!$R$391),"n.a."))</f>
        <v>0</v>
      </c>
      <c r="T4237" s="1">
        <f>IF(NOT(Paths!$C$391=1),0,IF(Paths!$P$391="Complete",IF(C4237=0,0,VLOOKUP(A4237,'Fleet register'!$A$7:$S$106,9,FALSE)*Paths!$R$391),"n.a."))</f>
        <v>0</v>
      </c>
    </row>
    <row r="4238" spans="1:20" ht="24" customHeight="1">
      <c r="A4238" s="1" t="str">
        <f>Paths!$A$391</f>
        <v>T097</v>
      </c>
      <c r="B4238" s="1">
        <f>Paths!$B$391</f>
        <v>0</v>
      </c>
      <c r="C4238" s="1">
        <v>7</v>
      </c>
      <c r="D4238" s="1">
        <v>391</v>
      </c>
      <c r="E4238" s="1">
        <f>IF(OR(Paths!$C$391=0,C4238=0),0,MAX(0,MIN(C4238*12,Paths!$E$391)-(C4238-1)*12))</f>
        <v>0</v>
      </c>
      <c r="F4238" s="1">
        <f>IF(OR(Paths!$C$391=0,C4238=0),0,12-E4238)</f>
        <v>0</v>
      </c>
      <c r="G4238" s="16">
        <f>IF(NOT(Paths!$C$391=1),0,IF(Paths!$P$391="Complete",E4238/12*(Paths!$J$391*(1+'Operating costs'!$B$51)^MAX(0,C4238-1)+Paths!$K$391*(1+'Operating costs'!$B$53)^MAX(0,C4238-1)),"n.a."))</f>
        <v>0</v>
      </c>
      <c r="H4238" s="16">
        <f>IF(NOT(Paths!$C$391=1),0,IF(Paths!$P$391="Complete",F4238/12*(Paths!$L$391*(1+IF(Paths!$D$391="EV",'Operating costs'!$B$52,'Operating costs'!$B$51))^MAX(0,C4238-1)+Paths!$M$391*(1+'Operating costs'!$B$53)^MAX(0,C4238-1)),"n.a."))</f>
        <v>0</v>
      </c>
      <c r="I4238" s="16">
        <f>IF(NOT(Paths!$C$391=1),0,IF(Paths!$P$391="Complete",IF(IF(Paths!$E$391=0,C4238=0,AND(C4238&gt;0,Paths!$E$391&gt;(C4238-1)*12,Paths!$E$391&lt;=C4238*12)),Paths!$G$391,0),"n.a."))</f>
        <v>0</v>
      </c>
      <c r="J4238" s="16">
        <f>IF(NOT(Paths!$C$391=1),0,IF(Paths!$P$391="Complete",IF(IF(Paths!$E$391=0,C4238=0,AND(C4238&gt;0,Paths!$E$391&gt;(C4238-1)*12,Paths!$E$391&lt;=C4238*12)),Paths!$H$391,0),"n.a."))</f>
        <v>0</v>
      </c>
      <c r="K4238" s="16">
        <f>IF(NOT(Paths!$C$391=1),0,IF(Paths!$P$391="Complete",IF(IF(Paths!$O$391=0,C4238=0,AND(C4238&gt;0,Paths!$O$391&gt;(C4238-1)*12,Paths!$O$391&lt;=C4238*12)),Paths!$N$391,0),"n.a."))</f>
        <v>0</v>
      </c>
      <c r="L4238" s="16">
        <f>IF(NOT(Paths!$C$391=1),0,IF(Paths!$P$391="Complete",IF(C4238=10,Paths!$I$391,0),"n.a."))</f>
        <v>0</v>
      </c>
      <c r="M4238" s="16">
        <f>IF(NOT(Paths!$C$391=1),0,IF(Paths!$P$391="Complete",IF(AND(Paths!$D$391="EV",Paths!$E$391&lt;120,Paths!$E$391+'Operating costs'!$B$65&gt;Paths!$E$391,Paths!$E$391+'Operating costs'!$B$65&lt;=120,IF(Paths!$E$391+'Operating costs'!$B$65=0,C4238=0,AND(C4238&gt;0,Paths!$E$391+'Operating costs'!$B$65&gt;(C4238-1)*12,Paths!$E$391+'Operating costs'!$B$65&lt;=C4238*12))),'Operating costs'!$B$64,0)+IF(AND('Operating costs'!$B$67&gt;0,'Operating costs'!$B$67&lt;=120,OR(Paths!$D$391="ICE",'Operating costs'!$B$67&lt;=Paths!$E$391),IF('Operating costs'!$B$67=0,C4238=0,AND(C4238&gt;0,'Operating costs'!$B$67&gt;(C4238-1)*12,'Operating costs'!$B$67&lt;=C4238*12))),'Operating costs'!$B$66,0),"n.a."))</f>
        <v>0</v>
      </c>
      <c r="N4238" s="16">
        <f>IF(NOT(Paths!$C$391=1),0,IF(Paths!$P$391="Complete",SUM(G4238:I4238)-J4238-K4238-L4238+M4238+IF(C4238=0,Paths!$F$391,0)+IF(IF(Paths!$E$391=0,C4238=0,AND(C4238&gt;0,Paths!$E$391&gt;(C4238-1)*12,Paths!$E$391&lt;=C4238*12)),VLOOKUP(A4238,'Fleet register'!$A$7:$S$106,16,FALSE),0),"n.a."))</f>
        <v>0</v>
      </c>
      <c r="O4238" s="16">
        <f>IF(NOT(Paths!$C$391=1),0,IF(Paths!$P$391="Complete",N4238-IF(C4238=0,Paths!$F$391,0),"n.a."))</f>
        <v>0</v>
      </c>
      <c r="P4238" s="16">
        <f>IF(NOT(Paths!$C$391=1),0,IF(Paths!$P$391="Complete",O4238+L4238,"n.a."))</f>
        <v>0</v>
      </c>
      <c r="Q4238" s="16">
        <f>IF(NOT(Paths!$C$391=1),0,IF(Paths!$P$391="Complete",N4238*(1+'Operating costs'!$B$54)^-C4238,"n.a."))</f>
        <v>0</v>
      </c>
      <c r="R4238" s="16">
        <f>IF(NOT(Paths!$C$391=1),0,IF(Paths!$P$391="Complete",IF(AND(C4238=0,Paths!$E$391=0),I4238-J4238-K4238+VLOOKUP(A4238,'Fleet register'!$A$7:$S$106,15,FALSE)+VLOOKUP(A4238,'Fleet register'!$A$7:$S$106,16,FALSE),0),"n.a."))</f>
        <v>0</v>
      </c>
      <c r="S4238" s="1">
        <f>IF(NOT(Paths!$C$391=1),0,IF(Paths!$P$391="Complete",IF(C4238=0,0,Paths!$S$391*Paths!$R$391),"n.a."))</f>
        <v>0</v>
      </c>
      <c r="T4238" s="1">
        <f>IF(NOT(Paths!$C$391=1),0,IF(Paths!$P$391="Complete",IF(C4238=0,0,VLOOKUP(A4238,'Fleet register'!$A$7:$S$106,9,FALSE)*Paths!$R$391),"n.a."))</f>
        <v>0</v>
      </c>
    </row>
    <row r="4239" spans="1:20" ht="24" customHeight="1">
      <c r="A4239" s="1" t="str">
        <f>Paths!$A$391</f>
        <v>T097</v>
      </c>
      <c r="B4239" s="1">
        <f>Paths!$B$391</f>
        <v>0</v>
      </c>
      <c r="C4239" s="1">
        <v>8</v>
      </c>
      <c r="D4239" s="1">
        <v>391</v>
      </c>
      <c r="E4239" s="1">
        <f>IF(OR(Paths!$C$391=0,C4239=0),0,MAX(0,MIN(C4239*12,Paths!$E$391)-(C4239-1)*12))</f>
        <v>0</v>
      </c>
      <c r="F4239" s="1">
        <f>IF(OR(Paths!$C$391=0,C4239=0),0,12-E4239)</f>
        <v>0</v>
      </c>
      <c r="G4239" s="16">
        <f>IF(NOT(Paths!$C$391=1),0,IF(Paths!$P$391="Complete",E4239/12*(Paths!$J$391*(1+'Operating costs'!$B$51)^MAX(0,C4239-1)+Paths!$K$391*(1+'Operating costs'!$B$53)^MAX(0,C4239-1)),"n.a."))</f>
        <v>0</v>
      </c>
      <c r="H4239" s="16">
        <f>IF(NOT(Paths!$C$391=1),0,IF(Paths!$P$391="Complete",F4239/12*(Paths!$L$391*(1+IF(Paths!$D$391="EV",'Operating costs'!$B$52,'Operating costs'!$B$51))^MAX(0,C4239-1)+Paths!$M$391*(1+'Operating costs'!$B$53)^MAX(0,C4239-1)),"n.a."))</f>
        <v>0</v>
      </c>
      <c r="I4239" s="16">
        <f>IF(NOT(Paths!$C$391=1),0,IF(Paths!$P$391="Complete",IF(IF(Paths!$E$391=0,C4239=0,AND(C4239&gt;0,Paths!$E$391&gt;(C4239-1)*12,Paths!$E$391&lt;=C4239*12)),Paths!$G$391,0),"n.a."))</f>
        <v>0</v>
      </c>
      <c r="J4239" s="16">
        <f>IF(NOT(Paths!$C$391=1),0,IF(Paths!$P$391="Complete",IF(IF(Paths!$E$391=0,C4239=0,AND(C4239&gt;0,Paths!$E$391&gt;(C4239-1)*12,Paths!$E$391&lt;=C4239*12)),Paths!$H$391,0),"n.a."))</f>
        <v>0</v>
      </c>
      <c r="K4239" s="16">
        <f>IF(NOT(Paths!$C$391=1),0,IF(Paths!$P$391="Complete",IF(IF(Paths!$O$391=0,C4239=0,AND(C4239&gt;0,Paths!$O$391&gt;(C4239-1)*12,Paths!$O$391&lt;=C4239*12)),Paths!$N$391,0),"n.a."))</f>
        <v>0</v>
      </c>
      <c r="L4239" s="16">
        <f>IF(NOT(Paths!$C$391=1),0,IF(Paths!$P$391="Complete",IF(C4239=10,Paths!$I$391,0),"n.a."))</f>
        <v>0</v>
      </c>
      <c r="M4239" s="16">
        <f>IF(NOT(Paths!$C$391=1),0,IF(Paths!$P$391="Complete",IF(AND(Paths!$D$391="EV",Paths!$E$391&lt;120,Paths!$E$391+'Operating costs'!$B$65&gt;Paths!$E$391,Paths!$E$391+'Operating costs'!$B$65&lt;=120,IF(Paths!$E$391+'Operating costs'!$B$65=0,C4239=0,AND(C4239&gt;0,Paths!$E$391+'Operating costs'!$B$65&gt;(C4239-1)*12,Paths!$E$391+'Operating costs'!$B$65&lt;=C4239*12))),'Operating costs'!$B$64,0)+IF(AND('Operating costs'!$B$67&gt;0,'Operating costs'!$B$67&lt;=120,OR(Paths!$D$391="ICE",'Operating costs'!$B$67&lt;=Paths!$E$391),IF('Operating costs'!$B$67=0,C4239=0,AND(C4239&gt;0,'Operating costs'!$B$67&gt;(C4239-1)*12,'Operating costs'!$B$67&lt;=C4239*12))),'Operating costs'!$B$66,0),"n.a."))</f>
        <v>0</v>
      </c>
      <c r="N4239" s="16">
        <f>IF(NOT(Paths!$C$391=1),0,IF(Paths!$P$391="Complete",SUM(G4239:I4239)-J4239-K4239-L4239+M4239+IF(C4239=0,Paths!$F$391,0)+IF(IF(Paths!$E$391=0,C4239=0,AND(C4239&gt;0,Paths!$E$391&gt;(C4239-1)*12,Paths!$E$391&lt;=C4239*12)),VLOOKUP(A4239,'Fleet register'!$A$7:$S$106,16,FALSE),0),"n.a."))</f>
        <v>0</v>
      </c>
      <c r="O4239" s="16">
        <f>IF(NOT(Paths!$C$391=1),0,IF(Paths!$P$391="Complete",N4239-IF(C4239=0,Paths!$F$391,0),"n.a."))</f>
        <v>0</v>
      </c>
      <c r="P4239" s="16">
        <f>IF(NOT(Paths!$C$391=1),0,IF(Paths!$P$391="Complete",O4239+L4239,"n.a."))</f>
        <v>0</v>
      </c>
      <c r="Q4239" s="16">
        <f>IF(NOT(Paths!$C$391=1),0,IF(Paths!$P$391="Complete",N4239*(1+'Operating costs'!$B$54)^-C4239,"n.a."))</f>
        <v>0</v>
      </c>
      <c r="R4239" s="16">
        <f>IF(NOT(Paths!$C$391=1),0,IF(Paths!$P$391="Complete",IF(AND(C4239=0,Paths!$E$391=0),I4239-J4239-K4239+VLOOKUP(A4239,'Fleet register'!$A$7:$S$106,15,FALSE)+VLOOKUP(A4239,'Fleet register'!$A$7:$S$106,16,FALSE),0),"n.a."))</f>
        <v>0</v>
      </c>
      <c r="S4239" s="1">
        <f>IF(NOT(Paths!$C$391=1),0,IF(Paths!$P$391="Complete",IF(C4239=0,0,Paths!$S$391*Paths!$R$391),"n.a."))</f>
        <v>0</v>
      </c>
      <c r="T4239" s="1">
        <f>IF(NOT(Paths!$C$391=1),0,IF(Paths!$P$391="Complete",IF(C4239=0,0,VLOOKUP(A4239,'Fleet register'!$A$7:$S$106,9,FALSE)*Paths!$R$391),"n.a."))</f>
        <v>0</v>
      </c>
    </row>
    <row r="4240" spans="1:20" ht="24" customHeight="1">
      <c r="A4240" s="1" t="str">
        <f>Paths!$A$391</f>
        <v>T097</v>
      </c>
      <c r="B4240" s="1">
        <f>Paths!$B$391</f>
        <v>0</v>
      </c>
      <c r="C4240" s="1">
        <v>9</v>
      </c>
      <c r="D4240" s="1">
        <v>391</v>
      </c>
      <c r="E4240" s="1">
        <f>IF(OR(Paths!$C$391=0,C4240=0),0,MAX(0,MIN(C4240*12,Paths!$E$391)-(C4240-1)*12))</f>
        <v>0</v>
      </c>
      <c r="F4240" s="1">
        <f>IF(OR(Paths!$C$391=0,C4240=0),0,12-E4240)</f>
        <v>0</v>
      </c>
      <c r="G4240" s="16">
        <f>IF(NOT(Paths!$C$391=1),0,IF(Paths!$P$391="Complete",E4240/12*(Paths!$J$391*(1+'Operating costs'!$B$51)^MAX(0,C4240-1)+Paths!$K$391*(1+'Operating costs'!$B$53)^MAX(0,C4240-1)),"n.a."))</f>
        <v>0</v>
      </c>
      <c r="H4240" s="16">
        <f>IF(NOT(Paths!$C$391=1),0,IF(Paths!$P$391="Complete",F4240/12*(Paths!$L$391*(1+IF(Paths!$D$391="EV",'Operating costs'!$B$52,'Operating costs'!$B$51))^MAX(0,C4240-1)+Paths!$M$391*(1+'Operating costs'!$B$53)^MAX(0,C4240-1)),"n.a."))</f>
        <v>0</v>
      </c>
      <c r="I4240" s="16">
        <f>IF(NOT(Paths!$C$391=1),0,IF(Paths!$P$391="Complete",IF(IF(Paths!$E$391=0,C4240=0,AND(C4240&gt;0,Paths!$E$391&gt;(C4240-1)*12,Paths!$E$391&lt;=C4240*12)),Paths!$G$391,0),"n.a."))</f>
        <v>0</v>
      </c>
      <c r="J4240" s="16">
        <f>IF(NOT(Paths!$C$391=1),0,IF(Paths!$P$391="Complete",IF(IF(Paths!$E$391=0,C4240=0,AND(C4240&gt;0,Paths!$E$391&gt;(C4240-1)*12,Paths!$E$391&lt;=C4240*12)),Paths!$H$391,0),"n.a."))</f>
        <v>0</v>
      </c>
      <c r="K4240" s="16">
        <f>IF(NOT(Paths!$C$391=1),0,IF(Paths!$P$391="Complete",IF(IF(Paths!$O$391=0,C4240=0,AND(C4240&gt;0,Paths!$O$391&gt;(C4240-1)*12,Paths!$O$391&lt;=C4240*12)),Paths!$N$391,0),"n.a."))</f>
        <v>0</v>
      </c>
      <c r="L4240" s="16">
        <f>IF(NOT(Paths!$C$391=1),0,IF(Paths!$P$391="Complete",IF(C4240=10,Paths!$I$391,0),"n.a."))</f>
        <v>0</v>
      </c>
      <c r="M4240" s="16">
        <f>IF(NOT(Paths!$C$391=1),0,IF(Paths!$P$391="Complete",IF(AND(Paths!$D$391="EV",Paths!$E$391&lt;120,Paths!$E$391+'Operating costs'!$B$65&gt;Paths!$E$391,Paths!$E$391+'Operating costs'!$B$65&lt;=120,IF(Paths!$E$391+'Operating costs'!$B$65=0,C4240=0,AND(C4240&gt;0,Paths!$E$391+'Operating costs'!$B$65&gt;(C4240-1)*12,Paths!$E$391+'Operating costs'!$B$65&lt;=C4240*12))),'Operating costs'!$B$64,0)+IF(AND('Operating costs'!$B$67&gt;0,'Operating costs'!$B$67&lt;=120,OR(Paths!$D$391="ICE",'Operating costs'!$B$67&lt;=Paths!$E$391),IF('Operating costs'!$B$67=0,C4240=0,AND(C4240&gt;0,'Operating costs'!$B$67&gt;(C4240-1)*12,'Operating costs'!$B$67&lt;=C4240*12))),'Operating costs'!$B$66,0),"n.a."))</f>
        <v>0</v>
      </c>
      <c r="N4240" s="16">
        <f>IF(NOT(Paths!$C$391=1),0,IF(Paths!$P$391="Complete",SUM(G4240:I4240)-J4240-K4240-L4240+M4240+IF(C4240=0,Paths!$F$391,0)+IF(IF(Paths!$E$391=0,C4240=0,AND(C4240&gt;0,Paths!$E$391&gt;(C4240-1)*12,Paths!$E$391&lt;=C4240*12)),VLOOKUP(A4240,'Fleet register'!$A$7:$S$106,16,FALSE),0),"n.a."))</f>
        <v>0</v>
      </c>
      <c r="O4240" s="16">
        <f>IF(NOT(Paths!$C$391=1),0,IF(Paths!$P$391="Complete",N4240-IF(C4240=0,Paths!$F$391,0),"n.a."))</f>
        <v>0</v>
      </c>
      <c r="P4240" s="16">
        <f>IF(NOT(Paths!$C$391=1),0,IF(Paths!$P$391="Complete",O4240+L4240,"n.a."))</f>
        <v>0</v>
      </c>
      <c r="Q4240" s="16">
        <f>IF(NOT(Paths!$C$391=1),0,IF(Paths!$P$391="Complete",N4240*(1+'Operating costs'!$B$54)^-C4240,"n.a."))</f>
        <v>0</v>
      </c>
      <c r="R4240" s="16">
        <f>IF(NOT(Paths!$C$391=1),0,IF(Paths!$P$391="Complete",IF(AND(C4240=0,Paths!$E$391=0),I4240-J4240-K4240+VLOOKUP(A4240,'Fleet register'!$A$7:$S$106,15,FALSE)+VLOOKUP(A4240,'Fleet register'!$A$7:$S$106,16,FALSE),0),"n.a."))</f>
        <v>0</v>
      </c>
      <c r="S4240" s="1">
        <f>IF(NOT(Paths!$C$391=1),0,IF(Paths!$P$391="Complete",IF(C4240=0,0,Paths!$S$391*Paths!$R$391),"n.a."))</f>
        <v>0</v>
      </c>
      <c r="T4240" s="1">
        <f>IF(NOT(Paths!$C$391=1),0,IF(Paths!$P$391="Complete",IF(C4240=0,0,VLOOKUP(A4240,'Fleet register'!$A$7:$S$106,9,FALSE)*Paths!$R$391),"n.a."))</f>
        <v>0</v>
      </c>
    </row>
    <row r="4241" spans="1:20" ht="24" customHeight="1">
      <c r="A4241" s="1" t="str">
        <f>Paths!$A$391</f>
        <v>T097</v>
      </c>
      <c r="B4241" s="1">
        <f>Paths!$B$391</f>
        <v>0</v>
      </c>
      <c r="C4241" s="1">
        <v>10</v>
      </c>
      <c r="D4241" s="1">
        <v>391</v>
      </c>
      <c r="E4241" s="1">
        <f>IF(OR(Paths!$C$391=0,C4241=0),0,MAX(0,MIN(C4241*12,Paths!$E$391)-(C4241-1)*12))</f>
        <v>0</v>
      </c>
      <c r="F4241" s="1">
        <f>IF(OR(Paths!$C$391=0,C4241=0),0,12-E4241)</f>
        <v>0</v>
      </c>
      <c r="G4241" s="16">
        <f>IF(NOT(Paths!$C$391=1),0,IF(Paths!$P$391="Complete",E4241/12*(Paths!$J$391*(1+'Operating costs'!$B$51)^MAX(0,C4241-1)+Paths!$K$391*(1+'Operating costs'!$B$53)^MAX(0,C4241-1)),"n.a."))</f>
        <v>0</v>
      </c>
      <c r="H4241" s="16">
        <f>IF(NOT(Paths!$C$391=1),0,IF(Paths!$P$391="Complete",F4241/12*(Paths!$L$391*(1+IF(Paths!$D$391="EV",'Operating costs'!$B$52,'Operating costs'!$B$51))^MAX(0,C4241-1)+Paths!$M$391*(1+'Operating costs'!$B$53)^MAX(0,C4241-1)),"n.a."))</f>
        <v>0</v>
      </c>
      <c r="I4241" s="16">
        <f>IF(NOT(Paths!$C$391=1),0,IF(Paths!$P$391="Complete",IF(IF(Paths!$E$391=0,C4241=0,AND(C4241&gt;0,Paths!$E$391&gt;(C4241-1)*12,Paths!$E$391&lt;=C4241*12)),Paths!$G$391,0),"n.a."))</f>
        <v>0</v>
      </c>
      <c r="J4241" s="16">
        <f>IF(NOT(Paths!$C$391=1),0,IF(Paths!$P$391="Complete",IF(IF(Paths!$E$391=0,C4241=0,AND(C4241&gt;0,Paths!$E$391&gt;(C4241-1)*12,Paths!$E$391&lt;=C4241*12)),Paths!$H$391,0),"n.a."))</f>
        <v>0</v>
      </c>
      <c r="K4241" s="16">
        <f>IF(NOT(Paths!$C$391=1),0,IF(Paths!$P$391="Complete",IF(IF(Paths!$O$391=0,C4241=0,AND(C4241&gt;0,Paths!$O$391&gt;(C4241-1)*12,Paths!$O$391&lt;=C4241*12)),Paths!$N$391,0),"n.a."))</f>
        <v>0</v>
      </c>
      <c r="L4241" s="16">
        <f>IF(NOT(Paths!$C$391=1),0,IF(Paths!$P$391="Complete",IF(C4241=10,Paths!$I$391,0),"n.a."))</f>
        <v>0</v>
      </c>
      <c r="M4241" s="16">
        <f>IF(NOT(Paths!$C$391=1),0,IF(Paths!$P$391="Complete",IF(AND(Paths!$D$391="EV",Paths!$E$391&lt;120,Paths!$E$391+'Operating costs'!$B$65&gt;Paths!$E$391,Paths!$E$391+'Operating costs'!$B$65&lt;=120,IF(Paths!$E$391+'Operating costs'!$B$65=0,C4241=0,AND(C4241&gt;0,Paths!$E$391+'Operating costs'!$B$65&gt;(C4241-1)*12,Paths!$E$391+'Operating costs'!$B$65&lt;=C4241*12))),'Operating costs'!$B$64,0)+IF(AND('Operating costs'!$B$67&gt;0,'Operating costs'!$B$67&lt;=120,OR(Paths!$D$391="ICE",'Operating costs'!$B$67&lt;=Paths!$E$391),IF('Operating costs'!$B$67=0,C4241=0,AND(C4241&gt;0,'Operating costs'!$B$67&gt;(C4241-1)*12,'Operating costs'!$B$67&lt;=C4241*12))),'Operating costs'!$B$66,0),"n.a."))</f>
        <v>0</v>
      </c>
      <c r="N4241" s="16">
        <f>IF(NOT(Paths!$C$391=1),0,IF(Paths!$P$391="Complete",SUM(G4241:I4241)-J4241-K4241-L4241+M4241+IF(C4241=0,Paths!$F$391,0)+IF(IF(Paths!$E$391=0,C4241=0,AND(C4241&gt;0,Paths!$E$391&gt;(C4241-1)*12,Paths!$E$391&lt;=C4241*12)),VLOOKUP(A4241,'Fleet register'!$A$7:$S$106,16,FALSE),0),"n.a."))</f>
        <v>0</v>
      </c>
      <c r="O4241" s="16">
        <f>IF(NOT(Paths!$C$391=1),0,IF(Paths!$P$391="Complete",N4241-IF(C4241=0,Paths!$F$391,0),"n.a."))</f>
        <v>0</v>
      </c>
      <c r="P4241" s="16">
        <f>IF(NOT(Paths!$C$391=1),0,IF(Paths!$P$391="Complete",O4241+L4241,"n.a."))</f>
        <v>0</v>
      </c>
      <c r="Q4241" s="16">
        <f>IF(NOT(Paths!$C$391=1),0,IF(Paths!$P$391="Complete",N4241*(1+'Operating costs'!$B$54)^-C4241,"n.a."))</f>
        <v>0</v>
      </c>
      <c r="R4241" s="16">
        <f>IF(NOT(Paths!$C$391=1),0,IF(Paths!$P$391="Complete",IF(AND(C4241=0,Paths!$E$391=0),I4241-J4241-K4241+VLOOKUP(A4241,'Fleet register'!$A$7:$S$106,15,FALSE)+VLOOKUP(A4241,'Fleet register'!$A$7:$S$106,16,FALSE),0),"n.a."))</f>
        <v>0</v>
      </c>
      <c r="S4241" s="1">
        <f>IF(NOT(Paths!$C$391=1),0,IF(Paths!$P$391="Complete",IF(C4241=0,0,Paths!$S$391*Paths!$R$391),"n.a."))</f>
        <v>0</v>
      </c>
      <c r="T4241" s="1">
        <f>IF(NOT(Paths!$C$391=1),0,IF(Paths!$P$391="Complete",IF(C4241=0,0,VLOOKUP(A4241,'Fleet register'!$A$7:$S$106,9,FALSE)*Paths!$R$391),"n.a."))</f>
        <v>0</v>
      </c>
    </row>
    <row r="4242" spans="1:20" ht="24" customHeight="1">
      <c r="A4242" s="1" t="str">
        <f>Paths!$A$392</f>
        <v>T097</v>
      </c>
      <c r="B4242" s="1">
        <f>Paths!$B$392</f>
        <v>1</v>
      </c>
      <c r="C4242" s="1">
        <v>0</v>
      </c>
      <c r="D4242" s="1">
        <v>392</v>
      </c>
      <c r="E4242" s="1">
        <f>IF(OR(Paths!$C$392=0,C4242=0),0,MAX(0,MIN(C4242*12,Paths!$E$392)-(C4242-1)*12))</f>
        <v>0</v>
      </c>
      <c r="F4242" s="1">
        <f>IF(OR(Paths!$C$392=0,C4242=0),0,12-E4242)</f>
        <v>0</v>
      </c>
      <c r="G4242" s="16">
        <f>IF(NOT(Paths!$C$392=1),0,IF(Paths!$P$392="Complete",E4242/12*(Paths!$J$392*(1+'Operating costs'!$B$51)^MAX(0,C4242-1)+Paths!$K$392*(1+'Operating costs'!$B$53)^MAX(0,C4242-1)),"n.a."))</f>
        <v>0</v>
      </c>
      <c r="H4242" s="16">
        <f>IF(NOT(Paths!$C$392=1),0,IF(Paths!$P$392="Complete",F4242/12*(Paths!$L$392*(1+IF(Paths!$D$392="EV",'Operating costs'!$B$52,'Operating costs'!$B$51))^MAX(0,C4242-1)+Paths!$M$392*(1+'Operating costs'!$B$53)^MAX(0,C4242-1)),"n.a."))</f>
        <v>0</v>
      </c>
      <c r="I4242" s="16">
        <f>IF(NOT(Paths!$C$392=1),0,IF(Paths!$P$392="Complete",IF(IF(Paths!$E$392=0,C4242=0,AND(C4242&gt;0,Paths!$E$392&gt;(C4242-1)*12,Paths!$E$392&lt;=C4242*12)),Paths!$G$392,0),"n.a."))</f>
        <v>0</v>
      </c>
      <c r="J4242" s="16">
        <f>IF(NOT(Paths!$C$392=1),0,IF(Paths!$P$392="Complete",IF(IF(Paths!$E$392=0,C4242=0,AND(C4242&gt;0,Paths!$E$392&gt;(C4242-1)*12,Paths!$E$392&lt;=C4242*12)),Paths!$H$392,0),"n.a."))</f>
        <v>0</v>
      </c>
      <c r="K4242" s="16">
        <f>IF(NOT(Paths!$C$392=1),0,IF(Paths!$P$392="Complete",IF(IF(Paths!$O$392=0,C4242=0,AND(C4242&gt;0,Paths!$O$392&gt;(C4242-1)*12,Paths!$O$392&lt;=C4242*12)),Paths!$N$392,0),"n.a."))</f>
        <v>0</v>
      </c>
      <c r="L4242" s="16">
        <f>IF(NOT(Paths!$C$392=1),0,IF(Paths!$P$392="Complete",IF(C4242=10,Paths!$I$392,0),"n.a."))</f>
        <v>0</v>
      </c>
      <c r="M4242" s="16">
        <f>IF(NOT(Paths!$C$392=1),0,IF(Paths!$P$392="Complete",IF(AND(Paths!$D$392="EV",Paths!$E$392&lt;120,Paths!$E$392+'Operating costs'!$B$65&gt;Paths!$E$392,Paths!$E$392+'Operating costs'!$B$65&lt;=120,IF(Paths!$E$392+'Operating costs'!$B$65=0,C4242=0,AND(C4242&gt;0,Paths!$E$392+'Operating costs'!$B$65&gt;(C4242-1)*12,Paths!$E$392+'Operating costs'!$B$65&lt;=C4242*12))),'Operating costs'!$B$64,0)+IF(AND('Operating costs'!$B$67&gt;0,'Operating costs'!$B$67&lt;=120,OR(Paths!$D$392="ICE",'Operating costs'!$B$67&lt;=Paths!$E$392),IF('Operating costs'!$B$67=0,C4242=0,AND(C4242&gt;0,'Operating costs'!$B$67&gt;(C4242-1)*12,'Operating costs'!$B$67&lt;=C4242*12))),'Operating costs'!$B$66,0),"n.a."))</f>
        <v>0</v>
      </c>
      <c r="N4242" s="16">
        <f>IF(NOT(Paths!$C$392=1),0,IF(Paths!$P$392="Complete",SUM(G4242:I4242)-J4242-K4242-L4242+M4242+IF(C4242=0,Paths!$F$392,0)+IF(IF(Paths!$E$392=0,C4242=0,AND(C4242&gt;0,Paths!$E$392&gt;(C4242-1)*12,Paths!$E$392&lt;=C4242*12)),VLOOKUP(A4242,'Fleet register'!$A$7:$S$106,16,FALSE),0),"n.a."))</f>
        <v>0</v>
      </c>
      <c r="O4242" s="16">
        <f>IF(NOT(Paths!$C$392=1),0,IF(Paths!$P$392="Complete",N4242-IF(C4242=0,Paths!$F$392,0),"n.a."))</f>
        <v>0</v>
      </c>
      <c r="P4242" s="16">
        <f>IF(NOT(Paths!$C$392=1),0,IF(Paths!$P$392="Complete",O4242+L4242,"n.a."))</f>
        <v>0</v>
      </c>
      <c r="Q4242" s="16">
        <f>IF(NOT(Paths!$C$392=1),0,IF(Paths!$P$392="Complete",N4242*(1+'Operating costs'!$B$54)^-C4242,"n.a."))</f>
        <v>0</v>
      </c>
      <c r="R4242" s="16">
        <f>IF(NOT(Paths!$C$392=1),0,IF(Paths!$P$392="Complete",IF(AND(C4242=0,Paths!$E$392=0),I4242-J4242-K4242+VLOOKUP(A4242,'Fleet register'!$A$7:$S$106,15,FALSE)+VLOOKUP(A4242,'Fleet register'!$A$7:$S$106,16,FALSE),0),"n.a."))</f>
        <v>0</v>
      </c>
      <c r="S4242" s="1">
        <f>IF(NOT(Paths!$C$392=1),0,IF(Paths!$P$392="Complete",IF(C4242=0,0,Paths!$S$392*Paths!$R$392),"n.a."))</f>
        <v>0</v>
      </c>
      <c r="T4242" s="1">
        <f>IF(NOT(Paths!$C$392=1),0,IF(Paths!$P$392="Complete",IF(C4242=0,0,VLOOKUP(A4242,'Fleet register'!$A$7:$S$106,9,FALSE)*Paths!$R$392),"n.a."))</f>
        <v>0</v>
      </c>
    </row>
    <row r="4243" spans="1:20" ht="24" customHeight="1">
      <c r="A4243" s="1" t="str">
        <f>Paths!$A$392</f>
        <v>T097</v>
      </c>
      <c r="B4243" s="1">
        <f>Paths!$B$392</f>
        <v>1</v>
      </c>
      <c r="C4243" s="1">
        <v>1</v>
      </c>
      <c r="D4243" s="1">
        <v>392</v>
      </c>
      <c r="E4243" s="1">
        <f>IF(OR(Paths!$C$392=0,C4243=0),0,MAX(0,MIN(C4243*12,Paths!$E$392)-(C4243-1)*12))</f>
        <v>0</v>
      </c>
      <c r="F4243" s="1">
        <f>IF(OR(Paths!$C$392=0,C4243=0),0,12-E4243)</f>
        <v>0</v>
      </c>
      <c r="G4243" s="16">
        <f>IF(NOT(Paths!$C$392=1),0,IF(Paths!$P$392="Complete",E4243/12*(Paths!$J$392*(1+'Operating costs'!$B$51)^MAX(0,C4243-1)+Paths!$K$392*(1+'Operating costs'!$B$53)^MAX(0,C4243-1)),"n.a."))</f>
        <v>0</v>
      </c>
      <c r="H4243" s="16">
        <f>IF(NOT(Paths!$C$392=1),0,IF(Paths!$P$392="Complete",F4243/12*(Paths!$L$392*(1+IF(Paths!$D$392="EV",'Operating costs'!$B$52,'Operating costs'!$B$51))^MAX(0,C4243-1)+Paths!$M$392*(1+'Operating costs'!$B$53)^MAX(0,C4243-1)),"n.a."))</f>
        <v>0</v>
      </c>
      <c r="I4243" s="16">
        <f>IF(NOT(Paths!$C$392=1),0,IF(Paths!$P$392="Complete",IF(IF(Paths!$E$392=0,C4243=0,AND(C4243&gt;0,Paths!$E$392&gt;(C4243-1)*12,Paths!$E$392&lt;=C4243*12)),Paths!$G$392,0),"n.a."))</f>
        <v>0</v>
      </c>
      <c r="J4243" s="16">
        <f>IF(NOT(Paths!$C$392=1),0,IF(Paths!$P$392="Complete",IF(IF(Paths!$E$392=0,C4243=0,AND(C4243&gt;0,Paths!$E$392&gt;(C4243-1)*12,Paths!$E$392&lt;=C4243*12)),Paths!$H$392,0),"n.a."))</f>
        <v>0</v>
      </c>
      <c r="K4243" s="16">
        <f>IF(NOT(Paths!$C$392=1),0,IF(Paths!$P$392="Complete",IF(IF(Paths!$O$392=0,C4243=0,AND(C4243&gt;0,Paths!$O$392&gt;(C4243-1)*12,Paths!$O$392&lt;=C4243*12)),Paths!$N$392,0),"n.a."))</f>
        <v>0</v>
      </c>
      <c r="L4243" s="16">
        <f>IF(NOT(Paths!$C$392=1),0,IF(Paths!$P$392="Complete",IF(C4243=10,Paths!$I$392,0),"n.a."))</f>
        <v>0</v>
      </c>
      <c r="M4243" s="16">
        <f>IF(NOT(Paths!$C$392=1),0,IF(Paths!$P$392="Complete",IF(AND(Paths!$D$392="EV",Paths!$E$392&lt;120,Paths!$E$392+'Operating costs'!$B$65&gt;Paths!$E$392,Paths!$E$392+'Operating costs'!$B$65&lt;=120,IF(Paths!$E$392+'Operating costs'!$B$65=0,C4243=0,AND(C4243&gt;0,Paths!$E$392+'Operating costs'!$B$65&gt;(C4243-1)*12,Paths!$E$392+'Operating costs'!$B$65&lt;=C4243*12))),'Operating costs'!$B$64,0)+IF(AND('Operating costs'!$B$67&gt;0,'Operating costs'!$B$67&lt;=120,OR(Paths!$D$392="ICE",'Operating costs'!$B$67&lt;=Paths!$E$392),IF('Operating costs'!$B$67=0,C4243=0,AND(C4243&gt;0,'Operating costs'!$B$67&gt;(C4243-1)*12,'Operating costs'!$B$67&lt;=C4243*12))),'Operating costs'!$B$66,0),"n.a."))</f>
        <v>0</v>
      </c>
      <c r="N4243" s="16">
        <f>IF(NOT(Paths!$C$392=1),0,IF(Paths!$P$392="Complete",SUM(G4243:I4243)-J4243-K4243-L4243+M4243+IF(C4243=0,Paths!$F$392,0)+IF(IF(Paths!$E$392=0,C4243=0,AND(C4243&gt;0,Paths!$E$392&gt;(C4243-1)*12,Paths!$E$392&lt;=C4243*12)),VLOOKUP(A4243,'Fleet register'!$A$7:$S$106,16,FALSE),0),"n.a."))</f>
        <v>0</v>
      </c>
      <c r="O4243" s="16">
        <f>IF(NOT(Paths!$C$392=1),0,IF(Paths!$P$392="Complete",N4243-IF(C4243=0,Paths!$F$392,0),"n.a."))</f>
        <v>0</v>
      </c>
      <c r="P4243" s="16">
        <f>IF(NOT(Paths!$C$392=1),0,IF(Paths!$P$392="Complete",O4243+L4243,"n.a."))</f>
        <v>0</v>
      </c>
      <c r="Q4243" s="16">
        <f>IF(NOT(Paths!$C$392=1),0,IF(Paths!$P$392="Complete",N4243*(1+'Operating costs'!$B$54)^-C4243,"n.a."))</f>
        <v>0</v>
      </c>
      <c r="R4243" s="16">
        <f>IF(NOT(Paths!$C$392=1),0,IF(Paths!$P$392="Complete",IF(AND(C4243=0,Paths!$E$392=0),I4243-J4243-K4243+VLOOKUP(A4243,'Fleet register'!$A$7:$S$106,15,FALSE)+VLOOKUP(A4243,'Fleet register'!$A$7:$S$106,16,FALSE),0),"n.a."))</f>
        <v>0</v>
      </c>
      <c r="S4243" s="1">
        <f>IF(NOT(Paths!$C$392=1),0,IF(Paths!$P$392="Complete",IF(C4243=0,0,Paths!$S$392*Paths!$R$392),"n.a."))</f>
        <v>0</v>
      </c>
      <c r="T4243" s="1">
        <f>IF(NOT(Paths!$C$392=1),0,IF(Paths!$P$392="Complete",IF(C4243=0,0,VLOOKUP(A4243,'Fleet register'!$A$7:$S$106,9,FALSE)*Paths!$R$392),"n.a."))</f>
        <v>0</v>
      </c>
    </row>
    <row r="4244" spans="1:20" ht="24" customHeight="1">
      <c r="A4244" s="1" t="str">
        <f>Paths!$A$392</f>
        <v>T097</v>
      </c>
      <c r="B4244" s="1">
        <f>Paths!$B$392</f>
        <v>1</v>
      </c>
      <c r="C4244" s="1">
        <v>2</v>
      </c>
      <c r="D4244" s="1">
        <v>392</v>
      </c>
      <c r="E4244" s="1">
        <f>IF(OR(Paths!$C$392=0,C4244=0),0,MAX(0,MIN(C4244*12,Paths!$E$392)-(C4244-1)*12))</f>
        <v>0</v>
      </c>
      <c r="F4244" s="1">
        <f>IF(OR(Paths!$C$392=0,C4244=0),0,12-E4244)</f>
        <v>0</v>
      </c>
      <c r="G4244" s="16">
        <f>IF(NOT(Paths!$C$392=1),0,IF(Paths!$P$392="Complete",E4244/12*(Paths!$J$392*(1+'Operating costs'!$B$51)^MAX(0,C4244-1)+Paths!$K$392*(1+'Operating costs'!$B$53)^MAX(0,C4244-1)),"n.a."))</f>
        <v>0</v>
      </c>
      <c r="H4244" s="16">
        <f>IF(NOT(Paths!$C$392=1),0,IF(Paths!$P$392="Complete",F4244/12*(Paths!$L$392*(1+IF(Paths!$D$392="EV",'Operating costs'!$B$52,'Operating costs'!$B$51))^MAX(0,C4244-1)+Paths!$M$392*(1+'Operating costs'!$B$53)^MAX(0,C4244-1)),"n.a."))</f>
        <v>0</v>
      </c>
      <c r="I4244" s="16">
        <f>IF(NOT(Paths!$C$392=1),0,IF(Paths!$P$392="Complete",IF(IF(Paths!$E$392=0,C4244=0,AND(C4244&gt;0,Paths!$E$392&gt;(C4244-1)*12,Paths!$E$392&lt;=C4244*12)),Paths!$G$392,0),"n.a."))</f>
        <v>0</v>
      </c>
      <c r="J4244" s="16">
        <f>IF(NOT(Paths!$C$392=1),0,IF(Paths!$P$392="Complete",IF(IF(Paths!$E$392=0,C4244=0,AND(C4244&gt;0,Paths!$E$392&gt;(C4244-1)*12,Paths!$E$392&lt;=C4244*12)),Paths!$H$392,0),"n.a."))</f>
        <v>0</v>
      </c>
      <c r="K4244" s="16">
        <f>IF(NOT(Paths!$C$392=1),0,IF(Paths!$P$392="Complete",IF(IF(Paths!$O$392=0,C4244=0,AND(C4244&gt;0,Paths!$O$392&gt;(C4244-1)*12,Paths!$O$392&lt;=C4244*12)),Paths!$N$392,0),"n.a."))</f>
        <v>0</v>
      </c>
      <c r="L4244" s="16">
        <f>IF(NOT(Paths!$C$392=1),0,IF(Paths!$P$392="Complete",IF(C4244=10,Paths!$I$392,0),"n.a."))</f>
        <v>0</v>
      </c>
      <c r="M4244" s="16">
        <f>IF(NOT(Paths!$C$392=1),0,IF(Paths!$P$392="Complete",IF(AND(Paths!$D$392="EV",Paths!$E$392&lt;120,Paths!$E$392+'Operating costs'!$B$65&gt;Paths!$E$392,Paths!$E$392+'Operating costs'!$B$65&lt;=120,IF(Paths!$E$392+'Operating costs'!$B$65=0,C4244=0,AND(C4244&gt;0,Paths!$E$392+'Operating costs'!$B$65&gt;(C4244-1)*12,Paths!$E$392+'Operating costs'!$B$65&lt;=C4244*12))),'Operating costs'!$B$64,0)+IF(AND('Operating costs'!$B$67&gt;0,'Operating costs'!$B$67&lt;=120,OR(Paths!$D$392="ICE",'Operating costs'!$B$67&lt;=Paths!$E$392),IF('Operating costs'!$B$67=0,C4244=0,AND(C4244&gt;0,'Operating costs'!$B$67&gt;(C4244-1)*12,'Operating costs'!$B$67&lt;=C4244*12))),'Operating costs'!$B$66,0),"n.a."))</f>
        <v>0</v>
      </c>
      <c r="N4244" s="16">
        <f>IF(NOT(Paths!$C$392=1),0,IF(Paths!$P$392="Complete",SUM(G4244:I4244)-J4244-K4244-L4244+M4244+IF(C4244=0,Paths!$F$392,0)+IF(IF(Paths!$E$392=0,C4244=0,AND(C4244&gt;0,Paths!$E$392&gt;(C4244-1)*12,Paths!$E$392&lt;=C4244*12)),VLOOKUP(A4244,'Fleet register'!$A$7:$S$106,16,FALSE),0),"n.a."))</f>
        <v>0</v>
      </c>
      <c r="O4244" s="16">
        <f>IF(NOT(Paths!$C$392=1),0,IF(Paths!$P$392="Complete",N4244-IF(C4244=0,Paths!$F$392,0),"n.a."))</f>
        <v>0</v>
      </c>
      <c r="P4244" s="16">
        <f>IF(NOT(Paths!$C$392=1),0,IF(Paths!$P$392="Complete",O4244+L4244,"n.a."))</f>
        <v>0</v>
      </c>
      <c r="Q4244" s="16">
        <f>IF(NOT(Paths!$C$392=1),0,IF(Paths!$P$392="Complete",N4244*(1+'Operating costs'!$B$54)^-C4244,"n.a."))</f>
        <v>0</v>
      </c>
      <c r="R4244" s="16">
        <f>IF(NOT(Paths!$C$392=1),0,IF(Paths!$P$392="Complete",IF(AND(C4244=0,Paths!$E$392=0),I4244-J4244-K4244+VLOOKUP(A4244,'Fleet register'!$A$7:$S$106,15,FALSE)+VLOOKUP(A4244,'Fleet register'!$A$7:$S$106,16,FALSE),0),"n.a."))</f>
        <v>0</v>
      </c>
      <c r="S4244" s="1">
        <f>IF(NOT(Paths!$C$392=1),0,IF(Paths!$P$392="Complete",IF(C4244=0,0,Paths!$S$392*Paths!$R$392),"n.a."))</f>
        <v>0</v>
      </c>
      <c r="T4244" s="1">
        <f>IF(NOT(Paths!$C$392=1),0,IF(Paths!$P$392="Complete",IF(C4244=0,0,VLOOKUP(A4244,'Fleet register'!$A$7:$S$106,9,FALSE)*Paths!$R$392),"n.a."))</f>
        <v>0</v>
      </c>
    </row>
    <row r="4245" spans="1:20" ht="24" customHeight="1">
      <c r="A4245" s="1" t="str">
        <f>Paths!$A$392</f>
        <v>T097</v>
      </c>
      <c r="B4245" s="1">
        <f>Paths!$B$392</f>
        <v>1</v>
      </c>
      <c r="C4245" s="1">
        <v>3</v>
      </c>
      <c r="D4245" s="1">
        <v>392</v>
      </c>
      <c r="E4245" s="1">
        <f>IF(OR(Paths!$C$392=0,C4245=0),0,MAX(0,MIN(C4245*12,Paths!$E$392)-(C4245-1)*12))</f>
        <v>0</v>
      </c>
      <c r="F4245" s="1">
        <f>IF(OR(Paths!$C$392=0,C4245=0),0,12-E4245)</f>
        <v>0</v>
      </c>
      <c r="G4245" s="16">
        <f>IF(NOT(Paths!$C$392=1),0,IF(Paths!$P$392="Complete",E4245/12*(Paths!$J$392*(1+'Operating costs'!$B$51)^MAX(0,C4245-1)+Paths!$K$392*(1+'Operating costs'!$B$53)^MAX(0,C4245-1)),"n.a."))</f>
        <v>0</v>
      </c>
      <c r="H4245" s="16">
        <f>IF(NOT(Paths!$C$392=1),0,IF(Paths!$P$392="Complete",F4245/12*(Paths!$L$392*(1+IF(Paths!$D$392="EV",'Operating costs'!$B$52,'Operating costs'!$B$51))^MAX(0,C4245-1)+Paths!$M$392*(1+'Operating costs'!$B$53)^MAX(0,C4245-1)),"n.a."))</f>
        <v>0</v>
      </c>
      <c r="I4245" s="16">
        <f>IF(NOT(Paths!$C$392=1),0,IF(Paths!$P$392="Complete",IF(IF(Paths!$E$392=0,C4245=0,AND(C4245&gt;0,Paths!$E$392&gt;(C4245-1)*12,Paths!$E$392&lt;=C4245*12)),Paths!$G$392,0),"n.a."))</f>
        <v>0</v>
      </c>
      <c r="J4245" s="16">
        <f>IF(NOT(Paths!$C$392=1),0,IF(Paths!$P$392="Complete",IF(IF(Paths!$E$392=0,C4245=0,AND(C4245&gt;0,Paths!$E$392&gt;(C4245-1)*12,Paths!$E$392&lt;=C4245*12)),Paths!$H$392,0),"n.a."))</f>
        <v>0</v>
      </c>
      <c r="K4245" s="16">
        <f>IF(NOT(Paths!$C$392=1),0,IF(Paths!$P$392="Complete",IF(IF(Paths!$O$392=0,C4245=0,AND(C4245&gt;0,Paths!$O$392&gt;(C4245-1)*12,Paths!$O$392&lt;=C4245*12)),Paths!$N$392,0),"n.a."))</f>
        <v>0</v>
      </c>
      <c r="L4245" s="16">
        <f>IF(NOT(Paths!$C$392=1),0,IF(Paths!$P$392="Complete",IF(C4245=10,Paths!$I$392,0),"n.a."))</f>
        <v>0</v>
      </c>
      <c r="M4245" s="16">
        <f>IF(NOT(Paths!$C$392=1),0,IF(Paths!$P$392="Complete",IF(AND(Paths!$D$392="EV",Paths!$E$392&lt;120,Paths!$E$392+'Operating costs'!$B$65&gt;Paths!$E$392,Paths!$E$392+'Operating costs'!$B$65&lt;=120,IF(Paths!$E$392+'Operating costs'!$B$65=0,C4245=0,AND(C4245&gt;0,Paths!$E$392+'Operating costs'!$B$65&gt;(C4245-1)*12,Paths!$E$392+'Operating costs'!$B$65&lt;=C4245*12))),'Operating costs'!$B$64,0)+IF(AND('Operating costs'!$B$67&gt;0,'Operating costs'!$B$67&lt;=120,OR(Paths!$D$392="ICE",'Operating costs'!$B$67&lt;=Paths!$E$392),IF('Operating costs'!$B$67=0,C4245=0,AND(C4245&gt;0,'Operating costs'!$B$67&gt;(C4245-1)*12,'Operating costs'!$B$67&lt;=C4245*12))),'Operating costs'!$B$66,0),"n.a."))</f>
        <v>0</v>
      </c>
      <c r="N4245" s="16">
        <f>IF(NOT(Paths!$C$392=1),0,IF(Paths!$P$392="Complete",SUM(G4245:I4245)-J4245-K4245-L4245+M4245+IF(C4245=0,Paths!$F$392,0)+IF(IF(Paths!$E$392=0,C4245=0,AND(C4245&gt;0,Paths!$E$392&gt;(C4245-1)*12,Paths!$E$392&lt;=C4245*12)),VLOOKUP(A4245,'Fleet register'!$A$7:$S$106,16,FALSE),0),"n.a."))</f>
        <v>0</v>
      </c>
      <c r="O4245" s="16">
        <f>IF(NOT(Paths!$C$392=1),0,IF(Paths!$P$392="Complete",N4245-IF(C4245=0,Paths!$F$392,0),"n.a."))</f>
        <v>0</v>
      </c>
      <c r="P4245" s="16">
        <f>IF(NOT(Paths!$C$392=1),0,IF(Paths!$P$392="Complete",O4245+L4245,"n.a."))</f>
        <v>0</v>
      </c>
      <c r="Q4245" s="16">
        <f>IF(NOT(Paths!$C$392=1),0,IF(Paths!$P$392="Complete",N4245*(1+'Operating costs'!$B$54)^-C4245,"n.a."))</f>
        <v>0</v>
      </c>
      <c r="R4245" s="16">
        <f>IF(NOT(Paths!$C$392=1),0,IF(Paths!$P$392="Complete",IF(AND(C4245=0,Paths!$E$392=0),I4245-J4245-K4245+VLOOKUP(A4245,'Fleet register'!$A$7:$S$106,15,FALSE)+VLOOKUP(A4245,'Fleet register'!$A$7:$S$106,16,FALSE),0),"n.a."))</f>
        <v>0</v>
      </c>
      <c r="S4245" s="1">
        <f>IF(NOT(Paths!$C$392=1),0,IF(Paths!$P$392="Complete",IF(C4245=0,0,Paths!$S$392*Paths!$R$392),"n.a."))</f>
        <v>0</v>
      </c>
      <c r="T4245" s="1">
        <f>IF(NOT(Paths!$C$392=1),0,IF(Paths!$P$392="Complete",IF(C4245=0,0,VLOOKUP(A4245,'Fleet register'!$A$7:$S$106,9,FALSE)*Paths!$R$392),"n.a."))</f>
        <v>0</v>
      </c>
    </row>
    <row r="4246" spans="1:20" ht="24" customHeight="1">
      <c r="A4246" s="1" t="str">
        <f>Paths!$A$392</f>
        <v>T097</v>
      </c>
      <c r="B4246" s="1">
        <f>Paths!$B$392</f>
        <v>1</v>
      </c>
      <c r="C4246" s="1">
        <v>4</v>
      </c>
      <c r="D4246" s="1">
        <v>392</v>
      </c>
      <c r="E4246" s="1">
        <f>IF(OR(Paths!$C$392=0,C4246=0),0,MAX(0,MIN(C4246*12,Paths!$E$392)-(C4246-1)*12))</f>
        <v>0</v>
      </c>
      <c r="F4246" s="1">
        <f>IF(OR(Paths!$C$392=0,C4246=0),0,12-E4246)</f>
        <v>0</v>
      </c>
      <c r="G4246" s="16">
        <f>IF(NOT(Paths!$C$392=1),0,IF(Paths!$P$392="Complete",E4246/12*(Paths!$J$392*(1+'Operating costs'!$B$51)^MAX(0,C4246-1)+Paths!$K$392*(1+'Operating costs'!$B$53)^MAX(0,C4246-1)),"n.a."))</f>
        <v>0</v>
      </c>
      <c r="H4246" s="16">
        <f>IF(NOT(Paths!$C$392=1),0,IF(Paths!$P$392="Complete",F4246/12*(Paths!$L$392*(1+IF(Paths!$D$392="EV",'Operating costs'!$B$52,'Operating costs'!$B$51))^MAX(0,C4246-1)+Paths!$M$392*(1+'Operating costs'!$B$53)^MAX(0,C4246-1)),"n.a."))</f>
        <v>0</v>
      </c>
      <c r="I4246" s="16">
        <f>IF(NOT(Paths!$C$392=1),0,IF(Paths!$P$392="Complete",IF(IF(Paths!$E$392=0,C4246=0,AND(C4246&gt;0,Paths!$E$392&gt;(C4246-1)*12,Paths!$E$392&lt;=C4246*12)),Paths!$G$392,0),"n.a."))</f>
        <v>0</v>
      </c>
      <c r="J4246" s="16">
        <f>IF(NOT(Paths!$C$392=1),0,IF(Paths!$P$392="Complete",IF(IF(Paths!$E$392=0,C4246=0,AND(C4246&gt;0,Paths!$E$392&gt;(C4246-1)*12,Paths!$E$392&lt;=C4246*12)),Paths!$H$392,0),"n.a."))</f>
        <v>0</v>
      </c>
      <c r="K4246" s="16">
        <f>IF(NOT(Paths!$C$392=1),0,IF(Paths!$P$392="Complete",IF(IF(Paths!$O$392=0,C4246=0,AND(C4246&gt;0,Paths!$O$392&gt;(C4246-1)*12,Paths!$O$392&lt;=C4246*12)),Paths!$N$392,0),"n.a."))</f>
        <v>0</v>
      </c>
      <c r="L4246" s="16">
        <f>IF(NOT(Paths!$C$392=1),0,IF(Paths!$P$392="Complete",IF(C4246=10,Paths!$I$392,0),"n.a."))</f>
        <v>0</v>
      </c>
      <c r="M4246" s="16">
        <f>IF(NOT(Paths!$C$392=1),0,IF(Paths!$P$392="Complete",IF(AND(Paths!$D$392="EV",Paths!$E$392&lt;120,Paths!$E$392+'Operating costs'!$B$65&gt;Paths!$E$392,Paths!$E$392+'Operating costs'!$B$65&lt;=120,IF(Paths!$E$392+'Operating costs'!$B$65=0,C4246=0,AND(C4246&gt;0,Paths!$E$392+'Operating costs'!$B$65&gt;(C4246-1)*12,Paths!$E$392+'Operating costs'!$B$65&lt;=C4246*12))),'Operating costs'!$B$64,0)+IF(AND('Operating costs'!$B$67&gt;0,'Operating costs'!$B$67&lt;=120,OR(Paths!$D$392="ICE",'Operating costs'!$B$67&lt;=Paths!$E$392),IF('Operating costs'!$B$67=0,C4246=0,AND(C4246&gt;0,'Operating costs'!$B$67&gt;(C4246-1)*12,'Operating costs'!$B$67&lt;=C4246*12))),'Operating costs'!$B$66,0),"n.a."))</f>
        <v>0</v>
      </c>
      <c r="N4246" s="16">
        <f>IF(NOT(Paths!$C$392=1),0,IF(Paths!$P$392="Complete",SUM(G4246:I4246)-J4246-K4246-L4246+M4246+IF(C4246=0,Paths!$F$392,0)+IF(IF(Paths!$E$392=0,C4246=0,AND(C4246&gt;0,Paths!$E$392&gt;(C4246-1)*12,Paths!$E$392&lt;=C4246*12)),VLOOKUP(A4246,'Fleet register'!$A$7:$S$106,16,FALSE),0),"n.a."))</f>
        <v>0</v>
      </c>
      <c r="O4246" s="16">
        <f>IF(NOT(Paths!$C$392=1),0,IF(Paths!$P$392="Complete",N4246-IF(C4246=0,Paths!$F$392,0),"n.a."))</f>
        <v>0</v>
      </c>
      <c r="P4246" s="16">
        <f>IF(NOT(Paths!$C$392=1),0,IF(Paths!$P$392="Complete",O4246+L4246,"n.a."))</f>
        <v>0</v>
      </c>
      <c r="Q4246" s="16">
        <f>IF(NOT(Paths!$C$392=1),0,IF(Paths!$P$392="Complete",N4246*(1+'Operating costs'!$B$54)^-C4246,"n.a."))</f>
        <v>0</v>
      </c>
      <c r="R4246" s="16">
        <f>IF(NOT(Paths!$C$392=1),0,IF(Paths!$P$392="Complete",IF(AND(C4246=0,Paths!$E$392=0),I4246-J4246-K4246+VLOOKUP(A4246,'Fleet register'!$A$7:$S$106,15,FALSE)+VLOOKUP(A4246,'Fleet register'!$A$7:$S$106,16,FALSE),0),"n.a."))</f>
        <v>0</v>
      </c>
      <c r="S4246" s="1">
        <f>IF(NOT(Paths!$C$392=1),0,IF(Paths!$P$392="Complete",IF(C4246=0,0,Paths!$S$392*Paths!$R$392),"n.a."))</f>
        <v>0</v>
      </c>
      <c r="T4246" s="1">
        <f>IF(NOT(Paths!$C$392=1),0,IF(Paths!$P$392="Complete",IF(C4246=0,0,VLOOKUP(A4246,'Fleet register'!$A$7:$S$106,9,FALSE)*Paths!$R$392),"n.a."))</f>
        <v>0</v>
      </c>
    </row>
    <row r="4247" spans="1:20" ht="24" customHeight="1">
      <c r="A4247" s="1" t="str">
        <f>Paths!$A$392</f>
        <v>T097</v>
      </c>
      <c r="B4247" s="1">
        <f>Paths!$B$392</f>
        <v>1</v>
      </c>
      <c r="C4247" s="1">
        <v>5</v>
      </c>
      <c r="D4247" s="1">
        <v>392</v>
      </c>
      <c r="E4247" s="1">
        <f>IF(OR(Paths!$C$392=0,C4247=0),0,MAX(0,MIN(C4247*12,Paths!$E$392)-(C4247-1)*12))</f>
        <v>0</v>
      </c>
      <c r="F4247" s="1">
        <f>IF(OR(Paths!$C$392=0,C4247=0),0,12-E4247)</f>
        <v>0</v>
      </c>
      <c r="G4247" s="16">
        <f>IF(NOT(Paths!$C$392=1),0,IF(Paths!$P$392="Complete",E4247/12*(Paths!$J$392*(1+'Operating costs'!$B$51)^MAX(0,C4247-1)+Paths!$K$392*(1+'Operating costs'!$B$53)^MAX(0,C4247-1)),"n.a."))</f>
        <v>0</v>
      </c>
      <c r="H4247" s="16">
        <f>IF(NOT(Paths!$C$392=1),0,IF(Paths!$P$392="Complete",F4247/12*(Paths!$L$392*(1+IF(Paths!$D$392="EV",'Operating costs'!$B$52,'Operating costs'!$B$51))^MAX(0,C4247-1)+Paths!$M$392*(1+'Operating costs'!$B$53)^MAX(0,C4247-1)),"n.a."))</f>
        <v>0</v>
      </c>
      <c r="I4247" s="16">
        <f>IF(NOT(Paths!$C$392=1),0,IF(Paths!$P$392="Complete",IF(IF(Paths!$E$392=0,C4247=0,AND(C4247&gt;0,Paths!$E$392&gt;(C4247-1)*12,Paths!$E$392&lt;=C4247*12)),Paths!$G$392,0),"n.a."))</f>
        <v>0</v>
      </c>
      <c r="J4247" s="16">
        <f>IF(NOT(Paths!$C$392=1),0,IF(Paths!$P$392="Complete",IF(IF(Paths!$E$392=0,C4247=0,AND(C4247&gt;0,Paths!$E$392&gt;(C4247-1)*12,Paths!$E$392&lt;=C4247*12)),Paths!$H$392,0),"n.a."))</f>
        <v>0</v>
      </c>
      <c r="K4247" s="16">
        <f>IF(NOT(Paths!$C$392=1),0,IF(Paths!$P$392="Complete",IF(IF(Paths!$O$392=0,C4247=0,AND(C4247&gt;0,Paths!$O$392&gt;(C4247-1)*12,Paths!$O$392&lt;=C4247*12)),Paths!$N$392,0),"n.a."))</f>
        <v>0</v>
      </c>
      <c r="L4247" s="16">
        <f>IF(NOT(Paths!$C$392=1),0,IF(Paths!$P$392="Complete",IF(C4247=10,Paths!$I$392,0),"n.a."))</f>
        <v>0</v>
      </c>
      <c r="M4247" s="16">
        <f>IF(NOT(Paths!$C$392=1),0,IF(Paths!$P$392="Complete",IF(AND(Paths!$D$392="EV",Paths!$E$392&lt;120,Paths!$E$392+'Operating costs'!$B$65&gt;Paths!$E$392,Paths!$E$392+'Operating costs'!$B$65&lt;=120,IF(Paths!$E$392+'Operating costs'!$B$65=0,C4247=0,AND(C4247&gt;0,Paths!$E$392+'Operating costs'!$B$65&gt;(C4247-1)*12,Paths!$E$392+'Operating costs'!$B$65&lt;=C4247*12))),'Operating costs'!$B$64,0)+IF(AND('Operating costs'!$B$67&gt;0,'Operating costs'!$B$67&lt;=120,OR(Paths!$D$392="ICE",'Operating costs'!$B$67&lt;=Paths!$E$392),IF('Operating costs'!$B$67=0,C4247=0,AND(C4247&gt;0,'Operating costs'!$B$67&gt;(C4247-1)*12,'Operating costs'!$B$67&lt;=C4247*12))),'Operating costs'!$B$66,0),"n.a."))</f>
        <v>0</v>
      </c>
      <c r="N4247" s="16">
        <f>IF(NOT(Paths!$C$392=1),0,IF(Paths!$P$392="Complete",SUM(G4247:I4247)-J4247-K4247-L4247+M4247+IF(C4247=0,Paths!$F$392,0)+IF(IF(Paths!$E$392=0,C4247=0,AND(C4247&gt;0,Paths!$E$392&gt;(C4247-1)*12,Paths!$E$392&lt;=C4247*12)),VLOOKUP(A4247,'Fleet register'!$A$7:$S$106,16,FALSE),0),"n.a."))</f>
        <v>0</v>
      </c>
      <c r="O4247" s="16">
        <f>IF(NOT(Paths!$C$392=1),0,IF(Paths!$P$392="Complete",N4247-IF(C4247=0,Paths!$F$392,0),"n.a."))</f>
        <v>0</v>
      </c>
      <c r="P4247" s="16">
        <f>IF(NOT(Paths!$C$392=1),0,IF(Paths!$P$392="Complete",O4247+L4247,"n.a."))</f>
        <v>0</v>
      </c>
      <c r="Q4247" s="16">
        <f>IF(NOT(Paths!$C$392=1),0,IF(Paths!$P$392="Complete",N4247*(1+'Operating costs'!$B$54)^-C4247,"n.a."))</f>
        <v>0</v>
      </c>
      <c r="R4247" s="16">
        <f>IF(NOT(Paths!$C$392=1),0,IF(Paths!$P$392="Complete",IF(AND(C4247=0,Paths!$E$392=0),I4247-J4247-K4247+VLOOKUP(A4247,'Fleet register'!$A$7:$S$106,15,FALSE)+VLOOKUP(A4247,'Fleet register'!$A$7:$S$106,16,FALSE),0),"n.a."))</f>
        <v>0</v>
      </c>
      <c r="S4247" s="1">
        <f>IF(NOT(Paths!$C$392=1),0,IF(Paths!$P$392="Complete",IF(C4247=0,0,Paths!$S$392*Paths!$R$392),"n.a."))</f>
        <v>0</v>
      </c>
      <c r="T4247" s="1">
        <f>IF(NOT(Paths!$C$392=1),0,IF(Paths!$P$392="Complete",IF(C4247=0,0,VLOOKUP(A4247,'Fleet register'!$A$7:$S$106,9,FALSE)*Paths!$R$392),"n.a."))</f>
        <v>0</v>
      </c>
    </row>
    <row r="4248" spans="1:20" ht="24" customHeight="1">
      <c r="A4248" s="1" t="str">
        <f>Paths!$A$392</f>
        <v>T097</v>
      </c>
      <c r="B4248" s="1">
        <f>Paths!$B$392</f>
        <v>1</v>
      </c>
      <c r="C4248" s="1">
        <v>6</v>
      </c>
      <c r="D4248" s="1">
        <v>392</v>
      </c>
      <c r="E4248" s="1">
        <f>IF(OR(Paths!$C$392=0,C4248=0),0,MAX(0,MIN(C4248*12,Paths!$E$392)-(C4248-1)*12))</f>
        <v>0</v>
      </c>
      <c r="F4248" s="1">
        <f>IF(OR(Paths!$C$392=0,C4248=0),0,12-E4248)</f>
        <v>0</v>
      </c>
      <c r="G4248" s="16">
        <f>IF(NOT(Paths!$C$392=1),0,IF(Paths!$P$392="Complete",E4248/12*(Paths!$J$392*(1+'Operating costs'!$B$51)^MAX(0,C4248-1)+Paths!$K$392*(1+'Operating costs'!$B$53)^MAX(0,C4248-1)),"n.a."))</f>
        <v>0</v>
      </c>
      <c r="H4248" s="16">
        <f>IF(NOT(Paths!$C$392=1),0,IF(Paths!$P$392="Complete",F4248/12*(Paths!$L$392*(1+IF(Paths!$D$392="EV",'Operating costs'!$B$52,'Operating costs'!$B$51))^MAX(0,C4248-1)+Paths!$M$392*(1+'Operating costs'!$B$53)^MAX(0,C4248-1)),"n.a."))</f>
        <v>0</v>
      </c>
      <c r="I4248" s="16">
        <f>IF(NOT(Paths!$C$392=1),0,IF(Paths!$P$392="Complete",IF(IF(Paths!$E$392=0,C4248=0,AND(C4248&gt;0,Paths!$E$392&gt;(C4248-1)*12,Paths!$E$392&lt;=C4248*12)),Paths!$G$392,0),"n.a."))</f>
        <v>0</v>
      </c>
      <c r="J4248" s="16">
        <f>IF(NOT(Paths!$C$392=1),0,IF(Paths!$P$392="Complete",IF(IF(Paths!$E$392=0,C4248=0,AND(C4248&gt;0,Paths!$E$392&gt;(C4248-1)*12,Paths!$E$392&lt;=C4248*12)),Paths!$H$392,0),"n.a."))</f>
        <v>0</v>
      </c>
      <c r="K4248" s="16">
        <f>IF(NOT(Paths!$C$392=1),0,IF(Paths!$P$392="Complete",IF(IF(Paths!$O$392=0,C4248=0,AND(C4248&gt;0,Paths!$O$392&gt;(C4248-1)*12,Paths!$O$392&lt;=C4248*12)),Paths!$N$392,0),"n.a."))</f>
        <v>0</v>
      </c>
      <c r="L4248" s="16">
        <f>IF(NOT(Paths!$C$392=1),0,IF(Paths!$P$392="Complete",IF(C4248=10,Paths!$I$392,0),"n.a."))</f>
        <v>0</v>
      </c>
      <c r="M4248" s="16">
        <f>IF(NOT(Paths!$C$392=1),0,IF(Paths!$P$392="Complete",IF(AND(Paths!$D$392="EV",Paths!$E$392&lt;120,Paths!$E$392+'Operating costs'!$B$65&gt;Paths!$E$392,Paths!$E$392+'Operating costs'!$B$65&lt;=120,IF(Paths!$E$392+'Operating costs'!$B$65=0,C4248=0,AND(C4248&gt;0,Paths!$E$392+'Operating costs'!$B$65&gt;(C4248-1)*12,Paths!$E$392+'Operating costs'!$B$65&lt;=C4248*12))),'Operating costs'!$B$64,0)+IF(AND('Operating costs'!$B$67&gt;0,'Operating costs'!$B$67&lt;=120,OR(Paths!$D$392="ICE",'Operating costs'!$B$67&lt;=Paths!$E$392),IF('Operating costs'!$B$67=0,C4248=0,AND(C4248&gt;0,'Operating costs'!$B$67&gt;(C4248-1)*12,'Operating costs'!$B$67&lt;=C4248*12))),'Operating costs'!$B$66,0),"n.a."))</f>
        <v>0</v>
      </c>
      <c r="N4248" s="16">
        <f>IF(NOT(Paths!$C$392=1),0,IF(Paths!$P$392="Complete",SUM(G4248:I4248)-J4248-K4248-L4248+M4248+IF(C4248=0,Paths!$F$392,0)+IF(IF(Paths!$E$392=0,C4248=0,AND(C4248&gt;0,Paths!$E$392&gt;(C4248-1)*12,Paths!$E$392&lt;=C4248*12)),VLOOKUP(A4248,'Fleet register'!$A$7:$S$106,16,FALSE),0),"n.a."))</f>
        <v>0</v>
      </c>
      <c r="O4248" s="16">
        <f>IF(NOT(Paths!$C$392=1),0,IF(Paths!$P$392="Complete",N4248-IF(C4248=0,Paths!$F$392,0),"n.a."))</f>
        <v>0</v>
      </c>
      <c r="P4248" s="16">
        <f>IF(NOT(Paths!$C$392=1),0,IF(Paths!$P$392="Complete",O4248+L4248,"n.a."))</f>
        <v>0</v>
      </c>
      <c r="Q4248" s="16">
        <f>IF(NOT(Paths!$C$392=1),0,IF(Paths!$P$392="Complete",N4248*(1+'Operating costs'!$B$54)^-C4248,"n.a."))</f>
        <v>0</v>
      </c>
      <c r="R4248" s="16">
        <f>IF(NOT(Paths!$C$392=1),0,IF(Paths!$P$392="Complete",IF(AND(C4248=0,Paths!$E$392=0),I4248-J4248-K4248+VLOOKUP(A4248,'Fleet register'!$A$7:$S$106,15,FALSE)+VLOOKUP(A4248,'Fleet register'!$A$7:$S$106,16,FALSE),0),"n.a."))</f>
        <v>0</v>
      </c>
      <c r="S4248" s="1">
        <f>IF(NOT(Paths!$C$392=1),0,IF(Paths!$P$392="Complete",IF(C4248=0,0,Paths!$S$392*Paths!$R$392),"n.a."))</f>
        <v>0</v>
      </c>
      <c r="T4248" s="1">
        <f>IF(NOT(Paths!$C$392=1),0,IF(Paths!$P$392="Complete",IF(C4248=0,0,VLOOKUP(A4248,'Fleet register'!$A$7:$S$106,9,FALSE)*Paths!$R$392),"n.a."))</f>
        <v>0</v>
      </c>
    </row>
    <row r="4249" spans="1:20" ht="24" customHeight="1">
      <c r="A4249" s="1" t="str">
        <f>Paths!$A$392</f>
        <v>T097</v>
      </c>
      <c r="B4249" s="1">
        <f>Paths!$B$392</f>
        <v>1</v>
      </c>
      <c r="C4249" s="1">
        <v>7</v>
      </c>
      <c r="D4249" s="1">
        <v>392</v>
      </c>
      <c r="E4249" s="1">
        <f>IF(OR(Paths!$C$392=0,C4249=0),0,MAX(0,MIN(C4249*12,Paths!$E$392)-(C4249-1)*12))</f>
        <v>0</v>
      </c>
      <c r="F4249" s="1">
        <f>IF(OR(Paths!$C$392=0,C4249=0),0,12-E4249)</f>
        <v>0</v>
      </c>
      <c r="G4249" s="16">
        <f>IF(NOT(Paths!$C$392=1),0,IF(Paths!$P$392="Complete",E4249/12*(Paths!$J$392*(1+'Operating costs'!$B$51)^MAX(0,C4249-1)+Paths!$K$392*(1+'Operating costs'!$B$53)^MAX(0,C4249-1)),"n.a."))</f>
        <v>0</v>
      </c>
      <c r="H4249" s="16">
        <f>IF(NOT(Paths!$C$392=1),0,IF(Paths!$P$392="Complete",F4249/12*(Paths!$L$392*(1+IF(Paths!$D$392="EV",'Operating costs'!$B$52,'Operating costs'!$B$51))^MAX(0,C4249-1)+Paths!$M$392*(1+'Operating costs'!$B$53)^MAX(0,C4249-1)),"n.a."))</f>
        <v>0</v>
      </c>
      <c r="I4249" s="16">
        <f>IF(NOT(Paths!$C$392=1),0,IF(Paths!$P$392="Complete",IF(IF(Paths!$E$392=0,C4249=0,AND(C4249&gt;0,Paths!$E$392&gt;(C4249-1)*12,Paths!$E$392&lt;=C4249*12)),Paths!$G$392,0),"n.a."))</f>
        <v>0</v>
      </c>
      <c r="J4249" s="16">
        <f>IF(NOT(Paths!$C$392=1),0,IF(Paths!$P$392="Complete",IF(IF(Paths!$E$392=0,C4249=0,AND(C4249&gt;0,Paths!$E$392&gt;(C4249-1)*12,Paths!$E$392&lt;=C4249*12)),Paths!$H$392,0),"n.a."))</f>
        <v>0</v>
      </c>
      <c r="K4249" s="16">
        <f>IF(NOT(Paths!$C$392=1),0,IF(Paths!$P$392="Complete",IF(IF(Paths!$O$392=0,C4249=0,AND(C4249&gt;0,Paths!$O$392&gt;(C4249-1)*12,Paths!$O$392&lt;=C4249*12)),Paths!$N$392,0),"n.a."))</f>
        <v>0</v>
      </c>
      <c r="L4249" s="16">
        <f>IF(NOT(Paths!$C$392=1),0,IF(Paths!$P$392="Complete",IF(C4249=10,Paths!$I$392,0),"n.a."))</f>
        <v>0</v>
      </c>
      <c r="M4249" s="16">
        <f>IF(NOT(Paths!$C$392=1),0,IF(Paths!$P$392="Complete",IF(AND(Paths!$D$392="EV",Paths!$E$392&lt;120,Paths!$E$392+'Operating costs'!$B$65&gt;Paths!$E$392,Paths!$E$392+'Operating costs'!$B$65&lt;=120,IF(Paths!$E$392+'Operating costs'!$B$65=0,C4249=0,AND(C4249&gt;0,Paths!$E$392+'Operating costs'!$B$65&gt;(C4249-1)*12,Paths!$E$392+'Operating costs'!$B$65&lt;=C4249*12))),'Operating costs'!$B$64,0)+IF(AND('Operating costs'!$B$67&gt;0,'Operating costs'!$B$67&lt;=120,OR(Paths!$D$392="ICE",'Operating costs'!$B$67&lt;=Paths!$E$392),IF('Operating costs'!$B$67=0,C4249=0,AND(C4249&gt;0,'Operating costs'!$B$67&gt;(C4249-1)*12,'Operating costs'!$B$67&lt;=C4249*12))),'Operating costs'!$B$66,0),"n.a."))</f>
        <v>0</v>
      </c>
      <c r="N4249" s="16">
        <f>IF(NOT(Paths!$C$392=1),0,IF(Paths!$P$392="Complete",SUM(G4249:I4249)-J4249-K4249-L4249+M4249+IF(C4249=0,Paths!$F$392,0)+IF(IF(Paths!$E$392=0,C4249=0,AND(C4249&gt;0,Paths!$E$392&gt;(C4249-1)*12,Paths!$E$392&lt;=C4249*12)),VLOOKUP(A4249,'Fleet register'!$A$7:$S$106,16,FALSE),0),"n.a."))</f>
        <v>0</v>
      </c>
      <c r="O4249" s="16">
        <f>IF(NOT(Paths!$C$392=1),0,IF(Paths!$P$392="Complete",N4249-IF(C4249=0,Paths!$F$392,0),"n.a."))</f>
        <v>0</v>
      </c>
      <c r="P4249" s="16">
        <f>IF(NOT(Paths!$C$392=1),0,IF(Paths!$P$392="Complete",O4249+L4249,"n.a."))</f>
        <v>0</v>
      </c>
      <c r="Q4249" s="16">
        <f>IF(NOT(Paths!$C$392=1),0,IF(Paths!$P$392="Complete",N4249*(1+'Operating costs'!$B$54)^-C4249,"n.a."))</f>
        <v>0</v>
      </c>
      <c r="R4249" s="16">
        <f>IF(NOT(Paths!$C$392=1),0,IF(Paths!$P$392="Complete",IF(AND(C4249=0,Paths!$E$392=0),I4249-J4249-K4249+VLOOKUP(A4249,'Fleet register'!$A$7:$S$106,15,FALSE)+VLOOKUP(A4249,'Fleet register'!$A$7:$S$106,16,FALSE),0),"n.a."))</f>
        <v>0</v>
      </c>
      <c r="S4249" s="1">
        <f>IF(NOT(Paths!$C$392=1),0,IF(Paths!$P$392="Complete",IF(C4249=0,0,Paths!$S$392*Paths!$R$392),"n.a."))</f>
        <v>0</v>
      </c>
      <c r="T4249" s="1">
        <f>IF(NOT(Paths!$C$392=1),0,IF(Paths!$P$392="Complete",IF(C4249=0,0,VLOOKUP(A4249,'Fleet register'!$A$7:$S$106,9,FALSE)*Paths!$R$392),"n.a."))</f>
        <v>0</v>
      </c>
    </row>
    <row r="4250" spans="1:20" ht="24" customHeight="1">
      <c r="A4250" s="1" t="str">
        <f>Paths!$A$392</f>
        <v>T097</v>
      </c>
      <c r="B4250" s="1">
        <f>Paths!$B$392</f>
        <v>1</v>
      </c>
      <c r="C4250" s="1">
        <v>8</v>
      </c>
      <c r="D4250" s="1">
        <v>392</v>
      </c>
      <c r="E4250" s="1">
        <f>IF(OR(Paths!$C$392=0,C4250=0),0,MAX(0,MIN(C4250*12,Paths!$E$392)-(C4250-1)*12))</f>
        <v>0</v>
      </c>
      <c r="F4250" s="1">
        <f>IF(OR(Paths!$C$392=0,C4250=0),0,12-E4250)</f>
        <v>0</v>
      </c>
      <c r="G4250" s="16">
        <f>IF(NOT(Paths!$C$392=1),0,IF(Paths!$P$392="Complete",E4250/12*(Paths!$J$392*(1+'Operating costs'!$B$51)^MAX(0,C4250-1)+Paths!$K$392*(1+'Operating costs'!$B$53)^MAX(0,C4250-1)),"n.a."))</f>
        <v>0</v>
      </c>
      <c r="H4250" s="16">
        <f>IF(NOT(Paths!$C$392=1),0,IF(Paths!$P$392="Complete",F4250/12*(Paths!$L$392*(1+IF(Paths!$D$392="EV",'Operating costs'!$B$52,'Operating costs'!$B$51))^MAX(0,C4250-1)+Paths!$M$392*(1+'Operating costs'!$B$53)^MAX(0,C4250-1)),"n.a."))</f>
        <v>0</v>
      </c>
      <c r="I4250" s="16">
        <f>IF(NOT(Paths!$C$392=1),0,IF(Paths!$P$392="Complete",IF(IF(Paths!$E$392=0,C4250=0,AND(C4250&gt;0,Paths!$E$392&gt;(C4250-1)*12,Paths!$E$392&lt;=C4250*12)),Paths!$G$392,0),"n.a."))</f>
        <v>0</v>
      </c>
      <c r="J4250" s="16">
        <f>IF(NOT(Paths!$C$392=1),0,IF(Paths!$P$392="Complete",IF(IF(Paths!$E$392=0,C4250=0,AND(C4250&gt;0,Paths!$E$392&gt;(C4250-1)*12,Paths!$E$392&lt;=C4250*12)),Paths!$H$392,0),"n.a."))</f>
        <v>0</v>
      </c>
      <c r="K4250" s="16">
        <f>IF(NOT(Paths!$C$392=1),0,IF(Paths!$P$392="Complete",IF(IF(Paths!$O$392=0,C4250=0,AND(C4250&gt;0,Paths!$O$392&gt;(C4250-1)*12,Paths!$O$392&lt;=C4250*12)),Paths!$N$392,0),"n.a."))</f>
        <v>0</v>
      </c>
      <c r="L4250" s="16">
        <f>IF(NOT(Paths!$C$392=1),0,IF(Paths!$P$392="Complete",IF(C4250=10,Paths!$I$392,0),"n.a."))</f>
        <v>0</v>
      </c>
      <c r="M4250" s="16">
        <f>IF(NOT(Paths!$C$392=1),0,IF(Paths!$P$392="Complete",IF(AND(Paths!$D$392="EV",Paths!$E$392&lt;120,Paths!$E$392+'Operating costs'!$B$65&gt;Paths!$E$392,Paths!$E$392+'Operating costs'!$B$65&lt;=120,IF(Paths!$E$392+'Operating costs'!$B$65=0,C4250=0,AND(C4250&gt;0,Paths!$E$392+'Operating costs'!$B$65&gt;(C4250-1)*12,Paths!$E$392+'Operating costs'!$B$65&lt;=C4250*12))),'Operating costs'!$B$64,0)+IF(AND('Operating costs'!$B$67&gt;0,'Operating costs'!$B$67&lt;=120,OR(Paths!$D$392="ICE",'Operating costs'!$B$67&lt;=Paths!$E$392),IF('Operating costs'!$B$67=0,C4250=0,AND(C4250&gt;0,'Operating costs'!$B$67&gt;(C4250-1)*12,'Operating costs'!$B$67&lt;=C4250*12))),'Operating costs'!$B$66,0),"n.a."))</f>
        <v>0</v>
      </c>
      <c r="N4250" s="16">
        <f>IF(NOT(Paths!$C$392=1),0,IF(Paths!$P$392="Complete",SUM(G4250:I4250)-J4250-K4250-L4250+M4250+IF(C4250=0,Paths!$F$392,0)+IF(IF(Paths!$E$392=0,C4250=0,AND(C4250&gt;0,Paths!$E$392&gt;(C4250-1)*12,Paths!$E$392&lt;=C4250*12)),VLOOKUP(A4250,'Fleet register'!$A$7:$S$106,16,FALSE),0),"n.a."))</f>
        <v>0</v>
      </c>
      <c r="O4250" s="16">
        <f>IF(NOT(Paths!$C$392=1),0,IF(Paths!$P$392="Complete",N4250-IF(C4250=0,Paths!$F$392,0),"n.a."))</f>
        <v>0</v>
      </c>
      <c r="P4250" s="16">
        <f>IF(NOT(Paths!$C$392=1),0,IF(Paths!$P$392="Complete",O4250+L4250,"n.a."))</f>
        <v>0</v>
      </c>
      <c r="Q4250" s="16">
        <f>IF(NOT(Paths!$C$392=1),0,IF(Paths!$P$392="Complete",N4250*(1+'Operating costs'!$B$54)^-C4250,"n.a."))</f>
        <v>0</v>
      </c>
      <c r="R4250" s="16">
        <f>IF(NOT(Paths!$C$392=1),0,IF(Paths!$P$392="Complete",IF(AND(C4250=0,Paths!$E$392=0),I4250-J4250-K4250+VLOOKUP(A4250,'Fleet register'!$A$7:$S$106,15,FALSE)+VLOOKUP(A4250,'Fleet register'!$A$7:$S$106,16,FALSE),0),"n.a."))</f>
        <v>0</v>
      </c>
      <c r="S4250" s="1">
        <f>IF(NOT(Paths!$C$392=1),0,IF(Paths!$P$392="Complete",IF(C4250=0,0,Paths!$S$392*Paths!$R$392),"n.a."))</f>
        <v>0</v>
      </c>
      <c r="T4250" s="1">
        <f>IF(NOT(Paths!$C$392=1),0,IF(Paths!$P$392="Complete",IF(C4250=0,0,VLOOKUP(A4250,'Fleet register'!$A$7:$S$106,9,FALSE)*Paths!$R$392),"n.a."))</f>
        <v>0</v>
      </c>
    </row>
    <row r="4251" spans="1:20" ht="24" customHeight="1">
      <c r="A4251" s="1" t="str">
        <f>Paths!$A$392</f>
        <v>T097</v>
      </c>
      <c r="B4251" s="1">
        <f>Paths!$B$392</f>
        <v>1</v>
      </c>
      <c r="C4251" s="1">
        <v>9</v>
      </c>
      <c r="D4251" s="1">
        <v>392</v>
      </c>
      <c r="E4251" s="1">
        <f>IF(OR(Paths!$C$392=0,C4251=0),0,MAX(0,MIN(C4251*12,Paths!$E$392)-(C4251-1)*12))</f>
        <v>0</v>
      </c>
      <c r="F4251" s="1">
        <f>IF(OR(Paths!$C$392=0,C4251=0),0,12-E4251)</f>
        <v>0</v>
      </c>
      <c r="G4251" s="16">
        <f>IF(NOT(Paths!$C$392=1),0,IF(Paths!$P$392="Complete",E4251/12*(Paths!$J$392*(1+'Operating costs'!$B$51)^MAX(0,C4251-1)+Paths!$K$392*(1+'Operating costs'!$B$53)^MAX(0,C4251-1)),"n.a."))</f>
        <v>0</v>
      </c>
      <c r="H4251" s="16">
        <f>IF(NOT(Paths!$C$392=1),0,IF(Paths!$P$392="Complete",F4251/12*(Paths!$L$392*(1+IF(Paths!$D$392="EV",'Operating costs'!$B$52,'Operating costs'!$B$51))^MAX(0,C4251-1)+Paths!$M$392*(1+'Operating costs'!$B$53)^MAX(0,C4251-1)),"n.a."))</f>
        <v>0</v>
      </c>
      <c r="I4251" s="16">
        <f>IF(NOT(Paths!$C$392=1),0,IF(Paths!$P$392="Complete",IF(IF(Paths!$E$392=0,C4251=0,AND(C4251&gt;0,Paths!$E$392&gt;(C4251-1)*12,Paths!$E$392&lt;=C4251*12)),Paths!$G$392,0),"n.a."))</f>
        <v>0</v>
      </c>
      <c r="J4251" s="16">
        <f>IF(NOT(Paths!$C$392=1),0,IF(Paths!$P$392="Complete",IF(IF(Paths!$E$392=0,C4251=0,AND(C4251&gt;0,Paths!$E$392&gt;(C4251-1)*12,Paths!$E$392&lt;=C4251*12)),Paths!$H$392,0),"n.a."))</f>
        <v>0</v>
      </c>
      <c r="K4251" s="16">
        <f>IF(NOT(Paths!$C$392=1),0,IF(Paths!$P$392="Complete",IF(IF(Paths!$O$392=0,C4251=0,AND(C4251&gt;0,Paths!$O$392&gt;(C4251-1)*12,Paths!$O$392&lt;=C4251*12)),Paths!$N$392,0),"n.a."))</f>
        <v>0</v>
      </c>
      <c r="L4251" s="16">
        <f>IF(NOT(Paths!$C$392=1),0,IF(Paths!$P$392="Complete",IF(C4251=10,Paths!$I$392,0),"n.a."))</f>
        <v>0</v>
      </c>
      <c r="M4251" s="16">
        <f>IF(NOT(Paths!$C$392=1),0,IF(Paths!$P$392="Complete",IF(AND(Paths!$D$392="EV",Paths!$E$392&lt;120,Paths!$E$392+'Operating costs'!$B$65&gt;Paths!$E$392,Paths!$E$392+'Operating costs'!$B$65&lt;=120,IF(Paths!$E$392+'Operating costs'!$B$65=0,C4251=0,AND(C4251&gt;0,Paths!$E$392+'Operating costs'!$B$65&gt;(C4251-1)*12,Paths!$E$392+'Operating costs'!$B$65&lt;=C4251*12))),'Operating costs'!$B$64,0)+IF(AND('Operating costs'!$B$67&gt;0,'Operating costs'!$B$67&lt;=120,OR(Paths!$D$392="ICE",'Operating costs'!$B$67&lt;=Paths!$E$392),IF('Operating costs'!$B$67=0,C4251=0,AND(C4251&gt;0,'Operating costs'!$B$67&gt;(C4251-1)*12,'Operating costs'!$B$67&lt;=C4251*12))),'Operating costs'!$B$66,0),"n.a."))</f>
        <v>0</v>
      </c>
      <c r="N4251" s="16">
        <f>IF(NOT(Paths!$C$392=1),0,IF(Paths!$P$392="Complete",SUM(G4251:I4251)-J4251-K4251-L4251+M4251+IF(C4251=0,Paths!$F$392,0)+IF(IF(Paths!$E$392=0,C4251=0,AND(C4251&gt;0,Paths!$E$392&gt;(C4251-1)*12,Paths!$E$392&lt;=C4251*12)),VLOOKUP(A4251,'Fleet register'!$A$7:$S$106,16,FALSE),0),"n.a."))</f>
        <v>0</v>
      </c>
      <c r="O4251" s="16">
        <f>IF(NOT(Paths!$C$392=1),0,IF(Paths!$P$392="Complete",N4251-IF(C4251=0,Paths!$F$392,0),"n.a."))</f>
        <v>0</v>
      </c>
      <c r="P4251" s="16">
        <f>IF(NOT(Paths!$C$392=1),0,IF(Paths!$P$392="Complete",O4251+L4251,"n.a."))</f>
        <v>0</v>
      </c>
      <c r="Q4251" s="16">
        <f>IF(NOT(Paths!$C$392=1),0,IF(Paths!$P$392="Complete",N4251*(1+'Operating costs'!$B$54)^-C4251,"n.a."))</f>
        <v>0</v>
      </c>
      <c r="R4251" s="16">
        <f>IF(NOT(Paths!$C$392=1),0,IF(Paths!$P$392="Complete",IF(AND(C4251=0,Paths!$E$392=0),I4251-J4251-K4251+VLOOKUP(A4251,'Fleet register'!$A$7:$S$106,15,FALSE)+VLOOKUP(A4251,'Fleet register'!$A$7:$S$106,16,FALSE),0),"n.a."))</f>
        <v>0</v>
      </c>
      <c r="S4251" s="1">
        <f>IF(NOT(Paths!$C$392=1),0,IF(Paths!$P$392="Complete",IF(C4251=0,0,Paths!$S$392*Paths!$R$392),"n.a."))</f>
        <v>0</v>
      </c>
      <c r="T4251" s="1">
        <f>IF(NOT(Paths!$C$392=1),0,IF(Paths!$P$392="Complete",IF(C4251=0,0,VLOOKUP(A4251,'Fleet register'!$A$7:$S$106,9,FALSE)*Paths!$R$392),"n.a."))</f>
        <v>0</v>
      </c>
    </row>
    <row r="4252" spans="1:20" ht="24" customHeight="1">
      <c r="A4252" s="1" t="str">
        <f>Paths!$A$392</f>
        <v>T097</v>
      </c>
      <c r="B4252" s="1">
        <f>Paths!$B$392</f>
        <v>1</v>
      </c>
      <c r="C4252" s="1">
        <v>10</v>
      </c>
      <c r="D4252" s="1">
        <v>392</v>
      </c>
      <c r="E4252" s="1">
        <f>IF(OR(Paths!$C$392=0,C4252=0),0,MAX(0,MIN(C4252*12,Paths!$E$392)-(C4252-1)*12))</f>
        <v>0</v>
      </c>
      <c r="F4252" s="1">
        <f>IF(OR(Paths!$C$392=0,C4252=0),0,12-E4252)</f>
        <v>0</v>
      </c>
      <c r="G4252" s="16">
        <f>IF(NOT(Paths!$C$392=1),0,IF(Paths!$P$392="Complete",E4252/12*(Paths!$J$392*(1+'Operating costs'!$B$51)^MAX(0,C4252-1)+Paths!$K$392*(1+'Operating costs'!$B$53)^MAX(0,C4252-1)),"n.a."))</f>
        <v>0</v>
      </c>
      <c r="H4252" s="16">
        <f>IF(NOT(Paths!$C$392=1),0,IF(Paths!$P$392="Complete",F4252/12*(Paths!$L$392*(1+IF(Paths!$D$392="EV",'Operating costs'!$B$52,'Operating costs'!$B$51))^MAX(0,C4252-1)+Paths!$M$392*(1+'Operating costs'!$B$53)^MAX(0,C4252-1)),"n.a."))</f>
        <v>0</v>
      </c>
      <c r="I4252" s="16">
        <f>IF(NOT(Paths!$C$392=1),0,IF(Paths!$P$392="Complete",IF(IF(Paths!$E$392=0,C4252=0,AND(C4252&gt;0,Paths!$E$392&gt;(C4252-1)*12,Paths!$E$392&lt;=C4252*12)),Paths!$G$392,0),"n.a."))</f>
        <v>0</v>
      </c>
      <c r="J4252" s="16">
        <f>IF(NOT(Paths!$C$392=1),0,IF(Paths!$P$392="Complete",IF(IF(Paths!$E$392=0,C4252=0,AND(C4252&gt;0,Paths!$E$392&gt;(C4252-1)*12,Paths!$E$392&lt;=C4252*12)),Paths!$H$392,0),"n.a."))</f>
        <v>0</v>
      </c>
      <c r="K4252" s="16">
        <f>IF(NOT(Paths!$C$392=1),0,IF(Paths!$P$392="Complete",IF(IF(Paths!$O$392=0,C4252=0,AND(C4252&gt;0,Paths!$O$392&gt;(C4252-1)*12,Paths!$O$392&lt;=C4252*12)),Paths!$N$392,0),"n.a."))</f>
        <v>0</v>
      </c>
      <c r="L4252" s="16">
        <f>IF(NOT(Paths!$C$392=1),0,IF(Paths!$P$392="Complete",IF(C4252=10,Paths!$I$392,0),"n.a."))</f>
        <v>0</v>
      </c>
      <c r="M4252" s="16">
        <f>IF(NOT(Paths!$C$392=1),0,IF(Paths!$P$392="Complete",IF(AND(Paths!$D$392="EV",Paths!$E$392&lt;120,Paths!$E$392+'Operating costs'!$B$65&gt;Paths!$E$392,Paths!$E$392+'Operating costs'!$B$65&lt;=120,IF(Paths!$E$392+'Operating costs'!$B$65=0,C4252=0,AND(C4252&gt;0,Paths!$E$392+'Operating costs'!$B$65&gt;(C4252-1)*12,Paths!$E$392+'Operating costs'!$B$65&lt;=C4252*12))),'Operating costs'!$B$64,0)+IF(AND('Operating costs'!$B$67&gt;0,'Operating costs'!$B$67&lt;=120,OR(Paths!$D$392="ICE",'Operating costs'!$B$67&lt;=Paths!$E$392),IF('Operating costs'!$B$67=0,C4252=0,AND(C4252&gt;0,'Operating costs'!$B$67&gt;(C4252-1)*12,'Operating costs'!$B$67&lt;=C4252*12))),'Operating costs'!$B$66,0),"n.a."))</f>
        <v>0</v>
      </c>
      <c r="N4252" s="16">
        <f>IF(NOT(Paths!$C$392=1),0,IF(Paths!$P$392="Complete",SUM(G4252:I4252)-J4252-K4252-L4252+M4252+IF(C4252=0,Paths!$F$392,0)+IF(IF(Paths!$E$392=0,C4252=0,AND(C4252&gt;0,Paths!$E$392&gt;(C4252-1)*12,Paths!$E$392&lt;=C4252*12)),VLOOKUP(A4252,'Fleet register'!$A$7:$S$106,16,FALSE),0),"n.a."))</f>
        <v>0</v>
      </c>
      <c r="O4252" s="16">
        <f>IF(NOT(Paths!$C$392=1),0,IF(Paths!$P$392="Complete",N4252-IF(C4252=0,Paths!$F$392,0),"n.a."))</f>
        <v>0</v>
      </c>
      <c r="P4252" s="16">
        <f>IF(NOT(Paths!$C$392=1),0,IF(Paths!$P$392="Complete",O4252+L4252,"n.a."))</f>
        <v>0</v>
      </c>
      <c r="Q4252" s="16">
        <f>IF(NOT(Paths!$C$392=1),0,IF(Paths!$P$392="Complete",N4252*(1+'Operating costs'!$B$54)^-C4252,"n.a."))</f>
        <v>0</v>
      </c>
      <c r="R4252" s="16">
        <f>IF(NOT(Paths!$C$392=1),0,IF(Paths!$P$392="Complete",IF(AND(C4252=0,Paths!$E$392=0),I4252-J4252-K4252+VLOOKUP(A4252,'Fleet register'!$A$7:$S$106,15,FALSE)+VLOOKUP(A4252,'Fleet register'!$A$7:$S$106,16,FALSE),0),"n.a."))</f>
        <v>0</v>
      </c>
      <c r="S4252" s="1">
        <f>IF(NOT(Paths!$C$392=1),0,IF(Paths!$P$392="Complete",IF(C4252=0,0,Paths!$S$392*Paths!$R$392),"n.a."))</f>
        <v>0</v>
      </c>
      <c r="T4252" s="1">
        <f>IF(NOT(Paths!$C$392=1),0,IF(Paths!$P$392="Complete",IF(C4252=0,0,VLOOKUP(A4252,'Fleet register'!$A$7:$S$106,9,FALSE)*Paths!$R$392),"n.a."))</f>
        <v>0</v>
      </c>
    </row>
    <row r="4253" spans="1:20" ht="24" customHeight="1">
      <c r="A4253" s="1" t="str">
        <f>Paths!$A$393</f>
        <v>T097</v>
      </c>
      <c r="B4253" s="1">
        <f>Paths!$B$393</f>
        <v>2</v>
      </c>
      <c r="C4253" s="1">
        <v>0</v>
      </c>
      <c r="D4253" s="1">
        <v>393</v>
      </c>
      <c r="E4253" s="1">
        <f>IF(OR(Paths!$C$393=0,C4253=0),0,MAX(0,MIN(C4253*12,Paths!$E$393)-(C4253-1)*12))</f>
        <v>0</v>
      </c>
      <c r="F4253" s="1">
        <f>IF(OR(Paths!$C$393=0,C4253=0),0,12-E4253)</f>
        <v>0</v>
      </c>
      <c r="G4253" s="16">
        <f>IF(NOT(Paths!$C$393=1),0,IF(Paths!$P$393="Complete",E4253/12*(Paths!$J$393*(1+'Operating costs'!$B$51)^MAX(0,C4253-1)+Paths!$K$393*(1+'Operating costs'!$B$53)^MAX(0,C4253-1)),"n.a."))</f>
        <v>0</v>
      </c>
      <c r="H4253" s="16">
        <f>IF(NOT(Paths!$C$393=1),0,IF(Paths!$P$393="Complete",F4253/12*(Paths!$L$393*(1+IF(Paths!$D$393="EV",'Operating costs'!$B$52,'Operating costs'!$B$51))^MAX(0,C4253-1)+Paths!$M$393*(1+'Operating costs'!$B$53)^MAX(0,C4253-1)),"n.a."))</f>
        <v>0</v>
      </c>
      <c r="I4253" s="16">
        <f>IF(NOT(Paths!$C$393=1),0,IF(Paths!$P$393="Complete",IF(IF(Paths!$E$393=0,C4253=0,AND(C4253&gt;0,Paths!$E$393&gt;(C4253-1)*12,Paths!$E$393&lt;=C4253*12)),Paths!$G$393,0),"n.a."))</f>
        <v>0</v>
      </c>
      <c r="J4253" s="16">
        <f>IF(NOT(Paths!$C$393=1),0,IF(Paths!$P$393="Complete",IF(IF(Paths!$E$393=0,C4253=0,AND(C4253&gt;0,Paths!$E$393&gt;(C4253-1)*12,Paths!$E$393&lt;=C4253*12)),Paths!$H$393,0),"n.a."))</f>
        <v>0</v>
      </c>
      <c r="K4253" s="16">
        <f>IF(NOT(Paths!$C$393=1),0,IF(Paths!$P$393="Complete",IF(IF(Paths!$O$393=0,C4253=0,AND(C4253&gt;0,Paths!$O$393&gt;(C4253-1)*12,Paths!$O$393&lt;=C4253*12)),Paths!$N$393,0),"n.a."))</f>
        <v>0</v>
      </c>
      <c r="L4253" s="16">
        <f>IF(NOT(Paths!$C$393=1),0,IF(Paths!$P$393="Complete",IF(C4253=10,Paths!$I$393,0),"n.a."))</f>
        <v>0</v>
      </c>
      <c r="M4253" s="16">
        <f>IF(NOT(Paths!$C$393=1),0,IF(Paths!$P$393="Complete",IF(AND(Paths!$D$393="EV",Paths!$E$393&lt;120,Paths!$E$393+'Operating costs'!$B$65&gt;Paths!$E$393,Paths!$E$393+'Operating costs'!$B$65&lt;=120,IF(Paths!$E$393+'Operating costs'!$B$65=0,C4253=0,AND(C4253&gt;0,Paths!$E$393+'Operating costs'!$B$65&gt;(C4253-1)*12,Paths!$E$393+'Operating costs'!$B$65&lt;=C4253*12))),'Operating costs'!$B$64,0)+IF(AND('Operating costs'!$B$67&gt;0,'Operating costs'!$B$67&lt;=120,OR(Paths!$D$393="ICE",'Operating costs'!$B$67&lt;=Paths!$E$393),IF('Operating costs'!$B$67=0,C4253=0,AND(C4253&gt;0,'Operating costs'!$B$67&gt;(C4253-1)*12,'Operating costs'!$B$67&lt;=C4253*12))),'Operating costs'!$B$66,0),"n.a."))</f>
        <v>0</v>
      </c>
      <c r="N4253" s="16">
        <f>IF(NOT(Paths!$C$393=1),0,IF(Paths!$P$393="Complete",SUM(G4253:I4253)-J4253-K4253-L4253+M4253+IF(C4253=0,Paths!$F$393,0)+IF(IF(Paths!$E$393=0,C4253=0,AND(C4253&gt;0,Paths!$E$393&gt;(C4253-1)*12,Paths!$E$393&lt;=C4253*12)),VLOOKUP(A4253,'Fleet register'!$A$7:$S$106,16,FALSE),0),"n.a."))</f>
        <v>0</v>
      </c>
      <c r="O4253" s="16">
        <f>IF(NOT(Paths!$C$393=1),0,IF(Paths!$P$393="Complete",N4253-IF(C4253=0,Paths!$F$393,0),"n.a."))</f>
        <v>0</v>
      </c>
      <c r="P4253" s="16">
        <f>IF(NOT(Paths!$C$393=1),0,IF(Paths!$P$393="Complete",O4253+L4253,"n.a."))</f>
        <v>0</v>
      </c>
      <c r="Q4253" s="16">
        <f>IF(NOT(Paths!$C$393=1),0,IF(Paths!$P$393="Complete",N4253*(1+'Operating costs'!$B$54)^-C4253,"n.a."))</f>
        <v>0</v>
      </c>
      <c r="R4253" s="16">
        <f>IF(NOT(Paths!$C$393=1),0,IF(Paths!$P$393="Complete",IF(AND(C4253=0,Paths!$E$393=0),I4253-J4253-K4253+VLOOKUP(A4253,'Fleet register'!$A$7:$S$106,15,FALSE)+VLOOKUP(A4253,'Fleet register'!$A$7:$S$106,16,FALSE),0),"n.a."))</f>
        <v>0</v>
      </c>
      <c r="S4253" s="1">
        <f>IF(NOT(Paths!$C$393=1),0,IF(Paths!$P$393="Complete",IF(C4253=0,0,Paths!$S$393*Paths!$R$393),"n.a."))</f>
        <v>0</v>
      </c>
      <c r="T4253" s="1">
        <f>IF(NOT(Paths!$C$393=1),0,IF(Paths!$P$393="Complete",IF(C4253=0,0,VLOOKUP(A4253,'Fleet register'!$A$7:$S$106,9,FALSE)*Paths!$R$393),"n.a."))</f>
        <v>0</v>
      </c>
    </row>
    <row r="4254" spans="1:20" ht="24" customHeight="1">
      <c r="A4254" s="1" t="str">
        <f>Paths!$A$393</f>
        <v>T097</v>
      </c>
      <c r="B4254" s="1">
        <f>Paths!$B$393</f>
        <v>2</v>
      </c>
      <c r="C4254" s="1">
        <v>1</v>
      </c>
      <c r="D4254" s="1">
        <v>393</v>
      </c>
      <c r="E4254" s="1">
        <f>IF(OR(Paths!$C$393=0,C4254=0),0,MAX(0,MIN(C4254*12,Paths!$E$393)-(C4254-1)*12))</f>
        <v>0</v>
      </c>
      <c r="F4254" s="1">
        <f>IF(OR(Paths!$C$393=0,C4254=0),0,12-E4254)</f>
        <v>0</v>
      </c>
      <c r="G4254" s="16">
        <f>IF(NOT(Paths!$C$393=1),0,IF(Paths!$P$393="Complete",E4254/12*(Paths!$J$393*(1+'Operating costs'!$B$51)^MAX(0,C4254-1)+Paths!$K$393*(1+'Operating costs'!$B$53)^MAX(0,C4254-1)),"n.a."))</f>
        <v>0</v>
      </c>
      <c r="H4254" s="16">
        <f>IF(NOT(Paths!$C$393=1),0,IF(Paths!$P$393="Complete",F4254/12*(Paths!$L$393*(1+IF(Paths!$D$393="EV",'Operating costs'!$B$52,'Operating costs'!$B$51))^MAX(0,C4254-1)+Paths!$M$393*(1+'Operating costs'!$B$53)^MAX(0,C4254-1)),"n.a."))</f>
        <v>0</v>
      </c>
      <c r="I4254" s="16">
        <f>IF(NOT(Paths!$C$393=1),0,IF(Paths!$P$393="Complete",IF(IF(Paths!$E$393=0,C4254=0,AND(C4254&gt;0,Paths!$E$393&gt;(C4254-1)*12,Paths!$E$393&lt;=C4254*12)),Paths!$G$393,0),"n.a."))</f>
        <v>0</v>
      </c>
      <c r="J4254" s="16">
        <f>IF(NOT(Paths!$C$393=1),0,IF(Paths!$P$393="Complete",IF(IF(Paths!$E$393=0,C4254=0,AND(C4254&gt;0,Paths!$E$393&gt;(C4254-1)*12,Paths!$E$393&lt;=C4254*12)),Paths!$H$393,0),"n.a."))</f>
        <v>0</v>
      </c>
      <c r="K4254" s="16">
        <f>IF(NOT(Paths!$C$393=1),0,IF(Paths!$P$393="Complete",IF(IF(Paths!$O$393=0,C4254=0,AND(C4254&gt;0,Paths!$O$393&gt;(C4254-1)*12,Paths!$O$393&lt;=C4254*12)),Paths!$N$393,0),"n.a."))</f>
        <v>0</v>
      </c>
      <c r="L4254" s="16">
        <f>IF(NOT(Paths!$C$393=1),0,IF(Paths!$P$393="Complete",IF(C4254=10,Paths!$I$393,0),"n.a."))</f>
        <v>0</v>
      </c>
      <c r="M4254" s="16">
        <f>IF(NOT(Paths!$C$393=1),0,IF(Paths!$P$393="Complete",IF(AND(Paths!$D$393="EV",Paths!$E$393&lt;120,Paths!$E$393+'Operating costs'!$B$65&gt;Paths!$E$393,Paths!$E$393+'Operating costs'!$B$65&lt;=120,IF(Paths!$E$393+'Operating costs'!$B$65=0,C4254=0,AND(C4254&gt;0,Paths!$E$393+'Operating costs'!$B$65&gt;(C4254-1)*12,Paths!$E$393+'Operating costs'!$B$65&lt;=C4254*12))),'Operating costs'!$B$64,0)+IF(AND('Operating costs'!$B$67&gt;0,'Operating costs'!$B$67&lt;=120,OR(Paths!$D$393="ICE",'Operating costs'!$B$67&lt;=Paths!$E$393),IF('Operating costs'!$B$67=0,C4254=0,AND(C4254&gt;0,'Operating costs'!$B$67&gt;(C4254-1)*12,'Operating costs'!$B$67&lt;=C4254*12))),'Operating costs'!$B$66,0),"n.a."))</f>
        <v>0</v>
      </c>
      <c r="N4254" s="16">
        <f>IF(NOT(Paths!$C$393=1),0,IF(Paths!$P$393="Complete",SUM(G4254:I4254)-J4254-K4254-L4254+M4254+IF(C4254=0,Paths!$F$393,0)+IF(IF(Paths!$E$393=0,C4254=0,AND(C4254&gt;0,Paths!$E$393&gt;(C4254-1)*12,Paths!$E$393&lt;=C4254*12)),VLOOKUP(A4254,'Fleet register'!$A$7:$S$106,16,FALSE),0),"n.a."))</f>
        <v>0</v>
      </c>
      <c r="O4254" s="16">
        <f>IF(NOT(Paths!$C$393=1),0,IF(Paths!$P$393="Complete",N4254-IF(C4254=0,Paths!$F$393,0),"n.a."))</f>
        <v>0</v>
      </c>
      <c r="P4254" s="16">
        <f>IF(NOT(Paths!$C$393=1),0,IF(Paths!$P$393="Complete",O4254+L4254,"n.a."))</f>
        <v>0</v>
      </c>
      <c r="Q4254" s="16">
        <f>IF(NOT(Paths!$C$393=1),0,IF(Paths!$P$393="Complete",N4254*(1+'Operating costs'!$B$54)^-C4254,"n.a."))</f>
        <v>0</v>
      </c>
      <c r="R4254" s="16">
        <f>IF(NOT(Paths!$C$393=1),0,IF(Paths!$P$393="Complete",IF(AND(C4254=0,Paths!$E$393=0),I4254-J4254-K4254+VLOOKUP(A4254,'Fleet register'!$A$7:$S$106,15,FALSE)+VLOOKUP(A4254,'Fleet register'!$A$7:$S$106,16,FALSE),0),"n.a."))</f>
        <v>0</v>
      </c>
      <c r="S4254" s="1">
        <f>IF(NOT(Paths!$C$393=1),0,IF(Paths!$P$393="Complete",IF(C4254=0,0,Paths!$S$393*Paths!$R$393),"n.a."))</f>
        <v>0</v>
      </c>
      <c r="T4254" s="1">
        <f>IF(NOT(Paths!$C$393=1),0,IF(Paths!$P$393="Complete",IF(C4254=0,0,VLOOKUP(A4254,'Fleet register'!$A$7:$S$106,9,FALSE)*Paths!$R$393),"n.a."))</f>
        <v>0</v>
      </c>
    </row>
    <row r="4255" spans="1:20" ht="24" customHeight="1">
      <c r="A4255" s="1" t="str">
        <f>Paths!$A$393</f>
        <v>T097</v>
      </c>
      <c r="B4255" s="1">
        <f>Paths!$B$393</f>
        <v>2</v>
      </c>
      <c r="C4255" s="1">
        <v>2</v>
      </c>
      <c r="D4255" s="1">
        <v>393</v>
      </c>
      <c r="E4255" s="1">
        <f>IF(OR(Paths!$C$393=0,C4255=0),0,MAX(0,MIN(C4255*12,Paths!$E$393)-(C4255-1)*12))</f>
        <v>0</v>
      </c>
      <c r="F4255" s="1">
        <f>IF(OR(Paths!$C$393=0,C4255=0),0,12-E4255)</f>
        <v>0</v>
      </c>
      <c r="G4255" s="16">
        <f>IF(NOT(Paths!$C$393=1),0,IF(Paths!$P$393="Complete",E4255/12*(Paths!$J$393*(1+'Operating costs'!$B$51)^MAX(0,C4255-1)+Paths!$K$393*(1+'Operating costs'!$B$53)^MAX(0,C4255-1)),"n.a."))</f>
        <v>0</v>
      </c>
      <c r="H4255" s="16">
        <f>IF(NOT(Paths!$C$393=1),0,IF(Paths!$P$393="Complete",F4255/12*(Paths!$L$393*(1+IF(Paths!$D$393="EV",'Operating costs'!$B$52,'Operating costs'!$B$51))^MAX(0,C4255-1)+Paths!$M$393*(1+'Operating costs'!$B$53)^MAX(0,C4255-1)),"n.a."))</f>
        <v>0</v>
      </c>
      <c r="I4255" s="16">
        <f>IF(NOT(Paths!$C$393=1),0,IF(Paths!$P$393="Complete",IF(IF(Paths!$E$393=0,C4255=0,AND(C4255&gt;0,Paths!$E$393&gt;(C4255-1)*12,Paths!$E$393&lt;=C4255*12)),Paths!$G$393,0),"n.a."))</f>
        <v>0</v>
      </c>
      <c r="J4255" s="16">
        <f>IF(NOT(Paths!$C$393=1),0,IF(Paths!$P$393="Complete",IF(IF(Paths!$E$393=0,C4255=0,AND(C4255&gt;0,Paths!$E$393&gt;(C4255-1)*12,Paths!$E$393&lt;=C4255*12)),Paths!$H$393,0),"n.a."))</f>
        <v>0</v>
      </c>
      <c r="K4255" s="16">
        <f>IF(NOT(Paths!$C$393=1),0,IF(Paths!$P$393="Complete",IF(IF(Paths!$O$393=0,C4255=0,AND(C4255&gt;0,Paths!$O$393&gt;(C4255-1)*12,Paths!$O$393&lt;=C4255*12)),Paths!$N$393,0),"n.a."))</f>
        <v>0</v>
      </c>
      <c r="L4255" s="16">
        <f>IF(NOT(Paths!$C$393=1),0,IF(Paths!$P$393="Complete",IF(C4255=10,Paths!$I$393,0),"n.a."))</f>
        <v>0</v>
      </c>
      <c r="M4255" s="16">
        <f>IF(NOT(Paths!$C$393=1),0,IF(Paths!$P$393="Complete",IF(AND(Paths!$D$393="EV",Paths!$E$393&lt;120,Paths!$E$393+'Operating costs'!$B$65&gt;Paths!$E$393,Paths!$E$393+'Operating costs'!$B$65&lt;=120,IF(Paths!$E$393+'Operating costs'!$B$65=0,C4255=0,AND(C4255&gt;0,Paths!$E$393+'Operating costs'!$B$65&gt;(C4255-1)*12,Paths!$E$393+'Operating costs'!$B$65&lt;=C4255*12))),'Operating costs'!$B$64,0)+IF(AND('Operating costs'!$B$67&gt;0,'Operating costs'!$B$67&lt;=120,OR(Paths!$D$393="ICE",'Operating costs'!$B$67&lt;=Paths!$E$393),IF('Operating costs'!$B$67=0,C4255=0,AND(C4255&gt;0,'Operating costs'!$B$67&gt;(C4255-1)*12,'Operating costs'!$B$67&lt;=C4255*12))),'Operating costs'!$B$66,0),"n.a."))</f>
        <v>0</v>
      </c>
      <c r="N4255" s="16">
        <f>IF(NOT(Paths!$C$393=1),0,IF(Paths!$P$393="Complete",SUM(G4255:I4255)-J4255-K4255-L4255+M4255+IF(C4255=0,Paths!$F$393,0)+IF(IF(Paths!$E$393=0,C4255=0,AND(C4255&gt;0,Paths!$E$393&gt;(C4255-1)*12,Paths!$E$393&lt;=C4255*12)),VLOOKUP(A4255,'Fleet register'!$A$7:$S$106,16,FALSE),0),"n.a."))</f>
        <v>0</v>
      </c>
      <c r="O4255" s="16">
        <f>IF(NOT(Paths!$C$393=1),0,IF(Paths!$P$393="Complete",N4255-IF(C4255=0,Paths!$F$393,0),"n.a."))</f>
        <v>0</v>
      </c>
      <c r="P4255" s="16">
        <f>IF(NOT(Paths!$C$393=1),0,IF(Paths!$P$393="Complete",O4255+L4255,"n.a."))</f>
        <v>0</v>
      </c>
      <c r="Q4255" s="16">
        <f>IF(NOT(Paths!$C$393=1),0,IF(Paths!$P$393="Complete",N4255*(1+'Operating costs'!$B$54)^-C4255,"n.a."))</f>
        <v>0</v>
      </c>
      <c r="R4255" s="16">
        <f>IF(NOT(Paths!$C$393=1),0,IF(Paths!$P$393="Complete",IF(AND(C4255=0,Paths!$E$393=0),I4255-J4255-K4255+VLOOKUP(A4255,'Fleet register'!$A$7:$S$106,15,FALSE)+VLOOKUP(A4255,'Fleet register'!$A$7:$S$106,16,FALSE),0),"n.a."))</f>
        <v>0</v>
      </c>
      <c r="S4255" s="1">
        <f>IF(NOT(Paths!$C$393=1),0,IF(Paths!$P$393="Complete",IF(C4255=0,0,Paths!$S$393*Paths!$R$393),"n.a."))</f>
        <v>0</v>
      </c>
      <c r="T4255" s="1">
        <f>IF(NOT(Paths!$C$393=1),0,IF(Paths!$P$393="Complete",IF(C4255=0,0,VLOOKUP(A4255,'Fleet register'!$A$7:$S$106,9,FALSE)*Paths!$R$393),"n.a."))</f>
        <v>0</v>
      </c>
    </row>
    <row r="4256" spans="1:20" ht="24" customHeight="1">
      <c r="A4256" s="1" t="str">
        <f>Paths!$A$393</f>
        <v>T097</v>
      </c>
      <c r="B4256" s="1">
        <f>Paths!$B$393</f>
        <v>2</v>
      </c>
      <c r="C4256" s="1">
        <v>3</v>
      </c>
      <c r="D4256" s="1">
        <v>393</v>
      </c>
      <c r="E4256" s="1">
        <f>IF(OR(Paths!$C$393=0,C4256=0),0,MAX(0,MIN(C4256*12,Paths!$E$393)-(C4256-1)*12))</f>
        <v>0</v>
      </c>
      <c r="F4256" s="1">
        <f>IF(OR(Paths!$C$393=0,C4256=0),0,12-E4256)</f>
        <v>0</v>
      </c>
      <c r="G4256" s="16">
        <f>IF(NOT(Paths!$C$393=1),0,IF(Paths!$P$393="Complete",E4256/12*(Paths!$J$393*(1+'Operating costs'!$B$51)^MAX(0,C4256-1)+Paths!$K$393*(1+'Operating costs'!$B$53)^MAX(0,C4256-1)),"n.a."))</f>
        <v>0</v>
      </c>
      <c r="H4256" s="16">
        <f>IF(NOT(Paths!$C$393=1),0,IF(Paths!$P$393="Complete",F4256/12*(Paths!$L$393*(1+IF(Paths!$D$393="EV",'Operating costs'!$B$52,'Operating costs'!$B$51))^MAX(0,C4256-1)+Paths!$M$393*(1+'Operating costs'!$B$53)^MAX(0,C4256-1)),"n.a."))</f>
        <v>0</v>
      </c>
      <c r="I4256" s="16">
        <f>IF(NOT(Paths!$C$393=1),0,IF(Paths!$P$393="Complete",IF(IF(Paths!$E$393=0,C4256=0,AND(C4256&gt;0,Paths!$E$393&gt;(C4256-1)*12,Paths!$E$393&lt;=C4256*12)),Paths!$G$393,0),"n.a."))</f>
        <v>0</v>
      </c>
      <c r="J4256" s="16">
        <f>IF(NOT(Paths!$C$393=1),0,IF(Paths!$P$393="Complete",IF(IF(Paths!$E$393=0,C4256=0,AND(C4256&gt;0,Paths!$E$393&gt;(C4256-1)*12,Paths!$E$393&lt;=C4256*12)),Paths!$H$393,0),"n.a."))</f>
        <v>0</v>
      </c>
      <c r="K4256" s="16">
        <f>IF(NOT(Paths!$C$393=1),0,IF(Paths!$P$393="Complete",IF(IF(Paths!$O$393=0,C4256=0,AND(C4256&gt;0,Paths!$O$393&gt;(C4256-1)*12,Paths!$O$393&lt;=C4256*12)),Paths!$N$393,0),"n.a."))</f>
        <v>0</v>
      </c>
      <c r="L4256" s="16">
        <f>IF(NOT(Paths!$C$393=1),0,IF(Paths!$P$393="Complete",IF(C4256=10,Paths!$I$393,0),"n.a."))</f>
        <v>0</v>
      </c>
      <c r="M4256" s="16">
        <f>IF(NOT(Paths!$C$393=1),0,IF(Paths!$P$393="Complete",IF(AND(Paths!$D$393="EV",Paths!$E$393&lt;120,Paths!$E$393+'Operating costs'!$B$65&gt;Paths!$E$393,Paths!$E$393+'Operating costs'!$B$65&lt;=120,IF(Paths!$E$393+'Operating costs'!$B$65=0,C4256=0,AND(C4256&gt;0,Paths!$E$393+'Operating costs'!$B$65&gt;(C4256-1)*12,Paths!$E$393+'Operating costs'!$B$65&lt;=C4256*12))),'Operating costs'!$B$64,0)+IF(AND('Operating costs'!$B$67&gt;0,'Operating costs'!$B$67&lt;=120,OR(Paths!$D$393="ICE",'Operating costs'!$B$67&lt;=Paths!$E$393),IF('Operating costs'!$B$67=0,C4256=0,AND(C4256&gt;0,'Operating costs'!$B$67&gt;(C4256-1)*12,'Operating costs'!$B$67&lt;=C4256*12))),'Operating costs'!$B$66,0),"n.a."))</f>
        <v>0</v>
      </c>
      <c r="N4256" s="16">
        <f>IF(NOT(Paths!$C$393=1),0,IF(Paths!$P$393="Complete",SUM(G4256:I4256)-J4256-K4256-L4256+M4256+IF(C4256=0,Paths!$F$393,0)+IF(IF(Paths!$E$393=0,C4256=0,AND(C4256&gt;0,Paths!$E$393&gt;(C4256-1)*12,Paths!$E$393&lt;=C4256*12)),VLOOKUP(A4256,'Fleet register'!$A$7:$S$106,16,FALSE),0),"n.a."))</f>
        <v>0</v>
      </c>
      <c r="O4256" s="16">
        <f>IF(NOT(Paths!$C$393=1),0,IF(Paths!$P$393="Complete",N4256-IF(C4256=0,Paths!$F$393,0),"n.a."))</f>
        <v>0</v>
      </c>
      <c r="P4256" s="16">
        <f>IF(NOT(Paths!$C$393=1),0,IF(Paths!$P$393="Complete",O4256+L4256,"n.a."))</f>
        <v>0</v>
      </c>
      <c r="Q4256" s="16">
        <f>IF(NOT(Paths!$C$393=1),0,IF(Paths!$P$393="Complete",N4256*(1+'Operating costs'!$B$54)^-C4256,"n.a."))</f>
        <v>0</v>
      </c>
      <c r="R4256" s="16">
        <f>IF(NOT(Paths!$C$393=1),0,IF(Paths!$P$393="Complete",IF(AND(C4256=0,Paths!$E$393=0),I4256-J4256-K4256+VLOOKUP(A4256,'Fleet register'!$A$7:$S$106,15,FALSE)+VLOOKUP(A4256,'Fleet register'!$A$7:$S$106,16,FALSE),0),"n.a."))</f>
        <v>0</v>
      </c>
      <c r="S4256" s="1">
        <f>IF(NOT(Paths!$C$393=1),0,IF(Paths!$P$393="Complete",IF(C4256=0,0,Paths!$S$393*Paths!$R$393),"n.a."))</f>
        <v>0</v>
      </c>
      <c r="T4256" s="1">
        <f>IF(NOT(Paths!$C$393=1),0,IF(Paths!$P$393="Complete",IF(C4256=0,0,VLOOKUP(A4256,'Fleet register'!$A$7:$S$106,9,FALSE)*Paths!$R$393),"n.a."))</f>
        <v>0</v>
      </c>
    </row>
    <row r="4257" spans="1:20" ht="24" customHeight="1">
      <c r="A4257" s="1" t="str">
        <f>Paths!$A$393</f>
        <v>T097</v>
      </c>
      <c r="B4257" s="1">
        <f>Paths!$B$393</f>
        <v>2</v>
      </c>
      <c r="C4257" s="1">
        <v>4</v>
      </c>
      <c r="D4257" s="1">
        <v>393</v>
      </c>
      <c r="E4257" s="1">
        <f>IF(OR(Paths!$C$393=0,C4257=0),0,MAX(0,MIN(C4257*12,Paths!$E$393)-(C4257-1)*12))</f>
        <v>0</v>
      </c>
      <c r="F4257" s="1">
        <f>IF(OR(Paths!$C$393=0,C4257=0),0,12-E4257)</f>
        <v>0</v>
      </c>
      <c r="G4257" s="16">
        <f>IF(NOT(Paths!$C$393=1),0,IF(Paths!$P$393="Complete",E4257/12*(Paths!$J$393*(1+'Operating costs'!$B$51)^MAX(0,C4257-1)+Paths!$K$393*(1+'Operating costs'!$B$53)^MAX(0,C4257-1)),"n.a."))</f>
        <v>0</v>
      </c>
      <c r="H4257" s="16">
        <f>IF(NOT(Paths!$C$393=1),0,IF(Paths!$P$393="Complete",F4257/12*(Paths!$L$393*(1+IF(Paths!$D$393="EV",'Operating costs'!$B$52,'Operating costs'!$B$51))^MAX(0,C4257-1)+Paths!$M$393*(1+'Operating costs'!$B$53)^MAX(0,C4257-1)),"n.a."))</f>
        <v>0</v>
      </c>
      <c r="I4257" s="16">
        <f>IF(NOT(Paths!$C$393=1),0,IF(Paths!$P$393="Complete",IF(IF(Paths!$E$393=0,C4257=0,AND(C4257&gt;0,Paths!$E$393&gt;(C4257-1)*12,Paths!$E$393&lt;=C4257*12)),Paths!$G$393,0),"n.a."))</f>
        <v>0</v>
      </c>
      <c r="J4257" s="16">
        <f>IF(NOT(Paths!$C$393=1),0,IF(Paths!$P$393="Complete",IF(IF(Paths!$E$393=0,C4257=0,AND(C4257&gt;0,Paths!$E$393&gt;(C4257-1)*12,Paths!$E$393&lt;=C4257*12)),Paths!$H$393,0),"n.a."))</f>
        <v>0</v>
      </c>
      <c r="K4257" s="16">
        <f>IF(NOT(Paths!$C$393=1),0,IF(Paths!$P$393="Complete",IF(IF(Paths!$O$393=0,C4257=0,AND(C4257&gt;0,Paths!$O$393&gt;(C4257-1)*12,Paths!$O$393&lt;=C4257*12)),Paths!$N$393,0),"n.a."))</f>
        <v>0</v>
      </c>
      <c r="L4257" s="16">
        <f>IF(NOT(Paths!$C$393=1),0,IF(Paths!$P$393="Complete",IF(C4257=10,Paths!$I$393,0),"n.a."))</f>
        <v>0</v>
      </c>
      <c r="M4257" s="16">
        <f>IF(NOT(Paths!$C$393=1),0,IF(Paths!$P$393="Complete",IF(AND(Paths!$D$393="EV",Paths!$E$393&lt;120,Paths!$E$393+'Operating costs'!$B$65&gt;Paths!$E$393,Paths!$E$393+'Operating costs'!$B$65&lt;=120,IF(Paths!$E$393+'Operating costs'!$B$65=0,C4257=0,AND(C4257&gt;0,Paths!$E$393+'Operating costs'!$B$65&gt;(C4257-1)*12,Paths!$E$393+'Operating costs'!$B$65&lt;=C4257*12))),'Operating costs'!$B$64,0)+IF(AND('Operating costs'!$B$67&gt;0,'Operating costs'!$B$67&lt;=120,OR(Paths!$D$393="ICE",'Operating costs'!$B$67&lt;=Paths!$E$393),IF('Operating costs'!$B$67=0,C4257=0,AND(C4257&gt;0,'Operating costs'!$B$67&gt;(C4257-1)*12,'Operating costs'!$B$67&lt;=C4257*12))),'Operating costs'!$B$66,0),"n.a."))</f>
        <v>0</v>
      </c>
      <c r="N4257" s="16">
        <f>IF(NOT(Paths!$C$393=1),0,IF(Paths!$P$393="Complete",SUM(G4257:I4257)-J4257-K4257-L4257+M4257+IF(C4257=0,Paths!$F$393,0)+IF(IF(Paths!$E$393=0,C4257=0,AND(C4257&gt;0,Paths!$E$393&gt;(C4257-1)*12,Paths!$E$393&lt;=C4257*12)),VLOOKUP(A4257,'Fleet register'!$A$7:$S$106,16,FALSE),0),"n.a."))</f>
        <v>0</v>
      </c>
      <c r="O4257" s="16">
        <f>IF(NOT(Paths!$C$393=1),0,IF(Paths!$P$393="Complete",N4257-IF(C4257=0,Paths!$F$393,0),"n.a."))</f>
        <v>0</v>
      </c>
      <c r="P4257" s="16">
        <f>IF(NOT(Paths!$C$393=1),0,IF(Paths!$P$393="Complete",O4257+L4257,"n.a."))</f>
        <v>0</v>
      </c>
      <c r="Q4257" s="16">
        <f>IF(NOT(Paths!$C$393=1),0,IF(Paths!$P$393="Complete",N4257*(1+'Operating costs'!$B$54)^-C4257,"n.a."))</f>
        <v>0</v>
      </c>
      <c r="R4257" s="16">
        <f>IF(NOT(Paths!$C$393=1),0,IF(Paths!$P$393="Complete",IF(AND(C4257=0,Paths!$E$393=0),I4257-J4257-K4257+VLOOKUP(A4257,'Fleet register'!$A$7:$S$106,15,FALSE)+VLOOKUP(A4257,'Fleet register'!$A$7:$S$106,16,FALSE),0),"n.a."))</f>
        <v>0</v>
      </c>
      <c r="S4257" s="1">
        <f>IF(NOT(Paths!$C$393=1),0,IF(Paths!$P$393="Complete",IF(C4257=0,0,Paths!$S$393*Paths!$R$393),"n.a."))</f>
        <v>0</v>
      </c>
      <c r="T4257" s="1">
        <f>IF(NOT(Paths!$C$393=1),0,IF(Paths!$P$393="Complete",IF(C4257=0,0,VLOOKUP(A4257,'Fleet register'!$A$7:$S$106,9,FALSE)*Paths!$R$393),"n.a."))</f>
        <v>0</v>
      </c>
    </row>
    <row r="4258" spans="1:20" ht="24" customHeight="1">
      <c r="A4258" s="1" t="str">
        <f>Paths!$A$393</f>
        <v>T097</v>
      </c>
      <c r="B4258" s="1">
        <f>Paths!$B$393</f>
        <v>2</v>
      </c>
      <c r="C4258" s="1">
        <v>5</v>
      </c>
      <c r="D4258" s="1">
        <v>393</v>
      </c>
      <c r="E4258" s="1">
        <f>IF(OR(Paths!$C$393=0,C4258=0),0,MAX(0,MIN(C4258*12,Paths!$E$393)-(C4258-1)*12))</f>
        <v>0</v>
      </c>
      <c r="F4258" s="1">
        <f>IF(OR(Paths!$C$393=0,C4258=0),0,12-E4258)</f>
        <v>0</v>
      </c>
      <c r="G4258" s="16">
        <f>IF(NOT(Paths!$C$393=1),0,IF(Paths!$P$393="Complete",E4258/12*(Paths!$J$393*(1+'Operating costs'!$B$51)^MAX(0,C4258-1)+Paths!$K$393*(1+'Operating costs'!$B$53)^MAX(0,C4258-1)),"n.a."))</f>
        <v>0</v>
      </c>
      <c r="H4258" s="16">
        <f>IF(NOT(Paths!$C$393=1),0,IF(Paths!$P$393="Complete",F4258/12*(Paths!$L$393*(1+IF(Paths!$D$393="EV",'Operating costs'!$B$52,'Operating costs'!$B$51))^MAX(0,C4258-1)+Paths!$M$393*(1+'Operating costs'!$B$53)^MAX(0,C4258-1)),"n.a."))</f>
        <v>0</v>
      </c>
      <c r="I4258" s="16">
        <f>IF(NOT(Paths!$C$393=1),0,IF(Paths!$P$393="Complete",IF(IF(Paths!$E$393=0,C4258=0,AND(C4258&gt;0,Paths!$E$393&gt;(C4258-1)*12,Paths!$E$393&lt;=C4258*12)),Paths!$G$393,0),"n.a."))</f>
        <v>0</v>
      </c>
      <c r="J4258" s="16">
        <f>IF(NOT(Paths!$C$393=1),0,IF(Paths!$P$393="Complete",IF(IF(Paths!$E$393=0,C4258=0,AND(C4258&gt;0,Paths!$E$393&gt;(C4258-1)*12,Paths!$E$393&lt;=C4258*12)),Paths!$H$393,0),"n.a."))</f>
        <v>0</v>
      </c>
      <c r="K4258" s="16">
        <f>IF(NOT(Paths!$C$393=1),0,IF(Paths!$P$393="Complete",IF(IF(Paths!$O$393=0,C4258=0,AND(C4258&gt;0,Paths!$O$393&gt;(C4258-1)*12,Paths!$O$393&lt;=C4258*12)),Paths!$N$393,0),"n.a."))</f>
        <v>0</v>
      </c>
      <c r="L4258" s="16">
        <f>IF(NOT(Paths!$C$393=1),0,IF(Paths!$P$393="Complete",IF(C4258=10,Paths!$I$393,0),"n.a."))</f>
        <v>0</v>
      </c>
      <c r="M4258" s="16">
        <f>IF(NOT(Paths!$C$393=1),0,IF(Paths!$P$393="Complete",IF(AND(Paths!$D$393="EV",Paths!$E$393&lt;120,Paths!$E$393+'Operating costs'!$B$65&gt;Paths!$E$393,Paths!$E$393+'Operating costs'!$B$65&lt;=120,IF(Paths!$E$393+'Operating costs'!$B$65=0,C4258=0,AND(C4258&gt;0,Paths!$E$393+'Operating costs'!$B$65&gt;(C4258-1)*12,Paths!$E$393+'Operating costs'!$B$65&lt;=C4258*12))),'Operating costs'!$B$64,0)+IF(AND('Operating costs'!$B$67&gt;0,'Operating costs'!$B$67&lt;=120,OR(Paths!$D$393="ICE",'Operating costs'!$B$67&lt;=Paths!$E$393),IF('Operating costs'!$B$67=0,C4258=0,AND(C4258&gt;0,'Operating costs'!$B$67&gt;(C4258-1)*12,'Operating costs'!$B$67&lt;=C4258*12))),'Operating costs'!$B$66,0),"n.a."))</f>
        <v>0</v>
      </c>
      <c r="N4258" s="16">
        <f>IF(NOT(Paths!$C$393=1),0,IF(Paths!$P$393="Complete",SUM(G4258:I4258)-J4258-K4258-L4258+M4258+IF(C4258=0,Paths!$F$393,0)+IF(IF(Paths!$E$393=0,C4258=0,AND(C4258&gt;0,Paths!$E$393&gt;(C4258-1)*12,Paths!$E$393&lt;=C4258*12)),VLOOKUP(A4258,'Fleet register'!$A$7:$S$106,16,FALSE),0),"n.a."))</f>
        <v>0</v>
      </c>
      <c r="O4258" s="16">
        <f>IF(NOT(Paths!$C$393=1),0,IF(Paths!$P$393="Complete",N4258-IF(C4258=0,Paths!$F$393,0),"n.a."))</f>
        <v>0</v>
      </c>
      <c r="P4258" s="16">
        <f>IF(NOT(Paths!$C$393=1),0,IF(Paths!$P$393="Complete",O4258+L4258,"n.a."))</f>
        <v>0</v>
      </c>
      <c r="Q4258" s="16">
        <f>IF(NOT(Paths!$C$393=1),0,IF(Paths!$P$393="Complete",N4258*(1+'Operating costs'!$B$54)^-C4258,"n.a."))</f>
        <v>0</v>
      </c>
      <c r="R4258" s="16">
        <f>IF(NOT(Paths!$C$393=1),0,IF(Paths!$P$393="Complete",IF(AND(C4258=0,Paths!$E$393=0),I4258-J4258-K4258+VLOOKUP(A4258,'Fleet register'!$A$7:$S$106,15,FALSE)+VLOOKUP(A4258,'Fleet register'!$A$7:$S$106,16,FALSE),0),"n.a."))</f>
        <v>0</v>
      </c>
      <c r="S4258" s="1">
        <f>IF(NOT(Paths!$C$393=1),0,IF(Paths!$P$393="Complete",IF(C4258=0,0,Paths!$S$393*Paths!$R$393),"n.a."))</f>
        <v>0</v>
      </c>
      <c r="T4258" s="1">
        <f>IF(NOT(Paths!$C$393=1),0,IF(Paths!$P$393="Complete",IF(C4258=0,0,VLOOKUP(A4258,'Fleet register'!$A$7:$S$106,9,FALSE)*Paths!$R$393),"n.a."))</f>
        <v>0</v>
      </c>
    </row>
    <row r="4259" spans="1:20" ht="24" customHeight="1">
      <c r="A4259" s="1" t="str">
        <f>Paths!$A$393</f>
        <v>T097</v>
      </c>
      <c r="B4259" s="1">
        <f>Paths!$B$393</f>
        <v>2</v>
      </c>
      <c r="C4259" s="1">
        <v>6</v>
      </c>
      <c r="D4259" s="1">
        <v>393</v>
      </c>
      <c r="E4259" s="1">
        <f>IF(OR(Paths!$C$393=0,C4259=0),0,MAX(0,MIN(C4259*12,Paths!$E$393)-(C4259-1)*12))</f>
        <v>0</v>
      </c>
      <c r="F4259" s="1">
        <f>IF(OR(Paths!$C$393=0,C4259=0),0,12-E4259)</f>
        <v>0</v>
      </c>
      <c r="G4259" s="16">
        <f>IF(NOT(Paths!$C$393=1),0,IF(Paths!$P$393="Complete",E4259/12*(Paths!$J$393*(1+'Operating costs'!$B$51)^MAX(0,C4259-1)+Paths!$K$393*(1+'Operating costs'!$B$53)^MAX(0,C4259-1)),"n.a."))</f>
        <v>0</v>
      </c>
      <c r="H4259" s="16">
        <f>IF(NOT(Paths!$C$393=1),0,IF(Paths!$P$393="Complete",F4259/12*(Paths!$L$393*(1+IF(Paths!$D$393="EV",'Operating costs'!$B$52,'Operating costs'!$B$51))^MAX(0,C4259-1)+Paths!$M$393*(1+'Operating costs'!$B$53)^MAX(0,C4259-1)),"n.a."))</f>
        <v>0</v>
      </c>
      <c r="I4259" s="16">
        <f>IF(NOT(Paths!$C$393=1),0,IF(Paths!$P$393="Complete",IF(IF(Paths!$E$393=0,C4259=0,AND(C4259&gt;0,Paths!$E$393&gt;(C4259-1)*12,Paths!$E$393&lt;=C4259*12)),Paths!$G$393,0),"n.a."))</f>
        <v>0</v>
      </c>
      <c r="J4259" s="16">
        <f>IF(NOT(Paths!$C$393=1),0,IF(Paths!$P$393="Complete",IF(IF(Paths!$E$393=0,C4259=0,AND(C4259&gt;0,Paths!$E$393&gt;(C4259-1)*12,Paths!$E$393&lt;=C4259*12)),Paths!$H$393,0),"n.a."))</f>
        <v>0</v>
      </c>
      <c r="K4259" s="16">
        <f>IF(NOT(Paths!$C$393=1),0,IF(Paths!$P$393="Complete",IF(IF(Paths!$O$393=0,C4259=0,AND(C4259&gt;0,Paths!$O$393&gt;(C4259-1)*12,Paths!$O$393&lt;=C4259*12)),Paths!$N$393,0),"n.a."))</f>
        <v>0</v>
      </c>
      <c r="L4259" s="16">
        <f>IF(NOT(Paths!$C$393=1),0,IF(Paths!$P$393="Complete",IF(C4259=10,Paths!$I$393,0),"n.a."))</f>
        <v>0</v>
      </c>
      <c r="M4259" s="16">
        <f>IF(NOT(Paths!$C$393=1),0,IF(Paths!$P$393="Complete",IF(AND(Paths!$D$393="EV",Paths!$E$393&lt;120,Paths!$E$393+'Operating costs'!$B$65&gt;Paths!$E$393,Paths!$E$393+'Operating costs'!$B$65&lt;=120,IF(Paths!$E$393+'Operating costs'!$B$65=0,C4259=0,AND(C4259&gt;0,Paths!$E$393+'Operating costs'!$B$65&gt;(C4259-1)*12,Paths!$E$393+'Operating costs'!$B$65&lt;=C4259*12))),'Operating costs'!$B$64,0)+IF(AND('Operating costs'!$B$67&gt;0,'Operating costs'!$B$67&lt;=120,OR(Paths!$D$393="ICE",'Operating costs'!$B$67&lt;=Paths!$E$393),IF('Operating costs'!$B$67=0,C4259=0,AND(C4259&gt;0,'Operating costs'!$B$67&gt;(C4259-1)*12,'Operating costs'!$B$67&lt;=C4259*12))),'Operating costs'!$B$66,0),"n.a."))</f>
        <v>0</v>
      </c>
      <c r="N4259" s="16">
        <f>IF(NOT(Paths!$C$393=1),0,IF(Paths!$P$393="Complete",SUM(G4259:I4259)-J4259-K4259-L4259+M4259+IF(C4259=0,Paths!$F$393,0)+IF(IF(Paths!$E$393=0,C4259=0,AND(C4259&gt;0,Paths!$E$393&gt;(C4259-1)*12,Paths!$E$393&lt;=C4259*12)),VLOOKUP(A4259,'Fleet register'!$A$7:$S$106,16,FALSE),0),"n.a."))</f>
        <v>0</v>
      </c>
      <c r="O4259" s="16">
        <f>IF(NOT(Paths!$C$393=1),0,IF(Paths!$P$393="Complete",N4259-IF(C4259=0,Paths!$F$393,0),"n.a."))</f>
        <v>0</v>
      </c>
      <c r="P4259" s="16">
        <f>IF(NOT(Paths!$C$393=1),0,IF(Paths!$P$393="Complete",O4259+L4259,"n.a."))</f>
        <v>0</v>
      </c>
      <c r="Q4259" s="16">
        <f>IF(NOT(Paths!$C$393=1),0,IF(Paths!$P$393="Complete",N4259*(1+'Operating costs'!$B$54)^-C4259,"n.a."))</f>
        <v>0</v>
      </c>
      <c r="R4259" s="16">
        <f>IF(NOT(Paths!$C$393=1),0,IF(Paths!$P$393="Complete",IF(AND(C4259=0,Paths!$E$393=0),I4259-J4259-K4259+VLOOKUP(A4259,'Fleet register'!$A$7:$S$106,15,FALSE)+VLOOKUP(A4259,'Fleet register'!$A$7:$S$106,16,FALSE),0),"n.a."))</f>
        <v>0</v>
      </c>
      <c r="S4259" s="1">
        <f>IF(NOT(Paths!$C$393=1),0,IF(Paths!$P$393="Complete",IF(C4259=0,0,Paths!$S$393*Paths!$R$393),"n.a."))</f>
        <v>0</v>
      </c>
      <c r="T4259" s="1">
        <f>IF(NOT(Paths!$C$393=1),0,IF(Paths!$P$393="Complete",IF(C4259=0,0,VLOOKUP(A4259,'Fleet register'!$A$7:$S$106,9,FALSE)*Paths!$R$393),"n.a."))</f>
        <v>0</v>
      </c>
    </row>
    <row r="4260" spans="1:20" ht="24" customHeight="1">
      <c r="A4260" s="1" t="str">
        <f>Paths!$A$393</f>
        <v>T097</v>
      </c>
      <c r="B4260" s="1">
        <f>Paths!$B$393</f>
        <v>2</v>
      </c>
      <c r="C4260" s="1">
        <v>7</v>
      </c>
      <c r="D4260" s="1">
        <v>393</v>
      </c>
      <c r="E4260" s="1">
        <f>IF(OR(Paths!$C$393=0,C4260=0),0,MAX(0,MIN(C4260*12,Paths!$E$393)-(C4260-1)*12))</f>
        <v>0</v>
      </c>
      <c r="F4260" s="1">
        <f>IF(OR(Paths!$C$393=0,C4260=0),0,12-E4260)</f>
        <v>0</v>
      </c>
      <c r="G4260" s="16">
        <f>IF(NOT(Paths!$C$393=1),0,IF(Paths!$P$393="Complete",E4260/12*(Paths!$J$393*(1+'Operating costs'!$B$51)^MAX(0,C4260-1)+Paths!$K$393*(1+'Operating costs'!$B$53)^MAX(0,C4260-1)),"n.a."))</f>
        <v>0</v>
      </c>
      <c r="H4260" s="16">
        <f>IF(NOT(Paths!$C$393=1),0,IF(Paths!$P$393="Complete",F4260/12*(Paths!$L$393*(1+IF(Paths!$D$393="EV",'Operating costs'!$B$52,'Operating costs'!$B$51))^MAX(0,C4260-1)+Paths!$M$393*(1+'Operating costs'!$B$53)^MAX(0,C4260-1)),"n.a."))</f>
        <v>0</v>
      </c>
      <c r="I4260" s="16">
        <f>IF(NOT(Paths!$C$393=1),0,IF(Paths!$P$393="Complete",IF(IF(Paths!$E$393=0,C4260=0,AND(C4260&gt;0,Paths!$E$393&gt;(C4260-1)*12,Paths!$E$393&lt;=C4260*12)),Paths!$G$393,0),"n.a."))</f>
        <v>0</v>
      </c>
      <c r="J4260" s="16">
        <f>IF(NOT(Paths!$C$393=1),0,IF(Paths!$P$393="Complete",IF(IF(Paths!$E$393=0,C4260=0,AND(C4260&gt;0,Paths!$E$393&gt;(C4260-1)*12,Paths!$E$393&lt;=C4260*12)),Paths!$H$393,0),"n.a."))</f>
        <v>0</v>
      </c>
      <c r="K4260" s="16">
        <f>IF(NOT(Paths!$C$393=1),0,IF(Paths!$P$393="Complete",IF(IF(Paths!$O$393=0,C4260=0,AND(C4260&gt;0,Paths!$O$393&gt;(C4260-1)*12,Paths!$O$393&lt;=C4260*12)),Paths!$N$393,0),"n.a."))</f>
        <v>0</v>
      </c>
      <c r="L4260" s="16">
        <f>IF(NOT(Paths!$C$393=1),0,IF(Paths!$P$393="Complete",IF(C4260=10,Paths!$I$393,0),"n.a."))</f>
        <v>0</v>
      </c>
      <c r="M4260" s="16">
        <f>IF(NOT(Paths!$C$393=1),0,IF(Paths!$P$393="Complete",IF(AND(Paths!$D$393="EV",Paths!$E$393&lt;120,Paths!$E$393+'Operating costs'!$B$65&gt;Paths!$E$393,Paths!$E$393+'Operating costs'!$B$65&lt;=120,IF(Paths!$E$393+'Operating costs'!$B$65=0,C4260=0,AND(C4260&gt;0,Paths!$E$393+'Operating costs'!$B$65&gt;(C4260-1)*12,Paths!$E$393+'Operating costs'!$B$65&lt;=C4260*12))),'Operating costs'!$B$64,0)+IF(AND('Operating costs'!$B$67&gt;0,'Operating costs'!$B$67&lt;=120,OR(Paths!$D$393="ICE",'Operating costs'!$B$67&lt;=Paths!$E$393),IF('Operating costs'!$B$67=0,C4260=0,AND(C4260&gt;0,'Operating costs'!$B$67&gt;(C4260-1)*12,'Operating costs'!$B$67&lt;=C4260*12))),'Operating costs'!$B$66,0),"n.a."))</f>
        <v>0</v>
      </c>
      <c r="N4260" s="16">
        <f>IF(NOT(Paths!$C$393=1),0,IF(Paths!$P$393="Complete",SUM(G4260:I4260)-J4260-K4260-L4260+M4260+IF(C4260=0,Paths!$F$393,0)+IF(IF(Paths!$E$393=0,C4260=0,AND(C4260&gt;0,Paths!$E$393&gt;(C4260-1)*12,Paths!$E$393&lt;=C4260*12)),VLOOKUP(A4260,'Fleet register'!$A$7:$S$106,16,FALSE),0),"n.a."))</f>
        <v>0</v>
      </c>
      <c r="O4260" s="16">
        <f>IF(NOT(Paths!$C$393=1),0,IF(Paths!$P$393="Complete",N4260-IF(C4260=0,Paths!$F$393,0),"n.a."))</f>
        <v>0</v>
      </c>
      <c r="P4260" s="16">
        <f>IF(NOT(Paths!$C$393=1),0,IF(Paths!$P$393="Complete",O4260+L4260,"n.a."))</f>
        <v>0</v>
      </c>
      <c r="Q4260" s="16">
        <f>IF(NOT(Paths!$C$393=1),0,IF(Paths!$P$393="Complete",N4260*(1+'Operating costs'!$B$54)^-C4260,"n.a."))</f>
        <v>0</v>
      </c>
      <c r="R4260" s="16">
        <f>IF(NOT(Paths!$C$393=1),0,IF(Paths!$P$393="Complete",IF(AND(C4260=0,Paths!$E$393=0),I4260-J4260-K4260+VLOOKUP(A4260,'Fleet register'!$A$7:$S$106,15,FALSE)+VLOOKUP(A4260,'Fleet register'!$A$7:$S$106,16,FALSE),0),"n.a."))</f>
        <v>0</v>
      </c>
      <c r="S4260" s="1">
        <f>IF(NOT(Paths!$C$393=1),0,IF(Paths!$P$393="Complete",IF(C4260=0,0,Paths!$S$393*Paths!$R$393),"n.a."))</f>
        <v>0</v>
      </c>
      <c r="T4260" s="1">
        <f>IF(NOT(Paths!$C$393=1),0,IF(Paths!$P$393="Complete",IF(C4260=0,0,VLOOKUP(A4260,'Fleet register'!$A$7:$S$106,9,FALSE)*Paths!$R$393),"n.a."))</f>
        <v>0</v>
      </c>
    </row>
    <row r="4261" spans="1:20" ht="24" customHeight="1">
      <c r="A4261" s="1" t="str">
        <f>Paths!$A$393</f>
        <v>T097</v>
      </c>
      <c r="B4261" s="1">
        <f>Paths!$B$393</f>
        <v>2</v>
      </c>
      <c r="C4261" s="1">
        <v>8</v>
      </c>
      <c r="D4261" s="1">
        <v>393</v>
      </c>
      <c r="E4261" s="1">
        <f>IF(OR(Paths!$C$393=0,C4261=0),0,MAX(0,MIN(C4261*12,Paths!$E$393)-(C4261-1)*12))</f>
        <v>0</v>
      </c>
      <c r="F4261" s="1">
        <f>IF(OR(Paths!$C$393=0,C4261=0),0,12-E4261)</f>
        <v>0</v>
      </c>
      <c r="G4261" s="16">
        <f>IF(NOT(Paths!$C$393=1),0,IF(Paths!$P$393="Complete",E4261/12*(Paths!$J$393*(1+'Operating costs'!$B$51)^MAX(0,C4261-1)+Paths!$K$393*(1+'Operating costs'!$B$53)^MAX(0,C4261-1)),"n.a."))</f>
        <v>0</v>
      </c>
      <c r="H4261" s="16">
        <f>IF(NOT(Paths!$C$393=1),0,IF(Paths!$P$393="Complete",F4261/12*(Paths!$L$393*(1+IF(Paths!$D$393="EV",'Operating costs'!$B$52,'Operating costs'!$B$51))^MAX(0,C4261-1)+Paths!$M$393*(1+'Operating costs'!$B$53)^MAX(0,C4261-1)),"n.a."))</f>
        <v>0</v>
      </c>
      <c r="I4261" s="16">
        <f>IF(NOT(Paths!$C$393=1),0,IF(Paths!$P$393="Complete",IF(IF(Paths!$E$393=0,C4261=0,AND(C4261&gt;0,Paths!$E$393&gt;(C4261-1)*12,Paths!$E$393&lt;=C4261*12)),Paths!$G$393,0),"n.a."))</f>
        <v>0</v>
      </c>
      <c r="J4261" s="16">
        <f>IF(NOT(Paths!$C$393=1),0,IF(Paths!$P$393="Complete",IF(IF(Paths!$E$393=0,C4261=0,AND(C4261&gt;0,Paths!$E$393&gt;(C4261-1)*12,Paths!$E$393&lt;=C4261*12)),Paths!$H$393,0),"n.a."))</f>
        <v>0</v>
      </c>
      <c r="K4261" s="16">
        <f>IF(NOT(Paths!$C$393=1),0,IF(Paths!$P$393="Complete",IF(IF(Paths!$O$393=0,C4261=0,AND(C4261&gt;0,Paths!$O$393&gt;(C4261-1)*12,Paths!$O$393&lt;=C4261*12)),Paths!$N$393,0),"n.a."))</f>
        <v>0</v>
      </c>
      <c r="L4261" s="16">
        <f>IF(NOT(Paths!$C$393=1),0,IF(Paths!$P$393="Complete",IF(C4261=10,Paths!$I$393,0),"n.a."))</f>
        <v>0</v>
      </c>
      <c r="M4261" s="16">
        <f>IF(NOT(Paths!$C$393=1),0,IF(Paths!$P$393="Complete",IF(AND(Paths!$D$393="EV",Paths!$E$393&lt;120,Paths!$E$393+'Operating costs'!$B$65&gt;Paths!$E$393,Paths!$E$393+'Operating costs'!$B$65&lt;=120,IF(Paths!$E$393+'Operating costs'!$B$65=0,C4261=0,AND(C4261&gt;0,Paths!$E$393+'Operating costs'!$B$65&gt;(C4261-1)*12,Paths!$E$393+'Operating costs'!$B$65&lt;=C4261*12))),'Operating costs'!$B$64,0)+IF(AND('Operating costs'!$B$67&gt;0,'Operating costs'!$B$67&lt;=120,OR(Paths!$D$393="ICE",'Operating costs'!$B$67&lt;=Paths!$E$393),IF('Operating costs'!$B$67=0,C4261=0,AND(C4261&gt;0,'Operating costs'!$B$67&gt;(C4261-1)*12,'Operating costs'!$B$67&lt;=C4261*12))),'Operating costs'!$B$66,0),"n.a."))</f>
        <v>0</v>
      </c>
      <c r="N4261" s="16">
        <f>IF(NOT(Paths!$C$393=1),0,IF(Paths!$P$393="Complete",SUM(G4261:I4261)-J4261-K4261-L4261+M4261+IF(C4261=0,Paths!$F$393,0)+IF(IF(Paths!$E$393=0,C4261=0,AND(C4261&gt;0,Paths!$E$393&gt;(C4261-1)*12,Paths!$E$393&lt;=C4261*12)),VLOOKUP(A4261,'Fleet register'!$A$7:$S$106,16,FALSE),0),"n.a."))</f>
        <v>0</v>
      </c>
      <c r="O4261" s="16">
        <f>IF(NOT(Paths!$C$393=1),0,IF(Paths!$P$393="Complete",N4261-IF(C4261=0,Paths!$F$393,0),"n.a."))</f>
        <v>0</v>
      </c>
      <c r="P4261" s="16">
        <f>IF(NOT(Paths!$C$393=1),0,IF(Paths!$P$393="Complete",O4261+L4261,"n.a."))</f>
        <v>0</v>
      </c>
      <c r="Q4261" s="16">
        <f>IF(NOT(Paths!$C$393=1),0,IF(Paths!$P$393="Complete",N4261*(1+'Operating costs'!$B$54)^-C4261,"n.a."))</f>
        <v>0</v>
      </c>
      <c r="R4261" s="16">
        <f>IF(NOT(Paths!$C$393=1),0,IF(Paths!$P$393="Complete",IF(AND(C4261=0,Paths!$E$393=0),I4261-J4261-K4261+VLOOKUP(A4261,'Fleet register'!$A$7:$S$106,15,FALSE)+VLOOKUP(A4261,'Fleet register'!$A$7:$S$106,16,FALSE),0),"n.a."))</f>
        <v>0</v>
      </c>
      <c r="S4261" s="1">
        <f>IF(NOT(Paths!$C$393=1),0,IF(Paths!$P$393="Complete",IF(C4261=0,0,Paths!$S$393*Paths!$R$393),"n.a."))</f>
        <v>0</v>
      </c>
      <c r="T4261" s="1">
        <f>IF(NOT(Paths!$C$393=1),0,IF(Paths!$P$393="Complete",IF(C4261=0,0,VLOOKUP(A4261,'Fleet register'!$A$7:$S$106,9,FALSE)*Paths!$R$393),"n.a."))</f>
        <v>0</v>
      </c>
    </row>
    <row r="4262" spans="1:20" ht="24" customHeight="1">
      <c r="A4262" s="1" t="str">
        <f>Paths!$A$393</f>
        <v>T097</v>
      </c>
      <c r="B4262" s="1">
        <f>Paths!$B$393</f>
        <v>2</v>
      </c>
      <c r="C4262" s="1">
        <v>9</v>
      </c>
      <c r="D4262" s="1">
        <v>393</v>
      </c>
      <c r="E4262" s="1">
        <f>IF(OR(Paths!$C$393=0,C4262=0),0,MAX(0,MIN(C4262*12,Paths!$E$393)-(C4262-1)*12))</f>
        <v>0</v>
      </c>
      <c r="F4262" s="1">
        <f>IF(OR(Paths!$C$393=0,C4262=0),0,12-E4262)</f>
        <v>0</v>
      </c>
      <c r="G4262" s="16">
        <f>IF(NOT(Paths!$C$393=1),0,IF(Paths!$P$393="Complete",E4262/12*(Paths!$J$393*(1+'Operating costs'!$B$51)^MAX(0,C4262-1)+Paths!$K$393*(1+'Operating costs'!$B$53)^MAX(0,C4262-1)),"n.a."))</f>
        <v>0</v>
      </c>
      <c r="H4262" s="16">
        <f>IF(NOT(Paths!$C$393=1),0,IF(Paths!$P$393="Complete",F4262/12*(Paths!$L$393*(1+IF(Paths!$D$393="EV",'Operating costs'!$B$52,'Operating costs'!$B$51))^MAX(0,C4262-1)+Paths!$M$393*(1+'Operating costs'!$B$53)^MAX(0,C4262-1)),"n.a."))</f>
        <v>0</v>
      </c>
      <c r="I4262" s="16">
        <f>IF(NOT(Paths!$C$393=1),0,IF(Paths!$P$393="Complete",IF(IF(Paths!$E$393=0,C4262=0,AND(C4262&gt;0,Paths!$E$393&gt;(C4262-1)*12,Paths!$E$393&lt;=C4262*12)),Paths!$G$393,0),"n.a."))</f>
        <v>0</v>
      </c>
      <c r="J4262" s="16">
        <f>IF(NOT(Paths!$C$393=1),0,IF(Paths!$P$393="Complete",IF(IF(Paths!$E$393=0,C4262=0,AND(C4262&gt;0,Paths!$E$393&gt;(C4262-1)*12,Paths!$E$393&lt;=C4262*12)),Paths!$H$393,0),"n.a."))</f>
        <v>0</v>
      </c>
      <c r="K4262" s="16">
        <f>IF(NOT(Paths!$C$393=1),0,IF(Paths!$P$393="Complete",IF(IF(Paths!$O$393=0,C4262=0,AND(C4262&gt;0,Paths!$O$393&gt;(C4262-1)*12,Paths!$O$393&lt;=C4262*12)),Paths!$N$393,0),"n.a."))</f>
        <v>0</v>
      </c>
      <c r="L4262" s="16">
        <f>IF(NOT(Paths!$C$393=1),0,IF(Paths!$P$393="Complete",IF(C4262=10,Paths!$I$393,0),"n.a."))</f>
        <v>0</v>
      </c>
      <c r="M4262" s="16">
        <f>IF(NOT(Paths!$C$393=1),0,IF(Paths!$P$393="Complete",IF(AND(Paths!$D$393="EV",Paths!$E$393&lt;120,Paths!$E$393+'Operating costs'!$B$65&gt;Paths!$E$393,Paths!$E$393+'Operating costs'!$B$65&lt;=120,IF(Paths!$E$393+'Operating costs'!$B$65=0,C4262=0,AND(C4262&gt;0,Paths!$E$393+'Operating costs'!$B$65&gt;(C4262-1)*12,Paths!$E$393+'Operating costs'!$B$65&lt;=C4262*12))),'Operating costs'!$B$64,0)+IF(AND('Operating costs'!$B$67&gt;0,'Operating costs'!$B$67&lt;=120,OR(Paths!$D$393="ICE",'Operating costs'!$B$67&lt;=Paths!$E$393),IF('Operating costs'!$B$67=0,C4262=0,AND(C4262&gt;0,'Operating costs'!$B$67&gt;(C4262-1)*12,'Operating costs'!$B$67&lt;=C4262*12))),'Operating costs'!$B$66,0),"n.a."))</f>
        <v>0</v>
      </c>
      <c r="N4262" s="16">
        <f>IF(NOT(Paths!$C$393=1),0,IF(Paths!$P$393="Complete",SUM(G4262:I4262)-J4262-K4262-L4262+M4262+IF(C4262=0,Paths!$F$393,0)+IF(IF(Paths!$E$393=0,C4262=0,AND(C4262&gt;0,Paths!$E$393&gt;(C4262-1)*12,Paths!$E$393&lt;=C4262*12)),VLOOKUP(A4262,'Fleet register'!$A$7:$S$106,16,FALSE),0),"n.a."))</f>
        <v>0</v>
      </c>
      <c r="O4262" s="16">
        <f>IF(NOT(Paths!$C$393=1),0,IF(Paths!$P$393="Complete",N4262-IF(C4262=0,Paths!$F$393,0),"n.a."))</f>
        <v>0</v>
      </c>
      <c r="P4262" s="16">
        <f>IF(NOT(Paths!$C$393=1),0,IF(Paths!$P$393="Complete",O4262+L4262,"n.a."))</f>
        <v>0</v>
      </c>
      <c r="Q4262" s="16">
        <f>IF(NOT(Paths!$C$393=1),0,IF(Paths!$P$393="Complete",N4262*(1+'Operating costs'!$B$54)^-C4262,"n.a."))</f>
        <v>0</v>
      </c>
      <c r="R4262" s="16">
        <f>IF(NOT(Paths!$C$393=1),0,IF(Paths!$P$393="Complete",IF(AND(C4262=0,Paths!$E$393=0),I4262-J4262-K4262+VLOOKUP(A4262,'Fleet register'!$A$7:$S$106,15,FALSE)+VLOOKUP(A4262,'Fleet register'!$A$7:$S$106,16,FALSE),0),"n.a."))</f>
        <v>0</v>
      </c>
      <c r="S4262" s="1">
        <f>IF(NOT(Paths!$C$393=1),0,IF(Paths!$P$393="Complete",IF(C4262=0,0,Paths!$S$393*Paths!$R$393),"n.a."))</f>
        <v>0</v>
      </c>
      <c r="T4262" s="1">
        <f>IF(NOT(Paths!$C$393=1),0,IF(Paths!$P$393="Complete",IF(C4262=0,0,VLOOKUP(A4262,'Fleet register'!$A$7:$S$106,9,FALSE)*Paths!$R$393),"n.a."))</f>
        <v>0</v>
      </c>
    </row>
    <row r="4263" spans="1:20" ht="24" customHeight="1">
      <c r="A4263" s="1" t="str">
        <f>Paths!$A$393</f>
        <v>T097</v>
      </c>
      <c r="B4263" s="1">
        <f>Paths!$B$393</f>
        <v>2</v>
      </c>
      <c r="C4263" s="1">
        <v>10</v>
      </c>
      <c r="D4263" s="1">
        <v>393</v>
      </c>
      <c r="E4263" s="1">
        <f>IF(OR(Paths!$C$393=0,C4263=0),0,MAX(0,MIN(C4263*12,Paths!$E$393)-(C4263-1)*12))</f>
        <v>0</v>
      </c>
      <c r="F4263" s="1">
        <f>IF(OR(Paths!$C$393=0,C4263=0),0,12-E4263)</f>
        <v>0</v>
      </c>
      <c r="G4263" s="16">
        <f>IF(NOT(Paths!$C$393=1),0,IF(Paths!$P$393="Complete",E4263/12*(Paths!$J$393*(1+'Operating costs'!$B$51)^MAX(0,C4263-1)+Paths!$K$393*(1+'Operating costs'!$B$53)^MAX(0,C4263-1)),"n.a."))</f>
        <v>0</v>
      </c>
      <c r="H4263" s="16">
        <f>IF(NOT(Paths!$C$393=1),0,IF(Paths!$P$393="Complete",F4263/12*(Paths!$L$393*(1+IF(Paths!$D$393="EV",'Operating costs'!$B$52,'Operating costs'!$B$51))^MAX(0,C4263-1)+Paths!$M$393*(1+'Operating costs'!$B$53)^MAX(0,C4263-1)),"n.a."))</f>
        <v>0</v>
      </c>
      <c r="I4263" s="16">
        <f>IF(NOT(Paths!$C$393=1),0,IF(Paths!$P$393="Complete",IF(IF(Paths!$E$393=0,C4263=0,AND(C4263&gt;0,Paths!$E$393&gt;(C4263-1)*12,Paths!$E$393&lt;=C4263*12)),Paths!$G$393,0),"n.a."))</f>
        <v>0</v>
      </c>
      <c r="J4263" s="16">
        <f>IF(NOT(Paths!$C$393=1),0,IF(Paths!$P$393="Complete",IF(IF(Paths!$E$393=0,C4263=0,AND(C4263&gt;0,Paths!$E$393&gt;(C4263-1)*12,Paths!$E$393&lt;=C4263*12)),Paths!$H$393,0),"n.a."))</f>
        <v>0</v>
      </c>
      <c r="K4263" s="16">
        <f>IF(NOT(Paths!$C$393=1),0,IF(Paths!$P$393="Complete",IF(IF(Paths!$O$393=0,C4263=0,AND(C4263&gt;0,Paths!$O$393&gt;(C4263-1)*12,Paths!$O$393&lt;=C4263*12)),Paths!$N$393,0),"n.a."))</f>
        <v>0</v>
      </c>
      <c r="L4263" s="16">
        <f>IF(NOT(Paths!$C$393=1),0,IF(Paths!$P$393="Complete",IF(C4263=10,Paths!$I$393,0),"n.a."))</f>
        <v>0</v>
      </c>
      <c r="M4263" s="16">
        <f>IF(NOT(Paths!$C$393=1),0,IF(Paths!$P$393="Complete",IF(AND(Paths!$D$393="EV",Paths!$E$393&lt;120,Paths!$E$393+'Operating costs'!$B$65&gt;Paths!$E$393,Paths!$E$393+'Operating costs'!$B$65&lt;=120,IF(Paths!$E$393+'Operating costs'!$B$65=0,C4263=0,AND(C4263&gt;0,Paths!$E$393+'Operating costs'!$B$65&gt;(C4263-1)*12,Paths!$E$393+'Operating costs'!$B$65&lt;=C4263*12))),'Operating costs'!$B$64,0)+IF(AND('Operating costs'!$B$67&gt;0,'Operating costs'!$B$67&lt;=120,OR(Paths!$D$393="ICE",'Operating costs'!$B$67&lt;=Paths!$E$393),IF('Operating costs'!$B$67=0,C4263=0,AND(C4263&gt;0,'Operating costs'!$B$67&gt;(C4263-1)*12,'Operating costs'!$B$67&lt;=C4263*12))),'Operating costs'!$B$66,0),"n.a."))</f>
        <v>0</v>
      </c>
      <c r="N4263" s="16">
        <f>IF(NOT(Paths!$C$393=1),0,IF(Paths!$P$393="Complete",SUM(G4263:I4263)-J4263-K4263-L4263+M4263+IF(C4263=0,Paths!$F$393,0)+IF(IF(Paths!$E$393=0,C4263=0,AND(C4263&gt;0,Paths!$E$393&gt;(C4263-1)*12,Paths!$E$393&lt;=C4263*12)),VLOOKUP(A4263,'Fleet register'!$A$7:$S$106,16,FALSE),0),"n.a."))</f>
        <v>0</v>
      </c>
      <c r="O4263" s="16">
        <f>IF(NOT(Paths!$C$393=1),0,IF(Paths!$P$393="Complete",N4263-IF(C4263=0,Paths!$F$393,0),"n.a."))</f>
        <v>0</v>
      </c>
      <c r="P4263" s="16">
        <f>IF(NOT(Paths!$C$393=1),0,IF(Paths!$P$393="Complete",O4263+L4263,"n.a."))</f>
        <v>0</v>
      </c>
      <c r="Q4263" s="16">
        <f>IF(NOT(Paths!$C$393=1),0,IF(Paths!$P$393="Complete",N4263*(1+'Operating costs'!$B$54)^-C4263,"n.a."))</f>
        <v>0</v>
      </c>
      <c r="R4263" s="16">
        <f>IF(NOT(Paths!$C$393=1),0,IF(Paths!$P$393="Complete",IF(AND(C4263=0,Paths!$E$393=0),I4263-J4263-K4263+VLOOKUP(A4263,'Fleet register'!$A$7:$S$106,15,FALSE)+VLOOKUP(A4263,'Fleet register'!$A$7:$S$106,16,FALSE),0),"n.a."))</f>
        <v>0</v>
      </c>
      <c r="S4263" s="1">
        <f>IF(NOT(Paths!$C$393=1),0,IF(Paths!$P$393="Complete",IF(C4263=0,0,Paths!$S$393*Paths!$R$393),"n.a."))</f>
        <v>0</v>
      </c>
      <c r="T4263" s="1">
        <f>IF(NOT(Paths!$C$393=1),0,IF(Paths!$P$393="Complete",IF(C4263=0,0,VLOOKUP(A4263,'Fleet register'!$A$7:$S$106,9,FALSE)*Paths!$R$393),"n.a."))</f>
        <v>0</v>
      </c>
    </row>
    <row r="4264" spans="1:20" ht="24" customHeight="1">
      <c r="A4264" s="1" t="str">
        <f>Paths!$A$394</f>
        <v>T097</v>
      </c>
      <c r="B4264" s="1">
        <f>Paths!$B$394</f>
        <v>3</v>
      </c>
      <c r="C4264" s="1">
        <v>0</v>
      </c>
      <c r="D4264" s="1">
        <v>394</v>
      </c>
      <c r="E4264" s="1">
        <f>IF(OR(Paths!$C$394=0,C4264=0),0,MAX(0,MIN(C4264*12,Paths!$E$394)-(C4264-1)*12))</f>
        <v>0</v>
      </c>
      <c r="F4264" s="1">
        <f>IF(OR(Paths!$C$394=0,C4264=0),0,12-E4264)</f>
        <v>0</v>
      </c>
      <c r="G4264" s="16">
        <f>IF(NOT(Paths!$C$394=1),0,IF(Paths!$P$394="Complete",E4264/12*(Paths!$J$394*(1+'Operating costs'!$B$51)^MAX(0,C4264-1)+Paths!$K$394*(1+'Operating costs'!$B$53)^MAX(0,C4264-1)),"n.a."))</f>
        <v>0</v>
      </c>
      <c r="H4264" s="16">
        <f>IF(NOT(Paths!$C$394=1),0,IF(Paths!$P$394="Complete",F4264/12*(Paths!$L$394*(1+IF(Paths!$D$394="EV",'Operating costs'!$B$52,'Operating costs'!$B$51))^MAX(0,C4264-1)+Paths!$M$394*(1+'Operating costs'!$B$53)^MAX(0,C4264-1)),"n.a."))</f>
        <v>0</v>
      </c>
      <c r="I4264" s="16">
        <f>IF(NOT(Paths!$C$394=1),0,IF(Paths!$P$394="Complete",IF(IF(Paths!$E$394=0,C4264=0,AND(C4264&gt;0,Paths!$E$394&gt;(C4264-1)*12,Paths!$E$394&lt;=C4264*12)),Paths!$G$394,0),"n.a."))</f>
        <v>0</v>
      </c>
      <c r="J4264" s="16">
        <f>IF(NOT(Paths!$C$394=1),0,IF(Paths!$P$394="Complete",IF(IF(Paths!$E$394=0,C4264=0,AND(C4264&gt;0,Paths!$E$394&gt;(C4264-1)*12,Paths!$E$394&lt;=C4264*12)),Paths!$H$394,0),"n.a."))</f>
        <v>0</v>
      </c>
      <c r="K4264" s="16">
        <f>IF(NOT(Paths!$C$394=1),0,IF(Paths!$P$394="Complete",IF(IF(Paths!$O$394=0,C4264=0,AND(C4264&gt;0,Paths!$O$394&gt;(C4264-1)*12,Paths!$O$394&lt;=C4264*12)),Paths!$N$394,0),"n.a."))</f>
        <v>0</v>
      </c>
      <c r="L4264" s="16">
        <f>IF(NOT(Paths!$C$394=1),0,IF(Paths!$P$394="Complete",IF(C4264=10,Paths!$I$394,0),"n.a."))</f>
        <v>0</v>
      </c>
      <c r="M4264" s="16">
        <f>IF(NOT(Paths!$C$394=1),0,IF(Paths!$P$394="Complete",IF(AND(Paths!$D$394="EV",Paths!$E$394&lt;120,Paths!$E$394+'Operating costs'!$B$65&gt;Paths!$E$394,Paths!$E$394+'Operating costs'!$B$65&lt;=120,IF(Paths!$E$394+'Operating costs'!$B$65=0,C4264=0,AND(C4264&gt;0,Paths!$E$394+'Operating costs'!$B$65&gt;(C4264-1)*12,Paths!$E$394+'Operating costs'!$B$65&lt;=C4264*12))),'Operating costs'!$B$64,0)+IF(AND('Operating costs'!$B$67&gt;0,'Operating costs'!$B$67&lt;=120,OR(Paths!$D$394="ICE",'Operating costs'!$B$67&lt;=Paths!$E$394),IF('Operating costs'!$B$67=0,C4264=0,AND(C4264&gt;0,'Operating costs'!$B$67&gt;(C4264-1)*12,'Operating costs'!$B$67&lt;=C4264*12))),'Operating costs'!$B$66,0),"n.a."))</f>
        <v>0</v>
      </c>
      <c r="N4264" s="16">
        <f>IF(NOT(Paths!$C$394=1),0,IF(Paths!$P$394="Complete",SUM(G4264:I4264)-J4264-K4264-L4264+M4264+IF(C4264=0,Paths!$F$394,0)+IF(IF(Paths!$E$394=0,C4264=0,AND(C4264&gt;0,Paths!$E$394&gt;(C4264-1)*12,Paths!$E$394&lt;=C4264*12)),VLOOKUP(A4264,'Fleet register'!$A$7:$S$106,16,FALSE),0),"n.a."))</f>
        <v>0</v>
      </c>
      <c r="O4264" s="16">
        <f>IF(NOT(Paths!$C$394=1),0,IF(Paths!$P$394="Complete",N4264-IF(C4264=0,Paths!$F$394,0),"n.a."))</f>
        <v>0</v>
      </c>
      <c r="P4264" s="16">
        <f>IF(NOT(Paths!$C$394=1),0,IF(Paths!$P$394="Complete",O4264+L4264,"n.a."))</f>
        <v>0</v>
      </c>
      <c r="Q4264" s="16">
        <f>IF(NOT(Paths!$C$394=1),0,IF(Paths!$P$394="Complete",N4264*(1+'Operating costs'!$B$54)^-C4264,"n.a."))</f>
        <v>0</v>
      </c>
      <c r="R4264" s="16">
        <f>IF(NOT(Paths!$C$394=1),0,IF(Paths!$P$394="Complete",IF(AND(C4264=0,Paths!$E$394=0),I4264-J4264-K4264+VLOOKUP(A4264,'Fleet register'!$A$7:$S$106,15,FALSE)+VLOOKUP(A4264,'Fleet register'!$A$7:$S$106,16,FALSE),0),"n.a."))</f>
        <v>0</v>
      </c>
      <c r="S4264" s="1">
        <f>IF(NOT(Paths!$C$394=1),0,IF(Paths!$P$394="Complete",IF(C4264=0,0,Paths!$S$394*Paths!$R$394),"n.a."))</f>
        <v>0</v>
      </c>
      <c r="T4264" s="1">
        <f>IF(NOT(Paths!$C$394=1),0,IF(Paths!$P$394="Complete",IF(C4264=0,0,VLOOKUP(A4264,'Fleet register'!$A$7:$S$106,9,FALSE)*Paths!$R$394),"n.a."))</f>
        <v>0</v>
      </c>
    </row>
    <row r="4265" spans="1:20" ht="24" customHeight="1">
      <c r="A4265" s="1" t="str">
        <f>Paths!$A$394</f>
        <v>T097</v>
      </c>
      <c r="B4265" s="1">
        <f>Paths!$B$394</f>
        <v>3</v>
      </c>
      <c r="C4265" s="1">
        <v>1</v>
      </c>
      <c r="D4265" s="1">
        <v>394</v>
      </c>
      <c r="E4265" s="1">
        <f>IF(OR(Paths!$C$394=0,C4265=0),0,MAX(0,MIN(C4265*12,Paths!$E$394)-(C4265-1)*12))</f>
        <v>0</v>
      </c>
      <c r="F4265" s="1">
        <f>IF(OR(Paths!$C$394=0,C4265=0),0,12-E4265)</f>
        <v>0</v>
      </c>
      <c r="G4265" s="16">
        <f>IF(NOT(Paths!$C$394=1),0,IF(Paths!$P$394="Complete",E4265/12*(Paths!$J$394*(1+'Operating costs'!$B$51)^MAX(0,C4265-1)+Paths!$K$394*(1+'Operating costs'!$B$53)^MAX(0,C4265-1)),"n.a."))</f>
        <v>0</v>
      </c>
      <c r="H4265" s="16">
        <f>IF(NOT(Paths!$C$394=1),0,IF(Paths!$P$394="Complete",F4265/12*(Paths!$L$394*(1+IF(Paths!$D$394="EV",'Operating costs'!$B$52,'Operating costs'!$B$51))^MAX(0,C4265-1)+Paths!$M$394*(1+'Operating costs'!$B$53)^MAX(0,C4265-1)),"n.a."))</f>
        <v>0</v>
      </c>
      <c r="I4265" s="16">
        <f>IF(NOT(Paths!$C$394=1),0,IF(Paths!$P$394="Complete",IF(IF(Paths!$E$394=0,C4265=0,AND(C4265&gt;0,Paths!$E$394&gt;(C4265-1)*12,Paths!$E$394&lt;=C4265*12)),Paths!$G$394,0),"n.a."))</f>
        <v>0</v>
      </c>
      <c r="J4265" s="16">
        <f>IF(NOT(Paths!$C$394=1),0,IF(Paths!$P$394="Complete",IF(IF(Paths!$E$394=0,C4265=0,AND(C4265&gt;0,Paths!$E$394&gt;(C4265-1)*12,Paths!$E$394&lt;=C4265*12)),Paths!$H$394,0),"n.a."))</f>
        <v>0</v>
      </c>
      <c r="K4265" s="16">
        <f>IF(NOT(Paths!$C$394=1),0,IF(Paths!$P$394="Complete",IF(IF(Paths!$O$394=0,C4265=0,AND(C4265&gt;0,Paths!$O$394&gt;(C4265-1)*12,Paths!$O$394&lt;=C4265*12)),Paths!$N$394,0),"n.a."))</f>
        <v>0</v>
      </c>
      <c r="L4265" s="16">
        <f>IF(NOT(Paths!$C$394=1),0,IF(Paths!$P$394="Complete",IF(C4265=10,Paths!$I$394,0),"n.a."))</f>
        <v>0</v>
      </c>
      <c r="M4265" s="16">
        <f>IF(NOT(Paths!$C$394=1),0,IF(Paths!$P$394="Complete",IF(AND(Paths!$D$394="EV",Paths!$E$394&lt;120,Paths!$E$394+'Operating costs'!$B$65&gt;Paths!$E$394,Paths!$E$394+'Operating costs'!$B$65&lt;=120,IF(Paths!$E$394+'Operating costs'!$B$65=0,C4265=0,AND(C4265&gt;0,Paths!$E$394+'Operating costs'!$B$65&gt;(C4265-1)*12,Paths!$E$394+'Operating costs'!$B$65&lt;=C4265*12))),'Operating costs'!$B$64,0)+IF(AND('Operating costs'!$B$67&gt;0,'Operating costs'!$B$67&lt;=120,OR(Paths!$D$394="ICE",'Operating costs'!$B$67&lt;=Paths!$E$394),IF('Operating costs'!$B$67=0,C4265=0,AND(C4265&gt;0,'Operating costs'!$B$67&gt;(C4265-1)*12,'Operating costs'!$B$67&lt;=C4265*12))),'Operating costs'!$B$66,0),"n.a."))</f>
        <v>0</v>
      </c>
      <c r="N4265" s="16">
        <f>IF(NOT(Paths!$C$394=1),0,IF(Paths!$P$394="Complete",SUM(G4265:I4265)-J4265-K4265-L4265+M4265+IF(C4265=0,Paths!$F$394,0)+IF(IF(Paths!$E$394=0,C4265=0,AND(C4265&gt;0,Paths!$E$394&gt;(C4265-1)*12,Paths!$E$394&lt;=C4265*12)),VLOOKUP(A4265,'Fleet register'!$A$7:$S$106,16,FALSE),0),"n.a."))</f>
        <v>0</v>
      </c>
      <c r="O4265" s="16">
        <f>IF(NOT(Paths!$C$394=1),0,IF(Paths!$P$394="Complete",N4265-IF(C4265=0,Paths!$F$394,0),"n.a."))</f>
        <v>0</v>
      </c>
      <c r="P4265" s="16">
        <f>IF(NOT(Paths!$C$394=1),0,IF(Paths!$P$394="Complete",O4265+L4265,"n.a."))</f>
        <v>0</v>
      </c>
      <c r="Q4265" s="16">
        <f>IF(NOT(Paths!$C$394=1),0,IF(Paths!$P$394="Complete",N4265*(1+'Operating costs'!$B$54)^-C4265,"n.a."))</f>
        <v>0</v>
      </c>
      <c r="R4265" s="16">
        <f>IF(NOT(Paths!$C$394=1),0,IF(Paths!$P$394="Complete",IF(AND(C4265=0,Paths!$E$394=0),I4265-J4265-K4265+VLOOKUP(A4265,'Fleet register'!$A$7:$S$106,15,FALSE)+VLOOKUP(A4265,'Fleet register'!$A$7:$S$106,16,FALSE),0),"n.a."))</f>
        <v>0</v>
      </c>
      <c r="S4265" s="1">
        <f>IF(NOT(Paths!$C$394=1),0,IF(Paths!$P$394="Complete",IF(C4265=0,0,Paths!$S$394*Paths!$R$394),"n.a."))</f>
        <v>0</v>
      </c>
      <c r="T4265" s="1">
        <f>IF(NOT(Paths!$C$394=1),0,IF(Paths!$P$394="Complete",IF(C4265=0,0,VLOOKUP(A4265,'Fleet register'!$A$7:$S$106,9,FALSE)*Paths!$R$394),"n.a."))</f>
        <v>0</v>
      </c>
    </row>
    <row r="4266" spans="1:20" ht="24" customHeight="1">
      <c r="A4266" s="1" t="str">
        <f>Paths!$A$394</f>
        <v>T097</v>
      </c>
      <c r="B4266" s="1">
        <f>Paths!$B$394</f>
        <v>3</v>
      </c>
      <c r="C4266" s="1">
        <v>2</v>
      </c>
      <c r="D4266" s="1">
        <v>394</v>
      </c>
      <c r="E4266" s="1">
        <f>IF(OR(Paths!$C$394=0,C4266=0),0,MAX(0,MIN(C4266*12,Paths!$E$394)-(C4266-1)*12))</f>
        <v>0</v>
      </c>
      <c r="F4266" s="1">
        <f>IF(OR(Paths!$C$394=0,C4266=0),0,12-E4266)</f>
        <v>0</v>
      </c>
      <c r="G4266" s="16">
        <f>IF(NOT(Paths!$C$394=1),0,IF(Paths!$P$394="Complete",E4266/12*(Paths!$J$394*(1+'Operating costs'!$B$51)^MAX(0,C4266-1)+Paths!$K$394*(1+'Operating costs'!$B$53)^MAX(0,C4266-1)),"n.a."))</f>
        <v>0</v>
      </c>
      <c r="H4266" s="16">
        <f>IF(NOT(Paths!$C$394=1),0,IF(Paths!$P$394="Complete",F4266/12*(Paths!$L$394*(1+IF(Paths!$D$394="EV",'Operating costs'!$B$52,'Operating costs'!$B$51))^MAX(0,C4266-1)+Paths!$M$394*(1+'Operating costs'!$B$53)^MAX(0,C4266-1)),"n.a."))</f>
        <v>0</v>
      </c>
      <c r="I4266" s="16">
        <f>IF(NOT(Paths!$C$394=1),0,IF(Paths!$P$394="Complete",IF(IF(Paths!$E$394=0,C4266=0,AND(C4266&gt;0,Paths!$E$394&gt;(C4266-1)*12,Paths!$E$394&lt;=C4266*12)),Paths!$G$394,0),"n.a."))</f>
        <v>0</v>
      </c>
      <c r="J4266" s="16">
        <f>IF(NOT(Paths!$C$394=1),0,IF(Paths!$P$394="Complete",IF(IF(Paths!$E$394=0,C4266=0,AND(C4266&gt;0,Paths!$E$394&gt;(C4266-1)*12,Paths!$E$394&lt;=C4266*12)),Paths!$H$394,0),"n.a."))</f>
        <v>0</v>
      </c>
      <c r="K4266" s="16">
        <f>IF(NOT(Paths!$C$394=1),0,IF(Paths!$P$394="Complete",IF(IF(Paths!$O$394=0,C4266=0,AND(C4266&gt;0,Paths!$O$394&gt;(C4266-1)*12,Paths!$O$394&lt;=C4266*12)),Paths!$N$394,0),"n.a."))</f>
        <v>0</v>
      </c>
      <c r="L4266" s="16">
        <f>IF(NOT(Paths!$C$394=1),0,IF(Paths!$P$394="Complete",IF(C4266=10,Paths!$I$394,0),"n.a."))</f>
        <v>0</v>
      </c>
      <c r="M4266" s="16">
        <f>IF(NOT(Paths!$C$394=1),0,IF(Paths!$P$394="Complete",IF(AND(Paths!$D$394="EV",Paths!$E$394&lt;120,Paths!$E$394+'Operating costs'!$B$65&gt;Paths!$E$394,Paths!$E$394+'Operating costs'!$B$65&lt;=120,IF(Paths!$E$394+'Operating costs'!$B$65=0,C4266=0,AND(C4266&gt;0,Paths!$E$394+'Operating costs'!$B$65&gt;(C4266-1)*12,Paths!$E$394+'Operating costs'!$B$65&lt;=C4266*12))),'Operating costs'!$B$64,0)+IF(AND('Operating costs'!$B$67&gt;0,'Operating costs'!$B$67&lt;=120,OR(Paths!$D$394="ICE",'Operating costs'!$B$67&lt;=Paths!$E$394),IF('Operating costs'!$B$67=0,C4266=0,AND(C4266&gt;0,'Operating costs'!$B$67&gt;(C4266-1)*12,'Operating costs'!$B$67&lt;=C4266*12))),'Operating costs'!$B$66,0),"n.a."))</f>
        <v>0</v>
      </c>
      <c r="N4266" s="16">
        <f>IF(NOT(Paths!$C$394=1),0,IF(Paths!$P$394="Complete",SUM(G4266:I4266)-J4266-K4266-L4266+M4266+IF(C4266=0,Paths!$F$394,0)+IF(IF(Paths!$E$394=0,C4266=0,AND(C4266&gt;0,Paths!$E$394&gt;(C4266-1)*12,Paths!$E$394&lt;=C4266*12)),VLOOKUP(A4266,'Fleet register'!$A$7:$S$106,16,FALSE),0),"n.a."))</f>
        <v>0</v>
      </c>
      <c r="O4266" s="16">
        <f>IF(NOT(Paths!$C$394=1),0,IF(Paths!$P$394="Complete",N4266-IF(C4266=0,Paths!$F$394,0),"n.a."))</f>
        <v>0</v>
      </c>
      <c r="P4266" s="16">
        <f>IF(NOT(Paths!$C$394=1),0,IF(Paths!$P$394="Complete",O4266+L4266,"n.a."))</f>
        <v>0</v>
      </c>
      <c r="Q4266" s="16">
        <f>IF(NOT(Paths!$C$394=1),0,IF(Paths!$P$394="Complete",N4266*(1+'Operating costs'!$B$54)^-C4266,"n.a."))</f>
        <v>0</v>
      </c>
      <c r="R4266" s="16">
        <f>IF(NOT(Paths!$C$394=1),0,IF(Paths!$P$394="Complete",IF(AND(C4266=0,Paths!$E$394=0),I4266-J4266-K4266+VLOOKUP(A4266,'Fleet register'!$A$7:$S$106,15,FALSE)+VLOOKUP(A4266,'Fleet register'!$A$7:$S$106,16,FALSE),0),"n.a."))</f>
        <v>0</v>
      </c>
      <c r="S4266" s="1">
        <f>IF(NOT(Paths!$C$394=1),0,IF(Paths!$P$394="Complete",IF(C4266=0,0,Paths!$S$394*Paths!$R$394),"n.a."))</f>
        <v>0</v>
      </c>
      <c r="T4266" s="1">
        <f>IF(NOT(Paths!$C$394=1),0,IF(Paths!$P$394="Complete",IF(C4266=0,0,VLOOKUP(A4266,'Fleet register'!$A$7:$S$106,9,FALSE)*Paths!$R$394),"n.a."))</f>
        <v>0</v>
      </c>
    </row>
    <row r="4267" spans="1:20" ht="24" customHeight="1">
      <c r="A4267" s="1" t="str">
        <f>Paths!$A$394</f>
        <v>T097</v>
      </c>
      <c r="B4267" s="1">
        <f>Paths!$B$394</f>
        <v>3</v>
      </c>
      <c r="C4267" s="1">
        <v>3</v>
      </c>
      <c r="D4267" s="1">
        <v>394</v>
      </c>
      <c r="E4267" s="1">
        <f>IF(OR(Paths!$C$394=0,C4267=0),0,MAX(0,MIN(C4267*12,Paths!$E$394)-(C4267-1)*12))</f>
        <v>0</v>
      </c>
      <c r="F4267" s="1">
        <f>IF(OR(Paths!$C$394=0,C4267=0),0,12-E4267)</f>
        <v>0</v>
      </c>
      <c r="G4267" s="16">
        <f>IF(NOT(Paths!$C$394=1),0,IF(Paths!$P$394="Complete",E4267/12*(Paths!$J$394*(1+'Operating costs'!$B$51)^MAX(0,C4267-1)+Paths!$K$394*(1+'Operating costs'!$B$53)^MAX(0,C4267-1)),"n.a."))</f>
        <v>0</v>
      </c>
      <c r="H4267" s="16">
        <f>IF(NOT(Paths!$C$394=1),0,IF(Paths!$P$394="Complete",F4267/12*(Paths!$L$394*(1+IF(Paths!$D$394="EV",'Operating costs'!$B$52,'Operating costs'!$B$51))^MAX(0,C4267-1)+Paths!$M$394*(1+'Operating costs'!$B$53)^MAX(0,C4267-1)),"n.a."))</f>
        <v>0</v>
      </c>
      <c r="I4267" s="16">
        <f>IF(NOT(Paths!$C$394=1),0,IF(Paths!$P$394="Complete",IF(IF(Paths!$E$394=0,C4267=0,AND(C4267&gt;0,Paths!$E$394&gt;(C4267-1)*12,Paths!$E$394&lt;=C4267*12)),Paths!$G$394,0),"n.a."))</f>
        <v>0</v>
      </c>
      <c r="J4267" s="16">
        <f>IF(NOT(Paths!$C$394=1),0,IF(Paths!$P$394="Complete",IF(IF(Paths!$E$394=0,C4267=0,AND(C4267&gt;0,Paths!$E$394&gt;(C4267-1)*12,Paths!$E$394&lt;=C4267*12)),Paths!$H$394,0),"n.a."))</f>
        <v>0</v>
      </c>
      <c r="K4267" s="16">
        <f>IF(NOT(Paths!$C$394=1),0,IF(Paths!$P$394="Complete",IF(IF(Paths!$O$394=0,C4267=0,AND(C4267&gt;0,Paths!$O$394&gt;(C4267-1)*12,Paths!$O$394&lt;=C4267*12)),Paths!$N$394,0),"n.a."))</f>
        <v>0</v>
      </c>
      <c r="L4267" s="16">
        <f>IF(NOT(Paths!$C$394=1),0,IF(Paths!$P$394="Complete",IF(C4267=10,Paths!$I$394,0),"n.a."))</f>
        <v>0</v>
      </c>
      <c r="M4267" s="16">
        <f>IF(NOT(Paths!$C$394=1),0,IF(Paths!$P$394="Complete",IF(AND(Paths!$D$394="EV",Paths!$E$394&lt;120,Paths!$E$394+'Operating costs'!$B$65&gt;Paths!$E$394,Paths!$E$394+'Operating costs'!$B$65&lt;=120,IF(Paths!$E$394+'Operating costs'!$B$65=0,C4267=0,AND(C4267&gt;0,Paths!$E$394+'Operating costs'!$B$65&gt;(C4267-1)*12,Paths!$E$394+'Operating costs'!$B$65&lt;=C4267*12))),'Operating costs'!$B$64,0)+IF(AND('Operating costs'!$B$67&gt;0,'Operating costs'!$B$67&lt;=120,OR(Paths!$D$394="ICE",'Operating costs'!$B$67&lt;=Paths!$E$394),IF('Operating costs'!$B$67=0,C4267=0,AND(C4267&gt;0,'Operating costs'!$B$67&gt;(C4267-1)*12,'Operating costs'!$B$67&lt;=C4267*12))),'Operating costs'!$B$66,0),"n.a."))</f>
        <v>0</v>
      </c>
      <c r="N4267" s="16">
        <f>IF(NOT(Paths!$C$394=1),0,IF(Paths!$P$394="Complete",SUM(G4267:I4267)-J4267-K4267-L4267+M4267+IF(C4267=0,Paths!$F$394,0)+IF(IF(Paths!$E$394=0,C4267=0,AND(C4267&gt;0,Paths!$E$394&gt;(C4267-1)*12,Paths!$E$394&lt;=C4267*12)),VLOOKUP(A4267,'Fleet register'!$A$7:$S$106,16,FALSE),0),"n.a."))</f>
        <v>0</v>
      </c>
      <c r="O4267" s="16">
        <f>IF(NOT(Paths!$C$394=1),0,IF(Paths!$P$394="Complete",N4267-IF(C4267=0,Paths!$F$394,0),"n.a."))</f>
        <v>0</v>
      </c>
      <c r="P4267" s="16">
        <f>IF(NOT(Paths!$C$394=1),0,IF(Paths!$P$394="Complete",O4267+L4267,"n.a."))</f>
        <v>0</v>
      </c>
      <c r="Q4267" s="16">
        <f>IF(NOT(Paths!$C$394=1),0,IF(Paths!$P$394="Complete",N4267*(1+'Operating costs'!$B$54)^-C4267,"n.a."))</f>
        <v>0</v>
      </c>
      <c r="R4267" s="16">
        <f>IF(NOT(Paths!$C$394=1),0,IF(Paths!$P$394="Complete",IF(AND(C4267=0,Paths!$E$394=0),I4267-J4267-K4267+VLOOKUP(A4267,'Fleet register'!$A$7:$S$106,15,FALSE)+VLOOKUP(A4267,'Fleet register'!$A$7:$S$106,16,FALSE),0),"n.a."))</f>
        <v>0</v>
      </c>
      <c r="S4267" s="1">
        <f>IF(NOT(Paths!$C$394=1),0,IF(Paths!$P$394="Complete",IF(C4267=0,0,Paths!$S$394*Paths!$R$394),"n.a."))</f>
        <v>0</v>
      </c>
      <c r="T4267" s="1">
        <f>IF(NOT(Paths!$C$394=1),0,IF(Paths!$P$394="Complete",IF(C4267=0,0,VLOOKUP(A4267,'Fleet register'!$A$7:$S$106,9,FALSE)*Paths!$R$394),"n.a."))</f>
        <v>0</v>
      </c>
    </row>
    <row r="4268" spans="1:20" ht="24" customHeight="1">
      <c r="A4268" s="1" t="str">
        <f>Paths!$A$394</f>
        <v>T097</v>
      </c>
      <c r="B4268" s="1">
        <f>Paths!$B$394</f>
        <v>3</v>
      </c>
      <c r="C4268" s="1">
        <v>4</v>
      </c>
      <c r="D4268" s="1">
        <v>394</v>
      </c>
      <c r="E4268" s="1">
        <f>IF(OR(Paths!$C$394=0,C4268=0),0,MAX(0,MIN(C4268*12,Paths!$E$394)-(C4268-1)*12))</f>
        <v>0</v>
      </c>
      <c r="F4268" s="1">
        <f>IF(OR(Paths!$C$394=0,C4268=0),0,12-E4268)</f>
        <v>0</v>
      </c>
      <c r="G4268" s="16">
        <f>IF(NOT(Paths!$C$394=1),0,IF(Paths!$P$394="Complete",E4268/12*(Paths!$J$394*(1+'Operating costs'!$B$51)^MAX(0,C4268-1)+Paths!$K$394*(1+'Operating costs'!$B$53)^MAX(0,C4268-1)),"n.a."))</f>
        <v>0</v>
      </c>
      <c r="H4268" s="16">
        <f>IF(NOT(Paths!$C$394=1),0,IF(Paths!$P$394="Complete",F4268/12*(Paths!$L$394*(1+IF(Paths!$D$394="EV",'Operating costs'!$B$52,'Operating costs'!$B$51))^MAX(0,C4268-1)+Paths!$M$394*(1+'Operating costs'!$B$53)^MAX(0,C4268-1)),"n.a."))</f>
        <v>0</v>
      </c>
      <c r="I4268" s="16">
        <f>IF(NOT(Paths!$C$394=1),0,IF(Paths!$P$394="Complete",IF(IF(Paths!$E$394=0,C4268=0,AND(C4268&gt;0,Paths!$E$394&gt;(C4268-1)*12,Paths!$E$394&lt;=C4268*12)),Paths!$G$394,0),"n.a."))</f>
        <v>0</v>
      </c>
      <c r="J4268" s="16">
        <f>IF(NOT(Paths!$C$394=1),0,IF(Paths!$P$394="Complete",IF(IF(Paths!$E$394=0,C4268=0,AND(C4268&gt;0,Paths!$E$394&gt;(C4268-1)*12,Paths!$E$394&lt;=C4268*12)),Paths!$H$394,0),"n.a."))</f>
        <v>0</v>
      </c>
      <c r="K4268" s="16">
        <f>IF(NOT(Paths!$C$394=1),0,IF(Paths!$P$394="Complete",IF(IF(Paths!$O$394=0,C4268=0,AND(C4268&gt;0,Paths!$O$394&gt;(C4268-1)*12,Paths!$O$394&lt;=C4268*12)),Paths!$N$394,0),"n.a."))</f>
        <v>0</v>
      </c>
      <c r="L4268" s="16">
        <f>IF(NOT(Paths!$C$394=1),0,IF(Paths!$P$394="Complete",IF(C4268=10,Paths!$I$394,0),"n.a."))</f>
        <v>0</v>
      </c>
      <c r="M4268" s="16">
        <f>IF(NOT(Paths!$C$394=1),0,IF(Paths!$P$394="Complete",IF(AND(Paths!$D$394="EV",Paths!$E$394&lt;120,Paths!$E$394+'Operating costs'!$B$65&gt;Paths!$E$394,Paths!$E$394+'Operating costs'!$B$65&lt;=120,IF(Paths!$E$394+'Operating costs'!$B$65=0,C4268=0,AND(C4268&gt;0,Paths!$E$394+'Operating costs'!$B$65&gt;(C4268-1)*12,Paths!$E$394+'Operating costs'!$B$65&lt;=C4268*12))),'Operating costs'!$B$64,0)+IF(AND('Operating costs'!$B$67&gt;0,'Operating costs'!$B$67&lt;=120,OR(Paths!$D$394="ICE",'Operating costs'!$B$67&lt;=Paths!$E$394),IF('Operating costs'!$B$67=0,C4268=0,AND(C4268&gt;0,'Operating costs'!$B$67&gt;(C4268-1)*12,'Operating costs'!$B$67&lt;=C4268*12))),'Operating costs'!$B$66,0),"n.a."))</f>
        <v>0</v>
      </c>
      <c r="N4268" s="16">
        <f>IF(NOT(Paths!$C$394=1),0,IF(Paths!$P$394="Complete",SUM(G4268:I4268)-J4268-K4268-L4268+M4268+IF(C4268=0,Paths!$F$394,0)+IF(IF(Paths!$E$394=0,C4268=0,AND(C4268&gt;0,Paths!$E$394&gt;(C4268-1)*12,Paths!$E$394&lt;=C4268*12)),VLOOKUP(A4268,'Fleet register'!$A$7:$S$106,16,FALSE),0),"n.a."))</f>
        <v>0</v>
      </c>
      <c r="O4268" s="16">
        <f>IF(NOT(Paths!$C$394=1),0,IF(Paths!$P$394="Complete",N4268-IF(C4268=0,Paths!$F$394,0),"n.a."))</f>
        <v>0</v>
      </c>
      <c r="P4268" s="16">
        <f>IF(NOT(Paths!$C$394=1),0,IF(Paths!$P$394="Complete",O4268+L4268,"n.a."))</f>
        <v>0</v>
      </c>
      <c r="Q4268" s="16">
        <f>IF(NOT(Paths!$C$394=1),0,IF(Paths!$P$394="Complete",N4268*(1+'Operating costs'!$B$54)^-C4268,"n.a."))</f>
        <v>0</v>
      </c>
      <c r="R4268" s="16">
        <f>IF(NOT(Paths!$C$394=1),0,IF(Paths!$P$394="Complete",IF(AND(C4268=0,Paths!$E$394=0),I4268-J4268-K4268+VLOOKUP(A4268,'Fleet register'!$A$7:$S$106,15,FALSE)+VLOOKUP(A4268,'Fleet register'!$A$7:$S$106,16,FALSE),0),"n.a."))</f>
        <v>0</v>
      </c>
      <c r="S4268" s="1">
        <f>IF(NOT(Paths!$C$394=1),0,IF(Paths!$P$394="Complete",IF(C4268=0,0,Paths!$S$394*Paths!$R$394),"n.a."))</f>
        <v>0</v>
      </c>
      <c r="T4268" s="1">
        <f>IF(NOT(Paths!$C$394=1),0,IF(Paths!$P$394="Complete",IF(C4268=0,0,VLOOKUP(A4268,'Fleet register'!$A$7:$S$106,9,FALSE)*Paths!$R$394),"n.a."))</f>
        <v>0</v>
      </c>
    </row>
    <row r="4269" spans="1:20" ht="24" customHeight="1">
      <c r="A4269" s="1" t="str">
        <f>Paths!$A$394</f>
        <v>T097</v>
      </c>
      <c r="B4269" s="1">
        <f>Paths!$B$394</f>
        <v>3</v>
      </c>
      <c r="C4269" s="1">
        <v>5</v>
      </c>
      <c r="D4269" s="1">
        <v>394</v>
      </c>
      <c r="E4269" s="1">
        <f>IF(OR(Paths!$C$394=0,C4269=0),0,MAX(0,MIN(C4269*12,Paths!$E$394)-(C4269-1)*12))</f>
        <v>0</v>
      </c>
      <c r="F4269" s="1">
        <f>IF(OR(Paths!$C$394=0,C4269=0),0,12-E4269)</f>
        <v>0</v>
      </c>
      <c r="G4269" s="16">
        <f>IF(NOT(Paths!$C$394=1),0,IF(Paths!$P$394="Complete",E4269/12*(Paths!$J$394*(1+'Operating costs'!$B$51)^MAX(0,C4269-1)+Paths!$K$394*(1+'Operating costs'!$B$53)^MAX(0,C4269-1)),"n.a."))</f>
        <v>0</v>
      </c>
      <c r="H4269" s="16">
        <f>IF(NOT(Paths!$C$394=1),0,IF(Paths!$P$394="Complete",F4269/12*(Paths!$L$394*(1+IF(Paths!$D$394="EV",'Operating costs'!$B$52,'Operating costs'!$B$51))^MAX(0,C4269-1)+Paths!$M$394*(1+'Operating costs'!$B$53)^MAX(0,C4269-1)),"n.a."))</f>
        <v>0</v>
      </c>
      <c r="I4269" s="16">
        <f>IF(NOT(Paths!$C$394=1),0,IF(Paths!$P$394="Complete",IF(IF(Paths!$E$394=0,C4269=0,AND(C4269&gt;0,Paths!$E$394&gt;(C4269-1)*12,Paths!$E$394&lt;=C4269*12)),Paths!$G$394,0),"n.a."))</f>
        <v>0</v>
      </c>
      <c r="J4269" s="16">
        <f>IF(NOT(Paths!$C$394=1),0,IF(Paths!$P$394="Complete",IF(IF(Paths!$E$394=0,C4269=0,AND(C4269&gt;0,Paths!$E$394&gt;(C4269-1)*12,Paths!$E$394&lt;=C4269*12)),Paths!$H$394,0),"n.a."))</f>
        <v>0</v>
      </c>
      <c r="K4269" s="16">
        <f>IF(NOT(Paths!$C$394=1),0,IF(Paths!$P$394="Complete",IF(IF(Paths!$O$394=0,C4269=0,AND(C4269&gt;0,Paths!$O$394&gt;(C4269-1)*12,Paths!$O$394&lt;=C4269*12)),Paths!$N$394,0),"n.a."))</f>
        <v>0</v>
      </c>
      <c r="L4269" s="16">
        <f>IF(NOT(Paths!$C$394=1),0,IF(Paths!$P$394="Complete",IF(C4269=10,Paths!$I$394,0),"n.a."))</f>
        <v>0</v>
      </c>
      <c r="M4269" s="16">
        <f>IF(NOT(Paths!$C$394=1),0,IF(Paths!$P$394="Complete",IF(AND(Paths!$D$394="EV",Paths!$E$394&lt;120,Paths!$E$394+'Operating costs'!$B$65&gt;Paths!$E$394,Paths!$E$394+'Operating costs'!$B$65&lt;=120,IF(Paths!$E$394+'Operating costs'!$B$65=0,C4269=0,AND(C4269&gt;0,Paths!$E$394+'Operating costs'!$B$65&gt;(C4269-1)*12,Paths!$E$394+'Operating costs'!$B$65&lt;=C4269*12))),'Operating costs'!$B$64,0)+IF(AND('Operating costs'!$B$67&gt;0,'Operating costs'!$B$67&lt;=120,OR(Paths!$D$394="ICE",'Operating costs'!$B$67&lt;=Paths!$E$394),IF('Operating costs'!$B$67=0,C4269=0,AND(C4269&gt;0,'Operating costs'!$B$67&gt;(C4269-1)*12,'Operating costs'!$B$67&lt;=C4269*12))),'Operating costs'!$B$66,0),"n.a."))</f>
        <v>0</v>
      </c>
      <c r="N4269" s="16">
        <f>IF(NOT(Paths!$C$394=1),0,IF(Paths!$P$394="Complete",SUM(G4269:I4269)-J4269-K4269-L4269+M4269+IF(C4269=0,Paths!$F$394,0)+IF(IF(Paths!$E$394=0,C4269=0,AND(C4269&gt;0,Paths!$E$394&gt;(C4269-1)*12,Paths!$E$394&lt;=C4269*12)),VLOOKUP(A4269,'Fleet register'!$A$7:$S$106,16,FALSE),0),"n.a."))</f>
        <v>0</v>
      </c>
      <c r="O4269" s="16">
        <f>IF(NOT(Paths!$C$394=1),0,IF(Paths!$P$394="Complete",N4269-IF(C4269=0,Paths!$F$394,0),"n.a."))</f>
        <v>0</v>
      </c>
      <c r="P4269" s="16">
        <f>IF(NOT(Paths!$C$394=1),0,IF(Paths!$P$394="Complete",O4269+L4269,"n.a."))</f>
        <v>0</v>
      </c>
      <c r="Q4269" s="16">
        <f>IF(NOT(Paths!$C$394=1),0,IF(Paths!$P$394="Complete",N4269*(1+'Operating costs'!$B$54)^-C4269,"n.a."))</f>
        <v>0</v>
      </c>
      <c r="R4269" s="16">
        <f>IF(NOT(Paths!$C$394=1),0,IF(Paths!$P$394="Complete",IF(AND(C4269=0,Paths!$E$394=0),I4269-J4269-K4269+VLOOKUP(A4269,'Fleet register'!$A$7:$S$106,15,FALSE)+VLOOKUP(A4269,'Fleet register'!$A$7:$S$106,16,FALSE),0),"n.a."))</f>
        <v>0</v>
      </c>
      <c r="S4269" s="1">
        <f>IF(NOT(Paths!$C$394=1),0,IF(Paths!$P$394="Complete",IF(C4269=0,0,Paths!$S$394*Paths!$R$394),"n.a."))</f>
        <v>0</v>
      </c>
      <c r="T4269" s="1">
        <f>IF(NOT(Paths!$C$394=1),0,IF(Paths!$P$394="Complete",IF(C4269=0,0,VLOOKUP(A4269,'Fleet register'!$A$7:$S$106,9,FALSE)*Paths!$R$394),"n.a."))</f>
        <v>0</v>
      </c>
    </row>
    <row r="4270" spans="1:20" ht="24" customHeight="1">
      <c r="A4270" s="1" t="str">
        <f>Paths!$A$394</f>
        <v>T097</v>
      </c>
      <c r="B4270" s="1">
        <f>Paths!$B$394</f>
        <v>3</v>
      </c>
      <c r="C4270" s="1">
        <v>6</v>
      </c>
      <c r="D4270" s="1">
        <v>394</v>
      </c>
      <c r="E4270" s="1">
        <f>IF(OR(Paths!$C$394=0,C4270=0),0,MAX(0,MIN(C4270*12,Paths!$E$394)-(C4270-1)*12))</f>
        <v>0</v>
      </c>
      <c r="F4270" s="1">
        <f>IF(OR(Paths!$C$394=0,C4270=0),0,12-E4270)</f>
        <v>0</v>
      </c>
      <c r="G4270" s="16">
        <f>IF(NOT(Paths!$C$394=1),0,IF(Paths!$P$394="Complete",E4270/12*(Paths!$J$394*(1+'Operating costs'!$B$51)^MAX(0,C4270-1)+Paths!$K$394*(1+'Operating costs'!$B$53)^MAX(0,C4270-1)),"n.a."))</f>
        <v>0</v>
      </c>
      <c r="H4270" s="16">
        <f>IF(NOT(Paths!$C$394=1),0,IF(Paths!$P$394="Complete",F4270/12*(Paths!$L$394*(1+IF(Paths!$D$394="EV",'Operating costs'!$B$52,'Operating costs'!$B$51))^MAX(0,C4270-1)+Paths!$M$394*(1+'Operating costs'!$B$53)^MAX(0,C4270-1)),"n.a."))</f>
        <v>0</v>
      </c>
      <c r="I4270" s="16">
        <f>IF(NOT(Paths!$C$394=1),0,IF(Paths!$P$394="Complete",IF(IF(Paths!$E$394=0,C4270=0,AND(C4270&gt;0,Paths!$E$394&gt;(C4270-1)*12,Paths!$E$394&lt;=C4270*12)),Paths!$G$394,0),"n.a."))</f>
        <v>0</v>
      </c>
      <c r="J4270" s="16">
        <f>IF(NOT(Paths!$C$394=1),0,IF(Paths!$P$394="Complete",IF(IF(Paths!$E$394=0,C4270=0,AND(C4270&gt;0,Paths!$E$394&gt;(C4270-1)*12,Paths!$E$394&lt;=C4270*12)),Paths!$H$394,0),"n.a."))</f>
        <v>0</v>
      </c>
      <c r="K4270" s="16">
        <f>IF(NOT(Paths!$C$394=1),0,IF(Paths!$P$394="Complete",IF(IF(Paths!$O$394=0,C4270=0,AND(C4270&gt;0,Paths!$O$394&gt;(C4270-1)*12,Paths!$O$394&lt;=C4270*12)),Paths!$N$394,0),"n.a."))</f>
        <v>0</v>
      </c>
      <c r="L4270" s="16">
        <f>IF(NOT(Paths!$C$394=1),0,IF(Paths!$P$394="Complete",IF(C4270=10,Paths!$I$394,0),"n.a."))</f>
        <v>0</v>
      </c>
      <c r="M4270" s="16">
        <f>IF(NOT(Paths!$C$394=1),0,IF(Paths!$P$394="Complete",IF(AND(Paths!$D$394="EV",Paths!$E$394&lt;120,Paths!$E$394+'Operating costs'!$B$65&gt;Paths!$E$394,Paths!$E$394+'Operating costs'!$B$65&lt;=120,IF(Paths!$E$394+'Operating costs'!$B$65=0,C4270=0,AND(C4270&gt;0,Paths!$E$394+'Operating costs'!$B$65&gt;(C4270-1)*12,Paths!$E$394+'Operating costs'!$B$65&lt;=C4270*12))),'Operating costs'!$B$64,0)+IF(AND('Operating costs'!$B$67&gt;0,'Operating costs'!$B$67&lt;=120,OR(Paths!$D$394="ICE",'Operating costs'!$B$67&lt;=Paths!$E$394),IF('Operating costs'!$B$67=0,C4270=0,AND(C4270&gt;0,'Operating costs'!$B$67&gt;(C4270-1)*12,'Operating costs'!$B$67&lt;=C4270*12))),'Operating costs'!$B$66,0),"n.a."))</f>
        <v>0</v>
      </c>
      <c r="N4270" s="16">
        <f>IF(NOT(Paths!$C$394=1),0,IF(Paths!$P$394="Complete",SUM(G4270:I4270)-J4270-K4270-L4270+M4270+IF(C4270=0,Paths!$F$394,0)+IF(IF(Paths!$E$394=0,C4270=0,AND(C4270&gt;0,Paths!$E$394&gt;(C4270-1)*12,Paths!$E$394&lt;=C4270*12)),VLOOKUP(A4270,'Fleet register'!$A$7:$S$106,16,FALSE),0),"n.a."))</f>
        <v>0</v>
      </c>
      <c r="O4270" s="16">
        <f>IF(NOT(Paths!$C$394=1),0,IF(Paths!$P$394="Complete",N4270-IF(C4270=0,Paths!$F$394,0),"n.a."))</f>
        <v>0</v>
      </c>
      <c r="P4270" s="16">
        <f>IF(NOT(Paths!$C$394=1),0,IF(Paths!$P$394="Complete",O4270+L4270,"n.a."))</f>
        <v>0</v>
      </c>
      <c r="Q4270" s="16">
        <f>IF(NOT(Paths!$C$394=1),0,IF(Paths!$P$394="Complete",N4270*(1+'Operating costs'!$B$54)^-C4270,"n.a."))</f>
        <v>0</v>
      </c>
      <c r="R4270" s="16">
        <f>IF(NOT(Paths!$C$394=1),0,IF(Paths!$P$394="Complete",IF(AND(C4270=0,Paths!$E$394=0),I4270-J4270-K4270+VLOOKUP(A4270,'Fleet register'!$A$7:$S$106,15,FALSE)+VLOOKUP(A4270,'Fleet register'!$A$7:$S$106,16,FALSE),0),"n.a."))</f>
        <v>0</v>
      </c>
      <c r="S4270" s="1">
        <f>IF(NOT(Paths!$C$394=1),0,IF(Paths!$P$394="Complete",IF(C4270=0,0,Paths!$S$394*Paths!$R$394),"n.a."))</f>
        <v>0</v>
      </c>
      <c r="T4270" s="1">
        <f>IF(NOT(Paths!$C$394=1),0,IF(Paths!$P$394="Complete",IF(C4270=0,0,VLOOKUP(A4270,'Fleet register'!$A$7:$S$106,9,FALSE)*Paths!$R$394),"n.a."))</f>
        <v>0</v>
      </c>
    </row>
    <row r="4271" spans="1:20" ht="24" customHeight="1">
      <c r="A4271" s="1" t="str">
        <f>Paths!$A$394</f>
        <v>T097</v>
      </c>
      <c r="B4271" s="1">
        <f>Paths!$B$394</f>
        <v>3</v>
      </c>
      <c r="C4271" s="1">
        <v>7</v>
      </c>
      <c r="D4271" s="1">
        <v>394</v>
      </c>
      <c r="E4271" s="1">
        <f>IF(OR(Paths!$C$394=0,C4271=0),0,MAX(0,MIN(C4271*12,Paths!$E$394)-(C4271-1)*12))</f>
        <v>0</v>
      </c>
      <c r="F4271" s="1">
        <f>IF(OR(Paths!$C$394=0,C4271=0),0,12-E4271)</f>
        <v>0</v>
      </c>
      <c r="G4271" s="16">
        <f>IF(NOT(Paths!$C$394=1),0,IF(Paths!$P$394="Complete",E4271/12*(Paths!$J$394*(1+'Operating costs'!$B$51)^MAX(0,C4271-1)+Paths!$K$394*(1+'Operating costs'!$B$53)^MAX(0,C4271-1)),"n.a."))</f>
        <v>0</v>
      </c>
      <c r="H4271" s="16">
        <f>IF(NOT(Paths!$C$394=1),0,IF(Paths!$P$394="Complete",F4271/12*(Paths!$L$394*(1+IF(Paths!$D$394="EV",'Operating costs'!$B$52,'Operating costs'!$B$51))^MAX(0,C4271-1)+Paths!$M$394*(1+'Operating costs'!$B$53)^MAX(0,C4271-1)),"n.a."))</f>
        <v>0</v>
      </c>
      <c r="I4271" s="16">
        <f>IF(NOT(Paths!$C$394=1),0,IF(Paths!$P$394="Complete",IF(IF(Paths!$E$394=0,C4271=0,AND(C4271&gt;0,Paths!$E$394&gt;(C4271-1)*12,Paths!$E$394&lt;=C4271*12)),Paths!$G$394,0),"n.a."))</f>
        <v>0</v>
      </c>
      <c r="J4271" s="16">
        <f>IF(NOT(Paths!$C$394=1),0,IF(Paths!$P$394="Complete",IF(IF(Paths!$E$394=0,C4271=0,AND(C4271&gt;0,Paths!$E$394&gt;(C4271-1)*12,Paths!$E$394&lt;=C4271*12)),Paths!$H$394,0),"n.a."))</f>
        <v>0</v>
      </c>
      <c r="K4271" s="16">
        <f>IF(NOT(Paths!$C$394=1),0,IF(Paths!$P$394="Complete",IF(IF(Paths!$O$394=0,C4271=0,AND(C4271&gt;0,Paths!$O$394&gt;(C4271-1)*12,Paths!$O$394&lt;=C4271*12)),Paths!$N$394,0),"n.a."))</f>
        <v>0</v>
      </c>
      <c r="L4271" s="16">
        <f>IF(NOT(Paths!$C$394=1),0,IF(Paths!$P$394="Complete",IF(C4271=10,Paths!$I$394,0),"n.a."))</f>
        <v>0</v>
      </c>
      <c r="M4271" s="16">
        <f>IF(NOT(Paths!$C$394=1),0,IF(Paths!$P$394="Complete",IF(AND(Paths!$D$394="EV",Paths!$E$394&lt;120,Paths!$E$394+'Operating costs'!$B$65&gt;Paths!$E$394,Paths!$E$394+'Operating costs'!$B$65&lt;=120,IF(Paths!$E$394+'Operating costs'!$B$65=0,C4271=0,AND(C4271&gt;0,Paths!$E$394+'Operating costs'!$B$65&gt;(C4271-1)*12,Paths!$E$394+'Operating costs'!$B$65&lt;=C4271*12))),'Operating costs'!$B$64,0)+IF(AND('Operating costs'!$B$67&gt;0,'Operating costs'!$B$67&lt;=120,OR(Paths!$D$394="ICE",'Operating costs'!$B$67&lt;=Paths!$E$394),IF('Operating costs'!$B$67=0,C4271=0,AND(C4271&gt;0,'Operating costs'!$B$67&gt;(C4271-1)*12,'Operating costs'!$B$67&lt;=C4271*12))),'Operating costs'!$B$66,0),"n.a."))</f>
        <v>0</v>
      </c>
      <c r="N4271" s="16">
        <f>IF(NOT(Paths!$C$394=1),0,IF(Paths!$P$394="Complete",SUM(G4271:I4271)-J4271-K4271-L4271+M4271+IF(C4271=0,Paths!$F$394,0)+IF(IF(Paths!$E$394=0,C4271=0,AND(C4271&gt;0,Paths!$E$394&gt;(C4271-1)*12,Paths!$E$394&lt;=C4271*12)),VLOOKUP(A4271,'Fleet register'!$A$7:$S$106,16,FALSE),0),"n.a."))</f>
        <v>0</v>
      </c>
      <c r="O4271" s="16">
        <f>IF(NOT(Paths!$C$394=1),0,IF(Paths!$P$394="Complete",N4271-IF(C4271=0,Paths!$F$394,0),"n.a."))</f>
        <v>0</v>
      </c>
      <c r="P4271" s="16">
        <f>IF(NOT(Paths!$C$394=1),0,IF(Paths!$P$394="Complete",O4271+L4271,"n.a."))</f>
        <v>0</v>
      </c>
      <c r="Q4271" s="16">
        <f>IF(NOT(Paths!$C$394=1),0,IF(Paths!$P$394="Complete",N4271*(1+'Operating costs'!$B$54)^-C4271,"n.a."))</f>
        <v>0</v>
      </c>
      <c r="R4271" s="16">
        <f>IF(NOT(Paths!$C$394=1),0,IF(Paths!$P$394="Complete",IF(AND(C4271=0,Paths!$E$394=0),I4271-J4271-K4271+VLOOKUP(A4271,'Fleet register'!$A$7:$S$106,15,FALSE)+VLOOKUP(A4271,'Fleet register'!$A$7:$S$106,16,FALSE),0),"n.a."))</f>
        <v>0</v>
      </c>
      <c r="S4271" s="1">
        <f>IF(NOT(Paths!$C$394=1),0,IF(Paths!$P$394="Complete",IF(C4271=0,0,Paths!$S$394*Paths!$R$394),"n.a."))</f>
        <v>0</v>
      </c>
      <c r="T4271" s="1">
        <f>IF(NOT(Paths!$C$394=1),0,IF(Paths!$P$394="Complete",IF(C4271=0,0,VLOOKUP(A4271,'Fleet register'!$A$7:$S$106,9,FALSE)*Paths!$R$394),"n.a."))</f>
        <v>0</v>
      </c>
    </row>
    <row r="4272" spans="1:20" ht="24" customHeight="1">
      <c r="A4272" s="1" t="str">
        <f>Paths!$A$394</f>
        <v>T097</v>
      </c>
      <c r="B4272" s="1">
        <f>Paths!$B$394</f>
        <v>3</v>
      </c>
      <c r="C4272" s="1">
        <v>8</v>
      </c>
      <c r="D4272" s="1">
        <v>394</v>
      </c>
      <c r="E4272" s="1">
        <f>IF(OR(Paths!$C$394=0,C4272=0),0,MAX(0,MIN(C4272*12,Paths!$E$394)-(C4272-1)*12))</f>
        <v>0</v>
      </c>
      <c r="F4272" s="1">
        <f>IF(OR(Paths!$C$394=0,C4272=0),0,12-E4272)</f>
        <v>0</v>
      </c>
      <c r="G4272" s="16">
        <f>IF(NOT(Paths!$C$394=1),0,IF(Paths!$P$394="Complete",E4272/12*(Paths!$J$394*(1+'Operating costs'!$B$51)^MAX(0,C4272-1)+Paths!$K$394*(1+'Operating costs'!$B$53)^MAX(0,C4272-1)),"n.a."))</f>
        <v>0</v>
      </c>
      <c r="H4272" s="16">
        <f>IF(NOT(Paths!$C$394=1),0,IF(Paths!$P$394="Complete",F4272/12*(Paths!$L$394*(1+IF(Paths!$D$394="EV",'Operating costs'!$B$52,'Operating costs'!$B$51))^MAX(0,C4272-1)+Paths!$M$394*(1+'Operating costs'!$B$53)^MAX(0,C4272-1)),"n.a."))</f>
        <v>0</v>
      </c>
      <c r="I4272" s="16">
        <f>IF(NOT(Paths!$C$394=1),0,IF(Paths!$P$394="Complete",IF(IF(Paths!$E$394=0,C4272=0,AND(C4272&gt;0,Paths!$E$394&gt;(C4272-1)*12,Paths!$E$394&lt;=C4272*12)),Paths!$G$394,0),"n.a."))</f>
        <v>0</v>
      </c>
      <c r="J4272" s="16">
        <f>IF(NOT(Paths!$C$394=1),0,IF(Paths!$P$394="Complete",IF(IF(Paths!$E$394=0,C4272=0,AND(C4272&gt;0,Paths!$E$394&gt;(C4272-1)*12,Paths!$E$394&lt;=C4272*12)),Paths!$H$394,0),"n.a."))</f>
        <v>0</v>
      </c>
      <c r="K4272" s="16">
        <f>IF(NOT(Paths!$C$394=1),0,IF(Paths!$P$394="Complete",IF(IF(Paths!$O$394=0,C4272=0,AND(C4272&gt;0,Paths!$O$394&gt;(C4272-1)*12,Paths!$O$394&lt;=C4272*12)),Paths!$N$394,0),"n.a."))</f>
        <v>0</v>
      </c>
      <c r="L4272" s="16">
        <f>IF(NOT(Paths!$C$394=1),0,IF(Paths!$P$394="Complete",IF(C4272=10,Paths!$I$394,0),"n.a."))</f>
        <v>0</v>
      </c>
      <c r="M4272" s="16">
        <f>IF(NOT(Paths!$C$394=1),0,IF(Paths!$P$394="Complete",IF(AND(Paths!$D$394="EV",Paths!$E$394&lt;120,Paths!$E$394+'Operating costs'!$B$65&gt;Paths!$E$394,Paths!$E$394+'Operating costs'!$B$65&lt;=120,IF(Paths!$E$394+'Operating costs'!$B$65=0,C4272=0,AND(C4272&gt;0,Paths!$E$394+'Operating costs'!$B$65&gt;(C4272-1)*12,Paths!$E$394+'Operating costs'!$B$65&lt;=C4272*12))),'Operating costs'!$B$64,0)+IF(AND('Operating costs'!$B$67&gt;0,'Operating costs'!$B$67&lt;=120,OR(Paths!$D$394="ICE",'Operating costs'!$B$67&lt;=Paths!$E$394),IF('Operating costs'!$B$67=0,C4272=0,AND(C4272&gt;0,'Operating costs'!$B$67&gt;(C4272-1)*12,'Operating costs'!$B$67&lt;=C4272*12))),'Operating costs'!$B$66,0),"n.a."))</f>
        <v>0</v>
      </c>
      <c r="N4272" s="16">
        <f>IF(NOT(Paths!$C$394=1),0,IF(Paths!$P$394="Complete",SUM(G4272:I4272)-J4272-K4272-L4272+M4272+IF(C4272=0,Paths!$F$394,0)+IF(IF(Paths!$E$394=0,C4272=0,AND(C4272&gt;0,Paths!$E$394&gt;(C4272-1)*12,Paths!$E$394&lt;=C4272*12)),VLOOKUP(A4272,'Fleet register'!$A$7:$S$106,16,FALSE),0),"n.a."))</f>
        <v>0</v>
      </c>
      <c r="O4272" s="16">
        <f>IF(NOT(Paths!$C$394=1),0,IF(Paths!$P$394="Complete",N4272-IF(C4272=0,Paths!$F$394,0),"n.a."))</f>
        <v>0</v>
      </c>
      <c r="P4272" s="16">
        <f>IF(NOT(Paths!$C$394=1),0,IF(Paths!$P$394="Complete",O4272+L4272,"n.a."))</f>
        <v>0</v>
      </c>
      <c r="Q4272" s="16">
        <f>IF(NOT(Paths!$C$394=1),0,IF(Paths!$P$394="Complete",N4272*(1+'Operating costs'!$B$54)^-C4272,"n.a."))</f>
        <v>0</v>
      </c>
      <c r="R4272" s="16">
        <f>IF(NOT(Paths!$C$394=1),0,IF(Paths!$P$394="Complete",IF(AND(C4272=0,Paths!$E$394=0),I4272-J4272-K4272+VLOOKUP(A4272,'Fleet register'!$A$7:$S$106,15,FALSE)+VLOOKUP(A4272,'Fleet register'!$A$7:$S$106,16,FALSE),0),"n.a."))</f>
        <v>0</v>
      </c>
      <c r="S4272" s="1">
        <f>IF(NOT(Paths!$C$394=1),0,IF(Paths!$P$394="Complete",IF(C4272=0,0,Paths!$S$394*Paths!$R$394),"n.a."))</f>
        <v>0</v>
      </c>
      <c r="T4272" s="1">
        <f>IF(NOT(Paths!$C$394=1),0,IF(Paths!$P$394="Complete",IF(C4272=0,0,VLOOKUP(A4272,'Fleet register'!$A$7:$S$106,9,FALSE)*Paths!$R$394),"n.a."))</f>
        <v>0</v>
      </c>
    </row>
    <row r="4273" spans="1:20" ht="24" customHeight="1">
      <c r="A4273" s="1" t="str">
        <f>Paths!$A$394</f>
        <v>T097</v>
      </c>
      <c r="B4273" s="1">
        <f>Paths!$B$394</f>
        <v>3</v>
      </c>
      <c r="C4273" s="1">
        <v>9</v>
      </c>
      <c r="D4273" s="1">
        <v>394</v>
      </c>
      <c r="E4273" s="1">
        <f>IF(OR(Paths!$C$394=0,C4273=0),0,MAX(0,MIN(C4273*12,Paths!$E$394)-(C4273-1)*12))</f>
        <v>0</v>
      </c>
      <c r="F4273" s="1">
        <f>IF(OR(Paths!$C$394=0,C4273=0),0,12-E4273)</f>
        <v>0</v>
      </c>
      <c r="G4273" s="16">
        <f>IF(NOT(Paths!$C$394=1),0,IF(Paths!$P$394="Complete",E4273/12*(Paths!$J$394*(1+'Operating costs'!$B$51)^MAX(0,C4273-1)+Paths!$K$394*(1+'Operating costs'!$B$53)^MAX(0,C4273-1)),"n.a."))</f>
        <v>0</v>
      </c>
      <c r="H4273" s="16">
        <f>IF(NOT(Paths!$C$394=1),0,IF(Paths!$P$394="Complete",F4273/12*(Paths!$L$394*(1+IF(Paths!$D$394="EV",'Operating costs'!$B$52,'Operating costs'!$B$51))^MAX(0,C4273-1)+Paths!$M$394*(1+'Operating costs'!$B$53)^MAX(0,C4273-1)),"n.a."))</f>
        <v>0</v>
      </c>
      <c r="I4273" s="16">
        <f>IF(NOT(Paths!$C$394=1),0,IF(Paths!$P$394="Complete",IF(IF(Paths!$E$394=0,C4273=0,AND(C4273&gt;0,Paths!$E$394&gt;(C4273-1)*12,Paths!$E$394&lt;=C4273*12)),Paths!$G$394,0),"n.a."))</f>
        <v>0</v>
      </c>
      <c r="J4273" s="16">
        <f>IF(NOT(Paths!$C$394=1),0,IF(Paths!$P$394="Complete",IF(IF(Paths!$E$394=0,C4273=0,AND(C4273&gt;0,Paths!$E$394&gt;(C4273-1)*12,Paths!$E$394&lt;=C4273*12)),Paths!$H$394,0),"n.a."))</f>
        <v>0</v>
      </c>
      <c r="K4273" s="16">
        <f>IF(NOT(Paths!$C$394=1),0,IF(Paths!$P$394="Complete",IF(IF(Paths!$O$394=0,C4273=0,AND(C4273&gt;0,Paths!$O$394&gt;(C4273-1)*12,Paths!$O$394&lt;=C4273*12)),Paths!$N$394,0),"n.a."))</f>
        <v>0</v>
      </c>
      <c r="L4273" s="16">
        <f>IF(NOT(Paths!$C$394=1),0,IF(Paths!$P$394="Complete",IF(C4273=10,Paths!$I$394,0),"n.a."))</f>
        <v>0</v>
      </c>
      <c r="M4273" s="16">
        <f>IF(NOT(Paths!$C$394=1),0,IF(Paths!$P$394="Complete",IF(AND(Paths!$D$394="EV",Paths!$E$394&lt;120,Paths!$E$394+'Operating costs'!$B$65&gt;Paths!$E$394,Paths!$E$394+'Operating costs'!$B$65&lt;=120,IF(Paths!$E$394+'Operating costs'!$B$65=0,C4273=0,AND(C4273&gt;0,Paths!$E$394+'Operating costs'!$B$65&gt;(C4273-1)*12,Paths!$E$394+'Operating costs'!$B$65&lt;=C4273*12))),'Operating costs'!$B$64,0)+IF(AND('Operating costs'!$B$67&gt;0,'Operating costs'!$B$67&lt;=120,OR(Paths!$D$394="ICE",'Operating costs'!$B$67&lt;=Paths!$E$394),IF('Operating costs'!$B$67=0,C4273=0,AND(C4273&gt;0,'Operating costs'!$B$67&gt;(C4273-1)*12,'Operating costs'!$B$67&lt;=C4273*12))),'Operating costs'!$B$66,0),"n.a."))</f>
        <v>0</v>
      </c>
      <c r="N4273" s="16">
        <f>IF(NOT(Paths!$C$394=1),0,IF(Paths!$P$394="Complete",SUM(G4273:I4273)-J4273-K4273-L4273+M4273+IF(C4273=0,Paths!$F$394,0)+IF(IF(Paths!$E$394=0,C4273=0,AND(C4273&gt;0,Paths!$E$394&gt;(C4273-1)*12,Paths!$E$394&lt;=C4273*12)),VLOOKUP(A4273,'Fleet register'!$A$7:$S$106,16,FALSE),0),"n.a."))</f>
        <v>0</v>
      </c>
      <c r="O4273" s="16">
        <f>IF(NOT(Paths!$C$394=1),0,IF(Paths!$P$394="Complete",N4273-IF(C4273=0,Paths!$F$394,0),"n.a."))</f>
        <v>0</v>
      </c>
      <c r="P4273" s="16">
        <f>IF(NOT(Paths!$C$394=1),0,IF(Paths!$P$394="Complete",O4273+L4273,"n.a."))</f>
        <v>0</v>
      </c>
      <c r="Q4273" s="16">
        <f>IF(NOT(Paths!$C$394=1),0,IF(Paths!$P$394="Complete",N4273*(1+'Operating costs'!$B$54)^-C4273,"n.a."))</f>
        <v>0</v>
      </c>
      <c r="R4273" s="16">
        <f>IF(NOT(Paths!$C$394=1),0,IF(Paths!$P$394="Complete",IF(AND(C4273=0,Paths!$E$394=0),I4273-J4273-K4273+VLOOKUP(A4273,'Fleet register'!$A$7:$S$106,15,FALSE)+VLOOKUP(A4273,'Fleet register'!$A$7:$S$106,16,FALSE),0),"n.a."))</f>
        <v>0</v>
      </c>
      <c r="S4273" s="1">
        <f>IF(NOT(Paths!$C$394=1),0,IF(Paths!$P$394="Complete",IF(C4273=0,0,Paths!$S$394*Paths!$R$394),"n.a."))</f>
        <v>0</v>
      </c>
      <c r="T4273" s="1">
        <f>IF(NOT(Paths!$C$394=1),0,IF(Paths!$P$394="Complete",IF(C4273=0,0,VLOOKUP(A4273,'Fleet register'!$A$7:$S$106,9,FALSE)*Paths!$R$394),"n.a."))</f>
        <v>0</v>
      </c>
    </row>
    <row r="4274" spans="1:20" ht="24" customHeight="1">
      <c r="A4274" s="1" t="str">
        <f>Paths!$A$394</f>
        <v>T097</v>
      </c>
      <c r="B4274" s="1">
        <f>Paths!$B$394</f>
        <v>3</v>
      </c>
      <c r="C4274" s="1">
        <v>10</v>
      </c>
      <c r="D4274" s="1">
        <v>394</v>
      </c>
      <c r="E4274" s="1">
        <f>IF(OR(Paths!$C$394=0,C4274=0),0,MAX(0,MIN(C4274*12,Paths!$E$394)-(C4274-1)*12))</f>
        <v>0</v>
      </c>
      <c r="F4274" s="1">
        <f>IF(OR(Paths!$C$394=0,C4274=0),0,12-E4274)</f>
        <v>0</v>
      </c>
      <c r="G4274" s="16">
        <f>IF(NOT(Paths!$C$394=1),0,IF(Paths!$P$394="Complete",E4274/12*(Paths!$J$394*(1+'Operating costs'!$B$51)^MAX(0,C4274-1)+Paths!$K$394*(1+'Operating costs'!$B$53)^MAX(0,C4274-1)),"n.a."))</f>
        <v>0</v>
      </c>
      <c r="H4274" s="16">
        <f>IF(NOT(Paths!$C$394=1),0,IF(Paths!$P$394="Complete",F4274/12*(Paths!$L$394*(1+IF(Paths!$D$394="EV",'Operating costs'!$B$52,'Operating costs'!$B$51))^MAX(0,C4274-1)+Paths!$M$394*(1+'Operating costs'!$B$53)^MAX(0,C4274-1)),"n.a."))</f>
        <v>0</v>
      </c>
      <c r="I4274" s="16">
        <f>IF(NOT(Paths!$C$394=1),0,IF(Paths!$P$394="Complete",IF(IF(Paths!$E$394=0,C4274=0,AND(C4274&gt;0,Paths!$E$394&gt;(C4274-1)*12,Paths!$E$394&lt;=C4274*12)),Paths!$G$394,0),"n.a."))</f>
        <v>0</v>
      </c>
      <c r="J4274" s="16">
        <f>IF(NOT(Paths!$C$394=1),0,IF(Paths!$P$394="Complete",IF(IF(Paths!$E$394=0,C4274=0,AND(C4274&gt;0,Paths!$E$394&gt;(C4274-1)*12,Paths!$E$394&lt;=C4274*12)),Paths!$H$394,0),"n.a."))</f>
        <v>0</v>
      </c>
      <c r="K4274" s="16">
        <f>IF(NOT(Paths!$C$394=1),0,IF(Paths!$P$394="Complete",IF(IF(Paths!$O$394=0,C4274=0,AND(C4274&gt;0,Paths!$O$394&gt;(C4274-1)*12,Paths!$O$394&lt;=C4274*12)),Paths!$N$394,0),"n.a."))</f>
        <v>0</v>
      </c>
      <c r="L4274" s="16">
        <f>IF(NOT(Paths!$C$394=1),0,IF(Paths!$P$394="Complete",IF(C4274=10,Paths!$I$394,0),"n.a."))</f>
        <v>0</v>
      </c>
      <c r="M4274" s="16">
        <f>IF(NOT(Paths!$C$394=1),0,IF(Paths!$P$394="Complete",IF(AND(Paths!$D$394="EV",Paths!$E$394&lt;120,Paths!$E$394+'Operating costs'!$B$65&gt;Paths!$E$394,Paths!$E$394+'Operating costs'!$B$65&lt;=120,IF(Paths!$E$394+'Operating costs'!$B$65=0,C4274=0,AND(C4274&gt;0,Paths!$E$394+'Operating costs'!$B$65&gt;(C4274-1)*12,Paths!$E$394+'Operating costs'!$B$65&lt;=C4274*12))),'Operating costs'!$B$64,0)+IF(AND('Operating costs'!$B$67&gt;0,'Operating costs'!$B$67&lt;=120,OR(Paths!$D$394="ICE",'Operating costs'!$B$67&lt;=Paths!$E$394),IF('Operating costs'!$B$67=0,C4274=0,AND(C4274&gt;0,'Operating costs'!$B$67&gt;(C4274-1)*12,'Operating costs'!$B$67&lt;=C4274*12))),'Operating costs'!$B$66,0),"n.a."))</f>
        <v>0</v>
      </c>
      <c r="N4274" s="16">
        <f>IF(NOT(Paths!$C$394=1),0,IF(Paths!$P$394="Complete",SUM(G4274:I4274)-J4274-K4274-L4274+M4274+IF(C4274=0,Paths!$F$394,0)+IF(IF(Paths!$E$394=0,C4274=0,AND(C4274&gt;0,Paths!$E$394&gt;(C4274-1)*12,Paths!$E$394&lt;=C4274*12)),VLOOKUP(A4274,'Fleet register'!$A$7:$S$106,16,FALSE),0),"n.a."))</f>
        <v>0</v>
      </c>
      <c r="O4274" s="16">
        <f>IF(NOT(Paths!$C$394=1),0,IF(Paths!$P$394="Complete",N4274-IF(C4274=0,Paths!$F$394,0),"n.a."))</f>
        <v>0</v>
      </c>
      <c r="P4274" s="16">
        <f>IF(NOT(Paths!$C$394=1),0,IF(Paths!$P$394="Complete",O4274+L4274,"n.a."))</f>
        <v>0</v>
      </c>
      <c r="Q4274" s="16">
        <f>IF(NOT(Paths!$C$394=1),0,IF(Paths!$P$394="Complete",N4274*(1+'Operating costs'!$B$54)^-C4274,"n.a."))</f>
        <v>0</v>
      </c>
      <c r="R4274" s="16">
        <f>IF(NOT(Paths!$C$394=1),0,IF(Paths!$P$394="Complete",IF(AND(C4274=0,Paths!$E$394=0),I4274-J4274-K4274+VLOOKUP(A4274,'Fleet register'!$A$7:$S$106,15,FALSE)+VLOOKUP(A4274,'Fleet register'!$A$7:$S$106,16,FALSE),0),"n.a."))</f>
        <v>0</v>
      </c>
      <c r="S4274" s="1">
        <f>IF(NOT(Paths!$C$394=1),0,IF(Paths!$P$394="Complete",IF(C4274=0,0,Paths!$S$394*Paths!$R$394),"n.a."))</f>
        <v>0</v>
      </c>
      <c r="T4274" s="1">
        <f>IF(NOT(Paths!$C$394=1),0,IF(Paths!$P$394="Complete",IF(C4274=0,0,VLOOKUP(A4274,'Fleet register'!$A$7:$S$106,9,FALSE)*Paths!$R$394),"n.a."))</f>
        <v>0</v>
      </c>
    </row>
    <row r="4275" spans="1:20" ht="24" customHeight="1">
      <c r="A4275" s="1" t="str">
        <f>Paths!$A$395</f>
        <v>T098</v>
      </c>
      <c r="B4275" s="1">
        <f>Paths!$B$395</f>
        <v>0</v>
      </c>
      <c r="C4275" s="1">
        <v>0</v>
      </c>
      <c r="D4275" s="1">
        <v>395</v>
      </c>
      <c r="E4275" s="1">
        <f>IF(OR(Paths!$C$395=0,C4275=0),0,MAX(0,MIN(C4275*12,Paths!$E$395)-(C4275-1)*12))</f>
        <v>0</v>
      </c>
      <c r="F4275" s="1">
        <f>IF(OR(Paths!$C$395=0,C4275=0),0,12-E4275)</f>
        <v>0</v>
      </c>
      <c r="G4275" s="16">
        <f>IF(NOT(Paths!$C$395=1),0,IF(Paths!$P$395="Complete",E4275/12*(Paths!$J$395*(1+'Operating costs'!$B$51)^MAX(0,C4275-1)+Paths!$K$395*(1+'Operating costs'!$B$53)^MAX(0,C4275-1)),"n.a."))</f>
        <v>0</v>
      </c>
      <c r="H4275" s="16">
        <f>IF(NOT(Paths!$C$395=1),0,IF(Paths!$P$395="Complete",F4275/12*(Paths!$L$395*(1+IF(Paths!$D$395="EV",'Operating costs'!$B$52,'Operating costs'!$B$51))^MAX(0,C4275-1)+Paths!$M$395*(1+'Operating costs'!$B$53)^MAX(0,C4275-1)),"n.a."))</f>
        <v>0</v>
      </c>
      <c r="I4275" s="16">
        <f>IF(NOT(Paths!$C$395=1),0,IF(Paths!$P$395="Complete",IF(IF(Paths!$E$395=0,C4275=0,AND(C4275&gt;0,Paths!$E$395&gt;(C4275-1)*12,Paths!$E$395&lt;=C4275*12)),Paths!$G$395,0),"n.a."))</f>
        <v>0</v>
      </c>
      <c r="J4275" s="16">
        <f>IF(NOT(Paths!$C$395=1),0,IF(Paths!$P$395="Complete",IF(IF(Paths!$E$395=0,C4275=0,AND(C4275&gt;0,Paths!$E$395&gt;(C4275-1)*12,Paths!$E$395&lt;=C4275*12)),Paths!$H$395,0),"n.a."))</f>
        <v>0</v>
      </c>
      <c r="K4275" s="16">
        <f>IF(NOT(Paths!$C$395=1),0,IF(Paths!$P$395="Complete",IF(IF(Paths!$O$395=0,C4275=0,AND(C4275&gt;0,Paths!$O$395&gt;(C4275-1)*12,Paths!$O$395&lt;=C4275*12)),Paths!$N$395,0),"n.a."))</f>
        <v>0</v>
      </c>
      <c r="L4275" s="16">
        <f>IF(NOT(Paths!$C$395=1),0,IF(Paths!$P$395="Complete",IF(C4275=10,Paths!$I$395,0),"n.a."))</f>
        <v>0</v>
      </c>
      <c r="M4275" s="16">
        <f>IF(NOT(Paths!$C$395=1),0,IF(Paths!$P$395="Complete",IF(AND(Paths!$D$395="EV",Paths!$E$395&lt;120,Paths!$E$395+'Operating costs'!$B$65&gt;Paths!$E$395,Paths!$E$395+'Operating costs'!$B$65&lt;=120,IF(Paths!$E$395+'Operating costs'!$B$65=0,C4275=0,AND(C4275&gt;0,Paths!$E$395+'Operating costs'!$B$65&gt;(C4275-1)*12,Paths!$E$395+'Operating costs'!$B$65&lt;=C4275*12))),'Operating costs'!$B$64,0)+IF(AND('Operating costs'!$B$67&gt;0,'Operating costs'!$B$67&lt;=120,OR(Paths!$D$395="ICE",'Operating costs'!$B$67&lt;=Paths!$E$395),IF('Operating costs'!$B$67=0,C4275=0,AND(C4275&gt;0,'Operating costs'!$B$67&gt;(C4275-1)*12,'Operating costs'!$B$67&lt;=C4275*12))),'Operating costs'!$B$66,0),"n.a."))</f>
        <v>0</v>
      </c>
      <c r="N4275" s="16">
        <f>IF(NOT(Paths!$C$395=1),0,IF(Paths!$P$395="Complete",SUM(G4275:I4275)-J4275-K4275-L4275+M4275+IF(C4275=0,Paths!$F$395,0)+IF(IF(Paths!$E$395=0,C4275=0,AND(C4275&gt;0,Paths!$E$395&gt;(C4275-1)*12,Paths!$E$395&lt;=C4275*12)),VLOOKUP(A4275,'Fleet register'!$A$7:$S$106,16,FALSE),0),"n.a."))</f>
        <v>0</v>
      </c>
      <c r="O4275" s="16">
        <f>IF(NOT(Paths!$C$395=1),0,IF(Paths!$P$395="Complete",N4275-IF(C4275=0,Paths!$F$395,0),"n.a."))</f>
        <v>0</v>
      </c>
      <c r="P4275" s="16">
        <f>IF(NOT(Paths!$C$395=1),0,IF(Paths!$P$395="Complete",O4275+L4275,"n.a."))</f>
        <v>0</v>
      </c>
      <c r="Q4275" s="16">
        <f>IF(NOT(Paths!$C$395=1),0,IF(Paths!$P$395="Complete",N4275*(1+'Operating costs'!$B$54)^-C4275,"n.a."))</f>
        <v>0</v>
      </c>
      <c r="R4275" s="16">
        <f>IF(NOT(Paths!$C$395=1),0,IF(Paths!$P$395="Complete",IF(AND(C4275=0,Paths!$E$395=0),I4275-J4275-K4275+VLOOKUP(A4275,'Fleet register'!$A$7:$S$106,15,FALSE)+VLOOKUP(A4275,'Fleet register'!$A$7:$S$106,16,FALSE),0),"n.a."))</f>
        <v>0</v>
      </c>
      <c r="S4275" s="1">
        <f>IF(NOT(Paths!$C$395=1),0,IF(Paths!$P$395="Complete",IF(C4275=0,0,Paths!$S$395*Paths!$R$395),"n.a."))</f>
        <v>0</v>
      </c>
      <c r="T4275" s="1">
        <f>IF(NOT(Paths!$C$395=1),0,IF(Paths!$P$395="Complete",IF(C4275=0,0,VLOOKUP(A4275,'Fleet register'!$A$7:$S$106,9,FALSE)*Paths!$R$395),"n.a."))</f>
        <v>0</v>
      </c>
    </row>
    <row r="4276" spans="1:20" ht="24" customHeight="1">
      <c r="A4276" s="1" t="str">
        <f>Paths!$A$395</f>
        <v>T098</v>
      </c>
      <c r="B4276" s="1">
        <f>Paths!$B$395</f>
        <v>0</v>
      </c>
      <c r="C4276" s="1">
        <v>1</v>
      </c>
      <c r="D4276" s="1">
        <v>395</v>
      </c>
      <c r="E4276" s="1">
        <f>IF(OR(Paths!$C$395=0,C4276=0),0,MAX(0,MIN(C4276*12,Paths!$E$395)-(C4276-1)*12))</f>
        <v>0</v>
      </c>
      <c r="F4276" s="1">
        <f>IF(OR(Paths!$C$395=0,C4276=0),0,12-E4276)</f>
        <v>0</v>
      </c>
      <c r="G4276" s="16">
        <f>IF(NOT(Paths!$C$395=1),0,IF(Paths!$P$395="Complete",E4276/12*(Paths!$J$395*(1+'Operating costs'!$B$51)^MAX(0,C4276-1)+Paths!$K$395*(1+'Operating costs'!$B$53)^MAX(0,C4276-1)),"n.a."))</f>
        <v>0</v>
      </c>
      <c r="H4276" s="16">
        <f>IF(NOT(Paths!$C$395=1),0,IF(Paths!$P$395="Complete",F4276/12*(Paths!$L$395*(1+IF(Paths!$D$395="EV",'Operating costs'!$B$52,'Operating costs'!$B$51))^MAX(0,C4276-1)+Paths!$M$395*(1+'Operating costs'!$B$53)^MAX(0,C4276-1)),"n.a."))</f>
        <v>0</v>
      </c>
      <c r="I4276" s="16">
        <f>IF(NOT(Paths!$C$395=1),0,IF(Paths!$P$395="Complete",IF(IF(Paths!$E$395=0,C4276=0,AND(C4276&gt;0,Paths!$E$395&gt;(C4276-1)*12,Paths!$E$395&lt;=C4276*12)),Paths!$G$395,0),"n.a."))</f>
        <v>0</v>
      </c>
      <c r="J4276" s="16">
        <f>IF(NOT(Paths!$C$395=1),0,IF(Paths!$P$395="Complete",IF(IF(Paths!$E$395=0,C4276=0,AND(C4276&gt;0,Paths!$E$395&gt;(C4276-1)*12,Paths!$E$395&lt;=C4276*12)),Paths!$H$395,0),"n.a."))</f>
        <v>0</v>
      </c>
      <c r="K4276" s="16">
        <f>IF(NOT(Paths!$C$395=1),0,IF(Paths!$P$395="Complete",IF(IF(Paths!$O$395=0,C4276=0,AND(C4276&gt;0,Paths!$O$395&gt;(C4276-1)*12,Paths!$O$395&lt;=C4276*12)),Paths!$N$395,0),"n.a."))</f>
        <v>0</v>
      </c>
      <c r="L4276" s="16">
        <f>IF(NOT(Paths!$C$395=1),0,IF(Paths!$P$395="Complete",IF(C4276=10,Paths!$I$395,0),"n.a."))</f>
        <v>0</v>
      </c>
      <c r="M4276" s="16">
        <f>IF(NOT(Paths!$C$395=1),0,IF(Paths!$P$395="Complete",IF(AND(Paths!$D$395="EV",Paths!$E$395&lt;120,Paths!$E$395+'Operating costs'!$B$65&gt;Paths!$E$395,Paths!$E$395+'Operating costs'!$B$65&lt;=120,IF(Paths!$E$395+'Operating costs'!$B$65=0,C4276=0,AND(C4276&gt;0,Paths!$E$395+'Operating costs'!$B$65&gt;(C4276-1)*12,Paths!$E$395+'Operating costs'!$B$65&lt;=C4276*12))),'Operating costs'!$B$64,0)+IF(AND('Operating costs'!$B$67&gt;0,'Operating costs'!$B$67&lt;=120,OR(Paths!$D$395="ICE",'Operating costs'!$B$67&lt;=Paths!$E$395),IF('Operating costs'!$B$67=0,C4276=0,AND(C4276&gt;0,'Operating costs'!$B$67&gt;(C4276-1)*12,'Operating costs'!$B$67&lt;=C4276*12))),'Operating costs'!$B$66,0),"n.a."))</f>
        <v>0</v>
      </c>
      <c r="N4276" s="16">
        <f>IF(NOT(Paths!$C$395=1),0,IF(Paths!$P$395="Complete",SUM(G4276:I4276)-J4276-K4276-L4276+M4276+IF(C4276=0,Paths!$F$395,0)+IF(IF(Paths!$E$395=0,C4276=0,AND(C4276&gt;0,Paths!$E$395&gt;(C4276-1)*12,Paths!$E$395&lt;=C4276*12)),VLOOKUP(A4276,'Fleet register'!$A$7:$S$106,16,FALSE),0),"n.a."))</f>
        <v>0</v>
      </c>
      <c r="O4276" s="16">
        <f>IF(NOT(Paths!$C$395=1),0,IF(Paths!$P$395="Complete",N4276-IF(C4276=0,Paths!$F$395,0),"n.a."))</f>
        <v>0</v>
      </c>
      <c r="P4276" s="16">
        <f>IF(NOT(Paths!$C$395=1),0,IF(Paths!$P$395="Complete",O4276+L4276,"n.a."))</f>
        <v>0</v>
      </c>
      <c r="Q4276" s="16">
        <f>IF(NOT(Paths!$C$395=1),0,IF(Paths!$P$395="Complete",N4276*(1+'Operating costs'!$B$54)^-C4276,"n.a."))</f>
        <v>0</v>
      </c>
      <c r="R4276" s="16">
        <f>IF(NOT(Paths!$C$395=1),0,IF(Paths!$P$395="Complete",IF(AND(C4276=0,Paths!$E$395=0),I4276-J4276-K4276+VLOOKUP(A4276,'Fleet register'!$A$7:$S$106,15,FALSE)+VLOOKUP(A4276,'Fleet register'!$A$7:$S$106,16,FALSE),0),"n.a."))</f>
        <v>0</v>
      </c>
      <c r="S4276" s="1">
        <f>IF(NOT(Paths!$C$395=1),0,IF(Paths!$P$395="Complete",IF(C4276=0,0,Paths!$S$395*Paths!$R$395),"n.a."))</f>
        <v>0</v>
      </c>
      <c r="T4276" s="1">
        <f>IF(NOT(Paths!$C$395=1),0,IF(Paths!$P$395="Complete",IF(C4276=0,0,VLOOKUP(A4276,'Fleet register'!$A$7:$S$106,9,FALSE)*Paths!$R$395),"n.a."))</f>
        <v>0</v>
      </c>
    </row>
    <row r="4277" spans="1:20" ht="24" customHeight="1">
      <c r="A4277" s="1" t="str">
        <f>Paths!$A$395</f>
        <v>T098</v>
      </c>
      <c r="B4277" s="1">
        <f>Paths!$B$395</f>
        <v>0</v>
      </c>
      <c r="C4277" s="1">
        <v>2</v>
      </c>
      <c r="D4277" s="1">
        <v>395</v>
      </c>
      <c r="E4277" s="1">
        <f>IF(OR(Paths!$C$395=0,C4277=0),0,MAX(0,MIN(C4277*12,Paths!$E$395)-(C4277-1)*12))</f>
        <v>0</v>
      </c>
      <c r="F4277" s="1">
        <f>IF(OR(Paths!$C$395=0,C4277=0),0,12-E4277)</f>
        <v>0</v>
      </c>
      <c r="G4277" s="16">
        <f>IF(NOT(Paths!$C$395=1),0,IF(Paths!$P$395="Complete",E4277/12*(Paths!$J$395*(1+'Operating costs'!$B$51)^MAX(0,C4277-1)+Paths!$K$395*(1+'Operating costs'!$B$53)^MAX(0,C4277-1)),"n.a."))</f>
        <v>0</v>
      </c>
      <c r="H4277" s="16">
        <f>IF(NOT(Paths!$C$395=1),0,IF(Paths!$P$395="Complete",F4277/12*(Paths!$L$395*(1+IF(Paths!$D$395="EV",'Operating costs'!$B$52,'Operating costs'!$B$51))^MAX(0,C4277-1)+Paths!$M$395*(1+'Operating costs'!$B$53)^MAX(0,C4277-1)),"n.a."))</f>
        <v>0</v>
      </c>
      <c r="I4277" s="16">
        <f>IF(NOT(Paths!$C$395=1),0,IF(Paths!$P$395="Complete",IF(IF(Paths!$E$395=0,C4277=0,AND(C4277&gt;0,Paths!$E$395&gt;(C4277-1)*12,Paths!$E$395&lt;=C4277*12)),Paths!$G$395,0),"n.a."))</f>
        <v>0</v>
      </c>
      <c r="J4277" s="16">
        <f>IF(NOT(Paths!$C$395=1),0,IF(Paths!$P$395="Complete",IF(IF(Paths!$E$395=0,C4277=0,AND(C4277&gt;0,Paths!$E$395&gt;(C4277-1)*12,Paths!$E$395&lt;=C4277*12)),Paths!$H$395,0),"n.a."))</f>
        <v>0</v>
      </c>
      <c r="K4277" s="16">
        <f>IF(NOT(Paths!$C$395=1),0,IF(Paths!$P$395="Complete",IF(IF(Paths!$O$395=0,C4277=0,AND(C4277&gt;0,Paths!$O$395&gt;(C4277-1)*12,Paths!$O$395&lt;=C4277*12)),Paths!$N$395,0),"n.a."))</f>
        <v>0</v>
      </c>
      <c r="L4277" s="16">
        <f>IF(NOT(Paths!$C$395=1),0,IF(Paths!$P$395="Complete",IF(C4277=10,Paths!$I$395,0),"n.a."))</f>
        <v>0</v>
      </c>
      <c r="M4277" s="16">
        <f>IF(NOT(Paths!$C$395=1),0,IF(Paths!$P$395="Complete",IF(AND(Paths!$D$395="EV",Paths!$E$395&lt;120,Paths!$E$395+'Operating costs'!$B$65&gt;Paths!$E$395,Paths!$E$395+'Operating costs'!$B$65&lt;=120,IF(Paths!$E$395+'Operating costs'!$B$65=0,C4277=0,AND(C4277&gt;0,Paths!$E$395+'Operating costs'!$B$65&gt;(C4277-1)*12,Paths!$E$395+'Operating costs'!$B$65&lt;=C4277*12))),'Operating costs'!$B$64,0)+IF(AND('Operating costs'!$B$67&gt;0,'Operating costs'!$B$67&lt;=120,OR(Paths!$D$395="ICE",'Operating costs'!$B$67&lt;=Paths!$E$395),IF('Operating costs'!$B$67=0,C4277=0,AND(C4277&gt;0,'Operating costs'!$B$67&gt;(C4277-1)*12,'Operating costs'!$B$67&lt;=C4277*12))),'Operating costs'!$B$66,0),"n.a."))</f>
        <v>0</v>
      </c>
      <c r="N4277" s="16">
        <f>IF(NOT(Paths!$C$395=1),0,IF(Paths!$P$395="Complete",SUM(G4277:I4277)-J4277-K4277-L4277+M4277+IF(C4277=0,Paths!$F$395,0)+IF(IF(Paths!$E$395=0,C4277=0,AND(C4277&gt;0,Paths!$E$395&gt;(C4277-1)*12,Paths!$E$395&lt;=C4277*12)),VLOOKUP(A4277,'Fleet register'!$A$7:$S$106,16,FALSE),0),"n.a."))</f>
        <v>0</v>
      </c>
      <c r="O4277" s="16">
        <f>IF(NOT(Paths!$C$395=1),0,IF(Paths!$P$395="Complete",N4277-IF(C4277=0,Paths!$F$395,0),"n.a."))</f>
        <v>0</v>
      </c>
      <c r="P4277" s="16">
        <f>IF(NOT(Paths!$C$395=1),0,IF(Paths!$P$395="Complete",O4277+L4277,"n.a."))</f>
        <v>0</v>
      </c>
      <c r="Q4277" s="16">
        <f>IF(NOT(Paths!$C$395=1),0,IF(Paths!$P$395="Complete",N4277*(1+'Operating costs'!$B$54)^-C4277,"n.a."))</f>
        <v>0</v>
      </c>
      <c r="R4277" s="16">
        <f>IF(NOT(Paths!$C$395=1),0,IF(Paths!$P$395="Complete",IF(AND(C4277=0,Paths!$E$395=0),I4277-J4277-K4277+VLOOKUP(A4277,'Fleet register'!$A$7:$S$106,15,FALSE)+VLOOKUP(A4277,'Fleet register'!$A$7:$S$106,16,FALSE),0),"n.a."))</f>
        <v>0</v>
      </c>
      <c r="S4277" s="1">
        <f>IF(NOT(Paths!$C$395=1),0,IF(Paths!$P$395="Complete",IF(C4277=0,0,Paths!$S$395*Paths!$R$395),"n.a."))</f>
        <v>0</v>
      </c>
      <c r="T4277" s="1">
        <f>IF(NOT(Paths!$C$395=1),0,IF(Paths!$P$395="Complete",IF(C4277=0,0,VLOOKUP(A4277,'Fleet register'!$A$7:$S$106,9,FALSE)*Paths!$R$395),"n.a."))</f>
        <v>0</v>
      </c>
    </row>
    <row r="4278" spans="1:20" ht="24" customHeight="1">
      <c r="A4278" s="1" t="str">
        <f>Paths!$A$395</f>
        <v>T098</v>
      </c>
      <c r="B4278" s="1">
        <f>Paths!$B$395</f>
        <v>0</v>
      </c>
      <c r="C4278" s="1">
        <v>3</v>
      </c>
      <c r="D4278" s="1">
        <v>395</v>
      </c>
      <c r="E4278" s="1">
        <f>IF(OR(Paths!$C$395=0,C4278=0),0,MAX(0,MIN(C4278*12,Paths!$E$395)-(C4278-1)*12))</f>
        <v>0</v>
      </c>
      <c r="F4278" s="1">
        <f>IF(OR(Paths!$C$395=0,C4278=0),0,12-E4278)</f>
        <v>0</v>
      </c>
      <c r="G4278" s="16">
        <f>IF(NOT(Paths!$C$395=1),0,IF(Paths!$P$395="Complete",E4278/12*(Paths!$J$395*(1+'Operating costs'!$B$51)^MAX(0,C4278-1)+Paths!$K$395*(1+'Operating costs'!$B$53)^MAX(0,C4278-1)),"n.a."))</f>
        <v>0</v>
      </c>
      <c r="H4278" s="16">
        <f>IF(NOT(Paths!$C$395=1),0,IF(Paths!$P$395="Complete",F4278/12*(Paths!$L$395*(1+IF(Paths!$D$395="EV",'Operating costs'!$B$52,'Operating costs'!$B$51))^MAX(0,C4278-1)+Paths!$M$395*(1+'Operating costs'!$B$53)^MAX(0,C4278-1)),"n.a."))</f>
        <v>0</v>
      </c>
      <c r="I4278" s="16">
        <f>IF(NOT(Paths!$C$395=1),0,IF(Paths!$P$395="Complete",IF(IF(Paths!$E$395=0,C4278=0,AND(C4278&gt;0,Paths!$E$395&gt;(C4278-1)*12,Paths!$E$395&lt;=C4278*12)),Paths!$G$395,0),"n.a."))</f>
        <v>0</v>
      </c>
      <c r="J4278" s="16">
        <f>IF(NOT(Paths!$C$395=1),0,IF(Paths!$P$395="Complete",IF(IF(Paths!$E$395=0,C4278=0,AND(C4278&gt;0,Paths!$E$395&gt;(C4278-1)*12,Paths!$E$395&lt;=C4278*12)),Paths!$H$395,0),"n.a."))</f>
        <v>0</v>
      </c>
      <c r="K4278" s="16">
        <f>IF(NOT(Paths!$C$395=1),0,IF(Paths!$P$395="Complete",IF(IF(Paths!$O$395=0,C4278=0,AND(C4278&gt;0,Paths!$O$395&gt;(C4278-1)*12,Paths!$O$395&lt;=C4278*12)),Paths!$N$395,0),"n.a."))</f>
        <v>0</v>
      </c>
      <c r="L4278" s="16">
        <f>IF(NOT(Paths!$C$395=1),0,IF(Paths!$P$395="Complete",IF(C4278=10,Paths!$I$395,0),"n.a."))</f>
        <v>0</v>
      </c>
      <c r="M4278" s="16">
        <f>IF(NOT(Paths!$C$395=1),0,IF(Paths!$P$395="Complete",IF(AND(Paths!$D$395="EV",Paths!$E$395&lt;120,Paths!$E$395+'Operating costs'!$B$65&gt;Paths!$E$395,Paths!$E$395+'Operating costs'!$B$65&lt;=120,IF(Paths!$E$395+'Operating costs'!$B$65=0,C4278=0,AND(C4278&gt;0,Paths!$E$395+'Operating costs'!$B$65&gt;(C4278-1)*12,Paths!$E$395+'Operating costs'!$B$65&lt;=C4278*12))),'Operating costs'!$B$64,0)+IF(AND('Operating costs'!$B$67&gt;0,'Operating costs'!$B$67&lt;=120,OR(Paths!$D$395="ICE",'Operating costs'!$B$67&lt;=Paths!$E$395),IF('Operating costs'!$B$67=0,C4278=0,AND(C4278&gt;0,'Operating costs'!$B$67&gt;(C4278-1)*12,'Operating costs'!$B$67&lt;=C4278*12))),'Operating costs'!$B$66,0),"n.a."))</f>
        <v>0</v>
      </c>
      <c r="N4278" s="16">
        <f>IF(NOT(Paths!$C$395=1),0,IF(Paths!$P$395="Complete",SUM(G4278:I4278)-J4278-K4278-L4278+M4278+IF(C4278=0,Paths!$F$395,0)+IF(IF(Paths!$E$395=0,C4278=0,AND(C4278&gt;0,Paths!$E$395&gt;(C4278-1)*12,Paths!$E$395&lt;=C4278*12)),VLOOKUP(A4278,'Fleet register'!$A$7:$S$106,16,FALSE),0),"n.a."))</f>
        <v>0</v>
      </c>
      <c r="O4278" s="16">
        <f>IF(NOT(Paths!$C$395=1),0,IF(Paths!$P$395="Complete",N4278-IF(C4278=0,Paths!$F$395,0),"n.a."))</f>
        <v>0</v>
      </c>
      <c r="P4278" s="16">
        <f>IF(NOT(Paths!$C$395=1),0,IF(Paths!$P$395="Complete",O4278+L4278,"n.a."))</f>
        <v>0</v>
      </c>
      <c r="Q4278" s="16">
        <f>IF(NOT(Paths!$C$395=1),0,IF(Paths!$P$395="Complete",N4278*(1+'Operating costs'!$B$54)^-C4278,"n.a."))</f>
        <v>0</v>
      </c>
      <c r="R4278" s="16">
        <f>IF(NOT(Paths!$C$395=1),0,IF(Paths!$P$395="Complete",IF(AND(C4278=0,Paths!$E$395=0),I4278-J4278-K4278+VLOOKUP(A4278,'Fleet register'!$A$7:$S$106,15,FALSE)+VLOOKUP(A4278,'Fleet register'!$A$7:$S$106,16,FALSE),0),"n.a."))</f>
        <v>0</v>
      </c>
      <c r="S4278" s="1">
        <f>IF(NOT(Paths!$C$395=1),0,IF(Paths!$P$395="Complete",IF(C4278=0,0,Paths!$S$395*Paths!$R$395),"n.a."))</f>
        <v>0</v>
      </c>
      <c r="T4278" s="1">
        <f>IF(NOT(Paths!$C$395=1),0,IF(Paths!$P$395="Complete",IF(C4278=0,0,VLOOKUP(A4278,'Fleet register'!$A$7:$S$106,9,FALSE)*Paths!$R$395),"n.a."))</f>
        <v>0</v>
      </c>
    </row>
    <row r="4279" spans="1:20" ht="24" customHeight="1">
      <c r="A4279" s="1" t="str">
        <f>Paths!$A$395</f>
        <v>T098</v>
      </c>
      <c r="B4279" s="1">
        <f>Paths!$B$395</f>
        <v>0</v>
      </c>
      <c r="C4279" s="1">
        <v>4</v>
      </c>
      <c r="D4279" s="1">
        <v>395</v>
      </c>
      <c r="E4279" s="1">
        <f>IF(OR(Paths!$C$395=0,C4279=0),0,MAX(0,MIN(C4279*12,Paths!$E$395)-(C4279-1)*12))</f>
        <v>0</v>
      </c>
      <c r="F4279" s="1">
        <f>IF(OR(Paths!$C$395=0,C4279=0),0,12-E4279)</f>
        <v>0</v>
      </c>
      <c r="G4279" s="16">
        <f>IF(NOT(Paths!$C$395=1),0,IF(Paths!$P$395="Complete",E4279/12*(Paths!$J$395*(1+'Operating costs'!$B$51)^MAX(0,C4279-1)+Paths!$K$395*(1+'Operating costs'!$B$53)^MAX(0,C4279-1)),"n.a."))</f>
        <v>0</v>
      </c>
      <c r="H4279" s="16">
        <f>IF(NOT(Paths!$C$395=1),0,IF(Paths!$P$395="Complete",F4279/12*(Paths!$L$395*(1+IF(Paths!$D$395="EV",'Operating costs'!$B$52,'Operating costs'!$B$51))^MAX(0,C4279-1)+Paths!$M$395*(1+'Operating costs'!$B$53)^MAX(0,C4279-1)),"n.a."))</f>
        <v>0</v>
      </c>
      <c r="I4279" s="16">
        <f>IF(NOT(Paths!$C$395=1),0,IF(Paths!$P$395="Complete",IF(IF(Paths!$E$395=0,C4279=0,AND(C4279&gt;0,Paths!$E$395&gt;(C4279-1)*12,Paths!$E$395&lt;=C4279*12)),Paths!$G$395,0),"n.a."))</f>
        <v>0</v>
      </c>
      <c r="J4279" s="16">
        <f>IF(NOT(Paths!$C$395=1),0,IF(Paths!$P$395="Complete",IF(IF(Paths!$E$395=0,C4279=0,AND(C4279&gt;0,Paths!$E$395&gt;(C4279-1)*12,Paths!$E$395&lt;=C4279*12)),Paths!$H$395,0),"n.a."))</f>
        <v>0</v>
      </c>
      <c r="K4279" s="16">
        <f>IF(NOT(Paths!$C$395=1),0,IF(Paths!$P$395="Complete",IF(IF(Paths!$O$395=0,C4279=0,AND(C4279&gt;0,Paths!$O$395&gt;(C4279-1)*12,Paths!$O$395&lt;=C4279*12)),Paths!$N$395,0),"n.a."))</f>
        <v>0</v>
      </c>
      <c r="L4279" s="16">
        <f>IF(NOT(Paths!$C$395=1),0,IF(Paths!$P$395="Complete",IF(C4279=10,Paths!$I$395,0),"n.a."))</f>
        <v>0</v>
      </c>
      <c r="M4279" s="16">
        <f>IF(NOT(Paths!$C$395=1),0,IF(Paths!$P$395="Complete",IF(AND(Paths!$D$395="EV",Paths!$E$395&lt;120,Paths!$E$395+'Operating costs'!$B$65&gt;Paths!$E$395,Paths!$E$395+'Operating costs'!$B$65&lt;=120,IF(Paths!$E$395+'Operating costs'!$B$65=0,C4279=0,AND(C4279&gt;0,Paths!$E$395+'Operating costs'!$B$65&gt;(C4279-1)*12,Paths!$E$395+'Operating costs'!$B$65&lt;=C4279*12))),'Operating costs'!$B$64,0)+IF(AND('Operating costs'!$B$67&gt;0,'Operating costs'!$B$67&lt;=120,OR(Paths!$D$395="ICE",'Operating costs'!$B$67&lt;=Paths!$E$395),IF('Operating costs'!$B$67=0,C4279=0,AND(C4279&gt;0,'Operating costs'!$B$67&gt;(C4279-1)*12,'Operating costs'!$B$67&lt;=C4279*12))),'Operating costs'!$B$66,0),"n.a."))</f>
        <v>0</v>
      </c>
      <c r="N4279" s="16">
        <f>IF(NOT(Paths!$C$395=1),0,IF(Paths!$P$395="Complete",SUM(G4279:I4279)-J4279-K4279-L4279+M4279+IF(C4279=0,Paths!$F$395,0)+IF(IF(Paths!$E$395=0,C4279=0,AND(C4279&gt;0,Paths!$E$395&gt;(C4279-1)*12,Paths!$E$395&lt;=C4279*12)),VLOOKUP(A4279,'Fleet register'!$A$7:$S$106,16,FALSE),0),"n.a."))</f>
        <v>0</v>
      </c>
      <c r="O4279" s="16">
        <f>IF(NOT(Paths!$C$395=1),0,IF(Paths!$P$395="Complete",N4279-IF(C4279=0,Paths!$F$395,0),"n.a."))</f>
        <v>0</v>
      </c>
      <c r="P4279" s="16">
        <f>IF(NOT(Paths!$C$395=1),0,IF(Paths!$P$395="Complete",O4279+L4279,"n.a."))</f>
        <v>0</v>
      </c>
      <c r="Q4279" s="16">
        <f>IF(NOT(Paths!$C$395=1),0,IF(Paths!$P$395="Complete",N4279*(1+'Operating costs'!$B$54)^-C4279,"n.a."))</f>
        <v>0</v>
      </c>
      <c r="R4279" s="16">
        <f>IF(NOT(Paths!$C$395=1),0,IF(Paths!$P$395="Complete",IF(AND(C4279=0,Paths!$E$395=0),I4279-J4279-K4279+VLOOKUP(A4279,'Fleet register'!$A$7:$S$106,15,FALSE)+VLOOKUP(A4279,'Fleet register'!$A$7:$S$106,16,FALSE),0),"n.a."))</f>
        <v>0</v>
      </c>
      <c r="S4279" s="1">
        <f>IF(NOT(Paths!$C$395=1),0,IF(Paths!$P$395="Complete",IF(C4279=0,0,Paths!$S$395*Paths!$R$395),"n.a."))</f>
        <v>0</v>
      </c>
      <c r="T4279" s="1">
        <f>IF(NOT(Paths!$C$395=1),0,IF(Paths!$P$395="Complete",IF(C4279=0,0,VLOOKUP(A4279,'Fleet register'!$A$7:$S$106,9,FALSE)*Paths!$R$395),"n.a."))</f>
        <v>0</v>
      </c>
    </row>
    <row r="4280" spans="1:20" ht="24" customHeight="1">
      <c r="A4280" s="1" t="str">
        <f>Paths!$A$395</f>
        <v>T098</v>
      </c>
      <c r="B4280" s="1">
        <f>Paths!$B$395</f>
        <v>0</v>
      </c>
      <c r="C4280" s="1">
        <v>5</v>
      </c>
      <c r="D4280" s="1">
        <v>395</v>
      </c>
      <c r="E4280" s="1">
        <f>IF(OR(Paths!$C$395=0,C4280=0),0,MAX(0,MIN(C4280*12,Paths!$E$395)-(C4280-1)*12))</f>
        <v>0</v>
      </c>
      <c r="F4280" s="1">
        <f>IF(OR(Paths!$C$395=0,C4280=0),0,12-E4280)</f>
        <v>0</v>
      </c>
      <c r="G4280" s="16">
        <f>IF(NOT(Paths!$C$395=1),0,IF(Paths!$P$395="Complete",E4280/12*(Paths!$J$395*(1+'Operating costs'!$B$51)^MAX(0,C4280-1)+Paths!$K$395*(1+'Operating costs'!$B$53)^MAX(0,C4280-1)),"n.a."))</f>
        <v>0</v>
      </c>
      <c r="H4280" s="16">
        <f>IF(NOT(Paths!$C$395=1),0,IF(Paths!$P$395="Complete",F4280/12*(Paths!$L$395*(1+IF(Paths!$D$395="EV",'Operating costs'!$B$52,'Operating costs'!$B$51))^MAX(0,C4280-1)+Paths!$M$395*(1+'Operating costs'!$B$53)^MAX(0,C4280-1)),"n.a."))</f>
        <v>0</v>
      </c>
      <c r="I4280" s="16">
        <f>IF(NOT(Paths!$C$395=1),0,IF(Paths!$P$395="Complete",IF(IF(Paths!$E$395=0,C4280=0,AND(C4280&gt;0,Paths!$E$395&gt;(C4280-1)*12,Paths!$E$395&lt;=C4280*12)),Paths!$G$395,0),"n.a."))</f>
        <v>0</v>
      </c>
      <c r="J4280" s="16">
        <f>IF(NOT(Paths!$C$395=1),0,IF(Paths!$P$395="Complete",IF(IF(Paths!$E$395=0,C4280=0,AND(C4280&gt;0,Paths!$E$395&gt;(C4280-1)*12,Paths!$E$395&lt;=C4280*12)),Paths!$H$395,0),"n.a."))</f>
        <v>0</v>
      </c>
      <c r="K4280" s="16">
        <f>IF(NOT(Paths!$C$395=1),0,IF(Paths!$P$395="Complete",IF(IF(Paths!$O$395=0,C4280=0,AND(C4280&gt;0,Paths!$O$395&gt;(C4280-1)*12,Paths!$O$395&lt;=C4280*12)),Paths!$N$395,0),"n.a."))</f>
        <v>0</v>
      </c>
      <c r="L4280" s="16">
        <f>IF(NOT(Paths!$C$395=1),0,IF(Paths!$P$395="Complete",IF(C4280=10,Paths!$I$395,0),"n.a."))</f>
        <v>0</v>
      </c>
      <c r="M4280" s="16">
        <f>IF(NOT(Paths!$C$395=1),0,IF(Paths!$P$395="Complete",IF(AND(Paths!$D$395="EV",Paths!$E$395&lt;120,Paths!$E$395+'Operating costs'!$B$65&gt;Paths!$E$395,Paths!$E$395+'Operating costs'!$B$65&lt;=120,IF(Paths!$E$395+'Operating costs'!$B$65=0,C4280=0,AND(C4280&gt;0,Paths!$E$395+'Operating costs'!$B$65&gt;(C4280-1)*12,Paths!$E$395+'Operating costs'!$B$65&lt;=C4280*12))),'Operating costs'!$B$64,0)+IF(AND('Operating costs'!$B$67&gt;0,'Operating costs'!$B$67&lt;=120,OR(Paths!$D$395="ICE",'Operating costs'!$B$67&lt;=Paths!$E$395),IF('Operating costs'!$B$67=0,C4280=0,AND(C4280&gt;0,'Operating costs'!$B$67&gt;(C4280-1)*12,'Operating costs'!$B$67&lt;=C4280*12))),'Operating costs'!$B$66,0),"n.a."))</f>
        <v>0</v>
      </c>
      <c r="N4280" s="16">
        <f>IF(NOT(Paths!$C$395=1),0,IF(Paths!$P$395="Complete",SUM(G4280:I4280)-J4280-K4280-L4280+M4280+IF(C4280=0,Paths!$F$395,0)+IF(IF(Paths!$E$395=0,C4280=0,AND(C4280&gt;0,Paths!$E$395&gt;(C4280-1)*12,Paths!$E$395&lt;=C4280*12)),VLOOKUP(A4280,'Fleet register'!$A$7:$S$106,16,FALSE),0),"n.a."))</f>
        <v>0</v>
      </c>
      <c r="O4280" s="16">
        <f>IF(NOT(Paths!$C$395=1),0,IF(Paths!$P$395="Complete",N4280-IF(C4280=0,Paths!$F$395,0),"n.a."))</f>
        <v>0</v>
      </c>
      <c r="P4280" s="16">
        <f>IF(NOT(Paths!$C$395=1),0,IF(Paths!$P$395="Complete",O4280+L4280,"n.a."))</f>
        <v>0</v>
      </c>
      <c r="Q4280" s="16">
        <f>IF(NOT(Paths!$C$395=1),0,IF(Paths!$P$395="Complete",N4280*(1+'Operating costs'!$B$54)^-C4280,"n.a."))</f>
        <v>0</v>
      </c>
      <c r="R4280" s="16">
        <f>IF(NOT(Paths!$C$395=1),0,IF(Paths!$P$395="Complete",IF(AND(C4280=0,Paths!$E$395=0),I4280-J4280-K4280+VLOOKUP(A4280,'Fleet register'!$A$7:$S$106,15,FALSE)+VLOOKUP(A4280,'Fleet register'!$A$7:$S$106,16,FALSE),0),"n.a."))</f>
        <v>0</v>
      </c>
      <c r="S4280" s="1">
        <f>IF(NOT(Paths!$C$395=1),0,IF(Paths!$P$395="Complete",IF(C4280=0,0,Paths!$S$395*Paths!$R$395),"n.a."))</f>
        <v>0</v>
      </c>
      <c r="T4280" s="1">
        <f>IF(NOT(Paths!$C$395=1),0,IF(Paths!$P$395="Complete",IF(C4280=0,0,VLOOKUP(A4280,'Fleet register'!$A$7:$S$106,9,FALSE)*Paths!$R$395),"n.a."))</f>
        <v>0</v>
      </c>
    </row>
    <row r="4281" spans="1:20" ht="24" customHeight="1">
      <c r="A4281" s="1" t="str">
        <f>Paths!$A$395</f>
        <v>T098</v>
      </c>
      <c r="B4281" s="1">
        <f>Paths!$B$395</f>
        <v>0</v>
      </c>
      <c r="C4281" s="1">
        <v>6</v>
      </c>
      <c r="D4281" s="1">
        <v>395</v>
      </c>
      <c r="E4281" s="1">
        <f>IF(OR(Paths!$C$395=0,C4281=0),0,MAX(0,MIN(C4281*12,Paths!$E$395)-(C4281-1)*12))</f>
        <v>0</v>
      </c>
      <c r="F4281" s="1">
        <f>IF(OR(Paths!$C$395=0,C4281=0),0,12-E4281)</f>
        <v>0</v>
      </c>
      <c r="G4281" s="16">
        <f>IF(NOT(Paths!$C$395=1),0,IF(Paths!$P$395="Complete",E4281/12*(Paths!$J$395*(1+'Operating costs'!$B$51)^MAX(0,C4281-1)+Paths!$K$395*(1+'Operating costs'!$B$53)^MAX(0,C4281-1)),"n.a."))</f>
        <v>0</v>
      </c>
      <c r="H4281" s="16">
        <f>IF(NOT(Paths!$C$395=1),0,IF(Paths!$P$395="Complete",F4281/12*(Paths!$L$395*(1+IF(Paths!$D$395="EV",'Operating costs'!$B$52,'Operating costs'!$B$51))^MAX(0,C4281-1)+Paths!$M$395*(1+'Operating costs'!$B$53)^MAX(0,C4281-1)),"n.a."))</f>
        <v>0</v>
      </c>
      <c r="I4281" s="16">
        <f>IF(NOT(Paths!$C$395=1),0,IF(Paths!$P$395="Complete",IF(IF(Paths!$E$395=0,C4281=0,AND(C4281&gt;0,Paths!$E$395&gt;(C4281-1)*12,Paths!$E$395&lt;=C4281*12)),Paths!$G$395,0),"n.a."))</f>
        <v>0</v>
      </c>
      <c r="J4281" s="16">
        <f>IF(NOT(Paths!$C$395=1),0,IF(Paths!$P$395="Complete",IF(IF(Paths!$E$395=0,C4281=0,AND(C4281&gt;0,Paths!$E$395&gt;(C4281-1)*12,Paths!$E$395&lt;=C4281*12)),Paths!$H$395,0),"n.a."))</f>
        <v>0</v>
      </c>
      <c r="K4281" s="16">
        <f>IF(NOT(Paths!$C$395=1),0,IF(Paths!$P$395="Complete",IF(IF(Paths!$O$395=0,C4281=0,AND(C4281&gt;0,Paths!$O$395&gt;(C4281-1)*12,Paths!$O$395&lt;=C4281*12)),Paths!$N$395,0),"n.a."))</f>
        <v>0</v>
      </c>
      <c r="L4281" s="16">
        <f>IF(NOT(Paths!$C$395=1),0,IF(Paths!$P$395="Complete",IF(C4281=10,Paths!$I$395,0),"n.a."))</f>
        <v>0</v>
      </c>
      <c r="M4281" s="16">
        <f>IF(NOT(Paths!$C$395=1),0,IF(Paths!$P$395="Complete",IF(AND(Paths!$D$395="EV",Paths!$E$395&lt;120,Paths!$E$395+'Operating costs'!$B$65&gt;Paths!$E$395,Paths!$E$395+'Operating costs'!$B$65&lt;=120,IF(Paths!$E$395+'Operating costs'!$B$65=0,C4281=0,AND(C4281&gt;0,Paths!$E$395+'Operating costs'!$B$65&gt;(C4281-1)*12,Paths!$E$395+'Operating costs'!$B$65&lt;=C4281*12))),'Operating costs'!$B$64,0)+IF(AND('Operating costs'!$B$67&gt;0,'Operating costs'!$B$67&lt;=120,OR(Paths!$D$395="ICE",'Operating costs'!$B$67&lt;=Paths!$E$395),IF('Operating costs'!$B$67=0,C4281=0,AND(C4281&gt;0,'Operating costs'!$B$67&gt;(C4281-1)*12,'Operating costs'!$B$67&lt;=C4281*12))),'Operating costs'!$B$66,0),"n.a."))</f>
        <v>0</v>
      </c>
      <c r="N4281" s="16">
        <f>IF(NOT(Paths!$C$395=1),0,IF(Paths!$P$395="Complete",SUM(G4281:I4281)-J4281-K4281-L4281+M4281+IF(C4281=0,Paths!$F$395,0)+IF(IF(Paths!$E$395=0,C4281=0,AND(C4281&gt;0,Paths!$E$395&gt;(C4281-1)*12,Paths!$E$395&lt;=C4281*12)),VLOOKUP(A4281,'Fleet register'!$A$7:$S$106,16,FALSE),0),"n.a."))</f>
        <v>0</v>
      </c>
      <c r="O4281" s="16">
        <f>IF(NOT(Paths!$C$395=1),0,IF(Paths!$P$395="Complete",N4281-IF(C4281=0,Paths!$F$395,0),"n.a."))</f>
        <v>0</v>
      </c>
      <c r="P4281" s="16">
        <f>IF(NOT(Paths!$C$395=1),0,IF(Paths!$P$395="Complete",O4281+L4281,"n.a."))</f>
        <v>0</v>
      </c>
      <c r="Q4281" s="16">
        <f>IF(NOT(Paths!$C$395=1),0,IF(Paths!$P$395="Complete",N4281*(1+'Operating costs'!$B$54)^-C4281,"n.a."))</f>
        <v>0</v>
      </c>
      <c r="R4281" s="16">
        <f>IF(NOT(Paths!$C$395=1),0,IF(Paths!$P$395="Complete",IF(AND(C4281=0,Paths!$E$395=0),I4281-J4281-K4281+VLOOKUP(A4281,'Fleet register'!$A$7:$S$106,15,FALSE)+VLOOKUP(A4281,'Fleet register'!$A$7:$S$106,16,FALSE),0),"n.a."))</f>
        <v>0</v>
      </c>
      <c r="S4281" s="1">
        <f>IF(NOT(Paths!$C$395=1),0,IF(Paths!$P$395="Complete",IF(C4281=0,0,Paths!$S$395*Paths!$R$395),"n.a."))</f>
        <v>0</v>
      </c>
      <c r="T4281" s="1">
        <f>IF(NOT(Paths!$C$395=1),0,IF(Paths!$P$395="Complete",IF(C4281=0,0,VLOOKUP(A4281,'Fleet register'!$A$7:$S$106,9,FALSE)*Paths!$R$395),"n.a."))</f>
        <v>0</v>
      </c>
    </row>
    <row r="4282" spans="1:20" ht="24" customHeight="1">
      <c r="A4282" s="1" t="str">
        <f>Paths!$A$395</f>
        <v>T098</v>
      </c>
      <c r="B4282" s="1">
        <f>Paths!$B$395</f>
        <v>0</v>
      </c>
      <c r="C4282" s="1">
        <v>7</v>
      </c>
      <c r="D4282" s="1">
        <v>395</v>
      </c>
      <c r="E4282" s="1">
        <f>IF(OR(Paths!$C$395=0,C4282=0),0,MAX(0,MIN(C4282*12,Paths!$E$395)-(C4282-1)*12))</f>
        <v>0</v>
      </c>
      <c r="F4282" s="1">
        <f>IF(OR(Paths!$C$395=0,C4282=0),0,12-E4282)</f>
        <v>0</v>
      </c>
      <c r="G4282" s="16">
        <f>IF(NOT(Paths!$C$395=1),0,IF(Paths!$P$395="Complete",E4282/12*(Paths!$J$395*(1+'Operating costs'!$B$51)^MAX(0,C4282-1)+Paths!$K$395*(1+'Operating costs'!$B$53)^MAX(0,C4282-1)),"n.a."))</f>
        <v>0</v>
      </c>
      <c r="H4282" s="16">
        <f>IF(NOT(Paths!$C$395=1),0,IF(Paths!$P$395="Complete",F4282/12*(Paths!$L$395*(1+IF(Paths!$D$395="EV",'Operating costs'!$B$52,'Operating costs'!$B$51))^MAX(0,C4282-1)+Paths!$M$395*(1+'Operating costs'!$B$53)^MAX(0,C4282-1)),"n.a."))</f>
        <v>0</v>
      </c>
      <c r="I4282" s="16">
        <f>IF(NOT(Paths!$C$395=1),0,IF(Paths!$P$395="Complete",IF(IF(Paths!$E$395=0,C4282=0,AND(C4282&gt;0,Paths!$E$395&gt;(C4282-1)*12,Paths!$E$395&lt;=C4282*12)),Paths!$G$395,0),"n.a."))</f>
        <v>0</v>
      </c>
      <c r="J4282" s="16">
        <f>IF(NOT(Paths!$C$395=1),0,IF(Paths!$P$395="Complete",IF(IF(Paths!$E$395=0,C4282=0,AND(C4282&gt;0,Paths!$E$395&gt;(C4282-1)*12,Paths!$E$395&lt;=C4282*12)),Paths!$H$395,0),"n.a."))</f>
        <v>0</v>
      </c>
      <c r="K4282" s="16">
        <f>IF(NOT(Paths!$C$395=1),0,IF(Paths!$P$395="Complete",IF(IF(Paths!$O$395=0,C4282=0,AND(C4282&gt;0,Paths!$O$395&gt;(C4282-1)*12,Paths!$O$395&lt;=C4282*12)),Paths!$N$395,0),"n.a."))</f>
        <v>0</v>
      </c>
      <c r="L4282" s="16">
        <f>IF(NOT(Paths!$C$395=1),0,IF(Paths!$P$395="Complete",IF(C4282=10,Paths!$I$395,0),"n.a."))</f>
        <v>0</v>
      </c>
      <c r="M4282" s="16">
        <f>IF(NOT(Paths!$C$395=1),0,IF(Paths!$P$395="Complete",IF(AND(Paths!$D$395="EV",Paths!$E$395&lt;120,Paths!$E$395+'Operating costs'!$B$65&gt;Paths!$E$395,Paths!$E$395+'Operating costs'!$B$65&lt;=120,IF(Paths!$E$395+'Operating costs'!$B$65=0,C4282=0,AND(C4282&gt;0,Paths!$E$395+'Operating costs'!$B$65&gt;(C4282-1)*12,Paths!$E$395+'Operating costs'!$B$65&lt;=C4282*12))),'Operating costs'!$B$64,0)+IF(AND('Operating costs'!$B$67&gt;0,'Operating costs'!$B$67&lt;=120,OR(Paths!$D$395="ICE",'Operating costs'!$B$67&lt;=Paths!$E$395),IF('Operating costs'!$B$67=0,C4282=0,AND(C4282&gt;0,'Operating costs'!$B$67&gt;(C4282-1)*12,'Operating costs'!$B$67&lt;=C4282*12))),'Operating costs'!$B$66,0),"n.a."))</f>
        <v>0</v>
      </c>
      <c r="N4282" s="16">
        <f>IF(NOT(Paths!$C$395=1),0,IF(Paths!$P$395="Complete",SUM(G4282:I4282)-J4282-K4282-L4282+M4282+IF(C4282=0,Paths!$F$395,0)+IF(IF(Paths!$E$395=0,C4282=0,AND(C4282&gt;0,Paths!$E$395&gt;(C4282-1)*12,Paths!$E$395&lt;=C4282*12)),VLOOKUP(A4282,'Fleet register'!$A$7:$S$106,16,FALSE),0),"n.a."))</f>
        <v>0</v>
      </c>
      <c r="O4282" s="16">
        <f>IF(NOT(Paths!$C$395=1),0,IF(Paths!$P$395="Complete",N4282-IF(C4282=0,Paths!$F$395,0),"n.a."))</f>
        <v>0</v>
      </c>
      <c r="P4282" s="16">
        <f>IF(NOT(Paths!$C$395=1),0,IF(Paths!$P$395="Complete",O4282+L4282,"n.a."))</f>
        <v>0</v>
      </c>
      <c r="Q4282" s="16">
        <f>IF(NOT(Paths!$C$395=1),0,IF(Paths!$P$395="Complete",N4282*(1+'Operating costs'!$B$54)^-C4282,"n.a."))</f>
        <v>0</v>
      </c>
      <c r="R4282" s="16">
        <f>IF(NOT(Paths!$C$395=1),0,IF(Paths!$P$395="Complete",IF(AND(C4282=0,Paths!$E$395=0),I4282-J4282-K4282+VLOOKUP(A4282,'Fleet register'!$A$7:$S$106,15,FALSE)+VLOOKUP(A4282,'Fleet register'!$A$7:$S$106,16,FALSE),0),"n.a."))</f>
        <v>0</v>
      </c>
      <c r="S4282" s="1">
        <f>IF(NOT(Paths!$C$395=1),0,IF(Paths!$P$395="Complete",IF(C4282=0,0,Paths!$S$395*Paths!$R$395),"n.a."))</f>
        <v>0</v>
      </c>
      <c r="T4282" s="1">
        <f>IF(NOT(Paths!$C$395=1),0,IF(Paths!$P$395="Complete",IF(C4282=0,0,VLOOKUP(A4282,'Fleet register'!$A$7:$S$106,9,FALSE)*Paths!$R$395),"n.a."))</f>
        <v>0</v>
      </c>
    </row>
    <row r="4283" spans="1:20" ht="24" customHeight="1">
      <c r="A4283" s="1" t="str">
        <f>Paths!$A$395</f>
        <v>T098</v>
      </c>
      <c r="B4283" s="1">
        <f>Paths!$B$395</f>
        <v>0</v>
      </c>
      <c r="C4283" s="1">
        <v>8</v>
      </c>
      <c r="D4283" s="1">
        <v>395</v>
      </c>
      <c r="E4283" s="1">
        <f>IF(OR(Paths!$C$395=0,C4283=0),0,MAX(0,MIN(C4283*12,Paths!$E$395)-(C4283-1)*12))</f>
        <v>0</v>
      </c>
      <c r="F4283" s="1">
        <f>IF(OR(Paths!$C$395=0,C4283=0),0,12-E4283)</f>
        <v>0</v>
      </c>
      <c r="G4283" s="16">
        <f>IF(NOT(Paths!$C$395=1),0,IF(Paths!$P$395="Complete",E4283/12*(Paths!$J$395*(1+'Operating costs'!$B$51)^MAX(0,C4283-1)+Paths!$K$395*(1+'Operating costs'!$B$53)^MAX(0,C4283-1)),"n.a."))</f>
        <v>0</v>
      </c>
      <c r="H4283" s="16">
        <f>IF(NOT(Paths!$C$395=1),0,IF(Paths!$P$395="Complete",F4283/12*(Paths!$L$395*(1+IF(Paths!$D$395="EV",'Operating costs'!$B$52,'Operating costs'!$B$51))^MAX(0,C4283-1)+Paths!$M$395*(1+'Operating costs'!$B$53)^MAX(0,C4283-1)),"n.a."))</f>
        <v>0</v>
      </c>
      <c r="I4283" s="16">
        <f>IF(NOT(Paths!$C$395=1),0,IF(Paths!$P$395="Complete",IF(IF(Paths!$E$395=0,C4283=0,AND(C4283&gt;0,Paths!$E$395&gt;(C4283-1)*12,Paths!$E$395&lt;=C4283*12)),Paths!$G$395,0),"n.a."))</f>
        <v>0</v>
      </c>
      <c r="J4283" s="16">
        <f>IF(NOT(Paths!$C$395=1),0,IF(Paths!$P$395="Complete",IF(IF(Paths!$E$395=0,C4283=0,AND(C4283&gt;0,Paths!$E$395&gt;(C4283-1)*12,Paths!$E$395&lt;=C4283*12)),Paths!$H$395,0),"n.a."))</f>
        <v>0</v>
      </c>
      <c r="K4283" s="16">
        <f>IF(NOT(Paths!$C$395=1),0,IF(Paths!$P$395="Complete",IF(IF(Paths!$O$395=0,C4283=0,AND(C4283&gt;0,Paths!$O$395&gt;(C4283-1)*12,Paths!$O$395&lt;=C4283*12)),Paths!$N$395,0),"n.a."))</f>
        <v>0</v>
      </c>
      <c r="L4283" s="16">
        <f>IF(NOT(Paths!$C$395=1),0,IF(Paths!$P$395="Complete",IF(C4283=10,Paths!$I$395,0),"n.a."))</f>
        <v>0</v>
      </c>
      <c r="M4283" s="16">
        <f>IF(NOT(Paths!$C$395=1),0,IF(Paths!$P$395="Complete",IF(AND(Paths!$D$395="EV",Paths!$E$395&lt;120,Paths!$E$395+'Operating costs'!$B$65&gt;Paths!$E$395,Paths!$E$395+'Operating costs'!$B$65&lt;=120,IF(Paths!$E$395+'Operating costs'!$B$65=0,C4283=0,AND(C4283&gt;0,Paths!$E$395+'Operating costs'!$B$65&gt;(C4283-1)*12,Paths!$E$395+'Operating costs'!$B$65&lt;=C4283*12))),'Operating costs'!$B$64,0)+IF(AND('Operating costs'!$B$67&gt;0,'Operating costs'!$B$67&lt;=120,OR(Paths!$D$395="ICE",'Operating costs'!$B$67&lt;=Paths!$E$395),IF('Operating costs'!$B$67=0,C4283=0,AND(C4283&gt;0,'Operating costs'!$B$67&gt;(C4283-1)*12,'Operating costs'!$B$67&lt;=C4283*12))),'Operating costs'!$B$66,0),"n.a."))</f>
        <v>0</v>
      </c>
      <c r="N4283" s="16">
        <f>IF(NOT(Paths!$C$395=1),0,IF(Paths!$P$395="Complete",SUM(G4283:I4283)-J4283-K4283-L4283+M4283+IF(C4283=0,Paths!$F$395,0)+IF(IF(Paths!$E$395=0,C4283=0,AND(C4283&gt;0,Paths!$E$395&gt;(C4283-1)*12,Paths!$E$395&lt;=C4283*12)),VLOOKUP(A4283,'Fleet register'!$A$7:$S$106,16,FALSE),0),"n.a."))</f>
        <v>0</v>
      </c>
      <c r="O4283" s="16">
        <f>IF(NOT(Paths!$C$395=1),0,IF(Paths!$P$395="Complete",N4283-IF(C4283=0,Paths!$F$395,0),"n.a."))</f>
        <v>0</v>
      </c>
      <c r="P4283" s="16">
        <f>IF(NOT(Paths!$C$395=1),0,IF(Paths!$P$395="Complete",O4283+L4283,"n.a."))</f>
        <v>0</v>
      </c>
      <c r="Q4283" s="16">
        <f>IF(NOT(Paths!$C$395=1),0,IF(Paths!$P$395="Complete",N4283*(1+'Operating costs'!$B$54)^-C4283,"n.a."))</f>
        <v>0</v>
      </c>
      <c r="R4283" s="16">
        <f>IF(NOT(Paths!$C$395=1),0,IF(Paths!$P$395="Complete",IF(AND(C4283=0,Paths!$E$395=0),I4283-J4283-K4283+VLOOKUP(A4283,'Fleet register'!$A$7:$S$106,15,FALSE)+VLOOKUP(A4283,'Fleet register'!$A$7:$S$106,16,FALSE),0),"n.a."))</f>
        <v>0</v>
      </c>
      <c r="S4283" s="1">
        <f>IF(NOT(Paths!$C$395=1),0,IF(Paths!$P$395="Complete",IF(C4283=0,0,Paths!$S$395*Paths!$R$395),"n.a."))</f>
        <v>0</v>
      </c>
      <c r="T4283" s="1">
        <f>IF(NOT(Paths!$C$395=1),0,IF(Paths!$P$395="Complete",IF(C4283=0,0,VLOOKUP(A4283,'Fleet register'!$A$7:$S$106,9,FALSE)*Paths!$R$395),"n.a."))</f>
        <v>0</v>
      </c>
    </row>
    <row r="4284" spans="1:20" ht="24" customHeight="1">
      <c r="A4284" s="1" t="str">
        <f>Paths!$A$395</f>
        <v>T098</v>
      </c>
      <c r="B4284" s="1">
        <f>Paths!$B$395</f>
        <v>0</v>
      </c>
      <c r="C4284" s="1">
        <v>9</v>
      </c>
      <c r="D4284" s="1">
        <v>395</v>
      </c>
      <c r="E4284" s="1">
        <f>IF(OR(Paths!$C$395=0,C4284=0),0,MAX(0,MIN(C4284*12,Paths!$E$395)-(C4284-1)*12))</f>
        <v>0</v>
      </c>
      <c r="F4284" s="1">
        <f>IF(OR(Paths!$C$395=0,C4284=0),0,12-E4284)</f>
        <v>0</v>
      </c>
      <c r="G4284" s="16">
        <f>IF(NOT(Paths!$C$395=1),0,IF(Paths!$P$395="Complete",E4284/12*(Paths!$J$395*(1+'Operating costs'!$B$51)^MAX(0,C4284-1)+Paths!$K$395*(1+'Operating costs'!$B$53)^MAX(0,C4284-1)),"n.a."))</f>
        <v>0</v>
      </c>
      <c r="H4284" s="16">
        <f>IF(NOT(Paths!$C$395=1),0,IF(Paths!$P$395="Complete",F4284/12*(Paths!$L$395*(1+IF(Paths!$D$395="EV",'Operating costs'!$B$52,'Operating costs'!$B$51))^MAX(0,C4284-1)+Paths!$M$395*(1+'Operating costs'!$B$53)^MAX(0,C4284-1)),"n.a."))</f>
        <v>0</v>
      </c>
      <c r="I4284" s="16">
        <f>IF(NOT(Paths!$C$395=1),0,IF(Paths!$P$395="Complete",IF(IF(Paths!$E$395=0,C4284=0,AND(C4284&gt;0,Paths!$E$395&gt;(C4284-1)*12,Paths!$E$395&lt;=C4284*12)),Paths!$G$395,0),"n.a."))</f>
        <v>0</v>
      </c>
      <c r="J4284" s="16">
        <f>IF(NOT(Paths!$C$395=1),0,IF(Paths!$P$395="Complete",IF(IF(Paths!$E$395=0,C4284=0,AND(C4284&gt;0,Paths!$E$395&gt;(C4284-1)*12,Paths!$E$395&lt;=C4284*12)),Paths!$H$395,0),"n.a."))</f>
        <v>0</v>
      </c>
      <c r="K4284" s="16">
        <f>IF(NOT(Paths!$C$395=1),0,IF(Paths!$P$395="Complete",IF(IF(Paths!$O$395=0,C4284=0,AND(C4284&gt;0,Paths!$O$395&gt;(C4284-1)*12,Paths!$O$395&lt;=C4284*12)),Paths!$N$395,0),"n.a."))</f>
        <v>0</v>
      </c>
      <c r="L4284" s="16">
        <f>IF(NOT(Paths!$C$395=1),0,IF(Paths!$P$395="Complete",IF(C4284=10,Paths!$I$395,0),"n.a."))</f>
        <v>0</v>
      </c>
      <c r="M4284" s="16">
        <f>IF(NOT(Paths!$C$395=1),0,IF(Paths!$P$395="Complete",IF(AND(Paths!$D$395="EV",Paths!$E$395&lt;120,Paths!$E$395+'Operating costs'!$B$65&gt;Paths!$E$395,Paths!$E$395+'Operating costs'!$B$65&lt;=120,IF(Paths!$E$395+'Operating costs'!$B$65=0,C4284=0,AND(C4284&gt;0,Paths!$E$395+'Operating costs'!$B$65&gt;(C4284-1)*12,Paths!$E$395+'Operating costs'!$B$65&lt;=C4284*12))),'Operating costs'!$B$64,0)+IF(AND('Operating costs'!$B$67&gt;0,'Operating costs'!$B$67&lt;=120,OR(Paths!$D$395="ICE",'Operating costs'!$B$67&lt;=Paths!$E$395),IF('Operating costs'!$B$67=0,C4284=0,AND(C4284&gt;0,'Operating costs'!$B$67&gt;(C4284-1)*12,'Operating costs'!$B$67&lt;=C4284*12))),'Operating costs'!$B$66,0),"n.a."))</f>
        <v>0</v>
      </c>
      <c r="N4284" s="16">
        <f>IF(NOT(Paths!$C$395=1),0,IF(Paths!$P$395="Complete",SUM(G4284:I4284)-J4284-K4284-L4284+M4284+IF(C4284=0,Paths!$F$395,0)+IF(IF(Paths!$E$395=0,C4284=0,AND(C4284&gt;0,Paths!$E$395&gt;(C4284-1)*12,Paths!$E$395&lt;=C4284*12)),VLOOKUP(A4284,'Fleet register'!$A$7:$S$106,16,FALSE),0),"n.a."))</f>
        <v>0</v>
      </c>
      <c r="O4284" s="16">
        <f>IF(NOT(Paths!$C$395=1),0,IF(Paths!$P$395="Complete",N4284-IF(C4284=0,Paths!$F$395,0),"n.a."))</f>
        <v>0</v>
      </c>
      <c r="P4284" s="16">
        <f>IF(NOT(Paths!$C$395=1),0,IF(Paths!$P$395="Complete",O4284+L4284,"n.a."))</f>
        <v>0</v>
      </c>
      <c r="Q4284" s="16">
        <f>IF(NOT(Paths!$C$395=1),0,IF(Paths!$P$395="Complete",N4284*(1+'Operating costs'!$B$54)^-C4284,"n.a."))</f>
        <v>0</v>
      </c>
      <c r="R4284" s="16">
        <f>IF(NOT(Paths!$C$395=1),0,IF(Paths!$P$395="Complete",IF(AND(C4284=0,Paths!$E$395=0),I4284-J4284-K4284+VLOOKUP(A4284,'Fleet register'!$A$7:$S$106,15,FALSE)+VLOOKUP(A4284,'Fleet register'!$A$7:$S$106,16,FALSE),0),"n.a."))</f>
        <v>0</v>
      </c>
      <c r="S4284" s="1">
        <f>IF(NOT(Paths!$C$395=1),0,IF(Paths!$P$395="Complete",IF(C4284=0,0,Paths!$S$395*Paths!$R$395),"n.a."))</f>
        <v>0</v>
      </c>
      <c r="T4284" s="1">
        <f>IF(NOT(Paths!$C$395=1),0,IF(Paths!$P$395="Complete",IF(C4284=0,0,VLOOKUP(A4284,'Fleet register'!$A$7:$S$106,9,FALSE)*Paths!$R$395),"n.a."))</f>
        <v>0</v>
      </c>
    </row>
    <row r="4285" spans="1:20" ht="24" customHeight="1">
      <c r="A4285" s="1" t="str">
        <f>Paths!$A$395</f>
        <v>T098</v>
      </c>
      <c r="B4285" s="1">
        <f>Paths!$B$395</f>
        <v>0</v>
      </c>
      <c r="C4285" s="1">
        <v>10</v>
      </c>
      <c r="D4285" s="1">
        <v>395</v>
      </c>
      <c r="E4285" s="1">
        <f>IF(OR(Paths!$C$395=0,C4285=0),0,MAX(0,MIN(C4285*12,Paths!$E$395)-(C4285-1)*12))</f>
        <v>0</v>
      </c>
      <c r="F4285" s="1">
        <f>IF(OR(Paths!$C$395=0,C4285=0),0,12-E4285)</f>
        <v>0</v>
      </c>
      <c r="G4285" s="16">
        <f>IF(NOT(Paths!$C$395=1),0,IF(Paths!$P$395="Complete",E4285/12*(Paths!$J$395*(1+'Operating costs'!$B$51)^MAX(0,C4285-1)+Paths!$K$395*(1+'Operating costs'!$B$53)^MAX(0,C4285-1)),"n.a."))</f>
        <v>0</v>
      </c>
      <c r="H4285" s="16">
        <f>IF(NOT(Paths!$C$395=1),0,IF(Paths!$P$395="Complete",F4285/12*(Paths!$L$395*(1+IF(Paths!$D$395="EV",'Operating costs'!$B$52,'Operating costs'!$B$51))^MAX(0,C4285-1)+Paths!$M$395*(1+'Operating costs'!$B$53)^MAX(0,C4285-1)),"n.a."))</f>
        <v>0</v>
      </c>
      <c r="I4285" s="16">
        <f>IF(NOT(Paths!$C$395=1),0,IF(Paths!$P$395="Complete",IF(IF(Paths!$E$395=0,C4285=0,AND(C4285&gt;0,Paths!$E$395&gt;(C4285-1)*12,Paths!$E$395&lt;=C4285*12)),Paths!$G$395,0),"n.a."))</f>
        <v>0</v>
      </c>
      <c r="J4285" s="16">
        <f>IF(NOT(Paths!$C$395=1),0,IF(Paths!$P$395="Complete",IF(IF(Paths!$E$395=0,C4285=0,AND(C4285&gt;0,Paths!$E$395&gt;(C4285-1)*12,Paths!$E$395&lt;=C4285*12)),Paths!$H$395,0),"n.a."))</f>
        <v>0</v>
      </c>
      <c r="K4285" s="16">
        <f>IF(NOT(Paths!$C$395=1),0,IF(Paths!$P$395="Complete",IF(IF(Paths!$O$395=0,C4285=0,AND(C4285&gt;0,Paths!$O$395&gt;(C4285-1)*12,Paths!$O$395&lt;=C4285*12)),Paths!$N$395,0),"n.a."))</f>
        <v>0</v>
      </c>
      <c r="L4285" s="16">
        <f>IF(NOT(Paths!$C$395=1),0,IF(Paths!$P$395="Complete",IF(C4285=10,Paths!$I$395,0),"n.a."))</f>
        <v>0</v>
      </c>
      <c r="M4285" s="16">
        <f>IF(NOT(Paths!$C$395=1),0,IF(Paths!$P$395="Complete",IF(AND(Paths!$D$395="EV",Paths!$E$395&lt;120,Paths!$E$395+'Operating costs'!$B$65&gt;Paths!$E$395,Paths!$E$395+'Operating costs'!$B$65&lt;=120,IF(Paths!$E$395+'Operating costs'!$B$65=0,C4285=0,AND(C4285&gt;0,Paths!$E$395+'Operating costs'!$B$65&gt;(C4285-1)*12,Paths!$E$395+'Operating costs'!$B$65&lt;=C4285*12))),'Operating costs'!$B$64,0)+IF(AND('Operating costs'!$B$67&gt;0,'Operating costs'!$B$67&lt;=120,OR(Paths!$D$395="ICE",'Operating costs'!$B$67&lt;=Paths!$E$395),IF('Operating costs'!$B$67=0,C4285=0,AND(C4285&gt;0,'Operating costs'!$B$67&gt;(C4285-1)*12,'Operating costs'!$B$67&lt;=C4285*12))),'Operating costs'!$B$66,0),"n.a."))</f>
        <v>0</v>
      </c>
      <c r="N4285" s="16">
        <f>IF(NOT(Paths!$C$395=1),0,IF(Paths!$P$395="Complete",SUM(G4285:I4285)-J4285-K4285-L4285+M4285+IF(C4285=0,Paths!$F$395,0)+IF(IF(Paths!$E$395=0,C4285=0,AND(C4285&gt;0,Paths!$E$395&gt;(C4285-1)*12,Paths!$E$395&lt;=C4285*12)),VLOOKUP(A4285,'Fleet register'!$A$7:$S$106,16,FALSE),0),"n.a."))</f>
        <v>0</v>
      </c>
      <c r="O4285" s="16">
        <f>IF(NOT(Paths!$C$395=1),0,IF(Paths!$P$395="Complete",N4285-IF(C4285=0,Paths!$F$395,0),"n.a."))</f>
        <v>0</v>
      </c>
      <c r="P4285" s="16">
        <f>IF(NOT(Paths!$C$395=1),0,IF(Paths!$P$395="Complete",O4285+L4285,"n.a."))</f>
        <v>0</v>
      </c>
      <c r="Q4285" s="16">
        <f>IF(NOT(Paths!$C$395=1),0,IF(Paths!$P$395="Complete",N4285*(1+'Operating costs'!$B$54)^-C4285,"n.a."))</f>
        <v>0</v>
      </c>
      <c r="R4285" s="16">
        <f>IF(NOT(Paths!$C$395=1),0,IF(Paths!$P$395="Complete",IF(AND(C4285=0,Paths!$E$395=0),I4285-J4285-K4285+VLOOKUP(A4285,'Fleet register'!$A$7:$S$106,15,FALSE)+VLOOKUP(A4285,'Fleet register'!$A$7:$S$106,16,FALSE),0),"n.a."))</f>
        <v>0</v>
      </c>
      <c r="S4285" s="1">
        <f>IF(NOT(Paths!$C$395=1),0,IF(Paths!$P$395="Complete",IF(C4285=0,0,Paths!$S$395*Paths!$R$395),"n.a."))</f>
        <v>0</v>
      </c>
      <c r="T4285" s="1">
        <f>IF(NOT(Paths!$C$395=1),0,IF(Paths!$P$395="Complete",IF(C4285=0,0,VLOOKUP(A4285,'Fleet register'!$A$7:$S$106,9,FALSE)*Paths!$R$395),"n.a."))</f>
        <v>0</v>
      </c>
    </row>
    <row r="4286" spans="1:20" ht="24" customHeight="1">
      <c r="A4286" s="1" t="str">
        <f>Paths!$A$396</f>
        <v>T098</v>
      </c>
      <c r="B4286" s="1">
        <f>Paths!$B$396</f>
        <v>1</v>
      </c>
      <c r="C4286" s="1">
        <v>0</v>
      </c>
      <c r="D4286" s="1">
        <v>396</v>
      </c>
      <c r="E4286" s="1">
        <f>IF(OR(Paths!$C$396=0,C4286=0),0,MAX(0,MIN(C4286*12,Paths!$E$396)-(C4286-1)*12))</f>
        <v>0</v>
      </c>
      <c r="F4286" s="1">
        <f>IF(OR(Paths!$C$396=0,C4286=0),0,12-E4286)</f>
        <v>0</v>
      </c>
      <c r="G4286" s="16">
        <f>IF(NOT(Paths!$C$396=1),0,IF(Paths!$P$396="Complete",E4286/12*(Paths!$J$396*(1+'Operating costs'!$B$51)^MAX(0,C4286-1)+Paths!$K$396*(1+'Operating costs'!$B$53)^MAX(0,C4286-1)),"n.a."))</f>
        <v>0</v>
      </c>
      <c r="H4286" s="16">
        <f>IF(NOT(Paths!$C$396=1),0,IF(Paths!$P$396="Complete",F4286/12*(Paths!$L$396*(1+IF(Paths!$D$396="EV",'Operating costs'!$B$52,'Operating costs'!$B$51))^MAX(0,C4286-1)+Paths!$M$396*(1+'Operating costs'!$B$53)^MAX(0,C4286-1)),"n.a."))</f>
        <v>0</v>
      </c>
      <c r="I4286" s="16">
        <f>IF(NOT(Paths!$C$396=1),0,IF(Paths!$P$396="Complete",IF(IF(Paths!$E$396=0,C4286=0,AND(C4286&gt;0,Paths!$E$396&gt;(C4286-1)*12,Paths!$E$396&lt;=C4286*12)),Paths!$G$396,0),"n.a."))</f>
        <v>0</v>
      </c>
      <c r="J4286" s="16">
        <f>IF(NOT(Paths!$C$396=1),0,IF(Paths!$P$396="Complete",IF(IF(Paths!$E$396=0,C4286=0,AND(C4286&gt;0,Paths!$E$396&gt;(C4286-1)*12,Paths!$E$396&lt;=C4286*12)),Paths!$H$396,0),"n.a."))</f>
        <v>0</v>
      </c>
      <c r="K4286" s="16">
        <f>IF(NOT(Paths!$C$396=1),0,IF(Paths!$P$396="Complete",IF(IF(Paths!$O$396=0,C4286=0,AND(C4286&gt;0,Paths!$O$396&gt;(C4286-1)*12,Paths!$O$396&lt;=C4286*12)),Paths!$N$396,0),"n.a."))</f>
        <v>0</v>
      </c>
      <c r="L4286" s="16">
        <f>IF(NOT(Paths!$C$396=1),0,IF(Paths!$P$396="Complete",IF(C4286=10,Paths!$I$396,0),"n.a."))</f>
        <v>0</v>
      </c>
      <c r="M4286" s="16">
        <f>IF(NOT(Paths!$C$396=1),0,IF(Paths!$P$396="Complete",IF(AND(Paths!$D$396="EV",Paths!$E$396&lt;120,Paths!$E$396+'Operating costs'!$B$65&gt;Paths!$E$396,Paths!$E$396+'Operating costs'!$B$65&lt;=120,IF(Paths!$E$396+'Operating costs'!$B$65=0,C4286=0,AND(C4286&gt;0,Paths!$E$396+'Operating costs'!$B$65&gt;(C4286-1)*12,Paths!$E$396+'Operating costs'!$B$65&lt;=C4286*12))),'Operating costs'!$B$64,0)+IF(AND('Operating costs'!$B$67&gt;0,'Operating costs'!$B$67&lt;=120,OR(Paths!$D$396="ICE",'Operating costs'!$B$67&lt;=Paths!$E$396),IF('Operating costs'!$B$67=0,C4286=0,AND(C4286&gt;0,'Operating costs'!$B$67&gt;(C4286-1)*12,'Operating costs'!$B$67&lt;=C4286*12))),'Operating costs'!$B$66,0),"n.a."))</f>
        <v>0</v>
      </c>
      <c r="N4286" s="16">
        <f>IF(NOT(Paths!$C$396=1),0,IF(Paths!$P$396="Complete",SUM(G4286:I4286)-J4286-K4286-L4286+M4286+IF(C4286=0,Paths!$F$396,0)+IF(IF(Paths!$E$396=0,C4286=0,AND(C4286&gt;0,Paths!$E$396&gt;(C4286-1)*12,Paths!$E$396&lt;=C4286*12)),VLOOKUP(A4286,'Fleet register'!$A$7:$S$106,16,FALSE),0),"n.a."))</f>
        <v>0</v>
      </c>
      <c r="O4286" s="16">
        <f>IF(NOT(Paths!$C$396=1),0,IF(Paths!$P$396="Complete",N4286-IF(C4286=0,Paths!$F$396,0),"n.a."))</f>
        <v>0</v>
      </c>
      <c r="P4286" s="16">
        <f>IF(NOT(Paths!$C$396=1),0,IF(Paths!$P$396="Complete",O4286+L4286,"n.a."))</f>
        <v>0</v>
      </c>
      <c r="Q4286" s="16">
        <f>IF(NOT(Paths!$C$396=1),0,IF(Paths!$P$396="Complete",N4286*(1+'Operating costs'!$B$54)^-C4286,"n.a."))</f>
        <v>0</v>
      </c>
      <c r="R4286" s="16">
        <f>IF(NOT(Paths!$C$396=1),0,IF(Paths!$P$396="Complete",IF(AND(C4286=0,Paths!$E$396=0),I4286-J4286-K4286+VLOOKUP(A4286,'Fleet register'!$A$7:$S$106,15,FALSE)+VLOOKUP(A4286,'Fleet register'!$A$7:$S$106,16,FALSE),0),"n.a."))</f>
        <v>0</v>
      </c>
      <c r="S4286" s="1">
        <f>IF(NOT(Paths!$C$396=1),0,IF(Paths!$P$396="Complete",IF(C4286=0,0,Paths!$S$396*Paths!$R$396),"n.a."))</f>
        <v>0</v>
      </c>
      <c r="T4286" s="1">
        <f>IF(NOT(Paths!$C$396=1),0,IF(Paths!$P$396="Complete",IF(C4286=0,0,VLOOKUP(A4286,'Fleet register'!$A$7:$S$106,9,FALSE)*Paths!$R$396),"n.a."))</f>
        <v>0</v>
      </c>
    </row>
    <row r="4287" spans="1:20" ht="24" customHeight="1">
      <c r="A4287" s="1" t="str">
        <f>Paths!$A$396</f>
        <v>T098</v>
      </c>
      <c r="B4287" s="1">
        <f>Paths!$B$396</f>
        <v>1</v>
      </c>
      <c r="C4287" s="1">
        <v>1</v>
      </c>
      <c r="D4287" s="1">
        <v>396</v>
      </c>
      <c r="E4287" s="1">
        <f>IF(OR(Paths!$C$396=0,C4287=0),0,MAX(0,MIN(C4287*12,Paths!$E$396)-(C4287-1)*12))</f>
        <v>0</v>
      </c>
      <c r="F4287" s="1">
        <f>IF(OR(Paths!$C$396=0,C4287=0),0,12-E4287)</f>
        <v>0</v>
      </c>
      <c r="G4287" s="16">
        <f>IF(NOT(Paths!$C$396=1),0,IF(Paths!$P$396="Complete",E4287/12*(Paths!$J$396*(1+'Operating costs'!$B$51)^MAX(0,C4287-1)+Paths!$K$396*(1+'Operating costs'!$B$53)^MAX(0,C4287-1)),"n.a."))</f>
        <v>0</v>
      </c>
      <c r="H4287" s="16">
        <f>IF(NOT(Paths!$C$396=1),0,IF(Paths!$P$396="Complete",F4287/12*(Paths!$L$396*(1+IF(Paths!$D$396="EV",'Operating costs'!$B$52,'Operating costs'!$B$51))^MAX(0,C4287-1)+Paths!$M$396*(1+'Operating costs'!$B$53)^MAX(0,C4287-1)),"n.a."))</f>
        <v>0</v>
      </c>
      <c r="I4287" s="16">
        <f>IF(NOT(Paths!$C$396=1),0,IF(Paths!$P$396="Complete",IF(IF(Paths!$E$396=0,C4287=0,AND(C4287&gt;0,Paths!$E$396&gt;(C4287-1)*12,Paths!$E$396&lt;=C4287*12)),Paths!$G$396,0),"n.a."))</f>
        <v>0</v>
      </c>
      <c r="J4287" s="16">
        <f>IF(NOT(Paths!$C$396=1),0,IF(Paths!$P$396="Complete",IF(IF(Paths!$E$396=0,C4287=0,AND(C4287&gt;0,Paths!$E$396&gt;(C4287-1)*12,Paths!$E$396&lt;=C4287*12)),Paths!$H$396,0),"n.a."))</f>
        <v>0</v>
      </c>
      <c r="K4287" s="16">
        <f>IF(NOT(Paths!$C$396=1),0,IF(Paths!$P$396="Complete",IF(IF(Paths!$O$396=0,C4287=0,AND(C4287&gt;0,Paths!$O$396&gt;(C4287-1)*12,Paths!$O$396&lt;=C4287*12)),Paths!$N$396,0),"n.a."))</f>
        <v>0</v>
      </c>
      <c r="L4287" s="16">
        <f>IF(NOT(Paths!$C$396=1),0,IF(Paths!$P$396="Complete",IF(C4287=10,Paths!$I$396,0),"n.a."))</f>
        <v>0</v>
      </c>
      <c r="M4287" s="16">
        <f>IF(NOT(Paths!$C$396=1),0,IF(Paths!$P$396="Complete",IF(AND(Paths!$D$396="EV",Paths!$E$396&lt;120,Paths!$E$396+'Operating costs'!$B$65&gt;Paths!$E$396,Paths!$E$396+'Operating costs'!$B$65&lt;=120,IF(Paths!$E$396+'Operating costs'!$B$65=0,C4287=0,AND(C4287&gt;0,Paths!$E$396+'Operating costs'!$B$65&gt;(C4287-1)*12,Paths!$E$396+'Operating costs'!$B$65&lt;=C4287*12))),'Operating costs'!$B$64,0)+IF(AND('Operating costs'!$B$67&gt;0,'Operating costs'!$B$67&lt;=120,OR(Paths!$D$396="ICE",'Operating costs'!$B$67&lt;=Paths!$E$396),IF('Operating costs'!$B$67=0,C4287=0,AND(C4287&gt;0,'Operating costs'!$B$67&gt;(C4287-1)*12,'Operating costs'!$B$67&lt;=C4287*12))),'Operating costs'!$B$66,0),"n.a."))</f>
        <v>0</v>
      </c>
      <c r="N4287" s="16">
        <f>IF(NOT(Paths!$C$396=1),0,IF(Paths!$P$396="Complete",SUM(G4287:I4287)-J4287-K4287-L4287+M4287+IF(C4287=0,Paths!$F$396,0)+IF(IF(Paths!$E$396=0,C4287=0,AND(C4287&gt;0,Paths!$E$396&gt;(C4287-1)*12,Paths!$E$396&lt;=C4287*12)),VLOOKUP(A4287,'Fleet register'!$A$7:$S$106,16,FALSE),0),"n.a."))</f>
        <v>0</v>
      </c>
      <c r="O4287" s="16">
        <f>IF(NOT(Paths!$C$396=1),0,IF(Paths!$P$396="Complete",N4287-IF(C4287=0,Paths!$F$396,0),"n.a."))</f>
        <v>0</v>
      </c>
      <c r="P4287" s="16">
        <f>IF(NOT(Paths!$C$396=1),0,IF(Paths!$P$396="Complete",O4287+L4287,"n.a."))</f>
        <v>0</v>
      </c>
      <c r="Q4287" s="16">
        <f>IF(NOT(Paths!$C$396=1),0,IF(Paths!$P$396="Complete",N4287*(1+'Operating costs'!$B$54)^-C4287,"n.a."))</f>
        <v>0</v>
      </c>
      <c r="R4287" s="16">
        <f>IF(NOT(Paths!$C$396=1),0,IF(Paths!$P$396="Complete",IF(AND(C4287=0,Paths!$E$396=0),I4287-J4287-K4287+VLOOKUP(A4287,'Fleet register'!$A$7:$S$106,15,FALSE)+VLOOKUP(A4287,'Fleet register'!$A$7:$S$106,16,FALSE),0),"n.a."))</f>
        <v>0</v>
      </c>
      <c r="S4287" s="1">
        <f>IF(NOT(Paths!$C$396=1),0,IF(Paths!$P$396="Complete",IF(C4287=0,0,Paths!$S$396*Paths!$R$396),"n.a."))</f>
        <v>0</v>
      </c>
      <c r="T4287" s="1">
        <f>IF(NOT(Paths!$C$396=1),0,IF(Paths!$P$396="Complete",IF(C4287=0,0,VLOOKUP(A4287,'Fleet register'!$A$7:$S$106,9,FALSE)*Paths!$R$396),"n.a."))</f>
        <v>0</v>
      </c>
    </row>
    <row r="4288" spans="1:20" ht="24" customHeight="1">
      <c r="A4288" s="1" t="str">
        <f>Paths!$A$396</f>
        <v>T098</v>
      </c>
      <c r="B4288" s="1">
        <f>Paths!$B$396</f>
        <v>1</v>
      </c>
      <c r="C4288" s="1">
        <v>2</v>
      </c>
      <c r="D4288" s="1">
        <v>396</v>
      </c>
      <c r="E4288" s="1">
        <f>IF(OR(Paths!$C$396=0,C4288=0),0,MAX(0,MIN(C4288*12,Paths!$E$396)-(C4288-1)*12))</f>
        <v>0</v>
      </c>
      <c r="F4288" s="1">
        <f>IF(OR(Paths!$C$396=0,C4288=0),0,12-E4288)</f>
        <v>0</v>
      </c>
      <c r="G4288" s="16">
        <f>IF(NOT(Paths!$C$396=1),0,IF(Paths!$P$396="Complete",E4288/12*(Paths!$J$396*(1+'Operating costs'!$B$51)^MAX(0,C4288-1)+Paths!$K$396*(1+'Operating costs'!$B$53)^MAX(0,C4288-1)),"n.a."))</f>
        <v>0</v>
      </c>
      <c r="H4288" s="16">
        <f>IF(NOT(Paths!$C$396=1),0,IF(Paths!$P$396="Complete",F4288/12*(Paths!$L$396*(1+IF(Paths!$D$396="EV",'Operating costs'!$B$52,'Operating costs'!$B$51))^MAX(0,C4288-1)+Paths!$M$396*(1+'Operating costs'!$B$53)^MAX(0,C4288-1)),"n.a."))</f>
        <v>0</v>
      </c>
      <c r="I4288" s="16">
        <f>IF(NOT(Paths!$C$396=1),0,IF(Paths!$P$396="Complete",IF(IF(Paths!$E$396=0,C4288=0,AND(C4288&gt;0,Paths!$E$396&gt;(C4288-1)*12,Paths!$E$396&lt;=C4288*12)),Paths!$G$396,0),"n.a."))</f>
        <v>0</v>
      </c>
      <c r="J4288" s="16">
        <f>IF(NOT(Paths!$C$396=1),0,IF(Paths!$P$396="Complete",IF(IF(Paths!$E$396=0,C4288=0,AND(C4288&gt;0,Paths!$E$396&gt;(C4288-1)*12,Paths!$E$396&lt;=C4288*12)),Paths!$H$396,0),"n.a."))</f>
        <v>0</v>
      </c>
      <c r="K4288" s="16">
        <f>IF(NOT(Paths!$C$396=1),0,IF(Paths!$P$396="Complete",IF(IF(Paths!$O$396=0,C4288=0,AND(C4288&gt;0,Paths!$O$396&gt;(C4288-1)*12,Paths!$O$396&lt;=C4288*12)),Paths!$N$396,0),"n.a."))</f>
        <v>0</v>
      </c>
      <c r="L4288" s="16">
        <f>IF(NOT(Paths!$C$396=1),0,IF(Paths!$P$396="Complete",IF(C4288=10,Paths!$I$396,0),"n.a."))</f>
        <v>0</v>
      </c>
      <c r="M4288" s="16">
        <f>IF(NOT(Paths!$C$396=1),0,IF(Paths!$P$396="Complete",IF(AND(Paths!$D$396="EV",Paths!$E$396&lt;120,Paths!$E$396+'Operating costs'!$B$65&gt;Paths!$E$396,Paths!$E$396+'Operating costs'!$B$65&lt;=120,IF(Paths!$E$396+'Operating costs'!$B$65=0,C4288=0,AND(C4288&gt;0,Paths!$E$396+'Operating costs'!$B$65&gt;(C4288-1)*12,Paths!$E$396+'Operating costs'!$B$65&lt;=C4288*12))),'Operating costs'!$B$64,0)+IF(AND('Operating costs'!$B$67&gt;0,'Operating costs'!$B$67&lt;=120,OR(Paths!$D$396="ICE",'Operating costs'!$B$67&lt;=Paths!$E$396),IF('Operating costs'!$B$67=0,C4288=0,AND(C4288&gt;0,'Operating costs'!$B$67&gt;(C4288-1)*12,'Operating costs'!$B$67&lt;=C4288*12))),'Operating costs'!$B$66,0),"n.a."))</f>
        <v>0</v>
      </c>
      <c r="N4288" s="16">
        <f>IF(NOT(Paths!$C$396=1),0,IF(Paths!$P$396="Complete",SUM(G4288:I4288)-J4288-K4288-L4288+M4288+IF(C4288=0,Paths!$F$396,0)+IF(IF(Paths!$E$396=0,C4288=0,AND(C4288&gt;0,Paths!$E$396&gt;(C4288-1)*12,Paths!$E$396&lt;=C4288*12)),VLOOKUP(A4288,'Fleet register'!$A$7:$S$106,16,FALSE),0),"n.a."))</f>
        <v>0</v>
      </c>
      <c r="O4288" s="16">
        <f>IF(NOT(Paths!$C$396=1),0,IF(Paths!$P$396="Complete",N4288-IF(C4288=0,Paths!$F$396,0),"n.a."))</f>
        <v>0</v>
      </c>
      <c r="P4288" s="16">
        <f>IF(NOT(Paths!$C$396=1),0,IF(Paths!$P$396="Complete",O4288+L4288,"n.a."))</f>
        <v>0</v>
      </c>
      <c r="Q4288" s="16">
        <f>IF(NOT(Paths!$C$396=1),0,IF(Paths!$P$396="Complete",N4288*(1+'Operating costs'!$B$54)^-C4288,"n.a."))</f>
        <v>0</v>
      </c>
      <c r="R4288" s="16">
        <f>IF(NOT(Paths!$C$396=1),0,IF(Paths!$P$396="Complete",IF(AND(C4288=0,Paths!$E$396=0),I4288-J4288-K4288+VLOOKUP(A4288,'Fleet register'!$A$7:$S$106,15,FALSE)+VLOOKUP(A4288,'Fleet register'!$A$7:$S$106,16,FALSE),0),"n.a."))</f>
        <v>0</v>
      </c>
      <c r="S4288" s="1">
        <f>IF(NOT(Paths!$C$396=1),0,IF(Paths!$P$396="Complete",IF(C4288=0,0,Paths!$S$396*Paths!$R$396),"n.a."))</f>
        <v>0</v>
      </c>
      <c r="T4288" s="1">
        <f>IF(NOT(Paths!$C$396=1),0,IF(Paths!$P$396="Complete",IF(C4288=0,0,VLOOKUP(A4288,'Fleet register'!$A$7:$S$106,9,FALSE)*Paths!$R$396),"n.a."))</f>
        <v>0</v>
      </c>
    </row>
    <row r="4289" spans="1:20" ht="24" customHeight="1">
      <c r="A4289" s="1" t="str">
        <f>Paths!$A$396</f>
        <v>T098</v>
      </c>
      <c r="B4289" s="1">
        <f>Paths!$B$396</f>
        <v>1</v>
      </c>
      <c r="C4289" s="1">
        <v>3</v>
      </c>
      <c r="D4289" s="1">
        <v>396</v>
      </c>
      <c r="E4289" s="1">
        <f>IF(OR(Paths!$C$396=0,C4289=0),0,MAX(0,MIN(C4289*12,Paths!$E$396)-(C4289-1)*12))</f>
        <v>0</v>
      </c>
      <c r="F4289" s="1">
        <f>IF(OR(Paths!$C$396=0,C4289=0),0,12-E4289)</f>
        <v>0</v>
      </c>
      <c r="G4289" s="16">
        <f>IF(NOT(Paths!$C$396=1),0,IF(Paths!$P$396="Complete",E4289/12*(Paths!$J$396*(1+'Operating costs'!$B$51)^MAX(0,C4289-1)+Paths!$K$396*(1+'Operating costs'!$B$53)^MAX(0,C4289-1)),"n.a."))</f>
        <v>0</v>
      </c>
      <c r="H4289" s="16">
        <f>IF(NOT(Paths!$C$396=1),0,IF(Paths!$P$396="Complete",F4289/12*(Paths!$L$396*(1+IF(Paths!$D$396="EV",'Operating costs'!$B$52,'Operating costs'!$B$51))^MAX(0,C4289-1)+Paths!$M$396*(1+'Operating costs'!$B$53)^MAX(0,C4289-1)),"n.a."))</f>
        <v>0</v>
      </c>
      <c r="I4289" s="16">
        <f>IF(NOT(Paths!$C$396=1),0,IF(Paths!$P$396="Complete",IF(IF(Paths!$E$396=0,C4289=0,AND(C4289&gt;0,Paths!$E$396&gt;(C4289-1)*12,Paths!$E$396&lt;=C4289*12)),Paths!$G$396,0),"n.a."))</f>
        <v>0</v>
      </c>
      <c r="J4289" s="16">
        <f>IF(NOT(Paths!$C$396=1),0,IF(Paths!$P$396="Complete",IF(IF(Paths!$E$396=0,C4289=0,AND(C4289&gt;0,Paths!$E$396&gt;(C4289-1)*12,Paths!$E$396&lt;=C4289*12)),Paths!$H$396,0),"n.a."))</f>
        <v>0</v>
      </c>
      <c r="K4289" s="16">
        <f>IF(NOT(Paths!$C$396=1),0,IF(Paths!$P$396="Complete",IF(IF(Paths!$O$396=0,C4289=0,AND(C4289&gt;0,Paths!$O$396&gt;(C4289-1)*12,Paths!$O$396&lt;=C4289*12)),Paths!$N$396,0),"n.a."))</f>
        <v>0</v>
      </c>
      <c r="L4289" s="16">
        <f>IF(NOT(Paths!$C$396=1),0,IF(Paths!$P$396="Complete",IF(C4289=10,Paths!$I$396,0),"n.a."))</f>
        <v>0</v>
      </c>
      <c r="M4289" s="16">
        <f>IF(NOT(Paths!$C$396=1),0,IF(Paths!$P$396="Complete",IF(AND(Paths!$D$396="EV",Paths!$E$396&lt;120,Paths!$E$396+'Operating costs'!$B$65&gt;Paths!$E$396,Paths!$E$396+'Operating costs'!$B$65&lt;=120,IF(Paths!$E$396+'Operating costs'!$B$65=0,C4289=0,AND(C4289&gt;0,Paths!$E$396+'Operating costs'!$B$65&gt;(C4289-1)*12,Paths!$E$396+'Operating costs'!$B$65&lt;=C4289*12))),'Operating costs'!$B$64,0)+IF(AND('Operating costs'!$B$67&gt;0,'Operating costs'!$B$67&lt;=120,OR(Paths!$D$396="ICE",'Operating costs'!$B$67&lt;=Paths!$E$396),IF('Operating costs'!$B$67=0,C4289=0,AND(C4289&gt;0,'Operating costs'!$B$67&gt;(C4289-1)*12,'Operating costs'!$B$67&lt;=C4289*12))),'Operating costs'!$B$66,0),"n.a."))</f>
        <v>0</v>
      </c>
      <c r="N4289" s="16">
        <f>IF(NOT(Paths!$C$396=1),0,IF(Paths!$P$396="Complete",SUM(G4289:I4289)-J4289-K4289-L4289+M4289+IF(C4289=0,Paths!$F$396,0)+IF(IF(Paths!$E$396=0,C4289=0,AND(C4289&gt;0,Paths!$E$396&gt;(C4289-1)*12,Paths!$E$396&lt;=C4289*12)),VLOOKUP(A4289,'Fleet register'!$A$7:$S$106,16,FALSE),0),"n.a."))</f>
        <v>0</v>
      </c>
      <c r="O4289" s="16">
        <f>IF(NOT(Paths!$C$396=1),0,IF(Paths!$P$396="Complete",N4289-IF(C4289=0,Paths!$F$396,0),"n.a."))</f>
        <v>0</v>
      </c>
      <c r="P4289" s="16">
        <f>IF(NOT(Paths!$C$396=1),0,IF(Paths!$P$396="Complete",O4289+L4289,"n.a."))</f>
        <v>0</v>
      </c>
      <c r="Q4289" s="16">
        <f>IF(NOT(Paths!$C$396=1),0,IF(Paths!$P$396="Complete",N4289*(1+'Operating costs'!$B$54)^-C4289,"n.a."))</f>
        <v>0</v>
      </c>
      <c r="R4289" s="16">
        <f>IF(NOT(Paths!$C$396=1),0,IF(Paths!$P$396="Complete",IF(AND(C4289=0,Paths!$E$396=0),I4289-J4289-K4289+VLOOKUP(A4289,'Fleet register'!$A$7:$S$106,15,FALSE)+VLOOKUP(A4289,'Fleet register'!$A$7:$S$106,16,FALSE),0),"n.a."))</f>
        <v>0</v>
      </c>
      <c r="S4289" s="1">
        <f>IF(NOT(Paths!$C$396=1),0,IF(Paths!$P$396="Complete",IF(C4289=0,0,Paths!$S$396*Paths!$R$396),"n.a."))</f>
        <v>0</v>
      </c>
      <c r="T4289" s="1">
        <f>IF(NOT(Paths!$C$396=1),0,IF(Paths!$P$396="Complete",IF(C4289=0,0,VLOOKUP(A4289,'Fleet register'!$A$7:$S$106,9,FALSE)*Paths!$R$396),"n.a."))</f>
        <v>0</v>
      </c>
    </row>
    <row r="4290" spans="1:20" ht="24" customHeight="1">
      <c r="A4290" s="1" t="str">
        <f>Paths!$A$396</f>
        <v>T098</v>
      </c>
      <c r="B4290" s="1">
        <f>Paths!$B$396</f>
        <v>1</v>
      </c>
      <c r="C4290" s="1">
        <v>4</v>
      </c>
      <c r="D4290" s="1">
        <v>396</v>
      </c>
      <c r="E4290" s="1">
        <f>IF(OR(Paths!$C$396=0,C4290=0),0,MAX(0,MIN(C4290*12,Paths!$E$396)-(C4290-1)*12))</f>
        <v>0</v>
      </c>
      <c r="F4290" s="1">
        <f>IF(OR(Paths!$C$396=0,C4290=0),0,12-E4290)</f>
        <v>0</v>
      </c>
      <c r="G4290" s="16">
        <f>IF(NOT(Paths!$C$396=1),0,IF(Paths!$P$396="Complete",E4290/12*(Paths!$J$396*(1+'Operating costs'!$B$51)^MAX(0,C4290-1)+Paths!$K$396*(1+'Operating costs'!$B$53)^MAX(0,C4290-1)),"n.a."))</f>
        <v>0</v>
      </c>
      <c r="H4290" s="16">
        <f>IF(NOT(Paths!$C$396=1),0,IF(Paths!$P$396="Complete",F4290/12*(Paths!$L$396*(1+IF(Paths!$D$396="EV",'Operating costs'!$B$52,'Operating costs'!$B$51))^MAX(0,C4290-1)+Paths!$M$396*(1+'Operating costs'!$B$53)^MAX(0,C4290-1)),"n.a."))</f>
        <v>0</v>
      </c>
      <c r="I4290" s="16">
        <f>IF(NOT(Paths!$C$396=1),0,IF(Paths!$P$396="Complete",IF(IF(Paths!$E$396=0,C4290=0,AND(C4290&gt;0,Paths!$E$396&gt;(C4290-1)*12,Paths!$E$396&lt;=C4290*12)),Paths!$G$396,0),"n.a."))</f>
        <v>0</v>
      </c>
      <c r="J4290" s="16">
        <f>IF(NOT(Paths!$C$396=1),0,IF(Paths!$P$396="Complete",IF(IF(Paths!$E$396=0,C4290=0,AND(C4290&gt;0,Paths!$E$396&gt;(C4290-1)*12,Paths!$E$396&lt;=C4290*12)),Paths!$H$396,0),"n.a."))</f>
        <v>0</v>
      </c>
      <c r="K4290" s="16">
        <f>IF(NOT(Paths!$C$396=1),0,IF(Paths!$P$396="Complete",IF(IF(Paths!$O$396=0,C4290=0,AND(C4290&gt;0,Paths!$O$396&gt;(C4290-1)*12,Paths!$O$396&lt;=C4290*12)),Paths!$N$396,0),"n.a."))</f>
        <v>0</v>
      </c>
      <c r="L4290" s="16">
        <f>IF(NOT(Paths!$C$396=1),0,IF(Paths!$P$396="Complete",IF(C4290=10,Paths!$I$396,0),"n.a."))</f>
        <v>0</v>
      </c>
      <c r="M4290" s="16">
        <f>IF(NOT(Paths!$C$396=1),0,IF(Paths!$P$396="Complete",IF(AND(Paths!$D$396="EV",Paths!$E$396&lt;120,Paths!$E$396+'Operating costs'!$B$65&gt;Paths!$E$396,Paths!$E$396+'Operating costs'!$B$65&lt;=120,IF(Paths!$E$396+'Operating costs'!$B$65=0,C4290=0,AND(C4290&gt;0,Paths!$E$396+'Operating costs'!$B$65&gt;(C4290-1)*12,Paths!$E$396+'Operating costs'!$B$65&lt;=C4290*12))),'Operating costs'!$B$64,0)+IF(AND('Operating costs'!$B$67&gt;0,'Operating costs'!$B$67&lt;=120,OR(Paths!$D$396="ICE",'Operating costs'!$B$67&lt;=Paths!$E$396),IF('Operating costs'!$B$67=0,C4290=0,AND(C4290&gt;0,'Operating costs'!$B$67&gt;(C4290-1)*12,'Operating costs'!$B$67&lt;=C4290*12))),'Operating costs'!$B$66,0),"n.a."))</f>
        <v>0</v>
      </c>
      <c r="N4290" s="16">
        <f>IF(NOT(Paths!$C$396=1),0,IF(Paths!$P$396="Complete",SUM(G4290:I4290)-J4290-K4290-L4290+M4290+IF(C4290=0,Paths!$F$396,0)+IF(IF(Paths!$E$396=0,C4290=0,AND(C4290&gt;0,Paths!$E$396&gt;(C4290-1)*12,Paths!$E$396&lt;=C4290*12)),VLOOKUP(A4290,'Fleet register'!$A$7:$S$106,16,FALSE),0),"n.a."))</f>
        <v>0</v>
      </c>
      <c r="O4290" s="16">
        <f>IF(NOT(Paths!$C$396=1),0,IF(Paths!$P$396="Complete",N4290-IF(C4290=0,Paths!$F$396,0),"n.a."))</f>
        <v>0</v>
      </c>
      <c r="P4290" s="16">
        <f>IF(NOT(Paths!$C$396=1),0,IF(Paths!$P$396="Complete",O4290+L4290,"n.a."))</f>
        <v>0</v>
      </c>
      <c r="Q4290" s="16">
        <f>IF(NOT(Paths!$C$396=1),0,IF(Paths!$P$396="Complete",N4290*(1+'Operating costs'!$B$54)^-C4290,"n.a."))</f>
        <v>0</v>
      </c>
      <c r="R4290" s="16">
        <f>IF(NOT(Paths!$C$396=1),0,IF(Paths!$P$396="Complete",IF(AND(C4290=0,Paths!$E$396=0),I4290-J4290-K4290+VLOOKUP(A4290,'Fleet register'!$A$7:$S$106,15,FALSE)+VLOOKUP(A4290,'Fleet register'!$A$7:$S$106,16,FALSE),0),"n.a."))</f>
        <v>0</v>
      </c>
      <c r="S4290" s="1">
        <f>IF(NOT(Paths!$C$396=1),0,IF(Paths!$P$396="Complete",IF(C4290=0,0,Paths!$S$396*Paths!$R$396),"n.a."))</f>
        <v>0</v>
      </c>
      <c r="T4290" s="1">
        <f>IF(NOT(Paths!$C$396=1),0,IF(Paths!$P$396="Complete",IF(C4290=0,0,VLOOKUP(A4290,'Fleet register'!$A$7:$S$106,9,FALSE)*Paths!$R$396),"n.a."))</f>
        <v>0</v>
      </c>
    </row>
    <row r="4291" spans="1:20" ht="24" customHeight="1">
      <c r="A4291" s="1" t="str">
        <f>Paths!$A$396</f>
        <v>T098</v>
      </c>
      <c r="B4291" s="1">
        <f>Paths!$B$396</f>
        <v>1</v>
      </c>
      <c r="C4291" s="1">
        <v>5</v>
      </c>
      <c r="D4291" s="1">
        <v>396</v>
      </c>
      <c r="E4291" s="1">
        <f>IF(OR(Paths!$C$396=0,C4291=0),0,MAX(0,MIN(C4291*12,Paths!$E$396)-(C4291-1)*12))</f>
        <v>0</v>
      </c>
      <c r="F4291" s="1">
        <f>IF(OR(Paths!$C$396=0,C4291=0),0,12-E4291)</f>
        <v>0</v>
      </c>
      <c r="G4291" s="16">
        <f>IF(NOT(Paths!$C$396=1),0,IF(Paths!$P$396="Complete",E4291/12*(Paths!$J$396*(1+'Operating costs'!$B$51)^MAX(0,C4291-1)+Paths!$K$396*(1+'Operating costs'!$B$53)^MAX(0,C4291-1)),"n.a."))</f>
        <v>0</v>
      </c>
      <c r="H4291" s="16">
        <f>IF(NOT(Paths!$C$396=1),0,IF(Paths!$P$396="Complete",F4291/12*(Paths!$L$396*(1+IF(Paths!$D$396="EV",'Operating costs'!$B$52,'Operating costs'!$B$51))^MAX(0,C4291-1)+Paths!$M$396*(1+'Operating costs'!$B$53)^MAX(0,C4291-1)),"n.a."))</f>
        <v>0</v>
      </c>
      <c r="I4291" s="16">
        <f>IF(NOT(Paths!$C$396=1),0,IF(Paths!$P$396="Complete",IF(IF(Paths!$E$396=0,C4291=0,AND(C4291&gt;0,Paths!$E$396&gt;(C4291-1)*12,Paths!$E$396&lt;=C4291*12)),Paths!$G$396,0),"n.a."))</f>
        <v>0</v>
      </c>
      <c r="J4291" s="16">
        <f>IF(NOT(Paths!$C$396=1),0,IF(Paths!$P$396="Complete",IF(IF(Paths!$E$396=0,C4291=0,AND(C4291&gt;0,Paths!$E$396&gt;(C4291-1)*12,Paths!$E$396&lt;=C4291*12)),Paths!$H$396,0),"n.a."))</f>
        <v>0</v>
      </c>
      <c r="K4291" s="16">
        <f>IF(NOT(Paths!$C$396=1),0,IF(Paths!$P$396="Complete",IF(IF(Paths!$O$396=0,C4291=0,AND(C4291&gt;0,Paths!$O$396&gt;(C4291-1)*12,Paths!$O$396&lt;=C4291*12)),Paths!$N$396,0),"n.a."))</f>
        <v>0</v>
      </c>
      <c r="L4291" s="16">
        <f>IF(NOT(Paths!$C$396=1),0,IF(Paths!$P$396="Complete",IF(C4291=10,Paths!$I$396,0),"n.a."))</f>
        <v>0</v>
      </c>
      <c r="M4291" s="16">
        <f>IF(NOT(Paths!$C$396=1),0,IF(Paths!$P$396="Complete",IF(AND(Paths!$D$396="EV",Paths!$E$396&lt;120,Paths!$E$396+'Operating costs'!$B$65&gt;Paths!$E$396,Paths!$E$396+'Operating costs'!$B$65&lt;=120,IF(Paths!$E$396+'Operating costs'!$B$65=0,C4291=0,AND(C4291&gt;0,Paths!$E$396+'Operating costs'!$B$65&gt;(C4291-1)*12,Paths!$E$396+'Operating costs'!$B$65&lt;=C4291*12))),'Operating costs'!$B$64,0)+IF(AND('Operating costs'!$B$67&gt;0,'Operating costs'!$B$67&lt;=120,OR(Paths!$D$396="ICE",'Operating costs'!$B$67&lt;=Paths!$E$396),IF('Operating costs'!$B$67=0,C4291=0,AND(C4291&gt;0,'Operating costs'!$B$67&gt;(C4291-1)*12,'Operating costs'!$B$67&lt;=C4291*12))),'Operating costs'!$B$66,0),"n.a."))</f>
        <v>0</v>
      </c>
      <c r="N4291" s="16">
        <f>IF(NOT(Paths!$C$396=1),0,IF(Paths!$P$396="Complete",SUM(G4291:I4291)-J4291-K4291-L4291+M4291+IF(C4291=0,Paths!$F$396,0)+IF(IF(Paths!$E$396=0,C4291=0,AND(C4291&gt;0,Paths!$E$396&gt;(C4291-1)*12,Paths!$E$396&lt;=C4291*12)),VLOOKUP(A4291,'Fleet register'!$A$7:$S$106,16,FALSE),0),"n.a."))</f>
        <v>0</v>
      </c>
      <c r="O4291" s="16">
        <f>IF(NOT(Paths!$C$396=1),0,IF(Paths!$P$396="Complete",N4291-IF(C4291=0,Paths!$F$396,0),"n.a."))</f>
        <v>0</v>
      </c>
      <c r="P4291" s="16">
        <f>IF(NOT(Paths!$C$396=1),0,IF(Paths!$P$396="Complete",O4291+L4291,"n.a."))</f>
        <v>0</v>
      </c>
      <c r="Q4291" s="16">
        <f>IF(NOT(Paths!$C$396=1),0,IF(Paths!$P$396="Complete",N4291*(1+'Operating costs'!$B$54)^-C4291,"n.a."))</f>
        <v>0</v>
      </c>
      <c r="R4291" s="16">
        <f>IF(NOT(Paths!$C$396=1),0,IF(Paths!$P$396="Complete",IF(AND(C4291=0,Paths!$E$396=0),I4291-J4291-K4291+VLOOKUP(A4291,'Fleet register'!$A$7:$S$106,15,FALSE)+VLOOKUP(A4291,'Fleet register'!$A$7:$S$106,16,FALSE),0),"n.a."))</f>
        <v>0</v>
      </c>
      <c r="S4291" s="1">
        <f>IF(NOT(Paths!$C$396=1),0,IF(Paths!$P$396="Complete",IF(C4291=0,0,Paths!$S$396*Paths!$R$396),"n.a."))</f>
        <v>0</v>
      </c>
      <c r="T4291" s="1">
        <f>IF(NOT(Paths!$C$396=1),0,IF(Paths!$P$396="Complete",IF(C4291=0,0,VLOOKUP(A4291,'Fleet register'!$A$7:$S$106,9,FALSE)*Paths!$R$396),"n.a."))</f>
        <v>0</v>
      </c>
    </row>
    <row r="4292" spans="1:20" ht="24" customHeight="1">
      <c r="A4292" s="1" t="str">
        <f>Paths!$A$396</f>
        <v>T098</v>
      </c>
      <c r="B4292" s="1">
        <f>Paths!$B$396</f>
        <v>1</v>
      </c>
      <c r="C4292" s="1">
        <v>6</v>
      </c>
      <c r="D4292" s="1">
        <v>396</v>
      </c>
      <c r="E4292" s="1">
        <f>IF(OR(Paths!$C$396=0,C4292=0),0,MAX(0,MIN(C4292*12,Paths!$E$396)-(C4292-1)*12))</f>
        <v>0</v>
      </c>
      <c r="F4292" s="1">
        <f>IF(OR(Paths!$C$396=0,C4292=0),0,12-E4292)</f>
        <v>0</v>
      </c>
      <c r="G4292" s="16">
        <f>IF(NOT(Paths!$C$396=1),0,IF(Paths!$P$396="Complete",E4292/12*(Paths!$J$396*(1+'Operating costs'!$B$51)^MAX(0,C4292-1)+Paths!$K$396*(1+'Operating costs'!$B$53)^MAX(0,C4292-1)),"n.a."))</f>
        <v>0</v>
      </c>
      <c r="H4292" s="16">
        <f>IF(NOT(Paths!$C$396=1),0,IF(Paths!$P$396="Complete",F4292/12*(Paths!$L$396*(1+IF(Paths!$D$396="EV",'Operating costs'!$B$52,'Operating costs'!$B$51))^MAX(0,C4292-1)+Paths!$M$396*(1+'Operating costs'!$B$53)^MAX(0,C4292-1)),"n.a."))</f>
        <v>0</v>
      </c>
      <c r="I4292" s="16">
        <f>IF(NOT(Paths!$C$396=1),0,IF(Paths!$P$396="Complete",IF(IF(Paths!$E$396=0,C4292=0,AND(C4292&gt;0,Paths!$E$396&gt;(C4292-1)*12,Paths!$E$396&lt;=C4292*12)),Paths!$G$396,0),"n.a."))</f>
        <v>0</v>
      </c>
      <c r="J4292" s="16">
        <f>IF(NOT(Paths!$C$396=1),0,IF(Paths!$P$396="Complete",IF(IF(Paths!$E$396=0,C4292=0,AND(C4292&gt;0,Paths!$E$396&gt;(C4292-1)*12,Paths!$E$396&lt;=C4292*12)),Paths!$H$396,0),"n.a."))</f>
        <v>0</v>
      </c>
      <c r="K4292" s="16">
        <f>IF(NOT(Paths!$C$396=1),0,IF(Paths!$P$396="Complete",IF(IF(Paths!$O$396=0,C4292=0,AND(C4292&gt;0,Paths!$O$396&gt;(C4292-1)*12,Paths!$O$396&lt;=C4292*12)),Paths!$N$396,0),"n.a."))</f>
        <v>0</v>
      </c>
      <c r="L4292" s="16">
        <f>IF(NOT(Paths!$C$396=1),0,IF(Paths!$P$396="Complete",IF(C4292=10,Paths!$I$396,0),"n.a."))</f>
        <v>0</v>
      </c>
      <c r="M4292" s="16">
        <f>IF(NOT(Paths!$C$396=1),0,IF(Paths!$P$396="Complete",IF(AND(Paths!$D$396="EV",Paths!$E$396&lt;120,Paths!$E$396+'Operating costs'!$B$65&gt;Paths!$E$396,Paths!$E$396+'Operating costs'!$B$65&lt;=120,IF(Paths!$E$396+'Operating costs'!$B$65=0,C4292=0,AND(C4292&gt;0,Paths!$E$396+'Operating costs'!$B$65&gt;(C4292-1)*12,Paths!$E$396+'Operating costs'!$B$65&lt;=C4292*12))),'Operating costs'!$B$64,0)+IF(AND('Operating costs'!$B$67&gt;0,'Operating costs'!$B$67&lt;=120,OR(Paths!$D$396="ICE",'Operating costs'!$B$67&lt;=Paths!$E$396),IF('Operating costs'!$B$67=0,C4292=0,AND(C4292&gt;0,'Operating costs'!$B$67&gt;(C4292-1)*12,'Operating costs'!$B$67&lt;=C4292*12))),'Operating costs'!$B$66,0),"n.a."))</f>
        <v>0</v>
      </c>
      <c r="N4292" s="16">
        <f>IF(NOT(Paths!$C$396=1),0,IF(Paths!$P$396="Complete",SUM(G4292:I4292)-J4292-K4292-L4292+M4292+IF(C4292=0,Paths!$F$396,0)+IF(IF(Paths!$E$396=0,C4292=0,AND(C4292&gt;0,Paths!$E$396&gt;(C4292-1)*12,Paths!$E$396&lt;=C4292*12)),VLOOKUP(A4292,'Fleet register'!$A$7:$S$106,16,FALSE),0),"n.a."))</f>
        <v>0</v>
      </c>
      <c r="O4292" s="16">
        <f>IF(NOT(Paths!$C$396=1),0,IF(Paths!$P$396="Complete",N4292-IF(C4292=0,Paths!$F$396,0),"n.a."))</f>
        <v>0</v>
      </c>
      <c r="P4292" s="16">
        <f>IF(NOT(Paths!$C$396=1),0,IF(Paths!$P$396="Complete",O4292+L4292,"n.a."))</f>
        <v>0</v>
      </c>
      <c r="Q4292" s="16">
        <f>IF(NOT(Paths!$C$396=1),0,IF(Paths!$P$396="Complete",N4292*(1+'Operating costs'!$B$54)^-C4292,"n.a."))</f>
        <v>0</v>
      </c>
      <c r="R4292" s="16">
        <f>IF(NOT(Paths!$C$396=1),0,IF(Paths!$P$396="Complete",IF(AND(C4292=0,Paths!$E$396=0),I4292-J4292-K4292+VLOOKUP(A4292,'Fleet register'!$A$7:$S$106,15,FALSE)+VLOOKUP(A4292,'Fleet register'!$A$7:$S$106,16,FALSE),0),"n.a."))</f>
        <v>0</v>
      </c>
      <c r="S4292" s="1">
        <f>IF(NOT(Paths!$C$396=1),0,IF(Paths!$P$396="Complete",IF(C4292=0,0,Paths!$S$396*Paths!$R$396),"n.a."))</f>
        <v>0</v>
      </c>
      <c r="T4292" s="1">
        <f>IF(NOT(Paths!$C$396=1),0,IF(Paths!$P$396="Complete",IF(C4292=0,0,VLOOKUP(A4292,'Fleet register'!$A$7:$S$106,9,FALSE)*Paths!$R$396),"n.a."))</f>
        <v>0</v>
      </c>
    </row>
    <row r="4293" spans="1:20" ht="24" customHeight="1">
      <c r="A4293" s="1" t="str">
        <f>Paths!$A$396</f>
        <v>T098</v>
      </c>
      <c r="B4293" s="1">
        <f>Paths!$B$396</f>
        <v>1</v>
      </c>
      <c r="C4293" s="1">
        <v>7</v>
      </c>
      <c r="D4293" s="1">
        <v>396</v>
      </c>
      <c r="E4293" s="1">
        <f>IF(OR(Paths!$C$396=0,C4293=0),0,MAX(0,MIN(C4293*12,Paths!$E$396)-(C4293-1)*12))</f>
        <v>0</v>
      </c>
      <c r="F4293" s="1">
        <f>IF(OR(Paths!$C$396=0,C4293=0),0,12-E4293)</f>
        <v>0</v>
      </c>
      <c r="G4293" s="16">
        <f>IF(NOT(Paths!$C$396=1),0,IF(Paths!$P$396="Complete",E4293/12*(Paths!$J$396*(1+'Operating costs'!$B$51)^MAX(0,C4293-1)+Paths!$K$396*(1+'Operating costs'!$B$53)^MAX(0,C4293-1)),"n.a."))</f>
        <v>0</v>
      </c>
      <c r="H4293" s="16">
        <f>IF(NOT(Paths!$C$396=1),0,IF(Paths!$P$396="Complete",F4293/12*(Paths!$L$396*(1+IF(Paths!$D$396="EV",'Operating costs'!$B$52,'Operating costs'!$B$51))^MAX(0,C4293-1)+Paths!$M$396*(1+'Operating costs'!$B$53)^MAX(0,C4293-1)),"n.a."))</f>
        <v>0</v>
      </c>
      <c r="I4293" s="16">
        <f>IF(NOT(Paths!$C$396=1),0,IF(Paths!$P$396="Complete",IF(IF(Paths!$E$396=0,C4293=0,AND(C4293&gt;0,Paths!$E$396&gt;(C4293-1)*12,Paths!$E$396&lt;=C4293*12)),Paths!$G$396,0),"n.a."))</f>
        <v>0</v>
      </c>
      <c r="J4293" s="16">
        <f>IF(NOT(Paths!$C$396=1),0,IF(Paths!$P$396="Complete",IF(IF(Paths!$E$396=0,C4293=0,AND(C4293&gt;0,Paths!$E$396&gt;(C4293-1)*12,Paths!$E$396&lt;=C4293*12)),Paths!$H$396,0),"n.a."))</f>
        <v>0</v>
      </c>
      <c r="K4293" s="16">
        <f>IF(NOT(Paths!$C$396=1),0,IF(Paths!$P$396="Complete",IF(IF(Paths!$O$396=0,C4293=0,AND(C4293&gt;0,Paths!$O$396&gt;(C4293-1)*12,Paths!$O$396&lt;=C4293*12)),Paths!$N$396,0),"n.a."))</f>
        <v>0</v>
      </c>
      <c r="L4293" s="16">
        <f>IF(NOT(Paths!$C$396=1),0,IF(Paths!$P$396="Complete",IF(C4293=10,Paths!$I$396,0),"n.a."))</f>
        <v>0</v>
      </c>
      <c r="M4293" s="16">
        <f>IF(NOT(Paths!$C$396=1),0,IF(Paths!$P$396="Complete",IF(AND(Paths!$D$396="EV",Paths!$E$396&lt;120,Paths!$E$396+'Operating costs'!$B$65&gt;Paths!$E$396,Paths!$E$396+'Operating costs'!$B$65&lt;=120,IF(Paths!$E$396+'Operating costs'!$B$65=0,C4293=0,AND(C4293&gt;0,Paths!$E$396+'Operating costs'!$B$65&gt;(C4293-1)*12,Paths!$E$396+'Operating costs'!$B$65&lt;=C4293*12))),'Operating costs'!$B$64,0)+IF(AND('Operating costs'!$B$67&gt;0,'Operating costs'!$B$67&lt;=120,OR(Paths!$D$396="ICE",'Operating costs'!$B$67&lt;=Paths!$E$396),IF('Operating costs'!$B$67=0,C4293=0,AND(C4293&gt;0,'Operating costs'!$B$67&gt;(C4293-1)*12,'Operating costs'!$B$67&lt;=C4293*12))),'Operating costs'!$B$66,0),"n.a."))</f>
        <v>0</v>
      </c>
      <c r="N4293" s="16">
        <f>IF(NOT(Paths!$C$396=1),0,IF(Paths!$P$396="Complete",SUM(G4293:I4293)-J4293-K4293-L4293+M4293+IF(C4293=0,Paths!$F$396,0)+IF(IF(Paths!$E$396=0,C4293=0,AND(C4293&gt;0,Paths!$E$396&gt;(C4293-1)*12,Paths!$E$396&lt;=C4293*12)),VLOOKUP(A4293,'Fleet register'!$A$7:$S$106,16,FALSE),0),"n.a."))</f>
        <v>0</v>
      </c>
      <c r="O4293" s="16">
        <f>IF(NOT(Paths!$C$396=1),0,IF(Paths!$P$396="Complete",N4293-IF(C4293=0,Paths!$F$396,0),"n.a."))</f>
        <v>0</v>
      </c>
      <c r="P4293" s="16">
        <f>IF(NOT(Paths!$C$396=1),0,IF(Paths!$P$396="Complete",O4293+L4293,"n.a."))</f>
        <v>0</v>
      </c>
      <c r="Q4293" s="16">
        <f>IF(NOT(Paths!$C$396=1),0,IF(Paths!$P$396="Complete",N4293*(1+'Operating costs'!$B$54)^-C4293,"n.a."))</f>
        <v>0</v>
      </c>
      <c r="R4293" s="16">
        <f>IF(NOT(Paths!$C$396=1),0,IF(Paths!$P$396="Complete",IF(AND(C4293=0,Paths!$E$396=0),I4293-J4293-K4293+VLOOKUP(A4293,'Fleet register'!$A$7:$S$106,15,FALSE)+VLOOKUP(A4293,'Fleet register'!$A$7:$S$106,16,FALSE),0),"n.a."))</f>
        <v>0</v>
      </c>
      <c r="S4293" s="1">
        <f>IF(NOT(Paths!$C$396=1),0,IF(Paths!$P$396="Complete",IF(C4293=0,0,Paths!$S$396*Paths!$R$396),"n.a."))</f>
        <v>0</v>
      </c>
      <c r="T4293" s="1">
        <f>IF(NOT(Paths!$C$396=1),0,IF(Paths!$P$396="Complete",IF(C4293=0,0,VLOOKUP(A4293,'Fleet register'!$A$7:$S$106,9,FALSE)*Paths!$R$396),"n.a."))</f>
        <v>0</v>
      </c>
    </row>
    <row r="4294" spans="1:20" ht="24" customHeight="1">
      <c r="A4294" s="1" t="str">
        <f>Paths!$A$396</f>
        <v>T098</v>
      </c>
      <c r="B4294" s="1">
        <f>Paths!$B$396</f>
        <v>1</v>
      </c>
      <c r="C4294" s="1">
        <v>8</v>
      </c>
      <c r="D4294" s="1">
        <v>396</v>
      </c>
      <c r="E4294" s="1">
        <f>IF(OR(Paths!$C$396=0,C4294=0),0,MAX(0,MIN(C4294*12,Paths!$E$396)-(C4294-1)*12))</f>
        <v>0</v>
      </c>
      <c r="F4294" s="1">
        <f>IF(OR(Paths!$C$396=0,C4294=0),0,12-E4294)</f>
        <v>0</v>
      </c>
      <c r="G4294" s="16">
        <f>IF(NOT(Paths!$C$396=1),0,IF(Paths!$P$396="Complete",E4294/12*(Paths!$J$396*(1+'Operating costs'!$B$51)^MAX(0,C4294-1)+Paths!$K$396*(1+'Operating costs'!$B$53)^MAX(0,C4294-1)),"n.a."))</f>
        <v>0</v>
      </c>
      <c r="H4294" s="16">
        <f>IF(NOT(Paths!$C$396=1),0,IF(Paths!$P$396="Complete",F4294/12*(Paths!$L$396*(1+IF(Paths!$D$396="EV",'Operating costs'!$B$52,'Operating costs'!$B$51))^MAX(0,C4294-1)+Paths!$M$396*(1+'Operating costs'!$B$53)^MAX(0,C4294-1)),"n.a."))</f>
        <v>0</v>
      </c>
      <c r="I4294" s="16">
        <f>IF(NOT(Paths!$C$396=1),0,IF(Paths!$P$396="Complete",IF(IF(Paths!$E$396=0,C4294=0,AND(C4294&gt;0,Paths!$E$396&gt;(C4294-1)*12,Paths!$E$396&lt;=C4294*12)),Paths!$G$396,0),"n.a."))</f>
        <v>0</v>
      </c>
      <c r="J4294" s="16">
        <f>IF(NOT(Paths!$C$396=1),0,IF(Paths!$P$396="Complete",IF(IF(Paths!$E$396=0,C4294=0,AND(C4294&gt;0,Paths!$E$396&gt;(C4294-1)*12,Paths!$E$396&lt;=C4294*12)),Paths!$H$396,0),"n.a."))</f>
        <v>0</v>
      </c>
      <c r="K4294" s="16">
        <f>IF(NOT(Paths!$C$396=1),0,IF(Paths!$P$396="Complete",IF(IF(Paths!$O$396=0,C4294=0,AND(C4294&gt;0,Paths!$O$396&gt;(C4294-1)*12,Paths!$O$396&lt;=C4294*12)),Paths!$N$396,0),"n.a."))</f>
        <v>0</v>
      </c>
      <c r="L4294" s="16">
        <f>IF(NOT(Paths!$C$396=1),0,IF(Paths!$P$396="Complete",IF(C4294=10,Paths!$I$396,0),"n.a."))</f>
        <v>0</v>
      </c>
      <c r="M4294" s="16">
        <f>IF(NOT(Paths!$C$396=1),0,IF(Paths!$P$396="Complete",IF(AND(Paths!$D$396="EV",Paths!$E$396&lt;120,Paths!$E$396+'Operating costs'!$B$65&gt;Paths!$E$396,Paths!$E$396+'Operating costs'!$B$65&lt;=120,IF(Paths!$E$396+'Operating costs'!$B$65=0,C4294=0,AND(C4294&gt;0,Paths!$E$396+'Operating costs'!$B$65&gt;(C4294-1)*12,Paths!$E$396+'Operating costs'!$B$65&lt;=C4294*12))),'Operating costs'!$B$64,0)+IF(AND('Operating costs'!$B$67&gt;0,'Operating costs'!$B$67&lt;=120,OR(Paths!$D$396="ICE",'Operating costs'!$B$67&lt;=Paths!$E$396),IF('Operating costs'!$B$67=0,C4294=0,AND(C4294&gt;0,'Operating costs'!$B$67&gt;(C4294-1)*12,'Operating costs'!$B$67&lt;=C4294*12))),'Operating costs'!$B$66,0),"n.a."))</f>
        <v>0</v>
      </c>
      <c r="N4294" s="16">
        <f>IF(NOT(Paths!$C$396=1),0,IF(Paths!$P$396="Complete",SUM(G4294:I4294)-J4294-K4294-L4294+M4294+IF(C4294=0,Paths!$F$396,0)+IF(IF(Paths!$E$396=0,C4294=0,AND(C4294&gt;0,Paths!$E$396&gt;(C4294-1)*12,Paths!$E$396&lt;=C4294*12)),VLOOKUP(A4294,'Fleet register'!$A$7:$S$106,16,FALSE),0),"n.a."))</f>
        <v>0</v>
      </c>
      <c r="O4294" s="16">
        <f>IF(NOT(Paths!$C$396=1),0,IF(Paths!$P$396="Complete",N4294-IF(C4294=0,Paths!$F$396,0),"n.a."))</f>
        <v>0</v>
      </c>
      <c r="P4294" s="16">
        <f>IF(NOT(Paths!$C$396=1),0,IF(Paths!$P$396="Complete",O4294+L4294,"n.a."))</f>
        <v>0</v>
      </c>
      <c r="Q4294" s="16">
        <f>IF(NOT(Paths!$C$396=1),0,IF(Paths!$P$396="Complete",N4294*(1+'Operating costs'!$B$54)^-C4294,"n.a."))</f>
        <v>0</v>
      </c>
      <c r="R4294" s="16">
        <f>IF(NOT(Paths!$C$396=1),0,IF(Paths!$P$396="Complete",IF(AND(C4294=0,Paths!$E$396=0),I4294-J4294-K4294+VLOOKUP(A4294,'Fleet register'!$A$7:$S$106,15,FALSE)+VLOOKUP(A4294,'Fleet register'!$A$7:$S$106,16,FALSE),0),"n.a."))</f>
        <v>0</v>
      </c>
      <c r="S4294" s="1">
        <f>IF(NOT(Paths!$C$396=1),0,IF(Paths!$P$396="Complete",IF(C4294=0,0,Paths!$S$396*Paths!$R$396),"n.a."))</f>
        <v>0</v>
      </c>
      <c r="T4294" s="1">
        <f>IF(NOT(Paths!$C$396=1),0,IF(Paths!$P$396="Complete",IF(C4294=0,0,VLOOKUP(A4294,'Fleet register'!$A$7:$S$106,9,FALSE)*Paths!$R$396),"n.a."))</f>
        <v>0</v>
      </c>
    </row>
    <row r="4295" spans="1:20" ht="24" customHeight="1">
      <c r="A4295" s="1" t="str">
        <f>Paths!$A$396</f>
        <v>T098</v>
      </c>
      <c r="B4295" s="1">
        <f>Paths!$B$396</f>
        <v>1</v>
      </c>
      <c r="C4295" s="1">
        <v>9</v>
      </c>
      <c r="D4295" s="1">
        <v>396</v>
      </c>
      <c r="E4295" s="1">
        <f>IF(OR(Paths!$C$396=0,C4295=0),0,MAX(0,MIN(C4295*12,Paths!$E$396)-(C4295-1)*12))</f>
        <v>0</v>
      </c>
      <c r="F4295" s="1">
        <f>IF(OR(Paths!$C$396=0,C4295=0),0,12-E4295)</f>
        <v>0</v>
      </c>
      <c r="G4295" s="16">
        <f>IF(NOT(Paths!$C$396=1),0,IF(Paths!$P$396="Complete",E4295/12*(Paths!$J$396*(1+'Operating costs'!$B$51)^MAX(0,C4295-1)+Paths!$K$396*(1+'Operating costs'!$B$53)^MAX(0,C4295-1)),"n.a."))</f>
        <v>0</v>
      </c>
      <c r="H4295" s="16">
        <f>IF(NOT(Paths!$C$396=1),0,IF(Paths!$P$396="Complete",F4295/12*(Paths!$L$396*(1+IF(Paths!$D$396="EV",'Operating costs'!$B$52,'Operating costs'!$B$51))^MAX(0,C4295-1)+Paths!$M$396*(1+'Operating costs'!$B$53)^MAX(0,C4295-1)),"n.a."))</f>
        <v>0</v>
      </c>
      <c r="I4295" s="16">
        <f>IF(NOT(Paths!$C$396=1),0,IF(Paths!$P$396="Complete",IF(IF(Paths!$E$396=0,C4295=0,AND(C4295&gt;0,Paths!$E$396&gt;(C4295-1)*12,Paths!$E$396&lt;=C4295*12)),Paths!$G$396,0),"n.a."))</f>
        <v>0</v>
      </c>
      <c r="J4295" s="16">
        <f>IF(NOT(Paths!$C$396=1),0,IF(Paths!$P$396="Complete",IF(IF(Paths!$E$396=0,C4295=0,AND(C4295&gt;0,Paths!$E$396&gt;(C4295-1)*12,Paths!$E$396&lt;=C4295*12)),Paths!$H$396,0),"n.a."))</f>
        <v>0</v>
      </c>
      <c r="K4295" s="16">
        <f>IF(NOT(Paths!$C$396=1),0,IF(Paths!$P$396="Complete",IF(IF(Paths!$O$396=0,C4295=0,AND(C4295&gt;0,Paths!$O$396&gt;(C4295-1)*12,Paths!$O$396&lt;=C4295*12)),Paths!$N$396,0),"n.a."))</f>
        <v>0</v>
      </c>
      <c r="L4295" s="16">
        <f>IF(NOT(Paths!$C$396=1),0,IF(Paths!$P$396="Complete",IF(C4295=10,Paths!$I$396,0),"n.a."))</f>
        <v>0</v>
      </c>
      <c r="M4295" s="16">
        <f>IF(NOT(Paths!$C$396=1),0,IF(Paths!$P$396="Complete",IF(AND(Paths!$D$396="EV",Paths!$E$396&lt;120,Paths!$E$396+'Operating costs'!$B$65&gt;Paths!$E$396,Paths!$E$396+'Operating costs'!$B$65&lt;=120,IF(Paths!$E$396+'Operating costs'!$B$65=0,C4295=0,AND(C4295&gt;0,Paths!$E$396+'Operating costs'!$B$65&gt;(C4295-1)*12,Paths!$E$396+'Operating costs'!$B$65&lt;=C4295*12))),'Operating costs'!$B$64,0)+IF(AND('Operating costs'!$B$67&gt;0,'Operating costs'!$B$67&lt;=120,OR(Paths!$D$396="ICE",'Operating costs'!$B$67&lt;=Paths!$E$396),IF('Operating costs'!$B$67=0,C4295=0,AND(C4295&gt;0,'Operating costs'!$B$67&gt;(C4295-1)*12,'Operating costs'!$B$67&lt;=C4295*12))),'Operating costs'!$B$66,0),"n.a."))</f>
        <v>0</v>
      </c>
      <c r="N4295" s="16">
        <f>IF(NOT(Paths!$C$396=1),0,IF(Paths!$P$396="Complete",SUM(G4295:I4295)-J4295-K4295-L4295+M4295+IF(C4295=0,Paths!$F$396,0)+IF(IF(Paths!$E$396=0,C4295=0,AND(C4295&gt;0,Paths!$E$396&gt;(C4295-1)*12,Paths!$E$396&lt;=C4295*12)),VLOOKUP(A4295,'Fleet register'!$A$7:$S$106,16,FALSE),0),"n.a."))</f>
        <v>0</v>
      </c>
      <c r="O4295" s="16">
        <f>IF(NOT(Paths!$C$396=1),0,IF(Paths!$P$396="Complete",N4295-IF(C4295=0,Paths!$F$396,0),"n.a."))</f>
        <v>0</v>
      </c>
      <c r="P4295" s="16">
        <f>IF(NOT(Paths!$C$396=1),0,IF(Paths!$P$396="Complete",O4295+L4295,"n.a."))</f>
        <v>0</v>
      </c>
      <c r="Q4295" s="16">
        <f>IF(NOT(Paths!$C$396=1),0,IF(Paths!$P$396="Complete",N4295*(1+'Operating costs'!$B$54)^-C4295,"n.a."))</f>
        <v>0</v>
      </c>
      <c r="R4295" s="16">
        <f>IF(NOT(Paths!$C$396=1),0,IF(Paths!$P$396="Complete",IF(AND(C4295=0,Paths!$E$396=0),I4295-J4295-K4295+VLOOKUP(A4295,'Fleet register'!$A$7:$S$106,15,FALSE)+VLOOKUP(A4295,'Fleet register'!$A$7:$S$106,16,FALSE),0),"n.a."))</f>
        <v>0</v>
      </c>
      <c r="S4295" s="1">
        <f>IF(NOT(Paths!$C$396=1),0,IF(Paths!$P$396="Complete",IF(C4295=0,0,Paths!$S$396*Paths!$R$396),"n.a."))</f>
        <v>0</v>
      </c>
      <c r="T4295" s="1">
        <f>IF(NOT(Paths!$C$396=1),0,IF(Paths!$P$396="Complete",IF(C4295=0,0,VLOOKUP(A4295,'Fleet register'!$A$7:$S$106,9,FALSE)*Paths!$R$396),"n.a."))</f>
        <v>0</v>
      </c>
    </row>
    <row r="4296" spans="1:20" ht="24" customHeight="1">
      <c r="A4296" s="1" t="str">
        <f>Paths!$A$396</f>
        <v>T098</v>
      </c>
      <c r="B4296" s="1">
        <f>Paths!$B$396</f>
        <v>1</v>
      </c>
      <c r="C4296" s="1">
        <v>10</v>
      </c>
      <c r="D4296" s="1">
        <v>396</v>
      </c>
      <c r="E4296" s="1">
        <f>IF(OR(Paths!$C$396=0,C4296=0),0,MAX(0,MIN(C4296*12,Paths!$E$396)-(C4296-1)*12))</f>
        <v>0</v>
      </c>
      <c r="F4296" s="1">
        <f>IF(OR(Paths!$C$396=0,C4296=0),0,12-E4296)</f>
        <v>0</v>
      </c>
      <c r="G4296" s="16">
        <f>IF(NOT(Paths!$C$396=1),0,IF(Paths!$P$396="Complete",E4296/12*(Paths!$J$396*(1+'Operating costs'!$B$51)^MAX(0,C4296-1)+Paths!$K$396*(1+'Operating costs'!$B$53)^MAX(0,C4296-1)),"n.a."))</f>
        <v>0</v>
      </c>
      <c r="H4296" s="16">
        <f>IF(NOT(Paths!$C$396=1),0,IF(Paths!$P$396="Complete",F4296/12*(Paths!$L$396*(1+IF(Paths!$D$396="EV",'Operating costs'!$B$52,'Operating costs'!$B$51))^MAX(0,C4296-1)+Paths!$M$396*(1+'Operating costs'!$B$53)^MAX(0,C4296-1)),"n.a."))</f>
        <v>0</v>
      </c>
      <c r="I4296" s="16">
        <f>IF(NOT(Paths!$C$396=1),0,IF(Paths!$P$396="Complete",IF(IF(Paths!$E$396=0,C4296=0,AND(C4296&gt;0,Paths!$E$396&gt;(C4296-1)*12,Paths!$E$396&lt;=C4296*12)),Paths!$G$396,0),"n.a."))</f>
        <v>0</v>
      </c>
      <c r="J4296" s="16">
        <f>IF(NOT(Paths!$C$396=1),0,IF(Paths!$P$396="Complete",IF(IF(Paths!$E$396=0,C4296=0,AND(C4296&gt;0,Paths!$E$396&gt;(C4296-1)*12,Paths!$E$396&lt;=C4296*12)),Paths!$H$396,0),"n.a."))</f>
        <v>0</v>
      </c>
      <c r="K4296" s="16">
        <f>IF(NOT(Paths!$C$396=1),0,IF(Paths!$P$396="Complete",IF(IF(Paths!$O$396=0,C4296=0,AND(C4296&gt;0,Paths!$O$396&gt;(C4296-1)*12,Paths!$O$396&lt;=C4296*12)),Paths!$N$396,0),"n.a."))</f>
        <v>0</v>
      </c>
      <c r="L4296" s="16">
        <f>IF(NOT(Paths!$C$396=1),0,IF(Paths!$P$396="Complete",IF(C4296=10,Paths!$I$396,0),"n.a."))</f>
        <v>0</v>
      </c>
      <c r="M4296" s="16">
        <f>IF(NOT(Paths!$C$396=1),0,IF(Paths!$P$396="Complete",IF(AND(Paths!$D$396="EV",Paths!$E$396&lt;120,Paths!$E$396+'Operating costs'!$B$65&gt;Paths!$E$396,Paths!$E$396+'Operating costs'!$B$65&lt;=120,IF(Paths!$E$396+'Operating costs'!$B$65=0,C4296=0,AND(C4296&gt;0,Paths!$E$396+'Operating costs'!$B$65&gt;(C4296-1)*12,Paths!$E$396+'Operating costs'!$B$65&lt;=C4296*12))),'Operating costs'!$B$64,0)+IF(AND('Operating costs'!$B$67&gt;0,'Operating costs'!$B$67&lt;=120,OR(Paths!$D$396="ICE",'Operating costs'!$B$67&lt;=Paths!$E$396),IF('Operating costs'!$B$67=0,C4296=0,AND(C4296&gt;0,'Operating costs'!$B$67&gt;(C4296-1)*12,'Operating costs'!$B$67&lt;=C4296*12))),'Operating costs'!$B$66,0),"n.a."))</f>
        <v>0</v>
      </c>
      <c r="N4296" s="16">
        <f>IF(NOT(Paths!$C$396=1),0,IF(Paths!$P$396="Complete",SUM(G4296:I4296)-J4296-K4296-L4296+M4296+IF(C4296=0,Paths!$F$396,0)+IF(IF(Paths!$E$396=0,C4296=0,AND(C4296&gt;0,Paths!$E$396&gt;(C4296-1)*12,Paths!$E$396&lt;=C4296*12)),VLOOKUP(A4296,'Fleet register'!$A$7:$S$106,16,FALSE),0),"n.a."))</f>
        <v>0</v>
      </c>
      <c r="O4296" s="16">
        <f>IF(NOT(Paths!$C$396=1),0,IF(Paths!$P$396="Complete",N4296-IF(C4296=0,Paths!$F$396,0),"n.a."))</f>
        <v>0</v>
      </c>
      <c r="P4296" s="16">
        <f>IF(NOT(Paths!$C$396=1),0,IF(Paths!$P$396="Complete",O4296+L4296,"n.a."))</f>
        <v>0</v>
      </c>
      <c r="Q4296" s="16">
        <f>IF(NOT(Paths!$C$396=1),0,IF(Paths!$P$396="Complete",N4296*(1+'Operating costs'!$B$54)^-C4296,"n.a."))</f>
        <v>0</v>
      </c>
      <c r="R4296" s="16">
        <f>IF(NOT(Paths!$C$396=1),0,IF(Paths!$P$396="Complete",IF(AND(C4296=0,Paths!$E$396=0),I4296-J4296-K4296+VLOOKUP(A4296,'Fleet register'!$A$7:$S$106,15,FALSE)+VLOOKUP(A4296,'Fleet register'!$A$7:$S$106,16,FALSE),0),"n.a."))</f>
        <v>0</v>
      </c>
      <c r="S4296" s="1">
        <f>IF(NOT(Paths!$C$396=1),0,IF(Paths!$P$396="Complete",IF(C4296=0,0,Paths!$S$396*Paths!$R$396),"n.a."))</f>
        <v>0</v>
      </c>
      <c r="T4296" s="1">
        <f>IF(NOT(Paths!$C$396=1),0,IF(Paths!$P$396="Complete",IF(C4296=0,0,VLOOKUP(A4296,'Fleet register'!$A$7:$S$106,9,FALSE)*Paths!$R$396),"n.a."))</f>
        <v>0</v>
      </c>
    </row>
    <row r="4297" spans="1:20" ht="24" customHeight="1">
      <c r="A4297" s="1" t="str">
        <f>Paths!$A$397</f>
        <v>T098</v>
      </c>
      <c r="B4297" s="1">
        <f>Paths!$B$397</f>
        <v>2</v>
      </c>
      <c r="C4297" s="1">
        <v>0</v>
      </c>
      <c r="D4297" s="1">
        <v>397</v>
      </c>
      <c r="E4297" s="1">
        <f>IF(OR(Paths!$C$397=0,C4297=0),0,MAX(0,MIN(C4297*12,Paths!$E$397)-(C4297-1)*12))</f>
        <v>0</v>
      </c>
      <c r="F4297" s="1">
        <f>IF(OR(Paths!$C$397=0,C4297=0),0,12-E4297)</f>
        <v>0</v>
      </c>
      <c r="G4297" s="16">
        <f>IF(NOT(Paths!$C$397=1),0,IF(Paths!$P$397="Complete",E4297/12*(Paths!$J$397*(1+'Operating costs'!$B$51)^MAX(0,C4297-1)+Paths!$K$397*(1+'Operating costs'!$B$53)^MAX(0,C4297-1)),"n.a."))</f>
        <v>0</v>
      </c>
      <c r="H4297" s="16">
        <f>IF(NOT(Paths!$C$397=1),0,IF(Paths!$P$397="Complete",F4297/12*(Paths!$L$397*(1+IF(Paths!$D$397="EV",'Operating costs'!$B$52,'Operating costs'!$B$51))^MAX(0,C4297-1)+Paths!$M$397*(1+'Operating costs'!$B$53)^MAX(0,C4297-1)),"n.a."))</f>
        <v>0</v>
      </c>
      <c r="I4297" s="16">
        <f>IF(NOT(Paths!$C$397=1),0,IF(Paths!$P$397="Complete",IF(IF(Paths!$E$397=0,C4297=0,AND(C4297&gt;0,Paths!$E$397&gt;(C4297-1)*12,Paths!$E$397&lt;=C4297*12)),Paths!$G$397,0),"n.a."))</f>
        <v>0</v>
      </c>
      <c r="J4297" s="16">
        <f>IF(NOT(Paths!$C$397=1),0,IF(Paths!$P$397="Complete",IF(IF(Paths!$E$397=0,C4297=0,AND(C4297&gt;0,Paths!$E$397&gt;(C4297-1)*12,Paths!$E$397&lt;=C4297*12)),Paths!$H$397,0),"n.a."))</f>
        <v>0</v>
      </c>
      <c r="K4297" s="16">
        <f>IF(NOT(Paths!$C$397=1),0,IF(Paths!$P$397="Complete",IF(IF(Paths!$O$397=0,C4297=0,AND(C4297&gt;0,Paths!$O$397&gt;(C4297-1)*12,Paths!$O$397&lt;=C4297*12)),Paths!$N$397,0),"n.a."))</f>
        <v>0</v>
      </c>
      <c r="L4297" s="16">
        <f>IF(NOT(Paths!$C$397=1),0,IF(Paths!$P$397="Complete",IF(C4297=10,Paths!$I$397,0),"n.a."))</f>
        <v>0</v>
      </c>
      <c r="M4297" s="16">
        <f>IF(NOT(Paths!$C$397=1),0,IF(Paths!$P$397="Complete",IF(AND(Paths!$D$397="EV",Paths!$E$397&lt;120,Paths!$E$397+'Operating costs'!$B$65&gt;Paths!$E$397,Paths!$E$397+'Operating costs'!$B$65&lt;=120,IF(Paths!$E$397+'Operating costs'!$B$65=0,C4297=0,AND(C4297&gt;0,Paths!$E$397+'Operating costs'!$B$65&gt;(C4297-1)*12,Paths!$E$397+'Operating costs'!$B$65&lt;=C4297*12))),'Operating costs'!$B$64,0)+IF(AND('Operating costs'!$B$67&gt;0,'Operating costs'!$B$67&lt;=120,OR(Paths!$D$397="ICE",'Operating costs'!$B$67&lt;=Paths!$E$397),IF('Operating costs'!$B$67=0,C4297=0,AND(C4297&gt;0,'Operating costs'!$B$67&gt;(C4297-1)*12,'Operating costs'!$B$67&lt;=C4297*12))),'Operating costs'!$B$66,0),"n.a."))</f>
        <v>0</v>
      </c>
      <c r="N4297" s="16">
        <f>IF(NOT(Paths!$C$397=1),0,IF(Paths!$P$397="Complete",SUM(G4297:I4297)-J4297-K4297-L4297+M4297+IF(C4297=0,Paths!$F$397,0)+IF(IF(Paths!$E$397=0,C4297=0,AND(C4297&gt;0,Paths!$E$397&gt;(C4297-1)*12,Paths!$E$397&lt;=C4297*12)),VLOOKUP(A4297,'Fleet register'!$A$7:$S$106,16,FALSE),0),"n.a."))</f>
        <v>0</v>
      </c>
      <c r="O4297" s="16">
        <f>IF(NOT(Paths!$C$397=1),0,IF(Paths!$P$397="Complete",N4297-IF(C4297=0,Paths!$F$397,0),"n.a."))</f>
        <v>0</v>
      </c>
      <c r="P4297" s="16">
        <f>IF(NOT(Paths!$C$397=1),0,IF(Paths!$P$397="Complete",O4297+L4297,"n.a."))</f>
        <v>0</v>
      </c>
      <c r="Q4297" s="16">
        <f>IF(NOT(Paths!$C$397=1),0,IF(Paths!$P$397="Complete",N4297*(1+'Operating costs'!$B$54)^-C4297,"n.a."))</f>
        <v>0</v>
      </c>
      <c r="R4297" s="16">
        <f>IF(NOT(Paths!$C$397=1),0,IF(Paths!$P$397="Complete",IF(AND(C4297=0,Paths!$E$397=0),I4297-J4297-K4297+VLOOKUP(A4297,'Fleet register'!$A$7:$S$106,15,FALSE)+VLOOKUP(A4297,'Fleet register'!$A$7:$S$106,16,FALSE),0),"n.a."))</f>
        <v>0</v>
      </c>
      <c r="S4297" s="1">
        <f>IF(NOT(Paths!$C$397=1),0,IF(Paths!$P$397="Complete",IF(C4297=0,0,Paths!$S$397*Paths!$R$397),"n.a."))</f>
        <v>0</v>
      </c>
      <c r="T4297" s="1">
        <f>IF(NOT(Paths!$C$397=1),0,IF(Paths!$P$397="Complete",IF(C4297=0,0,VLOOKUP(A4297,'Fleet register'!$A$7:$S$106,9,FALSE)*Paths!$R$397),"n.a."))</f>
        <v>0</v>
      </c>
    </row>
    <row r="4298" spans="1:20" ht="24" customHeight="1">
      <c r="A4298" s="1" t="str">
        <f>Paths!$A$397</f>
        <v>T098</v>
      </c>
      <c r="B4298" s="1">
        <f>Paths!$B$397</f>
        <v>2</v>
      </c>
      <c r="C4298" s="1">
        <v>1</v>
      </c>
      <c r="D4298" s="1">
        <v>397</v>
      </c>
      <c r="E4298" s="1">
        <f>IF(OR(Paths!$C$397=0,C4298=0),0,MAX(0,MIN(C4298*12,Paths!$E$397)-(C4298-1)*12))</f>
        <v>0</v>
      </c>
      <c r="F4298" s="1">
        <f>IF(OR(Paths!$C$397=0,C4298=0),0,12-E4298)</f>
        <v>0</v>
      </c>
      <c r="G4298" s="16">
        <f>IF(NOT(Paths!$C$397=1),0,IF(Paths!$P$397="Complete",E4298/12*(Paths!$J$397*(1+'Operating costs'!$B$51)^MAX(0,C4298-1)+Paths!$K$397*(1+'Operating costs'!$B$53)^MAX(0,C4298-1)),"n.a."))</f>
        <v>0</v>
      </c>
      <c r="H4298" s="16">
        <f>IF(NOT(Paths!$C$397=1),0,IF(Paths!$P$397="Complete",F4298/12*(Paths!$L$397*(1+IF(Paths!$D$397="EV",'Operating costs'!$B$52,'Operating costs'!$B$51))^MAX(0,C4298-1)+Paths!$M$397*(1+'Operating costs'!$B$53)^MAX(0,C4298-1)),"n.a."))</f>
        <v>0</v>
      </c>
      <c r="I4298" s="16">
        <f>IF(NOT(Paths!$C$397=1),0,IF(Paths!$P$397="Complete",IF(IF(Paths!$E$397=0,C4298=0,AND(C4298&gt;0,Paths!$E$397&gt;(C4298-1)*12,Paths!$E$397&lt;=C4298*12)),Paths!$G$397,0),"n.a."))</f>
        <v>0</v>
      </c>
      <c r="J4298" s="16">
        <f>IF(NOT(Paths!$C$397=1),0,IF(Paths!$P$397="Complete",IF(IF(Paths!$E$397=0,C4298=0,AND(C4298&gt;0,Paths!$E$397&gt;(C4298-1)*12,Paths!$E$397&lt;=C4298*12)),Paths!$H$397,0),"n.a."))</f>
        <v>0</v>
      </c>
      <c r="K4298" s="16">
        <f>IF(NOT(Paths!$C$397=1),0,IF(Paths!$P$397="Complete",IF(IF(Paths!$O$397=0,C4298=0,AND(C4298&gt;0,Paths!$O$397&gt;(C4298-1)*12,Paths!$O$397&lt;=C4298*12)),Paths!$N$397,0),"n.a."))</f>
        <v>0</v>
      </c>
      <c r="L4298" s="16">
        <f>IF(NOT(Paths!$C$397=1),0,IF(Paths!$P$397="Complete",IF(C4298=10,Paths!$I$397,0),"n.a."))</f>
        <v>0</v>
      </c>
      <c r="M4298" s="16">
        <f>IF(NOT(Paths!$C$397=1),0,IF(Paths!$P$397="Complete",IF(AND(Paths!$D$397="EV",Paths!$E$397&lt;120,Paths!$E$397+'Operating costs'!$B$65&gt;Paths!$E$397,Paths!$E$397+'Operating costs'!$B$65&lt;=120,IF(Paths!$E$397+'Operating costs'!$B$65=0,C4298=0,AND(C4298&gt;0,Paths!$E$397+'Operating costs'!$B$65&gt;(C4298-1)*12,Paths!$E$397+'Operating costs'!$B$65&lt;=C4298*12))),'Operating costs'!$B$64,0)+IF(AND('Operating costs'!$B$67&gt;0,'Operating costs'!$B$67&lt;=120,OR(Paths!$D$397="ICE",'Operating costs'!$B$67&lt;=Paths!$E$397),IF('Operating costs'!$B$67=0,C4298=0,AND(C4298&gt;0,'Operating costs'!$B$67&gt;(C4298-1)*12,'Operating costs'!$B$67&lt;=C4298*12))),'Operating costs'!$B$66,0),"n.a."))</f>
        <v>0</v>
      </c>
      <c r="N4298" s="16">
        <f>IF(NOT(Paths!$C$397=1),0,IF(Paths!$P$397="Complete",SUM(G4298:I4298)-J4298-K4298-L4298+M4298+IF(C4298=0,Paths!$F$397,0)+IF(IF(Paths!$E$397=0,C4298=0,AND(C4298&gt;0,Paths!$E$397&gt;(C4298-1)*12,Paths!$E$397&lt;=C4298*12)),VLOOKUP(A4298,'Fleet register'!$A$7:$S$106,16,FALSE),0),"n.a."))</f>
        <v>0</v>
      </c>
      <c r="O4298" s="16">
        <f>IF(NOT(Paths!$C$397=1),0,IF(Paths!$P$397="Complete",N4298-IF(C4298=0,Paths!$F$397,0),"n.a."))</f>
        <v>0</v>
      </c>
      <c r="P4298" s="16">
        <f>IF(NOT(Paths!$C$397=1),0,IF(Paths!$P$397="Complete",O4298+L4298,"n.a."))</f>
        <v>0</v>
      </c>
      <c r="Q4298" s="16">
        <f>IF(NOT(Paths!$C$397=1),0,IF(Paths!$P$397="Complete",N4298*(1+'Operating costs'!$B$54)^-C4298,"n.a."))</f>
        <v>0</v>
      </c>
      <c r="R4298" s="16">
        <f>IF(NOT(Paths!$C$397=1),0,IF(Paths!$P$397="Complete",IF(AND(C4298=0,Paths!$E$397=0),I4298-J4298-K4298+VLOOKUP(A4298,'Fleet register'!$A$7:$S$106,15,FALSE)+VLOOKUP(A4298,'Fleet register'!$A$7:$S$106,16,FALSE),0),"n.a."))</f>
        <v>0</v>
      </c>
      <c r="S4298" s="1">
        <f>IF(NOT(Paths!$C$397=1),0,IF(Paths!$P$397="Complete",IF(C4298=0,0,Paths!$S$397*Paths!$R$397),"n.a."))</f>
        <v>0</v>
      </c>
      <c r="T4298" s="1">
        <f>IF(NOT(Paths!$C$397=1),0,IF(Paths!$P$397="Complete",IF(C4298=0,0,VLOOKUP(A4298,'Fleet register'!$A$7:$S$106,9,FALSE)*Paths!$R$397),"n.a."))</f>
        <v>0</v>
      </c>
    </row>
    <row r="4299" spans="1:20" ht="24" customHeight="1">
      <c r="A4299" s="1" t="str">
        <f>Paths!$A$397</f>
        <v>T098</v>
      </c>
      <c r="B4299" s="1">
        <f>Paths!$B$397</f>
        <v>2</v>
      </c>
      <c r="C4299" s="1">
        <v>2</v>
      </c>
      <c r="D4299" s="1">
        <v>397</v>
      </c>
      <c r="E4299" s="1">
        <f>IF(OR(Paths!$C$397=0,C4299=0),0,MAX(0,MIN(C4299*12,Paths!$E$397)-(C4299-1)*12))</f>
        <v>0</v>
      </c>
      <c r="F4299" s="1">
        <f>IF(OR(Paths!$C$397=0,C4299=0),0,12-E4299)</f>
        <v>0</v>
      </c>
      <c r="G4299" s="16">
        <f>IF(NOT(Paths!$C$397=1),0,IF(Paths!$P$397="Complete",E4299/12*(Paths!$J$397*(1+'Operating costs'!$B$51)^MAX(0,C4299-1)+Paths!$K$397*(1+'Operating costs'!$B$53)^MAX(0,C4299-1)),"n.a."))</f>
        <v>0</v>
      </c>
      <c r="H4299" s="16">
        <f>IF(NOT(Paths!$C$397=1),0,IF(Paths!$P$397="Complete",F4299/12*(Paths!$L$397*(1+IF(Paths!$D$397="EV",'Operating costs'!$B$52,'Operating costs'!$B$51))^MAX(0,C4299-1)+Paths!$M$397*(1+'Operating costs'!$B$53)^MAX(0,C4299-1)),"n.a."))</f>
        <v>0</v>
      </c>
      <c r="I4299" s="16">
        <f>IF(NOT(Paths!$C$397=1),0,IF(Paths!$P$397="Complete",IF(IF(Paths!$E$397=0,C4299=0,AND(C4299&gt;0,Paths!$E$397&gt;(C4299-1)*12,Paths!$E$397&lt;=C4299*12)),Paths!$G$397,0),"n.a."))</f>
        <v>0</v>
      </c>
      <c r="J4299" s="16">
        <f>IF(NOT(Paths!$C$397=1),0,IF(Paths!$P$397="Complete",IF(IF(Paths!$E$397=0,C4299=0,AND(C4299&gt;0,Paths!$E$397&gt;(C4299-1)*12,Paths!$E$397&lt;=C4299*12)),Paths!$H$397,0),"n.a."))</f>
        <v>0</v>
      </c>
      <c r="K4299" s="16">
        <f>IF(NOT(Paths!$C$397=1),0,IF(Paths!$P$397="Complete",IF(IF(Paths!$O$397=0,C4299=0,AND(C4299&gt;0,Paths!$O$397&gt;(C4299-1)*12,Paths!$O$397&lt;=C4299*12)),Paths!$N$397,0),"n.a."))</f>
        <v>0</v>
      </c>
      <c r="L4299" s="16">
        <f>IF(NOT(Paths!$C$397=1),0,IF(Paths!$P$397="Complete",IF(C4299=10,Paths!$I$397,0),"n.a."))</f>
        <v>0</v>
      </c>
      <c r="M4299" s="16">
        <f>IF(NOT(Paths!$C$397=1),0,IF(Paths!$P$397="Complete",IF(AND(Paths!$D$397="EV",Paths!$E$397&lt;120,Paths!$E$397+'Operating costs'!$B$65&gt;Paths!$E$397,Paths!$E$397+'Operating costs'!$B$65&lt;=120,IF(Paths!$E$397+'Operating costs'!$B$65=0,C4299=0,AND(C4299&gt;0,Paths!$E$397+'Operating costs'!$B$65&gt;(C4299-1)*12,Paths!$E$397+'Operating costs'!$B$65&lt;=C4299*12))),'Operating costs'!$B$64,0)+IF(AND('Operating costs'!$B$67&gt;0,'Operating costs'!$B$67&lt;=120,OR(Paths!$D$397="ICE",'Operating costs'!$B$67&lt;=Paths!$E$397),IF('Operating costs'!$B$67=0,C4299=0,AND(C4299&gt;0,'Operating costs'!$B$67&gt;(C4299-1)*12,'Operating costs'!$B$67&lt;=C4299*12))),'Operating costs'!$B$66,0),"n.a."))</f>
        <v>0</v>
      </c>
      <c r="N4299" s="16">
        <f>IF(NOT(Paths!$C$397=1),0,IF(Paths!$P$397="Complete",SUM(G4299:I4299)-J4299-K4299-L4299+M4299+IF(C4299=0,Paths!$F$397,0)+IF(IF(Paths!$E$397=0,C4299=0,AND(C4299&gt;0,Paths!$E$397&gt;(C4299-1)*12,Paths!$E$397&lt;=C4299*12)),VLOOKUP(A4299,'Fleet register'!$A$7:$S$106,16,FALSE),0),"n.a."))</f>
        <v>0</v>
      </c>
      <c r="O4299" s="16">
        <f>IF(NOT(Paths!$C$397=1),0,IF(Paths!$P$397="Complete",N4299-IF(C4299=0,Paths!$F$397,0),"n.a."))</f>
        <v>0</v>
      </c>
      <c r="P4299" s="16">
        <f>IF(NOT(Paths!$C$397=1),0,IF(Paths!$P$397="Complete",O4299+L4299,"n.a."))</f>
        <v>0</v>
      </c>
      <c r="Q4299" s="16">
        <f>IF(NOT(Paths!$C$397=1),0,IF(Paths!$P$397="Complete",N4299*(1+'Operating costs'!$B$54)^-C4299,"n.a."))</f>
        <v>0</v>
      </c>
      <c r="R4299" s="16">
        <f>IF(NOT(Paths!$C$397=1),0,IF(Paths!$P$397="Complete",IF(AND(C4299=0,Paths!$E$397=0),I4299-J4299-K4299+VLOOKUP(A4299,'Fleet register'!$A$7:$S$106,15,FALSE)+VLOOKUP(A4299,'Fleet register'!$A$7:$S$106,16,FALSE),0),"n.a."))</f>
        <v>0</v>
      </c>
      <c r="S4299" s="1">
        <f>IF(NOT(Paths!$C$397=1),0,IF(Paths!$P$397="Complete",IF(C4299=0,0,Paths!$S$397*Paths!$R$397),"n.a."))</f>
        <v>0</v>
      </c>
      <c r="T4299" s="1">
        <f>IF(NOT(Paths!$C$397=1),0,IF(Paths!$P$397="Complete",IF(C4299=0,0,VLOOKUP(A4299,'Fleet register'!$A$7:$S$106,9,FALSE)*Paths!$R$397),"n.a."))</f>
        <v>0</v>
      </c>
    </row>
    <row r="4300" spans="1:20" ht="24" customHeight="1">
      <c r="A4300" s="1" t="str">
        <f>Paths!$A$397</f>
        <v>T098</v>
      </c>
      <c r="B4300" s="1">
        <f>Paths!$B$397</f>
        <v>2</v>
      </c>
      <c r="C4300" s="1">
        <v>3</v>
      </c>
      <c r="D4300" s="1">
        <v>397</v>
      </c>
      <c r="E4300" s="1">
        <f>IF(OR(Paths!$C$397=0,C4300=0),0,MAX(0,MIN(C4300*12,Paths!$E$397)-(C4300-1)*12))</f>
        <v>0</v>
      </c>
      <c r="F4300" s="1">
        <f>IF(OR(Paths!$C$397=0,C4300=0),0,12-E4300)</f>
        <v>0</v>
      </c>
      <c r="G4300" s="16">
        <f>IF(NOT(Paths!$C$397=1),0,IF(Paths!$P$397="Complete",E4300/12*(Paths!$J$397*(1+'Operating costs'!$B$51)^MAX(0,C4300-1)+Paths!$K$397*(1+'Operating costs'!$B$53)^MAX(0,C4300-1)),"n.a."))</f>
        <v>0</v>
      </c>
      <c r="H4300" s="16">
        <f>IF(NOT(Paths!$C$397=1),0,IF(Paths!$P$397="Complete",F4300/12*(Paths!$L$397*(1+IF(Paths!$D$397="EV",'Operating costs'!$B$52,'Operating costs'!$B$51))^MAX(0,C4300-1)+Paths!$M$397*(1+'Operating costs'!$B$53)^MAX(0,C4300-1)),"n.a."))</f>
        <v>0</v>
      </c>
      <c r="I4300" s="16">
        <f>IF(NOT(Paths!$C$397=1),0,IF(Paths!$P$397="Complete",IF(IF(Paths!$E$397=0,C4300=0,AND(C4300&gt;0,Paths!$E$397&gt;(C4300-1)*12,Paths!$E$397&lt;=C4300*12)),Paths!$G$397,0),"n.a."))</f>
        <v>0</v>
      </c>
      <c r="J4300" s="16">
        <f>IF(NOT(Paths!$C$397=1),0,IF(Paths!$P$397="Complete",IF(IF(Paths!$E$397=0,C4300=0,AND(C4300&gt;0,Paths!$E$397&gt;(C4300-1)*12,Paths!$E$397&lt;=C4300*12)),Paths!$H$397,0),"n.a."))</f>
        <v>0</v>
      </c>
      <c r="K4300" s="16">
        <f>IF(NOT(Paths!$C$397=1),0,IF(Paths!$P$397="Complete",IF(IF(Paths!$O$397=0,C4300=0,AND(C4300&gt;0,Paths!$O$397&gt;(C4300-1)*12,Paths!$O$397&lt;=C4300*12)),Paths!$N$397,0),"n.a."))</f>
        <v>0</v>
      </c>
      <c r="L4300" s="16">
        <f>IF(NOT(Paths!$C$397=1),0,IF(Paths!$P$397="Complete",IF(C4300=10,Paths!$I$397,0),"n.a."))</f>
        <v>0</v>
      </c>
      <c r="M4300" s="16">
        <f>IF(NOT(Paths!$C$397=1),0,IF(Paths!$P$397="Complete",IF(AND(Paths!$D$397="EV",Paths!$E$397&lt;120,Paths!$E$397+'Operating costs'!$B$65&gt;Paths!$E$397,Paths!$E$397+'Operating costs'!$B$65&lt;=120,IF(Paths!$E$397+'Operating costs'!$B$65=0,C4300=0,AND(C4300&gt;0,Paths!$E$397+'Operating costs'!$B$65&gt;(C4300-1)*12,Paths!$E$397+'Operating costs'!$B$65&lt;=C4300*12))),'Operating costs'!$B$64,0)+IF(AND('Operating costs'!$B$67&gt;0,'Operating costs'!$B$67&lt;=120,OR(Paths!$D$397="ICE",'Operating costs'!$B$67&lt;=Paths!$E$397),IF('Operating costs'!$B$67=0,C4300=0,AND(C4300&gt;0,'Operating costs'!$B$67&gt;(C4300-1)*12,'Operating costs'!$B$67&lt;=C4300*12))),'Operating costs'!$B$66,0),"n.a."))</f>
        <v>0</v>
      </c>
      <c r="N4300" s="16">
        <f>IF(NOT(Paths!$C$397=1),0,IF(Paths!$P$397="Complete",SUM(G4300:I4300)-J4300-K4300-L4300+M4300+IF(C4300=0,Paths!$F$397,0)+IF(IF(Paths!$E$397=0,C4300=0,AND(C4300&gt;0,Paths!$E$397&gt;(C4300-1)*12,Paths!$E$397&lt;=C4300*12)),VLOOKUP(A4300,'Fleet register'!$A$7:$S$106,16,FALSE),0),"n.a."))</f>
        <v>0</v>
      </c>
      <c r="O4300" s="16">
        <f>IF(NOT(Paths!$C$397=1),0,IF(Paths!$P$397="Complete",N4300-IF(C4300=0,Paths!$F$397,0),"n.a."))</f>
        <v>0</v>
      </c>
      <c r="P4300" s="16">
        <f>IF(NOT(Paths!$C$397=1),0,IF(Paths!$P$397="Complete",O4300+L4300,"n.a."))</f>
        <v>0</v>
      </c>
      <c r="Q4300" s="16">
        <f>IF(NOT(Paths!$C$397=1),0,IF(Paths!$P$397="Complete",N4300*(1+'Operating costs'!$B$54)^-C4300,"n.a."))</f>
        <v>0</v>
      </c>
      <c r="R4300" s="16">
        <f>IF(NOT(Paths!$C$397=1),0,IF(Paths!$P$397="Complete",IF(AND(C4300=0,Paths!$E$397=0),I4300-J4300-K4300+VLOOKUP(A4300,'Fleet register'!$A$7:$S$106,15,FALSE)+VLOOKUP(A4300,'Fleet register'!$A$7:$S$106,16,FALSE),0),"n.a."))</f>
        <v>0</v>
      </c>
      <c r="S4300" s="1">
        <f>IF(NOT(Paths!$C$397=1),0,IF(Paths!$P$397="Complete",IF(C4300=0,0,Paths!$S$397*Paths!$R$397),"n.a."))</f>
        <v>0</v>
      </c>
      <c r="T4300" s="1">
        <f>IF(NOT(Paths!$C$397=1),0,IF(Paths!$P$397="Complete",IF(C4300=0,0,VLOOKUP(A4300,'Fleet register'!$A$7:$S$106,9,FALSE)*Paths!$R$397),"n.a."))</f>
        <v>0</v>
      </c>
    </row>
    <row r="4301" spans="1:20" ht="24" customHeight="1">
      <c r="A4301" s="1" t="str">
        <f>Paths!$A$397</f>
        <v>T098</v>
      </c>
      <c r="B4301" s="1">
        <f>Paths!$B$397</f>
        <v>2</v>
      </c>
      <c r="C4301" s="1">
        <v>4</v>
      </c>
      <c r="D4301" s="1">
        <v>397</v>
      </c>
      <c r="E4301" s="1">
        <f>IF(OR(Paths!$C$397=0,C4301=0),0,MAX(0,MIN(C4301*12,Paths!$E$397)-(C4301-1)*12))</f>
        <v>0</v>
      </c>
      <c r="F4301" s="1">
        <f>IF(OR(Paths!$C$397=0,C4301=0),0,12-E4301)</f>
        <v>0</v>
      </c>
      <c r="G4301" s="16">
        <f>IF(NOT(Paths!$C$397=1),0,IF(Paths!$P$397="Complete",E4301/12*(Paths!$J$397*(1+'Operating costs'!$B$51)^MAX(0,C4301-1)+Paths!$K$397*(1+'Operating costs'!$B$53)^MAX(0,C4301-1)),"n.a."))</f>
        <v>0</v>
      </c>
      <c r="H4301" s="16">
        <f>IF(NOT(Paths!$C$397=1),0,IF(Paths!$P$397="Complete",F4301/12*(Paths!$L$397*(1+IF(Paths!$D$397="EV",'Operating costs'!$B$52,'Operating costs'!$B$51))^MAX(0,C4301-1)+Paths!$M$397*(1+'Operating costs'!$B$53)^MAX(0,C4301-1)),"n.a."))</f>
        <v>0</v>
      </c>
      <c r="I4301" s="16">
        <f>IF(NOT(Paths!$C$397=1),0,IF(Paths!$P$397="Complete",IF(IF(Paths!$E$397=0,C4301=0,AND(C4301&gt;0,Paths!$E$397&gt;(C4301-1)*12,Paths!$E$397&lt;=C4301*12)),Paths!$G$397,0),"n.a."))</f>
        <v>0</v>
      </c>
      <c r="J4301" s="16">
        <f>IF(NOT(Paths!$C$397=1),0,IF(Paths!$P$397="Complete",IF(IF(Paths!$E$397=0,C4301=0,AND(C4301&gt;0,Paths!$E$397&gt;(C4301-1)*12,Paths!$E$397&lt;=C4301*12)),Paths!$H$397,0),"n.a."))</f>
        <v>0</v>
      </c>
      <c r="K4301" s="16">
        <f>IF(NOT(Paths!$C$397=1),0,IF(Paths!$P$397="Complete",IF(IF(Paths!$O$397=0,C4301=0,AND(C4301&gt;0,Paths!$O$397&gt;(C4301-1)*12,Paths!$O$397&lt;=C4301*12)),Paths!$N$397,0),"n.a."))</f>
        <v>0</v>
      </c>
      <c r="L4301" s="16">
        <f>IF(NOT(Paths!$C$397=1),0,IF(Paths!$P$397="Complete",IF(C4301=10,Paths!$I$397,0),"n.a."))</f>
        <v>0</v>
      </c>
      <c r="M4301" s="16">
        <f>IF(NOT(Paths!$C$397=1),0,IF(Paths!$P$397="Complete",IF(AND(Paths!$D$397="EV",Paths!$E$397&lt;120,Paths!$E$397+'Operating costs'!$B$65&gt;Paths!$E$397,Paths!$E$397+'Operating costs'!$B$65&lt;=120,IF(Paths!$E$397+'Operating costs'!$B$65=0,C4301=0,AND(C4301&gt;0,Paths!$E$397+'Operating costs'!$B$65&gt;(C4301-1)*12,Paths!$E$397+'Operating costs'!$B$65&lt;=C4301*12))),'Operating costs'!$B$64,0)+IF(AND('Operating costs'!$B$67&gt;0,'Operating costs'!$B$67&lt;=120,OR(Paths!$D$397="ICE",'Operating costs'!$B$67&lt;=Paths!$E$397),IF('Operating costs'!$B$67=0,C4301=0,AND(C4301&gt;0,'Operating costs'!$B$67&gt;(C4301-1)*12,'Operating costs'!$B$67&lt;=C4301*12))),'Operating costs'!$B$66,0),"n.a."))</f>
        <v>0</v>
      </c>
      <c r="N4301" s="16">
        <f>IF(NOT(Paths!$C$397=1),0,IF(Paths!$P$397="Complete",SUM(G4301:I4301)-J4301-K4301-L4301+M4301+IF(C4301=0,Paths!$F$397,0)+IF(IF(Paths!$E$397=0,C4301=0,AND(C4301&gt;0,Paths!$E$397&gt;(C4301-1)*12,Paths!$E$397&lt;=C4301*12)),VLOOKUP(A4301,'Fleet register'!$A$7:$S$106,16,FALSE),0),"n.a."))</f>
        <v>0</v>
      </c>
      <c r="O4301" s="16">
        <f>IF(NOT(Paths!$C$397=1),0,IF(Paths!$P$397="Complete",N4301-IF(C4301=0,Paths!$F$397,0),"n.a."))</f>
        <v>0</v>
      </c>
      <c r="P4301" s="16">
        <f>IF(NOT(Paths!$C$397=1),0,IF(Paths!$P$397="Complete",O4301+L4301,"n.a."))</f>
        <v>0</v>
      </c>
      <c r="Q4301" s="16">
        <f>IF(NOT(Paths!$C$397=1),0,IF(Paths!$P$397="Complete",N4301*(1+'Operating costs'!$B$54)^-C4301,"n.a."))</f>
        <v>0</v>
      </c>
      <c r="R4301" s="16">
        <f>IF(NOT(Paths!$C$397=1),0,IF(Paths!$P$397="Complete",IF(AND(C4301=0,Paths!$E$397=0),I4301-J4301-K4301+VLOOKUP(A4301,'Fleet register'!$A$7:$S$106,15,FALSE)+VLOOKUP(A4301,'Fleet register'!$A$7:$S$106,16,FALSE),0),"n.a."))</f>
        <v>0</v>
      </c>
      <c r="S4301" s="1">
        <f>IF(NOT(Paths!$C$397=1),0,IF(Paths!$P$397="Complete",IF(C4301=0,0,Paths!$S$397*Paths!$R$397),"n.a."))</f>
        <v>0</v>
      </c>
      <c r="T4301" s="1">
        <f>IF(NOT(Paths!$C$397=1),0,IF(Paths!$P$397="Complete",IF(C4301=0,0,VLOOKUP(A4301,'Fleet register'!$A$7:$S$106,9,FALSE)*Paths!$R$397),"n.a."))</f>
        <v>0</v>
      </c>
    </row>
    <row r="4302" spans="1:20" ht="24" customHeight="1">
      <c r="A4302" s="1" t="str">
        <f>Paths!$A$397</f>
        <v>T098</v>
      </c>
      <c r="B4302" s="1">
        <f>Paths!$B$397</f>
        <v>2</v>
      </c>
      <c r="C4302" s="1">
        <v>5</v>
      </c>
      <c r="D4302" s="1">
        <v>397</v>
      </c>
      <c r="E4302" s="1">
        <f>IF(OR(Paths!$C$397=0,C4302=0),0,MAX(0,MIN(C4302*12,Paths!$E$397)-(C4302-1)*12))</f>
        <v>0</v>
      </c>
      <c r="F4302" s="1">
        <f>IF(OR(Paths!$C$397=0,C4302=0),0,12-E4302)</f>
        <v>0</v>
      </c>
      <c r="G4302" s="16">
        <f>IF(NOT(Paths!$C$397=1),0,IF(Paths!$P$397="Complete",E4302/12*(Paths!$J$397*(1+'Operating costs'!$B$51)^MAX(0,C4302-1)+Paths!$K$397*(1+'Operating costs'!$B$53)^MAX(0,C4302-1)),"n.a."))</f>
        <v>0</v>
      </c>
      <c r="H4302" s="16">
        <f>IF(NOT(Paths!$C$397=1),0,IF(Paths!$P$397="Complete",F4302/12*(Paths!$L$397*(1+IF(Paths!$D$397="EV",'Operating costs'!$B$52,'Operating costs'!$B$51))^MAX(0,C4302-1)+Paths!$M$397*(1+'Operating costs'!$B$53)^MAX(0,C4302-1)),"n.a."))</f>
        <v>0</v>
      </c>
      <c r="I4302" s="16">
        <f>IF(NOT(Paths!$C$397=1),0,IF(Paths!$P$397="Complete",IF(IF(Paths!$E$397=0,C4302=0,AND(C4302&gt;0,Paths!$E$397&gt;(C4302-1)*12,Paths!$E$397&lt;=C4302*12)),Paths!$G$397,0),"n.a."))</f>
        <v>0</v>
      </c>
      <c r="J4302" s="16">
        <f>IF(NOT(Paths!$C$397=1),0,IF(Paths!$P$397="Complete",IF(IF(Paths!$E$397=0,C4302=0,AND(C4302&gt;0,Paths!$E$397&gt;(C4302-1)*12,Paths!$E$397&lt;=C4302*12)),Paths!$H$397,0),"n.a."))</f>
        <v>0</v>
      </c>
      <c r="K4302" s="16">
        <f>IF(NOT(Paths!$C$397=1),0,IF(Paths!$P$397="Complete",IF(IF(Paths!$O$397=0,C4302=0,AND(C4302&gt;0,Paths!$O$397&gt;(C4302-1)*12,Paths!$O$397&lt;=C4302*12)),Paths!$N$397,0),"n.a."))</f>
        <v>0</v>
      </c>
      <c r="L4302" s="16">
        <f>IF(NOT(Paths!$C$397=1),0,IF(Paths!$P$397="Complete",IF(C4302=10,Paths!$I$397,0),"n.a."))</f>
        <v>0</v>
      </c>
      <c r="M4302" s="16">
        <f>IF(NOT(Paths!$C$397=1),0,IF(Paths!$P$397="Complete",IF(AND(Paths!$D$397="EV",Paths!$E$397&lt;120,Paths!$E$397+'Operating costs'!$B$65&gt;Paths!$E$397,Paths!$E$397+'Operating costs'!$B$65&lt;=120,IF(Paths!$E$397+'Operating costs'!$B$65=0,C4302=0,AND(C4302&gt;0,Paths!$E$397+'Operating costs'!$B$65&gt;(C4302-1)*12,Paths!$E$397+'Operating costs'!$B$65&lt;=C4302*12))),'Operating costs'!$B$64,0)+IF(AND('Operating costs'!$B$67&gt;0,'Operating costs'!$B$67&lt;=120,OR(Paths!$D$397="ICE",'Operating costs'!$B$67&lt;=Paths!$E$397),IF('Operating costs'!$B$67=0,C4302=0,AND(C4302&gt;0,'Operating costs'!$B$67&gt;(C4302-1)*12,'Operating costs'!$B$67&lt;=C4302*12))),'Operating costs'!$B$66,0),"n.a."))</f>
        <v>0</v>
      </c>
      <c r="N4302" s="16">
        <f>IF(NOT(Paths!$C$397=1),0,IF(Paths!$P$397="Complete",SUM(G4302:I4302)-J4302-K4302-L4302+M4302+IF(C4302=0,Paths!$F$397,0)+IF(IF(Paths!$E$397=0,C4302=0,AND(C4302&gt;0,Paths!$E$397&gt;(C4302-1)*12,Paths!$E$397&lt;=C4302*12)),VLOOKUP(A4302,'Fleet register'!$A$7:$S$106,16,FALSE),0),"n.a."))</f>
        <v>0</v>
      </c>
      <c r="O4302" s="16">
        <f>IF(NOT(Paths!$C$397=1),0,IF(Paths!$P$397="Complete",N4302-IF(C4302=0,Paths!$F$397,0),"n.a."))</f>
        <v>0</v>
      </c>
      <c r="P4302" s="16">
        <f>IF(NOT(Paths!$C$397=1),0,IF(Paths!$P$397="Complete",O4302+L4302,"n.a."))</f>
        <v>0</v>
      </c>
      <c r="Q4302" s="16">
        <f>IF(NOT(Paths!$C$397=1),0,IF(Paths!$P$397="Complete",N4302*(1+'Operating costs'!$B$54)^-C4302,"n.a."))</f>
        <v>0</v>
      </c>
      <c r="R4302" s="16">
        <f>IF(NOT(Paths!$C$397=1),0,IF(Paths!$P$397="Complete",IF(AND(C4302=0,Paths!$E$397=0),I4302-J4302-K4302+VLOOKUP(A4302,'Fleet register'!$A$7:$S$106,15,FALSE)+VLOOKUP(A4302,'Fleet register'!$A$7:$S$106,16,FALSE),0),"n.a."))</f>
        <v>0</v>
      </c>
      <c r="S4302" s="1">
        <f>IF(NOT(Paths!$C$397=1),0,IF(Paths!$P$397="Complete",IF(C4302=0,0,Paths!$S$397*Paths!$R$397),"n.a."))</f>
        <v>0</v>
      </c>
      <c r="T4302" s="1">
        <f>IF(NOT(Paths!$C$397=1),0,IF(Paths!$P$397="Complete",IF(C4302=0,0,VLOOKUP(A4302,'Fleet register'!$A$7:$S$106,9,FALSE)*Paths!$R$397),"n.a."))</f>
        <v>0</v>
      </c>
    </row>
    <row r="4303" spans="1:20" ht="24" customHeight="1">
      <c r="A4303" s="1" t="str">
        <f>Paths!$A$397</f>
        <v>T098</v>
      </c>
      <c r="B4303" s="1">
        <f>Paths!$B$397</f>
        <v>2</v>
      </c>
      <c r="C4303" s="1">
        <v>6</v>
      </c>
      <c r="D4303" s="1">
        <v>397</v>
      </c>
      <c r="E4303" s="1">
        <f>IF(OR(Paths!$C$397=0,C4303=0),0,MAX(0,MIN(C4303*12,Paths!$E$397)-(C4303-1)*12))</f>
        <v>0</v>
      </c>
      <c r="F4303" s="1">
        <f>IF(OR(Paths!$C$397=0,C4303=0),0,12-E4303)</f>
        <v>0</v>
      </c>
      <c r="G4303" s="16">
        <f>IF(NOT(Paths!$C$397=1),0,IF(Paths!$P$397="Complete",E4303/12*(Paths!$J$397*(1+'Operating costs'!$B$51)^MAX(0,C4303-1)+Paths!$K$397*(1+'Operating costs'!$B$53)^MAX(0,C4303-1)),"n.a."))</f>
        <v>0</v>
      </c>
      <c r="H4303" s="16">
        <f>IF(NOT(Paths!$C$397=1),0,IF(Paths!$P$397="Complete",F4303/12*(Paths!$L$397*(1+IF(Paths!$D$397="EV",'Operating costs'!$B$52,'Operating costs'!$B$51))^MAX(0,C4303-1)+Paths!$M$397*(1+'Operating costs'!$B$53)^MAX(0,C4303-1)),"n.a."))</f>
        <v>0</v>
      </c>
      <c r="I4303" s="16">
        <f>IF(NOT(Paths!$C$397=1),0,IF(Paths!$P$397="Complete",IF(IF(Paths!$E$397=0,C4303=0,AND(C4303&gt;0,Paths!$E$397&gt;(C4303-1)*12,Paths!$E$397&lt;=C4303*12)),Paths!$G$397,0),"n.a."))</f>
        <v>0</v>
      </c>
      <c r="J4303" s="16">
        <f>IF(NOT(Paths!$C$397=1),0,IF(Paths!$P$397="Complete",IF(IF(Paths!$E$397=0,C4303=0,AND(C4303&gt;0,Paths!$E$397&gt;(C4303-1)*12,Paths!$E$397&lt;=C4303*12)),Paths!$H$397,0),"n.a."))</f>
        <v>0</v>
      </c>
      <c r="K4303" s="16">
        <f>IF(NOT(Paths!$C$397=1),0,IF(Paths!$P$397="Complete",IF(IF(Paths!$O$397=0,C4303=0,AND(C4303&gt;0,Paths!$O$397&gt;(C4303-1)*12,Paths!$O$397&lt;=C4303*12)),Paths!$N$397,0),"n.a."))</f>
        <v>0</v>
      </c>
      <c r="L4303" s="16">
        <f>IF(NOT(Paths!$C$397=1),0,IF(Paths!$P$397="Complete",IF(C4303=10,Paths!$I$397,0),"n.a."))</f>
        <v>0</v>
      </c>
      <c r="M4303" s="16">
        <f>IF(NOT(Paths!$C$397=1),0,IF(Paths!$P$397="Complete",IF(AND(Paths!$D$397="EV",Paths!$E$397&lt;120,Paths!$E$397+'Operating costs'!$B$65&gt;Paths!$E$397,Paths!$E$397+'Operating costs'!$B$65&lt;=120,IF(Paths!$E$397+'Operating costs'!$B$65=0,C4303=0,AND(C4303&gt;0,Paths!$E$397+'Operating costs'!$B$65&gt;(C4303-1)*12,Paths!$E$397+'Operating costs'!$B$65&lt;=C4303*12))),'Operating costs'!$B$64,0)+IF(AND('Operating costs'!$B$67&gt;0,'Operating costs'!$B$67&lt;=120,OR(Paths!$D$397="ICE",'Operating costs'!$B$67&lt;=Paths!$E$397),IF('Operating costs'!$B$67=0,C4303=0,AND(C4303&gt;0,'Operating costs'!$B$67&gt;(C4303-1)*12,'Operating costs'!$B$67&lt;=C4303*12))),'Operating costs'!$B$66,0),"n.a."))</f>
        <v>0</v>
      </c>
      <c r="N4303" s="16">
        <f>IF(NOT(Paths!$C$397=1),0,IF(Paths!$P$397="Complete",SUM(G4303:I4303)-J4303-K4303-L4303+M4303+IF(C4303=0,Paths!$F$397,0)+IF(IF(Paths!$E$397=0,C4303=0,AND(C4303&gt;0,Paths!$E$397&gt;(C4303-1)*12,Paths!$E$397&lt;=C4303*12)),VLOOKUP(A4303,'Fleet register'!$A$7:$S$106,16,FALSE),0),"n.a."))</f>
        <v>0</v>
      </c>
      <c r="O4303" s="16">
        <f>IF(NOT(Paths!$C$397=1),0,IF(Paths!$P$397="Complete",N4303-IF(C4303=0,Paths!$F$397,0),"n.a."))</f>
        <v>0</v>
      </c>
      <c r="P4303" s="16">
        <f>IF(NOT(Paths!$C$397=1),0,IF(Paths!$P$397="Complete",O4303+L4303,"n.a."))</f>
        <v>0</v>
      </c>
      <c r="Q4303" s="16">
        <f>IF(NOT(Paths!$C$397=1),0,IF(Paths!$P$397="Complete",N4303*(1+'Operating costs'!$B$54)^-C4303,"n.a."))</f>
        <v>0</v>
      </c>
      <c r="R4303" s="16">
        <f>IF(NOT(Paths!$C$397=1),0,IF(Paths!$P$397="Complete",IF(AND(C4303=0,Paths!$E$397=0),I4303-J4303-K4303+VLOOKUP(A4303,'Fleet register'!$A$7:$S$106,15,FALSE)+VLOOKUP(A4303,'Fleet register'!$A$7:$S$106,16,FALSE),0),"n.a."))</f>
        <v>0</v>
      </c>
      <c r="S4303" s="1">
        <f>IF(NOT(Paths!$C$397=1),0,IF(Paths!$P$397="Complete",IF(C4303=0,0,Paths!$S$397*Paths!$R$397),"n.a."))</f>
        <v>0</v>
      </c>
      <c r="T4303" s="1">
        <f>IF(NOT(Paths!$C$397=1),0,IF(Paths!$P$397="Complete",IF(C4303=0,0,VLOOKUP(A4303,'Fleet register'!$A$7:$S$106,9,FALSE)*Paths!$R$397),"n.a."))</f>
        <v>0</v>
      </c>
    </row>
    <row r="4304" spans="1:20" ht="24" customHeight="1">
      <c r="A4304" s="1" t="str">
        <f>Paths!$A$397</f>
        <v>T098</v>
      </c>
      <c r="B4304" s="1">
        <f>Paths!$B$397</f>
        <v>2</v>
      </c>
      <c r="C4304" s="1">
        <v>7</v>
      </c>
      <c r="D4304" s="1">
        <v>397</v>
      </c>
      <c r="E4304" s="1">
        <f>IF(OR(Paths!$C$397=0,C4304=0),0,MAX(0,MIN(C4304*12,Paths!$E$397)-(C4304-1)*12))</f>
        <v>0</v>
      </c>
      <c r="F4304" s="1">
        <f>IF(OR(Paths!$C$397=0,C4304=0),0,12-E4304)</f>
        <v>0</v>
      </c>
      <c r="G4304" s="16">
        <f>IF(NOT(Paths!$C$397=1),0,IF(Paths!$P$397="Complete",E4304/12*(Paths!$J$397*(1+'Operating costs'!$B$51)^MAX(0,C4304-1)+Paths!$K$397*(1+'Operating costs'!$B$53)^MAX(0,C4304-1)),"n.a."))</f>
        <v>0</v>
      </c>
      <c r="H4304" s="16">
        <f>IF(NOT(Paths!$C$397=1),0,IF(Paths!$P$397="Complete",F4304/12*(Paths!$L$397*(1+IF(Paths!$D$397="EV",'Operating costs'!$B$52,'Operating costs'!$B$51))^MAX(0,C4304-1)+Paths!$M$397*(1+'Operating costs'!$B$53)^MAX(0,C4304-1)),"n.a."))</f>
        <v>0</v>
      </c>
      <c r="I4304" s="16">
        <f>IF(NOT(Paths!$C$397=1),0,IF(Paths!$P$397="Complete",IF(IF(Paths!$E$397=0,C4304=0,AND(C4304&gt;0,Paths!$E$397&gt;(C4304-1)*12,Paths!$E$397&lt;=C4304*12)),Paths!$G$397,0),"n.a."))</f>
        <v>0</v>
      </c>
      <c r="J4304" s="16">
        <f>IF(NOT(Paths!$C$397=1),0,IF(Paths!$P$397="Complete",IF(IF(Paths!$E$397=0,C4304=0,AND(C4304&gt;0,Paths!$E$397&gt;(C4304-1)*12,Paths!$E$397&lt;=C4304*12)),Paths!$H$397,0),"n.a."))</f>
        <v>0</v>
      </c>
      <c r="K4304" s="16">
        <f>IF(NOT(Paths!$C$397=1),0,IF(Paths!$P$397="Complete",IF(IF(Paths!$O$397=0,C4304=0,AND(C4304&gt;0,Paths!$O$397&gt;(C4304-1)*12,Paths!$O$397&lt;=C4304*12)),Paths!$N$397,0),"n.a."))</f>
        <v>0</v>
      </c>
      <c r="L4304" s="16">
        <f>IF(NOT(Paths!$C$397=1),0,IF(Paths!$P$397="Complete",IF(C4304=10,Paths!$I$397,0),"n.a."))</f>
        <v>0</v>
      </c>
      <c r="M4304" s="16">
        <f>IF(NOT(Paths!$C$397=1),0,IF(Paths!$P$397="Complete",IF(AND(Paths!$D$397="EV",Paths!$E$397&lt;120,Paths!$E$397+'Operating costs'!$B$65&gt;Paths!$E$397,Paths!$E$397+'Operating costs'!$B$65&lt;=120,IF(Paths!$E$397+'Operating costs'!$B$65=0,C4304=0,AND(C4304&gt;0,Paths!$E$397+'Operating costs'!$B$65&gt;(C4304-1)*12,Paths!$E$397+'Operating costs'!$B$65&lt;=C4304*12))),'Operating costs'!$B$64,0)+IF(AND('Operating costs'!$B$67&gt;0,'Operating costs'!$B$67&lt;=120,OR(Paths!$D$397="ICE",'Operating costs'!$B$67&lt;=Paths!$E$397),IF('Operating costs'!$B$67=0,C4304=0,AND(C4304&gt;0,'Operating costs'!$B$67&gt;(C4304-1)*12,'Operating costs'!$B$67&lt;=C4304*12))),'Operating costs'!$B$66,0),"n.a."))</f>
        <v>0</v>
      </c>
      <c r="N4304" s="16">
        <f>IF(NOT(Paths!$C$397=1),0,IF(Paths!$P$397="Complete",SUM(G4304:I4304)-J4304-K4304-L4304+M4304+IF(C4304=0,Paths!$F$397,0)+IF(IF(Paths!$E$397=0,C4304=0,AND(C4304&gt;0,Paths!$E$397&gt;(C4304-1)*12,Paths!$E$397&lt;=C4304*12)),VLOOKUP(A4304,'Fleet register'!$A$7:$S$106,16,FALSE),0),"n.a."))</f>
        <v>0</v>
      </c>
      <c r="O4304" s="16">
        <f>IF(NOT(Paths!$C$397=1),0,IF(Paths!$P$397="Complete",N4304-IF(C4304=0,Paths!$F$397,0),"n.a."))</f>
        <v>0</v>
      </c>
      <c r="P4304" s="16">
        <f>IF(NOT(Paths!$C$397=1),0,IF(Paths!$P$397="Complete",O4304+L4304,"n.a."))</f>
        <v>0</v>
      </c>
      <c r="Q4304" s="16">
        <f>IF(NOT(Paths!$C$397=1),0,IF(Paths!$P$397="Complete",N4304*(1+'Operating costs'!$B$54)^-C4304,"n.a."))</f>
        <v>0</v>
      </c>
      <c r="R4304" s="16">
        <f>IF(NOT(Paths!$C$397=1),0,IF(Paths!$P$397="Complete",IF(AND(C4304=0,Paths!$E$397=0),I4304-J4304-K4304+VLOOKUP(A4304,'Fleet register'!$A$7:$S$106,15,FALSE)+VLOOKUP(A4304,'Fleet register'!$A$7:$S$106,16,FALSE),0),"n.a."))</f>
        <v>0</v>
      </c>
      <c r="S4304" s="1">
        <f>IF(NOT(Paths!$C$397=1),0,IF(Paths!$P$397="Complete",IF(C4304=0,0,Paths!$S$397*Paths!$R$397),"n.a."))</f>
        <v>0</v>
      </c>
      <c r="T4304" s="1">
        <f>IF(NOT(Paths!$C$397=1),0,IF(Paths!$P$397="Complete",IF(C4304=0,0,VLOOKUP(A4304,'Fleet register'!$A$7:$S$106,9,FALSE)*Paths!$R$397),"n.a."))</f>
        <v>0</v>
      </c>
    </row>
    <row r="4305" spans="1:20" ht="24" customHeight="1">
      <c r="A4305" s="1" t="str">
        <f>Paths!$A$397</f>
        <v>T098</v>
      </c>
      <c r="B4305" s="1">
        <f>Paths!$B$397</f>
        <v>2</v>
      </c>
      <c r="C4305" s="1">
        <v>8</v>
      </c>
      <c r="D4305" s="1">
        <v>397</v>
      </c>
      <c r="E4305" s="1">
        <f>IF(OR(Paths!$C$397=0,C4305=0),0,MAX(0,MIN(C4305*12,Paths!$E$397)-(C4305-1)*12))</f>
        <v>0</v>
      </c>
      <c r="F4305" s="1">
        <f>IF(OR(Paths!$C$397=0,C4305=0),0,12-E4305)</f>
        <v>0</v>
      </c>
      <c r="G4305" s="16">
        <f>IF(NOT(Paths!$C$397=1),0,IF(Paths!$P$397="Complete",E4305/12*(Paths!$J$397*(1+'Operating costs'!$B$51)^MAX(0,C4305-1)+Paths!$K$397*(1+'Operating costs'!$B$53)^MAX(0,C4305-1)),"n.a."))</f>
        <v>0</v>
      </c>
      <c r="H4305" s="16">
        <f>IF(NOT(Paths!$C$397=1),0,IF(Paths!$P$397="Complete",F4305/12*(Paths!$L$397*(1+IF(Paths!$D$397="EV",'Operating costs'!$B$52,'Operating costs'!$B$51))^MAX(0,C4305-1)+Paths!$M$397*(1+'Operating costs'!$B$53)^MAX(0,C4305-1)),"n.a."))</f>
        <v>0</v>
      </c>
      <c r="I4305" s="16">
        <f>IF(NOT(Paths!$C$397=1),0,IF(Paths!$P$397="Complete",IF(IF(Paths!$E$397=0,C4305=0,AND(C4305&gt;0,Paths!$E$397&gt;(C4305-1)*12,Paths!$E$397&lt;=C4305*12)),Paths!$G$397,0),"n.a."))</f>
        <v>0</v>
      </c>
      <c r="J4305" s="16">
        <f>IF(NOT(Paths!$C$397=1),0,IF(Paths!$P$397="Complete",IF(IF(Paths!$E$397=0,C4305=0,AND(C4305&gt;0,Paths!$E$397&gt;(C4305-1)*12,Paths!$E$397&lt;=C4305*12)),Paths!$H$397,0),"n.a."))</f>
        <v>0</v>
      </c>
      <c r="K4305" s="16">
        <f>IF(NOT(Paths!$C$397=1),0,IF(Paths!$P$397="Complete",IF(IF(Paths!$O$397=0,C4305=0,AND(C4305&gt;0,Paths!$O$397&gt;(C4305-1)*12,Paths!$O$397&lt;=C4305*12)),Paths!$N$397,0),"n.a."))</f>
        <v>0</v>
      </c>
      <c r="L4305" s="16">
        <f>IF(NOT(Paths!$C$397=1),0,IF(Paths!$P$397="Complete",IF(C4305=10,Paths!$I$397,0),"n.a."))</f>
        <v>0</v>
      </c>
      <c r="M4305" s="16">
        <f>IF(NOT(Paths!$C$397=1),0,IF(Paths!$P$397="Complete",IF(AND(Paths!$D$397="EV",Paths!$E$397&lt;120,Paths!$E$397+'Operating costs'!$B$65&gt;Paths!$E$397,Paths!$E$397+'Operating costs'!$B$65&lt;=120,IF(Paths!$E$397+'Operating costs'!$B$65=0,C4305=0,AND(C4305&gt;0,Paths!$E$397+'Operating costs'!$B$65&gt;(C4305-1)*12,Paths!$E$397+'Operating costs'!$B$65&lt;=C4305*12))),'Operating costs'!$B$64,0)+IF(AND('Operating costs'!$B$67&gt;0,'Operating costs'!$B$67&lt;=120,OR(Paths!$D$397="ICE",'Operating costs'!$B$67&lt;=Paths!$E$397),IF('Operating costs'!$B$67=0,C4305=0,AND(C4305&gt;0,'Operating costs'!$B$67&gt;(C4305-1)*12,'Operating costs'!$B$67&lt;=C4305*12))),'Operating costs'!$B$66,0),"n.a."))</f>
        <v>0</v>
      </c>
      <c r="N4305" s="16">
        <f>IF(NOT(Paths!$C$397=1),0,IF(Paths!$P$397="Complete",SUM(G4305:I4305)-J4305-K4305-L4305+M4305+IF(C4305=0,Paths!$F$397,0)+IF(IF(Paths!$E$397=0,C4305=0,AND(C4305&gt;0,Paths!$E$397&gt;(C4305-1)*12,Paths!$E$397&lt;=C4305*12)),VLOOKUP(A4305,'Fleet register'!$A$7:$S$106,16,FALSE),0),"n.a."))</f>
        <v>0</v>
      </c>
      <c r="O4305" s="16">
        <f>IF(NOT(Paths!$C$397=1),0,IF(Paths!$P$397="Complete",N4305-IF(C4305=0,Paths!$F$397,0),"n.a."))</f>
        <v>0</v>
      </c>
      <c r="P4305" s="16">
        <f>IF(NOT(Paths!$C$397=1),0,IF(Paths!$P$397="Complete",O4305+L4305,"n.a."))</f>
        <v>0</v>
      </c>
      <c r="Q4305" s="16">
        <f>IF(NOT(Paths!$C$397=1),0,IF(Paths!$P$397="Complete",N4305*(1+'Operating costs'!$B$54)^-C4305,"n.a."))</f>
        <v>0</v>
      </c>
      <c r="R4305" s="16">
        <f>IF(NOT(Paths!$C$397=1),0,IF(Paths!$P$397="Complete",IF(AND(C4305=0,Paths!$E$397=0),I4305-J4305-K4305+VLOOKUP(A4305,'Fleet register'!$A$7:$S$106,15,FALSE)+VLOOKUP(A4305,'Fleet register'!$A$7:$S$106,16,FALSE),0),"n.a."))</f>
        <v>0</v>
      </c>
      <c r="S4305" s="1">
        <f>IF(NOT(Paths!$C$397=1),0,IF(Paths!$P$397="Complete",IF(C4305=0,0,Paths!$S$397*Paths!$R$397),"n.a."))</f>
        <v>0</v>
      </c>
      <c r="T4305" s="1">
        <f>IF(NOT(Paths!$C$397=1),0,IF(Paths!$P$397="Complete",IF(C4305=0,0,VLOOKUP(A4305,'Fleet register'!$A$7:$S$106,9,FALSE)*Paths!$R$397),"n.a."))</f>
        <v>0</v>
      </c>
    </row>
    <row r="4306" spans="1:20" ht="24" customHeight="1">
      <c r="A4306" s="1" t="str">
        <f>Paths!$A$397</f>
        <v>T098</v>
      </c>
      <c r="B4306" s="1">
        <f>Paths!$B$397</f>
        <v>2</v>
      </c>
      <c r="C4306" s="1">
        <v>9</v>
      </c>
      <c r="D4306" s="1">
        <v>397</v>
      </c>
      <c r="E4306" s="1">
        <f>IF(OR(Paths!$C$397=0,C4306=0),0,MAX(0,MIN(C4306*12,Paths!$E$397)-(C4306-1)*12))</f>
        <v>0</v>
      </c>
      <c r="F4306" s="1">
        <f>IF(OR(Paths!$C$397=0,C4306=0),0,12-E4306)</f>
        <v>0</v>
      </c>
      <c r="G4306" s="16">
        <f>IF(NOT(Paths!$C$397=1),0,IF(Paths!$P$397="Complete",E4306/12*(Paths!$J$397*(1+'Operating costs'!$B$51)^MAX(0,C4306-1)+Paths!$K$397*(1+'Operating costs'!$B$53)^MAX(0,C4306-1)),"n.a."))</f>
        <v>0</v>
      </c>
      <c r="H4306" s="16">
        <f>IF(NOT(Paths!$C$397=1),0,IF(Paths!$P$397="Complete",F4306/12*(Paths!$L$397*(1+IF(Paths!$D$397="EV",'Operating costs'!$B$52,'Operating costs'!$B$51))^MAX(0,C4306-1)+Paths!$M$397*(1+'Operating costs'!$B$53)^MAX(0,C4306-1)),"n.a."))</f>
        <v>0</v>
      </c>
      <c r="I4306" s="16">
        <f>IF(NOT(Paths!$C$397=1),0,IF(Paths!$P$397="Complete",IF(IF(Paths!$E$397=0,C4306=0,AND(C4306&gt;0,Paths!$E$397&gt;(C4306-1)*12,Paths!$E$397&lt;=C4306*12)),Paths!$G$397,0),"n.a."))</f>
        <v>0</v>
      </c>
      <c r="J4306" s="16">
        <f>IF(NOT(Paths!$C$397=1),0,IF(Paths!$P$397="Complete",IF(IF(Paths!$E$397=0,C4306=0,AND(C4306&gt;0,Paths!$E$397&gt;(C4306-1)*12,Paths!$E$397&lt;=C4306*12)),Paths!$H$397,0),"n.a."))</f>
        <v>0</v>
      </c>
      <c r="K4306" s="16">
        <f>IF(NOT(Paths!$C$397=1),0,IF(Paths!$P$397="Complete",IF(IF(Paths!$O$397=0,C4306=0,AND(C4306&gt;0,Paths!$O$397&gt;(C4306-1)*12,Paths!$O$397&lt;=C4306*12)),Paths!$N$397,0),"n.a."))</f>
        <v>0</v>
      </c>
      <c r="L4306" s="16">
        <f>IF(NOT(Paths!$C$397=1),0,IF(Paths!$P$397="Complete",IF(C4306=10,Paths!$I$397,0),"n.a."))</f>
        <v>0</v>
      </c>
      <c r="M4306" s="16">
        <f>IF(NOT(Paths!$C$397=1),0,IF(Paths!$P$397="Complete",IF(AND(Paths!$D$397="EV",Paths!$E$397&lt;120,Paths!$E$397+'Operating costs'!$B$65&gt;Paths!$E$397,Paths!$E$397+'Operating costs'!$B$65&lt;=120,IF(Paths!$E$397+'Operating costs'!$B$65=0,C4306=0,AND(C4306&gt;0,Paths!$E$397+'Operating costs'!$B$65&gt;(C4306-1)*12,Paths!$E$397+'Operating costs'!$B$65&lt;=C4306*12))),'Operating costs'!$B$64,0)+IF(AND('Operating costs'!$B$67&gt;0,'Operating costs'!$B$67&lt;=120,OR(Paths!$D$397="ICE",'Operating costs'!$B$67&lt;=Paths!$E$397),IF('Operating costs'!$B$67=0,C4306=0,AND(C4306&gt;0,'Operating costs'!$B$67&gt;(C4306-1)*12,'Operating costs'!$B$67&lt;=C4306*12))),'Operating costs'!$B$66,0),"n.a."))</f>
        <v>0</v>
      </c>
      <c r="N4306" s="16">
        <f>IF(NOT(Paths!$C$397=1),0,IF(Paths!$P$397="Complete",SUM(G4306:I4306)-J4306-K4306-L4306+M4306+IF(C4306=0,Paths!$F$397,0)+IF(IF(Paths!$E$397=0,C4306=0,AND(C4306&gt;0,Paths!$E$397&gt;(C4306-1)*12,Paths!$E$397&lt;=C4306*12)),VLOOKUP(A4306,'Fleet register'!$A$7:$S$106,16,FALSE),0),"n.a."))</f>
        <v>0</v>
      </c>
      <c r="O4306" s="16">
        <f>IF(NOT(Paths!$C$397=1),0,IF(Paths!$P$397="Complete",N4306-IF(C4306=0,Paths!$F$397,0),"n.a."))</f>
        <v>0</v>
      </c>
      <c r="P4306" s="16">
        <f>IF(NOT(Paths!$C$397=1),0,IF(Paths!$P$397="Complete",O4306+L4306,"n.a."))</f>
        <v>0</v>
      </c>
      <c r="Q4306" s="16">
        <f>IF(NOT(Paths!$C$397=1),0,IF(Paths!$P$397="Complete",N4306*(1+'Operating costs'!$B$54)^-C4306,"n.a."))</f>
        <v>0</v>
      </c>
      <c r="R4306" s="16">
        <f>IF(NOT(Paths!$C$397=1),0,IF(Paths!$P$397="Complete",IF(AND(C4306=0,Paths!$E$397=0),I4306-J4306-K4306+VLOOKUP(A4306,'Fleet register'!$A$7:$S$106,15,FALSE)+VLOOKUP(A4306,'Fleet register'!$A$7:$S$106,16,FALSE),0),"n.a."))</f>
        <v>0</v>
      </c>
      <c r="S4306" s="1">
        <f>IF(NOT(Paths!$C$397=1),0,IF(Paths!$P$397="Complete",IF(C4306=0,0,Paths!$S$397*Paths!$R$397),"n.a."))</f>
        <v>0</v>
      </c>
      <c r="T4306" s="1">
        <f>IF(NOT(Paths!$C$397=1),0,IF(Paths!$P$397="Complete",IF(C4306=0,0,VLOOKUP(A4306,'Fleet register'!$A$7:$S$106,9,FALSE)*Paths!$R$397),"n.a."))</f>
        <v>0</v>
      </c>
    </row>
    <row r="4307" spans="1:20" ht="24" customHeight="1">
      <c r="A4307" s="1" t="str">
        <f>Paths!$A$397</f>
        <v>T098</v>
      </c>
      <c r="B4307" s="1">
        <f>Paths!$B$397</f>
        <v>2</v>
      </c>
      <c r="C4307" s="1">
        <v>10</v>
      </c>
      <c r="D4307" s="1">
        <v>397</v>
      </c>
      <c r="E4307" s="1">
        <f>IF(OR(Paths!$C$397=0,C4307=0),0,MAX(0,MIN(C4307*12,Paths!$E$397)-(C4307-1)*12))</f>
        <v>0</v>
      </c>
      <c r="F4307" s="1">
        <f>IF(OR(Paths!$C$397=0,C4307=0),0,12-E4307)</f>
        <v>0</v>
      </c>
      <c r="G4307" s="16">
        <f>IF(NOT(Paths!$C$397=1),0,IF(Paths!$P$397="Complete",E4307/12*(Paths!$J$397*(1+'Operating costs'!$B$51)^MAX(0,C4307-1)+Paths!$K$397*(1+'Operating costs'!$B$53)^MAX(0,C4307-1)),"n.a."))</f>
        <v>0</v>
      </c>
      <c r="H4307" s="16">
        <f>IF(NOT(Paths!$C$397=1),0,IF(Paths!$P$397="Complete",F4307/12*(Paths!$L$397*(1+IF(Paths!$D$397="EV",'Operating costs'!$B$52,'Operating costs'!$B$51))^MAX(0,C4307-1)+Paths!$M$397*(1+'Operating costs'!$B$53)^MAX(0,C4307-1)),"n.a."))</f>
        <v>0</v>
      </c>
      <c r="I4307" s="16">
        <f>IF(NOT(Paths!$C$397=1),0,IF(Paths!$P$397="Complete",IF(IF(Paths!$E$397=0,C4307=0,AND(C4307&gt;0,Paths!$E$397&gt;(C4307-1)*12,Paths!$E$397&lt;=C4307*12)),Paths!$G$397,0),"n.a."))</f>
        <v>0</v>
      </c>
      <c r="J4307" s="16">
        <f>IF(NOT(Paths!$C$397=1),0,IF(Paths!$P$397="Complete",IF(IF(Paths!$E$397=0,C4307=0,AND(C4307&gt;0,Paths!$E$397&gt;(C4307-1)*12,Paths!$E$397&lt;=C4307*12)),Paths!$H$397,0),"n.a."))</f>
        <v>0</v>
      </c>
      <c r="K4307" s="16">
        <f>IF(NOT(Paths!$C$397=1),0,IF(Paths!$P$397="Complete",IF(IF(Paths!$O$397=0,C4307=0,AND(C4307&gt;0,Paths!$O$397&gt;(C4307-1)*12,Paths!$O$397&lt;=C4307*12)),Paths!$N$397,0),"n.a."))</f>
        <v>0</v>
      </c>
      <c r="L4307" s="16">
        <f>IF(NOT(Paths!$C$397=1),0,IF(Paths!$P$397="Complete",IF(C4307=10,Paths!$I$397,0),"n.a."))</f>
        <v>0</v>
      </c>
      <c r="M4307" s="16">
        <f>IF(NOT(Paths!$C$397=1),0,IF(Paths!$P$397="Complete",IF(AND(Paths!$D$397="EV",Paths!$E$397&lt;120,Paths!$E$397+'Operating costs'!$B$65&gt;Paths!$E$397,Paths!$E$397+'Operating costs'!$B$65&lt;=120,IF(Paths!$E$397+'Operating costs'!$B$65=0,C4307=0,AND(C4307&gt;0,Paths!$E$397+'Operating costs'!$B$65&gt;(C4307-1)*12,Paths!$E$397+'Operating costs'!$B$65&lt;=C4307*12))),'Operating costs'!$B$64,0)+IF(AND('Operating costs'!$B$67&gt;0,'Operating costs'!$B$67&lt;=120,OR(Paths!$D$397="ICE",'Operating costs'!$B$67&lt;=Paths!$E$397),IF('Operating costs'!$B$67=0,C4307=0,AND(C4307&gt;0,'Operating costs'!$B$67&gt;(C4307-1)*12,'Operating costs'!$B$67&lt;=C4307*12))),'Operating costs'!$B$66,0),"n.a."))</f>
        <v>0</v>
      </c>
      <c r="N4307" s="16">
        <f>IF(NOT(Paths!$C$397=1),0,IF(Paths!$P$397="Complete",SUM(G4307:I4307)-J4307-K4307-L4307+M4307+IF(C4307=0,Paths!$F$397,0)+IF(IF(Paths!$E$397=0,C4307=0,AND(C4307&gt;0,Paths!$E$397&gt;(C4307-1)*12,Paths!$E$397&lt;=C4307*12)),VLOOKUP(A4307,'Fleet register'!$A$7:$S$106,16,FALSE),0),"n.a."))</f>
        <v>0</v>
      </c>
      <c r="O4307" s="16">
        <f>IF(NOT(Paths!$C$397=1),0,IF(Paths!$P$397="Complete",N4307-IF(C4307=0,Paths!$F$397,0),"n.a."))</f>
        <v>0</v>
      </c>
      <c r="P4307" s="16">
        <f>IF(NOT(Paths!$C$397=1),0,IF(Paths!$P$397="Complete",O4307+L4307,"n.a."))</f>
        <v>0</v>
      </c>
      <c r="Q4307" s="16">
        <f>IF(NOT(Paths!$C$397=1),0,IF(Paths!$P$397="Complete",N4307*(1+'Operating costs'!$B$54)^-C4307,"n.a."))</f>
        <v>0</v>
      </c>
      <c r="R4307" s="16">
        <f>IF(NOT(Paths!$C$397=1),0,IF(Paths!$P$397="Complete",IF(AND(C4307=0,Paths!$E$397=0),I4307-J4307-K4307+VLOOKUP(A4307,'Fleet register'!$A$7:$S$106,15,FALSE)+VLOOKUP(A4307,'Fleet register'!$A$7:$S$106,16,FALSE),0),"n.a."))</f>
        <v>0</v>
      </c>
      <c r="S4307" s="1">
        <f>IF(NOT(Paths!$C$397=1),0,IF(Paths!$P$397="Complete",IF(C4307=0,0,Paths!$S$397*Paths!$R$397),"n.a."))</f>
        <v>0</v>
      </c>
      <c r="T4307" s="1">
        <f>IF(NOT(Paths!$C$397=1),0,IF(Paths!$P$397="Complete",IF(C4307=0,0,VLOOKUP(A4307,'Fleet register'!$A$7:$S$106,9,FALSE)*Paths!$R$397),"n.a."))</f>
        <v>0</v>
      </c>
    </row>
    <row r="4308" spans="1:20" ht="24" customHeight="1">
      <c r="A4308" s="1" t="str">
        <f>Paths!$A$398</f>
        <v>T098</v>
      </c>
      <c r="B4308" s="1">
        <f>Paths!$B$398</f>
        <v>3</v>
      </c>
      <c r="C4308" s="1">
        <v>0</v>
      </c>
      <c r="D4308" s="1">
        <v>398</v>
      </c>
      <c r="E4308" s="1">
        <f>IF(OR(Paths!$C$398=0,C4308=0),0,MAX(0,MIN(C4308*12,Paths!$E$398)-(C4308-1)*12))</f>
        <v>0</v>
      </c>
      <c r="F4308" s="1">
        <f>IF(OR(Paths!$C$398=0,C4308=0),0,12-E4308)</f>
        <v>0</v>
      </c>
      <c r="G4308" s="16">
        <f>IF(NOT(Paths!$C$398=1),0,IF(Paths!$P$398="Complete",E4308/12*(Paths!$J$398*(1+'Operating costs'!$B$51)^MAX(0,C4308-1)+Paths!$K$398*(1+'Operating costs'!$B$53)^MAX(0,C4308-1)),"n.a."))</f>
        <v>0</v>
      </c>
      <c r="H4308" s="16">
        <f>IF(NOT(Paths!$C$398=1),0,IF(Paths!$P$398="Complete",F4308/12*(Paths!$L$398*(1+IF(Paths!$D$398="EV",'Operating costs'!$B$52,'Operating costs'!$B$51))^MAX(0,C4308-1)+Paths!$M$398*(1+'Operating costs'!$B$53)^MAX(0,C4308-1)),"n.a."))</f>
        <v>0</v>
      </c>
      <c r="I4308" s="16">
        <f>IF(NOT(Paths!$C$398=1),0,IF(Paths!$P$398="Complete",IF(IF(Paths!$E$398=0,C4308=0,AND(C4308&gt;0,Paths!$E$398&gt;(C4308-1)*12,Paths!$E$398&lt;=C4308*12)),Paths!$G$398,0),"n.a."))</f>
        <v>0</v>
      </c>
      <c r="J4308" s="16">
        <f>IF(NOT(Paths!$C$398=1),0,IF(Paths!$P$398="Complete",IF(IF(Paths!$E$398=0,C4308=0,AND(C4308&gt;0,Paths!$E$398&gt;(C4308-1)*12,Paths!$E$398&lt;=C4308*12)),Paths!$H$398,0),"n.a."))</f>
        <v>0</v>
      </c>
      <c r="K4308" s="16">
        <f>IF(NOT(Paths!$C$398=1),0,IF(Paths!$P$398="Complete",IF(IF(Paths!$O$398=0,C4308=0,AND(C4308&gt;0,Paths!$O$398&gt;(C4308-1)*12,Paths!$O$398&lt;=C4308*12)),Paths!$N$398,0),"n.a."))</f>
        <v>0</v>
      </c>
      <c r="L4308" s="16">
        <f>IF(NOT(Paths!$C$398=1),0,IF(Paths!$P$398="Complete",IF(C4308=10,Paths!$I$398,0),"n.a."))</f>
        <v>0</v>
      </c>
      <c r="M4308" s="16">
        <f>IF(NOT(Paths!$C$398=1),0,IF(Paths!$P$398="Complete",IF(AND(Paths!$D$398="EV",Paths!$E$398&lt;120,Paths!$E$398+'Operating costs'!$B$65&gt;Paths!$E$398,Paths!$E$398+'Operating costs'!$B$65&lt;=120,IF(Paths!$E$398+'Operating costs'!$B$65=0,C4308=0,AND(C4308&gt;0,Paths!$E$398+'Operating costs'!$B$65&gt;(C4308-1)*12,Paths!$E$398+'Operating costs'!$B$65&lt;=C4308*12))),'Operating costs'!$B$64,0)+IF(AND('Operating costs'!$B$67&gt;0,'Operating costs'!$B$67&lt;=120,OR(Paths!$D$398="ICE",'Operating costs'!$B$67&lt;=Paths!$E$398),IF('Operating costs'!$B$67=0,C4308=0,AND(C4308&gt;0,'Operating costs'!$B$67&gt;(C4308-1)*12,'Operating costs'!$B$67&lt;=C4308*12))),'Operating costs'!$B$66,0),"n.a."))</f>
        <v>0</v>
      </c>
      <c r="N4308" s="16">
        <f>IF(NOT(Paths!$C$398=1),0,IF(Paths!$P$398="Complete",SUM(G4308:I4308)-J4308-K4308-L4308+M4308+IF(C4308=0,Paths!$F$398,0)+IF(IF(Paths!$E$398=0,C4308=0,AND(C4308&gt;0,Paths!$E$398&gt;(C4308-1)*12,Paths!$E$398&lt;=C4308*12)),VLOOKUP(A4308,'Fleet register'!$A$7:$S$106,16,FALSE),0),"n.a."))</f>
        <v>0</v>
      </c>
      <c r="O4308" s="16">
        <f>IF(NOT(Paths!$C$398=1),0,IF(Paths!$P$398="Complete",N4308-IF(C4308=0,Paths!$F$398,0),"n.a."))</f>
        <v>0</v>
      </c>
      <c r="P4308" s="16">
        <f>IF(NOT(Paths!$C$398=1),0,IF(Paths!$P$398="Complete",O4308+L4308,"n.a."))</f>
        <v>0</v>
      </c>
      <c r="Q4308" s="16">
        <f>IF(NOT(Paths!$C$398=1),0,IF(Paths!$P$398="Complete",N4308*(1+'Operating costs'!$B$54)^-C4308,"n.a."))</f>
        <v>0</v>
      </c>
      <c r="R4308" s="16">
        <f>IF(NOT(Paths!$C$398=1),0,IF(Paths!$P$398="Complete",IF(AND(C4308=0,Paths!$E$398=0),I4308-J4308-K4308+VLOOKUP(A4308,'Fleet register'!$A$7:$S$106,15,FALSE)+VLOOKUP(A4308,'Fleet register'!$A$7:$S$106,16,FALSE),0),"n.a."))</f>
        <v>0</v>
      </c>
      <c r="S4308" s="1">
        <f>IF(NOT(Paths!$C$398=1),0,IF(Paths!$P$398="Complete",IF(C4308=0,0,Paths!$S$398*Paths!$R$398),"n.a."))</f>
        <v>0</v>
      </c>
      <c r="T4308" s="1">
        <f>IF(NOT(Paths!$C$398=1),0,IF(Paths!$P$398="Complete",IF(C4308=0,0,VLOOKUP(A4308,'Fleet register'!$A$7:$S$106,9,FALSE)*Paths!$R$398),"n.a."))</f>
        <v>0</v>
      </c>
    </row>
    <row r="4309" spans="1:20" ht="24" customHeight="1">
      <c r="A4309" s="1" t="str">
        <f>Paths!$A$398</f>
        <v>T098</v>
      </c>
      <c r="B4309" s="1">
        <f>Paths!$B$398</f>
        <v>3</v>
      </c>
      <c r="C4309" s="1">
        <v>1</v>
      </c>
      <c r="D4309" s="1">
        <v>398</v>
      </c>
      <c r="E4309" s="1">
        <f>IF(OR(Paths!$C$398=0,C4309=0),0,MAX(0,MIN(C4309*12,Paths!$E$398)-(C4309-1)*12))</f>
        <v>0</v>
      </c>
      <c r="F4309" s="1">
        <f>IF(OR(Paths!$C$398=0,C4309=0),0,12-E4309)</f>
        <v>0</v>
      </c>
      <c r="G4309" s="16">
        <f>IF(NOT(Paths!$C$398=1),0,IF(Paths!$P$398="Complete",E4309/12*(Paths!$J$398*(1+'Operating costs'!$B$51)^MAX(0,C4309-1)+Paths!$K$398*(1+'Operating costs'!$B$53)^MAX(0,C4309-1)),"n.a."))</f>
        <v>0</v>
      </c>
      <c r="H4309" s="16">
        <f>IF(NOT(Paths!$C$398=1),0,IF(Paths!$P$398="Complete",F4309/12*(Paths!$L$398*(1+IF(Paths!$D$398="EV",'Operating costs'!$B$52,'Operating costs'!$B$51))^MAX(0,C4309-1)+Paths!$M$398*(1+'Operating costs'!$B$53)^MAX(0,C4309-1)),"n.a."))</f>
        <v>0</v>
      </c>
      <c r="I4309" s="16">
        <f>IF(NOT(Paths!$C$398=1),0,IF(Paths!$P$398="Complete",IF(IF(Paths!$E$398=0,C4309=0,AND(C4309&gt;0,Paths!$E$398&gt;(C4309-1)*12,Paths!$E$398&lt;=C4309*12)),Paths!$G$398,0),"n.a."))</f>
        <v>0</v>
      </c>
      <c r="J4309" s="16">
        <f>IF(NOT(Paths!$C$398=1),0,IF(Paths!$P$398="Complete",IF(IF(Paths!$E$398=0,C4309=0,AND(C4309&gt;0,Paths!$E$398&gt;(C4309-1)*12,Paths!$E$398&lt;=C4309*12)),Paths!$H$398,0),"n.a."))</f>
        <v>0</v>
      </c>
      <c r="K4309" s="16">
        <f>IF(NOT(Paths!$C$398=1),0,IF(Paths!$P$398="Complete",IF(IF(Paths!$O$398=0,C4309=0,AND(C4309&gt;0,Paths!$O$398&gt;(C4309-1)*12,Paths!$O$398&lt;=C4309*12)),Paths!$N$398,0),"n.a."))</f>
        <v>0</v>
      </c>
      <c r="L4309" s="16">
        <f>IF(NOT(Paths!$C$398=1),0,IF(Paths!$P$398="Complete",IF(C4309=10,Paths!$I$398,0),"n.a."))</f>
        <v>0</v>
      </c>
      <c r="M4309" s="16">
        <f>IF(NOT(Paths!$C$398=1),0,IF(Paths!$P$398="Complete",IF(AND(Paths!$D$398="EV",Paths!$E$398&lt;120,Paths!$E$398+'Operating costs'!$B$65&gt;Paths!$E$398,Paths!$E$398+'Operating costs'!$B$65&lt;=120,IF(Paths!$E$398+'Operating costs'!$B$65=0,C4309=0,AND(C4309&gt;0,Paths!$E$398+'Operating costs'!$B$65&gt;(C4309-1)*12,Paths!$E$398+'Operating costs'!$B$65&lt;=C4309*12))),'Operating costs'!$B$64,0)+IF(AND('Operating costs'!$B$67&gt;0,'Operating costs'!$B$67&lt;=120,OR(Paths!$D$398="ICE",'Operating costs'!$B$67&lt;=Paths!$E$398),IF('Operating costs'!$B$67=0,C4309=0,AND(C4309&gt;0,'Operating costs'!$B$67&gt;(C4309-1)*12,'Operating costs'!$B$67&lt;=C4309*12))),'Operating costs'!$B$66,0),"n.a."))</f>
        <v>0</v>
      </c>
      <c r="N4309" s="16">
        <f>IF(NOT(Paths!$C$398=1),0,IF(Paths!$P$398="Complete",SUM(G4309:I4309)-J4309-K4309-L4309+M4309+IF(C4309=0,Paths!$F$398,0)+IF(IF(Paths!$E$398=0,C4309=0,AND(C4309&gt;0,Paths!$E$398&gt;(C4309-1)*12,Paths!$E$398&lt;=C4309*12)),VLOOKUP(A4309,'Fleet register'!$A$7:$S$106,16,FALSE),0),"n.a."))</f>
        <v>0</v>
      </c>
      <c r="O4309" s="16">
        <f>IF(NOT(Paths!$C$398=1),0,IF(Paths!$P$398="Complete",N4309-IF(C4309=0,Paths!$F$398,0),"n.a."))</f>
        <v>0</v>
      </c>
      <c r="P4309" s="16">
        <f>IF(NOT(Paths!$C$398=1),0,IF(Paths!$P$398="Complete",O4309+L4309,"n.a."))</f>
        <v>0</v>
      </c>
      <c r="Q4309" s="16">
        <f>IF(NOT(Paths!$C$398=1),0,IF(Paths!$P$398="Complete",N4309*(1+'Operating costs'!$B$54)^-C4309,"n.a."))</f>
        <v>0</v>
      </c>
      <c r="R4309" s="16">
        <f>IF(NOT(Paths!$C$398=1),0,IF(Paths!$P$398="Complete",IF(AND(C4309=0,Paths!$E$398=0),I4309-J4309-K4309+VLOOKUP(A4309,'Fleet register'!$A$7:$S$106,15,FALSE)+VLOOKUP(A4309,'Fleet register'!$A$7:$S$106,16,FALSE),0),"n.a."))</f>
        <v>0</v>
      </c>
      <c r="S4309" s="1">
        <f>IF(NOT(Paths!$C$398=1),0,IF(Paths!$P$398="Complete",IF(C4309=0,0,Paths!$S$398*Paths!$R$398),"n.a."))</f>
        <v>0</v>
      </c>
      <c r="T4309" s="1">
        <f>IF(NOT(Paths!$C$398=1),0,IF(Paths!$P$398="Complete",IF(C4309=0,0,VLOOKUP(A4309,'Fleet register'!$A$7:$S$106,9,FALSE)*Paths!$R$398),"n.a."))</f>
        <v>0</v>
      </c>
    </row>
    <row r="4310" spans="1:20" ht="24" customHeight="1">
      <c r="A4310" s="1" t="str">
        <f>Paths!$A$398</f>
        <v>T098</v>
      </c>
      <c r="B4310" s="1">
        <f>Paths!$B$398</f>
        <v>3</v>
      </c>
      <c r="C4310" s="1">
        <v>2</v>
      </c>
      <c r="D4310" s="1">
        <v>398</v>
      </c>
      <c r="E4310" s="1">
        <f>IF(OR(Paths!$C$398=0,C4310=0),0,MAX(0,MIN(C4310*12,Paths!$E$398)-(C4310-1)*12))</f>
        <v>0</v>
      </c>
      <c r="F4310" s="1">
        <f>IF(OR(Paths!$C$398=0,C4310=0),0,12-E4310)</f>
        <v>0</v>
      </c>
      <c r="G4310" s="16">
        <f>IF(NOT(Paths!$C$398=1),0,IF(Paths!$P$398="Complete",E4310/12*(Paths!$J$398*(1+'Operating costs'!$B$51)^MAX(0,C4310-1)+Paths!$K$398*(1+'Operating costs'!$B$53)^MAX(0,C4310-1)),"n.a."))</f>
        <v>0</v>
      </c>
      <c r="H4310" s="16">
        <f>IF(NOT(Paths!$C$398=1),0,IF(Paths!$P$398="Complete",F4310/12*(Paths!$L$398*(1+IF(Paths!$D$398="EV",'Operating costs'!$B$52,'Operating costs'!$B$51))^MAX(0,C4310-1)+Paths!$M$398*(1+'Operating costs'!$B$53)^MAX(0,C4310-1)),"n.a."))</f>
        <v>0</v>
      </c>
      <c r="I4310" s="16">
        <f>IF(NOT(Paths!$C$398=1),0,IF(Paths!$P$398="Complete",IF(IF(Paths!$E$398=0,C4310=0,AND(C4310&gt;0,Paths!$E$398&gt;(C4310-1)*12,Paths!$E$398&lt;=C4310*12)),Paths!$G$398,0),"n.a."))</f>
        <v>0</v>
      </c>
      <c r="J4310" s="16">
        <f>IF(NOT(Paths!$C$398=1),0,IF(Paths!$P$398="Complete",IF(IF(Paths!$E$398=0,C4310=0,AND(C4310&gt;0,Paths!$E$398&gt;(C4310-1)*12,Paths!$E$398&lt;=C4310*12)),Paths!$H$398,0),"n.a."))</f>
        <v>0</v>
      </c>
      <c r="K4310" s="16">
        <f>IF(NOT(Paths!$C$398=1),0,IF(Paths!$P$398="Complete",IF(IF(Paths!$O$398=0,C4310=0,AND(C4310&gt;0,Paths!$O$398&gt;(C4310-1)*12,Paths!$O$398&lt;=C4310*12)),Paths!$N$398,0),"n.a."))</f>
        <v>0</v>
      </c>
      <c r="L4310" s="16">
        <f>IF(NOT(Paths!$C$398=1),0,IF(Paths!$P$398="Complete",IF(C4310=10,Paths!$I$398,0),"n.a."))</f>
        <v>0</v>
      </c>
      <c r="M4310" s="16">
        <f>IF(NOT(Paths!$C$398=1),0,IF(Paths!$P$398="Complete",IF(AND(Paths!$D$398="EV",Paths!$E$398&lt;120,Paths!$E$398+'Operating costs'!$B$65&gt;Paths!$E$398,Paths!$E$398+'Operating costs'!$B$65&lt;=120,IF(Paths!$E$398+'Operating costs'!$B$65=0,C4310=0,AND(C4310&gt;0,Paths!$E$398+'Operating costs'!$B$65&gt;(C4310-1)*12,Paths!$E$398+'Operating costs'!$B$65&lt;=C4310*12))),'Operating costs'!$B$64,0)+IF(AND('Operating costs'!$B$67&gt;0,'Operating costs'!$B$67&lt;=120,OR(Paths!$D$398="ICE",'Operating costs'!$B$67&lt;=Paths!$E$398),IF('Operating costs'!$B$67=0,C4310=0,AND(C4310&gt;0,'Operating costs'!$B$67&gt;(C4310-1)*12,'Operating costs'!$B$67&lt;=C4310*12))),'Operating costs'!$B$66,0),"n.a."))</f>
        <v>0</v>
      </c>
      <c r="N4310" s="16">
        <f>IF(NOT(Paths!$C$398=1),0,IF(Paths!$P$398="Complete",SUM(G4310:I4310)-J4310-K4310-L4310+M4310+IF(C4310=0,Paths!$F$398,0)+IF(IF(Paths!$E$398=0,C4310=0,AND(C4310&gt;0,Paths!$E$398&gt;(C4310-1)*12,Paths!$E$398&lt;=C4310*12)),VLOOKUP(A4310,'Fleet register'!$A$7:$S$106,16,FALSE),0),"n.a."))</f>
        <v>0</v>
      </c>
      <c r="O4310" s="16">
        <f>IF(NOT(Paths!$C$398=1),0,IF(Paths!$P$398="Complete",N4310-IF(C4310=0,Paths!$F$398,0),"n.a."))</f>
        <v>0</v>
      </c>
      <c r="P4310" s="16">
        <f>IF(NOT(Paths!$C$398=1),0,IF(Paths!$P$398="Complete",O4310+L4310,"n.a."))</f>
        <v>0</v>
      </c>
      <c r="Q4310" s="16">
        <f>IF(NOT(Paths!$C$398=1),0,IF(Paths!$P$398="Complete",N4310*(1+'Operating costs'!$B$54)^-C4310,"n.a."))</f>
        <v>0</v>
      </c>
      <c r="R4310" s="16">
        <f>IF(NOT(Paths!$C$398=1),0,IF(Paths!$P$398="Complete",IF(AND(C4310=0,Paths!$E$398=0),I4310-J4310-K4310+VLOOKUP(A4310,'Fleet register'!$A$7:$S$106,15,FALSE)+VLOOKUP(A4310,'Fleet register'!$A$7:$S$106,16,FALSE),0),"n.a."))</f>
        <v>0</v>
      </c>
      <c r="S4310" s="1">
        <f>IF(NOT(Paths!$C$398=1),0,IF(Paths!$P$398="Complete",IF(C4310=0,0,Paths!$S$398*Paths!$R$398),"n.a."))</f>
        <v>0</v>
      </c>
      <c r="T4310" s="1">
        <f>IF(NOT(Paths!$C$398=1),0,IF(Paths!$P$398="Complete",IF(C4310=0,0,VLOOKUP(A4310,'Fleet register'!$A$7:$S$106,9,FALSE)*Paths!$R$398),"n.a."))</f>
        <v>0</v>
      </c>
    </row>
    <row r="4311" spans="1:20" ht="24" customHeight="1">
      <c r="A4311" s="1" t="str">
        <f>Paths!$A$398</f>
        <v>T098</v>
      </c>
      <c r="B4311" s="1">
        <f>Paths!$B$398</f>
        <v>3</v>
      </c>
      <c r="C4311" s="1">
        <v>3</v>
      </c>
      <c r="D4311" s="1">
        <v>398</v>
      </c>
      <c r="E4311" s="1">
        <f>IF(OR(Paths!$C$398=0,C4311=0),0,MAX(0,MIN(C4311*12,Paths!$E$398)-(C4311-1)*12))</f>
        <v>0</v>
      </c>
      <c r="F4311" s="1">
        <f>IF(OR(Paths!$C$398=0,C4311=0),0,12-E4311)</f>
        <v>0</v>
      </c>
      <c r="G4311" s="16">
        <f>IF(NOT(Paths!$C$398=1),0,IF(Paths!$P$398="Complete",E4311/12*(Paths!$J$398*(1+'Operating costs'!$B$51)^MAX(0,C4311-1)+Paths!$K$398*(1+'Operating costs'!$B$53)^MAX(0,C4311-1)),"n.a."))</f>
        <v>0</v>
      </c>
      <c r="H4311" s="16">
        <f>IF(NOT(Paths!$C$398=1),0,IF(Paths!$P$398="Complete",F4311/12*(Paths!$L$398*(1+IF(Paths!$D$398="EV",'Operating costs'!$B$52,'Operating costs'!$B$51))^MAX(0,C4311-1)+Paths!$M$398*(1+'Operating costs'!$B$53)^MAX(0,C4311-1)),"n.a."))</f>
        <v>0</v>
      </c>
      <c r="I4311" s="16">
        <f>IF(NOT(Paths!$C$398=1),0,IF(Paths!$P$398="Complete",IF(IF(Paths!$E$398=0,C4311=0,AND(C4311&gt;0,Paths!$E$398&gt;(C4311-1)*12,Paths!$E$398&lt;=C4311*12)),Paths!$G$398,0),"n.a."))</f>
        <v>0</v>
      </c>
      <c r="J4311" s="16">
        <f>IF(NOT(Paths!$C$398=1),0,IF(Paths!$P$398="Complete",IF(IF(Paths!$E$398=0,C4311=0,AND(C4311&gt;0,Paths!$E$398&gt;(C4311-1)*12,Paths!$E$398&lt;=C4311*12)),Paths!$H$398,0),"n.a."))</f>
        <v>0</v>
      </c>
      <c r="K4311" s="16">
        <f>IF(NOT(Paths!$C$398=1),0,IF(Paths!$P$398="Complete",IF(IF(Paths!$O$398=0,C4311=0,AND(C4311&gt;0,Paths!$O$398&gt;(C4311-1)*12,Paths!$O$398&lt;=C4311*12)),Paths!$N$398,0),"n.a."))</f>
        <v>0</v>
      </c>
      <c r="L4311" s="16">
        <f>IF(NOT(Paths!$C$398=1),0,IF(Paths!$P$398="Complete",IF(C4311=10,Paths!$I$398,0),"n.a."))</f>
        <v>0</v>
      </c>
      <c r="M4311" s="16">
        <f>IF(NOT(Paths!$C$398=1),0,IF(Paths!$P$398="Complete",IF(AND(Paths!$D$398="EV",Paths!$E$398&lt;120,Paths!$E$398+'Operating costs'!$B$65&gt;Paths!$E$398,Paths!$E$398+'Operating costs'!$B$65&lt;=120,IF(Paths!$E$398+'Operating costs'!$B$65=0,C4311=0,AND(C4311&gt;0,Paths!$E$398+'Operating costs'!$B$65&gt;(C4311-1)*12,Paths!$E$398+'Operating costs'!$B$65&lt;=C4311*12))),'Operating costs'!$B$64,0)+IF(AND('Operating costs'!$B$67&gt;0,'Operating costs'!$B$67&lt;=120,OR(Paths!$D$398="ICE",'Operating costs'!$B$67&lt;=Paths!$E$398),IF('Operating costs'!$B$67=0,C4311=0,AND(C4311&gt;0,'Operating costs'!$B$67&gt;(C4311-1)*12,'Operating costs'!$B$67&lt;=C4311*12))),'Operating costs'!$B$66,0),"n.a."))</f>
        <v>0</v>
      </c>
      <c r="N4311" s="16">
        <f>IF(NOT(Paths!$C$398=1),0,IF(Paths!$P$398="Complete",SUM(G4311:I4311)-J4311-K4311-L4311+M4311+IF(C4311=0,Paths!$F$398,0)+IF(IF(Paths!$E$398=0,C4311=0,AND(C4311&gt;0,Paths!$E$398&gt;(C4311-1)*12,Paths!$E$398&lt;=C4311*12)),VLOOKUP(A4311,'Fleet register'!$A$7:$S$106,16,FALSE),0),"n.a."))</f>
        <v>0</v>
      </c>
      <c r="O4311" s="16">
        <f>IF(NOT(Paths!$C$398=1),0,IF(Paths!$P$398="Complete",N4311-IF(C4311=0,Paths!$F$398,0),"n.a."))</f>
        <v>0</v>
      </c>
      <c r="P4311" s="16">
        <f>IF(NOT(Paths!$C$398=1),0,IF(Paths!$P$398="Complete",O4311+L4311,"n.a."))</f>
        <v>0</v>
      </c>
      <c r="Q4311" s="16">
        <f>IF(NOT(Paths!$C$398=1),0,IF(Paths!$P$398="Complete",N4311*(1+'Operating costs'!$B$54)^-C4311,"n.a."))</f>
        <v>0</v>
      </c>
      <c r="R4311" s="16">
        <f>IF(NOT(Paths!$C$398=1),0,IF(Paths!$P$398="Complete",IF(AND(C4311=0,Paths!$E$398=0),I4311-J4311-K4311+VLOOKUP(A4311,'Fleet register'!$A$7:$S$106,15,FALSE)+VLOOKUP(A4311,'Fleet register'!$A$7:$S$106,16,FALSE),0),"n.a."))</f>
        <v>0</v>
      </c>
      <c r="S4311" s="1">
        <f>IF(NOT(Paths!$C$398=1),0,IF(Paths!$P$398="Complete",IF(C4311=0,0,Paths!$S$398*Paths!$R$398),"n.a."))</f>
        <v>0</v>
      </c>
      <c r="T4311" s="1">
        <f>IF(NOT(Paths!$C$398=1),0,IF(Paths!$P$398="Complete",IF(C4311=0,0,VLOOKUP(A4311,'Fleet register'!$A$7:$S$106,9,FALSE)*Paths!$R$398),"n.a."))</f>
        <v>0</v>
      </c>
    </row>
    <row r="4312" spans="1:20" ht="24" customHeight="1">
      <c r="A4312" s="1" t="str">
        <f>Paths!$A$398</f>
        <v>T098</v>
      </c>
      <c r="B4312" s="1">
        <f>Paths!$B$398</f>
        <v>3</v>
      </c>
      <c r="C4312" s="1">
        <v>4</v>
      </c>
      <c r="D4312" s="1">
        <v>398</v>
      </c>
      <c r="E4312" s="1">
        <f>IF(OR(Paths!$C$398=0,C4312=0),0,MAX(0,MIN(C4312*12,Paths!$E$398)-(C4312-1)*12))</f>
        <v>0</v>
      </c>
      <c r="F4312" s="1">
        <f>IF(OR(Paths!$C$398=0,C4312=0),0,12-E4312)</f>
        <v>0</v>
      </c>
      <c r="G4312" s="16">
        <f>IF(NOT(Paths!$C$398=1),0,IF(Paths!$P$398="Complete",E4312/12*(Paths!$J$398*(1+'Operating costs'!$B$51)^MAX(0,C4312-1)+Paths!$K$398*(1+'Operating costs'!$B$53)^MAX(0,C4312-1)),"n.a."))</f>
        <v>0</v>
      </c>
      <c r="H4312" s="16">
        <f>IF(NOT(Paths!$C$398=1),0,IF(Paths!$P$398="Complete",F4312/12*(Paths!$L$398*(1+IF(Paths!$D$398="EV",'Operating costs'!$B$52,'Operating costs'!$B$51))^MAX(0,C4312-1)+Paths!$M$398*(1+'Operating costs'!$B$53)^MAX(0,C4312-1)),"n.a."))</f>
        <v>0</v>
      </c>
      <c r="I4312" s="16">
        <f>IF(NOT(Paths!$C$398=1),0,IF(Paths!$P$398="Complete",IF(IF(Paths!$E$398=0,C4312=0,AND(C4312&gt;0,Paths!$E$398&gt;(C4312-1)*12,Paths!$E$398&lt;=C4312*12)),Paths!$G$398,0),"n.a."))</f>
        <v>0</v>
      </c>
      <c r="J4312" s="16">
        <f>IF(NOT(Paths!$C$398=1),0,IF(Paths!$P$398="Complete",IF(IF(Paths!$E$398=0,C4312=0,AND(C4312&gt;0,Paths!$E$398&gt;(C4312-1)*12,Paths!$E$398&lt;=C4312*12)),Paths!$H$398,0),"n.a."))</f>
        <v>0</v>
      </c>
      <c r="K4312" s="16">
        <f>IF(NOT(Paths!$C$398=1),0,IF(Paths!$P$398="Complete",IF(IF(Paths!$O$398=0,C4312=0,AND(C4312&gt;0,Paths!$O$398&gt;(C4312-1)*12,Paths!$O$398&lt;=C4312*12)),Paths!$N$398,0),"n.a."))</f>
        <v>0</v>
      </c>
      <c r="L4312" s="16">
        <f>IF(NOT(Paths!$C$398=1),0,IF(Paths!$P$398="Complete",IF(C4312=10,Paths!$I$398,0),"n.a."))</f>
        <v>0</v>
      </c>
      <c r="M4312" s="16">
        <f>IF(NOT(Paths!$C$398=1),0,IF(Paths!$P$398="Complete",IF(AND(Paths!$D$398="EV",Paths!$E$398&lt;120,Paths!$E$398+'Operating costs'!$B$65&gt;Paths!$E$398,Paths!$E$398+'Operating costs'!$B$65&lt;=120,IF(Paths!$E$398+'Operating costs'!$B$65=0,C4312=0,AND(C4312&gt;0,Paths!$E$398+'Operating costs'!$B$65&gt;(C4312-1)*12,Paths!$E$398+'Operating costs'!$B$65&lt;=C4312*12))),'Operating costs'!$B$64,0)+IF(AND('Operating costs'!$B$67&gt;0,'Operating costs'!$B$67&lt;=120,OR(Paths!$D$398="ICE",'Operating costs'!$B$67&lt;=Paths!$E$398),IF('Operating costs'!$B$67=0,C4312=0,AND(C4312&gt;0,'Operating costs'!$B$67&gt;(C4312-1)*12,'Operating costs'!$B$67&lt;=C4312*12))),'Operating costs'!$B$66,0),"n.a."))</f>
        <v>0</v>
      </c>
      <c r="N4312" s="16">
        <f>IF(NOT(Paths!$C$398=1),0,IF(Paths!$P$398="Complete",SUM(G4312:I4312)-J4312-K4312-L4312+M4312+IF(C4312=0,Paths!$F$398,0)+IF(IF(Paths!$E$398=0,C4312=0,AND(C4312&gt;0,Paths!$E$398&gt;(C4312-1)*12,Paths!$E$398&lt;=C4312*12)),VLOOKUP(A4312,'Fleet register'!$A$7:$S$106,16,FALSE),0),"n.a."))</f>
        <v>0</v>
      </c>
      <c r="O4312" s="16">
        <f>IF(NOT(Paths!$C$398=1),0,IF(Paths!$P$398="Complete",N4312-IF(C4312=0,Paths!$F$398,0),"n.a."))</f>
        <v>0</v>
      </c>
      <c r="P4312" s="16">
        <f>IF(NOT(Paths!$C$398=1),0,IF(Paths!$P$398="Complete",O4312+L4312,"n.a."))</f>
        <v>0</v>
      </c>
      <c r="Q4312" s="16">
        <f>IF(NOT(Paths!$C$398=1),0,IF(Paths!$P$398="Complete",N4312*(1+'Operating costs'!$B$54)^-C4312,"n.a."))</f>
        <v>0</v>
      </c>
      <c r="R4312" s="16">
        <f>IF(NOT(Paths!$C$398=1),0,IF(Paths!$P$398="Complete",IF(AND(C4312=0,Paths!$E$398=0),I4312-J4312-K4312+VLOOKUP(A4312,'Fleet register'!$A$7:$S$106,15,FALSE)+VLOOKUP(A4312,'Fleet register'!$A$7:$S$106,16,FALSE),0),"n.a."))</f>
        <v>0</v>
      </c>
      <c r="S4312" s="1">
        <f>IF(NOT(Paths!$C$398=1),0,IF(Paths!$P$398="Complete",IF(C4312=0,0,Paths!$S$398*Paths!$R$398),"n.a."))</f>
        <v>0</v>
      </c>
      <c r="T4312" s="1">
        <f>IF(NOT(Paths!$C$398=1),0,IF(Paths!$P$398="Complete",IF(C4312=0,0,VLOOKUP(A4312,'Fleet register'!$A$7:$S$106,9,FALSE)*Paths!$R$398),"n.a."))</f>
        <v>0</v>
      </c>
    </row>
    <row r="4313" spans="1:20" ht="24" customHeight="1">
      <c r="A4313" s="1" t="str">
        <f>Paths!$A$398</f>
        <v>T098</v>
      </c>
      <c r="B4313" s="1">
        <f>Paths!$B$398</f>
        <v>3</v>
      </c>
      <c r="C4313" s="1">
        <v>5</v>
      </c>
      <c r="D4313" s="1">
        <v>398</v>
      </c>
      <c r="E4313" s="1">
        <f>IF(OR(Paths!$C$398=0,C4313=0),0,MAX(0,MIN(C4313*12,Paths!$E$398)-(C4313-1)*12))</f>
        <v>0</v>
      </c>
      <c r="F4313" s="1">
        <f>IF(OR(Paths!$C$398=0,C4313=0),0,12-E4313)</f>
        <v>0</v>
      </c>
      <c r="G4313" s="16">
        <f>IF(NOT(Paths!$C$398=1),0,IF(Paths!$P$398="Complete",E4313/12*(Paths!$J$398*(1+'Operating costs'!$B$51)^MAX(0,C4313-1)+Paths!$K$398*(1+'Operating costs'!$B$53)^MAX(0,C4313-1)),"n.a."))</f>
        <v>0</v>
      </c>
      <c r="H4313" s="16">
        <f>IF(NOT(Paths!$C$398=1),0,IF(Paths!$P$398="Complete",F4313/12*(Paths!$L$398*(1+IF(Paths!$D$398="EV",'Operating costs'!$B$52,'Operating costs'!$B$51))^MAX(0,C4313-1)+Paths!$M$398*(1+'Operating costs'!$B$53)^MAX(0,C4313-1)),"n.a."))</f>
        <v>0</v>
      </c>
      <c r="I4313" s="16">
        <f>IF(NOT(Paths!$C$398=1),0,IF(Paths!$P$398="Complete",IF(IF(Paths!$E$398=0,C4313=0,AND(C4313&gt;0,Paths!$E$398&gt;(C4313-1)*12,Paths!$E$398&lt;=C4313*12)),Paths!$G$398,0),"n.a."))</f>
        <v>0</v>
      </c>
      <c r="J4313" s="16">
        <f>IF(NOT(Paths!$C$398=1),0,IF(Paths!$P$398="Complete",IF(IF(Paths!$E$398=0,C4313=0,AND(C4313&gt;0,Paths!$E$398&gt;(C4313-1)*12,Paths!$E$398&lt;=C4313*12)),Paths!$H$398,0),"n.a."))</f>
        <v>0</v>
      </c>
      <c r="K4313" s="16">
        <f>IF(NOT(Paths!$C$398=1),0,IF(Paths!$P$398="Complete",IF(IF(Paths!$O$398=0,C4313=0,AND(C4313&gt;0,Paths!$O$398&gt;(C4313-1)*12,Paths!$O$398&lt;=C4313*12)),Paths!$N$398,0),"n.a."))</f>
        <v>0</v>
      </c>
      <c r="L4313" s="16">
        <f>IF(NOT(Paths!$C$398=1),0,IF(Paths!$P$398="Complete",IF(C4313=10,Paths!$I$398,0),"n.a."))</f>
        <v>0</v>
      </c>
      <c r="M4313" s="16">
        <f>IF(NOT(Paths!$C$398=1),0,IF(Paths!$P$398="Complete",IF(AND(Paths!$D$398="EV",Paths!$E$398&lt;120,Paths!$E$398+'Operating costs'!$B$65&gt;Paths!$E$398,Paths!$E$398+'Operating costs'!$B$65&lt;=120,IF(Paths!$E$398+'Operating costs'!$B$65=0,C4313=0,AND(C4313&gt;0,Paths!$E$398+'Operating costs'!$B$65&gt;(C4313-1)*12,Paths!$E$398+'Operating costs'!$B$65&lt;=C4313*12))),'Operating costs'!$B$64,0)+IF(AND('Operating costs'!$B$67&gt;0,'Operating costs'!$B$67&lt;=120,OR(Paths!$D$398="ICE",'Operating costs'!$B$67&lt;=Paths!$E$398),IF('Operating costs'!$B$67=0,C4313=0,AND(C4313&gt;0,'Operating costs'!$B$67&gt;(C4313-1)*12,'Operating costs'!$B$67&lt;=C4313*12))),'Operating costs'!$B$66,0),"n.a."))</f>
        <v>0</v>
      </c>
      <c r="N4313" s="16">
        <f>IF(NOT(Paths!$C$398=1),0,IF(Paths!$P$398="Complete",SUM(G4313:I4313)-J4313-K4313-L4313+M4313+IF(C4313=0,Paths!$F$398,0)+IF(IF(Paths!$E$398=0,C4313=0,AND(C4313&gt;0,Paths!$E$398&gt;(C4313-1)*12,Paths!$E$398&lt;=C4313*12)),VLOOKUP(A4313,'Fleet register'!$A$7:$S$106,16,FALSE),0),"n.a."))</f>
        <v>0</v>
      </c>
      <c r="O4313" s="16">
        <f>IF(NOT(Paths!$C$398=1),0,IF(Paths!$P$398="Complete",N4313-IF(C4313=0,Paths!$F$398,0),"n.a."))</f>
        <v>0</v>
      </c>
      <c r="P4313" s="16">
        <f>IF(NOT(Paths!$C$398=1),0,IF(Paths!$P$398="Complete",O4313+L4313,"n.a."))</f>
        <v>0</v>
      </c>
      <c r="Q4313" s="16">
        <f>IF(NOT(Paths!$C$398=1),0,IF(Paths!$P$398="Complete",N4313*(1+'Operating costs'!$B$54)^-C4313,"n.a."))</f>
        <v>0</v>
      </c>
      <c r="R4313" s="16">
        <f>IF(NOT(Paths!$C$398=1),0,IF(Paths!$P$398="Complete",IF(AND(C4313=0,Paths!$E$398=0),I4313-J4313-K4313+VLOOKUP(A4313,'Fleet register'!$A$7:$S$106,15,FALSE)+VLOOKUP(A4313,'Fleet register'!$A$7:$S$106,16,FALSE),0),"n.a."))</f>
        <v>0</v>
      </c>
      <c r="S4313" s="1">
        <f>IF(NOT(Paths!$C$398=1),0,IF(Paths!$P$398="Complete",IF(C4313=0,0,Paths!$S$398*Paths!$R$398),"n.a."))</f>
        <v>0</v>
      </c>
      <c r="T4313" s="1">
        <f>IF(NOT(Paths!$C$398=1),0,IF(Paths!$P$398="Complete",IF(C4313=0,0,VLOOKUP(A4313,'Fleet register'!$A$7:$S$106,9,FALSE)*Paths!$R$398),"n.a."))</f>
        <v>0</v>
      </c>
    </row>
    <row r="4314" spans="1:20" ht="24" customHeight="1">
      <c r="A4314" s="1" t="str">
        <f>Paths!$A$398</f>
        <v>T098</v>
      </c>
      <c r="B4314" s="1">
        <f>Paths!$B$398</f>
        <v>3</v>
      </c>
      <c r="C4314" s="1">
        <v>6</v>
      </c>
      <c r="D4314" s="1">
        <v>398</v>
      </c>
      <c r="E4314" s="1">
        <f>IF(OR(Paths!$C$398=0,C4314=0),0,MAX(0,MIN(C4314*12,Paths!$E$398)-(C4314-1)*12))</f>
        <v>0</v>
      </c>
      <c r="F4314" s="1">
        <f>IF(OR(Paths!$C$398=0,C4314=0),0,12-E4314)</f>
        <v>0</v>
      </c>
      <c r="G4314" s="16">
        <f>IF(NOT(Paths!$C$398=1),0,IF(Paths!$P$398="Complete",E4314/12*(Paths!$J$398*(1+'Operating costs'!$B$51)^MAX(0,C4314-1)+Paths!$K$398*(1+'Operating costs'!$B$53)^MAX(0,C4314-1)),"n.a."))</f>
        <v>0</v>
      </c>
      <c r="H4314" s="16">
        <f>IF(NOT(Paths!$C$398=1),0,IF(Paths!$P$398="Complete",F4314/12*(Paths!$L$398*(1+IF(Paths!$D$398="EV",'Operating costs'!$B$52,'Operating costs'!$B$51))^MAX(0,C4314-1)+Paths!$M$398*(1+'Operating costs'!$B$53)^MAX(0,C4314-1)),"n.a."))</f>
        <v>0</v>
      </c>
      <c r="I4314" s="16">
        <f>IF(NOT(Paths!$C$398=1),0,IF(Paths!$P$398="Complete",IF(IF(Paths!$E$398=0,C4314=0,AND(C4314&gt;0,Paths!$E$398&gt;(C4314-1)*12,Paths!$E$398&lt;=C4314*12)),Paths!$G$398,0),"n.a."))</f>
        <v>0</v>
      </c>
      <c r="J4314" s="16">
        <f>IF(NOT(Paths!$C$398=1),0,IF(Paths!$P$398="Complete",IF(IF(Paths!$E$398=0,C4314=0,AND(C4314&gt;0,Paths!$E$398&gt;(C4314-1)*12,Paths!$E$398&lt;=C4314*12)),Paths!$H$398,0),"n.a."))</f>
        <v>0</v>
      </c>
      <c r="K4314" s="16">
        <f>IF(NOT(Paths!$C$398=1),0,IF(Paths!$P$398="Complete",IF(IF(Paths!$O$398=0,C4314=0,AND(C4314&gt;0,Paths!$O$398&gt;(C4314-1)*12,Paths!$O$398&lt;=C4314*12)),Paths!$N$398,0),"n.a."))</f>
        <v>0</v>
      </c>
      <c r="L4314" s="16">
        <f>IF(NOT(Paths!$C$398=1),0,IF(Paths!$P$398="Complete",IF(C4314=10,Paths!$I$398,0),"n.a."))</f>
        <v>0</v>
      </c>
      <c r="M4314" s="16">
        <f>IF(NOT(Paths!$C$398=1),0,IF(Paths!$P$398="Complete",IF(AND(Paths!$D$398="EV",Paths!$E$398&lt;120,Paths!$E$398+'Operating costs'!$B$65&gt;Paths!$E$398,Paths!$E$398+'Operating costs'!$B$65&lt;=120,IF(Paths!$E$398+'Operating costs'!$B$65=0,C4314=0,AND(C4314&gt;0,Paths!$E$398+'Operating costs'!$B$65&gt;(C4314-1)*12,Paths!$E$398+'Operating costs'!$B$65&lt;=C4314*12))),'Operating costs'!$B$64,0)+IF(AND('Operating costs'!$B$67&gt;0,'Operating costs'!$B$67&lt;=120,OR(Paths!$D$398="ICE",'Operating costs'!$B$67&lt;=Paths!$E$398),IF('Operating costs'!$B$67=0,C4314=0,AND(C4314&gt;0,'Operating costs'!$B$67&gt;(C4314-1)*12,'Operating costs'!$B$67&lt;=C4314*12))),'Operating costs'!$B$66,0),"n.a."))</f>
        <v>0</v>
      </c>
      <c r="N4314" s="16">
        <f>IF(NOT(Paths!$C$398=1),0,IF(Paths!$P$398="Complete",SUM(G4314:I4314)-J4314-K4314-L4314+M4314+IF(C4314=0,Paths!$F$398,0)+IF(IF(Paths!$E$398=0,C4314=0,AND(C4314&gt;0,Paths!$E$398&gt;(C4314-1)*12,Paths!$E$398&lt;=C4314*12)),VLOOKUP(A4314,'Fleet register'!$A$7:$S$106,16,FALSE),0),"n.a."))</f>
        <v>0</v>
      </c>
      <c r="O4314" s="16">
        <f>IF(NOT(Paths!$C$398=1),0,IF(Paths!$P$398="Complete",N4314-IF(C4314=0,Paths!$F$398,0),"n.a."))</f>
        <v>0</v>
      </c>
      <c r="P4314" s="16">
        <f>IF(NOT(Paths!$C$398=1),0,IF(Paths!$P$398="Complete",O4314+L4314,"n.a."))</f>
        <v>0</v>
      </c>
      <c r="Q4314" s="16">
        <f>IF(NOT(Paths!$C$398=1),0,IF(Paths!$P$398="Complete",N4314*(1+'Operating costs'!$B$54)^-C4314,"n.a."))</f>
        <v>0</v>
      </c>
      <c r="R4314" s="16">
        <f>IF(NOT(Paths!$C$398=1),0,IF(Paths!$P$398="Complete",IF(AND(C4314=0,Paths!$E$398=0),I4314-J4314-K4314+VLOOKUP(A4314,'Fleet register'!$A$7:$S$106,15,FALSE)+VLOOKUP(A4314,'Fleet register'!$A$7:$S$106,16,FALSE),0),"n.a."))</f>
        <v>0</v>
      </c>
      <c r="S4314" s="1">
        <f>IF(NOT(Paths!$C$398=1),0,IF(Paths!$P$398="Complete",IF(C4314=0,0,Paths!$S$398*Paths!$R$398),"n.a."))</f>
        <v>0</v>
      </c>
      <c r="T4314" s="1">
        <f>IF(NOT(Paths!$C$398=1),0,IF(Paths!$P$398="Complete",IF(C4314=0,0,VLOOKUP(A4314,'Fleet register'!$A$7:$S$106,9,FALSE)*Paths!$R$398),"n.a."))</f>
        <v>0</v>
      </c>
    </row>
    <row r="4315" spans="1:20" ht="24" customHeight="1">
      <c r="A4315" s="1" t="str">
        <f>Paths!$A$398</f>
        <v>T098</v>
      </c>
      <c r="B4315" s="1">
        <f>Paths!$B$398</f>
        <v>3</v>
      </c>
      <c r="C4315" s="1">
        <v>7</v>
      </c>
      <c r="D4315" s="1">
        <v>398</v>
      </c>
      <c r="E4315" s="1">
        <f>IF(OR(Paths!$C$398=0,C4315=0),0,MAX(0,MIN(C4315*12,Paths!$E$398)-(C4315-1)*12))</f>
        <v>0</v>
      </c>
      <c r="F4315" s="1">
        <f>IF(OR(Paths!$C$398=0,C4315=0),0,12-E4315)</f>
        <v>0</v>
      </c>
      <c r="G4315" s="16">
        <f>IF(NOT(Paths!$C$398=1),0,IF(Paths!$P$398="Complete",E4315/12*(Paths!$J$398*(1+'Operating costs'!$B$51)^MAX(0,C4315-1)+Paths!$K$398*(1+'Operating costs'!$B$53)^MAX(0,C4315-1)),"n.a."))</f>
        <v>0</v>
      </c>
      <c r="H4315" s="16">
        <f>IF(NOT(Paths!$C$398=1),0,IF(Paths!$P$398="Complete",F4315/12*(Paths!$L$398*(1+IF(Paths!$D$398="EV",'Operating costs'!$B$52,'Operating costs'!$B$51))^MAX(0,C4315-1)+Paths!$M$398*(1+'Operating costs'!$B$53)^MAX(0,C4315-1)),"n.a."))</f>
        <v>0</v>
      </c>
      <c r="I4315" s="16">
        <f>IF(NOT(Paths!$C$398=1),0,IF(Paths!$P$398="Complete",IF(IF(Paths!$E$398=0,C4315=0,AND(C4315&gt;0,Paths!$E$398&gt;(C4315-1)*12,Paths!$E$398&lt;=C4315*12)),Paths!$G$398,0),"n.a."))</f>
        <v>0</v>
      </c>
      <c r="J4315" s="16">
        <f>IF(NOT(Paths!$C$398=1),0,IF(Paths!$P$398="Complete",IF(IF(Paths!$E$398=0,C4315=0,AND(C4315&gt;0,Paths!$E$398&gt;(C4315-1)*12,Paths!$E$398&lt;=C4315*12)),Paths!$H$398,0),"n.a."))</f>
        <v>0</v>
      </c>
      <c r="K4315" s="16">
        <f>IF(NOT(Paths!$C$398=1),0,IF(Paths!$P$398="Complete",IF(IF(Paths!$O$398=0,C4315=0,AND(C4315&gt;0,Paths!$O$398&gt;(C4315-1)*12,Paths!$O$398&lt;=C4315*12)),Paths!$N$398,0),"n.a."))</f>
        <v>0</v>
      </c>
      <c r="L4315" s="16">
        <f>IF(NOT(Paths!$C$398=1),0,IF(Paths!$P$398="Complete",IF(C4315=10,Paths!$I$398,0),"n.a."))</f>
        <v>0</v>
      </c>
      <c r="M4315" s="16">
        <f>IF(NOT(Paths!$C$398=1),0,IF(Paths!$P$398="Complete",IF(AND(Paths!$D$398="EV",Paths!$E$398&lt;120,Paths!$E$398+'Operating costs'!$B$65&gt;Paths!$E$398,Paths!$E$398+'Operating costs'!$B$65&lt;=120,IF(Paths!$E$398+'Operating costs'!$B$65=0,C4315=0,AND(C4315&gt;0,Paths!$E$398+'Operating costs'!$B$65&gt;(C4315-1)*12,Paths!$E$398+'Operating costs'!$B$65&lt;=C4315*12))),'Operating costs'!$B$64,0)+IF(AND('Operating costs'!$B$67&gt;0,'Operating costs'!$B$67&lt;=120,OR(Paths!$D$398="ICE",'Operating costs'!$B$67&lt;=Paths!$E$398),IF('Operating costs'!$B$67=0,C4315=0,AND(C4315&gt;0,'Operating costs'!$B$67&gt;(C4315-1)*12,'Operating costs'!$B$67&lt;=C4315*12))),'Operating costs'!$B$66,0),"n.a."))</f>
        <v>0</v>
      </c>
      <c r="N4315" s="16">
        <f>IF(NOT(Paths!$C$398=1),0,IF(Paths!$P$398="Complete",SUM(G4315:I4315)-J4315-K4315-L4315+M4315+IF(C4315=0,Paths!$F$398,0)+IF(IF(Paths!$E$398=0,C4315=0,AND(C4315&gt;0,Paths!$E$398&gt;(C4315-1)*12,Paths!$E$398&lt;=C4315*12)),VLOOKUP(A4315,'Fleet register'!$A$7:$S$106,16,FALSE),0),"n.a."))</f>
        <v>0</v>
      </c>
      <c r="O4315" s="16">
        <f>IF(NOT(Paths!$C$398=1),0,IF(Paths!$P$398="Complete",N4315-IF(C4315=0,Paths!$F$398,0),"n.a."))</f>
        <v>0</v>
      </c>
      <c r="P4315" s="16">
        <f>IF(NOT(Paths!$C$398=1),0,IF(Paths!$P$398="Complete",O4315+L4315,"n.a."))</f>
        <v>0</v>
      </c>
      <c r="Q4315" s="16">
        <f>IF(NOT(Paths!$C$398=1),0,IF(Paths!$P$398="Complete",N4315*(1+'Operating costs'!$B$54)^-C4315,"n.a."))</f>
        <v>0</v>
      </c>
      <c r="R4315" s="16">
        <f>IF(NOT(Paths!$C$398=1),0,IF(Paths!$P$398="Complete",IF(AND(C4315=0,Paths!$E$398=0),I4315-J4315-K4315+VLOOKUP(A4315,'Fleet register'!$A$7:$S$106,15,FALSE)+VLOOKUP(A4315,'Fleet register'!$A$7:$S$106,16,FALSE),0),"n.a."))</f>
        <v>0</v>
      </c>
      <c r="S4315" s="1">
        <f>IF(NOT(Paths!$C$398=1),0,IF(Paths!$P$398="Complete",IF(C4315=0,0,Paths!$S$398*Paths!$R$398),"n.a."))</f>
        <v>0</v>
      </c>
      <c r="T4315" s="1">
        <f>IF(NOT(Paths!$C$398=1),0,IF(Paths!$P$398="Complete",IF(C4315=0,0,VLOOKUP(A4315,'Fleet register'!$A$7:$S$106,9,FALSE)*Paths!$R$398),"n.a."))</f>
        <v>0</v>
      </c>
    </row>
    <row r="4316" spans="1:20" ht="24" customHeight="1">
      <c r="A4316" s="1" t="str">
        <f>Paths!$A$398</f>
        <v>T098</v>
      </c>
      <c r="B4316" s="1">
        <f>Paths!$B$398</f>
        <v>3</v>
      </c>
      <c r="C4316" s="1">
        <v>8</v>
      </c>
      <c r="D4316" s="1">
        <v>398</v>
      </c>
      <c r="E4316" s="1">
        <f>IF(OR(Paths!$C$398=0,C4316=0),0,MAX(0,MIN(C4316*12,Paths!$E$398)-(C4316-1)*12))</f>
        <v>0</v>
      </c>
      <c r="F4316" s="1">
        <f>IF(OR(Paths!$C$398=0,C4316=0),0,12-E4316)</f>
        <v>0</v>
      </c>
      <c r="G4316" s="16">
        <f>IF(NOT(Paths!$C$398=1),0,IF(Paths!$P$398="Complete",E4316/12*(Paths!$J$398*(1+'Operating costs'!$B$51)^MAX(0,C4316-1)+Paths!$K$398*(1+'Operating costs'!$B$53)^MAX(0,C4316-1)),"n.a."))</f>
        <v>0</v>
      </c>
      <c r="H4316" s="16">
        <f>IF(NOT(Paths!$C$398=1),0,IF(Paths!$P$398="Complete",F4316/12*(Paths!$L$398*(1+IF(Paths!$D$398="EV",'Operating costs'!$B$52,'Operating costs'!$B$51))^MAX(0,C4316-1)+Paths!$M$398*(1+'Operating costs'!$B$53)^MAX(0,C4316-1)),"n.a."))</f>
        <v>0</v>
      </c>
      <c r="I4316" s="16">
        <f>IF(NOT(Paths!$C$398=1),0,IF(Paths!$P$398="Complete",IF(IF(Paths!$E$398=0,C4316=0,AND(C4316&gt;0,Paths!$E$398&gt;(C4316-1)*12,Paths!$E$398&lt;=C4316*12)),Paths!$G$398,0),"n.a."))</f>
        <v>0</v>
      </c>
      <c r="J4316" s="16">
        <f>IF(NOT(Paths!$C$398=1),0,IF(Paths!$P$398="Complete",IF(IF(Paths!$E$398=0,C4316=0,AND(C4316&gt;0,Paths!$E$398&gt;(C4316-1)*12,Paths!$E$398&lt;=C4316*12)),Paths!$H$398,0),"n.a."))</f>
        <v>0</v>
      </c>
      <c r="K4316" s="16">
        <f>IF(NOT(Paths!$C$398=1),0,IF(Paths!$P$398="Complete",IF(IF(Paths!$O$398=0,C4316=0,AND(C4316&gt;0,Paths!$O$398&gt;(C4316-1)*12,Paths!$O$398&lt;=C4316*12)),Paths!$N$398,0),"n.a."))</f>
        <v>0</v>
      </c>
      <c r="L4316" s="16">
        <f>IF(NOT(Paths!$C$398=1),0,IF(Paths!$P$398="Complete",IF(C4316=10,Paths!$I$398,0),"n.a."))</f>
        <v>0</v>
      </c>
      <c r="M4316" s="16">
        <f>IF(NOT(Paths!$C$398=1),0,IF(Paths!$P$398="Complete",IF(AND(Paths!$D$398="EV",Paths!$E$398&lt;120,Paths!$E$398+'Operating costs'!$B$65&gt;Paths!$E$398,Paths!$E$398+'Operating costs'!$B$65&lt;=120,IF(Paths!$E$398+'Operating costs'!$B$65=0,C4316=0,AND(C4316&gt;0,Paths!$E$398+'Operating costs'!$B$65&gt;(C4316-1)*12,Paths!$E$398+'Operating costs'!$B$65&lt;=C4316*12))),'Operating costs'!$B$64,0)+IF(AND('Operating costs'!$B$67&gt;0,'Operating costs'!$B$67&lt;=120,OR(Paths!$D$398="ICE",'Operating costs'!$B$67&lt;=Paths!$E$398),IF('Operating costs'!$B$67=0,C4316=0,AND(C4316&gt;0,'Operating costs'!$B$67&gt;(C4316-1)*12,'Operating costs'!$B$67&lt;=C4316*12))),'Operating costs'!$B$66,0),"n.a."))</f>
        <v>0</v>
      </c>
      <c r="N4316" s="16">
        <f>IF(NOT(Paths!$C$398=1),0,IF(Paths!$P$398="Complete",SUM(G4316:I4316)-J4316-K4316-L4316+M4316+IF(C4316=0,Paths!$F$398,0)+IF(IF(Paths!$E$398=0,C4316=0,AND(C4316&gt;0,Paths!$E$398&gt;(C4316-1)*12,Paths!$E$398&lt;=C4316*12)),VLOOKUP(A4316,'Fleet register'!$A$7:$S$106,16,FALSE),0),"n.a."))</f>
        <v>0</v>
      </c>
      <c r="O4316" s="16">
        <f>IF(NOT(Paths!$C$398=1),0,IF(Paths!$P$398="Complete",N4316-IF(C4316=0,Paths!$F$398,0),"n.a."))</f>
        <v>0</v>
      </c>
      <c r="P4316" s="16">
        <f>IF(NOT(Paths!$C$398=1),0,IF(Paths!$P$398="Complete",O4316+L4316,"n.a."))</f>
        <v>0</v>
      </c>
      <c r="Q4316" s="16">
        <f>IF(NOT(Paths!$C$398=1),0,IF(Paths!$P$398="Complete",N4316*(1+'Operating costs'!$B$54)^-C4316,"n.a."))</f>
        <v>0</v>
      </c>
      <c r="R4316" s="16">
        <f>IF(NOT(Paths!$C$398=1),0,IF(Paths!$P$398="Complete",IF(AND(C4316=0,Paths!$E$398=0),I4316-J4316-K4316+VLOOKUP(A4316,'Fleet register'!$A$7:$S$106,15,FALSE)+VLOOKUP(A4316,'Fleet register'!$A$7:$S$106,16,FALSE),0),"n.a."))</f>
        <v>0</v>
      </c>
      <c r="S4316" s="1">
        <f>IF(NOT(Paths!$C$398=1),0,IF(Paths!$P$398="Complete",IF(C4316=0,0,Paths!$S$398*Paths!$R$398),"n.a."))</f>
        <v>0</v>
      </c>
      <c r="T4316" s="1">
        <f>IF(NOT(Paths!$C$398=1),0,IF(Paths!$P$398="Complete",IF(C4316=0,0,VLOOKUP(A4316,'Fleet register'!$A$7:$S$106,9,FALSE)*Paths!$R$398),"n.a."))</f>
        <v>0</v>
      </c>
    </row>
    <row r="4317" spans="1:20" ht="24" customHeight="1">
      <c r="A4317" s="1" t="str">
        <f>Paths!$A$398</f>
        <v>T098</v>
      </c>
      <c r="B4317" s="1">
        <f>Paths!$B$398</f>
        <v>3</v>
      </c>
      <c r="C4317" s="1">
        <v>9</v>
      </c>
      <c r="D4317" s="1">
        <v>398</v>
      </c>
      <c r="E4317" s="1">
        <f>IF(OR(Paths!$C$398=0,C4317=0),0,MAX(0,MIN(C4317*12,Paths!$E$398)-(C4317-1)*12))</f>
        <v>0</v>
      </c>
      <c r="F4317" s="1">
        <f>IF(OR(Paths!$C$398=0,C4317=0),0,12-E4317)</f>
        <v>0</v>
      </c>
      <c r="G4317" s="16">
        <f>IF(NOT(Paths!$C$398=1),0,IF(Paths!$P$398="Complete",E4317/12*(Paths!$J$398*(1+'Operating costs'!$B$51)^MAX(0,C4317-1)+Paths!$K$398*(1+'Operating costs'!$B$53)^MAX(0,C4317-1)),"n.a."))</f>
        <v>0</v>
      </c>
      <c r="H4317" s="16">
        <f>IF(NOT(Paths!$C$398=1),0,IF(Paths!$P$398="Complete",F4317/12*(Paths!$L$398*(1+IF(Paths!$D$398="EV",'Operating costs'!$B$52,'Operating costs'!$B$51))^MAX(0,C4317-1)+Paths!$M$398*(1+'Operating costs'!$B$53)^MAX(0,C4317-1)),"n.a."))</f>
        <v>0</v>
      </c>
      <c r="I4317" s="16">
        <f>IF(NOT(Paths!$C$398=1),0,IF(Paths!$P$398="Complete",IF(IF(Paths!$E$398=0,C4317=0,AND(C4317&gt;0,Paths!$E$398&gt;(C4317-1)*12,Paths!$E$398&lt;=C4317*12)),Paths!$G$398,0),"n.a."))</f>
        <v>0</v>
      </c>
      <c r="J4317" s="16">
        <f>IF(NOT(Paths!$C$398=1),0,IF(Paths!$P$398="Complete",IF(IF(Paths!$E$398=0,C4317=0,AND(C4317&gt;0,Paths!$E$398&gt;(C4317-1)*12,Paths!$E$398&lt;=C4317*12)),Paths!$H$398,0),"n.a."))</f>
        <v>0</v>
      </c>
      <c r="K4317" s="16">
        <f>IF(NOT(Paths!$C$398=1),0,IF(Paths!$P$398="Complete",IF(IF(Paths!$O$398=0,C4317=0,AND(C4317&gt;0,Paths!$O$398&gt;(C4317-1)*12,Paths!$O$398&lt;=C4317*12)),Paths!$N$398,0),"n.a."))</f>
        <v>0</v>
      </c>
      <c r="L4317" s="16">
        <f>IF(NOT(Paths!$C$398=1),0,IF(Paths!$P$398="Complete",IF(C4317=10,Paths!$I$398,0),"n.a."))</f>
        <v>0</v>
      </c>
      <c r="M4317" s="16">
        <f>IF(NOT(Paths!$C$398=1),0,IF(Paths!$P$398="Complete",IF(AND(Paths!$D$398="EV",Paths!$E$398&lt;120,Paths!$E$398+'Operating costs'!$B$65&gt;Paths!$E$398,Paths!$E$398+'Operating costs'!$B$65&lt;=120,IF(Paths!$E$398+'Operating costs'!$B$65=0,C4317=0,AND(C4317&gt;0,Paths!$E$398+'Operating costs'!$B$65&gt;(C4317-1)*12,Paths!$E$398+'Operating costs'!$B$65&lt;=C4317*12))),'Operating costs'!$B$64,0)+IF(AND('Operating costs'!$B$67&gt;0,'Operating costs'!$B$67&lt;=120,OR(Paths!$D$398="ICE",'Operating costs'!$B$67&lt;=Paths!$E$398),IF('Operating costs'!$B$67=0,C4317=0,AND(C4317&gt;0,'Operating costs'!$B$67&gt;(C4317-1)*12,'Operating costs'!$B$67&lt;=C4317*12))),'Operating costs'!$B$66,0),"n.a."))</f>
        <v>0</v>
      </c>
      <c r="N4317" s="16">
        <f>IF(NOT(Paths!$C$398=1),0,IF(Paths!$P$398="Complete",SUM(G4317:I4317)-J4317-K4317-L4317+M4317+IF(C4317=0,Paths!$F$398,0)+IF(IF(Paths!$E$398=0,C4317=0,AND(C4317&gt;0,Paths!$E$398&gt;(C4317-1)*12,Paths!$E$398&lt;=C4317*12)),VLOOKUP(A4317,'Fleet register'!$A$7:$S$106,16,FALSE),0),"n.a."))</f>
        <v>0</v>
      </c>
      <c r="O4317" s="16">
        <f>IF(NOT(Paths!$C$398=1),0,IF(Paths!$P$398="Complete",N4317-IF(C4317=0,Paths!$F$398,0),"n.a."))</f>
        <v>0</v>
      </c>
      <c r="P4317" s="16">
        <f>IF(NOT(Paths!$C$398=1),0,IF(Paths!$P$398="Complete",O4317+L4317,"n.a."))</f>
        <v>0</v>
      </c>
      <c r="Q4317" s="16">
        <f>IF(NOT(Paths!$C$398=1),0,IF(Paths!$P$398="Complete",N4317*(1+'Operating costs'!$B$54)^-C4317,"n.a."))</f>
        <v>0</v>
      </c>
      <c r="R4317" s="16">
        <f>IF(NOT(Paths!$C$398=1),0,IF(Paths!$P$398="Complete",IF(AND(C4317=0,Paths!$E$398=0),I4317-J4317-K4317+VLOOKUP(A4317,'Fleet register'!$A$7:$S$106,15,FALSE)+VLOOKUP(A4317,'Fleet register'!$A$7:$S$106,16,FALSE),0),"n.a."))</f>
        <v>0</v>
      </c>
      <c r="S4317" s="1">
        <f>IF(NOT(Paths!$C$398=1),0,IF(Paths!$P$398="Complete",IF(C4317=0,0,Paths!$S$398*Paths!$R$398),"n.a."))</f>
        <v>0</v>
      </c>
      <c r="T4317" s="1">
        <f>IF(NOT(Paths!$C$398=1),0,IF(Paths!$P$398="Complete",IF(C4317=0,0,VLOOKUP(A4317,'Fleet register'!$A$7:$S$106,9,FALSE)*Paths!$R$398),"n.a."))</f>
        <v>0</v>
      </c>
    </row>
    <row r="4318" spans="1:20" ht="24" customHeight="1">
      <c r="A4318" s="1" t="str">
        <f>Paths!$A$398</f>
        <v>T098</v>
      </c>
      <c r="B4318" s="1">
        <f>Paths!$B$398</f>
        <v>3</v>
      </c>
      <c r="C4318" s="1">
        <v>10</v>
      </c>
      <c r="D4318" s="1">
        <v>398</v>
      </c>
      <c r="E4318" s="1">
        <f>IF(OR(Paths!$C$398=0,C4318=0),0,MAX(0,MIN(C4318*12,Paths!$E$398)-(C4318-1)*12))</f>
        <v>0</v>
      </c>
      <c r="F4318" s="1">
        <f>IF(OR(Paths!$C$398=0,C4318=0),0,12-E4318)</f>
        <v>0</v>
      </c>
      <c r="G4318" s="16">
        <f>IF(NOT(Paths!$C$398=1),0,IF(Paths!$P$398="Complete",E4318/12*(Paths!$J$398*(1+'Operating costs'!$B$51)^MAX(0,C4318-1)+Paths!$K$398*(1+'Operating costs'!$B$53)^MAX(0,C4318-1)),"n.a."))</f>
        <v>0</v>
      </c>
      <c r="H4318" s="16">
        <f>IF(NOT(Paths!$C$398=1),0,IF(Paths!$P$398="Complete",F4318/12*(Paths!$L$398*(1+IF(Paths!$D$398="EV",'Operating costs'!$B$52,'Operating costs'!$B$51))^MAX(0,C4318-1)+Paths!$M$398*(1+'Operating costs'!$B$53)^MAX(0,C4318-1)),"n.a."))</f>
        <v>0</v>
      </c>
      <c r="I4318" s="16">
        <f>IF(NOT(Paths!$C$398=1),0,IF(Paths!$P$398="Complete",IF(IF(Paths!$E$398=0,C4318=0,AND(C4318&gt;0,Paths!$E$398&gt;(C4318-1)*12,Paths!$E$398&lt;=C4318*12)),Paths!$G$398,0),"n.a."))</f>
        <v>0</v>
      </c>
      <c r="J4318" s="16">
        <f>IF(NOT(Paths!$C$398=1),0,IF(Paths!$P$398="Complete",IF(IF(Paths!$E$398=0,C4318=0,AND(C4318&gt;0,Paths!$E$398&gt;(C4318-1)*12,Paths!$E$398&lt;=C4318*12)),Paths!$H$398,0),"n.a."))</f>
        <v>0</v>
      </c>
      <c r="K4318" s="16">
        <f>IF(NOT(Paths!$C$398=1),0,IF(Paths!$P$398="Complete",IF(IF(Paths!$O$398=0,C4318=0,AND(C4318&gt;0,Paths!$O$398&gt;(C4318-1)*12,Paths!$O$398&lt;=C4318*12)),Paths!$N$398,0),"n.a."))</f>
        <v>0</v>
      </c>
      <c r="L4318" s="16">
        <f>IF(NOT(Paths!$C$398=1),0,IF(Paths!$P$398="Complete",IF(C4318=10,Paths!$I$398,0),"n.a."))</f>
        <v>0</v>
      </c>
      <c r="M4318" s="16">
        <f>IF(NOT(Paths!$C$398=1),0,IF(Paths!$P$398="Complete",IF(AND(Paths!$D$398="EV",Paths!$E$398&lt;120,Paths!$E$398+'Operating costs'!$B$65&gt;Paths!$E$398,Paths!$E$398+'Operating costs'!$B$65&lt;=120,IF(Paths!$E$398+'Operating costs'!$B$65=0,C4318=0,AND(C4318&gt;0,Paths!$E$398+'Operating costs'!$B$65&gt;(C4318-1)*12,Paths!$E$398+'Operating costs'!$B$65&lt;=C4318*12))),'Operating costs'!$B$64,0)+IF(AND('Operating costs'!$B$67&gt;0,'Operating costs'!$B$67&lt;=120,OR(Paths!$D$398="ICE",'Operating costs'!$B$67&lt;=Paths!$E$398),IF('Operating costs'!$B$67=0,C4318=0,AND(C4318&gt;0,'Operating costs'!$B$67&gt;(C4318-1)*12,'Operating costs'!$B$67&lt;=C4318*12))),'Operating costs'!$B$66,0),"n.a."))</f>
        <v>0</v>
      </c>
      <c r="N4318" s="16">
        <f>IF(NOT(Paths!$C$398=1),0,IF(Paths!$P$398="Complete",SUM(G4318:I4318)-J4318-K4318-L4318+M4318+IF(C4318=0,Paths!$F$398,0)+IF(IF(Paths!$E$398=0,C4318=0,AND(C4318&gt;0,Paths!$E$398&gt;(C4318-1)*12,Paths!$E$398&lt;=C4318*12)),VLOOKUP(A4318,'Fleet register'!$A$7:$S$106,16,FALSE),0),"n.a."))</f>
        <v>0</v>
      </c>
      <c r="O4318" s="16">
        <f>IF(NOT(Paths!$C$398=1),0,IF(Paths!$P$398="Complete",N4318-IF(C4318=0,Paths!$F$398,0),"n.a."))</f>
        <v>0</v>
      </c>
      <c r="P4318" s="16">
        <f>IF(NOT(Paths!$C$398=1),0,IF(Paths!$P$398="Complete",O4318+L4318,"n.a."))</f>
        <v>0</v>
      </c>
      <c r="Q4318" s="16">
        <f>IF(NOT(Paths!$C$398=1),0,IF(Paths!$P$398="Complete",N4318*(1+'Operating costs'!$B$54)^-C4318,"n.a."))</f>
        <v>0</v>
      </c>
      <c r="R4318" s="16">
        <f>IF(NOT(Paths!$C$398=1),0,IF(Paths!$P$398="Complete",IF(AND(C4318=0,Paths!$E$398=0),I4318-J4318-K4318+VLOOKUP(A4318,'Fleet register'!$A$7:$S$106,15,FALSE)+VLOOKUP(A4318,'Fleet register'!$A$7:$S$106,16,FALSE),0),"n.a."))</f>
        <v>0</v>
      </c>
      <c r="S4318" s="1">
        <f>IF(NOT(Paths!$C$398=1),0,IF(Paths!$P$398="Complete",IF(C4318=0,0,Paths!$S$398*Paths!$R$398),"n.a."))</f>
        <v>0</v>
      </c>
      <c r="T4318" s="1">
        <f>IF(NOT(Paths!$C$398=1),0,IF(Paths!$P$398="Complete",IF(C4318=0,0,VLOOKUP(A4318,'Fleet register'!$A$7:$S$106,9,FALSE)*Paths!$R$398),"n.a."))</f>
        <v>0</v>
      </c>
    </row>
    <row r="4319" spans="1:20" ht="24" customHeight="1">
      <c r="A4319" s="1" t="str">
        <f>Paths!$A$399</f>
        <v>T099</v>
      </c>
      <c r="B4319" s="1">
        <f>Paths!$B$399</f>
        <v>0</v>
      </c>
      <c r="C4319" s="1">
        <v>0</v>
      </c>
      <c r="D4319" s="1">
        <v>399</v>
      </c>
      <c r="E4319" s="1">
        <f>IF(OR(Paths!$C$399=0,C4319=0),0,MAX(0,MIN(C4319*12,Paths!$E$399)-(C4319-1)*12))</f>
        <v>0</v>
      </c>
      <c r="F4319" s="1">
        <f>IF(OR(Paths!$C$399=0,C4319=0),0,12-E4319)</f>
        <v>0</v>
      </c>
      <c r="G4319" s="16">
        <f>IF(NOT(Paths!$C$399=1),0,IF(Paths!$P$399="Complete",E4319/12*(Paths!$J$399*(1+'Operating costs'!$B$51)^MAX(0,C4319-1)+Paths!$K$399*(1+'Operating costs'!$B$53)^MAX(0,C4319-1)),"n.a."))</f>
        <v>0</v>
      </c>
      <c r="H4319" s="16">
        <f>IF(NOT(Paths!$C$399=1),0,IF(Paths!$P$399="Complete",F4319/12*(Paths!$L$399*(1+IF(Paths!$D$399="EV",'Operating costs'!$B$52,'Operating costs'!$B$51))^MAX(0,C4319-1)+Paths!$M$399*(1+'Operating costs'!$B$53)^MAX(0,C4319-1)),"n.a."))</f>
        <v>0</v>
      </c>
      <c r="I4319" s="16">
        <f>IF(NOT(Paths!$C$399=1),0,IF(Paths!$P$399="Complete",IF(IF(Paths!$E$399=0,C4319=0,AND(C4319&gt;0,Paths!$E$399&gt;(C4319-1)*12,Paths!$E$399&lt;=C4319*12)),Paths!$G$399,0),"n.a."))</f>
        <v>0</v>
      </c>
      <c r="J4319" s="16">
        <f>IF(NOT(Paths!$C$399=1),0,IF(Paths!$P$399="Complete",IF(IF(Paths!$E$399=0,C4319=0,AND(C4319&gt;0,Paths!$E$399&gt;(C4319-1)*12,Paths!$E$399&lt;=C4319*12)),Paths!$H$399,0),"n.a."))</f>
        <v>0</v>
      </c>
      <c r="K4319" s="16">
        <f>IF(NOT(Paths!$C$399=1),0,IF(Paths!$P$399="Complete",IF(IF(Paths!$O$399=0,C4319=0,AND(C4319&gt;0,Paths!$O$399&gt;(C4319-1)*12,Paths!$O$399&lt;=C4319*12)),Paths!$N$399,0),"n.a."))</f>
        <v>0</v>
      </c>
      <c r="L4319" s="16">
        <f>IF(NOT(Paths!$C$399=1),0,IF(Paths!$P$399="Complete",IF(C4319=10,Paths!$I$399,0),"n.a."))</f>
        <v>0</v>
      </c>
      <c r="M4319" s="16">
        <f>IF(NOT(Paths!$C$399=1),0,IF(Paths!$P$399="Complete",IF(AND(Paths!$D$399="EV",Paths!$E$399&lt;120,Paths!$E$399+'Operating costs'!$B$65&gt;Paths!$E$399,Paths!$E$399+'Operating costs'!$B$65&lt;=120,IF(Paths!$E$399+'Operating costs'!$B$65=0,C4319=0,AND(C4319&gt;0,Paths!$E$399+'Operating costs'!$B$65&gt;(C4319-1)*12,Paths!$E$399+'Operating costs'!$B$65&lt;=C4319*12))),'Operating costs'!$B$64,0)+IF(AND('Operating costs'!$B$67&gt;0,'Operating costs'!$B$67&lt;=120,OR(Paths!$D$399="ICE",'Operating costs'!$B$67&lt;=Paths!$E$399),IF('Operating costs'!$B$67=0,C4319=0,AND(C4319&gt;0,'Operating costs'!$B$67&gt;(C4319-1)*12,'Operating costs'!$B$67&lt;=C4319*12))),'Operating costs'!$B$66,0),"n.a."))</f>
        <v>0</v>
      </c>
      <c r="N4319" s="16">
        <f>IF(NOT(Paths!$C$399=1),0,IF(Paths!$P$399="Complete",SUM(G4319:I4319)-J4319-K4319-L4319+M4319+IF(C4319=0,Paths!$F$399,0)+IF(IF(Paths!$E$399=0,C4319=0,AND(C4319&gt;0,Paths!$E$399&gt;(C4319-1)*12,Paths!$E$399&lt;=C4319*12)),VLOOKUP(A4319,'Fleet register'!$A$7:$S$106,16,FALSE),0),"n.a."))</f>
        <v>0</v>
      </c>
      <c r="O4319" s="16">
        <f>IF(NOT(Paths!$C$399=1),0,IF(Paths!$P$399="Complete",N4319-IF(C4319=0,Paths!$F$399,0),"n.a."))</f>
        <v>0</v>
      </c>
      <c r="P4319" s="16">
        <f>IF(NOT(Paths!$C$399=1),0,IF(Paths!$P$399="Complete",O4319+L4319,"n.a."))</f>
        <v>0</v>
      </c>
      <c r="Q4319" s="16">
        <f>IF(NOT(Paths!$C$399=1),0,IF(Paths!$P$399="Complete",N4319*(1+'Operating costs'!$B$54)^-C4319,"n.a."))</f>
        <v>0</v>
      </c>
      <c r="R4319" s="16">
        <f>IF(NOT(Paths!$C$399=1),0,IF(Paths!$P$399="Complete",IF(AND(C4319=0,Paths!$E$399=0),I4319-J4319-K4319+VLOOKUP(A4319,'Fleet register'!$A$7:$S$106,15,FALSE)+VLOOKUP(A4319,'Fleet register'!$A$7:$S$106,16,FALSE),0),"n.a."))</f>
        <v>0</v>
      </c>
      <c r="S4319" s="1">
        <f>IF(NOT(Paths!$C$399=1),0,IF(Paths!$P$399="Complete",IF(C4319=0,0,Paths!$S$399*Paths!$R$399),"n.a."))</f>
        <v>0</v>
      </c>
      <c r="T4319" s="1">
        <f>IF(NOT(Paths!$C$399=1),0,IF(Paths!$P$399="Complete",IF(C4319=0,0,VLOOKUP(A4319,'Fleet register'!$A$7:$S$106,9,FALSE)*Paths!$R$399),"n.a."))</f>
        <v>0</v>
      </c>
    </row>
    <row r="4320" spans="1:20" ht="24" customHeight="1">
      <c r="A4320" s="1" t="str">
        <f>Paths!$A$399</f>
        <v>T099</v>
      </c>
      <c r="B4320" s="1">
        <f>Paths!$B$399</f>
        <v>0</v>
      </c>
      <c r="C4320" s="1">
        <v>1</v>
      </c>
      <c r="D4320" s="1">
        <v>399</v>
      </c>
      <c r="E4320" s="1">
        <f>IF(OR(Paths!$C$399=0,C4320=0),0,MAX(0,MIN(C4320*12,Paths!$E$399)-(C4320-1)*12))</f>
        <v>0</v>
      </c>
      <c r="F4320" s="1">
        <f>IF(OR(Paths!$C$399=0,C4320=0),0,12-E4320)</f>
        <v>0</v>
      </c>
      <c r="G4320" s="16">
        <f>IF(NOT(Paths!$C$399=1),0,IF(Paths!$P$399="Complete",E4320/12*(Paths!$J$399*(1+'Operating costs'!$B$51)^MAX(0,C4320-1)+Paths!$K$399*(1+'Operating costs'!$B$53)^MAX(0,C4320-1)),"n.a."))</f>
        <v>0</v>
      </c>
      <c r="H4320" s="16">
        <f>IF(NOT(Paths!$C$399=1),0,IF(Paths!$P$399="Complete",F4320/12*(Paths!$L$399*(1+IF(Paths!$D$399="EV",'Operating costs'!$B$52,'Operating costs'!$B$51))^MAX(0,C4320-1)+Paths!$M$399*(1+'Operating costs'!$B$53)^MAX(0,C4320-1)),"n.a."))</f>
        <v>0</v>
      </c>
      <c r="I4320" s="16">
        <f>IF(NOT(Paths!$C$399=1),0,IF(Paths!$P$399="Complete",IF(IF(Paths!$E$399=0,C4320=0,AND(C4320&gt;0,Paths!$E$399&gt;(C4320-1)*12,Paths!$E$399&lt;=C4320*12)),Paths!$G$399,0),"n.a."))</f>
        <v>0</v>
      </c>
      <c r="J4320" s="16">
        <f>IF(NOT(Paths!$C$399=1),0,IF(Paths!$P$399="Complete",IF(IF(Paths!$E$399=0,C4320=0,AND(C4320&gt;0,Paths!$E$399&gt;(C4320-1)*12,Paths!$E$399&lt;=C4320*12)),Paths!$H$399,0),"n.a."))</f>
        <v>0</v>
      </c>
      <c r="K4320" s="16">
        <f>IF(NOT(Paths!$C$399=1),0,IF(Paths!$P$399="Complete",IF(IF(Paths!$O$399=0,C4320=0,AND(C4320&gt;0,Paths!$O$399&gt;(C4320-1)*12,Paths!$O$399&lt;=C4320*12)),Paths!$N$399,0),"n.a."))</f>
        <v>0</v>
      </c>
      <c r="L4320" s="16">
        <f>IF(NOT(Paths!$C$399=1),0,IF(Paths!$P$399="Complete",IF(C4320=10,Paths!$I$399,0),"n.a."))</f>
        <v>0</v>
      </c>
      <c r="M4320" s="16">
        <f>IF(NOT(Paths!$C$399=1),0,IF(Paths!$P$399="Complete",IF(AND(Paths!$D$399="EV",Paths!$E$399&lt;120,Paths!$E$399+'Operating costs'!$B$65&gt;Paths!$E$399,Paths!$E$399+'Operating costs'!$B$65&lt;=120,IF(Paths!$E$399+'Operating costs'!$B$65=0,C4320=0,AND(C4320&gt;0,Paths!$E$399+'Operating costs'!$B$65&gt;(C4320-1)*12,Paths!$E$399+'Operating costs'!$B$65&lt;=C4320*12))),'Operating costs'!$B$64,0)+IF(AND('Operating costs'!$B$67&gt;0,'Operating costs'!$B$67&lt;=120,OR(Paths!$D$399="ICE",'Operating costs'!$B$67&lt;=Paths!$E$399),IF('Operating costs'!$B$67=0,C4320=0,AND(C4320&gt;0,'Operating costs'!$B$67&gt;(C4320-1)*12,'Operating costs'!$B$67&lt;=C4320*12))),'Operating costs'!$B$66,0),"n.a."))</f>
        <v>0</v>
      </c>
      <c r="N4320" s="16">
        <f>IF(NOT(Paths!$C$399=1),0,IF(Paths!$P$399="Complete",SUM(G4320:I4320)-J4320-K4320-L4320+M4320+IF(C4320=0,Paths!$F$399,0)+IF(IF(Paths!$E$399=0,C4320=0,AND(C4320&gt;0,Paths!$E$399&gt;(C4320-1)*12,Paths!$E$399&lt;=C4320*12)),VLOOKUP(A4320,'Fleet register'!$A$7:$S$106,16,FALSE),0),"n.a."))</f>
        <v>0</v>
      </c>
      <c r="O4320" s="16">
        <f>IF(NOT(Paths!$C$399=1),0,IF(Paths!$P$399="Complete",N4320-IF(C4320=0,Paths!$F$399,0),"n.a."))</f>
        <v>0</v>
      </c>
      <c r="P4320" s="16">
        <f>IF(NOT(Paths!$C$399=1),0,IF(Paths!$P$399="Complete",O4320+L4320,"n.a."))</f>
        <v>0</v>
      </c>
      <c r="Q4320" s="16">
        <f>IF(NOT(Paths!$C$399=1),0,IF(Paths!$P$399="Complete",N4320*(1+'Operating costs'!$B$54)^-C4320,"n.a."))</f>
        <v>0</v>
      </c>
      <c r="R4320" s="16">
        <f>IF(NOT(Paths!$C$399=1),0,IF(Paths!$P$399="Complete",IF(AND(C4320=0,Paths!$E$399=0),I4320-J4320-K4320+VLOOKUP(A4320,'Fleet register'!$A$7:$S$106,15,FALSE)+VLOOKUP(A4320,'Fleet register'!$A$7:$S$106,16,FALSE),0),"n.a."))</f>
        <v>0</v>
      </c>
      <c r="S4320" s="1">
        <f>IF(NOT(Paths!$C$399=1),0,IF(Paths!$P$399="Complete",IF(C4320=0,0,Paths!$S$399*Paths!$R$399),"n.a."))</f>
        <v>0</v>
      </c>
      <c r="T4320" s="1">
        <f>IF(NOT(Paths!$C$399=1),0,IF(Paths!$P$399="Complete",IF(C4320=0,0,VLOOKUP(A4320,'Fleet register'!$A$7:$S$106,9,FALSE)*Paths!$R$399),"n.a."))</f>
        <v>0</v>
      </c>
    </row>
    <row r="4321" spans="1:20" ht="24" customHeight="1">
      <c r="A4321" s="1" t="str">
        <f>Paths!$A$399</f>
        <v>T099</v>
      </c>
      <c r="B4321" s="1">
        <f>Paths!$B$399</f>
        <v>0</v>
      </c>
      <c r="C4321" s="1">
        <v>2</v>
      </c>
      <c r="D4321" s="1">
        <v>399</v>
      </c>
      <c r="E4321" s="1">
        <f>IF(OR(Paths!$C$399=0,C4321=0),0,MAX(0,MIN(C4321*12,Paths!$E$399)-(C4321-1)*12))</f>
        <v>0</v>
      </c>
      <c r="F4321" s="1">
        <f>IF(OR(Paths!$C$399=0,C4321=0),0,12-E4321)</f>
        <v>0</v>
      </c>
      <c r="G4321" s="16">
        <f>IF(NOT(Paths!$C$399=1),0,IF(Paths!$P$399="Complete",E4321/12*(Paths!$J$399*(1+'Operating costs'!$B$51)^MAX(0,C4321-1)+Paths!$K$399*(1+'Operating costs'!$B$53)^MAX(0,C4321-1)),"n.a."))</f>
        <v>0</v>
      </c>
      <c r="H4321" s="16">
        <f>IF(NOT(Paths!$C$399=1),0,IF(Paths!$P$399="Complete",F4321/12*(Paths!$L$399*(1+IF(Paths!$D$399="EV",'Operating costs'!$B$52,'Operating costs'!$B$51))^MAX(0,C4321-1)+Paths!$M$399*(1+'Operating costs'!$B$53)^MAX(0,C4321-1)),"n.a."))</f>
        <v>0</v>
      </c>
      <c r="I4321" s="16">
        <f>IF(NOT(Paths!$C$399=1),0,IF(Paths!$P$399="Complete",IF(IF(Paths!$E$399=0,C4321=0,AND(C4321&gt;0,Paths!$E$399&gt;(C4321-1)*12,Paths!$E$399&lt;=C4321*12)),Paths!$G$399,0),"n.a."))</f>
        <v>0</v>
      </c>
      <c r="J4321" s="16">
        <f>IF(NOT(Paths!$C$399=1),0,IF(Paths!$P$399="Complete",IF(IF(Paths!$E$399=0,C4321=0,AND(C4321&gt;0,Paths!$E$399&gt;(C4321-1)*12,Paths!$E$399&lt;=C4321*12)),Paths!$H$399,0),"n.a."))</f>
        <v>0</v>
      </c>
      <c r="K4321" s="16">
        <f>IF(NOT(Paths!$C$399=1),0,IF(Paths!$P$399="Complete",IF(IF(Paths!$O$399=0,C4321=0,AND(C4321&gt;0,Paths!$O$399&gt;(C4321-1)*12,Paths!$O$399&lt;=C4321*12)),Paths!$N$399,0),"n.a."))</f>
        <v>0</v>
      </c>
      <c r="L4321" s="16">
        <f>IF(NOT(Paths!$C$399=1),0,IF(Paths!$P$399="Complete",IF(C4321=10,Paths!$I$399,0),"n.a."))</f>
        <v>0</v>
      </c>
      <c r="M4321" s="16">
        <f>IF(NOT(Paths!$C$399=1),0,IF(Paths!$P$399="Complete",IF(AND(Paths!$D$399="EV",Paths!$E$399&lt;120,Paths!$E$399+'Operating costs'!$B$65&gt;Paths!$E$399,Paths!$E$399+'Operating costs'!$B$65&lt;=120,IF(Paths!$E$399+'Operating costs'!$B$65=0,C4321=0,AND(C4321&gt;0,Paths!$E$399+'Operating costs'!$B$65&gt;(C4321-1)*12,Paths!$E$399+'Operating costs'!$B$65&lt;=C4321*12))),'Operating costs'!$B$64,0)+IF(AND('Operating costs'!$B$67&gt;0,'Operating costs'!$B$67&lt;=120,OR(Paths!$D$399="ICE",'Operating costs'!$B$67&lt;=Paths!$E$399),IF('Operating costs'!$B$67=0,C4321=0,AND(C4321&gt;0,'Operating costs'!$B$67&gt;(C4321-1)*12,'Operating costs'!$B$67&lt;=C4321*12))),'Operating costs'!$B$66,0),"n.a."))</f>
        <v>0</v>
      </c>
      <c r="N4321" s="16">
        <f>IF(NOT(Paths!$C$399=1),0,IF(Paths!$P$399="Complete",SUM(G4321:I4321)-J4321-K4321-L4321+M4321+IF(C4321=0,Paths!$F$399,0)+IF(IF(Paths!$E$399=0,C4321=0,AND(C4321&gt;0,Paths!$E$399&gt;(C4321-1)*12,Paths!$E$399&lt;=C4321*12)),VLOOKUP(A4321,'Fleet register'!$A$7:$S$106,16,FALSE),0),"n.a."))</f>
        <v>0</v>
      </c>
      <c r="O4321" s="16">
        <f>IF(NOT(Paths!$C$399=1),0,IF(Paths!$P$399="Complete",N4321-IF(C4321=0,Paths!$F$399,0),"n.a."))</f>
        <v>0</v>
      </c>
      <c r="P4321" s="16">
        <f>IF(NOT(Paths!$C$399=1),0,IF(Paths!$P$399="Complete",O4321+L4321,"n.a."))</f>
        <v>0</v>
      </c>
      <c r="Q4321" s="16">
        <f>IF(NOT(Paths!$C$399=1),0,IF(Paths!$P$399="Complete",N4321*(1+'Operating costs'!$B$54)^-C4321,"n.a."))</f>
        <v>0</v>
      </c>
      <c r="R4321" s="16">
        <f>IF(NOT(Paths!$C$399=1),0,IF(Paths!$P$399="Complete",IF(AND(C4321=0,Paths!$E$399=0),I4321-J4321-K4321+VLOOKUP(A4321,'Fleet register'!$A$7:$S$106,15,FALSE)+VLOOKUP(A4321,'Fleet register'!$A$7:$S$106,16,FALSE),0),"n.a."))</f>
        <v>0</v>
      </c>
      <c r="S4321" s="1">
        <f>IF(NOT(Paths!$C$399=1),0,IF(Paths!$P$399="Complete",IF(C4321=0,0,Paths!$S$399*Paths!$R$399),"n.a."))</f>
        <v>0</v>
      </c>
      <c r="T4321" s="1">
        <f>IF(NOT(Paths!$C$399=1),0,IF(Paths!$P$399="Complete",IF(C4321=0,0,VLOOKUP(A4321,'Fleet register'!$A$7:$S$106,9,FALSE)*Paths!$R$399),"n.a."))</f>
        <v>0</v>
      </c>
    </row>
    <row r="4322" spans="1:20" ht="24" customHeight="1">
      <c r="A4322" s="1" t="str">
        <f>Paths!$A$399</f>
        <v>T099</v>
      </c>
      <c r="B4322" s="1">
        <f>Paths!$B$399</f>
        <v>0</v>
      </c>
      <c r="C4322" s="1">
        <v>3</v>
      </c>
      <c r="D4322" s="1">
        <v>399</v>
      </c>
      <c r="E4322" s="1">
        <f>IF(OR(Paths!$C$399=0,C4322=0),0,MAX(0,MIN(C4322*12,Paths!$E$399)-(C4322-1)*12))</f>
        <v>0</v>
      </c>
      <c r="F4322" s="1">
        <f>IF(OR(Paths!$C$399=0,C4322=0),0,12-E4322)</f>
        <v>0</v>
      </c>
      <c r="G4322" s="16">
        <f>IF(NOT(Paths!$C$399=1),0,IF(Paths!$P$399="Complete",E4322/12*(Paths!$J$399*(1+'Operating costs'!$B$51)^MAX(0,C4322-1)+Paths!$K$399*(1+'Operating costs'!$B$53)^MAX(0,C4322-1)),"n.a."))</f>
        <v>0</v>
      </c>
      <c r="H4322" s="16">
        <f>IF(NOT(Paths!$C$399=1),0,IF(Paths!$P$399="Complete",F4322/12*(Paths!$L$399*(1+IF(Paths!$D$399="EV",'Operating costs'!$B$52,'Operating costs'!$B$51))^MAX(0,C4322-1)+Paths!$M$399*(1+'Operating costs'!$B$53)^MAX(0,C4322-1)),"n.a."))</f>
        <v>0</v>
      </c>
      <c r="I4322" s="16">
        <f>IF(NOT(Paths!$C$399=1),0,IF(Paths!$P$399="Complete",IF(IF(Paths!$E$399=0,C4322=0,AND(C4322&gt;0,Paths!$E$399&gt;(C4322-1)*12,Paths!$E$399&lt;=C4322*12)),Paths!$G$399,0),"n.a."))</f>
        <v>0</v>
      </c>
      <c r="J4322" s="16">
        <f>IF(NOT(Paths!$C$399=1),0,IF(Paths!$P$399="Complete",IF(IF(Paths!$E$399=0,C4322=0,AND(C4322&gt;0,Paths!$E$399&gt;(C4322-1)*12,Paths!$E$399&lt;=C4322*12)),Paths!$H$399,0),"n.a."))</f>
        <v>0</v>
      </c>
      <c r="K4322" s="16">
        <f>IF(NOT(Paths!$C$399=1),0,IF(Paths!$P$399="Complete",IF(IF(Paths!$O$399=0,C4322=0,AND(C4322&gt;0,Paths!$O$399&gt;(C4322-1)*12,Paths!$O$399&lt;=C4322*12)),Paths!$N$399,0),"n.a."))</f>
        <v>0</v>
      </c>
      <c r="L4322" s="16">
        <f>IF(NOT(Paths!$C$399=1),0,IF(Paths!$P$399="Complete",IF(C4322=10,Paths!$I$399,0),"n.a."))</f>
        <v>0</v>
      </c>
      <c r="M4322" s="16">
        <f>IF(NOT(Paths!$C$399=1),0,IF(Paths!$P$399="Complete",IF(AND(Paths!$D$399="EV",Paths!$E$399&lt;120,Paths!$E$399+'Operating costs'!$B$65&gt;Paths!$E$399,Paths!$E$399+'Operating costs'!$B$65&lt;=120,IF(Paths!$E$399+'Operating costs'!$B$65=0,C4322=0,AND(C4322&gt;0,Paths!$E$399+'Operating costs'!$B$65&gt;(C4322-1)*12,Paths!$E$399+'Operating costs'!$B$65&lt;=C4322*12))),'Operating costs'!$B$64,0)+IF(AND('Operating costs'!$B$67&gt;0,'Operating costs'!$B$67&lt;=120,OR(Paths!$D$399="ICE",'Operating costs'!$B$67&lt;=Paths!$E$399),IF('Operating costs'!$B$67=0,C4322=0,AND(C4322&gt;0,'Operating costs'!$B$67&gt;(C4322-1)*12,'Operating costs'!$B$67&lt;=C4322*12))),'Operating costs'!$B$66,0),"n.a."))</f>
        <v>0</v>
      </c>
      <c r="N4322" s="16">
        <f>IF(NOT(Paths!$C$399=1),0,IF(Paths!$P$399="Complete",SUM(G4322:I4322)-J4322-K4322-L4322+M4322+IF(C4322=0,Paths!$F$399,0)+IF(IF(Paths!$E$399=0,C4322=0,AND(C4322&gt;0,Paths!$E$399&gt;(C4322-1)*12,Paths!$E$399&lt;=C4322*12)),VLOOKUP(A4322,'Fleet register'!$A$7:$S$106,16,FALSE),0),"n.a."))</f>
        <v>0</v>
      </c>
      <c r="O4322" s="16">
        <f>IF(NOT(Paths!$C$399=1),0,IF(Paths!$P$399="Complete",N4322-IF(C4322=0,Paths!$F$399,0),"n.a."))</f>
        <v>0</v>
      </c>
      <c r="P4322" s="16">
        <f>IF(NOT(Paths!$C$399=1),0,IF(Paths!$P$399="Complete",O4322+L4322,"n.a."))</f>
        <v>0</v>
      </c>
      <c r="Q4322" s="16">
        <f>IF(NOT(Paths!$C$399=1),0,IF(Paths!$P$399="Complete",N4322*(1+'Operating costs'!$B$54)^-C4322,"n.a."))</f>
        <v>0</v>
      </c>
      <c r="R4322" s="16">
        <f>IF(NOT(Paths!$C$399=1),0,IF(Paths!$P$399="Complete",IF(AND(C4322=0,Paths!$E$399=0),I4322-J4322-K4322+VLOOKUP(A4322,'Fleet register'!$A$7:$S$106,15,FALSE)+VLOOKUP(A4322,'Fleet register'!$A$7:$S$106,16,FALSE),0),"n.a."))</f>
        <v>0</v>
      </c>
      <c r="S4322" s="1">
        <f>IF(NOT(Paths!$C$399=1),0,IF(Paths!$P$399="Complete",IF(C4322=0,0,Paths!$S$399*Paths!$R$399),"n.a."))</f>
        <v>0</v>
      </c>
      <c r="T4322" s="1">
        <f>IF(NOT(Paths!$C$399=1),0,IF(Paths!$P$399="Complete",IF(C4322=0,0,VLOOKUP(A4322,'Fleet register'!$A$7:$S$106,9,FALSE)*Paths!$R$399),"n.a."))</f>
        <v>0</v>
      </c>
    </row>
    <row r="4323" spans="1:20" ht="24" customHeight="1">
      <c r="A4323" s="1" t="str">
        <f>Paths!$A$399</f>
        <v>T099</v>
      </c>
      <c r="B4323" s="1">
        <f>Paths!$B$399</f>
        <v>0</v>
      </c>
      <c r="C4323" s="1">
        <v>4</v>
      </c>
      <c r="D4323" s="1">
        <v>399</v>
      </c>
      <c r="E4323" s="1">
        <f>IF(OR(Paths!$C$399=0,C4323=0),0,MAX(0,MIN(C4323*12,Paths!$E$399)-(C4323-1)*12))</f>
        <v>0</v>
      </c>
      <c r="F4323" s="1">
        <f>IF(OR(Paths!$C$399=0,C4323=0),0,12-E4323)</f>
        <v>0</v>
      </c>
      <c r="G4323" s="16">
        <f>IF(NOT(Paths!$C$399=1),0,IF(Paths!$P$399="Complete",E4323/12*(Paths!$J$399*(1+'Operating costs'!$B$51)^MAX(0,C4323-1)+Paths!$K$399*(1+'Operating costs'!$B$53)^MAX(0,C4323-1)),"n.a."))</f>
        <v>0</v>
      </c>
      <c r="H4323" s="16">
        <f>IF(NOT(Paths!$C$399=1),0,IF(Paths!$P$399="Complete",F4323/12*(Paths!$L$399*(1+IF(Paths!$D$399="EV",'Operating costs'!$B$52,'Operating costs'!$B$51))^MAX(0,C4323-1)+Paths!$M$399*(1+'Operating costs'!$B$53)^MAX(0,C4323-1)),"n.a."))</f>
        <v>0</v>
      </c>
      <c r="I4323" s="16">
        <f>IF(NOT(Paths!$C$399=1),0,IF(Paths!$P$399="Complete",IF(IF(Paths!$E$399=0,C4323=0,AND(C4323&gt;0,Paths!$E$399&gt;(C4323-1)*12,Paths!$E$399&lt;=C4323*12)),Paths!$G$399,0),"n.a."))</f>
        <v>0</v>
      </c>
      <c r="J4323" s="16">
        <f>IF(NOT(Paths!$C$399=1),0,IF(Paths!$P$399="Complete",IF(IF(Paths!$E$399=0,C4323=0,AND(C4323&gt;0,Paths!$E$399&gt;(C4323-1)*12,Paths!$E$399&lt;=C4323*12)),Paths!$H$399,0),"n.a."))</f>
        <v>0</v>
      </c>
      <c r="K4323" s="16">
        <f>IF(NOT(Paths!$C$399=1),0,IF(Paths!$P$399="Complete",IF(IF(Paths!$O$399=0,C4323=0,AND(C4323&gt;0,Paths!$O$399&gt;(C4323-1)*12,Paths!$O$399&lt;=C4323*12)),Paths!$N$399,0),"n.a."))</f>
        <v>0</v>
      </c>
      <c r="L4323" s="16">
        <f>IF(NOT(Paths!$C$399=1),0,IF(Paths!$P$399="Complete",IF(C4323=10,Paths!$I$399,0),"n.a."))</f>
        <v>0</v>
      </c>
      <c r="M4323" s="16">
        <f>IF(NOT(Paths!$C$399=1),0,IF(Paths!$P$399="Complete",IF(AND(Paths!$D$399="EV",Paths!$E$399&lt;120,Paths!$E$399+'Operating costs'!$B$65&gt;Paths!$E$399,Paths!$E$399+'Operating costs'!$B$65&lt;=120,IF(Paths!$E$399+'Operating costs'!$B$65=0,C4323=0,AND(C4323&gt;0,Paths!$E$399+'Operating costs'!$B$65&gt;(C4323-1)*12,Paths!$E$399+'Operating costs'!$B$65&lt;=C4323*12))),'Operating costs'!$B$64,0)+IF(AND('Operating costs'!$B$67&gt;0,'Operating costs'!$B$67&lt;=120,OR(Paths!$D$399="ICE",'Operating costs'!$B$67&lt;=Paths!$E$399),IF('Operating costs'!$B$67=0,C4323=0,AND(C4323&gt;0,'Operating costs'!$B$67&gt;(C4323-1)*12,'Operating costs'!$B$67&lt;=C4323*12))),'Operating costs'!$B$66,0),"n.a."))</f>
        <v>0</v>
      </c>
      <c r="N4323" s="16">
        <f>IF(NOT(Paths!$C$399=1),0,IF(Paths!$P$399="Complete",SUM(G4323:I4323)-J4323-K4323-L4323+M4323+IF(C4323=0,Paths!$F$399,0)+IF(IF(Paths!$E$399=0,C4323=0,AND(C4323&gt;0,Paths!$E$399&gt;(C4323-1)*12,Paths!$E$399&lt;=C4323*12)),VLOOKUP(A4323,'Fleet register'!$A$7:$S$106,16,FALSE),0),"n.a."))</f>
        <v>0</v>
      </c>
      <c r="O4323" s="16">
        <f>IF(NOT(Paths!$C$399=1),0,IF(Paths!$P$399="Complete",N4323-IF(C4323=0,Paths!$F$399,0),"n.a."))</f>
        <v>0</v>
      </c>
      <c r="P4323" s="16">
        <f>IF(NOT(Paths!$C$399=1),0,IF(Paths!$P$399="Complete",O4323+L4323,"n.a."))</f>
        <v>0</v>
      </c>
      <c r="Q4323" s="16">
        <f>IF(NOT(Paths!$C$399=1),0,IF(Paths!$P$399="Complete",N4323*(1+'Operating costs'!$B$54)^-C4323,"n.a."))</f>
        <v>0</v>
      </c>
      <c r="R4323" s="16">
        <f>IF(NOT(Paths!$C$399=1),0,IF(Paths!$P$399="Complete",IF(AND(C4323=0,Paths!$E$399=0),I4323-J4323-K4323+VLOOKUP(A4323,'Fleet register'!$A$7:$S$106,15,FALSE)+VLOOKUP(A4323,'Fleet register'!$A$7:$S$106,16,FALSE),0),"n.a."))</f>
        <v>0</v>
      </c>
      <c r="S4323" s="1">
        <f>IF(NOT(Paths!$C$399=1),0,IF(Paths!$P$399="Complete",IF(C4323=0,0,Paths!$S$399*Paths!$R$399),"n.a."))</f>
        <v>0</v>
      </c>
      <c r="T4323" s="1">
        <f>IF(NOT(Paths!$C$399=1),0,IF(Paths!$P$399="Complete",IF(C4323=0,0,VLOOKUP(A4323,'Fleet register'!$A$7:$S$106,9,FALSE)*Paths!$R$399),"n.a."))</f>
        <v>0</v>
      </c>
    </row>
    <row r="4324" spans="1:20" ht="24" customHeight="1">
      <c r="A4324" s="1" t="str">
        <f>Paths!$A$399</f>
        <v>T099</v>
      </c>
      <c r="B4324" s="1">
        <f>Paths!$B$399</f>
        <v>0</v>
      </c>
      <c r="C4324" s="1">
        <v>5</v>
      </c>
      <c r="D4324" s="1">
        <v>399</v>
      </c>
      <c r="E4324" s="1">
        <f>IF(OR(Paths!$C$399=0,C4324=0),0,MAX(0,MIN(C4324*12,Paths!$E$399)-(C4324-1)*12))</f>
        <v>0</v>
      </c>
      <c r="F4324" s="1">
        <f>IF(OR(Paths!$C$399=0,C4324=0),0,12-E4324)</f>
        <v>0</v>
      </c>
      <c r="G4324" s="16">
        <f>IF(NOT(Paths!$C$399=1),0,IF(Paths!$P$399="Complete",E4324/12*(Paths!$J$399*(1+'Operating costs'!$B$51)^MAX(0,C4324-1)+Paths!$K$399*(1+'Operating costs'!$B$53)^MAX(0,C4324-1)),"n.a."))</f>
        <v>0</v>
      </c>
      <c r="H4324" s="16">
        <f>IF(NOT(Paths!$C$399=1),0,IF(Paths!$P$399="Complete",F4324/12*(Paths!$L$399*(1+IF(Paths!$D$399="EV",'Operating costs'!$B$52,'Operating costs'!$B$51))^MAX(0,C4324-1)+Paths!$M$399*(1+'Operating costs'!$B$53)^MAX(0,C4324-1)),"n.a."))</f>
        <v>0</v>
      </c>
      <c r="I4324" s="16">
        <f>IF(NOT(Paths!$C$399=1),0,IF(Paths!$P$399="Complete",IF(IF(Paths!$E$399=0,C4324=0,AND(C4324&gt;0,Paths!$E$399&gt;(C4324-1)*12,Paths!$E$399&lt;=C4324*12)),Paths!$G$399,0),"n.a."))</f>
        <v>0</v>
      </c>
      <c r="J4324" s="16">
        <f>IF(NOT(Paths!$C$399=1),0,IF(Paths!$P$399="Complete",IF(IF(Paths!$E$399=0,C4324=0,AND(C4324&gt;0,Paths!$E$399&gt;(C4324-1)*12,Paths!$E$399&lt;=C4324*12)),Paths!$H$399,0),"n.a."))</f>
        <v>0</v>
      </c>
      <c r="K4324" s="16">
        <f>IF(NOT(Paths!$C$399=1),0,IF(Paths!$P$399="Complete",IF(IF(Paths!$O$399=0,C4324=0,AND(C4324&gt;0,Paths!$O$399&gt;(C4324-1)*12,Paths!$O$399&lt;=C4324*12)),Paths!$N$399,0),"n.a."))</f>
        <v>0</v>
      </c>
      <c r="L4324" s="16">
        <f>IF(NOT(Paths!$C$399=1),0,IF(Paths!$P$399="Complete",IF(C4324=10,Paths!$I$399,0),"n.a."))</f>
        <v>0</v>
      </c>
      <c r="M4324" s="16">
        <f>IF(NOT(Paths!$C$399=1),0,IF(Paths!$P$399="Complete",IF(AND(Paths!$D$399="EV",Paths!$E$399&lt;120,Paths!$E$399+'Operating costs'!$B$65&gt;Paths!$E$399,Paths!$E$399+'Operating costs'!$B$65&lt;=120,IF(Paths!$E$399+'Operating costs'!$B$65=0,C4324=0,AND(C4324&gt;0,Paths!$E$399+'Operating costs'!$B$65&gt;(C4324-1)*12,Paths!$E$399+'Operating costs'!$B$65&lt;=C4324*12))),'Operating costs'!$B$64,0)+IF(AND('Operating costs'!$B$67&gt;0,'Operating costs'!$B$67&lt;=120,OR(Paths!$D$399="ICE",'Operating costs'!$B$67&lt;=Paths!$E$399),IF('Operating costs'!$B$67=0,C4324=0,AND(C4324&gt;0,'Operating costs'!$B$67&gt;(C4324-1)*12,'Operating costs'!$B$67&lt;=C4324*12))),'Operating costs'!$B$66,0),"n.a."))</f>
        <v>0</v>
      </c>
      <c r="N4324" s="16">
        <f>IF(NOT(Paths!$C$399=1),0,IF(Paths!$P$399="Complete",SUM(G4324:I4324)-J4324-K4324-L4324+M4324+IF(C4324=0,Paths!$F$399,0)+IF(IF(Paths!$E$399=0,C4324=0,AND(C4324&gt;0,Paths!$E$399&gt;(C4324-1)*12,Paths!$E$399&lt;=C4324*12)),VLOOKUP(A4324,'Fleet register'!$A$7:$S$106,16,FALSE),0),"n.a."))</f>
        <v>0</v>
      </c>
      <c r="O4324" s="16">
        <f>IF(NOT(Paths!$C$399=1),0,IF(Paths!$P$399="Complete",N4324-IF(C4324=0,Paths!$F$399,0),"n.a."))</f>
        <v>0</v>
      </c>
      <c r="P4324" s="16">
        <f>IF(NOT(Paths!$C$399=1),0,IF(Paths!$P$399="Complete",O4324+L4324,"n.a."))</f>
        <v>0</v>
      </c>
      <c r="Q4324" s="16">
        <f>IF(NOT(Paths!$C$399=1),0,IF(Paths!$P$399="Complete",N4324*(1+'Operating costs'!$B$54)^-C4324,"n.a."))</f>
        <v>0</v>
      </c>
      <c r="R4324" s="16">
        <f>IF(NOT(Paths!$C$399=1),0,IF(Paths!$P$399="Complete",IF(AND(C4324=0,Paths!$E$399=0),I4324-J4324-K4324+VLOOKUP(A4324,'Fleet register'!$A$7:$S$106,15,FALSE)+VLOOKUP(A4324,'Fleet register'!$A$7:$S$106,16,FALSE),0),"n.a."))</f>
        <v>0</v>
      </c>
      <c r="S4324" s="1">
        <f>IF(NOT(Paths!$C$399=1),0,IF(Paths!$P$399="Complete",IF(C4324=0,0,Paths!$S$399*Paths!$R$399),"n.a."))</f>
        <v>0</v>
      </c>
      <c r="T4324" s="1">
        <f>IF(NOT(Paths!$C$399=1),0,IF(Paths!$P$399="Complete",IF(C4324=0,0,VLOOKUP(A4324,'Fleet register'!$A$7:$S$106,9,FALSE)*Paths!$R$399),"n.a."))</f>
        <v>0</v>
      </c>
    </row>
    <row r="4325" spans="1:20" ht="24" customHeight="1">
      <c r="A4325" s="1" t="str">
        <f>Paths!$A$399</f>
        <v>T099</v>
      </c>
      <c r="B4325" s="1">
        <f>Paths!$B$399</f>
        <v>0</v>
      </c>
      <c r="C4325" s="1">
        <v>6</v>
      </c>
      <c r="D4325" s="1">
        <v>399</v>
      </c>
      <c r="E4325" s="1">
        <f>IF(OR(Paths!$C$399=0,C4325=0),0,MAX(0,MIN(C4325*12,Paths!$E$399)-(C4325-1)*12))</f>
        <v>0</v>
      </c>
      <c r="F4325" s="1">
        <f>IF(OR(Paths!$C$399=0,C4325=0),0,12-E4325)</f>
        <v>0</v>
      </c>
      <c r="G4325" s="16">
        <f>IF(NOT(Paths!$C$399=1),0,IF(Paths!$P$399="Complete",E4325/12*(Paths!$J$399*(1+'Operating costs'!$B$51)^MAX(0,C4325-1)+Paths!$K$399*(1+'Operating costs'!$B$53)^MAX(0,C4325-1)),"n.a."))</f>
        <v>0</v>
      </c>
      <c r="H4325" s="16">
        <f>IF(NOT(Paths!$C$399=1),0,IF(Paths!$P$399="Complete",F4325/12*(Paths!$L$399*(1+IF(Paths!$D$399="EV",'Operating costs'!$B$52,'Operating costs'!$B$51))^MAX(0,C4325-1)+Paths!$M$399*(1+'Operating costs'!$B$53)^MAX(0,C4325-1)),"n.a."))</f>
        <v>0</v>
      </c>
      <c r="I4325" s="16">
        <f>IF(NOT(Paths!$C$399=1),0,IF(Paths!$P$399="Complete",IF(IF(Paths!$E$399=0,C4325=0,AND(C4325&gt;0,Paths!$E$399&gt;(C4325-1)*12,Paths!$E$399&lt;=C4325*12)),Paths!$G$399,0),"n.a."))</f>
        <v>0</v>
      </c>
      <c r="J4325" s="16">
        <f>IF(NOT(Paths!$C$399=1),0,IF(Paths!$P$399="Complete",IF(IF(Paths!$E$399=0,C4325=0,AND(C4325&gt;0,Paths!$E$399&gt;(C4325-1)*12,Paths!$E$399&lt;=C4325*12)),Paths!$H$399,0),"n.a."))</f>
        <v>0</v>
      </c>
      <c r="K4325" s="16">
        <f>IF(NOT(Paths!$C$399=1),0,IF(Paths!$P$399="Complete",IF(IF(Paths!$O$399=0,C4325=0,AND(C4325&gt;0,Paths!$O$399&gt;(C4325-1)*12,Paths!$O$399&lt;=C4325*12)),Paths!$N$399,0),"n.a."))</f>
        <v>0</v>
      </c>
      <c r="L4325" s="16">
        <f>IF(NOT(Paths!$C$399=1),0,IF(Paths!$P$399="Complete",IF(C4325=10,Paths!$I$399,0),"n.a."))</f>
        <v>0</v>
      </c>
      <c r="M4325" s="16">
        <f>IF(NOT(Paths!$C$399=1),0,IF(Paths!$P$399="Complete",IF(AND(Paths!$D$399="EV",Paths!$E$399&lt;120,Paths!$E$399+'Operating costs'!$B$65&gt;Paths!$E$399,Paths!$E$399+'Operating costs'!$B$65&lt;=120,IF(Paths!$E$399+'Operating costs'!$B$65=0,C4325=0,AND(C4325&gt;0,Paths!$E$399+'Operating costs'!$B$65&gt;(C4325-1)*12,Paths!$E$399+'Operating costs'!$B$65&lt;=C4325*12))),'Operating costs'!$B$64,0)+IF(AND('Operating costs'!$B$67&gt;0,'Operating costs'!$B$67&lt;=120,OR(Paths!$D$399="ICE",'Operating costs'!$B$67&lt;=Paths!$E$399),IF('Operating costs'!$B$67=0,C4325=0,AND(C4325&gt;0,'Operating costs'!$B$67&gt;(C4325-1)*12,'Operating costs'!$B$67&lt;=C4325*12))),'Operating costs'!$B$66,0),"n.a."))</f>
        <v>0</v>
      </c>
      <c r="N4325" s="16">
        <f>IF(NOT(Paths!$C$399=1),0,IF(Paths!$P$399="Complete",SUM(G4325:I4325)-J4325-K4325-L4325+M4325+IF(C4325=0,Paths!$F$399,0)+IF(IF(Paths!$E$399=0,C4325=0,AND(C4325&gt;0,Paths!$E$399&gt;(C4325-1)*12,Paths!$E$399&lt;=C4325*12)),VLOOKUP(A4325,'Fleet register'!$A$7:$S$106,16,FALSE),0),"n.a."))</f>
        <v>0</v>
      </c>
      <c r="O4325" s="16">
        <f>IF(NOT(Paths!$C$399=1),0,IF(Paths!$P$399="Complete",N4325-IF(C4325=0,Paths!$F$399,0),"n.a."))</f>
        <v>0</v>
      </c>
      <c r="P4325" s="16">
        <f>IF(NOT(Paths!$C$399=1),0,IF(Paths!$P$399="Complete",O4325+L4325,"n.a."))</f>
        <v>0</v>
      </c>
      <c r="Q4325" s="16">
        <f>IF(NOT(Paths!$C$399=1),0,IF(Paths!$P$399="Complete",N4325*(1+'Operating costs'!$B$54)^-C4325,"n.a."))</f>
        <v>0</v>
      </c>
      <c r="R4325" s="16">
        <f>IF(NOT(Paths!$C$399=1),0,IF(Paths!$P$399="Complete",IF(AND(C4325=0,Paths!$E$399=0),I4325-J4325-K4325+VLOOKUP(A4325,'Fleet register'!$A$7:$S$106,15,FALSE)+VLOOKUP(A4325,'Fleet register'!$A$7:$S$106,16,FALSE),0),"n.a."))</f>
        <v>0</v>
      </c>
      <c r="S4325" s="1">
        <f>IF(NOT(Paths!$C$399=1),0,IF(Paths!$P$399="Complete",IF(C4325=0,0,Paths!$S$399*Paths!$R$399),"n.a."))</f>
        <v>0</v>
      </c>
      <c r="T4325" s="1">
        <f>IF(NOT(Paths!$C$399=1),0,IF(Paths!$P$399="Complete",IF(C4325=0,0,VLOOKUP(A4325,'Fleet register'!$A$7:$S$106,9,FALSE)*Paths!$R$399),"n.a."))</f>
        <v>0</v>
      </c>
    </row>
    <row r="4326" spans="1:20" ht="24" customHeight="1">
      <c r="A4326" s="1" t="str">
        <f>Paths!$A$399</f>
        <v>T099</v>
      </c>
      <c r="B4326" s="1">
        <f>Paths!$B$399</f>
        <v>0</v>
      </c>
      <c r="C4326" s="1">
        <v>7</v>
      </c>
      <c r="D4326" s="1">
        <v>399</v>
      </c>
      <c r="E4326" s="1">
        <f>IF(OR(Paths!$C$399=0,C4326=0),0,MAX(0,MIN(C4326*12,Paths!$E$399)-(C4326-1)*12))</f>
        <v>0</v>
      </c>
      <c r="F4326" s="1">
        <f>IF(OR(Paths!$C$399=0,C4326=0),0,12-E4326)</f>
        <v>0</v>
      </c>
      <c r="G4326" s="16">
        <f>IF(NOT(Paths!$C$399=1),0,IF(Paths!$P$399="Complete",E4326/12*(Paths!$J$399*(1+'Operating costs'!$B$51)^MAX(0,C4326-1)+Paths!$K$399*(1+'Operating costs'!$B$53)^MAX(0,C4326-1)),"n.a."))</f>
        <v>0</v>
      </c>
      <c r="H4326" s="16">
        <f>IF(NOT(Paths!$C$399=1),0,IF(Paths!$P$399="Complete",F4326/12*(Paths!$L$399*(1+IF(Paths!$D$399="EV",'Operating costs'!$B$52,'Operating costs'!$B$51))^MAX(0,C4326-1)+Paths!$M$399*(1+'Operating costs'!$B$53)^MAX(0,C4326-1)),"n.a."))</f>
        <v>0</v>
      </c>
      <c r="I4326" s="16">
        <f>IF(NOT(Paths!$C$399=1),0,IF(Paths!$P$399="Complete",IF(IF(Paths!$E$399=0,C4326=0,AND(C4326&gt;0,Paths!$E$399&gt;(C4326-1)*12,Paths!$E$399&lt;=C4326*12)),Paths!$G$399,0),"n.a."))</f>
        <v>0</v>
      </c>
      <c r="J4326" s="16">
        <f>IF(NOT(Paths!$C$399=1),0,IF(Paths!$P$399="Complete",IF(IF(Paths!$E$399=0,C4326=0,AND(C4326&gt;0,Paths!$E$399&gt;(C4326-1)*12,Paths!$E$399&lt;=C4326*12)),Paths!$H$399,0),"n.a."))</f>
        <v>0</v>
      </c>
      <c r="K4326" s="16">
        <f>IF(NOT(Paths!$C$399=1),0,IF(Paths!$P$399="Complete",IF(IF(Paths!$O$399=0,C4326=0,AND(C4326&gt;0,Paths!$O$399&gt;(C4326-1)*12,Paths!$O$399&lt;=C4326*12)),Paths!$N$399,0),"n.a."))</f>
        <v>0</v>
      </c>
      <c r="L4326" s="16">
        <f>IF(NOT(Paths!$C$399=1),0,IF(Paths!$P$399="Complete",IF(C4326=10,Paths!$I$399,0),"n.a."))</f>
        <v>0</v>
      </c>
      <c r="M4326" s="16">
        <f>IF(NOT(Paths!$C$399=1),0,IF(Paths!$P$399="Complete",IF(AND(Paths!$D$399="EV",Paths!$E$399&lt;120,Paths!$E$399+'Operating costs'!$B$65&gt;Paths!$E$399,Paths!$E$399+'Operating costs'!$B$65&lt;=120,IF(Paths!$E$399+'Operating costs'!$B$65=0,C4326=0,AND(C4326&gt;0,Paths!$E$399+'Operating costs'!$B$65&gt;(C4326-1)*12,Paths!$E$399+'Operating costs'!$B$65&lt;=C4326*12))),'Operating costs'!$B$64,0)+IF(AND('Operating costs'!$B$67&gt;0,'Operating costs'!$B$67&lt;=120,OR(Paths!$D$399="ICE",'Operating costs'!$B$67&lt;=Paths!$E$399),IF('Operating costs'!$B$67=0,C4326=0,AND(C4326&gt;0,'Operating costs'!$B$67&gt;(C4326-1)*12,'Operating costs'!$B$67&lt;=C4326*12))),'Operating costs'!$B$66,0),"n.a."))</f>
        <v>0</v>
      </c>
      <c r="N4326" s="16">
        <f>IF(NOT(Paths!$C$399=1),0,IF(Paths!$P$399="Complete",SUM(G4326:I4326)-J4326-K4326-L4326+M4326+IF(C4326=0,Paths!$F$399,0)+IF(IF(Paths!$E$399=0,C4326=0,AND(C4326&gt;0,Paths!$E$399&gt;(C4326-1)*12,Paths!$E$399&lt;=C4326*12)),VLOOKUP(A4326,'Fleet register'!$A$7:$S$106,16,FALSE),0),"n.a."))</f>
        <v>0</v>
      </c>
      <c r="O4326" s="16">
        <f>IF(NOT(Paths!$C$399=1),0,IF(Paths!$P$399="Complete",N4326-IF(C4326=0,Paths!$F$399,0),"n.a."))</f>
        <v>0</v>
      </c>
      <c r="P4326" s="16">
        <f>IF(NOT(Paths!$C$399=1),0,IF(Paths!$P$399="Complete",O4326+L4326,"n.a."))</f>
        <v>0</v>
      </c>
      <c r="Q4326" s="16">
        <f>IF(NOT(Paths!$C$399=1),0,IF(Paths!$P$399="Complete",N4326*(1+'Operating costs'!$B$54)^-C4326,"n.a."))</f>
        <v>0</v>
      </c>
      <c r="R4326" s="16">
        <f>IF(NOT(Paths!$C$399=1),0,IF(Paths!$P$399="Complete",IF(AND(C4326=0,Paths!$E$399=0),I4326-J4326-K4326+VLOOKUP(A4326,'Fleet register'!$A$7:$S$106,15,FALSE)+VLOOKUP(A4326,'Fleet register'!$A$7:$S$106,16,FALSE),0),"n.a."))</f>
        <v>0</v>
      </c>
      <c r="S4326" s="1">
        <f>IF(NOT(Paths!$C$399=1),0,IF(Paths!$P$399="Complete",IF(C4326=0,0,Paths!$S$399*Paths!$R$399),"n.a."))</f>
        <v>0</v>
      </c>
      <c r="T4326" s="1">
        <f>IF(NOT(Paths!$C$399=1),0,IF(Paths!$P$399="Complete",IF(C4326=0,0,VLOOKUP(A4326,'Fleet register'!$A$7:$S$106,9,FALSE)*Paths!$R$399),"n.a."))</f>
        <v>0</v>
      </c>
    </row>
    <row r="4327" spans="1:20" ht="24" customHeight="1">
      <c r="A4327" s="1" t="str">
        <f>Paths!$A$399</f>
        <v>T099</v>
      </c>
      <c r="B4327" s="1">
        <f>Paths!$B$399</f>
        <v>0</v>
      </c>
      <c r="C4327" s="1">
        <v>8</v>
      </c>
      <c r="D4327" s="1">
        <v>399</v>
      </c>
      <c r="E4327" s="1">
        <f>IF(OR(Paths!$C$399=0,C4327=0),0,MAX(0,MIN(C4327*12,Paths!$E$399)-(C4327-1)*12))</f>
        <v>0</v>
      </c>
      <c r="F4327" s="1">
        <f>IF(OR(Paths!$C$399=0,C4327=0),0,12-E4327)</f>
        <v>0</v>
      </c>
      <c r="G4327" s="16">
        <f>IF(NOT(Paths!$C$399=1),0,IF(Paths!$P$399="Complete",E4327/12*(Paths!$J$399*(1+'Operating costs'!$B$51)^MAX(0,C4327-1)+Paths!$K$399*(1+'Operating costs'!$B$53)^MAX(0,C4327-1)),"n.a."))</f>
        <v>0</v>
      </c>
      <c r="H4327" s="16">
        <f>IF(NOT(Paths!$C$399=1),0,IF(Paths!$P$399="Complete",F4327/12*(Paths!$L$399*(1+IF(Paths!$D$399="EV",'Operating costs'!$B$52,'Operating costs'!$B$51))^MAX(0,C4327-1)+Paths!$M$399*(1+'Operating costs'!$B$53)^MAX(0,C4327-1)),"n.a."))</f>
        <v>0</v>
      </c>
      <c r="I4327" s="16">
        <f>IF(NOT(Paths!$C$399=1),0,IF(Paths!$P$399="Complete",IF(IF(Paths!$E$399=0,C4327=0,AND(C4327&gt;0,Paths!$E$399&gt;(C4327-1)*12,Paths!$E$399&lt;=C4327*12)),Paths!$G$399,0),"n.a."))</f>
        <v>0</v>
      </c>
      <c r="J4327" s="16">
        <f>IF(NOT(Paths!$C$399=1),0,IF(Paths!$P$399="Complete",IF(IF(Paths!$E$399=0,C4327=0,AND(C4327&gt;0,Paths!$E$399&gt;(C4327-1)*12,Paths!$E$399&lt;=C4327*12)),Paths!$H$399,0),"n.a."))</f>
        <v>0</v>
      </c>
      <c r="K4327" s="16">
        <f>IF(NOT(Paths!$C$399=1),0,IF(Paths!$P$399="Complete",IF(IF(Paths!$O$399=0,C4327=0,AND(C4327&gt;0,Paths!$O$399&gt;(C4327-1)*12,Paths!$O$399&lt;=C4327*12)),Paths!$N$399,0),"n.a."))</f>
        <v>0</v>
      </c>
      <c r="L4327" s="16">
        <f>IF(NOT(Paths!$C$399=1),0,IF(Paths!$P$399="Complete",IF(C4327=10,Paths!$I$399,0),"n.a."))</f>
        <v>0</v>
      </c>
      <c r="M4327" s="16">
        <f>IF(NOT(Paths!$C$399=1),0,IF(Paths!$P$399="Complete",IF(AND(Paths!$D$399="EV",Paths!$E$399&lt;120,Paths!$E$399+'Operating costs'!$B$65&gt;Paths!$E$399,Paths!$E$399+'Operating costs'!$B$65&lt;=120,IF(Paths!$E$399+'Operating costs'!$B$65=0,C4327=0,AND(C4327&gt;0,Paths!$E$399+'Operating costs'!$B$65&gt;(C4327-1)*12,Paths!$E$399+'Operating costs'!$B$65&lt;=C4327*12))),'Operating costs'!$B$64,0)+IF(AND('Operating costs'!$B$67&gt;0,'Operating costs'!$B$67&lt;=120,OR(Paths!$D$399="ICE",'Operating costs'!$B$67&lt;=Paths!$E$399),IF('Operating costs'!$B$67=0,C4327=0,AND(C4327&gt;0,'Operating costs'!$B$67&gt;(C4327-1)*12,'Operating costs'!$B$67&lt;=C4327*12))),'Operating costs'!$B$66,0),"n.a."))</f>
        <v>0</v>
      </c>
      <c r="N4327" s="16">
        <f>IF(NOT(Paths!$C$399=1),0,IF(Paths!$P$399="Complete",SUM(G4327:I4327)-J4327-K4327-L4327+M4327+IF(C4327=0,Paths!$F$399,0)+IF(IF(Paths!$E$399=0,C4327=0,AND(C4327&gt;0,Paths!$E$399&gt;(C4327-1)*12,Paths!$E$399&lt;=C4327*12)),VLOOKUP(A4327,'Fleet register'!$A$7:$S$106,16,FALSE),0),"n.a."))</f>
        <v>0</v>
      </c>
      <c r="O4327" s="16">
        <f>IF(NOT(Paths!$C$399=1),0,IF(Paths!$P$399="Complete",N4327-IF(C4327=0,Paths!$F$399,0),"n.a."))</f>
        <v>0</v>
      </c>
      <c r="P4327" s="16">
        <f>IF(NOT(Paths!$C$399=1),0,IF(Paths!$P$399="Complete",O4327+L4327,"n.a."))</f>
        <v>0</v>
      </c>
      <c r="Q4327" s="16">
        <f>IF(NOT(Paths!$C$399=1),0,IF(Paths!$P$399="Complete",N4327*(1+'Operating costs'!$B$54)^-C4327,"n.a."))</f>
        <v>0</v>
      </c>
      <c r="R4327" s="16">
        <f>IF(NOT(Paths!$C$399=1),0,IF(Paths!$P$399="Complete",IF(AND(C4327=0,Paths!$E$399=0),I4327-J4327-K4327+VLOOKUP(A4327,'Fleet register'!$A$7:$S$106,15,FALSE)+VLOOKUP(A4327,'Fleet register'!$A$7:$S$106,16,FALSE),0),"n.a."))</f>
        <v>0</v>
      </c>
      <c r="S4327" s="1">
        <f>IF(NOT(Paths!$C$399=1),0,IF(Paths!$P$399="Complete",IF(C4327=0,0,Paths!$S$399*Paths!$R$399),"n.a."))</f>
        <v>0</v>
      </c>
      <c r="T4327" s="1">
        <f>IF(NOT(Paths!$C$399=1),0,IF(Paths!$P$399="Complete",IF(C4327=0,0,VLOOKUP(A4327,'Fleet register'!$A$7:$S$106,9,FALSE)*Paths!$R$399),"n.a."))</f>
        <v>0</v>
      </c>
    </row>
    <row r="4328" spans="1:20" ht="24" customHeight="1">
      <c r="A4328" s="1" t="str">
        <f>Paths!$A$399</f>
        <v>T099</v>
      </c>
      <c r="B4328" s="1">
        <f>Paths!$B$399</f>
        <v>0</v>
      </c>
      <c r="C4328" s="1">
        <v>9</v>
      </c>
      <c r="D4328" s="1">
        <v>399</v>
      </c>
      <c r="E4328" s="1">
        <f>IF(OR(Paths!$C$399=0,C4328=0),0,MAX(0,MIN(C4328*12,Paths!$E$399)-(C4328-1)*12))</f>
        <v>0</v>
      </c>
      <c r="F4328" s="1">
        <f>IF(OR(Paths!$C$399=0,C4328=0),0,12-E4328)</f>
        <v>0</v>
      </c>
      <c r="G4328" s="16">
        <f>IF(NOT(Paths!$C$399=1),0,IF(Paths!$P$399="Complete",E4328/12*(Paths!$J$399*(1+'Operating costs'!$B$51)^MAX(0,C4328-1)+Paths!$K$399*(1+'Operating costs'!$B$53)^MAX(0,C4328-1)),"n.a."))</f>
        <v>0</v>
      </c>
      <c r="H4328" s="16">
        <f>IF(NOT(Paths!$C$399=1),0,IF(Paths!$P$399="Complete",F4328/12*(Paths!$L$399*(1+IF(Paths!$D$399="EV",'Operating costs'!$B$52,'Operating costs'!$B$51))^MAX(0,C4328-1)+Paths!$M$399*(1+'Operating costs'!$B$53)^MAX(0,C4328-1)),"n.a."))</f>
        <v>0</v>
      </c>
      <c r="I4328" s="16">
        <f>IF(NOT(Paths!$C$399=1),0,IF(Paths!$P$399="Complete",IF(IF(Paths!$E$399=0,C4328=0,AND(C4328&gt;0,Paths!$E$399&gt;(C4328-1)*12,Paths!$E$399&lt;=C4328*12)),Paths!$G$399,0),"n.a."))</f>
        <v>0</v>
      </c>
      <c r="J4328" s="16">
        <f>IF(NOT(Paths!$C$399=1),0,IF(Paths!$P$399="Complete",IF(IF(Paths!$E$399=0,C4328=0,AND(C4328&gt;0,Paths!$E$399&gt;(C4328-1)*12,Paths!$E$399&lt;=C4328*12)),Paths!$H$399,0),"n.a."))</f>
        <v>0</v>
      </c>
      <c r="K4328" s="16">
        <f>IF(NOT(Paths!$C$399=1),0,IF(Paths!$P$399="Complete",IF(IF(Paths!$O$399=0,C4328=0,AND(C4328&gt;0,Paths!$O$399&gt;(C4328-1)*12,Paths!$O$399&lt;=C4328*12)),Paths!$N$399,0),"n.a."))</f>
        <v>0</v>
      </c>
      <c r="L4328" s="16">
        <f>IF(NOT(Paths!$C$399=1),0,IF(Paths!$P$399="Complete",IF(C4328=10,Paths!$I$399,0),"n.a."))</f>
        <v>0</v>
      </c>
      <c r="M4328" s="16">
        <f>IF(NOT(Paths!$C$399=1),0,IF(Paths!$P$399="Complete",IF(AND(Paths!$D$399="EV",Paths!$E$399&lt;120,Paths!$E$399+'Operating costs'!$B$65&gt;Paths!$E$399,Paths!$E$399+'Operating costs'!$B$65&lt;=120,IF(Paths!$E$399+'Operating costs'!$B$65=0,C4328=0,AND(C4328&gt;0,Paths!$E$399+'Operating costs'!$B$65&gt;(C4328-1)*12,Paths!$E$399+'Operating costs'!$B$65&lt;=C4328*12))),'Operating costs'!$B$64,0)+IF(AND('Operating costs'!$B$67&gt;0,'Operating costs'!$B$67&lt;=120,OR(Paths!$D$399="ICE",'Operating costs'!$B$67&lt;=Paths!$E$399),IF('Operating costs'!$B$67=0,C4328=0,AND(C4328&gt;0,'Operating costs'!$B$67&gt;(C4328-1)*12,'Operating costs'!$B$67&lt;=C4328*12))),'Operating costs'!$B$66,0),"n.a."))</f>
        <v>0</v>
      </c>
      <c r="N4328" s="16">
        <f>IF(NOT(Paths!$C$399=1),0,IF(Paths!$P$399="Complete",SUM(G4328:I4328)-J4328-K4328-L4328+M4328+IF(C4328=0,Paths!$F$399,0)+IF(IF(Paths!$E$399=0,C4328=0,AND(C4328&gt;0,Paths!$E$399&gt;(C4328-1)*12,Paths!$E$399&lt;=C4328*12)),VLOOKUP(A4328,'Fleet register'!$A$7:$S$106,16,FALSE),0),"n.a."))</f>
        <v>0</v>
      </c>
      <c r="O4328" s="16">
        <f>IF(NOT(Paths!$C$399=1),0,IF(Paths!$P$399="Complete",N4328-IF(C4328=0,Paths!$F$399,0),"n.a."))</f>
        <v>0</v>
      </c>
      <c r="P4328" s="16">
        <f>IF(NOT(Paths!$C$399=1),0,IF(Paths!$P$399="Complete",O4328+L4328,"n.a."))</f>
        <v>0</v>
      </c>
      <c r="Q4328" s="16">
        <f>IF(NOT(Paths!$C$399=1),0,IF(Paths!$P$399="Complete",N4328*(1+'Operating costs'!$B$54)^-C4328,"n.a."))</f>
        <v>0</v>
      </c>
      <c r="R4328" s="16">
        <f>IF(NOT(Paths!$C$399=1),0,IF(Paths!$P$399="Complete",IF(AND(C4328=0,Paths!$E$399=0),I4328-J4328-K4328+VLOOKUP(A4328,'Fleet register'!$A$7:$S$106,15,FALSE)+VLOOKUP(A4328,'Fleet register'!$A$7:$S$106,16,FALSE),0),"n.a."))</f>
        <v>0</v>
      </c>
      <c r="S4328" s="1">
        <f>IF(NOT(Paths!$C$399=1),0,IF(Paths!$P$399="Complete",IF(C4328=0,0,Paths!$S$399*Paths!$R$399),"n.a."))</f>
        <v>0</v>
      </c>
      <c r="T4328" s="1">
        <f>IF(NOT(Paths!$C$399=1),0,IF(Paths!$P$399="Complete",IF(C4328=0,0,VLOOKUP(A4328,'Fleet register'!$A$7:$S$106,9,FALSE)*Paths!$R$399),"n.a."))</f>
        <v>0</v>
      </c>
    </row>
    <row r="4329" spans="1:20" ht="24" customHeight="1">
      <c r="A4329" s="1" t="str">
        <f>Paths!$A$399</f>
        <v>T099</v>
      </c>
      <c r="B4329" s="1">
        <f>Paths!$B$399</f>
        <v>0</v>
      </c>
      <c r="C4329" s="1">
        <v>10</v>
      </c>
      <c r="D4329" s="1">
        <v>399</v>
      </c>
      <c r="E4329" s="1">
        <f>IF(OR(Paths!$C$399=0,C4329=0),0,MAX(0,MIN(C4329*12,Paths!$E$399)-(C4329-1)*12))</f>
        <v>0</v>
      </c>
      <c r="F4329" s="1">
        <f>IF(OR(Paths!$C$399=0,C4329=0),0,12-E4329)</f>
        <v>0</v>
      </c>
      <c r="G4329" s="16">
        <f>IF(NOT(Paths!$C$399=1),0,IF(Paths!$P$399="Complete",E4329/12*(Paths!$J$399*(1+'Operating costs'!$B$51)^MAX(0,C4329-1)+Paths!$K$399*(1+'Operating costs'!$B$53)^MAX(0,C4329-1)),"n.a."))</f>
        <v>0</v>
      </c>
      <c r="H4329" s="16">
        <f>IF(NOT(Paths!$C$399=1),0,IF(Paths!$P$399="Complete",F4329/12*(Paths!$L$399*(1+IF(Paths!$D$399="EV",'Operating costs'!$B$52,'Operating costs'!$B$51))^MAX(0,C4329-1)+Paths!$M$399*(1+'Operating costs'!$B$53)^MAX(0,C4329-1)),"n.a."))</f>
        <v>0</v>
      </c>
      <c r="I4329" s="16">
        <f>IF(NOT(Paths!$C$399=1),0,IF(Paths!$P$399="Complete",IF(IF(Paths!$E$399=0,C4329=0,AND(C4329&gt;0,Paths!$E$399&gt;(C4329-1)*12,Paths!$E$399&lt;=C4329*12)),Paths!$G$399,0),"n.a."))</f>
        <v>0</v>
      </c>
      <c r="J4329" s="16">
        <f>IF(NOT(Paths!$C$399=1),0,IF(Paths!$P$399="Complete",IF(IF(Paths!$E$399=0,C4329=0,AND(C4329&gt;0,Paths!$E$399&gt;(C4329-1)*12,Paths!$E$399&lt;=C4329*12)),Paths!$H$399,0),"n.a."))</f>
        <v>0</v>
      </c>
      <c r="K4329" s="16">
        <f>IF(NOT(Paths!$C$399=1),0,IF(Paths!$P$399="Complete",IF(IF(Paths!$O$399=0,C4329=0,AND(C4329&gt;0,Paths!$O$399&gt;(C4329-1)*12,Paths!$O$399&lt;=C4329*12)),Paths!$N$399,0),"n.a."))</f>
        <v>0</v>
      </c>
      <c r="L4329" s="16">
        <f>IF(NOT(Paths!$C$399=1),0,IF(Paths!$P$399="Complete",IF(C4329=10,Paths!$I$399,0),"n.a."))</f>
        <v>0</v>
      </c>
      <c r="M4329" s="16">
        <f>IF(NOT(Paths!$C$399=1),0,IF(Paths!$P$399="Complete",IF(AND(Paths!$D$399="EV",Paths!$E$399&lt;120,Paths!$E$399+'Operating costs'!$B$65&gt;Paths!$E$399,Paths!$E$399+'Operating costs'!$B$65&lt;=120,IF(Paths!$E$399+'Operating costs'!$B$65=0,C4329=0,AND(C4329&gt;0,Paths!$E$399+'Operating costs'!$B$65&gt;(C4329-1)*12,Paths!$E$399+'Operating costs'!$B$65&lt;=C4329*12))),'Operating costs'!$B$64,0)+IF(AND('Operating costs'!$B$67&gt;0,'Operating costs'!$B$67&lt;=120,OR(Paths!$D$399="ICE",'Operating costs'!$B$67&lt;=Paths!$E$399),IF('Operating costs'!$B$67=0,C4329=0,AND(C4329&gt;0,'Operating costs'!$B$67&gt;(C4329-1)*12,'Operating costs'!$B$67&lt;=C4329*12))),'Operating costs'!$B$66,0),"n.a."))</f>
        <v>0</v>
      </c>
      <c r="N4329" s="16">
        <f>IF(NOT(Paths!$C$399=1),0,IF(Paths!$P$399="Complete",SUM(G4329:I4329)-J4329-K4329-L4329+M4329+IF(C4329=0,Paths!$F$399,0)+IF(IF(Paths!$E$399=0,C4329=0,AND(C4329&gt;0,Paths!$E$399&gt;(C4329-1)*12,Paths!$E$399&lt;=C4329*12)),VLOOKUP(A4329,'Fleet register'!$A$7:$S$106,16,FALSE),0),"n.a."))</f>
        <v>0</v>
      </c>
      <c r="O4329" s="16">
        <f>IF(NOT(Paths!$C$399=1),0,IF(Paths!$P$399="Complete",N4329-IF(C4329=0,Paths!$F$399,0),"n.a."))</f>
        <v>0</v>
      </c>
      <c r="P4329" s="16">
        <f>IF(NOT(Paths!$C$399=1),0,IF(Paths!$P$399="Complete",O4329+L4329,"n.a."))</f>
        <v>0</v>
      </c>
      <c r="Q4329" s="16">
        <f>IF(NOT(Paths!$C$399=1),0,IF(Paths!$P$399="Complete",N4329*(1+'Operating costs'!$B$54)^-C4329,"n.a."))</f>
        <v>0</v>
      </c>
      <c r="R4329" s="16">
        <f>IF(NOT(Paths!$C$399=1),0,IF(Paths!$P$399="Complete",IF(AND(C4329=0,Paths!$E$399=0),I4329-J4329-K4329+VLOOKUP(A4329,'Fleet register'!$A$7:$S$106,15,FALSE)+VLOOKUP(A4329,'Fleet register'!$A$7:$S$106,16,FALSE),0),"n.a."))</f>
        <v>0</v>
      </c>
      <c r="S4329" s="1">
        <f>IF(NOT(Paths!$C$399=1),0,IF(Paths!$P$399="Complete",IF(C4329=0,0,Paths!$S$399*Paths!$R$399),"n.a."))</f>
        <v>0</v>
      </c>
      <c r="T4329" s="1">
        <f>IF(NOT(Paths!$C$399=1),0,IF(Paths!$P$399="Complete",IF(C4329=0,0,VLOOKUP(A4329,'Fleet register'!$A$7:$S$106,9,FALSE)*Paths!$R$399),"n.a."))</f>
        <v>0</v>
      </c>
    </row>
    <row r="4330" spans="1:20" ht="24" customHeight="1">
      <c r="A4330" s="1" t="str">
        <f>Paths!$A$400</f>
        <v>T099</v>
      </c>
      <c r="B4330" s="1">
        <f>Paths!$B$400</f>
        <v>1</v>
      </c>
      <c r="C4330" s="1">
        <v>0</v>
      </c>
      <c r="D4330" s="1">
        <v>400</v>
      </c>
      <c r="E4330" s="1">
        <f>IF(OR(Paths!$C$400=0,C4330=0),0,MAX(0,MIN(C4330*12,Paths!$E$400)-(C4330-1)*12))</f>
        <v>0</v>
      </c>
      <c r="F4330" s="1">
        <f>IF(OR(Paths!$C$400=0,C4330=0),0,12-E4330)</f>
        <v>0</v>
      </c>
      <c r="G4330" s="16">
        <f>IF(NOT(Paths!$C$400=1),0,IF(Paths!$P$400="Complete",E4330/12*(Paths!$J$400*(1+'Operating costs'!$B$51)^MAX(0,C4330-1)+Paths!$K$400*(1+'Operating costs'!$B$53)^MAX(0,C4330-1)),"n.a."))</f>
        <v>0</v>
      </c>
      <c r="H4330" s="16">
        <f>IF(NOT(Paths!$C$400=1),0,IF(Paths!$P$400="Complete",F4330/12*(Paths!$L$400*(1+IF(Paths!$D$400="EV",'Operating costs'!$B$52,'Operating costs'!$B$51))^MAX(0,C4330-1)+Paths!$M$400*(1+'Operating costs'!$B$53)^MAX(0,C4330-1)),"n.a."))</f>
        <v>0</v>
      </c>
      <c r="I4330" s="16">
        <f>IF(NOT(Paths!$C$400=1),0,IF(Paths!$P$400="Complete",IF(IF(Paths!$E$400=0,C4330=0,AND(C4330&gt;0,Paths!$E$400&gt;(C4330-1)*12,Paths!$E$400&lt;=C4330*12)),Paths!$G$400,0),"n.a."))</f>
        <v>0</v>
      </c>
      <c r="J4330" s="16">
        <f>IF(NOT(Paths!$C$400=1),0,IF(Paths!$P$400="Complete",IF(IF(Paths!$E$400=0,C4330=0,AND(C4330&gt;0,Paths!$E$400&gt;(C4330-1)*12,Paths!$E$400&lt;=C4330*12)),Paths!$H$400,0),"n.a."))</f>
        <v>0</v>
      </c>
      <c r="K4330" s="16">
        <f>IF(NOT(Paths!$C$400=1),0,IF(Paths!$P$400="Complete",IF(IF(Paths!$O$400=0,C4330=0,AND(C4330&gt;0,Paths!$O$400&gt;(C4330-1)*12,Paths!$O$400&lt;=C4330*12)),Paths!$N$400,0),"n.a."))</f>
        <v>0</v>
      </c>
      <c r="L4330" s="16">
        <f>IF(NOT(Paths!$C$400=1),0,IF(Paths!$P$400="Complete",IF(C4330=10,Paths!$I$400,0),"n.a."))</f>
        <v>0</v>
      </c>
      <c r="M4330" s="16">
        <f>IF(NOT(Paths!$C$400=1),0,IF(Paths!$P$400="Complete",IF(AND(Paths!$D$400="EV",Paths!$E$400&lt;120,Paths!$E$400+'Operating costs'!$B$65&gt;Paths!$E$400,Paths!$E$400+'Operating costs'!$B$65&lt;=120,IF(Paths!$E$400+'Operating costs'!$B$65=0,C4330=0,AND(C4330&gt;0,Paths!$E$400+'Operating costs'!$B$65&gt;(C4330-1)*12,Paths!$E$400+'Operating costs'!$B$65&lt;=C4330*12))),'Operating costs'!$B$64,0)+IF(AND('Operating costs'!$B$67&gt;0,'Operating costs'!$B$67&lt;=120,OR(Paths!$D$400="ICE",'Operating costs'!$B$67&lt;=Paths!$E$400),IF('Operating costs'!$B$67=0,C4330=0,AND(C4330&gt;0,'Operating costs'!$B$67&gt;(C4330-1)*12,'Operating costs'!$B$67&lt;=C4330*12))),'Operating costs'!$B$66,0),"n.a."))</f>
        <v>0</v>
      </c>
      <c r="N4330" s="16">
        <f>IF(NOT(Paths!$C$400=1),0,IF(Paths!$P$400="Complete",SUM(G4330:I4330)-J4330-K4330-L4330+M4330+IF(C4330=0,Paths!$F$400,0)+IF(IF(Paths!$E$400=0,C4330=0,AND(C4330&gt;0,Paths!$E$400&gt;(C4330-1)*12,Paths!$E$400&lt;=C4330*12)),VLOOKUP(A4330,'Fleet register'!$A$7:$S$106,16,FALSE),0),"n.a."))</f>
        <v>0</v>
      </c>
      <c r="O4330" s="16">
        <f>IF(NOT(Paths!$C$400=1),0,IF(Paths!$P$400="Complete",N4330-IF(C4330=0,Paths!$F$400,0),"n.a."))</f>
        <v>0</v>
      </c>
      <c r="P4330" s="16">
        <f>IF(NOT(Paths!$C$400=1),0,IF(Paths!$P$400="Complete",O4330+L4330,"n.a."))</f>
        <v>0</v>
      </c>
      <c r="Q4330" s="16">
        <f>IF(NOT(Paths!$C$400=1),0,IF(Paths!$P$400="Complete",N4330*(1+'Operating costs'!$B$54)^-C4330,"n.a."))</f>
        <v>0</v>
      </c>
      <c r="R4330" s="16">
        <f>IF(NOT(Paths!$C$400=1),0,IF(Paths!$P$400="Complete",IF(AND(C4330=0,Paths!$E$400=0),I4330-J4330-K4330+VLOOKUP(A4330,'Fleet register'!$A$7:$S$106,15,FALSE)+VLOOKUP(A4330,'Fleet register'!$A$7:$S$106,16,FALSE),0),"n.a."))</f>
        <v>0</v>
      </c>
      <c r="S4330" s="1">
        <f>IF(NOT(Paths!$C$400=1),0,IF(Paths!$P$400="Complete",IF(C4330=0,0,Paths!$S$400*Paths!$R$400),"n.a."))</f>
        <v>0</v>
      </c>
      <c r="T4330" s="1">
        <f>IF(NOT(Paths!$C$400=1),0,IF(Paths!$P$400="Complete",IF(C4330=0,0,VLOOKUP(A4330,'Fleet register'!$A$7:$S$106,9,FALSE)*Paths!$R$400),"n.a."))</f>
        <v>0</v>
      </c>
    </row>
    <row r="4331" spans="1:20" ht="24" customHeight="1">
      <c r="A4331" s="1" t="str">
        <f>Paths!$A$400</f>
        <v>T099</v>
      </c>
      <c r="B4331" s="1">
        <f>Paths!$B$400</f>
        <v>1</v>
      </c>
      <c r="C4331" s="1">
        <v>1</v>
      </c>
      <c r="D4331" s="1">
        <v>400</v>
      </c>
      <c r="E4331" s="1">
        <f>IF(OR(Paths!$C$400=0,C4331=0),0,MAX(0,MIN(C4331*12,Paths!$E$400)-(C4331-1)*12))</f>
        <v>0</v>
      </c>
      <c r="F4331" s="1">
        <f>IF(OR(Paths!$C$400=0,C4331=0),0,12-E4331)</f>
        <v>0</v>
      </c>
      <c r="G4331" s="16">
        <f>IF(NOT(Paths!$C$400=1),0,IF(Paths!$P$400="Complete",E4331/12*(Paths!$J$400*(1+'Operating costs'!$B$51)^MAX(0,C4331-1)+Paths!$K$400*(1+'Operating costs'!$B$53)^MAX(0,C4331-1)),"n.a."))</f>
        <v>0</v>
      </c>
      <c r="H4331" s="16">
        <f>IF(NOT(Paths!$C$400=1),0,IF(Paths!$P$400="Complete",F4331/12*(Paths!$L$400*(1+IF(Paths!$D$400="EV",'Operating costs'!$B$52,'Operating costs'!$B$51))^MAX(0,C4331-1)+Paths!$M$400*(1+'Operating costs'!$B$53)^MAX(0,C4331-1)),"n.a."))</f>
        <v>0</v>
      </c>
      <c r="I4331" s="16">
        <f>IF(NOT(Paths!$C$400=1),0,IF(Paths!$P$400="Complete",IF(IF(Paths!$E$400=0,C4331=0,AND(C4331&gt;0,Paths!$E$400&gt;(C4331-1)*12,Paths!$E$400&lt;=C4331*12)),Paths!$G$400,0),"n.a."))</f>
        <v>0</v>
      </c>
      <c r="J4331" s="16">
        <f>IF(NOT(Paths!$C$400=1),0,IF(Paths!$P$400="Complete",IF(IF(Paths!$E$400=0,C4331=0,AND(C4331&gt;0,Paths!$E$400&gt;(C4331-1)*12,Paths!$E$400&lt;=C4331*12)),Paths!$H$400,0),"n.a."))</f>
        <v>0</v>
      </c>
      <c r="K4331" s="16">
        <f>IF(NOT(Paths!$C$400=1),0,IF(Paths!$P$400="Complete",IF(IF(Paths!$O$400=0,C4331=0,AND(C4331&gt;0,Paths!$O$400&gt;(C4331-1)*12,Paths!$O$400&lt;=C4331*12)),Paths!$N$400,0),"n.a."))</f>
        <v>0</v>
      </c>
      <c r="L4331" s="16">
        <f>IF(NOT(Paths!$C$400=1),0,IF(Paths!$P$400="Complete",IF(C4331=10,Paths!$I$400,0),"n.a."))</f>
        <v>0</v>
      </c>
      <c r="M4331" s="16">
        <f>IF(NOT(Paths!$C$400=1),0,IF(Paths!$P$400="Complete",IF(AND(Paths!$D$400="EV",Paths!$E$400&lt;120,Paths!$E$400+'Operating costs'!$B$65&gt;Paths!$E$400,Paths!$E$400+'Operating costs'!$B$65&lt;=120,IF(Paths!$E$400+'Operating costs'!$B$65=0,C4331=0,AND(C4331&gt;0,Paths!$E$400+'Operating costs'!$B$65&gt;(C4331-1)*12,Paths!$E$400+'Operating costs'!$B$65&lt;=C4331*12))),'Operating costs'!$B$64,0)+IF(AND('Operating costs'!$B$67&gt;0,'Operating costs'!$B$67&lt;=120,OR(Paths!$D$400="ICE",'Operating costs'!$B$67&lt;=Paths!$E$400),IF('Operating costs'!$B$67=0,C4331=0,AND(C4331&gt;0,'Operating costs'!$B$67&gt;(C4331-1)*12,'Operating costs'!$B$67&lt;=C4331*12))),'Operating costs'!$B$66,0),"n.a."))</f>
        <v>0</v>
      </c>
      <c r="N4331" s="16">
        <f>IF(NOT(Paths!$C$400=1),0,IF(Paths!$P$400="Complete",SUM(G4331:I4331)-J4331-K4331-L4331+M4331+IF(C4331=0,Paths!$F$400,0)+IF(IF(Paths!$E$400=0,C4331=0,AND(C4331&gt;0,Paths!$E$400&gt;(C4331-1)*12,Paths!$E$400&lt;=C4331*12)),VLOOKUP(A4331,'Fleet register'!$A$7:$S$106,16,FALSE),0),"n.a."))</f>
        <v>0</v>
      </c>
      <c r="O4331" s="16">
        <f>IF(NOT(Paths!$C$400=1),0,IF(Paths!$P$400="Complete",N4331-IF(C4331=0,Paths!$F$400,0),"n.a."))</f>
        <v>0</v>
      </c>
      <c r="P4331" s="16">
        <f>IF(NOT(Paths!$C$400=1),0,IF(Paths!$P$400="Complete",O4331+L4331,"n.a."))</f>
        <v>0</v>
      </c>
      <c r="Q4331" s="16">
        <f>IF(NOT(Paths!$C$400=1),0,IF(Paths!$P$400="Complete",N4331*(1+'Operating costs'!$B$54)^-C4331,"n.a."))</f>
        <v>0</v>
      </c>
      <c r="R4331" s="16">
        <f>IF(NOT(Paths!$C$400=1),0,IF(Paths!$P$400="Complete",IF(AND(C4331=0,Paths!$E$400=0),I4331-J4331-K4331+VLOOKUP(A4331,'Fleet register'!$A$7:$S$106,15,FALSE)+VLOOKUP(A4331,'Fleet register'!$A$7:$S$106,16,FALSE),0),"n.a."))</f>
        <v>0</v>
      </c>
      <c r="S4331" s="1">
        <f>IF(NOT(Paths!$C$400=1),0,IF(Paths!$P$400="Complete",IF(C4331=0,0,Paths!$S$400*Paths!$R$400),"n.a."))</f>
        <v>0</v>
      </c>
      <c r="T4331" s="1">
        <f>IF(NOT(Paths!$C$400=1),0,IF(Paths!$P$400="Complete",IF(C4331=0,0,VLOOKUP(A4331,'Fleet register'!$A$7:$S$106,9,FALSE)*Paths!$R$400),"n.a."))</f>
        <v>0</v>
      </c>
    </row>
    <row r="4332" spans="1:20" ht="24" customHeight="1">
      <c r="A4332" s="1" t="str">
        <f>Paths!$A$400</f>
        <v>T099</v>
      </c>
      <c r="B4332" s="1">
        <f>Paths!$B$400</f>
        <v>1</v>
      </c>
      <c r="C4332" s="1">
        <v>2</v>
      </c>
      <c r="D4332" s="1">
        <v>400</v>
      </c>
      <c r="E4332" s="1">
        <f>IF(OR(Paths!$C$400=0,C4332=0),0,MAX(0,MIN(C4332*12,Paths!$E$400)-(C4332-1)*12))</f>
        <v>0</v>
      </c>
      <c r="F4332" s="1">
        <f>IF(OR(Paths!$C$400=0,C4332=0),0,12-E4332)</f>
        <v>0</v>
      </c>
      <c r="G4332" s="16">
        <f>IF(NOT(Paths!$C$400=1),0,IF(Paths!$P$400="Complete",E4332/12*(Paths!$J$400*(1+'Operating costs'!$B$51)^MAX(0,C4332-1)+Paths!$K$400*(1+'Operating costs'!$B$53)^MAX(0,C4332-1)),"n.a."))</f>
        <v>0</v>
      </c>
      <c r="H4332" s="16">
        <f>IF(NOT(Paths!$C$400=1),0,IF(Paths!$P$400="Complete",F4332/12*(Paths!$L$400*(1+IF(Paths!$D$400="EV",'Operating costs'!$B$52,'Operating costs'!$B$51))^MAX(0,C4332-1)+Paths!$M$400*(1+'Operating costs'!$B$53)^MAX(0,C4332-1)),"n.a."))</f>
        <v>0</v>
      </c>
      <c r="I4332" s="16">
        <f>IF(NOT(Paths!$C$400=1),0,IF(Paths!$P$400="Complete",IF(IF(Paths!$E$400=0,C4332=0,AND(C4332&gt;0,Paths!$E$400&gt;(C4332-1)*12,Paths!$E$400&lt;=C4332*12)),Paths!$G$400,0),"n.a."))</f>
        <v>0</v>
      </c>
      <c r="J4332" s="16">
        <f>IF(NOT(Paths!$C$400=1),0,IF(Paths!$P$400="Complete",IF(IF(Paths!$E$400=0,C4332=0,AND(C4332&gt;0,Paths!$E$400&gt;(C4332-1)*12,Paths!$E$400&lt;=C4332*12)),Paths!$H$400,0),"n.a."))</f>
        <v>0</v>
      </c>
      <c r="K4332" s="16">
        <f>IF(NOT(Paths!$C$400=1),0,IF(Paths!$P$400="Complete",IF(IF(Paths!$O$400=0,C4332=0,AND(C4332&gt;0,Paths!$O$400&gt;(C4332-1)*12,Paths!$O$400&lt;=C4332*12)),Paths!$N$400,0),"n.a."))</f>
        <v>0</v>
      </c>
      <c r="L4332" s="16">
        <f>IF(NOT(Paths!$C$400=1),0,IF(Paths!$P$400="Complete",IF(C4332=10,Paths!$I$400,0),"n.a."))</f>
        <v>0</v>
      </c>
      <c r="M4332" s="16">
        <f>IF(NOT(Paths!$C$400=1),0,IF(Paths!$P$400="Complete",IF(AND(Paths!$D$400="EV",Paths!$E$400&lt;120,Paths!$E$400+'Operating costs'!$B$65&gt;Paths!$E$400,Paths!$E$400+'Operating costs'!$B$65&lt;=120,IF(Paths!$E$400+'Operating costs'!$B$65=0,C4332=0,AND(C4332&gt;0,Paths!$E$400+'Operating costs'!$B$65&gt;(C4332-1)*12,Paths!$E$400+'Operating costs'!$B$65&lt;=C4332*12))),'Operating costs'!$B$64,0)+IF(AND('Operating costs'!$B$67&gt;0,'Operating costs'!$B$67&lt;=120,OR(Paths!$D$400="ICE",'Operating costs'!$B$67&lt;=Paths!$E$400),IF('Operating costs'!$B$67=0,C4332=0,AND(C4332&gt;0,'Operating costs'!$B$67&gt;(C4332-1)*12,'Operating costs'!$B$67&lt;=C4332*12))),'Operating costs'!$B$66,0),"n.a."))</f>
        <v>0</v>
      </c>
      <c r="N4332" s="16">
        <f>IF(NOT(Paths!$C$400=1),0,IF(Paths!$P$400="Complete",SUM(G4332:I4332)-J4332-K4332-L4332+M4332+IF(C4332=0,Paths!$F$400,0)+IF(IF(Paths!$E$400=0,C4332=0,AND(C4332&gt;0,Paths!$E$400&gt;(C4332-1)*12,Paths!$E$400&lt;=C4332*12)),VLOOKUP(A4332,'Fleet register'!$A$7:$S$106,16,FALSE),0),"n.a."))</f>
        <v>0</v>
      </c>
      <c r="O4332" s="16">
        <f>IF(NOT(Paths!$C$400=1),0,IF(Paths!$P$400="Complete",N4332-IF(C4332=0,Paths!$F$400,0),"n.a."))</f>
        <v>0</v>
      </c>
      <c r="P4332" s="16">
        <f>IF(NOT(Paths!$C$400=1),0,IF(Paths!$P$400="Complete",O4332+L4332,"n.a."))</f>
        <v>0</v>
      </c>
      <c r="Q4332" s="16">
        <f>IF(NOT(Paths!$C$400=1),0,IF(Paths!$P$400="Complete",N4332*(1+'Operating costs'!$B$54)^-C4332,"n.a."))</f>
        <v>0</v>
      </c>
      <c r="R4332" s="16">
        <f>IF(NOT(Paths!$C$400=1),0,IF(Paths!$P$400="Complete",IF(AND(C4332=0,Paths!$E$400=0),I4332-J4332-K4332+VLOOKUP(A4332,'Fleet register'!$A$7:$S$106,15,FALSE)+VLOOKUP(A4332,'Fleet register'!$A$7:$S$106,16,FALSE),0),"n.a."))</f>
        <v>0</v>
      </c>
      <c r="S4332" s="1">
        <f>IF(NOT(Paths!$C$400=1),0,IF(Paths!$P$400="Complete",IF(C4332=0,0,Paths!$S$400*Paths!$R$400),"n.a."))</f>
        <v>0</v>
      </c>
      <c r="T4332" s="1">
        <f>IF(NOT(Paths!$C$400=1),0,IF(Paths!$P$400="Complete",IF(C4332=0,0,VLOOKUP(A4332,'Fleet register'!$A$7:$S$106,9,FALSE)*Paths!$R$400),"n.a."))</f>
        <v>0</v>
      </c>
    </row>
    <row r="4333" spans="1:20" ht="24" customHeight="1">
      <c r="A4333" s="1" t="str">
        <f>Paths!$A$400</f>
        <v>T099</v>
      </c>
      <c r="B4333" s="1">
        <f>Paths!$B$400</f>
        <v>1</v>
      </c>
      <c r="C4333" s="1">
        <v>3</v>
      </c>
      <c r="D4333" s="1">
        <v>400</v>
      </c>
      <c r="E4333" s="1">
        <f>IF(OR(Paths!$C$400=0,C4333=0),0,MAX(0,MIN(C4333*12,Paths!$E$400)-(C4333-1)*12))</f>
        <v>0</v>
      </c>
      <c r="F4333" s="1">
        <f>IF(OR(Paths!$C$400=0,C4333=0),0,12-E4333)</f>
        <v>0</v>
      </c>
      <c r="G4333" s="16">
        <f>IF(NOT(Paths!$C$400=1),0,IF(Paths!$P$400="Complete",E4333/12*(Paths!$J$400*(1+'Operating costs'!$B$51)^MAX(0,C4333-1)+Paths!$K$400*(1+'Operating costs'!$B$53)^MAX(0,C4333-1)),"n.a."))</f>
        <v>0</v>
      </c>
      <c r="H4333" s="16">
        <f>IF(NOT(Paths!$C$400=1),0,IF(Paths!$P$400="Complete",F4333/12*(Paths!$L$400*(1+IF(Paths!$D$400="EV",'Operating costs'!$B$52,'Operating costs'!$B$51))^MAX(0,C4333-1)+Paths!$M$400*(1+'Operating costs'!$B$53)^MAX(0,C4333-1)),"n.a."))</f>
        <v>0</v>
      </c>
      <c r="I4333" s="16">
        <f>IF(NOT(Paths!$C$400=1),0,IF(Paths!$P$400="Complete",IF(IF(Paths!$E$400=0,C4333=0,AND(C4333&gt;0,Paths!$E$400&gt;(C4333-1)*12,Paths!$E$400&lt;=C4333*12)),Paths!$G$400,0),"n.a."))</f>
        <v>0</v>
      </c>
      <c r="J4333" s="16">
        <f>IF(NOT(Paths!$C$400=1),0,IF(Paths!$P$400="Complete",IF(IF(Paths!$E$400=0,C4333=0,AND(C4333&gt;0,Paths!$E$400&gt;(C4333-1)*12,Paths!$E$400&lt;=C4333*12)),Paths!$H$400,0),"n.a."))</f>
        <v>0</v>
      </c>
      <c r="K4333" s="16">
        <f>IF(NOT(Paths!$C$400=1),0,IF(Paths!$P$400="Complete",IF(IF(Paths!$O$400=0,C4333=0,AND(C4333&gt;0,Paths!$O$400&gt;(C4333-1)*12,Paths!$O$400&lt;=C4333*12)),Paths!$N$400,0),"n.a."))</f>
        <v>0</v>
      </c>
      <c r="L4333" s="16">
        <f>IF(NOT(Paths!$C$400=1),0,IF(Paths!$P$400="Complete",IF(C4333=10,Paths!$I$400,0),"n.a."))</f>
        <v>0</v>
      </c>
      <c r="M4333" s="16">
        <f>IF(NOT(Paths!$C$400=1),0,IF(Paths!$P$400="Complete",IF(AND(Paths!$D$400="EV",Paths!$E$400&lt;120,Paths!$E$400+'Operating costs'!$B$65&gt;Paths!$E$400,Paths!$E$400+'Operating costs'!$B$65&lt;=120,IF(Paths!$E$400+'Operating costs'!$B$65=0,C4333=0,AND(C4333&gt;0,Paths!$E$400+'Operating costs'!$B$65&gt;(C4333-1)*12,Paths!$E$400+'Operating costs'!$B$65&lt;=C4333*12))),'Operating costs'!$B$64,0)+IF(AND('Operating costs'!$B$67&gt;0,'Operating costs'!$B$67&lt;=120,OR(Paths!$D$400="ICE",'Operating costs'!$B$67&lt;=Paths!$E$400),IF('Operating costs'!$B$67=0,C4333=0,AND(C4333&gt;0,'Operating costs'!$B$67&gt;(C4333-1)*12,'Operating costs'!$B$67&lt;=C4333*12))),'Operating costs'!$B$66,0),"n.a."))</f>
        <v>0</v>
      </c>
      <c r="N4333" s="16">
        <f>IF(NOT(Paths!$C$400=1),0,IF(Paths!$P$400="Complete",SUM(G4333:I4333)-J4333-K4333-L4333+M4333+IF(C4333=0,Paths!$F$400,0)+IF(IF(Paths!$E$400=0,C4333=0,AND(C4333&gt;0,Paths!$E$400&gt;(C4333-1)*12,Paths!$E$400&lt;=C4333*12)),VLOOKUP(A4333,'Fleet register'!$A$7:$S$106,16,FALSE),0),"n.a."))</f>
        <v>0</v>
      </c>
      <c r="O4333" s="16">
        <f>IF(NOT(Paths!$C$400=1),0,IF(Paths!$P$400="Complete",N4333-IF(C4333=0,Paths!$F$400,0),"n.a."))</f>
        <v>0</v>
      </c>
      <c r="P4333" s="16">
        <f>IF(NOT(Paths!$C$400=1),0,IF(Paths!$P$400="Complete",O4333+L4333,"n.a."))</f>
        <v>0</v>
      </c>
      <c r="Q4333" s="16">
        <f>IF(NOT(Paths!$C$400=1),0,IF(Paths!$P$400="Complete",N4333*(1+'Operating costs'!$B$54)^-C4333,"n.a."))</f>
        <v>0</v>
      </c>
      <c r="R4333" s="16">
        <f>IF(NOT(Paths!$C$400=1),0,IF(Paths!$P$400="Complete",IF(AND(C4333=0,Paths!$E$400=0),I4333-J4333-K4333+VLOOKUP(A4333,'Fleet register'!$A$7:$S$106,15,FALSE)+VLOOKUP(A4333,'Fleet register'!$A$7:$S$106,16,FALSE),0),"n.a."))</f>
        <v>0</v>
      </c>
      <c r="S4333" s="1">
        <f>IF(NOT(Paths!$C$400=1),0,IF(Paths!$P$400="Complete",IF(C4333=0,0,Paths!$S$400*Paths!$R$400),"n.a."))</f>
        <v>0</v>
      </c>
      <c r="T4333" s="1">
        <f>IF(NOT(Paths!$C$400=1),0,IF(Paths!$P$400="Complete",IF(C4333=0,0,VLOOKUP(A4333,'Fleet register'!$A$7:$S$106,9,FALSE)*Paths!$R$400),"n.a."))</f>
        <v>0</v>
      </c>
    </row>
    <row r="4334" spans="1:20" ht="24" customHeight="1">
      <c r="A4334" s="1" t="str">
        <f>Paths!$A$400</f>
        <v>T099</v>
      </c>
      <c r="B4334" s="1">
        <f>Paths!$B$400</f>
        <v>1</v>
      </c>
      <c r="C4334" s="1">
        <v>4</v>
      </c>
      <c r="D4334" s="1">
        <v>400</v>
      </c>
      <c r="E4334" s="1">
        <f>IF(OR(Paths!$C$400=0,C4334=0),0,MAX(0,MIN(C4334*12,Paths!$E$400)-(C4334-1)*12))</f>
        <v>0</v>
      </c>
      <c r="F4334" s="1">
        <f>IF(OR(Paths!$C$400=0,C4334=0),0,12-E4334)</f>
        <v>0</v>
      </c>
      <c r="G4334" s="16">
        <f>IF(NOT(Paths!$C$400=1),0,IF(Paths!$P$400="Complete",E4334/12*(Paths!$J$400*(1+'Operating costs'!$B$51)^MAX(0,C4334-1)+Paths!$K$400*(1+'Operating costs'!$B$53)^MAX(0,C4334-1)),"n.a."))</f>
        <v>0</v>
      </c>
      <c r="H4334" s="16">
        <f>IF(NOT(Paths!$C$400=1),0,IF(Paths!$P$400="Complete",F4334/12*(Paths!$L$400*(1+IF(Paths!$D$400="EV",'Operating costs'!$B$52,'Operating costs'!$B$51))^MAX(0,C4334-1)+Paths!$M$400*(1+'Operating costs'!$B$53)^MAX(0,C4334-1)),"n.a."))</f>
        <v>0</v>
      </c>
      <c r="I4334" s="16">
        <f>IF(NOT(Paths!$C$400=1),0,IF(Paths!$P$400="Complete",IF(IF(Paths!$E$400=0,C4334=0,AND(C4334&gt;0,Paths!$E$400&gt;(C4334-1)*12,Paths!$E$400&lt;=C4334*12)),Paths!$G$400,0),"n.a."))</f>
        <v>0</v>
      </c>
      <c r="J4334" s="16">
        <f>IF(NOT(Paths!$C$400=1),0,IF(Paths!$P$400="Complete",IF(IF(Paths!$E$400=0,C4334=0,AND(C4334&gt;0,Paths!$E$400&gt;(C4334-1)*12,Paths!$E$400&lt;=C4334*12)),Paths!$H$400,0),"n.a."))</f>
        <v>0</v>
      </c>
      <c r="K4334" s="16">
        <f>IF(NOT(Paths!$C$400=1),0,IF(Paths!$P$400="Complete",IF(IF(Paths!$O$400=0,C4334=0,AND(C4334&gt;0,Paths!$O$400&gt;(C4334-1)*12,Paths!$O$400&lt;=C4334*12)),Paths!$N$400,0),"n.a."))</f>
        <v>0</v>
      </c>
      <c r="L4334" s="16">
        <f>IF(NOT(Paths!$C$400=1),0,IF(Paths!$P$400="Complete",IF(C4334=10,Paths!$I$400,0),"n.a."))</f>
        <v>0</v>
      </c>
      <c r="M4334" s="16">
        <f>IF(NOT(Paths!$C$400=1),0,IF(Paths!$P$400="Complete",IF(AND(Paths!$D$400="EV",Paths!$E$400&lt;120,Paths!$E$400+'Operating costs'!$B$65&gt;Paths!$E$400,Paths!$E$400+'Operating costs'!$B$65&lt;=120,IF(Paths!$E$400+'Operating costs'!$B$65=0,C4334=0,AND(C4334&gt;0,Paths!$E$400+'Operating costs'!$B$65&gt;(C4334-1)*12,Paths!$E$400+'Operating costs'!$B$65&lt;=C4334*12))),'Operating costs'!$B$64,0)+IF(AND('Operating costs'!$B$67&gt;0,'Operating costs'!$B$67&lt;=120,OR(Paths!$D$400="ICE",'Operating costs'!$B$67&lt;=Paths!$E$400),IF('Operating costs'!$B$67=0,C4334=0,AND(C4334&gt;0,'Operating costs'!$B$67&gt;(C4334-1)*12,'Operating costs'!$B$67&lt;=C4334*12))),'Operating costs'!$B$66,0),"n.a."))</f>
        <v>0</v>
      </c>
      <c r="N4334" s="16">
        <f>IF(NOT(Paths!$C$400=1),0,IF(Paths!$P$400="Complete",SUM(G4334:I4334)-J4334-K4334-L4334+M4334+IF(C4334=0,Paths!$F$400,0)+IF(IF(Paths!$E$400=0,C4334=0,AND(C4334&gt;0,Paths!$E$400&gt;(C4334-1)*12,Paths!$E$400&lt;=C4334*12)),VLOOKUP(A4334,'Fleet register'!$A$7:$S$106,16,FALSE),0),"n.a."))</f>
        <v>0</v>
      </c>
      <c r="O4334" s="16">
        <f>IF(NOT(Paths!$C$400=1),0,IF(Paths!$P$400="Complete",N4334-IF(C4334=0,Paths!$F$400,0),"n.a."))</f>
        <v>0</v>
      </c>
      <c r="P4334" s="16">
        <f>IF(NOT(Paths!$C$400=1),0,IF(Paths!$P$400="Complete",O4334+L4334,"n.a."))</f>
        <v>0</v>
      </c>
      <c r="Q4334" s="16">
        <f>IF(NOT(Paths!$C$400=1),0,IF(Paths!$P$400="Complete",N4334*(1+'Operating costs'!$B$54)^-C4334,"n.a."))</f>
        <v>0</v>
      </c>
      <c r="R4334" s="16">
        <f>IF(NOT(Paths!$C$400=1),0,IF(Paths!$P$400="Complete",IF(AND(C4334=0,Paths!$E$400=0),I4334-J4334-K4334+VLOOKUP(A4334,'Fleet register'!$A$7:$S$106,15,FALSE)+VLOOKUP(A4334,'Fleet register'!$A$7:$S$106,16,FALSE),0),"n.a."))</f>
        <v>0</v>
      </c>
      <c r="S4334" s="1">
        <f>IF(NOT(Paths!$C$400=1),0,IF(Paths!$P$400="Complete",IF(C4334=0,0,Paths!$S$400*Paths!$R$400),"n.a."))</f>
        <v>0</v>
      </c>
      <c r="T4334" s="1">
        <f>IF(NOT(Paths!$C$400=1),0,IF(Paths!$P$400="Complete",IF(C4334=0,0,VLOOKUP(A4334,'Fleet register'!$A$7:$S$106,9,FALSE)*Paths!$R$400),"n.a."))</f>
        <v>0</v>
      </c>
    </row>
    <row r="4335" spans="1:20" ht="24" customHeight="1">
      <c r="A4335" s="1" t="str">
        <f>Paths!$A$400</f>
        <v>T099</v>
      </c>
      <c r="B4335" s="1">
        <f>Paths!$B$400</f>
        <v>1</v>
      </c>
      <c r="C4335" s="1">
        <v>5</v>
      </c>
      <c r="D4335" s="1">
        <v>400</v>
      </c>
      <c r="E4335" s="1">
        <f>IF(OR(Paths!$C$400=0,C4335=0),0,MAX(0,MIN(C4335*12,Paths!$E$400)-(C4335-1)*12))</f>
        <v>0</v>
      </c>
      <c r="F4335" s="1">
        <f>IF(OR(Paths!$C$400=0,C4335=0),0,12-E4335)</f>
        <v>0</v>
      </c>
      <c r="G4335" s="16">
        <f>IF(NOT(Paths!$C$400=1),0,IF(Paths!$P$400="Complete",E4335/12*(Paths!$J$400*(1+'Operating costs'!$B$51)^MAX(0,C4335-1)+Paths!$K$400*(1+'Operating costs'!$B$53)^MAX(0,C4335-1)),"n.a."))</f>
        <v>0</v>
      </c>
      <c r="H4335" s="16">
        <f>IF(NOT(Paths!$C$400=1),0,IF(Paths!$P$400="Complete",F4335/12*(Paths!$L$400*(1+IF(Paths!$D$400="EV",'Operating costs'!$B$52,'Operating costs'!$B$51))^MAX(0,C4335-1)+Paths!$M$400*(1+'Operating costs'!$B$53)^MAX(0,C4335-1)),"n.a."))</f>
        <v>0</v>
      </c>
      <c r="I4335" s="16">
        <f>IF(NOT(Paths!$C$400=1),0,IF(Paths!$P$400="Complete",IF(IF(Paths!$E$400=0,C4335=0,AND(C4335&gt;0,Paths!$E$400&gt;(C4335-1)*12,Paths!$E$400&lt;=C4335*12)),Paths!$G$400,0),"n.a."))</f>
        <v>0</v>
      </c>
      <c r="J4335" s="16">
        <f>IF(NOT(Paths!$C$400=1),0,IF(Paths!$P$400="Complete",IF(IF(Paths!$E$400=0,C4335=0,AND(C4335&gt;0,Paths!$E$400&gt;(C4335-1)*12,Paths!$E$400&lt;=C4335*12)),Paths!$H$400,0),"n.a."))</f>
        <v>0</v>
      </c>
      <c r="K4335" s="16">
        <f>IF(NOT(Paths!$C$400=1),0,IF(Paths!$P$400="Complete",IF(IF(Paths!$O$400=0,C4335=0,AND(C4335&gt;0,Paths!$O$400&gt;(C4335-1)*12,Paths!$O$400&lt;=C4335*12)),Paths!$N$400,0),"n.a."))</f>
        <v>0</v>
      </c>
      <c r="L4335" s="16">
        <f>IF(NOT(Paths!$C$400=1),0,IF(Paths!$P$400="Complete",IF(C4335=10,Paths!$I$400,0),"n.a."))</f>
        <v>0</v>
      </c>
      <c r="M4335" s="16">
        <f>IF(NOT(Paths!$C$400=1),0,IF(Paths!$P$400="Complete",IF(AND(Paths!$D$400="EV",Paths!$E$400&lt;120,Paths!$E$400+'Operating costs'!$B$65&gt;Paths!$E$400,Paths!$E$400+'Operating costs'!$B$65&lt;=120,IF(Paths!$E$400+'Operating costs'!$B$65=0,C4335=0,AND(C4335&gt;0,Paths!$E$400+'Operating costs'!$B$65&gt;(C4335-1)*12,Paths!$E$400+'Operating costs'!$B$65&lt;=C4335*12))),'Operating costs'!$B$64,0)+IF(AND('Operating costs'!$B$67&gt;0,'Operating costs'!$B$67&lt;=120,OR(Paths!$D$400="ICE",'Operating costs'!$B$67&lt;=Paths!$E$400),IF('Operating costs'!$B$67=0,C4335=0,AND(C4335&gt;0,'Operating costs'!$B$67&gt;(C4335-1)*12,'Operating costs'!$B$67&lt;=C4335*12))),'Operating costs'!$B$66,0),"n.a."))</f>
        <v>0</v>
      </c>
      <c r="N4335" s="16">
        <f>IF(NOT(Paths!$C$400=1),0,IF(Paths!$P$400="Complete",SUM(G4335:I4335)-J4335-K4335-L4335+M4335+IF(C4335=0,Paths!$F$400,0)+IF(IF(Paths!$E$400=0,C4335=0,AND(C4335&gt;0,Paths!$E$400&gt;(C4335-1)*12,Paths!$E$400&lt;=C4335*12)),VLOOKUP(A4335,'Fleet register'!$A$7:$S$106,16,FALSE),0),"n.a."))</f>
        <v>0</v>
      </c>
      <c r="O4335" s="16">
        <f>IF(NOT(Paths!$C$400=1),0,IF(Paths!$P$400="Complete",N4335-IF(C4335=0,Paths!$F$400,0),"n.a."))</f>
        <v>0</v>
      </c>
      <c r="P4335" s="16">
        <f>IF(NOT(Paths!$C$400=1),0,IF(Paths!$P$400="Complete",O4335+L4335,"n.a."))</f>
        <v>0</v>
      </c>
      <c r="Q4335" s="16">
        <f>IF(NOT(Paths!$C$400=1),0,IF(Paths!$P$400="Complete",N4335*(1+'Operating costs'!$B$54)^-C4335,"n.a."))</f>
        <v>0</v>
      </c>
      <c r="R4335" s="16">
        <f>IF(NOT(Paths!$C$400=1),0,IF(Paths!$P$400="Complete",IF(AND(C4335=0,Paths!$E$400=0),I4335-J4335-K4335+VLOOKUP(A4335,'Fleet register'!$A$7:$S$106,15,FALSE)+VLOOKUP(A4335,'Fleet register'!$A$7:$S$106,16,FALSE),0),"n.a."))</f>
        <v>0</v>
      </c>
      <c r="S4335" s="1">
        <f>IF(NOT(Paths!$C$400=1),0,IF(Paths!$P$400="Complete",IF(C4335=0,0,Paths!$S$400*Paths!$R$400),"n.a."))</f>
        <v>0</v>
      </c>
      <c r="T4335" s="1">
        <f>IF(NOT(Paths!$C$400=1),0,IF(Paths!$P$400="Complete",IF(C4335=0,0,VLOOKUP(A4335,'Fleet register'!$A$7:$S$106,9,FALSE)*Paths!$R$400),"n.a."))</f>
        <v>0</v>
      </c>
    </row>
    <row r="4336" spans="1:20" ht="24" customHeight="1">
      <c r="A4336" s="1" t="str">
        <f>Paths!$A$400</f>
        <v>T099</v>
      </c>
      <c r="B4336" s="1">
        <f>Paths!$B$400</f>
        <v>1</v>
      </c>
      <c r="C4336" s="1">
        <v>6</v>
      </c>
      <c r="D4336" s="1">
        <v>400</v>
      </c>
      <c r="E4336" s="1">
        <f>IF(OR(Paths!$C$400=0,C4336=0),0,MAX(0,MIN(C4336*12,Paths!$E$400)-(C4336-1)*12))</f>
        <v>0</v>
      </c>
      <c r="F4336" s="1">
        <f>IF(OR(Paths!$C$400=0,C4336=0),0,12-E4336)</f>
        <v>0</v>
      </c>
      <c r="G4336" s="16">
        <f>IF(NOT(Paths!$C$400=1),0,IF(Paths!$P$400="Complete",E4336/12*(Paths!$J$400*(1+'Operating costs'!$B$51)^MAX(0,C4336-1)+Paths!$K$400*(1+'Operating costs'!$B$53)^MAX(0,C4336-1)),"n.a."))</f>
        <v>0</v>
      </c>
      <c r="H4336" s="16">
        <f>IF(NOT(Paths!$C$400=1),0,IF(Paths!$P$400="Complete",F4336/12*(Paths!$L$400*(1+IF(Paths!$D$400="EV",'Operating costs'!$B$52,'Operating costs'!$B$51))^MAX(0,C4336-1)+Paths!$M$400*(1+'Operating costs'!$B$53)^MAX(0,C4336-1)),"n.a."))</f>
        <v>0</v>
      </c>
      <c r="I4336" s="16">
        <f>IF(NOT(Paths!$C$400=1),0,IF(Paths!$P$400="Complete",IF(IF(Paths!$E$400=0,C4336=0,AND(C4336&gt;0,Paths!$E$400&gt;(C4336-1)*12,Paths!$E$400&lt;=C4336*12)),Paths!$G$400,0),"n.a."))</f>
        <v>0</v>
      </c>
      <c r="J4336" s="16">
        <f>IF(NOT(Paths!$C$400=1),0,IF(Paths!$P$400="Complete",IF(IF(Paths!$E$400=0,C4336=0,AND(C4336&gt;0,Paths!$E$400&gt;(C4336-1)*12,Paths!$E$400&lt;=C4336*12)),Paths!$H$400,0),"n.a."))</f>
        <v>0</v>
      </c>
      <c r="K4336" s="16">
        <f>IF(NOT(Paths!$C$400=1),0,IF(Paths!$P$400="Complete",IF(IF(Paths!$O$400=0,C4336=0,AND(C4336&gt;0,Paths!$O$400&gt;(C4336-1)*12,Paths!$O$400&lt;=C4336*12)),Paths!$N$400,0),"n.a."))</f>
        <v>0</v>
      </c>
      <c r="L4336" s="16">
        <f>IF(NOT(Paths!$C$400=1),0,IF(Paths!$P$400="Complete",IF(C4336=10,Paths!$I$400,0),"n.a."))</f>
        <v>0</v>
      </c>
      <c r="M4336" s="16">
        <f>IF(NOT(Paths!$C$400=1),0,IF(Paths!$P$400="Complete",IF(AND(Paths!$D$400="EV",Paths!$E$400&lt;120,Paths!$E$400+'Operating costs'!$B$65&gt;Paths!$E$400,Paths!$E$400+'Operating costs'!$B$65&lt;=120,IF(Paths!$E$400+'Operating costs'!$B$65=0,C4336=0,AND(C4336&gt;0,Paths!$E$400+'Operating costs'!$B$65&gt;(C4336-1)*12,Paths!$E$400+'Operating costs'!$B$65&lt;=C4336*12))),'Operating costs'!$B$64,0)+IF(AND('Operating costs'!$B$67&gt;0,'Operating costs'!$B$67&lt;=120,OR(Paths!$D$400="ICE",'Operating costs'!$B$67&lt;=Paths!$E$400),IF('Operating costs'!$B$67=0,C4336=0,AND(C4336&gt;0,'Operating costs'!$B$67&gt;(C4336-1)*12,'Operating costs'!$B$67&lt;=C4336*12))),'Operating costs'!$B$66,0),"n.a."))</f>
        <v>0</v>
      </c>
      <c r="N4336" s="16">
        <f>IF(NOT(Paths!$C$400=1),0,IF(Paths!$P$400="Complete",SUM(G4336:I4336)-J4336-K4336-L4336+M4336+IF(C4336=0,Paths!$F$400,0)+IF(IF(Paths!$E$400=0,C4336=0,AND(C4336&gt;0,Paths!$E$400&gt;(C4336-1)*12,Paths!$E$400&lt;=C4336*12)),VLOOKUP(A4336,'Fleet register'!$A$7:$S$106,16,FALSE),0),"n.a."))</f>
        <v>0</v>
      </c>
      <c r="O4336" s="16">
        <f>IF(NOT(Paths!$C$400=1),0,IF(Paths!$P$400="Complete",N4336-IF(C4336=0,Paths!$F$400,0),"n.a."))</f>
        <v>0</v>
      </c>
      <c r="P4336" s="16">
        <f>IF(NOT(Paths!$C$400=1),0,IF(Paths!$P$400="Complete",O4336+L4336,"n.a."))</f>
        <v>0</v>
      </c>
      <c r="Q4336" s="16">
        <f>IF(NOT(Paths!$C$400=1),0,IF(Paths!$P$400="Complete",N4336*(1+'Operating costs'!$B$54)^-C4336,"n.a."))</f>
        <v>0</v>
      </c>
      <c r="R4336" s="16">
        <f>IF(NOT(Paths!$C$400=1),0,IF(Paths!$P$400="Complete",IF(AND(C4336=0,Paths!$E$400=0),I4336-J4336-K4336+VLOOKUP(A4336,'Fleet register'!$A$7:$S$106,15,FALSE)+VLOOKUP(A4336,'Fleet register'!$A$7:$S$106,16,FALSE),0),"n.a."))</f>
        <v>0</v>
      </c>
      <c r="S4336" s="1">
        <f>IF(NOT(Paths!$C$400=1),0,IF(Paths!$P$400="Complete",IF(C4336=0,0,Paths!$S$400*Paths!$R$400),"n.a."))</f>
        <v>0</v>
      </c>
      <c r="T4336" s="1">
        <f>IF(NOT(Paths!$C$400=1),0,IF(Paths!$P$400="Complete",IF(C4336=0,0,VLOOKUP(A4336,'Fleet register'!$A$7:$S$106,9,FALSE)*Paths!$R$400),"n.a."))</f>
        <v>0</v>
      </c>
    </row>
    <row r="4337" spans="1:20" ht="24" customHeight="1">
      <c r="A4337" s="1" t="str">
        <f>Paths!$A$400</f>
        <v>T099</v>
      </c>
      <c r="B4337" s="1">
        <f>Paths!$B$400</f>
        <v>1</v>
      </c>
      <c r="C4337" s="1">
        <v>7</v>
      </c>
      <c r="D4337" s="1">
        <v>400</v>
      </c>
      <c r="E4337" s="1">
        <f>IF(OR(Paths!$C$400=0,C4337=0),0,MAX(0,MIN(C4337*12,Paths!$E$400)-(C4337-1)*12))</f>
        <v>0</v>
      </c>
      <c r="F4337" s="1">
        <f>IF(OR(Paths!$C$400=0,C4337=0),0,12-E4337)</f>
        <v>0</v>
      </c>
      <c r="G4337" s="16">
        <f>IF(NOT(Paths!$C$400=1),0,IF(Paths!$P$400="Complete",E4337/12*(Paths!$J$400*(1+'Operating costs'!$B$51)^MAX(0,C4337-1)+Paths!$K$400*(1+'Operating costs'!$B$53)^MAX(0,C4337-1)),"n.a."))</f>
        <v>0</v>
      </c>
      <c r="H4337" s="16">
        <f>IF(NOT(Paths!$C$400=1),0,IF(Paths!$P$400="Complete",F4337/12*(Paths!$L$400*(1+IF(Paths!$D$400="EV",'Operating costs'!$B$52,'Operating costs'!$B$51))^MAX(0,C4337-1)+Paths!$M$400*(1+'Operating costs'!$B$53)^MAX(0,C4337-1)),"n.a."))</f>
        <v>0</v>
      </c>
      <c r="I4337" s="16">
        <f>IF(NOT(Paths!$C$400=1),0,IF(Paths!$P$400="Complete",IF(IF(Paths!$E$400=0,C4337=0,AND(C4337&gt;0,Paths!$E$400&gt;(C4337-1)*12,Paths!$E$400&lt;=C4337*12)),Paths!$G$400,0),"n.a."))</f>
        <v>0</v>
      </c>
      <c r="J4337" s="16">
        <f>IF(NOT(Paths!$C$400=1),0,IF(Paths!$P$400="Complete",IF(IF(Paths!$E$400=0,C4337=0,AND(C4337&gt;0,Paths!$E$400&gt;(C4337-1)*12,Paths!$E$400&lt;=C4337*12)),Paths!$H$400,0),"n.a."))</f>
        <v>0</v>
      </c>
      <c r="K4337" s="16">
        <f>IF(NOT(Paths!$C$400=1),0,IF(Paths!$P$400="Complete",IF(IF(Paths!$O$400=0,C4337=0,AND(C4337&gt;0,Paths!$O$400&gt;(C4337-1)*12,Paths!$O$400&lt;=C4337*12)),Paths!$N$400,0),"n.a."))</f>
        <v>0</v>
      </c>
      <c r="L4337" s="16">
        <f>IF(NOT(Paths!$C$400=1),0,IF(Paths!$P$400="Complete",IF(C4337=10,Paths!$I$400,0),"n.a."))</f>
        <v>0</v>
      </c>
      <c r="M4337" s="16">
        <f>IF(NOT(Paths!$C$400=1),0,IF(Paths!$P$400="Complete",IF(AND(Paths!$D$400="EV",Paths!$E$400&lt;120,Paths!$E$400+'Operating costs'!$B$65&gt;Paths!$E$400,Paths!$E$400+'Operating costs'!$B$65&lt;=120,IF(Paths!$E$400+'Operating costs'!$B$65=0,C4337=0,AND(C4337&gt;0,Paths!$E$400+'Operating costs'!$B$65&gt;(C4337-1)*12,Paths!$E$400+'Operating costs'!$B$65&lt;=C4337*12))),'Operating costs'!$B$64,0)+IF(AND('Operating costs'!$B$67&gt;0,'Operating costs'!$B$67&lt;=120,OR(Paths!$D$400="ICE",'Operating costs'!$B$67&lt;=Paths!$E$400),IF('Operating costs'!$B$67=0,C4337=0,AND(C4337&gt;0,'Operating costs'!$B$67&gt;(C4337-1)*12,'Operating costs'!$B$67&lt;=C4337*12))),'Operating costs'!$B$66,0),"n.a."))</f>
        <v>0</v>
      </c>
      <c r="N4337" s="16">
        <f>IF(NOT(Paths!$C$400=1),0,IF(Paths!$P$400="Complete",SUM(G4337:I4337)-J4337-K4337-L4337+M4337+IF(C4337=0,Paths!$F$400,0)+IF(IF(Paths!$E$400=0,C4337=0,AND(C4337&gt;0,Paths!$E$400&gt;(C4337-1)*12,Paths!$E$400&lt;=C4337*12)),VLOOKUP(A4337,'Fleet register'!$A$7:$S$106,16,FALSE),0),"n.a."))</f>
        <v>0</v>
      </c>
      <c r="O4337" s="16">
        <f>IF(NOT(Paths!$C$400=1),0,IF(Paths!$P$400="Complete",N4337-IF(C4337=0,Paths!$F$400,0),"n.a."))</f>
        <v>0</v>
      </c>
      <c r="P4337" s="16">
        <f>IF(NOT(Paths!$C$400=1),0,IF(Paths!$P$400="Complete",O4337+L4337,"n.a."))</f>
        <v>0</v>
      </c>
      <c r="Q4337" s="16">
        <f>IF(NOT(Paths!$C$400=1),0,IF(Paths!$P$400="Complete",N4337*(1+'Operating costs'!$B$54)^-C4337,"n.a."))</f>
        <v>0</v>
      </c>
      <c r="R4337" s="16">
        <f>IF(NOT(Paths!$C$400=1),0,IF(Paths!$P$400="Complete",IF(AND(C4337=0,Paths!$E$400=0),I4337-J4337-K4337+VLOOKUP(A4337,'Fleet register'!$A$7:$S$106,15,FALSE)+VLOOKUP(A4337,'Fleet register'!$A$7:$S$106,16,FALSE),0),"n.a."))</f>
        <v>0</v>
      </c>
      <c r="S4337" s="1">
        <f>IF(NOT(Paths!$C$400=1),0,IF(Paths!$P$400="Complete",IF(C4337=0,0,Paths!$S$400*Paths!$R$400),"n.a."))</f>
        <v>0</v>
      </c>
      <c r="T4337" s="1">
        <f>IF(NOT(Paths!$C$400=1),0,IF(Paths!$P$400="Complete",IF(C4337=0,0,VLOOKUP(A4337,'Fleet register'!$A$7:$S$106,9,FALSE)*Paths!$R$400),"n.a."))</f>
        <v>0</v>
      </c>
    </row>
    <row r="4338" spans="1:20" ht="24" customHeight="1">
      <c r="A4338" s="1" t="str">
        <f>Paths!$A$400</f>
        <v>T099</v>
      </c>
      <c r="B4338" s="1">
        <f>Paths!$B$400</f>
        <v>1</v>
      </c>
      <c r="C4338" s="1">
        <v>8</v>
      </c>
      <c r="D4338" s="1">
        <v>400</v>
      </c>
      <c r="E4338" s="1">
        <f>IF(OR(Paths!$C$400=0,C4338=0),0,MAX(0,MIN(C4338*12,Paths!$E$400)-(C4338-1)*12))</f>
        <v>0</v>
      </c>
      <c r="F4338" s="1">
        <f>IF(OR(Paths!$C$400=0,C4338=0),0,12-E4338)</f>
        <v>0</v>
      </c>
      <c r="G4338" s="16">
        <f>IF(NOT(Paths!$C$400=1),0,IF(Paths!$P$400="Complete",E4338/12*(Paths!$J$400*(1+'Operating costs'!$B$51)^MAX(0,C4338-1)+Paths!$K$400*(1+'Operating costs'!$B$53)^MAX(0,C4338-1)),"n.a."))</f>
        <v>0</v>
      </c>
      <c r="H4338" s="16">
        <f>IF(NOT(Paths!$C$400=1),0,IF(Paths!$P$400="Complete",F4338/12*(Paths!$L$400*(1+IF(Paths!$D$400="EV",'Operating costs'!$B$52,'Operating costs'!$B$51))^MAX(0,C4338-1)+Paths!$M$400*(1+'Operating costs'!$B$53)^MAX(0,C4338-1)),"n.a."))</f>
        <v>0</v>
      </c>
      <c r="I4338" s="16">
        <f>IF(NOT(Paths!$C$400=1),0,IF(Paths!$P$400="Complete",IF(IF(Paths!$E$400=0,C4338=0,AND(C4338&gt;0,Paths!$E$400&gt;(C4338-1)*12,Paths!$E$400&lt;=C4338*12)),Paths!$G$400,0),"n.a."))</f>
        <v>0</v>
      </c>
      <c r="J4338" s="16">
        <f>IF(NOT(Paths!$C$400=1),0,IF(Paths!$P$400="Complete",IF(IF(Paths!$E$400=0,C4338=0,AND(C4338&gt;0,Paths!$E$400&gt;(C4338-1)*12,Paths!$E$400&lt;=C4338*12)),Paths!$H$400,0),"n.a."))</f>
        <v>0</v>
      </c>
      <c r="K4338" s="16">
        <f>IF(NOT(Paths!$C$400=1),0,IF(Paths!$P$400="Complete",IF(IF(Paths!$O$400=0,C4338=0,AND(C4338&gt;0,Paths!$O$400&gt;(C4338-1)*12,Paths!$O$400&lt;=C4338*12)),Paths!$N$400,0),"n.a."))</f>
        <v>0</v>
      </c>
      <c r="L4338" s="16">
        <f>IF(NOT(Paths!$C$400=1),0,IF(Paths!$P$400="Complete",IF(C4338=10,Paths!$I$400,0),"n.a."))</f>
        <v>0</v>
      </c>
      <c r="M4338" s="16">
        <f>IF(NOT(Paths!$C$400=1),0,IF(Paths!$P$400="Complete",IF(AND(Paths!$D$400="EV",Paths!$E$400&lt;120,Paths!$E$400+'Operating costs'!$B$65&gt;Paths!$E$400,Paths!$E$400+'Operating costs'!$B$65&lt;=120,IF(Paths!$E$400+'Operating costs'!$B$65=0,C4338=0,AND(C4338&gt;0,Paths!$E$400+'Operating costs'!$B$65&gt;(C4338-1)*12,Paths!$E$400+'Operating costs'!$B$65&lt;=C4338*12))),'Operating costs'!$B$64,0)+IF(AND('Operating costs'!$B$67&gt;0,'Operating costs'!$B$67&lt;=120,OR(Paths!$D$400="ICE",'Operating costs'!$B$67&lt;=Paths!$E$400),IF('Operating costs'!$B$67=0,C4338=0,AND(C4338&gt;0,'Operating costs'!$B$67&gt;(C4338-1)*12,'Operating costs'!$B$67&lt;=C4338*12))),'Operating costs'!$B$66,0),"n.a."))</f>
        <v>0</v>
      </c>
      <c r="N4338" s="16">
        <f>IF(NOT(Paths!$C$400=1),0,IF(Paths!$P$400="Complete",SUM(G4338:I4338)-J4338-K4338-L4338+M4338+IF(C4338=0,Paths!$F$400,0)+IF(IF(Paths!$E$400=0,C4338=0,AND(C4338&gt;0,Paths!$E$400&gt;(C4338-1)*12,Paths!$E$400&lt;=C4338*12)),VLOOKUP(A4338,'Fleet register'!$A$7:$S$106,16,FALSE),0),"n.a."))</f>
        <v>0</v>
      </c>
      <c r="O4338" s="16">
        <f>IF(NOT(Paths!$C$400=1),0,IF(Paths!$P$400="Complete",N4338-IF(C4338=0,Paths!$F$400,0),"n.a."))</f>
        <v>0</v>
      </c>
      <c r="P4338" s="16">
        <f>IF(NOT(Paths!$C$400=1),0,IF(Paths!$P$400="Complete",O4338+L4338,"n.a."))</f>
        <v>0</v>
      </c>
      <c r="Q4338" s="16">
        <f>IF(NOT(Paths!$C$400=1),0,IF(Paths!$P$400="Complete",N4338*(1+'Operating costs'!$B$54)^-C4338,"n.a."))</f>
        <v>0</v>
      </c>
      <c r="R4338" s="16">
        <f>IF(NOT(Paths!$C$400=1),0,IF(Paths!$P$400="Complete",IF(AND(C4338=0,Paths!$E$400=0),I4338-J4338-K4338+VLOOKUP(A4338,'Fleet register'!$A$7:$S$106,15,FALSE)+VLOOKUP(A4338,'Fleet register'!$A$7:$S$106,16,FALSE),0),"n.a."))</f>
        <v>0</v>
      </c>
      <c r="S4338" s="1">
        <f>IF(NOT(Paths!$C$400=1),0,IF(Paths!$P$400="Complete",IF(C4338=0,0,Paths!$S$400*Paths!$R$400),"n.a."))</f>
        <v>0</v>
      </c>
      <c r="T4338" s="1">
        <f>IF(NOT(Paths!$C$400=1),0,IF(Paths!$P$400="Complete",IF(C4338=0,0,VLOOKUP(A4338,'Fleet register'!$A$7:$S$106,9,FALSE)*Paths!$R$400),"n.a."))</f>
        <v>0</v>
      </c>
    </row>
    <row r="4339" spans="1:20" ht="24" customHeight="1">
      <c r="A4339" s="1" t="str">
        <f>Paths!$A$400</f>
        <v>T099</v>
      </c>
      <c r="B4339" s="1">
        <f>Paths!$B$400</f>
        <v>1</v>
      </c>
      <c r="C4339" s="1">
        <v>9</v>
      </c>
      <c r="D4339" s="1">
        <v>400</v>
      </c>
      <c r="E4339" s="1">
        <f>IF(OR(Paths!$C$400=0,C4339=0),0,MAX(0,MIN(C4339*12,Paths!$E$400)-(C4339-1)*12))</f>
        <v>0</v>
      </c>
      <c r="F4339" s="1">
        <f>IF(OR(Paths!$C$400=0,C4339=0),0,12-E4339)</f>
        <v>0</v>
      </c>
      <c r="G4339" s="16">
        <f>IF(NOT(Paths!$C$400=1),0,IF(Paths!$P$400="Complete",E4339/12*(Paths!$J$400*(1+'Operating costs'!$B$51)^MAX(0,C4339-1)+Paths!$K$400*(1+'Operating costs'!$B$53)^MAX(0,C4339-1)),"n.a."))</f>
        <v>0</v>
      </c>
      <c r="H4339" s="16">
        <f>IF(NOT(Paths!$C$400=1),0,IF(Paths!$P$400="Complete",F4339/12*(Paths!$L$400*(1+IF(Paths!$D$400="EV",'Operating costs'!$B$52,'Operating costs'!$B$51))^MAX(0,C4339-1)+Paths!$M$400*(1+'Operating costs'!$B$53)^MAX(0,C4339-1)),"n.a."))</f>
        <v>0</v>
      </c>
      <c r="I4339" s="16">
        <f>IF(NOT(Paths!$C$400=1),0,IF(Paths!$P$400="Complete",IF(IF(Paths!$E$400=0,C4339=0,AND(C4339&gt;0,Paths!$E$400&gt;(C4339-1)*12,Paths!$E$400&lt;=C4339*12)),Paths!$G$400,0),"n.a."))</f>
        <v>0</v>
      </c>
      <c r="J4339" s="16">
        <f>IF(NOT(Paths!$C$400=1),0,IF(Paths!$P$400="Complete",IF(IF(Paths!$E$400=0,C4339=0,AND(C4339&gt;0,Paths!$E$400&gt;(C4339-1)*12,Paths!$E$400&lt;=C4339*12)),Paths!$H$400,0),"n.a."))</f>
        <v>0</v>
      </c>
      <c r="K4339" s="16">
        <f>IF(NOT(Paths!$C$400=1),0,IF(Paths!$P$400="Complete",IF(IF(Paths!$O$400=0,C4339=0,AND(C4339&gt;0,Paths!$O$400&gt;(C4339-1)*12,Paths!$O$400&lt;=C4339*12)),Paths!$N$400,0),"n.a."))</f>
        <v>0</v>
      </c>
      <c r="L4339" s="16">
        <f>IF(NOT(Paths!$C$400=1),0,IF(Paths!$P$400="Complete",IF(C4339=10,Paths!$I$400,0),"n.a."))</f>
        <v>0</v>
      </c>
      <c r="M4339" s="16">
        <f>IF(NOT(Paths!$C$400=1),0,IF(Paths!$P$400="Complete",IF(AND(Paths!$D$400="EV",Paths!$E$400&lt;120,Paths!$E$400+'Operating costs'!$B$65&gt;Paths!$E$400,Paths!$E$400+'Operating costs'!$B$65&lt;=120,IF(Paths!$E$400+'Operating costs'!$B$65=0,C4339=0,AND(C4339&gt;0,Paths!$E$400+'Operating costs'!$B$65&gt;(C4339-1)*12,Paths!$E$400+'Operating costs'!$B$65&lt;=C4339*12))),'Operating costs'!$B$64,0)+IF(AND('Operating costs'!$B$67&gt;0,'Operating costs'!$B$67&lt;=120,OR(Paths!$D$400="ICE",'Operating costs'!$B$67&lt;=Paths!$E$400),IF('Operating costs'!$B$67=0,C4339=0,AND(C4339&gt;0,'Operating costs'!$B$67&gt;(C4339-1)*12,'Operating costs'!$B$67&lt;=C4339*12))),'Operating costs'!$B$66,0),"n.a."))</f>
        <v>0</v>
      </c>
      <c r="N4339" s="16">
        <f>IF(NOT(Paths!$C$400=1),0,IF(Paths!$P$400="Complete",SUM(G4339:I4339)-J4339-K4339-L4339+M4339+IF(C4339=0,Paths!$F$400,0)+IF(IF(Paths!$E$400=0,C4339=0,AND(C4339&gt;0,Paths!$E$400&gt;(C4339-1)*12,Paths!$E$400&lt;=C4339*12)),VLOOKUP(A4339,'Fleet register'!$A$7:$S$106,16,FALSE),0),"n.a."))</f>
        <v>0</v>
      </c>
      <c r="O4339" s="16">
        <f>IF(NOT(Paths!$C$400=1),0,IF(Paths!$P$400="Complete",N4339-IF(C4339=0,Paths!$F$400,0),"n.a."))</f>
        <v>0</v>
      </c>
      <c r="P4339" s="16">
        <f>IF(NOT(Paths!$C$400=1),0,IF(Paths!$P$400="Complete",O4339+L4339,"n.a."))</f>
        <v>0</v>
      </c>
      <c r="Q4339" s="16">
        <f>IF(NOT(Paths!$C$400=1),0,IF(Paths!$P$400="Complete",N4339*(1+'Operating costs'!$B$54)^-C4339,"n.a."))</f>
        <v>0</v>
      </c>
      <c r="R4339" s="16">
        <f>IF(NOT(Paths!$C$400=1),0,IF(Paths!$P$400="Complete",IF(AND(C4339=0,Paths!$E$400=0),I4339-J4339-K4339+VLOOKUP(A4339,'Fleet register'!$A$7:$S$106,15,FALSE)+VLOOKUP(A4339,'Fleet register'!$A$7:$S$106,16,FALSE),0),"n.a."))</f>
        <v>0</v>
      </c>
      <c r="S4339" s="1">
        <f>IF(NOT(Paths!$C$400=1),0,IF(Paths!$P$400="Complete",IF(C4339=0,0,Paths!$S$400*Paths!$R$400),"n.a."))</f>
        <v>0</v>
      </c>
      <c r="T4339" s="1">
        <f>IF(NOT(Paths!$C$400=1),0,IF(Paths!$P$400="Complete",IF(C4339=0,0,VLOOKUP(A4339,'Fleet register'!$A$7:$S$106,9,FALSE)*Paths!$R$400),"n.a."))</f>
        <v>0</v>
      </c>
    </row>
    <row r="4340" spans="1:20" ht="24" customHeight="1">
      <c r="A4340" s="1" t="str">
        <f>Paths!$A$400</f>
        <v>T099</v>
      </c>
      <c r="B4340" s="1">
        <f>Paths!$B$400</f>
        <v>1</v>
      </c>
      <c r="C4340" s="1">
        <v>10</v>
      </c>
      <c r="D4340" s="1">
        <v>400</v>
      </c>
      <c r="E4340" s="1">
        <f>IF(OR(Paths!$C$400=0,C4340=0),0,MAX(0,MIN(C4340*12,Paths!$E$400)-(C4340-1)*12))</f>
        <v>0</v>
      </c>
      <c r="F4340" s="1">
        <f>IF(OR(Paths!$C$400=0,C4340=0),0,12-E4340)</f>
        <v>0</v>
      </c>
      <c r="G4340" s="16">
        <f>IF(NOT(Paths!$C$400=1),0,IF(Paths!$P$400="Complete",E4340/12*(Paths!$J$400*(1+'Operating costs'!$B$51)^MAX(0,C4340-1)+Paths!$K$400*(1+'Operating costs'!$B$53)^MAX(0,C4340-1)),"n.a."))</f>
        <v>0</v>
      </c>
      <c r="H4340" s="16">
        <f>IF(NOT(Paths!$C$400=1),0,IF(Paths!$P$400="Complete",F4340/12*(Paths!$L$400*(1+IF(Paths!$D$400="EV",'Operating costs'!$B$52,'Operating costs'!$B$51))^MAX(0,C4340-1)+Paths!$M$400*(1+'Operating costs'!$B$53)^MAX(0,C4340-1)),"n.a."))</f>
        <v>0</v>
      </c>
      <c r="I4340" s="16">
        <f>IF(NOT(Paths!$C$400=1),0,IF(Paths!$P$400="Complete",IF(IF(Paths!$E$400=0,C4340=0,AND(C4340&gt;0,Paths!$E$400&gt;(C4340-1)*12,Paths!$E$400&lt;=C4340*12)),Paths!$G$400,0),"n.a."))</f>
        <v>0</v>
      </c>
      <c r="J4340" s="16">
        <f>IF(NOT(Paths!$C$400=1),0,IF(Paths!$P$400="Complete",IF(IF(Paths!$E$400=0,C4340=0,AND(C4340&gt;0,Paths!$E$400&gt;(C4340-1)*12,Paths!$E$400&lt;=C4340*12)),Paths!$H$400,0),"n.a."))</f>
        <v>0</v>
      </c>
      <c r="K4340" s="16">
        <f>IF(NOT(Paths!$C$400=1),0,IF(Paths!$P$400="Complete",IF(IF(Paths!$O$400=0,C4340=0,AND(C4340&gt;0,Paths!$O$400&gt;(C4340-1)*12,Paths!$O$400&lt;=C4340*12)),Paths!$N$400,0),"n.a."))</f>
        <v>0</v>
      </c>
      <c r="L4340" s="16">
        <f>IF(NOT(Paths!$C$400=1),0,IF(Paths!$P$400="Complete",IF(C4340=10,Paths!$I$400,0),"n.a."))</f>
        <v>0</v>
      </c>
      <c r="M4340" s="16">
        <f>IF(NOT(Paths!$C$400=1),0,IF(Paths!$P$400="Complete",IF(AND(Paths!$D$400="EV",Paths!$E$400&lt;120,Paths!$E$400+'Operating costs'!$B$65&gt;Paths!$E$400,Paths!$E$400+'Operating costs'!$B$65&lt;=120,IF(Paths!$E$400+'Operating costs'!$B$65=0,C4340=0,AND(C4340&gt;0,Paths!$E$400+'Operating costs'!$B$65&gt;(C4340-1)*12,Paths!$E$400+'Operating costs'!$B$65&lt;=C4340*12))),'Operating costs'!$B$64,0)+IF(AND('Operating costs'!$B$67&gt;0,'Operating costs'!$B$67&lt;=120,OR(Paths!$D$400="ICE",'Operating costs'!$B$67&lt;=Paths!$E$400),IF('Operating costs'!$B$67=0,C4340=0,AND(C4340&gt;0,'Operating costs'!$B$67&gt;(C4340-1)*12,'Operating costs'!$B$67&lt;=C4340*12))),'Operating costs'!$B$66,0),"n.a."))</f>
        <v>0</v>
      </c>
      <c r="N4340" s="16">
        <f>IF(NOT(Paths!$C$400=1),0,IF(Paths!$P$400="Complete",SUM(G4340:I4340)-J4340-K4340-L4340+M4340+IF(C4340=0,Paths!$F$400,0)+IF(IF(Paths!$E$400=0,C4340=0,AND(C4340&gt;0,Paths!$E$400&gt;(C4340-1)*12,Paths!$E$400&lt;=C4340*12)),VLOOKUP(A4340,'Fleet register'!$A$7:$S$106,16,FALSE),0),"n.a."))</f>
        <v>0</v>
      </c>
      <c r="O4340" s="16">
        <f>IF(NOT(Paths!$C$400=1),0,IF(Paths!$P$400="Complete",N4340-IF(C4340=0,Paths!$F$400,0),"n.a."))</f>
        <v>0</v>
      </c>
      <c r="P4340" s="16">
        <f>IF(NOT(Paths!$C$400=1),0,IF(Paths!$P$400="Complete",O4340+L4340,"n.a."))</f>
        <v>0</v>
      </c>
      <c r="Q4340" s="16">
        <f>IF(NOT(Paths!$C$400=1),0,IF(Paths!$P$400="Complete",N4340*(1+'Operating costs'!$B$54)^-C4340,"n.a."))</f>
        <v>0</v>
      </c>
      <c r="R4340" s="16">
        <f>IF(NOT(Paths!$C$400=1),0,IF(Paths!$P$400="Complete",IF(AND(C4340=0,Paths!$E$400=0),I4340-J4340-K4340+VLOOKUP(A4340,'Fleet register'!$A$7:$S$106,15,FALSE)+VLOOKUP(A4340,'Fleet register'!$A$7:$S$106,16,FALSE),0),"n.a."))</f>
        <v>0</v>
      </c>
      <c r="S4340" s="1">
        <f>IF(NOT(Paths!$C$400=1),0,IF(Paths!$P$400="Complete",IF(C4340=0,0,Paths!$S$400*Paths!$R$400),"n.a."))</f>
        <v>0</v>
      </c>
      <c r="T4340" s="1">
        <f>IF(NOT(Paths!$C$400=1),0,IF(Paths!$P$400="Complete",IF(C4340=0,0,VLOOKUP(A4340,'Fleet register'!$A$7:$S$106,9,FALSE)*Paths!$R$400),"n.a."))</f>
        <v>0</v>
      </c>
    </row>
    <row r="4341" spans="1:20" ht="24" customHeight="1">
      <c r="A4341" s="1" t="str">
        <f>Paths!$A$401</f>
        <v>T099</v>
      </c>
      <c r="B4341" s="1">
        <f>Paths!$B$401</f>
        <v>2</v>
      </c>
      <c r="C4341" s="1">
        <v>0</v>
      </c>
      <c r="D4341" s="1">
        <v>401</v>
      </c>
      <c r="E4341" s="1">
        <f>IF(OR(Paths!$C$401=0,C4341=0),0,MAX(0,MIN(C4341*12,Paths!$E$401)-(C4341-1)*12))</f>
        <v>0</v>
      </c>
      <c r="F4341" s="1">
        <f>IF(OR(Paths!$C$401=0,C4341=0),0,12-E4341)</f>
        <v>0</v>
      </c>
      <c r="G4341" s="16">
        <f>IF(NOT(Paths!$C$401=1),0,IF(Paths!$P$401="Complete",E4341/12*(Paths!$J$401*(1+'Operating costs'!$B$51)^MAX(0,C4341-1)+Paths!$K$401*(1+'Operating costs'!$B$53)^MAX(0,C4341-1)),"n.a."))</f>
        <v>0</v>
      </c>
      <c r="H4341" s="16">
        <f>IF(NOT(Paths!$C$401=1),0,IF(Paths!$P$401="Complete",F4341/12*(Paths!$L$401*(1+IF(Paths!$D$401="EV",'Operating costs'!$B$52,'Operating costs'!$B$51))^MAX(0,C4341-1)+Paths!$M$401*(1+'Operating costs'!$B$53)^MAX(0,C4341-1)),"n.a."))</f>
        <v>0</v>
      </c>
      <c r="I4341" s="16">
        <f>IF(NOT(Paths!$C$401=1),0,IF(Paths!$P$401="Complete",IF(IF(Paths!$E$401=0,C4341=0,AND(C4341&gt;0,Paths!$E$401&gt;(C4341-1)*12,Paths!$E$401&lt;=C4341*12)),Paths!$G$401,0),"n.a."))</f>
        <v>0</v>
      </c>
      <c r="J4341" s="16">
        <f>IF(NOT(Paths!$C$401=1),0,IF(Paths!$P$401="Complete",IF(IF(Paths!$E$401=0,C4341=0,AND(C4341&gt;0,Paths!$E$401&gt;(C4341-1)*12,Paths!$E$401&lt;=C4341*12)),Paths!$H$401,0),"n.a."))</f>
        <v>0</v>
      </c>
      <c r="K4341" s="16">
        <f>IF(NOT(Paths!$C$401=1),0,IF(Paths!$P$401="Complete",IF(IF(Paths!$O$401=0,C4341=0,AND(C4341&gt;0,Paths!$O$401&gt;(C4341-1)*12,Paths!$O$401&lt;=C4341*12)),Paths!$N$401,0),"n.a."))</f>
        <v>0</v>
      </c>
      <c r="L4341" s="16">
        <f>IF(NOT(Paths!$C$401=1),0,IF(Paths!$P$401="Complete",IF(C4341=10,Paths!$I$401,0),"n.a."))</f>
        <v>0</v>
      </c>
      <c r="M4341" s="16">
        <f>IF(NOT(Paths!$C$401=1),0,IF(Paths!$P$401="Complete",IF(AND(Paths!$D$401="EV",Paths!$E$401&lt;120,Paths!$E$401+'Operating costs'!$B$65&gt;Paths!$E$401,Paths!$E$401+'Operating costs'!$B$65&lt;=120,IF(Paths!$E$401+'Operating costs'!$B$65=0,C4341=0,AND(C4341&gt;0,Paths!$E$401+'Operating costs'!$B$65&gt;(C4341-1)*12,Paths!$E$401+'Operating costs'!$B$65&lt;=C4341*12))),'Operating costs'!$B$64,0)+IF(AND('Operating costs'!$B$67&gt;0,'Operating costs'!$B$67&lt;=120,OR(Paths!$D$401="ICE",'Operating costs'!$B$67&lt;=Paths!$E$401),IF('Operating costs'!$B$67=0,C4341=0,AND(C4341&gt;0,'Operating costs'!$B$67&gt;(C4341-1)*12,'Operating costs'!$B$67&lt;=C4341*12))),'Operating costs'!$B$66,0),"n.a."))</f>
        <v>0</v>
      </c>
      <c r="N4341" s="16">
        <f>IF(NOT(Paths!$C$401=1),0,IF(Paths!$P$401="Complete",SUM(G4341:I4341)-J4341-K4341-L4341+M4341+IF(C4341=0,Paths!$F$401,0)+IF(IF(Paths!$E$401=0,C4341=0,AND(C4341&gt;0,Paths!$E$401&gt;(C4341-1)*12,Paths!$E$401&lt;=C4341*12)),VLOOKUP(A4341,'Fleet register'!$A$7:$S$106,16,FALSE),0),"n.a."))</f>
        <v>0</v>
      </c>
      <c r="O4341" s="16">
        <f>IF(NOT(Paths!$C$401=1),0,IF(Paths!$P$401="Complete",N4341-IF(C4341=0,Paths!$F$401,0),"n.a."))</f>
        <v>0</v>
      </c>
      <c r="P4341" s="16">
        <f>IF(NOT(Paths!$C$401=1),0,IF(Paths!$P$401="Complete",O4341+L4341,"n.a."))</f>
        <v>0</v>
      </c>
      <c r="Q4341" s="16">
        <f>IF(NOT(Paths!$C$401=1),0,IF(Paths!$P$401="Complete",N4341*(1+'Operating costs'!$B$54)^-C4341,"n.a."))</f>
        <v>0</v>
      </c>
      <c r="R4341" s="16">
        <f>IF(NOT(Paths!$C$401=1),0,IF(Paths!$P$401="Complete",IF(AND(C4341=0,Paths!$E$401=0),I4341-J4341-K4341+VLOOKUP(A4341,'Fleet register'!$A$7:$S$106,15,FALSE)+VLOOKUP(A4341,'Fleet register'!$A$7:$S$106,16,FALSE),0),"n.a."))</f>
        <v>0</v>
      </c>
      <c r="S4341" s="1">
        <f>IF(NOT(Paths!$C$401=1),0,IF(Paths!$P$401="Complete",IF(C4341=0,0,Paths!$S$401*Paths!$R$401),"n.a."))</f>
        <v>0</v>
      </c>
      <c r="T4341" s="1">
        <f>IF(NOT(Paths!$C$401=1),0,IF(Paths!$P$401="Complete",IF(C4341=0,0,VLOOKUP(A4341,'Fleet register'!$A$7:$S$106,9,FALSE)*Paths!$R$401),"n.a."))</f>
        <v>0</v>
      </c>
    </row>
    <row r="4342" spans="1:20" ht="24" customHeight="1">
      <c r="A4342" s="1" t="str">
        <f>Paths!$A$401</f>
        <v>T099</v>
      </c>
      <c r="B4342" s="1">
        <f>Paths!$B$401</f>
        <v>2</v>
      </c>
      <c r="C4342" s="1">
        <v>1</v>
      </c>
      <c r="D4342" s="1">
        <v>401</v>
      </c>
      <c r="E4342" s="1">
        <f>IF(OR(Paths!$C$401=0,C4342=0),0,MAX(0,MIN(C4342*12,Paths!$E$401)-(C4342-1)*12))</f>
        <v>0</v>
      </c>
      <c r="F4342" s="1">
        <f>IF(OR(Paths!$C$401=0,C4342=0),0,12-E4342)</f>
        <v>0</v>
      </c>
      <c r="G4342" s="16">
        <f>IF(NOT(Paths!$C$401=1),0,IF(Paths!$P$401="Complete",E4342/12*(Paths!$J$401*(1+'Operating costs'!$B$51)^MAX(0,C4342-1)+Paths!$K$401*(1+'Operating costs'!$B$53)^MAX(0,C4342-1)),"n.a."))</f>
        <v>0</v>
      </c>
      <c r="H4342" s="16">
        <f>IF(NOT(Paths!$C$401=1),0,IF(Paths!$P$401="Complete",F4342/12*(Paths!$L$401*(1+IF(Paths!$D$401="EV",'Operating costs'!$B$52,'Operating costs'!$B$51))^MAX(0,C4342-1)+Paths!$M$401*(1+'Operating costs'!$B$53)^MAX(0,C4342-1)),"n.a."))</f>
        <v>0</v>
      </c>
      <c r="I4342" s="16">
        <f>IF(NOT(Paths!$C$401=1),0,IF(Paths!$P$401="Complete",IF(IF(Paths!$E$401=0,C4342=0,AND(C4342&gt;0,Paths!$E$401&gt;(C4342-1)*12,Paths!$E$401&lt;=C4342*12)),Paths!$G$401,0),"n.a."))</f>
        <v>0</v>
      </c>
      <c r="J4342" s="16">
        <f>IF(NOT(Paths!$C$401=1),0,IF(Paths!$P$401="Complete",IF(IF(Paths!$E$401=0,C4342=0,AND(C4342&gt;0,Paths!$E$401&gt;(C4342-1)*12,Paths!$E$401&lt;=C4342*12)),Paths!$H$401,0),"n.a."))</f>
        <v>0</v>
      </c>
      <c r="K4342" s="16">
        <f>IF(NOT(Paths!$C$401=1),0,IF(Paths!$P$401="Complete",IF(IF(Paths!$O$401=0,C4342=0,AND(C4342&gt;0,Paths!$O$401&gt;(C4342-1)*12,Paths!$O$401&lt;=C4342*12)),Paths!$N$401,0),"n.a."))</f>
        <v>0</v>
      </c>
      <c r="L4342" s="16">
        <f>IF(NOT(Paths!$C$401=1),0,IF(Paths!$P$401="Complete",IF(C4342=10,Paths!$I$401,0),"n.a."))</f>
        <v>0</v>
      </c>
      <c r="M4342" s="16">
        <f>IF(NOT(Paths!$C$401=1),0,IF(Paths!$P$401="Complete",IF(AND(Paths!$D$401="EV",Paths!$E$401&lt;120,Paths!$E$401+'Operating costs'!$B$65&gt;Paths!$E$401,Paths!$E$401+'Operating costs'!$B$65&lt;=120,IF(Paths!$E$401+'Operating costs'!$B$65=0,C4342=0,AND(C4342&gt;0,Paths!$E$401+'Operating costs'!$B$65&gt;(C4342-1)*12,Paths!$E$401+'Operating costs'!$B$65&lt;=C4342*12))),'Operating costs'!$B$64,0)+IF(AND('Operating costs'!$B$67&gt;0,'Operating costs'!$B$67&lt;=120,OR(Paths!$D$401="ICE",'Operating costs'!$B$67&lt;=Paths!$E$401),IF('Operating costs'!$B$67=0,C4342=0,AND(C4342&gt;0,'Operating costs'!$B$67&gt;(C4342-1)*12,'Operating costs'!$B$67&lt;=C4342*12))),'Operating costs'!$B$66,0),"n.a."))</f>
        <v>0</v>
      </c>
      <c r="N4342" s="16">
        <f>IF(NOT(Paths!$C$401=1),0,IF(Paths!$P$401="Complete",SUM(G4342:I4342)-J4342-K4342-L4342+M4342+IF(C4342=0,Paths!$F$401,0)+IF(IF(Paths!$E$401=0,C4342=0,AND(C4342&gt;0,Paths!$E$401&gt;(C4342-1)*12,Paths!$E$401&lt;=C4342*12)),VLOOKUP(A4342,'Fleet register'!$A$7:$S$106,16,FALSE),0),"n.a."))</f>
        <v>0</v>
      </c>
      <c r="O4342" s="16">
        <f>IF(NOT(Paths!$C$401=1),0,IF(Paths!$P$401="Complete",N4342-IF(C4342=0,Paths!$F$401,0),"n.a."))</f>
        <v>0</v>
      </c>
      <c r="P4342" s="16">
        <f>IF(NOT(Paths!$C$401=1),0,IF(Paths!$P$401="Complete",O4342+L4342,"n.a."))</f>
        <v>0</v>
      </c>
      <c r="Q4342" s="16">
        <f>IF(NOT(Paths!$C$401=1),0,IF(Paths!$P$401="Complete",N4342*(1+'Operating costs'!$B$54)^-C4342,"n.a."))</f>
        <v>0</v>
      </c>
      <c r="R4342" s="16">
        <f>IF(NOT(Paths!$C$401=1),0,IF(Paths!$P$401="Complete",IF(AND(C4342=0,Paths!$E$401=0),I4342-J4342-K4342+VLOOKUP(A4342,'Fleet register'!$A$7:$S$106,15,FALSE)+VLOOKUP(A4342,'Fleet register'!$A$7:$S$106,16,FALSE),0),"n.a."))</f>
        <v>0</v>
      </c>
      <c r="S4342" s="1">
        <f>IF(NOT(Paths!$C$401=1),0,IF(Paths!$P$401="Complete",IF(C4342=0,0,Paths!$S$401*Paths!$R$401),"n.a."))</f>
        <v>0</v>
      </c>
      <c r="T4342" s="1">
        <f>IF(NOT(Paths!$C$401=1),0,IF(Paths!$P$401="Complete",IF(C4342=0,0,VLOOKUP(A4342,'Fleet register'!$A$7:$S$106,9,FALSE)*Paths!$R$401),"n.a."))</f>
        <v>0</v>
      </c>
    </row>
    <row r="4343" spans="1:20" ht="24" customHeight="1">
      <c r="A4343" s="1" t="str">
        <f>Paths!$A$401</f>
        <v>T099</v>
      </c>
      <c r="B4343" s="1">
        <f>Paths!$B$401</f>
        <v>2</v>
      </c>
      <c r="C4343" s="1">
        <v>2</v>
      </c>
      <c r="D4343" s="1">
        <v>401</v>
      </c>
      <c r="E4343" s="1">
        <f>IF(OR(Paths!$C$401=0,C4343=0),0,MAX(0,MIN(C4343*12,Paths!$E$401)-(C4343-1)*12))</f>
        <v>0</v>
      </c>
      <c r="F4343" s="1">
        <f>IF(OR(Paths!$C$401=0,C4343=0),0,12-E4343)</f>
        <v>0</v>
      </c>
      <c r="G4343" s="16">
        <f>IF(NOT(Paths!$C$401=1),0,IF(Paths!$P$401="Complete",E4343/12*(Paths!$J$401*(1+'Operating costs'!$B$51)^MAX(0,C4343-1)+Paths!$K$401*(1+'Operating costs'!$B$53)^MAX(0,C4343-1)),"n.a."))</f>
        <v>0</v>
      </c>
      <c r="H4343" s="16">
        <f>IF(NOT(Paths!$C$401=1),0,IF(Paths!$P$401="Complete",F4343/12*(Paths!$L$401*(1+IF(Paths!$D$401="EV",'Operating costs'!$B$52,'Operating costs'!$B$51))^MAX(0,C4343-1)+Paths!$M$401*(1+'Operating costs'!$B$53)^MAX(0,C4343-1)),"n.a."))</f>
        <v>0</v>
      </c>
      <c r="I4343" s="16">
        <f>IF(NOT(Paths!$C$401=1),0,IF(Paths!$P$401="Complete",IF(IF(Paths!$E$401=0,C4343=0,AND(C4343&gt;0,Paths!$E$401&gt;(C4343-1)*12,Paths!$E$401&lt;=C4343*12)),Paths!$G$401,0),"n.a."))</f>
        <v>0</v>
      </c>
      <c r="J4343" s="16">
        <f>IF(NOT(Paths!$C$401=1),0,IF(Paths!$P$401="Complete",IF(IF(Paths!$E$401=0,C4343=0,AND(C4343&gt;0,Paths!$E$401&gt;(C4343-1)*12,Paths!$E$401&lt;=C4343*12)),Paths!$H$401,0),"n.a."))</f>
        <v>0</v>
      </c>
      <c r="K4343" s="16">
        <f>IF(NOT(Paths!$C$401=1),0,IF(Paths!$P$401="Complete",IF(IF(Paths!$O$401=0,C4343=0,AND(C4343&gt;0,Paths!$O$401&gt;(C4343-1)*12,Paths!$O$401&lt;=C4343*12)),Paths!$N$401,0),"n.a."))</f>
        <v>0</v>
      </c>
      <c r="L4343" s="16">
        <f>IF(NOT(Paths!$C$401=1),0,IF(Paths!$P$401="Complete",IF(C4343=10,Paths!$I$401,0),"n.a."))</f>
        <v>0</v>
      </c>
      <c r="M4343" s="16">
        <f>IF(NOT(Paths!$C$401=1),0,IF(Paths!$P$401="Complete",IF(AND(Paths!$D$401="EV",Paths!$E$401&lt;120,Paths!$E$401+'Operating costs'!$B$65&gt;Paths!$E$401,Paths!$E$401+'Operating costs'!$B$65&lt;=120,IF(Paths!$E$401+'Operating costs'!$B$65=0,C4343=0,AND(C4343&gt;0,Paths!$E$401+'Operating costs'!$B$65&gt;(C4343-1)*12,Paths!$E$401+'Operating costs'!$B$65&lt;=C4343*12))),'Operating costs'!$B$64,0)+IF(AND('Operating costs'!$B$67&gt;0,'Operating costs'!$B$67&lt;=120,OR(Paths!$D$401="ICE",'Operating costs'!$B$67&lt;=Paths!$E$401),IF('Operating costs'!$B$67=0,C4343=0,AND(C4343&gt;0,'Operating costs'!$B$67&gt;(C4343-1)*12,'Operating costs'!$B$67&lt;=C4343*12))),'Operating costs'!$B$66,0),"n.a."))</f>
        <v>0</v>
      </c>
      <c r="N4343" s="16">
        <f>IF(NOT(Paths!$C$401=1),0,IF(Paths!$P$401="Complete",SUM(G4343:I4343)-J4343-K4343-L4343+M4343+IF(C4343=0,Paths!$F$401,0)+IF(IF(Paths!$E$401=0,C4343=0,AND(C4343&gt;0,Paths!$E$401&gt;(C4343-1)*12,Paths!$E$401&lt;=C4343*12)),VLOOKUP(A4343,'Fleet register'!$A$7:$S$106,16,FALSE),0),"n.a."))</f>
        <v>0</v>
      </c>
      <c r="O4343" s="16">
        <f>IF(NOT(Paths!$C$401=1),0,IF(Paths!$P$401="Complete",N4343-IF(C4343=0,Paths!$F$401,0),"n.a."))</f>
        <v>0</v>
      </c>
      <c r="P4343" s="16">
        <f>IF(NOT(Paths!$C$401=1),0,IF(Paths!$P$401="Complete",O4343+L4343,"n.a."))</f>
        <v>0</v>
      </c>
      <c r="Q4343" s="16">
        <f>IF(NOT(Paths!$C$401=1),0,IF(Paths!$P$401="Complete",N4343*(1+'Operating costs'!$B$54)^-C4343,"n.a."))</f>
        <v>0</v>
      </c>
      <c r="R4343" s="16">
        <f>IF(NOT(Paths!$C$401=1),0,IF(Paths!$P$401="Complete",IF(AND(C4343=0,Paths!$E$401=0),I4343-J4343-K4343+VLOOKUP(A4343,'Fleet register'!$A$7:$S$106,15,FALSE)+VLOOKUP(A4343,'Fleet register'!$A$7:$S$106,16,FALSE),0),"n.a."))</f>
        <v>0</v>
      </c>
      <c r="S4343" s="1">
        <f>IF(NOT(Paths!$C$401=1),0,IF(Paths!$P$401="Complete",IF(C4343=0,0,Paths!$S$401*Paths!$R$401),"n.a."))</f>
        <v>0</v>
      </c>
      <c r="T4343" s="1">
        <f>IF(NOT(Paths!$C$401=1),0,IF(Paths!$P$401="Complete",IF(C4343=0,0,VLOOKUP(A4343,'Fleet register'!$A$7:$S$106,9,FALSE)*Paths!$R$401),"n.a."))</f>
        <v>0</v>
      </c>
    </row>
    <row r="4344" spans="1:20" ht="24" customHeight="1">
      <c r="A4344" s="1" t="str">
        <f>Paths!$A$401</f>
        <v>T099</v>
      </c>
      <c r="B4344" s="1">
        <f>Paths!$B$401</f>
        <v>2</v>
      </c>
      <c r="C4344" s="1">
        <v>3</v>
      </c>
      <c r="D4344" s="1">
        <v>401</v>
      </c>
      <c r="E4344" s="1">
        <f>IF(OR(Paths!$C$401=0,C4344=0),0,MAX(0,MIN(C4344*12,Paths!$E$401)-(C4344-1)*12))</f>
        <v>0</v>
      </c>
      <c r="F4344" s="1">
        <f>IF(OR(Paths!$C$401=0,C4344=0),0,12-E4344)</f>
        <v>0</v>
      </c>
      <c r="G4344" s="16">
        <f>IF(NOT(Paths!$C$401=1),0,IF(Paths!$P$401="Complete",E4344/12*(Paths!$J$401*(1+'Operating costs'!$B$51)^MAX(0,C4344-1)+Paths!$K$401*(1+'Operating costs'!$B$53)^MAX(0,C4344-1)),"n.a."))</f>
        <v>0</v>
      </c>
      <c r="H4344" s="16">
        <f>IF(NOT(Paths!$C$401=1),0,IF(Paths!$P$401="Complete",F4344/12*(Paths!$L$401*(1+IF(Paths!$D$401="EV",'Operating costs'!$B$52,'Operating costs'!$B$51))^MAX(0,C4344-1)+Paths!$M$401*(1+'Operating costs'!$B$53)^MAX(0,C4344-1)),"n.a."))</f>
        <v>0</v>
      </c>
      <c r="I4344" s="16">
        <f>IF(NOT(Paths!$C$401=1),0,IF(Paths!$P$401="Complete",IF(IF(Paths!$E$401=0,C4344=0,AND(C4344&gt;0,Paths!$E$401&gt;(C4344-1)*12,Paths!$E$401&lt;=C4344*12)),Paths!$G$401,0),"n.a."))</f>
        <v>0</v>
      </c>
      <c r="J4344" s="16">
        <f>IF(NOT(Paths!$C$401=1),0,IF(Paths!$P$401="Complete",IF(IF(Paths!$E$401=0,C4344=0,AND(C4344&gt;0,Paths!$E$401&gt;(C4344-1)*12,Paths!$E$401&lt;=C4344*12)),Paths!$H$401,0),"n.a."))</f>
        <v>0</v>
      </c>
      <c r="K4344" s="16">
        <f>IF(NOT(Paths!$C$401=1),0,IF(Paths!$P$401="Complete",IF(IF(Paths!$O$401=0,C4344=0,AND(C4344&gt;0,Paths!$O$401&gt;(C4344-1)*12,Paths!$O$401&lt;=C4344*12)),Paths!$N$401,0),"n.a."))</f>
        <v>0</v>
      </c>
      <c r="L4344" s="16">
        <f>IF(NOT(Paths!$C$401=1),0,IF(Paths!$P$401="Complete",IF(C4344=10,Paths!$I$401,0),"n.a."))</f>
        <v>0</v>
      </c>
      <c r="M4344" s="16">
        <f>IF(NOT(Paths!$C$401=1),0,IF(Paths!$P$401="Complete",IF(AND(Paths!$D$401="EV",Paths!$E$401&lt;120,Paths!$E$401+'Operating costs'!$B$65&gt;Paths!$E$401,Paths!$E$401+'Operating costs'!$B$65&lt;=120,IF(Paths!$E$401+'Operating costs'!$B$65=0,C4344=0,AND(C4344&gt;0,Paths!$E$401+'Operating costs'!$B$65&gt;(C4344-1)*12,Paths!$E$401+'Operating costs'!$B$65&lt;=C4344*12))),'Operating costs'!$B$64,0)+IF(AND('Operating costs'!$B$67&gt;0,'Operating costs'!$B$67&lt;=120,OR(Paths!$D$401="ICE",'Operating costs'!$B$67&lt;=Paths!$E$401),IF('Operating costs'!$B$67=0,C4344=0,AND(C4344&gt;0,'Operating costs'!$B$67&gt;(C4344-1)*12,'Operating costs'!$B$67&lt;=C4344*12))),'Operating costs'!$B$66,0),"n.a."))</f>
        <v>0</v>
      </c>
      <c r="N4344" s="16">
        <f>IF(NOT(Paths!$C$401=1),0,IF(Paths!$P$401="Complete",SUM(G4344:I4344)-J4344-K4344-L4344+M4344+IF(C4344=0,Paths!$F$401,0)+IF(IF(Paths!$E$401=0,C4344=0,AND(C4344&gt;0,Paths!$E$401&gt;(C4344-1)*12,Paths!$E$401&lt;=C4344*12)),VLOOKUP(A4344,'Fleet register'!$A$7:$S$106,16,FALSE),0),"n.a."))</f>
        <v>0</v>
      </c>
      <c r="O4344" s="16">
        <f>IF(NOT(Paths!$C$401=1),0,IF(Paths!$P$401="Complete",N4344-IF(C4344=0,Paths!$F$401,0),"n.a."))</f>
        <v>0</v>
      </c>
      <c r="P4344" s="16">
        <f>IF(NOT(Paths!$C$401=1),0,IF(Paths!$P$401="Complete",O4344+L4344,"n.a."))</f>
        <v>0</v>
      </c>
      <c r="Q4344" s="16">
        <f>IF(NOT(Paths!$C$401=1),0,IF(Paths!$P$401="Complete",N4344*(1+'Operating costs'!$B$54)^-C4344,"n.a."))</f>
        <v>0</v>
      </c>
      <c r="R4344" s="16">
        <f>IF(NOT(Paths!$C$401=1),0,IF(Paths!$P$401="Complete",IF(AND(C4344=0,Paths!$E$401=0),I4344-J4344-K4344+VLOOKUP(A4344,'Fleet register'!$A$7:$S$106,15,FALSE)+VLOOKUP(A4344,'Fleet register'!$A$7:$S$106,16,FALSE),0),"n.a."))</f>
        <v>0</v>
      </c>
      <c r="S4344" s="1">
        <f>IF(NOT(Paths!$C$401=1),0,IF(Paths!$P$401="Complete",IF(C4344=0,0,Paths!$S$401*Paths!$R$401),"n.a."))</f>
        <v>0</v>
      </c>
      <c r="T4344" s="1">
        <f>IF(NOT(Paths!$C$401=1),0,IF(Paths!$P$401="Complete",IF(C4344=0,0,VLOOKUP(A4344,'Fleet register'!$A$7:$S$106,9,FALSE)*Paths!$R$401),"n.a."))</f>
        <v>0</v>
      </c>
    </row>
    <row r="4345" spans="1:20" ht="24" customHeight="1">
      <c r="A4345" s="1" t="str">
        <f>Paths!$A$401</f>
        <v>T099</v>
      </c>
      <c r="B4345" s="1">
        <f>Paths!$B$401</f>
        <v>2</v>
      </c>
      <c r="C4345" s="1">
        <v>4</v>
      </c>
      <c r="D4345" s="1">
        <v>401</v>
      </c>
      <c r="E4345" s="1">
        <f>IF(OR(Paths!$C$401=0,C4345=0),0,MAX(0,MIN(C4345*12,Paths!$E$401)-(C4345-1)*12))</f>
        <v>0</v>
      </c>
      <c r="F4345" s="1">
        <f>IF(OR(Paths!$C$401=0,C4345=0),0,12-E4345)</f>
        <v>0</v>
      </c>
      <c r="G4345" s="16">
        <f>IF(NOT(Paths!$C$401=1),0,IF(Paths!$P$401="Complete",E4345/12*(Paths!$J$401*(1+'Operating costs'!$B$51)^MAX(0,C4345-1)+Paths!$K$401*(1+'Operating costs'!$B$53)^MAX(0,C4345-1)),"n.a."))</f>
        <v>0</v>
      </c>
      <c r="H4345" s="16">
        <f>IF(NOT(Paths!$C$401=1),0,IF(Paths!$P$401="Complete",F4345/12*(Paths!$L$401*(1+IF(Paths!$D$401="EV",'Operating costs'!$B$52,'Operating costs'!$B$51))^MAX(0,C4345-1)+Paths!$M$401*(1+'Operating costs'!$B$53)^MAX(0,C4345-1)),"n.a."))</f>
        <v>0</v>
      </c>
      <c r="I4345" s="16">
        <f>IF(NOT(Paths!$C$401=1),0,IF(Paths!$P$401="Complete",IF(IF(Paths!$E$401=0,C4345=0,AND(C4345&gt;0,Paths!$E$401&gt;(C4345-1)*12,Paths!$E$401&lt;=C4345*12)),Paths!$G$401,0),"n.a."))</f>
        <v>0</v>
      </c>
      <c r="J4345" s="16">
        <f>IF(NOT(Paths!$C$401=1),0,IF(Paths!$P$401="Complete",IF(IF(Paths!$E$401=0,C4345=0,AND(C4345&gt;0,Paths!$E$401&gt;(C4345-1)*12,Paths!$E$401&lt;=C4345*12)),Paths!$H$401,0),"n.a."))</f>
        <v>0</v>
      </c>
      <c r="K4345" s="16">
        <f>IF(NOT(Paths!$C$401=1),0,IF(Paths!$P$401="Complete",IF(IF(Paths!$O$401=0,C4345=0,AND(C4345&gt;0,Paths!$O$401&gt;(C4345-1)*12,Paths!$O$401&lt;=C4345*12)),Paths!$N$401,0),"n.a."))</f>
        <v>0</v>
      </c>
      <c r="L4345" s="16">
        <f>IF(NOT(Paths!$C$401=1),0,IF(Paths!$P$401="Complete",IF(C4345=10,Paths!$I$401,0),"n.a."))</f>
        <v>0</v>
      </c>
      <c r="M4345" s="16">
        <f>IF(NOT(Paths!$C$401=1),0,IF(Paths!$P$401="Complete",IF(AND(Paths!$D$401="EV",Paths!$E$401&lt;120,Paths!$E$401+'Operating costs'!$B$65&gt;Paths!$E$401,Paths!$E$401+'Operating costs'!$B$65&lt;=120,IF(Paths!$E$401+'Operating costs'!$B$65=0,C4345=0,AND(C4345&gt;0,Paths!$E$401+'Operating costs'!$B$65&gt;(C4345-1)*12,Paths!$E$401+'Operating costs'!$B$65&lt;=C4345*12))),'Operating costs'!$B$64,0)+IF(AND('Operating costs'!$B$67&gt;0,'Operating costs'!$B$67&lt;=120,OR(Paths!$D$401="ICE",'Operating costs'!$B$67&lt;=Paths!$E$401),IF('Operating costs'!$B$67=0,C4345=0,AND(C4345&gt;0,'Operating costs'!$B$67&gt;(C4345-1)*12,'Operating costs'!$B$67&lt;=C4345*12))),'Operating costs'!$B$66,0),"n.a."))</f>
        <v>0</v>
      </c>
      <c r="N4345" s="16">
        <f>IF(NOT(Paths!$C$401=1),0,IF(Paths!$P$401="Complete",SUM(G4345:I4345)-J4345-K4345-L4345+M4345+IF(C4345=0,Paths!$F$401,0)+IF(IF(Paths!$E$401=0,C4345=0,AND(C4345&gt;0,Paths!$E$401&gt;(C4345-1)*12,Paths!$E$401&lt;=C4345*12)),VLOOKUP(A4345,'Fleet register'!$A$7:$S$106,16,FALSE),0),"n.a."))</f>
        <v>0</v>
      </c>
      <c r="O4345" s="16">
        <f>IF(NOT(Paths!$C$401=1),0,IF(Paths!$P$401="Complete",N4345-IF(C4345=0,Paths!$F$401,0),"n.a."))</f>
        <v>0</v>
      </c>
      <c r="P4345" s="16">
        <f>IF(NOT(Paths!$C$401=1),0,IF(Paths!$P$401="Complete",O4345+L4345,"n.a."))</f>
        <v>0</v>
      </c>
      <c r="Q4345" s="16">
        <f>IF(NOT(Paths!$C$401=1),0,IF(Paths!$P$401="Complete",N4345*(1+'Operating costs'!$B$54)^-C4345,"n.a."))</f>
        <v>0</v>
      </c>
      <c r="R4345" s="16">
        <f>IF(NOT(Paths!$C$401=1),0,IF(Paths!$P$401="Complete",IF(AND(C4345=0,Paths!$E$401=0),I4345-J4345-K4345+VLOOKUP(A4345,'Fleet register'!$A$7:$S$106,15,FALSE)+VLOOKUP(A4345,'Fleet register'!$A$7:$S$106,16,FALSE),0),"n.a."))</f>
        <v>0</v>
      </c>
      <c r="S4345" s="1">
        <f>IF(NOT(Paths!$C$401=1),0,IF(Paths!$P$401="Complete",IF(C4345=0,0,Paths!$S$401*Paths!$R$401),"n.a."))</f>
        <v>0</v>
      </c>
      <c r="T4345" s="1">
        <f>IF(NOT(Paths!$C$401=1),0,IF(Paths!$P$401="Complete",IF(C4345=0,0,VLOOKUP(A4345,'Fleet register'!$A$7:$S$106,9,FALSE)*Paths!$R$401),"n.a."))</f>
        <v>0</v>
      </c>
    </row>
    <row r="4346" spans="1:20" ht="24" customHeight="1">
      <c r="A4346" s="1" t="str">
        <f>Paths!$A$401</f>
        <v>T099</v>
      </c>
      <c r="B4346" s="1">
        <f>Paths!$B$401</f>
        <v>2</v>
      </c>
      <c r="C4346" s="1">
        <v>5</v>
      </c>
      <c r="D4346" s="1">
        <v>401</v>
      </c>
      <c r="E4346" s="1">
        <f>IF(OR(Paths!$C$401=0,C4346=0),0,MAX(0,MIN(C4346*12,Paths!$E$401)-(C4346-1)*12))</f>
        <v>0</v>
      </c>
      <c r="F4346" s="1">
        <f>IF(OR(Paths!$C$401=0,C4346=0),0,12-E4346)</f>
        <v>0</v>
      </c>
      <c r="G4346" s="16">
        <f>IF(NOT(Paths!$C$401=1),0,IF(Paths!$P$401="Complete",E4346/12*(Paths!$J$401*(1+'Operating costs'!$B$51)^MAX(0,C4346-1)+Paths!$K$401*(1+'Operating costs'!$B$53)^MAX(0,C4346-1)),"n.a."))</f>
        <v>0</v>
      </c>
      <c r="H4346" s="16">
        <f>IF(NOT(Paths!$C$401=1),0,IF(Paths!$P$401="Complete",F4346/12*(Paths!$L$401*(1+IF(Paths!$D$401="EV",'Operating costs'!$B$52,'Operating costs'!$B$51))^MAX(0,C4346-1)+Paths!$M$401*(1+'Operating costs'!$B$53)^MAX(0,C4346-1)),"n.a."))</f>
        <v>0</v>
      </c>
      <c r="I4346" s="16">
        <f>IF(NOT(Paths!$C$401=1),0,IF(Paths!$P$401="Complete",IF(IF(Paths!$E$401=0,C4346=0,AND(C4346&gt;0,Paths!$E$401&gt;(C4346-1)*12,Paths!$E$401&lt;=C4346*12)),Paths!$G$401,0),"n.a."))</f>
        <v>0</v>
      </c>
      <c r="J4346" s="16">
        <f>IF(NOT(Paths!$C$401=1),0,IF(Paths!$P$401="Complete",IF(IF(Paths!$E$401=0,C4346=0,AND(C4346&gt;0,Paths!$E$401&gt;(C4346-1)*12,Paths!$E$401&lt;=C4346*12)),Paths!$H$401,0),"n.a."))</f>
        <v>0</v>
      </c>
      <c r="K4346" s="16">
        <f>IF(NOT(Paths!$C$401=1),0,IF(Paths!$P$401="Complete",IF(IF(Paths!$O$401=0,C4346=0,AND(C4346&gt;0,Paths!$O$401&gt;(C4346-1)*12,Paths!$O$401&lt;=C4346*12)),Paths!$N$401,0),"n.a."))</f>
        <v>0</v>
      </c>
      <c r="L4346" s="16">
        <f>IF(NOT(Paths!$C$401=1),0,IF(Paths!$P$401="Complete",IF(C4346=10,Paths!$I$401,0),"n.a."))</f>
        <v>0</v>
      </c>
      <c r="M4346" s="16">
        <f>IF(NOT(Paths!$C$401=1),0,IF(Paths!$P$401="Complete",IF(AND(Paths!$D$401="EV",Paths!$E$401&lt;120,Paths!$E$401+'Operating costs'!$B$65&gt;Paths!$E$401,Paths!$E$401+'Operating costs'!$B$65&lt;=120,IF(Paths!$E$401+'Operating costs'!$B$65=0,C4346=0,AND(C4346&gt;0,Paths!$E$401+'Operating costs'!$B$65&gt;(C4346-1)*12,Paths!$E$401+'Operating costs'!$B$65&lt;=C4346*12))),'Operating costs'!$B$64,0)+IF(AND('Operating costs'!$B$67&gt;0,'Operating costs'!$B$67&lt;=120,OR(Paths!$D$401="ICE",'Operating costs'!$B$67&lt;=Paths!$E$401),IF('Operating costs'!$B$67=0,C4346=0,AND(C4346&gt;0,'Operating costs'!$B$67&gt;(C4346-1)*12,'Operating costs'!$B$67&lt;=C4346*12))),'Operating costs'!$B$66,0),"n.a."))</f>
        <v>0</v>
      </c>
      <c r="N4346" s="16">
        <f>IF(NOT(Paths!$C$401=1),0,IF(Paths!$P$401="Complete",SUM(G4346:I4346)-J4346-K4346-L4346+M4346+IF(C4346=0,Paths!$F$401,0)+IF(IF(Paths!$E$401=0,C4346=0,AND(C4346&gt;0,Paths!$E$401&gt;(C4346-1)*12,Paths!$E$401&lt;=C4346*12)),VLOOKUP(A4346,'Fleet register'!$A$7:$S$106,16,FALSE),0),"n.a."))</f>
        <v>0</v>
      </c>
      <c r="O4346" s="16">
        <f>IF(NOT(Paths!$C$401=1),0,IF(Paths!$P$401="Complete",N4346-IF(C4346=0,Paths!$F$401,0),"n.a."))</f>
        <v>0</v>
      </c>
      <c r="P4346" s="16">
        <f>IF(NOT(Paths!$C$401=1),0,IF(Paths!$P$401="Complete",O4346+L4346,"n.a."))</f>
        <v>0</v>
      </c>
      <c r="Q4346" s="16">
        <f>IF(NOT(Paths!$C$401=1),0,IF(Paths!$P$401="Complete",N4346*(1+'Operating costs'!$B$54)^-C4346,"n.a."))</f>
        <v>0</v>
      </c>
      <c r="R4346" s="16">
        <f>IF(NOT(Paths!$C$401=1),0,IF(Paths!$P$401="Complete",IF(AND(C4346=0,Paths!$E$401=0),I4346-J4346-K4346+VLOOKUP(A4346,'Fleet register'!$A$7:$S$106,15,FALSE)+VLOOKUP(A4346,'Fleet register'!$A$7:$S$106,16,FALSE),0),"n.a."))</f>
        <v>0</v>
      </c>
      <c r="S4346" s="1">
        <f>IF(NOT(Paths!$C$401=1),0,IF(Paths!$P$401="Complete",IF(C4346=0,0,Paths!$S$401*Paths!$R$401),"n.a."))</f>
        <v>0</v>
      </c>
      <c r="T4346" s="1">
        <f>IF(NOT(Paths!$C$401=1),0,IF(Paths!$P$401="Complete",IF(C4346=0,0,VLOOKUP(A4346,'Fleet register'!$A$7:$S$106,9,FALSE)*Paths!$R$401),"n.a."))</f>
        <v>0</v>
      </c>
    </row>
    <row r="4347" spans="1:20" ht="24" customHeight="1">
      <c r="A4347" s="1" t="str">
        <f>Paths!$A$401</f>
        <v>T099</v>
      </c>
      <c r="B4347" s="1">
        <f>Paths!$B$401</f>
        <v>2</v>
      </c>
      <c r="C4347" s="1">
        <v>6</v>
      </c>
      <c r="D4347" s="1">
        <v>401</v>
      </c>
      <c r="E4347" s="1">
        <f>IF(OR(Paths!$C$401=0,C4347=0),0,MAX(0,MIN(C4347*12,Paths!$E$401)-(C4347-1)*12))</f>
        <v>0</v>
      </c>
      <c r="F4347" s="1">
        <f>IF(OR(Paths!$C$401=0,C4347=0),0,12-E4347)</f>
        <v>0</v>
      </c>
      <c r="G4347" s="16">
        <f>IF(NOT(Paths!$C$401=1),0,IF(Paths!$P$401="Complete",E4347/12*(Paths!$J$401*(1+'Operating costs'!$B$51)^MAX(0,C4347-1)+Paths!$K$401*(1+'Operating costs'!$B$53)^MAX(0,C4347-1)),"n.a."))</f>
        <v>0</v>
      </c>
      <c r="H4347" s="16">
        <f>IF(NOT(Paths!$C$401=1),0,IF(Paths!$P$401="Complete",F4347/12*(Paths!$L$401*(1+IF(Paths!$D$401="EV",'Operating costs'!$B$52,'Operating costs'!$B$51))^MAX(0,C4347-1)+Paths!$M$401*(1+'Operating costs'!$B$53)^MAX(0,C4347-1)),"n.a."))</f>
        <v>0</v>
      </c>
      <c r="I4347" s="16">
        <f>IF(NOT(Paths!$C$401=1),0,IF(Paths!$P$401="Complete",IF(IF(Paths!$E$401=0,C4347=0,AND(C4347&gt;0,Paths!$E$401&gt;(C4347-1)*12,Paths!$E$401&lt;=C4347*12)),Paths!$G$401,0),"n.a."))</f>
        <v>0</v>
      </c>
      <c r="J4347" s="16">
        <f>IF(NOT(Paths!$C$401=1),0,IF(Paths!$P$401="Complete",IF(IF(Paths!$E$401=0,C4347=0,AND(C4347&gt;0,Paths!$E$401&gt;(C4347-1)*12,Paths!$E$401&lt;=C4347*12)),Paths!$H$401,0),"n.a."))</f>
        <v>0</v>
      </c>
      <c r="K4347" s="16">
        <f>IF(NOT(Paths!$C$401=1),0,IF(Paths!$P$401="Complete",IF(IF(Paths!$O$401=0,C4347=0,AND(C4347&gt;0,Paths!$O$401&gt;(C4347-1)*12,Paths!$O$401&lt;=C4347*12)),Paths!$N$401,0),"n.a."))</f>
        <v>0</v>
      </c>
      <c r="L4347" s="16">
        <f>IF(NOT(Paths!$C$401=1),0,IF(Paths!$P$401="Complete",IF(C4347=10,Paths!$I$401,0),"n.a."))</f>
        <v>0</v>
      </c>
      <c r="M4347" s="16">
        <f>IF(NOT(Paths!$C$401=1),0,IF(Paths!$P$401="Complete",IF(AND(Paths!$D$401="EV",Paths!$E$401&lt;120,Paths!$E$401+'Operating costs'!$B$65&gt;Paths!$E$401,Paths!$E$401+'Operating costs'!$B$65&lt;=120,IF(Paths!$E$401+'Operating costs'!$B$65=0,C4347=0,AND(C4347&gt;0,Paths!$E$401+'Operating costs'!$B$65&gt;(C4347-1)*12,Paths!$E$401+'Operating costs'!$B$65&lt;=C4347*12))),'Operating costs'!$B$64,0)+IF(AND('Operating costs'!$B$67&gt;0,'Operating costs'!$B$67&lt;=120,OR(Paths!$D$401="ICE",'Operating costs'!$B$67&lt;=Paths!$E$401),IF('Operating costs'!$B$67=0,C4347=0,AND(C4347&gt;0,'Operating costs'!$B$67&gt;(C4347-1)*12,'Operating costs'!$B$67&lt;=C4347*12))),'Operating costs'!$B$66,0),"n.a."))</f>
        <v>0</v>
      </c>
      <c r="N4347" s="16">
        <f>IF(NOT(Paths!$C$401=1),0,IF(Paths!$P$401="Complete",SUM(G4347:I4347)-J4347-K4347-L4347+M4347+IF(C4347=0,Paths!$F$401,0)+IF(IF(Paths!$E$401=0,C4347=0,AND(C4347&gt;0,Paths!$E$401&gt;(C4347-1)*12,Paths!$E$401&lt;=C4347*12)),VLOOKUP(A4347,'Fleet register'!$A$7:$S$106,16,FALSE),0),"n.a."))</f>
        <v>0</v>
      </c>
      <c r="O4347" s="16">
        <f>IF(NOT(Paths!$C$401=1),0,IF(Paths!$P$401="Complete",N4347-IF(C4347=0,Paths!$F$401,0),"n.a."))</f>
        <v>0</v>
      </c>
      <c r="P4347" s="16">
        <f>IF(NOT(Paths!$C$401=1),0,IF(Paths!$P$401="Complete",O4347+L4347,"n.a."))</f>
        <v>0</v>
      </c>
      <c r="Q4347" s="16">
        <f>IF(NOT(Paths!$C$401=1),0,IF(Paths!$P$401="Complete",N4347*(1+'Operating costs'!$B$54)^-C4347,"n.a."))</f>
        <v>0</v>
      </c>
      <c r="R4347" s="16">
        <f>IF(NOT(Paths!$C$401=1),0,IF(Paths!$P$401="Complete",IF(AND(C4347=0,Paths!$E$401=0),I4347-J4347-K4347+VLOOKUP(A4347,'Fleet register'!$A$7:$S$106,15,FALSE)+VLOOKUP(A4347,'Fleet register'!$A$7:$S$106,16,FALSE),0),"n.a."))</f>
        <v>0</v>
      </c>
      <c r="S4347" s="1">
        <f>IF(NOT(Paths!$C$401=1),0,IF(Paths!$P$401="Complete",IF(C4347=0,0,Paths!$S$401*Paths!$R$401),"n.a."))</f>
        <v>0</v>
      </c>
      <c r="T4347" s="1">
        <f>IF(NOT(Paths!$C$401=1),0,IF(Paths!$P$401="Complete",IF(C4347=0,0,VLOOKUP(A4347,'Fleet register'!$A$7:$S$106,9,FALSE)*Paths!$R$401),"n.a."))</f>
        <v>0</v>
      </c>
    </row>
    <row r="4348" spans="1:20" ht="24" customHeight="1">
      <c r="A4348" s="1" t="str">
        <f>Paths!$A$401</f>
        <v>T099</v>
      </c>
      <c r="B4348" s="1">
        <f>Paths!$B$401</f>
        <v>2</v>
      </c>
      <c r="C4348" s="1">
        <v>7</v>
      </c>
      <c r="D4348" s="1">
        <v>401</v>
      </c>
      <c r="E4348" s="1">
        <f>IF(OR(Paths!$C$401=0,C4348=0),0,MAX(0,MIN(C4348*12,Paths!$E$401)-(C4348-1)*12))</f>
        <v>0</v>
      </c>
      <c r="F4348" s="1">
        <f>IF(OR(Paths!$C$401=0,C4348=0),0,12-E4348)</f>
        <v>0</v>
      </c>
      <c r="G4348" s="16">
        <f>IF(NOT(Paths!$C$401=1),0,IF(Paths!$P$401="Complete",E4348/12*(Paths!$J$401*(1+'Operating costs'!$B$51)^MAX(0,C4348-1)+Paths!$K$401*(1+'Operating costs'!$B$53)^MAX(0,C4348-1)),"n.a."))</f>
        <v>0</v>
      </c>
      <c r="H4348" s="16">
        <f>IF(NOT(Paths!$C$401=1),0,IF(Paths!$P$401="Complete",F4348/12*(Paths!$L$401*(1+IF(Paths!$D$401="EV",'Operating costs'!$B$52,'Operating costs'!$B$51))^MAX(0,C4348-1)+Paths!$M$401*(1+'Operating costs'!$B$53)^MAX(0,C4348-1)),"n.a."))</f>
        <v>0</v>
      </c>
      <c r="I4348" s="16">
        <f>IF(NOT(Paths!$C$401=1),0,IF(Paths!$P$401="Complete",IF(IF(Paths!$E$401=0,C4348=0,AND(C4348&gt;0,Paths!$E$401&gt;(C4348-1)*12,Paths!$E$401&lt;=C4348*12)),Paths!$G$401,0),"n.a."))</f>
        <v>0</v>
      </c>
      <c r="J4348" s="16">
        <f>IF(NOT(Paths!$C$401=1),0,IF(Paths!$P$401="Complete",IF(IF(Paths!$E$401=0,C4348=0,AND(C4348&gt;0,Paths!$E$401&gt;(C4348-1)*12,Paths!$E$401&lt;=C4348*12)),Paths!$H$401,0),"n.a."))</f>
        <v>0</v>
      </c>
      <c r="K4348" s="16">
        <f>IF(NOT(Paths!$C$401=1),0,IF(Paths!$P$401="Complete",IF(IF(Paths!$O$401=0,C4348=0,AND(C4348&gt;0,Paths!$O$401&gt;(C4348-1)*12,Paths!$O$401&lt;=C4348*12)),Paths!$N$401,0),"n.a."))</f>
        <v>0</v>
      </c>
      <c r="L4348" s="16">
        <f>IF(NOT(Paths!$C$401=1),0,IF(Paths!$P$401="Complete",IF(C4348=10,Paths!$I$401,0),"n.a."))</f>
        <v>0</v>
      </c>
      <c r="M4348" s="16">
        <f>IF(NOT(Paths!$C$401=1),0,IF(Paths!$P$401="Complete",IF(AND(Paths!$D$401="EV",Paths!$E$401&lt;120,Paths!$E$401+'Operating costs'!$B$65&gt;Paths!$E$401,Paths!$E$401+'Operating costs'!$B$65&lt;=120,IF(Paths!$E$401+'Operating costs'!$B$65=0,C4348=0,AND(C4348&gt;0,Paths!$E$401+'Operating costs'!$B$65&gt;(C4348-1)*12,Paths!$E$401+'Operating costs'!$B$65&lt;=C4348*12))),'Operating costs'!$B$64,0)+IF(AND('Operating costs'!$B$67&gt;0,'Operating costs'!$B$67&lt;=120,OR(Paths!$D$401="ICE",'Operating costs'!$B$67&lt;=Paths!$E$401),IF('Operating costs'!$B$67=0,C4348=0,AND(C4348&gt;0,'Operating costs'!$B$67&gt;(C4348-1)*12,'Operating costs'!$B$67&lt;=C4348*12))),'Operating costs'!$B$66,0),"n.a."))</f>
        <v>0</v>
      </c>
      <c r="N4348" s="16">
        <f>IF(NOT(Paths!$C$401=1),0,IF(Paths!$P$401="Complete",SUM(G4348:I4348)-J4348-K4348-L4348+M4348+IF(C4348=0,Paths!$F$401,0)+IF(IF(Paths!$E$401=0,C4348=0,AND(C4348&gt;0,Paths!$E$401&gt;(C4348-1)*12,Paths!$E$401&lt;=C4348*12)),VLOOKUP(A4348,'Fleet register'!$A$7:$S$106,16,FALSE),0),"n.a."))</f>
        <v>0</v>
      </c>
      <c r="O4348" s="16">
        <f>IF(NOT(Paths!$C$401=1),0,IF(Paths!$P$401="Complete",N4348-IF(C4348=0,Paths!$F$401,0),"n.a."))</f>
        <v>0</v>
      </c>
      <c r="P4348" s="16">
        <f>IF(NOT(Paths!$C$401=1),0,IF(Paths!$P$401="Complete",O4348+L4348,"n.a."))</f>
        <v>0</v>
      </c>
      <c r="Q4348" s="16">
        <f>IF(NOT(Paths!$C$401=1),0,IF(Paths!$P$401="Complete",N4348*(1+'Operating costs'!$B$54)^-C4348,"n.a."))</f>
        <v>0</v>
      </c>
      <c r="R4348" s="16">
        <f>IF(NOT(Paths!$C$401=1),0,IF(Paths!$P$401="Complete",IF(AND(C4348=0,Paths!$E$401=0),I4348-J4348-K4348+VLOOKUP(A4348,'Fleet register'!$A$7:$S$106,15,FALSE)+VLOOKUP(A4348,'Fleet register'!$A$7:$S$106,16,FALSE),0),"n.a."))</f>
        <v>0</v>
      </c>
      <c r="S4348" s="1">
        <f>IF(NOT(Paths!$C$401=1),0,IF(Paths!$P$401="Complete",IF(C4348=0,0,Paths!$S$401*Paths!$R$401),"n.a."))</f>
        <v>0</v>
      </c>
      <c r="T4348" s="1">
        <f>IF(NOT(Paths!$C$401=1),0,IF(Paths!$P$401="Complete",IF(C4348=0,0,VLOOKUP(A4348,'Fleet register'!$A$7:$S$106,9,FALSE)*Paths!$R$401),"n.a."))</f>
        <v>0</v>
      </c>
    </row>
    <row r="4349" spans="1:20" ht="24" customHeight="1">
      <c r="A4349" s="1" t="str">
        <f>Paths!$A$401</f>
        <v>T099</v>
      </c>
      <c r="B4349" s="1">
        <f>Paths!$B$401</f>
        <v>2</v>
      </c>
      <c r="C4349" s="1">
        <v>8</v>
      </c>
      <c r="D4349" s="1">
        <v>401</v>
      </c>
      <c r="E4349" s="1">
        <f>IF(OR(Paths!$C$401=0,C4349=0),0,MAX(0,MIN(C4349*12,Paths!$E$401)-(C4349-1)*12))</f>
        <v>0</v>
      </c>
      <c r="F4349" s="1">
        <f>IF(OR(Paths!$C$401=0,C4349=0),0,12-E4349)</f>
        <v>0</v>
      </c>
      <c r="G4349" s="16">
        <f>IF(NOT(Paths!$C$401=1),0,IF(Paths!$P$401="Complete",E4349/12*(Paths!$J$401*(1+'Operating costs'!$B$51)^MAX(0,C4349-1)+Paths!$K$401*(1+'Operating costs'!$B$53)^MAX(0,C4349-1)),"n.a."))</f>
        <v>0</v>
      </c>
      <c r="H4349" s="16">
        <f>IF(NOT(Paths!$C$401=1),0,IF(Paths!$P$401="Complete",F4349/12*(Paths!$L$401*(1+IF(Paths!$D$401="EV",'Operating costs'!$B$52,'Operating costs'!$B$51))^MAX(0,C4349-1)+Paths!$M$401*(1+'Operating costs'!$B$53)^MAX(0,C4349-1)),"n.a."))</f>
        <v>0</v>
      </c>
      <c r="I4349" s="16">
        <f>IF(NOT(Paths!$C$401=1),0,IF(Paths!$P$401="Complete",IF(IF(Paths!$E$401=0,C4349=0,AND(C4349&gt;0,Paths!$E$401&gt;(C4349-1)*12,Paths!$E$401&lt;=C4349*12)),Paths!$G$401,0),"n.a."))</f>
        <v>0</v>
      </c>
      <c r="J4349" s="16">
        <f>IF(NOT(Paths!$C$401=1),0,IF(Paths!$P$401="Complete",IF(IF(Paths!$E$401=0,C4349=0,AND(C4349&gt;0,Paths!$E$401&gt;(C4349-1)*12,Paths!$E$401&lt;=C4349*12)),Paths!$H$401,0),"n.a."))</f>
        <v>0</v>
      </c>
      <c r="K4349" s="16">
        <f>IF(NOT(Paths!$C$401=1),0,IF(Paths!$P$401="Complete",IF(IF(Paths!$O$401=0,C4349=0,AND(C4349&gt;0,Paths!$O$401&gt;(C4349-1)*12,Paths!$O$401&lt;=C4349*12)),Paths!$N$401,0),"n.a."))</f>
        <v>0</v>
      </c>
      <c r="L4349" s="16">
        <f>IF(NOT(Paths!$C$401=1),0,IF(Paths!$P$401="Complete",IF(C4349=10,Paths!$I$401,0),"n.a."))</f>
        <v>0</v>
      </c>
      <c r="M4349" s="16">
        <f>IF(NOT(Paths!$C$401=1),0,IF(Paths!$P$401="Complete",IF(AND(Paths!$D$401="EV",Paths!$E$401&lt;120,Paths!$E$401+'Operating costs'!$B$65&gt;Paths!$E$401,Paths!$E$401+'Operating costs'!$B$65&lt;=120,IF(Paths!$E$401+'Operating costs'!$B$65=0,C4349=0,AND(C4349&gt;0,Paths!$E$401+'Operating costs'!$B$65&gt;(C4349-1)*12,Paths!$E$401+'Operating costs'!$B$65&lt;=C4349*12))),'Operating costs'!$B$64,0)+IF(AND('Operating costs'!$B$67&gt;0,'Operating costs'!$B$67&lt;=120,OR(Paths!$D$401="ICE",'Operating costs'!$B$67&lt;=Paths!$E$401),IF('Operating costs'!$B$67=0,C4349=0,AND(C4349&gt;0,'Operating costs'!$B$67&gt;(C4349-1)*12,'Operating costs'!$B$67&lt;=C4349*12))),'Operating costs'!$B$66,0),"n.a."))</f>
        <v>0</v>
      </c>
      <c r="N4349" s="16">
        <f>IF(NOT(Paths!$C$401=1),0,IF(Paths!$P$401="Complete",SUM(G4349:I4349)-J4349-K4349-L4349+M4349+IF(C4349=0,Paths!$F$401,0)+IF(IF(Paths!$E$401=0,C4349=0,AND(C4349&gt;0,Paths!$E$401&gt;(C4349-1)*12,Paths!$E$401&lt;=C4349*12)),VLOOKUP(A4349,'Fleet register'!$A$7:$S$106,16,FALSE),0),"n.a."))</f>
        <v>0</v>
      </c>
      <c r="O4349" s="16">
        <f>IF(NOT(Paths!$C$401=1),0,IF(Paths!$P$401="Complete",N4349-IF(C4349=0,Paths!$F$401,0),"n.a."))</f>
        <v>0</v>
      </c>
      <c r="P4349" s="16">
        <f>IF(NOT(Paths!$C$401=1),0,IF(Paths!$P$401="Complete",O4349+L4349,"n.a."))</f>
        <v>0</v>
      </c>
      <c r="Q4349" s="16">
        <f>IF(NOT(Paths!$C$401=1),0,IF(Paths!$P$401="Complete",N4349*(1+'Operating costs'!$B$54)^-C4349,"n.a."))</f>
        <v>0</v>
      </c>
      <c r="R4349" s="16">
        <f>IF(NOT(Paths!$C$401=1),0,IF(Paths!$P$401="Complete",IF(AND(C4349=0,Paths!$E$401=0),I4349-J4349-K4349+VLOOKUP(A4349,'Fleet register'!$A$7:$S$106,15,FALSE)+VLOOKUP(A4349,'Fleet register'!$A$7:$S$106,16,FALSE),0),"n.a."))</f>
        <v>0</v>
      </c>
      <c r="S4349" s="1">
        <f>IF(NOT(Paths!$C$401=1),0,IF(Paths!$P$401="Complete",IF(C4349=0,0,Paths!$S$401*Paths!$R$401),"n.a."))</f>
        <v>0</v>
      </c>
      <c r="T4349" s="1">
        <f>IF(NOT(Paths!$C$401=1),0,IF(Paths!$P$401="Complete",IF(C4349=0,0,VLOOKUP(A4349,'Fleet register'!$A$7:$S$106,9,FALSE)*Paths!$R$401),"n.a."))</f>
        <v>0</v>
      </c>
    </row>
    <row r="4350" spans="1:20" ht="24" customHeight="1">
      <c r="A4350" s="1" t="str">
        <f>Paths!$A$401</f>
        <v>T099</v>
      </c>
      <c r="B4350" s="1">
        <f>Paths!$B$401</f>
        <v>2</v>
      </c>
      <c r="C4350" s="1">
        <v>9</v>
      </c>
      <c r="D4350" s="1">
        <v>401</v>
      </c>
      <c r="E4350" s="1">
        <f>IF(OR(Paths!$C$401=0,C4350=0),0,MAX(0,MIN(C4350*12,Paths!$E$401)-(C4350-1)*12))</f>
        <v>0</v>
      </c>
      <c r="F4350" s="1">
        <f>IF(OR(Paths!$C$401=0,C4350=0),0,12-E4350)</f>
        <v>0</v>
      </c>
      <c r="G4350" s="16">
        <f>IF(NOT(Paths!$C$401=1),0,IF(Paths!$P$401="Complete",E4350/12*(Paths!$J$401*(1+'Operating costs'!$B$51)^MAX(0,C4350-1)+Paths!$K$401*(1+'Operating costs'!$B$53)^MAX(0,C4350-1)),"n.a."))</f>
        <v>0</v>
      </c>
      <c r="H4350" s="16">
        <f>IF(NOT(Paths!$C$401=1),0,IF(Paths!$P$401="Complete",F4350/12*(Paths!$L$401*(1+IF(Paths!$D$401="EV",'Operating costs'!$B$52,'Operating costs'!$B$51))^MAX(0,C4350-1)+Paths!$M$401*(1+'Operating costs'!$B$53)^MAX(0,C4350-1)),"n.a."))</f>
        <v>0</v>
      </c>
      <c r="I4350" s="16">
        <f>IF(NOT(Paths!$C$401=1),0,IF(Paths!$P$401="Complete",IF(IF(Paths!$E$401=0,C4350=0,AND(C4350&gt;0,Paths!$E$401&gt;(C4350-1)*12,Paths!$E$401&lt;=C4350*12)),Paths!$G$401,0),"n.a."))</f>
        <v>0</v>
      </c>
      <c r="J4350" s="16">
        <f>IF(NOT(Paths!$C$401=1),0,IF(Paths!$P$401="Complete",IF(IF(Paths!$E$401=0,C4350=0,AND(C4350&gt;0,Paths!$E$401&gt;(C4350-1)*12,Paths!$E$401&lt;=C4350*12)),Paths!$H$401,0),"n.a."))</f>
        <v>0</v>
      </c>
      <c r="K4350" s="16">
        <f>IF(NOT(Paths!$C$401=1),0,IF(Paths!$P$401="Complete",IF(IF(Paths!$O$401=0,C4350=0,AND(C4350&gt;0,Paths!$O$401&gt;(C4350-1)*12,Paths!$O$401&lt;=C4350*12)),Paths!$N$401,0),"n.a."))</f>
        <v>0</v>
      </c>
      <c r="L4350" s="16">
        <f>IF(NOT(Paths!$C$401=1),0,IF(Paths!$P$401="Complete",IF(C4350=10,Paths!$I$401,0),"n.a."))</f>
        <v>0</v>
      </c>
      <c r="M4350" s="16">
        <f>IF(NOT(Paths!$C$401=1),0,IF(Paths!$P$401="Complete",IF(AND(Paths!$D$401="EV",Paths!$E$401&lt;120,Paths!$E$401+'Operating costs'!$B$65&gt;Paths!$E$401,Paths!$E$401+'Operating costs'!$B$65&lt;=120,IF(Paths!$E$401+'Operating costs'!$B$65=0,C4350=0,AND(C4350&gt;0,Paths!$E$401+'Operating costs'!$B$65&gt;(C4350-1)*12,Paths!$E$401+'Operating costs'!$B$65&lt;=C4350*12))),'Operating costs'!$B$64,0)+IF(AND('Operating costs'!$B$67&gt;0,'Operating costs'!$B$67&lt;=120,OR(Paths!$D$401="ICE",'Operating costs'!$B$67&lt;=Paths!$E$401),IF('Operating costs'!$B$67=0,C4350=0,AND(C4350&gt;0,'Operating costs'!$B$67&gt;(C4350-1)*12,'Operating costs'!$B$67&lt;=C4350*12))),'Operating costs'!$B$66,0),"n.a."))</f>
        <v>0</v>
      </c>
      <c r="N4350" s="16">
        <f>IF(NOT(Paths!$C$401=1),0,IF(Paths!$P$401="Complete",SUM(G4350:I4350)-J4350-K4350-L4350+M4350+IF(C4350=0,Paths!$F$401,0)+IF(IF(Paths!$E$401=0,C4350=0,AND(C4350&gt;0,Paths!$E$401&gt;(C4350-1)*12,Paths!$E$401&lt;=C4350*12)),VLOOKUP(A4350,'Fleet register'!$A$7:$S$106,16,FALSE),0),"n.a."))</f>
        <v>0</v>
      </c>
      <c r="O4350" s="16">
        <f>IF(NOT(Paths!$C$401=1),0,IF(Paths!$P$401="Complete",N4350-IF(C4350=0,Paths!$F$401,0),"n.a."))</f>
        <v>0</v>
      </c>
      <c r="P4350" s="16">
        <f>IF(NOT(Paths!$C$401=1),0,IF(Paths!$P$401="Complete",O4350+L4350,"n.a."))</f>
        <v>0</v>
      </c>
      <c r="Q4350" s="16">
        <f>IF(NOT(Paths!$C$401=1),0,IF(Paths!$P$401="Complete",N4350*(1+'Operating costs'!$B$54)^-C4350,"n.a."))</f>
        <v>0</v>
      </c>
      <c r="R4350" s="16">
        <f>IF(NOT(Paths!$C$401=1),0,IF(Paths!$P$401="Complete",IF(AND(C4350=0,Paths!$E$401=0),I4350-J4350-K4350+VLOOKUP(A4350,'Fleet register'!$A$7:$S$106,15,FALSE)+VLOOKUP(A4350,'Fleet register'!$A$7:$S$106,16,FALSE),0),"n.a."))</f>
        <v>0</v>
      </c>
      <c r="S4350" s="1">
        <f>IF(NOT(Paths!$C$401=1),0,IF(Paths!$P$401="Complete",IF(C4350=0,0,Paths!$S$401*Paths!$R$401),"n.a."))</f>
        <v>0</v>
      </c>
      <c r="T4350" s="1">
        <f>IF(NOT(Paths!$C$401=1),0,IF(Paths!$P$401="Complete",IF(C4350=0,0,VLOOKUP(A4350,'Fleet register'!$A$7:$S$106,9,FALSE)*Paths!$R$401),"n.a."))</f>
        <v>0</v>
      </c>
    </row>
    <row r="4351" spans="1:20" ht="24" customHeight="1">
      <c r="A4351" s="1" t="str">
        <f>Paths!$A$401</f>
        <v>T099</v>
      </c>
      <c r="B4351" s="1">
        <f>Paths!$B$401</f>
        <v>2</v>
      </c>
      <c r="C4351" s="1">
        <v>10</v>
      </c>
      <c r="D4351" s="1">
        <v>401</v>
      </c>
      <c r="E4351" s="1">
        <f>IF(OR(Paths!$C$401=0,C4351=0),0,MAX(0,MIN(C4351*12,Paths!$E$401)-(C4351-1)*12))</f>
        <v>0</v>
      </c>
      <c r="F4351" s="1">
        <f>IF(OR(Paths!$C$401=0,C4351=0),0,12-E4351)</f>
        <v>0</v>
      </c>
      <c r="G4351" s="16">
        <f>IF(NOT(Paths!$C$401=1),0,IF(Paths!$P$401="Complete",E4351/12*(Paths!$J$401*(1+'Operating costs'!$B$51)^MAX(0,C4351-1)+Paths!$K$401*(1+'Operating costs'!$B$53)^MAX(0,C4351-1)),"n.a."))</f>
        <v>0</v>
      </c>
      <c r="H4351" s="16">
        <f>IF(NOT(Paths!$C$401=1),0,IF(Paths!$P$401="Complete",F4351/12*(Paths!$L$401*(1+IF(Paths!$D$401="EV",'Operating costs'!$B$52,'Operating costs'!$B$51))^MAX(0,C4351-1)+Paths!$M$401*(1+'Operating costs'!$B$53)^MAX(0,C4351-1)),"n.a."))</f>
        <v>0</v>
      </c>
      <c r="I4351" s="16">
        <f>IF(NOT(Paths!$C$401=1),0,IF(Paths!$P$401="Complete",IF(IF(Paths!$E$401=0,C4351=0,AND(C4351&gt;0,Paths!$E$401&gt;(C4351-1)*12,Paths!$E$401&lt;=C4351*12)),Paths!$G$401,0),"n.a."))</f>
        <v>0</v>
      </c>
      <c r="J4351" s="16">
        <f>IF(NOT(Paths!$C$401=1),0,IF(Paths!$P$401="Complete",IF(IF(Paths!$E$401=0,C4351=0,AND(C4351&gt;0,Paths!$E$401&gt;(C4351-1)*12,Paths!$E$401&lt;=C4351*12)),Paths!$H$401,0),"n.a."))</f>
        <v>0</v>
      </c>
      <c r="K4351" s="16">
        <f>IF(NOT(Paths!$C$401=1),0,IF(Paths!$P$401="Complete",IF(IF(Paths!$O$401=0,C4351=0,AND(C4351&gt;0,Paths!$O$401&gt;(C4351-1)*12,Paths!$O$401&lt;=C4351*12)),Paths!$N$401,0),"n.a."))</f>
        <v>0</v>
      </c>
      <c r="L4351" s="16">
        <f>IF(NOT(Paths!$C$401=1),0,IF(Paths!$P$401="Complete",IF(C4351=10,Paths!$I$401,0),"n.a."))</f>
        <v>0</v>
      </c>
      <c r="M4351" s="16">
        <f>IF(NOT(Paths!$C$401=1),0,IF(Paths!$P$401="Complete",IF(AND(Paths!$D$401="EV",Paths!$E$401&lt;120,Paths!$E$401+'Operating costs'!$B$65&gt;Paths!$E$401,Paths!$E$401+'Operating costs'!$B$65&lt;=120,IF(Paths!$E$401+'Operating costs'!$B$65=0,C4351=0,AND(C4351&gt;0,Paths!$E$401+'Operating costs'!$B$65&gt;(C4351-1)*12,Paths!$E$401+'Operating costs'!$B$65&lt;=C4351*12))),'Operating costs'!$B$64,0)+IF(AND('Operating costs'!$B$67&gt;0,'Operating costs'!$B$67&lt;=120,OR(Paths!$D$401="ICE",'Operating costs'!$B$67&lt;=Paths!$E$401),IF('Operating costs'!$B$67=0,C4351=0,AND(C4351&gt;0,'Operating costs'!$B$67&gt;(C4351-1)*12,'Operating costs'!$B$67&lt;=C4351*12))),'Operating costs'!$B$66,0),"n.a."))</f>
        <v>0</v>
      </c>
      <c r="N4351" s="16">
        <f>IF(NOT(Paths!$C$401=1),0,IF(Paths!$P$401="Complete",SUM(G4351:I4351)-J4351-K4351-L4351+M4351+IF(C4351=0,Paths!$F$401,0)+IF(IF(Paths!$E$401=0,C4351=0,AND(C4351&gt;0,Paths!$E$401&gt;(C4351-1)*12,Paths!$E$401&lt;=C4351*12)),VLOOKUP(A4351,'Fleet register'!$A$7:$S$106,16,FALSE),0),"n.a."))</f>
        <v>0</v>
      </c>
      <c r="O4351" s="16">
        <f>IF(NOT(Paths!$C$401=1),0,IF(Paths!$P$401="Complete",N4351-IF(C4351=0,Paths!$F$401,0),"n.a."))</f>
        <v>0</v>
      </c>
      <c r="P4351" s="16">
        <f>IF(NOT(Paths!$C$401=1),0,IF(Paths!$P$401="Complete",O4351+L4351,"n.a."))</f>
        <v>0</v>
      </c>
      <c r="Q4351" s="16">
        <f>IF(NOT(Paths!$C$401=1),0,IF(Paths!$P$401="Complete",N4351*(1+'Operating costs'!$B$54)^-C4351,"n.a."))</f>
        <v>0</v>
      </c>
      <c r="R4351" s="16">
        <f>IF(NOT(Paths!$C$401=1),0,IF(Paths!$P$401="Complete",IF(AND(C4351=0,Paths!$E$401=0),I4351-J4351-K4351+VLOOKUP(A4351,'Fleet register'!$A$7:$S$106,15,FALSE)+VLOOKUP(A4351,'Fleet register'!$A$7:$S$106,16,FALSE),0),"n.a."))</f>
        <v>0</v>
      </c>
      <c r="S4351" s="1">
        <f>IF(NOT(Paths!$C$401=1),0,IF(Paths!$P$401="Complete",IF(C4351=0,0,Paths!$S$401*Paths!$R$401),"n.a."))</f>
        <v>0</v>
      </c>
      <c r="T4351" s="1">
        <f>IF(NOT(Paths!$C$401=1),0,IF(Paths!$P$401="Complete",IF(C4351=0,0,VLOOKUP(A4351,'Fleet register'!$A$7:$S$106,9,FALSE)*Paths!$R$401),"n.a."))</f>
        <v>0</v>
      </c>
    </row>
    <row r="4352" spans="1:20" ht="24" customHeight="1">
      <c r="A4352" s="1" t="str">
        <f>Paths!$A$402</f>
        <v>T099</v>
      </c>
      <c r="B4352" s="1">
        <f>Paths!$B$402</f>
        <v>3</v>
      </c>
      <c r="C4352" s="1">
        <v>0</v>
      </c>
      <c r="D4352" s="1">
        <v>402</v>
      </c>
      <c r="E4352" s="1">
        <f>IF(OR(Paths!$C$402=0,C4352=0),0,MAX(0,MIN(C4352*12,Paths!$E$402)-(C4352-1)*12))</f>
        <v>0</v>
      </c>
      <c r="F4352" s="1">
        <f>IF(OR(Paths!$C$402=0,C4352=0),0,12-E4352)</f>
        <v>0</v>
      </c>
      <c r="G4352" s="16">
        <f>IF(NOT(Paths!$C$402=1),0,IF(Paths!$P$402="Complete",E4352/12*(Paths!$J$402*(1+'Operating costs'!$B$51)^MAX(0,C4352-1)+Paths!$K$402*(1+'Operating costs'!$B$53)^MAX(0,C4352-1)),"n.a."))</f>
        <v>0</v>
      </c>
      <c r="H4352" s="16">
        <f>IF(NOT(Paths!$C$402=1),0,IF(Paths!$P$402="Complete",F4352/12*(Paths!$L$402*(1+IF(Paths!$D$402="EV",'Operating costs'!$B$52,'Operating costs'!$B$51))^MAX(0,C4352-1)+Paths!$M$402*(1+'Operating costs'!$B$53)^MAX(0,C4352-1)),"n.a."))</f>
        <v>0</v>
      </c>
      <c r="I4352" s="16">
        <f>IF(NOT(Paths!$C$402=1),0,IF(Paths!$P$402="Complete",IF(IF(Paths!$E$402=0,C4352=0,AND(C4352&gt;0,Paths!$E$402&gt;(C4352-1)*12,Paths!$E$402&lt;=C4352*12)),Paths!$G$402,0),"n.a."))</f>
        <v>0</v>
      </c>
      <c r="J4352" s="16">
        <f>IF(NOT(Paths!$C$402=1),0,IF(Paths!$P$402="Complete",IF(IF(Paths!$E$402=0,C4352=0,AND(C4352&gt;0,Paths!$E$402&gt;(C4352-1)*12,Paths!$E$402&lt;=C4352*12)),Paths!$H$402,0),"n.a."))</f>
        <v>0</v>
      </c>
      <c r="K4352" s="16">
        <f>IF(NOT(Paths!$C$402=1),0,IF(Paths!$P$402="Complete",IF(IF(Paths!$O$402=0,C4352=0,AND(C4352&gt;0,Paths!$O$402&gt;(C4352-1)*12,Paths!$O$402&lt;=C4352*12)),Paths!$N$402,0),"n.a."))</f>
        <v>0</v>
      </c>
      <c r="L4352" s="16">
        <f>IF(NOT(Paths!$C$402=1),0,IF(Paths!$P$402="Complete",IF(C4352=10,Paths!$I$402,0),"n.a."))</f>
        <v>0</v>
      </c>
      <c r="M4352" s="16">
        <f>IF(NOT(Paths!$C$402=1),0,IF(Paths!$P$402="Complete",IF(AND(Paths!$D$402="EV",Paths!$E$402&lt;120,Paths!$E$402+'Operating costs'!$B$65&gt;Paths!$E$402,Paths!$E$402+'Operating costs'!$B$65&lt;=120,IF(Paths!$E$402+'Operating costs'!$B$65=0,C4352=0,AND(C4352&gt;0,Paths!$E$402+'Operating costs'!$B$65&gt;(C4352-1)*12,Paths!$E$402+'Operating costs'!$B$65&lt;=C4352*12))),'Operating costs'!$B$64,0)+IF(AND('Operating costs'!$B$67&gt;0,'Operating costs'!$B$67&lt;=120,OR(Paths!$D$402="ICE",'Operating costs'!$B$67&lt;=Paths!$E$402),IF('Operating costs'!$B$67=0,C4352=0,AND(C4352&gt;0,'Operating costs'!$B$67&gt;(C4352-1)*12,'Operating costs'!$B$67&lt;=C4352*12))),'Operating costs'!$B$66,0),"n.a."))</f>
        <v>0</v>
      </c>
      <c r="N4352" s="16">
        <f>IF(NOT(Paths!$C$402=1),0,IF(Paths!$P$402="Complete",SUM(G4352:I4352)-J4352-K4352-L4352+M4352+IF(C4352=0,Paths!$F$402,0)+IF(IF(Paths!$E$402=0,C4352=0,AND(C4352&gt;0,Paths!$E$402&gt;(C4352-1)*12,Paths!$E$402&lt;=C4352*12)),VLOOKUP(A4352,'Fleet register'!$A$7:$S$106,16,FALSE),0),"n.a."))</f>
        <v>0</v>
      </c>
      <c r="O4352" s="16">
        <f>IF(NOT(Paths!$C$402=1),0,IF(Paths!$P$402="Complete",N4352-IF(C4352=0,Paths!$F$402,0),"n.a."))</f>
        <v>0</v>
      </c>
      <c r="P4352" s="16">
        <f>IF(NOT(Paths!$C$402=1),0,IF(Paths!$P$402="Complete",O4352+L4352,"n.a."))</f>
        <v>0</v>
      </c>
      <c r="Q4352" s="16">
        <f>IF(NOT(Paths!$C$402=1),0,IF(Paths!$P$402="Complete",N4352*(1+'Operating costs'!$B$54)^-C4352,"n.a."))</f>
        <v>0</v>
      </c>
      <c r="R4352" s="16">
        <f>IF(NOT(Paths!$C$402=1),0,IF(Paths!$P$402="Complete",IF(AND(C4352=0,Paths!$E$402=0),I4352-J4352-K4352+VLOOKUP(A4352,'Fleet register'!$A$7:$S$106,15,FALSE)+VLOOKUP(A4352,'Fleet register'!$A$7:$S$106,16,FALSE),0),"n.a."))</f>
        <v>0</v>
      </c>
      <c r="S4352" s="1">
        <f>IF(NOT(Paths!$C$402=1),0,IF(Paths!$P$402="Complete",IF(C4352=0,0,Paths!$S$402*Paths!$R$402),"n.a."))</f>
        <v>0</v>
      </c>
      <c r="T4352" s="1">
        <f>IF(NOT(Paths!$C$402=1),0,IF(Paths!$P$402="Complete",IF(C4352=0,0,VLOOKUP(A4352,'Fleet register'!$A$7:$S$106,9,FALSE)*Paths!$R$402),"n.a."))</f>
        <v>0</v>
      </c>
    </row>
    <row r="4353" spans="1:20" ht="24" customHeight="1">
      <c r="A4353" s="1" t="str">
        <f>Paths!$A$402</f>
        <v>T099</v>
      </c>
      <c r="B4353" s="1">
        <f>Paths!$B$402</f>
        <v>3</v>
      </c>
      <c r="C4353" s="1">
        <v>1</v>
      </c>
      <c r="D4353" s="1">
        <v>402</v>
      </c>
      <c r="E4353" s="1">
        <f>IF(OR(Paths!$C$402=0,C4353=0),0,MAX(0,MIN(C4353*12,Paths!$E$402)-(C4353-1)*12))</f>
        <v>0</v>
      </c>
      <c r="F4353" s="1">
        <f>IF(OR(Paths!$C$402=0,C4353=0),0,12-E4353)</f>
        <v>0</v>
      </c>
      <c r="G4353" s="16">
        <f>IF(NOT(Paths!$C$402=1),0,IF(Paths!$P$402="Complete",E4353/12*(Paths!$J$402*(1+'Operating costs'!$B$51)^MAX(0,C4353-1)+Paths!$K$402*(1+'Operating costs'!$B$53)^MAX(0,C4353-1)),"n.a."))</f>
        <v>0</v>
      </c>
      <c r="H4353" s="16">
        <f>IF(NOT(Paths!$C$402=1),0,IF(Paths!$P$402="Complete",F4353/12*(Paths!$L$402*(1+IF(Paths!$D$402="EV",'Operating costs'!$B$52,'Operating costs'!$B$51))^MAX(0,C4353-1)+Paths!$M$402*(1+'Operating costs'!$B$53)^MAX(0,C4353-1)),"n.a."))</f>
        <v>0</v>
      </c>
      <c r="I4353" s="16">
        <f>IF(NOT(Paths!$C$402=1),0,IF(Paths!$P$402="Complete",IF(IF(Paths!$E$402=0,C4353=0,AND(C4353&gt;0,Paths!$E$402&gt;(C4353-1)*12,Paths!$E$402&lt;=C4353*12)),Paths!$G$402,0),"n.a."))</f>
        <v>0</v>
      </c>
      <c r="J4353" s="16">
        <f>IF(NOT(Paths!$C$402=1),0,IF(Paths!$P$402="Complete",IF(IF(Paths!$E$402=0,C4353=0,AND(C4353&gt;0,Paths!$E$402&gt;(C4353-1)*12,Paths!$E$402&lt;=C4353*12)),Paths!$H$402,0),"n.a."))</f>
        <v>0</v>
      </c>
      <c r="K4353" s="16">
        <f>IF(NOT(Paths!$C$402=1),0,IF(Paths!$P$402="Complete",IF(IF(Paths!$O$402=0,C4353=0,AND(C4353&gt;0,Paths!$O$402&gt;(C4353-1)*12,Paths!$O$402&lt;=C4353*12)),Paths!$N$402,0),"n.a."))</f>
        <v>0</v>
      </c>
      <c r="L4353" s="16">
        <f>IF(NOT(Paths!$C$402=1),0,IF(Paths!$P$402="Complete",IF(C4353=10,Paths!$I$402,0),"n.a."))</f>
        <v>0</v>
      </c>
      <c r="M4353" s="16">
        <f>IF(NOT(Paths!$C$402=1),0,IF(Paths!$P$402="Complete",IF(AND(Paths!$D$402="EV",Paths!$E$402&lt;120,Paths!$E$402+'Operating costs'!$B$65&gt;Paths!$E$402,Paths!$E$402+'Operating costs'!$B$65&lt;=120,IF(Paths!$E$402+'Operating costs'!$B$65=0,C4353=0,AND(C4353&gt;0,Paths!$E$402+'Operating costs'!$B$65&gt;(C4353-1)*12,Paths!$E$402+'Operating costs'!$B$65&lt;=C4353*12))),'Operating costs'!$B$64,0)+IF(AND('Operating costs'!$B$67&gt;0,'Operating costs'!$B$67&lt;=120,OR(Paths!$D$402="ICE",'Operating costs'!$B$67&lt;=Paths!$E$402),IF('Operating costs'!$B$67=0,C4353=0,AND(C4353&gt;0,'Operating costs'!$B$67&gt;(C4353-1)*12,'Operating costs'!$B$67&lt;=C4353*12))),'Operating costs'!$B$66,0),"n.a."))</f>
        <v>0</v>
      </c>
      <c r="N4353" s="16">
        <f>IF(NOT(Paths!$C$402=1),0,IF(Paths!$P$402="Complete",SUM(G4353:I4353)-J4353-K4353-L4353+M4353+IF(C4353=0,Paths!$F$402,0)+IF(IF(Paths!$E$402=0,C4353=0,AND(C4353&gt;0,Paths!$E$402&gt;(C4353-1)*12,Paths!$E$402&lt;=C4353*12)),VLOOKUP(A4353,'Fleet register'!$A$7:$S$106,16,FALSE),0),"n.a."))</f>
        <v>0</v>
      </c>
      <c r="O4353" s="16">
        <f>IF(NOT(Paths!$C$402=1),0,IF(Paths!$P$402="Complete",N4353-IF(C4353=0,Paths!$F$402,0),"n.a."))</f>
        <v>0</v>
      </c>
      <c r="P4353" s="16">
        <f>IF(NOT(Paths!$C$402=1),0,IF(Paths!$P$402="Complete",O4353+L4353,"n.a."))</f>
        <v>0</v>
      </c>
      <c r="Q4353" s="16">
        <f>IF(NOT(Paths!$C$402=1),0,IF(Paths!$P$402="Complete",N4353*(1+'Operating costs'!$B$54)^-C4353,"n.a."))</f>
        <v>0</v>
      </c>
      <c r="R4353" s="16">
        <f>IF(NOT(Paths!$C$402=1),0,IF(Paths!$P$402="Complete",IF(AND(C4353=0,Paths!$E$402=0),I4353-J4353-K4353+VLOOKUP(A4353,'Fleet register'!$A$7:$S$106,15,FALSE)+VLOOKUP(A4353,'Fleet register'!$A$7:$S$106,16,FALSE),0),"n.a."))</f>
        <v>0</v>
      </c>
      <c r="S4353" s="1">
        <f>IF(NOT(Paths!$C$402=1),0,IF(Paths!$P$402="Complete",IF(C4353=0,0,Paths!$S$402*Paths!$R$402),"n.a."))</f>
        <v>0</v>
      </c>
      <c r="T4353" s="1">
        <f>IF(NOT(Paths!$C$402=1),0,IF(Paths!$P$402="Complete",IF(C4353=0,0,VLOOKUP(A4353,'Fleet register'!$A$7:$S$106,9,FALSE)*Paths!$R$402),"n.a."))</f>
        <v>0</v>
      </c>
    </row>
    <row r="4354" spans="1:20" ht="24" customHeight="1">
      <c r="A4354" s="1" t="str">
        <f>Paths!$A$402</f>
        <v>T099</v>
      </c>
      <c r="B4354" s="1">
        <f>Paths!$B$402</f>
        <v>3</v>
      </c>
      <c r="C4354" s="1">
        <v>2</v>
      </c>
      <c r="D4354" s="1">
        <v>402</v>
      </c>
      <c r="E4354" s="1">
        <f>IF(OR(Paths!$C$402=0,C4354=0),0,MAX(0,MIN(C4354*12,Paths!$E$402)-(C4354-1)*12))</f>
        <v>0</v>
      </c>
      <c r="F4354" s="1">
        <f>IF(OR(Paths!$C$402=0,C4354=0),0,12-E4354)</f>
        <v>0</v>
      </c>
      <c r="G4354" s="16">
        <f>IF(NOT(Paths!$C$402=1),0,IF(Paths!$P$402="Complete",E4354/12*(Paths!$J$402*(1+'Operating costs'!$B$51)^MAX(0,C4354-1)+Paths!$K$402*(1+'Operating costs'!$B$53)^MAX(0,C4354-1)),"n.a."))</f>
        <v>0</v>
      </c>
      <c r="H4354" s="16">
        <f>IF(NOT(Paths!$C$402=1),0,IF(Paths!$P$402="Complete",F4354/12*(Paths!$L$402*(1+IF(Paths!$D$402="EV",'Operating costs'!$B$52,'Operating costs'!$B$51))^MAX(0,C4354-1)+Paths!$M$402*(1+'Operating costs'!$B$53)^MAX(0,C4354-1)),"n.a."))</f>
        <v>0</v>
      </c>
      <c r="I4354" s="16">
        <f>IF(NOT(Paths!$C$402=1),0,IF(Paths!$P$402="Complete",IF(IF(Paths!$E$402=0,C4354=0,AND(C4354&gt;0,Paths!$E$402&gt;(C4354-1)*12,Paths!$E$402&lt;=C4354*12)),Paths!$G$402,0),"n.a."))</f>
        <v>0</v>
      </c>
      <c r="J4354" s="16">
        <f>IF(NOT(Paths!$C$402=1),0,IF(Paths!$P$402="Complete",IF(IF(Paths!$E$402=0,C4354=0,AND(C4354&gt;0,Paths!$E$402&gt;(C4354-1)*12,Paths!$E$402&lt;=C4354*12)),Paths!$H$402,0),"n.a."))</f>
        <v>0</v>
      </c>
      <c r="K4354" s="16">
        <f>IF(NOT(Paths!$C$402=1),0,IF(Paths!$P$402="Complete",IF(IF(Paths!$O$402=0,C4354=0,AND(C4354&gt;0,Paths!$O$402&gt;(C4354-1)*12,Paths!$O$402&lt;=C4354*12)),Paths!$N$402,0),"n.a."))</f>
        <v>0</v>
      </c>
      <c r="L4354" s="16">
        <f>IF(NOT(Paths!$C$402=1),0,IF(Paths!$P$402="Complete",IF(C4354=10,Paths!$I$402,0),"n.a."))</f>
        <v>0</v>
      </c>
      <c r="M4354" s="16">
        <f>IF(NOT(Paths!$C$402=1),0,IF(Paths!$P$402="Complete",IF(AND(Paths!$D$402="EV",Paths!$E$402&lt;120,Paths!$E$402+'Operating costs'!$B$65&gt;Paths!$E$402,Paths!$E$402+'Operating costs'!$B$65&lt;=120,IF(Paths!$E$402+'Operating costs'!$B$65=0,C4354=0,AND(C4354&gt;0,Paths!$E$402+'Operating costs'!$B$65&gt;(C4354-1)*12,Paths!$E$402+'Operating costs'!$B$65&lt;=C4354*12))),'Operating costs'!$B$64,0)+IF(AND('Operating costs'!$B$67&gt;0,'Operating costs'!$B$67&lt;=120,OR(Paths!$D$402="ICE",'Operating costs'!$B$67&lt;=Paths!$E$402),IF('Operating costs'!$B$67=0,C4354=0,AND(C4354&gt;0,'Operating costs'!$B$67&gt;(C4354-1)*12,'Operating costs'!$B$67&lt;=C4354*12))),'Operating costs'!$B$66,0),"n.a."))</f>
        <v>0</v>
      </c>
      <c r="N4354" s="16">
        <f>IF(NOT(Paths!$C$402=1),0,IF(Paths!$P$402="Complete",SUM(G4354:I4354)-J4354-K4354-L4354+M4354+IF(C4354=0,Paths!$F$402,0)+IF(IF(Paths!$E$402=0,C4354=0,AND(C4354&gt;0,Paths!$E$402&gt;(C4354-1)*12,Paths!$E$402&lt;=C4354*12)),VLOOKUP(A4354,'Fleet register'!$A$7:$S$106,16,FALSE),0),"n.a."))</f>
        <v>0</v>
      </c>
      <c r="O4354" s="16">
        <f>IF(NOT(Paths!$C$402=1),0,IF(Paths!$P$402="Complete",N4354-IF(C4354=0,Paths!$F$402,0),"n.a."))</f>
        <v>0</v>
      </c>
      <c r="P4354" s="16">
        <f>IF(NOT(Paths!$C$402=1),0,IF(Paths!$P$402="Complete",O4354+L4354,"n.a."))</f>
        <v>0</v>
      </c>
      <c r="Q4354" s="16">
        <f>IF(NOT(Paths!$C$402=1),0,IF(Paths!$P$402="Complete",N4354*(1+'Operating costs'!$B$54)^-C4354,"n.a."))</f>
        <v>0</v>
      </c>
      <c r="R4354" s="16">
        <f>IF(NOT(Paths!$C$402=1),0,IF(Paths!$P$402="Complete",IF(AND(C4354=0,Paths!$E$402=0),I4354-J4354-K4354+VLOOKUP(A4354,'Fleet register'!$A$7:$S$106,15,FALSE)+VLOOKUP(A4354,'Fleet register'!$A$7:$S$106,16,FALSE),0),"n.a."))</f>
        <v>0</v>
      </c>
      <c r="S4354" s="1">
        <f>IF(NOT(Paths!$C$402=1),0,IF(Paths!$P$402="Complete",IF(C4354=0,0,Paths!$S$402*Paths!$R$402),"n.a."))</f>
        <v>0</v>
      </c>
      <c r="T4354" s="1">
        <f>IF(NOT(Paths!$C$402=1),0,IF(Paths!$P$402="Complete",IF(C4354=0,0,VLOOKUP(A4354,'Fleet register'!$A$7:$S$106,9,FALSE)*Paths!$R$402),"n.a."))</f>
        <v>0</v>
      </c>
    </row>
    <row r="4355" spans="1:20" ht="24" customHeight="1">
      <c r="A4355" s="1" t="str">
        <f>Paths!$A$402</f>
        <v>T099</v>
      </c>
      <c r="B4355" s="1">
        <f>Paths!$B$402</f>
        <v>3</v>
      </c>
      <c r="C4355" s="1">
        <v>3</v>
      </c>
      <c r="D4355" s="1">
        <v>402</v>
      </c>
      <c r="E4355" s="1">
        <f>IF(OR(Paths!$C$402=0,C4355=0),0,MAX(0,MIN(C4355*12,Paths!$E$402)-(C4355-1)*12))</f>
        <v>0</v>
      </c>
      <c r="F4355" s="1">
        <f>IF(OR(Paths!$C$402=0,C4355=0),0,12-E4355)</f>
        <v>0</v>
      </c>
      <c r="G4355" s="16">
        <f>IF(NOT(Paths!$C$402=1),0,IF(Paths!$P$402="Complete",E4355/12*(Paths!$J$402*(1+'Operating costs'!$B$51)^MAX(0,C4355-1)+Paths!$K$402*(1+'Operating costs'!$B$53)^MAX(0,C4355-1)),"n.a."))</f>
        <v>0</v>
      </c>
      <c r="H4355" s="16">
        <f>IF(NOT(Paths!$C$402=1),0,IF(Paths!$P$402="Complete",F4355/12*(Paths!$L$402*(1+IF(Paths!$D$402="EV",'Operating costs'!$B$52,'Operating costs'!$B$51))^MAX(0,C4355-1)+Paths!$M$402*(1+'Operating costs'!$B$53)^MAX(0,C4355-1)),"n.a."))</f>
        <v>0</v>
      </c>
      <c r="I4355" s="16">
        <f>IF(NOT(Paths!$C$402=1),0,IF(Paths!$P$402="Complete",IF(IF(Paths!$E$402=0,C4355=0,AND(C4355&gt;0,Paths!$E$402&gt;(C4355-1)*12,Paths!$E$402&lt;=C4355*12)),Paths!$G$402,0),"n.a."))</f>
        <v>0</v>
      </c>
      <c r="J4355" s="16">
        <f>IF(NOT(Paths!$C$402=1),0,IF(Paths!$P$402="Complete",IF(IF(Paths!$E$402=0,C4355=0,AND(C4355&gt;0,Paths!$E$402&gt;(C4355-1)*12,Paths!$E$402&lt;=C4355*12)),Paths!$H$402,0),"n.a."))</f>
        <v>0</v>
      </c>
      <c r="K4355" s="16">
        <f>IF(NOT(Paths!$C$402=1),0,IF(Paths!$P$402="Complete",IF(IF(Paths!$O$402=0,C4355=0,AND(C4355&gt;0,Paths!$O$402&gt;(C4355-1)*12,Paths!$O$402&lt;=C4355*12)),Paths!$N$402,0),"n.a."))</f>
        <v>0</v>
      </c>
      <c r="L4355" s="16">
        <f>IF(NOT(Paths!$C$402=1),0,IF(Paths!$P$402="Complete",IF(C4355=10,Paths!$I$402,0),"n.a."))</f>
        <v>0</v>
      </c>
      <c r="M4355" s="16">
        <f>IF(NOT(Paths!$C$402=1),0,IF(Paths!$P$402="Complete",IF(AND(Paths!$D$402="EV",Paths!$E$402&lt;120,Paths!$E$402+'Operating costs'!$B$65&gt;Paths!$E$402,Paths!$E$402+'Operating costs'!$B$65&lt;=120,IF(Paths!$E$402+'Operating costs'!$B$65=0,C4355=0,AND(C4355&gt;0,Paths!$E$402+'Operating costs'!$B$65&gt;(C4355-1)*12,Paths!$E$402+'Operating costs'!$B$65&lt;=C4355*12))),'Operating costs'!$B$64,0)+IF(AND('Operating costs'!$B$67&gt;0,'Operating costs'!$B$67&lt;=120,OR(Paths!$D$402="ICE",'Operating costs'!$B$67&lt;=Paths!$E$402),IF('Operating costs'!$B$67=0,C4355=0,AND(C4355&gt;0,'Operating costs'!$B$67&gt;(C4355-1)*12,'Operating costs'!$B$67&lt;=C4355*12))),'Operating costs'!$B$66,0),"n.a."))</f>
        <v>0</v>
      </c>
      <c r="N4355" s="16">
        <f>IF(NOT(Paths!$C$402=1),0,IF(Paths!$P$402="Complete",SUM(G4355:I4355)-J4355-K4355-L4355+M4355+IF(C4355=0,Paths!$F$402,0)+IF(IF(Paths!$E$402=0,C4355=0,AND(C4355&gt;0,Paths!$E$402&gt;(C4355-1)*12,Paths!$E$402&lt;=C4355*12)),VLOOKUP(A4355,'Fleet register'!$A$7:$S$106,16,FALSE),0),"n.a."))</f>
        <v>0</v>
      </c>
      <c r="O4355" s="16">
        <f>IF(NOT(Paths!$C$402=1),0,IF(Paths!$P$402="Complete",N4355-IF(C4355=0,Paths!$F$402,0),"n.a."))</f>
        <v>0</v>
      </c>
      <c r="P4355" s="16">
        <f>IF(NOT(Paths!$C$402=1),0,IF(Paths!$P$402="Complete",O4355+L4355,"n.a."))</f>
        <v>0</v>
      </c>
      <c r="Q4355" s="16">
        <f>IF(NOT(Paths!$C$402=1),0,IF(Paths!$P$402="Complete",N4355*(1+'Operating costs'!$B$54)^-C4355,"n.a."))</f>
        <v>0</v>
      </c>
      <c r="R4355" s="16">
        <f>IF(NOT(Paths!$C$402=1),0,IF(Paths!$P$402="Complete",IF(AND(C4355=0,Paths!$E$402=0),I4355-J4355-K4355+VLOOKUP(A4355,'Fleet register'!$A$7:$S$106,15,FALSE)+VLOOKUP(A4355,'Fleet register'!$A$7:$S$106,16,FALSE),0),"n.a."))</f>
        <v>0</v>
      </c>
      <c r="S4355" s="1">
        <f>IF(NOT(Paths!$C$402=1),0,IF(Paths!$P$402="Complete",IF(C4355=0,0,Paths!$S$402*Paths!$R$402),"n.a."))</f>
        <v>0</v>
      </c>
      <c r="T4355" s="1">
        <f>IF(NOT(Paths!$C$402=1),0,IF(Paths!$P$402="Complete",IF(C4355=0,0,VLOOKUP(A4355,'Fleet register'!$A$7:$S$106,9,FALSE)*Paths!$R$402),"n.a."))</f>
        <v>0</v>
      </c>
    </row>
    <row r="4356" spans="1:20" ht="24" customHeight="1">
      <c r="A4356" s="1" t="str">
        <f>Paths!$A$402</f>
        <v>T099</v>
      </c>
      <c r="B4356" s="1">
        <f>Paths!$B$402</f>
        <v>3</v>
      </c>
      <c r="C4356" s="1">
        <v>4</v>
      </c>
      <c r="D4356" s="1">
        <v>402</v>
      </c>
      <c r="E4356" s="1">
        <f>IF(OR(Paths!$C$402=0,C4356=0),0,MAX(0,MIN(C4356*12,Paths!$E$402)-(C4356-1)*12))</f>
        <v>0</v>
      </c>
      <c r="F4356" s="1">
        <f>IF(OR(Paths!$C$402=0,C4356=0),0,12-E4356)</f>
        <v>0</v>
      </c>
      <c r="G4356" s="16">
        <f>IF(NOT(Paths!$C$402=1),0,IF(Paths!$P$402="Complete",E4356/12*(Paths!$J$402*(1+'Operating costs'!$B$51)^MAX(0,C4356-1)+Paths!$K$402*(1+'Operating costs'!$B$53)^MAX(0,C4356-1)),"n.a."))</f>
        <v>0</v>
      </c>
      <c r="H4356" s="16">
        <f>IF(NOT(Paths!$C$402=1),0,IF(Paths!$P$402="Complete",F4356/12*(Paths!$L$402*(1+IF(Paths!$D$402="EV",'Operating costs'!$B$52,'Operating costs'!$B$51))^MAX(0,C4356-1)+Paths!$M$402*(1+'Operating costs'!$B$53)^MAX(0,C4356-1)),"n.a."))</f>
        <v>0</v>
      </c>
      <c r="I4356" s="16">
        <f>IF(NOT(Paths!$C$402=1),0,IF(Paths!$P$402="Complete",IF(IF(Paths!$E$402=0,C4356=0,AND(C4356&gt;0,Paths!$E$402&gt;(C4356-1)*12,Paths!$E$402&lt;=C4356*12)),Paths!$G$402,0),"n.a."))</f>
        <v>0</v>
      </c>
      <c r="J4356" s="16">
        <f>IF(NOT(Paths!$C$402=1),0,IF(Paths!$P$402="Complete",IF(IF(Paths!$E$402=0,C4356=0,AND(C4356&gt;0,Paths!$E$402&gt;(C4356-1)*12,Paths!$E$402&lt;=C4356*12)),Paths!$H$402,0),"n.a."))</f>
        <v>0</v>
      </c>
      <c r="K4356" s="16">
        <f>IF(NOT(Paths!$C$402=1),0,IF(Paths!$P$402="Complete",IF(IF(Paths!$O$402=0,C4356=0,AND(C4356&gt;0,Paths!$O$402&gt;(C4356-1)*12,Paths!$O$402&lt;=C4356*12)),Paths!$N$402,0),"n.a."))</f>
        <v>0</v>
      </c>
      <c r="L4356" s="16">
        <f>IF(NOT(Paths!$C$402=1),0,IF(Paths!$P$402="Complete",IF(C4356=10,Paths!$I$402,0),"n.a."))</f>
        <v>0</v>
      </c>
      <c r="M4356" s="16">
        <f>IF(NOT(Paths!$C$402=1),0,IF(Paths!$P$402="Complete",IF(AND(Paths!$D$402="EV",Paths!$E$402&lt;120,Paths!$E$402+'Operating costs'!$B$65&gt;Paths!$E$402,Paths!$E$402+'Operating costs'!$B$65&lt;=120,IF(Paths!$E$402+'Operating costs'!$B$65=0,C4356=0,AND(C4356&gt;0,Paths!$E$402+'Operating costs'!$B$65&gt;(C4356-1)*12,Paths!$E$402+'Operating costs'!$B$65&lt;=C4356*12))),'Operating costs'!$B$64,0)+IF(AND('Operating costs'!$B$67&gt;0,'Operating costs'!$B$67&lt;=120,OR(Paths!$D$402="ICE",'Operating costs'!$B$67&lt;=Paths!$E$402),IF('Operating costs'!$B$67=0,C4356=0,AND(C4356&gt;0,'Operating costs'!$B$67&gt;(C4356-1)*12,'Operating costs'!$B$67&lt;=C4356*12))),'Operating costs'!$B$66,0),"n.a."))</f>
        <v>0</v>
      </c>
      <c r="N4356" s="16">
        <f>IF(NOT(Paths!$C$402=1),0,IF(Paths!$P$402="Complete",SUM(G4356:I4356)-J4356-K4356-L4356+M4356+IF(C4356=0,Paths!$F$402,0)+IF(IF(Paths!$E$402=0,C4356=0,AND(C4356&gt;0,Paths!$E$402&gt;(C4356-1)*12,Paths!$E$402&lt;=C4356*12)),VLOOKUP(A4356,'Fleet register'!$A$7:$S$106,16,FALSE),0),"n.a."))</f>
        <v>0</v>
      </c>
      <c r="O4356" s="16">
        <f>IF(NOT(Paths!$C$402=1),0,IF(Paths!$P$402="Complete",N4356-IF(C4356=0,Paths!$F$402,0),"n.a."))</f>
        <v>0</v>
      </c>
      <c r="P4356" s="16">
        <f>IF(NOT(Paths!$C$402=1),0,IF(Paths!$P$402="Complete",O4356+L4356,"n.a."))</f>
        <v>0</v>
      </c>
      <c r="Q4356" s="16">
        <f>IF(NOT(Paths!$C$402=1),0,IF(Paths!$P$402="Complete",N4356*(1+'Operating costs'!$B$54)^-C4356,"n.a."))</f>
        <v>0</v>
      </c>
      <c r="R4356" s="16">
        <f>IF(NOT(Paths!$C$402=1),0,IF(Paths!$P$402="Complete",IF(AND(C4356=0,Paths!$E$402=0),I4356-J4356-K4356+VLOOKUP(A4356,'Fleet register'!$A$7:$S$106,15,FALSE)+VLOOKUP(A4356,'Fleet register'!$A$7:$S$106,16,FALSE),0),"n.a."))</f>
        <v>0</v>
      </c>
      <c r="S4356" s="1">
        <f>IF(NOT(Paths!$C$402=1),0,IF(Paths!$P$402="Complete",IF(C4356=0,0,Paths!$S$402*Paths!$R$402),"n.a."))</f>
        <v>0</v>
      </c>
      <c r="T4356" s="1">
        <f>IF(NOT(Paths!$C$402=1),0,IF(Paths!$P$402="Complete",IF(C4356=0,0,VLOOKUP(A4356,'Fleet register'!$A$7:$S$106,9,FALSE)*Paths!$R$402),"n.a."))</f>
        <v>0</v>
      </c>
    </row>
    <row r="4357" spans="1:20" ht="24" customHeight="1">
      <c r="A4357" s="1" t="str">
        <f>Paths!$A$402</f>
        <v>T099</v>
      </c>
      <c r="B4357" s="1">
        <f>Paths!$B$402</f>
        <v>3</v>
      </c>
      <c r="C4357" s="1">
        <v>5</v>
      </c>
      <c r="D4357" s="1">
        <v>402</v>
      </c>
      <c r="E4357" s="1">
        <f>IF(OR(Paths!$C$402=0,C4357=0),0,MAX(0,MIN(C4357*12,Paths!$E$402)-(C4357-1)*12))</f>
        <v>0</v>
      </c>
      <c r="F4357" s="1">
        <f>IF(OR(Paths!$C$402=0,C4357=0),0,12-E4357)</f>
        <v>0</v>
      </c>
      <c r="G4357" s="16">
        <f>IF(NOT(Paths!$C$402=1),0,IF(Paths!$P$402="Complete",E4357/12*(Paths!$J$402*(1+'Operating costs'!$B$51)^MAX(0,C4357-1)+Paths!$K$402*(1+'Operating costs'!$B$53)^MAX(0,C4357-1)),"n.a."))</f>
        <v>0</v>
      </c>
      <c r="H4357" s="16">
        <f>IF(NOT(Paths!$C$402=1),0,IF(Paths!$P$402="Complete",F4357/12*(Paths!$L$402*(1+IF(Paths!$D$402="EV",'Operating costs'!$B$52,'Operating costs'!$B$51))^MAX(0,C4357-1)+Paths!$M$402*(1+'Operating costs'!$B$53)^MAX(0,C4357-1)),"n.a."))</f>
        <v>0</v>
      </c>
      <c r="I4357" s="16">
        <f>IF(NOT(Paths!$C$402=1),0,IF(Paths!$P$402="Complete",IF(IF(Paths!$E$402=0,C4357=0,AND(C4357&gt;0,Paths!$E$402&gt;(C4357-1)*12,Paths!$E$402&lt;=C4357*12)),Paths!$G$402,0),"n.a."))</f>
        <v>0</v>
      </c>
      <c r="J4357" s="16">
        <f>IF(NOT(Paths!$C$402=1),0,IF(Paths!$P$402="Complete",IF(IF(Paths!$E$402=0,C4357=0,AND(C4357&gt;0,Paths!$E$402&gt;(C4357-1)*12,Paths!$E$402&lt;=C4357*12)),Paths!$H$402,0),"n.a."))</f>
        <v>0</v>
      </c>
      <c r="K4357" s="16">
        <f>IF(NOT(Paths!$C$402=1),0,IF(Paths!$P$402="Complete",IF(IF(Paths!$O$402=0,C4357=0,AND(C4357&gt;0,Paths!$O$402&gt;(C4357-1)*12,Paths!$O$402&lt;=C4357*12)),Paths!$N$402,0),"n.a."))</f>
        <v>0</v>
      </c>
      <c r="L4357" s="16">
        <f>IF(NOT(Paths!$C$402=1),0,IF(Paths!$P$402="Complete",IF(C4357=10,Paths!$I$402,0),"n.a."))</f>
        <v>0</v>
      </c>
      <c r="M4357" s="16">
        <f>IF(NOT(Paths!$C$402=1),0,IF(Paths!$P$402="Complete",IF(AND(Paths!$D$402="EV",Paths!$E$402&lt;120,Paths!$E$402+'Operating costs'!$B$65&gt;Paths!$E$402,Paths!$E$402+'Operating costs'!$B$65&lt;=120,IF(Paths!$E$402+'Operating costs'!$B$65=0,C4357=0,AND(C4357&gt;0,Paths!$E$402+'Operating costs'!$B$65&gt;(C4357-1)*12,Paths!$E$402+'Operating costs'!$B$65&lt;=C4357*12))),'Operating costs'!$B$64,0)+IF(AND('Operating costs'!$B$67&gt;0,'Operating costs'!$B$67&lt;=120,OR(Paths!$D$402="ICE",'Operating costs'!$B$67&lt;=Paths!$E$402),IF('Operating costs'!$B$67=0,C4357=0,AND(C4357&gt;0,'Operating costs'!$B$67&gt;(C4357-1)*12,'Operating costs'!$B$67&lt;=C4357*12))),'Operating costs'!$B$66,0),"n.a."))</f>
        <v>0</v>
      </c>
      <c r="N4357" s="16">
        <f>IF(NOT(Paths!$C$402=1),0,IF(Paths!$P$402="Complete",SUM(G4357:I4357)-J4357-K4357-L4357+M4357+IF(C4357=0,Paths!$F$402,0)+IF(IF(Paths!$E$402=0,C4357=0,AND(C4357&gt;0,Paths!$E$402&gt;(C4357-1)*12,Paths!$E$402&lt;=C4357*12)),VLOOKUP(A4357,'Fleet register'!$A$7:$S$106,16,FALSE),0),"n.a."))</f>
        <v>0</v>
      </c>
      <c r="O4357" s="16">
        <f>IF(NOT(Paths!$C$402=1),0,IF(Paths!$P$402="Complete",N4357-IF(C4357=0,Paths!$F$402,0),"n.a."))</f>
        <v>0</v>
      </c>
      <c r="P4357" s="16">
        <f>IF(NOT(Paths!$C$402=1),0,IF(Paths!$P$402="Complete",O4357+L4357,"n.a."))</f>
        <v>0</v>
      </c>
      <c r="Q4357" s="16">
        <f>IF(NOT(Paths!$C$402=1),0,IF(Paths!$P$402="Complete",N4357*(1+'Operating costs'!$B$54)^-C4357,"n.a."))</f>
        <v>0</v>
      </c>
      <c r="R4357" s="16">
        <f>IF(NOT(Paths!$C$402=1),0,IF(Paths!$P$402="Complete",IF(AND(C4357=0,Paths!$E$402=0),I4357-J4357-K4357+VLOOKUP(A4357,'Fleet register'!$A$7:$S$106,15,FALSE)+VLOOKUP(A4357,'Fleet register'!$A$7:$S$106,16,FALSE),0),"n.a."))</f>
        <v>0</v>
      </c>
      <c r="S4357" s="1">
        <f>IF(NOT(Paths!$C$402=1),0,IF(Paths!$P$402="Complete",IF(C4357=0,0,Paths!$S$402*Paths!$R$402),"n.a."))</f>
        <v>0</v>
      </c>
      <c r="T4357" s="1">
        <f>IF(NOT(Paths!$C$402=1),0,IF(Paths!$P$402="Complete",IF(C4357=0,0,VLOOKUP(A4357,'Fleet register'!$A$7:$S$106,9,FALSE)*Paths!$R$402),"n.a."))</f>
        <v>0</v>
      </c>
    </row>
    <row r="4358" spans="1:20" ht="24" customHeight="1">
      <c r="A4358" s="1" t="str">
        <f>Paths!$A$402</f>
        <v>T099</v>
      </c>
      <c r="B4358" s="1">
        <f>Paths!$B$402</f>
        <v>3</v>
      </c>
      <c r="C4358" s="1">
        <v>6</v>
      </c>
      <c r="D4358" s="1">
        <v>402</v>
      </c>
      <c r="E4358" s="1">
        <f>IF(OR(Paths!$C$402=0,C4358=0),0,MAX(0,MIN(C4358*12,Paths!$E$402)-(C4358-1)*12))</f>
        <v>0</v>
      </c>
      <c r="F4358" s="1">
        <f>IF(OR(Paths!$C$402=0,C4358=0),0,12-E4358)</f>
        <v>0</v>
      </c>
      <c r="G4358" s="16">
        <f>IF(NOT(Paths!$C$402=1),0,IF(Paths!$P$402="Complete",E4358/12*(Paths!$J$402*(1+'Operating costs'!$B$51)^MAX(0,C4358-1)+Paths!$K$402*(1+'Operating costs'!$B$53)^MAX(0,C4358-1)),"n.a."))</f>
        <v>0</v>
      </c>
      <c r="H4358" s="16">
        <f>IF(NOT(Paths!$C$402=1),0,IF(Paths!$P$402="Complete",F4358/12*(Paths!$L$402*(1+IF(Paths!$D$402="EV",'Operating costs'!$B$52,'Operating costs'!$B$51))^MAX(0,C4358-1)+Paths!$M$402*(1+'Operating costs'!$B$53)^MAX(0,C4358-1)),"n.a."))</f>
        <v>0</v>
      </c>
      <c r="I4358" s="16">
        <f>IF(NOT(Paths!$C$402=1),0,IF(Paths!$P$402="Complete",IF(IF(Paths!$E$402=0,C4358=0,AND(C4358&gt;0,Paths!$E$402&gt;(C4358-1)*12,Paths!$E$402&lt;=C4358*12)),Paths!$G$402,0),"n.a."))</f>
        <v>0</v>
      </c>
      <c r="J4358" s="16">
        <f>IF(NOT(Paths!$C$402=1),0,IF(Paths!$P$402="Complete",IF(IF(Paths!$E$402=0,C4358=0,AND(C4358&gt;0,Paths!$E$402&gt;(C4358-1)*12,Paths!$E$402&lt;=C4358*12)),Paths!$H$402,0),"n.a."))</f>
        <v>0</v>
      </c>
      <c r="K4358" s="16">
        <f>IF(NOT(Paths!$C$402=1),0,IF(Paths!$P$402="Complete",IF(IF(Paths!$O$402=0,C4358=0,AND(C4358&gt;0,Paths!$O$402&gt;(C4358-1)*12,Paths!$O$402&lt;=C4358*12)),Paths!$N$402,0),"n.a."))</f>
        <v>0</v>
      </c>
      <c r="L4358" s="16">
        <f>IF(NOT(Paths!$C$402=1),0,IF(Paths!$P$402="Complete",IF(C4358=10,Paths!$I$402,0),"n.a."))</f>
        <v>0</v>
      </c>
      <c r="M4358" s="16">
        <f>IF(NOT(Paths!$C$402=1),0,IF(Paths!$P$402="Complete",IF(AND(Paths!$D$402="EV",Paths!$E$402&lt;120,Paths!$E$402+'Operating costs'!$B$65&gt;Paths!$E$402,Paths!$E$402+'Operating costs'!$B$65&lt;=120,IF(Paths!$E$402+'Operating costs'!$B$65=0,C4358=0,AND(C4358&gt;0,Paths!$E$402+'Operating costs'!$B$65&gt;(C4358-1)*12,Paths!$E$402+'Operating costs'!$B$65&lt;=C4358*12))),'Operating costs'!$B$64,0)+IF(AND('Operating costs'!$B$67&gt;0,'Operating costs'!$B$67&lt;=120,OR(Paths!$D$402="ICE",'Operating costs'!$B$67&lt;=Paths!$E$402),IF('Operating costs'!$B$67=0,C4358=0,AND(C4358&gt;0,'Operating costs'!$B$67&gt;(C4358-1)*12,'Operating costs'!$B$67&lt;=C4358*12))),'Operating costs'!$B$66,0),"n.a."))</f>
        <v>0</v>
      </c>
      <c r="N4358" s="16">
        <f>IF(NOT(Paths!$C$402=1),0,IF(Paths!$P$402="Complete",SUM(G4358:I4358)-J4358-K4358-L4358+M4358+IF(C4358=0,Paths!$F$402,0)+IF(IF(Paths!$E$402=0,C4358=0,AND(C4358&gt;0,Paths!$E$402&gt;(C4358-1)*12,Paths!$E$402&lt;=C4358*12)),VLOOKUP(A4358,'Fleet register'!$A$7:$S$106,16,FALSE),0),"n.a."))</f>
        <v>0</v>
      </c>
      <c r="O4358" s="16">
        <f>IF(NOT(Paths!$C$402=1),0,IF(Paths!$P$402="Complete",N4358-IF(C4358=0,Paths!$F$402,0),"n.a."))</f>
        <v>0</v>
      </c>
      <c r="P4358" s="16">
        <f>IF(NOT(Paths!$C$402=1),0,IF(Paths!$P$402="Complete",O4358+L4358,"n.a."))</f>
        <v>0</v>
      </c>
      <c r="Q4358" s="16">
        <f>IF(NOT(Paths!$C$402=1),0,IF(Paths!$P$402="Complete",N4358*(1+'Operating costs'!$B$54)^-C4358,"n.a."))</f>
        <v>0</v>
      </c>
      <c r="R4358" s="16">
        <f>IF(NOT(Paths!$C$402=1),0,IF(Paths!$P$402="Complete",IF(AND(C4358=0,Paths!$E$402=0),I4358-J4358-K4358+VLOOKUP(A4358,'Fleet register'!$A$7:$S$106,15,FALSE)+VLOOKUP(A4358,'Fleet register'!$A$7:$S$106,16,FALSE),0),"n.a."))</f>
        <v>0</v>
      </c>
      <c r="S4358" s="1">
        <f>IF(NOT(Paths!$C$402=1),0,IF(Paths!$P$402="Complete",IF(C4358=0,0,Paths!$S$402*Paths!$R$402),"n.a."))</f>
        <v>0</v>
      </c>
      <c r="T4358" s="1">
        <f>IF(NOT(Paths!$C$402=1),0,IF(Paths!$P$402="Complete",IF(C4358=0,0,VLOOKUP(A4358,'Fleet register'!$A$7:$S$106,9,FALSE)*Paths!$R$402),"n.a."))</f>
        <v>0</v>
      </c>
    </row>
    <row r="4359" spans="1:20" ht="24" customHeight="1">
      <c r="A4359" s="1" t="str">
        <f>Paths!$A$402</f>
        <v>T099</v>
      </c>
      <c r="B4359" s="1">
        <f>Paths!$B$402</f>
        <v>3</v>
      </c>
      <c r="C4359" s="1">
        <v>7</v>
      </c>
      <c r="D4359" s="1">
        <v>402</v>
      </c>
      <c r="E4359" s="1">
        <f>IF(OR(Paths!$C$402=0,C4359=0),0,MAX(0,MIN(C4359*12,Paths!$E$402)-(C4359-1)*12))</f>
        <v>0</v>
      </c>
      <c r="F4359" s="1">
        <f>IF(OR(Paths!$C$402=0,C4359=0),0,12-E4359)</f>
        <v>0</v>
      </c>
      <c r="G4359" s="16">
        <f>IF(NOT(Paths!$C$402=1),0,IF(Paths!$P$402="Complete",E4359/12*(Paths!$J$402*(1+'Operating costs'!$B$51)^MAX(0,C4359-1)+Paths!$K$402*(1+'Operating costs'!$B$53)^MAX(0,C4359-1)),"n.a."))</f>
        <v>0</v>
      </c>
      <c r="H4359" s="16">
        <f>IF(NOT(Paths!$C$402=1),0,IF(Paths!$P$402="Complete",F4359/12*(Paths!$L$402*(1+IF(Paths!$D$402="EV",'Operating costs'!$B$52,'Operating costs'!$B$51))^MAX(0,C4359-1)+Paths!$M$402*(1+'Operating costs'!$B$53)^MAX(0,C4359-1)),"n.a."))</f>
        <v>0</v>
      </c>
      <c r="I4359" s="16">
        <f>IF(NOT(Paths!$C$402=1),0,IF(Paths!$P$402="Complete",IF(IF(Paths!$E$402=0,C4359=0,AND(C4359&gt;0,Paths!$E$402&gt;(C4359-1)*12,Paths!$E$402&lt;=C4359*12)),Paths!$G$402,0),"n.a."))</f>
        <v>0</v>
      </c>
      <c r="J4359" s="16">
        <f>IF(NOT(Paths!$C$402=1),0,IF(Paths!$P$402="Complete",IF(IF(Paths!$E$402=0,C4359=0,AND(C4359&gt;0,Paths!$E$402&gt;(C4359-1)*12,Paths!$E$402&lt;=C4359*12)),Paths!$H$402,0),"n.a."))</f>
        <v>0</v>
      </c>
      <c r="K4359" s="16">
        <f>IF(NOT(Paths!$C$402=1),0,IF(Paths!$P$402="Complete",IF(IF(Paths!$O$402=0,C4359=0,AND(C4359&gt;0,Paths!$O$402&gt;(C4359-1)*12,Paths!$O$402&lt;=C4359*12)),Paths!$N$402,0),"n.a."))</f>
        <v>0</v>
      </c>
      <c r="L4359" s="16">
        <f>IF(NOT(Paths!$C$402=1),0,IF(Paths!$P$402="Complete",IF(C4359=10,Paths!$I$402,0),"n.a."))</f>
        <v>0</v>
      </c>
      <c r="M4359" s="16">
        <f>IF(NOT(Paths!$C$402=1),0,IF(Paths!$P$402="Complete",IF(AND(Paths!$D$402="EV",Paths!$E$402&lt;120,Paths!$E$402+'Operating costs'!$B$65&gt;Paths!$E$402,Paths!$E$402+'Operating costs'!$B$65&lt;=120,IF(Paths!$E$402+'Operating costs'!$B$65=0,C4359=0,AND(C4359&gt;0,Paths!$E$402+'Operating costs'!$B$65&gt;(C4359-1)*12,Paths!$E$402+'Operating costs'!$B$65&lt;=C4359*12))),'Operating costs'!$B$64,0)+IF(AND('Operating costs'!$B$67&gt;0,'Operating costs'!$B$67&lt;=120,OR(Paths!$D$402="ICE",'Operating costs'!$B$67&lt;=Paths!$E$402),IF('Operating costs'!$B$67=0,C4359=0,AND(C4359&gt;0,'Operating costs'!$B$67&gt;(C4359-1)*12,'Operating costs'!$B$67&lt;=C4359*12))),'Operating costs'!$B$66,0),"n.a."))</f>
        <v>0</v>
      </c>
      <c r="N4359" s="16">
        <f>IF(NOT(Paths!$C$402=1),0,IF(Paths!$P$402="Complete",SUM(G4359:I4359)-J4359-K4359-L4359+M4359+IF(C4359=0,Paths!$F$402,0)+IF(IF(Paths!$E$402=0,C4359=0,AND(C4359&gt;0,Paths!$E$402&gt;(C4359-1)*12,Paths!$E$402&lt;=C4359*12)),VLOOKUP(A4359,'Fleet register'!$A$7:$S$106,16,FALSE),0),"n.a."))</f>
        <v>0</v>
      </c>
      <c r="O4359" s="16">
        <f>IF(NOT(Paths!$C$402=1),0,IF(Paths!$P$402="Complete",N4359-IF(C4359=0,Paths!$F$402,0),"n.a."))</f>
        <v>0</v>
      </c>
      <c r="P4359" s="16">
        <f>IF(NOT(Paths!$C$402=1),0,IF(Paths!$P$402="Complete",O4359+L4359,"n.a."))</f>
        <v>0</v>
      </c>
      <c r="Q4359" s="16">
        <f>IF(NOT(Paths!$C$402=1),0,IF(Paths!$P$402="Complete",N4359*(1+'Operating costs'!$B$54)^-C4359,"n.a."))</f>
        <v>0</v>
      </c>
      <c r="R4359" s="16">
        <f>IF(NOT(Paths!$C$402=1),0,IF(Paths!$P$402="Complete",IF(AND(C4359=0,Paths!$E$402=0),I4359-J4359-K4359+VLOOKUP(A4359,'Fleet register'!$A$7:$S$106,15,FALSE)+VLOOKUP(A4359,'Fleet register'!$A$7:$S$106,16,FALSE),0),"n.a."))</f>
        <v>0</v>
      </c>
      <c r="S4359" s="1">
        <f>IF(NOT(Paths!$C$402=1),0,IF(Paths!$P$402="Complete",IF(C4359=0,0,Paths!$S$402*Paths!$R$402),"n.a."))</f>
        <v>0</v>
      </c>
      <c r="T4359" s="1">
        <f>IF(NOT(Paths!$C$402=1),0,IF(Paths!$P$402="Complete",IF(C4359=0,0,VLOOKUP(A4359,'Fleet register'!$A$7:$S$106,9,FALSE)*Paths!$R$402),"n.a."))</f>
        <v>0</v>
      </c>
    </row>
    <row r="4360" spans="1:20" ht="24" customHeight="1">
      <c r="A4360" s="1" t="str">
        <f>Paths!$A$402</f>
        <v>T099</v>
      </c>
      <c r="B4360" s="1">
        <f>Paths!$B$402</f>
        <v>3</v>
      </c>
      <c r="C4360" s="1">
        <v>8</v>
      </c>
      <c r="D4360" s="1">
        <v>402</v>
      </c>
      <c r="E4360" s="1">
        <f>IF(OR(Paths!$C$402=0,C4360=0),0,MAX(0,MIN(C4360*12,Paths!$E$402)-(C4360-1)*12))</f>
        <v>0</v>
      </c>
      <c r="F4360" s="1">
        <f>IF(OR(Paths!$C$402=0,C4360=0),0,12-E4360)</f>
        <v>0</v>
      </c>
      <c r="G4360" s="16">
        <f>IF(NOT(Paths!$C$402=1),0,IF(Paths!$P$402="Complete",E4360/12*(Paths!$J$402*(1+'Operating costs'!$B$51)^MAX(0,C4360-1)+Paths!$K$402*(1+'Operating costs'!$B$53)^MAX(0,C4360-1)),"n.a."))</f>
        <v>0</v>
      </c>
      <c r="H4360" s="16">
        <f>IF(NOT(Paths!$C$402=1),0,IF(Paths!$P$402="Complete",F4360/12*(Paths!$L$402*(1+IF(Paths!$D$402="EV",'Operating costs'!$B$52,'Operating costs'!$B$51))^MAX(0,C4360-1)+Paths!$M$402*(1+'Operating costs'!$B$53)^MAX(0,C4360-1)),"n.a."))</f>
        <v>0</v>
      </c>
      <c r="I4360" s="16">
        <f>IF(NOT(Paths!$C$402=1),0,IF(Paths!$P$402="Complete",IF(IF(Paths!$E$402=0,C4360=0,AND(C4360&gt;0,Paths!$E$402&gt;(C4360-1)*12,Paths!$E$402&lt;=C4360*12)),Paths!$G$402,0),"n.a."))</f>
        <v>0</v>
      </c>
      <c r="J4360" s="16">
        <f>IF(NOT(Paths!$C$402=1),0,IF(Paths!$P$402="Complete",IF(IF(Paths!$E$402=0,C4360=0,AND(C4360&gt;0,Paths!$E$402&gt;(C4360-1)*12,Paths!$E$402&lt;=C4360*12)),Paths!$H$402,0),"n.a."))</f>
        <v>0</v>
      </c>
      <c r="K4360" s="16">
        <f>IF(NOT(Paths!$C$402=1),0,IF(Paths!$P$402="Complete",IF(IF(Paths!$O$402=0,C4360=0,AND(C4360&gt;0,Paths!$O$402&gt;(C4360-1)*12,Paths!$O$402&lt;=C4360*12)),Paths!$N$402,0),"n.a."))</f>
        <v>0</v>
      </c>
      <c r="L4360" s="16">
        <f>IF(NOT(Paths!$C$402=1),0,IF(Paths!$P$402="Complete",IF(C4360=10,Paths!$I$402,0),"n.a."))</f>
        <v>0</v>
      </c>
      <c r="M4360" s="16">
        <f>IF(NOT(Paths!$C$402=1),0,IF(Paths!$P$402="Complete",IF(AND(Paths!$D$402="EV",Paths!$E$402&lt;120,Paths!$E$402+'Operating costs'!$B$65&gt;Paths!$E$402,Paths!$E$402+'Operating costs'!$B$65&lt;=120,IF(Paths!$E$402+'Operating costs'!$B$65=0,C4360=0,AND(C4360&gt;0,Paths!$E$402+'Operating costs'!$B$65&gt;(C4360-1)*12,Paths!$E$402+'Operating costs'!$B$65&lt;=C4360*12))),'Operating costs'!$B$64,0)+IF(AND('Operating costs'!$B$67&gt;0,'Operating costs'!$B$67&lt;=120,OR(Paths!$D$402="ICE",'Operating costs'!$B$67&lt;=Paths!$E$402),IF('Operating costs'!$B$67=0,C4360=0,AND(C4360&gt;0,'Operating costs'!$B$67&gt;(C4360-1)*12,'Operating costs'!$B$67&lt;=C4360*12))),'Operating costs'!$B$66,0),"n.a."))</f>
        <v>0</v>
      </c>
      <c r="N4360" s="16">
        <f>IF(NOT(Paths!$C$402=1),0,IF(Paths!$P$402="Complete",SUM(G4360:I4360)-J4360-K4360-L4360+M4360+IF(C4360=0,Paths!$F$402,0)+IF(IF(Paths!$E$402=0,C4360=0,AND(C4360&gt;0,Paths!$E$402&gt;(C4360-1)*12,Paths!$E$402&lt;=C4360*12)),VLOOKUP(A4360,'Fleet register'!$A$7:$S$106,16,FALSE),0),"n.a."))</f>
        <v>0</v>
      </c>
      <c r="O4360" s="16">
        <f>IF(NOT(Paths!$C$402=1),0,IF(Paths!$P$402="Complete",N4360-IF(C4360=0,Paths!$F$402,0),"n.a."))</f>
        <v>0</v>
      </c>
      <c r="P4360" s="16">
        <f>IF(NOT(Paths!$C$402=1),0,IF(Paths!$P$402="Complete",O4360+L4360,"n.a."))</f>
        <v>0</v>
      </c>
      <c r="Q4360" s="16">
        <f>IF(NOT(Paths!$C$402=1),0,IF(Paths!$P$402="Complete",N4360*(1+'Operating costs'!$B$54)^-C4360,"n.a."))</f>
        <v>0</v>
      </c>
      <c r="R4360" s="16">
        <f>IF(NOT(Paths!$C$402=1),0,IF(Paths!$P$402="Complete",IF(AND(C4360=0,Paths!$E$402=0),I4360-J4360-K4360+VLOOKUP(A4360,'Fleet register'!$A$7:$S$106,15,FALSE)+VLOOKUP(A4360,'Fleet register'!$A$7:$S$106,16,FALSE),0),"n.a."))</f>
        <v>0</v>
      </c>
      <c r="S4360" s="1">
        <f>IF(NOT(Paths!$C$402=1),0,IF(Paths!$P$402="Complete",IF(C4360=0,0,Paths!$S$402*Paths!$R$402),"n.a."))</f>
        <v>0</v>
      </c>
      <c r="T4360" s="1">
        <f>IF(NOT(Paths!$C$402=1),0,IF(Paths!$P$402="Complete",IF(C4360=0,0,VLOOKUP(A4360,'Fleet register'!$A$7:$S$106,9,FALSE)*Paths!$R$402),"n.a."))</f>
        <v>0</v>
      </c>
    </row>
    <row r="4361" spans="1:20" ht="24" customHeight="1">
      <c r="A4361" s="1" t="str">
        <f>Paths!$A$402</f>
        <v>T099</v>
      </c>
      <c r="B4361" s="1">
        <f>Paths!$B$402</f>
        <v>3</v>
      </c>
      <c r="C4361" s="1">
        <v>9</v>
      </c>
      <c r="D4361" s="1">
        <v>402</v>
      </c>
      <c r="E4361" s="1">
        <f>IF(OR(Paths!$C$402=0,C4361=0),0,MAX(0,MIN(C4361*12,Paths!$E$402)-(C4361-1)*12))</f>
        <v>0</v>
      </c>
      <c r="F4361" s="1">
        <f>IF(OR(Paths!$C$402=0,C4361=0),0,12-E4361)</f>
        <v>0</v>
      </c>
      <c r="G4361" s="16">
        <f>IF(NOT(Paths!$C$402=1),0,IF(Paths!$P$402="Complete",E4361/12*(Paths!$J$402*(1+'Operating costs'!$B$51)^MAX(0,C4361-1)+Paths!$K$402*(1+'Operating costs'!$B$53)^MAX(0,C4361-1)),"n.a."))</f>
        <v>0</v>
      </c>
      <c r="H4361" s="16">
        <f>IF(NOT(Paths!$C$402=1),0,IF(Paths!$P$402="Complete",F4361/12*(Paths!$L$402*(1+IF(Paths!$D$402="EV",'Operating costs'!$B$52,'Operating costs'!$B$51))^MAX(0,C4361-1)+Paths!$M$402*(1+'Operating costs'!$B$53)^MAX(0,C4361-1)),"n.a."))</f>
        <v>0</v>
      </c>
      <c r="I4361" s="16">
        <f>IF(NOT(Paths!$C$402=1),0,IF(Paths!$P$402="Complete",IF(IF(Paths!$E$402=0,C4361=0,AND(C4361&gt;0,Paths!$E$402&gt;(C4361-1)*12,Paths!$E$402&lt;=C4361*12)),Paths!$G$402,0),"n.a."))</f>
        <v>0</v>
      </c>
      <c r="J4361" s="16">
        <f>IF(NOT(Paths!$C$402=1),0,IF(Paths!$P$402="Complete",IF(IF(Paths!$E$402=0,C4361=0,AND(C4361&gt;0,Paths!$E$402&gt;(C4361-1)*12,Paths!$E$402&lt;=C4361*12)),Paths!$H$402,0),"n.a."))</f>
        <v>0</v>
      </c>
      <c r="K4361" s="16">
        <f>IF(NOT(Paths!$C$402=1),0,IF(Paths!$P$402="Complete",IF(IF(Paths!$O$402=0,C4361=0,AND(C4361&gt;0,Paths!$O$402&gt;(C4361-1)*12,Paths!$O$402&lt;=C4361*12)),Paths!$N$402,0),"n.a."))</f>
        <v>0</v>
      </c>
      <c r="L4361" s="16">
        <f>IF(NOT(Paths!$C$402=1),0,IF(Paths!$P$402="Complete",IF(C4361=10,Paths!$I$402,0),"n.a."))</f>
        <v>0</v>
      </c>
      <c r="M4361" s="16">
        <f>IF(NOT(Paths!$C$402=1),0,IF(Paths!$P$402="Complete",IF(AND(Paths!$D$402="EV",Paths!$E$402&lt;120,Paths!$E$402+'Operating costs'!$B$65&gt;Paths!$E$402,Paths!$E$402+'Operating costs'!$B$65&lt;=120,IF(Paths!$E$402+'Operating costs'!$B$65=0,C4361=0,AND(C4361&gt;0,Paths!$E$402+'Operating costs'!$B$65&gt;(C4361-1)*12,Paths!$E$402+'Operating costs'!$B$65&lt;=C4361*12))),'Operating costs'!$B$64,0)+IF(AND('Operating costs'!$B$67&gt;0,'Operating costs'!$B$67&lt;=120,OR(Paths!$D$402="ICE",'Operating costs'!$B$67&lt;=Paths!$E$402),IF('Operating costs'!$B$67=0,C4361=0,AND(C4361&gt;0,'Operating costs'!$B$67&gt;(C4361-1)*12,'Operating costs'!$B$67&lt;=C4361*12))),'Operating costs'!$B$66,0),"n.a."))</f>
        <v>0</v>
      </c>
      <c r="N4361" s="16">
        <f>IF(NOT(Paths!$C$402=1),0,IF(Paths!$P$402="Complete",SUM(G4361:I4361)-J4361-K4361-L4361+M4361+IF(C4361=0,Paths!$F$402,0)+IF(IF(Paths!$E$402=0,C4361=0,AND(C4361&gt;0,Paths!$E$402&gt;(C4361-1)*12,Paths!$E$402&lt;=C4361*12)),VLOOKUP(A4361,'Fleet register'!$A$7:$S$106,16,FALSE),0),"n.a."))</f>
        <v>0</v>
      </c>
      <c r="O4361" s="16">
        <f>IF(NOT(Paths!$C$402=1),0,IF(Paths!$P$402="Complete",N4361-IF(C4361=0,Paths!$F$402,0),"n.a."))</f>
        <v>0</v>
      </c>
      <c r="P4361" s="16">
        <f>IF(NOT(Paths!$C$402=1),0,IF(Paths!$P$402="Complete",O4361+L4361,"n.a."))</f>
        <v>0</v>
      </c>
      <c r="Q4361" s="16">
        <f>IF(NOT(Paths!$C$402=1),0,IF(Paths!$P$402="Complete",N4361*(1+'Operating costs'!$B$54)^-C4361,"n.a."))</f>
        <v>0</v>
      </c>
      <c r="R4361" s="16">
        <f>IF(NOT(Paths!$C$402=1),0,IF(Paths!$P$402="Complete",IF(AND(C4361=0,Paths!$E$402=0),I4361-J4361-K4361+VLOOKUP(A4361,'Fleet register'!$A$7:$S$106,15,FALSE)+VLOOKUP(A4361,'Fleet register'!$A$7:$S$106,16,FALSE),0),"n.a."))</f>
        <v>0</v>
      </c>
      <c r="S4361" s="1">
        <f>IF(NOT(Paths!$C$402=1),0,IF(Paths!$P$402="Complete",IF(C4361=0,0,Paths!$S$402*Paths!$R$402),"n.a."))</f>
        <v>0</v>
      </c>
      <c r="T4361" s="1">
        <f>IF(NOT(Paths!$C$402=1),0,IF(Paths!$P$402="Complete",IF(C4361=0,0,VLOOKUP(A4361,'Fleet register'!$A$7:$S$106,9,FALSE)*Paths!$R$402),"n.a."))</f>
        <v>0</v>
      </c>
    </row>
    <row r="4362" spans="1:20" ht="24" customHeight="1">
      <c r="A4362" s="1" t="str">
        <f>Paths!$A$402</f>
        <v>T099</v>
      </c>
      <c r="B4362" s="1">
        <f>Paths!$B$402</f>
        <v>3</v>
      </c>
      <c r="C4362" s="1">
        <v>10</v>
      </c>
      <c r="D4362" s="1">
        <v>402</v>
      </c>
      <c r="E4362" s="1">
        <f>IF(OR(Paths!$C$402=0,C4362=0),0,MAX(0,MIN(C4362*12,Paths!$E$402)-(C4362-1)*12))</f>
        <v>0</v>
      </c>
      <c r="F4362" s="1">
        <f>IF(OR(Paths!$C$402=0,C4362=0),0,12-E4362)</f>
        <v>0</v>
      </c>
      <c r="G4362" s="16">
        <f>IF(NOT(Paths!$C$402=1),0,IF(Paths!$P$402="Complete",E4362/12*(Paths!$J$402*(1+'Operating costs'!$B$51)^MAX(0,C4362-1)+Paths!$K$402*(1+'Operating costs'!$B$53)^MAX(0,C4362-1)),"n.a."))</f>
        <v>0</v>
      </c>
      <c r="H4362" s="16">
        <f>IF(NOT(Paths!$C$402=1),0,IF(Paths!$P$402="Complete",F4362/12*(Paths!$L$402*(1+IF(Paths!$D$402="EV",'Operating costs'!$B$52,'Operating costs'!$B$51))^MAX(0,C4362-1)+Paths!$M$402*(1+'Operating costs'!$B$53)^MAX(0,C4362-1)),"n.a."))</f>
        <v>0</v>
      </c>
      <c r="I4362" s="16">
        <f>IF(NOT(Paths!$C$402=1),0,IF(Paths!$P$402="Complete",IF(IF(Paths!$E$402=0,C4362=0,AND(C4362&gt;0,Paths!$E$402&gt;(C4362-1)*12,Paths!$E$402&lt;=C4362*12)),Paths!$G$402,0),"n.a."))</f>
        <v>0</v>
      </c>
      <c r="J4362" s="16">
        <f>IF(NOT(Paths!$C$402=1),0,IF(Paths!$P$402="Complete",IF(IF(Paths!$E$402=0,C4362=0,AND(C4362&gt;0,Paths!$E$402&gt;(C4362-1)*12,Paths!$E$402&lt;=C4362*12)),Paths!$H$402,0),"n.a."))</f>
        <v>0</v>
      </c>
      <c r="K4362" s="16">
        <f>IF(NOT(Paths!$C$402=1),0,IF(Paths!$P$402="Complete",IF(IF(Paths!$O$402=0,C4362=0,AND(C4362&gt;0,Paths!$O$402&gt;(C4362-1)*12,Paths!$O$402&lt;=C4362*12)),Paths!$N$402,0),"n.a."))</f>
        <v>0</v>
      </c>
      <c r="L4362" s="16">
        <f>IF(NOT(Paths!$C$402=1),0,IF(Paths!$P$402="Complete",IF(C4362=10,Paths!$I$402,0),"n.a."))</f>
        <v>0</v>
      </c>
      <c r="M4362" s="16">
        <f>IF(NOT(Paths!$C$402=1),0,IF(Paths!$P$402="Complete",IF(AND(Paths!$D$402="EV",Paths!$E$402&lt;120,Paths!$E$402+'Operating costs'!$B$65&gt;Paths!$E$402,Paths!$E$402+'Operating costs'!$B$65&lt;=120,IF(Paths!$E$402+'Operating costs'!$B$65=0,C4362=0,AND(C4362&gt;0,Paths!$E$402+'Operating costs'!$B$65&gt;(C4362-1)*12,Paths!$E$402+'Operating costs'!$B$65&lt;=C4362*12))),'Operating costs'!$B$64,0)+IF(AND('Operating costs'!$B$67&gt;0,'Operating costs'!$B$67&lt;=120,OR(Paths!$D$402="ICE",'Operating costs'!$B$67&lt;=Paths!$E$402),IF('Operating costs'!$B$67=0,C4362=0,AND(C4362&gt;0,'Operating costs'!$B$67&gt;(C4362-1)*12,'Operating costs'!$B$67&lt;=C4362*12))),'Operating costs'!$B$66,0),"n.a."))</f>
        <v>0</v>
      </c>
      <c r="N4362" s="16">
        <f>IF(NOT(Paths!$C$402=1),0,IF(Paths!$P$402="Complete",SUM(G4362:I4362)-J4362-K4362-L4362+M4362+IF(C4362=0,Paths!$F$402,0)+IF(IF(Paths!$E$402=0,C4362=0,AND(C4362&gt;0,Paths!$E$402&gt;(C4362-1)*12,Paths!$E$402&lt;=C4362*12)),VLOOKUP(A4362,'Fleet register'!$A$7:$S$106,16,FALSE),0),"n.a."))</f>
        <v>0</v>
      </c>
      <c r="O4362" s="16">
        <f>IF(NOT(Paths!$C$402=1),0,IF(Paths!$P$402="Complete",N4362-IF(C4362=0,Paths!$F$402,0),"n.a."))</f>
        <v>0</v>
      </c>
      <c r="P4362" s="16">
        <f>IF(NOT(Paths!$C$402=1),0,IF(Paths!$P$402="Complete",O4362+L4362,"n.a."))</f>
        <v>0</v>
      </c>
      <c r="Q4362" s="16">
        <f>IF(NOT(Paths!$C$402=1),0,IF(Paths!$P$402="Complete",N4362*(1+'Operating costs'!$B$54)^-C4362,"n.a."))</f>
        <v>0</v>
      </c>
      <c r="R4362" s="16">
        <f>IF(NOT(Paths!$C$402=1),0,IF(Paths!$P$402="Complete",IF(AND(C4362=0,Paths!$E$402=0),I4362-J4362-K4362+VLOOKUP(A4362,'Fleet register'!$A$7:$S$106,15,FALSE)+VLOOKUP(A4362,'Fleet register'!$A$7:$S$106,16,FALSE),0),"n.a."))</f>
        <v>0</v>
      </c>
      <c r="S4362" s="1">
        <f>IF(NOT(Paths!$C$402=1),0,IF(Paths!$P$402="Complete",IF(C4362=0,0,Paths!$S$402*Paths!$R$402),"n.a."))</f>
        <v>0</v>
      </c>
      <c r="T4362" s="1">
        <f>IF(NOT(Paths!$C$402=1),0,IF(Paths!$P$402="Complete",IF(C4362=0,0,VLOOKUP(A4362,'Fleet register'!$A$7:$S$106,9,FALSE)*Paths!$R$402),"n.a."))</f>
        <v>0</v>
      </c>
    </row>
    <row r="4363" spans="1:20" ht="24" customHeight="1">
      <c r="A4363" s="1" t="str">
        <f>Paths!$A$403</f>
        <v>T100</v>
      </c>
      <c r="B4363" s="1">
        <f>Paths!$B$403</f>
        <v>0</v>
      </c>
      <c r="C4363" s="1">
        <v>0</v>
      </c>
      <c r="D4363" s="1">
        <v>403</v>
      </c>
      <c r="E4363" s="1">
        <f>IF(OR(Paths!$C$403=0,C4363=0),0,MAX(0,MIN(C4363*12,Paths!$E$403)-(C4363-1)*12))</f>
        <v>0</v>
      </c>
      <c r="F4363" s="1">
        <f>IF(OR(Paths!$C$403=0,C4363=0),0,12-E4363)</f>
        <v>0</v>
      </c>
      <c r="G4363" s="16">
        <f>IF(NOT(Paths!$C$403=1),0,IF(Paths!$P$403="Complete",E4363/12*(Paths!$J$403*(1+'Operating costs'!$B$51)^MAX(0,C4363-1)+Paths!$K$403*(1+'Operating costs'!$B$53)^MAX(0,C4363-1)),"n.a."))</f>
        <v>0</v>
      </c>
      <c r="H4363" s="16">
        <f>IF(NOT(Paths!$C$403=1),0,IF(Paths!$P$403="Complete",F4363/12*(Paths!$L$403*(1+IF(Paths!$D$403="EV",'Operating costs'!$B$52,'Operating costs'!$B$51))^MAX(0,C4363-1)+Paths!$M$403*(1+'Operating costs'!$B$53)^MAX(0,C4363-1)),"n.a."))</f>
        <v>0</v>
      </c>
      <c r="I4363" s="16">
        <f>IF(NOT(Paths!$C$403=1),0,IF(Paths!$P$403="Complete",IF(IF(Paths!$E$403=0,C4363=0,AND(C4363&gt;0,Paths!$E$403&gt;(C4363-1)*12,Paths!$E$403&lt;=C4363*12)),Paths!$G$403,0),"n.a."))</f>
        <v>0</v>
      </c>
      <c r="J4363" s="16">
        <f>IF(NOT(Paths!$C$403=1),0,IF(Paths!$P$403="Complete",IF(IF(Paths!$E$403=0,C4363=0,AND(C4363&gt;0,Paths!$E$403&gt;(C4363-1)*12,Paths!$E$403&lt;=C4363*12)),Paths!$H$403,0),"n.a."))</f>
        <v>0</v>
      </c>
      <c r="K4363" s="16">
        <f>IF(NOT(Paths!$C$403=1),0,IF(Paths!$P$403="Complete",IF(IF(Paths!$O$403=0,C4363=0,AND(C4363&gt;0,Paths!$O$403&gt;(C4363-1)*12,Paths!$O$403&lt;=C4363*12)),Paths!$N$403,0),"n.a."))</f>
        <v>0</v>
      </c>
      <c r="L4363" s="16">
        <f>IF(NOT(Paths!$C$403=1),0,IF(Paths!$P$403="Complete",IF(C4363=10,Paths!$I$403,0),"n.a."))</f>
        <v>0</v>
      </c>
      <c r="M4363" s="16">
        <f>IF(NOT(Paths!$C$403=1),0,IF(Paths!$P$403="Complete",IF(AND(Paths!$D$403="EV",Paths!$E$403&lt;120,Paths!$E$403+'Operating costs'!$B$65&gt;Paths!$E$403,Paths!$E$403+'Operating costs'!$B$65&lt;=120,IF(Paths!$E$403+'Operating costs'!$B$65=0,C4363=0,AND(C4363&gt;0,Paths!$E$403+'Operating costs'!$B$65&gt;(C4363-1)*12,Paths!$E$403+'Operating costs'!$B$65&lt;=C4363*12))),'Operating costs'!$B$64,0)+IF(AND('Operating costs'!$B$67&gt;0,'Operating costs'!$B$67&lt;=120,OR(Paths!$D$403="ICE",'Operating costs'!$B$67&lt;=Paths!$E$403),IF('Operating costs'!$B$67=0,C4363=0,AND(C4363&gt;0,'Operating costs'!$B$67&gt;(C4363-1)*12,'Operating costs'!$B$67&lt;=C4363*12))),'Operating costs'!$B$66,0),"n.a."))</f>
        <v>0</v>
      </c>
      <c r="N4363" s="16">
        <f>IF(NOT(Paths!$C$403=1),0,IF(Paths!$P$403="Complete",SUM(G4363:I4363)-J4363-K4363-L4363+M4363+IF(C4363=0,Paths!$F$403,0)+IF(IF(Paths!$E$403=0,C4363=0,AND(C4363&gt;0,Paths!$E$403&gt;(C4363-1)*12,Paths!$E$403&lt;=C4363*12)),VLOOKUP(A4363,'Fleet register'!$A$7:$S$106,16,FALSE),0),"n.a."))</f>
        <v>0</v>
      </c>
      <c r="O4363" s="16">
        <f>IF(NOT(Paths!$C$403=1),0,IF(Paths!$P$403="Complete",N4363-IF(C4363=0,Paths!$F$403,0),"n.a."))</f>
        <v>0</v>
      </c>
      <c r="P4363" s="16">
        <f>IF(NOT(Paths!$C$403=1),0,IF(Paths!$P$403="Complete",O4363+L4363,"n.a."))</f>
        <v>0</v>
      </c>
      <c r="Q4363" s="16">
        <f>IF(NOT(Paths!$C$403=1),0,IF(Paths!$P$403="Complete",N4363*(1+'Operating costs'!$B$54)^-C4363,"n.a."))</f>
        <v>0</v>
      </c>
      <c r="R4363" s="16">
        <f>IF(NOT(Paths!$C$403=1),0,IF(Paths!$P$403="Complete",IF(AND(C4363=0,Paths!$E$403=0),I4363-J4363-K4363+VLOOKUP(A4363,'Fleet register'!$A$7:$S$106,15,FALSE)+VLOOKUP(A4363,'Fleet register'!$A$7:$S$106,16,FALSE),0),"n.a."))</f>
        <v>0</v>
      </c>
      <c r="S4363" s="1">
        <f>IF(NOT(Paths!$C$403=1),0,IF(Paths!$P$403="Complete",IF(C4363=0,0,Paths!$S$403*Paths!$R$403),"n.a."))</f>
        <v>0</v>
      </c>
      <c r="T4363" s="1">
        <f>IF(NOT(Paths!$C$403=1),0,IF(Paths!$P$403="Complete",IF(C4363=0,0,VLOOKUP(A4363,'Fleet register'!$A$7:$S$106,9,FALSE)*Paths!$R$403),"n.a."))</f>
        <v>0</v>
      </c>
    </row>
    <row r="4364" spans="1:20" ht="24" customHeight="1">
      <c r="A4364" s="1" t="str">
        <f>Paths!$A$403</f>
        <v>T100</v>
      </c>
      <c r="B4364" s="1">
        <f>Paths!$B$403</f>
        <v>0</v>
      </c>
      <c r="C4364" s="1">
        <v>1</v>
      </c>
      <c r="D4364" s="1">
        <v>403</v>
      </c>
      <c r="E4364" s="1">
        <f>IF(OR(Paths!$C$403=0,C4364=0),0,MAX(0,MIN(C4364*12,Paths!$E$403)-(C4364-1)*12))</f>
        <v>0</v>
      </c>
      <c r="F4364" s="1">
        <f>IF(OR(Paths!$C$403=0,C4364=0),0,12-E4364)</f>
        <v>0</v>
      </c>
      <c r="G4364" s="16">
        <f>IF(NOT(Paths!$C$403=1),0,IF(Paths!$P$403="Complete",E4364/12*(Paths!$J$403*(1+'Operating costs'!$B$51)^MAX(0,C4364-1)+Paths!$K$403*(1+'Operating costs'!$B$53)^MAX(0,C4364-1)),"n.a."))</f>
        <v>0</v>
      </c>
      <c r="H4364" s="16">
        <f>IF(NOT(Paths!$C$403=1),0,IF(Paths!$P$403="Complete",F4364/12*(Paths!$L$403*(1+IF(Paths!$D$403="EV",'Operating costs'!$B$52,'Operating costs'!$B$51))^MAX(0,C4364-1)+Paths!$M$403*(1+'Operating costs'!$B$53)^MAX(0,C4364-1)),"n.a."))</f>
        <v>0</v>
      </c>
      <c r="I4364" s="16">
        <f>IF(NOT(Paths!$C$403=1),0,IF(Paths!$P$403="Complete",IF(IF(Paths!$E$403=0,C4364=0,AND(C4364&gt;0,Paths!$E$403&gt;(C4364-1)*12,Paths!$E$403&lt;=C4364*12)),Paths!$G$403,0),"n.a."))</f>
        <v>0</v>
      </c>
      <c r="J4364" s="16">
        <f>IF(NOT(Paths!$C$403=1),0,IF(Paths!$P$403="Complete",IF(IF(Paths!$E$403=0,C4364=0,AND(C4364&gt;0,Paths!$E$403&gt;(C4364-1)*12,Paths!$E$403&lt;=C4364*12)),Paths!$H$403,0),"n.a."))</f>
        <v>0</v>
      </c>
      <c r="K4364" s="16">
        <f>IF(NOT(Paths!$C$403=1),0,IF(Paths!$P$403="Complete",IF(IF(Paths!$O$403=0,C4364=0,AND(C4364&gt;0,Paths!$O$403&gt;(C4364-1)*12,Paths!$O$403&lt;=C4364*12)),Paths!$N$403,0),"n.a."))</f>
        <v>0</v>
      </c>
      <c r="L4364" s="16">
        <f>IF(NOT(Paths!$C$403=1),0,IF(Paths!$P$403="Complete",IF(C4364=10,Paths!$I$403,0),"n.a."))</f>
        <v>0</v>
      </c>
      <c r="M4364" s="16">
        <f>IF(NOT(Paths!$C$403=1),0,IF(Paths!$P$403="Complete",IF(AND(Paths!$D$403="EV",Paths!$E$403&lt;120,Paths!$E$403+'Operating costs'!$B$65&gt;Paths!$E$403,Paths!$E$403+'Operating costs'!$B$65&lt;=120,IF(Paths!$E$403+'Operating costs'!$B$65=0,C4364=0,AND(C4364&gt;0,Paths!$E$403+'Operating costs'!$B$65&gt;(C4364-1)*12,Paths!$E$403+'Operating costs'!$B$65&lt;=C4364*12))),'Operating costs'!$B$64,0)+IF(AND('Operating costs'!$B$67&gt;0,'Operating costs'!$B$67&lt;=120,OR(Paths!$D$403="ICE",'Operating costs'!$B$67&lt;=Paths!$E$403),IF('Operating costs'!$B$67=0,C4364=0,AND(C4364&gt;0,'Operating costs'!$B$67&gt;(C4364-1)*12,'Operating costs'!$B$67&lt;=C4364*12))),'Operating costs'!$B$66,0),"n.a."))</f>
        <v>0</v>
      </c>
      <c r="N4364" s="16">
        <f>IF(NOT(Paths!$C$403=1),0,IF(Paths!$P$403="Complete",SUM(G4364:I4364)-J4364-K4364-L4364+M4364+IF(C4364=0,Paths!$F$403,0)+IF(IF(Paths!$E$403=0,C4364=0,AND(C4364&gt;0,Paths!$E$403&gt;(C4364-1)*12,Paths!$E$403&lt;=C4364*12)),VLOOKUP(A4364,'Fleet register'!$A$7:$S$106,16,FALSE),0),"n.a."))</f>
        <v>0</v>
      </c>
      <c r="O4364" s="16">
        <f>IF(NOT(Paths!$C$403=1),0,IF(Paths!$P$403="Complete",N4364-IF(C4364=0,Paths!$F$403,0),"n.a."))</f>
        <v>0</v>
      </c>
      <c r="P4364" s="16">
        <f>IF(NOT(Paths!$C$403=1),0,IF(Paths!$P$403="Complete",O4364+L4364,"n.a."))</f>
        <v>0</v>
      </c>
      <c r="Q4364" s="16">
        <f>IF(NOT(Paths!$C$403=1),0,IF(Paths!$P$403="Complete",N4364*(1+'Operating costs'!$B$54)^-C4364,"n.a."))</f>
        <v>0</v>
      </c>
      <c r="R4364" s="16">
        <f>IF(NOT(Paths!$C$403=1),0,IF(Paths!$P$403="Complete",IF(AND(C4364=0,Paths!$E$403=0),I4364-J4364-K4364+VLOOKUP(A4364,'Fleet register'!$A$7:$S$106,15,FALSE)+VLOOKUP(A4364,'Fleet register'!$A$7:$S$106,16,FALSE),0),"n.a."))</f>
        <v>0</v>
      </c>
      <c r="S4364" s="1">
        <f>IF(NOT(Paths!$C$403=1),0,IF(Paths!$P$403="Complete",IF(C4364=0,0,Paths!$S$403*Paths!$R$403),"n.a."))</f>
        <v>0</v>
      </c>
      <c r="T4364" s="1">
        <f>IF(NOT(Paths!$C$403=1),0,IF(Paths!$P$403="Complete",IF(C4364=0,0,VLOOKUP(A4364,'Fleet register'!$A$7:$S$106,9,FALSE)*Paths!$R$403),"n.a."))</f>
        <v>0</v>
      </c>
    </row>
    <row r="4365" spans="1:20" ht="24" customHeight="1">
      <c r="A4365" s="1" t="str">
        <f>Paths!$A$403</f>
        <v>T100</v>
      </c>
      <c r="B4365" s="1">
        <f>Paths!$B$403</f>
        <v>0</v>
      </c>
      <c r="C4365" s="1">
        <v>2</v>
      </c>
      <c r="D4365" s="1">
        <v>403</v>
      </c>
      <c r="E4365" s="1">
        <f>IF(OR(Paths!$C$403=0,C4365=0),0,MAX(0,MIN(C4365*12,Paths!$E$403)-(C4365-1)*12))</f>
        <v>0</v>
      </c>
      <c r="F4365" s="1">
        <f>IF(OR(Paths!$C$403=0,C4365=0),0,12-E4365)</f>
        <v>0</v>
      </c>
      <c r="G4365" s="16">
        <f>IF(NOT(Paths!$C$403=1),0,IF(Paths!$P$403="Complete",E4365/12*(Paths!$J$403*(1+'Operating costs'!$B$51)^MAX(0,C4365-1)+Paths!$K$403*(1+'Operating costs'!$B$53)^MAX(0,C4365-1)),"n.a."))</f>
        <v>0</v>
      </c>
      <c r="H4365" s="16">
        <f>IF(NOT(Paths!$C$403=1),0,IF(Paths!$P$403="Complete",F4365/12*(Paths!$L$403*(1+IF(Paths!$D$403="EV",'Operating costs'!$B$52,'Operating costs'!$B$51))^MAX(0,C4365-1)+Paths!$M$403*(1+'Operating costs'!$B$53)^MAX(0,C4365-1)),"n.a."))</f>
        <v>0</v>
      </c>
      <c r="I4365" s="16">
        <f>IF(NOT(Paths!$C$403=1),0,IF(Paths!$P$403="Complete",IF(IF(Paths!$E$403=0,C4365=0,AND(C4365&gt;0,Paths!$E$403&gt;(C4365-1)*12,Paths!$E$403&lt;=C4365*12)),Paths!$G$403,0),"n.a."))</f>
        <v>0</v>
      </c>
      <c r="J4365" s="16">
        <f>IF(NOT(Paths!$C$403=1),0,IF(Paths!$P$403="Complete",IF(IF(Paths!$E$403=0,C4365=0,AND(C4365&gt;0,Paths!$E$403&gt;(C4365-1)*12,Paths!$E$403&lt;=C4365*12)),Paths!$H$403,0),"n.a."))</f>
        <v>0</v>
      </c>
      <c r="K4365" s="16">
        <f>IF(NOT(Paths!$C$403=1),0,IF(Paths!$P$403="Complete",IF(IF(Paths!$O$403=0,C4365=0,AND(C4365&gt;0,Paths!$O$403&gt;(C4365-1)*12,Paths!$O$403&lt;=C4365*12)),Paths!$N$403,0),"n.a."))</f>
        <v>0</v>
      </c>
      <c r="L4365" s="16">
        <f>IF(NOT(Paths!$C$403=1),0,IF(Paths!$P$403="Complete",IF(C4365=10,Paths!$I$403,0),"n.a."))</f>
        <v>0</v>
      </c>
      <c r="M4365" s="16">
        <f>IF(NOT(Paths!$C$403=1),0,IF(Paths!$P$403="Complete",IF(AND(Paths!$D$403="EV",Paths!$E$403&lt;120,Paths!$E$403+'Operating costs'!$B$65&gt;Paths!$E$403,Paths!$E$403+'Operating costs'!$B$65&lt;=120,IF(Paths!$E$403+'Operating costs'!$B$65=0,C4365=0,AND(C4365&gt;0,Paths!$E$403+'Operating costs'!$B$65&gt;(C4365-1)*12,Paths!$E$403+'Operating costs'!$B$65&lt;=C4365*12))),'Operating costs'!$B$64,0)+IF(AND('Operating costs'!$B$67&gt;0,'Operating costs'!$B$67&lt;=120,OR(Paths!$D$403="ICE",'Operating costs'!$B$67&lt;=Paths!$E$403),IF('Operating costs'!$B$67=0,C4365=0,AND(C4365&gt;0,'Operating costs'!$B$67&gt;(C4365-1)*12,'Operating costs'!$B$67&lt;=C4365*12))),'Operating costs'!$B$66,0),"n.a."))</f>
        <v>0</v>
      </c>
      <c r="N4365" s="16">
        <f>IF(NOT(Paths!$C$403=1),0,IF(Paths!$P$403="Complete",SUM(G4365:I4365)-J4365-K4365-L4365+M4365+IF(C4365=0,Paths!$F$403,0)+IF(IF(Paths!$E$403=0,C4365=0,AND(C4365&gt;0,Paths!$E$403&gt;(C4365-1)*12,Paths!$E$403&lt;=C4365*12)),VLOOKUP(A4365,'Fleet register'!$A$7:$S$106,16,FALSE),0),"n.a."))</f>
        <v>0</v>
      </c>
      <c r="O4365" s="16">
        <f>IF(NOT(Paths!$C$403=1),0,IF(Paths!$P$403="Complete",N4365-IF(C4365=0,Paths!$F$403,0),"n.a."))</f>
        <v>0</v>
      </c>
      <c r="P4365" s="16">
        <f>IF(NOT(Paths!$C$403=1),0,IF(Paths!$P$403="Complete",O4365+L4365,"n.a."))</f>
        <v>0</v>
      </c>
      <c r="Q4365" s="16">
        <f>IF(NOT(Paths!$C$403=1),0,IF(Paths!$P$403="Complete",N4365*(1+'Operating costs'!$B$54)^-C4365,"n.a."))</f>
        <v>0</v>
      </c>
      <c r="R4365" s="16">
        <f>IF(NOT(Paths!$C$403=1),0,IF(Paths!$P$403="Complete",IF(AND(C4365=0,Paths!$E$403=0),I4365-J4365-K4365+VLOOKUP(A4365,'Fleet register'!$A$7:$S$106,15,FALSE)+VLOOKUP(A4365,'Fleet register'!$A$7:$S$106,16,FALSE),0),"n.a."))</f>
        <v>0</v>
      </c>
      <c r="S4365" s="1">
        <f>IF(NOT(Paths!$C$403=1),0,IF(Paths!$P$403="Complete",IF(C4365=0,0,Paths!$S$403*Paths!$R$403),"n.a."))</f>
        <v>0</v>
      </c>
      <c r="T4365" s="1">
        <f>IF(NOT(Paths!$C$403=1),0,IF(Paths!$P$403="Complete",IF(C4365=0,0,VLOOKUP(A4365,'Fleet register'!$A$7:$S$106,9,FALSE)*Paths!$R$403),"n.a."))</f>
        <v>0</v>
      </c>
    </row>
    <row r="4366" spans="1:20" ht="24" customHeight="1">
      <c r="A4366" s="1" t="str">
        <f>Paths!$A$403</f>
        <v>T100</v>
      </c>
      <c r="B4366" s="1">
        <f>Paths!$B$403</f>
        <v>0</v>
      </c>
      <c r="C4366" s="1">
        <v>3</v>
      </c>
      <c r="D4366" s="1">
        <v>403</v>
      </c>
      <c r="E4366" s="1">
        <f>IF(OR(Paths!$C$403=0,C4366=0),0,MAX(0,MIN(C4366*12,Paths!$E$403)-(C4366-1)*12))</f>
        <v>0</v>
      </c>
      <c r="F4366" s="1">
        <f>IF(OR(Paths!$C$403=0,C4366=0),0,12-E4366)</f>
        <v>0</v>
      </c>
      <c r="G4366" s="16">
        <f>IF(NOT(Paths!$C$403=1),0,IF(Paths!$P$403="Complete",E4366/12*(Paths!$J$403*(1+'Operating costs'!$B$51)^MAX(0,C4366-1)+Paths!$K$403*(1+'Operating costs'!$B$53)^MAX(0,C4366-1)),"n.a."))</f>
        <v>0</v>
      </c>
      <c r="H4366" s="16">
        <f>IF(NOT(Paths!$C$403=1),0,IF(Paths!$P$403="Complete",F4366/12*(Paths!$L$403*(1+IF(Paths!$D$403="EV",'Operating costs'!$B$52,'Operating costs'!$B$51))^MAX(0,C4366-1)+Paths!$M$403*(1+'Operating costs'!$B$53)^MAX(0,C4366-1)),"n.a."))</f>
        <v>0</v>
      </c>
      <c r="I4366" s="16">
        <f>IF(NOT(Paths!$C$403=1),0,IF(Paths!$P$403="Complete",IF(IF(Paths!$E$403=0,C4366=0,AND(C4366&gt;0,Paths!$E$403&gt;(C4366-1)*12,Paths!$E$403&lt;=C4366*12)),Paths!$G$403,0),"n.a."))</f>
        <v>0</v>
      </c>
      <c r="J4366" s="16">
        <f>IF(NOT(Paths!$C$403=1),0,IF(Paths!$P$403="Complete",IF(IF(Paths!$E$403=0,C4366=0,AND(C4366&gt;0,Paths!$E$403&gt;(C4366-1)*12,Paths!$E$403&lt;=C4366*12)),Paths!$H$403,0),"n.a."))</f>
        <v>0</v>
      </c>
      <c r="K4366" s="16">
        <f>IF(NOT(Paths!$C$403=1),0,IF(Paths!$P$403="Complete",IF(IF(Paths!$O$403=0,C4366=0,AND(C4366&gt;0,Paths!$O$403&gt;(C4366-1)*12,Paths!$O$403&lt;=C4366*12)),Paths!$N$403,0),"n.a."))</f>
        <v>0</v>
      </c>
      <c r="L4366" s="16">
        <f>IF(NOT(Paths!$C$403=1),0,IF(Paths!$P$403="Complete",IF(C4366=10,Paths!$I$403,0),"n.a."))</f>
        <v>0</v>
      </c>
      <c r="M4366" s="16">
        <f>IF(NOT(Paths!$C$403=1),0,IF(Paths!$P$403="Complete",IF(AND(Paths!$D$403="EV",Paths!$E$403&lt;120,Paths!$E$403+'Operating costs'!$B$65&gt;Paths!$E$403,Paths!$E$403+'Operating costs'!$B$65&lt;=120,IF(Paths!$E$403+'Operating costs'!$B$65=0,C4366=0,AND(C4366&gt;0,Paths!$E$403+'Operating costs'!$B$65&gt;(C4366-1)*12,Paths!$E$403+'Operating costs'!$B$65&lt;=C4366*12))),'Operating costs'!$B$64,0)+IF(AND('Operating costs'!$B$67&gt;0,'Operating costs'!$B$67&lt;=120,OR(Paths!$D$403="ICE",'Operating costs'!$B$67&lt;=Paths!$E$403),IF('Operating costs'!$B$67=0,C4366=0,AND(C4366&gt;0,'Operating costs'!$B$67&gt;(C4366-1)*12,'Operating costs'!$B$67&lt;=C4366*12))),'Operating costs'!$B$66,0),"n.a."))</f>
        <v>0</v>
      </c>
      <c r="N4366" s="16">
        <f>IF(NOT(Paths!$C$403=1),0,IF(Paths!$P$403="Complete",SUM(G4366:I4366)-J4366-K4366-L4366+M4366+IF(C4366=0,Paths!$F$403,0)+IF(IF(Paths!$E$403=0,C4366=0,AND(C4366&gt;0,Paths!$E$403&gt;(C4366-1)*12,Paths!$E$403&lt;=C4366*12)),VLOOKUP(A4366,'Fleet register'!$A$7:$S$106,16,FALSE),0),"n.a."))</f>
        <v>0</v>
      </c>
      <c r="O4366" s="16">
        <f>IF(NOT(Paths!$C$403=1),0,IF(Paths!$P$403="Complete",N4366-IF(C4366=0,Paths!$F$403,0),"n.a."))</f>
        <v>0</v>
      </c>
      <c r="P4366" s="16">
        <f>IF(NOT(Paths!$C$403=1),0,IF(Paths!$P$403="Complete",O4366+L4366,"n.a."))</f>
        <v>0</v>
      </c>
      <c r="Q4366" s="16">
        <f>IF(NOT(Paths!$C$403=1),0,IF(Paths!$P$403="Complete",N4366*(1+'Operating costs'!$B$54)^-C4366,"n.a."))</f>
        <v>0</v>
      </c>
      <c r="R4366" s="16">
        <f>IF(NOT(Paths!$C$403=1),0,IF(Paths!$P$403="Complete",IF(AND(C4366=0,Paths!$E$403=0),I4366-J4366-K4366+VLOOKUP(A4366,'Fleet register'!$A$7:$S$106,15,FALSE)+VLOOKUP(A4366,'Fleet register'!$A$7:$S$106,16,FALSE),0),"n.a."))</f>
        <v>0</v>
      </c>
      <c r="S4366" s="1">
        <f>IF(NOT(Paths!$C$403=1),0,IF(Paths!$P$403="Complete",IF(C4366=0,0,Paths!$S$403*Paths!$R$403),"n.a."))</f>
        <v>0</v>
      </c>
      <c r="T4366" s="1">
        <f>IF(NOT(Paths!$C$403=1),0,IF(Paths!$P$403="Complete",IF(C4366=0,0,VLOOKUP(A4366,'Fleet register'!$A$7:$S$106,9,FALSE)*Paths!$R$403),"n.a."))</f>
        <v>0</v>
      </c>
    </row>
    <row r="4367" spans="1:20" ht="24" customHeight="1">
      <c r="A4367" s="1" t="str">
        <f>Paths!$A$403</f>
        <v>T100</v>
      </c>
      <c r="B4367" s="1">
        <f>Paths!$B$403</f>
        <v>0</v>
      </c>
      <c r="C4367" s="1">
        <v>4</v>
      </c>
      <c r="D4367" s="1">
        <v>403</v>
      </c>
      <c r="E4367" s="1">
        <f>IF(OR(Paths!$C$403=0,C4367=0),0,MAX(0,MIN(C4367*12,Paths!$E$403)-(C4367-1)*12))</f>
        <v>0</v>
      </c>
      <c r="F4367" s="1">
        <f>IF(OR(Paths!$C$403=0,C4367=0),0,12-E4367)</f>
        <v>0</v>
      </c>
      <c r="G4367" s="16">
        <f>IF(NOT(Paths!$C$403=1),0,IF(Paths!$P$403="Complete",E4367/12*(Paths!$J$403*(1+'Operating costs'!$B$51)^MAX(0,C4367-1)+Paths!$K$403*(1+'Operating costs'!$B$53)^MAX(0,C4367-1)),"n.a."))</f>
        <v>0</v>
      </c>
      <c r="H4367" s="16">
        <f>IF(NOT(Paths!$C$403=1),0,IF(Paths!$P$403="Complete",F4367/12*(Paths!$L$403*(1+IF(Paths!$D$403="EV",'Operating costs'!$B$52,'Operating costs'!$B$51))^MAX(0,C4367-1)+Paths!$M$403*(1+'Operating costs'!$B$53)^MAX(0,C4367-1)),"n.a."))</f>
        <v>0</v>
      </c>
      <c r="I4367" s="16">
        <f>IF(NOT(Paths!$C$403=1),0,IF(Paths!$P$403="Complete",IF(IF(Paths!$E$403=0,C4367=0,AND(C4367&gt;0,Paths!$E$403&gt;(C4367-1)*12,Paths!$E$403&lt;=C4367*12)),Paths!$G$403,0),"n.a."))</f>
        <v>0</v>
      </c>
      <c r="J4367" s="16">
        <f>IF(NOT(Paths!$C$403=1),0,IF(Paths!$P$403="Complete",IF(IF(Paths!$E$403=0,C4367=0,AND(C4367&gt;0,Paths!$E$403&gt;(C4367-1)*12,Paths!$E$403&lt;=C4367*12)),Paths!$H$403,0),"n.a."))</f>
        <v>0</v>
      </c>
      <c r="K4367" s="16">
        <f>IF(NOT(Paths!$C$403=1),0,IF(Paths!$P$403="Complete",IF(IF(Paths!$O$403=0,C4367=0,AND(C4367&gt;0,Paths!$O$403&gt;(C4367-1)*12,Paths!$O$403&lt;=C4367*12)),Paths!$N$403,0),"n.a."))</f>
        <v>0</v>
      </c>
      <c r="L4367" s="16">
        <f>IF(NOT(Paths!$C$403=1),0,IF(Paths!$P$403="Complete",IF(C4367=10,Paths!$I$403,0),"n.a."))</f>
        <v>0</v>
      </c>
      <c r="M4367" s="16">
        <f>IF(NOT(Paths!$C$403=1),0,IF(Paths!$P$403="Complete",IF(AND(Paths!$D$403="EV",Paths!$E$403&lt;120,Paths!$E$403+'Operating costs'!$B$65&gt;Paths!$E$403,Paths!$E$403+'Operating costs'!$B$65&lt;=120,IF(Paths!$E$403+'Operating costs'!$B$65=0,C4367=0,AND(C4367&gt;0,Paths!$E$403+'Operating costs'!$B$65&gt;(C4367-1)*12,Paths!$E$403+'Operating costs'!$B$65&lt;=C4367*12))),'Operating costs'!$B$64,0)+IF(AND('Operating costs'!$B$67&gt;0,'Operating costs'!$B$67&lt;=120,OR(Paths!$D$403="ICE",'Operating costs'!$B$67&lt;=Paths!$E$403),IF('Operating costs'!$B$67=0,C4367=0,AND(C4367&gt;0,'Operating costs'!$B$67&gt;(C4367-1)*12,'Operating costs'!$B$67&lt;=C4367*12))),'Operating costs'!$B$66,0),"n.a."))</f>
        <v>0</v>
      </c>
      <c r="N4367" s="16">
        <f>IF(NOT(Paths!$C$403=1),0,IF(Paths!$P$403="Complete",SUM(G4367:I4367)-J4367-K4367-L4367+M4367+IF(C4367=0,Paths!$F$403,0)+IF(IF(Paths!$E$403=0,C4367=0,AND(C4367&gt;0,Paths!$E$403&gt;(C4367-1)*12,Paths!$E$403&lt;=C4367*12)),VLOOKUP(A4367,'Fleet register'!$A$7:$S$106,16,FALSE),0),"n.a."))</f>
        <v>0</v>
      </c>
      <c r="O4367" s="16">
        <f>IF(NOT(Paths!$C$403=1),0,IF(Paths!$P$403="Complete",N4367-IF(C4367=0,Paths!$F$403,0),"n.a."))</f>
        <v>0</v>
      </c>
      <c r="P4367" s="16">
        <f>IF(NOT(Paths!$C$403=1),0,IF(Paths!$P$403="Complete",O4367+L4367,"n.a."))</f>
        <v>0</v>
      </c>
      <c r="Q4367" s="16">
        <f>IF(NOT(Paths!$C$403=1),0,IF(Paths!$P$403="Complete",N4367*(1+'Operating costs'!$B$54)^-C4367,"n.a."))</f>
        <v>0</v>
      </c>
      <c r="R4367" s="16">
        <f>IF(NOT(Paths!$C$403=1),0,IF(Paths!$P$403="Complete",IF(AND(C4367=0,Paths!$E$403=0),I4367-J4367-K4367+VLOOKUP(A4367,'Fleet register'!$A$7:$S$106,15,FALSE)+VLOOKUP(A4367,'Fleet register'!$A$7:$S$106,16,FALSE),0),"n.a."))</f>
        <v>0</v>
      </c>
      <c r="S4367" s="1">
        <f>IF(NOT(Paths!$C$403=1),0,IF(Paths!$P$403="Complete",IF(C4367=0,0,Paths!$S$403*Paths!$R$403),"n.a."))</f>
        <v>0</v>
      </c>
      <c r="T4367" s="1">
        <f>IF(NOT(Paths!$C$403=1),0,IF(Paths!$P$403="Complete",IF(C4367=0,0,VLOOKUP(A4367,'Fleet register'!$A$7:$S$106,9,FALSE)*Paths!$R$403),"n.a."))</f>
        <v>0</v>
      </c>
    </row>
    <row r="4368" spans="1:20" ht="24" customHeight="1">
      <c r="A4368" s="1" t="str">
        <f>Paths!$A$403</f>
        <v>T100</v>
      </c>
      <c r="B4368" s="1">
        <f>Paths!$B$403</f>
        <v>0</v>
      </c>
      <c r="C4368" s="1">
        <v>5</v>
      </c>
      <c r="D4368" s="1">
        <v>403</v>
      </c>
      <c r="E4368" s="1">
        <f>IF(OR(Paths!$C$403=0,C4368=0),0,MAX(0,MIN(C4368*12,Paths!$E$403)-(C4368-1)*12))</f>
        <v>0</v>
      </c>
      <c r="F4368" s="1">
        <f>IF(OR(Paths!$C$403=0,C4368=0),0,12-E4368)</f>
        <v>0</v>
      </c>
      <c r="G4368" s="16">
        <f>IF(NOT(Paths!$C$403=1),0,IF(Paths!$P$403="Complete",E4368/12*(Paths!$J$403*(1+'Operating costs'!$B$51)^MAX(0,C4368-1)+Paths!$K$403*(1+'Operating costs'!$B$53)^MAX(0,C4368-1)),"n.a."))</f>
        <v>0</v>
      </c>
      <c r="H4368" s="16">
        <f>IF(NOT(Paths!$C$403=1),0,IF(Paths!$P$403="Complete",F4368/12*(Paths!$L$403*(1+IF(Paths!$D$403="EV",'Operating costs'!$B$52,'Operating costs'!$B$51))^MAX(0,C4368-1)+Paths!$M$403*(1+'Operating costs'!$B$53)^MAX(0,C4368-1)),"n.a."))</f>
        <v>0</v>
      </c>
      <c r="I4368" s="16">
        <f>IF(NOT(Paths!$C$403=1),0,IF(Paths!$P$403="Complete",IF(IF(Paths!$E$403=0,C4368=0,AND(C4368&gt;0,Paths!$E$403&gt;(C4368-1)*12,Paths!$E$403&lt;=C4368*12)),Paths!$G$403,0),"n.a."))</f>
        <v>0</v>
      </c>
      <c r="J4368" s="16">
        <f>IF(NOT(Paths!$C$403=1),0,IF(Paths!$P$403="Complete",IF(IF(Paths!$E$403=0,C4368=0,AND(C4368&gt;0,Paths!$E$403&gt;(C4368-1)*12,Paths!$E$403&lt;=C4368*12)),Paths!$H$403,0),"n.a."))</f>
        <v>0</v>
      </c>
      <c r="K4368" s="16">
        <f>IF(NOT(Paths!$C$403=1),0,IF(Paths!$P$403="Complete",IF(IF(Paths!$O$403=0,C4368=0,AND(C4368&gt;0,Paths!$O$403&gt;(C4368-1)*12,Paths!$O$403&lt;=C4368*12)),Paths!$N$403,0),"n.a."))</f>
        <v>0</v>
      </c>
      <c r="L4368" s="16">
        <f>IF(NOT(Paths!$C$403=1),0,IF(Paths!$P$403="Complete",IF(C4368=10,Paths!$I$403,0),"n.a."))</f>
        <v>0</v>
      </c>
      <c r="M4368" s="16">
        <f>IF(NOT(Paths!$C$403=1),0,IF(Paths!$P$403="Complete",IF(AND(Paths!$D$403="EV",Paths!$E$403&lt;120,Paths!$E$403+'Operating costs'!$B$65&gt;Paths!$E$403,Paths!$E$403+'Operating costs'!$B$65&lt;=120,IF(Paths!$E$403+'Operating costs'!$B$65=0,C4368=0,AND(C4368&gt;0,Paths!$E$403+'Operating costs'!$B$65&gt;(C4368-1)*12,Paths!$E$403+'Operating costs'!$B$65&lt;=C4368*12))),'Operating costs'!$B$64,0)+IF(AND('Operating costs'!$B$67&gt;0,'Operating costs'!$B$67&lt;=120,OR(Paths!$D$403="ICE",'Operating costs'!$B$67&lt;=Paths!$E$403),IF('Operating costs'!$B$67=0,C4368=0,AND(C4368&gt;0,'Operating costs'!$B$67&gt;(C4368-1)*12,'Operating costs'!$B$67&lt;=C4368*12))),'Operating costs'!$B$66,0),"n.a."))</f>
        <v>0</v>
      </c>
      <c r="N4368" s="16">
        <f>IF(NOT(Paths!$C$403=1),0,IF(Paths!$P$403="Complete",SUM(G4368:I4368)-J4368-K4368-L4368+M4368+IF(C4368=0,Paths!$F$403,0)+IF(IF(Paths!$E$403=0,C4368=0,AND(C4368&gt;0,Paths!$E$403&gt;(C4368-1)*12,Paths!$E$403&lt;=C4368*12)),VLOOKUP(A4368,'Fleet register'!$A$7:$S$106,16,FALSE),0),"n.a."))</f>
        <v>0</v>
      </c>
      <c r="O4368" s="16">
        <f>IF(NOT(Paths!$C$403=1),0,IF(Paths!$P$403="Complete",N4368-IF(C4368=0,Paths!$F$403,0),"n.a."))</f>
        <v>0</v>
      </c>
      <c r="P4368" s="16">
        <f>IF(NOT(Paths!$C$403=1),0,IF(Paths!$P$403="Complete",O4368+L4368,"n.a."))</f>
        <v>0</v>
      </c>
      <c r="Q4368" s="16">
        <f>IF(NOT(Paths!$C$403=1),0,IF(Paths!$P$403="Complete",N4368*(1+'Operating costs'!$B$54)^-C4368,"n.a."))</f>
        <v>0</v>
      </c>
      <c r="R4368" s="16">
        <f>IF(NOT(Paths!$C$403=1),0,IF(Paths!$P$403="Complete",IF(AND(C4368=0,Paths!$E$403=0),I4368-J4368-K4368+VLOOKUP(A4368,'Fleet register'!$A$7:$S$106,15,FALSE)+VLOOKUP(A4368,'Fleet register'!$A$7:$S$106,16,FALSE),0),"n.a."))</f>
        <v>0</v>
      </c>
      <c r="S4368" s="1">
        <f>IF(NOT(Paths!$C$403=1),0,IF(Paths!$P$403="Complete",IF(C4368=0,0,Paths!$S$403*Paths!$R$403),"n.a."))</f>
        <v>0</v>
      </c>
      <c r="T4368" s="1">
        <f>IF(NOT(Paths!$C$403=1),0,IF(Paths!$P$403="Complete",IF(C4368=0,0,VLOOKUP(A4368,'Fleet register'!$A$7:$S$106,9,FALSE)*Paths!$R$403),"n.a."))</f>
        <v>0</v>
      </c>
    </row>
    <row r="4369" spans="1:20" ht="24" customHeight="1">
      <c r="A4369" s="1" t="str">
        <f>Paths!$A$403</f>
        <v>T100</v>
      </c>
      <c r="B4369" s="1">
        <f>Paths!$B$403</f>
        <v>0</v>
      </c>
      <c r="C4369" s="1">
        <v>6</v>
      </c>
      <c r="D4369" s="1">
        <v>403</v>
      </c>
      <c r="E4369" s="1">
        <f>IF(OR(Paths!$C$403=0,C4369=0),0,MAX(0,MIN(C4369*12,Paths!$E$403)-(C4369-1)*12))</f>
        <v>0</v>
      </c>
      <c r="F4369" s="1">
        <f>IF(OR(Paths!$C$403=0,C4369=0),0,12-E4369)</f>
        <v>0</v>
      </c>
      <c r="G4369" s="16">
        <f>IF(NOT(Paths!$C$403=1),0,IF(Paths!$P$403="Complete",E4369/12*(Paths!$J$403*(1+'Operating costs'!$B$51)^MAX(0,C4369-1)+Paths!$K$403*(1+'Operating costs'!$B$53)^MAX(0,C4369-1)),"n.a."))</f>
        <v>0</v>
      </c>
      <c r="H4369" s="16">
        <f>IF(NOT(Paths!$C$403=1),0,IF(Paths!$P$403="Complete",F4369/12*(Paths!$L$403*(1+IF(Paths!$D$403="EV",'Operating costs'!$B$52,'Operating costs'!$B$51))^MAX(0,C4369-1)+Paths!$M$403*(1+'Operating costs'!$B$53)^MAX(0,C4369-1)),"n.a."))</f>
        <v>0</v>
      </c>
      <c r="I4369" s="16">
        <f>IF(NOT(Paths!$C$403=1),0,IF(Paths!$P$403="Complete",IF(IF(Paths!$E$403=0,C4369=0,AND(C4369&gt;0,Paths!$E$403&gt;(C4369-1)*12,Paths!$E$403&lt;=C4369*12)),Paths!$G$403,0),"n.a."))</f>
        <v>0</v>
      </c>
      <c r="J4369" s="16">
        <f>IF(NOT(Paths!$C$403=1),0,IF(Paths!$P$403="Complete",IF(IF(Paths!$E$403=0,C4369=0,AND(C4369&gt;0,Paths!$E$403&gt;(C4369-1)*12,Paths!$E$403&lt;=C4369*12)),Paths!$H$403,0),"n.a."))</f>
        <v>0</v>
      </c>
      <c r="K4369" s="16">
        <f>IF(NOT(Paths!$C$403=1),0,IF(Paths!$P$403="Complete",IF(IF(Paths!$O$403=0,C4369=0,AND(C4369&gt;0,Paths!$O$403&gt;(C4369-1)*12,Paths!$O$403&lt;=C4369*12)),Paths!$N$403,0),"n.a."))</f>
        <v>0</v>
      </c>
      <c r="L4369" s="16">
        <f>IF(NOT(Paths!$C$403=1),0,IF(Paths!$P$403="Complete",IF(C4369=10,Paths!$I$403,0),"n.a."))</f>
        <v>0</v>
      </c>
      <c r="M4369" s="16">
        <f>IF(NOT(Paths!$C$403=1),0,IF(Paths!$P$403="Complete",IF(AND(Paths!$D$403="EV",Paths!$E$403&lt;120,Paths!$E$403+'Operating costs'!$B$65&gt;Paths!$E$403,Paths!$E$403+'Operating costs'!$B$65&lt;=120,IF(Paths!$E$403+'Operating costs'!$B$65=0,C4369=0,AND(C4369&gt;0,Paths!$E$403+'Operating costs'!$B$65&gt;(C4369-1)*12,Paths!$E$403+'Operating costs'!$B$65&lt;=C4369*12))),'Operating costs'!$B$64,0)+IF(AND('Operating costs'!$B$67&gt;0,'Operating costs'!$B$67&lt;=120,OR(Paths!$D$403="ICE",'Operating costs'!$B$67&lt;=Paths!$E$403),IF('Operating costs'!$B$67=0,C4369=0,AND(C4369&gt;0,'Operating costs'!$B$67&gt;(C4369-1)*12,'Operating costs'!$B$67&lt;=C4369*12))),'Operating costs'!$B$66,0),"n.a."))</f>
        <v>0</v>
      </c>
      <c r="N4369" s="16">
        <f>IF(NOT(Paths!$C$403=1),0,IF(Paths!$P$403="Complete",SUM(G4369:I4369)-J4369-K4369-L4369+M4369+IF(C4369=0,Paths!$F$403,0)+IF(IF(Paths!$E$403=0,C4369=0,AND(C4369&gt;0,Paths!$E$403&gt;(C4369-1)*12,Paths!$E$403&lt;=C4369*12)),VLOOKUP(A4369,'Fleet register'!$A$7:$S$106,16,FALSE),0),"n.a."))</f>
        <v>0</v>
      </c>
      <c r="O4369" s="16">
        <f>IF(NOT(Paths!$C$403=1),0,IF(Paths!$P$403="Complete",N4369-IF(C4369=0,Paths!$F$403,0),"n.a."))</f>
        <v>0</v>
      </c>
      <c r="P4369" s="16">
        <f>IF(NOT(Paths!$C$403=1),0,IF(Paths!$P$403="Complete",O4369+L4369,"n.a."))</f>
        <v>0</v>
      </c>
      <c r="Q4369" s="16">
        <f>IF(NOT(Paths!$C$403=1),0,IF(Paths!$P$403="Complete",N4369*(1+'Operating costs'!$B$54)^-C4369,"n.a."))</f>
        <v>0</v>
      </c>
      <c r="R4369" s="16">
        <f>IF(NOT(Paths!$C$403=1),0,IF(Paths!$P$403="Complete",IF(AND(C4369=0,Paths!$E$403=0),I4369-J4369-K4369+VLOOKUP(A4369,'Fleet register'!$A$7:$S$106,15,FALSE)+VLOOKUP(A4369,'Fleet register'!$A$7:$S$106,16,FALSE),0),"n.a."))</f>
        <v>0</v>
      </c>
      <c r="S4369" s="1">
        <f>IF(NOT(Paths!$C$403=1),0,IF(Paths!$P$403="Complete",IF(C4369=0,0,Paths!$S$403*Paths!$R$403),"n.a."))</f>
        <v>0</v>
      </c>
      <c r="T4369" s="1">
        <f>IF(NOT(Paths!$C$403=1),0,IF(Paths!$P$403="Complete",IF(C4369=0,0,VLOOKUP(A4369,'Fleet register'!$A$7:$S$106,9,FALSE)*Paths!$R$403),"n.a."))</f>
        <v>0</v>
      </c>
    </row>
    <row r="4370" spans="1:20" ht="24" customHeight="1">
      <c r="A4370" s="1" t="str">
        <f>Paths!$A$403</f>
        <v>T100</v>
      </c>
      <c r="B4370" s="1">
        <f>Paths!$B$403</f>
        <v>0</v>
      </c>
      <c r="C4370" s="1">
        <v>7</v>
      </c>
      <c r="D4370" s="1">
        <v>403</v>
      </c>
      <c r="E4370" s="1">
        <f>IF(OR(Paths!$C$403=0,C4370=0),0,MAX(0,MIN(C4370*12,Paths!$E$403)-(C4370-1)*12))</f>
        <v>0</v>
      </c>
      <c r="F4370" s="1">
        <f>IF(OR(Paths!$C$403=0,C4370=0),0,12-E4370)</f>
        <v>0</v>
      </c>
      <c r="G4370" s="16">
        <f>IF(NOT(Paths!$C$403=1),0,IF(Paths!$P$403="Complete",E4370/12*(Paths!$J$403*(1+'Operating costs'!$B$51)^MAX(0,C4370-1)+Paths!$K$403*(1+'Operating costs'!$B$53)^MAX(0,C4370-1)),"n.a."))</f>
        <v>0</v>
      </c>
      <c r="H4370" s="16">
        <f>IF(NOT(Paths!$C$403=1),0,IF(Paths!$P$403="Complete",F4370/12*(Paths!$L$403*(1+IF(Paths!$D$403="EV",'Operating costs'!$B$52,'Operating costs'!$B$51))^MAX(0,C4370-1)+Paths!$M$403*(1+'Operating costs'!$B$53)^MAX(0,C4370-1)),"n.a."))</f>
        <v>0</v>
      </c>
      <c r="I4370" s="16">
        <f>IF(NOT(Paths!$C$403=1),0,IF(Paths!$P$403="Complete",IF(IF(Paths!$E$403=0,C4370=0,AND(C4370&gt;0,Paths!$E$403&gt;(C4370-1)*12,Paths!$E$403&lt;=C4370*12)),Paths!$G$403,0),"n.a."))</f>
        <v>0</v>
      </c>
      <c r="J4370" s="16">
        <f>IF(NOT(Paths!$C$403=1),0,IF(Paths!$P$403="Complete",IF(IF(Paths!$E$403=0,C4370=0,AND(C4370&gt;0,Paths!$E$403&gt;(C4370-1)*12,Paths!$E$403&lt;=C4370*12)),Paths!$H$403,0),"n.a."))</f>
        <v>0</v>
      </c>
      <c r="K4370" s="16">
        <f>IF(NOT(Paths!$C$403=1),0,IF(Paths!$P$403="Complete",IF(IF(Paths!$O$403=0,C4370=0,AND(C4370&gt;0,Paths!$O$403&gt;(C4370-1)*12,Paths!$O$403&lt;=C4370*12)),Paths!$N$403,0),"n.a."))</f>
        <v>0</v>
      </c>
      <c r="L4370" s="16">
        <f>IF(NOT(Paths!$C$403=1),0,IF(Paths!$P$403="Complete",IF(C4370=10,Paths!$I$403,0),"n.a."))</f>
        <v>0</v>
      </c>
      <c r="M4370" s="16">
        <f>IF(NOT(Paths!$C$403=1),0,IF(Paths!$P$403="Complete",IF(AND(Paths!$D$403="EV",Paths!$E$403&lt;120,Paths!$E$403+'Operating costs'!$B$65&gt;Paths!$E$403,Paths!$E$403+'Operating costs'!$B$65&lt;=120,IF(Paths!$E$403+'Operating costs'!$B$65=0,C4370=0,AND(C4370&gt;0,Paths!$E$403+'Operating costs'!$B$65&gt;(C4370-1)*12,Paths!$E$403+'Operating costs'!$B$65&lt;=C4370*12))),'Operating costs'!$B$64,0)+IF(AND('Operating costs'!$B$67&gt;0,'Operating costs'!$B$67&lt;=120,OR(Paths!$D$403="ICE",'Operating costs'!$B$67&lt;=Paths!$E$403),IF('Operating costs'!$B$67=0,C4370=0,AND(C4370&gt;0,'Operating costs'!$B$67&gt;(C4370-1)*12,'Operating costs'!$B$67&lt;=C4370*12))),'Operating costs'!$B$66,0),"n.a."))</f>
        <v>0</v>
      </c>
      <c r="N4370" s="16">
        <f>IF(NOT(Paths!$C$403=1),0,IF(Paths!$P$403="Complete",SUM(G4370:I4370)-J4370-K4370-L4370+M4370+IF(C4370=0,Paths!$F$403,0)+IF(IF(Paths!$E$403=0,C4370=0,AND(C4370&gt;0,Paths!$E$403&gt;(C4370-1)*12,Paths!$E$403&lt;=C4370*12)),VLOOKUP(A4370,'Fleet register'!$A$7:$S$106,16,FALSE),0),"n.a."))</f>
        <v>0</v>
      </c>
      <c r="O4370" s="16">
        <f>IF(NOT(Paths!$C$403=1),0,IF(Paths!$P$403="Complete",N4370-IF(C4370=0,Paths!$F$403,0),"n.a."))</f>
        <v>0</v>
      </c>
      <c r="P4370" s="16">
        <f>IF(NOT(Paths!$C$403=1),0,IF(Paths!$P$403="Complete",O4370+L4370,"n.a."))</f>
        <v>0</v>
      </c>
      <c r="Q4370" s="16">
        <f>IF(NOT(Paths!$C$403=1),0,IF(Paths!$P$403="Complete",N4370*(1+'Operating costs'!$B$54)^-C4370,"n.a."))</f>
        <v>0</v>
      </c>
      <c r="R4370" s="16">
        <f>IF(NOT(Paths!$C$403=1),0,IF(Paths!$P$403="Complete",IF(AND(C4370=0,Paths!$E$403=0),I4370-J4370-K4370+VLOOKUP(A4370,'Fleet register'!$A$7:$S$106,15,FALSE)+VLOOKUP(A4370,'Fleet register'!$A$7:$S$106,16,FALSE),0),"n.a."))</f>
        <v>0</v>
      </c>
      <c r="S4370" s="1">
        <f>IF(NOT(Paths!$C$403=1),0,IF(Paths!$P$403="Complete",IF(C4370=0,0,Paths!$S$403*Paths!$R$403),"n.a."))</f>
        <v>0</v>
      </c>
      <c r="T4370" s="1">
        <f>IF(NOT(Paths!$C$403=1),0,IF(Paths!$P$403="Complete",IF(C4370=0,0,VLOOKUP(A4370,'Fleet register'!$A$7:$S$106,9,FALSE)*Paths!$R$403),"n.a."))</f>
        <v>0</v>
      </c>
    </row>
    <row r="4371" spans="1:20" ht="24" customHeight="1">
      <c r="A4371" s="1" t="str">
        <f>Paths!$A$403</f>
        <v>T100</v>
      </c>
      <c r="B4371" s="1">
        <f>Paths!$B$403</f>
        <v>0</v>
      </c>
      <c r="C4371" s="1">
        <v>8</v>
      </c>
      <c r="D4371" s="1">
        <v>403</v>
      </c>
      <c r="E4371" s="1">
        <f>IF(OR(Paths!$C$403=0,C4371=0),0,MAX(0,MIN(C4371*12,Paths!$E$403)-(C4371-1)*12))</f>
        <v>0</v>
      </c>
      <c r="F4371" s="1">
        <f>IF(OR(Paths!$C$403=0,C4371=0),0,12-E4371)</f>
        <v>0</v>
      </c>
      <c r="G4371" s="16">
        <f>IF(NOT(Paths!$C$403=1),0,IF(Paths!$P$403="Complete",E4371/12*(Paths!$J$403*(1+'Operating costs'!$B$51)^MAX(0,C4371-1)+Paths!$K$403*(1+'Operating costs'!$B$53)^MAX(0,C4371-1)),"n.a."))</f>
        <v>0</v>
      </c>
      <c r="H4371" s="16">
        <f>IF(NOT(Paths!$C$403=1),0,IF(Paths!$P$403="Complete",F4371/12*(Paths!$L$403*(1+IF(Paths!$D$403="EV",'Operating costs'!$B$52,'Operating costs'!$B$51))^MAX(0,C4371-1)+Paths!$M$403*(1+'Operating costs'!$B$53)^MAX(0,C4371-1)),"n.a."))</f>
        <v>0</v>
      </c>
      <c r="I4371" s="16">
        <f>IF(NOT(Paths!$C$403=1),0,IF(Paths!$P$403="Complete",IF(IF(Paths!$E$403=0,C4371=0,AND(C4371&gt;0,Paths!$E$403&gt;(C4371-1)*12,Paths!$E$403&lt;=C4371*12)),Paths!$G$403,0),"n.a."))</f>
        <v>0</v>
      </c>
      <c r="J4371" s="16">
        <f>IF(NOT(Paths!$C$403=1),0,IF(Paths!$P$403="Complete",IF(IF(Paths!$E$403=0,C4371=0,AND(C4371&gt;0,Paths!$E$403&gt;(C4371-1)*12,Paths!$E$403&lt;=C4371*12)),Paths!$H$403,0),"n.a."))</f>
        <v>0</v>
      </c>
      <c r="K4371" s="16">
        <f>IF(NOT(Paths!$C$403=1),0,IF(Paths!$P$403="Complete",IF(IF(Paths!$O$403=0,C4371=0,AND(C4371&gt;0,Paths!$O$403&gt;(C4371-1)*12,Paths!$O$403&lt;=C4371*12)),Paths!$N$403,0),"n.a."))</f>
        <v>0</v>
      </c>
      <c r="L4371" s="16">
        <f>IF(NOT(Paths!$C$403=1),0,IF(Paths!$P$403="Complete",IF(C4371=10,Paths!$I$403,0),"n.a."))</f>
        <v>0</v>
      </c>
      <c r="M4371" s="16">
        <f>IF(NOT(Paths!$C$403=1),0,IF(Paths!$P$403="Complete",IF(AND(Paths!$D$403="EV",Paths!$E$403&lt;120,Paths!$E$403+'Operating costs'!$B$65&gt;Paths!$E$403,Paths!$E$403+'Operating costs'!$B$65&lt;=120,IF(Paths!$E$403+'Operating costs'!$B$65=0,C4371=0,AND(C4371&gt;0,Paths!$E$403+'Operating costs'!$B$65&gt;(C4371-1)*12,Paths!$E$403+'Operating costs'!$B$65&lt;=C4371*12))),'Operating costs'!$B$64,0)+IF(AND('Operating costs'!$B$67&gt;0,'Operating costs'!$B$67&lt;=120,OR(Paths!$D$403="ICE",'Operating costs'!$B$67&lt;=Paths!$E$403),IF('Operating costs'!$B$67=0,C4371=0,AND(C4371&gt;0,'Operating costs'!$B$67&gt;(C4371-1)*12,'Operating costs'!$B$67&lt;=C4371*12))),'Operating costs'!$B$66,0),"n.a."))</f>
        <v>0</v>
      </c>
      <c r="N4371" s="16">
        <f>IF(NOT(Paths!$C$403=1),0,IF(Paths!$P$403="Complete",SUM(G4371:I4371)-J4371-K4371-L4371+M4371+IF(C4371=0,Paths!$F$403,0)+IF(IF(Paths!$E$403=0,C4371=0,AND(C4371&gt;0,Paths!$E$403&gt;(C4371-1)*12,Paths!$E$403&lt;=C4371*12)),VLOOKUP(A4371,'Fleet register'!$A$7:$S$106,16,FALSE),0),"n.a."))</f>
        <v>0</v>
      </c>
      <c r="O4371" s="16">
        <f>IF(NOT(Paths!$C$403=1),0,IF(Paths!$P$403="Complete",N4371-IF(C4371=0,Paths!$F$403,0),"n.a."))</f>
        <v>0</v>
      </c>
      <c r="P4371" s="16">
        <f>IF(NOT(Paths!$C$403=1),0,IF(Paths!$P$403="Complete",O4371+L4371,"n.a."))</f>
        <v>0</v>
      </c>
      <c r="Q4371" s="16">
        <f>IF(NOT(Paths!$C$403=1),0,IF(Paths!$P$403="Complete",N4371*(1+'Operating costs'!$B$54)^-C4371,"n.a."))</f>
        <v>0</v>
      </c>
      <c r="R4371" s="16">
        <f>IF(NOT(Paths!$C$403=1),0,IF(Paths!$P$403="Complete",IF(AND(C4371=0,Paths!$E$403=0),I4371-J4371-K4371+VLOOKUP(A4371,'Fleet register'!$A$7:$S$106,15,FALSE)+VLOOKUP(A4371,'Fleet register'!$A$7:$S$106,16,FALSE),0),"n.a."))</f>
        <v>0</v>
      </c>
      <c r="S4371" s="1">
        <f>IF(NOT(Paths!$C$403=1),0,IF(Paths!$P$403="Complete",IF(C4371=0,0,Paths!$S$403*Paths!$R$403),"n.a."))</f>
        <v>0</v>
      </c>
      <c r="T4371" s="1">
        <f>IF(NOT(Paths!$C$403=1),0,IF(Paths!$P$403="Complete",IF(C4371=0,0,VLOOKUP(A4371,'Fleet register'!$A$7:$S$106,9,FALSE)*Paths!$R$403),"n.a."))</f>
        <v>0</v>
      </c>
    </row>
    <row r="4372" spans="1:20" ht="24" customHeight="1">
      <c r="A4372" s="1" t="str">
        <f>Paths!$A$403</f>
        <v>T100</v>
      </c>
      <c r="B4372" s="1">
        <f>Paths!$B$403</f>
        <v>0</v>
      </c>
      <c r="C4372" s="1">
        <v>9</v>
      </c>
      <c r="D4372" s="1">
        <v>403</v>
      </c>
      <c r="E4372" s="1">
        <f>IF(OR(Paths!$C$403=0,C4372=0),0,MAX(0,MIN(C4372*12,Paths!$E$403)-(C4372-1)*12))</f>
        <v>0</v>
      </c>
      <c r="F4372" s="1">
        <f>IF(OR(Paths!$C$403=0,C4372=0),0,12-E4372)</f>
        <v>0</v>
      </c>
      <c r="G4372" s="16">
        <f>IF(NOT(Paths!$C$403=1),0,IF(Paths!$P$403="Complete",E4372/12*(Paths!$J$403*(1+'Operating costs'!$B$51)^MAX(0,C4372-1)+Paths!$K$403*(1+'Operating costs'!$B$53)^MAX(0,C4372-1)),"n.a."))</f>
        <v>0</v>
      </c>
      <c r="H4372" s="16">
        <f>IF(NOT(Paths!$C$403=1),0,IF(Paths!$P$403="Complete",F4372/12*(Paths!$L$403*(1+IF(Paths!$D$403="EV",'Operating costs'!$B$52,'Operating costs'!$B$51))^MAX(0,C4372-1)+Paths!$M$403*(1+'Operating costs'!$B$53)^MAX(0,C4372-1)),"n.a."))</f>
        <v>0</v>
      </c>
      <c r="I4372" s="16">
        <f>IF(NOT(Paths!$C$403=1),0,IF(Paths!$P$403="Complete",IF(IF(Paths!$E$403=0,C4372=0,AND(C4372&gt;0,Paths!$E$403&gt;(C4372-1)*12,Paths!$E$403&lt;=C4372*12)),Paths!$G$403,0),"n.a."))</f>
        <v>0</v>
      </c>
      <c r="J4372" s="16">
        <f>IF(NOT(Paths!$C$403=1),0,IF(Paths!$P$403="Complete",IF(IF(Paths!$E$403=0,C4372=0,AND(C4372&gt;0,Paths!$E$403&gt;(C4372-1)*12,Paths!$E$403&lt;=C4372*12)),Paths!$H$403,0),"n.a."))</f>
        <v>0</v>
      </c>
      <c r="K4372" s="16">
        <f>IF(NOT(Paths!$C$403=1),0,IF(Paths!$P$403="Complete",IF(IF(Paths!$O$403=0,C4372=0,AND(C4372&gt;0,Paths!$O$403&gt;(C4372-1)*12,Paths!$O$403&lt;=C4372*12)),Paths!$N$403,0),"n.a."))</f>
        <v>0</v>
      </c>
      <c r="L4372" s="16">
        <f>IF(NOT(Paths!$C$403=1),0,IF(Paths!$P$403="Complete",IF(C4372=10,Paths!$I$403,0),"n.a."))</f>
        <v>0</v>
      </c>
      <c r="M4372" s="16">
        <f>IF(NOT(Paths!$C$403=1),0,IF(Paths!$P$403="Complete",IF(AND(Paths!$D$403="EV",Paths!$E$403&lt;120,Paths!$E$403+'Operating costs'!$B$65&gt;Paths!$E$403,Paths!$E$403+'Operating costs'!$B$65&lt;=120,IF(Paths!$E$403+'Operating costs'!$B$65=0,C4372=0,AND(C4372&gt;0,Paths!$E$403+'Operating costs'!$B$65&gt;(C4372-1)*12,Paths!$E$403+'Operating costs'!$B$65&lt;=C4372*12))),'Operating costs'!$B$64,0)+IF(AND('Operating costs'!$B$67&gt;0,'Operating costs'!$B$67&lt;=120,OR(Paths!$D$403="ICE",'Operating costs'!$B$67&lt;=Paths!$E$403),IF('Operating costs'!$B$67=0,C4372=0,AND(C4372&gt;0,'Operating costs'!$B$67&gt;(C4372-1)*12,'Operating costs'!$B$67&lt;=C4372*12))),'Operating costs'!$B$66,0),"n.a."))</f>
        <v>0</v>
      </c>
      <c r="N4372" s="16">
        <f>IF(NOT(Paths!$C$403=1),0,IF(Paths!$P$403="Complete",SUM(G4372:I4372)-J4372-K4372-L4372+M4372+IF(C4372=0,Paths!$F$403,0)+IF(IF(Paths!$E$403=0,C4372=0,AND(C4372&gt;0,Paths!$E$403&gt;(C4372-1)*12,Paths!$E$403&lt;=C4372*12)),VLOOKUP(A4372,'Fleet register'!$A$7:$S$106,16,FALSE),0),"n.a."))</f>
        <v>0</v>
      </c>
      <c r="O4372" s="16">
        <f>IF(NOT(Paths!$C$403=1),0,IF(Paths!$P$403="Complete",N4372-IF(C4372=0,Paths!$F$403,0),"n.a."))</f>
        <v>0</v>
      </c>
      <c r="P4372" s="16">
        <f>IF(NOT(Paths!$C$403=1),0,IF(Paths!$P$403="Complete",O4372+L4372,"n.a."))</f>
        <v>0</v>
      </c>
      <c r="Q4372" s="16">
        <f>IF(NOT(Paths!$C$403=1),0,IF(Paths!$P$403="Complete",N4372*(1+'Operating costs'!$B$54)^-C4372,"n.a."))</f>
        <v>0</v>
      </c>
      <c r="R4372" s="16">
        <f>IF(NOT(Paths!$C$403=1),0,IF(Paths!$P$403="Complete",IF(AND(C4372=0,Paths!$E$403=0),I4372-J4372-K4372+VLOOKUP(A4372,'Fleet register'!$A$7:$S$106,15,FALSE)+VLOOKUP(A4372,'Fleet register'!$A$7:$S$106,16,FALSE),0),"n.a."))</f>
        <v>0</v>
      </c>
      <c r="S4372" s="1">
        <f>IF(NOT(Paths!$C$403=1),0,IF(Paths!$P$403="Complete",IF(C4372=0,0,Paths!$S$403*Paths!$R$403),"n.a."))</f>
        <v>0</v>
      </c>
      <c r="T4372" s="1">
        <f>IF(NOT(Paths!$C$403=1),0,IF(Paths!$P$403="Complete",IF(C4372=0,0,VLOOKUP(A4372,'Fleet register'!$A$7:$S$106,9,FALSE)*Paths!$R$403),"n.a."))</f>
        <v>0</v>
      </c>
    </row>
    <row r="4373" spans="1:20" ht="24" customHeight="1">
      <c r="A4373" s="1" t="str">
        <f>Paths!$A$403</f>
        <v>T100</v>
      </c>
      <c r="B4373" s="1">
        <f>Paths!$B$403</f>
        <v>0</v>
      </c>
      <c r="C4373" s="1">
        <v>10</v>
      </c>
      <c r="D4373" s="1">
        <v>403</v>
      </c>
      <c r="E4373" s="1">
        <f>IF(OR(Paths!$C$403=0,C4373=0),0,MAX(0,MIN(C4373*12,Paths!$E$403)-(C4373-1)*12))</f>
        <v>0</v>
      </c>
      <c r="F4373" s="1">
        <f>IF(OR(Paths!$C$403=0,C4373=0),0,12-E4373)</f>
        <v>0</v>
      </c>
      <c r="G4373" s="16">
        <f>IF(NOT(Paths!$C$403=1),0,IF(Paths!$P$403="Complete",E4373/12*(Paths!$J$403*(1+'Operating costs'!$B$51)^MAX(0,C4373-1)+Paths!$K$403*(1+'Operating costs'!$B$53)^MAX(0,C4373-1)),"n.a."))</f>
        <v>0</v>
      </c>
      <c r="H4373" s="16">
        <f>IF(NOT(Paths!$C$403=1),0,IF(Paths!$P$403="Complete",F4373/12*(Paths!$L$403*(1+IF(Paths!$D$403="EV",'Operating costs'!$B$52,'Operating costs'!$B$51))^MAX(0,C4373-1)+Paths!$M$403*(1+'Operating costs'!$B$53)^MAX(0,C4373-1)),"n.a."))</f>
        <v>0</v>
      </c>
      <c r="I4373" s="16">
        <f>IF(NOT(Paths!$C$403=1),0,IF(Paths!$P$403="Complete",IF(IF(Paths!$E$403=0,C4373=0,AND(C4373&gt;0,Paths!$E$403&gt;(C4373-1)*12,Paths!$E$403&lt;=C4373*12)),Paths!$G$403,0),"n.a."))</f>
        <v>0</v>
      </c>
      <c r="J4373" s="16">
        <f>IF(NOT(Paths!$C$403=1),0,IF(Paths!$P$403="Complete",IF(IF(Paths!$E$403=0,C4373=0,AND(C4373&gt;0,Paths!$E$403&gt;(C4373-1)*12,Paths!$E$403&lt;=C4373*12)),Paths!$H$403,0),"n.a."))</f>
        <v>0</v>
      </c>
      <c r="K4373" s="16">
        <f>IF(NOT(Paths!$C$403=1),0,IF(Paths!$P$403="Complete",IF(IF(Paths!$O$403=0,C4373=0,AND(C4373&gt;0,Paths!$O$403&gt;(C4373-1)*12,Paths!$O$403&lt;=C4373*12)),Paths!$N$403,0),"n.a."))</f>
        <v>0</v>
      </c>
      <c r="L4373" s="16">
        <f>IF(NOT(Paths!$C$403=1),0,IF(Paths!$P$403="Complete",IF(C4373=10,Paths!$I$403,0),"n.a."))</f>
        <v>0</v>
      </c>
      <c r="M4373" s="16">
        <f>IF(NOT(Paths!$C$403=1),0,IF(Paths!$P$403="Complete",IF(AND(Paths!$D$403="EV",Paths!$E$403&lt;120,Paths!$E$403+'Operating costs'!$B$65&gt;Paths!$E$403,Paths!$E$403+'Operating costs'!$B$65&lt;=120,IF(Paths!$E$403+'Operating costs'!$B$65=0,C4373=0,AND(C4373&gt;0,Paths!$E$403+'Operating costs'!$B$65&gt;(C4373-1)*12,Paths!$E$403+'Operating costs'!$B$65&lt;=C4373*12))),'Operating costs'!$B$64,0)+IF(AND('Operating costs'!$B$67&gt;0,'Operating costs'!$B$67&lt;=120,OR(Paths!$D$403="ICE",'Operating costs'!$B$67&lt;=Paths!$E$403),IF('Operating costs'!$B$67=0,C4373=0,AND(C4373&gt;0,'Operating costs'!$B$67&gt;(C4373-1)*12,'Operating costs'!$B$67&lt;=C4373*12))),'Operating costs'!$B$66,0),"n.a."))</f>
        <v>0</v>
      </c>
      <c r="N4373" s="16">
        <f>IF(NOT(Paths!$C$403=1),0,IF(Paths!$P$403="Complete",SUM(G4373:I4373)-J4373-K4373-L4373+M4373+IF(C4373=0,Paths!$F$403,0)+IF(IF(Paths!$E$403=0,C4373=0,AND(C4373&gt;0,Paths!$E$403&gt;(C4373-1)*12,Paths!$E$403&lt;=C4373*12)),VLOOKUP(A4373,'Fleet register'!$A$7:$S$106,16,FALSE),0),"n.a."))</f>
        <v>0</v>
      </c>
      <c r="O4373" s="16">
        <f>IF(NOT(Paths!$C$403=1),0,IF(Paths!$P$403="Complete",N4373-IF(C4373=0,Paths!$F$403,0),"n.a."))</f>
        <v>0</v>
      </c>
      <c r="P4373" s="16">
        <f>IF(NOT(Paths!$C$403=1),0,IF(Paths!$P$403="Complete",O4373+L4373,"n.a."))</f>
        <v>0</v>
      </c>
      <c r="Q4373" s="16">
        <f>IF(NOT(Paths!$C$403=1),0,IF(Paths!$P$403="Complete",N4373*(1+'Operating costs'!$B$54)^-C4373,"n.a."))</f>
        <v>0</v>
      </c>
      <c r="R4373" s="16">
        <f>IF(NOT(Paths!$C$403=1),0,IF(Paths!$P$403="Complete",IF(AND(C4373=0,Paths!$E$403=0),I4373-J4373-K4373+VLOOKUP(A4373,'Fleet register'!$A$7:$S$106,15,FALSE)+VLOOKUP(A4373,'Fleet register'!$A$7:$S$106,16,FALSE),0),"n.a."))</f>
        <v>0</v>
      </c>
      <c r="S4373" s="1">
        <f>IF(NOT(Paths!$C$403=1),0,IF(Paths!$P$403="Complete",IF(C4373=0,0,Paths!$S$403*Paths!$R$403),"n.a."))</f>
        <v>0</v>
      </c>
      <c r="T4373" s="1">
        <f>IF(NOT(Paths!$C$403=1),0,IF(Paths!$P$403="Complete",IF(C4373=0,0,VLOOKUP(A4373,'Fleet register'!$A$7:$S$106,9,FALSE)*Paths!$R$403),"n.a."))</f>
        <v>0</v>
      </c>
    </row>
    <row r="4374" spans="1:20" ht="24" customHeight="1">
      <c r="A4374" s="1" t="str">
        <f>Paths!$A$404</f>
        <v>T100</v>
      </c>
      <c r="B4374" s="1">
        <f>Paths!$B$404</f>
        <v>1</v>
      </c>
      <c r="C4374" s="1">
        <v>0</v>
      </c>
      <c r="D4374" s="1">
        <v>404</v>
      </c>
      <c r="E4374" s="1">
        <f>IF(OR(Paths!$C$404=0,C4374=0),0,MAX(0,MIN(C4374*12,Paths!$E$404)-(C4374-1)*12))</f>
        <v>0</v>
      </c>
      <c r="F4374" s="1">
        <f>IF(OR(Paths!$C$404=0,C4374=0),0,12-E4374)</f>
        <v>0</v>
      </c>
      <c r="G4374" s="16">
        <f>IF(NOT(Paths!$C$404=1),0,IF(Paths!$P$404="Complete",E4374/12*(Paths!$J$404*(1+'Operating costs'!$B$51)^MAX(0,C4374-1)+Paths!$K$404*(1+'Operating costs'!$B$53)^MAX(0,C4374-1)),"n.a."))</f>
        <v>0</v>
      </c>
      <c r="H4374" s="16">
        <f>IF(NOT(Paths!$C$404=1),0,IF(Paths!$P$404="Complete",F4374/12*(Paths!$L$404*(1+IF(Paths!$D$404="EV",'Operating costs'!$B$52,'Operating costs'!$B$51))^MAX(0,C4374-1)+Paths!$M$404*(1+'Operating costs'!$B$53)^MAX(0,C4374-1)),"n.a."))</f>
        <v>0</v>
      </c>
      <c r="I4374" s="16">
        <f>IF(NOT(Paths!$C$404=1),0,IF(Paths!$P$404="Complete",IF(IF(Paths!$E$404=0,C4374=0,AND(C4374&gt;0,Paths!$E$404&gt;(C4374-1)*12,Paths!$E$404&lt;=C4374*12)),Paths!$G$404,0),"n.a."))</f>
        <v>0</v>
      </c>
      <c r="J4374" s="16">
        <f>IF(NOT(Paths!$C$404=1),0,IF(Paths!$P$404="Complete",IF(IF(Paths!$E$404=0,C4374=0,AND(C4374&gt;0,Paths!$E$404&gt;(C4374-1)*12,Paths!$E$404&lt;=C4374*12)),Paths!$H$404,0),"n.a."))</f>
        <v>0</v>
      </c>
      <c r="K4374" s="16">
        <f>IF(NOT(Paths!$C$404=1),0,IF(Paths!$P$404="Complete",IF(IF(Paths!$O$404=0,C4374=0,AND(C4374&gt;0,Paths!$O$404&gt;(C4374-1)*12,Paths!$O$404&lt;=C4374*12)),Paths!$N$404,0),"n.a."))</f>
        <v>0</v>
      </c>
      <c r="L4374" s="16">
        <f>IF(NOT(Paths!$C$404=1),0,IF(Paths!$P$404="Complete",IF(C4374=10,Paths!$I$404,0),"n.a."))</f>
        <v>0</v>
      </c>
      <c r="M4374" s="16">
        <f>IF(NOT(Paths!$C$404=1),0,IF(Paths!$P$404="Complete",IF(AND(Paths!$D$404="EV",Paths!$E$404&lt;120,Paths!$E$404+'Operating costs'!$B$65&gt;Paths!$E$404,Paths!$E$404+'Operating costs'!$B$65&lt;=120,IF(Paths!$E$404+'Operating costs'!$B$65=0,C4374=0,AND(C4374&gt;0,Paths!$E$404+'Operating costs'!$B$65&gt;(C4374-1)*12,Paths!$E$404+'Operating costs'!$B$65&lt;=C4374*12))),'Operating costs'!$B$64,0)+IF(AND('Operating costs'!$B$67&gt;0,'Operating costs'!$B$67&lt;=120,OR(Paths!$D$404="ICE",'Operating costs'!$B$67&lt;=Paths!$E$404),IF('Operating costs'!$B$67=0,C4374=0,AND(C4374&gt;0,'Operating costs'!$B$67&gt;(C4374-1)*12,'Operating costs'!$B$67&lt;=C4374*12))),'Operating costs'!$B$66,0),"n.a."))</f>
        <v>0</v>
      </c>
      <c r="N4374" s="16">
        <f>IF(NOT(Paths!$C$404=1),0,IF(Paths!$P$404="Complete",SUM(G4374:I4374)-J4374-K4374-L4374+M4374+IF(C4374=0,Paths!$F$404,0)+IF(IF(Paths!$E$404=0,C4374=0,AND(C4374&gt;0,Paths!$E$404&gt;(C4374-1)*12,Paths!$E$404&lt;=C4374*12)),VLOOKUP(A4374,'Fleet register'!$A$7:$S$106,16,FALSE),0),"n.a."))</f>
        <v>0</v>
      </c>
      <c r="O4374" s="16">
        <f>IF(NOT(Paths!$C$404=1),0,IF(Paths!$P$404="Complete",N4374-IF(C4374=0,Paths!$F$404,0),"n.a."))</f>
        <v>0</v>
      </c>
      <c r="P4374" s="16">
        <f>IF(NOT(Paths!$C$404=1),0,IF(Paths!$P$404="Complete",O4374+L4374,"n.a."))</f>
        <v>0</v>
      </c>
      <c r="Q4374" s="16">
        <f>IF(NOT(Paths!$C$404=1),0,IF(Paths!$P$404="Complete",N4374*(1+'Operating costs'!$B$54)^-C4374,"n.a."))</f>
        <v>0</v>
      </c>
      <c r="R4374" s="16">
        <f>IF(NOT(Paths!$C$404=1),0,IF(Paths!$P$404="Complete",IF(AND(C4374=0,Paths!$E$404=0),I4374-J4374-K4374+VLOOKUP(A4374,'Fleet register'!$A$7:$S$106,15,FALSE)+VLOOKUP(A4374,'Fleet register'!$A$7:$S$106,16,FALSE),0),"n.a."))</f>
        <v>0</v>
      </c>
      <c r="S4374" s="1">
        <f>IF(NOT(Paths!$C$404=1),0,IF(Paths!$P$404="Complete",IF(C4374=0,0,Paths!$S$404*Paths!$R$404),"n.a."))</f>
        <v>0</v>
      </c>
      <c r="T4374" s="1">
        <f>IF(NOT(Paths!$C$404=1),0,IF(Paths!$P$404="Complete",IF(C4374=0,0,VLOOKUP(A4374,'Fleet register'!$A$7:$S$106,9,FALSE)*Paths!$R$404),"n.a."))</f>
        <v>0</v>
      </c>
    </row>
    <row r="4375" spans="1:20" ht="24" customHeight="1">
      <c r="A4375" s="1" t="str">
        <f>Paths!$A$404</f>
        <v>T100</v>
      </c>
      <c r="B4375" s="1">
        <f>Paths!$B$404</f>
        <v>1</v>
      </c>
      <c r="C4375" s="1">
        <v>1</v>
      </c>
      <c r="D4375" s="1">
        <v>404</v>
      </c>
      <c r="E4375" s="1">
        <f>IF(OR(Paths!$C$404=0,C4375=0),0,MAX(0,MIN(C4375*12,Paths!$E$404)-(C4375-1)*12))</f>
        <v>0</v>
      </c>
      <c r="F4375" s="1">
        <f>IF(OR(Paths!$C$404=0,C4375=0),0,12-E4375)</f>
        <v>0</v>
      </c>
      <c r="G4375" s="16">
        <f>IF(NOT(Paths!$C$404=1),0,IF(Paths!$P$404="Complete",E4375/12*(Paths!$J$404*(1+'Operating costs'!$B$51)^MAX(0,C4375-1)+Paths!$K$404*(1+'Operating costs'!$B$53)^MAX(0,C4375-1)),"n.a."))</f>
        <v>0</v>
      </c>
      <c r="H4375" s="16">
        <f>IF(NOT(Paths!$C$404=1),0,IF(Paths!$P$404="Complete",F4375/12*(Paths!$L$404*(1+IF(Paths!$D$404="EV",'Operating costs'!$B$52,'Operating costs'!$B$51))^MAX(0,C4375-1)+Paths!$M$404*(1+'Operating costs'!$B$53)^MAX(0,C4375-1)),"n.a."))</f>
        <v>0</v>
      </c>
      <c r="I4375" s="16">
        <f>IF(NOT(Paths!$C$404=1),0,IF(Paths!$P$404="Complete",IF(IF(Paths!$E$404=0,C4375=0,AND(C4375&gt;0,Paths!$E$404&gt;(C4375-1)*12,Paths!$E$404&lt;=C4375*12)),Paths!$G$404,0),"n.a."))</f>
        <v>0</v>
      </c>
      <c r="J4375" s="16">
        <f>IF(NOT(Paths!$C$404=1),0,IF(Paths!$P$404="Complete",IF(IF(Paths!$E$404=0,C4375=0,AND(C4375&gt;0,Paths!$E$404&gt;(C4375-1)*12,Paths!$E$404&lt;=C4375*12)),Paths!$H$404,0),"n.a."))</f>
        <v>0</v>
      </c>
      <c r="K4375" s="16">
        <f>IF(NOT(Paths!$C$404=1),0,IF(Paths!$P$404="Complete",IF(IF(Paths!$O$404=0,C4375=0,AND(C4375&gt;0,Paths!$O$404&gt;(C4375-1)*12,Paths!$O$404&lt;=C4375*12)),Paths!$N$404,0),"n.a."))</f>
        <v>0</v>
      </c>
      <c r="L4375" s="16">
        <f>IF(NOT(Paths!$C$404=1),0,IF(Paths!$P$404="Complete",IF(C4375=10,Paths!$I$404,0),"n.a."))</f>
        <v>0</v>
      </c>
      <c r="M4375" s="16">
        <f>IF(NOT(Paths!$C$404=1),0,IF(Paths!$P$404="Complete",IF(AND(Paths!$D$404="EV",Paths!$E$404&lt;120,Paths!$E$404+'Operating costs'!$B$65&gt;Paths!$E$404,Paths!$E$404+'Operating costs'!$B$65&lt;=120,IF(Paths!$E$404+'Operating costs'!$B$65=0,C4375=0,AND(C4375&gt;0,Paths!$E$404+'Operating costs'!$B$65&gt;(C4375-1)*12,Paths!$E$404+'Operating costs'!$B$65&lt;=C4375*12))),'Operating costs'!$B$64,0)+IF(AND('Operating costs'!$B$67&gt;0,'Operating costs'!$B$67&lt;=120,OR(Paths!$D$404="ICE",'Operating costs'!$B$67&lt;=Paths!$E$404),IF('Operating costs'!$B$67=0,C4375=0,AND(C4375&gt;0,'Operating costs'!$B$67&gt;(C4375-1)*12,'Operating costs'!$B$67&lt;=C4375*12))),'Operating costs'!$B$66,0),"n.a."))</f>
        <v>0</v>
      </c>
      <c r="N4375" s="16">
        <f>IF(NOT(Paths!$C$404=1),0,IF(Paths!$P$404="Complete",SUM(G4375:I4375)-J4375-K4375-L4375+M4375+IF(C4375=0,Paths!$F$404,0)+IF(IF(Paths!$E$404=0,C4375=0,AND(C4375&gt;0,Paths!$E$404&gt;(C4375-1)*12,Paths!$E$404&lt;=C4375*12)),VLOOKUP(A4375,'Fleet register'!$A$7:$S$106,16,FALSE),0),"n.a."))</f>
        <v>0</v>
      </c>
      <c r="O4375" s="16">
        <f>IF(NOT(Paths!$C$404=1),0,IF(Paths!$P$404="Complete",N4375-IF(C4375=0,Paths!$F$404,0),"n.a."))</f>
        <v>0</v>
      </c>
      <c r="P4375" s="16">
        <f>IF(NOT(Paths!$C$404=1),0,IF(Paths!$P$404="Complete",O4375+L4375,"n.a."))</f>
        <v>0</v>
      </c>
      <c r="Q4375" s="16">
        <f>IF(NOT(Paths!$C$404=1),0,IF(Paths!$P$404="Complete",N4375*(1+'Operating costs'!$B$54)^-C4375,"n.a."))</f>
        <v>0</v>
      </c>
      <c r="R4375" s="16">
        <f>IF(NOT(Paths!$C$404=1),0,IF(Paths!$P$404="Complete",IF(AND(C4375=0,Paths!$E$404=0),I4375-J4375-K4375+VLOOKUP(A4375,'Fleet register'!$A$7:$S$106,15,FALSE)+VLOOKUP(A4375,'Fleet register'!$A$7:$S$106,16,FALSE),0),"n.a."))</f>
        <v>0</v>
      </c>
      <c r="S4375" s="1">
        <f>IF(NOT(Paths!$C$404=1),0,IF(Paths!$P$404="Complete",IF(C4375=0,0,Paths!$S$404*Paths!$R$404),"n.a."))</f>
        <v>0</v>
      </c>
      <c r="T4375" s="1">
        <f>IF(NOT(Paths!$C$404=1),0,IF(Paths!$P$404="Complete",IF(C4375=0,0,VLOOKUP(A4375,'Fleet register'!$A$7:$S$106,9,FALSE)*Paths!$R$404),"n.a."))</f>
        <v>0</v>
      </c>
    </row>
    <row r="4376" spans="1:20" ht="24" customHeight="1">
      <c r="A4376" s="1" t="str">
        <f>Paths!$A$404</f>
        <v>T100</v>
      </c>
      <c r="B4376" s="1">
        <f>Paths!$B$404</f>
        <v>1</v>
      </c>
      <c r="C4376" s="1">
        <v>2</v>
      </c>
      <c r="D4376" s="1">
        <v>404</v>
      </c>
      <c r="E4376" s="1">
        <f>IF(OR(Paths!$C$404=0,C4376=0),0,MAX(0,MIN(C4376*12,Paths!$E$404)-(C4376-1)*12))</f>
        <v>0</v>
      </c>
      <c r="F4376" s="1">
        <f>IF(OR(Paths!$C$404=0,C4376=0),0,12-E4376)</f>
        <v>0</v>
      </c>
      <c r="G4376" s="16">
        <f>IF(NOT(Paths!$C$404=1),0,IF(Paths!$P$404="Complete",E4376/12*(Paths!$J$404*(1+'Operating costs'!$B$51)^MAX(0,C4376-1)+Paths!$K$404*(1+'Operating costs'!$B$53)^MAX(0,C4376-1)),"n.a."))</f>
        <v>0</v>
      </c>
      <c r="H4376" s="16">
        <f>IF(NOT(Paths!$C$404=1),0,IF(Paths!$P$404="Complete",F4376/12*(Paths!$L$404*(1+IF(Paths!$D$404="EV",'Operating costs'!$B$52,'Operating costs'!$B$51))^MAX(0,C4376-1)+Paths!$M$404*(1+'Operating costs'!$B$53)^MAX(0,C4376-1)),"n.a."))</f>
        <v>0</v>
      </c>
      <c r="I4376" s="16">
        <f>IF(NOT(Paths!$C$404=1),0,IF(Paths!$P$404="Complete",IF(IF(Paths!$E$404=0,C4376=0,AND(C4376&gt;0,Paths!$E$404&gt;(C4376-1)*12,Paths!$E$404&lt;=C4376*12)),Paths!$G$404,0),"n.a."))</f>
        <v>0</v>
      </c>
      <c r="J4376" s="16">
        <f>IF(NOT(Paths!$C$404=1),0,IF(Paths!$P$404="Complete",IF(IF(Paths!$E$404=0,C4376=0,AND(C4376&gt;0,Paths!$E$404&gt;(C4376-1)*12,Paths!$E$404&lt;=C4376*12)),Paths!$H$404,0),"n.a."))</f>
        <v>0</v>
      </c>
      <c r="K4376" s="16">
        <f>IF(NOT(Paths!$C$404=1),0,IF(Paths!$P$404="Complete",IF(IF(Paths!$O$404=0,C4376=0,AND(C4376&gt;0,Paths!$O$404&gt;(C4376-1)*12,Paths!$O$404&lt;=C4376*12)),Paths!$N$404,0),"n.a."))</f>
        <v>0</v>
      </c>
      <c r="L4376" s="16">
        <f>IF(NOT(Paths!$C$404=1),0,IF(Paths!$P$404="Complete",IF(C4376=10,Paths!$I$404,0),"n.a."))</f>
        <v>0</v>
      </c>
      <c r="M4376" s="16">
        <f>IF(NOT(Paths!$C$404=1),0,IF(Paths!$P$404="Complete",IF(AND(Paths!$D$404="EV",Paths!$E$404&lt;120,Paths!$E$404+'Operating costs'!$B$65&gt;Paths!$E$404,Paths!$E$404+'Operating costs'!$B$65&lt;=120,IF(Paths!$E$404+'Operating costs'!$B$65=0,C4376=0,AND(C4376&gt;0,Paths!$E$404+'Operating costs'!$B$65&gt;(C4376-1)*12,Paths!$E$404+'Operating costs'!$B$65&lt;=C4376*12))),'Operating costs'!$B$64,0)+IF(AND('Operating costs'!$B$67&gt;0,'Operating costs'!$B$67&lt;=120,OR(Paths!$D$404="ICE",'Operating costs'!$B$67&lt;=Paths!$E$404),IF('Operating costs'!$B$67=0,C4376=0,AND(C4376&gt;0,'Operating costs'!$B$67&gt;(C4376-1)*12,'Operating costs'!$B$67&lt;=C4376*12))),'Operating costs'!$B$66,0),"n.a."))</f>
        <v>0</v>
      </c>
      <c r="N4376" s="16">
        <f>IF(NOT(Paths!$C$404=1),0,IF(Paths!$P$404="Complete",SUM(G4376:I4376)-J4376-K4376-L4376+M4376+IF(C4376=0,Paths!$F$404,0)+IF(IF(Paths!$E$404=0,C4376=0,AND(C4376&gt;0,Paths!$E$404&gt;(C4376-1)*12,Paths!$E$404&lt;=C4376*12)),VLOOKUP(A4376,'Fleet register'!$A$7:$S$106,16,FALSE),0),"n.a."))</f>
        <v>0</v>
      </c>
      <c r="O4376" s="16">
        <f>IF(NOT(Paths!$C$404=1),0,IF(Paths!$P$404="Complete",N4376-IF(C4376=0,Paths!$F$404,0),"n.a."))</f>
        <v>0</v>
      </c>
      <c r="P4376" s="16">
        <f>IF(NOT(Paths!$C$404=1),0,IF(Paths!$P$404="Complete",O4376+L4376,"n.a."))</f>
        <v>0</v>
      </c>
      <c r="Q4376" s="16">
        <f>IF(NOT(Paths!$C$404=1),0,IF(Paths!$P$404="Complete",N4376*(1+'Operating costs'!$B$54)^-C4376,"n.a."))</f>
        <v>0</v>
      </c>
      <c r="R4376" s="16">
        <f>IF(NOT(Paths!$C$404=1),0,IF(Paths!$P$404="Complete",IF(AND(C4376=0,Paths!$E$404=0),I4376-J4376-K4376+VLOOKUP(A4376,'Fleet register'!$A$7:$S$106,15,FALSE)+VLOOKUP(A4376,'Fleet register'!$A$7:$S$106,16,FALSE),0),"n.a."))</f>
        <v>0</v>
      </c>
      <c r="S4376" s="1">
        <f>IF(NOT(Paths!$C$404=1),0,IF(Paths!$P$404="Complete",IF(C4376=0,0,Paths!$S$404*Paths!$R$404),"n.a."))</f>
        <v>0</v>
      </c>
      <c r="T4376" s="1">
        <f>IF(NOT(Paths!$C$404=1),0,IF(Paths!$P$404="Complete",IF(C4376=0,0,VLOOKUP(A4376,'Fleet register'!$A$7:$S$106,9,FALSE)*Paths!$R$404),"n.a."))</f>
        <v>0</v>
      </c>
    </row>
    <row r="4377" spans="1:20" ht="24" customHeight="1">
      <c r="A4377" s="1" t="str">
        <f>Paths!$A$404</f>
        <v>T100</v>
      </c>
      <c r="B4377" s="1">
        <f>Paths!$B$404</f>
        <v>1</v>
      </c>
      <c r="C4377" s="1">
        <v>3</v>
      </c>
      <c r="D4377" s="1">
        <v>404</v>
      </c>
      <c r="E4377" s="1">
        <f>IF(OR(Paths!$C$404=0,C4377=0),0,MAX(0,MIN(C4377*12,Paths!$E$404)-(C4377-1)*12))</f>
        <v>0</v>
      </c>
      <c r="F4377" s="1">
        <f>IF(OR(Paths!$C$404=0,C4377=0),0,12-E4377)</f>
        <v>0</v>
      </c>
      <c r="G4377" s="16">
        <f>IF(NOT(Paths!$C$404=1),0,IF(Paths!$P$404="Complete",E4377/12*(Paths!$J$404*(1+'Operating costs'!$B$51)^MAX(0,C4377-1)+Paths!$K$404*(1+'Operating costs'!$B$53)^MAX(0,C4377-1)),"n.a."))</f>
        <v>0</v>
      </c>
      <c r="H4377" s="16">
        <f>IF(NOT(Paths!$C$404=1),0,IF(Paths!$P$404="Complete",F4377/12*(Paths!$L$404*(1+IF(Paths!$D$404="EV",'Operating costs'!$B$52,'Operating costs'!$B$51))^MAX(0,C4377-1)+Paths!$M$404*(1+'Operating costs'!$B$53)^MAX(0,C4377-1)),"n.a."))</f>
        <v>0</v>
      </c>
      <c r="I4377" s="16">
        <f>IF(NOT(Paths!$C$404=1),0,IF(Paths!$P$404="Complete",IF(IF(Paths!$E$404=0,C4377=0,AND(C4377&gt;0,Paths!$E$404&gt;(C4377-1)*12,Paths!$E$404&lt;=C4377*12)),Paths!$G$404,0),"n.a."))</f>
        <v>0</v>
      </c>
      <c r="J4377" s="16">
        <f>IF(NOT(Paths!$C$404=1),0,IF(Paths!$P$404="Complete",IF(IF(Paths!$E$404=0,C4377=0,AND(C4377&gt;0,Paths!$E$404&gt;(C4377-1)*12,Paths!$E$404&lt;=C4377*12)),Paths!$H$404,0),"n.a."))</f>
        <v>0</v>
      </c>
      <c r="K4377" s="16">
        <f>IF(NOT(Paths!$C$404=1),0,IF(Paths!$P$404="Complete",IF(IF(Paths!$O$404=0,C4377=0,AND(C4377&gt;0,Paths!$O$404&gt;(C4377-1)*12,Paths!$O$404&lt;=C4377*12)),Paths!$N$404,0),"n.a."))</f>
        <v>0</v>
      </c>
      <c r="L4377" s="16">
        <f>IF(NOT(Paths!$C$404=1),0,IF(Paths!$P$404="Complete",IF(C4377=10,Paths!$I$404,0),"n.a."))</f>
        <v>0</v>
      </c>
      <c r="M4377" s="16">
        <f>IF(NOT(Paths!$C$404=1),0,IF(Paths!$P$404="Complete",IF(AND(Paths!$D$404="EV",Paths!$E$404&lt;120,Paths!$E$404+'Operating costs'!$B$65&gt;Paths!$E$404,Paths!$E$404+'Operating costs'!$B$65&lt;=120,IF(Paths!$E$404+'Operating costs'!$B$65=0,C4377=0,AND(C4377&gt;0,Paths!$E$404+'Operating costs'!$B$65&gt;(C4377-1)*12,Paths!$E$404+'Operating costs'!$B$65&lt;=C4377*12))),'Operating costs'!$B$64,0)+IF(AND('Operating costs'!$B$67&gt;0,'Operating costs'!$B$67&lt;=120,OR(Paths!$D$404="ICE",'Operating costs'!$B$67&lt;=Paths!$E$404),IF('Operating costs'!$B$67=0,C4377=0,AND(C4377&gt;0,'Operating costs'!$B$67&gt;(C4377-1)*12,'Operating costs'!$B$67&lt;=C4377*12))),'Operating costs'!$B$66,0),"n.a."))</f>
        <v>0</v>
      </c>
      <c r="N4377" s="16">
        <f>IF(NOT(Paths!$C$404=1),0,IF(Paths!$P$404="Complete",SUM(G4377:I4377)-J4377-K4377-L4377+M4377+IF(C4377=0,Paths!$F$404,0)+IF(IF(Paths!$E$404=0,C4377=0,AND(C4377&gt;0,Paths!$E$404&gt;(C4377-1)*12,Paths!$E$404&lt;=C4377*12)),VLOOKUP(A4377,'Fleet register'!$A$7:$S$106,16,FALSE),0),"n.a."))</f>
        <v>0</v>
      </c>
      <c r="O4377" s="16">
        <f>IF(NOT(Paths!$C$404=1),0,IF(Paths!$P$404="Complete",N4377-IF(C4377=0,Paths!$F$404,0),"n.a."))</f>
        <v>0</v>
      </c>
      <c r="P4377" s="16">
        <f>IF(NOT(Paths!$C$404=1),0,IF(Paths!$P$404="Complete",O4377+L4377,"n.a."))</f>
        <v>0</v>
      </c>
      <c r="Q4377" s="16">
        <f>IF(NOT(Paths!$C$404=1),0,IF(Paths!$P$404="Complete",N4377*(1+'Operating costs'!$B$54)^-C4377,"n.a."))</f>
        <v>0</v>
      </c>
      <c r="R4377" s="16">
        <f>IF(NOT(Paths!$C$404=1),0,IF(Paths!$P$404="Complete",IF(AND(C4377=0,Paths!$E$404=0),I4377-J4377-K4377+VLOOKUP(A4377,'Fleet register'!$A$7:$S$106,15,FALSE)+VLOOKUP(A4377,'Fleet register'!$A$7:$S$106,16,FALSE),0),"n.a."))</f>
        <v>0</v>
      </c>
      <c r="S4377" s="1">
        <f>IF(NOT(Paths!$C$404=1),0,IF(Paths!$P$404="Complete",IF(C4377=0,0,Paths!$S$404*Paths!$R$404),"n.a."))</f>
        <v>0</v>
      </c>
      <c r="T4377" s="1">
        <f>IF(NOT(Paths!$C$404=1),0,IF(Paths!$P$404="Complete",IF(C4377=0,0,VLOOKUP(A4377,'Fleet register'!$A$7:$S$106,9,FALSE)*Paths!$R$404),"n.a."))</f>
        <v>0</v>
      </c>
    </row>
    <row r="4378" spans="1:20" ht="24" customHeight="1">
      <c r="A4378" s="1" t="str">
        <f>Paths!$A$404</f>
        <v>T100</v>
      </c>
      <c r="B4378" s="1">
        <f>Paths!$B$404</f>
        <v>1</v>
      </c>
      <c r="C4378" s="1">
        <v>4</v>
      </c>
      <c r="D4378" s="1">
        <v>404</v>
      </c>
      <c r="E4378" s="1">
        <f>IF(OR(Paths!$C$404=0,C4378=0),0,MAX(0,MIN(C4378*12,Paths!$E$404)-(C4378-1)*12))</f>
        <v>0</v>
      </c>
      <c r="F4378" s="1">
        <f>IF(OR(Paths!$C$404=0,C4378=0),0,12-E4378)</f>
        <v>0</v>
      </c>
      <c r="G4378" s="16">
        <f>IF(NOT(Paths!$C$404=1),0,IF(Paths!$P$404="Complete",E4378/12*(Paths!$J$404*(1+'Operating costs'!$B$51)^MAX(0,C4378-1)+Paths!$K$404*(1+'Operating costs'!$B$53)^MAX(0,C4378-1)),"n.a."))</f>
        <v>0</v>
      </c>
      <c r="H4378" s="16">
        <f>IF(NOT(Paths!$C$404=1),0,IF(Paths!$P$404="Complete",F4378/12*(Paths!$L$404*(1+IF(Paths!$D$404="EV",'Operating costs'!$B$52,'Operating costs'!$B$51))^MAX(0,C4378-1)+Paths!$M$404*(1+'Operating costs'!$B$53)^MAX(0,C4378-1)),"n.a."))</f>
        <v>0</v>
      </c>
      <c r="I4378" s="16">
        <f>IF(NOT(Paths!$C$404=1),0,IF(Paths!$P$404="Complete",IF(IF(Paths!$E$404=0,C4378=0,AND(C4378&gt;0,Paths!$E$404&gt;(C4378-1)*12,Paths!$E$404&lt;=C4378*12)),Paths!$G$404,0),"n.a."))</f>
        <v>0</v>
      </c>
      <c r="J4378" s="16">
        <f>IF(NOT(Paths!$C$404=1),0,IF(Paths!$P$404="Complete",IF(IF(Paths!$E$404=0,C4378=0,AND(C4378&gt;0,Paths!$E$404&gt;(C4378-1)*12,Paths!$E$404&lt;=C4378*12)),Paths!$H$404,0),"n.a."))</f>
        <v>0</v>
      </c>
      <c r="K4378" s="16">
        <f>IF(NOT(Paths!$C$404=1),0,IF(Paths!$P$404="Complete",IF(IF(Paths!$O$404=0,C4378=0,AND(C4378&gt;0,Paths!$O$404&gt;(C4378-1)*12,Paths!$O$404&lt;=C4378*12)),Paths!$N$404,0),"n.a."))</f>
        <v>0</v>
      </c>
      <c r="L4378" s="16">
        <f>IF(NOT(Paths!$C$404=1),0,IF(Paths!$P$404="Complete",IF(C4378=10,Paths!$I$404,0),"n.a."))</f>
        <v>0</v>
      </c>
      <c r="M4378" s="16">
        <f>IF(NOT(Paths!$C$404=1),0,IF(Paths!$P$404="Complete",IF(AND(Paths!$D$404="EV",Paths!$E$404&lt;120,Paths!$E$404+'Operating costs'!$B$65&gt;Paths!$E$404,Paths!$E$404+'Operating costs'!$B$65&lt;=120,IF(Paths!$E$404+'Operating costs'!$B$65=0,C4378=0,AND(C4378&gt;0,Paths!$E$404+'Operating costs'!$B$65&gt;(C4378-1)*12,Paths!$E$404+'Operating costs'!$B$65&lt;=C4378*12))),'Operating costs'!$B$64,0)+IF(AND('Operating costs'!$B$67&gt;0,'Operating costs'!$B$67&lt;=120,OR(Paths!$D$404="ICE",'Operating costs'!$B$67&lt;=Paths!$E$404),IF('Operating costs'!$B$67=0,C4378=0,AND(C4378&gt;0,'Operating costs'!$B$67&gt;(C4378-1)*12,'Operating costs'!$B$67&lt;=C4378*12))),'Operating costs'!$B$66,0),"n.a."))</f>
        <v>0</v>
      </c>
      <c r="N4378" s="16">
        <f>IF(NOT(Paths!$C$404=1),0,IF(Paths!$P$404="Complete",SUM(G4378:I4378)-J4378-K4378-L4378+M4378+IF(C4378=0,Paths!$F$404,0)+IF(IF(Paths!$E$404=0,C4378=0,AND(C4378&gt;0,Paths!$E$404&gt;(C4378-1)*12,Paths!$E$404&lt;=C4378*12)),VLOOKUP(A4378,'Fleet register'!$A$7:$S$106,16,FALSE),0),"n.a."))</f>
        <v>0</v>
      </c>
      <c r="O4378" s="16">
        <f>IF(NOT(Paths!$C$404=1),0,IF(Paths!$P$404="Complete",N4378-IF(C4378=0,Paths!$F$404,0),"n.a."))</f>
        <v>0</v>
      </c>
      <c r="P4378" s="16">
        <f>IF(NOT(Paths!$C$404=1),0,IF(Paths!$P$404="Complete",O4378+L4378,"n.a."))</f>
        <v>0</v>
      </c>
      <c r="Q4378" s="16">
        <f>IF(NOT(Paths!$C$404=1),0,IF(Paths!$P$404="Complete",N4378*(1+'Operating costs'!$B$54)^-C4378,"n.a."))</f>
        <v>0</v>
      </c>
      <c r="R4378" s="16">
        <f>IF(NOT(Paths!$C$404=1),0,IF(Paths!$P$404="Complete",IF(AND(C4378=0,Paths!$E$404=0),I4378-J4378-K4378+VLOOKUP(A4378,'Fleet register'!$A$7:$S$106,15,FALSE)+VLOOKUP(A4378,'Fleet register'!$A$7:$S$106,16,FALSE),0),"n.a."))</f>
        <v>0</v>
      </c>
      <c r="S4378" s="1">
        <f>IF(NOT(Paths!$C$404=1),0,IF(Paths!$P$404="Complete",IF(C4378=0,0,Paths!$S$404*Paths!$R$404),"n.a."))</f>
        <v>0</v>
      </c>
      <c r="T4378" s="1">
        <f>IF(NOT(Paths!$C$404=1),0,IF(Paths!$P$404="Complete",IF(C4378=0,0,VLOOKUP(A4378,'Fleet register'!$A$7:$S$106,9,FALSE)*Paths!$R$404),"n.a."))</f>
        <v>0</v>
      </c>
    </row>
    <row r="4379" spans="1:20" ht="24" customHeight="1">
      <c r="A4379" s="1" t="str">
        <f>Paths!$A$404</f>
        <v>T100</v>
      </c>
      <c r="B4379" s="1">
        <f>Paths!$B$404</f>
        <v>1</v>
      </c>
      <c r="C4379" s="1">
        <v>5</v>
      </c>
      <c r="D4379" s="1">
        <v>404</v>
      </c>
      <c r="E4379" s="1">
        <f>IF(OR(Paths!$C$404=0,C4379=0),0,MAX(0,MIN(C4379*12,Paths!$E$404)-(C4379-1)*12))</f>
        <v>0</v>
      </c>
      <c r="F4379" s="1">
        <f>IF(OR(Paths!$C$404=0,C4379=0),0,12-E4379)</f>
        <v>0</v>
      </c>
      <c r="G4379" s="16">
        <f>IF(NOT(Paths!$C$404=1),0,IF(Paths!$P$404="Complete",E4379/12*(Paths!$J$404*(1+'Operating costs'!$B$51)^MAX(0,C4379-1)+Paths!$K$404*(1+'Operating costs'!$B$53)^MAX(0,C4379-1)),"n.a."))</f>
        <v>0</v>
      </c>
      <c r="H4379" s="16">
        <f>IF(NOT(Paths!$C$404=1),0,IF(Paths!$P$404="Complete",F4379/12*(Paths!$L$404*(1+IF(Paths!$D$404="EV",'Operating costs'!$B$52,'Operating costs'!$B$51))^MAX(0,C4379-1)+Paths!$M$404*(1+'Operating costs'!$B$53)^MAX(0,C4379-1)),"n.a."))</f>
        <v>0</v>
      </c>
      <c r="I4379" s="16">
        <f>IF(NOT(Paths!$C$404=1),0,IF(Paths!$P$404="Complete",IF(IF(Paths!$E$404=0,C4379=0,AND(C4379&gt;0,Paths!$E$404&gt;(C4379-1)*12,Paths!$E$404&lt;=C4379*12)),Paths!$G$404,0),"n.a."))</f>
        <v>0</v>
      </c>
      <c r="J4379" s="16">
        <f>IF(NOT(Paths!$C$404=1),0,IF(Paths!$P$404="Complete",IF(IF(Paths!$E$404=0,C4379=0,AND(C4379&gt;0,Paths!$E$404&gt;(C4379-1)*12,Paths!$E$404&lt;=C4379*12)),Paths!$H$404,0),"n.a."))</f>
        <v>0</v>
      </c>
      <c r="K4379" s="16">
        <f>IF(NOT(Paths!$C$404=1),0,IF(Paths!$P$404="Complete",IF(IF(Paths!$O$404=0,C4379=0,AND(C4379&gt;0,Paths!$O$404&gt;(C4379-1)*12,Paths!$O$404&lt;=C4379*12)),Paths!$N$404,0),"n.a."))</f>
        <v>0</v>
      </c>
      <c r="L4379" s="16">
        <f>IF(NOT(Paths!$C$404=1),0,IF(Paths!$P$404="Complete",IF(C4379=10,Paths!$I$404,0),"n.a."))</f>
        <v>0</v>
      </c>
      <c r="M4379" s="16">
        <f>IF(NOT(Paths!$C$404=1),0,IF(Paths!$P$404="Complete",IF(AND(Paths!$D$404="EV",Paths!$E$404&lt;120,Paths!$E$404+'Operating costs'!$B$65&gt;Paths!$E$404,Paths!$E$404+'Operating costs'!$B$65&lt;=120,IF(Paths!$E$404+'Operating costs'!$B$65=0,C4379=0,AND(C4379&gt;0,Paths!$E$404+'Operating costs'!$B$65&gt;(C4379-1)*12,Paths!$E$404+'Operating costs'!$B$65&lt;=C4379*12))),'Operating costs'!$B$64,0)+IF(AND('Operating costs'!$B$67&gt;0,'Operating costs'!$B$67&lt;=120,OR(Paths!$D$404="ICE",'Operating costs'!$B$67&lt;=Paths!$E$404),IF('Operating costs'!$B$67=0,C4379=0,AND(C4379&gt;0,'Operating costs'!$B$67&gt;(C4379-1)*12,'Operating costs'!$B$67&lt;=C4379*12))),'Operating costs'!$B$66,0),"n.a."))</f>
        <v>0</v>
      </c>
      <c r="N4379" s="16">
        <f>IF(NOT(Paths!$C$404=1),0,IF(Paths!$P$404="Complete",SUM(G4379:I4379)-J4379-K4379-L4379+M4379+IF(C4379=0,Paths!$F$404,0)+IF(IF(Paths!$E$404=0,C4379=0,AND(C4379&gt;0,Paths!$E$404&gt;(C4379-1)*12,Paths!$E$404&lt;=C4379*12)),VLOOKUP(A4379,'Fleet register'!$A$7:$S$106,16,FALSE),0),"n.a."))</f>
        <v>0</v>
      </c>
      <c r="O4379" s="16">
        <f>IF(NOT(Paths!$C$404=1),0,IF(Paths!$P$404="Complete",N4379-IF(C4379=0,Paths!$F$404,0),"n.a."))</f>
        <v>0</v>
      </c>
      <c r="P4379" s="16">
        <f>IF(NOT(Paths!$C$404=1),0,IF(Paths!$P$404="Complete",O4379+L4379,"n.a."))</f>
        <v>0</v>
      </c>
      <c r="Q4379" s="16">
        <f>IF(NOT(Paths!$C$404=1),0,IF(Paths!$P$404="Complete",N4379*(1+'Operating costs'!$B$54)^-C4379,"n.a."))</f>
        <v>0</v>
      </c>
      <c r="R4379" s="16">
        <f>IF(NOT(Paths!$C$404=1),0,IF(Paths!$P$404="Complete",IF(AND(C4379=0,Paths!$E$404=0),I4379-J4379-K4379+VLOOKUP(A4379,'Fleet register'!$A$7:$S$106,15,FALSE)+VLOOKUP(A4379,'Fleet register'!$A$7:$S$106,16,FALSE),0),"n.a."))</f>
        <v>0</v>
      </c>
      <c r="S4379" s="1">
        <f>IF(NOT(Paths!$C$404=1),0,IF(Paths!$P$404="Complete",IF(C4379=0,0,Paths!$S$404*Paths!$R$404),"n.a."))</f>
        <v>0</v>
      </c>
      <c r="T4379" s="1">
        <f>IF(NOT(Paths!$C$404=1),0,IF(Paths!$P$404="Complete",IF(C4379=0,0,VLOOKUP(A4379,'Fleet register'!$A$7:$S$106,9,FALSE)*Paths!$R$404),"n.a."))</f>
        <v>0</v>
      </c>
    </row>
    <row r="4380" spans="1:20" ht="24" customHeight="1">
      <c r="A4380" s="1" t="str">
        <f>Paths!$A$404</f>
        <v>T100</v>
      </c>
      <c r="B4380" s="1">
        <f>Paths!$B$404</f>
        <v>1</v>
      </c>
      <c r="C4380" s="1">
        <v>6</v>
      </c>
      <c r="D4380" s="1">
        <v>404</v>
      </c>
      <c r="E4380" s="1">
        <f>IF(OR(Paths!$C$404=0,C4380=0),0,MAX(0,MIN(C4380*12,Paths!$E$404)-(C4380-1)*12))</f>
        <v>0</v>
      </c>
      <c r="F4380" s="1">
        <f>IF(OR(Paths!$C$404=0,C4380=0),0,12-E4380)</f>
        <v>0</v>
      </c>
      <c r="G4380" s="16">
        <f>IF(NOT(Paths!$C$404=1),0,IF(Paths!$P$404="Complete",E4380/12*(Paths!$J$404*(1+'Operating costs'!$B$51)^MAX(0,C4380-1)+Paths!$K$404*(1+'Operating costs'!$B$53)^MAX(0,C4380-1)),"n.a."))</f>
        <v>0</v>
      </c>
      <c r="H4380" s="16">
        <f>IF(NOT(Paths!$C$404=1),0,IF(Paths!$P$404="Complete",F4380/12*(Paths!$L$404*(1+IF(Paths!$D$404="EV",'Operating costs'!$B$52,'Operating costs'!$B$51))^MAX(0,C4380-1)+Paths!$M$404*(1+'Operating costs'!$B$53)^MAX(0,C4380-1)),"n.a."))</f>
        <v>0</v>
      </c>
      <c r="I4380" s="16">
        <f>IF(NOT(Paths!$C$404=1),0,IF(Paths!$P$404="Complete",IF(IF(Paths!$E$404=0,C4380=0,AND(C4380&gt;0,Paths!$E$404&gt;(C4380-1)*12,Paths!$E$404&lt;=C4380*12)),Paths!$G$404,0),"n.a."))</f>
        <v>0</v>
      </c>
      <c r="J4380" s="16">
        <f>IF(NOT(Paths!$C$404=1),0,IF(Paths!$P$404="Complete",IF(IF(Paths!$E$404=0,C4380=0,AND(C4380&gt;0,Paths!$E$404&gt;(C4380-1)*12,Paths!$E$404&lt;=C4380*12)),Paths!$H$404,0),"n.a."))</f>
        <v>0</v>
      </c>
      <c r="K4380" s="16">
        <f>IF(NOT(Paths!$C$404=1),0,IF(Paths!$P$404="Complete",IF(IF(Paths!$O$404=0,C4380=0,AND(C4380&gt;0,Paths!$O$404&gt;(C4380-1)*12,Paths!$O$404&lt;=C4380*12)),Paths!$N$404,0),"n.a."))</f>
        <v>0</v>
      </c>
      <c r="L4380" s="16">
        <f>IF(NOT(Paths!$C$404=1),0,IF(Paths!$P$404="Complete",IF(C4380=10,Paths!$I$404,0),"n.a."))</f>
        <v>0</v>
      </c>
      <c r="M4380" s="16">
        <f>IF(NOT(Paths!$C$404=1),0,IF(Paths!$P$404="Complete",IF(AND(Paths!$D$404="EV",Paths!$E$404&lt;120,Paths!$E$404+'Operating costs'!$B$65&gt;Paths!$E$404,Paths!$E$404+'Operating costs'!$B$65&lt;=120,IF(Paths!$E$404+'Operating costs'!$B$65=0,C4380=0,AND(C4380&gt;0,Paths!$E$404+'Operating costs'!$B$65&gt;(C4380-1)*12,Paths!$E$404+'Operating costs'!$B$65&lt;=C4380*12))),'Operating costs'!$B$64,0)+IF(AND('Operating costs'!$B$67&gt;0,'Operating costs'!$B$67&lt;=120,OR(Paths!$D$404="ICE",'Operating costs'!$B$67&lt;=Paths!$E$404),IF('Operating costs'!$B$67=0,C4380=0,AND(C4380&gt;0,'Operating costs'!$B$67&gt;(C4380-1)*12,'Operating costs'!$B$67&lt;=C4380*12))),'Operating costs'!$B$66,0),"n.a."))</f>
        <v>0</v>
      </c>
      <c r="N4380" s="16">
        <f>IF(NOT(Paths!$C$404=1),0,IF(Paths!$P$404="Complete",SUM(G4380:I4380)-J4380-K4380-L4380+M4380+IF(C4380=0,Paths!$F$404,0)+IF(IF(Paths!$E$404=0,C4380=0,AND(C4380&gt;0,Paths!$E$404&gt;(C4380-1)*12,Paths!$E$404&lt;=C4380*12)),VLOOKUP(A4380,'Fleet register'!$A$7:$S$106,16,FALSE),0),"n.a."))</f>
        <v>0</v>
      </c>
      <c r="O4380" s="16">
        <f>IF(NOT(Paths!$C$404=1),0,IF(Paths!$P$404="Complete",N4380-IF(C4380=0,Paths!$F$404,0),"n.a."))</f>
        <v>0</v>
      </c>
      <c r="P4380" s="16">
        <f>IF(NOT(Paths!$C$404=1),0,IF(Paths!$P$404="Complete",O4380+L4380,"n.a."))</f>
        <v>0</v>
      </c>
      <c r="Q4380" s="16">
        <f>IF(NOT(Paths!$C$404=1),0,IF(Paths!$P$404="Complete",N4380*(1+'Operating costs'!$B$54)^-C4380,"n.a."))</f>
        <v>0</v>
      </c>
      <c r="R4380" s="16">
        <f>IF(NOT(Paths!$C$404=1),0,IF(Paths!$P$404="Complete",IF(AND(C4380=0,Paths!$E$404=0),I4380-J4380-K4380+VLOOKUP(A4380,'Fleet register'!$A$7:$S$106,15,FALSE)+VLOOKUP(A4380,'Fleet register'!$A$7:$S$106,16,FALSE),0),"n.a."))</f>
        <v>0</v>
      </c>
      <c r="S4380" s="1">
        <f>IF(NOT(Paths!$C$404=1),0,IF(Paths!$P$404="Complete",IF(C4380=0,0,Paths!$S$404*Paths!$R$404),"n.a."))</f>
        <v>0</v>
      </c>
      <c r="T4380" s="1">
        <f>IF(NOT(Paths!$C$404=1),0,IF(Paths!$P$404="Complete",IF(C4380=0,0,VLOOKUP(A4380,'Fleet register'!$A$7:$S$106,9,FALSE)*Paths!$R$404),"n.a."))</f>
        <v>0</v>
      </c>
    </row>
    <row r="4381" spans="1:20" ht="24" customHeight="1">
      <c r="A4381" s="1" t="str">
        <f>Paths!$A$404</f>
        <v>T100</v>
      </c>
      <c r="B4381" s="1">
        <f>Paths!$B$404</f>
        <v>1</v>
      </c>
      <c r="C4381" s="1">
        <v>7</v>
      </c>
      <c r="D4381" s="1">
        <v>404</v>
      </c>
      <c r="E4381" s="1">
        <f>IF(OR(Paths!$C$404=0,C4381=0),0,MAX(0,MIN(C4381*12,Paths!$E$404)-(C4381-1)*12))</f>
        <v>0</v>
      </c>
      <c r="F4381" s="1">
        <f>IF(OR(Paths!$C$404=0,C4381=0),0,12-E4381)</f>
        <v>0</v>
      </c>
      <c r="G4381" s="16">
        <f>IF(NOT(Paths!$C$404=1),0,IF(Paths!$P$404="Complete",E4381/12*(Paths!$J$404*(1+'Operating costs'!$B$51)^MAX(0,C4381-1)+Paths!$K$404*(1+'Operating costs'!$B$53)^MAX(0,C4381-1)),"n.a."))</f>
        <v>0</v>
      </c>
      <c r="H4381" s="16">
        <f>IF(NOT(Paths!$C$404=1),0,IF(Paths!$P$404="Complete",F4381/12*(Paths!$L$404*(1+IF(Paths!$D$404="EV",'Operating costs'!$B$52,'Operating costs'!$B$51))^MAX(0,C4381-1)+Paths!$M$404*(1+'Operating costs'!$B$53)^MAX(0,C4381-1)),"n.a."))</f>
        <v>0</v>
      </c>
      <c r="I4381" s="16">
        <f>IF(NOT(Paths!$C$404=1),0,IF(Paths!$P$404="Complete",IF(IF(Paths!$E$404=0,C4381=0,AND(C4381&gt;0,Paths!$E$404&gt;(C4381-1)*12,Paths!$E$404&lt;=C4381*12)),Paths!$G$404,0),"n.a."))</f>
        <v>0</v>
      </c>
      <c r="J4381" s="16">
        <f>IF(NOT(Paths!$C$404=1),0,IF(Paths!$P$404="Complete",IF(IF(Paths!$E$404=0,C4381=0,AND(C4381&gt;0,Paths!$E$404&gt;(C4381-1)*12,Paths!$E$404&lt;=C4381*12)),Paths!$H$404,0),"n.a."))</f>
        <v>0</v>
      </c>
      <c r="K4381" s="16">
        <f>IF(NOT(Paths!$C$404=1),0,IF(Paths!$P$404="Complete",IF(IF(Paths!$O$404=0,C4381=0,AND(C4381&gt;0,Paths!$O$404&gt;(C4381-1)*12,Paths!$O$404&lt;=C4381*12)),Paths!$N$404,0),"n.a."))</f>
        <v>0</v>
      </c>
      <c r="L4381" s="16">
        <f>IF(NOT(Paths!$C$404=1),0,IF(Paths!$P$404="Complete",IF(C4381=10,Paths!$I$404,0),"n.a."))</f>
        <v>0</v>
      </c>
      <c r="M4381" s="16">
        <f>IF(NOT(Paths!$C$404=1),0,IF(Paths!$P$404="Complete",IF(AND(Paths!$D$404="EV",Paths!$E$404&lt;120,Paths!$E$404+'Operating costs'!$B$65&gt;Paths!$E$404,Paths!$E$404+'Operating costs'!$B$65&lt;=120,IF(Paths!$E$404+'Operating costs'!$B$65=0,C4381=0,AND(C4381&gt;0,Paths!$E$404+'Operating costs'!$B$65&gt;(C4381-1)*12,Paths!$E$404+'Operating costs'!$B$65&lt;=C4381*12))),'Operating costs'!$B$64,0)+IF(AND('Operating costs'!$B$67&gt;0,'Operating costs'!$B$67&lt;=120,OR(Paths!$D$404="ICE",'Operating costs'!$B$67&lt;=Paths!$E$404),IF('Operating costs'!$B$67=0,C4381=0,AND(C4381&gt;0,'Operating costs'!$B$67&gt;(C4381-1)*12,'Operating costs'!$B$67&lt;=C4381*12))),'Operating costs'!$B$66,0),"n.a."))</f>
        <v>0</v>
      </c>
      <c r="N4381" s="16">
        <f>IF(NOT(Paths!$C$404=1),0,IF(Paths!$P$404="Complete",SUM(G4381:I4381)-J4381-K4381-L4381+M4381+IF(C4381=0,Paths!$F$404,0)+IF(IF(Paths!$E$404=0,C4381=0,AND(C4381&gt;0,Paths!$E$404&gt;(C4381-1)*12,Paths!$E$404&lt;=C4381*12)),VLOOKUP(A4381,'Fleet register'!$A$7:$S$106,16,FALSE),0),"n.a."))</f>
        <v>0</v>
      </c>
      <c r="O4381" s="16">
        <f>IF(NOT(Paths!$C$404=1),0,IF(Paths!$P$404="Complete",N4381-IF(C4381=0,Paths!$F$404,0),"n.a."))</f>
        <v>0</v>
      </c>
      <c r="P4381" s="16">
        <f>IF(NOT(Paths!$C$404=1),0,IF(Paths!$P$404="Complete",O4381+L4381,"n.a."))</f>
        <v>0</v>
      </c>
      <c r="Q4381" s="16">
        <f>IF(NOT(Paths!$C$404=1),0,IF(Paths!$P$404="Complete",N4381*(1+'Operating costs'!$B$54)^-C4381,"n.a."))</f>
        <v>0</v>
      </c>
      <c r="R4381" s="16">
        <f>IF(NOT(Paths!$C$404=1),0,IF(Paths!$P$404="Complete",IF(AND(C4381=0,Paths!$E$404=0),I4381-J4381-K4381+VLOOKUP(A4381,'Fleet register'!$A$7:$S$106,15,FALSE)+VLOOKUP(A4381,'Fleet register'!$A$7:$S$106,16,FALSE),0),"n.a."))</f>
        <v>0</v>
      </c>
      <c r="S4381" s="1">
        <f>IF(NOT(Paths!$C$404=1),0,IF(Paths!$P$404="Complete",IF(C4381=0,0,Paths!$S$404*Paths!$R$404),"n.a."))</f>
        <v>0</v>
      </c>
      <c r="T4381" s="1">
        <f>IF(NOT(Paths!$C$404=1),0,IF(Paths!$P$404="Complete",IF(C4381=0,0,VLOOKUP(A4381,'Fleet register'!$A$7:$S$106,9,FALSE)*Paths!$R$404),"n.a."))</f>
        <v>0</v>
      </c>
    </row>
    <row r="4382" spans="1:20" ht="24" customHeight="1">
      <c r="A4382" s="1" t="str">
        <f>Paths!$A$404</f>
        <v>T100</v>
      </c>
      <c r="B4382" s="1">
        <f>Paths!$B$404</f>
        <v>1</v>
      </c>
      <c r="C4382" s="1">
        <v>8</v>
      </c>
      <c r="D4382" s="1">
        <v>404</v>
      </c>
      <c r="E4382" s="1">
        <f>IF(OR(Paths!$C$404=0,C4382=0),0,MAX(0,MIN(C4382*12,Paths!$E$404)-(C4382-1)*12))</f>
        <v>0</v>
      </c>
      <c r="F4382" s="1">
        <f>IF(OR(Paths!$C$404=0,C4382=0),0,12-E4382)</f>
        <v>0</v>
      </c>
      <c r="G4382" s="16">
        <f>IF(NOT(Paths!$C$404=1),0,IF(Paths!$P$404="Complete",E4382/12*(Paths!$J$404*(1+'Operating costs'!$B$51)^MAX(0,C4382-1)+Paths!$K$404*(1+'Operating costs'!$B$53)^MAX(0,C4382-1)),"n.a."))</f>
        <v>0</v>
      </c>
      <c r="H4382" s="16">
        <f>IF(NOT(Paths!$C$404=1),0,IF(Paths!$P$404="Complete",F4382/12*(Paths!$L$404*(1+IF(Paths!$D$404="EV",'Operating costs'!$B$52,'Operating costs'!$B$51))^MAX(0,C4382-1)+Paths!$M$404*(1+'Operating costs'!$B$53)^MAX(0,C4382-1)),"n.a."))</f>
        <v>0</v>
      </c>
      <c r="I4382" s="16">
        <f>IF(NOT(Paths!$C$404=1),0,IF(Paths!$P$404="Complete",IF(IF(Paths!$E$404=0,C4382=0,AND(C4382&gt;0,Paths!$E$404&gt;(C4382-1)*12,Paths!$E$404&lt;=C4382*12)),Paths!$G$404,0),"n.a."))</f>
        <v>0</v>
      </c>
      <c r="J4382" s="16">
        <f>IF(NOT(Paths!$C$404=1),0,IF(Paths!$P$404="Complete",IF(IF(Paths!$E$404=0,C4382=0,AND(C4382&gt;0,Paths!$E$404&gt;(C4382-1)*12,Paths!$E$404&lt;=C4382*12)),Paths!$H$404,0),"n.a."))</f>
        <v>0</v>
      </c>
      <c r="K4382" s="16">
        <f>IF(NOT(Paths!$C$404=1),0,IF(Paths!$P$404="Complete",IF(IF(Paths!$O$404=0,C4382=0,AND(C4382&gt;0,Paths!$O$404&gt;(C4382-1)*12,Paths!$O$404&lt;=C4382*12)),Paths!$N$404,0),"n.a."))</f>
        <v>0</v>
      </c>
      <c r="L4382" s="16">
        <f>IF(NOT(Paths!$C$404=1),0,IF(Paths!$P$404="Complete",IF(C4382=10,Paths!$I$404,0),"n.a."))</f>
        <v>0</v>
      </c>
      <c r="M4382" s="16">
        <f>IF(NOT(Paths!$C$404=1),0,IF(Paths!$P$404="Complete",IF(AND(Paths!$D$404="EV",Paths!$E$404&lt;120,Paths!$E$404+'Operating costs'!$B$65&gt;Paths!$E$404,Paths!$E$404+'Operating costs'!$B$65&lt;=120,IF(Paths!$E$404+'Operating costs'!$B$65=0,C4382=0,AND(C4382&gt;0,Paths!$E$404+'Operating costs'!$B$65&gt;(C4382-1)*12,Paths!$E$404+'Operating costs'!$B$65&lt;=C4382*12))),'Operating costs'!$B$64,0)+IF(AND('Operating costs'!$B$67&gt;0,'Operating costs'!$B$67&lt;=120,OR(Paths!$D$404="ICE",'Operating costs'!$B$67&lt;=Paths!$E$404),IF('Operating costs'!$B$67=0,C4382=0,AND(C4382&gt;0,'Operating costs'!$B$67&gt;(C4382-1)*12,'Operating costs'!$B$67&lt;=C4382*12))),'Operating costs'!$B$66,0),"n.a."))</f>
        <v>0</v>
      </c>
      <c r="N4382" s="16">
        <f>IF(NOT(Paths!$C$404=1),0,IF(Paths!$P$404="Complete",SUM(G4382:I4382)-J4382-K4382-L4382+M4382+IF(C4382=0,Paths!$F$404,0)+IF(IF(Paths!$E$404=0,C4382=0,AND(C4382&gt;0,Paths!$E$404&gt;(C4382-1)*12,Paths!$E$404&lt;=C4382*12)),VLOOKUP(A4382,'Fleet register'!$A$7:$S$106,16,FALSE),0),"n.a."))</f>
        <v>0</v>
      </c>
      <c r="O4382" s="16">
        <f>IF(NOT(Paths!$C$404=1),0,IF(Paths!$P$404="Complete",N4382-IF(C4382=0,Paths!$F$404,0),"n.a."))</f>
        <v>0</v>
      </c>
      <c r="P4382" s="16">
        <f>IF(NOT(Paths!$C$404=1),0,IF(Paths!$P$404="Complete",O4382+L4382,"n.a."))</f>
        <v>0</v>
      </c>
      <c r="Q4382" s="16">
        <f>IF(NOT(Paths!$C$404=1),0,IF(Paths!$P$404="Complete",N4382*(1+'Operating costs'!$B$54)^-C4382,"n.a."))</f>
        <v>0</v>
      </c>
      <c r="R4382" s="16">
        <f>IF(NOT(Paths!$C$404=1),0,IF(Paths!$P$404="Complete",IF(AND(C4382=0,Paths!$E$404=0),I4382-J4382-K4382+VLOOKUP(A4382,'Fleet register'!$A$7:$S$106,15,FALSE)+VLOOKUP(A4382,'Fleet register'!$A$7:$S$106,16,FALSE),0),"n.a."))</f>
        <v>0</v>
      </c>
      <c r="S4382" s="1">
        <f>IF(NOT(Paths!$C$404=1),0,IF(Paths!$P$404="Complete",IF(C4382=0,0,Paths!$S$404*Paths!$R$404),"n.a."))</f>
        <v>0</v>
      </c>
      <c r="T4382" s="1">
        <f>IF(NOT(Paths!$C$404=1),0,IF(Paths!$P$404="Complete",IF(C4382=0,0,VLOOKUP(A4382,'Fleet register'!$A$7:$S$106,9,FALSE)*Paths!$R$404),"n.a."))</f>
        <v>0</v>
      </c>
    </row>
    <row r="4383" spans="1:20" ht="24" customHeight="1">
      <c r="A4383" s="1" t="str">
        <f>Paths!$A$404</f>
        <v>T100</v>
      </c>
      <c r="B4383" s="1">
        <f>Paths!$B$404</f>
        <v>1</v>
      </c>
      <c r="C4383" s="1">
        <v>9</v>
      </c>
      <c r="D4383" s="1">
        <v>404</v>
      </c>
      <c r="E4383" s="1">
        <f>IF(OR(Paths!$C$404=0,C4383=0),0,MAX(0,MIN(C4383*12,Paths!$E$404)-(C4383-1)*12))</f>
        <v>0</v>
      </c>
      <c r="F4383" s="1">
        <f>IF(OR(Paths!$C$404=0,C4383=0),0,12-E4383)</f>
        <v>0</v>
      </c>
      <c r="G4383" s="16">
        <f>IF(NOT(Paths!$C$404=1),0,IF(Paths!$P$404="Complete",E4383/12*(Paths!$J$404*(1+'Operating costs'!$B$51)^MAX(0,C4383-1)+Paths!$K$404*(1+'Operating costs'!$B$53)^MAX(0,C4383-1)),"n.a."))</f>
        <v>0</v>
      </c>
      <c r="H4383" s="16">
        <f>IF(NOT(Paths!$C$404=1),0,IF(Paths!$P$404="Complete",F4383/12*(Paths!$L$404*(1+IF(Paths!$D$404="EV",'Operating costs'!$B$52,'Operating costs'!$B$51))^MAX(0,C4383-1)+Paths!$M$404*(1+'Operating costs'!$B$53)^MAX(0,C4383-1)),"n.a."))</f>
        <v>0</v>
      </c>
      <c r="I4383" s="16">
        <f>IF(NOT(Paths!$C$404=1),0,IF(Paths!$P$404="Complete",IF(IF(Paths!$E$404=0,C4383=0,AND(C4383&gt;0,Paths!$E$404&gt;(C4383-1)*12,Paths!$E$404&lt;=C4383*12)),Paths!$G$404,0),"n.a."))</f>
        <v>0</v>
      </c>
      <c r="J4383" s="16">
        <f>IF(NOT(Paths!$C$404=1),0,IF(Paths!$P$404="Complete",IF(IF(Paths!$E$404=0,C4383=0,AND(C4383&gt;0,Paths!$E$404&gt;(C4383-1)*12,Paths!$E$404&lt;=C4383*12)),Paths!$H$404,0),"n.a."))</f>
        <v>0</v>
      </c>
      <c r="K4383" s="16">
        <f>IF(NOT(Paths!$C$404=1),0,IF(Paths!$P$404="Complete",IF(IF(Paths!$O$404=0,C4383=0,AND(C4383&gt;0,Paths!$O$404&gt;(C4383-1)*12,Paths!$O$404&lt;=C4383*12)),Paths!$N$404,0),"n.a."))</f>
        <v>0</v>
      </c>
      <c r="L4383" s="16">
        <f>IF(NOT(Paths!$C$404=1),0,IF(Paths!$P$404="Complete",IF(C4383=10,Paths!$I$404,0),"n.a."))</f>
        <v>0</v>
      </c>
      <c r="M4383" s="16">
        <f>IF(NOT(Paths!$C$404=1),0,IF(Paths!$P$404="Complete",IF(AND(Paths!$D$404="EV",Paths!$E$404&lt;120,Paths!$E$404+'Operating costs'!$B$65&gt;Paths!$E$404,Paths!$E$404+'Operating costs'!$B$65&lt;=120,IF(Paths!$E$404+'Operating costs'!$B$65=0,C4383=0,AND(C4383&gt;0,Paths!$E$404+'Operating costs'!$B$65&gt;(C4383-1)*12,Paths!$E$404+'Operating costs'!$B$65&lt;=C4383*12))),'Operating costs'!$B$64,0)+IF(AND('Operating costs'!$B$67&gt;0,'Operating costs'!$B$67&lt;=120,OR(Paths!$D$404="ICE",'Operating costs'!$B$67&lt;=Paths!$E$404),IF('Operating costs'!$B$67=0,C4383=0,AND(C4383&gt;0,'Operating costs'!$B$67&gt;(C4383-1)*12,'Operating costs'!$B$67&lt;=C4383*12))),'Operating costs'!$B$66,0),"n.a."))</f>
        <v>0</v>
      </c>
      <c r="N4383" s="16">
        <f>IF(NOT(Paths!$C$404=1),0,IF(Paths!$P$404="Complete",SUM(G4383:I4383)-J4383-K4383-L4383+M4383+IF(C4383=0,Paths!$F$404,0)+IF(IF(Paths!$E$404=0,C4383=0,AND(C4383&gt;0,Paths!$E$404&gt;(C4383-1)*12,Paths!$E$404&lt;=C4383*12)),VLOOKUP(A4383,'Fleet register'!$A$7:$S$106,16,FALSE),0),"n.a."))</f>
        <v>0</v>
      </c>
      <c r="O4383" s="16">
        <f>IF(NOT(Paths!$C$404=1),0,IF(Paths!$P$404="Complete",N4383-IF(C4383=0,Paths!$F$404,0),"n.a."))</f>
        <v>0</v>
      </c>
      <c r="P4383" s="16">
        <f>IF(NOT(Paths!$C$404=1),0,IF(Paths!$P$404="Complete",O4383+L4383,"n.a."))</f>
        <v>0</v>
      </c>
      <c r="Q4383" s="16">
        <f>IF(NOT(Paths!$C$404=1),0,IF(Paths!$P$404="Complete",N4383*(1+'Operating costs'!$B$54)^-C4383,"n.a."))</f>
        <v>0</v>
      </c>
      <c r="R4383" s="16">
        <f>IF(NOT(Paths!$C$404=1),0,IF(Paths!$P$404="Complete",IF(AND(C4383=0,Paths!$E$404=0),I4383-J4383-K4383+VLOOKUP(A4383,'Fleet register'!$A$7:$S$106,15,FALSE)+VLOOKUP(A4383,'Fleet register'!$A$7:$S$106,16,FALSE),0),"n.a."))</f>
        <v>0</v>
      </c>
      <c r="S4383" s="1">
        <f>IF(NOT(Paths!$C$404=1),0,IF(Paths!$P$404="Complete",IF(C4383=0,0,Paths!$S$404*Paths!$R$404),"n.a."))</f>
        <v>0</v>
      </c>
      <c r="T4383" s="1">
        <f>IF(NOT(Paths!$C$404=1),0,IF(Paths!$P$404="Complete",IF(C4383=0,0,VLOOKUP(A4383,'Fleet register'!$A$7:$S$106,9,FALSE)*Paths!$R$404),"n.a."))</f>
        <v>0</v>
      </c>
    </row>
    <row r="4384" spans="1:20" ht="24" customHeight="1">
      <c r="A4384" s="1" t="str">
        <f>Paths!$A$404</f>
        <v>T100</v>
      </c>
      <c r="B4384" s="1">
        <f>Paths!$B$404</f>
        <v>1</v>
      </c>
      <c r="C4384" s="1">
        <v>10</v>
      </c>
      <c r="D4384" s="1">
        <v>404</v>
      </c>
      <c r="E4384" s="1">
        <f>IF(OR(Paths!$C$404=0,C4384=0),0,MAX(0,MIN(C4384*12,Paths!$E$404)-(C4384-1)*12))</f>
        <v>0</v>
      </c>
      <c r="F4384" s="1">
        <f>IF(OR(Paths!$C$404=0,C4384=0),0,12-E4384)</f>
        <v>0</v>
      </c>
      <c r="G4384" s="16">
        <f>IF(NOT(Paths!$C$404=1),0,IF(Paths!$P$404="Complete",E4384/12*(Paths!$J$404*(1+'Operating costs'!$B$51)^MAX(0,C4384-1)+Paths!$K$404*(1+'Operating costs'!$B$53)^MAX(0,C4384-1)),"n.a."))</f>
        <v>0</v>
      </c>
      <c r="H4384" s="16">
        <f>IF(NOT(Paths!$C$404=1),0,IF(Paths!$P$404="Complete",F4384/12*(Paths!$L$404*(1+IF(Paths!$D$404="EV",'Operating costs'!$B$52,'Operating costs'!$B$51))^MAX(0,C4384-1)+Paths!$M$404*(1+'Operating costs'!$B$53)^MAX(0,C4384-1)),"n.a."))</f>
        <v>0</v>
      </c>
      <c r="I4384" s="16">
        <f>IF(NOT(Paths!$C$404=1),0,IF(Paths!$P$404="Complete",IF(IF(Paths!$E$404=0,C4384=0,AND(C4384&gt;0,Paths!$E$404&gt;(C4384-1)*12,Paths!$E$404&lt;=C4384*12)),Paths!$G$404,0),"n.a."))</f>
        <v>0</v>
      </c>
      <c r="J4384" s="16">
        <f>IF(NOT(Paths!$C$404=1),0,IF(Paths!$P$404="Complete",IF(IF(Paths!$E$404=0,C4384=0,AND(C4384&gt;0,Paths!$E$404&gt;(C4384-1)*12,Paths!$E$404&lt;=C4384*12)),Paths!$H$404,0),"n.a."))</f>
        <v>0</v>
      </c>
      <c r="K4384" s="16">
        <f>IF(NOT(Paths!$C$404=1),0,IF(Paths!$P$404="Complete",IF(IF(Paths!$O$404=0,C4384=0,AND(C4384&gt;0,Paths!$O$404&gt;(C4384-1)*12,Paths!$O$404&lt;=C4384*12)),Paths!$N$404,0),"n.a."))</f>
        <v>0</v>
      </c>
      <c r="L4384" s="16">
        <f>IF(NOT(Paths!$C$404=1),0,IF(Paths!$P$404="Complete",IF(C4384=10,Paths!$I$404,0),"n.a."))</f>
        <v>0</v>
      </c>
      <c r="M4384" s="16">
        <f>IF(NOT(Paths!$C$404=1),0,IF(Paths!$P$404="Complete",IF(AND(Paths!$D$404="EV",Paths!$E$404&lt;120,Paths!$E$404+'Operating costs'!$B$65&gt;Paths!$E$404,Paths!$E$404+'Operating costs'!$B$65&lt;=120,IF(Paths!$E$404+'Operating costs'!$B$65=0,C4384=0,AND(C4384&gt;0,Paths!$E$404+'Operating costs'!$B$65&gt;(C4384-1)*12,Paths!$E$404+'Operating costs'!$B$65&lt;=C4384*12))),'Operating costs'!$B$64,0)+IF(AND('Operating costs'!$B$67&gt;0,'Operating costs'!$B$67&lt;=120,OR(Paths!$D$404="ICE",'Operating costs'!$B$67&lt;=Paths!$E$404),IF('Operating costs'!$B$67=0,C4384=0,AND(C4384&gt;0,'Operating costs'!$B$67&gt;(C4384-1)*12,'Operating costs'!$B$67&lt;=C4384*12))),'Operating costs'!$B$66,0),"n.a."))</f>
        <v>0</v>
      </c>
      <c r="N4384" s="16">
        <f>IF(NOT(Paths!$C$404=1),0,IF(Paths!$P$404="Complete",SUM(G4384:I4384)-J4384-K4384-L4384+M4384+IF(C4384=0,Paths!$F$404,0)+IF(IF(Paths!$E$404=0,C4384=0,AND(C4384&gt;0,Paths!$E$404&gt;(C4384-1)*12,Paths!$E$404&lt;=C4384*12)),VLOOKUP(A4384,'Fleet register'!$A$7:$S$106,16,FALSE),0),"n.a."))</f>
        <v>0</v>
      </c>
      <c r="O4384" s="16">
        <f>IF(NOT(Paths!$C$404=1),0,IF(Paths!$P$404="Complete",N4384-IF(C4384=0,Paths!$F$404,0),"n.a."))</f>
        <v>0</v>
      </c>
      <c r="P4384" s="16">
        <f>IF(NOT(Paths!$C$404=1),0,IF(Paths!$P$404="Complete",O4384+L4384,"n.a."))</f>
        <v>0</v>
      </c>
      <c r="Q4384" s="16">
        <f>IF(NOT(Paths!$C$404=1),0,IF(Paths!$P$404="Complete",N4384*(1+'Operating costs'!$B$54)^-C4384,"n.a."))</f>
        <v>0</v>
      </c>
      <c r="R4384" s="16">
        <f>IF(NOT(Paths!$C$404=1),0,IF(Paths!$P$404="Complete",IF(AND(C4384=0,Paths!$E$404=0),I4384-J4384-K4384+VLOOKUP(A4384,'Fleet register'!$A$7:$S$106,15,FALSE)+VLOOKUP(A4384,'Fleet register'!$A$7:$S$106,16,FALSE),0),"n.a."))</f>
        <v>0</v>
      </c>
      <c r="S4384" s="1">
        <f>IF(NOT(Paths!$C$404=1),0,IF(Paths!$P$404="Complete",IF(C4384=0,0,Paths!$S$404*Paths!$R$404),"n.a."))</f>
        <v>0</v>
      </c>
      <c r="T4384" s="1">
        <f>IF(NOT(Paths!$C$404=1),0,IF(Paths!$P$404="Complete",IF(C4384=0,0,VLOOKUP(A4384,'Fleet register'!$A$7:$S$106,9,FALSE)*Paths!$R$404),"n.a."))</f>
        <v>0</v>
      </c>
    </row>
    <row r="4385" spans="1:20" ht="24" customHeight="1">
      <c r="A4385" s="1" t="str">
        <f>Paths!$A$405</f>
        <v>T100</v>
      </c>
      <c r="B4385" s="1">
        <f>Paths!$B$405</f>
        <v>2</v>
      </c>
      <c r="C4385" s="1">
        <v>0</v>
      </c>
      <c r="D4385" s="1">
        <v>405</v>
      </c>
      <c r="E4385" s="1">
        <f>IF(OR(Paths!$C$405=0,C4385=0),0,MAX(0,MIN(C4385*12,Paths!$E$405)-(C4385-1)*12))</f>
        <v>0</v>
      </c>
      <c r="F4385" s="1">
        <f>IF(OR(Paths!$C$405=0,C4385=0),0,12-E4385)</f>
        <v>0</v>
      </c>
      <c r="G4385" s="16">
        <f>IF(NOT(Paths!$C$405=1),0,IF(Paths!$P$405="Complete",E4385/12*(Paths!$J$405*(1+'Operating costs'!$B$51)^MAX(0,C4385-1)+Paths!$K$405*(1+'Operating costs'!$B$53)^MAX(0,C4385-1)),"n.a."))</f>
        <v>0</v>
      </c>
      <c r="H4385" s="16">
        <f>IF(NOT(Paths!$C$405=1),0,IF(Paths!$P$405="Complete",F4385/12*(Paths!$L$405*(1+IF(Paths!$D$405="EV",'Operating costs'!$B$52,'Operating costs'!$B$51))^MAX(0,C4385-1)+Paths!$M$405*(1+'Operating costs'!$B$53)^MAX(0,C4385-1)),"n.a."))</f>
        <v>0</v>
      </c>
      <c r="I4385" s="16">
        <f>IF(NOT(Paths!$C$405=1),0,IF(Paths!$P$405="Complete",IF(IF(Paths!$E$405=0,C4385=0,AND(C4385&gt;0,Paths!$E$405&gt;(C4385-1)*12,Paths!$E$405&lt;=C4385*12)),Paths!$G$405,0),"n.a."))</f>
        <v>0</v>
      </c>
      <c r="J4385" s="16">
        <f>IF(NOT(Paths!$C$405=1),0,IF(Paths!$P$405="Complete",IF(IF(Paths!$E$405=0,C4385=0,AND(C4385&gt;0,Paths!$E$405&gt;(C4385-1)*12,Paths!$E$405&lt;=C4385*12)),Paths!$H$405,0),"n.a."))</f>
        <v>0</v>
      </c>
      <c r="K4385" s="16">
        <f>IF(NOT(Paths!$C$405=1),0,IF(Paths!$P$405="Complete",IF(IF(Paths!$O$405=0,C4385=0,AND(C4385&gt;0,Paths!$O$405&gt;(C4385-1)*12,Paths!$O$405&lt;=C4385*12)),Paths!$N$405,0),"n.a."))</f>
        <v>0</v>
      </c>
      <c r="L4385" s="16">
        <f>IF(NOT(Paths!$C$405=1),0,IF(Paths!$P$405="Complete",IF(C4385=10,Paths!$I$405,0),"n.a."))</f>
        <v>0</v>
      </c>
      <c r="M4385" s="16">
        <f>IF(NOT(Paths!$C$405=1),0,IF(Paths!$P$405="Complete",IF(AND(Paths!$D$405="EV",Paths!$E$405&lt;120,Paths!$E$405+'Operating costs'!$B$65&gt;Paths!$E$405,Paths!$E$405+'Operating costs'!$B$65&lt;=120,IF(Paths!$E$405+'Operating costs'!$B$65=0,C4385=0,AND(C4385&gt;0,Paths!$E$405+'Operating costs'!$B$65&gt;(C4385-1)*12,Paths!$E$405+'Operating costs'!$B$65&lt;=C4385*12))),'Operating costs'!$B$64,0)+IF(AND('Operating costs'!$B$67&gt;0,'Operating costs'!$B$67&lt;=120,OR(Paths!$D$405="ICE",'Operating costs'!$B$67&lt;=Paths!$E$405),IF('Operating costs'!$B$67=0,C4385=0,AND(C4385&gt;0,'Operating costs'!$B$67&gt;(C4385-1)*12,'Operating costs'!$B$67&lt;=C4385*12))),'Operating costs'!$B$66,0),"n.a."))</f>
        <v>0</v>
      </c>
      <c r="N4385" s="16">
        <f>IF(NOT(Paths!$C$405=1),0,IF(Paths!$P$405="Complete",SUM(G4385:I4385)-J4385-K4385-L4385+M4385+IF(C4385=0,Paths!$F$405,0)+IF(IF(Paths!$E$405=0,C4385=0,AND(C4385&gt;0,Paths!$E$405&gt;(C4385-1)*12,Paths!$E$405&lt;=C4385*12)),VLOOKUP(A4385,'Fleet register'!$A$7:$S$106,16,FALSE),0),"n.a."))</f>
        <v>0</v>
      </c>
      <c r="O4385" s="16">
        <f>IF(NOT(Paths!$C$405=1),0,IF(Paths!$P$405="Complete",N4385-IF(C4385=0,Paths!$F$405,0),"n.a."))</f>
        <v>0</v>
      </c>
      <c r="P4385" s="16">
        <f>IF(NOT(Paths!$C$405=1),0,IF(Paths!$P$405="Complete",O4385+L4385,"n.a."))</f>
        <v>0</v>
      </c>
      <c r="Q4385" s="16">
        <f>IF(NOT(Paths!$C$405=1),0,IF(Paths!$P$405="Complete",N4385*(1+'Operating costs'!$B$54)^-C4385,"n.a."))</f>
        <v>0</v>
      </c>
      <c r="R4385" s="16">
        <f>IF(NOT(Paths!$C$405=1),0,IF(Paths!$P$405="Complete",IF(AND(C4385=0,Paths!$E$405=0),I4385-J4385-K4385+VLOOKUP(A4385,'Fleet register'!$A$7:$S$106,15,FALSE)+VLOOKUP(A4385,'Fleet register'!$A$7:$S$106,16,FALSE),0),"n.a."))</f>
        <v>0</v>
      </c>
      <c r="S4385" s="1">
        <f>IF(NOT(Paths!$C$405=1),0,IF(Paths!$P$405="Complete",IF(C4385=0,0,Paths!$S$405*Paths!$R$405),"n.a."))</f>
        <v>0</v>
      </c>
      <c r="T4385" s="1">
        <f>IF(NOT(Paths!$C$405=1),0,IF(Paths!$P$405="Complete",IF(C4385=0,0,VLOOKUP(A4385,'Fleet register'!$A$7:$S$106,9,FALSE)*Paths!$R$405),"n.a."))</f>
        <v>0</v>
      </c>
    </row>
    <row r="4386" spans="1:20" ht="24" customHeight="1">
      <c r="A4386" s="1" t="str">
        <f>Paths!$A$405</f>
        <v>T100</v>
      </c>
      <c r="B4386" s="1">
        <f>Paths!$B$405</f>
        <v>2</v>
      </c>
      <c r="C4386" s="1">
        <v>1</v>
      </c>
      <c r="D4386" s="1">
        <v>405</v>
      </c>
      <c r="E4386" s="1">
        <f>IF(OR(Paths!$C$405=0,C4386=0),0,MAX(0,MIN(C4386*12,Paths!$E$405)-(C4386-1)*12))</f>
        <v>0</v>
      </c>
      <c r="F4386" s="1">
        <f>IF(OR(Paths!$C$405=0,C4386=0),0,12-E4386)</f>
        <v>0</v>
      </c>
      <c r="G4386" s="16">
        <f>IF(NOT(Paths!$C$405=1),0,IF(Paths!$P$405="Complete",E4386/12*(Paths!$J$405*(1+'Operating costs'!$B$51)^MAX(0,C4386-1)+Paths!$K$405*(1+'Operating costs'!$B$53)^MAX(0,C4386-1)),"n.a."))</f>
        <v>0</v>
      </c>
      <c r="H4386" s="16">
        <f>IF(NOT(Paths!$C$405=1),0,IF(Paths!$P$405="Complete",F4386/12*(Paths!$L$405*(1+IF(Paths!$D$405="EV",'Operating costs'!$B$52,'Operating costs'!$B$51))^MAX(0,C4386-1)+Paths!$M$405*(1+'Operating costs'!$B$53)^MAX(0,C4386-1)),"n.a."))</f>
        <v>0</v>
      </c>
      <c r="I4386" s="16">
        <f>IF(NOT(Paths!$C$405=1),0,IF(Paths!$P$405="Complete",IF(IF(Paths!$E$405=0,C4386=0,AND(C4386&gt;0,Paths!$E$405&gt;(C4386-1)*12,Paths!$E$405&lt;=C4386*12)),Paths!$G$405,0),"n.a."))</f>
        <v>0</v>
      </c>
      <c r="J4386" s="16">
        <f>IF(NOT(Paths!$C$405=1),0,IF(Paths!$P$405="Complete",IF(IF(Paths!$E$405=0,C4386=0,AND(C4386&gt;0,Paths!$E$405&gt;(C4386-1)*12,Paths!$E$405&lt;=C4386*12)),Paths!$H$405,0),"n.a."))</f>
        <v>0</v>
      </c>
      <c r="K4386" s="16">
        <f>IF(NOT(Paths!$C$405=1),0,IF(Paths!$P$405="Complete",IF(IF(Paths!$O$405=0,C4386=0,AND(C4386&gt;0,Paths!$O$405&gt;(C4386-1)*12,Paths!$O$405&lt;=C4386*12)),Paths!$N$405,0),"n.a."))</f>
        <v>0</v>
      </c>
      <c r="L4386" s="16">
        <f>IF(NOT(Paths!$C$405=1),0,IF(Paths!$P$405="Complete",IF(C4386=10,Paths!$I$405,0),"n.a."))</f>
        <v>0</v>
      </c>
      <c r="M4386" s="16">
        <f>IF(NOT(Paths!$C$405=1),0,IF(Paths!$P$405="Complete",IF(AND(Paths!$D$405="EV",Paths!$E$405&lt;120,Paths!$E$405+'Operating costs'!$B$65&gt;Paths!$E$405,Paths!$E$405+'Operating costs'!$B$65&lt;=120,IF(Paths!$E$405+'Operating costs'!$B$65=0,C4386=0,AND(C4386&gt;0,Paths!$E$405+'Operating costs'!$B$65&gt;(C4386-1)*12,Paths!$E$405+'Operating costs'!$B$65&lt;=C4386*12))),'Operating costs'!$B$64,0)+IF(AND('Operating costs'!$B$67&gt;0,'Operating costs'!$B$67&lt;=120,OR(Paths!$D$405="ICE",'Operating costs'!$B$67&lt;=Paths!$E$405),IF('Operating costs'!$B$67=0,C4386=0,AND(C4386&gt;0,'Operating costs'!$B$67&gt;(C4386-1)*12,'Operating costs'!$B$67&lt;=C4386*12))),'Operating costs'!$B$66,0),"n.a."))</f>
        <v>0</v>
      </c>
      <c r="N4386" s="16">
        <f>IF(NOT(Paths!$C$405=1),0,IF(Paths!$P$405="Complete",SUM(G4386:I4386)-J4386-K4386-L4386+M4386+IF(C4386=0,Paths!$F$405,0)+IF(IF(Paths!$E$405=0,C4386=0,AND(C4386&gt;0,Paths!$E$405&gt;(C4386-1)*12,Paths!$E$405&lt;=C4386*12)),VLOOKUP(A4386,'Fleet register'!$A$7:$S$106,16,FALSE),0),"n.a."))</f>
        <v>0</v>
      </c>
      <c r="O4386" s="16">
        <f>IF(NOT(Paths!$C$405=1),0,IF(Paths!$P$405="Complete",N4386-IF(C4386=0,Paths!$F$405,0),"n.a."))</f>
        <v>0</v>
      </c>
      <c r="P4386" s="16">
        <f>IF(NOT(Paths!$C$405=1),0,IF(Paths!$P$405="Complete",O4386+L4386,"n.a."))</f>
        <v>0</v>
      </c>
      <c r="Q4386" s="16">
        <f>IF(NOT(Paths!$C$405=1),0,IF(Paths!$P$405="Complete",N4386*(1+'Operating costs'!$B$54)^-C4386,"n.a."))</f>
        <v>0</v>
      </c>
      <c r="R4386" s="16">
        <f>IF(NOT(Paths!$C$405=1),0,IF(Paths!$P$405="Complete",IF(AND(C4386=0,Paths!$E$405=0),I4386-J4386-K4386+VLOOKUP(A4386,'Fleet register'!$A$7:$S$106,15,FALSE)+VLOOKUP(A4386,'Fleet register'!$A$7:$S$106,16,FALSE),0),"n.a."))</f>
        <v>0</v>
      </c>
      <c r="S4386" s="1">
        <f>IF(NOT(Paths!$C$405=1),0,IF(Paths!$P$405="Complete",IF(C4386=0,0,Paths!$S$405*Paths!$R$405),"n.a."))</f>
        <v>0</v>
      </c>
      <c r="T4386" s="1">
        <f>IF(NOT(Paths!$C$405=1),0,IF(Paths!$P$405="Complete",IF(C4386=0,0,VLOOKUP(A4386,'Fleet register'!$A$7:$S$106,9,FALSE)*Paths!$R$405),"n.a."))</f>
        <v>0</v>
      </c>
    </row>
    <row r="4387" spans="1:20" ht="24" customHeight="1">
      <c r="A4387" s="1" t="str">
        <f>Paths!$A$405</f>
        <v>T100</v>
      </c>
      <c r="B4387" s="1">
        <f>Paths!$B$405</f>
        <v>2</v>
      </c>
      <c r="C4387" s="1">
        <v>2</v>
      </c>
      <c r="D4387" s="1">
        <v>405</v>
      </c>
      <c r="E4387" s="1">
        <f>IF(OR(Paths!$C$405=0,C4387=0),0,MAX(0,MIN(C4387*12,Paths!$E$405)-(C4387-1)*12))</f>
        <v>0</v>
      </c>
      <c r="F4387" s="1">
        <f>IF(OR(Paths!$C$405=0,C4387=0),0,12-E4387)</f>
        <v>0</v>
      </c>
      <c r="G4387" s="16">
        <f>IF(NOT(Paths!$C$405=1),0,IF(Paths!$P$405="Complete",E4387/12*(Paths!$J$405*(1+'Operating costs'!$B$51)^MAX(0,C4387-1)+Paths!$K$405*(1+'Operating costs'!$B$53)^MAX(0,C4387-1)),"n.a."))</f>
        <v>0</v>
      </c>
      <c r="H4387" s="16">
        <f>IF(NOT(Paths!$C$405=1),0,IF(Paths!$P$405="Complete",F4387/12*(Paths!$L$405*(1+IF(Paths!$D$405="EV",'Operating costs'!$B$52,'Operating costs'!$B$51))^MAX(0,C4387-1)+Paths!$M$405*(1+'Operating costs'!$B$53)^MAX(0,C4387-1)),"n.a."))</f>
        <v>0</v>
      </c>
      <c r="I4387" s="16">
        <f>IF(NOT(Paths!$C$405=1),0,IF(Paths!$P$405="Complete",IF(IF(Paths!$E$405=0,C4387=0,AND(C4387&gt;0,Paths!$E$405&gt;(C4387-1)*12,Paths!$E$405&lt;=C4387*12)),Paths!$G$405,0),"n.a."))</f>
        <v>0</v>
      </c>
      <c r="J4387" s="16">
        <f>IF(NOT(Paths!$C$405=1),0,IF(Paths!$P$405="Complete",IF(IF(Paths!$E$405=0,C4387=0,AND(C4387&gt;0,Paths!$E$405&gt;(C4387-1)*12,Paths!$E$405&lt;=C4387*12)),Paths!$H$405,0),"n.a."))</f>
        <v>0</v>
      </c>
      <c r="K4387" s="16">
        <f>IF(NOT(Paths!$C$405=1),0,IF(Paths!$P$405="Complete",IF(IF(Paths!$O$405=0,C4387=0,AND(C4387&gt;0,Paths!$O$405&gt;(C4387-1)*12,Paths!$O$405&lt;=C4387*12)),Paths!$N$405,0),"n.a."))</f>
        <v>0</v>
      </c>
      <c r="L4387" s="16">
        <f>IF(NOT(Paths!$C$405=1),0,IF(Paths!$P$405="Complete",IF(C4387=10,Paths!$I$405,0),"n.a."))</f>
        <v>0</v>
      </c>
      <c r="M4387" s="16">
        <f>IF(NOT(Paths!$C$405=1),0,IF(Paths!$P$405="Complete",IF(AND(Paths!$D$405="EV",Paths!$E$405&lt;120,Paths!$E$405+'Operating costs'!$B$65&gt;Paths!$E$405,Paths!$E$405+'Operating costs'!$B$65&lt;=120,IF(Paths!$E$405+'Operating costs'!$B$65=0,C4387=0,AND(C4387&gt;0,Paths!$E$405+'Operating costs'!$B$65&gt;(C4387-1)*12,Paths!$E$405+'Operating costs'!$B$65&lt;=C4387*12))),'Operating costs'!$B$64,0)+IF(AND('Operating costs'!$B$67&gt;0,'Operating costs'!$B$67&lt;=120,OR(Paths!$D$405="ICE",'Operating costs'!$B$67&lt;=Paths!$E$405),IF('Operating costs'!$B$67=0,C4387=0,AND(C4387&gt;0,'Operating costs'!$B$67&gt;(C4387-1)*12,'Operating costs'!$B$67&lt;=C4387*12))),'Operating costs'!$B$66,0),"n.a."))</f>
        <v>0</v>
      </c>
      <c r="N4387" s="16">
        <f>IF(NOT(Paths!$C$405=1),0,IF(Paths!$P$405="Complete",SUM(G4387:I4387)-J4387-K4387-L4387+M4387+IF(C4387=0,Paths!$F$405,0)+IF(IF(Paths!$E$405=0,C4387=0,AND(C4387&gt;0,Paths!$E$405&gt;(C4387-1)*12,Paths!$E$405&lt;=C4387*12)),VLOOKUP(A4387,'Fleet register'!$A$7:$S$106,16,FALSE),0),"n.a."))</f>
        <v>0</v>
      </c>
      <c r="O4387" s="16">
        <f>IF(NOT(Paths!$C$405=1),0,IF(Paths!$P$405="Complete",N4387-IF(C4387=0,Paths!$F$405,0),"n.a."))</f>
        <v>0</v>
      </c>
      <c r="P4387" s="16">
        <f>IF(NOT(Paths!$C$405=1),0,IF(Paths!$P$405="Complete",O4387+L4387,"n.a."))</f>
        <v>0</v>
      </c>
      <c r="Q4387" s="16">
        <f>IF(NOT(Paths!$C$405=1),0,IF(Paths!$P$405="Complete",N4387*(1+'Operating costs'!$B$54)^-C4387,"n.a."))</f>
        <v>0</v>
      </c>
      <c r="R4387" s="16">
        <f>IF(NOT(Paths!$C$405=1),0,IF(Paths!$P$405="Complete",IF(AND(C4387=0,Paths!$E$405=0),I4387-J4387-K4387+VLOOKUP(A4387,'Fleet register'!$A$7:$S$106,15,FALSE)+VLOOKUP(A4387,'Fleet register'!$A$7:$S$106,16,FALSE),0),"n.a."))</f>
        <v>0</v>
      </c>
      <c r="S4387" s="1">
        <f>IF(NOT(Paths!$C$405=1),0,IF(Paths!$P$405="Complete",IF(C4387=0,0,Paths!$S$405*Paths!$R$405),"n.a."))</f>
        <v>0</v>
      </c>
      <c r="T4387" s="1">
        <f>IF(NOT(Paths!$C$405=1),0,IF(Paths!$P$405="Complete",IF(C4387=0,0,VLOOKUP(A4387,'Fleet register'!$A$7:$S$106,9,FALSE)*Paths!$R$405),"n.a."))</f>
        <v>0</v>
      </c>
    </row>
    <row r="4388" spans="1:20" ht="24" customHeight="1">
      <c r="A4388" s="1" t="str">
        <f>Paths!$A$405</f>
        <v>T100</v>
      </c>
      <c r="B4388" s="1">
        <f>Paths!$B$405</f>
        <v>2</v>
      </c>
      <c r="C4388" s="1">
        <v>3</v>
      </c>
      <c r="D4388" s="1">
        <v>405</v>
      </c>
      <c r="E4388" s="1">
        <f>IF(OR(Paths!$C$405=0,C4388=0),0,MAX(0,MIN(C4388*12,Paths!$E$405)-(C4388-1)*12))</f>
        <v>0</v>
      </c>
      <c r="F4388" s="1">
        <f>IF(OR(Paths!$C$405=0,C4388=0),0,12-E4388)</f>
        <v>0</v>
      </c>
      <c r="G4388" s="16">
        <f>IF(NOT(Paths!$C$405=1),0,IF(Paths!$P$405="Complete",E4388/12*(Paths!$J$405*(1+'Operating costs'!$B$51)^MAX(0,C4388-1)+Paths!$K$405*(1+'Operating costs'!$B$53)^MAX(0,C4388-1)),"n.a."))</f>
        <v>0</v>
      </c>
      <c r="H4388" s="16">
        <f>IF(NOT(Paths!$C$405=1),0,IF(Paths!$P$405="Complete",F4388/12*(Paths!$L$405*(1+IF(Paths!$D$405="EV",'Operating costs'!$B$52,'Operating costs'!$B$51))^MAX(0,C4388-1)+Paths!$M$405*(1+'Operating costs'!$B$53)^MAX(0,C4388-1)),"n.a."))</f>
        <v>0</v>
      </c>
      <c r="I4388" s="16">
        <f>IF(NOT(Paths!$C$405=1),0,IF(Paths!$P$405="Complete",IF(IF(Paths!$E$405=0,C4388=0,AND(C4388&gt;0,Paths!$E$405&gt;(C4388-1)*12,Paths!$E$405&lt;=C4388*12)),Paths!$G$405,0),"n.a."))</f>
        <v>0</v>
      </c>
      <c r="J4388" s="16">
        <f>IF(NOT(Paths!$C$405=1),0,IF(Paths!$P$405="Complete",IF(IF(Paths!$E$405=0,C4388=0,AND(C4388&gt;0,Paths!$E$405&gt;(C4388-1)*12,Paths!$E$405&lt;=C4388*12)),Paths!$H$405,0),"n.a."))</f>
        <v>0</v>
      </c>
      <c r="K4388" s="16">
        <f>IF(NOT(Paths!$C$405=1),0,IF(Paths!$P$405="Complete",IF(IF(Paths!$O$405=0,C4388=0,AND(C4388&gt;0,Paths!$O$405&gt;(C4388-1)*12,Paths!$O$405&lt;=C4388*12)),Paths!$N$405,0),"n.a."))</f>
        <v>0</v>
      </c>
      <c r="L4388" s="16">
        <f>IF(NOT(Paths!$C$405=1),0,IF(Paths!$P$405="Complete",IF(C4388=10,Paths!$I$405,0),"n.a."))</f>
        <v>0</v>
      </c>
      <c r="M4388" s="16">
        <f>IF(NOT(Paths!$C$405=1),0,IF(Paths!$P$405="Complete",IF(AND(Paths!$D$405="EV",Paths!$E$405&lt;120,Paths!$E$405+'Operating costs'!$B$65&gt;Paths!$E$405,Paths!$E$405+'Operating costs'!$B$65&lt;=120,IF(Paths!$E$405+'Operating costs'!$B$65=0,C4388=0,AND(C4388&gt;0,Paths!$E$405+'Operating costs'!$B$65&gt;(C4388-1)*12,Paths!$E$405+'Operating costs'!$B$65&lt;=C4388*12))),'Operating costs'!$B$64,0)+IF(AND('Operating costs'!$B$67&gt;0,'Operating costs'!$B$67&lt;=120,OR(Paths!$D$405="ICE",'Operating costs'!$B$67&lt;=Paths!$E$405),IF('Operating costs'!$B$67=0,C4388=0,AND(C4388&gt;0,'Operating costs'!$B$67&gt;(C4388-1)*12,'Operating costs'!$B$67&lt;=C4388*12))),'Operating costs'!$B$66,0),"n.a."))</f>
        <v>0</v>
      </c>
      <c r="N4388" s="16">
        <f>IF(NOT(Paths!$C$405=1),0,IF(Paths!$P$405="Complete",SUM(G4388:I4388)-J4388-K4388-L4388+M4388+IF(C4388=0,Paths!$F$405,0)+IF(IF(Paths!$E$405=0,C4388=0,AND(C4388&gt;0,Paths!$E$405&gt;(C4388-1)*12,Paths!$E$405&lt;=C4388*12)),VLOOKUP(A4388,'Fleet register'!$A$7:$S$106,16,FALSE),0),"n.a."))</f>
        <v>0</v>
      </c>
      <c r="O4388" s="16">
        <f>IF(NOT(Paths!$C$405=1),0,IF(Paths!$P$405="Complete",N4388-IF(C4388=0,Paths!$F$405,0),"n.a."))</f>
        <v>0</v>
      </c>
      <c r="P4388" s="16">
        <f>IF(NOT(Paths!$C$405=1),0,IF(Paths!$P$405="Complete",O4388+L4388,"n.a."))</f>
        <v>0</v>
      </c>
      <c r="Q4388" s="16">
        <f>IF(NOT(Paths!$C$405=1),0,IF(Paths!$P$405="Complete",N4388*(1+'Operating costs'!$B$54)^-C4388,"n.a."))</f>
        <v>0</v>
      </c>
      <c r="R4388" s="16">
        <f>IF(NOT(Paths!$C$405=1),0,IF(Paths!$P$405="Complete",IF(AND(C4388=0,Paths!$E$405=0),I4388-J4388-K4388+VLOOKUP(A4388,'Fleet register'!$A$7:$S$106,15,FALSE)+VLOOKUP(A4388,'Fleet register'!$A$7:$S$106,16,FALSE),0),"n.a."))</f>
        <v>0</v>
      </c>
      <c r="S4388" s="1">
        <f>IF(NOT(Paths!$C$405=1),0,IF(Paths!$P$405="Complete",IF(C4388=0,0,Paths!$S$405*Paths!$R$405),"n.a."))</f>
        <v>0</v>
      </c>
      <c r="T4388" s="1">
        <f>IF(NOT(Paths!$C$405=1),0,IF(Paths!$P$405="Complete",IF(C4388=0,0,VLOOKUP(A4388,'Fleet register'!$A$7:$S$106,9,FALSE)*Paths!$R$405),"n.a."))</f>
        <v>0</v>
      </c>
    </row>
    <row r="4389" spans="1:20" ht="24" customHeight="1">
      <c r="A4389" s="1" t="str">
        <f>Paths!$A$405</f>
        <v>T100</v>
      </c>
      <c r="B4389" s="1">
        <f>Paths!$B$405</f>
        <v>2</v>
      </c>
      <c r="C4389" s="1">
        <v>4</v>
      </c>
      <c r="D4389" s="1">
        <v>405</v>
      </c>
      <c r="E4389" s="1">
        <f>IF(OR(Paths!$C$405=0,C4389=0),0,MAX(0,MIN(C4389*12,Paths!$E$405)-(C4389-1)*12))</f>
        <v>0</v>
      </c>
      <c r="F4389" s="1">
        <f>IF(OR(Paths!$C$405=0,C4389=0),0,12-E4389)</f>
        <v>0</v>
      </c>
      <c r="G4389" s="16">
        <f>IF(NOT(Paths!$C$405=1),0,IF(Paths!$P$405="Complete",E4389/12*(Paths!$J$405*(1+'Operating costs'!$B$51)^MAX(0,C4389-1)+Paths!$K$405*(1+'Operating costs'!$B$53)^MAX(0,C4389-1)),"n.a."))</f>
        <v>0</v>
      </c>
      <c r="H4389" s="16">
        <f>IF(NOT(Paths!$C$405=1),0,IF(Paths!$P$405="Complete",F4389/12*(Paths!$L$405*(1+IF(Paths!$D$405="EV",'Operating costs'!$B$52,'Operating costs'!$B$51))^MAX(0,C4389-1)+Paths!$M$405*(1+'Operating costs'!$B$53)^MAX(0,C4389-1)),"n.a."))</f>
        <v>0</v>
      </c>
      <c r="I4389" s="16">
        <f>IF(NOT(Paths!$C$405=1),0,IF(Paths!$P$405="Complete",IF(IF(Paths!$E$405=0,C4389=0,AND(C4389&gt;0,Paths!$E$405&gt;(C4389-1)*12,Paths!$E$405&lt;=C4389*12)),Paths!$G$405,0),"n.a."))</f>
        <v>0</v>
      </c>
      <c r="J4389" s="16">
        <f>IF(NOT(Paths!$C$405=1),0,IF(Paths!$P$405="Complete",IF(IF(Paths!$E$405=0,C4389=0,AND(C4389&gt;0,Paths!$E$405&gt;(C4389-1)*12,Paths!$E$405&lt;=C4389*12)),Paths!$H$405,0),"n.a."))</f>
        <v>0</v>
      </c>
      <c r="K4389" s="16">
        <f>IF(NOT(Paths!$C$405=1),0,IF(Paths!$P$405="Complete",IF(IF(Paths!$O$405=0,C4389=0,AND(C4389&gt;0,Paths!$O$405&gt;(C4389-1)*12,Paths!$O$405&lt;=C4389*12)),Paths!$N$405,0),"n.a."))</f>
        <v>0</v>
      </c>
      <c r="L4389" s="16">
        <f>IF(NOT(Paths!$C$405=1),0,IF(Paths!$P$405="Complete",IF(C4389=10,Paths!$I$405,0),"n.a."))</f>
        <v>0</v>
      </c>
      <c r="M4389" s="16">
        <f>IF(NOT(Paths!$C$405=1),0,IF(Paths!$P$405="Complete",IF(AND(Paths!$D$405="EV",Paths!$E$405&lt;120,Paths!$E$405+'Operating costs'!$B$65&gt;Paths!$E$405,Paths!$E$405+'Operating costs'!$B$65&lt;=120,IF(Paths!$E$405+'Operating costs'!$B$65=0,C4389=0,AND(C4389&gt;0,Paths!$E$405+'Operating costs'!$B$65&gt;(C4389-1)*12,Paths!$E$405+'Operating costs'!$B$65&lt;=C4389*12))),'Operating costs'!$B$64,0)+IF(AND('Operating costs'!$B$67&gt;0,'Operating costs'!$B$67&lt;=120,OR(Paths!$D$405="ICE",'Operating costs'!$B$67&lt;=Paths!$E$405),IF('Operating costs'!$B$67=0,C4389=0,AND(C4389&gt;0,'Operating costs'!$B$67&gt;(C4389-1)*12,'Operating costs'!$B$67&lt;=C4389*12))),'Operating costs'!$B$66,0),"n.a."))</f>
        <v>0</v>
      </c>
      <c r="N4389" s="16">
        <f>IF(NOT(Paths!$C$405=1),0,IF(Paths!$P$405="Complete",SUM(G4389:I4389)-J4389-K4389-L4389+M4389+IF(C4389=0,Paths!$F$405,0)+IF(IF(Paths!$E$405=0,C4389=0,AND(C4389&gt;0,Paths!$E$405&gt;(C4389-1)*12,Paths!$E$405&lt;=C4389*12)),VLOOKUP(A4389,'Fleet register'!$A$7:$S$106,16,FALSE),0),"n.a."))</f>
        <v>0</v>
      </c>
      <c r="O4389" s="16">
        <f>IF(NOT(Paths!$C$405=1),0,IF(Paths!$P$405="Complete",N4389-IF(C4389=0,Paths!$F$405,0),"n.a."))</f>
        <v>0</v>
      </c>
      <c r="P4389" s="16">
        <f>IF(NOT(Paths!$C$405=1),0,IF(Paths!$P$405="Complete",O4389+L4389,"n.a."))</f>
        <v>0</v>
      </c>
      <c r="Q4389" s="16">
        <f>IF(NOT(Paths!$C$405=1),0,IF(Paths!$P$405="Complete",N4389*(1+'Operating costs'!$B$54)^-C4389,"n.a."))</f>
        <v>0</v>
      </c>
      <c r="R4389" s="16">
        <f>IF(NOT(Paths!$C$405=1),0,IF(Paths!$P$405="Complete",IF(AND(C4389=0,Paths!$E$405=0),I4389-J4389-K4389+VLOOKUP(A4389,'Fleet register'!$A$7:$S$106,15,FALSE)+VLOOKUP(A4389,'Fleet register'!$A$7:$S$106,16,FALSE),0),"n.a."))</f>
        <v>0</v>
      </c>
      <c r="S4389" s="1">
        <f>IF(NOT(Paths!$C$405=1),0,IF(Paths!$P$405="Complete",IF(C4389=0,0,Paths!$S$405*Paths!$R$405),"n.a."))</f>
        <v>0</v>
      </c>
      <c r="T4389" s="1">
        <f>IF(NOT(Paths!$C$405=1),0,IF(Paths!$P$405="Complete",IF(C4389=0,0,VLOOKUP(A4389,'Fleet register'!$A$7:$S$106,9,FALSE)*Paths!$R$405),"n.a."))</f>
        <v>0</v>
      </c>
    </row>
    <row r="4390" spans="1:20" ht="24" customHeight="1">
      <c r="A4390" s="1" t="str">
        <f>Paths!$A$405</f>
        <v>T100</v>
      </c>
      <c r="B4390" s="1">
        <f>Paths!$B$405</f>
        <v>2</v>
      </c>
      <c r="C4390" s="1">
        <v>5</v>
      </c>
      <c r="D4390" s="1">
        <v>405</v>
      </c>
      <c r="E4390" s="1">
        <f>IF(OR(Paths!$C$405=0,C4390=0),0,MAX(0,MIN(C4390*12,Paths!$E$405)-(C4390-1)*12))</f>
        <v>0</v>
      </c>
      <c r="F4390" s="1">
        <f>IF(OR(Paths!$C$405=0,C4390=0),0,12-E4390)</f>
        <v>0</v>
      </c>
      <c r="G4390" s="16">
        <f>IF(NOT(Paths!$C$405=1),0,IF(Paths!$P$405="Complete",E4390/12*(Paths!$J$405*(1+'Operating costs'!$B$51)^MAX(0,C4390-1)+Paths!$K$405*(1+'Operating costs'!$B$53)^MAX(0,C4390-1)),"n.a."))</f>
        <v>0</v>
      </c>
      <c r="H4390" s="16">
        <f>IF(NOT(Paths!$C$405=1),0,IF(Paths!$P$405="Complete",F4390/12*(Paths!$L$405*(1+IF(Paths!$D$405="EV",'Operating costs'!$B$52,'Operating costs'!$B$51))^MAX(0,C4390-1)+Paths!$M$405*(1+'Operating costs'!$B$53)^MAX(0,C4390-1)),"n.a."))</f>
        <v>0</v>
      </c>
      <c r="I4390" s="16">
        <f>IF(NOT(Paths!$C$405=1),0,IF(Paths!$P$405="Complete",IF(IF(Paths!$E$405=0,C4390=0,AND(C4390&gt;0,Paths!$E$405&gt;(C4390-1)*12,Paths!$E$405&lt;=C4390*12)),Paths!$G$405,0),"n.a."))</f>
        <v>0</v>
      </c>
      <c r="J4390" s="16">
        <f>IF(NOT(Paths!$C$405=1),0,IF(Paths!$P$405="Complete",IF(IF(Paths!$E$405=0,C4390=0,AND(C4390&gt;0,Paths!$E$405&gt;(C4390-1)*12,Paths!$E$405&lt;=C4390*12)),Paths!$H$405,0),"n.a."))</f>
        <v>0</v>
      </c>
      <c r="K4390" s="16">
        <f>IF(NOT(Paths!$C$405=1),0,IF(Paths!$P$405="Complete",IF(IF(Paths!$O$405=0,C4390=0,AND(C4390&gt;0,Paths!$O$405&gt;(C4390-1)*12,Paths!$O$405&lt;=C4390*12)),Paths!$N$405,0),"n.a."))</f>
        <v>0</v>
      </c>
      <c r="L4390" s="16">
        <f>IF(NOT(Paths!$C$405=1),0,IF(Paths!$P$405="Complete",IF(C4390=10,Paths!$I$405,0),"n.a."))</f>
        <v>0</v>
      </c>
      <c r="M4390" s="16">
        <f>IF(NOT(Paths!$C$405=1),0,IF(Paths!$P$405="Complete",IF(AND(Paths!$D$405="EV",Paths!$E$405&lt;120,Paths!$E$405+'Operating costs'!$B$65&gt;Paths!$E$405,Paths!$E$405+'Operating costs'!$B$65&lt;=120,IF(Paths!$E$405+'Operating costs'!$B$65=0,C4390=0,AND(C4390&gt;0,Paths!$E$405+'Operating costs'!$B$65&gt;(C4390-1)*12,Paths!$E$405+'Operating costs'!$B$65&lt;=C4390*12))),'Operating costs'!$B$64,0)+IF(AND('Operating costs'!$B$67&gt;0,'Operating costs'!$B$67&lt;=120,OR(Paths!$D$405="ICE",'Operating costs'!$B$67&lt;=Paths!$E$405),IF('Operating costs'!$B$67=0,C4390=0,AND(C4390&gt;0,'Operating costs'!$B$67&gt;(C4390-1)*12,'Operating costs'!$B$67&lt;=C4390*12))),'Operating costs'!$B$66,0),"n.a."))</f>
        <v>0</v>
      </c>
      <c r="N4390" s="16">
        <f>IF(NOT(Paths!$C$405=1),0,IF(Paths!$P$405="Complete",SUM(G4390:I4390)-J4390-K4390-L4390+M4390+IF(C4390=0,Paths!$F$405,0)+IF(IF(Paths!$E$405=0,C4390=0,AND(C4390&gt;0,Paths!$E$405&gt;(C4390-1)*12,Paths!$E$405&lt;=C4390*12)),VLOOKUP(A4390,'Fleet register'!$A$7:$S$106,16,FALSE),0),"n.a."))</f>
        <v>0</v>
      </c>
      <c r="O4390" s="16">
        <f>IF(NOT(Paths!$C$405=1),0,IF(Paths!$P$405="Complete",N4390-IF(C4390=0,Paths!$F$405,0),"n.a."))</f>
        <v>0</v>
      </c>
      <c r="P4390" s="16">
        <f>IF(NOT(Paths!$C$405=1),0,IF(Paths!$P$405="Complete",O4390+L4390,"n.a."))</f>
        <v>0</v>
      </c>
      <c r="Q4390" s="16">
        <f>IF(NOT(Paths!$C$405=1),0,IF(Paths!$P$405="Complete",N4390*(1+'Operating costs'!$B$54)^-C4390,"n.a."))</f>
        <v>0</v>
      </c>
      <c r="R4390" s="16">
        <f>IF(NOT(Paths!$C$405=1),0,IF(Paths!$P$405="Complete",IF(AND(C4390=0,Paths!$E$405=0),I4390-J4390-K4390+VLOOKUP(A4390,'Fleet register'!$A$7:$S$106,15,FALSE)+VLOOKUP(A4390,'Fleet register'!$A$7:$S$106,16,FALSE),0),"n.a."))</f>
        <v>0</v>
      </c>
      <c r="S4390" s="1">
        <f>IF(NOT(Paths!$C$405=1),0,IF(Paths!$P$405="Complete",IF(C4390=0,0,Paths!$S$405*Paths!$R$405),"n.a."))</f>
        <v>0</v>
      </c>
      <c r="T4390" s="1">
        <f>IF(NOT(Paths!$C$405=1),0,IF(Paths!$P$405="Complete",IF(C4390=0,0,VLOOKUP(A4390,'Fleet register'!$A$7:$S$106,9,FALSE)*Paths!$R$405),"n.a."))</f>
        <v>0</v>
      </c>
    </row>
    <row r="4391" spans="1:20" ht="24" customHeight="1">
      <c r="A4391" s="1" t="str">
        <f>Paths!$A$405</f>
        <v>T100</v>
      </c>
      <c r="B4391" s="1">
        <f>Paths!$B$405</f>
        <v>2</v>
      </c>
      <c r="C4391" s="1">
        <v>6</v>
      </c>
      <c r="D4391" s="1">
        <v>405</v>
      </c>
      <c r="E4391" s="1">
        <f>IF(OR(Paths!$C$405=0,C4391=0),0,MAX(0,MIN(C4391*12,Paths!$E$405)-(C4391-1)*12))</f>
        <v>0</v>
      </c>
      <c r="F4391" s="1">
        <f>IF(OR(Paths!$C$405=0,C4391=0),0,12-E4391)</f>
        <v>0</v>
      </c>
      <c r="G4391" s="16">
        <f>IF(NOT(Paths!$C$405=1),0,IF(Paths!$P$405="Complete",E4391/12*(Paths!$J$405*(1+'Operating costs'!$B$51)^MAX(0,C4391-1)+Paths!$K$405*(1+'Operating costs'!$B$53)^MAX(0,C4391-1)),"n.a."))</f>
        <v>0</v>
      </c>
      <c r="H4391" s="16">
        <f>IF(NOT(Paths!$C$405=1),0,IF(Paths!$P$405="Complete",F4391/12*(Paths!$L$405*(1+IF(Paths!$D$405="EV",'Operating costs'!$B$52,'Operating costs'!$B$51))^MAX(0,C4391-1)+Paths!$M$405*(1+'Operating costs'!$B$53)^MAX(0,C4391-1)),"n.a."))</f>
        <v>0</v>
      </c>
      <c r="I4391" s="16">
        <f>IF(NOT(Paths!$C$405=1),0,IF(Paths!$P$405="Complete",IF(IF(Paths!$E$405=0,C4391=0,AND(C4391&gt;0,Paths!$E$405&gt;(C4391-1)*12,Paths!$E$405&lt;=C4391*12)),Paths!$G$405,0),"n.a."))</f>
        <v>0</v>
      </c>
      <c r="J4391" s="16">
        <f>IF(NOT(Paths!$C$405=1),0,IF(Paths!$P$405="Complete",IF(IF(Paths!$E$405=0,C4391=0,AND(C4391&gt;0,Paths!$E$405&gt;(C4391-1)*12,Paths!$E$405&lt;=C4391*12)),Paths!$H$405,0),"n.a."))</f>
        <v>0</v>
      </c>
      <c r="K4391" s="16">
        <f>IF(NOT(Paths!$C$405=1),0,IF(Paths!$P$405="Complete",IF(IF(Paths!$O$405=0,C4391=0,AND(C4391&gt;0,Paths!$O$405&gt;(C4391-1)*12,Paths!$O$405&lt;=C4391*12)),Paths!$N$405,0),"n.a."))</f>
        <v>0</v>
      </c>
      <c r="L4391" s="16">
        <f>IF(NOT(Paths!$C$405=1),0,IF(Paths!$P$405="Complete",IF(C4391=10,Paths!$I$405,0),"n.a."))</f>
        <v>0</v>
      </c>
      <c r="M4391" s="16">
        <f>IF(NOT(Paths!$C$405=1),0,IF(Paths!$P$405="Complete",IF(AND(Paths!$D$405="EV",Paths!$E$405&lt;120,Paths!$E$405+'Operating costs'!$B$65&gt;Paths!$E$405,Paths!$E$405+'Operating costs'!$B$65&lt;=120,IF(Paths!$E$405+'Operating costs'!$B$65=0,C4391=0,AND(C4391&gt;0,Paths!$E$405+'Operating costs'!$B$65&gt;(C4391-1)*12,Paths!$E$405+'Operating costs'!$B$65&lt;=C4391*12))),'Operating costs'!$B$64,0)+IF(AND('Operating costs'!$B$67&gt;0,'Operating costs'!$B$67&lt;=120,OR(Paths!$D$405="ICE",'Operating costs'!$B$67&lt;=Paths!$E$405),IF('Operating costs'!$B$67=0,C4391=0,AND(C4391&gt;0,'Operating costs'!$B$67&gt;(C4391-1)*12,'Operating costs'!$B$67&lt;=C4391*12))),'Operating costs'!$B$66,0),"n.a."))</f>
        <v>0</v>
      </c>
      <c r="N4391" s="16">
        <f>IF(NOT(Paths!$C$405=1),0,IF(Paths!$P$405="Complete",SUM(G4391:I4391)-J4391-K4391-L4391+M4391+IF(C4391=0,Paths!$F$405,0)+IF(IF(Paths!$E$405=0,C4391=0,AND(C4391&gt;0,Paths!$E$405&gt;(C4391-1)*12,Paths!$E$405&lt;=C4391*12)),VLOOKUP(A4391,'Fleet register'!$A$7:$S$106,16,FALSE),0),"n.a."))</f>
        <v>0</v>
      </c>
      <c r="O4391" s="16">
        <f>IF(NOT(Paths!$C$405=1),0,IF(Paths!$P$405="Complete",N4391-IF(C4391=0,Paths!$F$405,0),"n.a."))</f>
        <v>0</v>
      </c>
      <c r="P4391" s="16">
        <f>IF(NOT(Paths!$C$405=1),0,IF(Paths!$P$405="Complete",O4391+L4391,"n.a."))</f>
        <v>0</v>
      </c>
      <c r="Q4391" s="16">
        <f>IF(NOT(Paths!$C$405=1),0,IF(Paths!$P$405="Complete",N4391*(1+'Operating costs'!$B$54)^-C4391,"n.a."))</f>
        <v>0</v>
      </c>
      <c r="R4391" s="16">
        <f>IF(NOT(Paths!$C$405=1),0,IF(Paths!$P$405="Complete",IF(AND(C4391=0,Paths!$E$405=0),I4391-J4391-K4391+VLOOKUP(A4391,'Fleet register'!$A$7:$S$106,15,FALSE)+VLOOKUP(A4391,'Fleet register'!$A$7:$S$106,16,FALSE),0),"n.a."))</f>
        <v>0</v>
      </c>
      <c r="S4391" s="1">
        <f>IF(NOT(Paths!$C$405=1),0,IF(Paths!$P$405="Complete",IF(C4391=0,0,Paths!$S$405*Paths!$R$405),"n.a."))</f>
        <v>0</v>
      </c>
      <c r="T4391" s="1">
        <f>IF(NOT(Paths!$C$405=1),0,IF(Paths!$P$405="Complete",IF(C4391=0,0,VLOOKUP(A4391,'Fleet register'!$A$7:$S$106,9,FALSE)*Paths!$R$405),"n.a."))</f>
        <v>0</v>
      </c>
    </row>
    <row r="4392" spans="1:20" ht="24" customHeight="1">
      <c r="A4392" s="1" t="str">
        <f>Paths!$A$405</f>
        <v>T100</v>
      </c>
      <c r="B4392" s="1">
        <f>Paths!$B$405</f>
        <v>2</v>
      </c>
      <c r="C4392" s="1">
        <v>7</v>
      </c>
      <c r="D4392" s="1">
        <v>405</v>
      </c>
      <c r="E4392" s="1">
        <f>IF(OR(Paths!$C$405=0,C4392=0),0,MAX(0,MIN(C4392*12,Paths!$E$405)-(C4392-1)*12))</f>
        <v>0</v>
      </c>
      <c r="F4392" s="1">
        <f>IF(OR(Paths!$C$405=0,C4392=0),0,12-E4392)</f>
        <v>0</v>
      </c>
      <c r="G4392" s="16">
        <f>IF(NOT(Paths!$C$405=1),0,IF(Paths!$P$405="Complete",E4392/12*(Paths!$J$405*(1+'Operating costs'!$B$51)^MAX(0,C4392-1)+Paths!$K$405*(1+'Operating costs'!$B$53)^MAX(0,C4392-1)),"n.a."))</f>
        <v>0</v>
      </c>
      <c r="H4392" s="16">
        <f>IF(NOT(Paths!$C$405=1),0,IF(Paths!$P$405="Complete",F4392/12*(Paths!$L$405*(1+IF(Paths!$D$405="EV",'Operating costs'!$B$52,'Operating costs'!$B$51))^MAX(0,C4392-1)+Paths!$M$405*(1+'Operating costs'!$B$53)^MAX(0,C4392-1)),"n.a."))</f>
        <v>0</v>
      </c>
      <c r="I4392" s="16">
        <f>IF(NOT(Paths!$C$405=1),0,IF(Paths!$P$405="Complete",IF(IF(Paths!$E$405=0,C4392=0,AND(C4392&gt;0,Paths!$E$405&gt;(C4392-1)*12,Paths!$E$405&lt;=C4392*12)),Paths!$G$405,0),"n.a."))</f>
        <v>0</v>
      </c>
      <c r="J4392" s="16">
        <f>IF(NOT(Paths!$C$405=1),0,IF(Paths!$P$405="Complete",IF(IF(Paths!$E$405=0,C4392=0,AND(C4392&gt;0,Paths!$E$405&gt;(C4392-1)*12,Paths!$E$405&lt;=C4392*12)),Paths!$H$405,0),"n.a."))</f>
        <v>0</v>
      </c>
      <c r="K4392" s="16">
        <f>IF(NOT(Paths!$C$405=1),0,IF(Paths!$P$405="Complete",IF(IF(Paths!$O$405=0,C4392=0,AND(C4392&gt;0,Paths!$O$405&gt;(C4392-1)*12,Paths!$O$405&lt;=C4392*12)),Paths!$N$405,0),"n.a."))</f>
        <v>0</v>
      </c>
      <c r="L4392" s="16">
        <f>IF(NOT(Paths!$C$405=1),0,IF(Paths!$P$405="Complete",IF(C4392=10,Paths!$I$405,0),"n.a."))</f>
        <v>0</v>
      </c>
      <c r="M4392" s="16">
        <f>IF(NOT(Paths!$C$405=1),0,IF(Paths!$P$405="Complete",IF(AND(Paths!$D$405="EV",Paths!$E$405&lt;120,Paths!$E$405+'Operating costs'!$B$65&gt;Paths!$E$405,Paths!$E$405+'Operating costs'!$B$65&lt;=120,IF(Paths!$E$405+'Operating costs'!$B$65=0,C4392=0,AND(C4392&gt;0,Paths!$E$405+'Operating costs'!$B$65&gt;(C4392-1)*12,Paths!$E$405+'Operating costs'!$B$65&lt;=C4392*12))),'Operating costs'!$B$64,0)+IF(AND('Operating costs'!$B$67&gt;0,'Operating costs'!$B$67&lt;=120,OR(Paths!$D$405="ICE",'Operating costs'!$B$67&lt;=Paths!$E$405),IF('Operating costs'!$B$67=0,C4392=0,AND(C4392&gt;0,'Operating costs'!$B$67&gt;(C4392-1)*12,'Operating costs'!$B$67&lt;=C4392*12))),'Operating costs'!$B$66,0),"n.a."))</f>
        <v>0</v>
      </c>
      <c r="N4392" s="16">
        <f>IF(NOT(Paths!$C$405=1),0,IF(Paths!$P$405="Complete",SUM(G4392:I4392)-J4392-K4392-L4392+M4392+IF(C4392=0,Paths!$F$405,0)+IF(IF(Paths!$E$405=0,C4392=0,AND(C4392&gt;0,Paths!$E$405&gt;(C4392-1)*12,Paths!$E$405&lt;=C4392*12)),VLOOKUP(A4392,'Fleet register'!$A$7:$S$106,16,FALSE),0),"n.a."))</f>
        <v>0</v>
      </c>
      <c r="O4392" s="16">
        <f>IF(NOT(Paths!$C$405=1),0,IF(Paths!$P$405="Complete",N4392-IF(C4392=0,Paths!$F$405,0),"n.a."))</f>
        <v>0</v>
      </c>
      <c r="P4392" s="16">
        <f>IF(NOT(Paths!$C$405=1),0,IF(Paths!$P$405="Complete",O4392+L4392,"n.a."))</f>
        <v>0</v>
      </c>
      <c r="Q4392" s="16">
        <f>IF(NOT(Paths!$C$405=1),0,IF(Paths!$P$405="Complete",N4392*(1+'Operating costs'!$B$54)^-C4392,"n.a."))</f>
        <v>0</v>
      </c>
      <c r="R4392" s="16">
        <f>IF(NOT(Paths!$C$405=1),0,IF(Paths!$P$405="Complete",IF(AND(C4392=0,Paths!$E$405=0),I4392-J4392-K4392+VLOOKUP(A4392,'Fleet register'!$A$7:$S$106,15,FALSE)+VLOOKUP(A4392,'Fleet register'!$A$7:$S$106,16,FALSE),0),"n.a."))</f>
        <v>0</v>
      </c>
      <c r="S4392" s="1">
        <f>IF(NOT(Paths!$C$405=1),0,IF(Paths!$P$405="Complete",IF(C4392=0,0,Paths!$S$405*Paths!$R$405),"n.a."))</f>
        <v>0</v>
      </c>
      <c r="T4392" s="1">
        <f>IF(NOT(Paths!$C$405=1),0,IF(Paths!$P$405="Complete",IF(C4392=0,0,VLOOKUP(A4392,'Fleet register'!$A$7:$S$106,9,FALSE)*Paths!$R$405),"n.a."))</f>
        <v>0</v>
      </c>
    </row>
    <row r="4393" spans="1:20" ht="24" customHeight="1">
      <c r="A4393" s="1" t="str">
        <f>Paths!$A$405</f>
        <v>T100</v>
      </c>
      <c r="B4393" s="1">
        <f>Paths!$B$405</f>
        <v>2</v>
      </c>
      <c r="C4393" s="1">
        <v>8</v>
      </c>
      <c r="D4393" s="1">
        <v>405</v>
      </c>
      <c r="E4393" s="1">
        <f>IF(OR(Paths!$C$405=0,C4393=0),0,MAX(0,MIN(C4393*12,Paths!$E$405)-(C4393-1)*12))</f>
        <v>0</v>
      </c>
      <c r="F4393" s="1">
        <f>IF(OR(Paths!$C$405=0,C4393=0),0,12-E4393)</f>
        <v>0</v>
      </c>
      <c r="G4393" s="16">
        <f>IF(NOT(Paths!$C$405=1),0,IF(Paths!$P$405="Complete",E4393/12*(Paths!$J$405*(1+'Operating costs'!$B$51)^MAX(0,C4393-1)+Paths!$K$405*(1+'Operating costs'!$B$53)^MAX(0,C4393-1)),"n.a."))</f>
        <v>0</v>
      </c>
      <c r="H4393" s="16">
        <f>IF(NOT(Paths!$C$405=1),0,IF(Paths!$P$405="Complete",F4393/12*(Paths!$L$405*(1+IF(Paths!$D$405="EV",'Operating costs'!$B$52,'Operating costs'!$B$51))^MAX(0,C4393-1)+Paths!$M$405*(1+'Operating costs'!$B$53)^MAX(0,C4393-1)),"n.a."))</f>
        <v>0</v>
      </c>
      <c r="I4393" s="16">
        <f>IF(NOT(Paths!$C$405=1),0,IF(Paths!$P$405="Complete",IF(IF(Paths!$E$405=0,C4393=0,AND(C4393&gt;0,Paths!$E$405&gt;(C4393-1)*12,Paths!$E$405&lt;=C4393*12)),Paths!$G$405,0),"n.a."))</f>
        <v>0</v>
      </c>
      <c r="J4393" s="16">
        <f>IF(NOT(Paths!$C$405=1),0,IF(Paths!$P$405="Complete",IF(IF(Paths!$E$405=0,C4393=0,AND(C4393&gt;0,Paths!$E$405&gt;(C4393-1)*12,Paths!$E$405&lt;=C4393*12)),Paths!$H$405,0),"n.a."))</f>
        <v>0</v>
      </c>
      <c r="K4393" s="16">
        <f>IF(NOT(Paths!$C$405=1),0,IF(Paths!$P$405="Complete",IF(IF(Paths!$O$405=0,C4393=0,AND(C4393&gt;0,Paths!$O$405&gt;(C4393-1)*12,Paths!$O$405&lt;=C4393*12)),Paths!$N$405,0),"n.a."))</f>
        <v>0</v>
      </c>
      <c r="L4393" s="16">
        <f>IF(NOT(Paths!$C$405=1),0,IF(Paths!$P$405="Complete",IF(C4393=10,Paths!$I$405,0),"n.a."))</f>
        <v>0</v>
      </c>
      <c r="M4393" s="16">
        <f>IF(NOT(Paths!$C$405=1),0,IF(Paths!$P$405="Complete",IF(AND(Paths!$D$405="EV",Paths!$E$405&lt;120,Paths!$E$405+'Operating costs'!$B$65&gt;Paths!$E$405,Paths!$E$405+'Operating costs'!$B$65&lt;=120,IF(Paths!$E$405+'Operating costs'!$B$65=0,C4393=0,AND(C4393&gt;0,Paths!$E$405+'Operating costs'!$B$65&gt;(C4393-1)*12,Paths!$E$405+'Operating costs'!$B$65&lt;=C4393*12))),'Operating costs'!$B$64,0)+IF(AND('Operating costs'!$B$67&gt;0,'Operating costs'!$B$67&lt;=120,OR(Paths!$D$405="ICE",'Operating costs'!$B$67&lt;=Paths!$E$405),IF('Operating costs'!$B$67=0,C4393=0,AND(C4393&gt;0,'Operating costs'!$B$67&gt;(C4393-1)*12,'Operating costs'!$B$67&lt;=C4393*12))),'Operating costs'!$B$66,0),"n.a."))</f>
        <v>0</v>
      </c>
      <c r="N4393" s="16">
        <f>IF(NOT(Paths!$C$405=1),0,IF(Paths!$P$405="Complete",SUM(G4393:I4393)-J4393-K4393-L4393+M4393+IF(C4393=0,Paths!$F$405,0)+IF(IF(Paths!$E$405=0,C4393=0,AND(C4393&gt;0,Paths!$E$405&gt;(C4393-1)*12,Paths!$E$405&lt;=C4393*12)),VLOOKUP(A4393,'Fleet register'!$A$7:$S$106,16,FALSE),0),"n.a."))</f>
        <v>0</v>
      </c>
      <c r="O4393" s="16">
        <f>IF(NOT(Paths!$C$405=1),0,IF(Paths!$P$405="Complete",N4393-IF(C4393=0,Paths!$F$405,0),"n.a."))</f>
        <v>0</v>
      </c>
      <c r="P4393" s="16">
        <f>IF(NOT(Paths!$C$405=1),0,IF(Paths!$P$405="Complete",O4393+L4393,"n.a."))</f>
        <v>0</v>
      </c>
      <c r="Q4393" s="16">
        <f>IF(NOT(Paths!$C$405=1),0,IF(Paths!$P$405="Complete",N4393*(1+'Operating costs'!$B$54)^-C4393,"n.a."))</f>
        <v>0</v>
      </c>
      <c r="R4393" s="16">
        <f>IF(NOT(Paths!$C$405=1),0,IF(Paths!$P$405="Complete",IF(AND(C4393=0,Paths!$E$405=0),I4393-J4393-K4393+VLOOKUP(A4393,'Fleet register'!$A$7:$S$106,15,FALSE)+VLOOKUP(A4393,'Fleet register'!$A$7:$S$106,16,FALSE),0),"n.a."))</f>
        <v>0</v>
      </c>
      <c r="S4393" s="1">
        <f>IF(NOT(Paths!$C$405=1),0,IF(Paths!$P$405="Complete",IF(C4393=0,0,Paths!$S$405*Paths!$R$405),"n.a."))</f>
        <v>0</v>
      </c>
      <c r="T4393" s="1">
        <f>IF(NOT(Paths!$C$405=1),0,IF(Paths!$P$405="Complete",IF(C4393=0,0,VLOOKUP(A4393,'Fleet register'!$A$7:$S$106,9,FALSE)*Paths!$R$405),"n.a."))</f>
        <v>0</v>
      </c>
    </row>
    <row r="4394" spans="1:20" ht="24" customHeight="1">
      <c r="A4394" s="1" t="str">
        <f>Paths!$A$405</f>
        <v>T100</v>
      </c>
      <c r="B4394" s="1">
        <f>Paths!$B$405</f>
        <v>2</v>
      </c>
      <c r="C4394" s="1">
        <v>9</v>
      </c>
      <c r="D4394" s="1">
        <v>405</v>
      </c>
      <c r="E4394" s="1">
        <f>IF(OR(Paths!$C$405=0,C4394=0),0,MAX(0,MIN(C4394*12,Paths!$E$405)-(C4394-1)*12))</f>
        <v>0</v>
      </c>
      <c r="F4394" s="1">
        <f>IF(OR(Paths!$C$405=0,C4394=0),0,12-E4394)</f>
        <v>0</v>
      </c>
      <c r="G4394" s="16">
        <f>IF(NOT(Paths!$C$405=1),0,IF(Paths!$P$405="Complete",E4394/12*(Paths!$J$405*(1+'Operating costs'!$B$51)^MAX(0,C4394-1)+Paths!$K$405*(1+'Operating costs'!$B$53)^MAX(0,C4394-1)),"n.a."))</f>
        <v>0</v>
      </c>
      <c r="H4394" s="16">
        <f>IF(NOT(Paths!$C$405=1),0,IF(Paths!$P$405="Complete",F4394/12*(Paths!$L$405*(1+IF(Paths!$D$405="EV",'Operating costs'!$B$52,'Operating costs'!$B$51))^MAX(0,C4394-1)+Paths!$M$405*(1+'Operating costs'!$B$53)^MAX(0,C4394-1)),"n.a."))</f>
        <v>0</v>
      </c>
      <c r="I4394" s="16">
        <f>IF(NOT(Paths!$C$405=1),0,IF(Paths!$P$405="Complete",IF(IF(Paths!$E$405=0,C4394=0,AND(C4394&gt;0,Paths!$E$405&gt;(C4394-1)*12,Paths!$E$405&lt;=C4394*12)),Paths!$G$405,0),"n.a."))</f>
        <v>0</v>
      </c>
      <c r="J4394" s="16">
        <f>IF(NOT(Paths!$C$405=1),0,IF(Paths!$P$405="Complete",IF(IF(Paths!$E$405=0,C4394=0,AND(C4394&gt;0,Paths!$E$405&gt;(C4394-1)*12,Paths!$E$405&lt;=C4394*12)),Paths!$H$405,0),"n.a."))</f>
        <v>0</v>
      </c>
      <c r="K4394" s="16">
        <f>IF(NOT(Paths!$C$405=1),0,IF(Paths!$P$405="Complete",IF(IF(Paths!$O$405=0,C4394=0,AND(C4394&gt;0,Paths!$O$405&gt;(C4394-1)*12,Paths!$O$405&lt;=C4394*12)),Paths!$N$405,0),"n.a."))</f>
        <v>0</v>
      </c>
      <c r="L4394" s="16">
        <f>IF(NOT(Paths!$C$405=1),0,IF(Paths!$P$405="Complete",IF(C4394=10,Paths!$I$405,0),"n.a."))</f>
        <v>0</v>
      </c>
      <c r="M4394" s="16">
        <f>IF(NOT(Paths!$C$405=1),0,IF(Paths!$P$405="Complete",IF(AND(Paths!$D$405="EV",Paths!$E$405&lt;120,Paths!$E$405+'Operating costs'!$B$65&gt;Paths!$E$405,Paths!$E$405+'Operating costs'!$B$65&lt;=120,IF(Paths!$E$405+'Operating costs'!$B$65=0,C4394=0,AND(C4394&gt;0,Paths!$E$405+'Operating costs'!$B$65&gt;(C4394-1)*12,Paths!$E$405+'Operating costs'!$B$65&lt;=C4394*12))),'Operating costs'!$B$64,0)+IF(AND('Operating costs'!$B$67&gt;0,'Operating costs'!$B$67&lt;=120,OR(Paths!$D$405="ICE",'Operating costs'!$B$67&lt;=Paths!$E$405),IF('Operating costs'!$B$67=0,C4394=0,AND(C4394&gt;0,'Operating costs'!$B$67&gt;(C4394-1)*12,'Operating costs'!$B$67&lt;=C4394*12))),'Operating costs'!$B$66,0),"n.a."))</f>
        <v>0</v>
      </c>
      <c r="N4394" s="16">
        <f>IF(NOT(Paths!$C$405=1),0,IF(Paths!$P$405="Complete",SUM(G4394:I4394)-J4394-K4394-L4394+M4394+IF(C4394=0,Paths!$F$405,0)+IF(IF(Paths!$E$405=0,C4394=0,AND(C4394&gt;0,Paths!$E$405&gt;(C4394-1)*12,Paths!$E$405&lt;=C4394*12)),VLOOKUP(A4394,'Fleet register'!$A$7:$S$106,16,FALSE),0),"n.a."))</f>
        <v>0</v>
      </c>
      <c r="O4394" s="16">
        <f>IF(NOT(Paths!$C$405=1),0,IF(Paths!$P$405="Complete",N4394-IF(C4394=0,Paths!$F$405,0),"n.a."))</f>
        <v>0</v>
      </c>
      <c r="P4394" s="16">
        <f>IF(NOT(Paths!$C$405=1),0,IF(Paths!$P$405="Complete",O4394+L4394,"n.a."))</f>
        <v>0</v>
      </c>
      <c r="Q4394" s="16">
        <f>IF(NOT(Paths!$C$405=1),0,IF(Paths!$P$405="Complete",N4394*(1+'Operating costs'!$B$54)^-C4394,"n.a."))</f>
        <v>0</v>
      </c>
      <c r="R4394" s="16">
        <f>IF(NOT(Paths!$C$405=1),0,IF(Paths!$P$405="Complete",IF(AND(C4394=0,Paths!$E$405=0),I4394-J4394-K4394+VLOOKUP(A4394,'Fleet register'!$A$7:$S$106,15,FALSE)+VLOOKUP(A4394,'Fleet register'!$A$7:$S$106,16,FALSE),0),"n.a."))</f>
        <v>0</v>
      </c>
      <c r="S4394" s="1">
        <f>IF(NOT(Paths!$C$405=1),0,IF(Paths!$P$405="Complete",IF(C4394=0,0,Paths!$S$405*Paths!$R$405),"n.a."))</f>
        <v>0</v>
      </c>
      <c r="T4394" s="1">
        <f>IF(NOT(Paths!$C$405=1),0,IF(Paths!$P$405="Complete",IF(C4394=0,0,VLOOKUP(A4394,'Fleet register'!$A$7:$S$106,9,FALSE)*Paths!$R$405),"n.a."))</f>
        <v>0</v>
      </c>
    </row>
    <row r="4395" spans="1:20" ht="24" customHeight="1">
      <c r="A4395" s="1" t="str">
        <f>Paths!$A$405</f>
        <v>T100</v>
      </c>
      <c r="B4395" s="1">
        <f>Paths!$B$405</f>
        <v>2</v>
      </c>
      <c r="C4395" s="1">
        <v>10</v>
      </c>
      <c r="D4395" s="1">
        <v>405</v>
      </c>
      <c r="E4395" s="1">
        <f>IF(OR(Paths!$C$405=0,C4395=0),0,MAX(0,MIN(C4395*12,Paths!$E$405)-(C4395-1)*12))</f>
        <v>0</v>
      </c>
      <c r="F4395" s="1">
        <f>IF(OR(Paths!$C$405=0,C4395=0),0,12-E4395)</f>
        <v>0</v>
      </c>
      <c r="G4395" s="16">
        <f>IF(NOT(Paths!$C$405=1),0,IF(Paths!$P$405="Complete",E4395/12*(Paths!$J$405*(1+'Operating costs'!$B$51)^MAX(0,C4395-1)+Paths!$K$405*(1+'Operating costs'!$B$53)^MAX(0,C4395-1)),"n.a."))</f>
        <v>0</v>
      </c>
      <c r="H4395" s="16">
        <f>IF(NOT(Paths!$C$405=1),0,IF(Paths!$P$405="Complete",F4395/12*(Paths!$L$405*(1+IF(Paths!$D$405="EV",'Operating costs'!$B$52,'Operating costs'!$B$51))^MAX(0,C4395-1)+Paths!$M$405*(1+'Operating costs'!$B$53)^MAX(0,C4395-1)),"n.a."))</f>
        <v>0</v>
      </c>
      <c r="I4395" s="16">
        <f>IF(NOT(Paths!$C$405=1),0,IF(Paths!$P$405="Complete",IF(IF(Paths!$E$405=0,C4395=0,AND(C4395&gt;0,Paths!$E$405&gt;(C4395-1)*12,Paths!$E$405&lt;=C4395*12)),Paths!$G$405,0),"n.a."))</f>
        <v>0</v>
      </c>
      <c r="J4395" s="16">
        <f>IF(NOT(Paths!$C$405=1),0,IF(Paths!$P$405="Complete",IF(IF(Paths!$E$405=0,C4395=0,AND(C4395&gt;0,Paths!$E$405&gt;(C4395-1)*12,Paths!$E$405&lt;=C4395*12)),Paths!$H$405,0),"n.a."))</f>
        <v>0</v>
      </c>
      <c r="K4395" s="16">
        <f>IF(NOT(Paths!$C$405=1),0,IF(Paths!$P$405="Complete",IF(IF(Paths!$O$405=0,C4395=0,AND(C4395&gt;0,Paths!$O$405&gt;(C4395-1)*12,Paths!$O$405&lt;=C4395*12)),Paths!$N$405,0),"n.a."))</f>
        <v>0</v>
      </c>
      <c r="L4395" s="16">
        <f>IF(NOT(Paths!$C$405=1),0,IF(Paths!$P$405="Complete",IF(C4395=10,Paths!$I$405,0),"n.a."))</f>
        <v>0</v>
      </c>
      <c r="M4395" s="16">
        <f>IF(NOT(Paths!$C$405=1),0,IF(Paths!$P$405="Complete",IF(AND(Paths!$D$405="EV",Paths!$E$405&lt;120,Paths!$E$405+'Operating costs'!$B$65&gt;Paths!$E$405,Paths!$E$405+'Operating costs'!$B$65&lt;=120,IF(Paths!$E$405+'Operating costs'!$B$65=0,C4395=0,AND(C4395&gt;0,Paths!$E$405+'Operating costs'!$B$65&gt;(C4395-1)*12,Paths!$E$405+'Operating costs'!$B$65&lt;=C4395*12))),'Operating costs'!$B$64,0)+IF(AND('Operating costs'!$B$67&gt;0,'Operating costs'!$B$67&lt;=120,OR(Paths!$D$405="ICE",'Operating costs'!$B$67&lt;=Paths!$E$405),IF('Operating costs'!$B$67=0,C4395=0,AND(C4395&gt;0,'Operating costs'!$B$67&gt;(C4395-1)*12,'Operating costs'!$B$67&lt;=C4395*12))),'Operating costs'!$B$66,0),"n.a."))</f>
        <v>0</v>
      </c>
      <c r="N4395" s="16">
        <f>IF(NOT(Paths!$C$405=1),0,IF(Paths!$P$405="Complete",SUM(G4395:I4395)-J4395-K4395-L4395+M4395+IF(C4395=0,Paths!$F$405,0)+IF(IF(Paths!$E$405=0,C4395=0,AND(C4395&gt;0,Paths!$E$405&gt;(C4395-1)*12,Paths!$E$405&lt;=C4395*12)),VLOOKUP(A4395,'Fleet register'!$A$7:$S$106,16,FALSE),0),"n.a."))</f>
        <v>0</v>
      </c>
      <c r="O4395" s="16">
        <f>IF(NOT(Paths!$C$405=1),0,IF(Paths!$P$405="Complete",N4395-IF(C4395=0,Paths!$F$405,0),"n.a."))</f>
        <v>0</v>
      </c>
      <c r="P4395" s="16">
        <f>IF(NOT(Paths!$C$405=1),0,IF(Paths!$P$405="Complete",O4395+L4395,"n.a."))</f>
        <v>0</v>
      </c>
      <c r="Q4395" s="16">
        <f>IF(NOT(Paths!$C$405=1),0,IF(Paths!$P$405="Complete",N4395*(1+'Operating costs'!$B$54)^-C4395,"n.a."))</f>
        <v>0</v>
      </c>
      <c r="R4395" s="16">
        <f>IF(NOT(Paths!$C$405=1),0,IF(Paths!$P$405="Complete",IF(AND(C4395=0,Paths!$E$405=0),I4395-J4395-K4395+VLOOKUP(A4395,'Fleet register'!$A$7:$S$106,15,FALSE)+VLOOKUP(A4395,'Fleet register'!$A$7:$S$106,16,FALSE),0),"n.a."))</f>
        <v>0</v>
      </c>
      <c r="S4395" s="1">
        <f>IF(NOT(Paths!$C$405=1),0,IF(Paths!$P$405="Complete",IF(C4395=0,0,Paths!$S$405*Paths!$R$405),"n.a."))</f>
        <v>0</v>
      </c>
      <c r="T4395" s="1">
        <f>IF(NOT(Paths!$C$405=1),0,IF(Paths!$P$405="Complete",IF(C4395=0,0,VLOOKUP(A4395,'Fleet register'!$A$7:$S$106,9,FALSE)*Paths!$R$405),"n.a."))</f>
        <v>0</v>
      </c>
    </row>
    <row r="4396" spans="1:20" ht="24" customHeight="1">
      <c r="A4396" s="1" t="str">
        <f>Paths!$A$406</f>
        <v>T100</v>
      </c>
      <c r="B4396" s="1">
        <f>Paths!$B$406</f>
        <v>3</v>
      </c>
      <c r="C4396" s="1">
        <v>0</v>
      </c>
      <c r="D4396" s="1">
        <v>406</v>
      </c>
      <c r="E4396" s="1">
        <f>IF(OR(Paths!$C$406=0,C4396=0),0,MAX(0,MIN(C4396*12,Paths!$E$406)-(C4396-1)*12))</f>
        <v>0</v>
      </c>
      <c r="F4396" s="1">
        <f>IF(OR(Paths!$C$406=0,C4396=0),0,12-E4396)</f>
        <v>0</v>
      </c>
      <c r="G4396" s="16">
        <f>IF(NOT(Paths!$C$406=1),0,IF(Paths!$P$406="Complete",E4396/12*(Paths!$J$406*(1+'Operating costs'!$B$51)^MAX(0,C4396-1)+Paths!$K$406*(1+'Operating costs'!$B$53)^MAX(0,C4396-1)),"n.a."))</f>
        <v>0</v>
      </c>
      <c r="H4396" s="16">
        <f>IF(NOT(Paths!$C$406=1),0,IF(Paths!$P$406="Complete",F4396/12*(Paths!$L$406*(1+IF(Paths!$D$406="EV",'Operating costs'!$B$52,'Operating costs'!$B$51))^MAX(0,C4396-1)+Paths!$M$406*(1+'Operating costs'!$B$53)^MAX(0,C4396-1)),"n.a."))</f>
        <v>0</v>
      </c>
      <c r="I4396" s="16">
        <f>IF(NOT(Paths!$C$406=1),0,IF(Paths!$P$406="Complete",IF(IF(Paths!$E$406=0,C4396=0,AND(C4396&gt;0,Paths!$E$406&gt;(C4396-1)*12,Paths!$E$406&lt;=C4396*12)),Paths!$G$406,0),"n.a."))</f>
        <v>0</v>
      </c>
      <c r="J4396" s="16">
        <f>IF(NOT(Paths!$C$406=1),0,IF(Paths!$P$406="Complete",IF(IF(Paths!$E$406=0,C4396=0,AND(C4396&gt;0,Paths!$E$406&gt;(C4396-1)*12,Paths!$E$406&lt;=C4396*12)),Paths!$H$406,0),"n.a."))</f>
        <v>0</v>
      </c>
      <c r="K4396" s="16">
        <f>IF(NOT(Paths!$C$406=1),0,IF(Paths!$P$406="Complete",IF(IF(Paths!$O$406=0,C4396=0,AND(C4396&gt;0,Paths!$O$406&gt;(C4396-1)*12,Paths!$O$406&lt;=C4396*12)),Paths!$N$406,0),"n.a."))</f>
        <v>0</v>
      </c>
      <c r="L4396" s="16">
        <f>IF(NOT(Paths!$C$406=1),0,IF(Paths!$P$406="Complete",IF(C4396=10,Paths!$I$406,0),"n.a."))</f>
        <v>0</v>
      </c>
      <c r="M4396" s="16">
        <f>IF(NOT(Paths!$C$406=1),0,IF(Paths!$P$406="Complete",IF(AND(Paths!$D$406="EV",Paths!$E$406&lt;120,Paths!$E$406+'Operating costs'!$B$65&gt;Paths!$E$406,Paths!$E$406+'Operating costs'!$B$65&lt;=120,IF(Paths!$E$406+'Operating costs'!$B$65=0,C4396=0,AND(C4396&gt;0,Paths!$E$406+'Operating costs'!$B$65&gt;(C4396-1)*12,Paths!$E$406+'Operating costs'!$B$65&lt;=C4396*12))),'Operating costs'!$B$64,0)+IF(AND('Operating costs'!$B$67&gt;0,'Operating costs'!$B$67&lt;=120,OR(Paths!$D$406="ICE",'Operating costs'!$B$67&lt;=Paths!$E$406),IF('Operating costs'!$B$67=0,C4396=0,AND(C4396&gt;0,'Operating costs'!$B$67&gt;(C4396-1)*12,'Operating costs'!$B$67&lt;=C4396*12))),'Operating costs'!$B$66,0),"n.a."))</f>
        <v>0</v>
      </c>
      <c r="N4396" s="16">
        <f>IF(NOT(Paths!$C$406=1),0,IF(Paths!$P$406="Complete",SUM(G4396:I4396)-J4396-K4396-L4396+M4396+IF(C4396=0,Paths!$F$406,0)+IF(IF(Paths!$E$406=0,C4396=0,AND(C4396&gt;0,Paths!$E$406&gt;(C4396-1)*12,Paths!$E$406&lt;=C4396*12)),VLOOKUP(A4396,'Fleet register'!$A$7:$S$106,16,FALSE),0),"n.a."))</f>
        <v>0</v>
      </c>
      <c r="O4396" s="16">
        <f>IF(NOT(Paths!$C$406=1),0,IF(Paths!$P$406="Complete",N4396-IF(C4396=0,Paths!$F$406,0),"n.a."))</f>
        <v>0</v>
      </c>
      <c r="P4396" s="16">
        <f>IF(NOT(Paths!$C$406=1),0,IF(Paths!$P$406="Complete",O4396+L4396,"n.a."))</f>
        <v>0</v>
      </c>
      <c r="Q4396" s="16">
        <f>IF(NOT(Paths!$C$406=1),0,IF(Paths!$P$406="Complete",N4396*(1+'Operating costs'!$B$54)^-C4396,"n.a."))</f>
        <v>0</v>
      </c>
      <c r="R4396" s="16">
        <f>IF(NOT(Paths!$C$406=1),0,IF(Paths!$P$406="Complete",IF(AND(C4396=0,Paths!$E$406=0),I4396-J4396-K4396+VLOOKUP(A4396,'Fleet register'!$A$7:$S$106,15,FALSE)+VLOOKUP(A4396,'Fleet register'!$A$7:$S$106,16,FALSE),0),"n.a."))</f>
        <v>0</v>
      </c>
      <c r="S4396" s="1">
        <f>IF(NOT(Paths!$C$406=1),0,IF(Paths!$P$406="Complete",IF(C4396=0,0,Paths!$S$406*Paths!$R$406),"n.a."))</f>
        <v>0</v>
      </c>
      <c r="T4396" s="1">
        <f>IF(NOT(Paths!$C$406=1),0,IF(Paths!$P$406="Complete",IF(C4396=0,0,VLOOKUP(A4396,'Fleet register'!$A$7:$S$106,9,FALSE)*Paths!$R$406),"n.a."))</f>
        <v>0</v>
      </c>
    </row>
    <row r="4397" spans="1:20" ht="24" customHeight="1">
      <c r="A4397" s="1" t="str">
        <f>Paths!$A$406</f>
        <v>T100</v>
      </c>
      <c r="B4397" s="1">
        <f>Paths!$B$406</f>
        <v>3</v>
      </c>
      <c r="C4397" s="1">
        <v>1</v>
      </c>
      <c r="D4397" s="1">
        <v>406</v>
      </c>
      <c r="E4397" s="1">
        <f>IF(OR(Paths!$C$406=0,C4397=0),0,MAX(0,MIN(C4397*12,Paths!$E$406)-(C4397-1)*12))</f>
        <v>0</v>
      </c>
      <c r="F4397" s="1">
        <f>IF(OR(Paths!$C$406=0,C4397=0),0,12-E4397)</f>
        <v>0</v>
      </c>
      <c r="G4397" s="16">
        <f>IF(NOT(Paths!$C$406=1),0,IF(Paths!$P$406="Complete",E4397/12*(Paths!$J$406*(1+'Operating costs'!$B$51)^MAX(0,C4397-1)+Paths!$K$406*(1+'Operating costs'!$B$53)^MAX(0,C4397-1)),"n.a."))</f>
        <v>0</v>
      </c>
      <c r="H4397" s="16">
        <f>IF(NOT(Paths!$C$406=1),0,IF(Paths!$P$406="Complete",F4397/12*(Paths!$L$406*(1+IF(Paths!$D$406="EV",'Operating costs'!$B$52,'Operating costs'!$B$51))^MAX(0,C4397-1)+Paths!$M$406*(1+'Operating costs'!$B$53)^MAX(0,C4397-1)),"n.a."))</f>
        <v>0</v>
      </c>
      <c r="I4397" s="16">
        <f>IF(NOT(Paths!$C$406=1),0,IF(Paths!$P$406="Complete",IF(IF(Paths!$E$406=0,C4397=0,AND(C4397&gt;0,Paths!$E$406&gt;(C4397-1)*12,Paths!$E$406&lt;=C4397*12)),Paths!$G$406,0),"n.a."))</f>
        <v>0</v>
      </c>
      <c r="J4397" s="16">
        <f>IF(NOT(Paths!$C$406=1),0,IF(Paths!$P$406="Complete",IF(IF(Paths!$E$406=0,C4397=0,AND(C4397&gt;0,Paths!$E$406&gt;(C4397-1)*12,Paths!$E$406&lt;=C4397*12)),Paths!$H$406,0),"n.a."))</f>
        <v>0</v>
      </c>
      <c r="K4397" s="16">
        <f>IF(NOT(Paths!$C$406=1),0,IF(Paths!$P$406="Complete",IF(IF(Paths!$O$406=0,C4397=0,AND(C4397&gt;0,Paths!$O$406&gt;(C4397-1)*12,Paths!$O$406&lt;=C4397*12)),Paths!$N$406,0),"n.a."))</f>
        <v>0</v>
      </c>
      <c r="L4397" s="16">
        <f>IF(NOT(Paths!$C$406=1),0,IF(Paths!$P$406="Complete",IF(C4397=10,Paths!$I$406,0),"n.a."))</f>
        <v>0</v>
      </c>
      <c r="M4397" s="16">
        <f>IF(NOT(Paths!$C$406=1),0,IF(Paths!$P$406="Complete",IF(AND(Paths!$D$406="EV",Paths!$E$406&lt;120,Paths!$E$406+'Operating costs'!$B$65&gt;Paths!$E$406,Paths!$E$406+'Operating costs'!$B$65&lt;=120,IF(Paths!$E$406+'Operating costs'!$B$65=0,C4397=0,AND(C4397&gt;0,Paths!$E$406+'Operating costs'!$B$65&gt;(C4397-1)*12,Paths!$E$406+'Operating costs'!$B$65&lt;=C4397*12))),'Operating costs'!$B$64,0)+IF(AND('Operating costs'!$B$67&gt;0,'Operating costs'!$B$67&lt;=120,OR(Paths!$D$406="ICE",'Operating costs'!$B$67&lt;=Paths!$E$406),IF('Operating costs'!$B$67=0,C4397=0,AND(C4397&gt;0,'Operating costs'!$B$67&gt;(C4397-1)*12,'Operating costs'!$B$67&lt;=C4397*12))),'Operating costs'!$B$66,0),"n.a."))</f>
        <v>0</v>
      </c>
      <c r="N4397" s="16">
        <f>IF(NOT(Paths!$C$406=1),0,IF(Paths!$P$406="Complete",SUM(G4397:I4397)-J4397-K4397-L4397+M4397+IF(C4397=0,Paths!$F$406,0)+IF(IF(Paths!$E$406=0,C4397=0,AND(C4397&gt;0,Paths!$E$406&gt;(C4397-1)*12,Paths!$E$406&lt;=C4397*12)),VLOOKUP(A4397,'Fleet register'!$A$7:$S$106,16,FALSE),0),"n.a."))</f>
        <v>0</v>
      </c>
      <c r="O4397" s="16">
        <f>IF(NOT(Paths!$C$406=1),0,IF(Paths!$P$406="Complete",N4397-IF(C4397=0,Paths!$F$406,0),"n.a."))</f>
        <v>0</v>
      </c>
      <c r="P4397" s="16">
        <f>IF(NOT(Paths!$C$406=1),0,IF(Paths!$P$406="Complete",O4397+L4397,"n.a."))</f>
        <v>0</v>
      </c>
      <c r="Q4397" s="16">
        <f>IF(NOT(Paths!$C$406=1),0,IF(Paths!$P$406="Complete",N4397*(1+'Operating costs'!$B$54)^-C4397,"n.a."))</f>
        <v>0</v>
      </c>
      <c r="R4397" s="16">
        <f>IF(NOT(Paths!$C$406=1),0,IF(Paths!$P$406="Complete",IF(AND(C4397=0,Paths!$E$406=0),I4397-J4397-K4397+VLOOKUP(A4397,'Fleet register'!$A$7:$S$106,15,FALSE)+VLOOKUP(A4397,'Fleet register'!$A$7:$S$106,16,FALSE),0),"n.a."))</f>
        <v>0</v>
      </c>
      <c r="S4397" s="1">
        <f>IF(NOT(Paths!$C$406=1),0,IF(Paths!$P$406="Complete",IF(C4397=0,0,Paths!$S$406*Paths!$R$406),"n.a."))</f>
        <v>0</v>
      </c>
      <c r="T4397" s="1">
        <f>IF(NOT(Paths!$C$406=1),0,IF(Paths!$P$406="Complete",IF(C4397=0,0,VLOOKUP(A4397,'Fleet register'!$A$7:$S$106,9,FALSE)*Paths!$R$406),"n.a."))</f>
        <v>0</v>
      </c>
    </row>
    <row r="4398" spans="1:20" ht="24" customHeight="1">
      <c r="A4398" s="1" t="str">
        <f>Paths!$A$406</f>
        <v>T100</v>
      </c>
      <c r="B4398" s="1">
        <f>Paths!$B$406</f>
        <v>3</v>
      </c>
      <c r="C4398" s="1">
        <v>2</v>
      </c>
      <c r="D4398" s="1">
        <v>406</v>
      </c>
      <c r="E4398" s="1">
        <f>IF(OR(Paths!$C$406=0,C4398=0),0,MAX(0,MIN(C4398*12,Paths!$E$406)-(C4398-1)*12))</f>
        <v>0</v>
      </c>
      <c r="F4398" s="1">
        <f>IF(OR(Paths!$C$406=0,C4398=0),0,12-E4398)</f>
        <v>0</v>
      </c>
      <c r="G4398" s="16">
        <f>IF(NOT(Paths!$C$406=1),0,IF(Paths!$P$406="Complete",E4398/12*(Paths!$J$406*(1+'Operating costs'!$B$51)^MAX(0,C4398-1)+Paths!$K$406*(1+'Operating costs'!$B$53)^MAX(0,C4398-1)),"n.a."))</f>
        <v>0</v>
      </c>
      <c r="H4398" s="16">
        <f>IF(NOT(Paths!$C$406=1),0,IF(Paths!$P$406="Complete",F4398/12*(Paths!$L$406*(1+IF(Paths!$D$406="EV",'Operating costs'!$B$52,'Operating costs'!$B$51))^MAX(0,C4398-1)+Paths!$M$406*(1+'Operating costs'!$B$53)^MAX(0,C4398-1)),"n.a."))</f>
        <v>0</v>
      </c>
      <c r="I4398" s="16">
        <f>IF(NOT(Paths!$C$406=1),0,IF(Paths!$P$406="Complete",IF(IF(Paths!$E$406=0,C4398=0,AND(C4398&gt;0,Paths!$E$406&gt;(C4398-1)*12,Paths!$E$406&lt;=C4398*12)),Paths!$G$406,0),"n.a."))</f>
        <v>0</v>
      </c>
      <c r="J4398" s="16">
        <f>IF(NOT(Paths!$C$406=1),0,IF(Paths!$P$406="Complete",IF(IF(Paths!$E$406=0,C4398=0,AND(C4398&gt;0,Paths!$E$406&gt;(C4398-1)*12,Paths!$E$406&lt;=C4398*12)),Paths!$H$406,0),"n.a."))</f>
        <v>0</v>
      </c>
      <c r="K4398" s="16">
        <f>IF(NOT(Paths!$C$406=1),0,IF(Paths!$P$406="Complete",IF(IF(Paths!$O$406=0,C4398=0,AND(C4398&gt;0,Paths!$O$406&gt;(C4398-1)*12,Paths!$O$406&lt;=C4398*12)),Paths!$N$406,0),"n.a."))</f>
        <v>0</v>
      </c>
      <c r="L4398" s="16">
        <f>IF(NOT(Paths!$C$406=1),0,IF(Paths!$P$406="Complete",IF(C4398=10,Paths!$I$406,0),"n.a."))</f>
        <v>0</v>
      </c>
      <c r="M4398" s="16">
        <f>IF(NOT(Paths!$C$406=1),0,IF(Paths!$P$406="Complete",IF(AND(Paths!$D$406="EV",Paths!$E$406&lt;120,Paths!$E$406+'Operating costs'!$B$65&gt;Paths!$E$406,Paths!$E$406+'Operating costs'!$B$65&lt;=120,IF(Paths!$E$406+'Operating costs'!$B$65=0,C4398=0,AND(C4398&gt;0,Paths!$E$406+'Operating costs'!$B$65&gt;(C4398-1)*12,Paths!$E$406+'Operating costs'!$B$65&lt;=C4398*12))),'Operating costs'!$B$64,0)+IF(AND('Operating costs'!$B$67&gt;0,'Operating costs'!$B$67&lt;=120,OR(Paths!$D$406="ICE",'Operating costs'!$B$67&lt;=Paths!$E$406),IF('Operating costs'!$B$67=0,C4398=0,AND(C4398&gt;0,'Operating costs'!$B$67&gt;(C4398-1)*12,'Operating costs'!$B$67&lt;=C4398*12))),'Operating costs'!$B$66,0),"n.a."))</f>
        <v>0</v>
      </c>
      <c r="N4398" s="16">
        <f>IF(NOT(Paths!$C$406=1),0,IF(Paths!$P$406="Complete",SUM(G4398:I4398)-J4398-K4398-L4398+M4398+IF(C4398=0,Paths!$F$406,0)+IF(IF(Paths!$E$406=0,C4398=0,AND(C4398&gt;0,Paths!$E$406&gt;(C4398-1)*12,Paths!$E$406&lt;=C4398*12)),VLOOKUP(A4398,'Fleet register'!$A$7:$S$106,16,FALSE),0),"n.a."))</f>
        <v>0</v>
      </c>
      <c r="O4398" s="16">
        <f>IF(NOT(Paths!$C$406=1),0,IF(Paths!$P$406="Complete",N4398-IF(C4398=0,Paths!$F$406,0),"n.a."))</f>
        <v>0</v>
      </c>
      <c r="P4398" s="16">
        <f>IF(NOT(Paths!$C$406=1),0,IF(Paths!$P$406="Complete",O4398+L4398,"n.a."))</f>
        <v>0</v>
      </c>
      <c r="Q4398" s="16">
        <f>IF(NOT(Paths!$C$406=1),0,IF(Paths!$P$406="Complete",N4398*(1+'Operating costs'!$B$54)^-C4398,"n.a."))</f>
        <v>0</v>
      </c>
      <c r="R4398" s="16">
        <f>IF(NOT(Paths!$C$406=1),0,IF(Paths!$P$406="Complete",IF(AND(C4398=0,Paths!$E$406=0),I4398-J4398-K4398+VLOOKUP(A4398,'Fleet register'!$A$7:$S$106,15,FALSE)+VLOOKUP(A4398,'Fleet register'!$A$7:$S$106,16,FALSE),0),"n.a."))</f>
        <v>0</v>
      </c>
      <c r="S4398" s="1">
        <f>IF(NOT(Paths!$C$406=1),0,IF(Paths!$P$406="Complete",IF(C4398=0,0,Paths!$S$406*Paths!$R$406),"n.a."))</f>
        <v>0</v>
      </c>
      <c r="T4398" s="1">
        <f>IF(NOT(Paths!$C$406=1),0,IF(Paths!$P$406="Complete",IF(C4398=0,0,VLOOKUP(A4398,'Fleet register'!$A$7:$S$106,9,FALSE)*Paths!$R$406),"n.a."))</f>
        <v>0</v>
      </c>
    </row>
    <row r="4399" spans="1:20" ht="24" customHeight="1">
      <c r="A4399" s="1" t="str">
        <f>Paths!$A$406</f>
        <v>T100</v>
      </c>
      <c r="B4399" s="1">
        <f>Paths!$B$406</f>
        <v>3</v>
      </c>
      <c r="C4399" s="1">
        <v>3</v>
      </c>
      <c r="D4399" s="1">
        <v>406</v>
      </c>
      <c r="E4399" s="1">
        <f>IF(OR(Paths!$C$406=0,C4399=0),0,MAX(0,MIN(C4399*12,Paths!$E$406)-(C4399-1)*12))</f>
        <v>0</v>
      </c>
      <c r="F4399" s="1">
        <f>IF(OR(Paths!$C$406=0,C4399=0),0,12-E4399)</f>
        <v>0</v>
      </c>
      <c r="G4399" s="16">
        <f>IF(NOT(Paths!$C$406=1),0,IF(Paths!$P$406="Complete",E4399/12*(Paths!$J$406*(1+'Operating costs'!$B$51)^MAX(0,C4399-1)+Paths!$K$406*(1+'Operating costs'!$B$53)^MAX(0,C4399-1)),"n.a."))</f>
        <v>0</v>
      </c>
      <c r="H4399" s="16">
        <f>IF(NOT(Paths!$C$406=1),0,IF(Paths!$P$406="Complete",F4399/12*(Paths!$L$406*(1+IF(Paths!$D$406="EV",'Operating costs'!$B$52,'Operating costs'!$B$51))^MAX(0,C4399-1)+Paths!$M$406*(1+'Operating costs'!$B$53)^MAX(0,C4399-1)),"n.a."))</f>
        <v>0</v>
      </c>
      <c r="I4399" s="16">
        <f>IF(NOT(Paths!$C$406=1),0,IF(Paths!$P$406="Complete",IF(IF(Paths!$E$406=0,C4399=0,AND(C4399&gt;0,Paths!$E$406&gt;(C4399-1)*12,Paths!$E$406&lt;=C4399*12)),Paths!$G$406,0),"n.a."))</f>
        <v>0</v>
      </c>
      <c r="J4399" s="16">
        <f>IF(NOT(Paths!$C$406=1),0,IF(Paths!$P$406="Complete",IF(IF(Paths!$E$406=0,C4399=0,AND(C4399&gt;0,Paths!$E$406&gt;(C4399-1)*12,Paths!$E$406&lt;=C4399*12)),Paths!$H$406,0),"n.a."))</f>
        <v>0</v>
      </c>
      <c r="K4399" s="16">
        <f>IF(NOT(Paths!$C$406=1),0,IF(Paths!$P$406="Complete",IF(IF(Paths!$O$406=0,C4399=0,AND(C4399&gt;0,Paths!$O$406&gt;(C4399-1)*12,Paths!$O$406&lt;=C4399*12)),Paths!$N$406,0),"n.a."))</f>
        <v>0</v>
      </c>
      <c r="L4399" s="16">
        <f>IF(NOT(Paths!$C$406=1),0,IF(Paths!$P$406="Complete",IF(C4399=10,Paths!$I$406,0),"n.a."))</f>
        <v>0</v>
      </c>
      <c r="M4399" s="16">
        <f>IF(NOT(Paths!$C$406=1),0,IF(Paths!$P$406="Complete",IF(AND(Paths!$D$406="EV",Paths!$E$406&lt;120,Paths!$E$406+'Operating costs'!$B$65&gt;Paths!$E$406,Paths!$E$406+'Operating costs'!$B$65&lt;=120,IF(Paths!$E$406+'Operating costs'!$B$65=0,C4399=0,AND(C4399&gt;0,Paths!$E$406+'Operating costs'!$B$65&gt;(C4399-1)*12,Paths!$E$406+'Operating costs'!$B$65&lt;=C4399*12))),'Operating costs'!$B$64,0)+IF(AND('Operating costs'!$B$67&gt;0,'Operating costs'!$B$67&lt;=120,OR(Paths!$D$406="ICE",'Operating costs'!$B$67&lt;=Paths!$E$406),IF('Operating costs'!$B$67=0,C4399=0,AND(C4399&gt;0,'Operating costs'!$B$67&gt;(C4399-1)*12,'Operating costs'!$B$67&lt;=C4399*12))),'Operating costs'!$B$66,0),"n.a."))</f>
        <v>0</v>
      </c>
      <c r="N4399" s="16">
        <f>IF(NOT(Paths!$C$406=1),0,IF(Paths!$P$406="Complete",SUM(G4399:I4399)-J4399-K4399-L4399+M4399+IF(C4399=0,Paths!$F$406,0)+IF(IF(Paths!$E$406=0,C4399=0,AND(C4399&gt;0,Paths!$E$406&gt;(C4399-1)*12,Paths!$E$406&lt;=C4399*12)),VLOOKUP(A4399,'Fleet register'!$A$7:$S$106,16,FALSE),0),"n.a."))</f>
        <v>0</v>
      </c>
      <c r="O4399" s="16">
        <f>IF(NOT(Paths!$C$406=1),0,IF(Paths!$P$406="Complete",N4399-IF(C4399=0,Paths!$F$406,0),"n.a."))</f>
        <v>0</v>
      </c>
      <c r="P4399" s="16">
        <f>IF(NOT(Paths!$C$406=1),0,IF(Paths!$P$406="Complete",O4399+L4399,"n.a."))</f>
        <v>0</v>
      </c>
      <c r="Q4399" s="16">
        <f>IF(NOT(Paths!$C$406=1),0,IF(Paths!$P$406="Complete",N4399*(1+'Operating costs'!$B$54)^-C4399,"n.a."))</f>
        <v>0</v>
      </c>
      <c r="R4399" s="16">
        <f>IF(NOT(Paths!$C$406=1),0,IF(Paths!$P$406="Complete",IF(AND(C4399=0,Paths!$E$406=0),I4399-J4399-K4399+VLOOKUP(A4399,'Fleet register'!$A$7:$S$106,15,FALSE)+VLOOKUP(A4399,'Fleet register'!$A$7:$S$106,16,FALSE),0),"n.a."))</f>
        <v>0</v>
      </c>
      <c r="S4399" s="1">
        <f>IF(NOT(Paths!$C$406=1),0,IF(Paths!$P$406="Complete",IF(C4399=0,0,Paths!$S$406*Paths!$R$406),"n.a."))</f>
        <v>0</v>
      </c>
      <c r="T4399" s="1">
        <f>IF(NOT(Paths!$C$406=1),0,IF(Paths!$P$406="Complete",IF(C4399=0,0,VLOOKUP(A4399,'Fleet register'!$A$7:$S$106,9,FALSE)*Paths!$R$406),"n.a."))</f>
        <v>0</v>
      </c>
    </row>
    <row r="4400" spans="1:20" ht="24" customHeight="1">
      <c r="A4400" s="1" t="str">
        <f>Paths!$A$406</f>
        <v>T100</v>
      </c>
      <c r="B4400" s="1">
        <f>Paths!$B$406</f>
        <v>3</v>
      </c>
      <c r="C4400" s="1">
        <v>4</v>
      </c>
      <c r="D4400" s="1">
        <v>406</v>
      </c>
      <c r="E4400" s="1">
        <f>IF(OR(Paths!$C$406=0,C4400=0),0,MAX(0,MIN(C4400*12,Paths!$E$406)-(C4400-1)*12))</f>
        <v>0</v>
      </c>
      <c r="F4400" s="1">
        <f>IF(OR(Paths!$C$406=0,C4400=0),0,12-E4400)</f>
        <v>0</v>
      </c>
      <c r="G4400" s="16">
        <f>IF(NOT(Paths!$C$406=1),0,IF(Paths!$P$406="Complete",E4400/12*(Paths!$J$406*(1+'Operating costs'!$B$51)^MAX(0,C4400-1)+Paths!$K$406*(1+'Operating costs'!$B$53)^MAX(0,C4400-1)),"n.a."))</f>
        <v>0</v>
      </c>
      <c r="H4400" s="16">
        <f>IF(NOT(Paths!$C$406=1),0,IF(Paths!$P$406="Complete",F4400/12*(Paths!$L$406*(1+IF(Paths!$D$406="EV",'Operating costs'!$B$52,'Operating costs'!$B$51))^MAX(0,C4400-1)+Paths!$M$406*(1+'Operating costs'!$B$53)^MAX(0,C4400-1)),"n.a."))</f>
        <v>0</v>
      </c>
      <c r="I4400" s="16">
        <f>IF(NOT(Paths!$C$406=1),0,IF(Paths!$P$406="Complete",IF(IF(Paths!$E$406=0,C4400=0,AND(C4400&gt;0,Paths!$E$406&gt;(C4400-1)*12,Paths!$E$406&lt;=C4400*12)),Paths!$G$406,0),"n.a."))</f>
        <v>0</v>
      </c>
      <c r="J4400" s="16">
        <f>IF(NOT(Paths!$C$406=1),0,IF(Paths!$P$406="Complete",IF(IF(Paths!$E$406=0,C4400=0,AND(C4400&gt;0,Paths!$E$406&gt;(C4400-1)*12,Paths!$E$406&lt;=C4400*12)),Paths!$H$406,0),"n.a."))</f>
        <v>0</v>
      </c>
      <c r="K4400" s="16">
        <f>IF(NOT(Paths!$C$406=1),0,IF(Paths!$P$406="Complete",IF(IF(Paths!$O$406=0,C4400=0,AND(C4400&gt;0,Paths!$O$406&gt;(C4400-1)*12,Paths!$O$406&lt;=C4400*12)),Paths!$N$406,0),"n.a."))</f>
        <v>0</v>
      </c>
      <c r="L4400" s="16">
        <f>IF(NOT(Paths!$C$406=1),0,IF(Paths!$P$406="Complete",IF(C4400=10,Paths!$I$406,0),"n.a."))</f>
        <v>0</v>
      </c>
      <c r="M4400" s="16">
        <f>IF(NOT(Paths!$C$406=1),0,IF(Paths!$P$406="Complete",IF(AND(Paths!$D$406="EV",Paths!$E$406&lt;120,Paths!$E$406+'Operating costs'!$B$65&gt;Paths!$E$406,Paths!$E$406+'Operating costs'!$B$65&lt;=120,IF(Paths!$E$406+'Operating costs'!$B$65=0,C4400=0,AND(C4400&gt;0,Paths!$E$406+'Operating costs'!$B$65&gt;(C4400-1)*12,Paths!$E$406+'Operating costs'!$B$65&lt;=C4400*12))),'Operating costs'!$B$64,0)+IF(AND('Operating costs'!$B$67&gt;0,'Operating costs'!$B$67&lt;=120,OR(Paths!$D$406="ICE",'Operating costs'!$B$67&lt;=Paths!$E$406),IF('Operating costs'!$B$67=0,C4400=0,AND(C4400&gt;0,'Operating costs'!$B$67&gt;(C4400-1)*12,'Operating costs'!$B$67&lt;=C4400*12))),'Operating costs'!$B$66,0),"n.a."))</f>
        <v>0</v>
      </c>
      <c r="N4400" s="16">
        <f>IF(NOT(Paths!$C$406=1),0,IF(Paths!$P$406="Complete",SUM(G4400:I4400)-J4400-K4400-L4400+M4400+IF(C4400=0,Paths!$F$406,0)+IF(IF(Paths!$E$406=0,C4400=0,AND(C4400&gt;0,Paths!$E$406&gt;(C4400-1)*12,Paths!$E$406&lt;=C4400*12)),VLOOKUP(A4400,'Fleet register'!$A$7:$S$106,16,FALSE),0),"n.a."))</f>
        <v>0</v>
      </c>
      <c r="O4400" s="16">
        <f>IF(NOT(Paths!$C$406=1),0,IF(Paths!$P$406="Complete",N4400-IF(C4400=0,Paths!$F$406,0),"n.a."))</f>
        <v>0</v>
      </c>
      <c r="P4400" s="16">
        <f>IF(NOT(Paths!$C$406=1),0,IF(Paths!$P$406="Complete",O4400+L4400,"n.a."))</f>
        <v>0</v>
      </c>
      <c r="Q4400" s="16">
        <f>IF(NOT(Paths!$C$406=1),0,IF(Paths!$P$406="Complete",N4400*(1+'Operating costs'!$B$54)^-C4400,"n.a."))</f>
        <v>0</v>
      </c>
      <c r="R4400" s="16">
        <f>IF(NOT(Paths!$C$406=1),0,IF(Paths!$P$406="Complete",IF(AND(C4400=0,Paths!$E$406=0),I4400-J4400-K4400+VLOOKUP(A4400,'Fleet register'!$A$7:$S$106,15,FALSE)+VLOOKUP(A4400,'Fleet register'!$A$7:$S$106,16,FALSE),0),"n.a."))</f>
        <v>0</v>
      </c>
      <c r="S4400" s="1">
        <f>IF(NOT(Paths!$C$406=1),0,IF(Paths!$P$406="Complete",IF(C4400=0,0,Paths!$S$406*Paths!$R$406),"n.a."))</f>
        <v>0</v>
      </c>
      <c r="T4400" s="1">
        <f>IF(NOT(Paths!$C$406=1),0,IF(Paths!$P$406="Complete",IF(C4400=0,0,VLOOKUP(A4400,'Fleet register'!$A$7:$S$106,9,FALSE)*Paths!$R$406),"n.a."))</f>
        <v>0</v>
      </c>
    </row>
    <row r="4401" spans="1:20" ht="24" customHeight="1">
      <c r="A4401" s="1" t="str">
        <f>Paths!$A$406</f>
        <v>T100</v>
      </c>
      <c r="B4401" s="1">
        <f>Paths!$B$406</f>
        <v>3</v>
      </c>
      <c r="C4401" s="1">
        <v>5</v>
      </c>
      <c r="D4401" s="1">
        <v>406</v>
      </c>
      <c r="E4401" s="1">
        <f>IF(OR(Paths!$C$406=0,C4401=0),0,MAX(0,MIN(C4401*12,Paths!$E$406)-(C4401-1)*12))</f>
        <v>0</v>
      </c>
      <c r="F4401" s="1">
        <f>IF(OR(Paths!$C$406=0,C4401=0),0,12-E4401)</f>
        <v>0</v>
      </c>
      <c r="G4401" s="16">
        <f>IF(NOT(Paths!$C$406=1),0,IF(Paths!$P$406="Complete",E4401/12*(Paths!$J$406*(1+'Operating costs'!$B$51)^MAX(0,C4401-1)+Paths!$K$406*(1+'Operating costs'!$B$53)^MAX(0,C4401-1)),"n.a."))</f>
        <v>0</v>
      </c>
      <c r="H4401" s="16">
        <f>IF(NOT(Paths!$C$406=1),0,IF(Paths!$P$406="Complete",F4401/12*(Paths!$L$406*(1+IF(Paths!$D$406="EV",'Operating costs'!$B$52,'Operating costs'!$B$51))^MAX(0,C4401-1)+Paths!$M$406*(1+'Operating costs'!$B$53)^MAX(0,C4401-1)),"n.a."))</f>
        <v>0</v>
      </c>
      <c r="I4401" s="16">
        <f>IF(NOT(Paths!$C$406=1),0,IF(Paths!$P$406="Complete",IF(IF(Paths!$E$406=0,C4401=0,AND(C4401&gt;0,Paths!$E$406&gt;(C4401-1)*12,Paths!$E$406&lt;=C4401*12)),Paths!$G$406,0),"n.a."))</f>
        <v>0</v>
      </c>
      <c r="J4401" s="16">
        <f>IF(NOT(Paths!$C$406=1),0,IF(Paths!$P$406="Complete",IF(IF(Paths!$E$406=0,C4401=0,AND(C4401&gt;0,Paths!$E$406&gt;(C4401-1)*12,Paths!$E$406&lt;=C4401*12)),Paths!$H$406,0),"n.a."))</f>
        <v>0</v>
      </c>
      <c r="K4401" s="16">
        <f>IF(NOT(Paths!$C$406=1),0,IF(Paths!$P$406="Complete",IF(IF(Paths!$O$406=0,C4401=0,AND(C4401&gt;0,Paths!$O$406&gt;(C4401-1)*12,Paths!$O$406&lt;=C4401*12)),Paths!$N$406,0),"n.a."))</f>
        <v>0</v>
      </c>
      <c r="L4401" s="16">
        <f>IF(NOT(Paths!$C$406=1),0,IF(Paths!$P$406="Complete",IF(C4401=10,Paths!$I$406,0),"n.a."))</f>
        <v>0</v>
      </c>
      <c r="M4401" s="16">
        <f>IF(NOT(Paths!$C$406=1),0,IF(Paths!$P$406="Complete",IF(AND(Paths!$D$406="EV",Paths!$E$406&lt;120,Paths!$E$406+'Operating costs'!$B$65&gt;Paths!$E$406,Paths!$E$406+'Operating costs'!$B$65&lt;=120,IF(Paths!$E$406+'Operating costs'!$B$65=0,C4401=0,AND(C4401&gt;0,Paths!$E$406+'Operating costs'!$B$65&gt;(C4401-1)*12,Paths!$E$406+'Operating costs'!$B$65&lt;=C4401*12))),'Operating costs'!$B$64,0)+IF(AND('Operating costs'!$B$67&gt;0,'Operating costs'!$B$67&lt;=120,OR(Paths!$D$406="ICE",'Operating costs'!$B$67&lt;=Paths!$E$406),IF('Operating costs'!$B$67=0,C4401=0,AND(C4401&gt;0,'Operating costs'!$B$67&gt;(C4401-1)*12,'Operating costs'!$B$67&lt;=C4401*12))),'Operating costs'!$B$66,0),"n.a."))</f>
        <v>0</v>
      </c>
      <c r="N4401" s="16">
        <f>IF(NOT(Paths!$C$406=1),0,IF(Paths!$P$406="Complete",SUM(G4401:I4401)-J4401-K4401-L4401+M4401+IF(C4401=0,Paths!$F$406,0)+IF(IF(Paths!$E$406=0,C4401=0,AND(C4401&gt;0,Paths!$E$406&gt;(C4401-1)*12,Paths!$E$406&lt;=C4401*12)),VLOOKUP(A4401,'Fleet register'!$A$7:$S$106,16,FALSE),0),"n.a."))</f>
        <v>0</v>
      </c>
      <c r="O4401" s="16">
        <f>IF(NOT(Paths!$C$406=1),0,IF(Paths!$P$406="Complete",N4401-IF(C4401=0,Paths!$F$406,0),"n.a."))</f>
        <v>0</v>
      </c>
      <c r="P4401" s="16">
        <f>IF(NOT(Paths!$C$406=1),0,IF(Paths!$P$406="Complete",O4401+L4401,"n.a."))</f>
        <v>0</v>
      </c>
      <c r="Q4401" s="16">
        <f>IF(NOT(Paths!$C$406=1),0,IF(Paths!$P$406="Complete",N4401*(1+'Operating costs'!$B$54)^-C4401,"n.a."))</f>
        <v>0</v>
      </c>
      <c r="R4401" s="16">
        <f>IF(NOT(Paths!$C$406=1),0,IF(Paths!$P$406="Complete",IF(AND(C4401=0,Paths!$E$406=0),I4401-J4401-K4401+VLOOKUP(A4401,'Fleet register'!$A$7:$S$106,15,FALSE)+VLOOKUP(A4401,'Fleet register'!$A$7:$S$106,16,FALSE),0),"n.a."))</f>
        <v>0</v>
      </c>
      <c r="S4401" s="1">
        <f>IF(NOT(Paths!$C$406=1),0,IF(Paths!$P$406="Complete",IF(C4401=0,0,Paths!$S$406*Paths!$R$406),"n.a."))</f>
        <v>0</v>
      </c>
      <c r="T4401" s="1">
        <f>IF(NOT(Paths!$C$406=1),0,IF(Paths!$P$406="Complete",IF(C4401=0,0,VLOOKUP(A4401,'Fleet register'!$A$7:$S$106,9,FALSE)*Paths!$R$406),"n.a."))</f>
        <v>0</v>
      </c>
    </row>
    <row r="4402" spans="1:20" ht="24" customHeight="1">
      <c r="A4402" s="1" t="str">
        <f>Paths!$A$406</f>
        <v>T100</v>
      </c>
      <c r="B4402" s="1">
        <f>Paths!$B$406</f>
        <v>3</v>
      </c>
      <c r="C4402" s="1">
        <v>6</v>
      </c>
      <c r="D4402" s="1">
        <v>406</v>
      </c>
      <c r="E4402" s="1">
        <f>IF(OR(Paths!$C$406=0,C4402=0),0,MAX(0,MIN(C4402*12,Paths!$E$406)-(C4402-1)*12))</f>
        <v>0</v>
      </c>
      <c r="F4402" s="1">
        <f>IF(OR(Paths!$C$406=0,C4402=0),0,12-E4402)</f>
        <v>0</v>
      </c>
      <c r="G4402" s="16">
        <f>IF(NOT(Paths!$C$406=1),0,IF(Paths!$P$406="Complete",E4402/12*(Paths!$J$406*(1+'Operating costs'!$B$51)^MAX(0,C4402-1)+Paths!$K$406*(1+'Operating costs'!$B$53)^MAX(0,C4402-1)),"n.a."))</f>
        <v>0</v>
      </c>
      <c r="H4402" s="16">
        <f>IF(NOT(Paths!$C$406=1),0,IF(Paths!$P$406="Complete",F4402/12*(Paths!$L$406*(1+IF(Paths!$D$406="EV",'Operating costs'!$B$52,'Operating costs'!$B$51))^MAX(0,C4402-1)+Paths!$M$406*(1+'Operating costs'!$B$53)^MAX(0,C4402-1)),"n.a."))</f>
        <v>0</v>
      </c>
      <c r="I4402" s="16">
        <f>IF(NOT(Paths!$C$406=1),0,IF(Paths!$P$406="Complete",IF(IF(Paths!$E$406=0,C4402=0,AND(C4402&gt;0,Paths!$E$406&gt;(C4402-1)*12,Paths!$E$406&lt;=C4402*12)),Paths!$G$406,0),"n.a."))</f>
        <v>0</v>
      </c>
      <c r="J4402" s="16">
        <f>IF(NOT(Paths!$C$406=1),0,IF(Paths!$P$406="Complete",IF(IF(Paths!$E$406=0,C4402=0,AND(C4402&gt;0,Paths!$E$406&gt;(C4402-1)*12,Paths!$E$406&lt;=C4402*12)),Paths!$H$406,0),"n.a."))</f>
        <v>0</v>
      </c>
      <c r="K4402" s="16">
        <f>IF(NOT(Paths!$C$406=1),0,IF(Paths!$P$406="Complete",IF(IF(Paths!$O$406=0,C4402=0,AND(C4402&gt;0,Paths!$O$406&gt;(C4402-1)*12,Paths!$O$406&lt;=C4402*12)),Paths!$N$406,0),"n.a."))</f>
        <v>0</v>
      </c>
      <c r="L4402" s="16">
        <f>IF(NOT(Paths!$C$406=1),0,IF(Paths!$P$406="Complete",IF(C4402=10,Paths!$I$406,0),"n.a."))</f>
        <v>0</v>
      </c>
      <c r="M4402" s="16">
        <f>IF(NOT(Paths!$C$406=1),0,IF(Paths!$P$406="Complete",IF(AND(Paths!$D$406="EV",Paths!$E$406&lt;120,Paths!$E$406+'Operating costs'!$B$65&gt;Paths!$E$406,Paths!$E$406+'Operating costs'!$B$65&lt;=120,IF(Paths!$E$406+'Operating costs'!$B$65=0,C4402=0,AND(C4402&gt;0,Paths!$E$406+'Operating costs'!$B$65&gt;(C4402-1)*12,Paths!$E$406+'Operating costs'!$B$65&lt;=C4402*12))),'Operating costs'!$B$64,0)+IF(AND('Operating costs'!$B$67&gt;0,'Operating costs'!$B$67&lt;=120,OR(Paths!$D$406="ICE",'Operating costs'!$B$67&lt;=Paths!$E$406),IF('Operating costs'!$B$67=0,C4402=0,AND(C4402&gt;0,'Operating costs'!$B$67&gt;(C4402-1)*12,'Operating costs'!$B$67&lt;=C4402*12))),'Operating costs'!$B$66,0),"n.a."))</f>
        <v>0</v>
      </c>
      <c r="N4402" s="16">
        <f>IF(NOT(Paths!$C$406=1),0,IF(Paths!$P$406="Complete",SUM(G4402:I4402)-J4402-K4402-L4402+M4402+IF(C4402=0,Paths!$F$406,0)+IF(IF(Paths!$E$406=0,C4402=0,AND(C4402&gt;0,Paths!$E$406&gt;(C4402-1)*12,Paths!$E$406&lt;=C4402*12)),VLOOKUP(A4402,'Fleet register'!$A$7:$S$106,16,FALSE),0),"n.a."))</f>
        <v>0</v>
      </c>
      <c r="O4402" s="16">
        <f>IF(NOT(Paths!$C$406=1),0,IF(Paths!$P$406="Complete",N4402-IF(C4402=0,Paths!$F$406,0),"n.a."))</f>
        <v>0</v>
      </c>
      <c r="P4402" s="16">
        <f>IF(NOT(Paths!$C$406=1),0,IF(Paths!$P$406="Complete",O4402+L4402,"n.a."))</f>
        <v>0</v>
      </c>
      <c r="Q4402" s="16">
        <f>IF(NOT(Paths!$C$406=1),0,IF(Paths!$P$406="Complete",N4402*(1+'Operating costs'!$B$54)^-C4402,"n.a."))</f>
        <v>0</v>
      </c>
      <c r="R4402" s="16">
        <f>IF(NOT(Paths!$C$406=1),0,IF(Paths!$P$406="Complete",IF(AND(C4402=0,Paths!$E$406=0),I4402-J4402-K4402+VLOOKUP(A4402,'Fleet register'!$A$7:$S$106,15,FALSE)+VLOOKUP(A4402,'Fleet register'!$A$7:$S$106,16,FALSE),0),"n.a."))</f>
        <v>0</v>
      </c>
      <c r="S4402" s="1">
        <f>IF(NOT(Paths!$C$406=1),0,IF(Paths!$P$406="Complete",IF(C4402=0,0,Paths!$S$406*Paths!$R$406),"n.a."))</f>
        <v>0</v>
      </c>
      <c r="T4402" s="1">
        <f>IF(NOT(Paths!$C$406=1),0,IF(Paths!$P$406="Complete",IF(C4402=0,0,VLOOKUP(A4402,'Fleet register'!$A$7:$S$106,9,FALSE)*Paths!$R$406),"n.a."))</f>
        <v>0</v>
      </c>
    </row>
    <row r="4403" spans="1:20" ht="24" customHeight="1">
      <c r="A4403" s="1" t="str">
        <f>Paths!$A$406</f>
        <v>T100</v>
      </c>
      <c r="B4403" s="1">
        <f>Paths!$B$406</f>
        <v>3</v>
      </c>
      <c r="C4403" s="1">
        <v>7</v>
      </c>
      <c r="D4403" s="1">
        <v>406</v>
      </c>
      <c r="E4403" s="1">
        <f>IF(OR(Paths!$C$406=0,C4403=0),0,MAX(0,MIN(C4403*12,Paths!$E$406)-(C4403-1)*12))</f>
        <v>0</v>
      </c>
      <c r="F4403" s="1">
        <f>IF(OR(Paths!$C$406=0,C4403=0),0,12-E4403)</f>
        <v>0</v>
      </c>
      <c r="G4403" s="16">
        <f>IF(NOT(Paths!$C$406=1),0,IF(Paths!$P$406="Complete",E4403/12*(Paths!$J$406*(1+'Operating costs'!$B$51)^MAX(0,C4403-1)+Paths!$K$406*(1+'Operating costs'!$B$53)^MAX(0,C4403-1)),"n.a."))</f>
        <v>0</v>
      </c>
      <c r="H4403" s="16">
        <f>IF(NOT(Paths!$C$406=1),0,IF(Paths!$P$406="Complete",F4403/12*(Paths!$L$406*(1+IF(Paths!$D$406="EV",'Operating costs'!$B$52,'Operating costs'!$B$51))^MAX(0,C4403-1)+Paths!$M$406*(1+'Operating costs'!$B$53)^MAX(0,C4403-1)),"n.a."))</f>
        <v>0</v>
      </c>
      <c r="I4403" s="16">
        <f>IF(NOT(Paths!$C$406=1),0,IF(Paths!$P$406="Complete",IF(IF(Paths!$E$406=0,C4403=0,AND(C4403&gt;0,Paths!$E$406&gt;(C4403-1)*12,Paths!$E$406&lt;=C4403*12)),Paths!$G$406,0),"n.a."))</f>
        <v>0</v>
      </c>
      <c r="J4403" s="16">
        <f>IF(NOT(Paths!$C$406=1),0,IF(Paths!$P$406="Complete",IF(IF(Paths!$E$406=0,C4403=0,AND(C4403&gt;0,Paths!$E$406&gt;(C4403-1)*12,Paths!$E$406&lt;=C4403*12)),Paths!$H$406,0),"n.a."))</f>
        <v>0</v>
      </c>
      <c r="K4403" s="16">
        <f>IF(NOT(Paths!$C$406=1),0,IF(Paths!$P$406="Complete",IF(IF(Paths!$O$406=0,C4403=0,AND(C4403&gt;0,Paths!$O$406&gt;(C4403-1)*12,Paths!$O$406&lt;=C4403*12)),Paths!$N$406,0),"n.a."))</f>
        <v>0</v>
      </c>
      <c r="L4403" s="16">
        <f>IF(NOT(Paths!$C$406=1),0,IF(Paths!$P$406="Complete",IF(C4403=10,Paths!$I$406,0),"n.a."))</f>
        <v>0</v>
      </c>
      <c r="M4403" s="16">
        <f>IF(NOT(Paths!$C$406=1),0,IF(Paths!$P$406="Complete",IF(AND(Paths!$D$406="EV",Paths!$E$406&lt;120,Paths!$E$406+'Operating costs'!$B$65&gt;Paths!$E$406,Paths!$E$406+'Operating costs'!$B$65&lt;=120,IF(Paths!$E$406+'Operating costs'!$B$65=0,C4403=0,AND(C4403&gt;0,Paths!$E$406+'Operating costs'!$B$65&gt;(C4403-1)*12,Paths!$E$406+'Operating costs'!$B$65&lt;=C4403*12))),'Operating costs'!$B$64,0)+IF(AND('Operating costs'!$B$67&gt;0,'Operating costs'!$B$67&lt;=120,OR(Paths!$D$406="ICE",'Operating costs'!$B$67&lt;=Paths!$E$406),IF('Operating costs'!$B$67=0,C4403=0,AND(C4403&gt;0,'Operating costs'!$B$67&gt;(C4403-1)*12,'Operating costs'!$B$67&lt;=C4403*12))),'Operating costs'!$B$66,0),"n.a."))</f>
        <v>0</v>
      </c>
      <c r="N4403" s="16">
        <f>IF(NOT(Paths!$C$406=1),0,IF(Paths!$P$406="Complete",SUM(G4403:I4403)-J4403-K4403-L4403+M4403+IF(C4403=0,Paths!$F$406,0)+IF(IF(Paths!$E$406=0,C4403=0,AND(C4403&gt;0,Paths!$E$406&gt;(C4403-1)*12,Paths!$E$406&lt;=C4403*12)),VLOOKUP(A4403,'Fleet register'!$A$7:$S$106,16,FALSE),0),"n.a."))</f>
        <v>0</v>
      </c>
      <c r="O4403" s="16">
        <f>IF(NOT(Paths!$C$406=1),0,IF(Paths!$P$406="Complete",N4403-IF(C4403=0,Paths!$F$406,0),"n.a."))</f>
        <v>0</v>
      </c>
      <c r="P4403" s="16">
        <f>IF(NOT(Paths!$C$406=1),0,IF(Paths!$P$406="Complete",O4403+L4403,"n.a."))</f>
        <v>0</v>
      </c>
      <c r="Q4403" s="16">
        <f>IF(NOT(Paths!$C$406=1),0,IF(Paths!$P$406="Complete",N4403*(1+'Operating costs'!$B$54)^-C4403,"n.a."))</f>
        <v>0</v>
      </c>
      <c r="R4403" s="16">
        <f>IF(NOT(Paths!$C$406=1),0,IF(Paths!$P$406="Complete",IF(AND(C4403=0,Paths!$E$406=0),I4403-J4403-K4403+VLOOKUP(A4403,'Fleet register'!$A$7:$S$106,15,FALSE)+VLOOKUP(A4403,'Fleet register'!$A$7:$S$106,16,FALSE),0),"n.a."))</f>
        <v>0</v>
      </c>
      <c r="S4403" s="1">
        <f>IF(NOT(Paths!$C$406=1),0,IF(Paths!$P$406="Complete",IF(C4403=0,0,Paths!$S$406*Paths!$R$406),"n.a."))</f>
        <v>0</v>
      </c>
      <c r="T4403" s="1">
        <f>IF(NOT(Paths!$C$406=1),0,IF(Paths!$P$406="Complete",IF(C4403=0,0,VLOOKUP(A4403,'Fleet register'!$A$7:$S$106,9,FALSE)*Paths!$R$406),"n.a."))</f>
        <v>0</v>
      </c>
    </row>
    <row r="4404" spans="1:20" ht="24" customHeight="1">
      <c r="A4404" s="1" t="str">
        <f>Paths!$A$406</f>
        <v>T100</v>
      </c>
      <c r="B4404" s="1">
        <f>Paths!$B$406</f>
        <v>3</v>
      </c>
      <c r="C4404" s="1">
        <v>8</v>
      </c>
      <c r="D4404" s="1">
        <v>406</v>
      </c>
      <c r="E4404" s="1">
        <f>IF(OR(Paths!$C$406=0,C4404=0),0,MAX(0,MIN(C4404*12,Paths!$E$406)-(C4404-1)*12))</f>
        <v>0</v>
      </c>
      <c r="F4404" s="1">
        <f>IF(OR(Paths!$C$406=0,C4404=0),0,12-E4404)</f>
        <v>0</v>
      </c>
      <c r="G4404" s="16">
        <f>IF(NOT(Paths!$C$406=1),0,IF(Paths!$P$406="Complete",E4404/12*(Paths!$J$406*(1+'Operating costs'!$B$51)^MAX(0,C4404-1)+Paths!$K$406*(1+'Operating costs'!$B$53)^MAX(0,C4404-1)),"n.a."))</f>
        <v>0</v>
      </c>
      <c r="H4404" s="16">
        <f>IF(NOT(Paths!$C$406=1),0,IF(Paths!$P$406="Complete",F4404/12*(Paths!$L$406*(1+IF(Paths!$D$406="EV",'Operating costs'!$B$52,'Operating costs'!$B$51))^MAX(0,C4404-1)+Paths!$M$406*(1+'Operating costs'!$B$53)^MAX(0,C4404-1)),"n.a."))</f>
        <v>0</v>
      </c>
      <c r="I4404" s="16">
        <f>IF(NOT(Paths!$C$406=1),0,IF(Paths!$P$406="Complete",IF(IF(Paths!$E$406=0,C4404=0,AND(C4404&gt;0,Paths!$E$406&gt;(C4404-1)*12,Paths!$E$406&lt;=C4404*12)),Paths!$G$406,0),"n.a."))</f>
        <v>0</v>
      </c>
      <c r="J4404" s="16">
        <f>IF(NOT(Paths!$C$406=1),0,IF(Paths!$P$406="Complete",IF(IF(Paths!$E$406=0,C4404=0,AND(C4404&gt;0,Paths!$E$406&gt;(C4404-1)*12,Paths!$E$406&lt;=C4404*12)),Paths!$H$406,0),"n.a."))</f>
        <v>0</v>
      </c>
      <c r="K4404" s="16">
        <f>IF(NOT(Paths!$C$406=1),0,IF(Paths!$P$406="Complete",IF(IF(Paths!$O$406=0,C4404=0,AND(C4404&gt;0,Paths!$O$406&gt;(C4404-1)*12,Paths!$O$406&lt;=C4404*12)),Paths!$N$406,0),"n.a."))</f>
        <v>0</v>
      </c>
      <c r="L4404" s="16">
        <f>IF(NOT(Paths!$C$406=1),0,IF(Paths!$P$406="Complete",IF(C4404=10,Paths!$I$406,0),"n.a."))</f>
        <v>0</v>
      </c>
      <c r="M4404" s="16">
        <f>IF(NOT(Paths!$C$406=1),0,IF(Paths!$P$406="Complete",IF(AND(Paths!$D$406="EV",Paths!$E$406&lt;120,Paths!$E$406+'Operating costs'!$B$65&gt;Paths!$E$406,Paths!$E$406+'Operating costs'!$B$65&lt;=120,IF(Paths!$E$406+'Operating costs'!$B$65=0,C4404=0,AND(C4404&gt;0,Paths!$E$406+'Operating costs'!$B$65&gt;(C4404-1)*12,Paths!$E$406+'Operating costs'!$B$65&lt;=C4404*12))),'Operating costs'!$B$64,0)+IF(AND('Operating costs'!$B$67&gt;0,'Operating costs'!$B$67&lt;=120,OR(Paths!$D$406="ICE",'Operating costs'!$B$67&lt;=Paths!$E$406),IF('Operating costs'!$B$67=0,C4404=0,AND(C4404&gt;0,'Operating costs'!$B$67&gt;(C4404-1)*12,'Operating costs'!$B$67&lt;=C4404*12))),'Operating costs'!$B$66,0),"n.a."))</f>
        <v>0</v>
      </c>
      <c r="N4404" s="16">
        <f>IF(NOT(Paths!$C$406=1),0,IF(Paths!$P$406="Complete",SUM(G4404:I4404)-J4404-K4404-L4404+M4404+IF(C4404=0,Paths!$F$406,0)+IF(IF(Paths!$E$406=0,C4404=0,AND(C4404&gt;0,Paths!$E$406&gt;(C4404-1)*12,Paths!$E$406&lt;=C4404*12)),VLOOKUP(A4404,'Fleet register'!$A$7:$S$106,16,FALSE),0),"n.a."))</f>
        <v>0</v>
      </c>
      <c r="O4404" s="16">
        <f>IF(NOT(Paths!$C$406=1),0,IF(Paths!$P$406="Complete",N4404-IF(C4404=0,Paths!$F$406,0),"n.a."))</f>
        <v>0</v>
      </c>
      <c r="P4404" s="16">
        <f>IF(NOT(Paths!$C$406=1),0,IF(Paths!$P$406="Complete",O4404+L4404,"n.a."))</f>
        <v>0</v>
      </c>
      <c r="Q4404" s="16">
        <f>IF(NOT(Paths!$C$406=1),0,IF(Paths!$P$406="Complete",N4404*(1+'Operating costs'!$B$54)^-C4404,"n.a."))</f>
        <v>0</v>
      </c>
      <c r="R4404" s="16">
        <f>IF(NOT(Paths!$C$406=1),0,IF(Paths!$P$406="Complete",IF(AND(C4404=0,Paths!$E$406=0),I4404-J4404-K4404+VLOOKUP(A4404,'Fleet register'!$A$7:$S$106,15,FALSE)+VLOOKUP(A4404,'Fleet register'!$A$7:$S$106,16,FALSE),0),"n.a."))</f>
        <v>0</v>
      </c>
      <c r="S4404" s="1">
        <f>IF(NOT(Paths!$C$406=1),0,IF(Paths!$P$406="Complete",IF(C4404=0,0,Paths!$S$406*Paths!$R$406),"n.a."))</f>
        <v>0</v>
      </c>
      <c r="T4404" s="1">
        <f>IF(NOT(Paths!$C$406=1),0,IF(Paths!$P$406="Complete",IF(C4404=0,0,VLOOKUP(A4404,'Fleet register'!$A$7:$S$106,9,FALSE)*Paths!$R$406),"n.a."))</f>
        <v>0</v>
      </c>
    </row>
    <row r="4405" spans="1:20" ht="24" customHeight="1">
      <c r="A4405" s="1" t="str">
        <f>Paths!$A$406</f>
        <v>T100</v>
      </c>
      <c r="B4405" s="1">
        <f>Paths!$B$406</f>
        <v>3</v>
      </c>
      <c r="C4405" s="1">
        <v>9</v>
      </c>
      <c r="D4405" s="1">
        <v>406</v>
      </c>
      <c r="E4405" s="1">
        <f>IF(OR(Paths!$C$406=0,C4405=0),0,MAX(0,MIN(C4405*12,Paths!$E$406)-(C4405-1)*12))</f>
        <v>0</v>
      </c>
      <c r="F4405" s="1">
        <f>IF(OR(Paths!$C$406=0,C4405=0),0,12-E4405)</f>
        <v>0</v>
      </c>
      <c r="G4405" s="16">
        <f>IF(NOT(Paths!$C$406=1),0,IF(Paths!$P$406="Complete",E4405/12*(Paths!$J$406*(1+'Operating costs'!$B$51)^MAX(0,C4405-1)+Paths!$K$406*(1+'Operating costs'!$B$53)^MAX(0,C4405-1)),"n.a."))</f>
        <v>0</v>
      </c>
      <c r="H4405" s="16">
        <f>IF(NOT(Paths!$C$406=1),0,IF(Paths!$P$406="Complete",F4405/12*(Paths!$L$406*(1+IF(Paths!$D$406="EV",'Operating costs'!$B$52,'Operating costs'!$B$51))^MAX(0,C4405-1)+Paths!$M$406*(1+'Operating costs'!$B$53)^MAX(0,C4405-1)),"n.a."))</f>
        <v>0</v>
      </c>
      <c r="I4405" s="16">
        <f>IF(NOT(Paths!$C$406=1),0,IF(Paths!$P$406="Complete",IF(IF(Paths!$E$406=0,C4405=0,AND(C4405&gt;0,Paths!$E$406&gt;(C4405-1)*12,Paths!$E$406&lt;=C4405*12)),Paths!$G$406,0),"n.a."))</f>
        <v>0</v>
      </c>
      <c r="J4405" s="16">
        <f>IF(NOT(Paths!$C$406=1),0,IF(Paths!$P$406="Complete",IF(IF(Paths!$E$406=0,C4405=0,AND(C4405&gt;0,Paths!$E$406&gt;(C4405-1)*12,Paths!$E$406&lt;=C4405*12)),Paths!$H$406,0),"n.a."))</f>
        <v>0</v>
      </c>
      <c r="K4405" s="16">
        <f>IF(NOT(Paths!$C$406=1),0,IF(Paths!$P$406="Complete",IF(IF(Paths!$O$406=0,C4405=0,AND(C4405&gt;0,Paths!$O$406&gt;(C4405-1)*12,Paths!$O$406&lt;=C4405*12)),Paths!$N$406,0),"n.a."))</f>
        <v>0</v>
      </c>
      <c r="L4405" s="16">
        <f>IF(NOT(Paths!$C$406=1),0,IF(Paths!$P$406="Complete",IF(C4405=10,Paths!$I$406,0),"n.a."))</f>
        <v>0</v>
      </c>
      <c r="M4405" s="16">
        <f>IF(NOT(Paths!$C$406=1),0,IF(Paths!$P$406="Complete",IF(AND(Paths!$D$406="EV",Paths!$E$406&lt;120,Paths!$E$406+'Operating costs'!$B$65&gt;Paths!$E$406,Paths!$E$406+'Operating costs'!$B$65&lt;=120,IF(Paths!$E$406+'Operating costs'!$B$65=0,C4405=0,AND(C4405&gt;0,Paths!$E$406+'Operating costs'!$B$65&gt;(C4405-1)*12,Paths!$E$406+'Operating costs'!$B$65&lt;=C4405*12))),'Operating costs'!$B$64,0)+IF(AND('Operating costs'!$B$67&gt;0,'Operating costs'!$B$67&lt;=120,OR(Paths!$D$406="ICE",'Operating costs'!$B$67&lt;=Paths!$E$406),IF('Operating costs'!$B$67=0,C4405=0,AND(C4405&gt;0,'Operating costs'!$B$67&gt;(C4405-1)*12,'Operating costs'!$B$67&lt;=C4405*12))),'Operating costs'!$B$66,0),"n.a."))</f>
        <v>0</v>
      </c>
      <c r="N4405" s="16">
        <f>IF(NOT(Paths!$C$406=1),0,IF(Paths!$P$406="Complete",SUM(G4405:I4405)-J4405-K4405-L4405+M4405+IF(C4405=0,Paths!$F$406,0)+IF(IF(Paths!$E$406=0,C4405=0,AND(C4405&gt;0,Paths!$E$406&gt;(C4405-1)*12,Paths!$E$406&lt;=C4405*12)),VLOOKUP(A4405,'Fleet register'!$A$7:$S$106,16,FALSE),0),"n.a."))</f>
        <v>0</v>
      </c>
      <c r="O4405" s="16">
        <f>IF(NOT(Paths!$C$406=1),0,IF(Paths!$P$406="Complete",N4405-IF(C4405=0,Paths!$F$406,0),"n.a."))</f>
        <v>0</v>
      </c>
      <c r="P4405" s="16">
        <f>IF(NOT(Paths!$C$406=1),0,IF(Paths!$P$406="Complete",O4405+L4405,"n.a."))</f>
        <v>0</v>
      </c>
      <c r="Q4405" s="16">
        <f>IF(NOT(Paths!$C$406=1),0,IF(Paths!$P$406="Complete",N4405*(1+'Operating costs'!$B$54)^-C4405,"n.a."))</f>
        <v>0</v>
      </c>
      <c r="R4405" s="16">
        <f>IF(NOT(Paths!$C$406=1),0,IF(Paths!$P$406="Complete",IF(AND(C4405=0,Paths!$E$406=0),I4405-J4405-K4405+VLOOKUP(A4405,'Fleet register'!$A$7:$S$106,15,FALSE)+VLOOKUP(A4405,'Fleet register'!$A$7:$S$106,16,FALSE),0),"n.a."))</f>
        <v>0</v>
      </c>
      <c r="S4405" s="1">
        <f>IF(NOT(Paths!$C$406=1),0,IF(Paths!$P$406="Complete",IF(C4405=0,0,Paths!$S$406*Paths!$R$406),"n.a."))</f>
        <v>0</v>
      </c>
      <c r="T4405" s="1">
        <f>IF(NOT(Paths!$C$406=1),0,IF(Paths!$P$406="Complete",IF(C4405=0,0,VLOOKUP(A4405,'Fleet register'!$A$7:$S$106,9,FALSE)*Paths!$R$406),"n.a."))</f>
        <v>0</v>
      </c>
    </row>
    <row r="4406" spans="1:20" ht="24" customHeight="1">
      <c r="A4406" s="1" t="str">
        <f>Paths!$A$406</f>
        <v>T100</v>
      </c>
      <c r="B4406" s="1">
        <f>Paths!$B$406</f>
        <v>3</v>
      </c>
      <c r="C4406" s="1">
        <v>10</v>
      </c>
      <c r="D4406" s="1">
        <v>406</v>
      </c>
      <c r="E4406" s="1">
        <f>IF(OR(Paths!$C$406=0,C4406=0),0,MAX(0,MIN(C4406*12,Paths!$E$406)-(C4406-1)*12))</f>
        <v>0</v>
      </c>
      <c r="F4406" s="1">
        <f>IF(OR(Paths!$C$406=0,C4406=0),0,12-E4406)</f>
        <v>0</v>
      </c>
      <c r="G4406" s="16">
        <f>IF(NOT(Paths!$C$406=1),0,IF(Paths!$P$406="Complete",E4406/12*(Paths!$J$406*(1+'Operating costs'!$B$51)^MAX(0,C4406-1)+Paths!$K$406*(1+'Operating costs'!$B$53)^MAX(0,C4406-1)),"n.a."))</f>
        <v>0</v>
      </c>
      <c r="H4406" s="16">
        <f>IF(NOT(Paths!$C$406=1),0,IF(Paths!$P$406="Complete",F4406/12*(Paths!$L$406*(1+IF(Paths!$D$406="EV",'Operating costs'!$B$52,'Operating costs'!$B$51))^MAX(0,C4406-1)+Paths!$M$406*(1+'Operating costs'!$B$53)^MAX(0,C4406-1)),"n.a."))</f>
        <v>0</v>
      </c>
      <c r="I4406" s="16">
        <f>IF(NOT(Paths!$C$406=1),0,IF(Paths!$P$406="Complete",IF(IF(Paths!$E$406=0,C4406=0,AND(C4406&gt;0,Paths!$E$406&gt;(C4406-1)*12,Paths!$E$406&lt;=C4406*12)),Paths!$G$406,0),"n.a."))</f>
        <v>0</v>
      </c>
      <c r="J4406" s="16">
        <f>IF(NOT(Paths!$C$406=1),0,IF(Paths!$P$406="Complete",IF(IF(Paths!$E$406=0,C4406=0,AND(C4406&gt;0,Paths!$E$406&gt;(C4406-1)*12,Paths!$E$406&lt;=C4406*12)),Paths!$H$406,0),"n.a."))</f>
        <v>0</v>
      </c>
      <c r="K4406" s="16">
        <f>IF(NOT(Paths!$C$406=1),0,IF(Paths!$P$406="Complete",IF(IF(Paths!$O$406=0,C4406=0,AND(C4406&gt;0,Paths!$O$406&gt;(C4406-1)*12,Paths!$O$406&lt;=C4406*12)),Paths!$N$406,0),"n.a."))</f>
        <v>0</v>
      </c>
      <c r="L4406" s="16">
        <f>IF(NOT(Paths!$C$406=1),0,IF(Paths!$P$406="Complete",IF(C4406=10,Paths!$I$406,0),"n.a."))</f>
        <v>0</v>
      </c>
      <c r="M4406" s="16">
        <f>IF(NOT(Paths!$C$406=1),0,IF(Paths!$P$406="Complete",IF(AND(Paths!$D$406="EV",Paths!$E$406&lt;120,Paths!$E$406+'Operating costs'!$B$65&gt;Paths!$E$406,Paths!$E$406+'Operating costs'!$B$65&lt;=120,IF(Paths!$E$406+'Operating costs'!$B$65=0,C4406=0,AND(C4406&gt;0,Paths!$E$406+'Operating costs'!$B$65&gt;(C4406-1)*12,Paths!$E$406+'Operating costs'!$B$65&lt;=C4406*12))),'Operating costs'!$B$64,0)+IF(AND('Operating costs'!$B$67&gt;0,'Operating costs'!$B$67&lt;=120,OR(Paths!$D$406="ICE",'Operating costs'!$B$67&lt;=Paths!$E$406),IF('Operating costs'!$B$67=0,C4406=0,AND(C4406&gt;0,'Operating costs'!$B$67&gt;(C4406-1)*12,'Operating costs'!$B$67&lt;=C4406*12))),'Operating costs'!$B$66,0),"n.a."))</f>
        <v>0</v>
      </c>
      <c r="N4406" s="16">
        <f>IF(NOT(Paths!$C$406=1),0,IF(Paths!$P$406="Complete",SUM(G4406:I4406)-J4406-K4406-L4406+M4406+IF(C4406=0,Paths!$F$406,0)+IF(IF(Paths!$E$406=0,C4406=0,AND(C4406&gt;0,Paths!$E$406&gt;(C4406-1)*12,Paths!$E$406&lt;=C4406*12)),VLOOKUP(A4406,'Fleet register'!$A$7:$S$106,16,FALSE),0),"n.a."))</f>
        <v>0</v>
      </c>
      <c r="O4406" s="16">
        <f>IF(NOT(Paths!$C$406=1),0,IF(Paths!$P$406="Complete",N4406-IF(C4406=0,Paths!$F$406,0),"n.a."))</f>
        <v>0</v>
      </c>
      <c r="P4406" s="16">
        <f>IF(NOT(Paths!$C$406=1),0,IF(Paths!$P$406="Complete",O4406+L4406,"n.a."))</f>
        <v>0</v>
      </c>
      <c r="Q4406" s="16">
        <f>IF(NOT(Paths!$C$406=1),0,IF(Paths!$P$406="Complete",N4406*(1+'Operating costs'!$B$54)^-C4406,"n.a."))</f>
        <v>0</v>
      </c>
      <c r="R4406" s="16">
        <f>IF(NOT(Paths!$C$406=1),0,IF(Paths!$P$406="Complete",IF(AND(C4406=0,Paths!$E$406=0),I4406-J4406-K4406+VLOOKUP(A4406,'Fleet register'!$A$7:$S$106,15,FALSE)+VLOOKUP(A4406,'Fleet register'!$A$7:$S$106,16,FALSE),0),"n.a."))</f>
        <v>0</v>
      </c>
      <c r="S4406" s="1">
        <f>IF(NOT(Paths!$C$406=1),0,IF(Paths!$P$406="Complete",IF(C4406=0,0,Paths!$S$406*Paths!$R$406),"n.a."))</f>
        <v>0</v>
      </c>
      <c r="T4406" s="1">
        <f>IF(NOT(Paths!$C$406=1),0,IF(Paths!$P$406="Complete",IF(C4406=0,0,VLOOKUP(A4406,'Fleet register'!$A$7:$S$106,9,FALSE)*Paths!$R$406),"n.a."))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4BCC4"/>
  </sheetPr>
  <dimension ref="A1:D25"/>
  <sheetViews>
    <sheetView showGridLines="0" workbookViewId="0"/>
  </sheetViews>
  <sheetFormatPr defaultRowHeight="14.25"/>
  <cols>
    <col min="1" max="1" width="42" customWidth="1"/>
    <col min="2" max="4" width="18" customWidth="1"/>
  </cols>
  <sheetData>
    <row r="1" spans="1:4" ht="24" customHeight="1">
      <c r="A1" s="1"/>
      <c r="B1" s="1"/>
      <c r="C1" s="1"/>
      <c r="D1" s="1"/>
    </row>
    <row r="2" spans="1:4" ht="24" customHeight="1">
      <c r="A2" s="2" t="s">
        <v>712</v>
      </c>
      <c r="B2" s="1"/>
      <c r="C2" s="1"/>
      <c r="D2" s="1"/>
    </row>
    <row r="3" spans="1:4" ht="24" customHeight="1">
      <c r="A3" s="3"/>
      <c r="B3" s="3"/>
      <c r="C3" s="3"/>
      <c r="D3" s="3"/>
    </row>
    <row r="4" spans="1:4" ht="24" customHeight="1">
      <c r="A4" s="1"/>
      <c r="B4" s="1"/>
      <c r="C4" s="1"/>
      <c r="D4" s="1"/>
    </row>
    <row r="5" spans="1:4" ht="24" customHeight="1">
      <c r="A5" s="1"/>
      <c r="B5" s="1"/>
      <c r="C5" s="1"/>
      <c r="D5" s="1"/>
    </row>
    <row r="6" spans="1:4" ht="48" customHeight="1">
      <c r="A6" s="4" t="s">
        <v>713</v>
      </c>
      <c r="B6" s="4" t="s">
        <v>714</v>
      </c>
      <c r="C6" s="4" t="s">
        <v>715</v>
      </c>
      <c r="D6" s="4" t="s">
        <v>716</v>
      </c>
    </row>
    <row r="7" spans="1:4" ht="24" customHeight="1">
      <c r="A7" s="1" t="s">
        <v>717</v>
      </c>
      <c r="B7" s="28">
        <f>SUMIFS('Annual build'!E7:E4406,'Annual build'!B7:B4406,0)+SUMIFS('Annual build'!F7:F4406,'Annual build'!B7:B4406,0)</f>
        <v>720</v>
      </c>
      <c r="C7" s="29">
        <f>$B$8*120</f>
        <v>720</v>
      </c>
      <c r="D7" s="27" t="str">
        <f t="shared" ref="D7:D14" si="0">IF(AND(ISNUMBER(B7),ISNUMBER(C7)),IF(ABS(B7-C7)&lt;0.005,"PASS","FAIL"),"Not available")</f>
        <v>PASS</v>
      </c>
    </row>
    <row r="8" spans="1:4" ht="24" customHeight="1">
      <c r="A8" s="1" t="s">
        <v>718</v>
      </c>
      <c r="B8" s="28">
        <f>SUM('Fleet register'!B7:B106)</f>
        <v>6</v>
      </c>
      <c r="C8" s="28">
        <f>Results!B9</f>
        <v>6</v>
      </c>
      <c r="D8" s="27" t="str">
        <f t="shared" si="0"/>
        <v>PASS</v>
      </c>
    </row>
    <row r="9" spans="1:4" ht="24" customHeight="1">
      <c r="A9" s="1" t="s">
        <v>719</v>
      </c>
      <c r="B9" s="28">
        <f>Results!B14-Results!B18-SUMPRODUCT('Fleet register'!B7:B106,'Fleet register'!K7:K106)</f>
        <v>1.862645149230957E-9</v>
      </c>
      <c r="C9" s="30">
        <v>0</v>
      </c>
      <c r="D9" s="27" t="str">
        <f t="shared" si="0"/>
        <v>PASS</v>
      </c>
    </row>
    <row r="10" spans="1:4" ht="24" customHeight="1">
      <c r="A10" s="1" t="s">
        <v>720</v>
      </c>
      <c r="B10" s="28">
        <f>Results!C14-Results!C18-SUMPRODUCT('Fleet register'!B7:B106,'Fleet register'!K7:K106)</f>
        <v>1.6298145055770874E-9</v>
      </c>
      <c r="C10" s="30">
        <v>0</v>
      </c>
      <c r="D10" s="27" t="str">
        <f t="shared" si="0"/>
        <v>PASS</v>
      </c>
    </row>
    <row r="11" spans="1:4" ht="24" customHeight="1">
      <c r="A11" s="1" t="s">
        <v>721</v>
      </c>
      <c r="B11" s="28" t="str">
        <f>IF(ISNUMBER(Results!D14),Results!D14-Results!D18-SUMPRODUCT('Fleet register'!B7:B106,'Fleet register'!K7:K106),"n.a.")</f>
        <v>n.a.</v>
      </c>
      <c r="C11" s="28">
        <f>IF(AND('Energy and charging'!$B$60="Complete",'Energy and charging'!$B$43&gt;120),-'Energy and charging'!$B$42,0)</f>
        <v>0</v>
      </c>
      <c r="D11" s="27" t="str">
        <f t="shared" si="0"/>
        <v>Not available</v>
      </c>
    </row>
    <row r="12" spans="1:4" ht="24" customHeight="1">
      <c r="A12" s="1" t="s">
        <v>722</v>
      </c>
      <c r="B12" s="28" t="str">
        <f>IF(ISNUMBER(Results!E14),Results!E14-Results!E18-SUMPRODUCT('Fleet register'!B7:B106,'Fleet register'!K7:K106),"n.a.")</f>
        <v>n.a.</v>
      </c>
      <c r="C12" s="28">
        <f>IF(AND('Energy and charging'!$C$60="Complete",'Energy and charging'!$C$43&gt;120),-'Energy and charging'!$C$42,0)</f>
        <v>0</v>
      </c>
      <c r="D12" s="27" t="str">
        <f t="shared" si="0"/>
        <v>Not available</v>
      </c>
    </row>
    <row r="13" spans="1:4" ht="24" customHeight="1">
      <c r="A13" s="1" t="s">
        <v>723</v>
      </c>
      <c r="B13" s="28">
        <f>Results!D11</f>
        <v>1</v>
      </c>
      <c r="C13" s="28">
        <f>'Energy and charging'!B68</f>
        <v>1</v>
      </c>
      <c r="D13" s="27" t="str">
        <f t="shared" si="0"/>
        <v>PASS</v>
      </c>
    </row>
    <row r="14" spans="1:4" ht="24" customHeight="1">
      <c r="A14" s="1" t="s">
        <v>724</v>
      </c>
      <c r="B14" s="28">
        <f>Results!E11</f>
        <v>3</v>
      </c>
      <c r="C14" s="28">
        <f>'Energy and charging'!C68</f>
        <v>3</v>
      </c>
      <c r="D14" s="27" t="str">
        <f t="shared" si="0"/>
        <v>PASS</v>
      </c>
    </row>
    <row r="15" spans="1:4" ht="24" customHeight="1">
      <c r="A15" s="1"/>
      <c r="B15" s="1"/>
      <c r="C15" s="1"/>
      <c r="D15" s="1"/>
    </row>
    <row r="16" spans="1:4" ht="24" customHeight="1">
      <c r="A16" s="1" t="s">
        <v>743</v>
      </c>
      <c r="B16" s="48">
        <f>COUNTIFS('Service costs'!$Z$7:$Z$14,"&lt;&gt;0")</f>
        <v>0</v>
      </c>
      <c r="C16" s="49">
        <v>0</v>
      </c>
      <c r="D16" s="1" t="str">
        <f>IF(AND(ISNUMBER(B16),ISNUMBER(C16)),IF(ABS(B16-C16)&lt;0.005,"PASS","FAIL"),"Not available")</f>
        <v>PASS</v>
      </c>
    </row>
    <row r="17" spans="1:4" ht="24" customHeight="1">
      <c r="A17" s="1" t="s">
        <v>744</v>
      </c>
      <c r="B17" s="48">
        <f>COUNT(Products!$P$7:$P$13)</f>
        <v>7</v>
      </c>
      <c r="C17" s="49">
        <v>7</v>
      </c>
      <c r="D17" s="1" t="str">
        <f>IF(AND(ISNUMBER(B17),ISNUMBER(C17)),IF(ABS(B17-C17)&lt;0.005,"PASS","FAIL"),"Not available")</f>
        <v>PASS</v>
      </c>
    </row>
    <row r="18" spans="1:4" ht="24" customHeight="1">
      <c r="A18" s="1" t="s">
        <v>745</v>
      </c>
      <c r="B18" s="48">
        <f>COUNT(Paths!$AP$7:$AP$406)</f>
        <v>400</v>
      </c>
      <c r="C18" s="49">
        <v>400</v>
      </c>
      <c r="D18" s="1" t="str">
        <f>IF(AND(ISNUMBER(B18),ISNUMBER(C18)),IF(ABS(B18-C18)&lt;0.005,"PASS","FAIL"),"Not available")</f>
        <v>PASS</v>
      </c>
    </row>
    <row r="19" spans="1:4" ht="24" customHeight="1">
      <c r="A19" s="1"/>
      <c r="B19" s="1"/>
      <c r="C19" s="1"/>
      <c r="D19" s="1"/>
    </row>
    <row r="20" spans="1:4" ht="24" customHeight="1">
      <c r="A20" s="1"/>
      <c r="B20" s="1"/>
      <c r="C20" s="1"/>
      <c r="D20" s="1"/>
    </row>
    <row r="21" spans="1:4" ht="24" customHeight="1">
      <c r="A21" s="1"/>
      <c r="B21" s="1"/>
      <c r="C21" s="1"/>
      <c r="D21" s="1"/>
    </row>
    <row r="22" spans="1:4" ht="24" customHeight="1">
      <c r="A22" s="1"/>
      <c r="B22" s="1"/>
      <c r="C22" s="1"/>
      <c r="D22" s="1"/>
    </row>
    <row r="23" spans="1:4" ht="24" customHeight="1">
      <c r="A23" s="1"/>
      <c r="B23" s="1"/>
      <c r="C23" s="1"/>
      <c r="D23" s="1"/>
    </row>
    <row r="24" spans="1:4" ht="24" customHeight="1">
      <c r="A24" s="1"/>
      <c r="B24" s="1"/>
      <c r="C24" s="1"/>
      <c r="D24" s="1"/>
    </row>
    <row r="25" spans="1:4" ht="24" customHeight="1">
      <c r="A25" s="1"/>
      <c r="B25" s="1"/>
      <c r="C25" s="1"/>
      <c r="D25" s="1"/>
    </row>
  </sheetData>
  <conditionalFormatting sqref="D16:D18">
    <cfRule type="containsText" dxfId="1" priority="1" operator="containsText" text="FAIL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4BCC4"/>
  </sheetPr>
  <dimension ref="A1:Z24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defaultRowHeight="14.25"/>
  <cols>
    <col min="1" max="1" width="25" customWidth="1"/>
    <col min="2" max="23" width="12" customWidth="1"/>
    <col min="24" max="26" width="21" customWidth="1"/>
  </cols>
  <sheetData>
    <row r="1" spans="1:26" ht="24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24" customHeight="1">
      <c r="A2" s="32" t="s">
        <v>746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24" customHeight="1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30" customHeight="1">
      <c r="A4" s="31" t="s">
        <v>747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24" customHeight="1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54" customHeight="1">
      <c r="A6" s="34" t="s">
        <v>748</v>
      </c>
      <c r="B6" s="34">
        <v>3000</v>
      </c>
      <c r="C6" s="34">
        <v>5000</v>
      </c>
      <c r="D6" s="34">
        <v>10000</v>
      </c>
      <c r="E6" s="34">
        <v>20000</v>
      </c>
      <c r="F6" s="34">
        <v>30000</v>
      </c>
      <c r="G6" s="34">
        <v>40000</v>
      </c>
      <c r="H6" s="34">
        <v>50000</v>
      </c>
      <c r="I6" s="34">
        <v>60000</v>
      </c>
      <c r="J6" s="34">
        <v>70000</v>
      </c>
      <c r="K6" s="34">
        <v>80000</v>
      </c>
      <c r="L6" s="34">
        <v>90000</v>
      </c>
      <c r="M6" s="34">
        <v>100000</v>
      </c>
      <c r="N6" s="34">
        <v>110000</v>
      </c>
      <c r="O6" s="34">
        <v>120000</v>
      </c>
      <c r="P6" s="34">
        <v>130000</v>
      </c>
      <c r="Q6" s="34">
        <v>140000</v>
      </c>
      <c r="R6" s="34">
        <v>150000</v>
      </c>
      <c r="S6" s="34">
        <v>160000</v>
      </c>
      <c r="T6" s="34">
        <v>170000</v>
      </c>
      <c r="U6" s="34">
        <v>180000</v>
      </c>
      <c r="V6" s="34">
        <v>190000</v>
      </c>
      <c r="W6" s="34">
        <v>200000</v>
      </c>
      <c r="X6" s="34" t="s">
        <v>749</v>
      </c>
      <c r="Y6" s="34" t="s">
        <v>750</v>
      </c>
      <c r="Z6" s="34" t="s">
        <v>751</v>
      </c>
    </row>
    <row r="7" spans="1:26" ht="33.950000000000003" customHeight="1">
      <c r="A7" s="31" t="s">
        <v>738</v>
      </c>
      <c r="B7" s="38" t="s">
        <v>752</v>
      </c>
      <c r="C7" s="38" t="s">
        <v>753</v>
      </c>
      <c r="D7" s="38" t="s">
        <v>752</v>
      </c>
      <c r="E7" s="38" t="s">
        <v>752</v>
      </c>
      <c r="F7" s="38" t="s">
        <v>752</v>
      </c>
      <c r="G7" s="38" t="s">
        <v>752</v>
      </c>
      <c r="H7" s="38" t="s">
        <v>752</v>
      </c>
      <c r="I7" s="38" t="s">
        <v>752</v>
      </c>
      <c r="J7" s="38" t="s">
        <v>752</v>
      </c>
      <c r="K7" s="38" t="s">
        <v>752</v>
      </c>
      <c r="L7" s="38" t="s">
        <v>752</v>
      </c>
      <c r="M7" s="38" t="s">
        <v>752</v>
      </c>
      <c r="N7" s="38">
        <v>108</v>
      </c>
      <c r="O7" s="38">
        <v>336</v>
      </c>
      <c r="P7" s="38">
        <v>108</v>
      </c>
      <c r="Q7" s="38">
        <v>336</v>
      </c>
      <c r="R7" s="38">
        <v>108</v>
      </c>
      <c r="S7" s="38">
        <v>336</v>
      </c>
      <c r="T7" s="38">
        <v>108</v>
      </c>
      <c r="U7" s="38">
        <v>336</v>
      </c>
      <c r="V7" s="38">
        <v>108</v>
      </c>
      <c r="W7" s="38">
        <v>336</v>
      </c>
      <c r="X7" s="36">
        <v>2220</v>
      </c>
      <c r="Y7" s="37">
        <f t="shared" ref="Y7:Y14" si="0">SUM(B7:W7)</f>
        <v>2220</v>
      </c>
      <c r="Z7" s="37">
        <f t="shared" ref="Z7:Z14" si="1">X7-Y7</f>
        <v>0</v>
      </c>
    </row>
    <row r="8" spans="1:26" ht="33.950000000000003" customHeight="1">
      <c r="A8" s="31" t="s">
        <v>754</v>
      </c>
      <c r="B8" s="38" t="s">
        <v>752</v>
      </c>
      <c r="C8" s="38" t="s">
        <v>753</v>
      </c>
      <c r="D8" s="38" t="s">
        <v>752</v>
      </c>
      <c r="E8" s="38" t="s">
        <v>752</v>
      </c>
      <c r="F8" s="38" t="s">
        <v>752</v>
      </c>
      <c r="G8" s="38">
        <v>246</v>
      </c>
      <c r="H8" s="38">
        <v>123</v>
      </c>
      <c r="I8" s="38">
        <v>246</v>
      </c>
      <c r="J8" s="38">
        <v>123</v>
      </c>
      <c r="K8" s="38">
        <v>246</v>
      </c>
      <c r="L8" s="38">
        <v>123</v>
      </c>
      <c r="M8" s="38">
        <v>246</v>
      </c>
      <c r="N8" s="38">
        <v>123</v>
      </c>
      <c r="O8" s="38">
        <v>246</v>
      </c>
      <c r="P8" s="38">
        <v>123</v>
      </c>
      <c r="Q8" s="38">
        <v>246</v>
      </c>
      <c r="R8" s="38">
        <v>123</v>
      </c>
      <c r="S8" s="38">
        <v>246</v>
      </c>
      <c r="T8" s="38">
        <v>123</v>
      </c>
      <c r="U8" s="38">
        <v>246</v>
      </c>
      <c r="V8" s="38">
        <v>123</v>
      </c>
      <c r="W8" s="38">
        <v>246</v>
      </c>
      <c r="X8" s="36">
        <v>3198</v>
      </c>
      <c r="Y8" s="37">
        <f t="shared" si="0"/>
        <v>3198</v>
      </c>
      <c r="Z8" s="37">
        <f t="shared" si="1"/>
        <v>0</v>
      </c>
    </row>
    <row r="9" spans="1:26" ht="33.950000000000003" customHeight="1">
      <c r="A9" s="31" t="s">
        <v>755</v>
      </c>
      <c r="B9" s="38" t="s">
        <v>753</v>
      </c>
      <c r="C9" s="38" t="s">
        <v>753</v>
      </c>
      <c r="D9" s="38" t="s">
        <v>753</v>
      </c>
      <c r="E9" s="38" t="s">
        <v>753</v>
      </c>
      <c r="F9" s="38" t="s">
        <v>752</v>
      </c>
      <c r="G9" s="38" t="s">
        <v>753</v>
      </c>
      <c r="H9" s="38" t="s">
        <v>753</v>
      </c>
      <c r="I9" s="38" t="s">
        <v>752</v>
      </c>
      <c r="J9" s="38" t="s">
        <v>753</v>
      </c>
      <c r="K9" s="38" t="s">
        <v>753</v>
      </c>
      <c r="L9" s="38" t="s">
        <v>752</v>
      </c>
      <c r="M9" s="38" t="s">
        <v>753</v>
      </c>
      <c r="N9" s="38" t="s">
        <v>753</v>
      </c>
      <c r="O9" s="38" t="s">
        <v>752</v>
      </c>
      <c r="P9" s="38" t="s">
        <v>753</v>
      </c>
      <c r="Q9" s="38" t="s">
        <v>753</v>
      </c>
      <c r="R9" s="38" t="s">
        <v>752</v>
      </c>
      <c r="S9" s="38" t="s">
        <v>753</v>
      </c>
      <c r="T9" s="38" t="s">
        <v>753</v>
      </c>
      <c r="U9" s="38">
        <v>246</v>
      </c>
      <c r="V9" s="38" t="s">
        <v>753</v>
      </c>
      <c r="W9" s="38" t="s">
        <v>753</v>
      </c>
      <c r="X9" s="36">
        <v>246</v>
      </c>
      <c r="Y9" s="37">
        <f t="shared" si="0"/>
        <v>246</v>
      </c>
      <c r="Z9" s="37">
        <f t="shared" si="1"/>
        <v>0</v>
      </c>
    </row>
    <row r="10" spans="1:26" ht="33.950000000000003" customHeight="1">
      <c r="A10" s="31" t="s">
        <v>740</v>
      </c>
      <c r="B10" s="38" t="s">
        <v>752</v>
      </c>
      <c r="C10" s="38" t="s">
        <v>753</v>
      </c>
      <c r="D10" s="38" t="s">
        <v>753</v>
      </c>
      <c r="E10" s="38" t="s">
        <v>752</v>
      </c>
      <c r="F10" s="38" t="s">
        <v>753</v>
      </c>
      <c r="G10" s="38" t="s">
        <v>752</v>
      </c>
      <c r="H10" s="38" t="s">
        <v>753</v>
      </c>
      <c r="I10" s="38" t="s">
        <v>752</v>
      </c>
      <c r="J10" s="38" t="s">
        <v>753</v>
      </c>
      <c r="K10" s="38" t="s">
        <v>752</v>
      </c>
      <c r="L10" s="38" t="s">
        <v>753</v>
      </c>
      <c r="M10" s="38" t="s">
        <v>752</v>
      </c>
      <c r="N10" s="38" t="s">
        <v>753</v>
      </c>
      <c r="O10" s="38">
        <v>280</v>
      </c>
      <c r="P10" s="38" t="s">
        <v>753</v>
      </c>
      <c r="Q10" s="38">
        <v>280</v>
      </c>
      <c r="R10" s="38" t="s">
        <v>753</v>
      </c>
      <c r="S10" s="38">
        <v>280</v>
      </c>
      <c r="T10" s="38" t="s">
        <v>753</v>
      </c>
      <c r="U10" s="38">
        <v>280</v>
      </c>
      <c r="V10" s="38" t="s">
        <v>753</v>
      </c>
      <c r="W10" s="38">
        <v>280</v>
      </c>
      <c r="X10" s="36">
        <v>1400</v>
      </c>
      <c r="Y10" s="37">
        <f t="shared" si="0"/>
        <v>1400</v>
      </c>
      <c r="Z10" s="37">
        <f t="shared" si="1"/>
        <v>0</v>
      </c>
    </row>
    <row r="11" spans="1:26" ht="33.950000000000003" customHeight="1">
      <c r="A11" s="31" t="s">
        <v>756</v>
      </c>
      <c r="B11" s="38" t="s">
        <v>753</v>
      </c>
      <c r="C11" s="38" t="s">
        <v>753</v>
      </c>
      <c r="D11" s="38" t="s">
        <v>753</v>
      </c>
      <c r="E11" s="38" t="s">
        <v>752</v>
      </c>
      <c r="F11" s="38" t="s">
        <v>753</v>
      </c>
      <c r="G11" s="38" t="s">
        <v>752</v>
      </c>
      <c r="H11" s="38" t="s">
        <v>753</v>
      </c>
      <c r="I11" s="38" t="s">
        <v>752</v>
      </c>
      <c r="J11" s="38" t="s">
        <v>753</v>
      </c>
      <c r="K11" s="38" t="s">
        <v>752</v>
      </c>
      <c r="L11" s="38" t="s">
        <v>753</v>
      </c>
      <c r="M11" s="38" t="s">
        <v>752</v>
      </c>
      <c r="N11" s="38" t="s">
        <v>753</v>
      </c>
      <c r="O11" s="38">
        <v>139</v>
      </c>
      <c r="P11" s="38" t="s">
        <v>753</v>
      </c>
      <c r="Q11" s="38">
        <v>197</v>
      </c>
      <c r="R11" s="38" t="s">
        <v>753</v>
      </c>
      <c r="S11" s="38">
        <v>139</v>
      </c>
      <c r="T11" s="38" t="s">
        <v>753</v>
      </c>
      <c r="U11" s="38">
        <v>197</v>
      </c>
      <c r="V11" s="38" t="s">
        <v>753</v>
      </c>
      <c r="W11" s="38">
        <v>139</v>
      </c>
      <c r="X11" s="36">
        <v>811</v>
      </c>
      <c r="Y11" s="37">
        <f t="shared" si="0"/>
        <v>811</v>
      </c>
      <c r="Z11" s="37">
        <f t="shared" si="1"/>
        <v>0</v>
      </c>
    </row>
    <row r="12" spans="1:26" ht="33.950000000000003" customHeight="1">
      <c r="A12" s="31" t="s">
        <v>757</v>
      </c>
      <c r="B12" s="38" t="s">
        <v>753</v>
      </c>
      <c r="C12" s="38" t="s">
        <v>752</v>
      </c>
      <c r="D12" s="38" t="s">
        <v>753</v>
      </c>
      <c r="E12" s="38" t="s">
        <v>753</v>
      </c>
      <c r="F12" s="38" t="s">
        <v>753</v>
      </c>
      <c r="G12" s="38" t="s">
        <v>752</v>
      </c>
      <c r="H12" s="38" t="s">
        <v>753</v>
      </c>
      <c r="I12" s="38" t="s">
        <v>753</v>
      </c>
      <c r="J12" s="38" t="s">
        <v>753</v>
      </c>
      <c r="K12" s="38" t="s">
        <v>752</v>
      </c>
      <c r="L12" s="38" t="s">
        <v>753</v>
      </c>
      <c r="M12" s="38" t="s">
        <v>753</v>
      </c>
      <c r="N12" s="38" t="s">
        <v>753</v>
      </c>
      <c r="O12" s="38" t="s">
        <v>752</v>
      </c>
      <c r="P12" s="38" t="s">
        <v>753</v>
      </c>
      <c r="Q12" s="38" t="s">
        <v>753</v>
      </c>
      <c r="R12" s="38" t="s">
        <v>753</v>
      </c>
      <c r="S12" s="38" t="s">
        <v>752</v>
      </c>
      <c r="T12" s="38" t="s">
        <v>753</v>
      </c>
      <c r="U12" s="38" t="s">
        <v>758</v>
      </c>
      <c r="V12" s="38" t="s">
        <v>758</v>
      </c>
      <c r="W12" s="38">
        <v>270</v>
      </c>
      <c r="X12" s="36">
        <v>270</v>
      </c>
      <c r="Y12" s="37">
        <f t="shared" si="0"/>
        <v>270</v>
      </c>
      <c r="Z12" s="37">
        <f t="shared" si="1"/>
        <v>0</v>
      </c>
    </row>
    <row r="13" spans="1:26" ht="33.950000000000003" customHeight="1">
      <c r="A13" s="31" t="s">
        <v>739</v>
      </c>
      <c r="B13" s="38" t="s">
        <v>753</v>
      </c>
      <c r="C13" s="38" t="s">
        <v>752</v>
      </c>
      <c r="D13" s="38" t="s">
        <v>752</v>
      </c>
      <c r="E13" s="38" t="s">
        <v>752</v>
      </c>
      <c r="F13" s="38" t="s">
        <v>752</v>
      </c>
      <c r="G13" s="38" t="s">
        <v>752</v>
      </c>
      <c r="H13" s="38" t="s">
        <v>752</v>
      </c>
      <c r="I13" s="38" t="s">
        <v>752</v>
      </c>
      <c r="J13" s="38" t="s">
        <v>752</v>
      </c>
      <c r="K13" s="38" t="s">
        <v>752</v>
      </c>
      <c r="L13" s="38" t="s">
        <v>752</v>
      </c>
      <c r="M13" s="38" t="s">
        <v>752</v>
      </c>
      <c r="N13" s="38">
        <v>225</v>
      </c>
      <c r="O13" s="38">
        <v>465</v>
      </c>
      <c r="P13" s="38">
        <v>225</v>
      </c>
      <c r="Q13" s="38">
        <v>225</v>
      </c>
      <c r="R13" s="38">
        <v>480</v>
      </c>
      <c r="S13" s="38">
        <v>285</v>
      </c>
      <c r="T13" s="38">
        <v>225</v>
      </c>
      <c r="U13" s="38">
        <v>465</v>
      </c>
      <c r="V13" s="38">
        <v>225</v>
      </c>
      <c r="W13" s="38">
        <v>465</v>
      </c>
      <c r="X13" s="36">
        <v>3285</v>
      </c>
      <c r="Y13" s="37">
        <f t="shared" si="0"/>
        <v>3285</v>
      </c>
      <c r="Z13" s="37">
        <f t="shared" si="1"/>
        <v>0</v>
      </c>
    </row>
    <row r="14" spans="1:26" ht="33.950000000000003" customHeight="1">
      <c r="A14" s="31" t="s">
        <v>736</v>
      </c>
      <c r="B14" s="38" t="s">
        <v>752</v>
      </c>
      <c r="C14" s="38" t="s">
        <v>753</v>
      </c>
      <c r="D14" s="38" t="s">
        <v>752</v>
      </c>
      <c r="E14" s="38" t="s">
        <v>752</v>
      </c>
      <c r="F14" s="38" t="s">
        <v>752</v>
      </c>
      <c r="G14" s="38" t="s">
        <v>752</v>
      </c>
      <c r="H14" s="38" t="s">
        <v>752</v>
      </c>
      <c r="I14" s="38" t="s">
        <v>752</v>
      </c>
      <c r="J14" s="38" t="s">
        <v>752</v>
      </c>
      <c r="K14" s="38" t="s">
        <v>752</v>
      </c>
      <c r="L14" s="38" t="s">
        <v>752</v>
      </c>
      <c r="M14" s="38" t="s">
        <v>752</v>
      </c>
      <c r="N14" s="38">
        <v>160</v>
      </c>
      <c r="O14" s="38">
        <v>247</v>
      </c>
      <c r="P14" s="38">
        <v>160</v>
      </c>
      <c r="Q14" s="38">
        <v>160</v>
      </c>
      <c r="R14" s="38">
        <v>160</v>
      </c>
      <c r="S14" s="38">
        <v>247</v>
      </c>
      <c r="T14" s="38">
        <v>160</v>
      </c>
      <c r="U14" s="38">
        <v>160</v>
      </c>
      <c r="V14" s="38">
        <v>160</v>
      </c>
      <c r="W14" s="38">
        <v>247</v>
      </c>
      <c r="X14" s="36">
        <v>1861</v>
      </c>
      <c r="Y14" s="37">
        <f t="shared" si="0"/>
        <v>1861</v>
      </c>
      <c r="Z14" s="37">
        <f t="shared" si="1"/>
        <v>0</v>
      </c>
    </row>
    <row r="15" spans="1:26" ht="24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24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24" customHeight="1">
      <c r="A17" s="39" t="s">
        <v>759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27.95" customHeight="1">
      <c r="A18" s="31" t="s">
        <v>760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27.95" customHeight="1">
      <c r="A19" s="31" t="s">
        <v>761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24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27.95" customHeight="1">
      <c r="A21" s="31" t="s">
        <v>762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24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24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24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</sheetData>
  <conditionalFormatting sqref="Z7:Z14">
    <cfRule type="cellIs" dxfId="0" priority="1" operator="not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Results</vt:lpstr>
      <vt:lpstr>Fleet register</vt:lpstr>
      <vt:lpstr>Replacement plan</vt:lpstr>
      <vt:lpstr>Energy and charging</vt:lpstr>
      <vt:lpstr>Operating costs</vt:lpstr>
      <vt:lpstr>Products</vt:lpstr>
      <vt:lpstr>Paths</vt:lpstr>
      <vt:lpstr>Annual build</vt:lpstr>
      <vt:lpstr>Review</vt:lpstr>
      <vt:lpstr>Service 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Shuaizhou</cp:lastModifiedBy>
  <dcterms:modified xsi:type="dcterms:W3CDTF">2026-10-18T05:43:28Z</dcterms:modified>
</cp:coreProperties>
</file>